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hidePivotFieldList="1" defaultThemeVersion="166925"/>
  <mc:AlternateContent xmlns:mc="http://schemas.openxmlformats.org/markup-compatibility/2006">
    <mc:Choice Requires="x15">
      <x15ac:absPath xmlns:x15ac="http://schemas.microsoft.com/office/spreadsheetml/2010/11/ac" url="C:\Users\UserTop\Desktop\"/>
    </mc:Choice>
  </mc:AlternateContent>
  <xr:revisionPtr revIDLastSave="0" documentId="13_ncr:1_{7A6C1F2D-4504-4A98-8ADC-1E5475F7888C}" xr6:coauthVersionLast="47" xr6:coauthVersionMax="47" xr10:uidLastSave="{00000000-0000-0000-0000-000000000000}"/>
  <bookViews>
    <workbookView xWindow="-108" yWindow="-108" windowWidth="23256" windowHeight="12576" tabRatio="894" xr2:uid="{00000000-000D-0000-FFFF-FFFF00000000}"/>
  </bookViews>
  <sheets>
    <sheet name="CustomerCombined" sheetId="5" r:id="rId1"/>
    <sheet name="Sheet1" sheetId="8" state="hidden" r:id="rId2"/>
    <sheet name="R1 Answers" sheetId="6" r:id="rId3"/>
    <sheet name="R2 Answers" sheetId="7" r:id="rId4"/>
    <sheet name="R3 Answers" sheetId="9" r:id="rId5"/>
    <sheet name="R4 CustomerCombined - Cleaned" sheetId="11" r:id="rId6"/>
    <sheet name="R5 Answers" sheetId="10" r:id="rId7"/>
    <sheet name="Charts after Cleaning" sheetId="12" r:id="rId8"/>
    <sheet name="Bonus Questions" sheetId="13" r:id="rId9"/>
    <sheet name="Marketing" sheetId="2" state="hidden" r:id="rId10"/>
    <sheet name="Sales" sheetId="3" state="hidden" r:id="rId11"/>
    <sheet name="customer (1)" sheetId="1" state="hidden" r:id="rId12"/>
  </sheets>
  <definedNames>
    <definedName name="_xlchart.v1.0" hidden="1">'CustomerCombined'!$B$2:$B$2221</definedName>
    <definedName name="_xlchart.v1.1" hidden="1">'CustomerCombined'!$E$2:$E$2221</definedName>
    <definedName name="_xlchart.v1.2" hidden="1">'R4 CustomerCombined - Cleaned'!$B$2:$B$2222</definedName>
    <definedName name="_xlchart.v1.3" hidden="1">'R4 CustomerCombined - Cleaned'!$E$2:$E$2222</definedName>
  </definedNames>
  <calcPr calcId="191029"/>
  <pivotCaches>
    <pivotCache cacheId="1"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2" i="10" l="1"/>
  <c r="J1533" i="5"/>
  <c r="K1533" i="5"/>
  <c r="L1533" i="5"/>
  <c r="M1533" i="5"/>
  <c r="N1533" i="5"/>
  <c r="O1533" i="5"/>
  <c r="P1533" i="5"/>
  <c r="Q1533" i="5"/>
  <c r="R1533" i="5"/>
  <c r="S1533" i="5"/>
  <c r="T1533" i="5"/>
  <c r="U1533" i="5"/>
  <c r="V1533" i="5"/>
  <c r="W1533" i="5"/>
  <c r="X1533" i="5"/>
  <c r="Y1533" i="5"/>
  <c r="Z1533" i="5"/>
  <c r="AA1533" i="5"/>
  <c r="AB1533" i="5"/>
  <c r="AC1533" i="5"/>
  <c r="J1156" i="5"/>
  <c r="K1156" i="5"/>
  <c r="L1156" i="5"/>
  <c r="M1156" i="5"/>
  <c r="N1156" i="5"/>
  <c r="O1156" i="5"/>
  <c r="P1156" i="5"/>
  <c r="Q1156" i="5"/>
  <c r="R1156" i="5"/>
  <c r="S1156" i="5"/>
  <c r="T1156" i="5"/>
  <c r="U1156" i="5"/>
  <c r="V1156" i="5"/>
  <c r="W1156" i="5"/>
  <c r="X1156" i="5"/>
  <c r="Y1156" i="5"/>
  <c r="Z1156" i="5"/>
  <c r="AA1156" i="5"/>
  <c r="AB1156" i="5"/>
  <c r="AC1156" i="5"/>
  <c r="G21" i="8"/>
  <c r="P943" i="11"/>
  <c r="Q943" i="11"/>
  <c r="P1111" i="11"/>
  <c r="Q1111" i="11"/>
  <c r="N3" i="10"/>
  <c r="J3" i="10"/>
  <c r="J2" i="10"/>
  <c r="H3" i="10"/>
  <c r="H2" i="10"/>
  <c r="F3" i="10"/>
  <c r="F2" i="10"/>
  <c r="D3" i="10"/>
  <c r="D2" i="10"/>
  <c r="B3" i="10"/>
  <c r="B2" i="10"/>
  <c r="AC1077" i="11"/>
  <c r="AB1077" i="11"/>
  <c r="AA1077" i="11"/>
  <c r="Z1077" i="11"/>
  <c r="Y1077" i="11"/>
  <c r="X1077" i="11"/>
  <c r="W1077" i="11"/>
  <c r="V1077" i="11"/>
  <c r="U1077" i="11"/>
  <c r="T1077" i="11"/>
  <c r="S1077" i="11"/>
  <c r="R1077" i="11"/>
  <c r="Q1077" i="11"/>
  <c r="P1077" i="11"/>
  <c r="O1077" i="11"/>
  <c r="N1077" i="11"/>
  <c r="M1077" i="11"/>
  <c r="L1077" i="11"/>
  <c r="K1077" i="11"/>
  <c r="J1077" i="11"/>
  <c r="AC476" i="11"/>
  <c r="AB476" i="11"/>
  <c r="AA476" i="11"/>
  <c r="Z476" i="11"/>
  <c r="Y476" i="11"/>
  <c r="X476" i="11"/>
  <c r="W476" i="11"/>
  <c r="V476" i="11"/>
  <c r="U476" i="11"/>
  <c r="T476" i="11"/>
  <c r="S476" i="11"/>
  <c r="R476" i="11"/>
  <c r="Q476" i="11"/>
  <c r="P476" i="11"/>
  <c r="O476" i="11"/>
  <c r="N476" i="11"/>
  <c r="M476" i="11"/>
  <c r="L476" i="11"/>
  <c r="K476" i="11"/>
  <c r="J476" i="11"/>
  <c r="AC913" i="11"/>
  <c r="AB913" i="11"/>
  <c r="AA913" i="11"/>
  <c r="Z913" i="11"/>
  <c r="Y913" i="11"/>
  <c r="X913" i="11"/>
  <c r="W913" i="11"/>
  <c r="V913" i="11"/>
  <c r="U913" i="11"/>
  <c r="T913" i="11"/>
  <c r="S913" i="11"/>
  <c r="R913" i="11"/>
  <c r="Q913" i="11"/>
  <c r="P913" i="11"/>
  <c r="O913" i="11"/>
  <c r="N913" i="11"/>
  <c r="M913" i="11"/>
  <c r="L913" i="11"/>
  <c r="K913" i="11"/>
  <c r="J913" i="11"/>
  <c r="AC1533" i="11"/>
  <c r="AB1533" i="11"/>
  <c r="AA1533" i="11"/>
  <c r="Z1533" i="11"/>
  <c r="Y1533" i="11"/>
  <c r="X1533" i="11"/>
  <c r="W1533" i="11"/>
  <c r="V1533" i="11"/>
  <c r="U1533" i="11"/>
  <c r="T1533" i="11"/>
  <c r="S1533" i="11"/>
  <c r="R1533" i="11"/>
  <c r="Q1533" i="11"/>
  <c r="P1533" i="11"/>
  <c r="O1533" i="11"/>
  <c r="N1533" i="11"/>
  <c r="M1533" i="11"/>
  <c r="L1533" i="11"/>
  <c r="K1533" i="11"/>
  <c r="J1533" i="11"/>
  <c r="AC1448" i="11"/>
  <c r="AB1448" i="11"/>
  <c r="AA1448" i="11"/>
  <c r="Z1448" i="11"/>
  <c r="Y1448" i="11"/>
  <c r="X1448" i="11"/>
  <c r="W1448" i="11"/>
  <c r="V1448" i="11"/>
  <c r="U1448" i="11"/>
  <c r="T1448" i="11"/>
  <c r="S1448" i="11"/>
  <c r="R1448" i="11"/>
  <c r="Q1448" i="11"/>
  <c r="P1448" i="11"/>
  <c r="O1448" i="11"/>
  <c r="N1448" i="11"/>
  <c r="M1448" i="11"/>
  <c r="L1448" i="11"/>
  <c r="K1448" i="11"/>
  <c r="J1448" i="11"/>
  <c r="AC690" i="11"/>
  <c r="AB690" i="11"/>
  <c r="AA690" i="11"/>
  <c r="Z690" i="11"/>
  <c r="Y690" i="11"/>
  <c r="X690" i="11"/>
  <c r="W690" i="11"/>
  <c r="V690" i="11"/>
  <c r="U690" i="11"/>
  <c r="T690" i="11"/>
  <c r="S690" i="11"/>
  <c r="R690" i="11"/>
  <c r="Q690" i="11"/>
  <c r="P690" i="11"/>
  <c r="O690" i="11"/>
  <c r="N690" i="11"/>
  <c r="M690" i="11"/>
  <c r="L690" i="11"/>
  <c r="K690" i="11"/>
  <c r="J690" i="11"/>
  <c r="AC2116" i="11"/>
  <c r="AB2116" i="11"/>
  <c r="AA2116" i="11"/>
  <c r="Z2116" i="11"/>
  <c r="Y2116" i="11"/>
  <c r="X2116" i="11"/>
  <c r="W2116" i="11"/>
  <c r="V2116" i="11"/>
  <c r="U2116" i="11"/>
  <c r="T2116" i="11"/>
  <c r="S2116" i="11"/>
  <c r="R2116" i="11"/>
  <c r="Q2116" i="11"/>
  <c r="P2116" i="11"/>
  <c r="O2116" i="11"/>
  <c r="N2116" i="11"/>
  <c r="M2116" i="11"/>
  <c r="L2116" i="11"/>
  <c r="K2116" i="11"/>
  <c r="J2116" i="11"/>
  <c r="AC1805" i="11"/>
  <c r="AB1805" i="11"/>
  <c r="AA1805" i="11"/>
  <c r="Z1805" i="11"/>
  <c r="Y1805" i="11"/>
  <c r="X1805" i="11"/>
  <c r="W1805" i="11"/>
  <c r="V1805" i="11"/>
  <c r="U1805" i="11"/>
  <c r="T1805" i="11"/>
  <c r="S1805" i="11"/>
  <c r="R1805" i="11"/>
  <c r="Q1805" i="11"/>
  <c r="P1805" i="11"/>
  <c r="O1805" i="11"/>
  <c r="N1805" i="11"/>
  <c r="M1805" i="11"/>
  <c r="L1805" i="11"/>
  <c r="K1805" i="11"/>
  <c r="J1805" i="11"/>
  <c r="AC4" i="11"/>
  <c r="AB4" i="11"/>
  <c r="AA4" i="11"/>
  <c r="Z4" i="11"/>
  <c r="Y4" i="11"/>
  <c r="X4" i="11"/>
  <c r="W4" i="11"/>
  <c r="V4" i="11"/>
  <c r="U4" i="11"/>
  <c r="T4" i="11"/>
  <c r="S4" i="11"/>
  <c r="R4" i="11"/>
  <c r="Q4" i="11"/>
  <c r="P4" i="11"/>
  <c r="O4" i="11"/>
  <c r="N4" i="11"/>
  <c r="M4" i="11"/>
  <c r="L4" i="11"/>
  <c r="K4" i="11"/>
  <c r="J4" i="11"/>
  <c r="AC30" i="11"/>
  <c r="AB30" i="11"/>
  <c r="AA30" i="11"/>
  <c r="Z30" i="11"/>
  <c r="Y30" i="11"/>
  <c r="X30" i="11"/>
  <c r="W30" i="11"/>
  <c r="V30" i="11"/>
  <c r="U30" i="11"/>
  <c r="T30" i="11"/>
  <c r="S30" i="11"/>
  <c r="R30" i="11"/>
  <c r="Q30" i="11"/>
  <c r="P30" i="11"/>
  <c r="O30" i="11"/>
  <c r="N30" i="11"/>
  <c r="M30" i="11"/>
  <c r="L30" i="11"/>
  <c r="K30" i="11"/>
  <c r="J30" i="11"/>
  <c r="AC148" i="11"/>
  <c r="AB148" i="11"/>
  <c r="AA148" i="11"/>
  <c r="Z148" i="11"/>
  <c r="Y148" i="11"/>
  <c r="X148" i="11"/>
  <c r="W148" i="11"/>
  <c r="V148" i="11"/>
  <c r="U148" i="11"/>
  <c r="T148" i="11"/>
  <c r="S148" i="11"/>
  <c r="R148" i="11"/>
  <c r="Q148" i="11"/>
  <c r="P148" i="11"/>
  <c r="O148" i="11"/>
  <c r="N148" i="11"/>
  <c r="M148" i="11"/>
  <c r="L148" i="11"/>
  <c r="K148" i="11"/>
  <c r="J148" i="11"/>
  <c r="AC190" i="11"/>
  <c r="AB190" i="11"/>
  <c r="AA190" i="11"/>
  <c r="Z190" i="11"/>
  <c r="Y190" i="11"/>
  <c r="X190" i="11"/>
  <c r="W190" i="11"/>
  <c r="V190" i="11"/>
  <c r="U190" i="11"/>
  <c r="T190" i="11"/>
  <c r="S190" i="11"/>
  <c r="R190" i="11"/>
  <c r="Q190" i="11"/>
  <c r="P190" i="11"/>
  <c r="O190" i="11"/>
  <c r="N190" i="11"/>
  <c r="M190" i="11"/>
  <c r="L190" i="11"/>
  <c r="K190" i="11"/>
  <c r="J190" i="11"/>
  <c r="AC222" i="11"/>
  <c r="AB222" i="11"/>
  <c r="AA222" i="11"/>
  <c r="Z222" i="11"/>
  <c r="Y222" i="11"/>
  <c r="X222" i="11"/>
  <c r="W222" i="11"/>
  <c r="V222" i="11"/>
  <c r="U222" i="11"/>
  <c r="T222" i="11"/>
  <c r="S222" i="11"/>
  <c r="R222" i="11"/>
  <c r="Q222" i="11"/>
  <c r="P222" i="11"/>
  <c r="O222" i="11"/>
  <c r="N222" i="11"/>
  <c r="M222" i="11"/>
  <c r="L222" i="11"/>
  <c r="K222" i="11"/>
  <c r="J222" i="11"/>
  <c r="AC475" i="11"/>
  <c r="AB475" i="11"/>
  <c r="AA475" i="11"/>
  <c r="Z475" i="11"/>
  <c r="Y475" i="11"/>
  <c r="X475" i="11"/>
  <c r="W475" i="11"/>
  <c r="V475" i="11"/>
  <c r="U475" i="11"/>
  <c r="T475" i="11"/>
  <c r="S475" i="11"/>
  <c r="R475" i="11"/>
  <c r="Q475" i="11"/>
  <c r="P475" i="11"/>
  <c r="O475" i="11"/>
  <c r="N475" i="11"/>
  <c r="M475" i="11"/>
  <c r="L475" i="11"/>
  <c r="K475" i="11"/>
  <c r="J475" i="11"/>
  <c r="AC474" i="11"/>
  <c r="AB474" i="11"/>
  <c r="AA474" i="11"/>
  <c r="Z474" i="11"/>
  <c r="Y474" i="11"/>
  <c r="X474" i="11"/>
  <c r="W474" i="11"/>
  <c r="V474" i="11"/>
  <c r="U474" i="11"/>
  <c r="T474" i="11"/>
  <c r="S474" i="11"/>
  <c r="R474" i="11"/>
  <c r="Q474" i="11"/>
  <c r="P474" i="11"/>
  <c r="O474" i="11"/>
  <c r="N474" i="11"/>
  <c r="M474" i="11"/>
  <c r="L474" i="11"/>
  <c r="K474" i="11"/>
  <c r="J474" i="11"/>
  <c r="AC552" i="11"/>
  <c r="AB552" i="11"/>
  <c r="AA552" i="11"/>
  <c r="Z552" i="11"/>
  <c r="Y552" i="11"/>
  <c r="X552" i="11"/>
  <c r="W552" i="11"/>
  <c r="V552" i="11"/>
  <c r="U552" i="11"/>
  <c r="T552" i="11"/>
  <c r="S552" i="11"/>
  <c r="R552" i="11"/>
  <c r="Q552" i="11"/>
  <c r="P552" i="11"/>
  <c r="O552" i="11"/>
  <c r="N552" i="11"/>
  <c r="M552" i="11"/>
  <c r="L552" i="11"/>
  <c r="K552" i="11"/>
  <c r="J552" i="11"/>
  <c r="AC689" i="11"/>
  <c r="AB689" i="11"/>
  <c r="AA689" i="11"/>
  <c r="Z689" i="11"/>
  <c r="Y689" i="11"/>
  <c r="X689" i="11"/>
  <c r="W689" i="11"/>
  <c r="V689" i="11"/>
  <c r="U689" i="11"/>
  <c r="T689" i="11"/>
  <c r="S689" i="11"/>
  <c r="R689" i="11"/>
  <c r="Q689" i="11"/>
  <c r="P689" i="11"/>
  <c r="O689" i="11"/>
  <c r="N689" i="11"/>
  <c r="M689" i="11"/>
  <c r="L689" i="11"/>
  <c r="K689" i="11"/>
  <c r="J689" i="11"/>
  <c r="AC688" i="11"/>
  <c r="AB688" i="11"/>
  <c r="AA688" i="11"/>
  <c r="Z688" i="11"/>
  <c r="Y688" i="11"/>
  <c r="X688" i="11"/>
  <c r="W688" i="11"/>
  <c r="V688" i="11"/>
  <c r="U688" i="11"/>
  <c r="T688" i="11"/>
  <c r="S688" i="11"/>
  <c r="R688" i="11"/>
  <c r="Q688" i="11"/>
  <c r="P688" i="11"/>
  <c r="O688" i="11"/>
  <c r="N688" i="11"/>
  <c r="M688" i="11"/>
  <c r="L688" i="11"/>
  <c r="K688" i="11"/>
  <c r="J688" i="11"/>
  <c r="AC772" i="11"/>
  <c r="AB772" i="11"/>
  <c r="AA772" i="11"/>
  <c r="Z772" i="11"/>
  <c r="Y772" i="11"/>
  <c r="X772" i="11"/>
  <c r="W772" i="11"/>
  <c r="V772" i="11"/>
  <c r="U772" i="11"/>
  <c r="T772" i="11"/>
  <c r="S772" i="11"/>
  <c r="R772" i="11"/>
  <c r="Q772" i="11"/>
  <c r="P772" i="11"/>
  <c r="O772" i="11"/>
  <c r="N772" i="11"/>
  <c r="M772" i="11"/>
  <c r="L772" i="11"/>
  <c r="K772" i="11"/>
  <c r="J772" i="11"/>
  <c r="AC912" i="11"/>
  <c r="AB912" i="11"/>
  <c r="AA912" i="11"/>
  <c r="Z912" i="11"/>
  <c r="Y912" i="11"/>
  <c r="X912" i="11"/>
  <c r="W912" i="11"/>
  <c r="V912" i="11"/>
  <c r="U912" i="11"/>
  <c r="T912" i="11"/>
  <c r="S912" i="11"/>
  <c r="R912" i="11"/>
  <c r="Q912" i="11"/>
  <c r="P912" i="11"/>
  <c r="O912" i="11"/>
  <c r="N912" i="11"/>
  <c r="M912" i="11"/>
  <c r="L912" i="11"/>
  <c r="K912" i="11"/>
  <c r="J912" i="11"/>
  <c r="AC45" i="11"/>
  <c r="AB45" i="11"/>
  <c r="AA45" i="11"/>
  <c r="Z45" i="11"/>
  <c r="Y45" i="11"/>
  <c r="X45" i="11"/>
  <c r="W45" i="11"/>
  <c r="V45" i="11"/>
  <c r="U45" i="11"/>
  <c r="T45" i="11"/>
  <c r="S45" i="11"/>
  <c r="R45" i="11"/>
  <c r="Q45" i="11"/>
  <c r="P45" i="11"/>
  <c r="O45" i="11"/>
  <c r="N45" i="11"/>
  <c r="M45" i="11"/>
  <c r="L45" i="11"/>
  <c r="K45" i="11"/>
  <c r="J45" i="11"/>
  <c r="AC2045" i="11"/>
  <c r="AB2045" i="11"/>
  <c r="AA2045" i="11"/>
  <c r="Z2045" i="11"/>
  <c r="Y2045" i="11"/>
  <c r="X2045" i="11"/>
  <c r="W2045" i="11"/>
  <c r="V2045" i="11"/>
  <c r="U2045" i="11"/>
  <c r="T2045" i="11"/>
  <c r="S2045" i="11"/>
  <c r="R2045" i="11"/>
  <c r="Q2045" i="11"/>
  <c r="P2045" i="11"/>
  <c r="O2045" i="11"/>
  <c r="N2045" i="11"/>
  <c r="M2045" i="11"/>
  <c r="L2045" i="11"/>
  <c r="K2045" i="11"/>
  <c r="J2045" i="11"/>
  <c r="AC189" i="11"/>
  <c r="AB189" i="11"/>
  <c r="AA189" i="11"/>
  <c r="Z189" i="11"/>
  <c r="Y189" i="11"/>
  <c r="X189" i="11"/>
  <c r="W189" i="11"/>
  <c r="V189" i="11"/>
  <c r="U189" i="11"/>
  <c r="T189" i="11"/>
  <c r="S189" i="11"/>
  <c r="R189" i="11"/>
  <c r="Q189" i="11"/>
  <c r="P189" i="11"/>
  <c r="O189" i="11"/>
  <c r="N189" i="11"/>
  <c r="M189" i="11"/>
  <c r="L189" i="11"/>
  <c r="K189" i="11"/>
  <c r="J189" i="11"/>
  <c r="AC92" i="11"/>
  <c r="AB92" i="11"/>
  <c r="AA92" i="11"/>
  <c r="Z92" i="11"/>
  <c r="Y92" i="11"/>
  <c r="X92" i="11"/>
  <c r="W92" i="11"/>
  <c r="V92" i="11"/>
  <c r="U92" i="11"/>
  <c r="T92" i="11"/>
  <c r="S92" i="11"/>
  <c r="R92" i="11"/>
  <c r="Q92" i="11"/>
  <c r="P92" i="11"/>
  <c r="O92" i="11"/>
  <c r="N92" i="11"/>
  <c r="M92" i="11"/>
  <c r="L92" i="11"/>
  <c r="K92" i="11"/>
  <c r="J92" i="11"/>
  <c r="AC687" i="11"/>
  <c r="AB687" i="11"/>
  <c r="AA687" i="11"/>
  <c r="Z687" i="11"/>
  <c r="Y687" i="11"/>
  <c r="X687" i="11"/>
  <c r="W687" i="11"/>
  <c r="V687" i="11"/>
  <c r="U687" i="11"/>
  <c r="T687" i="11"/>
  <c r="S687" i="11"/>
  <c r="R687" i="11"/>
  <c r="Q687" i="11"/>
  <c r="P687" i="11"/>
  <c r="O687" i="11"/>
  <c r="N687" i="11"/>
  <c r="M687" i="11"/>
  <c r="L687" i="11"/>
  <c r="K687" i="11"/>
  <c r="J687" i="11"/>
  <c r="AC911" i="11"/>
  <c r="AB911" i="11"/>
  <c r="AA911" i="11"/>
  <c r="Z911" i="11"/>
  <c r="Y911" i="11"/>
  <c r="X911" i="11"/>
  <c r="W911" i="11"/>
  <c r="V911" i="11"/>
  <c r="U911" i="11"/>
  <c r="T911" i="11"/>
  <c r="S911" i="11"/>
  <c r="R911" i="11"/>
  <c r="Q911" i="11"/>
  <c r="P911" i="11"/>
  <c r="O911" i="11"/>
  <c r="N911" i="11"/>
  <c r="M911" i="11"/>
  <c r="L911" i="11"/>
  <c r="K911" i="11"/>
  <c r="J911" i="11"/>
  <c r="AC1076" i="11"/>
  <c r="AB1076" i="11"/>
  <c r="AA1076" i="11"/>
  <c r="Z1076" i="11"/>
  <c r="Y1076" i="11"/>
  <c r="X1076" i="11"/>
  <c r="W1076" i="11"/>
  <c r="V1076" i="11"/>
  <c r="U1076" i="11"/>
  <c r="T1076" i="11"/>
  <c r="S1076" i="11"/>
  <c r="R1076" i="11"/>
  <c r="Q1076" i="11"/>
  <c r="P1076" i="11"/>
  <c r="O1076" i="11"/>
  <c r="N1076" i="11"/>
  <c r="M1076" i="11"/>
  <c r="L1076" i="11"/>
  <c r="K1076" i="11"/>
  <c r="J1076" i="11"/>
  <c r="AC91" i="11"/>
  <c r="AB91" i="11"/>
  <c r="AA91" i="11"/>
  <c r="Z91" i="11"/>
  <c r="Y91" i="11"/>
  <c r="X91" i="11"/>
  <c r="W91" i="11"/>
  <c r="V91" i="11"/>
  <c r="U91" i="11"/>
  <c r="T91" i="11"/>
  <c r="S91" i="11"/>
  <c r="R91" i="11"/>
  <c r="Q91" i="11"/>
  <c r="P91" i="11"/>
  <c r="O91" i="11"/>
  <c r="N91" i="11"/>
  <c r="M91" i="11"/>
  <c r="L91" i="11"/>
  <c r="K91" i="11"/>
  <c r="J91" i="11"/>
  <c r="AC90" i="11"/>
  <c r="AB90" i="11"/>
  <c r="AA90" i="11"/>
  <c r="Z90" i="11"/>
  <c r="Y90" i="11"/>
  <c r="X90" i="11"/>
  <c r="W90" i="11"/>
  <c r="V90" i="11"/>
  <c r="U90" i="11"/>
  <c r="T90" i="11"/>
  <c r="S90" i="11"/>
  <c r="R90" i="11"/>
  <c r="Q90" i="11"/>
  <c r="P90" i="11"/>
  <c r="O90" i="11"/>
  <c r="N90" i="11"/>
  <c r="M90" i="11"/>
  <c r="L90" i="11"/>
  <c r="K90" i="11"/>
  <c r="J90" i="11"/>
  <c r="AC89" i="11"/>
  <c r="AB89" i="11"/>
  <c r="AA89" i="11"/>
  <c r="Z89" i="11"/>
  <c r="Y89" i="11"/>
  <c r="X89" i="11"/>
  <c r="W89" i="11"/>
  <c r="V89" i="11"/>
  <c r="U89" i="11"/>
  <c r="T89" i="11"/>
  <c r="S89" i="11"/>
  <c r="R89" i="11"/>
  <c r="Q89" i="11"/>
  <c r="P89" i="11"/>
  <c r="O89" i="11"/>
  <c r="N89" i="11"/>
  <c r="M89" i="11"/>
  <c r="L89" i="11"/>
  <c r="K89" i="11"/>
  <c r="J89" i="11"/>
  <c r="AC261" i="11"/>
  <c r="AB261" i="11"/>
  <c r="AA261" i="11"/>
  <c r="Z261" i="11"/>
  <c r="Y261" i="11"/>
  <c r="X261" i="11"/>
  <c r="W261" i="11"/>
  <c r="V261" i="11"/>
  <c r="U261" i="11"/>
  <c r="T261" i="11"/>
  <c r="S261" i="11"/>
  <c r="R261" i="11"/>
  <c r="Q261" i="11"/>
  <c r="P261" i="11"/>
  <c r="O261" i="11"/>
  <c r="N261" i="11"/>
  <c r="M261" i="11"/>
  <c r="L261" i="11"/>
  <c r="K261" i="11"/>
  <c r="J261" i="11"/>
  <c r="AC771" i="11"/>
  <c r="AB771" i="11"/>
  <c r="AA771" i="11"/>
  <c r="Z771" i="11"/>
  <c r="Y771" i="11"/>
  <c r="X771" i="11"/>
  <c r="W771" i="11"/>
  <c r="V771" i="11"/>
  <c r="U771" i="11"/>
  <c r="T771" i="11"/>
  <c r="S771" i="11"/>
  <c r="R771" i="11"/>
  <c r="Q771" i="11"/>
  <c r="P771" i="11"/>
  <c r="O771" i="11"/>
  <c r="N771" i="11"/>
  <c r="M771" i="11"/>
  <c r="L771" i="11"/>
  <c r="K771" i="11"/>
  <c r="J771" i="11"/>
  <c r="AC551" i="11"/>
  <c r="AB551" i="11"/>
  <c r="AA551" i="11"/>
  <c r="Z551" i="11"/>
  <c r="Y551" i="11"/>
  <c r="X551" i="11"/>
  <c r="W551" i="11"/>
  <c r="V551" i="11"/>
  <c r="U551" i="11"/>
  <c r="T551" i="11"/>
  <c r="S551" i="11"/>
  <c r="R551" i="11"/>
  <c r="Q551" i="11"/>
  <c r="P551" i="11"/>
  <c r="O551" i="11"/>
  <c r="N551" i="11"/>
  <c r="M551" i="11"/>
  <c r="L551" i="11"/>
  <c r="K551" i="11"/>
  <c r="J551" i="11"/>
  <c r="AC686" i="11"/>
  <c r="AB686" i="11"/>
  <c r="AA686" i="11"/>
  <c r="Z686" i="11"/>
  <c r="Y686" i="11"/>
  <c r="X686" i="11"/>
  <c r="W686" i="11"/>
  <c r="V686" i="11"/>
  <c r="U686" i="11"/>
  <c r="T686" i="11"/>
  <c r="S686" i="11"/>
  <c r="R686" i="11"/>
  <c r="Q686" i="11"/>
  <c r="P686" i="11"/>
  <c r="O686" i="11"/>
  <c r="N686" i="11"/>
  <c r="M686" i="11"/>
  <c r="L686" i="11"/>
  <c r="K686" i="11"/>
  <c r="J686" i="11"/>
  <c r="AC2044" i="11"/>
  <c r="AB2044" i="11"/>
  <c r="AA2044" i="11"/>
  <c r="Z2044" i="11"/>
  <c r="Y2044" i="11"/>
  <c r="X2044" i="11"/>
  <c r="W2044" i="11"/>
  <c r="V2044" i="11"/>
  <c r="U2044" i="11"/>
  <c r="T2044" i="11"/>
  <c r="S2044" i="11"/>
  <c r="R2044" i="11"/>
  <c r="Q2044" i="11"/>
  <c r="P2044" i="11"/>
  <c r="O2044" i="11"/>
  <c r="N2044" i="11"/>
  <c r="M2044" i="11"/>
  <c r="L2044" i="11"/>
  <c r="K2044" i="11"/>
  <c r="J2044" i="11"/>
  <c r="AC1153" i="11"/>
  <c r="AB1153" i="11"/>
  <c r="AA1153" i="11"/>
  <c r="Z1153" i="11"/>
  <c r="Y1153" i="11"/>
  <c r="X1153" i="11"/>
  <c r="W1153" i="11"/>
  <c r="V1153" i="11"/>
  <c r="U1153" i="11"/>
  <c r="T1153" i="11"/>
  <c r="S1153" i="11"/>
  <c r="R1153" i="11"/>
  <c r="Q1153" i="11"/>
  <c r="P1153" i="11"/>
  <c r="O1153" i="11"/>
  <c r="N1153" i="11"/>
  <c r="M1153" i="11"/>
  <c r="L1153" i="11"/>
  <c r="K1153" i="11"/>
  <c r="J1153" i="11"/>
  <c r="AC473" i="11"/>
  <c r="AB473" i="11"/>
  <c r="AA473" i="11"/>
  <c r="Z473" i="11"/>
  <c r="Y473" i="11"/>
  <c r="X473" i="11"/>
  <c r="W473" i="11"/>
  <c r="V473" i="11"/>
  <c r="U473" i="11"/>
  <c r="T473" i="11"/>
  <c r="S473" i="11"/>
  <c r="R473" i="11"/>
  <c r="Q473" i="11"/>
  <c r="P473" i="11"/>
  <c r="O473" i="11"/>
  <c r="N473" i="11"/>
  <c r="M473" i="11"/>
  <c r="L473" i="11"/>
  <c r="K473" i="11"/>
  <c r="J473" i="11"/>
  <c r="AC685" i="11"/>
  <c r="AB685" i="11"/>
  <c r="AA685" i="11"/>
  <c r="Z685" i="11"/>
  <c r="Y685" i="11"/>
  <c r="X685" i="11"/>
  <c r="W685" i="11"/>
  <c r="V685" i="11"/>
  <c r="U685" i="11"/>
  <c r="T685" i="11"/>
  <c r="S685" i="11"/>
  <c r="R685" i="11"/>
  <c r="Q685" i="11"/>
  <c r="P685" i="11"/>
  <c r="O685" i="11"/>
  <c r="N685" i="11"/>
  <c r="M685" i="11"/>
  <c r="L685" i="11"/>
  <c r="K685" i="11"/>
  <c r="J685" i="11"/>
  <c r="AC1662" i="11"/>
  <c r="AB1662" i="11"/>
  <c r="AA1662" i="11"/>
  <c r="Z1662" i="11"/>
  <c r="Y1662" i="11"/>
  <c r="X1662" i="11"/>
  <c r="W1662" i="11"/>
  <c r="V1662" i="11"/>
  <c r="U1662" i="11"/>
  <c r="T1662" i="11"/>
  <c r="S1662" i="11"/>
  <c r="R1662" i="11"/>
  <c r="Q1662" i="11"/>
  <c r="P1662" i="11"/>
  <c r="O1662" i="11"/>
  <c r="N1662" i="11"/>
  <c r="M1662" i="11"/>
  <c r="L1662" i="11"/>
  <c r="K1662" i="11"/>
  <c r="J1662" i="11"/>
  <c r="AC121" i="11"/>
  <c r="AB121" i="11"/>
  <c r="AA121" i="11"/>
  <c r="Z121" i="11"/>
  <c r="Y121" i="11"/>
  <c r="X121" i="11"/>
  <c r="W121" i="11"/>
  <c r="V121" i="11"/>
  <c r="U121" i="11"/>
  <c r="T121" i="11"/>
  <c r="S121" i="11"/>
  <c r="R121" i="11"/>
  <c r="Q121" i="11"/>
  <c r="P121" i="11"/>
  <c r="O121" i="11"/>
  <c r="N121" i="11"/>
  <c r="M121" i="11"/>
  <c r="L121" i="11"/>
  <c r="K121" i="11"/>
  <c r="J121" i="11"/>
  <c r="AC1226" i="11"/>
  <c r="AB1226" i="11"/>
  <c r="AA1226" i="11"/>
  <c r="Z1226" i="11"/>
  <c r="Y1226" i="11"/>
  <c r="X1226" i="11"/>
  <c r="W1226" i="11"/>
  <c r="V1226" i="11"/>
  <c r="U1226" i="11"/>
  <c r="T1226" i="11"/>
  <c r="S1226" i="11"/>
  <c r="R1226" i="11"/>
  <c r="Q1226" i="11"/>
  <c r="P1226" i="11"/>
  <c r="O1226" i="11"/>
  <c r="N1226" i="11"/>
  <c r="M1226" i="11"/>
  <c r="L1226" i="11"/>
  <c r="K1226" i="11"/>
  <c r="J1226" i="11"/>
  <c r="AC992" i="11"/>
  <c r="AB992" i="11"/>
  <c r="AA992" i="11"/>
  <c r="Z992" i="11"/>
  <c r="Y992" i="11"/>
  <c r="X992" i="11"/>
  <c r="W992" i="11"/>
  <c r="V992" i="11"/>
  <c r="U992" i="11"/>
  <c r="T992" i="11"/>
  <c r="S992" i="11"/>
  <c r="R992" i="11"/>
  <c r="Q992" i="11"/>
  <c r="P992" i="11"/>
  <c r="O992" i="11"/>
  <c r="N992" i="11"/>
  <c r="M992" i="11"/>
  <c r="L992" i="11"/>
  <c r="K992" i="11"/>
  <c r="J992" i="11"/>
  <c r="AC3" i="11"/>
  <c r="AB3" i="11"/>
  <c r="AA3" i="11"/>
  <c r="Z3" i="11"/>
  <c r="Y3" i="11"/>
  <c r="X3" i="11"/>
  <c r="W3" i="11"/>
  <c r="V3" i="11"/>
  <c r="U3" i="11"/>
  <c r="T3" i="11"/>
  <c r="S3" i="11"/>
  <c r="R3" i="11"/>
  <c r="Q3" i="11"/>
  <c r="P3" i="11"/>
  <c r="O3" i="11"/>
  <c r="N3" i="11"/>
  <c r="M3" i="11"/>
  <c r="L3" i="11"/>
  <c r="K3" i="11"/>
  <c r="J3" i="11"/>
  <c r="AC422" i="11"/>
  <c r="AB422" i="11"/>
  <c r="AA422" i="11"/>
  <c r="Z422" i="11"/>
  <c r="Y422" i="11"/>
  <c r="X422" i="11"/>
  <c r="W422" i="11"/>
  <c r="V422" i="11"/>
  <c r="U422" i="11"/>
  <c r="T422" i="11"/>
  <c r="S422" i="11"/>
  <c r="R422" i="11"/>
  <c r="Q422" i="11"/>
  <c r="P422" i="11"/>
  <c r="O422" i="11"/>
  <c r="N422" i="11"/>
  <c r="M422" i="11"/>
  <c r="L422" i="11"/>
  <c r="K422" i="11"/>
  <c r="J422" i="11"/>
  <c r="AC1860" i="11"/>
  <c r="AB1860" i="11"/>
  <c r="AA1860" i="11"/>
  <c r="Z1860" i="11"/>
  <c r="Y1860" i="11"/>
  <c r="X1860" i="11"/>
  <c r="W1860" i="11"/>
  <c r="V1860" i="11"/>
  <c r="U1860" i="11"/>
  <c r="T1860" i="11"/>
  <c r="S1860" i="11"/>
  <c r="R1860" i="11"/>
  <c r="Q1860" i="11"/>
  <c r="P1860" i="11"/>
  <c r="O1860" i="11"/>
  <c r="N1860" i="11"/>
  <c r="M1860" i="11"/>
  <c r="L1860" i="11"/>
  <c r="K1860" i="11"/>
  <c r="J1860" i="11"/>
  <c r="AC260" i="11"/>
  <c r="AB260" i="11"/>
  <c r="AA260" i="11"/>
  <c r="Z260" i="11"/>
  <c r="Y260" i="11"/>
  <c r="X260" i="11"/>
  <c r="W260" i="11"/>
  <c r="V260" i="11"/>
  <c r="U260" i="11"/>
  <c r="T260" i="11"/>
  <c r="S260" i="11"/>
  <c r="R260" i="11"/>
  <c r="Q260" i="11"/>
  <c r="P260" i="11"/>
  <c r="O260" i="11"/>
  <c r="N260" i="11"/>
  <c r="M260" i="11"/>
  <c r="L260" i="11"/>
  <c r="K260" i="11"/>
  <c r="J260" i="11"/>
  <c r="AC684" i="11"/>
  <c r="AB684" i="11"/>
  <c r="AA684" i="11"/>
  <c r="Z684" i="11"/>
  <c r="Y684" i="11"/>
  <c r="X684" i="11"/>
  <c r="W684" i="11"/>
  <c r="V684" i="11"/>
  <c r="U684" i="11"/>
  <c r="T684" i="11"/>
  <c r="S684" i="11"/>
  <c r="R684" i="11"/>
  <c r="Q684" i="11"/>
  <c r="P684" i="11"/>
  <c r="O684" i="11"/>
  <c r="N684" i="11"/>
  <c r="M684" i="11"/>
  <c r="L684" i="11"/>
  <c r="K684" i="11"/>
  <c r="J684" i="11"/>
  <c r="AC188" i="11"/>
  <c r="AB188" i="11"/>
  <c r="AA188" i="11"/>
  <c r="Z188" i="11"/>
  <c r="Y188" i="11"/>
  <c r="X188" i="11"/>
  <c r="W188" i="11"/>
  <c r="V188" i="11"/>
  <c r="U188" i="11"/>
  <c r="T188" i="11"/>
  <c r="S188" i="11"/>
  <c r="R188" i="11"/>
  <c r="Q188" i="11"/>
  <c r="P188" i="11"/>
  <c r="O188" i="11"/>
  <c r="N188" i="11"/>
  <c r="M188" i="11"/>
  <c r="L188" i="11"/>
  <c r="K188" i="11"/>
  <c r="J188" i="11"/>
  <c r="AC1532" i="11"/>
  <c r="AB1532" i="11"/>
  <c r="AA1532" i="11"/>
  <c r="Z1532" i="11"/>
  <c r="Y1532" i="11"/>
  <c r="X1532" i="11"/>
  <c r="W1532" i="11"/>
  <c r="V1532" i="11"/>
  <c r="U1532" i="11"/>
  <c r="T1532" i="11"/>
  <c r="S1532" i="11"/>
  <c r="R1532" i="11"/>
  <c r="Q1532" i="11"/>
  <c r="P1532" i="11"/>
  <c r="O1532" i="11"/>
  <c r="N1532" i="11"/>
  <c r="M1532" i="11"/>
  <c r="L1532" i="11"/>
  <c r="K1532" i="11"/>
  <c r="J1532" i="11"/>
  <c r="AC2087" i="11"/>
  <c r="AB2087" i="11"/>
  <c r="AA2087" i="11"/>
  <c r="Z2087" i="11"/>
  <c r="Y2087" i="11"/>
  <c r="X2087" i="11"/>
  <c r="W2087" i="11"/>
  <c r="V2087" i="11"/>
  <c r="U2087" i="11"/>
  <c r="T2087" i="11"/>
  <c r="S2087" i="11"/>
  <c r="R2087" i="11"/>
  <c r="Q2087" i="11"/>
  <c r="P2087" i="11"/>
  <c r="O2087" i="11"/>
  <c r="N2087" i="11"/>
  <c r="M2087" i="11"/>
  <c r="L2087" i="11"/>
  <c r="K2087" i="11"/>
  <c r="J2087" i="11"/>
  <c r="AC147" i="11"/>
  <c r="AB147" i="11"/>
  <c r="AA147" i="11"/>
  <c r="Z147" i="11"/>
  <c r="Y147" i="11"/>
  <c r="X147" i="11"/>
  <c r="W147" i="11"/>
  <c r="V147" i="11"/>
  <c r="U147" i="11"/>
  <c r="T147" i="11"/>
  <c r="S147" i="11"/>
  <c r="R147" i="11"/>
  <c r="Q147" i="11"/>
  <c r="P147" i="11"/>
  <c r="O147" i="11"/>
  <c r="N147" i="11"/>
  <c r="M147" i="11"/>
  <c r="L147" i="11"/>
  <c r="K147" i="11"/>
  <c r="J147" i="11"/>
  <c r="AC1764" i="11"/>
  <c r="AB1764" i="11"/>
  <c r="AA1764" i="11"/>
  <c r="Z1764" i="11"/>
  <c r="Y1764" i="11"/>
  <c r="X1764" i="11"/>
  <c r="W1764" i="11"/>
  <c r="V1764" i="11"/>
  <c r="U1764" i="11"/>
  <c r="T1764" i="11"/>
  <c r="S1764" i="11"/>
  <c r="R1764" i="11"/>
  <c r="Q1764" i="11"/>
  <c r="P1764" i="11"/>
  <c r="O1764" i="11"/>
  <c r="N1764" i="11"/>
  <c r="M1764" i="11"/>
  <c r="L1764" i="11"/>
  <c r="K1764" i="11"/>
  <c r="J1764" i="11"/>
  <c r="AC421" i="11"/>
  <c r="AB421" i="11"/>
  <c r="AA421" i="11"/>
  <c r="Z421" i="11"/>
  <c r="Y421" i="11"/>
  <c r="X421" i="11"/>
  <c r="W421" i="11"/>
  <c r="V421" i="11"/>
  <c r="U421" i="11"/>
  <c r="T421" i="11"/>
  <c r="S421" i="11"/>
  <c r="R421" i="11"/>
  <c r="Q421" i="11"/>
  <c r="P421" i="11"/>
  <c r="O421" i="11"/>
  <c r="N421" i="11"/>
  <c r="M421" i="11"/>
  <c r="L421" i="11"/>
  <c r="K421" i="11"/>
  <c r="J421" i="11"/>
  <c r="AC29" i="11"/>
  <c r="AB29" i="11"/>
  <c r="AA29" i="11"/>
  <c r="Z29" i="11"/>
  <c r="Y29" i="11"/>
  <c r="X29" i="11"/>
  <c r="W29" i="11"/>
  <c r="V29" i="11"/>
  <c r="U29" i="11"/>
  <c r="T29" i="11"/>
  <c r="S29" i="11"/>
  <c r="R29" i="11"/>
  <c r="Q29" i="11"/>
  <c r="P29" i="11"/>
  <c r="O29" i="11"/>
  <c r="N29" i="11"/>
  <c r="M29" i="11"/>
  <c r="L29" i="11"/>
  <c r="K29" i="11"/>
  <c r="J29" i="11"/>
  <c r="AC472" i="11"/>
  <c r="AB472" i="11"/>
  <c r="AA472" i="11"/>
  <c r="Z472" i="11"/>
  <c r="Y472" i="11"/>
  <c r="X472" i="11"/>
  <c r="W472" i="11"/>
  <c r="V472" i="11"/>
  <c r="U472" i="11"/>
  <c r="T472" i="11"/>
  <c r="S472" i="11"/>
  <c r="R472" i="11"/>
  <c r="Q472" i="11"/>
  <c r="P472" i="11"/>
  <c r="O472" i="11"/>
  <c r="N472" i="11"/>
  <c r="M472" i="11"/>
  <c r="L472" i="11"/>
  <c r="K472" i="11"/>
  <c r="J472" i="11"/>
  <c r="AC471" i="11"/>
  <c r="AB471" i="11"/>
  <c r="AA471" i="11"/>
  <c r="Z471" i="11"/>
  <c r="Y471" i="11"/>
  <c r="X471" i="11"/>
  <c r="W471" i="11"/>
  <c r="V471" i="11"/>
  <c r="U471" i="11"/>
  <c r="T471" i="11"/>
  <c r="S471" i="11"/>
  <c r="R471" i="11"/>
  <c r="Q471" i="11"/>
  <c r="P471" i="11"/>
  <c r="O471" i="11"/>
  <c r="N471" i="11"/>
  <c r="M471" i="11"/>
  <c r="L471" i="11"/>
  <c r="K471" i="11"/>
  <c r="J471" i="11"/>
  <c r="AC1152" i="11"/>
  <c r="AB1152" i="11"/>
  <c r="AA1152" i="11"/>
  <c r="Z1152" i="11"/>
  <c r="Y1152" i="11"/>
  <c r="X1152" i="11"/>
  <c r="W1152" i="11"/>
  <c r="V1152" i="11"/>
  <c r="U1152" i="11"/>
  <c r="T1152" i="11"/>
  <c r="S1152" i="11"/>
  <c r="R1152" i="11"/>
  <c r="Q1152" i="11"/>
  <c r="P1152" i="11"/>
  <c r="O1152" i="11"/>
  <c r="N1152" i="11"/>
  <c r="M1152" i="11"/>
  <c r="L1152" i="11"/>
  <c r="K1152" i="11"/>
  <c r="J1152" i="11"/>
  <c r="AC1151" i="11"/>
  <c r="AB1151" i="11"/>
  <c r="AA1151" i="11"/>
  <c r="Z1151" i="11"/>
  <c r="Y1151" i="11"/>
  <c r="X1151" i="11"/>
  <c r="W1151" i="11"/>
  <c r="V1151" i="11"/>
  <c r="U1151" i="11"/>
  <c r="T1151" i="11"/>
  <c r="S1151" i="11"/>
  <c r="R1151" i="11"/>
  <c r="Q1151" i="11"/>
  <c r="P1151" i="11"/>
  <c r="O1151" i="11"/>
  <c r="N1151" i="11"/>
  <c r="M1151" i="11"/>
  <c r="L1151" i="11"/>
  <c r="K1151" i="11"/>
  <c r="J1151" i="11"/>
  <c r="AC259" i="11"/>
  <c r="AB259" i="11"/>
  <c r="AA259" i="11"/>
  <c r="Z259" i="11"/>
  <c r="Y259" i="11"/>
  <c r="X259" i="11"/>
  <c r="W259" i="11"/>
  <c r="V259" i="11"/>
  <c r="U259" i="11"/>
  <c r="T259" i="11"/>
  <c r="S259" i="11"/>
  <c r="R259" i="11"/>
  <c r="Q259" i="11"/>
  <c r="P259" i="11"/>
  <c r="O259" i="11"/>
  <c r="N259" i="11"/>
  <c r="M259" i="11"/>
  <c r="L259" i="11"/>
  <c r="K259" i="11"/>
  <c r="J259" i="11"/>
  <c r="AC120" i="11"/>
  <c r="AB120" i="11"/>
  <c r="AA120" i="11"/>
  <c r="Z120" i="11"/>
  <c r="Y120" i="11"/>
  <c r="X120" i="11"/>
  <c r="W120" i="11"/>
  <c r="V120" i="11"/>
  <c r="U120" i="11"/>
  <c r="T120" i="11"/>
  <c r="S120" i="11"/>
  <c r="R120" i="11"/>
  <c r="Q120" i="11"/>
  <c r="P120" i="11"/>
  <c r="O120" i="11"/>
  <c r="N120" i="11"/>
  <c r="M120" i="11"/>
  <c r="L120" i="11"/>
  <c r="K120" i="11"/>
  <c r="J120" i="11"/>
  <c r="AC1859" i="11"/>
  <c r="AB1859" i="11"/>
  <c r="AA1859" i="11"/>
  <c r="Z1859" i="11"/>
  <c r="Y1859" i="11"/>
  <c r="X1859" i="11"/>
  <c r="W1859" i="11"/>
  <c r="V1859" i="11"/>
  <c r="U1859" i="11"/>
  <c r="T1859" i="11"/>
  <c r="S1859" i="11"/>
  <c r="R1859" i="11"/>
  <c r="Q1859" i="11"/>
  <c r="P1859" i="11"/>
  <c r="O1859" i="11"/>
  <c r="N1859" i="11"/>
  <c r="M1859" i="11"/>
  <c r="L1859" i="11"/>
  <c r="K1859" i="11"/>
  <c r="J1859" i="11"/>
  <c r="AC470" i="11"/>
  <c r="AB470" i="11"/>
  <c r="AA470" i="11"/>
  <c r="Z470" i="11"/>
  <c r="Y470" i="11"/>
  <c r="X470" i="11"/>
  <c r="W470" i="11"/>
  <c r="V470" i="11"/>
  <c r="U470" i="11"/>
  <c r="T470" i="11"/>
  <c r="S470" i="11"/>
  <c r="R470" i="11"/>
  <c r="Q470" i="11"/>
  <c r="P470" i="11"/>
  <c r="O470" i="11"/>
  <c r="N470" i="11"/>
  <c r="M470" i="11"/>
  <c r="L470" i="11"/>
  <c r="K470" i="11"/>
  <c r="J470" i="11"/>
  <c r="AC420" i="11"/>
  <c r="AB420" i="11"/>
  <c r="AA420" i="11"/>
  <c r="Z420" i="11"/>
  <c r="Y420" i="11"/>
  <c r="X420" i="11"/>
  <c r="W420" i="11"/>
  <c r="V420" i="11"/>
  <c r="U420" i="11"/>
  <c r="T420" i="11"/>
  <c r="S420" i="11"/>
  <c r="R420" i="11"/>
  <c r="Q420" i="11"/>
  <c r="P420" i="11"/>
  <c r="O420" i="11"/>
  <c r="N420" i="11"/>
  <c r="M420" i="11"/>
  <c r="L420" i="11"/>
  <c r="K420" i="11"/>
  <c r="J420" i="11"/>
  <c r="AC469" i="11"/>
  <c r="AB469" i="11"/>
  <c r="AA469" i="11"/>
  <c r="Z469" i="11"/>
  <c r="Y469" i="11"/>
  <c r="X469" i="11"/>
  <c r="W469" i="11"/>
  <c r="V469" i="11"/>
  <c r="U469" i="11"/>
  <c r="T469" i="11"/>
  <c r="S469" i="11"/>
  <c r="R469" i="11"/>
  <c r="Q469" i="11"/>
  <c r="P469" i="11"/>
  <c r="O469" i="11"/>
  <c r="N469" i="11"/>
  <c r="M469" i="11"/>
  <c r="L469" i="11"/>
  <c r="K469" i="11"/>
  <c r="J469" i="11"/>
  <c r="AC63" i="11"/>
  <c r="AB63" i="11"/>
  <c r="AA63" i="11"/>
  <c r="Z63" i="11"/>
  <c r="Y63" i="11"/>
  <c r="X63" i="11"/>
  <c r="W63" i="11"/>
  <c r="V63" i="11"/>
  <c r="U63" i="11"/>
  <c r="T63" i="11"/>
  <c r="S63" i="11"/>
  <c r="R63" i="11"/>
  <c r="Q63" i="11"/>
  <c r="P63" i="11"/>
  <c r="O63" i="11"/>
  <c r="N63" i="11"/>
  <c r="M63" i="11"/>
  <c r="L63" i="11"/>
  <c r="K63" i="11"/>
  <c r="J63" i="11"/>
  <c r="AC119" i="11"/>
  <c r="AB119" i="11"/>
  <c r="AA119" i="11"/>
  <c r="Z119" i="11"/>
  <c r="Y119" i="11"/>
  <c r="X119" i="11"/>
  <c r="W119" i="11"/>
  <c r="V119" i="11"/>
  <c r="U119" i="11"/>
  <c r="T119" i="11"/>
  <c r="S119" i="11"/>
  <c r="R119" i="11"/>
  <c r="Q119" i="11"/>
  <c r="P119" i="11"/>
  <c r="O119" i="11"/>
  <c r="N119" i="11"/>
  <c r="M119" i="11"/>
  <c r="L119" i="11"/>
  <c r="K119" i="11"/>
  <c r="J119" i="11"/>
  <c r="AC258" i="11"/>
  <c r="AB258" i="11"/>
  <c r="AA258" i="11"/>
  <c r="Z258" i="11"/>
  <c r="Y258" i="11"/>
  <c r="X258" i="11"/>
  <c r="W258" i="11"/>
  <c r="V258" i="11"/>
  <c r="U258" i="11"/>
  <c r="T258" i="11"/>
  <c r="S258" i="11"/>
  <c r="R258" i="11"/>
  <c r="Q258" i="11"/>
  <c r="P258" i="11"/>
  <c r="O258" i="11"/>
  <c r="N258" i="11"/>
  <c r="M258" i="11"/>
  <c r="L258" i="11"/>
  <c r="K258" i="11"/>
  <c r="J258" i="11"/>
  <c r="AC257" i="11"/>
  <c r="AB257" i="11"/>
  <c r="AA257" i="11"/>
  <c r="Z257" i="11"/>
  <c r="Y257" i="11"/>
  <c r="X257" i="11"/>
  <c r="W257" i="11"/>
  <c r="V257" i="11"/>
  <c r="U257" i="11"/>
  <c r="T257" i="11"/>
  <c r="S257" i="11"/>
  <c r="R257" i="11"/>
  <c r="Q257" i="11"/>
  <c r="P257" i="11"/>
  <c r="O257" i="11"/>
  <c r="N257" i="11"/>
  <c r="M257" i="11"/>
  <c r="L257" i="11"/>
  <c r="K257" i="11"/>
  <c r="J257" i="11"/>
  <c r="AC550" i="11"/>
  <c r="AB550" i="11"/>
  <c r="AA550" i="11"/>
  <c r="Z550" i="11"/>
  <c r="Y550" i="11"/>
  <c r="X550" i="11"/>
  <c r="W550" i="11"/>
  <c r="V550" i="11"/>
  <c r="U550" i="11"/>
  <c r="T550" i="11"/>
  <c r="S550" i="11"/>
  <c r="R550" i="11"/>
  <c r="Q550" i="11"/>
  <c r="P550" i="11"/>
  <c r="O550" i="11"/>
  <c r="N550" i="11"/>
  <c r="M550" i="11"/>
  <c r="L550" i="11"/>
  <c r="K550" i="11"/>
  <c r="J550" i="11"/>
  <c r="AC221" i="11"/>
  <c r="AB221" i="11"/>
  <c r="AA221" i="11"/>
  <c r="Z221" i="11"/>
  <c r="Y221" i="11"/>
  <c r="X221" i="11"/>
  <c r="W221" i="11"/>
  <c r="V221" i="11"/>
  <c r="U221" i="11"/>
  <c r="T221" i="11"/>
  <c r="S221" i="11"/>
  <c r="R221" i="11"/>
  <c r="Q221" i="11"/>
  <c r="P221" i="11"/>
  <c r="O221" i="11"/>
  <c r="N221" i="11"/>
  <c r="M221" i="11"/>
  <c r="L221" i="11"/>
  <c r="K221" i="11"/>
  <c r="J221" i="11"/>
  <c r="AC1075" i="11"/>
  <c r="AB1075" i="11"/>
  <c r="AA1075" i="11"/>
  <c r="Z1075" i="11"/>
  <c r="Y1075" i="11"/>
  <c r="X1075" i="11"/>
  <c r="W1075" i="11"/>
  <c r="V1075" i="11"/>
  <c r="U1075" i="11"/>
  <c r="T1075" i="11"/>
  <c r="S1075" i="11"/>
  <c r="R1075" i="11"/>
  <c r="Q1075" i="11"/>
  <c r="P1075" i="11"/>
  <c r="O1075" i="11"/>
  <c r="N1075" i="11"/>
  <c r="M1075" i="11"/>
  <c r="L1075" i="11"/>
  <c r="K1075" i="11"/>
  <c r="J1075" i="11"/>
  <c r="AC468" i="11"/>
  <c r="AB468" i="11"/>
  <c r="AA468" i="11"/>
  <c r="Z468" i="11"/>
  <c r="Y468" i="11"/>
  <c r="X468" i="11"/>
  <c r="W468" i="11"/>
  <c r="V468" i="11"/>
  <c r="U468" i="11"/>
  <c r="T468" i="11"/>
  <c r="S468" i="11"/>
  <c r="R468" i="11"/>
  <c r="Q468" i="11"/>
  <c r="P468" i="11"/>
  <c r="O468" i="11"/>
  <c r="N468" i="11"/>
  <c r="M468" i="11"/>
  <c r="L468" i="11"/>
  <c r="K468" i="11"/>
  <c r="J468" i="11"/>
  <c r="AC2115" i="11"/>
  <c r="AB2115" i="11"/>
  <c r="AA2115" i="11"/>
  <c r="Z2115" i="11"/>
  <c r="Y2115" i="11"/>
  <c r="X2115" i="11"/>
  <c r="W2115" i="11"/>
  <c r="V2115" i="11"/>
  <c r="U2115" i="11"/>
  <c r="T2115" i="11"/>
  <c r="S2115" i="11"/>
  <c r="R2115" i="11"/>
  <c r="Q2115" i="11"/>
  <c r="P2115" i="11"/>
  <c r="O2115" i="11"/>
  <c r="N2115" i="11"/>
  <c r="M2115" i="11"/>
  <c r="L2115" i="11"/>
  <c r="K2115" i="11"/>
  <c r="J2115" i="11"/>
  <c r="AC1613" i="11"/>
  <c r="AB1613" i="11"/>
  <c r="AA1613" i="11"/>
  <c r="Z1613" i="11"/>
  <c r="Y1613" i="11"/>
  <c r="X1613" i="11"/>
  <c r="W1613" i="11"/>
  <c r="V1613" i="11"/>
  <c r="U1613" i="11"/>
  <c r="T1613" i="11"/>
  <c r="S1613" i="11"/>
  <c r="R1613" i="11"/>
  <c r="Q1613" i="11"/>
  <c r="P1613" i="11"/>
  <c r="O1613" i="11"/>
  <c r="N1613" i="11"/>
  <c r="M1613" i="11"/>
  <c r="L1613" i="11"/>
  <c r="K1613" i="11"/>
  <c r="J1613" i="11"/>
  <c r="AC683" i="11"/>
  <c r="AB683" i="11"/>
  <c r="AA683" i="11"/>
  <c r="Z683" i="11"/>
  <c r="Y683" i="11"/>
  <c r="X683" i="11"/>
  <c r="W683" i="11"/>
  <c r="V683" i="11"/>
  <c r="U683" i="11"/>
  <c r="T683" i="11"/>
  <c r="S683" i="11"/>
  <c r="R683" i="11"/>
  <c r="Q683" i="11"/>
  <c r="P683" i="11"/>
  <c r="O683" i="11"/>
  <c r="N683" i="11"/>
  <c r="M683" i="11"/>
  <c r="L683" i="11"/>
  <c r="K683" i="11"/>
  <c r="J683" i="11"/>
  <c r="AC770" i="11"/>
  <c r="AB770" i="11"/>
  <c r="AA770" i="11"/>
  <c r="Z770" i="11"/>
  <c r="Y770" i="11"/>
  <c r="X770" i="11"/>
  <c r="W770" i="11"/>
  <c r="V770" i="11"/>
  <c r="U770" i="11"/>
  <c r="T770" i="11"/>
  <c r="S770" i="11"/>
  <c r="R770" i="11"/>
  <c r="Q770" i="11"/>
  <c r="P770" i="11"/>
  <c r="O770" i="11"/>
  <c r="N770" i="11"/>
  <c r="M770" i="11"/>
  <c r="L770" i="11"/>
  <c r="K770" i="11"/>
  <c r="J770" i="11"/>
  <c r="AC549" i="11"/>
  <c r="AB549" i="11"/>
  <c r="AA549" i="11"/>
  <c r="Z549" i="11"/>
  <c r="Y549" i="11"/>
  <c r="X549" i="11"/>
  <c r="W549" i="11"/>
  <c r="V549" i="11"/>
  <c r="U549" i="11"/>
  <c r="T549" i="11"/>
  <c r="S549" i="11"/>
  <c r="R549" i="11"/>
  <c r="Q549" i="11"/>
  <c r="P549" i="11"/>
  <c r="O549" i="11"/>
  <c r="N549" i="11"/>
  <c r="M549" i="11"/>
  <c r="L549" i="11"/>
  <c r="K549" i="11"/>
  <c r="J549" i="11"/>
  <c r="AC1661" i="11"/>
  <c r="AB1661" i="11"/>
  <c r="AA1661" i="11"/>
  <c r="Z1661" i="11"/>
  <c r="Y1661" i="11"/>
  <c r="X1661" i="11"/>
  <c r="W1661" i="11"/>
  <c r="V1661" i="11"/>
  <c r="U1661" i="11"/>
  <c r="T1661" i="11"/>
  <c r="S1661" i="11"/>
  <c r="R1661" i="11"/>
  <c r="Q1661" i="11"/>
  <c r="P1661" i="11"/>
  <c r="O1661" i="11"/>
  <c r="N1661" i="11"/>
  <c r="M1661" i="11"/>
  <c r="L1661" i="11"/>
  <c r="K1661" i="11"/>
  <c r="J1661" i="11"/>
  <c r="AC1660" i="11"/>
  <c r="AB1660" i="11"/>
  <c r="AA1660" i="11"/>
  <c r="Z1660" i="11"/>
  <c r="Y1660" i="11"/>
  <c r="X1660" i="11"/>
  <c r="W1660" i="11"/>
  <c r="V1660" i="11"/>
  <c r="U1660" i="11"/>
  <c r="T1660" i="11"/>
  <c r="S1660" i="11"/>
  <c r="R1660" i="11"/>
  <c r="Q1660" i="11"/>
  <c r="P1660" i="11"/>
  <c r="O1660" i="11"/>
  <c r="N1660" i="11"/>
  <c r="M1660" i="11"/>
  <c r="L1660" i="11"/>
  <c r="K1660" i="11"/>
  <c r="J1660" i="11"/>
  <c r="AC682" i="11"/>
  <c r="AB682" i="11"/>
  <c r="AA682" i="11"/>
  <c r="Z682" i="11"/>
  <c r="Y682" i="11"/>
  <c r="X682" i="11"/>
  <c r="W682" i="11"/>
  <c r="V682" i="11"/>
  <c r="U682" i="11"/>
  <c r="T682" i="11"/>
  <c r="S682" i="11"/>
  <c r="R682" i="11"/>
  <c r="Q682" i="11"/>
  <c r="P682" i="11"/>
  <c r="O682" i="11"/>
  <c r="N682" i="11"/>
  <c r="M682" i="11"/>
  <c r="L682" i="11"/>
  <c r="K682" i="11"/>
  <c r="J682" i="11"/>
  <c r="AC28" i="11"/>
  <c r="AB28" i="11"/>
  <c r="AA28" i="11"/>
  <c r="Z28" i="11"/>
  <c r="Y28" i="11"/>
  <c r="X28" i="11"/>
  <c r="W28" i="11"/>
  <c r="V28" i="11"/>
  <c r="U28" i="11"/>
  <c r="T28" i="11"/>
  <c r="S28" i="11"/>
  <c r="R28" i="11"/>
  <c r="Q28" i="11"/>
  <c r="P28" i="11"/>
  <c r="O28" i="11"/>
  <c r="N28" i="11"/>
  <c r="M28" i="11"/>
  <c r="L28" i="11"/>
  <c r="K28" i="11"/>
  <c r="J28" i="11"/>
  <c r="AC146" i="11"/>
  <c r="AB146" i="11"/>
  <c r="AA146" i="11"/>
  <c r="Z146" i="11"/>
  <c r="Y146" i="11"/>
  <c r="X146" i="11"/>
  <c r="W146" i="11"/>
  <c r="V146" i="11"/>
  <c r="U146" i="11"/>
  <c r="T146" i="11"/>
  <c r="S146" i="11"/>
  <c r="R146" i="11"/>
  <c r="Q146" i="11"/>
  <c r="P146" i="11"/>
  <c r="O146" i="11"/>
  <c r="N146" i="11"/>
  <c r="M146" i="11"/>
  <c r="L146" i="11"/>
  <c r="K146" i="11"/>
  <c r="J146" i="11"/>
  <c r="AC548" i="11"/>
  <c r="AB548" i="11"/>
  <c r="AA548" i="11"/>
  <c r="Z548" i="11"/>
  <c r="Y548" i="11"/>
  <c r="X548" i="11"/>
  <c r="W548" i="11"/>
  <c r="V548" i="11"/>
  <c r="U548" i="11"/>
  <c r="T548" i="11"/>
  <c r="S548" i="11"/>
  <c r="R548" i="11"/>
  <c r="Q548" i="11"/>
  <c r="P548" i="11"/>
  <c r="O548" i="11"/>
  <c r="N548" i="11"/>
  <c r="M548" i="11"/>
  <c r="L548" i="11"/>
  <c r="K548" i="11"/>
  <c r="J548" i="11"/>
  <c r="AC769" i="11"/>
  <c r="AB769" i="11"/>
  <c r="AA769" i="11"/>
  <c r="Z769" i="11"/>
  <c r="Y769" i="11"/>
  <c r="X769" i="11"/>
  <c r="W769" i="11"/>
  <c r="V769" i="11"/>
  <c r="U769" i="11"/>
  <c r="T769" i="11"/>
  <c r="S769" i="11"/>
  <c r="R769" i="11"/>
  <c r="Q769" i="11"/>
  <c r="P769" i="11"/>
  <c r="O769" i="11"/>
  <c r="N769" i="11"/>
  <c r="M769" i="11"/>
  <c r="L769" i="11"/>
  <c r="K769" i="11"/>
  <c r="J769" i="11"/>
  <c r="AC88" i="11"/>
  <c r="AB88" i="11"/>
  <c r="AA88" i="11"/>
  <c r="Z88" i="11"/>
  <c r="Y88" i="11"/>
  <c r="X88" i="11"/>
  <c r="W88" i="11"/>
  <c r="V88" i="11"/>
  <c r="U88" i="11"/>
  <c r="T88" i="11"/>
  <c r="S88" i="11"/>
  <c r="R88" i="11"/>
  <c r="Q88" i="11"/>
  <c r="P88" i="11"/>
  <c r="O88" i="11"/>
  <c r="N88" i="11"/>
  <c r="M88" i="11"/>
  <c r="L88" i="11"/>
  <c r="K88" i="11"/>
  <c r="J88" i="11"/>
  <c r="AC681" i="11"/>
  <c r="AB681" i="11"/>
  <c r="AA681" i="11"/>
  <c r="Z681" i="11"/>
  <c r="Y681" i="11"/>
  <c r="X681" i="11"/>
  <c r="W681" i="11"/>
  <c r="V681" i="11"/>
  <c r="U681" i="11"/>
  <c r="T681" i="11"/>
  <c r="S681" i="11"/>
  <c r="R681" i="11"/>
  <c r="Q681" i="11"/>
  <c r="P681" i="11"/>
  <c r="O681" i="11"/>
  <c r="N681" i="11"/>
  <c r="M681" i="11"/>
  <c r="L681" i="11"/>
  <c r="K681" i="11"/>
  <c r="J681" i="11"/>
  <c r="AC467" i="11"/>
  <c r="AB467" i="11"/>
  <c r="AA467" i="11"/>
  <c r="Z467" i="11"/>
  <c r="Y467" i="11"/>
  <c r="X467" i="11"/>
  <c r="W467" i="11"/>
  <c r="V467" i="11"/>
  <c r="U467" i="11"/>
  <c r="T467" i="11"/>
  <c r="S467" i="11"/>
  <c r="R467" i="11"/>
  <c r="Q467" i="11"/>
  <c r="P467" i="11"/>
  <c r="O467" i="11"/>
  <c r="N467" i="11"/>
  <c r="M467" i="11"/>
  <c r="L467" i="11"/>
  <c r="K467" i="11"/>
  <c r="J467" i="11"/>
  <c r="AC2199" i="11"/>
  <c r="AB2199" i="11"/>
  <c r="AA2199" i="11"/>
  <c r="Z2199" i="11"/>
  <c r="Y2199" i="11"/>
  <c r="X2199" i="11"/>
  <c r="W2199" i="11"/>
  <c r="V2199" i="11"/>
  <c r="U2199" i="11"/>
  <c r="T2199" i="11"/>
  <c r="S2199" i="11"/>
  <c r="R2199" i="11"/>
  <c r="Q2199" i="11"/>
  <c r="P2199" i="11"/>
  <c r="O2199" i="11"/>
  <c r="N2199" i="11"/>
  <c r="M2199" i="11"/>
  <c r="L2199" i="11"/>
  <c r="K2199" i="11"/>
  <c r="J2199" i="11"/>
  <c r="AC220" i="11"/>
  <c r="AB220" i="11"/>
  <c r="AA220" i="11"/>
  <c r="Z220" i="11"/>
  <c r="Y220" i="11"/>
  <c r="X220" i="11"/>
  <c r="W220" i="11"/>
  <c r="V220" i="11"/>
  <c r="U220" i="11"/>
  <c r="T220" i="11"/>
  <c r="S220" i="11"/>
  <c r="R220" i="11"/>
  <c r="Q220" i="11"/>
  <c r="P220" i="11"/>
  <c r="O220" i="11"/>
  <c r="N220" i="11"/>
  <c r="M220" i="11"/>
  <c r="L220" i="11"/>
  <c r="K220" i="11"/>
  <c r="J220" i="11"/>
  <c r="AC62" i="11"/>
  <c r="AB62" i="11"/>
  <c r="AA62" i="11"/>
  <c r="Z62" i="11"/>
  <c r="Y62" i="11"/>
  <c r="X62" i="11"/>
  <c r="W62" i="11"/>
  <c r="V62" i="11"/>
  <c r="U62" i="11"/>
  <c r="T62" i="11"/>
  <c r="S62" i="11"/>
  <c r="R62" i="11"/>
  <c r="Q62" i="11"/>
  <c r="P62" i="11"/>
  <c r="O62" i="11"/>
  <c r="N62" i="11"/>
  <c r="M62" i="11"/>
  <c r="L62" i="11"/>
  <c r="K62" i="11"/>
  <c r="J62" i="11"/>
  <c r="AC145" i="11"/>
  <c r="AB145" i="11"/>
  <c r="AA145" i="11"/>
  <c r="Z145" i="11"/>
  <c r="Y145" i="11"/>
  <c r="X145" i="11"/>
  <c r="W145" i="11"/>
  <c r="V145" i="11"/>
  <c r="U145" i="11"/>
  <c r="T145" i="11"/>
  <c r="S145" i="11"/>
  <c r="R145" i="11"/>
  <c r="Q145" i="11"/>
  <c r="P145" i="11"/>
  <c r="O145" i="11"/>
  <c r="N145" i="11"/>
  <c r="M145" i="11"/>
  <c r="L145" i="11"/>
  <c r="K145" i="11"/>
  <c r="J145" i="11"/>
  <c r="AC61" i="11"/>
  <c r="AB61" i="11"/>
  <c r="AA61" i="11"/>
  <c r="Z61" i="11"/>
  <c r="Y61" i="11"/>
  <c r="X61" i="11"/>
  <c r="W61" i="11"/>
  <c r="V61" i="11"/>
  <c r="U61" i="11"/>
  <c r="T61" i="11"/>
  <c r="S61" i="11"/>
  <c r="R61" i="11"/>
  <c r="Q61" i="11"/>
  <c r="P61" i="11"/>
  <c r="O61" i="11"/>
  <c r="N61" i="11"/>
  <c r="M61" i="11"/>
  <c r="L61" i="11"/>
  <c r="K61" i="11"/>
  <c r="J61" i="11"/>
  <c r="AC87" i="11"/>
  <c r="AB87" i="11"/>
  <c r="AA87" i="11"/>
  <c r="Z87" i="11"/>
  <c r="Y87" i="11"/>
  <c r="X87" i="11"/>
  <c r="W87" i="11"/>
  <c r="V87" i="11"/>
  <c r="U87" i="11"/>
  <c r="T87" i="11"/>
  <c r="S87" i="11"/>
  <c r="R87" i="11"/>
  <c r="Q87" i="11"/>
  <c r="P87" i="11"/>
  <c r="O87" i="11"/>
  <c r="N87" i="11"/>
  <c r="M87" i="11"/>
  <c r="L87" i="11"/>
  <c r="K87" i="11"/>
  <c r="J87" i="11"/>
  <c r="AC842" i="11"/>
  <c r="AB842" i="11"/>
  <c r="AA842" i="11"/>
  <c r="Z842" i="11"/>
  <c r="Y842" i="11"/>
  <c r="X842" i="11"/>
  <c r="W842" i="11"/>
  <c r="V842" i="11"/>
  <c r="U842" i="11"/>
  <c r="T842" i="11"/>
  <c r="S842" i="11"/>
  <c r="R842" i="11"/>
  <c r="Q842" i="11"/>
  <c r="P842" i="11"/>
  <c r="O842" i="11"/>
  <c r="N842" i="11"/>
  <c r="M842" i="11"/>
  <c r="L842" i="11"/>
  <c r="K842" i="11"/>
  <c r="J842" i="11"/>
  <c r="AC344" i="11"/>
  <c r="AB344" i="11"/>
  <c r="AA344" i="11"/>
  <c r="Z344" i="11"/>
  <c r="Y344" i="11"/>
  <c r="X344" i="11"/>
  <c r="W344" i="11"/>
  <c r="V344" i="11"/>
  <c r="U344" i="11"/>
  <c r="T344" i="11"/>
  <c r="S344" i="11"/>
  <c r="R344" i="11"/>
  <c r="Q344" i="11"/>
  <c r="P344" i="11"/>
  <c r="O344" i="11"/>
  <c r="N344" i="11"/>
  <c r="M344" i="11"/>
  <c r="L344" i="11"/>
  <c r="K344" i="11"/>
  <c r="J344" i="11"/>
  <c r="AC1225" i="11"/>
  <c r="AB1225" i="11"/>
  <c r="AA1225" i="11"/>
  <c r="Z1225" i="11"/>
  <c r="Y1225" i="11"/>
  <c r="X1225" i="11"/>
  <c r="W1225" i="11"/>
  <c r="V1225" i="11"/>
  <c r="U1225" i="11"/>
  <c r="T1225" i="11"/>
  <c r="S1225" i="11"/>
  <c r="R1225" i="11"/>
  <c r="Q1225" i="11"/>
  <c r="P1225" i="11"/>
  <c r="O1225" i="11"/>
  <c r="N1225" i="11"/>
  <c r="M1225" i="11"/>
  <c r="L1225" i="11"/>
  <c r="K1225" i="11"/>
  <c r="J1225" i="11"/>
  <c r="AC1712" i="11"/>
  <c r="AB1712" i="11"/>
  <c r="AA1712" i="11"/>
  <c r="Z1712" i="11"/>
  <c r="Y1712" i="11"/>
  <c r="X1712" i="11"/>
  <c r="W1712" i="11"/>
  <c r="V1712" i="11"/>
  <c r="U1712" i="11"/>
  <c r="T1712" i="11"/>
  <c r="S1712" i="11"/>
  <c r="R1712" i="11"/>
  <c r="Q1712" i="11"/>
  <c r="P1712" i="11"/>
  <c r="O1712" i="11"/>
  <c r="N1712" i="11"/>
  <c r="M1712" i="11"/>
  <c r="L1712" i="11"/>
  <c r="K1712" i="11"/>
  <c r="J1712" i="11"/>
  <c r="AC1711" i="11"/>
  <c r="AB1711" i="11"/>
  <c r="AA1711" i="11"/>
  <c r="Z1711" i="11"/>
  <c r="Y1711" i="11"/>
  <c r="X1711" i="11"/>
  <c r="W1711" i="11"/>
  <c r="V1711" i="11"/>
  <c r="U1711" i="11"/>
  <c r="T1711" i="11"/>
  <c r="S1711" i="11"/>
  <c r="R1711" i="11"/>
  <c r="Q1711" i="11"/>
  <c r="P1711" i="11"/>
  <c r="O1711" i="11"/>
  <c r="N1711" i="11"/>
  <c r="M1711" i="11"/>
  <c r="L1711" i="11"/>
  <c r="K1711" i="11"/>
  <c r="J1711" i="11"/>
  <c r="AC1710" i="11"/>
  <c r="AB1710" i="11"/>
  <c r="AA1710" i="11"/>
  <c r="Z1710" i="11"/>
  <c r="Y1710" i="11"/>
  <c r="X1710" i="11"/>
  <c r="W1710" i="11"/>
  <c r="V1710" i="11"/>
  <c r="U1710" i="11"/>
  <c r="T1710" i="11"/>
  <c r="S1710" i="11"/>
  <c r="R1710" i="11"/>
  <c r="Q1710" i="11"/>
  <c r="P1710" i="11"/>
  <c r="O1710" i="11"/>
  <c r="N1710" i="11"/>
  <c r="M1710" i="11"/>
  <c r="L1710" i="11"/>
  <c r="K1710" i="11"/>
  <c r="J1710" i="11"/>
  <c r="AC1489" i="11"/>
  <c r="AB1489" i="11"/>
  <c r="AA1489" i="11"/>
  <c r="Z1489" i="11"/>
  <c r="Y1489" i="11"/>
  <c r="X1489" i="11"/>
  <c r="W1489" i="11"/>
  <c r="V1489" i="11"/>
  <c r="U1489" i="11"/>
  <c r="T1489" i="11"/>
  <c r="S1489" i="11"/>
  <c r="R1489" i="11"/>
  <c r="Q1489" i="11"/>
  <c r="P1489" i="11"/>
  <c r="O1489" i="11"/>
  <c r="N1489" i="11"/>
  <c r="M1489" i="11"/>
  <c r="L1489" i="11"/>
  <c r="K1489" i="11"/>
  <c r="J1489" i="11"/>
  <c r="AC1488" i="11"/>
  <c r="AB1488" i="11"/>
  <c r="AA1488" i="11"/>
  <c r="Z1488" i="11"/>
  <c r="Y1488" i="11"/>
  <c r="X1488" i="11"/>
  <c r="W1488" i="11"/>
  <c r="V1488" i="11"/>
  <c r="U1488" i="11"/>
  <c r="T1488" i="11"/>
  <c r="S1488" i="11"/>
  <c r="R1488" i="11"/>
  <c r="Q1488" i="11"/>
  <c r="P1488" i="11"/>
  <c r="O1488" i="11"/>
  <c r="N1488" i="11"/>
  <c r="M1488" i="11"/>
  <c r="L1488" i="11"/>
  <c r="K1488" i="11"/>
  <c r="J1488" i="11"/>
  <c r="AC27" i="11"/>
  <c r="AB27" i="11"/>
  <c r="AA27" i="11"/>
  <c r="Z27" i="11"/>
  <c r="Y27" i="11"/>
  <c r="X27" i="11"/>
  <c r="W27" i="11"/>
  <c r="V27" i="11"/>
  <c r="U27" i="11"/>
  <c r="T27" i="11"/>
  <c r="S27" i="11"/>
  <c r="R27" i="11"/>
  <c r="Q27" i="11"/>
  <c r="P27" i="11"/>
  <c r="O27" i="11"/>
  <c r="N27" i="11"/>
  <c r="M27" i="11"/>
  <c r="L27" i="11"/>
  <c r="K27" i="11"/>
  <c r="J27" i="11"/>
  <c r="AC1074" i="11"/>
  <c r="AB1074" i="11"/>
  <c r="AA1074" i="11"/>
  <c r="Z1074" i="11"/>
  <c r="Y1074" i="11"/>
  <c r="X1074" i="11"/>
  <c r="W1074" i="11"/>
  <c r="V1074" i="11"/>
  <c r="U1074" i="11"/>
  <c r="T1074" i="11"/>
  <c r="S1074" i="11"/>
  <c r="R1074" i="11"/>
  <c r="Q1074" i="11"/>
  <c r="P1074" i="11"/>
  <c r="O1074" i="11"/>
  <c r="N1074" i="11"/>
  <c r="M1074" i="11"/>
  <c r="L1074" i="11"/>
  <c r="K1074" i="11"/>
  <c r="J1074" i="11"/>
  <c r="AC256" i="11"/>
  <c r="AB256" i="11"/>
  <c r="AA256" i="11"/>
  <c r="Z256" i="11"/>
  <c r="Y256" i="11"/>
  <c r="X256" i="11"/>
  <c r="W256" i="11"/>
  <c r="V256" i="11"/>
  <c r="U256" i="11"/>
  <c r="T256" i="11"/>
  <c r="S256" i="11"/>
  <c r="R256" i="11"/>
  <c r="Q256" i="11"/>
  <c r="P256" i="11"/>
  <c r="O256" i="11"/>
  <c r="N256" i="11"/>
  <c r="M256" i="11"/>
  <c r="L256" i="11"/>
  <c r="K256" i="11"/>
  <c r="J256" i="11"/>
  <c r="AC60" i="11"/>
  <c r="AB60" i="11"/>
  <c r="AA60" i="11"/>
  <c r="Z60" i="11"/>
  <c r="Y60" i="11"/>
  <c r="X60" i="11"/>
  <c r="W60" i="11"/>
  <c r="V60" i="11"/>
  <c r="U60" i="11"/>
  <c r="T60" i="11"/>
  <c r="S60" i="11"/>
  <c r="R60" i="11"/>
  <c r="Q60" i="11"/>
  <c r="P60" i="11"/>
  <c r="O60" i="11"/>
  <c r="N60" i="11"/>
  <c r="M60" i="11"/>
  <c r="L60" i="11"/>
  <c r="K60" i="11"/>
  <c r="J60" i="11"/>
  <c r="AC59" i="11"/>
  <c r="AB59" i="11"/>
  <c r="AA59" i="11"/>
  <c r="Z59" i="11"/>
  <c r="Y59" i="11"/>
  <c r="X59" i="11"/>
  <c r="W59" i="11"/>
  <c r="V59" i="11"/>
  <c r="U59" i="11"/>
  <c r="T59" i="11"/>
  <c r="S59" i="11"/>
  <c r="R59" i="11"/>
  <c r="Q59" i="11"/>
  <c r="P59" i="11"/>
  <c r="O59" i="11"/>
  <c r="N59" i="11"/>
  <c r="M59" i="11"/>
  <c r="L59" i="11"/>
  <c r="K59" i="11"/>
  <c r="J59" i="11"/>
  <c r="AC58" i="11"/>
  <c r="AB58" i="11"/>
  <c r="AA58" i="11"/>
  <c r="Z58" i="11"/>
  <c r="Y58" i="11"/>
  <c r="X58" i="11"/>
  <c r="W58" i="11"/>
  <c r="V58" i="11"/>
  <c r="U58" i="11"/>
  <c r="T58" i="11"/>
  <c r="S58" i="11"/>
  <c r="R58" i="11"/>
  <c r="Q58" i="11"/>
  <c r="P58" i="11"/>
  <c r="O58" i="11"/>
  <c r="N58" i="11"/>
  <c r="M58" i="11"/>
  <c r="L58" i="11"/>
  <c r="K58" i="11"/>
  <c r="J58" i="11"/>
  <c r="AC910" i="11"/>
  <c r="AB910" i="11"/>
  <c r="AA910" i="11"/>
  <c r="Z910" i="11"/>
  <c r="Y910" i="11"/>
  <c r="X910" i="11"/>
  <c r="W910" i="11"/>
  <c r="V910" i="11"/>
  <c r="U910" i="11"/>
  <c r="T910" i="11"/>
  <c r="S910" i="11"/>
  <c r="R910" i="11"/>
  <c r="Q910" i="11"/>
  <c r="P910" i="11"/>
  <c r="O910" i="11"/>
  <c r="N910" i="11"/>
  <c r="M910" i="11"/>
  <c r="L910" i="11"/>
  <c r="K910" i="11"/>
  <c r="J910" i="11"/>
  <c r="AC255" i="11"/>
  <c r="AB255" i="11"/>
  <c r="AA255" i="11"/>
  <c r="Z255" i="11"/>
  <c r="Y255" i="11"/>
  <c r="X255" i="11"/>
  <c r="W255" i="11"/>
  <c r="V255" i="11"/>
  <c r="U255" i="11"/>
  <c r="T255" i="11"/>
  <c r="S255" i="11"/>
  <c r="R255" i="11"/>
  <c r="Q255" i="11"/>
  <c r="P255" i="11"/>
  <c r="O255" i="11"/>
  <c r="N255" i="11"/>
  <c r="M255" i="11"/>
  <c r="L255" i="11"/>
  <c r="K255" i="11"/>
  <c r="J255" i="11"/>
  <c r="AC419" i="11"/>
  <c r="AB419" i="11"/>
  <c r="AA419" i="11"/>
  <c r="Z419" i="11"/>
  <c r="Y419" i="11"/>
  <c r="X419" i="11"/>
  <c r="W419" i="11"/>
  <c r="V419" i="11"/>
  <c r="U419" i="11"/>
  <c r="T419" i="11"/>
  <c r="S419" i="11"/>
  <c r="R419" i="11"/>
  <c r="Q419" i="11"/>
  <c r="P419" i="11"/>
  <c r="O419" i="11"/>
  <c r="N419" i="11"/>
  <c r="M419" i="11"/>
  <c r="L419" i="11"/>
  <c r="K419" i="11"/>
  <c r="J419" i="11"/>
  <c r="AC1279" i="11"/>
  <c r="AB1279" i="11"/>
  <c r="AA1279" i="11"/>
  <c r="Z1279" i="11"/>
  <c r="Y1279" i="11"/>
  <c r="X1279" i="11"/>
  <c r="W1279" i="11"/>
  <c r="V1279" i="11"/>
  <c r="U1279" i="11"/>
  <c r="T1279" i="11"/>
  <c r="S1279" i="11"/>
  <c r="R1279" i="11"/>
  <c r="Q1279" i="11"/>
  <c r="P1279" i="11"/>
  <c r="O1279" i="11"/>
  <c r="N1279" i="11"/>
  <c r="M1279" i="11"/>
  <c r="L1279" i="11"/>
  <c r="K1279" i="11"/>
  <c r="J1279" i="11"/>
  <c r="AC841" i="11"/>
  <c r="AB841" i="11"/>
  <c r="AA841" i="11"/>
  <c r="Z841" i="11"/>
  <c r="Y841" i="11"/>
  <c r="X841" i="11"/>
  <c r="W841" i="11"/>
  <c r="V841" i="11"/>
  <c r="U841" i="11"/>
  <c r="T841" i="11"/>
  <c r="S841" i="11"/>
  <c r="R841" i="11"/>
  <c r="Q841" i="11"/>
  <c r="P841" i="11"/>
  <c r="O841" i="11"/>
  <c r="N841" i="11"/>
  <c r="M841" i="11"/>
  <c r="L841" i="11"/>
  <c r="K841" i="11"/>
  <c r="J841" i="11"/>
  <c r="AC383" i="11"/>
  <c r="AB383" i="11"/>
  <c r="AA383" i="11"/>
  <c r="Z383" i="11"/>
  <c r="Y383" i="11"/>
  <c r="X383" i="11"/>
  <c r="W383" i="11"/>
  <c r="V383" i="11"/>
  <c r="U383" i="11"/>
  <c r="T383" i="11"/>
  <c r="S383" i="11"/>
  <c r="R383" i="11"/>
  <c r="Q383" i="11"/>
  <c r="P383" i="11"/>
  <c r="O383" i="11"/>
  <c r="N383" i="11"/>
  <c r="M383" i="11"/>
  <c r="L383" i="11"/>
  <c r="K383" i="11"/>
  <c r="J383" i="11"/>
  <c r="AC382" i="11"/>
  <c r="AB382" i="11"/>
  <c r="AA382" i="11"/>
  <c r="Z382" i="11"/>
  <c r="Y382" i="11"/>
  <c r="X382" i="11"/>
  <c r="W382" i="11"/>
  <c r="V382" i="11"/>
  <c r="U382" i="11"/>
  <c r="T382" i="11"/>
  <c r="S382" i="11"/>
  <c r="R382" i="11"/>
  <c r="Q382" i="11"/>
  <c r="P382" i="11"/>
  <c r="O382" i="11"/>
  <c r="N382" i="11"/>
  <c r="M382" i="11"/>
  <c r="L382" i="11"/>
  <c r="K382" i="11"/>
  <c r="J382" i="11"/>
  <c r="AC343" i="11"/>
  <c r="AB343" i="11"/>
  <c r="AA343" i="11"/>
  <c r="Z343" i="11"/>
  <c r="Y343" i="11"/>
  <c r="X343" i="11"/>
  <c r="W343" i="11"/>
  <c r="V343" i="11"/>
  <c r="U343" i="11"/>
  <c r="T343" i="11"/>
  <c r="S343" i="11"/>
  <c r="R343" i="11"/>
  <c r="Q343" i="11"/>
  <c r="P343" i="11"/>
  <c r="O343" i="11"/>
  <c r="N343" i="11"/>
  <c r="M343" i="11"/>
  <c r="L343" i="11"/>
  <c r="K343" i="11"/>
  <c r="J343" i="11"/>
  <c r="AC187" i="11"/>
  <c r="AB187" i="11"/>
  <c r="AA187" i="11"/>
  <c r="Z187" i="11"/>
  <c r="Y187" i="11"/>
  <c r="X187" i="11"/>
  <c r="W187" i="11"/>
  <c r="V187" i="11"/>
  <c r="U187" i="11"/>
  <c r="T187" i="11"/>
  <c r="S187" i="11"/>
  <c r="R187" i="11"/>
  <c r="Q187" i="11"/>
  <c r="P187" i="11"/>
  <c r="O187" i="11"/>
  <c r="N187" i="11"/>
  <c r="M187" i="11"/>
  <c r="L187" i="11"/>
  <c r="K187" i="11"/>
  <c r="J187" i="11"/>
  <c r="AC219" i="11"/>
  <c r="AB219" i="11"/>
  <c r="AA219" i="11"/>
  <c r="Z219" i="11"/>
  <c r="Y219" i="11"/>
  <c r="X219" i="11"/>
  <c r="W219" i="11"/>
  <c r="V219" i="11"/>
  <c r="U219" i="11"/>
  <c r="T219" i="11"/>
  <c r="S219" i="11"/>
  <c r="R219" i="11"/>
  <c r="Q219" i="11"/>
  <c r="P219" i="11"/>
  <c r="O219" i="11"/>
  <c r="N219" i="11"/>
  <c r="M219" i="11"/>
  <c r="L219" i="11"/>
  <c r="K219" i="11"/>
  <c r="J219" i="11"/>
  <c r="AC1278" i="11"/>
  <c r="AB1278" i="11"/>
  <c r="AA1278" i="11"/>
  <c r="Z1278" i="11"/>
  <c r="Y1278" i="11"/>
  <c r="X1278" i="11"/>
  <c r="W1278" i="11"/>
  <c r="V1278" i="11"/>
  <c r="U1278" i="11"/>
  <c r="T1278" i="11"/>
  <c r="S1278" i="11"/>
  <c r="R1278" i="11"/>
  <c r="Q1278" i="11"/>
  <c r="P1278" i="11"/>
  <c r="O1278" i="11"/>
  <c r="N1278" i="11"/>
  <c r="M1278" i="11"/>
  <c r="L1278" i="11"/>
  <c r="K1278" i="11"/>
  <c r="J1278" i="11"/>
  <c r="AC1277" i="11"/>
  <c r="AB1277" i="11"/>
  <c r="AA1277" i="11"/>
  <c r="Z1277" i="11"/>
  <c r="Y1277" i="11"/>
  <c r="X1277" i="11"/>
  <c r="W1277" i="11"/>
  <c r="V1277" i="11"/>
  <c r="U1277" i="11"/>
  <c r="T1277" i="11"/>
  <c r="S1277" i="11"/>
  <c r="R1277" i="11"/>
  <c r="Q1277" i="11"/>
  <c r="P1277" i="11"/>
  <c r="O1277" i="11"/>
  <c r="N1277" i="11"/>
  <c r="M1277" i="11"/>
  <c r="L1277" i="11"/>
  <c r="K1277" i="11"/>
  <c r="J1277" i="11"/>
  <c r="AC1150" i="11"/>
  <c r="AB1150" i="11"/>
  <c r="AA1150" i="11"/>
  <c r="Z1150" i="11"/>
  <c r="Y1150" i="11"/>
  <c r="X1150" i="11"/>
  <c r="W1150" i="11"/>
  <c r="V1150" i="11"/>
  <c r="U1150" i="11"/>
  <c r="T1150" i="11"/>
  <c r="S1150" i="11"/>
  <c r="R1150" i="11"/>
  <c r="Q1150" i="11"/>
  <c r="P1150" i="11"/>
  <c r="O1150" i="11"/>
  <c r="N1150" i="11"/>
  <c r="M1150" i="11"/>
  <c r="L1150" i="11"/>
  <c r="K1150" i="11"/>
  <c r="J1150" i="11"/>
  <c r="AC1659" i="11"/>
  <c r="AB1659" i="11"/>
  <c r="AA1659" i="11"/>
  <c r="Z1659" i="11"/>
  <c r="Y1659" i="11"/>
  <c r="X1659" i="11"/>
  <c r="W1659" i="11"/>
  <c r="V1659" i="11"/>
  <c r="U1659" i="11"/>
  <c r="T1659" i="11"/>
  <c r="S1659" i="11"/>
  <c r="R1659" i="11"/>
  <c r="Q1659" i="11"/>
  <c r="P1659" i="11"/>
  <c r="O1659" i="11"/>
  <c r="N1659" i="11"/>
  <c r="M1659" i="11"/>
  <c r="L1659" i="11"/>
  <c r="K1659" i="11"/>
  <c r="J1659" i="11"/>
  <c r="AC768" i="11"/>
  <c r="AB768" i="11"/>
  <c r="AA768" i="11"/>
  <c r="Z768" i="11"/>
  <c r="Y768" i="11"/>
  <c r="X768" i="11"/>
  <c r="W768" i="11"/>
  <c r="V768" i="11"/>
  <c r="U768" i="11"/>
  <c r="T768" i="11"/>
  <c r="S768" i="11"/>
  <c r="R768" i="11"/>
  <c r="Q768" i="11"/>
  <c r="P768" i="11"/>
  <c r="O768" i="11"/>
  <c r="N768" i="11"/>
  <c r="M768" i="11"/>
  <c r="L768" i="11"/>
  <c r="K768" i="11"/>
  <c r="J768" i="11"/>
  <c r="AC218" i="11"/>
  <c r="AB218" i="11"/>
  <c r="AA218" i="11"/>
  <c r="Z218" i="11"/>
  <c r="Y218" i="11"/>
  <c r="X218" i="11"/>
  <c r="W218" i="11"/>
  <c r="V218" i="11"/>
  <c r="U218" i="11"/>
  <c r="T218" i="11"/>
  <c r="S218" i="11"/>
  <c r="R218" i="11"/>
  <c r="Q218" i="11"/>
  <c r="P218" i="11"/>
  <c r="O218" i="11"/>
  <c r="N218" i="11"/>
  <c r="M218" i="11"/>
  <c r="L218" i="11"/>
  <c r="K218" i="11"/>
  <c r="J218" i="11"/>
  <c r="AC217" i="11"/>
  <c r="AB217" i="11"/>
  <c r="AA217" i="11"/>
  <c r="Z217" i="11"/>
  <c r="Y217" i="11"/>
  <c r="X217" i="11"/>
  <c r="W217" i="11"/>
  <c r="V217" i="11"/>
  <c r="U217" i="11"/>
  <c r="T217" i="11"/>
  <c r="S217" i="11"/>
  <c r="R217" i="11"/>
  <c r="Q217" i="11"/>
  <c r="P217" i="11"/>
  <c r="O217" i="11"/>
  <c r="N217" i="11"/>
  <c r="M217" i="11"/>
  <c r="L217" i="11"/>
  <c r="K217" i="11"/>
  <c r="J217" i="11"/>
  <c r="AC840" i="11"/>
  <c r="AB840" i="11"/>
  <c r="AA840" i="11"/>
  <c r="Z840" i="11"/>
  <c r="Y840" i="11"/>
  <c r="X840" i="11"/>
  <c r="W840" i="11"/>
  <c r="V840" i="11"/>
  <c r="U840" i="11"/>
  <c r="T840" i="11"/>
  <c r="S840" i="11"/>
  <c r="R840" i="11"/>
  <c r="Q840" i="11"/>
  <c r="P840" i="11"/>
  <c r="O840" i="11"/>
  <c r="N840" i="11"/>
  <c r="M840" i="11"/>
  <c r="L840" i="11"/>
  <c r="K840" i="11"/>
  <c r="J840" i="11"/>
  <c r="AC839" i="11"/>
  <c r="AB839" i="11"/>
  <c r="AA839" i="11"/>
  <c r="Z839" i="11"/>
  <c r="Y839" i="11"/>
  <c r="X839" i="11"/>
  <c r="W839" i="11"/>
  <c r="V839" i="11"/>
  <c r="U839" i="11"/>
  <c r="T839" i="11"/>
  <c r="S839" i="11"/>
  <c r="R839" i="11"/>
  <c r="Q839" i="11"/>
  <c r="P839" i="11"/>
  <c r="O839" i="11"/>
  <c r="N839" i="11"/>
  <c r="M839" i="11"/>
  <c r="L839" i="11"/>
  <c r="K839" i="11"/>
  <c r="J839" i="11"/>
  <c r="AC680" i="11"/>
  <c r="AB680" i="11"/>
  <c r="AA680" i="11"/>
  <c r="Z680" i="11"/>
  <c r="Y680" i="11"/>
  <c r="X680" i="11"/>
  <c r="W680" i="11"/>
  <c r="V680" i="11"/>
  <c r="U680" i="11"/>
  <c r="T680" i="11"/>
  <c r="S680" i="11"/>
  <c r="R680" i="11"/>
  <c r="Q680" i="11"/>
  <c r="P680" i="11"/>
  <c r="O680" i="11"/>
  <c r="N680" i="11"/>
  <c r="M680" i="11"/>
  <c r="L680" i="11"/>
  <c r="K680" i="11"/>
  <c r="J680" i="11"/>
  <c r="AC679" i="11"/>
  <c r="AB679" i="11"/>
  <c r="AA679" i="11"/>
  <c r="Z679" i="11"/>
  <c r="Y679" i="11"/>
  <c r="X679" i="11"/>
  <c r="W679" i="11"/>
  <c r="V679" i="11"/>
  <c r="U679" i="11"/>
  <c r="T679" i="11"/>
  <c r="S679" i="11"/>
  <c r="R679" i="11"/>
  <c r="Q679" i="11"/>
  <c r="P679" i="11"/>
  <c r="O679" i="11"/>
  <c r="N679" i="11"/>
  <c r="M679" i="11"/>
  <c r="L679" i="11"/>
  <c r="K679" i="11"/>
  <c r="J679" i="11"/>
  <c r="AC44" i="11"/>
  <c r="AB44" i="11"/>
  <c r="AA44" i="11"/>
  <c r="Z44" i="11"/>
  <c r="Y44" i="11"/>
  <c r="X44" i="11"/>
  <c r="W44" i="11"/>
  <c r="V44" i="11"/>
  <c r="U44" i="11"/>
  <c r="T44" i="11"/>
  <c r="S44" i="11"/>
  <c r="R44" i="11"/>
  <c r="Q44" i="11"/>
  <c r="P44" i="11"/>
  <c r="O44" i="11"/>
  <c r="N44" i="11"/>
  <c r="M44" i="11"/>
  <c r="L44" i="11"/>
  <c r="K44" i="11"/>
  <c r="J44" i="11"/>
  <c r="AC466" i="11"/>
  <c r="AB466" i="11"/>
  <c r="AA466" i="11"/>
  <c r="Z466" i="11"/>
  <c r="Y466" i="11"/>
  <c r="X466" i="11"/>
  <c r="W466" i="11"/>
  <c r="V466" i="11"/>
  <c r="U466" i="11"/>
  <c r="T466" i="11"/>
  <c r="S466" i="11"/>
  <c r="R466" i="11"/>
  <c r="Q466" i="11"/>
  <c r="P466" i="11"/>
  <c r="O466" i="11"/>
  <c r="N466" i="11"/>
  <c r="M466" i="11"/>
  <c r="L466" i="11"/>
  <c r="K466" i="11"/>
  <c r="J466" i="11"/>
  <c r="AC186" i="11"/>
  <c r="AB186" i="11"/>
  <c r="AA186" i="11"/>
  <c r="Z186" i="11"/>
  <c r="Y186" i="11"/>
  <c r="X186" i="11"/>
  <c r="W186" i="11"/>
  <c r="V186" i="11"/>
  <c r="U186" i="11"/>
  <c r="T186" i="11"/>
  <c r="S186" i="11"/>
  <c r="R186" i="11"/>
  <c r="Q186" i="11"/>
  <c r="P186" i="11"/>
  <c r="O186" i="11"/>
  <c r="N186" i="11"/>
  <c r="M186" i="11"/>
  <c r="L186" i="11"/>
  <c r="K186" i="11"/>
  <c r="J186" i="11"/>
  <c r="AC185" i="11"/>
  <c r="AB185" i="11"/>
  <c r="AA185" i="11"/>
  <c r="Z185" i="11"/>
  <c r="Y185" i="11"/>
  <c r="X185" i="11"/>
  <c r="W185" i="11"/>
  <c r="V185" i="11"/>
  <c r="U185" i="11"/>
  <c r="T185" i="11"/>
  <c r="S185" i="11"/>
  <c r="R185" i="11"/>
  <c r="Q185" i="11"/>
  <c r="P185" i="11"/>
  <c r="O185" i="11"/>
  <c r="N185" i="11"/>
  <c r="M185" i="11"/>
  <c r="L185" i="11"/>
  <c r="K185" i="11"/>
  <c r="J185" i="11"/>
  <c r="AC909" i="11"/>
  <c r="AB909" i="11"/>
  <c r="AA909" i="11"/>
  <c r="Z909" i="11"/>
  <c r="Y909" i="11"/>
  <c r="X909" i="11"/>
  <c r="W909" i="11"/>
  <c r="V909" i="11"/>
  <c r="U909" i="11"/>
  <c r="T909" i="11"/>
  <c r="S909" i="11"/>
  <c r="R909" i="11"/>
  <c r="Q909" i="11"/>
  <c r="P909" i="11"/>
  <c r="O909" i="11"/>
  <c r="N909" i="11"/>
  <c r="M909" i="11"/>
  <c r="L909" i="11"/>
  <c r="K909" i="11"/>
  <c r="J909" i="11"/>
  <c r="AC184" i="11"/>
  <c r="AB184" i="11"/>
  <c r="AA184" i="11"/>
  <c r="Z184" i="11"/>
  <c r="Y184" i="11"/>
  <c r="X184" i="11"/>
  <c r="W184" i="11"/>
  <c r="V184" i="11"/>
  <c r="U184" i="11"/>
  <c r="T184" i="11"/>
  <c r="S184" i="11"/>
  <c r="R184" i="11"/>
  <c r="Q184" i="11"/>
  <c r="P184" i="11"/>
  <c r="O184" i="11"/>
  <c r="N184" i="11"/>
  <c r="M184" i="11"/>
  <c r="L184" i="11"/>
  <c r="K184" i="11"/>
  <c r="J184" i="11"/>
  <c r="AC118" i="11"/>
  <c r="AB118" i="11"/>
  <c r="AA118" i="11"/>
  <c r="Z118" i="11"/>
  <c r="Y118" i="11"/>
  <c r="X118" i="11"/>
  <c r="W118" i="11"/>
  <c r="V118" i="11"/>
  <c r="U118" i="11"/>
  <c r="T118" i="11"/>
  <c r="S118" i="11"/>
  <c r="R118" i="11"/>
  <c r="Q118" i="11"/>
  <c r="P118" i="11"/>
  <c r="O118" i="11"/>
  <c r="N118" i="11"/>
  <c r="M118" i="11"/>
  <c r="L118" i="11"/>
  <c r="K118" i="11"/>
  <c r="J118" i="11"/>
  <c r="AC216" i="11"/>
  <c r="AB216" i="11"/>
  <c r="AA216" i="11"/>
  <c r="Z216" i="11"/>
  <c r="Y216" i="11"/>
  <c r="X216" i="11"/>
  <c r="W216" i="11"/>
  <c r="V216" i="11"/>
  <c r="U216" i="11"/>
  <c r="T216" i="11"/>
  <c r="S216" i="11"/>
  <c r="R216" i="11"/>
  <c r="Q216" i="11"/>
  <c r="P216" i="11"/>
  <c r="O216" i="11"/>
  <c r="N216" i="11"/>
  <c r="M216" i="11"/>
  <c r="L216" i="11"/>
  <c r="K216" i="11"/>
  <c r="J216" i="11"/>
  <c r="AC1149" i="11"/>
  <c r="AB1149" i="11"/>
  <c r="AA1149" i="11"/>
  <c r="Z1149" i="11"/>
  <c r="Y1149" i="11"/>
  <c r="X1149" i="11"/>
  <c r="W1149" i="11"/>
  <c r="V1149" i="11"/>
  <c r="U1149" i="11"/>
  <c r="T1149" i="11"/>
  <c r="S1149" i="11"/>
  <c r="R1149" i="11"/>
  <c r="Q1149" i="11"/>
  <c r="P1149" i="11"/>
  <c r="O1149" i="11"/>
  <c r="N1149" i="11"/>
  <c r="M1149" i="11"/>
  <c r="L1149" i="11"/>
  <c r="K1149" i="11"/>
  <c r="J1149" i="11"/>
  <c r="AC1148" i="11"/>
  <c r="AB1148" i="11"/>
  <c r="AA1148" i="11"/>
  <c r="Z1148" i="11"/>
  <c r="Y1148" i="11"/>
  <c r="X1148" i="11"/>
  <c r="W1148" i="11"/>
  <c r="V1148" i="11"/>
  <c r="U1148" i="11"/>
  <c r="T1148" i="11"/>
  <c r="S1148" i="11"/>
  <c r="R1148" i="11"/>
  <c r="Q1148" i="11"/>
  <c r="P1148" i="11"/>
  <c r="O1148" i="11"/>
  <c r="N1148" i="11"/>
  <c r="M1148" i="11"/>
  <c r="L1148" i="11"/>
  <c r="K1148" i="11"/>
  <c r="J1148" i="11"/>
  <c r="AC908" i="11"/>
  <c r="AB908" i="11"/>
  <c r="AA908" i="11"/>
  <c r="Z908" i="11"/>
  <c r="Y908" i="11"/>
  <c r="X908" i="11"/>
  <c r="W908" i="11"/>
  <c r="V908" i="11"/>
  <c r="U908" i="11"/>
  <c r="T908" i="11"/>
  <c r="S908" i="11"/>
  <c r="R908" i="11"/>
  <c r="Q908" i="11"/>
  <c r="P908" i="11"/>
  <c r="O908" i="11"/>
  <c r="N908" i="11"/>
  <c r="M908" i="11"/>
  <c r="L908" i="11"/>
  <c r="K908" i="11"/>
  <c r="J908" i="11"/>
  <c r="AC602" i="11"/>
  <c r="AB602" i="11"/>
  <c r="AA602" i="11"/>
  <c r="Z602" i="11"/>
  <c r="Y602" i="11"/>
  <c r="X602" i="11"/>
  <c r="W602" i="11"/>
  <c r="V602" i="11"/>
  <c r="U602" i="11"/>
  <c r="T602" i="11"/>
  <c r="S602" i="11"/>
  <c r="R602" i="11"/>
  <c r="Q602" i="11"/>
  <c r="P602" i="11"/>
  <c r="O602" i="11"/>
  <c r="N602" i="11"/>
  <c r="M602" i="11"/>
  <c r="L602" i="11"/>
  <c r="K602" i="11"/>
  <c r="J602" i="11"/>
  <c r="AC678" i="11"/>
  <c r="AB678" i="11"/>
  <c r="AA678" i="11"/>
  <c r="Z678" i="11"/>
  <c r="Y678" i="11"/>
  <c r="X678" i="11"/>
  <c r="W678" i="11"/>
  <c r="V678" i="11"/>
  <c r="U678" i="11"/>
  <c r="T678" i="11"/>
  <c r="S678" i="11"/>
  <c r="R678" i="11"/>
  <c r="Q678" i="11"/>
  <c r="P678" i="11"/>
  <c r="O678" i="11"/>
  <c r="N678" i="11"/>
  <c r="M678" i="11"/>
  <c r="L678" i="11"/>
  <c r="K678" i="11"/>
  <c r="J678" i="11"/>
  <c r="AC342" i="11"/>
  <c r="AB342" i="11"/>
  <c r="AA342" i="11"/>
  <c r="Z342" i="11"/>
  <c r="Y342" i="11"/>
  <c r="X342" i="11"/>
  <c r="W342" i="11"/>
  <c r="V342" i="11"/>
  <c r="U342" i="11"/>
  <c r="T342" i="11"/>
  <c r="S342" i="11"/>
  <c r="R342" i="11"/>
  <c r="Q342" i="11"/>
  <c r="P342" i="11"/>
  <c r="O342" i="11"/>
  <c r="N342" i="11"/>
  <c r="M342" i="11"/>
  <c r="L342" i="11"/>
  <c r="K342" i="11"/>
  <c r="J342" i="11"/>
  <c r="AC144" i="11"/>
  <c r="AB144" i="11"/>
  <c r="AA144" i="11"/>
  <c r="Z144" i="11"/>
  <c r="Y144" i="11"/>
  <c r="X144" i="11"/>
  <c r="W144" i="11"/>
  <c r="V144" i="11"/>
  <c r="U144" i="11"/>
  <c r="T144" i="11"/>
  <c r="S144" i="11"/>
  <c r="R144" i="11"/>
  <c r="Q144" i="11"/>
  <c r="P144" i="11"/>
  <c r="O144" i="11"/>
  <c r="N144" i="11"/>
  <c r="M144" i="11"/>
  <c r="L144" i="11"/>
  <c r="K144" i="11"/>
  <c r="J144" i="11"/>
  <c r="AC838" i="11"/>
  <c r="AB838" i="11"/>
  <c r="AA838" i="11"/>
  <c r="Z838" i="11"/>
  <c r="Y838" i="11"/>
  <c r="X838" i="11"/>
  <c r="W838" i="11"/>
  <c r="V838" i="11"/>
  <c r="U838" i="11"/>
  <c r="T838" i="11"/>
  <c r="S838" i="11"/>
  <c r="R838" i="11"/>
  <c r="Q838" i="11"/>
  <c r="P838" i="11"/>
  <c r="O838" i="11"/>
  <c r="N838" i="11"/>
  <c r="M838" i="11"/>
  <c r="L838" i="11"/>
  <c r="K838" i="11"/>
  <c r="J838" i="11"/>
  <c r="AC547" i="11"/>
  <c r="AB547" i="11"/>
  <c r="AA547" i="11"/>
  <c r="Z547" i="11"/>
  <c r="Y547" i="11"/>
  <c r="X547" i="11"/>
  <c r="W547" i="11"/>
  <c r="V547" i="11"/>
  <c r="U547" i="11"/>
  <c r="T547" i="11"/>
  <c r="S547" i="11"/>
  <c r="R547" i="11"/>
  <c r="Q547" i="11"/>
  <c r="P547" i="11"/>
  <c r="O547" i="11"/>
  <c r="N547" i="11"/>
  <c r="M547" i="11"/>
  <c r="L547" i="11"/>
  <c r="K547" i="11"/>
  <c r="J547" i="11"/>
  <c r="AC215" i="11"/>
  <c r="AB215" i="11"/>
  <c r="AA215" i="11"/>
  <c r="Z215" i="11"/>
  <c r="Y215" i="11"/>
  <c r="X215" i="11"/>
  <c r="W215" i="11"/>
  <c r="V215" i="11"/>
  <c r="U215" i="11"/>
  <c r="T215" i="11"/>
  <c r="S215" i="11"/>
  <c r="R215" i="11"/>
  <c r="Q215" i="11"/>
  <c r="P215" i="11"/>
  <c r="O215" i="11"/>
  <c r="N215" i="11"/>
  <c r="M215" i="11"/>
  <c r="L215" i="11"/>
  <c r="K215" i="11"/>
  <c r="J215" i="11"/>
  <c r="AC991" i="11"/>
  <c r="AB991" i="11"/>
  <c r="AA991" i="11"/>
  <c r="Z991" i="11"/>
  <c r="Y991" i="11"/>
  <c r="X991" i="11"/>
  <c r="W991" i="11"/>
  <c r="V991" i="11"/>
  <c r="U991" i="11"/>
  <c r="T991" i="11"/>
  <c r="S991" i="11"/>
  <c r="R991" i="11"/>
  <c r="Q991" i="11"/>
  <c r="P991" i="11"/>
  <c r="O991" i="11"/>
  <c r="N991" i="11"/>
  <c r="M991" i="11"/>
  <c r="L991" i="11"/>
  <c r="K991" i="11"/>
  <c r="J991" i="11"/>
  <c r="AC86" i="11"/>
  <c r="AB86" i="11"/>
  <c r="AA86" i="11"/>
  <c r="Z86" i="11"/>
  <c r="Y86" i="11"/>
  <c r="X86" i="11"/>
  <c r="W86" i="11"/>
  <c r="V86" i="11"/>
  <c r="U86" i="11"/>
  <c r="T86" i="11"/>
  <c r="S86" i="11"/>
  <c r="R86" i="11"/>
  <c r="Q86" i="11"/>
  <c r="P86" i="11"/>
  <c r="O86" i="11"/>
  <c r="N86" i="11"/>
  <c r="M86" i="11"/>
  <c r="L86" i="11"/>
  <c r="K86" i="11"/>
  <c r="J86" i="11"/>
  <c r="AC465" i="11"/>
  <c r="AB465" i="11"/>
  <c r="AA465" i="11"/>
  <c r="Z465" i="11"/>
  <c r="Y465" i="11"/>
  <c r="X465" i="11"/>
  <c r="W465" i="11"/>
  <c r="V465" i="11"/>
  <c r="U465" i="11"/>
  <c r="T465" i="11"/>
  <c r="S465" i="11"/>
  <c r="R465" i="11"/>
  <c r="Q465" i="11"/>
  <c r="P465" i="11"/>
  <c r="O465" i="11"/>
  <c r="N465" i="11"/>
  <c r="M465" i="11"/>
  <c r="L465" i="11"/>
  <c r="K465" i="11"/>
  <c r="J465" i="11"/>
  <c r="AC677" i="11"/>
  <c r="AB677" i="11"/>
  <c r="AA677" i="11"/>
  <c r="Z677" i="11"/>
  <c r="Y677" i="11"/>
  <c r="X677" i="11"/>
  <c r="W677" i="11"/>
  <c r="V677" i="11"/>
  <c r="U677" i="11"/>
  <c r="T677" i="11"/>
  <c r="S677" i="11"/>
  <c r="R677" i="11"/>
  <c r="Q677" i="11"/>
  <c r="P677" i="11"/>
  <c r="O677" i="11"/>
  <c r="N677" i="11"/>
  <c r="M677" i="11"/>
  <c r="L677" i="11"/>
  <c r="K677" i="11"/>
  <c r="J677" i="11"/>
  <c r="AC302" i="11"/>
  <c r="AB302" i="11"/>
  <c r="AA302" i="11"/>
  <c r="Z302" i="11"/>
  <c r="Y302" i="11"/>
  <c r="X302" i="11"/>
  <c r="W302" i="11"/>
  <c r="V302" i="11"/>
  <c r="U302" i="11"/>
  <c r="T302" i="11"/>
  <c r="S302" i="11"/>
  <c r="R302" i="11"/>
  <c r="Q302" i="11"/>
  <c r="P302" i="11"/>
  <c r="O302" i="11"/>
  <c r="N302" i="11"/>
  <c r="M302" i="11"/>
  <c r="L302" i="11"/>
  <c r="K302" i="11"/>
  <c r="J302" i="11"/>
  <c r="AC183" i="11"/>
  <c r="AB183" i="11"/>
  <c r="AA183" i="11"/>
  <c r="Z183" i="11"/>
  <c r="Y183" i="11"/>
  <c r="X183" i="11"/>
  <c r="W183" i="11"/>
  <c r="V183" i="11"/>
  <c r="U183" i="11"/>
  <c r="T183" i="11"/>
  <c r="S183" i="11"/>
  <c r="R183" i="11"/>
  <c r="Q183" i="11"/>
  <c r="P183" i="11"/>
  <c r="O183" i="11"/>
  <c r="N183" i="11"/>
  <c r="M183" i="11"/>
  <c r="L183" i="11"/>
  <c r="K183" i="11"/>
  <c r="J183" i="11"/>
  <c r="AC182" i="11"/>
  <c r="AB182" i="11"/>
  <c r="AA182" i="11"/>
  <c r="Z182" i="11"/>
  <c r="Y182" i="11"/>
  <c r="X182" i="11"/>
  <c r="W182" i="11"/>
  <c r="V182" i="11"/>
  <c r="U182" i="11"/>
  <c r="T182" i="11"/>
  <c r="S182" i="11"/>
  <c r="R182" i="11"/>
  <c r="Q182" i="11"/>
  <c r="P182" i="11"/>
  <c r="O182" i="11"/>
  <c r="N182" i="11"/>
  <c r="M182" i="11"/>
  <c r="L182" i="11"/>
  <c r="K182" i="11"/>
  <c r="J182" i="11"/>
  <c r="AC1224" i="11"/>
  <c r="AB1224" i="11"/>
  <c r="AA1224" i="11"/>
  <c r="Z1224" i="11"/>
  <c r="Y1224" i="11"/>
  <c r="X1224" i="11"/>
  <c r="W1224" i="11"/>
  <c r="V1224" i="11"/>
  <c r="U1224" i="11"/>
  <c r="T1224" i="11"/>
  <c r="S1224" i="11"/>
  <c r="R1224" i="11"/>
  <c r="Q1224" i="11"/>
  <c r="P1224" i="11"/>
  <c r="O1224" i="11"/>
  <c r="N1224" i="11"/>
  <c r="M1224" i="11"/>
  <c r="L1224" i="11"/>
  <c r="K1224" i="11"/>
  <c r="J1224" i="11"/>
  <c r="AC181" i="11"/>
  <c r="AB181" i="11"/>
  <c r="AA181" i="11"/>
  <c r="Z181" i="11"/>
  <c r="Y181" i="11"/>
  <c r="X181" i="11"/>
  <c r="W181" i="11"/>
  <c r="V181" i="11"/>
  <c r="U181" i="11"/>
  <c r="T181" i="11"/>
  <c r="S181" i="11"/>
  <c r="R181" i="11"/>
  <c r="Q181" i="11"/>
  <c r="P181" i="11"/>
  <c r="O181" i="11"/>
  <c r="N181" i="11"/>
  <c r="M181" i="11"/>
  <c r="L181" i="11"/>
  <c r="K181" i="11"/>
  <c r="J181" i="11"/>
  <c r="AC1804" i="11"/>
  <c r="AB1804" i="11"/>
  <c r="AA1804" i="11"/>
  <c r="Z1804" i="11"/>
  <c r="Y1804" i="11"/>
  <c r="X1804" i="11"/>
  <c r="W1804" i="11"/>
  <c r="V1804" i="11"/>
  <c r="U1804" i="11"/>
  <c r="T1804" i="11"/>
  <c r="S1804" i="11"/>
  <c r="R1804" i="11"/>
  <c r="Q1804" i="11"/>
  <c r="P1804" i="11"/>
  <c r="O1804" i="11"/>
  <c r="N1804" i="11"/>
  <c r="M1804" i="11"/>
  <c r="L1804" i="11"/>
  <c r="K1804" i="11"/>
  <c r="J1804" i="11"/>
  <c r="AC1803" i="11"/>
  <c r="AB1803" i="11"/>
  <c r="AA1803" i="11"/>
  <c r="Z1803" i="11"/>
  <c r="Y1803" i="11"/>
  <c r="X1803" i="11"/>
  <c r="W1803" i="11"/>
  <c r="V1803" i="11"/>
  <c r="U1803" i="11"/>
  <c r="T1803" i="11"/>
  <c r="S1803" i="11"/>
  <c r="R1803" i="11"/>
  <c r="Q1803" i="11"/>
  <c r="P1803" i="11"/>
  <c r="O1803" i="11"/>
  <c r="N1803" i="11"/>
  <c r="M1803" i="11"/>
  <c r="L1803" i="11"/>
  <c r="K1803" i="11"/>
  <c r="J1803" i="11"/>
  <c r="AC301" i="11"/>
  <c r="AB301" i="11"/>
  <c r="AA301" i="11"/>
  <c r="Z301" i="11"/>
  <c r="Y301" i="11"/>
  <c r="X301" i="11"/>
  <c r="W301" i="11"/>
  <c r="V301" i="11"/>
  <c r="U301" i="11"/>
  <c r="T301" i="11"/>
  <c r="S301" i="11"/>
  <c r="R301" i="11"/>
  <c r="Q301" i="11"/>
  <c r="P301" i="11"/>
  <c r="O301" i="11"/>
  <c r="N301" i="11"/>
  <c r="M301" i="11"/>
  <c r="L301" i="11"/>
  <c r="K301" i="11"/>
  <c r="J301" i="11"/>
  <c r="AC990" i="11"/>
  <c r="AB990" i="11"/>
  <c r="AA990" i="11"/>
  <c r="Z990" i="11"/>
  <c r="Y990" i="11"/>
  <c r="X990" i="11"/>
  <c r="W990" i="11"/>
  <c r="V990" i="11"/>
  <c r="U990" i="11"/>
  <c r="T990" i="11"/>
  <c r="S990" i="11"/>
  <c r="R990" i="11"/>
  <c r="Q990" i="11"/>
  <c r="P990" i="11"/>
  <c r="O990" i="11"/>
  <c r="N990" i="11"/>
  <c r="M990" i="11"/>
  <c r="L990" i="11"/>
  <c r="K990" i="11"/>
  <c r="J990" i="11"/>
  <c r="AC1147" i="11"/>
  <c r="AB1147" i="11"/>
  <c r="AA1147" i="11"/>
  <c r="Z1147" i="11"/>
  <c r="Y1147" i="11"/>
  <c r="X1147" i="11"/>
  <c r="W1147" i="11"/>
  <c r="V1147" i="11"/>
  <c r="U1147" i="11"/>
  <c r="T1147" i="11"/>
  <c r="S1147" i="11"/>
  <c r="R1147" i="11"/>
  <c r="Q1147" i="11"/>
  <c r="P1147" i="11"/>
  <c r="O1147" i="11"/>
  <c r="N1147" i="11"/>
  <c r="M1147" i="11"/>
  <c r="L1147" i="11"/>
  <c r="K1147" i="11"/>
  <c r="J1147" i="11"/>
  <c r="AC601" i="11"/>
  <c r="AB601" i="11"/>
  <c r="AA601" i="11"/>
  <c r="Z601" i="11"/>
  <c r="Y601" i="11"/>
  <c r="X601" i="11"/>
  <c r="W601" i="11"/>
  <c r="V601" i="11"/>
  <c r="U601" i="11"/>
  <c r="T601" i="11"/>
  <c r="S601" i="11"/>
  <c r="R601" i="11"/>
  <c r="Q601" i="11"/>
  <c r="P601" i="11"/>
  <c r="O601" i="11"/>
  <c r="N601" i="11"/>
  <c r="M601" i="11"/>
  <c r="L601" i="11"/>
  <c r="K601" i="11"/>
  <c r="J601" i="11"/>
  <c r="AC1658" i="11"/>
  <c r="AB1658" i="11"/>
  <c r="AA1658" i="11"/>
  <c r="Z1658" i="11"/>
  <c r="Y1658" i="11"/>
  <c r="X1658" i="11"/>
  <c r="W1658" i="11"/>
  <c r="V1658" i="11"/>
  <c r="U1658" i="11"/>
  <c r="T1658" i="11"/>
  <c r="S1658" i="11"/>
  <c r="R1658" i="11"/>
  <c r="Q1658" i="11"/>
  <c r="P1658" i="11"/>
  <c r="O1658" i="11"/>
  <c r="N1658" i="11"/>
  <c r="M1658" i="11"/>
  <c r="L1658" i="11"/>
  <c r="K1658" i="11"/>
  <c r="J1658" i="11"/>
  <c r="AC300" i="11"/>
  <c r="AB300" i="11"/>
  <c r="AA300" i="11"/>
  <c r="Z300" i="11"/>
  <c r="Y300" i="11"/>
  <c r="X300" i="11"/>
  <c r="W300" i="11"/>
  <c r="V300" i="11"/>
  <c r="U300" i="11"/>
  <c r="T300" i="11"/>
  <c r="S300" i="11"/>
  <c r="R300" i="11"/>
  <c r="Q300" i="11"/>
  <c r="P300" i="11"/>
  <c r="O300" i="11"/>
  <c r="N300" i="11"/>
  <c r="M300" i="11"/>
  <c r="L300" i="11"/>
  <c r="K300" i="11"/>
  <c r="J300" i="11"/>
  <c r="AC767" i="11"/>
  <c r="AB767" i="11"/>
  <c r="AA767" i="11"/>
  <c r="Z767" i="11"/>
  <c r="Y767" i="11"/>
  <c r="X767" i="11"/>
  <c r="W767" i="11"/>
  <c r="V767" i="11"/>
  <c r="U767" i="11"/>
  <c r="T767" i="11"/>
  <c r="S767" i="11"/>
  <c r="R767" i="11"/>
  <c r="Q767" i="11"/>
  <c r="P767" i="11"/>
  <c r="O767" i="11"/>
  <c r="N767" i="11"/>
  <c r="M767" i="11"/>
  <c r="L767" i="11"/>
  <c r="K767" i="11"/>
  <c r="J767" i="11"/>
  <c r="AC2086" i="11"/>
  <c r="AB2086" i="11"/>
  <c r="AA2086" i="11"/>
  <c r="Z2086" i="11"/>
  <c r="Y2086" i="11"/>
  <c r="X2086" i="11"/>
  <c r="W2086" i="11"/>
  <c r="V2086" i="11"/>
  <c r="U2086" i="11"/>
  <c r="T2086" i="11"/>
  <c r="S2086" i="11"/>
  <c r="R2086" i="11"/>
  <c r="Q2086" i="11"/>
  <c r="P2086" i="11"/>
  <c r="O2086" i="11"/>
  <c r="N2086" i="11"/>
  <c r="M2086" i="11"/>
  <c r="L2086" i="11"/>
  <c r="K2086" i="11"/>
  <c r="J2086" i="11"/>
  <c r="AC766" i="11"/>
  <c r="AB766" i="11"/>
  <c r="AA766" i="11"/>
  <c r="Z766" i="11"/>
  <c r="Y766" i="11"/>
  <c r="X766" i="11"/>
  <c r="W766" i="11"/>
  <c r="V766" i="11"/>
  <c r="U766" i="11"/>
  <c r="T766" i="11"/>
  <c r="S766" i="11"/>
  <c r="R766" i="11"/>
  <c r="Q766" i="11"/>
  <c r="P766" i="11"/>
  <c r="O766" i="11"/>
  <c r="N766" i="11"/>
  <c r="M766" i="11"/>
  <c r="L766" i="11"/>
  <c r="K766" i="11"/>
  <c r="J766" i="11"/>
  <c r="AC1858" i="11"/>
  <c r="AB1858" i="11"/>
  <c r="AA1858" i="11"/>
  <c r="Z1858" i="11"/>
  <c r="Y1858" i="11"/>
  <c r="X1858" i="11"/>
  <c r="W1858" i="11"/>
  <c r="V1858" i="11"/>
  <c r="U1858" i="11"/>
  <c r="T1858" i="11"/>
  <c r="S1858" i="11"/>
  <c r="R1858" i="11"/>
  <c r="Q1858" i="11"/>
  <c r="P1858" i="11"/>
  <c r="O1858" i="11"/>
  <c r="N1858" i="11"/>
  <c r="M1858" i="11"/>
  <c r="L1858" i="11"/>
  <c r="K1858" i="11"/>
  <c r="J1858" i="11"/>
  <c r="AC214" i="11"/>
  <c r="AB214" i="11"/>
  <c r="AA214" i="11"/>
  <c r="Z214" i="11"/>
  <c r="Y214" i="11"/>
  <c r="X214" i="11"/>
  <c r="W214" i="11"/>
  <c r="V214" i="11"/>
  <c r="U214" i="11"/>
  <c r="T214" i="11"/>
  <c r="S214" i="11"/>
  <c r="R214" i="11"/>
  <c r="Q214" i="11"/>
  <c r="P214" i="11"/>
  <c r="O214" i="11"/>
  <c r="N214" i="11"/>
  <c r="M214" i="11"/>
  <c r="L214" i="11"/>
  <c r="K214" i="11"/>
  <c r="J214" i="11"/>
  <c r="AC1223" i="11"/>
  <c r="AB1223" i="11"/>
  <c r="AA1223" i="11"/>
  <c r="Z1223" i="11"/>
  <c r="Y1223" i="11"/>
  <c r="X1223" i="11"/>
  <c r="W1223" i="11"/>
  <c r="V1223" i="11"/>
  <c r="U1223" i="11"/>
  <c r="T1223" i="11"/>
  <c r="S1223" i="11"/>
  <c r="R1223" i="11"/>
  <c r="Q1223" i="11"/>
  <c r="P1223" i="11"/>
  <c r="O1223" i="11"/>
  <c r="N1223" i="11"/>
  <c r="M1223" i="11"/>
  <c r="L1223" i="11"/>
  <c r="K1223" i="11"/>
  <c r="J1223" i="11"/>
  <c r="AC1531" i="11"/>
  <c r="AB1531" i="11"/>
  <c r="AA1531" i="11"/>
  <c r="Z1531" i="11"/>
  <c r="Y1531" i="11"/>
  <c r="X1531" i="11"/>
  <c r="W1531" i="11"/>
  <c r="V1531" i="11"/>
  <c r="U1531" i="11"/>
  <c r="T1531" i="11"/>
  <c r="S1531" i="11"/>
  <c r="R1531" i="11"/>
  <c r="Q1531" i="11"/>
  <c r="P1531" i="11"/>
  <c r="O1531" i="11"/>
  <c r="N1531" i="11"/>
  <c r="M1531" i="11"/>
  <c r="L1531" i="11"/>
  <c r="K1531" i="11"/>
  <c r="J1531" i="11"/>
  <c r="AC1530" i="11"/>
  <c r="AB1530" i="11"/>
  <c r="AA1530" i="11"/>
  <c r="Z1530" i="11"/>
  <c r="Y1530" i="11"/>
  <c r="X1530" i="11"/>
  <c r="W1530" i="11"/>
  <c r="V1530" i="11"/>
  <c r="U1530" i="11"/>
  <c r="T1530" i="11"/>
  <c r="S1530" i="11"/>
  <c r="R1530" i="11"/>
  <c r="Q1530" i="11"/>
  <c r="P1530" i="11"/>
  <c r="O1530" i="11"/>
  <c r="N1530" i="11"/>
  <c r="M1530" i="11"/>
  <c r="L1530" i="11"/>
  <c r="K1530" i="11"/>
  <c r="J1530" i="11"/>
  <c r="AC143" i="11"/>
  <c r="AB143" i="11"/>
  <c r="AA143" i="11"/>
  <c r="Z143" i="11"/>
  <c r="Y143" i="11"/>
  <c r="X143" i="11"/>
  <c r="W143" i="11"/>
  <c r="V143" i="11"/>
  <c r="U143" i="11"/>
  <c r="T143" i="11"/>
  <c r="S143" i="11"/>
  <c r="R143" i="11"/>
  <c r="Q143" i="11"/>
  <c r="P143" i="11"/>
  <c r="O143" i="11"/>
  <c r="N143" i="11"/>
  <c r="M143" i="11"/>
  <c r="L143" i="11"/>
  <c r="K143" i="11"/>
  <c r="J143" i="11"/>
  <c r="AC341" i="11"/>
  <c r="AB341" i="11"/>
  <c r="AA341" i="11"/>
  <c r="Z341" i="11"/>
  <c r="Y341" i="11"/>
  <c r="X341" i="11"/>
  <c r="W341" i="11"/>
  <c r="V341" i="11"/>
  <c r="U341" i="11"/>
  <c r="T341" i="11"/>
  <c r="S341" i="11"/>
  <c r="R341" i="11"/>
  <c r="Q341" i="11"/>
  <c r="P341" i="11"/>
  <c r="O341" i="11"/>
  <c r="N341" i="11"/>
  <c r="M341" i="11"/>
  <c r="L341" i="11"/>
  <c r="K341" i="11"/>
  <c r="J341" i="11"/>
  <c r="AC1958" i="11"/>
  <c r="AB1958" i="11"/>
  <c r="AA1958" i="11"/>
  <c r="Z1958" i="11"/>
  <c r="Y1958" i="11"/>
  <c r="X1958" i="11"/>
  <c r="W1958" i="11"/>
  <c r="V1958" i="11"/>
  <c r="U1958" i="11"/>
  <c r="T1958" i="11"/>
  <c r="S1958" i="11"/>
  <c r="R1958" i="11"/>
  <c r="Q1958" i="11"/>
  <c r="P1958" i="11"/>
  <c r="O1958" i="11"/>
  <c r="N1958" i="11"/>
  <c r="M1958" i="11"/>
  <c r="L1958" i="11"/>
  <c r="K1958" i="11"/>
  <c r="J1958" i="11"/>
  <c r="AC180" i="11"/>
  <c r="AB180" i="11"/>
  <c r="AA180" i="11"/>
  <c r="Z180" i="11"/>
  <c r="Y180" i="11"/>
  <c r="X180" i="11"/>
  <c r="W180" i="11"/>
  <c r="V180" i="11"/>
  <c r="U180" i="11"/>
  <c r="T180" i="11"/>
  <c r="S180" i="11"/>
  <c r="R180" i="11"/>
  <c r="Q180" i="11"/>
  <c r="P180" i="11"/>
  <c r="O180" i="11"/>
  <c r="N180" i="11"/>
  <c r="M180" i="11"/>
  <c r="L180" i="11"/>
  <c r="K180" i="11"/>
  <c r="J180" i="11"/>
  <c r="AC1909" i="11"/>
  <c r="AB1909" i="11"/>
  <c r="AA1909" i="11"/>
  <c r="Z1909" i="11"/>
  <c r="Y1909" i="11"/>
  <c r="X1909" i="11"/>
  <c r="W1909" i="11"/>
  <c r="V1909" i="11"/>
  <c r="U1909" i="11"/>
  <c r="T1909" i="11"/>
  <c r="S1909" i="11"/>
  <c r="R1909" i="11"/>
  <c r="Q1909" i="11"/>
  <c r="P1909" i="11"/>
  <c r="O1909" i="11"/>
  <c r="N1909" i="11"/>
  <c r="M1909" i="11"/>
  <c r="L1909" i="11"/>
  <c r="K1909" i="11"/>
  <c r="J1909" i="11"/>
  <c r="AC1324" i="11"/>
  <c r="AB1324" i="11"/>
  <c r="AA1324" i="11"/>
  <c r="Z1324" i="11"/>
  <c r="Y1324" i="11"/>
  <c r="X1324" i="11"/>
  <c r="W1324" i="11"/>
  <c r="V1324" i="11"/>
  <c r="U1324" i="11"/>
  <c r="T1324" i="11"/>
  <c r="S1324" i="11"/>
  <c r="R1324" i="11"/>
  <c r="Q1324" i="11"/>
  <c r="P1324" i="11"/>
  <c r="O1324" i="11"/>
  <c r="N1324" i="11"/>
  <c r="M1324" i="11"/>
  <c r="L1324" i="11"/>
  <c r="K1324" i="11"/>
  <c r="J1324" i="11"/>
  <c r="AC1323" i="11"/>
  <c r="AB1323" i="11"/>
  <c r="AA1323" i="11"/>
  <c r="Z1323" i="11"/>
  <c r="Y1323" i="11"/>
  <c r="X1323" i="11"/>
  <c r="W1323" i="11"/>
  <c r="V1323" i="11"/>
  <c r="U1323" i="11"/>
  <c r="T1323" i="11"/>
  <c r="S1323" i="11"/>
  <c r="R1323" i="11"/>
  <c r="Q1323" i="11"/>
  <c r="P1323" i="11"/>
  <c r="O1323" i="11"/>
  <c r="N1323" i="11"/>
  <c r="M1323" i="11"/>
  <c r="L1323" i="11"/>
  <c r="K1323" i="11"/>
  <c r="J1323" i="11"/>
  <c r="AC1146" i="11"/>
  <c r="AB1146" i="11"/>
  <c r="AA1146" i="11"/>
  <c r="Z1146" i="11"/>
  <c r="Y1146" i="11"/>
  <c r="X1146" i="11"/>
  <c r="W1146" i="11"/>
  <c r="V1146" i="11"/>
  <c r="U1146" i="11"/>
  <c r="T1146" i="11"/>
  <c r="S1146" i="11"/>
  <c r="R1146" i="11"/>
  <c r="Q1146" i="11"/>
  <c r="P1146" i="11"/>
  <c r="O1146" i="11"/>
  <c r="N1146" i="11"/>
  <c r="M1146" i="11"/>
  <c r="L1146" i="11"/>
  <c r="K1146" i="11"/>
  <c r="J1146" i="11"/>
  <c r="AC1373" i="11"/>
  <c r="AB1373" i="11"/>
  <c r="AA1373" i="11"/>
  <c r="Z1373" i="11"/>
  <c r="Y1373" i="11"/>
  <c r="X1373" i="11"/>
  <c r="W1373" i="11"/>
  <c r="V1373" i="11"/>
  <c r="U1373" i="11"/>
  <c r="T1373" i="11"/>
  <c r="S1373" i="11"/>
  <c r="R1373" i="11"/>
  <c r="Q1373" i="11"/>
  <c r="P1373" i="11"/>
  <c r="O1373" i="11"/>
  <c r="N1373" i="11"/>
  <c r="M1373" i="11"/>
  <c r="L1373" i="11"/>
  <c r="K1373" i="11"/>
  <c r="J1373" i="11"/>
  <c r="AC1372" i="11"/>
  <c r="AB1372" i="11"/>
  <c r="AA1372" i="11"/>
  <c r="Z1372" i="11"/>
  <c r="Y1372" i="11"/>
  <c r="X1372" i="11"/>
  <c r="W1372" i="11"/>
  <c r="V1372" i="11"/>
  <c r="U1372" i="11"/>
  <c r="T1372" i="11"/>
  <c r="S1372" i="11"/>
  <c r="R1372" i="11"/>
  <c r="Q1372" i="11"/>
  <c r="P1372" i="11"/>
  <c r="O1372" i="11"/>
  <c r="N1372" i="11"/>
  <c r="M1372" i="11"/>
  <c r="L1372" i="11"/>
  <c r="K1372" i="11"/>
  <c r="J1372" i="11"/>
  <c r="AC765" i="11"/>
  <c r="AB765" i="11"/>
  <c r="AA765" i="11"/>
  <c r="Z765" i="11"/>
  <c r="Y765" i="11"/>
  <c r="X765" i="11"/>
  <c r="W765" i="11"/>
  <c r="V765" i="11"/>
  <c r="U765" i="11"/>
  <c r="T765" i="11"/>
  <c r="S765" i="11"/>
  <c r="R765" i="11"/>
  <c r="Q765" i="11"/>
  <c r="P765" i="11"/>
  <c r="O765" i="11"/>
  <c r="N765" i="11"/>
  <c r="M765" i="11"/>
  <c r="L765" i="11"/>
  <c r="K765" i="11"/>
  <c r="J765" i="11"/>
  <c r="AC907" i="11"/>
  <c r="AB907" i="11"/>
  <c r="AA907" i="11"/>
  <c r="Z907" i="11"/>
  <c r="Y907" i="11"/>
  <c r="X907" i="11"/>
  <c r="W907" i="11"/>
  <c r="V907" i="11"/>
  <c r="U907" i="11"/>
  <c r="T907" i="11"/>
  <c r="S907" i="11"/>
  <c r="R907" i="11"/>
  <c r="Q907" i="11"/>
  <c r="P907" i="11"/>
  <c r="O907" i="11"/>
  <c r="N907" i="11"/>
  <c r="M907" i="11"/>
  <c r="L907" i="11"/>
  <c r="K907" i="11"/>
  <c r="J907" i="11"/>
  <c r="AC600" i="11"/>
  <c r="AB600" i="11"/>
  <c r="AA600" i="11"/>
  <c r="Z600" i="11"/>
  <c r="Y600" i="11"/>
  <c r="X600" i="11"/>
  <c r="W600" i="11"/>
  <c r="V600" i="11"/>
  <c r="U600" i="11"/>
  <c r="T600" i="11"/>
  <c r="S600" i="11"/>
  <c r="R600" i="11"/>
  <c r="Q600" i="11"/>
  <c r="P600" i="11"/>
  <c r="O600" i="11"/>
  <c r="N600" i="11"/>
  <c r="M600" i="11"/>
  <c r="L600" i="11"/>
  <c r="K600" i="11"/>
  <c r="J600" i="11"/>
  <c r="AC546" i="11"/>
  <c r="AB546" i="11"/>
  <c r="AA546" i="11"/>
  <c r="Z546" i="11"/>
  <c r="Y546" i="11"/>
  <c r="X546" i="11"/>
  <c r="W546" i="11"/>
  <c r="V546" i="11"/>
  <c r="U546" i="11"/>
  <c r="T546" i="11"/>
  <c r="S546" i="11"/>
  <c r="R546" i="11"/>
  <c r="Q546" i="11"/>
  <c r="P546" i="11"/>
  <c r="O546" i="11"/>
  <c r="N546" i="11"/>
  <c r="M546" i="11"/>
  <c r="L546" i="11"/>
  <c r="K546" i="11"/>
  <c r="J546" i="11"/>
  <c r="AC545" i="11"/>
  <c r="AB545" i="11"/>
  <c r="AA545" i="11"/>
  <c r="Z545" i="11"/>
  <c r="Y545" i="11"/>
  <c r="X545" i="11"/>
  <c r="W545" i="11"/>
  <c r="V545" i="11"/>
  <c r="U545" i="11"/>
  <c r="T545" i="11"/>
  <c r="S545" i="11"/>
  <c r="R545" i="11"/>
  <c r="Q545" i="11"/>
  <c r="P545" i="11"/>
  <c r="O545" i="11"/>
  <c r="N545" i="11"/>
  <c r="M545" i="11"/>
  <c r="L545" i="11"/>
  <c r="K545" i="11"/>
  <c r="J545" i="11"/>
  <c r="AC1073" i="11"/>
  <c r="AB1073" i="11"/>
  <c r="AA1073" i="11"/>
  <c r="Z1073" i="11"/>
  <c r="Y1073" i="11"/>
  <c r="X1073" i="11"/>
  <c r="W1073" i="11"/>
  <c r="V1073" i="11"/>
  <c r="U1073" i="11"/>
  <c r="T1073" i="11"/>
  <c r="S1073" i="11"/>
  <c r="R1073" i="11"/>
  <c r="Q1073" i="11"/>
  <c r="P1073" i="11"/>
  <c r="O1073" i="11"/>
  <c r="N1073" i="11"/>
  <c r="M1073" i="11"/>
  <c r="L1073" i="11"/>
  <c r="K1073" i="11"/>
  <c r="J1073" i="11"/>
  <c r="AC1072" i="11"/>
  <c r="AB1072" i="11"/>
  <c r="AA1072" i="11"/>
  <c r="Z1072" i="11"/>
  <c r="Y1072" i="11"/>
  <c r="X1072" i="11"/>
  <c r="W1072" i="11"/>
  <c r="V1072" i="11"/>
  <c r="U1072" i="11"/>
  <c r="T1072" i="11"/>
  <c r="S1072" i="11"/>
  <c r="R1072" i="11"/>
  <c r="Q1072" i="11"/>
  <c r="P1072" i="11"/>
  <c r="O1072" i="11"/>
  <c r="N1072" i="11"/>
  <c r="M1072" i="11"/>
  <c r="L1072" i="11"/>
  <c r="K1072" i="11"/>
  <c r="J1072" i="11"/>
  <c r="AC381" i="11"/>
  <c r="AB381" i="11"/>
  <c r="AA381" i="11"/>
  <c r="Z381" i="11"/>
  <c r="Y381" i="11"/>
  <c r="X381" i="11"/>
  <c r="W381" i="11"/>
  <c r="V381" i="11"/>
  <c r="U381" i="11"/>
  <c r="T381" i="11"/>
  <c r="S381" i="11"/>
  <c r="R381" i="11"/>
  <c r="Q381" i="11"/>
  <c r="P381" i="11"/>
  <c r="O381" i="11"/>
  <c r="N381" i="11"/>
  <c r="M381" i="11"/>
  <c r="L381" i="11"/>
  <c r="K381" i="11"/>
  <c r="J381" i="11"/>
  <c r="AC1145" i="11"/>
  <c r="AB1145" i="11"/>
  <c r="AA1145" i="11"/>
  <c r="Z1145" i="11"/>
  <c r="Y1145" i="11"/>
  <c r="X1145" i="11"/>
  <c r="W1145" i="11"/>
  <c r="V1145" i="11"/>
  <c r="U1145" i="11"/>
  <c r="T1145" i="11"/>
  <c r="S1145" i="11"/>
  <c r="R1145" i="11"/>
  <c r="Q1145" i="11"/>
  <c r="P1145" i="11"/>
  <c r="O1145" i="11"/>
  <c r="N1145" i="11"/>
  <c r="M1145" i="11"/>
  <c r="L1145" i="11"/>
  <c r="K1145" i="11"/>
  <c r="J1145" i="11"/>
  <c r="AC1529" i="11"/>
  <c r="AB1529" i="11"/>
  <c r="AA1529" i="11"/>
  <c r="Z1529" i="11"/>
  <c r="Y1529" i="11"/>
  <c r="X1529" i="11"/>
  <c r="W1529" i="11"/>
  <c r="V1529" i="11"/>
  <c r="U1529" i="11"/>
  <c r="T1529" i="11"/>
  <c r="S1529" i="11"/>
  <c r="R1529" i="11"/>
  <c r="Q1529" i="11"/>
  <c r="P1529" i="11"/>
  <c r="O1529" i="11"/>
  <c r="N1529" i="11"/>
  <c r="M1529" i="11"/>
  <c r="L1529" i="11"/>
  <c r="K1529" i="11"/>
  <c r="J1529" i="11"/>
  <c r="AC213" i="11"/>
  <c r="AB213" i="11"/>
  <c r="AA213" i="11"/>
  <c r="Z213" i="11"/>
  <c r="Y213" i="11"/>
  <c r="X213" i="11"/>
  <c r="W213" i="11"/>
  <c r="V213" i="11"/>
  <c r="U213" i="11"/>
  <c r="T213" i="11"/>
  <c r="S213" i="11"/>
  <c r="R213" i="11"/>
  <c r="Q213" i="11"/>
  <c r="P213" i="11"/>
  <c r="O213" i="11"/>
  <c r="N213" i="11"/>
  <c r="M213" i="11"/>
  <c r="L213" i="11"/>
  <c r="K213" i="11"/>
  <c r="J213" i="11"/>
  <c r="AC1144" i="11"/>
  <c r="AB1144" i="11"/>
  <c r="AA1144" i="11"/>
  <c r="Z1144" i="11"/>
  <c r="Y1144" i="11"/>
  <c r="X1144" i="11"/>
  <c r="W1144" i="11"/>
  <c r="V1144" i="11"/>
  <c r="U1144" i="11"/>
  <c r="T1144" i="11"/>
  <c r="S1144" i="11"/>
  <c r="R1144" i="11"/>
  <c r="Q1144" i="11"/>
  <c r="P1144" i="11"/>
  <c r="O1144" i="11"/>
  <c r="N1144" i="11"/>
  <c r="M1144" i="11"/>
  <c r="L1144" i="11"/>
  <c r="K1144" i="11"/>
  <c r="J1144" i="11"/>
  <c r="AC254" i="11"/>
  <c r="AB254" i="11"/>
  <c r="AA254" i="11"/>
  <c r="Z254" i="11"/>
  <c r="Y254" i="11"/>
  <c r="X254" i="11"/>
  <c r="W254" i="11"/>
  <c r="V254" i="11"/>
  <c r="U254" i="11"/>
  <c r="T254" i="11"/>
  <c r="S254" i="11"/>
  <c r="R254" i="11"/>
  <c r="Q254" i="11"/>
  <c r="P254" i="11"/>
  <c r="O254" i="11"/>
  <c r="N254" i="11"/>
  <c r="M254" i="11"/>
  <c r="L254" i="11"/>
  <c r="K254" i="11"/>
  <c r="J254" i="11"/>
  <c r="AC1222" i="11"/>
  <c r="AB1222" i="11"/>
  <c r="AA1222" i="11"/>
  <c r="Z1222" i="11"/>
  <c r="Y1222" i="11"/>
  <c r="X1222" i="11"/>
  <c r="W1222" i="11"/>
  <c r="V1222" i="11"/>
  <c r="U1222" i="11"/>
  <c r="T1222" i="11"/>
  <c r="S1222" i="11"/>
  <c r="R1222" i="11"/>
  <c r="Q1222" i="11"/>
  <c r="P1222" i="11"/>
  <c r="O1222" i="11"/>
  <c r="N1222" i="11"/>
  <c r="M1222" i="11"/>
  <c r="L1222" i="11"/>
  <c r="K1222" i="11"/>
  <c r="J1222" i="11"/>
  <c r="AC1993" i="11"/>
  <c r="AB1993" i="11"/>
  <c r="AA1993" i="11"/>
  <c r="Z1993" i="11"/>
  <c r="Y1993" i="11"/>
  <c r="X1993" i="11"/>
  <c r="W1993" i="11"/>
  <c r="V1993" i="11"/>
  <c r="U1993" i="11"/>
  <c r="T1993" i="11"/>
  <c r="S1993" i="11"/>
  <c r="R1993" i="11"/>
  <c r="Q1993" i="11"/>
  <c r="P1993" i="11"/>
  <c r="O1993" i="11"/>
  <c r="N1993" i="11"/>
  <c r="M1993" i="11"/>
  <c r="L1993" i="11"/>
  <c r="K1993" i="11"/>
  <c r="J1993" i="11"/>
  <c r="AC1709" i="11"/>
  <c r="AB1709" i="11"/>
  <c r="AA1709" i="11"/>
  <c r="Z1709" i="11"/>
  <c r="Y1709" i="11"/>
  <c r="X1709" i="11"/>
  <c r="W1709" i="11"/>
  <c r="V1709" i="11"/>
  <c r="U1709" i="11"/>
  <c r="T1709" i="11"/>
  <c r="S1709" i="11"/>
  <c r="R1709" i="11"/>
  <c r="Q1709" i="11"/>
  <c r="P1709" i="11"/>
  <c r="O1709" i="11"/>
  <c r="N1709" i="11"/>
  <c r="M1709" i="11"/>
  <c r="L1709" i="11"/>
  <c r="K1709" i="11"/>
  <c r="J1709" i="11"/>
  <c r="AC117" i="11"/>
  <c r="AB117" i="11"/>
  <c r="AA117" i="11"/>
  <c r="Z117" i="11"/>
  <c r="Y117" i="11"/>
  <c r="X117" i="11"/>
  <c r="W117" i="11"/>
  <c r="V117" i="11"/>
  <c r="U117" i="11"/>
  <c r="T117" i="11"/>
  <c r="S117" i="11"/>
  <c r="R117" i="11"/>
  <c r="Q117" i="11"/>
  <c r="P117" i="11"/>
  <c r="O117" i="11"/>
  <c r="N117" i="11"/>
  <c r="M117" i="11"/>
  <c r="L117" i="11"/>
  <c r="K117" i="11"/>
  <c r="J117" i="11"/>
  <c r="AC116" i="11"/>
  <c r="AB116" i="11"/>
  <c r="AA116" i="11"/>
  <c r="Z116" i="11"/>
  <c r="Y116" i="11"/>
  <c r="X116" i="11"/>
  <c r="W116" i="11"/>
  <c r="V116" i="11"/>
  <c r="U116" i="11"/>
  <c r="T116" i="11"/>
  <c r="S116" i="11"/>
  <c r="R116" i="11"/>
  <c r="Q116" i="11"/>
  <c r="P116" i="11"/>
  <c r="O116" i="11"/>
  <c r="N116" i="11"/>
  <c r="M116" i="11"/>
  <c r="L116" i="11"/>
  <c r="K116" i="11"/>
  <c r="J116" i="11"/>
  <c r="AC142" i="11"/>
  <c r="AB142" i="11"/>
  <c r="AA142" i="11"/>
  <c r="Z142" i="11"/>
  <c r="Y142" i="11"/>
  <c r="X142" i="11"/>
  <c r="W142" i="11"/>
  <c r="V142" i="11"/>
  <c r="U142" i="11"/>
  <c r="T142" i="11"/>
  <c r="S142" i="11"/>
  <c r="R142" i="11"/>
  <c r="Q142" i="11"/>
  <c r="P142" i="11"/>
  <c r="O142" i="11"/>
  <c r="N142" i="11"/>
  <c r="M142" i="11"/>
  <c r="L142" i="11"/>
  <c r="K142" i="11"/>
  <c r="J142" i="11"/>
  <c r="AC179" i="11"/>
  <c r="AB179" i="11"/>
  <c r="AA179" i="11"/>
  <c r="Z179" i="11"/>
  <c r="Y179" i="11"/>
  <c r="X179" i="11"/>
  <c r="W179" i="11"/>
  <c r="V179" i="11"/>
  <c r="U179" i="11"/>
  <c r="T179" i="11"/>
  <c r="S179" i="11"/>
  <c r="R179" i="11"/>
  <c r="Q179" i="11"/>
  <c r="P179" i="11"/>
  <c r="O179" i="11"/>
  <c r="N179" i="11"/>
  <c r="M179" i="11"/>
  <c r="L179" i="11"/>
  <c r="K179" i="11"/>
  <c r="J179" i="11"/>
  <c r="AC1447" i="11"/>
  <c r="AB1447" i="11"/>
  <c r="AA1447" i="11"/>
  <c r="Z1447" i="11"/>
  <c r="Y1447" i="11"/>
  <c r="X1447" i="11"/>
  <c r="W1447" i="11"/>
  <c r="V1447" i="11"/>
  <c r="U1447" i="11"/>
  <c r="T1447" i="11"/>
  <c r="S1447" i="11"/>
  <c r="R1447" i="11"/>
  <c r="Q1447" i="11"/>
  <c r="P1447" i="11"/>
  <c r="O1447" i="11"/>
  <c r="N1447" i="11"/>
  <c r="M1447" i="11"/>
  <c r="L1447" i="11"/>
  <c r="K1447" i="11"/>
  <c r="J1447" i="11"/>
  <c r="AC1446" i="11"/>
  <c r="AB1446" i="11"/>
  <c r="AA1446" i="11"/>
  <c r="Z1446" i="11"/>
  <c r="Y1446" i="11"/>
  <c r="X1446" i="11"/>
  <c r="W1446" i="11"/>
  <c r="V1446" i="11"/>
  <c r="U1446" i="11"/>
  <c r="T1446" i="11"/>
  <c r="S1446" i="11"/>
  <c r="R1446" i="11"/>
  <c r="Q1446" i="11"/>
  <c r="P1446" i="11"/>
  <c r="O1446" i="11"/>
  <c r="N1446" i="11"/>
  <c r="M1446" i="11"/>
  <c r="L1446" i="11"/>
  <c r="K1446" i="11"/>
  <c r="J1446" i="11"/>
  <c r="AC299" i="11"/>
  <c r="AB299" i="11"/>
  <c r="AA299" i="11"/>
  <c r="Z299" i="11"/>
  <c r="Y299" i="11"/>
  <c r="X299" i="11"/>
  <c r="W299" i="11"/>
  <c r="V299" i="11"/>
  <c r="U299" i="11"/>
  <c r="T299" i="11"/>
  <c r="S299" i="11"/>
  <c r="R299" i="11"/>
  <c r="Q299" i="11"/>
  <c r="P299" i="11"/>
  <c r="O299" i="11"/>
  <c r="N299" i="11"/>
  <c r="M299" i="11"/>
  <c r="L299" i="11"/>
  <c r="K299" i="11"/>
  <c r="J299" i="11"/>
  <c r="AC1802" i="11"/>
  <c r="AB1802" i="11"/>
  <c r="AA1802" i="11"/>
  <c r="Z1802" i="11"/>
  <c r="Y1802" i="11"/>
  <c r="X1802" i="11"/>
  <c r="W1802" i="11"/>
  <c r="V1802" i="11"/>
  <c r="U1802" i="11"/>
  <c r="T1802" i="11"/>
  <c r="S1802" i="11"/>
  <c r="R1802" i="11"/>
  <c r="Q1802" i="11"/>
  <c r="P1802" i="11"/>
  <c r="O1802" i="11"/>
  <c r="N1802" i="11"/>
  <c r="M1802" i="11"/>
  <c r="L1802" i="11"/>
  <c r="K1802" i="11"/>
  <c r="J1802" i="11"/>
  <c r="AC906" i="11"/>
  <c r="AB906" i="11"/>
  <c r="AA906" i="11"/>
  <c r="Z906" i="11"/>
  <c r="Y906" i="11"/>
  <c r="X906" i="11"/>
  <c r="W906" i="11"/>
  <c r="V906" i="11"/>
  <c r="U906" i="11"/>
  <c r="T906" i="11"/>
  <c r="S906" i="11"/>
  <c r="R906" i="11"/>
  <c r="Q906" i="11"/>
  <c r="P906" i="11"/>
  <c r="O906" i="11"/>
  <c r="N906" i="11"/>
  <c r="M906" i="11"/>
  <c r="L906" i="11"/>
  <c r="K906" i="11"/>
  <c r="J906" i="11"/>
  <c r="AC340" i="11"/>
  <c r="AB340" i="11"/>
  <c r="AA340" i="11"/>
  <c r="Z340" i="11"/>
  <c r="Y340" i="11"/>
  <c r="X340" i="11"/>
  <c r="W340" i="11"/>
  <c r="V340" i="11"/>
  <c r="U340" i="11"/>
  <c r="T340" i="11"/>
  <c r="S340" i="11"/>
  <c r="R340" i="11"/>
  <c r="Q340" i="11"/>
  <c r="P340" i="11"/>
  <c r="O340" i="11"/>
  <c r="N340" i="11"/>
  <c r="M340" i="11"/>
  <c r="L340" i="11"/>
  <c r="K340" i="11"/>
  <c r="J340" i="11"/>
  <c r="AC1143" i="11"/>
  <c r="AB1143" i="11"/>
  <c r="AA1143" i="11"/>
  <c r="Z1143" i="11"/>
  <c r="Y1143" i="11"/>
  <c r="X1143" i="11"/>
  <c r="W1143" i="11"/>
  <c r="V1143" i="11"/>
  <c r="U1143" i="11"/>
  <c r="T1143" i="11"/>
  <c r="S1143" i="11"/>
  <c r="R1143" i="11"/>
  <c r="Q1143" i="11"/>
  <c r="P1143" i="11"/>
  <c r="O1143" i="11"/>
  <c r="N1143" i="11"/>
  <c r="M1143" i="11"/>
  <c r="L1143" i="11"/>
  <c r="K1143" i="11"/>
  <c r="J1143" i="11"/>
  <c r="AC339" i="11"/>
  <c r="AB339" i="11"/>
  <c r="AA339" i="11"/>
  <c r="Z339" i="11"/>
  <c r="Y339" i="11"/>
  <c r="X339" i="11"/>
  <c r="W339" i="11"/>
  <c r="V339" i="11"/>
  <c r="U339" i="11"/>
  <c r="T339" i="11"/>
  <c r="S339" i="11"/>
  <c r="R339" i="11"/>
  <c r="Q339" i="11"/>
  <c r="P339" i="11"/>
  <c r="O339" i="11"/>
  <c r="N339" i="11"/>
  <c r="M339" i="11"/>
  <c r="L339" i="11"/>
  <c r="K339" i="11"/>
  <c r="J339" i="11"/>
  <c r="AC676" i="11"/>
  <c r="AB676" i="11"/>
  <c r="AA676" i="11"/>
  <c r="Z676" i="11"/>
  <c r="Y676" i="11"/>
  <c r="X676" i="11"/>
  <c r="W676" i="11"/>
  <c r="V676" i="11"/>
  <c r="U676" i="11"/>
  <c r="T676" i="11"/>
  <c r="S676" i="11"/>
  <c r="R676" i="11"/>
  <c r="Q676" i="11"/>
  <c r="P676" i="11"/>
  <c r="O676" i="11"/>
  <c r="N676" i="11"/>
  <c r="M676" i="11"/>
  <c r="L676" i="11"/>
  <c r="K676" i="11"/>
  <c r="J676" i="11"/>
  <c r="AC464" i="11"/>
  <c r="AB464" i="11"/>
  <c r="AA464" i="11"/>
  <c r="Z464" i="11"/>
  <c r="Y464" i="11"/>
  <c r="X464" i="11"/>
  <c r="W464" i="11"/>
  <c r="V464" i="11"/>
  <c r="U464" i="11"/>
  <c r="T464" i="11"/>
  <c r="S464" i="11"/>
  <c r="R464" i="11"/>
  <c r="Q464" i="11"/>
  <c r="P464" i="11"/>
  <c r="O464" i="11"/>
  <c r="N464" i="11"/>
  <c r="M464" i="11"/>
  <c r="L464" i="11"/>
  <c r="K464" i="11"/>
  <c r="J464" i="11"/>
  <c r="AC1276" i="11"/>
  <c r="AB1276" i="11"/>
  <c r="AA1276" i="11"/>
  <c r="Z1276" i="11"/>
  <c r="Y1276" i="11"/>
  <c r="X1276" i="11"/>
  <c r="W1276" i="11"/>
  <c r="V1276" i="11"/>
  <c r="U1276" i="11"/>
  <c r="T1276" i="11"/>
  <c r="S1276" i="11"/>
  <c r="R1276" i="11"/>
  <c r="Q1276" i="11"/>
  <c r="P1276" i="11"/>
  <c r="O1276" i="11"/>
  <c r="N1276" i="11"/>
  <c r="M1276" i="11"/>
  <c r="L1276" i="11"/>
  <c r="K1276" i="11"/>
  <c r="J1276" i="11"/>
  <c r="AC599" i="11"/>
  <c r="AB599" i="11"/>
  <c r="AA599" i="11"/>
  <c r="Z599" i="11"/>
  <c r="Y599" i="11"/>
  <c r="X599" i="11"/>
  <c r="W599" i="11"/>
  <c r="V599" i="11"/>
  <c r="U599" i="11"/>
  <c r="T599" i="11"/>
  <c r="S599" i="11"/>
  <c r="R599" i="11"/>
  <c r="Q599" i="11"/>
  <c r="P599" i="11"/>
  <c r="O599" i="11"/>
  <c r="N599" i="11"/>
  <c r="M599" i="11"/>
  <c r="L599" i="11"/>
  <c r="K599" i="11"/>
  <c r="J599" i="11"/>
  <c r="AC141" i="11"/>
  <c r="AB141" i="11"/>
  <c r="AA141" i="11"/>
  <c r="Z141" i="11"/>
  <c r="Y141" i="11"/>
  <c r="X141" i="11"/>
  <c r="W141" i="11"/>
  <c r="V141" i="11"/>
  <c r="U141" i="11"/>
  <c r="T141" i="11"/>
  <c r="S141" i="11"/>
  <c r="R141" i="11"/>
  <c r="Q141" i="11"/>
  <c r="P141" i="11"/>
  <c r="O141" i="11"/>
  <c r="N141" i="11"/>
  <c r="M141" i="11"/>
  <c r="L141" i="11"/>
  <c r="K141" i="11"/>
  <c r="J141" i="11"/>
  <c r="AC1221" i="11"/>
  <c r="AB1221" i="11"/>
  <c r="AA1221" i="11"/>
  <c r="Z1221" i="11"/>
  <c r="Y1221" i="11"/>
  <c r="X1221" i="11"/>
  <c r="W1221" i="11"/>
  <c r="V1221" i="11"/>
  <c r="U1221" i="11"/>
  <c r="T1221" i="11"/>
  <c r="S1221" i="11"/>
  <c r="R1221" i="11"/>
  <c r="Q1221" i="11"/>
  <c r="P1221" i="11"/>
  <c r="O1221" i="11"/>
  <c r="N1221" i="11"/>
  <c r="M1221" i="11"/>
  <c r="L1221" i="11"/>
  <c r="K1221" i="11"/>
  <c r="J1221" i="11"/>
  <c r="AC764" i="11"/>
  <c r="AB764" i="11"/>
  <c r="AA764" i="11"/>
  <c r="Z764" i="11"/>
  <c r="Y764" i="11"/>
  <c r="X764" i="11"/>
  <c r="W764" i="11"/>
  <c r="V764" i="11"/>
  <c r="U764" i="11"/>
  <c r="T764" i="11"/>
  <c r="S764" i="11"/>
  <c r="R764" i="11"/>
  <c r="Q764" i="11"/>
  <c r="P764" i="11"/>
  <c r="O764" i="11"/>
  <c r="N764" i="11"/>
  <c r="M764" i="11"/>
  <c r="L764" i="11"/>
  <c r="K764" i="11"/>
  <c r="J764" i="11"/>
  <c r="AC253" i="11"/>
  <c r="AB253" i="11"/>
  <c r="AA253" i="11"/>
  <c r="Z253" i="11"/>
  <c r="Y253" i="11"/>
  <c r="X253" i="11"/>
  <c r="W253" i="11"/>
  <c r="V253" i="11"/>
  <c r="U253" i="11"/>
  <c r="T253" i="11"/>
  <c r="S253" i="11"/>
  <c r="R253" i="11"/>
  <c r="Q253" i="11"/>
  <c r="P253" i="11"/>
  <c r="O253" i="11"/>
  <c r="N253" i="11"/>
  <c r="M253" i="11"/>
  <c r="L253" i="11"/>
  <c r="K253" i="11"/>
  <c r="J253" i="11"/>
  <c r="AC675" i="11"/>
  <c r="AB675" i="11"/>
  <c r="AA675" i="11"/>
  <c r="Z675" i="11"/>
  <c r="Y675" i="11"/>
  <c r="X675" i="11"/>
  <c r="W675" i="11"/>
  <c r="V675" i="11"/>
  <c r="U675" i="11"/>
  <c r="T675" i="11"/>
  <c r="S675" i="11"/>
  <c r="R675" i="11"/>
  <c r="Q675" i="11"/>
  <c r="P675" i="11"/>
  <c r="O675" i="11"/>
  <c r="N675" i="11"/>
  <c r="M675" i="11"/>
  <c r="L675" i="11"/>
  <c r="K675" i="11"/>
  <c r="J675" i="11"/>
  <c r="AC298" i="11"/>
  <c r="AB298" i="11"/>
  <c r="AA298" i="11"/>
  <c r="Z298" i="11"/>
  <c r="Y298" i="11"/>
  <c r="X298" i="11"/>
  <c r="W298" i="11"/>
  <c r="V298" i="11"/>
  <c r="U298" i="11"/>
  <c r="T298" i="11"/>
  <c r="S298" i="11"/>
  <c r="R298" i="11"/>
  <c r="Q298" i="11"/>
  <c r="P298" i="11"/>
  <c r="O298" i="11"/>
  <c r="N298" i="11"/>
  <c r="M298" i="11"/>
  <c r="L298" i="11"/>
  <c r="K298" i="11"/>
  <c r="J298" i="11"/>
  <c r="AC1142" i="11"/>
  <c r="AB1142" i="11"/>
  <c r="AA1142" i="11"/>
  <c r="Z1142" i="11"/>
  <c r="Y1142" i="11"/>
  <c r="X1142" i="11"/>
  <c r="W1142" i="11"/>
  <c r="V1142" i="11"/>
  <c r="U1142" i="11"/>
  <c r="T1142" i="11"/>
  <c r="S1142" i="11"/>
  <c r="R1142" i="11"/>
  <c r="Q1142" i="11"/>
  <c r="P1142" i="11"/>
  <c r="O1142" i="11"/>
  <c r="N1142" i="11"/>
  <c r="M1142" i="11"/>
  <c r="L1142" i="11"/>
  <c r="K1142" i="11"/>
  <c r="J1142" i="11"/>
  <c r="AC1141" i="11"/>
  <c r="AB1141" i="11"/>
  <c r="AA1141" i="11"/>
  <c r="Z1141" i="11"/>
  <c r="Y1141" i="11"/>
  <c r="X1141" i="11"/>
  <c r="W1141" i="11"/>
  <c r="V1141" i="11"/>
  <c r="U1141" i="11"/>
  <c r="T1141" i="11"/>
  <c r="S1141" i="11"/>
  <c r="R1141" i="11"/>
  <c r="Q1141" i="11"/>
  <c r="P1141" i="11"/>
  <c r="O1141" i="11"/>
  <c r="N1141" i="11"/>
  <c r="M1141" i="11"/>
  <c r="L1141" i="11"/>
  <c r="K1141" i="11"/>
  <c r="J1141" i="11"/>
  <c r="AC1708" i="11"/>
  <c r="AB1708" i="11"/>
  <c r="AA1708" i="11"/>
  <c r="Z1708" i="11"/>
  <c r="Y1708" i="11"/>
  <c r="X1708" i="11"/>
  <c r="W1708" i="11"/>
  <c r="V1708" i="11"/>
  <c r="U1708" i="11"/>
  <c r="T1708" i="11"/>
  <c r="S1708" i="11"/>
  <c r="R1708" i="11"/>
  <c r="Q1708" i="11"/>
  <c r="P1708" i="11"/>
  <c r="O1708" i="11"/>
  <c r="N1708" i="11"/>
  <c r="M1708" i="11"/>
  <c r="L1708" i="11"/>
  <c r="K1708" i="11"/>
  <c r="J1708" i="11"/>
  <c r="AC57" i="11"/>
  <c r="AB57" i="11"/>
  <c r="AA57" i="11"/>
  <c r="Z57" i="11"/>
  <c r="Y57" i="11"/>
  <c r="X57" i="11"/>
  <c r="W57" i="11"/>
  <c r="V57" i="11"/>
  <c r="U57" i="11"/>
  <c r="T57" i="11"/>
  <c r="S57" i="11"/>
  <c r="R57" i="11"/>
  <c r="Q57" i="11"/>
  <c r="P57" i="11"/>
  <c r="O57" i="11"/>
  <c r="N57" i="11"/>
  <c r="M57" i="11"/>
  <c r="L57" i="11"/>
  <c r="K57" i="11"/>
  <c r="J57" i="11"/>
  <c r="AC380" i="11"/>
  <c r="AB380" i="11"/>
  <c r="AA380" i="11"/>
  <c r="Z380" i="11"/>
  <c r="Y380" i="11"/>
  <c r="X380" i="11"/>
  <c r="W380" i="11"/>
  <c r="V380" i="11"/>
  <c r="U380" i="11"/>
  <c r="T380" i="11"/>
  <c r="S380" i="11"/>
  <c r="R380" i="11"/>
  <c r="Q380" i="11"/>
  <c r="P380" i="11"/>
  <c r="O380" i="11"/>
  <c r="N380" i="11"/>
  <c r="M380" i="11"/>
  <c r="L380" i="11"/>
  <c r="K380" i="11"/>
  <c r="J380" i="11"/>
  <c r="AC338" i="11"/>
  <c r="AB338" i="11"/>
  <c r="AA338" i="11"/>
  <c r="Z338" i="11"/>
  <c r="Y338" i="11"/>
  <c r="X338" i="11"/>
  <c r="W338" i="11"/>
  <c r="V338" i="11"/>
  <c r="U338" i="11"/>
  <c r="T338" i="11"/>
  <c r="S338" i="11"/>
  <c r="R338" i="11"/>
  <c r="Q338" i="11"/>
  <c r="P338" i="11"/>
  <c r="O338" i="11"/>
  <c r="N338" i="11"/>
  <c r="M338" i="11"/>
  <c r="L338" i="11"/>
  <c r="K338" i="11"/>
  <c r="J338" i="11"/>
  <c r="AC463" i="11"/>
  <c r="AB463" i="11"/>
  <c r="AA463" i="11"/>
  <c r="Z463" i="11"/>
  <c r="Y463" i="11"/>
  <c r="X463" i="11"/>
  <c r="W463" i="11"/>
  <c r="V463" i="11"/>
  <c r="U463" i="11"/>
  <c r="T463" i="11"/>
  <c r="S463" i="11"/>
  <c r="R463" i="11"/>
  <c r="Q463" i="11"/>
  <c r="P463" i="11"/>
  <c r="O463" i="11"/>
  <c r="N463" i="11"/>
  <c r="M463" i="11"/>
  <c r="L463" i="11"/>
  <c r="K463" i="11"/>
  <c r="J463" i="11"/>
  <c r="AC989" i="11"/>
  <c r="AB989" i="11"/>
  <c r="AA989" i="11"/>
  <c r="Z989" i="11"/>
  <c r="Y989" i="11"/>
  <c r="X989" i="11"/>
  <c r="W989" i="11"/>
  <c r="V989" i="11"/>
  <c r="U989" i="11"/>
  <c r="T989" i="11"/>
  <c r="S989" i="11"/>
  <c r="R989" i="11"/>
  <c r="Q989" i="11"/>
  <c r="P989" i="11"/>
  <c r="O989" i="11"/>
  <c r="N989" i="11"/>
  <c r="M989" i="11"/>
  <c r="L989" i="11"/>
  <c r="K989" i="11"/>
  <c r="J989" i="11"/>
  <c r="AC379" i="11"/>
  <c r="AB379" i="11"/>
  <c r="AA379" i="11"/>
  <c r="Z379" i="11"/>
  <c r="Y379" i="11"/>
  <c r="X379" i="11"/>
  <c r="W379" i="11"/>
  <c r="V379" i="11"/>
  <c r="U379" i="11"/>
  <c r="T379" i="11"/>
  <c r="S379" i="11"/>
  <c r="R379" i="11"/>
  <c r="Q379" i="11"/>
  <c r="P379" i="11"/>
  <c r="O379" i="11"/>
  <c r="N379" i="11"/>
  <c r="M379" i="11"/>
  <c r="L379" i="11"/>
  <c r="K379" i="11"/>
  <c r="J379" i="11"/>
  <c r="AC252" i="11"/>
  <c r="AB252" i="11"/>
  <c r="AA252" i="11"/>
  <c r="Z252" i="11"/>
  <c r="Y252" i="11"/>
  <c r="X252" i="11"/>
  <c r="W252" i="11"/>
  <c r="V252" i="11"/>
  <c r="U252" i="11"/>
  <c r="T252" i="11"/>
  <c r="S252" i="11"/>
  <c r="R252" i="11"/>
  <c r="Q252" i="11"/>
  <c r="P252" i="11"/>
  <c r="O252" i="11"/>
  <c r="N252" i="11"/>
  <c r="M252" i="11"/>
  <c r="L252" i="11"/>
  <c r="K252" i="11"/>
  <c r="J252" i="11"/>
  <c r="AC462" i="11"/>
  <c r="AB462" i="11"/>
  <c r="AA462" i="11"/>
  <c r="Z462" i="11"/>
  <c r="Y462" i="11"/>
  <c r="X462" i="11"/>
  <c r="W462" i="11"/>
  <c r="V462" i="11"/>
  <c r="U462" i="11"/>
  <c r="T462" i="11"/>
  <c r="S462" i="11"/>
  <c r="R462" i="11"/>
  <c r="Q462" i="11"/>
  <c r="P462" i="11"/>
  <c r="O462" i="11"/>
  <c r="N462" i="11"/>
  <c r="M462" i="11"/>
  <c r="L462" i="11"/>
  <c r="K462" i="11"/>
  <c r="J462" i="11"/>
  <c r="AC461" i="11"/>
  <c r="AB461" i="11"/>
  <c r="AA461" i="11"/>
  <c r="Z461" i="11"/>
  <c r="Y461" i="11"/>
  <c r="X461" i="11"/>
  <c r="W461" i="11"/>
  <c r="V461" i="11"/>
  <c r="U461" i="11"/>
  <c r="T461" i="11"/>
  <c r="S461" i="11"/>
  <c r="R461" i="11"/>
  <c r="Q461" i="11"/>
  <c r="P461" i="11"/>
  <c r="O461" i="11"/>
  <c r="N461" i="11"/>
  <c r="M461" i="11"/>
  <c r="L461" i="11"/>
  <c r="K461" i="11"/>
  <c r="J461" i="11"/>
  <c r="AC905" i="11"/>
  <c r="AB905" i="11"/>
  <c r="AA905" i="11"/>
  <c r="Z905" i="11"/>
  <c r="Y905" i="11"/>
  <c r="X905" i="11"/>
  <c r="W905" i="11"/>
  <c r="V905" i="11"/>
  <c r="U905" i="11"/>
  <c r="T905" i="11"/>
  <c r="S905" i="11"/>
  <c r="R905" i="11"/>
  <c r="Q905" i="11"/>
  <c r="P905" i="11"/>
  <c r="O905" i="11"/>
  <c r="N905" i="11"/>
  <c r="M905" i="11"/>
  <c r="L905" i="11"/>
  <c r="K905" i="11"/>
  <c r="J905" i="11"/>
  <c r="AC115" i="11"/>
  <c r="AB115" i="11"/>
  <c r="AA115" i="11"/>
  <c r="Z115" i="11"/>
  <c r="Y115" i="11"/>
  <c r="X115" i="11"/>
  <c r="W115" i="11"/>
  <c r="V115" i="11"/>
  <c r="U115" i="11"/>
  <c r="T115" i="11"/>
  <c r="S115" i="11"/>
  <c r="R115" i="11"/>
  <c r="Q115" i="11"/>
  <c r="P115" i="11"/>
  <c r="O115" i="11"/>
  <c r="N115" i="11"/>
  <c r="M115" i="11"/>
  <c r="L115" i="11"/>
  <c r="K115" i="11"/>
  <c r="J115" i="11"/>
  <c r="AC56" i="11"/>
  <c r="AB56" i="11"/>
  <c r="AA56" i="11"/>
  <c r="Z56" i="11"/>
  <c r="Y56" i="11"/>
  <c r="X56" i="11"/>
  <c r="W56" i="11"/>
  <c r="V56" i="11"/>
  <c r="U56" i="11"/>
  <c r="T56" i="11"/>
  <c r="S56" i="11"/>
  <c r="R56" i="11"/>
  <c r="Q56" i="11"/>
  <c r="P56" i="11"/>
  <c r="O56" i="11"/>
  <c r="N56" i="11"/>
  <c r="M56" i="11"/>
  <c r="L56" i="11"/>
  <c r="K56" i="11"/>
  <c r="J56" i="11"/>
  <c r="AC337" i="11"/>
  <c r="AB337" i="11"/>
  <c r="AA337" i="11"/>
  <c r="Z337" i="11"/>
  <c r="Y337" i="11"/>
  <c r="X337" i="11"/>
  <c r="W337" i="11"/>
  <c r="V337" i="11"/>
  <c r="U337" i="11"/>
  <c r="T337" i="11"/>
  <c r="S337" i="11"/>
  <c r="R337" i="11"/>
  <c r="Q337" i="11"/>
  <c r="P337" i="11"/>
  <c r="O337" i="11"/>
  <c r="N337" i="11"/>
  <c r="M337" i="11"/>
  <c r="L337" i="11"/>
  <c r="K337" i="11"/>
  <c r="J337" i="11"/>
  <c r="AC988" i="11"/>
  <c r="AB988" i="11"/>
  <c r="AA988" i="11"/>
  <c r="Z988" i="11"/>
  <c r="Y988" i="11"/>
  <c r="X988" i="11"/>
  <c r="W988" i="11"/>
  <c r="V988" i="11"/>
  <c r="U988" i="11"/>
  <c r="T988" i="11"/>
  <c r="S988" i="11"/>
  <c r="R988" i="11"/>
  <c r="Q988" i="11"/>
  <c r="P988" i="11"/>
  <c r="O988" i="11"/>
  <c r="N988" i="11"/>
  <c r="M988" i="11"/>
  <c r="L988" i="11"/>
  <c r="K988" i="11"/>
  <c r="J988" i="11"/>
  <c r="AC544" i="11"/>
  <c r="AB544" i="11"/>
  <c r="AA544" i="11"/>
  <c r="Z544" i="11"/>
  <c r="Y544" i="11"/>
  <c r="X544" i="11"/>
  <c r="W544" i="11"/>
  <c r="V544" i="11"/>
  <c r="U544" i="11"/>
  <c r="T544" i="11"/>
  <c r="S544" i="11"/>
  <c r="R544" i="11"/>
  <c r="Q544" i="11"/>
  <c r="P544" i="11"/>
  <c r="O544" i="11"/>
  <c r="N544" i="11"/>
  <c r="M544" i="11"/>
  <c r="L544" i="11"/>
  <c r="K544" i="11"/>
  <c r="J544" i="11"/>
  <c r="AC543" i="11"/>
  <c r="AB543" i="11"/>
  <c r="AA543" i="11"/>
  <c r="Z543" i="11"/>
  <c r="Y543" i="11"/>
  <c r="X543" i="11"/>
  <c r="W543" i="11"/>
  <c r="V543" i="11"/>
  <c r="U543" i="11"/>
  <c r="T543" i="11"/>
  <c r="S543" i="11"/>
  <c r="R543" i="11"/>
  <c r="Q543" i="11"/>
  <c r="P543" i="11"/>
  <c r="O543" i="11"/>
  <c r="N543" i="11"/>
  <c r="M543" i="11"/>
  <c r="L543" i="11"/>
  <c r="K543" i="11"/>
  <c r="J543" i="11"/>
  <c r="AC987" i="11"/>
  <c r="AB987" i="11"/>
  <c r="AA987" i="11"/>
  <c r="Z987" i="11"/>
  <c r="Y987" i="11"/>
  <c r="X987" i="11"/>
  <c r="W987" i="11"/>
  <c r="V987" i="11"/>
  <c r="U987" i="11"/>
  <c r="T987" i="11"/>
  <c r="S987" i="11"/>
  <c r="R987" i="11"/>
  <c r="Q987" i="11"/>
  <c r="P987" i="11"/>
  <c r="O987" i="11"/>
  <c r="N987" i="11"/>
  <c r="M987" i="11"/>
  <c r="L987" i="11"/>
  <c r="K987" i="11"/>
  <c r="J987" i="11"/>
  <c r="AC114" i="11"/>
  <c r="AB114" i="11"/>
  <c r="AA114" i="11"/>
  <c r="Z114" i="11"/>
  <c r="Y114" i="11"/>
  <c r="X114" i="11"/>
  <c r="W114" i="11"/>
  <c r="V114" i="11"/>
  <c r="U114" i="11"/>
  <c r="T114" i="11"/>
  <c r="S114" i="11"/>
  <c r="R114" i="11"/>
  <c r="Q114" i="11"/>
  <c r="P114" i="11"/>
  <c r="O114" i="11"/>
  <c r="N114" i="11"/>
  <c r="M114" i="11"/>
  <c r="L114" i="11"/>
  <c r="K114" i="11"/>
  <c r="J114" i="11"/>
  <c r="AC418" i="11"/>
  <c r="AB418" i="11"/>
  <c r="AA418" i="11"/>
  <c r="Z418" i="11"/>
  <c r="Y418" i="11"/>
  <c r="X418" i="11"/>
  <c r="W418" i="11"/>
  <c r="V418" i="11"/>
  <c r="U418" i="11"/>
  <c r="T418" i="11"/>
  <c r="S418" i="11"/>
  <c r="R418" i="11"/>
  <c r="Q418" i="11"/>
  <c r="P418" i="11"/>
  <c r="O418" i="11"/>
  <c r="N418" i="11"/>
  <c r="M418" i="11"/>
  <c r="L418" i="11"/>
  <c r="K418" i="11"/>
  <c r="J418" i="11"/>
  <c r="AC674" i="11"/>
  <c r="AB674" i="11"/>
  <c r="AA674" i="11"/>
  <c r="Z674" i="11"/>
  <c r="Y674" i="11"/>
  <c r="X674" i="11"/>
  <c r="W674" i="11"/>
  <c r="V674" i="11"/>
  <c r="U674" i="11"/>
  <c r="T674" i="11"/>
  <c r="S674" i="11"/>
  <c r="R674" i="11"/>
  <c r="Q674" i="11"/>
  <c r="P674" i="11"/>
  <c r="O674" i="11"/>
  <c r="N674" i="11"/>
  <c r="M674" i="11"/>
  <c r="L674" i="11"/>
  <c r="K674" i="11"/>
  <c r="J674" i="11"/>
  <c r="AC986" i="11"/>
  <c r="AB986" i="11"/>
  <c r="AA986" i="11"/>
  <c r="Z986" i="11"/>
  <c r="Y986" i="11"/>
  <c r="X986" i="11"/>
  <c r="W986" i="11"/>
  <c r="V986" i="11"/>
  <c r="U986" i="11"/>
  <c r="T986" i="11"/>
  <c r="S986" i="11"/>
  <c r="R986" i="11"/>
  <c r="Q986" i="11"/>
  <c r="P986" i="11"/>
  <c r="O986" i="11"/>
  <c r="N986" i="11"/>
  <c r="M986" i="11"/>
  <c r="L986" i="11"/>
  <c r="K986" i="11"/>
  <c r="J986" i="11"/>
  <c r="AC178" i="11"/>
  <c r="AB178" i="11"/>
  <c r="AA178" i="11"/>
  <c r="Z178" i="11"/>
  <c r="Y178" i="11"/>
  <c r="X178" i="11"/>
  <c r="W178" i="11"/>
  <c r="V178" i="11"/>
  <c r="U178" i="11"/>
  <c r="T178" i="11"/>
  <c r="S178" i="11"/>
  <c r="R178" i="11"/>
  <c r="Q178" i="11"/>
  <c r="P178" i="11"/>
  <c r="O178" i="11"/>
  <c r="N178" i="11"/>
  <c r="M178" i="11"/>
  <c r="L178" i="11"/>
  <c r="K178" i="11"/>
  <c r="J178" i="11"/>
  <c r="AC297" i="11"/>
  <c r="AB297" i="11"/>
  <c r="AA297" i="11"/>
  <c r="Z297" i="11"/>
  <c r="Y297" i="11"/>
  <c r="X297" i="11"/>
  <c r="W297" i="11"/>
  <c r="V297" i="11"/>
  <c r="U297" i="11"/>
  <c r="T297" i="11"/>
  <c r="S297" i="11"/>
  <c r="R297" i="11"/>
  <c r="Q297" i="11"/>
  <c r="P297" i="11"/>
  <c r="O297" i="11"/>
  <c r="N297" i="11"/>
  <c r="M297" i="11"/>
  <c r="L297" i="11"/>
  <c r="K297" i="11"/>
  <c r="J297" i="11"/>
  <c r="AC1220" i="11"/>
  <c r="AB1220" i="11"/>
  <c r="AA1220" i="11"/>
  <c r="Z1220" i="11"/>
  <c r="Y1220" i="11"/>
  <c r="X1220" i="11"/>
  <c r="W1220" i="11"/>
  <c r="V1220" i="11"/>
  <c r="U1220" i="11"/>
  <c r="T1220" i="11"/>
  <c r="S1220" i="11"/>
  <c r="R1220" i="11"/>
  <c r="Q1220" i="11"/>
  <c r="P1220" i="11"/>
  <c r="O1220" i="11"/>
  <c r="N1220" i="11"/>
  <c r="M1220" i="11"/>
  <c r="L1220" i="11"/>
  <c r="K1220" i="11"/>
  <c r="J1220" i="11"/>
  <c r="AC1219" i="11"/>
  <c r="AB1219" i="11"/>
  <c r="AA1219" i="11"/>
  <c r="Z1219" i="11"/>
  <c r="Y1219" i="11"/>
  <c r="X1219" i="11"/>
  <c r="W1219" i="11"/>
  <c r="V1219" i="11"/>
  <c r="U1219" i="11"/>
  <c r="T1219" i="11"/>
  <c r="S1219" i="11"/>
  <c r="R1219" i="11"/>
  <c r="Q1219" i="11"/>
  <c r="P1219" i="11"/>
  <c r="O1219" i="11"/>
  <c r="N1219" i="11"/>
  <c r="M1219" i="11"/>
  <c r="L1219" i="11"/>
  <c r="K1219" i="11"/>
  <c r="J1219" i="11"/>
  <c r="AC598" i="11"/>
  <c r="AB598" i="11"/>
  <c r="AA598" i="11"/>
  <c r="Z598" i="11"/>
  <c r="Y598" i="11"/>
  <c r="X598" i="11"/>
  <c r="W598" i="11"/>
  <c r="V598" i="11"/>
  <c r="U598" i="11"/>
  <c r="T598" i="11"/>
  <c r="S598" i="11"/>
  <c r="R598" i="11"/>
  <c r="Q598" i="11"/>
  <c r="P598" i="11"/>
  <c r="O598" i="11"/>
  <c r="N598" i="11"/>
  <c r="M598" i="11"/>
  <c r="L598" i="11"/>
  <c r="K598" i="11"/>
  <c r="J598" i="11"/>
  <c r="AC2182" i="11"/>
  <c r="AB2182" i="11"/>
  <c r="AA2182" i="11"/>
  <c r="Z2182" i="11"/>
  <c r="Y2182" i="11"/>
  <c r="X2182" i="11"/>
  <c r="W2182" i="11"/>
  <c r="V2182" i="11"/>
  <c r="U2182" i="11"/>
  <c r="T2182" i="11"/>
  <c r="S2182" i="11"/>
  <c r="R2182" i="11"/>
  <c r="Q2182" i="11"/>
  <c r="P2182" i="11"/>
  <c r="O2182" i="11"/>
  <c r="N2182" i="11"/>
  <c r="M2182" i="11"/>
  <c r="L2182" i="11"/>
  <c r="K2182" i="11"/>
  <c r="J2182" i="11"/>
  <c r="AC904" i="11"/>
  <c r="AB904" i="11"/>
  <c r="AA904" i="11"/>
  <c r="Z904" i="11"/>
  <c r="Y904" i="11"/>
  <c r="X904" i="11"/>
  <c r="W904" i="11"/>
  <c r="V904" i="11"/>
  <c r="U904" i="11"/>
  <c r="T904" i="11"/>
  <c r="S904" i="11"/>
  <c r="R904" i="11"/>
  <c r="Q904" i="11"/>
  <c r="P904" i="11"/>
  <c r="O904" i="11"/>
  <c r="N904" i="11"/>
  <c r="M904" i="11"/>
  <c r="L904" i="11"/>
  <c r="K904" i="11"/>
  <c r="J904" i="11"/>
  <c r="AC85" i="11"/>
  <c r="AB85" i="11"/>
  <c r="AA85" i="11"/>
  <c r="Z85" i="11"/>
  <c r="Y85" i="11"/>
  <c r="X85" i="11"/>
  <c r="W85" i="11"/>
  <c r="V85" i="11"/>
  <c r="U85" i="11"/>
  <c r="T85" i="11"/>
  <c r="S85" i="11"/>
  <c r="R85" i="11"/>
  <c r="Q85" i="11"/>
  <c r="P85" i="11"/>
  <c r="O85" i="11"/>
  <c r="N85" i="11"/>
  <c r="M85" i="11"/>
  <c r="L85" i="11"/>
  <c r="K85" i="11"/>
  <c r="J85" i="11"/>
  <c r="AC837" i="11"/>
  <c r="AB837" i="11"/>
  <c r="AA837" i="11"/>
  <c r="Z837" i="11"/>
  <c r="Y837" i="11"/>
  <c r="X837" i="11"/>
  <c r="W837" i="11"/>
  <c r="V837" i="11"/>
  <c r="U837" i="11"/>
  <c r="T837" i="11"/>
  <c r="S837" i="11"/>
  <c r="R837" i="11"/>
  <c r="Q837" i="11"/>
  <c r="P837" i="11"/>
  <c r="O837" i="11"/>
  <c r="N837" i="11"/>
  <c r="M837" i="11"/>
  <c r="L837" i="11"/>
  <c r="K837" i="11"/>
  <c r="J837" i="11"/>
  <c r="AC836" i="11"/>
  <c r="AB836" i="11"/>
  <c r="AA836" i="11"/>
  <c r="Z836" i="11"/>
  <c r="Y836" i="11"/>
  <c r="X836" i="11"/>
  <c r="W836" i="11"/>
  <c r="V836" i="11"/>
  <c r="U836" i="11"/>
  <c r="T836" i="11"/>
  <c r="S836" i="11"/>
  <c r="R836" i="11"/>
  <c r="Q836" i="11"/>
  <c r="P836" i="11"/>
  <c r="O836" i="11"/>
  <c r="N836" i="11"/>
  <c r="M836" i="11"/>
  <c r="L836" i="11"/>
  <c r="K836" i="11"/>
  <c r="J836" i="11"/>
  <c r="AC140" i="11"/>
  <c r="AB140" i="11"/>
  <c r="AA140" i="11"/>
  <c r="Z140" i="11"/>
  <c r="Y140" i="11"/>
  <c r="X140" i="11"/>
  <c r="W140" i="11"/>
  <c r="V140" i="11"/>
  <c r="U140" i="11"/>
  <c r="T140" i="11"/>
  <c r="S140" i="11"/>
  <c r="R140" i="11"/>
  <c r="Q140" i="11"/>
  <c r="P140" i="11"/>
  <c r="O140" i="11"/>
  <c r="N140" i="11"/>
  <c r="M140" i="11"/>
  <c r="L140" i="11"/>
  <c r="K140" i="11"/>
  <c r="J140" i="11"/>
  <c r="AC251" i="11"/>
  <c r="AB251" i="11"/>
  <c r="AA251" i="11"/>
  <c r="Z251" i="11"/>
  <c r="Y251" i="11"/>
  <c r="X251" i="11"/>
  <c r="W251" i="11"/>
  <c r="V251" i="11"/>
  <c r="U251" i="11"/>
  <c r="T251" i="11"/>
  <c r="S251" i="11"/>
  <c r="R251" i="11"/>
  <c r="Q251" i="11"/>
  <c r="P251" i="11"/>
  <c r="O251" i="11"/>
  <c r="N251" i="11"/>
  <c r="M251" i="11"/>
  <c r="L251" i="11"/>
  <c r="K251" i="11"/>
  <c r="J251" i="11"/>
  <c r="AC1071" i="11"/>
  <c r="AB1071" i="11"/>
  <c r="AA1071" i="11"/>
  <c r="Z1071" i="11"/>
  <c r="Y1071" i="11"/>
  <c r="X1071" i="11"/>
  <c r="W1071" i="11"/>
  <c r="V1071" i="11"/>
  <c r="U1071" i="11"/>
  <c r="T1071" i="11"/>
  <c r="S1071" i="11"/>
  <c r="R1071" i="11"/>
  <c r="Q1071" i="11"/>
  <c r="P1071" i="11"/>
  <c r="O1071" i="11"/>
  <c r="N1071" i="11"/>
  <c r="M1071" i="11"/>
  <c r="L1071" i="11"/>
  <c r="K1071" i="11"/>
  <c r="J1071" i="11"/>
  <c r="AC542" i="11"/>
  <c r="AB542" i="11"/>
  <c r="AA542" i="11"/>
  <c r="Z542" i="11"/>
  <c r="Y542" i="11"/>
  <c r="X542" i="11"/>
  <c r="W542" i="11"/>
  <c r="V542" i="11"/>
  <c r="U542" i="11"/>
  <c r="T542" i="11"/>
  <c r="S542" i="11"/>
  <c r="R542" i="11"/>
  <c r="Q542" i="11"/>
  <c r="P542" i="11"/>
  <c r="O542" i="11"/>
  <c r="N542" i="11"/>
  <c r="M542" i="11"/>
  <c r="L542" i="11"/>
  <c r="K542" i="11"/>
  <c r="J542" i="11"/>
  <c r="AC1070" i="11"/>
  <c r="AB1070" i="11"/>
  <c r="AA1070" i="11"/>
  <c r="Z1070" i="11"/>
  <c r="Y1070" i="11"/>
  <c r="X1070" i="11"/>
  <c r="W1070" i="11"/>
  <c r="V1070" i="11"/>
  <c r="U1070" i="11"/>
  <c r="T1070" i="11"/>
  <c r="S1070" i="11"/>
  <c r="R1070" i="11"/>
  <c r="Q1070" i="11"/>
  <c r="P1070" i="11"/>
  <c r="O1070" i="11"/>
  <c r="N1070" i="11"/>
  <c r="M1070" i="11"/>
  <c r="L1070" i="11"/>
  <c r="K1070" i="11"/>
  <c r="J1070" i="11"/>
  <c r="AC541" i="11"/>
  <c r="AB541" i="11"/>
  <c r="AA541" i="11"/>
  <c r="Z541" i="11"/>
  <c r="Y541" i="11"/>
  <c r="X541" i="11"/>
  <c r="W541" i="11"/>
  <c r="V541" i="11"/>
  <c r="U541" i="11"/>
  <c r="T541" i="11"/>
  <c r="S541" i="11"/>
  <c r="R541" i="11"/>
  <c r="Q541" i="11"/>
  <c r="P541" i="11"/>
  <c r="O541" i="11"/>
  <c r="N541" i="11"/>
  <c r="M541" i="11"/>
  <c r="L541" i="11"/>
  <c r="K541" i="11"/>
  <c r="J541" i="11"/>
  <c r="AC1322" i="11"/>
  <c r="AB1322" i="11"/>
  <c r="AA1322" i="11"/>
  <c r="Z1322" i="11"/>
  <c r="Y1322" i="11"/>
  <c r="X1322" i="11"/>
  <c r="W1322" i="11"/>
  <c r="V1322" i="11"/>
  <c r="U1322" i="11"/>
  <c r="T1322" i="11"/>
  <c r="S1322" i="11"/>
  <c r="R1322" i="11"/>
  <c r="Q1322" i="11"/>
  <c r="P1322" i="11"/>
  <c r="O1322" i="11"/>
  <c r="N1322" i="11"/>
  <c r="M1322" i="11"/>
  <c r="L1322" i="11"/>
  <c r="K1322" i="11"/>
  <c r="J1322" i="11"/>
  <c r="AC1140" i="11"/>
  <c r="AB1140" i="11"/>
  <c r="AA1140" i="11"/>
  <c r="Z1140" i="11"/>
  <c r="Y1140" i="11"/>
  <c r="X1140" i="11"/>
  <c r="W1140" i="11"/>
  <c r="V1140" i="11"/>
  <c r="U1140" i="11"/>
  <c r="T1140" i="11"/>
  <c r="S1140" i="11"/>
  <c r="R1140" i="11"/>
  <c r="Q1140" i="11"/>
  <c r="P1140" i="11"/>
  <c r="O1140" i="11"/>
  <c r="N1140" i="11"/>
  <c r="M1140" i="11"/>
  <c r="L1140" i="11"/>
  <c r="K1140" i="11"/>
  <c r="J1140" i="11"/>
  <c r="AC417" i="11"/>
  <c r="AB417" i="11"/>
  <c r="AA417" i="11"/>
  <c r="Z417" i="11"/>
  <c r="Y417" i="11"/>
  <c r="X417" i="11"/>
  <c r="W417" i="11"/>
  <c r="V417" i="11"/>
  <c r="U417" i="11"/>
  <c r="T417" i="11"/>
  <c r="S417" i="11"/>
  <c r="R417" i="11"/>
  <c r="Q417" i="11"/>
  <c r="P417" i="11"/>
  <c r="O417" i="11"/>
  <c r="N417" i="11"/>
  <c r="M417" i="11"/>
  <c r="L417" i="11"/>
  <c r="K417" i="11"/>
  <c r="J417" i="11"/>
  <c r="AC835" i="11"/>
  <c r="AB835" i="11"/>
  <c r="AA835" i="11"/>
  <c r="Z835" i="11"/>
  <c r="Y835" i="11"/>
  <c r="X835" i="11"/>
  <c r="W835" i="11"/>
  <c r="V835" i="11"/>
  <c r="U835" i="11"/>
  <c r="T835" i="11"/>
  <c r="S835" i="11"/>
  <c r="R835" i="11"/>
  <c r="Q835" i="11"/>
  <c r="P835" i="11"/>
  <c r="O835" i="11"/>
  <c r="N835" i="11"/>
  <c r="M835" i="11"/>
  <c r="L835" i="11"/>
  <c r="K835" i="11"/>
  <c r="J835" i="11"/>
  <c r="AC1801" i="11"/>
  <c r="AB1801" i="11"/>
  <c r="AA1801" i="11"/>
  <c r="Z1801" i="11"/>
  <c r="Y1801" i="11"/>
  <c r="X1801" i="11"/>
  <c r="W1801" i="11"/>
  <c r="V1801" i="11"/>
  <c r="U1801" i="11"/>
  <c r="T1801" i="11"/>
  <c r="S1801" i="11"/>
  <c r="R1801" i="11"/>
  <c r="Q1801" i="11"/>
  <c r="P1801" i="11"/>
  <c r="O1801" i="11"/>
  <c r="N1801" i="11"/>
  <c r="M1801" i="11"/>
  <c r="L1801" i="11"/>
  <c r="K1801" i="11"/>
  <c r="J1801" i="11"/>
  <c r="AC1800" i="11"/>
  <c r="AB1800" i="11"/>
  <c r="AA1800" i="11"/>
  <c r="Z1800" i="11"/>
  <c r="Y1800" i="11"/>
  <c r="X1800" i="11"/>
  <c r="W1800" i="11"/>
  <c r="V1800" i="11"/>
  <c r="U1800" i="11"/>
  <c r="T1800" i="11"/>
  <c r="S1800" i="11"/>
  <c r="R1800" i="11"/>
  <c r="Q1800" i="11"/>
  <c r="P1800" i="11"/>
  <c r="O1800" i="11"/>
  <c r="N1800" i="11"/>
  <c r="M1800" i="11"/>
  <c r="L1800" i="11"/>
  <c r="K1800" i="11"/>
  <c r="J1800" i="11"/>
  <c r="AC55" i="11"/>
  <c r="AB55" i="11"/>
  <c r="AA55" i="11"/>
  <c r="Z55" i="11"/>
  <c r="Y55" i="11"/>
  <c r="X55" i="11"/>
  <c r="W55" i="11"/>
  <c r="V55" i="11"/>
  <c r="U55" i="11"/>
  <c r="T55" i="11"/>
  <c r="S55" i="11"/>
  <c r="R55" i="11"/>
  <c r="Q55" i="11"/>
  <c r="P55" i="11"/>
  <c r="O55" i="11"/>
  <c r="N55" i="11"/>
  <c r="M55" i="11"/>
  <c r="L55" i="11"/>
  <c r="K55" i="11"/>
  <c r="J55" i="11"/>
  <c r="AC1857" i="11"/>
  <c r="AB1857" i="11"/>
  <c r="AA1857" i="11"/>
  <c r="Z1857" i="11"/>
  <c r="Y1857" i="11"/>
  <c r="X1857" i="11"/>
  <c r="W1857" i="11"/>
  <c r="V1857" i="11"/>
  <c r="U1857" i="11"/>
  <c r="T1857" i="11"/>
  <c r="S1857" i="11"/>
  <c r="R1857" i="11"/>
  <c r="Q1857" i="11"/>
  <c r="P1857" i="11"/>
  <c r="O1857" i="11"/>
  <c r="N1857" i="11"/>
  <c r="M1857" i="11"/>
  <c r="L1857" i="11"/>
  <c r="K1857" i="11"/>
  <c r="J1857" i="11"/>
  <c r="AC540" i="11"/>
  <c r="AB540" i="11"/>
  <c r="AA540" i="11"/>
  <c r="Z540" i="11"/>
  <c r="Y540" i="11"/>
  <c r="X540" i="11"/>
  <c r="W540" i="11"/>
  <c r="V540" i="11"/>
  <c r="U540" i="11"/>
  <c r="T540" i="11"/>
  <c r="S540" i="11"/>
  <c r="R540" i="11"/>
  <c r="Q540" i="11"/>
  <c r="P540" i="11"/>
  <c r="O540" i="11"/>
  <c r="N540" i="11"/>
  <c r="M540" i="11"/>
  <c r="L540" i="11"/>
  <c r="K540" i="11"/>
  <c r="J540" i="11"/>
  <c r="AC903" i="11"/>
  <c r="AB903" i="11"/>
  <c r="AA903" i="11"/>
  <c r="Z903" i="11"/>
  <c r="Y903" i="11"/>
  <c r="X903" i="11"/>
  <c r="W903" i="11"/>
  <c r="V903" i="11"/>
  <c r="U903" i="11"/>
  <c r="T903" i="11"/>
  <c r="S903" i="11"/>
  <c r="R903" i="11"/>
  <c r="Q903" i="11"/>
  <c r="P903" i="11"/>
  <c r="O903" i="11"/>
  <c r="N903" i="11"/>
  <c r="M903" i="11"/>
  <c r="L903" i="11"/>
  <c r="K903" i="11"/>
  <c r="J903" i="11"/>
  <c r="AC985" i="11"/>
  <c r="AB985" i="11"/>
  <c r="AA985" i="11"/>
  <c r="Z985" i="11"/>
  <c r="Y985" i="11"/>
  <c r="X985" i="11"/>
  <c r="W985" i="11"/>
  <c r="V985" i="11"/>
  <c r="U985" i="11"/>
  <c r="T985" i="11"/>
  <c r="S985" i="11"/>
  <c r="R985" i="11"/>
  <c r="Q985" i="11"/>
  <c r="P985" i="11"/>
  <c r="O985" i="11"/>
  <c r="N985" i="11"/>
  <c r="M985" i="11"/>
  <c r="L985" i="11"/>
  <c r="K985" i="11"/>
  <c r="J985" i="11"/>
  <c r="AC1218" i="11"/>
  <c r="AB1218" i="11"/>
  <c r="AA1218" i="11"/>
  <c r="Z1218" i="11"/>
  <c r="Y1218" i="11"/>
  <c r="X1218" i="11"/>
  <c r="W1218" i="11"/>
  <c r="V1218" i="11"/>
  <c r="U1218" i="11"/>
  <c r="T1218" i="11"/>
  <c r="S1218" i="11"/>
  <c r="R1218" i="11"/>
  <c r="Q1218" i="11"/>
  <c r="P1218" i="11"/>
  <c r="O1218" i="11"/>
  <c r="N1218" i="11"/>
  <c r="M1218" i="11"/>
  <c r="L1218" i="11"/>
  <c r="K1218" i="11"/>
  <c r="J1218" i="11"/>
  <c r="AC673" i="11"/>
  <c r="AB673" i="11"/>
  <c r="AA673" i="11"/>
  <c r="Z673" i="11"/>
  <c r="Y673" i="11"/>
  <c r="X673" i="11"/>
  <c r="W673" i="11"/>
  <c r="V673" i="11"/>
  <c r="U673" i="11"/>
  <c r="T673" i="11"/>
  <c r="S673" i="11"/>
  <c r="R673" i="11"/>
  <c r="Q673" i="11"/>
  <c r="P673" i="11"/>
  <c r="O673" i="11"/>
  <c r="N673" i="11"/>
  <c r="M673" i="11"/>
  <c r="L673" i="11"/>
  <c r="K673" i="11"/>
  <c r="J673" i="11"/>
  <c r="AC539" i="11"/>
  <c r="AB539" i="11"/>
  <c r="AA539" i="11"/>
  <c r="Z539" i="11"/>
  <c r="Y539" i="11"/>
  <c r="X539" i="11"/>
  <c r="W539" i="11"/>
  <c r="V539" i="11"/>
  <c r="U539" i="11"/>
  <c r="T539" i="11"/>
  <c r="S539" i="11"/>
  <c r="R539" i="11"/>
  <c r="Q539" i="11"/>
  <c r="P539" i="11"/>
  <c r="O539" i="11"/>
  <c r="N539" i="11"/>
  <c r="M539" i="11"/>
  <c r="L539" i="11"/>
  <c r="K539" i="11"/>
  <c r="J539" i="11"/>
  <c r="AC1763" i="11"/>
  <c r="AB1763" i="11"/>
  <c r="AA1763" i="11"/>
  <c r="Z1763" i="11"/>
  <c r="Y1763" i="11"/>
  <c r="X1763" i="11"/>
  <c r="W1763" i="11"/>
  <c r="V1763" i="11"/>
  <c r="U1763" i="11"/>
  <c r="T1763" i="11"/>
  <c r="S1763" i="11"/>
  <c r="R1763" i="11"/>
  <c r="Q1763" i="11"/>
  <c r="P1763" i="11"/>
  <c r="O1763" i="11"/>
  <c r="N1763" i="11"/>
  <c r="M1763" i="11"/>
  <c r="L1763" i="11"/>
  <c r="K1763" i="11"/>
  <c r="J1763" i="11"/>
  <c r="AC1762" i="11"/>
  <c r="AB1762" i="11"/>
  <c r="AA1762" i="11"/>
  <c r="Z1762" i="11"/>
  <c r="Y1762" i="11"/>
  <c r="X1762" i="11"/>
  <c r="W1762" i="11"/>
  <c r="V1762" i="11"/>
  <c r="U1762" i="11"/>
  <c r="T1762" i="11"/>
  <c r="S1762" i="11"/>
  <c r="R1762" i="11"/>
  <c r="Q1762" i="11"/>
  <c r="P1762" i="11"/>
  <c r="O1762" i="11"/>
  <c r="N1762" i="11"/>
  <c r="M1762" i="11"/>
  <c r="L1762" i="11"/>
  <c r="K1762" i="11"/>
  <c r="J1762" i="11"/>
  <c r="AC2145" i="11"/>
  <c r="AB2145" i="11"/>
  <c r="AA2145" i="11"/>
  <c r="Z2145" i="11"/>
  <c r="Y2145" i="11"/>
  <c r="X2145" i="11"/>
  <c r="W2145" i="11"/>
  <c r="V2145" i="11"/>
  <c r="U2145" i="11"/>
  <c r="T2145" i="11"/>
  <c r="S2145" i="11"/>
  <c r="R2145" i="11"/>
  <c r="Q2145" i="11"/>
  <c r="P2145" i="11"/>
  <c r="O2145" i="11"/>
  <c r="N2145" i="11"/>
  <c r="M2145" i="11"/>
  <c r="L2145" i="11"/>
  <c r="K2145" i="11"/>
  <c r="J2145" i="11"/>
  <c r="AC177" i="11"/>
  <c r="AB177" i="11"/>
  <c r="AA177" i="11"/>
  <c r="Z177" i="11"/>
  <c r="Y177" i="11"/>
  <c r="X177" i="11"/>
  <c r="W177" i="11"/>
  <c r="V177" i="11"/>
  <c r="U177" i="11"/>
  <c r="T177" i="11"/>
  <c r="S177" i="11"/>
  <c r="R177" i="11"/>
  <c r="Q177" i="11"/>
  <c r="P177" i="11"/>
  <c r="O177" i="11"/>
  <c r="N177" i="11"/>
  <c r="M177" i="11"/>
  <c r="L177" i="11"/>
  <c r="K177" i="11"/>
  <c r="J177" i="11"/>
  <c r="AC1321" i="11"/>
  <c r="AB1321" i="11"/>
  <c r="AA1321" i="11"/>
  <c r="Z1321" i="11"/>
  <c r="Y1321" i="11"/>
  <c r="X1321" i="11"/>
  <c r="W1321" i="11"/>
  <c r="V1321" i="11"/>
  <c r="U1321" i="11"/>
  <c r="T1321" i="11"/>
  <c r="S1321" i="11"/>
  <c r="R1321" i="11"/>
  <c r="Q1321" i="11"/>
  <c r="P1321" i="11"/>
  <c r="O1321" i="11"/>
  <c r="N1321" i="11"/>
  <c r="M1321" i="11"/>
  <c r="L1321" i="11"/>
  <c r="K1321" i="11"/>
  <c r="J1321" i="11"/>
  <c r="AC250" i="11"/>
  <c r="AB250" i="11"/>
  <c r="AA250" i="11"/>
  <c r="Z250" i="11"/>
  <c r="Y250" i="11"/>
  <c r="X250" i="11"/>
  <c r="W250" i="11"/>
  <c r="V250" i="11"/>
  <c r="U250" i="11"/>
  <c r="T250" i="11"/>
  <c r="S250" i="11"/>
  <c r="R250" i="11"/>
  <c r="Q250" i="11"/>
  <c r="P250" i="11"/>
  <c r="O250" i="11"/>
  <c r="N250" i="11"/>
  <c r="M250" i="11"/>
  <c r="L250" i="11"/>
  <c r="K250" i="11"/>
  <c r="J250" i="11"/>
  <c r="AC834" i="11"/>
  <c r="AB834" i="11"/>
  <c r="AA834" i="11"/>
  <c r="Z834" i="11"/>
  <c r="Y834" i="11"/>
  <c r="X834" i="11"/>
  <c r="W834" i="11"/>
  <c r="V834" i="11"/>
  <c r="U834" i="11"/>
  <c r="T834" i="11"/>
  <c r="S834" i="11"/>
  <c r="R834" i="11"/>
  <c r="Q834" i="11"/>
  <c r="P834" i="11"/>
  <c r="O834" i="11"/>
  <c r="N834" i="11"/>
  <c r="M834" i="11"/>
  <c r="L834" i="11"/>
  <c r="K834" i="11"/>
  <c r="J834" i="11"/>
  <c r="AC984" i="11"/>
  <c r="AB984" i="11"/>
  <c r="AA984" i="11"/>
  <c r="Z984" i="11"/>
  <c r="Y984" i="11"/>
  <c r="X984" i="11"/>
  <c r="W984" i="11"/>
  <c r="V984" i="11"/>
  <c r="U984" i="11"/>
  <c r="T984" i="11"/>
  <c r="S984" i="11"/>
  <c r="R984" i="11"/>
  <c r="Q984" i="11"/>
  <c r="P984" i="11"/>
  <c r="O984" i="11"/>
  <c r="N984" i="11"/>
  <c r="M984" i="11"/>
  <c r="L984" i="11"/>
  <c r="K984" i="11"/>
  <c r="J984" i="11"/>
  <c r="AC176" i="11"/>
  <c r="AB176" i="11"/>
  <c r="AA176" i="11"/>
  <c r="Z176" i="11"/>
  <c r="Y176" i="11"/>
  <c r="X176" i="11"/>
  <c r="W176" i="11"/>
  <c r="V176" i="11"/>
  <c r="U176" i="11"/>
  <c r="T176" i="11"/>
  <c r="S176" i="11"/>
  <c r="R176" i="11"/>
  <c r="Q176" i="11"/>
  <c r="P176" i="11"/>
  <c r="O176" i="11"/>
  <c r="N176" i="11"/>
  <c r="M176" i="11"/>
  <c r="L176" i="11"/>
  <c r="K176" i="11"/>
  <c r="J176" i="11"/>
  <c r="AC1069" i="11"/>
  <c r="AB1069" i="11"/>
  <c r="AA1069" i="11"/>
  <c r="Z1069" i="11"/>
  <c r="Y1069" i="11"/>
  <c r="X1069" i="11"/>
  <c r="W1069" i="11"/>
  <c r="V1069" i="11"/>
  <c r="U1069" i="11"/>
  <c r="T1069" i="11"/>
  <c r="S1069" i="11"/>
  <c r="R1069" i="11"/>
  <c r="Q1069" i="11"/>
  <c r="P1069" i="11"/>
  <c r="O1069" i="11"/>
  <c r="N1069" i="11"/>
  <c r="M1069" i="11"/>
  <c r="L1069" i="11"/>
  <c r="K1069" i="11"/>
  <c r="J1069" i="11"/>
  <c r="AC43" i="11"/>
  <c r="AB43" i="11"/>
  <c r="AA43" i="11"/>
  <c r="Z43" i="11"/>
  <c r="Y43" i="11"/>
  <c r="X43" i="11"/>
  <c r="W43" i="11"/>
  <c r="V43" i="11"/>
  <c r="U43" i="11"/>
  <c r="T43" i="11"/>
  <c r="S43" i="11"/>
  <c r="R43" i="11"/>
  <c r="Q43" i="11"/>
  <c r="P43" i="11"/>
  <c r="O43" i="11"/>
  <c r="N43" i="11"/>
  <c r="M43" i="11"/>
  <c r="L43" i="11"/>
  <c r="K43" i="11"/>
  <c r="J43" i="11"/>
  <c r="AC378" i="11"/>
  <c r="AB378" i="11"/>
  <c r="AA378" i="11"/>
  <c r="Z378" i="11"/>
  <c r="Y378" i="11"/>
  <c r="X378" i="11"/>
  <c r="W378" i="11"/>
  <c r="V378" i="11"/>
  <c r="U378" i="11"/>
  <c r="T378" i="11"/>
  <c r="S378" i="11"/>
  <c r="R378" i="11"/>
  <c r="Q378" i="11"/>
  <c r="P378" i="11"/>
  <c r="O378" i="11"/>
  <c r="N378" i="11"/>
  <c r="M378" i="11"/>
  <c r="L378" i="11"/>
  <c r="K378" i="11"/>
  <c r="J378" i="11"/>
  <c r="AC1217" i="11"/>
  <c r="AB1217" i="11"/>
  <c r="AA1217" i="11"/>
  <c r="Z1217" i="11"/>
  <c r="Y1217" i="11"/>
  <c r="X1217" i="11"/>
  <c r="W1217" i="11"/>
  <c r="V1217" i="11"/>
  <c r="U1217" i="11"/>
  <c r="T1217" i="11"/>
  <c r="S1217" i="11"/>
  <c r="R1217" i="11"/>
  <c r="Q1217" i="11"/>
  <c r="P1217" i="11"/>
  <c r="O1217" i="11"/>
  <c r="N1217" i="11"/>
  <c r="M1217" i="11"/>
  <c r="L1217" i="11"/>
  <c r="K1217" i="11"/>
  <c r="J1217" i="11"/>
  <c r="AC1707" i="11"/>
  <c r="AB1707" i="11"/>
  <c r="AA1707" i="11"/>
  <c r="Z1707" i="11"/>
  <c r="Y1707" i="11"/>
  <c r="X1707" i="11"/>
  <c r="W1707" i="11"/>
  <c r="V1707" i="11"/>
  <c r="U1707" i="11"/>
  <c r="T1707" i="11"/>
  <c r="S1707" i="11"/>
  <c r="R1707" i="11"/>
  <c r="Q1707" i="11"/>
  <c r="P1707" i="11"/>
  <c r="O1707" i="11"/>
  <c r="N1707" i="11"/>
  <c r="M1707" i="11"/>
  <c r="L1707" i="11"/>
  <c r="K1707" i="11"/>
  <c r="J1707" i="11"/>
  <c r="AC672" i="11"/>
  <c r="AB672" i="11"/>
  <c r="AA672" i="11"/>
  <c r="Z672" i="11"/>
  <c r="Y672" i="11"/>
  <c r="X672" i="11"/>
  <c r="W672" i="11"/>
  <c r="V672" i="11"/>
  <c r="U672" i="11"/>
  <c r="T672" i="11"/>
  <c r="S672" i="11"/>
  <c r="R672" i="11"/>
  <c r="Q672" i="11"/>
  <c r="P672" i="11"/>
  <c r="O672" i="11"/>
  <c r="N672" i="11"/>
  <c r="M672" i="11"/>
  <c r="L672" i="11"/>
  <c r="K672" i="11"/>
  <c r="J672" i="11"/>
  <c r="AC671" i="11"/>
  <c r="AB671" i="11"/>
  <c r="AA671" i="11"/>
  <c r="Z671" i="11"/>
  <c r="Y671" i="11"/>
  <c r="X671" i="11"/>
  <c r="W671" i="11"/>
  <c r="V671" i="11"/>
  <c r="U671" i="11"/>
  <c r="T671" i="11"/>
  <c r="S671" i="11"/>
  <c r="R671" i="11"/>
  <c r="Q671" i="11"/>
  <c r="P671" i="11"/>
  <c r="O671" i="11"/>
  <c r="N671" i="11"/>
  <c r="M671" i="11"/>
  <c r="L671" i="11"/>
  <c r="K671" i="11"/>
  <c r="J671" i="11"/>
  <c r="AC1068" i="11"/>
  <c r="AB1068" i="11"/>
  <c r="AA1068" i="11"/>
  <c r="Z1068" i="11"/>
  <c r="Y1068" i="11"/>
  <c r="X1068" i="11"/>
  <c r="W1068" i="11"/>
  <c r="V1068" i="11"/>
  <c r="U1068" i="11"/>
  <c r="T1068" i="11"/>
  <c r="S1068" i="11"/>
  <c r="R1068" i="11"/>
  <c r="Q1068" i="11"/>
  <c r="P1068" i="11"/>
  <c r="O1068" i="11"/>
  <c r="N1068" i="11"/>
  <c r="M1068" i="11"/>
  <c r="L1068" i="11"/>
  <c r="K1068" i="11"/>
  <c r="J1068" i="11"/>
  <c r="AC2085" i="11"/>
  <c r="AB2085" i="11"/>
  <c r="AA2085" i="11"/>
  <c r="Z2085" i="11"/>
  <c r="Y2085" i="11"/>
  <c r="X2085" i="11"/>
  <c r="W2085" i="11"/>
  <c r="V2085" i="11"/>
  <c r="U2085" i="11"/>
  <c r="T2085" i="11"/>
  <c r="S2085" i="11"/>
  <c r="R2085" i="11"/>
  <c r="Q2085" i="11"/>
  <c r="P2085" i="11"/>
  <c r="O2085" i="11"/>
  <c r="N2085" i="11"/>
  <c r="M2085" i="11"/>
  <c r="L2085" i="11"/>
  <c r="K2085" i="11"/>
  <c r="J2085" i="11"/>
  <c r="AC1371" i="11"/>
  <c r="AB1371" i="11"/>
  <c r="AA1371" i="11"/>
  <c r="Z1371" i="11"/>
  <c r="Y1371" i="11"/>
  <c r="X1371" i="11"/>
  <c r="W1371" i="11"/>
  <c r="V1371" i="11"/>
  <c r="U1371" i="11"/>
  <c r="T1371" i="11"/>
  <c r="S1371" i="11"/>
  <c r="R1371" i="11"/>
  <c r="Q1371" i="11"/>
  <c r="P1371" i="11"/>
  <c r="O1371" i="11"/>
  <c r="N1371" i="11"/>
  <c r="M1371" i="11"/>
  <c r="L1371" i="11"/>
  <c r="K1371" i="11"/>
  <c r="J1371" i="11"/>
  <c r="AC1275" i="11"/>
  <c r="AB1275" i="11"/>
  <c r="AA1275" i="11"/>
  <c r="Z1275" i="11"/>
  <c r="Y1275" i="11"/>
  <c r="X1275" i="11"/>
  <c r="W1275" i="11"/>
  <c r="V1275" i="11"/>
  <c r="U1275" i="11"/>
  <c r="T1275" i="11"/>
  <c r="S1275" i="11"/>
  <c r="R1275" i="11"/>
  <c r="Q1275" i="11"/>
  <c r="P1275" i="11"/>
  <c r="O1275" i="11"/>
  <c r="N1275" i="11"/>
  <c r="M1275" i="11"/>
  <c r="L1275" i="11"/>
  <c r="K1275" i="11"/>
  <c r="J1275" i="11"/>
  <c r="AC296" i="11"/>
  <c r="AB296" i="11"/>
  <c r="AA296" i="11"/>
  <c r="Z296" i="11"/>
  <c r="Y296" i="11"/>
  <c r="X296" i="11"/>
  <c r="W296" i="11"/>
  <c r="V296" i="11"/>
  <c r="U296" i="11"/>
  <c r="T296" i="11"/>
  <c r="S296" i="11"/>
  <c r="R296" i="11"/>
  <c r="Q296" i="11"/>
  <c r="P296" i="11"/>
  <c r="O296" i="11"/>
  <c r="N296" i="11"/>
  <c r="M296" i="11"/>
  <c r="L296" i="11"/>
  <c r="K296" i="11"/>
  <c r="J296" i="11"/>
  <c r="AC295" i="11"/>
  <c r="AB295" i="11"/>
  <c r="AA295" i="11"/>
  <c r="Z295" i="11"/>
  <c r="Y295" i="11"/>
  <c r="X295" i="11"/>
  <c r="W295" i="11"/>
  <c r="V295" i="11"/>
  <c r="U295" i="11"/>
  <c r="T295" i="11"/>
  <c r="S295" i="11"/>
  <c r="R295" i="11"/>
  <c r="Q295" i="11"/>
  <c r="P295" i="11"/>
  <c r="O295" i="11"/>
  <c r="N295" i="11"/>
  <c r="M295" i="11"/>
  <c r="L295" i="11"/>
  <c r="K295" i="11"/>
  <c r="J295" i="11"/>
  <c r="AC1612" i="11"/>
  <c r="AB1612" i="11"/>
  <c r="AA1612" i="11"/>
  <c r="Z1612" i="11"/>
  <c r="Y1612" i="11"/>
  <c r="X1612" i="11"/>
  <c r="W1612" i="11"/>
  <c r="V1612" i="11"/>
  <c r="U1612" i="11"/>
  <c r="T1612" i="11"/>
  <c r="S1612" i="11"/>
  <c r="R1612" i="11"/>
  <c r="Q1612" i="11"/>
  <c r="P1612" i="11"/>
  <c r="O1612" i="11"/>
  <c r="N1612" i="11"/>
  <c r="M1612" i="11"/>
  <c r="L1612" i="11"/>
  <c r="K1612" i="11"/>
  <c r="J1612" i="11"/>
  <c r="AC902" i="11"/>
  <c r="AB902" i="11"/>
  <c r="AA902" i="11"/>
  <c r="Z902" i="11"/>
  <c r="Y902" i="11"/>
  <c r="X902" i="11"/>
  <c r="W902" i="11"/>
  <c r="V902" i="11"/>
  <c r="U902" i="11"/>
  <c r="T902" i="11"/>
  <c r="S902" i="11"/>
  <c r="R902" i="11"/>
  <c r="Q902" i="11"/>
  <c r="P902" i="11"/>
  <c r="O902" i="11"/>
  <c r="N902" i="11"/>
  <c r="M902" i="11"/>
  <c r="L902" i="11"/>
  <c r="K902" i="11"/>
  <c r="J902" i="11"/>
  <c r="AC175" i="11"/>
  <c r="AB175" i="11"/>
  <c r="AA175" i="11"/>
  <c r="Z175" i="11"/>
  <c r="Y175" i="11"/>
  <c r="X175" i="11"/>
  <c r="W175" i="11"/>
  <c r="V175" i="11"/>
  <c r="U175" i="11"/>
  <c r="T175" i="11"/>
  <c r="S175" i="11"/>
  <c r="R175" i="11"/>
  <c r="Q175" i="11"/>
  <c r="P175" i="11"/>
  <c r="O175" i="11"/>
  <c r="N175" i="11"/>
  <c r="M175" i="11"/>
  <c r="L175" i="11"/>
  <c r="K175" i="11"/>
  <c r="J175" i="11"/>
  <c r="AC901" i="11"/>
  <c r="AB901" i="11"/>
  <c r="AA901" i="11"/>
  <c r="Z901" i="11"/>
  <c r="Y901" i="11"/>
  <c r="X901" i="11"/>
  <c r="W901" i="11"/>
  <c r="V901" i="11"/>
  <c r="U901" i="11"/>
  <c r="T901" i="11"/>
  <c r="S901" i="11"/>
  <c r="R901" i="11"/>
  <c r="Q901" i="11"/>
  <c r="P901" i="11"/>
  <c r="O901" i="11"/>
  <c r="N901" i="11"/>
  <c r="M901" i="11"/>
  <c r="L901" i="11"/>
  <c r="K901" i="11"/>
  <c r="J901" i="11"/>
  <c r="AC2114" i="11"/>
  <c r="AB2114" i="11"/>
  <c r="AA2114" i="11"/>
  <c r="Z2114" i="11"/>
  <c r="Y2114" i="11"/>
  <c r="X2114" i="11"/>
  <c r="W2114" i="11"/>
  <c r="V2114" i="11"/>
  <c r="U2114" i="11"/>
  <c r="T2114" i="11"/>
  <c r="S2114" i="11"/>
  <c r="R2114" i="11"/>
  <c r="Q2114" i="11"/>
  <c r="P2114" i="11"/>
  <c r="O2114" i="11"/>
  <c r="N2114" i="11"/>
  <c r="M2114" i="11"/>
  <c r="L2114" i="11"/>
  <c r="K2114" i="11"/>
  <c r="J2114" i="11"/>
  <c r="AC983" i="11"/>
  <c r="AB983" i="11"/>
  <c r="AA983" i="11"/>
  <c r="Z983" i="11"/>
  <c r="Y983" i="11"/>
  <c r="X983" i="11"/>
  <c r="W983" i="11"/>
  <c r="V983" i="11"/>
  <c r="U983" i="11"/>
  <c r="T983" i="11"/>
  <c r="S983" i="11"/>
  <c r="R983" i="11"/>
  <c r="Q983" i="11"/>
  <c r="P983" i="11"/>
  <c r="O983" i="11"/>
  <c r="N983" i="11"/>
  <c r="M983" i="11"/>
  <c r="L983" i="11"/>
  <c r="K983" i="11"/>
  <c r="J983" i="11"/>
  <c r="AC1611" i="11"/>
  <c r="AB1611" i="11"/>
  <c r="AA1611" i="11"/>
  <c r="Z1611" i="11"/>
  <c r="Y1611" i="11"/>
  <c r="X1611" i="11"/>
  <c r="W1611" i="11"/>
  <c r="V1611" i="11"/>
  <c r="U1611" i="11"/>
  <c r="T1611" i="11"/>
  <c r="S1611" i="11"/>
  <c r="R1611" i="11"/>
  <c r="Q1611" i="11"/>
  <c r="P1611" i="11"/>
  <c r="O1611" i="11"/>
  <c r="N1611" i="11"/>
  <c r="M1611" i="11"/>
  <c r="L1611" i="11"/>
  <c r="K1611" i="11"/>
  <c r="J1611" i="11"/>
  <c r="AC1578" i="11"/>
  <c r="AB1578" i="11"/>
  <c r="AA1578" i="11"/>
  <c r="Z1578" i="11"/>
  <c r="Y1578" i="11"/>
  <c r="X1578" i="11"/>
  <c r="W1578" i="11"/>
  <c r="V1578" i="11"/>
  <c r="U1578" i="11"/>
  <c r="T1578" i="11"/>
  <c r="S1578" i="11"/>
  <c r="R1578" i="11"/>
  <c r="Q1578" i="11"/>
  <c r="P1578" i="11"/>
  <c r="O1578" i="11"/>
  <c r="N1578" i="11"/>
  <c r="M1578" i="11"/>
  <c r="L1578" i="11"/>
  <c r="K1578" i="11"/>
  <c r="J1578" i="11"/>
  <c r="AC1139" i="11"/>
  <c r="AB1139" i="11"/>
  <c r="AA1139" i="11"/>
  <c r="Z1139" i="11"/>
  <c r="Y1139" i="11"/>
  <c r="X1139" i="11"/>
  <c r="W1139" i="11"/>
  <c r="V1139" i="11"/>
  <c r="U1139" i="11"/>
  <c r="T1139" i="11"/>
  <c r="S1139" i="11"/>
  <c r="R1139" i="11"/>
  <c r="Q1139" i="11"/>
  <c r="P1139" i="11"/>
  <c r="O1139" i="11"/>
  <c r="N1139" i="11"/>
  <c r="M1139" i="11"/>
  <c r="L1139" i="11"/>
  <c r="K1139" i="11"/>
  <c r="J1139" i="11"/>
  <c r="AC460" i="11"/>
  <c r="AB460" i="11"/>
  <c r="AA460" i="11"/>
  <c r="Z460" i="11"/>
  <c r="Y460" i="11"/>
  <c r="X460" i="11"/>
  <c r="W460" i="11"/>
  <c r="V460" i="11"/>
  <c r="U460" i="11"/>
  <c r="T460" i="11"/>
  <c r="S460" i="11"/>
  <c r="R460" i="11"/>
  <c r="Q460" i="11"/>
  <c r="P460" i="11"/>
  <c r="O460" i="11"/>
  <c r="N460" i="11"/>
  <c r="M460" i="11"/>
  <c r="L460" i="11"/>
  <c r="K460" i="11"/>
  <c r="J460" i="11"/>
  <c r="AC249" i="11"/>
  <c r="AB249" i="11"/>
  <c r="AA249" i="11"/>
  <c r="Z249" i="11"/>
  <c r="Y249" i="11"/>
  <c r="X249" i="11"/>
  <c r="W249" i="11"/>
  <c r="V249" i="11"/>
  <c r="U249" i="11"/>
  <c r="T249" i="11"/>
  <c r="S249" i="11"/>
  <c r="R249" i="11"/>
  <c r="Q249" i="11"/>
  <c r="P249" i="11"/>
  <c r="O249" i="11"/>
  <c r="N249" i="11"/>
  <c r="M249" i="11"/>
  <c r="L249" i="11"/>
  <c r="K249" i="11"/>
  <c r="J249" i="11"/>
  <c r="AC1957" i="11"/>
  <c r="AB1957" i="11"/>
  <c r="AA1957" i="11"/>
  <c r="Z1957" i="11"/>
  <c r="Y1957" i="11"/>
  <c r="X1957" i="11"/>
  <c r="W1957" i="11"/>
  <c r="V1957" i="11"/>
  <c r="U1957" i="11"/>
  <c r="T1957" i="11"/>
  <c r="S1957" i="11"/>
  <c r="R1957" i="11"/>
  <c r="Q1957" i="11"/>
  <c r="P1957" i="11"/>
  <c r="O1957" i="11"/>
  <c r="N1957" i="11"/>
  <c r="M1957" i="11"/>
  <c r="L1957" i="11"/>
  <c r="K1957" i="11"/>
  <c r="J1957" i="11"/>
  <c r="AC2084" i="11"/>
  <c r="AB2084" i="11"/>
  <c r="AA2084" i="11"/>
  <c r="Z2084" i="11"/>
  <c r="Y2084" i="11"/>
  <c r="X2084" i="11"/>
  <c r="W2084" i="11"/>
  <c r="V2084" i="11"/>
  <c r="U2084" i="11"/>
  <c r="T2084" i="11"/>
  <c r="S2084" i="11"/>
  <c r="R2084" i="11"/>
  <c r="Q2084" i="11"/>
  <c r="P2084" i="11"/>
  <c r="O2084" i="11"/>
  <c r="N2084" i="11"/>
  <c r="M2084" i="11"/>
  <c r="L2084" i="11"/>
  <c r="K2084" i="11"/>
  <c r="J2084" i="11"/>
  <c r="AC2181" i="11"/>
  <c r="AB2181" i="11"/>
  <c r="AA2181" i="11"/>
  <c r="Z2181" i="11"/>
  <c r="Y2181" i="11"/>
  <c r="X2181" i="11"/>
  <c r="W2181" i="11"/>
  <c r="V2181" i="11"/>
  <c r="U2181" i="11"/>
  <c r="T2181" i="11"/>
  <c r="S2181" i="11"/>
  <c r="R2181" i="11"/>
  <c r="Q2181" i="11"/>
  <c r="P2181" i="11"/>
  <c r="O2181" i="11"/>
  <c r="N2181" i="11"/>
  <c r="M2181" i="11"/>
  <c r="L2181" i="11"/>
  <c r="K2181" i="11"/>
  <c r="J2181" i="11"/>
  <c r="AC763" i="11"/>
  <c r="AB763" i="11"/>
  <c r="AA763" i="11"/>
  <c r="Z763" i="11"/>
  <c r="Y763" i="11"/>
  <c r="X763" i="11"/>
  <c r="W763" i="11"/>
  <c r="V763" i="11"/>
  <c r="U763" i="11"/>
  <c r="T763" i="11"/>
  <c r="S763" i="11"/>
  <c r="R763" i="11"/>
  <c r="Q763" i="11"/>
  <c r="P763" i="11"/>
  <c r="O763" i="11"/>
  <c r="N763" i="11"/>
  <c r="M763" i="11"/>
  <c r="L763" i="11"/>
  <c r="K763" i="11"/>
  <c r="J763" i="11"/>
  <c r="AC336" i="11"/>
  <c r="AB336" i="11"/>
  <c r="AA336" i="11"/>
  <c r="Z336" i="11"/>
  <c r="Y336" i="11"/>
  <c r="X336" i="11"/>
  <c r="W336" i="11"/>
  <c r="V336" i="11"/>
  <c r="U336" i="11"/>
  <c r="T336" i="11"/>
  <c r="S336" i="11"/>
  <c r="R336" i="11"/>
  <c r="Q336" i="11"/>
  <c r="P336" i="11"/>
  <c r="O336" i="11"/>
  <c r="N336" i="11"/>
  <c r="M336" i="11"/>
  <c r="L336" i="11"/>
  <c r="K336" i="11"/>
  <c r="J336" i="11"/>
  <c r="AC538" i="11"/>
  <c r="AB538" i="11"/>
  <c r="AA538" i="11"/>
  <c r="Z538" i="11"/>
  <c r="Y538" i="11"/>
  <c r="X538" i="11"/>
  <c r="W538" i="11"/>
  <c r="V538" i="11"/>
  <c r="U538" i="11"/>
  <c r="T538" i="11"/>
  <c r="S538" i="11"/>
  <c r="R538" i="11"/>
  <c r="Q538" i="11"/>
  <c r="P538" i="11"/>
  <c r="O538" i="11"/>
  <c r="N538" i="11"/>
  <c r="M538" i="11"/>
  <c r="L538" i="11"/>
  <c r="K538" i="11"/>
  <c r="J538" i="11"/>
  <c r="AC377" i="11"/>
  <c r="AB377" i="11"/>
  <c r="AA377" i="11"/>
  <c r="Z377" i="11"/>
  <c r="Y377" i="11"/>
  <c r="X377" i="11"/>
  <c r="W377" i="11"/>
  <c r="V377" i="11"/>
  <c r="U377" i="11"/>
  <c r="T377" i="11"/>
  <c r="S377" i="11"/>
  <c r="R377" i="11"/>
  <c r="Q377" i="11"/>
  <c r="P377" i="11"/>
  <c r="O377" i="11"/>
  <c r="N377" i="11"/>
  <c r="M377" i="11"/>
  <c r="L377" i="11"/>
  <c r="K377" i="11"/>
  <c r="J377" i="11"/>
  <c r="AC900" i="11"/>
  <c r="AB900" i="11"/>
  <c r="AA900" i="11"/>
  <c r="Z900" i="11"/>
  <c r="Y900" i="11"/>
  <c r="X900" i="11"/>
  <c r="W900" i="11"/>
  <c r="V900" i="11"/>
  <c r="U900" i="11"/>
  <c r="T900" i="11"/>
  <c r="S900" i="11"/>
  <c r="R900" i="11"/>
  <c r="Q900" i="11"/>
  <c r="P900" i="11"/>
  <c r="O900" i="11"/>
  <c r="N900" i="11"/>
  <c r="M900" i="11"/>
  <c r="L900" i="11"/>
  <c r="K900" i="11"/>
  <c r="J900" i="11"/>
  <c r="AC597" i="11"/>
  <c r="AB597" i="11"/>
  <c r="AA597" i="11"/>
  <c r="Z597" i="11"/>
  <c r="Y597" i="11"/>
  <c r="X597" i="11"/>
  <c r="W597" i="11"/>
  <c r="V597" i="11"/>
  <c r="U597" i="11"/>
  <c r="T597" i="11"/>
  <c r="S597" i="11"/>
  <c r="R597" i="11"/>
  <c r="Q597" i="11"/>
  <c r="P597" i="11"/>
  <c r="O597" i="11"/>
  <c r="N597" i="11"/>
  <c r="M597" i="11"/>
  <c r="L597" i="11"/>
  <c r="K597" i="11"/>
  <c r="J597" i="11"/>
  <c r="AC459" i="11"/>
  <c r="AB459" i="11"/>
  <c r="AA459" i="11"/>
  <c r="Z459" i="11"/>
  <c r="Y459" i="11"/>
  <c r="X459" i="11"/>
  <c r="W459" i="11"/>
  <c r="V459" i="11"/>
  <c r="U459" i="11"/>
  <c r="T459" i="11"/>
  <c r="S459" i="11"/>
  <c r="R459" i="11"/>
  <c r="Q459" i="11"/>
  <c r="P459" i="11"/>
  <c r="O459" i="11"/>
  <c r="N459" i="11"/>
  <c r="M459" i="11"/>
  <c r="L459" i="11"/>
  <c r="K459" i="11"/>
  <c r="J459" i="11"/>
  <c r="AC113" i="11"/>
  <c r="AB113" i="11"/>
  <c r="AA113" i="11"/>
  <c r="Z113" i="11"/>
  <c r="Y113" i="11"/>
  <c r="X113" i="11"/>
  <c r="W113" i="11"/>
  <c r="V113" i="11"/>
  <c r="U113" i="11"/>
  <c r="T113" i="11"/>
  <c r="S113" i="11"/>
  <c r="R113" i="11"/>
  <c r="Q113" i="11"/>
  <c r="P113" i="11"/>
  <c r="O113" i="11"/>
  <c r="N113" i="11"/>
  <c r="M113" i="11"/>
  <c r="L113" i="11"/>
  <c r="K113" i="11"/>
  <c r="J113" i="11"/>
  <c r="AC1320" i="11"/>
  <c r="AB1320" i="11"/>
  <c r="AA1320" i="11"/>
  <c r="Z1320" i="11"/>
  <c r="Y1320" i="11"/>
  <c r="X1320" i="11"/>
  <c r="W1320" i="11"/>
  <c r="V1320" i="11"/>
  <c r="U1320" i="11"/>
  <c r="T1320" i="11"/>
  <c r="S1320" i="11"/>
  <c r="R1320" i="11"/>
  <c r="Q1320" i="11"/>
  <c r="P1320" i="11"/>
  <c r="O1320" i="11"/>
  <c r="N1320" i="11"/>
  <c r="M1320" i="11"/>
  <c r="L1320" i="11"/>
  <c r="K1320" i="11"/>
  <c r="J1320" i="11"/>
  <c r="AC416" i="11"/>
  <c r="AB416" i="11"/>
  <c r="AA416" i="11"/>
  <c r="Z416" i="11"/>
  <c r="Y416" i="11"/>
  <c r="X416" i="11"/>
  <c r="W416" i="11"/>
  <c r="V416" i="11"/>
  <c r="U416" i="11"/>
  <c r="T416" i="11"/>
  <c r="S416" i="11"/>
  <c r="R416" i="11"/>
  <c r="Q416" i="11"/>
  <c r="P416" i="11"/>
  <c r="O416" i="11"/>
  <c r="N416" i="11"/>
  <c r="M416" i="11"/>
  <c r="L416" i="11"/>
  <c r="K416" i="11"/>
  <c r="J416" i="11"/>
  <c r="AC174" i="11"/>
  <c r="AB174" i="11"/>
  <c r="AA174" i="11"/>
  <c r="Z174" i="11"/>
  <c r="Y174" i="11"/>
  <c r="X174" i="11"/>
  <c r="W174" i="11"/>
  <c r="V174" i="11"/>
  <c r="U174" i="11"/>
  <c r="T174" i="11"/>
  <c r="S174" i="11"/>
  <c r="R174" i="11"/>
  <c r="Q174" i="11"/>
  <c r="P174" i="11"/>
  <c r="O174" i="11"/>
  <c r="N174" i="11"/>
  <c r="M174" i="11"/>
  <c r="L174" i="11"/>
  <c r="K174" i="11"/>
  <c r="J174" i="11"/>
  <c r="AC1761" i="11"/>
  <c r="AB1761" i="11"/>
  <c r="AA1761" i="11"/>
  <c r="Z1761" i="11"/>
  <c r="Y1761" i="11"/>
  <c r="X1761" i="11"/>
  <c r="W1761" i="11"/>
  <c r="V1761" i="11"/>
  <c r="U1761" i="11"/>
  <c r="T1761" i="11"/>
  <c r="S1761" i="11"/>
  <c r="R1761" i="11"/>
  <c r="Q1761" i="11"/>
  <c r="P1761" i="11"/>
  <c r="O1761" i="11"/>
  <c r="N1761" i="11"/>
  <c r="M1761" i="11"/>
  <c r="L1761" i="11"/>
  <c r="K1761" i="11"/>
  <c r="J1761" i="11"/>
  <c r="AC1138" i="11"/>
  <c r="AB1138" i="11"/>
  <c r="AA1138" i="11"/>
  <c r="Z1138" i="11"/>
  <c r="Y1138" i="11"/>
  <c r="X1138" i="11"/>
  <c r="W1138" i="11"/>
  <c r="V1138" i="11"/>
  <c r="U1138" i="11"/>
  <c r="T1138" i="11"/>
  <c r="S1138" i="11"/>
  <c r="R1138" i="11"/>
  <c r="Q1138" i="11"/>
  <c r="P1138" i="11"/>
  <c r="O1138" i="11"/>
  <c r="N1138" i="11"/>
  <c r="M1138" i="11"/>
  <c r="L1138" i="11"/>
  <c r="K1138" i="11"/>
  <c r="J1138" i="11"/>
  <c r="AC1610" i="11"/>
  <c r="AB1610" i="11"/>
  <c r="AA1610" i="11"/>
  <c r="Z1610" i="11"/>
  <c r="Y1610" i="11"/>
  <c r="X1610" i="11"/>
  <c r="W1610" i="11"/>
  <c r="V1610" i="11"/>
  <c r="U1610" i="11"/>
  <c r="T1610" i="11"/>
  <c r="S1610" i="11"/>
  <c r="R1610" i="11"/>
  <c r="Q1610" i="11"/>
  <c r="P1610" i="11"/>
  <c r="O1610" i="11"/>
  <c r="N1610" i="11"/>
  <c r="M1610" i="11"/>
  <c r="L1610" i="11"/>
  <c r="K1610" i="11"/>
  <c r="J1610" i="11"/>
  <c r="AC1609" i="11"/>
  <c r="AB1609" i="11"/>
  <c r="AA1609" i="11"/>
  <c r="Z1609" i="11"/>
  <c r="Y1609" i="11"/>
  <c r="X1609" i="11"/>
  <c r="W1609" i="11"/>
  <c r="V1609" i="11"/>
  <c r="U1609" i="11"/>
  <c r="T1609" i="11"/>
  <c r="S1609" i="11"/>
  <c r="R1609" i="11"/>
  <c r="Q1609" i="11"/>
  <c r="P1609" i="11"/>
  <c r="O1609" i="11"/>
  <c r="N1609" i="11"/>
  <c r="M1609" i="11"/>
  <c r="L1609" i="11"/>
  <c r="K1609" i="11"/>
  <c r="J1609" i="11"/>
  <c r="AC2113" i="11"/>
  <c r="AB2113" i="11"/>
  <c r="AA2113" i="11"/>
  <c r="Z2113" i="11"/>
  <c r="Y2113" i="11"/>
  <c r="X2113" i="11"/>
  <c r="W2113" i="11"/>
  <c r="V2113" i="11"/>
  <c r="U2113" i="11"/>
  <c r="T2113" i="11"/>
  <c r="S2113" i="11"/>
  <c r="R2113" i="11"/>
  <c r="Q2113" i="11"/>
  <c r="P2113" i="11"/>
  <c r="O2113" i="11"/>
  <c r="N2113" i="11"/>
  <c r="M2113" i="11"/>
  <c r="L2113" i="11"/>
  <c r="K2113" i="11"/>
  <c r="J2113" i="11"/>
  <c r="AC2043" i="11"/>
  <c r="AB2043" i="11"/>
  <c r="AA2043" i="11"/>
  <c r="Z2043" i="11"/>
  <c r="Y2043" i="11"/>
  <c r="X2043" i="11"/>
  <c r="W2043" i="11"/>
  <c r="V2043" i="11"/>
  <c r="U2043" i="11"/>
  <c r="T2043" i="11"/>
  <c r="S2043" i="11"/>
  <c r="R2043" i="11"/>
  <c r="Q2043" i="11"/>
  <c r="P2043" i="11"/>
  <c r="O2043" i="11"/>
  <c r="N2043" i="11"/>
  <c r="M2043" i="11"/>
  <c r="L2043" i="11"/>
  <c r="K2043" i="11"/>
  <c r="J2043" i="11"/>
  <c r="AC294" i="11"/>
  <c r="AB294" i="11"/>
  <c r="AA294" i="11"/>
  <c r="Z294" i="11"/>
  <c r="Y294" i="11"/>
  <c r="X294" i="11"/>
  <c r="W294" i="11"/>
  <c r="V294" i="11"/>
  <c r="U294" i="11"/>
  <c r="T294" i="11"/>
  <c r="S294" i="11"/>
  <c r="R294" i="11"/>
  <c r="Q294" i="11"/>
  <c r="P294" i="11"/>
  <c r="O294" i="11"/>
  <c r="N294" i="11"/>
  <c r="M294" i="11"/>
  <c r="L294" i="11"/>
  <c r="K294" i="11"/>
  <c r="J294" i="11"/>
  <c r="AC2180" i="11"/>
  <c r="AB2180" i="11"/>
  <c r="AA2180" i="11"/>
  <c r="Z2180" i="11"/>
  <c r="Y2180" i="11"/>
  <c r="X2180" i="11"/>
  <c r="W2180" i="11"/>
  <c r="V2180" i="11"/>
  <c r="U2180" i="11"/>
  <c r="T2180" i="11"/>
  <c r="S2180" i="11"/>
  <c r="R2180" i="11"/>
  <c r="Q2180" i="11"/>
  <c r="P2180" i="11"/>
  <c r="O2180" i="11"/>
  <c r="N2180" i="11"/>
  <c r="M2180" i="11"/>
  <c r="L2180" i="11"/>
  <c r="K2180" i="11"/>
  <c r="J2180" i="11"/>
  <c r="AC1319" i="11"/>
  <c r="AB1319" i="11"/>
  <c r="AA1319" i="11"/>
  <c r="Z1319" i="11"/>
  <c r="Y1319" i="11"/>
  <c r="X1319" i="11"/>
  <c r="W1319" i="11"/>
  <c r="V1319" i="11"/>
  <c r="U1319" i="11"/>
  <c r="T1319" i="11"/>
  <c r="S1319" i="11"/>
  <c r="R1319" i="11"/>
  <c r="Q1319" i="11"/>
  <c r="P1319" i="11"/>
  <c r="O1319" i="11"/>
  <c r="N1319" i="11"/>
  <c r="M1319" i="11"/>
  <c r="L1319" i="11"/>
  <c r="K1319" i="11"/>
  <c r="J1319" i="11"/>
  <c r="AC293" i="11"/>
  <c r="AB293" i="11"/>
  <c r="AA293" i="11"/>
  <c r="Z293" i="11"/>
  <c r="Y293" i="11"/>
  <c r="X293" i="11"/>
  <c r="W293" i="11"/>
  <c r="V293" i="11"/>
  <c r="U293" i="11"/>
  <c r="T293" i="11"/>
  <c r="S293" i="11"/>
  <c r="R293" i="11"/>
  <c r="Q293" i="11"/>
  <c r="P293" i="11"/>
  <c r="O293" i="11"/>
  <c r="N293" i="11"/>
  <c r="M293" i="11"/>
  <c r="L293" i="11"/>
  <c r="K293" i="11"/>
  <c r="J293" i="11"/>
  <c r="AC292" i="11"/>
  <c r="AB292" i="11"/>
  <c r="AA292" i="11"/>
  <c r="Z292" i="11"/>
  <c r="Y292" i="11"/>
  <c r="X292" i="11"/>
  <c r="W292" i="11"/>
  <c r="V292" i="11"/>
  <c r="U292" i="11"/>
  <c r="T292" i="11"/>
  <c r="S292" i="11"/>
  <c r="R292" i="11"/>
  <c r="Q292" i="11"/>
  <c r="P292" i="11"/>
  <c r="O292" i="11"/>
  <c r="N292" i="11"/>
  <c r="M292" i="11"/>
  <c r="L292" i="11"/>
  <c r="K292" i="11"/>
  <c r="J292" i="11"/>
  <c r="AC833" i="11"/>
  <c r="AB833" i="11"/>
  <c r="AA833" i="11"/>
  <c r="Z833" i="11"/>
  <c r="Y833" i="11"/>
  <c r="X833" i="11"/>
  <c r="W833" i="11"/>
  <c r="V833" i="11"/>
  <c r="U833" i="11"/>
  <c r="T833" i="11"/>
  <c r="S833" i="11"/>
  <c r="R833" i="11"/>
  <c r="Q833" i="11"/>
  <c r="P833" i="11"/>
  <c r="O833" i="11"/>
  <c r="N833" i="11"/>
  <c r="M833" i="11"/>
  <c r="L833" i="11"/>
  <c r="K833" i="11"/>
  <c r="J833" i="11"/>
  <c r="AC537" i="11"/>
  <c r="AB537" i="11"/>
  <c r="AA537" i="11"/>
  <c r="Z537" i="11"/>
  <c r="Y537" i="11"/>
  <c r="X537" i="11"/>
  <c r="W537" i="11"/>
  <c r="V537" i="11"/>
  <c r="U537" i="11"/>
  <c r="T537" i="11"/>
  <c r="S537" i="11"/>
  <c r="R537" i="11"/>
  <c r="Q537" i="11"/>
  <c r="P537" i="11"/>
  <c r="O537" i="11"/>
  <c r="N537" i="11"/>
  <c r="M537" i="11"/>
  <c r="L537" i="11"/>
  <c r="K537" i="11"/>
  <c r="J537" i="11"/>
  <c r="AC2042" i="11"/>
  <c r="AB2042" i="11"/>
  <c r="AA2042" i="11"/>
  <c r="Z2042" i="11"/>
  <c r="Y2042" i="11"/>
  <c r="X2042" i="11"/>
  <c r="W2042" i="11"/>
  <c r="V2042" i="11"/>
  <c r="U2042" i="11"/>
  <c r="T2042" i="11"/>
  <c r="S2042" i="11"/>
  <c r="R2042" i="11"/>
  <c r="Q2042" i="11"/>
  <c r="P2042" i="11"/>
  <c r="O2042" i="11"/>
  <c r="N2042" i="11"/>
  <c r="M2042" i="11"/>
  <c r="L2042" i="11"/>
  <c r="K2042" i="11"/>
  <c r="J2042" i="11"/>
  <c r="AC376" i="11"/>
  <c r="AB376" i="11"/>
  <c r="AA376" i="11"/>
  <c r="Z376" i="11"/>
  <c r="Y376" i="11"/>
  <c r="X376" i="11"/>
  <c r="W376" i="11"/>
  <c r="V376" i="11"/>
  <c r="U376" i="11"/>
  <c r="T376" i="11"/>
  <c r="S376" i="11"/>
  <c r="R376" i="11"/>
  <c r="Q376" i="11"/>
  <c r="P376" i="11"/>
  <c r="O376" i="11"/>
  <c r="N376" i="11"/>
  <c r="M376" i="11"/>
  <c r="L376" i="11"/>
  <c r="K376" i="11"/>
  <c r="J376" i="11"/>
  <c r="AC1657" i="11"/>
  <c r="AB1657" i="11"/>
  <c r="AA1657" i="11"/>
  <c r="Z1657" i="11"/>
  <c r="Y1657" i="11"/>
  <c r="X1657" i="11"/>
  <c r="W1657" i="11"/>
  <c r="V1657" i="11"/>
  <c r="U1657" i="11"/>
  <c r="T1657" i="11"/>
  <c r="S1657" i="11"/>
  <c r="R1657" i="11"/>
  <c r="Q1657" i="11"/>
  <c r="P1657" i="11"/>
  <c r="O1657" i="11"/>
  <c r="N1657" i="11"/>
  <c r="M1657" i="11"/>
  <c r="L1657" i="11"/>
  <c r="K1657" i="11"/>
  <c r="J1657" i="11"/>
  <c r="AC335" i="11"/>
  <c r="AB335" i="11"/>
  <c r="AA335" i="11"/>
  <c r="Z335" i="11"/>
  <c r="Y335" i="11"/>
  <c r="X335" i="11"/>
  <c r="W335" i="11"/>
  <c r="V335" i="11"/>
  <c r="U335" i="11"/>
  <c r="T335" i="11"/>
  <c r="S335" i="11"/>
  <c r="R335" i="11"/>
  <c r="Q335" i="11"/>
  <c r="P335" i="11"/>
  <c r="O335" i="11"/>
  <c r="N335" i="11"/>
  <c r="M335" i="11"/>
  <c r="L335" i="11"/>
  <c r="K335" i="11"/>
  <c r="J335" i="11"/>
  <c r="AC536" i="11"/>
  <c r="AB536" i="11"/>
  <c r="AA536" i="11"/>
  <c r="Z536" i="11"/>
  <c r="Y536" i="11"/>
  <c r="X536" i="11"/>
  <c r="W536" i="11"/>
  <c r="V536" i="11"/>
  <c r="U536" i="11"/>
  <c r="T536" i="11"/>
  <c r="S536" i="11"/>
  <c r="R536" i="11"/>
  <c r="Q536" i="11"/>
  <c r="P536" i="11"/>
  <c r="O536" i="11"/>
  <c r="N536" i="11"/>
  <c r="M536" i="11"/>
  <c r="L536" i="11"/>
  <c r="K536" i="11"/>
  <c r="J536" i="11"/>
  <c r="AC535" i="11"/>
  <c r="AB535" i="11"/>
  <c r="AA535" i="11"/>
  <c r="Z535" i="11"/>
  <c r="Y535" i="11"/>
  <c r="X535" i="11"/>
  <c r="W535" i="11"/>
  <c r="V535" i="11"/>
  <c r="U535" i="11"/>
  <c r="T535" i="11"/>
  <c r="S535" i="11"/>
  <c r="R535" i="11"/>
  <c r="Q535" i="11"/>
  <c r="P535" i="11"/>
  <c r="O535" i="11"/>
  <c r="N535" i="11"/>
  <c r="M535" i="11"/>
  <c r="L535" i="11"/>
  <c r="K535" i="11"/>
  <c r="J535" i="11"/>
  <c r="AC84" i="11"/>
  <c r="AB84" i="11"/>
  <c r="AA84" i="11"/>
  <c r="Z84" i="11"/>
  <c r="Y84" i="11"/>
  <c r="X84" i="11"/>
  <c r="W84" i="11"/>
  <c r="V84" i="11"/>
  <c r="U84" i="11"/>
  <c r="T84" i="11"/>
  <c r="S84" i="11"/>
  <c r="R84" i="11"/>
  <c r="Q84" i="11"/>
  <c r="P84" i="11"/>
  <c r="O84" i="11"/>
  <c r="N84" i="11"/>
  <c r="M84" i="11"/>
  <c r="L84" i="11"/>
  <c r="K84" i="11"/>
  <c r="J84" i="11"/>
  <c r="AC83" i="11"/>
  <c r="AB83" i="11"/>
  <c r="AA83" i="11"/>
  <c r="Z83" i="11"/>
  <c r="Y83" i="11"/>
  <c r="X83" i="11"/>
  <c r="W83" i="11"/>
  <c r="V83" i="11"/>
  <c r="U83" i="11"/>
  <c r="T83" i="11"/>
  <c r="S83" i="11"/>
  <c r="R83" i="11"/>
  <c r="Q83" i="11"/>
  <c r="P83" i="11"/>
  <c r="O83" i="11"/>
  <c r="N83" i="11"/>
  <c r="M83" i="11"/>
  <c r="L83" i="11"/>
  <c r="K83" i="11"/>
  <c r="J83" i="11"/>
  <c r="AC334" i="11"/>
  <c r="AB334" i="11"/>
  <c r="AA334" i="11"/>
  <c r="Z334" i="11"/>
  <c r="Y334" i="11"/>
  <c r="X334" i="11"/>
  <c r="W334" i="11"/>
  <c r="V334" i="11"/>
  <c r="U334" i="11"/>
  <c r="T334" i="11"/>
  <c r="S334" i="11"/>
  <c r="R334" i="11"/>
  <c r="Q334" i="11"/>
  <c r="P334" i="11"/>
  <c r="O334" i="11"/>
  <c r="N334" i="11"/>
  <c r="M334" i="11"/>
  <c r="L334" i="11"/>
  <c r="K334" i="11"/>
  <c r="J334" i="11"/>
  <c r="AC1370" i="11"/>
  <c r="AB1370" i="11"/>
  <c r="AA1370" i="11"/>
  <c r="Z1370" i="11"/>
  <c r="Y1370" i="11"/>
  <c r="X1370" i="11"/>
  <c r="W1370" i="11"/>
  <c r="V1370" i="11"/>
  <c r="U1370" i="11"/>
  <c r="T1370" i="11"/>
  <c r="S1370" i="11"/>
  <c r="R1370" i="11"/>
  <c r="Q1370" i="11"/>
  <c r="P1370" i="11"/>
  <c r="O1370" i="11"/>
  <c r="N1370" i="11"/>
  <c r="M1370" i="11"/>
  <c r="L1370" i="11"/>
  <c r="K1370" i="11"/>
  <c r="J1370" i="11"/>
  <c r="AC596" i="11"/>
  <c r="AB596" i="11"/>
  <c r="AA596" i="11"/>
  <c r="Z596" i="11"/>
  <c r="Y596" i="11"/>
  <c r="X596" i="11"/>
  <c r="W596" i="11"/>
  <c r="V596" i="11"/>
  <c r="U596" i="11"/>
  <c r="T596" i="11"/>
  <c r="S596" i="11"/>
  <c r="R596" i="11"/>
  <c r="Q596" i="11"/>
  <c r="P596" i="11"/>
  <c r="O596" i="11"/>
  <c r="N596" i="11"/>
  <c r="M596" i="11"/>
  <c r="L596" i="11"/>
  <c r="K596" i="11"/>
  <c r="J596" i="11"/>
  <c r="AC1856" i="11"/>
  <c r="AB1856" i="11"/>
  <c r="AA1856" i="11"/>
  <c r="Z1856" i="11"/>
  <c r="Y1856" i="11"/>
  <c r="X1856" i="11"/>
  <c r="W1856" i="11"/>
  <c r="V1856" i="11"/>
  <c r="U1856" i="11"/>
  <c r="T1856" i="11"/>
  <c r="S1856" i="11"/>
  <c r="R1856" i="11"/>
  <c r="Q1856" i="11"/>
  <c r="P1856" i="11"/>
  <c r="O1856" i="11"/>
  <c r="N1856" i="11"/>
  <c r="M1856" i="11"/>
  <c r="L1856" i="11"/>
  <c r="K1856" i="11"/>
  <c r="J1856" i="11"/>
  <c r="AC595" i="11"/>
  <c r="AB595" i="11"/>
  <c r="AA595" i="11"/>
  <c r="Z595" i="11"/>
  <c r="Y595" i="11"/>
  <c r="X595" i="11"/>
  <c r="W595" i="11"/>
  <c r="V595" i="11"/>
  <c r="U595" i="11"/>
  <c r="T595" i="11"/>
  <c r="S595" i="11"/>
  <c r="R595" i="11"/>
  <c r="Q595" i="11"/>
  <c r="P595" i="11"/>
  <c r="O595" i="11"/>
  <c r="N595" i="11"/>
  <c r="M595" i="11"/>
  <c r="L595" i="11"/>
  <c r="K595" i="11"/>
  <c r="J595" i="11"/>
  <c r="AC375" i="11"/>
  <c r="AB375" i="11"/>
  <c r="AA375" i="11"/>
  <c r="Z375" i="11"/>
  <c r="Y375" i="11"/>
  <c r="X375" i="11"/>
  <c r="W375" i="11"/>
  <c r="V375" i="11"/>
  <c r="U375" i="11"/>
  <c r="T375" i="11"/>
  <c r="S375" i="11"/>
  <c r="R375" i="11"/>
  <c r="Q375" i="11"/>
  <c r="P375" i="11"/>
  <c r="O375" i="11"/>
  <c r="N375" i="11"/>
  <c r="M375" i="11"/>
  <c r="L375" i="11"/>
  <c r="K375" i="11"/>
  <c r="J375" i="11"/>
  <c r="AC212" i="11"/>
  <c r="AB212" i="11"/>
  <c r="AA212" i="11"/>
  <c r="Z212" i="11"/>
  <c r="Y212" i="11"/>
  <c r="X212" i="11"/>
  <c r="W212" i="11"/>
  <c r="V212" i="11"/>
  <c r="U212" i="11"/>
  <c r="T212" i="11"/>
  <c r="S212" i="11"/>
  <c r="R212" i="11"/>
  <c r="Q212" i="11"/>
  <c r="P212" i="11"/>
  <c r="O212" i="11"/>
  <c r="N212" i="11"/>
  <c r="M212" i="11"/>
  <c r="L212" i="11"/>
  <c r="K212" i="11"/>
  <c r="J212" i="11"/>
  <c r="AC1274" i="11"/>
  <c r="AB1274" i="11"/>
  <c r="AA1274" i="11"/>
  <c r="Z1274" i="11"/>
  <c r="Y1274" i="11"/>
  <c r="X1274" i="11"/>
  <c r="W1274" i="11"/>
  <c r="V1274" i="11"/>
  <c r="U1274" i="11"/>
  <c r="T1274" i="11"/>
  <c r="S1274" i="11"/>
  <c r="R1274" i="11"/>
  <c r="Q1274" i="11"/>
  <c r="P1274" i="11"/>
  <c r="O1274" i="11"/>
  <c r="N1274" i="11"/>
  <c r="M1274" i="11"/>
  <c r="L1274" i="11"/>
  <c r="K1274" i="11"/>
  <c r="J1274" i="11"/>
  <c r="AC139" i="11"/>
  <c r="AB139" i="11"/>
  <c r="AA139" i="11"/>
  <c r="Z139" i="11"/>
  <c r="Y139" i="11"/>
  <c r="X139" i="11"/>
  <c r="W139" i="11"/>
  <c r="V139" i="11"/>
  <c r="U139" i="11"/>
  <c r="T139" i="11"/>
  <c r="S139" i="11"/>
  <c r="R139" i="11"/>
  <c r="Q139" i="11"/>
  <c r="P139" i="11"/>
  <c r="O139" i="11"/>
  <c r="N139" i="11"/>
  <c r="M139" i="11"/>
  <c r="L139" i="11"/>
  <c r="K139" i="11"/>
  <c r="J139" i="11"/>
  <c r="AC2083" i="11"/>
  <c r="AB2083" i="11"/>
  <c r="AA2083" i="11"/>
  <c r="Z2083" i="11"/>
  <c r="Y2083" i="11"/>
  <c r="X2083" i="11"/>
  <c r="W2083" i="11"/>
  <c r="V2083" i="11"/>
  <c r="U2083" i="11"/>
  <c r="T2083" i="11"/>
  <c r="S2083" i="11"/>
  <c r="R2083" i="11"/>
  <c r="Q2083" i="11"/>
  <c r="P2083" i="11"/>
  <c r="O2083" i="11"/>
  <c r="N2083" i="11"/>
  <c r="M2083" i="11"/>
  <c r="L2083" i="11"/>
  <c r="K2083" i="11"/>
  <c r="J2083" i="11"/>
  <c r="AC1656" i="11"/>
  <c r="AB1656" i="11"/>
  <c r="AA1656" i="11"/>
  <c r="Z1656" i="11"/>
  <c r="Y1656" i="11"/>
  <c r="X1656" i="11"/>
  <c r="W1656" i="11"/>
  <c r="V1656" i="11"/>
  <c r="U1656" i="11"/>
  <c r="T1656" i="11"/>
  <c r="S1656" i="11"/>
  <c r="R1656" i="11"/>
  <c r="Q1656" i="11"/>
  <c r="P1656" i="11"/>
  <c r="O1656" i="11"/>
  <c r="N1656" i="11"/>
  <c r="M1656" i="11"/>
  <c r="L1656" i="11"/>
  <c r="K1656" i="11"/>
  <c r="J1656" i="11"/>
  <c r="AC1369" i="11"/>
  <c r="AB1369" i="11"/>
  <c r="AA1369" i="11"/>
  <c r="Z1369" i="11"/>
  <c r="Y1369" i="11"/>
  <c r="X1369" i="11"/>
  <c r="W1369" i="11"/>
  <c r="V1369" i="11"/>
  <c r="U1369" i="11"/>
  <c r="T1369" i="11"/>
  <c r="S1369" i="11"/>
  <c r="R1369" i="11"/>
  <c r="Q1369" i="11"/>
  <c r="P1369" i="11"/>
  <c r="O1369" i="11"/>
  <c r="N1369" i="11"/>
  <c r="M1369" i="11"/>
  <c r="L1369" i="11"/>
  <c r="K1369" i="11"/>
  <c r="J1369" i="11"/>
  <c r="AC1655" i="11"/>
  <c r="AB1655" i="11"/>
  <c r="AA1655" i="11"/>
  <c r="Z1655" i="11"/>
  <c r="Y1655" i="11"/>
  <c r="X1655" i="11"/>
  <c r="W1655" i="11"/>
  <c r="V1655" i="11"/>
  <c r="U1655" i="11"/>
  <c r="T1655" i="11"/>
  <c r="S1655" i="11"/>
  <c r="R1655" i="11"/>
  <c r="Q1655" i="11"/>
  <c r="P1655" i="11"/>
  <c r="O1655" i="11"/>
  <c r="N1655" i="11"/>
  <c r="M1655" i="11"/>
  <c r="L1655" i="11"/>
  <c r="K1655" i="11"/>
  <c r="J1655" i="11"/>
  <c r="AC670" i="11"/>
  <c r="AB670" i="11"/>
  <c r="AA670" i="11"/>
  <c r="Z670" i="11"/>
  <c r="Y670" i="11"/>
  <c r="X670" i="11"/>
  <c r="W670" i="11"/>
  <c r="V670" i="11"/>
  <c r="U670" i="11"/>
  <c r="T670" i="11"/>
  <c r="S670" i="11"/>
  <c r="R670" i="11"/>
  <c r="Q670" i="11"/>
  <c r="P670" i="11"/>
  <c r="O670" i="11"/>
  <c r="N670" i="11"/>
  <c r="M670" i="11"/>
  <c r="L670" i="11"/>
  <c r="K670" i="11"/>
  <c r="J670" i="11"/>
  <c r="AC1273" i="11"/>
  <c r="AB1273" i="11"/>
  <c r="AA1273" i="11"/>
  <c r="Z1273" i="11"/>
  <c r="Y1273" i="11"/>
  <c r="X1273" i="11"/>
  <c r="W1273" i="11"/>
  <c r="V1273" i="11"/>
  <c r="U1273" i="11"/>
  <c r="T1273" i="11"/>
  <c r="S1273" i="11"/>
  <c r="R1273" i="11"/>
  <c r="Q1273" i="11"/>
  <c r="P1273" i="11"/>
  <c r="O1273" i="11"/>
  <c r="N1273" i="11"/>
  <c r="M1273" i="11"/>
  <c r="L1273" i="11"/>
  <c r="K1273" i="11"/>
  <c r="J1273" i="11"/>
  <c r="AC1137" i="11"/>
  <c r="AB1137" i="11"/>
  <c r="AA1137" i="11"/>
  <c r="Z1137" i="11"/>
  <c r="Y1137" i="11"/>
  <c r="X1137" i="11"/>
  <c r="W1137" i="11"/>
  <c r="V1137" i="11"/>
  <c r="U1137" i="11"/>
  <c r="T1137" i="11"/>
  <c r="S1137" i="11"/>
  <c r="R1137" i="11"/>
  <c r="Q1137" i="11"/>
  <c r="P1137" i="11"/>
  <c r="O1137" i="11"/>
  <c r="N1137" i="11"/>
  <c r="M1137" i="11"/>
  <c r="L1137" i="11"/>
  <c r="K1137" i="11"/>
  <c r="J1137" i="11"/>
  <c r="AC112" i="11"/>
  <c r="AB112" i="11"/>
  <c r="AA112" i="11"/>
  <c r="Z112" i="11"/>
  <c r="Y112" i="11"/>
  <c r="X112" i="11"/>
  <c r="W112" i="11"/>
  <c r="V112" i="11"/>
  <c r="U112" i="11"/>
  <c r="T112" i="11"/>
  <c r="S112" i="11"/>
  <c r="R112" i="11"/>
  <c r="Q112" i="11"/>
  <c r="P112" i="11"/>
  <c r="O112" i="11"/>
  <c r="N112" i="11"/>
  <c r="M112" i="11"/>
  <c r="L112" i="11"/>
  <c r="K112" i="11"/>
  <c r="J112" i="11"/>
  <c r="AC1445" i="11"/>
  <c r="AB1445" i="11"/>
  <c r="AA1445" i="11"/>
  <c r="Z1445" i="11"/>
  <c r="Y1445" i="11"/>
  <c r="X1445" i="11"/>
  <c r="W1445" i="11"/>
  <c r="V1445" i="11"/>
  <c r="U1445" i="11"/>
  <c r="T1445" i="11"/>
  <c r="S1445" i="11"/>
  <c r="R1445" i="11"/>
  <c r="Q1445" i="11"/>
  <c r="P1445" i="11"/>
  <c r="O1445" i="11"/>
  <c r="N1445" i="11"/>
  <c r="M1445" i="11"/>
  <c r="L1445" i="11"/>
  <c r="K1445" i="11"/>
  <c r="J1445" i="11"/>
  <c r="AC1444" i="11"/>
  <c r="AB1444" i="11"/>
  <c r="AA1444" i="11"/>
  <c r="Z1444" i="11"/>
  <c r="Y1444" i="11"/>
  <c r="X1444" i="11"/>
  <c r="W1444" i="11"/>
  <c r="V1444" i="11"/>
  <c r="U1444" i="11"/>
  <c r="T1444" i="11"/>
  <c r="S1444" i="11"/>
  <c r="R1444" i="11"/>
  <c r="Q1444" i="11"/>
  <c r="P1444" i="11"/>
  <c r="O1444" i="11"/>
  <c r="N1444" i="11"/>
  <c r="M1444" i="11"/>
  <c r="L1444" i="11"/>
  <c r="K1444" i="11"/>
  <c r="J1444" i="11"/>
  <c r="AC1067" i="11"/>
  <c r="AB1067" i="11"/>
  <c r="AA1067" i="11"/>
  <c r="Z1067" i="11"/>
  <c r="Y1067" i="11"/>
  <c r="X1067" i="11"/>
  <c r="W1067" i="11"/>
  <c r="V1067" i="11"/>
  <c r="U1067" i="11"/>
  <c r="T1067" i="11"/>
  <c r="S1067" i="11"/>
  <c r="R1067" i="11"/>
  <c r="Q1067" i="11"/>
  <c r="P1067" i="11"/>
  <c r="O1067" i="11"/>
  <c r="N1067" i="11"/>
  <c r="M1067" i="11"/>
  <c r="L1067" i="11"/>
  <c r="K1067" i="11"/>
  <c r="J1067" i="11"/>
  <c r="AC211" i="11"/>
  <c r="AB211" i="11"/>
  <c r="AA211" i="11"/>
  <c r="Z211" i="11"/>
  <c r="Y211" i="11"/>
  <c r="X211" i="11"/>
  <c r="W211" i="11"/>
  <c r="V211" i="11"/>
  <c r="U211" i="11"/>
  <c r="T211" i="11"/>
  <c r="S211" i="11"/>
  <c r="R211" i="11"/>
  <c r="Q211" i="11"/>
  <c r="P211" i="11"/>
  <c r="O211" i="11"/>
  <c r="N211" i="11"/>
  <c r="M211" i="11"/>
  <c r="L211" i="11"/>
  <c r="K211" i="11"/>
  <c r="J211" i="11"/>
  <c r="AC210" i="11"/>
  <c r="AB210" i="11"/>
  <c r="AA210" i="11"/>
  <c r="Z210" i="11"/>
  <c r="Y210" i="11"/>
  <c r="X210" i="11"/>
  <c r="W210" i="11"/>
  <c r="V210" i="11"/>
  <c r="U210" i="11"/>
  <c r="T210" i="11"/>
  <c r="S210" i="11"/>
  <c r="R210" i="11"/>
  <c r="Q210" i="11"/>
  <c r="P210" i="11"/>
  <c r="O210" i="11"/>
  <c r="N210" i="11"/>
  <c r="M210" i="11"/>
  <c r="L210" i="11"/>
  <c r="K210" i="11"/>
  <c r="J210" i="11"/>
  <c r="AC982" i="11"/>
  <c r="AB982" i="11"/>
  <c r="AA982" i="11"/>
  <c r="Z982" i="11"/>
  <c r="Y982" i="11"/>
  <c r="X982" i="11"/>
  <c r="W982" i="11"/>
  <c r="V982" i="11"/>
  <c r="U982" i="11"/>
  <c r="T982" i="11"/>
  <c r="S982" i="11"/>
  <c r="R982" i="11"/>
  <c r="Q982" i="11"/>
  <c r="P982" i="11"/>
  <c r="O982" i="11"/>
  <c r="N982" i="11"/>
  <c r="M982" i="11"/>
  <c r="L982" i="11"/>
  <c r="K982" i="11"/>
  <c r="J982" i="11"/>
  <c r="AC1066" i="11"/>
  <c r="AB1066" i="11"/>
  <c r="AA1066" i="11"/>
  <c r="Z1066" i="11"/>
  <c r="Y1066" i="11"/>
  <c r="X1066" i="11"/>
  <c r="W1066" i="11"/>
  <c r="V1066" i="11"/>
  <c r="U1066" i="11"/>
  <c r="T1066" i="11"/>
  <c r="S1066" i="11"/>
  <c r="R1066" i="11"/>
  <c r="Q1066" i="11"/>
  <c r="P1066" i="11"/>
  <c r="O1066" i="11"/>
  <c r="N1066" i="11"/>
  <c r="M1066" i="11"/>
  <c r="L1066" i="11"/>
  <c r="K1066" i="11"/>
  <c r="J1066" i="11"/>
  <c r="AC209" i="11"/>
  <c r="AB209" i="11"/>
  <c r="AA209" i="11"/>
  <c r="Z209" i="11"/>
  <c r="Y209" i="11"/>
  <c r="X209" i="11"/>
  <c r="W209" i="11"/>
  <c r="V209" i="11"/>
  <c r="U209" i="11"/>
  <c r="T209" i="11"/>
  <c r="S209" i="11"/>
  <c r="R209" i="11"/>
  <c r="Q209" i="11"/>
  <c r="P209" i="11"/>
  <c r="O209" i="11"/>
  <c r="N209" i="11"/>
  <c r="M209" i="11"/>
  <c r="L209" i="11"/>
  <c r="K209" i="11"/>
  <c r="J209" i="11"/>
  <c r="AC173" i="11"/>
  <c r="AB173" i="11"/>
  <c r="AA173" i="11"/>
  <c r="Z173" i="11"/>
  <c r="Y173" i="11"/>
  <c r="X173" i="11"/>
  <c r="W173" i="11"/>
  <c r="V173" i="11"/>
  <c r="U173" i="11"/>
  <c r="T173" i="11"/>
  <c r="S173" i="11"/>
  <c r="R173" i="11"/>
  <c r="Q173" i="11"/>
  <c r="P173" i="11"/>
  <c r="O173" i="11"/>
  <c r="N173" i="11"/>
  <c r="M173" i="11"/>
  <c r="L173" i="11"/>
  <c r="K173" i="11"/>
  <c r="J173" i="11"/>
  <c r="AC1136" i="11"/>
  <c r="AB1136" i="11"/>
  <c r="AA1136" i="11"/>
  <c r="Z1136" i="11"/>
  <c r="Y1136" i="11"/>
  <c r="X1136" i="11"/>
  <c r="W1136" i="11"/>
  <c r="V1136" i="11"/>
  <c r="U1136" i="11"/>
  <c r="T1136" i="11"/>
  <c r="S1136" i="11"/>
  <c r="R1136" i="11"/>
  <c r="Q1136" i="11"/>
  <c r="P1136" i="11"/>
  <c r="O1136" i="11"/>
  <c r="N1136" i="11"/>
  <c r="M1136" i="11"/>
  <c r="L1136" i="11"/>
  <c r="K1136" i="11"/>
  <c r="J1136" i="11"/>
  <c r="AC981" i="11"/>
  <c r="AB981" i="11"/>
  <c r="AA981" i="11"/>
  <c r="Z981" i="11"/>
  <c r="Y981" i="11"/>
  <c r="X981" i="11"/>
  <c r="W981" i="11"/>
  <c r="V981" i="11"/>
  <c r="U981" i="11"/>
  <c r="T981" i="11"/>
  <c r="S981" i="11"/>
  <c r="R981" i="11"/>
  <c r="Q981" i="11"/>
  <c r="P981" i="11"/>
  <c r="O981" i="11"/>
  <c r="N981" i="11"/>
  <c r="M981" i="11"/>
  <c r="L981" i="11"/>
  <c r="K981" i="11"/>
  <c r="J981" i="11"/>
  <c r="AC1608" i="11"/>
  <c r="AB1608" i="11"/>
  <c r="AA1608" i="11"/>
  <c r="Z1608" i="11"/>
  <c r="Y1608" i="11"/>
  <c r="X1608" i="11"/>
  <c r="W1608" i="11"/>
  <c r="V1608" i="11"/>
  <c r="U1608" i="11"/>
  <c r="T1608" i="11"/>
  <c r="S1608" i="11"/>
  <c r="R1608" i="11"/>
  <c r="Q1608" i="11"/>
  <c r="P1608" i="11"/>
  <c r="O1608" i="11"/>
  <c r="N1608" i="11"/>
  <c r="M1608" i="11"/>
  <c r="L1608" i="11"/>
  <c r="K1608" i="11"/>
  <c r="J1608" i="11"/>
  <c r="AC54" i="11"/>
  <c r="AB54" i="11"/>
  <c r="AA54" i="11"/>
  <c r="Z54" i="11"/>
  <c r="Y54" i="11"/>
  <c r="X54" i="11"/>
  <c r="W54" i="11"/>
  <c r="V54" i="11"/>
  <c r="U54" i="11"/>
  <c r="T54" i="11"/>
  <c r="S54" i="11"/>
  <c r="R54" i="11"/>
  <c r="Q54" i="11"/>
  <c r="P54" i="11"/>
  <c r="O54" i="11"/>
  <c r="N54" i="11"/>
  <c r="M54" i="11"/>
  <c r="L54" i="11"/>
  <c r="K54" i="11"/>
  <c r="J54" i="11"/>
  <c r="AC291" i="11"/>
  <c r="AB291" i="11"/>
  <c r="AA291" i="11"/>
  <c r="Z291" i="11"/>
  <c r="Y291" i="11"/>
  <c r="X291" i="11"/>
  <c r="W291" i="11"/>
  <c r="V291" i="11"/>
  <c r="U291" i="11"/>
  <c r="T291" i="11"/>
  <c r="S291" i="11"/>
  <c r="R291" i="11"/>
  <c r="Q291" i="11"/>
  <c r="P291" i="11"/>
  <c r="O291" i="11"/>
  <c r="N291" i="11"/>
  <c r="M291" i="11"/>
  <c r="L291" i="11"/>
  <c r="K291" i="11"/>
  <c r="J291" i="11"/>
  <c r="AC290" i="11"/>
  <c r="AB290" i="11"/>
  <c r="AA290" i="11"/>
  <c r="Z290" i="11"/>
  <c r="Y290" i="11"/>
  <c r="X290" i="11"/>
  <c r="W290" i="11"/>
  <c r="V290" i="11"/>
  <c r="U290" i="11"/>
  <c r="T290" i="11"/>
  <c r="S290" i="11"/>
  <c r="R290" i="11"/>
  <c r="Q290" i="11"/>
  <c r="P290" i="11"/>
  <c r="O290" i="11"/>
  <c r="N290" i="11"/>
  <c r="M290" i="11"/>
  <c r="L290" i="11"/>
  <c r="K290" i="11"/>
  <c r="J290" i="11"/>
  <c r="AC534" i="11"/>
  <c r="AB534" i="11"/>
  <c r="AA534" i="11"/>
  <c r="Z534" i="11"/>
  <c r="Y534" i="11"/>
  <c r="X534" i="11"/>
  <c r="W534" i="11"/>
  <c r="V534" i="11"/>
  <c r="U534" i="11"/>
  <c r="T534" i="11"/>
  <c r="S534" i="11"/>
  <c r="R534" i="11"/>
  <c r="Q534" i="11"/>
  <c r="P534" i="11"/>
  <c r="O534" i="11"/>
  <c r="N534" i="11"/>
  <c r="M534" i="11"/>
  <c r="L534" i="11"/>
  <c r="K534" i="11"/>
  <c r="J534" i="11"/>
  <c r="AC980" i="11"/>
  <c r="AB980" i="11"/>
  <c r="AA980" i="11"/>
  <c r="Z980" i="11"/>
  <c r="Y980" i="11"/>
  <c r="X980" i="11"/>
  <c r="W980" i="11"/>
  <c r="V980" i="11"/>
  <c r="U980" i="11"/>
  <c r="T980" i="11"/>
  <c r="S980" i="11"/>
  <c r="R980" i="11"/>
  <c r="Q980" i="11"/>
  <c r="P980" i="11"/>
  <c r="O980" i="11"/>
  <c r="N980" i="11"/>
  <c r="M980" i="11"/>
  <c r="L980" i="11"/>
  <c r="K980" i="11"/>
  <c r="J980" i="11"/>
  <c r="AC82" i="11"/>
  <c r="AB82" i="11"/>
  <c r="AA82" i="11"/>
  <c r="Z82" i="11"/>
  <c r="Y82" i="11"/>
  <c r="X82" i="11"/>
  <c r="W82" i="11"/>
  <c r="V82" i="11"/>
  <c r="U82" i="11"/>
  <c r="T82" i="11"/>
  <c r="S82" i="11"/>
  <c r="R82" i="11"/>
  <c r="Q82" i="11"/>
  <c r="P82" i="11"/>
  <c r="O82" i="11"/>
  <c r="N82" i="11"/>
  <c r="M82" i="11"/>
  <c r="L82" i="11"/>
  <c r="K82" i="11"/>
  <c r="J82" i="11"/>
  <c r="AC81" i="11"/>
  <c r="AB81" i="11"/>
  <c r="AA81" i="11"/>
  <c r="Z81" i="11"/>
  <c r="Y81" i="11"/>
  <c r="X81" i="11"/>
  <c r="W81" i="11"/>
  <c r="V81" i="11"/>
  <c r="U81" i="11"/>
  <c r="T81" i="11"/>
  <c r="S81" i="11"/>
  <c r="R81" i="11"/>
  <c r="Q81" i="11"/>
  <c r="P81" i="11"/>
  <c r="O81" i="11"/>
  <c r="N81" i="11"/>
  <c r="M81" i="11"/>
  <c r="L81" i="11"/>
  <c r="K81" i="11"/>
  <c r="J81" i="11"/>
  <c r="AC208" i="11"/>
  <c r="AB208" i="11"/>
  <c r="AA208" i="11"/>
  <c r="Z208" i="11"/>
  <c r="Y208" i="11"/>
  <c r="X208" i="11"/>
  <c r="W208" i="11"/>
  <c r="V208" i="11"/>
  <c r="U208" i="11"/>
  <c r="T208" i="11"/>
  <c r="S208" i="11"/>
  <c r="R208" i="11"/>
  <c r="Q208" i="11"/>
  <c r="P208" i="11"/>
  <c r="O208" i="11"/>
  <c r="N208" i="11"/>
  <c r="M208" i="11"/>
  <c r="L208" i="11"/>
  <c r="K208" i="11"/>
  <c r="J208" i="11"/>
  <c r="AC832" i="11"/>
  <c r="AB832" i="11"/>
  <c r="AA832" i="11"/>
  <c r="Z832" i="11"/>
  <c r="Y832" i="11"/>
  <c r="X832" i="11"/>
  <c r="W832" i="11"/>
  <c r="V832" i="11"/>
  <c r="U832" i="11"/>
  <c r="T832" i="11"/>
  <c r="S832" i="11"/>
  <c r="R832" i="11"/>
  <c r="Q832" i="11"/>
  <c r="P832" i="11"/>
  <c r="O832" i="11"/>
  <c r="N832" i="11"/>
  <c r="M832" i="11"/>
  <c r="L832" i="11"/>
  <c r="K832" i="11"/>
  <c r="J832" i="11"/>
  <c r="AC831" i="11"/>
  <c r="AB831" i="11"/>
  <c r="AA831" i="11"/>
  <c r="Z831" i="11"/>
  <c r="Y831" i="11"/>
  <c r="X831" i="11"/>
  <c r="W831" i="11"/>
  <c r="V831" i="11"/>
  <c r="U831" i="11"/>
  <c r="T831" i="11"/>
  <c r="S831" i="11"/>
  <c r="R831" i="11"/>
  <c r="Q831" i="11"/>
  <c r="P831" i="11"/>
  <c r="O831" i="11"/>
  <c r="N831" i="11"/>
  <c r="M831" i="11"/>
  <c r="L831" i="11"/>
  <c r="K831" i="11"/>
  <c r="J831" i="11"/>
  <c r="AC594" i="11"/>
  <c r="AB594" i="11"/>
  <c r="AA594" i="11"/>
  <c r="Z594" i="11"/>
  <c r="Y594" i="11"/>
  <c r="X594" i="11"/>
  <c r="W594" i="11"/>
  <c r="V594" i="11"/>
  <c r="U594" i="11"/>
  <c r="T594" i="11"/>
  <c r="S594" i="11"/>
  <c r="R594" i="11"/>
  <c r="Q594" i="11"/>
  <c r="P594" i="11"/>
  <c r="O594" i="11"/>
  <c r="N594" i="11"/>
  <c r="M594" i="11"/>
  <c r="L594" i="11"/>
  <c r="K594" i="11"/>
  <c r="J594" i="11"/>
  <c r="AC1065" i="11"/>
  <c r="AB1065" i="11"/>
  <c r="AA1065" i="11"/>
  <c r="Z1065" i="11"/>
  <c r="Y1065" i="11"/>
  <c r="X1065" i="11"/>
  <c r="W1065" i="11"/>
  <c r="V1065" i="11"/>
  <c r="U1065" i="11"/>
  <c r="T1065" i="11"/>
  <c r="S1065" i="11"/>
  <c r="R1065" i="11"/>
  <c r="Q1065" i="11"/>
  <c r="P1065" i="11"/>
  <c r="O1065" i="11"/>
  <c r="N1065" i="11"/>
  <c r="M1065" i="11"/>
  <c r="L1065" i="11"/>
  <c r="K1065" i="11"/>
  <c r="J1065" i="11"/>
  <c r="AC1064" i="11"/>
  <c r="AB1064" i="11"/>
  <c r="AA1064" i="11"/>
  <c r="Z1064" i="11"/>
  <c r="Y1064" i="11"/>
  <c r="X1064" i="11"/>
  <c r="W1064" i="11"/>
  <c r="V1064" i="11"/>
  <c r="U1064" i="11"/>
  <c r="T1064" i="11"/>
  <c r="S1064" i="11"/>
  <c r="R1064" i="11"/>
  <c r="Q1064" i="11"/>
  <c r="P1064" i="11"/>
  <c r="O1064" i="11"/>
  <c r="N1064" i="11"/>
  <c r="M1064" i="11"/>
  <c r="L1064" i="11"/>
  <c r="K1064" i="11"/>
  <c r="J1064" i="11"/>
  <c r="AC138" i="11"/>
  <c r="AB138" i="11"/>
  <c r="AA138" i="11"/>
  <c r="Z138" i="11"/>
  <c r="Y138" i="11"/>
  <c r="X138" i="11"/>
  <c r="W138" i="11"/>
  <c r="V138" i="11"/>
  <c r="U138" i="11"/>
  <c r="T138" i="11"/>
  <c r="S138" i="11"/>
  <c r="R138" i="11"/>
  <c r="Q138" i="11"/>
  <c r="P138" i="11"/>
  <c r="O138" i="11"/>
  <c r="N138" i="11"/>
  <c r="M138" i="11"/>
  <c r="L138" i="11"/>
  <c r="K138" i="11"/>
  <c r="J138" i="11"/>
  <c r="AC1216" i="11"/>
  <c r="AB1216" i="11"/>
  <c r="AA1216" i="11"/>
  <c r="Z1216" i="11"/>
  <c r="Y1216" i="11"/>
  <c r="X1216" i="11"/>
  <c r="W1216" i="11"/>
  <c r="V1216" i="11"/>
  <c r="U1216" i="11"/>
  <c r="T1216" i="11"/>
  <c r="S1216" i="11"/>
  <c r="R1216" i="11"/>
  <c r="Q1216" i="11"/>
  <c r="P1216" i="11"/>
  <c r="O1216" i="11"/>
  <c r="N1216" i="11"/>
  <c r="M1216" i="11"/>
  <c r="L1216" i="11"/>
  <c r="K1216" i="11"/>
  <c r="J1216" i="11"/>
  <c r="AC979" i="11"/>
  <c r="AB979" i="11"/>
  <c r="AA979" i="11"/>
  <c r="Z979" i="11"/>
  <c r="Y979" i="11"/>
  <c r="X979" i="11"/>
  <c r="W979" i="11"/>
  <c r="V979" i="11"/>
  <c r="U979" i="11"/>
  <c r="T979" i="11"/>
  <c r="S979" i="11"/>
  <c r="R979" i="11"/>
  <c r="Q979" i="11"/>
  <c r="P979" i="11"/>
  <c r="O979" i="11"/>
  <c r="N979" i="11"/>
  <c r="M979" i="11"/>
  <c r="L979" i="11"/>
  <c r="K979" i="11"/>
  <c r="J979" i="11"/>
  <c r="AC248" i="11"/>
  <c r="AB248" i="11"/>
  <c r="AA248" i="11"/>
  <c r="Z248" i="11"/>
  <c r="Y248" i="11"/>
  <c r="X248" i="11"/>
  <c r="W248" i="11"/>
  <c r="V248" i="11"/>
  <c r="U248" i="11"/>
  <c r="T248" i="11"/>
  <c r="S248" i="11"/>
  <c r="R248" i="11"/>
  <c r="Q248" i="11"/>
  <c r="P248" i="11"/>
  <c r="O248" i="11"/>
  <c r="N248" i="11"/>
  <c r="M248" i="11"/>
  <c r="L248" i="11"/>
  <c r="K248" i="11"/>
  <c r="J248" i="11"/>
  <c r="AC1654" i="11"/>
  <c r="AB1654" i="11"/>
  <c r="AA1654" i="11"/>
  <c r="Z1654" i="11"/>
  <c r="Y1654" i="11"/>
  <c r="X1654" i="11"/>
  <c r="W1654" i="11"/>
  <c r="V1654" i="11"/>
  <c r="U1654" i="11"/>
  <c r="T1654" i="11"/>
  <c r="S1654" i="11"/>
  <c r="R1654" i="11"/>
  <c r="Q1654" i="11"/>
  <c r="P1654" i="11"/>
  <c r="O1654" i="11"/>
  <c r="N1654" i="11"/>
  <c r="M1654" i="11"/>
  <c r="L1654" i="11"/>
  <c r="K1654" i="11"/>
  <c r="J1654" i="11"/>
  <c r="AC1653" i="11"/>
  <c r="AB1653" i="11"/>
  <c r="AA1653" i="11"/>
  <c r="Z1653" i="11"/>
  <c r="Y1653" i="11"/>
  <c r="X1653" i="11"/>
  <c r="W1653" i="11"/>
  <c r="V1653" i="11"/>
  <c r="U1653" i="11"/>
  <c r="T1653" i="11"/>
  <c r="S1653" i="11"/>
  <c r="R1653" i="11"/>
  <c r="Q1653" i="11"/>
  <c r="P1653" i="11"/>
  <c r="O1653" i="11"/>
  <c r="N1653" i="11"/>
  <c r="M1653" i="11"/>
  <c r="L1653" i="11"/>
  <c r="K1653" i="11"/>
  <c r="J1653" i="11"/>
  <c r="AC1760" i="11"/>
  <c r="AB1760" i="11"/>
  <c r="AA1760" i="11"/>
  <c r="Z1760" i="11"/>
  <c r="Y1760" i="11"/>
  <c r="X1760" i="11"/>
  <c r="W1760" i="11"/>
  <c r="V1760" i="11"/>
  <c r="U1760" i="11"/>
  <c r="T1760" i="11"/>
  <c r="S1760" i="11"/>
  <c r="R1760" i="11"/>
  <c r="Q1760" i="11"/>
  <c r="P1760" i="11"/>
  <c r="O1760" i="11"/>
  <c r="N1760" i="11"/>
  <c r="M1760" i="11"/>
  <c r="L1760" i="11"/>
  <c r="K1760" i="11"/>
  <c r="J1760" i="11"/>
  <c r="AC1063" i="11"/>
  <c r="AB1063" i="11"/>
  <c r="AA1063" i="11"/>
  <c r="Z1063" i="11"/>
  <c r="Y1063" i="11"/>
  <c r="X1063" i="11"/>
  <c r="W1063" i="11"/>
  <c r="V1063" i="11"/>
  <c r="U1063" i="11"/>
  <c r="T1063" i="11"/>
  <c r="S1063" i="11"/>
  <c r="R1063" i="11"/>
  <c r="Q1063" i="11"/>
  <c r="P1063" i="11"/>
  <c r="O1063" i="11"/>
  <c r="N1063" i="11"/>
  <c r="M1063" i="11"/>
  <c r="L1063" i="11"/>
  <c r="K1063" i="11"/>
  <c r="J1063" i="11"/>
  <c r="AC458" i="11"/>
  <c r="AB458" i="11"/>
  <c r="AA458" i="11"/>
  <c r="Z458" i="11"/>
  <c r="Y458" i="11"/>
  <c r="X458" i="11"/>
  <c r="W458" i="11"/>
  <c r="V458" i="11"/>
  <c r="U458" i="11"/>
  <c r="T458" i="11"/>
  <c r="S458" i="11"/>
  <c r="R458" i="11"/>
  <c r="Q458" i="11"/>
  <c r="P458" i="11"/>
  <c r="O458" i="11"/>
  <c r="N458" i="11"/>
  <c r="M458" i="11"/>
  <c r="L458" i="11"/>
  <c r="K458" i="11"/>
  <c r="J458" i="11"/>
  <c r="AC669" i="11"/>
  <c r="AB669" i="11"/>
  <c r="AA669" i="11"/>
  <c r="Z669" i="11"/>
  <c r="Y669" i="11"/>
  <c r="X669" i="11"/>
  <c r="W669" i="11"/>
  <c r="V669" i="11"/>
  <c r="U669" i="11"/>
  <c r="T669" i="11"/>
  <c r="S669" i="11"/>
  <c r="R669" i="11"/>
  <c r="Q669" i="11"/>
  <c r="P669" i="11"/>
  <c r="O669" i="11"/>
  <c r="N669" i="11"/>
  <c r="M669" i="11"/>
  <c r="L669" i="11"/>
  <c r="K669" i="11"/>
  <c r="J669" i="11"/>
  <c r="AC668" i="11"/>
  <c r="AB668" i="11"/>
  <c r="AA668" i="11"/>
  <c r="Z668" i="11"/>
  <c r="Y668" i="11"/>
  <c r="X668" i="11"/>
  <c r="W668" i="11"/>
  <c r="V668" i="11"/>
  <c r="U668" i="11"/>
  <c r="T668" i="11"/>
  <c r="S668" i="11"/>
  <c r="R668" i="11"/>
  <c r="Q668" i="11"/>
  <c r="P668" i="11"/>
  <c r="O668" i="11"/>
  <c r="N668" i="11"/>
  <c r="M668" i="11"/>
  <c r="L668" i="11"/>
  <c r="K668" i="11"/>
  <c r="J668" i="11"/>
  <c r="AC1443" i="11"/>
  <c r="AB1443" i="11"/>
  <c r="AA1443" i="11"/>
  <c r="Z1443" i="11"/>
  <c r="Y1443" i="11"/>
  <c r="X1443" i="11"/>
  <c r="W1443" i="11"/>
  <c r="V1443" i="11"/>
  <c r="U1443" i="11"/>
  <c r="T1443" i="11"/>
  <c r="S1443" i="11"/>
  <c r="R1443" i="11"/>
  <c r="Q1443" i="11"/>
  <c r="P1443" i="11"/>
  <c r="O1443" i="11"/>
  <c r="N1443" i="11"/>
  <c r="M1443" i="11"/>
  <c r="L1443" i="11"/>
  <c r="K1443" i="11"/>
  <c r="J1443" i="11"/>
  <c r="AC830" i="11"/>
  <c r="AB830" i="11"/>
  <c r="AA830" i="11"/>
  <c r="Z830" i="11"/>
  <c r="Y830" i="11"/>
  <c r="X830" i="11"/>
  <c r="W830" i="11"/>
  <c r="V830" i="11"/>
  <c r="U830" i="11"/>
  <c r="T830" i="11"/>
  <c r="S830" i="11"/>
  <c r="R830" i="11"/>
  <c r="Q830" i="11"/>
  <c r="P830" i="11"/>
  <c r="O830" i="11"/>
  <c r="N830" i="11"/>
  <c r="M830" i="11"/>
  <c r="L830" i="11"/>
  <c r="K830" i="11"/>
  <c r="J830" i="11"/>
  <c r="AC978" i="11"/>
  <c r="AB978" i="11"/>
  <c r="AA978" i="11"/>
  <c r="Z978" i="11"/>
  <c r="Y978" i="11"/>
  <c r="X978" i="11"/>
  <c r="W978" i="11"/>
  <c r="V978" i="11"/>
  <c r="U978" i="11"/>
  <c r="T978" i="11"/>
  <c r="S978" i="11"/>
  <c r="R978" i="11"/>
  <c r="Q978" i="11"/>
  <c r="P978" i="11"/>
  <c r="O978" i="11"/>
  <c r="N978" i="11"/>
  <c r="M978" i="11"/>
  <c r="L978" i="11"/>
  <c r="K978" i="11"/>
  <c r="J978" i="11"/>
  <c r="AC415" i="11"/>
  <c r="AB415" i="11"/>
  <c r="AA415" i="11"/>
  <c r="Z415" i="11"/>
  <c r="Y415" i="11"/>
  <c r="X415" i="11"/>
  <c r="W415" i="11"/>
  <c r="V415" i="11"/>
  <c r="U415" i="11"/>
  <c r="T415" i="11"/>
  <c r="S415" i="11"/>
  <c r="R415" i="11"/>
  <c r="Q415" i="11"/>
  <c r="P415" i="11"/>
  <c r="O415" i="11"/>
  <c r="N415" i="11"/>
  <c r="M415" i="11"/>
  <c r="L415" i="11"/>
  <c r="K415" i="11"/>
  <c r="J415" i="11"/>
  <c r="AC1318" i="11"/>
  <c r="AB1318" i="11"/>
  <c r="AA1318" i="11"/>
  <c r="Z1318" i="11"/>
  <c r="Y1318" i="11"/>
  <c r="X1318" i="11"/>
  <c r="W1318" i="11"/>
  <c r="V1318" i="11"/>
  <c r="U1318" i="11"/>
  <c r="T1318" i="11"/>
  <c r="S1318" i="11"/>
  <c r="R1318" i="11"/>
  <c r="Q1318" i="11"/>
  <c r="P1318" i="11"/>
  <c r="O1318" i="11"/>
  <c r="N1318" i="11"/>
  <c r="M1318" i="11"/>
  <c r="L1318" i="11"/>
  <c r="K1318" i="11"/>
  <c r="J1318" i="11"/>
  <c r="AC667" i="11"/>
  <c r="AB667" i="11"/>
  <c r="AA667" i="11"/>
  <c r="Z667" i="11"/>
  <c r="Y667" i="11"/>
  <c r="X667" i="11"/>
  <c r="W667" i="11"/>
  <c r="V667" i="11"/>
  <c r="U667" i="11"/>
  <c r="T667" i="11"/>
  <c r="S667" i="11"/>
  <c r="R667" i="11"/>
  <c r="Q667" i="11"/>
  <c r="P667" i="11"/>
  <c r="O667" i="11"/>
  <c r="N667" i="11"/>
  <c r="M667" i="11"/>
  <c r="L667" i="11"/>
  <c r="K667" i="11"/>
  <c r="J667" i="11"/>
  <c r="AC762" i="11"/>
  <c r="AB762" i="11"/>
  <c r="AA762" i="11"/>
  <c r="Z762" i="11"/>
  <c r="Y762" i="11"/>
  <c r="X762" i="11"/>
  <c r="W762" i="11"/>
  <c r="V762" i="11"/>
  <c r="U762" i="11"/>
  <c r="T762" i="11"/>
  <c r="S762" i="11"/>
  <c r="R762" i="11"/>
  <c r="Q762" i="11"/>
  <c r="P762" i="11"/>
  <c r="O762" i="11"/>
  <c r="N762" i="11"/>
  <c r="M762" i="11"/>
  <c r="L762" i="11"/>
  <c r="K762" i="11"/>
  <c r="J762" i="11"/>
  <c r="AC1215" i="11"/>
  <c r="AB1215" i="11"/>
  <c r="AA1215" i="11"/>
  <c r="Z1215" i="11"/>
  <c r="Y1215" i="11"/>
  <c r="X1215" i="11"/>
  <c r="W1215" i="11"/>
  <c r="V1215" i="11"/>
  <c r="U1215" i="11"/>
  <c r="T1215" i="11"/>
  <c r="S1215" i="11"/>
  <c r="R1215" i="11"/>
  <c r="Q1215" i="11"/>
  <c r="P1215" i="11"/>
  <c r="O1215" i="11"/>
  <c r="N1215" i="11"/>
  <c r="M1215" i="11"/>
  <c r="L1215" i="11"/>
  <c r="K1215" i="11"/>
  <c r="J1215" i="11"/>
  <c r="AC414" i="11"/>
  <c r="AB414" i="11"/>
  <c r="AA414" i="11"/>
  <c r="Z414" i="11"/>
  <c r="Y414" i="11"/>
  <c r="X414" i="11"/>
  <c r="W414" i="11"/>
  <c r="V414" i="11"/>
  <c r="U414" i="11"/>
  <c r="T414" i="11"/>
  <c r="S414" i="11"/>
  <c r="R414" i="11"/>
  <c r="Q414" i="11"/>
  <c r="P414" i="11"/>
  <c r="O414" i="11"/>
  <c r="N414" i="11"/>
  <c r="M414" i="11"/>
  <c r="L414" i="11"/>
  <c r="K414" i="11"/>
  <c r="J414" i="11"/>
  <c r="AC2082" i="11"/>
  <c r="AB2082" i="11"/>
  <c r="AA2082" i="11"/>
  <c r="Z2082" i="11"/>
  <c r="Y2082" i="11"/>
  <c r="X2082" i="11"/>
  <c r="W2082" i="11"/>
  <c r="V2082" i="11"/>
  <c r="U2082" i="11"/>
  <c r="T2082" i="11"/>
  <c r="S2082" i="11"/>
  <c r="R2082" i="11"/>
  <c r="Q2082" i="11"/>
  <c r="P2082" i="11"/>
  <c r="O2082" i="11"/>
  <c r="N2082" i="11"/>
  <c r="M2082" i="11"/>
  <c r="L2082" i="11"/>
  <c r="K2082" i="11"/>
  <c r="J2082" i="11"/>
  <c r="AC1368" i="11"/>
  <c r="AB1368" i="11"/>
  <c r="AA1368" i="11"/>
  <c r="Z1368" i="11"/>
  <c r="Y1368" i="11"/>
  <c r="X1368" i="11"/>
  <c r="W1368" i="11"/>
  <c r="V1368" i="11"/>
  <c r="U1368" i="11"/>
  <c r="T1368" i="11"/>
  <c r="S1368" i="11"/>
  <c r="R1368" i="11"/>
  <c r="Q1368" i="11"/>
  <c r="P1368" i="11"/>
  <c r="O1368" i="11"/>
  <c r="N1368" i="11"/>
  <c r="M1368" i="11"/>
  <c r="L1368" i="11"/>
  <c r="K1368" i="11"/>
  <c r="J1368" i="11"/>
  <c r="AC829" i="11"/>
  <c r="AB829" i="11"/>
  <c r="AA829" i="11"/>
  <c r="Z829" i="11"/>
  <c r="Y829" i="11"/>
  <c r="X829" i="11"/>
  <c r="W829" i="11"/>
  <c r="V829" i="11"/>
  <c r="U829" i="11"/>
  <c r="T829" i="11"/>
  <c r="S829" i="11"/>
  <c r="R829" i="11"/>
  <c r="Q829" i="11"/>
  <c r="P829" i="11"/>
  <c r="O829" i="11"/>
  <c r="N829" i="11"/>
  <c r="M829" i="11"/>
  <c r="L829" i="11"/>
  <c r="K829" i="11"/>
  <c r="J829" i="11"/>
  <c r="AC1528" i="11"/>
  <c r="AB1528" i="11"/>
  <c r="AA1528" i="11"/>
  <c r="Z1528" i="11"/>
  <c r="Y1528" i="11"/>
  <c r="X1528" i="11"/>
  <c r="W1528" i="11"/>
  <c r="V1528" i="11"/>
  <c r="U1528" i="11"/>
  <c r="T1528" i="11"/>
  <c r="S1528" i="11"/>
  <c r="R1528" i="11"/>
  <c r="Q1528" i="11"/>
  <c r="P1528" i="11"/>
  <c r="O1528" i="11"/>
  <c r="N1528" i="11"/>
  <c r="M1528" i="11"/>
  <c r="L1528" i="11"/>
  <c r="K1528" i="11"/>
  <c r="J1528" i="11"/>
  <c r="AC666" i="11"/>
  <c r="AB666" i="11"/>
  <c r="AA666" i="11"/>
  <c r="Z666" i="11"/>
  <c r="Y666" i="11"/>
  <c r="X666" i="11"/>
  <c r="W666" i="11"/>
  <c r="V666" i="11"/>
  <c r="U666" i="11"/>
  <c r="T666" i="11"/>
  <c r="S666" i="11"/>
  <c r="R666" i="11"/>
  <c r="Q666" i="11"/>
  <c r="P666" i="11"/>
  <c r="O666" i="11"/>
  <c r="N666" i="11"/>
  <c r="M666" i="11"/>
  <c r="L666" i="11"/>
  <c r="K666" i="11"/>
  <c r="J666" i="11"/>
  <c r="AC665" i="11"/>
  <c r="AB665" i="11"/>
  <c r="AA665" i="11"/>
  <c r="Z665" i="11"/>
  <c r="Y665" i="11"/>
  <c r="X665" i="11"/>
  <c r="W665" i="11"/>
  <c r="V665" i="11"/>
  <c r="U665" i="11"/>
  <c r="T665" i="11"/>
  <c r="S665" i="11"/>
  <c r="R665" i="11"/>
  <c r="Q665" i="11"/>
  <c r="P665" i="11"/>
  <c r="O665" i="11"/>
  <c r="N665" i="11"/>
  <c r="M665" i="11"/>
  <c r="L665" i="11"/>
  <c r="K665" i="11"/>
  <c r="J665" i="11"/>
  <c r="AC593" i="11"/>
  <c r="AB593" i="11"/>
  <c r="AA593" i="11"/>
  <c r="Z593" i="11"/>
  <c r="Y593" i="11"/>
  <c r="X593" i="11"/>
  <c r="W593" i="11"/>
  <c r="V593" i="11"/>
  <c r="U593" i="11"/>
  <c r="T593" i="11"/>
  <c r="S593" i="11"/>
  <c r="R593" i="11"/>
  <c r="Q593" i="11"/>
  <c r="P593" i="11"/>
  <c r="O593" i="11"/>
  <c r="N593" i="11"/>
  <c r="M593" i="11"/>
  <c r="L593" i="11"/>
  <c r="K593" i="11"/>
  <c r="J593" i="11"/>
  <c r="AC457" i="11"/>
  <c r="AB457" i="11"/>
  <c r="AA457" i="11"/>
  <c r="Z457" i="11"/>
  <c r="Y457" i="11"/>
  <c r="X457" i="11"/>
  <c r="W457" i="11"/>
  <c r="V457" i="11"/>
  <c r="U457" i="11"/>
  <c r="T457" i="11"/>
  <c r="S457" i="11"/>
  <c r="R457" i="11"/>
  <c r="Q457" i="11"/>
  <c r="P457" i="11"/>
  <c r="O457" i="11"/>
  <c r="N457" i="11"/>
  <c r="M457" i="11"/>
  <c r="L457" i="11"/>
  <c r="K457" i="11"/>
  <c r="J457" i="11"/>
  <c r="AC374" i="11"/>
  <c r="AB374" i="11"/>
  <c r="AA374" i="11"/>
  <c r="Z374" i="11"/>
  <c r="Y374" i="11"/>
  <c r="X374" i="11"/>
  <c r="W374" i="11"/>
  <c r="V374" i="11"/>
  <c r="U374" i="11"/>
  <c r="T374" i="11"/>
  <c r="S374" i="11"/>
  <c r="R374" i="11"/>
  <c r="Q374" i="11"/>
  <c r="P374" i="11"/>
  <c r="O374" i="11"/>
  <c r="N374" i="11"/>
  <c r="M374" i="11"/>
  <c r="L374" i="11"/>
  <c r="K374" i="11"/>
  <c r="J374" i="11"/>
  <c r="AC207" i="11"/>
  <c r="AB207" i="11"/>
  <c r="AA207" i="11"/>
  <c r="Z207" i="11"/>
  <c r="Y207" i="11"/>
  <c r="X207" i="11"/>
  <c r="W207" i="11"/>
  <c r="V207" i="11"/>
  <c r="U207" i="11"/>
  <c r="T207" i="11"/>
  <c r="S207" i="11"/>
  <c r="R207" i="11"/>
  <c r="Q207" i="11"/>
  <c r="P207" i="11"/>
  <c r="O207" i="11"/>
  <c r="N207" i="11"/>
  <c r="M207" i="11"/>
  <c r="L207" i="11"/>
  <c r="K207" i="11"/>
  <c r="J207" i="11"/>
  <c r="AC761" i="11"/>
  <c r="AB761" i="11"/>
  <c r="AA761" i="11"/>
  <c r="Z761" i="11"/>
  <c r="Y761" i="11"/>
  <c r="X761" i="11"/>
  <c r="W761" i="11"/>
  <c r="V761" i="11"/>
  <c r="U761" i="11"/>
  <c r="T761" i="11"/>
  <c r="S761" i="11"/>
  <c r="R761" i="11"/>
  <c r="Q761" i="11"/>
  <c r="P761" i="11"/>
  <c r="O761" i="11"/>
  <c r="N761" i="11"/>
  <c r="M761" i="11"/>
  <c r="L761" i="11"/>
  <c r="K761" i="11"/>
  <c r="J761" i="11"/>
  <c r="AC899" i="11"/>
  <c r="AB899" i="11"/>
  <c r="AA899" i="11"/>
  <c r="Z899" i="11"/>
  <c r="Y899" i="11"/>
  <c r="X899" i="11"/>
  <c r="W899" i="11"/>
  <c r="V899" i="11"/>
  <c r="U899" i="11"/>
  <c r="T899" i="11"/>
  <c r="S899" i="11"/>
  <c r="R899" i="11"/>
  <c r="Q899" i="11"/>
  <c r="P899" i="11"/>
  <c r="O899" i="11"/>
  <c r="N899" i="11"/>
  <c r="M899" i="11"/>
  <c r="L899" i="11"/>
  <c r="K899" i="11"/>
  <c r="J899" i="11"/>
  <c r="AC898" i="11"/>
  <c r="AB898" i="11"/>
  <c r="AA898" i="11"/>
  <c r="Z898" i="11"/>
  <c r="Y898" i="11"/>
  <c r="X898" i="11"/>
  <c r="W898" i="11"/>
  <c r="V898" i="11"/>
  <c r="U898" i="11"/>
  <c r="T898" i="11"/>
  <c r="S898" i="11"/>
  <c r="R898" i="11"/>
  <c r="Q898" i="11"/>
  <c r="P898" i="11"/>
  <c r="O898" i="11"/>
  <c r="N898" i="11"/>
  <c r="M898" i="11"/>
  <c r="L898" i="11"/>
  <c r="K898" i="11"/>
  <c r="J898" i="11"/>
  <c r="AC592" i="11"/>
  <c r="AB592" i="11"/>
  <c r="AA592" i="11"/>
  <c r="Z592" i="11"/>
  <c r="Y592" i="11"/>
  <c r="X592" i="11"/>
  <c r="W592" i="11"/>
  <c r="V592" i="11"/>
  <c r="U592" i="11"/>
  <c r="T592" i="11"/>
  <c r="S592" i="11"/>
  <c r="R592" i="11"/>
  <c r="Q592" i="11"/>
  <c r="P592" i="11"/>
  <c r="O592" i="11"/>
  <c r="N592" i="11"/>
  <c r="M592" i="11"/>
  <c r="L592" i="11"/>
  <c r="K592" i="11"/>
  <c r="J592" i="11"/>
  <c r="AC591" i="11"/>
  <c r="AB591" i="11"/>
  <c r="AA591" i="11"/>
  <c r="Z591" i="11"/>
  <c r="Y591" i="11"/>
  <c r="X591" i="11"/>
  <c r="W591" i="11"/>
  <c r="V591" i="11"/>
  <c r="U591" i="11"/>
  <c r="T591" i="11"/>
  <c r="S591" i="11"/>
  <c r="R591" i="11"/>
  <c r="Q591" i="11"/>
  <c r="P591" i="11"/>
  <c r="O591" i="11"/>
  <c r="N591" i="11"/>
  <c r="M591" i="11"/>
  <c r="L591" i="11"/>
  <c r="K591" i="11"/>
  <c r="J591" i="11"/>
  <c r="AC247" i="11"/>
  <c r="AB247" i="11"/>
  <c r="AA247" i="11"/>
  <c r="Z247" i="11"/>
  <c r="Y247" i="11"/>
  <c r="X247" i="11"/>
  <c r="W247" i="11"/>
  <c r="V247" i="11"/>
  <c r="U247" i="11"/>
  <c r="T247" i="11"/>
  <c r="S247" i="11"/>
  <c r="R247" i="11"/>
  <c r="Q247" i="11"/>
  <c r="P247" i="11"/>
  <c r="O247" i="11"/>
  <c r="N247" i="11"/>
  <c r="M247" i="11"/>
  <c r="L247" i="11"/>
  <c r="K247" i="11"/>
  <c r="J247" i="11"/>
  <c r="AC1855" i="11"/>
  <c r="AB1855" i="11"/>
  <c r="AA1855" i="11"/>
  <c r="Z1855" i="11"/>
  <c r="Y1855" i="11"/>
  <c r="X1855" i="11"/>
  <c r="W1855" i="11"/>
  <c r="V1855" i="11"/>
  <c r="U1855" i="11"/>
  <c r="T1855" i="11"/>
  <c r="S1855" i="11"/>
  <c r="R1855" i="11"/>
  <c r="Q1855" i="11"/>
  <c r="P1855" i="11"/>
  <c r="O1855" i="11"/>
  <c r="N1855" i="11"/>
  <c r="M1855" i="11"/>
  <c r="L1855" i="11"/>
  <c r="K1855" i="11"/>
  <c r="J1855" i="11"/>
  <c r="AC1652" i="11"/>
  <c r="AB1652" i="11"/>
  <c r="AA1652" i="11"/>
  <c r="Z1652" i="11"/>
  <c r="Y1652" i="11"/>
  <c r="X1652" i="11"/>
  <c r="W1652" i="11"/>
  <c r="V1652" i="11"/>
  <c r="U1652" i="11"/>
  <c r="T1652" i="11"/>
  <c r="S1652" i="11"/>
  <c r="R1652" i="11"/>
  <c r="Q1652" i="11"/>
  <c r="P1652" i="11"/>
  <c r="O1652" i="11"/>
  <c r="N1652" i="11"/>
  <c r="M1652" i="11"/>
  <c r="L1652" i="11"/>
  <c r="K1652" i="11"/>
  <c r="J1652" i="11"/>
  <c r="AC1577" i="11"/>
  <c r="AB1577" i="11"/>
  <c r="AA1577" i="11"/>
  <c r="Z1577" i="11"/>
  <c r="Y1577" i="11"/>
  <c r="X1577" i="11"/>
  <c r="W1577" i="11"/>
  <c r="V1577" i="11"/>
  <c r="U1577" i="11"/>
  <c r="T1577" i="11"/>
  <c r="S1577" i="11"/>
  <c r="R1577" i="11"/>
  <c r="Q1577" i="11"/>
  <c r="P1577" i="11"/>
  <c r="O1577" i="11"/>
  <c r="N1577" i="11"/>
  <c r="M1577" i="11"/>
  <c r="L1577" i="11"/>
  <c r="K1577" i="11"/>
  <c r="J1577" i="11"/>
  <c r="AC1576" i="11"/>
  <c r="AB1576" i="11"/>
  <c r="AA1576" i="11"/>
  <c r="Z1576" i="11"/>
  <c r="Y1576" i="11"/>
  <c r="X1576" i="11"/>
  <c r="W1576" i="11"/>
  <c r="V1576" i="11"/>
  <c r="U1576" i="11"/>
  <c r="T1576" i="11"/>
  <c r="S1576" i="11"/>
  <c r="R1576" i="11"/>
  <c r="Q1576" i="11"/>
  <c r="P1576" i="11"/>
  <c r="O1576" i="11"/>
  <c r="N1576" i="11"/>
  <c r="M1576" i="11"/>
  <c r="L1576" i="11"/>
  <c r="K1576" i="11"/>
  <c r="J1576" i="11"/>
  <c r="AC413" i="11"/>
  <c r="AB413" i="11"/>
  <c r="AA413" i="11"/>
  <c r="Z413" i="11"/>
  <c r="Y413" i="11"/>
  <c r="X413" i="11"/>
  <c r="W413" i="11"/>
  <c r="V413" i="11"/>
  <c r="U413" i="11"/>
  <c r="T413" i="11"/>
  <c r="S413" i="11"/>
  <c r="R413" i="11"/>
  <c r="Q413" i="11"/>
  <c r="P413" i="11"/>
  <c r="O413" i="11"/>
  <c r="N413" i="11"/>
  <c r="M413" i="11"/>
  <c r="L413" i="11"/>
  <c r="K413" i="11"/>
  <c r="J413" i="11"/>
  <c r="AC828" i="11"/>
  <c r="AB828" i="11"/>
  <c r="AA828" i="11"/>
  <c r="Z828" i="11"/>
  <c r="Y828" i="11"/>
  <c r="X828" i="11"/>
  <c r="W828" i="11"/>
  <c r="V828" i="11"/>
  <c r="U828" i="11"/>
  <c r="T828" i="11"/>
  <c r="S828" i="11"/>
  <c r="R828" i="11"/>
  <c r="Q828" i="11"/>
  <c r="P828" i="11"/>
  <c r="O828" i="11"/>
  <c r="N828" i="11"/>
  <c r="M828" i="11"/>
  <c r="L828" i="11"/>
  <c r="K828" i="11"/>
  <c r="J828" i="11"/>
  <c r="AC977" i="11"/>
  <c r="AB977" i="11"/>
  <c r="AA977" i="11"/>
  <c r="Z977" i="11"/>
  <c r="Y977" i="11"/>
  <c r="X977" i="11"/>
  <c r="W977" i="11"/>
  <c r="V977" i="11"/>
  <c r="U977" i="11"/>
  <c r="T977" i="11"/>
  <c r="S977" i="11"/>
  <c r="R977" i="11"/>
  <c r="Q977" i="11"/>
  <c r="P977" i="11"/>
  <c r="O977" i="11"/>
  <c r="N977" i="11"/>
  <c r="M977" i="11"/>
  <c r="L977" i="11"/>
  <c r="K977" i="11"/>
  <c r="J977" i="11"/>
  <c r="AC456" i="11"/>
  <c r="AB456" i="11"/>
  <c r="AA456" i="11"/>
  <c r="Z456" i="11"/>
  <c r="Y456" i="11"/>
  <c r="X456" i="11"/>
  <c r="W456" i="11"/>
  <c r="V456" i="11"/>
  <c r="U456" i="11"/>
  <c r="T456" i="11"/>
  <c r="S456" i="11"/>
  <c r="R456" i="11"/>
  <c r="Q456" i="11"/>
  <c r="P456" i="11"/>
  <c r="O456" i="11"/>
  <c r="N456" i="11"/>
  <c r="M456" i="11"/>
  <c r="L456" i="11"/>
  <c r="K456" i="11"/>
  <c r="J456" i="11"/>
  <c r="AC664" i="11"/>
  <c r="AB664" i="11"/>
  <c r="AA664" i="11"/>
  <c r="Z664" i="11"/>
  <c r="Y664" i="11"/>
  <c r="X664" i="11"/>
  <c r="W664" i="11"/>
  <c r="V664" i="11"/>
  <c r="U664" i="11"/>
  <c r="T664" i="11"/>
  <c r="S664" i="11"/>
  <c r="R664" i="11"/>
  <c r="Q664" i="11"/>
  <c r="P664" i="11"/>
  <c r="O664" i="11"/>
  <c r="N664" i="11"/>
  <c r="M664" i="11"/>
  <c r="L664" i="11"/>
  <c r="K664" i="11"/>
  <c r="J664" i="11"/>
  <c r="AC533" i="11"/>
  <c r="AB533" i="11"/>
  <c r="AA533" i="11"/>
  <c r="Z533" i="11"/>
  <c r="Y533" i="11"/>
  <c r="X533" i="11"/>
  <c r="W533" i="11"/>
  <c r="V533" i="11"/>
  <c r="U533" i="11"/>
  <c r="T533" i="11"/>
  <c r="S533" i="11"/>
  <c r="R533" i="11"/>
  <c r="Q533" i="11"/>
  <c r="P533" i="11"/>
  <c r="O533" i="11"/>
  <c r="N533" i="11"/>
  <c r="M533" i="11"/>
  <c r="L533" i="11"/>
  <c r="K533" i="11"/>
  <c r="J533" i="11"/>
  <c r="AC1062" i="11"/>
  <c r="AB1062" i="11"/>
  <c r="AA1062" i="11"/>
  <c r="Z1062" i="11"/>
  <c r="Y1062" i="11"/>
  <c r="X1062" i="11"/>
  <c r="W1062" i="11"/>
  <c r="V1062" i="11"/>
  <c r="U1062" i="11"/>
  <c r="T1062" i="11"/>
  <c r="S1062" i="11"/>
  <c r="R1062" i="11"/>
  <c r="Q1062" i="11"/>
  <c r="P1062" i="11"/>
  <c r="O1062" i="11"/>
  <c r="N1062" i="11"/>
  <c r="M1062" i="11"/>
  <c r="L1062" i="11"/>
  <c r="K1062" i="11"/>
  <c r="J1062" i="11"/>
  <c r="AC1487" i="11"/>
  <c r="AB1487" i="11"/>
  <c r="AA1487" i="11"/>
  <c r="Z1487" i="11"/>
  <c r="Y1487" i="11"/>
  <c r="X1487" i="11"/>
  <c r="W1487" i="11"/>
  <c r="V1487" i="11"/>
  <c r="U1487" i="11"/>
  <c r="T1487" i="11"/>
  <c r="S1487" i="11"/>
  <c r="R1487" i="11"/>
  <c r="Q1487" i="11"/>
  <c r="P1487" i="11"/>
  <c r="O1487" i="11"/>
  <c r="N1487" i="11"/>
  <c r="M1487" i="11"/>
  <c r="L1487" i="11"/>
  <c r="K1487" i="11"/>
  <c r="J1487" i="11"/>
  <c r="AC246" i="11"/>
  <c r="AB246" i="11"/>
  <c r="AA246" i="11"/>
  <c r="Z246" i="11"/>
  <c r="Y246" i="11"/>
  <c r="X246" i="11"/>
  <c r="W246" i="11"/>
  <c r="V246" i="11"/>
  <c r="U246" i="11"/>
  <c r="T246" i="11"/>
  <c r="S246" i="11"/>
  <c r="R246" i="11"/>
  <c r="Q246" i="11"/>
  <c r="P246" i="11"/>
  <c r="O246" i="11"/>
  <c r="N246" i="11"/>
  <c r="M246" i="11"/>
  <c r="L246" i="11"/>
  <c r="K246" i="11"/>
  <c r="J246" i="11"/>
  <c r="AC289" i="11"/>
  <c r="AB289" i="11"/>
  <c r="AA289" i="11"/>
  <c r="Z289" i="11"/>
  <c r="Y289" i="11"/>
  <c r="X289" i="11"/>
  <c r="W289" i="11"/>
  <c r="V289" i="11"/>
  <c r="U289" i="11"/>
  <c r="T289" i="11"/>
  <c r="S289" i="11"/>
  <c r="R289" i="11"/>
  <c r="Q289" i="11"/>
  <c r="P289" i="11"/>
  <c r="O289" i="11"/>
  <c r="N289" i="11"/>
  <c r="M289" i="11"/>
  <c r="L289" i="11"/>
  <c r="K289" i="11"/>
  <c r="J289" i="11"/>
  <c r="AC897" i="11"/>
  <c r="AB897" i="11"/>
  <c r="AA897" i="11"/>
  <c r="Z897" i="11"/>
  <c r="Y897" i="11"/>
  <c r="X897" i="11"/>
  <c r="W897" i="11"/>
  <c r="V897" i="11"/>
  <c r="U897" i="11"/>
  <c r="T897" i="11"/>
  <c r="S897" i="11"/>
  <c r="R897" i="11"/>
  <c r="Q897" i="11"/>
  <c r="P897" i="11"/>
  <c r="O897" i="11"/>
  <c r="N897" i="11"/>
  <c r="M897" i="11"/>
  <c r="L897" i="11"/>
  <c r="K897" i="11"/>
  <c r="J897" i="11"/>
  <c r="AC412" i="11"/>
  <c r="AB412" i="11"/>
  <c r="AA412" i="11"/>
  <c r="Z412" i="11"/>
  <c r="Y412" i="11"/>
  <c r="X412" i="11"/>
  <c r="W412" i="11"/>
  <c r="V412" i="11"/>
  <c r="U412" i="11"/>
  <c r="T412" i="11"/>
  <c r="S412" i="11"/>
  <c r="R412" i="11"/>
  <c r="Q412" i="11"/>
  <c r="P412" i="11"/>
  <c r="O412" i="11"/>
  <c r="N412" i="11"/>
  <c r="M412" i="11"/>
  <c r="L412" i="11"/>
  <c r="K412" i="11"/>
  <c r="J412" i="11"/>
  <c r="AC663" i="11"/>
  <c r="AB663" i="11"/>
  <c r="AA663" i="11"/>
  <c r="Z663" i="11"/>
  <c r="Y663" i="11"/>
  <c r="X663" i="11"/>
  <c r="W663" i="11"/>
  <c r="V663" i="11"/>
  <c r="U663" i="11"/>
  <c r="T663" i="11"/>
  <c r="S663" i="11"/>
  <c r="R663" i="11"/>
  <c r="Q663" i="11"/>
  <c r="P663" i="11"/>
  <c r="O663" i="11"/>
  <c r="N663" i="11"/>
  <c r="M663" i="11"/>
  <c r="L663" i="11"/>
  <c r="K663" i="11"/>
  <c r="J663" i="11"/>
  <c r="AC590" i="11"/>
  <c r="AB590" i="11"/>
  <c r="AA590" i="11"/>
  <c r="Z590" i="11"/>
  <c r="Y590" i="11"/>
  <c r="X590" i="11"/>
  <c r="W590" i="11"/>
  <c r="V590" i="11"/>
  <c r="U590" i="11"/>
  <c r="T590" i="11"/>
  <c r="S590" i="11"/>
  <c r="R590" i="11"/>
  <c r="Q590" i="11"/>
  <c r="P590" i="11"/>
  <c r="O590" i="11"/>
  <c r="N590" i="11"/>
  <c r="M590" i="11"/>
  <c r="L590" i="11"/>
  <c r="K590" i="11"/>
  <c r="J590" i="11"/>
  <c r="AC1135" i="11"/>
  <c r="AB1135" i="11"/>
  <c r="AA1135" i="11"/>
  <c r="Z1135" i="11"/>
  <c r="Y1135" i="11"/>
  <c r="X1135" i="11"/>
  <c r="W1135" i="11"/>
  <c r="V1135" i="11"/>
  <c r="U1135" i="11"/>
  <c r="T1135" i="11"/>
  <c r="S1135" i="11"/>
  <c r="R1135" i="11"/>
  <c r="Q1135" i="11"/>
  <c r="P1135" i="11"/>
  <c r="O1135" i="11"/>
  <c r="N1135" i="11"/>
  <c r="M1135" i="11"/>
  <c r="L1135" i="11"/>
  <c r="K1135" i="11"/>
  <c r="J1135" i="11"/>
  <c r="AC976" i="11"/>
  <c r="AB976" i="11"/>
  <c r="AA976" i="11"/>
  <c r="Z976" i="11"/>
  <c r="Y976" i="11"/>
  <c r="X976" i="11"/>
  <c r="W976" i="11"/>
  <c r="V976" i="11"/>
  <c r="U976" i="11"/>
  <c r="T976" i="11"/>
  <c r="S976" i="11"/>
  <c r="R976" i="11"/>
  <c r="Q976" i="11"/>
  <c r="P976" i="11"/>
  <c r="O976" i="11"/>
  <c r="N976" i="11"/>
  <c r="M976" i="11"/>
  <c r="L976" i="11"/>
  <c r="K976" i="11"/>
  <c r="J976" i="11"/>
  <c r="AC80" i="11"/>
  <c r="AB80" i="11"/>
  <c r="AA80" i="11"/>
  <c r="Z80" i="11"/>
  <c r="Y80" i="11"/>
  <c r="X80" i="11"/>
  <c r="W80" i="11"/>
  <c r="V80" i="11"/>
  <c r="U80" i="11"/>
  <c r="T80" i="11"/>
  <c r="S80" i="11"/>
  <c r="R80" i="11"/>
  <c r="Q80" i="11"/>
  <c r="P80" i="11"/>
  <c r="O80" i="11"/>
  <c r="N80" i="11"/>
  <c r="M80" i="11"/>
  <c r="L80" i="11"/>
  <c r="K80" i="11"/>
  <c r="J80" i="11"/>
  <c r="AC1061" i="11"/>
  <c r="AB1061" i="11"/>
  <c r="AA1061" i="11"/>
  <c r="Z1061" i="11"/>
  <c r="Y1061" i="11"/>
  <c r="X1061" i="11"/>
  <c r="W1061" i="11"/>
  <c r="V1061" i="11"/>
  <c r="U1061" i="11"/>
  <c r="T1061" i="11"/>
  <c r="S1061" i="11"/>
  <c r="R1061" i="11"/>
  <c r="Q1061" i="11"/>
  <c r="P1061" i="11"/>
  <c r="O1061" i="11"/>
  <c r="N1061" i="11"/>
  <c r="M1061" i="11"/>
  <c r="L1061" i="11"/>
  <c r="K1061" i="11"/>
  <c r="J1061" i="11"/>
  <c r="AC1956" i="11"/>
  <c r="AB1956" i="11"/>
  <c r="AA1956" i="11"/>
  <c r="Z1956" i="11"/>
  <c r="Y1956" i="11"/>
  <c r="X1956" i="11"/>
  <c r="W1956" i="11"/>
  <c r="V1956" i="11"/>
  <c r="U1956" i="11"/>
  <c r="T1956" i="11"/>
  <c r="S1956" i="11"/>
  <c r="R1956" i="11"/>
  <c r="Q1956" i="11"/>
  <c r="P1956" i="11"/>
  <c r="O1956" i="11"/>
  <c r="N1956" i="11"/>
  <c r="M1956" i="11"/>
  <c r="L1956" i="11"/>
  <c r="K1956" i="11"/>
  <c r="J1956" i="11"/>
  <c r="AC288" i="11"/>
  <c r="AB288" i="11"/>
  <c r="AA288" i="11"/>
  <c r="Z288" i="11"/>
  <c r="Y288" i="11"/>
  <c r="X288" i="11"/>
  <c r="W288" i="11"/>
  <c r="V288" i="11"/>
  <c r="U288" i="11"/>
  <c r="T288" i="11"/>
  <c r="S288" i="11"/>
  <c r="R288" i="11"/>
  <c r="Q288" i="11"/>
  <c r="P288" i="11"/>
  <c r="O288" i="11"/>
  <c r="N288" i="11"/>
  <c r="M288" i="11"/>
  <c r="L288" i="11"/>
  <c r="K288" i="11"/>
  <c r="J288" i="11"/>
  <c r="AC1759" i="11"/>
  <c r="AB1759" i="11"/>
  <c r="AA1759" i="11"/>
  <c r="Z1759" i="11"/>
  <c r="Y1759" i="11"/>
  <c r="X1759" i="11"/>
  <c r="W1759" i="11"/>
  <c r="V1759" i="11"/>
  <c r="U1759" i="11"/>
  <c r="T1759" i="11"/>
  <c r="S1759" i="11"/>
  <c r="R1759" i="11"/>
  <c r="Q1759" i="11"/>
  <c r="P1759" i="11"/>
  <c r="O1759" i="11"/>
  <c r="N1759" i="11"/>
  <c r="M1759" i="11"/>
  <c r="L1759" i="11"/>
  <c r="K1759" i="11"/>
  <c r="J1759" i="11"/>
  <c r="AC1651" i="11"/>
  <c r="AB1651" i="11"/>
  <c r="AA1651" i="11"/>
  <c r="Z1651" i="11"/>
  <c r="Y1651" i="11"/>
  <c r="X1651" i="11"/>
  <c r="W1651" i="11"/>
  <c r="V1651" i="11"/>
  <c r="U1651" i="11"/>
  <c r="T1651" i="11"/>
  <c r="S1651" i="11"/>
  <c r="R1651" i="11"/>
  <c r="Q1651" i="11"/>
  <c r="P1651" i="11"/>
  <c r="O1651" i="11"/>
  <c r="N1651" i="11"/>
  <c r="M1651" i="11"/>
  <c r="L1651" i="11"/>
  <c r="K1651" i="11"/>
  <c r="J1651" i="11"/>
  <c r="AC827" i="11"/>
  <c r="AB827" i="11"/>
  <c r="AA827" i="11"/>
  <c r="Z827" i="11"/>
  <c r="Y827" i="11"/>
  <c r="X827" i="11"/>
  <c r="W827" i="11"/>
  <c r="V827" i="11"/>
  <c r="U827" i="11"/>
  <c r="T827" i="11"/>
  <c r="S827" i="11"/>
  <c r="R827" i="11"/>
  <c r="Q827" i="11"/>
  <c r="P827" i="11"/>
  <c r="O827" i="11"/>
  <c r="N827" i="11"/>
  <c r="M827" i="11"/>
  <c r="L827" i="11"/>
  <c r="K827" i="11"/>
  <c r="J827" i="11"/>
  <c r="AC896" i="11"/>
  <c r="AB896" i="11"/>
  <c r="AA896" i="11"/>
  <c r="Z896" i="11"/>
  <c r="Y896" i="11"/>
  <c r="X896" i="11"/>
  <c r="W896" i="11"/>
  <c r="V896" i="11"/>
  <c r="U896" i="11"/>
  <c r="T896" i="11"/>
  <c r="S896" i="11"/>
  <c r="R896" i="11"/>
  <c r="Q896" i="11"/>
  <c r="P896" i="11"/>
  <c r="O896" i="11"/>
  <c r="N896" i="11"/>
  <c r="M896" i="11"/>
  <c r="L896" i="11"/>
  <c r="K896" i="11"/>
  <c r="J896" i="11"/>
  <c r="AC1134" i="11"/>
  <c r="AB1134" i="11"/>
  <c r="AA1134" i="11"/>
  <c r="Z1134" i="11"/>
  <c r="Y1134" i="11"/>
  <c r="X1134" i="11"/>
  <c r="W1134" i="11"/>
  <c r="V1134" i="11"/>
  <c r="U1134" i="11"/>
  <c r="T1134" i="11"/>
  <c r="S1134" i="11"/>
  <c r="R1134" i="11"/>
  <c r="Q1134" i="11"/>
  <c r="P1134" i="11"/>
  <c r="O1134" i="11"/>
  <c r="N1134" i="11"/>
  <c r="M1134" i="11"/>
  <c r="L1134" i="11"/>
  <c r="K1134" i="11"/>
  <c r="J1134" i="11"/>
  <c r="AC333" i="11"/>
  <c r="AB333" i="11"/>
  <c r="AA333" i="11"/>
  <c r="Z333" i="11"/>
  <c r="Y333" i="11"/>
  <c r="X333" i="11"/>
  <c r="W333" i="11"/>
  <c r="V333" i="11"/>
  <c r="U333" i="11"/>
  <c r="T333" i="11"/>
  <c r="S333" i="11"/>
  <c r="R333" i="11"/>
  <c r="Q333" i="11"/>
  <c r="P333" i="11"/>
  <c r="O333" i="11"/>
  <c r="N333" i="11"/>
  <c r="M333" i="11"/>
  <c r="L333" i="11"/>
  <c r="K333" i="11"/>
  <c r="J333" i="11"/>
  <c r="AC245" i="11"/>
  <c r="AB245" i="11"/>
  <c r="AA245" i="11"/>
  <c r="Z245" i="11"/>
  <c r="Y245" i="11"/>
  <c r="X245" i="11"/>
  <c r="W245" i="11"/>
  <c r="V245" i="11"/>
  <c r="U245" i="11"/>
  <c r="T245" i="11"/>
  <c r="S245" i="11"/>
  <c r="R245" i="11"/>
  <c r="Q245" i="11"/>
  <c r="P245" i="11"/>
  <c r="O245" i="11"/>
  <c r="N245" i="11"/>
  <c r="M245" i="11"/>
  <c r="L245" i="11"/>
  <c r="K245" i="11"/>
  <c r="J245" i="11"/>
  <c r="AC1317" i="11"/>
  <c r="AB1317" i="11"/>
  <c r="AA1317" i="11"/>
  <c r="Z1317" i="11"/>
  <c r="Y1317" i="11"/>
  <c r="X1317" i="11"/>
  <c r="W1317" i="11"/>
  <c r="V1317" i="11"/>
  <c r="U1317" i="11"/>
  <c r="T1317" i="11"/>
  <c r="S1317" i="11"/>
  <c r="R1317" i="11"/>
  <c r="Q1317" i="11"/>
  <c r="P1317" i="11"/>
  <c r="O1317" i="11"/>
  <c r="N1317" i="11"/>
  <c r="M1317" i="11"/>
  <c r="L1317" i="11"/>
  <c r="K1317" i="11"/>
  <c r="J1317" i="11"/>
  <c r="AC1316" i="11"/>
  <c r="AB1316" i="11"/>
  <c r="AA1316" i="11"/>
  <c r="Z1316" i="11"/>
  <c r="Y1316" i="11"/>
  <c r="X1316" i="11"/>
  <c r="W1316" i="11"/>
  <c r="V1316" i="11"/>
  <c r="U1316" i="11"/>
  <c r="T1316" i="11"/>
  <c r="S1316" i="11"/>
  <c r="R1316" i="11"/>
  <c r="Q1316" i="11"/>
  <c r="P1316" i="11"/>
  <c r="O1316" i="11"/>
  <c r="N1316" i="11"/>
  <c r="M1316" i="11"/>
  <c r="L1316" i="11"/>
  <c r="K1316" i="11"/>
  <c r="J1316" i="11"/>
  <c r="AC1607" i="11"/>
  <c r="AB1607" i="11"/>
  <c r="AA1607" i="11"/>
  <c r="Z1607" i="11"/>
  <c r="Y1607" i="11"/>
  <c r="X1607" i="11"/>
  <c r="W1607" i="11"/>
  <c r="V1607" i="11"/>
  <c r="U1607" i="11"/>
  <c r="T1607" i="11"/>
  <c r="S1607" i="11"/>
  <c r="R1607" i="11"/>
  <c r="Q1607" i="11"/>
  <c r="P1607" i="11"/>
  <c r="O1607" i="11"/>
  <c r="N1607" i="11"/>
  <c r="M1607" i="11"/>
  <c r="L1607" i="11"/>
  <c r="K1607" i="11"/>
  <c r="J1607" i="11"/>
  <c r="AC1527" i="11"/>
  <c r="AB1527" i="11"/>
  <c r="AA1527" i="11"/>
  <c r="Z1527" i="11"/>
  <c r="Y1527" i="11"/>
  <c r="X1527" i="11"/>
  <c r="W1527" i="11"/>
  <c r="V1527" i="11"/>
  <c r="U1527" i="11"/>
  <c r="T1527" i="11"/>
  <c r="S1527" i="11"/>
  <c r="R1527" i="11"/>
  <c r="Q1527" i="11"/>
  <c r="P1527" i="11"/>
  <c r="O1527" i="11"/>
  <c r="N1527" i="11"/>
  <c r="M1527" i="11"/>
  <c r="L1527" i="11"/>
  <c r="K1527" i="11"/>
  <c r="J1527" i="11"/>
  <c r="AC895" i="11"/>
  <c r="AB895" i="11"/>
  <c r="AA895" i="11"/>
  <c r="Z895" i="11"/>
  <c r="Y895" i="11"/>
  <c r="X895" i="11"/>
  <c r="W895" i="11"/>
  <c r="V895" i="11"/>
  <c r="U895" i="11"/>
  <c r="T895" i="11"/>
  <c r="S895" i="11"/>
  <c r="R895" i="11"/>
  <c r="Q895" i="11"/>
  <c r="P895" i="11"/>
  <c r="O895" i="11"/>
  <c r="N895" i="11"/>
  <c r="M895" i="11"/>
  <c r="L895" i="11"/>
  <c r="K895" i="11"/>
  <c r="J895" i="11"/>
  <c r="AC1442" i="11"/>
  <c r="AB1442" i="11"/>
  <c r="AA1442" i="11"/>
  <c r="Z1442" i="11"/>
  <c r="Y1442" i="11"/>
  <c r="X1442" i="11"/>
  <c r="W1442" i="11"/>
  <c r="V1442" i="11"/>
  <c r="U1442" i="11"/>
  <c r="T1442" i="11"/>
  <c r="S1442" i="11"/>
  <c r="R1442" i="11"/>
  <c r="Q1442" i="11"/>
  <c r="P1442" i="11"/>
  <c r="O1442" i="11"/>
  <c r="N1442" i="11"/>
  <c r="M1442" i="11"/>
  <c r="L1442" i="11"/>
  <c r="K1442" i="11"/>
  <c r="J1442" i="11"/>
  <c r="AC455" i="11"/>
  <c r="AB455" i="11"/>
  <c r="AA455" i="11"/>
  <c r="Z455" i="11"/>
  <c r="Y455" i="11"/>
  <c r="X455" i="11"/>
  <c r="W455" i="11"/>
  <c r="V455" i="11"/>
  <c r="U455" i="11"/>
  <c r="T455" i="11"/>
  <c r="S455" i="11"/>
  <c r="R455" i="11"/>
  <c r="Q455" i="11"/>
  <c r="P455" i="11"/>
  <c r="O455" i="11"/>
  <c r="N455" i="11"/>
  <c r="M455" i="11"/>
  <c r="L455" i="11"/>
  <c r="K455" i="11"/>
  <c r="J455" i="11"/>
  <c r="AC2081" i="11"/>
  <c r="AB2081" i="11"/>
  <c r="AA2081" i="11"/>
  <c r="Z2081" i="11"/>
  <c r="Y2081" i="11"/>
  <c r="X2081" i="11"/>
  <c r="W2081" i="11"/>
  <c r="V2081" i="11"/>
  <c r="U2081" i="11"/>
  <c r="T2081" i="11"/>
  <c r="S2081" i="11"/>
  <c r="R2081" i="11"/>
  <c r="Q2081" i="11"/>
  <c r="P2081" i="11"/>
  <c r="O2081" i="11"/>
  <c r="N2081" i="11"/>
  <c r="M2081" i="11"/>
  <c r="L2081" i="11"/>
  <c r="K2081" i="11"/>
  <c r="J2081" i="11"/>
  <c r="AC172" i="11"/>
  <c r="AB172" i="11"/>
  <c r="AA172" i="11"/>
  <c r="Z172" i="11"/>
  <c r="Y172" i="11"/>
  <c r="X172" i="11"/>
  <c r="W172" i="11"/>
  <c r="V172" i="11"/>
  <c r="U172" i="11"/>
  <c r="T172" i="11"/>
  <c r="S172" i="11"/>
  <c r="R172" i="11"/>
  <c r="Q172" i="11"/>
  <c r="P172" i="11"/>
  <c r="O172" i="11"/>
  <c r="N172" i="11"/>
  <c r="M172" i="11"/>
  <c r="L172" i="11"/>
  <c r="K172" i="11"/>
  <c r="J172" i="11"/>
  <c r="AC1272" i="11"/>
  <c r="AB1272" i="11"/>
  <c r="AA1272" i="11"/>
  <c r="Z1272" i="11"/>
  <c r="Y1272" i="11"/>
  <c r="X1272" i="11"/>
  <c r="W1272" i="11"/>
  <c r="V1272" i="11"/>
  <c r="U1272" i="11"/>
  <c r="T1272" i="11"/>
  <c r="S1272" i="11"/>
  <c r="R1272" i="11"/>
  <c r="Q1272" i="11"/>
  <c r="P1272" i="11"/>
  <c r="O1272" i="11"/>
  <c r="N1272" i="11"/>
  <c r="M1272" i="11"/>
  <c r="L1272" i="11"/>
  <c r="K1272" i="11"/>
  <c r="J1272" i="11"/>
  <c r="AC1060" i="11"/>
  <c r="AB1060" i="11"/>
  <c r="AA1060" i="11"/>
  <c r="Z1060" i="11"/>
  <c r="Y1060" i="11"/>
  <c r="X1060" i="11"/>
  <c r="W1060" i="11"/>
  <c r="V1060" i="11"/>
  <c r="U1060" i="11"/>
  <c r="T1060" i="11"/>
  <c r="S1060" i="11"/>
  <c r="R1060" i="11"/>
  <c r="Q1060" i="11"/>
  <c r="P1060" i="11"/>
  <c r="O1060" i="11"/>
  <c r="N1060" i="11"/>
  <c r="M1060" i="11"/>
  <c r="L1060" i="11"/>
  <c r="K1060" i="11"/>
  <c r="J1060" i="11"/>
  <c r="AC1059" i="11"/>
  <c r="AB1059" i="11"/>
  <c r="AA1059" i="11"/>
  <c r="Z1059" i="11"/>
  <c r="Y1059" i="11"/>
  <c r="X1059" i="11"/>
  <c r="W1059" i="11"/>
  <c r="V1059" i="11"/>
  <c r="U1059" i="11"/>
  <c r="T1059" i="11"/>
  <c r="S1059" i="11"/>
  <c r="R1059" i="11"/>
  <c r="Q1059" i="11"/>
  <c r="P1059" i="11"/>
  <c r="O1059" i="11"/>
  <c r="N1059" i="11"/>
  <c r="M1059" i="11"/>
  <c r="L1059" i="11"/>
  <c r="K1059" i="11"/>
  <c r="J1059" i="11"/>
  <c r="AC589" i="11"/>
  <c r="AB589" i="11"/>
  <c r="AA589" i="11"/>
  <c r="Z589" i="11"/>
  <c r="Y589" i="11"/>
  <c r="X589" i="11"/>
  <c r="W589" i="11"/>
  <c r="V589" i="11"/>
  <c r="U589" i="11"/>
  <c r="T589" i="11"/>
  <c r="S589" i="11"/>
  <c r="R589" i="11"/>
  <c r="Q589" i="11"/>
  <c r="P589" i="11"/>
  <c r="O589" i="11"/>
  <c r="N589" i="11"/>
  <c r="M589" i="11"/>
  <c r="L589" i="11"/>
  <c r="K589" i="11"/>
  <c r="J589" i="11"/>
  <c r="AC532" i="11"/>
  <c r="AB532" i="11"/>
  <c r="AA532" i="11"/>
  <c r="Z532" i="11"/>
  <c r="Y532" i="11"/>
  <c r="X532" i="11"/>
  <c r="W532" i="11"/>
  <c r="V532" i="11"/>
  <c r="U532" i="11"/>
  <c r="T532" i="11"/>
  <c r="S532" i="11"/>
  <c r="R532" i="11"/>
  <c r="Q532" i="11"/>
  <c r="P532" i="11"/>
  <c r="O532" i="11"/>
  <c r="N532" i="11"/>
  <c r="M532" i="11"/>
  <c r="L532" i="11"/>
  <c r="K532" i="11"/>
  <c r="J532" i="11"/>
  <c r="AC531" i="11"/>
  <c r="AB531" i="11"/>
  <c r="AA531" i="11"/>
  <c r="Z531" i="11"/>
  <c r="Y531" i="11"/>
  <c r="X531" i="11"/>
  <c r="W531" i="11"/>
  <c r="V531" i="11"/>
  <c r="U531" i="11"/>
  <c r="T531" i="11"/>
  <c r="S531" i="11"/>
  <c r="R531" i="11"/>
  <c r="Q531" i="11"/>
  <c r="P531" i="11"/>
  <c r="O531" i="11"/>
  <c r="N531" i="11"/>
  <c r="M531" i="11"/>
  <c r="L531" i="11"/>
  <c r="K531" i="11"/>
  <c r="J531" i="11"/>
  <c r="AC1706" i="11"/>
  <c r="AB1706" i="11"/>
  <c r="AA1706" i="11"/>
  <c r="Z1706" i="11"/>
  <c r="Y1706" i="11"/>
  <c r="X1706" i="11"/>
  <c r="W1706" i="11"/>
  <c r="V1706" i="11"/>
  <c r="U1706" i="11"/>
  <c r="T1706" i="11"/>
  <c r="S1706" i="11"/>
  <c r="R1706" i="11"/>
  <c r="Q1706" i="11"/>
  <c r="P1706" i="11"/>
  <c r="O1706" i="11"/>
  <c r="N1706" i="11"/>
  <c r="M1706" i="11"/>
  <c r="L1706" i="11"/>
  <c r="K1706" i="11"/>
  <c r="J1706" i="11"/>
  <c r="AC1441" i="11"/>
  <c r="AB1441" i="11"/>
  <c r="AA1441" i="11"/>
  <c r="Z1441" i="11"/>
  <c r="Y1441" i="11"/>
  <c r="X1441" i="11"/>
  <c r="W1441" i="11"/>
  <c r="V1441" i="11"/>
  <c r="U1441" i="11"/>
  <c r="T1441" i="11"/>
  <c r="S1441" i="11"/>
  <c r="R1441" i="11"/>
  <c r="Q1441" i="11"/>
  <c r="P1441" i="11"/>
  <c r="O1441" i="11"/>
  <c r="N1441" i="11"/>
  <c r="M1441" i="11"/>
  <c r="L1441" i="11"/>
  <c r="K1441" i="11"/>
  <c r="J1441" i="11"/>
  <c r="AC588" i="11"/>
  <c r="AB588" i="11"/>
  <c r="AA588" i="11"/>
  <c r="Z588" i="11"/>
  <c r="Y588" i="11"/>
  <c r="X588" i="11"/>
  <c r="W588" i="11"/>
  <c r="V588" i="11"/>
  <c r="U588" i="11"/>
  <c r="T588" i="11"/>
  <c r="S588" i="11"/>
  <c r="R588" i="11"/>
  <c r="Q588" i="11"/>
  <c r="P588" i="11"/>
  <c r="O588" i="11"/>
  <c r="N588" i="11"/>
  <c r="M588" i="11"/>
  <c r="L588" i="11"/>
  <c r="K588" i="11"/>
  <c r="J588" i="11"/>
  <c r="AC662" i="11"/>
  <c r="AB662" i="11"/>
  <c r="AA662" i="11"/>
  <c r="Z662" i="11"/>
  <c r="Y662" i="11"/>
  <c r="X662" i="11"/>
  <c r="W662" i="11"/>
  <c r="V662" i="11"/>
  <c r="U662" i="11"/>
  <c r="T662" i="11"/>
  <c r="S662" i="11"/>
  <c r="R662" i="11"/>
  <c r="Q662" i="11"/>
  <c r="P662" i="11"/>
  <c r="O662" i="11"/>
  <c r="N662" i="11"/>
  <c r="M662" i="11"/>
  <c r="L662" i="11"/>
  <c r="K662" i="11"/>
  <c r="J662" i="11"/>
  <c r="AC760" i="11"/>
  <c r="AB760" i="11"/>
  <c r="AA760" i="11"/>
  <c r="Z760" i="11"/>
  <c r="Y760" i="11"/>
  <c r="X760" i="11"/>
  <c r="W760" i="11"/>
  <c r="V760" i="11"/>
  <c r="U760" i="11"/>
  <c r="T760" i="11"/>
  <c r="S760" i="11"/>
  <c r="R760" i="11"/>
  <c r="Q760" i="11"/>
  <c r="P760" i="11"/>
  <c r="O760" i="11"/>
  <c r="N760" i="11"/>
  <c r="M760" i="11"/>
  <c r="L760" i="11"/>
  <c r="K760" i="11"/>
  <c r="J760" i="11"/>
  <c r="AC411" i="11"/>
  <c r="AB411" i="11"/>
  <c r="AA411" i="11"/>
  <c r="Z411" i="11"/>
  <c r="Y411" i="11"/>
  <c r="X411" i="11"/>
  <c r="W411" i="11"/>
  <c r="V411" i="11"/>
  <c r="U411" i="11"/>
  <c r="T411" i="11"/>
  <c r="S411" i="11"/>
  <c r="R411" i="11"/>
  <c r="Q411" i="11"/>
  <c r="P411" i="11"/>
  <c r="O411" i="11"/>
  <c r="N411" i="11"/>
  <c r="M411" i="11"/>
  <c r="L411" i="11"/>
  <c r="K411" i="11"/>
  <c r="J411" i="11"/>
  <c r="AC171" i="11"/>
  <c r="AB171" i="11"/>
  <c r="AA171" i="11"/>
  <c r="Z171" i="11"/>
  <c r="Y171" i="11"/>
  <c r="X171" i="11"/>
  <c r="W171" i="11"/>
  <c r="V171" i="11"/>
  <c r="U171" i="11"/>
  <c r="T171" i="11"/>
  <c r="S171" i="11"/>
  <c r="R171" i="11"/>
  <c r="Q171" i="11"/>
  <c r="P171" i="11"/>
  <c r="O171" i="11"/>
  <c r="N171" i="11"/>
  <c r="M171" i="11"/>
  <c r="L171" i="11"/>
  <c r="K171" i="11"/>
  <c r="J171" i="11"/>
  <c r="AC759" i="11"/>
  <c r="AB759" i="11"/>
  <c r="AA759" i="11"/>
  <c r="Z759" i="11"/>
  <c r="Y759" i="11"/>
  <c r="X759" i="11"/>
  <c r="W759" i="11"/>
  <c r="V759" i="11"/>
  <c r="U759" i="11"/>
  <c r="T759" i="11"/>
  <c r="S759" i="11"/>
  <c r="R759" i="11"/>
  <c r="Q759" i="11"/>
  <c r="P759" i="11"/>
  <c r="O759" i="11"/>
  <c r="N759" i="11"/>
  <c r="M759" i="11"/>
  <c r="L759" i="11"/>
  <c r="K759" i="11"/>
  <c r="J759" i="11"/>
  <c r="AC758" i="11"/>
  <c r="AB758" i="11"/>
  <c r="AA758" i="11"/>
  <c r="Z758" i="11"/>
  <c r="Y758" i="11"/>
  <c r="X758" i="11"/>
  <c r="W758" i="11"/>
  <c r="V758" i="11"/>
  <c r="U758" i="11"/>
  <c r="T758" i="11"/>
  <c r="S758" i="11"/>
  <c r="R758" i="11"/>
  <c r="Q758" i="11"/>
  <c r="P758" i="11"/>
  <c r="O758" i="11"/>
  <c r="N758" i="11"/>
  <c r="M758" i="11"/>
  <c r="L758" i="11"/>
  <c r="K758" i="11"/>
  <c r="J758" i="11"/>
  <c r="AC1367" i="11"/>
  <c r="AB1367" i="11"/>
  <c r="AA1367" i="11"/>
  <c r="Z1367" i="11"/>
  <c r="Y1367" i="11"/>
  <c r="X1367" i="11"/>
  <c r="W1367" i="11"/>
  <c r="V1367" i="11"/>
  <c r="U1367" i="11"/>
  <c r="T1367" i="11"/>
  <c r="S1367" i="11"/>
  <c r="R1367" i="11"/>
  <c r="Q1367" i="11"/>
  <c r="P1367" i="11"/>
  <c r="O1367" i="11"/>
  <c r="N1367" i="11"/>
  <c r="M1367" i="11"/>
  <c r="L1367" i="11"/>
  <c r="K1367" i="11"/>
  <c r="J1367" i="11"/>
  <c r="AC1058" i="11"/>
  <c r="AB1058" i="11"/>
  <c r="AA1058" i="11"/>
  <c r="Z1058" i="11"/>
  <c r="Y1058" i="11"/>
  <c r="X1058" i="11"/>
  <c r="W1058" i="11"/>
  <c r="V1058" i="11"/>
  <c r="U1058" i="11"/>
  <c r="T1058" i="11"/>
  <c r="S1058" i="11"/>
  <c r="R1058" i="11"/>
  <c r="Q1058" i="11"/>
  <c r="P1058" i="11"/>
  <c r="O1058" i="11"/>
  <c r="N1058" i="11"/>
  <c r="M1058" i="11"/>
  <c r="L1058" i="11"/>
  <c r="K1058" i="11"/>
  <c r="J1058" i="11"/>
  <c r="AC1057" i="11"/>
  <c r="AB1057" i="11"/>
  <c r="AA1057" i="11"/>
  <c r="Z1057" i="11"/>
  <c r="Y1057" i="11"/>
  <c r="X1057" i="11"/>
  <c r="W1057" i="11"/>
  <c r="V1057" i="11"/>
  <c r="U1057" i="11"/>
  <c r="T1057" i="11"/>
  <c r="S1057" i="11"/>
  <c r="R1057" i="11"/>
  <c r="Q1057" i="11"/>
  <c r="P1057" i="11"/>
  <c r="O1057" i="11"/>
  <c r="N1057" i="11"/>
  <c r="M1057" i="11"/>
  <c r="L1057" i="11"/>
  <c r="K1057" i="11"/>
  <c r="J1057" i="11"/>
  <c r="AC1526" i="11"/>
  <c r="AB1526" i="11"/>
  <c r="AA1526" i="11"/>
  <c r="Z1526" i="11"/>
  <c r="Y1526" i="11"/>
  <c r="X1526" i="11"/>
  <c r="W1526" i="11"/>
  <c r="V1526" i="11"/>
  <c r="U1526" i="11"/>
  <c r="T1526" i="11"/>
  <c r="S1526" i="11"/>
  <c r="R1526" i="11"/>
  <c r="Q1526" i="11"/>
  <c r="P1526" i="11"/>
  <c r="O1526" i="11"/>
  <c r="N1526" i="11"/>
  <c r="M1526" i="11"/>
  <c r="L1526" i="11"/>
  <c r="K1526" i="11"/>
  <c r="J1526" i="11"/>
  <c r="AC2041" i="11"/>
  <c r="AB2041" i="11"/>
  <c r="AA2041" i="11"/>
  <c r="Z2041" i="11"/>
  <c r="Y2041" i="11"/>
  <c r="X2041" i="11"/>
  <c r="W2041" i="11"/>
  <c r="V2041" i="11"/>
  <c r="U2041" i="11"/>
  <c r="T2041" i="11"/>
  <c r="S2041" i="11"/>
  <c r="R2041" i="11"/>
  <c r="Q2041" i="11"/>
  <c r="P2041" i="11"/>
  <c r="O2041" i="11"/>
  <c r="N2041" i="11"/>
  <c r="M2041" i="11"/>
  <c r="L2041" i="11"/>
  <c r="K2041" i="11"/>
  <c r="J2041" i="11"/>
  <c r="AC1575" i="11"/>
  <c r="AB1575" i="11"/>
  <c r="AA1575" i="11"/>
  <c r="Z1575" i="11"/>
  <c r="Y1575" i="11"/>
  <c r="X1575" i="11"/>
  <c r="W1575" i="11"/>
  <c r="V1575" i="11"/>
  <c r="U1575" i="11"/>
  <c r="T1575" i="11"/>
  <c r="S1575" i="11"/>
  <c r="R1575" i="11"/>
  <c r="Q1575" i="11"/>
  <c r="P1575" i="11"/>
  <c r="O1575" i="11"/>
  <c r="N1575" i="11"/>
  <c r="M1575" i="11"/>
  <c r="L1575" i="11"/>
  <c r="K1575" i="11"/>
  <c r="J1575" i="11"/>
  <c r="AC1758" i="11"/>
  <c r="AB1758" i="11"/>
  <c r="AA1758" i="11"/>
  <c r="Z1758" i="11"/>
  <c r="Y1758" i="11"/>
  <c r="X1758" i="11"/>
  <c r="W1758" i="11"/>
  <c r="V1758" i="11"/>
  <c r="U1758" i="11"/>
  <c r="T1758" i="11"/>
  <c r="S1758" i="11"/>
  <c r="R1758" i="11"/>
  <c r="Q1758" i="11"/>
  <c r="P1758" i="11"/>
  <c r="O1758" i="11"/>
  <c r="N1758" i="11"/>
  <c r="M1758" i="11"/>
  <c r="L1758" i="11"/>
  <c r="K1758" i="11"/>
  <c r="J1758" i="11"/>
  <c r="AC2040" i="11"/>
  <c r="AB2040" i="11"/>
  <c r="AA2040" i="11"/>
  <c r="Z2040" i="11"/>
  <c r="Y2040" i="11"/>
  <c r="X2040" i="11"/>
  <c r="W2040" i="11"/>
  <c r="V2040" i="11"/>
  <c r="U2040" i="11"/>
  <c r="T2040" i="11"/>
  <c r="S2040" i="11"/>
  <c r="R2040" i="11"/>
  <c r="Q2040" i="11"/>
  <c r="P2040" i="11"/>
  <c r="O2040" i="11"/>
  <c r="N2040" i="11"/>
  <c r="M2040" i="11"/>
  <c r="L2040" i="11"/>
  <c r="K2040" i="11"/>
  <c r="J2040" i="11"/>
  <c r="AC206" i="11"/>
  <c r="AB206" i="11"/>
  <c r="AA206" i="11"/>
  <c r="Z206" i="11"/>
  <c r="Y206" i="11"/>
  <c r="X206" i="11"/>
  <c r="W206" i="11"/>
  <c r="V206" i="11"/>
  <c r="U206" i="11"/>
  <c r="T206" i="11"/>
  <c r="S206" i="11"/>
  <c r="R206" i="11"/>
  <c r="Q206" i="11"/>
  <c r="P206" i="11"/>
  <c r="O206" i="11"/>
  <c r="N206" i="11"/>
  <c r="M206" i="11"/>
  <c r="L206" i="11"/>
  <c r="K206" i="11"/>
  <c r="J206" i="11"/>
  <c r="AC1440" i="11"/>
  <c r="AB1440" i="11"/>
  <c r="AA1440" i="11"/>
  <c r="Z1440" i="11"/>
  <c r="Y1440" i="11"/>
  <c r="X1440" i="11"/>
  <c r="W1440" i="11"/>
  <c r="V1440" i="11"/>
  <c r="U1440" i="11"/>
  <c r="T1440" i="11"/>
  <c r="S1440" i="11"/>
  <c r="R1440" i="11"/>
  <c r="Q1440" i="11"/>
  <c r="P1440" i="11"/>
  <c r="O1440" i="11"/>
  <c r="N1440" i="11"/>
  <c r="M1440" i="11"/>
  <c r="L1440" i="11"/>
  <c r="K1440" i="11"/>
  <c r="J1440" i="11"/>
  <c r="AC454" i="11"/>
  <c r="AB454" i="11"/>
  <c r="AA454" i="11"/>
  <c r="Z454" i="11"/>
  <c r="Y454" i="11"/>
  <c r="X454" i="11"/>
  <c r="W454" i="11"/>
  <c r="V454" i="11"/>
  <c r="U454" i="11"/>
  <c r="T454" i="11"/>
  <c r="S454" i="11"/>
  <c r="R454" i="11"/>
  <c r="Q454" i="11"/>
  <c r="P454" i="11"/>
  <c r="O454" i="11"/>
  <c r="N454" i="11"/>
  <c r="M454" i="11"/>
  <c r="L454" i="11"/>
  <c r="K454" i="11"/>
  <c r="J454" i="11"/>
  <c r="AC894" i="11"/>
  <c r="AB894" i="11"/>
  <c r="AA894" i="11"/>
  <c r="Z894" i="11"/>
  <c r="Y894" i="11"/>
  <c r="X894" i="11"/>
  <c r="W894" i="11"/>
  <c r="V894" i="11"/>
  <c r="U894" i="11"/>
  <c r="T894" i="11"/>
  <c r="S894" i="11"/>
  <c r="R894" i="11"/>
  <c r="Q894" i="11"/>
  <c r="P894" i="11"/>
  <c r="O894" i="11"/>
  <c r="N894" i="11"/>
  <c r="M894" i="11"/>
  <c r="L894" i="11"/>
  <c r="K894" i="11"/>
  <c r="J894" i="11"/>
  <c r="AC1525" i="11"/>
  <c r="AB1525" i="11"/>
  <c r="AA1525" i="11"/>
  <c r="Z1525" i="11"/>
  <c r="Y1525" i="11"/>
  <c r="X1525" i="11"/>
  <c r="W1525" i="11"/>
  <c r="V1525" i="11"/>
  <c r="U1525" i="11"/>
  <c r="T1525" i="11"/>
  <c r="S1525" i="11"/>
  <c r="R1525" i="11"/>
  <c r="Q1525" i="11"/>
  <c r="P1525" i="11"/>
  <c r="O1525" i="11"/>
  <c r="N1525" i="11"/>
  <c r="M1525" i="11"/>
  <c r="L1525" i="11"/>
  <c r="K1525" i="11"/>
  <c r="J1525" i="11"/>
  <c r="AC1366" i="11"/>
  <c r="AB1366" i="11"/>
  <c r="AA1366" i="11"/>
  <c r="Z1366" i="11"/>
  <c r="Y1366" i="11"/>
  <c r="X1366" i="11"/>
  <c r="W1366" i="11"/>
  <c r="V1366" i="11"/>
  <c r="U1366" i="11"/>
  <c r="T1366" i="11"/>
  <c r="S1366" i="11"/>
  <c r="R1366" i="11"/>
  <c r="Q1366" i="11"/>
  <c r="P1366" i="11"/>
  <c r="O1366" i="11"/>
  <c r="N1366" i="11"/>
  <c r="M1366" i="11"/>
  <c r="L1366" i="11"/>
  <c r="K1366" i="11"/>
  <c r="J1366" i="11"/>
  <c r="AC287" i="11"/>
  <c r="AB287" i="11"/>
  <c r="AA287" i="11"/>
  <c r="Z287" i="11"/>
  <c r="Y287" i="11"/>
  <c r="X287" i="11"/>
  <c r="W287" i="11"/>
  <c r="V287" i="11"/>
  <c r="U287" i="11"/>
  <c r="T287" i="11"/>
  <c r="S287" i="11"/>
  <c r="R287" i="11"/>
  <c r="Q287" i="11"/>
  <c r="P287" i="11"/>
  <c r="O287" i="11"/>
  <c r="N287" i="11"/>
  <c r="M287" i="11"/>
  <c r="L287" i="11"/>
  <c r="K287" i="11"/>
  <c r="J287" i="11"/>
  <c r="AC1214" i="11"/>
  <c r="AB1214" i="11"/>
  <c r="AA1214" i="11"/>
  <c r="Z1214" i="11"/>
  <c r="Y1214" i="11"/>
  <c r="X1214" i="11"/>
  <c r="W1214" i="11"/>
  <c r="V1214" i="11"/>
  <c r="U1214" i="11"/>
  <c r="T1214" i="11"/>
  <c r="S1214" i="11"/>
  <c r="R1214" i="11"/>
  <c r="Q1214" i="11"/>
  <c r="P1214" i="11"/>
  <c r="O1214" i="11"/>
  <c r="N1214" i="11"/>
  <c r="M1214" i="11"/>
  <c r="L1214" i="11"/>
  <c r="K1214" i="11"/>
  <c r="J1214" i="11"/>
  <c r="AC1365" i="11"/>
  <c r="AB1365" i="11"/>
  <c r="AA1365" i="11"/>
  <c r="Z1365" i="11"/>
  <c r="Y1365" i="11"/>
  <c r="X1365" i="11"/>
  <c r="W1365" i="11"/>
  <c r="V1365" i="11"/>
  <c r="U1365" i="11"/>
  <c r="T1365" i="11"/>
  <c r="S1365" i="11"/>
  <c r="R1365" i="11"/>
  <c r="Q1365" i="11"/>
  <c r="P1365" i="11"/>
  <c r="O1365" i="11"/>
  <c r="N1365" i="11"/>
  <c r="M1365" i="11"/>
  <c r="L1365" i="11"/>
  <c r="K1365" i="11"/>
  <c r="J1365" i="11"/>
  <c r="AC826" i="11"/>
  <c r="AB826" i="11"/>
  <c r="AA826" i="11"/>
  <c r="Z826" i="11"/>
  <c r="Y826" i="11"/>
  <c r="X826" i="11"/>
  <c r="W826" i="11"/>
  <c r="V826" i="11"/>
  <c r="U826" i="11"/>
  <c r="T826" i="11"/>
  <c r="S826" i="11"/>
  <c r="R826" i="11"/>
  <c r="Q826" i="11"/>
  <c r="P826" i="11"/>
  <c r="O826" i="11"/>
  <c r="N826" i="11"/>
  <c r="M826" i="11"/>
  <c r="L826" i="11"/>
  <c r="K826" i="11"/>
  <c r="J826" i="11"/>
  <c r="AC975" i="11"/>
  <c r="AB975" i="11"/>
  <c r="AA975" i="11"/>
  <c r="Z975" i="11"/>
  <c r="Y975" i="11"/>
  <c r="X975" i="11"/>
  <c r="W975" i="11"/>
  <c r="V975" i="11"/>
  <c r="U975" i="11"/>
  <c r="T975" i="11"/>
  <c r="S975" i="11"/>
  <c r="R975" i="11"/>
  <c r="Q975" i="11"/>
  <c r="P975" i="11"/>
  <c r="O975" i="11"/>
  <c r="N975" i="11"/>
  <c r="M975" i="11"/>
  <c r="L975" i="11"/>
  <c r="K975" i="11"/>
  <c r="J975" i="11"/>
  <c r="AC1524" i="11"/>
  <c r="AB1524" i="11"/>
  <c r="AA1524" i="11"/>
  <c r="Z1524" i="11"/>
  <c r="Y1524" i="11"/>
  <c r="X1524" i="11"/>
  <c r="W1524" i="11"/>
  <c r="V1524" i="11"/>
  <c r="U1524" i="11"/>
  <c r="T1524" i="11"/>
  <c r="S1524" i="11"/>
  <c r="R1524" i="11"/>
  <c r="Q1524" i="11"/>
  <c r="P1524" i="11"/>
  <c r="O1524" i="11"/>
  <c r="N1524" i="11"/>
  <c r="M1524" i="11"/>
  <c r="L1524" i="11"/>
  <c r="K1524" i="11"/>
  <c r="J1524" i="11"/>
  <c r="AC1133" i="11"/>
  <c r="AB1133" i="11"/>
  <c r="AA1133" i="11"/>
  <c r="Z1133" i="11"/>
  <c r="Y1133" i="11"/>
  <c r="X1133" i="11"/>
  <c r="W1133" i="11"/>
  <c r="V1133" i="11"/>
  <c r="U1133" i="11"/>
  <c r="T1133" i="11"/>
  <c r="S1133" i="11"/>
  <c r="R1133" i="11"/>
  <c r="Q1133" i="11"/>
  <c r="P1133" i="11"/>
  <c r="O1133" i="11"/>
  <c r="N1133" i="11"/>
  <c r="M1133" i="11"/>
  <c r="L1133" i="11"/>
  <c r="K1133" i="11"/>
  <c r="J1133" i="11"/>
  <c r="AC1705" i="11"/>
  <c r="AB1705" i="11"/>
  <c r="AA1705" i="11"/>
  <c r="Z1705" i="11"/>
  <c r="Y1705" i="11"/>
  <c r="X1705" i="11"/>
  <c r="W1705" i="11"/>
  <c r="V1705" i="11"/>
  <c r="U1705" i="11"/>
  <c r="T1705" i="11"/>
  <c r="S1705" i="11"/>
  <c r="R1705" i="11"/>
  <c r="Q1705" i="11"/>
  <c r="P1705" i="11"/>
  <c r="O1705" i="11"/>
  <c r="N1705" i="11"/>
  <c r="M1705" i="11"/>
  <c r="L1705" i="11"/>
  <c r="K1705" i="11"/>
  <c r="J1705" i="11"/>
  <c r="AC205" i="11"/>
  <c r="AB205" i="11"/>
  <c r="AA205" i="11"/>
  <c r="Z205" i="11"/>
  <c r="Y205" i="11"/>
  <c r="X205" i="11"/>
  <c r="W205" i="11"/>
  <c r="V205" i="11"/>
  <c r="U205" i="11"/>
  <c r="T205" i="11"/>
  <c r="S205" i="11"/>
  <c r="R205" i="11"/>
  <c r="Q205" i="11"/>
  <c r="P205" i="11"/>
  <c r="O205" i="11"/>
  <c r="N205" i="11"/>
  <c r="M205" i="11"/>
  <c r="L205" i="11"/>
  <c r="K205" i="11"/>
  <c r="J205" i="11"/>
  <c r="AC757" i="11"/>
  <c r="AB757" i="11"/>
  <c r="AA757" i="11"/>
  <c r="Z757" i="11"/>
  <c r="Y757" i="11"/>
  <c r="X757" i="11"/>
  <c r="W757" i="11"/>
  <c r="V757" i="11"/>
  <c r="U757" i="11"/>
  <c r="T757" i="11"/>
  <c r="S757" i="11"/>
  <c r="R757" i="11"/>
  <c r="Q757" i="11"/>
  <c r="P757" i="11"/>
  <c r="O757" i="11"/>
  <c r="N757" i="11"/>
  <c r="M757" i="11"/>
  <c r="L757" i="11"/>
  <c r="K757" i="11"/>
  <c r="J757" i="11"/>
  <c r="AC1132" i="11"/>
  <c r="AB1132" i="11"/>
  <c r="AA1132" i="11"/>
  <c r="Z1132" i="11"/>
  <c r="Y1132" i="11"/>
  <c r="X1132" i="11"/>
  <c r="W1132" i="11"/>
  <c r="V1132" i="11"/>
  <c r="U1132" i="11"/>
  <c r="T1132" i="11"/>
  <c r="S1132" i="11"/>
  <c r="R1132" i="11"/>
  <c r="Q1132" i="11"/>
  <c r="P1132" i="11"/>
  <c r="O1132" i="11"/>
  <c r="N1132" i="11"/>
  <c r="M1132" i="11"/>
  <c r="L1132" i="11"/>
  <c r="K1132" i="11"/>
  <c r="J1132" i="11"/>
  <c r="AC79" i="11"/>
  <c r="AB79" i="11"/>
  <c r="AA79" i="11"/>
  <c r="Z79" i="11"/>
  <c r="Y79" i="11"/>
  <c r="X79" i="11"/>
  <c r="W79" i="11"/>
  <c r="V79" i="11"/>
  <c r="U79" i="11"/>
  <c r="T79" i="11"/>
  <c r="S79" i="11"/>
  <c r="R79" i="11"/>
  <c r="Q79" i="11"/>
  <c r="P79" i="11"/>
  <c r="O79" i="11"/>
  <c r="N79" i="11"/>
  <c r="M79" i="11"/>
  <c r="L79" i="11"/>
  <c r="K79" i="11"/>
  <c r="J79" i="11"/>
  <c r="AC78" i="11"/>
  <c r="AB78" i="11"/>
  <c r="AA78" i="11"/>
  <c r="Z78" i="11"/>
  <c r="Y78" i="11"/>
  <c r="X78" i="11"/>
  <c r="W78" i="11"/>
  <c r="V78" i="11"/>
  <c r="U78" i="11"/>
  <c r="T78" i="11"/>
  <c r="S78" i="11"/>
  <c r="R78" i="11"/>
  <c r="Q78" i="11"/>
  <c r="P78" i="11"/>
  <c r="O78" i="11"/>
  <c r="N78" i="11"/>
  <c r="M78" i="11"/>
  <c r="L78" i="11"/>
  <c r="K78" i="11"/>
  <c r="J78" i="11"/>
  <c r="AC2112" i="11"/>
  <c r="AB2112" i="11"/>
  <c r="AA2112" i="11"/>
  <c r="Z2112" i="11"/>
  <c r="Y2112" i="11"/>
  <c r="X2112" i="11"/>
  <c r="W2112" i="11"/>
  <c r="V2112" i="11"/>
  <c r="U2112" i="11"/>
  <c r="T2112" i="11"/>
  <c r="S2112" i="11"/>
  <c r="R2112" i="11"/>
  <c r="Q2112" i="11"/>
  <c r="P2112" i="11"/>
  <c r="O2112" i="11"/>
  <c r="N2112" i="11"/>
  <c r="M2112" i="11"/>
  <c r="L2112" i="11"/>
  <c r="K2112" i="11"/>
  <c r="J2112" i="11"/>
  <c r="AC2111" i="11"/>
  <c r="AB2111" i="11"/>
  <c r="AA2111" i="11"/>
  <c r="Z2111" i="11"/>
  <c r="Y2111" i="11"/>
  <c r="X2111" i="11"/>
  <c r="W2111" i="11"/>
  <c r="V2111" i="11"/>
  <c r="U2111" i="11"/>
  <c r="T2111" i="11"/>
  <c r="S2111" i="11"/>
  <c r="R2111" i="11"/>
  <c r="Q2111" i="11"/>
  <c r="P2111" i="11"/>
  <c r="O2111" i="11"/>
  <c r="N2111" i="11"/>
  <c r="M2111" i="11"/>
  <c r="L2111" i="11"/>
  <c r="K2111" i="11"/>
  <c r="J2111" i="11"/>
  <c r="AC530" i="11"/>
  <c r="AB530" i="11"/>
  <c r="AA530" i="11"/>
  <c r="Z530" i="11"/>
  <c r="Y530" i="11"/>
  <c r="X530" i="11"/>
  <c r="W530" i="11"/>
  <c r="V530" i="11"/>
  <c r="U530" i="11"/>
  <c r="T530" i="11"/>
  <c r="S530" i="11"/>
  <c r="R530" i="11"/>
  <c r="Q530" i="11"/>
  <c r="P530" i="11"/>
  <c r="O530" i="11"/>
  <c r="N530" i="11"/>
  <c r="M530" i="11"/>
  <c r="L530" i="11"/>
  <c r="K530" i="11"/>
  <c r="J530" i="11"/>
  <c r="AC1271" i="11"/>
  <c r="AB1271" i="11"/>
  <c r="AA1271" i="11"/>
  <c r="Z1271" i="11"/>
  <c r="Y1271" i="11"/>
  <c r="X1271" i="11"/>
  <c r="W1271" i="11"/>
  <c r="V1271" i="11"/>
  <c r="U1271" i="11"/>
  <c r="T1271" i="11"/>
  <c r="S1271" i="11"/>
  <c r="R1271" i="11"/>
  <c r="Q1271" i="11"/>
  <c r="P1271" i="11"/>
  <c r="O1271" i="11"/>
  <c r="N1271" i="11"/>
  <c r="M1271" i="11"/>
  <c r="L1271" i="11"/>
  <c r="K1271" i="11"/>
  <c r="J1271" i="11"/>
  <c r="AC2039" i="11"/>
  <c r="AB2039" i="11"/>
  <c r="AA2039" i="11"/>
  <c r="Z2039" i="11"/>
  <c r="Y2039" i="11"/>
  <c r="X2039" i="11"/>
  <c r="W2039" i="11"/>
  <c r="V2039" i="11"/>
  <c r="U2039" i="11"/>
  <c r="T2039" i="11"/>
  <c r="S2039" i="11"/>
  <c r="R2039" i="11"/>
  <c r="Q2039" i="11"/>
  <c r="P2039" i="11"/>
  <c r="O2039" i="11"/>
  <c r="N2039" i="11"/>
  <c r="M2039" i="11"/>
  <c r="L2039" i="11"/>
  <c r="K2039" i="11"/>
  <c r="J2039" i="11"/>
  <c r="AC1056" i="11"/>
  <c r="AB1056" i="11"/>
  <c r="AA1056" i="11"/>
  <c r="Z1056" i="11"/>
  <c r="Y1056" i="11"/>
  <c r="X1056" i="11"/>
  <c r="W1056" i="11"/>
  <c r="V1056" i="11"/>
  <c r="U1056" i="11"/>
  <c r="T1056" i="11"/>
  <c r="S1056" i="11"/>
  <c r="R1056" i="11"/>
  <c r="Q1056" i="11"/>
  <c r="P1056" i="11"/>
  <c r="O1056" i="11"/>
  <c r="N1056" i="11"/>
  <c r="M1056" i="11"/>
  <c r="L1056" i="11"/>
  <c r="K1056" i="11"/>
  <c r="J1056" i="11"/>
  <c r="AC111" i="11"/>
  <c r="AB111" i="11"/>
  <c r="AA111" i="11"/>
  <c r="Z111" i="11"/>
  <c r="Y111" i="11"/>
  <c r="X111" i="11"/>
  <c r="W111" i="11"/>
  <c r="V111" i="11"/>
  <c r="U111" i="11"/>
  <c r="T111" i="11"/>
  <c r="S111" i="11"/>
  <c r="R111" i="11"/>
  <c r="Q111" i="11"/>
  <c r="P111" i="11"/>
  <c r="O111" i="11"/>
  <c r="N111" i="11"/>
  <c r="M111" i="11"/>
  <c r="L111" i="11"/>
  <c r="K111" i="11"/>
  <c r="J111" i="11"/>
  <c r="AC110" i="11"/>
  <c r="AB110" i="11"/>
  <c r="AA110" i="11"/>
  <c r="Z110" i="11"/>
  <c r="Y110" i="11"/>
  <c r="X110" i="11"/>
  <c r="W110" i="11"/>
  <c r="V110" i="11"/>
  <c r="U110" i="11"/>
  <c r="T110" i="11"/>
  <c r="S110" i="11"/>
  <c r="R110" i="11"/>
  <c r="Q110" i="11"/>
  <c r="P110" i="11"/>
  <c r="O110" i="11"/>
  <c r="N110" i="11"/>
  <c r="M110" i="11"/>
  <c r="L110" i="11"/>
  <c r="K110" i="11"/>
  <c r="J110" i="11"/>
  <c r="AC756" i="11"/>
  <c r="AB756" i="11"/>
  <c r="AA756" i="11"/>
  <c r="Z756" i="11"/>
  <c r="Y756" i="11"/>
  <c r="X756" i="11"/>
  <c r="W756" i="11"/>
  <c r="V756" i="11"/>
  <c r="U756" i="11"/>
  <c r="T756" i="11"/>
  <c r="S756" i="11"/>
  <c r="R756" i="11"/>
  <c r="Q756" i="11"/>
  <c r="P756" i="11"/>
  <c r="O756" i="11"/>
  <c r="N756" i="11"/>
  <c r="M756" i="11"/>
  <c r="L756" i="11"/>
  <c r="K756" i="11"/>
  <c r="J756" i="11"/>
  <c r="AC1523" i="11"/>
  <c r="AB1523" i="11"/>
  <c r="AA1523" i="11"/>
  <c r="Z1523" i="11"/>
  <c r="Y1523" i="11"/>
  <c r="X1523" i="11"/>
  <c r="W1523" i="11"/>
  <c r="V1523" i="11"/>
  <c r="U1523" i="11"/>
  <c r="T1523" i="11"/>
  <c r="S1523" i="11"/>
  <c r="R1523" i="11"/>
  <c r="Q1523" i="11"/>
  <c r="P1523" i="11"/>
  <c r="O1523" i="11"/>
  <c r="N1523" i="11"/>
  <c r="M1523" i="11"/>
  <c r="L1523" i="11"/>
  <c r="K1523" i="11"/>
  <c r="J1523" i="11"/>
  <c r="AC1439" i="11"/>
  <c r="AB1439" i="11"/>
  <c r="AA1439" i="11"/>
  <c r="Z1439" i="11"/>
  <c r="Y1439" i="11"/>
  <c r="X1439" i="11"/>
  <c r="W1439" i="11"/>
  <c r="V1439" i="11"/>
  <c r="U1439" i="11"/>
  <c r="T1439" i="11"/>
  <c r="S1439" i="11"/>
  <c r="R1439" i="11"/>
  <c r="Q1439" i="11"/>
  <c r="P1439" i="11"/>
  <c r="O1439" i="11"/>
  <c r="N1439" i="11"/>
  <c r="M1439" i="11"/>
  <c r="L1439" i="11"/>
  <c r="K1439" i="11"/>
  <c r="J1439" i="11"/>
  <c r="AC1704" i="11"/>
  <c r="AB1704" i="11"/>
  <c r="AA1704" i="11"/>
  <c r="Z1704" i="11"/>
  <c r="Y1704" i="11"/>
  <c r="X1704" i="11"/>
  <c r="W1704" i="11"/>
  <c r="V1704" i="11"/>
  <c r="U1704" i="11"/>
  <c r="T1704" i="11"/>
  <c r="S1704" i="11"/>
  <c r="R1704" i="11"/>
  <c r="Q1704" i="11"/>
  <c r="P1704" i="11"/>
  <c r="O1704" i="11"/>
  <c r="N1704" i="11"/>
  <c r="M1704" i="11"/>
  <c r="L1704" i="11"/>
  <c r="K1704" i="11"/>
  <c r="J1704" i="11"/>
  <c r="AC170" i="11"/>
  <c r="AB170" i="11"/>
  <c r="AA170" i="11"/>
  <c r="Z170" i="11"/>
  <c r="Y170" i="11"/>
  <c r="X170" i="11"/>
  <c r="W170" i="11"/>
  <c r="V170" i="11"/>
  <c r="U170" i="11"/>
  <c r="T170" i="11"/>
  <c r="S170" i="11"/>
  <c r="R170" i="11"/>
  <c r="Q170" i="11"/>
  <c r="P170" i="11"/>
  <c r="O170" i="11"/>
  <c r="N170" i="11"/>
  <c r="M170" i="11"/>
  <c r="L170" i="11"/>
  <c r="K170" i="11"/>
  <c r="J170" i="11"/>
  <c r="AC453" i="11"/>
  <c r="AB453" i="11"/>
  <c r="AA453" i="11"/>
  <c r="Z453" i="11"/>
  <c r="Y453" i="11"/>
  <c r="X453" i="11"/>
  <c r="W453" i="11"/>
  <c r="V453" i="11"/>
  <c r="U453" i="11"/>
  <c r="T453" i="11"/>
  <c r="S453" i="11"/>
  <c r="R453" i="11"/>
  <c r="Q453" i="11"/>
  <c r="P453" i="11"/>
  <c r="O453" i="11"/>
  <c r="N453" i="11"/>
  <c r="M453" i="11"/>
  <c r="L453" i="11"/>
  <c r="K453" i="11"/>
  <c r="J453" i="11"/>
  <c r="AC1522" i="11"/>
  <c r="AB1522" i="11"/>
  <c r="AA1522" i="11"/>
  <c r="Z1522" i="11"/>
  <c r="Y1522" i="11"/>
  <c r="X1522" i="11"/>
  <c r="W1522" i="11"/>
  <c r="V1522" i="11"/>
  <c r="U1522" i="11"/>
  <c r="T1522" i="11"/>
  <c r="S1522" i="11"/>
  <c r="R1522" i="11"/>
  <c r="Q1522" i="11"/>
  <c r="P1522" i="11"/>
  <c r="O1522" i="11"/>
  <c r="N1522" i="11"/>
  <c r="M1522" i="11"/>
  <c r="L1522" i="11"/>
  <c r="K1522" i="11"/>
  <c r="J1522" i="11"/>
  <c r="AC587" i="11"/>
  <c r="AB587" i="11"/>
  <c r="AA587" i="11"/>
  <c r="Z587" i="11"/>
  <c r="Y587" i="11"/>
  <c r="X587" i="11"/>
  <c r="W587" i="11"/>
  <c r="V587" i="11"/>
  <c r="U587" i="11"/>
  <c r="T587" i="11"/>
  <c r="S587" i="11"/>
  <c r="R587" i="11"/>
  <c r="Q587" i="11"/>
  <c r="P587" i="11"/>
  <c r="O587" i="11"/>
  <c r="N587" i="11"/>
  <c r="M587" i="11"/>
  <c r="L587" i="11"/>
  <c r="K587" i="11"/>
  <c r="J587" i="11"/>
  <c r="AC53" i="11"/>
  <c r="AB53" i="11"/>
  <c r="AA53" i="11"/>
  <c r="Z53" i="11"/>
  <c r="Y53" i="11"/>
  <c r="X53" i="11"/>
  <c r="W53" i="11"/>
  <c r="V53" i="11"/>
  <c r="U53" i="11"/>
  <c r="T53" i="11"/>
  <c r="S53" i="11"/>
  <c r="R53" i="11"/>
  <c r="Q53" i="11"/>
  <c r="P53" i="11"/>
  <c r="O53" i="11"/>
  <c r="N53" i="11"/>
  <c r="M53" i="11"/>
  <c r="L53" i="11"/>
  <c r="K53" i="11"/>
  <c r="J53" i="11"/>
  <c r="AC825" i="11"/>
  <c r="AB825" i="11"/>
  <c r="AA825" i="11"/>
  <c r="Z825" i="11"/>
  <c r="Y825" i="11"/>
  <c r="X825" i="11"/>
  <c r="W825" i="11"/>
  <c r="V825" i="11"/>
  <c r="U825" i="11"/>
  <c r="T825" i="11"/>
  <c r="S825" i="11"/>
  <c r="R825" i="11"/>
  <c r="Q825" i="11"/>
  <c r="P825" i="11"/>
  <c r="O825" i="11"/>
  <c r="N825" i="11"/>
  <c r="M825" i="11"/>
  <c r="L825" i="11"/>
  <c r="K825" i="11"/>
  <c r="J825" i="11"/>
  <c r="AC824" i="11"/>
  <c r="AB824" i="11"/>
  <c r="AA824" i="11"/>
  <c r="Z824" i="11"/>
  <c r="Y824" i="11"/>
  <c r="X824" i="11"/>
  <c r="W824" i="11"/>
  <c r="V824" i="11"/>
  <c r="U824" i="11"/>
  <c r="T824" i="11"/>
  <c r="S824" i="11"/>
  <c r="R824" i="11"/>
  <c r="Q824" i="11"/>
  <c r="P824" i="11"/>
  <c r="O824" i="11"/>
  <c r="N824" i="11"/>
  <c r="M824" i="11"/>
  <c r="L824" i="11"/>
  <c r="K824" i="11"/>
  <c r="J824" i="11"/>
  <c r="AC373" i="11"/>
  <c r="AB373" i="11"/>
  <c r="AA373" i="11"/>
  <c r="Z373" i="11"/>
  <c r="Y373" i="11"/>
  <c r="X373" i="11"/>
  <c r="W373" i="11"/>
  <c r="V373" i="11"/>
  <c r="U373" i="11"/>
  <c r="T373" i="11"/>
  <c r="S373" i="11"/>
  <c r="R373" i="11"/>
  <c r="Q373" i="11"/>
  <c r="P373" i="11"/>
  <c r="O373" i="11"/>
  <c r="N373" i="11"/>
  <c r="M373" i="11"/>
  <c r="L373" i="11"/>
  <c r="K373" i="11"/>
  <c r="J373" i="11"/>
  <c r="AC2166" i="11"/>
  <c r="AB2166" i="11"/>
  <c r="AA2166" i="11"/>
  <c r="Z2166" i="11"/>
  <c r="Y2166" i="11"/>
  <c r="X2166" i="11"/>
  <c r="W2166" i="11"/>
  <c r="V2166" i="11"/>
  <c r="U2166" i="11"/>
  <c r="T2166" i="11"/>
  <c r="S2166" i="11"/>
  <c r="R2166" i="11"/>
  <c r="Q2166" i="11"/>
  <c r="P2166" i="11"/>
  <c r="O2166" i="11"/>
  <c r="N2166" i="11"/>
  <c r="M2166" i="11"/>
  <c r="L2166" i="11"/>
  <c r="K2166" i="11"/>
  <c r="J2166" i="11"/>
  <c r="AC586" i="11"/>
  <c r="AB586" i="11"/>
  <c r="AA586" i="11"/>
  <c r="Z586" i="11"/>
  <c r="Y586" i="11"/>
  <c r="X586" i="11"/>
  <c r="W586" i="11"/>
  <c r="V586" i="11"/>
  <c r="U586" i="11"/>
  <c r="T586" i="11"/>
  <c r="S586" i="11"/>
  <c r="R586" i="11"/>
  <c r="Q586" i="11"/>
  <c r="P586" i="11"/>
  <c r="O586" i="11"/>
  <c r="N586" i="11"/>
  <c r="M586" i="11"/>
  <c r="L586" i="11"/>
  <c r="K586" i="11"/>
  <c r="J586" i="11"/>
  <c r="AC661" i="11"/>
  <c r="AB661" i="11"/>
  <c r="AA661" i="11"/>
  <c r="Z661" i="11"/>
  <c r="Y661" i="11"/>
  <c r="X661" i="11"/>
  <c r="W661" i="11"/>
  <c r="V661" i="11"/>
  <c r="U661" i="11"/>
  <c r="T661" i="11"/>
  <c r="S661" i="11"/>
  <c r="R661" i="11"/>
  <c r="Q661" i="11"/>
  <c r="P661" i="11"/>
  <c r="O661" i="11"/>
  <c r="N661" i="11"/>
  <c r="M661" i="11"/>
  <c r="L661" i="11"/>
  <c r="K661" i="11"/>
  <c r="J661" i="11"/>
  <c r="AC1703" i="11"/>
  <c r="AB1703" i="11"/>
  <c r="AA1703" i="11"/>
  <c r="Z1703" i="11"/>
  <c r="Y1703" i="11"/>
  <c r="X1703" i="11"/>
  <c r="W1703" i="11"/>
  <c r="V1703" i="11"/>
  <c r="U1703" i="11"/>
  <c r="T1703" i="11"/>
  <c r="S1703" i="11"/>
  <c r="R1703" i="11"/>
  <c r="Q1703" i="11"/>
  <c r="P1703" i="11"/>
  <c r="O1703" i="11"/>
  <c r="N1703" i="11"/>
  <c r="M1703" i="11"/>
  <c r="L1703" i="11"/>
  <c r="K1703" i="11"/>
  <c r="J1703" i="11"/>
  <c r="AC974" i="11"/>
  <c r="AB974" i="11"/>
  <c r="AA974" i="11"/>
  <c r="Z974" i="11"/>
  <c r="Y974" i="11"/>
  <c r="X974" i="11"/>
  <c r="W974" i="11"/>
  <c r="V974" i="11"/>
  <c r="U974" i="11"/>
  <c r="T974" i="11"/>
  <c r="S974" i="11"/>
  <c r="R974" i="11"/>
  <c r="Q974" i="11"/>
  <c r="P974" i="11"/>
  <c r="O974" i="11"/>
  <c r="N974" i="11"/>
  <c r="M974" i="11"/>
  <c r="L974" i="11"/>
  <c r="K974" i="11"/>
  <c r="J974" i="11"/>
  <c r="AC1992" i="11"/>
  <c r="AB1992" i="11"/>
  <c r="AA1992" i="11"/>
  <c r="Z1992" i="11"/>
  <c r="Y1992" i="11"/>
  <c r="X1992" i="11"/>
  <c r="W1992" i="11"/>
  <c r="V1992" i="11"/>
  <c r="U1992" i="11"/>
  <c r="T1992" i="11"/>
  <c r="S1992" i="11"/>
  <c r="R1992" i="11"/>
  <c r="Q1992" i="11"/>
  <c r="P1992" i="11"/>
  <c r="O1992" i="11"/>
  <c r="N1992" i="11"/>
  <c r="M1992" i="11"/>
  <c r="L1992" i="11"/>
  <c r="K1992" i="11"/>
  <c r="J1992" i="11"/>
  <c r="AC823" i="11"/>
  <c r="AB823" i="11"/>
  <c r="AA823" i="11"/>
  <c r="Z823" i="11"/>
  <c r="Y823" i="11"/>
  <c r="X823" i="11"/>
  <c r="W823" i="11"/>
  <c r="V823" i="11"/>
  <c r="U823" i="11"/>
  <c r="T823" i="11"/>
  <c r="S823" i="11"/>
  <c r="R823" i="11"/>
  <c r="Q823" i="11"/>
  <c r="P823" i="11"/>
  <c r="O823" i="11"/>
  <c r="N823" i="11"/>
  <c r="M823" i="11"/>
  <c r="L823" i="11"/>
  <c r="K823" i="11"/>
  <c r="J823" i="11"/>
  <c r="AC822" i="11"/>
  <c r="AB822" i="11"/>
  <c r="AA822" i="11"/>
  <c r="Z822" i="11"/>
  <c r="Y822" i="11"/>
  <c r="X822" i="11"/>
  <c r="W822" i="11"/>
  <c r="V822" i="11"/>
  <c r="U822" i="11"/>
  <c r="T822" i="11"/>
  <c r="S822" i="11"/>
  <c r="R822" i="11"/>
  <c r="Q822" i="11"/>
  <c r="P822" i="11"/>
  <c r="O822" i="11"/>
  <c r="N822" i="11"/>
  <c r="M822" i="11"/>
  <c r="L822" i="11"/>
  <c r="K822" i="11"/>
  <c r="J822" i="11"/>
  <c r="AC1055" i="11"/>
  <c r="AB1055" i="11"/>
  <c r="AA1055" i="11"/>
  <c r="Z1055" i="11"/>
  <c r="Y1055" i="11"/>
  <c r="X1055" i="11"/>
  <c r="W1055" i="11"/>
  <c r="V1055" i="11"/>
  <c r="U1055" i="11"/>
  <c r="T1055" i="11"/>
  <c r="S1055" i="11"/>
  <c r="R1055" i="11"/>
  <c r="Q1055" i="11"/>
  <c r="P1055" i="11"/>
  <c r="O1055" i="11"/>
  <c r="N1055" i="11"/>
  <c r="M1055" i="11"/>
  <c r="L1055" i="11"/>
  <c r="K1055" i="11"/>
  <c r="J1055" i="11"/>
  <c r="AC1054" i="11"/>
  <c r="AB1054" i="11"/>
  <c r="AA1054" i="11"/>
  <c r="Z1054" i="11"/>
  <c r="Y1054" i="11"/>
  <c r="X1054" i="11"/>
  <c r="W1054" i="11"/>
  <c r="V1054" i="11"/>
  <c r="U1054" i="11"/>
  <c r="T1054" i="11"/>
  <c r="S1054" i="11"/>
  <c r="R1054" i="11"/>
  <c r="Q1054" i="11"/>
  <c r="P1054" i="11"/>
  <c r="O1054" i="11"/>
  <c r="N1054" i="11"/>
  <c r="M1054" i="11"/>
  <c r="L1054" i="11"/>
  <c r="K1054" i="11"/>
  <c r="J1054" i="11"/>
  <c r="AC1854" i="11"/>
  <c r="AB1854" i="11"/>
  <c r="AA1854" i="11"/>
  <c r="Z1854" i="11"/>
  <c r="Y1854" i="11"/>
  <c r="X1854" i="11"/>
  <c r="W1854" i="11"/>
  <c r="V1854" i="11"/>
  <c r="U1854" i="11"/>
  <c r="T1854" i="11"/>
  <c r="S1854" i="11"/>
  <c r="R1854" i="11"/>
  <c r="Q1854" i="11"/>
  <c r="P1854" i="11"/>
  <c r="O1854" i="11"/>
  <c r="N1854" i="11"/>
  <c r="M1854" i="11"/>
  <c r="L1854" i="11"/>
  <c r="K1854" i="11"/>
  <c r="J1854" i="11"/>
  <c r="AC1364" i="11"/>
  <c r="AB1364" i="11"/>
  <c r="AA1364" i="11"/>
  <c r="Z1364" i="11"/>
  <c r="Y1364" i="11"/>
  <c r="X1364" i="11"/>
  <c r="W1364" i="11"/>
  <c r="V1364" i="11"/>
  <c r="U1364" i="11"/>
  <c r="T1364" i="11"/>
  <c r="S1364" i="11"/>
  <c r="R1364" i="11"/>
  <c r="Q1364" i="11"/>
  <c r="P1364" i="11"/>
  <c r="O1364" i="11"/>
  <c r="N1364" i="11"/>
  <c r="M1364" i="11"/>
  <c r="L1364" i="11"/>
  <c r="K1364" i="11"/>
  <c r="J1364" i="11"/>
  <c r="AC169" i="11"/>
  <c r="AB169" i="11"/>
  <c r="AA169" i="11"/>
  <c r="Z169" i="11"/>
  <c r="Y169" i="11"/>
  <c r="X169" i="11"/>
  <c r="W169" i="11"/>
  <c r="V169" i="11"/>
  <c r="U169" i="11"/>
  <c r="T169" i="11"/>
  <c r="S169" i="11"/>
  <c r="R169" i="11"/>
  <c r="Q169" i="11"/>
  <c r="P169" i="11"/>
  <c r="O169" i="11"/>
  <c r="N169" i="11"/>
  <c r="M169" i="11"/>
  <c r="L169" i="11"/>
  <c r="K169" i="11"/>
  <c r="J169" i="11"/>
  <c r="AC244" i="11"/>
  <c r="AB244" i="11"/>
  <c r="AA244" i="11"/>
  <c r="Z244" i="11"/>
  <c r="Y244" i="11"/>
  <c r="X244" i="11"/>
  <c r="W244" i="11"/>
  <c r="V244" i="11"/>
  <c r="U244" i="11"/>
  <c r="T244" i="11"/>
  <c r="S244" i="11"/>
  <c r="R244" i="11"/>
  <c r="Q244" i="11"/>
  <c r="P244" i="11"/>
  <c r="O244" i="11"/>
  <c r="N244" i="11"/>
  <c r="M244" i="11"/>
  <c r="L244" i="11"/>
  <c r="K244" i="11"/>
  <c r="J244" i="11"/>
  <c r="AC9" i="11"/>
  <c r="AB9" i="11"/>
  <c r="AA9" i="11"/>
  <c r="Z9" i="11"/>
  <c r="Y9" i="11"/>
  <c r="X9" i="11"/>
  <c r="W9" i="11"/>
  <c r="V9" i="11"/>
  <c r="U9" i="11"/>
  <c r="T9" i="11"/>
  <c r="S9" i="11"/>
  <c r="R9" i="11"/>
  <c r="Q9" i="11"/>
  <c r="P9" i="11"/>
  <c r="O9" i="11"/>
  <c r="N9" i="11"/>
  <c r="M9" i="11"/>
  <c r="L9" i="11"/>
  <c r="K9" i="11"/>
  <c r="J9" i="11"/>
  <c r="AC8" i="11"/>
  <c r="AB8" i="11"/>
  <c r="AA8" i="11"/>
  <c r="Z8" i="11"/>
  <c r="Y8" i="11"/>
  <c r="X8" i="11"/>
  <c r="W8" i="11"/>
  <c r="V8" i="11"/>
  <c r="U8" i="11"/>
  <c r="T8" i="11"/>
  <c r="S8" i="11"/>
  <c r="R8" i="11"/>
  <c r="Q8" i="11"/>
  <c r="P8" i="11"/>
  <c r="O8" i="11"/>
  <c r="N8" i="11"/>
  <c r="M8" i="11"/>
  <c r="L8" i="11"/>
  <c r="K8" i="11"/>
  <c r="J8" i="11"/>
  <c r="AC2080" i="11"/>
  <c r="AB2080" i="11"/>
  <c r="AA2080" i="11"/>
  <c r="Z2080" i="11"/>
  <c r="Y2080" i="11"/>
  <c r="X2080" i="11"/>
  <c r="W2080" i="11"/>
  <c r="V2080" i="11"/>
  <c r="U2080" i="11"/>
  <c r="T2080" i="11"/>
  <c r="S2080" i="11"/>
  <c r="R2080" i="11"/>
  <c r="Q2080" i="11"/>
  <c r="P2080" i="11"/>
  <c r="O2080" i="11"/>
  <c r="N2080" i="11"/>
  <c r="M2080" i="11"/>
  <c r="L2080" i="11"/>
  <c r="K2080" i="11"/>
  <c r="J2080" i="11"/>
  <c r="AC893" i="11"/>
  <c r="AB893" i="11"/>
  <c r="AA893" i="11"/>
  <c r="Z893" i="11"/>
  <c r="Y893" i="11"/>
  <c r="X893" i="11"/>
  <c r="W893" i="11"/>
  <c r="V893" i="11"/>
  <c r="U893" i="11"/>
  <c r="T893" i="11"/>
  <c r="S893" i="11"/>
  <c r="R893" i="11"/>
  <c r="Q893" i="11"/>
  <c r="P893" i="11"/>
  <c r="O893" i="11"/>
  <c r="N893" i="11"/>
  <c r="M893" i="11"/>
  <c r="L893" i="11"/>
  <c r="K893" i="11"/>
  <c r="J893" i="11"/>
  <c r="AC1270" i="11"/>
  <c r="AB1270" i="11"/>
  <c r="AA1270" i="11"/>
  <c r="Z1270" i="11"/>
  <c r="Y1270" i="11"/>
  <c r="X1270" i="11"/>
  <c r="W1270" i="11"/>
  <c r="V1270" i="11"/>
  <c r="U1270" i="11"/>
  <c r="T1270" i="11"/>
  <c r="S1270" i="11"/>
  <c r="R1270" i="11"/>
  <c r="Q1270" i="11"/>
  <c r="P1270" i="11"/>
  <c r="O1270" i="11"/>
  <c r="N1270" i="11"/>
  <c r="M1270" i="11"/>
  <c r="L1270" i="11"/>
  <c r="K1270" i="11"/>
  <c r="J1270" i="11"/>
  <c r="AC26" i="11"/>
  <c r="AB26" i="11"/>
  <c r="AA26" i="11"/>
  <c r="Z26" i="11"/>
  <c r="Y26" i="11"/>
  <c r="X26" i="11"/>
  <c r="W26" i="11"/>
  <c r="V26" i="11"/>
  <c r="U26" i="11"/>
  <c r="T26" i="11"/>
  <c r="S26" i="11"/>
  <c r="R26" i="11"/>
  <c r="Q26" i="11"/>
  <c r="P26" i="11"/>
  <c r="O26" i="11"/>
  <c r="N26" i="11"/>
  <c r="M26" i="11"/>
  <c r="L26" i="11"/>
  <c r="K26" i="11"/>
  <c r="J26" i="11"/>
  <c r="AC25" i="11"/>
  <c r="AB25" i="11"/>
  <c r="AA25" i="11"/>
  <c r="Z25" i="11"/>
  <c r="Y25" i="11"/>
  <c r="X25" i="11"/>
  <c r="W25" i="11"/>
  <c r="V25" i="11"/>
  <c r="U25" i="11"/>
  <c r="T25" i="11"/>
  <c r="S25" i="11"/>
  <c r="R25" i="11"/>
  <c r="Q25" i="11"/>
  <c r="P25" i="11"/>
  <c r="O25" i="11"/>
  <c r="N25" i="11"/>
  <c r="M25" i="11"/>
  <c r="L25" i="11"/>
  <c r="K25" i="11"/>
  <c r="J25" i="11"/>
  <c r="AC1853" i="11"/>
  <c r="AB1853" i="11"/>
  <c r="AA1853" i="11"/>
  <c r="Z1853" i="11"/>
  <c r="Y1853" i="11"/>
  <c r="X1853" i="11"/>
  <c r="W1853" i="11"/>
  <c r="V1853" i="11"/>
  <c r="U1853" i="11"/>
  <c r="T1853" i="11"/>
  <c r="S1853" i="11"/>
  <c r="R1853" i="11"/>
  <c r="Q1853" i="11"/>
  <c r="P1853" i="11"/>
  <c r="O1853" i="11"/>
  <c r="N1853" i="11"/>
  <c r="M1853" i="11"/>
  <c r="L1853" i="11"/>
  <c r="K1853" i="11"/>
  <c r="J1853" i="11"/>
  <c r="AC892" i="11"/>
  <c r="AB892" i="11"/>
  <c r="AA892" i="11"/>
  <c r="Z892" i="11"/>
  <c r="Y892" i="11"/>
  <c r="X892" i="11"/>
  <c r="W892" i="11"/>
  <c r="V892" i="11"/>
  <c r="U892" i="11"/>
  <c r="T892" i="11"/>
  <c r="S892" i="11"/>
  <c r="R892" i="11"/>
  <c r="Q892" i="11"/>
  <c r="P892" i="11"/>
  <c r="O892" i="11"/>
  <c r="N892" i="11"/>
  <c r="M892" i="11"/>
  <c r="L892" i="11"/>
  <c r="K892" i="11"/>
  <c r="J892" i="11"/>
  <c r="AC410" i="11"/>
  <c r="AB410" i="11"/>
  <c r="AA410" i="11"/>
  <c r="Z410" i="11"/>
  <c r="Y410" i="11"/>
  <c r="X410" i="11"/>
  <c r="W410" i="11"/>
  <c r="V410" i="11"/>
  <c r="U410" i="11"/>
  <c r="T410" i="11"/>
  <c r="S410" i="11"/>
  <c r="R410" i="11"/>
  <c r="Q410" i="11"/>
  <c r="P410" i="11"/>
  <c r="O410" i="11"/>
  <c r="N410" i="11"/>
  <c r="M410" i="11"/>
  <c r="L410" i="11"/>
  <c r="K410" i="11"/>
  <c r="J410" i="11"/>
  <c r="AC755" i="11"/>
  <c r="AB755" i="11"/>
  <c r="AA755" i="11"/>
  <c r="Z755" i="11"/>
  <c r="Y755" i="11"/>
  <c r="X755" i="11"/>
  <c r="W755" i="11"/>
  <c r="V755" i="11"/>
  <c r="U755" i="11"/>
  <c r="T755" i="11"/>
  <c r="S755" i="11"/>
  <c r="R755" i="11"/>
  <c r="Q755" i="11"/>
  <c r="P755" i="11"/>
  <c r="O755" i="11"/>
  <c r="N755" i="11"/>
  <c r="M755" i="11"/>
  <c r="L755" i="11"/>
  <c r="K755" i="11"/>
  <c r="J755" i="11"/>
  <c r="AC1053" i="11"/>
  <c r="AB1053" i="11"/>
  <c r="AA1053" i="11"/>
  <c r="Z1053" i="11"/>
  <c r="Y1053" i="11"/>
  <c r="X1053" i="11"/>
  <c r="W1053" i="11"/>
  <c r="V1053" i="11"/>
  <c r="U1053" i="11"/>
  <c r="T1053" i="11"/>
  <c r="S1053" i="11"/>
  <c r="R1053" i="11"/>
  <c r="Q1053" i="11"/>
  <c r="P1053" i="11"/>
  <c r="O1053" i="11"/>
  <c r="N1053" i="11"/>
  <c r="M1053" i="11"/>
  <c r="L1053" i="11"/>
  <c r="K1053" i="11"/>
  <c r="J1053" i="11"/>
  <c r="AC1052" i="11"/>
  <c r="AB1052" i="11"/>
  <c r="AA1052" i="11"/>
  <c r="Z1052" i="11"/>
  <c r="Y1052" i="11"/>
  <c r="X1052" i="11"/>
  <c r="W1052" i="11"/>
  <c r="V1052" i="11"/>
  <c r="U1052" i="11"/>
  <c r="T1052" i="11"/>
  <c r="S1052" i="11"/>
  <c r="R1052" i="11"/>
  <c r="Q1052" i="11"/>
  <c r="P1052" i="11"/>
  <c r="O1052" i="11"/>
  <c r="N1052" i="11"/>
  <c r="M1052" i="11"/>
  <c r="L1052" i="11"/>
  <c r="K1052" i="11"/>
  <c r="J1052" i="11"/>
  <c r="AC243" i="11"/>
  <c r="AB243" i="11"/>
  <c r="AA243" i="11"/>
  <c r="Z243" i="11"/>
  <c r="Y243" i="11"/>
  <c r="X243" i="11"/>
  <c r="W243" i="11"/>
  <c r="V243" i="11"/>
  <c r="U243" i="11"/>
  <c r="T243" i="11"/>
  <c r="S243" i="11"/>
  <c r="R243" i="11"/>
  <c r="Q243" i="11"/>
  <c r="P243" i="11"/>
  <c r="O243" i="11"/>
  <c r="N243" i="11"/>
  <c r="M243" i="11"/>
  <c r="L243" i="11"/>
  <c r="K243" i="11"/>
  <c r="J243" i="11"/>
  <c r="AC242" i="11"/>
  <c r="AB242" i="11"/>
  <c r="AA242" i="11"/>
  <c r="Z242" i="11"/>
  <c r="Y242" i="11"/>
  <c r="X242" i="11"/>
  <c r="W242" i="11"/>
  <c r="V242" i="11"/>
  <c r="U242" i="11"/>
  <c r="T242" i="11"/>
  <c r="S242" i="11"/>
  <c r="R242" i="11"/>
  <c r="Q242" i="11"/>
  <c r="P242" i="11"/>
  <c r="O242" i="11"/>
  <c r="N242" i="11"/>
  <c r="M242" i="11"/>
  <c r="L242" i="11"/>
  <c r="K242" i="11"/>
  <c r="J242" i="11"/>
  <c r="AC1757" i="11"/>
  <c r="AB1757" i="11"/>
  <c r="AA1757" i="11"/>
  <c r="Z1757" i="11"/>
  <c r="Y1757" i="11"/>
  <c r="X1757" i="11"/>
  <c r="W1757" i="11"/>
  <c r="V1757" i="11"/>
  <c r="U1757" i="11"/>
  <c r="T1757" i="11"/>
  <c r="S1757" i="11"/>
  <c r="R1757" i="11"/>
  <c r="Q1757" i="11"/>
  <c r="P1757" i="11"/>
  <c r="O1757" i="11"/>
  <c r="N1757" i="11"/>
  <c r="M1757" i="11"/>
  <c r="L1757" i="11"/>
  <c r="K1757" i="11"/>
  <c r="J1757" i="11"/>
  <c r="AC1269" i="11"/>
  <c r="AB1269" i="11"/>
  <c r="AA1269" i="11"/>
  <c r="Z1269" i="11"/>
  <c r="Y1269" i="11"/>
  <c r="X1269" i="11"/>
  <c r="W1269" i="11"/>
  <c r="V1269" i="11"/>
  <c r="U1269" i="11"/>
  <c r="T1269" i="11"/>
  <c r="S1269" i="11"/>
  <c r="R1269" i="11"/>
  <c r="Q1269" i="11"/>
  <c r="P1269" i="11"/>
  <c r="O1269" i="11"/>
  <c r="N1269" i="11"/>
  <c r="M1269" i="11"/>
  <c r="L1269" i="11"/>
  <c r="K1269" i="11"/>
  <c r="J1269" i="11"/>
  <c r="AC1852" i="11"/>
  <c r="AB1852" i="11"/>
  <c r="AA1852" i="11"/>
  <c r="Z1852" i="11"/>
  <c r="Y1852" i="11"/>
  <c r="X1852" i="11"/>
  <c r="W1852" i="11"/>
  <c r="V1852" i="11"/>
  <c r="U1852" i="11"/>
  <c r="T1852" i="11"/>
  <c r="S1852" i="11"/>
  <c r="R1852" i="11"/>
  <c r="Q1852" i="11"/>
  <c r="P1852" i="11"/>
  <c r="O1852" i="11"/>
  <c r="N1852" i="11"/>
  <c r="M1852" i="11"/>
  <c r="L1852" i="11"/>
  <c r="K1852" i="11"/>
  <c r="J1852" i="11"/>
  <c r="AC109" i="11"/>
  <c r="AB109" i="11"/>
  <c r="AA109" i="11"/>
  <c r="Z109" i="11"/>
  <c r="Y109" i="11"/>
  <c r="X109" i="11"/>
  <c r="W109" i="11"/>
  <c r="V109" i="11"/>
  <c r="U109" i="11"/>
  <c r="T109" i="11"/>
  <c r="S109" i="11"/>
  <c r="R109" i="11"/>
  <c r="Q109" i="11"/>
  <c r="P109" i="11"/>
  <c r="O109" i="11"/>
  <c r="N109" i="11"/>
  <c r="M109" i="11"/>
  <c r="L109" i="11"/>
  <c r="K109" i="11"/>
  <c r="J109" i="11"/>
  <c r="AC2144" i="11"/>
  <c r="AB2144" i="11"/>
  <c r="AA2144" i="11"/>
  <c r="Z2144" i="11"/>
  <c r="Y2144" i="11"/>
  <c r="X2144" i="11"/>
  <c r="W2144" i="11"/>
  <c r="V2144" i="11"/>
  <c r="U2144" i="11"/>
  <c r="T2144" i="11"/>
  <c r="S2144" i="11"/>
  <c r="R2144" i="11"/>
  <c r="Q2144" i="11"/>
  <c r="P2144" i="11"/>
  <c r="O2144" i="11"/>
  <c r="N2144" i="11"/>
  <c r="M2144" i="11"/>
  <c r="L2144" i="11"/>
  <c r="K2144" i="11"/>
  <c r="J2144" i="11"/>
  <c r="AC1315" i="11"/>
  <c r="AB1315" i="11"/>
  <c r="AA1315" i="11"/>
  <c r="Z1315" i="11"/>
  <c r="Y1315" i="11"/>
  <c r="X1315" i="11"/>
  <c r="W1315" i="11"/>
  <c r="V1315" i="11"/>
  <c r="U1315" i="11"/>
  <c r="T1315" i="11"/>
  <c r="S1315" i="11"/>
  <c r="R1315" i="11"/>
  <c r="Q1315" i="11"/>
  <c r="P1315" i="11"/>
  <c r="O1315" i="11"/>
  <c r="N1315" i="11"/>
  <c r="M1315" i="11"/>
  <c r="L1315" i="11"/>
  <c r="K1315" i="11"/>
  <c r="J1315" i="11"/>
  <c r="AC372" i="11"/>
  <c r="AB372" i="11"/>
  <c r="AA372" i="11"/>
  <c r="Z372" i="11"/>
  <c r="Y372" i="11"/>
  <c r="X372" i="11"/>
  <c r="W372" i="11"/>
  <c r="V372" i="11"/>
  <c r="U372" i="11"/>
  <c r="T372" i="11"/>
  <c r="S372" i="11"/>
  <c r="R372" i="11"/>
  <c r="Q372" i="11"/>
  <c r="P372" i="11"/>
  <c r="O372" i="11"/>
  <c r="N372" i="11"/>
  <c r="M372" i="11"/>
  <c r="L372" i="11"/>
  <c r="K372" i="11"/>
  <c r="J372" i="11"/>
  <c r="AC529" i="11"/>
  <c r="AB529" i="11"/>
  <c r="AA529" i="11"/>
  <c r="Z529" i="11"/>
  <c r="Y529" i="11"/>
  <c r="X529" i="11"/>
  <c r="W529" i="11"/>
  <c r="V529" i="11"/>
  <c r="U529" i="11"/>
  <c r="T529" i="11"/>
  <c r="S529" i="11"/>
  <c r="R529" i="11"/>
  <c r="Q529" i="11"/>
  <c r="P529" i="11"/>
  <c r="O529" i="11"/>
  <c r="N529" i="11"/>
  <c r="M529" i="11"/>
  <c r="L529" i="11"/>
  <c r="K529" i="11"/>
  <c r="J529" i="11"/>
  <c r="AC973" i="11"/>
  <c r="AB973" i="11"/>
  <c r="AA973" i="11"/>
  <c r="Z973" i="11"/>
  <c r="Y973" i="11"/>
  <c r="X973" i="11"/>
  <c r="W973" i="11"/>
  <c r="V973" i="11"/>
  <c r="U973" i="11"/>
  <c r="T973" i="11"/>
  <c r="S973" i="11"/>
  <c r="R973" i="11"/>
  <c r="Q973" i="11"/>
  <c r="P973" i="11"/>
  <c r="O973" i="11"/>
  <c r="N973" i="11"/>
  <c r="M973" i="11"/>
  <c r="L973" i="11"/>
  <c r="K973" i="11"/>
  <c r="J973" i="11"/>
  <c r="AC1131" i="11"/>
  <c r="AB1131" i="11"/>
  <c r="AA1131" i="11"/>
  <c r="Z1131" i="11"/>
  <c r="Y1131" i="11"/>
  <c r="X1131" i="11"/>
  <c r="W1131" i="11"/>
  <c r="V1131" i="11"/>
  <c r="U1131" i="11"/>
  <c r="T1131" i="11"/>
  <c r="S1131" i="11"/>
  <c r="R1131" i="11"/>
  <c r="Q1131" i="11"/>
  <c r="P1131" i="11"/>
  <c r="O1131" i="11"/>
  <c r="N1131" i="11"/>
  <c r="M1131" i="11"/>
  <c r="L1131" i="11"/>
  <c r="K1131" i="11"/>
  <c r="J1131" i="11"/>
  <c r="AC241" i="11"/>
  <c r="AB241" i="11"/>
  <c r="AA241" i="11"/>
  <c r="Z241" i="11"/>
  <c r="Y241" i="11"/>
  <c r="X241" i="11"/>
  <c r="W241" i="11"/>
  <c r="V241" i="11"/>
  <c r="U241" i="11"/>
  <c r="T241" i="11"/>
  <c r="S241" i="11"/>
  <c r="R241" i="11"/>
  <c r="Q241" i="11"/>
  <c r="P241" i="11"/>
  <c r="O241" i="11"/>
  <c r="N241" i="11"/>
  <c r="M241" i="11"/>
  <c r="L241" i="11"/>
  <c r="K241" i="11"/>
  <c r="J241" i="11"/>
  <c r="AC891" i="11"/>
  <c r="AB891" i="11"/>
  <c r="AA891" i="11"/>
  <c r="Z891" i="11"/>
  <c r="Y891" i="11"/>
  <c r="X891" i="11"/>
  <c r="W891" i="11"/>
  <c r="V891" i="11"/>
  <c r="U891" i="11"/>
  <c r="T891" i="11"/>
  <c r="S891" i="11"/>
  <c r="R891" i="11"/>
  <c r="Q891" i="11"/>
  <c r="P891" i="11"/>
  <c r="O891" i="11"/>
  <c r="N891" i="11"/>
  <c r="M891" i="11"/>
  <c r="L891" i="11"/>
  <c r="K891" i="11"/>
  <c r="J891" i="11"/>
  <c r="AC890" i="11"/>
  <c r="AB890" i="11"/>
  <c r="AA890" i="11"/>
  <c r="Z890" i="11"/>
  <c r="Y890" i="11"/>
  <c r="X890" i="11"/>
  <c r="W890" i="11"/>
  <c r="V890" i="11"/>
  <c r="U890" i="11"/>
  <c r="T890" i="11"/>
  <c r="S890" i="11"/>
  <c r="R890" i="11"/>
  <c r="Q890" i="11"/>
  <c r="P890" i="11"/>
  <c r="O890" i="11"/>
  <c r="N890" i="11"/>
  <c r="M890" i="11"/>
  <c r="L890" i="11"/>
  <c r="K890" i="11"/>
  <c r="J890" i="11"/>
  <c r="AC1702" i="11"/>
  <c r="AB1702" i="11"/>
  <c r="AA1702" i="11"/>
  <c r="Z1702" i="11"/>
  <c r="Y1702" i="11"/>
  <c r="X1702" i="11"/>
  <c r="W1702" i="11"/>
  <c r="V1702" i="11"/>
  <c r="U1702" i="11"/>
  <c r="T1702" i="11"/>
  <c r="S1702" i="11"/>
  <c r="R1702" i="11"/>
  <c r="Q1702" i="11"/>
  <c r="P1702" i="11"/>
  <c r="O1702" i="11"/>
  <c r="N1702" i="11"/>
  <c r="M1702" i="11"/>
  <c r="L1702" i="11"/>
  <c r="K1702" i="11"/>
  <c r="J1702" i="11"/>
  <c r="AC2038" i="11"/>
  <c r="AB2038" i="11"/>
  <c r="AA2038" i="11"/>
  <c r="Z2038" i="11"/>
  <c r="Y2038" i="11"/>
  <c r="X2038" i="11"/>
  <c r="W2038" i="11"/>
  <c r="V2038" i="11"/>
  <c r="U2038" i="11"/>
  <c r="T2038" i="11"/>
  <c r="S2038" i="11"/>
  <c r="R2038" i="11"/>
  <c r="Q2038" i="11"/>
  <c r="P2038" i="11"/>
  <c r="O2038" i="11"/>
  <c r="N2038" i="11"/>
  <c r="M2038" i="11"/>
  <c r="L2038" i="11"/>
  <c r="K2038" i="11"/>
  <c r="J2038" i="11"/>
  <c r="AC52" i="11"/>
  <c r="AB52" i="11"/>
  <c r="AA52" i="11"/>
  <c r="Z52" i="11"/>
  <c r="Y52" i="11"/>
  <c r="X52" i="11"/>
  <c r="W52" i="11"/>
  <c r="V52" i="11"/>
  <c r="U52" i="11"/>
  <c r="T52" i="11"/>
  <c r="S52" i="11"/>
  <c r="R52" i="11"/>
  <c r="Q52" i="11"/>
  <c r="P52" i="11"/>
  <c r="O52" i="11"/>
  <c r="N52" i="11"/>
  <c r="M52" i="11"/>
  <c r="L52" i="11"/>
  <c r="K52" i="11"/>
  <c r="J52" i="11"/>
  <c r="AC1051" i="11"/>
  <c r="AB1051" i="11"/>
  <c r="AA1051" i="11"/>
  <c r="Z1051" i="11"/>
  <c r="Y1051" i="11"/>
  <c r="X1051" i="11"/>
  <c r="W1051" i="11"/>
  <c r="V1051" i="11"/>
  <c r="U1051" i="11"/>
  <c r="T1051" i="11"/>
  <c r="S1051" i="11"/>
  <c r="R1051" i="11"/>
  <c r="Q1051" i="11"/>
  <c r="P1051" i="11"/>
  <c r="O1051" i="11"/>
  <c r="N1051" i="11"/>
  <c r="M1051" i="11"/>
  <c r="L1051" i="11"/>
  <c r="K1051" i="11"/>
  <c r="J1051" i="11"/>
  <c r="AC585" i="11"/>
  <c r="AB585" i="11"/>
  <c r="AA585" i="11"/>
  <c r="Z585" i="11"/>
  <c r="Y585" i="11"/>
  <c r="X585" i="11"/>
  <c r="W585" i="11"/>
  <c r="V585" i="11"/>
  <c r="U585" i="11"/>
  <c r="T585" i="11"/>
  <c r="S585" i="11"/>
  <c r="R585" i="11"/>
  <c r="Q585" i="11"/>
  <c r="P585" i="11"/>
  <c r="O585" i="11"/>
  <c r="N585" i="11"/>
  <c r="M585" i="11"/>
  <c r="L585" i="11"/>
  <c r="K585" i="11"/>
  <c r="J585" i="11"/>
  <c r="AC1438" i="11"/>
  <c r="AB1438" i="11"/>
  <c r="AA1438" i="11"/>
  <c r="Z1438" i="11"/>
  <c r="Y1438" i="11"/>
  <c r="X1438" i="11"/>
  <c r="W1438" i="11"/>
  <c r="V1438" i="11"/>
  <c r="U1438" i="11"/>
  <c r="T1438" i="11"/>
  <c r="S1438" i="11"/>
  <c r="R1438" i="11"/>
  <c r="Q1438" i="11"/>
  <c r="P1438" i="11"/>
  <c r="O1438" i="11"/>
  <c r="N1438" i="11"/>
  <c r="M1438" i="11"/>
  <c r="L1438" i="11"/>
  <c r="K1438" i="11"/>
  <c r="J1438" i="11"/>
  <c r="AC1437" i="11"/>
  <c r="AB1437" i="11"/>
  <c r="AA1437" i="11"/>
  <c r="Z1437" i="11"/>
  <c r="Y1437" i="11"/>
  <c r="X1437" i="11"/>
  <c r="W1437" i="11"/>
  <c r="V1437" i="11"/>
  <c r="U1437" i="11"/>
  <c r="T1437" i="11"/>
  <c r="S1437" i="11"/>
  <c r="R1437" i="11"/>
  <c r="Q1437" i="11"/>
  <c r="P1437" i="11"/>
  <c r="O1437" i="11"/>
  <c r="N1437" i="11"/>
  <c r="M1437" i="11"/>
  <c r="L1437" i="11"/>
  <c r="K1437" i="11"/>
  <c r="J1437" i="11"/>
  <c r="AC754" i="11"/>
  <c r="AB754" i="11"/>
  <c r="AA754" i="11"/>
  <c r="Z754" i="11"/>
  <c r="Y754" i="11"/>
  <c r="X754" i="11"/>
  <c r="W754" i="11"/>
  <c r="V754" i="11"/>
  <c r="U754" i="11"/>
  <c r="T754" i="11"/>
  <c r="S754" i="11"/>
  <c r="R754" i="11"/>
  <c r="Q754" i="11"/>
  <c r="P754" i="11"/>
  <c r="O754" i="11"/>
  <c r="N754" i="11"/>
  <c r="M754" i="11"/>
  <c r="L754" i="11"/>
  <c r="K754" i="11"/>
  <c r="J754" i="11"/>
  <c r="AC889" i="11"/>
  <c r="AB889" i="11"/>
  <c r="AA889" i="11"/>
  <c r="Z889" i="11"/>
  <c r="Y889" i="11"/>
  <c r="X889" i="11"/>
  <c r="W889" i="11"/>
  <c r="V889" i="11"/>
  <c r="U889" i="11"/>
  <c r="T889" i="11"/>
  <c r="S889" i="11"/>
  <c r="R889" i="11"/>
  <c r="Q889" i="11"/>
  <c r="P889" i="11"/>
  <c r="O889" i="11"/>
  <c r="N889" i="11"/>
  <c r="M889" i="11"/>
  <c r="L889" i="11"/>
  <c r="K889" i="11"/>
  <c r="J889" i="11"/>
  <c r="AC888" i="11"/>
  <c r="AB888" i="11"/>
  <c r="AA888" i="11"/>
  <c r="Z888" i="11"/>
  <c r="Y888" i="11"/>
  <c r="X888" i="11"/>
  <c r="W888" i="11"/>
  <c r="V888" i="11"/>
  <c r="U888" i="11"/>
  <c r="T888" i="11"/>
  <c r="S888" i="11"/>
  <c r="R888" i="11"/>
  <c r="Q888" i="11"/>
  <c r="P888" i="11"/>
  <c r="O888" i="11"/>
  <c r="N888" i="11"/>
  <c r="M888" i="11"/>
  <c r="L888" i="11"/>
  <c r="K888" i="11"/>
  <c r="J888" i="11"/>
  <c r="AC887" i="11"/>
  <c r="AB887" i="11"/>
  <c r="AA887" i="11"/>
  <c r="Z887" i="11"/>
  <c r="Y887" i="11"/>
  <c r="X887" i="11"/>
  <c r="W887" i="11"/>
  <c r="V887" i="11"/>
  <c r="U887" i="11"/>
  <c r="T887" i="11"/>
  <c r="S887" i="11"/>
  <c r="R887" i="11"/>
  <c r="Q887" i="11"/>
  <c r="P887" i="11"/>
  <c r="O887" i="11"/>
  <c r="N887" i="11"/>
  <c r="M887" i="11"/>
  <c r="L887" i="11"/>
  <c r="K887" i="11"/>
  <c r="J887" i="11"/>
  <c r="AC886" i="11"/>
  <c r="AB886" i="11"/>
  <c r="AA886" i="11"/>
  <c r="Z886" i="11"/>
  <c r="Y886" i="11"/>
  <c r="X886" i="11"/>
  <c r="W886" i="11"/>
  <c r="V886" i="11"/>
  <c r="U886" i="11"/>
  <c r="T886" i="11"/>
  <c r="S886" i="11"/>
  <c r="R886" i="11"/>
  <c r="Q886" i="11"/>
  <c r="P886" i="11"/>
  <c r="O886" i="11"/>
  <c r="N886" i="11"/>
  <c r="M886" i="11"/>
  <c r="L886" i="11"/>
  <c r="K886" i="11"/>
  <c r="J886" i="11"/>
  <c r="AC286" i="11"/>
  <c r="AB286" i="11"/>
  <c r="AA286" i="11"/>
  <c r="Z286" i="11"/>
  <c r="Y286" i="11"/>
  <c r="X286" i="11"/>
  <c r="W286" i="11"/>
  <c r="V286" i="11"/>
  <c r="U286" i="11"/>
  <c r="T286" i="11"/>
  <c r="S286" i="11"/>
  <c r="R286" i="11"/>
  <c r="Q286" i="11"/>
  <c r="P286" i="11"/>
  <c r="O286" i="11"/>
  <c r="N286" i="11"/>
  <c r="M286" i="11"/>
  <c r="L286" i="11"/>
  <c r="K286" i="11"/>
  <c r="J286" i="11"/>
  <c r="AC1268" i="11"/>
  <c r="AB1268" i="11"/>
  <c r="AA1268" i="11"/>
  <c r="Z1268" i="11"/>
  <c r="Y1268" i="11"/>
  <c r="X1268" i="11"/>
  <c r="W1268" i="11"/>
  <c r="V1268" i="11"/>
  <c r="U1268" i="11"/>
  <c r="T1268" i="11"/>
  <c r="S1268" i="11"/>
  <c r="R1268" i="11"/>
  <c r="Q1268" i="11"/>
  <c r="P1268" i="11"/>
  <c r="O1268" i="11"/>
  <c r="N1268" i="11"/>
  <c r="M1268" i="11"/>
  <c r="L1268" i="11"/>
  <c r="K1268" i="11"/>
  <c r="J1268" i="11"/>
  <c r="AC1213" i="11"/>
  <c r="AB1213" i="11"/>
  <c r="AA1213" i="11"/>
  <c r="Z1213" i="11"/>
  <c r="Y1213" i="11"/>
  <c r="X1213" i="11"/>
  <c r="W1213" i="11"/>
  <c r="V1213" i="11"/>
  <c r="U1213" i="11"/>
  <c r="T1213" i="11"/>
  <c r="S1213" i="11"/>
  <c r="R1213" i="11"/>
  <c r="Q1213" i="11"/>
  <c r="P1213" i="11"/>
  <c r="O1213" i="11"/>
  <c r="N1213" i="11"/>
  <c r="M1213" i="11"/>
  <c r="L1213" i="11"/>
  <c r="K1213" i="11"/>
  <c r="J1213" i="11"/>
  <c r="AC2143" i="11"/>
  <c r="AB2143" i="11"/>
  <c r="AA2143" i="11"/>
  <c r="Z2143" i="11"/>
  <c r="Y2143" i="11"/>
  <c r="X2143" i="11"/>
  <c r="W2143" i="11"/>
  <c r="V2143" i="11"/>
  <c r="U2143" i="11"/>
  <c r="T2143" i="11"/>
  <c r="S2143" i="11"/>
  <c r="R2143" i="11"/>
  <c r="Q2143" i="11"/>
  <c r="P2143" i="11"/>
  <c r="O2143" i="11"/>
  <c r="N2143" i="11"/>
  <c r="M2143" i="11"/>
  <c r="L2143" i="11"/>
  <c r="K2143" i="11"/>
  <c r="J2143" i="11"/>
  <c r="AC972" i="11"/>
  <c r="AB972" i="11"/>
  <c r="AA972" i="11"/>
  <c r="Z972" i="11"/>
  <c r="Y972" i="11"/>
  <c r="X972" i="11"/>
  <c r="W972" i="11"/>
  <c r="V972" i="11"/>
  <c r="U972" i="11"/>
  <c r="T972" i="11"/>
  <c r="S972" i="11"/>
  <c r="R972" i="11"/>
  <c r="Q972" i="11"/>
  <c r="P972" i="11"/>
  <c r="O972" i="11"/>
  <c r="N972" i="11"/>
  <c r="M972" i="11"/>
  <c r="L972" i="11"/>
  <c r="K972" i="11"/>
  <c r="J972" i="11"/>
  <c r="AC371" i="11"/>
  <c r="AB371" i="11"/>
  <c r="AA371" i="11"/>
  <c r="Z371" i="11"/>
  <c r="Y371" i="11"/>
  <c r="X371" i="11"/>
  <c r="W371" i="11"/>
  <c r="V371" i="11"/>
  <c r="U371" i="11"/>
  <c r="T371" i="11"/>
  <c r="S371" i="11"/>
  <c r="R371" i="11"/>
  <c r="Q371" i="11"/>
  <c r="P371" i="11"/>
  <c r="O371" i="11"/>
  <c r="N371" i="11"/>
  <c r="M371" i="11"/>
  <c r="L371" i="11"/>
  <c r="K371" i="11"/>
  <c r="J371" i="11"/>
  <c r="AC1267" i="11"/>
  <c r="AB1267" i="11"/>
  <c r="AA1267" i="11"/>
  <c r="Z1267" i="11"/>
  <c r="Y1267" i="11"/>
  <c r="X1267" i="11"/>
  <c r="W1267" i="11"/>
  <c r="V1267" i="11"/>
  <c r="U1267" i="11"/>
  <c r="T1267" i="11"/>
  <c r="S1267" i="11"/>
  <c r="R1267" i="11"/>
  <c r="Q1267" i="11"/>
  <c r="P1267" i="11"/>
  <c r="O1267" i="11"/>
  <c r="N1267" i="11"/>
  <c r="M1267" i="11"/>
  <c r="L1267" i="11"/>
  <c r="K1267" i="11"/>
  <c r="J1267" i="11"/>
  <c r="AC285" i="11"/>
  <c r="AB285" i="11"/>
  <c r="AA285" i="11"/>
  <c r="Z285" i="11"/>
  <c r="Y285" i="11"/>
  <c r="X285" i="11"/>
  <c r="W285" i="11"/>
  <c r="V285" i="11"/>
  <c r="U285" i="11"/>
  <c r="T285" i="11"/>
  <c r="S285" i="11"/>
  <c r="R285" i="11"/>
  <c r="Q285" i="11"/>
  <c r="P285" i="11"/>
  <c r="O285" i="11"/>
  <c r="N285" i="11"/>
  <c r="M285" i="11"/>
  <c r="L285" i="11"/>
  <c r="K285" i="11"/>
  <c r="J285" i="11"/>
  <c r="AC240" i="11"/>
  <c r="AB240" i="11"/>
  <c r="AA240" i="11"/>
  <c r="Z240" i="11"/>
  <c r="Y240" i="11"/>
  <c r="X240" i="11"/>
  <c r="W240" i="11"/>
  <c r="V240" i="11"/>
  <c r="U240" i="11"/>
  <c r="T240" i="11"/>
  <c r="S240" i="11"/>
  <c r="R240" i="11"/>
  <c r="Q240" i="11"/>
  <c r="P240" i="11"/>
  <c r="O240" i="11"/>
  <c r="N240" i="11"/>
  <c r="M240" i="11"/>
  <c r="L240" i="11"/>
  <c r="K240" i="11"/>
  <c r="J240" i="11"/>
  <c r="AC1955" i="11"/>
  <c r="AB1955" i="11"/>
  <c r="AA1955" i="11"/>
  <c r="Z1955" i="11"/>
  <c r="Y1955" i="11"/>
  <c r="X1955" i="11"/>
  <c r="W1955" i="11"/>
  <c r="V1955" i="11"/>
  <c r="U1955" i="11"/>
  <c r="T1955" i="11"/>
  <c r="S1955" i="11"/>
  <c r="R1955" i="11"/>
  <c r="Q1955" i="11"/>
  <c r="P1955" i="11"/>
  <c r="O1955" i="11"/>
  <c r="N1955" i="11"/>
  <c r="M1955" i="11"/>
  <c r="L1955" i="11"/>
  <c r="K1955" i="11"/>
  <c r="J1955" i="11"/>
  <c r="AC1130" i="11"/>
  <c r="AB1130" i="11"/>
  <c r="AA1130" i="11"/>
  <c r="Z1130" i="11"/>
  <c r="Y1130" i="11"/>
  <c r="X1130" i="11"/>
  <c r="W1130" i="11"/>
  <c r="V1130" i="11"/>
  <c r="U1130" i="11"/>
  <c r="T1130" i="11"/>
  <c r="S1130" i="11"/>
  <c r="R1130" i="11"/>
  <c r="Q1130" i="11"/>
  <c r="P1130" i="11"/>
  <c r="O1130" i="11"/>
  <c r="N1130" i="11"/>
  <c r="M1130" i="11"/>
  <c r="L1130" i="11"/>
  <c r="K1130" i="11"/>
  <c r="J1130" i="11"/>
  <c r="AC370" i="11"/>
  <c r="AB370" i="11"/>
  <c r="AA370" i="11"/>
  <c r="Z370" i="11"/>
  <c r="Y370" i="11"/>
  <c r="X370" i="11"/>
  <c r="W370" i="11"/>
  <c r="V370" i="11"/>
  <c r="U370" i="11"/>
  <c r="T370" i="11"/>
  <c r="S370" i="11"/>
  <c r="R370" i="11"/>
  <c r="Q370" i="11"/>
  <c r="P370" i="11"/>
  <c r="O370" i="11"/>
  <c r="N370" i="11"/>
  <c r="M370" i="11"/>
  <c r="L370" i="11"/>
  <c r="K370" i="11"/>
  <c r="J370" i="11"/>
  <c r="AC204" i="11"/>
  <c r="AB204" i="11"/>
  <c r="AA204" i="11"/>
  <c r="Z204" i="11"/>
  <c r="Y204" i="11"/>
  <c r="X204" i="11"/>
  <c r="W204" i="11"/>
  <c r="V204" i="11"/>
  <c r="U204" i="11"/>
  <c r="T204" i="11"/>
  <c r="S204" i="11"/>
  <c r="R204" i="11"/>
  <c r="Q204" i="11"/>
  <c r="P204" i="11"/>
  <c r="O204" i="11"/>
  <c r="N204" i="11"/>
  <c r="M204" i="11"/>
  <c r="L204" i="11"/>
  <c r="K204" i="11"/>
  <c r="J204" i="11"/>
  <c r="AC1050" i="11"/>
  <c r="AB1050" i="11"/>
  <c r="AA1050" i="11"/>
  <c r="Z1050" i="11"/>
  <c r="Y1050" i="11"/>
  <c r="X1050" i="11"/>
  <c r="W1050" i="11"/>
  <c r="V1050" i="11"/>
  <c r="U1050" i="11"/>
  <c r="T1050" i="11"/>
  <c r="S1050" i="11"/>
  <c r="R1050" i="11"/>
  <c r="Q1050" i="11"/>
  <c r="P1050" i="11"/>
  <c r="O1050" i="11"/>
  <c r="N1050" i="11"/>
  <c r="M1050" i="11"/>
  <c r="L1050" i="11"/>
  <c r="K1050" i="11"/>
  <c r="J1050" i="11"/>
  <c r="AC284" i="11"/>
  <c r="AB284" i="11"/>
  <c r="AA284" i="11"/>
  <c r="Z284" i="11"/>
  <c r="Y284" i="11"/>
  <c r="X284" i="11"/>
  <c r="W284" i="11"/>
  <c r="V284" i="11"/>
  <c r="U284" i="11"/>
  <c r="T284" i="11"/>
  <c r="S284" i="11"/>
  <c r="R284" i="11"/>
  <c r="Q284" i="11"/>
  <c r="P284" i="11"/>
  <c r="O284" i="11"/>
  <c r="N284" i="11"/>
  <c r="M284" i="11"/>
  <c r="L284" i="11"/>
  <c r="K284" i="11"/>
  <c r="J284" i="11"/>
  <c r="AC584" i="11"/>
  <c r="AB584" i="11"/>
  <c r="AA584" i="11"/>
  <c r="Z584" i="11"/>
  <c r="Y584" i="11"/>
  <c r="X584" i="11"/>
  <c r="W584" i="11"/>
  <c r="V584" i="11"/>
  <c r="U584" i="11"/>
  <c r="T584" i="11"/>
  <c r="S584" i="11"/>
  <c r="R584" i="11"/>
  <c r="Q584" i="11"/>
  <c r="P584" i="11"/>
  <c r="O584" i="11"/>
  <c r="N584" i="11"/>
  <c r="M584" i="11"/>
  <c r="L584" i="11"/>
  <c r="K584" i="11"/>
  <c r="J584" i="11"/>
  <c r="AC660" i="11"/>
  <c r="AB660" i="11"/>
  <c r="AA660" i="11"/>
  <c r="Z660" i="11"/>
  <c r="Y660" i="11"/>
  <c r="X660" i="11"/>
  <c r="W660" i="11"/>
  <c r="V660" i="11"/>
  <c r="U660" i="11"/>
  <c r="T660" i="11"/>
  <c r="S660" i="11"/>
  <c r="R660" i="11"/>
  <c r="Q660" i="11"/>
  <c r="P660" i="11"/>
  <c r="O660" i="11"/>
  <c r="N660" i="11"/>
  <c r="M660" i="11"/>
  <c r="L660" i="11"/>
  <c r="K660" i="11"/>
  <c r="J660" i="11"/>
  <c r="AC659" i="11"/>
  <c r="AB659" i="11"/>
  <c r="AA659" i="11"/>
  <c r="Z659" i="11"/>
  <c r="Y659" i="11"/>
  <c r="X659" i="11"/>
  <c r="W659" i="11"/>
  <c r="V659" i="11"/>
  <c r="U659" i="11"/>
  <c r="T659" i="11"/>
  <c r="S659" i="11"/>
  <c r="R659" i="11"/>
  <c r="Q659" i="11"/>
  <c r="P659" i="11"/>
  <c r="O659" i="11"/>
  <c r="N659" i="11"/>
  <c r="M659" i="11"/>
  <c r="L659" i="11"/>
  <c r="K659" i="11"/>
  <c r="J659" i="11"/>
  <c r="AC1436" i="11"/>
  <c r="AB1436" i="11"/>
  <c r="AA1436" i="11"/>
  <c r="Z1436" i="11"/>
  <c r="Y1436" i="11"/>
  <c r="X1436" i="11"/>
  <c r="W1436" i="11"/>
  <c r="V1436" i="11"/>
  <c r="U1436" i="11"/>
  <c r="T1436" i="11"/>
  <c r="S1436" i="11"/>
  <c r="R1436" i="11"/>
  <c r="Q1436" i="11"/>
  <c r="P1436" i="11"/>
  <c r="O1436" i="11"/>
  <c r="N1436" i="11"/>
  <c r="M1436" i="11"/>
  <c r="L1436" i="11"/>
  <c r="K1436" i="11"/>
  <c r="J1436" i="11"/>
  <c r="AC2142" i="11"/>
  <c r="AB2142" i="11"/>
  <c r="AA2142" i="11"/>
  <c r="Z2142" i="11"/>
  <c r="Y2142" i="11"/>
  <c r="X2142" i="11"/>
  <c r="W2142" i="11"/>
  <c r="V2142" i="11"/>
  <c r="U2142" i="11"/>
  <c r="T2142" i="11"/>
  <c r="S2142" i="11"/>
  <c r="R2142" i="11"/>
  <c r="Q2142" i="11"/>
  <c r="P2142" i="11"/>
  <c r="O2142" i="11"/>
  <c r="N2142" i="11"/>
  <c r="M2142" i="11"/>
  <c r="L2142" i="11"/>
  <c r="K2142" i="11"/>
  <c r="J2142" i="11"/>
  <c r="AC1606" i="11"/>
  <c r="AB1606" i="11"/>
  <c r="AA1606" i="11"/>
  <c r="Z1606" i="11"/>
  <c r="Y1606" i="11"/>
  <c r="X1606" i="11"/>
  <c r="W1606" i="11"/>
  <c r="V1606" i="11"/>
  <c r="U1606" i="11"/>
  <c r="T1606" i="11"/>
  <c r="S1606" i="11"/>
  <c r="R1606" i="11"/>
  <c r="Q1606" i="11"/>
  <c r="P1606" i="11"/>
  <c r="O1606" i="11"/>
  <c r="N1606" i="11"/>
  <c r="M1606" i="11"/>
  <c r="L1606" i="11"/>
  <c r="K1606" i="11"/>
  <c r="J1606" i="11"/>
  <c r="AC528" i="11"/>
  <c r="AB528" i="11"/>
  <c r="AA528" i="11"/>
  <c r="Z528" i="11"/>
  <c r="Y528" i="11"/>
  <c r="X528" i="11"/>
  <c r="W528" i="11"/>
  <c r="V528" i="11"/>
  <c r="U528" i="11"/>
  <c r="T528" i="11"/>
  <c r="S528" i="11"/>
  <c r="R528" i="11"/>
  <c r="Q528" i="11"/>
  <c r="P528" i="11"/>
  <c r="O528" i="11"/>
  <c r="N528" i="11"/>
  <c r="M528" i="11"/>
  <c r="L528" i="11"/>
  <c r="K528" i="11"/>
  <c r="J528" i="11"/>
  <c r="AC753" i="11"/>
  <c r="AB753" i="11"/>
  <c r="AA753" i="11"/>
  <c r="Z753" i="11"/>
  <c r="Y753" i="11"/>
  <c r="X753" i="11"/>
  <c r="W753" i="11"/>
  <c r="V753" i="11"/>
  <c r="U753" i="11"/>
  <c r="T753" i="11"/>
  <c r="S753" i="11"/>
  <c r="R753" i="11"/>
  <c r="Q753" i="11"/>
  <c r="P753" i="11"/>
  <c r="O753" i="11"/>
  <c r="N753" i="11"/>
  <c r="M753" i="11"/>
  <c r="L753" i="11"/>
  <c r="K753" i="11"/>
  <c r="J753" i="11"/>
  <c r="AC1954" i="11"/>
  <c r="AB1954" i="11"/>
  <c r="AA1954" i="11"/>
  <c r="Z1954" i="11"/>
  <c r="Y1954" i="11"/>
  <c r="X1954" i="11"/>
  <c r="W1954" i="11"/>
  <c r="V1954" i="11"/>
  <c r="U1954" i="11"/>
  <c r="T1954" i="11"/>
  <c r="S1954" i="11"/>
  <c r="R1954" i="11"/>
  <c r="Q1954" i="11"/>
  <c r="P1954" i="11"/>
  <c r="O1954" i="11"/>
  <c r="N1954" i="11"/>
  <c r="M1954" i="11"/>
  <c r="L1954" i="11"/>
  <c r="K1954" i="11"/>
  <c r="J1954" i="11"/>
  <c r="AC752" i="11"/>
  <c r="AB752" i="11"/>
  <c r="AA752" i="11"/>
  <c r="Z752" i="11"/>
  <c r="Y752" i="11"/>
  <c r="X752" i="11"/>
  <c r="W752" i="11"/>
  <c r="V752" i="11"/>
  <c r="U752" i="11"/>
  <c r="T752" i="11"/>
  <c r="S752" i="11"/>
  <c r="R752" i="11"/>
  <c r="Q752" i="11"/>
  <c r="P752" i="11"/>
  <c r="O752" i="11"/>
  <c r="N752" i="11"/>
  <c r="M752" i="11"/>
  <c r="L752" i="11"/>
  <c r="K752" i="11"/>
  <c r="J752" i="11"/>
  <c r="AC1049" i="11"/>
  <c r="AB1049" i="11"/>
  <c r="AA1049" i="11"/>
  <c r="Z1049" i="11"/>
  <c r="Y1049" i="11"/>
  <c r="X1049" i="11"/>
  <c r="W1049" i="11"/>
  <c r="V1049" i="11"/>
  <c r="U1049" i="11"/>
  <c r="T1049" i="11"/>
  <c r="S1049" i="11"/>
  <c r="R1049" i="11"/>
  <c r="Q1049" i="11"/>
  <c r="P1049" i="11"/>
  <c r="O1049" i="11"/>
  <c r="N1049" i="11"/>
  <c r="M1049" i="11"/>
  <c r="L1049" i="11"/>
  <c r="K1049" i="11"/>
  <c r="J1049" i="11"/>
  <c r="AC1701" i="11"/>
  <c r="AB1701" i="11"/>
  <c r="AA1701" i="11"/>
  <c r="Z1701" i="11"/>
  <c r="Y1701" i="11"/>
  <c r="X1701" i="11"/>
  <c r="W1701" i="11"/>
  <c r="V1701" i="11"/>
  <c r="U1701" i="11"/>
  <c r="T1701" i="11"/>
  <c r="S1701" i="11"/>
  <c r="R1701" i="11"/>
  <c r="Q1701" i="11"/>
  <c r="P1701" i="11"/>
  <c r="O1701" i="11"/>
  <c r="N1701" i="11"/>
  <c r="M1701" i="11"/>
  <c r="L1701" i="11"/>
  <c r="K1701" i="11"/>
  <c r="J1701" i="11"/>
  <c r="AC1521" i="11"/>
  <c r="AB1521" i="11"/>
  <c r="AA1521" i="11"/>
  <c r="Z1521" i="11"/>
  <c r="Y1521" i="11"/>
  <c r="X1521" i="11"/>
  <c r="W1521" i="11"/>
  <c r="V1521" i="11"/>
  <c r="U1521" i="11"/>
  <c r="T1521" i="11"/>
  <c r="S1521" i="11"/>
  <c r="R1521" i="11"/>
  <c r="Q1521" i="11"/>
  <c r="P1521" i="11"/>
  <c r="O1521" i="11"/>
  <c r="N1521" i="11"/>
  <c r="M1521" i="11"/>
  <c r="L1521" i="11"/>
  <c r="K1521" i="11"/>
  <c r="J1521" i="11"/>
  <c r="AC1266" i="11"/>
  <c r="AB1266" i="11"/>
  <c r="AA1266" i="11"/>
  <c r="Z1266" i="11"/>
  <c r="Y1266" i="11"/>
  <c r="X1266" i="11"/>
  <c r="W1266" i="11"/>
  <c r="V1266" i="11"/>
  <c r="U1266" i="11"/>
  <c r="T1266" i="11"/>
  <c r="S1266" i="11"/>
  <c r="R1266" i="11"/>
  <c r="Q1266" i="11"/>
  <c r="P1266" i="11"/>
  <c r="O1266" i="11"/>
  <c r="N1266" i="11"/>
  <c r="M1266" i="11"/>
  <c r="L1266" i="11"/>
  <c r="K1266" i="11"/>
  <c r="J1266" i="11"/>
  <c r="AC452" i="11"/>
  <c r="AB452" i="11"/>
  <c r="AA452" i="11"/>
  <c r="Z452" i="11"/>
  <c r="Y452" i="11"/>
  <c r="X452" i="11"/>
  <c r="W452" i="11"/>
  <c r="V452" i="11"/>
  <c r="U452" i="11"/>
  <c r="T452" i="11"/>
  <c r="S452" i="11"/>
  <c r="R452" i="11"/>
  <c r="Q452" i="11"/>
  <c r="P452" i="11"/>
  <c r="O452" i="11"/>
  <c r="N452" i="11"/>
  <c r="M452" i="11"/>
  <c r="L452" i="11"/>
  <c r="K452" i="11"/>
  <c r="J452" i="11"/>
  <c r="AC283" i="11"/>
  <c r="AB283" i="11"/>
  <c r="AA283" i="11"/>
  <c r="Z283" i="11"/>
  <c r="Y283" i="11"/>
  <c r="X283" i="11"/>
  <c r="W283" i="11"/>
  <c r="V283" i="11"/>
  <c r="U283" i="11"/>
  <c r="T283" i="11"/>
  <c r="S283" i="11"/>
  <c r="R283" i="11"/>
  <c r="Q283" i="11"/>
  <c r="P283" i="11"/>
  <c r="O283" i="11"/>
  <c r="N283" i="11"/>
  <c r="M283" i="11"/>
  <c r="L283" i="11"/>
  <c r="K283" i="11"/>
  <c r="J283" i="11"/>
  <c r="AC409" i="11"/>
  <c r="AB409" i="11"/>
  <c r="AA409" i="11"/>
  <c r="Z409" i="11"/>
  <c r="Y409" i="11"/>
  <c r="X409" i="11"/>
  <c r="W409" i="11"/>
  <c r="V409" i="11"/>
  <c r="U409" i="11"/>
  <c r="T409" i="11"/>
  <c r="S409" i="11"/>
  <c r="R409" i="11"/>
  <c r="Q409" i="11"/>
  <c r="P409" i="11"/>
  <c r="O409" i="11"/>
  <c r="N409" i="11"/>
  <c r="M409" i="11"/>
  <c r="L409" i="11"/>
  <c r="K409" i="11"/>
  <c r="J409" i="11"/>
  <c r="AC1953" i="11"/>
  <c r="AB1953" i="11"/>
  <c r="AA1953" i="11"/>
  <c r="Z1953" i="11"/>
  <c r="Y1953" i="11"/>
  <c r="X1953" i="11"/>
  <c r="W1953" i="11"/>
  <c r="V1953" i="11"/>
  <c r="U1953" i="11"/>
  <c r="T1953" i="11"/>
  <c r="S1953" i="11"/>
  <c r="R1953" i="11"/>
  <c r="Q1953" i="11"/>
  <c r="P1953" i="11"/>
  <c r="O1953" i="11"/>
  <c r="N1953" i="11"/>
  <c r="M1953" i="11"/>
  <c r="L1953" i="11"/>
  <c r="K1953" i="11"/>
  <c r="J1953" i="11"/>
  <c r="AC1799" i="11"/>
  <c r="AB1799" i="11"/>
  <c r="AA1799" i="11"/>
  <c r="Z1799" i="11"/>
  <c r="Y1799" i="11"/>
  <c r="X1799" i="11"/>
  <c r="W1799" i="11"/>
  <c r="V1799" i="11"/>
  <c r="U1799" i="11"/>
  <c r="T1799" i="11"/>
  <c r="S1799" i="11"/>
  <c r="R1799" i="11"/>
  <c r="Q1799" i="11"/>
  <c r="P1799" i="11"/>
  <c r="O1799" i="11"/>
  <c r="N1799" i="11"/>
  <c r="M1799" i="11"/>
  <c r="L1799" i="11"/>
  <c r="K1799" i="11"/>
  <c r="J1799" i="11"/>
  <c r="AC1435" i="11"/>
  <c r="AB1435" i="11"/>
  <c r="AA1435" i="11"/>
  <c r="Z1435" i="11"/>
  <c r="Y1435" i="11"/>
  <c r="X1435" i="11"/>
  <c r="W1435" i="11"/>
  <c r="V1435" i="11"/>
  <c r="U1435" i="11"/>
  <c r="T1435" i="11"/>
  <c r="S1435" i="11"/>
  <c r="R1435" i="11"/>
  <c r="Q1435" i="11"/>
  <c r="P1435" i="11"/>
  <c r="O1435" i="11"/>
  <c r="N1435" i="11"/>
  <c r="M1435" i="11"/>
  <c r="L1435" i="11"/>
  <c r="K1435" i="11"/>
  <c r="J1435" i="11"/>
  <c r="AC1908" i="11"/>
  <c r="AB1908" i="11"/>
  <c r="AA1908" i="11"/>
  <c r="Z1908" i="11"/>
  <c r="Y1908" i="11"/>
  <c r="X1908" i="11"/>
  <c r="W1908" i="11"/>
  <c r="V1908" i="11"/>
  <c r="U1908" i="11"/>
  <c r="T1908" i="11"/>
  <c r="S1908" i="11"/>
  <c r="R1908" i="11"/>
  <c r="Q1908" i="11"/>
  <c r="P1908" i="11"/>
  <c r="O1908" i="11"/>
  <c r="N1908" i="11"/>
  <c r="M1908" i="11"/>
  <c r="L1908" i="11"/>
  <c r="K1908" i="11"/>
  <c r="J1908" i="11"/>
  <c r="AC1952" i="11"/>
  <c r="AB1952" i="11"/>
  <c r="AA1952" i="11"/>
  <c r="Z1952" i="11"/>
  <c r="Y1952" i="11"/>
  <c r="X1952" i="11"/>
  <c r="W1952" i="11"/>
  <c r="V1952" i="11"/>
  <c r="U1952" i="11"/>
  <c r="T1952" i="11"/>
  <c r="S1952" i="11"/>
  <c r="R1952" i="11"/>
  <c r="Q1952" i="11"/>
  <c r="P1952" i="11"/>
  <c r="O1952" i="11"/>
  <c r="N1952" i="11"/>
  <c r="M1952" i="11"/>
  <c r="L1952" i="11"/>
  <c r="K1952" i="11"/>
  <c r="J1952" i="11"/>
  <c r="AC1314" i="11"/>
  <c r="AB1314" i="11"/>
  <c r="AA1314" i="11"/>
  <c r="Z1314" i="11"/>
  <c r="Y1314" i="11"/>
  <c r="X1314" i="11"/>
  <c r="W1314" i="11"/>
  <c r="V1314" i="11"/>
  <c r="U1314" i="11"/>
  <c r="T1314" i="11"/>
  <c r="S1314" i="11"/>
  <c r="R1314" i="11"/>
  <c r="Q1314" i="11"/>
  <c r="P1314" i="11"/>
  <c r="O1314" i="11"/>
  <c r="N1314" i="11"/>
  <c r="M1314" i="11"/>
  <c r="L1314" i="11"/>
  <c r="K1314" i="11"/>
  <c r="J1314" i="11"/>
  <c r="AC1991" i="11"/>
  <c r="AB1991" i="11"/>
  <c r="AA1991" i="11"/>
  <c r="Z1991" i="11"/>
  <c r="Y1991" i="11"/>
  <c r="X1991" i="11"/>
  <c r="W1991" i="11"/>
  <c r="V1991" i="11"/>
  <c r="U1991" i="11"/>
  <c r="T1991" i="11"/>
  <c r="S1991" i="11"/>
  <c r="R1991" i="11"/>
  <c r="Q1991" i="11"/>
  <c r="P1991" i="11"/>
  <c r="O1991" i="11"/>
  <c r="N1991" i="11"/>
  <c r="M1991" i="11"/>
  <c r="L1991" i="11"/>
  <c r="K1991" i="11"/>
  <c r="J1991" i="11"/>
  <c r="AC369" i="11"/>
  <c r="AB369" i="11"/>
  <c r="AA369" i="11"/>
  <c r="Z369" i="11"/>
  <c r="Y369" i="11"/>
  <c r="X369" i="11"/>
  <c r="W369" i="11"/>
  <c r="V369" i="11"/>
  <c r="U369" i="11"/>
  <c r="T369" i="11"/>
  <c r="S369" i="11"/>
  <c r="R369" i="11"/>
  <c r="Q369" i="11"/>
  <c r="P369" i="11"/>
  <c r="O369" i="11"/>
  <c r="N369" i="11"/>
  <c r="M369" i="11"/>
  <c r="L369" i="11"/>
  <c r="K369" i="11"/>
  <c r="J369" i="11"/>
  <c r="AC527" i="11"/>
  <c r="AB527" i="11"/>
  <c r="AA527" i="11"/>
  <c r="Z527" i="11"/>
  <c r="Y527" i="11"/>
  <c r="X527" i="11"/>
  <c r="W527" i="11"/>
  <c r="V527" i="11"/>
  <c r="U527" i="11"/>
  <c r="T527" i="11"/>
  <c r="S527" i="11"/>
  <c r="R527" i="11"/>
  <c r="Q527" i="11"/>
  <c r="P527" i="11"/>
  <c r="O527" i="11"/>
  <c r="N527" i="11"/>
  <c r="M527" i="11"/>
  <c r="L527" i="11"/>
  <c r="K527" i="11"/>
  <c r="J527" i="11"/>
  <c r="AC1265" i="11"/>
  <c r="AB1265" i="11"/>
  <c r="AA1265" i="11"/>
  <c r="Z1265" i="11"/>
  <c r="Y1265" i="11"/>
  <c r="X1265" i="11"/>
  <c r="W1265" i="11"/>
  <c r="V1265" i="11"/>
  <c r="U1265" i="11"/>
  <c r="T1265" i="11"/>
  <c r="S1265" i="11"/>
  <c r="R1265" i="11"/>
  <c r="Q1265" i="11"/>
  <c r="P1265" i="11"/>
  <c r="O1265" i="11"/>
  <c r="N1265" i="11"/>
  <c r="M1265" i="11"/>
  <c r="L1265" i="11"/>
  <c r="K1265" i="11"/>
  <c r="J1265" i="11"/>
  <c r="AC332" i="11"/>
  <c r="AB332" i="11"/>
  <c r="AA332" i="11"/>
  <c r="Z332" i="11"/>
  <c r="Y332" i="11"/>
  <c r="X332" i="11"/>
  <c r="W332" i="11"/>
  <c r="V332" i="11"/>
  <c r="U332" i="11"/>
  <c r="T332" i="11"/>
  <c r="S332" i="11"/>
  <c r="R332" i="11"/>
  <c r="Q332" i="11"/>
  <c r="P332" i="11"/>
  <c r="O332" i="11"/>
  <c r="N332" i="11"/>
  <c r="M332" i="11"/>
  <c r="L332" i="11"/>
  <c r="K332" i="11"/>
  <c r="J332" i="11"/>
  <c r="AC1313" i="11"/>
  <c r="AB1313" i="11"/>
  <c r="AA1313" i="11"/>
  <c r="Z1313" i="11"/>
  <c r="Y1313" i="11"/>
  <c r="X1313" i="11"/>
  <c r="W1313" i="11"/>
  <c r="V1313" i="11"/>
  <c r="U1313" i="11"/>
  <c r="T1313" i="11"/>
  <c r="S1313" i="11"/>
  <c r="R1313" i="11"/>
  <c r="Q1313" i="11"/>
  <c r="P1313" i="11"/>
  <c r="O1313" i="11"/>
  <c r="N1313" i="11"/>
  <c r="M1313" i="11"/>
  <c r="L1313" i="11"/>
  <c r="K1313" i="11"/>
  <c r="J1313" i="11"/>
  <c r="AC1363" i="11"/>
  <c r="AB1363" i="11"/>
  <c r="AA1363" i="11"/>
  <c r="Z1363" i="11"/>
  <c r="Y1363" i="11"/>
  <c r="X1363" i="11"/>
  <c r="W1363" i="11"/>
  <c r="V1363" i="11"/>
  <c r="U1363" i="11"/>
  <c r="T1363" i="11"/>
  <c r="S1363" i="11"/>
  <c r="R1363" i="11"/>
  <c r="Q1363" i="11"/>
  <c r="P1363" i="11"/>
  <c r="O1363" i="11"/>
  <c r="N1363" i="11"/>
  <c r="M1363" i="11"/>
  <c r="L1363" i="11"/>
  <c r="K1363" i="11"/>
  <c r="J1363" i="11"/>
  <c r="AC1362" i="11"/>
  <c r="AB1362" i="11"/>
  <c r="AA1362" i="11"/>
  <c r="Z1362" i="11"/>
  <c r="Y1362" i="11"/>
  <c r="X1362" i="11"/>
  <c r="W1362" i="11"/>
  <c r="V1362" i="11"/>
  <c r="U1362" i="11"/>
  <c r="T1362" i="11"/>
  <c r="S1362" i="11"/>
  <c r="R1362" i="11"/>
  <c r="Q1362" i="11"/>
  <c r="P1362" i="11"/>
  <c r="O1362" i="11"/>
  <c r="N1362" i="11"/>
  <c r="M1362" i="11"/>
  <c r="L1362" i="11"/>
  <c r="K1362" i="11"/>
  <c r="J1362" i="11"/>
  <c r="AC751" i="11"/>
  <c r="AB751" i="11"/>
  <c r="AA751" i="11"/>
  <c r="Z751" i="11"/>
  <c r="Y751" i="11"/>
  <c r="X751" i="11"/>
  <c r="W751" i="11"/>
  <c r="V751" i="11"/>
  <c r="U751" i="11"/>
  <c r="T751" i="11"/>
  <c r="S751" i="11"/>
  <c r="R751" i="11"/>
  <c r="Q751" i="11"/>
  <c r="P751" i="11"/>
  <c r="O751" i="11"/>
  <c r="N751" i="11"/>
  <c r="M751" i="11"/>
  <c r="L751" i="11"/>
  <c r="K751" i="11"/>
  <c r="J751" i="11"/>
  <c r="AC821" i="11"/>
  <c r="AB821" i="11"/>
  <c r="AA821" i="11"/>
  <c r="Z821" i="11"/>
  <c r="Y821" i="11"/>
  <c r="X821" i="11"/>
  <c r="W821" i="11"/>
  <c r="V821" i="11"/>
  <c r="U821" i="11"/>
  <c r="T821" i="11"/>
  <c r="S821" i="11"/>
  <c r="R821" i="11"/>
  <c r="Q821" i="11"/>
  <c r="P821" i="11"/>
  <c r="O821" i="11"/>
  <c r="N821" i="11"/>
  <c r="M821" i="11"/>
  <c r="L821" i="11"/>
  <c r="K821" i="11"/>
  <c r="J821" i="11"/>
  <c r="AC1048" i="11"/>
  <c r="AB1048" i="11"/>
  <c r="AA1048" i="11"/>
  <c r="Z1048" i="11"/>
  <c r="Y1048" i="11"/>
  <c r="X1048" i="11"/>
  <c r="W1048" i="11"/>
  <c r="V1048" i="11"/>
  <c r="U1048" i="11"/>
  <c r="T1048" i="11"/>
  <c r="S1048" i="11"/>
  <c r="R1048" i="11"/>
  <c r="Q1048" i="11"/>
  <c r="P1048" i="11"/>
  <c r="O1048" i="11"/>
  <c r="N1048" i="11"/>
  <c r="M1048" i="11"/>
  <c r="L1048" i="11"/>
  <c r="K1048" i="11"/>
  <c r="J1048" i="11"/>
  <c r="AC1047" i="11"/>
  <c r="AB1047" i="11"/>
  <c r="AA1047" i="11"/>
  <c r="Z1047" i="11"/>
  <c r="Y1047" i="11"/>
  <c r="X1047" i="11"/>
  <c r="W1047" i="11"/>
  <c r="V1047" i="11"/>
  <c r="U1047" i="11"/>
  <c r="T1047" i="11"/>
  <c r="S1047" i="11"/>
  <c r="R1047" i="11"/>
  <c r="Q1047" i="11"/>
  <c r="P1047" i="11"/>
  <c r="O1047" i="11"/>
  <c r="N1047" i="11"/>
  <c r="M1047" i="11"/>
  <c r="L1047" i="11"/>
  <c r="K1047" i="11"/>
  <c r="J1047" i="11"/>
  <c r="AC77" i="11"/>
  <c r="AB77" i="11"/>
  <c r="AA77" i="11"/>
  <c r="Z77" i="11"/>
  <c r="Y77" i="11"/>
  <c r="X77" i="11"/>
  <c r="W77" i="11"/>
  <c r="V77" i="11"/>
  <c r="U77" i="11"/>
  <c r="T77" i="11"/>
  <c r="S77" i="11"/>
  <c r="R77" i="11"/>
  <c r="Q77" i="11"/>
  <c r="P77" i="11"/>
  <c r="O77" i="11"/>
  <c r="N77" i="11"/>
  <c r="M77" i="11"/>
  <c r="L77" i="11"/>
  <c r="K77" i="11"/>
  <c r="J77" i="11"/>
  <c r="AC239" i="11"/>
  <c r="AB239" i="11"/>
  <c r="AA239" i="11"/>
  <c r="Z239" i="11"/>
  <c r="Y239" i="11"/>
  <c r="X239" i="11"/>
  <c r="W239" i="11"/>
  <c r="V239" i="11"/>
  <c r="U239" i="11"/>
  <c r="T239" i="11"/>
  <c r="S239" i="11"/>
  <c r="R239" i="11"/>
  <c r="Q239" i="11"/>
  <c r="P239" i="11"/>
  <c r="O239" i="11"/>
  <c r="N239" i="11"/>
  <c r="M239" i="11"/>
  <c r="L239" i="11"/>
  <c r="K239" i="11"/>
  <c r="J239" i="11"/>
  <c r="AC1907" i="11"/>
  <c r="AB1907" i="11"/>
  <c r="AA1907" i="11"/>
  <c r="Z1907" i="11"/>
  <c r="Y1907" i="11"/>
  <c r="X1907" i="11"/>
  <c r="W1907" i="11"/>
  <c r="V1907" i="11"/>
  <c r="U1907" i="11"/>
  <c r="T1907" i="11"/>
  <c r="S1907" i="11"/>
  <c r="R1907" i="11"/>
  <c r="Q1907" i="11"/>
  <c r="P1907" i="11"/>
  <c r="O1907" i="11"/>
  <c r="N1907" i="11"/>
  <c r="M1907" i="11"/>
  <c r="L1907" i="11"/>
  <c r="K1907" i="11"/>
  <c r="J1907" i="11"/>
  <c r="AC750" i="11"/>
  <c r="AB750" i="11"/>
  <c r="AA750" i="11"/>
  <c r="Z750" i="11"/>
  <c r="Y750" i="11"/>
  <c r="X750" i="11"/>
  <c r="W750" i="11"/>
  <c r="V750" i="11"/>
  <c r="U750" i="11"/>
  <c r="T750" i="11"/>
  <c r="S750" i="11"/>
  <c r="R750" i="11"/>
  <c r="Q750" i="11"/>
  <c r="P750" i="11"/>
  <c r="O750" i="11"/>
  <c r="N750" i="11"/>
  <c r="M750" i="11"/>
  <c r="L750" i="11"/>
  <c r="K750" i="11"/>
  <c r="J750" i="11"/>
  <c r="AC749" i="11"/>
  <c r="AB749" i="11"/>
  <c r="AA749" i="11"/>
  <c r="Z749" i="11"/>
  <c r="Y749" i="11"/>
  <c r="X749" i="11"/>
  <c r="W749" i="11"/>
  <c r="V749" i="11"/>
  <c r="U749" i="11"/>
  <c r="T749" i="11"/>
  <c r="S749" i="11"/>
  <c r="R749" i="11"/>
  <c r="Q749" i="11"/>
  <c r="P749" i="11"/>
  <c r="O749" i="11"/>
  <c r="N749" i="11"/>
  <c r="M749" i="11"/>
  <c r="L749" i="11"/>
  <c r="K749" i="11"/>
  <c r="J749" i="11"/>
  <c r="AC282" i="11"/>
  <c r="AB282" i="11"/>
  <c r="AA282" i="11"/>
  <c r="Z282" i="11"/>
  <c r="Y282" i="11"/>
  <c r="X282" i="11"/>
  <c r="W282" i="11"/>
  <c r="V282" i="11"/>
  <c r="U282" i="11"/>
  <c r="T282" i="11"/>
  <c r="S282" i="11"/>
  <c r="R282" i="11"/>
  <c r="Q282" i="11"/>
  <c r="P282" i="11"/>
  <c r="O282" i="11"/>
  <c r="N282" i="11"/>
  <c r="M282" i="11"/>
  <c r="L282" i="11"/>
  <c r="K282" i="11"/>
  <c r="J282" i="11"/>
  <c r="AC1756" i="11"/>
  <c r="AB1756" i="11"/>
  <c r="AA1756" i="11"/>
  <c r="Z1756" i="11"/>
  <c r="Y1756" i="11"/>
  <c r="X1756" i="11"/>
  <c r="W1756" i="11"/>
  <c r="V1756" i="11"/>
  <c r="U1756" i="11"/>
  <c r="T1756" i="11"/>
  <c r="S1756" i="11"/>
  <c r="R1756" i="11"/>
  <c r="Q1756" i="11"/>
  <c r="P1756" i="11"/>
  <c r="O1756" i="11"/>
  <c r="N1756" i="11"/>
  <c r="M1756" i="11"/>
  <c r="L1756" i="11"/>
  <c r="K1756" i="11"/>
  <c r="J1756" i="11"/>
  <c r="AC748" i="11"/>
  <c r="AB748" i="11"/>
  <c r="AA748" i="11"/>
  <c r="Z748" i="11"/>
  <c r="Y748" i="11"/>
  <c r="X748" i="11"/>
  <c r="W748" i="11"/>
  <c r="V748" i="11"/>
  <c r="U748" i="11"/>
  <c r="T748" i="11"/>
  <c r="S748" i="11"/>
  <c r="R748" i="11"/>
  <c r="Q748" i="11"/>
  <c r="P748" i="11"/>
  <c r="O748" i="11"/>
  <c r="N748" i="11"/>
  <c r="M748" i="11"/>
  <c r="L748" i="11"/>
  <c r="K748" i="11"/>
  <c r="J748" i="11"/>
  <c r="AC658" i="11"/>
  <c r="AB658" i="11"/>
  <c r="AA658" i="11"/>
  <c r="Z658" i="11"/>
  <c r="Y658" i="11"/>
  <c r="X658" i="11"/>
  <c r="W658" i="11"/>
  <c r="V658" i="11"/>
  <c r="U658" i="11"/>
  <c r="T658" i="11"/>
  <c r="S658" i="11"/>
  <c r="R658" i="11"/>
  <c r="Q658" i="11"/>
  <c r="P658" i="11"/>
  <c r="O658" i="11"/>
  <c r="N658" i="11"/>
  <c r="M658" i="11"/>
  <c r="L658" i="11"/>
  <c r="K658" i="11"/>
  <c r="J658" i="11"/>
  <c r="AC885" i="11"/>
  <c r="AB885" i="11"/>
  <c r="AA885" i="11"/>
  <c r="Z885" i="11"/>
  <c r="Y885" i="11"/>
  <c r="X885" i="11"/>
  <c r="W885" i="11"/>
  <c r="V885" i="11"/>
  <c r="U885" i="11"/>
  <c r="T885" i="11"/>
  <c r="S885" i="11"/>
  <c r="R885" i="11"/>
  <c r="Q885" i="11"/>
  <c r="P885" i="11"/>
  <c r="O885" i="11"/>
  <c r="N885" i="11"/>
  <c r="M885" i="11"/>
  <c r="L885" i="11"/>
  <c r="K885" i="11"/>
  <c r="J885" i="11"/>
  <c r="AC884" i="11"/>
  <c r="AB884" i="11"/>
  <c r="AA884" i="11"/>
  <c r="Z884" i="11"/>
  <c r="Y884" i="11"/>
  <c r="X884" i="11"/>
  <c r="W884" i="11"/>
  <c r="V884" i="11"/>
  <c r="U884" i="11"/>
  <c r="T884" i="11"/>
  <c r="S884" i="11"/>
  <c r="R884" i="11"/>
  <c r="Q884" i="11"/>
  <c r="P884" i="11"/>
  <c r="O884" i="11"/>
  <c r="N884" i="11"/>
  <c r="M884" i="11"/>
  <c r="L884" i="11"/>
  <c r="K884" i="11"/>
  <c r="J884" i="11"/>
  <c r="AC408" i="11"/>
  <c r="AB408" i="11"/>
  <c r="AA408" i="11"/>
  <c r="Z408" i="11"/>
  <c r="Y408" i="11"/>
  <c r="X408" i="11"/>
  <c r="W408" i="11"/>
  <c r="V408" i="11"/>
  <c r="U408" i="11"/>
  <c r="T408" i="11"/>
  <c r="S408" i="11"/>
  <c r="R408" i="11"/>
  <c r="Q408" i="11"/>
  <c r="P408" i="11"/>
  <c r="O408" i="11"/>
  <c r="N408" i="11"/>
  <c r="M408" i="11"/>
  <c r="L408" i="11"/>
  <c r="K408" i="11"/>
  <c r="J408" i="11"/>
  <c r="AC657" i="11"/>
  <c r="AB657" i="11"/>
  <c r="AA657" i="11"/>
  <c r="Z657" i="11"/>
  <c r="Y657" i="11"/>
  <c r="X657" i="11"/>
  <c r="W657" i="11"/>
  <c r="V657" i="11"/>
  <c r="U657" i="11"/>
  <c r="T657" i="11"/>
  <c r="S657" i="11"/>
  <c r="R657" i="11"/>
  <c r="Q657" i="11"/>
  <c r="P657" i="11"/>
  <c r="O657" i="11"/>
  <c r="N657" i="11"/>
  <c r="M657" i="11"/>
  <c r="L657" i="11"/>
  <c r="K657" i="11"/>
  <c r="J657" i="11"/>
  <c r="AC1798" i="11"/>
  <c r="AB1798" i="11"/>
  <c r="AA1798" i="11"/>
  <c r="Z1798" i="11"/>
  <c r="Y1798" i="11"/>
  <c r="X1798" i="11"/>
  <c r="W1798" i="11"/>
  <c r="V1798" i="11"/>
  <c r="U1798" i="11"/>
  <c r="T1798" i="11"/>
  <c r="S1798" i="11"/>
  <c r="R1798" i="11"/>
  <c r="Q1798" i="11"/>
  <c r="P1798" i="11"/>
  <c r="O1798" i="11"/>
  <c r="N1798" i="11"/>
  <c r="M1798" i="11"/>
  <c r="L1798" i="11"/>
  <c r="K1798" i="11"/>
  <c r="J1798" i="11"/>
  <c r="AC656" i="11"/>
  <c r="AB656" i="11"/>
  <c r="AA656" i="11"/>
  <c r="Z656" i="11"/>
  <c r="Y656" i="11"/>
  <c r="X656" i="11"/>
  <c r="W656" i="11"/>
  <c r="V656" i="11"/>
  <c r="U656" i="11"/>
  <c r="T656" i="11"/>
  <c r="S656" i="11"/>
  <c r="R656" i="11"/>
  <c r="Q656" i="11"/>
  <c r="P656" i="11"/>
  <c r="O656" i="11"/>
  <c r="N656" i="11"/>
  <c r="M656" i="11"/>
  <c r="L656" i="11"/>
  <c r="K656" i="11"/>
  <c r="J656" i="11"/>
  <c r="AC655" i="11"/>
  <c r="AB655" i="11"/>
  <c r="AA655" i="11"/>
  <c r="Z655" i="11"/>
  <c r="Y655" i="11"/>
  <c r="X655" i="11"/>
  <c r="W655" i="11"/>
  <c r="V655" i="11"/>
  <c r="U655" i="11"/>
  <c r="T655" i="11"/>
  <c r="S655" i="11"/>
  <c r="R655" i="11"/>
  <c r="Q655" i="11"/>
  <c r="P655" i="11"/>
  <c r="O655" i="11"/>
  <c r="N655" i="11"/>
  <c r="M655" i="11"/>
  <c r="L655" i="11"/>
  <c r="K655" i="11"/>
  <c r="J655" i="11"/>
  <c r="AC1990" i="11"/>
  <c r="AB1990" i="11"/>
  <c r="AA1990" i="11"/>
  <c r="Z1990" i="11"/>
  <c r="Y1990" i="11"/>
  <c r="X1990" i="11"/>
  <c r="W1990" i="11"/>
  <c r="V1990" i="11"/>
  <c r="U1990" i="11"/>
  <c r="T1990" i="11"/>
  <c r="S1990" i="11"/>
  <c r="R1990" i="11"/>
  <c r="Q1990" i="11"/>
  <c r="P1990" i="11"/>
  <c r="O1990" i="11"/>
  <c r="N1990" i="11"/>
  <c r="M1990" i="11"/>
  <c r="L1990" i="11"/>
  <c r="K1990" i="11"/>
  <c r="J1990" i="11"/>
  <c r="AC526" i="11"/>
  <c r="AB526" i="11"/>
  <c r="AA526" i="11"/>
  <c r="Z526" i="11"/>
  <c r="Y526" i="11"/>
  <c r="X526" i="11"/>
  <c r="W526" i="11"/>
  <c r="V526" i="11"/>
  <c r="U526" i="11"/>
  <c r="T526" i="11"/>
  <c r="S526" i="11"/>
  <c r="R526" i="11"/>
  <c r="Q526" i="11"/>
  <c r="P526" i="11"/>
  <c r="O526" i="11"/>
  <c r="N526" i="11"/>
  <c r="M526" i="11"/>
  <c r="L526" i="11"/>
  <c r="K526" i="11"/>
  <c r="J526" i="11"/>
  <c r="AC525" i="11"/>
  <c r="AB525" i="11"/>
  <c r="AA525" i="11"/>
  <c r="Z525" i="11"/>
  <c r="Y525" i="11"/>
  <c r="X525" i="11"/>
  <c r="W525" i="11"/>
  <c r="V525" i="11"/>
  <c r="U525" i="11"/>
  <c r="T525" i="11"/>
  <c r="S525" i="11"/>
  <c r="R525" i="11"/>
  <c r="Q525" i="11"/>
  <c r="P525" i="11"/>
  <c r="O525" i="11"/>
  <c r="N525" i="11"/>
  <c r="M525" i="11"/>
  <c r="L525" i="11"/>
  <c r="K525" i="11"/>
  <c r="J525" i="11"/>
  <c r="AC1361" i="11"/>
  <c r="AB1361" i="11"/>
  <c r="AA1361" i="11"/>
  <c r="Z1361" i="11"/>
  <c r="Y1361" i="11"/>
  <c r="X1361" i="11"/>
  <c r="W1361" i="11"/>
  <c r="V1361" i="11"/>
  <c r="U1361" i="11"/>
  <c r="T1361" i="11"/>
  <c r="S1361" i="11"/>
  <c r="R1361" i="11"/>
  <c r="Q1361" i="11"/>
  <c r="P1361" i="11"/>
  <c r="O1361" i="11"/>
  <c r="N1361" i="11"/>
  <c r="M1361" i="11"/>
  <c r="L1361" i="11"/>
  <c r="K1361" i="11"/>
  <c r="J1361" i="11"/>
  <c r="AC1360" i="11"/>
  <c r="AB1360" i="11"/>
  <c r="AA1360" i="11"/>
  <c r="Z1360" i="11"/>
  <c r="Y1360" i="11"/>
  <c r="X1360" i="11"/>
  <c r="W1360" i="11"/>
  <c r="V1360" i="11"/>
  <c r="U1360" i="11"/>
  <c r="T1360" i="11"/>
  <c r="S1360" i="11"/>
  <c r="R1360" i="11"/>
  <c r="Q1360" i="11"/>
  <c r="P1360" i="11"/>
  <c r="O1360" i="11"/>
  <c r="N1360" i="11"/>
  <c r="M1360" i="11"/>
  <c r="L1360" i="11"/>
  <c r="K1360" i="11"/>
  <c r="J1360" i="11"/>
  <c r="AC971" i="11"/>
  <c r="AB971" i="11"/>
  <c r="AA971" i="11"/>
  <c r="Z971" i="11"/>
  <c r="Y971" i="11"/>
  <c r="X971" i="11"/>
  <c r="W971" i="11"/>
  <c r="V971" i="11"/>
  <c r="U971" i="11"/>
  <c r="T971" i="11"/>
  <c r="S971" i="11"/>
  <c r="R971" i="11"/>
  <c r="Q971" i="11"/>
  <c r="P971" i="11"/>
  <c r="O971" i="11"/>
  <c r="N971" i="11"/>
  <c r="M971" i="11"/>
  <c r="L971" i="11"/>
  <c r="K971" i="11"/>
  <c r="J971" i="11"/>
  <c r="AC2198" i="11"/>
  <c r="AB2198" i="11"/>
  <c r="AA2198" i="11"/>
  <c r="Z2198" i="11"/>
  <c r="Y2198" i="11"/>
  <c r="X2198" i="11"/>
  <c r="W2198" i="11"/>
  <c r="V2198" i="11"/>
  <c r="U2198" i="11"/>
  <c r="T2198" i="11"/>
  <c r="S2198" i="11"/>
  <c r="R2198" i="11"/>
  <c r="Q2198" i="11"/>
  <c r="P2198" i="11"/>
  <c r="O2198" i="11"/>
  <c r="N2198" i="11"/>
  <c r="M2198" i="11"/>
  <c r="L2198" i="11"/>
  <c r="K2198" i="11"/>
  <c r="J2198" i="11"/>
  <c r="AC2197" i="11"/>
  <c r="AB2197" i="11"/>
  <c r="AA2197" i="11"/>
  <c r="Z2197" i="11"/>
  <c r="Y2197" i="11"/>
  <c r="X2197" i="11"/>
  <c r="W2197" i="11"/>
  <c r="V2197" i="11"/>
  <c r="U2197" i="11"/>
  <c r="T2197" i="11"/>
  <c r="S2197" i="11"/>
  <c r="R2197" i="11"/>
  <c r="Q2197" i="11"/>
  <c r="P2197" i="11"/>
  <c r="O2197" i="11"/>
  <c r="N2197" i="11"/>
  <c r="M2197" i="11"/>
  <c r="L2197" i="11"/>
  <c r="K2197" i="11"/>
  <c r="J2197" i="11"/>
  <c r="AC583" i="11"/>
  <c r="AB583" i="11"/>
  <c r="AA583" i="11"/>
  <c r="Z583" i="11"/>
  <c r="Y583" i="11"/>
  <c r="X583" i="11"/>
  <c r="W583" i="11"/>
  <c r="V583" i="11"/>
  <c r="U583" i="11"/>
  <c r="T583" i="11"/>
  <c r="S583" i="11"/>
  <c r="R583" i="11"/>
  <c r="Q583" i="11"/>
  <c r="P583" i="11"/>
  <c r="O583" i="11"/>
  <c r="N583" i="11"/>
  <c r="M583" i="11"/>
  <c r="L583" i="11"/>
  <c r="K583" i="11"/>
  <c r="J583" i="11"/>
  <c r="AC970" i="11"/>
  <c r="AB970" i="11"/>
  <c r="AA970" i="11"/>
  <c r="Z970" i="11"/>
  <c r="Y970" i="11"/>
  <c r="X970" i="11"/>
  <c r="W970" i="11"/>
  <c r="V970" i="11"/>
  <c r="U970" i="11"/>
  <c r="T970" i="11"/>
  <c r="S970" i="11"/>
  <c r="R970" i="11"/>
  <c r="Q970" i="11"/>
  <c r="P970" i="11"/>
  <c r="O970" i="11"/>
  <c r="N970" i="11"/>
  <c r="M970" i="11"/>
  <c r="L970" i="11"/>
  <c r="K970" i="11"/>
  <c r="J970" i="11"/>
  <c r="AC1574" i="11"/>
  <c r="AB1574" i="11"/>
  <c r="AA1574" i="11"/>
  <c r="Z1574" i="11"/>
  <c r="Y1574" i="11"/>
  <c r="X1574" i="11"/>
  <c r="W1574" i="11"/>
  <c r="V1574" i="11"/>
  <c r="U1574" i="11"/>
  <c r="T1574" i="11"/>
  <c r="S1574" i="11"/>
  <c r="R1574" i="11"/>
  <c r="Q1574" i="11"/>
  <c r="P1574" i="11"/>
  <c r="O1574" i="11"/>
  <c r="N1574" i="11"/>
  <c r="M1574" i="11"/>
  <c r="L1574" i="11"/>
  <c r="K1574" i="11"/>
  <c r="J1574" i="11"/>
  <c r="AC203" i="11"/>
  <c r="AB203" i="11"/>
  <c r="AA203" i="11"/>
  <c r="Z203" i="11"/>
  <c r="Y203" i="11"/>
  <c r="X203" i="11"/>
  <c r="W203" i="11"/>
  <c r="V203" i="11"/>
  <c r="U203" i="11"/>
  <c r="T203" i="11"/>
  <c r="S203" i="11"/>
  <c r="R203" i="11"/>
  <c r="Q203" i="11"/>
  <c r="P203" i="11"/>
  <c r="O203" i="11"/>
  <c r="N203" i="11"/>
  <c r="M203" i="11"/>
  <c r="L203" i="11"/>
  <c r="K203" i="11"/>
  <c r="J203" i="11"/>
  <c r="AC883" i="11"/>
  <c r="AB883" i="11"/>
  <c r="AA883" i="11"/>
  <c r="Z883" i="11"/>
  <c r="Y883" i="11"/>
  <c r="X883" i="11"/>
  <c r="W883" i="11"/>
  <c r="V883" i="11"/>
  <c r="U883" i="11"/>
  <c r="T883" i="11"/>
  <c r="S883" i="11"/>
  <c r="R883" i="11"/>
  <c r="Q883" i="11"/>
  <c r="P883" i="11"/>
  <c r="O883" i="11"/>
  <c r="N883" i="11"/>
  <c r="M883" i="11"/>
  <c r="L883" i="11"/>
  <c r="K883" i="11"/>
  <c r="J883" i="11"/>
  <c r="AC2110" i="11"/>
  <c r="AB2110" i="11"/>
  <c r="AA2110" i="11"/>
  <c r="Z2110" i="11"/>
  <c r="Y2110" i="11"/>
  <c r="X2110" i="11"/>
  <c r="W2110" i="11"/>
  <c r="V2110" i="11"/>
  <c r="U2110" i="11"/>
  <c r="T2110" i="11"/>
  <c r="S2110" i="11"/>
  <c r="R2110" i="11"/>
  <c r="Q2110" i="11"/>
  <c r="P2110" i="11"/>
  <c r="O2110" i="11"/>
  <c r="N2110" i="11"/>
  <c r="M2110" i="11"/>
  <c r="L2110" i="11"/>
  <c r="K2110" i="11"/>
  <c r="J2110" i="11"/>
  <c r="AC1129" i="11"/>
  <c r="AB1129" i="11"/>
  <c r="AA1129" i="11"/>
  <c r="Z1129" i="11"/>
  <c r="Y1129" i="11"/>
  <c r="X1129" i="11"/>
  <c r="W1129" i="11"/>
  <c r="V1129" i="11"/>
  <c r="U1129" i="11"/>
  <c r="T1129" i="11"/>
  <c r="S1129" i="11"/>
  <c r="R1129" i="11"/>
  <c r="Q1129" i="11"/>
  <c r="P1129" i="11"/>
  <c r="O1129" i="11"/>
  <c r="N1129" i="11"/>
  <c r="M1129" i="11"/>
  <c r="L1129" i="11"/>
  <c r="K1129" i="11"/>
  <c r="J1129" i="11"/>
  <c r="AC524" i="11"/>
  <c r="AB524" i="11"/>
  <c r="AA524" i="11"/>
  <c r="Z524" i="11"/>
  <c r="Y524" i="11"/>
  <c r="X524" i="11"/>
  <c r="W524" i="11"/>
  <c r="V524" i="11"/>
  <c r="U524" i="11"/>
  <c r="T524" i="11"/>
  <c r="S524" i="11"/>
  <c r="R524" i="11"/>
  <c r="Q524" i="11"/>
  <c r="P524" i="11"/>
  <c r="O524" i="11"/>
  <c r="N524" i="11"/>
  <c r="M524" i="11"/>
  <c r="L524" i="11"/>
  <c r="K524" i="11"/>
  <c r="J524" i="11"/>
  <c r="AC238" i="11"/>
  <c r="AB238" i="11"/>
  <c r="AA238" i="11"/>
  <c r="Z238" i="11"/>
  <c r="Y238" i="11"/>
  <c r="X238" i="11"/>
  <c r="W238" i="11"/>
  <c r="V238" i="11"/>
  <c r="U238" i="11"/>
  <c r="T238" i="11"/>
  <c r="S238" i="11"/>
  <c r="R238" i="11"/>
  <c r="Q238" i="11"/>
  <c r="P238" i="11"/>
  <c r="O238" i="11"/>
  <c r="N238" i="11"/>
  <c r="M238" i="11"/>
  <c r="L238" i="11"/>
  <c r="K238" i="11"/>
  <c r="J238" i="11"/>
  <c r="AC1359" i="11"/>
  <c r="AB1359" i="11"/>
  <c r="AA1359" i="11"/>
  <c r="Z1359" i="11"/>
  <c r="Y1359" i="11"/>
  <c r="X1359" i="11"/>
  <c r="W1359" i="11"/>
  <c r="V1359" i="11"/>
  <c r="U1359" i="11"/>
  <c r="T1359" i="11"/>
  <c r="S1359" i="11"/>
  <c r="R1359" i="11"/>
  <c r="Q1359" i="11"/>
  <c r="P1359" i="11"/>
  <c r="O1359" i="11"/>
  <c r="N1359" i="11"/>
  <c r="M1359" i="11"/>
  <c r="L1359" i="11"/>
  <c r="K1359" i="11"/>
  <c r="J1359" i="11"/>
  <c r="AC1046" i="11"/>
  <c r="AB1046" i="11"/>
  <c r="AA1046" i="11"/>
  <c r="Z1046" i="11"/>
  <c r="Y1046" i="11"/>
  <c r="X1046" i="11"/>
  <c r="W1046" i="11"/>
  <c r="V1046" i="11"/>
  <c r="U1046" i="11"/>
  <c r="T1046" i="11"/>
  <c r="S1046" i="11"/>
  <c r="R1046" i="11"/>
  <c r="Q1046" i="11"/>
  <c r="P1046" i="11"/>
  <c r="O1046" i="11"/>
  <c r="N1046" i="11"/>
  <c r="M1046" i="11"/>
  <c r="L1046" i="11"/>
  <c r="K1046" i="11"/>
  <c r="J1046" i="11"/>
  <c r="AC168" i="11"/>
  <c r="AB168" i="11"/>
  <c r="AA168" i="11"/>
  <c r="Z168" i="11"/>
  <c r="Y168" i="11"/>
  <c r="X168" i="11"/>
  <c r="W168" i="11"/>
  <c r="V168" i="11"/>
  <c r="U168" i="11"/>
  <c r="T168" i="11"/>
  <c r="S168" i="11"/>
  <c r="R168" i="11"/>
  <c r="Q168" i="11"/>
  <c r="P168" i="11"/>
  <c r="O168" i="11"/>
  <c r="N168" i="11"/>
  <c r="M168" i="11"/>
  <c r="L168" i="11"/>
  <c r="K168" i="11"/>
  <c r="J168" i="11"/>
  <c r="AC1128" i="11"/>
  <c r="AB1128" i="11"/>
  <c r="AA1128" i="11"/>
  <c r="Z1128" i="11"/>
  <c r="Y1128" i="11"/>
  <c r="X1128" i="11"/>
  <c r="W1128" i="11"/>
  <c r="V1128" i="11"/>
  <c r="U1128" i="11"/>
  <c r="T1128" i="11"/>
  <c r="S1128" i="11"/>
  <c r="R1128" i="11"/>
  <c r="Q1128" i="11"/>
  <c r="P1128" i="11"/>
  <c r="O1128" i="11"/>
  <c r="N1128" i="11"/>
  <c r="M1128" i="11"/>
  <c r="L1128" i="11"/>
  <c r="K1128" i="11"/>
  <c r="J1128" i="11"/>
  <c r="AC1650" i="11"/>
  <c r="AB1650" i="11"/>
  <c r="AA1650" i="11"/>
  <c r="Z1650" i="11"/>
  <c r="Y1650" i="11"/>
  <c r="X1650" i="11"/>
  <c r="W1650" i="11"/>
  <c r="V1650" i="11"/>
  <c r="U1650" i="11"/>
  <c r="T1650" i="11"/>
  <c r="S1650" i="11"/>
  <c r="R1650" i="11"/>
  <c r="Q1650" i="11"/>
  <c r="P1650" i="11"/>
  <c r="O1650" i="11"/>
  <c r="N1650" i="11"/>
  <c r="M1650" i="11"/>
  <c r="L1650" i="11"/>
  <c r="K1650" i="11"/>
  <c r="J1650" i="11"/>
  <c r="AC1045" i="11"/>
  <c r="AB1045" i="11"/>
  <c r="AA1045" i="11"/>
  <c r="Z1045" i="11"/>
  <c r="Y1045" i="11"/>
  <c r="X1045" i="11"/>
  <c r="W1045" i="11"/>
  <c r="V1045" i="11"/>
  <c r="U1045" i="11"/>
  <c r="T1045" i="11"/>
  <c r="S1045" i="11"/>
  <c r="R1045" i="11"/>
  <c r="Q1045" i="11"/>
  <c r="P1045" i="11"/>
  <c r="O1045" i="11"/>
  <c r="N1045" i="11"/>
  <c r="M1045" i="11"/>
  <c r="L1045" i="11"/>
  <c r="K1045" i="11"/>
  <c r="J1045" i="11"/>
  <c r="AC1264" i="11"/>
  <c r="AB1264" i="11"/>
  <c r="AA1264" i="11"/>
  <c r="Z1264" i="11"/>
  <c r="Y1264" i="11"/>
  <c r="X1264" i="11"/>
  <c r="W1264" i="11"/>
  <c r="V1264" i="11"/>
  <c r="U1264" i="11"/>
  <c r="T1264" i="11"/>
  <c r="S1264" i="11"/>
  <c r="R1264" i="11"/>
  <c r="Q1264" i="11"/>
  <c r="P1264" i="11"/>
  <c r="O1264" i="11"/>
  <c r="N1264" i="11"/>
  <c r="M1264" i="11"/>
  <c r="L1264" i="11"/>
  <c r="K1264" i="11"/>
  <c r="J1264" i="11"/>
  <c r="AC1700" i="11"/>
  <c r="AB1700" i="11"/>
  <c r="AA1700" i="11"/>
  <c r="Z1700" i="11"/>
  <c r="Y1700" i="11"/>
  <c r="X1700" i="11"/>
  <c r="W1700" i="11"/>
  <c r="V1700" i="11"/>
  <c r="U1700" i="11"/>
  <c r="T1700" i="11"/>
  <c r="S1700" i="11"/>
  <c r="R1700" i="11"/>
  <c r="Q1700" i="11"/>
  <c r="P1700" i="11"/>
  <c r="O1700" i="11"/>
  <c r="N1700" i="11"/>
  <c r="M1700" i="11"/>
  <c r="L1700" i="11"/>
  <c r="K1700" i="11"/>
  <c r="J1700" i="11"/>
  <c r="AC76" i="11"/>
  <c r="AB76" i="11"/>
  <c r="AA76" i="11"/>
  <c r="Z76" i="11"/>
  <c r="Y76" i="11"/>
  <c r="X76" i="11"/>
  <c r="W76" i="11"/>
  <c r="V76" i="11"/>
  <c r="U76" i="11"/>
  <c r="T76" i="11"/>
  <c r="S76" i="11"/>
  <c r="R76" i="11"/>
  <c r="Q76" i="11"/>
  <c r="P76" i="11"/>
  <c r="O76" i="11"/>
  <c r="N76" i="11"/>
  <c r="M76" i="11"/>
  <c r="L76" i="11"/>
  <c r="K76" i="11"/>
  <c r="J76" i="11"/>
  <c r="AC1212" i="11"/>
  <c r="AB1212" i="11"/>
  <c r="AA1212" i="11"/>
  <c r="Z1212" i="11"/>
  <c r="Y1212" i="11"/>
  <c r="X1212" i="11"/>
  <c r="W1212" i="11"/>
  <c r="V1212" i="11"/>
  <c r="U1212" i="11"/>
  <c r="T1212" i="11"/>
  <c r="S1212" i="11"/>
  <c r="R1212" i="11"/>
  <c r="Q1212" i="11"/>
  <c r="P1212" i="11"/>
  <c r="O1212" i="11"/>
  <c r="N1212" i="11"/>
  <c r="M1212" i="11"/>
  <c r="L1212" i="11"/>
  <c r="K1212" i="11"/>
  <c r="J1212" i="11"/>
  <c r="AC1211" i="11"/>
  <c r="AB1211" i="11"/>
  <c r="AA1211" i="11"/>
  <c r="Z1211" i="11"/>
  <c r="Y1211" i="11"/>
  <c r="X1211" i="11"/>
  <c r="W1211" i="11"/>
  <c r="V1211" i="11"/>
  <c r="U1211" i="11"/>
  <c r="T1211" i="11"/>
  <c r="S1211" i="11"/>
  <c r="R1211" i="11"/>
  <c r="Q1211" i="11"/>
  <c r="P1211" i="11"/>
  <c r="O1211" i="11"/>
  <c r="N1211" i="11"/>
  <c r="M1211" i="11"/>
  <c r="L1211" i="11"/>
  <c r="K1211" i="11"/>
  <c r="J1211" i="11"/>
  <c r="AC820" i="11"/>
  <c r="AB820" i="11"/>
  <c r="AA820" i="11"/>
  <c r="Z820" i="11"/>
  <c r="Y820" i="11"/>
  <c r="X820" i="11"/>
  <c r="W820" i="11"/>
  <c r="V820" i="11"/>
  <c r="U820" i="11"/>
  <c r="T820" i="11"/>
  <c r="S820" i="11"/>
  <c r="R820" i="11"/>
  <c r="Q820" i="11"/>
  <c r="P820" i="11"/>
  <c r="O820" i="11"/>
  <c r="N820" i="11"/>
  <c r="M820" i="11"/>
  <c r="L820" i="11"/>
  <c r="K820" i="11"/>
  <c r="J820" i="11"/>
  <c r="AC523" i="11"/>
  <c r="AB523" i="11"/>
  <c r="AA523" i="11"/>
  <c r="Z523" i="11"/>
  <c r="Y523" i="11"/>
  <c r="X523" i="11"/>
  <c r="W523" i="11"/>
  <c r="V523" i="11"/>
  <c r="U523" i="11"/>
  <c r="T523" i="11"/>
  <c r="S523" i="11"/>
  <c r="R523" i="11"/>
  <c r="Q523" i="11"/>
  <c r="P523" i="11"/>
  <c r="O523" i="11"/>
  <c r="N523" i="11"/>
  <c r="M523" i="11"/>
  <c r="L523" i="11"/>
  <c r="K523" i="11"/>
  <c r="J523" i="11"/>
  <c r="AC1263" i="11"/>
  <c r="AB1263" i="11"/>
  <c r="AA1263" i="11"/>
  <c r="Z1263" i="11"/>
  <c r="Y1263" i="11"/>
  <c r="X1263" i="11"/>
  <c r="W1263" i="11"/>
  <c r="V1263" i="11"/>
  <c r="U1263" i="11"/>
  <c r="T1263" i="11"/>
  <c r="S1263" i="11"/>
  <c r="R1263" i="11"/>
  <c r="Q1263" i="11"/>
  <c r="P1263" i="11"/>
  <c r="O1263" i="11"/>
  <c r="N1263" i="11"/>
  <c r="M1263" i="11"/>
  <c r="L1263" i="11"/>
  <c r="K1263" i="11"/>
  <c r="J1263" i="11"/>
  <c r="AC1906" i="11"/>
  <c r="AB1906" i="11"/>
  <c r="AA1906" i="11"/>
  <c r="Z1906" i="11"/>
  <c r="Y1906" i="11"/>
  <c r="X1906" i="11"/>
  <c r="W1906" i="11"/>
  <c r="V1906" i="11"/>
  <c r="U1906" i="11"/>
  <c r="T1906" i="11"/>
  <c r="S1906" i="11"/>
  <c r="R1906" i="11"/>
  <c r="Q1906" i="11"/>
  <c r="P1906" i="11"/>
  <c r="O1906" i="11"/>
  <c r="N1906" i="11"/>
  <c r="M1906" i="11"/>
  <c r="L1906" i="11"/>
  <c r="K1906" i="11"/>
  <c r="J1906" i="11"/>
  <c r="AC1905" i="11"/>
  <c r="AB1905" i="11"/>
  <c r="AA1905" i="11"/>
  <c r="Z1905" i="11"/>
  <c r="Y1905" i="11"/>
  <c r="X1905" i="11"/>
  <c r="W1905" i="11"/>
  <c r="V1905" i="11"/>
  <c r="U1905" i="11"/>
  <c r="T1905" i="11"/>
  <c r="S1905" i="11"/>
  <c r="R1905" i="11"/>
  <c r="Q1905" i="11"/>
  <c r="P1905" i="11"/>
  <c r="O1905" i="11"/>
  <c r="N1905" i="11"/>
  <c r="M1905" i="11"/>
  <c r="L1905" i="11"/>
  <c r="K1905" i="11"/>
  <c r="J1905" i="11"/>
  <c r="AC167" i="11"/>
  <c r="AB167" i="11"/>
  <c r="AA167" i="11"/>
  <c r="Z167" i="11"/>
  <c r="Y167" i="11"/>
  <c r="X167" i="11"/>
  <c r="W167" i="11"/>
  <c r="V167" i="11"/>
  <c r="U167" i="11"/>
  <c r="T167" i="11"/>
  <c r="S167" i="11"/>
  <c r="R167" i="11"/>
  <c r="Q167" i="11"/>
  <c r="P167" i="11"/>
  <c r="O167" i="11"/>
  <c r="N167" i="11"/>
  <c r="M167" i="11"/>
  <c r="L167" i="11"/>
  <c r="K167" i="11"/>
  <c r="J167" i="11"/>
  <c r="AC331" i="11"/>
  <c r="AB331" i="11"/>
  <c r="AA331" i="11"/>
  <c r="Z331" i="11"/>
  <c r="Y331" i="11"/>
  <c r="X331" i="11"/>
  <c r="W331" i="11"/>
  <c r="V331" i="11"/>
  <c r="U331" i="11"/>
  <c r="T331" i="11"/>
  <c r="S331" i="11"/>
  <c r="R331" i="11"/>
  <c r="Q331" i="11"/>
  <c r="P331" i="11"/>
  <c r="O331" i="11"/>
  <c r="N331" i="11"/>
  <c r="M331" i="11"/>
  <c r="L331" i="11"/>
  <c r="K331" i="11"/>
  <c r="J331" i="11"/>
  <c r="AC368" i="11"/>
  <c r="AB368" i="11"/>
  <c r="AA368" i="11"/>
  <c r="Z368" i="11"/>
  <c r="Y368" i="11"/>
  <c r="X368" i="11"/>
  <c r="W368" i="11"/>
  <c r="V368" i="11"/>
  <c r="U368" i="11"/>
  <c r="T368" i="11"/>
  <c r="S368" i="11"/>
  <c r="R368" i="11"/>
  <c r="Q368" i="11"/>
  <c r="P368" i="11"/>
  <c r="O368" i="11"/>
  <c r="N368" i="11"/>
  <c r="M368" i="11"/>
  <c r="L368" i="11"/>
  <c r="K368" i="11"/>
  <c r="J368" i="11"/>
  <c r="AC522" i="11"/>
  <c r="AB522" i="11"/>
  <c r="AA522" i="11"/>
  <c r="Z522" i="11"/>
  <c r="Y522" i="11"/>
  <c r="X522" i="11"/>
  <c r="W522" i="11"/>
  <c r="V522" i="11"/>
  <c r="U522" i="11"/>
  <c r="T522" i="11"/>
  <c r="S522" i="11"/>
  <c r="R522" i="11"/>
  <c r="Q522" i="11"/>
  <c r="P522" i="11"/>
  <c r="O522" i="11"/>
  <c r="N522" i="11"/>
  <c r="M522" i="11"/>
  <c r="L522" i="11"/>
  <c r="K522" i="11"/>
  <c r="J522" i="11"/>
  <c r="AC882" i="11"/>
  <c r="AB882" i="11"/>
  <c r="AA882" i="11"/>
  <c r="Z882" i="11"/>
  <c r="Y882" i="11"/>
  <c r="X882" i="11"/>
  <c r="W882" i="11"/>
  <c r="V882" i="11"/>
  <c r="U882" i="11"/>
  <c r="T882" i="11"/>
  <c r="S882" i="11"/>
  <c r="R882" i="11"/>
  <c r="Q882" i="11"/>
  <c r="P882" i="11"/>
  <c r="O882" i="11"/>
  <c r="N882" i="11"/>
  <c r="M882" i="11"/>
  <c r="L882" i="11"/>
  <c r="K882" i="11"/>
  <c r="J882" i="11"/>
  <c r="AC969" i="11"/>
  <c r="AB969" i="11"/>
  <c r="AA969" i="11"/>
  <c r="Z969" i="11"/>
  <c r="Y969" i="11"/>
  <c r="X969" i="11"/>
  <c r="W969" i="11"/>
  <c r="V969" i="11"/>
  <c r="U969" i="11"/>
  <c r="T969" i="11"/>
  <c r="S969" i="11"/>
  <c r="R969" i="11"/>
  <c r="Q969" i="11"/>
  <c r="P969" i="11"/>
  <c r="O969" i="11"/>
  <c r="N969" i="11"/>
  <c r="M969" i="11"/>
  <c r="L969" i="11"/>
  <c r="K969" i="11"/>
  <c r="J969" i="11"/>
  <c r="AC968" i="11"/>
  <c r="AB968" i="11"/>
  <c r="AA968" i="11"/>
  <c r="Z968" i="11"/>
  <c r="Y968" i="11"/>
  <c r="X968" i="11"/>
  <c r="W968" i="11"/>
  <c r="V968" i="11"/>
  <c r="U968" i="11"/>
  <c r="T968" i="11"/>
  <c r="S968" i="11"/>
  <c r="R968" i="11"/>
  <c r="Q968" i="11"/>
  <c r="P968" i="11"/>
  <c r="O968" i="11"/>
  <c r="N968" i="11"/>
  <c r="M968" i="11"/>
  <c r="L968" i="11"/>
  <c r="K968" i="11"/>
  <c r="J968" i="11"/>
  <c r="AC1044" i="11"/>
  <c r="AB1044" i="11"/>
  <c r="AA1044" i="11"/>
  <c r="Z1044" i="11"/>
  <c r="Y1044" i="11"/>
  <c r="X1044" i="11"/>
  <c r="W1044" i="11"/>
  <c r="V1044" i="11"/>
  <c r="U1044" i="11"/>
  <c r="T1044" i="11"/>
  <c r="S1044" i="11"/>
  <c r="R1044" i="11"/>
  <c r="Q1044" i="11"/>
  <c r="P1044" i="11"/>
  <c r="O1044" i="11"/>
  <c r="N1044" i="11"/>
  <c r="M1044" i="11"/>
  <c r="L1044" i="11"/>
  <c r="K1044" i="11"/>
  <c r="J1044" i="11"/>
  <c r="AC521" i="11"/>
  <c r="AB521" i="11"/>
  <c r="AA521" i="11"/>
  <c r="Z521" i="11"/>
  <c r="Y521" i="11"/>
  <c r="X521" i="11"/>
  <c r="W521" i="11"/>
  <c r="V521" i="11"/>
  <c r="U521" i="11"/>
  <c r="T521" i="11"/>
  <c r="S521" i="11"/>
  <c r="R521" i="11"/>
  <c r="Q521" i="11"/>
  <c r="P521" i="11"/>
  <c r="O521" i="11"/>
  <c r="N521" i="11"/>
  <c r="M521" i="11"/>
  <c r="L521" i="11"/>
  <c r="K521" i="11"/>
  <c r="J521" i="11"/>
  <c r="AC1520" i="11"/>
  <c r="AB1520" i="11"/>
  <c r="AA1520" i="11"/>
  <c r="Z1520" i="11"/>
  <c r="Y1520" i="11"/>
  <c r="X1520" i="11"/>
  <c r="W1520" i="11"/>
  <c r="V1520" i="11"/>
  <c r="U1520" i="11"/>
  <c r="T1520" i="11"/>
  <c r="S1520" i="11"/>
  <c r="R1520" i="11"/>
  <c r="Q1520" i="11"/>
  <c r="P1520" i="11"/>
  <c r="O1520" i="11"/>
  <c r="N1520" i="11"/>
  <c r="M1520" i="11"/>
  <c r="L1520" i="11"/>
  <c r="K1520" i="11"/>
  <c r="J1520" i="11"/>
  <c r="AC1519" i="11"/>
  <c r="AB1519" i="11"/>
  <c r="AA1519" i="11"/>
  <c r="Z1519" i="11"/>
  <c r="Y1519" i="11"/>
  <c r="X1519" i="11"/>
  <c r="W1519" i="11"/>
  <c r="V1519" i="11"/>
  <c r="U1519" i="11"/>
  <c r="T1519" i="11"/>
  <c r="S1519" i="11"/>
  <c r="R1519" i="11"/>
  <c r="Q1519" i="11"/>
  <c r="P1519" i="11"/>
  <c r="O1519" i="11"/>
  <c r="N1519" i="11"/>
  <c r="M1519" i="11"/>
  <c r="L1519" i="11"/>
  <c r="K1519" i="11"/>
  <c r="J1519" i="11"/>
  <c r="AC520" i="11"/>
  <c r="AB520" i="11"/>
  <c r="AA520" i="11"/>
  <c r="Z520" i="11"/>
  <c r="Y520" i="11"/>
  <c r="X520" i="11"/>
  <c r="W520" i="11"/>
  <c r="V520" i="11"/>
  <c r="U520" i="11"/>
  <c r="T520" i="11"/>
  <c r="S520" i="11"/>
  <c r="R520" i="11"/>
  <c r="Q520" i="11"/>
  <c r="P520" i="11"/>
  <c r="O520" i="11"/>
  <c r="N520" i="11"/>
  <c r="M520" i="11"/>
  <c r="L520" i="11"/>
  <c r="K520" i="11"/>
  <c r="J520" i="11"/>
  <c r="AC237" i="11"/>
  <c r="AB237" i="11"/>
  <c r="AA237" i="11"/>
  <c r="Z237" i="11"/>
  <c r="Y237" i="11"/>
  <c r="X237" i="11"/>
  <c r="W237" i="11"/>
  <c r="V237" i="11"/>
  <c r="U237" i="11"/>
  <c r="T237" i="11"/>
  <c r="S237" i="11"/>
  <c r="R237" i="11"/>
  <c r="Q237" i="11"/>
  <c r="P237" i="11"/>
  <c r="O237" i="11"/>
  <c r="N237" i="11"/>
  <c r="M237" i="11"/>
  <c r="L237" i="11"/>
  <c r="K237" i="11"/>
  <c r="J237" i="11"/>
  <c r="AC75" i="11"/>
  <c r="AB75" i="11"/>
  <c r="AA75" i="11"/>
  <c r="Z75" i="11"/>
  <c r="Y75" i="11"/>
  <c r="X75" i="11"/>
  <c r="W75" i="11"/>
  <c r="V75" i="11"/>
  <c r="U75" i="11"/>
  <c r="T75" i="11"/>
  <c r="S75" i="11"/>
  <c r="R75" i="11"/>
  <c r="Q75" i="11"/>
  <c r="P75" i="11"/>
  <c r="O75" i="11"/>
  <c r="N75" i="11"/>
  <c r="M75" i="11"/>
  <c r="L75" i="11"/>
  <c r="K75" i="11"/>
  <c r="J75" i="11"/>
  <c r="AC519" i="11"/>
  <c r="AB519" i="11"/>
  <c r="AA519" i="11"/>
  <c r="Z519" i="11"/>
  <c r="Y519" i="11"/>
  <c r="X519" i="11"/>
  <c r="W519" i="11"/>
  <c r="V519" i="11"/>
  <c r="U519" i="11"/>
  <c r="T519" i="11"/>
  <c r="S519" i="11"/>
  <c r="R519" i="11"/>
  <c r="Q519" i="11"/>
  <c r="P519" i="11"/>
  <c r="O519" i="11"/>
  <c r="N519" i="11"/>
  <c r="M519" i="11"/>
  <c r="L519" i="11"/>
  <c r="K519" i="11"/>
  <c r="J519" i="11"/>
  <c r="AC1904" i="11"/>
  <c r="AB1904" i="11"/>
  <c r="AA1904" i="11"/>
  <c r="Z1904" i="11"/>
  <c r="Y1904" i="11"/>
  <c r="X1904" i="11"/>
  <c r="W1904" i="11"/>
  <c r="V1904" i="11"/>
  <c r="U1904" i="11"/>
  <c r="T1904" i="11"/>
  <c r="S1904" i="11"/>
  <c r="R1904" i="11"/>
  <c r="Q1904" i="11"/>
  <c r="P1904" i="11"/>
  <c r="O1904" i="11"/>
  <c r="N1904" i="11"/>
  <c r="M1904" i="11"/>
  <c r="L1904" i="11"/>
  <c r="K1904" i="11"/>
  <c r="J1904" i="11"/>
  <c r="AC1755" i="11"/>
  <c r="AB1755" i="11"/>
  <c r="AA1755" i="11"/>
  <c r="Z1755" i="11"/>
  <c r="Y1755" i="11"/>
  <c r="X1755" i="11"/>
  <c r="W1755" i="11"/>
  <c r="V1755" i="11"/>
  <c r="U1755" i="11"/>
  <c r="T1755" i="11"/>
  <c r="S1755" i="11"/>
  <c r="R1755" i="11"/>
  <c r="Q1755" i="11"/>
  <c r="P1755" i="11"/>
  <c r="O1755" i="11"/>
  <c r="N1755" i="11"/>
  <c r="M1755" i="11"/>
  <c r="L1755" i="11"/>
  <c r="K1755" i="11"/>
  <c r="J1755" i="11"/>
  <c r="AC967" i="11"/>
  <c r="AB967" i="11"/>
  <c r="AA967" i="11"/>
  <c r="Z967" i="11"/>
  <c r="Y967" i="11"/>
  <c r="X967" i="11"/>
  <c r="W967" i="11"/>
  <c r="V967" i="11"/>
  <c r="U967" i="11"/>
  <c r="T967" i="11"/>
  <c r="S967" i="11"/>
  <c r="R967" i="11"/>
  <c r="Q967" i="11"/>
  <c r="P967" i="11"/>
  <c r="O967" i="11"/>
  <c r="N967" i="11"/>
  <c r="M967" i="11"/>
  <c r="L967" i="11"/>
  <c r="K967" i="11"/>
  <c r="J967" i="11"/>
  <c r="AC2141" i="11"/>
  <c r="AB2141" i="11"/>
  <c r="AA2141" i="11"/>
  <c r="Z2141" i="11"/>
  <c r="Y2141" i="11"/>
  <c r="X2141" i="11"/>
  <c r="W2141" i="11"/>
  <c r="V2141" i="11"/>
  <c r="U2141" i="11"/>
  <c r="T2141" i="11"/>
  <c r="S2141" i="11"/>
  <c r="R2141" i="11"/>
  <c r="Q2141" i="11"/>
  <c r="P2141" i="11"/>
  <c r="O2141" i="11"/>
  <c r="N2141" i="11"/>
  <c r="M2141" i="11"/>
  <c r="L2141" i="11"/>
  <c r="K2141" i="11"/>
  <c r="J2141" i="11"/>
  <c r="AC1699" i="11"/>
  <c r="AB1699" i="11"/>
  <c r="AA1699" i="11"/>
  <c r="Z1699" i="11"/>
  <c r="Y1699" i="11"/>
  <c r="X1699" i="11"/>
  <c r="W1699" i="11"/>
  <c r="V1699" i="11"/>
  <c r="U1699" i="11"/>
  <c r="T1699" i="11"/>
  <c r="S1699" i="11"/>
  <c r="R1699" i="11"/>
  <c r="Q1699" i="11"/>
  <c r="P1699" i="11"/>
  <c r="O1699" i="11"/>
  <c r="N1699" i="11"/>
  <c r="M1699" i="11"/>
  <c r="L1699" i="11"/>
  <c r="K1699" i="11"/>
  <c r="J1699" i="11"/>
  <c r="AC1127" i="11"/>
  <c r="AB1127" i="11"/>
  <c r="AA1127" i="11"/>
  <c r="Z1127" i="11"/>
  <c r="Y1127" i="11"/>
  <c r="X1127" i="11"/>
  <c r="W1127" i="11"/>
  <c r="V1127" i="11"/>
  <c r="U1127" i="11"/>
  <c r="T1127" i="11"/>
  <c r="S1127" i="11"/>
  <c r="R1127" i="11"/>
  <c r="Q1127" i="11"/>
  <c r="P1127" i="11"/>
  <c r="O1127" i="11"/>
  <c r="N1127" i="11"/>
  <c r="M1127" i="11"/>
  <c r="L1127" i="11"/>
  <c r="K1127" i="11"/>
  <c r="J1127" i="11"/>
  <c r="AC108" i="11"/>
  <c r="AB108" i="11"/>
  <c r="AA108" i="11"/>
  <c r="Z108" i="11"/>
  <c r="Y108" i="11"/>
  <c r="X108" i="11"/>
  <c r="W108" i="11"/>
  <c r="V108" i="11"/>
  <c r="U108" i="11"/>
  <c r="T108" i="11"/>
  <c r="S108" i="11"/>
  <c r="R108" i="11"/>
  <c r="Q108" i="11"/>
  <c r="P108" i="11"/>
  <c r="O108" i="11"/>
  <c r="N108" i="11"/>
  <c r="M108" i="11"/>
  <c r="L108" i="11"/>
  <c r="K108" i="11"/>
  <c r="J108" i="11"/>
  <c r="AC966" i="11"/>
  <c r="AB966" i="11"/>
  <c r="AA966" i="11"/>
  <c r="Z966" i="11"/>
  <c r="Y966" i="11"/>
  <c r="X966" i="11"/>
  <c r="W966" i="11"/>
  <c r="V966" i="11"/>
  <c r="U966" i="11"/>
  <c r="T966" i="11"/>
  <c r="S966" i="11"/>
  <c r="R966" i="11"/>
  <c r="Q966" i="11"/>
  <c r="P966" i="11"/>
  <c r="O966" i="11"/>
  <c r="N966" i="11"/>
  <c r="M966" i="11"/>
  <c r="L966" i="11"/>
  <c r="K966" i="11"/>
  <c r="J966" i="11"/>
  <c r="AC1903" i="11"/>
  <c r="AB1903" i="11"/>
  <c r="AA1903" i="11"/>
  <c r="Z1903" i="11"/>
  <c r="Y1903" i="11"/>
  <c r="X1903" i="11"/>
  <c r="W1903" i="11"/>
  <c r="V1903" i="11"/>
  <c r="U1903" i="11"/>
  <c r="T1903" i="11"/>
  <c r="S1903" i="11"/>
  <c r="R1903" i="11"/>
  <c r="Q1903" i="11"/>
  <c r="P1903" i="11"/>
  <c r="O1903" i="11"/>
  <c r="N1903" i="11"/>
  <c r="M1903" i="11"/>
  <c r="L1903" i="11"/>
  <c r="K1903" i="11"/>
  <c r="J1903" i="11"/>
  <c r="AC1902" i="11"/>
  <c r="AB1902" i="11"/>
  <c r="AA1902" i="11"/>
  <c r="Z1902" i="11"/>
  <c r="Y1902" i="11"/>
  <c r="X1902" i="11"/>
  <c r="W1902" i="11"/>
  <c r="V1902" i="11"/>
  <c r="U1902" i="11"/>
  <c r="T1902" i="11"/>
  <c r="S1902" i="11"/>
  <c r="R1902" i="11"/>
  <c r="Q1902" i="11"/>
  <c r="P1902" i="11"/>
  <c r="O1902" i="11"/>
  <c r="N1902" i="11"/>
  <c r="M1902" i="11"/>
  <c r="L1902" i="11"/>
  <c r="K1902" i="11"/>
  <c r="J1902" i="11"/>
  <c r="AC881" i="11"/>
  <c r="AB881" i="11"/>
  <c r="AA881" i="11"/>
  <c r="Z881" i="11"/>
  <c r="Y881" i="11"/>
  <c r="X881" i="11"/>
  <c r="W881" i="11"/>
  <c r="V881" i="11"/>
  <c r="U881" i="11"/>
  <c r="T881" i="11"/>
  <c r="S881" i="11"/>
  <c r="R881" i="11"/>
  <c r="Q881" i="11"/>
  <c r="P881" i="11"/>
  <c r="O881" i="11"/>
  <c r="N881" i="11"/>
  <c r="M881" i="11"/>
  <c r="L881" i="11"/>
  <c r="K881" i="11"/>
  <c r="J881" i="11"/>
  <c r="AC965" i="11"/>
  <c r="AB965" i="11"/>
  <c r="AA965" i="11"/>
  <c r="Z965" i="11"/>
  <c r="Y965" i="11"/>
  <c r="X965" i="11"/>
  <c r="W965" i="11"/>
  <c r="V965" i="11"/>
  <c r="U965" i="11"/>
  <c r="T965" i="11"/>
  <c r="S965" i="11"/>
  <c r="R965" i="11"/>
  <c r="Q965" i="11"/>
  <c r="P965" i="11"/>
  <c r="O965" i="11"/>
  <c r="N965" i="11"/>
  <c r="M965" i="11"/>
  <c r="L965" i="11"/>
  <c r="K965" i="11"/>
  <c r="J965" i="11"/>
  <c r="AC1951" i="11"/>
  <c r="AB1951" i="11"/>
  <c r="AA1951" i="11"/>
  <c r="Z1951" i="11"/>
  <c r="Y1951" i="11"/>
  <c r="X1951" i="11"/>
  <c r="W1951" i="11"/>
  <c r="V1951" i="11"/>
  <c r="U1951" i="11"/>
  <c r="T1951" i="11"/>
  <c r="S1951" i="11"/>
  <c r="R1951" i="11"/>
  <c r="Q1951" i="11"/>
  <c r="P1951" i="11"/>
  <c r="O1951" i="11"/>
  <c r="N1951" i="11"/>
  <c r="M1951" i="11"/>
  <c r="L1951" i="11"/>
  <c r="K1951" i="11"/>
  <c r="J1951" i="11"/>
  <c r="AC1950" i="11"/>
  <c r="AB1950" i="11"/>
  <c r="AA1950" i="11"/>
  <c r="Z1950" i="11"/>
  <c r="Y1950" i="11"/>
  <c r="X1950" i="11"/>
  <c r="W1950" i="11"/>
  <c r="V1950" i="11"/>
  <c r="U1950" i="11"/>
  <c r="T1950" i="11"/>
  <c r="S1950" i="11"/>
  <c r="R1950" i="11"/>
  <c r="Q1950" i="11"/>
  <c r="P1950" i="11"/>
  <c r="O1950" i="11"/>
  <c r="N1950" i="11"/>
  <c r="M1950" i="11"/>
  <c r="L1950" i="11"/>
  <c r="K1950" i="11"/>
  <c r="J1950" i="11"/>
  <c r="AC281" i="11"/>
  <c r="AB281" i="11"/>
  <c r="AA281" i="11"/>
  <c r="Z281" i="11"/>
  <c r="Y281" i="11"/>
  <c r="X281" i="11"/>
  <c r="W281" i="11"/>
  <c r="V281" i="11"/>
  <c r="U281" i="11"/>
  <c r="T281" i="11"/>
  <c r="S281" i="11"/>
  <c r="R281" i="11"/>
  <c r="Q281" i="11"/>
  <c r="P281" i="11"/>
  <c r="O281" i="11"/>
  <c r="N281" i="11"/>
  <c r="M281" i="11"/>
  <c r="L281" i="11"/>
  <c r="K281" i="11"/>
  <c r="J281" i="11"/>
  <c r="AC166" i="11"/>
  <c r="AB166" i="11"/>
  <c r="AA166" i="11"/>
  <c r="Z166" i="11"/>
  <c r="Y166" i="11"/>
  <c r="X166" i="11"/>
  <c r="W166" i="11"/>
  <c r="V166" i="11"/>
  <c r="U166" i="11"/>
  <c r="T166" i="11"/>
  <c r="S166" i="11"/>
  <c r="R166" i="11"/>
  <c r="Q166" i="11"/>
  <c r="P166" i="11"/>
  <c r="O166" i="11"/>
  <c r="N166" i="11"/>
  <c r="M166" i="11"/>
  <c r="L166" i="11"/>
  <c r="K166" i="11"/>
  <c r="J166" i="11"/>
  <c r="AC819" i="11"/>
  <c r="AB819" i="11"/>
  <c r="AA819" i="11"/>
  <c r="Z819" i="11"/>
  <c r="Y819" i="11"/>
  <c r="X819" i="11"/>
  <c r="W819" i="11"/>
  <c r="V819" i="11"/>
  <c r="U819" i="11"/>
  <c r="T819" i="11"/>
  <c r="S819" i="11"/>
  <c r="R819" i="11"/>
  <c r="Q819" i="11"/>
  <c r="P819" i="11"/>
  <c r="O819" i="11"/>
  <c r="N819" i="11"/>
  <c r="M819" i="11"/>
  <c r="L819" i="11"/>
  <c r="K819" i="11"/>
  <c r="J819" i="11"/>
  <c r="AC1649" i="11"/>
  <c r="AB1649" i="11"/>
  <c r="AA1649" i="11"/>
  <c r="Z1649" i="11"/>
  <c r="Y1649" i="11"/>
  <c r="X1649" i="11"/>
  <c r="W1649" i="11"/>
  <c r="V1649" i="11"/>
  <c r="U1649" i="11"/>
  <c r="T1649" i="11"/>
  <c r="S1649" i="11"/>
  <c r="R1649" i="11"/>
  <c r="Q1649" i="11"/>
  <c r="P1649" i="11"/>
  <c r="O1649" i="11"/>
  <c r="N1649" i="11"/>
  <c r="M1649" i="11"/>
  <c r="L1649" i="11"/>
  <c r="K1649" i="11"/>
  <c r="J1649" i="11"/>
  <c r="AC654" i="11"/>
  <c r="AB654" i="11"/>
  <c r="AA654" i="11"/>
  <c r="Z654" i="11"/>
  <c r="Y654" i="11"/>
  <c r="X654" i="11"/>
  <c r="W654" i="11"/>
  <c r="V654" i="11"/>
  <c r="U654" i="11"/>
  <c r="T654" i="11"/>
  <c r="S654" i="11"/>
  <c r="R654" i="11"/>
  <c r="Q654" i="11"/>
  <c r="P654" i="11"/>
  <c r="O654" i="11"/>
  <c r="N654" i="11"/>
  <c r="M654" i="11"/>
  <c r="L654" i="11"/>
  <c r="K654" i="11"/>
  <c r="J654" i="11"/>
  <c r="AC880" i="11"/>
  <c r="AB880" i="11"/>
  <c r="AA880" i="11"/>
  <c r="Z880" i="11"/>
  <c r="Y880" i="11"/>
  <c r="X880" i="11"/>
  <c r="W880" i="11"/>
  <c r="V880" i="11"/>
  <c r="U880" i="11"/>
  <c r="T880" i="11"/>
  <c r="S880" i="11"/>
  <c r="R880" i="11"/>
  <c r="Q880" i="11"/>
  <c r="P880" i="11"/>
  <c r="O880" i="11"/>
  <c r="N880" i="11"/>
  <c r="M880" i="11"/>
  <c r="L880" i="11"/>
  <c r="K880" i="11"/>
  <c r="J880" i="11"/>
  <c r="AC280" i="11"/>
  <c r="AB280" i="11"/>
  <c r="AA280" i="11"/>
  <c r="Z280" i="11"/>
  <c r="Y280" i="11"/>
  <c r="X280" i="11"/>
  <c r="W280" i="11"/>
  <c r="V280" i="11"/>
  <c r="U280" i="11"/>
  <c r="T280" i="11"/>
  <c r="S280" i="11"/>
  <c r="R280" i="11"/>
  <c r="Q280" i="11"/>
  <c r="P280" i="11"/>
  <c r="O280" i="11"/>
  <c r="N280" i="11"/>
  <c r="M280" i="11"/>
  <c r="L280" i="11"/>
  <c r="K280" i="11"/>
  <c r="J280" i="11"/>
  <c r="AC1518" i="11"/>
  <c r="AB1518" i="11"/>
  <c r="AA1518" i="11"/>
  <c r="Z1518" i="11"/>
  <c r="Y1518" i="11"/>
  <c r="X1518" i="11"/>
  <c r="W1518" i="11"/>
  <c r="V1518" i="11"/>
  <c r="U1518" i="11"/>
  <c r="T1518" i="11"/>
  <c r="S1518" i="11"/>
  <c r="R1518" i="11"/>
  <c r="Q1518" i="11"/>
  <c r="P1518" i="11"/>
  <c r="O1518" i="11"/>
  <c r="N1518" i="11"/>
  <c r="M1518" i="11"/>
  <c r="L1518" i="11"/>
  <c r="K1518" i="11"/>
  <c r="J1518" i="11"/>
  <c r="AC1573" i="11"/>
  <c r="AB1573" i="11"/>
  <c r="AA1573" i="11"/>
  <c r="Z1573" i="11"/>
  <c r="Y1573" i="11"/>
  <c r="X1573" i="11"/>
  <c r="W1573" i="11"/>
  <c r="V1573" i="11"/>
  <c r="U1573" i="11"/>
  <c r="T1573" i="11"/>
  <c r="S1573" i="11"/>
  <c r="R1573" i="11"/>
  <c r="Q1573" i="11"/>
  <c r="P1573" i="11"/>
  <c r="O1573" i="11"/>
  <c r="N1573" i="11"/>
  <c r="M1573" i="11"/>
  <c r="L1573" i="11"/>
  <c r="K1573" i="11"/>
  <c r="J1573" i="11"/>
  <c r="AC330" i="11"/>
  <c r="AB330" i="11"/>
  <c r="AA330" i="11"/>
  <c r="Z330" i="11"/>
  <c r="Y330" i="11"/>
  <c r="X330" i="11"/>
  <c r="W330" i="11"/>
  <c r="V330" i="11"/>
  <c r="U330" i="11"/>
  <c r="T330" i="11"/>
  <c r="S330" i="11"/>
  <c r="R330" i="11"/>
  <c r="Q330" i="11"/>
  <c r="P330" i="11"/>
  <c r="O330" i="11"/>
  <c r="N330" i="11"/>
  <c r="M330" i="11"/>
  <c r="L330" i="11"/>
  <c r="K330" i="11"/>
  <c r="J330" i="11"/>
  <c r="AC367" i="11"/>
  <c r="AB367" i="11"/>
  <c r="AA367" i="11"/>
  <c r="Z367" i="11"/>
  <c r="Y367" i="11"/>
  <c r="X367" i="11"/>
  <c r="W367" i="11"/>
  <c r="V367" i="11"/>
  <c r="U367" i="11"/>
  <c r="T367" i="11"/>
  <c r="S367" i="11"/>
  <c r="R367" i="11"/>
  <c r="Q367" i="11"/>
  <c r="P367" i="11"/>
  <c r="O367" i="11"/>
  <c r="N367" i="11"/>
  <c r="M367" i="11"/>
  <c r="L367" i="11"/>
  <c r="K367" i="11"/>
  <c r="J367" i="11"/>
  <c r="AC236" i="11"/>
  <c r="AB236" i="11"/>
  <c r="AA236" i="11"/>
  <c r="Z236" i="11"/>
  <c r="Y236" i="11"/>
  <c r="X236" i="11"/>
  <c r="W236" i="11"/>
  <c r="V236" i="11"/>
  <c r="U236" i="11"/>
  <c r="T236" i="11"/>
  <c r="S236" i="11"/>
  <c r="R236" i="11"/>
  <c r="Q236" i="11"/>
  <c r="P236" i="11"/>
  <c r="O236" i="11"/>
  <c r="N236" i="11"/>
  <c r="M236" i="11"/>
  <c r="L236" i="11"/>
  <c r="K236" i="11"/>
  <c r="J236" i="11"/>
  <c r="AC1989" i="11"/>
  <c r="AB1989" i="11"/>
  <c r="AA1989" i="11"/>
  <c r="Z1989" i="11"/>
  <c r="Y1989" i="11"/>
  <c r="X1989" i="11"/>
  <c r="W1989" i="11"/>
  <c r="V1989" i="11"/>
  <c r="U1989" i="11"/>
  <c r="T1989" i="11"/>
  <c r="S1989" i="11"/>
  <c r="R1989" i="11"/>
  <c r="Q1989" i="11"/>
  <c r="P1989" i="11"/>
  <c r="O1989" i="11"/>
  <c r="N1989" i="11"/>
  <c r="M1989" i="11"/>
  <c r="L1989" i="11"/>
  <c r="K1989" i="11"/>
  <c r="J1989" i="11"/>
  <c r="AC107" i="11"/>
  <c r="AB107" i="11"/>
  <c r="AA107" i="11"/>
  <c r="Z107" i="11"/>
  <c r="Y107" i="11"/>
  <c r="X107" i="11"/>
  <c r="W107" i="11"/>
  <c r="V107" i="11"/>
  <c r="U107" i="11"/>
  <c r="T107" i="11"/>
  <c r="S107" i="11"/>
  <c r="R107" i="11"/>
  <c r="Q107" i="11"/>
  <c r="P107" i="11"/>
  <c r="O107" i="11"/>
  <c r="N107" i="11"/>
  <c r="M107" i="11"/>
  <c r="L107" i="11"/>
  <c r="K107" i="11"/>
  <c r="J107" i="11"/>
  <c r="AC1043" i="11"/>
  <c r="AB1043" i="11"/>
  <c r="AA1043" i="11"/>
  <c r="Z1043" i="11"/>
  <c r="Y1043" i="11"/>
  <c r="X1043" i="11"/>
  <c r="W1043" i="11"/>
  <c r="V1043" i="11"/>
  <c r="U1043" i="11"/>
  <c r="T1043" i="11"/>
  <c r="S1043" i="11"/>
  <c r="R1043" i="11"/>
  <c r="Q1043" i="11"/>
  <c r="P1043" i="11"/>
  <c r="O1043" i="11"/>
  <c r="N1043" i="11"/>
  <c r="M1043" i="11"/>
  <c r="L1043" i="11"/>
  <c r="K1043" i="11"/>
  <c r="J1043" i="11"/>
  <c r="AC2079" i="11"/>
  <c r="AB2079" i="11"/>
  <c r="AA2079" i="11"/>
  <c r="Z2079" i="11"/>
  <c r="Y2079" i="11"/>
  <c r="X2079" i="11"/>
  <c r="W2079" i="11"/>
  <c r="V2079" i="11"/>
  <c r="U2079" i="11"/>
  <c r="T2079" i="11"/>
  <c r="S2079" i="11"/>
  <c r="R2079" i="11"/>
  <c r="Q2079" i="11"/>
  <c r="P2079" i="11"/>
  <c r="O2079" i="11"/>
  <c r="N2079" i="11"/>
  <c r="M2079" i="11"/>
  <c r="L2079" i="11"/>
  <c r="K2079" i="11"/>
  <c r="J2079" i="11"/>
  <c r="AC582" i="11"/>
  <c r="AB582" i="11"/>
  <c r="AA582" i="11"/>
  <c r="Z582" i="11"/>
  <c r="Y582" i="11"/>
  <c r="X582" i="11"/>
  <c r="W582" i="11"/>
  <c r="V582" i="11"/>
  <c r="U582" i="11"/>
  <c r="T582" i="11"/>
  <c r="S582" i="11"/>
  <c r="R582" i="11"/>
  <c r="Q582" i="11"/>
  <c r="P582" i="11"/>
  <c r="O582" i="11"/>
  <c r="N582" i="11"/>
  <c r="M582" i="11"/>
  <c r="L582" i="11"/>
  <c r="K582" i="11"/>
  <c r="J582" i="11"/>
  <c r="AC1042" i="11"/>
  <c r="AB1042" i="11"/>
  <c r="AA1042" i="11"/>
  <c r="Z1042" i="11"/>
  <c r="Y1042" i="11"/>
  <c r="X1042" i="11"/>
  <c r="W1042" i="11"/>
  <c r="V1042" i="11"/>
  <c r="U1042" i="11"/>
  <c r="T1042" i="11"/>
  <c r="S1042" i="11"/>
  <c r="R1042" i="11"/>
  <c r="Q1042" i="11"/>
  <c r="P1042" i="11"/>
  <c r="O1042" i="11"/>
  <c r="N1042" i="11"/>
  <c r="M1042" i="11"/>
  <c r="L1042" i="11"/>
  <c r="K1042" i="11"/>
  <c r="J1042" i="11"/>
  <c r="AC1210" i="11"/>
  <c r="AB1210" i="11"/>
  <c r="AA1210" i="11"/>
  <c r="Z1210" i="11"/>
  <c r="Y1210" i="11"/>
  <c r="X1210" i="11"/>
  <c r="W1210" i="11"/>
  <c r="V1210" i="11"/>
  <c r="U1210" i="11"/>
  <c r="T1210" i="11"/>
  <c r="S1210" i="11"/>
  <c r="R1210" i="11"/>
  <c r="Q1210" i="11"/>
  <c r="P1210" i="11"/>
  <c r="O1210" i="11"/>
  <c r="N1210" i="11"/>
  <c r="M1210" i="11"/>
  <c r="L1210" i="11"/>
  <c r="K1210" i="11"/>
  <c r="J1210" i="11"/>
  <c r="AC1949" i="11"/>
  <c r="AB1949" i="11"/>
  <c r="AA1949" i="11"/>
  <c r="Z1949" i="11"/>
  <c r="Y1949" i="11"/>
  <c r="X1949" i="11"/>
  <c r="W1949" i="11"/>
  <c r="V1949" i="11"/>
  <c r="U1949" i="11"/>
  <c r="T1949" i="11"/>
  <c r="S1949" i="11"/>
  <c r="R1949" i="11"/>
  <c r="Q1949" i="11"/>
  <c r="P1949" i="11"/>
  <c r="O1949" i="11"/>
  <c r="N1949" i="11"/>
  <c r="M1949" i="11"/>
  <c r="L1949" i="11"/>
  <c r="K1949" i="11"/>
  <c r="J1949" i="11"/>
  <c r="AC1948" i="11"/>
  <c r="AB1948" i="11"/>
  <c r="AA1948" i="11"/>
  <c r="Z1948" i="11"/>
  <c r="Y1948" i="11"/>
  <c r="X1948" i="11"/>
  <c r="W1948" i="11"/>
  <c r="V1948" i="11"/>
  <c r="U1948" i="11"/>
  <c r="T1948" i="11"/>
  <c r="S1948" i="11"/>
  <c r="R1948" i="11"/>
  <c r="Q1948" i="11"/>
  <c r="P1948" i="11"/>
  <c r="O1948" i="11"/>
  <c r="N1948" i="11"/>
  <c r="M1948" i="11"/>
  <c r="L1948" i="11"/>
  <c r="K1948" i="11"/>
  <c r="J1948" i="11"/>
  <c r="AC279" i="11"/>
  <c r="AB279" i="11"/>
  <c r="AA279" i="11"/>
  <c r="Z279" i="11"/>
  <c r="Y279" i="11"/>
  <c r="X279" i="11"/>
  <c r="W279" i="11"/>
  <c r="V279" i="11"/>
  <c r="U279" i="11"/>
  <c r="T279" i="11"/>
  <c r="S279" i="11"/>
  <c r="R279" i="11"/>
  <c r="Q279" i="11"/>
  <c r="P279" i="11"/>
  <c r="O279" i="11"/>
  <c r="N279" i="11"/>
  <c r="M279" i="11"/>
  <c r="L279" i="11"/>
  <c r="K279" i="11"/>
  <c r="J279" i="11"/>
  <c r="AC278" i="11"/>
  <c r="AB278" i="11"/>
  <c r="AA278" i="11"/>
  <c r="Z278" i="11"/>
  <c r="Y278" i="11"/>
  <c r="X278" i="11"/>
  <c r="W278" i="11"/>
  <c r="V278" i="11"/>
  <c r="U278" i="11"/>
  <c r="T278" i="11"/>
  <c r="S278" i="11"/>
  <c r="R278" i="11"/>
  <c r="Q278" i="11"/>
  <c r="P278" i="11"/>
  <c r="O278" i="11"/>
  <c r="N278" i="11"/>
  <c r="M278" i="11"/>
  <c r="L278" i="11"/>
  <c r="K278" i="11"/>
  <c r="J278" i="11"/>
  <c r="AC277" i="11"/>
  <c r="AB277" i="11"/>
  <c r="AA277" i="11"/>
  <c r="Z277" i="11"/>
  <c r="Y277" i="11"/>
  <c r="X277" i="11"/>
  <c r="W277" i="11"/>
  <c r="V277" i="11"/>
  <c r="U277" i="11"/>
  <c r="T277" i="11"/>
  <c r="S277" i="11"/>
  <c r="R277" i="11"/>
  <c r="Q277" i="11"/>
  <c r="P277" i="11"/>
  <c r="O277" i="11"/>
  <c r="N277" i="11"/>
  <c r="M277" i="11"/>
  <c r="L277" i="11"/>
  <c r="K277" i="11"/>
  <c r="J277" i="11"/>
  <c r="AC818" i="11"/>
  <c r="AB818" i="11"/>
  <c r="AA818" i="11"/>
  <c r="Z818" i="11"/>
  <c r="Y818" i="11"/>
  <c r="X818" i="11"/>
  <c r="W818" i="11"/>
  <c r="V818" i="11"/>
  <c r="U818" i="11"/>
  <c r="T818" i="11"/>
  <c r="S818" i="11"/>
  <c r="R818" i="11"/>
  <c r="Q818" i="11"/>
  <c r="P818" i="11"/>
  <c r="O818" i="11"/>
  <c r="N818" i="11"/>
  <c r="M818" i="11"/>
  <c r="L818" i="11"/>
  <c r="K818" i="11"/>
  <c r="J818" i="11"/>
  <c r="AC817" i="11"/>
  <c r="AB817" i="11"/>
  <c r="AA817" i="11"/>
  <c r="Z817" i="11"/>
  <c r="Y817" i="11"/>
  <c r="X817" i="11"/>
  <c r="W817" i="11"/>
  <c r="V817" i="11"/>
  <c r="U817" i="11"/>
  <c r="T817" i="11"/>
  <c r="S817" i="11"/>
  <c r="R817" i="11"/>
  <c r="Q817" i="11"/>
  <c r="P817" i="11"/>
  <c r="O817" i="11"/>
  <c r="N817" i="11"/>
  <c r="M817" i="11"/>
  <c r="L817" i="11"/>
  <c r="K817" i="11"/>
  <c r="J817" i="11"/>
  <c r="AC2037" i="11"/>
  <c r="AB2037" i="11"/>
  <c r="AA2037" i="11"/>
  <c r="Z2037" i="11"/>
  <c r="Y2037" i="11"/>
  <c r="X2037" i="11"/>
  <c r="W2037" i="11"/>
  <c r="V2037" i="11"/>
  <c r="U2037" i="11"/>
  <c r="T2037" i="11"/>
  <c r="S2037" i="11"/>
  <c r="R2037" i="11"/>
  <c r="Q2037" i="11"/>
  <c r="P2037" i="11"/>
  <c r="O2037" i="11"/>
  <c r="N2037" i="11"/>
  <c r="M2037" i="11"/>
  <c r="L2037" i="11"/>
  <c r="K2037" i="11"/>
  <c r="J2037" i="11"/>
  <c r="AC235" i="11"/>
  <c r="AB235" i="11"/>
  <c r="AA235" i="11"/>
  <c r="Z235" i="11"/>
  <c r="Y235" i="11"/>
  <c r="X235" i="11"/>
  <c r="W235" i="11"/>
  <c r="V235" i="11"/>
  <c r="U235" i="11"/>
  <c r="T235" i="11"/>
  <c r="S235" i="11"/>
  <c r="R235" i="11"/>
  <c r="Q235" i="11"/>
  <c r="P235" i="11"/>
  <c r="O235" i="11"/>
  <c r="N235" i="11"/>
  <c r="M235" i="11"/>
  <c r="L235" i="11"/>
  <c r="K235" i="11"/>
  <c r="J235" i="11"/>
  <c r="AC202" i="11"/>
  <c r="AB202" i="11"/>
  <c r="AA202" i="11"/>
  <c r="Z202" i="11"/>
  <c r="Y202" i="11"/>
  <c r="X202" i="11"/>
  <c r="W202" i="11"/>
  <c r="V202" i="11"/>
  <c r="U202" i="11"/>
  <c r="T202" i="11"/>
  <c r="S202" i="11"/>
  <c r="R202" i="11"/>
  <c r="Q202" i="11"/>
  <c r="P202" i="11"/>
  <c r="O202" i="11"/>
  <c r="N202" i="11"/>
  <c r="M202" i="11"/>
  <c r="L202" i="11"/>
  <c r="K202" i="11"/>
  <c r="J202" i="11"/>
  <c r="AC366" i="11"/>
  <c r="AB366" i="11"/>
  <c r="AA366" i="11"/>
  <c r="Z366" i="11"/>
  <c r="Y366" i="11"/>
  <c r="X366" i="11"/>
  <c r="W366" i="11"/>
  <c r="V366" i="11"/>
  <c r="U366" i="11"/>
  <c r="T366" i="11"/>
  <c r="S366" i="11"/>
  <c r="R366" i="11"/>
  <c r="Q366" i="11"/>
  <c r="P366" i="11"/>
  <c r="O366" i="11"/>
  <c r="N366" i="11"/>
  <c r="M366" i="11"/>
  <c r="L366" i="11"/>
  <c r="K366" i="11"/>
  <c r="J366" i="11"/>
  <c r="AC747" i="11"/>
  <c r="AB747" i="11"/>
  <c r="AA747" i="11"/>
  <c r="Z747" i="11"/>
  <c r="Y747" i="11"/>
  <c r="X747" i="11"/>
  <c r="W747" i="11"/>
  <c r="V747" i="11"/>
  <c r="U747" i="11"/>
  <c r="T747" i="11"/>
  <c r="S747" i="11"/>
  <c r="R747" i="11"/>
  <c r="Q747" i="11"/>
  <c r="P747" i="11"/>
  <c r="O747" i="11"/>
  <c r="N747" i="11"/>
  <c r="M747" i="11"/>
  <c r="L747" i="11"/>
  <c r="K747" i="11"/>
  <c r="J747" i="11"/>
  <c r="AC581" i="11"/>
  <c r="AB581" i="11"/>
  <c r="AA581" i="11"/>
  <c r="Z581" i="11"/>
  <c r="Y581" i="11"/>
  <c r="X581" i="11"/>
  <c r="W581" i="11"/>
  <c r="V581" i="11"/>
  <c r="U581" i="11"/>
  <c r="T581" i="11"/>
  <c r="S581" i="11"/>
  <c r="R581" i="11"/>
  <c r="Q581" i="11"/>
  <c r="P581" i="11"/>
  <c r="O581" i="11"/>
  <c r="N581" i="11"/>
  <c r="M581" i="11"/>
  <c r="L581" i="11"/>
  <c r="K581" i="11"/>
  <c r="J581" i="11"/>
  <c r="AC1312" i="11"/>
  <c r="AB1312" i="11"/>
  <c r="AA1312" i="11"/>
  <c r="Z1312" i="11"/>
  <c r="Y1312" i="11"/>
  <c r="X1312" i="11"/>
  <c r="W1312" i="11"/>
  <c r="V1312" i="11"/>
  <c r="U1312" i="11"/>
  <c r="T1312" i="11"/>
  <c r="S1312" i="11"/>
  <c r="R1312" i="11"/>
  <c r="Q1312" i="11"/>
  <c r="P1312" i="11"/>
  <c r="O1312" i="11"/>
  <c r="N1312" i="11"/>
  <c r="M1312" i="11"/>
  <c r="L1312" i="11"/>
  <c r="K1312" i="11"/>
  <c r="J1312" i="11"/>
  <c r="AC964" i="11"/>
  <c r="AB964" i="11"/>
  <c r="AA964" i="11"/>
  <c r="Z964" i="11"/>
  <c r="Y964" i="11"/>
  <c r="X964" i="11"/>
  <c r="W964" i="11"/>
  <c r="V964" i="11"/>
  <c r="U964" i="11"/>
  <c r="T964" i="11"/>
  <c r="S964" i="11"/>
  <c r="R964" i="11"/>
  <c r="Q964" i="11"/>
  <c r="P964" i="11"/>
  <c r="O964" i="11"/>
  <c r="N964" i="11"/>
  <c r="M964" i="11"/>
  <c r="L964" i="11"/>
  <c r="K964" i="11"/>
  <c r="J964" i="11"/>
  <c r="AC963" i="11"/>
  <c r="AB963" i="11"/>
  <c r="AA963" i="11"/>
  <c r="Z963" i="11"/>
  <c r="Y963" i="11"/>
  <c r="X963" i="11"/>
  <c r="W963" i="11"/>
  <c r="V963" i="11"/>
  <c r="U963" i="11"/>
  <c r="T963" i="11"/>
  <c r="S963" i="11"/>
  <c r="R963" i="11"/>
  <c r="Q963" i="11"/>
  <c r="P963" i="11"/>
  <c r="O963" i="11"/>
  <c r="N963" i="11"/>
  <c r="M963" i="11"/>
  <c r="L963" i="11"/>
  <c r="K963" i="11"/>
  <c r="J963" i="11"/>
  <c r="AC816" i="11"/>
  <c r="AB816" i="11"/>
  <c r="AA816" i="11"/>
  <c r="Z816" i="11"/>
  <c r="Y816" i="11"/>
  <c r="X816" i="11"/>
  <c r="W816" i="11"/>
  <c r="V816" i="11"/>
  <c r="U816" i="11"/>
  <c r="T816" i="11"/>
  <c r="S816" i="11"/>
  <c r="R816" i="11"/>
  <c r="Q816" i="11"/>
  <c r="P816" i="11"/>
  <c r="O816" i="11"/>
  <c r="N816" i="11"/>
  <c r="M816" i="11"/>
  <c r="L816" i="11"/>
  <c r="K816" i="11"/>
  <c r="J816" i="11"/>
  <c r="AC2036" i="11"/>
  <c r="AB2036" i="11"/>
  <c r="AA2036" i="11"/>
  <c r="Z2036" i="11"/>
  <c r="Y2036" i="11"/>
  <c r="X2036" i="11"/>
  <c r="W2036" i="11"/>
  <c r="V2036" i="11"/>
  <c r="U2036" i="11"/>
  <c r="T2036" i="11"/>
  <c r="S2036" i="11"/>
  <c r="R2036" i="11"/>
  <c r="Q2036" i="11"/>
  <c r="P2036" i="11"/>
  <c r="O2036" i="11"/>
  <c r="N2036" i="11"/>
  <c r="M2036" i="11"/>
  <c r="L2036" i="11"/>
  <c r="K2036" i="11"/>
  <c r="J2036" i="11"/>
  <c r="AC1797" i="11"/>
  <c r="AB1797" i="11"/>
  <c r="AA1797" i="11"/>
  <c r="Z1797" i="11"/>
  <c r="Y1797" i="11"/>
  <c r="X1797" i="11"/>
  <c r="W1797" i="11"/>
  <c r="V1797" i="11"/>
  <c r="U1797" i="11"/>
  <c r="T1797" i="11"/>
  <c r="S1797" i="11"/>
  <c r="R1797" i="11"/>
  <c r="Q1797" i="11"/>
  <c r="P1797" i="11"/>
  <c r="O1797" i="11"/>
  <c r="N1797" i="11"/>
  <c r="M1797" i="11"/>
  <c r="L1797" i="11"/>
  <c r="K1797" i="11"/>
  <c r="J1797" i="11"/>
  <c r="AC1988" i="11"/>
  <c r="AB1988" i="11"/>
  <c r="AA1988" i="11"/>
  <c r="Z1988" i="11"/>
  <c r="Y1988" i="11"/>
  <c r="X1988" i="11"/>
  <c r="W1988" i="11"/>
  <c r="V1988" i="11"/>
  <c r="U1988" i="11"/>
  <c r="T1988" i="11"/>
  <c r="S1988" i="11"/>
  <c r="R1988" i="11"/>
  <c r="Q1988" i="11"/>
  <c r="P1988" i="11"/>
  <c r="O1988" i="11"/>
  <c r="N1988" i="11"/>
  <c r="M1988" i="11"/>
  <c r="L1988" i="11"/>
  <c r="K1988" i="11"/>
  <c r="J1988" i="11"/>
  <c r="AC329" i="11"/>
  <c r="AB329" i="11"/>
  <c r="AA329" i="11"/>
  <c r="Z329" i="11"/>
  <c r="Y329" i="11"/>
  <c r="X329" i="11"/>
  <c r="W329" i="11"/>
  <c r="V329" i="11"/>
  <c r="U329" i="11"/>
  <c r="T329" i="11"/>
  <c r="S329" i="11"/>
  <c r="R329" i="11"/>
  <c r="Q329" i="11"/>
  <c r="P329" i="11"/>
  <c r="O329" i="11"/>
  <c r="N329" i="11"/>
  <c r="M329" i="11"/>
  <c r="L329" i="11"/>
  <c r="K329" i="11"/>
  <c r="J329" i="11"/>
  <c r="AC1262" i="11"/>
  <c r="AB1262" i="11"/>
  <c r="AA1262" i="11"/>
  <c r="Z1262" i="11"/>
  <c r="Y1262" i="11"/>
  <c r="X1262" i="11"/>
  <c r="W1262" i="11"/>
  <c r="V1262" i="11"/>
  <c r="U1262" i="11"/>
  <c r="T1262" i="11"/>
  <c r="S1262" i="11"/>
  <c r="R1262" i="11"/>
  <c r="Q1262" i="11"/>
  <c r="P1262" i="11"/>
  <c r="O1262" i="11"/>
  <c r="N1262" i="11"/>
  <c r="M1262" i="11"/>
  <c r="L1262" i="11"/>
  <c r="K1262" i="11"/>
  <c r="J1262" i="11"/>
  <c r="AC1126" i="11"/>
  <c r="AB1126" i="11"/>
  <c r="AA1126" i="11"/>
  <c r="Z1126" i="11"/>
  <c r="Y1126" i="11"/>
  <c r="X1126" i="11"/>
  <c r="W1126" i="11"/>
  <c r="V1126" i="11"/>
  <c r="U1126" i="11"/>
  <c r="T1126" i="11"/>
  <c r="S1126" i="11"/>
  <c r="R1126" i="11"/>
  <c r="Q1126" i="11"/>
  <c r="P1126" i="11"/>
  <c r="O1126" i="11"/>
  <c r="N1126" i="11"/>
  <c r="M1126" i="11"/>
  <c r="L1126" i="11"/>
  <c r="K1126" i="11"/>
  <c r="J1126" i="11"/>
  <c r="AC1209" i="11"/>
  <c r="AB1209" i="11"/>
  <c r="AA1209" i="11"/>
  <c r="Z1209" i="11"/>
  <c r="Y1209" i="11"/>
  <c r="X1209" i="11"/>
  <c r="W1209" i="11"/>
  <c r="V1209" i="11"/>
  <c r="U1209" i="11"/>
  <c r="T1209" i="11"/>
  <c r="S1209" i="11"/>
  <c r="R1209" i="11"/>
  <c r="Q1209" i="11"/>
  <c r="P1209" i="11"/>
  <c r="O1209" i="11"/>
  <c r="N1209" i="11"/>
  <c r="M1209" i="11"/>
  <c r="L1209" i="11"/>
  <c r="K1209" i="11"/>
  <c r="J1209" i="11"/>
  <c r="AC1208" i="11"/>
  <c r="AB1208" i="11"/>
  <c r="AA1208" i="11"/>
  <c r="Z1208" i="11"/>
  <c r="Y1208" i="11"/>
  <c r="X1208" i="11"/>
  <c r="W1208" i="11"/>
  <c r="V1208" i="11"/>
  <c r="U1208" i="11"/>
  <c r="T1208" i="11"/>
  <c r="S1208" i="11"/>
  <c r="R1208" i="11"/>
  <c r="Q1208" i="11"/>
  <c r="P1208" i="11"/>
  <c r="O1208" i="11"/>
  <c r="N1208" i="11"/>
  <c r="M1208" i="11"/>
  <c r="L1208" i="11"/>
  <c r="K1208" i="11"/>
  <c r="J1208" i="11"/>
  <c r="AC1434" i="11"/>
  <c r="AB1434" i="11"/>
  <c r="AA1434" i="11"/>
  <c r="Z1434" i="11"/>
  <c r="Y1434" i="11"/>
  <c r="X1434" i="11"/>
  <c r="W1434" i="11"/>
  <c r="V1434" i="11"/>
  <c r="U1434" i="11"/>
  <c r="T1434" i="11"/>
  <c r="S1434" i="11"/>
  <c r="R1434" i="11"/>
  <c r="Q1434" i="11"/>
  <c r="P1434" i="11"/>
  <c r="O1434" i="11"/>
  <c r="N1434" i="11"/>
  <c r="M1434" i="11"/>
  <c r="L1434" i="11"/>
  <c r="K1434" i="11"/>
  <c r="J1434" i="11"/>
  <c r="AC451" i="11"/>
  <c r="AB451" i="11"/>
  <c r="AA451" i="11"/>
  <c r="Z451" i="11"/>
  <c r="Y451" i="11"/>
  <c r="X451" i="11"/>
  <c r="W451" i="11"/>
  <c r="V451" i="11"/>
  <c r="U451" i="11"/>
  <c r="T451" i="11"/>
  <c r="S451" i="11"/>
  <c r="R451" i="11"/>
  <c r="Q451" i="11"/>
  <c r="P451" i="11"/>
  <c r="O451" i="11"/>
  <c r="N451" i="11"/>
  <c r="M451" i="11"/>
  <c r="L451" i="11"/>
  <c r="K451" i="11"/>
  <c r="J451" i="11"/>
  <c r="AC2078" i="11"/>
  <c r="AB2078" i="11"/>
  <c r="AA2078" i="11"/>
  <c r="Z2078" i="11"/>
  <c r="Y2078" i="11"/>
  <c r="X2078" i="11"/>
  <c r="W2078" i="11"/>
  <c r="V2078" i="11"/>
  <c r="U2078" i="11"/>
  <c r="T2078" i="11"/>
  <c r="S2078" i="11"/>
  <c r="R2078" i="11"/>
  <c r="Q2078" i="11"/>
  <c r="P2078" i="11"/>
  <c r="O2078" i="11"/>
  <c r="N2078" i="11"/>
  <c r="M2078" i="11"/>
  <c r="L2078" i="11"/>
  <c r="K2078" i="11"/>
  <c r="J2078" i="11"/>
  <c r="AC2077" i="11"/>
  <c r="AB2077" i="11"/>
  <c r="AA2077" i="11"/>
  <c r="Z2077" i="11"/>
  <c r="Y2077" i="11"/>
  <c r="X2077" i="11"/>
  <c r="W2077" i="11"/>
  <c r="V2077" i="11"/>
  <c r="U2077" i="11"/>
  <c r="T2077" i="11"/>
  <c r="S2077" i="11"/>
  <c r="R2077" i="11"/>
  <c r="Q2077" i="11"/>
  <c r="P2077" i="11"/>
  <c r="O2077" i="11"/>
  <c r="N2077" i="11"/>
  <c r="M2077" i="11"/>
  <c r="L2077" i="11"/>
  <c r="K2077" i="11"/>
  <c r="J2077" i="11"/>
  <c r="AC1261" i="11"/>
  <c r="AB1261" i="11"/>
  <c r="AA1261" i="11"/>
  <c r="Z1261" i="11"/>
  <c r="Y1261" i="11"/>
  <c r="X1261" i="11"/>
  <c r="W1261" i="11"/>
  <c r="V1261" i="11"/>
  <c r="U1261" i="11"/>
  <c r="T1261" i="11"/>
  <c r="S1261" i="11"/>
  <c r="R1261" i="11"/>
  <c r="Q1261" i="11"/>
  <c r="P1261" i="11"/>
  <c r="O1261" i="11"/>
  <c r="N1261" i="11"/>
  <c r="M1261" i="11"/>
  <c r="L1261" i="11"/>
  <c r="K1261" i="11"/>
  <c r="J1261" i="11"/>
  <c r="AC1796" i="11"/>
  <c r="AB1796" i="11"/>
  <c r="AA1796" i="11"/>
  <c r="Z1796" i="11"/>
  <c r="Y1796" i="11"/>
  <c r="X1796" i="11"/>
  <c r="W1796" i="11"/>
  <c r="V1796" i="11"/>
  <c r="U1796" i="11"/>
  <c r="T1796" i="11"/>
  <c r="S1796" i="11"/>
  <c r="R1796" i="11"/>
  <c r="Q1796" i="11"/>
  <c r="P1796" i="11"/>
  <c r="O1796" i="11"/>
  <c r="N1796" i="11"/>
  <c r="M1796" i="11"/>
  <c r="L1796" i="11"/>
  <c r="K1796" i="11"/>
  <c r="J1796" i="11"/>
  <c r="AC1433" i="11"/>
  <c r="AB1433" i="11"/>
  <c r="AA1433" i="11"/>
  <c r="Z1433" i="11"/>
  <c r="Y1433" i="11"/>
  <c r="X1433" i="11"/>
  <c r="W1433" i="11"/>
  <c r="V1433" i="11"/>
  <c r="U1433" i="11"/>
  <c r="T1433" i="11"/>
  <c r="S1433" i="11"/>
  <c r="R1433" i="11"/>
  <c r="Q1433" i="11"/>
  <c r="P1433" i="11"/>
  <c r="O1433" i="11"/>
  <c r="N1433" i="11"/>
  <c r="M1433" i="11"/>
  <c r="L1433" i="11"/>
  <c r="K1433" i="11"/>
  <c r="J1433" i="11"/>
  <c r="AC653" i="11"/>
  <c r="AB653" i="11"/>
  <c r="AA653" i="11"/>
  <c r="Z653" i="11"/>
  <c r="Y653" i="11"/>
  <c r="X653" i="11"/>
  <c r="W653" i="11"/>
  <c r="V653" i="11"/>
  <c r="U653" i="11"/>
  <c r="T653" i="11"/>
  <c r="S653" i="11"/>
  <c r="R653" i="11"/>
  <c r="Q653" i="11"/>
  <c r="P653" i="11"/>
  <c r="O653" i="11"/>
  <c r="N653" i="11"/>
  <c r="M653" i="11"/>
  <c r="L653" i="11"/>
  <c r="K653" i="11"/>
  <c r="J653" i="11"/>
  <c r="AC746" i="11"/>
  <c r="AB746" i="11"/>
  <c r="AA746" i="11"/>
  <c r="Z746" i="11"/>
  <c r="Y746" i="11"/>
  <c r="X746" i="11"/>
  <c r="W746" i="11"/>
  <c r="V746" i="11"/>
  <c r="U746" i="11"/>
  <c r="T746" i="11"/>
  <c r="S746" i="11"/>
  <c r="R746" i="11"/>
  <c r="Q746" i="11"/>
  <c r="P746" i="11"/>
  <c r="O746" i="11"/>
  <c r="N746" i="11"/>
  <c r="M746" i="11"/>
  <c r="L746" i="11"/>
  <c r="K746" i="11"/>
  <c r="J746" i="11"/>
  <c r="AC1486" i="11"/>
  <c r="AB1486" i="11"/>
  <c r="AA1486" i="11"/>
  <c r="Z1486" i="11"/>
  <c r="Y1486" i="11"/>
  <c r="X1486" i="11"/>
  <c r="W1486" i="11"/>
  <c r="V1486" i="11"/>
  <c r="U1486" i="11"/>
  <c r="T1486" i="11"/>
  <c r="S1486" i="11"/>
  <c r="R1486" i="11"/>
  <c r="Q1486" i="11"/>
  <c r="P1486" i="11"/>
  <c r="O1486" i="11"/>
  <c r="N1486" i="11"/>
  <c r="M1486" i="11"/>
  <c r="L1486" i="11"/>
  <c r="K1486" i="11"/>
  <c r="J1486" i="11"/>
  <c r="AC1041" i="11"/>
  <c r="AB1041" i="11"/>
  <c r="AA1041" i="11"/>
  <c r="Z1041" i="11"/>
  <c r="Y1041" i="11"/>
  <c r="X1041" i="11"/>
  <c r="W1041" i="11"/>
  <c r="V1041" i="11"/>
  <c r="U1041" i="11"/>
  <c r="T1041" i="11"/>
  <c r="S1041" i="11"/>
  <c r="R1041" i="11"/>
  <c r="Q1041" i="11"/>
  <c r="P1041" i="11"/>
  <c r="O1041" i="11"/>
  <c r="N1041" i="11"/>
  <c r="M1041" i="11"/>
  <c r="L1041" i="11"/>
  <c r="K1041" i="11"/>
  <c r="J1041" i="11"/>
  <c r="AC2035" i="11"/>
  <c r="AB2035" i="11"/>
  <c r="AA2035" i="11"/>
  <c r="Z2035" i="11"/>
  <c r="Y2035" i="11"/>
  <c r="X2035" i="11"/>
  <c r="W2035" i="11"/>
  <c r="V2035" i="11"/>
  <c r="U2035" i="11"/>
  <c r="T2035" i="11"/>
  <c r="S2035" i="11"/>
  <c r="R2035" i="11"/>
  <c r="Q2035" i="11"/>
  <c r="P2035" i="11"/>
  <c r="O2035" i="11"/>
  <c r="N2035" i="11"/>
  <c r="M2035" i="11"/>
  <c r="L2035" i="11"/>
  <c r="K2035" i="11"/>
  <c r="J2035" i="11"/>
  <c r="AC1517" i="11"/>
  <c r="AB1517" i="11"/>
  <c r="AA1517" i="11"/>
  <c r="Z1517" i="11"/>
  <c r="Y1517" i="11"/>
  <c r="X1517" i="11"/>
  <c r="W1517" i="11"/>
  <c r="V1517" i="11"/>
  <c r="U1517" i="11"/>
  <c r="T1517" i="11"/>
  <c r="S1517" i="11"/>
  <c r="R1517" i="11"/>
  <c r="Q1517" i="11"/>
  <c r="P1517" i="11"/>
  <c r="O1517" i="11"/>
  <c r="N1517" i="11"/>
  <c r="M1517" i="11"/>
  <c r="L1517" i="11"/>
  <c r="K1517" i="11"/>
  <c r="J1517" i="11"/>
  <c r="AC518" i="11"/>
  <c r="AB518" i="11"/>
  <c r="AA518" i="11"/>
  <c r="Z518" i="11"/>
  <c r="Y518" i="11"/>
  <c r="X518" i="11"/>
  <c r="W518" i="11"/>
  <c r="V518" i="11"/>
  <c r="U518" i="11"/>
  <c r="T518" i="11"/>
  <c r="S518" i="11"/>
  <c r="R518" i="11"/>
  <c r="Q518" i="11"/>
  <c r="P518" i="11"/>
  <c r="O518" i="11"/>
  <c r="N518" i="11"/>
  <c r="M518" i="11"/>
  <c r="L518" i="11"/>
  <c r="K518" i="11"/>
  <c r="J518" i="11"/>
  <c r="AC137" i="11"/>
  <c r="AB137" i="11"/>
  <c r="AA137" i="11"/>
  <c r="Z137" i="11"/>
  <c r="Y137" i="11"/>
  <c r="X137" i="11"/>
  <c r="W137" i="11"/>
  <c r="V137" i="11"/>
  <c r="U137" i="11"/>
  <c r="T137" i="11"/>
  <c r="S137" i="11"/>
  <c r="R137" i="11"/>
  <c r="Q137" i="11"/>
  <c r="P137" i="11"/>
  <c r="O137" i="11"/>
  <c r="N137" i="11"/>
  <c r="M137" i="11"/>
  <c r="L137" i="11"/>
  <c r="K137" i="11"/>
  <c r="J137" i="11"/>
  <c r="AC1207" i="11"/>
  <c r="AB1207" i="11"/>
  <c r="AA1207" i="11"/>
  <c r="Z1207" i="11"/>
  <c r="Y1207" i="11"/>
  <c r="X1207" i="11"/>
  <c r="W1207" i="11"/>
  <c r="V1207" i="11"/>
  <c r="U1207" i="11"/>
  <c r="T1207" i="11"/>
  <c r="S1207" i="11"/>
  <c r="R1207" i="11"/>
  <c r="Q1207" i="11"/>
  <c r="P1207" i="11"/>
  <c r="O1207" i="11"/>
  <c r="N1207" i="11"/>
  <c r="M1207" i="11"/>
  <c r="L1207" i="11"/>
  <c r="K1207" i="11"/>
  <c r="J1207" i="11"/>
  <c r="AC328" i="11"/>
  <c r="AB328" i="11"/>
  <c r="AA328" i="11"/>
  <c r="Z328" i="11"/>
  <c r="Y328" i="11"/>
  <c r="X328" i="11"/>
  <c r="W328" i="11"/>
  <c r="V328" i="11"/>
  <c r="U328" i="11"/>
  <c r="T328" i="11"/>
  <c r="S328" i="11"/>
  <c r="R328" i="11"/>
  <c r="Q328" i="11"/>
  <c r="P328" i="11"/>
  <c r="O328" i="11"/>
  <c r="N328" i="11"/>
  <c r="M328" i="11"/>
  <c r="L328" i="11"/>
  <c r="K328" i="11"/>
  <c r="J328" i="11"/>
  <c r="AC1260" i="11"/>
  <c r="AB1260" i="11"/>
  <c r="AA1260" i="11"/>
  <c r="Z1260" i="11"/>
  <c r="Y1260" i="11"/>
  <c r="X1260" i="11"/>
  <c r="W1260" i="11"/>
  <c r="V1260" i="11"/>
  <c r="U1260" i="11"/>
  <c r="T1260" i="11"/>
  <c r="S1260" i="11"/>
  <c r="R1260" i="11"/>
  <c r="Q1260" i="11"/>
  <c r="P1260" i="11"/>
  <c r="O1260" i="11"/>
  <c r="N1260" i="11"/>
  <c r="M1260" i="11"/>
  <c r="L1260" i="11"/>
  <c r="K1260" i="11"/>
  <c r="J1260" i="11"/>
  <c r="AC580" i="11"/>
  <c r="AB580" i="11"/>
  <c r="AA580" i="11"/>
  <c r="Z580" i="11"/>
  <c r="Y580" i="11"/>
  <c r="X580" i="11"/>
  <c r="W580" i="11"/>
  <c r="V580" i="11"/>
  <c r="U580" i="11"/>
  <c r="T580" i="11"/>
  <c r="S580" i="11"/>
  <c r="R580" i="11"/>
  <c r="Q580" i="11"/>
  <c r="P580" i="11"/>
  <c r="O580" i="11"/>
  <c r="N580" i="11"/>
  <c r="M580" i="11"/>
  <c r="L580" i="11"/>
  <c r="K580" i="11"/>
  <c r="J580" i="11"/>
  <c r="AC2109" i="11"/>
  <c r="AB2109" i="11"/>
  <c r="AA2109" i="11"/>
  <c r="Z2109" i="11"/>
  <c r="Y2109" i="11"/>
  <c r="X2109" i="11"/>
  <c r="W2109" i="11"/>
  <c r="V2109" i="11"/>
  <c r="U2109" i="11"/>
  <c r="T2109" i="11"/>
  <c r="S2109" i="11"/>
  <c r="R2109" i="11"/>
  <c r="Q2109" i="11"/>
  <c r="P2109" i="11"/>
  <c r="O2109" i="11"/>
  <c r="N2109" i="11"/>
  <c r="M2109" i="11"/>
  <c r="L2109" i="11"/>
  <c r="K2109" i="11"/>
  <c r="J2109" i="11"/>
  <c r="AC517" i="11"/>
  <c r="AB517" i="11"/>
  <c r="AA517" i="11"/>
  <c r="Z517" i="11"/>
  <c r="Y517" i="11"/>
  <c r="X517" i="11"/>
  <c r="W517" i="11"/>
  <c r="V517" i="11"/>
  <c r="U517" i="11"/>
  <c r="T517" i="11"/>
  <c r="S517" i="11"/>
  <c r="R517" i="11"/>
  <c r="Q517" i="11"/>
  <c r="P517" i="11"/>
  <c r="O517" i="11"/>
  <c r="N517" i="11"/>
  <c r="M517" i="11"/>
  <c r="L517" i="11"/>
  <c r="K517" i="11"/>
  <c r="J517" i="11"/>
  <c r="AC1648" i="11"/>
  <c r="AB1648" i="11"/>
  <c r="AA1648" i="11"/>
  <c r="Z1648" i="11"/>
  <c r="Y1648" i="11"/>
  <c r="X1648" i="11"/>
  <c r="W1648" i="11"/>
  <c r="V1648" i="11"/>
  <c r="U1648" i="11"/>
  <c r="T1648" i="11"/>
  <c r="S1648" i="11"/>
  <c r="R1648" i="11"/>
  <c r="Q1648" i="11"/>
  <c r="P1648" i="11"/>
  <c r="O1648" i="11"/>
  <c r="N1648" i="11"/>
  <c r="M1648" i="11"/>
  <c r="L1648" i="11"/>
  <c r="K1648" i="11"/>
  <c r="J1648" i="11"/>
  <c r="AC1259" i="11"/>
  <c r="AB1259" i="11"/>
  <c r="AA1259" i="11"/>
  <c r="Z1259" i="11"/>
  <c r="Y1259" i="11"/>
  <c r="X1259" i="11"/>
  <c r="W1259" i="11"/>
  <c r="V1259" i="11"/>
  <c r="U1259" i="11"/>
  <c r="T1259" i="11"/>
  <c r="S1259" i="11"/>
  <c r="R1259" i="11"/>
  <c r="Q1259" i="11"/>
  <c r="P1259" i="11"/>
  <c r="O1259" i="11"/>
  <c r="N1259" i="11"/>
  <c r="M1259" i="11"/>
  <c r="L1259" i="11"/>
  <c r="K1259" i="11"/>
  <c r="J1259" i="11"/>
  <c r="AC1258" i="11"/>
  <c r="AB1258" i="11"/>
  <c r="AA1258" i="11"/>
  <c r="Z1258" i="11"/>
  <c r="Y1258" i="11"/>
  <c r="X1258" i="11"/>
  <c r="W1258" i="11"/>
  <c r="V1258" i="11"/>
  <c r="U1258" i="11"/>
  <c r="T1258" i="11"/>
  <c r="S1258" i="11"/>
  <c r="R1258" i="11"/>
  <c r="Q1258" i="11"/>
  <c r="P1258" i="11"/>
  <c r="O1258" i="11"/>
  <c r="N1258" i="11"/>
  <c r="M1258" i="11"/>
  <c r="L1258" i="11"/>
  <c r="K1258" i="11"/>
  <c r="J1258" i="11"/>
  <c r="AC165" i="11"/>
  <c r="AB165" i="11"/>
  <c r="AA165" i="11"/>
  <c r="Z165" i="11"/>
  <c r="Y165" i="11"/>
  <c r="X165" i="11"/>
  <c r="W165" i="11"/>
  <c r="V165" i="11"/>
  <c r="U165" i="11"/>
  <c r="T165" i="11"/>
  <c r="S165" i="11"/>
  <c r="R165" i="11"/>
  <c r="Q165" i="11"/>
  <c r="P165" i="11"/>
  <c r="O165" i="11"/>
  <c r="N165" i="11"/>
  <c r="M165" i="11"/>
  <c r="L165" i="11"/>
  <c r="K165" i="11"/>
  <c r="J165" i="11"/>
  <c r="AC1795" i="11"/>
  <c r="AB1795" i="11"/>
  <c r="AA1795" i="11"/>
  <c r="Z1795" i="11"/>
  <c r="Y1795" i="11"/>
  <c r="X1795" i="11"/>
  <c r="W1795" i="11"/>
  <c r="V1795" i="11"/>
  <c r="U1795" i="11"/>
  <c r="T1795" i="11"/>
  <c r="S1795" i="11"/>
  <c r="R1795" i="11"/>
  <c r="Q1795" i="11"/>
  <c r="P1795" i="11"/>
  <c r="O1795" i="11"/>
  <c r="N1795" i="11"/>
  <c r="M1795" i="11"/>
  <c r="L1795" i="11"/>
  <c r="K1795" i="11"/>
  <c r="J1795" i="11"/>
  <c r="AC579" i="11"/>
  <c r="AB579" i="11"/>
  <c r="AA579" i="11"/>
  <c r="Z579" i="11"/>
  <c r="Y579" i="11"/>
  <c r="X579" i="11"/>
  <c r="W579" i="11"/>
  <c r="V579" i="11"/>
  <c r="U579" i="11"/>
  <c r="T579" i="11"/>
  <c r="S579" i="11"/>
  <c r="R579" i="11"/>
  <c r="Q579" i="11"/>
  <c r="P579" i="11"/>
  <c r="O579" i="11"/>
  <c r="N579" i="11"/>
  <c r="M579" i="11"/>
  <c r="L579" i="11"/>
  <c r="K579" i="11"/>
  <c r="J579" i="11"/>
  <c r="AC1987" i="11"/>
  <c r="AB1987" i="11"/>
  <c r="AA1987" i="11"/>
  <c r="Z1987" i="11"/>
  <c r="Y1987" i="11"/>
  <c r="X1987" i="11"/>
  <c r="W1987" i="11"/>
  <c r="V1987" i="11"/>
  <c r="U1987" i="11"/>
  <c r="T1987" i="11"/>
  <c r="S1987" i="11"/>
  <c r="R1987" i="11"/>
  <c r="Q1987" i="11"/>
  <c r="P1987" i="11"/>
  <c r="O1987" i="11"/>
  <c r="N1987" i="11"/>
  <c r="M1987" i="11"/>
  <c r="L1987" i="11"/>
  <c r="K1987" i="11"/>
  <c r="J1987" i="11"/>
  <c r="AC201" i="11"/>
  <c r="AB201" i="11"/>
  <c r="AA201" i="11"/>
  <c r="Z201" i="11"/>
  <c r="Y201" i="11"/>
  <c r="X201" i="11"/>
  <c r="W201" i="11"/>
  <c r="V201" i="11"/>
  <c r="U201" i="11"/>
  <c r="T201" i="11"/>
  <c r="S201" i="11"/>
  <c r="R201" i="11"/>
  <c r="Q201" i="11"/>
  <c r="P201" i="11"/>
  <c r="O201" i="11"/>
  <c r="N201" i="11"/>
  <c r="M201" i="11"/>
  <c r="L201" i="11"/>
  <c r="K201" i="11"/>
  <c r="J201" i="11"/>
  <c r="AC1485" i="11"/>
  <c r="AB1485" i="11"/>
  <c r="AA1485" i="11"/>
  <c r="Z1485" i="11"/>
  <c r="Y1485" i="11"/>
  <c r="X1485" i="11"/>
  <c r="W1485" i="11"/>
  <c r="V1485" i="11"/>
  <c r="U1485" i="11"/>
  <c r="T1485" i="11"/>
  <c r="S1485" i="11"/>
  <c r="R1485" i="11"/>
  <c r="Q1485" i="11"/>
  <c r="P1485" i="11"/>
  <c r="O1485" i="11"/>
  <c r="N1485" i="11"/>
  <c r="M1485" i="11"/>
  <c r="L1485" i="11"/>
  <c r="K1485" i="11"/>
  <c r="J1485" i="11"/>
  <c r="AC516" i="11"/>
  <c r="AB516" i="11"/>
  <c r="AA516" i="11"/>
  <c r="Z516" i="11"/>
  <c r="Y516" i="11"/>
  <c r="X516" i="11"/>
  <c r="W516" i="11"/>
  <c r="V516" i="11"/>
  <c r="U516" i="11"/>
  <c r="T516" i="11"/>
  <c r="S516" i="11"/>
  <c r="R516" i="11"/>
  <c r="Q516" i="11"/>
  <c r="P516" i="11"/>
  <c r="O516" i="11"/>
  <c r="N516" i="11"/>
  <c r="M516" i="11"/>
  <c r="L516" i="11"/>
  <c r="K516" i="11"/>
  <c r="J516" i="11"/>
  <c r="AC1484" i="11"/>
  <c r="AB1484" i="11"/>
  <c r="AA1484" i="11"/>
  <c r="Z1484" i="11"/>
  <c r="Y1484" i="11"/>
  <c r="X1484" i="11"/>
  <c r="W1484" i="11"/>
  <c r="V1484" i="11"/>
  <c r="U1484" i="11"/>
  <c r="T1484" i="11"/>
  <c r="S1484" i="11"/>
  <c r="R1484" i="11"/>
  <c r="Q1484" i="11"/>
  <c r="P1484" i="11"/>
  <c r="O1484" i="11"/>
  <c r="N1484" i="11"/>
  <c r="M1484" i="11"/>
  <c r="L1484" i="11"/>
  <c r="K1484" i="11"/>
  <c r="J1484" i="11"/>
  <c r="AC962" i="11"/>
  <c r="AB962" i="11"/>
  <c r="AA962" i="11"/>
  <c r="Z962" i="11"/>
  <c r="Y962" i="11"/>
  <c r="X962" i="11"/>
  <c r="W962" i="11"/>
  <c r="V962" i="11"/>
  <c r="U962" i="11"/>
  <c r="T962" i="11"/>
  <c r="S962" i="11"/>
  <c r="R962" i="11"/>
  <c r="Q962" i="11"/>
  <c r="P962" i="11"/>
  <c r="O962" i="11"/>
  <c r="N962" i="11"/>
  <c r="M962" i="11"/>
  <c r="L962" i="11"/>
  <c r="K962" i="11"/>
  <c r="J962" i="11"/>
  <c r="AC745" i="11"/>
  <c r="AB745" i="11"/>
  <c r="AA745" i="11"/>
  <c r="Z745" i="11"/>
  <c r="Y745" i="11"/>
  <c r="X745" i="11"/>
  <c r="W745" i="11"/>
  <c r="V745" i="11"/>
  <c r="U745" i="11"/>
  <c r="T745" i="11"/>
  <c r="S745" i="11"/>
  <c r="R745" i="11"/>
  <c r="Q745" i="11"/>
  <c r="P745" i="11"/>
  <c r="O745" i="11"/>
  <c r="N745" i="11"/>
  <c r="M745" i="11"/>
  <c r="L745" i="11"/>
  <c r="K745" i="11"/>
  <c r="J745" i="11"/>
  <c r="AC1483" i="11"/>
  <c r="AB1483" i="11"/>
  <c r="AA1483" i="11"/>
  <c r="Z1483" i="11"/>
  <c r="Y1483" i="11"/>
  <c r="X1483" i="11"/>
  <c r="W1483" i="11"/>
  <c r="V1483" i="11"/>
  <c r="U1483" i="11"/>
  <c r="T1483" i="11"/>
  <c r="S1483" i="11"/>
  <c r="R1483" i="11"/>
  <c r="Q1483" i="11"/>
  <c r="P1483" i="11"/>
  <c r="O1483" i="11"/>
  <c r="N1483" i="11"/>
  <c r="M1483" i="11"/>
  <c r="L1483" i="11"/>
  <c r="K1483" i="11"/>
  <c r="J1483" i="11"/>
  <c r="AC1257" i="11"/>
  <c r="AB1257" i="11"/>
  <c r="AA1257" i="11"/>
  <c r="Z1257" i="11"/>
  <c r="Y1257" i="11"/>
  <c r="X1257" i="11"/>
  <c r="W1257" i="11"/>
  <c r="V1257" i="11"/>
  <c r="U1257" i="11"/>
  <c r="T1257" i="11"/>
  <c r="S1257" i="11"/>
  <c r="R1257" i="11"/>
  <c r="Q1257" i="11"/>
  <c r="P1257" i="11"/>
  <c r="O1257" i="11"/>
  <c r="N1257" i="11"/>
  <c r="M1257" i="11"/>
  <c r="L1257" i="11"/>
  <c r="K1257" i="11"/>
  <c r="J1257" i="11"/>
  <c r="AC1901" i="11"/>
  <c r="AB1901" i="11"/>
  <c r="AA1901" i="11"/>
  <c r="Z1901" i="11"/>
  <c r="Y1901" i="11"/>
  <c r="X1901" i="11"/>
  <c r="W1901" i="11"/>
  <c r="V1901" i="11"/>
  <c r="U1901" i="11"/>
  <c r="T1901" i="11"/>
  <c r="S1901" i="11"/>
  <c r="R1901" i="11"/>
  <c r="Q1901" i="11"/>
  <c r="P1901" i="11"/>
  <c r="O1901" i="11"/>
  <c r="N1901" i="11"/>
  <c r="M1901" i="11"/>
  <c r="L1901" i="11"/>
  <c r="K1901" i="11"/>
  <c r="J1901" i="11"/>
  <c r="AC407" i="11"/>
  <c r="AB407" i="11"/>
  <c r="AA407" i="11"/>
  <c r="Z407" i="11"/>
  <c r="Y407" i="11"/>
  <c r="X407" i="11"/>
  <c r="W407" i="11"/>
  <c r="V407" i="11"/>
  <c r="U407" i="11"/>
  <c r="T407" i="11"/>
  <c r="S407" i="11"/>
  <c r="R407" i="11"/>
  <c r="Q407" i="11"/>
  <c r="P407" i="11"/>
  <c r="O407" i="11"/>
  <c r="N407" i="11"/>
  <c r="M407" i="11"/>
  <c r="L407" i="11"/>
  <c r="K407" i="11"/>
  <c r="J407" i="11"/>
  <c r="AC106" i="11"/>
  <c r="AB106" i="11"/>
  <c r="AA106" i="11"/>
  <c r="Z106" i="11"/>
  <c r="Y106" i="11"/>
  <c r="X106" i="11"/>
  <c r="W106" i="11"/>
  <c r="V106" i="11"/>
  <c r="U106" i="11"/>
  <c r="T106" i="11"/>
  <c r="S106" i="11"/>
  <c r="R106" i="11"/>
  <c r="Q106" i="11"/>
  <c r="P106" i="11"/>
  <c r="O106" i="11"/>
  <c r="N106" i="11"/>
  <c r="M106" i="11"/>
  <c r="L106" i="11"/>
  <c r="K106" i="11"/>
  <c r="J106" i="11"/>
  <c r="AC365" i="11"/>
  <c r="AB365" i="11"/>
  <c r="AA365" i="11"/>
  <c r="Z365" i="11"/>
  <c r="Y365" i="11"/>
  <c r="X365" i="11"/>
  <c r="W365" i="11"/>
  <c r="V365" i="11"/>
  <c r="U365" i="11"/>
  <c r="T365" i="11"/>
  <c r="S365" i="11"/>
  <c r="R365" i="11"/>
  <c r="Q365" i="11"/>
  <c r="P365" i="11"/>
  <c r="O365" i="11"/>
  <c r="N365" i="11"/>
  <c r="M365" i="11"/>
  <c r="L365" i="11"/>
  <c r="K365" i="11"/>
  <c r="J365" i="11"/>
  <c r="AC515" i="11"/>
  <c r="AB515" i="11"/>
  <c r="AA515" i="11"/>
  <c r="Z515" i="11"/>
  <c r="Y515" i="11"/>
  <c r="X515" i="11"/>
  <c r="W515" i="11"/>
  <c r="V515" i="11"/>
  <c r="U515" i="11"/>
  <c r="T515" i="11"/>
  <c r="S515" i="11"/>
  <c r="R515" i="11"/>
  <c r="Q515" i="11"/>
  <c r="P515" i="11"/>
  <c r="O515" i="11"/>
  <c r="N515" i="11"/>
  <c r="M515" i="11"/>
  <c r="L515" i="11"/>
  <c r="K515" i="11"/>
  <c r="J515" i="11"/>
  <c r="AC136" i="11"/>
  <c r="AB136" i="11"/>
  <c r="AA136" i="11"/>
  <c r="Z136" i="11"/>
  <c r="Y136" i="11"/>
  <c r="X136" i="11"/>
  <c r="W136" i="11"/>
  <c r="V136" i="11"/>
  <c r="U136" i="11"/>
  <c r="T136" i="11"/>
  <c r="S136" i="11"/>
  <c r="R136" i="11"/>
  <c r="Q136" i="11"/>
  <c r="P136" i="11"/>
  <c r="O136" i="11"/>
  <c r="N136" i="11"/>
  <c r="M136" i="11"/>
  <c r="L136" i="11"/>
  <c r="K136" i="11"/>
  <c r="J136" i="11"/>
  <c r="AC135" i="11"/>
  <c r="AB135" i="11"/>
  <c r="AA135" i="11"/>
  <c r="Z135" i="11"/>
  <c r="Y135" i="11"/>
  <c r="X135" i="11"/>
  <c r="W135" i="11"/>
  <c r="V135" i="11"/>
  <c r="U135" i="11"/>
  <c r="T135" i="11"/>
  <c r="S135" i="11"/>
  <c r="R135" i="11"/>
  <c r="Q135" i="11"/>
  <c r="P135" i="11"/>
  <c r="O135" i="11"/>
  <c r="N135" i="11"/>
  <c r="M135" i="11"/>
  <c r="L135" i="11"/>
  <c r="K135" i="11"/>
  <c r="J135" i="11"/>
  <c r="AC514" i="11"/>
  <c r="AB514" i="11"/>
  <c r="AA514" i="11"/>
  <c r="Z514" i="11"/>
  <c r="Y514" i="11"/>
  <c r="X514" i="11"/>
  <c r="W514" i="11"/>
  <c r="V514" i="11"/>
  <c r="U514" i="11"/>
  <c r="T514" i="11"/>
  <c r="S514" i="11"/>
  <c r="R514" i="11"/>
  <c r="Q514" i="11"/>
  <c r="P514" i="11"/>
  <c r="O514" i="11"/>
  <c r="N514" i="11"/>
  <c r="M514" i="11"/>
  <c r="L514" i="11"/>
  <c r="K514" i="11"/>
  <c r="J514" i="11"/>
  <c r="AC578" i="11"/>
  <c r="AB578" i="11"/>
  <c r="AA578" i="11"/>
  <c r="Z578" i="11"/>
  <c r="Y578" i="11"/>
  <c r="X578" i="11"/>
  <c r="W578" i="11"/>
  <c r="V578" i="11"/>
  <c r="U578" i="11"/>
  <c r="T578" i="11"/>
  <c r="S578" i="11"/>
  <c r="R578" i="11"/>
  <c r="Q578" i="11"/>
  <c r="P578" i="11"/>
  <c r="O578" i="11"/>
  <c r="N578" i="11"/>
  <c r="M578" i="11"/>
  <c r="L578" i="11"/>
  <c r="K578" i="11"/>
  <c r="J578" i="11"/>
  <c r="AC577" i="11"/>
  <c r="AB577" i="11"/>
  <c r="AA577" i="11"/>
  <c r="Z577" i="11"/>
  <c r="Y577" i="11"/>
  <c r="X577" i="11"/>
  <c r="W577" i="11"/>
  <c r="V577" i="11"/>
  <c r="U577" i="11"/>
  <c r="T577" i="11"/>
  <c r="S577" i="11"/>
  <c r="R577" i="11"/>
  <c r="Q577" i="11"/>
  <c r="P577" i="11"/>
  <c r="O577" i="11"/>
  <c r="N577" i="11"/>
  <c r="M577" i="11"/>
  <c r="L577" i="11"/>
  <c r="K577" i="11"/>
  <c r="J577" i="11"/>
  <c r="AC364" i="11"/>
  <c r="AB364" i="11"/>
  <c r="AA364" i="11"/>
  <c r="Z364" i="11"/>
  <c r="Y364" i="11"/>
  <c r="X364" i="11"/>
  <c r="W364" i="11"/>
  <c r="V364" i="11"/>
  <c r="U364" i="11"/>
  <c r="T364" i="11"/>
  <c r="S364" i="11"/>
  <c r="R364" i="11"/>
  <c r="Q364" i="11"/>
  <c r="P364" i="11"/>
  <c r="O364" i="11"/>
  <c r="N364" i="11"/>
  <c r="M364" i="11"/>
  <c r="L364" i="11"/>
  <c r="K364" i="11"/>
  <c r="J364" i="11"/>
  <c r="AC1040" i="11"/>
  <c r="AB1040" i="11"/>
  <c r="AA1040" i="11"/>
  <c r="Z1040" i="11"/>
  <c r="Y1040" i="11"/>
  <c r="X1040" i="11"/>
  <c r="W1040" i="11"/>
  <c r="V1040" i="11"/>
  <c r="U1040" i="11"/>
  <c r="T1040" i="11"/>
  <c r="S1040" i="11"/>
  <c r="R1040" i="11"/>
  <c r="Q1040" i="11"/>
  <c r="P1040" i="11"/>
  <c r="O1040" i="11"/>
  <c r="N1040" i="11"/>
  <c r="M1040" i="11"/>
  <c r="L1040" i="11"/>
  <c r="K1040" i="11"/>
  <c r="J1040" i="11"/>
  <c r="AC327" i="11"/>
  <c r="AB327" i="11"/>
  <c r="AA327" i="11"/>
  <c r="Z327" i="11"/>
  <c r="Y327" i="11"/>
  <c r="X327" i="11"/>
  <c r="W327" i="11"/>
  <c r="V327" i="11"/>
  <c r="U327" i="11"/>
  <c r="T327" i="11"/>
  <c r="S327" i="11"/>
  <c r="R327" i="11"/>
  <c r="Q327" i="11"/>
  <c r="P327" i="11"/>
  <c r="O327" i="11"/>
  <c r="N327" i="11"/>
  <c r="M327" i="11"/>
  <c r="L327" i="11"/>
  <c r="K327" i="11"/>
  <c r="J327" i="11"/>
  <c r="AC744" i="11"/>
  <c r="AB744" i="11"/>
  <c r="AA744" i="11"/>
  <c r="Z744" i="11"/>
  <c r="Y744" i="11"/>
  <c r="X744" i="11"/>
  <c r="W744" i="11"/>
  <c r="V744" i="11"/>
  <c r="U744" i="11"/>
  <c r="T744" i="11"/>
  <c r="S744" i="11"/>
  <c r="R744" i="11"/>
  <c r="Q744" i="11"/>
  <c r="P744" i="11"/>
  <c r="O744" i="11"/>
  <c r="N744" i="11"/>
  <c r="M744" i="11"/>
  <c r="L744" i="11"/>
  <c r="K744" i="11"/>
  <c r="J744" i="11"/>
  <c r="AC363" i="11"/>
  <c r="AB363" i="11"/>
  <c r="AA363" i="11"/>
  <c r="Z363" i="11"/>
  <c r="Y363" i="11"/>
  <c r="X363" i="11"/>
  <c r="W363" i="11"/>
  <c r="V363" i="11"/>
  <c r="U363" i="11"/>
  <c r="T363" i="11"/>
  <c r="S363" i="11"/>
  <c r="R363" i="11"/>
  <c r="Q363" i="11"/>
  <c r="P363" i="11"/>
  <c r="O363" i="11"/>
  <c r="N363" i="11"/>
  <c r="M363" i="11"/>
  <c r="L363" i="11"/>
  <c r="K363" i="11"/>
  <c r="J363" i="11"/>
  <c r="AC1206" i="11"/>
  <c r="AB1206" i="11"/>
  <c r="AA1206" i="11"/>
  <c r="Z1206" i="11"/>
  <c r="Y1206" i="11"/>
  <c r="X1206" i="11"/>
  <c r="W1206" i="11"/>
  <c r="V1206" i="11"/>
  <c r="U1206" i="11"/>
  <c r="T1206" i="11"/>
  <c r="S1206" i="11"/>
  <c r="R1206" i="11"/>
  <c r="Q1206" i="11"/>
  <c r="P1206" i="11"/>
  <c r="O1206" i="11"/>
  <c r="N1206" i="11"/>
  <c r="M1206" i="11"/>
  <c r="L1206" i="11"/>
  <c r="K1206" i="11"/>
  <c r="J1206" i="11"/>
  <c r="AC2165" i="11"/>
  <c r="AB2165" i="11"/>
  <c r="AA2165" i="11"/>
  <c r="Z2165" i="11"/>
  <c r="Y2165" i="11"/>
  <c r="X2165" i="11"/>
  <c r="W2165" i="11"/>
  <c r="V2165" i="11"/>
  <c r="U2165" i="11"/>
  <c r="T2165" i="11"/>
  <c r="S2165" i="11"/>
  <c r="R2165" i="11"/>
  <c r="Q2165" i="11"/>
  <c r="P2165" i="11"/>
  <c r="O2165" i="11"/>
  <c r="N2165" i="11"/>
  <c r="M2165" i="11"/>
  <c r="L2165" i="11"/>
  <c r="K2165" i="11"/>
  <c r="J2165" i="11"/>
  <c r="AC234" i="11"/>
  <c r="AB234" i="11"/>
  <c r="AA234" i="11"/>
  <c r="Z234" i="11"/>
  <c r="Y234" i="11"/>
  <c r="X234" i="11"/>
  <c r="W234" i="11"/>
  <c r="V234" i="11"/>
  <c r="U234" i="11"/>
  <c r="T234" i="11"/>
  <c r="S234" i="11"/>
  <c r="R234" i="11"/>
  <c r="Q234" i="11"/>
  <c r="P234" i="11"/>
  <c r="O234" i="11"/>
  <c r="N234" i="11"/>
  <c r="M234" i="11"/>
  <c r="L234" i="11"/>
  <c r="K234" i="11"/>
  <c r="J234" i="11"/>
  <c r="AC1794" i="11"/>
  <c r="AB1794" i="11"/>
  <c r="AA1794" i="11"/>
  <c r="Z1794" i="11"/>
  <c r="Y1794" i="11"/>
  <c r="X1794" i="11"/>
  <c r="W1794" i="11"/>
  <c r="V1794" i="11"/>
  <c r="U1794" i="11"/>
  <c r="T1794" i="11"/>
  <c r="S1794" i="11"/>
  <c r="R1794" i="11"/>
  <c r="Q1794" i="11"/>
  <c r="P1794" i="11"/>
  <c r="O1794" i="11"/>
  <c r="N1794" i="11"/>
  <c r="M1794" i="11"/>
  <c r="L1794" i="11"/>
  <c r="K1794" i="11"/>
  <c r="J1794" i="11"/>
  <c r="AC1205" i="11"/>
  <c r="AB1205" i="11"/>
  <c r="AA1205" i="11"/>
  <c r="Z1205" i="11"/>
  <c r="Y1205" i="11"/>
  <c r="X1205" i="11"/>
  <c r="W1205" i="11"/>
  <c r="V1205" i="11"/>
  <c r="U1205" i="11"/>
  <c r="T1205" i="11"/>
  <c r="S1205" i="11"/>
  <c r="R1205" i="11"/>
  <c r="Q1205" i="11"/>
  <c r="P1205" i="11"/>
  <c r="O1205" i="11"/>
  <c r="N1205" i="11"/>
  <c r="M1205" i="11"/>
  <c r="L1205" i="11"/>
  <c r="K1205" i="11"/>
  <c r="J1205" i="11"/>
  <c r="AC1698" i="11"/>
  <c r="AB1698" i="11"/>
  <c r="AA1698" i="11"/>
  <c r="Z1698" i="11"/>
  <c r="Y1698" i="11"/>
  <c r="X1698" i="11"/>
  <c r="W1698" i="11"/>
  <c r="V1698" i="11"/>
  <c r="U1698" i="11"/>
  <c r="T1698" i="11"/>
  <c r="S1698" i="11"/>
  <c r="R1698" i="11"/>
  <c r="Q1698" i="11"/>
  <c r="P1698" i="11"/>
  <c r="O1698" i="11"/>
  <c r="N1698" i="11"/>
  <c r="M1698" i="11"/>
  <c r="L1698" i="11"/>
  <c r="K1698" i="11"/>
  <c r="J1698" i="11"/>
  <c r="AC1754" i="11"/>
  <c r="AB1754" i="11"/>
  <c r="AA1754" i="11"/>
  <c r="Z1754" i="11"/>
  <c r="Y1754" i="11"/>
  <c r="X1754" i="11"/>
  <c r="W1754" i="11"/>
  <c r="V1754" i="11"/>
  <c r="U1754" i="11"/>
  <c r="T1754" i="11"/>
  <c r="S1754" i="11"/>
  <c r="R1754" i="11"/>
  <c r="Q1754" i="11"/>
  <c r="P1754" i="11"/>
  <c r="O1754" i="11"/>
  <c r="N1754" i="11"/>
  <c r="M1754" i="11"/>
  <c r="L1754" i="11"/>
  <c r="K1754" i="11"/>
  <c r="J1754" i="11"/>
  <c r="AC815" i="11"/>
  <c r="AB815" i="11"/>
  <c r="AA815" i="11"/>
  <c r="Z815" i="11"/>
  <c r="Y815" i="11"/>
  <c r="X815" i="11"/>
  <c r="W815" i="11"/>
  <c r="V815" i="11"/>
  <c r="U815" i="11"/>
  <c r="T815" i="11"/>
  <c r="S815" i="11"/>
  <c r="R815" i="11"/>
  <c r="Q815" i="11"/>
  <c r="P815" i="11"/>
  <c r="O815" i="11"/>
  <c r="N815" i="11"/>
  <c r="M815" i="11"/>
  <c r="L815" i="11"/>
  <c r="K815" i="11"/>
  <c r="J815" i="11"/>
  <c r="AC164" i="11"/>
  <c r="AB164" i="11"/>
  <c r="AA164" i="11"/>
  <c r="Z164" i="11"/>
  <c r="Y164" i="11"/>
  <c r="X164" i="11"/>
  <c r="W164" i="11"/>
  <c r="V164" i="11"/>
  <c r="U164" i="11"/>
  <c r="T164" i="11"/>
  <c r="S164" i="11"/>
  <c r="R164" i="11"/>
  <c r="Q164" i="11"/>
  <c r="P164" i="11"/>
  <c r="O164" i="11"/>
  <c r="N164" i="11"/>
  <c r="M164" i="11"/>
  <c r="L164" i="11"/>
  <c r="K164" i="11"/>
  <c r="J164" i="11"/>
  <c r="AC163" i="11"/>
  <c r="AB163" i="11"/>
  <c r="AA163" i="11"/>
  <c r="Z163" i="11"/>
  <c r="Y163" i="11"/>
  <c r="X163" i="11"/>
  <c r="W163" i="11"/>
  <c r="V163" i="11"/>
  <c r="U163" i="11"/>
  <c r="T163" i="11"/>
  <c r="S163" i="11"/>
  <c r="R163" i="11"/>
  <c r="Q163" i="11"/>
  <c r="P163" i="11"/>
  <c r="O163" i="11"/>
  <c r="N163" i="11"/>
  <c r="M163" i="11"/>
  <c r="L163" i="11"/>
  <c r="K163" i="11"/>
  <c r="J163" i="11"/>
  <c r="AC74" i="11"/>
  <c r="AB74" i="11"/>
  <c r="AA74" i="11"/>
  <c r="Z74" i="11"/>
  <c r="Y74" i="11"/>
  <c r="X74" i="11"/>
  <c r="W74" i="11"/>
  <c r="V74" i="11"/>
  <c r="U74" i="11"/>
  <c r="T74" i="11"/>
  <c r="S74" i="11"/>
  <c r="R74" i="11"/>
  <c r="Q74" i="11"/>
  <c r="P74" i="11"/>
  <c r="O74" i="11"/>
  <c r="N74" i="11"/>
  <c r="M74" i="11"/>
  <c r="L74" i="11"/>
  <c r="K74" i="11"/>
  <c r="J74" i="11"/>
  <c r="AC961" i="11"/>
  <c r="AB961" i="11"/>
  <c r="AA961" i="11"/>
  <c r="Z961" i="11"/>
  <c r="Y961" i="11"/>
  <c r="X961" i="11"/>
  <c r="W961" i="11"/>
  <c r="V961" i="11"/>
  <c r="U961" i="11"/>
  <c r="T961" i="11"/>
  <c r="S961" i="11"/>
  <c r="R961" i="11"/>
  <c r="Q961" i="11"/>
  <c r="P961" i="11"/>
  <c r="O961" i="11"/>
  <c r="N961" i="11"/>
  <c r="M961" i="11"/>
  <c r="L961" i="11"/>
  <c r="K961" i="11"/>
  <c r="J961" i="11"/>
  <c r="AC362" i="11"/>
  <c r="AB362" i="11"/>
  <c r="AA362" i="11"/>
  <c r="Z362" i="11"/>
  <c r="Y362" i="11"/>
  <c r="X362" i="11"/>
  <c r="W362" i="11"/>
  <c r="V362" i="11"/>
  <c r="U362" i="11"/>
  <c r="T362" i="11"/>
  <c r="S362" i="11"/>
  <c r="R362" i="11"/>
  <c r="Q362" i="11"/>
  <c r="P362" i="11"/>
  <c r="O362" i="11"/>
  <c r="N362" i="11"/>
  <c r="M362" i="11"/>
  <c r="L362" i="11"/>
  <c r="K362" i="11"/>
  <c r="J362" i="11"/>
  <c r="AC1039" i="11"/>
  <c r="AB1039" i="11"/>
  <c r="AA1039" i="11"/>
  <c r="Z1039" i="11"/>
  <c r="Y1039" i="11"/>
  <c r="X1039" i="11"/>
  <c r="W1039" i="11"/>
  <c r="V1039" i="11"/>
  <c r="U1039" i="11"/>
  <c r="T1039" i="11"/>
  <c r="S1039" i="11"/>
  <c r="R1039" i="11"/>
  <c r="Q1039" i="11"/>
  <c r="P1039" i="11"/>
  <c r="O1039" i="11"/>
  <c r="N1039" i="11"/>
  <c r="M1039" i="11"/>
  <c r="L1039" i="11"/>
  <c r="K1039" i="11"/>
  <c r="J1039" i="11"/>
  <c r="AC879" i="11"/>
  <c r="AB879" i="11"/>
  <c r="AA879" i="11"/>
  <c r="Z879" i="11"/>
  <c r="Y879" i="11"/>
  <c r="X879" i="11"/>
  <c r="W879" i="11"/>
  <c r="V879" i="11"/>
  <c r="U879" i="11"/>
  <c r="T879" i="11"/>
  <c r="S879" i="11"/>
  <c r="R879" i="11"/>
  <c r="Q879" i="11"/>
  <c r="P879" i="11"/>
  <c r="O879" i="11"/>
  <c r="N879" i="11"/>
  <c r="M879" i="11"/>
  <c r="L879" i="11"/>
  <c r="K879" i="11"/>
  <c r="J879" i="11"/>
  <c r="AC878" i="11"/>
  <c r="AB878" i="11"/>
  <c r="AA878" i="11"/>
  <c r="Z878" i="11"/>
  <c r="Y878" i="11"/>
  <c r="X878" i="11"/>
  <c r="W878" i="11"/>
  <c r="V878" i="11"/>
  <c r="U878" i="11"/>
  <c r="T878" i="11"/>
  <c r="S878" i="11"/>
  <c r="R878" i="11"/>
  <c r="Q878" i="11"/>
  <c r="P878" i="11"/>
  <c r="O878" i="11"/>
  <c r="N878" i="11"/>
  <c r="M878" i="11"/>
  <c r="L878" i="11"/>
  <c r="K878" i="11"/>
  <c r="J878" i="11"/>
  <c r="AC652" i="11"/>
  <c r="AB652" i="11"/>
  <c r="AA652" i="11"/>
  <c r="Z652" i="11"/>
  <c r="Y652" i="11"/>
  <c r="X652" i="11"/>
  <c r="W652" i="11"/>
  <c r="V652" i="11"/>
  <c r="U652" i="11"/>
  <c r="T652" i="11"/>
  <c r="S652" i="11"/>
  <c r="R652" i="11"/>
  <c r="Q652" i="11"/>
  <c r="P652" i="11"/>
  <c r="O652" i="11"/>
  <c r="N652" i="11"/>
  <c r="M652" i="11"/>
  <c r="L652" i="11"/>
  <c r="K652" i="11"/>
  <c r="J652" i="11"/>
  <c r="AC1482" i="11"/>
  <c r="AB1482" i="11"/>
  <c r="AA1482" i="11"/>
  <c r="Z1482" i="11"/>
  <c r="Y1482" i="11"/>
  <c r="X1482" i="11"/>
  <c r="W1482" i="11"/>
  <c r="V1482" i="11"/>
  <c r="U1482" i="11"/>
  <c r="T1482" i="11"/>
  <c r="S1482" i="11"/>
  <c r="R1482" i="11"/>
  <c r="Q1482" i="11"/>
  <c r="P1482" i="11"/>
  <c r="O1482" i="11"/>
  <c r="N1482" i="11"/>
  <c r="M1482" i="11"/>
  <c r="L1482" i="11"/>
  <c r="K1482" i="11"/>
  <c r="J1482" i="11"/>
  <c r="AC1481" i="11"/>
  <c r="AB1481" i="11"/>
  <c r="AA1481" i="11"/>
  <c r="Z1481" i="11"/>
  <c r="Y1481" i="11"/>
  <c r="X1481" i="11"/>
  <c r="W1481" i="11"/>
  <c r="V1481" i="11"/>
  <c r="U1481" i="11"/>
  <c r="T1481" i="11"/>
  <c r="S1481" i="11"/>
  <c r="R1481" i="11"/>
  <c r="Q1481" i="11"/>
  <c r="P1481" i="11"/>
  <c r="O1481" i="11"/>
  <c r="N1481" i="11"/>
  <c r="M1481" i="11"/>
  <c r="L1481" i="11"/>
  <c r="K1481" i="11"/>
  <c r="J1481" i="11"/>
  <c r="AC513" i="11"/>
  <c r="AB513" i="11"/>
  <c r="AA513" i="11"/>
  <c r="Z513" i="11"/>
  <c r="Y513" i="11"/>
  <c r="X513" i="11"/>
  <c r="W513" i="11"/>
  <c r="V513" i="11"/>
  <c r="U513" i="11"/>
  <c r="T513" i="11"/>
  <c r="S513" i="11"/>
  <c r="R513" i="11"/>
  <c r="Q513" i="11"/>
  <c r="P513" i="11"/>
  <c r="O513" i="11"/>
  <c r="N513" i="11"/>
  <c r="M513" i="11"/>
  <c r="L513" i="11"/>
  <c r="K513" i="11"/>
  <c r="J513" i="11"/>
  <c r="AC814" i="11"/>
  <c r="AB814" i="11"/>
  <c r="AA814" i="11"/>
  <c r="Z814" i="11"/>
  <c r="Y814" i="11"/>
  <c r="X814" i="11"/>
  <c r="W814" i="11"/>
  <c r="V814" i="11"/>
  <c r="U814" i="11"/>
  <c r="T814" i="11"/>
  <c r="S814" i="11"/>
  <c r="R814" i="11"/>
  <c r="Q814" i="11"/>
  <c r="P814" i="11"/>
  <c r="O814" i="11"/>
  <c r="N814" i="11"/>
  <c r="M814" i="11"/>
  <c r="L814" i="11"/>
  <c r="K814" i="11"/>
  <c r="J814" i="11"/>
  <c r="AC1256" i="11"/>
  <c r="AB1256" i="11"/>
  <c r="AA1256" i="11"/>
  <c r="Z1256" i="11"/>
  <c r="Y1256" i="11"/>
  <c r="X1256" i="11"/>
  <c r="W1256" i="11"/>
  <c r="V1256" i="11"/>
  <c r="U1256" i="11"/>
  <c r="T1256" i="11"/>
  <c r="S1256" i="11"/>
  <c r="R1256" i="11"/>
  <c r="Q1256" i="11"/>
  <c r="P1256" i="11"/>
  <c r="O1256" i="11"/>
  <c r="N1256" i="11"/>
  <c r="M1256" i="11"/>
  <c r="L1256" i="11"/>
  <c r="K1256" i="11"/>
  <c r="J1256" i="11"/>
  <c r="AC1900" i="11"/>
  <c r="AB1900" i="11"/>
  <c r="AA1900" i="11"/>
  <c r="Z1900" i="11"/>
  <c r="Y1900" i="11"/>
  <c r="X1900" i="11"/>
  <c r="W1900" i="11"/>
  <c r="V1900" i="11"/>
  <c r="U1900" i="11"/>
  <c r="T1900" i="11"/>
  <c r="S1900" i="11"/>
  <c r="R1900" i="11"/>
  <c r="Q1900" i="11"/>
  <c r="P1900" i="11"/>
  <c r="O1900" i="11"/>
  <c r="N1900" i="11"/>
  <c r="M1900" i="11"/>
  <c r="L1900" i="11"/>
  <c r="K1900" i="11"/>
  <c r="J1900" i="11"/>
  <c r="AC1899" i="11"/>
  <c r="AB1899" i="11"/>
  <c r="AA1899" i="11"/>
  <c r="Z1899" i="11"/>
  <c r="Y1899" i="11"/>
  <c r="X1899" i="11"/>
  <c r="W1899" i="11"/>
  <c r="V1899" i="11"/>
  <c r="U1899" i="11"/>
  <c r="T1899" i="11"/>
  <c r="S1899" i="11"/>
  <c r="R1899" i="11"/>
  <c r="Q1899" i="11"/>
  <c r="P1899" i="11"/>
  <c r="O1899" i="11"/>
  <c r="N1899" i="11"/>
  <c r="M1899" i="11"/>
  <c r="L1899" i="11"/>
  <c r="K1899" i="11"/>
  <c r="J1899" i="11"/>
  <c r="AC1947" i="11"/>
  <c r="AB1947" i="11"/>
  <c r="AA1947" i="11"/>
  <c r="Z1947" i="11"/>
  <c r="Y1947" i="11"/>
  <c r="X1947" i="11"/>
  <c r="W1947" i="11"/>
  <c r="V1947" i="11"/>
  <c r="U1947" i="11"/>
  <c r="T1947" i="11"/>
  <c r="S1947" i="11"/>
  <c r="R1947" i="11"/>
  <c r="Q1947" i="11"/>
  <c r="P1947" i="11"/>
  <c r="O1947" i="11"/>
  <c r="N1947" i="11"/>
  <c r="M1947" i="11"/>
  <c r="L1947" i="11"/>
  <c r="K1947" i="11"/>
  <c r="J1947" i="11"/>
  <c r="AC960" i="11"/>
  <c r="AB960" i="11"/>
  <c r="AA960" i="11"/>
  <c r="Z960" i="11"/>
  <c r="Y960" i="11"/>
  <c r="X960" i="11"/>
  <c r="W960" i="11"/>
  <c r="V960" i="11"/>
  <c r="U960" i="11"/>
  <c r="T960" i="11"/>
  <c r="S960" i="11"/>
  <c r="R960" i="11"/>
  <c r="Q960" i="11"/>
  <c r="P960" i="11"/>
  <c r="O960" i="11"/>
  <c r="N960" i="11"/>
  <c r="M960" i="11"/>
  <c r="L960" i="11"/>
  <c r="K960" i="11"/>
  <c r="J960" i="11"/>
  <c r="AC1311" i="11"/>
  <c r="AB1311" i="11"/>
  <c r="AA1311" i="11"/>
  <c r="Z1311" i="11"/>
  <c r="Y1311" i="11"/>
  <c r="X1311" i="11"/>
  <c r="W1311" i="11"/>
  <c r="V1311" i="11"/>
  <c r="U1311" i="11"/>
  <c r="T1311" i="11"/>
  <c r="S1311" i="11"/>
  <c r="R1311" i="11"/>
  <c r="Q1311" i="11"/>
  <c r="P1311" i="11"/>
  <c r="O1311" i="11"/>
  <c r="N1311" i="11"/>
  <c r="M1311" i="11"/>
  <c r="L1311" i="11"/>
  <c r="K1311" i="11"/>
  <c r="J1311" i="11"/>
  <c r="AC24" i="11"/>
  <c r="AB24" i="11"/>
  <c r="AA24" i="11"/>
  <c r="Z24" i="11"/>
  <c r="Y24" i="11"/>
  <c r="X24" i="11"/>
  <c r="W24" i="11"/>
  <c r="V24" i="11"/>
  <c r="U24" i="11"/>
  <c r="T24" i="11"/>
  <c r="S24" i="11"/>
  <c r="R24" i="11"/>
  <c r="Q24" i="11"/>
  <c r="P24" i="11"/>
  <c r="O24" i="11"/>
  <c r="N24" i="11"/>
  <c r="M24" i="11"/>
  <c r="L24" i="11"/>
  <c r="K24" i="11"/>
  <c r="J24" i="11"/>
  <c r="AC42" i="11"/>
  <c r="AB42" i="11"/>
  <c r="AA42" i="11"/>
  <c r="Z42" i="11"/>
  <c r="Y42" i="11"/>
  <c r="X42" i="11"/>
  <c r="W42" i="11"/>
  <c r="V42" i="11"/>
  <c r="U42" i="11"/>
  <c r="T42" i="11"/>
  <c r="S42" i="11"/>
  <c r="R42" i="11"/>
  <c r="Q42" i="11"/>
  <c r="P42" i="11"/>
  <c r="O42" i="11"/>
  <c r="N42" i="11"/>
  <c r="M42" i="11"/>
  <c r="L42" i="11"/>
  <c r="K42" i="11"/>
  <c r="J42" i="11"/>
  <c r="AC512" i="11"/>
  <c r="AB512" i="11"/>
  <c r="AA512" i="11"/>
  <c r="Z512" i="11"/>
  <c r="Y512" i="11"/>
  <c r="X512" i="11"/>
  <c r="W512" i="11"/>
  <c r="V512" i="11"/>
  <c r="U512" i="11"/>
  <c r="T512" i="11"/>
  <c r="S512" i="11"/>
  <c r="R512" i="11"/>
  <c r="Q512" i="11"/>
  <c r="P512" i="11"/>
  <c r="O512" i="11"/>
  <c r="N512" i="11"/>
  <c r="M512" i="11"/>
  <c r="L512" i="11"/>
  <c r="K512" i="11"/>
  <c r="J512" i="11"/>
  <c r="AC233" i="11"/>
  <c r="AB233" i="11"/>
  <c r="AA233" i="11"/>
  <c r="Z233" i="11"/>
  <c r="Y233" i="11"/>
  <c r="X233" i="11"/>
  <c r="W233" i="11"/>
  <c r="V233" i="11"/>
  <c r="U233" i="11"/>
  <c r="T233" i="11"/>
  <c r="S233" i="11"/>
  <c r="R233" i="11"/>
  <c r="Q233" i="11"/>
  <c r="P233" i="11"/>
  <c r="O233" i="11"/>
  <c r="N233" i="11"/>
  <c r="M233" i="11"/>
  <c r="L233" i="11"/>
  <c r="K233" i="11"/>
  <c r="J233" i="11"/>
  <c r="AC1432" i="11"/>
  <c r="AB1432" i="11"/>
  <c r="AA1432" i="11"/>
  <c r="Z1432" i="11"/>
  <c r="Y1432" i="11"/>
  <c r="X1432" i="11"/>
  <c r="W1432" i="11"/>
  <c r="V1432" i="11"/>
  <c r="U1432" i="11"/>
  <c r="T1432" i="11"/>
  <c r="S1432" i="11"/>
  <c r="R1432" i="11"/>
  <c r="Q1432" i="11"/>
  <c r="P1432" i="11"/>
  <c r="O1432" i="11"/>
  <c r="N1432" i="11"/>
  <c r="M1432" i="11"/>
  <c r="L1432" i="11"/>
  <c r="K1432" i="11"/>
  <c r="J1432" i="11"/>
  <c r="AC1204" i="11"/>
  <c r="AB1204" i="11"/>
  <c r="AA1204" i="11"/>
  <c r="Z1204" i="11"/>
  <c r="Y1204" i="11"/>
  <c r="X1204" i="11"/>
  <c r="W1204" i="11"/>
  <c r="V1204" i="11"/>
  <c r="U1204" i="11"/>
  <c r="T1204" i="11"/>
  <c r="S1204" i="11"/>
  <c r="R1204" i="11"/>
  <c r="Q1204" i="11"/>
  <c r="P1204" i="11"/>
  <c r="O1204" i="11"/>
  <c r="N1204" i="11"/>
  <c r="M1204" i="11"/>
  <c r="L1204" i="11"/>
  <c r="K1204" i="11"/>
  <c r="J1204" i="11"/>
  <c r="AC1038" i="11"/>
  <c r="AB1038" i="11"/>
  <c r="AA1038" i="11"/>
  <c r="Z1038" i="11"/>
  <c r="Y1038" i="11"/>
  <c r="X1038" i="11"/>
  <c r="W1038" i="11"/>
  <c r="V1038" i="11"/>
  <c r="U1038" i="11"/>
  <c r="T1038" i="11"/>
  <c r="S1038" i="11"/>
  <c r="R1038" i="11"/>
  <c r="Q1038" i="11"/>
  <c r="P1038" i="11"/>
  <c r="O1038" i="11"/>
  <c r="N1038" i="11"/>
  <c r="M1038" i="11"/>
  <c r="L1038" i="11"/>
  <c r="K1038" i="11"/>
  <c r="J1038" i="11"/>
  <c r="AC1572" i="11"/>
  <c r="AB1572" i="11"/>
  <c r="AA1572" i="11"/>
  <c r="Z1572" i="11"/>
  <c r="Y1572" i="11"/>
  <c r="X1572" i="11"/>
  <c r="W1572" i="11"/>
  <c r="V1572" i="11"/>
  <c r="U1572" i="11"/>
  <c r="T1572" i="11"/>
  <c r="S1572" i="11"/>
  <c r="R1572" i="11"/>
  <c r="Q1572" i="11"/>
  <c r="P1572" i="11"/>
  <c r="O1572" i="11"/>
  <c r="N1572" i="11"/>
  <c r="M1572" i="11"/>
  <c r="L1572" i="11"/>
  <c r="K1572" i="11"/>
  <c r="J1572" i="11"/>
  <c r="AC1037" i="11"/>
  <c r="AB1037" i="11"/>
  <c r="AA1037" i="11"/>
  <c r="Z1037" i="11"/>
  <c r="Y1037" i="11"/>
  <c r="X1037" i="11"/>
  <c r="W1037" i="11"/>
  <c r="V1037" i="11"/>
  <c r="U1037" i="11"/>
  <c r="T1037" i="11"/>
  <c r="S1037" i="11"/>
  <c r="R1037" i="11"/>
  <c r="Q1037" i="11"/>
  <c r="P1037" i="11"/>
  <c r="O1037" i="11"/>
  <c r="N1037" i="11"/>
  <c r="M1037" i="11"/>
  <c r="L1037" i="11"/>
  <c r="K1037" i="11"/>
  <c r="J1037" i="11"/>
  <c r="AC2108" i="11"/>
  <c r="AB2108" i="11"/>
  <c r="AA2108" i="11"/>
  <c r="Z2108" i="11"/>
  <c r="Y2108" i="11"/>
  <c r="X2108" i="11"/>
  <c r="W2108" i="11"/>
  <c r="V2108" i="11"/>
  <c r="U2108" i="11"/>
  <c r="T2108" i="11"/>
  <c r="S2108" i="11"/>
  <c r="R2108" i="11"/>
  <c r="Q2108" i="11"/>
  <c r="P2108" i="11"/>
  <c r="O2108" i="11"/>
  <c r="N2108" i="11"/>
  <c r="M2108" i="11"/>
  <c r="L2108" i="11"/>
  <c r="K2108" i="11"/>
  <c r="J2108" i="11"/>
  <c r="AC576" i="11"/>
  <c r="AB576" i="11"/>
  <c r="AA576" i="11"/>
  <c r="Z576" i="11"/>
  <c r="Y576" i="11"/>
  <c r="X576" i="11"/>
  <c r="W576" i="11"/>
  <c r="V576" i="11"/>
  <c r="U576" i="11"/>
  <c r="T576" i="11"/>
  <c r="S576" i="11"/>
  <c r="R576" i="11"/>
  <c r="Q576" i="11"/>
  <c r="P576" i="11"/>
  <c r="O576" i="11"/>
  <c r="N576" i="11"/>
  <c r="M576" i="11"/>
  <c r="L576" i="11"/>
  <c r="K576" i="11"/>
  <c r="J576" i="11"/>
  <c r="AC813" i="11"/>
  <c r="AB813" i="11"/>
  <c r="AA813" i="11"/>
  <c r="Z813" i="11"/>
  <c r="Y813" i="11"/>
  <c r="X813" i="11"/>
  <c r="W813" i="11"/>
  <c r="V813" i="11"/>
  <c r="U813" i="11"/>
  <c r="T813" i="11"/>
  <c r="S813" i="11"/>
  <c r="R813" i="11"/>
  <c r="Q813" i="11"/>
  <c r="P813" i="11"/>
  <c r="O813" i="11"/>
  <c r="N813" i="11"/>
  <c r="M813" i="11"/>
  <c r="L813" i="11"/>
  <c r="K813" i="11"/>
  <c r="J813" i="11"/>
  <c r="AC1125" i="11"/>
  <c r="AB1125" i="11"/>
  <c r="AA1125" i="11"/>
  <c r="Z1125" i="11"/>
  <c r="Y1125" i="11"/>
  <c r="X1125" i="11"/>
  <c r="W1125" i="11"/>
  <c r="V1125" i="11"/>
  <c r="U1125" i="11"/>
  <c r="T1125" i="11"/>
  <c r="S1125" i="11"/>
  <c r="R1125" i="11"/>
  <c r="Q1125" i="11"/>
  <c r="P1125" i="11"/>
  <c r="O1125" i="11"/>
  <c r="N1125" i="11"/>
  <c r="M1125" i="11"/>
  <c r="L1125" i="11"/>
  <c r="K1125" i="11"/>
  <c r="J1125" i="11"/>
  <c r="AC877" i="11"/>
  <c r="AB877" i="11"/>
  <c r="AA877" i="11"/>
  <c r="Z877" i="11"/>
  <c r="Y877" i="11"/>
  <c r="X877" i="11"/>
  <c r="W877" i="11"/>
  <c r="V877" i="11"/>
  <c r="U877" i="11"/>
  <c r="T877" i="11"/>
  <c r="S877" i="11"/>
  <c r="R877" i="11"/>
  <c r="Q877" i="11"/>
  <c r="P877" i="11"/>
  <c r="O877" i="11"/>
  <c r="N877" i="11"/>
  <c r="M877" i="11"/>
  <c r="L877" i="11"/>
  <c r="K877" i="11"/>
  <c r="J877" i="11"/>
  <c r="AC743" i="11"/>
  <c r="AB743" i="11"/>
  <c r="AA743" i="11"/>
  <c r="Z743" i="11"/>
  <c r="Y743" i="11"/>
  <c r="X743" i="11"/>
  <c r="W743" i="11"/>
  <c r="V743" i="11"/>
  <c r="U743" i="11"/>
  <c r="T743" i="11"/>
  <c r="S743" i="11"/>
  <c r="R743" i="11"/>
  <c r="Q743" i="11"/>
  <c r="P743" i="11"/>
  <c r="O743" i="11"/>
  <c r="N743" i="11"/>
  <c r="M743" i="11"/>
  <c r="L743" i="11"/>
  <c r="K743" i="11"/>
  <c r="J743" i="11"/>
  <c r="AC1793" i="11"/>
  <c r="AB1793" i="11"/>
  <c r="AA1793" i="11"/>
  <c r="Z1793" i="11"/>
  <c r="Y1793" i="11"/>
  <c r="X1793" i="11"/>
  <c r="W1793" i="11"/>
  <c r="V1793" i="11"/>
  <c r="U1793" i="11"/>
  <c r="T1793" i="11"/>
  <c r="S1793" i="11"/>
  <c r="R1793" i="11"/>
  <c r="Q1793" i="11"/>
  <c r="P1793" i="11"/>
  <c r="O1793" i="11"/>
  <c r="N1793" i="11"/>
  <c r="M1793" i="11"/>
  <c r="L1793" i="11"/>
  <c r="K1793" i="11"/>
  <c r="J1793" i="11"/>
  <c r="AC1203" i="11"/>
  <c r="AB1203" i="11"/>
  <c r="AA1203" i="11"/>
  <c r="Z1203" i="11"/>
  <c r="Y1203" i="11"/>
  <c r="X1203" i="11"/>
  <c r="W1203" i="11"/>
  <c r="V1203" i="11"/>
  <c r="U1203" i="11"/>
  <c r="T1203" i="11"/>
  <c r="S1203" i="11"/>
  <c r="R1203" i="11"/>
  <c r="Q1203" i="11"/>
  <c r="P1203" i="11"/>
  <c r="O1203" i="11"/>
  <c r="N1203" i="11"/>
  <c r="M1203" i="11"/>
  <c r="L1203" i="11"/>
  <c r="K1203" i="11"/>
  <c r="J1203" i="11"/>
  <c r="AC2076" i="11"/>
  <c r="AB2076" i="11"/>
  <c r="AA2076" i="11"/>
  <c r="Z2076" i="11"/>
  <c r="Y2076" i="11"/>
  <c r="X2076" i="11"/>
  <c r="W2076" i="11"/>
  <c r="V2076" i="11"/>
  <c r="U2076" i="11"/>
  <c r="T2076" i="11"/>
  <c r="S2076" i="11"/>
  <c r="R2076" i="11"/>
  <c r="Q2076" i="11"/>
  <c r="P2076" i="11"/>
  <c r="O2076" i="11"/>
  <c r="N2076" i="11"/>
  <c r="M2076" i="11"/>
  <c r="L2076" i="11"/>
  <c r="K2076" i="11"/>
  <c r="J2076" i="11"/>
  <c r="AC575" i="11"/>
  <c r="AB575" i="11"/>
  <c r="AA575" i="11"/>
  <c r="Z575" i="11"/>
  <c r="Y575" i="11"/>
  <c r="X575" i="11"/>
  <c r="W575" i="11"/>
  <c r="V575" i="11"/>
  <c r="U575" i="11"/>
  <c r="T575" i="11"/>
  <c r="S575" i="11"/>
  <c r="R575" i="11"/>
  <c r="Q575" i="11"/>
  <c r="P575" i="11"/>
  <c r="O575" i="11"/>
  <c r="N575" i="11"/>
  <c r="M575" i="11"/>
  <c r="L575" i="11"/>
  <c r="K575" i="11"/>
  <c r="J575" i="11"/>
  <c r="AC959" i="11"/>
  <c r="AB959" i="11"/>
  <c r="AA959" i="11"/>
  <c r="Z959" i="11"/>
  <c r="Y959" i="11"/>
  <c r="X959" i="11"/>
  <c r="W959" i="11"/>
  <c r="V959" i="11"/>
  <c r="U959" i="11"/>
  <c r="T959" i="11"/>
  <c r="S959" i="11"/>
  <c r="R959" i="11"/>
  <c r="Q959" i="11"/>
  <c r="P959" i="11"/>
  <c r="O959" i="11"/>
  <c r="N959" i="11"/>
  <c r="M959" i="11"/>
  <c r="L959" i="11"/>
  <c r="K959" i="11"/>
  <c r="J959" i="11"/>
  <c r="AC1036" i="11"/>
  <c r="AB1036" i="11"/>
  <c r="AA1036" i="11"/>
  <c r="Z1036" i="11"/>
  <c r="Y1036" i="11"/>
  <c r="X1036" i="11"/>
  <c r="W1036" i="11"/>
  <c r="V1036" i="11"/>
  <c r="U1036" i="11"/>
  <c r="T1036" i="11"/>
  <c r="S1036" i="11"/>
  <c r="R1036" i="11"/>
  <c r="Q1036" i="11"/>
  <c r="P1036" i="11"/>
  <c r="O1036" i="11"/>
  <c r="N1036" i="11"/>
  <c r="M1036" i="11"/>
  <c r="L1036" i="11"/>
  <c r="K1036" i="11"/>
  <c r="J1036" i="11"/>
  <c r="AC812" i="11"/>
  <c r="AB812" i="11"/>
  <c r="AA812" i="11"/>
  <c r="Z812" i="11"/>
  <c r="Y812" i="11"/>
  <c r="X812" i="11"/>
  <c r="W812" i="11"/>
  <c r="V812" i="11"/>
  <c r="U812" i="11"/>
  <c r="T812" i="11"/>
  <c r="S812" i="11"/>
  <c r="R812" i="11"/>
  <c r="Q812" i="11"/>
  <c r="P812" i="11"/>
  <c r="O812" i="11"/>
  <c r="N812" i="11"/>
  <c r="M812" i="11"/>
  <c r="L812" i="11"/>
  <c r="K812" i="11"/>
  <c r="J812" i="11"/>
  <c r="AC1358" i="11"/>
  <c r="AB1358" i="11"/>
  <c r="AA1358" i="11"/>
  <c r="Z1358" i="11"/>
  <c r="Y1358" i="11"/>
  <c r="X1358" i="11"/>
  <c r="W1358" i="11"/>
  <c r="V1358" i="11"/>
  <c r="U1358" i="11"/>
  <c r="T1358" i="11"/>
  <c r="S1358" i="11"/>
  <c r="R1358" i="11"/>
  <c r="Q1358" i="11"/>
  <c r="P1358" i="11"/>
  <c r="O1358" i="11"/>
  <c r="N1358" i="11"/>
  <c r="M1358" i="11"/>
  <c r="L1358" i="11"/>
  <c r="K1358" i="11"/>
  <c r="J1358" i="11"/>
  <c r="AC2034" i="11"/>
  <c r="AB2034" i="11"/>
  <c r="AA2034" i="11"/>
  <c r="Z2034" i="11"/>
  <c r="Y2034" i="11"/>
  <c r="X2034" i="11"/>
  <c r="W2034" i="11"/>
  <c r="V2034" i="11"/>
  <c r="U2034" i="11"/>
  <c r="T2034" i="11"/>
  <c r="S2034" i="11"/>
  <c r="R2034" i="11"/>
  <c r="Q2034" i="11"/>
  <c r="P2034" i="11"/>
  <c r="O2034" i="11"/>
  <c r="N2034" i="11"/>
  <c r="M2034" i="11"/>
  <c r="L2034" i="11"/>
  <c r="K2034" i="11"/>
  <c r="J2034" i="11"/>
  <c r="AC1357" i="11"/>
  <c r="AB1357" i="11"/>
  <c r="AA1357" i="11"/>
  <c r="Z1357" i="11"/>
  <c r="Y1357" i="11"/>
  <c r="X1357" i="11"/>
  <c r="W1357" i="11"/>
  <c r="V1357" i="11"/>
  <c r="U1357" i="11"/>
  <c r="T1357" i="11"/>
  <c r="S1357" i="11"/>
  <c r="R1357" i="11"/>
  <c r="Q1357" i="11"/>
  <c r="P1357" i="11"/>
  <c r="O1357" i="11"/>
  <c r="N1357" i="11"/>
  <c r="M1357" i="11"/>
  <c r="L1357" i="11"/>
  <c r="K1357" i="11"/>
  <c r="J1357" i="11"/>
  <c r="AC406" i="11"/>
  <c r="AB406" i="11"/>
  <c r="AA406" i="11"/>
  <c r="Z406" i="11"/>
  <c r="Y406" i="11"/>
  <c r="X406" i="11"/>
  <c r="W406" i="11"/>
  <c r="V406" i="11"/>
  <c r="U406" i="11"/>
  <c r="T406" i="11"/>
  <c r="S406" i="11"/>
  <c r="R406" i="11"/>
  <c r="Q406" i="11"/>
  <c r="P406" i="11"/>
  <c r="O406" i="11"/>
  <c r="N406" i="11"/>
  <c r="M406" i="11"/>
  <c r="L406" i="11"/>
  <c r="K406" i="11"/>
  <c r="J406" i="11"/>
  <c r="AC1356" i="11"/>
  <c r="AB1356" i="11"/>
  <c r="AA1356" i="11"/>
  <c r="Z1356" i="11"/>
  <c r="Y1356" i="11"/>
  <c r="X1356" i="11"/>
  <c r="W1356" i="11"/>
  <c r="V1356" i="11"/>
  <c r="U1356" i="11"/>
  <c r="T1356" i="11"/>
  <c r="S1356" i="11"/>
  <c r="R1356" i="11"/>
  <c r="Q1356" i="11"/>
  <c r="P1356" i="11"/>
  <c r="O1356" i="11"/>
  <c r="N1356" i="11"/>
  <c r="M1356" i="11"/>
  <c r="L1356" i="11"/>
  <c r="K1356" i="11"/>
  <c r="J1356" i="11"/>
  <c r="AC1202" i="11"/>
  <c r="AB1202" i="11"/>
  <c r="AA1202" i="11"/>
  <c r="Z1202" i="11"/>
  <c r="Y1202" i="11"/>
  <c r="X1202" i="11"/>
  <c r="W1202" i="11"/>
  <c r="V1202" i="11"/>
  <c r="U1202" i="11"/>
  <c r="T1202" i="11"/>
  <c r="S1202" i="11"/>
  <c r="R1202" i="11"/>
  <c r="Q1202" i="11"/>
  <c r="P1202" i="11"/>
  <c r="O1202" i="11"/>
  <c r="N1202" i="11"/>
  <c r="M1202" i="11"/>
  <c r="L1202" i="11"/>
  <c r="K1202" i="11"/>
  <c r="J1202" i="11"/>
  <c r="AC1201" i="11"/>
  <c r="AB1201" i="11"/>
  <c r="AA1201" i="11"/>
  <c r="Z1201" i="11"/>
  <c r="Y1201" i="11"/>
  <c r="X1201" i="11"/>
  <c r="W1201" i="11"/>
  <c r="V1201" i="11"/>
  <c r="U1201" i="11"/>
  <c r="T1201" i="11"/>
  <c r="S1201" i="11"/>
  <c r="R1201" i="11"/>
  <c r="Q1201" i="11"/>
  <c r="P1201" i="11"/>
  <c r="O1201" i="11"/>
  <c r="N1201" i="11"/>
  <c r="M1201" i="11"/>
  <c r="L1201" i="11"/>
  <c r="K1201" i="11"/>
  <c r="J1201" i="11"/>
  <c r="AC276" i="11"/>
  <c r="AB276" i="11"/>
  <c r="AA276" i="11"/>
  <c r="Z276" i="11"/>
  <c r="Y276" i="11"/>
  <c r="X276" i="11"/>
  <c r="W276" i="11"/>
  <c r="V276" i="11"/>
  <c r="U276" i="11"/>
  <c r="T276" i="11"/>
  <c r="S276" i="11"/>
  <c r="R276" i="11"/>
  <c r="Q276" i="11"/>
  <c r="P276" i="11"/>
  <c r="O276" i="11"/>
  <c r="N276" i="11"/>
  <c r="M276" i="11"/>
  <c r="L276" i="11"/>
  <c r="K276" i="11"/>
  <c r="J276" i="11"/>
  <c r="AC2033" i="11"/>
  <c r="AB2033" i="11"/>
  <c r="AA2033" i="11"/>
  <c r="Z2033" i="11"/>
  <c r="Y2033" i="11"/>
  <c r="X2033" i="11"/>
  <c r="W2033" i="11"/>
  <c r="V2033" i="11"/>
  <c r="U2033" i="11"/>
  <c r="T2033" i="11"/>
  <c r="S2033" i="11"/>
  <c r="R2033" i="11"/>
  <c r="Q2033" i="11"/>
  <c r="P2033" i="11"/>
  <c r="O2033" i="11"/>
  <c r="N2033" i="11"/>
  <c r="M2033" i="11"/>
  <c r="L2033" i="11"/>
  <c r="K2033" i="11"/>
  <c r="J2033" i="11"/>
  <c r="AC511" i="11"/>
  <c r="AB511" i="11"/>
  <c r="AA511" i="11"/>
  <c r="Z511" i="11"/>
  <c r="Y511" i="11"/>
  <c r="X511" i="11"/>
  <c r="W511" i="11"/>
  <c r="V511" i="11"/>
  <c r="U511" i="11"/>
  <c r="T511" i="11"/>
  <c r="S511" i="11"/>
  <c r="R511" i="11"/>
  <c r="Q511" i="11"/>
  <c r="P511" i="11"/>
  <c r="O511" i="11"/>
  <c r="N511" i="11"/>
  <c r="M511" i="11"/>
  <c r="L511" i="11"/>
  <c r="K511" i="11"/>
  <c r="J511" i="11"/>
  <c r="AC1255" i="11"/>
  <c r="AB1255" i="11"/>
  <c r="AA1255" i="11"/>
  <c r="Z1255" i="11"/>
  <c r="Y1255" i="11"/>
  <c r="X1255" i="11"/>
  <c r="W1255" i="11"/>
  <c r="V1255" i="11"/>
  <c r="U1255" i="11"/>
  <c r="T1255" i="11"/>
  <c r="S1255" i="11"/>
  <c r="R1255" i="11"/>
  <c r="Q1255" i="11"/>
  <c r="P1255" i="11"/>
  <c r="O1255" i="11"/>
  <c r="N1255" i="11"/>
  <c r="M1255" i="11"/>
  <c r="L1255" i="11"/>
  <c r="K1255" i="11"/>
  <c r="J1255" i="11"/>
  <c r="AC326" i="11"/>
  <c r="AB326" i="11"/>
  <c r="AA326" i="11"/>
  <c r="Z326" i="11"/>
  <c r="Y326" i="11"/>
  <c r="X326" i="11"/>
  <c r="W326" i="11"/>
  <c r="V326" i="11"/>
  <c r="U326" i="11"/>
  <c r="T326" i="11"/>
  <c r="S326" i="11"/>
  <c r="R326" i="11"/>
  <c r="Q326" i="11"/>
  <c r="P326" i="11"/>
  <c r="O326" i="11"/>
  <c r="N326" i="11"/>
  <c r="M326" i="11"/>
  <c r="L326" i="11"/>
  <c r="K326" i="11"/>
  <c r="J326" i="11"/>
  <c r="AC1035" i="11"/>
  <c r="AB1035" i="11"/>
  <c r="AA1035" i="11"/>
  <c r="Z1035" i="11"/>
  <c r="Y1035" i="11"/>
  <c r="X1035" i="11"/>
  <c r="W1035" i="11"/>
  <c r="V1035" i="11"/>
  <c r="U1035" i="11"/>
  <c r="T1035" i="11"/>
  <c r="S1035" i="11"/>
  <c r="R1035" i="11"/>
  <c r="Q1035" i="11"/>
  <c r="P1035" i="11"/>
  <c r="O1035" i="11"/>
  <c r="N1035" i="11"/>
  <c r="M1035" i="11"/>
  <c r="L1035" i="11"/>
  <c r="K1035" i="11"/>
  <c r="J1035" i="11"/>
  <c r="AC405" i="11"/>
  <c r="AB405" i="11"/>
  <c r="AA405" i="11"/>
  <c r="Z405" i="11"/>
  <c r="Y405" i="11"/>
  <c r="X405" i="11"/>
  <c r="W405" i="11"/>
  <c r="V405" i="11"/>
  <c r="U405" i="11"/>
  <c r="T405" i="11"/>
  <c r="S405" i="11"/>
  <c r="R405" i="11"/>
  <c r="Q405" i="11"/>
  <c r="P405" i="11"/>
  <c r="O405" i="11"/>
  <c r="N405" i="11"/>
  <c r="M405" i="11"/>
  <c r="L405" i="11"/>
  <c r="K405" i="11"/>
  <c r="J405" i="11"/>
  <c r="AC404" i="11"/>
  <c r="AB404" i="11"/>
  <c r="AA404" i="11"/>
  <c r="Z404" i="11"/>
  <c r="Y404" i="11"/>
  <c r="X404" i="11"/>
  <c r="W404" i="11"/>
  <c r="V404" i="11"/>
  <c r="U404" i="11"/>
  <c r="T404" i="11"/>
  <c r="S404" i="11"/>
  <c r="R404" i="11"/>
  <c r="Q404" i="11"/>
  <c r="P404" i="11"/>
  <c r="O404" i="11"/>
  <c r="N404" i="11"/>
  <c r="M404" i="11"/>
  <c r="L404" i="11"/>
  <c r="K404" i="11"/>
  <c r="J404" i="11"/>
  <c r="AC876" i="11"/>
  <c r="AB876" i="11"/>
  <c r="AA876" i="11"/>
  <c r="Z876" i="11"/>
  <c r="Y876" i="11"/>
  <c r="X876" i="11"/>
  <c r="W876" i="11"/>
  <c r="V876" i="11"/>
  <c r="U876" i="11"/>
  <c r="T876" i="11"/>
  <c r="S876" i="11"/>
  <c r="R876" i="11"/>
  <c r="Q876" i="11"/>
  <c r="P876" i="11"/>
  <c r="O876" i="11"/>
  <c r="N876" i="11"/>
  <c r="M876" i="11"/>
  <c r="L876" i="11"/>
  <c r="K876" i="11"/>
  <c r="J876" i="11"/>
  <c r="AC1200" i="11"/>
  <c r="AB1200" i="11"/>
  <c r="AA1200" i="11"/>
  <c r="Z1200" i="11"/>
  <c r="Y1200" i="11"/>
  <c r="X1200" i="11"/>
  <c r="W1200" i="11"/>
  <c r="V1200" i="11"/>
  <c r="U1200" i="11"/>
  <c r="T1200" i="11"/>
  <c r="S1200" i="11"/>
  <c r="R1200" i="11"/>
  <c r="Q1200" i="11"/>
  <c r="P1200" i="11"/>
  <c r="O1200" i="11"/>
  <c r="N1200" i="11"/>
  <c r="M1200" i="11"/>
  <c r="L1200" i="11"/>
  <c r="K1200" i="11"/>
  <c r="J1200" i="11"/>
  <c r="AC2196" i="11"/>
  <c r="AB2196" i="11"/>
  <c r="AA2196" i="11"/>
  <c r="Z2196" i="11"/>
  <c r="Y2196" i="11"/>
  <c r="X2196" i="11"/>
  <c r="W2196" i="11"/>
  <c r="V2196" i="11"/>
  <c r="U2196" i="11"/>
  <c r="T2196" i="11"/>
  <c r="S2196" i="11"/>
  <c r="R2196" i="11"/>
  <c r="Q2196" i="11"/>
  <c r="P2196" i="11"/>
  <c r="O2196" i="11"/>
  <c r="N2196" i="11"/>
  <c r="M2196" i="11"/>
  <c r="L2196" i="11"/>
  <c r="K2196" i="11"/>
  <c r="J2196" i="11"/>
  <c r="AC1792" i="11"/>
  <c r="AB1792" i="11"/>
  <c r="AA1792" i="11"/>
  <c r="Z1792" i="11"/>
  <c r="Y1792" i="11"/>
  <c r="X1792" i="11"/>
  <c r="W1792" i="11"/>
  <c r="V1792" i="11"/>
  <c r="U1792" i="11"/>
  <c r="T1792" i="11"/>
  <c r="S1792" i="11"/>
  <c r="R1792" i="11"/>
  <c r="Q1792" i="11"/>
  <c r="P1792" i="11"/>
  <c r="O1792" i="11"/>
  <c r="N1792" i="11"/>
  <c r="M1792" i="11"/>
  <c r="L1792" i="11"/>
  <c r="K1792" i="11"/>
  <c r="J1792" i="11"/>
  <c r="AC1124" i="11"/>
  <c r="AB1124" i="11"/>
  <c r="AA1124" i="11"/>
  <c r="Z1124" i="11"/>
  <c r="Y1124" i="11"/>
  <c r="X1124" i="11"/>
  <c r="W1124" i="11"/>
  <c r="V1124" i="11"/>
  <c r="U1124" i="11"/>
  <c r="T1124" i="11"/>
  <c r="S1124" i="11"/>
  <c r="R1124" i="11"/>
  <c r="Q1124" i="11"/>
  <c r="P1124" i="11"/>
  <c r="O1124" i="11"/>
  <c r="N1124" i="11"/>
  <c r="M1124" i="11"/>
  <c r="L1124" i="11"/>
  <c r="K1124" i="11"/>
  <c r="J1124" i="11"/>
  <c r="AC2032" i="11"/>
  <c r="AB2032" i="11"/>
  <c r="AA2032" i="11"/>
  <c r="Z2032" i="11"/>
  <c r="Y2032" i="11"/>
  <c r="X2032" i="11"/>
  <c r="W2032" i="11"/>
  <c r="V2032" i="11"/>
  <c r="U2032" i="11"/>
  <c r="T2032" i="11"/>
  <c r="S2032" i="11"/>
  <c r="R2032" i="11"/>
  <c r="Q2032" i="11"/>
  <c r="P2032" i="11"/>
  <c r="O2032" i="11"/>
  <c r="N2032" i="11"/>
  <c r="M2032" i="11"/>
  <c r="L2032" i="11"/>
  <c r="K2032" i="11"/>
  <c r="J2032" i="11"/>
  <c r="AC1123" i="11"/>
  <c r="AB1123" i="11"/>
  <c r="AA1123" i="11"/>
  <c r="Z1123" i="11"/>
  <c r="Y1123" i="11"/>
  <c r="X1123" i="11"/>
  <c r="W1123" i="11"/>
  <c r="V1123" i="11"/>
  <c r="U1123" i="11"/>
  <c r="T1123" i="11"/>
  <c r="S1123" i="11"/>
  <c r="R1123" i="11"/>
  <c r="Q1123" i="11"/>
  <c r="P1123" i="11"/>
  <c r="O1123" i="11"/>
  <c r="N1123" i="11"/>
  <c r="M1123" i="11"/>
  <c r="L1123" i="11"/>
  <c r="K1123" i="11"/>
  <c r="J1123" i="11"/>
  <c r="AC1431" i="11"/>
  <c r="AB1431" i="11"/>
  <c r="AA1431" i="11"/>
  <c r="Z1431" i="11"/>
  <c r="Y1431" i="11"/>
  <c r="X1431" i="11"/>
  <c r="W1431" i="11"/>
  <c r="V1431" i="11"/>
  <c r="U1431" i="11"/>
  <c r="T1431" i="11"/>
  <c r="S1431" i="11"/>
  <c r="R1431" i="11"/>
  <c r="Q1431" i="11"/>
  <c r="P1431" i="11"/>
  <c r="O1431" i="11"/>
  <c r="N1431" i="11"/>
  <c r="M1431" i="11"/>
  <c r="L1431" i="11"/>
  <c r="K1431" i="11"/>
  <c r="J1431" i="11"/>
  <c r="AC742" i="11"/>
  <c r="AB742" i="11"/>
  <c r="AA742" i="11"/>
  <c r="Z742" i="11"/>
  <c r="Y742" i="11"/>
  <c r="X742" i="11"/>
  <c r="W742" i="11"/>
  <c r="V742" i="11"/>
  <c r="U742" i="11"/>
  <c r="T742" i="11"/>
  <c r="S742" i="11"/>
  <c r="R742" i="11"/>
  <c r="Q742" i="11"/>
  <c r="P742" i="11"/>
  <c r="O742" i="11"/>
  <c r="N742" i="11"/>
  <c r="M742" i="11"/>
  <c r="L742" i="11"/>
  <c r="K742" i="11"/>
  <c r="J742" i="11"/>
  <c r="AC200" i="11"/>
  <c r="AB200" i="11"/>
  <c r="AA200" i="11"/>
  <c r="Z200" i="11"/>
  <c r="Y200" i="11"/>
  <c r="X200" i="11"/>
  <c r="W200" i="11"/>
  <c r="V200" i="11"/>
  <c r="U200" i="11"/>
  <c r="T200" i="11"/>
  <c r="S200" i="11"/>
  <c r="R200" i="11"/>
  <c r="Q200" i="11"/>
  <c r="P200" i="11"/>
  <c r="O200" i="11"/>
  <c r="N200" i="11"/>
  <c r="M200" i="11"/>
  <c r="L200" i="11"/>
  <c r="K200" i="11"/>
  <c r="J200" i="11"/>
  <c r="AC958" i="11"/>
  <c r="AB958" i="11"/>
  <c r="AA958" i="11"/>
  <c r="Z958" i="11"/>
  <c r="Y958" i="11"/>
  <c r="X958" i="11"/>
  <c r="W958" i="11"/>
  <c r="V958" i="11"/>
  <c r="U958" i="11"/>
  <c r="T958" i="11"/>
  <c r="S958" i="11"/>
  <c r="R958" i="11"/>
  <c r="Q958" i="11"/>
  <c r="P958" i="11"/>
  <c r="O958" i="11"/>
  <c r="N958" i="11"/>
  <c r="M958" i="11"/>
  <c r="L958" i="11"/>
  <c r="K958" i="11"/>
  <c r="J958" i="11"/>
  <c r="AC510" i="11"/>
  <c r="AB510" i="11"/>
  <c r="AA510" i="11"/>
  <c r="Z510" i="11"/>
  <c r="Y510" i="11"/>
  <c r="X510" i="11"/>
  <c r="W510" i="11"/>
  <c r="V510" i="11"/>
  <c r="U510" i="11"/>
  <c r="T510" i="11"/>
  <c r="S510" i="11"/>
  <c r="R510" i="11"/>
  <c r="Q510" i="11"/>
  <c r="P510" i="11"/>
  <c r="O510" i="11"/>
  <c r="N510" i="11"/>
  <c r="M510" i="11"/>
  <c r="L510" i="11"/>
  <c r="K510" i="11"/>
  <c r="J510" i="11"/>
  <c r="AC1430" i="11"/>
  <c r="AB1430" i="11"/>
  <c r="AA1430" i="11"/>
  <c r="Z1430" i="11"/>
  <c r="Y1430" i="11"/>
  <c r="X1430" i="11"/>
  <c r="W1430" i="11"/>
  <c r="V1430" i="11"/>
  <c r="U1430" i="11"/>
  <c r="T1430" i="11"/>
  <c r="S1430" i="11"/>
  <c r="R1430" i="11"/>
  <c r="Q1430" i="11"/>
  <c r="P1430" i="11"/>
  <c r="O1430" i="11"/>
  <c r="N1430" i="11"/>
  <c r="M1430" i="11"/>
  <c r="L1430" i="11"/>
  <c r="K1430" i="11"/>
  <c r="J1430" i="11"/>
  <c r="AC1254" i="11"/>
  <c r="AB1254" i="11"/>
  <c r="AA1254" i="11"/>
  <c r="Z1254" i="11"/>
  <c r="Y1254" i="11"/>
  <c r="X1254" i="11"/>
  <c r="W1254" i="11"/>
  <c r="V1254" i="11"/>
  <c r="U1254" i="11"/>
  <c r="T1254" i="11"/>
  <c r="S1254" i="11"/>
  <c r="R1254" i="11"/>
  <c r="Q1254" i="11"/>
  <c r="P1254" i="11"/>
  <c r="O1254" i="11"/>
  <c r="N1254" i="11"/>
  <c r="M1254" i="11"/>
  <c r="L1254" i="11"/>
  <c r="K1254" i="11"/>
  <c r="J1254" i="11"/>
  <c r="AC811" i="11"/>
  <c r="AB811" i="11"/>
  <c r="AA811" i="11"/>
  <c r="Z811" i="11"/>
  <c r="Y811" i="11"/>
  <c r="X811" i="11"/>
  <c r="W811" i="11"/>
  <c r="V811" i="11"/>
  <c r="U811" i="11"/>
  <c r="T811" i="11"/>
  <c r="S811" i="11"/>
  <c r="R811" i="11"/>
  <c r="Q811" i="11"/>
  <c r="P811" i="11"/>
  <c r="O811" i="11"/>
  <c r="N811" i="11"/>
  <c r="M811" i="11"/>
  <c r="L811" i="11"/>
  <c r="K811" i="11"/>
  <c r="J811" i="11"/>
  <c r="AC1429" i="11"/>
  <c r="AB1429" i="11"/>
  <c r="AA1429" i="11"/>
  <c r="Z1429" i="11"/>
  <c r="Y1429" i="11"/>
  <c r="X1429" i="11"/>
  <c r="W1429" i="11"/>
  <c r="V1429" i="11"/>
  <c r="U1429" i="11"/>
  <c r="T1429" i="11"/>
  <c r="S1429" i="11"/>
  <c r="R1429" i="11"/>
  <c r="Q1429" i="11"/>
  <c r="P1429" i="11"/>
  <c r="O1429" i="11"/>
  <c r="N1429" i="11"/>
  <c r="M1429" i="11"/>
  <c r="L1429" i="11"/>
  <c r="K1429" i="11"/>
  <c r="J1429" i="11"/>
  <c r="AC1034" i="11"/>
  <c r="AB1034" i="11"/>
  <c r="AA1034" i="11"/>
  <c r="Z1034" i="11"/>
  <c r="Y1034" i="11"/>
  <c r="X1034" i="11"/>
  <c r="W1034" i="11"/>
  <c r="V1034" i="11"/>
  <c r="U1034" i="11"/>
  <c r="T1034" i="11"/>
  <c r="S1034" i="11"/>
  <c r="R1034" i="11"/>
  <c r="Q1034" i="11"/>
  <c r="P1034" i="11"/>
  <c r="O1034" i="11"/>
  <c r="N1034" i="11"/>
  <c r="M1034" i="11"/>
  <c r="L1034" i="11"/>
  <c r="K1034" i="11"/>
  <c r="J1034" i="11"/>
  <c r="AC957" i="11"/>
  <c r="AB957" i="11"/>
  <c r="AA957" i="11"/>
  <c r="Z957" i="11"/>
  <c r="Y957" i="11"/>
  <c r="X957" i="11"/>
  <c r="W957" i="11"/>
  <c r="V957" i="11"/>
  <c r="U957" i="11"/>
  <c r="T957" i="11"/>
  <c r="S957" i="11"/>
  <c r="R957" i="11"/>
  <c r="Q957" i="11"/>
  <c r="P957" i="11"/>
  <c r="O957" i="11"/>
  <c r="N957" i="11"/>
  <c r="M957" i="11"/>
  <c r="L957" i="11"/>
  <c r="K957" i="11"/>
  <c r="J957" i="11"/>
  <c r="AC1122" i="11"/>
  <c r="AB1122" i="11"/>
  <c r="AA1122" i="11"/>
  <c r="Z1122" i="11"/>
  <c r="Y1122" i="11"/>
  <c r="X1122" i="11"/>
  <c r="W1122" i="11"/>
  <c r="V1122" i="11"/>
  <c r="U1122" i="11"/>
  <c r="T1122" i="11"/>
  <c r="S1122" i="11"/>
  <c r="R1122" i="11"/>
  <c r="Q1122" i="11"/>
  <c r="P1122" i="11"/>
  <c r="O1122" i="11"/>
  <c r="N1122" i="11"/>
  <c r="M1122" i="11"/>
  <c r="L1122" i="11"/>
  <c r="K1122" i="11"/>
  <c r="J1122" i="11"/>
  <c r="AC1647" i="11"/>
  <c r="AB1647" i="11"/>
  <c r="AA1647" i="11"/>
  <c r="Z1647" i="11"/>
  <c r="Y1647" i="11"/>
  <c r="X1647" i="11"/>
  <c r="W1647" i="11"/>
  <c r="V1647" i="11"/>
  <c r="U1647" i="11"/>
  <c r="T1647" i="11"/>
  <c r="S1647" i="11"/>
  <c r="R1647" i="11"/>
  <c r="Q1647" i="11"/>
  <c r="P1647" i="11"/>
  <c r="O1647" i="11"/>
  <c r="N1647" i="11"/>
  <c r="M1647" i="11"/>
  <c r="L1647" i="11"/>
  <c r="K1647" i="11"/>
  <c r="J1647" i="11"/>
  <c r="AC1355" i="11"/>
  <c r="AB1355" i="11"/>
  <c r="AA1355" i="11"/>
  <c r="Z1355" i="11"/>
  <c r="Y1355" i="11"/>
  <c r="X1355" i="11"/>
  <c r="W1355" i="11"/>
  <c r="V1355" i="11"/>
  <c r="U1355" i="11"/>
  <c r="T1355" i="11"/>
  <c r="S1355" i="11"/>
  <c r="R1355" i="11"/>
  <c r="Q1355" i="11"/>
  <c r="P1355" i="11"/>
  <c r="O1355" i="11"/>
  <c r="N1355" i="11"/>
  <c r="M1355" i="11"/>
  <c r="L1355" i="11"/>
  <c r="K1355" i="11"/>
  <c r="J1355" i="11"/>
  <c r="AC1946" i="11"/>
  <c r="AB1946" i="11"/>
  <c r="AA1946" i="11"/>
  <c r="Z1946" i="11"/>
  <c r="Y1946" i="11"/>
  <c r="X1946" i="11"/>
  <c r="W1946" i="11"/>
  <c r="V1946" i="11"/>
  <c r="U1946" i="11"/>
  <c r="T1946" i="11"/>
  <c r="S1946" i="11"/>
  <c r="R1946" i="11"/>
  <c r="Q1946" i="11"/>
  <c r="P1946" i="11"/>
  <c r="O1946" i="11"/>
  <c r="N1946" i="11"/>
  <c r="M1946" i="11"/>
  <c r="L1946" i="11"/>
  <c r="K1946" i="11"/>
  <c r="J1946" i="11"/>
  <c r="AC1199" i="11"/>
  <c r="AB1199" i="11"/>
  <c r="AA1199" i="11"/>
  <c r="Z1199" i="11"/>
  <c r="Y1199" i="11"/>
  <c r="X1199" i="11"/>
  <c r="W1199" i="11"/>
  <c r="V1199" i="11"/>
  <c r="U1199" i="11"/>
  <c r="T1199" i="11"/>
  <c r="S1199" i="11"/>
  <c r="R1199" i="11"/>
  <c r="Q1199" i="11"/>
  <c r="P1199" i="11"/>
  <c r="O1199" i="11"/>
  <c r="N1199" i="11"/>
  <c r="M1199" i="11"/>
  <c r="L1199" i="11"/>
  <c r="K1199" i="11"/>
  <c r="J1199" i="11"/>
  <c r="AC1033" i="11"/>
  <c r="AB1033" i="11"/>
  <c r="AA1033" i="11"/>
  <c r="Z1033" i="11"/>
  <c r="Y1033" i="11"/>
  <c r="X1033" i="11"/>
  <c r="W1033" i="11"/>
  <c r="V1033" i="11"/>
  <c r="U1033" i="11"/>
  <c r="T1033" i="11"/>
  <c r="S1033" i="11"/>
  <c r="R1033" i="11"/>
  <c r="Q1033" i="11"/>
  <c r="P1033" i="11"/>
  <c r="O1033" i="11"/>
  <c r="N1033" i="11"/>
  <c r="M1033" i="11"/>
  <c r="L1033" i="11"/>
  <c r="K1033" i="11"/>
  <c r="J1033" i="11"/>
  <c r="AC2075" i="11"/>
  <c r="AB2075" i="11"/>
  <c r="AA2075" i="11"/>
  <c r="Z2075" i="11"/>
  <c r="Y2075" i="11"/>
  <c r="X2075" i="11"/>
  <c r="W2075" i="11"/>
  <c r="V2075" i="11"/>
  <c r="U2075" i="11"/>
  <c r="T2075" i="11"/>
  <c r="S2075" i="11"/>
  <c r="R2075" i="11"/>
  <c r="Q2075" i="11"/>
  <c r="P2075" i="11"/>
  <c r="O2075" i="11"/>
  <c r="N2075" i="11"/>
  <c r="M2075" i="11"/>
  <c r="L2075" i="11"/>
  <c r="K2075" i="11"/>
  <c r="J2075" i="11"/>
  <c r="AC1354" i="11"/>
  <c r="AB1354" i="11"/>
  <c r="AA1354" i="11"/>
  <c r="Z1354" i="11"/>
  <c r="Y1354" i="11"/>
  <c r="X1354" i="11"/>
  <c r="W1354" i="11"/>
  <c r="V1354" i="11"/>
  <c r="U1354" i="11"/>
  <c r="T1354" i="11"/>
  <c r="S1354" i="11"/>
  <c r="R1354" i="11"/>
  <c r="Q1354" i="11"/>
  <c r="P1354" i="11"/>
  <c r="O1354" i="11"/>
  <c r="N1354" i="11"/>
  <c r="M1354" i="11"/>
  <c r="L1354" i="11"/>
  <c r="K1354" i="11"/>
  <c r="J1354" i="11"/>
  <c r="AC1353" i="11"/>
  <c r="AB1353" i="11"/>
  <c r="AA1353" i="11"/>
  <c r="Z1353" i="11"/>
  <c r="Y1353" i="11"/>
  <c r="X1353" i="11"/>
  <c r="W1353" i="11"/>
  <c r="V1353" i="11"/>
  <c r="U1353" i="11"/>
  <c r="T1353" i="11"/>
  <c r="S1353" i="11"/>
  <c r="R1353" i="11"/>
  <c r="Q1353" i="11"/>
  <c r="P1353" i="11"/>
  <c r="O1353" i="11"/>
  <c r="N1353" i="11"/>
  <c r="M1353" i="11"/>
  <c r="L1353" i="11"/>
  <c r="K1353" i="11"/>
  <c r="J1353" i="11"/>
  <c r="AC1121" i="11"/>
  <c r="AB1121" i="11"/>
  <c r="AA1121" i="11"/>
  <c r="Z1121" i="11"/>
  <c r="Y1121" i="11"/>
  <c r="X1121" i="11"/>
  <c r="W1121" i="11"/>
  <c r="V1121" i="11"/>
  <c r="U1121" i="11"/>
  <c r="T1121" i="11"/>
  <c r="S1121" i="11"/>
  <c r="R1121" i="11"/>
  <c r="Q1121" i="11"/>
  <c r="P1121" i="11"/>
  <c r="O1121" i="11"/>
  <c r="N1121" i="11"/>
  <c r="M1121" i="11"/>
  <c r="L1121" i="11"/>
  <c r="K1121" i="11"/>
  <c r="J1121" i="11"/>
  <c r="AC1697" i="11"/>
  <c r="AB1697" i="11"/>
  <c r="AA1697" i="11"/>
  <c r="Z1697" i="11"/>
  <c r="Y1697" i="11"/>
  <c r="X1697" i="11"/>
  <c r="W1697" i="11"/>
  <c r="V1697" i="11"/>
  <c r="U1697" i="11"/>
  <c r="T1697" i="11"/>
  <c r="S1697" i="11"/>
  <c r="R1697" i="11"/>
  <c r="Q1697" i="11"/>
  <c r="P1697" i="11"/>
  <c r="O1697" i="11"/>
  <c r="N1697" i="11"/>
  <c r="M1697" i="11"/>
  <c r="L1697" i="11"/>
  <c r="K1697" i="11"/>
  <c r="J1697" i="11"/>
  <c r="AC1310" i="11"/>
  <c r="AB1310" i="11"/>
  <c r="AA1310" i="11"/>
  <c r="Z1310" i="11"/>
  <c r="Y1310" i="11"/>
  <c r="X1310" i="11"/>
  <c r="W1310" i="11"/>
  <c r="V1310" i="11"/>
  <c r="U1310" i="11"/>
  <c r="T1310" i="11"/>
  <c r="S1310" i="11"/>
  <c r="R1310" i="11"/>
  <c r="Q1310" i="11"/>
  <c r="P1310" i="11"/>
  <c r="O1310" i="11"/>
  <c r="N1310" i="11"/>
  <c r="M1310" i="11"/>
  <c r="L1310" i="11"/>
  <c r="K1310" i="11"/>
  <c r="J1310" i="11"/>
  <c r="AC361" i="11"/>
  <c r="AB361" i="11"/>
  <c r="AA361" i="11"/>
  <c r="Z361" i="11"/>
  <c r="Y361" i="11"/>
  <c r="X361" i="11"/>
  <c r="W361" i="11"/>
  <c r="V361" i="11"/>
  <c r="U361" i="11"/>
  <c r="T361" i="11"/>
  <c r="S361" i="11"/>
  <c r="R361" i="11"/>
  <c r="Q361" i="11"/>
  <c r="P361" i="11"/>
  <c r="O361" i="11"/>
  <c r="N361" i="11"/>
  <c r="M361" i="11"/>
  <c r="L361" i="11"/>
  <c r="K361" i="11"/>
  <c r="J361" i="11"/>
  <c r="AC403" i="11"/>
  <c r="AB403" i="11"/>
  <c r="AA403" i="11"/>
  <c r="Z403" i="11"/>
  <c r="Y403" i="11"/>
  <c r="X403" i="11"/>
  <c r="W403" i="11"/>
  <c r="V403" i="11"/>
  <c r="U403" i="11"/>
  <c r="T403" i="11"/>
  <c r="S403" i="11"/>
  <c r="R403" i="11"/>
  <c r="Q403" i="11"/>
  <c r="P403" i="11"/>
  <c r="O403" i="11"/>
  <c r="N403" i="11"/>
  <c r="M403" i="11"/>
  <c r="L403" i="11"/>
  <c r="K403" i="11"/>
  <c r="J403" i="11"/>
  <c r="AC810" i="11"/>
  <c r="AB810" i="11"/>
  <c r="AA810" i="11"/>
  <c r="Z810" i="11"/>
  <c r="Y810" i="11"/>
  <c r="X810" i="11"/>
  <c r="W810" i="11"/>
  <c r="V810" i="11"/>
  <c r="U810" i="11"/>
  <c r="T810" i="11"/>
  <c r="S810" i="11"/>
  <c r="R810" i="11"/>
  <c r="Q810" i="11"/>
  <c r="P810" i="11"/>
  <c r="O810" i="11"/>
  <c r="N810" i="11"/>
  <c r="M810" i="11"/>
  <c r="L810" i="11"/>
  <c r="K810" i="11"/>
  <c r="J810" i="11"/>
  <c r="AC809" i="11"/>
  <c r="AB809" i="11"/>
  <c r="AA809" i="11"/>
  <c r="Z809" i="11"/>
  <c r="Y809" i="11"/>
  <c r="X809" i="11"/>
  <c r="W809" i="11"/>
  <c r="V809" i="11"/>
  <c r="U809" i="11"/>
  <c r="T809" i="11"/>
  <c r="S809" i="11"/>
  <c r="R809" i="11"/>
  <c r="Q809" i="11"/>
  <c r="P809" i="11"/>
  <c r="O809" i="11"/>
  <c r="N809" i="11"/>
  <c r="M809" i="11"/>
  <c r="L809" i="11"/>
  <c r="K809" i="11"/>
  <c r="J809" i="11"/>
  <c r="AC2214" i="11"/>
  <c r="AB2214" i="11"/>
  <c r="AA2214" i="11"/>
  <c r="Z2214" i="11"/>
  <c r="Y2214" i="11"/>
  <c r="X2214" i="11"/>
  <c r="W2214" i="11"/>
  <c r="V2214" i="11"/>
  <c r="U2214" i="11"/>
  <c r="T2214" i="11"/>
  <c r="S2214" i="11"/>
  <c r="R2214" i="11"/>
  <c r="Q2214" i="11"/>
  <c r="P2214" i="11"/>
  <c r="O2214" i="11"/>
  <c r="N2214" i="11"/>
  <c r="M2214" i="11"/>
  <c r="L2214" i="11"/>
  <c r="K2214" i="11"/>
  <c r="J2214" i="11"/>
  <c r="AC450" i="11"/>
  <c r="AB450" i="11"/>
  <c r="AA450" i="11"/>
  <c r="Z450" i="11"/>
  <c r="Y450" i="11"/>
  <c r="X450" i="11"/>
  <c r="W450" i="11"/>
  <c r="V450" i="11"/>
  <c r="U450" i="11"/>
  <c r="T450" i="11"/>
  <c r="S450" i="11"/>
  <c r="R450" i="11"/>
  <c r="Q450" i="11"/>
  <c r="P450" i="11"/>
  <c r="O450" i="11"/>
  <c r="N450" i="11"/>
  <c r="M450" i="11"/>
  <c r="L450" i="11"/>
  <c r="K450" i="11"/>
  <c r="J450" i="11"/>
  <c r="AC808" i="11"/>
  <c r="AB808" i="11"/>
  <c r="AA808" i="11"/>
  <c r="Z808" i="11"/>
  <c r="Y808" i="11"/>
  <c r="X808" i="11"/>
  <c r="W808" i="11"/>
  <c r="V808" i="11"/>
  <c r="U808" i="11"/>
  <c r="T808" i="11"/>
  <c r="S808" i="11"/>
  <c r="R808" i="11"/>
  <c r="Q808" i="11"/>
  <c r="P808" i="11"/>
  <c r="O808" i="11"/>
  <c r="N808" i="11"/>
  <c r="M808" i="11"/>
  <c r="L808" i="11"/>
  <c r="K808" i="11"/>
  <c r="J808" i="11"/>
  <c r="AC2164" i="11"/>
  <c r="AB2164" i="11"/>
  <c r="AA2164" i="11"/>
  <c r="Z2164" i="11"/>
  <c r="Y2164" i="11"/>
  <c r="X2164" i="11"/>
  <c r="W2164" i="11"/>
  <c r="V2164" i="11"/>
  <c r="U2164" i="11"/>
  <c r="T2164" i="11"/>
  <c r="S2164" i="11"/>
  <c r="R2164" i="11"/>
  <c r="Q2164" i="11"/>
  <c r="P2164" i="11"/>
  <c r="O2164" i="11"/>
  <c r="N2164" i="11"/>
  <c r="M2164" i="11"/>
  <c r="L2164" i="11"/>
  <c r="K2164" i="11"/>
  <c r="J2164" i="11"/>
  <c r="AC1428" i="11"/>
  <c r="AB1428" i="11"/>
  <c r="AA1428" i="11"/>
  <c r="Z1428" i="11"/>
  <c r="Y1428" i="11"/>
  <c r="X1428" i="11"/>
  <c r="W1428" i="11"/>
  <c r="V1428" i="11"/>
  <c r="U1428" i="11"/>
  <c r="T1428" i="11"/>
  <c r="S1428" i="11"/>
  <c r="R1428" i="11"/>
  <c r="Q1428" i="11"/>
  <c r="P1428" i="11"/>
  <c r="O1428" i="11"/>
  <c r="N1428" i="11"/>
  <c r="M1428" i="11"/>
  <c r="L1428" i="11"/>
  <c r="K1428" i="11"/>
  <c r="J1428" i="11"/>
  <c r="AC1427" i="11"/>
  <c r="AB1427" i="11"/>
  <c r="AA1427" i="11"/>
  <c r="Z1427" i="11"/>
  <c r="Y1427" i="11"/>
  <c r="X1427" i="11"/>
  <c r="W1427" i="11"/>
  <c r="V1427" i="11"/>
  <c r="U1427" i="11"/>
  <c r="T1427" i="11"/>
  <c r="S1427" i="11"/>
  <c r="R1427" i="11"/>
  <c r="Q1427" i="11"/>
  <c r="P1427" i="11"/>
  <c r="O1427" i="11"/>
  <c r="N1427" i="11"/>
  <c r="M1427" i="11"/>
  <c r="L1427" i="11"/>
  <c r="K1427" i="11"/>
  <c r="J1427" i="11"/>
  <c r="AC1516" i="11"/>
  <c r="AB1516" i="11"/>
  <c r="AA1516" i="11"/>
  <c r="Z1516" i="11"/>
  <c r="Y1516" i="11"/>
  <c r="X1516" i="11"/>
  <c r="W1516" i="11"/>
  <c r="V1516" i="11"/>
  <c r="U1516" i="11"/>
  <c r="T1516" i="11"/>
  <c r="S1516" i="11"/>
  <c r="R1516" i="11"/>
  <c r="Q1516" i="11"/>
  <c r="P1516" i="11"/>
  <c r="O1516" i="11"/>
  <c r="N1516" i="11"/>
  <c r="M1516" i="11"/>
  <c r="L1516" i="11"/>
  <c r="K1516" i="11"/>
  <c r="J1516" i="11"/>
  <c r="AC1753" i="11"/>
  <c r="AB1753" i="11"/>
  <c r="AA1753" i="11"/>
  <c r="Z1753" i="11"/>
  <c r="Y1753" i="11"/>
  <c r="X1753" i="11"/>
  <c r="W1753" i="11"/>
  <c r="V1753" i="11"/>
  <c r="U1753" i="11"/>
  <c r="T1753" i="11"/>
  <c r="S1753" i="11"/>
  <c r="R1753" i="11"/>
  <c r="Q1753" i="11"/>
  <c r="P1753" i="11"/>
  <c r="O1753" i="11"/>
  <c r="N1753" i="11"/>
  <c r="M1753" i="11"/>
  <c r="L1753" i="11"/>
  <c r="K1753" i="11"/>
  <c r="J1753" i="11"/>
  <c r="AC1571" i="11"/>
  <c r="AB1571" i="11"/>
  <c r="AA1571" i="11"/>
  <c r="Z1571" i="11"/>
  <c r="Y1571" i="11"/>
  <c r="X1571" i="11"/>
  <c r="W1571" i="11"/>
  <c r="V1571" i="11"/>
  <c r="U1571" i="11"/>
  <c r="T1571" i="11"/>
  <c r="S1571" i="11"/>
  <c r="R1571" i="11"/>
  <c r="Q1571" i="11"/>
  <c r="P1571" i="11"/>
  <c r="O1571" i="11"/>
  <c r="N1571" i="11"/>
  <c r="M1571" i="11"/>
  <c r="L1571" i="11"/>
  <c r="K1571" i="11"/>
  <c r="J1571" i="11"/>
  <c r="AC325" i="11"/>
  <c r="AB325" i="11"/>
  <c r="AA325" i="11"/>
  <c r="Z325" i="11"/>
  <c r="Y325" i="11"/>
  <c r="X325" i="11"/>
  <c r="W325" i="11"/>
  <c r="V325" i="11"/>
  <c r="U325" i="11"/>
  <c r="T325" i="11"/>
  <c r="S325" i="11"/>
  <c r="R325" i="11"/>
  <c r="Q325" i="11"/>
  <c r="P325" i="11"/>
  <c r="O325" i="11"/>
  <c r="N325" i="11"/>
  <c r="M325" i="11"/>
  <c r="L325" i="11"/>
  <c r="K325" i="11"/>
  <c r="J325" i="11"/>
  <c r="AC105" i="11"/>
  <c r="AB105" i="11"/>
  <c r="AA105" i="11"/>
  <c r="Z105" i="11"/>
  <c r="Y105" i="11"/>
  <c r="X105" i="11"/>
  <c r="W105" i="11"/>
  <c r="V105" i="11"/>
  <c r="U105" i="11"/>
  <c r="T105" i="11"/>
  <c r="S105" i="11"/>
  <c r="R105" i="11"/>
  <c r="Q105" i="11"/>
  <c r="P105" i="11"/>
  <c r="O105" i="11"/>
  <c r="N105" i="11"/>
  <c r="M105" i="11"/>
  <c r="L105" i="11"/>
  <c r="K105" i="11"/>
  <c r="J105" i="11"/>
  <c r="AC807" i="11"/>
  <c r="AB807" i="11"/>
  <c r="AA807" i="11"/>
  <c r="Z807" i="11"/>
  <c r="Y807" i="11"/>
  <c r="X807" i="11"/>
  <c r="W807" i="11"/>
  <c r="V807" i="11"/>
  <c r="U807" i="11"/>
  <c r="T807" i="11"/>
  <c r="S807" i="11"/>
  <c r="R807" i="11"/>
  <c r="Q807" i="11"/>
  <c r="P807" i="11"/>
  <c r="O807" i="11"/>
  <c r="N807" i="11"/>
  <c r="M807" i="11"/>
  <c r="L807" i="11"/>
  <c r="K807" i="11"/>
  <c r="J807" i="11"/>
  <c r="AC741" i="11"/>
  <c r="AB741" i="11"/>
  <c r="AA741" i="11"/>
  <c r="Z741" i="11"/>
  <c r="Y741" i="11"/>
  <c r="X741" i="11"/>
  <c r="W741" i="11"/>
  <c r="V741" i="11"/>
  <c r="U741" i="11"/>
  <c r="T741" i="11"/>
  <c r="S741" i="11"/>
  <c r="R741" i="11"/>
  <c r="Q741" i="11"/>
  <c r="P741" i="11"/>
  <c r="O741" i="11"/>
  <c r="N741" i="11"/>
  <c r="M741" i="11"/>
  <c r="L741" i="11"/>
  <c r="K741" i="11"/>
  <c r="J741" i="11"/>
  <c r="AC2207" i="11"/>
  <c r="AB2207" i="11"/>
  <c r="AA2207" i="11"/>
  <c r="Z2207" i="11"/>
  <c r="Y2207" i="11"/>
  <c r="X2207" i="11"/>
  <c r="W2207" i="11"/>
  <c r="V2207" i="11"/>
  <c r="U2207" i="11"/>
  <c r="T2207" i="11"/>
  <c r="S2207" i="11"/>
  <c r="R2207" i="11"/>
  <c r="Q2207" i="11"/>
  <c r="P2207" i="11"/>
  <c r="O2207" i="11"/>
  <c r="N2207" i="11"/>
  <c r="M2207" i="11"/>
  <c r="L2207" i="11"/>
  <c r="K2207" i="11"/>
  <c r="J2207" i="11"/>
  <c r="AC2163" i="11"/>
  <c r="AB2163" i="11"/>
  <c r="AA2163" i="11"/>
  <c r="Z2163" i="11"/>
  <c r="Y2163" i="11"/>
  <c r="X2163" i="11"/>
  <c r="W2163" i="11"/>
  <c r="V2163" i="11"/>
  <c r="U2163" i="11"/>
  <c r="T2163" i="11"/>
  <c r="S2163" i="11"/>
  <c r="R2163" i="11"/>
  <c r="Q2163" i="11"/>
  <c r="P2163" i="11"/>
  <c r="O2163" i="11"/>
  <c r="N2163" i="11"/>
  <c r="M2163" i="11"/>
  <c r="L2163" i="11"/>
  <c r="K2163" i="11"/>
  <c r="J2163" i="11"/>
  <c r="AC1032" i="11"/>
  <c r="AB1032" i="11"/>
  <c r="AA1032" i="11"/>
  <c r="Z1032" i="11"/>
  <c r="Y1032" i="11"/>
  <c r="X1032" i="11"/>
  <c r="W1032" i="11"/>
  <c r="V1032" i="11"/>
  <c r="U1032" i="11"/>
  <c r="T1032" i="11"/>
  <c r="S1032" i="11"/>
  <c r="R1032" i="11"/>
  <c r="Q1032" i="11"/>
  <c r="P1032" i="11"/>
  <c r="O1032" i="11"/>
  <c r="N1032" i="11"/>
  <c r="M1032" i="11"/>
  <c r="L1032" i="11"/>
  <c r="K1032" i="11"/>
  <c r="J1032" i="11"/>
  <c r="AC1253" i="11"/>
  <c r="AB1253" i="11"/>
  <c r="AA1253" i="11"/>
  <c r="Z1253" i="11"/>
  <c r="Y1253" i="11"/>
  <c r="X1253" i="11"/>
  <c r="W1253" i="11"/>
  <c r="V1253" i="11"/>
  <c r="U1253" i="11"/>
  <c r="T1253" i="11"/>
  <c r="S1253" i="11"/>
  <c r="R1253" i="11"/>
  <c r="Q1253" i="11"/>
  <c r="P1253" i="11"/>
  <c r="O1253" i="11"/>
  <c r="N1253" i="11"/>
  <c r="M1253" i="11"/>
  <c r="L1253" i="11"/>
  <c r="K1253" i="11"/>
  <c r="J1253" i="11"/>
  <c r="AC1945" i="11"/>
  <c r="AB1945" i="11"/>
  <c r="AA1945" i="11"/>
  <c r="Z1945" i="11"/>
  <c r="Y1945" i="11"/>
  <c r="X1945" i="11"/>
  <c r="W1945" i="11"/>
  <c r="V1945" i="11"/>
  <c r="U1945" i="11"/>
  <c r="T1945" i="11"/>
  <c r="S1945" i="11"/>
  <c r="R1945" i="11"/>
  <c r="Q1945" i="11"/>
  <c r="P1945" i="11"/>
  <c r="O1945" i="11"/>
  <c r="N1945" i="11"/>
  <c r="M1945" i="11"/>
  <c r="L1945" i="11"/>
  <c r="K1945" i="11"/>
  <c r="J1945" i="11"/>
  <c r="AC1480" i="11"/>
  <c r="AB1480" i="11"/>
  <c r="AA1480" i="11"/>
  <c r="Z1480" i="11"/>
  <c r="Y1480" i="11"/>
  <c r="X1480" i="11"/>
  <c r="W1480" i="11"/>
  <c r="V1480" i="11"/>
  <c r="U1480" i="11"/>
  <c r="T1480" i="11"/>
  <c r="S1480" i="11"/>
  <c r="R1480" i="11"/>
  <c r="Q1480" i="11"/>
  <c r="P1480" i="11"/>
  <c r="O1480" i="11"/>
  <c r="N1480" i="11"/>
  <c r="M1480" i="11"/>
  <c r="L1480" i="11"/>
  <c r="K1480" i="11"/>
  <c r="J1480" i="11"/>
  <c r="AC1479" i="11"/>
  <c r="AB1479" i="11"/>
  <c r="AA1479" i="11"/>
  <c r="Z1479" i="11"/>
  <c r="Y1479" i="11"/>
  <c r="X1479" i="11"/>
  <c r="W1479" i="11"/>
  <c r="V1479" i="11"/>
  <c r="U1479" i="11"/>
  <c r="T1479" i="11"/>
  <c r="S1479" i="11"/>
  <c r="R1479" i="11"/>
  <c r="Q1479" i="11"/>
  <c r="P1479" i="11"/>
  <c r="O1479" i="11"/>
  <c r="N1479" i="11"/>
  <c r="M1479" i="11"/>
  <c r="L1479" i="11"/>
  <c r="K1479" i="11"/>
  <c r="J1479" i="11"/>
  <c r="AC806" i="11"/>
  <c r="AB806" i="11"/>
  <c r="AA806" i="11"/>
  <c r="Z806" i="11"/>
  <c r="Y806" i="11"/>
  <c r="X806" i="11"/>
  <c r="W806" i="11"/>
  <c r="V806" i="11"/>
  <c r="U806" i="11"/>
  <c r="T806" i="11"/>
  <c r="S806" i="11"/>
  <c r="R806" i="11"/>
  <c r="Q806" i="11"/>
  <c r="P806" i="11"/>
  <c r="O806" i="11"/>
  <c r="N806" i="11"/>
  <c r="M806" i="11"/>
  <c r="L806" i="11"/>
  <c r="K806" i="11"/>
  <c r="J806" i="11"/>
  <c r="AC402" i="11"/>
  <c r="AB402" i="11"/>
  <c r="AA402" i="11"/>
  <c r="Z402" i="11"/>
  <c r="Y402" i="11"/>
  <c r="X402" i="11"/>
  <c r="W402" i="11"/>
  <c r="V402" i="11"/>
  <c r="U402" i="11"/>
  <c r="T402" i="11"/>
  <c r="S402" i="11"/>
  <c r="R402" i="11"/>
  <c r="Q402" i="11"/>
  <c r="P402" i="11"/>
  <c r="O402" i="11"/>
  <c r="N402" i="11"/>
  <c r="M402" i="11"/>
  <c r="L402" i="11"/>
  <c r="K402" i="11"/>
  <c r="J402" i="11"/>
  <c r="AC805" i="11"/>
  <c r="AB805" i="11"/>
  <c r="AA805" i="11"/>
  <c r="Z805" i="11"/>
  <c r="Y805" i="11"/>
  <c r="X805" i="11"/>
  <c r="W805" i="11"/>
  <c r="V805" i="11"/>
  <c r="U805" i="11"/>
  <c r="T805" i="11"/>
  <c r="S805" i="11"/>
  <c r="R805" i="11"/>
  <c r="Q805" i="11"/>
  <c r="P805" i="11"/>
  <c r="O805" i="11"/>
  <c r="N805" i="11"/>
  <c r="M805" i="11"/>
  <c r="L805" i="11"/>
  <c r="K805" i="11"/>
  <c r="J805" i="11"/>
  <c r="AC1352" i="11"/>
  <c r="AB1352" i="11"/>
  <c r="AA1352" i="11"/>
  <c r="Z1352" i="11"/>
  <c r="Y1352" i="11"/>
  <c r="X1352" i="11"/>
  <c r="W1352" i="11"/>
  <c r="V1352" i="11"/>
  <c r="U1352" i="11"/>
  <c r="T1352" i="11"/>
  <c r="S1352" i="11"/>
  <c r="R1352" i="11"/>
  <c r="Q1352" i="11"/>
  <c r="P1352" i="11"/>
  <c r="O1352" i="11"/>
  <c r="N1352" i="11"/>
  <c r="M1352" i="11"/>
  <c r="L1352" i="11"/>
  <c r="K1352" i="11"/>
  <c r="J1352" i="11"/>
  <c r="AC1478" i="11"/>
  <c r="AB1478" i="11"/>
  <c r="AA1478" i="11"/>
  <c r="Z1478" i="11"/>
  <c r="Y1478" i="11"/>
  <c r="X1478" i="11"/>
  <c r="W1478" i="11"/>
  <c r="V1478" i="11"/>
  <c r="U1478" i="11"/>
  <c r="T1478" i="11"/>
  <c r="S1478" i="11"/>
  <c r="R1478" i="11"/>
  <c r="Q1478" i="11"/>
  <c r="P1478" i="11"/>
  <c r="O1478" i="11"/>
  <c r="N1478" i="11"/>
  <c r="M1478" i="11"/>
  <c r="L1478" i="11"/>
  <c r="K1478" i="11"/>
  <c r="J1478" i="11"/>
  <c r="AC162" i="11"/>
  <c r="AB162" i="11"/>
  <c r="AA162" i="11"/>
  <c r="Z162" i="11"/>
  <c r="Y162" i="11"/>
  <c r="X162" i="11"/>
  <c r="W162" i="11"/>
  <c r="V162" i="11"/>
  <c r="U162" i="11"/>
  <c r="T162" i="11"/>
  <c r="S162" i="11"/>
  <c r="R162" i="11"/>
  <c r="Q162" i="11"/>
  <c r="P162" i="11"/>
  <c r="O162" i="11"/>
  <c r="N162" i="11"/>
  <c r="M162" i="11"/>
  <c r="L162" i="11"/>
  <c r="K162" i="11"/>
  <c r="J162" i="11"/>
  <c r="AC1605" i="11"/>
  <c r="AB1605" i="11"/>
  <c r="AA1605" i="11"/>
  <c r="Z1605" i="11"/>
  <c r="Y1605" i="11"/>
  <c r="X1605" i="11"/>
  <c r="W1605" i="11"/>
  <c r="V1605" i="11"/>
  <c r="U1605" i="11"/>
  <c r="T1605" i="11"/>
  <c r="S1605" i="11"/>
  <c r="R1605" i="11"/>
  <c r="Q1605" i="11"/>
  <c r="P1605" i="11"/>
  <c r="O1605" i="11"/>
  <c r="N1605" i="11"/>
  <c r="M1605" i="11"/>
  <c r="L1605" i="11"/>
  <c r="K1605" i="11"/>
  <c r="J1605" i="11"/>
  <c r="AC1477" i="11"/>
  <c r="AB1477" i="11"/>
  <c r="AA1477" i="11"/>
  <c r="Z1477" i="11"/>
  <c r="Y1477" i="11"/>
  <c r="X1477" i="11"/>
  <c r="W1477" i="11"/>
  <c r="V1477" i="11"/>
  <c r="U1477" i="11"/>
  <c r="T1477" i="11"/>
  <c r="S1477" i="11"/>
  <c r="R1477" i="11"/>
  <c r="Q1477" i="11"/>
  <c r="P1477" i="11"/>
  <c r="O1477" i="11"/>
  <c r="N1477" i="11"/>
  <c r="M1477" i="11"/>
  <c r="L1477" i="11"/>
  <c r="K1477" i="11"/>
  <c r="J1477" i="11"/>
  <c r="AC804" i="11"/>
  <c r="AB804" i="11"/>
  <c r="AA804" i="11"/>
  <c r="Z804" i="11"/>
  <c r="Y804" i="11"/>
  <c r="X804" i="11"/>
  <c r="W804" i="11"/>
  <c r="V804" i="11"/>
  <c r="U804" i="11"/>
  <c r="T804" i="11"/>
  <c r="S804" i="11"/>
  <c r="R804" i="11"/>
  <c r="Q804" i="11"/>
  <c r="P804" i="11"/>
  <c r="O804" i="11"/>
  <c r="N804" i="11"/>
  <c r="M804" i="11"/>
  <c r="L804" i="11"/>
  <c r="K804" i="11"/>
  <c r="J804" i="11"/>
  <c r="AC1898" i="11"/>
  <c r="AB1898" i="11"/>
  <c r="AA1898" i="11"/>
  <c r="Z1898" i="11"/>
  <c r="Y1898" i="11"/>
  <c r="X1898" i="11"/>
  <c r="W1898" i="11"/>
  <c r="V1898" i="11"/>
  <c r="U1898" i="11"/>
  <c r="T1898" i="11"/>
  <c r="S1898" i="11"/>
  <c r="R1898" i="11"/>
  <c r="Q1898" i="11"/>
  <c r="P1898" i="11"/>
  <c r="O1898" i="11"/>
  <c r="N1898" i="11"/>
  <c r="M1898" i="11"/>
  <c r="L1898" i="11"/>
  <c r="K1898" i="11"/>
  <c r="J1898" i="11"/>
  <c r="AC1897" i="11"/>
  <c r="AB1897" i="11"/>
  <c r="AA1897" i="11"/>
  <c r="Z1897" i="11"/>
  <c r="Y1897" i="11"/>
  <c r="X1897" i="11"/>
  <c r="W1897" i="11"/>
  <c r="V1897" i="11"/>
  <c r="U1897" i="11"/>
  <c r="T1897" i="11"/>
  <c r="S1897" i="11"/>
  <c r="R1897" i="11"/>
  <c r="Q1897" i="11"/>
  <c r="P1897" i="11"/>
  <c r="O1897" i="11"/>
  <c r="N1897" i="11"/>
  <c r="M1897" i="11"/>
  <c r="L1897" i="11"/>
  <c r="K1897" i="11"/>
  <c r="J1897" i="11"/>
  <c r="AC651" i="11"/>
  <c r="AB651" i="11"/>
  <c r="AA651" i="11"/>
  <c r="Z651" i="11"/>
  <c r="Y651" i="11"/>
  <c r="X651" i="11"/>
  <c r="W651" i="11"/>
  <c r="V651" i="11"/>
  <c r="U651" i="11"/>
  <c r="T651" i="11"/>
  <c r="S651" i="11"/>
  <c r="R651" i="11"/>
  <c r="Q651" i="11"/>
  <c r="P651" i="11"/>
  <c r="O651" i="11"/>
  <c r="N651" i="11"/>
  <c r="M651" i="11"/>
  <c r="L651" i="11"/>
  <c r="K651" i="11"/>
  <c r="J651" i="11"/>
  <c r="AC956" i="11"/>
  <c r="AB956" i="11"/>
  <c r="AA956" i="11"/>
  <c r="Z956" i="11"/>
  <c r="Y956" i="11"/>
  <c r="X956" i="11"/>
  <c r="W956" i="11"/>
  <c r="V956" i="11"/>
  <c r="U956" i="11"/>
  <c r="T956" i="11"/>
  <c r="S956" i="11"/>
  <c r="R956" i="11"/>
  <c r="Q956" i="11"/>
  <c r="P956" i="11"/>
  <c r="O956" i="11"/>
  <c r="N956" i="11"/>
  <c r="M956" i="11"/>
  <c r="L956" i="11"/>
  <c r="K956" i="11"/>
  <c r="J956" i="11"/>
  <c r="AC1851" i="11"/>
  <c r="AB1851" i="11"/>
  <c r="AA1851" i="11"/>
  <c r="Z1851" i="11"/>
  <c r="Y1851" i="11"/>
  <c r="X1851" i="11"/>
  <c r="W1851" i="11"/>
  <c r="V1851" i="11"/>
  <c r="U1851" i="11"/>
  <c r="T1851" i="11"/>
  <c r="S1851" i="11"/>
  <c r="R1851" i="11"/>
  <c r="Q1851" i="11"/>
  <c r="P1851" i="11"/>
  <c r="O1851" i="11"/>
  <c r="N1851" i="11"/>
  <c r="M1851" i="11"/>
  <c r="L1851" i="11"/>
  <c r="K1851" i="11"/>
  <c r="J1851" i="11"/>
  <c r="AC875" i="11"/>
  <c r="AB875" i="11"/>
  <c r="AA875" i="11"/>
  <c r="Z875" i="11"/>
  <c r="Y875" i="11"/>
  <c r="X875" i="11"/>
  <c r="W875" i="11"/>
  <c r="V875" i="11"/>
  <c r="U875" i="11"/>
  <c r="T875" i="11"/>
  <c r="S875" i="11"/>
  <c r="R875" i="11"/>
  <c r="Q875" i="11"/>
  <c r="P875" i="11"/>
  <c r="O875" i="11"/>
  <c r="N875" i="11"/>
  <c r="M875" i="11"/>
  <c r="L875" i="11"/>
  <c r="K875" i="11"/>
  <c r="J875" i="11"/>
  <c r="AC1850" i="11"/>
  <c r="AB1850" i="11"/>
  <c r="AA1850" i="11"/>
  <c r="Z1850" i="11"/>
  <c r="Y1850" i="11"/>
  <c r="X1850" i="11"/>
  <c r="W1850" i="11"/>
  <c r="V1850" i="11"/>
  <c r="U1850" i="11"/>
  <c r="T1850" i="11"/>
  <c r="S1850" i="11"/>
  <c r="R1850" i="11"/>
  <c r="Q1850" i="11"/>
  <c r="P1850" i="11"/>
  <c r="O1850" i="11"/>
  <c r="N1850" i="11"/>
  <c r="M1850" i="11"/>
  <c r="L1850" i="11"/>
  <c r="K1850" i="11"/>
  <c r="J1850" i="11"/>
  <c r="AC740" i="11"/>
  <c r="AB740" i="11"/>
  <c r="AA740" i="11"/>
  <c r="Z740" i="11"/>
  <c r="Y740" i="11"/>
  <c r="X740" i="11"/>
  <c r="W740" i="11"/>
  <c r="V740" i="11"/>
  <c r="U740" i="11"/>
  <c r="T740" i="11"/>
  <c r="S740" i="11"/>
  <c r="R740" i="11"/>
  <c r="Q740" i="11"/>
  <c r="P740" i="11"/>
  <c r="O740" i="11"/>
  <c r="N740" i="11"/>
  <c r="M740" i="11"/>
  <c r="L740" i="11"/>
  <c r="K740" i="11"/>
  <c r="J740" i="11"/>
  <c r="AC739" i="11"/>
  <c r="AB739" i="11"/>
  <c r="AA739" i="11"/>
  <c r="Z739" i="11"/>
  <c r="Y739" i="11"/>
  <c r="X739" i="11"/>
  <c r="W739" i="11"/>
  <c r="V739" i="11"/>
  <c r="U739" i="11"/>
  <c r="T739" i="11"/>
  <c r="S739" i="11"/>
  <c r="R739" i="11"/>
  <c r="Q739" i="11"/>
  <c r="P739" i="11"/>
  <c r="O739" i="11"/>
  <c r="N739" i="11"/>
  <c r="M739" i="11"/>
  <c r="L739" i="11"/>
  <c r="K739" i="11"/>
  <c r="J739" i="11"/>
  <c r="AC738" i="11"/>
  <c r="AB738" i="11"/>
  <c r="AA738" i="11"/>
  <c r="Z738" i="11"/>
  <c r="Y738" i="11"/>
  <c r="X738" i="11"/>
  <c r="W738" i="11"/>
  <c r="V738" i="11"/>
  <c r="U738" i="11"/>
  <c r="T738" i="11"/>
  <c r="S738" i="11"/>
  <c r="R738" i="11"/>
  <c r="Q738" i="11"/>
  <c r="P738" i="11"/>
  <c r="O738" i="11"/>
  <c r="N738" i="11"/>
  <c r="M738" i="11"/>
  <c r="L738" i="11"/>
  <c r="K738" i="11"/>
  <c r="J738" i="11"/>
  <c r="AC1570" i="11"/>
  <c r="AB1570" i="11"/>
  <c r="AA1570" i="11"/>
  <c r="Z1570" i="11"/>
  <c r="Y1570" i="11"/>
  <c r="X1570" i="11"/>
  <c r="W1570" i="11"/>
  <c r="V1570" i="11"/>
  <c r="U1570" i="11"/>
  <c r="T1570" i="11"/>
  <c r="S1570" i="11"/>
  <c r="R1570" i="11"/>
  <c r="Q1570" i="11"/>
  <c r="P1570" i="11"/>
  <c r="O1570" i="11"/>
  <c r="N1570" i="11"/>
  <c r="M1570" i="11"/>
  <c r="L1570" i="11"/>
  <c r="K1570" i="11"/>
  <c r="J1570" i="11"/>
  <c r="AC650" i="11"/>
  <c r="AB650" i="11"/>
  <c r="AA650" i="11"/>
  <c r="Z650" i="11"/>
  <c r="Y650" i="11"/>
  <c r="X650" i="11"/>
  <c r="W650" i="11"/>
  <c r="V650" i="11"/>
  <c r="U650" i="11"/>
  <c r="T650" i="11"/>
  <c r="S650" i="11"/>
  <c r="R650" i="11"/>
  <c r="Q650" i="11"/>
  <c r="P650" i="11"/>
  <c r="O650" i="11"/>
  <c r="N650" i="11"/>
  <c r="M650" i="11"/>
  <c r="L650" i="11"/>
  <c r="K650" i="11"/>
  <c r="J650" i="11"/>
  <c r="AC73" i="11"/>
  <c r="AB73" i="11"/>
  <c r="AA73" i="11"/>
  <c r="Z73" i="11"/>
  <c r="Y73" i="11"/>
  <c r="X73" i="11"/>
  <c r="W73" i="11"/>
  <c r="V73" i="11"/>
  <c r="U73" i="11"/>
  <c r="T73" i="11"/>
  <c r="S73" i="11"/>
  <c r="R73" i="11"/>
  <c r="Q73" i="11"/>
  <c r="P73" i="11"/>
  <c r="O73" i="11"/>
  <c r="N73" i="11"/>
  <c r="M73" i="11"/>
  <c r="L73" i="11"/>
  <c r="K73" i="11"/>
  <c r="J73" i="11"/>
  <c r="AC737" i="11"/>
  <c r="AB737" i="11"/>
  <c r="AA737" i="11"/>
  <c r="Z737" i="11"/>
  <c r="Y737" i="11"/>
  <c r="X737" i="11"/>
  <c r="W737" i="11"/>
  <c r="V737" i="11"/>
  <c r="U737" i="11"/>
  <c r="T737" i="11"/>
  <c r="S737" i="11"/>
  <c r="R737" i="11"/>
  <c r="Q737" i="11"/>
  <c r="P737" i="11"/>
  <c r="O737" i="11"/>
  <c r="N737" i="11"/>
  <c r="M737" i="11"/>
  <c r="L737" i="11"/>
  <c r="K737" i="11"/>
  <c r="J737" i="11"/>
  <c r="AC1986" i="11"/>
  <c r="AB1986" i="11"/>
  <c r="AA1986" i="11"/>
  <c r="Z1986" i="11"/>
  <c r="Y1986" i="11"/>
  <c r="X1986" i="11"/>
  <c r="W1986" i="11"/>
  <c r="V1986" i="11"/>
  <c r="U1986" i="11"/>
  <c r="T1986" i="11"/>
  <c r="S1986" i="11"/>
  <c r="R1986" i="11"/>
  <c r="Q1986" i="11"/>
  <c r="P1986" i="11"/>
  <c r="O1986" i="11"/>
  <c r="N1986" i="11"/>
  <c r="M1986" i="11"/>
  <c r="L1986" i="11"/>
  <c r="K1986" i="11"/>
  <c r="J1986" i="11"/>
  <c r="AC649" i="11"/>
  <c r="AB649" i="11"/>
  <c r="AA649" i="11"/>
  <c r="Z649" i="11"/>
  <c r="Y649" i="11"/>
  <c r="X649" i="11"/>
  <c r="W649" i="11"/>
  <c r="V649" i="11"/>
  <c r="U649" i="11"/>
  <c r="T649" i="11"/>
  <c r="S649" i="11"/>
  <c r="R649" i="11"/>
  <c r="Q649" i="11"/>
  <c r="P649" i="11"/>
  <c r="O649" i="11"/>
  <c r="N649" i="11"/>
  <c r="M649" i="11"/>
  <c r="L649" i="11"/>
  <c r="K649" i="11"/>
  <c r="J649" i="11"/>
  <c r="AC955" i="11"/>
  <c r="AB955" i="11"/>
  <c r="AA955" i="11"/>
  <c r="Z955" i="11"/>
  <c r="Y955" i="11"/>
  <c r="X955" i="11"/>
  <c r="W955" i="11"/>
  <c r="V955" i="11"/>
  <c r="U955" i="11"/>
  <c r="T955" i="11"/>
  <c r="S955" i="11"/>
  <c r="R955" i="11"/>
  <c r="Q955" i="11"/>
  <c r="P955" i="11"/>
  <c r="O955" i="11"/>
  <c r="N955" i="11"/>
  <c r="M955" i="11"/>
  <c r="L955" i="11"/>
  <c r="K955" i="11"/>
  <c r="J955" i="11"/>
  <c r="AC1944" i="11"/>
  <c r="AB1944" i="11"/>
  <c r="AA1944" i="11"/>
  <c r="Z1944" i="11"/>
  <c r="Y1944" i="11"/>
  <c r="X1944" i="11"/>
  <c r="W1944" i="11"/>
  <c r="V1944" i="11"/>
  <c r="U1944" i="11"/>
  <c r="T1944" i="11"/>
  <c r="S1944" i="11"/>
  <c r="R1944" i="11"/>
  <c r="Q1944" i="11"/>
  <c r="P1944" i="11"/>
  <c r="O1944" i="11"/>
  <c r="N1944" i="11"/>
  <c r="M1944" i="11"/>
  <c r="L1944" i="11"/>
  <c r="K1944" i="11"/>
  <c r="J1944" i="11"/>
  <c r="AC803" i="11"/>
  <c r="AB803" i="11"/>
  <c r="AA803" i="11"/>
  <c r="Z803" i="11"/>
  <c r="Y803" i="11"/>
  <c r="X803" i="11"/>
  <c r="W803" i="11"/>
  <c r="V803" i="11"/>
  <c r="U803" i="11"/>
  <c r="T803" i="11"/>
  <c r="S803" i="11"/>
  <c r="R803" i="11"/>
  <c r="Q803" i="11"/>
  <c r="P803" i="11"/>
  <c r="O803" i="11"/>
  <c r="N803" i="11"/>
  <c r="M803" i="11"/>
  <c r="L803" i="11"/>
  <c r="K803" i="11"/>
  <c r="J803" i="11"/>
  <c r="AC509" i="11"/>
  <c r="AB509" i="11"/>
  <c r="AA509" i="11"/>
  <c r="Z509" i="11"/>
  <c r="Y509" i="11"/>
  <c r="X509" i="11"/>
  <c r="W509" i="11"/>
  <c r="V509" i="11"/>
  <c r="U509" i="11"/>
  <c r="T509" i="11"/>
  <c r="S509" i="11"/>
  <c r="R509" i="11"/>
  <c r="Q509" i="11"/>
  <c r="P509" i="11"/>
  <c r="O509" i="11"/>
  <c r="N509" i="11"/>
  <c r="M509" i="11"/>
  <c r="L509" i="11"/>
  <c r="K509" i="11"/>
  <c r="J509" i="11"/>
  <c r="AC1896" i="11"/>
  <c r="AB1896" i="11"/>
  <c r="AA1896" i="11"/>
  <c r="Z1896" i="11"/>
  <c r="Y1896" i="11"/>
  <c r="X1896" i="11"/>
  <c r="W1896" i="11"/>
  <c r="V1896" i="11"/>
  <c r="U1896" i="11"/>
  <c r="T1896" i="11"/>
  <c r="S1896" i="11"/>
  <c r="R1896" i="11"/>
  <c r="Q1896" i="11"/>
  <c r="P1896" i="11"/>
  <c r="O1896" i="11"/>
  <c r="N1896" i="11"/>
  <c r="M1896" i="11"/>
  <c r="L1896" i="11"/>
  <c r="K1896" i="11"/>
  <c r="J1896" i="11"/>
  <c r="AC954" i="11"/>
  <c r="AB954" i="11"/>
  <c r="AA954" i="11"/>
  <c r="Z954" i="11"/>
  <c r="Y954" i="11"/>
  <c r="X954" i="11"/>
  <c r="W954" i="11"/>
  <c r="V954" i="11"/>
  <c r="U954" i="11"/>
  <c r="T954" i="11"/>
  <c r="S954" i="11"/>
  <c r="R954" i="11"/>
  <c r="Q954" i="11"/>
  <c r="P954" i="11"/>
  <c r="O954" i="11"/>
  <c r="N954" i="11"/>
  <c r="M954" i="11"/>
  <c r="L954" i="11"/>
  <c r="K954" i="11"/>
  <c r="J954" i="11"/>
  <c r="AC953" i="11"/>
  <c r="AB953" i="11"/>
  <c r="AA953" i="11"/>
  <c r="Z953" i="11"/>
  <c r="Y953" i="11"/>
  <c r="X953" i="11"/>
  <c r="W953" i="11"/>
  <c r="V953" i="11"/>
  <c r="U953" i="11"/>
  <c r="T953" i="11"/>
  <c r="S953" i="11"/>
  <c r="R953" i="11"/>
  <c r="Q953" i="11"/>
  <c r="P953" i="11"/>
  <c r="O953" i="11"/>
  <c r="N953" i="11"/>
  <c r="M953" i="11"/>
  <c r="L953" i="11"/>
  <c r="K953" i="11"/>
  <c r="J953" i="11"/>
  <c r="AC1031" i="11"/>
  <c r="AB1031" i="11"/>
  <c r="AA1031" i="11"/>
  <c r="Z1031" i="11"/>
  <c r="Y1031" i="11"/>
  <c r="X1031" i="11"/>
  <c r="W1031" i="11"/>
  <c r="V1031" i="11"/>
  <c r="U1031" i="11"/>
  <c r="T1031" i="11"/>
  <c r="S1031" i="11"/>
  <c r="R1031" i="11"/>
  <c r="Q1031" i="11"/>
  <c r="P1031" i="11"/>
  <c r="O1031" i="11"/>
  <c r="N1031" i="11"/>
  <c r="M1031" i="11"/>
  <c r="L1031" i="11"/>
  <c r="K1031" i="11"/>
  <c r="J1031" i="11"/>
  <c r="AC1604" i="11"/>
  <c r="AB1604" i="11"/>
  <c r="AA1604" i="11"/>
  <c r="Z1604" i="11"/>
  <c r="Y1604" i="11"/>
  <c r="X1604" i="11"/>
  <c r="W1604" i="11"/>
  <c r="V1604" i="11"/>
  <c r="U1604" i="11"/>
  <c r="T1604" i="11"/>
  <c r="S1604" i="11"/>
  <c r="R1604" i="11"/>
  <c r="Q1604" i="11"/>
  <c r="P1604" i="11"/>
  <c r="O1604" i="11"/>
  <c r="N1604" i="11"/>
  <c r="M1604" i="11"/>
  <c r="L1604" i="11"/>
  <c r="K1604" i="11"/>
  <c r="J1604" i="11"/>
  <c r="AC1752" i="11"/>
  <c r="AB1752" i="11"/>
  <c r="AA1752" i="11"/>
  <c r="Z1752" i="11"/>
  <c r="Y1752" i="11"/>
  <c r="X1752" i="11"/>
  <c r="W1752" i="11"/>
  <c r="V1752" i="11"/>
  <c r="U1752" i="11"/>
  <c r="T1752" i="11"/>
  <c r="S1752" i="11"/>
  <c r="R1752" i="11"/>
  <c r="Q1752" i="11"/>
  <c r="P1752" i="11"/>
  <c r="O1752" i="11"/>
  <c r="N1752" i="11"/>
  <c r="M1752" i="11"/>
  <c r="L1752" i="11"/>
  <c r="K1752" i="11"/>
  <c r="J1752" i="11"/>
  <c r="AC2031" i="11"/>
  <c r="AB2031" i="11"/>
  <c r="AA2031" i="11"/>
  <c r="Z2031" i="11"/>
  <c r="Y2031" i="11"/>
  <c r="X2031" i="11"/>
  <c r="W2031" i="11"/>
  <c r="V2031" i="11"/>
  <c r="U2031" i="11"/>
  <c r="T2031" i="11"/>
  <c r="S2031" i="11"/>
  <c r="R2031" i="11"/>
  <c r="Q2031" i="11"/>
  <c r="P2031" i="11"/>
  <c r="O2031" i="11"/>
  <c r="N2031" i="11"/>
  <c r="M2031" i="11"/>
  <c r="L2031" i="11"/>
  <c r="K2031" i="11"/>
  <c r="J2031" i="11"/>
  <c r="AC2162" i="11"/>
  <c r="AB2162" i="11"/>
  <c r="AA2162" i="11"/>
  <c r="Z2162" i="11"/>
  <c r="Y2162" i="11"/>
  <c r="X2162" i="11"/>
  <c r="W2162" i="11"/>
  <c r="V2162" i="11"/>
  <c r="U2162" i="11"/>
  <c r="T2162" i="11"/>
  <c r="S2162" i="11"/>
  <c r="R2162" i="11"/>
  <c r="Q2162" i="11"/>
  <c r="P2162" i="11"/>
  <c r="O2162" i="11"/>
  <c r="N2162" i="11"/>
  <c r="M2162" i="11"/>
  <c r="L2162" i="11"/>
  <c r="K2162" i="11"/>
  <c r="J2162" i="11"/>
  <c r="AC2161" i="11"/>
  <c r="AB2161" i="11"/>
  <c r="AA2161" i="11"/>
  <c r="Z2161" i="11"/>
  <c r="Y2161" i="11"/>
  <c r="X2161" i="11"/>
  <c r="W2161" i="11"/>
  <c r="V2161" i="11"/>
  <c r="U2161" i="11"/>
  <c r="T2161" i="11"/>
  <c r="S2161" i="11"/>
  <c r="R2161" i="11"/>
  <c r="Q2161" i="11"/>
  <c r="P2161" i="11"/>
  <c r="O2161" i="11"/>
  <c r="N2161" i="11"/>
  <c r="M2161" i="11"/>
  <c r="L2161" i="11"/>
  <c r="K2161" i="11"/>
  <c r="J2161" i="11"/>
  <c r="AC1751" i="11"/>
  <c r="AB1751" i="11"/>
  <c r="AA1751" i="11"/>
  <c r="Z1751" i="11"/>
  <c r="Y1751" i="11"/>
  <c r="X1751" i="11"/>
  <c r="W1751" i="11"/>
  <c r="V1751" i="11"/>
  <c r="U1751" i="11"/>
  <c r="T1751" i="11"/>
  <c r="S1751" i="11"/>
  <c r="R1751" i="11"/>
  <c r="Q1751" i="11"/>
  <c r="P1751" i="11"/>
  <c r="O1751" i="11"/>
  <c r="N1751" i="11"/>
  <c r="M1751" i="11"/>
  <c r="L1751" i="11"/>
  <c r="K1751" i="11"/>
  <c r="J1751" i="11"/>
  <c r="AC1351" i="11"/>
  <c r="AB1351" i="11"/>
  <c r="AA1351" i="11"/>
  <c r="Z1351" i="11"/>
  <c r="Y1351" i="11"/>
  <c r="X1351" i="11"/>
  <c r="W1351" i="11"/>
  <c r="V1351" i="11"/>
  <c r="U1351" i="11"/>
  <c r="T1351" i="11"/>
  <c r="S1351" i="11"/>
  <c r="R1351" i="11"/>
  <c r="Q1351" i="11"/>
  <c r="P1351" i="11"/>
  <c r="O1351" i="11"/>
  <c r="N1351" i="11"/>
  <c r="M1351" i="11"/>
  <c r="L1351" i="11"/>
  <c r="K1351" i="11"/>
  <c r="J1351" i="11"/>
  <c r="AC1943" i="11"/>
  <c r="AB1943" i="11"/>
  <c r="AA1943" i="11"/>
  <c r="Z1943" i="11"/>
  <c r="Y1943" i="11"/>
  <c r="X1943" i="11"/>
  <c r="W1943" i="11"/>
  <c r="V1943" i="11"/>
  <c r="U1943" i="11"/>
  <c r="T1943" i="11"/>
  <c r="S1943" i="11"/>
  <c r="R1943" i="11"/>
  <c r="Q1943" i="11"/>
  <c r="P1943" i="11"/>
  <c r="O1943" i="11"/>
  <c r="N1943" i="11"/>
  <c r="M1943" i="11"/>
  <c r="L1943" i="11"/>
  <c r="K1943" i="11"/>
  <c r="J1943" i="11"/>
  <c r="AC1515" i="11"/>
  <c r="AB1515" i="11"/>
  <c r="AA1515" i="11"/>
  <c r="Z1515" i="11"/>
  <c r="Y1515" i="11"/>
  <c r="X1515" i="11"/>
  <c r="W1515" i="11"/>
  <c r="V1515" i="11"/>
  <c r="U1515" i="11"/>
  <c r="T1515" i="11"/>
  <c r="S1515" i="11"/>
  <c r="R1515" i="11"/>
  <c r="Q1515" i="11"/>
  <c r="P1515" i="11"/>
  <c r="O1515" i="11"/>
  <c r="N1515" i="11"/>
  <c r="M1515" i="11"/>
  <c r="L1515" i="11"/>
  <c r="K1515" i="11"/>
  <c r="J1515" i="11"/>
  <c r="AC736" i="11"/>
  <c r="AB736" i="11"/>
  <c r="AA736" i="11"/>
  <c r="Z736" i="11"/>
  <c r="Y736" i="11"/>
  <c r="X736" i="11"/>
  <c r="W736" i="11"/>
  <c r="V736" i="11"/>
  <c r="U736" i="11"/>
  <c r="T736" i="11"/>
  <c r="S736" i="11"/>
  <c r="R736" i="11"/>
  <c r="Q736" i="11"/>
  <c r="P736" i="11"/>
  <c r="O736" i="11"/>
  <c r="N736" i="11"/>
  <c r="M736" i="11"/>
  <c r="L736" i="11"/>
  <c r="K736" i="11"/>
  <c r="J736" i="11"/>
  <c r="AC1646" i="11"/>
  <c r="AB1646" i="11"/>
  <c r="AA1646" i="11"/>
  <c r="Z1646" i="11"/>
  <c r="Y1646" i="11"/>
  <c r="X1646" i="11"/>
  <c r="W1646" i="11"/>
  <c r="V1646" i="11"/>
  <c r="U1646" i="11"/>
  <c r="T1646" i="11"/>
  <c r="S1646" i="11"/>
  <c r="R1646" i="11"/>
  <c r="Q1646" i="11"/>
  <c r="P1646" i="11"/>
  <c r="O1646" i="11"/>
  <c r="N1646" i="11"/>
  <c r="M1646" i="11"/>
  <c r="L1646" i="11"/>
  <c r="K1646" i="11"/>
  <c r="J1646" i="11"/>
  <c r="AC1198" i="11"/>
  <c r="AB1198" i="11"/>
  <c r="AA1198" i="11"/>
  <c r="Z1198" i="11"/>
  <c r="Y1198" i="11"/>
  <c r="X1198" i="11"/>
  <c r="W1198" i="11"/>
  <c r="V1198" i="11"/>
  <c r="U1198" i="11"/>
  <c r="T1198" i="11"/>
  <c r="S1198" i="11"/>
  <c r="R1198" i="11"/>
  <c r="Q1198" i="11"/>
  <c r="P1198" i="11"/>
  <c r="O1198" i="11"/>
  <c r="N1198" i="11"/>
  <c r="M1198" i="11"/>
  <c r="L1198" i="11"/>
  <c r="K1198" i="11"/>
  <c r="J1198" i="11"/>
  <c r="AC874" i="11"/>
  <c r="AB874" i="11"/>
  <c r="AA874" i="11"/>
  <c r="Z874" i="11"/>
  <c r="Y874" i="11"/>
  <c r="X874" i="11"/>
  <c r="W874" i="11"/>
  <c r="V874" i="11"/>
  <c r="U874" i="11"/>
  <c r="T874" i="11"/>
  <c r="S874" i="11"/>
  <c r="R874" i="11"/>
  <c r="Q874" i="11"/>
  <c r="P874" i="11"/>
  <c r="O874" i="11"/>
  <c r="N874" i="11"/>
  <c r="M874" i="11"/>
  <c r="L874" i="11"/>
  <c r="K874" i="11"/>
  <c r="J874" i="11"/>
  <c r="AC1426" i="11"/>
  <c r="AB1426" i="11"/>
  <c r="AA1426" i="11"/>
  <c r="Z1426" i="11"/>
  <c r="Y1426" i="11"/>
  <c r="X1426" i="11"/>
  <c r="W1426" i="11"/>
  <c r="V1426" i="11"/>
  <c r="U1426" i="11"/>
  <c r="T1426" i="11"/>
  <c r="S1426" i="11"/>
  <c r="R1426" i="11"/>
  <c r="Q1426" i="11"/>
  <c r="P1426" i="11"/>
  <c r="O1426" i="11"/>
  <c r="N1426" i="11"/>
  <c r="M1426" i="11"/>
  <c r="L1426" i="11"/>
  <c r="K1426" i="11"/>
  <c r="J1426" i="11"/>
  <c r="AC1425" i="11"/>
  <c r="AB1425" i="11"/>
  <c r="AA1425" i="11"/>
  <c r="Z1425" i="11"/>
  <c r="Y1425" i="11"/>
  <c r="X1425" i="11"/>
  <c r="W1425" i="11"/>
  <c r="V1425" i="11"/>
  <c r="U1425" i="11"/>
  <c r="T1425" i="11"/>
  <c r="S1425" i="11"/>
  <c r="R1425" i="11"/>
  <c r="Q1425" i="11"/>
  <c r="P1425" i="11"/>
  <c r="O1425" i="11"/>
  <c r="N1425" i="11"/>
  <c r="M1425" i="11"/>
  <c r="L1425" i="11"/>
  <c r="K1425" i="11"/>
  <c r="J1425" i="11"/>
  <c r="AC1309" i="11"/>
  <c r="AB1309" i="11"/>
  <c r="AA1309" i="11"/>
  <c r="Z1309" i="11"/>
  <c r="Y1309" i="11"/>
  <c r="X1309" i="11"/>
  <c r="W1309" i="11"/>
  <c r="V1309" i="11"/>
  <c r="U1309" i="11"/>
  <c r="T1309" i="11"/>
  <c r="S1309" i="11"/>
  <c r="R1309" i="11"/>
  <c r="Q1309" i="11"/>
  <c r="P1309" i="11"/>
  <c r="O1309" i="11"/>
  <c r="N1309" i="11"/>
  <c r="M1309" i="11"/>
  <c r="L1309" i="11"/>
  <c r="K1309" i="11"/>
  <c r="J1309" i="11"/>
  <c r="AC1476" i="11"/>
  <c r="AB1476" i="11"/>
  <c r="AA1476" i="11"/>
  <c r="Z1476" i="11"/>
  <c r="Y1476" i="11"/>
  <c r="X1476" i="11"/>
  <c r="W1476" i="11"/>
  <c r="V1476" i="11"/>
  <c r="U1476" i="11"/>
  <c r="T1476" i="11"/>
  <c r="S1476" i="11"/>
  <c r="R1476" i="11"/>
  <c r="Q1476" i="11"/>
  <c r="P1476" i="11"/>
  <c r="O1476" i="11"/>
  <c r="N1476" i="11"/>
  <c r="M1476" i="11"/>
  <c r="L1476" i="11"/>
  <c r="K1476" i="11"/>
  <c r="J1476" i="11"/>
  <c r="AC134" i="11"/>
  <c r="AB134" i="11"/>
  <c r="AA134" i="11"/>
  <c r="Z134" i="11"/>
  <c r="Y134" i="11"/>
  <c r="X134" i="11"/>
  <c r="W134" i="11"/>
  <c r="V134" i="11"/>
  <c r="U134" i="11"/>
  <c r="T134" i="11"/>
  <c r="S134" i="11"/>
  <c r="R134" i="11"/>
  <c r="Q134" i="11"/>
  <c r="P134" i="11"/>
  <c r="O134" i="11"/>
  <c r="N134" i="11"/>
  <c r="M134" i="11"/>
  <c r="L134" i="11"/>
  <c r="K134" i="11"/>
  <c r="J134" i="11"/>
  <c r="AC574" i="11"/>
  <c r="AB574" i="11"/>
  <c r="AA574" i="11"/>
  <c r="Z574" i="11"/>
  <c r="Y574" i="11"/>
  <c r="X574" i="11"/>
  <c r="W574" i="11"/>
  <c r="V574" i="11"/>
  <c r="U574" i="11"/>
  <c r="T574" i="11"/>
  <c r="S574" i="11"/>
  <c r="R574" i="11"/>
  <c r="Q574" i="11"/>
  <c r="P574" i="11"/>
  <c r="O574" i="11"/>
  <c r="N574" i="11"/>
  <c r="M574" i="11"/>
  <c r="L574" i="11"/>
  <c r="K574" i="11"/>
  <c r="J574" i="11"/>
  <c r="AC1849" i="11"/>
  <c r="AB1849" i="11"/>
  <c r="AA1849" i="11"/>
  <c r="Z1849" i="11"/>
  <c r="Y1849" i="11"/>
  <c r="X1849" i="11"/>
  <c r="W1849" i="11"/>
  <c r="V1849" i="11"/>
  <c r="U1849" i="11"/>
  <c r="T1849" i="11"/>
  <c r="S1849" i="11"/>
  <c r="R1849" i="11"/>
  <c r="Q1849" i="11"/>
  <c r="P1849" i="11"/>
  <c r="O1849" i="11"/>
  <c r="N1849" i="11"/>
  <c r="M1849" i="11"/>
  <c r="L1849" i="11"/>
  <c r="K1849" i="11"/>
  <c r="J1849" i="11"/>
  <c r="AC1848" i="11"/>
  <c r="AB1848" i="11"/>
  <c r="AA1848" i="11"/>
  <c r="Z1848" i="11"/>
  <c r="Y1848" i="11"/>
  <c r="X1848" i="11"/>
  <c r="W1848" i="11"/>
  <c r="V1848" i="11"/>
  <c r="U1848" i="11"/>
  <c r="T1848" i="11"/>
  <c r="S1848" i="11"/>
  <c r="R1848" i="11"/>
  <c r="Q1848" i="11"/>
  <c r="P1848" i="11"/>
  <c r="O1848" i="11"/>
  <c r="N1848" i="11"/>
  <c r="M1848" i="11"/>
  <c r="L1848" i="11"/>
  <c r="K1848" i="11"/>
  <c r="J1848" i="11"/>
  <c r="AC1424" i="11"/>
  <c r="AB1424" i="11"/>
  <c r="AA1424" i="11"/>
  <c r="Z1424" i="11"/>
  <c r="Y1424" i="11"/>
  <c r="X1424" i="11"/>
  <c r="W1424" i="11"/>
  <c r="V1424" i="11"/>
  <c r="U1424" i="11"/>
  <c r="T1424" i="11"/>
  <c r="S1424" i="11"/>
  <c r="R1424" i="11"/>
  <c r="Q1424" i="11"/>
  <c r="P1424" i="11"/>
  <c r="O1424" i="11"/>
  <c r="N1424" i="11"/>
  <c r="M1424" i="11"/>
  <c r="L1424" i="11"/>
  <c r="K1424" i="11"/>
  <c r="J1424" i="11"/>
  <c r="AC508" i="11"/>
  <c r="AB508" i="11"/>
  <c r="AA508" i="11"/>
  <c r="Z508" i="11"/>
  <c r="Y508" i="11"/>
  <c r="X508" i="11"/>
  <c r="W508" i="11"/>
  <c r="V508" i="11"/>
  <c r="U508" i="11"/>
  <c r="T508" i="11"/>
  <c r="S508" i="11"/>
  <c r="R508" i="11"/>
  <c r="Q508" i="11"/>
  <c r="P508" i="11"/>
  <c r="O508" i="11"/>
  <c r="N508" i="11"/>
  <c r="M508" i="11"/>
  <c r="L508" i="11"/>
  <c r="K508" i="11"/>
  <c r="J508" i="11"/>
  <c r="AC648" i="11"/>
  <c r="AB648" i="11"/>
  <c r="AA648" i="11"/>
  <c r="Z648" i="11"/>
  <c r="Y648" i="11"/>
  <c r="X648" i="11"/>
  <c r="W648" i="11"/>
  <c r="V648" i="11"/>
  <c r="U648" i="11"/>
  <c r="T648" i="11"/>
  <c r="S648" i="11"/>
  <c r="R648" i="11"/>
  <c r="Q648" i="11"/>
  <c r="P648" i="11"/>
  <c r="O648" i="11"/>
  <c r="N648" i="11"/>
  <c r="M648" i="11"/>
  <c r="L648" i="11"/>
  <c r="K648" i="11"/>
  <c r="J648" i="11"/>
  <c r="AC1423" i="11"/>
  <c r="AB1423" i="11"/>
  <c r="AA1423" i="11"/>
  <c r="Z1423" i="11"/>
  <c r="Y1423" i="11"/>
  <c r="X1423" i="11"/>
  <c r="W1423" i="11"/>
  <c r="V1423" i="11"/>
  <c r="U1423" i="11"/>
  <c r="T1423" i="11"/>
  <c r="S1423" i="11"/>
  <c r="R1423" i="11"/>
  <c r="Q1423" i="11"/>
  <c r="P1423" i="11"/>
  <c r="O1423" i="11"/>
  <c r="N1423" i="11"/>
  <c r="M1423" i="11"/>
  <c r="L1423" i="11"/>
  <c r="K1423" i="11"/>
  <c r="J1423" i="11"/>
  <c r="AC1030" i="11"/>
  <c r="AB1030" i="11"/>
  <c r="AA1030" i="11"/>
  <c r="Z1030" i="11"/>
  <c r="Y1030" i="11"/>
  <c r="X1030" i="11"/>
  <c r="W1030" i="11"/>
  <c r="V1030" i="11"/>
  <c r="U1030" i="11"/>
  <c r="T1030" i="11"/>
  <c r="S1030" i="11"/>
  <c r="R1030" i="11"/>
  <c r="Q1030" i="11"/>
  <c r="P1030" i="11"/>
  <c r="O1030" i="11"/>
  <c r="N1030" i="11"/>
  <c r="M1030" i="11"/>
  <c r="L1030" i="11"/>
  <c r="K1030" i="11"/>
  <c r="J1030" i="11"/>
  <c r="AC2030" i="11"/>
  <c r="AB2030" i="11"/>
  <c r="AA2030" i="11"/>
  <c r="Z2030" i="11"/>
  <c r="Y2030" i="11"/>
  <c r="X2030" i="11"/>
  <c r="W2030" i="11"/>
  <c r="V2030" i="11"/>
  <c r="U2030" i="11"/>
  <c r="T2030" i="11"/>
  <c r="S2030" i="11"/>
  <c r="R2030" i="11"/>
  <c r="Q2030" i="11"/>
  <c r="P2030" i="11"/>
  <c r="O2030" i="11"/>
  <c r="N2030" i="11"/>
  <c r="M2030" i="11"/>
  <c r="L2030" i="11"/>
  <c r="K2030" i="11"/>
  <c r="J2030" i="11"/>
  <c r="AC1569" i="11"/>
  <c r="AB1569" i="11"/>
  <c r="AA1569" i="11"/>
  <c r="Z1569" i="11"/>
  <c r="Y1569" i="11"/>
  <c r="X1569" i="11"/>
  <c r="W1569" i="11"/>
  <c r="V1569" i="11"/>
  <c r="U1569" i="11"/>
  <c r="T1569" i="11"/>
  <c r="S1569" i="11"/>
  <c r="R1569" i="11"/>
  <c r="Q1569" i="11"/>
  <c r="P1569" i="11"/>
  <c r="O1569" i="11"/>
  <c r="N1569" i="11"/>
  <c r="M1569" i="11"/>
  <c r="L1569" i="11"/>
  <c r="K1569" i="11"/>
  <c r="J1569" i="11"/>
  <c r="AC1791" i="11"/>
  <c r="AB1791" i="11"/>
  <c r="AA1791" i="11"/>
  <c r="Z1791" i="11"/>
  <c r="Y1791" i="11"/>
  <c r="X1791" i="11"/>
  <c r="W1791" i="11"/>
  <c r="V1791" i="11"/>
  <c r="U1791" i="11"/>
  <c r="T1791" i="11"/>
  <c r="S1791" i="11"/>
  <c r="R1791" i="11"/>
  <c r="Q1791" i="11"/>
  <c r="P1791" i="11"/>
  <c r="O1791" i="11"/>
  <c r="N1791" i="11"/>
  <c r="M1791" i="11"/>
  <c r="L1791" i="11"/>
  <c r="K1791" i="11"/>
  <c r="J1791" i="11"/>
  <c r="AC2074" i="11"/>
  <c r="AB2074" i="11"/>
  <c r="AA2074" i="11"/>
  <c r="Z2074" i="11"/>
  <c r="Y2074" i="11"/>
  <c r="X2074" i="11"/>
  <c r="W2074" i="11"/>
  <c r="V2074" i="11"/>
  <c r="U2074" i="11"/>
  <c r="T2074" i="11"/>
  <c r="S2074" i="11"/>
  <c r="R2074" i="11"/>
  <c r="Q2074" i="11"/>
  <c r="P2074" i="11"/>
  <c r="O2074" i="11"/>
  <c r="N2074" i="11"/>
  <c r="M2074" i="11"/>
  <c r="L2074" i="11"/>
  <c r="K2074" i="11"/>
  <c r="J2074" i="11"/>
  <c r="AC2073" i="11"/>
  <c r="AB2073" i="11"/>
  <c r="AA2073" i="11"/>
  <c r="Z2073" i="11"/>
  <c r="Y2073" i="11"/>
  <c r="X2073" i="11"/>
  <c r="W2073" i="11"/>
  <c r="V2073" i="11"/>
  <c r="U2073" i="11"/>
  <c r="T2073" i="11"/>
  <c r="S2073" i="11"/>
  <c r="R2073" i="11"/>
  <c r="Q2073" i="11"/>
  <c r="P2073" i="11"/>
  <c r="O2073" i="11"/>
  <c r="N2073" i="11"/>
  <c r="M2073" i="11"/>
  <c r="L2073" i="11"/>
  <c r="K2073" i="11"/>
  <c r="J2073" i="11"/>
  <c r="AC1645" i="11"/>
  <c r="AB1645" i="11"/>
  <c r="AA1645" i="11"/>
  <c r="Z1645" i="11"/>
  <c r="Y1645" i="11"/>
  <c r="X1645" i="11"/>
  <c r="W1645" i="11"/>
  <c r="V1645" i="11"/>
  <c r="U1645" i="11"/>
  <c r="T1645" i="11"/>
  <c r="S1645" i="11"/>
  <c r="R1645" i="11"/>
  <c r="Q1645" i="11"/>
  <c r="P1645" i="11"/>
  <c r="O1645" i="11"/>
  <c r="N1645" i="11"/>
  <c r="M1645" i="11"/>
  <c r="L1645" i="11"/>
  <c r="K1645" i="11"/>
  <c r="J1645" i="11"/>
  <c r="AC1350" i="11"/>
  <c r="AB1350" i="11"/>
  <c r="AA1350" i="11"/>
  <c r="Z1350" i="11"/>
  <c r="Y1350" i="11"/>
  <c r="X1350" i="11"/>
  <c r="W1350" i="11"/>
  <c r="V1350" i="11"/>
  <c r="U1350" i="11"/>
  <c r="T1350" i="11"/>
  <c r="S1350" i="11"/>
  <c r="R1350" i="11"/>
  <c r="Q1350" i="11"/>
  <c r="P1350" i="11"/>
  <c r="O1350" i="11"/>
  <c r="N1350" i="11"/>
  <c r="M1350" i="11"/>
  <c r="L1350" i="11"/>
  <c r="K1350" i="11"/>
  <c r="J1350" i="11"/>
  <c r="AC2140" i="11"/>
  <c r="AB2140" i="11"/>
  <c r="AA2140" i="11"/>
  <c r="Z2140" i="11"/>
  <c r="Y2140" i="11"/>
  <c r="X2140" i="11"/>
  <c r="W2140" i="11"/>
  <c r="V2140" i="11"/>
  <c r="U2140" i="11"/>
  <c r="T2140" i="11"/>
  <c r="S2140" i="11"/>
  <c r="R2140" i="11"/>
  <c r="Q2140" i="11"/>
  <c r="P2140" i="11"/>
  <c r="O2140" i="11"/>
  <c r="N2140" i="11"/>
  <c r="M2140" i="11"/>
  <c r="L2140" i="11"/>
  <c r="K2140" i="11"/>
  <c r="J2140" i="11"/>
  <c r="AC735" i="11"/>
  <c r="AB735" i="11"/>
  <c r="AA735" i="11"/>
  <c r="Z735" i="11"/>
  <c r="Y735" i="11"/>
  <c r="X735" i="11"/>
  <c r="W735" i="11"/>
  <c r="V735" i="11"/>
  <c r="U735" i="11"/>
  <c r="T735" i="11"/>
  <c r="S735" i="11"/>
  <c r="R735" i="11"/>
  <c r="Q735" i="11"/>
  <c r="P735" i="11"/>
  <c r="O735" i="11"/>
  <c r="N735" i="11"/>
  <c r="M735" i="11"/>
  <c r="L735" i="11"/>
  <c r="K735" i="11"/>
  <c r="J735" i="11"/>
  <c r="AC449" i="11"/>
  <c r="AB449" i="11"/>
  <c r="AA449" i="11"/>
  <c r="Z449" i="11"/>
  <c r="Y449" i="11"/>
  <c r="X449" i="11"/>
  <c r="W449" i="11"/>
  <c r="V449" i="11"/>
  <c r="U449" i="11"/>
  <c r="T449" i="11"/>
  <c r="S449" i="11"/>
  <c r="R449" i="11"/>
  <c r="Q449" i="11"/>
  <c r="P449" i="11"/>
  <c r="O449" i="11"/>
  <c r="N449" i="11"/>
  <c r="M449" i="11"/>
  <c r="L449" i="11"/>
  <c r="K449" i="11"/>
  <c r="J449" i="11"/>
  <c r="AC1985" i="11"/>
  <c r="AB1985" i="11"/>
  <c r="AA1985" i="11"/>
  <c r="Z1985" i="11"/>
  <c r="Y1985" i="11"/>
  <c r="X1985" i="11"/>
  <c r="W1985" i="11"/>
  <c r="V1985" i="11"/>
  <c r="U1985" i="11"/>
  <c r="T1985" i="11"/>
  <c r="S1985" i="11"/>
  <c r="R1985" i="11"/>
  <c r="Q1985" i="11"/>
  <c r="P1985" i="11"/>
  <c r="O1985" i="11"/>
  <c r="N1985" i="11"/>
  <c r="M1985" i="11"/>
  <c r="L1985" i="11"/>
  <c r="K1985" i="11"/>
  <c r="J1985" i="11"/>
  <c r="AC1790" i="11"/>
  <c r="AB1790" i="11"/>
  <c r="AA1790" i="11"/>
  <c r="Z1790" i="11"/>
  <c r="Y1790" i="11"/>
  <c r="X1790" i="11"/>
  <c r="W1790" i="11"/>
  <c r="V1790" i="11"/>
  <c r="U1790" i="11"/>
  <c r="T1790" i="11"/>
  <c r="S1790" i="11"/>
  <c r="R1790" i="11"/>
  <c r="Q1790" i="11"/>
  <c r="P1790" i="11"/>
  <c r="O1790" i="11"/>
  <c r="N1790" i="11"/>
  <c r="M1790" i="11"/>
  <c r="L1790" i="11"/>
  <c r="K1790" i="11"/>
  <c r="J1790" i="11"/>
  <c r="AC734" i="11"/>
  <c r="AB734" i="11"/>
  <c r="AA734" i="11"/>
  <c r="Z734" i="11"/>
  <c r="Y734" i="11"/>
  <c r="X734" i="11"/>
  <c r="W734" i="11"/>
  <c r="V734" i="11"/>
  <c r="U734" i="11"/>
  <c r="T734" i="11"/>
  <c r="S734" i="11"/>
  <c r="R734" i="11"/>
  <c r="Q734" i="11"/>
  <c r="P734" i="11"/>
  <c r="O734" i="11"/>
  <c r="N734" i="11"/>
  <c r="M734" i="11"/>
  <c r="L734" i="11"/>
  <c r="K734" i="11"/>
  <c r="J734" i="11"/>
  <c r="AC1308" i="11"/>
  <c r="AB1308" i="11"/>
  <c r="AA1308" i="11"/>
  <c r="Z1308" i="11"/>
  <c r="Y1308" i="11"/>
  <c r="X1308" i="11"/>
  <c r="W1308" i="11"/>
  <c r="V1308" i="11"/>
  <c r="U1308" i="11"/>
  <c r="T1308" i="11"/>
  <c r="S1308" i="11"/>
  <c r="R1308" i="11"/>
  <c r="Q1308" i="11"/>
  <c r="P1308" i="11"/>
  <c r="O1308" i="11"/>
  <c r="N1308" i="11"/>
  <c r="M1308" i="11"/>
  <c r="L1308" i="11"/>
  <c r="K1308" i="11"/>
  <c r="J1308" i="11"/>
  <c r="AC1644" i="11"/>
  <c r="AB1644" i="11"/>
  <c r="AA1644" i="11"/>
  <c r="Z1644" i="11"/>
  <c r="Y1644" i="11"/>
  <c r="X1644" i="11"/>
  <c r="W1644" i="11"/>
  <c r="V1644" i="11"/>
  <c r="U1644" i="11"/>
  <c r="T1644" i="11"/>
  <c r="S1644" i="11"/>
  <c r="R1644" i="11"/>
  <c r="Q1644" i="11"/>
  <c r="P1644" i="11"/>
  <c r="O1644" i="11"/>
  <c r="N1644" i="11"/>
  <c r="M1644" i="11"/>
  <c r="L1644" i="11"/>
  <c r="K1644" i="11"/>
  <c r="J1644" i="11"/>
  <c r="AC401" i="11"/>
  <c r="AB401" i="11"/>
  <c r="AA401" i="11"/>
  <c r="Z401" i="11"/>
  <c r="Y401" i="11"/>
  <c r="X401" i="11"/>
  <c r="W401" i="11"/>
  <c r="V401" i="11"/>
  <c r="U401" i="11"/>
  <c r="T401" i="11"/>
  <c r="S401" i="11"/>
  <c r="R401" i="11"/>
  <c r="Q401" i="11"/>
  <c r="P401" i="11"/>
  <c r="O401" i="11"/>
  <c r="N401" i="11"/>
  <c r="M401" i="11"/>
  <c r="L401" i="11"/>
  <c r="K401" i="11"/>
  <c r="J401" i="11"/>
  <c r="AC802" i="11"/>
  <c r="AB802" i="11"/>
  <c r="AA802" i="11"/>
  <c r="Z802" i="11"/>
  <c r="Y802" i="11"/>
  <c r="X802" i="11"/>
  <c r="W802" i="11"/>
  <c r="V802" i="11"/>
  <c r="U802" i="11"/>
  <c r="T802" i="11"/>
  <c r="S802" i="11"/>
  <c r="R802" i="11"/>
  <c r="Q802" i="11"/>
  <c r="P802" i="11"/>
  <c r="O802" i="11"/>
  <c r="N802" i="11"/>
  <c r="M802" i="11"/>
  <c r="L802" i="11"/>
  <c r="K802" i="11"/>
  <c r="J802" i="11"/>
  <c r="AC1643" i="11"/>
  <c r="AB1643" i="11"/>
  <c r="AA1643" i="11"/>
  <c r="Z1643" i="11"/>
  <c r="Y1643" i="11"/>
  <c r="X1643" i="11"/>
  <c r="W1643" i="11"/>
  <c r="V1643" i="11"/>
  <c r="U1643" i="11"/>
  <c r="T1643" i="11"/>
  <c r="S1643" i="11"/>
  <c r="R1643" i="11"/>
  <c r="Q1643" i="11"/>
  <c r="P1643" i="11"/>
  <c r="O1643" i="11"/>
  <c r="N1643" i="11"/>
  <c r="M1643" i="11"/>
  <c r="L1643" i="11"/>
  <c r="K1643" i="11"/>
  <c r="J1643" i="11"/>
  <c r="AC2029" i="11"/>
  <c r="AB2029" i="11"/>
  <c r="AA2029" i="11"/>
  <c r="Z2029" i="11"/>
  <c r="Y2029" i="11"/>
  <c r="X2029" i="11"/>
  <c r="W2029" i="11"/>
  <c r="V2029" i="11"/>
  <c r="U2029" i="11"/>
  <c r="T2029" i="11"/>
  <c r="S2029" i="11"/>
  <c r="R2029" i="11"/>
  <c r="Q2029" i="11"/>
  <c r="P2029" i="11"/>
  <c r="O2029" i="11"/>
  <c r="N2029" i="11"/>
  <c r="M2029" i="11"/>
  <c r="L2029" i="11"/>
  <c r="K2029" i="11"/>
  <c r="J2029" i="11"/>
  <c r="AC1422" i="11"/>
  <c r="AB1422" i="11"/>
  <c r="AA1422" i="11"/>
  <c r="Z1422" i="11"/>
  <c r="Y1422" i="11"/>
  <c r="X1422" i="11"/>
  <c r="W1422" i="11"/>
  <c r="V1422" i="11"/>
  <c r="U1422" i="11"/>
  <c r="T1422" i="11"/>
  <c r="S1422" i="11"/>
  <c r="R1422" i="11"/>
  <c r="Q1422" i="11"/>
  <c r="P1422" i="11"/>
  <c r="O1422" i="11"/>
  <c r="N1422" i="11"/>
  <c r="M1422" i="11"/>
  <c r="L1422" i="11"/>
  <c r="K1422" i="11"/>
  <c r="J1422" i="11"/>
  <c r="AC2107" i="11"/>
  <c r="AB2107" i="11"/>
  <c r="AA2107" i="11"/>
  <c r="Z2107" i="11"/>
  <c r="Y2107" i="11"/>
  <c r="X2107" i="11"/>
  <c r="W2107" i="11"/>
  <c r="V2107" i="11"/>
  <c r="U2107" i="11"/>
  <c r="T2107" i="11"/>
  <c r="S2107" i="11"/>
  <c r="R2107" i="11"/>
  <c r="Q2107" i="11"/>
  <c r="P2107" i="11"/>
  <c r="O2107" i="11"/>
  <c r="N2107" i="11"/>
  <c r="M2107" i="11"/>
  <c r="L2107" i="11"/>
  <c r="K2107" i="11"/>
  <c r="J2107" i="11"/>
  <c r="AC2139" i="11"/>
  <c r="AB2139" i="11"/>
  <c r="AA2139" i="11"/>
  <c r="Z2139" i="11"/>
  <c r="Y2139" i="11"/>
  <c r="X2139" i="11"/>
  <c r="W2139" i="11"/>
  <c r="V2139" i="11"/>
  <c r="U2139" i="11"/>
  <c r="T2139" i="11"/>
  <c r="S2139" i="11"/>
  <c r="R2139" i="11"/>
  <c r="Q2139" i="11"/>
  <c r="P2139" i="11"/>
  <c r="O2139" i="11"/>
  <c r="N2139" i="11"/>
  <c r="M2139" i="11"/>
  <c r="L2139" i="11"/>
  <c r="K2139" i="11"/>
  <c r="J2139" i="11"/>
  <c r="AC733" i="11"/>
  <c r="AB733" i="11"/>
  <c r="AA733" i="11"/>
  <c r="Z733" i="11"/>
  <c r="Y733" i="11"/>
  <c r="X733" i="11"/>
  <c r="W733" i="11"/>
  <c r="V733" i="11"/>
  <c r="U733" i="11"/>
  <c r="T733" i="11"/>
  <c r="S733" i="11"/>
  <c r="R733" i="11"/>
  <c r="Q733" i="11"/>
  <c r="P733" i="11"/>
  <c r="O733" i="11"/>
  <c r="N733" i="11"/>
  <c r="M733" i="11"/>
  <c r="L733" i="11"/>
  <c r="K733" i="11"/>
  <c r="J733" i="11"/>
  <c r="AC801" i="11"/>
  <c r="AB801" i="11"/>
  <c r="AA801" i="11"/>
  <c r="Z801" i="11"/>
  <c r="Y801" i="11"/>
  <c r="X801" i="11"/>
  <c r="W801" i="11"/>
  <c r="V801" i="11"/>
  <c r="U801" i="11"/>
  <c r="T801" i="11"/>
  <c r="S801" i="11"/>
  <c r="R801" i="11"/>
  <c r="Q801" i="11"/>
  <c r="P801" i="11"/>
  <c r="O801" i="11"/>
  <c r="N801" i="11"/>
  <c r="M801" i="11"/>
  <c r="L801" i="11"/>
  <c r="K801" i="11"/>
  <c r="J801" i="11"/>
  <c r="AC1750" i="11"/>
  <c r="AB1750" i="11"/>
  <c r="AA1750" i="11"/>
  <c r="Z1750" i="11"/>
  <c r="Y1750" i="11"/>
  <c r="X1750" i="11"/>
  <c r="W1750" i="11"/>
  <c r="V1750" i="11"/>
  <c r="U1750" i="11"/>
  <c r="T1750" i="11"/>
  <c r="S1750" i="11"/>
  <c r="R1750" i="11"/>
  <c r="Q1750" i="11"/>
  <c r="P1750" i="11"/>
  <c r="O1750" i="11"/>
  <c r="N1750" i="11"/>
  <c r="M1750" i="11"/>
  <c r="L1750" i="11"/>
  <c r="K1750" i="11"/>
  <c r="J1750" i="11"/>
  <c r="AC1847" i="11"/>
  <c r="AB1847" i="11"/>
  <c r="AA1847" i="11"/>
  <c r="Z1847" i="11"/>
  <c r="Y1847" i="11"/>
  <c r="X1847" i="11"/>
  <c r="W1847" i="11"/>
  <c r="V1847" i="11"/>
  <c r="U1847" i="11"/>
  <c r="T1847" i="11"/>
  <c r="S1847" i="11"/>
  <c r="R1847" i="11"/>
  <c r="Q1847" i="11"/>
  <c r="P1847" i="11"/>
  <c r="O1847" i="11"/>
  <c r="N1847" i="11"/>
  <c r="M1847" i="11"/>
  <c r="L1847" i="11"/>
  <c r="K1847" i="11"/>
  <c r="J1847" i="11"/>
  <c r="AC1197" i="11"/>
  <c r="AB1197" i="11"/>
  <c r="AA1197" i="11"/>
  <c r="Z1197" i="11"/>
  <c r="Y1197" i="11"/>
  <c r="X1197" i="11"/>
  <c r="W1197" i="11"/>
  <c r="V1197" i="11"/>
  <c r="U1197" i="11"/>
  <c r="T1197" i="11"/>
  <c r="S1197" i="11"/>
  <c r="R1197" i="11"/>
  <c r="Q1197" i="11"/>
  <c r="P1197" i="11"/>
  <c r="O1197" i="11"/>
  <c r="N1197" i="11"/>
  <c r="M1197" i="11"/>
  <c r="L1197" i="11"/>
  <c r="K1197" i="11"/>
  <c r="J1197" i="11"/>
  <c r="AC1603" i="11"/>
  <c r="AB1603" i="11"/>
  <c r="AA1603" i="11"/>
  <c r="Z1603" i="11"/>
  <c r="Y1603" i="11"/>
  <c r="X1603" i="11"/>
  <c r="W1603" i="11"/>
  <c r="V1603" i="11"/>
  <c r="U1603" i="11"/>
  <c r="T1603" i="11"/>
  <c r="S1603" i="11"/>
  <c r="R1603" i="11"/>
  <c r="Q1603" i="11"/>
  <c r="P1603" i="11"/>
  <c r="O1603" i="11"/>
  <c r="N1603" i="11"/>
  <c r="M1603" i="11"/>
  <c r="L1603" i="11"/>
  <c r="K1603" i="11"/>
  <c r="J1603" i="11"/>
  <c r="AC873" i="11"/>
  <c r="AB873" i="11"/>
  <c r="AA873" i="11"/>
  <c r="Z873" i="11"/>
  <c r="Y873" i="11"/>
  <c r="X873" i="11"/>
  <c r="W873" i="11"/>
  <c r="V873" i="11"/>
  <c r="U873" i="11"/>
  <c r="T873" i="11"/>
  <c r="S873" i="11"/>
  <c r="R873" i="11"/>
  <c r="Q873" i="11"/>
  <c r="P873" i="11"/>
  <c r="O873" i="11"/>
  <c r="N873" i="11"/>
  <c r="M873" i="11"/>
  <c r="L873" i="11"/>
  <c r="K873" i="11"/>
  <c r="J873" i="11"/>
  <c r="AC872" i="11"/>
  <c r="AB872" i="11"/>
  <c r="AA872" i="11"/>
  <c r="Z872" i="11"/>
  <c r="Y872" i="11"/>
  <c r="X872" i="11"/>
  <c r="W872" i="11"/>
  <c r="V872" i="11"/>
  <c r="U872" i="11"/>
  <c r="T872" i="11"/>
  <c r="S872" i="11"/>
  <c r="R872" i="11"/>
  <c r="Q872" i="11"/>
  <c r="P872" i="11"/>
  <c r="O872" i="11"/>
  <c r="N872" i="11"/>
  <c r="M872" i="11"/>
  <c r="L872" i="11"/>
  <c r="K872" i="11"/>
  <c r="J872" i="11"/>
  <c r="AC871" i="11"/>
  <c r="AB871" i="11"/>
  <c r="AA871" i="11"/>
  <c r="Z871" i="11"/>
  <c r="Y871" i="11"/>
  <c r="X871" i="11"/>
  <c r="W871" i="11"/>
  <c r="V871" i="11"/>
  <c r="U871" i="11"/>
  <c r="T871" i="11"/>
  <c r="S871" i="11"/>
  <c r="R871" i="11"/>
  <c r="Q871" i="11"/>
  <c r="P871" i="11"/>
  <c r="O871" i="11"/>
  <c r="N871" i="11"/>
  <c r="M871" i="11"/>
  <c r="L871" i="11"/>
  <c r="K871" i="11"/>
  <c r="J871" i="11"/>
  <c r="AC448" i="11"/>
  <c r="AB448" i="11"/>
  <c r="AA448" i="11"/>
  <c r="Z448" i="11"/>
  <c r="Y448" i="11"/>
  <c r="X448" i="11"/>
  <c r="W448" i="11"/>
  <c r="V448" i="11"/>
  <c r="U448" i="11"/>
  <c r="T448" i="11"/>
  <c r="S448" i="11"/>
  <c r="R448" i="11"/>
  <c r="Q448" i="11"/>
  <c r="P448" i="11"/>
  <c r="O448" i="11"/>
  <c r="N448" i="11"/>
  <c r="M448" i="11"/>
  <c r="L448" i="11"/>
  <c r="K448" i="11"/>
  <c r="J448" i="11"/>
  <c r="AC1984" i="11"/>
  <c r="AB1984" i="11"/>
  <c r="AA1984" i="11"/>
  <c r="Z1984" i="11"/>
  <c r="Y1984" i="11"/>
  <c r="X1984" i="11"/>
  <c r="W1984" i="11"/>
  <c r="V1984" i="11"/>
  <c r="U1984" i="11"/>
  <c r="T1984" i="11"/>
  <c r="S1984" i="11"/>
  <c r="R1984" i="11"/>
  <c r="Q1984" i="11"/>
  <c r="P1984" i="11"/>
  <c r="O1984" i="11"/>
  <c r="N1984" i="11"/>
  <c r="M1984" i="11"/>
  <c r="L1984" i="11"/>
  <c r="K1984" i="11"/>
  <c r="J1984" i="11"/>
  <c r="AC2106" i="11"/>
  <c r="AB2106" i="11"/>
  <c r="AA2106" i="11"/>
  <c r="Z2106" i="11"/>
  <c r="Y2106" i="11"/>
  <c r="X2106" i="11"/>
  <c r="W2106" i="11"/>
  <c r="V2106" i="11"/>
  <c r="U2106" i="11"/>
  <c r="T2106" i="11"/>
  <c r="S2106" i="11"/>
  <c r="R2106" i="11"/>
  <c r="Q2106" i="11"/>
  <c r="P2106" i="11"/>
  <c r="O2106" i="11"/>
  <c r="N2106" i="11"/>
  <c r="M2106" i="11"/>
  <c r="L2106" i="11"/>
  <c r="K2106" i="11"/>
  <c r="J2106" i="11"/>
  <c r="AC1514" i="11"/>
  <c r="AB1514" i="11"/>
  <c r="AA1514" i="11"/>
  <c r="Z1514" i="11"/>
  <c r="Y1514" i="11"/>
  <c r="X1514" i="11"/>
  <c r="W1514" i="11"/>
  <c r="V1514" i="11"/>
  <c r="U1514" i="11"/>
  <c r="T1514" i="11"/>
  <c r="S1514" i="11"/>
  <c r="R1514" i="11"/>
  <c r="Q1514" i="11"/>
  <c r="P1514" i="11"/>
  <c r="O1514" i="11"/>
  <c r="N1514" i="11"/>
  <c r="M1514" i="11"/>
  <c r="L1514" i="11"/>
  <c r="K1514" i="11"/>
  <c r="J1514" i="11"/>
  <c r="AC1895" i="11"/>
  <c r="AB1895" i="11"/>
  <c r="AA1895" i="11"/>
  <c r="Z1895" i="11"/>
  <c r="Y1895" i="11"/>
  <c r="X1895" i="11"/>
  <c r="W1895" i="11"/>
  <c r="V1895" i="11"/>
  <c r="U1895" i="11"/>
  <c r="T1895" i="11"/>
  <c r="S1895" i="11"/>
  <c r="R1895" i="11"/>
  <c r="Q1895" i="11"/>
  <c r="P1895" i="11"/>
  <c r="O1895" i="11"/>
  <c r="N1895" i="11"/>
  <c r="M1895" i="11"/>
  <c r="L1895" i="11"/>
  <c r="K1895" i="11"/>
  <c r="J1895" i="11"/>
  <c r="AC1196" i="11"/>
  <c r="AB1196" i="11"/>
  <c r="AA1196" i="11"/>
  <c r="Z1196" i="11"/>
  <c r="Y1196" i="11"/>
  <c r="X1196" i="11"/>
  <c r="W1196" i="11"/>
  <c r="V1196" i="11"/>
  <c r="U1196" i="11"/>
  <c r="T1196" i="11"/>
  <c r="S1196" i="11"/>
  <c r="R1196" i="11"/>
  <c r="Q1196" i="11"/>
  <c r="P1196" i="11"/>
  <c r="O1196" i="11"/>
  <c r="N1196" i="11"/>
  <c r="M1196" i="11"/>
  <c r="L1196" i="11"/>
  <c r="K1196" i="11"/>
  <c r="J1196" i="11"/>
  <c r="AC2105" i="11"/>
  <c r="AB2105" i="11"/>
  <c r="AA2105" i="11"/>
  <c r="Z2105" i="11"/>
  <c r="Y2105" i="11"/>
  <c r="X2105" i="11"/>
  <c r="W2105" i="11"/>
  <c r="V2105" i="11"/>
  <c r="U2105" i="11"/>
  <c r="T2105" i="11"/>
  <c r="S2105" i="11"/>
  <c r="R2105" i="11"/>
  <c r="Q2105" i="11"/>
  <c r="P2105" i="11"/>
  <c r="O2105" i="11"/>
  <c r="N2105" i="11"/>
  <c r="M2105" i="11"/>
  <c r="L2105" i="11"/>
  <c r="K2105" i="11"/>
  <c r="J2105" i="11"/>
  <c r="AC23" i="11"/>
  <c r="AB23" i="11"/>
  <c r="AA23" i="11"/>
  <c r="Z23" i="11"/>
  <c r="Y23" i="11"/>
  <c r="X23" i="11"/>
  <c r="W23" i="11"/>
  <c r="V23" i="11"/>
  <c r="U23" i="11"/>
  <c r="T23" i="11"/>
  <c r="S23" i="11"/>
  <c r="R23" i="11"/>
  <c r="Q23" i="11"/>
  <c r="P23" i="11"/>
  <c r="O23" i="11"/>
  <c r="N23" i="11"/>
  <c r="M23" i="11"/>
  <c r="L23" i="11"/>
  <c r="K23" i="11"/>
  <c r="J23" i="11"/>
  <c r="AC1983" i="11"/>
  <c r="AB1983" i="11"/>
  <c r="AA1983" i="11"/>
  <c r="Z1983" i="11"/>
  <c r="Y1983" i="11"/>
  <c r="X1983" i="11"/>
  <c r="W1983" i="11"/>
  <c r="V1983" i="11"/>
  <c r="U1983" i="11"/>
  <c r="T1983" i="11"/>
  <c r="S1983" i="11"/>
  <c r="R1983" i="11"/>
  <c r="Q1983" i="11"/>
  <c r="P1983" i="11"/>
  <c r="O1983" i="11"/>
  <c r="N1983" i="11"/>
  <c r="M1983" i="11"/>
  <c r="L1983" i="11"/>
  <c r="K1983" i="11"/>
  <c r="J1983" i="11"/>
  <c r="AC1513" i="11"/>
  <c r="AB1513" i="11"/>
  <c r="AA1513" i="11"/>
  <c r="Z1513" i="11"/>
  <c r="Y1513" i="11"/>
  <c r="X1513" i="11"/>
  <c r="W1513" i="11"/>
  <c r="V1513" i="11"/>
  <c r="U1513" i="11"/>
  <c r="T1513" i="11"/>
  <c r="S1513" i="11"/>
  <c r="R1513" i="11"/>
  <c r="Q1513" i="11"/>
  <c r="P1513" i="11"/>
  <c r="O1513" i="11"/>
  <c r="N1513" i="11"/>
  <c r="M1513" i="11"/>
  <c r="L1513" i="11"/>
  <c r="K1513" i="11"/>
  <c r="J1513" i="11"/>
  <c r="AC1349" i="11"/>
  <c r="AB1349" i="11"/>
  <c r="AA1349" i="11"/>
  <c r="Z1349" i="11"/>
  <c r="Y1349" i="11"/>
  <c r="X1349" i="11"/>
  <c r="W1349" i="11"/>
  <c r="V1349" i="11"/>
  <c r="U1349" i="11"/>
  <c r="T1349" i="11"/>
  <c r="S1349" i="11"/>
  <c r="R1349" i="11"/>
  <c r="Q1349" i="11"/>
  <c r="P1349" i="11"/>
  <c r="O1349" i="11"/>
  <c r="N1349" i="11"/>
  <c r="M1349" i="11"/>
  <c r="L1349" i="11"/>
  <c r="K1349" i="11"/>
  <c r="J1349" i="11"/>
  <c r="AC1642" i="11"/>
  <c r="AB1642" i="11"/>
  <c r="AA1642" i="11"/>
  <c r="Z1642" i="11"/>
  <c r="Y1642" i="11"/>
  <c r="X1642" i="11"/>
  <c r="W1642" i="11"/>
  <c r="V1642" i="11"/>
  <c r="U1642" i="11"/>
  <c r="T1642" i="11"/>
  <c r="S1642" i="11"/>
  <c r="R1642" i="11"/>
  <c r="Q1642" i="11"/>
  <c r="P1642" i="11"/>
  <c r="O1642" i="11"/>
  <c r="N1642" i="11"/>
  <c r="M1642" i="11"/>
  <c r="L1642" i="11"/>
  <c r="K1642" i="11"/>
  <c r="J1642" i="11"/>
  <c r="AC1512" i="11"/>
  <c r="AB1512" i="11"/>
  <c r="AA1512" i="11"/>
  <c r="Z1512" i="11"/>
  <c r="Y1512" i="11"/>
  <c r="X1512" i="11"/>
  <c r="W1512" i="11"/>
  <c r="V1512" i="11"/>
  <c r="U1512" i="11"/>
  <c r="T1512" i="11"/>
  <c r="S1512" i="11"/>
  <c r="R1512" i="11"/>
  <c r="Q1512" i="11"/>
  <c r="P1512" i="11"/>
  <c r="O1512" i="11"/>
  <c r="N1512" i="11"/>
  <c r="M1512" i="11"/>
  <c r="L1512" i="11"/>
  <c r="K1512" i="11"/>
  <c r="J1512" i="11"/>
  <c r="AC1511" i="11"/>
  <c r="AB1511" i="11"/>
  <c r="AA1511" i="11"/>
  <c r="Z1511" i="11"/>
  <c r="Y1511" i="11"/>
  <c r="X1511" i="11"/>
  <c r="W1511" i="11"/>
  <c r="V1511" i="11"/>
  <c r="U1511" i="11"/>
  <c r="T1511" i="11"/>
  <c r="S1511" i="11"/>
  <c r="R1511" i="11"/>
  <c r="Q1511" i="11"/>
  <c r="P1511" i="11"/>
  <c r="O1511" i="11"/>
  <c r="N1511" i="11"/>
  <c r="M1511" i="11"/>
  <c r="L1511" i="11"/>
  <c r="K1511" i="11"/>
  <c r="J1511" i="11"/>
  <c r="AC1475" i="11"/>
  <c r="AB1475" i="11"/>
  <c r="AA1475" i="11"/>
  <c r="Z1475" i="11"/>
  <c r="Y1475" i="11"/>
  <c r="X1475" i="11"/>
  <c r="W1475" i="11"/>
  <c r="V1475" i="11"/>
  <c r="U1475" i="11"/>
  <c r="T1475" i="11"/>
  <c r="S1475" i="11"/>
  <c r="R1475" i="11"/>
  <c r="Q1475" i="11"/>
  <c r="P1475" i="11"/>
  <c r="O1475" i="11"/>
  <c r="N1475" i="11"/>
  <c r="M1475" i="11"/>
  <c r="L1475" i="11"/>
  <c r="K1475" i="11"/>
  <c r="J1475" i="11"/>
  <c r="AC2220" i="11"/>
  <c r="AB2220" i="11"/>
  <c r="AA2220" i="11"/>
  <c r="Z2220" i="11"/>
  <c r="Y2220" i="11"/>
  <c r="X2220" i="11"/>
  <c r="W2220" i="11"/>
  <c r="V2220" i="11"/>
  <c r="U2220" i="11"/>
  <c r="T2220" i="11"/>
  <c r="S2220" i="11"/>
  <c r="R2220" i="11"/>
  <c r="Q2220" i="11"/>
  <c r="P2220" i="11"/>
  <c r="O2220" i="11"/>
  <c r="N2220" i="11"/>
  <c r="M2220" i="11"/>
  <c r="L2220" i="11"/>
  <c r="K2220" i="11"/>
  <c r="J2220" i="11"/>
  <c r="AC2219" i="11"/>
  <c r="AB2219" i="11"/>
  <c r="AA2219" i="11"/>
  <c r="Z2219" i="11"/>
  <c r="Y2219" i="11"/>
  <c r="X2219" i="11"/>
  <c r="W2219" i="11"/>
  <c r="V2219" i="11"/>
  <c r="U2219" i="11"/>
  <c r="T2219" i="11"/>
  <c r="S2219" i="11"/>
  <c r="R2219" i="11"/>
  <c r="Q2219" i="11"/>
  <c r="P2219" i="11"/>
  <c r="O2219" i="11"/>
  <c r="N2219" i="11"/>
  <c r="M2219" i="11"/>
  <c r="L2219" i="11"/>
  <c r="K2219" i="11"/>
  <c r="J2219" i="11"/>
  <c r="AC1252" i="11"/>
  <c r="AB1252" i="11"/>
  <c r="AA1252" i="11"/>
  <c r="Z1252" i="11"/>
  <c r="Y1252" i="11"/>
  <c r="X1252" i="11"/>
  <c r="W1252" i="11"/>
  <c r="V1252" i="11"/>
  <c r="U1252" i="11"/>
  <c r="T1252" i="11"/>
  <c r="S1252" i="11"/>
  <c r="R1252" i="11"/>
  <c r="Q1252" i="11"/>
  <c r="P1252" i="11"/>
  <c r="O1252" i="11"/>
  <c r="N1252" i="11"/>
  <c r="M1252" i="11"/>
  <c r="L1252" i="11"/>
  <c r="K1252" i="11"/>
  <c r="J1252" i="11"/>
  <c r="AC2072" i="11"/>
  <c r="AB2072" i="11"/>
  <c r="AA2072" i="11"/>
  <c r="Z2072" i="11"/>
  <c r="Y2072" i="11"/>
  <c r="X2072" i="11"/>
  <c r="W2072" i="11"/>
  <c r="V2072" i="11"/>
  <c r="U2072" i="11"/>
  <c r="T2072" i="11"/>
  <c r="S2072" i="11"/>
  <c r="R2072" i="11"/>
  <c r="Q2072" i="11"/>
  <c r="P2072" i="11"/>
  <c r="O2072" i="11"/>
  <c r="N2072" i="11"/>
  <c r="M2072" i="11"/>
  <c r="L2072" i="11"/>
  <c r="K2072" i="11"/>
  <c r="J2072" i="11"/>
  <c r="AC870" i="11"/>
  <c r="AB870" i="11"/>
  <c r="AA870" i="11"/>
  <c r="Z870" i="11"/>
  <c r="Y870" i="11"/>
  <c r="X870" i="11"/>
  <c r="W870" i="11"/>
  <c r="V870" i="11"/>
  <c r="U870" i="11"/>
  <c r="T870" i="11"/>
  <c r="S870" i="11"/>
  <c r="R870" i="11"/>
  <c r="Q870" i="11"/>
  <c r="P870" i="11"/>
  <c r="O870" i="11"/>
  <c r="N870" i="11"/>
  <c r="M870" i="11"/>
  <c r="L870" i="11"/>
  <c r="K870" i="11"/>
  <c r="J870" i="11"/>
  <c r="AC1474" i="11"/>
  <c r="AB1474" i="11"/>
  <c r="AA1474" i="11"/>
  <c r="Z1474" i="11"/>
  <c r="Y1474" i="11"/>
  <c r="X1474" i="11"/>
  <c r="W1474" i="11"/>
  <c r="V1474" i="11"/>
  <c r="U1474" i="11"/>
  <c r="T1474" i="11"/>
  <c r="S1474" i="11"/>
  <c r="R1474" i="11"/>
  <c r="Q1474" i="11"/>
  <c r="P1474" i="11"/>
  <c r="O1474" i="11"/>
  <c r="N1474" i="11"/>
  <c r="M1474" i="11"/>
  <c r="L1474" i="11"/>
  <c r="K1474" i="11"/>
  <c r="J1474" i="11"/>
  <c r="AC1029" i="11"/>
  <c r="AB1029" i="11"/>
  <c r="AA1029" i="11"/>
  <c r="Z1029" i="11"/>
  <c r="Y1029" i="11"/>
  <c r="X1029" i="11"/>
  <c r="W1029" i="11"/>
  <c r="V1029" i="11"/>
  <c r="U1029" i="11"/>
  <c r="T1029" i="11"/>
  <c r="S1029" i="11"/>
  <c r="R1029" i="11"/>
  <c r="Q1029" i="11"/>
  <c r="P1029" i="11"/>
  <c r="O1029" i="11"/>
  <c r="N1029" i="11"/>
  <c r="M1029" i="11"/>
  <c r="L1029" i="11"/>
  <c r="K1029" i="11"/>
  <c r="J1029" i="11"/>
  <c r="AC1641" i="11"/>
  <c r="AB1641" i="11"/>
  <c r="AA1641" i="11"/>
  <c r="Z1641" i="11"/>
  <c r="Y1641" i="11"/>
  <c r="X1641" i="11"/>
  <c r="W1641" i="11"/>
  <c r="V1641" i="11"/>
  <c r="U1641" i="11"/>
  <c r="T1641" i="11"/>
  <c r="S1641" i="11"/>
  <c r="R1641" i="11"/>
  <c r="Q1641" i="11"/>
  <c r="P1641" i="11"/>
  <c r="O1641" i="11"/>
  <c r="N1641" i="11"/>
  <c r="M1641" i="11"/>
  <c r="L1641" i="11"/>
  <c r="K1641" i="11"/>
  <c r="J1641" i="11"/>
  <c r="AC2138" i="11"/>
  <c r="AB2138" i="11"/>
  <c r="AA2138" i="11"/>
  <c r="Z2138" i="11"/>
  <c r="Y2138" i="11"/>
  <c r="X2138" i="11"/>
  <c r="W2138" i="11"/>
  <c r="V2138" i="11"/>
  <c r="U2138" i="11"/>
  <c r="T2138" i="11"/>
  <c r="S2138" i="11"/>
  <c r="R2138" i="11"/>
  <c r="Q2138" i="11"/>
  <c r="P2138" i="11"/>
  <c r="O2138" i="11"/>
  <c r="N2138" i="11"/>
  <c r="M2138" i="11"/>
  <c r="L2138" i="11"/>
  <c r="K2138" i="11"/>
  <c r="J2138" i="11"/>
  <c r="AC800" i="11"/>
  <c r="AB800" i="11"/>
  <c r="AA800" i="11"/>
  <c r="Z800" i="11"/>
  <c r="Y800" i="11"/>
  <c r="X800" i="11"/>
  <c r="W800" i="11"/>
  <c r="V800" i="11"/>
  <c r="U800" i="11"/>
  <c r="T800" i="11"/>
  <c r="S800" i="11"/>
  <c r="R800" i="11"/>
  <c r="Q800" i="11"/>
  <c r="P800" i="11"/>
  <c r="O800" i="11"/>
  <c r="N800" i="11"/>
  <c r="M800" i="11"/>
  <c r="L800" i="11"/>
  <c r="K800" i="11"/>
  <c r="J800" i="11"/>
  <c r="AC647" i="11"/>
  <c r="AB647" i="11"/>
  <c r="AA647" i="11"/>
  <c r="Z647" i="11"/>
  <c r="Y647" i="11"/>
  <c r="X647" i="11"/>
  <c r="W647" i="11"/>
  <c r="V647" i="11"/>
  <c r="U647" i="11"/>
  <c r="T647" i="11"/>
  <c r="S647" i="11"/>
  <c r="R647" i="11"/>
  <c r="Q647" i="11"/>
  <c r="P647" i="11"/>
  <c r="O647" i="11"/>
  <c r="N647" i="11"/>
  <c r="M647" i="11"/>
  <c r="L647" i="11"/>
  <c r="K647" i="11"/>
  <c r="J647" i="11"/>
  <c r="AC1028" i="11"/>
  <c r="AB1028" i="11"/>
  <c r="AA1028" i="11"/>
  <c r="Z1028" i="11"/>
  <c r="Y1028" i="11"/>
  <c r="X1028" i="11"/>
  <c r="W1028" i="11"/>
  <c r="V1028" i="11"/>
  <c r="U1028" i="11"/>
  <c r="T1028" i="11"/>
  <c r="S1028" i="11"/>
  <c r="R1028" i="11"/>
  <c r="Q1028" i="11"/>
  <c r="P1028" i="11"/>
  <c r="O1028" i="11"/>
  <c r="N1028" i="11"/>
  <c r="M1028" i="11"/>
  <c r="L1028" i="11"/>
  <c r="K1028" i="11"/>
  <c r="J1028" i="11"/>
  <c r="AC2071" i="11"/>
  <c r="AB2071" i="11"/>
  <c r="AA2071" i="11"/>
  <c r="Z2071" i="11"/>
  <c r="Y2071" i="11"/>
  <c r="X2071" i="11"/>
  <c r="W2071" i="11"/>
  <c r="V2071" i="11"/>
  <c r="U2071" i="11"/>
  <c r="T2071" i="11"/>
  <c r="S2071" i="11"/>
  <c r="R2071" i="11"/>
  <c r="Q2071" i="11"/>
  <c r="P2071" i="11"/>
  <c r="O2071" i="11"/>
  <c r="N2071" i="11"/>
  <c r="M2071" i="11"/>
  <c r="L2071" i="11"/>
  <c r="K2071" i="11"/>
  <c r="J2071" i="11"/>
  <c r="AC2028" i="11"/>
  <c r="AB2028" i="11"/>
  <c r="AA2028" i="11"/>
  <c r="Z2028" i="11"/>
  <c r="Y2028" i="11"/>
  <c r="X2028" i="11"/>
  <c r="W2028" i="11"/>
  <c r="V2028" i="11"/>
  <c r="U2028" i="11"/>
  <c r="T2028" i="11"/>
  <c r="S2028" i="11"/>
  <c r="R2028" i="11"/>
  <c r="Q2028" i="11"/>
  <c r="P2028" i="11"/>
  <c r="O2028" i="11"/>
  <c r="N2028" i="11"/>
  <c r="M2028" i="11"/>
  <c r="L2028" i="11"/>
  <c r="K2028" i="11"/>
  <c r="J2028" i="11"/>
  <c r="AC1894" i="11"/>
  <c r="AB1894" i="11"/>
  <c r="AA1894" i="11"/>
  <c r="Z1894" i="11"/>
  <c r="Y1894" i="11"/>
  <c r="X1894" i="11"/>
  <c r="W1894" i="11"/>
  <c r="V1894" i="11"/>
  <c r="U1894" i="11"/>
  <c r="T1894" i="11"/>
  <c r="S1894" i="11"/>
  <c r="R1894" i="11"/>
  <c r="Q1894" i="11"/>
  <c r="P1894" i="11"/>
  <c r="O1894" i="11"/>
  <c r="N1894" i="11"/>
  <c r="M1894" i="11"/>
  <c r="L1894" i="11"/>
  <c r="K1894" i="11"/>
  <c r="J1894" i="11"/>
  <c r="AC1510" i="11"/>
  <c r="AB1510" i="11"/>
  <c r="AA1510" i="11"/>
  <c r="Z1510" i="11"/>
  <c r="Y1510" i="11"/>
  <c r="X1510" i="11"/>
  <c r="W1510" i="11"/>
  <c r="V1510" i="11"/>
  <c r="U1510" i="11"/>
  <c r="T1510" i="11"/>
  <c r="S1510" i="11"/>
  <c r="R1510" i="11"/>
  <c r="Q1510" i="11"/>
  <c r="P1510" i="11"/>
  <c r="O1510" i="11"/>
  <c r="N1510" i="11"/>
  <c r="M1510" i="11"/>
  <c r="L1510" i="11"/>
  <c r="K1510" i="11"/>
  <c r="J1510" i="11"/>
  <c r="AC952" i="11"/>
  <c r="AB952" i="11"/>
  <c r="AA952" i="11"/>
  <c r="Z952" i="11"/>
  <c r="Y952" i="11"/>
  <c r="X952" i="11"/>
  <c r="W952" i="11"/>
  <c r="V952" i="11"/>
  <c r="U952" i="11"/>
  <c r="T952" i="11"/>
  <c r="S952" i="11"/>
  <c r="R952" i="11"/>
  <c r="Q952" i="11"/>
  <c r="P952" i="11"/>
  <c r="O952" i="11"/>
  <c r="N952" i="11"/>
  <c r="M952" i="11"/>
  <c r="L952" i="11"/>
  <c r="K952" i="11"/>
  <c r="J952" i="11"/>
  <c r="AC1027" i="11"/>
  <c r="AB1027" i="11"/>
  <c r="AA1027" i="11"/>
  <c r="Z1027" i="11"/>
  <c r="Y1027" i="11"/>
  <c r="X1027" i="11"/>
  <c r="W1027" i="11"/>
  <c r="V1027" i="11"/>
  <c r="U1027" i="11"/>
  <c r="T1027" i="11"/>
  <c r="S1027" i="11"/>
  <c r="R1027" i="11"/>
  <c r="Q1027" i="11"/>
  <c r="P1027" i="11"/>
  <c r="O1027" i="11"/>
  <c r="N1027" i="11"/>
  <c r="M1027" i="11"/>
  <c r="L1027" i="11"/>
  <c r="K1027" i="11"/>
  <c r="J1027" i="11"/>
  <c r="AC732" i="11"/>
  <c r="AB732" i="11"/>
  <c r="AA732" i="11"/>
  <c r="Z732" i="11"/>
  <c r="Y732" i="11"/>
  <c r="X732" i="11"/>
  <c r="W732" i="11"/>
  <c r="V732" i="11"/>
  <c r="U732" i="11"/>
  <c r="T732" i="11"/>
  <c r="S732" i="11"/>
  <c r="R732" i="11"/>
  <c r="Q732" i="11"/>
  <c r="P732" i="11"/>
  <c r="O732" i="11"/>
  <c r="N732" i="11"/>
  <c r="M732" i="11"/>
  <c r="L732" i="11"/>
  <c r="K732" i="11"/>
  <c r="J732" i="11"/>
  <c r="AC646" i="11"/>
  <c r="AB646" i="11"/>
  <c r="AA646" i="11"/>
  <c r="Z646" i="11"/>
  <c r="Y646" i="11"/>
  <c r="X646" i="11"/>
  <c r="W646" i="11"/>
  <c r="V646" i="11"/>
  <c r="U646" i="11"/>
  <c r="T646" i="11"/>
  <c r="S646" i="11"/>
  <c r="R646" i="11"/>
  <c r="Q646" i="11"/>
  <c r="P646" i="11"/>
  <c r="O646" i="11"/>
  <c r="N646" i="11"/>
  <c r="M646" i="11"/>
  <c r="L646" i="11"/>
  <c r="K646" i="11"/>
  <c r="J646" i="11"/>
  <c r="AC1749" i="11"/>
  <c r="AB1749" i="11"/>
  <c r="AA1749" i="11"/>
  <c r="Z1749" i="11"/>
  <c r="Y1749" i="11"/>
  <c r="X1749" i="11"/>
  <c r="W1749" i="11"/>
  <c r="V1749" i="11"/>
  <c r="U1749" i="11"/>
  <c r="T1749" i="11"/>
  <c r="S1749" i="11"/>
  <c r="R1749" i="11"/>
  <c r="Q1749" i="11"/>
  <c r="P1749" i="11"/>
  <c r="O1749" i="11"/>
  <c r="N1749" i="11"/>
  <c r="M1749" i="11"/>
  <c r="L1749" i="11"/>
  <c r="K1749" i="11"/>
  <c r="J1749" i="11"/>
  <c r="AC1348" i="11"/>
  <c r="AB1348" i="11"/>
  <c r="AA1348" i="11"/>
  <c r="Z1348" i="11"/>
  <c r="Y1348" i="11"/>
  <c r="X1348" i="11"/>
  <c r="W1348" i="11"/>
  <c r="V1348" i="11"/>
  <c r="U1348" i="11"/>
  <c r="T1348" i="11"/>
  <c r="S1348" i="11"/>
  <c r="R1348" i="11"/>
  <c r="Q1348" i="11"/>
  <c r="P1348" i="11"/>
  <c r="O1348" i="11"/>
  <c r="N1348" i="11"/>
  <c r="M1348" i="11"/>
  <c r="L1348" i="11"/>
  <c r="K1348" i="11"/>
  <c r="J1348" i="11"/>
  <c r="AC1347" i="11"/>
  <c r="AB1347" i="11"/>
  <c r="AA1347" i="11"/>
  <c r="Z1347" i="11"/>
  <c r="Y1347" i="11"/>
  <c r="X1347" i="11"/>
  <c r="W1347" i="11"/>
  <c r="V1347" i="11"/>
  <c r="U1347" i="11"/>
  <c r="T1347" i="11"/>
  <c r="S1347" i="11"/>
  <c r="R1347" i="11"/>
  <c r="Q1347" i="11"/>
  <c r="P1347" i="11"/>
  <c r="O1347" i="11"/>
  <c r="N1347" i="11"/>
  <c r="M1347" i="11"/>
  <c r="L1347" i="11"/>
  <c r="K1347" i="11"/>
  <c r="J1347" i="11"/>
  <c r="AC2027" i="11"/>
  <c r="AB2027" i="11"/>
  <c r="AA2027" i="11"/>
  <c r="Z2027" i="11"/>
  <c r="Y2027" i="11"/>
  <c r="X2027" i="11"/>
  <c r="W2027" i="11"/>
  <c r="V2027" i="11"/>
  <c r="U2027" i="11"/>
  <c r="T2027" i="11"/>
  <c r="S2027" i="11"/>
  <c r="R2027" i="11"/>
  <c r="Q2027" i="11"/>
  <c r="P2027" i="11"/>
  <c r="O2027" i="11"/>
  <c r="N2027" i="11"/>
  <c r="M2027" i="11"/>
  <c r="L2027" i="11"/>
  <c r="K2027" i="11"/>
  <c r="J2027" i="11"/>
  <c r="AC1893" i="11"/>
  <c r="AB1893" i="11"/>
  <c r="AA1893" i="11"/>
  <c r="Z1893" i="11"/>
  <c r="Y1893" i="11"/>
  <c r="X1893" i="11"/>
  <c r="W1893" i="11"/>
  <c r="V1893" i="11"/>
  <c r="U1893" i="11"/>
  <c r="T1893" i="11"/>
  <c r="S1893" i="11"/>
  <c r="R1893" i="11"/>
  <c r="Q1893" i="11"/>
  <c r="P1893" i="11"/>
  <c r="O1893" i="11"/>
  <c r="N1893" i="11"/>
  <c r="M1893" i="11"/>
  <c r="L1893" i="11"/>
  <c r="K1893" i="11"/>
  <c r="J1893" i="11"/>
  <c r="AC799" i="11"/>
  <c r="AB799" i="11"/>
  <c r="AA799" i="11"/>
  <c r="Z799" i="11"/>
  <c r="Y799" i="11"/>
  <c r="X799" i="11"/>
  <c r="W799" i="11"/>
  <c r="V799" i="11"/>
  <c r="U799" i="11"/>
  <c r="T799" i="11"/>
  <c r="S799" i="11"/>
  <c r="R799" i="11"/>
  <c r="Q799" i="11"/>
  <c r="P799" i="11"/>
  <c r="O799" i="11"/>
  <c r="N799" i="11"/>
  <c r="M799" i="11"/>
  <c r="L799" i="11"/>
  <c r="K799" i="11"/>
  <c r="J799" i="11"/>
  <c r="AC1602" i="11"/>
  <c r="AB1602" i="11"/>
  <c r="AA1602" i="11"/>
  <c r="Z1602" i="11"/>
  <c r="Y1602" i="11"/>
  <c r="X1602" i="11"/>
  <c r="W1602" i="11"/>
  <c r="V1602" i="11"/>
  <c r="U1602" i="11"/>
  <c r="T1602" i="11"/>
  <c r="S1602" i="11"/>
  <c r="R1602" i="11"/>
  <c r="Q1602" i="11"/>
  <c r="P1602" i="11"/>
  <c r="O1602" i="11"/>
  <c r="N1602" i="11"/>
  <c r="M1602" i="11"/>
  <c r="L1602" i="11"/>
  <c r="K1602" i="11"/>
  <c r="J1602" i="11"/>
  <c r="AC645" i="11"/>
  <c r="AB645" i="11"/>
  <c r="AA645" i="11"/>
  <c r="Z645" i="11"/>
  <c r="Y645" i="11"/>
  <c r="X645" i="11"/>
  <c r="W645" i="11"/>
  <c r="V645" i="11"/>
  <c r="U645" i="11"/>
  <c r="T645" i="11"/>
  <c r="S645" i="11"/>
  <c r="R645" i="11"/>
  <c r="Q645" i="11"/>
  <c r="P645" i="11"/>
  <c r="O645" i="11"/>
  <c r="N645" i="11"/>
  <c r="M645" i="11"/>
  <c r="L645" i="11"/>
  <c r="K645" i="11"/>
  <c r="J645" i="11"/>
  <c r="AC644" i="11"/>
  <c r="AB644" i="11"/>
  <c r="AA644" i="11"/>
  <c r="Z644" i="11"/>
  <c r="Y644" i="11"/>
  <c r="X644" i="11"/>
  <c r="W644" i="11"/>
  <c r="V644" i="11"/>
  <c r="U644" i="11"/>
  <c r="T644" i="11"/>
  <c r="S644" i="11"/>
  <c r="R644" i="11"/>
  <c r="Q644" i="11"/>
  <c r="P644" i="11"/>
  <c r="O644" i="11"/>
  <c r="N644" i="11"/>
  <c r="M644" i="11"/>
  <c r="L644" i="11"/>
  <c r="K644" i="11"/>
  <c r="J644" i="11"/>
  <c r="AC41" i="11"/>
  <c r="AB41" i="11"/>
  <c r="AA41" i="11"/>
  <c r="Z41" i="11"/>
  <c r="Y41" i="11"/>
  <c r="X41" i="11"/>
  <c r="W41" i="11"/>
  <c r="V41" i="11"/>
  <c r="U41" i="11"/>
  <c r="T41" i="11"/>
  <c r="S41" i="11"/>
  <c r="R41" i="11"/>
  <c r="Q41" i="11"/>
  <c r="P41" i="11"/>
  <c r="O41" i="11"/>
  <c r="N41" i="11"/>
  <c r="M41" i="11"/>
  <c r="L41" i="11"/>
  <c r="K41" i="11"/>
  <c r="J41" i="11"/>
  <c r="AC951" i="11"/>
  <c r="AB951" i="11"/>
  <c r="AA951" i="11"/>
  <c r="Z951" i="11"/>
  <c r="Y951" i="11"/>
  <c r="X951" i="11"/>
  <c r="W951" i="11"/>
  <c r="V951" i="11"/>
  <c r="U951" i="11"/>
  <c r="T951" i="11"/>
  <c r="S951" i="11"/>
  <c r="R951" i="11"/>
  <c r="Q951" i="11"/>
  <c r="P951" i="11"/>
  <c r="O951" i="11"/>
  <c r="N951" i="11"/>
  <c r="M951" i="11"/>
  <c r="L951" i="11"/>
  <c r="K951" i="11"/>
  <c r="J951" i="11"/>
  <c r="AC2137" i="11"/>
  <c r="AB2137" i="11"/>
  <c r="AA2137" i="11"/>
  <c r="Z2137" i="11"/>
  <c r="Y2137" i="11"/>
  <c r="X2137" i="11"/>
  <c r="W2137" i="11"/>
  <c r="V2137" i="11"/>
  <c r="U2137" i="11"/>
  <c r="T2137" i="11"/>
  <c r="S2137" i="11"/>
  <c r="R2137" i="11"/>
  <c r="Q2137" i="11"/>
  <c r="P2137" i="11"/>
  <c r="O2137" i="11"/>
  <c r="N2137" i="11"/>
  <c r="M2137" i="11"/>
  <c r="L2137" i="11"/>
  <c r="K2137" i="11"/>
  <c r="J2137" i="11"/>
  <c r="AC2136" i="11"/>
  <c r="AB2136" i="11"/>
  <c r="AA2136" i="11"/>
  <c r="Z2136" i="11"/>
  <c r="Y2136" i="11"/>
  <c r="X2136" i="11"/>
  <c r="W2136" i="11"/>
  <c r="V2136" i="11"/>
  <c r="U2136" i="11"/>
  <c r="T2136" i="11"/>
  <c r="S2136" i="11"/>
  <c r="R2136" i="11"/>
  <c r="Q2136" i="11"/>
  <c r="P2136" i="11"/>
  <c r="O2136" i="11"/>
  <c r="N2136" i="11"/>
  <c r="M2136" i="11"/>
  <c r="L2136" i="11"/>
  <c r="K2136" i="11"/>
  <c r="J2136" i="11"/>
  <c r="AC1748" i="11"/>
  <c r="AB1748" i="11"/>
  <c r="AA1748" i="11"/>
  <c r="Z1748" i="11"/>
  <c r="Y1748" i="11"/>
  <c r="X1748" i="11"/>
  <c r="W1748" i="11"/>
  <c r="V1748" i="11"/>
  <c r="U1748" i="11"/>
  <c r="T1748" i="11"/>
  <c r="S1748" i="11"/>
  <c r="R1748" i="11"/>
  <c r="Q1748" i="11"/>
  <c r="P1748" i="11"/>
  <c r="O1748" i="11"/>
  <c r="N1748" i="11"/>
  <c r="M1748" i="11"/>
  <c r="L1748" i="11"/>
  <c r="K1748" i="11"/>
  <c r="J1748" i="11"/>
  <c r="AC1509" i="11"/>
  <c r="AB1509" i="11"/>
  <c r="AA1509" i="11"/>
  <c r="Z1509" i="11"/>
  <c r="Y1509" i="11"/>
  <c r="X1509" i="11"/>
  <c r="W1509" i="11"/>
  <c r="V1509" i="11"/>
  <c r="U1509" i="11"/>
  <c r="T1509" i="11"/>
  <c r="S1509" i="11"/>
  <c r="R1509" i="11"/>
  <c r="Q1509" i="11"/>
  <c r="P1509" i="11"/>
  <c r="O1509" i="11"/>
  <c r="N1509" i="11"/>
  <c r="M1509" i="11"/>
  <c r="L1509" i="11"/>
  <c r="K1509" i="11"/>
  <c r="J1509" i="11"/>
  <c r="AC1942" i="11"/>
  <c r="AB1942" i="11"/>
  <c r="AA1942" i="11"/>
  <c r="Z1942" i="11"/>
  <c r="Y1942" i="11"/>
  <c r="X1942" i="11"/>
  <c r="W1942" i="11"/>
  <c r="V1942" i="11"/>
  <c r="U1942" i="11"/>
  <c r="T1942" i="11"/>
  <c r="S1942" i="11"/>
  <c r="R1942" i="11"/>
  <c r="Q1942" i="11"/>
  <c r="P1942" i="11"/>
  <c r="O1942" i="11"/>
  <c r="N1942" i="11"/>
  <c r="M1942" i="11"/>
  <c r="L1942" i="11"/>
  <c r="K1942" i="11"/>
  <c r="J1942" i="11"/>
  <c r="AC1251" i="11"/>
  <c r="AB1251" i="11"/>
  <c r="AA1251" i="11"/>
  <c r="Z1251" i="11"/>
  <c r="Y1251" i="11"/>
  <c r="X1251" i="11"/>
  <c r="W1251" i="11"/>
  <c r="V1251" i="11"/>
  <c r="U1251" i="11"/>
  <c r="T1251" i="11"/>
  <c r="S1251" i="11"/>
  <c r="R1251" i="11"/>
  <c r="Q1251" i="11"/>
  <c r="P1251" i="11"/>
  <c r="O1251" i="11"/>
  <c r="N1251" i="11"/>
  <c r="M1251" i="11"/>
  <c r="L1251" i="11"/>
  <c r="K1251" i="11"/>
  <c r="J1251" i="11"/>
  <c r="AC1789" i="11"/>
  <c r="AB1789" i="11"/>
  <c r="AA1789" i="11"/>
  <c r="Z1789" i="11"/>
  <c r="Y1789" i="11"/>
  <c r="X1789" i="11"/>
  <c r="W1789" i="11"/>
  <c r="V1789" i="11"/>
  <c r="U1789" i="11"/>
  <c r="T1789" i="11"/>
  <c r="S1789" i="11"/>
  <c r="R1789" i="11"/>
  <c r="Q1789" i="11"/>
  <c r="P1789" i="11"/>
  <c r="O1789" i="11"/>
  <c r="N1789" i="11"/>
  <c r="M1789" i="11"/>
  <c r="L1789" i="11"/>
  <c r="K1789" i="11"/>
  <c r="J1789" i="11"/>
  <c r="AC1568" i="11"/>
  <c r="AB1568" i="11"/>
  <c r="AA1568" i="11"/>
  <c r="Z1568" i="11"/>
  <c r="Y1568" i="11"/>
  <c r="X1568" i="11"/>
  <c r="W1568" i="11"/>
  <c r="V1568" i="11"/>
  <c r="U1568" i="11"/>
  <c r="T1568" i="11"/>
  <c r="S1568" i="11"/>
  <c r="R1568" i="11"/>
  <c r="Q1568" i="11"/>
  <c r="P1568" i="11"/>
  <c r="O1568" i="11"/>
  <c r="N1568" i="11"/>
  <c r="M1568" i="11"/>
  <c r="L1568" i="11"/>
  <c r="K1568" i="11"/>
  <c r="J1568" i="11"/>
  <c r="AC275" i="11"/>
  <c r="AB275" i="11"/>
  <c r="AA275" i="11"/>
  <c r="Z275" i="11"/>
  <c r="Y275" i="11"/>
  <c r="X275" i="11"/>
  <c r="W275" i="11"/>
  <c r="V275" i="11"/>
  <c r="U275" i="11"/>
  <c r="T275" i="11"/>
  <c r="S275" i="11"/>
  <c r="R275" i="11"/>
  <c r="Q275" i="11"/>
  <c r="P275" i="11"/>
  <c r="O275" i="11"/>
  <c r="N275" i="11"/>
  <c r="M275" i="11"/>
  <c r="L275" i="11"/>
  <c r="K275" i="11"/>
  <c r="J275" i="11"/>
  <c r="AC274" i="11"/>
  <c r="AB274" i="11"/>
  <c r="AA274" i="11"/>
  <c r="Z274" i="11"/>
  <c r="Y274" i="11"/>
  <c r="X274" i="11"/>
  <c r="W274" i="11"/>
  <c r="V274" i="11"/>
  <c r="U274" i="11"/>
  <c r="T274" i="11"/>
  <c r="S274" i="11"/>
  <c r="R274" i="11"/>
  <c r="Q274" i="11"/>
  <c r="P274" i="11"/>
  <c r="O274" i="11"/>
  <c r="N274" i="11"/>
  <c r="M274" i="11"/>
  <c r="L274" i="11"/>
  <c r="K274" i="11"/>
  <c r="J274" i="11"/>
  <c r="AC400" i="11"/>
  <c r="AB400" i="11"/>
  <c r="AA400" i="11"/>
  <c r="Z400" i="11"/>
  <c r="Y400" i="11"/>
  <c r="X400" i="11"/>
  <c r="W400" i="11"/>
  <c r="V400" i="11"/>
  <c r="U400" i="11"/>
  <c r="T400" i="11"/>
  <c r="S400" i="11"/>
  <c r="R400" i="11"/>
  <c r="Q400" i="11"/>
  <c r="P400" i="11"/>
  <c r="O400" i="11"/>
  <c r="N400" i="11"/>
  <c r="M400" i="11"/>
  <c r="L400" i="11"/>
  <c r="K400" i="11"/>
  <c r="J400" i="11"/>
  <c r="AC643" i="11"/>
  <c r="AB643" i="11"/>
  <c r="AA643" i="11"/>
  <c r="Z643" i="11"/>
  <c r="Y643" i="11"/>
  <c r="X643" i="11"/>
  <c r="W643" i="11"/>
  <c r="V643" i="11"/>
  <c r="U643" i="11"/>
  <c r="T643" i="11"/>
  <c r="S643" i="11"/>
  <c r="R643" i="11"/>
  <c r="Q643" i="11"/>
  <c r="P643" i="11"/>
  <c r="O643" i="11"/>
  <c r="N643" i="11"/>
  <c r="M643" i="11"/>
  <c r="L643" i="11"/>
  <c r="K643" i="11"/>
  <c r="J643" i="11"/>
  <c r="AC324" i="11"/>
  <c r="AB324" i="11"/>
  <c r="AA324" i="11"/>
  <c r="Z324" i="11"/>
  <c r="Y324" i="11"/>
  <c r="X324" i="11"/>
  <c r="W324" i="11"/>
  <c r="V324" i="11"/>
  <c r="U324" i="11"/>
  <c r="T324" i="11"/>
  <c r="S324" i="11"/>
  <c r="R324" i="11"/>
  <c r="Q324" i="11"/>
  <c r="P324" i="11"/>
  <c r="O324" i="11"/>
  <c r="N324" i="11"/>
  <c r="M324" i="11"/>
  <c r="L324" i="11"/>
  <c r="K324" i="11"/>
  <c r="J324" i="11"/>
  <c r="AC2026" i="11"/>
  <c r="AB2026" i="11"/>
  <c r="AA2026" i="11"/>
  <c r="Z2026" i="11"/>
  <c r="Y2026" i="11"/>
  <c r="X2026" i="11"/>
  <c r="W2026" i="11"/>
  <c r="V2026" i="11"/>
  <c r="U2026" i="11"/>
  <c r="T2026" i="11"/>
  <c r="S2026" i="11"/>
  <c r="R2026" i="11"/>
  <c r="Q2026" i="11"/>
  <c r="P2026" i="11"/>
  <c r="O2026" i="11"/>
  <c r="N2026" i="11"/>
  <c r="M2026" i="11"/>
  <c r="L2026" i="11"/>
  <c r="K2026" i="11"/>
  <c r="J2026" i="11"/>
  <c r="AC950" i="11"/>
  <c r="AB950" i="11"/>
  <c r="AA950" i="11"/>
  <c r="Z950" i="11"/>
  <c r="Y950" i="11"/>
  <c r="X950" i="11"/>
  <c r="W950" i="11"/>
  <c r="V950" i="11"/>
  <c r="U950" i="11"/>
  <c r="T950" i="11"/>
  <c r="S950" i="11"/>
  <c r="R950" i="11"/>
  <c r="Q950" i="11"/>
  <c r="P950" i="11"/>
  <c r="O950" i="11"/>
  <c r="N950" i="11"/>
  <c r="M950" i="11"/>
  <c r="L950" i="11"/>
  <c r="K950" i="11"/>
  <c r="J950" i="11"/>
  <c r="AC573" i="11"/>
  <c r="AB573" i="11"/>
  <c r="AA573" i="11"/>
  <c r="Z573" i="11"/>
  <c r="Y573" i="11"/>
  <c r="X573" i="11"/>
  <c r="W573" i="11"/>
  <c r="V573" i="11"/>
  <c r="U573" i="11"/>
  <c r="T573" i="11"/>
  <c r="S573" i="11"/>
  <c r="R573" i="11"/>
  <c r="Q573" i="11"/>
  <c r="P573" i="11"/>
  <c r="O573" i="11"/>
  <c r="N573" i="11"/>
  <c r="M573" i="11"/>
  <c r="L573" i="11"/>
  <c r="K573" i="11"/>
  <c r="J573" i="11"/>
  <c r="AC1846" i="11"/>
  <c r="AB1846" i="11"/>
  <c r="AA1846" i="11"/>
  <c r="Z1846" i="11"/>
  <c r="Y1846" i="11"/>
  <c r="X1846" i="11"/>
  <c r="W1846" i="11"/>
  <c r="V1846" i="11"/>
  <c r="U1846" i="11"/>
  <c r="T1846" i="11"/>
  <c r="S1846" i="11"/>
  <c r="R1846" i="11"/>
  <c r="Q1846" i="11"/>
  <c r="P1846" i="11"/>
  <c r="O1846" i="11"/>
  <c r="N1846" i="11"/>
  <c r="M1846" i="11"/>
  <c r="L1846" i="11"/>
  <c r="K1846" i="11"/>
  <c r="J1846" i="11"/>
  <c r="AC1788" i="11"/>
  <c r="AB1788" i="11"/>
  <c r="AA1788" i="11"/>
  <c r="Z1788" i="11"/>
  <c r="Y1788" i="11"/>
  <c r="X1788" i="11"/>
  <c r="W1788" i="11"/>
  <c r="V1788" i="11"/>
  <c r="U1788" i="11"/>
  <c r="T1788" i="11"/>
  <c r="S1788" i="11"/>
  <c r="R1788" i="11"/>
  <c r="Q1788" i="11"/>
  <c r="P1788" i="11"/>
  <c r="O1788" i="11"/>
  <c r="N1788" i="11"/>
  <c r="M1788" i="11"/>
  <c r="L1788" i="11"/>
  <c r="K1788" i="11"/>
  <c r="J1788" i="11"/>
  <c r="AC1508" i="11"/>
  <c r="AB1508" i="11"/>
  <c r="AA1508" i="11"/>
  <c r="Z1508" i="11"/>
  <c r="Y1508" i="11"/>
  <c r="X1508" i="11"/>
  <c r="W1508" i="11"/>
  <c r="V1508" i="11"/>
  <c r="U1508" i="11"/>
  <c r="T1508" i="11"/>
  <c r="S1508" i="11"/>
  <c r="R1508" i="11"/>
  <c r="Q1508" i="11"/>
  <c r="P1508" i="11"/>
  <c r="O1508" i="11"/>
  <c r="N1508" i="11"/>
  <c r="M1508" i="11"/>
  <c r="L1508" i="11"/>
  <c r="K1508" i="11"/>
  <c r="J1508" i="11"/>
  <c r="AC1120" i="11"/>
  <c r="AB1120" i="11"/>
  <c r="AA1120" i="11"/>
  <c r="Z1120" i="11"/>
  <c r="Y1120" i="11"/>
  <c r="X1120" i="11"/>
  <c r="W1120" i="11"/>
  <c r="V1120" i="11"/>
  <c r="U1120" i="11"/>
  <c r="T1120" i="11"/>
  <c r="S1120" i="11"/>
  <c r="R1120" i="11"/>
  <c r="Q1120" i="11"/>
  <c r="P1120" i="11"/>
  <c r="O1120" i="11"/>
  <c r="N1120" i="11"/>
  <c r="M1120" i="11"/>
  <c r="L1120" i="11"/>
  <c r="K1120" i="11"/>
  <c r="J1120" i="11"/>
  <c r="AC1941" i="11"/>
  <c r="AB1941" i="11"/>
  <c r="AA1941" i="11"/>
  <c r="Z1941" i="11"/>
  <c r="Y1941" i="11"/>
  <c r="X1941" i="11"/>
  <c r="W1941" i="11"/>
  <c r="V1941" i="11"/>
  <c r="U1941" i="11"/>
  <c r="T1941" i="11"/>
  <c r="S1941" i="11"/>
  <c r="R1941" i="11"/>
  <c r="Q1941" i="11"/>
  <c r="P1941" i="11"/>
  <c r="O1941" i="11"/>
  <c r="N1941" i="11"/>
  <c r="M1941" i="11"/>
  <c r="L1941" i="11"/>
  <c r="K1941" i="11"/>
  <c r="J1941" i="11"/>
  <c r="AC1747" i="11"/>
  <c r="AB1747" i="11"/>
  <c r="AA1747" i="11"/>
  <c r="Z1747" i="11"/>
  <c r="Y1747" i="11"/>
  <c r="X1747" i="11"/>
  <c r="W1747" i="11"/>
  <c r="V1747" i="11"/>
  <c r="U1747" i="11"/>
  <c r="T1747" i="11"/>
  <c r="S1747" i="11"/>
  <c r="R1747" i="11"/>
  <c r="Q1747" i="11"/>
  <c r="P1747" i="11"/>
  <c r="O1747" i="11"/>
  <c r="N1747" i="11"/>
  <c r="M1747" i="11"/>
  <c r="L1747" i="11"/>
  <c r="K1747" i="11"/>
  <c r="J1747" i="11"/>
  <c r="AC1640" i="11"/>
  <c r="AB1640" i="11"/>
  <c r="AA1640" i="11"/>
  <c r="Z1640" i="11"/>
  <c r="Y1640" i="11"/>
  <c r="X1640" i="11"/>
  <c r="W1640" i="11"/>
  <c r="V1640" i="11"/>
  <c r="U1640" i="11"/>
  <c r="T1640" i="11"/>
  <c r="S1640" i="11"/>
  <c r="R1640" i="11"/>
  <c r="Q1640" i="11"/>
  <c r="P1640" i="11"/>
  <c r="O1640" i="11"/>
  <c r="N1640" i="11"/>
  <c r="M1640" i="11"/>
  <c r="L1640" i="11"/>
  <c r="K1640" i="11"/>
  <c r="J1640" i="11"/>
  <c r="AC1639" i="11"/>
  <c r="AB1639" i="11"/>
  <c r="AA1639" i="11"/>
  <c r="Z1639" i="11"/>
  <c r="Y1639" i="11"/>
  <c r="X1639" i="11"/>
  <c r="W1639" i="11"/>
  <c r="V1639" i="11"/>
  <c r="U1639" i="11"/>
  <c r="T1639" i="11"/>
  <c r="S1639" i="11"/>
  <c r="R1639" i="11"/>
  <c r="Q1639" i="11"/>
  <c r="P1639" i="11"/>
  <c r="O1639" i="11"/>
  <c r="N1639" i="11"/>
  <c r="M1639" i="11"/>
  <c r="L1639" i="11"/>
  <c r="K1639" i="11"/>
  <c r="J1639" i="11"/>
  <c r="AC1638" i="11"/>
  <c r="AB1638" i="11"/>
  <c r="AA1638" i="11"/>
  <c r="Z1638" i="11"/>
  <c r="Y1638" i="11"/>
  <c r="X1638" i="11"/>
  <c r="W1638" i="11"/>
  <c r="V1638" i="11"/>
  <c r="U1638" i="11"/>
  <c r="T1638" i="11"/>
  <c r="S1638" i="11"/>
  <c r="R1638" i="11"/>
  <c r="Q1638" i="11"/>
  <c r="P1638" i="11"/>
  <c r="O1638" i="11"/>
  <c r="N1638" i="11"/>
  <c r="M1638" i="11"/>
  <c r="L1638" i="11"/>
  <c r="K1638" i="11"/>
  <c r="J1638" i="11"/>
  <c r="AC1250" i="11"/>
  <c r="AB1250" i="11"/>
  <c r="AA1250" i="11"/>
  <c r="Z1250" i="11"/>
  <c r="Y1250" i="11"/>
  <c r="X1250" i="11"/>
  <c r="W1250" i="11"/>
  <c r="V1250" i="11"/>
  <c r="U1250" i="11"/>
  <c r="T1250" i="11"/>
  <c r="S1250" i="11"/>
  <c r="R1250" i="11"/>
  <c r="Q1250" i="11"/>
  <c r="P1250" i="11"/>
  <c r="O1250" i="11"/>
  <c r="N1250" i="11"/>
  <c r="M1250" i="11"/>
  <c r="L1250" i="11"/>
  <c r="K1250" i="11"/>
  <c r="J1250" i="11"/>
  <c r="AC2104" i="11"/>
  <c r="AB2104" i="11"/>
  <c r="AA2104" i="11"/>
  <c r="Z2104" i="11"/>
  <c r="Y2104" i="11"/>
  <c r="X2104" i="11"/>
  <c r="W2104" i="11"/>
  <c r="V2104" i="11"/>
  <c r="U2104" i="11"/>
  <c r="T2104" i="11"/>
  <c r="S2104" i="11"/>
  <c r="R2104" i="11"/>
  <c r="Q2104" i="11"/>
  <c r="P2104" i="11"/>
  <c r="O2104" i="11"/>
  <c r="N2104" i="11"/>
  <c r="M2104" i="11"/>
  <c r="L2104" i="11"/>
  <c r="K2104" i="11"/>
  <c r="J2104" i="11"/>
  <c r="AC1696" i="11"/>
  <c r="AB1696" i="11"/>
  <c r="AA1696" i="11"/>
  <c r="Z1696" i="11"/>
  <c r="Y1696" i="11"/>
  <c r="X1696" i="11"/>
  <c r="W1696" i="11"/>
  <c r="V1696" i="11"/>
  <c r="U1696" i="11"/>
  <c r="T1696" i="11"/>
  <c r="S1696" i="11"/>
  <c r="R1696" i="11"/>
  <c r="Q1696" i="11"/>
  <c r="P1696" i="11"/>
  <c r="O1696" i="11"/>
  <c r="N1696" i="11"/>
  <c r="M1696" i="11"/>
  <c r="L1696" i="11"/>
  <c r="K1696" i="11"/>
  <c r="J1696" i="11"/>
  <c r="AC1982" i="11"/>
  <c r="AB1982" i="11"/>
  <c r="AA1982" i="11"/>
  <c r="Z1982" i="11"/>
  <c r="Y1982" i="11"/>
  <c r="X1982" i="11"/>
  <c r="W1982" i="11"/>
  <c r="V1982" i="11"/>
  <c r="U1982" i="11"/>
  <c r="T1982" i="11"/>
  <c r="S1982" i="11"/>
  <c r="R1982" i="11"/>
  <c r="Q1982" i="11"/>
  <c r="P1982" i="11"/>
  <c r="O1982" i="11"/>
  <c r="N1982" i="11"/>
  <c r="M1982" i="11"/>
  <c r="L1982" i="11"/>
  <c r="K1982" i="11"/>
  <c r="J1982" i="11"/>
  <c r="AC1746" i="11"/>
  <c r="AB1746" i="11"/>
  <c r="AA1746" i="11"/>
  <c r="Z1746" i="11"/>
  <c r="Y1746" i="11"/>
  <c r="X1746" i="11"/>
  <c r="W1746" i="11"/>
  <c r="V1746" i="11"/>
  <c r="U1746" i="11"/>
  <c r="T1746" i="11"/>
  <c r="S1746" i="11"/>
  <c r="R1746" i="11"/>
  <c r="Q1746" i="11"/>
  <c r="P1746" i="11"/>
  <c r="O1746" i="11"/>
  <c r="N1746" i="11"/>
  <c r="M1746" i="11"/>
  <c r="L1746" i="11"/>
  <c r="K1746" i="11"/>
  <c r="J1746" i="11"/>
  <c r="AC1892" i="11"/>
  <c r="AB1892" i="11"/>
  <c r="AA1892" i="11"/>
  <c r="Z1892" i="11"/>
  <c r="Y1892" i="11"/>
  <c r="X1892" i="11"/>
  <c r="W1892" i="11"/>
  <c r="V1892" i="11"/>
  <c r="U1892" i="11"/>
  <c r="T1892" i="11"/>
  <c r="S1892" i="11"/>
  <c r="R1892" i="11"/>
  <c r="Q1892" i="11"/>
  <c r="P1892" i="11"/>
  <c r="O1892" i="11"/>
  <c r="N1892" i="11"/>
  <c r="M1892" i="11"/>
  <c r="L1892" i="11"/>
  <c r="K1892" i="11"/>
  <c r="J1892" i="11"/>
  <c r="AC1567" i="11"/>
  <c r="AB1567" i="11"/>
  <c r="AA1567" i="11"/>
  <c r="Z1567" i="11"/>
  <c r="Y1567" i="11"/>
  <c r="X1567" i="11"/>
  <c r="W1567" i="11"/>
  <c r="V1567" i="11"/>
  <c r="U1567" i="11"/>
  <c r="T1567" i="11"/>
  <c r="S1567" i="11"/>
  <c r="R1567" i="11"/>
  <c r="Q1567" i="11"/>
  <c r="P1567" i="11"/>
  <c r="O1567" i="11"/>
  <c r="N1567" i="11"/>
  <c r="M1567" i="11"/>
  <c r="L1567" i="11"/>
  <c r="K1567" i="11"/>
  <c r="J1567" i="11"/>
  <c r="AC2025" i="11"/>
  <c r="AB2025" i="11"/>
  <c r="AA2025" i="11"/>
  <c r="Z2025" i="11"/>
  <c r="Y2025" i="11"/>
  <c r="X2025" i="11"/>
  <c r="W2025" i="11"/>
  <c r="V2025" i="11"/>
  <c r="U2025" i="11"/>
  <c r="T2025" i="11"/>
  <c r="S2025" i="11"/>
  <c r="R2025" i="11"/>
  <c r="Q2025" i="11"/>
  <c r="P2025" i="11"/>
  <c r="O2025" i="11"/>
  <c r="N2025" i="11"/>
  <c r="M2025" i="11"/>
  <c r="L2025" i="11"/>
  <c r="K2025" i="11"/>
  <c r="J2025" i="11"/>
  <c r="AC1845" i="11"/>
  <c r="AB1845" i="11"/>
  <c r="AA1845" i="11"/>
  <c r="Z1845" i="11"/>
  <c r="Y1845" i="11"/>
  <c r="X1845" i="11"/>
  <c r="W1845" i="11"/>
  <c r="V1845" i="11"/>
  <c r="U1845" i="11"/>
  <c r="T1845" i="11"/>
  <c r="S1845" i="11"/>
  <c r="R1845" i="11"/>
  <c r="Q1845" i="11"/>
  <c r="P1845" i="11"/>
  <c r="O1845" i="11"/>
  <c r="N1845" i="11"/>
  <c r="M1845" i="11"/>
  <c r="L1845" i="11"/>
  <c r="K1845" i="11"/>
  <c r="J1845" i="11"/>
  <c r="AC1844" i="11"/>
  <c r="AB1844" i="11"/>
  <c r="AA1844" i="11"/>
  <c r="Z1844" i="11"/>
  <c r="Y1844" i="11"/>
  <c r="X1844" i="11"/>
  <c r="W1844" i="11"/>
  <c r="V1844" i="11"/>
  <c r="U1844" i="11"/>
  <c r="T1844" i="11"/>
  <c r="S1844" i="11"/>
  <c r="R1844" i="11"/>
  <c r="Q1844" i="11"/>
  <c r="P1844" i="11"/>
  <c r="O1844" i="11"/>
  <c r="N1844" i="11"/>
  <c r="M1844" i="11"/>
  <c r="L1844" i="11"/>
  <c r="K1844" i="11"/>
  <c r="J1844" i="11"/>
  <c r="AC1843" i="11"/>
  <c r="AB1843" i="11"/>
  <c r="AA1843" i="11"/>
  <c r="Z1843" i="11"/>
  <c r="Y1843" i="11"/>
  <c r="X1843" i="11"/>
  <c r="W1843" i="11"/>
  <c r="V1843" i="11"/>
  <c r="U1843" i="11"/>
  <c r="T1843" i="11"/>
  <c r="S1843" i="11"/>
  <c r="R1843" i="11"/>
  <c r="Q1843" i="11"/>
  <c r="P1843" i="11"/>
  <c r="O1843" i="11"/>
  <c r="N1843" i="11"/>
  <c r="M1843" i="11"/>
  <c r="L1843" i="11"/>
  <c r="K1843" i="11"/>
  <c r="J1843" i="11"/>
  <c r="AC1842" i="11"/>
  <c r="AB1842" i="11"/>
  <c r="AA1842" i="11"/>
  <c r="Z1842" i="11"/>
  <c r="Y1842" i="11"/>
  <c r="X1842" i="11"/>
  <c r="W1842" i="11"/>
  <c r="V1842" i="11"/>
  <c r="U1842" i="11"/>
  <c r="T1842" i="11"/>
  <c r="S1842" i="11"/>
  <c r="R1842" i="11"/>
  <c r="Q1842" i="11"/>
  <c r="P1842" i="11"/>
  <c r="O1842" i="11"/>
  <c r="N1842" i="11"/>
  <c r="M1842" i="11"/>
  <c r="L1842" i="11"/>
  <c r="K1842" i="11"/>
  <c r="J1842" i="11"/>
  <c r="AC2195" i="11"/>
  <c r="AB2195" i="11"/>
  <c r="AA2195" i="11"/>
  <c r="Z2195" i="11"/>
  <c r="Y2195" i="11"/>
  <c r="X2195" i="11"/>
  <c r="W2195" i="11"/>
  <c r="V2195" i="11"/>
  <c r="U2195" i="11"/>
  <c r="T2195" i="11"/>
  <c r="S2195" i="11"/>
  <c r="R2195" i="11"/>
  <c r="Q2195" i="11"/>
  <c r="P2195" i="11"/>
  <c r="O2195" i="11"/>
  <c r="N2195" i="11"/>
  <c r="M2195" i="11"/>
  <c r="L2195" i="11"/>
  <c r="K2195" i="11"/>
  <c r="J2195" i="11"/>
  <c r="AC2194" i="11"/>
  <c r="AB2194" i="11"/>
  <c r="AA2194" i="11"/>
  <c r="Z2194" i="11"/>
  <c r="Y2194" i="11"/>
  <c r="X2194" i="11"/>
  <c r="W2194" i="11"/>
  <c r="V2194" i="11"/>
  <c r="U2194" i="11"/>
  <c r="T2194" i="11"/>
  <c r="S2194" i="11"/>
  <c r="R2194" i="11"/>
  <c r="Q2194" i="11"/>
  <c r="P2194" i="11"/>
  <c r="O2194" i="11"/>
  <c r="N2194" i="11"/>
  <c r="M2194" i="11"/>
  <c r="L2194" i="11"/>
  <c r="K2194" i="11"/>
  <c r="J2194" i="11"/>
  <c r="AC1195" i="11"/>
  <c r="AB1195" i="11"/>
  <c r="AA1195" i="11"/>
  <c r="Z1195" i="11"/>
  <c r="Y1195" i="11"/>
  <c r="X1195" i="11"/>
  <c r="W1195" i="11"/>
  <c r="V1195" i="11"/>
  <c r="U1195" i="11"/>
  <c r="T1195" i="11"/>
  <c r="S1195" i="11"/>
  <c r="R1195" i="11"/>
  <c r="Q1195" i="11"/>
  <c r="P1195" i="11"/>
  <c r="O1195" i="11"/>
  <c r="N1195" i="11"/>
  <c r="M1195" i="11"/>
  <c r="L1195" i="11"/>
  <c r="K1195" i="11"/>
  <c r="J1195" i="11"/>
  <c r="AC360" i="11"/>
  <c r="AB360" i="11"/>
  <c r="AA360" i="11"/>
  <c r="Z360" i="11"/>
  <c r="Y360" i="11"/>
  <c r="X360" i="11"/>
  <c r="W360" i="11"/>
  <c r="V360" i="11"/>
  <c r="U360" i="11"/>
  <c r="T360" i="11"/>
  <c r="S360" i="11"/>
  <c r="R360" i="11"/>
  <c r="Q360" i="11"/>
  <c r="P360" i="11"/>
  <c r="O360" i="11"/>
  <c r="N360" i="11"/>
  <c r="M360" i="11"/>
  <c r="L360" i="11"/>
  <c r="K360" i="11"/>
  <c r="J360" i="11"/>
  <c r="AC1891" i="11"/>
  <c r="AB1891" i="11"/>
  <c r="AA1891" i="11"/>
  <c r="Z1891" i="11"/>
  <c r="Y1891" i="11"/>
  <c r="X1891" i="11"/>
  <c r="W1891" i="11"/>
  <c r="V1891" i="11"/>
  <c r="U1891" i="11"/>
  <c r="T1891" i="11"/>
  <c r="S1891" i="11"/>
  <c r="R1891" i="11"/>
  <c r="Q1891" i="11"/>
  <c r="P1891" i="11"/>
  <c r="O1891" i="11"/>
  <c r="N1891" i="11"/>
  <c r="M1891" i="11"/>
  <c r="L1891" i="11"/>
  <c r="K1891" i="11"/>
  <c r="J1891" i="11"/>
  <c r="AC2222" i="11"/>
  <c r="AB2222" i="11"/>
  <c r="AA2222" i="11"/>
  <c r="Z2222" i="11"/>
  <c r="Y2222" i="11"/>
  <c r="X2222" i="11"/>
  <c r="W2222" i="11"/>
  <c r="V2222" i="11"/>
  <c r="U2222" i="11"/>
  <c r="T2222" i="11"/>
  <c r="S2222" i="11"/>
  <c r="R2222" i="11"/>
  <c r="Q2222" i="11"/>
  <c r="P2222" i="11"/>
  <c r="O2222" i="11"/>
  <c r="N2222" i="11"/>
  <c r="M2222" i="11"/>
  <c r="L2222" i="11"/>
  <c r="K2222" i="11"/>
  <c r="J2222" i="11"/>
  <c r="AC869" i="11"/>
  <c r="AB869" i="11"/>
  <c r="AA869" i="11"/>
  <c r="Z869" i="11"/>
  <c r="Y869" i="11"/>
  <c r="X869" i="11"/>
  <c r="W869" i="11"/>
  <c r="V869" i="11"/>
  <c r="U869" i="11"/>
  <c r="T869" i="11"/>
  <c r="S869" i="11"/>
  <c r="R869" i="11"/>
  <c r="Q869" i="11"/>
  <c r="P869" i="11"/>
  <c r="O869" i="11"/>
  <c r="N869" i="11"/>
  <c r="M869" i="11"/>
  <c r="L869" i="11"/>
  <c r="K869" i="11"/>
  <c r="J869" i="11"/>
  <c r="AC1566" i="11"/>
  <c r="AB1566" i="11"/>
  <c r="AA1566" i="11"/>
  <c r="Z1566" i="11"/>
  <c r="Y1566" i="11"/>
  <c r="X1566" i="11"/>
  <c r="W1566" i="11"/>
  <c r="V1566" i="11"/>
  <c r="U1566" i="11"/>
  <c r="T1566" i="11"/>
  <c r="S1566" i="11"/>
  <c r="R1566" i="11"/>
  <c r="Q1566" i="11"/>
  <c r="P1566" i="11"/>
  <c r="O1566" i="11"/>
  <c r="N1566" i="11"/>
  <c r="M1566" i="11"/>
  <c r="L1566" i="11"/>
  <c r="K1566" i="11"/>
  <c r="J1566" i="11"/>
  <c r="AC51" i="11"/>
  <c r="AB51" i="11"/>
  <c r="AA51" i="11"/>
  <c r="Z51" i="11"/>
  <c r="Y51" i="11"/>
  <c r="X51" i="11"/>
  <c r="W51" i="11"/>
  <c r="V51" i="11"/>
  <c r="U51" i="11"/>
  <c r="T51" i="11"/>
  <c r="S51" i="11"/>
  <c r="R51" i="11"/>
  <c r="Q51" i="11"/>
  <c r="P51" i="11"/>
  <c r="O51" i="11"/>
  <c r="N51" i="11"/>
  <c r="M51" i="11"/>
  <c r="L51" i="11"/>
  <c r="K51" i="11"/>
  <c r="J51" i="11"/>
  <c r="AC507" i="11"/>
  <c r="AB507" i="11"/>
  <c r="AA507" i="11"/>
  <c r="Z507" i="11"/>
  <c r="Y507" i="11"/>
  <c r="X507" i="11"/>
  <c r="W507" i="11"/>
  <c r="V507" i="11"/>
  <c r="U507" i="11"/>
  <c r="T507" i="11"/>
  <c r="S507" i="11"/>
  <c r="R507" i="11"/>
  <c r="Q507" i="11"/>
  <c r="P507" i="11"/>
  <c r="O507" i="11"/>
  <c r="N507" i="11"/>
  <c r="M507" i="11"/>
  <c r="L507" i="11"/>
  <c r="K507" i="11"/>
  <c r="J507" i="11"/>
  <c r="AC1249" i="11"/>
  <c r="AB1249" i="11"/>
  <c r="AA1249" i="11"/>
  <c r="Z1249" i="11"/>
  <c r="Y1249" i="11"/>
  <c r="X1249" i="11"/>
  <c r="W1249" i="11"/>
  <c r="V1249" i="11"/>
  <c r="U1249" i="11"/>
  <c r="T1249" i="11"/>
  <c r="S1249" i="11"/>
  <c r="R1249" i="11"/>
  <c r="Q1249" i="11"/>
  <c r="P1249" i="11"/>
  <c r="O1249" i="11"/>
  <c r="N1249" i="11"/>
  <c r="M1249" i="11"/>
  <c r="L1249" i="11"/>
  <c r="K1249" i="11"/>
  <c r="J1249" i="11"/>
  <c r="AC2160" i="11"/>
  <c r="AB2160" i="11"/>
  <c r="AA2160" i="11"/>
  <c r="Z2160" i="11"/>
  <c r="Y2160" i="11"/>
  <c r="X2160" i="11"/>
  <c r="W2160" i="11"/>
  <c r="V2160" i="11"/>
  <c r="U2160" i="11"/>
  <c r="T2160" i="11"/>
  <c r="S2160" i="11"/>
  <c r="R2160" i="11"/>
  <c r="Q2160" i="11"/>
  <c r="P2160" i="11"/>
  <c r="O2160" i="11"/>
  <c r="N2160" i="11"/>
  <c r="M2160" i="11"/>
  <c r="L2160" i="11"/>
  <c r="K2160" i="11"/>
  <c r="J2160" i="11"/>
  <c r="AC642" i="11"/>
  <c r="AB642" i="11"/>
  <c r="AA642" i="11"/>
  <c r="Z642" i="11"/>
  <c r="Y642" i="11"/>
  <c r="X642" i="11"/>
  <c r="W642" i="11"/>
  <c r="V642" i="11"/>
  <c r="U642" i="11"/>
  <c r="T642" i="11"/>
  <c r="S642" i="11"/>
  <c r="R642" i="11"/>
  <c r="Q642" i="11"/>
  <c r="P642" i="11"/>
  <c r="O642" i="11"/>
  <c r="N642" i="11"/>
  <c r="M642" i="11"/>
  <c r="L642" i="11"/>
  <c r="K642" i="11"/>
  <c r="J642" i="11"/>
  <c r="AC641" i="11"/>
  <c r="AB641" i="11"/>
  <c r="AA641" i="11"/>
  <c r="Z641" i="11"/>
  <c r="Y641" i="11"/>
  <c r="X641" i="11"/>
  <c r="W641" i="11"/>
  <c r="V641" i="11"/>
  <c r="U641" i="11"/>
  <c r="T641" i="11"/>
  <c r="S641" i="11"/>
  <c r="R641" i="11"/>
  <c r="Q641" i="11"/>
  <c r="P641" i="11"/>
  <c r="O641" i="11"/>
  <c r="N641" i="11"/>
  <c r="M641" i="11"/>
  <c r="L641" i="11"/>
  <c r="K641" i="11"/>
  <c r="J641" i="11"/>
  <c r="AC40" i="11"/>
  <c r="AB40" i="11"/>
  <c r="AA40" i="11"/>
  <c r="Z40" i="11"/>
  <c r="Y40" i="11"/>
  <c r="X40" i="11"/>
  <c r="W40" i="11"/>
  <c r="V40" i="11"/>
  <c r="U40" i="11"/>
  <c r="T40" i="11"/>
  <c r="S40" i="11"/>
  <c r="R40" i="11"/>
  <c r="Q40" i="11"/>
  <c r="P40" i="11"/>
  <c r="O40" i="11"/>
  <c r="N40" i="11"/>
  <c r="M40" i="11"/>
  <c r="L40" i="11"/>
  <c r="K40" i="11"/>
  <c r="J40" i="11"/>
  <c r="AC1421" i="11"/>
  <c r="AB1421" i="11"/>
  <c r="AA1421" i="11"/>
  <c r="Z1421" i="11"/>
  <c r="Y1421" i="11"/>
  <c r="X1421" i="11"/>
  <c r="W1421" i="11"/>
  <c r="V1421" i="11"/>
  <c r="U1421" i="11"/>
  <c r="T1421" i="11"/>
  <c r="S1421" i="11"/>
  <c r="R1421" i="11"/>
  <c r="Q1421" i="11"/>
  <c r="P1421" i="11"/>
  <c r="O1421" i="11"/>
  <c r="N1421" i="11"/>
  <c r="M1421" i="11"/>
  <c r="L1421" i="11"/>
  <c r="K1421" i="11"/>
  <c r="J1421" i="11"/>
  <c r="AC1981" i="11"/>
  <c r="AB1981" i="11"/>
  <c r="AA1981" i="11"/>
  <c r="Z1981" i="11"/>
  <c r="Y1981" i="11"/>
  <c r="X1981" i="11"/>
  <c r="W1981" i="11"/>
  <c r="V1981" i="11"/>
  <c r="U1981" i="11"/>
  <c r="T1981" i="11"/>
  <c r="S1981" i="11"/>
  <c r="R1981" i="11"/>
  <c r="Q1981" i="11"/>
  <c r="P1981" i="11"/>
  <c r="O1981" i="11"/>
  <c r="N1981" i="11"/>
  <c r="M1981" i="11"/>
  <c r="L1981" i="11"/>
  <c r="K1981" i="11"/>
  <c r="J1981" i="11"/>
  <c r="AC1745" i="11"/>
  <c r="AB1745" i="11"/>
  <c r="AA1745" i="11"/>
  <c r="Z1745" i="11"/>
  <c r="Y1745" i="11"/>
  <c r="X1745" i="11"/>
  <c r="W1745" i="11"/>
  <c r="V1745" i="11"/>
  <c r="U1745" i="11"/>
  <c r="T1745" i="11"/>
  <c r="S1745" i="11"/>
  <c r="R1745" i="11"/>
  <c r="Q1745" i="11"/>
  <c r="P1745" i="11"/>
  <c r="O1745" i="11"/>
  <c r="N1745" i="11"/>
  <c r="M1745" i="11"/>
  <c r="L1745" i="11"/>
  <c r="K1745" i="11"/>
  <c r="J1745" i="11"/>
  <c r="AC1307" i="11"/>
  <c r="AB1307" i="11"/>
  <c r="AA1307" i="11"/>
  <c r="Z1307" i="11"/>
  <c r="Y1307" i="11"/>
  <c r="X1307" i="11"/>
  <c r="W1307" i="11"/>
  <c r="V1307" i="11"/>
  <c r="U1307" i="11"/>
  <c r="T1307" i="11"/>
  <c r="S1307" i="11"/>
  <c r="R1307" i="11"/>
  <c r="Q1307" i="11"/>
  <c r="P1307" i="11"/>
  <c r="O1307" i="11"/>
  <c r="N1307" i="11"/>
  <c r="M1307" i="11"/>
  <c r="L1307" i="11"/>
  <c r="K1307" i="11"/>
  <c r="J1307" i="11"/>
  <c r="AC1744" i="11"/>
  <c r="AB1744" i="11"/>
  <c r="AA1744" i="11"/>
  <c r="Z1744" i="11"/>
  <c r="Y1744" i="11"/>
  <c r="X1744" i="11"/>
  <c r="W1744" i="11"/>
  <c r="V1744" i="11"/>
  <c r="U1744" i="11"/>
  <c r="T1744" i="11"/>
  <c r="S1744" i="11"/>
  <c r="R1744" i="11"/>
  <c r="Q1744" i="11"/>
  <c r="P1744" i="11"/>
  <c r="O1744" i="11"/>
  <c r="N1744" i="11"/>
  <c r="M1744" i="11"/>
  <c r="L1744" i="11"/>
  <c r="K1744" i="11"/>
  <c r="J1744" i="11"/>
  <c r="AC2135" i="11"/>
  <c r="AB2135" i="11"/>
  <c r="AA2135" i="11"/>
  <c r="Z2135" i="11"/>
  <c r="Y2135" i="11"/>
  <c r="X2135" i="11"/>
  <c r="W2135" i="11"/>
  <c r="V2135" i="11"/>
  <c r="U2135" i="11"/>
  <c r="T2135" i="11"/>
  <c r="S2135" i="11"/>
  <c r="R2135" i="11"/>
  <c r="Q2135" i="11"/>
  <c r="P2135" i="11"/>
  <c r="O2135" i="11"/>
  <c r="N2135" i="11"/>
  <c r="M2135" i="11"/>
  <c r="L2135" i="11"/>
  <c r="K2135" i="11"/>
  <c r="J2135" i="11"/>
  <c r="AC2024" i="11"/>
  <c r="AB2024" i="11"/>
  <c r="AA2024" i="11"/>
  <c r="Z2024" i="11"/>
  <c r="Y2024" i="11"/>
  <c r="X2024" i="11"/>
  <c r="W2024" i="11"/>
  <c r="V2024" i="11"/>
  <c r="U2024" i="11"/>
  <c r="T2024" i="11"/>
  <c r="S2024" i="11"/>
  <c r="R2024" i="11"/>
  <c r="Q2024" i="11"/>
  <c r="P2024" i="11"/>
  <c r="O2024" i="11"/>
  <c r="N2024" i="11"/>
  <c r="M2024" i="11"/>
  <c r="L2024" i="11"/>
  <c r="K2024" i="11"/>
  <c r="J2024" i="11"/>
  <c r="AC133" i="11"/>
  <c r="AB133" i="11"/>
  <c r="AA133" i="11"/>
  <c r="Z133" i="11"/>
  <c r="Y133" i="11"/>
  <c r="X133" i="11"/>
  <c r="W133" i="11"/>
  <c r="V133" i="11"/>
  <c r="U133" i="11"/>
  <c r="T133" i="11"/>
  <c r="S133" i="11"/>
  <c r="R133" i="11"/>
  <c r="Q133" i="11"/>
  <c r="P133" i="11"/>
  <c r="O133" i="11"/>
  <c r="N133" i="11"/>
  <c r="M133" i="11"/>
  <c r="L133" i="11"/>
  <c r="K133" i="11"/>
  <c r="J133" i="11"/>
  <c r="AC2134" i="11"/>
  <c r="AB2134" i="11"/>
  <c r="AA2134" i="11"/>
  <c r="Z2134" i="11"/>
  <c r="Y2134" i="11"/>
  <c r="X2134" i="11"/>
  <c r="W2134" i="11"/>
  <c r="V2134" i="11"/>
  <c r="U2134" i="11"/>
  <c r="T2134" i="11"/>
  <c r="S2134" i="11"/>
  <c r="R2134" i="11"/>
  <c r="Q2134" i="11"/>
  <c r="P2134" i="11"/>
  <c r="O2134" i="11"/>
  <c r="N2134" i="11"/>
  <c r="M2134" i="11"/>
  <c r="L2134" i="11"/>
  <c r="K2134" i="11"/>
  <c r="J2134" i="11"/>
  <c r="AC640" i="11"/>
  <c r="AB640" i="11"/>
  <c r="AA640" i="11"/>
  <c r="Z640" i="11"/>
  <c r="Y640" i="11"/>
  <c r="X640" i="11"/>
  <c r="W640" i="11"/>
  <c r="V640" i="11"/>
  <c r="U640" i="11"/>
  <c r="T640" i="11"/>
  <c r="S640" i="11"/>
  <c r="R640" i="11"/>
  <c r="Q640" i="11"/>
  <c r="P640" i="11"/>
  <c r="O640" i="11"/>
  <c r="N640" i="11"/>
  <c r="M640" i="11"/>
  <c r="L640" i="11"/>
  <c r="K640" i="11"/>
  <c r="J640" i="11"/>
  <c r="AC1637" i="11"/>
  <c r="AB1637" i="11"/>
  <c r="AA1637" i="11"/>
  <c r="Z1637" i="11"/>
  <c r="Y1637" i="11"/>
  <c r="X1637" i="11"/>
  <c r="W1637" i="11"/>
  <c r="V1637" i="11"/>
  <c r="U1637" i="11"/>
  <c r="T1637" i="11"/>
  <c r="S1637" i="11"/>
  <c r="R1637" i="11"/>
  <c r="Q1637" i="11"/>
  <c r="P1637" i="11"/>
  <c r="O1637" i="11"/>
  <c r="N1637" i="11"/>
  <c r="M1637" i="11"/>
  <c r="L1637" i="11"/>
  <c r="K1637" i="11"/>
  <c r="J1637" i="11"/>
  <c r="AC1420" i="11"/>
  <c r="AB1420" i="11"/>
  <c r="AA1420" i="11"/>
  <c r="Z1420" i="11"/>
  <c r="Y1420" i="11"/>
  <c r="X1420" i="11"/>
  <c r="W1420" i="11"/>
  <c r="V1420" i="11"/>
  <c r="U1420" i="11"/>
  <c r="T1420" i="11"/>
  <c r="S1420" i="11"/>
  <c r="R1420" i="11"/>
  <c r="Q1420" i="11"/>
  <c r="P1420" i="11"/>
  <c r="O1420" i="11"/>
  <c r="N1420" i="11"/>
  <c r="M1420" i="11"/>
  <c r="L1420" i="11"/>
  <c r="K1420" i="11"/>
  <c r="J1420" i="11"/>
  <c r="AC399" i="11"/>
  <c r="AB399" i="11"/>
  <c r="AA399" i="11"/>
  <c r="Z399" i="11"/>
  <c r="Y399" i="11"/>
  <c r="X399" i="11"/>
  <c r="W399" i="11"/>
  <c r="V399" i="11"/>
  <c r="U399" i="11"/>
  <c r="T399" i="11"/>
  <c r="S399" i="11"/>
  <c r="R399" i="11"/>
  <c r="Q399" i="11"/>
  <c r="P399" i="11"/>
  <c r="O399" i="11"/>
  <c r="N399" i="11"/>
  <c r="M399" i="11"/>
  <c r="L399" i="11"/>
  <c r="K399" i="11"/>
  <c r="J399" i="11"/>
  <c r="AC949" i="11"/>
  <c r="AB949" i="11"/>
  <c r="AA949" i="11"/>
  <c r="Z949" i="11"/>
  <c r="Y949" i="11"/>
  <c r="X949" i="11"/>
  <c r="W949" i="11"/>
  <c r="V949" i="11"/>
  <c r="U949" i="11"/>
  <c r="T949" i="11"/>
  <c r="S949" i="11"/>
  <c r="R949" i="11"/>
  <c r="Q949" i="11"/>
  <c r="P949" i="11"/>
  <c r="O949" i="11"/>
  <c r="N949" i="11"/>
  <c r="M949" i="11"/>
  <c r="L949" i="11"/>
  <c r="K949" i="11"/>
  <c r="J949" i="11"/>
  <c r="AC1743" i="11"/>
  <c r="AB1743" i="11"/>
  <c r="AA1743" i="11"/>
  <c r="Z1743" i="11"/>
  <c r="Y1743" i="11"/>
  <c r="X1743" i="11"/>
  <c r="W1743" i="11"/>
  <c r="V1743" i="11"/>
  <c r="U1743" i="11"/>
  <c r="T1743" i="11"/>
  <c r="S1743" i="11"/>
  <c r="R1743" i="11"/>
  <c r="Q1743" i="11"/>
  <c r="P1743" i="11"/>
  <c r="O1743" i="11"/>
  <c r="N1743" i="11"/>
  <c r="M1743" i="11"/>
  <c r="L1743" i="11"/>
  <c r="K1743" i="11"/>
  <c r="J1743" i="11"/>
  <c r="AC731" i="11"/>
  <c r="AB731" i="11"/>
  <c r="AA731" i="11"/>
  <c r="Z731" i="11"/>
  <c r="Y731" i="11"/>
  <c r="X731" i="11"/>
  <c r="W731" i="11"/>
  <c r="V731" i="11"/>
  <c r="U731" i="11"/>
  <c r="T731" i="11"/>
  <c r="S731" i="11"/>
  <c r="R731" i="11"/>
  <c r="Q731" i="11"/>
  <c r="P731" i="11"/>
  <c r="O731" i="11"/>
  <c r="N731" i="11"/>
  <c r="M731" i="11"/>
  <c r="L731" i="11"/>
  <c r="K731" i="11"/>
  <c r="J731" i="11"/>
  <c r="AC1473" i="11"/>
  <c r="AB1473" i="11"/>
  <c r="AA1473" i="11"/>
  <c r="Z1473" i="11"/>
  <c r="Y1473" i="11"/>
  <c r="X1473" i="11"/>
  <c r="W1473" i="11"/>
  <c r="V1473" i="11"/>
  <c r="U1473" i="11"/>
  <c r="T1473" i="11"/>
  <c r="S1473" i="11"/>
  <c r="R1473" i="11"/>
  <c r="Q1473" i="11"/>
  <c r="P1473" i="11"/>
  <c r="O1473" i="11"/>
  <c r="N1473" i="11"/>
  <c r="M1473" i="11"/>
  <c r="L1473" i="11"/>
  <c r="K1473" i="11"/>
  <c r="J1473" i="11"/>
  <c r="AC868" i="11"/>
  <c r="AB868" i="11"/>
  <c r="AA868" i="11"/>
  <c r="Z868" i="11"/>
  <c r="Y868" i="11"/>
  <c r="X868" i="11"/>
  <c r="W868" i="11"/>
  <c r="V868" i="11"/>
  <c r="U868" i="11"/>
  <c r="T868" i="11"/>
  <c r="S868" i="11"/>
  <c r="R868" i="11"/>
  <c r="Q868" i="11"/>
  <c r="P868" i="11"/>
  <c r="O868" i="11"/>
  <c r="N868" i="11"/>
  <c r="M868" i="11"/>
  <c r="L868" i="11"/>
  <c r="K868" i="11"/>
  <c r="J868" i="11"/>
  <c r="AC1306" i="11"/>
  <c r="AB1306" i="11"/>
  <c r="AA1306" i="11"/>
  <c r="Z1306" i="11"/>
  <c r="Y1306" i="11"/>
  <c r="X1306" i="11"/>
  <c r="W1306" i="11"/>
  <c r="V1306" i="11"/>
  <c r="U1306" i="11"/>
  <c r="T1306" i="11"/>
  <c r="S1306" i="11"/>
  <c r="R1306" i="11"/>
  <c r="Q1306" i="11"/>
  <c r="P1306" i="11"/>
  <c r="O1306" i="11"/>
  <c r="N1306" i="11"/>
  <c r="M1306" i="11"/>
  <c r="L1306" i="11"/>
  <c r="K1306" i="11"/>
  <c r="J1306" i="11"/>
  <c r="AC1419" i="11"/>
  <c r="AB1419" i="11"/>
  <c r="AA1419" i="11"/>
  <c r="Z1419" i="11"/>
  <c r="Y1419" i="11"/>
  <c r="X1419" i="11"/>
  <c r="W1419" i="11"/>
  <c r="V1419" i="11"/>
  <c r="U1419" i="11"/>
  <c r="T1419" i="11"/>
  <c r="S1419" i="11"/>
  <c r="R1419" i="11"/>
  <c r="Q1419" i="11"/>
  <c r="P1419" i="11"/>
  <c r="O1419" i="11"/>
  <c r="N1419" i="11"/>
  <c r="M1419" i="11"/>
  <c r="L1419" i="11"/>
  <c r="K1419" i="11"/>
  <c r="J1419" i="11"/>
  <c r="AC2103" i="11"/>
  <c r="AB2103" i="11"/>
  <c r="AA2103" i="11"/>
  <c r="Z2103" i="11"/>
  <c r="Y2103" i="11"/>
  <c r="X2103" i="11"/>
  <c r="W2103" i="11"/>
  <c r="V2103" i="11"/>
  <c r="U2103" i="11"/>
  <c r="T2103" i="11"/>
  <c r="S2103" i="11"/>
  <c r="R2103" i="11"/>
  <c r="Q2103" i="11"/>
  <c r="P2103" i="11"/>
  <c r="O2103" i="11"/>
  <c r="N2103" i="11"/>
  <c r="M2103" i="11"/>
  <c r="L2103" i="11"/>
  <c r="K2103" i="11"/>
  <c r="J2103" i="11"/>
  <c r="AC639" i="11"/>
  <c r="AB639" i="11"/>
  <c r="AA639" i="11"/>
  <c r="Z639" i="11"/>
  <c r="Y639" i="11"/>
  <c r="X639" i="11"/>
  <c r="W639" i="11"/>
  <c r="V639" i="11"/>
  <c r="U639" i="11"/>
  <c r="T639" i="11"/>
  <c r="S639" i="11"/>
  <c r="R639" i="11"/>
  <c r="Q639" i="11"/>
  <c r="P639" i="11"/>
  <c r="O639" i="11"/>
  <c r="N639" i="11"/>
  <c r="M639" i="11"/>
  <c r="L639" i="11"/>
  <c r="K639" i="11"/>
  <c r="J639" i="11"/>
  <c r="AC506" i="11"/>
  <c r="AB506" i="11"/>
  <c r="AA506" i="11"/>
  <c r="Z506" i="11"/>
  <c r="Y506" i="11"/>
  <c r="X506" i="11"/>
  <c r="W506" i="11"/>
  <c r="V506" i="11"/>
  <c r="U506" i="11"/>
  <c r="T506" i="11"/>
  <c r="S506" i="11"/>
  <c r="R506" i="11"/>
  <c r="Q506" i="11"/>
  <c r="P506" i="11"/>
  <c r="O506" i="11"/>
  <c r="N506" i="11"/>
  <c r="M506" i="11"/>
  <c r="L506" i="11"/>
  <c r="K506" i="11"/>
  <c r="J506" i="11"/>
  <c r="AC2102" i="11"/>
  <c r="AB2102" i="11"/>
  <c r="AA2102" i="11"/>
  <c r="Z2102" i="11"/>
  <c r="Y2102" i="11"/>
  <c r="X2102" i="11"/>
  <c r="W2102" i="11"/>
  <c r="V2102" i="11"/>
  <c r="U2102" i="11"/>
  <c r="T2102" i="11"/>
  <c r="S2102" i="11"/>
  <c r="R2102" i="11"/>
  <c r="Q2102" i="11"/>
  <c r="P2102" i="11"/>
  <c r="O2102" i="11"/>
  <c r="N2102" i="11"/>
  <c r="M2102" i="11"/>
  <c r="L2102" i="11"/>
  <c r="K2102" i="11"/>
  <c r="J2102" i="11"/>
  <c r="AC1507" i="11"/>
  <c r="AB1507" i="11"/>
  <c r="AA1507" i="11"/>
  <c r="Z1507" i="11"/>
  <c r="Y1507" i="11"/>
  <c r="X1507" i="11"/>
  <c r="W1507" i="11"/>
  <c r="V1507" i="11"/>
  <c r="U1507" i="11"/>
  <c r="T1507" i="11"/>
  <c r="S1507" i="11"/>
  <c r="R1507" i="11"/>
  <c r="Q1507" i="11"/>
  <c r="P1507" i="11"/>
  <c r="O1507" i="11"/>
  <c r="N1507" i="11"/>
  <c r="M1507" i="11"/>
  <c r="L1507" i="11"/>
  <c r="K1507" i="11"/>
  <c r="J1507" i="11"/>
  <c r="AC1506" i="11"/>
  <c r="AB1506" i="11"/>
  <c r="AA1506" i="11"/>
  <c r="Z1506" i="11"/>
  <c r="Y1506" i="11"/>
  <c r="X1506" i="11"/>
  <c r="W1506" i="11"/>
  <c r="V1506" i="11"/>
  <c r="U1506" i="11"/>
  <c r="T1506" i="11"/>
  <c r="S1506" i="11"/>
  <c r="R1506" i="11"/>
  <c r="Q1506" i="11"/>
  <c r="P1506" i="11"/>
  <c r="O1506" i="11"/>
  <c r="N1506" i="11"/>
  <c r="M1506" i="11"/>
  <c r="L1506" i="11"/>
  <c r="K1506" i="11"/>
  <c r="J1506" i="11"/>
  <c r="AC1695" i="11"/>
  <c r="AB1695" i="11"/>
  <c r="AA1695" i="11"/>
  <c r="Z1695" i="11"/>
  <c r="Y1695" i="11"/>
  <c r="X1695" i="11"/>
  <c r="W1695" i="11"/>
  <c r="V1695" i="11"/>
  <c r="U1695" i="11"/>
  <c r="T1695" i="11"/>
  <c r="S1695" i="11"/>
  <c r="R1695" i="11"/>
  <c r="Q1695" i="11"/>
  <c r="P1695" i="11"/>
  <c r="O1695" i="11"/>
  <c r="N1695" i="11"/>
  <c r="M1695" i="11"/>
  <c r="L1695" i="11"/>
  <c r="K1695" i="11"/>
  <c r="J1695" i="11"/>
  <c r="AC232" i="11"/>
  <c r="AB232" i="11"/>
  <c r="AA232" i="11"/>
  <c r="Z232" i="11"/>
  <c r="Y232" i="11"/>
  <c r="X232" i="11"/>
  <c r="W232" i="11"/>
  <c r="V232" i="11"/>
  <c r="U232" i="11"/>
  <c r="T232" i="11"/>
  <c r="S232" i="11"/>
  <c r="R232" i="11"/>
  <c r="Q232" i="11"/>
  <c r="P232" i="11"/>
  <c r="O232" i="11"/>
  <c r="N232" i="11"/>
  <c r="M232" i="11"/>
  <c r="L232" i="11"/>
  <c r="K232" i="11"/>
  <c r="J232" i="11"/>
  <c r="AC1194" i="11"/>
  <c r="AB1194" i="11"/>
  <c r="AA1194" i="11"/>
  <c r="Z1194" i="11"/>
  <c r="Y1194" i="11"/>
  <c r="X1194" i="11"/>
  <c r="W1194" i="11"/>
  <c r="V1194" i="11"/>
  <c r="U1194" i="11"/>
  <c r="T1194" i="11"/>
  <c r="S1194" i="11"/>
  <c r="R1194" i="11"/>
  <c r="Q1194" i="11"/>
  <c r="P1194" i="11"/>
  <c r="O1194" i="11"/>
  <c r="N1194" i="11"/>
  <c r="M1194" i="11"/>
  <c r="L1194" i="11"/>
  <c r="K1194" i="11"/>
  <c r="J1194" i="11"/>
  <c r="AC505" i="11"/>
  <c r="AB505" i="11"/>
  <c r="AA505" i="11"/>
  <c r="Z505" i="11"/>
  <c r="Y505" i="11"/>
  <c r="X505" i="11"/>
  <c r="W505" i="11"/>
  <c r="V505" i="11"/>
  <c r="U505" i="11"/>
  <c r="T505" i="11"/>
  <c r="S505" i="11"/>
  <c r="R505" i="11"/>
  <c r="Q505" i="11"/>
  <c r="P505" i="11"/>
  <c r="O505" i="11"/>
  <c r="N505" i="11"/>
  <c r="M505" i="11"/>
  <c r="L505" i="11"/>
  <c r="K505" i="11"/>
  <c r="J505" i="11"/>
  <c r="AC1026" i="11"/>
  <c r="AB1026" i="11"/>
  <c r="AA1026" i="11"/>
  <c r="Z1026" i="11"/>
  <c r="Y1026" i="11"/>
  <c r="X1026" i="11"/>
  <c r="W1026" i="11"/>
  <c r="V1026" i="11"/>
  <c r="U1026" i="11"/>
  <c r="T1026" i="11"/>
  <c r="S1026" i="11"/>
  <c r="R1026" i="11"/>
  <c r="Q1026" i="11"/>
  <c r="P1026" i="11"/>
  <c r="O1026" i="11"/>
  <c r="N1026" i="11"/>
  <c r="M1026" i="11"/>
  <c r="L1026" i="11"/>
  <c r="K1026" i="11"/>
  <c r="J1026" i="11"/>
  <c r="AC1305" i="11"/>
  <c r="AB1305" i="11"/>
  <c r="AA1305" i="11"/>
  <c r="Z1305" i="11"/>
  <c r="Y1305" i="11"/>
  <c r="X1305" i="11"/>
  <c r="W1305" i="11"/>
  <c r="V1305" i="11"/>
  <c r="U1305" i="11"/>
  <c r="T1305" i="11"/>
  <c r="S1305" i="11"/>
  <c r="R1305" i="11"/>
  <c r="Q1305" i="11"/>
  <c r="P1305" i="11"/>
  <c r="O1305" i="11"/>
  <c r="N1305" i="11"/>
  <c r="M1305" i="11"/>
  <c r="L1305" i="11"/>
  <c r="K1305" i="11"/>
  <c r="J1305" i="11"/>
  <c r="AC1565" i="11"/>
  <c r="AB1565" i="11"/>
  <c r="AA1565" i="11"/>
  <c r="Z1565" i="11"/>
  <c r="Y1565" i="11"/>
  <c r="X1565" i="11"/>
  <c r="W1565" i="11"/>
  <c r="V1565" i="11"/>
  <c r="U1565" i="11"/>
  <c r="T1565" i="11"/>
  <c r="S1565" i="11"/>
  <c r="R1565" i="11"/>
  <c r="Q1565" i="11"/>
  <c r="P1565" i="11"/>
  <c r="O1565" i="11"/>
  <c r="N1565" i="11"/>
  <c r="M1565" i="11"/>
  <c r="L1565" i="11"/>
  <c r="K1565" i="11"/>
  <c r="J1565" i="11"/>
  <c r="AC730" i="11"/>
  <c r="AB730" i="11"/>
  <c r="AA730" i="11"/>
  <c r="Z730" i="11"/>
  <c r="Y730" i="11"/>
  <c r="X730" i="11"/>
  <c r="W730" i="11"/>
  <c r="V730" i="11"/>
  <c r="U730" i="11"/>
  <c r="T730" i="11"/>
  <c r="S730" i="11"/>
  <c r="R730" i="11"/>
  <c r="Q730" i="11"/>
  <c r="P730" i="11"/>
  <c r="O730" i="11"/>
  <c r="N730" i="11"/>
  <c r="M730" i="11"/>
  <c r="L730" i="11"/>
  <c r="K730" i="11"/>
  <c r="J730" i="11"/>
  <c r="AC729" i="11"/>
  <c r="AB729" i="11"/>
  <c r="AA729" i="11"/>
  <c r="Z729" i="11"/>
  <c r="Y729" i="11"/>
  <c r="X729" i="11"/>
  <c r="W729" i="11"/>
  <c r="V729" i="11"/>
  <c r="U729" i="11"/>
  <c r="T729" i="11"/>
  <c r="S729" i="11"/>
  <c r="R729" i="11"/>
  <c r="Q729" i="11"/>
  <c r="P729" i="11"/>
  <c r="O729" i="11"/>
  <c r="N729" i="11"/>
  <c r="M729" i="11"/>
  <c r="L729" i="11"/>
  <c r="K729" i="11"/>
  <c r="J729" i="11"/>
  <c r="AC1890" i="11"/>
  <c r="AB1890" i="11"/>
  <c r="AA1890" i="11"/>
  <c r="Z1890" i="11"/>
  <c r="Y1890" i="11"/>
  <c r="X1890" i="11"/>
  <c r="W1890" i="11"/>
  <c r="V1890" i="11"/>
  <c r="U1890" i="11"/>
  <c r="T1890" i="11"/>
  <c r="S1890" i="11"/>
  <c r="R1890" i="11"/>
  <c r="Q1890" i="11"/>
  <c r="P1890" i="11"/>
  <c r="O1890" i="11"/>
  <c r="N1890" i="11"/>
  <c r="M1890" i="11"/>
  <c r="L1890" i="11"/>
  <c r="K1890" i="11"/>
  <c r="J1890" i="11"/>
  <c r="AC867" i="11"/>
  <c r="AB867" i="11"/>
  <c r="AA867" i="11"/>
  <c r="Z867" i="11"/>
  <c r="Y867" i="11"/>
  <c r="X867" i="11"/>
  <c r="W867" i="11"/>
  <c r="V867" i="11"/>
  <c r="U867" i="11"/>
  <c r="T867" i="11"/>
  <c r="S867" i="11"/>
  <c r="R867" i="11"/>
  <c r="Q867" i="11"/>
  <c r="P867" i="11"/>
  <c r="O867" i="11"/>
  <c r="N867" i="11"/>
  <c r="M867" i="11"/>
  <c r="L867" i="11"/>
  <c r="K867" i="11"/>
  <c r="J867" i="11"/>
  <c r="AC1787" i="11"/>
  <c r="AB1787" i="11"/>
  <c r="AA1787" i="11"/>
  <c r="Z1787" i="11"/>
  <c r="Y1787" i="11"/>
  <c r="X1787" i="11"/>
  <c r="W1787" i="11"/>
  <c r="V1787" i="11"/>
  <c r="U1787" i="11"/>
  <c r="T1787" i="11"/>
  <c r="S1787" i="11"/>
  <c r="R1787" i="11"/>
  <c r="Q1787" i="11"/>
  <c r="P1787" i="11"/>
  <c r="O1787" i="11"/>
  <c r="N1787" i="11"/>
  <c r="M1787" i="11"/>
  <c r="L1787" i="11"/>
  <c r="K1787" i="11"/>
  <c r="J1787" i="11"/>
  <c r="AC1694" i="11"/>
  <c r="AB1694" i="11"/>
  <c r="AA1694" i="11"/>
  <c r="Z1694" i="11"/>
  <c r="Y1694" i="11"/>
  <c r="X1694" i="11"/>
  <c r="W1694" i="11"/>
  <c r="V1694" i="11"/>
  <c r="U1694" i="11"/>
  <c r="T1694" i="11"/>
  <c r="S1694" i="11"/>
  <c r="R1694" i="11"/>
  <c r="Q1694" i="11"/>
  <c r="P1694" i="11"/>
  <c r="O1694" i="11"/>
  <c r="N1694" i="11"/>
  <c r="M1694" i="11"/>
  <c r="L1694" i="11"/>
  <c r="K1694" i="11"/>
  <c r="J1694" i="11"/>
  <c r="AC1940" i="11"/>
  <c r="AB1940" i="11"/>
  <c r="AA1940" i="11"/>
  <c r="Z1940" i="11"/>
  <c r="Y1940" i="11"/>
  <c r="X1940" i="11"/>
  <c r="W1940" i="11"/>
  <c r="V1940" i="11"/>
  <c r="U1940" i="11"/>
  <c r="T1940" i="11"/>
  <c r="S1940" i="11"/>
  <c r="R1940" i="11"/>
  <c r="Q1940" i="11"/>
  <c r="P1940" i="11"/>
  <c r="O1940" i="11"/>
  <c r="N1940" i="11"/>
  <c r="M1940" i="11"/>
  <c r="L1940" i="11"/>
  <c r="K1940" i="11"/>
  <c r="J1940" i="11"/>
  <c r="AC1025" i="11"/>
  <c r="AB1025" i="11"/>
  <c r="AA1025" i="11"/>
  <c r="Z1025" i="11"/>
  <c r="Y1025" i="11"/>
  <c r="X1025" i="11"/>
  <c r="W1025" i="11"/>
  <c r="V1025" i="11"/>
  <c r="U1025" i="11"/>
  <c r="T1025" i="11"/>
  <c r="S1025" i="11"/>
  <c r="R1025" i="11"/>
  <c r="Q1025" i="11"/>
  <c r="P1025" i="11"/>
  <c r="O1025" i="11"/>
  <c r="N1025" i="11"/>
  <c r="M1025" i="11"/>
  <c r="L1025" i="11"/>
  <c r="K1025" i="11"/>
  <c r="J1025" i="11"/>
  <c r="AC1841" i="11"/>
  <c r="AB1841" i="11"/>
  <c r="AA1841" i="11"/>
  <c r="Z1841" i="11"/>
  <c r="Y1841" i="11"/>
  <c r="X1841" i="11"/>
  <c r="W1841" i="11"/>
  <c r="V1841" i="11"/>
  <c r="U1841" i="11"/>
  <c r="T1841" i="11"/>
  <c r="S1841" i="11"/>
  <c r="R1841" i="11"/>
  <c r="Q1841" i="11"/>
  <c r="P1841" i="11"/>
  <c r="O1841" i="11"/>
  <c r="N1841" i="11"/>
  <c r="M1841" i="11"/>
  <c r="L1841" i="11"/>
  <c r="K1841" i="11"/>
  <c r="J1841" i="11"/>
  <c r="AC798" i="11"/>
  <c r="AB798" i="11"/>
  <c r="AA798" i="11"/>
  <c r="Z798" i="11"/>
  <c r="Y798" i="11"/>
  <c r="X798" i="11"/>
  <c r="W798" i="11"/>
  <c r="V798" i="11"/>
  <c r="U798" i="11"/>
  <c r="T798" i="11"/>
  <c r="S798" i="11"/>
  <c r="R798" i="11"/>
  <c r="Q798" i="11"/>
  <c r="P798" i="11"/>
  <c r="O798" i="11"/>
  <c r="N798" i="11"/>
  <c r="M798" i="11"/>
  <c r="L798" i="11"/>
  <c r="K798" i="11"/>
  <c r="J798" i="11"/>
  <c r="AC1742" i="11"/>
  <c r="AB1742" i="11"/>
  <c r="AA1742" i="11"/>
  <c r="Z1742" i="11"/>
  <c r="Y1742" i="11"/>
  <c r="X1742" i="11"/>
  <c r="W1742" i="11"/>
  <c r="V1742" i="11"/>
  <c r="U1742" i="11"/>
  <c r="T1742" i="11"/>
  <c r="S1742" i="11"/>
  <c r="R1742" i="11"/>
  <c r="Q1742" i="11"/>
  <c r="P1742" i="11"/>
  <c r="O1742" i="11"/>
  <c r="N1742" i="11"/>
  <c r="M1742" i="11"/>
  <c r="L1742" i="11"/>
  <c r="K1742" i="11"/>
  <c r="J1742" i="11"/>
  <c r="AC1939" i="11"/>
  <c r="AB1939" i="11"/>
  <c r="AA1939" i="11"/>
  <c r="Z1939" i="11"/>
  <c r="Y1939" i="11"/>
  <c r="X1939" i="11"/>
  <c r="W1939" i="11"/>
  <c r="V1939" i="11"/>
  <c r="U1939" i="11"/>
  <c r="T1939" i="11"/>
  <c r="S1939" i="11"/>
  <c r="R1939" i="11"/>
  <c r="Q1939" i="11"/>
  <c r="P1939" i="11"/>
  <c r="O1939" i="11"/>
  <c r="N1939" i="11"/>
  <c r="M1939" i="11"/>
  <c r="L1939" i="11"/>
  <c r="K1939" i="11"/>
  <c r="J1939" i="11"/>
  <c r="AC1693" i="11"/>
  <c r="AB1693" i="11"/>
  <c r="AA1693" i="11"/>
  <c r="Z1693" i="11"/>
  <c r="Y1693" i="11"/>
  <c r="X1693" i="11"/>
  <c r="W1693" i="11"/>
  <c r="V1693" i="11"/>
  <c r="U1693" i="11"/>
  <c r="T1693" i="11"/>
  <c r="S1693" i="11"/>
  <c r="R1693" i="11"/>
  <c r="Q1693" i="11"/>
  <c r="P1693" i="11"/>
  <c r="O1693" i="11"/>
  <c r="N1693" i="11"/>
  <c r="M1693" i="11"/>
  <c r="L1693" i="11"/>
  <c r="K1693" i="11"/>
  <c r="J1693" i="11"/>
  <c r="AC504" i="11"/>
  <c r="AB504" i="11"/>
  <c r="AA504" i="11"/>
  <c r="Z504" i="11"/>
  <c r="Y504" i="11"/>
  <c r="X504" i="11"/>
  <c r="W504" i="11"/>
  <c r="V504" i="11"/>
  <c r="U504" i="11"/>
  <c r="T504" i="11"/>
  <c r="S504" i="11"/>
  <c r="R504" i="11"/>
  <c r="Q504" i="11"/>
  <c r="P504" i="11"/>
  <c r="O504" i="11"/>
  <c r="N504" i="11"/>
  <c r="M504" i="11"/>
  <c r="L504" i="11"/>
  <c r="K504" i="11"/>
  <c r="J504" i="11"/>
  <c r="AC1119" i="11"/>
  <c r="AB1119" i="11"/>
  <c r="AA1119" i="11"/>
  <c r="Z1119" i="11"/>
  <c r="Y1119" i="11"/>
  <c r="X1119" i="11"/>
  <c r="W1119" i="11"/>
  <c r="V1119" i="11"/>
  <c r="U1119" i="11"/>
  <c r="T1119" i="11"/>
  <c r="S1119" i="11"/>
  <c r="R1119" i="11"/>
  <c r="Q1119" i="11"/>
  <c r="P1119" i="11"/>
  <c r="O1119" i="11"/>
  <c r="N1119" i="11"/>
  <c r="M1119" i="11"/>
  <c r="L1119" i="11"/>
  <c r="K1119" i="11"/>
  <c r="J1119" i="11"/>
  <c r="AC728" i="11"/>
  <c r="AB728" i="11"/>
  <c r="AA728" i="11"/>
  <c r="Z728" i="11"/>
  <c r="Y728" i="11"/>
  <c r="X728" i="11"/>
  <c r="W728" i="11"/>
  <c r="V728" i="11"/>
  <c r="U728" i="11"/>
  <c r="T728" i="11"/>
  <c r="S728" i="11"/>
  <c r="R728" i="11"/>
  <c r="Q728" i="11"/>
  <c r="P728" i="11"/>
  <c r="O728" i="11"/>
  <c r="N728" i="11"/>
  <c r="M728" i="11"/>
  <c r="L728" i="11"/>
  <c r="K728" i="11"/>
  <c r="J728" i="11"/>
  <c r="AC638" i="11"/>
  <c r="AB638" i="11"/>
  <c r="AA638" i="11"/>
  <c r="Z638" i="11"/>
  <c r="Y638" i="11"/>
  <c r="X638" i="11"/>
  <c r="W638" i="11"/>
  <c r="V638" i="11"/>
  <c r="U638" i="11"/>
  <c r="T638" i="11"/>
  <c r="S638" i="11"/>
  <c r="R638" i="11"/>
  <c r="Q638" i="11"/>
  <c r="P638" i="11"/>
  <c r="O638" i="11"/>
  <c r="N638" i="11"/>
  <c r="M638" i="11"/>
  <c r="L638" i="11"/>
  <c r="K638" i="11"/>
  <c r="J638" i="11"/>
  <c r="AC1840" i="11"/>
  <c r="AB1840" i="11"/>
  <c r="AA1840" i="11"/>
  <c r="Z1840" i="11"/>
  <c r="Y1840" i="11"/>
  <c r="X1840" i="11"/>
  <c r="W1840" i="11"/>
  <c r="V1840" i="11"/>
  <c r="U1840" i="11"/>
  <c r="T1840" i="11"/>
  <c r="S1840" i="11"/>
  <c r="R1840" i="11"/>
  <c r="Q1840" i="11"/>
  <c r="P1840" i="11"/>
  <c r="O1840" i="11"/>
  <c r="N1840" i="11"/>
  <c r="M1840" i="11"/>
  <c r="L1840" i="11"/>
  <c r="K1840" i="11"/>
  <c r="J1840" i="11"/>
  <c r="AC1786" i="11"/>
  <c r="AB1786" i="11"/>
  <c r="AA1786" i="11"/>
  <c r="Z1786" i="11"/>
  <c r="Y1786" i="11"/>
  <c r="X1786" i="11"/>
  <c r="W1786" i="11"/>
  <c r="V1786" i="11"/>
  <c r="U1786" i="11"/>
  <c r="T1786" i="11"/>
  <c r="S1786" i="11"/>
  <c r="R1786" i="11"/>
  <c r="Q1786" i="11"/>
  <c r="P1786" i="11"/>
  <c r="O1786" i="11"/>
  <c r="N1786" i="11"/>
  <c r="M1786" i="11"/>
  <c r="L1786" i="11"/>
  <c r="K1786" i="11"/>
  <c r="J1786" i="11"/>
  <c r="AC727" i="11"/>
  <c r="AB727" i="11"/>
  <c r="AA727" i="11"/>
  <c r="Z727" i="11"/>
  <c r="Y727" i="11"/>
  <c r="X727" i="11"/>
  <c r="W727" i="11"/>
  <c r="V727" i="11"/>
  <c r="U727" i="11"/>
  <c r="T727" i="11"/>
  <c r="S727" i="11"/>
  <c r="R727" i="11"/>
  <c r="Q727" i="11"/>
  <c r="P727" i="11"/>
  <c r="O727" i="11"/>
  <c r="N727" i="11"/>
  <c r="M727" i="11"/>
  <c r="L727" i="11"/>
  <c r="K727" i="11"/>
  <c r="J727" i="11"/>
  <c r="AC2070" i="11"/>
  <c r="AB2070" i="11"/>
  <c r="AA2070" i="11"/>
  <c r="Z2070" i="11"/>
  <c r="Y2070" i="11"/>
  <c r="X2070" i="11"/>
  <c r="W2070" i="11"/>
  <c r="V2070" i="11"/>
  <c r="U2070" i="11"/>
  <c r="T2070" i="11"/>
  <c r="S2070" i="11"/>
  <c r="R2070" i="11"/>
  <c r="Q2070" i="11"/>
  <c r="P2070" i="11"/>
  <c r="O2070" i="11"/>
  <c r="N2070" i="11"/>
  <c r="M2070" i="11"/>
  <c r="L2070" i="11"/>
  <c r="K2070" i="11"/>
  <c r="J2070" i="11"/>
  <c r="AC637" i="11"/>
  <c r="AB637" i="11"/>
  <c r="AA637" i="11"/>
  <c r="Z637" i="11"/>
  <c r="Y637" i="11"/>
  <c r="X637" i="11"/>
  <c r="W637" i="11"/>
  <c r="V637" i="11"/>
  <c r="U637" i="11"/>
  <c r="T637" i="11"/>
  <c r="S637" i="11"/>
  <c r="R637" i="11"/>
  <c r="Q637" i="11"/>
  <c r="P637" i="11"/>
  <c r="O637" i="11"/>
  <c r="N637" i="11"/>
  <c r="M637" i="11"/>
  <c r="L637" i="11"/>
  <c r="K637" i="11"/>
  <c r="J637" i="11"/>
  <c r="AC797" i="11"/>
  <c r="AB797" i="11"/>
  <c r="AA797" i="11"/>
  <c r="Z797" i="11"/>
  <c r="Y797" i="11"/>
  <c r="X797" i="11"/>
  <c r="W797" i="11"/>
  <c r="V797" i="11"/>
  <c r="U797" i="11"/>
  <c r="T797" i="11"/>
  <c r="S797" i="11"/>
  <c r="R797" i="11"/>
  <c r="Q797" i="11"/>
  <c r="P797" i="11"/>
  <c r="O797" i="11"/>
  <c r="N797" i="11"/>
  <c r="M797" i="11"/>
  <c r="L797" i="11"/>
  <c r="K797" i="11"/>
  <c r="J797" i="11"/>
  <c r="AC1193" i="11"/>
  <c r="AB1193" i="11"/>
  <c r="AA1193" i="11"/>
  <c r="Z1193" i="11"/>
  <c r="Y1193" i="11"/>
  <c r="X1193" i="11"/>
  <c r="W1193" i="11"/>
  <c r="V1193" i="11"/>
  <c r="U1193" i="11"/>
  <c r="T1193" i="11"/>
  <c r="S1193" i="11"/>
  <c r="R1193" i="11"/>
  <c r="Q1193" i="11"/>
  <c r="P1193" i="11"/>
  <c r="O1193" i="11"/>
  <c r="N1193" i="11"/>
  <c r="M1193" i="11"/>
  <c r="L1193" i="11"/>
  <c r="K1193" i="11"/>
  <c r="J1193" i="11"/>
  <c r="AC1505" i="11"/>
  <c r="AB1505" i="11"/>
  <c r="AA1505" i="11"/>
  <c r="Z1505" i="11"/>
  <c r="Y1505" i="11"/>
  <c r="X1505" i="11"/>
  <c r="W1505" i="11"/>
  <c r="V1505" i="11"/>
  <c r="U1505" i="11"/>
  <c r="T1505" i="11"/>
  <c r="S1505" i="11"/>
  <c r="R1505" i="11"/>
  <c r="Q1505" i="11"/>
  <c r="P1505" i="11"/>
  <c r="O1505" i="11"/>
  <c r="N1505" i="11"/>
  <c r="M1505" i="11"/>
  <c r="L1505" i="11"/>
  <c r="K1505" i="11"/>
  <c r="J1505" i="11"/>
  <c r="AC1692" i="11"/>
  <c r="AB1692" i="11"/>
  <c r="AA1692" i="11"/>
  <c r="Z1692" i="11"/>
  <c r="Y1692" i="11"/>
  <c r="X1692" i="11"/>
  <c r="W1692" i="11"/>
  <c r="V1692" i="11"/>
  <c r="U1692" i="11"/>
  <c r="T1692" i="11"/>
  <c r="S1692" i="11"/>
  <c r="R1692" i="11"/>
  <c r="Q1692" i="11"/>
  <c r="P1692" i="11"/>
  <c r="O1692" i="11"/>
  <c r="N1692" i="11"/>
  <c r="M1692" i="11"/>
  <c r="L1692" i="11"/>
  <c r="K1692" i="11"/>
  <c r="J1692" i="11"/>
  <c r="AC1980" i="11"/>
  <c r="AB1980" i="11"/>
  <c r="AA1980" i="11"/>
  <c r="Z1980" i="11"/>
  <c r="Y1980" i="11"/>
  <c r="X1980" i="11"/>
  <c r="W1980" i="11"/>
  <c r="V1980" i="11"/>
  <c r="U1980" i="11"/>
  <c r="T1980" i="11"/>
  <c r="S1980" i="11"/>
  <c r="R1980" i="11"/>
  <c r="Q1980" i="11"/>
  <c r="P1980" i="11"/>
  <c r="O1980" i="11"/>
  <c r="N1980" i="11"/>
  <c r="M1980" i="11"/>
  <c r="L1980" i="11"/>
  <c r="K1980" i="11"/>
  <c r="J1980" i="11"/>
  <c r="AC1979" i="11"/>
  <c r="AB1979" i="11"/>
  <c r="AA1979" i="11"/>
  <c r="Z1979" i="11"/>
  <c r="Y1979" i="11"/>
  <c r="X1979" i="11"/>
  <c r="W1979" i="11"/>
  <c r="V1979" i="11"/>
  <c r="U1979" i="11"/>
  <c r="T1979" i="11"/>
  <c r="S1979" i="11"/>
  <c r="R1979" i="11"/>
  <c r="Q1979" i="11"/>
  <c r="P1979" i="11"/>
  <c r="O1979" i="11"/>
  <c r="N1979" i="11"/>
  <c r="M1979" i="11"/>
  <c r="L1979" i="11"/>
  <c r="K1979" i="11"/>
  <c r="J1979" i="11"/>
  <c r="AC2023" i="11"/>
  <c r="AB2023" i="11"/>
  <c r="AA2023" i="11"/>
  <c r="Z2023" i="11"/>
  <c r="Y2023" i="11"/>
  <c r="X2023" i="11"/>
  <c r="W2023" i="11"/>
  <c r="V2023" i="11"/>
  <c r="U2023" i="11"/>
  <c r="T2023" i="11"/>
  <c r="S2023" i="11"/>
  <c r="R2023" i="11"/>
  <c r="Q2023" i="11"/>
  <c r="P2023" i="11"/>
  <c r="O2023" i="11"/>
  <c r="N2023" i="11"/>
  <c r="M2023" i="11"/>
  <c r="L2023" i="11"/>
  <c r="K2023" i="11"/>
  <c r="J2023" i="11"/>
  <c r="AC948" i="11"/>
  <c r="AB948" i="11"/>
  <c r="AA948" i="11"/>
  <c r="Z948" i="11"/>
  <c r="Y948" i="11"/>
  <c r="X948" i="11"/>
  <c r="W948" i="11"/>
  <c r="V948" i="11"/>
  <c r="U948" i="11"/>
  <c r="T948" i="11"/>
  <c r="S948" i="11"/>
  <c r="R948" i="11"/>
  <c r="Q948" i="11"/>
  <c r="P948" i="11"/>
  <c r="O948" i="11"/>
  <c r="N948" i="11"/>
  <c r="M948" i="11"/>
  <c r="L948" i="11"/>
  <c r="K948" i="11"/>
  <c r="J948" i="11"/>
  <c r="AC2069" i="11"/>
  <c r="AB2069" i="11"/>
  <c r="AA2069" i="11"/>
  <c r="Z2069" i="11"/>
  <c r="Y2069" i="11"/>
  <c r="X2069" i="11"/>
  <c r="W2069" i="11"/>
  <c r="V2069" i="11"/>
  <c r="U2069" i="11"/>
  <c r="T2069" i="11"/>
  <c r="S2069" i="11"/>
  <c r="R2069" i="11"/>
  <c r="Q2069" i="11"/>
  <c r="P2069" i="11"/>
  <c r="O2069" i="11"/>
  <c r="N2069" i="11"/>
  <c r="M2069" i="11"/>
  <c r="L2069" i="11"/>
  <c r="K2069" i="11"/>
  <c r="J2069" i="11"/>
  <c r="AC1418" i="11"/>
  <c r="AB1418" i="11"/>
  <c r="AA1418" i="11"/>
  <c r="Z1418" i="11"/>
  <c r="Y1418" i="11"/>
  <c r="X1418" i="11"/>
  <c r="W1418" i="11"/>
  <c r="V1418" i="11"/>
  <c r="U1418" i="11"/>
  <c r="T1418" i="11"/>
  <c r="S1418" i="11"/>
  <c r="R1418" i="11"/>
  <c r="Q1418" i="11"/>
  <c r="P1418" i="11"/>
  <c r="O1418" i="11"/>
  <c r="N1418" i="11"/>
  <c r="M1418" i="11"/>
  <c r="L1418" i="11"/>
  <c r="K1418" i="11"/>
  <c r="J1418" i="11"/>
  <c r="AC636" i="11"/>
  <c r="AB636" i="11"/>
  <c r="AA636" i="11"/>
  <c r="Z636" i="11"/>
  <c r="Y636" i="11"/>
  <c r="X636" i="11"/>
  <c r="W636" i="11"/>
  <c r="V636" i="11"/>
  <c r="U636" i="11"/>
  <c r="T636" i="11"/>
  <c r="S636" i="11"/>
  <c r="R636" i="11"/>
  <c r="Q636" i="11"/>
  <c r="P636" i="11"/>
  <c r="O636" i="11"/>
  <c r="N636" i="11"/>
  <c r="M636" i="11"/>
  <c r="L636" i="11"/>
  <c r="K636" i="11"/>
  <c r="J636" i="11"/>
  <c r="AC1889" i="11"/>
  <c r="AB1889" i="11"/>
  <c r="AA1889" i="11"/>
  <c r="Z1889" i="11"/>
  <c r="Y1889" i="11"/>
  <c r="X1889" i="11"/>
  <c r="W1889" i="11"/>
  <c r="V1889" i="11"/>
  <c r="U1889" i="11"/>
  <c r="T1889" i="11"/>
  <c r="S1889" i="11"/>
  <c r="R1889" i="11"/>
  <c r="Q1889" i="11"/>
  <c r="P1889" i="11"/>
  <c r="O1889" i="11"/>
  <c r="N1889" i="11"/>
  <c r="M1889" i="11"/>
  <c r="L1889" i="11"/>
  <c r="K1889" i="11"/>
  <c r="J1889" i="11"/>
  <c r="AC1741" i="11"/>
  <c r="AB1741" i="11"/>
  <c r="AA1741" i="11"/>
  <c r="Z1741" i="11"/>
  <c r="Y1741" i="11"/>
  <c r="X1741" i="11"/>
  <c r="W1741" i="11"/>
  <c r="V1741" i="11"/>
  <c r="U1741" i="11"/>
  <c r="T1741" i="11"/>
  <c r="S1741" i="11"/>
  <c r="R1741" i="11"/>
  <c r="Q1741" i="11"/>
  <c r="P1741" i="11"/>
  <c r="O1741" i="11"/>
  <c r="N1741" i="11"/>
  <c r="M1741" i="11"/>
  <c r="L1741" i="11"/>
  <c r="K1741" i="11"/>
  <c r="J1741" i="11"/>
  <c r="AC1740" i="11"/>
  <c r="AB1740" i="11"/>
  <c r="AA1740" i="11"/>
  <c r="Z1740" i="11"/>
  <c r="Y1740" i="11"/>
  <c r="X1740" i="11"/>
  <c r="W1740" i="11"/>
  <c r="V1740" i="11"/>
  <c r="U1740" i="11"/>
  <c r="T1740" i="11"/>
  <c r="S1740" i="11"/>
  <c r="R1740" i="11"/>
  <c r="Q1740" i="11"/>
  <c r="P1740" i="11"/>
  <c r="O1740" i="11"/>
  <c r="N1740" i="11"/>
  <c r="M1740" i="11"/>
  <c r="L1740" i="11"/>
  <c r="K1740" i="11"/>
  <c r="J1740" i="11"/>
  <c r="AC199" i="11"/>
  <c r="AB199" i="11"/>
  <c r="AA199" i="11"/>
  <c r="Z199" i="11"/>
  <c r="Y199" i="11"/>
  <c r="X199" i="11"/>
  <c r="W199" i="11"/>
  <c r="V199" i="11"/>
  <c r="U199" i="11"/>
  <c r="T199" i="11"/>
  <c r="S199" i="11"/>
  <c r="R199" i="11"/>
  <c r="Q199" i="11"/>
  <c r="P199" i="11"/>
  <c r="O199" i="11"/>
  <c r="N199" i="11"/>
  <c r="M199" i="11"/>
  <c r="L199" i="11"/>
  <c r="K199" i="11"/>
  <c r="J199" i="11"/>
  <c r="AC635" i="11"/>
  <c r="AB635" i="11"/>
  <c r="AA635" i="11"/>
  <c r="Z635" i="11"/>
  <c r="Y635" i="11"/>
  <c r="X635" i="11"/>
  <c r="W635" i="11"/>
  <c r="V635" i="11"/>
  <c r="U635" i="11"/>
  <c r="T635" i="11"/>
  <c r="S635" i="11"/>
  <c r="R635" i="11"/>
  <c r="Q635" i="11"/>
  <c r="P635" i="11"/>
  <c r="O635" i="11"/>
  <c r="N635" i="11"/>
  <c r="M635" i="11"/>
  <c r="L635" i="11"/>
  <c r="K635" i="11"/>
  <c r="J635" i="11"/>
  <c r="AC1504" i="11"/>
  <c r="AB1504" i="11"/>
  <c r="AA1504" i="11"/>
  <c r="Z1504" i="11"/>
  <c r="Y1504" i="11"/>
  <c r="X1504" i="11"/>
  <c r="W1504" i="11"/>
  <c r="V1504" i="11"/>
  <c r="U1504" i="11"/>
  <c r="T1504" i="11"/>
  <c r="S1504" i="11"/>
  <c r="R1504" i="11"/>
  <c r="Q1504" i="11"/>
  <c r="P1504" i="11"/>
  <c r="O1504" i="11"/>
  <c r="N1504" i="11"/>
  <c r="M1504" i="11"/>
  <c r="L1504" i="11"/>
  <c r="K1504" i="11"/>
  <c r="J1504" i="11"/>
  <c r="AC866" i="11"/>
  <c r="AB866" i="11"/>
  <c r="AA866" i="11"/>
  <c r="Z866" i="11"/>
  <c r="Y866" i="11"/>
  <c r="X866" i="11"/>
  <c r="W866" i="11"/>
  <c r="V866" i="11"/>
  <c r="U866" i="11"/>
  <c r="T866" i="11"/>
  <c r="S866" i="11"/>
  <c r="R866" i="11"/>
  <c r="Q866" i="11"/>
  <c r="P866" i="11"/>
  <c r="O866" i="11"/>
  <c r="N866" i="11"/>
  <c r="M866" i="11"/>
  <c r="L866" i="11"/>
  <c r="K866" i="11"/>
  <c r="J866" i="11"/>
  <c r="AC1417" i="11"/>
  <c r="AB1417" i="11"/>
  <c r="AA1417" i="11"/>
  <c r="Z1417" i="11"/>
  <c r="Y1417" i="11"/>
  <c r="X1417" i="11"/>
  <c r="W1417" i="11"/>
  <c r="V1417" i="11"/>
  <c r="U1417" i="11"/>
  <c r="T1417" i="11"/>
  <c r="S1417" i="11"/>
  <c r="R1417" i="11"/>
  <c r="Q1417" i="11"/>
  <c r="P1417" i="11"/>
  <c r="O1417" i="11"/>
  <c r="N1417" i="11"/>
  <c r="M1417" i="11"/>
  <c r="L1417" i="11"/>
  <c r="K1417" i="11"/>
  <c r="J1417" i="11"/>
  <c r="AC1192" i="11"/>
  <c r="AB1192" i="11"/>
  <c r="AA1192" i="11"/>
  <c r="Z1192" i="11"/>
  <c r="Y1192" i="11"/>
  <c r="X1192" i="11"/>
  <c r="W1192" i="11"/>
  <c r="V1192" i="11"/>
  <c r="U1192" i="11"/>
  <c r="T1192" i="11"/>
  <c r="S1192" i="11"/>
  <c r="R1192" i="11"/>
  <c r="Q1192" i="11"/>
  <c r="P1192" i="11"/>
  <c r="O1192" i="11"/>
  <c r="N1192" i="11"/>
  <c r="M1192" i="11"/>
  <c r="L1192" i="11"/>
  <c r="K1192" i="11"/>
  <c r="J1192" i="11"/>
  <c r="AC1118" i="11"/>
  <c r="AB1118" i="11"/>
  <c r="AA1118" i="11"/>
  <c r="Z1118" i="11"/>
  <c r="Y1118" i="11"/>
  <c r="X1118" i="11"/>
  <c r="W1118" i="11"/>
  <c r="V1118" i="11"/>
  <c r="U1118" i="11"/>
  <c r="T1118" i="11"/>
  <c r="S1118" i="11"/>
  <c r="R1118" i="11"/>
  <c r="Q1118" i="11"/>
  <c r="P1118" i="11"/>
  <c r="O1118" i="11"/>
  <c r="N1118" i="11"/>
  <c r="M1118" i="11"/>
  <c r="L1118" i="11"/>
  <c r="K1118" i="11"/>
  <c r="J1118" i="11"/>
  <c r="AC503" i="11"/>
  <c r="AB503" i="11"/>
  <c r="AA503" i="11"/>
  <c r="Z503" i="11"/>
  <c r="Y503" i="11"/>
  <c r="X503" i="11"/>
  <c r="W503" i="11"/>
  <c r="V503" i="11"/>
  <c r="U503" i="11"/>
  <c r="T503" i="11"/>
  <c r="S503" i="11"/>
  <c r="R503" i="11"/>
  <c r="Q503" i="11"/>
  <c r="P503" i="11"/>
  <c r="O503" i="11"/>
  <c r="N503" i="11"/>
  <c r="M503" i="11"/>
  <c r="L503" i="11"/>
  <c r="K503" i="11"/>
  <c r="J503" i="11"/>
  <c r="AC1191" i="11"/>
  <c r="AB1191" i="11"/>
  <c r="AA1191" i="11"/>
  <c r="Z1191" i="11"/>
  <c r="Y1191" i="11"/>
  <c r="X1191" i="11"/>
  <c r="W1191" i="11"/>
  <c r="V1191" i="11"/>
  <c r="U1191" i="11"/>
  <c r="T1191" i="11"/>
  <c r="S1191" i="11"/>
  <c r="R1191" i="11"/>
  <c r="Q1191" i="11"/>
  <c r="P1191" i="11"/>
  <c r="O1191" i="11"/>
  <c r="N1191" i="11"/>
  <c r="M1191" i="11"/>
  <c r="L1191" i="11"/>
  <c r="K1191" i="11"/>
  <c r="J1191" i="11"/>
  <c r="AC1304" i="11"/>
  <c r="AB1304" i="11"/>
  <c r="AA1304" i="11"/>
  <c r="Z1304" i="11"/>
  <c r="Y1304" i="11"/>
  <c r="X1304" i="11"/>
  <c r="W1304" i="11"/>
  <c r="V1304" i="11"/>
  <c r="U1304" i="11"/>
  <c r="T1304" i="11"/>
  <c r="S1304" i="11"/>
  <c r="R1304" i="11"/>
  <c r="Q1304" i="11"/>
  <c r="P1304" i="11"/>
  <c r="O1304" i="11"/>
  <c r="N1304" i="11"/>
  <c r="M1304" i="11"/>
  <c r="L1304" i="11"/>
  <c r="K1304" i="11"/>
  <c r="J1304" i="11"/>
  <c r="AC1636" i="11"/>
  <c r="AB1636" i="11"/>
  <c r="AA1636" i="11"/>
  <c r="Z1636" i="11"/>
  <c r="Y1636" i="11"/>
  <c r="X1636" i="11"/>
  <c r="W1636" i="11"/>
  <c r="V1636" i="11"/>
  <c r="U1636" i="11"/>
  <c r="T1636" i="11"/>
  <c r="S1636" i="11"/>
  <c r="R1636" i="11"/>
  <c r="Q1636" i="11"/>
  <c r="P1636" i="11"/>
  <c r="O1636" i="11"/>
  <c r="N1636" i="11"/>
  <c r="M1636" i="11"/>
  <c r="L1636" i="11"/>
  <c r="K1636" i="11"/>
  <c r="J1636" i="11"/>
  <c r="AC1346" i="11"/>
  <c r="AB1346" i="11"/>
  <c r="AA1346" i="11"/>
  <c r="Z1346" i="11"/>
  <c r="Y1346" i="11"/>
  <c r="X1346" i="11"/>
  <c r="W1346" i="11"/>
  <c r="V1346" i="11"/>
  <c r="U1346" i="11"/>
  <c r="T1346" i="11"/>
  <c r="S1346" i="11"/>
  <c r="R1346" i="11"/>
  <c r="Q1346" i="11"/>
  <c r="P1346" i="11"/>
  <c r="O1346" i="11"/>
  <c r="N1346" i="11"/>
  <c r="M1346" i="11"/>
  <c r="L1346" i="11"/>
  <c r="K1346" i="11"/>
  <c r="J1346" i="11"/>
  <c r="AC447" i="11"/>
  <c r="AB447" i="11"/>
  <c r="AA447" i="11"/>
  <c r="Z447" i="11"/>
  <c r="Y447" i="11"/>
  <c r="X447" i="11"/>
  <c r="W447" i="11"/>
  <c r="V447" i="11"/>
  <c r="U447" i="11"/>
  <c r="T447" i="11"/>
  <c r="S447" i="11"/>
  <c r="R447" i="11"/>
  <c r="Q447" i="11"/>
  <c r="P447" i="11"/>
  <c r="O447" i="11"/>
  <c r="N447" i="11"/>
  <c r="M447" i="11"/>
  <c r="L447" i="11"/>
  <c r="K447" i="11"/>
  <c r="J447" i="11"/>
  <c r="AC865" i="11"/>
  <c r="AB865" i="11"/>
  <c r="AA865" i="11"/>
  <c r="Z865" i="11"/>
  <c r="Y865" i="11"/>
  <c r="X865" i="11"/>
  <c r="W865" i="11"/>
  <c r="V865" i="11"/>
  <c r="U865" i="11"/>
  <c r="T865" i="11"/>
  <c r="S865" i="11"/>
  <c r="R865" i="11"/>
  <c r="Q865" i="11"/>
  <c r="P865" i="11"/>
  <c r="O865" i="11"/>
  <c r="N865" i="11"/>
  <c r="M865" i="11"/>
  <c r="L865" i="11"/>
  <c r="K865" i="11"/>
  <c r="J865" i="11"/>
  <c r="AC572" i="11"/>
  <c r="AB572" i="11"/>
  <c r="AA572" i="11"/>
  <c r="Z572" i="11"/>
  <c r="Y572" i="11"/>
  <c r="X572" i="11"/>
  <c r="W572" i="11"/>
  <c r="V572" i="11"/>
  <c r="U572" i="11"/>
  <c r="T572" i="11"/>
  <c r="S572" i="11"/>
  <c r="R572" i="11"/>
  <c r="Q572" i="11"/>
  <c r="P572" i="11"/>
  <c r="O572" i="11"/>
  <c r="N572" i="11"/>
  <c r="M572" i="11"/>
  <c r="L572" i="11"/>
  <c r="K572" i="11"/>
  <c r="J572" i="11"/>
  <c r="AC1785" i="11"/>
  <c r="AB1785" i="11"/>
  <c r="AA1785" i="11"/>
  <c r="Z1785" i="11"/>
  <c r="Y1785" i="11"/>
  <c r="X1785" i="11"/>
  <c r="W1785" i="11"/>
  <c r="V1785" i="11"/>
  <c r="U1785" i="11"/>
  <c r="T1785" i="11"/>
  <c r="S1785" i="11"/>
  <c r="R1785" i="11"/>
  <c r="Q1785" i="11"/>
  <c r="P1785" i="11"/>
  <c r="O1785" i="11"/>
  <c r="N1785" i="11"/>
  <c r="M1785" i="11"/>
  <c r="L1785" i="11"/>
  <c r="K1785" i="11"/>
  <c r="J1785" i="11"/>
  <c r="AC1839" i="11"/>
  <c r="AB1839" i="11"/>
  <c r="AA1839" i="11"/>
  <c r="Z1839" i="11"/>
  <c r="Y1839" i="11"/>
  <c r="X1839" i="11"/>
  <c r="W1839" i="11"/>
  <c r="V1839" i="11"/>
  <c r="U1839" i="11"/>
  <c r="T1839" i="11"/>
  <c r="S1839" i="11"/>
  <c r="R1839" i="11"/>
  <c r="Q1839" i="11"/>
  <c r="P1839" i="11"/>
  <c r="O1839" i="11"/>
  <c r="N1839" i="11"/>
  <c r="M1839" i="11"/>
  <c r="L1839" i="11"/>
  <c r="K1839" i="11"/>
  <c r="J1839" i="11"/>
  <c r="AC1838" i="11"/>
  <c r="AB1838" i="11"/>
  <c r="AA1838" i="11"/>
  <c r="Z1838" i="11"/>
  <c r="Y1838" i="11"/>
  <c r="X1838" i="11"/>
  <c r="W1838" i="11"/>
  <c r="V1838" i="11"/>
  <c r="U1838" i="11"/>
  <c r="T1838" i="11"/>
  <c r="S1838" i="11"/>
  <c r="R1838" i="11"/>
  <c r="Q1838" i="11"/>
  <c r="P1838" i="11"/>
  <c r="O1838" i="11"/>
  <c r="N1838" i="11"/>
  <c r="M1838" i="11"/>
  <c r="L1838" i="11"/>
  <c r="K1838" i="11"/>
  <c r="J1838" i="11"/>
  <c r="AC1978" i="11"/>
  <c r="AB1978" i="11"/>
  <c r="AA1978" i="11"/>
  <c r="Z1978" i="11"/>
  <c r="Y1978" i="11"/>
  <c r="X1978" i="11"/>
  <c r="W1978" i="11"/>
  <c r="V1978" i="11"/>
  <c r="U1978" i="11"/>
  <c r="T1978" i="11"/>
  <c r="S1978" i="11"/>
  <c r="R1978" i="11"/>
  <c r="Q1978" i="11"/>
  <c r="P1978" i="11"/>
  <c r="O1978" i="11"/>
  <c r="N1978" i="11"/>
  <c r="M1978" i="11"/>
  <c r="L1978" i="11"/>
  <c r="K1978" i="11"/>
  <c r="J1978" i="11"/>
  <c r="AC2133" i="11"/>
  <c r="AB2133" i="11"/>
  <c r="AA2133" i="11"/>
  <c r="Z2133" i="11"/>
  <c r="Y2133" i="11"/>
  <c r="X2133" i="11"/>
  <c r="W2133" i="11"/>
  <c r="V2133" i="11"/>
  <c r="U2133" i="11"/>
  <c r="T2133" i="11"/>
  <c r="S2133" i="11"/>
  <c r="R2133" i="11"/>
  <c r="Q2133" i="11"/>
  <c r="P2133" i="11"/>
  <c r="O2133" i="11"/>
  <c r="N2133" i="11"/>
  <c r="M2133" i="11"/>
  <c r="L2133" i="11"/>
  <c r="K2133" i="11"/>
  <c r="J2133" i="11"/>
  <c r="AC359" i="11"/>
  <c r="AB359" i="11"/>
  <c r="AA359" i="11"/>
  <c r="Z359" i="11"/>
  <c r="Y359" i="11"/>
  <c r="X359" i="11"/>
  <c r="W359" i="11"/>
  <c r="V359" i="11"/>
  <c r="U359" i="11"/>
  <c r="T359" i="11"/>
  <c r="S359" i="11"/>
  <c r="R359" i="11"/>
  <c r="Q359" i="11"/>
  <c r="P359" i="11"/>
  <c r="O359" i="11"/>
  <c r="N359" i="11"/>
  <c r="M359" i="11"/>
  <c r="L359" i="11"/>
  <c r="K359" i="11"/>
  <c r="J359" i="11"/>
  <c r="AC1503" i="11"/>
  <c r="AB1503" i="11"/>
  <c r="AA1503" i="11"/>
  <c r="Z1503" i="11"/>
  <c r="Y1503" i="11"/>
  <c r="X1503" i="11"/>
  <c r="W1503" i="11"/>
  <c r="V1503" i="11"/>
  <c r="U1503" i="11"/>
  <c r="T1503" i="11"/>
  <c r="S1503" i="11"/>
  <c r="R1503" i="11"/>
  <c r="Q1503" i="11"/>
  <c r="P1503" i="11"/>
  <c r="O1503" i="11"/>
  <c r="N1503" i="11"/>
  <c r="M1503" i="11"/>
  <c r="L1503" i="11"/>
  <c r="K1503" i="11"/>
  <c r="J1503" i="11"/>
  <c r="AC2101" i="11"/>
  <c r="AB2101" i="11"/>
  <c r="AA2101" i="11"/>
  <c r="Z2101" i="11"/>
  <c r="Y2101" i="11"/>
  <c r="X2101" i="11"/>
  <c r="W2101" i="11"/>
  <c r="V2101" i="11"/>
  <c r="U2101" i="11"/>
  <c r="T2101" i="11"/>
  <c r="S2101" i="11"/>
  <c r="R2101" i="11"/>
  <c r="Q2101" i="11"/>
  <c r="P2101" i="11"/>
  <c r="O2101" i="11"/>
  <c r="N2101" i="11"/>
  <c r="M2101" i="11"/>
  <c r="L2101" i="11"/>
  <c r="K2101" i="11"/>
  <c r="J2101" i="11"/>
  <c r="AC1837" i="11"/>
  <c r="AB1837" i="11"/>
  <c r="AA1837" i="11"/>
  <c r="Z1837" i="11"/>
  <c r="Y1837" i="11"/>
  <c r="X1837" i="11"/>
  <c r="W1837" i="11"/>
  <c r="V1837" i="11"/>
  <c r="U1837" i="11"/>
  <c r="T1837" i="11"/>
  <c r="S1837" i="11"/>
  <c r="R1837" i="11"/>
  <c r="Q1837" i="11"/>
  <c r="P1837" i="11"/>
  <c r="O1837" i="11"/>
  <c r="N1837" i="11"/>
  <c r="M1837" i="11"/>
  <c r="L1837" i="11"/>
  <c r="K1837" i="11"/>
  <c r="J1837" i="11"/>
  <c r="AC1836" i="11"/>
  <c r="AB1836" i="11"/>
  <c r="AA1836" i="11"/>
  <c r="Z1836" i="11"/>
  <c r="Y1836" i="11"/>
  <c r="X1836" i="11"/>
  <c r="W1836" i="11"/>
  <c r="V1836" i="11"/>
  <c r="U1836" i="11"/>
  <c r="T1836" i="11"/>
  <c r="S1836" i="11"/>
  <c r="R1836" i="11"/>
  <c r="Q1836" i="11"/>
  <c r="P1836" i="11"/>
  <c r="O1836" i="11"/>
  <c r="N1836" i="11"/>
  <c r="M1836" i="11"/>
  <c r="L1836" i="11"/>
  <c r="K1836" i="11"/>
  <c r="J1836" i="11"/>
  <c r="AC1601" i="11"/>
  <c r="AB1601" i="11"/>
  <c r="AA1601" i="11"/>
  <c r="Z1601" i="11"/>
  <c r="Y1601" i="11"/>
  <c r="X1601" i="11"/>
  <c r="W1601" i="11"/>
  <c r="V1601" i="11"/>
  <c r="U1601" i="11"/>
  <c r="T1601" i="11"/>
  <c r="S1601" i="11"/>
  <c r="R1601" i="11"/>
  <c r="Q1601" i="11"/>
  <c r="P1601" i="11"/>
  <c r="O1601" i="11"/>
  <c r="N1601" i="11"/>
  <c r="M1601" i="11"/>
  <c r="L1601" i="11"/>
  <c r="K1601" i="11"/>
  <c r="J1601" i="11"/>
  <c r="AC864" i="11"/>
  <c r="AB864" i="11"/>
  <c r="AA864" i="11"/>
  <c r="Z864" i="11"/>
  <c r="Y864" i="11"/>
  <c r="X864" i="11"/>
  <c r="W864" i="11"/>
  <c r="V864" i="11"/>
  <c r="U864" i="11"/>
  <c r="T864" i="11"/>
  <c r="S864" i="11"/>
  <c r="R864" i="11"/>
  <c r="Q864" i="11"/>
  <c r="P864" i="11"/>
  <c r="O864" i="11"/>
  <c r="N864" i="11"/>
  <c r="M864" i="11"/>
  <c r="L864" i="11"/>
  <c r="K864" i="11"/>
  <c r="J864" i="11"/>
  <c r="AC2022" i="11"/>
  <c r="AB2022" i="11"/>
  <c r="AA2022" i="11"/>
  <c r="Z2022" i="11"/>
  <c r="Y2022" i="11"/>
  <c r="X2022" i="11"/>
  <c r="W2022" i="11"/>
  <c r="V2022" i="11"/>
  <c r="U2022" i="11"/>
  <c r="T2022" i="11"/>
  <c r="S2022" i="11"/>
  <c r="R2022" i="11"/>
  <c r="Q2022" i="11"/>
  <c r="P2022" i="11"/>
  <c r="O2022" i="11"/>
  <c r="N2022" i="11"/>
  <c r="M2022" i="11"/>
  <c r="L2022" i="11"/>
  <c r="K2022" i="11"/>
  <c r="J2022" i="11"/>
  <c r="AC2132" i="11"/>
  <c r="AB2132" i="11"/>
  <c r="AA2132" i="11"/>
  <c r="Z2132" i="11"/>
  <c r="Y2132" i="11"/>
  <c r="X2132" i="11"/>
  <c r="W2132" i="11"/>
  <c r="V2132" i="11"/>
  <c r="U2132" i="11"/>
  <c r="T2132" i="11"/>
  <c r="S2132" i="11"/>
  <c r="R2132" i="11"/>
  <c r="Q2132" i="11"/>
  <c r="P2132" i="11"/>
  <c r="O2132" i="11"/>
  <c r="N2132" i="11"/>
  <c r="M2132" i="11"/>
  <c r="L2132" i="11"/>
  <c r="K2132" i="11"/>
  <c r="J2132" i="11"/>
  <c r="AC1835" i="11"/>
  <c r="AB1835" i="11"/>
  <c r="AA1835" i="11"/>
  <c r="Z1835" i="11"/>
  <c r="Y1835" i="11"/>
  <c r="X1835" i="11"/>
  <c r="W1835" i="11"/>
  <c r="V1835" i="11"/>
  <c r="U1835" i="11"/>
  <c r="T1835" i="11"/>
  <c r="S1835" i="11"/>
  <c r="R1835" i="11"/>
  <c r="Q1835" i="11"/>
  <c r="P1835" i="11"/>
  <c r="O1835" i="11"/>
  <c r="N1835" i="11"/>
  <c r="M1835" i="11"/>
  <c r="L1835" i="11"/>
  <c r="K1835" i="11"/>
  <c r="J1835" i="11"/>
  <c r="AC1024" i="11"/>
  <c r="AB1024" i="11"/>
  <c r="AA1024" i="11"/>
  <c r="Z1024" i="11"/>
  <c r="Y1024" i="11"/>
  <c r="X1024" i="11"/>
  <c r="W1024" i="11"/>
  <c r="V1024" i="11"/>
  <c r="U1024" i="11"/>
  <c r="T1024" i="11"/>
  <c r="S1024" i="11"/>
  <c r="R1024" i="11"/>
  <c r="Q1024" i="11"/>
  <c r="P1024" i="11"/>
  <c r="O1024" i="11"/>
  <c r="N1024" i="11"/>
  <c r="M1024" i="11"/>
  <c r="L1024" i="11"/>
  <c r="K1024" i="11"/>
  <c r="J1024" i="11"/>
  <c r="AC1023" i="11"/>
  <c r="AB1023" i="11"/>
  <c r="AA1023" i="11"/>
  <c r="Z1023" i="11"/>
  <c r="Y1023" i="11"/>
  <c r="X1023" i="11"/>
  <c r="W1023" i="11"/>
  <c r="V1023" i="11"/>
  <c r="U1023" i="11"/>
  <c r="T1023" i="11"/>
  <c r="S1023" i="11"/>
  <c r="R1023" i="11"/>
  <c r="Q1023" i="11"/>
  <c r="P1023" i="11"/>
  <c r="O1023" i="11"/>
  <c r="N1023" i="11"/>
  <c r="M1023" i="11"/>
  <c r="L1023" i="11"/>
  <c r="K1023" i="11"/>
  <c r="J1023" i="11"/>
  <c r="AC1564" i="11"/>
  <c r="AB1564" i="11"/>
  <c r="AA1564" i="11"/>
  <c r="Z1564" i="11"/>
  <c r="Y1564" i="11"/>
  <c r="X1564" i="11"/>
  <c r="W1564" i="11"/>
  <c r="V1564" i="11"/>
  <c r="U1564" i="11"/>
  <c r="T1564" i="11"/>
  <c r="S1564" i="11"/>
  <c r="R1564" i="11"/>
  <c r="Q1564" i="11"/>
  <c r="P1564" i="11"/>
  <c r="O1564" i="11"/>
  <c r="N1564" i="11"/>
  <c r="M1564" i="11"/>
  <c r="L1564" i="11"/>
  <c r="K1564" i="11"/>
  <c r="J1564" i="11"/>
  <c r="AC726" i="11"/>
  <c r="AB726" i="11"/>
  <c r="AA726" i="11"/>
  <c r="Z726" i="11"/>
  <c r="Y726" i="11"/>
  <c r="X726" i="11"/>
  <c r="W726" i="11"/>
  <c r="V726" i="11"/>
  <c r="U726" i="11"/>
  <c r="T726" i="11"/>
  <c r="S726" i="11"/>
  <c r="R726" i="11"/>
  <c r="Q726" i="11"/>
  <c r="P726" i="11"/>
  <c r="O726" i="11"/>
  <c r="N726" i="11"/>
  <c r="M726" i="11"/>
  <c r="L726" i="11"/>
  <c r="K726" i="11"/>
  <c r="J726" i="11"/>
  <c r="AC1691" i="11"/>
  <c r="AB1691" i="11"/>
  <c r="AA1691" i="11"/>
  <c r="Z1691" i="11"/>
  <c r="Y1691" i="11"/>
  <c r="X1691" i="11"/>
  <c r="W1691" i="11"/>
  <c r="V1691" i="11"/>
  <c r="U1691" i="11"/>
  <c r="T1691" i="11"/>
  <c r="S1691" i="11"/>
  <c r="R1691" i="11"/>
  <c r="Q1691" i="11"/>
  <c r="P1691" i="11"/>
  <c r="O1691" i="11"/>
  <c r="N1691" i="11"/>
  <c r="M1691" i="11"/>
  <c r="L1691" i="11"/>
  <c r="K1691" i="11"/>
  <c r="J1691" i="11"/>
  <c r="AC1190" i="11"/>
  <c r="AB1190" i="11"/>
  <c r="AA1190" i="11"/>
  <c r="Z1190" i="11"/>
  <c r="Y1190" i="11"/>
  <c r="X1190" i="11"/>
  <c r="W1190" i="11"/>
  <c r="V1190" i="11"/>
  <c r="U1190" i="11"/>
  <c r="T1190" i="11"/>
  <c r="S1190" i="11"/>
  <c r="R1190" i="11"/>
  <c r="Q1190" i="11"/>
  <c r="P1190" i="11"/>
  <c r="O1190" i="11"/>
  <c r="N1190" i="11"/>
  <c r="M1190" i="11"/>
  <c r="L1190" i="11"/>
  <c r="K1190" i="11"/>
  <c r="J1190" i="11"/>
  <c r="AC571" i="11"/>
  <c r="AB571" i="11"/>
  <c r="AA571" i="11"/>
  <c r="Z571" i="11"/>
  <c r="Y571" i="11"/>
  <c r="X571" i="11"/>
  <c r="W571" i="11"/>
  <c r="V571" i="11"/>
  <c r="U571" i="11"/>
  <c r="T571" i="11"/>
  <c r="S571" i="11"/>
  <c r="R571" i="11"/>
  <c r="Q571" i="11"/>
  <c r="P571" i="11"/>
  <c r="O571" i="11"/>
  <c r="N571" i="11"/>
  <c r="M571" i="11"/>
  <c r="L571" i="11"/>
  <c r="K571" i="11"/>
  <c r="J571" i="11"/>
  <c r="AC570" i="11"/>
  <c r="AB570" i="11"/>
  <c r="AA570" i="11"/>
  <c r="Z570" i="11"/>
  <c r="Y570" i="11"/>
  <c r="X570" i="11"/>
  <c r="W570" i="11"/>
  <c r="V570" i="11"/>
  <c r="U570" i="11"/>
  <c r="T570" i="11"/>
  <c r="S570" i="11"/>
  <c r="R570" i="11"/>
  <c r="Q570" i="11"/>
  <c r="P570" i="11"/>
  <c r="O570" i="11"/>
  <c r="N570" i="11"/>
  <c r="M570" i="11"/>
  <c r="L570" i="11"/>
  <c r="K570" i="11"/>
  <c r="J570" i="11"/>
  <c r="AC502" i="11"/>
  <c r="AB502" i="11"/>
  <c r="AA502" i="11"/>
  <c r="Z502" i="11"/>
  <c r="Y502" i="11"/>
  <c r="X502" i="11"/>
  <c r="W502" i="11"/>
  <c r="V502" i="11"/>
  <c r="U502" i="11"/>
  <c r="T502" i="11"/>
  <c r="S502" i="11"/>
  <c r="R502" i="11"/>
  <c r="Q502" i="11"/>
  <c r="P502" i="11"/>
  <c r="O502" i="11"/>
  <c r="N502" i="11"/>
  <c r="M502" i="11"/>
  <c r="L502" i="11"/>
  <c r="K502" i="11"/>
  <c r="J502" i="11"/>
  <c r="AC1600" i="11"/>
  <c r="AB1600" i="11"/>
  <c r="AA1600" i="11"/>
  <c r="Z1600" i="11"/>
  <c r="Y1600" i="11"/>
  <c r="X1600" i="11"/>
  <c r="W1600" i="11"/>
  <c r="V1600" i="11"/>
  <c r="U1600" i="11"/>
  <c r="T1600" i="11"/>
  <c r="S1600" i="11"/>
  <c r="R1600" i="11"/>
  <c r="Q1600" i="11"/>
  <c r="P1600" i="11"/>
  <c r="O1600" i="11"/>
  <c r="N1600" i="11"/>
  <c r="M1600" i="11"/>
  <c r="L1600" i="11"/>
  <c r="K1600" i="11"/>
  <c r="J1600" i="11"/>
  <c r="AC1690" i="11"/>
  <c r="AB1690" i="11"/>
  <c r="AA1690" i="11"/>
  <c r="Z1690" i="11"/>
  <c r="Y1690" i="11"/>
  <c r="X1690" i="11"/>
  <c r="W1690" i="11"/>
  <c r="V1690" i="11"/>
  <c r="U1690" i="11"/>
  <c r="T1690" i="11"/>
  <c r="S1690" i="11"/>
  <c r="R1690" i="11"/>
  <c r="Q1690" i="11"/>
  <c r="P1690" i="11"/>
  <c r="O1690" i="11"/>
  <c r="N1690" i="11"/>
  <c r="M1690" i="11"/>
  <c r="L1690" i="11"/>
  <c r="K1690" i="11"/>
  <c r="J1690" i="11"/>
  <c r="AC1834" i="11"/>
  <c r="AB1834" i="11"/>
  <c r="AA1834" i="11"/>
  <c r="Z1834" i="11"/>
  <c r="Y1834" i="11"/>
  <c r="X1834" i="11"/>
  <c r="W1834" i="11"/>
  <c r="V1834" i="11"/>
  <c r="U1834" i="11"/>
  <c r="T1834" i="11"/>
  <c r="S1834" i="11"/>
  <c r="R1834" i="11"/>
  <c r="Q1834" i="11"/>
  <c r="P1834" i="11"/>
  <c r="O1834" i="11"/>
  <c r="N1834" i="11"/>
  <c r="M1834" i="11"/>
  <c r="L1834" i="11"/>
  <c r="K1834" i="11"/>
  <c r="J1834" i="11"/>
  <c r="AC863" i="11"/>
  <c r="AB863" i="11"/>
  <c r="AA863" i="11"/>
  <c r="Z863" i="11"/>
  <c r="Y863" i="11"/>
  <c r="X863" i="11"/>
  <c r="W863" i="11"/>
  <c r="V863" i="11"/>
  <c r="U863" i="11"/>
  <c r="T863" i="11"/>
  <c r="S863" i="11"/>
  <c r="R863" i="11"/>
  <c r="Q863" i="11"/>
  <c r="P863" i="11"/>
  <c r="O863" i="11"/>
  <c r="N863" i="11"/>
  <c r="M863" i="11"/>
  <c r="L863" i="11"/>
  <c r="K863" i="11"/>
  <c r="J863" i="11"/>
  <c r="AC1117" i="11"/>
  <c r="AB1117" i="11"/>
  <c r="AA1117" i="11"/>
  <c r="Z1117" i="11"/>
  <c r="Y1117" i="11"/>
  <c r="X1117" i="11"/>
  <c r="W1117" i="11"/>
  <c r="V1117" i="11"/>
  <c r="U1117" i="11"/>
  <c r="T1117" i="11"/>
  <c r="S1117" i="11"/>
  <c r="R1117" i="11"/>
  <c r="Q1117" i="11"/>
  <c r="P1117" i="11"/>
  <c r="O1117" i="11"/>
  <c r="N1117" i="11"/>
  <c r="M1117" i="11"/>
  <c r="L1117" i="11"/>
  <c r="K1117" i="11"/>
  <c r="J1117" i="11"/>
  <c r="AC1189" i="11"/>
  <c r="AB1189" i="11"/>
  <c r="AA1189" i="11"/>
  <c r="Z1189" i="11"/>
  <c r="Y1189" i="11"/>
  <c r="X1189" i="11"/>
  <c r="W1189" i="11"/>
  <c r="V1189" i="11"/>
  <c r="U1189" i="11"/>
  <c r="T1189" i="11"/>
  <c r="S1189" i="11"/>
  <c r="R1189" i="11"/>
  <c r="Q1189" i="11"/>
  <c r="P1189" i="11"/>
  <c r="O1189" i="11"/>
  <c r="N1189" i="11"/>
  <c r="M1189" i="11"/>
  <c r="L1189" i="11"/>
  <c r="K1189" i="11"/>
  <c r="J1189" i="11"/>
  <c r="AC1188" i="11"/>
  <c r="AB1188" i="11"/>
  <c r="AA1188" i="11"/>
  <c r="Z1188" i="11"/>
  <c r="Y1188" i="11"/>
  <c r="X1188" i="11"/>
  <c r="W1188" i="11"/>
  <c r="V1188" i="11"/>
  <c r="U1188" i="11"/>
  <c r="T1188" i="11"/>
  <c r="S1188" i="11"/>
  <c r="R1188" i="11"/>
  <c r="Q1188" i="11"/>
  <c r="P1188" i="11"/>
  <c r="O1188" i="11"/>
  <c r="N1188" i="11"/>
  <c r="M1188" i="11"/>
  <c r="L1188" i="11"/>
  <c r="K1188" i="11"/>
  <c r="J1188" i="11"/>
  <c r="AC1022" i="11"/>
  <c r="AB1022" i="11"/>
  <c r="AA1022" i="11"/>
  <c r="Z1022" i="11"/>
  <c r="Y1022" i="11"/>
  <c r="X1022" i="11"/>
  <c r="W1022" i="11"/>
  <c r="V1022" i="11"/>
  <c r="U1022" i="11"/>
  <c r="T1022" i="11"/>
  <c r="S1022" i="11"/>
  <c r="R1022" i="11"/>
  <c r="Q1022" i="11"/>
  <c r="P1022" i="11"/>
  <c r="O1022" i="11"/>
  <c r="N1022" i="11"/>
  <c r="M1022" i="11"/>
  <c r="L1022" i="11"/>
  <c r="K1022" i="11"/>
  <c r="J1022" i="11"/>
  <c r="AC1833" i="11"/>
  <c r="AB1833" i="11"/>
  <c r="AA1833" i="11"/>
  <c r="Z1833" i="11"/>
  <c r="Y1833" i="11"/>
  <c r="X1833" i="11"/>
  <c r="W1833" i="11"/>
  <c r="V1833" i="11"/>
  <c r="U1833" i="11"/>
  <c r="T1833" i="11"/>
  <c r="S1833" i="11"/>
  <c r="R1833" i="11"/>
  <c r="Q1833" i="11"/>
  <c r="P1833" i="11"/>
  <c r="O1833" i="11"/>
  <c r="N1833" i="11"/>
  <c r="M1833" i="11"/>
  <c r="L1833" i="11"/>
  <c r="K1833" i="11"/>
  <c r="J1833" i="11"/>
  <c r="AC1416" i="11"/>
  <c r="AB1416" i="11"/>
  <c r="AA1416" i="11"/>
  <c r="Z1416" i="11"/>
  <c r="Y1416" i="11"/>
  <c r="X1416" i="11"/>
  <c r="W1416" i="11"/>
  <c r="V1416" i="11"/>
  <c r="U1416" i="11"/>
  <c r="T1416" i="11"/>
  <c r="S1416" i="11"/>
  <c r="R1416" i="11"/>
  <c r="Q1416" i="11"/>
  <c r="P1416" i="11"/>
  <c r="O1416" i="11"/>
  <c r="N1416" i="11"/>
  <c r="M1416" i="11"/>
  <c r="L1416" i="11"/>
  <c r="K1416" i="11"/>
  <c r="J1416" i="11"/>
  <c r="AC947" i="11"/>
  <c r="AB947" i="11"/>
  <c r="AA947" i="11"/>
  <c r="Z947" i="11"/>
  <c r="Y947" i="11"/>
  <c r="X947" i="11"/>
  <c r="W947" i="11"/>
  <c r="V947" i="11"/>
  <c r="U947" i="11"/>
  <c r="T947" i="11"/>
  <c r="S947" i="11"/>
  <c r="R947" i="11"/>
  <c r="Q947" i="11"/>
  <c r="P947" i="11"/>
  <c r="O947" i="11"/>
  <c r="N947" i="11"/>
  <c r="M947" i="11"/>
  <c r="L947" i="11"/>
  <c r="K947" i="11"/>
  <c r="J947" i="11"/>
  <c r="AC1784" i="11"/>
  <c r="AB1784" i="11"/>
  <c r="AA1784" i="11"/>
  <c r="Z1784" i="11"/>
  <c r="Y1784" i="11"/>
  <c r="X1784" i="11"/>
  <c r="W1784" i="11"/>
  <c r="V1784" i="11"/>
  <c r="U1784" i="11"/>
  <c r="T1784" i="11"/>
  <c r="S1784" i="11"/>
  <c r="R1784" i="11"/>
  <c r="Q1784" i="11"/>
  <c r="P1784" i="11"/>
  <c r="O1784" i="11"/>
  <c r="N1784" i="11"/>
  <c r="M1784" i="11"/>
  <c r="L1784" i="11"/>
  <c r="K1784" i="11"/>
  <c r="J1784" i="11"/>
  <c r="AC1116" i="11"/>
  <c r="AB1116" i="11"/>
  <c r="AA1116" i="11"/>
  <c r="Z1116" i="11"/>
  <c r="Y1116" i="11"/>
  <c r="X1116" i="11"/>
  <c r="W1116" i="11"/>
  <c r="V1116" i="11"/>
  <c r="U1116" i="11"/>
  <c r="T1116" i="11"/>
  <c r="S1116" i="11"/>
  <c r="R1116" i="11"/>
  <c r="Q1116" i="11"/>
  <c r="P1116" i="11"/>
  <c r="O1116" i="11"/>
  <c r="N1116" i="11"/>
  <c r="M1116" i="11"/>
  <c r="L1116" i="11"/>
  <c r="K1116" i="11"/>
  <c r="J1116" i="11"/>
  <c r="AC1832" i="11"/>
  <c r="AB1832" i="11"/>
  <c r="AA1832" i="11"/>
  <c r="Z1832" i="11"/>
  <c r="Y1832" i="11"/>
  <c r="X1832" i="11"/>
  <c r="W1832" i="11"/>
  <c r="V1832" i="11"/>
  <c r="U1832" i="11"/>
  <c r="T1832" i="11"/>
  <c r="S1832" i="11"/>
  <c r="R1832" i="11"/>
  <c r="Q1832" i="11"/>
  <c r="P1832" i="11"/>
  <c r="O1832" i="11"/>
  <c r="N1832" i="11"/>
  <c r="M1832" i="11"/>
  <c r="L1832" i="11"/>
  <c r="K1832" i="11"/>
  <c r="J1832" i="11"/>
  <c r="AC198" i="11"/>
  <c r="AB198" i="11"/>
  <c r="AA198" i="11"/>
  <c r="Z198" i="11"/>
  <c r="Y198" i="11"/>
  <c r="X198" i="11"/>
  <c r="W198" i="11"/>
  <c r="V198" i="11"/>
  <c r="U198" i="11"/>
  <c r="T198" i="11"/>
  <c r="S198" i="11"/>
  <c r="R198" i="11"/>
  <c r="Q198" i="11"/>
  <c r="P198" i="11"/>
  <c r="O198" i="11"/>
  <c r="N198" i="11"/>
  <c r="M198" i="11"/>
  <c r="L198" i="11"/>
  <c r="K198" i="11"/>
  <c r="J198" i="11"/>
  <c r="AC569" i="11"/>
  <c r="AB569" i="11"/>
  <c r="AA569" i="11"/>
  <c r="Z569" i="11"/>
  <c r="Y569" i="11"/>
  <c r="X569" i="11"/>
  <c r="W569" i="11"/>
  <c r="V569" i="11"/>
  <c r="U569" i="11"/>
  <c r="T569" i="11"/>
  <c r="S569" i="11"/>
  <c r="R569" i="11"/>
  <c r="Q569" i="11"/>
  <c r="P569" i="11"/>
  <c r="O569" i="11"/>
  <c r="N569" i="11"/>
  <c r="M569" i="11"/>
  <c r="L569" i="11"/>
  <c r="K569" i="11"/>
  <c r="J569" i="11"/>
  <c r="AC634" i="11"/>
  <c r="AB634" i="11"/>
  <c r="AA634" i="11"/>
  <c r="Z634" i="11"/>
  <c r="Y634" i="11"/>
  <c r="X634" i="11"/>
  <c r="W634" i="11"/>
  <c r="V634" i="11"/>
  <c r="U634" i="11"/>
  <c r="T634" i="11"/>
  <c r="S634" i="11"/>
  <c r="R634" i="11"/>
  <c r="Q634" i="11"/>
  <c r="P634" i="11"/>
  <c r="O634" i="11"/>
  <c r="N634" i="11"/>
  <c r="M634" i="11"/>
  <c r="L634" i="11"/>
  <c r="K634" i="11"/>
  <c r="J634" i="11"/>
  <c r="AC633" i="11"/>
  <c r="AB633" i="11"/>
  <c r="AA633" i="11"/>
  <c r="Z633" i="11"/>
  <c r="Y633" i="11"/>
  <c r="X633" i="11"/>
  <c r="W633" i="11"/>
  <c r="V633" i="11"/>
  <c r="U633" i="11"/>
  <c r="T633" i="11"/>
  <c r="S633" i="11"/>
  <c r="R633" i="11"/>
  <c r="Q633" i="11"/>
  <c r="P633" i="11"/>
  <c r="O633" i="11"/>
  <c r="N633" i="11"/>
  <c r="M633" i="11"/>
  <c r="L633" i="11"/>
  <c r="K633" i="11"/>
  <c r="J633" i="11"/>
  <c r="AC231" i="11"/>
  <c r="AB231" i="11"/>
  <c r="AA231" i="11"/>
  <c r="Z231" i="11"/>
  <c r="Y231" i="11"/>
  <c r="X231" i="11"/>
  <c r="W231" i="11"/>
  <c r="V231" i="11"/>
  <c r="U231" i="11"/>
  <c r="T231" i="11"/>
  <c r="S231" i="11"/>
  <c r="R231" i="11"/>
  <c r="Q231" i="11"/>
  <c r="P231" i="11"/>
  <c r="O231" i="11"/>
  <c r="N231" i="11"/>
  <c r="M231" i="11"/>
  <c r="L231" i="11"/>
  <c r="K231" i="11"/>
  <c r="J231" i="11"/>
  <c r="AC2100" i="11"/>
  <c r="AB2100" i="11"/>
  <c r="AA2100" i="11"/>
  <c r="Z2100" i="11"/>
  <c r="Y2100" i="11"/>
  <c r="X2100" i="11"/>
  <c r="W2100" i="11"/>
  <c r="V2100" i="11"/>
  <c r="U2100" i="11"/>
  <c r="T2100" i="11"/>
  <c r="S2100" i="11"/>
  <c r="R2100" i="11"/>
  <c r="Q2100" i="11"/>
  <c r="P2100" i="11"/>
  <c r="O2100" i="11"/>
  <c r="N2100" i="11"/>
  <c r="M2100" i="11"/>
  <c r="L2100" i="11"/>
  <c r="K2100" i="11"/>
  <c r="J2100" i="11"/>
  <c r="AC1888" i="11"/>
  <c r="AB1888" i="11"/>
  <c r="AA1888" i="11"/>
  <c r="Z1888" i="11"/>
  <c r="Y1888" i="11"/>
  <c r="X1888" i="11"/>
  <c r="W1888" i="11"/>
  <c r="V1888" i="11"/>
  <c r="U1888" i="11"/>
  <c r="T1888" i="11"/>
  <c r="S1888" i="11"/>
  <c r="R1888" i="11"/>
  <c r="Q1888" i="11"/>
  <c r="P1888" i="11"/>
  <c r="O1888" i="11"/>
  <c r="N1888" i="11"/>
  <c r="M1888" i="11"/>
  <c r="L1888" i="11"/>
  <c r="K1888" i="11"/>
  <c r="J1888" i="11"/>
  <c r="AC501" i="11"/>
  <c r="AB501" i="11"/>
  <c r="AA501" i="11"/>
  <c r="Z501" i="11"/>
  <c r="Y501" i="11"/>
  <c r="X501" i="11"/>
  <c r="W501" i="11"/>
  <c r="V501" i="11"/>
  <c r="U501" i="11"/>
  <c r="T501" i="11"/>
  <c r="S501" i="11"/>
  <c r="R501" i="11"/>
  <c r="Q501" i="11"/>
  <c r="P501" i="11"/>
  <c r="O501" i="11"/>
  <c r="N501" i="11"/>
  <c r="M501" i="11"/>
  <c r="L501" i="11"/>
  <c r="K501" i="11"/>
  <c r="J501" i="11"/>
  <c r="AC862" i="11"/>
  <c r="AB862" i="11"/>
  <c r="AA862" i="11"/>
  <c r="Z862" i="11"/>
  <c r="Y862" i="11"/>
  <c r="X862" i="11"/>
  <c r="W862" i="11"/>
  <c r="V862" i="11"/>
  <c r="U862" i="11"/>
  <c r="T862" i="11"/>
  <c r="S862" i="11"/>
  <c r="R862" i="11"/>
  <c r="Q862" i="11"/>
  <c r="P862" i="11"/>
  <c r="O862" i="11"/>
  <c r="N862" i="11"/>
  <c r="M862" i="11"/>
  <c r="L862" i="11"/>
  <c r="K862" i="11"/>
  <c r="J862" i="11"/>
  <c r="AC2213" i="11"/>
  <c r="AB2213" i="11"/>
  <c r="AA2213" i="11"/>
  <c r="Z2213" i="11"/>
  <c r="Y2213" i="11"/>
  <c r="X2213" i="11"/>
  <c r="W2213" i="11"/>
  <c r="V2213" i="11"/>
  <c r="U2213" i="11"/>
  <c r="T2213" i="11"/>
  <c r="S2213" i="11"/>
  <c r="R2213" i="11"/>
  <c r="Q2213" i="11"/>
  <c r="P2213" i="11"/>
  <c r="O2213" i="11"/>
  <c r="N2213" i="11"/>
  <c r="M2213" i="11"/>
  <c r="L2213" i="11"/>
  <c r="K2213" i="11"/>
  <c r="J2213" i="11"/>
  <c r="AC1021" i="11"/>
  <c r="AB1021" i="11"/>
  <c r="AA1021" i="11"/>
  <c r="Z1021" i="11"/>
  <c r="Y1021" i="11"/>
  <c r="X1021" i="11"/>
  <c r="W1021" i="11"/>
  <c r="V1021" i="11"/>
  <c r="U1021" i="11"/>
  <c r="T1021" i="11"/>
  <c r="S1021" i="11"/>
  <c r="R1021" i="11"/>
  <c r="Q1021" i="11"/>
  <c r="P1021" i="11"/>
  <c r="O1021" i="11"/>
  <c r="N1021" i="11"/>
  <c r="M1021" i="11"/>
  <c r="L1021" i="11"/>
  <c r="K1021" i="11"/>
  <c r="J1021" i="11"/>
  <c r="AC1345" i="11"/>
  <c r="AB1345" i="11"/>
  <c r="AA1345" i="11"/>
  <c r="Z1345" i="11"/>
  <c r="Y1345" i="11"/>
  <c r="X1345" i="11"/>
  <c r="W1345" i="11"/>
  <c r="V1345" i="11"/>
  <c r="U1345" i="11"/>
  <c r="T1345" i="11"/>
  <c r="S1345" i="11"/>
  <c r="R1345" i="11"/>
  <c r="Q1345" i="11"/>
  <c r="P1345" i="11"/>
  <c r="O1345" i="11"/>
  <c r="N1345" i="11"/>
  <c r="M1345" i="11"/>
  <c r="L1345" i="11"/>
  <c r="K1345" i="11"/>
  <c r="J1345" i="11"/>
  <c r="AC1977" i="11"/>
  <c r="AB1977" i="11"/>
  <c r="AA1977" i="11"/>
  <c r="Z1977" i="11"/>
  <c r="Y1977" i="11"/>
  <c r="X1977" i="11"/>
  <c r="W1977" i="11"/>
  <c r="V1977" i="11"/>
  <c r="U1977" i="11"/>
  <c r="T1977" i="11"/>
  <c r="S1977" i="11"/>
  <c r="R1977" i="11"/>
  <c r="Q1977" i="11"/>
  <c r="P1977" i="11"/>
  <c r="O1977" i="11"/>
  <c r="N1977" i="11"/>
  <c r="M1977" i="11"/>
  <c r="L1977" i="11"/>
  <c r="K1977" i="11"/>
  <c r="J1977" i="11"/>
  <c r="AC1563" i="11"/>
  <c r="AB1563" i="11"/>
  <c r="AA1563" i="11"/>
  <c r="Z1563" i="11"/>
  <c r="Y1563" i="11"/>
  <c r="X1563" i="11"/>
  <c r="W1563" i="11"/>
  <c r="V1563" i="11"/>
  <c r="U1563" i="11"/>
  <c r="T1563" i="11"/>
  <c r="S1563" i="11"/>
  <c r="R1563" i="11"/>
  <c r="Q1563" i="11"/>
  <c r="P1563" i="11"/>
  <c r="O1563" i="11"/>
  <c r="N1563" i="11"/>
  <c r="M1563" i="11"/>
  <c r="L1563" i="11"/>
  <c r="K1563" i="11"/>
  <c r="J1563" i="11"/>
  <c r="AC1472" i="11"/>
  <c r="AB1472" i="11"/>
  <c r="AA1472" i="11"/>
  <c r="Z1472" i="11"/>
  <c r="Y1472" i="11"/>
  <c r="X1472" i="11"/>
  <c r="W1472" i="11"/>
  <c r="V1472" i="11"/>
  <c r="U1472" i="11"/>
  <c r="T1472" i="11"/>
  <c r="S1472" i="11"/>
  <c r="R1472" i="11"/>
  <c r="Q1472" i="11"/>
  <c r="P1472" i="11"/>
  <c r="O1472" i="11"/>
  <c r="N1472" i="11"/>
  <c r="M1472" i="11"/>
  <c r="L1472" i="11"/>
  <c r="K1472" i="11"/>
  <c r="J1472" i="11"/>
  <c r="AC725" i="11"/>
  <c r="AB725" i="11"/>
  <c r="AA725" i="11"/>
  <c r="Z725" i="11"/>
  <c r="Y725" i="11"/>
  <c r="X725" i="11"/>
  <c r="W725" i="11"/>
  <c r="V725" i="11"/>
  <c r="U725" i="11"/>
  <c r="T725" i="11"/>
  <c r="S725" i="11"/>
  <c r="R725" i="11"/>
  <c r="Q725" i="11"/>
  <c r="P725" i="11"/>
  <c r="O725" i="11"/>
  <c r="N725" i="11"/>
  <c r="M725" i="11"/>
  <c r="L725" i="11"/>
  <c r="K725" i="11"/>
  <c r="J725" i="11"/>
  <c r="AC568" i="11"/>
  <c r="AB568" i="11"/>
  <c r="AA568" i="11"/>
  <c r="Z568" i="11"/>
  <c r="Y568" i="11"/>
  <c r="X568" i="11"/>
  <c r="W568" i="11"/>
  <c r="V568" i="11"/>
  <c r="U568" i="11"/>
  <c r="T568" i="11"/>
  <c r="S568" i="11"/>
  <c r="R568" i="11"/>
  <c r="Q568" i="11"/>
  <c r="P568" i="11"/>
  <c r="O568" i="11"/>
  <c r="N568" i="11"/>
  <c r="M568" i="11"/>
  <c r="L568" i="11"/>
  <c r="K568" i="11"/>
  <c r="J568" i="11"/>
  <c r="AC724" i="11"/>
  <c r="AB724" i="11"/>
  <c r="AA724" i="11"/>
  <c r="Z724" i="11"/>
  <c r="Y724" i="11"/>
  <c r="X724" i="11"/>
  <c r="W724" i="11"/>
  <c r="V724" i="11"/>
  <c r="U724" i="11"/>
  <c r="T724" i="11"/>
  <c r="S724" i="11"/>
  <c r="R724" i="11"/>
  <c r="Q724" i="11"/>
  <c r="P724" i="11"/>
  <c r="O724" i="11"/>
  <c r="N724" i="11"/>
  <c r="M724" i="11"/>
  <c r="L724" i="11"/>
  <c r="K724" i="11"/>
  <c r="J724" i="11"/>
  <c r="AC2021" i="11"/>
  <c r="AB2021" i="11"/>
  <c r="AA2021" i="11"/>
  <c r="Z2021" i="11"/>
  <c r="Y2021" i="11"/>
  <c r="X2021" i="11"/>
  <c r="W2021" i="11"/>
  <c r="V2021" i="11"/>
  <c r="U2021" i="11"/>
  <c r="T2021" i="11"/>
  <c r="S2021" i="11"/>
  <c r="R2021" i="11"/>
  <c r="Q2021" i="11"/>
  <c r="P2021" i="11"/>
  <c r="O2021" i="11"/>
  <c r="N2021" i="11"/>
  <c r="M2021" i="11"/>
  <c r="L2021" i="11"/>
  <c r="K2021" i="11"/>
  <c r="J2021" i="11"/>
  <c r="AC1248" i="11"/>
  <c r="AB1248" i="11"/>
  <c r="AA1248" i="11"/>
  <c r="Z1248" i="11"/>
  <c r="Y1248" i="11"/>
  <c r="X1248" i="11"/>
  <c r="W1248" i="11"/>
  <c r="V1248" i="11"/>
  <c r="U1248" i="11"/>
  <c r="T1248" i="11"/>
  <c r="S1248" i="11"/>
  <c r="R1248" i="11"/>
  <c r="Q1248" i="11"/>
  <c r="P1248" i="11"/>
  <c r="O1248" i="11"/>
  <c r="N1248" i="11"/>
  <c r="M1248" i="11"/>
  <c r="L1248" i="11"/>
  <c r="K1248" i="11"/>
  <c r="J1248" i="11"/>
  <c r="AC2212" i="11"/>
  <c r="AB2212" i="11"/>
  <c r="AA2212" i="11"/>
  <c r="Z2212" i="11"/>
  <c r="Y2212" i="11"/>
  <c r="X2212" i="11"/>
  <c r="W2212" i="11"/>
  <c r="V2212" i="11"/>
  <c r="U2212" i="11"/>
  <c r="T2212" i="11"/>
  <c r="S2212" i="11"/>
  <c r="R2212" i="11"/>
  <c r="Q2212" i="11"/>
  <c r="P2212" i="11"/>
  <c r="O2212" i="11"/>
  <c r="N2212" i="11"/>
  <c r="M2212" i="11"/>
  <c r="L2212" i="11"/>
  <c r="K2212" i="11"/>
  <c r="J2212" i="11"/>
  <c r="AC1415" i="11"/>
  <c r="AB1415" i="11"/>
  <c r="AA1415" i="11"/>
  <c r="Z1415" i="11"/>
  <c r="Y1415" i="11"/>
  <c r="X1415" i="11"/>
  <c r="W1415" i="11"/>
  <c r="V1415" i="11"/>
  <c r="U1415" i="11"/>
  <c r="T1415" i="11"/>
  <c r="S1415" i="11"/>
  <c r="R1415" i="11"/>
  <c r="Q1415" i="11"/>
  <c r="P1415" i="11"/>
  <c r="O1415" i="11"/>
  <c r="N1415" i="11"/>
  <c r="M1415" i="11"/>
  <c r="L1415" i="11"/>
  <c r="K1415" i="11"/>
  <c r="J1415" i="11"/>
  <c r="AC1562" i="11"/>
  <c r="AB1562" i="11"/>
  <c r="AA1562" i="11"/>
  <c r="Z1562" i="11"/>
  <c r="Y1562" i="11"/>
  <c r="X1562" i="11"/>
  <c r="W1562" i="11"/>
  <c r="V1562" i="11"/>
  <c r="U1562" i="11"/>
  <c r="T1562" i="11"/>
  <c r="S1562" i="11"/>
  <c r="R1562" i="11"/>
  <c r="Q1562" i="11"/>
  <c r="P1562" i="11"/>
  <c r="O1562" i="11"/>
  <c r="N1562" i="11"/>
  <c r="M1562" i="11"/>
  <c r="L1562" i="11"/>
  <c r="K1562" i="11"/>
  <c r="J1562" i="11"/>
  <c r="AC1976" i="11"/>
  <c r="AB1976" i="11"/>
  <c r="AA1976" i="11"/>
  <c r="Z1976" i="11"/>
  <c r="Y1976" i="11"/>
  <c r="X1976" i="11"/>
  <c r="W1976" i="11"/>
  <c r="V1976" i="11"/>
  <c r="U1976" i="11"/>
  <c r="T1976" i="11"/>
  <c r="S1976" i="11"/>
  <c r="R1976" i="11"/>
  <c r="Q1976" i="11"/>
  <c r="P1976" i="11"/>
  <c r="O1976" i="11"/>
  <c r="N1976" i="11"/>
  <c r="M1976" i="11"/>
  <c r="L1976" i="11"/>
  <c r="K1976" i="11"/>
  <c r="J1976" i="11"/>
  <c r="AC1975" i="11"/>
  <c r="AB1975" i="11"/>
  <c r="AA1975" i="11"/>
  <c r="Z1975" i="11"/>
  <c r="Y1975" i="11"/>
  <c r="X1975" i="11"/>
  <c r="W1975" i="11"/>
  <c r="V1975" i="11"/>
  <c r="U1975" i="11"/>
  <c r="T1975" i="11"/>
  <c r="S1975" i="11"/>
  <c r="R1975" i="11"/>
  <c r="Q1975" i="11"/>
  <c r="P1975" i="11"/>
  <c r="O1975" i="11"/>
  <c r="N1975" i="11"/>
  <c r="M1975" i="11"/>
  <c r="L1975" i="11"/>
  <c r="K1975" i="11"/>
  <c r="J1975" i="11"/>
  <c r="AC1561" i="11"/>
  <c r="AB1561" i="11"/>
  <c r="AA1561" i="11"/>
  <c r="Z1561" i="11"/>
  <c r="Y1561" i="11"/>
  <c r="X1561" i="11"/>
  <c r="W1561" i="11"/>
  <c r="V1561" i="11"/>
  <c r="U1561" i="11"/>
  <c r="T1561" i="11"/>
  <c r="S1561" i="11"/>
  <c r="R1561" i="11"/>
  <c r="Q1561" i="11"/>
  <c r="P1561" i="11"/>
  <c r="O1561" i="11"/>
  <c r="N1561" i="11"/>
  <c r="M1561" i="11"/>
  <c r="L1561" i="11"/>
  <c r="K1561" i="11"/>
  <c r="J1561" i="11"/>
  <c r="AC1247" i="11"/>
  <c r="AB1247" i="11"/>
  <c r="AA1247" i="11"/>
  <c r="Z1247" i="11"/>
  <c r="Y1247" i="11"/>
  <c r="X1247" i="11"/>
  <c r="W1247" i="11"/>
  <c r="V1247" i="11"/>
  <c r="U1247" i="11"/>
  <c r="T1247" i="11"/>
  <c r="S1247" i="11"/>
  <c r="R1247" i="11"/>
  <c r="Q1247" i="11"/>
  <c r="P1247" i="11"/>
  <c r="O1247" i="11"/>
  <c r="N1247" i="11"/>
  <c r="M1247" i="11"/>
  <c r="L1247" i="11"/>
  <c r="K1247" i="11"/>
  <c r="J1247" i="11"/>
  <c r="AC2159" i="11"/>
  <c r="AB2159" i="11"/>
  <c r="AA2159" i="11"/>
  <c r="Z2159" i="11"/>
  <c r="Y2159" i="11"/>
  <c r="X2159" i="11"/>
  <c r="W2159" i="11"/>
  <c r="V2159" i="11"/>
  <c r="U2159" i="11"/>
  <c r="T2159" i="11"/>
  <c r="S2159" i="11"/>
  <c r="R2159" i="11"/>
  <c r="Q2159" i="11"/>
  <c r="P2159" i="11"/>
  <c r="O2159" i="11"/>
  <c r="N2159" i="11"/>
  <c r="M2159" i="11"/>
  <c r="L2159" i="11"/>
  <c r="K2159" i="11"/>
  <c r="J2159" i="11"/>
  <c r="AC1187" i="11"/>
  <c r="AB1187" i="11"/>
  <c r="AA1187" i="11"/>
  <c r="Z1187" i="11"/>
  <c r="Y1187" i="11"/>
  <c r="X1187" i="11"/>
  <c r="W1187" i="11"/>
  <c r="V1187" i="11"/>
  <c r="U1187" i="11"/>
  <c r="T1187" i="11"/>
  <c r="S1187" i="11"/>
  <c r="R1187" i="11"/>
  <c r="Q1187" i="11"/>
  <c r="P1187" i="11"/>
  <c r="O1187" i="11"/>
  <c r="N1187" i="11"/>
  <c r="M1187" i="11"/>
  <c r="L1187" i="11"/>
  <c r="K1187" i="11"/>
  <c r="J1187" i="11"/>
  <c r="AC723" i="11"/>
  <c r="AB723" i="11"/>
  <c r="AA723" i="11"/>
  <c r="Z723" i="11"/>
  <c r="Y723" i="11"/>
  <c r="X723" i="11"/>
  <c r="W723" i="11"/>
  <c r="V723" i="11"/>
  <c r="U723" i="11"/>
  <c r="T723" i="11"/>
  <c r="S723" i="11"/>
  <c r="R723" i="11"/>
  <c r="Q723" i="11"/>
  <c r="P723" i="11"/>
  <c r="O723" i="11"/>
  <c r="N723" i="11"/>
  <c r="M723" i="11"/>
  <c r="L723" i="11"/>
  <c r="K723" i="11"/>
  <c r="J723" i="11"/>
  <c r="AC1502" i="11"/>
  <c r="AB1502" i="11"/>
  <c r="AA1502" i="11"/>
  <c r="Z1502" i="11"/>
  <c r="Y1502" i="11"/>
  <c r="X1502" i="11"/>
  <c r="W1502" i="11"/>
  <c r="V1502" i="11"/>
  <c r="U1502" i="11"/>
  <c r="T1502" i="11"/>
  <c r="S1502" i="11"/>
  <c r="R1502" i="11"/>
  <c r="Q1502" i="11"/>
  <c r="P1502" i="11"/>
  <c r="O1502" i="11"/>
  <c r="N1502" i="11"/>
  <c r="M1502" i="11"/>
  <c r="L1502" i="11"/>
  <c r="K1502" i="11"/>
  <c r="J1502" i="11"/>
  <c r="AC1303" i="11"/>
  <c r="AB1303" i="11"/>
  <c r="AA1303" i="11"/>
  <c r="Z1303" i="11"/>
  <c r="Y1303" i="11"/>
  <c r="X1303" i="11"/>
  <c r="W1303" i="11"/>
  <c r="V1303" i="11"/>
  <c r="U1303" i="11"/>
  <c r="T1303" i="11"/>
  <c r="S1303" i="11"/>
  <c r="R1303" i="11"/>
  <c r="Q1303" i="11"/>
  <c r="P1303" i="11"/>
  <c r="O1303" i="11"/>
  <c r="N1303" i="11"/>
  <c r="M1303" i="11"/>
  <c r="L1303" i="11"/>
  <c r="K1303" i="11"/>
  <c r="J1303" i="11"/>
  <c r="AC358" i="11"/>
  <c r="AB358" i="11"/>
  <c r="AA358" i="11"/>
  <c r="Z358" i="11"/>
  <c r="Y358" i="11"/>
  <c r="X358" i="11"/>
  <c r="W358" i="11"/>
  <c r="V358" i="11"/>
  <c r="U358" i="11"/>
  <c r="T358" i="11"/>
  <c r="S358" i="11"/>
  <c r="R358" i="11"/>
  <c r="Q358" i="11"/>
  <c r="P358" i="11"/>
  <c r="O358" i="11"/>
  <c r="N358" i="11"/>
  <c r="M358" i="11"/>
  <c r="L358" i="11"/>
  <c r="K358" i="11"/>
  <c r="J358" i="11"/>
  <c r="AC357" i="11"/>
  <c r="AB357" i="11"/>
  <c r="AA357" i="11"/>
  <c r="Z357" i="11"/>
  <c r="Y357" i="11"/>
  <c r="X357" i="11"/>
  <c r="W357" i="11"/>
  <c r="V357" i="11"/>
  <c r="U357" i="11"/>
  <c r="T357" i="11"/>
  <c r="S357" i="11"/>
  <c r="R357" i="11"/>
  <c r="Q357" i="11"/>
  <c r="P357" i="11"/>
  <c r="O357" i="11"/>
  <c r="N357" i="11"/>
  <c r="M357" i="11"/>
  <c r="L357" i="11"/>
  <c r="K357" i="11"/>
  <c r="J357" i="11"/>
  <c r="AC1246" i="11"/>
  <c r="AB1246" i="11"/>
  <c r="AA1246" i="11"/>
  <c r="Z1246" i="11"/>
  <c r="Y1246" i="11"/>
  <c r="X1246" i="11"/>
  <c r="W1246" i="11"/>
  <c r="V1246" i="11"/>
  <c r="U1246" i="11"/>
  <c r="T1246" i="11"/>
  <c r="S1246" i="11"/>
  <c r="R1246" i="11"/>
  <c r="Q1246" i="11"/>
  <c r="P1246" i="11"/>
  <c r="O1246" i="11"/>
  <c r="N1246" i="11"/>
  <c r="M1246" i="11"/>
  <c r="L1246" i="11"/>
  <c r="K1246" i="11"/>
  <c r="J1246" i="11"/>
  <c r="AC2099" i="11"/>
  <c r="AB2099" i="11"/>
  <c r="AA2099" i="11"/>
  <c r="Z2099" i="11"/>
  <c r="Y2099" i="11"/>
  <c r="X2099" i="11"/>
  <c r="W2099" i="11"/>
  <c r="V2099" i="11"/>
  <c r="U2099" i="11"/>
  <c r="T2099" i="11"/>
  <c r="S2099" i="11"/>
  <c r="R2099" i="11"/>
  <c r="Q2099" i="11"/>
  <c r="P2099" i="11"/>
  <c r="O2099" i="11"/>
  <c r="N2099" i="11"/>
  <c r="M2099" i="11"/>
  <c r="L2099" i="11"/>
  <c r="K2099" i="11"/>
  <c r="J2099" i="11"/>
  <c r="AC2098" i="11"/>
  <c r="AB2098" i="11"/>
  <c r="AA2098" i="11"/>
  <c r="Z2098" i="11"/>
  <c r="Y2098" i="11"/>
  <c r="X2098" i="11"/>
  <c r="W2098" i="11"/>
  <c r="V2098" i="11"/>
  <c r="U2098" i="11"/>
  <c r="T2098" i="11"/>
  <c r="S2098" i="11"/>
  <c r="R2098" i="11"/>
  <c r="Q2098" i="11"/>
  <c r="P2098" i="11"/>
  <c r="O2098" i="11"/>
  <c r="N2098" i="11"/>
  <c r="M2098" i="11"/>
  <c r="L2098" i="11"/>
  <c r="K2098" i="11"/>
  <c r="J2098" i="11"/>
  <c r="AC722" i="11"/>
  <c r="AB722" i="11"/>
  <c r="AA722" i="11"/>
  <c r="Z722" i="11"/>
  <c r="Y722" i="11"/>
  <c r="X722" i="11"/>
  <c r="W722" i="11"/>
  <c r="V722" i="11"/>
  <c r="U722" i="11"/>
  <c r="T722" i="11"/>
  <c r="S722" i="11"/>
  <c r="R722" i="11"/>
  <c r="Q722" i="11"/>
  <c r="P722" i="11"/>
  <c r="O722" i="11"/>
  <c r="N722" i="11"/>
  <c r="M722" i="11"/>
  <c r="L722" i="11"/>
  <c r="K722" i="11"/>
  <c r="J722" i="11"/>
  <c r="AC1302" i="11"/>
  <c r="AB1302" i="11"/>
  <c r="AA1302" i="11"/>
  <c r="Z1302" i="11"/>
  <c r="Y1302" i="11"/>
  <c r="X1302" i="11"/>
  <c r="W1302" i="11"/>
  <c r="V1302" i="11"/>
  <c r="U1302" i="11"/>
  <c r="T1302" i="11"/>
  <c r="S1302" i="11"/>
  <c r="R1302" i="11"/>
  <c r="Q1302" i="11"/>
  <c r="P1302" i="11"/>
  <c r="O1302" i="11"/>
  <c r="N1302" i="11"/>
  <c r="M1302" i="11"/>
  <c r="L1302" i="11"/>
  <c r="K1302" i="11"/>
  <c r="J1302" i="11"/>
  <c r="AC567" i="11"/>
  <c r="AB567" i="11"/>
  <c r="AA567" i="11"/>
  <c r="Z567" i="11"/>
  <c r="Y567" i="11"/>
  <c r="X567" i="11"/>
  <c r="W567" i="11"/>
  <c r="V567" i="11"/>
  <c r="U567" i="11"/>
  <c r="T567" i="11"/>
  <c r="S567" i="11"/>
  <c r="R567" i="11"/>
  <c r="Q567" i="11"/>
  <c r="P567" i="11"/>
  <c r="O567" i="11"/>
  <c r="N567" i="11"/>
  <c r="M567" i="11"/>
  <c r="L567" i="11"/>
  <c r="K567" i="11"/>
  <c r="J567" i="11"/>
  <c r="AC796" i="11"/>
  <c r="AB796" i="11"/>
  <c r="AA796" i="11"/>
  <c r="Z796" i="11"/>
  <c r="Y796" i="11"/>
  <c r="X796" i="11"/>
  <c r="W796" i="11"/>
  <c r="V796" i="11"/>
  <c r="U796" i="11"/>
  <c r="T796" i="11"/>
  <c r="S796" i="11"/>
  <c r="R796" i="11"/>
  <c r="Q796" i="11"/>
  <c r="P796" i="11"/>
  <c r="O796" i="11"/>
  <c r="N796" i="11"/>
  <c r="M796" i="11"/>
  <c r="L796" i="11"/>
  <c r="K796" i="11"/>
  <c r="J796" i="11"/>
  <c r="AC946" i="11"/>
  <c r="AB946" i="11"/>
  <c r="AA946" i="11"/>
  <c r="Z946" i="11"/>
  <c r="Y946" i="11"/>
  <c r="X946" i="11"/>
  <c r="W946" i="11"/>
  <c r="V946" i="11"/>
  <c r="U946" i="11"/>
  <c r="T946" i="11"/>
  <c r="S946" i="11"/>
  <c r="R946" i="11"/>
  <c r="Q946" i="11"/>
  <c r="P946" i="11"/>
  <c r="O946" i="11"/>
  <c r="N946" i="11"/>
  <c r="M946" i="11"/>
  <c r="L946" i="11"/>
  <c r="K946" i="11"/>
  <c r="J946" i="11"/>
  <c r="AC446" i="11"/>
  <c r="AB446" i="11"/>
  <c r="AA446" i="11"/>
  <c r="Z446" i="11"/>
  <c r="Y446" i="11"/>
  <c r="X446" i="11"/>
  <c r="W446" i="11"/>
  <c r="V446" i="11"/>
  <c r="U446" i="11"/>
  <c r="T446" i="11"/>
  <c r="S446" i="11"/>
  <c r="R446" i="11"/>
  <c r="Q446" i="11"/>
  <c r="P446" i="11"/>
  <c r="O446" i="11"/>
  <c r="N446" i="11"/>
  <c r="M446" i="11"/>
  <c r="L446" i="11"/>
  <c r="K446" i="11"/>
  <c r="J446" i="11"/>
  <c r="AC1186" i="11"/>
  <c r="AB1186" i="11"/>
  <c r="AA1186" i="11"/>
  <c r="Z1186" i="11"/>
  <c r="Y1186" i="11"/>
  <c r="X1186" i="11"/>
  <c r="W1186" i="11"/>
  <c r="V1186" i="11"/>
  <c r="U1186" i="11"/>
  <c r="T1186" i="11"/>
  <c r="S1186" i="11"/>
  <c r="R1186" i="11"/>
  <c r="Q1186" i="11"/>
  <c r="P1186" i="11"/>
  <c r="O1186" i="11"/>
  <c r="N1186" i="11"/>
  <c r="M1186" i="11"/>
  <c r="L1186" i="11"/>
  <c r="K1186" i="11"/>
  <c r="J1186" i="11"/>
  <c r="AC1185" i="11"/>
  <c r="AB1185" i="11"/>
  <c r="AA1185" i="11"/>
  <c r="Z1185" i="11"/>
  <c r="Y1185" i="11"/>
  <c r="X1185" i="11"/>
  <c r="W1185" i="11"/>
  <c r="V1185" i="11"/>
  <c r="U1185" i="11"/>
  <c r="T1185" i="11"/>
  <c r="S1185" i="11"/>
  <c r="R1185" i="11"/>
  <c r="Q1185" i="11"/>
  <c r="P1185" i="11"/>
  <c r="O1185" i="11"/>
  <c r="N1185" i="11"/>
  <c r="M1185" i="11"/>
  <c r="L1185" i="11"/>
  <c r="K1185" i="11"/>
  <c r="J1185" i="11"/>
  <c r="AC1020" i="11"/>
  <c r="AB1020" i="11"/>
  <c r="AA1020" i="11"/>
  <c r="Z1020" i="11"/>
  <c r="Y1020" i="11"/>
  <c r="X1020" i="11"/>
  <c r="W1020" i="11"/>
  <c r="V1020" i="11"/>
  <c r="U1020" i="11"/>
  <c r="T1020" i="11"/>
  <c r="S1020" i="11"/>
  <c r="R1020" i="11"/>
  <c r="Q1020" i="11"/>
  <c r="P1020" i="11"/>
  <c r="O1020" i="11"/>
  <c r="N1020" i="11"/>
  <c r="M1020" i="11"/>
  <c r="L1020" i="11"/>
  <c r="K1020" i="11"/>
  <c r="J1020" i="11"/>
  <c r="AC356" i="11"/>
  <c r="AB356" i="11"/>
  <c r="AA356" i="11"/>
  <c r="Z356" i="11"/>
  <c r="Y356" i="11"/>
  <c r="X356" i="11"/>
  <c r="W356" i="11"/>
  <c r="V356" i="11"/>
  <c r="U356" i="11"/>
  <c r="T356" i="11"/>
  <c r="S356" i="11"/>
  <c r="R356" i="11"/>
  <c r="Q356" i="11"/>
  <c r="P356" i="11"/>
  <c r="O356" i="11"/>
  <c r="N356" i="11"/>
  <c r="M356" i="11"/>
  <c r="L356" i="11"/>
  <c r="K356" i="11"/>
  <c r="J356" i="11"/>
  <c r="AC632" i="11"/>
  <c r="AB632" i="11"/>
  <c r="AA632" i="11"/>
  <c r="Z632" i="11"/>
  <c r="Y632" i="11"/>
  <c r="X632" i="11"/>
  <c r="W632" i="11"/>
  <c r="V632" i="11"/>
  <c r="U632" i="11"/>
  <c r="T632" i="11"/>
  <c r="S632" i="11"/>
  <c r="R632" i="11"/>
  <c r="Q632" i="11"/>
  <c r="P632" i="11"/>
  <c r="O632" i="11"/>
  <c r="N632" i="11"/>
  <c r="M632" i="11"/>
  <c r="L632" i="11"/>
  <c r="K632" i="11"/>
  <c r="J632" i="11"/>
  <c r="AC1414" i="11"/>
  <c r="AB1414" i="11"/>
  <c r="AA1414" i="11"/>
  <c r="Z1414" i="11"/>
  <c r="Y1414" i="11"/>
  <c r="X1414" i="11"/>
  <c r="W1414" i="11"/>
  <c r="V1414" i="11"/>
  <c r="U1414" i="11"/>
  <c r="T1414" i="11"/>
  <c r="S1414" i="11"/>
  <c r="R1414" i="11"/>
  <c r="Q1414" i="11"/>
  <c r="P1414" i="11"/>
  <c r="O1414" i="11"/>
  <c r="N1414" i="11"/>
  <c r="M1414" i="11"/>
  <c r="L1414" i="11"/>
  <c r="K1414" i="11"/>
  <c r="J1414" i="11"/>
  <c r="AC1413" i="11"/>
  <c r="AB1413" i="11"/>
  <c r="AA1413" i="11"/>
  <c r="Z1413" i="11"/>
  <c r="Y1413" i="11"/>
  <c r="X1413" i="11"/>
  <c r="W1413" i="11"/>
  <c r="V1413" i="11"/>
  <c r="U1413" i="11"/>
  <c r="T1413" i="11"/>
  <c r="S1413" i="11"/>
  <c r="R1413" i="11"/>
  <c r="Q1413" i="11"/>
  <c r="P1413" i="11"/>
  <c r="O1413" i="11"/>
  <c r="N1413" i="11"/>
  <c r="M1413" i="11"/>
  <c r="L1413" i="11"/>
  <c r="K1413" i="11"/>
  <c r="J1413" i="11"/>
  <c r="AC355" i="11"/>
  <c r="AB355" i="11"/>
  <c r="AA355" i="11"/>
  <c r="Z355" i="11"/>
  <c r="Y355" i="11"/>
  <c r="X355" i="11"/>
  <c r="W355" i="11"/>
  <c r="V355" i="11"/>
  <c r="U355" i="11"/>
  <c r="T355" i="11"/>
  <c r="S355" i="11"/>
  <c r="R355" i="11"/>
  <c r="Q355" i="11"/>
  <c r="P355" i="11"/>
  <c r="O355" i="11"/>
  <c r="N355" i="11"/>
  <c r="M355" i="11"/>
  <c r="L355" i="11"/>
  <c r="K355" i="11"/>
  <c r="J355" i="11"/>
  <c r="AC721" i="11"/>
  <c r="AB721" i="11"/>
  <c r="AA721" i="11"/>
  <c r="Z721" i="11"/>
  <c r="Y721" i="11"/>
  <c r="X721" i="11"/>
  <c r="W721" i="11"/>
  <c r="V721" i="11"/>
  <c r="U721" i="11"/>
  <c r="T721" i="11"/>
  <c r="S721" i="11"/>
  <c r="R721" i="11"/>
  <c r="Q721" i="11"/>
  <c r="P721" i="11"/>
  <c r="O721" i="11"/>
  <c r="N721" i="11"/>
  <c r="M721" i="11"/>
  <c r="L721" i="11"/>
  <c r="K721" i="11"/>
  <c r="J721" i="11"/>
  <c r="AC2097" i="11"/>
  <c r="AB2097" i="11"/>
  <c r="AA2097" i="11"/>
  <c r="Z2097" i="11"/>
  <c r="Y2097" i="11"/>
  <c r="X2097" i="11"/>
  <c r="W2097" i="11"/>
  <c r="V2097" i="11"/>
  <c r="U2097" i="11"/>
  <c r="T2097" i="11"/>
  <c r="S2097" i="11"/>
  <c r="R2097" i="11"/>
  <c r="Q2097" i="11"/>
  <c r="P2097" i="11"/>
  <c r="O2097" i="11"/>
  <c r="N2097" i="11"/>
  <c r="M2097" i="11"/>
  <c r="L2097" i="11"/>
  <c r="K2097" i="11"/>
  <c r="J2097" i="11"/>
  <c r="AC1599" i="11"/>
  <c r="AB1599" i="11"/>
  <c r="AA1599" i="11"/>
  <c r="Z1599" i="11"/>
  <c r="Y1599" i="11"/>
  <c r="X1599" i="11"/>
  <c r="W1599" i="11"/>
  <c r="V1599" i="11"/>
  <c r="U1599" i="11"/>
  <c r="T1599" i="11"/>
  <c r="S1599" i="11"/>
  <c r="R1599" i="11"/>
  <c r="Q1599" i="11"/>
  <c r="P1599" i="11"/>
  <c r="O1599" i="11"/>
  <c r="N1599" i="11"/>
  <c r="M1599" i="11"/>
  <c r="L1599" i="11"/>
  <c r="K1599" i="11"/>
  <c r="J1599" i="11"/>
  <c r="AC945" i="11"/>
  <c r="AB945" i="11"/>
  <c r="AA945" i="11"/>
  <c r="Z945" i="11"/>
  <c r="Y945" i="11"/>
  <c r="X945" i="11"/>
  <c r="W945" i="11"/>
  <c r="V945" i="11"/>
  <c r="U945" i="11"/>
  <c r="T945" i="11"/>
  <c r="S945" i="11"/>
  <c r="R945" i="11"/>
  <c r="Q945" i="11"/>
  <c r="P945" i="11"/>
  <c r="O945" i="11"/>
  <c r="N945" i="11"/>
  <c r="M945" i="11"/>
  <c r="L945" i="11"/>
  <c r="K945" i="11"/>
  <c r="J945" i="11"/>
  <c r="AC1598" i="11"/>
  <c r="AB1598" i="11"/>
  <c r="AA1598" i="11"/>
  <c r="Z1598" i="11"/>
  <c r="Y1598" i="11"/>
  <c r="X1598" i="11"/>
  <c r="W1598" i="11"/>
  <c r="V1598" i="11"/>
  <c r="U1598" i="11"/>
  <c r="T1598" i="11"/>
  <c r="S1598" i="11"/>
  <c r="R1598" i="11"/>
  <c r="Q1598" i="11"/>
  <c r="P1598" i="11"/>
  <c r="O1598" i="11"/>
  <c r="N1598" i="11"/>
  <c r="M1598" i="11"/>
  <c r="L1598" i="11"/>
  <c r="K1598" i="11"/>
  <c r="J1598" i="11"/>
  <c r="AC132" i="11"/>
  <c r="AB132" i="11"/>
  <c r="AA132" i="11"/>
  <c r="Z132" i="11"/>
  <c r="Y132" i="11"/>
  <c r="X132" i="11"/>
  <c r="W132" i="11"/>
  <c r="V132" i="11"/>
  <c r="U132" i="11"/>
  <c r="T132" i="11"/>
  <c r="S132" i="11"/>
  <c r="R132" i="11"/>
  <c r="Q132" i="11"/>
  <c r="P132" i="11"/>
  <c r="O132" i="11"/>
  <c r="N132" i="11"/>
  <c r="M132" i="11"/>
  <c r="L132" i="11"/>
  <c r="K132" i="11"/>
  <c r="J132" i="11"/>
  <c r="AC861" i="11"/>
  <c r="AB861" i="11"/>
  <c r="AA861" i="11"/>
  <c r="Z861" i="11"/>
  <c r="Y861" i="11"/>
  <c r="X861" i="11"/>
  <c r="W861" i="11"/>
  <c r="V861" i="11"/>
  <c r="U861" i="11"/>
  <c r="T861" i="11"/>
  <c r="S861" i="11"/>
  <c r="R861" i="11"/>
  <c r="Q861" i="11"/>
  <c r="P861" i="11"/>
  <c r="O861" i="11"/>
  <c r="N861" i="11"/>
  <c r="M861" i="11"/>
  <c r="L861" i="11"/>
  <c r="K861" i="11"/>
  <c r="J861" i="11"/>
  <c r="AC1245" i="11"/>
  <c r="AB1245" i="11"/>
  <c r="AA1245" i="11"/>
  <c r="Z1245" i="11"/>
  <c r="Y1245" i="11"/>
  <c r="X1245" i="11"/>
  <c r="W1245" i="11"/>
  <c r="V1245" i="11"/>
  <c r="U1245" i="11"/>
  <c r="T1245" i="11"/>
  <c r="S1245" i="11"/>
  <c r="R1245" i="11"/>
  <c r="Q1245" i="11"/>
  <c r="P1245" i="11"/>
  <c r="O1245" i="11"/>
  <c r="N1245" i="11"/>
  <c r="M1245" i="11"/>
  <c r="L1245" i="11"/>
  <c r="K1245" i="11"/>
  <c r="J1245" i="11"/>
  <c r="AC500" i="11"/>
  <c r="AB500" i="11"/>
  <c r="AA500" i="11"/>
  <c r="Z500" i="11"/>
  <c r="Y500" i="11"/>
  <c r="X500" i="11"/>
  <c r="W500" i="11"/>
  <c r="V500" i="11"/>
  <c r="U500" i="11"/>
  <c r="T500" i="11"/>
  <c r="S500" i="11"/>
  <c r="R500" i="11"/>
  <c r="Q500" i="11"/>
  <c r="P500" i="11"/>
  <c r="O500" i="11"/>
  <c r="N500" i="11"/>
  <c r="M500" i="11"/>
  <c r="L500" i="11"/>
  <c r="K500" i="11"/>
  <c r="J500" i="11"/>
  <c r="AC944" i="11"/>
  <c r="AB944" i="11"/>
  <c r="AA944" i="11"/>
  <c r="Z944" i="11"/>
  <c r="Y944" i="11"/>
  <c r="X944" i="11"/>
  <c r="W944" i="11"/>
  <c r="V944" i="11"/>
  <c r="U944" i="11"/>
  <c r="T944" i="11"/>
  <c r="S944" i="11"/>
  <c r="R944" i="11"/>
  <c r="Q944" i="11"/>
  <c r="P944" i="11"/>
  <c r="O944" i="11"/>
  <c r="N944" i="11"/>
  <c r="M944" i="11"/>
  <c r="L944" i="11"/>
  <c r="K944" i="11"/>
  <c r="J944" i="11"/>
  <c r="AC1301" i="11"/>
  <c r="AB1301" i="11"/>
  <c r="AA1301" i="11"/>
  <c r="Z1301" i="11"/>
  <c r="Y1301" i="11"/>
  <c r="X1301" i="11"/>
  <c r="W1301" i="11"/>
  <c r="V1301" i="11"/>
  <c r="U1301" i="11"/>
  <c r="T1301" i="11"/>
  <c r="S1301" i="11"/>
  <c r="R1301" i="11"/>
  <c r="Q1301" i="11"/>
  <c r="P1301" i="11"/>
  <c r="O1301" i="11"/>
  <c r="N1301" i="11"/>
  <c r="M1301" i="11"/>
  <c r="L1301" i="11"/>
  <c r="K1301" i="11"/>
  <c r="J1301" i="11"/>
  <c r="AC1344" i="11"/>
  <c r="AB1344" i="11"/>
  <c r="AA1344" i="11"/>
  <c r="Z1344" i="11"/>
  <c r="Y1344" i="11"/>
  <c r="X1344" i="11"/>
  <c r="W1344" i="11"/>
  <c r="V1344" i="11"/>
  <c r="U1344" i="11"/>
  <c r="T1344" i="11"/>
  <c r="S1344" i="11"/>
  <c r="R1344" i="11"/>
  <c r="Q1344" i="11"/>
  <c r="P1344" i="11"/>
  <c r="O1344" i="11"/>
  <c r="N1344" i="11"/>
  <c r="M1344" i="11"/>
  <c r="L1344" i="11"/>
  <c r="K1344" i="11"/>
  <c r="J1344" i="11"/>
  <c r="AC1412" i="11"/>
  <c r="AB1412" i="11"/>
  <c r="AA1412" i="11"/>
  <c r="Z1412" i="11"/>
  <c r="Y1412" i="11"/>
  <c r="X1412" i="11"/>
  <c r="W1412" i="11"/>
  <c r="V1412" i="11"/>
  <c r="U1412" i="11"/>
  <c r="T1412" i="11"/>
  <c r="S1412" i="11"/>
  <c r="R1412" i="11"/>
  <c r="Q1412" i="11"/>
  <c r="P1412" i="11"/>
  <c r="O1412" i="11"/>
  <c r="N1412" i="11"/>
  <c r="M1412" i="11"/>
  <c r="L1412" i="11"/>
  <c r="K1412" i="11"/>
  <c r="J1412" i="11"/>
  <c r="AC2020" i="11"/>
  <c r="AB2020" i="11"/>
  <c r="AA2020" i="11"/>
  <c r="Z2020" i="11"/>
  <c r="Y2020" i="11"/>
  <c r="X2020" i="11"/>
  <c r="W2020" i="11"/>
  <c r="V2020" i="11"/>
  <c r="U2020" i="11"/>
  <c r="T2020" i="11"/>
  <c r="S2020" i="11"/>
  <c r="R2020" i="11"/>
  <c r="Q2020" i="11"/>
  <c r="P2020" i="11"/>
  <c r="O2020" i="11"/>
  <c r="N2020" i="11"/>
  <c r="M2020" i="11"/>
  <c r="L2020" i="11"/>
  <c r="K2020" i="11"/>
  <c r="J2020" i="11"/>
  <c r="AC1501" i="11"/>
  <c r="AB1501" i="11"/>
  <c r="AA1501" i="11"/>
  <c r="Z1501" i="11"/>
  <c r="Y1501" i="11"/>
  <c r="X1501" i="11"/>
  <c r="W1501" i="11"/>
  <c r="V1501" i="11"/>
  <c r="U1501" i="11"/>
  <c r="T1501" i="11"/>
  <c r="S1501" i="11"/>
  <c r="R1501" i="11"/>
  <c r="Q1501" i="11"/>
  <c r="P1501" i="11"/>
  <c r="O1501" i="11"/>
  <c r="N1501" i="11"/>
  <c r="M1501" i="11"/>
  <c r="L1501" i="11"/>
  <c r="K1501" i="11"/>
  <c r="J1501" i="11"/>
  <c r="AC2068" i="11"/>
  <c r="AB2068" i="11"/>
  <c r="AA2068" i="11"/>
  <c r="Z2068" i="11"/>
  <c r="Y2068" i="11"/>
  <c r="X2068" i="11"/>
  <c r="W2068" i="11"/>
  <c r="V2068" i="11"/>
  <c r="U2068" i="11"/>
  <c r="T2068" i="11"/>
  <c r="S2068" i="11"/>
  <c r="R2068" i="11"/>
  <c r="Q2068" i="11"/>
  <c r="P2068" i="11"/>
  <c r="O2068" i="11"/>
  <c r="N2068" i="11"/>
  <c r="M2068" i="11"/>
  <c r="L2068" i="11"/>
  <c r="K2068" i="11"/>
  <c r="J2068" i="11"/>
  <c r="AC445" i="11"/>
  <c r="AB445" i="11"/>
  <c r="AA445" i="11"/>
  <c r="Z445" i="11"/>
  <c r="Y445" i="11"/>
  <c r="X445" i="11"/>
  <c r="W445" i="11"/>
  <c r="V445" i="11"/>
  <c r="U445" i="11"/>
  <c r="T445" i="11"/>
  <c r="S445" i="11"/>
  <c r="R445" i="11"/>
  <c r="Q445" i="11"/>
  <c r="P445" i="11"/>
  <c r="O445" i="11"/>
  <c r="N445" i="11"/>
  <c r="M445" i="11"/>
  <c r="L445" i="11"/>
  <c r="K445" i="11"/>
  <c r="J445" i="11"/>
  <c r="AC1938" i="11"/>
  <c r="AB1938" i="11"/>
  <c r="AA1938" i="11"/>
  <c r="Z1938" i="11"/>
  <c r="Y1938" i="11"/>
  <c r="X1938" i="11"/>
  <c r="W1938" i="11"/>
  <c r="V1938" i="11"/>
  <c r="U1938" i="11"/>
  <c r="T1938" i="11"/>
  <c r="S1938" i="11"/>
  <c r="R1938" i="11"/>
  <c r="Q1938" i="11"/>
  <c r="P1938" i="11"/>
  <c r="O1938" i="11"/>
  <c r="N1938" i="11"/>
  <c r="M1938" i="11"/>
  <c r="L1938" i="11"/>
  <c r="K1938" i="11"/>
  <c r="J1938" i="11"/>
  <c r="AC720" i="11"/>
  <c r="AB720" i="11"/>
  <c r="AA720" i="11"/>
  <c r="Z720" i="11"/>
  <c r="Y720" i="11"/>
  <c r="X720" i="11"/>
  <c r="W720" i="11"/>
  <c r="V720" i="11"/>
  <c r="U720" i="11"/>
  <c r="T720" i="11"/>
  <c r="S720" i="11"/>
  <c r="R720" i="11"/>
  <c r="Q720" i="11"/>
  <c r="P720" i="11"/>
  <c r="O720" i="11"/>
  <c r="N720" i="11"/>
  <c r="M720" i="11"/>
  <c r="L720" i="11"/>
  <c r="K720" i="11"/>
  <c r="J720" i="11"/>
  <c r="AC1019" i="11"/>
  <c r="AB1019" i="11"/>
  <c r="AA1019" i="11"/>
  <c r="Z1019" i="11"/>
  <c r="Y1019" i="11"/>
  <c r="X1019" i="11"/>
  <c r="W1019" i="11"/>
  <c r="V1019" i="11"/>
  <c r="U1019" i="11"/>
  <c r="T1019" i="11"/>
  <c r="S1019" i="11"/>
  <c r="R1019" i="11"/>
  <c r="Q1019" i="11"/>
  <c r="P1019" i="11"/>
  <c r="O1019" i="11"/>
  <c r="N1019" i="11"/>
  <c r="M1019" i="11"/>
  <c r="L1019" i="11"/>
  <c r="K1019" i="11"/>
  <c r="J1019" i="11"/>
  <c r="AC2218" i="11"/>
  <c r="AB2218" i="11"/>
  <c r="AA2218" i="11"/>
  <c r="Z2218" i="11"/>
  <c r="Y2218" i="11"/>
  <c r="X2218" i="11"/>
  <c r="W2218" i="11"/>
  <c r="V2218" i="11"/>
  <c r="U2218" i="11"/>
  <c r="T2218" i="11"/>
  <c r="S2218" i="11"/>
  <c r="R2218" i="11"/>
  <c r="Q2218" i="11"/>
  <c r="P2218" i="11"/>
  <c r="O2218" i="11"/>
  <c r="N2218" i="11"/>
  <c r="M2218" i="11"/>
  <c r="L2218" i="11"/>
  <c r="K2218" i="11"/>
  <c r="J2218" i="11"/>
  <c r="AC2067" i="11"/>
  <c r="AB2067" i="11"/>
  <c r="AA2067" i="11"/>
  <c r="Z2067" i="11"/>
  <c r="Y2067" i="11"/>
  <c r="X2067" i="11"/>
  <c r="W2067" i="11"/>
  <c r="V2067" i="11"/>
  <c r="U2067" i="11"/>
  <c r="T2067" i="11"/>
  <c r="S2067" i="11"/>
  <c r="R2067" i="11"/>
  <c r="Q2067" i="11"/>
  <c r="P2067" i="11"/>
  <c r="O2067" i="11"/>
  <c r="N2067" i="11"/>
  <c r="M2067" i="11"/>
  <c r="L2067" i="11"/>
  <c r="K2067" i="11"/>
  <c r="J2067" i="11"/>
  <c r="AC444" i="11"/>
  <c r="AB444" i="11"/>
  <c r="AA444" i="11"/>
  <c r="Z444" i="11"/>
  <c r="Y444" i="11"/>
  <c r="X444" i="11"/>
  <c r="W444" i="11"/>
  <c r="V444" i="11"/>
  <c r="U444" i="11"/>
  <c r="T444" i="11"/>
  <c r="S444" i="11"/>
  <c r="R444" i="11"/>
  <c r="Q444" i="11"/>
  <c r="P444" i="11"/>
  <c r="O444" i="11"/>
  <c r="N444" i="11"/>
  <c r="M444" i="11"/>
  <c r="L444" i="11"/>
  <c r="K444" i="11"/>
  <c r="J444" i="11"/>
  <c r="AC1115" i="11"/>
  <c r="AB1115" i="11"/>
  <c r="AA1115" i="11"/>
  <c r="Z1115" i="11"/>
  <c r="Y1115" i="11"/>
  <c r="X1115" i="11"/>
  <c r="W1115" i="11"/>
  <c r="V1115" i="11"/>
  <c r="U1115" i="11"/>
  <c r="T1115" i="11"/>
  <c r="S1115" i="11"/>
  <c r="R1115" i="11"/>
  <c r="Q1115" i="11"/>
  <c r="P1115" i="11"/>
  <c r="O1115" i="11"/>
  <c r="N1115" i="11"/>
  <c r="M1115" i="11"/>
  <c r="L1115" i="11"/>
  <c r="K1115" i="11"/>
  <c r="J1115" i="11"/>
  <c r="AC1343" i="11"/>
  <c r="AB1343" i="11"/>
  <c r="AA1343" i="11"/>
  <c r="Z1343" i="11"/>
  <c r="Y1343" i="11"/>
  <c r="X1343" i="11"/>
  <c r="W1343" i="11"/>
  <c r="V1343" i="11"/>
  <c r="U1343" i="11"/>
  <c r="T1343" i="11"/>
  <c r="S1343" i="11"/>
  <c r="R1343" i="11"/>
  <c r="Q1343" i="11"/>
  <c r="P1343" i="11"/>
  <c r="O1343" i="11"/>
  <c r="N1343" i="11"/>
  <c r="M1343" i="11"/>
  <c r="L1343" i="11"/>
  <c r="K1343" i="11"/>
  <c r="J1343" i="11"/>
  <c r="AC1184" i="11"/>
  <c r="AB1184" i="11"/>
  <c r="AA1184" i="11"/>
  <c r="Z1184" i="11"/>
  <c r="Y1184" i="11"/>
  <c r="X1184" i="11"/>
  <c r="W1184" i="11"/>
  <c r="V1184" i="11"/>
  <c r="U1184" i="11"/>
  <c r="T1184" i="11"/>
  <c r="S1184" i="11"/>
  <c r="R1184" i="11"/>
  <c r="Q1184" i="11"/>
  <c r="P1184" i="11"/>
  <c r="O1184" i="11"/>
  <c r="N1184" i="11"/>
  <c r="M1184" i="11"/>
  <c r="L1184" i="11"/>
  <c r="K1184" i="11"/>
  <c r="J1184" i="11"/>
  <c r="AC1937" i="11"/>
  <c r="AB1937" i="11"/>
  <c r="AA1937" i="11"/>
  <c r="Z1937" i="11"/>
  <c r="Y1937" i="11"/>
  <c r="X1937" i="11"/>
  <c r="W1937" i="11"/>
  <c r="V1937" i="11"/>
  <c r="U1937" i="11"/>
  <c r="T1937" i="11"/>
  <c r="S1937" i="11"/>
  <c r="R1937" i="11"/>
  <c r="Q1937" i="11"/>
  <c r="P1937" i="11"/>
  <c r="O1937" i="11"/>
  <c r="N1937" i="11"/>
  <c r="M1937" i="11"/>
  <c r="L1937" i="11"/>
  <c r="K1937" i="11"/>
  <c r="J1937" i="11"/>
  <c r="AC1342" i="11"/>
  <c r="AB1342" i="11"/>
  <c r="AA1342" i="11"/>
  <c r="Z1342" i="11"/>
  <c r="Y1342" i="11"/>
  <c r="X1342" i="11"/>
  <c r="W1342" i="11"/>
  <c r="V1342" i="11"/>
  <c r="U1342" i="11"/>
  <c r="T1342" i="11"/>
  <c r="S1342" i="11"/>
  <c r="R1342" i="11"/>
  <c r="Q1342" i="11"/>
  <c r="P1342" i="11"/>
  <c r="O1342" i="11"/>
  <c r="N1342" i="11"/>
  <c r="M1342" i="11"/>
  <c r="L1342" i="11"/>
  <c r="K1342" i="11"/>
  <c r="J1342" i="11"/>
  <c r="AC499" i="11"/>
  <c r="AB499" i="11"/>
  <c r="AA499" i="11"/>
  <c r="Z499" i="11"/>
  <c r="Y499" i="11"/>
  <c r="X499" i="11"/>
  <c r="W499" i="11"/>
  <c r="V499" i="11"/>
  <c r="U499" i="11"/>
  <c r="T499" i="11"/>
  <c r="S499" i="11"/>
  <c r="R499" i="11"/>
  <c r="Q499" i="11"/>
  <c r="P499" i="11"/>
  <c r="O499" i="11"/>
  <c r="N499" i="11"/>
  <c r="M499" i="11"/>
  <c r="L499" i="11"/>
  <c r="K499" i="11"/>
  <c r="J499" i="11"/>
  <c r="AC860" i="11"/>
  <c r="AB860" i="11"/>
  <c r="AA860" i="11"/>
  <c r="Z860" i="11"/>
  <c r="Y860" i="11"/>
  <c r="X860" i="11"/>
  <c r="W860" i="11"/>
  <c r="V860" i="11"/>
  <c r="U860" i="11"/>
  <c r="T860" i="11"/>
  <c r="S860" i="11"/>
  <c r="R860" i="11"/>
  <c r="Q860" i="11"/>
  <c r="P860" i="11"/>
  <c r="O860" i="11"/>
  <c r="N860" i="11"/>
  <c r="M860" i="11"/>
  <c r="L860" i="11"/>
  <c r="K860" i="11"/>
  <c r="J860" i="11"/>
  <c r="AC1411" i="11"/>
  <c r="AB1411" i="11"/>
  <c r="AA1411" i="11"/>
  <c r="Z1411" i="11"/>
  <c r="Y1411" i="11"/>
  <c r="X1411" i="11"/>
  <c r="W1411" i="11"/>
  <c r="V1411" i="11"/>
  <c r="U1411" i="11"/>
  <c r="T1411" i="11"/>
  <c r="S1411" i="11"/>
  <c r="R1411" i="11"/>
  <c r="Q1411" i="11"/>
  <c r="P1411" i="11"/>
  <c r="O1411" i="11"/>
  <c r="N1411" i="11"/>
  <c r="M1411" i="11"/>
  <c r="L1411" i="11"/>
  <c r="K1411" i="11"/>
  <c r="J1411" i="11"/>
  <c r="AC323" i="11"/>
  <c r="AB323" i="11"/>
  <c r="AA323" i="11"/>
  <c r="Z323" i="11"/>
  <c r="Y323" i="11"/>
  <c r="X323" i="11"/>
  <c r="W323" i="11"/>
  <c r="V323" i="11"/>
  <c r="U323" i="11"/>
  <c r="T323" i="11"/>
  <c r="S323" i="11"/>
  <c r="R323" i="11"/>
  <c r="Q323" i="11"/>
  <c r="P323" i="11"/>
  <c r="O323" i="11"/>
  <c r="N323" i="11"/>
  <c r="M323" i="11"/>
  <c r="L323" i="11"/>
  <c r="K323" i="11"/>
  <c r="J323" i="11"/>
  <c r="AC566" i="11"/>
  <c r="AB566" i="11"/>
  <c r="AA566" i="11"/>
  <c r="Z566" i="11"/>
  <c r="Y566" i="11"/>
  <c r="X566" i="11"/>
  <c r="W566" i="11"/>
  <c r="V566" i="11"/>
  <c r="U566" i="11"/>
  <c r="T566" i="11"/>
  <c r="S566" i="11"/>
  <c r="R566" i="11"/>
  <c r="Q566" i="11"/>
  <c r="P566" i="11"/>
  <c r="O566" i="11"/>
  <c r="N566" i="11"/>
  <c r="M566" i="11"/>
  <c r="L566" i="11"/>
  <c r="K566" i="11"/>
  <c r="J566" i="11"/>
  <c r="AC1689" i="11"/>
  <c r="AB1689" i="11"/>
  <c r="AA1689" i="11"/>
  <c r="Z1689" i="11"/>
  <c r="Y1689" i="11"/>
  <c r="X1689" i="11"/>
  <c r="W1689" i="11"/>
  <c r="V1689" i="11"/>
  <c r="U1689" i="11"/>
  <c r="T1689" i="11"/>
  <c r="S1689" i="11"/>
  <c r="R1689" i="11"/>
  <c r="Q1689" i="11"/>
  <c r="P1689" i="11"/>
  <c r="O1689" i="11"/>
  <c r="N1689" i="11"/>
  <c r="M1689" i="11"/>
  <c r="L1689" i="11"/>
  <c r="K1689" i="11"/>
  <c r="J1689" i="11"/>
  <c r="AC1887" i="11"/>
  <c r="AB1887" i="11"/>
  <c r="AA1887" i="11"/>
  <c r="Z1887" i="11"/>
  <c r="Y1887" i="11"/>
  <c r="X1887" i="11"/>
  <c r="W1887" i="11"/>
  <c r="V1887" i="11"/>
  <c r="U1887" i="11"/>
  <c r="T1887" i="11"/>
  <c r="S1887" i="11"/>
  <c r="R1887" i="11"/>
  <c r="Q1887" i="11"/>
  <c r="P1887" i="11"/>
  <c r="O1887" i="11"/>
  <c r="N1887" i="11"/>
  <c r="M1887" i="11"/>
  <c r="L1887" i="11"/>
  <c r="K1887" i="11"/>
  <c r="J1887" i="11"/>
  <c r="AC1560" i="11"/>
  <c r="AB1560" i="11"/>
  <c r="AA1560" i="11"/>
  <c r="Z1560" i="11"/>
  <c r="Y1560" i="11"/>
  <c r="X1560" i="11"/>
  <c r="W1560" i="11"/>
  <c r="V1560" i="11"/>
  <c r="U1560" i="11"/>
  <c r="T1560" i="11"/>
  <c r="S1560" i="11"/>
  <c r="R1560" i="11"/>
  <c r="Q1560" i="11"/>
  <c r="P1560" i="11"/>
  <c r="O1560" i="11"/>
  <c r="N1560" i="11"/>
  <c r="M1560" i="11"/>
  <c r="L1560" i="11"/>
  <c r="K1560" i="11"/>
  <c r="J1560" i="11"/>
  <c r="AC443" i="11"/>
  <c r="AB443" i="11"/>
  <c r="AA443" i="11"/>
  <c r="Z443" i="11"/>
  <c r="Y443" i="11"/>
  <c r="X443" i="11"/>
  <c r="W443" i="11"/>
  <c r="V443" i="11"/>
  <c r="U443" i="11"/>
  <c r="T443" i="11"/>
  <c r="S443" i="11"/>
  <c r="R443" i="11"/>
  <c r="Q443" i="11"/>
  <c r="P443" i="11"/>
  <c r="O443" i="11"/>
  <c r="N443" i="11"/>
  <c r="M443" i="11"/>
  <c r="L443" i="11"/>
  <c r="K443" i="11"/>
  <c r="J443" i="11"/>
  <c r="AC1183" i="11"/>
  <c r="AB1183" i="11"/>
  <c r="AA1183" i="11"/>
  <c r="Z1183" i="11"/>
  <c r="Y1183" i="11"/>
  <c r="X1183" i="11"/>
  <c r="W1183" i="11"/>
  <c r="V1183" i="11"/>
  <c r="U1183" i="11"/>
  <c r="T1183" i="11"/>
  <c r="S1183" i="11"/>
  <c r="R1183" i="11"/>
  <c r="Q1183" i="11"/>
  <c r="P1183" i="11"/>
  <c r="O1183" i="11"/>
  <c r="N1183" i="11"/>
  <c r="M1183" i="11"/>
  <c r="L1183" i="11"/>
  <c r="K1183" i="11"/>
  <c r="J1183" i="11"/>
  <c r="AC1688" i="11"/>
  <c r="AB1688" i="11"/>
  <c r="AA1688" i="11"/>
  <c r="Z1688" i="11"/>
  <c r="Y1688" i="11"/>
  <c r="X1688" i="11"/>
  <c r="W1688" i="11"/>
  <c r="V1688" i="11"/>
  <c r="U1688" i="11"/>
  <c r="T1688" i="11"/>
  <c r="S1688" i="11"/>
  <c r="R1688" i="11"/>
  <c r="Q1688" i="11"/>
  <c r="P1688" i="11"/>
  <c r="O1688" i="11"/>
  <c r="N1688" i="11"/>
  <c r="M1688" i="11"/>
  <c r="L1688" i="11"/>
  <c r="K1688" i="11"/>
  <c r="J1688" i="11"/>
  <c r="AC1831" i="11"/>
  <c r="AB1831" i="11"/>
  <c r="AA1831" i="11"/>
  <c r="Z1831" i="11"/>
  <c r="Y1831" i="11"/>
  <c r="X1831" i="11"/>
  <c r="W1831" i="11"/>
  <c r="V1831" i="11"/>
  <c r="U1831" i="11"/>
  <c r="T1831" i="11"/>
  <c r="S1831" i="11"/>
  <c r="R1831" i="11"/>
  <c r="Q1831" i="11"/>
  <c r="P1831" i="11"/>
  <c r="O1831" i="11"/>
  <c r="N1831" i="11"/>
  <c r="M1831" i="11"/>
  <c r="L1831" i="11"/>
  <c r="K1831" i="11"/>
  <c r="J1831" i="11"/>
  <c r="AC1783" i="11"/>
  <c r="AB1783" i="11"/>
  <c r="AA1783" i="11"/>
  <c r="Z1783" i="11"/>
  <c r="Y1783" i="11"/>
  <c r="X1783" i="11"/>
  <c r="W1783" i="11"/>
  <c r="V1783" i="11"/>
  <c r="U1783" i="11"/>
  <c r="T1783" i="11"/>
  <c r="S1783" i="11"/>
  <c r="R1783" i="11"/>
  <c r="Q1783" i="11"/>
  <c r="P1783" i="11"/>
  <c r="O1783" i="11"/>
  <c r="N1783" i="11"/>
  <c r="M1783" i="11"/>
  <c r="L1783" i="11"/>
  <c r="K1783" i="11"/>
  <c r="J1783" i="11"/>
  <c r="AC2066" i="11"/>
  <c r="AB2066" i="11"/>
  <c r="AA2066" i="11"/>
  <c r="Z2066" i="11"/>
  <c r="Y2066" i="11"/>
  <c r="X2066" i="11"/>
  <c r="W2066" i="11"/>
  <c r="V2066" i="11"/>
  <c r="U2066" i="11"/>
  <c r="T2066" i="11"/>
  <c r="S2066" i="11"/>
  <c r="R2066" i="11"/>
  <c r="Q2066" i="11"/>
  <c r="P2066" i="11"/>
  <c r="O2066" i="11"/>
  <c r="N2066" i="11"/>
  <c r="M2066" i="11"/>
  <c r="L2066" i="11"/>
  <c r="K2066" i="11"/>
  <c r="J2066" i="11"/>
  <c r="AC1886" i="11"/>
  <c r="AB1886" i="11"/>
  <c r="AA1886" i="11"/>
  <c r="Z1886" i="11"/>
  <c r="Y1886" i="11"/>
  <c r="X1886" i="11"/>
  <c r="W1886" i="11"/>
  <c r="V1886" i="11"/>
  <c r="U1886" i="11"/>
  <c r="T1886" i="11"/>
  <c r="S1886" i="11"/>
  <c r="R1886" i="11"/>
  <c r="Q1886" i="11"/>
  <c r="P1886" i="11"/>
  <c r="O1886" i="11"/>
  <c r="N1886" i="11"/>
  <c r="M1886" i="11"/>
  <c r="L1886" i="11"/>
  <c r="K1886" i="11"/>
  <c r="J1886" i="11"/>
  <c r="AC354" i="11"/>
  <c r="AB354" i="11"/>
  <c r="AA354" i="11"/>
  <c r="Z354" i="11"/>
  <c r="Y354" i="11"/>
  <c r="X354" i="11"/>
  <c r="W354" i="11"/>
  <c r="V354" i="11"/>
  <c r="U354" i="11"/>
  <c r="T354" i="11"/>
  <c r="S354" i="11"/>
  <c r="R354" i="11"/>
  <c r="Q354" i="11"/>
  <c r="P354" i="11"/>
  <c r="O354" i="11"/>
  <c r="N354" i="11"/>
  <c r="M354" i="11"/>
  <c r="L354" i="11"/>
  <c r="K354" i="11"/>
  <c r="J354" i="11"/>
  <c r="AC1471" i="11"/>
  <c r="AB1471" i="11"/>
  <c r="AA1471" i="11"/>
  <c r="Z1471" i="11"/>
  <c r="Y1471" i="11"/>
  <c r="X1471" i="11"/>
  <c r="W1471" i="11"/>
  <c r="V1471" i="11"/>
  <c r="U1471" i="11"/>
  <c r="T1471" i="11"/>
  <c r="S1471" i="11"/>
  <c r="R1471" i="11"/>
  <c r="Q1471" i="11"/>
  <c r="P1471" i="11"/>
  <c r="O1471" i="11"/>
  <c r="N1471" i="11"/>
  <c r="M1471" i="11"/>
  <c r="L1471" i="11"/>
  <c r="K1471" i="11"/>
  <c r="J1471" i="11"/>
  <c r="AC719" i="11"/>
  <c r="AB719" i="11"/>
  <c r="AA719" i="11"/>
  <c r="Z719" i="11"/>
  <c r="Y719" i="11"/>
  <c r="X719" i="11"/>
  <c r="W719" i="11"/>
  <c r="V719" i="11"/>
  <c r="U719" i="11"/>
  <c r="T719" i="11"/>
  <c r="S719" i="11"/>
  <c r="R719" i="11"/>
  <c r="Q719" i="11"/>
  <c r="P719" i="11"/>
  <c r="O719" i="11"/>
  <c r="N719" i="11"/>
  <c r="M719" i="11"/>
  <c r="L719" i="11"/>
  <c r="K719" i="11"/>
  <c r="J719" i="11"/>
  <c r="AC718" i="11"/>
  <c r="AB718" i="11"/>
  <c r="AA718" i="11"/>
  <c r="Z718" i="11"/>
  <c r="Y718" i="11"/>
  <c r="X718" i="11"/>
  <c r="W718" i="11"/>
  <c r="V718" i="11"/>
  <c r="U718" i="11"/>
  <c r="T718" i="11"/>
  <c r="S718" i="11"/>
  <c r="R718" i="11"/>
  <c r="Q718" i="11"/>
  <c r="P718" i="11"/>
  <c r="O718" i="11"/>
  <c r="N718" i="11"/>
  <c r="M718" i="11"/>
  <c r="L718" i="11"/>
  <c r="K718" i="11"/>
  <c r="J718" i="11"/>
  <c r="AC1018" i="11"/>
  <c r="AB1018" i="11"/>
  <c r="AA1018" i="11"/>
  <c r="Z1018" i="11"/>
  <c r="Y1018" i="11"/>
  <c r="X1018" i="11"/>
  <c r="W1018" i="11"/>
  <c r="V1018" i="11"/>
  <c r="U1018" i="11"/>
  <c r="T1018" i="11"/>
  <c r="S1018" i="11"/>
  <c r="R1018" i="11"/>
  <c r="Q1018" i="11"/>
  <c r="P1018" i="11"/>
  <c r="O1018" i="11"/>
  <c r="N1018" i="11"/>
  <c r="M1018" i="11"/>
  <c r="L1018" i="11"/>
  <c r="K1018" i="11"/>
  <c r="J1018" i="11"/>
  <c r="AC1974" i="11"/>
  <c r="AB1974" i="11"/>
  <c r="AA1974" i="11"/>
  <c r="Z1974" i="11"/>
  <c r="Y1974" i="11"/>
  <c r="X1974" i="11"/>
  <c r="W1974" i="11"/>
  <c r="V1974" i="11"/>
  <c r="U1974" i="11"/>
  <c r="T1974" i="11"/>
  <c r="S1974" i="11"/>
  <c r="R1974" i="11"/>
  <c r="Q1974" i="11"/>
  <c r="P1974" i="11"/>
  <c r="O1974" i="11"/>
  <c r="N1974" i="11"/>
  <c r="M1974" i="11"/>
  <c r="L1974" i="11"/>
  <c r="K1974" i="11"/>
  <c r="J1974" i="11"/>
  <c r="AC1635" i="11"/>
  <c r="AB1635" i="11"/>
  <c r="AA1635" i="11"/>
  <c r="Z1635" i="11"/>
  <c r="Y1635" i="11"/>
  <c r="X1635" i="11"/>
  <c r="W1635" i="11"/>
  <c r="V1635" i="11"/>
  <c r="U1635" i="11"/>
  <c r="T1635" i="11"/>
  <c r="S1635" i="11"/>
  <c r="R1635" i="11"/>
  <c r="Q1635" i="11"/>
  <c r="P1635" i="11"/>
  <c r="O1635" i="11"/>
  <c r="N1635" i="11"/>
  <c r="M1635" i="11"/>
  <c r="L1635" i="11"/>
  <c r="K1635" i="11"/>
  <c r="J1635" i="11"/>
  <c r="AC1559" i="11"/>
  <c r="AB1559" i="11"/>
  <c r="AA1559" i="11"/>
  <c r="Z1559" i="11"/>
  <c r="Y1559" i="11"/>
  <c r="X1559" i="11"/>
  <c r="W1559" i="11"/>
  <c r="V1559" i="11"/>
  <c r="U1559" i="11"/>
  <c r="T1559" i="11"/>
  <c r="S1559" i="11"/>
  <c r="R1559" i="11"/>
  <c r="Q1559" i="11"/>
  <c r="P1559" i="11"/>
  <c r="O1559" i="11"/>
  <c r="N1559" i="11"/>
  <c r="M1559" i="11"/>
  <c r="L1559" i="11"/>
  <c r="J1559" i="11"/>
  <c r="AC1885" i="11"/>
  <c r="AB1885" i="11"/>
  <c r="AA1885" i="11"/>
  <c r="Z1885" i="11"/>
  <c r="Y1885" i="11"/>
  <c r="X1885" i="11"/>
  <c r="W1885" i="11"/>
  <c r="V1885" i="11"/>
  <c r="U1885" i="11"/>
  <c r="T1885" i="11"/>
  <c r="S1885" i="11"/>
  <c r="R1885" i="11"/>
  <c r="Q1885" i="11"/>
  <c r="P1885" i="11"/>
  <c r="O1885" i="11"/>
  <c r="N1885" i="11"/>
  <c r="M1885" i="11"/>
  <c r="L1885" i="11"/>
  <c r="K1885" i="11"/>
  <c r="J1885" i="11"/>
  <c r="AC795" i="11"/>
  <c r="AB795" i="11"/>
  <c r="AA795" i="11"/>
  <c r="Z795" i="11"/>
  <c r="Y795" i="11"/>
  <c r="X795" i="11"/>
  <c r="W795" i="11"/>
  <c r="V795" i="11"/>
  <c r="U795" i="11"/>
  <c r="T795" i="11"/>
  <c r="S795" i="11"/>
  <c r="R795" i="11"/>
  <c r="Q795" i="11"/>
  <c r="P795" i="11"/>
  <c r="O795" i="11"/>
  <c r="N795" i="11"/>
  <c r="M795" i="11"/>
  <c r="L795" i="11"/>
  <c r="K795" i="11"/>
  <c r="J795" i="11"/>
  <c r="AC1470" i="11"/>
  <c r="AB1470" i="11"/>
  <c r="AA1470" i="11"/>
  <c r="Z1470" i="11"/>
  <c r="Y1470" i="11"/>
  <c r="X1470" i="11"/>
  <c r="W1470" i="11"/>
  <c r="V1470" i="11"/>
  <c r="U1470" i="11"/>
  <c r="T1470" i="11"/>
  <c r="S1470" i="11"/>
  <c r="R1470" i="11"/>
  <c r="Q1470" i="11"/>
  <c r="P1470" i="11"/>
  <c r="O1470" i="11"/>
  <c r="N1470" i="11"/>
  <c r="M1470" i="11"/>
  <c r="L1470" i="11"/>
  <c r="K1470" i="11"/>
  <c r="J1470" i="11"/>
  <c r="AC1244" i="11"/>
  <c r="AB1244" i="11"/>
  <c r="AA1244" i="11"/>
  <c r="Z1244" i="11"/>
  <c r="Y1244" i="11"/>
  <c r="X1244" i="11"/>
  <c r="W1244" i="11"/>
  <c r="V1244" i="11"/>
  <c r="U1244" i="11"/>
  <c r="T1244" i="11"/>
  <c r="S1244" i="11"/>
  <c r="R1244" i="11"/>
  <c r="Q1244" i="11"/>
  <c r="P1244" i="11"/>
  <c r="O1244" i="11"/>
  <c r="N1244" i="11"/>
  <c r="M1244" i="11"/>
  <c r="L1244" i="11"/>
  <c r="K1244" i="11"/>
  <c r="J1244" i="11"/>
  <c r="AC1243" i="11"/>
  <c r="AB1243" i="11"/>
  <c r="AA1243" i="11"/>
  <c r="Z1243" i="11"/>
  <c r="Y1243" i="11"/>
  <c r="X1243" i="11"/>
  <c r="W1243" i="11"/>
  <c r="V1243" i="11"/>
  <c r="U1243" i="11"/>
  <c r="T1243" i="11"/>
  <c r="S1243" i="11"/>
  <c r="R1243" i="11"/>
  <c r="Q1243" i="11"/>
  <c r="P1243" i="11"/>
  <c r="O1243" i="11"/>
  <c r="N1243" i="11"/>
  <c r="M1243" i="11"/>
  <c r="L1243" i="11"/>
  <c r="K1243" i="11"/>
  <c r="J1243" i="11"/>
  <c r="AC322" i="11"/>
  <c r="AB322" i="11"/>
  <c r="AA322" i="11"/>
  <c r="Z322" i="11"/>
  <c r="Y322" i="11"/>
  <c r="X322" i="11"/>
  <c r="W322" i="11"/>
  <c r="V322" i="11"/>
  <c r="U322" i="11"/>
  <c r="T322" i="11"/>
  <c r="S322" i="11"/>
  <c r="R322" i="11"/>
  <c r="Q322" i="11"/>
  <c r="P322" i="11"/>
  <c r="O322" i="11"/>
  <c r="N322" i="11"/>
  <c r="M322" i="11"/>
  <c r="L322" i="11"/>
  <c r="K322" i="11"/>
  <c r="J322" i="11"/>
  <c r="AC631" i="11"/>
  <c r="AB631" i="11"/>
  <c r="AA631" i="11"/>
  <c r="Z631" i="11"/>
  <c r="Y631" i="11"/>
  <c r="X631" i="11"/>
  <c r="W631" i="11"/>
  <c r="V631" i="11"/>
  <c r="U631" i="11"/>
  <c r="T631" i="11"/>
  <c r="S631" i="11"/>
  <c r="R631" i="11"/>
  <c r="Q631" i="11"/>
  <c r="P631" i="11"/>
  <c r="O631" i="11"/>
  <c r="N631" i="11"/>
  <c r="M631" i="11"/>
  <c r="L631" i="11"/>
  <c r="K631" i="11"/>
  <c r="J631" i="11"/>
  <c r="AC2131" i="11"/>
  <c r="AB2131" i="11"/>
  <c r="AA2131" i="11"/>
  <c r="Z2131" i="11"/>
  <c r="Y2131" i="11"/>
  <c r="X2131" i="11"/>
  <c r="W2131" i="11"/>
  <c r="V2131" i="11"/>
  <c r="U2131" i="11"/>
  <c r="T2131" i="11"/>
  <c r="S2131" i="11"/>
  <c r="R2131" i="11"/>
  <c r="Q2131" i="11"/>
  <c r="P2131" i="11"/>
  <c r="O2131" i="11"/>
  <c r="N2131" i="11"/>
  <c r="M2131" i="11"/>
  <c r="L2131" i="11"/>
  <c r="K2131" i="11"/>
  <c r="J2131" i="11"/>
  <c r="AC1558" i="11"/>
  <c r="AB1558" i="11"/>
  <c r="AA1558" i="11"/>
  <c r="Z1558" i="11"/>
  <c r="Y1558" i="11"/>
  <c r="X1558" i="11"/>
  <c r="W1558" i="11"/>
  <c r="V1558" i="11"/>
  <c r="U1558" i="11"/>
  <c r="T1558" i="11"/>
  <c r="S1558" i="11"/>
  <c r="R1558" i="11"/>
  <c r="Q1558" i="11"/>
  <c r="P1558" i="11"/>
  <c r="O1558" i="11"/>
  <c r="N1558" i="11"/>
  <c r="M1558" i="11"/>
  <c r="L1558" i="11"/>
  <c r="K1558" i="11"/>
  <c r="J1558" i="11"/>
  <c r="AC1557" i="11"/>
  <c r="AB1557" i="11"/>
  <c r="AA1557" i="11"/>
  <c r="Z1557" i="11"/>
  <c r="Y1557" i="11"/>
  <c r="X1557" i="11"/>
  <c r="W1557" i="11"/>
  <c r="V1557" i="11"/>
  <c r="U1557" i="11"/>
  <c r="T1557" i="11"/>
  <c r="S1557" i="11"/>
  <c r="R1557" i="11"/>
  <c r="Q1557" i="11"/>
  <c r="P1557" i="11"/>
  <c r="O1557" i="11"/>
  <c r="N1557" i="11"/>
  <c r="M1557" i="11"/>
  <c r="L1557" i="11"/>
  <c r="K1557" i="11"/>
  <c r="J1557" i="11"/>
  <c r="AC1830" i="11"/>
  <c r="AB1830" i="11"/>
  <c r="AA1830" i="11"/>
  <c r="Z1830" i="11"/>
  <c r="Y1830" i="11"/>
  <c r="X1830" i="11"/>
  <c r="W1830" i="11"/>
  <c r="V1830" i="11"/>
  <c r="U1830" i="11"/>
  <c r="T1830" i="11"/>
  <c r="S1830" i="11"/>
  <c r="R1830" i="11"/>
  <c r="Q1830" i="11"/>
  <c r="P1830" i="11"/>
  <c r="O1830" i="11"/>
  <c r="N1830" i="11"/>
  <c r="M1830" i="11"/>
  <c r="L1830" i="11"/>
  <c r="K1830" i="11"/>
  <c r="J1830" i="11"/>
  <c r="AC353" i="11"/>
  <c r="AB353" i="11"/>
  <c r="AA353" i="11"/>
  <c r="Z353" i="11"/>
  <c r="Y353" i="11"/>
  <c r="X353" i="11"/>
  <c r="W353" i="11"/>
  <c r="V353" i="11"/>
  <c r="U353" i="11"/>
  <c r="T353" i="11"/>
  <c r="S353" i="11"/>
  <c r="R353" i="11"/>
  <c r="Q353" i="11"/>
  <c r="P353" i="11"/>
  <c r="O353" i="11"/>
  <c r="N353" i="11"/>
  <c r="M353" i="11"/>
  <c r="L353" i="11"/>
  <c r="K353" i="11"/>
  <c r="J353" i="11"/>
  <c r="AC1410" i="11"/>
  <c r="AB1410" i="11"/>
  <c r="AA1410" i="11"/>
  <c r="Z1410" i="11"/>
  <c r="Y1410" i="11"/>
  <c r="X1410" i="11"/>
  <c r="W1410" i="11"/>
  <c r="V1410" i="11"/>
  <c r="U1410" i="11"/>
  <c r="T1410" i="11"/>
  <c r="S1410" i="11"/>
  <c r="R1410" i="11"/>
  <c r="Q1410" i="11"/>
  <c r="P1410" i="11"/>
  <c r="O1410" i="11"/>
  <c r="N1410" i="11"/>
  <c r="M1410" i="11"/>
  <c r="L1410" i="11"/>
  <c r="K1410" i="11"/>
  <c r="J1410" i="11"/>
  <c r="AC1114" i="11"/>
  <c r="AB1114" i="11"/>
  <c r="AA1114" i="11"/>
  <c r="Z1114" i="11"/>
  <c r="Y1114" i="11"/>
  <c r="X1114" i="11"/>
  <c r="W1114" i="11"/>
  <c r="V1114" i="11"/>
  <c r="U1114" i="11"/>
  <c r="T1114" i="11"/>
  <c r="S1114" i="11"/>
  <c r="R1114" i="11"/>
  <c r="Q1114" i="11"/>
  <c r="P1114" i="11"/>
  <c r="O1114" i="11"/>
  <c r="N1114" i="11"/>
  <c r="M1114" i="11"/>
  <c r="L1114" i="11"/>
  <c r="K1114" i="11"/>
  <c r="J1114" i="11"/>
  <c r="AC1829" i="11"/>
  <c r="AB1829" i="11"/>
  <c r="AA1829" i="11"/>
  <c r="Z1829" i="11"/>
  <c r="Y1829" i="11"/>
  <c r="X1829" i="11"/>
  <c r="W1829" i="11"/>
  <c r="V1829" i="11"/>
  <c r="U1829" i="11"/>
  <c r="T1829" i="11"/>
  <c r="S1829" i="11"/>
  <c r="R1829" i="11"/>
  <c r="Q1829" i="11"/>
  <c r="P1829" i="11"/>
  <c r="O1829" i="11"/>
  <c r="N1829" i="11"/>
  <c r="M1829" i="11"/>
  <c r="L1829" i="11"/>
  <c r="K1829" i="11"/>
  <c r="J1829" i="11"/>
  <c r="AC1182" i="11"/>
  <c r="AB1182" i="11"/>
  <c r="AA1182" i="11"/>
  <c r="Z1182" i="11"/>
  <c r="Y1182" i="11"/>
  <c r="X1182" i="11"/>
  <c r="W1182" i="11"/>
  <c r="V1182" i="11"/>
  <c r="U1182" i="11"/>
  <c r="T1182" i="11"/>
  <c r="S1182" i="11"/>
  <c r="R1182" i="11"/>
  <c r="Q1182" i="11"/>
  <c r="P1182" i="11"/>
  <c r="O1182" i="11"/>
  <c r="N1182" i="11"/>
  <c r="M1182" i="11"/>
  <c r="L1182" i="11"/>
  <c r="K1182" i="11"/>
  <c r="J1182" i="11"/>
  <c r="AC859" i="11"/>
  <c r="AB859" i="11"/>
  <c r="AA859" i="11"/>
  <c r="Z859" i="11"/>
  <c r="Y859" i="11"/>
  <c r="X859" i="11"/>
  <c r="W859" i="11"/>
  <c r="V859" i="11"/>
  <c r="U859" i="11"/>
  <c r="T859" i="11"/>
  <c r="S859" i="11"/>
  <c r="R859" i="11"/>
  <c r="Q859" i="11"/>
  <c r="P859" i="11"/>
  <c r="O859" i="11"/>
  <c r="N859" i="11"/>
  <c r="M859" i="11"/>
  <c r="L859" i="11"/>
  <c r="K859" i="11"/>
  <c r="J859" i="11"/>
  <c r="AC1687" i="11"/>
  <c r="AB1687" i="11"/>
  <c r="AA1687" i="11"/>
  <c r="Z1687" i="11"/>
  <c r="Y1687" i="11"/>
  <c r="X1687" i="11"/>
  <c r="W1687" i="11"/>
  <c r="V1687" i="11"/>
  <c r="U1687" i="11"/>
  <c r="T1687" i="11"/>
  <c r="S1687" i="11"/>
  <c r="R1687" i="11"/>
  <c r="Q1687" i="11"/>
  <c r="P1687" i="11"/>
  <c r="O1687" i="11"/>
  <c r="N1687" i="11"/>
  <c r="M1687" i="11"/>
  <c r="L1687" i="11"/>
  <c r="K1687" i="11"/>
  <c r="J1687" i="11"/>
  <c r="AC72" i="11"/>
  <c r="AB72" i="11"/>
  <c r="AA72" i="11"/>
  <c r="Z72" i="11"/>
  <c r="Y72" i="11"/>
  <c r="X72" i="11"/>
  <c r="W72" i="11"/>
  <c r="V72" i="11"/>
  <c r="U72" i="11"/>
  <c r="T72" i="11"/>
  <c r="S72" i="11"/>
  <c r="R72" i="11"/>
  <c r="Q72" i="11"/>
  <c r="P72" i="11"/>
  <c r="O72" i="11"/>
  <c r="N72" i="11"/>
  <c r="M72" i="11"/>
  <c r="L72" i="11"/>
  <c r="K72" i="11"/>
  <c r="J72" i="11"/>
  <c r="AC1300" i="11"/>
  <c r="AB1300" i="11"/>
  <c r="AA1300" i="11"/>
  <c r="Z1300" i="11"/>
  <c r="Y1300" i="11"/>
  <c r="X1300" i="11"/>
  <c r="W1300" i="11"/>
  <c r="V1300" i="11"/>
  <c r="U1300" i="11"/>
  <c r="T1300" i="11"/>
  <c r="S1300" i="11"/>
  <c r="R1300" i="11"/>
  <c r="Q1300" i="11"/>
  <c r="P1300" i="11"/>
  <c r="O1300" i="11"/>
  <c r="N1300" i="11"/>
  <c r="M1300" i="11"/>
  <c r="L1300" i="11"/>
  <c r="K1300" i="11"/>
  <c r="J1300" i="11"/>
  <c r="AC1936" i="11"/>
  <c r="AB1936" i="11"/>
  <c r="AA1936" i="11"/>
  <c r="Z1936" i="11"/>
  <c r="Y1936" i="11"/>
  <c r="X1936" i="11"/>
  <c r="W1936" i="11"/>
  <c r="V1936" i="11"/>
  <c r="U1936" i="11"/>
  <c r="T1936" i="11"/>
  <c r="S1936" i="11"/>
  <c r="R1936" i="11"/>
  <c r="Q1936" i="11"/>
  <c r="P1936" i="11"/>
  <c r="O1936" i="11"/>
  <c r="N1936" i="11"/>
  <c r="M1936" i="11"/>
  <c r="L1936" i="11"/>
  <c r="K1936" i="11"/>
  <c r="J1936" i="11"/>
  <c r="AC1597" i="11"/>
  <c r="AB1597" i="11"/>
  <c r="AA1597" i="11"/>
  <c r="Z1597" i="11"/>
  <c r="Y1597" i="11"/>
  <c r="X1597" i="11"/>
  <c r="W1597" i="11"/>
  <c r="V1597" i="11"/>
  <c r="U1597" i="11"/>
  <c r="T1597" i="11"/>
  <c r="S1597" i="11"/>
  <c r="R1597" i="11"/>
  <c r="Q1597" i="11"/>
  <c r="P1597" i="11"/>
  <c r="O1597" i="11"/>
  <c r="N1597" i="11"/>
  <c r="M1597" i="11"/>
  <c r="L1597" i="11"/>
  <c r="K1597" i="11"/>
  <c r="J1597" i="11"/>
  <c r="AC1299" i="11"/>
  <c r="AB1299" i="11"/>
  <c r="AA1299" i="11"/>
  <c r="Z1299" i="11"/>
  <c r="Y1299" i="11"/>
  <c r="X1299" i="11"/>
  <c r="W1299" i="11"/>
  <c r="V1299" i="11"/>
  <c r="U1299" i="11"/>
  <c r="T1299" i="11"/>
  <c r="S1299" i="11"/>
  <c r="R1299" i="11"/>
  <c r="Q1299" i="11"/>
  <c r="P1299" i="11"/>
  <c r="O1299" i="11"/>
  <c r="N1299" i="11"/>
  <c r="M1299" i="11"/>
  <c r="L1299" i="11"/>
  <c r="K1299" i="11"/>
  <c r="J1299" i="11"/>
  <c r="AC1556" i="11"/>
  <c r="AB1556" i="11"/>
  <c r="AA1556" i="11"/>
  <c r="Z1556" i="11"/>
  <c r="Y1556" i="11"/>
  <c r="X1556" i="11"/>
  <c r="W1556" i="11"/>
  <c r="V1556" i="11"/>
  <c r="U1556" i="11"/>
  <c r="T1556" i="11"/>
  <c r="S1556" i="11"/>
  <c r="R1556" i="11"/>
  <c r="Q1556" i="11"/>
  <c r="P1556" i="11"/>
  <c r="O1556" i="11"/>
  <c r="N1556" i="11"/>
  <c r="M1556" i="11"/>
  <c r="L1556" i="11"/>
  <c r="K1556" i="11"/>
  <c r="J1556" i="11"/>
  <c r="AC2096" i="11"/>
  <c r="AB2096" i="11"/>
  <c r="AA2096" i="11"/>
  <c r="Z2096" i="11"/>
  <c r="Y2096" i="11"/>
  <c r="X2096" i="11"/>
  <c r="W2096" i="11"/>
  <c r="V2096" i="11"/>
  <c r="U2096" i="11"/>
  <c r="T2096" i="11"/>
  <c r="S2096" i="11"/>
  <c r="R2096" i="11"/>
  <c r="Q2096" i="11"/>
  <c r="P2096" i="11"/>
  <c r="O2096" i="11"/>
  <c r="N2096" i="11"/>
  <c r="M2096" i="11"/>
  <c r="L2096" i="11"/>
  <c r="K2096" i="11"/>
  <c r="J2096" i="11"/>
  <c r="AC2095" i="11"/>
  <c r="AB2095" i="11"/>
  <c r="AA2095" i="11"/>
  <c r="Z2095" i="11"/>
  <c r="Y2095" i="11"/>
  <c r="X2095" i="11"/>
  <c r="W2095" i="11"/>
  <c r="V2095" i="11"/>
  <c r="U2095" i="11"/>
  <c r="T2095" i="11"/>
  <c r="S2095" i="11"/>
  <c r="R2095" i="11"/>
  <c r="Q2095" i="11"/>
  <c r="P2095" i="11"/>
  <c r="O2095" i="11"/>
  <c r="N2095" i="11"/>
  <c r="M2095" i="11"/>
  <c r="L2095" i="11"/>
  <c r="K2095" i="11"/>
  <c r="J2095" i="11"/>
  <c r="AC1469" i="11"/>
  <c r="AB1469" i="11"/>
  <c r="AA1469" i="11"/>
  <c r="Z1469" i="11"/>
  <c r="Y1469" i="11"/>
  <c r="X1469" i="11"/>
  <c r="W1469" i="11"/>
  <c r="V1469" i="11"/>
  <c r="U1469" i="11"/>
  <c r="T1469" i="11"/>
  <c r="S1469" i="11"/>
  <c r="R1469" i="11"/>
  <c r="Q1469" i="11"/>
  <c r="P1469" i="11"/>
  <c r="O1469" i="11"/>
  <c r="N1469" i="11"/>
  <c r="M1469" i="11"/>
  <c r="L1469" i="11"/>
  <c r="K1469" i="11"/>
  <c r="J1469" i="11"/>
  <c r="AC1973" i="11"/>
  <c r="AB1973" i="11"/>
  <c r="AA1973" i="11"/>
  <c r="Z1973" i="11"/>
  <c r="Y1973" i="11"/>
  <c r="X1973" i="11"/>
  <c r="W1973" i="11"/>
  <c r="V1973" i="11"/>
  <c r="U1973" i="11"/>
  <c r="T1973" i="11"/>
  <c r="S1973" i="11"/>
  <c r="R1973" i="11"/>
  <c r="Q1973" i="11"/>
  <c r="P1973" i="11"/>
  <c r="O1973" i="11"/>
  <c r="N1973" i="11"/>
  <c r="M1973" i="11"/>
  <c r="L1973" i="11"/>
  <c r="K1973" i="11"/>
  <c r="J1973" i="11"/>
  <c r="AC2019" i="11"/>
  <c r="AB2019" i="11"/>
  <c r="AA2019" i="11"/>
  <c r="Z2019" i="11"/>
  <c r="Y2019" i="11"/>
  <c r="X2019" i="11"/>
  <c r="W2019" i="11"/>
  <c r="V2019" i="11"/>
  <c r="U2019" i="11"/>
  <c r="T2019" i="11"/>
  <c r="S2019" i="11"/>
  <c r="R2019" i="11"/>
  <c r="Q2019" i="11"/>
  <c r="P2019" i="11"/>
  <c r="O2019" i="11"/>
  <c r="N2019" i="11"/>
  <c r="M2019" i="11"/>
  <c r="L2019" i="11"/>
  <c r="K2019" i="11"/>
  <c r="J2019" i="11"/>
  <c r="AC2065" i="11"/>
  <c r="AB2065" i="11"/>
  <c r="AA2065" i="11"/>
  <c r="Z2065" i="11"/>
  <c r="Y2065" i="11"/>
  <c r="X2065" i="11"/>
  <c r="W2065" i="11"/>
  <c r="V2065" i="11"/>
  <c r="U2065" i="11"/>
  <c r="T2065" i="11"/>
  <c r="S2065" i="11"/>
  <c r="R2065" i="11"/>
  <c r="Q2065" i="11"/>
  <c r="P2065" i="11"/>
  <c r="O2065" i="11"/>
  <c r="N2065" i="11"/>
  <c r="M2065" i="11"/>
  <c r="L2065" i="11"/>
  <c r="K2065" i="11"/>
  <c r="J2065" i="11"/>
  <c r="AC2064" i="11"/>
  <c r="AB2064" i="11"/>
  <c r="AA2064" i="11"/>
  <c r="Z2064" i="11"/>
  <c r="Y2064" i="11"/>
  <c r="X2064" i="11"/>
  <c r="W2064" i="11"/>
  <c r="V2064" i="11"/>
  <c r="U2064" i="11"/>
  <c r="T2064" i="11"/>
  <c r="S2064" i="11"/>
  <c r="R2064" i="11"/>
  <c r="Q2064" i="11"/>
  <c r="P2064" i="11"/>
  <c r="O2064" i="11"/>
  <c r="N2064" i="11"/>
  <c r="M2064" i="11"/>
  <c r="L2064" i="11"/>
  <c r="K2064" i="11"/>
  <c r="J2064" i="11"/>
  <c r="AC1555" i="11"/>
  <c r="AB1555" i="11"/>
  <c r="AA1555" i="11"/>
  <c r="Z1555" i="11"/>
  <c r="Y1555" i="11"/>
  <c r="X1555" i="11"/>
  <c r="W1555" i="11"/>
  <c r="V1555" i="11"/>
  <c r="U1555" i="11"/>
  <c r="T1555" i="11"/>
  <c r="S1555" i="11"/>
  <c r="R1555" i="11"/>
  <c r="Q1555" i="11"/>
  <c r="P1555" i="11"/>
  <c r="O1555" i="11"/>
  <c r="N1555" i="11"/>
  <c r="M1555" i="11"/>
  <c r="L1555" i="11"/>
  <c r="K1555" i="11"/>
  <c r="J1555" i="11"/>
  <c r="AC2094" i="11"/>
  <c r="AB2094" i="11"/>
  <c r="AA2094" i="11"/>
  <c r="Z2094" i="11"/>
  <c r="Y2094" i="11"/>
  <c r="X2094" i="11"/>
  <c r="W2094" i="11"/>
  <c r="V2094" i="11"/>
  <c r="U2094" i="11"/>
  <c r="T2094" i="11"/>
  <c r="S2094" i="11"/>
  <c r="R2094" i="11"/>
  <c r="Q2094" i="11"/>
  <c r="P2094" i="11"/>
  <c r="O2094" i="11"/>
  <c r="N2094" i="11"/>
  <c r="M2094" i="11"/>
  <c r="L2094" i="11"/>
  <c r="K2094" i="11"/>
  <c r="J2094" i="11"/>
  <c r="AC717" i="11"/>
  <c r="AB717" i="11"/>
  <c r="AA717" i="11"/>
  <c r="Z717" i="11"/>
  <c r="Y717" i="11"/>
  <c r="X717" i="11"/>
  <c r="W717" i="11"/>
  <c r="V717" i="11"/>
  <c r="U717" i="11"/>
  <c r="T717" i="11"/>
  <c r="S717" i="11"/>
  <c r="R717" i="11"/>
  <c r="Q717" i="11"/>
  <c r="P717" i="11"/>
  <c r="O717" i="11"/>
  <c r="N717" i="11"/>
  <c r="M717" i="11"/>
  <c r="L717" i="11"/>
  <c r="K717" i="11"/>
  <c r="J717" i="11"/>
  <c r="AC943" i="11"/>
  <c r="AB943" i="11"/>
  <c r="AA943" i="11"/>
  <c r="Z943" i="11"/>
  <c r="Y943" i="11"/>
  <c r="X943" i="11"/>
  <c r="W943" i="11"/>
  <c r="V943" i="11"/>
  <c r="U943" i="11"/>
  <c r="T943" i="11"/>
  <c r="S943" i="11"/>
  <c r="R943" i="11"/>
  <c r="O943" i="11"/>
  <c r="N943" i="11"/>
  <c r="M943" i="11"/>
  <c r="K943" i="11"/>
  <c r="J943" i="11"/>
  <c r="AC1409" i="11"/>
  <c r="AB1409" i="11"/>
  <c r="AA1409" i="11"/>
  <c r="Z1409" i="11"/>
  <c r="Y1409" i="11"/>
  <c r="X1409" i="11"/>
  <c r="W1409" i="11"/>
  <c r="V1409" i="11"/>
  <c r="U1409" i="11"/>
  <c r="T1409" i="11"/>
  <c r="S1409" i="11"/>
  <c r="R1409" i="11"/>
  <c r="Q1409" i="11"/>
  <c r="P1409" i="11"/>
  <c r="O1409" i="11"/>
  <c r="N1409" i="11"/>
  <c r="M1409" i="11"/>
  <c r="L1409" i="11"/>
  <c r="K1409" i="11"/>
  <c r="J1409" i="11"/>
  <c r="AC565" i="11"/>
  <c r="AB565" i="11"/>
  <c r="AA565" i="11"/>
  <c r="Z565" i="11"/>
  <c r="Y565" i="11"/>
  <c r="X565" i="11"/>
  <c r="W565" i="11"/>
  <c r="V565" i="11"/>
  <c r="U565" i="11"/>
  <c r="T565" i="11"/>
  <c r="S565" i="11"/>
  <c r="R565" i="11"/>
  <c r="Q565" i="11"/>
  <c r="P565" i="11"/>
  <c r="O565" i="11"/>
  <c r="N565" i="11"/>
  <c r="M565" i="11"/>
  <c r="L565" i="11"/>
  <c r="K565" i="11"/>
  <c r="J565" i="11"/>
  <c r="AC942" i="11"/>
  <c r="AB942" i="11"/>
  <c r="AA942" i="11"/>
  <c r="Z942" i="11"/>
  <c r="Y942" i="11"/>
  <c r="X942" i="11"/>
  <c r="W942" i="11"/>
  <c r="V942" i="11"/>
  <c r="U942" i="11"/>
  <c r="T942" i="11"/>
  <c r="S942" i="11"/>
  <c r="R942" i="11"/>
  <c r="Q942" i="11"/>
  <c r="P942" i="11"/>
  <c r="O942" i="11"/>
  <c r="N942" i="11"/>
  <c r="M942" i="11"/>
  <c r="L942" i="11"/>
  <c r="K942" i="11"/>
  <c r="J942" i="11"/>
  <c r="AC1408" i="11"/>
  <c r="AB1408" i="11"/>
  <c r="AA1408" i="11"/>
  <c r="Z1408" i="11"/>
  <c r="Y1408" i="11"/>
  <c r="X1408" i="11"/>
  <c r="W1408" i="11"/>
  <c r="V1408" i="11"/>
  <c r="U1408" i="11"/>
  <c r="T1408" i="11"/>
  <c r="S1408" i="11"/>
  <c r="R1408" i="11"/>
  <c r="Q1408" i="11"/>
  <c r="P1408" i="11"/>
  <c r="O1408" i="11"/>
  <c r="N1408" i="11"/>
  <c r="M1408" i="11"/>
  <c r="L1408" i="11"/>
  <c r="K1408" i="11"/>
  <c r="J1408" i="11"/>
  <c r="AC1407" i="11"/>
  <c r="AB1407" i="11"/>
  <c r="AA1407" i="11"/>
  <c r="Z1407" i="11"/>
  <c r="Y1407" i="11"/>
  <c r="X1407" i="11"/>
  <c r="W1407" i="11"/>
  <c r="V1407" i="11"/>
  <c r="U1407" i="11"/>
  <c r="T1407" i="11"/>
  <c r="S1407" i="11"/>
  <c r="R1407" i="11"/>
  <c r="Q1407" i="11"/>
  <c r="P1407" i="11"/>
  <c r="O1407" i="11"/>
  <c r="N1407" i="11"/>
  <c r="M1407" i="11"/>
  <c r="L1407" i="11"/>
  <c r="K1407" i="11"/>
  <c r="J1407" i="11"/>
  <c r="AC630" i="11"/>
  <c r="AB630" i="11"/>
  <c r="AA630" i="11"/>
  <c r="Z630" i="11"/>
  <c r="Y630" i="11"/>
  <c r="X630" i="11"/>
  <c r="W630" i="11"/>
  <c r="V630" i="11"/>
  <c r="U630" i="11"/>
  <c r="T630" i="11"/>
  <c r="S630" i="11"/>
  <c r="R630" i="11"/>
  <c r="Q630" i="11"/>
  <c r="P630" i="11"/>
  <c r="O630" i="11"/>
  <c r="N630" i="11"/>
  <c r="M630" i="11"/>
  <c r="L630" i="11"/>
  <c r="K630" i="11"/>
  <c r="J630" i="11"/>
  <c r="AC1884" i="11"/>
  <c r="AB1884" i="11"/>
  <c r="AA1884" i="11"/>
  <c r="Z1884" i="11"/>
  <c r="Y1884" i="11"/>
  <c r="X1884" i="11"/>
  <c r="W1884" i="11"/>
  <c r="V1884" i="11"/>
  <c r="U1884" i="11"/>
  <c r="T1884" i="11"/>
  <c r="S1884" i="11"/>
  <c r="R1884" i="11"/>
  <c r="Q1884" i="11"/>
  <c r="P1884" i="11"/>
  <c r="O1884" i="11"/>
  <c r="N1884" i="11"/>
  <c r="M1884" i="11"/>
  <c r="L1884" i="11"/>
  <c r="K1884" i="11"/>
  <c r="J1884" i="11"/>
  <c r="AC941" i="11"/>
  <c r="AB941" i="11"/>
  <c r="AA941" i="11"/>
  <c r="Z941" i="11"/>
  <c r="Y941" i="11"/>
  <c r="X941" i="11"/>
  <c r="W941" i="11"/>
  <c r="V941" i="11"/>
  <c r="U941" i="11"/>
  <c r="T941" i="11"/>
  <c r="S941" i="11"/>
  <c r="R941" i="11"/>
  <c r="Q941" i="11"/>
  <c r="P941" i="11"/>
  <c r="O941" i="11"/>
  <c r="N941" i="11"/>
  <c r="M941" i="11"/>
  <c r="L941" i="11"/>
  <c r="K941" i="11"/>
  <c r="J941" i="11"/>
  <c r="AC1113" i="11"/>
  <c r="AB1113" i="11"/>
  <c r="AA1113" i="11"/>
  <c r="Z1113" i="11"/>
  <c r="Y1113" i="11"/>
  <c r="X1113" i="11"/>
  <c r="W1113" i="11"/>
  <c r="V1113" i="11"/>
  <c r="U1113" i="11"/>
  <c r="T1113" i="11"/>
  <c r="S1113" i="11"/>
  <c r="R1113" i="11"/>
  <c r="Q1113" i="11"/>
  <c r="P1113" i="11"/>
  <c r="O1113" i="11"/>
  <c r="N1113" i="11"/>
  <c r="M1113" i="11"/>
  <c r="L1113" i="11"/>
  <c r="K1113" i="11"/>
  <c r="J1113" i="11"/>
  <c r="AC1883" i="11"/>
  <c r="AB1883" i="11"/>
  <c r="AA1883" i="11"/>
  <c r="Z1883" i="11"/>
  <c r="Y1883" i="11"/>
  <c r="X1883" i="11"/>
  <c r="W1883" i="11"/>
  <c r="V1883" i="11"/>
  <c r="U1883" i="11"/>
  <c r="T1883" i="11"/>
  <c r="S1883" i="11"/>
  <c r="R1883" i="11"/>
  <c r="Q1883" i="11"/>
  <c r="P1883" i="11"/>
  <c r="O1883" i="11"/>
  <c r="N1883" i="11"/>
  <c r="M1883" i="11"/>
  <c r="L1883" i="11"/>
  <c r="K1883" i="11"/>
  <c r="J1883" i="11"/>
  <c r="AC940" i="11"/>
  <c r="AB940" i="11"/>
  <c r="AA940" i="11"/>
  <c r="Z940" i="11"/>
  <c r="Y940" i="11"/>
  <c r="X940" i="11"/>
  <c r="W940" i="11"/>
  <c r="V940" i="11"/>
  <c r="U940" i="11"/>
  <c r="T940" i="11"/>
  <c r="S940" i="11"/>
  <c r="R940" i="11"/>
  <c r="Q940" i="11"/>
  <c r="P940" i="11"/>
  <c r="O940" i="11"/>
  <c r="N940" i="11"/>
  <c r="M940" i="11"/>
  <c r="L940" i="11"/>
  <c r="K940" i="11"/>
  <c r="J940" i="11"/>
  <c r="AC629" i="11"/>
  <c r="AB629" i="11"/>
  <c r="AA629" i="11"/>
  <c r="Z629" i="11"/>
  <c r="Y629" i="11"/>
  <c r="X629" i="11"/>
  <c r="W629" i="11"/>
  <c r="V629" i="11"/>
  <c r="U629" i="11"/>
  <c r="T629" i="11"/>
  <c r="S629" i="11"/>
  <c r="R629" i="11"/>
  <c r="Q629" i="11"/>
  <c r="P629" i="11"/>
  <c r="O629" i="11"/>
  <c r="N629" i="11"/>
  <c r="M629" i="11"/>
  <c r="L629" i="11"/>
  <c r="K629" i="11"/>
  <c r="J629" i="11"/>
  <c r="AC1935" i="11"/>
  <c r="AB1935" i="11"/>
  <c r="AA1935" i="11"/>
  <c r="Z1935" i="11"/>
  <c r="Y1935" i="11"/>
  <c r="X1935" i="11"/>
  <c r="W1935" i="11"/>
  <c r="V1935" i="11"/>
  <c r="U1935" i="11"/>
  <c r="T1935" i="11"/>
  <c r="S1935" i="11"/>
  <c r="R1935" i="11"/>
  <c r="Q1935" i="11"/>
  <c r="P1935" i="11"/>
  <c r="O1935" i="11"/>
  <c r="N1935" i="11"/>
  <c r="M1935" i="11"/>
  <c r="L1935" i="11"/>
  <c r="K1935" i="11"/>
  <c r="J1935" i="11"/>
  <c r="AC794" i="11"/>
  <c r="AB794" i="11"/>
  <c r="AA794" i="11"/>
  <c r="Z794" i="11"/>
  <c r="Y794" i="11"/>
  <c r="X794" i="11"/>
  <c r="W794" i="11"/>
  <c r="V794" i="11"/>
  <c r="U794" i="11"/>
  <c r="T794" i="11"/>
  <c r="S794" i="11"/>
  <c r="R794" i="11"/>
  <c r="Q794" i="11"/>
  <c r="P794" i="11"/>
  <c r="O794" i="11"/>
  <c r="N794" i="11"/>
  <c r="M794" i="11"/>
  <c r="L794" i="11"/>
  <c r="K794" i="11"/>
  <c r="J794" i="11"/>
  <c r="AC442" i="11"/>
  <c r="AB442" i="11"/>
  <c r="AA442" i="11"/>
  <c r="Z442" i="11"/>
  <c r="Y442" i="11"/>
  <c r="X442" i="11"/>
  <c r="W442" i="11"/>
  <c r="V442" i="11"/>
  <c r="U442" i="11"/>
  <c r="T442" i="11"/>
  <c r="S442" i="11"/>
  <c r="R442" i="11"/>
  <c r="Q442" i="11"/>
  <c r="P442" i="11"/>
  <c r="O442" i="11"/>
  <c r="N442" i="11"/>
  <c r="M442" i="11"/>
  <c r="L442" i="11"/>
  <c r="K442" i="11"/>
  <c r="J442" i="11"/>
  <c r="AC1406" i="11"/>
  <c r="AB1406" i="11"/>
  <c r="AA1406" i="11"/>
  <c r="Z1406" i="11"/>
  <c r="Y1406" i="11"/>
  <c r="X1406" i="11"/>
  <c r="W1406" i="11"/>
  <c r="V1406" i="11"/>
  <c r="U1406" i="11"/>
  <c r="T1406" i="11"/>
  <c r="S1406" i="11"/>
  <c r="R1406" i="11"/>
  <c r="Q1406" i="11"/>
  <c r="P1406" i="11"/>
  <c r="O1406" i="11"/>
  <c r="N1406" i="11"/>
  <c r="M1406" i="11"/>
  <c r="L1406" i="11"/>
  <c r="K1406" i="11"/>
  <c r="J1406" i="11"/>
  <c r="AC498" i="11"/>
  <c r="AB498" i="11"/>
  <c r="AA498" i="11"/>
  <c r="Z498" i="11"/>
  <c r="Y498" i="11"/>
  <c r="X498" i="11"/>
  <c r="W498" i="11"/>
  <c r="V498" i="11"/>
  <c r="U498" i="11"/>
  <c r="T498" i="11"/>
  <c r="S498" i="11"/>
  <c r="R498" i="11"/>
  <c r="Q498" i="11"/>
  <c r="P498" i="11"/>
  <c r="O498" i="11"/>
  <c r="N498" i="11"/>
  <c r="M498" i="11"/>
  <c r="L498" i="11"/>
  <c r="K498" i="11"/>
  <c r="J498" i="11"/>
  <c r="AC2158" i="11"/>
  <c r="AB2158" i="11"/>
  <c r="AA2158" i="11"/>
  <c r="Z2158" i="11"/>
  <c r="Y2158" i="11"/>
  <c r="X2158" i="11"/>
  <c r="W2158" i="11"/>
  <c r="V2158" i="11"/>
  <c r="U2158" i="11"/>
  <c r="T2158" i="11"/>
  <c r="S2158" i="11"/>
  <c r="R2158" i="11"/>
  <c r="Q2158" i="11"/>
  <c r="P2158" i="11"/>
  <c r="O2158" i="11"/>
  <c r="N2158" i="11"/>
  <c r="M2158" i="11"/>
  <c r="L2158" i="11"/>
  <c r="K2158" i="11"/>
  <c r="J2158" i="11"/>
  <c r="AC858" i="11"/>
  <c r="AB858" i="11"/>
  <c r="AA858" i="11"/>
  <c r="Z858" i="11"/>
  <c r="Y858" i="11"/>
  <c r="X858" i="11"/>
  <c r="W858" i="11"/>
  <c r="V858" i="11"/>
  <c r="U858" i="11"/>
  <c r="T858" i="11"/>
  <c r="S858" i="11"/>
  <c r="R858" i="11"/>
  <c r="Q858" i="11"/>
  <c r="P858" i="11"/>
  <c r="O858" i="11"/>
  <c r="N858" i="11"/>
  <c r="M858" i="11"/>
  <c r="L858" i="11"/>
  <c r="K858" i="11"/>
  <c r="J858" i="11"/>
  <c r="AC1828" i="11"/>
  <c r="AB1828" i="11"/>
  <c r="AA1828" i="11"/>
  <c r="Z1828" i="11"/>
  <c r="Y1828" i="11"/>
  <c r="X1828" i="11"/>
  <c r="W1828" i="11"/>
  <c r="V1828" i="11"/>
  <c r="U1828" i="11"/>
  <c r="T1828" i="11"/>
  <c r="S1828" i="11"/>
  <c r="R1828" i="11"/>
  <c r="Q1828" i="11"/>
  <c r="P1828" i="11"/>
  <c r="O1828" i="11"/>
  <c r="N1828" i="11"/>
  <c r="M1828" i="11"/>
  <c r="L1828" i="11"/>
  <c r="K1828" i="11"/>
  <c r="J1828" i="11"/>
  <c r="AC857" i="11"/>
  <c r="AB857" i="11"/>
  <c r="AA857" i="11"/>
  <c r="Z857" i="11"/>
  <c r="Y857" i="11"/>
  <c r="X857" i="11"/>
  <c r="W857" i="11"/>
  <c r="V857" i="11"/>
  <c r="U857" i="11"/>
  <c r="T857" i="11"/>
  <c r="S857" i="11"/>
  <c r="R857" i="11"/>
  <c r="Q857" i="11"/>
  <c r="P857" i="11"/>
  <c r="O857" i="11"/>
  <c r="N857" i="11"/>
  <c r="M857" i="11"/>
  <c r="L857" i="11"/>
  <c r="K857" i="11"/>
  <c r="J857" i="11"/>
  <c r="AC441" i="11"/>
  <c r="AB441" i="11"/>
  <c r="AA441" i="11"/>
  <c r="Z441" i="11"/>
  <c r="Y441" i="11"/>
  <c r="X441" i="11"/>
  <c r="W441" i="11"/>
  <c r="V441" i="11"/>
  <c r="U441" i="11"/>
  <c r="T441" i="11"/>
  <c r="S441" i="11"/>
  <c r="R441" i="11"/>
  <c r="Q441" i="11"/>
  <c r="P441" i="11"/>
  <c r="O441" i="11"/>
  <c r="N441" i="11"/>
  <c r="M441" i="11"/>
  <c r="L441" i="11"/>
  <c r="K441" i="11"/>
  <c r="J441" i="11"/>
  <c r="AC440" i="11"/>
  <c r="AB440" i="11"/>
  <c r="AA440" i="11"/>
  <c r="Z440" i="11"/>
  <c r="Y440" i="11"/>
  <c r="X440" i="11"/>
  <c r="W440" i="11"/>
  <c r="V440" i="11"/>
  <c r="U440" i="11"/>
  <c r="T440" i="11"/>
  <c r="S440" i="11"/>
  <c r="R440" i="11"/>
  <c r="Q440" i="11"/>
  <c r="P440" i="11"/>
  <c r="O440" i="11"/>
  <c r="N440" i="11"/>
  <c r="M440" i="11"/>
  <c r="L440" i="11"/>
  <c r="K440" i="11"/>
  <c r="J440" i="11"/>
  <c r="AC628" i="11"/>
  <c r="AB628" i="11"/>
  <c r="AA628" i="11"/>
  <c r="Z628" i="11"/>
  <c r="Y628" i="11"/>
  <c r="X628" i="11"/>
  <c r="W628" i="11"/>
  <c r="V628" i="11"/>
  <c r="U628" i="11"/>
  <c r="T628" i="11"/>
  <c r="S628" i="11"/>
  <c r="R628" i="11"/>
  <c r="Q628" i="11"/>
  <c r="P628" i="11"/>
  <c r="O628" i="11"/>
  <c r="N628" i="11"/>
  <c r="M628" i="11"/>
  <c r="L628" i="11"/>
  <c r="K628" i="11"/>
  <c r="J628" i="11"/>
  <c r="AC1017" i="11"/>
  <c r="AB1017" i="11"/>
  <c r="AA1017" i="11"/>
  <c r="Z1017" i="11"/>
  <c r="Y1017" i="11"/>
  <c r="X1017" i="11"/>
  <c r="W1017" i="11"/>
  <c r="V1017" i="11"/>
  <c r="U1017" i="11"/>
  <c r="T1017" i="11"/>
  <c r="S1017" i="11"/>
  <c r="R1017" i="11"/>
  <c r="Q1017" i="11"/>
  <c r="P1017" i="11"/>
  <c r="O1017" i="11"/>
  <c r="N1017" i="11"/>
  <c r="M1017" i="11"/>
  <c r="L1017" i="11"/>
  <c r="K1017" i="11"/>
  <c r="J1017" i="11"/>
  <c r="AC1016" i="11"/>
  <c r="AB1016" i="11"/>
  <c r="AA1016" i="11"/>
  <c r="Z1016" i="11"/>
  <c r="Y1016" i="11"/>
  <c r="X1016" i="11"/>
  <c r="W1016" i="11"/>
  <c r="V1016" i="11"/>
  <c r="U1016" i="11"/>
  <c r="T1016" i="11"/>
  <c r="S1016" i="11"/>
  <c r="R1016" i="11"/>
  <c r="Q1016" i="11"/>
  <c r="P1016" i="11"/>
  <c r="O1016" i="11"/>
  <c r="N1016" i="11"/>
  <c r="M1016" i="11"/>
  <c r="L1016" i="11"/>
  <c r="K1016" i="11"/>
  <c r="J1016" i="11"/>
  <c r="AC1596" i="11"/>
  <c r="AB1596" i="11"/>
  <c r="AA1596" i="11"/>
  <c r="Z1596" i="11"/>
  <c r="Y1596" i="11"/>
  <c r="X1596" i="11"/>
  <c r="W1596" i="11"/>
  <c r="V1596" i="11"/>
  <c r="U1596" i="11"/>
  <c r="T1596" i="11"/>
  <c r="S1596" i="11"/>
  <c r="R1596" i="11"/>
  <c r="Q1596" i="11"/>
  <c r="P1596" i="11"/>
  <c r="O1596" i="11"/>
  <c r="N1596" i="11"/>
  <c r="M1596" i="11"/>
  <c r="L1596" i="11"/>
  <c r="K1596" i="11"/>
  <c r="J1596" i="11"/>
  <c r="AC1595" i="11"/>
  <c r="AB1595" i="11"/>
  <c r="AA1595" i="11"/>
  <c r="Z1595" i="11"/>
  <c r="Y1595" i="11"/>
  <c r="X1595" i="11"/>
  <c r="W1595" i="11"/>
  <c r="V1595" i="11"/>
  <c r="U1595" i="11"/>
  <c r="T1595" i="11"/>
  <c r="S1595" i="11"/>
  <c r="R1595" i="11"/>
  <c r="Q1595" i="11"/>
  <c r="P1595" i="11"/>
  <c r="O1595" i="11"/>
  <c r="N1595" i="11"/>
  <c r="M1595" i="11"/>
  <c r="L1595" i="11"/>
  <c r="K1595" i="11"/>
  <c r="J1595" i="11"/>
  <c r="AC716" i="11"/>
  <c r="AB716" i="11"/>
  <c r="AA716" i="11"/>
  <c r="Z716" i="11"/>
  <c r="Y716" i="11"/>
  <c r="X716" i="11"/>
  <c r="W716" i="11"/>
  <c r="V716" i="11"/>
  <c r="U716" i="11"/>
  <c r="T716" i="11"/>
  <c r="S716" i="11"/>
  <c r="R716" i="11"/>
  <c r="Q716" i="11"/>
  <c r="P716" i="11"/>
  <c r="O716" i="11"/>
  <c r="N716" i="11"/>
  <c r="M716" i="11"/>
  <c r="L716" i="11"/>
  <c r="K716" i="11"/>
  <c r="J716" i="11"/>
  <c r="AC1015" i="11"/>
  <c r="AB1015" i="11"/>
  <c r="AA1015" i="11"/>
  <c r="Z1015" i="11"/>
  <c r="Y1015" i="11"/>
  <c r="X1015" i="11"/>
  <c r="W1015" i="11"/>
  <c r="V1015" i="11"/>
  <c r="U1015" i="11"/>
  <c r="T1015" i="11"/>
  <c r="S1015" i="11"/>
  <c r="R1015" i="11"/>
  <c r="Q1015" i="11"/>
  <c r="P1015" i="11"/>
  <c r="O1015" i="11"/>
  <c r="N1015" i="11"/>
  <c r="M1015" i="11"/>
  <c r="L1015" i="11"/>
  <c r="K1015" i="11"/>
  <c r="J1015" i="11"/>
  <c r="AC1468" i="11"/>
  <c r="AB1468" i="11"/>
  <c r="AA1468" i="11"/>
  <c r="Z1468" i="11"/>
  <c r="Y1468" i="11"/>
  <c r="X1468" i="11"/>
  <c r="W1468" i="11"/>
  <c r="V1468" i="11"/>
  <c r="U1468" i="11"/>
  <c r="T1468" i="11"/>
  <c r="S1468" i="11"/>
  <c r="R1468" i="11"/>
  <c r="Q1468" i="11"/>
  <c r="P1468" i="11"/>
  <c r="O1468" i="11"/>
  <c r="N1468" i="11"/>
  <c r="M1468" i="11"/>
  <c r="L1468" i="11"/>
  <c r="K1468" i="11"/>
  <c r="J1468" i="11"/>
  <c r="AC715" i="11"/>
  <c r="AB715" i="11"/>
  <c r="AA715" i="11"/>
  <c r="Z715" i="11"/>
  <c r="Y715" i="11"/>
  <c r="X715" i="11"/>
  <c r="W715" i="11"/>
  <c r="V715" i="11"/>
  <c r="U715" i="11"/>
  <c r="T715" i="11"/>
  <c r="S715" i="11"/>
  <c r="R715" i="11"/>
  <c r="Q715" i="11"/>
  <c r="P715" i="11"/>
  <c r="O715" i="11"/>
  <c r="N715" i="11"/>
  <c r="M715" i="11"/>
  <c r="L715" i="11"/>
  <c r="K715" i="11"/>
  <c r="J715" i="11"/>
  <c r="AC230" i="11"/>
  <c r="AB230" i="11"/>
  <c r="AA230" i="11"/>
  <c r="Z230" i="11"/>
  <c r="Y230" i="11"/>
  <c r="X230" i="11"/>
  <c r="W230" i="11"/>
  <c r="V230" i="11"/>
  <c r="U230" i="11"/>
  <c r="T230" i="11"/>
  <c r="S230" i="11"/>
  <c r="R230" i="11"/>
  <c r="Q230" i="11"/>
  <c r="P230" i="11"/>
  <c r="O230" i="11"/>
  <c r="N230" i="11"/>
  <c r="L230" i="11"/>
  <c r="K230" i="11"/>
  <c r="J230" i="11"/>
  <c r="AC2063" i="11"/>
  <c r="AB2063" i="11"/>
  <c r="AA2063" i="11"/>
  <c r="Z2063" i="11"/>
  <c r="Y2063" i="11"/>
  <c r="X2063" i="11"/>
  <c r="W2063" i="11"/>
  <c r="V2063" i="11"/>
  <c r="U2063" i="11"/>
  <c r="T2063" i="11"/>
  <c r="S2063" i="11"/>
  <c r="R2063" i="11"/>
  <c r="Q2063" i="11"/>
  <c r="P2063" i="11"/>
  <c r="O2063" i="11"/>
  <c r="N2063" i="11"/>
  <c r="M2063" i="11"/>
  <c r="L2063" i="11"/>
  <c r="K2063" i="11"/>
  <c r="J2063" i="11"/>
  <c r="AC1827" i="11"/>
  <c r="AB1827" i="11"/>
  <c r="AA1827" i="11"/>
  <c r="Z1827" i="11"/>
  <c r="Y1827" i="11"/>
  <c r="X1827" i="11"/>
  <c r="W1827" i="11"/>
  <c r="V1827" i="11"/>
  <c r="U1827" i="11"/>
  <c r="T1827" i="11"/>
  <c r="S1827" i="11"/>
  <c r="R1827" i="11"/>
  <c r="Q1827" i="11"/>
  <c r="P1827" i="11"/>
  <c r="O1827" i="11"/>
  <c r="N1827" i="11"/>
  <c r="M1827" i="11"/>
  <c r="L1827" i="11"/>
  <c r="K1827" i="11"/>
  <c r="J1827" i="11"/>
  <c r="AC439" i="11"/>
  <c r="AB439" i="11"/>
  <c r="AA439" i="11"/>
  <c r="Z439" i="11"/>
  <c r="Y439" i="11"/>
  <c r="X439" i="11"/>
  <c r="W439" i="11"/>
  <c r="V439" i="11"/>
  <c r="U439" i="11"/>
  <c r="T439" i="11"/>
  <c r="S439" i="11"/>
  <c r="R439" i="11"/>
  <c r="Q439" i="11"/>
  <c r="P439" i="11"/>
  <c r="O439" i="11"/>
  <c r="N439" i="11"/>
  <c r="M439" i="11"/>
  <c r="L439" i="11"/>
  <c r="K439" i="11"/>
  <c r="J439" i="11"/>
  <c r="AC1341" i="11"/>
  <c r="AB1341" i="11"/>
  <c r="AA1341" i="11"/>
  <c r="Z1341" i="11"/>
  <c r="Y1341" i="11"/>
  <c r="X1341" i="11"/>
  <c r="W1341" i="11"/>
  <c r="V1341" i="11"/>
  <c r="U1341" i="11"/>
  <c r="T1341" i="11"/>
  <c r="S1341" i="11"/>
  <c r="R1341" i="11"/>
  <c r="Q1341" i="11"/>
  <c r="P1341" i="11"/>
  <c r="O1341" i="11"/>
  <c r="N1341" i="11"/>
  <c r="M1341" i="11"/>
  <c r="L1341" i="11"/>
  <c r="K1341" i="11"/>
  <c r="J1341" i="11"/>
  <c r="AC1467" i="11"/>
  <c r="AB1467" i="11"/>
  <c r="AA1467" i="11"/>
  <c r="Z1467" i="11"/>
  <c r="Y1467" i="11"/>
  <c r="X1467" i="11"/>
  <c r="W1467" i="11"/>
  <c r="V1467" i="11"/>
  <c r="U1467" i="11"/>
  <c r="T1467" i="11"/>
  <c r="S1467" i="11"/>
  <c r="R1467" i="11"/>
  <c r="Q1467" i="11"/>
  <c r="P1467" i="11"/>
  <c r="O1467" i="11"/>
  <c r="N1467" i="11"/>
  <c r="M1467" i="11"/>
  <c r="L1467" i="11"/>
  <c r="K1467" i="11"/>
  <c r="J1467" i="11"/>
  <c r="AC2093" i="11"/>
  <c r="AB2093" i="11"/>
  <c r="AA2093" i="11"/>
  <c r="Z2093" i="11"/>
  <c r="Y2093" i="11"/>
  <c r="X2093" i="11"/>
  <c r="W2093" i="11"/>
  <c r="V2093" i="11"/>
  <c r="U2093" i="11"/>
  <c r="T2093" i="11"/>
  <c r="S2093" i="11"/>
  <c r="R2093" i="11"/>
  <c r="Q2093" i="11"/>
  <c r="P2093" i="11"/>
  <c r="O2093" i="11"/>
  <c r="N2093" i="11"/>
  <c r="M2093" i="11"/>
  <c r="L2093" i="11"/>
  <c r="K2093" i="11"/>
  <c r="J2093" i="11"/>
  <c r="AC714" i="11"/>
  <c r="AB714" i="11"/>
  <c r="AA714" i="11"/>
  <c r="Z714" i="11"/>
  <c r="Y714" i="11"/>
  <c r="X714" i="11"/>
  <c r="W714" i="11"/>
  <c r="V714" i="11"/>
  <c r="U714" i="11"/>
  <c r="T714" i="11"/>
  <c r="S714" i="11"/>
  <c r="R714" i="11"/>
  <c r="Q714" i="11"/>
  <c r="P714" i="11"/>
  <c r="O714" i="11"/>
  <c r="N714" i="11"/>
  <c r="M714" i="11"/>
  <c r="L714" i="11"/>
  <c r="K714" i="11"/>
  <c r="J714" i="11"/>
  <c r="AC2018" i="11"/>
  <c r="AB2018" i="11"/>
  <c r="AA2018" i="11"/>
  <c r="Z2018" i="11"/>
  <c r="Y2018" i="11"/>
  <c r="X2018" i="11"/>
  <c r="W2018" i="11"/>
  <c r="V2018" i="11"/>
  <c r="U2018" i="11"/>
  <c r="T2018" i="11"/>
  <c r="S2018" i="11"/>
  <c r="R2018" i="11"/>
  <c r="Q2018" i="11"/>
  <c r="P2018" i="11"/>
  <c r="O2018" i="11"/>
  <c r="N2018" i="11"/>
  <c r="M2018" i="11"/>
  <c r="L2018" i="11"/>
  <c r="K2018" i="11"/>
  <c r="J2018" i="11"/>
  <c r="AC398" i="11"/>
  <c r="AB398" i="11"/>
  <c r="AA398" i="11"/>
  <c r="Z398" i="11"/>
  <c r="Y398" i="11"/>
  <c r="X398" i="11"/>
  <c r="W398" i="11"/>
  <c r="V398" i="11"/>
  <c r="U398" i="11"/>
  <c r="T398" i="11"/>
  <c r="S398" i="11"/>
  <c r="R398" i="11"/>
  <c r="Q398" i="11"/>
  <c r="P398" i="11"/>
  <c r="O398" i="11"/>
  <c r="N398" i="11"/>
  <c r="M398" i="11"/>
  <c r="L398" i="11"/>
  <c r="K398" i="11"/>
  <c r="J398" i="11"/>
  <c r="AC627" i="11"/>
  <c r="AB627" i="11"/>
  <c r="AA627" i="11"/>
  <c r="Z627" i="11"/>
  <c r="Y627" i="11"/>
  <c r="X627" i="11"/>
  <c r="W627" i="11"/>
  <c r="V627" i="11"/>
  <c r="U627" i="11"/>
  <c r="T627" i="11"/>
  <c r="S627" i="11"/>
  <c r="R627" i="11"/>
  <c r="Q627" i="11"/>
  <c r="P627" i="11"/>
  <c r="O627" i="11"/>
  <c r="N627" i="11"/>
  <c r="M627" i="11"/>
  <c r="L627" i="11"/>
  <c r="K627" i="11"/>
  <c r="J627" i="11"/>
  <c r="AC1739" i="11"/>
  <c r="AB1739" i="11"/>
  <c r="AA1739" i="11"/>
  <c r="Z1739" i="11"/>
  <c r="Y1739" i="11"/>
  <c r="X1739" i="11"/>
  <c r="W1739" i="11"/>
  <c r="V1739" i="11"/>
  <c r="U1739" i="11"/>
  <c r="T1739" i="11"/>
  <c r="S1739" i="11"/>
  <c r="R1739" i="11"/>
  <c r="Q1739" i="11"/>
  <c r="P1739" i="11"/>
  <c r="O1739" i="11"/>
  <c r="N1739" i="11"/>
  <c r="M1739" i="11"/>
  <c r="L1739" i="11"/>
  <c r="K1739" i="11"/>
  <c r="J1739" i="11"/>
  <c r="AC1686" i="11"/>
  <c r="AB1686" i="11"/>
  <c r="AA1686" i="11"/>
  <c r="Z1686" i="11"/>
  <c r="Y1686" i="11"/>
  <c r="X1686" i="11"/>
  <c r="W1686" i="11"/>
  <c r="V1686" i="11"/>
  <c r="U1686" i="11"/>
  <c r="T1686" i="11"/>
  <c r="S1686" i="11"/>
  <c r="R1686" i="11"/>
  <c r="Q1686" i="11"/>
  <c r="P1686" i="11"/>
  <c r="O1686" i="11"/>
  <c r="N1686" i="11"/>
  <c r="M1686" i="11"/>
  <c r="L1686" i="11"/>
  <c r="K1686" i="11"/>
  <c r="J1686" i="11"/>
  <c r="AC1112" i="11"/>
  <c r="AB1112" i="11"/>
  <c r="AA1112" i="11"/>
  <c r="Z1112" i="11"/>
  <c r="Y1112" i="11"/>
  <c r="X1112" i="11"/>
  <c r="W1112" i="11"/>
  <c r="V1112" i="11"/>
  <c r="U1112" i="11"/>
  <c r="T1112" i="11"/>
  <c r="S1112" i="11"/>
  <c r="R1112" i="11"/>
  <c r="Q1112" i="11"/>
  <c r="P1112" i="11"/>
  <c r="O1112" i="11"/>
  <c r="N1112" i="11"/>
  <c r="M1112" i="11"/>
  <c r="L1112" i="11"/>
  <c r="K1112" i="11"/>
  <c r="J1112" i="11"/>
  <c r="AC1298" i="11"/>
  <c r="AB1298" i="11"/>
  <c r="AA1298" i="11"/>
  <c r="Z1298" i="11"/>
  <c r="Y1298" i="11"/>
  <c r="X1298" i="11"/>
  <c r="W1298" i="11"/>
  <c r="V1298" i="11"/>
  <c r="U1298" i="11"/>
  <c r="T1298" i="11"/>
  <c r="S1298" i="11"/>
  <c r="R1298" i="11"/>
  <c r="Q1298" i="11"/>
  <c r="P1298" i="11"/>
  <c r="O1298" i="11"/>
  <c r="N1298" i="11"/>
  <c r="M1298" i="11"/>
  <c r="L1298" i="11"/>
  <c r="K1298" i="11"/>
  <c r="J1298" i="11"/>
  <c r="AC1685" i="11"/>
  <c r="AB1685" i="11"/>
  <c r="AA1685" i="11"/>
  <c r="Z1685" i="11"/>
  <c r="Y1685" i="11"/>
  <c r="X1685" i="11"/>
  <c r="W1685" i="11"/>
  <c r="V1685" i="11"/>
  <c r="U1685" i="11"/>
  <c r="T1685" i="11"/>
  <c r="S1685" i="11"/>
  <c r="R1685" i="11"/>
  <c r="Q1685" i="11"/>
  <c r="P1685" i="11"/>
  <c r="O1685" i="11"/>
  <c r="N1685" i="11"/>
  <c r="M1685" i="11"/>
  <c r="L1685" i="11"/>
  <c r="K1685" i="11"/>
  <c r="J1685" i="11"/>
  <c r="AC1972" i="11"/>
  <c r="AB1972" i="11"/>
  <c r="AA1972" i="11"/>
  <c r="Z1972" i="11"/>
  <c r="Y1972" i="11"/>
  <c r="X1972" i="11"/>
  <c r="W1972" i="11"/>
  <c r="V1972" i="11"/>
  <c r="U1972" i="11"/>
  <c r="T1972" i="11"/>
  <c r="S1972" i="11"/>
  <c r="R1972" i="11"/>
  <c r="Q1972" i="11"/>
  <c r="P1972" i="11"/>
  <c r="O1972" i="11"/>
  <c r="N1972" i="11"/>
  <c r="M1972" i="11"/>
  <c r="L1972" i="11"/>
  <c r="K1972" i="11"/>
  <c r="J1972" i="11"/>
  <c r="AC1882" i="11"/>
  <c r="AB1882" i="11"/>
  <c r="AA1882" i="11"/>
  <c r="Z1882" i="11"/>
  <c r="Y1882" i="11"/>
  <c r="X1882" i="11"/>
  <c r="W1882" i="11"/>
  <c r="V1882" i="11"/>
  <c r="U1882" i="11"/>
  <c r="T1882" i="11"/>
  <c r="S1882" i="11"/>
  <c r="R1882" i="11"/>
  <c r="Q1882" i="11"/>
  <c r="P1882" i="11"/>
  <c r="O1882" i="11"/>
  <c r="N1882" i="11"/>
  <c r="M1882" i="11"/>
  <c r="L1882" i="11"/>
  <c r="K1882" i="11"/>
  <c r="J1882" i="11"/>
  <c r="AC1340" i="11"/>
  <c r="AB1340" i="11"/>
  <c r="AA1340" i="11"/>
  <c r="Z1340" i="11"/>
  <c r="Y1340" i="11"/>
  <c r="X1340" i="11"/>
  <c r="W1340" i="11"/>
  <c r="V1340" i="11"/>
  <c r="U1340" i="11"/>
  <c r="T1340" i="11"/>
  <c r="S1340" i="11"/>
  <c r="R1340" i="11"/>
  <c r="Q1340" i="11"/>
  <c r="P1340" i="11"/>
  <c r="O1340" i="11"/>
  <c r="N1340" i="11"/>
  <c r="M1340" i="11"/>
  <c r="L1340" i="11"/>
  <c r="K1340" i="11"/>
  <c r="J1340" i="11"/>
  <c r="AC1339" i="11"/>
  <c r="AB1339" i="11"/>
  <c r="AA1339" i="11"/>
  <c r="Z1339" i="11"/>
  <c r="Y1339" i="11"/>
  <c r="X1339" i="11"/>
  <c r="W1339" i="11"/>
  <c r="V1339" i="11"/>
  <c r="U1339" i="11"/>
  <c r="T1339" i="11"/>
  <c r="S1339" i="11"/>
  <c r="R1339" i="11"/>
  <c r="Q1339" i="11"/>
  <c r="P1339" i="11"/>
  <c r="O1339" i="11"/>
  <c r="N1339" i="11"/>
  <c r="M1339" i="11"/>
  <c r="L1339" i="11"/>
  <c r="K1339" i="11"/>
  <c r="J1339" i="11"/>
  <c r="AC1242" i="11"/>
  <c r="AB1242" i="11"/>
  <c r="AA1242" i="11"/>
  <c r="Z1242" i="11"/>
  <c r="Y1242" i="11"/>
  <c r="X1242" i="11"/>
  <c r="W1242" i="11"/>
  <c r="V1242" i="11"/>
  <c r="U1242" i="11"/>
  <c r="T1242" i="11"/>
  <c r="S1242" i="11"/>
  <c r="R1242" i="11"/>
  <c r="Q1242" i="11"/>
  <c r="P1242" i="11"/>
  <c r="O1242" i="11"/>
  <c r="N1242" i="11"/>
  <c r="M1242" i="11"/>
  <c r="L1242" i="11"/>
  <c r="K1242" i="11"/>
  <c r="J1242" i="11"/>
  <c r="AC1738" i="11"/>
  <c r="AB1738" i="11"/>
  <c r="AA1738" i="11"/>
  <c r="Z1738" i="11"/>
  <c r="Y1738" i="11"/>
  <c r="X1738" i="11"/>
  <c r="W1738" i="11"/>
  <c r="V1738" i="11"/>
  <c r="U1738" i="11"/>
  <c r="T1738" i="11"/>
  <c r="S1738" i="11"/>
  <c r="R1738" i="11"/>
  <c r="Q1738" i="11"/>
  <c r="P1738" i="11"/>
  <c r="O1738" i="11"/>
  <c r="N1738" i="11"/>
  <c r="M1738" i="11"/>
  <c r="L1738" i="11"/>
  <c r="K1738" i="11"/>
  <c r="J1738" i="11"/>
  <c r="AC497" i="11"/>
  <c r="AB497" i="11"/>
  <c r="AA497" i="11"/>
  <c r="Z497" i="11"/>
  <c r="Y497" i="11"/>
  <c r="X497" i="11"/>
  <c r="W497" i="11"/>
  <c r="V497" i="11"/>
  <c r="U497" i="11"/>
  <c r="T497" i="11"/>
  <c r="S497" i="11"/>
  <c r="R497" i="11"/>
  <c r="Q497" i="11"/>
  <c r="P497" i="11"/>
  <c r="O497" i="11"/>
  <c r="N497" i="11"/>
  <c r="M497" i="11"/>
  <c r="L497" i="11"/>
  <c r="K497" i="11"/>
  <c r="J497" i="11"/>
  <c r="AC321" i="11"/>
  <c r="AB321" i="11"/>
  <c r="AA321" i="11"/>
  <c r="Z321" i="11"/>
  <c r="Y321" i="11"/>
  <c r="X321" i="11"/>
  <c r="W321" i="11"/>
  <c r="V321" i="11"/>
  <c r="U321" i="11"/>
  <c r="T321" i="11"/>
  <c r="S321" i="11"/>
  <c r="R321" i="11"/>
  <c r="Q321" i="11"/>
  <c r="P321" i="11"/>
  <c r="O321" i="11"/>
  <c r="N321" i="11"/>
  <c r="M321" i="11"/>
  <c r="L321" i="11"/>
  <c r="K321" i="11"/>
  <c r="J321" i="11"/>
  <c r="AC713" i="11"/>
  <c r="AB713" i="11"/>
  <c r="AA713" i="11"/>
  <c r="Z713" i="11"/>
  <c r="Y713" i="11"/>
  <c r="X713" i="11"/>
  <c r="W713" i="11"/>
  <c r="V713" i="11"/>
  <c r="U713" i="11"/>
  <c r="T713" i="11"/>
  <c r="S713" i="11"/>
  <c r="R713" i="11"/>
  <c r="Q713" i="11"/>
  <c r="P713" i="11"/>
  <c r="O713" i="11"/>
  <c r="N713" i="11"/>
  <c r="M713" i="11"/>
  <c r="L713" i="11"/>
  <c r="K713" i="11"/>
  <c r="J713" i="11"/>
  <c r="AC2157" i="11"/>
  <c r="AB2157" i="11"/>
  <c r="AA2157" i="11"/>
  <c r="Z2157" i="11"/>
  <c r="Y2157" i="11"/>
  <c r="X2157" i="11"/>
  <c r="W2157" i="11"/>
  <c r="V2157" i="11"/>
  <c r="U2157" i="11"/>
  <c r="T2157" i="11"/>
  <c r="S2157" i="11"/>
  <c r="R2157" i="11"/>
  <c r="Q2157" i="11"/>
  <c r="P2157" i="11"/>
  <c r="O2157" i="11"/>
  <c r="N2157" i="11"/>
  <c r="M2157" i="11"/>
  <c r="L2157" i="11"/>
  <c r="K2157" i="11"/>
  <c r="J2157" i="11"/>
  <c r="AC1405" i="11"/>
  <c r="AB1405" i="11"/>
  <c r="AA1405" i="11"/>
  <c r="Z1405" i="11"/>
  <c r="Y1405" i="11"/>
  <c r="X1405" i="11"/>
  <c r="W1405" i="11"/>
  <c r="V1405" i="11"/>
  <c r="U1405" i="11"/>
  <c r="T1405" i="11"/>
  <c r="S1405" i="11"/>
  <c r="R1405" i="11"/>
  <c r="Q1405" i="11"/>
  <c r="P1405" i="11"/>
  <c r="O1405" i="11"/>
  <c r="N1405" i="11"/>
  <c r="M1405" i="11"/>
  <c r="L1405" i="11"/>
  <c r="K1405" i="11"/>
  <c r="J1405" i="11"/>
  <c r="AC1404" i="11"/>
  <c r="AB1404" i="11"/>
  <c r="AA1404" i="11"/>
  <c r="Z1404" i="11"/>
  <c r="Y1404" i="11"/>
  <c r="X1404" i="11"/>
  <c r="W1404" i="11"/>
  <c r="V1404" i="11"/>
  <c r="U1404" i="11"/>
  <c r="T1404" i="11"/>
  <c r="S1404" i="11"/>
  <c r="R1404" i="11"/>
  <c r="Q1404" i="11"/>
  <c r="P1404" i="11"/>
  <c r="O1404" i="11"/>
  <c r="N1404" i="11"/>
  <c r="M1404" i="11"/>
  <c r="L1404" i="11"/>
  <c r="K1404" i="11"/>
  <c r="J1404" i="11"/>
  <c r="AC39" i="11"/>
  <c r="AB39" i="11"/>
  <c r="AA39" i="11"/>
  <c r="Z39" i="11"/>
  <c r="Y39" i="11"/>
  <c r="X39" i="11"/>
  <c r="W39" i="11"/>
  <c r="V39" i="11"/>
  <c r="U39" i="11"/>
  <c r="T39" i="11"/>
  <c r="S39" i="11"/>
  <c r="R39" i="11"/>
  <c r="Q39" i="11"/>
  <c r="P39" i="11"/>
  <c r="O39" i="11"/>
  <c r="N39" i="11"/>
  <c r="M39" i="11"/>
  <c r="L39" i="11"/>
  <c r="K39" i="11"/>
  <c r="J39" i="11"/>
  <c r="AC1241" i="11"/>
  <c r="AB1241" i="11"/>
  <c r="AA1241" i="11"/>
  <c r="Z1241" i="11"/>
  <c r="Y1241" i="11"/>
  <c r="X1241" i="11"/>
  <c r="W1241" i="11"/>
  <c r="V1241" i="11"/>
  <c r="U1241" i="11"/>
  <c r="T1241" i="11"/>
  <c r="S1241" i="11"/>
  <c r="R1241" i="11"/>
  <c r="Q1241" i="11"/>
  <c r="P1241" i="11"/>
  <c r="O1241" i="11"/>
  <c r="N1241" i="11"/>
  <c r="M1241" i="11"/>
  <c r="L1241" i="11"/>
  <c r="K1241" i="11"/>
  <c r="J1241" i="11"/>
  <c r="AC1111" i="11"/>
  <c r="AB1111" i="11"/>
  <c r="AA1111" i="11"/>
  <c r="Z1111" i="11"/>
  <c r="Y1111" i="11"/>
  <c r="X1111" i="11"/>
  <c r="W1111" i="11"/>
  <c r="V1111" i="11"/>
  <c r="U1111" i="11"/>
  <c r="T1111" i="11"/>
  <c r="S1111" i="11"/>
  <c r="R1111" i="11"/>
  <c r="O1111" i="11"/>
  <c r="M1111" i="11"/>
  <c r="L1111" i="11"/>
  <c r="K1111" i="11"/>
  <c r="J1111" i="11"/>
  <c r="AC131" i="11"/>
  <c r="AB131" i="11"/>
  <c r="AA131" i="11"/>
  <c r="Z131" i="11"/>
  <c r="Y131" i="11"/>
  <c r="X131" i="11"/>
  <c r="W131" i="11"/>
  <c r="V131" i="11"/>
  <c r="U131" i="11"/>
  <c r="T131" i="11"/>
  <c r="S131" i="11"/>
  <c r="R131" i="11"/>
  <c r="Q131" i="11"/>
  <c r="P131" i="11"/>
  <c r="O131" i="11"/>
  <c r="N131" i="11"/>
  <c r="M131" i="11"/>
  <c r="L131" i="11"/>
  <c r="K131" i="11"/>
  <c r="J131" i="11"/>
  <c r="AC1594" i="11"/>
  <c r="AB1594" i="11"/>
  <c r="AA1594" i="11"/>
  <c r="Z1594" i="11"/>
  <c r="Y1594" i="11"/>
  <c r="X1594" i="11"/>
  <c r="W1594" i="11"/>
  <c r="V1594" i="11"/>
  <c r="U1594" i="11"/>
  <c r="T1594" i="11"/>
  <c r="S1594" i="11"/>
  <c r="R1594" i="11"/>
  <c r="Q1594" i="11"/>
  <c r="P1594" i="11"/>
  <c r="O1594" i="11"/>
  <c r="N1594" i="11"/>
  <c r="M1594" i="11"/>
  <c r="L1594" i="11"/>
  <c r="K1594" i="11"/>
  <c r="J1594" i="11"/>
  <c r="AC1466" i="11"/>
  <c r="AB1466" i="11"/>
  <c r="AA1466" i="11"/>
  <c r="Z1466" i="11"/>
  <c r="Y1466" i="11"/>
  <c r="X1466" i="11"/>
  <c r="W1466" i="11"/>
  <c r="V1466" i="11"/>
  <c r="U1466" i="11"/>
  <c r="T1466" i="11"/>
  <c r="S1466" i="11"/>
  <c r="R1466" i="11"/>
  <c r="Q1466" i="11"/>
  <c r="P1466" i="11"/>
  <c r="O1466" i="11"/>
  <c r="N1466" i="11"/>
  <c r="M1466" i="11"/>
  <c r="L1466" i="11"/>
  <c r="K1466" i="11"/>
  <c r="J1466" i="11"/>
  <c r="AC2017" i="11"/>
  <c r="AB2017" i="11"/>
  <c r="AA2017" i="11"/>
  <c r="Z2017" i="11"/>
  <c r="Y2017" i="11"/>
  <c r="X2017" i="11"/>
  <c r="W2017" i="11"/>
  <c r="V2017" i="11"/>
  <c r="U2017" i="11"/>
  <c r="T2017" i="11"/>
  <c r="S2017" i="11"/>
  <c r="R2017" i="11"/>
  <c r="Q2017" i="11"/>
  <c r="P2017" i="11"/>
  <c r="O2017" i="11"/>
  <c r="N2017" i="11"/>
  <c r="M2017" i="11"/>
  <c r="L2017" i="11"/>
  <c r="K2017" i="11"/>
  <c r="J2017" i="11"/>
  <c r="AC438" i="11"/>
  <c r="AB438" i="11"/>
  <c r="AA438" i="11"/>
  <c r="Z438" i="11"/>
  <c r="Y438" i="11"/>
  <c r="X438" i="11"/>
  <c r="W438" i="11"/>
  <c r="V438" i="11"/>
  <c r="U438" i="11"/>
  <c r="T438" i="11"/>
  <c r="S438" i="11"/>
  <c r="R438" i="11"/>
  <c r="Q438" i="11"/>
  <c r="P438" i="11"/>
  <c r="O438" i="11"/>
  <c r="N438" i="11"/>
  <c r="M438" i="11"/>
  <c r="L438" i="11"/>
  <c r="K438" i="11"/>
  <c r="J438" i="11"/>
  <c r="AC437" i="11"/>
  <c r="AB437" i="11"/>
  <c r="AA437" i="11"/>
  <c r="Z437" i="11"/>
  <c r="Y437" i="11"/>
  <c r="X437" i="11"/>
  <c r="W437" i="11"/>
  <c r="V437" i="11"/>
  <c r="U437" i="11"/>
  <c r="T437" i="11"/>
  <c r="S437" i="11"/>
  <c r="R437" i="11"/>
  <c r="Q437" i="11"/>
  <c r="P437" i="11"/>
  <c r="O437" i="11"/>
  <c r="N437" i="11"/>
  <c r="M437" i="11"/>
  <c r="L437" i="11"/>
  <c r="K437" i="11"/>
  <c r="J437" i="11"/>
  <c r="AC1465" i="11"/>
  <c r="AB1465" i="11"/>
  <c r="AA1465" i="11"/>
  <c r="Z1465" i="11"/>
  <c r="Y1465" i="11"/>
  <c r="X1465" i="11"/>
  <c r="W1465" i="11"/>
  <c r="V1465" i="11"/>
  <c r="U1465" i="11"/>
  <c r="T1465" i="11"/>
  <c r="S1465" i="11"/>
  <c r="R1465" i="11"/>
  <c r="Q1465" i="11"/>
  <c r="P1465" i="11"/>
  <c r="O1465" i="11"/>
  <c r="N1465" i="11"/>
  <c r="M1465" i="11"/>
  <c r="L1465" i="11"/>
  <c r="K1465" i="11"/>
  <c r="J1465" i="11"/>
  <c r="AC1110" i="11"/>
  <c r="AB1110" i="11"/>
  <c r="AA1110" i="11"/>
  <c r="Z1110" i="11"/>
  <c r="Y1110" i="11"/>
  <c r="X1110" i="11"/>
  <c r="W1110" i="11"/>
  <c r="V1110" i="11"/>
  <c r="U1110" i="11"/>
  <c r="T1110" i="11"/>
  <c r="S1110" i="11"/>
  <c r="R1110" i="11"/>
  <c r="Q1110" i="11"/>
  <c r="P1110" i="11"/>
  <c r="O1110" i="11"/>
  <c r="N1110" i="11"/>
  <c r="M1110" i="11"/>
  <c r="L1110" i="11"/>
  <c r="K1110" i="11"/>
  <c r="J1110" i="11"/>
  <c r="AC712" i="11"/>
  <c r="AB712" i="11"/>
  <c r="AA712" i="11"/>
  <c r="Z712" i="11"/>
  <c r="Y712" i="11"/>
  <c r="X712" i="11"/>
  <c r="W712" i="11"/>
  <c r="V712" i="11"/>
  <c r="U712" i="11"/>
  <c r="T712" i="11"/>
  <c r="S712" i="11"/>
  <c r="R712" i="11"/>
  <c r="Q712" i="11"/>
  <c r="P712" i="11"/>
  <c r="O712" i="11"/>
  <c r="N712" i="11"/>
  <c r="M712" i="11"/>
  <c r="L712" i="11"/>
  <c r="K712" i="11"/>
  <c r="J712" i="11"/>
  <c r="AC793" i="11"/>
  <c r="AB793" i="11"/>
  <c r="AA793" i="11"/>
  <c r="Z793" i="11"/>
  <c r="Y793" i="11"/>
  <c r="X793" i="11"/>
  <c r="W793" i="11"/>
  <c r="V793" i="11"/>
  <c r="U793" i="11"/>
  <c r="T793" i="11"/>
  <c r="S793" i="11"/>
  <c r="R793" i="11"/>
  <c r="Q793" i="11"/>
  <c r="P793" i="11"/>
  <c r="O793" i="11"/>
  <c r="N793" i="11"/>
  <c r="M793" i="11"/>
  <c r="L793" i="11"/>
  <c r="K793" i="11"/>
  <c r="J793" i="11"/>
  <c r="AC1593" i="11"/>
  <c r="AB1593" i="11"/>
  <c r="AA1593" i="11"/>
  <c r="Z1593" i="11"/>
  <c r="Y1593" i="11"/>
  <c r="X1593" i="11"/>
  <c r="W1593" i="11"/>
  <c r="V1593" i="11"/>
  <c r="U1593" i="11"/>
  <c r="T1593" i="11"/>
  <c r="S1593" i="11"/>
  <c r="R1593" i="11"/>
  <c r="Q1593" i="11"/>
  <c r="P1593" i="11"/>
  <c r="O1593" i="11"/>
  <c r="N1593" i="11"/>
  <c r="M1593" i="11"/>
  <c r="L1593" i="11"/>
  <c r="K1593" i="11"/>
  <c r="J1593" i="11"/>
  <c r="AC564" i="11"/>
  <c r="AB564" i="11"/>
  <c r="AA564" i="11"/>
  <c r="Z564" i="11"/>
  <c r="Y564" i="11"/>
  <c r="X564" i="11"/>
  <c r="W564" i="11"/>
  <c r="V564" i="11"/>
  <c r="U564" i="11"/>
  <c r="T564" i="11"/>
  <c r="S564" i="11"/>
  <c r="R564" i="11"/>
  <c r="Q564" i="11"/>
  <c r="P564" i="11"/>
  <c r="O564" i="11"/>
  <c r="N564" i="11"/>
  <c r="M564" i="11"/>
  <c r="L564" i="11"/>
  <c r="K564" i="11"/>
  <c r="J564" i="11"/>
  <c r="AC2016" i="11"/>
  <c r="AB2016" i="11"/>
  <c r="AA2016" i="11"/>
  <c r="Z2016" i="11"/>
  <c r="Y2016" i="11"/>
  <c r="X2016" i="11"/>
  <c r="W2016" i="11"/>
  <c r="V2016" i="11"/>
  <c r="U2016" i="11"/>
  <c r="T2016" i="11"/>
  <c r="S2016" i="11"/>
  <c r="R2016" i="11"/>
  <c r="Q2016" i="11"/>
  <c r="P2016" i="11"/>
  <c r="O2016" i="11"/>
  <c r="N2016" i="11"/>
  <c r="M2016" i="11"/>
  <c r="L2016" i="11"/>
  <c r="K2016" i="11"/>
  <c r="J2016" i="11"/>
  <c r="AC939" i="11"/>
  <c r="AB939" i="11"/>
  <c r="AA939" i="11"/>
  <c r="Z939" i="11"/>
  <c r="Y939" i="11"/>
  <c r="X939" i="11"/>
  <c r="W939" i="11"/>
  <c r="V939" i="11"/>
  <c r="U939" i="11"/>
  <c r="T939" i="11"/>
  <c r="S939" i="11"/>
  <c r="R939" i="11"/>
  <c r="Q939" i="11"/>
  <c r="P939" i="11"/>
  <c r="O939" i="11"/>
  <c r="N939" i="11"/>
  <c r="M939" i="11"/>
  <c r="L939" i="11"/>
  <c r="K939" i="11"/>
  <c r="J939" i="11"/>
  <c r="AC1826" i="11"/>
  <c r="AB1826" i="11"/>
  <c r="AA1826" i="11"/>
  <c r="Z1826" i="11"/>
  <c r="Y1826" i="11"/>
  <c r="X1826" i="11"/>
  <c r="W1826" i="11"/>
  <c r="V1826" i="11"/>
  <c r="U1826" i="11"/>
  <c r="T1826" i="11"/>
  <c r="S1826" i="11"/>
  <c r="R1826" i="11"/>
  <c r="Q1826" i="11"/>
  <c r="P1826" i="11"/>
  <c r="O1826" i="11"/>
  <c r="N1826" i="11"/>
  <c r="M1826" i="11"/>
  <c r="L1826" i="11"/>
  <c r="K1826" i="11"/>
  <c r="J1826" i="11"/>
  <c r="AC626" i="11"/>
  <c r="AB626" i="11"/>
  <c r="AA626" i="11"/>
  <c r="Z626" i="11"/>
  <c r="Y626" i="11"/>
  <c r="X626" i="11"/>
  <c r="W626" i="11"/>
  <c r="V626" i="11"/>
  <c r="U626" i="11"/>
  <c r="T626" i="11"/>
  <c r="S626" i="11"/>
  <c r="R626" i="11"/>
  <c r="Q626" i="11"/>
  <c r="P626" i="11"/>
  <c r="O626" i="11"/>
  <c r="N626" i="11"/>
  <c r="M626" i="11"/>
  <c r="L626" i="11"/>
  <c r="K626" i="11"/>
  <c r="J626" i="11"/>
  <c r="AC2193" i="11"/>
  <c r="AB2193" i="11"/>
  <c r="AA2193" i="11"/>
  <c r="Z2193" i="11"/>
  <c r="Y2193" i="11"/>
  <c r="X2193" i="11"/>
  <c r="W2193" i="11"/>
  <c r="V2193" i="11"/>
  <c r="U2193" i="11"/>
  <c r="T2193" i="11"/>
  <c r="S2193" i="11"/>
  <c r="R2193" i="11"/>
  <c r="Q2193" i="11"/>
  <c r="P2193" i="11"/>
  <c r="O2193" i="11"/>
  <c r="N2193" i="11"/>
  <c r="M2193" i="11"/>
  <c r="L2193" i="11"/>
  <c r="K2193" i="11"/>
  <c r="J2193" i="11"/>
  <c r="AC1181" i="11"/>
  <c r="AB1181" i="11"/>
  <c r="AA1181" i="11"/>
  <c r="Z1181" i="11"/>
  <c r="Y1181" i="11"/>
  <c r="X1181" i="11"/>
  <c r="W1181" i="11"/>
  <c r="V1181" i="11"/>
  <c r="U1181" i="11"/>
  <c r="T1181" i="11"/>
  <c r="S1181" i="11"/>
  <c r="R1181" i="11"/>
  <c r="Q1181" i="11"/>
  <c r="P1181" i="11"/>
  <c r="O1181" i="11"/>
  <c r="N1181" i="11"/>
  <c r="M1181" i="11"/>
  <c r="L1181" i="11"/>
  <c r="K1181" i="11"/>
  <c r="J1181" i="11"/>
  <c r="AC1782" i="11"/>
  <c r="AB1782" i="11"/>
  <c r="AA1782" i="11"/>
  <c r="Z1782" i="11"/>
  <c r="Y1782" i="11"/>
  <c r="X1782" i="11"/>
  <c r="W1782" i="11"/>
  <c r="V1782" i="11"/>
  <c r="U1782" i="11"/>
  <c r="T1782" i="11"/>
  <c r="S1782" i="11"/>
  <c r="R1782" i="11"/>
  <c r="Q1782" i="11"/>
  <c r="P1782" i="11"/>
  <c r="O1782" i="11"/>
  <c r="N1782" i="11"/>
  <c r="M1782" i="11"/>
  <c r="L1782" i="11"/>
  <c r="K1782" i="11"/>
  <c r="J1782" i="11"/>
  <c r="AC1634" i="11"/>
  <c r="AB1634" i="11"/>
  <c r="AA1634" i="11"/>
  <c r="Z1634" i="11"/>
  <c r="Y1634" i="11"/>
  <c r="X1634" i="11"/>
  <c r="W1634" i="11"/>
  <c r="V1634" i="11"/>
  <c r="U1634" i="11"/>
  <c r="T1634" i="11"/>
  <c r="S1634" i="11"/>
  <c r="R1634" i="11"/>
  <c r="Q1634" i="11"/>
  <c r="P1634" i="11"/>
  <c r="O1634" i="11"/>
  <c r="N1634" i="11"/>
  <c r="M1634" i="11"/>
  <c r="L1634" i="11"/>
  <c r="K1634" i="11"/>
  <c r="J1634" i="11"/>
  <c r="AC938" i="11"/>
  <c r="AB938" i="11"/>
  <c r="AA938" i="11"/>
  <c r="Z938" i="11"/>
  <c r="Y938" i="11"/>
  <c r="X938" i="11"/>
  <c r="W938" i="11"/>
  <c r="V938" i="11"/>
  <c r="U938" i="11"/>
  <c r="T938" i="11"/>
  <c r="S938" i="11"/>
  <c r="R938" i="11"/>
  <c r="Q938" i="11"/>
  <c r="P938" i="11"/>
  <c r="O938" i="11"/>
  <c r="N938" i="11"/>
  <c r="M938" i="11"/>
  <c r="L938" i="11"/>
  <c r="K938" i="11"/>
  <c r="J938" i="11"/>
  <c r="AC2015" i="11"/>
  <c r="AB2015" i="11"/>
  <c r="AA2015" i="11"/>
  <c r="Z2015" i="11"/>
  <c r="Y2015" i="11"/>
  <c r="X2015" i="11"/>
  <c r="W2015" i="11"/>
  <c r="V2015" i="11"/>
  <c r="U2015" i="11"/>
  <c r="T2015" i="11"/>
  <c r="S2015" i="11"/>
  <c r="R2015" i="11"/>
  <c r="Q2015" i="11"/>
  <c r="P2015" i="11"/>
  <c r="O2015" i="11"/>
  <c r="N2015" i="11"/>
  <c r="M2015" i="11"/>
  <c r="L2015" i="11"/>
  <c r="K2015" i="11"/>
  <c r="J2015" i="11"/>
  <c r="AC2014" i="11"/>
  <c r="AB2014" i="11"/>
  <c r="AA2014" i="11"/>
  <c r="Z2014" i="11"/>
  <c r="Y2014" i="11"/>
  <c r="X2014" i="11"/>
  <c r="W2014" i="11"/>
  <c r="V2014" i="11"/>
  <c r="U2014" i="11"/>
  <c r="T2014" i="11"/>
  <c r="S2014" i="11"/>
  <c r="R2014" i="11"/>
  <c r="Q2014" i="11"/>
  <c r="P2014" i="11"/>
  <c r="O2014" i="11"/>
  <c r="N2014" i="11"/>
  <c r="M2014" i="11"/>
  <c r="L2014" i="11"/>
  <c r="K2014" i="11"/>
  <c r="J2014" i="11"/>
  <c r="AC1684" i="11"/>
  <c r="AB1684" i="11"/>
  <c r="AA1684" i="11"/>
  <c r="Z1684" i="11"/>
  <c r="Y1684" i="11"/>
  <c r="X1684" i="11"/>
  <c r="W1684" i="11"/>
  <c r="V1684" i="11"/>
  <c r="U1684" i="11"/>
  <c r="T1684" i="11"/>
  <c r="S1684" i="11"/>
  <c r="R1684" i="11"/>
  <c r="Q1684" i="11"/>
  <c r="P1684" i="11"/>
  <c r="O1684" i="11"/>
  <c r="N1684" i="11"/>
  <c r="M1684" i="11"/>
  <c r="L1684" i="11"/>
  <c r="K1684" i="11"/>
  <c r="J1684" i="11"/>
  <c r="AC1109" i="11"/>
  <c r="AB1109" i="11"/>
  <c r="AA1109" i="11"/>
  <c r="Z1109" i="11"/>
  <c r="Y1109" i="11"/>
  <c r="X1109" i="11"/>
  <c r="W1109" i="11"/>
  <c r="V1109" i="11"/>
  <c r="U1109" i="11"/>
  <c r="T1109" i="11"/>
  <c r="S1109" i="11"/>
  <c r="R1109" i="11"/>
  <c r="Q1109" i="11"/>
  <c r="P1109" i="11"/>
  <c r="O1109" i="11"/>
  <c r="N1109" i="11"/>
  <c r="M1109" i="11"/>
  <c r="L1109" i="11"/>
  <c r="K1109" i="11"/>
  <c r="J1109" i="11"/>
  <c r="AC1108" i="11"/>
  <c r="AB1108" i="11"/>
  <c r="AA1108" i="11"/>
  <c r="Z1108" i="11"/>
  <c r="Y1108" i="11"/>
  <c r="X1108" i="11"/>
  <c r="W1108" i="11"/>
  <c r="V1108" i="11"/>
  <c r="U1108" i="11"/>
  <c r="T1108" i="11"/>
  <c r="S1108" i="11"/>
  <c r="R1108" i="11"/>
  <c r="Q1108" i="11"/>
  <c r="P1108" i="11"/>
  <c r="O1108" i="11"/>
  <c r="N1108" i="11"/>
  <c r="M1108" i="11"/>
  <c r="L1108" i="11"/>
  <c r="K1108" i="11"/>
  <c r="J1108" i="11"/>
  <c r="AC436" i="11"/>
  <c r="AB436" i="11"/>
  <c r="AA436" i="11"/>
  <c r="Z436" i="11"/>
  <c r="Y436" i="11"/>
  <c r="X436" i="11"/>
  <c r="W436" i="11"/>
  <c r="V436" i="11"/>
  <c r="U436" i="11"/>
  <c r="T436" i="11"/>
  <c r="S436" i="11"/>
  <c r="R436" i="11"/>
  <c r="Q436" i="11"/>
  <c r="P436" i="11"/>
  <c r="O436" i="11"/>
  <c r="N436" i="11"/>
  <c r="M436" i="11"/>
  <c r="L436" i="11"/>
  <c r="K436" i="11"/>
  <c r="J436" i="11"/>
  <c r="AC1825" i="11"/>
  <c r="AB1825" i="11"/>
  <c r="AA1825" i="11"/>
  <c r="Z1825" i="11"/>
  <c r="Y1825" i="11"/>
  <c r="X1825" i="11"/>
  <c r="W1825" i="11"/>
  <c r="V1825" i="11"/>
  <c r="U1825" i="11"/>
  <c r="T1825" i="11"/>
  <c r="S1825" i="11"/>
  <c r="R1825" i="11"/>
  <c r="Q1825" i="11"/>
  <c r="P1825" i="11"/>
  <c r="O1825" i="11"/>
  <c r="N1825" i="11"/>
  <c r="M1825" i="11"/>
  <c r="L1825" i="11"/>
  <c r="K1825" i="11"/>
  <c r="J1825" i="11"/>
  <c r="AC1297" i="11"/>
  <c r="AB1297" i="11"/>
  <c r="AA1297" i="11"/>
  <c r="Z1297" i="11"/>
  <c r="Y1297" i="11"/>
  <c r="X1297" i="11"/>
  <c r="W1297" i="11"/>
  <c r="V1297" i="11"/>
  <c r="U1297" i="11"/>
  <c r="T1297" i="11"/>
  <c r="S1297" i="11"/>
  <c r="R1297" i="11"/>
  <c r="Q1297" i="11"/>
  <c r="P1297" i="11"/>
  <c r="O1297" i="11"/>
  <c r="N1297" i="11"/>
  <c r="M1297" i="11"/>
  <c r="L1297" i="11"/>
  <c r="K1297" i="11"/>
  <c r="J1297" i="11"/>
  <c r="AC1881" i="11"/>
  <c r="AB1881" i="11"/>
  <c r="AA1881" i="11"/>
  <c r="Z1881" i="11"/>
  <c r="Y1881" i="11"/>
  <c r="X1881" i="11"/>
  <c r="W1881" i="11"/>
  <c r="V1881" i="11"/>
  <c r="U1881" i="11"/>
  <c r="T1881" i="11"/>
  <c r="S1881" i="11"/>
  <c r="R1881" i="11"/>
  <c r="Q1881" i="11"/>
  <c r="P1881" i="11"/>
  <c r="O1881" i="11"/>
  <c r="N1881" i="11"/>
  <c r="M1881" i="11"/>
  <c r="L1881" i="11"/>
  <c r="K1881" i="11"/>
  <c r="J1881" i="11"/>
  <c r="AC1971" i="11"/>
  <c r="AB1971" i="11"/>
  <c r="AA1971" i="11"/>
  <c r="Z1971" i="11"/>
  <c r="Y1971" i="11"/>
  <c r="X1971" i="11"/>
  <c r="W1971" i="11"/>
  <c r="V1971" i="11"/>
  <c r="U1971" i="11"/>
  <c r="T1971" i="11"/>
  <c r="S1971" i="11"/>
  <c r="R1971" i="11"/>
  <c r="Q1971" i="11"/>
  <c r="P1971" i="11"/>
  <c r="O1971" i="11"/>
  <c r="N1971" i="11"/>
  <c r="M1971" i="11"/>
  <c r="L1971" i="11"/>
  <c r="K1971" i="11"/>
  <c r="J1971" i="11"/>
  <c r="AC1554" i="11"/>
  <c r="AB1554" i="11"/>
  <c r="AA1554" i="11"/>
  <c r="Z1554" i="11"/>
  <c r="Y1554" i="11"/>
  <c r="X1554" i="11"/>
  <c r="W1554" i="11"/>
  <c r="V1554" i="11"/>
  <c r="U1554" i="11"/>
  <c r="T1554" i="11"/>
  <c r="S1554" i="11"/>
  <c r="R1554" i="11"/>
  <c r="Q1554" i="11"/>
  <c r="P1554" i="11"/>
  <c r="O1554" i="11"/>
  <c r="N1554" i="11"/>
  <c r="M1554" i="11"/>
  <c r="L1554" i="11"/>
  <c r="K1554" i="11"/>
  <c r="J1554" i="11"/>
  <c r="AC1934" i="11"/>
  <c r="AB1934" i="11"/>
  <c r="AA1934" i="11"/>
  <c r="Z1934" i="11"/>
  <c r="Y1934" i="11"/>
  <c r="X1934" i="11"/>
  <c r="W1934" i="11"/>
  <c r="V1934" i="11"/>
  <c r="U1934" i="11"/>
  <c r="T1934" i="11"/>
  <c r="S1934" i="11"/>
  <c r="R1934" i="11"/>
  <c r="Q1934" i="11"/>
  <c r="P1934" i="11"/>
  <c r="O1934" i="11"/>
  <c r="N1934" i="11"/>
  <c r="M1934" i="11"/>
  <c r="L1934" i="11"/>
  <c r="K1934" i="11"/>
  <c r="J1934" i="11"/>
  <c r="AC1933" i="11"/>
  <c r="AB1933" i="11"/>
  <c r="AA1933" i="11"/>
  <c r="Z1933" i="11"/>
  <c r="Y1933" i="11"/>
  <c r="X1933" i="11"/>
  <c r="W1933" i="11"/>
  <c r="V1933" i="11"/>
  <c r="U1933" i="11"/>
  <c r="T1933" i="11"/>
  <c r="S1933" i="11"/>
  <c r="R1933" i="11"/>
  <c r="Q1933" i="11"/>
  <c r="P1933" i="11"/>
  <c r="O1933" i="11"/>
  <c r="N1933" i="11"/>
  <c r="M1933" i="11"/>
  <c r="L1933" i="11"/>
  <c r="K1933" i="11"/>
  <c r="J1933" i="11"/>
  <c r="AC1403" i="11"/>
  <c r="AB1403" i="11"/>
  <c r="AA1403" i="11"/>
  <c r="Z1403" i="11"/>
  <c r="Y1403" i="11"/>
  <c r="X1403" i="11"/>
  <c r="W1403" i="11"/>
  <c r="V1403" i="11"/>
  <c r="U1403" i="11"/>
  <c r="T1403" i="11"/>
  <c r="S1403" i="11"/>
  <c r="R1403" i="11"/>
  <c r="Q1403" i="11"/>
  <c r="P1403" i="11"/>
  <c r="O1403" i="11"/>
  <c r="N1403" i="11"/>
  <c r="M1403" i="11"/>
  <c r="L1403" i="11"/>
  <c r="K1403" i="11"/>
  <c r="J1403" i="11"/>
  <c r="AC937" i="11"/>
  <c r="AB937" i="11"/>
  <c r="AA937" i="11"/>
  <c r="Z937" i="11"/>
  <c r="Y937" i="11"/>
  <c r="X937" i="11"/>
  <c r="W937" i="11"/>
  <c r="V937" i="11"/>
  <c r="U937" i="11"/>
  <c r="T937" i="11"/>
  <c r="S937" i="11"/>
  <c r="R937" i="11"/>
  <c r="Q937" i="11"/>
  <c r="P937" i="11"/>
  <c r="O937" i="11"/>
  <c r="N937" i="11"/>
  <c r="M937" i="11"/>
  <c r="L937" i="11"/>
  <c r="K937" i="11"/>
  <c r="J937" i="11"/>
  <c r="AC1402" i="11"/>
  <c r="AB1402" i="11"/>
  <c r="AA1402" i="11"/>
  <c r="Z1402" i="11"/>
  <c r="Y1402" i="11"/>
  <c r="X1402" i="11"/>
  <c r="W1402" i="11"/>
  <c r="V1402" i="11"/>
  <c r="U1402" i="11"/>
  <c r="T1402" i="11"/>
  <c r="S1402" i="11"/>
  <c r="R1402" i="11"/>
  <c r="Q1402" i="11"/>
  <c r="P1402" i="11"/>
  <c r="O1402" i="11"/>
  <c r="N1402" i="11"/>
  <c r="M1402" i="11"/>
  <c r="L1402" i="11"/>
  <c r="K1402" i="11"/>
  <c r="J1402" i="11"/>
  <c r="AC1180" i="11"/>
  <c r="AB1180" i="11"/>
  <c r="AA1180" i="11"/>
  <c r="Z1180" i="11"/>
  <c r="Y1180" i="11"/>
  <c r="X1180" i="11"/>
  <c r="W1180" i="11"/>
  <c r="V1180" i="11"/>
  <c r="U1180" i="11"/>
  <c r="T1180" i="11"/>
  <c r="S1180" i="11"/>
  <c r="R1180" i="11"/>
  <c r="Q1180" i="11"/>
  <c r="P1180" i="11"/>
  <c r="O1180" i="11"/>
  <c r="N1180" i="11"/>
  <c r="M1180" i="11"/>
  <c r="L1180" i="11"/>
  <c r="K1180" i="11"/>
  <c r="J1180" i="11"/>
  <c r="AC1633" i="11"/>
  <c r="AB1633" i="11"/>
  <c r="AA1633" i="11"/>
  <c r="Z1633" i="11"/>
  <c r="Y1633" i="11"/>
  <c r="X1633" i="11"/>
  <c r="W1633" i="11"/>
  <c r="V1633" i="11"/>
  <c r="U1633" i="11"/>
  <c r="T1633" i="11"/>
  <c r="S1633" i="11"/>
  <c r="R1633" i="11"/>
  <c r="Q1633" i="11"/>
  <c r="P1633" i="11"/>
  <c r="O1633" i="11"/>
  <c r="N1633" i="11"/>
  <c r="M1633" i="11"/>
  <c r="L1633" i="11"/>
  <c r="K1633" i="11"/>
  <c r="J1633" i="11"/>
  <c r="AC1632" i="11"/>
  <c r="AB1632" i="11"/>
  <c r="AA1632" i="11"/>
  <c r="Z1632" i="11"/>
  <c r="Y1632" i="11"/>
  <c r="X1632" i="11"/>
  <c r="W1632" i="11"/>
  <c r="V1632" i="11"/>
  <c r="U1632" i="11"/>
  <c r="T1632" i="11"/>
  <c r="S1632" i="11"/>
  <c r="R1632" i="11"/>
  <c r="Q1632" i="11"/>
  <c r="P1632" i="11"/>
  <c r="O1632" i="11"/>
  <c r="N1632" i="11"/>
  <c r="M1632" i="11"/>
  <c r="L1632" i="11"/>
  <c r="K1632" i="11"/>
  <c r="J1632" i="11"/>
  <c r="AC1932" i="11"/>
  <c r="AB1932" i="11"/>
  <c r="AA1932" i="11"/>
  <c r="Z1932" i="11"/>
  <c r="Y1932" i="11"/>
  <c r="X1932" i="11"/>
  <c r="W1932" i="11"/>
  <c r="V1932" i="11"/>
  <c r="U1932" i="11"/>
  <c r="T1932" i="11"/>
  <c r="S1932" i="11"/>
  <c r="R1932" i="11"/>
  <c r="Q1932" i="11"/>
  <c r="P1932" i="11"/>
  <c r="O1932" i="11"/>
  <c r="N1932" i="11"/>
  <c r="M1932" i="11"/>
  <c r="L1932" i="11"/>
  <c r="K1932" i="11"/>
  <c r="J1932" i="11"/>
  <c r="AC1931" i="11"/>
  <c r="AB1931" i="11"/>
  <c r="AA1931" i="11"/>
  <c r="Z1931" i="11"/>
  <c r="Y1931" i="11"/>
  <c r="X1931" i="11"/>
  <c r="W1931" i="11"/>
  <c r="V1931" i="11"/>
  <c r="U1931" i="11"/>
  <c r="T1931" i="11"/>
  <c r="S1931" i="11"/>
  <c r="R1931" i="11"/>
  <c r="Q1931" i="11"/>
  <c r="P1931" i="11"/>
  <c r="O1931" i="11"/>
  <c r="N1931" i="11"/>
  <c r="M1931" i="11"/>
  <c r="L1931" i="11"/>
  <c r="K1931" i="11"/>
  <c r="J1931" i="11"/>
  <c r="AC2130" i="11"/>
  <c r="AB2130" i="11"/>
  <c r="AA2130" i="11"/>
  <c r="Z2130" i="11"/>
  <c r="Y2130" i="11"/>
  <c r="X2130" i="11"/>
  <c r="W2130" i="11"/>
  <c r="V2130" i="11"/>
  <c r="U2130" i="11"/>
  <c r="T2130" i="11"/>
  <c r="S2130" i="11"/>
  <c r="R2130" i="11"/>
  <c r="Q2130" i="11"/>
  <c r="P2130" i="11"/>
  <c r="O2130" i="11"/>
  <c r="N2130" i="11"/>
  <c r="M2130" i="11"/>
  <c r="L2130" i="11"/>
  <c r="K2130" i="11"/>
  <c r="J2130" i="11"/>
  <c r="AC2129" i="11"/>
  <c r="AB2129" i="11"/>
  <c r="AA2129" i="11"/>
  <c r="Z2129" i="11"/>
  <c r="Y2129" i="11"/>
  <c r="X2129" i="11"/>
  <c r="W2129" i="11"/>
  <c r="V2129" i="11"/>
  <c r="U2129" i="11"/>
  <c r="T2129" i="11"/>
  <c r="S2129" i="11"/>
  <c r="R2129" i="11"/>
  <c r="Q2129" i="11"/>
  <c r="P2129" i="11"/>
  <c r="O2129" i="11"/>
  <c r="N2129" i="11"/>
  <c r="M2129" i="11"/>
  <c r="L2129" i="11"/>
  <c r="K2129" i="11"/>
  <c r="J2129" i="11"/>
  <c r="AC2206" i="11"/>
  <c r="AB2206" i="11"/>
  <c r="AA2206" i="11"/>
  <c r="Z2206" i="11"/>
  <c r="Y2206" i="11"/>
  <c r="X2206" i="11"/>
  <c r="W2206" i="11"/>
  <c r="V2206" i="11"/>
  <c r="U2206" i="11"/>
  <c r="T2206" i="11"/>
  <c r="S2206" i="11"/>
  <c r="R2206" i="11"/>
  <c r="Q2206" i="11"/>
  <c r="P2206" i="11"/>
  <c r="O2206" i="11"/>
  <c r="N2206" i="11"/>
  <c r="M2206" i="11"/>
  <c r="L2206" i="11"/>
  <c r="K2206" i="11"/>
  <c r="J2206" i="11"/>
  <c r="AC1683" i="11"/>
  <c r="AB1683" i="11"/>
  <c r="AA1683" i="11"/>
  <c r="Z1683" i="11"/>
  <c r="Y1683" i="11"/>
  <c r="X1683" i="11"/>
  <c r="W1683" i="11"/>
  <c r="V1683" i="11"/>
  <c r="U1683" i="11"/>
  <c r="T1683" i="11"/>
  <c r="S1683" i="11"/>
  <c r="R1683" i="11"/>
  <c r="Q1683" i="11"/>
  <c r="P1683" i="11"/>
  <c r="O1683" i="11"/>
  <c r="N1683" i="11"/>
  <c r="M1683" i="11"/>
  <c r="L1683" i="11"/>
  <c r="K1683" i="11"/>
  <c r="J1683" i="11"/>
  <c r="AC161" i="11"/>
  <c r="AB161" i="11"/>
  <c r="AA161" i="11"/>
  <c r="Z161" i="11"/>
  <c r="Y161" i="11"/>
  <c r="X161" i="11"/>
  <c r="W161" i="11"/>
  <c r="V161" i="11"/>
  <c r="U161" i="11"/>
  <c r="T161" i="11"/>
  <c r="S161" i="11"/>
  <c r="R161" i="11"/>
  <c r="Q161" i="11"/>
  <c r="P161" i="11"/>
  <c r="N161" i="11"/>
  <c r="M161" i="11"/>
  <c r="L161" i="11"/>
  <c r="K161" i="11"/>
  <c r="J161" i="11"/>
  <c r="AC1179" i="11"/>
  <c r="AB1179" i="11"/>
  <c r="AA1179" i="11"/>
  <c r="Z1179" i="11"/>
  <c r="Y1179" i="11"/>
  <c r="X1179" i="11"/>
  <c r="W1179" i="11"/>
  <c r="V1179" i="11"/>
  <c r="U1179" i="11"/>
  <c r="T1179" i="11"/>
  <c r="S1179" i="11"/>
  <c r="R1179" i="11"/>
  <c r="Q1179" i="11"/>
  <c r="P1179" i="11"/>
  <c r="O1179" i="11"/>
  <c r="N1179" i="11"/>
  <c r="M1179" i="11"/>
  <c r="L1179" i="11"/>
  <c r="K1179" i="11"/>
  <c r="J1179" i="11"/>
  <c r="AC1464" i="11"/>
  <c r="AB1464" i="11"/>
  <c r="AA1464" i="11"/>
  <c r="Z1464" i="11"/>
  <c r="Y1464" i="11"/>
  <c r="X1464" i="11"/>
  <c r="W1464" i="11"/>
  <c r="V1464" i="11"/>
  <c r="U1464" i="11"/>
  <c r="T1464" i="11"/>
  <c r="S1464" i="11"/>
  <c r="R1464" i="11"/>
  <c r="Q1464" i="11"/>
  <c r="P1464" i="11"/>
  <c r="O1464" i="11"/>
  <c r="N1464" i="11"/>
  <c r="M1464" i="11"/>
  <c r="L1464" i="11"/>
  <c r="K1464" i="11"/>
  <c r="J1464" i="11"/>
  <c r="AC1880" i="11"/>
  <c r="AB1880" i="11"/>
  <c r="AA1880" i="11"/>
  <c r="Z1880" i="11"/>
  <c r="Y1880" i="11"/>
  <c r="X1880" i="11"/>
  <c r="W1880" i="11"/>
  <c r="V1880" i="11"/>
  <c r="U1880" i="11"/>
  <c r="T1880" i="11"/>
  <c r="S1880" i="11"/>
  <c r="R1880" i="11"/>
  <c r="Q1880" i="11"/>
  <c r="P1880" i="11"/>
  <c r="O1880" i="11"/>
  <c r="N1880" i="11"/>
  <c r="M1880" i="11"/>
  <c r="L1880" i="11"/>
  <c r="K1880" i="11"/>
  <c r="J1880" i="11"/>
  <c r="AC1879" i="11"/>
  <c r="AB1879" i="11"/>
  <c r="AA1879" i="11"/>
  <c r="Z1879" i="11"/>
  <c r="Y1879" i="11"/>
  <c r="X1879" i="11"/>
  <c r="W1879" i="11"/>
  <c r="V1879" i="11"/>
  <c r="U1879" i="11"/>
  <c r="T1879" i="11"/>
  <c r="S1879" i="11"/>
  <c r="R1879" i="11"/>
  <c r="Q1879" i="11"/>
  <c r="P1879" i="11"/>
  <c r="O1879" i="11"/>
  <c r="N1879" i="11"/>
  <c r="M1879" i="11"/>
  <c r="L1879" i="11"/>
  <c r="K1879" i="11"/>
  <c r="J1879" i="11"/>
  <c r="AC1296" i="11"/>
  <c r="AB1296" i="11"/>
  <c r="AA1296" i="11"/>
  <c r="Z1296" i="11"/>
  <c r="Y1296" i="11"/>
  <c r="X1296" i="11"/>
  <c r="W1296" i="11"/>
  <c r="V1296" i="11"/>
  <c r="U1296" i="11"/>
  <c r="T1296" i="11"/>
  <c r="S1296" i="11"/>
  <c r="R1296" i="11"/>
  <c r="Q1296" i="11"/>
  <c r="P1296" i="11"/>
  <c r="O1296" i="11"/>
  <c r="N1296" i="11"/>
  <c r="M1296" i="11"/>
  <c r="L1296" i="11"/>
  <c r="K1296" i="11"/>
  <c r="J1296" i="11"/>
  <c r="AC397" i="11"/>
  <c r="AB397" i="11"/>
  <c r="AA397" i="11"/>
  <c r="Z397" i="11"/>
  <c r="Y397" i="11"/>
  <c r="X397" i="11"/>
  <c r="W397" i="11"/>
  <c r="V397" i="11"/>
  <c r="U397" i="11"/>
  <c r="T397" i="11"/>
  <c r="S397" i="11"/>
  <c r="R397" i="11"/>
  <c r="Q397" i="11"/>
  <c r="P397" i="11"/>
  <c r="O397" i="11"/>
  <c r="N397" i="11"/>
  <c r="M397" i="11"/>
  <c r="L397" i="11"/>
  <c r="K397" i="11"/>
  <c r="J397" i="11"/>
  <c r="AC2013" i="11"/>
  <c r="AB2013" i="11"/>
  <c r="AA2013" i="11"/>
  <c r="Z2013" i="11"/>
  <c r="Y2013" i="11"/>
  <c r="X2013" i="11"/>
  <c r="W2013" i="11"/>
  <c r="V2013" i="11"/>
  <c r="U2013" i="11"/>
  <c r="T2013" i="11"/>
  <c r="S2013" i="11"/>
  <c r="R2013" i="11"/>
  <c r="Q2013" i="11"/>
  <c r="P2013" i="11"/>
  <c r="O2013" i="11"/>
  <c r="N2013" i="11"/>
  <c r="M2013" i="11"/>
  <c r="L2013" i="11"/>
  <c r="K2013" i="11"/>
  <c r="J2013" i="11"/>
  <c r="AC1682" i="11"/>
  <c r="AB1682" i="11"/>
  <c r="AA1682" i="11"/>
  <c r="Z1682" i="11"/>
  <c r="Y1682" i="11"/>
  <c r="X1682" i="11"/>
  <c r="W1682" i="11"/>
  <c r="V1682" i="11"/>
  <c r="U1682" i="11"/>
  <c r="T1682" i="11"/>
  <c r="S1682" i="11"/>
  <c r="R1682" i="11"/>
  <c r="Q1682" i="11"/>
  <c r="P1682" i="11"/>
  <c r="O1682" i="11"/>
  <c r="N1682" i="11"/>
  <c r="M1682" i="11"/>
  <c r="L1682" i="11"/>
  <c r="K1682" i="11"/>
  <c r="J1682" i="11"/>
  <c r="AC2092" i="11"/>
  <c r="AB2092" i="11"/>
  <c r="AA2092" i="11"/>
  <c r="Z2092" i="11"/>
  <c r="Y2092" i="11"/>
  <c r="X2092" i="11"/>
  <c r="W2092" i="11"/>
  <c r="V2092" i="11"/>
  <c r="U2092" i="11"/>
  <c r="T2092" i="11"/>
  <c r="S2092" i="11"/>
  <c r="R2092" i="11"/>
  <c r="Q2092" i="11"/>
  <c r="P2092" i="11"/>
  <c r="O2092" i="11"/>
  <c r="N2092" i="11"/>
  <c r="M2092" i="11"/>
  <c r="L2092" i="11"/>
  <c r="K2092" i="11"/>
  <c r="J2092" i="11"/>
  <c r="AC792" i="11"/>
  <c r="AB792" i="11"/>
  <c r="AA792" i="11"/>
  <c r="Z792" i="11"/>
  <c r="Y792" i="11"/>
  <c r="X792" i="11"/>
  <c r="W792" i="11"/>
  <c r="V792" i="11"/>
  <c r="U792" i="11"/>
  <c r="T792" i="11"/>
  <c r="S792" i="11"/>
  <c r="R792" i="11"/>
  <c r="Q792" i="11"/>
  <c r="P792" i="11"/>
  <c r="O792" i="11"/>
  <c r="N792" i="11"/>
  <c r="M792" i="11"/>
  <c r="L792" i="11"/>
  <c r="K792" i="11"/>
  <c r="J792" i="11"/>
  <c r="AC791" i="11"/>
  <c r="AB791" i="11"/>
  <c r="AA791" i="11"/>
  <c r="Z791" i="11"/>
  <c r="Y791" i="11"/>
  <c r="X791" i="11"/>
  <c r="W791" i="11"/>
  <c r="V791" i="11"/>
  <c r="U791" i="11"/>
  <c r="T791" i="11"/>
  <c r="S791" i="11"/>
  <c r="R791" i="11"/>
  <c r="Q791" i="11"/>
  <c r="P791" i="11"/>
  <c r="O791" i="11"/>
  <c r="N791" i="11"/>
  <c r="M791" i="11"/>
  <c r="L791" i="11"/>
  <c r="K791" i="11"/>
  <c r="J791" i="11"/>
  <c r="AC22" i="11"/>
  <c r="AB22" i="11"/>
  <c r="AA22" i="11"/>
  <c r="Z22" i="11"/>
  <c r="Y22" i="11"/>
  <c r="X22" i="11"/>
  <c r="W22" i="11"/>
  <c r="V22" i="11"/>
  <c r="U22" i="11"/>
  <c r="T22" i="11"/>
  <c r="S22" i="11"/>
  <c r="R22" i="11"/>
  <c r="Q22" i="11"/>
  <c r="P22" i="11"/>
  <c r="O22" i="11"/>
  <c r="N22" i="11"/>
  <c r="M22" i="11"/>
  <c r="L22" i="11"/>
  <c r="K22" i="11"/>
  <c r="J22" i="11"/>
  <c r="AC320" i="11"/>
  <c r="AB320" i="11"/>
  <c r="AA320" i="11"/>
  <c r="Z320" i="11"/>
  <c r="Y320" i="11"/>
  <c r="X320" i="11"/>
  <c r="W320" i="11"/>
  <c r="V320" i="11"/>
  <c r="U320" i="11"/>
  <c r="T320" i="11"/>
  <c r="S320" i="11"/>
  <c r="R320" i="11"/>
  <c r="Q320" i="11"/>
  <c r="P320" i="11"/>
  <c r="O320" i="11"/>
  <c r="N320" i="11"/>
  <c r="M320" i="11"/>
  <c r="L320" i="11"/>
  <c r="K320" i="11"/>
  <c r="J320" i="11"/>
  <c r="AC1295" i="11"/>
  <c r="AB1295" i="11"/>
  <c r="AA1295" i="11"/>
  <c r="Z1295" i="11"/>
  <c r="Y1295" i="11"/>
  <c r="X1295" i="11"/>
  <c r="W1295" i="11"/>
  <c r="V1295" i="11"/>
  <c r="U1295" i="11"/>
  <c r="T1295" i="11"/>
  <c r="S1295" i="11"/>
  <c r="R1295" i="11"/>
  <c r="Q1295" i="11"/>
  <c r="P1295" i="11"/>
  <c r="O1295" i="11"/>
  <c r="N1295" i="11"/>
  <c r="M1295" i="11"/>
  <c r="L1295" i="11"/>
  <c r="K1295" i="11"/>
  <c r="J1295" i="11"/>
  <c r="AC2205" i="11"/>
  <c r="AB2205" i="11"/>
  <c r="AA2205" i="11"/>
  <c r="Z2205" i="11"/>
  <c r="Y2205" i="11"/>
  <c r="X2205" i="11"/>
  <c r="W2205" i="11"/>
  <c r="V2205" i="11"/>
  <c r="U2205" i="11"/>
  <c r="T2205" i="11"/>
  <c r="S2205" i="11"/>
  <c r="R2205" i="11"/>
  <c r="Q2205" i="11"/>
  <c r="P2205" i="11"/>
  <c r="O2205" i="11"/>
  <c r="N2205" i="11"/>
  <c r="M2205" i="11"/>
  <c r="L2205" i="11"/>
  <c r="K2205" i="11"/>
  <c r="J2205" i="11"/>
  <c r="AC1592" i="11"/>
  <c r="AB1592" i="11"/>
  <c r="AA1592" i="11"/>
  <c r="Z1592" i="11"/>
  <c r="Y1592" i="11"/>
  <c r="X1592" i="11"/>
  <c r="W1592" i="11"/>
  <c r="V1592" i="11"/>
  <c r="U1592" i="11"/>
  <c r="T1592" i="11"/>
  <c r="S1592" i="11"/>
  <c r="R1592" i="11"/>
  <c r="Q1592" i="11"/>
  <c r="P1592" i="11"/>
  <c r="O1592" i="11"/>
  <c r="N1592" i="11"/>
  <c r="M1592" i="11"/>
  <c r="L1592" i="11"/>
  <c r="K1592" i="11"/>
  <c r="J1592" i="11"/>
  <c r="AC1591" i="11"/>
  <c r="AB1591" i="11"/>
  <c r="AA1591" i="11"/>
  <c r="Z1591" i="11"/>
  <c r="Y1591" i="11"/>
  <c r="X1591" i="11"/>
  <c r="W1591" i="11"/>
  <c r="V1591" i="11"/>
  <c r="U1591" i="11"/>
  <c r="T1591" i="11"/>
  <c r="S1591" i="11"/>
  <c r="R1591" i="11"/>
  <c r="Q1591" i="11"/>
  <c r="P1591" i="11"/>
  <c r="O1591" i="11"/>
  <c r="N1591" i="11"/>
  <c r="M1591" i="11"/>
  <c r="L1591" i="11"/>
  <c r="K1591" i="11"/>
  <c r="J1591" i="11"/>
  <c r="AC1631" i="11"/>
  <c r="AB1631" i="11"/>
  <c r="AA1631" i="11"/>
  <c r="Z1631" i="11"/>
  <c r="Y1631" i="11"/>
  <c r="X1631" i="11"/>
  <c r="W1631" i="11"/>
  <c r="V1631" i="11"/>
  <c r="U1631" i="11"/>
  <c r="T1631" i="11"/>
  <c r="S1631" i="11"/>
  <c r="R1631" i="11"/>
  <c r="Q1631" i="11"/>
  <c r="P1631" i="11"/>
  <c r="O1631" i="11"/>
  <c r="N1631" i="11"/>
  <c r="M1631" i="11"/>
  <c r="L1631" i="11"/>
  <c r="K1631" i="11"/>
  <c r="J1631" i="11"/>
  <c r="AC1630" i="11"/>
  <c r="AB1630" i="11"/>
  <c r="AA1630" i="11"/>
  <c r="Z1630" i="11"/>
  <c r="Y1630" i="11"/>
  <c r="X1630" i="11"/>
  <c r="W1630" i="11"/>
  <c r="V1630" i="11"/>
  <c r="U1630" i="11"/>
  <c r="T1630" i="11"/>
  <c r="S1630" i="11"/>
  <c r="R1630" i="11"/>
  <c r="Q1630" i="11"/>
  <c r="P1630" i="11"/>
  <c r="O1630" i="11"/>
  <c r="N1630" i="11"/>
  <c r="M1630" i="11"/>
  <c r="L1630" i="11"/>
  <c r="K1630" i="11"/>
  <c r="J1630" i="11"/>
  <c r="AC1463" i="11"/>
  <c r="AB1463" i="11"/>
  <c r="AA1463" i="11"/>
  <c r="Z1463" i="11"/>
  <c r="Y1463" i="11"/>
  <c r="X1463" i="11"/>
  <c r="W1463" i="11"/>
  <c r="V1463" i="11"/>
  <c r="U1463" i="11"/>
  <c r="T1463" i="11"/>
  <c r="S1463" i="11"/>
  <c r="R1463" i="11"/>
  <c r="Q1463" i="11"/>
  <c r="P1463" i="11"/>
  <c r="O1463" i="11"/>
  <c r="N1463" i="11"/>
  <c r="M1463" i="11"/>
  <c r="L1463" i="11"/>
  <c r="K1463" i="11"/>
  <c r="J1463" i="11"/>
  <c r="AC856" i="11"/>
  <c r="AB856" i="11"/>
  <c r="AA856" i="11"/>
  <c r="Z856" i="11"/>
  <c r="Y856" i="11"/>
  <c r="X856" i="11"/>
  <c r="W856" i="11"/>
  <c r="V856" i="11"/>
  <c r="U856" i="11"/>
  <c r="T856" i="11"/>
  <c r="S856" i="11"/>
  <c r="R856" i="11"/>
  <c r="Q856" i="11"/>
  <c r="P856" i="11"/>
  <c r="O856" i="11"/>
  <c r="N856" i="11"/>
  <c r="M856" i="11"/>
  <c r="L856" i="11"/>
  <c r="K856" i="11"/>
  <c r="J856" i="11"/>
  <c r="AC1930" i="11"/>
  <c r="AB1930" i="11"/>
  <c r="AA1930" i="11"/>
  <c r="Z1930" i="11"/>
  <c r="Y1930" i="11"/>
  <c r="X1930" i="11"/>
  <c r="W1930" i="11"/>
  <c r="V1930" i="11"/>
  <c r="U1930" i="11"/>
  <c r="T1930" i="11"/>
  <c r="S1930" i="11"/>
  <c r="R1930" i="11"/>
  <c r="Q1930" i="11"/>
  <c r="P1930" i="11"/>
  <c r="O1930" i="11"/>
  <c r="N1930" i="11"/>
  <c r="M1930" i="11"/>
  <c r="L1930" i="11"/>
  <c r="K1930" i="11"/>
  <c r="J1930" i="11"/>
  <c r="AC1107" i="11"/>
  <c r="AB1107" i="11"/>
  <c r="AA1107" i="11"/>
  <c r="Z1107" i="11"/>
  <c r="Y1107" i="11"/>
  <c r="X1107" i="11"/>
  <c r="W1107" i="11"/>
  <c r="V1107" i="11"/>
  <c r="U1107" i="11"/>
  <c r="T1107" i="11"/>
  <c r="S1107" i="11"/>
  <c r="R1107" i="11"/>
  <c r="Q1107" i="11"/>
  <c r="P1107" i="11"/>
  <c r="O1107" i="11"/>
  <c r="N1107" i="11"/>
  <c r="M1107" i="11"/>
  <c r="L1107" i="11"/>
  <c r="K1107" i="11"/>
  <c r="J1107" i="11"/>
  <c r="AC496" i="11"/>
  <c r="AB496" i="11"/>
  <c r="AA496" i="11"/>
  <c r="Z496" i="11"/>
  <c r="Y496" i="11"/>
  <c r="X496" i="11"/>
  <c r="W496" i="11"/>
  <c r="V496" i="11"/>
  <c r="U496" i="11"/>
  <c r="T496" i="11"/>
  <c r="S496" i="11"/>
  <c r="R496" i="11"/>
  <c r="Q496" i="11"/>
  <c r="P496" i="11"/>
  <c r="O496" i="11"/>
  <c r="N496" i="11"/>
  <c r="M496" i="11"/>
  <c r="L496" i="11"/>
  <c r="K496" i="11"/>
  <c r="J496" i="11"/>
  <c r="AC495" i="11"/>
  <c r="AB495" i="11"/>
  <c r="AA495" i="11"/>
  <c r="Z495" i="11"/>
  <c r="Y495" i="11"/>
  <c r="X495" i="11"/>
  <c r="W495" i="11"/>
  <c r="V495" i="11"/>
  <c r="U495" i="11"/>
  <c r="T495" i="11"/>
  <c r="S495" i="11"/>
  <c r="R495" i="11"/>
  <c r="Q495" i="11"/>
  <c r="P495" i="11"/>
  <c r="O495" i="11"/>
  <c r="N495" i="11"/>
  <c r="M495" i="11"/>
  <c r="L495" i="11"/>
  <c r="K495" i="11"/>
  <c r="J495" i="11"/>
  <c r="AC435" i="11"/>
  <c r="AB435" i="11"/>
  <c r="AA435" i="11"/>
  <c r="Z435" i="11"/>
  <c r="Y435" i="11"/>
  <c r="X435" i="11"/>
  <c r="W435" i="11"/>
  <c r="V435" i="11"/>
  <c r="U435" i="11"/>
  <c r="T435" i="11"/>
  <c r="S435" i="11"/>
  <c r="R435" i="11"/>
  <c r="Q435" i="11"/>
  <c r="P435" i="11"/>
  <c r="O435" i="11"/>
  <c r="N435" i="11"/>
  <c r="M435" i="11"/>
  <c r="L435" i="11"/>
  <c r="K435" i="11"/>
  <c r="J435" i="11"/>
  <c r="AC1338" i="11"/>
  <c r="AB1338" i="11"/>
  <c r="AA1338" i="11"/>
  <c r="Z1338" i="11"/>
  <c r="Y1338" i="11"/>
  <c r="X1338" i="11"/>
  <c r="W1338" i="11"/>
  <c r="V1338" i="11"/>
  <c r="U1338" i="11"/>
  <c r="T1338" i="11"/>
  <c r="S1338" i="11"/>
  <c r="R1338" i="11"/>
  <c r="Q1338" i="11"/>
  <c r="P1338" i="11"/>
  <c r="O1338" i="11"/>
  <c r="N1338" i="11"/>
  <c r="M1338" i="11"/>
  <c r="L1338" i="11"/>
  <c r="K1338" i="11"/>
  <c r="J1338" i="11"/>
  <c r="AC1337" i="11"/>
  <c r="AB1337" i="11"/>
  <c r="AA1337" i="11"/>
  <c r="Z1337" i="11"/>
  <c r="Y1337" i="11"/>
  <c r="X1337" i="11"/>
  <c r="W1337" i="11"/>
  <c r="V1337" i="11"/>
  <c r="U1337" i="11"/>
  <c r="T1337" i="11"/>
  <c r="S1337" i="11"/>
  <c r="R1337" i="11"/>
  <c r="Q1337" i="11"/>
  <c r="P1337" i="11"/>
  <c r="O1337" i="11"/>
  <c r="N1337" i="11"/>
  <c r="M1337" i="11"/>
  <c r="L1337" i="11"/>
  <c r="K1337" i="11"/>
  <c r="J1337" i="11"/>
  <c r="AC1240" i="11"/>
  <c r="AB1240" i="11"/>
  <c r="AA1240" i="11"/>
  <c r="Z1240" i="11"/>
  <c r="Y1240" i="11"/>
  <c r="X1240" i="11"/>
  <c r="W1240" i="11"/>
  <c r="V1240" i="11"/>
  <c r="U1240" i="11"/>
  <c r="T1240" i="11"/>
  <c r="S1240" i="11"/>
  <c r="R1240" i="11"/>
  <c r="Q1240" i="11"/>
  <c r="P1240" i="11"/>
  <c r="O1240" i="11"/>
  <c r="N1240" i="11"/>
  <c r="M1240" i="11"/>
  <c r="L1240" i="11"/>
  <c r="K1240" i="11"/>
  <c r="J1240" i="11"/>
  <c r="AC1239" i="11"/>
  <c r="AB1239" i="11"/>
  <c r="AA1239" i="11"/>
  <c r="Z1239" i="11"/>
  <c r="Y1239" i="11"/>
  <c r="X1239" i="11"/>
  <c r="W1239" i="11"/>
  <c r="V1239" i="11"/>
  <c r="U1239" i="11"/>
  <c r="T1239" i="11"/>
  <c r="S1239" i="11"/>
  <c r="R1239" i="11"/>
  <c r="Q1239" i="11"/>
  <c r="P1239" i="11"/>
  <c r="O1239" i="11"/>
  <c r="N1239" i="11"/>
  <c r="M1239" i="11"/>
  <c r="L1239" i="11"/>
  <c r="K1239" i="11"/>
  <c r="J1239" i="11"/>
  <c r="AC1238" i="11"/>
  <c r="AB1238" i="11"/>
  <c r="AA1238" i="11"/>
  <c r="Z1238" i="11"/>
  <c r="Y1238" i="11"/>
  <c r="X1238" i="11"/>
  <c r="W1238" i="11"/>
  <c r="V1238" i="11"/>
  <c r="U1238" i="11"/>
  <c r="T1238" i="11"/>
  <c r="S1238" i="11"/>
  <c r="R1238" i="11"/>
  <c r="Q1238" i="11"/>
  <c r="P1238" i="11"/>
  <c r="O1238" i="11"/>
  <c r="N1238" i="11"/>
  <c r="M1238" i="11"/>
  <c r="L1238" i="11"/>
  <c r="K1238" i="11"/>
  <c r="J1238" i="11"/>
  <c r="AC494" i="11"/>
  <c r="AB494" i="11"/>
  <c r="AA494" i="11"/>
  <c r="Z494" i="11"/>
  <c r="Y494" i="11"/>
  <c r="X494" i="11"/>
  <c r="W494" i="11"/>
  <c r="V494" i="11"/>
  <c r="U494" i="11"/>
  <c r="T494" i="11"/>
  <c r="S494" i="11"/>
  <c r="R494" i="11"/>
  <c r="Q494" i="11"/>
  <c r="P494" i="11"/>
  <c r="O494" i="11"/>
  <c r="N494" i="11"/>
  <c r="M494" i="11"/>
  <c r="L494" i="11"/>
  <c r="K494" i="11"/>
  <c r="J494" i="11"/>
  <c r="AC1553" i="11"/>
  <c r="AB1553" i="11"/>
  <c r="AA1553" i="11"/>
  <c r="Z1553" i="11"/>
  <c r="Y1553" i="11"/>
  <c r="X1553" i="11"/>
  <c r="W1553" i="11"/>
  <c r="V1553" i="11"/>
  <c r="U1553" i="11"/>
  <c r="T1553" i="11"/>
  <c r="S1553" i="11"/>
  <c r="R1553" i="11"/>
  <c r="Q1553" i="11"/>
  <c r="P1553" i="11"/>
  <c r="O1553" i="11"/>
  <c r="N1553" i="11"/>
  <c r="M1553" i="11"/>
  <c r="L1553" i="11"/>
  <c r="K1553" i="11"/>
  <c r="J1553" i="11"/>
  <c r="AC1824" i="11"/>
  <c r="AB1824" i="11"/>
  <c r="AA1824" i="11"/>
  <c r="Z1824" i="11"/>
  <c r="Y1824" i="11"/>
  <c r="X1824" i="11"/>
  <c r="W1824" i="11"/>
  <c r="V1824" i="11"/>
  <c r="U1824" i="11"/>
  <c r="T1824" i="11"/>
  <c r="S1824" i="11"/>
  <c r="R1824" i="11"/>
  <c r="Q1824" i="11"/>
  <c r="P1824" i="11"/>
  <c r="O1824" i="11"/>
  <c r="N1824" i="11"/>
  <c r="M1824" i="11"/>
  <c r="L1824" i="11"/>
  <c r="K1824" i="11"/>
  <c r="J1824" i="11"/>
  <c r="AC1823" i="11"/>
  <c r="AB1823" i="11"/>
  <c r="AA1823" i="11"/>
  <c r="Z1823" i="11"/>
  <c r="Y1823" i="11"/>
  <c r="X1823" i="11"/>
  <c r="W1823" i="11"/>
  <c r="V1823" i="11"/>
  <c r="U1823" i="11"/>
  <c r="T1823" i="11"/>
  <c r="S1823" i="11"/>
  <c r="R1823" i="11"/>
  <c r="Q1823" i="11"/>
  <c r="P1823" i="11"/>
  <c r="O1823" i="11"/>
  <c r="N1823" i="11"/>
  <c r="M1823" i="11"/>
  <c r="L1823" i="11"/>
  <c r="K1823" i="11"/>
  <c r="J1823" i="11"/>
  <c r="AC1237" i="11"/>
  <c r="AB1237" i="11"/>
  <c r="AA1237" i="11"/>
  <c r="Z1237" i="11"/>
  <c r="Y1237" i="11"/>
  <c r="X1237" i="11"/>
  <c r="W1237" i="11"/>
  <c r="V1237" i="11"/>
  <c r="U1237" i="11"/>
  <c r="T1237" i="11"/>
  <c r="S1237" i="11"/>
  <c r="R1237" i="11"/>
  <c r="Q1237" i="11"/>
  <c r="P1237" i="11"/>
  <c r="O1237" i="11"/>
  <c r="N1237" i="11"/>
  <c r="M1237" i="11"/>
  <c r="L1237" i="11"/>
  <c r="K1237" i="11"/>
  <c r="J1237" i="11"/>
  <c r="AC1462" i="11"/>
  <c r="AB1462" i="11"/>
  <c r="AA1462" i="11"/>
  <c r="Z1462" i="11"/>
  <c r="Y1462" i="11"/>
  <c r="X1462" i="11"/>
  <c r="W1462" i="11"/>
  <c r="V1462" i="11"/>
  <c r="U1462" i="11"/>
  <c r="T1462" i="11"/>
  <c r="S1462" i="11"/>
  <c r="R1462" i="11"/>
  <c r="Q1462" i="11"/>
  <c r="P1462" i="11"/>
  <c r="O1462" i="11"/>
  <c r="N1462" i="11"/>
  <c r="M1462" i="11"/>
  <c r="L1462" i="11"/>
  <c r="K1462" i="11"/>
  <c r="J1462" i="11"/>
  <c r="AC790" i="11"/>
  <c r="AB790" i="11"/>
  <c r="AA790" i="11"/>
  <c r="Z790" i="11"/>
  <c r="Y790" i="11"/>
  <c r="X790" i="11"/>
  <c r="W790" i="11"/>
  <c r="V790" i="11"/>
  <c r="U790" i="11"/>
  <c r="T790" i="11"/>
  <c r="S790" i="11"/>
  <c r="Q790" i="11"/>
  <c r="P790" i="11"/>
  <c r="O790" i="11"/>
  <c r="N790" i="11"/>
  <c r="M790" i="11"/>
  <c r="L790" i="11"/>
  <c r="K790" i="11"/>
  <c r="J790" i="11"/>
  <c r="AC2012" i="11"/>
  <c r="AB2012" i="11"/>
  <c r="AA2012" i="11"/>
  <c r="Z2012" i="11"/>
  <c r="Y2012" i="11"/>
  <c r="X2012" i="11"/>
  <c r="W2012" i="11"/>
  <c r="V2012" i="11"/>
  <c r="U2012" i="11"/>
  <c r="T2012" i="11"/>
  <c r="S2012" i="11"/>
  <c r="R2012" i="11"/>
  <c r="Q2012" i="11"/>
  <c r="P2012" i="11"/>
  <c r="O2012" i="11"/>
  <c r="N2012" i="11"/>
  <c r="M2012" i="11"/>
  <c r="L2012" i="11"/>
  <c r="K2012" i="11"/>
  <c r="J2012" i="11"/>
  <c r="AC2192" i="11"/>
  <c r="AB2192" i="11"/>
  <c r="AA2192" i="11"/>
  <c r="Z2192" i="11"/>
  <c r="Y2192" i="11"/>
  <c r="X2192" i="11"/>
  <c r="W2192" i="11"/>
  <c r="V2192" i="11"/>
  <c r="U2192" i="11"/>
  <c r="T2192" i="11"/>
  <c r="S2192" i="11"/>
  <c r="R2192" i="11"/>
  <c r="Q2192" i="11"/>
  <c r="P2192" i="11"/>
  <c r="O2192" i="11"/>
  <c r="N2192" i="11"/>
  <c r="M2192" i="11"/>
  <c r="L2192" i="11"/>
  <c r="K2192" i="11"/>
  <c r="J2192" i="11"/>
  <c r="AC2191" i="11"/>
  <c r="AB2191" i="11"/>
  <c r="AA2191" i="11"/>
  <c r="Z2191" i="11"/>
  <c r="Y2191" i="11"/>
  <c r="X2191" i="11"/>
  <c r="W2191" i="11"/>
  <c r="V2191" i="11"/>
  <c r="U2191" i="11"/>
  <c r="T2191" i="11"/>
  <c r="S2191" i="11"/>
  <c r="R2191" i="11"/>
  <c r="Q2191" i="11"/>
  <c r="P2191" i="11"/>
  <c r="O2191" i="11"/>
  <c r="N2191" i="11"/>
  <c r="M2191" i="11"/>
  <c r="L2191" i="11"/>
  <c r="K2191" i="11"/>
  <c r="J2191" i="11"/>
  <c r="AC1822" i="11"/>
  <c r="AB1822" i="11"/>
  <c r="AA1822" i="11"/>
  <c r="Z1822" i="11"/>
  <c r="Y1822" i="11"/>
  <c r="X1822" i="11"/>
  <c r="W1822" i="11"/>
  <c r="V1822" i="11"/>
  <c r="U1822" i="11"/>
  <c r="T1822" i="11"/>
  <c r="S1822" i="11"/>
  <c r="R1822" i="11"/>
  <c r="Q1822" i="11"/>
  <c r="P1822" i="11"/>
  <c r="O1822" i="11"/>
  <c r="N1822" i="11"/>
  <c r="M1822" i="11"/>
  <c r="L1822" i="11"/>
  <c r="K1822" i="11"/>
  <c r="J1822" i="11"/>
  <c r="AC1461" i="11"/>
  <c r="AB1461" i="11"/>
  <c r="AA1461" i="11"/>
  <c r="Z1461" i="11"/>
  <c r="Y1461" i="11"/>
  <c r="X1461" i="11"/>
  <c r="W1461" i="11"/>
  <c r="V1461" i="11"/>
  <c r="U1461" i="11"/>
  <c r="T1461" i="11"/>
  <c r="S1461" i="11"/>
  <c r="R1461" i="11"/>
  <c r="Q1461" i="11"/>
  <c r="P1461" i="11"/>
  <c r="O1461" i="11"/>
  <c r="N1461" i="11"/>
  <c r="M1461" i="11"/>
  <c r="L1461" i="11"/>
  <c r="K1461" i="11"/>
  <c r="J1461" i="11"/>
  <c r="AC1970" i="11"/>
  <c r="AB1970" i="11"/>
  <c r="AA1970" i="11"/>
  <c r="Z1970" i="11"/>
  <c r="Y1970" i="11"/>
  <c r="X1970" i="11"/>
  <c r="W1970" i="11"/>
  <c r="V1970" i="11"/>
  <c r="U1970" i="11"/>
  <c r="T1970" i="11"/>
  <c r="S1970" i="11"/>
  <c r="R1970" i="11"/>
  <c r="Q1970" i="11"/>
  <c r="P1970" i="11"/>
  <c r="O1970" i="11"/>
  <c r="N1970" i="11"/>
  <c r="M1970" i="11"/>
  <c r="L1970" i="11"/>
  <c r="K1970" i="11"/>
  <c r="J1970" i="11"/>
  <c r="AC1460" i="11"/>
  <c r="AB1460" i="11"/>
  <c r="AA1460" i="11"/>
  <c r="Z1460" i="11"/>
  <c r="Y1460" i="11"/>
  <c r="X1460" i="11"/>
  <c r="W1460" i="11"/>
  <c r="V1460" i="11"/>
  <c r="U1460" i="11"/>
  <c r="T1460" i="11"/>
  <c r="S1460" i="11"/>
  <c r="R1460" i="11"/>
  <c r="Q1460" i="11"/>
  <c r="P1460" i="11"/>
  <c r="O1460" i="11"/>
  <c r="N1460" i="11"/>
  <c r="M1460" i="11"/>
  <c r="L1460" i="11"/>
  <c r="K1460" i="11"/>
  <c r="J1460" i="11"/>
  <c r="AC1401" i="11"/>
  <c r="AB1401" i="11"/>
  <c r="AA1401" i="11"/>
  <c r="Z1401" i="11"/>
  <c r="Y1401" i="11"/>
  <c r="X1401" i="11"/>
  <c r="W1401" i="11"/>
  <c r="V1401" i="11"/>
  <c r="U1401" i="11"/>
  <c r="T1401" i="11"/>
  <c r="S1401" i="11"/>
  <c r="R1401" i="11"/>
  <c r="Q1401" i="11"/>
  <c r="P1401" i="11"/>
  <c r="O1401" i="11"/>
  <c r="N1401" i="11"/>
  <c r="M1401" i="11"/>
  <c r="L1401" i="11"/>
  <c r="K1401" i="11"/>
  <c r="J1401" i="11"/>
  <c r="AC1500" i="11"/>
  <c r="AB1500" i="11"/>
  <c r="AA1500" i="11"/>
  <c r="Z1500" i="11"/>
  <c r="Y1500" i="11"/>
  <c r="X1500" i="11"/>
  <c r="W1500" i="11"/>
  <c r="V1500" i="11"/>
  <c r="U1500" i="11"/>
  <c r="T1500" i="11"/>
  <c r="S1500" i="11"/>
  <c r="R1500" i="11"/>
  <c r="Q1500" i="11"/>
  <c r="P1500" i="11"/>
  <c r="O1500" i="11"/>
  <c r="N1500" i="11"/>
  <c r="M1500" i="11"/>
  <c r="L1500" i="11"/>
  <c r="K1500" i="11"/>
  <c r="J1500" i="11"/>
  <c r="AC1590" i="11"/>
  <c r="AB1590" i="11"/>
  <c r="AA1590" i="11"/>
  <c r="Z1590" i="11"/>
  <c r="Y1590" i="11"/>
  <c r="X1590" i="11"/>
  <c r="W1590" i="11"/>
  <c r="V1590" i="11"/>
  <c r="U1590" i="11"/>
  <c r="T1590" i="11"/>
  <c r="S1590" i="11"/>
  <c r="R1590" i="11"/>
  <c r="Q1590" i="11"/>
  <c r="P1590" i="11"/>
  <c r="O1590" i="11"/>
  <c r="N1590" i="11"/>
  <c r="M1590" i="11"/>
  <c r="L1590" i="11"/>
  <c r="K1590" i="11"/>
  <c r="J1590" i="11"/>
  <c r="AC1589" i="11"/>
  <c r="AB1589" i="11"/>
  <c r="AA1589" i="11"/>
  <c r="Z1589" i="11"/>
  <c r="Y1589" i="11"/>
  <c r="X1589" i="11"/>
  <c r="W1589" i="11"/>
  <c r="V1589" i="11"/>
  <c r="U1589" i="11"/>
  <c r="T1589" i="11"/>
  <c r="S1589" i="11"/>
  <c r="R1589" i="11"/>
  <c r="Q1589" i="11"/>
  <c r="P1589" i="11"/>
  <c r="O1589" i="11"/>
  <c r="N1589" i="11"/>
  <c r="M1589" i="11"/>
  <c r="L1589" i="11"/>
  <c r="K1589" i="11"/>
  <c r="J1589" i="11"/>
  <c r="AC197" i="11"/>
  <c r="AB197" i="11"/>
  <c r="AA197" i="11"/>
  <c r="Z197" i="11"/>
  <c r="Y197" i="11"/>
  <c r="X197" i="11"/>
  <c r="W197" i="11"/>
  <c r="V197" i="11"/>
  <c r="U197" i="11"/>
  <c r="T197" i="11"/>
  <c r="S197" i="11"/>
  <c r="R197" i="11"/>
  <c r="Q197" i="11"/>
  <c r="P197" i="11"/>
  <c r="O197" i="11"/>
  <c r="N197" i="11"/>
  <c r="M197" i="11"/>
  <c r="L197" i="11"/>
  <c r="K197" i="11"/>
  <c r="J197" i="11"/>
  <c r="AC1106" i="11"/>
  <c r="AB1106" i="11"/>
  <c r="AA1106" i="11"/>
  <c r="Z1106" i="11"/>
  <c r="Y1106" i="11"/>
  <c r="X1106" i="11"/>
  <c r="W1106" i="11"/>
  <c r="V1106" i="11"/>
  <c r="U1106" i="11"/>
  <c r="T1106" i="11"/>
  <c r="S1106" i="11"/>
  <c r="R1106" i="11"/>
  <c r="Q1106" i="11"/>
  <c r="P1106" i="11"/>
  <c r="O1106" i="11"/>
  <c r="N1106" i="11"/>
  <c r="M1106" i="11"/>
  <c r="L1106" i="11"/>
  <c r="K1106" i="11"/>
  <c r="J1106" i="11"/>
  <c r="AC71" i="11"/>
  <c r="AB71" i="11"/>
  <c r="AA71" i="11"/>
  <c r="Z71" i="11"/>
  <c r="Y71" i="11"/>
  <c r="X71" i="11"/>
  <c r="W71" i="11"/>
  <c r="V71" i="11"/>
  <c r="U71" i="11"/>
  <c r="T71" i="11"/>
  <c r="S71" i="11"/>
  <c r="R71" i="11"/>
  <c r="Q71" i="11"/>
  <c r="P71" i="11"/>
  <c r="O71" i="11"/>
  <c r="N71" i="11"/>
  <c r="M71" i="11"/>
  <c r="L71" i="11"/>
  <c r="K71" i="11"/>
  <c r="J71" i="11"/>
  <c r="AC936" i="11"/>
  <c r="AB936" i="11"/>
  <c r="AA936" i="11"/>
  <c r="Z936" i="11"/>
  <c r="Y936" i="11"/>
  <c r="X936" i="11"/>
  <c r="W936" i="11"/>
  <c r="V936" i="11"/>
  <c r="U936" i="11"/>
  <c r="T936" i="11"/>
  <c r="S936" i="11"/>
  <c r="R936" i="11"/>
  <c r="Q936" i="11"/>
  <c r="P936" i="11"/>
  <c r="O936" i="11"/>
  <c r="N936" i="11"/>
  <c r="M936" i="11"/>
  <c r="L936" i="11"/>
  <c r="K936" i="11"/>
  <c r="J936" i="11"/>
  <c r="AC1929" i="11"/>
  <c r="AB1929" i="11"/>
  <c r="AA1929" i="11"/>
  <c r="Z1929" i="11"/>
  <c r="Y1929" i="11"/>
  <c r="X1929" i="11"/>
  <c r="W1929" i="11"/>
  <c r="V1929" i="11"/>
  <c r="U1929" i="11"/>
  <c r="T1929" i="11"/>
  <c r="S1929" i="11"/>
  <c r="R1929" i="11"/>
  <c r="Q1929" i="11"/>
  <c r="P1929" i="11"/>
  <c r="O1929" i="11"/>
  <c r="N1929" i="11"/>
  <c r="M1929" i="11"/>
  <c r="L1929" i="11"/>
  <c r="K1929" i="11"/>
  <c r="J1929" i="11"/>
  <c r="AC1969" i="11"/>
  <c r="AB1969" i="11"/>
  <c r="AA1969" i="11"/>
  <c r="Z1969" i="11"/>
  <c r="Y1969" i="11"/>
  <c r="X1969" i="11"/>
  <c r="W1969" i="11"/>
  <c r="V1969" i="11"/>
  <c r="U1969" i="11"/>
  <c r="T1969" i="11"/>
  <c r="S1969" i="11"/>
  <c r="R1969" i="11"/>
  <c r="Q1969" i="11"/>
  <c r="P1969" i="11"/>
  <c r="O1969" i="11"/>
  <c r="N1969" i="11"/>
  <c r="M1969" i="11"/>
  <c r="L1969" i="11"/>
  <c r="K1969" i="11"/>
  <c r="J1969" i="11"/>
  <c r="AC50" i="11"/>
  <c r="AB50" i="11"/>
  <c r="AA50" i="11"/>
  <c r="Z50" i="11"/>
  <c r="Y50" i="11"/>
  <c r="X50" i="11"/>
  <c r="W50" i="11"/>
  <c r="V50" i="11"/>
  <c r="U50" i="11"/>
  <c r="T50" i="11"/>
  <c r="S50" i="11"/>
  <c r="R50" i="11"/>
  <c r="Q50" i="11"/>
  <c r="P50" i="11"/>
  <c r="O50" i="11"/>
  <c r="N50" i="11"/>
  <c r="M50" i="11"/>
  <c r="L50" i="11"/>
  <c r="K50" i="11"/>
  <c r="J50" i="11"/>
  <c r="AC1928" i="11"/>
  <c r="AB1928" i="11"/>
  <c r="AA1928" i="11"/>
  <c r="Z1928" i="11"/>
  <c r="Y1928" i="11"/>
  <c r="X1928" i="11"/>
  <c r="W1928" i="11"/>
  <c r="V1928" i="11"/>
  <c r="U1928" i="11"/>
  <c r="T1928" i="11"/>
  <c r="S1928" i="11"/>
  <c r="R1928" i="11"/>
  <c r="Q1928" i="11"/>
  <c r="P1928" i="11"/>
  <c r="O1928" i="11"/>
  <c r="N1928" i="11"/>
  <c r="M1928" i="11"/>
  <c r="L1928" i="11"/>
  <c r="K1928" i="11"/>
  <c r="J1928" i="11"/>
  <c r="AC1236" i="11"/>
  <c r="AB1236" i="11"/>
  <c r="AA1236" i="11"/>
  <c r="Z1236" i="11"/>
  <c r="Y1236" i="11"/>
  <c r="X1236" i="11"/>
  <c r="W1236" i="11"/>
  <c r="V1236" i="11"/>
  <c r="U1236" i="11"/>
  <c r="T1236" i="11"/>
  <c r="S1236" i="11"/>
  <c r="R1236" i="11"/>
  <c r="Q1236" i="11"/>
  <c r="P1236" i="11"/>
  <c r="O1236" i="11"/>
  <c r="N1236" i="11"/>
  <c r="M1236" i="11"/>
  <c r="L1236" i="11"/>
  <c r="K1236" i="11"/>
  <c r="J1236" i="11"/>
  <c r="AC1105" i="11"/>
  <c r="AB1105" i="11"/>
  <c r="AA1105" i="11"/>
  <c r="Z1105" i="11"/>
  <c r="Y1105" i="11"/>
  <c r="X1105" i="11"/>
  <c r="W1105" i="11"/>
  <c r="V1105" i="11"/>
  <c r="U1105" i="11"/>
  <c r="T1105" i="11"/>
  <c r="S1105" i="11"/>
  <c r="R1105" i="11"/>
  <c r="Q1105" i="11"/>
  <c r="P1105" i="11"/>
  <c r="O1105" i="11"/>
  <c r="N1105" i="11"/>
  <c r="M1105" i="11"/>
  <c r="L1105" i="11"/>
  <c r="K1105" i="11"/>
  <c r="J1105" i="11"/>
  <c r="AC1014" i="11"/>
  <c r="AB1014" i="11"/>
  <c r="AA1014" i="11"/>
  <c r="Z1014" i="11"/>
  <c r="Y1014" i="11"/>
  <c r="X1014" i="11"/>
  <c r="W1014" i="11"/>
  <c r="V1014" i="11"/>
  <c r="U1014" i="11"/>
  <c r="T1014" i="11"/>
  <c r="S1014" i="11"/>
  <c r="R1014" i="11"/>
  <c r="Q1014" i="11"/>
  <c r="P1014" i="11"/>
  <c r="O1014" i="11"/>
  <c r="N1014" i="11"/>
  <c r="M1014" i="11"/>
  <c r="L1014" i="11"/>
  <c r="K1014" i="11"/>
  <c r="J1014" i="11"/>
  <c r="AC1013" i="11"/>
  <c r="AB1013" i="11"/>
  <c r="AA1013" i="11"/>
  <c r="Z1013" i="11"/>
  <c r="Y1013" i="11"/>
  <c r="X1013" i="11"/>
  <c r="W1013" i="11"/>
  <c r="V1013" i="11"/>
  <c r="U1013" i="11"/>
  <c r="T1013" i="11"/>
  <c r="S1013" i="11"/>
  <c r="R1013" i="11"/>
  <c r="Q1013" i="11"/>
  <c r="P1013" i="11"/>
  <c r="O1013" i="11"/>
  <c r="N1013" i="11"/>
  <c r="M1013" i="11"/>
  <c r="L1013" i="11"/>
  <c r="K1013" i="11"/>
  <c r="J1013" i="11"/>
  <c r="AC493" i="11"/>
  <c r="AB493" i="11"/>
  <c r="AA493" i="11"/>
  <c r="Z493" i="11"/>
  <c r="Y493" i="11"/>
  <c r="X493" i="11"/>
  <c r="W493" i="11"/>
  <c r="V493" i="11"/>
  <c r="U493" i="11"/>
  <c r="T493" i="11"/>
  <c r="S493" i="11"/>
  <c r="R493" i="11"/>
  <c r="Q493" i="11"/>
  <c r="P493" i="11"/>
  <c r="O493" i="11"/>
  <c r="N493" i="11"/>
  <c r="M493" i="11"/>
  <c r="L493" i="11"/>
  <c r="K493" i="11"/>
  <c r="J493" i="11"/>
  <c r="AC2011" i="11"/>
  <c r="AB2011" i="11"/>
  <c r="AA2011" i="11"/>
  <c r="Z2011" i="11"/>
  <c r="Y2011" i="11"/>
  <c r="X2011" i="11"/>
  <c r="W2011" i="11"/>
  <c r="V2011" i="11"/>
  <c r="U2011" i="11"/>
  <c r="T2011" i="11"/>
  <c r="S2011" i="11"/>
  <c r="R2011" i="11"/>
  <c r="Q2011" i="11"/>
  <c r="P2011" i="11"/>
  <c r="O2011" i="11"/>
  <c r="N2011" i="11"/>
  <c r="M2011" i="11"/>
  <c r="L2011" i="11"/>
  <c r="K2011" i="11"/>
  <c r="J2011" i="11"/>
  <c r="AC1781" i="11"/>
  <c r="AB1781" i="11"/>
  <c r="AA1781" i="11"/>
  <c r="Z1781" i="11"/>
  <c r="Y1781" i="11"/>
  <c r="X1781" i="11"/>
  <c r="W1781" i="11"/>
  <c r="V1781" i="11"/>
  <c r="U1781" i="11"/>
  <c r="T1781" i="11"/>
  <c r="S1781" i="11"/>
  <c r="R1781" i="11"/>
  <c r="Q1781" i="11"/>
  <c r="P1781" i="11"/>
  <c r="O1781" i="11"/>
  <c r="N1781" i="11"/>
  <c r="M1781" i="11"/>
  <c r="L1781" i="11"/>
  <c r="K1781" i="11"/>
  <c r="J1781" i="11"/>
  <c r="AC1821" i="11"/>
  <c r="AB1821" i="11"/>
  <c r="AA1821" i="11"/>
  <c r="Z1821" i="11"/>
  <c r="Y1821" i="11"/>
  <c r="X1821" i="11"/>
  <c r="W1821" i="11"/>
  <c r="V1821" i="11"/>
  <c r="U1821" i="11"/>
  <c r="T1821" i="11"/>
  <c r="S1821" i="11"/>
  <c r="R1821" i="11"/>
  <c r="Q1821" i="11"/>
  <c r="P1821" i="11"/>
  <c r="O1821" i="11"/>
  <c r="N1821" i="11"/>
  <c r="M1821" i="11"/>
  <c r="L1821" i="11"/>
  <c r="K1821" i="11"/>
  <c r="J1821" i="11"/>
  <c r="AC1820" i="11"/>
  <c r="AB1820" i="11"/>
  <c r="AA1820" i="11"/>
  <c r="Z1820" i="11"/>
  <c r="Y1820" i="11"/>
  <c r="X1820" i="11"/>
  <c r="W1820" i="11"/>
  <c r="V1820" i="11"/>
  <c r="U1820" i="11"/>
  <c r="T1820" i="11"/>
  <c r="S1820" i="11"/>
  <c r="R1820" i="11"/>
  <c r="Q1820" i="11"/>
  <c r="P1820" i="11"/>
  <c r="O1820" i="11"/>
  <c r="N1820" i="11"/>
  <c r="M1820" i="11"/>
  <c r="L1820" i="11"/>
  <c r="K1820" i="11"/>
  <c r="J1820" i="11"/>
  <c r="AC2091" i="11"/>
  <c r="AB2091" i="11"/>
  <c r="AA2091" i="11"/>
  <c r="Z2091" i="11"/>
  <c r="Y2091" i="11"/>
  <c r="X2091" i="11"/>
  <c r="W2091" i="11"/>
  <c r="V2091" i="11"/>
  <c r="U2091" i="11"/>
  <c r="T2091" i="11"/>
  <c r="S2091" i="11"/>
  <c r="R2091" i="11"/>
  <c r="Q2091" i="11"/>
  <c r="P2091" i="11"/>
  <c r="O2091" i="11"/>
  <c r="N2091" i="11"/>
  <c r="M2091" i="11"/>
  <c r="L2091" i="11"/>
  <c r="K2091" i="11"/>
  <c r="J2091" i="11"/>
  <c r="AC625" i="11"/>
  <c r="AB625" i="11"/>
  <c r="AA625" i="11"/>
  <c r="Z625" i="11"/>
  <c r="Y625" i="11"/>
  <c r="X625" i="11"/>
  <c r="W625" i="11"/>
  <c r="V625" i="11"/>
  <c r="U625" i="11"/>
  <c r="T625" i="11"/>
  <c r="S625" i="11"/>
  <c r="R625" i="11"/>
  <c r="Q625" i="11"/>
  <c r="P625" i="11"/>
  <c r="O625" i="11"/>
  <c r="N625" i="11"/>
  <c r="M625" i="11"/>
  <c r="L625" i="11"/>
  <c r="K625" i="11"/>
  <c r="J625" i="11"/>
  <c r="AC2062" i="11"/>
  <c r="AB2062" i="11"/>
  <c r="AA2062" i="11"/>
  <c r="Z2062" i="11"/>
  <c r="Y2062" i="11"/>
  <c r="X2062" i="11"/>
  <c r="W2062" i="11"/>
  <c r="V2062" i="11"/>
  <c r="U2062" i="11"/>
  <c r="T2062" i="11"/>
  <c r="S2062" i="11"/>
  <c r="R2062" i="11"/>
  <c r="Q2062" i="11"/>
  <c r="P2062" i="11"/>
  <c r="O2062" i="11"/>
  <c r="N2062" i="11"/>
  <c r="M2062" i="11"/>
  <c r="L2062" i="11"/>
  <c r="K2062" i="11"/>
  <c r="J2062" i="11"/>
  <c r="AC1737" i="11"/>
  <c r="AB1737" i="11"/>
  <c r="AA1737" i="11"/>
  <c r="Z1737" i="11"/>
  <c r="Y1737" i="11"/>
  <c r="X1737" i="11"/>
  <c r="W1737" i="11"/>
  <c r="V1737" i="11"/>
  <c r="U1737" i="11"/>
  <c r="T1737" i="11"/>
  <c r="S1737" i="11"/>
  <c r="R1737" i="11"/>
  <c r="Q1737" i="11"/>
  <c r="P1737" i="11"/>
  <c r="O1737" i="11"/>
  <c r="N1737" i="11"/>
  <c r="M1737" i="11"/>
  <c r="L1737" i="11"/>
  <c r="K1737" i="11"/>
  <c r="J1737" i="11"/>
  <c r="AC1681" i="11"/>
  <c r="AB1681" i="11"/>
  <c r="AA1681" i="11"/>
  <c r="Z1681" i="11"/>
  <c r="Y1681" i="11"/>
  <c r="X1681" i="11"/>
  <c r="W1681" i="11"/>
  <c r="V1681" i="11"/>
  <c r="U1681" i="11"/>
  <c r="T1681" i="11"/>
  <c r="S1681" i="11"/>
  <c r="R1681" i="11"/>
  <c r="Q1681" i="11"/>
  <c r="P1681" i="11"/>
  <c r="O1681" i="11"/>
  <c r="N1681" i="11"/>
  <c r="M1681" i="11"/>
  <c r="L1681" i="11"/>
  <c r="K1681" i="11"/>
  <c r="J1681" i="11"/>
  <c r="AC2217" i="11"/>
  <c r="AB2217" i="11"/>
  <c r="AA2217" i="11"/>
  <c r="Z2217" i="11"/>
  <c r="Y2217" i="11"/>
  <c r="X2217" i="11"/>
  <c r="W2217" i="11"/>
  <c r="V2217" i="11"/>
  <c r="U2217" i="11"/>
  <c r="T2217" i="11"/>
  <c r="S2217" i="11"/>
  <c r="R2217" i="11"/>
  <c r="Q2217" i="11"/>
  <c r="P2217" i="11"/>
  <c r="O2217" i="11"/>
  <c r="N2217" i="11"/>
  <c r="M2217" i="11"/>
  <c r="L2217" i="11"/>
  <c r="K2217" i="11"/>
  <c r="J2217" i="11"/>
  <c r="AC1294" i="11"/>
  <c r="AB1294" i="11"/>
  <c r="AA1294" i="11"/>
  <c r="Z1294" i="11"/>
  <c r="Y1294" i="11"/>
  <c r="X1294" i="11"/>
  <c r="W1294" i="11"/>
  <c r="V1294" i="11"/>
  <c r="U1294" i="11"/>
  <c r="T1294" i="11"/>
  <c r="S1294" i="11"/>
  <c r="R1294" i="11"/>
  <c r="Q1294" i="11"/>
  <c r="P1294" i="11"/>
  <c r="O1294" i="11"/>
  <c r="N1294" i="11"/>
  <c r="M1294" i="11"/>
  <c r="L1294" i="11"/>
  <c r="K1294" i="11"/>
  <c r="J1294" i="11"/>
  <c r="AC624" i="11"/>
  <c r="AB624" i="11"/>
  <c r="AA624" i="11"/>
  <c r="Z624" i="11"/>
  <c r="Y624" i="11"/>
  <c r="X624" i="11"/>
  <c r="W624" i="11"/>
  <c r="V624" i="11"/>
  <c r="U624" i="11"/>
  <c r="T624" i="11"/>
  <c r="S624" i="11"/>
  <c r="R624" i="11"/>
  <c r="Q624" i="11"/>
  <c r="P624" i="11"/>
  <c r="O624" i="11"/>
  <c r="N624" i="11"/>
  <c r="M624" i="11"/>
  <c r="L624" i="11"/>
  <c r="K624" i="11"/>
  <c r="J624" i="11"/>
  <c r="AC623" i="11"/>
  <c r="AB623" i="11"/>
  <c r="AA623" i="11"/>
  <c r="Z623" i="11"/>
  <c r="Y623" i="11"/>
  <c r="X623" i="11"/>
  <c r="W623" i="11"/>
  <c r="V623" i="11"/>
  <c r="U623" i="11"/>
  <c r="T623" i="11"/>
  <c r="S623" i="11"/>
  <c r="R623" i="11"/>
  <c r="Q623" i="11"/>
  <c r="P623" i="11"/>
  <c r="O623" i="11"/>
  <c r="N623" i="11"/>
  <c r="M623" i="11"/>
  <c r="L623" i="11"/>
  <c r="K623" i="11"/>
  <c r="J623" i="11"/>
  <c r="AC711" i="11"/>
  <c r="AB711" i="11"/>
  <c r="AA711" i="11"/>
  <c r="Z711" i="11"/>
  <c r="Y711" i="11"/>
  <c r="X711" i="11"/>
  <c r="W711" i="11"/>
  <c r="V711" i="11"/>
  <c r="U711" i="11"/>
  <c r="T711" i="11"/>
  <c r="S711" i="11"/>
  <c r="R711" i="11"/>
  <c r="Q711" i="11"/>
  <c r="P711" i="11"/>
  <c r="O711" i="11"/>
  <c r="N711" i="11"/>
  <c r="M711" i="11"/>
  <c r="L711" i="11"/>
  <c r="K711" i="11"/>
  <c r="J711" i="11"/>
  <c r="AC1736" i="11"/>
  <c r="AB1736" i="11"/>
  <c r="AA1736" i="11"/>
  <c r="Z1736" i="11"/>
  <c r="Y1736" i="11"/>
  <c r="X1736" i="11"/>
  <c r="W1736" i="11"/>
  <c r="V1736" i="11"/>
  <c r="U1736" i="11"/>
  <c r="T1736" i="11"/>
  <c r="S1736" i="11"/>
  <c r="R1736" i="11"/>
  <c r="Q1736" i="11"/>
  <c r="P1736" i="11"/>
  <c r="O1736" i="11"/>
  <c r="N1736" i="11"/>
  <c r="M1736" i="11"/>
  <c r="L1736" i="11"/>
  <c r="K1736" i="11"/>
  <c r="J1736" i="11"/>
  <c r="AC319" i="11"/>
  <c r="AB319" i="11"/>
  <c r="AA319" i="11"/>
  <c r="Z319" i="11"/>
  <c r="Y319" i="11"/>
  <c r="X319" i="11"/>
  <c r="W319" i="11"/>
  <c r="V319" i="11"/>
  <c r="U319" i="11"/>
  <c r="T319" i="11"/>
  <c r="S319" i="11"/>
  <c r="R319" i="11"/>
  <c r="Q319" i="11"/>
  <c r="P319" i="11"/>
  <c r="O319" i="11"/>
  <c r="N319" i="11"/>
  <c r="M319" i="11"/>
  <c r="L319" i="11"/>
  <c r="K319" i="11"/>
  <c r="J319" i="11"/>
  <c r="AC1178" i="11"/>
  <c r="AB1178" i="11"/>
  <c r="AA1178" i="11"/>
  <c r="Z1178" i="11"/>
  <c r="Y1178" i="11"/>
  <c r="X1178" i="11"/>
  <c r="W1178" i="11"/>
  <c r="V1178" i="11"/>
  <c r="U1178" i="11"/>
  <c r="T1178" i="11"/>
  <c r="S1178" i="11"/>
  <c r="R1178" i="11"/>
  <c r="Q1178" i="11"/>
  <c r="P1178" i="11"/>
  <c r="O1178" i="11"/>
  <c r="N1178" i="11"/>
  <c r="M1178" i="11"/>
  <c r="L1178" i="11"/>
  <c r="K1178" i="11"/>
  <c r="J1178" i="11"/>
  <c r="AC1735" i="11"/>
  <c r="AB1735" i="11"/>
  <c r="AA1735" i="11"/>
  <c r="Z1735" i="11"/>
  <c r="Y1735" i="11"/>
  <c r="X1735" i="11"/>
  <c r="W1735" i="11"/>
  <c r="V1735" i="11"/>
  <c r="U1735" i="11"/>
  <c r="T1735" i="11"/>
  <c r="S1735" i="11"/>
  <c r="R1735" i="11"/>
  <c r="Q1735" i="11"/>
  <c r="P1735" i="11"/>
  <c r="O1735" i="11"/>
  <c r="N1735" i="11"/>
  <c r="M1735" i="11"/>
  <c r="L1735" i="11"/>
  <c r="K1735" i="11"/>
  <c r="J1735" i="11"/>
  <c r="AC1878" i="11"/>
  <c r="AB1878" i="11"/>
  <c r="AA1878" i="11"/>
  <c r="Z1878" i="11"/>
  <c r="Y1878" i="11"/>
  <c r="X1878" i="11"/>
  <c r="W1878" i="11"/>
  <c r="V1878" i="11"/>
  <c r="U1878" i="11"/>
  <c r="T1878" i="11"/>
  <c r="S1878" i="11"/>
  <c r="R1878" i="11"/>
  <c r="Q1878" i="11"/>
  <c r="P1878" i="11"/>
  <c r="O1878" i="11"/>
  <c r="N1878" i="11"/>
  <c r="M1878" i="11"/>
  <c r="L1878" i="11"/>
  <c r="K1878" i="11"/>
  <c r="J1878" i="11"/>
  <c r="AC1400" i="11"/>
  <c r="AB1400" i="11"/>
  <c r="AA1400" i="11"/>
  <c r="Z1400" i="11"/>
  <c r="Y1400" i="11"/>
  <c r="X1400" i="11"/>
  <c r="W1400" i="11"/>
  <c r="V1400" i="11"/>
  <c r="U1400" i="11"/>
  <c r="T1400" i="11"/>
  <c r="S1400" i="11"/>
  <c r="R1400" i="11"/>
  <c r="Q1400" i="11"/>
  <c r="P1400" i="11"/>
  <c r="O1400" i="11"/>
  <c r="N1400" i="11"/>
  <c r="M1400" i="11"/>
  <c r="L1400" i="11"/>
  <c r="K1400" i="11"/>
  <c r="J1400" i="11"/>
  <c r="AC2211" i="11"/>
  <c r="AB2211" i="11"/>
  <c r="AA2211" i="11"/>
  <c r="Z2211" i="11"/>
  <c r="Y2211" i="11"/>
  <c r="X2211" i="11"/>
  <c r="W2211" i="11"/>
  <c r="V2211" i="11"/>
  <c r="U2211" i="11"/>
  <c r="T2211" i="11"/>
  <c r="S2211" i="11"/>
  <c r="R2211" i="11"/>
  <c r="Q2211" i="11"/>
  <c r="P2211" i="11"/>
  <c r="O2211" i="11"/>
  <c r="N2211" i="11"/>
  <c r="M2211" i="11"/>
  <c r="L2211" i="11"/>
  <c r="K2211" i="11"/>
  <c r="J2211" i="11"/>
  <c r="AC396" i="11"/>
  <c r="AB396" i="11"/>
  <c r="AA396" i="11"/>
  <c r="Z396" i="11"/>
  <c r="Y396" i="11"/>
  <c r="X396" i="11"/>
  <c r="W396" i="11"/>
  <c r="V396" i="11"/>
  <c r="U396" i="11"/>
  <c r="T396" i="11"/>
  <c r="S396" i="11"/>
  <c r="R396" i="11"/>
  <c r="Q396" i="11"/>
  <c r="P396" i="11"/>
  <c r="O396" i="11"/>
  <c r="N396" i="11"/>
  <c r="M396" i="11"/>
  <c r="L396" i="11"/>
  <c r="K396" i="11"/>
  <c r="J396" i="11"/>
  <c r="AC855" i="11"/>
  <c r="AB855" i="11"/>
  <c r="AA855" i="11"/>
  <c r="Z855" i="11"/>
  <c r="Y855" i="11"/>
  <c r="X855" i="11"/>
  <c r="W855" i="11"/>
  <c r="V855" i="11"/>
  <c r="U855" i="11"/>
  <c r="T855" i="11"/>
  <c r="S855" i="11"/>
  <c r="R855" i="11"/>
  <c r="Q855" i="11"/>
  <c r="P855" i="11"/>
  <c r="O855" i="11"/>
  <c r="N855" i="11"/>
  <c r="M855" i="11"/>
  <c r="L855" i="11"/>
  <c r="K855" i="11"/>
  <c r="J855" i="11"/>
  <c r="AC1552" i="11"/>
  <c r="AB1552" i="11"/>
  <c r="AA1552" i="11"/>
  <c r="Z1552" i="11"/>
  <c r="Y1552" i="11"/>
  <c r="X1552" i="11"/>
  <c r="W1552" i="11"/>
  <c r="V1552" i="11"/>
  <c r="U1552" i="11"/>
  <c r="T1552" i="11"/>
  <c r="S1552" i="11"/>
  <c r="R1552" i="11"/>
  <c r="Q1552" i="11"/>
  <c r="P1552" i="11"/>
  <c r="O1552" i="11"/>
  <c r="N1552" i="11"/>
  <c r="M1552" i="11"/>
  <c r="L1552" i="11"/>
  <c r="K1552" i="11"/>
  <c r="J1552" i="11"/>
  <c r="AC1927" i="11"/>
  <c r="AB1927" i="11"/>
  <c r="AA1927" i="11"/>
  <c r="Z1927" i="11"/>
  <c r="Y1927" i="11"/>
  <c r="X1927" i="11"/>
  <c r="W1927" i="11"/>
  <c r="V1927" i="11"/>
  <c r="U1927" i="11"/>
  <c r="T1927" i="11"/>
  <c r="S1927" i="11"/>
  <c r="R1927" i="11"/>
  <c r="Q1927" i="11"/>
  <c r="P1927" i="11"/>
  <c r="O1927" i="11"/>
  <c r="N1927" i="11"/>
  <c r="M1927" i="11"/>
  <c r="L1927" i="11"/>
  <c r="K1927" i="11"/>
  <c r="J1927" i="11"/>
  <c r="AC1926" i="11"/>
  <c r="AB1926" i="11"/>
  <c r="AA1926" i="11"/>
  <c r="Z1926" i="11"/>
  <c r="Y1926" i="11"/>
  <c r="X1926" i="11"/>
  <c r="W1926" i="11"/>
  <c r="V1926" i="11"/>
  <c r="U1926" i="11"/>
  <c r="T1926" i="11"/>
  <c r="S1926" i="11"/>
  <c r="R1926" i="11"/>
  <c r="Q1926" i="11"/>
  <c r="P1926" i="11"/>
  <c r="O1926" i="11"/>
  <c r="N1926" i="11"/>
  <c r="M1926" i="11"/>
  <c r="L1926" i="11"/>
  <c r="K1926" i="11"/>
  <c r="J1926" i="11"/>
  <c r="AC854" i="11"/>
  <c r="AB854" i="11"/>
  <c r="AA854" i="11"/>
  <c r="Z854" i="11"/>
  <c r="Y854" i="11"/>
  <c r="X854" i="11"/>
  <c r="W854" i="11"/>
  <c r="V854" i="11"/>
  <c r="U854" i="11"/>
  <c r="T854" i="11"/>
  <c r="S854" i="11"/>
  <c r="R854" i="11"/>
  <c r="Q854" i="11"/>
  <c r="P854" i="11"/>
  <c r="O854" i="11"/>
  <c r="N854" i="11"/>
  <c r="M854" i="11"/>
  <c r="L854" i="11"/>
  <c r="K854" i="11"/>
  <c r="J854" i="11"/>
  <c r="AC789" i="11"/>
  <c r="AB789" i="11"/>
  <c r="AA789" i="11"/>
  <c r="Z789" i="11"/>
  <c r="Y789" i="11"/>
  <c r="X789" i="11"/>
  <c r="W789" i="11"/>
  <c r="V789" i="11"/>
  <c r="U789" i="11"/>
  <c r="T789" i="11"/>
  <c r="S789" i="11"/>
  <c r="R789" i="11"/>
  <c r="Q789" i="11"/>
  <c r="P789" i="11"/>
  <c r="O789" i="11"/>
  <c r="N789" i="11"/>
  <c r="M789" i="11"/>
  <c r="L789" i="11"/>
  <c r="K789" i="11"/>
  <c r="J789" i="11"/>
  <c r="AC229" i="11"/>
  <c r="AB229" i="11"/>
  <c r="AA229" i="11"/>
  <c r="Z229" i="11"/>
  <c r="Y229" i="11"/>
  <c r="X229" i="11"/>
  <c r="W229" i="11"/>
  <c r="V229" i="11"/>
  <c r="U229" i="11"/>
  <c r="T229" i="11"/>
  <c r="S229" i="11"/>
  <c r="R229" i="11"/>
  <c r="Q229" i="11"/>
  <c r="P229" i="11"/>
  <c r="O229" i="11"/>
  <c r="N229" i="11"/>
  <c r="M229" i="11"/>
  <c r="L229" i="11"/>
  <c r="K229" i="11"/>
  <c r="J229" i="11"/>
  <c r="AC788" i="11"/>
  <c r="AB788" i="11"/>
  <c r="AA788" i="11"/>
  <c r="Z788" i="11"/>
  <c r="Y788" i="11"/>
  <c r="X788" i="11"/>
  <c r="W788" i="11"/>
  <c r="V788" i="11"/>
  <c r="U788" i="11"/>
  <c r="T788" i="11"/>
  <c r="S788" i="11"/>
  <c r="R788" i="11"/>
  <c r="Q788" i="11"/>
  <c r="P788" i="11"/>
  <c r="O788" i="11"/>
  <c r="N788" i="11"/>
  <c r="M788" i="11"/>
  <c r="L788" i="11"/>
  <c r="K788" i="11"/>
  <c r="J788" i="11"/>
  <c r="AC1780" i="11"/>
  <c r="AB1780" i="11"/>
  <c r="AA1780" i="11"/>
  <c r="Z1780" i="11"/>
  <c r="Y1780" i="11"/>
  <c r="X1780" i="11"/>
  <c r="W1780" i="11"/>
  <c r="V1780" i="11"/>
  <c r="U1780" i="11"/>
  <c r="T1780" i="11"/>
  <c r="S1780" i="11"/>
  <c r="R1780" i="11"/>
  <c r="Q1780" i="11"/>
  <c r="P1780" i="11"/>
  <c r="O1780" i="11"/>
  <c r="N1780" i="11"/>
  <c r="M1780" i="11"/>
  <c r="L1780" i="11"/>
  <c r="K1780" i="11"/>
  <c r="J1780" i="11"/>
  <c r="AC1779" i="11"/>
  <c r="AB1779" i="11"/>
  <c r="AA1779" i="11"/>
  <c r="Z1779" i="11"/>
  <c r="Y1779" i="11"/>
  <c r="X1779" i="11"/>
  <c r="W1779" i="11"/>
  <c r="V1779" i="11"/>
  <c r="U1779" i="11"/>
  <c r="T1779" i="11"/>
  <c r="S1779" i="11"/>
  <c r="R1779" i="11"/>
  <c r="Q1779" i="11"/>
  <c r="P1779" i="11"/>
  <c r="O1779" i="11"/>
  <c r="N1779" i="11"/>
  <c r="M1779" i="11"/>
  <c r="L1779" i="11"/>
  <c r="K1779" i="11"/>
  <c r="J1779" i="11"/>
  <c r="AC1778" i="11"/>
  <c r="AB1778" i="11"/>
  <c r="AA1778" i="11"/>
  <c r="Z1778" i="11"/>
  <c r="Y1778" i="11"/>
  <c r="X1778" i="11"/>
  <c r="W1778" i="11"/>
  <c r="V1778" i="11"/>
  <c r="U1778" i="11"/>
  <c r="T1778" i="11"/>
  <c r="S1778" i="11"/>
  <c r="R1778" i="11"/>
  <c r="Q1778" i="11"/>
  <c r="P1778" i="11"/>
  <c r="O1778" i="11"/>
  <c r="N1778" i="11"/>
  <c r="M1778" i="11"/>
  <c r="L1778" i="11"/>
  <c r="K1778" i="11"/>
  <c r="J1778" i="11"/>
  <c r="AC1734" i="11"/>
  <c r="AB1734" i="11"/>
  <c r="AA1734" i="11"/>
  <c r="Z1734" i="11"/>
  <c r="Y1734" i="11"/>
  <c r="X1734" i="11"/>
  <c r="W1734" i="11"/>
  <c r="V1734" i="11"/>
  <c r="U1734" i="11"/>
  <c r="T1734" i="11"/>
  <c r="S1734" i="11"/>
  <c r="R1734" i="11"/>
  <c r="Q1734" i="11"/>
  <c r="P1734" i="11"/>
  <c r="O1734" i="11"/>
  <c r="N1734" i="11"/>
  <c r="M1734" i="11"/>
  <c r="L1734" i="11"/>
  <c r="K1734" i="11"/>
  <c r="J1734" i="11"/>
  <c r="AC1680" i="11"/>
  <c r="AB1680" i="11"/>
  <c r="AA1680" i="11"/>
  <c r="Z1680" i="11"/>
  <c r="Y1680" i="11"/>
  <c r="X1680" i="11"/>
  <c r="W1680" i="11"/>
  <c r="V1680" i="11"/>
  <c r="U1680" i="11"/>
  <c r="T1680" i="11"/>
  <c r="S1680" i="11"/>
  <c r="R1680" i="11"/>
  <c r="Q1680" i="11"/>
  <c r="P1680" i="11"/>
  <c r="O1680" i="11"/>
  <c r="N1680" i="11"/>
  <c r="M1680" i="11"/>
  <c r="L1680" i="11"/>
  <c r="K1680" i="11"/>
  <c r="J1680" i="11"/>
  <c r="AC1459" i="11"/>
  <c r="AB1459" i="11"/>
  <c r="AA1459" i="11"/>
  <c r="Z1459" i="11"/>
  <c r="Y1459" i="11"/>
  <c r="X1459" i="11"/>
  <c r="W1459" i="11"/>
  <c r="V1459" i="11"/>
  <c r="U1459" i="11"/>
  <c r="T1459" i="11"/>
  <c r="S1459" i="11"/>
  <c r="R1459" i="11"/>
  <c r="Q1459" i="11"/>
  <c r="P1459" i="11"/>
  <c r="O1459" i="11"/>
  <c r="N1459" i="11"/>
  <c r="M1459" i="11"/>
  <c r="L1459" i="11"/>
  <c r="K1459" i="11"/>
  <c r="J1459" i="11"/>
  <c r="AC1458" i="11"/>
  <c r="AB1458" i="11"/>
  <c r="AA1458" i="11"/>
  <c r="Z1458" i="11"/>
  <c r="Y1458" i="11"/>
  <c r="X1458" i="11"/>
  <c r="W1458" i="11"/>
  <c r="V1458" i="11"/>
  <c r="U1458" i="11"/>
  <c r="T1458" i="11"/>
  <c r="S1458" i="11"/>
  <c r="R1458" i="11"/>
  <c r="Q1458" i="11"/>
  <c r="P1458" i="11"/>
  <c r="O1458" i="11"/>
  <c r="N1458" i="11"/>
  <c r="M1458" i="11"/>
  <c r="L1458" i="11"/>
  <c r="K1458" i="11"/>
  <c r="J1458" i="11"/>
  <c r="AC1968" i="11"/>
  <c r="AB1968" i="11"/>
  <c r="AA1968" i="11"/>
  <c r="Z1968" i="11"/>
  <c r="Y1968" i="11"/>
  <c r="X1968" i="11"/>
  <c r="W1968" i="11"/>
  <c r="V1968" i="11"/>
  <c r="U1968" i="11"/>
  <c r="T1968" i="11"/>
  <c r="S1968" i="11"/>
  <c r="R1968" i="11"/>
  <c r="Q1968" i="11"/>
  <c r="P1968" i="11"/>
  <c r="O1968" i="11"/>
  <c r="N1968" i="11"/>
  <c r="M1968" i="11"/>
  <c r="L1968" i="11"/>
  <c r="K1968" i="11"/>
  <c r="J1968" i="11"/>
  <c r="AC787" i="11"/>
  <c r="AB787" i="11"/>
  <c r="AA787" i="11"/>
  <c r="Z787" i="11"/>
  <c r="Y787" i="11"/>
  <c r="X787" i="11"/>
  <c r="W787" i="11"/>
  <c r="V787" i="11"/>
  <c r="U787" i="11"/>
  <c r="T787" i="11"/>
  <c r="S787" i="11"/>
  <c r="R787" i="11"/>
  <c r="Q787" i="11"/>
  <c r="P787" i="11"/>
  <c r="O787" i="11"/>
  <c r="N787" i="11"/>
  <c r="M787" i="11"/>
  <c r="L787" i="11"/>
  <c r="K787" i="11"/>
  <c r="J787" i="11"/>
  <c r="AC622" i="11"/>
  <c r="AB622" i="11"/>
  <c r="AA622" i="11"/>
  <c r="Z622" i="11"/>
  <c r="Y622" i="11"/>
  <c r="X622" i="11"/>
  <c r="W622" i="11"/>
  <c r="V622" i="11"/>
  <c r="U622" i="11"/>
  <c r="T622" i="11"/>
  <c r="S622" i="11"/>
  <c r="R622" i="11"/>
  <c r="Q622" i="11"/>
  <c r="P622" i="11"/>
  <c r="O622" i="11"/>
  <c r="N622" i="11"/>
  <c r="M622" i="11"/>
  <c r="L622" i="11"/>
  <c r="K622" i="11"/>
  <c r="J622" i="11"/>
  <c r="AC935" i="11"/>
  <c r="AB935" i="11"/>
  <c r="AA935" i="11"/>
  <c r="Z935" i="11"/>
  <c r="Y935" i="11"/>
  <c r="X935" i="11"/>
  <c r="W935" i="11"/>
  <c r="V935" i="11"/>
  <c r="U935" i="11"/>
  <c r="T935" i="11"/>
  <c r="S935" i="11"/>
  <c r="R935" i="11"/>
  <c r="Q935" i="11"/>
  <c r="P935" i="11"/>
  <c r="O935" i="11"/>
  <c r="N935" i="11"/>
  <c r="M935" i="11"/>
  <c r="L935" i="11"/>
  <c r="K935" i="11"/>
  <c r="J935" i="11"/>
  <c r="AC934" i="11"/>
  <c r="AB934" i="11"/>
  <c r="AA934" i="11"/>
  <c r="Z934" i="11"/>
  <c r="Y934" i="11"/>
  <c r="X934" i="11"/>
  <c r="W934" i="11"/>
  <c r="V934" i="11"/>
  <c r="U934" i="11"/>
  <c r="T934" i="11"/>
  <c r="S934" i="11"/>
  <c r="R934" i="11"/>
  <c r="Q934" i="11"/>
  <c r="P934" i="11"/>
  <c r="O934" i="11"/>
  <c r="N934" i="11"/>
  <c r="M934" i="11"/>
  <c r="L934" i="11"/>
  <c r="K934" i="11"/>
  <c r="J934" i="11"/>
  <c r="AC1629" i="11"/>
  <c r="AB1629" i="11"/>
  <c r="AA1629" i="11"/>
  <c r="Z1629" i="11"/>
  <c r="Y1629" i="11"/>
  <c r="X1629" i="11"/>
  <c r="W1629" i="11"/>
  <c r="V1629" i="11"/>
  <c r="U1629" i="11"/>
  <c r="T1629" i="11"/>
  <c r="S1629" i="11"/>
  <c r="R1629" i="11"/>
  <c r="Q1629" i="11"/>
  <c r="P1629" i="11"/>
  <c r="O1629" i="11"/>
  <c r="N1629" i="11"/>
  <c r="M1629" i="11"/>
  <c r="L1629" i="11"/>
  <c r="K1629" i="11"/>
  <c r="J1629" i="11"/>
  <c r="AC933" i="11"/>
  <c r="AB933" i="11"/>
  <c r="AA933" i="11"/>
  <c r="Z933" i="11"/>
  <c r="Y933" i="11"/>
  <c r="X933" i="11"/>
  <c r="W933" i="11"/>
  <c r="V933" i="11"/>
  <c r="U933" i="11"/>
  <c r="T933" i="11"/>
  <c r="S933" i="11"/>
  <c r="R933" i="11"/>
  <c r="Q933" i="11"/>
  <c r="P933" i="11"/>
  <c r="O933" i="11"/>
  <c r="N933" i="11"/>
  <c r="M933" i="11"/>
  <c r="L933" i="11"/>
  <c r="K933" i="11"/>
  <c r="J933" i="11"/>
  <c r="AC1104" i="11"/>
  <c r="AB1104" i="11"/>
  <c r="AA1104" i="11"/>
  <c r="Z1104" i="11"/>
  <c r="Y1104" i="11"/>
  <c r="X1104" i="11"/>
  <c r="W1104" i="11"/>
  <c r="V1104" i="11"/>
  <c r="U1104" i="11"/>
  <c r="T1104" i="11"/>
  <c r="S1104" i="11"/>
  <c r="R1104" i="11"/>
  <c r="Q1104" i="11"/>
  <c r="P1104" i="11"/>
  <c r="O1104" i="11"/>
  <c r="N1104" i="11"/>
  <c r="M1104" i="11"/>
  <c r="L1104" i="11"/>
  <c r="K1104" i="11"/>
  <c r="J1104" i="11"/>
  <c r="AC1399" i="11"/>
  <c r="AB1399" i="11"/>
  <c r="AA1399" i="11"/>
  <c r="Z1399" i="11"/>
  <c r="Y1399" i="11"/>
  <c r="X1399" i="11"/>
  <c r="W1399" i="11"/>
  <c r="V1399" i="11"/>
  <c r="U1399" i="11"/>
  <c r="T1399" i="11"/>
  <c r="S1399" i="11"/>
  <c r="R1399" i="11"/>
  <c r="Q1399" i="11"/>
  <c r="P1399" i="11"/>
  <c r="O1399" i="11"/>
  <c r="N1399" i="11"/>
  <c r="M1399" i="11"/>
  <c r="L1399" i="11"/>
  <c r="K1399" i="11"/>
  <c r="J1399" i="11"/>
  <c r="AC1177" i="11"/>
  <c r="AB1177" i="11"/>
  <c r="AA1177" i="11"/>
  <c r="Z1177" i="11"/>
  <c r="Y1177" i="11"/>
  <c r="X1177" i="11"/>
  <c r="W1177" i="11"/>
  <c r="V1177" i="11"/>
  <c r="U1177" i="11"/>
  <c r="T1177" i="11"/>
  <c r="S1177" i="11"/>
  <c r="R1177" i="11"/>
  <c r="Q1177" i="11"/>
  <c r="P1177" i="11"/>
  <c r="O1177" i="11"/>
  <c r="N1177" i="11"/>
  <c r="M1177" i="11"/>
  <c r="L1177" i="11"/>
  <c r="K1177" i="11"/>
  <c r="J1177" i="11"/>
  <c r="AC1877" i="11"/>
  <c r="AB1877" i="11"/>
  <c r="AA1877" i="11"/>
  <c r="Z1877" i="11"/>
  <c r="Y1877" i="11"/>
  <c r="X1877" i="11"/>
  <c r="W1877" i="11"/>
  <c r="V1877" i="11"/>
  <c r="U1877" i="11"/>
  <c r="T1877" i="11"/>
  <c r="S1877" i="11"/>
  <c r="R1877" i="11"/>
  <c r="Q1877" i="11"/>
  <c r="P1877" i="11"/>
  <c r="O1877" i="11"/>
  <c r="N1877" i="11"/>
  <c r="M1877" i="11"/>
  <c r="L1877" i="11"/>
  <c r="K1877" i="11"/>
  <c r="J1877" i="11"/>
  <c r="AC1293" i="11"/>
  <c r="AB1293" i="11"/>
  <c r="AA1293" i="11"/>
  <c r="Z1293" i="11"/>
  <c r="Y1293" i="11"/>
  <c r="X1293" i="11"/>
  <c r="W1293" i="11"/>
  <c r="V1293" i="11"/>
  <c r="U1293" i="11"/>
  <c r="T1293" i="11"/>
  <c r="S1293" i="11"/>
  <c r="R1293" i="11"/>
  <c r="Q1293" i="11"/>
  <c r="P1293" i="11"/>
  <c r="O1293" i="11"/>
  <c r="N1293" i="11"/>
  <c r="M1293" i="11"/>
  <c r="L1293" i="11"/>
  <c r="K1293" i="11"/>
  <c r="J1293" i="11"/>
  <c r="AC1012" i="11"/>
  <c r="AB1012" i="11"/>
  <c r="AA1012" i="11"/>
  <c r="Z1012" i="11"/>
  <c r="Y1012" i="11"/>
  <c r="X1012" i="11"/>
  <c r="W1012" i="11"/>
  <c r="V1012" i="11"/>
  <c r="U1012" i="11"/>
  <c r="T1012" i="11"/>
  <c r="S1012" i="11"/>
  <c r="R1012" i="11"/>
  <c r="Q1012" i="11"/>
  <c r="P1012" i="11"/>
  <c r="O1012" i="11"/>
  <c r="N1012" i="11"/>
  <c r="M1012" i="11"/>
  <c r="L1012" i="11"/>
  <c r="K1012" i="11"/>
  <c r="J1012" i="11"/>
  <c r="AC1336" i="11"/>
  <c r="AB1336" i="11"/>
  <c r="AA1336" i="11"/>
  <c r="Z1336" i="11"/>
  <c r="Y1336" i="11"/>
  <c r="X1336" i="11"/>
  <c r="W1336" i="11"/>
  <c r="V1336" i="11"/>
  <c r="U1336" i="11"/>
  <c r="T1336" i="11"/>
  <c r="S1336" i="11"/>
  <c r="R1336" i="11"/>
  <c r="Q1336" i="11"/>
  <c r="P1336" i="11"/>
  <c r="O1336" i="11"/>
  <c r="N1336" i="11"/>
  <c r="M1336" i="11"/>
  <c r="L1336" i="11"/>
  <c r="K1336" i="11"/>
  <c r="J1336" i="11"/>
  <c r="AC492" i="11"/>
  <c r="AB492" i="11"/>
  <c r="AA492" i="11"/>
  <c r="Z492" i="11"/>
  <c r="Y492" i="11"/>
  <c r="X492" i="11"/>
  <c r="W492" i="11"/>
  <c r="V492" i="11"/>
  <c r="U492" i="11"/>
  <c r="T492" i="11"/>
  <c r="S492" i="11"/>
  <c r="R492" i="11"/>
  <c r="Q492" i="11"/>
  <c r="P492" i="11"/>
  <c r="O492" i="11"/>
  <c r="N492" i="11"/>
  <c r="M492" i="11"/>
  <c r="L492" i="11"/>
  <c r="K492" i="11"/>
  <c r="J492" i="11"/>
  <c r="AC2204" i="11"/>
  <c r="AB2204" i="11"/>
  <c r="AA2204" i="11"/>
  <c r="Z2204" i="11"/>
  <c r="Y2204" i="11"/>
  <c r="X2204" i="11"/>
  <c r="W2204" i="11"/>
  <c r="V2204" i="11"/>
  <c r="U2204" i="11"/>
  <c r="T2204" i="11"/>
  <c r="S2204" i="11"/>
  <c r="R2204" i="11"/>
  <c r="Q2204" i="11"/>
  <c r="P2204" i="11"/>
  <c r="O2204" i="11"/>
  <c r="N2204" i="11"/>
  <c r="M2204" i="11"/>
  <c r="L2204" i="11"/>
  <c r="K2204" i="11"/>
  <c r="J2204" i="11"/>
  <c r="AC1103" i="11"/>
  <c r="AB1103" i="11"/>
  <c r="AA1103" i="11"/>
  <c r="Z1103" i="11"/>
  <c r="Y1103" i="11"/>
  <c r="X1103" i="11"/>
  <c r="W1103" i="11"/>
  <c r="V1103" i="11"/>
  <c r="U1103" i="11"/>
  <c r="T1103" i="11"/>
  <c r="S1103" i="11"/>
  <c r="R1103" i="11"/>
  <c r="Q1103" i="11"/>
  <c r="P1103" i="11"/>
  <c r="O1103" i="11"/>
  <c r="N1103" i="11"/>
  <c r="M1103" i="11"/>
  <c r="L1103" i="11"/>
  <c r="K1103" i="11"/>
  <c r="J1103" i="11"/>
  <c r="AC621" i="11"/>
  <c r="AB621" i="11"/>
  <c r="AA621" i="11"/>
  <c r="Z621" i="11"/>
  <c r="Y621" i="11"/>
  <c r="X621" i="11"/>
  <c r="W621" i="11"/>
  <c r="V621" i="11"/>
  <c r="U621" i="11"/>
  <c r="T621" i="11"/>
  <c r="S621" i="11"/>
  <c r="R621" i="11"/>
  <c r="Q621" i="11"/>
  <c r="P621" i="11"/>
  <c r="O621" i="11"/>
  <c r="N621" i="11"/>
  <c r="M621" i="11"/>
  <c r="L621" i="11"/>
  <c r="K621" i="11"/>
  <c r="J621" i="11"/>
  <c r="AC2179" i="11"/>
  <c r="AB2179" i="11"/>
  <c r="AA2179" i="11"/>
  <c r="Z2179" i="11"/>
  <c r="Y2179" i="11"/>
  <c r="X2179" i="11"/>
  <c r="W2179" i="11"/>
  <c r="V2179" i="11"/>
  <c r="U2179" i="11"/>
  <c r="T2179" i="11"/>
  <c r="S2179" i="11"/>
  <c r="R2179" i="11"/>
  <c r="Q2179" i="11"/>
  <c r="P2179" i="11"/>
  <c r="O2179" i="11"/>
  <c r="N2179" i="11"/>
  <c r="M2179" i="11"/>
  <c r="L2179" i="11"/>
  <c r="K2179" i="11"/>
  <c r="J2179" i="11"/>
  <c r="AC1777" i="11"/>
  <c r="AB1777" i="11"/>
  <c r="AA1777" i="11"/>
  <c r="Z1777" i="11"/>
  <c r="Y1777" i="11"/>
  <c r="X1777" i="11"/>
  <c r="W1777" i="11"/>
  <c r="V1777" i="11"/>
  <c r="U1777" i="11"/>
  <c r="T1777" i="11"/>
  <c r="S1777" i="11"/>
  <c r="R1777" i="11"/>
  <c r="Q1777" i="11"/>
  <c r="P1777" i="11"/>
  <c r="O1777" i="11"/>
  <c r="N1777" i="11"/>
  <c r="M1777" i="11"/>
  <c r="L1777" i="11"/>
  <c r="K1777" i="11"/>
  <c r="J1777" i="11"/>
  <c r="AC2190" i="11"/>
  <c r="AB2190" i="11"/>
  <c r="AA2190" i="11"/>
  <c r="Z2190" i="11"/>
  <c r="Y2190" i="11"/>
  <c r="X2190" i="11"/>
  <c r="W2190" i="11"/>
  <c r="V2190" i="11"/>
  <c r="U2190" i="11"/>
  <c r="S2190" i="11"/>
  <c r="R2190" i="11"/>
  <c r="Q2190" i="11"/>
  <c r="P2190" i="11"/>
  <c r="O2190" i="11"/>
  <c r="N2190" i="11"/>
  <c r="M2190" i="11"/>
  <c r="L2190" i="11"/>
  <c r="K2190" i="11"/>
  <c r="J2190" i="11"/>
  <c r="AC1398" i="11"/>
  <c r="AB1398" i="11"/>
  <c r="AA1398" i="11"/>
  <c r="Z1398" i="11"/>
  <c r="Y1398" i="11"/>
  <c r="X1398" i="11"/>
  <c r="W1398" i="11"/>
  <c r="V1398" i="11"/>
  <c r="U1398" i="11"/>
  <c r="T1398" i="11"/>
  <c r="S1398" i="11"/>
  <c r="R1398" i="11"/>
  <c r="Q1398" i="11"/>
  <c r="P1398" i="11"/>
  <c r="O1398" i="11"/>
  <c r="N1398" i="11"/>
  <c r="M1398" i="11"/>
  <c r="L1398" i="11"/>
  <c r="K1398" i="11"/>
  <c r="J1398" i="11"/>
  <c r="AC1011" i="11"/>
  <c r="AB1011" i="11"/>
  <c r="AA1011" i="11"/>
  <c r="Z1011" i="11"/>
  <c r="Y1011" i="11"/>
  <c r="X1011" i="11"/>
  <c r="W1011" i="11"/>
  <c r="V1011" i="11"/>
  <c r="U1011" i="11"/>
  <c r="T1011" i="11"/>
  <c r="S1011" i="11"/>
  <c r="R1011" i="11"/>
  <c r="Q1011" i="11"/>
  <c r="P1011" i="11"/>
  <c r="O1011" i="11"/>
  <c r="N1011" i="11"/>
  <c r="M1011" i="11"/>
  <c r="L1011" i="11"/>
  <c r="K1011" i="11"/>
  <c r="J1011" i="11"/>
  <c r="AC1499" i="11"/>
  <c r="AB1499" i="11"/>
  <c r="AA1499" i="11"/>
  <c r="Z1499" i="11"/>
  <c r="Y1499" i="11"/>
  <c r="X1499" i="11"/>
  <c r="W1499" i="11"/>
  <c r="V1499" i="11"/>
  <c r="U1499" i="11"/>
  <c r="T1499" i="11"/>
  <c r="S1499" i="11"/>
  <c r="R1499" i="11"/>
  <c r="Q1499" i="11"/>
  <c r="P1499" i="11"/>
  <c r="O1499" i="11"/>
  <c r="N1499" i="11"/>
  <c r="M1499" i="11"/>
  <c r="L1499" i="11"/>
  <c r="K1499" i="11"/>
  <c r="J1499" i="11"/>
  <c r="AC1819" i="11"/>
  <c r="AB1819" i="11"/>
  <c r="AA1819" i="11"/>
  <c r="Z1819" i="11"/>
  <c r="Y1819" i="11"/>
  <c r="X1819" i="11"/>
  <c r="W1819" i="11"/>
  <c r="V1819" i="11"/>
  <c r="U1819" i="11"/>
  <c r="T1819" i="11"/>
  <c r="S1819" i="11"/>
  <c r="R1819" i="11"/>
  <c r="Q1819" i="11"/>
  <c r="P1819" i="11"/>
  <c r="O1819" i="11"/>
  <c r="N1819" i="11"/>
  <c r="M1819" i="11"/>
  <c r="L1819" i="11"/>
  <c r="K1819" i="11"/>
  <c r="J1819" i="11"/>
  <c r="AC491" i="11"/>
  <c r="AB491" i="11"/>
  <c r="AA491" i="11"/>
  <c r="Z491" i="11"/>
  <c r="Y491" i="11"/>
  <c r="X491" i="11"/>
  <c r="W491" i="11"/>
  <c r="V491" i="11"/>
  <c r="U491" i="11"/>
  <c r="T491" i="11"/>
  <c r="S491" i="11"/>
  <c r="R491" i="11"/>
  <c r="Q491" i="11"/>
  <c r="P491" i="11"/>
  <c r="O491" i="11"/>
  <c r="N491" i="11"/>
  <c r="M491" i="11"/>
  <c r="L491" i="11"/>
  <c r="K491" i="11"/>
  <c r="J491" i="11"/>
  <c r="AC490" i="11"/>
  <c r="AB490" i="11"/>
  <c r="AA490" i="11"/>
  <c r="Z490" i="11"/>
  <c r="Y490" i="11"/>
  <c r="X490" i="11"/>
  <c r="W490" i="11"/>
  <c r="V490" i="11"/>
  <c r="U490" i="11"/>
  <c r="T490" i="11"/>
  <c r="S490" i="11"/>
  <c r="R490" i="11"/>
  <c r="Q490" i="11"/>
  <c r="P490" i="11"/>
  <c r="O490" i="11"/>
  <c r="N490" i="11"/>
  <c r="M490" i="11"/>
  <c r="L490" i="11"/>
  <c r="K490" i="11"/>
  <c r="J490" i="11"/>
  <c r="AC2156" i="11"/>
  <c r="AB2156" i="11"/>
  <c r="AA2156" i="11"/>
  <c r="Z2156" i="11"/>
  <c r="Y2156" i="11"/>
  <c r="X2156" i="11"/>
  <c r="W2156" i="11"/>
  <c r="V2156" i="11"/>
  <c r="U2156" i="11"/>
  <c r="T2156" i="11"/>
  <c r="S2156" i="11"/>
  <c r="R2156" i="11"/>
  <c r="Q2156" i="11"/>
  <c r="P2156" i="11"/>
  <c r="O2156" i="11"/>
  <c r="N2156" i="11"/>
  <c r="M2156" i="11"/>
  <c r="L2156" i="11"/>
  <c r="K2156" i="11"/>
  <c r="J2156" i="11"/>
  <c r="AC1588" i="11"/>
  <c r="AB1588" i="11"/>
  <c r="AA1588" i="11"/>
  <c r="Z1588" i="11"/>
  <c r="Y1588" i="11"/>
  <c r="X1588" i="11"/>
  <c r="W1588" i="11"/>
  <c r="V1588" i="11"/>
  <c r="U1588" i="11"/>
  <c r="T1588" i="11"/>
  <c r="S1588" i="11"/>
  <c r="R1588" i="11"/>
  <c r="Q1588" i="11"/>
  <c r="P1588" i="11"/>
  <c r="O1588" i="11"/>
  <c r="N1588" i="11"/>
  <c r="M1588" i="11"/>
  <c r="L1588" i="11"/>
  <c r="K1588" i="11"/>
  <c r="J1588" i="11"/>
  <c r="AC1876" i="11"/>
  <c r="AB1876" i="11"/>
  <c r="AA1876" i="11"/>
  <c r="Z1876" i="11"/>
  <c r="Y1876" i="11"/>
  <c r="X1876" i="11"/>
  <c r="W1876" i="11"/>
  <c r="V1876" i="11"/>
  <c r="U1876" i="11"/>
  <c r="T1876" i="11"/>
  <c r="S1876" i="11"/>
  <c r="R1876" i="11"/>
  <c r="Q1876" i="11"/>
  <c r="P1876" i="11"/>
  <c r="O1876" i="11"/>
  <c r="N1876" i="11"/>
  <c r="M1876" i="11"/>
  <c r="L1876" i="11"/>
  <c r="K1876" i="11"/>
  <c r="J1876" i="11"/>
  <c r="AC620" i="11"/>
  <c r="AB620" i="11"/>
  <c r="AA620" i="11"/>
  <c r="Z620" i="11"/>
  <c r="Y620" i="11"/>
  <c r="X620" i="11"/>
  <c r="W620" i="11"/>
  <c r="V620" i="11"/>
  <c r="U620" i="11"/>
  <c r="T620" i="11"/>
  <c r="S620" i="11"/>
  <c r="R620" i="11"/>
  <c r="Q620" i="11"/>
  <c r="P620" i="11"/>
  <c r="O620" i="11"/>
  <c r="N620" i="11"/>
  <c r="M620" i="11"/>
  <c r="L620" i="11"/>
  <c r="K620" i="11"/>
  <c r="J620" i="11"/>
  <c r="AC1176" i="11"/>
  <c r="AB1176" i="11"/>
  <c r="AA1176" i="11"/>
  <c r="Z1176" i="11"/>
  <c r="Y1176" i="11"/>
  <c r="X1176" i="11"/>
  <c r="W1176" i="11"/>
  <c r="V1176" i="11"/>
  <c r="U1176" i="11"/>
  <c r="T1176" i="11"/>
  <c r="S1176" i="11"/>
  <c r="R1176" i="11"/>
  <c r="Q1176" i="11"/>
  <c r="P1176" i="11"/>
  <c r="O1176" i="11"/>
  <c r="N1176" i="11"/>
  <c r="M1176" i="11"/>
  <c r="L1176" i="11"/>
  <c r="K1176" i="11"/>
  <c r="J1176" i="11"/>
  <c r="AC1397" i="11"/>
  <c r="AB1397" i="11"/>
  <c r="AA1397" i="11"/>
  <c r="Z1397" i="11"/>
  <c r="Y1397" i="11"/>
  <c r="X1397" i="11"/>
  <c r="W1397" i="11"/>
  <c r="V1397" i="11"/>
  <c r="U1397" i="11"/>
  <c r="T1397" i="11"/>
  <c r="S1397" i="11"/>
  <c r="R1397" i="11"/>
  <c r="Q1397" i="11"/>
  <c r="P1397" i="11"/>
  <c r="O1397" i="11"/>
  <c r="N1397" i="11"/>
  <c r="M1397" i="11"/>
  <c r="L1397" i="11"/>
  <c r="K1397" i="11"/>
  <c r="J1397" i="11"/>
  <c r="AC196" i="11"/>
  <c r="AB196" i="11"/>
  <c r="AA196" i="11"/>
  <c r="Z196" i="11"/>
  <c r="Y196" i="11"/>
  <c r="X196" i="11"/>
  <c r="W196" i="11"/>
  <c r="V196" i="11"/>
  <c r="U196" i="11"/>
  <c r="T196" i="11"/>
  <c r="S196" i="11"/>
  <c r="R196" i="11"/>
  <c r="Q196" i="11"/>
  <c r="P196" i="11"/>
  <c r="O196" i="11"/>
  <c r="N196" i="11"/>
  <c r="M196" i="11"/>
  <c r="L196" i="11"/>
  <c r="K196" i="11"/>
  <c r="J196" i="11"/>
  <c r="AC1551" i="11"/>
  <c r="AB1551" i="11"/>
  <c r="AA1551" i="11"/>
  <c r="Z1551" i="11"/>
  <c r="Y1551" i="11"/>
  <c r="X1551" i="11"/>
  <c r="W1551" i="11"/>
  <c r="V1551" i="11"/>
  <c r="U1551" i="11"/>
  <c r="T1551" i="11"/>
  <c r="S1551" i="11"/>
  <c r="R1551" i="11"/>
  <c r="Q1551" i="11"/>
  <c r="P1551" i="11"/>
  <c r="O1551" i="11"/>
  <c r="N1551" i="11"/>
  <c r="M1551" i="11"/>
  <c r="L1551" i="11"/>
  <c r="K1551" i="11"/>
  <c r="J1551" i="11"/>
  <c r="AC1175" i="11"/>
  <c r="AB1175" i="11"/>
  <c r="AA1175" i="11"/>
  <c r="Z1175" i="11"/>
  <c r="Y1175" i="11"/>
  <c r="X1175" i="11"/>
  <c r="W1175" i="11"/>
  <c r="V1175" i="11"/>
  <c r="U1175" i="11"/>
  <c r="T1175" i="11"/>
  <c r="S1175" i="11"/>
  <c r="R1175" i="11"/>
  <c r="Q1175" i="11"/>
  <c r="P1175" i="11"/>
  <c r="O1175" i="11"/>
  <c r="N1175" i="11"/>
  <c r="M1175" i="11"/>
  <c r="L1175" i="11"/>
  <c r="K1175" i="11"/>
  <c r="J1175" i="11"/>
  <c r="AC1776" i="11"/>
  <c r="AB1776" i="11"/>
  <c r="AA1776" i="11"/>
  <c r="Z1776" i="11"/>
  <c r="Y1776" i="11"/>
  <c r="X1776" i="11"/>
  <c r="W1776" i="11"/>
  <c r="V1776" i="11"/>
  <c r="U1776" i="11"/>
  <c r="T1776" i="11"/>
  <c r="S1776" i="11"/>
  <c r="R1776" i="11"/>
  <c r="Q1776" i="11"/>
  <c r="P1776" i="11"/>
  <c r="O1776" i="11"/>
  <c r="N1776" i="11"/>
  <c r="M1776" i="11"/>
  <c r="L1776" i="11"/>
  <c r="K1776" i="11"/>
  <c r="J1776" i="11"/>
  <c r="AC710" i="11"/>
  <c r="AB710" i="11"/>
  <c r="AA710" i="11"/>
  <c r="Z710" i="11"/>
  <c r="Y710" i="11"/>
  <c r="X710" i="11"/>
  <c r="W710" i="11"/>
  <c r="V710" i="11"/>
  <c r="U710" i="11"/>
  <c r="T710" i="11"/>
  <c r="S710" i="11"/>
  <c r="R710" i="11"/>
  <c r="Q710" i="11"/>
  <c r="P710" i="11"/>
  <c r="O710" i="11"/>
  <c r="N710" i="11"/>
  <c r="M710" i="11"/>
  <c r="L710" i="11"/>
  <c r="K710" i="11"/>
  <c r="J710" i="11"/>
  <c r="AC318" i="11"/>
  <c r="AB318" i="11"/>
  <c r="AA318" i="11"/>
  <c r="Z318" i="11"/>
  <c r="Y318" i="11"/>
  <c r="X318" i="11"/>
  <c r="W318" i="11"/>
  <c r="V318" i="11"/>
  <c r="U318" i="11"/>
  <c r="T318" i="11"/>
  <c r="S318" i="11"/>
  <c r="R318" i="11"/>
  <c r="Q318" i="11"/>
  <c r="P318" i="11"/>
  <c r="O318" i="11"/>
  <c r="N318" i="11"/>
  <c r="M318" i="11"/>
  <c r="L318" i="11"/>
  <c r="K318" i="11"/>
  <c r="J318" i="11"/>
  <c r="AC317" i="11"/>
  <c r="AB317" i="11"/>
  <c r="AA317" i="11"/>
  <c r="Z317" i="11"/>
  <c r="Y317" i="11"/>
  <c r="X317" i="11"/>
  <c r="W317" i="11"/>
  <c r="V317" i="11"/>
  <c r="U317" i="11"/>
  <c r="T317" i="11"/>
  <c r="S317" i="11"/>
  <c r="R317" i="11"/>
  <c r="Q317" i="11"/>
  <c r="P317" i="11"/>
  <c r="O317" i="11"/>
  <c r="N317" i="11"/>
  <c r="M317" i="11"/>
  <c r="L317" i="11"/>
  <c r="K317" i="11"/>
  <c r="J317" i="11"/>
  <c r="AC1775" i="11"/>
  <c r="AB1775" i="11"/>
  <c r="AA1775" i="11"/>
  <c r="Z1775" i="11"/>
  <c r="Y1775" i="11"/>
  <c r="X1775" i="11"/>
  <c r="W1775" i="11"/>
  <c r="V1775" i="11"/>
  <c r="U1775" i="11"/>
  <c r="T1775" i="11"/>
  <c r="S1775" i="11"/>
  <c r="R1775" i="11"/>
  <c r="Q1775" i="11"/>
  <c r="P1775" i="11"/>
  <c r="O1775" i="11"/>
  <c r="N1775" i="11"/>
  <c r="M1775" i="11"/>
  <c r="L1775" i="11"/>
  <c r="K1775" i="11"/>
  <c r="J1775" i="11"/>
  <c r="AC1102" i="11"/>
  <c r="AB1102" i="11"/>
  <c r="AA1102" i="11"/>
  <c r="Z1102" i="11"/>
  <c r="Y1102" i="11"/>
  <c r="X1102" i="11"/>
  <c r="W1102" i="11"/>
  <c r="V1102" i="11"/>
  <c r="U1102" i="11"/>
  <c r="T1102" i="11"/>
  <c r="S1102" i="11"/>
  <c r="R1102" i="11"/>
  <c r="Q1102" i="11"/>
  <c r="P1102" i="11"/>
  <c r="O1102" i="11"/>
  <c r="N1102" i="11"/>
  <c r="M1102" i="11"/>
  <c r="L1102" i="11"/>
  <c r="K1102" i="11"/>
  <c r="J1102" i="11"/>
  <c r="AC1292" i="11"/>
  <c r="AB1292" i="11"/>
  <c r="AA1292" i="11"/>
  <c r="Z1292" i="11"/>
  <c r="Y1292" i="11"/>
  <c r="X1292" i="11"/>
  <c r="W1292" i="11"/>
  <c r="V1292" i="11"/>
  <c r="U1292" i="11"/>
  <c r="T1292" i="11"/>
  <c r="S1292" i="11"/>
  <c r="R1292" i="11"/>
  <c r="Q1292" i="11"/>
  <c r="P1292" i="11"/>
  <c r="O1292" i="11"/>
  <c r="N1292" i="11"/>
  <c r="M1292" i="11"/>
  <c r="L1292" i="11"/>
  <c r="K1292" i="11"/>
  <c r="J1292" i="11"/>
  <c r="AC2189" i="11"/>
  <c r="AB2189" i="11"/>
  <c r="AA2189" i="11"/>
  <c r="Z2189" i="11"/>
  <c r="Y2189" i="11"/>
  <c r="X2189" i="11"/>
  <c r="W2189" i="11"/>
  <c r="V2189" i="11"/>
  <c r="U2189" i="11"/>
  <c r="T2189" i="11"/>
  <c r="S2189" i="11"/>
  <c r="R2189" i="11"/>
  <c r="Q2189" i="11"/>
  <c r="P2189" i="11"/>
  <c r="O2189" i="11"/>
  <c r="N2189" i="11"/>
  <c r="M2189" i="11"/>
  <c r="L2189" i="11"/>
  <c r="K2189" i="11"/>
  <c r="J2189" i="11"/>
  <c r="AC2188" i="11"/>
  <c r="AB2188" i="11"/>
  <c r="AA2188" i="11"/>
  <c r="Z2188" i="11"/>
  <c r="Y2188" i="11"/>
  <c r="X2188" i="11"/>
  <c r="W2188" i="11"/>
  <c r="V2188" i="11"/>
  <c r="U2188" i="11"/>
  <c r="T2188" i="11"/>
  <c r="S2188" i="11"/>
  <c r="R2188" i="11"/>
  <c r="Q2188" i="11"/>
  <c r="P2188" i="11"/>
  <c r="O2188" i="11"/>
  <c r="N2188" i="11"/>
  <c r="M2188" i="11"/>
  <c r="L2188" i="11"/>
  <c r="K2188" i="11"/>
  <c r="J2188" i="11"/>
  <c r="AC1733" i="11"/>
  <c r="AB1733" i="11"/>
  <c r="AA1733" i="11"/>
  <c r="Z1733" i="11"/>
  <c r="Y1733" i="11"/>
  <c r="X1733" i="11"/>
  <c r="W1733" i="11"/>
  <c r="V1733" i="11"/>
  <c r="U1733" i="11"/>
  <c r="T1733" i="11"/>
  <c r="S1733" i="11"/>
  <c r="R1733" i="11"/>
  <c r="Q1733" i="11"/>
  <c r="P1733" i="11"/>
  <c r="O1733" i="11"/>
  <c r="N1733" i="11"/>
  <c r="M1733" i="11"/>
  <c r="L1733" i="11"/>
  <c r="K1733" i="11"/>
  <c r="J1733" i="11"/>
  <c r="AC104" i="11"/>
  <c r="AB104" i="11"/>
  <c r="AA104" i="11"/>
  <c r="Z104" i="11"/>
  <c r="Y104" i="11"/>
  <c r="X104" i="11"/>
  <c r="W104" i="11"/>
  <c r="V104" i="11"/>
  <c r="U104" i="11"/>
  <c r="T104" i="11"/>
  <c r="S104" i="11"/>
  <c r="R104" i="11"/>
  <c r="Q104" i="11"/>
  <c r="P104" i="11"/>
  <c r="O104" i="11"/>
  <c r="N104" i="11"/>
  <c r="M104" i="11"/>
  <c r="L104" i="11"/>
  <c r="K104" i="11"/>
  <c r="J104" i="11"/>
  <c r="AC70" i="11"/>
  <c r="AB70" i="11"/>
  <c r="AA70" i="11"/>
  <c r="Z70" i="11"/>
  <c r="Y70" i="11"/>
  <c r="X70" i="11"/>
  <c r="W70" i="11"/>
  <c r="V70" i="11"/>
  <c r="U70" i="11"/>
  <c r="T70" i="11"/>
  <c r="S70" i="11"/>
  <c r="R70" i="11"/>
  <c r="Q70" i="11"/>
  <c r="P70" i="11"/>
  <c r="O70" i="11"/>
  <c r="N70" i="11"/>
  <c r="M70" i="11"/>
  <c r="L70" i="11"/>
  <c r="K70" i="11"/>
  <c r="J70" i="11"/>
  <c r="AC1925" i="11"/>
  <c r="AB1925" i="11"/>
  <c r="AA1925" i="11"/>
  <c r="Z1925" i="11"/>
  <c r="Y1925" i="11"/>
  <c r="X1925" i="11"/>
  <c r="W1925" i="11"/>
  <c r="V1925" i="11"/>
  <c r="U1925" i="11"/>
  <c r="T1925" i="11"/>
  <c r="S1925" i="11"/>
  <c r="R1925" i="11"/>
  <c r="Q1925" i="11"/>
  <c r="P1925" i="11"/>
  <c r="O1925" i="11"/>
  <c r="N1925" i="11"/>
  <c r="M1925" i="11"/>
  <c r="L1925" i="11"/>
  <c r="K1925" i="11"/>
  <c r="J1925" i="11"/>
  <c r="AC489" i="11"/>
  <c r="AB489" i="11"/>
  <c r="AA489" i="11"/>
  <c r="Z489" i="11"/>
  <c r="Y489" i="11"/>
  <c r="X489" i="11"/>
  <c r="W489" i="11"/>
  <c r="V489" i="11"/>
  <c r="U489" i="11"/>
  <c r="T489" i="11"/>
  <c r="S489" i="11"/>
  <c r="R489" i="11"/>
  <c r="Q489" i="11"/>
  <c r="P489" i="11"/>
  <c r="O489" i="11"/>
  <c r="N489" i="11"/>
  <c r="M489" i="11"/>
  <c r="L489" i="11"/>
  <c r="K489" i="11"/>
  <c r="J489" i="11"/>
  <c r="AC2061" i="11"/>
  <c r="AB2061" i="11"/>
  <c r="AA2061" i="11"/>
  <c r="Z2061" i="11"/>
  <c r="Y2061" i="11"/>
  <c r="X2061" i="11"/>
  <c r="W2061" i="11"/>
  <c r="V2061" i="11"/>
  <c r="U2061" i="11"/>
  <c r="T2061" i="11"/>
  <c r="S2061" i="11"/>
  <c r="R2061" i="11"/>
  <c r="Q2061" i="11"/>
  <c r="P2061" i="11"/>
  <c r="O2061" i="11"/>
  <c r="N2061" i="11"/>
  <c r="M2061" i="11"/>
  <c r="L2061" i="11"/>
  <c r="K2061" i="11"/>
  <c r="J2061" i="11"/>
  <c r="AC1967" i="11"/>
  <c r="AB1967" i="11"/>
  <c r="AA1967" i="11"/>
  <c r="Z1967" i="11"/>
  <c r="Y1967" i="11"/>
  <c r="X1967" i="11"/>
  <c r="W1967" i="11"/>
  <c r="V1967" i="11"/>
  <c r="U1967" i="11"/>
  <c r="T1967" i="11"/>
  <c r="S1967" i="11"/>
  <c r="R1967" i="11"/>
  <c r="Q1967" i="11"/>
  <c r="P1967" i="11"/>
  <c r="O1967" i="11"/>
  <c r="N1967" i="11"/>
  <c r="M1967" i="11"/>
  <c r="L1967" i="11"/>
  <c r="K1967" i="11"/>
  <c r="J1967" i="11"/>
  <c r="AC1818" i="11"/>
  <c r="AB1818" i="11"/>
  <c r="AA1818" i="11"/>
  <c r="Z1818" i="11"/>
  <c r="Y1818" i="11"/>
  <c r="X1818" i="11"/>
  <c r="W1818" i="11"/>
  <c r="V1818" i="11"/>
  <c r="U1818" i="11"/>
  <c r="T1818" i="11"/>
  <c r="S1818" i="11"/>
  <c r="R1818" i="11"/>
  <c r="Q1818" i="11"/>
  <c r="P1818" i="11"/>
  <c r="O1818" i="11"/>
  <c r="N1818" i="11"/>
  <c r="M1818" i="11"/>
  <c r="L1818" i="11"/>
  <c r="K1818" i="11"/>
  <c r="J1818" i="11"/>
  <c r="AC1875" i="11"/>
  <c r="AB1875" i="11"/>
  <c r="AA1875" i="11"/>
  <c r="Z1875" i="11"/>
  <c r="Y1875" i="11"/>
  <c r="X1875" i="11"/>
  <c r="W1875" i="11"/>
  <c r="V1875" i="11"/>
  <c r="U1875" i="11"/>
  <c r="T1875" i="11"/>
  <c r="S1875" i="11"/>
  <c r="R1875" i="11"/>
  <c r="Q1875" i="11"/>
  <c r="P1875" i="11"/>
  <c r="O1875" i="11"/>
  <c r="N1875" i="11"/>
  <c r="M1875" i="11"/>
  <c r="L1875" i="11"/>
  <c r="K1875" i="11"/>
  <c r="J1875" i="11"/>
  <c r="AC1732" i="11"/>
  <c r="AB1732" i="11"/>
  <c r="AA1732" i="11"/>
  <c r="Z1732" i="11"/>
  <c r="Y1732" i="11"/>
  <c r="X1732" i="11"/>
  <c r="W1732" i="11"/>
  <c r="V1732" i="11"/>
  <c r="U1732" i="11"/>
  <c r="T1732" i="11"/>
  <c r="S1732" i="11"/>
  <c r="R1732" i="11"/>
  <c r="Q1732" i="11"/>
  <c r="P1732" i="11"/>
  <c r="O1732" i="11"/>
  <c r="N1732" i="11"/>
  <c r="M1732" i="11"/>
  <c r="L1732" i="11"/>
  <c r="K1732" i="11"/>
  <c r="J1732" i="11"/>
  <c r="AC1335" i="11"/>
  <c r="AB1335" i="11"/>
  <c r="AA1335" i="11"/>
  <c r="Z1335" i="11"/>
  <c r="Y1335" i="11"/>
  <c r="X1335" i="11"/>
  <c r="W1335" i="11"/>
  <c r="V1335" i="11"/>
  <c r="U1335" i="11"/>
  <c r="T1335" i="11"/>
  <c r="S1335" i="11"/>
  <c r="R1335" i="11"/>
  <c r="Q1335" i="11"/>
  <c r="P1335" i="11"/>
  <c r="O1335" i="11"/>
  <c r="N1335" i="11"/>
  <c r="M1335" i="11"/>
  <c r="L1335" i="11"/>
  <c r="K1335" i="11"/>
  <c r="J1335" i="11"/>
  <c r="AC1291" i="11"/>
  <c r="AB1291" i="11"/>
  <c r="AA1291" i="11"/>
  <c r="Z1291" i="11"/>
  <c r="Y1291" i="11"/>
  <c r="X1291" i="11"/>
  <c r="W1291" i="11"/>
  <c r="V1291" i="11"/>
  <c r="U1291" i="11"/>
  <c r="T1291" i="11"/>
  <c r="S1291" i="11"/>
  <c r="R1291" i="11"/>
  <c r="Q1291" i="11"/>
  <c r="P1291" i="11"/>
  <c r="O1291" i="11"/>
  <c r="N1291" i="11"/>
  <c r="M1291" i="11"/>
  <c r="L1291" i="11"/>
  <c r="K1291" i="11"/>
  <c r="J1291" i="11"/>
  <c r="AC1174" i="11"/>
  <c r="AB1174" i="11"/>
  <c r="AA1174" i="11"/>
  <c r="Z1174" i="11"/>
  <c r="Y1174" i="11"/>
  <c r="X1174" i="11"/>
  <c r="W1174" i="11"/>
  <c r="V1174" i="11"/>
  <c r="T1174" i="11"/>
  <c r="S1174" i="11"/>
  <c r="R1174" i="11"/>
  <c r="Q1174" i="11"/>
  <c r="P1174" i="11"/>
  <c r="O1174" i="11"/>
  <c r="N1174" i="11"/>
  <c r="M1174" i="11"/>
  <c r="L1174" i="11"/>
  <c r="K1174" i="11"/>
  <c r="J1174" i="11"/>
  <c r="AC1101" i="11"/>
  <c r="AB1101" i="11"/>
  <c r="AA1101" i="11"/>
  <c r="Z1101" i="11"/>
  <c r="Y1101" i="11"/>
  <c r="X1101" i="11"/>
  <c r="W1101" i="11"/>
  <c r="V1101" i="11"/>
  <c r="U1101" i="11"/>
  <c r="T1101" i="11"/>
  <c r="S1101" i="11"/>
  <c r="R1101" i="11"/>
  <c r="Q1101" i="11"/>
  <c r="P1101" i="11"/>
  <c r="O1101" i="11"/>
  <c r="N1101" i="11"/>
  <c r="M1101" i="11"/>
  <c r="L1101" i="11"/>
  <c r="K1101" i="11"/>
  <c r="J1101" i="11"/>
  <c r="AC1173" i="11"/>
  <c r="AB1173" i="11"/>
  <c r="AA1173" i="11"/>
  <c r="Z1173" i="11"/>
  <c r="Y1173" i="11"/>
  <c r="X1173" i="11"/>
  <c r="W1173" i="11"/>
  <c r="V1173" i="11"/>
  <c r="U1173" i="11"/>
  <c r="T1173" i="11"/>
  <c r="S1173" i="11"/>
  <c r="R1173" i="11"/>
  <c r="Q1173" i="11"/>
  <c r="P1173" i="11"/>
  <c r="O1173" i="11"/>
  <c r="N1173" i="11"/>
  <c r="M1173" i="11"/>
  <c r="L1173" i="11"/>
  <c r="K1173" i="11"/>
  <c r="J1173" i="11"/>
  <c r="AC2060" i="11"/>
  <c r="AB2060" i="11"/>
  <c r="AA2060" i="11"/>
  <c r="Z2060" i="11"/>
  <c r="Y2060" i="11"/>
  <c r="X2060" i="11"/>
  <c r="W2060" i="11"/>
  <c r="V2060" i="11"/>
  <c r="U2060" i="11"/>
  <c r="T2060" i="11"/>
  <c r="S2060" i="11"/>
  <c r="R2060" i="11"/>
  <c r="Q2060" i="11"/>
  <c r="P2060" i="11"/>
  <c r="O2060" i="11"/>
  <c r="N2060" i="11"/>
  <c r="M2060" i="11"/>
  <c r="L2060" i="11"/>
  <c r="K2060" i="11"/>
  <c r="J2060" i="11"/>
  <c r="AC1100" i="11"/>
  <c r="AB1100" i="11"/>
  <c r="AA1100" i="11"/>
  <c r="Z1100" i="11"/>
  <c r="Y1100" i="11"/>
  <c r="X1100" i="11"/>
  <c r="W1100" i="11"/>
  <c r="V1100" i="11"/>
  <c r="U1100" i="11"/>
  <c r="T1100" i="11"/>
  <c r="S1100" i="11"/>
  <c r="R1100" i="11"/>
  <c r="Q1100" i="11"/>
  <c r="P1100" i="11"/>
  <c r="O1100" i="11"/>
  <c r="N1100" i="11"/>
  <c r="M1100" i="11"/>
  <c r="L1100" i="11"/>
  <c r="K1100" i="11"/>
  <c r="J1100" i="11"/>
  <c r="AC1099" i="11"/>
  <c r="AB1099" i="11"/>
  <c r="AA1099" i="11"/>
  <c r="Z1099" i="11"/>
  <c r="Y1099" i="11"/>
  <c r="X1099" i="11"/>
  <c r="W1099" i="11"/>
  <c r="V1099" i="11"/>
  <c r="U1099" i="11"/>
  <c r="T1099" i="11"/>
  <c r="S1099" i="11"/>
  <c r="R1099" i="11"/>
  <c r="Q1099" i="11"/>
  <c r="P1099" i="11"/>
  <c r="O1099" i="11"/>
  <c r="N1099" i="11"/>
  <c r="M1099" i="11"/>
  <c r="L1099" i="11"/>
  <c r="K1099" i="11"/>
  <c r="J1099" i="11"/>
  <c r="AC130" i="11"/>
  <c r="AB130" i="11"/>
  <c r="AA130" i="11"/>
  <c r="Z130" i="11"/>
  <c r="Y130" i="11"/>
  <c r="X130" i="11"/>
  <c r="W130" i="11"/>
  <c r="V130" i="11"/>
  <c r="U130" i="11"/>
  <c r="T130" i="11"/>
  <c r="S130" i="11"/>
  <c r="R130" i="11"/>
  <c r="Q130" i="11"/>
  <c r="P130" i="11"/>
  <c r="O130" i="11"/>
  <c r="N130" i="11"/>
  <c r="M130" i="11"/>
  <c r="L130" i="11"/>
  <c r="K130" i="11"/>
  <c r="J130" i="11"/>
  <c r="AC853" i="11"/>
  <c r="AB853" i="11"/>
  <c r="AA853" i="11"/>
  <c r="Z853" i="11"/>
  <c r="Y853" i="11"/>
  <c r="X853" i="11"/>
  <c r="W853" i="11"/>
  <c r="V853" i="11"/>
  <c r="U853" i="11"/>
  <c r="T853" i="11"/>
  <c r="S853" i="11"/>
  <c r="R853" i="11"/>
  <c r="Q853" i="11"/>
  <c r="P853" i="11"/>
  <c r="O853" i="11"/>
  <c r="N853" i="11"/>
  <c r="M853" i="11"/>
  <c r="L853" i="11"/>
  <c r="K853" i="11"/>
  <c r="J853" i="11"/>
  <c r="AC2010" i="11"/>
  <c r="AB2010" i="11"/>
  <c r="AA2010" i="11"/>
  <c r="Z2010" i="11"/>
  <c r="Y2010" i="11"/>
  <c r="X2010" i="11"/>
  <c r="W2010" i="11"/>
  <c r="V2010" i="11"/>
  <c r="U2010" i="11"/>
  <c r="T2010" i="11"/>
  <c r="S2010" i="11"/>
  <c r="R2010" i="11"/>
  <c r="Q2010" i="11"/>
  <c r="P2010" i="11"/>
  <c r="O2010" i="11"/>
  <c r="N2010" i="11"/>
  <c r="M2010" i="11"/>
  <c r="L2010" i="11"/>
  <c r="K2010" i="11"/>
  <c r="J2010" i="11"/>
  <c r="AC786" i="11"/>
  <c r="AB786" i="11"/>
  <c r="AA786" i="11"/>
  <c r="Z786" i="11"/>
  <c r="Y786" i="11"/>
  <c r="X786" i="11"/>
  <c r="W786" i="11"/>
  <c r="V786" i="11"/>
  <c r="U786" i="11"/>
  <c r="T786" i="11"/>
  <c r="S786" i="11"/>
  <c r="R786" i="11"/>
  <c r="Q786" i="11"/>
  <c r="P786" i="11"/>
  <c r="O786" i="11"/>
  <c r="N786" i="11"/>
  <c r="M786" i="11"/>
  <c r="L786" i="11"/>
  <c r="K786" i="11"/>
  <c r="J786" i="11"/>
  <c r="AC785" i="11"/>
  <c r="AB785" i="11"/>
  <c r="AA785" i="11"/>
  <c r="Z785" i="11"/>
  <c r="Y785" i="11"/>
  <c r="X785" i="11"/>
  <c r="W785" i="11"/>
  <c r="V785" i="11"/>
  <c r="U785" i="11"/>
  <c r="T785" i="11"/>
  <c r="S785" i="11"/>
  <c r="R785" i="11"/>
  <c r="Q785" i="11"/>
  <c r="P785" i="11"/>
  <c r="O785" i="11"/>
  <c r="N785" i="11"/>
  <c r="M785" i="11"/>
  <c r="L785" i="11"/>
  <c r="K785" i="11"/>
  <c r="J785" i="11"/>
  <c r="AC784" i="11"/>
  <c r="AB784" i="11"/>
  <c r="AA784" i="11"/>
  <c r="Z784" i="11"/>
  <c r="Y784" i="11"/>
  <c r="X784" i="11"/>
  <c r="W784" i="11"/>
  <c r="V784" i="11"/>
  <c r="U784" i="11"/>
  <c r="T784" i="11"/>
  <c r="S784" i="11"/>
  <c r="R784" i="11"/>
  <c r="Q784" i="11"/>
  <c r="P784" i="11"/>
  <c r="O784" i="11"/>
  <c r="N784" i="11"/>
  <c r="M784" i="11"/>
  <c r="L784" i="11"/>
  <c r="K784" i="11"/>
  <c r="J784" i="11"/>
  <c r="AC2178" i="11"/>
  <c r="AB2178" i="11"/>
  <c r="AA2178" i="11"/>
  <c r="Z2178" i="11"/>
  <c r="Y2178" i="11"/>
  <c r="X2178" i="11"/>
  <c r="W2178" i="11"/>
  <c r="V2178" i="11"/>
  <c r="U2178" i="11"/>
  <c r="T2178" i="11"/>
  <c r="S2178" i="11"/>
  <c r="R2178" i="11"/>
  <c r="Q2178" i="11"/>
  <c r="P2178" i="11"/>
  <c r="O2178" i="11"/>
  <c r="N2178" i="11"/>
  <c r="M2178" i="11"/>
  <c r="L2178" i="11"/>
  <c r="K2178" i="11"/>
  <c r="J2178" i="11"/>
  <c r="AC395" i="11"/>
  <c r="AB395" i="11"/>
  <c r="AA395" i="11"/>
  <c r="Z395" i="11"/>
  <c r="Y395" i="11"/>
  <c r="X395" i="11"/>
  <c r="W395" i="11"/>
  <c r="V395" i="11"/>
  <c r="U395" i="11"/>
  <c r="T395" i="11"/>
  <c r="S395" i="11"/>
  <c r="R395" i="11"/>
  <c r="Q395" i="11"/>
  <c r="P395" i="11"/>
  <c r="O395" i="11"/>
  <c r="N395" i="11"/>
  <c r="M395" i="11"/>
  <c r="L395" i="11"/>
  <c r="K395" i="11"/>
  <c r="J395" i="11"/>
  <c r="AC1098" i="11"/>
  <c r="AB1098" i="11"/>
  <c r="AA1098" i="11"/>
  <c r="Z1098" i="11"/>
  <c r="Y1098" i="11"/>
  <c r="X1098" i="11"/>
  <c r="W1098" i="11"/>
  <c r="V1098" i="11"/>
  <c r="U1098" i="11"/>
  <c r="T1098" i="11"/>
  <c r="S1098" i="11"/>
  <c r="R1098" i="11"/>
  <c r="Q1098" i="11"/>
  <c r="P1098" i="11"/>
  <c r="O1098" i="11"/>
  <c r="N1098" i="11"/>
  <c r="M1098" i="11"/>
  <c r="L1098" i="11"/>
  <c r="K1098" i="11"/>
  <c r="J1098" i="11"/>
  <c r="AC103" i="11"/>
  <c r="AB103" i="11"/>
  <c r="AA103" i="11"/>
  <c r="Z103" i="11"/>
  <c r="Y103" i="11"/>
  <c r="X103" i="11"/>
  <c r="W103" i="11"/>
  <c r="V103" i="11"/>
  <c r="U103" i="11"/>
  <c r="T103" i="11"/>
  <c r="S103" i="11"/>
  <c r="R103" i="11"/>
  <c r="Q103" i="11"/>
  <c r="P103" i="11"/>
  <c r="O103" i="11"/>
  <c r="N103" i="11"/>
  <c r="M103" i="11"/>
  <c r="L103" i="11"/>
  <c r="K103" i="11"/>
  <c r="J103" i="11"/>
  <c r="AC102" i="11"/>
  <c r="AB102" i="11"/>
  <c r="AA102" i="11"/>
  <c r="Z102" i="11"/>
  <c r="Y102" i="11"/>
  <c r="X102" i="11"/>
  <c r="W102" i="11"/>
  <c r="V102" i="11"/>
  <c r="U102" i="11"/>
  <c r="T102" i="11"/>
  <c r="S102" i="11"/>
  <c r="R102" i="11"/>
  <c r="Q102" i="11"/>
  <c r="P102" i="11"/>
  <c r="O102" i="11"/>
  <c r="N102" i="11"/>
  <c r="M102" i="11"/>
  <c r="L102" i="11"/>
  <c r="K102" i="11"/>
  <c r="J102" i="11"/>
  <c r="AC129" i="11"/>
  <c r="AB129" i="11"/>
  <c r="AA129" i="11"/>
  <c r="Z129" i="11"/>
  <c r="Y129" i="11"/>
  <c r="X129" i="11"/>
  <c r="W129" i="11"/>
  <c r="V129" i="11"/>
  <c r="U129" i="11"/>
  <c r="T129" i="11"/>
  <c r="S129" i="11"/>
  <c r="R129" i="11"/>
  <c r="Q129" i="11"/>
  <c r="P129" i="11"/>
  <c r="O129" i="11"/>
  <c r="N129" i="11"/>
  <c r="M129" i="11"/>
  <c r="L129" i="11"/>
  <c r="K129" i="11"/>
  <c r="J129" i="11"/>
  <c r="AC2059" i="11"/>
  <c r="AB2059" i="11"/>
  <c r="AA2059" i="11"/>
  <c r="Z2059" i="11"/>
  <c r="Y2059" i="11"/>
  <c r="X2059" i="11"/>
  <c r="W2059" i="11"/>
  <c r="V2059" i="11"/>
  <c r="U2059" i="11"/>
  <c r="T2059" i="11"/>
  <c r="S2059" i="11"/>
  <c r="R2059" i="11"/>
  <c r="Q2059" i="11"/>
  <c r="P2059" i="11"/>
  <c r="O2059" i="11"/>
  <c r="N2059" i="11"/>
  <c r="M2059" i="11"/>
  <c r="L2059" i="11"/>
  <c r="K2059" i="11"/>
  <c r="J2059" i="11"/>
  <c r="AC1628" i="11"/>
  <c r="AB1628" i="11"/>
  <c r="AA1628" i="11"/>
  <c r="Z1628" i="11"/>
  <c r="Y1628" i="11"/>
  <c r="X1628" i="11"/>
  <c r="W1628" i="11"/>
  <c r="V1628" i="11"/>
  <c r="U1628" i="11"/>
  <c r="T1628" i="11"/>
  <c r="S1628" i="11"/>
  <c r="R1628" i="11"/>
  <c r="Q1628" i="11"/>
  <c r="P1628" i="11"/>
  <c r="O1628" i="11"/>
  <c r="N1628" i="11"/>
  <c r="M1628" i="11"/>
  <c r="L1628" i="11"/>
  <c r="K1628" i="11"/>
  <c r="J1628" i="11"/>
  <c r="AC1679" i="11"/>
  <c r="AB1679" i="11"/>
  <c r="AA1679" i="11"/>
  <c r="Z1679" i="11"/>
  <c r="Y1679" i="11"/>
  <c r="X1679" i="11"/>
  <c r="W1679" i="11"/>
  <c r="V1679" i="11"/>
  <c r="U1679" i="11"/>
  <c r="T1679" i="11"/>
  <c r="S1679" i="11"/>
  <c r="R1679" i="11"/>
  <c r="Q1679" i="11"/>
  <c r="P1679" i="11"/>
  <c r="O1679" i="11"/>
  <c r="N1679" i="11"/>
  <c r="M1679" i="11"/>
  <c r="L1679" i="11"/>
  <c r="K1679" i="11"/>
  <c r="J1679" i="11"/>
  <c r="AC709" i="11"/>
  <c r="AB709" i="11"/>
  <c r="AA709" i="11"/>
  <c r="Z709" i="11"/>
  <c r="Y709" i="11"/>
  <c r="X709" i="11"/>
  <c r="W709" i="11"/>
  <c r="V709" i="11"/>
  <c r="U709" i="11"/>
  <c r="T709" i="11"/>
  <c r="S709" i="11"/>
  <c r="R709" i="11"/>
  <c r="Q709" i="11"/>
  <c r="P709" i="11"/>
  <c r="O709" i="11"/>
  <c r="N709" i="11"/>
  <c r="M709" i="11"/>
  <c r="L709" i="11"/>
  <c r="K709" i="11"/>
  <c r="J709" i="11"/>
  <c r="AC2128" i="11"/>
  <c r="AB2128" i="11"/>
  <c r="AA2128" i="11"/>
  <c r="Z2128" i="11"/>
  <c r="Y2128" i="11"/>
  <c r="X2128" i="11"/>
  <c r="W2128" i="11"/>
  <c r="V2128" i="11"/>
  <c r="U2128" i="11"/>
  <c r="T2128" i="11"/>
  <c r="S2128" i="11"/>
  <c r="R2128" i="11"/>
  <c r="Q2128" i="11"/>
  <c r="P2128" i="11"/>
  <c r="O2128" i="11"/>
  <c r="N2128" i="11"/>
  <c r="M2128" i="11"/>
  <c r="L2128" i="11"/>
  <c r="K2128" i="11"/>
  <c r="J2128" i="11"/>
  <c r="AC2127" i="11"/>
  <c r="AB2127" i="11"/>
  <c r="AA2127" i="11"/>
  <c r="Z2127" i="11"/>
  <c r="Y2127" i="11"/>
  <c r="X2127" i="11"/>
  <c r="W2127" i="11"/>
  <c r="V2127" i="11"/>
  <c r="U2127" i="11"/>
  <c r="T2127" i="11"/>
  <c r="S2127" i="11"/>
  <c r="R2127" i="11"/>
  <c r="Q2127" i="11"/>
  <c r="P2127" i="11"/>
  <c r="O2127" i="11"/>
  <c r="N2127" i="11"/>
  <c r="M2127" i="11"/>
  <c r="L2127" i="11"/>
  <c r="K2127" i="11"/>
  <c r="J2127" i="11"/>
  <c r="AC488" i="11"/>
  <c r="AB488" i="11"/>
  <c r="AA488" i="11"/>
  <c r="Z488" i="11"/>
  <c r="Y488" i="11"/>
  <c r="X488" i="11"/>
  <c r="W488" i="11"/>
  <c r="V488" i="11"/>
  <c r="U488" i="11"/>
  <c r="T488" i="11"/>
  <c r="S488" i="11"/>
  <c r="R488" i="11"/>
  <c r="Q488" i="11"/>
  <c r="P488" i="11"/>
  <c r="O488" i="11"/>
  <c r="N488" i="11"/>
  <c r="M488" i="11"/>
  <c r="L488" i="11"/>
  <c r="K488" i="11"/>
  <c r="J488" i="11"/>
  <c r="AC2177" i="11"/>
  <c r="AB2177" i="11"/>
  <c r="AA2177" i="11"/>
  <c r="Z2177" i="11"/>
  <c r="Y2177" i="11"/>
  <c r="X2177" i="11"/>
  <c r="W2177" i="11"/>
  <c r="V2177" i="11"/>
  <c r="U2177" i="11"/>
  <c r="T2177" i="11"/>
  <c r="S2177" i="11"/>
  <c r="R2177" i="11"/>
  <c r="Q2177" i="11"/>
  <c r="P2177" i="11"/>
  <c r="O2177" i="11"/>
  <c r="N2177" i="11"/>
  <c r="M2177" i="11"/>
  <c r="L2177" i="11"/>
  <c r="K2177" i="11"/>
  <c r="J2177" i="11"/>
  <c r="AC1498" i="11"/>
  <c r="AB1498" i="11"/>
  <c r="AA1498" i="11"/>
  <c r="Z1498" i="11"/>
  <c r="Y1498" i="11"/>
  <c r="X1498" i="11"/>
  <c r="W1498" i="11"/>
  <c r="V1498" i="11"/>
  <c r="U1498" i="11"/>
  <c r="T1498" i="11"/>
  <c r="S1498" i="11"/>
  <c r="R1498" i="11"/>
  <c r="Q1498" i="11"/>
  <c r="P1498" i="11"/>
  <c r="O1498" i="11"/>
  <c r="N1498" i="11"/>
  <c r="M1498" i="11"/>
  <c r="L1498" i="11"/>
  <c r="K1498" i="11"/>
  <c r="J1498" i="11"/>
  <c r="AC1497" i="11"/>
  <c r="AB1497" i="11"/>
  <c r="AA1497" i="11"/>
  <c r="Z1497" i="11"/>
  <c r="Y1497" i="11"/>
  <c r="X1497" i="11"/>
  <c r="W1497" i="11"/>
  <c r="V1497" i="11"/>
  <c r="U1497" i="11"/>
  <c r="T1497" i="11"/>
  <c r="S1497" i="11"/>
  <c r="R1497" i="11"/>
  <c r="Q1497" i="11"/>
  <c r="P1497" i="11"/>
  <c r="O1497" i="11"/>
  <c r="N1497" i="11"/>
  <c r="M1497" i="11"/>
  <c r="L1497" i="11"/>
  <c r="K1497" i="11"/>
  <c r="J1497" i="11"/>
  <c r="AC38" i="11"/>
  <c r="AB38" i="11"/>
  <c r="AA38" i="11"/>
  <c r="Z38" i="11"/>
  <c r="Y38" i="11"/>
  <c r="X38" i="11"/>
  <c r="W38" i="11"/>
  <c r="V38" i="11"/>
  <c r="U38" i="11"/>
  <c r="T38" i="11"/>
  <c r="S38" i="11"/>
  <c r="R38" i="11"/>
  <c r="Q38" i="11"/>
  <c r="P38" i="11"/>
  <c r="O38" i="11"/>
  <c r="N38" i="11"/>
  <c r="M38" i="11"/>
  <c r="L38" i="11"/>
  <c r="K38" i="11"/>
  <c r="J38" i="11"/>
  <c r="AC1457" i="11"/>
  <c r="AB1457" i="11"/>
  <c r="AA1457" i="11"/>
  <c r="Z1457" i="11"/>
  <c r="Y1457" i="11"/>
  <c r="X1457" i="11"/>
  <c r="W1457" i="11"/>
  <c r="V1457" i="11"/>
  <c r="U1457" i="11"/>
  <c r="T1457" i="11"/>
  <c r="S1457" i="11"/>
  <c r="R1457" i="11"/>
  <c r="Q1457" i="11"/>
  <c r="P1457" i="11"/>
  <c r="O1457" i="11"/>
  <c r="N1457" i="11"/>
  <c r="M1457" i="11"/>
  <c r="L1457" i="11"/>
  <c r="K1457" i="11"/>
  <c r="J1457" i="11"/>
  <c r="AC1774" i="11"/>
  <c r="AB1774" i="11"/>
  <c r="AA1774" i="11"/>
  <c r="Z1774" i="11"/>
  <c r="Y1774" i="11"/>
  <c r="X1774" i="11"/>
  <c r="W1774" i="11"/>
  <c r="V1774" i="11"/>
  <c r="U1774" i="11"/>
  <c r="T1774" i="11"/>
  <c r="S1774" i="11"/>
  <c r="R1774" i="11"/>
  <c r="Q1774" i="11"/>
  <c r="P1774" i="11"/>
  <c r="O1774" i="11"/>
  <c r="N1774" i="11"/>
  <c r="M1774" i="11"/>
  <c r="L1774" i="11"/>
  <c r="K1774" i="11"/>
  <c r="J1774" i="11"/>
  <c r="AC434" i="11"/>
  <c r="AB434" i="11"/>
  <c r="AA434" i="11"/>
  <c r="Z434" i="11"/>
  <c r="Y434" i="11"/>
  <c r="X434" i="11"/>
  <c r="W434" i="11"/>
  <c r="V434" i="11"/>
  <c r="U434" i="11"/>
  <c r="T434" i="11"/>
  <c r="S434" i="11"/>
  <c r="R434" i="11"/>
  <c r="Q434" i="11"/>
  <c r="P434" i="11"/>
  <c r="O434" i="11"/>
  <c r="N434" i="11"/>
  <c r="M434" i="11"/>
  <c r="L434" i="11"/>
  <c r="K434" i="11"/>
  <c r="J434" i="11"/>
  <c r="AC1731" i="11"/>
  <c r="AB1731" i="11"/>
  <c r="AA1731" i="11"/>
  <c r="Z1731" i="11"/>
  <c r="Y1731" i="11"/>
  <c r="X1731" i="11"/>
  <c r="W1731" i="11"/>
  <c r="V1731" i="11"/>
  <c r="U1731" i="11"/>
  <c r="T1731" i="11"/>
  <c r="S1731" i="11"/>
  <c r="R1731" i="11"/>
  <c r="Q1731" i="11"/>
  <c r="P1731" i="11"/>
  <c r="O1731" i="11"/>
  <c r="N1731" i="11"/>
  <c r="M1731" i="11"/>
  <c r="L1731" i="11"/>
  <c r="K1731" i="11"/>
  <c r="J1731" i="11"/>
  <c r="AC1456" i="11"/>
  <c r="AB1456" i="11"/>
  <c r="AA1456" i="11"/>
  <c r="Z1456" i="11"/>
  <c r="Y1456" i="11"/>
  <c r="X1456" i="11"/>
  <c r="W1456" i="11"/>
  <c r="V1456" i="11"/>
  <c r="U1456" i="11"/>
  <c r="T1456" i="11"/>
  <c r="S1456" i="11"/>
  <c r="R1456" i="11"/>
  <c r="Q1456" i="11"/>
  <c r="P1456" i="11"/>
  <c r="O1456" i="11"/>
  <c r="N1456" i="11"/>
  <c r="M1456" i="11"/>
  <c r="L1456" i="11"/>
  <c r="K1456" i="11"/>
  <c r="J1456" i="11"/>
  <c r="AC783" i="11"/>
  <c r="AB783" i="11"/>
  <c r="AA783" i="11"/>
  <c r="Z783" i="11"/>
  <c r="Y783" i="11"/>
  <c r="X783" i="11"/>
  <c r="W783" i="11"/>
  <c r="V783" i="11"/>
  <c r="U783" i="11"/>
  <c r="T783" i="11"/>
  <c r="S783" i="11"/>
  <c r="R783" i="11"/>
  <c r="Q783" i="11"/>
  <c r="P783" i="11"/>
  <c r="O783" i="11"/>
  <c r="N783" i="11"/>
  <c r="M783" i="11"/>
  <c r="L783" i="11"/>
  <c r="K783" i="11"/>
  <c r="J783" i="11"/>
  <c r="AC619" i="11"/>
  <c r="AB619" i="11"/>
  <c r="AA619" i="11"/>
  <c r="Z619" i="11"/>
  <c r="Y619" i="11"/>
  <c r="X619" i="11"/>
  <c r="W619" i="11"/>
  <c r="V619" i="11"/>
  <c r="U619" i="11"/>
  <c r="T619" i="11"/>
  <c r="S619" i="11"/>
  <c r="R619" i="11"/>
  <c r="Q619" i="11"/>
  <c r="P619" i="11"/>
  <c r="O619" i="11"/>
  <c r="N619" i="11"/>
  <c r="M619" i="11"/>
  <c r="L619" i="11"/>
  <c r="K619" i="11"/>
  <c r="J619" i="11"/>
  <c r="AC1172" i="11"/>
  <c r="AB1172" i="11"/>
  <c r="AA1172" i="11"/>
  <c r="Z1172" i="11"/>
  <c r="Y1172" i="11"/>
  <c r="X1172" i="11"/>
  <c r="W1172" i="11"/>
  <c r="V1172" i="11"/>
  <c r="U1172" i="11"/>
  <c r="T1172" i="11"/>
  <c r="S1172" i="11"/>
  <c r="R1172" i="11"/>
  <c r="Q1172" i="11"/>
  <c r="P1172" i="11"/>
  <c r="O1172" i="11"/>
  <c r="N1172" i="11"/>
  <c r="M1172" i="11"/>
  <c r="L1172" i="11"/>
  <c r="K1172" i="11"/>
  <c r="J1172" i="11"/>
  <c r="AC1171" i="11"/>
  <c r="AB1171" i="11"/>
  <c r="AA1171" i="11"/>
  <c r="Z1171" i="11"/>
  <c r="Y1171" i="11"/>
  <c r="X1171" i="11"/>
  <c r="W1171" i="11"/>
  <c r="V1171" i="11"/>
  <c r="U1171" i="11"/>
  <c r="T1171" i="11"/>
  <c r="S1171" i="11"/>
  <c r="R1171" i="11"/>
  <c r="Q1171" i="11"/>
  <c r="P1171" i="11"/>
  <c r="O1171" i="11"/>
  <c r="N1171" i="11"/>
  <c r="M1171" i="11"/>
  <c r="L1171" i="11"/>
  <c r="K1171" i="11"/>
  <c r="J1171" i="11"/>
  <c r="AC101" i="11"/>
  <c r="AB101" i="11"/>
  <c r="AA101" i="11"/>
  <c r="Z101" i="11"/>
  <c r="Y101" i="11"/>
  <c r="X101" i="11"/>
  <c r="W101" i="11"/>
  <c r="V101" i="11"/>
  <c r="U101" i="11"/>
  <c r="T101" i="11"/>
  <c r="S101" i="11"/>
  <c r="R101" i="11"/>
  <c r="Q101" i="11"/>
  <c r="P101" i="11"/>
  <c r="O101" i="11"/>
  <c r="N101" i="11"/>
  <c r="M101" i="11"/>
  <c r="L101" i="11"/>
  <c r="K101" i="11"/>
  <c r="J101" i="11"/>
  <c r="AC100" i="11"/>
  <c r="AB100" i="11"/>
  <c r="AA100" i="11"/>
  <c r="Z100" i="11"/>
  <c r="Y100" i="11"/>
  <c r="X100" i="11"/>
  <c r="W100" i="11"/>
  <c r="V100" i="11"/>
  <c r="U100" i="11"/>
  <c r="T100" i="11"/>
  <c r="S100" i="11"/>
  <c r="R100" i="11"/>
  <c r="Q100" i="11"/>
  <c r="P100" i="11"/>
  <c r="O100" i="11"/>
  <c r="N100" i="11"/>
  <c r="M100" i="11"/>
  <c r="L100" i="11"/>
  <c r="K100" i="11"/>
  <c r="J100" i="11"/>
  <c r="AC316" i="11"/>
  <c r="AB316" i="11"/>
  <c r="AA316" i="11"/>
  <c r="Z316" i="11"/>
  <c r="Y316" i="11"/>
  <c r="X316" i="11"/>
  <c r="W316" i="11"/>
  <c r="V316" i="11"/>
  <c r="U316" i="11"/>
  <c r="T316" i="11"/>
  <c r="S316" i="11"/>
  <c r="R316" i="11"/>
  <c r="Q316" i="11"/>
  <c r="P316" i="11"/>
  <c r="O316" i="11"/>
  <c r="N316" i="11"/>
  <c r="M316" i="11"/>
  <c r="L316" i="11"/>
  <c r="K316" i="11"/>
  <c r="J316" i="11"/>
  <c r="AC99" i="11"/>
  <c r="AB99" i="11"/>
  <c r="AA99" i="11"/>
  <c r="Z99" i="11"/>
  <c r="Y99" i="11"/>
  <c r="X99" i="11"/>
  <c r="W99" i="11"/>
  <c r="V99" i="11"/>
  <c r="U99" i="11"/>
  <c r="T99" i="11"/>
  <c r="S99" i="11"/>
  <c r="R99" i="11"/>
  <c r="Q99" i="11"/>
  <c r="P99" i="11"/>
  <c r="O99" i="11"/>
  <c r="N99" i="11"/>
  <c r="M99" i="11"/>
  <c r="L99" i="11"/>
  <c r="K99" i="11"/>
  <c r="J99" i="11"/>
  <c r="AC98" i="11"/>
  <c r="AB98" i="11"/>
  <c r="AA98" i="11"/>
  <c r="Z98" i="11"/>
  <c r="Y98" i="11"/>
  <c r="X98" i="11"/>
  <c r="W98" i="11"/>
  <c r="V98" i="11"/>
  <c r="U98" i="11"/>
  <c r="T98" i="11"/>
  <c r="S98" i="11"/>
  <c r="R98" i="11"/>
  <c r="Q98" i="11"/>
  <c r="P98" i="11"/>
  <c r="O98" i="11"/>
  <c r="N98" i="11"/>
  <c r="M98" i="11"/>
  <c r="L98" i="11"/>
  <c r="K98" i="11"/>
  <c r="J98" i="11"/>
  <c r="AC2187" i="11"/>
  <c r="AB2187" i="11"/>
  <c r="AA2187" i="11"/>
  <c r="Z2187" i="11"/>
  <c r="Y2187" i="11"/>
  <c r="X2187" i="11"/>
  <c r="W2187" i="11"/>
  <c r="V2187" i="11"/>
  <c r="U2187" i="11"/>
  <c r="T2187" i="11"/>
  <c r="S2187" i="11"/>
  <c r="R2187" i="11"/>
  <c r="Q2187" i="11"/>
  <c r="P2187" i="11"/>
  <c r="O2187" i="11"/>
  <c r="N2187" i="11"/>
  <c r="M2187" i="11"/>
  <c r="L2187" i="11"/>
  <c r="K2187" i="11"/>
  <c r="J2187" i="11"/>
  <c r="AC37" i="11"/>
  <c r="AB37" i="11"/>
  <c r="AA37" i="11"/>
  <c r="Z37" i="11"/>
  <c r="Y37" i="11"/>
  <c r="X37" i="11"/>
  <c r="W37" i="11"/>
  <c r="V37" i="11"/>
  <c r="U37" i="11"/>
  <c r="T37" i="11"/>
  <c r="S37" i="11"/>
  <c r="R37" i="11"/>
  <c r="Q37" i="11"/>
  <c r="P37" i="11"/>
  <c r="O37" i="11"/>
  <c r="N37" i="11"/>
  <c r="M37" i="11"/>
  <c r="L37" i="11"/>
  <c r="K37" i="11"/>
  <c r="J37" i="11"/>
  <c r="AC36" i="11"/>
  <c r="AB36" i="11"/>
  <c r="AA36" i="11"/>
  <c r="Z36" i="11"/>
  <c r="Y36" i="11"/>
  <c r="X36" i="11"/>
  <c r="W36" i="11"/>
  <c r="V36" i="11"/>
  <c r="U36" i="11"/>
  <c r="T36" i="11"/>
  <c r="S36" i="11"/>
  <c r="R36" i="11"/>
  <c r="Q36" i="11"/>
  <c r="P36" i="11"/>
  <c r="O36" i="11"/>
  <c r="N36" i="11"/>
  <c r="M36" i="11"/>
  <c r="L36" i="11"/>
  <c r="K36" i="11"/>
  <c r="J36" i="11"/>
  <c r="AC1170" i="11"/>
  <c r="AB1170" i="11"/>
  <c r="AA1170" i="11"/>
  <c r="Z1170" i="11"/>
  <c r="Y1170" i="11"/>
  <c r="X1170" i="11"/>
  <c r="W1170" i="11"/>
  <c r="V1170" i="11"/>
  <c r="U1170" i="11"/>
  <c r="T1170" i="11"/>
  <c r="S1170" i="11"/>
  <c r="R1170" i="11"/>
  <c r="Q1170" i="11"/>
  <c r="P1170" i="11"/>
  <c r="O1170" i="11"/>
  <c r="N1170" i="11"/>
  <c r="M1170" i="11"/>
  <c r="L1170" i="11"/>
  <c r="K1170" i="11"/>
  <c r="J1170" i="11"/>
  <c r="AC1169" i="11"/>
  <c r="AB1169" i="11"/>
  <c r="AA1169" i="11"/>
  <c r="Z1169" i="11"/>
  <c r="Y1169" i="11"/>
  <c r="X1169" i="11"/>
  <c r="W1169" i="11"/>
  <c r="V1169" i="11"/>
  <c r="U1169" i="11"/>
  <c r="T1169" i="11"/>
  <c r="S1169" i="11"/>
  <c r="R1169" i="11"/>
  <c r="Q1169" i="11"/>
  <c r="P1169" i="11"/>
  <c r="O1169" i="11"/>
  <c r="N1169" i="11"/>
  <c r="M1169" i="11"/>
  <c r="L1169" i="11"/>
  <c r="K1169" i="11"/>
  <c r="J1169" i="11"/>
  <c r="AC1290" i="11"/>
  <c r="AB1290" i="11"/>
  <c r="AA1290" i="11"/>
  <c r="Z1290" i="11"/>
  <c r="Y1290" i="11"/>
  <c r="X1290" i="11"/>
  <c r="W1290" i="11"/>
  <c r="V1290" i="11"/>
  <c r="U1290" i="11"/>
  <c r="T1290" i="11"/>
  <c r="S1290" i="11"/>
  <c r="R1290" i="11"/>
  <c r="Q1290" i="11"/>
  <c r="P1290" i="11"/>
  <c r="O1290" i="11"/>
  <c r="N1290" i="11"/>
  <c r="M1290" i="11"/>
  <c r="L1290" i="11"/>
  <c r="K1290" i="11"/>
  <c r="J1290" i="11"/>
  <c r="AC1678" i="11"/>
  <c r="AB1678" i="11"/>
  <c r="AA1678" i="11"/>
  <c r="Z1678" i="11"/>
  <c r="Y1678" i="11"/>
  <c r="X1678" i="11"/>
  <c r="W1678" i="11"/>
  <c r="V1678" i="11"/>
  <c r="U1678" i="11"/>
  <c r="T1678" i="11"/>
  <c r="S1678" i="11"/>
  <c r="R1678" i="11"/>
  <c r="Q1678" i="11"/>
  <c r="P1678" i="11"/>
  <c r="O1678" i="11"/>
  <c r="N1678" i="11"/>
  <c r="M1678" i="11"/>
  <c r="L1678" i="11"/>
  <c r="K1678" i="11"/>
  <c r="J1678" i="11"/>
  <c r="AC1097" i="11"/>
  <c r="AB1097" i="11"/>
  <c r="AA1097" i="11"/>
  <c r="Z1097" i="11"/>
  <c r="Y1097" i="11"/>
  <c r="X1097" i="11"/>
  <c r="W1097" i="11"/>
  <c r="V1097" i="11"/>
  <c r="U1097" i="11"/>
  <c r="T1097" i="11"/>
  <c r="S1097" i="11"/>
  <c r="R1097" i="11"/>
  <c r="Q1097" i="11"/>
  <c r="P1097" i="11"/>
  <c r="O1097" i="11"/>
  <c r="N1097" i="11"/>
  <c r="M1097" i="11"/>
  <c r="L1097" i="11"/>
  <c r="K1097" i="11"/>
  <c r="J1097" i="11"/>
  <c r="AC1334" i="11"/>
  <c r="AB1334" i="11"/>
  <c r="AA1334" i="11"/>
  <c r="Z1334" i="11"/>
  <c r="Y1334" i="11"/>
  <c r="X1334" i="11"/>
  <c r="W1334" i="11"/>
  <c r="V1334" i="11"/>
  <c r="U1334" i="11"/>
  <c r="T1334" i="11"/>
  <c r="S1334" i="11"/>
  <c r="R1334" i="11"/>
  <c r="Q1334" i="11"/>
  <c r="P1334" i="11"/>
  <c r="O1334" i="11"/>
  <c r="N1334" i="11"/>
  <c r="M1334" i="11"/>
  <c r="L1334" i="11"/>
  <c r="K1334" i="11"/>
  <c r="J1334" i="11"/>
  <c r="AC1096" i="11"/>
  <c r="AB1096" i="11"/>
  <c r="AA1096" i="11"/>
  <c r="Z1096" i="11"/>
  <c r="Y1096" i="11"/>
  <c r="X1096" i="11"/>
  <c r="W1096" i="11"/>
  <c r="V1096" i="11"/>
  <c r="U1096" i="11"/>
  <c r="T1096" i="11"/>
  <c r="S1096" i="11"/>
  <c r="R1096" i="11"/>
  <c r="Q1096" i="11"/>
  <c r="P1096" i="11"/>
  <c r="O1096" i="11"/>
  <c r="N1096" i="11"/>
  <c r="M1096" i="11"/>
  <c r="L1096" i="11"/>
  <c r="K1096" i="11"/>
  <c r="J1096" i="11"/>
  <c r="AC1095" i="11"/>
  <c r="AB1095" i="11"/>
  <c r="AA1095" i="11"/>
  <c r="Z1095" i="11"/>
  <c r="Y1095" i="11"/>
  <c r="X1095" i="11"/>
  <c r="W1095" i="11"/>
  <c r="V1095" i="11"/>
  <c r="U1095" i="11"/>
  <c r="T1095" i="11"/>
  <c r="S1095" i="11"/>
  <c r="R1095" i="11"/>
  <c r="Q1095" i="11"/>
  <c r="P1095" i="11"/>
  <c r="O1095" i="11"/>
  <c r="N1095" i="11"/>
  <c r="M1095" i="11"/>
  <c r="L1095" i="11"/>
  <c r="K1095" i="11"/>
  <c r="J1095" i="11"/>
  <c r="AC1730" i="11"/>
  <c r="AB1730" i="11"/>
  <c r="AA1730" i="11"/>
  <c r="Z1730" i="11"/>
  <c r="Y1730" i="11"/>
  <c r="X1730" i="11"/>
  <c r="W1730" i="11"/>
  <c r="V1730" i="11"/>
  <c r="U1730" i="11"/>
  <c r="T1730" i="11"/>
  <c r="S1730" i="11"/>
  <c r="R1730" i="11"/>
  <c r="Q1730" i="11"/>
  <c r="P1730" i="11"/>
  <c r="O1730" i="11"/>
  <c r="N1730" i="11"/>
  <c r="M1730" i="11"/>
  <c r="L1730" i="11"/>
  <c r="K1730" i="11"/>
  <c r="J1730" i="11"/>
  <c r="AC2126" i="11"/>
  <c r="AB2126" i="11"/>
  <c r="AA2126" i="11"/>
  <c r="Z2126" i="11"/>
  <c r="Y2126" i="11"/>
  <c r="X2126" i="11"/>
  <c r="W2126" i="11"/>
  <c r="V2126" i="11"/>
  <c r="U2126" i="11"/>
  <c r="T2126" i="11"/>
  <c r="S2126" i="11"/>
  <c r="R2126" i="11"/>
  <c r="Q2126" i="11"/>
  <c r="P2126" i="11"/>
  <c r="O2126" i="11"/>
  <c r="N2126" i="11"/>
  <c r="M2126" i="11"/>
  <c r="L2126" i="11"/>
  <c r="K2126" i="11"/>
  <c r="J2126" i="11"/>
  <c r="AC315" i="11"/>
  <c r="AB315" i="11"/>
  <c r="AA315" i="11"/>
  <c r="Z315" i="11"/>
  <c r="Y315" i="11"/>
  <c r="X315" i="11"/>
  <c r="W315" i="11"/>
  <c r="V315" i="11"/>
  <c r="U315" i="11"/>
  <c r="T315" i="11"/>
  <c r="S315" i="11"/>
  <c r="R315" i="11"/>
  <c r="Q315" i="11"/>
  <c r="P315" i="11"/>
  <c r="O315" i="11"/>
  <c r="N315" i="11"/>
  <c r="M315" i="11"/>
  <c r="L315" i="11"/>
  <c r="K315" i="11"/>
  <c r="J315" i="11"/>
  <c r="AC314" i="11"/>
  <c r="AB314" i="11"/>
  <c r="AA314" i="11"/>
  <c r="Z314" i="11"/>
  <c r="Y314" i="11"/>
  <c r="X314" i="11"/>
  <c r="W314" i="11"/>
  <c r="V314" i="11"/>
  <c r="U314" i="11"/>
  <c r="T314" i="11"/>
  <c r="S314" i="11"/>
  <c r="R314" i="11"/>
  <c r="Q314" i="11"/>
  <c r="P314" i="11"/>
  <c r="O314" i="11"/>
  <c r="N314" i="11"/>
  <c r="M314" i="11"/>
  <c r="L314" i="11"/>
  <c r="K314" i="11"/>
  <c r="J314" i="11"/>
  <c r="AC1396" i="11"/>
  <c r="AB1396" i="11"/>
  <c r="AA1396" i="11"/>
  <c r="Z1396" i="11"/>
  <c r="Y1396" i="11"/>
  <c r="X1396" i="11"/>
  <c r="W1396" i="11"/>
  <c r="V1396" i="11"/>
  <c r="U1396" i="11"/>
  <c r="T1396" i="11"/>
  <c r="S1396" i="11"/>
  <c r="R1396" i="11"/>
  <c r="Q1396" i="11"/>
  <c r="P1396" i="11"/>
  <c r="O1396" i="11"/>
  <c r="N1396" i="11"/>
  <c r="M1396" i="11"/>
  <c r="L1396" i="11"/>
  <c r="K1396" i="11"/>
  <c r="J1396" i="11"/>
  <c r="AC1395" i="11"/>
  <c r="AB1395" i="11"/>
  <c r="AA1395" i="11"/>
  <c r="Z1395" i="11"/>
  <c r="Y1395" i="11"/>
  <c r="X1395" i="11"/>
  <c r="W1395" i="11"/>
  <c r="V1395" i="11"/>
  <c r="U1395" i="11"/>
  <c r="T1395" i="11"/>
  <c r="S1395" i="11"/>
  <c r="R1395" i="11"/>
  <c r="Q1395" i="11"/>
  <c r="P1395" i="11"/>
  <c r="O1395" i="11"/>
  <c r="N1395" i="11"/>
  <c r="M1395" i="11"/>
  <c r="L1395" i="11"/>
  <c r="K1395" i="11"/>
  <c r="J1395" i="11"/>
  <c r="AC2009" i="11"/>
  <c r="AB2009" i="11"/>
  <c r="AA2009" i="11"/>
  <c r="Z2009" i="11"/>
  <c r="Y2009" i="11"/>
  <c r="X2009" i="11"/>
  <c r="W2009" i="11"/>
  <c r="V2009" i="11"/>
  <c r="U2009" i="11"/>
  <c r="T2009" i="11"/>
  <c r="S2009" i="11"/>
  <c r="R2009" i="11"/>
  <c r="Q2009" i="11"/>
  <c r="P2009" i="11"/>
  <c r="O2009" i="11"/>
  <c r="N2009" i="11"/>
  <c r="M2009" i="11"/>
  <c r="L2009" i="11"/>
  <c r="K2009" i="11"/>
  <c r="J2009" i="11"/>
  <c r="AC932" i="11"/>
  <c r="AB932" i="11"/>
  <c r="AA932" i="11"/>
  <c r="Z932" i="11"/>
  <c r="Y932" i="11"/>
  <c r="X932" i="11"/>
  <c r="W932" i="11"/>
  <c r="V932" i="11"/>
  <c r="U932" i="11"/>
  <c r="T932" i="11"/>
  <c r="S932" i="11"/>
  <c r="R932" i="11"/>
  <c r="Q932" i="11"/>
  <c r="P932" i="11"/>
  <c r="O932" i="11"/>
  <c r="N932" i="11"/>
  <c r="M932" i="11"/>
  <c r="L932" i="11"/>
  <c r="K932" i="11"/>
  <c r="J932" i="11"/>
  <c r="AC1817" i="11"/>
  <c r="AB1817" i="11"/>
  <c r="AA1817" i="11"/>
  <c r="Z1817" i="11"/>
  <c r="Y1817" i="11"/>
  <c r="X1817" i="11"/>
  <c r="W1817" i="11"/>
  <c r="V1817" i="11"/>
  <c r="U1817" i="11"/>
  <c r="T1817" i="11"/>
  <c r="S1817" i="11"/>
  <c r="R1817" i="11"/>
  <c r="Q1817" i="11"/>
  <c r="P1817" i="11"/>
  <c r="O1817" i="11"/>
  <c r="N1817" i="11"/>
  <c r="M1817" i="11"/>
  <c r="L1817" i="11"/>
  <c r="K1817" i="11"/>
  <c r="J1817" i="11"/>
  <c r="AC1394" i="11"/>
  <c r="AB1394" i="11"/>
  <c r="AA1394" i="11"/>
  <c r="Z1394" i="11"/>
  <c r="Y1394" i="11"/>
  <c r="X1394" i="11"/>
  <c r="W1394" i="11"/>
  <c r="V1394" i="11"/>
  <c r="U1394" i="11"/>
  <c r="T1394" i="11"/>
  <c r="S1394" i="11"/>
  <c r="R1394" i="11"/>
  <c r="Q1394" i="11"/>
  <c r="P1394" i="11"/>
  <c r="O1394" i="11"/>
  <c r="N1394" i="11"/>
  <c r="M1394" i="11"/>
  <c r="L1394" i="11"/>
  <c r="K1394" i="11"/>
  <c r="J1394" i="11"/>
  <c r="AC1966" i="11"/>
  <c r="AB1966" i="11"/>
  <c r="AA1966" i="11"/>
  <c r="Z1966" i="11"/>
  <c r="Y1966" i="11"/>
  <c r="X1966" i="11"/>
  <c r="W1966" i="11"/>
  <c r="V1966" i="11"/>
  <c r="U1966" i="11"/>
  <c r="T1966" i="11"/>
  <c r="S1966" i="11"/>
  <c r="R1966" i="11"/>
  <c r="Q1966" i="11"/>
  <c r="P1966" i="11"/>
  <c r="O1966" i="11"/>
  <c r="N1966" i="11"/>
  <c r="M1966" i="11"/>
  <c r="L1966" i="11"/>
  <c r="K1966" i="11"/>
  <c r="J1966" i="11"/>
  <c r="AC708" i="11"/>
  <c r="AB708" i="11"/>
  <c r="AA708" i="11"/>
  <c r="Z708" i="11"/>
  <c r="Y708" i="11"/>
  <c r="X708" i="11"/>
  <c r="W708" i="11"/>
  <c r="V708" i="11"/>
  <c r="U708" i="11"/>
  <c r="T708" i="11"/>
  <c r="S708" i="11"/>
  <c r="R708" i="11"/>
  <c r="Q708" i="11"/>
  <c r="P708" i="11"/>
  <c r="O708" i="11"/>
  <c r="N708" i="11"/>
  <c r="M708" i="11"/>
  <c r="L708" i="11"/>
  <c r="K708" i="11"/>
  <c r="J708" i="11"/>
  <c r="AC2125" i="11"/>
  <c r="AB2125" i="11"/>
  <c r="AA2125" i="11"/>
  <c r="Z2125" i="11"/>
  <c r="Y2125" i="11"/>
  <c r="X2125" i="11"/>
  <c r="W2125" i="11"/>
  <c r="V2125" i="11"/>
  <c r="U2125" i="11"/>
  <c r="T2125" i="11"/>
  <c r="S2125" i="11"/>
  <c r="R2125" i="11"/>
  <c r="Q2125" i="11"/>
  <c r="P2125" i="11"/>
  <c r="O2125" i="11"/>
  <c r="N2125" i="11"/>
  <c r="M2125" i="11"/>
  <c r="L2125" i="11"/>
  <c r="K2125" i="11"/>
  <c r="J2125" i="11"/>
  <c r="AC563" i="11"/>
  <c r="AB563" i="11"/>
  <c r="AA563" i="11"/>
  <c r="Z563" i="11"/>
  <c r="Y563" i="11"/>
  <c r="X563" i="11"/>
  <c r="W563" i="11"/>
  <c r="V563" i="11"/>
  <c r="U563" i="11"/>
  <c r="T563" i="11"/>
  <c r="S563" i="11"/>
  <c r="R563" i="11"/>
  <c r="Q563" i="11"/>
  <c r="P563" i="11"/>
  <c r="O563" i="11"/>
  <c r="N563" i="11"/>
  <c r="M563" i="11"/>
  <c r="L563" i="11"/>
  <c r="K563" i="11"/>
  <c r="J563" i="11"/>
  <c r="AC852" i="11"/>
  <c r="AB852" i="11"/>
  <c r="AA852" i="11"/>
  <c r="Z852" i="11"/>
  <c r="Y852" i="11"/>
  <c r="X852" i="11"/>
  <c r="W852" i="11"/>
  <c r="V852" i="11"/>
  <c r="U852" i="11"/>
  <c r="T852" i="11"/>
  <c r="S852" i="11"/>
  <c r="R852" i="11"/>
  <c r="Q852" i="11"/>
  <c r="P852" i="11"/>
  <c r="O852" i="11"/>
  <c r="N852" i="11"/>
  <c r="M852" i="11"/>
  <c r="L852" i="11"/>
  <c r="K852" i="11"/>
  <c r="J852" i="11"/>
  <c r="AC1168" i="11"/>
  <c r="AB1168" i="11"/>
  <c r="AA1168" i="11"/>
  <c r="Z1168" i="11"/>
  <c r="Y1168" i="11"/>
  <c r="X1168" i="11"/>
  <c r="W1168" i="11"/>
  <c r="V1168" i="11"/>
  <c r="U1168" i="11"/>
  <c r="T1168" i="11"/>
  <c r="S1168" i="11"/>
  <c r="R1168" i="11"/>
  <c r="Q1168" i="11"/>
  <c r="P1168" i="11"/>
  <c r="O1168" i="11"/>
  <c r="N1168" i="11"/>
  <c r="M1168" i="11"/>
  <c r="L1168" i="11"/>
  <c r="K1168" i="11"/>
  <c r="J1168" i="11"/>
  <c r="AC394" i="11"/>
  <c r="AB394" i="11"/>
  <c r="AA394" i="11"/>
  <c r="Z394" i="11"/>
  <c r="Y394" i="11"/>
  <c r="X394" i="11"/>
  <c r="W394" i="11"/>
  <c r="V394" i="11"/>
  <c r="U394" i="11"/>
  <c r="T394" i="11"/>
  <c r="S394" i="11"/>
  <c r="R394" i="11"/>
  <c r="Q394" i="11"/>
  <c r="P394" i="11"/>
  <c r="O394" i="11"/>
  <c r="N394" i="11"/>
  <c r="M394" i="11"/>
  <c r="L394" i="11"/>
  <c r="K394" i="11"/>
  <c r="J394" i="11"/>
  <c r="AC273" i="11"/>
  <c r="AB273" i="11"/>
  <c r="AA273" i="11"/>
  <c r="Z273" i="11"/>
  <c r="Y273" i="11"/>
  <c r="X273" i="11"/>
  <c r="W273" i="11"/>
  <c r="V273" i="11"/>
  <c r="U273" i="11"/>
  <c r="T273" i="11"/>
  <c r="S273" i="11"/>
  <c r="R273" i="11"/>
  <c r="Q273" i="11"/>
  <c r="P273" i="11"/>
  <c r="O273" i="11"/>
  <c r="N273" i="11"/>
  <c r="M273" i="11"/>
  <c r="L273" i="11"/>
  <c r="K273" i="11"/>
  <c r="J273" i="11"/>
  <c r="AC1167" i="11"/>
  <c r="AB1167" i="11"/>
  <c r="AA1167" i="11"/>
  <c r="Z1167" i="11"/>
  <c r="Y1167" i="11"/>
  <c r="X1167" i="11"/>
  <c r="W1167" i="11"/>
  <c r="V1167" i="11"/>
  <c r="U1167" i="11"/>
  <c r="T1167" i="11"/>
  <c r="S1167" i="11"/>
  <c r="R1167" i="11"/>
  <c r="Q1167" i="11"/>
  <c r="P1167" i="11"/>
  <c r="O1167" i="11"/>
  <c r="N1167" i="11"/>
  <c r="M1167" i="11"/>
  <c r="L1167" i="11"/>
  <c r="K1167" i="11"/>
  <c r="J1167" i="11"/>
  <c r="AC1550" i="11"/>
  <c r="AB1550" i="11"/>
  <c r="AA1550" i="11"/>
  <c r="Z1550" i="11"/>
  <c r="Y1550" i="11"/>
  <c r="X1550" i="11"/>
  <c r="W1550" i="11"/>
  <c r="V1550" i="11"/>
  <c r="U1550" i="11"/>
  <c r="T1550" i="11"/>
  <c r="S1550" i="11"/>
  <c r="R1550" i="11"/>
  <c r="Q1550" i="11"/>
  <c r="P1550" i="11"/>
  <c r="O1550" i="11"/>
  <c r="N1550" i="11"/>
  <c r="M1550" i="11"/>
  <c r="L1550" i="11"/>
  <c r="K1550" i="11"/>
  <c r="J1550" i="11"/>
  <c r="AC393" i="11"/>
  <c r="AB393" i="11"/>
  <c r="AA393" i="11"/>
  <c r="Z393" i="11"/>
  <c r="Y393" i="11"/>
  <c r="X393" i="11"/>
  <c r="W393" i="11"/>
  <c r="V393" i="11"/>
  <c r="U393" i="11"/>
  <c r="T393" i="11"/>
  <c r="S393" i="11"/>
  <c r="R393" i="11"/>
  <c r="Q393" i="11"/>
  <c r="P393" i="11"/>
  <c r="O393" i="11"/>
  <c r="N393" i="11"/>
  <c r="M393" i="11"/>
  <c r="L393" i="11"/>
  <c r="K393" i="11"/>
  <c r="J393" i="11"/>
  <c r="AC1235" i="11"/>
  <c r="AB1235" i="11"/>
  <c r="AA1235" i="11"/>
  <c r="Z1235" i="11"/>
  <c r="Y1235" i="11"/>
  <c r="X1235" i="11"/>
  <c r="W1235" i="11"/>
  <c r="V1235" i="11"/>
  <c r="U1235" i="11"/>
  <c r="T1235" i="11"/>
  <c r="S1235" i="11"/>
  <c r="R1235" i="11"/>
  <c r="Q1235" i="11"/>
  <c r="P1235" i="11"/>
  <c r="O1235" i="11"/>
  <c r="N1235" i="11"/>
  <c r="M1235" i="11"/>
  <c r="L1235" i="11"/>
  <c r="K1235" i="11"/>
  <c r="J1235" i="11"/>
  <c r="AC2058" i="11"/>
  <c r="AB2058" i="11"/>
  <c r="AA2058" i="11"/>
  <c r="Z2058" i="11"/>
  <c r="Y2058" i="11"/>
  <c r="X2058" i="11"/>
  <c r="W2058" i="11"/>
  <c r="V2058" i="11"/>
  <c r="U2058" i="11"/>
  <c r="T2058" i="11"/>
  <c r="S2058" i="11"/>
  <c r="R2058" i="11"/>
  <c r="Q2058" i="11"/>
  <c r="P2058" i="11"/>
  <c r="O2058" i="11"/>
  <c r="N2058" i="11"/>
  <c r="M2058" i="11"/>
  <c r="L2058" i="11"/>
  <c r="K2058" i="11"/>
  <c r="J2058" i="11"/>
  <c r="AC782" i="11"/>
  <c r="AB782" i="11"/>
  <c r="AA782" i="11"/>
  <c r="Z782" i="11"/>
  <c r="Y782" i="11"/>
  <c r="X782" i="11"/>
  <c r="W782" i="11"/>
  <c r="V782" i="11"/>
  <c r="U782" i="11"/>
  <c r="T782" i="11"/>
  <c r="S782" i="11"/>
  <c r="R782" i="11"/>
  <c r="Q782" i="11"/>
  <c r="P782" i="11"/>
  <c r="O782" i="11"/>
  <c r="N782" i="11"/>
  <c r="M782" i="11"/>
  <c r="L782" i="11"/>
  <c r="K782" i="11"/>
  <c r="J782" i="11"/>
  <c r="AC2203" i="11"/>
  <c r="AB2203" i="11"/>
  <c r="AA2203" i="11"/>
  <c r="Z2203" i="11"/>
  <c r="Y2203" i="11"/>
  <c r="X2203" i="11"/>
  <c r="W2203" i="11"/>
  <c r="V2203" i="11"/>
  <c r="U2203" i="11"/>
  <c r="T2203" i="11"/>
  <c r="S2203" i="11"/>
  <c r="R2203" i="11"/>
  <c r="Q2203" i="11"/>
  <c r="P2203" i="11"/>
  <c r="O2203" i="11"/>
  <c r="N2203" i="11"/>
  <c r="M2203" i="11"/>
  <c r="L2203" i="11"/>
  <c r="K2203" i="11"/>
  <c r="J2203" i="11"/>
  <c r="AC1333" i="11"/>
  <c r="AB1333" i="11"/>
  <c r="AA1333" i="11"/>
  <c r="Z1333" i="11"/>
  <c r="Y1333" i="11"/>
  <c r="X1333" i="11"/>
  <c r="W1333" i="11"/>
  <c r="V1333" i="11"/>
  <c r="U1333" i="11"/>
  <c r="T1333" i="11"/>
  <c r="S1333" i="11"/>
  <c r="R1333" i="11"/>
  <c r="Q1333" i="11"/>
  <c r="P1333" i="11"/>
  <c r="O1333" i="11"/>
  <c r="N1333" i="11"/>
  <c r="M1333" i="11"/>
  <c r="L1333" i="11"/>
  <c r="K1333" i="11"/>
  <c r="J1333" i="11"/>
  <c r="AC2008" i="11"/>
  <c r="AB2008" i="11"/>
  <c r="AA2008" i="11"/>
  <c r="Z2008" i="11"/>
  <c r="Y2008" i="11"/>
  <c r="X2008" i="11"/>
  <c r="W2008" i="11"/>
  <c r="V2008" i="11"/>
  <c r="U2008" i="11"/>
  <c r="T2008" i="11"/>
  <c r="S2008" i="11"/>
  <c r="R2008" i="11"/>
  <c r="Q2008" i="11"/>
  <c r="P2008" i="11"/>
  <c r="O2008" i="11"/>
  <c r="N2008" i="11"/>
  <c r="M2008" i="11"/>
  <c r="L2008" i="11"/>
  <c r="K2008" i="11"/>
  <c r="J2008" i="11"/>
  <c r="AC160" i="11"/>
  <c r="AB160" i="11"/>
  <c r="AA160" i="11"/>
  <c r="Z160" i="11"/>
  <c r="Y160" i="11"/>
  <c r="X160" i="11"/>
  <c r="W160" i="11"/>
  <c r="V160" i="11"/>
  <c r="U160" i="11"/>
  <c r="T160" i="11"/>
  <c r="S160" i="11"/>
  <c r="R160" i="11"/>
  <c r="Q160" i="11"/>
  <c r="P160" i="11"/>
  <c r="O160" i="11"/>
  <c r="N160" i="11"/>
  <c r="M160" i="11"/>
  <c r="L160" i="11"/>
  <c r="K160" i="11"/>
  <c r="J160" i="11"/>
  <c r="AC1393" i="11"/>
  <c r="AB1393" i="11"/>
  <c r="AA1393" i="11"/>
  <c r="Z1393" i="11"/>
  <c r="Y1393" i="11"/>
  <c r="X1393" i="11"/>
  <c r="W1393" i="11"/>
  <c r="V1393" i="11"/>
  <c r="U1393" i="11"/>
  <c r="T1393" i="11"/>
  <c r="S1393" i="11"/>
  <c r="R1393" i="11"/>
  <c r="Q1393" i="11"/>
  <c r="P1393" i="11"/>
  <c r="O1393" i="11"/>
  <c r="N1393" i="11"/>
  <c r="M1393" i="11"/>
  <c r="L1393" i="11"/>
  <c r="K1393" i="11"/>
  <c r="J1393" i="11"/>
  <c r="AC1166" i="11"/>
  <c r="AB1166" i="11"/>
  <c r="AA1166" i="11"/>
  <c r="Z1166" i="11"/>
  <c r="Y1166" i="11"/>
  <c r="X1166" i="11"/>
  <c r="W1166" i="11"/>
  <c r="V1166" i="11"/>
  <c r="U1166" i="11"/>
  <c r="T1166" i="11"/>
  <c r="S1166" i="11"/>
  <c r="R1166" i="11"/>
  <c r="Q1166" i="11"/>
  <c r="P1166" i="11"/>
  <c r="O1166" i="11"/>
  <c r="N1166" i="11"/>
  <c r="M1166" i="11"/>
  <c r="L1166" i="11"/>
  <c r="K1166" i="11"/>
  <c r="J1166" i="11"/>
  <c r="AC1010" i="11"/>
  <c r="AB1010" i="11"/>
  <c r="AA1010" i="11"/>
  <c r="Z1010" i="11"/>
  <c r="Y1010" i="11"/>
  <c r="X1010" i="11"/>
  <c r="W1010" i="11"/>
  <c r="V1010" i="11"/>
  <c r="U1010" i="11"/>
  <c r="T1010" i="11"/>
  <c r="S1010" i="11"/>
  <c r="R1010" i="11"/>
  <c r="Q1010" i="11"/>
  <c r="P1010" i="11"/>
  <c r="O1010" i="11"/>
  <c r="N1010" i="11"/>
  <c r="M1010" i="11"/>
  <c r="L1010" i="11"/>
  <c r="K1010" i="11"/>
  <c r="J1010" i="11"/>
  <c r="AC1455" i="11"/>
  <c r="AB1455" i="11"/>
  <c r="AA1455" i="11"/>
  <c r="Z1455" i="11"/>
  <c r="Y1455" i="11"/>
  <c r="X1455" i="11"/>
  <c r="W1455" i="11"/>
  <c r="V1455" i="11"/>
  <c r="U1455" i="11"/>
  <c r="T1455" i="11"/>
  <c r="S1455" i="11"/>
  <c r="R1455" i="11"/>
  <c r="Q1455" i="11"/>
  <c r="P1455" i="11"/>
  <c r="O1455" i="11"/>
  <c r="N1455" i="11"/>
  <c r="M1455" i="11"/>
  <c r="L1455" i="11"/>
  <c r="K1455" i="11"/>
  <c r="J1455" i="11"/>
  <c r="AC1392" i="11"/>
  <c r="AB1392" i="11"/>
  <c r="AA1392" i="11"/>
  <c r="Z1392" i="11"/>
  <c r="Y1392" i="11"/>
  <c r="X1392" i="11"/>
  <c r="W1392" i="11"/>
  <c r="V1392" i="11"/>
  <c r="U1392" i="11"/>
  <c r="T1392" i="11"/>
  <c r="S1392" i="11"/>
  <c r="R1392" i="11"/>
  <c r="Q1392" i="11"/>
  <c r="P1392" i="11"/>
  <c r="O1392" i="11"/>
  <c r="N1392" i="11"/>
  <c r="M1392" i="11"/>
  <c r="L1392" i="11"/>
  <c r="K1392" i="11"/>
  <c r="J1392" i="11"/>
  <c r="AC313" i="11"/>
  <c r="AB313" i="11"/>
  <c r="AA313" i="11"/>
  <c r="Z313" i="11"/>
  <c r="Y313" i="11"/>
  <c r="X313" i="11"/>
  <c r="W313" i="11"/>
  <c r="V313" i="11"/>
  <c r="U313" i="11"/>
  <c r="T313" i="11"/>
  <c r="S313" i="11"/>
  <c r="R313" i="11"/>
  <c r="Q313" i="11"/>
  <c r="P313" i="11"/>
  <c r="O313" i="11"/>
  <c r="N313" i="11"/>
  <c r="M313" i="11"/>
  <c r="L313" i="11"/>
  <c r="K313" i="11"/>
  <c r="J313" i="11"/>
  <c r="AC312" i="11"/>
  <c r="AB312" i="11"/>
  <c r="AA312" i="11"/>
  <c r="Z312" i="11"/>
  <c r="Y312" i="11"/>
  <c r="X312" i="11"/>
  <c r="W312" i="11"/>
  <c r="V312" i="11"/>
  <c r="U312" i="11"/>
  <c r="T312" i="11"/>
  <c r="S312" i="11"/>
  <c r="R312" i="11"/>
  <c r="Q312" i="11"/>
  <c r="P312" i="11"/>
  <c r="O312" i="11"/>
  <c r="N312" i="11"/>
  <c r="M312" i="11"/>
  <c r="L312" i="11"/>
  <c r="K312" i="11"/>
  <c r="J312" i="11"/>
  <c r="AC1924" i="11"/>
  <c r="AB1924" i="11"/>
  <c r="AA1924" i="11"/>
  <c r="Z1924" i="11"/>
  <c r="Y1924" i="11"/>
  <c r="X1924" i="11"/>
  <c r="W1924" i="11"/>
  <c r="V1924" i="11"/>
  <c r="U1924" i="11"/>
  <c r="T1924" i="11"/>
  <c r="S1924" i="11"/>
  <c r="R1924" i="11"/>
  <c r="Q1924" i="11"/>
  <c r="P1924" i="11"/>
  <c r="O1924" i="11"/>
  <c r="N1924" i="11"/>
  <c r="M1924" i="11"/>
  <c r="L1924" i="11"/>
  <c r="K1924" i="11"/>
  <c r="J1924" i="11"/>
  <c r="AC1391" i="11"/>
  <c r="AB1391" i="11"/>
  <c r="AA1391" i="11"/>
  <c r="Z1391" i="11"/>
  <c r="Y1391" i="11"/>
  <c r="X1391" i="11"/>
  <c r="W1391" i="11"/>
  <c r="V1391" i="11"/>
  <c r="U1391" i="11"/>
  <c r="T1391" i="11"/>
  <c r="S1391" i="11"/>
  <c r="R1391" i="11"/>
  <c r="Q1391" i="11"/>
  <c r="P1391" i="11"/>
  <c r="O1391" i="11"/>
  <c r="N1391" i="11"/>
  <c r="M1391" i="11"/>
  <c r="L1391" i="11"/>
  <c r="K1391" i="11"/>
  <c r="J1391" i="11"/>
  <c r="AC1165" i="11"/>
  <c r="AB1165" i="11"/>
  <c r="AA1165" i="11"/>
  <c r="Z1165" i="11"/>
  <c r="Y1165" i="11"/>
  <c r="X1165" i="11"/>
  <c r="W1165" i="11"/>
  <c r="V1165" i="11"/>
  <c r="U1165" i="11"/>
  <c r="T1165" i="11"/>
  <c r="S1165" i="11"/>
  <c r="R1165" i="11"/>
  <c r="Q1165" i="11"/>
  <c r="P1165" i="11"/>
  <c r="O1165" i="11"/>
  <c r="N1165" i="11"/>
  <c r="M1165" i="11"/>
  <c r="L1165" i="11"/>
  <c r="K1165" i="11"/>
  <c r="J1165" i="11"/>
  <c r="AC931" i="11"/>
  <c r="AB931" i="11"/>
  <c r="AA931" i="11"/>
  <c r="Z931" i="11"/>
  <c r="Y931" i="11"/>
  <c r="X931" i="11"/>
  <c r="W931" i="11"/>
  <c r="V931" i="11"/>
  <c r="U931" i="11"/>
  <c r="T931" i="11"/>
  <c r="S931" i="11"/>
  <c r="R931" i="11"/>
  <c r="Q931" i="11"/>
  <c r="P931" i="11"/>
  <c r="O931" i="11"/>
  <c r="N931" i="11"/>
  <c r="M931" i="11"/>
  <c r="L931" i="11"/>
  <c r="K931" i="11"/>
  <c r="J931" i="11"/>
  <c r="AC272" i="11"/>
  <c r="AB272" i="11"/>
  <c r="AA272" i="11"/>
  <c r="Z272" i="11"/>
  <c r="Y272" i="11"/>
  <c r="X272" i="11"/>
  <c r="W272" i="11"/>
  <c r="V272" i="11"/>
  <c r="U272" i="11"/>
  <c r="T272" i="11"/>
  <c r="S272" i="11"/>
  <c r="R272" i="11"/>
  <c r="Q272" i="11"/>
  <c r="P272" i="11"/>
  <c r="O272" i="11"/>
  <c r="N272" i="11"/>
  <c r="M272" i="11"/>
  <c r="L272" i="11"/>
  <c r="K272" i="11"/>
  <c r="J272" i="11"/>
  <c r="AC2124" i="11"/>
  <c r="AB2124" i="11"/>
  <c r="AA2124" i="11"/>
  <c r="Z2124" i="11"/>
  <c r="Y2124" i="11"/>
  <c r="X2124" i="11"/>
  <c r="W2124" i="11"/>
  <c r="V2124" i="11"/>
  <c r="U2124" i="11"/>
  <c r="T2124" i="11"/>
  <c r="S2124" i="11"/>
  <c r="R2124" i="11"/>
  <c r="Q2124" i="11"/>
  <c r="P2124" i="11"/>
  <c r="O2124" i="11"/>
  <c r="N2124" i="11"/>
  <c r="M2124" i="11"/>
  <c r="L2124" i="11"/>
  <c r="K2124" i="11"/>
  <c r="J2124" i="11"/>
  <c r="AC618" i="11"/>
  <c r="AB618" i="11"/>
  <c r="AA618" i="11"/>
  <c r="Z618" i="11"/>
  <c r="Y618" i="11"/>
  <c r="X618" i="11"/>
  <c r="W618" i="11"/>
  <c r="V618" i="11"/>
  <c r="U618" i="11"/>
  <c r="T618" i="11"/>
  <c r="S618" i="11"/>
  <c r="R618" i="11"/>
  <c r="Q618" i="11"/>
  <c r="P618" i="11"/>
  <c r="O618" i="11"/>
  <c r="N618" i="11"/>
  <c r="M618" i="11"/>
  <c r="L618" i="11"/>
  <c r="K618" i="11"/>
  <c r="J618" i="11"/>
  <c r="AC617" i="11"/>
  <c r="AB617" i="11"/>
  <c r="AA617" i="11"/>
  <c r="Z617" i="11"/>
  <c r="Y617" i="11"/>
  <c r="X617" i="11"/>
  <c r="W617" i="11"/>
  <c r="V617" i="11"/>
  <c r="U617" i="11"/>
  <c r="T617" i="11"/>
  <c r="S617" i="11"/>
  <c r="R617" i="11"/>
  <c r="Q617" i="11"/>
  <c r="P617" i="11"/>
  <c r="O617" i="11"/>
  <c r="N617" i="11"/>
  <c r="M617" i="11"/>
  <c r="L617" i="11"/>
  <c r="K617" i="11"/>
  <c r="J617" i="11"/>
  <c r="AC1332" i="11"/>
  <c r="AB1332" i="11"/>
  <c r="AA1332" i="11"/>
  <c r="Z1332" i="11"/>
  <c r="Y1332" i="11"/>
  <c r="X1332" i="11"/>
  <c r="W1332" i="11"/>
  <c r="V1332" i="11"/>
  <c r="U1332" i="11"/>
  <c r="T1332" i="11"/>
  <c r="S1332" i="11"/>
  <c r="R1332" i="11"/>
  <c r="Q1332" i="11"/>
  <c r="P1332" i="11"/>
  <c r="O1332" i="11"/>
  <c r="N1332" i="11"/>
  <c r="M1332" i="11"/>
  <c r="L1332" i="11"/>
  <c r="K1332" i="11"/>
  <c r="J1332" i="11"/>
  <c r="AC707" i="11"/>
  <c r="AB707" i="11"/>
  <c r="AA707" i="11"/>
  <c r="Z707" i="11"/>
  <c r="Y707" i="11"/>
  <c r="X707" i="11"/>
  <c r="W707" i="11"/>
  <c r="V707" i="11"/>
  <c r="U707" i="11"/>
  <c r="T707" i="11"/>
  <c r="S707" i="11"/>
  <c r="R707" i="11"/>
  <c r="Q707" i="11"/>
  <c r="P707" i="11"/>
  <c r="O707" i="11"/>
  <c r="N707" i="11"/>
  <c r="M707" i="11"/>
  <c r="L707" i="11"/>
  <c r="K707" i="11"/>
  <c r="J707" i="11"/>
  <c r="AC2176" i="11"/>
  <c r="AB2176" i="11"/>
  <c r="AA2176" i="11"/>
  <c r="Z2176" i="11"/>
  <c r="Y2176" i="11"/>
  <c r="X2176" i="11"/>
  <c r="W2176" i="11"/>
  <c r="V2176" i="11"/>
  <c r="U2176" i="11"/>
  <c r="T2176" i="11"/>
  <c r="S2176" i="11"/>
  <c r="R2176" i="11"/>
  <c r="Q2176" i="11"/>
  <c r="P2176" i="11"/>
  <c r="O2176" i="11"/>
  <c r="N2176" i="11"/>
  <c r="M2176" i="11"/>
  <c r="L2176" i="11"/>
  <c r="K2176" i="11"/>
  <c r="J2176" i="11"/>
  <c r="AC433" i="11"/>
  <c r="AB433" i="11"/>
  <c r="AA433" i="11"/>
  <c r="Z433" i="11"/>
  <c r="Y433" i="11"/>
  <c r="X433" i="11"/>
  <c r="W433" i="11"/>
  <c r="V433" i="11"/>
  <c r="U433" i="11"/>
  <c r="T433" i="11"/>
  <c r="S433" i="11"/>
  <c r="R433" i="11"/>
  <c r="Q433" i="11"/>
  <c r="P433" i="11"/>
  <c r="O433" i="11"/>
  <c r="N433" i="11"/>
  <c r="M433" i="11"/>
  <c r="L433" i="11"/>
  <c r="K433" i="11"/>
  <c r="J433" i="11"/>
  <c r="AC2202" i="11"/>
  <c r="AB2202" i="11"/>
  <c r="AA2202" i="11"/>
  <c r="Z2202" i="11"/>
  <c r="Y2202" i="11"/>
  <c r="X2202" i="11"/>
  <c r="W2202" i="11"/>
  <c r="V2202" i="11"/>
  <c r="U2202" i="11"/>
  <c r="T2202" i="11"/>
  <c r="S2202" i="11"/>
  <c r="R2202" i="11"/>
  <c r="Q2202" i="11"/>
  <c r="P2202" i="11"/>
  <c r="O2202" i="11"/>
  <c r="N2202" i="11"/>
  <c r="M2202" i="11"/>
  <c r="L2202" i="11"/>
  <c r="K2202" i="11"/>
  <c r="J2202" i="11"/>
  <c r="AC616" i="11"/>
  <c r="AB616" i="11"/>
  <c r="AA616" i="11"/>
  <c r="Z616" i="11"/>
  <c r="Y616" i="11"/>
  <c r="X616" i="11"/>
  <c r="W616" i="11"/>
  <c r="V616" i="11"/>
  <c r="U616" i="11"/>
  <c r="T616" i="11"/>
  <c r="S616" i="11"/>
  <c r="R616" i="11"/>
  <c r="Q616" i="11"/>
  <c r="P616" i="11"/>
  <c r="O616" i="11"/>
  <c r="N616" i="11"/>
  <c r="M616" i="11"/>
  <c r="L616" i="11"/>
  <c r="K616" i="11"/>
  <c r="J616" i="11"/>
  <c r="AC1923" i="11"/>
  <c r="AB1923" i="11"/>
  <c r="AA1923" i="11"/>
  <c r="Z1923" i="11"/>
  <c r="Y1923" i="11"/>
  <c r="X1923" i="11"/>
  <c r="W1923" i="11"/>
  <c r="V1923" i="11"/>
  <c r="U1923" i="11"/>
  <c r="T1923" i="11"/>
  <c r="S1923" i="11"/>
  <c r="R1923" i="11"/>
  <c r="Q1923" i="11"/>
  <c r="P1923" i="11"/>
  <c r="O1923" i="11"/>
  <c r="N1923" i="11"/>
  <c r="M1923" i="11"/>
  <c r="L1923" i="11"/>
  <c r="K1923" i="11"/>
  <c r="J1923" i="11"/>
  <c r="AC487" i="11"/>
  <c r="AB487" i="11"/>
  <c r="AA487" i="11"/>
  <c r="Z487" i="11"/>
  <c r="Y487" i="11"/>
  <c r="X487" i="11"/>
  <c r="W487" i="11"/>
  <c r="V487" i="11"/>
  <c r="U487" i="11"/>
  <c r="T487" i="11"/>
  <c r="S487" i="11"/>
  <c r="R487" i="11"/>
  <c r="Q487" i="11"/>
  <c r="P487" i="11"/>
  <c r="O487" i="11"/>
  <c r="N487" i="11"/>
  <c r="M487" i="11"/>
  <c r="L487" i="11"/>
  <c r="K487" i="11"/>
  <c r="J487" i="11"/>
  <c r="AC1965" i="11"/>
  <c r="AB1965" i="11"/>
  <c r="AA1965" i="11"/>
  <c r="Z1965" i="11"/>
  <c r="Y1965" i="11"/>
  <c r="X1965" i="11"/>
  <c r="W1965" i="11"/>
  <c r="V1965" i="11"/>
  <c r="U1965" i="11"/>
  <c r="T1965" i="11"/>
  <c r="S1965" i="11"/>
  <c r="R1965" i="11"/>
  <c r="Q1965" i="11"/>
  <c r="P1965" i="11"/>
  <c r="O1965" i="11"/>
  <c r="N1965" i="11"/>
  <c r="M1965" i="11"/>
  <c r="L1965" i="11"/>
  <c r="K1965" i="11"/>
  <c r="J1965" i="11"/>
  <c r="AC17" i="11"/>
  <c r="AB17" i="11"/>
  <c r="AA17" i="11"/>
  <c r="Z17" i="11"/>
  <c r="Y17" i="11"/>
  <c r="X17" i="11"/>
  <c r="W17" i="11"/>
  <c r="V17" i="11"/>
  <c r="U17" i="11"/>
  <c r="T17" i="11"/>
  <c r="S17" i="11"/>
  <c r="R17" i="11"/>
  <c r="Q17" i="11"/>
  <c r="P17" i="11"/>
  <c r="O17" i="11"/>
  <c r="N17" i="11"/>
  <c r="M17" i="11"/>
  <c r="L17" i="11"/>
  <c r="K17" i="11"/>
  <c r="J17" i="11"/>
  <c r="AC2007" i="11"/>
  <c r="AB2007" i="11"/>
  <c r="AA2007" i="11"/>
  <c r="Z2007" i="11"/>
  <c r="Y2007" i="11"/>
  <c r="X2007" i="11"/>
  <c r="W2007" i="11"/>
  <c r="V2007" i="11"/>
  <c r="U2007" i="11"/>
  <c r="T2007" i="11"/>
  <c r="S2007" i="11"/>
  <c r="R2007" i="11"/>
  <c r="Q2007" i="11"/>
  <c r="P2007" i="11"/>
  <c r="O2007" i="11"/>
  <c r="N2007" i="11"/>
  <c r="M2007" i="11"/>
  <c r="L2007" i="11"/>
  <c r="K2007" i="11"/>
  <c r="J2007" i="11"/>
  <c r="AC1234" i="11"/>
  <c r="AB1234" i="11"/>
  <c r="AA1234" i="11"/>
  <c r="Z1234" i="11"/>
  <c r="Y1234" i="11"/>
  <c r="X1234" i="11"/>
  <c r="W1234" i="11"/>
  <c r="V1234" i="11"/>
  <c r="U1234" i="11"/>
  <c r="T1234" i="11"/>
  <c r="S1234" i="11"/>
  <c r="R1234" i="11"/>
  <c r="Q1234" i="11"/>
  <c r="P1234" i="11"/>
  <c r="O1234" i="11"/>
  <c r="N1234" i="11"/>
  <c r="M1234" i="11"/>
  <c r="L1234" i="11"/>
  <c r="K1234" i="11"/>
  <c r="J1234" i="11"/>
  <c r="AC195" i="11"/>
  <c r="AB195" i="11"/>
  <c r="AA195" i="11"/>
  <c r="Z195" i="11"/>
  <c r="Y195" i="11"/>
  <c r="X195" i="11"/>
  <c r="W195" i="11"/>
  <c r="V195" i="11"/>
  <c r="U195" i="11"/>
  <c r="T195" i="11"/>
  <c r="S195" i="11"/>
  <c r="R195" i="11"/>
  <c r="Q195" i="11"/>
  <c r="P195" i="11"/>
  <c r="O195" i="11"/>
  <c r="N195" i="11"/>
  <c r="M195" i="11"/>
  <c r="L195" i="11"/>
  <c r="K195" i="11"/>
  <c r="J195" i="11"/>
  <c r="AC194" i="11"/>
  <c r="AB194" i="11"/>
  <c r="AA194" i="11"/>
  <c r="Z194" i="11"/>
  <c r="Y194" i="11"/>
  <c r="X194" i="11"/>
  <c r="W194" i="11"/>
  <c r="V194" i="11"/>
  <c r="U194" i="11"/>
  <c r="T194" i="11"/>
  <c r="S194" i="11"/>
  <c r="R194" i="11"/>
  <c r="Q194" i="11"/>
  <c r="P194" i="11"/>
  <c r="O194" i="11"/>
  <c r="N194" i="11"/>
  <c r="M194" i="11"/>
  <c r="L194" i="11"/>
  <c r="K194" i="11"/>
  <c r="J194" i="11"/>
  <c r="AC1094" i="11"/>
  <c r="AB1094" i="11"/>
  <c r="AA1094" i="11"/>
  <c r="Z1094" i="11"/>
  <c r="Y1094" i="11"/>
  <c r="X1094" i="11"/>
  <c r="W1094" i="11"/>
  <c r="V1094" i="11"/>
  <c r="U1094" i="11"/>
  <c r="T1094" i="11"/>
  <c r="S1094" i="11"/>
  <c r="R1094" i="11"/>
  <c r="Q1094" i="11"/>
  <c r="P1094" i="11"/>
  <c r="O1094" i="11"/>
  <c r="N1094" i="11"/>
  <c r="M1094" i="11"/>
  <c r="L1094" i="11"/>
  <c r="K1094" i="11"/>
  <c r="J1094" i="11"/>
  <c r="AC1874" i="11"/>
  <c r="AB1874" i="11"/>
  <c r="AA1874" i="11"/>
  <c r="Z1874" i="11"/>
  <c r="Y1874" i="11"/>
  <c r="X1874" i="11"/>
  <c r="W1874" i="11"/>
  <c r="V1874" i="11"/>
  <c r="U1874" i="11"/>
  <c r="T1874" i="11"/>
  <c r="S1874" i="11"/>
  <c r="R1874" i="11"/>
  <c r="Q1874" i="11"/>
  <c r="P1874" i="11"/>
  <c r="O1874" i="11"/>
  <c r="N1874" i="11"/>
  <c r="M1874" i="11"/>
  <c r="L1874" i="11"/>
  <c r="K1874" i="11"/>
  <c r="J1874" i="11"/>
  <c r="AC228" i="11"/>
  <c r="AB228" i="11"/>
  <c r="AA228" i="11"/>
  <c r="Z228" i="11"/>
  <c r="Y228" i="11"/>
  <c r="X228" i="11"/>
  <c r="W228" i="11"/>
  <c r="V228" i="11"/>
  <c r="U228" i="11"/>
  <c r="T228" i="11"/>
  <c r="S228" i="11"/>
  <c r="R228" i="11"/>
  <c r="Q228" i="11"/>
  <c r="P228" i="11"/>
  <c r="O228" i="11"/>
  <c r="N228" i="11"/>
  <c r="M228" i="11"/>
  <c r="L228" i="11"/>
  <c r="K228" i="11"/>
  <c r="J228" i="11"/>
  <c r="AC1289" i="11"/>
  <c r="AB1289" i="11"/>
  <c r="AA1289" i="11"/>
  <c r="Z1289" i="11"/>
  <c r="Y1289" i="11"/>
  <c r="X1289" i="11"/>
  <c r="W1289" i="11"/>
  <c r="V1289" i="11"/>
  <c r="U1289" i="11"/>
  <c r="T1289" i="11"/>
  <c r="S1289" i="11"/>
  <c r="R1289" i="11"/>
  <c r="Q1289" i="11"/>
  <c r="P1289" i="11"/>
  <c r="O1289" i="11"/>
  <c r="N1289" i="11"/>
  <c r="M1289" i="11"/>
  <c r="L1289" i="11"/>
  <c r="K1289" i="11"/>
  <c r="J1289" i="11"/>
  <c r="AC2155" i="11"/>
  <c r="AB2155" i="11"/>
  <c r="AA2155" i="11"/>
  <c r="Z2155" i="11"/>
  <c r="Y2155" i="11"/>
  <c r="X2155" i="11"/>
  <c r="W2155" i="11"/>
  <c r="V2155" i="11"/>
  <c r="U2155" i="11"/>
  <c r="T2155" i="11"/>
  <c r="S2155" i="11"/>
  <c r="R2155" i="11"/>
  <c r="Q2155" i="11"/>
  <c r="P2155" i="11"/>
  <c r="O2155" i="11"/>
  <c r="N2155" i="11"/>
  <c r="M2155" i="11"/>
  <c r="L2155" i="11"/>
  <c r="K2155" i="11"/>
  <c r="J2155" i="11"/>
  <c r="AC1331" i="11"/>
  <c r="AB1331" i="11"/>
  <c r="AA1331" i="11"/>
  <c r="Z1331" i="11"/>
  <c r="Y1331" i="11"/>
  <c r="X1331" i="11"/>
  <c r="W1331" i="11"/>
  <c r="V1331" i="11"/>
  <c r="U1331" i="11"/>
  <c r="T1331" i="11"/>
  <c r="S1331" i="11"/>
  <c r="R1331" i="11"/>
  <c r="Q1331" i="11"/>
  <c r="P1331" i="11"/>
  <c r="O1331" i="11"/>
  <c r="N1331" i="11"/>
  <c r="M1331" i="11"/>
  <c r="L1331" i="11"/>
  <c r="K1331" i="11"/>
  <c r="J1331" i="11"/>
  <c r="AC1233" i="11"/>
  <c r="AB1233" i="11"/>
  <c r="AA1233" i="11"/>
  <c r="Z1233" i="11"/>
  <c r="Y1233" i="11"/>
  <c r="X1233" i="11"/>
  <c r="W1233" i="11"/>
  <c r="V1233" i="11"/>
  <c r="U1233" i="11"/>
  <c r="T1233" i="11"/>
  <c r="S1233" i="11"/>
  <c r="R1233" i="11"/>
  <c r="Q1233" i="11"/>
  <c r="P1233" i="11"/>
  <c r="O1233" i="11"/>
  <c r="N1233" i="11"/>
  <c r="M1233" i="11"/>
  <c r="L1233" i="11"/>
  <c r="K1233" i="11"/>
  <c r="J1233" i="11"/>
  <c r="AC2057" i="11"/>
  <c r="AB2057" i="11"/>
  <c r="AA2057" i="11"/>
  <c r="Z2057" i="11"/>
  <c r="Y2057" i="11"/>
  <c r="X2057" i="11"/>
  <c r="W2057" i="11"/>
  <c r="V2057" i="11"/>
  <c r="U2057" i="11"/>
  <c r="T2057" i="11"/>
  <c r="S2057" i="11"/>
  <c r="R2057" i="11"/>
  <c r="Q2057" i="11"/>
  <c r="P2057" i="11"/>
  <c r="O2057" i="11"/>
  <c r="N2057" i="11"/>
  <c r="M2057" i="11"/>
  <c r="L2057" i="11"/>
  <c r="K2057" i="11"/>
  <c r="J2057" i="11"/>
  <c r="AC392" i="11"/>
  <c r="AB392" i="11"/>
  <c r="AA392" i="11"/>
  <c r="Z392" i="11"/>
  <c r="Y392" i="11"/>
  <c r="X392" i="11"/>
  <c r="W392" i="11"/>
  <c r="V392" i="11"/>
  <c r="U392" i="11"/>
  <c r="T392" i="11"/>
  <c r="S392" i="11"/>
  <c r="R392" i="11"/>
  <c r="Q392" i="11"/>
  <c r="P392" i="11"/>
  <c r="O392" i="11"/>
  <c r="N392" i="11"/>
  <c r="M392" i="11"/>
  <c r="L392" i="11"/>
  <c r="K392" i="11"/>
  <c r="J392" i="11"/>
  <c r="AC1288" i="11"/>
  <c r="AB1288" i="11"/>
  <c r="AA1288" i="11"/>
  <c r="Z1288" i="11"/>
  <c r="Y1288" i="11"/>
  <c r="X1288" i="11"/>
  <c r="W1288" i="11"/>
  <c r="V1288" i="11"/>
  <c r="U1288" i="11"/>
  <c r="T1288" i="11"/>
  <c r="S1288" i="11"/>
  <c r="R1288" i="11"/>
  <c r="Q1288" i="11"/>
  <c r="P1288" i="11"/>
  <c r="O1288" i="11"/>
  <c r="N1288" i="11"/>
  <c r="M1288" i="11"/>
  <c r="L1288" i="11"/>
  <c r="K1288" i="11"/>
  <c r="J1288" i="11"/>
  <c r="AC1009" i="11"/>
  <c r="AB1009" i="11"/>
  <c r="AA1009" i="11"/>
  <c r="Z1009" i="11"/>
  <c r="Y1009" i="11"/>
  <c r="X1009" i="11"/>
  <c r="W1009" i="11"/>
  <c r="V1009" i="11"/>
  <c r="U1009" i="11"/>
  <c r="T1009" i="11"/>
  <c r="S1009" i="11"/>
  <c r="R1009" i="11"/>
  <c r="Q1009" i="11"/>
  <c r="P1009" i="11"/>
  <c r="O1009" i="11"/>
  <c r="N1009" i="11"/>
  <c r="M1009" i="11"/>
  <c r="L1009" i="11"/>
  <c r="K1009" i="11"/>
  <c r="J1009" i="11"/>
  <c r="AC615" i="11"/>
  <c r="AB615" i="11"/>
  <c r="AA615" i="11"/>
  <c r="Z615" i="11"/>
  <c r="Y615" i="11"/>
  <c r="X615" i="11"/>
  <c r="W615" i="11"/>
  <c r="V615" i="11"/>
  <c r="U615" i="11"/>
  <c r="T615" i="11"/>
  <c r="S615" i="11"/>
  <c r="R615" i="11"/>
  <c r="Q615" i="11"/>
  <c r="P615" i="11"/>
  <c r="O615" i="11"/>
  <c r="N615" i="11"/>
  <c r="M615" i="11"/>
  <c r="L615" i="11"/>
  <c r="K615" i="11"/>
  <c r="J615" i="11"/>
  <c r="AC1390" i="11"/>
  <c r="AB1390" i="11"/>
  <c r="AA1390" i="11"/>
  <c r="Z1390" i="11"/>
  <c r="Y1390" i="11"/>
  <c r="X1390" i="11"/>
  <c r="W1390" i="11"/>
  <c r="V1390" i="11"/>
  <c r="U1390" i="11"/>
  <c r="T1390" i="11"/>
  <c r="S1390" i="11"/>
  <c r="R1390" i="11"/>
  <c r="Q1390" i="11"/>
  <c r="P1390" i="11"/>
  <c r="O1390" i="11"/>
  <c r="N1390" i="11"/>
  <c r="M1390" i="11"/>
  <c r="L1390" i="11"/>
  <c r="K1390" i="11"/>
  <c r="J1390" i="11"/>
  <c r="AC1389" i="11"/>
  <c r="AB1389" i="11"/>
  <c r="AA1389" i="11"/>
  <c r="Z1389" i="11"/>
  <c r="Y1389" i="11"/>
  <c r="X1389" i="11"/>
  <c r="W1389" i="11"/>
  <c r="V1389" i="11"/>
  <c r="U1389" i="11"/>
  <c r="T1389" i="11"/>
  <c r="S1389" i="11"/>
  <c r="R1389" i="11"/>
  <c r="Q1389" i="11"/>
  <c r="P1389" i="11"/>
  <c r="O1389" i="11"/>
  <c r="N1389" i="11"/>
  <c r="M1389" i="11"/>
  <c r="L1389" i="11"/>
  <c r="K1389" i="11"/>
  <c r="J1389" i="11"/>
  <c r="AC930" i="11"/>
  <c r="AB930" i="11"/>
  <c r="AA930" i="11"/>
  <c r="Z930" i="11"/>
  <c r="Y930" i="11"/>
  <c r="X930" i="11"/>
  <c r="W930" i="11"/>
  <c r="V930" i="11"/>
  <c r="U930" i="11"/>
  <c r="T930" i="11"/>
  <c r="S930" i="11"/>
  <c r="R930" i="11"/>
  <c r="Q930" i="11"/>
  <c r="P930" i="11"/>
  <c r="O930" i="11"/>
  <c r="N930" i="11"/>
  <c r="M930" i="11"/>
  <c r="L930" i="11"/>
  <c r="K930" i="11"/>
  <c r="J930" i="11"/>
  <c r="AC193" i="11"/>
  <c r="AB193" i="11"/>
  <c r="AA193" i="11"/>
  <c r="Z193" i="11"/>
  <c r="Y193" i="11"/>
  <c r="X193" i="11"/>
  <c r="W193" i="11"/>
  <c r="V193" i="11"/>
  <c r="U193" i="11"/>
  <c r="T193" i="11"/>
  <c r="S193" i="11"/>
  <c r="R193" i="11"/>
  <c r="Q193" i="11"/>
  <c r="P193" i="11"/>
  <c r="O193" i="11"/>
  <c r="N193" i="11"/>
  <c r="M193" i="11"/>
  <c r="L193" i="11"/>
  <c r="K193" i="11"/>
  <c r="J193" i="11"/>
  <c r="AC1627" i="11"/>
  <c r="AB1627" i="11"/>
  <c r="AA1627" i="11"/>
  <c r="Z1627" i="11"/>
  <c r="Y1627" i="11"/>
  <c r="X1627" i="11"/>
  <c r="W1627" i="11"/>
  <c r="V1627" i="11"/>
  <c r="U1627" i="11"/>
  <c r="T1627" i="11"/>
  <c r="S1627" i="11"/>
  <c r="R1627" i="11"/>
  <c r="Q1627" i="11"/>
  <c r="P1627" i="11"/>
  <c r="O1627" i="11"/>
  <c r="N1627" i="11"/>
  <c r="M1627" i="11"/>
  <c r="L1627" i="11"/>
  <c r="K1627" i="11"/>
  <c r="J1627" i="11"/>
  <c r="AC486" i="11"/>
  <c r="AB486" i="11"/>
  <c r="AA486" i="11"/>
  <c r="Z486" i="11"/>
  <c r="Y486" i="11"/>
  <c r="X486" i="11"/>
  <c r="W486" i="11"/>
  <c r="V486" i="11"/>
  <c r="U486" i="11"/>
  <c r="T486" i="11"/>
  <c r="S486" i="11"/>
  <c r="R486" i="11"/>
  <c r="Q486" i="11"/>
  <c r="P486" i="11"/>
  <c r="O486" i="11"/>
  <c r="N486" i="11"/>
  <c r="M486" i="11"/>
  <c r="L486" i="11"/>
  <c r="K486" i="11"/>
  <c r="J486" i="11"/>
  <c r="AC2056" i="11"/>
  <c r="AB2056" i="11"/>
  <c r="AA2056" i="11"/>
  <c r="Z2056" i="11"/>
  <c r="Y2056" i="11"/>
  <c r="X2056" i="11"/>
  <c r="W2056" i="11"/>
  <c r="V2056" i="11"/>
  <c r="U2056" i="11"/>
  <c r="T2056" i="11"/>
  <c r="S2056" i="11"/>
  <c r="R2056" i="11"/>
  <c r="Q2056" i="11"/>
  <c r="P2056" i="11"/>
  <c r="O2056" i="11"/>
  <c r="N2056" i="11"/>
  <c r="M2056" i="11"/>
  <c r="L2056" i="11"/>
  <c r="K2056" i="11"/>
  <c r="J2056" i="11"/>
  <c r="AC1773" i="11"/>
  <c r="AB1773" i="11"/>
  <c r="AA1773" i="11"/>
  <c r="Z1773" i="11"/>
  <c r="Y1773" i="11"/>
  <c r="X1773" i="11"/>
  <c r="W1773" i="11"/>
  <c r="V1773" i="11"/>
  <c r="U1773" i="11"/>
  <c r="T1773" i="11"/>
  <c r="S1773" i="11"/>
  <c r="R1773" i="11"/>
  <c r="Q1773" i="11"/>
  <c r="P1773" i="11"/>
  <c r="O1773" i="11"/>
  <c r="N1773" i="11"/>
  <c r="M1773" i="11"/>
  <c r="L1773" i="11"/>
  <c r="K1773" i="11"/>
  <c r="J1773" i="11"/>
  <c r="AC851" i="11"/>
  <c r="AB851" i="11"/>
  <c r="AA851" i="11"/>
  <c r="Z851" i="11"/>
  <c r="Y851" i="11"/>
  <c r="X851" i="11"/>
  <c r="W851" i="11"/>
  <c r="V851" i="11"/>
  <c r="U851" i="11"/>
  <c r="T851" i="11"/>
  <c r="S851" i="11"/>
  <c r="R851" i="11"/>
  <c r="Q851" i="11"/>
  <c r="P851" i="11"/>
  <c r="O851" i="11"/>
  <c r="N851" i="11"/>
  <c r="M851" i="11"/>
  <c r="L851" i="11"/>
  <c r="K851" i="11"/>
  <c r="J851" i="11"/>
  <c r="AC7" i="11"/>
  <c r="AB7" i="11"/>
  <c r="AA7" i="11"/>
  <c r="Z7" i="11"/>
  <c r="Y7" i="11"/>
  <c r="X7" i="11"/>
  <c r="W7" i="11"/>
  <c r="V7" i="11"/>
  <c r="U7" i="11"/>
  <c r="T7" i="11"/>
  <c r="S7" i="11"/>
  <c r="R7" i="11"/>
  <c r="Q7" i="11"/>
  <c r="P7" i="11"/>
  <c r="O7" i="11"/>
  <c r="N7" i="11"/>
  <c r="M7" i="11"/>
  <c r="L7" i="11"/>
  <c r="K7" i="11"/>
  <c r="J7" i="11"/>
  <c r="AC1677" i="11"/>
  <c r="AB1677" i="11"/>
  <c r="AA1677" i="11"/>
  <c r="Z1677" i="11"/>
  <c r="Y1677" i="11"/>
  <c r="X1677" i="11"/>
  <c r="W1677" i="11"/>
  <c r="V1677" i="11"/>
  <c r="U1677" i="11"/>
  <c r="T1677" i="11"/>
  <c r="S1677" i="11"/>
  <c r="R1677" i="11"/>
  <c r="Q1677" i="11"/>
  <c r="P1677" i="11"/>
  <c r="O1677" i="11"/>
  <c r="N1677" i="11"/>
  <c r="M1677" i="11"/>
  <c r="L1677" i="11"/>
  <c r="K1677" i="11"/>
  <c r="J1677" i="11"/>
  <c r="AC614" i="11"/>
  <c r="AB614" i="11"/>
  <c r="AA614" i="11"/>
  <c r="Z614" i="11"/>
  <c r="Y614" i="11"/>
  <c r="X614" i="11"/>
  <c r="W614" i="11"/>
  <c r="V614" i="11"/>
  <c r="U614" i="11"/>
  <c r="T614" i="11"/>
  <c r="S614" i="11"/>
  <c r="R614" i="11"/>
  <c r="Q614" i="11"/>
  <c r="P614" i="11"/>
  <c r="O614" i="11"/>
  <c r="N614" i="11"/>
  <c r="M614" i="11"/>
  <c r="L614" i="11"/>
  <c r="K614" i="11"/>
  <c r="J614" i="11"/>
  <c r="AC1388" i="11"/>
  <c r="AB1388" i="11"/>
  <c r="AA1388" i="11"/>
  <c r="Z1388" i="11"/>
  <c r="Y1388" i="11"/>
  <c r="X1388" i="11"/>
  <c r="W1388" i="11"/>
  <c r="V1388" i="11"/>
  <c r="U1388" i="11"/>
  <c r="T1388" i="11"/>
  <c r="S1388" i="11"/>
  <c r="R1388" i="11"/>
  <c r="Q1388" i="11"/>
  <c r="P1388" i="11"/>
  <c r="O1388" i="11"/>
  <c r="N1388" i="11"/>
  <c r="M1388" i="11"/>
  <c r="L1388" i="11"/>
  <c r="K1388" i="11"/>
  <c r="J1388" i="11"/>
  <c r="AC1676" i="11"/>
  <c r="AB1676" i="11"/>
  <c r="AA1676" i="11"/>
  <c r="Z1676" i="11"/>
  <c r="Y1676" i="11"/>
  <c r="X1676" i="11"/>
  <c r="W1676" i="11"/>
  <c r="V1676" i="11"/>
  <c r="U1676" i="11"/>
  <c r="T1676" i="11"/>
  <c r="S1676" i="11"/>
  <c r="R1676" i="11"/>
  <c r="Q1676" i="11"/>
  <c r="P1676" i="11"/>
  <c r="O1676" i="11"/>
  <c r="N1676" i="11"/>
  <c r="M1676" i="11"/>
  <c r="L1676" i="11"/>
  <c r="K1676" i="11"/>
  <c r="J1676" i="11"/>
  <c r="AC1675" i="11"/>
  <c r="AB1675" i="11"/>
  <c r="AA1675" i="11"/>
  <c r="Z1675" i="11"/>
  <c r="Y1675" i="11"/>
  <c r="X1675" i="11"/>
  <c r="W1675" i="11"/>
  <c r="V1675" i="11"/>
  <c r="U1675" i="11"/>
  <c r="T1675" i="11"/>
  <c r="S1675" i="11"/>
  <c r="R1675" i="11"/>
  <c r="Q1675" i="11"/>
  <c r="P1675" i="11"/>
  <c r="O1675" i="11"/>
  <c r="N1675" i="11"/>
  <c r="M1675" i="11"/>
  <c r="L1675" i="11"/>
  <c r="K1675" i="11"/>
  <c r="J1675" i="11"/>
  <c r="AC1816" i="11"/>
  <c r="AB1816" i="11"/>
  <c r="AA1816" i="11"/>
  <c r="Z1816" i="11"/>
  <c r="Y1816" i="11"/>
  <c r="X1816" i="11"/>
  <c r="W1816" i="11"/>
  <c r="V1816" i="11"/>
  <c r="U1816" i="11"/>
  <c r="T1816" i="11"/>
  <c r="S1816" i="11"/>
  <c r="R1816" i="11"/>
  <c r="Q1816" i="11"/>
  <c r="P1816" i="11"/>
  <c r="O1816" i="11"/>
  <c r="N1816" i="11"/>
  <c r="M1816" i="11"/>
  <c r="L1816" i="11"/>
  <c r="K1816" i="11"/>
  <c r="J1816" i="11"/>
  <c r="AC485" i="11"/>
  <c r="AB485" i="11"/>
  <c r="AA485" i="11"/>
  <c r="Z485" i="11"/>
  <c r="Y485" i="11"/>
  <c r="X485" i="11"/>
  <c r="W485" i="11"/>
  <c r="V485" i="11"/>
  <c r="U485" i="11"/>
  <c r="T485" i="11"/>
  <c r="S485" i="11"/>
  <c r="R485" i="11"/>
  <c r="Q485" i="11"/>
  <c r="P485" i="11"/>
  <c r="O485" i="11"/>
  <c r="N485" i="11"/>
  <c r="M485" i="11"/>
  <c r="L485" i="11"/>
  <c r="K485" i="11"/>
  <c r="J485" i="11"/>
  <c r="AC1549" i="11"/>
  <c r="AB1549" i="11"/>
  <c r="AA1549" i="11"/>
  <c r="Z1549" i="11"/>
  <c r="Y1549" i="11"/>
  <c r="X1549" i="11"/>
  <c r="W1549" i="11"/>
  <c r="V1549" i="11"/>
  <c r="U1549" i="11"/>
  <c r="T1549" i="11"/>
  <c r="S1549" i="11"/>
  <c r="R1549" i="11"/>
  <c r="Q1549" i="11"/>
  <c r="P1549" i="11"/>
  <c r="O1549" i="11"/>
  <c r="N1549" i="11"/>
  <c r="M1549" i="11"/>
  <c r="L1549" i="11"/>
  <c r="K1549" i="11"/>
  <c r="J1549" i="11"/>
  <c r="AC781" i="11"/>
  <c r="AB781" i="11"/>
  <c r="AA781" i="11"/>
  <c r="Z781" i="11"/>
  <c r="Y781" i="11"/>
  <c r="X781" i="11"/>
  <c r="W781" i="11"/>
  <c r="V781" i="11"/>
  <c r="U781" i="11"/>
  <c r="T781" i="11"/>
  <c r="S781" i="11"/>
  <c r="R781" i="11"/>
  <c r="Q781" i="11"/>
  <c r="P781" i="11"/>
  <c r="O781" i="11"/>
  <c r="N781" i="11"/>
  <c r="M781" i="11"/>
  <c r="L781" i="11"/>
  <c r="K781" i="11"/>
  <c r="J781" i="11"/>
  <c r="AC1387" i="11"/>
  <c r="AB1387" i="11"/>
  <c r="AA1387" i="11"/>
  <c r="Z1387" i="11"/>
  <c r="Y1387" i="11"/>
  <c r="X1387" i="11"/>
  <c r="W1387" i="11"/>
  <c r="V1387" i="11"/>
  <c r="U1387" i="11"/>
  <c r="T1387" i="11"/>
  <c r="S1387" i="11"/>
  <c r="R1387" i="11"/>
  <c r="Q1387" i="11"/>
  <c r="P1387" i="11"/>
  <c r="O1387" i="11"/>
  <c r="N1387" i="11"/>
  <c r="M1387" i="11"/>
  <c r="L1387" i="11"/>
  <c r="K1387" i="11"/>
  <c r="J1387" i="11"/>
  <c r="AC1008" i="11"/>
  <c r="AB1008" i="11"/>
  <c r="AA1008" i="11"/>
  <c r="Z1008" i="11"/>
  <c r="Y1008" i="11"/>
  <c r="X1008" i="11"/>
  <c r="W1008" i="11"/>
  <c r="V1008" i="11"/>
  <c r="U1008" i="11"/>
  <c r="T1008" i="11"/>
  <c r="S1008" i="11"/>
  <c r="R1008" i="11"/>
  <c r="Q1008" i="11"/>
  <c r="P1008" i="11"/>
  <c r="O1008" i="11"/>
  <c r="N1008" i="11"/>
  <c r="M1008" i="11"/>
  <c r="L1008" i="11"/>
  <c r="K1008" i="11"/>
  <c r="J1008" i="11"/>
  <c r="AC2201" i="11"/>
  <c r="AB2201" i="11"/>
  <c r="AA2201" i="11"/>
  <c r="Z2201" i="11"/>
  <c r="Y2201" i="11"/>
  <c r="X2201" i="11"/>
  <c r="W2201" i="11"/>
  <c r="V2201" i="11"/>
  <c r="U2201" i="11"/>
  <c r="T2201" i="11"/>
  <c r="S2201" i="11"/>
  <c r="R2201" i="11"/>
  <c r="Q2201" i="11"/>
  <c r="P2201" i="11"/>
  <c r="O2201" i="11"/>
  <c r="N2201" i="11"/>
  <c r="M2201" i="11"/>
  <c r="L2201" i="11"/>
  <c r="K2201" i="11"/>
  <c r="J2201" i="11"/>
  <c r="AC1386" i="11"/>
  <c r="AB1386" i="11"/>
  <c r="AA1386" i="11"/>
  <c r="Z1386" i="11"/>
  <c r="Y1386" i="11"/>
  <c r="X1386" i="11"/>
  <c r="W1386" i="11"/>
  <c r="V1386" i="11"/>
  <c r="U1386" i="11"/>
  <c r="T1386" i="11"/>
  <c r="S1386" i="11"/>
  <c r="R1386" i="11"/>
  <c r="Q1386" i="11"/>
  <c r="P1386" i="11"/>
  <c r="O1386" i="11"/>
  <c r="N1386" i="11"/>
  <c r="M1386" i="11"/>
  <c r="L1386" i="11"/>
  <c r="K1386" i="11"/>
  <c r="J1386" i="11"/>
  <c r="AC432" i="11"/>
  <c r="AB432" i="11"/>
  <c r="AA432" i="11"/>
  <c r="Z432" i="11"/>
  <c r="Y432" i="11"/>
  <c r="X432" i="11"/>
  <c r="W432" i="11"/>
  <c r="V432" i="11"/>
  <c r="U432" i="11"/>
  <c r="T432" i="11"/>
  <c r="S432" i="11"/>
  <c r="R432" i="11"/>
  <c r="Q432" i="11"/>
  <c r="P432" i="11"/>
  <c r="O432" i="11"/>
  <c r="N432" i="11"/>
  <c r="M432" i="11"/>
  <c r="L432" i="11"/>
  <c r="K432" i="11"/>
  <c r="J432" i="11"/>
  <c r="AC1548" i="11"/>
  <c r="AB1548" i="11"/>
  <c r="AA1548" i="11"/>
  <c r="Z1548" i="11"/>
  <c r="Y1548" i="11"/>
  <c r="X1548" i="11"/>
  <c r="W1548" i="11"/>
  <c r="V1548" i="11"/>
  <c r="U1548" i="11"/>
  <c r="T1548" i="11"/>
  <c r="S1548" i="11"/>
  <c r="R1548" i="11"/>
  <c r="Q1548" i="11"/>
  <c r="P1548" i="11"/>
  <c r="O1548" i="11"/>
  <c r="N1548" i="11"/>
  <c r="M1548" i="11"/>
  <c r="L1548" i="11"/>
  <c r="K1548" i="11"/>
  <c r="J1548" i="11"/>
  <c r="AC1729" i="11"/>
  <c r="AB1729" i="11"/>
  <c r="AA1729" i="11"/>
  <c r="Z1729" i="11"/>
  <c r="Y1729" i="11"/>
  <c r="X1729" i="11"/>
  <c r="W1729" i="11"/>
  <c r="V1729" i="11"/>
  <c r="U1729" i="11"/>
  <c r="T1729" i="11"/>
  <c r="S1729" i="11"/>
  <c r="R1729" i="11"/>
  <c r="Q1729" i="11"/>
  <c r="P1729" i="11"/>
  <c r="O1729" i="11"/>
  <c r="N1729" i="11"/>
  <c r="M1729" i="11"/>
  <c r="L1729" i="11"/>
  <c r="K1729" i="11"/>
  <c r="J1729" i="11"/>
  <c r="AC1674" i="11"/>
  <c r="AB1674" i="11"/>
  <c r="AA1674" i="11"/>
  <c r="Z1674" i="11"/>
  <c r="Y1674" i="11"/>
  <c r="X1674" i="11"/>
  <c r="W1674" i="11"/>
  <c r="V1674" i="11"/>
  <c r="U1674" i="11"/>
  <c r="T1674" i="11"/>
  <c r="S1674" i="11"/>
  <c r="R1674" i="11"/>
  <c r="Q1674" i="11"/>
  <c r="P1674" i="11"/>
  <c r="O1674" i="11"/>
  <c r="N1674" i="11"/>
  <c r="M1674" i="11"/>
  <c r="L1674" i="11"/>
  <c r="K1674" i="11"/>
  <c r="J1674" i="11"/>
  <c r="AC1007" i="11"/>
  <c r="AB1007" i="11"/>
  <c r="AA1007" i="11"/>
  <c r="Z1007" i="11"/>
  <c r="Y1007" i="11"/>
  <c r="X1007" i="11"/>
  <c r="W1007" i="11"/>
  <c r="V1007" i="11"/>
  <c r="U1007" i="11"/>
  <c r="T1007" i="11"/>
  <c r="S1007" i="11"/>
  <c r="R1007" i="11"/>
  <c r="Q1007" i="11"/>
  <c r="P1007" i="11"/>
  <c r="O1007" i="11"/>
  <c r="N1007" i="11"/>
  <c r="M1007" i="11"/>
  <c r="L1007" i="11"/>
  <c r="K1007" i="11"/>
  <c r="J1007" i="11"/>
  <c r="AC1006" i="11"/>
  <c r="AB1006" i="11"/>
  <c r="AA1006" i="11"/>
  <c r="Z1006" i="11"/>
  <c r="Y1006" i="11"/>
  <c r="X1006" i="11"/>
  <c r="W1006" i="11"/>
  <c r="V1006" i="11"/>
  <c r="U1006" i="11"/>
  <c r="T1006" i="11"/>
  <c r="S1006" i="11"/>
  <c r="R1006" i="11"/>
  <c r="Q1006" i="11"/>
  <c r="P1006" i="11"/>
  <c r="O1006" i="11"/>
  <c r="N1006" i="11"/>
  <c r="M1006" i="11"/>
  <c r="L1006" i="11"/>
  <c r="K1006" i="11"/>
  <c r="J1006" i="11"/>
  <c r="AC484" i="11"/>
  <c r="AB484" i="11"/>
  <c r="AA484" i="11"/>
  <c r="Z484" i="11"/>
  <c r="Y484" i="11"/>
  <c r="X484" i="11"/>
  <c r="W484" i="11"/>
  <c r="V484" i="11"/>
  <c r="U484" i="11"/>
  <c r="T484" i="11"/>
  <c r="S484" i="11"/>
  <c r="R484" i="11"/>
  <c r="Q484" i="11"/>
  <c r="P484" i="11"/>
  <c r="O484" i="11"/>
  <c r="N484" i="11"/>
  <c r="M484" i="11"/>
  <c r="L484" i="11"/>
  <c r="K484" i="11"/>
  <c r="J484" i="11"/>
  <c r="AC311" i="11"/>
  <c r="AB311" i="11"/>
  <c r="AA311" i="11"/>
  <c r="Z311" i="11"/>
  <c r="Y311" i="11"/>
  <c r="X311" i="11"/>
  <c r="W311" i="11"/>
  <c r="V311" i="11"/>
  <c r="U311" i="11"/>
  <c r="T311" i="11"/>
  <c r="S311" i="11"/>
  <c r="R311" i="11"/>
  <c r="Q311" i="11"/>
  <c r="P311" i="11"/>
  <c r="O311" i="11"/>
  <c r="N311" i="11"/>
  <c r="M311" i="11"/>
  <c r="L311" i="11"/>
  <c r="K311" i="11"/>
  <c r="J311" i="11"/>
  <c r="AC310" i="11"/>
  <c r="AB310" i="11"/>
  <c r="AA310" i="11"/>
  <c r="Z310" i="11"/>
  <c r="Y310" i="11"/>
  <c r="X310" i="11"/>
  <c r="W310" i="11"/>
  <c r="V310" i="11"/>
  <c r="U310" i="11"/>
  <c r="T310" i="11"/>
  <c r="S310" i="11"/>
  <c r="R310" i="11"/>
  <c r="Q310" i="11"/>
  <c r="P310" i="11"/>
  <c r="O310" i="11"/>
  <c r="N310" i="11"/>
  <c r="M310" i="11"/>
  <c r="L310" i="11"/>
  <c r="K310" i="11"/>
  <c r="J310" i="11"/>
  <c r="AC562" i="11"/>
  <c r="AB562" i="11"/>
  <c r="AA562" i="11"/>
  <c r="Z562" i="11"/>
  <c r="Y562" i="11"/>
  <c r="X562" i="11"/>
  <c r="W562" i="11"/>
  <c r="V562" i="11"/>
  <c r="U562" i="11"/>
  <c r="T562" i="11"/>
  <c r="S562" i="11"/>
  <c r="R562" i="11"/>
  <c r="Q562" i="11"/>
  <c r="P562" i="11"/>
  <c r="O562" i="11"/>
  <c r="N562" i="11"/>
  <c r="M562" i="11"/>
  <c r="L562" i="11"/>
  <c r="K562" i="11"/>
  <c r="J562" i="11"/>
  <c r="AC1815" i="11"/>
  <c r="AB1815" i="11"/>
  <c r="AA1815" i="11"/>
  <c r="Z1815" i="11"/>
  <c r="Y1815" i="11"/>
  <c r="X1815" i="11"/>
  <c r="W1815" i="11"/>
  <c r="V1815" i="11"/>
  <c r="U1815" i="11"/>
  <c r="T1815" i="11"/>
  <c r="S1815" i="11"/>
  <c r="R1815" i="11"/>
  <c r="Q1815" i="11"/>
  <c r="P1815" i="11"/>
  <c r="O1815" i="11"/>
  <c r="N1815" i="11"/>
  <c r="M1815" i="11"/>
  <c r="L1815" i="11"/>
  <c r="K1815" i="11"/>
  <c r="J1815" i="11"/>
  <c r="AC159" i="11"/>
  <c r="AB159" i="11"/>
  <c r="AA159" i="11"/>
  <c r="Z159" i="11"/>
  <c r="Y159" i="11"/>
  <c r="X159" i="11"/>
  <c r="W159" i="11"/>
  <c r="V159" i="11"/>
  <c r="U159" i="11"/>
  <c r="T159" i="11"/>
  <c r="S159" i="11"/>
  <c r="R159" i="11"/>
  <c r="Q159" i="11"/>
  <c r="P159" i="11"/>
  <c r="O159" i="11"/>
  <c r="N159" i="11"/>
  <c r="M159" i="11"/>
  <c r="L159" i="11"/>
  <c r="K159" i="11"/>
  <c r="J159" i="11"/>
  <c r="AC158" i="11"/>
  <c r="AB158" i="11"/>
  <c r="AA158" i="11"/>
  <c r="Z158" i="11"/>
  <c r="Y158" i="11"/>
  <c r="X158" i="11"/>
  <c r="W158" i="11"/>
  <c r="V158" i="11"/>
  <c r="U158" i="11"/>
  <c r="T158" i="11"/>
  <c r="S158" i="11"/>
  <c r="R158" i="11"/>
  <c r="Q158" i="11"/>
  <c r="P158" i="11"/>
  <c r="O158" i="11"/>
  <c r="N158" i="11"/>
  <c r="M158" i="11"/>
  <c r="L158" i="11"/>
  <c r="K158" i="11"/>
  <c r="J158" i="11"/>
  <c r="AC1728" i="11"/>
  <c r="AB1728" i="11"/>
  <c r="AA1728" i="11"/>
  <c r="Z1728" i="11"/>
  <c r="Y1728" i="11"/>
  <c r="X1728" i="11"/>
  <c r="W1728" i="11"/>
  <c r="V1728" i="11"/>
  <c r="U1728" i="11"/>
  <c r="T1728" i="11"/>
  <c r="S1728" i="11"/>
  <c r="R1728" i="11"/>
  <c r="Q1728" i="11"/>
  <c r="P1728" i="11"/>
  <c r="O1728" i="11"/>
  <c r="N1728" i="11"/>
  <c r="M1728" i="11"/>
  <c r="L1728" i="11"/>
  <c r="K1728" i="11"/>
  <c r="J1728" i="11"/>
  <c r="AC2055" i="11"/>
  <c r="AB2055" i="11"/>
  <c r="AA2055" i="11"/>
  <c r="Z2055" i="11"/>
  <c r="Y2055" i="11"/>
  <c r="X2055" i="11"/>
  <c r="W2055" i="11"/>
  <c r="V2055" i="11"/>
  <c r="U2055" i="11"/>
  <c r="T2055" i="11"/>
  <c r="S2055" i="11"/>
  <c r="R2055" i="11"/>
  <c r="Q2055" i="11"/>
  <c r="P2055" i="11"/>
  <c r="O2055" i="11"/>
  <c r="N2055" i="11"/>
  <c r="M2055" i="11"/>
  <c r="L2055" i="11"/>
  <c r="K2055" i="11"/>
  <c r="J2055" i="11"/>
  <c r="AC1005" i="11"/>
  <c r="AB1005" i="11"/>
  <c r="AA1005" i="11"/>
  <c r="Z1005" i="11"/>
  <c r="Y1005" i="11"/>
  <c r="X1005" i="11"/>
  <c r="W1005" i="11"/>
  <c r="V1005" i="11"/>
  <c r="U1005" i="11"/>
  <c r="T1005" i="11"/>
  <c r="S1005" i="11"/>
  <c r="R1005" i="11"/>
  <c r="Q1005" i="11"/>
  <c r="P1005" i="11"/>
  <c r="O1005" i="11"/>
  <c r="N1005" i="11"/>
  <c r="M1005" i="11"/>
  <c r="L1005" i="11"/>
  <c r="K1005" i="11"/>
  <c r="J1005" i="11"/>
  <c r="AC1547" i="11"/>
  <c r="AB1547" i="11"/>
  <c r="AA1547" i="11"/>
  <c r="Z1547" i="11"/>
  <c r="Y1547" i="11"/>
  <c r="X1547" i="11"/>
  <c r="W1547" i="11"/>
  <c r="V1547" i="11"/>
  <c r="U1547" i="11"/>
  <c r="T1547" i="11"/>
  <c r="S1547" i="11"/>
  <c r="R1547" i="11"/>
  <c r="Q1547" i="11"/>
  <c r="P1547" i="11"/>
  <c r="O1547" i="11"/>
  <c r="N1547" i="11"/>
  <c r="M1547" i="11"/>
  <c r="L1547" i="11"/>
  <c r="K1547" i="11"/>
  <c r="J1547" i="11"/>
  <c r="AC2123" i="11"/>
  <c r="AB2123" i="11"/>
  <c r="AA2123" i="11"/>
  <c r="Z2123" i="11"/>
  <c r="Y2123" i="11"/>
  <c r="X2123" i="11"/>
  <c r="W2123" i="11"/>
  <c r="V2123" i="11"/>
  <c r="U2123" i="11"/>
  <c r="T2123" i="11"/>
  <c r="S2123" i="11"/>
  <c r="R2123" i="11"/>
  <c r="Q2123" i="11"/>
  <c r="P2123" i="11"/>
  <c r="O2123" i="11"/>
  <c r="N2123" i="11"/>
  <c r="M2123" i="11"/>
  <c r="L2123" i="11"/>
  <c r="K2123" i="11"/>
  <c r="J2123" i="11"/>
  <c r="AC431" i="11"/>
  <c r="AB431" i="11"/>
  <c r="AA431" i="11"/>
  <c r="Z431" i="11"/>
  <c r="Y431" i="11"/>
  <c r="X431" i="11"/>
  <c r="W431" i="11"/>
  <c r="V431" i="11"/>
  <c r="U431" i="11"/>
  <c r="T431" i="11"/>
  <c r="S431" i="11"/>
  <c r="R431" i="11"/>
  <c r="Q431" i="11"/>
  <c r="P431" i="11"/>
  <c r="O431" i="11"/>
  <c r="N431" i="11"/>
  <c r="M431" i="11"/>
  <c r="L431" i="11"/>
  <c r="K431" i="11"/>
  <c r="J431" i="11"/>
  <c r="AC352" i="11"/>
  <c r="AB352" i="11"/>
  <c r="AA352" i="11"/>
  <c r="Z352" i="11"/>
  <c r="Y352" i="11"/>
  <c r="X352" i="11"/>
  <c r="W352" i="11"/>
  <c r="V352" i="11"/>
  <c r="U352" i="11"/>
  <c r="T352" i="11"/>
  <c r="S352" i="11"/>
  <c r="R352" i="11"/>
  <c r="Q352" i="11"/>
  <c r="P352" i="11"/>
  <c r="O352" i="11"/>
  <c r="N352" i="11"/>
  <c r="M352" i="11"/>
  <c r="L352" i="11"/>
  <c r="K352" i="11"/>
  <c r="J352" i="11"/>
  <c r="AC1922" i="11"/>
  <c r="AB1922" i="11"/>
  <c r="AA1922" i="11"/>
  <c r="Z1922" i="11"/>
  <c r="Y1922" i="11"/>
  <c r="X1922" i="11"/>
  <c r="W1922" i="11"/>
  <c r="V1922" i="11"/>
  <c r="U1922" i="11"/>
  <c r="T1922" i="11"/>
  <c r="S1922" i="11"/>
  <c r="R1922" i="11"/>
  <c r="Q1922" i="11"/>
  <c r="P1922" i="11"/>
  <c r="O1922" i="11"/>
  <c r="N1922" i="11"/>
  <c r="M1922" i="11"/>
  <c r="L1922" i="11"/>
  <c r="K1922" i="11"/>
  <c r="J1922" i="11"/>
  <c r="AC1921" i="11"/>
  <c r="AB1921" i="11"/>
  <c r="AA1921" i="11"/>
  <c r="Z1921" i="11"/>
  <c r="Y1921" i="11"/>
  <c r="X1921" i="11"/>
  <c r="W1921" i="11"/>
  <c r="V1921" i="11"/>
  <c r="U1921" i="11"/>
  <c r="T1921" i="11"/>
  <c r="S1921" i="11"/>
  <c r="R1921" i="11"/>
  <c r="Q1921" i="11"/>
  <c r="P1921" i="11"/>
  <c r="O1921" i="11"/>
  <c r="N1921" i="11"/>
  <c r="M1921" i="11"/>
  <c r="L1921" i="11"/>
  <c r="K1921" i="11"/>
  <c r="J1921" i="11"/>
  <c r="AC780" i="11"/>
  <c r="AB780" i="11"/>
  <c r="AA780" i="11"/>
  <c r="Z780" i="11"/>
  <c r="Y780" i="11"/>
  <c r="X780" i="11"/>
  <c r="W780" i="11"/>
  <c r="V780" i="11"/>
  <c r="U780" i="11"/>
  <c r="T780" i="11"/>
  <c r="S780" i="11"/>
  <c r="R780" i="11"/>
  <c r="Q780" i="11"/>
  <c r="P780" i="11"/>
  <c r="O780" i="11"/>
  <c r="N780" i="11"/>
  <c r="M780" i="11"/>
  <c r="L780" i="11"/>
  <c r="K780" i="11"/>
  <c r="J780" i="11"/>
  <c r="AC561" i="11"/>
  <c r="AB561" i="11"/>
  <c r="AA561" i="11"/>
  <c r="Z561" i="11"/>
  <c r="Y561" i="11"/>
  <c r="X561" i="11"/>
  <c r="W561" i="11"/>
  <c r="V561" i="11"/>
  <c r="U561" i="11"/>
  <c r="T561" i="11"/>
  <c r="S561" i="11"/>
  <c r="R561" i="11"/>
  <c r="Q561" i="11"/>
  <c r="P561" i="11"/>
  <c r="O561" i="11"/>
  <c r="N561" i="11"/>
  <c r="M561" i="11"/>
  <c r="L561" i="11"/>
  <c r="K561" i="11"/>
  <c r="J561" i="11"/>
  <c r="AC483" i="11"/>
  <c r="AB483" i="11"/>
  <c r="AA483" i="11"/>
  <c r="Z483" i="11"/>
  <c r="Y483" i="11"/>
  <c r="X483" i="11"/>
  <c r="W483" i="11"/>
  <c r="V483" i="11"/>
  <c r="U483" i="11"/>
  <c r="T483" i="11"/>
  <c r="S483" i="11"/>
  <c r="R483" i="11"/>
  <c r="Q483" i="11"/>
  <c r="P483" i="11"/>
  <c r="O483" i="11"/>
  <c r="N483" i="11"/>
  <c r="M483" i="11"/>
  <c r="L483" i="11"/>
  <c r="K483" i="11"/>
  <c r="J483" i="11"/>
  <c r="AC1385" i="11"/>
  <c r="AB1385" i="11"/>
  <c r="AA1385" i="11"/>
  <c r="Z1385" i="11"/>
  <c r="Y1385" i="11"/>
  <c r="X1385" i="11"/>
  <c r="W1385" i="11"/>
  <c r="V1385" i="11"/>
  <c r="U1385" i="11"/>
  <c r="T1385" i="11"/>
  <c r="S1385" i="11"/>
  <c r="R1385" i="11"/>
  <c r="Q1385" i="11"/>
  <c r="P1385" i="11"/>
  <c r="O1385" i="11"/>
  <c r="N1385" i="11"/>
  <c r="M1385" i="11"/>
  <c r="L1385" i="11"/>
  <c r="K1385" i="11"/>
  <c r="J1385" i="11"/>
  <c r="AC1546" i="11"/>
  <c r="AB1546" i="11"/>
  <c r="AA1546" i="11"/>
  <c r="Z1546" i="11"/>
  <c r="Y1546" i="11"/>
  <c r="X1546" i="11"/>
  <c r="W1546" i="11"/>
  <c r="V1546" i="11"/>
  <c r="U1546" i="11"/>
  <c r="T1546" i="11"/>
  <c r="S1546" i="11"/>
  <c r="R1546" i="11"/>
  <c r="Q1546" i="11"/>
  <c r="P1546" i="11"/>
  <c r="O1546" i="11"/>
  <c r="N1546" i="11"/>
  <c r="M1546" i="11"/>
  <c r="L1546" i="11"/>
  <c r="K1546" i="11"/>
  <c r="J1546" i="11"/>
  <c r="AC2006" i="11"/>
  <c r="AB2006" i="11"/>
  <c r="AA2006" i="11"/>
  <c r="Z2006" i="11"/>
  <c r="Y2006" i="11"/>
  <c r="X2006" i="11"/>
  <c r="W2006" i="11"/>
  <c r="V2006" i="11"/>
  <c r="U2006" i="11"/>
  <c r="T2006" i="11"/>
  <c r="S2006" i="11"/>
  <c r="R2006" i="11"/>
  <c r="Q2006" i="11"/>
  <c r="P2006" i="11"/>
  <c r="O2006" i="11"/>
  <c r="N2006" i="11"/>
  <c r="M2006" i="11"/>
  <c r="L2006" i="11"/>
  <c r="K2006" i="11"/>
  <c r="J2006" i="11"/>
  <c r="AC1004" i="11"/>
  <c r="AB1004" i="11"/>
  <c r="AA1004" i="11"/>
  <c r="Z1004" i="11"/>
  <c r="Y1004" i="11"/>
  <c r="X1004" i="11"/>
  <c r="W1004" i="11"/>
  <c r="V1004" i="11"/>
  <c r="U1004" i="11"/>
  <c r="T1004" i="11"/>
  <c r="S1004" i="11"/>
  <c r="R1004" i="11"/>
  <c r="Q1004" i="11"/>
  <c r="P1004" i="11"/>
  <c r="O1004" i="11"/>
  <c r="N1004" i="11"/>
  <c r="M1004" i="11"/>
  <c r="L1004" i="11"/>
  <c r="K1004" i="11"/>
  <c r="J1004" i="11"/>
  <c r="AC2054" i="11"/>
  <c r="AB2054" i="11"/>
  <c r="AA2054" i="11"/>
  <c r="Z2054" i="11"/>
  <c r="Y2054" i="11"/>
  <c r="X2054" i="11"/>
  <c r="W2054" i="11"/>
  <c r="V2054" i="11"/>
  <c r="U2054" i="11"/>
  <c r="T2054" i="11"/>
  <c r="S2054" i="11"/>
  <c r="R2054" i="11"/>
  <c r="Q2054" i="11"/>
  <c r="P2054" i="11"/>
  <c r="O2054" i="11"/>
  <c r="N2054" i="11"/>
  <c r="M2054" i="11"/>
  <c r="L2054" i="11"/>
  <c r="K2054" i="11"/>
  <c r="J2054" i="11"/>
  <c r="AC2122" i="11"/>
  <c r="AB2122" i="11"/>
  <c r="AA2122" i="11"/>
  <c r="Z2122" i="11"/>
  <c r="Y2122" i="11"/>
  <c r="X2122" i="11"/>
  <c r="W2122" i="11"/>
  <c r="V2122" i="11"/>
  <c r="U2122" i="11"/>
  <c r="T2122" i="11"/>
  <c r="S2122" i="11"/>
  <c r="R2122" i="11"/>
  <c r="Q2122" i="11"/>
  <c r="P2122" i="11"/>
  <c r="O2122" i="11"/>
  <c r="N2122" i="11"/>
  <c r="M2122" i="11"/>
  <c r="L2122" i="11"/>
  <c r="K2122" i="11"/>
  <c r="J2122" i="11"/>
  <c r="AC613" i="11"/>
  <c r="AB613" i="11"/>
  <c r="AA613" i="11"/>
  <c r="Z613" i="11"/>
  <c r="Y613" i="11"/>
  <c r="X613" i="11"/>
  <c r="W613" i="11"/>
  <c r="V613" i="11"/>
  <c r="U613" i="11"/>
  <c r="T613" i="11"/>
  <c r="S613" i="11"/>
  <c r="R613" i="11"/>
  <c r="Q613" i="11"/>
  <c r="P613" i="11"/>
  <c r="O613" i="11"/>
  <c r="N613" i="11"/>
  <c r="M613" i="11"/>
  <c r="L613" i="11"/>
  <c r="K613" i="11"/>
  <c r="J613" i="11"/>
  <c r="AC612" i="11"/>
  <c r="AB612" i="11"/>
  <c r="AA612" i="11"/>
  <c r="Z612" i="11"/>
  <c r="Y612" i="11"/>
  <c r="X612" i="11"/>
  <c r="W612" i="11"/>
  <c r="V612" i="11"/>
  <c r="U612" i="11"/>
  <c r="T612" i="11"/>
  <c r="S612" i="11"/>
  <c r="R612" i="11"/>
  <c r="Q612" i="11"/>
  <c r="P612" i="11"/>
  <c r="O612" i="11"/>
  <c r="N612" i="11"/>
  <c r="M612" i="11"/>
  <c r="L612" i="11"/>
  <c r="K612" i="11"/>
  <c r="J612" i="11"/>
  <c r="AC16" i="11"/>
  <c r="AB16" i="11"/>
  <c r="AA16" i="11"/>
  <c r="Z16" i="11"/>
  <c r="Y16" i="11"/>
  <c r="X16" i="11"/>
  <c r="W16" i="11"/>
  <c r="V16" i="11"/>
  <c r="U16" i="11"/>
  <c r="T16" i="11"/>
  <c r="S16" i="11"/>
  <c r="R16" i="11"/>
  <c r="Q16" i="11"/>
  <c r="P16" i="11"/>
  <c r="O16" i="11"/>
  <c r="N16" i="11"/>
  <c r="M16" i="11"/>
  <c r="L16" i="11"/>
  <c r="K16" i="11"/>
  <c r="J16" i="11"/>
  <c r="AC1164" i="11"/>
  <c r="AB1164" i="11"/>
  <c r="AA1164" i="11"/>
  <c r="Z1164" i="11"/>
  <c r="Y1164" i="11"/>
  <c r="X1164" i="11"/>
  <c r="W1164" i="11"/>
  <c r="V1164" i="11"/>
  <c r="U1164" i="11"/>
  <c r="T1164" i="11"/>
  <c r="S1164" i="11"/>
  <c r="R1164" i="11"/>
  <c r="Q1164" i="11"/>
  <c r="P1164" i="11"/>
  <c r="O1164" i="11"/>
  <c r="N1164" i="11"/>
  <c r="M1164" i="11"/>
  <c r="L1164" i="11"/>
  <c r="K1164" i="11"/>
  <c r="J1164" i="11"/>
  <c r="AC929" i="11"/>
  <c r="AB929" i="11"/>
  <c r="AA929" i="11"/>
  <c r="Z929" i="11"/>
  <c r="Y929" i="11"/>
  <c r="X929" i="11"/>
  <c r="W929" i="11"/>
  <c r="V929" i="11"/>
  <c r="U929" i="11"/>
  <c r="T929" i="11"/>
  <c r="S929" i="11"/>
  <c r="R929" i="11"/>
  <c r="Q929" i="11"/>
  <c r="P929" i="11"/>
  <c r="O929" i="11"/>
  <c r="N929" i="11"/>
  <c r="M929" i="11"/>
  <c r="L929" i="11"/>
  <c r="K929" i="11"/>
  <c r="J929" i="11"/>
  <c r="AC1920" i="11"/>
  <c r="AB1920" i="11"/>
  <c r="AA1920" i="11"/>
  <c r="Z1920" i="11"/>
  <c r="Y1920" i="11"/>
  <c r="X1920" i="11"/>
  <c r="W1920" i="11"/>
  <c r="V1920" i="11"/>
  <c r="U1920" i="11"/>
  <c r="T1920" i="11"/>
  <c r="S1920" i="11"/>
  <c r="R1920" i="11"/>
  <c r="Q1920" i="11"/>
  <c r="P1920" i="11"/>
  <c r="O1920" i="11"/>
  <c r="N1920" i="11"/>
  <c r="M1920" i="11"/>
  <c r="L1920" i="11"/>
  <c r="K1920" i="11"/>
  <c r="J1920" i="11"/>
  <c r="AC227" i="11"/>
  <c r="AB227" i="11"/>
  <c r="AA227" i="11"/>
  <c r="Z227" i="11"/>
  <c r="Y227" i="11"/>
  <c r="X227" i="11"/>
  <c r="W227" i="11"/>
  <c r="V227" i="11"/>
  <c r="U227" i="11"/>
  <c r="T227" i="11"/>
  <c r="S227" i="11"/>
  <c r="R227" i="11"/>
  <c r="Q227" i="11"/>
  <c r="P227" i="11"/>
  <c r="O227" i="11"/>
  <c r="N227" i="11"/>
  <c r="M227" i="11"/>
  <c r="L227" i="11"/>
  <c r="K227" i="11"/>
  <c r="J227" i="11"/>
  <c r="AC1873" i="11"/>
  <c r="AB1873" i="11"/>
  <c r="AA1873" i="11"/>
  <c r="Z1873" i="11"/>
  <c r="Y1873" i="11"/>
  <c r="X1873" i="11"/>
  <c r="W1873" i="11"/>
  <c r="V1873" i="11"/>
  <c r="U1873" i="11"/>
  <c r="T1873" i="11"/>
  <c r="S1873" i="11"/>
  <c r="R1873" i="11"/>
  <c r="Q1873" i="11"/>
  <c r="P1873" i="11"/>
  <c r="O1873" i="11"/>
  <c r="N1873" i="11"/>
  <c r="M1873" i="11"/>
  <c r="L1873" i="11"/>
  <c r="K1873" i="11"/>
  <c r="J1873" i="11"/>
  <c r="AC1872" i="11"/>
  <c r="AB1872" i="11"/>
  <c r="AA1872" i="11"/>
  <c r="Z1872" i="11"/>
  <c r="Y1872" i="11"/>
  <c r="X1872" i="11"/>
  <c r="W1872" i="11"/>
  <c r="V1872" i="11"/>
  <c r="U1872" i="11"/>
  <c r="T1872" i="11"/>
  <c r="S1872" i="11"/>
  <c r="R1872" i="11"/>
  <c r="Q1872" i="11"/>
  <c r="P1872" i="11"/>
  <c r="O1872" i="11"/>
  <c r="N1872" i="11"/>
  <c r="M1872" i="11"/>
  <c r="L1872" i="11"/>
  <c r="K1872" i="11"/>
  <c r="J1872" i="11"/>
  <c r="AC2121" i="11"/>
  <c r="AB2121" i="11"/>
  <c r="AA2121" i="11"/>
  <c r="Z2121" i="11"/>
  <c r="Y2121" i="11"/>
  <c r="X2121" i="11"/>
  <c r="W2121" i="11"/>
  <c r="V2121" i="11"/>
  <c r="U2121" i="11"/>
  <c r="T2121" i="11"/>
  <c r="S2121" i="11"/>
  <c r="R2121" i="11"/>
  <c r="Q2121" i="11"/>
  <c r="P2121" i="11"/>
  <c r="O2121" i="11"/>
  <c r="N2121" i="11"/>
  <c r="M2121" i="11"/>
  <c r="L2121" i="11"/>
  <c r="K2121" i="11"/>
  <c r="J2121" i="11"/>
  <c r="AC1163" i="11"/>
  <c r="AB1163" i="11"/>
  <c r="AA1163" i="11"/>
  <c r="Z1163" i="11"/>
  <c r="Y1163" i="11"/>
  <c r="X1163" i="11"/>
  <c r="W1163" i="11"/>
  <c r="V1163" i="11"/>
  <c r="U1163" i="11"/>
  <c r="T1163" i="11"/>
  <c r="S1163" i="11"/>
  <c r="R1163" i="11"/>
  <c r="Q1163" i="11"/>
  <c r="P1163" i="11"/>
  <c r="O1163" i="11"/>
  <c r="N1163" i="11"/>
  <c r="M1163" i="11"/>
  <c r="L1163" i="11"/>
  <c r="K1163" i="11"/>
  <c r="J1163" i="11"/>
  <c r="AC1545" i="11"/>
  <c r="AB1545" i="11"/>
  <c r="AA1545" i="11"/>
  <c r="Z1545" i="11"/>
  <c r="Y1545" i="11"/>
  <c r="X1545" i="11"/>
  <c r="W1545" i="11"/>
  <c r="V1545" i="11"/>
  <c r="U1545" i="11"/>
  <c r="T1545" i="11"/>
  <c r="S1545" i="11"/>
  <c r="R1545" i="11"/>
  <c r="Q1545" i="11"/>
  <c r="P1545" i="11"/>
  <c r="O1545" i="11"/>
  <c r="N1545" i="11"/>
  <c r="M1545" i="11"/>
  <c r="L1545" i="11"/>
  <c r="K1545" i="11"/>
  <c r="J1545" i="11"/>
  <c r="AC192" i="11"/>
  <c r="AB192" i="11"/>
  <c r="AA192" i="11"/>
  <c r="Z192" i="11"/>
  <c r="Y192" i="11"/>
  <c r="X192" i="11"/>
  <c r="W192" i="11"/>
  <c r="V192" i="11"/>
  <c r="U192" i="11"/>
  <c r="T192" i="11"/>
  <c r="S192" i="11"/>
  <c r="R192" i="11"/>
  <c r="Q192" i="11"/>
  <c r="P192" i="11"/>
  <c r="O192" i="11"/>
  <c r="N192" i="11"/>
  <c r="M192" i="11"/>
  <c r="L192" i="11"/>
  <c r="K192" i="11"/>
  <c r="J192" i="11"/>
  <c r="AC1727" i="11"/>
  <c r="AB1727" i="11"/>
  <c r="AA1727" i="11"/>
  <c r="Z1727" i="11"/>
  <c r="Y1727" i="11"/>
  <c r="X1727" i="11"/>
  <c r="W1727" i="11"/>
  <c r="V1727" i="11"/>
  <c r="U1727" i="11"/>
  <c r="T1727" i="11"/>
  <c r="S1727" i="11"/>
  <c r="R1727" i="11"/>
  <c r="Q1727" i="11"/>
  <c r="P1727" i="11"/>
  <c r="O1727" i="11"/>
  <c r="N1727" i="11"/>
  <c r="M1727" i="11"/>
  <c r="L1727" i="11"/>
  <c r="K1727" i="11"/>
  <c r="J1727" i="11"/>
  <c r="AC1871" i="11"/>
  <c r="AB1871" i="11"/>
  <c r="AA1871" i="11"/>
  <c r="Z1871" i="11"/>
  <c r="Y1871" i="11"/>
  <c r="X1871" i="11"/>
  <c r="W1871" i="11"/>
  <c r="V1871" i="11"/>
  <c r="U1871" i="11"/>
  <c r="T1871" i="11"/>
  <c r="S1871" i="11"/>
  <c r="R1871" i="11"/>
  <c r="Q1871" i="11"/>
  <c r="P1871" i="11"/>
  <c r="O1871" i="11"/>
  <c r="N1871" i="11"/>
  <c r="M1871" i="11"/>
  <c r="L1871" i="11"/>
  <c r="K1871" i="11"/>
  <c r="J1871" i="11"/>
  <c r="AC1093" i="11"/>
  <c r="AB1093" i="11"/>
  <c r="AA1093" i="11"/>
  <c r="Z1093" i="11"/>
  <c r="Y1093" i="11"/>
  <c r="X1093" i="11"/>
  <c r="W1093" i="11"/>
  <c r="V1093" i="11"/>
  <c r="U1093" i="11"/>
  <c r="T1093" i="11"/>
  <c r="S1093" i="11"/>
  <c r="R1093" i="11"/>
  <c r="Q1093" i="11"/>
  <c r="P1093" i="11"/>
  <c r="O1093" i="11"/>
  <c r="N1093" i="11"/>
  <c r="M1093" i="11"/>
  <c r="L1093" i="11"/>
  <c r="K1093" i="11"/>
  <c r="J1093" i="11"/>
  <c r="AC1092" i="11"/>
  <c r="AB1092" i="11"/>
  <c r="AA1092" i="11"/>
  <c r="Z1092" i="11"/>
  <c r="Y1092" i="11"/>
  <c r="X1092" i="11"/>
  <c r="W1092" i="11"/>
  <c r="V1092" i="11"/>
  <c r="U1092" i="11"/>
  <c r="T1092" i="11"/>
  <c r="S1092" i="11"/>
  <c r="R1092" i="11"/>
  <c r="Q1092" i="11"/>
  <c r="P1092" i="11"/>
  <c r="O1092" i="11"/>
  <c r="N1092" i="11"/>
  <c r="M1092" i="11"/>
  <c r="L1092" i="11"/>
  <c r="K1092" i="11"/>
  <c r="J1092" i="11"/>
  <c r="AC1496" i="11"/>
  <c r="AB1496" i="11"/>
  <c r="AA1496" i="11"/>
  <c r="Z1496" i="11"/>
  <c r="Y1496" i="11"/>
  <c r="X1496" i="11"/>
  <c r="W1496" i="11"/>
  <c r="V1496" i="11"/>
  <c r="U1496" i="11"/>
  <c r="T1496" i="11"/>
  <c r="S1496" i="11"/>
  <c r="R1496" i="11"/>
  <c r="Q1496" i="11"/>
  <c r="P1496" i="11"/>
  <c r="O1496" i="11"/>
  <c r="N1496" i="11"/>
  <c r="M1496" i="11"/>
  <c r="L1496" i="11"/>
  <c r="K1496" i="11"/>
  <c r="J1496" i="11"/>
  <c r="AC2175" i="11"/>
  <c r="AB2175" i="11"/>
  <c r="AA2175" i="11"/>
  <c r="Z2175" i="11"/>
  <c r="Y2175" i="11"/>
  <c r="X2175" i="11"/>
  <c r="W2175" i="11"/>
  <c r="V2175" i="11"/>
  <c r="U2175" i="11"/>
  <c r="T2175" i="11"/>
  <c r="S2175" i="11"/>
  <c r="R2175" i="11"/>
  <c r="Q2175" i="11"/>
  <c r="P2175" i="11"/>
  <c r="O2175" i="11"/>
  <c r="N2175" i="11"/>
  <c r="M2175" i="11"/>
  <c r="L2175" i="11"/>
  <c r="K2175" i="11"/>
  <c r="J2175" i="11"/>
  <c r="AC2174" i="11"/>
  <c r="AB2174" i="11"/>
  <c r="AA2174" i="11"/>
  <c r="Z2174" i="11"/>
  <c r="Y2174" i="11"/>
  <c r="X2174" i="11"/>
  <c r="W2174" i="11"/>
  <c r="V2174" i="11"/>
  <c r="U2174" i="11"/>
  <c r="T2174" i="11"/>
  <c r="S2174" i="11"/>
  <c r="R2174" i="11"/>
  <c r="Q2174" i="11"/>
  <c r="P2174" i="11"/>
  <c r="O2174" i="11"/>
  <c r="N2174" i="11"/>
  <c r="M2174" i="11"/>
  <c r="L2174" i="11"/>
  <c r="K2174" i="11"/>
  <c r="J2174" i="11"/>
  <c r="AC1626" i="11"/>
  <c r="AB1626" i="11"/>
  <c r="AA1626" i="11"/>
  <c r="Z1626" i="11"/>
  <c r="Y1626" i="11"/>
  <c r="X1626" i="11"/>
  <c r="W1626" i="11"/>
  <c r="V1626" i="11"/>
  <c r="U1626" i="11"/>
  <c r="T1626" i="11"/>
  <c r="S1626" i="11"/>
  <c r="R1626" i="11"/>
  <c r="Q1626" i="11"/>
  <c r="P1626" i="11"/>
  <c r="O1626" i="11"/>
  <c r="N1626" i="11"/>
  <c r="M1626" i="11"/>
  <c r="L1626" i="11"/>
  <c r="K1626" i="11"/>
  <c r="J1626" i="11"/>
  <c r="AC706" i="11"/>
  <c r="AB706" i="11"/>
  <c r="AA706" i="11"/>
  <c r="Z706" i="11"/>
  <c r="Y706" i="11"/>
  <c r="X706" i="11"/>
  <c r="W706" i="11"/>
  <c r="V706" i="11"/>
  <c r="U706" i="11"/>
  <c r="T706" i="11"/>
  <c r="S706" i="11"/>
  <c r="R706" i="11"/>
  <c r="Q706" i="11"/>
  <c r="P706" i="11"/>
  <c r="O706" i="11"/>
  <c r="N706" i="11"/>
  <c r="M706" i="11"/>
  <c r="L706" i="11"/>
  <c r="K706" i="11"/>
  <c r="J706" i="11"/>
  <c r="AC226" i="11"/>
  <c r="AB226" i="11"/>
  <c r="AA226" i="11"/>
  <c r="Z226" i="11"/>
  <c r="Y226" i="11"/>
  <c r="X226" i="11"/>
  <c r="W226" i="11"/>
  <c r="V226" i="11"/>
  <c r="U226" i="11"/>
  <c r="T226" i="11"/>
  <c r="S226" i="11"/>
  <c r="R226" i="11"/>
  <c r="Q226" i="11"/>
  <c r="P226" i="11"/>
  <c r="O226" i="11"/>
  <c r="N226" i="11"/>
  <c r="M226" i="11"/>
  <c r="L226" i="11"/>
  <c r="K226" i="11"/>
  <c r="J226" i="11"/>
  <c r="AC128" i="11"/>
  <c r="AB128" i="11"/>
  <c r="AA128" i="11"/>
  <c r="Z128" i="11"/>
  <c r="Y128" i="11"/>
  <c r="X128" i="11"/>
  <c r="W128" i="11"/>
  <c r="V128" i="11"/>
  <c r="U128" i="11"/>
  <c r="T128" i="11"/>
  <c r="S128" i="11"/>
  <c r="R128" i="11"/>
  <c r="Q128" i="11"/>
  <c r="P128" i="11"/>
  <c r="O128" i="11"/>
  <c r="N128" i="11"/>
  <c r="M128" i="11"/>
  <c r="L128" i="11"/>
  <c r="K128" i="11"/>
  <c r="J128" i="11"/>
  <c r="AC1162" i="11"/>
  <c r="AB1162" i="11"/>
  <c r="AA1162" i="11"/>
  <c r="Z1162" i="11"/>
  <c r="Y1162" i="11"/>
  <c r="X1162" i="11"/>
  <c r="W1162" i="11"/>
  <c r="V1162" i="11"/>
  <c r="U1162" i="11"/>
  <c r="T1162" i="11"/>
  <c r="S1162" i="11"/>
  <c r="R1162" i="11"/>
  <c r="Q1162" i="11"/>
  <c r="P1162" i="11"/>
  <c r="O1162" i="11"/>
  <c r="N1162" i="11"/>
  <c r="M1162" i="11"/>
  <c r="L1162" i="11"/>
  <c r="K1162" i="11"/>
  <c r="J1162" i="11"/>
  <c r="AC309" i="11"/>
  <c r="AB309" i="11"/>
  <c r="AA309" i="11"/>
  <c r="Z309" i="11"/>
  <c r="Y309" i="11"/>
  <c r="X309" i="11"/>
  <c r="W309" i="11"/>
  <c r="V309" i="11"/>
  <c r="U309" i="11"/>
  <c r="T309" i="11"/>
  <c r="S309" i="11"/>
  <c r="R309" i="11"/>
  <c r="Q309" i="11"/>
  <c r="P309" i="11"/>
  <c r="O309" i="11"/>
  <c r="N309" i="11"/>
  <c r="M309" i="11"/>
  <c r="L309" i="11"/>
  <c r="K309" i="11"/>
  <c r="J309" i="11"/>
  <c r="AC127" i="11"/>
  <c r="AB127" i="11"/>
  <c r="AA127" i="11"/>
  <c r="Z127" i="11"/>
  <c r="Y127" i="11"/>
  <c r="X127" i="11"/>
  <c r="W127" i="11"/>
  <c r="V127" i="11"/>
  <c r="U127" i="11"/>
  <c r="T127" i="11"/>
  <c r="S127" i="11"/>
  <c r="R127" i="11"/>
  <c r="Q127" i="11"/>
  <c r="P127" i="11"/>
  <c r="O127" i="11"/>
  <c r="N127" i="11"/>
  <c r="M127" i="11"/>
  <c r="L127" i="11"/>
  <c r="K127" i="11"/>
  <c r="J127" i="11"/>
  <c r="AC1232" i="11"/>
  <c r="AB1232" i="11"/>
  <c r="AA1232" i="11"/>
  <c r="Z1232" i="11"/>
  <c r="Y1232" i="11"/>
  <c r="X1232" i="11"/>
  <c r="W1232" i="11"/>
  <c r="V1232" i="11"/>
  <c r="U1232" i="11"/>
  <c r="T1232" i="11"/>
  <c r="S1232" i="11"/>
  <c r="R1232" i="11"/>
  <c r="Q1232" i="11"/>
  <c r="P1232" i="11"/>
  <c r="O1232" i="11"/>
  <c r="N1232" i="11"/>
  <c r="M1232" i="11"/>
  <c r="L1232" i="11"/>
  <c r="K1232" i="11"/>
  <c r="J1232" i="11"/>
  <c r="AC1384" i="11"/>
  <c r="AB1384" i="11"/>
  <c r="AA1384" i="11"/>
  <c r="Z1384" i="11"/>
  <c r="Y1384" i="11"/>
  <c r="X1384" i="11"/>
  <c r="W1384" i="11"/>
  <c r="V1384" i="11"/>
  <c r="U1384" i="11"/>
  <c r="T1384" i="11"/>
  <c r="S1384" i="11"/>
  <c r="R1384" i="11"/>
  <c r="Q1384" i="11"/>
  <c r="P1384" i="11"/>
  <c r="O1384" i="11"/>
  <c r="N1384" i="11"/>
  <c r="M1384" i="11"/>
  <c r="L1384" i="11"/>
  <c r="K1384" i="11"/>
  <c r="J1384" i="11"/>
  <c r="AC49" i="11"/>
  <c r="AB49" i="11"/>
  <c r="AA49" i="11"/>
  <c r="Z49" i="11"/>
  <c r="Y49" i="11"/>
  <c r="X49" i="11"/>
  <c r="W49" i="11"/>
  <c r="V49" i="11"/>
  <c r="U49" i="11"/>
  <c r="T49" i="11"/>
  <c r="S49" i="11"/>
  <c r="R49" i="11"/>
  <c r="Q49" i="11"/>
  <c r="P49" i="11"/>
  <c r="O49" i="11"/>
  <c r="N49" i="11"/>
  <c r="M49" i="11"/>
  <c r="L49" i="11"/>
  <c r="K49" i="11"/>
  <c r="J49" i="11"/>
  <c r="AC1003" i="11"/>
  <c r="AB1003" i="11"/>
  <c r="AA1003" i="11"/>
  <c r="Z1003" i="11"/>
  <c r="Y1003" i="11"/>
  <c r="X1003" i="11"/>
  <c r="W1003" i="11"/>
  <c r="V1003" i="11"/>
  <c r="U1003" i="11"/>
  <c r="T1003" i="11"/>
  <c r="S1003" i="11"/>
  <c r="R1003" i="11"/>
  <c r="Q1003" i="11"/>
  <c r="P1003" i="11"/>
  <c r="O1003" i="11"/>
  <c r="N1003" i="11"/>
  <c r="M1003" i="11"/>
  <c r="L1003" i="11"/>
  <c r="K1003" i="11"/>
  <c r="J1003" i="11"/>
  <c r="AC2053" i="11"/>
  <c r="AB2053" i="11"/>
  <c r="AA2053" i="11"/>
  <c r="Z2053" i="11"/>
  <c r="Y2053" i="11"/>
  <c r="X2053" i="11"/>
  <c r="W2053" i="11"/>
  <c r="V2053" i="11"/>
  <c r="U2053" i="11"/>
  <c r="T2053" i="11"/>
  <c r="S2053" i="11"/>
  <c r="R2053" i="11"/>
  <c r="Q2053" i="11"/>
  <c r="P2053" i="11"/>
  <c r="O2053" i="11"/>
  <c r="N2053" i="11"/>
  <c r="M2053" i="11"/>
  <c r="L2053" i="11"/>
  <c r="K2053" i="11"/>
  <c r="J2053" i="11"/>
  <c r="AC1772" i="11"/>
  <c r="AB1772" i="11"/>
  <c r="AA1772" i="11"/>
  <c r="Z1772" i="11"/>
  <c r="Y1772" i="11"/>
  <c r="X1772" i="11"/>
  <c r="W1772" i="11"/>
  <c r="V1772" i="11"/>
  <c r="U1772" i="11"/>
  <c r="T1772" i="11"/>
  <c r="S1772" i="11"/>
  <c r="R1772" i="11"/>
  <c r="Q1772" i="11"/>
  <c r="P1772" i="11"/>
  <c r="O1772" i="11"/>
  <c r="N1772" i="11"/>
  <c r="M1772" i="11"/>
  <c r="L1772" i="11"/>
  <c r="K1772" i="11"/>
  <c r="J1772" i="11"/>
  <c r="AC482" i="11"/>
  <c r="AB482" i="11"/>
  <c r="AA482" i="11"/>
  <c r="Z482" i="11"/>
  <c r="Y482" i="11"/>
  <c r="X482" i="11"/>
  <c r="W482" i="11"/>
  <c r="V482" i="11"/>
  <c r="U482" i="11"/>
  <c r="T482" i="11"/>
  <c r="S482" i="11"/>
  <c r="R482" i="11"/>
  <c r="Q482" i="11"/>
  <c r="P482" i="11"/>
  <c r="O482" i="11"/>
  <c r="N482" i="11"/>
  <c r="M482" i="11"/>
  <c r="L482" i="11"/>
  <c r="K482" i="11"/>
  <c r="J482" i="11"/>
  <c r="AC1964" i="11"/>
  <c r="AB1964" i="11"/>
  <c r="AA1964" i="11"/>
  <c r="Z1964" i="11"/>
  <c r="Y1964" i="11"/>
  <c r="X1964" i="11"/>
  <c r="W1964" i="11"/>
  <c r="V1964" i="11"/>
  <c r="U1964" i="11"/>
  <c r="T1964" i="11"/>
  <c r="S1964" i="11"/>
  <c r="R1964" i="11"/>
  <c r="Q1964" i="11"/>
  <c r="P1964" i="11"/>
  <c r="O1964" i="11"/>
  <c r="N1964" i="11"/>
  <c r="M1964" i="11"/>
  <c r="L1964" i="11"/>
  <c r="K1964" i="11"/>
  <c r="J1964" i="11"/>
  <c r="AC850" i="11"/>
  <c r="AB850" i="11"/>
  <c r="AA850" i="11"/>
  <c r="Z850" i="11"/>
  <c r="Y850" i="11"/>
  <c r="X850" i="11"/>
  <c r="W850" i="11"/>
  <c r="V850" i="11"/>
  <c r="U850" i="11"/>
  <c r="T850" i="11"/>
  <c r="S850" i="11"/>
  <c r="R850" i="11"/>
  <c r="Q850" i="11"/>
  <c r="P850" i="11"/>
  <c r="O850" i="11"/>
  <c r="N850" i="11"/>
  <c r="M850" i="11"/>
  <c r="L850" i="11"/>
  <c r="K850" i="11"/>
  <c r="J850" i="11"/>
  <c r="AC126" i="11"/>
  <c r="AB126" i="11"/>
  <c r="AA126" i="11"/>
  <c r="Z126" i="11"/>
  <c r="Y126" i="11"/>
  <c r="X126" i="11"/>
  <c r="W126" i="11"/>
  <c r="V126" i="11"/>
  <c r="U126" i="11"/>
  <c r="T126" i="11"/>
  <c r="S126" i="11"/>
  <c r="R126" i="11"/>
  <c r="Q126" i="11"/>
  <c r="P126" i="11"/>
  <c r="O126" i="11"/>
  <c r="N126" i="11"/>
  <c r="M126" i="11"/>
  <c r="L126" i="11"/>
  <c r="K126" i="11"/>
  <c r="J126" i="11"/>
  <c r="AC611" i="11"/>
  <c r="AB611" i="11"/>
  <c r="AA611" i="11"/>
  <c r="Z611" i="11"/>
  <c r="Y611" i="11"/>
  <c r="X611" i="11"/>
  <c r="W611" i="11"/>
  <c r="V611" i="11"/>
  <c r="U611" i="11"/>
  <c r="T611" i="11"/>
  <c r="S611" i="11"/>
  <c r="R611" i="11"/>
  <c r="Q611" i="11"/>
  <c r="P611" i="11"/>
  <c r="O611" i="11"/>
  <c r="N611" i="11"/>
  <c r="M611" i="11"/>
  <c r="L611" i="11"/>
  <c r="K611" i="11"/>
  <c r="J611" i="11"/>
  <c r="AC308" i="11"/>
  <c r="AB308" i="11"/>
  <c r="AA308" i="11"/>
  <c r="Z308" i="11"/>
  <c r="Y308" i="11"/>
  <c r="X308" i="11"/>
  <c r="W308" i="11"/>
  <c r="V308" i="11"/>
  <c r="U308" i="11"/>
  <c r="T308" i="11"/>
  <c r="S308" i="11"/>
  <c r="R308" i="11"/>
  <c r="Q308" i="11"/>
  <c r="P308" i="11"/>
  <c r="O308" i="11"/>
  <c r="N308" i="11"/>
  <c r="M308" i="11"/>
  <c r="L308" i="11"/>
  <c r="K308" i="11"/>
  <c r="J308" i="11"/>
  <c r="AC705" i="11"/>
  <c r="AB705" i="11"/>
  <c r="AA705" i="11"/>
  <c r="Z705" i="11"/>
  <c r="Y705" i="11"/>
  <c r="X705" i="11"/>
  <c r="W705" i="11"/>
  <c r="V705" i="11"/>
  <c r="U705" i="11"/>
  <c r="T705" i="11"/>
  <c r="S705" i="11"/>
  <c r="R705" i="11"/>
  <c r="Q705" i="11"/>
  <c r="P705" i="11"/>
  <c r="O705" i="11"/>
  <c r="N705" i="11"/>
  <c r="M705" i="11"/>
  <c r="L705" i="11"/>
  <c r="K705" i="11"/>
  <c r="J705" i="11"/>
  <c r="AC704" i="11"/>
  <c r="AB704" i="11"/>
  <c r="AA704" i="11"/>
  <c r="Z704" i="11"/>
  <c r="Y704" i="11"/>
  <c r="X704" i="11"/>
  <c r="W704" i="11"/>
  <c r="V704" i="11"/>
  <c r="U704" i="11"/>
  <c r="T704" i="11"/>
  <c r="S704" i="11"/>
  <c r="R704" i="11"/>
  <c r="Q704" i="11"/>
  <c r="P704" i="11"/>
  <c r="O704" i="11"/>
  <c r="N704" i="11"/>
  <c r="M704" i="11"/>
  <c r="L704" i="11"/>
  <c r="K704" i="11"/>
  <c r="J704" i="11"/>
  <c r="AC48" i="11"/>
  <c r="AB48" i="11"/>
  <c r="AA48" i="11"/>
  <c r="Z48" i="11"/>
  <c r="Y48" i="11"/>
  <c r="X48" i="11"/>
  <c r="W48" i="11"/>
  <c r="V48" i="11"/>
  <c r="U48" i="11"/>
  <c r="T48" i="11"/>
  <c r="S48" i="11"/>
  <c r="R48" i="11"/>
  <c r="Q48" i="11"/>
  <c r="P48" i="11"/>
  <c r="O48" i="11"/>
  <c r="N48" i="11"/>
  <c r="M48" i="11"/>
  <c r="L48" i="11"/>
  <c r="K48" i="11"/>
  <c r="J48" i="11"/>
  <c r="AC1726" i="11"/>
  <c r="AB1726" i="11"/>
  <c r="AA1726" i="11"/>
  <c r="Z1726" i="11"/>
  <c r="Y1726" i="11"/>
  <c r="X1726" i="11"/>
  <c r="W1726" i="11"/>
  <c r="V1726" i="11"/>
  <c r="U1726" i="11"/>
  <c r="T1726" i="11"/>
  <c r="S1726" i="11"/>
  <c r="R1726" i="11"/>
  <c r="Q1726" i="11"/>
  <c r="P1726" i="11"/>
  <c r="O1726" i="11"/>
  <c r="N1726" i="11"/>
  <c r="M1726" i="11"/>
  <c r="L1726" i="11"/>
  <c r="K1726" i="11"/>
  <c r="J1726" i="11"/>
  <c r="AC1870" i="11"/>
  <c r="AB1870" i="11"/>
  <c r="AA1870" i="11"/>
  <c r="Z1870" i="11"/>
  <c r="Y1870" i="11"/>
  <c r="X1870" i="11"/>
  <c r="W1870" i="11"/>
  <c r="V1870" i="11"/>
  <c r="U1870" i="11"/>
  <c r="T1870" i="11"/>
  <c r="S1870" i="11"/>
  <c r="R1870" i="11"/>
  <c r="Q1870" i="11"/>
  <c r="P1870" i="11"/>
  <c r="O1870" i="11"/>
  <c r="N1870" i="11"/>
  <c r="M1870" i="11"/>
  <c r="L1870" i="11"/>
  <c r="K1870" i="11"/>
  <c r="J1870" i="11"/>
  <c r="AC1002" i="11"/>
  <c r="AB1002" i="11"/>
  <c r="AA1002" i="11"/>
  <c r="Z1002" i="11"/>
  <c r="Y1002" i="11"/>
  <c r="X1002" i="11"/>
  <c r="W1002" i="11"/>
  <c r="V1002" i="11"/>
  <c r="U1002" i="11"/>
  <c r="T1002" i="11"/>
  <c r="S1002" i="11"/>
  <c r="R1002" i="11"/>
  <c r="Q1002" i="11"/>
  <c r="P1002" i="11"/>
  <c r="O1002" i="11"/>
  <c r="N1002" i="11"/>
  <c r="M1002" i="11"/>
  <c r="L1002" i="11"/>
  <c r="K1002" i="11"/>
  <c r="J1002" i="11"/>
  <c r="AC15" i="11"/>
  <c r="AB15" i="11"/>
  <c r="AA15" i="11"/>
  <c r="Z15" i="11"/>
  <c r="Y15" i="11"/>
  <c r="X15" i="11"/>
  <c r="W15" i="11"/>
  <c r="V15" i="11"/>
  <c r="U15" i="11"/>
  <c r="T15" i="11"/>
  <c r="S15" i="11"/>
  <c r="R15" i="11"/>
  <c r="Q15" i="11"/>
  <c r="P15" i="11"/>
  <c r="O15" i="11"/>
  <c r="N15" i="11"/>
  <c r="M15" i="11"/>
  <c r="L15" i="11"/>
  <c r="K15" i="11"/>
  <c r="J15" i="11"/>
  <c r="AC14" i="11"/>
  <c r="AB14" i="11"/>
  <c r="AA14" i="11"/>
  <c r="Z14" i="11"/>
  <c r="Y14" i="11"/>
  <c r="X14" i="11"/>
  <c r="W14" i="11"/>
  <c r="V14" i="11"/>
  <c r="U14" i="11"/>
  <c r="T14" i="11"/>
  <c r="S14" i="11"/>
  <c r="R14" i="11"/>
  <c r="Q14" i="11"/>
  <c r="P14" i="11"/>
  <c r="O14" i="11"/>
  <c r="N14" i="11"/>
  <c r="M14" i="11"/>
  <c r="L14" i="11"/>
  <c r="K14" i="11"/>
  <c r="J14" i="11"/>
  <c r="AC2173" i="11"/>
  <c r="AB2173" i="11"/>
  <c r="AA2173" i="11"/>
  <c r="Z2173" i="11"/>
  <c r="Y2173" i="11"/>
  <c r="X2173" i="11"/>
  <c r="W2173" i="11"/>
  <c r="V2173" i="11"/>
  <c r="U2173" i="11"/>
  <c r="T2173" i="11"/>
  <c r="S2173" i="11"/>
  <c r="R2173" i="11"/>
  <c r="Q2173" i="11"/>
  <c r="P2173" i="11"/>
  <c r="O2173" i="11"/>
  <c r="N2173" i="11"/>
  <c r="M2173" i="11"/>
  <c r="L2173" i="11"/>
  <c r="K2173" i="11"/>
  <c r="J2173" i="11"/>
  <c r="AC1001" i="11"/>
  <c r="AB1001" i="11"/>
  <c r="AA1001" i="11"/>
  <c r="Z1001" i="11"/>
  <c r="Y1001" i="11"/>
  <c r="X1001" i="11"/>
  <c r="W1001" i="11"/>
  <c r="V1001" i="11"/>
  <c r="U1001" i="11"/>
  <c r="T1001" i="11"/>
  <c r="S1001" i="11"/>
  <c r="R1001" i="11"/>
  <c r="Q1001" i="11"/>
  <c r="P1001" i="11"/>
  <c r="O1001" i="11"/>
  <c r="N1001" i="11"/>
  <c r="M1001" i="11"/>
  <c r="L1001" i="11"/>
  <c r="K1001" i="11"/>
  <c r="J1001" i="11"/>
  <c r="AC1919" i="11"/>
  <c r="AB1919" i="11"/>
  <c r="AA1919" i="11"/>
  <c r="Z1919" i="11"/>
  <c r="Y1919" i="11"/>
  <c r="X1919" i="11"/>
  <c r="W1919" i="11"/>
  <c r="V1919" i="11"/>
  <c r="U1919" i="11"/>
  <c r="T1919" i="11"/>
  <c r="S1919" i="11"/>
  <c r="R1919" i="11"/>
  <c r="Q1919" i="11"/>
  <c r="P1919" i="11"/>
  <c r="O1919" i="11"/>
  <c r="N1919" i="11"/>
  <c r="M1919" i="11"/>
  <c r="L1919" i="11"/>
  <c r="K1919" i="11"/>
  <c r="J1919" i="11"/>
  <c r="AC928" i="11"/>
  <c r="AB928" i="11"/>
  <c r="AA928" i="11"/>
  <c r="Z928" i="11"/>
  <c r="Y928" i="11"/>
  <c r="X928" i="11"/>
  <c r="W928" i="11"/>
  <c r="V928" i="11"/>
  <c r="U928" i="11"/>
  <c r="T928" i="11"/>
  <c r="S928" i="11"/>
  <c r="R928" i="11"/>
  <c r="Q928" i="11"/>
  <c r="P928" i="11"/>
  <c r="O928" i="11"/>
  <c r="N928" i="11"/>
  <c r="M928" i="11"/>
  <c r="L928" i="11"/>
  <c r="K928" i="11"/>
  <c r="J928" i="11"/>
  <c r="AC1869" i="11"/>
  <c r="AB1869" i="11"/>
  <c r="AA1869" i="11"/>
  <c r="Z1869" i="11"/>
  <c r="Y1869" i="11"/>
  <c r="X1869" i="11"/>
  <c r="W1869" i="11"/>
  <c r="V1869" i="11"/>
  <c r="U1869" i="11"/>
  <c r="T1869" i="11"/>
  <c r="S1869" i="11"/>
  <c r="R1869" i="11"/>
  <c r="Q1869" i="11"/>
  <c r="P1869" i="11"/>
  <c r="O1869" i="11"/>
  <c r="N1869" i="11"/>
  <c r="M1869" i="11"/>
  <c r="L1869" i="11"/>
  <c r="K1869" i="11"/>
  <c r="J1869" i="11"/>
  <c r="AC1383" i="11"/>
  <c r="AB1383" i="11"/>
  <c r="AA1383" i="11"/>
  <c r="Z1383" i="11"/>
  <c r="Y1383" i="11"/>
  <c r="X1383" i="11"/>
  <c r="W1383" i="11"/>
  <c r="V1383" i="11"/>
  <c r="U1383" i="11"/>
  <c r="T1383" i="11"/>
  <c r="S1383" i="11"/>
  <c r="R1383" i="11"/>
  <c r="Q1383" i="11"/>
  <c r="P1383" i="11"/>
  <c r="O1383" i="11"/>
  <c r="N1383" i="11"/>
  <c r="M1383" i="11"/>
  <c r="L1383" i="11"/>
  <c r="K1383" i="11"/>
  <c r="J1383" i="11"/>
  <c r="AC1091" i="11"/>
  <c r="AB1091" i="11"/>
  <c r="AA1091" i="11"/>
  <c r="Z1091" i="11"/>
  <c r="Y1091" i="11"/>
  <c r="X1091" i="11"/>
  <c r="W1091" i="11"/>
  <c r="V1091" i="11"/>
  <c r="U1091" i="11"/>
  <c r="T1091" i="11"/>
  <c r="S1091" i="11"/>
  <c r="R1091" i="11"/>
  <c r="Q1091" i="11"/>
  <c r="P1091" i="11"/>
  <c r="O1091" i="11"/>
  <c r="N1091" i="11"/>
  <c r="M1091" i="11"/>
  <c r="L1091" i="11"/>
  <c r="K1091" i="11"/>
  <c r="J1091" i="11"/>
  <c r="AC2120" i="11"/>
  <c r="AB2120" i="11"/>
  <c r="AA2120" i="11"/>
  <c r="Z2120" i="11"/>
  <c r="Y2120" i="11"/>
  <c r="X2120" i="11"/>
  <c r="W2120" i="11"/>
  <c r="V2120" i="11"/>
  <c r="U2120" i="11"/>
  <c r="T2120" i="11"/>
  <c r="S2120" i="11"/>
  <c r="R2120" i="11"/>
  <c r="Q2120" i="11"/>
  <c r="P2120" i="11"/>
  <c r="O2120" i="11"/>
  <c r="N2120" i="11"/>
  <c r="M2120" i="11"/>
  <c r="L2120" i="11"/>
  <c r="K2120" i="11"/>
  <c r="J2120" i="11"/>
  <c r="AC1587" i="11"/>
  <c r="AB1587" i="11"/>
  <c r="AA1587" i="11"/>
  <c r="Z1587" i="11"/>
  <c r="Y1587" i="11"/>
  <c r="X1587" i="11"/>
  <c r="W1587" i="11"/>
  <c r="V1587" i="11"/>
  <c r="U1587" i="11"/>
  <c r="T1587" i="11"/>
  <c r="S1587" i="11"/>
  <c r="R1587" i="11"/>
  <c r="Q1587" i="11"/>
  <c r="P1587" i="11"/>
  <c r="O1587" i="11"/>
  <c r="N1587" i="11"/>
  <c r="M1587" i="11"/>
  <c r="L1587" i="11"/>
  <c r="K1587" i="11"/>
  <c r="J1587" i="11"/>
  <c r="AC1586" i="11"/>
  <c r="AB1586" i="11"/>
  <c r="AA1586" i="11"/>
  <c r="Z1586" i="11"/>
  <c r="Y1586" i="11"/>
  <c r="X1586" i="11"/>
  <c r="W1586" i="11"/>
  <c r="V1586" i="11"/>
  <c r="U1586" i="11"/>
  <c r="T1586" i="11"/>
  <c r="S1586" i="11"/>
  <c r="R1586" i="11"/>
  <c r="Q1586" i="11"/>
  <c r="P1586" i="11"/>
  <c r="O1586" i="11"/>
  <c r="N1586" i="11"/>
  <c r="M1586" i="11"/>
  <c r="L1586" i="11"/>
  <c r="K1586" i="11"/>
  <c r="J1586" i="11"/>
  <c r="AC1161" i="11"/>
  <c r="AB1161" i="11"/>
  <c r="AA1161" i="11"/>
  <c r="Z1161" i="11"/>
  <c r="Y1161" i="11"/>
  <c r="X1161" i="11"/>
  <c r="W1161" i="11"/>
  <c r="V1161" i="11"/>
  <c r="U1161" i="11"/>
  <c r="T1161" i="11"/>
  <c r="S1161" i="11"/>
  <c r="R1161" i="11"/>
  <c r="Q1161" i="11"/>
  <c r="P1161" i="11"/>
  <c r="O1161" i="11"/>
  <c r="N1161" i="11"/>
  <c r="M1161" i="11"/>
  <c r="L1161" i="11"/>
  <c r="K1161" i="11"/>
  <c r="J1161" i="11"/>
  <c r="AC560" i="11"/>
  <c r="AB560" i="11"/>
  <c r="AA560" i="11"/>
  <c r="Z560" i="11"/>
  <c r="Y560" i="11"/>
  <c r="X560" i="11"/>
  <c r="W560" i="11"/>
  <c r="V560" i="11"/>
  <c r="U560" i="11"/>
  <c r="T560" i="11"/>
  <c r="S560" i="11"/>
  <c r="R560" i="11"/>
  <c r="Q560" i="11"/>
  <c r="P560" i="11"/>
  <c r="O560" i="11"/>
  <c r="N560" i="11"/>
  <c r="M560" i="11"/>
  <c r="L560" i="11"/>
  <c r="K560" i="11"/>
  <c r="J560" i="11"/>
  <c r="AC610" i="11"/>
  <c r="AB610" i="11"/>
  <c r="AA610" i="11"/>
  <c r="Z610" i="11"/>
  <c r="Y610" i="11"/>
  <c r="X610" i="11"/>
  <c r="W610" i="11"/>
  <c r="V610" i="11"/>
  <c r="U610" i="11"/>
  <c r="T610" i="11"/>
  <c r="S610" i="11"/>
  <c r="R610" i="11"/>
  <c r="Q610" i="11"/>
  <c r="P610" i="11"/>
  <c r="O610" i="11"/>
  <c r="N610" i="11"/>
  <c r="M610" i="11"/>
  <c r="L610" i="11"/>
  <c r="K610" i="11"/>
  <c r="J610" i="11"/>
  <c r="AC1963" i="11"/>
  <c r="AB1963" i="11"/>
  <c r="AA1963" i="11"/>
  <c r="Z1963" i="11"/>
  <c r="Y1963" i="11"/>
  <c r="X1963" i="11"/>
  <c r="W1963" i="11"/>
  <c r="V1963" i="11"/>
  <c r="U1963" i="11"/>
  <c r="T1963" i="11"/>
  <c r="S1963" i="11"/>
  <c r="R1963" i="11"/>
  <c r="Q1963" i="11"/>
  <c r="P1963" i="11"/>
  <c r="O1963" i="11"/>
  <c r="N1963" i="11"/>
  <c r="M1963" i="11"/>
  <c r="L1963" i="11"/>
  <c r="K1963" i="11"/>
  <c r="J1963" i="11"/>
  <c r="AC1673" i="11"/>
  <c r="AB1673" i="11"/>
  <c r="AA1673" i="11"/>
  <c r="Z1673" i="11"/>
  <c r="Y1673" i="11"/>
  <c r="X1673" i="11"/>
  <c r="W1673" i="11"/>
  <c r="V1673" i="11"/>
  <c r="U1673" i="11"/>
  <c r="T1673" i="11"/>
  <c r="S1673" i="11"/>
  <c r="R1673" i="11"/>
  <c r="Q1673" i="11"/>
  <c r="P1673" i="11"/>
  <c r="O1673" i="11"/>
  <c r="N1673" i="11"/>
  <c r="M1673" i="11"/>
  <c r="L1673" i="11"/>
  <c r="K1673" i="11"/>
  <c r="J1673" i="11"/>
  <c r="AC1544" i="11"/>
  <c r="AB1544" i="11"/>
  <c r="AA1544" i="11"/>
  <c r="Z1544" i="11"/>
  <c r="Y1544" i="11"/>
  <c r="X1544" i="11"/>
  <c r="W1544" i="11"/>
  <c r="V1544" i="11"/>
  <c r="U1544" i="11"/>
  <c r="T1544" i="11"/>
  <c r="S1544" i="11"/>
  <c r="R1544" i="11"/>
  <c r="Q1544" i="11"/>
  <c r="P1544" i="11"/>
  <c r="O1544" i="11"/>
  <c r="N1544" i="11"/>
  <c r="M1544" i="11"/>
  <c r="L1544" i="11"/>
  <c r="K1544" i="11"/>
  <c r="J1544" i="11"/>
  <c r="AC21" i="11"/>
  <c r="AB21" i="11"/>
  <c r="AA21" i="11"/>
  <c r="Z21" i="11"/>
  <c r="Y21" i="11"/>
  <c r="X21" i="11"/>
  <c r="W21" i="11"/>
  <c r="V21" i="11"/>
  <c r="U21" i="11"/>
  <c r="T21" i="11"/>
  <c r="S21" i="11"/>
  <c r="R21" i="11"/>
  <c r="Q21" i="11"/>
  <c r="P21" i="11"/>
  <c r="O21" i="11"/>
  <c r="N21" i="11"/>
  <c r="M21" i="11"/>
  <c r="L21" i="11"/>
  <c r="K21" i="11"/>
  <c r="J21" i="11"/>
  <c r="AC2005" i="11"/>
  <c r="AB2005" i="11"/>
  <c r="AA2005" i="11"/>
  <c r="Z2005" i="11"/>
  <c r="Y2005" i="11"/>
  <c r="X2005" i="11"/>
  <c r="W2005" i="11"/>
  <c r="V2005" i="11"/>
  <c r="U2005" i="11"/>
  <c r="T2005" i="11"/>
  <c r="S2005" i="11"/>
  <c r="R2005" i="11"/>
  <c r="Q2005" i="11"/>
  <c r="P2005" i="11"/>
  <c r="O2005" i="11"/>
  <c r="N2005" i="11"/>
  <c r="M2005" i="11"/>
  <c r="L2005" i="11"/>
  <c r="K2005" i="11"/>
  <c r="J2005" i="11"/>
  <c r="AC2004" i="11"/>
  <c r="AB2004" i="11"/>
  <c r="AA2004" i="11"/>
  <c r="Z2004" i="11"/>
  <c r="Y2004" i="11"/>
  <c r="X2004" i="11"/>
  <c r="W2004" i="11"/>
  <c r="V2004" i="11"/>
  <c r="U2004" i="11"/>
  <c r="T2004" i="11"/>
  <c r="S2004" i="11"/>
  <c r="R2004" i="11"/>
  <c r="Q2004" i="11"/>
  <c r="P2004" i="11"/>
  <c r="O2004" i="11"/>
  <c r="N2004" i="11"/>
  <c r="M2004" i="11"/>
  <c r="L2004" i="11"/>
  <c r="K2004" i="11"/>
  <c r="J2004" i="11"/>
  <c r="AC1725" i="11"/>
  <c r="AB1725" i="11"/>
  <c r="AA1725" i="11"/>
  <c r="Z1725" i="11"/>
  <c r="Y1725" i="11"/>
  <c r="X1725" i="11"/>
  <c r="W1725" i="11"/>
  <c r="V1725" i="11"/>
  <c r="U1725" i="11"/>
  <c r="T1725" i="11"/>
  <c r="S1725" i="11"/>
  <c r="R1725" i="11"/>
  <c r="Q1725" i="11"/>
  <c r="P1725" i="11"/>
  <c r="O1725" i="11"/>
  <c r="N1725" i="11"/>
  <c r="M1725" i="11"/>
  <c r="L1725" i="11"/>
  <c r="K1725" i="11"/>
  <c r="J1725" i="11"/>
  <c r="AC1454" i="11"/>
  <c r="AB1454" i="11"/>
  <c r="AA1454" i="11"/>
  <c r="Z1454" i="11"/>
  <c r="Y1454" i="11"/>
  <c r="X1454" i="11"/>
  <c r="W1454" i="11"/>
  <c r="V1454" i="11"/>
  <c r="U1454" i="11"/>
  <c r="T1454" i="11"/>
  <c r="S1454" i="11"/>
  <c r="R1454" i="11"/>
  <c r="Q1454" i="11"/>
  <c r="P1454" i="11"/>
  <c r="O1454" i="11"/>
  <c r="N1454" i="11"/>
  <c r="M1454" i="11"/>
  <c r="L1454" i="11"/>
  <c r="K1454" i="11"/>
  <c r="J1454" i="11"/>
  <c r="AC927" i="11"/>
  <c r="AB927" i="11"/>
  <c r="AA927" i="11"/>
  <c r="Z927" i="11"/>
  <c r="Y927" i="11"/>
  <c r="X927" i="11"/>
  <c r="W927" i="11"/>
  <c r="V927" i="11"/>
  <c r="U927" i="11"/>
  <c r="T927" i="11"/>
  <c r="S927" i="11"/>
  <c r="R927" i="11"/>
  <c r="Q927" i="11"/>
  <c r="P927" i="11"/>
  <c r="O927" i="11"/>
  <c r="N927" i="11"/>
  <c r="M927" i="11"/>
  <c r="L927" i="11"/>
  <c r="K927" i="11"/>
  <c r="J927" i="11"/>
  <c r="AC1868" i="11"/>
  <c r="AB1868" i="11"/>
  <c r="AA1868" i="11"/>
  <c r="Z1868" i="11"/>
  <c r="Y1868" i="11"/>
  <c r="X1868" i="11"/>
  <c r="W1868" i="11"/>
  <c r="V1868" i="11"/>
  <c r="U1868" i="11"/>
  <c r="T1868" i="11"/>
  <c r="S1868" i="11"/>
  <c r="R1868" i="11"/>
  <c r="Q1868" i="11"/>
  <c r="P1868" i="11"/>
  <c r="O1868" i="11"/>
  <c r="N1868" i="11"/>
  <c r="M1868" i="11"/>
  <c r="L1868" i="11"/>
  <c r="K1868" i="11"/>
  <c r="J1868" i="11"/>
  <c r="AC1382" i="11"/>
  <c r="AB1382" i="11"/>
  <c r="AA1382" i="11"/>
  <c r="Z1382" i="11"/>
  <c r="Y1382" i="11"/>
  <c r="X1382" i="11"/>
  <c r="W1382" i="11"/>
  <c r="V1382" i="11"/>
  <c r="U1382" i="11"/>
  <c r="T1382" i="11"/>
  <c r="S1382" i="11"/>
  <c r="R1382" i="11"/>
  <c r="Q1382" i="11"/>
  <c r="P1382" i="11"/>
  <c r="O1382" i="11"/>
  <c r="N1382" i="11"/>
  <c r="M1382" i="11"/>
  <c r="L1382" i="11"/>
  <c r="K1382" i="11"/>
  <c r="J1382" i="11"/>
  <c r="AC2003" i="11"/>
  <c r="AB2003" i="11"/>
  <c r="AA2003" i="11"/>
  <c r="Z2003" i="11"/>
  <c r="Y2003" i="11"/>
  <c r="X2003" i="11"/>
  <c r="W2003" i="11"/>
  <c r="V2003" i="11"/>
  <c r="U2003" i="11"/>
  <c r="T2003" i="11"/>
  <c r="S2003" i="11"/>
  <c r="R2003" i="11"/>
  <c r="Q2003" i="11"/>
  <c r="P2003" i="11"/>
  <c r="O2003" i="11"/>
  <c r="N2003" i="11"/>
  <c r="M2003" i="11"/>
  <c r="L2003" i="11"/>
  <c r="K2003" i="11"/>
  <c r="J2003" i="11"/>
  <c r="AC1771" i="11"/>
  <c r="AB1771" i="11"/>
  <c r="AA1771" i="11"/>
  <c r="Z1771" i="11"/>
  <c r="Y1771" i="11"/>
  <c r="X1771" i="11"/>
  <c r="W1771" i="11"/>
  <c r="V1771" i="11"/>
  <c r="U1771" i="11"/>
  <c r="T1771" i="11"/>
  <c r="S1771" i="11"/>
  <c r="R1771" i="11"/>
  <c r="Q1771" i="11"/>
  <c r="P1771" i="11"/>
  <c r="O1771" i="11"/>
  <c r="N1771" i="11"/>
  <c r="M1771" i="11"/>
  <c r="L1771" i="11"/>
  <c r="K1771" i="11"/>
  <c r="J1771" i="11"/>
  <c r="AC1918" i="11"/>
  <c r="AB1918" i="11"/>
  <c r="AA1918" i="11"/>
  <c r="Z1918" i="11"/>
  <c r="Y1918" i="11"/>
  <c r="X1918" i="11"/>
  <c r="W1918" i="11"/>
  <c r="V1918" i="11"/>
  <c r="U1918" i="11"/>
  <c r="T1918" i="11"/>
  <c r="S1918" i="11"/>
  <c r="R1918" i="11"/>
  <c r="Q1918" i="11"/>
  <c r="P1918" i="11"/>
  <c r="O1918" i="11"/>
  <c r="N1918" i="11"/>
  <c r="M1918" i="11"/>
  <c r="L1918" i="11"/>
  <c r="K1918" i="11"/>
  <c r="J1918" i="11"/>
  <c r="AC559" i="11"/>
  <c r="AB559" i="11"/>
  <c r="AA559" i="11"/>
  <c r="Z559" i="11"/>
  <c r="Y559" i="11"/>
  <c r="X559" i="11"/>
  <c r="W559" i="11"/>
  <c r="V559" i="11"/>
  <c r="U559" i="11"/>
  <c r="T559" i="11"/>
  <c r="S559" i="11"/>
  <c r="R559" i="11"/>
  <c r="Q559" i="11"/>
  <c r="P559" i="11"/>
  <c r="O559" i="11"/>
  <c r="N559" i="11"/>
  <c r="M559" i="11"/>
  <c r="L559" i="11"/>
  <c r="K559" i="11"/>
  <c r="J559" i="11"/>
  <c r="AC1724" i="11"/>
  <c r="AB1724" i="11"/>
  <c r="AA1724" i="11"/>
  <c r="Z1724" i="11"/>
  <c r="Y1724" i="11"/>
  <c r="X1724" i="11"/>
  <c r="W1724" i="11"/>
  <c r="V1724" i="11"/>
  <c r="U1724" i="11"/>
  <c r="T1724" i="11"/>
  <c r="S1724" i="11"/>
  <c r="R1724" i="11"/>
  <c r="Q1724" i="11"/>
  <c r="P1724" i="11"/>
  <c r="O1724" i="11"/>
  <c r="N1724" i="11"/>
  <c r="M1724" i="11"/>
  <c r="L1724" i="11"/>
  <c r="K1724" i="11"/>
  <c r="J1724" i="11"/>
  <c r="AC1090" i="11"/>
  <c r="AB1090" i="11"/>
  <c r="AA1090" i="11"/>
  <c r="Z1090" i="11"/>
  <c r="Y1090" i="11"/>
  <c r="X1090" i="11"/>
  <c r="W1090" i="11"/>
  <c r="V1090" i="11"/>
  <c r="U1090" i="11"/>
  <c r="T1090" i="11"/>
  <c r="S1090" i="11"/>
  <c r="R1090" i="11"/>
  <c r="Q1090" i="11"/>
  <c r="P1090" i="11"/>
  <c r="O1090" i="11"/>
  <c r="N1090" i="11"/>
  <c r="M1090" i="11"/>
  <c r="L1090" i="11"/>
  <c r="K1090" i="11"/>
  <c r="J1090" i="11"/>
  <c r="AC69" i="11"/>
  <c r="AB69" i="11"/>
  <c r="AA69" i="11"/>
  <c r="Z69" i="11"/>
  <c r="Y69" i="11"/>
  <c r="X69" i="11"/>
  <c r="W69" i="11"/>
  <c r="V69" i="11"/>
  <c r="U69" i="11"/>
  <c r="T69" i="11"/>
  <c r="S69" i="11"/>
  <c r="R69" i="11"/>
  <c r="Q69" i="11"/>
  <c r="P69" i="11"/>
  <c r="O69" i="11"/>
  <c r="N69" i="11"/>
  <c r="M69" i="11"/>
  <c r="L69" i="11"/>
  <c r="K69" i="11"/>
  <c r="J69" i="11"/>
  <c r="AC481" i="11"/>
  <c r="AB481" i="11"/>
  <c r="AA481" i="11"/>
  <c r="Z481" i="11"/>
  <c r="Y481" i="11"/>
  <c r="X481" i="11"/>
  <c r="W481" i="11"/>
  <c r="V481" i="11"/>
  <c r="U481" i="11"/>
  <c r="T481" i="11"/>
  <c r="S481" i="11"/>
  <c r="R481" i="11"/>
  <c r="Q481" i="11"/>
  <c r="P481" i="11"/>
  <c r="O481" i="11"/>
  <c r="N481" i="11"/>
  <c r="M481" i="11"/>
  <c r="L481" i="11"/>
  <c r="K481" i="11"/>
  <c r="J481" i="11"/>
  <c r="AC609" i="11"/>
  <c r="AB609" i="11"/>
  <c r="AA609" i="11"/>
  <c r="Z609" i="11"/>
  <c r="Y609" i="11"/>
  <c r="X609" i="11"/>
  <c r="W609" i="11"/>
  <c r="V609" i="11"/>
  <c r="U609" i="11"/>
  <c r="T609" i="11"/>
  <c r="S609" i="11"/>
  <c r="R609" i="11"/>
  <c r="Q609" i="11"/>
  <c r="P609" i="11"/>
  <c r="O609" i="11"/>
  <c r="N609" i="11"/>
  <c r="M609" i="11"/>
  <c r="L609" i="11"/>
  <c r="K609" i="11"/>
  <c r="J609" i="11"/>
  <c r="AC430" i="11"/>
  <c r="AB430" i="11"/>
  <c r="AA430" i="11"/>
  <c r="Z430" i="11"/>
  <c r="Y430" i="11"/>
  <c r="X430" i="11"/>
  <c r="W430" i="11"/>
  <c r="V430" i="11"/>
  <c r="U430" i="11"/>
  <c r="T430" i="11"/>
  <c r="S430" i="11"/>
  <c r="R430" i="11"/>
  <c r="Q430" i="11"/>
  <c r="P430" i="11"/>
  <c r="O430" i="11"/>
  <c r="N430" i="11"/>
  <c r="M430" i="11"/>
  <c r="L430" i="11"/>
  <c r="K430" i="11"/>
  <c r="J430" i="11"/>
  <c r="AC429" i="11"/>
  <c r="AB429" i="11"/>
  <c r="AA429" i="11"/>
  <c r="Z429" i="11"/>
  <c r="Y429" i="11"/>
  <c r="X429" i="11"/>
  <c r="W429" i="11"/>
  <c r="V429" i="11"/>
  <c r="U429" i="11"/>
  <c r="T429" i="11"/>
  <c r="S429" i="11"/>
  <c r="R429" i="11"/>
  <c r="Q429" i="11"/>
  <c r="P429" i="11"/>
  <c r="O429" i="11"/>
  <c r="N429" i="11"/>
  <c r="M429" i="11"/>
  <c r="L429" i="11"/>
  <c r="K429" i="11"/>
  <c r="J429" i="11"/>
  <c r="AC1231" i="11"/>
  <c r="AB1231" i="11"/>
  <c r="AA1231" i="11"/>
  <c r="Z1231" i="11"/>
  <c r="Y1231" i="11"/>
  <c r="X1231" i="11"/>
  <c r="W1231" i="11"/>
  <c r="V1231" i="11"/>
  <c r="U1231" i="11"/>
  <c r="T1231" i="11"/>
  <c r="S1231" i="11"/>
  <c r="R1231" i="11"/>
  <c r="Q1231" i="11"/>
  <c r="P1231" i="11"/>
  <c r="O1231" i="11"/>
  <c r="N1231" i="11"/>
  <c r="M1231" i="11"/>
  <c r="L1231" i="11"/>
  <c r="K1231" i="11"/>
  <c r="J1231" i="11"/>
  <c r="AC779" i="11"/>
  <c r="AB779" i="11"/>
  <c r="AA779" i="11"/>
  <c r="Z779" i="11"/>
  <c r="Y779" i="11"/>
  <c r="X779" i="11"/>
  <c r="W779" i="11"/>
  <c r="V779" i="11"/>
  <c r="U779" i="11"/>
  <c r="T779" i="11"/>
  <c r="S779" i="11"/>
  <c r="R779" i="11"/>
  <c r="Q779" i="11"/>
  <c r="P779" i="11"/>
  <c r="O779" i="11"/>
  <c r="N779" i="11"/>
  <c r="M779" i="11"/>
  <c r="L779" i="11"/>
  <c r="K779" i="11"/>
  <c r="J779" i="11"/>
  <c r="AC1287" i="11"/>
  <c r="AB1287" i="11"/>
  <c r="AA1287" i="11"/>
  <c r="Z1287" i="11"/>
  <c r="Y1287" i="11"/>
  <c r="X1287" i="11"/>
  <c r="W1287" i="11"/>
  <c r="V1287" i="11"/>
  <c r="U1287" i="11"/>
  <c r="T1287" i="11"/>
  <c r="S1287" i="11"/>
  <c r="R1287" i="11"/>
  <c r="Q1287" i="11"/>
  <c r="P1287" i="11"/>
  <c r="O1287" i="11"/>
  <c r="N1287" i="11"/>
  <c r="M1287" i="11"/>
  <c r="L1287" i="11"/>
  <c r="K1287" i="11"/>
  <c r="J1287" i="11"/>
  <c r="AC1160" i="11"/>
  <c r="AB1160" i="11"/>
  <c r="AA1160" i="11"/>
  <c r="Z1160" i="11"/>
  <c r="Y1160" i="11"/>
  <c r="X1160" i="11"/>
  <c r="W1160" i="11"/>
  <c r="V1160" i="11"/>
  <c r="U1160" i="11"/>
  <c r="T1160" i="11"/>
  <c r="S1160" i="11"/>
  <c r="R1160" i="11"/>
  <c r="Q1160" i="11"/>
  <c r="P1160" i="11"/>
  <c r="O1160" i="11"/>
  <c r="N1160" i="11"/>
  <c r="M1160" i="11"/>
  <c r="L1160" i="11"/>
  <c r="K1160" i="11"/>
  <c r="J1160" i="11"/>
  <c r="AC351" i="11"/>
  <c r="AB351" i="11"/>
  <c r="AA351" i="11"/>
  <c r="Z351" i="11"/>
  <c r="Y351" i="11"/>
  <c r="X351" i="11"/>
  <c r="W351" i="11"/>
  <c r="V351" i="11"/>
  <c r="U351" i="11"/>
  <c r="T351" i="11"/>
  <c r="S351" i="11"/>
  <c r="R351" i="11"/>
  <c r="Q351" i="11"/>
  <c r="P351" i="11"/>
  <c r="O351" i="11"/>
  <c r="N351" i="11"/>
  <c r="M351" i="11"/>
  <c r="L351" i="11"/>
  <c r="K351" i="11"/>
  <c r="J351" i="11"/>
  <c r="AC350" i="11"/>
  <c r="AB350" i="11"/>
  <c r="AA350" i="11"/>
  <c r="Z350" i="11"/>
  <c r="Y350" i="11"/>
  <c r="X350" i="11"/>
  <c r="W350" i="11"/>
  <c r="V350" i="11"/>
  <c r="U350" i="11"/>
  <c r="T350" i="11"/>
  <c r="S350" i="11"/>
  <c r="R350" i="11"/>
  <c r="Q350" i="11"/>
  <c r="P350" i="11"/>
  <c r="O350" i="11"/>
  <c r="N350" i="11"/>
  <c r="M350" i="11"/>
  <c r="L350" i="11"/>
  <c r="K350" i="11"/>
  <c r="J350" i="11"/>
  <c r="AC307" i="11"/>
  <c r="AB307" i="11"/>
  <c r="AA307" i="11"/>
  <c r="Z307" i="11"/>
  <c r="Y307" i="11"/>
  <c r="X307" i="11"/>
  <c r="W307" i="11"/>
  <c r="V307" i="11"/>
  <c r="U307" i="11"/>
  <c r="T307" i="11"/>
  <c r="S307" i="11"/>
  <c r="R307" i="11"/>
  <c r="Q307" i="11"/>
  <c r="P307" i="11"/>
  <c r="O307" i="11"/>
  <c r="N307" i="11"/>
  <c r="M307" i="11"/>
  <c r="L307" i="11"/>
  <c r="K307" i="11"/>
  <c r="J307" i="11"/>
  <c r="AC306" i="11"/>
  <c r="AB306" i="11"/>
  <c r="AA306" i="11"/>
  <c r="Z306" i="11"/>
  <c r="Y306" i="11"/>
  <c r="X306" i="11"/>
  <c r="W306" i="11"/>
  <c r="V306" i="11"/>
  <c r="U306" i="11"/>
  <c r="T306" i="11"/>
  <c r="S306" i="11"/>
  <c r="R306" i="11"/>
  <c r="Q306" i="11"/>
  <c r="P306" i="11"/>
  <c r="O306" i="11"/>
  <c r="N306" i="11"/>
  <c r="M306" i="11"/>
  <c r="L306" i="11"/>
  <c r="K306" i="11"/>
  <c r="J306" i="11"/>
  <c r="AC125" i="11"/>
  <c r="AB125" i="11"/>
  <c r="AA125" i="11"/>
  <c r="Z125" i="11"/>
  <c r="Y125" i="11"/>
  <c r="X125" i="11"/>
  <c r="W125" i="11"/>
  <c r="V125" i="11"/>
  <c r="U125" i="11"/>
  <c r="T125" i="11"/>
  <c r="S125" i="11"/>
  <c r="R125" i="11"/>
  <c r="Q125" i="11"/>
  <c r="P125" i="11"/>
  <c r="O125" i="11"/>
  <c r="N125" i="11"/>
  <c r="M125" i="11"/>
  <c r="L125" i="11"/>
  <c r="K125" i="11"/>
  <c r="J125" i="11"/>
  <c r="AC608" i="11"/>
  <c r="AB608" i="11"/>
  <c r="AA608" i="11"/>
  <c r="Z608" i="11"/>
  <c r="Y608" i="11"/>
  <c r="X608" i="11"/>
  <c r="W608" i="11"/>
  <c r="V608" i="11"/>
  <c r="U608" i="11"/>
  <c r="T608" i="11"/>
  <c r="S608" i="11"/>
  <c r="R608" i="11"/>
  <c r="Q608" i="11"/>
  <c r="P608" i="11"/>
  <c r="O608" i="11"/>
  <c r="N608" i="11"/>
  <c r="M608" i="11"/>
  <c r="L608" i="11"/>
  <c r="K608" i="11"/>
  <c r="J608" i="11"/>
  <c r="AC2216" i="11"/>
  <c r="AB2216" i="11"/>
  <c r="AA2216" i="11"/>
  <c r="Z2216" i="11"/>
  <c r="Y2216" i="11"/>
  <c r="X2216" i="11"/>
  <c r="W2216" i="11"/>
  <c r="V2216" i="11"/>
  <c r="U2216" i="11"/>
  <c r="T2216" i="11"/>
  <c r="S2216" i="11"/>
  <c r="R2216" i="11"/>
  <c r="Q2216" i="11"/>
  <c r="P2216" i="11"/>
  <c r="O2216" i="11"/>
  <c r="N2216" i="11"/>
  <c r="M2216" i="11"/>
  <c r="L2216" i="11"/>
  <c r="K2216" i="11"/>
  <c r="J2216" i="11"/>
  <c r="AC2052" i="11"/>
  <c r="AB2052" i="11"/>
  <c r="AA2052" i="11"/>
  <c r="Z2052" i="11"/>
  <c r="Y2052" i="11"/>
  <c r="X2052" i="11"/>
  <c r="W2052" i="11"/>
  <c r="V2052" i="11"/>
  <c r="U2052" i="11"/>
  <c r="T2052" i="11"/>
  <c r="S2052" i="11"/>
  <c r="R2052" i="11"/>
  <c r="Q2052" i="11"/>
  <c r="P2052" i="11"/>
  <c r="O2052" i="11"/>
  <c r="N2052" i="11"/>
  <c r="M2052" i="11"/>
  <c r="L2052" i="11"/>
  <c r="K2052" i="11"/>
  <c r="J2052" i="11"/>
  <c r="AC1230" i="11"/>
  <c r="AB1230" i="11"/>
  <c r="AA1230" i="11"/>
  <c r="Z1230" i="11"/>
  <c r="Y1230" i="11"/>
  <c r="X1230" i="11"/>
  <c r="W1230" i="11"/>
  <c r="V1230" i="11"/>
  <c r="U1230" i="11"/>
  <c r="T1230" i="11"/>
  <c r="S1230" i="11"/>
  <c r="R1230" i="11"/>
  <c r="Q1230" i="11"/>
  <c r="P1230" i="11"/>
  <c r="O1230" i="11"/>
  <c r="N1230" i="11"/>
  <c r="M1230" i="11"/>
  <c r="L1230" i="11"/>
  <c r="K1230" i="11"/>
  <c r="J1230" i="11"/>
  <c r="AC1867" i="11"/>
  <c r="AB1867" i="11"/>
  <c r="AA1867" i="11"/>
  <c r="Z1867" i="11"/>
  <c r="Y1867" i="11"/>
  <c r="X1867" i="11"/>
  <c r="W1867" i="11"/>
  <c r="V1867" i="11"/>
  <c r="U1867" i="11"/>
  <c r="T1867" i="11"/>
  <c r="S1867" i="11"/>
  <c r="R1867" i="11"/>
  <c r="Q1867" i="11"/>
  <c r="P1867" i="11"/>
  <c r="O1867" i="11"/>
  <c r="N1867" i="11"/>
  <c r="M1867" i="11"/>
  <c r="L1867" i="11"/>
  <c r="K1867" i="11"/>
  <c r="J1867" i="11"/>
  <c r="AC1625" i="11"/>
  <c r="AB1625" i="11"/>
  <c r="AA1625" i="11"/>
  <c r="Z1625" i="11"/>
  <c r="Y1625" i="11"/>
  <c r="X1625" i="11"/>
  <c r="W1625" i="11"/>
  <c r="V1625" i="11"/>
  <c r="U1625" i="11"/>
  <c r="T1625" i="11"/>
  <c r="S1625" i="11"/>
  <c r="R1625" i="11"/>
  <c r="Q1625" i="11"/>
  <c r="P1625" i="11"/>
  <c r="O1625" i="11"/>
  <c r="N1625" i="11"/>
  <c r="M1625" i="11"/>
  <c r="L1625" i="11"/>
  <c r="K1625" i="11"/>
  <c r="J1625" i="11"/>
  <c r="AC703" i="11"/>
  <c r="AB703" i="11"/>
  <c r="AA703" i="11"/>
  <c r="Z703" i="11"/>
  <c r="Y703" i="11"/>
  <c r="X703" i="11"/>
  <c r="W703" i="11"/>
  <c r="V703" i="11"/>
  <c r="U703" i="11"/>
  <c r="T703" i="11"/>
  <c r="S703" i="11"/>
  <c r="R703" i="11"/>
  <c r="Q703" i="11"/>
  <c r="P703" i="11"/>
  <c r="O703" i="11"/>
  <c r="N703" i="11"/>
  <c r="M703" i="11"/>
  <c r="L703" i="11"/>
  <c r="K703" i="11"/>
  <c r="J703" i="11"/>
  <c r="AC1543" i="11"/>
  <c r="AB1543" i="11"/>
  <c r="AA1543" i="11"/>
  <c r="Z1543" i="11"/>
  <c r="Y1543" i="11"/>
  <c r="X1543" i="11"/>
  <c r="W1543" i="11"/>
  <c r="V1543" i="11"/>
  <c r="U1543" i="11"/>
  <c r="T1543" i="11"/>
  <c r="S1543" i="11"/>
  <c r="R1543" i="11"/>
  <c r="Q1543" i="11"/>
  <c r="P1543" i="11"/>
  <c r="O1543" i="11"/>
  <c r="N1543" i="11"/>
  <c r="M1543" i="11"/>
  <c r="L1543" i="11"/>
  <c r="K1543" i="11"/>
  <c r="J1543" i="11"/>
  <c r="AC1542" i="11"/>
  <c r="AB1542" i="11"/>
  <c r="AA1542" i="11"/>
  <c r="Z1542" i="11"/>
  <c r="Y1542" i="11"/>
  <c r="X1542" i="11"/>
  <c r="W1542" i="11"/>
  <c r="V1542" i="11"/>
  <c r="U1542" i="11"/>
  <c r="T1542" i="11"/>
  <c r="S1542" i="11"/>
  <c r="R1542" i="11"/>
  <c r="Q1542" i="11"/>
  <c r="P1542" i="11"/>
  <c r="O1542" i="11"/>
  <c r="N1542" i="11"/>
  <c r="M1542" i="11"/>
  <c r="L1542" i="11"/>
  <c r="K1542" i="11"/>
  <c r="J1542" i="11"/>
  <c r="AC2154" i="11"/>
  <c r="AB2154" i="11"/>
  <c r="AA2154" i="11"/>
  <c r="Z2154" i="11"/>
  <c r="Y2154" i="11"/>
  <c r="X2154" i="11"/>
  <c r="W2154" i="11"/>
  <c r="V2154" i="11"/>
  <c r="U2154" i="11"/>
  <c r="T2154" i="11"/>
  <c r="S2154" i="11"/>
  <c r="R2154" i="11"/>
  <c r="Q2154" i="11"/>
  <c r="P2154" i="11"/>
  <c r="O2154" i="11"/>
  <c r="N2154" i="11"/>
  <c r="M2154" i="11"/>
  <c r="L2154" i="11"/>
  <c r="K2154" i="11"/>
  <c r="J2154" i="11"/>
  <c r="AC926" i="11"/>
  <c r="AB926" i="11"/>
  <c r="AA926" i="11"/>
  <c r="Z926" i="11"/>
  <c r="Y926" i="11"/>
  <c r="X926" i="11"/>
  <c r="W926" i="11"/>
  <c r="V926" i="11"/>
  <c r="U926" i="11"/>
  <c r="T926" i="11"/>
  <c r="S926" i="11"/>
  <c r="R926" i="11"/>
  <c r="Q926" i="11"/>
  <c r="P926" i="11"/>
  <c r="O926" i="11"/>
  <c r="N926" i="11"/>
  <c r="M926" i="11"/>
  <c r="L926" i="11"/>
  <c r="K926" i="11"/>
  <c r="J926" i="11"/>
  <c r="AC1672" i="11"/>
  <c r="AB1672" i="11"/>
  <c r="AA1672" i="11"/>
  <c r="Z1672" i="11"/>
  <c r="Y1672" i="11"/>
  <c r="X1672" i="11"/>
  <c r="W1672" i="11"/>
  <c r="V1672" i="11"/>
  <c r="U1672" i="11"/>
  <c r="T1672" i="11"/>
  <c r="S1672" i="11"/>
  <c r="R1672" i="11"/>
  <c r="Q1672" i="11"/>
  <c r="P1672" i="11"/>
  <c r="O1672" i="11"/>
  <c r="N1672" i="11"/>
  <c r="M1672" i="11"/>
  <c r="L1672" i="11"/>
  <c r="K1672" i="11"/>
  <c r="J1672" i="11"/>
  <c r="AC391" i="11"/>
  <c r="AB391" i="11"/>
  <c r="AA391" i="11"/>
  <c r="Z391" i="11"/>
  <c r="Y391" i="11"/>
  <c r="X391" i="11"/>
  <c r="W391" i="11"/>
  <c r="V391" i="11"/>
  <c r="U391" i="11"/>
  <c r="T391" i="11"/>
  <c r="S391" i="11"/>
  <c r="R391" i="11"/>
  <c r="Q391" i="11"/>
  <c r="P391" i="11"/>
  <c r="O391" i="11"/>
  <c r="N391" i="11"/>
  <c r="M391" i="11"/>
  <c r="L391" i="11"/>
  <c r="K391" i="11"/>
  <c r="J391" i="11"/>
  <c r="AC1000" i="11"/>
  <c r="AB1000" i="11"/>
  <c r="AA1000" i="11"/>
  <c r="Z1000" i="11"/>
  <c r="Y1000" i="11"/>
  <c r="X1000" i="11"/>
  <c r="W1000" i="11"/>
  <c r="V1000" i="11"/>
  <c r="U1000" i="11"/>
  <c r="T1000" i="11"/>
  <c r="S1000" i="11"/>
  <c r="R1000" i="11"/>
  <c r="Q1000" i="11"/>
  <c r="P1000" i="11"/>
  <c r="O1000" i="11"/>
  <c r="N1000" i="11"/>
  <c r="M1000" i="11"/>
  <c r="L1000" i="11"/>
  <c r="K1000" i="11"/>
  <c r="J1000" i="11"/>
  <c r="AC1089" i="11"/>
  <c r="AB1089" i="11"/>
  <c r="AA1089" i="11"/>
  <c r="Z1089" i="11"/>
  <c r="Y1089" i="11"/>
  <c r="X1089" i="11"/>
  <c r="W1089" i="11"/>
  <c r="V1089" i="11"/>
  <c r="U1089" i="11"/>
  <c r="T1089" i="11"/>
  <c r="S1089" i="11"/>
  <c r="R1089" i="11"/>
  <c r="Q1089" i="11"/>
  <c r="P1089" i="11"/>
  <c r="O1089" i="11"/>
  <c r="N1089" i="11"/>
  <c r="M1089" i="11"/>
  <c r="L1089" i="11"/>
  <c r="K1089" i="11"/>
  <c r="J1089" i="11"/>
  <c r="AC702" i="11"/>
  <c r="AB702" i="11"/>
  <c r="AA702" i="11"/>
  <c r="Z702" i="11"/>
  <c r="Y702" i="11"/>
  <c r="X702" i="11"/>
  <c r="W702" i="11"/>
  <c r="V702" i="11"/>
  <c r="U702" i="11"/>
  <c r="T702" i="11"/>
  <c r="S702" i="11"/>
  <c r="R702" i="11"/>
  <c r="Q702" i="11"/>
  <c r="P702" i="11"/>
  <c r="O702" i="11"/>
  <c r="N702" i="11"/>
  <c r="M702" i="11"/>
  <c r="L702" i="11"/>
  <c r="K702" i="11"/>
  <c r="J702" i="11"/>
  <c r="AC1814" i="11"/>
  <c r="AB1814" i="11"/>
  <c r="AA1814" i="11"/>
  <c r="Z1814" i="11"/>
  <c r="Y1814" i="11"/>
  <c r="X1814" i="11"/>
  <c r="W1814" i="11"/>
  <c r="V1814" i="11"/>
  <c r="U1814" i="11"/>
  <c r="T1814" i="11"/>
  <c r="S1814" i="11"/>
  <c r="R1814" i="11"/>
  <c r="Q1814" i="11"/>
  <c r="P1814" i="11"/>
  <c r="O1814" i="11"/>
  <c r="N1814" i="11"/>
  <c r="M1814" i="11"/>
  <c r="L1814" i="11"/>
  <c r="K1814" i="11"/>
  <c r="J1814" i="11"/>
  <c r="AC701" i="11"/>
  <c r="AB701" i="11"/>
  <c r="AA701" i="11"/>
  <c r="Z701" i="11"/>
  <c r="Y701" i="11"/>
  <c r="X701" i="11"/>
  <c r="W701" i="11"/>
  <c r="V701" i="11"/>
  <c r="U701" i="11"/>
  <c r="T701" i="11"/>
  <c r="S701" i="11"/>
  <c r="R701" i="11"/>
  <c r="Q701" i="11"/>
  <c r="P701" i="11"/>
  <c r="O701" i="11"/>
  <c r="N701" i="11"/>
  <c r="M701" i="11"/>
  <c r="L701" i="11"/>
  <c r="K701" i="11"/>
  <c r="J701" i="11"/>
  <c r="AC1541" i="11"/>
  <c r="AB1541" i="11"/>
  <c r="AA1541" i="11"/>
  <c r="Z1541" i="11"/>
  <c r="Y1541" i="11"/>
  <c r="X1541" i="11"/>
  <c r="W1541" i="11"/>
  <c r="V1541" i="11"/>
  <c r="U1541" i="11"/>
  <c r="T1541" i="11"/>
  <c r="S1541" i="11"/>
  <c r="R1541" i="11"/>
  <c r="Q1541" i="11"/>
  <c r="P1541" i="11"/>
  <c r="O1541" i="11"/>
  <c r="N1541" i="11"/>
  <c r="M1541" i="11"/>
  <c r="L1541" i="11"/>
  <c r="K1541" i="11"/>
  <c r="J1541" i="11"/>
  <c r="AC271" i="11"/>
  <c r="AB271" i="11"/>
  <c r="AA271" i="11"/>
  <c r="Z271" i="11"/>
  <c r="Y271" i="11"/>
  <c r="X271" i="11"/>
  <c r="W271" i="11"/>
  <c r="V271" i="11"/>
  <c r="U271" i="11"/>
  <c r="T271" i="11"/>
  <c r="S271" i="11"/>
  <c r="R271" i="11"/>
  <c r="Q271" i="11"/>
  <c r="P271" i="11"/>
  <c r="O271" i="11"/>
  <c r="N271" i="11"/>
  <c r="M271" i="11"/>
  <c r="L271" i="11"/>
  <c r="K271" i="11"/>
  <c r="J271" i="11"/>
  <c r="AC1159" i="11"/>
  <c r="AB1159" i="11"/>
  <c r="AA1159" i="11"/>
  <c r="Z1159" i="11"/>
  <c r="Y1159" i="11"/>
  <c r="X1159" i="11"/>
  <c r="W1159" i="11"/>
  <c r="V1159" i="11"/>
  <c r="U1159" i="11"/>
  <c r="T1159" i="11"/>
  <c r="S1159" i="11"/>
  <c r="R1159" i="11"/>
  <c r="Q1159" i="11"/>
  <c r="P1159" i="11"/>
  <c r="O1159" i="11"/>
  <c r="N1159" i="11"/>
  <c r="M1159" i="11"/>
  <c r="L1159" i="11"/>
  <c r="K1159" i="11"/>
  <c r="J1159" i="11"/>
  <c r="AC1917" i="11"/>
  <c r="AB1917" i="11"/>
  <c r="AA1917" i="11"/>
  <c r="Z1917" i="11"/>
  <c r="Y1917" i="11"/>
  <c r="X1917" i="11"/>
  <c r="W1917" i="11"/>
  <c r="V1917" i="11"/>
  <c r="U1917" i="11"/>
  <c r="T1917" i="11"/>
  <c r="S1917" i="11"/>
  <c r="R1917" i="11"/>
  <c r="Q1917" i="11"/>
  <c r="P1917" i="11"/>
  <c r="O1917" i="11"/>
  <c r="N1917" i="11"/>
  <c r="M1917" i="11"/>
  <c r="L1917" i="11"/>
  <c r="K1917" i="11"/>
  <c r="J1917" i="11"/>
  <c r="AC1381" i="11"/>
  <c r="AB1381" i="11"/>
  <c r="AA1381" i="11"/>
  <c r="Z1381" i="11"/>
  <c r="Y1381" i="11"/>
  <c r="X1381" i="11"/>
  <c r="W1381" i="11"/>
  <c r="V1381" i="11"/>
  <c r="U1381" i="11"/>
  <c r="T1381" i="11"/>
  <c r="S1381" i="11"/>
  <c r="R1381" i="11"/>
  <c r="Q1381" i="11"/>
  <c r="P1381" i="11"/>
  <c r="O1381" i="11"/>
  <c r="N1381" i="11"/>
  <c r="M1381" i="11"/>
  <c r="L1381" i="11"/>
  <c r="K1381" i="11"/>
  <c r="J1381" i="11"/>
  <c r="AC2090" i="11"/>
  <c r="AB2090" i="11"/>
  <c r="AA2090" i="11"/>
  <c r="Z2090" i="11"/>
  <c r="Y2090" i="11"/>
  <c r="X2090" i="11"/>
  <c r="W2090" i="11"/>
  <c r="V2090" i="11"/>
  <c r="U2090" i="11"/>
  <c r="T2090" i="11"/>
  <c r="S2090" i="11"/>
  <c r="R2090" i="11"/>
  <c r="Q2090" i="11"/>
  <c r="P2090" i="11"/>
  <c r="O2090" i="11"/>
  <c r="N2090" i="11"/>
  <c r="M2090" i="11"/>
  <c r="L2090" i="11"/>
  <c r="K2090" i="11"/>
  <c r="J2090" i="11"/>
  <c r="AC1286" i="11"/>
  <c r="AB1286" i="11"/>
  <c r="AA1286" i="11"/>
  <c r="Z1286" i="11"/>
  <c r="Y1286" i="11"/>
  <c r="X1286" i="11"/>
  <c r="W1286" i="11"/>
  <c r="V1286" i="11"/>
  <c r="U1286" i="11"/>
  <c r="T1286" i="11"/>
  <c r="S1286" i="11"/>
  <c r="R1286" i="11"/>
  <c r="Q1286" i="11"/>
  <c r="P1286" i="11"/>
  <c r="O1286" i="11"/>
  <c r="N1286" i="11"/>
  <c r="M1286" i="11"/>
  <c r="L1286" i="11"/>
  <c r="K1286" i="11"/>
  <c r="J1286" i="11"/>
  <c r="AC2119" i="11"/>
  <c r="AB2119" i="11"/>
  <c r="AA2119" i="11"/>
  <c r="Z2119" i="11"/>
  <c r="Y2119" i="11"/>
  <c r="X2119" i="11"/>
  <c r="W2119" i="11"/>
  <c r="V2119" i="11"/>
  <c r="U2119" i="11"/>
  <c r="T2119" i="11"/>
  <c r="S2119" i="11"/>
  <c r="R2119" i="11"/>
  <c r="Q2119" i="11"/>
  <c r="P2119" i="11"/>
  <c r="O2119" i="11"/>
  <c r="N2119" i="11"/>
  <c r="M2119" i="11"/>
  <c r="L2119" i="11"/>
  <c r="K2119" i="11"/>
  <c r="J2119" i="11"/>
  <c r="AC1866" i="11"/>
  <c r="AB1866" i="11"/>
  <c r="AA1866" i="11"/>
  <c r="Z1866" i="11"/>
  <c r="Y1866" i="11"/>
  <c r="X1866" i="11"/>
  <c r="W1866" i="11"/>
  <c r="V1866" i="11"/>
  <c r="U1866" i="11"/>
  <c r="T1866" i="11"/>
  <c r="S1866" i="11"/>
  <c r="R1866" i="11"/>
  <c r="Q1866" i="11"/>
  <c r="P1866" i="11"/>
  <c r="O1866" i="11"/>
  <c r="N1866" i="11"/>
  <c r="M1866" i="11"/>
  <c r="L1866" i="11"/>
  <c r="K1866" i="11"/>
  <c r="J1866" i="11"/>
  <c r="AC2002" i="11"/>
  <c r="AB2002" i="11"/>
  <c r="AA2002" i="11"/>
  <c r="Z2002" i="11"/>
  <c r="Y2002" i="11"/>
  <c r="X2002" i="11"/>
  <c r="W2002" i="11"/>
  <c r="V2002" i="11"/>
  <c r="U2002" i="11"/>
  <c r="T2002" i="11"/>
  <c r="S2002" i="11"/>
  <c r="R2002" i="11"/>
  <c r="Q2002" i="11"/>
  <c r="P2002" i="11"/>
  <c r="O2002" i="11"/>
  <c r="N2002" i="11"/>
  <c r="M2002" i="11"/>
  <c r="L2002" i="11"/>
  <c r="K2002" i="11"/>
  <c r="J2002" i="11"/>
  <c r="AC1624" i="11"/>
  <c r="AB1624" i="11"/>
  <c r="AA1624" i="11"/>
  <c r="Z1624" i="11"/>
  <c r="Y1624" i="11"/>
  <c r="X1624" i="11"/>
  <c r="W1624" i="11"/>
  <c r="V1624" i="11"/>
  <c r="U1624" i="11"/>
  <c r="T1624" i="11"/>
  <c r="S1624" i="11"/>
  <c r="R1624" i="11"/>
  <c r="Q1624" i="11"/>
  <c r="P1624" i="11"/>
  <c r="O1624" i="11"/>
  <c r="N1624" i="11"/>
  <c r="M1624" i="11"/>
  <c r="L1624" i="11"/>
  <c r="K1624" i="11"/>
  <c r="J1624" i="11"/>
  <c r="AC925" i="11"/>
  <c r="AB925" i="11"/>
  <c r="AA925" i="11"/>
  <c r="Z925" i="11"/>
  <c r="Y925" i="11"/>
  <c r="X925" i="11"/>
  <c r="W925" i="11"/>
  <c r="V925" i="11"/>
  <c r="U925" i="11"/>
  <c r="T925" i="11"/>
  <c r="S925" i="11"/>
  <c r="R925" i="11"/>
  <c r="Q925" i="11"/>
  <c r="P925" i="11"/>
  <c r="O925" i="11"/>
  <c r="N925" i="11"/>
  <c r="M925" i="11"/>
  <c r="L925" i="11"/>
  <c r="K925" i="11"/>
  <c r="J925" i="11"/>
  <c r="AC2153" i="11"/>
  <c r="AB2153" i="11"/>
  <c r="AA2153" i="11"/>
  <c r="Z2153" i="11"/>
  <c r="Y2153" i="11"/>
  <c r="X2153" i="11"/>
  <c r="W2153" i="11"/>
  <c r="V2153" i="11"/>
  <c r="U2153" i="11"/>
  <c r="T2153" i="11"/>
  <c r="S2153" i="11"/>
  <c r="R2153" i="11"/>
  <c r="Q2153" i="11"/>
  <c r="P2153" i="11"/>
  <c r="O2153" i="11"/>
  <c r="N2153" i="11"/>
  <c r="M2153" i="11"/>
  <c r="L2153" i="11"/>
  <c r="K2153" i="11"/>
  <c r="J2153" i="11"/>
  <c r="AC1495" i="11"/>
  <c r="AB1495" i="11"/>
  <c r="AA1495" i="11"/>
  <c r="Z1495" i="11"/>
  <c r="Y1495" i="11"/>
  <c r="X1495" i="11"/>
  <c r="W1495" i="11"/>
  <c r="V1495" i="11"/>
  <c r="U1495" i="11"/>
  <c r="T1495" i="11"/>
  <c r="S1495" i="11"/>
  <c r="R1495" i="11"/>
  <c r="Q1495" i="11"/>
  <c r="P1495" i="11"/>
  <c r="O1495" i="11"/>
  <c r="N1495" i="11"/>
  <c r="M1495" i="11"/>
  <c r="L1495" i="11"/>
  <c r="K1495" i="11"/>
  <c r="J1495" i="11"/>
  <c r="AC1770" i="11"/>
  <c r="AB1770" i="11"/>
  <c r="AA1770" i="11"/>
  <c r="Z1770" i="11"/>
  <c r="Y1770" i="11"/>
  <c r="X1770" i="11"/>
  <c r="W1770" i="11"/>
  <c r="V1770" i="11"/>
  <c r="U1770" i="11"/>
  <c r="T1770" i="11"/>
  <c r="S1770" i="11"/>
  <c r="R1770" i="11"/>
  <c r="Q1770" i="11"/>
  <c r="P1770" i="11"/>
  <c r="O1770" i="11"/>
  <c r="N1770" i="11"/>
  <c r="M1770" i="11"/>
  <c r="L1770" i="11"/>
  <c r="K1770" i="11"/>
  <c r="J1770" i="11"/>
  <c r="AC428" i="11"/>
  <c r="AB428" i="11"/>
  <c r="AA428" i="11"/>
  <c r="Z428" i="11"/>
  <c r="Y428" i="11"/>
  <c r="X428" i="11"/>
  <c r="W428" i="11"/>
  <c r="V428" i="11"/>
  <c r="U428" i="11"/>
  <c r="T428" i="11"/>
  <c r="S428" i="11"/>
  <c r="R428" i="11"/>
  <c r="Q428" i="11"/>
  <c r="P428" i="11"/>
  <c r="O428" i="11"/>
  <c r="N428" i="11"/>
  <c r="M428" i="11"/>
  <c r="L428" i="11"/>
  <c r="K428" i="11"/>
  <c r="J428" i="11"/>
  <c r="AC427" i="11"/>
  <c r="AB427" i="11"/>
  <c r="AA427" i="11"/>
  <c r="Z427" i="11"/>
  <c r="Y427" i="11"/>
  <c r="X427" i="11"/>
  <c r="W427" i="11"/>
  <c r="V427" i="11"/>
  <c r="U427" i="11"/>
  <c r="T427" i="11"/>
  <c r="S427" i="11"/>
  <c r="R427" i="11"/>
  <c r="Q427" i="11"/>
  <c r="P427" i="11"/>
  <c r="O427" i="11"/>
  <c r="N427" i="11"/>
  <c r="M427" i="11"/>
  <c r="L427" i="11"/>
  <c r="K427" i="11"/>
  <c r="J427" i="11"/>
  <c r="AC1380" i="11"/>
  <c r="AB1380" i="11"/>
  <c r="AA1380" i="11"/>
  <c r="Z1380" i="11"/>
  <c r="Y1380" i="11"/>
  <c r="X1380" i="11"/>
  <c r="W1380" i="11"/>
  <c r="V1380" i="11"/>
  <c r="U1380" i="11"/>
  <c r="T1380" i="11"/>
  <c r="S1380" i="11"/>
  <c r="R1380" i="11"/>
  <c r="Q1380" i="11"/>
  <c r="P1380" i="11"/>
  <c r="O1380" i="11"/>
  <c r="N1380" i="11"/>
  <c r="M1380" i="11"/>
  <c r="L1380" i="11"/>
  <c r="K1380" i="11"/>
  <c r="J1380" i="11"/>
  <c r="AC390" i="11"/>
  <c r="AB390" i="11"/>
  <c r="AA390" i="11"/>
  <c r="Z390" i="11"/>
  <c r="Y390" i="11"/>
  <c r="X390" i="11"/>
  <c r="W390" i="11"/>
  <c r="V390" i="11"/>
  <c r="U390" i="11"/>
  <c r="T390" i="11"/>
  <c r="S390" i="11"/>
  <c r="R390" i="11"/>
  <c r="Q390" i="11"/>
  <c r="P390" i="11"/>
  <c r="O390" i="11"/>
  <c r="N390" i="11"/>
  <c r="M390" i="11"/>
  <c r="L390" i="11"/>
  <c r="K390" i="11"/>
  <c r="J390" i="11"/>
  <c r="AC1813" i="11"/>
  <c r="AB1813" i="11"/>
  <c r="AA1813" i="11"/>
  <c r="Z1813" i="11"/>
  <c r="Y1813" i="11"/>
  <c r="X1813" i="11"/>
  <c r="W1813" i="11"/>
  <c r="V1813" i="11"/>
  <c r="U1813" i="11"/>
  <c r="T1813" i="11"/>
  <c r="S1813" i="11"/>
  <c r="R1813" i="11"/>
  <c r="Q1813" i="11"/>
  <c r="P1813" i="11"/>
  <c r="O1813" i="11"/>
  <c r="N1813" i="11"/>
  <c r="M1813" i="11"/>
  <c r="L1813" i="11"/>
  <c r="K1813" i="11"/>
  <c r="J1813" i="11"/>
  <c r="AC1229" i="11"/>
  <c r="AB1229" i="11"/>
  <c r="AA1229" i="11"/>
  <c r="Z1229" i="11"/>
  <c r="Y1229" i="11"/>
  <c r="X1229" i="11"/>
  <c r="W1229" i="11"/>
  <c r="V1229" i="11"/>
  <c r="U1229" i="11"/>
  <c r="T1229" i="11"/>
  <c r="S1229" i="11"/>
  <c r="R1229" i="11"/>
  <c r="Q1229" i="11"/>
  <c r="P1229" i="11"/>
  <c r="O1229" i="11"/>
  <c r="N1229" i="11"/>
  <c r="M1229" i="11"/>
  <c r="L1229" i="11"/>
  <c r="K1229" i="11"/>
  <c r="J1229" i="11"/>
  <c r="AC1494" i="11"/>
  <c r="AB1494" i="11"/>
  <c r="AA1494" i="11"/>
  <c r="Z1494" i="11"/>
  <c r="Y1494" i="11"/>
  <c r="X1494" i="11"/>
  <c r="W1494" i="11"/>
  <c r="V1494" i="11"/>
  <c r="U1494" i="11"/>
  <c r="T1494" i="11"/>
  <c r="S1494" i="11"/>
  <c r="R1494" i="11"/>
  <c r="Q1494" i="11"/>
  <c r="P1494" i="11"/>
  <c r="O1494" i="11"/>
  <c r="N1494" i="11"/>
  <c r="M1494" i="11"/>
  <c r="L1494" i="11"/>
  <c r="K1494" i="11"/>
  <c r="J1494" i="11"/>
  <c r="AC2172" i="11"/>
  <c r="AB2172" i="11"/>
  <c r="AA2172" i="11"/>
  <c r="Z2172" i="11"/>
  <c r="Y2172" i="11"/>
  <c r="X2172" i="11"/>
  <c r="W2172" i="11"/>
  <c r="V2172" i="11"/>
  <c r="U2172" i="11"/>
  <c r="T2172" i="11"/>
  <c r="S2172" i="11"/>
  <c r="R2172" i="11"/>
  <c r="Q2172" i="11"/>
  <c r="P2172" i="11"/>
  <c r="O2172" i="11"/>
  <c r="N2172" i="11"/>
  <c r="M2172" i="11"/>
  <c r="L2172" i="11"/>
  <c r="K2172" i="11"/>
  <c r="J2172" i="11"/>
  <c r="AC1671" i="11"/>
  <c r="AB1671" i="11"/>
  <c r="AA1671" i="11"/>
  <c r="Z1671" i="11"/>
  <c r="Y1671" i="11"/>
  <c r="X1671" i="11"/>
  <c r="W1671" i="11"/>
  <c r="V1671" i="11"/>
  <c r="U1671" i="11"/>
  <c r="T1671" i="11"/>
  <c r="S1671" i="11"/>
  <c r="R1671" i="11"/>
  <c r="Q1671" i="11"/>
  <c r="P1671" i="11"/>
  <c r="O1671" i="11"/>
  <c r="N1671" i="11"/>
  <c r="M1671" i="11"/>
  <c r="L1671" i="11"/>
  <c r="K1671" i="11"/>
  <c r="J1671" i="11"/>
  <c r="AC426" i="11"/>
  <c r="AB426" i="11"/>
  <c r="AA426" i="11"/>
  <c r="Z426" i="11"/>
  <c r="Y426" i="11"/>
  <c r="X426" i="11"/>
  <c r="W426" i="11"/>
  <c r="V426" i="11"/>
  <c r="U426" i="11"/>
  <c r="T426" i="11"/>
  <c r="S426" i="11"/>
  <c r="R426" i="11"/>
  <c r="Q426" i="11"/>
  <c r="P426" i="11"/>
  <c r="O426" i="11"/>
  <c r="N426" i="11"/>
  <c r="M426" i="11"/>
  <c r="L426" i="11"/>
  <c r="K426" i="11"/>
  <c r="J426" i="11"/>
  <c r="AC480" i="11"/>
  <c r="AB480" i="11"/>
  <c r="AA480" i="11"/>
  <c r="Z480" i="11"/>
  <c r="Y480" i="11"/>
  <c r="X480" i="11"/>
  <c r="W480" i="11"/>
  <c r="V480" i="11"/>
  <c r="U480" i="11"/>
  <c r="T480" i="11"/>
  <c r="S480" i="11"/>
  <c r="R480" i="11"/>
  <c r="Q480" i="11"/>
  <c r="P480" i="11"/>
  <c r="O480" i="11"/>
  <c r="N480" i="11"/>
  <c r="M480" i="11"/>
  <c r="L480" i="11"/>
  <c r="K480" i="11"/>
  <c r="J480" i="11"/>
  <c r="AC2215" i="11"/>
  <c r="AB2215" i="11"/>
  <c r="AA2215" i="11"/>
  <c r="Z2215" i="11"/>
  <c r="Y2215" i="11"/>
  <c r="X2215" i="11"/>
  <c r="W2215" i="11"/>
  <c r="V2215" i="11"/>
  <c r="U2215" i="11"/>
  <c r="T2215" i="11"/>
  <c r="S2215" i="11"/>
  <c r="R2215" i="11"/>
  <c r="Q2215" i="11"/>
  <c r="P2215" i="11"/>
  <c r="O2215" i="11"/>
  <c r="N2215" i="11"/>
  <c r="M2215" i="11"/>
  <c r="L2215" i="11"/>
  <c r="K2215" i="11"/>
  <c r="J2215" i="11"/>
  <c r="AC2001" i="11"/>
  <c r="AB2001" i="11"/>
  <c r="AA2001" i="11"/>
  <c r="Z2001" i="11"/>
  <c r="Y2001" i="11"/>
  <c r="X2001" i="11"/>
  <c r="W2001" i="11"/>
  <c r="V2001" i="11"/>
  <c r="U2001" i="11"/>
  <c r="T2001" i="11"/>
  <c r="S2001" i="11"/>
  <c r="R2001" i="11"/>
  <c r="Q2001" i="11"/>
  <c r="P2001" i="11"/>
  <c r="O2001" i="11"/>
  <c r="N2001" i="11"/>
  <c r="M2001" i="11"/>
  <c r="L2001" i="11"/>
  <c r="K2001" i="11"/>
  <c r="J2001" i="11"/>
  <c r="AC1088" i="11"/>
  <c r="AB1088" i="11"/>
  <c r="AA1088" i="11"/>
  <c r="Z1088" i="11"/>
  <c r="Y1088" i="11"/>
  <c r="X1088" i="11"/>
  <c r="W1088" i="11"/>
  <c r="V1088" i="11"/>
  <c r="U1088" i="11"/>
  <c r="T1088" i="11"/>
  <c r="S1088" i="11"/>
  <c r="R1088" i="11"/>
  <c r="Q1088" i="11"/>
  <c r="P1088" i="11"/>
  <c r="O1088" i="11"/>
  <c r="N1088" i="11"/>
  <c r="M1088" i="11"/>
  <c r="L1088" i="11"/>
  <c r="K1088" i="11"/>
  <c r="J1088" i="11"/>
  <c r="AC2171" i="11"/>
  <c r="AB2171" i="11"/>
  <c r="AA2171" i="11"/>
  <c r="Z2171" i="11"/>
  <c r="Y2171" i="11"/>
  <c r="X2171" i="11"/>
  <c r="W2171" i="11"/>
  <c r="V2171" i="11"/>
  <c r="U2171" i="11"/>
  <c r="T2171" i="11"/>
  <c r="S2171" i="11"/>
  <c r="R2171" i="11"/>
  <c r="Q2171" i="11"/>
  <c r="P2171" i="11"/>
  <c r="O2171" i="11"/>
  <c r="N2171" i="11"/>
  <c r="M2171" i="11"/>
  <c r="L2171" i="11"/>
  <c r="K2171" i="11"/>
  <c r="J2171" i="11"/>
  <c r="AC1285" i="11"/>
  <c r="AB1285" i="11"/>
  <c r="AA1285" i="11"/>
  <c r="Z1285" i="11"/>
  <c r="Y1285" i="11"/>
  <c r="X1285" i="11"/>
  <c r="W1285" i="11"/>
  <c r="V1285" i="11"/>
  <c r="U1285" i="11"/>
  <c r="T1285" i="11"/>
  <c r="S1285" i="11"/>
  <c r="R1285" i="11"/>
  <c r="Q1285" i="11"/>
  <c r="P1285" i="11"/>
  <c r="O1285" i="11"/>
  <c r="N1285" i="11"/>
  <c r="M1285" i="11"/>
  <c r="L1285" i="11"/>
  <c r="K1285" i="11"/>
  <c r="J1285" i="11"/>
  <c r="AC1284" i="11"/>
  <c r="AB1284" i="11"/>
  <c r="AA1284" i="11"/>
  <c r="Z1284" i="11"/>
  <c r="Y1284" i="11"/>
  <c r="X1284" i="11"/>
  <c r="W1284" i="11"/>
  <c r="V1284" i="11"/>
  <c r="U1284" i="11"/>
  <c r="T1284" i="11"/>
  <c r="S1284" i="11"/>
  <c r="R1284" i="11"/>
  <c r="Q1284" i="11"/>
  <c r="P1284" i="11"/>
  <c r="O1284" i="11"/>
  <c r="N1284" i="11"/>
  <c r="M1284" i="11"/>
  <c r="L1284" i="11"/>
  <c r="K1284" i="11"/>
  <c r="J1284" i="11"/>
  <c r="AC68" i="11"/>
  <c r="AB68" i="11"/>
  <c r="AA68" i="11"/>
  <c r="Z68" i="11"/>
  <c r="Y68" i="11"/>
  <c r="X68" i="11"/>
  <c r="W68" i="11"/>
  <c r="V68" i="11"/>
  <c r="U68" i="11"/>
  <c r="T68" i="11"/>
  <c r="S68" i="11"/>
  <c r="R68" i="11"/>
  <c r="Q68" i="11"/>
  <c r="P68" i="11"/>
  <c r="O68" i="11"/>
  <c r="N68" i="11"/>
  <c r="M68" i="11"/>
  <c r="L68" i="11"/>
  <c r="K68" i="11"/>
  <c r="J68" i="11"/>
  <c r="AC1723" i="11"/>
  <c r="AB1723" i="11"/>
  <c r="AA1723" i="11"/>
  <c r="Z1723" i="11"/>
  <c r="Y1723" i="11"/>
  <c r="X1723" i="11"/>
  <c r="W1723" i="11"/>
  <c r="V1723" i="11"/>
  <c r="U1723" i="11"/>
  <c r="T1723" i="11"/>
  <c r="S1723" i="11"/>
  <c r="R1723" i="11"/>
  <c r="Q1723" i="11"/>
  <c r="P1723" i="11"/>
  <c r="O1723" i="11"/>
  <c r="N1723" i="11"/>
  <c r="M1723" i="11"/>
  <c r="L1723" i="11"/>
  <c r="K1723" i="11"/>
  <c r="J1723" i="11"/>
  <c r="AC1283" i="11"/>
  <c r="AB1283" i="11"/>
  <c r="AA1283" i="11"/>
  <c r="Z1283" i="11"/>
  <c r="Y1283" i="11"/>
  <c r="X1283" i="11"/>
  <c r="W1283" i="11"/>
  <c r="V1283" i="11"/>
  <c r="U1283" i="11"/>
  <c r="T1283" i="11"/>
  <c r="S1283" i="11"/>
  <c r="R1283" i="11"/>
  <c r="Q1283" i="11"/>
  <c r="P1283" i="11"/>
  <c r="O1283" i="11"/>
  <c r="N1283" i="11"/>
  <c r="M1283" i="11"/>
  <c r="L1283" i="11"/>
  <c r="K1283" i="11"/>
  <c r="J1283" i="11"/>
  <c r="AC349" i="11"/>
  <c r="AB349" i="11"/>
  <c r="AA349" i="11"/>
  <c r="Z349" i="11"/>
  <c r="Y349" i="11"/>
  <c r="X349" i="11"/>
  <c r="W349" i="11"/>
  <c r="V349" i="11"/>
  <c r="U349" i="11"/>
  <c r="T349" i="11"/>
  <c r="S349" i="11"/>
  <c r="R349" i="11"/>
  <c r="Q349" i="11"/>
  <c r="P349" i="11"/>
  <c r="O349" i="11"/>
  <c r="N349" i="11"/>
  <c r="M349" i="11"/>
  <c r="L349" i="11"/>
  <c r="K349" i="11"/>
  <c r="J349" i="11"/>
  <c r="AC1916" i="11"/>
  <c r="AB1916" i="11"/>
  <c r="AA1916" i="11"/>
  <c r="Z1916" i="11"/>
  <c r="Y1916" i="11"/>
  <c r="X1916" i="11"/>
  <c r="W1916" i="11"/>
  <c r="V1916" i="11"/>
  <c r="U1916" i="11"/>
  <c r="T1916" i="11"/>
  <c r="S1916" i="11"/>
  <c r="R1916" i="11"/>
  <c r="Q1916" i="11"/>
  <c r="P1916" i="11"/>
  <c r="O1916" i="11"/>
  <c r="N1916" i="11"/>
  <c r="M1916" i="11"/>
  <c r="L1916" i="11"/>
  <c r="K1916" i="11"/>
  <c r="J1916" i="11"/>
  <c r="AC924" i="11"/>
  <c r="AB924" i="11"/>
  <c r="AA924" i="11"/>
  <c r="Z924" i="11"/>
  <c r="Y924" i="11"/>
  <c r="X924" i="11"/>
  <c r="W924" i="11"/>
  <c r="V924" i="11"/>
  <c r="U924" i="11"/>
  <c r="T924" i="11"/>
  <c r="S924" i="11"/>
  <c r="R924" i="11"/>
  <c r="Q924" i="11"/>
  <c r="P924" i="11"/>
  <c r="O924" i="11"/>
  <c r="N924" i="11"/>
  <c r="M924" i="11"/>
  <c r="L924" i="11"/>
  <c r="K924" i="11"/>
  <c r="J924" i="11"/>
  <c r="AC1812" i="11"/>
  <c r="AB1812" i="11"/>
  <c r="AA1812" i="11"/>
  <c r="Z1812" i="11"/>
  <c r="Y1812" i="11"/>
  <c r="X1812" i="11"/>
  <c r="W1812" i="11"/>
  <c r="V1812" i="11"/>
  <c r="U1812" i="11"/>
  <c r="T1812" i="11"/>
  <c r="S1812" i="11"/>
  <c r="R1812" i="11"/>
  <c r="Q1812" i="11"/>
  <c r="P1812" i="11"/>
  <c r="O1812" i="11"/>
  <c r="N1812" i="11"/>
  <c r="M1812" i="11"/>
  <c r="L1812" i="11"/>
  <c r="K1812" i="11"/>
  <c r="J1812" i="11"/>
  <c r="AC999" i="11"/>
  <c r="AB999" i="11"/>
  <c r="AA999" i="11"/>
  <c r="Z999" i="11"/>
  <c r="Y999" i="11"/>
  <c r="X999" i="11"/>
  <c r="W999" i="11"/>
  <c r="V999" i="11"/>
  <c r="U999" i="11"/>
  <c r="T999" i="11"/>
  <c r="S999" i="11"/>
  <c r="R999" i="11"/>
  <c r="Q999" i="11"/>
  <c r="P999" i="11"/>
  <c r="O999" i="11"/>
  <c r="N999" i="11"/>
  <c r="M999" i="11"/>
  <c r="L999" i="11"/>
  <c r="K999" i="11"/>
  <c r="J999" i="11"/>
  <c r="AC923" i="11"/>
  <c r="AB923" i="11"/>
  <c r="AA923" i="11"/>
  <c r="Z923" i="11"/>
  <c r="Y923" i="11"/>
  <c r="X923" i="11"/>
  <c r="W923" i="11"/>
  <c r="V923" i="11"/>
  <c r="U923" i="11"/>
  <c r="T923" i="11"/>
  <c r="S923" i="11"/>
  <c r="R923" i="11"/>
  <c r="Q923" i="11"/>
  <c r="P923" i="11"/>
  <c r="O923" i="11"/>
  <c r="N923" i="11"/>
  <c r="M923" i="11"/>
  <c r="L923" i="11"/>
  <c r="K923" i="11"/>
  <c r="J923" i="11"/>
  <c r="AC2170" i="11"/>
  <c r="AB2170" i="11"/>
  <c r="AA2170" i="11"/>
  <c r="Z2170" i="11"/>
  <c r="Y2170" i="11"/>
  <c r="X2170" i="11"/>
  <c r="W2170" i="11"/>
  <c r="V2170" i="11"/>
  <c r="U2170" i="11"/>
  <c r="T2170" i="11"/>
  <c r="S2170" i="11"/>
  <c r="R2170" i="11"/>
  <c r="Q2170" i="11"/>
  <c r="P2170" i="11"/>
  <c r="O2170" i="11"/>
  <c r="N2170" i="11"/>
  <c r="M2170" i="11"/>
  <c r="L2170" i="11"/>
  <c r="K2170" i="11"/>
  <c r="J2170" i="11"/>
  <c r="AC778" i="11"/>
  <c r="AB778" i="11"/>
  <c r="AA778" i="11"/>
  <c r="Z778" i="11"/>
  <c r="Y778" i="11"/>
  <c r="X778" i="11"/>
  <c r="W778" i="11"/>
  <c r="V778" i="11"/>
  <c r="U778" i="11"/>
  <c r="T778" i="11"/>
  <c r="S778" i="11"/>
  <c r="R778" i="11"/>
  <c r="Q778" i="11"/>
  <c r="P778" i="11"/>
  <c r="O778" i="11"/>
  <c r="N778" i="11"/>
  <c r="M778" i="11"/>
  <c r="L778" i="11"/>
  <c r="K778" i="11"/>
  <c r="J778" i="11"/>
  <c r="AC97" i="11"/>
  <c r="AB97" i="11"/>
  <c r="AA97" i="11"/>
  <c r="Z97" i="11"/>
  <c r="Y97" i="11"/>
  <c r="X97" i="11"/>
  <c r="W97" i="11"/>
  <c r="V97" i="11"/>
  <c r="U97" i="11"/>
  <c r="T97" i="11"/>
  <c r="S97" i="11"/>
  <c r="R97" i="11"/>
  <c r="Q97" i="11"/>
  <c r="P97" i="11"/>
  <c r="O97" i="11"/>
  <c r="N97" i="11"/>
  <c r="M97" i="11"/>
  <c r="L97" i="11"/>
  <c r="K97" i="11"/>
  <c r="J97" i="11"/>
  <c r="AC1722" i="11"/>
  <c r="AB1722" i="11"/>
  <c r="AA1722" i="11"/>
  <c r="Z1722" i="11"/>
  <c r="Y1722" i="11"/>
  <c r="X1722" i="11"/>
  <c r="W1722" i="11"/>
  <c r="V1722" i="11"/>
  <c r="U1722" i="11"/>
  <c r="T1722" i="11"/>
  <c r="S1722" i="11"/>
  <c r="R1722" i="11"/>
  <c r="Q1722" i="11"/>
  <c r="P1722" i="11"/>
  <c r="O1722" i="11"/>
  <c r="N1722" i="11"/>
  <c r="M1722" i="11"/>
  <c r="L1722" i="11"/>
  <c r="K1722" i="11"/>
  <c r="J1722" i="11"/>
  <c r="AC1670" i="11"/>
  <c r="AB1670" i="11"/>
  <c r="AA1670" i="11"/>
  <c r="Z1670" i="11"/>
  <c r="Y1670" i="11"/>
  <c r="X1670" i="11"/>
  <c r="W1670" i="11"/>
  <c r="V1670" i="11"/>
  <c r="U1670" i="11"/>
  <c r="T1670" i="11"/>
  <c r="S1670" i="11"/>
  <c r="R1670" i="11"/>
  <c r="Q1670" i="11"/>
  <c r="P1670" i="11"/>
  <c r="O1670" i="11"/>
  <c r="N1670" i="11"/>
  <c r="M1670" i="11"/>
  <c r="L1670" i="11"/>
  <c r="K1670" i="11"/>
  <c r="J1670" i="11"/>
  <c r="AC157" i="11"/>
  <c r="AB157" i="11"/>
  <c r="AA157" i="11"/>
  <c r="Z157" i="11"/>
  <c r="Y157" i="11"/>
  <c r="X157" i="11"/>
  <c r="W157" i="11"/>
  <c r="V157" i="11"/>
  <c r="U157" i="11"/>
  <c r="T157" i="11"/>
  <c r="S157" i="11"/>
  <c r="R157" i="11"/>
  <c r="Q157" i="11"/>
  <c r="P157" i="11"/>
  <c r="O157" i="11"/>
  <c r="N157" i="11"/>
  <c r="M157" i="11"/>
  <c r="L157" i="11"/>
  <c r="K157" i="11"/>
  <c r="J157" i="11"/>
  <c r="AC607" i="11"/>
  <c r="AB607" i="11"/>
  <c r="AA607" i="11"/>
  <c r="Z607" i="11"/>
  <c r="Y607" i="11"/>
  <c r="X607" i="11"/>
  <c r="W607" i="11"/>
  <c r="V607" i="11"/>
  <c r="U607" i="11"/>
  <c r="T607" i="11"/>
  <c r="S607" i="11"/>
  <c r="R607" i="11"/>
  <c r="Q607" i="11"/>
  <c r="P607" i="11"/>
  <c r="O607" i="11"/>
  <c r="N607" i="11"/>
  <c r="M607" i="11"/>
  <c r="L607" i="11"/>
  <c r="K607" i="11"/>
  <c r="J607" i="11"/>
  <c r="AC1330" i="11"/>
  <c r="AB1330" i="11"/>
  <c r="AA1330" i="11"/>
  <c r="Z1330" i="11"/>
  <c r="Y1330" i="11"/>
  <c r="X1330" i="11"/>
  <c r="W1330" i="11"/>
  <c r="V1330" i="11"/>
  <c r="U1330" i="11"/>
  <c r="T1330" i="11"/>
  <c r="S1330" i="11"/>
  <c r="R1330" i="11"/>
  <c r="Q1330" i="11"/>
  <c r="P1330" i="11"/>
  <c r="O1330" i="11"/>
  <c r="N1330" i="11"/>
  <c r="M1330" i="11"/>
  <c r="L1330" i="11"/>
  <c r="K1330" i="11"/>
  <c r="J1330" i="11"/>
  <c r="AC2152" i="11"/>
  <c r="AB2152" i="11"/>
  <c r="AA2152" i="11"/>
  <c r="Z2152" i="11"/>
  <c r="Y2152" i="11"/>
  <c r="X2152" i="11"/>
  <c r="W2152" i="11"/>
  <c r="V2152" i="11"/>
  <c r="U2152" i="11"/>
  <c r="T2152" i="11"/>
  <c r="S2152" i="11"/>
  <c r="R2152" i="11"/>
  <c r="Q2152" i="11"/>
  <c r="P2152" i="11"/>
  <c r="O2152" i="11"/>
  <c r="N2152" i="11"/>
  <c r="M2152" i="11"/>
  <c r="L2152" i="11"/>
  <c r="K2152" i="11"/>
  <c r="J2152" i="11"/>
  <c r="AC1623" i="11"/>
  <c r="AB1623" i="11"/>
  <c r="AA1623" i="11"/>
  <c r="Z1623" i="11"/>
  <c r="Y1623" i="11"/>
  <c r="X1623" i="11"/>
  <c r="W1623" i="11"/>
  <c r="V1623" i="11"/>
  <c r="U1623" i="11"/>
  <c r="T1623" i="11"/>
  <c r="S1623" i="11"/>
  <c r="R1623" i="11"/>
  <c r="Q1623" i="11"/>
  <c r="P1623" i="11"/>
  <c r="O1623" i="11"/>
  <c r="N1623" i="11"/>
  <c r="M1623" i="11"/>
  <c r="L1623" i="11"/>
  <c r="K1623" i="11"/>
  <c r="J1623" i="11"/>
  <c r="AC2051" i="11"/>
  <c r="AB2051" i="11"/>
  <c r="AA2051" i="11"/>
  <c r="Z2051" i="11"/>
  <c r="Y2051" i="11"/>
  <c r="X2051" i="11"/>
  <c r="W2051" i="11"/>
  <c r="V2051" i="11"/>
  <c r="U2051" i="11"/>
  <c r="T2051" i="11"/>
  <c r="S2051" i="11"/>
  <c r="R2051" i="11"/>
  <c r="Q2051" i="11"/>
  <c r="P2051" i="11"/>
  <c r="O2051" i="11"/>
  <c r="N2051" i="11"/>
  <c r="M2051" i="11"/>
  <c r="L2051" i="11"/>
  <c r="K2051" i="11"/>
  <c r="J2051" i="11"/>
  <c r="AC2050" i="11"/>
  <c r="AB2050" i="11"/>
  <c r="AA2050" i="11"/>
  <c r="Z2050" i="11"/>
  <c r="Y2050" i="11"/>
  <c r="X2050" i="11"/>
  <c r="W2050" i="11"/>
  <c r="V2050" i="11"/>
  <c r="U2050" i="11"/>
  <c r="T2050" i="11"/>
  <c r="S2050" i="11"/>
  <c r="R2050" i="11"/>
  <c r="Q2050" i="11"/>
  <c r="P2050" i="11"/>
  <c r="O2050" i="11"/>
  <c r="N2050" i="11"/>
  <c r="M2050" i="11"/>
  <c r="L2050" i="11"/>
  <c r="K2050" i="11"/>
  <c r="J2050" i="11"/>
  <c r="AC1769" i="11"/>
  <c r="AB1769" i="11"/>
  <c r="AA1769" i="11"/>
  <c r="Z1769" i="11"/>
  <c r="Y1769" i="11"/>
  <c r="X1769" i="11"/>
  <c r="W1769" i="11"/>
  <c r="V1769" i="11"/>
  <c r="U1769" i="11"/>
  <c r="T1769" i="11"/>
  <c r="S1769" i="11"/>
  <c r="R1769" i="11"/>
  <c r="Q1769" i="11"/>
  <c r="P1769" i="11"/>
  <c r="O1769" i="11"/>
  <c r="N1769" i="11"/>
  <c r="M1769" i="11"/>
  <c r="L1769" i="11"/>
  <c r="K1769" i="11"/>
  <c r="J1769" i="11"/>
  <c r="AC2186" i="11"/>
  <c r="AB2186" i="11"/>
  <c r="AA2186" i="11"/>
  <c r="Z2186" i="11"/>
  <c r="Y2186" i="11"/>
  <c r="X2186" i="11"/>
  <c r="W2186" i="11"/>
  <c r="V2186" i="11"/>
  <c r="U2186" i="11"/>
  <c r="T2186" i="11"/>
  <c r="S2186" i="11"/>
  <c r="R2186" i="11"/>
  <c r="Q2186" i="11"/>
  <c r="P2186" i="11"/>
  <c r="O2186" i="11"/>
  <c r="N2186" i="11"/>
  <c r="M2186" i="11"/>
  <c r="L2186" i="11"/>
  <c r="K2186" i="11"/>
  <c r="J2186" i="11"/>
  <c r="AC1087" i="11"/>
  <c r="AB1087" i="11"/>
  <c r="AA1087" i="11"/>
  <c r="Z1087" i="11"/>
  <c r="Y1087" i="11"/>
  <c r="X1087" i="11"/>
  <c r="W1087" i="11"/>
  <c r="V1087" i="11"/>
  <c r="U1087" i="11"/>
  <c r="T1087" i="11"/>
  <c r="S1087" i="11"/>
  <c r="R1087" i="11"/>
  <c r="Q1087" i="11"/>
  <c r="P1087" i="11"/>
  <c r="O1087" i="11"/>
  <c r="N1087" i="11"/>
  <c r="M1087" i="11"/>
  <c r="L1087" i="11"/>
  <c r="K1087" i="11"/>
  <c r="J1087" i="11"/>
  <c r="AC1768" i="11"/>
  <c r="AB1768" i="11"/>
  <c r="AA1768" i="11"/>
  <c r="Z1768" i="11"/>
  <c r="Y1768" i="11"/>
  <c r="X1768" i="11"/>
  <c r="W1768" i="11"/>
  <c r="V1768" i="11"/>
  <c r="U1768" i="11"/>
  <c r="T1768" i="11"/>
  <c r="S1768" i="11"/>
  <c r="R1768" i="11"/>
  <c r="Q1768" i="11"/>
  <c r="P1768" i="11"/>
  <c r="O1768" i="11"/>
  <c r="N1768" i="11"/>
  <c r="M1768" i="11"/>
  <c r="L1768" i="11"/>
  <c r="K1768" i="11"/>
  <c r="J1768" i="11"/>
  <c r="AC998" i="11"/>
  <c r="AB998" i="11"/>
  <c r="AA998" i="11"/>
  <c r="Z998" i="11"/>
  <c r="Y998" i="11"/>
  <c r="X998" i="11"/>
  <c r="W998" i="11"/>
  <c r="V998" i="11"/>
  <c r="U998" i="11"/>
  <c r="T998" i="11"/>
  <c r="S998" i="11"/>
  <c r="R998" i="11"/>
  <c r="Q998" i="11"/>
  <c r="P998" i="11"/>
  <c r="O998" i="11"/>
  <c r="N998" i="11"/>
  <c r="M998" i="11"/>
  <c r="L998" i="11"/>
  <c r="K998" i="11"/>
  <c r="J998" i="11"/>
  <c r="AC270" i="11"/>
  <c r="AB270" i="11"/>
  <c r="AA270" i="11"/>
  <c r="Z270" i="11"/>
  <c r="Y270" i="11"/>
  <c r="X270" i="11"/>
  <c r="W270" i="11"/>
  <c r="V270" i="11"/>
  <c r="U270" i="11"/>
  <c r="T270" i="11"/>
  <c r="S270" i="11"/>
  <c r="R270" i="11"/>
  <c r="Q270" i="11"/>
  <c r="P270" i="11"/>
  <c r="O270" i="11"/>
  <c r="N270" i="11"/>
  <c r="M270" i="11"/>
  <c r="L270" i="11"/>
  <c r="K270" i="11"/>
  <c r="J270" i="11"/>
  <c r="AC558" i="11"/>
  <c r="AB558" i="11"/>
  <c r="AA558" i="11"/>
  <c r="Z558" i="11"/>
  <c r="Y558" i="11"/>
  <c r="X558" i="11"/>
  <c r="W558" i="11"/>
  <c r="V558" i="11"/>
  <c r="U558" i="11"/>
  <c r="T558" i="11"/>
  <c r="S558" i="11"/>
  <c r="R558" i="11"/>
  <c r="Q558" i="11"/>
  <c r="P558" i="11"/>
  <c r="O558" i="11"/>
  <c r="N558" i="11"/>
  <c r="M558" i="11"/>
  <c r="L558" i="11"/>
  <c r="K558" i="11"/>
  <c r="J558" i="11"/>
  <c r="AC389" i="11"/>
  <c r="AB389" i="11"/>
  <c r="AA389" i="11"/>
  <c r="Z389" i="11"/>
  <c r="Y389" i="11"/>
  <c r="X389" i="11"/>
  <c r="W389" i="11"/>
  <c r="V389" i="11"/>
  <c r="U389" i="11"/>
  <c r="T389" i="11"/>
  <c r="S389" i="11"/>
  <c r="R389" i="11"/>
  <c r="Q389" i="11"/>
  <c r="P389" i="11"/>
  <c r="O389" i="11"/>
  <c r="N389" i="11"/>
  <c r="M389" i="11"/>
  <c r="L389" i="11"/>
  <c r="K389" i="11"/>
  <c r="J389" i="11"/>
  <c r="AC1453" i="11"/>
  <c r="AB1453" i="11"/>
  <c r="AA1453" i="11"/>
  <c r="Z1453" i="11"/>
  <c r="Y1453" i="11"/>
  <c r="X1453" i="11"/>
  <c r="W1453" i="11"/>
  <c r="V1453" i="11"/>
  <c r="U1453" i="11"/>
  <c r="T1453" i="11"/>
  <c r="S1453" i="11"/>
  <c r="R1453" i="11"/>
  <c r="Q1453" i="11"/>
  <c r="P1453" i="11"/>
  <c r="O1453" i="11"/>
  <c r="N1453" i="11"/>
  <c r="M1453" i="11"/>
  <c r="L1453" i="11"/>
  <c r="K1453" i="11"/>
  <c r="J1453" i="11"/>
  <c r="AC849" i="11"/>
  <c r="AB849" i="11"/>
  <c r="AA849" i="11"/>
  <c r="Z849" i="11"/>
  <c r="Y849" i="11"/>
  <c r="X849" i="11"/>
  <c r="W849" i="11"/>
  <c r="V849" i="11"/>
  <c r="U849" i="11"/>
  <c r="T849" i="11"/>
  <c r="S849" i="11"/>
  <c r="R849" i="11"/>
  <c r="Q849" i="11"/>
  <c r="P849" i="11"/>
  <c r="O849" i="11"/>
  <c r="N849" i="11"/>
  <c r="M849" i="11"/>
  <c r="L849" i="11"/>
  <c r="K849" i="11"/>
  <c r="J849" i="11"/>
  <c r="AC997" i="11"/>
  <c r="AB997" i="11"/>
  <c r="AA997" i="11"/>
  <c r="Z997" i="11"/>
  <c r="Y997" i="11"/>
  <c r="X997" i="11"/>
  <c r="W997" i="11"/>
  <c r="V997" i="11"/>
  <c r="U997" i="11"/>
  <c r="T997" i="11"/>
  <c r="S997" i="11"/>
  <c r="R997" i="11"/>
  <c r="Q997" i="11"/>
  <c r="P997" i="11"/>
  <c r="O997" i="11"/>
  <c r="N997" i="11"/>
  <c r="M997" i="11"/>
  <c r="L997" i="11"/>
  <c r="K997" i="11"/>
  <c r="J997" i="11"/>
  <c r="AC2049" i="11"/>
  <c r="AB2049" i="11"/>
  <c r="AA2049" i="11"/>
  <c r="Z2049" i="11"/>
  <c r="Y2049" i="11"/>
  <c r="X2049" i="11"/>
  <c r="W2049" i="11"/>
  <c r="V2049" i="11"/>
  <c r="U2049" i="11"/>
  <c r="T2049" i="11"/>
  <c r="S2049" i="11"/>
  <c r="R2049" i="11"/>
  <c r="Q2049" i="11"/>
  <c r="P2049" i="11"/>
  <c r="O2049" i="11"/>
  <c r="N2049" i="11"/>
  <c r="M2049" i="11"/>
  <c r="L2049" i="11"/>
  <c r="K2049" i="11"/>
  <c r="J2049" i="11"/>
  <c r="AC1721" i="11"/>
  <c r="AB1721" i="11"/>
  <c r="AA1721" i="11"/>
  <c r="Z1721" i="11"/>
  <c r="Y1721" i="11"/>
  <c r="X1721" i="11"/>
  <c r="W1721" i="11"/>
  <c r="V1721" i="11"/>
  <c r="U1721" i="11"/>
  <c r="T1721" i="11"/>
  <c r="S1721" i="11"/>
  <c r="R1721" i="11"/>
  <c r="Q1721" i="11"/>
  <c r="P1721" i="11"/>
  <c r="O1721" i="11"/>
  <c r="N1721" i="11"/>
  <c r="M1721" i="11"/>
  <c r="L1721" i="11"/>
  <c r="K1721" i="11"/>
  <c r="J1721" i="11"/>
  <c r="AC1452" i="11"/>
  <c r="AB1452" i="11"/>
  <c r="AA1452" i="11"/>
  <c r="Z1452" i="11"/>
  <c r="Y1452" i="11"/>
  <c r="X1452" i="11"/>
  <c r="W1452" i="11"/>
  <c r="V1452" i="11"/>
  <c r="U1452" i="11"/>
  <c r="T1452" i="11"/>
  <c r="S1452" i="11"/>
  <c r="R1452" i="11"/>
  <c r="Q1452" i="11"/>
  <c r="P1452" i="11"/>
  <c r="O1452" i="11"/>
  <c r="N1452" i="11"/>
  <c r="M1452" i="11"/>
  <c r="L1452" i="11"/>
  <c r="K1452" i="11"/>
  <c r="J1452" i="11"/>
  <c r="AC1282" i="11"/>
  <c r="AB1282" i="11"/>
  <c r="AA1282" i="11"/>
  <c r="Z1282" i="11"/>
  <c r="Y1282" i="11"/>
  <c r="X1282" i="11"/>
  <c r="W1282" i="11"/>
  <c r="V1282" i="11"/>
  <c r="U1282" i="11"/>
  <c r="T1282" i="11"/>
  <c r="S1282" i="11"/>
  <c r="R1282" i="11"/>
  <c r="Q1282" i="11"/>
  <c r="P1282" i="11"/>
  <c r="O1282" i="11"/>
  <c r="N1282" i="11"/>
  <c r="M1282" i="11"/>
  <c r="L1282" i="11"/>
  <c r="K1282" i="11"/>
  <c r="J1282" i="11"/>
  <c r="AC1281" i="11"/>
  <c r="AB1281" i="11"/>
  <c r="AA1281" i="11"/>
  <c r="Z1281" i="11"/>
  <c r="Y1281" i="11"/>
  <c r="X1281" i="11"/>
  <c r="W1281" i="11"/>
  <c r="V1281" i="11"/>
  <c r="U1281" i="11"/>
  <c r="T1281" i="11"/>
  <c r="S1281" i="11"/>
  <c r="R1281" i="11"/>
  <c r="Q1281" i="11"/>
  <c r="P1281" i="11"/>
  <c r="O1281" i="11"/>
  <c r="N1281" i="11"/>
  <c r="M1281" i="11"/>
  <c r="L1281" i="11"/>
  <c r="K1281" i="11"/>
  <c r="J1281" i="11"/>
  <c r="AC700" i="11"/>
  <c r="AB700" i="11"/>
  <c r="AA700" i="11"/>
  <c r="Z700" i="11"/>
  <c r="Y700" i="11"/>
  <c r="X700" i="11"/>
  <c r="W700" i="11"/>
  <c r="V700" i="11"/>
  <c r="U700" i="11"/>
  <c r="T700" i="11"/>
  <c r="S700" i="11"/>
  <c r="R700" i="11"/>
  <c r="Q700" i="11"/>
  <c r="P700" i="11"/>
  <c r="O700" i="11"/>
  <c r="N700" i="11"/>
  <c r="M700" i="11"/>
  <c r="L700" i="11"/>
  <c r="K700" i="11"/>
  <c r="J700" i="11"/>
  <c r="AC699" i="11"/>
  <c r="AB699" i="11"/>
  <c r="AA699" i="11"/>
  <c r="Z699" i="11"/>
  <c r="Y699" i="11"/>
  <c r="X699" i="11"/>
  <c r="W699" i="11"/>
  <c r="V699" i="11"/>
  <c r="U699" i="11"/>
  <c r="T699" i="11"/>
  <c r="S699" i="11"/>
  <c r="R699" i="11"/>
  <c r="Q699" i="11"/>
  <c r="P699" i="11"/>
  <c r="O699" i="11"/>
  <c r="N699" i="11"/>
  <c r="M699" i="11"/>
  <c r="L699" i="11"/>
  <c r="K699" i="11"/>
  <c r="J699" i="11"/>
  <c r="AC13" i="11"/>
  <c r="AB13" i="11"/>
  <c r="AA13" i="11"/>
  <c r="Z13" i="11"/>
  <c r="Y13" i="11"/>
  <c r="X13" i="11"/>
  <c r="W13" i="11"/>
  <c r="V13" i="11"/>
  <c r="U13" i="11"/>
  <c r="T13" i="11"/>
  <c r="S13" i="11"/>
  <c r="R13" i="11"/>
  <c r="Q13" i="11"/>
  <c r="P13" i="11"/>
  <c r="O13" i="11"/>
  <c r="N13" i="11"/>
  <c r="M13" i="11"/>
  <c r="L13" i="11"/>
  <c r="K13" i="11"/>
  <c r="J13" i="11"/>
  <c r="AC1585" i="11"/>
  <c r="AB1585" i="11"/>
  <c r="AA1585" i="11"/>
  <c r="Z1585" i="11"/>
  <c r="Y1585" i="11"/>
  <c r="X1585" i="11"/>
  <c r="W1585" i="11"/>
  <c r="V1585" i="11"/>
  <c r="U1585" i="11"/>
  <c r="T1585" i="11"/>
  <c r="S1585" i="11"/>
  <c r="R1585" i="11"/>
  <c r="Q1585" i="11"/>
  <c r="P1585" i="11"/>
  <c r="O1585" i="11"/>
  <c r="N1585" i="11"/>
  <c r="M1585" i="11"/>
  <c r="L1585" i="11"/>
  <c r="K1585" i="11"/>
  <c r="J1585" i="11"/>
  <c r="AC1086" i="11"/>
  <c r="AB1086" i="11"/>
  <c r="AA1086" i="11"/>
  <c r="Z1086" i="11"/>
  <c r="Y1086" i="11"/>
  <c r="X1086" i="11"/>
  <c r="W1086" i="11"/>
  <c r="V1086" i="11"/>
  <c r="U1086" i="11"/>
  <c r="T1086" i="11"/>
  <c r="S1086" i="11"/>
  <c r="R1086" i="11"/>
  <c r="Q1086" i="11"/>
  <c r="P1086" i="11"/>
  <c r="O1086" i="11"/>
  <c r="N1086" i="11"/>
  <c r="M1086" i="11"/>
  <c r="L1086" i="11"/>
  <c r="K1086" i="11"/>
  <c r="J1086" i="11"/>
  <c r="AC1811" i="11"/>
  <c r="AB1811" i="11"/>
  <c r="AA1811" i="11"/>
  <c r="Z1811" i="11"/>
  <c r="Y1811" i="11"/>
  <c r="X1811" i="11"/>
  <c r="W1811" i="11"/>
  <c r="V1811" i="11"/>
  <c r="U1811" i="11"/>
  <c r="T1811" i="11"/>
  <c r="S1811" i="11"/>
  <c r="R1811" i="11"/>
  <c r="Q1811" i="11"/>
  <c r="P1811" i="11"/>
  <c r="O1811" i="11"/>
  <c r="N1811" i="11"/>
  <c r="M1811" i="11"/>
  <c r="L1811" i="11"/>
  <c r="K1811" i="11"/>
  <c r="J1811" i="11"/>
  <c r="AC156" i="11"/>
  <c r="AB156" i="11"/>
  <c r="AA156" i="11"/>
  <c r="Z156" i="11"/>
  <c r="Y156" i="11"/>
  <c r="X156" i="11"/>
  <c r="W156" i="11"/>
  <c r="V156" i="11"/>
  <c r="U156" i="11"/>
  <c r="T156" i="11"/>
  <c r="S156" i="11"/>
  <c r="R156" i="11"/>
  <c r="Q156" i="11"/>
  <c r="P156" i="11"/>
  <c r="O156" i="11"/>
  <c r="N156" i="11"/>
  <c r="M156" i="11"/>
  <c r="L156" i="11"/>
  <c r="K156" i="11"/>
  <c r="J156" i="11"/>
  <c r="AC1622" i="11"/>
  <c r="AB1622" i="11"/>
  <c r="AA1622" i="11"/>
  <c r="Z1622" i="11"/>
  <c r="Y1622" i="11"/>
  <c r="X1622" i="11"/>
  <c r="W1622" i="11"/>
  <c r="V1622" i="11"/>
  <c r="U1622" i="11"/>
  <c r="T1622" i="11"/>
  <c r="S1622" i="11"/>
  <c r="R1622" i="11"/>
  <c r="Q1622" i="11"/>
  <c r="P1622" i="11"/>
  <c r="O1622" i="11"/>
  <c r="N1622" i="11"/>
  <c r="M1622" i="11"/>
  <c r="L1622" i="11"/>
  <c r="K1622" i="11"/>
  <c r="J1622" i="11"/>
  <c r="AC848" i="11"/>
  <c r="AB848" i="11"/>
  <c r="AA848" i="11"/>
  <c r="Z848" i="11"/>
  <c r="Y848" i="11"/>
  <c r="X848" i="11"/>
  <c r="W848" i="11"/>
  <c r="V848" i="11"/>
  <c r="U848" i="11"/>
  <c r="T848" i="11"/>
  <c r="S848" i="11"/>
  <c r="R848" i="11"/>
  <c r="Q848" i="11"/>
  <c r="P848" i="11"/>
  <c r="O848" i="11"/>
  <c r="N848" i="11"/>
  <c r="M848" i="11"/>
  <c r="L848" i="11"/>
  <c r="K848" i="11"/>
  <c r="J848" i="11"/>
  <c r="AC847" i="11"/>
  <c r="AB847" i="11"/>
  <c r="AA847" i="11"/>
  <c r="Z847" i="11"/>
  <c r="Y847" i="11"/>
  <c r="X847" i="11"/>
  <c r="W847" i="11"/>
  <c r="V847" i="11"/>
  <c r="U847" i="11"/>
  <c r="T847" i="11"/>
  <c r="S847" i="11"/>
  <c r="R847" i="11"/>
  <c r="Q847" i="11"/>
  <c r="P847" i="11"/>
  <c r="O847" i="11"/>
  <c r="N847" i="11"/>
  <c r="M847" i="11"/>
  <c r="L847" i="11"/>
  <c r="K847" i="11"/>
  <c r="J847" i="11"/>
  <c r="AC225" i="11"/>
  <c r="AB225" i="11"/>
  <c r="AA225" i="11"/>
  <c r="Z225" i="11"/>
  <c r="Y225" i="11"/>
  <c r="X225" i="11"/>
  <c r="W225" i="11"/>
  <c r="V225" i="11"/>
  <c r="U225" i="11"/>
  <c r="T225" i="11"/>
  <c r="S225" i="11"/>
  <c r="R225" i="11"/>
  <c r="Q225" i="11"/>
  <c r="P225" i="11"/>
  <c r="O225" i="11"/>
  <c r="N225" i="11"/>
  <c r="M225" i="11"/>
  <c r="L225" i="11"/>
  <c r="K225" i="11"/>
  <c r="J225" i="11"/>
  <c r="AC777" i="11"/>
  <c r="AB777" i="11"/>
  <c r="AA777" i="11"/>
  <c r="Z777" i="11"/>
  <c r="Y777" i="11"/>
  <c r="X777" i="11"/>
  <c r="W777" i="11"/>
  <c r="V777" i="11"/>
  <c r="U777" i="11"/>
  <c r="T777" i="11"/>
  <c r="S777" i="11"/>
  <c r="R777" i="11"/>
  <c r="Q777" i="11"/>
  <c r="P777" i="11"/>
  <c r="O777" i="11"/>
  <c r="N777" i="11"/>
  <c r="M777" i="11"/>
  <c r="L777" i="11"/>
  <c r="K777" i="11"/>
  <c r="J777" i="11"/>
  <c r="AC606" i="11"/>
  <c r="AB606" i="11"/>
  <c r="AA606" i="11"/>
  <c r="Z606" i="11"/>
  <c r="Y606" i="11"/>
  <c r="X606" i="11"/>
  <c r="W606" i="11"/>
  <c r="V606" i="11"/>
  <c r="U606" i="11"/>
  <c r="T606" i="11"/>
  <c r="S606" i="11"/>
  <c r="R606" i="11"/>
  <c r="Q606" i="11"/>
  <c r="P606" i="11"/>
  <c r="O606" i="11"/>
  <c r="N606" i="11"/>
  <c r="M606" i="11"/>
  <c r="L606" i="11"/>
  <c r="K606" i="11"/>
  <c r="J606" i="11"/>
  <c r="AC1158" i="11"/>
  <c r="AB1158" i="11"/>
  <c r="AA1158" i="11"/>
  <c r="Z1158" i="11"/>
  <c r="Y1158" i="11"/>
  <c r="X1158" i="11"/>
  <c r="W1158" i="11"/>
  <c r="V1158" i="11"/>
  <c r="U1158" i="11"/>
  <c r="T1158" i="11"/>
  <c r="S1158" i="11"/>
  <c r="R1158" i="11"/>
  <c r="Q1158" i="11"/>
  <c r="P1158" i="11"/>
  <c r="O1158" i="11"/>
  <c r="N1158" i="11"/>
  <c r="M1158" i="11"/>
  <c r="L1158" i="11"/>
  <c r="K1158" i="11"/>
  <c r="J1158" i="11"/>
  <c r="AC1720" i="11"/>
  <c r="AB1720" i="11"/>
  <c r="AA1720" i="11"/>
  <c r="Z1720" i="11"/>
  <c r="Y1720" i="11"/>
  <c r="X1720" i="11"/>
  <c r="W1720" i="11"/>
  <c r="V1720" i="11"/>
  <c r="U1720" i="11"/>
  <c r="T1720" i="11"/>
  <c r="S1720" i="11"/>
  <c r="R1720" i="11"/>
  <c r="Q1720" i="11"/>
  <c r="P1720" i="11"/>
  <c r="O1720" i="11"/>
  <c r="N1720" i="11"/>
  <c r="M1720" i="11"/>
  <c r="L1720" i="11"/>
  <c r="K1720" i="11"/>
  <c r="J1720" i="11"/>
  <c r="AC1865" i="11"/>
  <c r="AB1865" i="11"/>
  <c r="AA1865" i="11"/>
  <c r="Z1865" i="11"/>
  <c r="Y1865" i="11"/>
  <c r="X1865" i="11"/>
  <c r="W1865" i="11"/>
  <c r="V1865" i="11"/>
  <c r="U1865" i="11"/>
  <c r="T1865" i="11"/>
  <c r="S1865" i="11"/>
  <c r="R1865" i="11"/>
  <c r="Q1865" i="11"/>
  <c r="P1865" i="11"/>
  <c r="O1865" i="11"/>
  <c r="N1865" i="11"/>
  <c r="M1865" i="11"/>
  <c r="L1865" i="11"/>
  <c r="K1865" i="11"/>
  <c r="J1865" i="11"/>
  <c r="AC1719" i="11"/>
  <c r="AB1719" i="11"/>
  <c r="AA1719" i="11"/>
  <c r="Z1719" i="11"/>
  <c r="Y1719" i="11"/>
  <c r="X1719" i="11"/>
  <c r="W1719" i="11"/>
  <c r="V1719" i="11"/>
  <c r="U1719" i="11"/>
  <c r="T1719" i="11"/>
  <c r="S1719" i="11"/>
  <c r="R1719" i="11"/>
  <c r="Q1719" i="11"/>
  <c r="P1719" i="11"/>
  <c r="O1719" i="11"/>
  <c r="N1719" i="11"/>
  <c r="M1719" i="11"/>
  <c r="L1719" i="11"/>
  <c r="K1719" i="11"/>
  <c r="J1719" i="11"/>
  <c r="AC1669" i="11"/>
  <c r="AB1669" i="11"/>
  <c r="AA1669" i="11"/>
  <c r="Z1669" i="11"/>
  <c r="Y1669" i="11"/>
  <c r="X1669" i="11"/>
  <c r="W1669" i="11"/>
  <c r="V1669" i="11"/>
  <c r="U1669" i="11"/>
  <c r="T1669" i="11"/>
  <c r="S1669" i="11"/>
  <c r="R1669" i="11"/>
  <c r="Q1669" i="11"/>
  <c r="P1669" i="11"/>
  <c r="O1669" i="11"/>
  <c r="N1669" i="11"/>
  <c r="M1669" i="11"/>
  <c r="L1669" i="11"/>
  <c r="K1669" i="11"/>
  <c r="J1669" i="11"/>
  <c r="AC1915" i="11"/>
  <c r="AB1915" i="11"/>
  <c r="AA1915" i="11"/>
  <c r="Z1915" i="11"/>
  <c r="Y1915" i="11"/>
  <c r="X1915" i="11"/>
  <c r="W1915" i="11"/>
  <c r="V1915" i="11"/>
  <c r="U1915" i="11"/>
  <c r="T1915" i="11"/>
  <c r="S1915" i="11"/>
  <c r="R1915" i="11"/>
  <c r="Q1915" i="11"/>
  <c r="P1915" i="11"/>
  <c r="O1915" i="11"/>
  <c r="N1915" i="11"/>
  <c r="M1915" i="11"/>
  <c r="L1915" i="11"/>
  <c r="K1915" i="11"/>
  <c r="J1915" i="11"/>
  <c r="AC305" i="11"/>
  <c r="AB305" i="11"/>
  <c r="AA305" i="11"/>
  <c r="Z305" i="11"/>
  <c r="Y305" i="11"/>
  <c r="X305" i="11"/>
  <c r="W305" i="11"/>
  <c r="V305" i="11"/>
  <c r="U305" i="11"/>
  <c r="T305" i="11"/>
  <c r="S305" i="11"/>
  <c r="R305" i="11"/>
  <c r="Q305" i="11"/>
  <c r="P305" i="11"/>
  <c r="O305" i="11"/>
  <c r="N305" i="11"/>
  <c r="M305" i="11"/>
  <c r="L305" i="11"/>
  <c r="K305" i="11"/>
  <c r="J305" i="11"/>
  <c r="AC922" i="11"/>
  <c r="AB922" i="11"/>
  <c r="AA922" i="11"/>
  <c r="Z922" i="11"/>
  <c r="Y922" i="11"/>
  <c r="X922" i="11"/>
  <c r="W922" i="11"/>
  <c r="V922" i="11"/>
  <c r="U922" i="11"/>
  <c r="T922" i="11"/>
  <c r="S922" i="11"/>
  <c r="R922" i="11"/>
  <c r="Q922" i="11"/>
  <c r="P922" i="11"/>
  <c r="O922" i="11"/>
  <c r="N922" i="11"/>
  <c r="M922" i="11"/>
  <c r="L922" i="11"/>
  <c r="K922" i="11"/>
  <c r="J922" i="11"/>
  <c r="AC605" i="11"/>
  <c r="AB605" i="11"/>
  <c r="AA605" i="11"/>
  <c r="Z605" i="11"/>
  <c r="Y605" i="11"/>
  <c r="X605" i="11"/>
  <c r="W605" i="11"/>
  <c r="V605" i="11"/>
  <c r="U605" i="11"/>
  <c r="T605" i="11"/>
  <c r="S605" i="11"/>
  <c r="R605" i="11"/>
  <c r="Q605" i="11"/>
  <c r="P605" i="11"/>
  <c r="O605" i="11"/>
  <c r="N605" i="11"/>
  <c r="M605" i="11"/>
  <c r="L605" i="11"/>
  <c r="K605" i="11"/>
  <c r="J605" i="11"/>
  <c r="AC1329" i="11"/>
  <c r="AB1329" i="11"/>
  <c r="AA1329" i="11"/>
  <c r="Z1329" i="11"/>
  <c r="Y1329" i="11"/>
  <c r="X1329" i="11"/>
  <c r="W1329" i="11"/>
  <c r="V1329" i="11"/>
  <c r="U1329" i="11"/>
  <c r="T1329" i="11"/>
  <c r="S1329" i="11"/>
  <c r="R1329" i="11"/>
  <c r="Q1329" i="11"/>
  <c r="P1329" i="11"/>
  <c r="O1329" i="11"/>
  <c r="N1329" i="11"/>
  <c r="M1329" i="11"/>
  <c r="L1329" i="11"/>
  <c r="K1329" i="11"/>
  <c r="J1329" i="11"/>
  <c r="AC388" i="11"/>
  <c r="AB388" i="11"/>
  <c r="AA388" i="11"/>
  <c r="Z388" i="11"/>
  <c r="Y388" i="11"/>
  <c r="X388" i="11"/>
  <c r="W388" i="11"/>
  <c r="V388" i="11"/>
  <c r="U388" i="11"/>
  <c r="T388" i="11"/>
  <c r="S388" i="11"/>
  <c r="R388" i="11"/>
  <c r="Q388" i="11"/>
  <c r="P388" i="11"/>
  <c r="O388" i="11"/>
  <c r="N388" i="11"/>
  <c r="M388" i="11"/>
  <c r="L388" i="11"/>
  <c r="K388" i="11"/>
  <c r="J388" i="11"/>
  <c r="AC1914" i="11"/>
  <c r="AB1914" i="11"/>
  <c r="AA1914" i="11"/>
  <c r="Z1914" i="11"/>
  <c r="Y1914" i="11"/>
  <c r="X1914" i="11"/>
  <c r="W1914" i="11"/>
  <c r="V1914" i="11"/>
  <c r="U1914" i="11"/>
  <c r="T1914" i="11"/>
  <c r="S1914" i="11"/>
  <c r="R1914" i="11"/>
  <c r="Q1914" i="11"/>
  <c r="P1914" i="11"/>
  <c r="O1914" i="11"/>
  <c r="N1914" i="11"/>
  <c r="M1914" i="11"/>
  <c r="L1914" i="11"/>
  <c r="K1914" i="11"/>
  <c r="J1914" i="11"/>
  <c r="AC1493" i="11"/>
  <c r="AB1493" i="11"/>
  <c r="AA1493" i="11"/>
  <c r="Z1493" i="11"/>
  <c r="Y1493" i="11"/>
  <c r="X1493" i="11"/>
  <c r="W1493" i="11"/>
  <c r="V1493" i="11"/>
  <c r="U1493" i="11"/>
  <c r="T1493" i="11"/>
  <c r="S1493" i="11"/>
  <c r="R1493" i="11"/>
  <c r="Q1493" i="11"/>
  <c r="P1493" i="11"/>
  <c r="O1493" i="11"/>
  <c r="N1493" i="11"/>
  <c r="M1493" i="11"/>
  <c r="L1493" i="11"/>
  <c r="K1493" i="11"/>
  <c r="J1493" i="11"/>
  <c r="AC1492" i="11"/>
  <c r="AB1492" i="11"/>
  <c r="AA1492" i="11"/>
  <c r="Z1492" i="11"/>
  <c r="Y1492" i="11"/>
  <c r="X1492" i="11"/>
  <c r="W1492" i="11"/>
  <c r="V1492" i="11"/>
  <c r="U1492" i="11"/>
  <c r="T1492" i="11"/>
  <c r="S1492" i="11"/>
  <c r="R1492" i="11"/>
  <c r="Q1492" i="11"/>
  <c r="P1492" i="11"/>
  <c r="O1492" i="11"/>
  <c r="N1492" i="11"/>
  <c r="M1492" i="11"/>
  <c r="L1492" i="11"/>
  <c r="K1492" i="11"/>
  <c r="J1492" i="11"/>
  <c r="AC12" i="11"/>
  <c r="AB12" i="11"/>
  <c r="AA12" i="11"/>
  <c r="Z12" i="11"/>
  <c r="Y12" i="11"/>
  <c r="X12" i="11"/>
  <c r="W12" i="11"/>
  <c r="V12" i="11"/>
  <c r="U12" i="11"/>
  <c r="T12" i="11"/>
  <c r="S12" i="11"/>
  <c r="R12" i="11"/>
  <c r="Q12" i="11"/>
  <c r="P12" i="11"/>
  <c r="O12" i="11"/>
  <c r="N12" i="11"/>
  <c r="M12" i="11"/>
  <c r="L12" i="11"/>
  <c r="K12" i="11"/>
  <c r="J12" i="11"/>
  <c r="AC921" i="11"/>
  <c r="AB921" i="11"/>
  <c r="AA921" i="11"/>
  <c r="Z921" i="11"/>
  <c r="Y921" i="11"/>
  <c r="X921" i="11"/>
  <c r="W921" i="11"/>
  <c r="V921" i="11"/>
  <c r="U921" i="11"/>
  <c r="T921" i="11"/>
  <c r="S921" i="11"/>
  <c r="R921" i="11"/>
  <c r="Q921" i="11"/>
  <c r="P921" i="11"/>
  <c r="O921" i="11"/>
  <c r="N921" i="11"/>
  <c r="M921" i="11"/>
  <c r="L921" i="11"/>
  <c r="K921" i="11"/>
  <c r="J921" i="11"/>
  <c r="AC920" i="11"/>
  <c r="AB920" i="11"/>
  <c r="AA920" i="11"/>
  <c r="Z920" i="11"/>
  <c r="Y920" i="11"/>
  <c r="X920" i="11"/>
  <c r="W920" i="11"/>
  <c r="V920" i="11"/>
  <c r="U920" i="11"/>
  <c r="T920" i="11"/>
  <c r="S920" i="11"/>
  <c r="R920" i="11"/>
  <c r="Q920" i="11"/>
  <c r="P920" i="11"/>
  <c r="O920" i="11"/>
  <c r="N920" i="11"/>
  <c r="M920" i="11"/>
  <c r="L920" i="11"/>
  <c r="K920" i="11"/>
  <c r="J920" i="11"/>
  <c r="AC155" i="11"/>
  <c r="AB155" i="11"/>
  <c r="AA155" i="11"/>
  <c r="Z155" i="11"/>
  <c r="Y155" i="11"/>
  <c r="X155" i="11"/>
  <c r="W155" i="11"/>
  <c r="V155" i="11"/>
  <c r="U155" i="11"/>
  <c r="T155" i="11"/>
  <c r="S155" i="11"/>
  <c r="R155" i="11"/>
  <c r="Q155" i="11"/>
  <c r="P155" i="11"/>
  <c r="O155" i="11"/>
  <c r="N155" i="11"/>
  <c r="M155" i="11"/>
  <c r="L155" i="11"/>
  <c r="K155" i="11"/>
  <c r="J155" i="11"/>
  <c r="AC698" i="11"/>
  <c r="AB698" i="11"/>
  <c r="AA698" i="11"/>
  <c r="Z698" i="11"/>
  <c r="Y698" i="11"/>
  <c r="X698" i="11"/>
  <c r="W698" i="11"/>
  <c r="V698" i="11"/>
  <c r="U698" i="11"/>
  <c r="T698" i="11"/>
  <c r="S698" i="11"/>
  <c r="R698" i="11"/>
  <c r="Q698" i="11"/>
  <c r="P698" i="11"/>
  <c r="O698" i="11"/>
  <c r="N698" i="11"/>
  <c r="M698" i="11"/>
  <c r="L698" i="11"/>
  <c r="K698" i="11"/>
  <c r="J698" i="11"/>
  <c r="AC2210" i="11"/>
  <c r="AB2210" i="11"/>
  <c r="AA2210" i="11"/>
  <c r="Z2210" i="11"/>
  <c r="Y2210" i="11"/>
  <c r="X2210" i="11"/>
  <c r="W2210" i="11"/>
  <c r="V2210" i="11"/>
  <c r="U2210" i="11"/>
  <c r="T2210" i="11"/>
  <c r="S2210" i="11"/>
  <c r="R2210" i="11"/>
  <c r="Q2210" i="11"/>
  <c r="P2210" i="11"/>
  <c r="O2210" i="11"/>
  <c r="N2210" i="11"/>
  <c r="M2210" i="11"/>
  <c r="L2210" i="11"/>
  <c r="K2210" i="11"/>
  <c r="J2210" i="11"/>
  <c r="AC1864" i="11"/>
  <c r="AB1864" i="11"/>
  <c r="AA1864" i="11"/>
  <c r="Z1864" i="11"/>
  <c r="Y1864" i="11"/>
  <c r="X1864" i="11"/>
  <c r="W1864" i="11"/>
  <c r="V1864" i="11"/>
  <c r="U1864" i="11"/>
  <c r="T1864" i="11"/>
  <c r="S1864" i="11"/>
  <c r="R1864" i="11"/>
  <c r="Q1864" i="11"/>
  <c r="P1864" i="11"/>
  <c r="O1864" i="11"/>
  <c r="N1864" i="11"/>
  <c r="M1864" i="11"/>
  <c r="L1864" i="11"/>
  <c r="K1864" i="11"/>
  <c r="J1864" i="11"/>
  <c r="AC1085" i="11"/>
  <c r="AB1085" i="11"/>
  <c r="AA1085" i="11"/>
  <c r="Z1085" i="11"/>
  <c r="Y1085" i="11"/>
  <c r="X1085" i="11"/>
  <c r="W1085" i="11"/>
  <c r="V1085" i="11"/>
  <c r="U1085" i="11"/>
  <c r="T1085" i="11"/>
  <c r="S1085" i="11"/>
  <c r="R1085" i="11"/>
  <c r="Q1085" i="11"/>
  <c r="P1085" i="11"/>
  <c r="O1085" i="11"/>
  <c r="N1085" i="11"/>
  <c r="M1085" i="11"/>
  <c r="L1085" i="11"/>
  <c r="K1085" i="11"/>
  <c r="J1085" i="11"/>
  <c r="AC2118" i="11"/>
  <c r="AB2118" i="11"/>
  <c r="AA2118" i="11"/>
  <c r="Z2118" i="11"/>
  <c r="Y2118" i="11"/>
  <c r="X2118" i="11"/>
  <c r="W2118" i="11"/>
  <c r="V2118" i="11"/>
  <c r="U2118" i="11"/>
  <c r="T2118" i="11"/>
  <c r="S2118" i="11"/>
  <c r="R2118" i="11"/>
  <c r="Q2118" i="11"/>
  <c r="P2118" i="11"/>
  <c r="O2118" i="11"/>
  <c r="N2118" i="11"/>
  <c r="M2118" i="11"/>
  <c r="L2118" i="11"/>
  <c r="K2118" i="11"/>
  <c r="J2118" i="11"/>
  <c r="AC1863" i="11"/>
  <c r="AB1863" i="11"/>
  <c r="AA1863" i="11"/>
  <c r="Z1863" i="11"/>
  <c r="Y1863" i="11"/>
  <c r="X1863" i="11"/>
  <c r="W1863" i="11"/>
  <c r="V1863" i="11"/>
  <c r="U1863" i="11"/>
  <c r="T1863" i="11"/>
  <c r="S1863" i="11"/>
  <c r="R1863" i="11"/>
  <c r="Q1863" i="11"/>
  <c r="P1863" i="11"/>
  <c r="O1863" i="11"/>
  <c r="N1863" i="11"/>
  <c r="M1863" i="11"/>
  <c r="L1863" i="11"/>
  <c r="K1863" i="11"/>
  <c r="J1863" i="11"/>
  <c r="AC1328" i="11"/>
  <c r="AB1328" i="11"/>
  <c r="AA1328" i="11"/>
  <c r="Z1328" i="11"/>
  <c r="Y1328" i="11"/>
  <c r="X1328" i="11"/>
  <c r="W1328" i="11"/>
  <c r="V1328" i="11"/>
  <c r="U1328" i="11"/>
  <c r="T1328" i="11"/>
  <c r="S1328" i="11"/>
  <c r="R1328" i="11"/>
  <c r="Q1328" i="11"/>
  <c r="P1328" i="11"/>
  <c r="O1328" i="11"/>
  <c r="N1328" i="11"/>
  <c r="M1328" i="11"/>
  <c r="L1328" i="11"/>
  <c r="K1328" i="11"/>
  <c r="J1328" i="11"/>
  <c r="AC697" i="11"/>
  <c r="AB697" i="11"/>
  <c r="AA697" i="11"/>
  <c r="Z697" i="11"/>
  <c r="Y697" i="11"/>
  <c r="X697" i="11"/>
  <c r="W697" i="11"/>
  <c r="V697" i="11"/>
  <c r="U697" i="11"/>
  <c r="T697" i="11"/>
  <c r="S697" i="11"/>
  <c r="R697" i="11"/>
  <c r="Q697" i="11"/>
  <c r="P697" i="11"/>
  <c r="O697" i="11"/>
  <c r="N697" i="11"/>
  <c r="M697" i="11"/>
  <c r="L697" i="11"/>
  <c r="K697" i="11"/>
  <c r="J697" i="11"/>
  <c r="AC996" i="11"/>
  <c r="AB996" i="11"/>
  <c r="AA996" i="11"/>
  <c r="Z996" i="11"/>
  <c r="Y996" i="11"/>
  <c r="X996" i="11"/>
  <c r="W996" i="11"/>
  <c r="V996" i="11"/>
  <c r="U996" i="11"/>
  <c r="T996" i="11"/>
  <c r="S996" i="11"/>
  <c r="R996" i="11"/>
  <c r="Q996" i="11"/>
  <c r="P996" i="11"/>
  <c r="O996" i="11"/>
  <c r="N996" i="11"/>
  <c r="M996" i="11"/>
  <c r="L996" i="11"/>
  <c r="K996" i="11"/>
  <c r="J996" i="11"/>
  <c r="AC995" i="11"/>
  <c r="AB995" i="11"/>
  <c r="AA995" i="11"/>
  <c r="Z995" i="11"/>
  <c r="Y995" i="11"/>
  <c r="X995" i="11"/>
  <c r="W995" i="11"/>
  <c r="V995" i="11"/>
  <c r="U995" i="11"/>
  <c r="T995" i="11"/>
  <c r="S995" i="11"/>
  <c r="R995" i="11"/>
  <c r="Q995" i="11"/>
  <c r="P995" i="11"/>
  <c r="O995" i="11"/>
  <c r="N995" i="11"/>
  <c r="M995" i="11"/>
  <c r="L995" i="11"/>
  <c r="K995" i="11"/>
  <c r="J995" i="11"/>
  <c r="AC2209" i="11"/>
  <c r="AB2209" i="11"/>
  <c r="AA2209" i="11"/>
  <c r="Z2209" i="11"/>
  <c r="Y2209" i="11"/>
  <c r="X2209" i="11"/>
  <c r="W2209" i="11"/>
  <c r="V2209" i="11"/>
  <c r="U2209" i="11"/>
  <c r="T2209" i="11"/>
  <c r="S2209" i="11"/>
  <c r="R2209" i="11"/>
  <c r="Q2209" i="11"/>
  <c r="P2209" i="11"/>
  <c r="O2209" i="11"/>
  <c r="N2209" i="11"/>
  <c r="M2209" i="11"/>
  <c r="L2209" i="11"/>
  <c r="K2209" i="11"/>
  <c r="J2209" i="11"/>
  <c r="AC6" i="11"/>
  <c r="AB6" i="11"/>
  <c r="AA6" i="11"/>
  <c r="Z6" i="11"/>
  <c r="Y6" i="11"/>
  <c r="X6" i="11"/>
  <c r="W6" i="11"/>
  <c r="V6" i="11"/>
  <c r="U6" i="11"/>
  <c r="T6" i="11"/>
  <c r="S6" i="11"/>
  <c r="R6" i="11"/>
  <c r="Q6" i="11"/>
  <c r="P6" i="11"/>
  <c r="O6" i="11"/>
  <c r="N6" i="11"/>
  <c r="M6" i="11"/>
  <c r="L6" i="11"/>
  <c r="K6" i="11"/>
  <c r="J6" i="11"/>
  <c r="AC11" i="11"/>
  <c r="AB11" i="11"/>
  <c r="AA11" i="11"/>
  <c r="Z11" i="11"/>
  <c r="Y11" i="11"/>
  <c r="X11" i="11"/>
  <c r="W11" i="11"/>
  <c r="V11" i="11"/>
  <c r="U11" i="11"/>
  <c r="T11" i="11"/>
  <c r="S11" i="11"/>
  <c r="R11" i="11"/>
  <c r="Q11" i="11"/>
  <c r="P11" i="11"/>
  <c r="O11" i="11"/>
  <c r="N11" i="11"/>
  <c r="M11" i="11"/>
  <c r="L11" i="11"/>
  <c r="K11" i="11"/>
  <c r="J11" i="11"/>
  <c r="AC1491" i="11"/>
  <c r="AB1491" i="11"/>
  <c r="AA1491" i="11"/>
  <c r="Z1491" i="11"/>
  <c r="Y1491" i="11"/>
  <c r="X1491" i="11"/>
  <c r="W1491" i="11"/>
  <c r="V1491" i="11"/>
  <c r="U1491" i="11"/>
  <c r="T1491" i="11"/>
  <c r="S1491" i="11"/>
  <c r="R1491" i="11"/>
  <c r="Q1491" i="11"/>
  <c r="P1491" i="11"/>
  <c r="O1491" i="11"/>
  <c r="N1491" i="11"/>
  <c r="M1491" i="11"/>
  <c r="L1491" i="11"/>
  <c r="K1491" i="11"/>
  <c r="J1491" i="11"/>
  <c r="AC1718" i="11"/>
  <c r="AB1718" i="11"/>
  <c r="AA1718" i="11"/>
  <c r="Z1718" i="11"/>
  <c r="Y1718" i="11"/>
  <c r="X1718" i="11"/>
  <c r="W1718" i="11"/>
  <c r="V1718" i="11"/>
  <c r="U1718" i="11"/>
  <c r="T1718" i="11"/>
  <c r="S1718" i="11"/>
  <c r="R1718" i="11"/>
  <c r="Q1718" i="11"/>
  <c r="P1718" i="11"/>
  <c r="O1718" i="11"/>
  <c r="N1718" i="11"/>
  <c r="M1718" i="11"/>
  <c r="L1718" i="11"/>
  <c r="K1718" i="11"/>
  <c r="J1718" i="11"/>
  <c r="AC2089" i="11"/>
  <c r="AB2089" i="11"/>
  <c r="AA2089" i="11"/>
  <c r="Z2089" i="11"/>
  <c r="Y2089" i="11"/>
  <c r="X2089" i="11"/>
  <c r="W2089" i="11"/>
  <c r="V2089" i="11"/>
  <c r="U2089" i="11"/>
  <c r="T2089" i="11"/>
  <c r="S2089" i="11"/>
  <c r="R2089" i="11"/>
  <c r="Q2089" i="11"/>
  <c r="P2089" i="11"/>
  <c r="O2089" i="11"/>
  <c r="N2089" i="11"/>
  <c r="M2089" i="11"/>
  <c r="L2089" i="11"/>
  <c r="K2089" i="11"/>
  <c r="J2089" i="11"/>
  <c r="AC1962" i="11"/>
  <c r="AB1962" i="11"/>
  <c r="AA1962" i="11"/>
  <c r="Z1962" i="11"/>
  <c r="Y1962" i="11"/>
  <c r="X1962" i="11"/>
  <c r="W1962" i="11"/>
  <c r="V1962" i="11"/>
  <c r="U1962" i="11"/>
  <c r="T1962" i="11"/>
  <c r="S1962" i="11"/>
  <c r="R1962" i="11"/>
  <c r="Q1962" i="11"/>
  <c r="P1962" i="11"/>
  <c r="O1962" i="11"/>
  <c r="N1962" i="11"/>
  <c r="M1962" i="11"/>
  <c r="L1962" i="11"/>
  <c r="K1962" i="11"/>
  <c r="J1962" i="11"/>
  <c r="AC2048" i="11"/>
  <c r="AB2048" i="11"/>
  <c r="AA2048" i="11"/>
  <c r="Z2048" i="11"/>
  <c r="Y2048" i="11"/>
  <c r="X2048" i="11"/>
  <c r="W2048" i="11"/>
  <c r="V2048" i="11"/>
  <c r="U2048" i="11"/>
  <c r="T2048" i="11"/>
  <c r="S2048" i="11"/>
  <c r="R2048" i="11"/>
  <c r="Q2048" i="11"/>
  <c r="P2048" i="11"/>
  <c r="O2048" i="11"/>
  <c r="N2048" i="11"/>
  <c r="M2048" i="11"/>
  <c r="L2048" i="11"/>
  <c r="K2048" i="11"/>
  <c r="J2048" i="11"/>
  <c r="AC154" i="11"/>
  <c r="AB154" i="11"/>
  <c r="AA154" i="11"/>
  <c r="Z154" i="11"/>
  <c r="Y154" i="11"/>
  <c r="X154" i="11"/>
  <c r="W154" i="11"/>
  <c r="V154" i="11"/>
  <c r="U154" i="11"/>
  <c r="T154" i="11"/>
  <c r="S154" i="11"/>
  <c r="R154" i="11"/>
  <c r="Q154" i="11"/>
  <c r="P154" i="11"/>
  <c r="O154" i="11"/>
  <c r="N154" i="11"/>
  <c r="M154" i="11"/>
  <c r="L154" i="11"/>
  <c r="K154" i="11"/>
  <c r="J154" i="11"/>
  <c r="AC1584" i="11"/>
  <c r="AB1584" i="11"/>
  <c r="AA1584" i="11"/>
  <c r="Z1584" i="11"/>
  <c r="Y1584" i="11"/>
  <c r="X1584" i="11"/>
  <c r="W1584" i="11"/>
  <c r="V1584" i="11"/>
  <c r="U1584" i="11"/>
  <c r="T1584" i="11"/>
  <c r="S1584" i="11"/>
  <c r="R1584" i="11"/>
  <c r="Q1584" i="11"/>
  <c r="P1584" i="11"/>
  <c r="O1584" i="11"/>
  <c r="N1584" i="11"/>
  <c r="M1584" i="11"/>
  <c r="L1584" i="11"/>
  <c r="K1584" i="11"/>
  <c r="J1584" i="11"/>
  <c r="AC1157" i="11"/>
  <c r="AB1157" i="11"/>
  <c r="AA1157" i="11"/>
  <c r="Z1157" i="11"/>
  <c r="Y1157" i="11"/>
  <c r="X1157" i="11"/>
  <c r="W1157" i="11"/>
  <c r="V1157" i="11"/>
  <c r="U1157" i="11"/>
  <c r="T1157" i="11"/>
  <c r="S1157" i="11"/>
  <c r="R1157" i="11"/>
  <c r="Q1157" i="11"/>
  <c r="P1157" i="11"/>
  <c r="O1157" i="11"/>
  <c r="N1157" i="11"/>
  <c r="M1157" i="11"/>
  <c r="L1157" i="11"/>
  <c r="K1157" i="11"/>
  <c r="J1157" i="11"/>
  <c r="AC1668" i="11"/>
  <c r="AB1668" i="11"/>
  <c r="AA1668" i="11"/>
  <c r="Z1668" i="11"/>
  <c r="Y1668" i="11"/>
  <c r="X1668" i="11"/>
  <c r="W1668" i="11"/>
  <c r="V1668" i="11"/>
  <c r="U1668" i="11"/>
  <c r="T1668" i="11"/>
  <c r="S1668" i="11"/>
  <c r="R1668" i="11"/>
  <c r="Q1668" i="11"/>
  <c r="P1668" i="11"/>
  <c r="O1668" i="11"/>
  <c r="N1668" i="11"/>
  <c r="M1668" i="11"/>
  <c r="L1668" i="11"/>
  <c r="K1668" i="11"/>
  <c r="J1668" i="11"/>
  <c r="AC1717" i="11"/>
  <c r="AB1717" i="11"/>
  <c r="AA1717" i="11"/>
  <c r="Z1717" i="11"/>
  <c r="Y1717" i="11"/>
  <c r="X1717" i="11"/>
  <c r="W1717" i="11"/>
  <c r="V1717" i="11"/>
  <c r="U1717" i="11"/>
  <c r="T1717" i="11"/>
  <c r="S1717" i="11"/>
  <c r="R1717" i="11"/>
  <c r="Q1717" i="11"/>
  <c r="P1717" i="11"/>
  <c r="O1717" i="11"/>
  <c r="N1717" i="11"/>
  <c r="M1717" i="11"/>
  <c r="L1717" i="11"/>
  <c r="K1717" i="11"/>
  <c r="J1717" i="11"/>
  <c r="AC2169" i="11"/>
  <c r="AB2169" i="11"/>
  <c r="AA2169" i="11"/>
  <c r="Z2169" i="11"/>
  <c r="Y2169" i="11"/>
  <c r="X2169" i="11"/>
  <c r="W2169" i="11"/>
  <c r="V2169" i="11"/>
  <c r="U2169" i="11"/>
  <c r="T2169" i="11"/>
  <c r="S2169" i="11"/>
  <c r="R2169" i="11"/>
  <c r="Q2169" i="11"/>
  <c r="P2169" i="11"/>
  <c r="O2169" i="11"/>
  <c r="N2169" i="11"/>
  <c r="M2169" i="11"/>
  <c r="L2169" i="11"/>
  <c r="K2169" i="11"/>
  <c r="J2169" i="11"/>
  <c r="AC1379" i="11"/>
  <c r="AB1379" i="11"/>
  <c r="AA1379" i="11"/>
  <c r="Z1379" i="11"/>
  <c r="Y1379" i="11"/>
  <c r="X1379" i="11"/>
  <c r="W1379" i="11"/>
  <c r="V1379" i="11"/>
  <c r="U1379" i="11"/>
  <c r="T1379" i="11"/>
  <c r="S1379" i="11"/>
  <c r="R1379" i="11"/>
  <c r="Q1379" i="11"/>
  <c r="P1379" i="11"/>
  <c r="O1379" i="11"/>
  <c r="N1379" i="11"/>
  <c r="M1379" i="11"/>
  <c r="L1379" i="11"/>
  <c r="K1379" i="11"/>
  <c r="J1379" i="11"/>
  <c r="AC1378" i="11"/>
  <c r="AB1378" i="11"/>
  <c r="AA1378" i="11"/>
  <c r="Z1378" i="11"/>
  <c r="Y1378" i="11"/>
  <c r="X1378" i="11"/>
  <c r="W1378" i="11"/>
  <c r="V1378" i="11"/>
  <c r="U1378" i="11"/>
  <c r="T1378" i="11"/>
  <c r="S1378" i="11"/>
  <c r="R1378" i="11"/>
  <c r="Q1378" i="11"/>
  <c r="P1378" i="11"/>
  <c r="O1378" i="11"/>
  <c r="N1378" i="11"/>
  <c r="M1378" i="11"/>
  <c r="L1378" i="11"/>
  <c r="K1378" i="11"/>
  <c r="J1378" i="11"/>
  <c r="AC696" i="11"/>
  <c r="AB696" i="11"/>
  <c r="AA696" i="11"/>
  <c r="Z696" i="11"/>
  <c r="Y696" i="11"/>
  <c r="X696" i="11"/>
  <c r="W696" i="11"/>
  <c r="V696" i="11"/>
  <c r="U696" i="11"/>
  <c r="T696" i="11"/>
  <c r="S696" i="11"/>
  <c r="R696" i="11"/>
  <c r="Q696" i="11"/>
  <c r="P696" i="11"/>
  <c r="O696" i="11"/>
  <c r="N696" i="11"/>
  <c r="M696" i="11"/>
  <c r="L696" i="11"/>
  <c r="K696" i="11"/>
  <c r="J696" i="11"/>
  <c r="AC1084" i="11"/>
  <c r="AB1084" i="11"/>
  <c r="AA1084" i="11"/>
  <c r="Z1084" i="11"/>
  <c r="Y1084" i="11"/>
  <c r="X1084" i="11"/>
  <c r="W1084" i="11"/>
  <c r="V1084" i="11"/>
  <c r="U1084" i="11"/>
  <c r="T1084" i="11"/>
  <c r="S1084" i="11"/>
  <c r="R1084" i="11"/>
  <c r="Q1084" i="11"/>
  <c r="P1084" i="11"/>
  <c r="O1084" i="11"/>
  <c r="N1084" i="11"/>
  <c r="M1084" i="11"/>
  <c r="L1084" i="11"/>
  <c r="K1084" i="11"/>
  <c r="J1084" i="11"/>
  <c r="AC67" i="11"/>
  <c r="AB67" i="11"/>
  <c r="AA67" i="11"/>
  <c r="Z67" i="11"/>
  <c r="Y67" i="11"/>
  <c r="X67" i="11"/>
  <c r="W67" i="11"/>
  <c r="V67" i="11"/>
  <c r="U67" i="11"/>
  <c r="T67" i="11"/>
  <c r="S67" i="11"/>
  <c r="R67" i="11"/>
  <c r="Q67" i="11"/>
  <c r="P67" i="11"/>
  <c r="O67" i="11"/>
  <c r="N67" i="11"/>
  <c r="M67" i="11"/>
  <c r="L67" i="11"/>
  <c r="K67" i="11"/>
  <c r="J67" i="11"/>
  <c r="AC66" i="11"/>
  <c r="AB66" i="11"/>
  <c r="AA66" i="11"/>
  <c r="Z66" i="11"/>
  <c r="Y66" i="11"/>
  <c r="X66" i="11"/>
  <c r="W66" i="11"/>
  <c r="V66" i="11"/>
  <c r="U66" i="11"/>
  <c r="T66" i="11"/>
  <c r="S66" i="11"/>
  <c r="R66" i="11"/>
  <c r="Q66" i="11"/>
  <c r="P66" i="11"/>
  <c r="O66" i="11"/>
  <c r="N66" i="11"/>
  <c r="M66" i="11"/>
  <c r="L66" i="11"/>
  <c r="K66" i="11"/>
  <c r="J66" i="11"/>
  <c r="AC1451" i="11"/>
  <c r="AB1451" i="11"/>
  <c r="AA1451" i="11"/>
  <c r="Z1451" i="11"/>
  <c r="Y1451" i="11"/>
  <c r="X1451" i="11"/>
  <c r="W1451" i="11"/>
  <c r="V1451" i="11"/>
  <c r="U1451" i="11"/>
  <c r="T1451" i="11"/>
  <c r="S1451" i="11"/>
  <c r="R1451" i="11"/>
  <c r="Q1451" i="11"/>
  <c r="P1451" i="11"/>
  <c r="O1451" i="11"/>
  <c r="N1451" i="11"/>
  <c r="M1451" i="11"/>
  <c r="L1451" i="11"/>
  <c r="K1451" i="11"/>
  <c r="J1451" i="11"/>
  <c r="AC1490" i="11"/>
  <c r="AB1490" i="11"/>
  <c r="AA1490" i="11"/>
  <c r="Z1490" i="11"/>
  <c r="Y1490" i="11"/>
  <c r="X1490" i="11"/>
  <c r="W1490" i="11"/>
  <c r="V1490" i="11"/>
  <c r="U1490" i="11"/>
  <c r="T1490" i="11"/>
  <c r="S1490" i="11"/>
  <c r="R1490" i="11"/>
  <c r="Q1490" i="11"/>
  <c r="P1490" i="11"/>
  <c r="O1490" i="11"/>
  <c r="N1490" i="11"/>
  <c r="M1490" i="11"/>
  <c r="L1490" i="11"/>
  <c r="K1490" i="11"/>
  <c r="J1490" i="11"/>
  <c r="AC1716" i="11"/>
  <c r="AB1716" i="11"/>
  <c r="AA1716" i="11"/>
  <c r="Z1716" i="11"/>
  <c r="Y1716" i="11"/>
  <c r="X1716" i="11"/>
  <c r="W1716" i="11"/>
  <c r="V1716" i="11"/>
  <c r="U1716" i="11"/>
  <c r="T1716" i="11"/>
  <c r="S1716" i="11"/>
  <c r="R1716" i="11"/>
  <c r="Q1716" i="11"/>
  <c r="P1716" i="11"/>
  <c r="O1716" i="11"/>
  <c r="N1716" i="11"/>
  <c r="M1716" i="11"/>
  <c r="L1716" i="11"/>
  <c r="K1716" i="11"/>
  <c r="J1716" i="11"/>
  <c r="AC124" i="11"/>
  <c r="AB124" i="11"/>
  <c r="AA124" i="11"/>
  <c r="Z124" i="11"/>
  <c r="Y124" i="11"/>
  <c r="X124" i="11"/>
  <c r="W124" i="11"/>
  <c r="V124" i="11"/>
  <c r="U124" i="11"/>
  <c r="T124" i="11"/>
  <c r="S124" i="11"/>
  <c r="R124" i="11"/>
  <c r="Q124" i="11"/>
  <c r="P124" i="11"/>
  <c r="O124" i="11"/>
  <c r="N124" i="11"/>
  <c r="M124" i="11"/>
  <c r="L124" i="11"/>
  <c r="K124" i="11"/>
  <c r="J124" i="11"/>
  <c r="AC123" i="11"/>
  <c r="AB123" i="11"/>
  <c r="AA123" i="11"/>
  <c r="Z123" i="11"/>
  <c r="Y123" i="11"/>
  <c r="X123" i="11"/>
  <c r="W123" i="11"/>
  <c r="V123" i="11"/>
  <c r="U123" i="11"/>
  <c r="T123" i="11"/>
  <c r="S123" i="11"/>
  <c r="R123" i="11"/>
  <c r="Q123" i="11"/>
  <c r="P123" i="11"/>
  <c r="O123" i="11"/>
  <c r="N123" i="11"/>
  <c r="M123" i="11"/>
  <c r="L123" i="11"/>
  <c r="K123" i="11"/>
  <c r="J123" i="11"/>
  <c r="AC1280" i="11"/>
  <c r="AB1280" i="11"/>
  <c r="AA1280" i="11"/>
  <c r="Z1280" i="11"/>
  <c r="Y1280" i="11"/>
  <c r="X1280" i="11"/>
  <c r="W1280" i="11"/>
  <c r="V1280" i="11"/>
  <c r="U1280" i="11"/>
  <c r="T1280" i="11"/>
  <c r="S1280" i="11"/>
  <c r="R1280" i="11"/>
  <c r="Q1280" i="11"/>
  <c r="P1280" i="11"/>
  <c r="O1280" i="11"/>
  <c r="N1280" i="11"/>
  <c r="M1280" i="11"/>
  <c r="L1280" i="11"/>
  <c r="K1280" i="11"/>
  <c r="J1280" i="11"/>
  <c r="AC2168" i="11"/>
  <c r="AB2168" i="11"/>
  <c r="AA2168" i="11"/>
  <c r="Z2168" i="11"/>
  <c r="Y2168" i="11"/>
  <c r="X2168" i="11"/>
  <c r="W2168" i="11"/>
  <c r="V2168" i="11"/>
  <c r="U2168" i="11"/>
  <c r="T2168" i="11"/>
  <c r="S2168" i="11"/>
  <c r="R2168" i="11"/>
  <c r="Q2168" i="11"/>
  <c r="P2168" i="11"/>
  <c r="O2168" i="11"/>
  <c r="N2168" i="11"/>
  <c r="M2168" i="11"/>
  <c r="L2168" i="11"/>
  <c r="K2168" i="11"/>
  <c r="J2168" i="11"/>
  <c r="AC1156" i="11"/>
  <c r="AB1156" i="11"/>
  <c r="AA1156" i="11"/>
  <c r="Z1156" i="11"/>
  <c r="Y1156" i="11"/>
  <c r="X1156" i="11"/>
  <c r="W1156" i="11"/>
  <c r="V1156" i="11"/>
  <c r="U1156" i="11"/>
  <c r="T1156" i="11"/>
  <c r="S1156" i="11"/>
  <c r="R1156" i="11"/>
  <c r="Q1156" i="11"/>
  <c r="P1156" i="11"/>
  <c r="O1156" i="11"/>
  <c r="N1156" i="11"/>
  <c r="M1156" i="11"/>
  <c r="L1156" i="11"/>
  <c r="K1156" i="11"/>
  <c r="J1156" i="11"/>
  <c r="AC269" i="11"/>
  <c r="AB269" i="11"/>
  <c r="AA269" i="11"/>
  <c r="Z269" i="11"/>
  <c r="Y269" i="11"/>
  <c r="X269" i="11"/>
  <c r="W269" i="11"/>
  <c r="V269" i="11"/>
  <c r="U269" i="11"/>
  <c r="T269" i="11"/>
  <c r="S269" i="11"/>
  <c r="R269" i="11"/>
  <c r="Q269" i="11"/>
  <c r="P269" i="11"/>
  <c r="O269" i="11"/>
  <c r="N269" i="11"/>
  <c r="M269" i="11"/>
  <c r="L269" i="11"/>
  <c r="K269" i="11"/>
  <c r="J269" i="11"/>
  <c r="AC2117" i="11"/>
  <c r="AB2117" i="11"/>
  <c r="AA2117" i="11"/>
  <c r="Z2117" i="11"/>
  <c r="Y2117" i="11"/>
  <c r="X2117" i="11"/>
  <c r="W2117" i="11"/>
  <c r="V2117" i="11"/>
  <c r="U2117" i="11"/>
  <c r="T2117" i="11"/>
  <c r="S2117" i="11"/>
  <c r="R2117" i="11"/>
  <c r="Q2117" i="11"/>
  <c r="P2117" i="11"/>
  <c r="O2117" i="11"/>
  <c r="N2117" i="11"/>
  <c r="M2117" i="11"/>
  <c r="L2117" i="11"/>
  <c r="K2117" i="11"/>
  <c r="J2117" i="11"/>
  <c r="AC387" i="11"/>
  <c r="AB387" i="11"/>
  <c r="AA387" i="11"/>
  <c r="Z387" i="11"/>
  <c r="Y387" i="11"/>
  <c r="X387" i="11"/>
  <c r="W387" i="11"/>
  <c r="V387" i="11"/>
  <c r="U387" i="11"/>
  <c r="T387" i="11"/>
  <c r="S387" i="11"/>
  <c r="R387" i="11"/>
  <c r="Q387" i="11"/>
  <c r="P387" i="11"/>
  <c r="O387" i="11"/>
  <c r="N387" i="11"/>
  <c r="M387" i="11"/>
  <c r="L387" i="11"/>
  <c r="K387" i="11"/>
  <c r="J387" i="11"/>
  <c r="AC386" i="11"/>
  <c r="AB386" i="11"/>
  <c r="AA386" i="11"/>
  <c r="Z386" i="11"/>
  <c r="Y386" i="11"/>
  <c r="X386" i="11"/>
  <c r="W386" i="11"/>
  <c r="V386" i="11"/>
  <c r="U386" i="11"/>
  <c r="T386" i="11"/>
  <c r="S386" i="11"/>
  <c r="R386" i="11"/>
  <c r="Q386" i="11"/>
  <c r="P386" i="11"/>
  <c r="O386" i="11"/>
  <c r="N386" i="11"/>
  <c r="M386" i="11"/>
  <c r="L386" i="11"/>
  <c r="K386" i="11"/>
  <c r="J386" i="11"/>
  <c r="AC2000" i="11"/>
  <c r="AB2000" i="11"/>
  <c r="AA2000" i="11"/>
  <c r="Z2000" i="11"/>
  <c r="Y2000" i="11"/>
  <c r="X2000" i="11"/>
  <c r="W2000" i="11"/>
  <c r="V2000" i="11"/>
  <c r="U2000" i="11"/>
  <c r="T2000" i="11"/>
  <c r="S2000" i="11"/>
  <c r="R2000" i="11"/>
  <c r="Q2000" i="11"/>
  <c r="P2000" i="11"/>
  <c r="O2000" i="11"/>
  <c r="N2000" i="11"/>
  <c r="M2000" i="11"/>
  <c r="L2000" i="11"/>
  <c r="K2000" i="11"/>
  <c r="J2000" i="11"/>
  <c r="AC1621" i="11"/>
  <c r="AB1621" i="11"/>
  <c r="AA1621" i="11"/>
  <c r="Z1621" i="11"/>
  <c r="Y1621" i="11"/>
  <c r="X1621" i="11"/>
  <c r="W1621" i="11"/>
  <c r="V1621" i="11"/>
  <c r="U1621" i="11"/>
  <c r="T1621" i="11"/>
  <c r="S1621" i="11"/>
  <c r="R1621" i="11"/>
  <c r="Q1621" i="11"/>
  <c r="P1621" i="11"/>
  <c r="O1621" i="11"/>
  <c r="N1621" i="11"/>
  <c r="M1621" i="11"/>
  <c r="L1621" i="11"/>
  <c r="K1621" i="11"/>
  <c r="J1621" i="11"/>
  <c r="AC604" i="11"/>
  <c r="AB604" i="11"/>
  <c r="AA604" i="11"/>
  <c r="Z604" i="11"/>
  <c r="Y604" i="11"/>
  <c r="X604" i="11"/>
  <c r="W604" i="11"/>
  <c r="V604" i="11"/>
  <c r="U604" i="11"/>
  <c r="T604" i="11"/>
  <c r="S604" i="11"/>
  <c r="R604" i="11"/>
  <c r="Q604" i="11"/>
  <c r="P604" i="11"/>
  <c r="O604" i="11"/>
  <c r="N604" i="11"/>
  <c r="M604" i="11"/>
  <c r="L604" i="11"/>
  <c r="K604" i="11"/>
  <c r="J604" i="11"/>
  <c r="AC1540" i="11"/>
  <c r="AB1540" i="11"/>
  <c r="AA1540" i="11"/>
  <c r="Z1540" i="11"/>
  <c r="Y1540" i="11"/>
  <c r="X1540" i="11"/>
  <c r="W1540" i="11"/>
  <c r="V1540" i="11"/>
  <c r="U1540" i="11"/>
  <c r="T1540" i="11"/>
  <c r="S1540" i="11"/>
  <c r="R1540" i="11"/>
  <c r="Q1540" i="11"/>
  <c r="P1540" i="11"/>
  <c r="O1540" i="11"/>
  <c r="N1540" i="11"/>
  <c r="M1540" i="11"/>
  <c r="L1540" i="11"/>
  <c r="K1540" i="11"/>
  <c r="J1540" i="11"/>
  <c r="AC1583" i="11"/>
  <c r="AB1583" i="11"/>
  <c r="AA1583" i="11"/>
  <c r="Z1583" i="11"/>
  <c r="Y1583" i="11"/>
  <c r="X1583" i="11"/>
  <c r="W1583" i="11"/>
  <c r="V1583" i="11"/>
  <c r="U1583" i="11"/>
  <c r="T1583" i="11"/>
  <c r="S1583" i="11"/>
  <c r="R1583" i="11"/>
  <c r="Q1583" i="11"/>
  <c r="P1583" i="11"/>
  <c r="O1583" i="11"/>
  <c r="N1583" i="11"/>
  <c r="M1583" i="11"/>
  <c r="L1583" i="11"/>
  <c r="K1583" i="11"/>
  <c r="J1583" i="11"/>
  <c r="AC1767" i="11"/>
  <c r="AB1767" i="11"/>
  <c r="AA1767" i="11"/>
  <c r="Z1767" i="11"/>
  <c r="Y1767" i="11"/>
  <c r="X1767" i="11"/>
  <c r="W1767" i="11"/>
  <c r="V1767" i="11"/>
  <c r="U1767" i="11"/>
  <c r="T1767" i="11"/>
  <c r="S1767" i="11"/>
  <c r="R1767" i="11"/>
  <c r="Q1767" i="11"/>
  <c r="P1767" i="11"/>
  <c r="O1767" i="11"/>
  <c r="N1767" i="11"/>
  <c r="M1767" i="11"/>
  <c r="L1767" i="11"/>
  <c r="K1767" i="11"/>
  <c r="J1767" i="11"/>
  <c r="AC268" i="11"/>
  <c r="AB268" i="11"/>
  <c r="AA268" i="11"/>
  <c r="Z268" i="11"/>
  <c r="Y268" i="11"/>
  <c r="X268" i="11"/>
  <c r="W268" i="11"/>
  <c r="V268" i="11"/>
  <c r="U268" i="11"/>
  <c r="T268" i="11"/>
  <c r="S268" i="11"/>
  <c r="R268" i="11"/>
  <c r="Q268" i="11"/>
  <c r="P268" i="11"/>
  <c r="O268" i="11"/>
  <c r="N268" i="11"/>
  <c r="M268" i="11"/>
  <c r="L268" i="11"/>
  <c r="K268" i="11"/>
  <c r="J268" i="11"/>
  <c r="AC2151" i="11"/>
  <c r="AB2151" i="11"/>
  <c r="AA2151" i="11"/>
  <c r="Z2151" i="11"/>
  <c r="Y2151" i="11"/>
  <c r="X2151" i="11"/>
  <c r="W2151" i="11"/>
  <c r="V2151" i="11"/>
  <c r="U2151" i="11"/>
  <c r="T2151" i="11"/>
  <c r="S2151" i="11"/>
  <c r="R2151" i="11"/>
  <c r="Q2151" i="11"/>
  <c r="P2151" i="11"/>
  <c r="O2151" i="11"/>
  <c r="N2151" i="11"/>
  <c r="M2151" i="11"/>
  <c r="L2151" i="11"/>
  <c r="K2151" i="11"/>
  <c r="J2151" i="11"/>
  <c r="AC2150" i="11"/>
  <c r="AB2150" i="11"/>
  <c r="AA2150" i="11"/>
  <c r="Z2150" i="11"/>
  <c r="Y2150" i="11"/>
  <c r="X2150" i="11"/>
  <c r="W2150" i="11"/>
  <c r="V2150" i="11"/>
  <c r="U2150" i="11"/>
  <c r="T2150" i="11"/>
  <c r="S2150" i="11"/>
  <c r="R2150" i="11"/>
  <c r="Q2150" i="11"/>
  <c r="P2150" i="11"/>
  <c r="O2150" i="11"/>
  <c r="N2150" i="11"/>
  <c r="M2150" i="11"/>
  <c r="L2150" i="11"/>
  <c r="K2150" i="11"/>
  <c r="J2150" i="11"/>
  <c r="AC1083" i="11"/>
  <c r="AB1083" i="11"/>
  <c r="AA1083" i="11"/>
  <c r="Z1083" i="11"/>
  <c r="Y1083" i="11"/>
  <c r="X1083" i="11"/>
  <c r="W1083" i="11"/>
  <c r="V1083" i="11"/>
  <c r="U1083" i="11"/>
  <c r="T1083" i="11"/>
  <c r="S1083" i="11"/>
  <c r="R1083" i="11"/>
  <c r="Q1083" i="11"/>
  <c r="P1083" i="11"/>
  <c r="O1083" i="11"/>
  <c r="N1083" i="11"/>
  <c r="M1083" i="11"/>
  <c r="L1083" i="11"/>
  <c r="K1083" i="11"/>
  <c r="J1083" i="11"/>
  <c r="AC1539" i="11"/>
  <c r="AB1539" i="11"/>
  <c r="AA1539" i="11"/>
  <c r="Z1539" i="11"/>
  <c r="Y1539" i="11"/>
  <c r="X1539" i="11"/>
  <c r="W1539" i="11"/>
  <c r="V1539" i="11"/>
  <c r="U1539" i="11"/>
  <c r="T1539" i="11"/>
  <c r="S1539" i="11"/>
  <c r="R1539" i="11"/>
  <c r="Q1539" i="11"/>
  <c r="P1539" i="11"/>
  <c r="O1539" i="11"/>
  <c r="N1539" i="11"/>
  <c r="M1539" i="11"/>
  <c r="L1539" i="11"/>
  <c r="K1539" i="11"/>
  <c r="J1539" i="11"/>
  <c r="AC479" i="11"/>
  <c r="AB479" i="11"/>
  <c r="AA479" i="11"/>
  <c r="Z479" i="11"/>
  <c r="Y479" i="11"/>
  <c r="X479" i="11"/>
  <c r="W479" i="11"/>
  <c r="V479" i="11"/>
  <c r="U479" i="11"/>
  <c r="T479" i="11"/>
  <c r="S479" i="11"/>
  <c r="R479" i="11"/>
  <c r="Q479" i="11"/>
  <c r="P479" i="11"/>
  <c r="O479" i="11"/>
  <c r="N479" i="11"/>
  <c r="M479" i="11"/>
  <c r="L479" i="11"/>
  <c r="K479" i="11"/>
  <c r="J479" i="11"/>
  <c r="AC1450" i="11"/>
  <c r="AB1450" i="11"/>
  <c r="AA1450" i="11"/>
  <c r="Z1450" i="11"/>
  <c r="Y1450" i="11"/>
  <c r="X1450" i="11"/>
  <c r="W1450" i="11"/>
  <c r="V1450" i="11"/>
  <c r="U1450" i="11"/>
  <c r="T1450" i="11"/>
  <c r="S1450" i="11"/>
  <c r="R1450" i="11"/>
  <c r="Q1450" i="11"/>
  <c r="P1450" i="11"/>
  <c r="O1450" i="11"/>
  <c r="N1450" i="11"/>
  <c r="M1450" i="11"/>
  <c r="L1450" i="11"/>
  <c r="K1450" i="11"/>
  <c r="J1450" i="11"/>
  <c r="AC557" i="11"/>
  <c r="AB557" i="11"/>
  <c r="AA557" i="11"/>
  <c r="Z557" i="11"/>
  <c r="Y557" i="11"/>
  <c r="X557" i="11"/>
  <c r="W557" i="11"/>
  <c r="V557" i="11"/>
  <c r="U557" i="11"/>
  <c r="T557" i="11"/>
  <c r="S557" i="11"/>
  <c r="R557" i="11"/>
  <c r="Q557" i="11"/>
  <c r="P557" i="11"/>
  <c r="O557" i="11"/>
  <c r="N557" i="11"/>
  <c r="M557" i="11"/>
  <c r="L557" i="11"/>
  <c r="K557" i="11"/>
  <c r="J557" i="11"/>
  <c r="AC1582" i="11"/>
  <c r="AB1582" i="11"/>
  <c r="AA1582" i="11"/>
  <c r="Z1582" i="11"/>
  <c r="Y1582" i="11"/>
  <c r="X1582" i="11"/>
  <c r="W1582" i="11"/>
  <c r="V1582" i="11"/>
  <c r="U1582" i="11"/>
  <c r="T1582" i="11"/>
  <c r="S1582" i="11"/>
  <c r="R1582" i="11"/>
  <c r="Q1582" i="11"/>
  <c r="P1582" i="11"/>
  <c r="O1582" i="11"/>
  <c r="N1582" i="11"/>
  <c r="M1582" i="11"/>
  <c r="L1582" i="11"/>
  <c r="K1582" i="11"/>
  <c r="J1582" i="11"/>
  <c r="AC153" i="11"/>
  <c r="AB153" i="11"/>
  <c r="AA153" i="11"/>
  <c r="Z153" i="11"/>
  <c r="Y153" i="11"/>
  <c r="X153" i="11"/>
  <c r="W153" i="11"/>
  <c r="V153" i="11"/>
  <c r="U153" i="11"/>
  <c r="T153" i="11"/>
  <c r="S153" i="11"/>
  <c r="R153" i="11"/>
  <c r="Q153" i="11"/>
  <c r="P153" i="11"/>
  <c r="O153" i="11"/>
  <c r="N153" i="11"/>
  <c r="M153" i="11"/>
  <c r="L153" i="11"/>
  <c r="K153" i="11"/>
  <c r="J153" i="11"/>
  <c r="AC1766" i="11"/>
  <c r="AB1766" i="11"/>
  <c r="AA1766" i="11"/>
  <c r="Z1766" i="11"/>
  <c r="Y1766" i="11"/>
  <c r="X1766" i="11"/>
  <c r="W1766" i="11"/>
  <c r="V1766" i="11"/>
  <c r="U1766" i="11"/>
  <c r="T1766" i="11"/>
  <c r="S1766" i="11"/>
  <c r="R1766" i="11"/>
  <c r="Q1766" i="11"/>
  <c r="P1766" i="11"/>
  <c r="O1766" i="11"/>
  <c r="N1766" i="11"/>
  <c r="M1766" i="11"/>
  <c r="L1766" i="11"/>
  <c r="K1766" i="11"/>
  <c r="J1766" i="11"/>
  <c r="AC1765" i="11"/>
  <c r="AB1765" i="11"/>
  <c r="AA1765" i="11"/>
  <c r="Z1765" i="11"/>
  <c r="Y1765" i="11"/>
  <c r="X1765" i="11"/>
  <c r="W1765" i="11"/>
  <c r="V1765" i="11"/>
  <c r="U1765" i="11"/>
  <c r="T1765" i="11"/>
  <c r="S1765" i="11"/>
  <c r="R1765" i="11"/>
  <c r="Q1765" i="11"/>
  <c r="P1765" i="11"/>
  <c r="O1765" i="11"/>
  <c r="N1765" i="11"/>
  <c r="M1765" i="11"/>
  <c r="L1765" i="11"/>
  <c r="K1765" i="11"/>
  <c r="J1765" i="11"/>
  <c r="AC1862" i="11"/>
  <c r="AB1862" i="11"/>
  <c r="AA1862" i="11"/>
  <c r="Z1862" i="11"/>
  <c r="Y1862" i="11"/>
  <c r="X1862" i="11"/>
  <c r="W1862" i="11"/>
  <c r="V1862" i="11"/>
  <c r="U1862" i="11"/>
  <c r="T1862" i="11"/>
  <c r="S1862" i="11"/>
  <c r="R1862" i="11"/>
  <c r="Q1862" i="11"/>
  <c r="P1862" i="11"/>
  <c r="O1862" i="11"/>
  <c r="N1862" i="11"/>
  <c r="M1862" i="11"/>
  <c r="L1862" i="11"/>
  <c r="K1862" i="11"/>
  <c r="J1862" i="11"/>
  <c r="AC1327" i="11"/>
  <c r="AB1327" i="11"/>
  <c r="AA1327" i="11"/>
  <c r="Z1327" i="11"/>
  <c r="Y1327" i="11"/>
  <c r="X1327" i="11"/>
  <c r="W1327" i="11"/>
  <c r="V1327" i="11"/>
  <c r="U1327" i="11"/>
  <c r="T1327" i="11"/>
  <c r="S1327" i="11"/>
  <c r="R1327" i="11"/>
  <c r="Q1327" i="11"/>
  <c r="P1327" i="11"/>
  <c r="O1327" i="11"/>
  <c r="N1327" i="11"/>
  <c r="M1327" i="11"/>
  <c r="L1327" i="11"/>
  <c r="K1327" i="11"/>
  <c r="J1327" i="11"/>
  <c r="AC2088" i="11"/>
  <c r="AB2088" i="11"/>
  <c r="AA2088" i="11"/>
  <c r="Z2088" i="11"/>
  <c r="Y2088" i="11"/>
  <c r="X2088" i="11"/>
  <c r="W2088" i="11"/>
  <c r="V2088" i="11"/>
  <c r="U2088" i="11"/>
  <c r="T2088" i="11"/>
  <c r="S2088" i="11"/>
  <c r="R2088" i="11"/>
  <c r="Q2088" i="11"/>
  <c r="P2088" i="11"/>
  <c r="O2088" i="11"/>
  <c r="N2088" i="11"/>
  <c r="M2088" i="11"/>
  <c r="L2088" i="11"/>
  <c r="K2088" i="11"/>
  <c r="J2088" i="11"/>
  <c r="AC385" i="11"/>
  <c r="AB385" i="11"/>
  <c r="AA385" i="11"/>
  <c r="Z385" i="11"/>
  <c r="Y385" i="11"/>
  <c r="X385" i="11"/>
  <c r="W385" i="11"/>
  <c r="V385" i="11"/>
  <c r="U385" i="11"/>
  <c r="T385" i="11"/>
  <c r="S385" i="11"/>
  <c r="R385" i="11"/>
  <c r="Q385" i="11"/>
  <c r="P385" i="11"/>
  <c r="O385" i="11"/>
  <c r="N385" i="11"/>
  <c r="M385" i="11"/>
  <c r="L385" i="11"/>
  <c r="K385" i="11"/>
  <c r="J385" i="11"/>
  <c r="AC1620" i="11"/>
  <c r="AB1620" i="11"/>
  <c r="AA1620" i="11"/>
  <c r="Z1620" i="11"/>
  <c r="Y1620" i="11"/>
  <c r="X1620" i="11"/>
  <c r="W1620" i="11"/>
  <c r="V1620" i="11"/>
  <c r="U1620" i="11"/>
  <c r="T1620" i="11"/>
  <c r="S1620" i="11"/>
  <c r="R1620" i="11"/>
  <c r="Q1620" i="11"/>
  <c r="P1620" i="11"/>
  <c r="O1620" i="11"/>
  <c r="N1620" i="11"/>
  <c r="M1620" i="11"/>
  <c r="L1620" i="11"/>
  <c r="K1620" i="11"/>
  <c r="J1620" i="11"/>
  <c r="AC1538" i="11"/>
  <c r="AB1538" i="11"/>
  <c r="AA1538" i="11"/>
  <c r="Z1538" i="11"/>
  <c r="Y1538" i="11"/>
  <c r="X1538" i="11"/>
  <c r="W1538" i="11"/>
  <c r="V1538" i="11"/>
  <c r="U1538" i="11"/>
  <c r="T1538" i="11"/>
  <c r="S1538" i="11"/>
  <c r="R1538" i="11"/>
  <c r="Q1538" i="11"/>
  <c r="P1538" i="11"/>
  <c r="O1538" i="11"/>
  <c r="N1538" i="11"/>
  <c r="M1538" i="11"/>
  <c r="L1538" i="11"/>
  <c r="K1538" i="11"/>
  <c r="J1538" i="11"/>
  <c r="AC1667" i="11"/>
  <c r="AB1667" i="11"/>
  <c r="AA1667" i="11"/>
  <c r="Z1667" i="11"/>
  <c r="Y1667" i="11"/>
  <c r="X1667" i="11"/>
  <c r="W1667" i="11"/>
  <c r="V1667" i="11"/>
  <c r="U1667" i="11"/>
  <c r="T1667" i="11"/>
  <c r="S1667" i="11"/>
  <c r="R1667" i="11"/>
  <c r="Q1667" i="11"/>
  <c r="P1667" i="11"/>
  <c r="O1667" i="11"/>
  <c r="N1667" i="11"/>
  <c r="M1667" i="11"/>
  <c r="L1667" i="11"/>
  <c r="K1667" i="11"/>
  <c r="J1667" i="11"/>
  <c r="AC556" i="11"/>
  <c r="AB556" i="11"/>
  <c r="AA556" i="11"/>
  <c r="Z556" i="11"/>
  <c r="Y556" i="11"/>
  <c r="X556" i="11"/>
  <c r="W556" i="11"/>
  <c r="V556" i="11"/>
  <c r="U556" i="11"/>
  <c r="T556" i="11"/>
  <c r="S556" i="11"/>
  <c r="R556" i="11"/>
  <c r="Q556" i="11"/>
  <c r="P556" i="11"/>
  <c r="O556" i="11"/>
  <c r="N556" i="11"/>
  <c r="M556" i="11"/>
  <c r="L556" i="11"/>
  <c r="K556" i="11"/>
  <c r="J556" i="11"/>
  <c r="AC776" i="11"/>
  <c r="AB776" i="11"/>
  <c r="AA776" i="11"/>
  <c r="Z776" i="11"/>
  <c r="Y776" i="11"/>
  <c r="X776" i="11"/>
  <c r="W776" i="11"/>
  <c r="V776" i="11"/>
  <c r="U776" i="11"/>
  <c r="T776" i="11"/>
  <c r="S776" i="11"/>
  <c r="R776" i="11"/>
  <c r="Q776" i="11"/>
  <c r="P776" i="11"/>
  <c r="O776" i="11"/>
  <c r="N776" i="11"/>
  <c r="M776" i="11"/>
  <c r="L776" i="11"/>
  <c r="K776" i="11"/>
  <c r="J776" i="11"/>
  <c r="AC1999" i="11"/>
  <c r="AB1999" i="11"/>
  <c r="AA1999" i="11"/>
  <c r="Z1999" i="11"/>
  <c r="Y1999" i="11"/>
  <c r="X1999" i="11"/>
  <c r="W1999" i="11"/>
  <c r="V1999" i="11"/>
  <c r="U1999" i="11"/>
  <c r="T1999" i="11"/>
  <c r="S1999" i="11"/>
  <c r="R1999" i="11"/>
  <c r="Q1999" i="11"/>
  <c r="P1999" i="11"/>
  <c r="O1999" i="11"/>
  <c r="N1999" i="11"/>
  <c r="M1999" i="11"/>
  <c r="L1999" i="11"/>
  <c r="K1999" i="11"/>
  <c r="J1999" i="11"/>
  <c r="AC2185" i="11"/>
  <c r="AB2185" i="11"/>
  <c r="AA2185" i="11"/>
  <c r="Z2185" i="11"/>
  <c r="Y2185" i="11"/>
  <c r="X2185" i="11"/>
  <c r="W2185" i="11"/>
  <c r="V2185" i="11"/>
  <c r="U2185" i="11"/>
  <c r="T2185" i="11"/>
  <c r="S2185" i="11"/>
  <c r="R2185" i="11"/>
  <c r="Q2185" i="11"/>
  <c r="P2185" i="11"/>
  <c r="O2185" i="11"/>
  <c r="N2185" i="11"/>
  <c r="M2185" i="11"/>
  <c r="L2185" i="11"/>
  <c r="K2185" i="11"/>
  <c r="J2185" i="11"/>
  <c r="AC2208" i="11"/>
  <c r="AB2208" i="11"/>
  <c r="AA2208" i="11"/>
  <c r="Z2208" i="11"/>
  <c r="Y2208" i="11"/>
  <c r="X2208" i="11"/>
  <c r="W2208" i="11"/>
  <c r="V2208" i="11"/>
  <c r="U2208" i="11"/>
  <c r="T2208" i="11"/>
  <c r="S2208" i="11"/>
  <c r="R2208" i="11"/>
  <c r="Q2208" i="11"/>
  <c r="P2208" i="11"/>
  <c r="O2208" i="11"/>
  <c r="N2208" i="11"/>
  <c r="M2208" i="11"/>
  <c r="L2208" i="11"/>
  <c r="K2208" i="11"/>
  <c r="J2208" i="11"/>
  <c r="AC224" i="11"/>
  <c r="AB224" i="11"/>
  <c r="AA224" i="11"/>
  <c r="Z224" i="11"/>
  <c r="Y224" i="11"/>
  <c r="X224" i="11"/>
  <c r="W224" i="11"/>
  <c r="V224" i="11"/>
  <c r="U224" i="11"/>
  <c r="T224" i="11"/>
  <c r="S224" i="11"/>
  <c r="R224" i="11"/>
  <c r="Q224" i="11"/>
  <c r="P224" i="11"/>
  <c r="O224" i="11"/>
  <c r="N224" i="11"/>
  <c r="M224" i="11"/>
  <c r="L224" i="11"/>
  <c r="K224" i="11"/>
  <c r="J224" i="11"/>
  <c r="AC2184" i="11"/>
  <c r="AB2184" i="11"/>
  <c r="AA2184" i="11"/>
  <c r="Z2184" i="11"/>
  <c r="Y2184" i="11"/>
  <c r="X2184" i="11"/>
  <c r="W2184" i="11"/>
  <c r="V2184" i="11"/>
  <c r="U2184" i="11"/>
  <c r="T2184" i="11"/>
  <c r="S2184" i="11"/>
  <c r="R2184" i="11"/>
  <c r="Q2184" i="11"/>
  <c r="P2184" i="11"/>
  <c r="O2184" i="11"/>
  <c r="N2184" i="11"/>
  <c r="M2184" i="11"/>
  <c r="L2184" i="11"/>
  <c r="K2184" i="11"/>
  <c r="J2184" i="11"/>
  <c r="AC2183" i="11"/>
  <c r="AB2183" i="11"/>
  <c r="AA2183" i="11"/>
  <c r="Z2183" i="11"/>
  <c r="Y2183" i="11"/>
  <c r="X2183" i="11"/>
  <c r="W2183" i="11"/>
  <c r="V2183" i="11"/>
  <c r="U2183" i="11"/>
  <c r="T2183" i="11"/>
  <c r="S2183" i="11"/>
  <c r="R2183" i="11"/>
  <c r="Q2183" i="11"/>
  <c r="P2183" i="11"/>
  <c r="O2183" i="11"/>
  <c r="N2183" i="11"/>
  <c r="M2183" i="11"/>
  <c r="L2183" i="11"/>
  <c r="K2183" i="11"/>
  <c r="J2183" i="11"/>
  <c r="AC1377" i="11"/>
  <c r="AB1377" i="11"/>
  <c r="AA1377" i="11"/>
  <c r="Z1377" i="11"/>
  <c r="Y1377" i="11"/>
  <c r="X1377" i="11"/>
  <c r="W1377" i="11"/>
  <c r="V1377" i="11"/>
  <c r="U1377" i="11"/>
  <c r="T1377" i="11"/>
  <c r="S1377" i="11"/>
  <c r="R1377" i="11"/>
  <c r="Q1377" i="11"/>
  <c r="P1377" i="11"/>
  <c r="O1377" i="11"/>
  <c r="N1377" i="11"/>
  <c r="M1377" i="11"/>
  <c r="L1377" i="11"/>
  <c r="K1377" i="11"/>
  <c r="J1377" i="11"/>
  <c r="AC152" i="11"/>
  <c r="AB152" i="11"/>
  <c r="AA152" i="11"/>
  <c r="Z152" i="11"/>
  <c r="Y152" i="11"/>
  <c r="X152" i="11"/>
  <c r="W152" i="11"/>
  <c r="V152" i="11"/>
  <c r="U152" i="11"/>
  <c r="T152" i="11"/>
  <c r="S152" i="11"/>
  <c r="R152" i="11"/>
  <c r="Q152" i="11"/>
  <c r="P152" i="11"/>
  <c r="O152" i="11"/>
  <c r="N152" i="11"/>
  <c r="M152" i="11"/>
  <c r="L152" i="11"/>
  <c r="K152" i="11"/>
  <c r="J152" i="11"/>
  <c r="AC775" i="11"/>
  <c r="AB775" i="11"/>
  <c r="AA775" i="11"/>
  <c r="Z775" i="11"/>
  <c r="Y775" i="11"/>
  <c r="X775" i="11"/>
  <c r="W775" i="11"/>
  <c r="V775" i="11"/>
  <c r="U775" i="11"/>
  <c r="T775" i="11"/>
  <c r="S775" i="11"/>
  <c r="R775" i="11"/>
  <c r="Q775" i="11"/>
  <c r="P775" i="11"/>
  <c r="O775" i="11"/>
  <c r="N775" i="11"/>
  <c r="M775" i="11"/>
  <c r="L775" i="11"/>
  <c r="K775" i="11"/>
  <c r="J775" i="11"/>
  <c r="AC919" i="11"/>
  <c r="AB919" i="11"/>
  <c r="AA919" i="11"/>
  <c r="Z919" i="11"/>
  <c r="Y919" i="11"/>
  <c r="X919" i="11"/>
  <c r="W919" i="11"/>
  <c r="V919" i="11"/>
  <c r="U919" i="11"/>
  <c r="T919" i="11"/>
  <c r="S919" i="11"/>
  <c r="R919" i="11"/>
  <c r="Q919" i="11"/>
  <c r="P919" i="11"/>
  <c r="O919" i="11"/>
  <c r="N919" i="11"/>
  <c r="M919" i="11"/>
  <c r="L919" i="11"/>
  <c r="K919" i="11"/>
  <c r="J919" i="11"/>
  <c r="AC1619" i="11"/>
  <c r="AB1619" i="11"/>
  <c r="AA1619" i="11"/>
  <c r="Z1619" i="11"/>
  <c r="Y1619" i="11"/>
  <c r="X1619" i="11"/>
  <c r="W1619" i="11"/>
  <c r="V1619" i="11"/>
  <c r="U1619" i="11"/>
  <c r="T1619" i="11"/>
  <c r="S1619" i="11"/>
  <c r="R1619" i="11"/>
  <c r="Q1619" i="11"/>
  <c r="P1619" i="11"/>
  <c r="O1619" i="11"/>
  <c r="N1619" i="11"/>
  <c r="M1619" i="11"/>
  <c r="L1619" i="11"/>
  <c r="K1619" i="11"/>
  <c r="J1619" i="11"/>
  <c r="AC5" i="11"/>
  <c r="AB5" i="11"/>
  <c r="AA5" i="11"/>
  <c r="Z5" i="11"/>
  <c r="Y5" i="11"/>
  <c r="X5" i="11"/>
  <c r="W5" i="11"/>
  <c r="V5" i="11"/>
  <c r="U5" i="11"/>
  <c r="T5" i="11"/>
  <c r="S5" i="11"/>
  <c r="R5" i="11"/>
  <c r="Q5" i="11"/>
  <c r="P5" i="11"/>
  <c r="O5" i="11"/>
  <c r="N5" i="11"/>
  <c r="M5" i="11"/>
  <c r="L5" i="11"/>
  <c r="K5" i="11"/>
  <c r="J5" i="11"/>
  <c r="AC1082" i="11"/>
  <c r="AB1082" i="11"/>
  <c r="AA1082" i="11"/>
  <c r="Z1082" i="11"/>
  <c r="Y1082" i="11"/>
  <c r="X1082" i="11"/>
  <c r="W1082" i="11"/>
  <c r="V1082" i="11"/>
  <c r="U1082" i="11"/>
  <c r="T1082" i="11"/>
  <c r="S1082" i="11"/>
  <c r="R1082" i="11"/>
  <c r="Q1082" i="11"/>
  <c r="P1082" i="11"/>
  <c r="O1082" i="11"/>
  <c r="N1082" i="11"/>
  <c r="M1082" i="11"/>
  <c r="L1082" i="11"/>
  <c r="K1082" i="11"/>
  <c r="J1082" i="11"/>
  <c r="AC918" i="11"/>
  <c r="AB918" i="11"/>
  <c r="AA918" i="11"/>
  <c r="Z918" i="11"/>
  <c r="Y918" i="11"/>
  <c r="X918" i="11"/>
  <c r="W918" i="11"/>
  <c r="V918" i="11"/>
  <c r="U918" i="11"/>
  <c r="T918" i="11"/>
  <c r="S918" i="11"/>
  <c r="R918" i="11"/>
  <c r="Q918" i="11"/>
  <c r="P918" i="11"/>
  <c r="O918" i="11"/>
  <c r="N918" i="11"/>
  <c r="M918" i="11"/>
  <c r="L918" i="11"/>
  <c r="K918" i="11"/>
  <c r="J918" i="11"/>
  <c r="AC151" i="11"/>
  <c r="AB151" i="11"/>
  <c r="AA151" i="11"/>
  <c r="Z151" i="11"/>
  <c r="Y151" i="11"/>
  <c r="X151" i="11"/>
  <c r="W151" i="11"/>
  <c r="V151" i="11"/>
  <c r="U151" i="11"/>
  <c r="T151" i="11"/>
  <c r="S151" i="11"/>
  <c r="R151" i="11"/>
  <c r="Q151" i="11"/>
  <c r="P151" i="11"/>
  <c r="O151" i="11"/>
  <c r="N151" i="11"/>
  <c r="M151" i="11"/>
  <c r="L151" i="11"/>
  <c r="K151" i="11"/>
  <c r="J151" i="11"/>
  <c r="AC20" i="11"/>
  <c r="AB20" i="11"/>
  <c r="AA20" i="11"/>
  <c r="Z20" i="11"/>
  <c r="Y20" i="11"/>
  <c r="X20" i="11"/>
  <c r="W20" i="11"/>
  <c r="V20" i="11"/>
  <c r="U20" i="11"/>
  <c r="T20" i="11"/>
  <c r="S20" i="11"/>
  <c r="R20" i="11"/>
  <c r="Q20" i="11"/>
  <c r="P20" i="11"/>
  <c r="O20" i="11"/>
  <c r="N20" i="11"/>
  <c r="M20" i="11"/>
  <c r="L20" i="11"/>
  <c r="K20" i="11"/>
  <c r="J20" i="11"/>
  <c r="AC1228" i="11"/>
  <c r="AB1228" i="11"/>
  <c r="AA1228" i="11"/>
  <c r="Z1228" i="11"/>
  <c r="Y1228" i="11"/>
  <c r="X1228" i="11"/>
  <c r="W1228" i="11"/>
  <c r="V1228" i="11"/>
  <c r="U1228" i="11"/>
  <c r="T1228" i="11"/>
  <c r="S1228" i="11"/>
  <c r="R1228" i="11"/>
  <c r="Q1228" i="11"/>
  <c r="P1228" i="11"/>
  <c r="O1228" i="11"/>
  <c r="N1228" i="11"/>
  <c r="M1228" i="11"/>
  <c r="L1228" i="11"/>
  <c r="K1228" i="11"/>
  <c r="J1228" i="11"/>
  <c r="AC1537" i="11"/>
  <c r="AB1537" i="11"/>
  <c r="AA1537" i="11"/>
  <c r="Z1537" i="11"/>
  <c r="Y1537" i="11"/>
  <c r="X1537" i="11"/>
  <c r="W1537" i="11"/>
  <c r="V1537" i="11"/>
  <c r="U1537" i="11"/>
  <c r="T1537" i="11"/>
  <c r="S1537" i="11"/>
  <c r="R1537" i="11"/>
  <c r="Q1537" i="11"/>
  <c r="P1537" i="11"/>
  <c r="O1537" i="11"/>
  <c r="N1537" i="11"/>
  <c r="M1537" i="11"/>
  <c r="L1537" i="11"/>
  <c r="K1537" i="11"/>
  <c r="J1537" i="11"/>
  <c r="AC2149" i="11"/>
  <c r="AB2149" i="11"/>
  <c r="AA2149" i="11"/>
  <c r="Z2149" i="11"/>
  <c r="Y2149" i="11"/>
  <c r="X2149" i="11"/>
  <c r="W2149" i="11"/>
  <c r="V2149" i="11"/>
  <c r="U2149" i="11"/>
  <c r="T2149" i="11"/>
  <c r="S2149" i="11"/>
  <c r="R2149" i="11"/>
  <c r="Q2149" i="11"/>
  <c r="P2149" i="11"/>
  <c r="O2149" i="11"/>
  <c r="N2149" i="11"/>
  <c r="M2149" i="11"/>
  <c r="L2149" i="11"/>
  <c r="K2149" i="11"/>
  <c r="J2149" i="11"/>
  <c r="AC695" i="11"/>
  <c r="AB695" i="11"/>
  <c r="AA695" i="11"/>
  <c r="Z695" i="11"/>
  <c r="Y695" i="11"/>
  <c r="X695" i="11"/>
  <c r="W695" i="11"/>
  <c r="V695" i="11"/>
  <c r="U695" i="11"/>
  <c r="T695" i="11"/>
  <c r="S695" i="11"/>
  <c r="R695" i="11"/>
  <c r="Q695" i="11"/>
  <c r="P695" i="11"/>
  <c r="O695" i="11"/>
  <c r="N695" i="11"/>
  <c r="M695" i="11"/>
  <c r="L695" i="11"/>
  <c r="K695" i="11"/>
  <c r="J695" i="11"/>
  <c r="AC694" i="11"/>
  <c r="AB694" i="11"/>
  <c r="AA694" i="11"/>
  <c r="Z694" i="11"/>
  <c r="Y694" i="11"/>
  <c r="X694" i="11"/>
  <c r="W694" i="11"/>
  <c r="V694" i="11"/>
  <c r="U694" i="11"/>
  <c r="T694" i="11"/>
  <c r="S694" i="11"/>
  <c r="R694" i="11"/>
  <c r="Q694" i="11"/>
  <c r="P694" i="11"/>
  <c r="O694" i="11"/>
  <c r="N694" i="11"/>
  <c r="M694" i="11"/>
  <c r="L694" i="11"/>
  <c r="K694" i="11"/>
  <c r="J694" i="11"/>
  <c r="AC2148" i="11"/>
  <c r="AB2148" i="11"/>
  <c r="AA2148" i="11"/>
  <c r="Z2148" i="11"/>
  <c r="Y2148" i="11"/>
  <c r="X2148" i="11"/>
  <c r="W2148" i="11"/>
  <c r="V2148" i="11"/>
  <c r="U2148" i="11"/>
  <c r="T2148" i="11"/>
  <c r="S2148" i="11"/>
  <c r="R2148" i="11"/>
  <c r="Q2148" i="11"/>
  <c r="P2148" i="11"/>
  <c r="O2148" i="11"/>
  <c r="N2148" i="11"/>
  <c r="M2148" i="11"/>
  <c r="L2148" i="11"/>
  <c r="K2148" i="11"/>
  <c r="J2148" i="11"/>
  <c r="AC1998" i="11"/>
  <c r="AB1998" i="11"/>
  <c r="AA1998" i="11"/>
  <c r="Z1998" i="11"/>
  <c r="Y1998" i="11"/>
  <c r="X1998" i="11"/>
  <c r="W1998" i="11"/>
  <c r="V1998" i="11"/>
  <c r="U1998" i="11"/>
  <c r="T1998" i="11"/>
  <c r="S1998" i="11"/>
  <c r="R1998" i="11"/>
  <c r="Q1998" i="11"/>
  <c r="P1998" i="11"/>
  <c r="O1998" i="11"/>
  <c r="N1998" i="11"/>
  <c r="M1998" i="11"/>
  <c r="L1998" i="11"/>
  <c r="K1998" i="11"/>
  <c r="J1998" i="11"/>
  <c r="AC1997" i="11"/>
  <c r="AB1997" i="11"/>
  <c r="AA1997" i="11"/>
  <c r="Z1997" i="11"/>
  <c r="Y1997" i="11"/>
  <c r="X1997" i="11"/>
  <c r="W1997" i="11"/>
  <c r="V1997" i="11"/>
  <c r="U1997" i="11"/>
  <c r="T1997" i="11"/>
  <c r="S1997" i="11"/>
  <c r="R1997" i="11"/>
  <c r="Q1997" i="11"/>
  <c r="P1997" i="11"/>
  <c r="O1997" i="11"/>
  <c r="N1997" i="11"/>
  <c r="M1997" i="11"/>
  <c r="L1997" i="11"/>
  <c r="K1997" i="11"/>
  <c r="J1997" i="11"/>
  <c r="AC1996" i="11"/>
  <c r="AB1996" i="11"/>
  <c r="AA1996" i="11"/>
  <c r="Z1996" i="11"/>
  <c r="Y1996" i="11"/>
  <c r="X1996" i="11"/>
  <c r="W1996" i="11"/>
  <c r="V1996" i="11"/>
  <c r="U1996" i="11"/>
  <c r="T1996" i="11"/>
  <c r="S1996" i="11"/>
  <c r="R1996" i="11"/>
  <c r="Q1996" i="11"/>
  <c r="P1996" i="11"/>
  <c r="O1996" i="11"/>
  <c r="N1996" i="11"/>
  <c r="M1996" i="11"/>
  <c r="L1996" i="11"/>
  <c r="K1996" i="11"/>
  <c r="J1996" i="11"/>
  <c r="AC774" i="11"/>
  <c r="AB774" i="11"/>
  <c r="AA774" i="11"/>
  <c r="Z774" i="11"/>
  <c r="Y774" i="11"/>
  <c r="X774" i="11"/>
  <c r="W774" i="11"/>
  <c r="V774" i="11"/>
  <c r="U774" i="11"/>
  <c r="T774" i="11"/>
  <c r="S774" i="11"/>
  <c r="R774" i="11"/>
  <c r="Q774" i="11"/>
  <c r="P774" i="11"/>
  <c r="O774" i="11"/>
  <c r="N774" i="11"/>
  <c r="M774" i="11"/>
  <c r="L774" i="11"/>
  <c r="K774" i="11"/>
  <c r="J774" i="11"/>
  <c r="AC846" i="11"/>
  <c r="AB846" i="11"/>
  <c r="AA846" i="11"/>
  <c r="Z846" i="11"/>
  <c r="Y846" i="11"/>
  <c r="X846" i="11"/>
  <c r="W846" i="11"/>
  <c r="V846" i="11"/>
  <c r="U846" i="11"/>
  <c r="T846" i="11"/>
  <c r="S846" i="11"/>
  <c r="R846" i="11"/>
  <c r="Q846" i="11"/>
  <c r="P846" i="11"/>
  <c r="O846" i="11"/>
  <c r="N846" i="11"/>
  <c r="M846" i="11"/>
  <c r="L846" i="11"/>
  <c r="K846" i="11"/>
  <c r="J846" i="11"/>
  <c r="AC1810" i="11"/>
  <c r="AB1810" i="11"/>
  <c r="AA1810" i="11"/>
  <c r="Z1810" i="11"/>
  <c r="Y1810" i="11"/>
  <c r="X1810" i="11"/>
  <c r="W1810" i="11"/>
  <c r="V1810" i="11"/>
  <c r="U1810" i="11"/>
  <c r="T1810" i="11"/>
  <c r="S1810" i="11"/>
  <c r="R1810" i="11"/>
  <c r="Q1810" i="11"/>
  <c r="P1810" i="11"/>
  <c r="O1810" i="11"/>
  <c r="N1810" i="11"/>
  <c r="M1810" i="11"/>
  <c r="L1810" i="11"/>
  <c r="K1810" i="11"/>
  <c r="J1810" i="11"/>
  <c r="AC304" i="11"/>
  <c r="AB304" i="11"/>
  <c r="AA304" i="11"/>
  <c r="Z304" i="11"/>
  <c r="Y304" i="11"/>
  <c r="X304" i="11"/>
  <c r="W304" i="11"/>
  <c r="V304" i="11"/>
  <c r="U304" i="11"/>
  <c r="T304" i="11"/>
  <c r="S304" i="11"/>
  <c r="R304" i="11"/>
  <c r="Q304" i="11"/>
  <c r="P304" i="11"/>
  <c r="O304" i="11"/>
  <c r="N304" i="11"/>
  <c r="M304" i="11"/>
  <c r="L304" i="11"/>
  <c r="K304" i="11"/>
  <c r="J304" i="11"/>
  <c r="AC303" i="11"/>
  <c r="AB303" i="11"/>
  <c r="AA303" i="11"/>
  <c r="Z303" i="11"/>
  <c r="Y303" i="11"/>
  <c r="X303" i="11"/>
  <c r="W303" i="11"/>
  <c r="V303" i="11"/>
  <c r="U303" i="11"/>
  <c r="T303" i="11"/>
  <c r="S303" i="11"/>
  <c r="R303" i="11"/>
  <c r="Q303" i="11"/>
  <c r="P303" i="11"/>
  <c r="O303" i="11"/>
  <c r="N303" i="11"/>
  <c r="M303" i="11"/>
  <c r="L303" i="11"/>
  <c r="K303" i="11"/>
  <c r="J303" i="11"/>
  <c r="AC693" i="11"/>
  <c r="AB693" i="11"/>
  <c r="AA693" i="11"/>
  <c r="Z693" i="11"/>
  <c r="Y693" i="11"/>
  <c r="X693" i="11"/>
  <c r="W693" i="11"/>
  <c r="V693" i="11"/>
  <c r="U693" i="11"/>
  <c r="T693" i="11"/>
  <c r="S693" i="11"/>
  <c r="R693" i="11"/>
  <c r="Q693" i="11"/>
  <c r="P693" i="11"/>
  <c r="O693" i="11"/>
  <c r="N693" i="11"/>
  <c r="M693" i="11"/>
  <c r="L693" i="11"/>
  <c r="K693" i="11"/>
  <c r="J693" i="11"/>
  <c r="AC96" i="11"/>
  <c r="AB96" i="11"/>
  <c r="AA96" i="11"/>
  <c r="Z96" i="11"/>
  <c r="Y96" i="11"/>
  <c r="X96" i="11"/>
  <c r="W96" i="11"/>
  <c r="V96" i="11"/>
  <c r="U96" i="11"/>
  <c r="T96" i="11"/>
  <c r="S96" i="11"/>
  <c r="R96" i="11"/>
  <c r="Q96" i="11"/>
  <c r="P96" i="11"/>
  <c r="O96" i="11"/>
  <c r="N96" i="11"/>
  <c r="M96" i="11"/>
  <c r="L96" i="11"/>
  <c r="K96" i="11"/>
  <c r="J96" i="11"/>
  <c r="AC95" i="11"/>
  <c r="AB95" i="11"/>
  <c r="AA95" i="11"/>
  <c r="Z95" i="11"/>
  <c r="Y95" i="11"/>
  <c r="X95" i="11"/>
  <c r="W95" i="11"/>
  <c r="V95" i="11"/>
  <c r="U95" i="11"/>
  <c r="T95" i="11"/>
  <c r="S95" i="11"/>
  <c r="R95" i="11"/>
  <c r="Q95" i="11"/>
  <c r="P95" i="11"/>
  <c r="O95" i="11"/>
  <c r="N95" i="11"/>
  <c r="M95" i="11"/>
  <c r="L95" i="11"/>
  <c r="K95" i="11"/>
  <c r="J95" i="11"/>
  <c r="AC1715" i="11"/>
  <c r="AB1715" i="11"/>
  <c r="AA1715" i="11"/>
  <c r="Z1715" i="11"/>
  <c r="Y1715" i="11"/>
  <c r="X1715" i="11"/>
  <c r="W1715" i="11"/>
  <c r="V1715" i="11"/>
  <c r="U1715" i="11"/>
  <c r="T1715" i="11"/>
  <c r="S1715" i="11"/>
  <c r="R1715" i="11"/>
  <c r="Q1715" i="11"/>
  <c r="P1715" i="11"/>
  <c r="O1715" i="11"/>
  <c r="N1715" i="11"/>
  <c r="M1715" i="11"/>
  <c r="L1715" i="11"/>
  <c r="K1715" i="11"/>
  <c r="J1715" i="11"/>
  <c r="AC1995" i="11"/>
  <c r="AB1995" i="11"/>
  <c r="AA1995" i="11"/>
  <c r="Z1995" i="11"/>
  <c r="Y1995" i="11"/>
  <c r="X1995" i="11"/>
  <c r="W1995" i="11"/>
  <c r="V1995" i="11"/>
  <c r="U1995" i="11"/>
  <c r="T1995" i="11"/>
  <c r="S1995" i="11"/>
  <c r="R1995" i="11"/>
  <c r="Q1995" i="11"/>
  <c r="P1995" i="11"/>
  <c r="O1995" i="11"/>
  <c r="N1995" i="11"/>
  <c r="M1995" i="11"/>
  <c r="L1995" i="11"/>
  <c r="K1995" i="11"/>
  <c r="J1995" i="11"/>
  <c r="AC1376" i="11"/>
  <c r="AB1376" i="11"/>
  <c r="AA1376" i="11"/>
  <c r="Z1376" i="11"/>
  <c r="Y1376" i="11"/>
  <c r="X1376" i="11"/>
  <c r="W1376" i="11"/>
  <c r="V1376" i="11"/>
  <c r="U1376" i="11"/>
  <c r="T1376" i="11"/>
  <c r="S1376" i="11"/>
  <c r="R1376" i="11"/>
  <c r="Q1376" i="11"/>
  <c r="P1376" i="11"/>
  <c r="O1376" i="11"/>
  <c r="N1376" i="11"/>
  <c r="M1376" i="11"/>
  <c r="L1376" i="11"/>
  <c r="K1376" i="11"/>
  <c r="J1376" i="11"/>
  <c r="AC1375" i="11"/>
  <c r="AB1375" i="11"/>
  <c r="AA1375" i="11"/>
  <c r="Z1375" i="11"/>
  <c r="Y1375" i="11"/>
  <c r="X1375" i="11"/>
  <c r="W1375" i="11"/>
  <c r="V1375" i="11"/>
  <c r="U1375" i="11"/>
  <c r="T1375" i="11"/>
  <c r="S1375" i="11"/>
  <c r="R1375" i="11"/>
  <c r="Q1375" i="11"/>
  <c r="P1375" i="11"/>
  <c r="O1375" i="11"/>
  <c r="N1375" i="11"/>
  <c r="M1375" i="11"/>
  <c r="L1375" i="11"/>
  <c r="K1375" i="11"/>
  <c r="J1375" i="11"/>
  <c r="AC1081" i="11"/>
  <c r="AB1081" i="11"/>
  <c r="AA1081" i="11"/>
  <c r="Z1081" i="11"/>
  <c r="Y1081" i="11"/>
  <c r="X1081" i="11"/>
  <c r="W1081" i="11"/>
  <c r="V1081" i="11"/>
  <c r="U1081" i="11"/>
  <c r="T1081" i="11"/>
  <c r="S1081" i="11"/>
  <c r="R1081" i="11"/>
  <c r="Q1081" i="11"/>
  <c r="P1081" i="11"/>
  <c r="O1081" i="11"/>
  <c r="N1081" i="11"/>
  <c r="M1081" i="11"/>
  <c r="L1081" i="11"/>
  <c r="K1081" i="11"/>
  <c r="J1081" i="11"/>
  <c r="AC1581" i="11"/>
  <c r="AB1581" i="11"/>
  <c r="AA1581" i="11"/>
  <c r="Z1581" i="11"/>
  <c r="Y1581" i="11"/>
  <c r="X1581" i="11"/>
  <c r="W1581" i="11"/>
  <c r="V1581" i="11"/>
  <c r="U1581" i="11"/>
  <c r="T1581" i="11"/>
  <c r="S1581" i="11"/>
  <c r="R1581" i="11"/>
  <c r="Q1581" i="11"/>
  <c r="P1581" i="11"/>
  <c r="O1581" i="11"/>
  <c r="N1581" i="11"/>
  <c r="M1581" i="11"/>
  <c r="L1581" i="11"/>
  <c r="K1581" i="11"/>
  <c r="J1581" i="11"/>
  <c r="AC917" i="11"/>
  <c r="AB917" i="11"/>
  <c r="AA917" i="11"/>
  <c r="Z917" i="11"/>
  <c r="Y917" i="11"/>
  <c r="X917" i="11"/>
  <c r="W917" i="11"/>
  <c r="V917" i="11"/>
  <c r="U917" i="11"/>
  <c r="T917" i="11"/>
  <c r="S917" i="11"/>
  <c r="R917" i="11"/>
  <c r="Q917" i="11"/>
  <c r="P917" i="11"/>
  <c r="O917" i="11"/>
  <c r="N917" i="11"/>
  <c r="M917" i="11"/>
  <c r="L917" i="11"/>
  <c r="K917" i="11"/>
  <c r="J917" i="11"/>
  <c r="AC916" i="11"/>
  <c r="AB916" i="11"/>
  <c r="AA916" i="11"/>
  <c r="Z916" i="11"/>
  <c r="Y916" i="11"/>
  <c r="X916" i="11"/>
  <c r="W916" i="11"/>
  <c r="V916" i="11"/>
  <c r="U916" i="11"/>
  <c r="T916" i="11"/>
  <c r="S916" i="11"/>
  <c r="R916" i="11"/>
  <c r="Q916" i="11"/>
  <c r="P916" i="11"/>
  <c r="O916" i="11"/>
  <c r="N916" i="11"/>
  <c r="M916" i="11"/>
  <c r="L916" i="11"/>
  <c r="K916" i="11"/>
  <c r="J916" i="11"/>
  <c r="AC1961" i="11"/>
  <c r="AB1961" i="11"/>
  <c r="AA1961" i="11"/>
  <c r="Z1961" i="11"/>
  <c r="Y1961" i="11"/>
  <c r="X1961" i="11"/>
  <c r="W1961" i="11"/>
  <c r="V1961" i="11"/>
  <c r="U1961" i="11"/>
  <c r="T1961" i="11"/>
  <c r="S1961" i="11"/>
  <c r="R1961" i="11"/>
  <c r="Q1961" i="11"/>
  <c r="P1961" i="11"/>
  <c r="O1961" i="11"/>
  <c r="N1961" i="11"/>
  <c r="M1961" i="11"/>
  <c r="L1961" i="11"/>
  <c r="K1961" i="11"/>
  <c r="J1961" i="11"/>
  <c r="AC555" i="11"/>
  <c r="AB555" i="11"/>
  <c r="AA555" i="11"/>
  <c r="Z555" i="11"/>
  <c r="Y555" i="11"/>
  <c r="X555" i="11"/>
  <c r="W555" i="11"/>
  <c r="V555" i="11"/>
  <c r="U555" i="11"/>
  <c r="T555" i="11"/>
  <c r="S555" i="11"/>
  <c r="R555" i="11"/>
  <c r="Q555" i="11"/>
  <c r="P555" i="11"/>
  <c r="O555" i="11"/>
  <c r="N555" i="11"/>
  <c r="M555" i="11"/>
  <c r="L555" i="11"/>
  <c r="K555" i="11"/>
  <c r="J555" i="11"/>
  <c r="AC1994" i="11"/>
  <c r="AB1994" i="11"/>
  <c r="AA1994" i="11"/>
  <c r="Z1994" i="11"/>
  <c r="Y1994" i="11"/>
  <c r="X1994" i="11"/>
  <c r="W1994" i="11"/>
  <c r="V1994" i="11"/>
  <c r="U1994" i="11"/>
  <c r="T1994" i="11"/>
  <c r="S1994" i="11"/>
  <c r="R1994" i="11"/>
  <c r="Q1994" i="11"/>
  <c r="P1994" i="11"/>
  <c r="O1994" i="11"/>
  <c r="N1994" i="11"/>
  <c r="M1994" i="11"/>
  <c r="L1994" i="11"/>
  <c r="K1994" i="11"/>
  <c r="J1994" i="11"/>
  <c r="AC1714" i="11"/>
  <c r="AB1714" i="11"/>
  <c r="AA1714" i="11"/>
  <c r="Z1714" i="11"/>
  <c r="Y1714" i="11"/>
  <c r="X1714" i="11"/>
  <c r="W1714" i="11"/>
  <c r="V1714" i="11"/>
  <c r="U1714" i="11"/>
  <c r="T1714" i="11"/>
  <c r="S1714" i="11"/>
  <c r="R1714" i="11"/>
  <c r="Q1714" i="11"/>
  <c r="P1714" i="11"/>
  <c r="O1714" i="11"/>
  <c r="N1714" i="11"/>
  <c r="M1714" i="11"/>
  <c r="L1714" i="11"/>
  <c r="K1714" i="11"/>
  <c r="J1714" i="11"/>
  <c r="AC603" i="11"/>
  <c r="AB603" i="11"/>
  <c r="AA603" i="11"/>
  <c r="Z603" i="11"/>
  <c r="Y603" i="11"/>
  <c r="X603" i="11"/>
  <c r="W603" i="11"/>
  <c r="V603" i="11"/>
  <c r="U603" i="11"/>
  <c r="T603" i="11"/>
  <c r="S603" i="11"/>
  <c r="R603" i="11"/>
  <c r="Q603" i="11"/>
  <c r="P603" i="11"/>
  <c r="O603" i="11"/>
  <c r="N603" i="11"/>
  <c r="M603" i="11"/>
  <c r="L603" i="11"/>
  <c r="K603" i="11"/>
  <c r="J603" i="11"/>
  <c r="AC1449" i="11"/>
  <c r="AB1449" i="11"/>
  <c r="AA1449" i="11"/>
  <c r="Z1449" i="11"/>
  <c r="Y1449" i="11"/>
  <c r="X1449" i="11"/>
  <c r="W1449" i="11"/>
  <c r="V1449" i="11"/>
  <c r="U1449" i="11"/>
  <c r="T1449" i="11"/>
  <c r="S1449" i="11"/>
  <c r="R1449" i="11"/>
  <c r="Q1449" i="11"/>
  <c r="P1449" i="11"/>
  <c r="O1449" i="11"/>
  <c r="N1449" i="11"/>
  <c r="M1449" i="11"/>
  <c r="L1449" i="11"/>
  <c r="K1449" i="11"/>
  <c r="J1449" i="11"/>
  <c r="AC1913" i="11"/>
  <c r="AB1913" i="11"/>
  <c r="AA1913" i="11"/>
  <c r="Z1913" i="11"/>
  <c r="Y1913" i="11"/>
  <c r="X1913" i="11"/>
  <c r="W1913" i="11"/>
  <c r="V1913" i="11"/>
  <c r="U1913" i="11"/>
  <c r="T1913" i="11"/>
  <c r="S1913" i="11"/>
  <c r="R1913" i="11"/>
  <c r="Q1913" i="11"/>
  <c r="P1913" i="11"/>
  <c r="O1913" i="11"/>
  <c r="N1913" i="11"/>
  <c r="M1913" i="11"/>
  <c r="L1913" i="11"/>
  <c r="K1913" i="11"/>
  <c r="J1913" i="11"/>
  <c r="AC425" i="11"/>
  <c r="AB425" i="11"/>
  <c r="AA425" i="11"/>
  <c r="Z425" i="11"/>
  <c r="Y425" i="11"/>
  <c r="X425" i="11"/>
  <c r="W425" i="11"/>
  <c r="V425" i="11"/>
  <c r="U425" i="11"/>
  <c r="T425" i="11"/>
  <c r="S425" i="11"/>
  <c r="R425" i="11"/>
  <c r="Q425" i="11"/>
  <c r="P425" i="11"/>
  <c r="O425" i="11"/>
  <c r="N425" i="11"/>
  <c r="M425" i="11"/>
  <c r="L425" i="11"/>
  <c r="K425" i="11"/>
  <c r="J425" i="11"/>
  <c r="AC1536" i="11"/>
  <c r="AB1536" i="11"/>
  <c r="AA1536" i="11"/>
  <c r="Z1536" i="11"/>
  <c r="Y1536" i="11"/>
  <c r="X1536" i="11"/>
  <c r="W1536" i="11"/>
  <c r="V1536" i="11"/>
  <c r="U1536" i="11"/>
  <c r="T1536" i="11"/>
  <c r="S1536" i="11"/>
  <c r="R1536" i="11"/>
  <c r="Q1536" i="11"/>
  <c r="P1536" i="11"/>
  <c r="O1536" i="11"/>
  <c r="N1536" i="11"/>
  <c r="M1536" i="11"/>
  <c r="L1536" i="11"/>
  <c r="K1536" i="11"/>
  <c r="J1536" i="11"/>
  <c r="AC1535" i="11"/>
  <c r="AB1535" i="11"/>
  <c r="AA1535" i="11"/>
  <c r="Z1535" i="11"/>
  <c r="Y1535" i="11"/>
  <c r="X1535" i="11"/>
  <c r="W1535" i="11"/>
  <c r="V1535" i="11"/>
  <c r="U1535" i="11"/>
  <c r="T1535" i="11"/>
  <c r="S1535" i="11"/>
  <c r="R1535" i="11"/>
  <c r="Q1535" i="11"/>
  <c r="P1535" i="11"/>
  <c r="O1535" i="11"/>
  <c r="N1535" i="11"/>
  <c r="M1535" i="11"/>
  <c r="L1535" i="11"/>
  <c r="K1535" i="11"/>
  <c r="J1535" i="11"/>
  <c r="AC65" i="11"/>
  <c r="AB65" i="11"/>
  <c r="AA65" i="11"/>
  <c r="Z65" i="11"/>
  <c r="Y65" i="11"/>
  <c r="X65" i="11"/>
  <c r="W65" i="11"/>
  <c r="V65" i="11"/>
  <c r="U65" i="11"/>
  <c r="T65" i="11"/>
  <c r="S65" i="11"/>
  <c r="R65" i="11"/>
  <c r="Q65" i="11"/>
  <c r="P65" i="11"/>
  <c r="O65" i="11"/>
  <c r="N65" i="11"/>
  <c r="M65" i="11"/>
  <c r="L65" i="11"/>
  <c r="K65" i="11"/>
  <c r="J65" i="11"/>
  <c r="AC478" i="11"/>
  <c r="AB478" i="11"/>
  <c r="AA478" i="11"/>
  <c r="Z478" i="11"/>
  <c r="Y478" i="11"/>
  <c r="X478" i="11"/>
  <c r="W478" i="11"/>
  <c r="V478" i="11"/>
  <c r="U478" i="11"/>
  <c r="T478" i="11"/>
  <c r="S478" i="11"/>
  <c r="R478" i="11"/>
  <c r="Q478" i="11"/>
  <c r="P478" i="11"/>
  <c r="O478" i="11"/>
  <c r="N478" i="11"/>
  <c r="M478" i="11"/>
  <c r="L478" i="11"/>
  <c r="K478" i="11"/>
  <c r="J478" i="11"/>
  <c r="AC845" i="11"/>
  <c r="AB845" i="11"/>
  <c r="AA845" i="11"/>
  <c r="Z845" i="11"/>
  <c r="Y845" i="11"/>
  <c r="X845" i="11"/>
  <c r="W845" i="11"/>
  <c r="V845" i="11"/>
  <c r="U845" i="11"/>
  <c r="T845" i="11"/>
  <c r="S845" i="11"/>
  <c r="R845" i="11"/>
  <c r="Q845" i="11"/>
  <c r="P845" i="11"/>
  <c r="O845" i="11"/>
  <c r="N845" i="11"/>
  <c r="M845" i="11"/>
  <c r="L845" i="11"/>
  <c r="K845" i="11"/>
  <c r="J845" i="11"/>
  <c r="AC35" i="11"/>
  <c r="AB35" i="11"/>
  <c r="AA35" i="11"/>
  <c r="Z35" i="11"/>
  <c r="Y35" i="11"/>
  <c r="X35" i="11"/>
  <c r="W35" i="11"/>
  <c r="V35" i="11"/>
  <c r="U35" i="11"/>
  <c r="T35" i="11"/>
  <c r="S35" i="11"/>
  <c r="R35" i="11"/>
  <c r="Q35" i="11"/>
  <c r="P35" i="11"/>
  <c r="O35" i="11"/>
  <c r="N35" i="11"/>
  <c r="M35" i="11"/>
  <c r="L35" i="11"/>
  <c r="K35" i="11"/>
  <c r="J35" i="11"/>
  <c r="AC1534" i="11"/>
  <c r="AB1534" i="11"/>
  <c r="AA1534" i="11"/>
  <c r="Z1534" i="11"/>
  <c r="Y1534" i="11"/>
  <c r="X1534" i="11"/>
  <c r="W1534" i="11"/>
  <c r="V1534" i="11"/>
  <c r="U1534" i="11"/>
  <c r="T1534" i="11"/>
  <c r="S1534" i="11"/>
  <c r="R1534" i="11"/>
  <c r="Q1534" i="11"/>
  <c r="P1534" i="11"/>
  <c r="O1534" i="11"/>
  <c r="N1534" i="11"/>
  <c r="M1534" i="11"/>
  <c r="L1534" i="11"/>
  <c r="K1534" i="11"/>
  <c r="J1534" i="11"/>
  <c r="AC1326" i="11"/>
  <c r="AB1326" i="11"/>
  <c r="AA1326" i="11"/>
  <c r="Z1326" i="11"/>
  <c r="Y1326" i="11"/>
  <c r="X1326" i="11"/>
  <c r="W1326" i="11"/>
  <c r="V1326" i="11"/>
  <c r="U1326" i="11"/>
  <c r="T1326" i="11"/>
  <c r="S1326" i="11"/>
  <c r="R1326" i="11"/>
  <c r="Q1326" i="11"/>
  <c r="P1326" i="11"/>
  <c r="O1326" i="11"/>
  <c r="N1326" i="11"/>
  <c r="M1326" i="11"/>
  <c r="L1326" i="11"/>
  <c r="K1326" i="11"/>
  <c r="J1326" i="11"/>
  <c r="AC1809" i="11"/>
  <c r="AB1809" i="11"/>
  <c r="AA1809" i="11"/>
  <c r="Z1809" i="11"/>
  <c r="Y1809" i="11"/>
  <c r="X1809" i="11"/>
  <c r="W1809" i="11"/>
  <c r="V1809" i="11"/>
  <c r="U1809" i="11"/>
  <c r="T1809" i="11"/>
  <c r="S1809" i="11"/>
  <c r="R1809" i="11"/>
  <c r="Q1809" i="11"/>
  <c r="P1809" i="11"/>
  <c r="O1809" i="11"/>
  <c r="N1809" i="11"/>
  <c r="M1809" i="11"/>
  <c r="L1809" i="11"/>
  <c r="K1809" i="11"/>
  <c r="J1809" i="11"/>
  <c r="AC1580" i="11"/>
  <c r="AB1580" i="11"/>
  <c r="AA1580" i="11"/>
  <c r="Z1580" i="11"/>
  <c r="Y1580" i="11"/>
  <c r="X1580" i="11"/>
  <c r="W1580" i="11"/>
  <c r="V1580" i="11"/>
  <c r="U1580" i="11"/>
  <c r="T1580" i="11"/>
  <c r="S1580" i="11"/>
  <c r="R1580" i="11"/>
  <c r="Q1580" i="11"/>
  <c r="P1580" i="11"/>
  <c r="O1580" i="11"/>
  <c r="N1580" i="11"/>
  <c r="M1580" i="11"/>
  <c r="L1580" i="11"/>
  <c r="K1580" i="11"/>
  <c r="J1580" i="11"/>
  <c r="AC267" i="11"/>
  <c r="AB267" i="11"/>
  <c r="AA267" i="11"/>
  <c r="Z267" i="11"/>
  <c r="Y267" i="11"/>
  <c r="X267" i="11"/>
  <c r="W267" i="11"/>
  <c r="V267" i="11"/>
  <c r="U267" i="11"/>
  <c r="T267" i="11"/>
  <c r="S267" i="11"/>
  <c r="R267" i="11"/>
  <c r="Q267" i="11"/>
  <c r="P267" i="11"/>
  <c r="O267" i="11"/>
  <c r="N267" i="11"/>
  <c r="M267" i="11"/>
  <c r="L267" i="11"/>
  <c r="K267" i="11"/>
  <c r="J267" i="11"/>
  <c r="AC2047" i="11"/>
  <c r="AB2047" i="11"/>
  <c r="AA2047" i="11"/>
  <c r="Z2047" i="11"/>
  <c r="Y2047" i="11"/>
  <c r="X2047" i="11"/>
  <c r="W2047" i="11"/>
  <c r="V2047" i="11"/>
  <c r="U2047" i="11"/>
  <c r="T2047" i="11"/>
  <c r="S2047" i="11"/>
  <c r="R2047" i="11"/>
  <c r="Q2047" i="11"/>
  <c r="P2047" i="11"/>
  <c r="O2047" i="11"/>
  <c r="N2047" i="11"/>
  <c r="M2047" i="11"/>
  <c r="L2047" i="11"/>
  <c r="K2047" i="11"/>
  <c r="J2047" i="11"/>
  <c r="AC1912" i="11"/>
  <c r="AB1912" i="11"/>
  <c r="AA1912" i="11"/>
  <c r="Z1912" i="11"/>
  <c r="Y1912" i="11"/>
  <c r="X1912" i="11"/>
  <c r="W1912" i="11"/>
  <c r="V1912" i="11"/>
  <c r="U1912" i="11"/>
  <c r="T1912" i="11"/>
  <c r="S1912" i="11"/>
  <c r="R1912" i="11"/>
  <c r="Q1912" i="11"/>
  <c r="P1912" i="11"/>
  <c r="O1912" i="11"/>
  <c r="N1912" i="11"/>
  <c r="M1912" i="11"/>
  <c r="L1912" i="11"/>
  <c r="K1912" i="11"/>
  <c r="J1912" i="11"/>
  <c r="AC692" i="11"/>
  <c r="AB692" i="11"/>
  <c r="AA692" i="11"/>
  <c r="Z692" i="11"/>
  <c r="Y692" i="11"/>
  <c r="X692" i="11"/>
  <c r="W692" i="11"/>
  <c r="V692" i="11"/>
  <c r="U692" i="11"/>
  <c r="T692" i="11"/>
  <c r="S692" i="11"/>
  <c r="R692" i="11"/>
  <c r="Q692" i="11"/>
  <c r="P692" i="11"/>
  <c r="O692" i="11"/>
  <c r="N692" i="11"/>
  <c r="M692" i="11"/>
  <c r="L692" i="11"/>
  <c r="K692" i="11"/>
  <c r="J692" i="11"/>
  <c r="AC915" i="11"/>
  <c r="AB915" i="11"/>
  <c r="AA915" i="11"/>
  <c r="Z915" i="11"/>
  <c r="Y915" i="11"/>
  <c r="X915" i="11"/>
  <c r="W915" i="11"/>
  <c r="V915" i="11"/>
  <c r="U915" i="11"/>
  <c r="T915" i="11"/>
  <c r="S915" i="11"/>
  <c r="R915" i="11"/>
  <c r="Q915" i="11"/>
  <c r="P915" i="11"/>
  <c r="O915" i="11"/>
  <c r="N915" i="11"/>
  <c r="M915" i="11"/>
  <c r="L915" i="11"/>
  <c r="K915" i="11"/>
  <c r="J915" i="11"/>
  <c r="AC914" i="11"/>
  <c r="AB914" i="11"/>
  <c r="AA914" i="11"/>
  <c r="Z914" i="11"/>
  <c r="Y914" i="11"/>
  <c r="X914" i="11"/>
  <c r="W914" i="11"/>
  <c r="V914" i="11"/>
  <c r="U914" i="11"/>
  <c r="T914" i="11"/>
  <c r="S914" i="11"/>
  <c r="R914" i="11"/>
  <c r="Q914" i="11"/>
  <c r="P914" i="11"/>
  <c r="O914" i="11"/>
  <c r="N914" i="11"/>
  <c r="M914" i="11"/>
  <c r="L914" i="11"/>
  <c r="K914" i="11"/>
  <c r="J914" i="11"/>
  <c r="AC994" i="11"/>
  <c r="AB994" i="11"/>
  <c r="AA994" i="11"/>
  <c r="Z994" i="11"/>
  <c r="Y994" i="11"/>
  <c r="X994" i="11"/>
  <c r="W994" i="11"/>
  <c r="V994" i="11"/>
  <c r="U994" i="11"/>
  <c r="T994" i="11"/>
  <c r="S994" i="11"/>
  <c r="R994" i="11"/>
  <c r="Q994" i="11"/>
  <c r="P994" i="11"/>
  <c r="O994" i="11"/>
  <c r="N994" i="11"/>
  <c r="M994" i="11"/>
  <c r="L994" i="11"/>
  <c r="K994" i="11"/>
  <c r="J994" i="11"/>
  <c r="AC19" i="11"/>
  <c r="AB19" i="11"/>
  <c r="AA19" i="11"/>
  <c r="Z19" i="11"/>
  <c r="Y19" i="11"/>
  <c r="X19" i="11"/>
  <c r="W19" i="11"/>
  <c r="V19" i="11"/>
  <c r="U19" i="11"/>
  <c r="T19" i="11"/>
  <c r="S19" i="11"/>
  <c r="R19" i="11"/>
  <c r="Q19" i="11"/>
  <c r="P19" i="11"/>
  <c r="O19" i="11"/>
  <c r="N19" i="11"/>
  <c r="M19" i="11"/>
  <c r="L19" i="11"/>
  <c r="K19" i="11"/>
  <c r="J19" i="11"/>
  <c r="AC348" i="11"/>
  <c r="AB348" i="11"/>
  <c r="AA348" i="11"/>
  <c r="Z348" i="11"/>
  <c r="Y348" i="11"/>
  <c r="X348" i="11"/>
  <c r="W348" i="11"/>
  <c r="V348" i="11"/>
  <c r="U348" i="11"/>
  <c r="T348" i="11"/>
  <c r="S348" i="11"/>
  <c r="R348" i="11"/>
  <c r="Q348" i="11"/>
  <c r="P348" i="11"/>
  <c r="O348" i="11"/>
  <c r="N348" i="11"/>
  <c r="M348" i="11"/>
  <c r="L348" i="11"/>
  <c r="K348" i="11"/>
  <c r="J348" i="11"/>
  <c r="AC266" i="11"/>
  <c r="AB266" i="11"/>
  <c r="AA266" i="11"/>
  <c r="Z266" i="11"/>
  <c r="Y266" i="11"/>
  <c r="X266" i="11"/>
  <c r="W266" i="11"/>
  <c r="V266" i="11"/>
  <c r="U266" i="11"/>
  <c r="T266" i="11"/>
  <c r="S266" i="11"/>
  <c r="R266" i="11"/>
  <c r="Q266" i="11"/>
  <c r="P266" i="11"/>
  <c r="O266" i="11"/>
  <c r="N266" i="11"/>
  <c r="M266" i="11"/>
  <c r="L266" i="11"/>
  <c r="K266" i="11"/>
  <c r="J266" i="11"/>
  <c r="AC1666" i="11"/>
  <c r="AB1666" i="11"/>
  <c r="AA1666" i="11"/>
  <c r="Z1666" i="11"/>
  <c r="Y1666" i="11"/>
  <c r="X1666" i="11"/>
  <c r="W1666" i="11"/>
  <c r="V1666" i="11"/>
  <c r="U1666" i="11"/>
  <c r="T1666" i="11"/>
  <c r="S1666" i="11"/>
  <c r="R1666" i="11"/>
  <c r="Q1666" i="11"/>
  <c r="P1666" i="11"/>
  <c r="O1666" i="11"/>
  <c r="N1666" i="11"/>
  <c r="M1666" i="11"/>
  <c r="L1666" i="11"/>
  <c r="K1666" i="11"/>
  <c r="J1666" i="11"/>
  <c r="AC1618" i="11"/>
  <c r="AB1618" i="11"/>
  <c r="AA1618" i="11"/>
  <c r="Z1618" i="11"/>
  <c r="Y1618" i="11"/>
  <c r="X1618" i="11"/>
  <c r="W1618" i="11"/>
  <c r="V1618" i="11"/>
  <c r="U1618" i="11"/>
  <c r="T1618" i="11"/>
  <c r="S1618" i="11"/>
  <c r="R1618" i="11"/>
  <c r="Q1618" i="11"/>
  <c r="P1618" i="11"/>
  <c r="O1618" i="11"/>
  <c r="N1618" i="11"/>
  <c r="M1618" i="11"/>
  <c r="L1618" i="11"/>
  <c r="K1618" i="11"/>
  <c r="J1618" i="11"/>
  <c r="AC94" i="11"/>
  <c r="AB94" i="11"/>
  <c r="AA94" i="11"/>
  <c r="Z94" i="11"/>
  <c r="Y94" i="11"/>
  <c r="X94" i="11"/>
  <c r="W94" i="11"/>
  <c r="V94" i="11"/>
  <c r="U94" i="11"/>
  <c r="T94" i="11"/>
  <c r="S94" i="11"/>
  <c r="R94" i="11"/>
  <c r="Q94" i="11"/>
  <c r="P94" i="11"/>
  <c r="O94" i="11"/>
  <c r="N94" i="11"/>
  <c r="M94" i="11"/>
  <c r="L94" i="11"/>
  <c r="K94" i="11"/>
  <c r="J94" i="11"/>
  <c r="AC1665" i="11"/>
  <c r="AB1665" i="11"/>
  <c r="AA1665" i="11"/>
  <c r="Z1665" i="11"/>
  <c r="Y1665" i="11"/>
  <c r="X1665" i="11"/>
  <c r="W1665" i="11"/>
  <c r="V1665" i="11"/>
  <c r="U1665" i="11"/>
  <c r="T1665" i="11"/>
  <c r="S1665" i="11"/>
  <c r="R1665" i="11"/>
  <c r="Q1665" i="11"/>
  <c r="P1665" i="11"/>
  <c r="O1665" i="11"/>
  <c r="N1665" i="11"/>
  <c r="M1665" i="11"/>
  <c r="L1665" i="11"/>
  <c r="K1665" i="11"/>
  <c r="J1665" i="11"/>
  <c r="AC1664" i="11"/>
  <c r="AB1664" i="11"/>
  <c r="AA1664" i="11"/>
  <c r="Z1664" i="11"/>
  <c r="Y1664" i="11"/>
  <c r="X1664" i="11"/>
  <c r="W1664" i="11"/>
  <c r="V1664" i="11"/>
  <c r="U1664" i="11"/>
  <c r="T1664" i="11"/>
  <c r="S1664" i="11"/>
  <c r="R1664" i="11"/>
  <c r="Q1664" i="11"/>
  <c r="P1664" i="11"/>
  <c r="O1664" i="11"/>
  <c r="N1664" i="11"/>
  <c r="M1664" i="11"/>
  <c r="L1664" i="11"/>
  <c r="K1664" i="11"/>
  <c r="J1664" i="11"/>
  <c r="AC477" i="11"/>
  <c r="AB477" i="11"/>
  <c r="AA477" i="11"/>
  <c r="Z477" i="11"/>
  <c r="Y477" i="11"/>
  <c r="X477" i="11"/>
  <c r="W477" i="11"/>
  <c r="V477" i="11"/>
  <c r="U477" i="11"/>
  <c r="T477" i="11"/>
  <c r="S477" i="11"/>
  <c r="R477" i="11"/>
  <c r="Q477" i="11"/>
  <c r="P477" i="11"/>
  <c r="O477" i="11"/>
  <c r="N477" i="11"/>
  <c r="M477" i="11"/>
  <c r="L477" i="11"/>
  <c r="K477" i="11"/>
  <c r="J477" i="11"/>
  <c r="AC424" i="11"/>
  <c r="AB424" i="11"/>
  <c r="AA424" i="11"/>
  <c r="Z424" i="11"/>
  <c r="Y424" i="11"/>
  <c r="X424" i="11"/>
  <c r="W424" i="11"/>
  <c r="V424" i="11"/>
  <c r="U424" i="11"/>
  <c r="T424" i="11"/>
  <c r="S424" i="11"/>
  <c r="R424" i="11"/>
  <c r="Q424" i="11"/>
  <c r="P424" i="11"/>
  <c r="O424" i="11"/>
  <c r="N424" i="11"/>
  <c r="M424" i="11"/>
  <c r="L424" i="11"/>
  <c r="K424" i="11"/>
  <c r="J424" i="11"/>
  <c r="AC347" i="11"/>
  <c r="AB347" i="11"/>
  <c r="AA347" i="11"/>
  <c r="Z347" i="11"/>
  <c r="Y347" i="11"/>
  <c r="X347" i="11"/>
  <c r="W347" i="11"/>
  <c r="V347" i="11"/>
  <c r="U347" i="11"/>
  <c r="T347" i="11"/>
  <c r="S347" i="11"/>
  <c r="R347" i="11"/>
  <c r="Q347" i="11"/>
  <c r="P347" i="11"/>
  <c r="O347" i="11"/>
  <c r="N347" i="11"/>
  <c r="M347" i="11"/>
  <c r="L347" i="11"/>
  <c r="K347" i="11"/>
  <c r="J347" i="11"/>
  <c r="AC1579" i="11"/>
  <c r="AB1579" i="11"/>
  <c r="AA1579" i="11"/>
  <c r="Z1579" i="11"/>
  <c r="Y1579" i="11"/>
  <c r="X1579" i="11"/>
  <c r="W1579" i="11"/>
  <c r="V1579" i="11"/>
  <c r="U1579" i="11"/>
  <c r="T1579" i="11"/>
  <c r="S1579" i="11"/>
  <c r="R1579" i="11"/>
  <c r="Q1579" i="11"/>
  <c r="P1579" i="11"/>
  <c r="O1579" i="11"/>
  <c r="N1579" i="11"/>
  <c r="M1579" i="11"/>
  <c r="L1579" i="11"/>
  <c r="K1579" i="11"/>
  <c r="J1579" i="11"/>
  <c r="AC64" i="11"/>
  <c r="AB64" i="11"/>
  <c r="AA64" i="11"/>
  <c r="Z64" i="11"/>
  <c r="Y64" i="11"/>
  <c r="X64" i="11"/>
  <c r="W64" i="11"/>
  <c r="V64" i="11"/>
  <c r="U64" i="11"/>
  <c r="T64" i="11"/>
  <c r="S64" i="11"/>
  <c r="R64" i="11"/>
  <c r="Q64" i="11"/>
  <c r="P64" i="11"/>
  <c r="O64" i="11"/>
  <c r="N64" i="11"/>
  <c r="M64" i="11"/>
  <c r="L64" i="11"/>
  <c r="K64" i="11"/>
  <c r="J64" i="11"/>
  <c r="AC1617" i="11"/>
  <c r="AB1617" i="11"/>
  <c r="AA1617" i="11"/>
  <c r="Z1617" i="11"/>
  <c r="Y1617" i="11"/>
  <c r="X1617" i="11"/>
  <c r="W1617" i="11"/>
  <c r="V1617" i="11"/>
  <c r="U1617" i="11"/>
  <c r="T1617" i="11"/>
  <c r="S1617" i="11"/>
  <c r="R1617" i="11"/>
  <c r="Q1617" i="11"/>
  <c r="P1617" i="11"/>
  <c r="O1617" i="11"/>
  <c r="N1617" i="11"/>
  <c r="M1617" i="11"/>
  <c r="L1617" i="11"/>
  <c r="K1617" i="11"/>
  <c r="J1617" i="11"/>
  <c r="AC1663" i="11"/>
  <c r="AB1663" i="11"/>
  <c r="AA1663" i="11"/>
  <c r="Z1663" i="11"/>
  <c r="Y1663" i="11"/>
  <c r="X1663" i="11"/>
  <c r="W1663" i="11"/>
  <c r="V1663" i="11"/>
  <c r="U1663" i="11"/>
  <c r="T1663" i="11"/>
  <c r="S1663" i="11"/>
  <c r="R1663" i="11"/>
  <c r="Q1663" i="11"/>
  <c r="P1663" i="11"/>
  <c r="O1663" i="11"/>
  <c r="N1663" i="11"/>
  <c r="M1663" i="11"/>
  <c r="L1663" i="11"/>
  <c r="K1663" i="11"/>
  <c r="J1663" i="11"/>
  <c r="AC1325" i="11"/>
  <c r="AB1325" i="11"/>
  <c r="AA1325" i="11"/>
  <c r="Z1325" i="11"/>
  <c r="Y1325" i="11"/>
  <c r="X1325" i="11"/>
  <c r="W1325" i="11"/>
  <c r="V1325" i="11"/>
  <c r="U1325" i="11"/>
  <c r="T1325" i="11"/>
  <c r="S1325" i="11"/>
  <c r="R1325" i="11"/>
  <c r="Q1325" i="11"/>
  <c r="P1325" i="11"/>
  <c r="O1325" i="11"/>
  <c r="N1325" i="11"/>
  <c r="M1325" i="11"/>
  <c r="L1325" i="11"/>
  <c r="K1325" i="11"/>
  <c r="J1325" i="11"/>
  <c r="AC265" i="11"/>
  <c r="AB265" i="11"/>
  <c r="AA265" i="11"/>
  <c r="Z265" i="11"/>
  <c r="Y265" i="11"/>
  <c r="X265" i="11"/>
  <c r="W265" i="11"/>
  <c r="V265" i="11"/>
  <c r="U265" i="11"/>
  <c r="T265" i="11"/>
  <c r="S265" i="11"/>
  <c r="R265" i="11"/>
  <c r="Q265" i="11"/>
  <c r="P265" i="11"/>
  <c r="O265" i="11"/>
  <c r="N265" i="11"/>
  <c r="M265" i="11"/>
  <c r="L265" i="11"/>
  <c r="K265" i="11"/>
  <c r="J265" i="11"/>
  <c r="AC844" i="11"/>
  <c r="AB844" i="11"/>
  <c r="AA844" i="11"/>
  <c r="Z844" i="11"/>
  <c r="Y844" i="11"/>
  <c r="X844" i="11"/>
  <c r="W844" i="11"/>
  <c r="V844" i="11"/>
  <c r="U844" i="11"/>
  <c r="T844" i="11"/>
  <c r="S844" i="11"/>
  <c r="R844" i="11"/>
  <c r="Q844" i="11"/>
  <c r="P844" i="11"/>
  <c r="O844" i="11"/>
  <c r="N844" i="11"/>
  <c r="M844" i="11"/>
  <c r="L844" i="11"/>
  <c r="K844" i="11"/>
  <c r="J844" i="11"/>
  <c r="AC34" i="11"/>
  <c r="AB34" i="11"/>
  <c r="AA34" i="11"/>
  <c r="Z34" i="11"/>
  <c r="Y34" i="11"/>
  <c r="X34" i="11"/>
  <c r="W34" i="11"/>
  <c r="V34" i="11"/>
  <c r="U34" i="11"/>
  <c r="T34" i="11"/>
  <c r="S34" i="11"/>
  <c r="R34" i="11"/>
  <c r="Q34" i="11"/>
  <c r="P34" i="11"/>
  <c r="O34" i="11"/>
  <c r="N34" i="11"/>
  <c r="M34" i="11"/>
  <c r="L34" i="11"/>
  <c r="K34" i="11"/>
  <c r="J34" i="11"/>
  <c r="AC223" i="11"/>
  <c r="AB223" i="11"/>
  <c r="AA223" i="11"/>
  <c r="Z223" i="11"/>
  <c r="Y223" i="11"/>
  <c r="X223" i="11"/>
  <c r="W223" i="11"/>
  <c r="V223" i="11"/>
  <c r="U223" i="11"/>
  <c r="T223" i="11"/>
  <c r="S223" i="11"/>
  <c r="R223" i="11"/>
  <c r="Q223" i="11"/>
  <c r="P223" i="11"/>
  <c r="O223" i="11"/>
  <c r="N223" i="11"/>
  <c r="M223" i="11"/>
  <c r="L223" i="11"/>
  <c r="K223" i="11"/>
  <c r="J223" i="11"/>
  <c r="AC1808" i="11"/>
  <c r="AB1808" i="11"/>
  <c r="AA1808" i="11"/>
  <c r="Z1808" i="11"/>
  <c r="Y1808" i="11"/>
  <c r="X1808" i="11"/>
  <c r="W1808" i="11"/>
  <c r="V1808" i="11"/>
  <c r="U1808" i="11"/>
  <c r="T1808" i="11"/>
  <c r="S1808" i="11"/>
  <c r="R1808" i="11"/>
  <c r="Q1808" i="11"/>
  <c r="P1808" i="11"/>
  <c r="O1808" i="11"/>
  <c r="N1808" i="11"/>
  <c r="M1808" i="11"/>
  <c r="L1808" i="11"/>
  <c r="K1808" i="11"/>
  <c r="J1808" i="11"/>
  <c r="AC93" i="11"/>
  <c r="AB93" i="11"/>
  <c r="AA93" i="11"/>
  <c r="Z93" i="11"/>
  <c r="Y93" i="11"/>
  <c r="X93" i="11"/>
  <c r="W93" i="11"/>
  <c r="V93" i="11"/>
  <c r="U93" i="11"/>
  <c r="T93" i="11"/>
  <c r="S93" i="11"/>
  <c r="R93" i="11"/>
  <c r="Q93" i="11"/>
  <c r="P93" i="11"/>
  <c r="O93" i="11"/>
  <c r="N93" i="11"/>
  <c r="M93" i="11"/>
  <c r="L93" i="11"/>
  <c r="K93" i="11"/>
  <c r="J93" i="11"/>
  <c r="AC33" i="11"/>
  <c r="AB33" i="11"/>
  <c r="AA33" i="11"/>
  <c r="Z33" i="11"/>
  <c r="Y33" i="11"/>
  <c r="X33" i="11"/>
  <c r="W33" i="11"/>
  <c r="V33" i="11"/>
  <c r="U33" i="11"/>
  <c r="T33" i="11"/>
  <c r="S33" i="11"/>
  <c r="R33" i="11"/>
  <c r="Q33" i="11"/>
  <c r="P33" i="11"/>
  <c r="O33" i="11"/>
  <c r="N33" i="11"/>
  <c r="M33" i="11"/>
  <c r="L33" i="11"/>
  <c r="K33" i="11"/>
  <c r="J33" i="11"/>
  <c r="AC423" i="11"/>
  <c r="AB423" i="11"/>
  <c r="AA423" i="11"/>
  <c r="Z423" i="11"/>
  <c r="Y423" i="11"/>
  <c r="X423" i="11"/>
  <c r="W423" i="11"/>
  <c r="V423" i="11"/>
  <c r="U423" i="11"/>
  <c r="T423" i="11"/>
  <c r="S423" i="11"/>
  <c r="R423" i="11"/>
  <c r="Q423" i="11"/>
  <c r="P423" i="11"/>
  <c r="O423" i="11"/>
  <c r="N423" i="11"/>
  <c r="M423" i="11"/>
  <c r="L423" i="11"/>
  <c r="K423" i="11"/>
  <c r="J423" i="11"/>
  <c r="AC1807" i="11"/>
  <c r="AB1807" i="11"/>
  <c r="AA1807" i="11"/>
  <c r="Z1807" i="11"/>
  <c r="Y1807" i="11"/>
  <c r="X1807" i="11"/>
  <c r="W1807" i="11"/>
  <c r="V1807" i="11"/>
  <c r="U1807" i="11"/>
  <c r="T1807" i="11"/>
  <c r="S1807" i="11"/>
  <c r="R1807" i="11"/>
  <c r="Q1807" i="11"/>
  <c r="P1807" i="11"/>
  <c r="O1807" i="11"/>
  <c r="N1807" i="11"/>
  <c r="M1807" i="11"/>
  <c r="L1807" i="11"/>
  <c r="K1807" i="11"/>
  <c r="J1807" i="11"/>
  <c r="AC32" i="11"/>
  <c r="AB32" i="11"/>
  <c r="AA32" i="11"/>
  <c r="Z32" i="11"/>
  <c r="Y32" i="11"/>
  <c r="X32" i="11"/>
  <c r="W32" i="11"/>
  <c r="V32" i="11"/>
  <c r="U32" i="11"/>
  <c r="T32" i="11"/>
  <c r="S32" i="11"/>
  <c r="R32" i="11"/>
  <c r="Q32" i="11"/>
  <c r="P32" i="11"/>
  <c r="O32" i="11"/>
  <c r="N32" i="11"/>
  <c r="M32" i="11"/>
  <c r="L32" i="11"/>
  <c r="K32" i="11"/>
  <c r="J32" i="11"/>
  <c r="AC31" i="11"/>
  <c r="AB31" i="11"/>
  <c r="AA31" i="11"/>
  <c r="Z31" i="11"/>
  <c r="Y31" i="11"/>
  <c r="X31" i="11"/>
  <c r="W31" i="11"/>
  <c r="V31" i="11"/>
  <c r="U31" i="11"/>
  <c r="T31" i="11"/>
  <c r="S31" i="11"/>
  <c r="R31" i="11"/>
  <c r="Q31" i="11"/>
  <c r="P31" i="11"/>
  <c r="O31" i="11"/>
  <c r="N31" i="11"/>
  <c r="M31" i="11"/>
  <c r="L31" i="11"/>
  <c r="K31" i="11"/>
  <c r="J31" i="11"/>
  <c r="AC264" i="11"/>
  <c r="AB264" i="11"/>
  <c r="AA264" i="11"/>
  <c r="Z264" i="11"/>
  <c r="Y264" i="11"/>
  <c r="X264" i="11"/>
  <c r="W264" i="11"/>
  <c r="V264" i="11"/>
  <c r="U264" i="11"/>
  <c r="T264" i="11"/>
  <c r="S264" i="11"/>
  <c r="R264" i="11"/>
  <c r="Q264" i="11"/>
  <c r="P264" i="11"/>
  <c r="O264" i="11"/>
  <c r="N264" i="11"/>
  <c r="M264" i="11"/>
  <c r="L264" i="11"/>
  <c r="K264" i="11"/>
  <c r="J264" i="11"/>
  <c r="AC1080" i="11"/>
  <c r="AB1080" i="11"/>
  <c r="AA1080" i="11"/>
  <c r="Z1080" i="11"/>
  <c r="Y1080" i="11"/>
  <c r="X1080" i="11"/>
  <c r="W1080" i="11"/>
  <c r="V1080" i="11"/>
  <c r="U1080" i="11"/>
  <c r="T1080" i="11"/>
  <c r="S1080" i="11"/>
  <c r="R1080" i="11"/>
  <c r="Q1080" i="11"/>
  <c r="P1080" i="11"/>
  <c r="O1080" i="11"/>
  <c r="N1080" i="11"/>
  <c r="M1080" i="11"/>
  <c r="L1080" i="11"/>
  <c r="K1080" i="11"/>
  <c r="J1080" i="11"/>
  <c r="AC2147" i="11"/>
  <c r="AB2147" i="11"/>
  <c r="AA2147" i="11"/>
  <c r="Z2147" i="11"/>
  <c r="Y2147" i="11"/>
  <c r="X2147" i="11"/>
  <c r="W2147" i="11"/>
  <c r="V2147" i="11"/>
  <c r="U2147" i="11"/>
  <c r="T2147" i="11"/>
  <c r="S2147" i="11"/>
  <c r="R2147" i="11"/>
  <c r="Q2147" i="11"/>
  <c r="P2147" i="11"/>
  <c r="O2147" i="11"/>
  <c r="N2147" i="11"/>
  <c r="M2147" i="11"/>
  <c r="L2147" i="11"/>
  <c r="K2147" i="11"/>
  <c r="J2147" i="11"/>
  <c r="AC1911" i="11"/>
  <c r="AB1911" i="11"/>
  <c r="AA1911" i="11"/>
  <c r="Z1911" i="11"/>
  <c r="Y1911" i="11"/>
  <c r="X1911" i="11"/>
  <c r="W1911" i="11"/>
  <c r="V1911" i="11"/>
  <c r="U1911" i="11"/>
  <c r="T1911" i="11"/>
  <c r="S1911" i="11"/>
  <c r="R1911" i="11"/>
  <c r="Q1911" i="11"/>
  <c r="P1911" i="11"/>
  <c r="O1911" i="11"/>
  <c r="N1911" i="11"/>
  <c r="M1911" i="11"/>
  <c r="L1911" i="11"/>
  <c r="K1911" i="11"/>
  <c r="J1911" i="11"/>
  <c r="AC346" i="11"/>
  <c r="AB346" i="11"/>
  <c r="AA346" i="11"/>
  <c r="Z346" i="11"/>
  <c r="Y346" i="11"/>
  <c r="X346" i="11"/>
  <c r="W346" i="11"/>
  <c r="V346" i="11"/>
  <c r="U346" i="11"/>
  <c r="T346" i="11"/>
  <c r="S346" i="11"/>
  <c r="R346" i="11"/>
  <c r="Q346" i="11"/>
  <c r="P346" i="11"/>
  <c r="O346" i="11"/>
  <c r="N346" i="11"/>
  <c r="M346" i="11"/>
  <c r="L346" i="11"/>
  <c r="K346" i="11"/>
  <c r="J346" i="11"/>
  <c r="AC47" i="11"/>
  <c r="AB47" i="11"/>
  <c r="AA47" i="11"/>
  <c r="Z47" i="11"/>
  <c r="Y47" i="11"/>
  <c r="X47" i="11"/>
  <c r="W47" i="11"/>
  <c r="V47" i="11"/>
  <c r="U47" i="11"/>
  <c r="T47" i="11"/>
  <c r="S47" i="11"/>
  <c r="R47" i="11"/>
  <c r="Q47" i="11"/>
  <c r="P47" i="11"/>
  <c r="O47" i="11"/>
  <c r="N47" i="11"/>
  <c r="M47" i="11"/>
  <c r="L47" i="11"/>
  <c r="K47" i="11"/>
  <c r="J47" i="11"/>
  <c r="AC1806" i="11"/>
  <c r="AB1806" i="11"/>
  <c r="AA1806" i="11"/>
  <c r="Z1806" i="11"/>
  <c r="Y1806" i="11"/>
  <c r="X1806" i="11"/>
  <c r="W1806" i="11"/>
  <c r="V1806" i="11"/>
  <c r="U1806" i="11"/>
  <c r="T1806" i="11"/>
  <c r="S1806" i="11"/>
  <c r="R1806" i="11"/>
  <c r="Q1806" i="11"/>
  <c r="P1806" i="11"/>
  <c r="O1806" i="11"/>
  <c r="N1806" i="11"/>
  <c r="M1806" i="11"/>
  <c r="L1806" i="11"/>
  <c r="K1806" i="11"/>
  <c r="J1806" i="11"/>
  <c r="AC993" i="11"/>
  <c r="AB993" i="11"/>
  <c r="AA993" i="11"/>
  <c r="Z993" i="11"/>
  <c r="Y993" i="11"/>
  <c r="X993" i="11"/>
  <c r="W993" i="11"/>
  <c r="V993" i="11"/>
  <c r="U993" i="11"/>
  <c r="T993" i="11"/>
  <c r="S993" i="11"/>
  <c r="R993" i="11"/>
  <c r="Q993" i="11"/>
  <c r="P993" i="11"/>
  <c r="O993" i="11"/>
  <c r="N993" i="11"/>
  <c r="M993" i="11"/>
  <c r="L993" i="11"/>
  <c r="K993" i="11"/>
  <c r="J993" i="11"/>
  <c r="AC2167" i="11"/>
  <c r="AB2167" i="11"/>
  <c r="AA2167" i="11"/>
  <c r="Z2167" i="11"/>
  <c r="Y2167" i="11"/>
  <c r="X2167" i="11"/>
  <c r="W2167" i="11"/>
  <c r="V2167" i="11"/>
  <c r="U2167" i="11"/>
  <c r="T2167" i="11"/>
  <c r="S2167" i="11"/>
  <c r="R2167" i="11"/>
  <c r="Q2167" i="11"/>
  <c r="P2167" i="11"/>
  <c r="O2167" i="11"/>
  <c r="N2167" i="11"/>
  <c r="M2167" i="11"/>
  <c r="L2167" i="11"/>
  <c r="K2167" i="11"/>
  <c r="J2167" i="11"/>
  <c r="AC150" i="11"/>
  <c r="AB150" i="11"/>
  <c r="AA150" i="11"/>
  <c r="Z150" i="11"/>
  <c r="Y150" i="11"/>
  <c r="X150" i="11"/>
  <c r="W150" i="11"/>
  <c r="V150" i="11"/>
  <c r="U150" i="11"/>
  <c r="T150" i="11"/>
  <c r="S150" i="11"/>
  <c r="R150" i="11"/>
  <c r="Q150" i="11"/>
  <c r="P150" i="11"/>
  <c r="O150" i="11"/>
  <c r="N150" i="11"/>
  <c r="M150" i="11"/>
  <c r="L150" i="11"/>
  <c r="K150" i="11"/>
  <c r="J150" i="11"/>
  <c r="AC691" i="11"/>
  <c r="AB691" i="11"/>
  <c r="AA691" i="11"/>
  <c r="Z691" i="11"/>
  <c r="Y691" i="11"/>
  <c r="X691" i="11"/>
  <c r="W691" i="11"/>
  <c r="V691" i="11"/>
  <c r="U691" i="11"/>
  <c r="T691" i="11"/>
  <c r="S691" i="11"/>
  <c r="R691" i="11"/>
  <c r="Q691" i="11"/>
  <c r="P691" i="11"/>
  <c r="O691" i="11"/>
  <c r="N691" i="11"/>
  <c r="M691" i="11"/>
  <c r="L691" i="11"/>
  <c r="K691" i="11"/>
  <c r="J691" i="11"/>
  <c r="AC2146" i="11"/>
  <c r="AB2146" i="11"/>
  <c r="AA2146" i="11"/>
  <c r="Z2146" i="11"/>
  <c r="Y2146" i="11"/>
  <c r="X2146" i="11"/>
  <c r="W2146" i="11"/>
  <c r="V2146" i="11"/>
  <c r="U2146" i="11"/>
  <c r="T2146" i="11"/>
  <c r="S2146" i="11"/>
  <c r="R2146" i="11"/>
  <c r="Q2146" i="11"/>
  <c r="P2146" i="11"/>
  <c r="O2146" i="11"/>
  <c r="N2146" i="11"/>
  <c r="M2146" i="11"/>
  <c r="L2146" i="11"/>
  <c r="K2146" i="11"/>
  <c r="J2146" i="11"/>
  <c r="AC263" i="11"/>
  <c r="AB263" i="11"/>
  <c r="AA263" i="11"/>
  <c r="Z263" i="11"/>
  <c r="Y263" i="11"/>
  <c r="X263" i="11"/>
  <c r="W263" i="11"/>
  <c r="V263" i="11"/>
  <c r="U263" i="11"/>
  <c r="T263" i="11"/>
  <c r="S263" i="11"/>
  <c r="R263" i="11"/>
  <c r="Q263" i="11"/>
  <c r="P263" i="11"/>
  <c r="O263" i="11"/>
  <c r="N263" i="11"/>
  <c r="M263" i="11"/>
  <c r="L263" i="11"/>
  <c r="K263" i="11"/>
  <c r="J263" i="11"/>
  <c r="AC191" i="11"/>
  <c r="AB191" i="11"/>
  <c r="AA191" i="11"/>
  <c r="Z191" i="11"/>
  <c r="Y191" i="11"/>
  <c r="X191" i="11"/>
  <c r="W191" i="11"/>
  <c r="V191" i="11"/>
  <c r="U191" i="11"/>
  <c r="T191" i="11"/>
  <c r="S191" i="11"/>
  <c r="R191" i="11"/>
  <c r="Q191" i="11"/>
  <c r="P191" i="11"/>
  <c r="O191" i="11"/>
  <c r="N191" i="11"/>
  <c r="M191" i="11"/>
  <c r="L191" i="11"/>
  <c r="K191" i="11"/>
  <c r="J191" i="11"/>
  <c r="AC1616" i="11"/>
  <c r="AB1616" i="11"/>
  <c r="AA1616" i="11"/>
  <c r="Z1616" i="11"/>
  <c r="Y1616" i="11"/>
  <c r="X1616" i="11"/>
  <c r="W1616" i="11"/>
  <c r="V1616" i="11"/>
  <c r="U1616" i="11"/>
  <c r="T1616" i="11"/>
  <c r="S1616" i="11"/>
  <c r="R1616" i="11"/>
  <c r="Q1616" i="11"/>
  <c r="P1616" i="11"/>
  <c r="O1616" i="11"/>
  <c r="N1616" i="11"/>
  <c r="M1616" i="11"/>
  <c r="L1616" i="11"/>
  <c r="K1616" i="11"/>
  <c r="J1616" i="11"/>
  <c r="AC18" i="11"/>
  <c r="AB18" i="11"/>
  <c r="AA18" i="11"/>
  <c r="Z18" i="11"/>
  <c r="Y18" i="11"/>
  <c r="X18" i="11"/>
  <c r="W18" i="11"/>
  <c r="V18" i="11"/>
  <c r="U18" i="11"/>
  <c r="T18" i="11"/>
  <c r="S18" i="11"/>
  <c r="R18" i="11"/>
  <c r="Q18" i="11"/>
  <c r="P18" i="11"/>
  <c r="O18" i="11"/>
  <c r="N18" i="11"/>
  <c r="M18" i="11"/>
  <c r="L18" i="11"/>
  <c r="K18" i="11"/>
  <c r="J18" i="11"/>
  <c r="AC149" i="11"/>
  <c r="AB149" i="11"/>
  <c r="AA149" i="11"/>
  <c r="Z149" i="11"/>
  <c r="Y149" i="11"/>
  <c r="X149" i="11"/>
  <c r="W149" i="11"/>
  <c r="V149" i="11"/>
  <c r="U149" i="11"/>
  <c r="T149" i="11"/>
  <c r="S149" i="11"/>
  <c r="R149" i="11"/>
  <c r="Q149" i="11"/>
  <c r="P149" i="11"/>
  <c r="O149" i="11"/>
  <c r="N149" i="11"/>
  <c r="M149" i="11"/>
  <c r="L149" i="11"/>
  <c r="K149" i="11"/>
  <c r="J149" i="11"/>
  <c r="AC843" i="11"/>
  <c r="AB843" i="11"/>
  <c r="AA843" i="11"/>
  <c r="Z843" i="11"/>
  <c r="Y843" i="11"/>
  <c r="X843" i="11"/>
  <c r="W843" i="11"/>
  <c r="V843" i="11"/>
  <c r="U843" i="11"/>
  <c r="T843" i="11"/>
  <c r="S843" i="11"/>
  <c r="R843" i="11"/>
  <c r="Q843" i="11"/>
  <c r="P843" i="11"/>
  <c r="O843" i="11"/>
  <c r="N843" i="11"/>
  <c r="M843" i="11"/>
  <c r="L843" i="11"/>
  <c r="K843" i="11"/>
  <c r="J843" i="11"/>
  <c r="AC2221" i="11"/>
  <c r="AB2221" i="11"/>
  <c r="AA2221" i="11"/>
  <c r="Z2221" i="11"/>
  <c r="Y2221" i="11"/>
  <c r="X2221" i="11"/>
  <c r="W2221" i="11"/>
  <c r="V2221" i="11"/>
  <c r="U2221" i="11"/>
  <c r="T2221" i="11"/>
  <c r="S2221" i="11"/>
  <c r="R2221" i="11"/>
  <c r="Q2221" i="11"/>
  <c r="P2221" i="11"/>
  <c r="O2221" i="11"/>
  <c r="N2221" i="11"/>
  <c r="M2221" i="11"/>
  <c r="L2221" i="11"/>
  <c r="K2221" i="11"/>
  <c r="J2221" i="11"/>
  <c r="AC1910" i="11"/>
  <c r="AB1910" i="11"/>
  <c r="AA1910" i="11"/>
  <c r="Z1910" i="11"/>
  <c r="Y1910" i="11"/>
  <c r="X1910" i="11"/>
  <c r="W1910" i="11"/>
  <c r="V1910" i="11"/>
  <c r="U1910" i="11"/>
  <c r="T1910" i="11"/>
  <c r="S1910" i="11"/>
  <c r="R1910" i="11"/>
  <c r="Q1910" i="11"/>
  <c r="P1910" i="11"/>
  <c r="O1910" i="11"/>
  <c r="N1910" i="11"/>
  <c r="M1910" i="11"/>
  <c r="L1910" i="11"/>
  <c r="K1910" i="11"/>
  <c r="J1910" i="11"/>
  <c r="AC1079" i="11"/>
  <c r="AB1079" i="11"/>
  <c r="AA1079" i="11"/>
  <c r="Z1079" i="11"/>
  <c r="Y1079" i="11"/>
  <c r="X1079" i="11"/>
  <c r="W1079" i="11"/>
  <c r="V1079" i="11"/>
  <c r="U1079" i="11"/>
  <c r="T1079" i="11"/>
  <c r="S1079" i="11"/>
  <c r="R1079" i="11"/>
  <c r="Q1079" i="11"/>
  <c r="P1079" i="11"/>
  <c r="O1079" i="11"/>
  <c r="N1079" i="11"/>
  <c r="M1079" i="11"/>
  <c r="L1079" i="11"/>
  <c r="K1079" i="11"/>
  <c r="J1079" i="11"/>
  <c r="AC1960" i="11"/>
  <c r="AB1960" i="11"/>
  <c r="AA1960" i="11"/>
  <c r="Z1960" i="11"/>
  <c r="Y1960" i="11"/>
  <c r="X1960" i="11"/>
  <c r="W1960" i="11"/>
  <c r="V1960" i="11"/>
  <c r="U1960" i="11"/>
  <c r="T1960" i="11"/>
  <c r="S1960" i="11"/>
  <c r="R1960" i="11"/>
  <c r="Q1960" i="11"/>
  <c r="P1960" i="11"/>
  <c r="O1960" i="11"/>
  <c r="N1960" i="11"/>
  <c r="M1960" i="11"/>
  <c r="L1960" i="11"/>
  <c r="K1960" i="11"/>
  <c r="J1960" i="11"/>
  <c r="AC1959" i="11"/>
  <c r="AB1959" i="11"/>
  <c r="AA1959" i="11"/>
  <c r="Z1959" i="11"/>
  <c r="Y1959" i="11"/>
  <c r="X1959" i="11"/>
  <c r="W1959" i="11"/>
  <c r="V1959" i="11"/>
  <c r="U1959" i="11"/>
  <c r="T1959" i="11"/>
  <c r="S1959" i="11"/>
  <c r="R1959" i="11"/>
  <c r="Q1959" i="11"/>
  <c r="P1959" i="11"/>
  <c r="O1959" i="11"/>
  <c r="N1959" i="11"/>
  <c r="M1959" i="11"/>
  <c r="L1959" i="11"/>
  <c r="K1959" i="11"/>
  <c r="J1959" i="11"/>
  <c r="AC1713" i="11"/>
  <c r="AB1713" i="11"/>
  <c r="AA1713" i="11"/>
  <c r="Z1713" i="11"/>
  <c r="Y1713" i="11"/>
  <c r="X1713" i="11"/>
  <c r="W1713" i="11"/>
  <c r="V1713" i="11"/>
  <c r="U1713" i="11"/>
  <c r="T1713" i="11"/>
  <c r="S1713" i="11"/>
  <c r="R1713" i="11"/>
  <c r="Q1713" i="11"/>
  <c r="P1713" i="11"/>
  <c r="O1713" i="11"/>
  <c r="N1713" i="11"/>
  <c r="M1713" i="11"/>
  <c r="L1713" i="11"/>
  <c r="K1713" i="11"/>
  <c r="J1713" i="11"/>
  <c r="AC2046" i="11"/>
  <c r="AB2046" i="11"/>
  <c r="AA2046" i="11"/>
  <c r="Z2046" i="11"/>
  <c r="Y2046" i="11"/>
  <c r="X2046" i="11"/>
  <c r="W2046" i="11"/>
  <c r="V2046" i="11"/>
  <c r="U2046" i="11"/>
  <c r="T2046" i="11"/>
  <c r="S2046" i="11"/>
  <c r="R2046" i="11"/>
  <c r="Q2046" i="11"/>
  <c r="P2046" i="11"/>
  <c r="O2046" i="11"/>
  <c r="N2046" i="11"/>
  <c r="M2046" i="11"/>
  <c r="L2046" i="11"/>
  <c r="K2046" i="11"/>
  <c r="J2046" i="11"/>
  <c r="AC1155" i="11"/>
  <c r="AB1155" i="11"/>
  <c r="AA1155" i="11"/>
  <c r="Z1155" i="11"/>
  <c r="Y1155" i="11"/>
  <c r="X1155" i="11"/>
  <c r="W1155" i="11"/>
  <c r="V1155" i="11"/>
  <c r="U1155" i="11"/>
  <c r="T1155" i="11"/>
  <c r="S1155" i="11"/>
  <c r="R1155" i="11"/>
  <c r="Q1155" i="11"/>
  <c r="P1155" i="11"/>
  <c r="O1155" i="11"/>
  <c r="N1155" i="11"/>
  <c r="M1155" i="11"/>
  <c r="L1155" i="11"/>
  <c r="K1155" i="11"/>
  <c r="J1155" i="11"/>
  <c r="AC122" i="11"/>
  <c r="AB122" i="11"/>
  <c r="AA122" i="11"/>
  <c r="Z122" i="11"/>
  <c r="Y122" i="11"/>
  <c r="X122" i="11"/>
  <c r="W122" i="11"/>
  <c r="V122" i="11"/>
  <c r="U122" i="11"/>
  <c r="T122" i="11"/>
  <c r="S122" i="11"/>
  <c r="R122" i="11"/>
  <c r="Q122" i="11"/>
  <c r="P122" i="11"/>
  <c r="O122" i="11"/>
  <c r="N122" i="11"/>
  <c r="M122" i="11"/>
  <c r="L122" i="11"/>
  <c r="K122" i="11"/>
  <c r="J122" i="11"/>
  <c r="AC10" i="11"/>
  <c r="AB10" i="11"/>
  <c r="AA10" i="11"/>
  <c r="Z10" i="11"/>
  <c r="Y10" i="11"/>
  <c r="X10" i="11"/>
  <c r="W10" i="11"/>
  <c r="V10" i="11"/>
  <c r="U10" i="11"/>
  <c r="T10" i="11"/>
  <c r="S10" i="11"/>
  <c r="R10" i="11"/>
  <c r="Q10" i="11"/>
  <c r="P10" i="11"/>
  <c r="O10" i="11"/>
  <c r="N10" i="11"/>
  <c r="M10" i="11"/>
  <c r="L10" i="11"/>
  <c r="K10" i="11"/>
  <c r="J10" i="11"/>
  <c r="AC384" i="11"/>
  <c r="AB384" i="11"/>
  <c r="AA384" i="11"/>
  <c r="Z384" i="11"/>
  <c r="Y384" i="11"/>
  <c r="X384" i="11"/>
  <c r="W384" i="11"/>
  <c r="V384" i="11"/>
  <c r="U384" i="11"/>
  <c r="T384" i="11"/>
  <c r="S384" i="11"/>
  <c r="R384" i="11"/>
  <c r="Q384" i="11"/>
  <c r="P384" i="11"/>
  <c r="O384" i="11"/>
  <c r="N384" i="11"/>
  <c r="M384" i="11"/>
  <c r="L384" i="11"/>
  <c r="K384" i="11"/>
  <c r="J384" i="11"/>
  <c r="AC46" i="11"/>
  <c r="AB46" i="11"/>
  <c r="AA46" i="11"/>
  <c r="Z46" i="11"/>
  <c r="Y46" i="11"/>
  <c r="X46" i="11"/>
  <c r="W46" i="11"/>
  <c r="V46" i="11"/>
  <c r="U46" i="11"/>
  <c r="T46" i="11"/>
  <c r="S46" i="11"/>
  <c r="R46" i="11"/>
  <c r="Q46" i="11"/>
  <c r="P46" i="11"/>
  <c r="O46" i="11"/>
  <c r="N46" i="11"/>
  <c r="M46" i="11"/>
  <c r="L46" i="11"/>
  <c r="K46" i="11"/>
  <c r="J46" i="11"/>
  <c r="AC554" i="11"/>
  <c r="AB554" i="11"/>
  <c r="AA554" i="11"/>
  <c r="Z554" i="11"/>
  <c r="Y554" i="11"/>
  <c r="X554" i="11"/>
  <c r="W554" i="11"/>
  <c r="V554" i="11"/>
  <c r="U554" i="11"/>
  <c r="T554" i="11"/>
  <c r="S554" i="11"/>
  <c r="R554" i="11"/>
  <c r="Q554" i="11"/>
  <c r="P554" i="11"/>
  <c r="O554" i="11"/>
  <c r="N554" i="11"/>
  <c r="M554" i="11"/>
  <c r="L554" i="11"/>
  <c r="K554" i="11"/>
  <c r="J554" i="11"/>
  <c r="AC1615" i="11"/>
  <c r="AB1615" i="11"/>
  <c r="AA1615" i="11"/>
  <c r="Z1615" i="11"/>
  <c r="Y1615" i="11"/>
  <c r="X1615" i="11"/>
  <c r="W1615" i="11"/>
  <c r="V1615" i="11"/>
  <c r="U1615" i="11"/>
  <c r="T1615" i="11"/>
  <c r="S1615" i="11"/>
  <c r="R1615" i="11"/>
  <c r="Q1615" i="11"/>
  <c r="P1615" i="11"/>
  <c r="O1615" i="11"/>
  <c r="N1615" i="11"/>
  <c r="M1615" i="11"/>
  <c r="L1615" i="11"/>
  <c r="K1615" i="11"/>
  <c r="J1615" i="11"/>
  <c r="AC1614" i="11"/>
  <c r="AB1614" i="11"/>
  <c r="AA1614" i="11"/>
  <c r="Z1614" i="11"/>
  <c r="Y1614" i="11"/>
  <c r="X1614" i="11"/>
  <c r="W1614" i="11"/>
  <c r="V1614" i="11"/>
  <c r="U1614" i="11"/>
  <c r="T1614" i="11"/>
  <c r="S1614" i="11"/>
  <c r="R1614" i="11"/>
  <c r="Q1614" i="11"/>
  <c r="P1614" i="11"/>
  <c r="O1614" i="11"/>
  <c r="N1614" i="11"/>
  <c r="M1614" i="11"/>
  <c r="L1614" i="11"/>
  <c r="K1614" i="11"/>
  <c r="J1614" i="11"/>
  <c r="AC262" i="11"/>
  <c r="AB262" i="11"/>
  <c r="AA262" i="11"/>
  <c r="Z262" i="11"/>
  <c r="Y262" i="11"/>
  <c r="X262" i="11"/>
  <c r="W262" i="11"/>
  <c r="V262" i="11"/>
  <c r="U262" i="11"/>
  <c r="T262" i="11"/>
  <c r="S262" i="11"/>
  <c r="R262" i="11"/>
  <c r="Q262" i="11"/>
  <c r="P262" i="11"/>
  <c r="O262" i="11"/>
  <c r="N262" i="11"/>
  <c r="M262" i="11"/>
  <c r="L262" i="11"/>
  <c r="K262" i="11"/>
  <c r="J262" i="11"/>
  <c r="AC553" i="11"/>
  <c r="AB553" i="11"/>
  <c r="AA553" i="11"/>
  <c r="Z553" i="11"/>
  <c r="Y553" i="11"/>
  <c r="X553" i="11"/>
  <c r="W553" i="11"/>
  <c r="V553" i="11"/>
  <c r="U553" i="11"/>
  <c r="T553" i="11"/>
  <c r="S553" i="11"/>
  <c r="R553" i="11"/>
  <c r="Q553" i="11"/>
  <c r="P553" i="11"/>
  <c r="O553" i="11"/>
  <c r="N553" i="11"/>
  <c r="M553" i="11"/>
  <c r="L553" i="11"/>
  <c r="K553" i="11"/>
  <c r="J553" i="11"/>
  <c r="AC773" i="11"/>
  <c r="AB773" i="11"/>
  <c r="AA773" i="11"/>
  <c r="Z773" i="11"/>
  <c r="Y773" i="11"/>
  <c r="X773" i="11"/>
  <c r="W773" i="11"/>
  <c r="V773" i="11"/>
  <c r="U773" i="11"/>
  <c r="T773" i="11"/>
  <c r="S773" i="11"/>
  <c r="R773" i="11"/>
  <c r="Q773" i="11"/>
  <c r="P773" i="11"/>
  <c r="O773" i="11"/>
  <c r="N773" i="11"/>
  <c r="M773" i="11"/>
  <c r="L773" i="11"/>
  <c r="K773" i="11"/>
  <c r="J773" i="11"/>
  <c r="AC1078" i="11"/>
  <c r="AB1078" i="11"/>
  <c r="AA1078" i="11"/>
  <c r="Z1078" i="11"/>
  <c r="Y1078" i="11"/>
  <c r="X1078" i="11"/>
  <c r="W1078" i="11"/>
  <c r="V1078" i="11"/>
  <c r="U1078" i="11"/>
  <c r="T1078" i="11"/>
  <c r="S1078" i="11"/>
  <c r="R1078" i="11"/>
  <c r="Q1078" i="11"/>
  <c r="P1078" i="11"/>
  <c r="O1078" i="11"/>
  <c r="N1078" i="11"/>
  <c r="M1078" i="11"/>
  <c r="L1078" i="11"/>
  <c r="K1078" i="11"/>
  <c r="J1078" i="11"/>
  <c r="AC2200" i="11"/>
  <c r="AB2200" i="11"/>
  <c r="AA2200" i="11"/>
  <c r="Z2200" i="11"/>
  <c r="Y2200" i="11"/>
  <c r="X2200" i="11"/>
  <c r="W2200" i="11"/>
  <c r="V2200" i="11"/>
  <c r="U2200" i="11"/>
  <c r="T2200" i="11"/>
  <c r="S2200" i="11"/>
  <c r="R2200" i="11"/>
  <c r="Q2200" i="11"/>
  <c r="P2200" i="11"/>
  <c r="O2200" i="11"/>
  <c r="N2200" i="11"/>
  <c r="M2200" i="11"/>
  <c r="L2200" i="11"/>
  <c r="K2200" i="11"/>
  <c r="J2200" i="11"/>
  <c r="J3" i="7"/>
  <c r="J2" i="7"/>
  <c r="N2" i="7"/>
  <c r="N3" i="7"/>
  <c r="H3" i="7"/>
  <c r="F3" i="7"/>
  <c r="D3" i="7"/>
  <c r="B3" i="7"/>
  <c r="H2" i="7"/>
  <c r="F2" i="7"/>
  <c r="D2" i="7"/>
  <c r="B2" i="7"/>
  <c r="X1079" i="5"/>
  <c r="W1079" i="5"/>
  <c r="X478" i="5"/>
  <c r="W478" i="5"/>
  <c r="X915" i="5"/>
  <c r="W915" i="5"/>
  <c r="X1532" i="5"/>
  <c r="W1532" i="5"/>
  <c r="X1226" i="5"/>
  <c r="W1226" i="5"/>
  <c r="X1447" i="5"/>
  <c r="W1447" i="5"/>
  <c r="X692" i="5"/>
  <c r="W692" i="5"/>
  <c r="X2115" i="5"/>
  <c r="W2115" i="5"/>
  <c r="X347" i="5"/>
  <c r="W347" i="5"/>
  <c r="X1805" i="5"/>
  <c r="W1805" i="5"/>
  <c r="X1373" i="5"/>
  <c r="W1373" i="5"/>
  <c r="X6" i="5"/>
  <c r="W6" i="5"/>
  <c r="X32" i="5"/>
  <c r="W32" i="5"/>
  <c r="X150" i="5"/>
  <c r="W150" i="5"/>
  <c r="X192" i="5"/>
  <c r="W192" i="5"/>
  <c r="X224" i="5"/>
  <c r="W224" i="5"/>
  <c r="X477" i="5"/>
  <c r="W477" i="5"/>
  <c r="X476" i="5"/>
  <c r="W476" i="5"/>
  <c r="X554" i="5"/>
  <c r="W554" i="5"/>
  <c r="X691" i="5"/>
  <c r="W691" i="5"/>
  <c r="X690" i="5"/>
  <c r="W690" i="5"/>
  <c r="X774" i="5"/>
  <c r="W774" i="5"/>
  <c r="X914" i="5"/>
  <c r="W914" i="5"/>
  <c r="X47" i="5"/>
  <c r="W47" i="5"/>
  <c r="X2044" i="5"/>
  <c r="W2044" i="5"/>
  <c r="X191" i="5"/>
  <c r="W191" i="5"/>
  <c r="X94" i="5"/>
  <c r="W94" i="5"/>
  <c r="X689" i="5"/>
  <c r="W689" i="5"/>
  <c r="X913" i="5"/>
  <c r="W913" i="5"/>
  <c r="X1078" i="5"/>
  <c r="W1078" i="5"/>
  <c r="X93" i="5"/>
  <c r="W93" i="5"/>
  <c r="X92" i="5"/>
  <c r="W92" i="5"/>
  <c r="X91" i="5"/>
  <c r="W91" i="5"/>
  <c r="X263" i="5"/>
  <c r="W263" i="5"/>
  <c r="X773" i="5"/>
  <c r="W773" i="5"/>
  <c r="X553" i="5"/>
  <c r="W553" i="5"/>
  <c r="X688" i="5"/>
  <c r="W688" i="5"/>
  <c r="X2043" i="5"/>
  <c r="W2043" i="5"/>
  <c r="X1155" i="5"/>
  <c r="W1155" i="5"/>
  <c r="X475" i="5"/>
  <c r="W475" i="5"/>
  <c r="X687" i="5"/>
  <c r="W687" i="5"/>
  <c r="X1662" i="5"/>
  <c r="W1662" i="5"/>
  <c r="X123" i="5"/>
  <c r="W123" i="5"/>
  <c r="X1225" i="5"/>
  <c r="W1225" i="5"/>
  <c r="X994" i="5"/>
  <c r="W994" i="5"/>
  <c r="X5" i="5"/>
  <c r="W5" i="5"/>
  <c r="X424" i="5"/>
  <c r="W424" i="5"/>
  <c r="X1860" i="5"/>
  <c r="W1860" i="5"/>
  <c r="X262" i="5"/>
  <c r="W262" i="5"/>
  <c r="X686" i="5"/>
  <c r="W686" i="5"/>
  <c r="X190" i="5"/>
  <c r="W190" i="5"/>
  <c r="X1531" i="5"/>
  <c r="W1531" i="5"/>
  <c r="X2086" i="5"/>
  <c r="W2086" i="5"/>
  <c r="X149" i="5"/>
  <c r="W149" i="5"/>
  <c r="X1764" i="5"/>
  <c r="W1764" i="5"/>
  <c r="X423" i="5"/>
  <c r="W423" i="5"/>
  <c r="X31" i="5"/>
  <c r="W31" i="5"/>
  <c r="X474" i="5"/>
  <c r="W474" i="5"/>
  <c r="X473" i="5"/>
  <c r="W473" i="5"/>
  <c r="X1154" i="5"/>
  <c r="W1154" i="5"/>
  <c r="X1153" i="5"/>
  <c r="W1153" i="5"/>
  <c r="X261" i="5"/>
  <c r="W261" i="5"/>
  <c r="X122" i="5"/>
  <c r="W122" i="5"/>
  <c r="X1859" i="5"/>
  <c r="W1859" i="5"/>
  <c r="X472" i="5"/>
  <c r="W472" i="5"/>
  <c r="X422" i="5"/>
  <c r="W422" i="5"/>
  <c r="X471" i="5"/>
  <c r="W471" i="5"/>
  <c r="X65" i="5"/>
  <c r="W65" i="5"/>
  <c r="X121" i="5"/>
  <c r="W121" i="5"/>
  <c r="X260" i="5"/>
  <c r="W260" i="5"/>
  <c r="X259" i="5"/>
  <c r="W259" i="5"/>
  <c r="X552" i="5"/>
  <c r="W552" i="5"/>
  <c r="X223" i="5"/>
  <c r="W223" i="5"/>
  <c r="X1077" i="5"/>
  <c r="W1077" i="5"/>
  <c r="X470" i="5"/>
  <c r="W470" i="5"/>
  <c r="X2114" i="5"/>
  <c r="W2114" i="5"/>
  <c r="X1613" i="5"/>
  <c r="W1613" i="5"/>
  <c r="X685" i="5"/>
  <c r="W685" i="5"/>
  <c r="X772" i="5"/>
  <c r="W772" i="5"/>
  <c r="X551" i="5"/>
  <c r="W551" i="5"/>
  <c r="X1661" i="5"/>
  <c r="W1661" i="5"/>
  <c r="X1660" i="5"/>
  <c r="W1660" i="5"/>
  <c r="X684" i="5"/>
  <c r="W684" i="5"/>
  <c r="X30" i="5"/>
  <c r="W30" i="5"/>
  <c r="X148" i="5"/>
  <c r="W148" i="5"/>
  <c r="X550" i="5"/>
  <c r="W550" i="5"/>
  <c r="X771" i="5"/>
  <c r="W771" i="5"/>
  <c r="X90" i="5"/>
  <c r="W90" i="5"/>
  <c r="X683" i="5"/>
  <c r="W683" i="5"/>
  <c r="X469" i="5"/>
  <c r="W469" i="5"/>
  <c r="X2198" i="5"/>
  <c r="W2198" i="5"/>
  <c r="X222" i="5"/>
  <c r="W222" i="5"/>
  <c r="X64" i="5"/>
  <c r="W64" i="5"/>
  <c r="X147" i="5"/>
  <c r="W147" i="5"/>
  <c r="X63" i="5"/>
  <c r="W63" i="5"/>
  <c r="X89" i="5"/>
  <c r="W89" i="5"/>
  <c r="X844" i="5"/>
  <c r="W844" i="5"/>
  <c r="X346" i="5"/>
  <c r="W346" i="5"/>
  <c r="X1224" i="5"/>
  <c r="W1224" i="5"/>
  <c r="X1712" i="5"/>
  <c r="W1712" i="5"/>
  <c r="X1711" i="5"/>
  <c r="W1711" i="5"/>
  <c r="X1710" i="5"/>
  <c r="W1710" i="5"/>
  <c r="X1488" i="5"/>
  <c r="W1488" i="5"/>
  <c r="X1487" i="5"/>
  <c r="W1487" i="5"/>
  <c r="X29" i="5"/>
  <c r="W29" i="5"/>
  <c r="X1076" i="5"/>
  <c r="W1076" i="5"/>
  <c r="X258" i="5"/>
  <c r="W258" i="5"/>
  <c r="X62" i="5"/>
  <c r="W62" i="5"/>
  <c r="X61" i="5"/>
  <c r="W61" i="5"/>
  <c r="X60" i="5"/>
  <c r="W60" i="5"/>
  <c r="X912" i="5"/>
  <c r="W912" i="5"/>
  <c r="X257" i="5"/>
  <c r="W257" i="5"/>
  <c r="X421" i="5"/>
  <c r="W421" i="5"/>
  <c r="X1278" i="5"/>
  <c r="W1278" i="5"/>
  <c r="X843" i="5"/>
  <c r="W843" i="5"/>
  <c r="X385" i="5"/>
  <c r="W385" i="5"/>
  <c r="X384" i="5"/>
  <c r="W384" i="5"/>
  <c r="X345" i="5"/>
  <c r="W345" i="5"/>
  <c r="X189" i="5"/>
  <c r="W189" i="5"/>
  <c r="X221" i="5"/>
  <c r="W221" i="5"/>
  <c r="X1277" i="5"/>
  <c r="W1277" i="5"/>
  <c r="X1276" i="5"/>
  <c r="W1276" i="5"/>
  <c r="X1152" i="5"/>
  <c r="W1152" i="5"/>
  <c r="X1659" i="5"/>
  <c r="W1659" i="5"/>
  <c r="X770" i="5"/>
  <c r="W770" i="5"/>
  <c r="X220" i="5"/>
  <c r="W220" i="5"/>
  <c r="X219" i="5"/>
  <c r="W219" i="5"/>
  <c r="X842" i="5"/>
  <c r="W842" i="5"/>
  <c r="X841" i="5"/>
  <c r="W841" i="5"/>
  <c r="X682" i="5"/>
  <c r="W682" i="5"/>
  <c r="X681" i="5"/>
  <c r="W681" i="5"/>
  <c r="X46" i="5"/>
  <c r="W46" i="5"/>
  <c r="X468" i="5"/>
  <c r="W468" i="5"/>
  <c r="X188" i="5"/>
  <c r="W188" i="5"/>
  <c r="X187" i="5"/>
  <c r="W187" i="5"/>
  <c r="X911" i="5"/>
  <c r="W911" i="5"/>
  <c r="X186" i="5"/>
  <c r="W186" i="5"/>
  <c r="X120" i="5"/>
  <c r="W120" i="5"/>
  <c r="X218" i="5"/>
  <c r="W218" i="5"/>
  <c r="X1151" i="5"/>
  <c r="W1151" i="5"/>
  <c r="X1150" i="5"/>
  <c r="W1150" i="5"/>
  <c r="X910" i="5"/>
  <c r="W910" i="5"/>
  <c r="X604" i="5"/>
  <c r="W604" i="5"/>
  <c r="X680" i="5"/>
  <c r="W680" i="5"/>
  <c r="X344" i="5"/>
  <c r="W344" i="5"/>
  <c r="X146" i="5"/>
  <c r="W146" i="5"/>
  <c r="X840" i="5"/>
  <c r="W840" i="5"/>
  <c r="X549" i="5"/>
  <c r="W549" i="5"/>
  <c r="X217" i="5"/>
  <c r="W217" i="5"/>
  <c r="X993" i="5"/>
  <c r="W993" i="5"/>
  <c r="X88" i="5"/>
  <c r="W88" i="5"/>
  <c r="X467" i="5"/>
  <c r="W467" i="5"/>
  <c r="X679" i="5"/>
  <c r="W679" i="5"/>
  <c r="X304" i="5"/>
  <c r="W304" i="5"/>
  <c r="X185" i="5"/>
  <c r="W185" i="5"/>
  <c r="X184" i="5"/>
  <c r="W184" i="5"/>
  <c r="X1223" i="5"/>
  <c r="W1223" i="5"/>
  <c r="X183" i="5"/>
  <c r="W183" i="5"/>
  <c r="X1804" i="5"/>
  <c r="W1804" i="5"/>
  <c r="X1803" i="5"/>
  <c r="W1803" i="5"/>
  <c r="X303" i="5"/>
  <c r="W303" i="5"/>
  <c r="X992" i="5"/>
  <c r="W992" i="5"/>
  <c r="X1149" i="5"/>
  <c r="W1149" i="5"/>
  <c r="X603" i="5"/>
  <c r="W603" i="5"/>
  <c r="X1658" i="5"/>
  <c r="W1658" i="5"/>
  <c r="X302" i="5"/>
  <c r="W302" i="5"/>
  <c r="X769" i="5"/>
  <c r="W769" i="5"/>
  <c r="X2085" i="5"/>
  <c r="W2085" i="5"/>
  <c r="X768" i="5"/>
  <c r="W768" i="5"/>
  <c r="X1858" i="5"/>
  <c r="W1858" i="5"/>
  <c r="X216" i="5"/>
  <c r="W216" i="5"/>
  <c r="X1222" i="5"/>
  <c r="W1222" i="5"/>
  <c r="X1530" i="5"/>
  <c r="W1530" i="5"/>
  <c r="X1529" i="5"/>
  <c r="W1529" i="5"/>
  <c r="X145" i="5"/>
  <c r="W145" i="5"/>
  <c r="X343" i="5"/>
  <c r="W343" i="5"/>
  <c r="X1957" i="5"/>
  <c r="W1957" i="5"/>
  <c r="X182" i="5"/>
  <c r="W182" i="5"/>
  <c r="X1908" i="5"/>
  <c r="W1908" i="5"/>
  <c r="X1323" i="5"/>
  <c r="W1323" i="5"/>
  <c r="X1322" i="5"/>
  <c r="W1322" i="5"/>
  <c r="X1148" i="5"/>
  <c r="W1148" i="5"/>
  <c r="X1372" i="5"/>
  <c r="W1372" i="5"/>
  <c r="X1371" i="5"/>
  <c r="W1371" i="5"/>
  <c r="X767" i="5"/>
  <c r="W767" i="5"/>
  <c r="X909" i="5"/>
  <c r="W909" i="5"/>
  <c r="X602" i="5"/>
  <c r="W602" i="5"/>
  <c r="X548" i="5"/>
  <c r="W548" i="5"/>
  <c r="X547" i="5"/>
  <c r="W547" i="5"/>
  <c r="X1075" i="5"/>
  <c r="W1075" i="5"/>
  <c r="X1074" i="5"/>
  <c r="W1074" i="5"/>
  <c r="X383" i="5"/>
  <c r="W383" i="5"/>
  <c r="X1147" i="5"/>
  <c r="W1147" i="5"/>
  <c r="X1528" i="5"/>
  <c r="W1528" i="5"/>
  <c r="X215" i="5"/>
  <c r="W215" i="5"/>
  <c r="X1146" i="5"/>
  <c r="W1146" i="5"/>
  <c r="X256" i="5"/>
  <c r="W256" i="5"/>
  <c r="X1221" i="5"/>
  <c r="W1221" i="5"/>
  <c r="X1992" i="5"/>
  <c r="W1992" i="5"/>
  <c r="X1709" i="5"/>
  <c r="W1709" i="5"/>
  <c r="X119" i="5"/>
  <c r="W119" i="5"/>
  <c r="X118" i="5"/>
  <c r="W118" i="5"/>
  <c r="X144" i="5"/>
  <c r="W144" i="5"/>
  <c r="X181" i="5"/>
  <c r="W181" i="5"/>
  <c r="X1446" i="5"/>
  <c r="W1446" i="5"/>
  <c r="X1445" i="5"/>
  <c r="W1445" i="5"/>
  <c r="X301" i="5"/>
  <c r="W301" i="5"/>
  <c r="X1802" i="5"/>
  <c r="W1802" i="5"/>
  <c r="X908" i="5"/>
  <c r="W908" i="5"/>
  <c r="X342" i="5"/>
  <c r="W342" i="5"/>
  <c r="X1145" i="5"/>
  <c r="W1145" i="5"/>
  <c r="X341" i="5"/>
  <c r="W341" i="5"/>
  <c r="X678" i="5"/>
  <c r="W678" i="5"/>
  <c r="X466" i="5"/>
  <c r="W466" i="5"/>
  <c r="X1275" i="5"/>
  <c r="W1275" i="5"/>
  <c r="X601" i="5"/>
  <c r="W601" i="5"/>
  <c r="X143" i="5"/>
  <c r="W143" i="5"/>
  <c r="X1220" i="5"/>
  <c r="W1220" i="5"/>
  <c r="X766" i="5"/>
  <c r="W766" i="5"/>
  <c r="X255" i="5"/>
  <c r="W255" i="5"/>
  <c r="X677" i="5"/>
  <c r="W677" i="5"/>
  <c r="X300" i="5"/>
  <c r="W300" i="5"/>
  <c r="X1144" i="5"/>
  <c r="W1144" i="5"/>
  <c r="X1143" i="5"/>
  <c r="W1143" i="5"/>
  <c r="X1708" i="5"/>
  <c r="W1708" i="5"/>
  <c r="X59" i="5"/>
  <c r="W59" i="5"/>
  <c r="X382" i="5"/>
  <c r="W382" i="5"/>
  <c r="X340" i="5"/>
  <c r="W340" i="5"/>
  <c r="X465" i="5"/>
  <c r="W465" i="5"/>
  <c r="X991" i="5"/>
  <c r="W991" i="5"/>
  <c r="X381" i="5"/>
  <c r="W381" i="5"/>
  <c r="X254" i="5"/>
  <c r="W254" i="5"/>
  <c r="X464" i="5"/>
  <c r="W464" i="5"/>
  <c r="X463" i="5"/>
  <c r="W463" i="5"/>
  <c r="X907" i="5"/>
  <c r="W907" i="5"/>
  <c r="X117" i="5"/>
  <c r="W117" i="5"/>
  <c r="X58" i="5"/>
  <c r="W58" i="5"/>
  <c r="X339" i="5"/>
  <c r="W339" i="5"/>
  <c r="X990" i="5"/>
  <c r="W990" i="5"/>
  <c r="X546" i="5"/>
  <c r="W546" i="5"/>
  <c r="X545" i="5"/>
  <c r="W545" i="5"/>
  <c r="X989" i="5"/>
  <c r="W989" i="5"/>
  <c r="X116" i="5"/>
  <c r="W116" i="5"/>
  <c r="X420" i="5"/>
  <c r="W420" i="5"/>
  <c r="X676" i="5"/>
  <c r="W676" i="5"/>
  <c r="X988" i="5"/>
  <c r="W988" i="5"/>
  <c r="X180" i="5"/>
  <c r="W180" i="5"/>
  <c r="X299" i="5"/>
  <c r="W299" i="5"/>
  <c r="X1219" i="5"/>
  <c r="W1219" i="5"/>
  <c r="X1218" i="5"/>
  <c r="W1218" i="5"/>
  <c r="X600" i="5"/>
  <c r="W600" i="5"/>
  <c r="X2181" i="5"/>
  <c r="W2181" i="5"/>
  <c r="X906" i="5"/>
  <c r="W906" i="5"/>
  <c r="X87" i="5"/>
  <c r="W87" i="5"/>
  <c r="X839" i="5"/>
  <c r="W839" i="5"/>
  <c r="X838" i="5"/>
  <c r="W838" i="5"/>
  <c r="X142" i="5"/>
  <c r="W142" i="5"/>
  <c r="X253" i="5"/>
  <c r="W253" i="5"/>
  <c r="X1073" i="5"/>
  <c r="W1073" i="5"/>
  <c r="X544" i="5"/>
  <c r="W544" i="5"/>
  <c r="X1072" i="5"/>
  <c r="W1072" i="5"/>
  <c r="X543" i="5"/>
  <c r="W543" i="5"/>
  <c r="X1321" i="5"/>
  <c r="W1321" i="5"/>
  <c r="X1142" i="5"/>
  <c r="W1142" i="5"/>
  <c r="X419" i="5"/>
  <c r="W419" i="5"/>
  <c r="X837" i="5"/>
  <c r="W837" i="5"/>
  <c r="X1801" i="5"/>
  <c r="W1801" i="5"/>
  <c r="X1800" i="5"/>
  <c r="W1800" i="5"/>
  <c r="X57" i="5"/>
  <c r="W57" i="5"/>
  <c r="X1857" i="5"/>
  <c r="W1857" i="5"/>
  <c r="X542" i="5"/>
  <c r="W542" i="5"/>
  <c r="X905" i="5"/>
  <c r="W905" i="5"/>
  <c r="X987" i="5"/>
  <c r="W987" i="5"/>
  <c r="X1217" i="5"/>
  <c r="W1217" i="5"/>
  <c r="X675" i="5"/>
  <c r="W675" i="5"/>
  <c r="X541" i="5"/>
  <c r="W541" i="5"/>
  <c r="X1763" i="5"/>
  <c r="W1763" i="5"/>
  <c r="X1762" i="5"/>
  <c r="W1762" i="5"/>
  <c r="X2144" i="5"/>
  <c r="W2144" i="5"/>
  <c r="X179" i="5"/>
  <c r="W179" i="5"/>
  <c r="X1320" i="5"/>
  <c r="W1320" i="5"/>
  <c r="X252" i="5"/>
  <c r="W252" i="5"/>
  <c r="X836" i="5"/>
  <c r="W836" i="5"/>
  <c r="X986" i="5"/>
  <c r="W986" i="5"/>
  <c r="X178" i="5"/>
  <c r="W178" i="5"/>
  <c r="X1071" i="5"/>
  <c r="W1071" i="5"/>
  <c r="X45" i="5"/>
  <c r="W45" i="5"/>
  <c r="X380" i="5"/>
  <c r="W380" i="5"/>
  <c r="X1216" i="5"/>
  <c r="W1216" i="5"/>
  <c r="X1707" i="5"/>
  <c r="W1707" i="5"/>
  <c r="X674" i="5"/>
  <c r="W674" i="5"/>
  <c r="X673" i="5"/>
  <c r="W673" i="5"/>
  <c r="X1070" i="5"/>
  <c r="W1070" i="5"/>
  <c r="X2084" i="5"/>
  <c r="W2084" i="5"/>
  <c r="X1370" i="5"/>
  <c r="W1370" i="5"/>
  <c r="X1274" i="5"/>
  <c r="W1274" i="5"/>
  <c r="X298" i="5"/>
  <c r="W298" i="5"/>
  <c r="X297" i="5"/>
  <c r="W297" i="5"/>
  <c r="X1612" i="5"/>
  <c r="W1612" i="5"/>
  <c r="X904" i="5"/>
  <c r="W904" i="5"/>
  <c r="X177" i="5"/>
  <c r="W177" i="5"/>
  <c r="X903" i="5"/>
  <c r="W903" i="5"/>
  <c r="X2113" i="5"/>
  <c r="W2113" i="5"/>
  <c r="X985" i="5"/>
  <c r="W985" i="5"/>
  <c r="X1611" i="5"/>
  <c r="W1611" i="5"/>
  <c r="X1578" i="5"/>
  <c r="W1578" i="5"/>
  <c r="X1141" i="5"/>
  <c r="W1141" i="5"/>
  <c r="X462" i="5"/>
  <c r="W462" i="5"/>
  <c r="X251" i="5"/>
  <c r="W251" i="5"/>
  <c r="X1956" i="5"/>
  <c r="W1956" i="5"/>
  <c r="X2083" i="5"/>
  <c r="W2083" i="5"/>
  <c r="X2180" i="5"/>
  <c r="W2180" i="5"/>
  <c r="X765" i="5"/>
  <c r="W765" i="5"/>
  <c r="X338" i="5"/>
  <c r="W338" i="5"/>
  <c r="X540" i="5"/>
  <c r="W540" i="5"/>
  <c r="X379" i="5"/>
  <c r="W379" i="5"/>
  <c r="X902" i="5"/>
  <c r="W902" i="5"/>
  <c r="X599" i="5"/>
  <c r="W599" i="5"/>
  <c r="X461" i="5"/>
  <c r="W461" i="5"/>
  <c r="X115" i="5"/>
  <c r="W115" i="5"/>
  <c r="X1319" i="5"/>
  <c r="W1319" i="5"/>
  <c r="X418" i="5"/>
  <c r="W418" i="5"/>
  <c r="X176" i="5"/>
  <c r="W176" i="5"/>
  <c r="X1761" i="5"/>
  <c r="W1761" i="5"/>
  <c r="X1140" i="5"/>
  <c r="W1140" i="5"/>
  <c r="X1610" i="5"/>
  <c r="W1610" i="5"/>
  <c r="X1609" i="5"/>
  <c r="W1609" i="5"/>
  <c r="X2112" i="5"/>
  <c r="W2112" i="5"/>
  <c r="X2042" i="5"/>
  <c r="W2042" i="5"/>
  <c r="X296" i="5"/>
  <c r="W296" i="5"/>
  <c r="X2179" i="5"/>
  <c r="W2179" i="5"/>
  <c r="X1318" i="5"/>
  <c r="W1318" i="5"/>
  <c r="X295" i="5"/>
  <c r="W295" i="5"/>
  <c r="X294" i="5"/>
  <c r="W294" i="5"/>
  <c r="X835" i="5"/>
  <c r="W835" i="5"/>
  <c r="X539" i="5"/>
  <c r="W539" i="5"/>
  <c r="X2041" i="5"/>
  <c r="W2041" i="5"/>
  <c r="X378" i="5"/>
  <c r="W378" i="5"/>
  <c r="X1657" i="5"/>
  <c r="W1657" i="5"/>
  <c r="X337" i="5"/>
  <c r="W337" i="5"/>
  <c r="X538" i="5"/>
  <c r="W538" i="5"/>
  <c r="X537" i="5"/>
  <c r="W537" i="5"/>
  <c r="X86" i="5"/>
  <c r="W86" i="5"/>
  <c r="X85" i="5"/>
  <c r="W85" i="5"/>
  <c r="X336" i="5"/>
  <c r="W336" i="5"/>
  <c r="X1369" i="5"/>
  <c r="W1369" i="5"/>
  <c r="X598" i="5"/>
  <c r="W598" i="5"/>
  <c r="X1856" i="5"/>
  <c r="W1856" i="5"/>
  <c r="X597" i="5"/>
  <c r="W597" i="5"/>
  <c r="X377" i="5"/>
  <c r="W377" i="5"/>
  <c r="X214" i="5"/>
  <c r="W214" i="5"/>
  <c r="X1273" i="5"/>
  <c r="W1273" i="5"/>
  <c r="X141" i="5"/>
  <c r="W141" i="5"/>
  <c r="X2082" i="5"/>
  <c r="W2082" i="5"/>
  <c r="X1656" i="5"/>
  <c r="W1656" i="5"/>
  <c r="X1368" i="5"/>
  <c r="W1368" i="5"/>
  <c r="X1655" i="5"/>
  <c r="W1655" i="5"/>
  <c r="X672" i="5"/>
  <c r="W672" i="5"/>
  <c r="X1272" i="5"/>
  <c r="W1272" i="5"/>
  <c r="X1139" i="5"/>
  <c r="W1139" i="5"/>
  <c r="X114" i="5"/>
  <c r="W114" i="5"/>
  <c r="X1444" i="5"/>
  <c r="W1444" i="5"/>
  <c r="X1443" i="5"/>
  <c r="W1443" i="5"/>
  <c r="X1069" i="5"/>
  <c r="W1069" i="5"/>
  <c r="X213" i="5"/>
  <c r="W213" i="5"/>
  <c r="X212" i="5"/>
  <c r="W212" i="5"/>
  <c r="X984" i="5"/>
  <c r="W984" i="5"/>
  <c r="X1068" i="5"/>
  <c r="W1068" i="5"/>
  <c r="X211" i="5"/>
  <c r="W211" i="5"/>
  <c r="X175" i="5"/>
  <c r="W175" i="5"/>
  <c r="X1138" i="5"/>
  <c r="W1138" i="5"/>
  <c r="X983" i="5"/>
  <c r="W983" i="5"/>
  <c r="X1608" i="5"/>
  <c r="W1608" i="5"/>
  <c r="X56" i="5"/>
  <c r="W56" i="5"/>
  <c r="X293" i="5"/>
  <c r="W293" i="5"/>
  <c r="X292" i="5"/>
  <c r="W292" i="5"/>
  <c r="X536" i="5"/>
  <c r="W536" i="5"/>
  <c r="X982" i="5"/>
  <c r="W982" i="5"/>
  <c r="X84" i="5"/>
  <c r="W84" i="5"/>
  <c r="X83" i="5"/>
  <c r="W83" i="5"/>
  <c r="X210" i="5"/>
  <c r="W210" i="5"/>
  <c r="X834" i="5"/>
  <c r="W834" i="5"/>
  <c r="X833" i="5"/>
  <c r="W833" i="5"/>
  <c r="X596" i="5"/>
  <c r="W596" i="5"/>
  <c r="X1067" i="5"/>
  <c r="W1067" i="5"/>
  <c r="X1066" i="5"/>
  <c r="W1066" i="5"/>
  <c r="X140" i="5"/>
  <c r="W140" i="5"/>
  <c r="X1215" i="5"/>
  <c r="W1215" i="5"/>
  <c r="X981" i="5"/>
  <c r="W981" i="5"/>
  <c r="X250" i="5"/>
  <c r="W250" i="5"/>
  <c r="X1654" i="5"/>
  <c r="W1654" i="5"/>
  <c r="X1653" i="5"/>
  <c r="W1653" i="5"/>
  <c r="X1760" i="5"/>
  <c r="W1760" i="5"/>
  <c r="X1065" i="5"/>
  <c r="W1065" i="5"/>
  <c r="X460" i="5"/>
  <c r="W460" i="5"/>
  <c r="X671" i="5"/>
  <c r="W671" i="5"/>
  <c r="X670" i="5"/>
  <c r="W670" i="5"/>
  <c r="X1442" i="5"/>
  <c r="W1442" i="5"/>
  <c r="X832" i="5"/>
  <c r="W832" i="5"/>
  <c r="X980" i="5"/>
  <c r="W980" i="5"/>
  <c r="X417" i="5"/>
  <c r="W417" i="5"/>
  <c r="X1317" i="5"/>
  <c r="W1317" i="5"/>
  <c r="X669" i="5"/>
  <c r="W669" i="5"/>
  <c r="X764" i="5"/>
  <c r="W764" i="5"/>
  <c r="X1214" i="5"/>
  <c r="W1214" i="5"/>
  <c r="X416" i="5"/>
  <c r="W416" i="5"/>
  <c r="X2081" i="5"/>
  <c r="W2081" i="5"/>
  <c r="X1367" i="5"/>
  <c r="W1367" i="5"/>
  <c r="X831" i="5"/>
  <c r="W831" i="5"/>
  <c r="X1527" i="5"/>
  <c r="W1527" i="5"/>
  <c r="X668" i="5"/>
  <c r="W668" i="5"/>
  <c r="X667" i="5"/>
  <c r="W667" i="5"/>
  <c r="X595" i="5"/>
  <c r="W595" i="5"/>
  <c r="X459" i="5"/>
  <c r="W459" i="5"/>
  <c r="X376" i="5"/>
  <c r="W376" i="5"/>
  <c r="X209" i="5"/>
  <c r="W209" i="5"/>
  <c r="X763" i="5"/>
  <c r="W763" i="5"/>
  <c r="X901" i="5"/>
  <c r="W901" i="5"/>
  <c r="X900" i="5"/>
  <c r="W900" i="5"/>
  <c r="X594" i="5"/>
  <c r="W594" i="5"/>
  <c r="X593" i="5"/>
  <c r="W593" i="5"/>
  <c r="X249" i="5"/>
  <c r="W249" i="5"/>
  <c r="X1855" i="5"/>
  <c r="W1855" i="5"/>
  <c r="X1652" i="5"/>
  <c r="W1652" i="5"/>
  <c r="X1577" i="5"/>
  <c r="W1577" i="5"/>
  <c r="X1576" i="5"/>
  <c r="W1576" i="5"/>
  <c r="X415" i="5"/>
  <c r="W415" i="5"/>
  <c r="X830" i="5"/>
  <c r="W830" i="5"/>
  <c r="X979" i="5"/>
  <c r="W979" i="5"/>
  <c r="X458" i="5"/>
  <c r="W458" i="5"/>
  <c r="X666" i="5"/>
  <c r="W666" i="5"/>
  <c r="X535" i="5"/>
  <c r="W535" i="5"/>
  <c r="X1064" i="5"/>
  <c r="W1064" i="5"/>
  <c r="X1486" i="5"/>
  <c r="W1486" i="5"/>
  <c r="X248" i="5"/>
  <c r="W248" i="5"/>
  <c r="X291" i="5"/>
  <c r="W291" i="5"/>
  <c r="X899" i="5"/>
  <c r="W899" i="5"/>
  <c r="X414" i="5"/>
  <c r="W414" i="5"/>
  <c r="X665" i="5"/>
  <c r="W665" i="5"/>
  <c r="X592" i="5"/>
  <c r="W592" i="5"/>
  <c r="X1137" i="5"/>
  <c r="W1137" i="5"/>
  <c r="X978" i="5"/>
  <c r="W978" i="5"/>
  <c r="X82" i="5"/>
  <c r="W82" i="5"/>
  <c r="X1063" i="5"/>
  <c r="W1063" i="5"/>
  <c r="X1955" i="5"/>
  <c r="W1955" i="5"/>
  <c r="X290" i="5"/>
  <c r="W290" i="5"/>
  <c r="X1759" i="5"/>
  <c r="W1759" i="5"/>
  <c r="X1651" i="5"/>
  <c r="W1651" i="5"/>
  <c r="X829" i="5"/>
  <c r="W829" i="5"/>
  <c r="X898" i="5"/>
  <c r="W898" i="5"/>
  <c r="X1136" i="5"/>
  <c r="W1136" i="5"/>
  <c r="X335" i="5"/>
  <c r="W335" i="5"/>
  <c r="X247" i="5"/>
  <c r="W247" i="5"/>
  <c r="X1316" i="5"/>
  <c r="W1316" i="5"/>
  <c r="X1315" i="5"/>
  <c r="W1315" i="5"/>
  <c r="X1607" i="5"/>
  <c r="W1607" i="5"/>
  <c r="X1526" i="5"/>
  <c r="W1526" i="5"/>
  <c r="X897" i="5"/>
  <c r="W897" i="5"/>
  <c r="X1441" i="5"/>
  <c r="W1441" i="5"/>
  <c r="X457" i="5"/>
  <c r="W457" i="5"/>
  <c r="X2080" i="5"/>
  <c r="W2080" i="5"/>
  <c r="X174" i="5"/>
  <c r="W174" i="5"/>
  <c r="X1271" i="5"/>
  <c r="W1271" i="5"/>
  <c r="X1062" i="5"/>
  <c r="W1062" i="5"/>
  <c r="X1061" i="5"/>
  <c r="W1061" i="5"/>
  <c r="X591" i="5"/>
  <c r="W591" i="5"/>
  <c r="X534" i="5"/>
  <c r="W534" i="5"/>
  <c r="X533" i="5"/>
  <c r="W533" i="5"/>
  <c r="X1706" i="5"/>
  <c r="W1706" i="5"/>
  <c r="X1440" i="5"/>
  <c r="W1440" i="5"/>
  <c r="X590" i="5"/>
  <c r="W590" i="5"/>
  <c r="X664" i="5"/>
  <c r="W664" i="5"/>
  <c r="X762" i="5"/>
  <c r="W762" i="5"/>
  <c r="X413" i="5"/>
  <c r="W413" i="5"/>
  <c r="X173" i="5"/>
  <c r="W173" i="5"/>
  <c r="X761" i="5"/>
  <c r="W761" i="5"/>
  <c r="X760" i="5"/>
  <c r="W760" i="5"/>
  <c r="X1366" i="5"/>
  <c r="W1366" i="5"/>
  <c r="X1060" i="5"/>
  <c r="W1060" i="5"/>
  <c r="X1059" i="5"/>
  <c r="W1059" i="5"/>
  <c r="X1525" i="5"/>
  <c r="W1525" i="5"/>
  <c r="X2040" i="5"/>
  <c r="W2040" i="5"/>
  <c r="X1575" i="5"/>
  <c r="W1575" i="5"/>
  <c r="X1758" i="5"/>
  <c r="W1758" i="5"/>
  <c r="X2039" i="5"/>
  <c r="W2039" i="5"/>
  <c r="X208" i="5"/>
  <c r="W208" i="5"/>
  <c r="X1439" i="5"/>
  <c r="W1439" i="5"/>
  <c r="X456" i="5"/>
  <c r="W456" i="5"/>
  <c r="X896" i="5"/>
  <c r="W896" i="5"/>
  <c r="X1524" i="5"/>
  <c r="W1524" i="5"/>
  <c r="X1365" i="5"/>
  <c r="W1365" i="5"/>
  <c r="X289" i="5"/>
  <c r="W289" i="5"/>
  <c r="X1213" i="5"/>
  <c r="W1213" i="5"/>
  <c r="X1364" i="5"/>
  <c r="W1364" i="5"/>
  <c r="X828" i="5"/>
  <c r="W828" i="5"/>
  <c r="X977" i="5"/>
  <c r="W977" i="5"/>
  <c r="X1523" i="5"/>
  <c r="W1523" i="5"/>
  <c r="X1135" i="5"/>
  <c r="W1135" i="5"/>
  <c r="X1705" i="5"/>
  <c r="W1705" i="5"/>
  <c r="X207" i="5"/>
  <c r="W207" i="5"/>
  <c r="X759" i="5"/>
  <c r="W759" i="5"/>
  <c r="X1134" i="5"/>
  <c r="W1134" i="5"/>
  <c r="X81" i="5"/>
  <c r="W81" i="5"/>
  <c r="X80" i="5"/>
  <c r="W80" i="5"/>
  <c r="X2111" i="5"/>
  <c r="W2111" i="5"/>
  <c r="X2110" i="5"/>
  <c r="W2110" i="5"/>
  <c r="X532" i="5"/>
  <c r="W532" i="5"/>
  <c r="X1270" i="5"/>
  <c r="W1270" i="5"/>
  <c r="X2038" i="5"/>
  <c r="W2038" i="5"/>
  <c r="X1058" i="5"/>
  <c r="W1058" i="5"/>
  <c r="X113" i="5"/>
  <c r="W113" i="5"/>
  <c r="X112" i="5"/>
  <c r="W112" i="5"/>
  <c r="X758" i="5"/>
  <c r="W758" i="5"/>
  <c r="X1522" i="5"/>
  <c r="W1522" i="5"/>
  <c r="X1438" i="5"/>
  <c r="W1438" i="5"/>
  <c r="X1704" i="5"/>
  <c r="W1704" i="5"/>
  <c r="X172" i="5"/>
  <c r="W172" i="5"/>
  <c r="X455" i="5"/>
  <c r="W455" i="5"/>
  <c r="X1521" i="5"/>
  <c r="W1521" i="5"/>
  <c r="X589" i="5"/>
  <c r="W589" i="5"/>
  <c r="X55" i="5"/>
  <c r="W55" i="5"/>
  <c r="X827" i="5"/>
  <c r="W827" i="5"/>
  <c r="X826" i="5"/>
  <c r="W826" i="5"/>
  <c r="X375" i="5"/>
  <c r="W375" i="5"/>
  <c r="X2165" i="5"/>
  <c r="W2165" i="5"/>
  <c r="X588" i="5"/>
  <c r="W588" i="5"/>
  <c r="X663" i="5"/>
  <c r="W663" i="5"/>
  <c r="X1703" i="5"/>
  <c r="W1703" i="5"/>
  <c r="X976" i="5"/>
  <c r="W976" i="5"/>
  <c r="X1991" i="5"/>
  <c r="W1991" i="5"/>
  <c r="X825" i="5"/>
  <c r="W825" i="5"/>
  <c r="X824" i="5"/>
  <c r="W824" i="5"/>
  <c r="X1057" i="5"/>
  <c r="W1057" i="5"/>
  <c r="X1056" i="5"/>
  <c r="W1056" i="5"/>
  <c r="X1854" i="5"/>
  <c r="W1854" i="5"/>
  <c r="X1363" i="5"/>
  <c r="W1363" i="5"/>
  <c r="X171" i="5"/>
  <c r="W171" i="5"/>
  <c r="X246" i="5"/>
  <c r="W246" i="5"/>
  <c r="X11" i="5"/>
  <c r="W11" i="5"/>
  <c r="X10" i="5"/>
  <c r="W10" i="5"/>
  <c r="X2079" i="5"/>
  <c r="W2079" i="5"/>
  <c r="X895" i="5"/>
  <c r="W895" i="5"/>
  <c r="X1269" i="5"/>
  <c r="W1269" i="5"/>
  <c r="X28" i="5"/>
  <c r="W28" i="5"/>
  <c r="X27" i="5"/>
  <c r="W27" i="5"/>
  <c r="X1853" i="5"/>
  <c r="W1853" i="5"/>
  <c r="X894" i="5"/>
  <c r="W894" i="5"/>
  <c r="X412" i="5"/>
  <c r="W412" i="5"/>
  <c r="X757" i="5"/>
  <c r="W757" i="5"/>
  <c r="X1055" i="5"/>
  <c r="W1055" i="5"/>
  <c r="X1054" i="5"/>
  <c r="W1054" i="5"/>
  <c r="X245" i="5"/>
  <c r="W245" i="5"/>
  <c r="X244" i="5"/>
  <c r="W244" i="5"/>
  <c r="X1757" i="5"/>
  <c r="W1757" i="5"/>
  <c r="X1268" i="5"/>
  <c r="W1268" i="5"/>
  <c r="X1852" i="5"/>
  <c r="W1852" i="5"/>
  <c r="X111" i="5"/>
  <c r="W111" i="5"/>
  <c r="X2143" i="5"/>
  <c r="W2143" i="5"/>
  <c r="X1314" i="5"/>
  <c r="W1314" i="5"/>
  <c r="X374" i="5"/>
  <c r="W374" i="5"/>
  <c r="X531" i="5"/>
  <c r="W531" i="5"/>
  <c r="X975" i="5"/>
  <c r="W975" i="5"/>
  <c r="X1133" i="5"/>
  <c r="W1133" i="5"/>
  <c r="X243" i="5"/>
  <c r="W243" i="5"/>
  <c r="X893" i="5"/>
  <c r="W893" i="5"/>
  <c r="X892" i="5"/>
  <c r="W892" i="5"/>
  <c r="X1702" i="5"/>
  <c r="W1702" i="5"/>
  <c r="X2037" i="5"/>
  <c r="W2037" i="5"/>
  <c r="X54" i="5"/>
  <c r="W54" i="5"/>
  <c r="X1053" i="5"/>
  <c r="W1053" i="5"/>
  <c r="X587" i="5"/>
  <c r="W587" i="5"/>
  <c r="X1437" i="5"/>
  <c r="W1437" i="5"/>
  <c r="X1436" i="5"/>
  <c r="W1436" i="5"/>
  <c r="X756" i="5"/>
  <c r="W756" i="5"/>
  <c r="X891" i="5"/>
  <c r="W891" i="5"/>
  <c r="X890" i="5"/>
  <c r="W890" i="5"/>
  <c r="X889" i="5"/>
  <c r="W889" i="5"/>
  <c r="X888" i="5"/>
  <c r="W888" i="5"/>
  <c r="X288" i="5"/>
  <c r="W288" i="5"/>
  <c r="X1267" i="5"/>
  <c r="W1267" i="5"/>
  <c r="X1212" i="5"/>
  <c r="W1212" i="5"/>
  <c r="X2142" i="5"/>
  <c r="W2142" i="5"/>
  <c r="X974" i="5"/>
  <c r="W974" i="5"/>
  <c r="X373" i="5"/>
  <c r="W373" i="5"/>
  <c r="X1266" i="5"/>
  <c r="W1266" i="5"/>
  <c r="X287" i="5"/>
  <c r="W287" i="5"/>
  <c r="X242" i="5"/>
  <c r="W242" i="5"/>
  <c r="X1954" i="5"/>
  <c r="W1954" i="5"/>
  <c r="X1132" i="5"/>
  <c r="W1132" i="5"/>
  <c r="X372" i="5"/>
  <c r="W372" i="5"/>
  <c r="X206" i="5"/>
  <c r="W206" i="5"/>
  <c r="X1052" i="5"/>
  <c r="W1052" i="5"/>
  <c r="X286" i="5"/>
  <c r="W286" i="5"/>
  <c r="X586" i="5"/>
  <c r="W586" i="5"/>
  <c r="X662" i="5"/>
  <c r="W662" i="5"/>
  <c r="X661" i="5"/>
  <c r="W661" i="5"/>
  <c r="X1435" i="5"/>
  <c r="W1435" i="5"/>
  <c r="X2141" i="5"/>
  <c r="W2141" i="5"/>
  <c r="X1606" i="5"/>
  <c r="W1606" i="5"/>
  <c r="X530" i="5"/>
  <c r="W530" i="5"/>
  <c r="X755" i="5"/>
  <c r="W755" i="5"/>
  <c r="X1953" i="5"/>
  <c r="W1953" i="5"/>
  <c r="X754" i="5"/>
  <c r="W754" i="5"/>
  <c r="X1051" i="5"/>
  <c r="W1051" i="5"/>
  <c r="X1701" i="5"/>
  <c r="W1701" i="5"/>
  <c r="X1520" i="5"/>
  <c r="W1520" i="5"/>
  <c r="X1265" i="5"/>
  <c r="W1265" i="5"/>
  <c r="X454" i="5"/>
  <c r="W454" i="5"/>
  <c r="X285" i="5"/>
  <c r="W285" i="5"/>
  <c r="X411" i="5"/>
  <c r="W411" i="5"/>
  <c r="X1952" i="5"/>
  <c r="W1952" i="5"/>
  <c r="X1799" i="5"/>
  <c r="W1799" i="5"/>
  <c r="X1434" i="5"/>
  <c r="W1434" i="5"/>
  <c r="X1907" i="5"/>
  <c r="W1907" i="5"/>
  <c r="X1951" i="5"/>
  <c r="W1951" i="5"/>
  <c r="X1313" i="5"/>
  <c r="W1313" i="5"/>
  <c r="X1990" i="5"/>
  <c r="W1990" i="5"/>
  <c r="X371" i="5"/>
  <c r="W371" i="5"/>
  <c r="X529" i="5"/>
  <c r="W529" i="5"/>
  <c r="X1264" i="5"/>
  <c r="W1264" i="5"/>
  <c r="X334" i="5"/>
  <c r="W334" i="5"/>
  <c r="X1312" i="5"/>
  <c r="W1312" i="5"/>
  <c r="X1362" i="5"/>
  <c r="W1362" i="5"/>
  <c r="X1361" i="5"/>
  <c r="W1361" i="5"/>
  <c r="X753" i="5"/>
  <c r="W753" i="5"/>
  <c r="X823" i="5"/>
  <c r="W823" i="5"/>
  <c r="X1050" i="5"/>
  <c r="W1050" i="5"/>
  <c r="X1049" i="5"/>
  <c r="W1049" i="5"/>
  <c r="X79" i="5"/>
  <c r="W79" i="5"/>
  <c r="X241" i="5"/>
  <c r="W241" i="5"/>
  <c r="X1906" i="5"/>
  <c r="W1906" i="5"/>
  <c r="X752" i="5"/>
  <c r="W752" i="5"/>
  <c r="X751" i="5"/>
  <c r="W751" i="5"/>
  <c r="X284" i="5"/>
  <c r="W284" i="5"/>
  <c r="X1756" i="5"/>
  <c r="W1756" i="5"/>
  <c r="X750" i="5"/>
  <c r="W750" i="5"/>
  <c r="X660" i="5"/>
  <c r="W660" i="5"/>
  <c r="X887" i="5"/>
  <c r="W887" i="5"/>
  <c r="X886" i="5"/>
  <c r="W886" i="5"/>
  <c r="X410" i="5"/>
  <c r="W410" i="5"/>
  <c r="X659" i="5"/>
  <c r="W659" i="5"/>
  <c r="X1798" i="5"/>
  <c r="W1798" i="5"/>
  <c r="X658" i="5"/>
  <c r="W658" i="5"/>
  <c r="X657" i="5"/>
  <c r="W657" i="5"/>
  <c r="X1989" i="5"/>
  <c r="W1989" i="5"/>
  <c r="X528" i="5"/>
  <c r="W528" i="5"/>
  <c r="X527" i="5"/>
  <c r="W527" i="5"/>
  <c r="X1360" i="5"/>
  <c r="W1360" i="5"/>
  <c r="X1359" i="5"/>
  <c r="W1359" i="5"/>
  <c r="X973" i="5"/>
  <c r="W973" i="5"/>
  <c r="X2197" i="5"/>
  <c r="W2197" i="5"/>
  <c r="X2196" i="5"/>
  <c r="W2196" i="5"/>
  <c r="X585" i="5"/>
  <c r="W585" i="5"/>
  <c r="X972" i="5"/>
  <c r="W972" i="5"/>
  <c r="X1574" i="5"/>
  <c r="W1574" i="5"/>
  <c r="X205" i="5"/>
  <c r="W205" i="5"/>
  <c r="X885" i="5"/>
  <c r="W885" i="5"/>
  <c r="X2109" i="5"/>
  <c r="W2109" i="5"/>
  <c r="X1131" i="5"/>
  <c r="W1131" i="5"/>
  <c r="X526" i="5"/>
  <c r="W526" i="5"/>
  <c r="X240" i="5"/>
  <c r="W240" i="5"/>
  <c r="X1358" i="5"/>
  <c r="W1358" i="5"/>
  <c r="X1048" i="5"/>
  <c r="W1048" i="5"/>
  <c r="X170" i="5"/>
  <c r="W170" i="5"/>
  <c r="X1130" i="5"/>
  <c r="W1130" i="5"/>
  <c r="X1650" i="5"/>
  <c r="W1650" i="5"/>
  <c r="X1047" i="5"/>
  <c r="W1047" i="5"/>
  <c r="X1263" i="5"/>
  <c r="W1263" i="5"/>
  <c r="X1700" i="5"/>
  <c r="W1700" i="5"/>
  <c r="X78" i="5"/>
  <c r="W78" i="5"/>
  <c r="X1211" i="5"/>
  <c r="W1211" i="5"/>
  <c r="X1210" i="5"/>
  <c r="W1210" i="5"/>
  <c r="X822" i="5"/>
  <c r="W822" i="5"/>
  <c r="X525" i="5"/>
  <c r="W525" i="5"/>
  <c r="X1262" i="5"/>
  <c r="W1262" i="5"/>
  <c r="X1905" i="5"/>
  <c r="W1905" i="5"/>
  <c r="X1904" i="5"/>
  <c r="W1904" i="5"/>
  <c r="X169" i="5"/>
  <c r="W169" i="5"/>
  <c r="X333" i="5"/>
  <c r="W333" i="5"/>
  <c r="X370" i="5"/>
  <c r="W370" i="5"/>
  <c r="X524" i="5"/>
  <c r="W524" i="5"/>
  <c r="X884" i="5"/>
  <c r="W884" i="5"/>
  <c r="X971" i="5"/>
  <c r="W971" i="5"/>
  <c r="X970" i="5"/>
  <c r="W970" i="5"/>
  <c r="X1046" i="5"/>
  <c r="W1046" i="5"/>
  <c r="X523" i="5"/>
  <c r="W523" i="5"/>
  <c r="X1519" i="5"/>
  <c r="W1519" i="5"/>
  <c r="X1518" i="5"/>
  <c r="W1518" i="5"/>
  <c r="X522" i="5"/>
  <c r="W522" i="5"/>
  <c r="X239" i="5"/>
  <c r="W239" i="5"/>
  <c r="X77" i="5"/>
  <c r="W77" i="5"/>
  <c r="X521" i="5"/>
  <c r="W521" i="5"/>
  <c r="X1903" i="5"/>
  <c r="W1903" i="5"/>
  <c r="X1755" i="5"/>
  <c r="W1755" i="5"/>
  <c r="X969" i="5"/>
  <c r="W969" i="5"/>
  <c r="X2140" i="5"/>
  <c r="W2140" i="5"/>
  <c r="X1699" i="5"/>
  <c r="W1699" i="5"/>
  <c r="X1129" i="5"/>
  <c r="W1129" i="5"/>
  <c r="X110" i="5"/>
  <c r="W110" i="5"/>
  <c r="X968" i="5"/>
  <c r="W968" i="5"/>
  <c r="X1902" i="5"/>
  <c r="W1902" i="5"/>
  <c r="X1901" i="5"/>
  <c r="W1901" i="5"/>
  <c r="X883" i="5"/>
  <c r="W883" i="5"/>
  <c r="X967" i="5"/>
  <c r="W967" i="5"/>
  <c r="X1950" i="5"/>
  <c r="W1950" i="5"/>
  <c r="X1949" i="5"/>
  <c r="W1949" i="5"/>
  <c r="X283" i="5"/>
  <c r="W283" i="5"/>
  <c r="X168" i="5"/>
  <c r="W168" i="5"/>
  <c r="X821" i="5"/>
  <c r="W821" i="5"/>
  <c r="X1649" i="5"/>
  <c r="W1649" i="5"/>
  <c r="X656" i="5"/>
  <c r="W656" i="5"/>
  <c r="X882" i="5"/>
  <c r="W882" i="5"/>
  <c r="X282" i="5"/>
  <c r="W282" i="5"/>
  <c r="X1517" i="5"/>
  <c r="W1517" i="5"/>
  <c r="X1573" i="5"/>
  <c r="W1573" i="5"/>
  <c r="X332" i="5"/>
  <c r="W332" i="5"/>
  <c r="X369" i="5"/>
  <c r="W369" i="5"/>
  <c r="X238" i="5"/>
  <c r="W238" i="5"/>
  <c r="X1988" i="5"/>
  <c r="W1988" i="5"/>
  <c r="X109" i="5"/>
  <c r="W109" i="5"/>
  <c r="X1045" i="5"/>
  <c r="W1045" i="5"/>
  <c r="X2078" i="5"/>
  <c r="W2078" i="5"/>
  <c r="X584" i="5"/>
  <c r="W584" i="5"/>
  <c r="X1044" i="5"/>
  <c r="W1044" i="5"/>
  <c r="X1209" i="5"/>
  <c r="W1209" i="5"/>
  <c r="X1948" i="5"/>
  <c r="W1948" i="5"/>
  <c r="X1947" i="5"/>
  <c r="W1947" i="5"/>
  <c r="X281" i="5"/>
  <c r="W281" i="5"/>
  <c r="X280" i="5"/>
  <c r="W280" i="5"/>
  <c r="X279" i="5"/>
  <c r="W279" i="5"/>
  <c r="X820" i="5"/>
  <c r="W820" i="5"/>
  <c r="X819" i="5"/>
  <c r="W819" i="5"/>
  <c r="X2036" i="5"/>
  <c r="W2036" i="5"/>
  <c r="X237" i="5"/>
  <c r="W237" i="5"/>
  <c r="X204" i="5"/>
  <c r="W204" i="5"/>
  <c r="X368" i="5"/>
  <c r="W368" i="5"/>
  <c r="X749" i="5"/>
  <c r="W749" i="5"/>
  <c r="X583" i="5"/>
  <c r="W583" i="5"/>
  <c r="X1311" i="5"/>
  <c r="W1311" i="5"/>
  <c r="X966" i="5"/>
  <c r="W966" i="5"/>
  <c r="X965" i="5"/>
  <c r="W965" i="5"/>
  <c r="X818" i="5"/>
  <c r="W818" i="5"/>
  <c r="X2035" i="5"/>
  <c r="W2035" i="5"/>
  <c r="X1797" i="5"/>
  <c r="W1797" i="5"/>
  <c r="X1987" i="5"/>
  <c r="W1987" i="5"/>
  <c r="X331" i="5"/>
  <c r="W331" i="5"/>
  <c r="X1261" i="5"/>
  <c r="W1261" i="5"/>
  <c r="X1128" i="5"/>
  <c r="W1128" i="5"/>
  <c r="X1208" i="5"/>
  <c r="W1208" i="5"/>
  <c r="X1207" i="5"/>
  <c r="W1207" i="5"/>
  <c r="X1433" i="5"/>
  <c r="W1433" i="5"/>
  <c r="X453" i="5"/>
  <c r="W453" i="5"/>
  <c r="X2077" i="5"/>
  <c r="W2077" i="5"/>
  <c r="X2076" i="5"/>
  <c r="W2076" i="5"/>
  <c r="X1260" i="5"/>
  <c r="W1260" i="5"/>
  <c r="X1796" i="5"/>
  <c r="W1796" i="5"/>
  <c r="X1432" i="5"/>
  <c r="W1432" i="5"/>
  <c r="X655" i="5"/>
  <c r="W655" i="5"/>
  <c r="X748" i="5"/>
  <c r="W748" i="5"/>
  <c r="X1485" i="5"/>
  <c r="W1485" i="5"/>
  <c r="X1043" i="5"/>
  <c r="W1043" i="5"/>
  <c r="X2034" i="5"/>
  <c r="W2034" i="5"/>
  <c r="X1516" i="5"/>
  <c r="W1516" i="5"/>
  <c r="X520" i="5"/>
  <c r="W520" i="5"/>
  <c r="X139" i="5"/>
  <c r="W139" i="5"/>
  <c r="X1206" i="5"/>
  <c r="W1206" i="5"/>
  <c r="X330" i="5"/>
  <c r="W330" i="5"/>
  <c r="X1259" i="5"/>
  <c r="W1259" i="5"/>
  <c r="X582" i="5"/>
  <c r="W582" i="5"/>
  <c r="X2108" i="5"/>
  <c r="W2108" i="5"/>
  <c r="X519" i="5"/>
  <c r="W519" i="5"/>
  <c r="X1648" i="5"/>
  <c r="W1648" i="5"/>
  <c r="X1258" i="5"/>
  <c r="W1258" i="5"/>
  <c r="X1257" i="5"/>
  <c r="W1257" i="5"/>
  <c r="X167" i="5"/>
  <c r="W167" i="5"/>
  <c r="X1795" i="5"/>
  <c r="W1795" i="5"/>
  <c r="X581" i="5"/>
  <c r="W581" i="5"/>
  <c r="X1986" i="5"/>
  <c r="W1986" i="5"/>
  <c r="X203" i="5"/>
  <c r="W203" i="5"/>
  <c r="X1484" i="5"/>
  <c r="W1484" i="5"/>
  <c r="X518" i="5"/>
  <c r="W518" i="5"/>
  <c r="X1483" i="5"/>
  <c r="W1483" i="5"/>
  <c r="X964" i="5"/>
  <c r="W964" i="5"/>
  <c r="X747" i="5"/>
  <c r="W747" i="5"/>
  <c r="X1482" i="5"/>
  <c r="W1482" i="5"/>
  <c r="X1256" i="5"/>
  <c r="W1256" i="5"/>
  <c r="X1900" i="5"/>
  <c r="W1900" i="5"/>
  <c r="X409" i="5"/>
  <c r="W409" i="5"/>
  <c r="X108" i="5"/>
  <c r="W108" i="5"/>
  <c r="X367" i="5"/>
  <c r="W367" i="5"/>
  <c r="X517" i="5"/>
  <c r="W517" i="5"/>
  <c r="X138" i="5"/>
  <c r="W138" i="5"/>
  <c r="X137" i="5"/>
  <c r="W137" i="5"/>
  <c r="X516" i="5"/>
  <c r="W516" i="5"/>
  <c r="X580" i="5"/>
  <c r="W580" i="5"/>
  <c r="X579" i="5"/>
  <c r="W579" i="5"/>
  <c r="X366" i="5"/>
  <c r="W366" i="5"/>
  <c r="X1042" i="5"/>
  <c r="W1042" i="5"/>
  <c r="X329" i="5"/>
  <c r="W329" i="5"/>
  <c r="X746" i="5"/>
  <c r="W746" i="5"/>
  <c r="X365" i="5"/>
  <c r="W365" i="5"/>
  <c r="X1205" i="5"/>
  <c r="W1205" i="5"/>
  <c r="X2164" i="5"/>
  <c r="W2164" i="5"/>
  <c r="X236" i="5"/>
  <c r="W236" i="5"/>
  <c r="X1794" i="5"/>
  <c r="W1794" i="5"/>
  <c r="X1204" i="5"/>
  <c r="W1204" i="5"/>
  <c r="X1698" i="5"/>
  <c r="W1698" i="5"/>
  <c r="X1754" i="5"/>
  <c r="W1754" i="5"/>
  <c r="X817" i="5"/>
  <c r="W817" i="5"/>
  <c r="X166" i="5"/>
  <c r="W166" i="5"/>
  <c r="X165" i="5"/>
  <c r="W165" i="5"/>
  <c r="X76" i="5"/>
  <c r="W76" i="5"/>
  <c r="X963" i="5"/>
  <c r="W963" i="5"/>
  <c r="X364" i="5"/>
  <c r="W364" i="5"/>
  <c r="X1041" i="5"/>
  <c r="W1041" i="5"/>
  <c r="X881" i="5"/>
  <c r="W881" i="5"/>
  <c r="X880" i="5"/>
  <c r="W880" i="5"/>
  <c r="X654" i="5"/>
  <c r="W654" i="5"/>
  <c r="X1481" i="5"/>
  <c r="W1481" i="5"/>
  <c r="X1480" i="5"/>
  <c r="W1480" i="5"/>
  <c r="X515" i="5"/>
  <c r="W515" i="5"/>
  <c r="X816" i="5"/>
  <c r="W816" i="5"/>
  <c r="X1255" i="5"/>
  <c r="W1255" i="5"/>
  <c r="X1899" i="5"/>
  <c r="W1899" i="5"/>
  <c r="X1898" i="5"/>
  <c r="W1898" i="5"/>
  <c r="X1946" i="5"/>
  <c r="W1946" i="5"/>
  <c r="X962" i="5"/>
  <c r="W962" i="5"/>
  <c r="X1310" i="5"/>
  <c r="W1310" i="5"/>
  <c r="X26" i="5"/>
  <c r="W26" i="5"/>
  <c r="X44" i="5"/>
  <c r="W44" i="5"/>
  <c r="X514" i="5"/>
  <c r="W514" i="5"/>
  <c r="X235" i="5"/>
  <c r="W235" i="5"/>
  <c r="X1431" i="5"/>
  <c r="W1431" i="5"/>
  <c r="X1203" i="5"/>
  <c r="W1203" i="5"/>
  <c r="X1040" i="5"/>
  <c r="W1040" i="5"/>
  <c r="X1572" i="5"/>
  <c r="W1572" i="5"/>
  <c r="X1039" i="5"/>
  <c r="W1039" i="5"/>
  <c r="X2107" i="5"/>
  <c r="W2107" i="5"/>
  <c r="X578" i="5"/>
  <c r="W578" i="5"/>
  <c r="X815" i="5"/>
  <c r="W815" i="5"/>
  <c r="X1127" i="5"/>
  <c r="W1127" i="5"/>
  <c r="X879" i="5"/>
  <c r="W879" i="5"/>
  <c r="X745" i="5"/>
  <c r="W745" i="5"/>
  <c r="X1793" i="5"/>
  <c r="W1793" i="5"/>
  <c r="X1202" i="5"/>
  <c r="W1202" i="5"/>
  <c r="X2075" i="5"/>
  <c r="W2075" i="5"/>
  <c r="X577" i="5"/>
  <c r="W577" i="5"/>
  <c r="X961" i="5"/>
  <c r="W961" i="5"/>
  <c r="X1038" i="5"/>
  <c r="W1038" i="5"/>
  <c r="X814" i="5"/>
  <c r="W814" i="5"/>
  <c r="X1357" i="5"/>
  <c r="W1357" i="5"/>
  <c r="X2033" i="5"/>
  <c r="W2033" i="5"/>
  <c r="X1356" i="5"/>
  <c r="W1356" i="5"/>
  <c r="X408" i="5"/>
  <c r="W408" i="5"/>
  <c r="X1355" i="5"/>
  <c r="W1355" i="5"/>
  <c r="X1201" i="5"/>
  <c r="W1201" i="5"/>
  <c r="X1200" i="5"/>
  <c r="W1200" i="5"/>
  <c r="X278" i="5"/>
  <c r="W278" i="5"/>
  <c r="X2032" i="5"/>
  <c r="W2032" i="5"/>
  <c r="X513" i="5"/>
  <c r="W513" i="5"/>
  <c r="X1254" i="5"/>
  <c r="W1254" i="5"/>
  <c r="X328" i="5"/>
  <c r="W328" i="5"/>
  <c r="X1037" i="5"/>
  <c r="W1037" i="5"/>
  <c r="X407" i="5"/>
  <c r="W407" i="5"/>
  <c r="X406" i="5"/>
  <c r="W406" i="5"/>
  <c r="X878" i="5"/>
  <c r="W878" i="5"/>
  <c r="X1199" i="5"/>
  <c r="W1199" i="5"/>
  <c r="X2195" i="5"/>
  <c r="W2195" i="5"/>
  <c r="X1792" i="5"/>
  <c r="W1792" i="5"/>
  <c r="X1126" i="5"/>
  <c r="W1126" i="5"/>
  <c r="X2031" i="5"/>
  <c r="W2031" i="5"/>
  <c r="X1125" i="5"/>
  <c r="W1125" i="5"/>
  <c r="X1430" i="5"/>
  <c r="W1430" i="5"/>
  <c r="X744" i="5"/>
  <c r="W744" i="5"/>
  <c r="X202" i="5"/>
  <c r="W202" i="5"/>
  <c r="X960" i="5"/>
  <c r="W960" i="5"/>
  <c r="X512" i="5"/>
  <c r="W512" i="5"/>
  <c r="X1429" i="5"/>
  <c r="W1429" i="5"/>
  <c r="X1253" i="5"/>
  <c r="W1253" i="5"/>
  <c r="X813" i="5"/>
  <c r="W813" i="5"/>
  <c r="X1428" i="5"/>
  <c r="W1428" i="5"/>
  <c r="X1036" i="5"/>
  <c r="W1036" i="5"/>
  <c r="X959" i="5"/>
  <c r="W959" i="5"/>
  <c r="X1124" i="5"/>
  <c r="W1124" i="5"/>
  <c r="X1647" i="5"/>
  <c r="W1647" i="5"/>
  <c r="X1354" i="5"/>
  <c r="W1354" i="5"/>
  <c r="X1945" i="5"/>
  <c r="W1945" i="5"/>
  <c r="X1198" i="5"/>
  <c r="W1198" i="5"/>
  <c r="X1035" i="5"/>
  <c r="W1035" i="5"/>
  <c r="X2074" i="5"/>
  <c r="W2074" i="5"/>
  <c r="X1353" i="5"/>
  <c r="W1353" i="5"/>
  <c r="X1352" i="5"/>
  <c r="W1352" i="5"/>
  <c r="X1123" i="5"/>
  <c r="W1123" i="5"/>
  <c r="X1697" i="5"/>
  <c r="W1697" i="5"/>
  <c r="X1309" i="5"/>
  <c r="W1309" i="5"/>
  <c r="X363" i="5"/>
  <c r="W363" i="5"/>
  <c r="X405" i="5"/>
  <c r="W405" i="5"/>
  <c r="X812" i="5"/>
  <c r="W812" i="5"/>
  <c r="X811" i="5"/>
  <c r="W811" i="5"/>
  <c r="X2213" i="5"/>
  <c r="W2213" i="5"/>
  <c r="X452" i="5"/>
  <c r="W452" i="5"/>
  <c r="X810" i="5"/>
  <c r="W810" i="5"/>
  <c r="X2163" i="5"/>
  <c r="W2163" i="5"/>
  <c r="X1427" i="5"/>
  <c r="W1427" i="5"/>
  <c r="X1426" i="5"/>
  <c r="W1426" i="5"/>
  <c r="X1515" i="5"/>
  <c r="W1515" i="5"/>
  <c r="X1753" i="5"/>
  <c r="W1753" i="5"/>
  <c r="X1571" i="5"/>
  <c r="W1571" i="5"/>
  <c r="X327" i="5"/>
  <c r="W327" i="5"/>
  <c r="X107" i="5"/>
  <c r="W107" i="5"/>
  <c r="X809" i="5"/>
  <c r="W809" i="5"/>
  <c r="X743" i="5"/>
  <c r="W743" i="5"/>
  <c r="X2206" i="5"/>
  <c r="W2206" i="5"/>
  <c r="X2162" i="5"/>
  <c r="W2162" i="5"/>
  <c r="X1034" i="5"/>
  <c r="W1034" i="5"/>
  <c r="X1252" i="5"/>
  <c r="W1252" i="5"/>
  <c r="X1944" i="5"/>
  <c r="W1944" i="5"/>
  <c r="X1479" i="5"/>
  <c r="W1479" i="5"/>
  <c r="X1478" i="5"/>
  <c r="W1478" i="5"/>
  <c r="X808" i="5"/>
  <c r="W808" i="5"/>
  <c r="X404" i="5"/>
  <c r="W404" i="5"/>
  <c r="X807" i="5"/>
  <c r="W807" i="5"/>
  <c r="X1351" i="5"/>
  <c r="W1351" i="5"/>
  <c r="X1477" i="5"/>
  <c r="W1477" i="5"/>
  <c r="X164" i="5"/>
  <c r="W164" i="5"/>
  <c r="X1605" i="5"/>
  <c r="W1605" i="5"/>
  <c r="X1476" i="5"/>
  <c r="W1476" i="5"/>
  <c r="X806" i="5"/>
  <c r="W806" i="5"/>
  <c r="X1897" i="5"/>
  <c r="W1897" i="5"/>
  <c r="X1896" i="5"/>
  <c r="W1896" i="5"/>
  <c r="X653" i="5"/>
  <c r="W653" i="5"/>
  <c r="X958" i="5"/>
  <c r="W958" i="5"/>
  <c r="X1851" i="5"/>
  <c r="W1851" i="5"/>
  <c r="X877" i="5"/>
  <c r="W877" i="5"/>
  <c r="X1850" i="5"/>
  <c r="W1850" i="5"/>
  <c r="X742" i="5"/>
  <c r="W742" i="5"/>
  <c r="X741" i="5"/>
  <c r="W741" i="5"/>
  <c r="X740" i="5"/>
  <c r="W740" i="5"/>
  <c r="X1570" i="5"/>
  <c r="W1570" i="5"/>
  <c r="X652" i="5"/>
  <c r="W652" i="5"/>
  <c r="X75" i="5"/>
  <c r="W75" i="5"/>
  <c r="X739" i="5"/>
  <c r="W739" i="5"/>
  <c r="X1985" i="5"/>
  <c r="W1985" i="5"/>
  <c r="X651" i="5"/>
  <c r="W651" i="5"/>
  <c r="X957" i="5"/>
  <c r="W957" i="5"/>
  <c r="X1943" i="5"/>
  <c r="W1943" i="5"/>
  <c r="X805" i="5"/>
  <c r="W805" i="5"/>
  <c r="X511" i="5"/>
  <c r="W511" i="5"/>
  <c r="X1895" i="5"/>
  <c r="W1895" i="5"/>
  <c r="X956" i="5"/>
  <c r="W956" i="5"/>
  <c r="X955" i="5"/>
  <c r="W955" i="5"/>
  <c r="X1033" i="5"/>
  <c r="W1033" i="5"/>
  <c r="X1604" i="5"/>
  <c r="W1604" i="5"/>
  <c r="X1752" i="5"/>
  <c r="W1752" i="5"/>
  <c r="X2030" i="5"/>
  <c r="W2030" i="5"/>
  <c r="X2161" i="5"/>
  <c r="W2161" i="5"/>
  <c r="X2160" i="5"/>
  <c r="W2160" i="5"/>
  <c r="X1751" i="5"/>
  <c r="W1751" i="5"/>
  <c r="X1350" i="5"/>
  <c r="W1350" i="5"/>
  <c r="X1942" i="5"/>
  <c r="W1942" i="5"/>
  <c r="X1514" i="5"/>
  <c r="W1514" i="5"/>
  <c r="X738" i="5"/>
  <c r="W738" i="5"/>
  <c r="X1646" i="5"/>
  <c r="W1646" i="5"/>
  <c r="X1197" i="5"/>
  <c r="W1197" i="5"/>
  <c r="X876" i="5"/>
  <c r="W876" i="5"/>
  <c r="X1425" i="5"/>
  <c r="W1425" i="5"/>
  <c r="X1424" i="5"/>
  <c r="W1424" i="5"/>
  <c r="X1308" i="5"/>
  <c r="W1308" i="5"/>
  <c r="X1475" i="5"/>
  <c r="W1475" i="5"/>
  <c r="X136" i="5"/>
  <c r="W136" i="5"/>
  <c r="X576" i="5"/>
  <c r="W576" i="5"/>
  <c r="X1849" i="5"/>
  <c r="W1849" i="5"/>
  <c r="X1848" i="5"/>
  <c r="W1848" i="5"/>
  <c r="X1423" i="5"/>
  <c r="W1423" i="5"/>
  <c r="X510" i="5"/>
  <c r="W510" i="5"/>
  <c r="X650" i="5"/>
  <c r="W650" i="5"/>
  <c r="X1422" i="5"/>
  <c r="W1422" i="5"/>
  <c r="X1032" i="5"/>
  <c r="W1032" i="5"/>
  <c r="X2029" i="5"/>
  <c r="W2029" i="5"/>
  <c r="X1569" i="5"/>
  <c r="W1569" i="5"/>
  <c r="X1791" i="5"/>
  <c r="W1791" i="5"/>
  <c r="X2073" i="5"/>
  <c r="W2073" i="5"/>
  <c r="X2072" i="5"/>
  <c r="W2072" i="5"/>
  <c r="X1645" i="5"/>
  <c r="W1645" i="5"/>
  <c r="X1349" i="5"/>
  <c r="W1349" i="5"/>
  <c r="X2139" i="5"/>
  <c r="W2139" i="5"/>
  <c r="X737" i="5"/>
  <c r="W737" i="5"/>
  <c r="X451" i="5"/>
  <c r="W451" i="5"/>
  <c r="X1984" i="5"/>
  <c r="W1984" i="5"/>
  <c r="X1790" i="5"/>
  <c r="W1790" i="5"/>
  <c r="X736" i="5"/>
  <c r="W736" i="5"/>
  <c r="X1307" i="5"/>
  <c r="W1307" i="5"/>
  <c r="X1644" i="5"/>
  <c r="W1644" i="5"/>
  <c r="X403" i="5"/>
  <c r="W403" i="5"/>
  <c r="X804" i="5"/>
  <c r="W804" i="5"/>
  <c r="X1643" i="5"/>
  <c r="W1643" i="5"/>
  <c r="X2028" i="5"/>
  <c r="W2028" i="5"/>
  <c r="X1421" i="5"/>
  <c r="W1421" i="5"/>
  <c r="X2106" i="5"/>
  <c r="W2106" i="5"/>
  <c r="X2138" i="5"/>
  <c r="W2138" i="5"/>
  <c r="X735" i="5"/>
  <c r="W735" i="5"/>
  <c r="X803" i="5"/>
  <c r="W803" i="5"/>
  <c r="X1750" i="5"/>
  <c r="W1750" i="5"/>
  <c r="X1847" i="5"/>
  <c r="W1847" i="5"/>
  <c r="X1196" i="5"/>
  <c r="W1196" i="5"/>
  <c r="X1603" i="5"/>
  <c r="W1603" i="5"/>
  <c r="X875" i="5"/>
  <c r="W875" i="5"/>
  <c r="X874" i="5"/>
  <c r="W874" i="5"/>
  <c r="X873" i="5"/>
  <c r="W873" i="5"/>
  <c r="X450" i="5"/>
  <c r="W450" i="5"/>
  <c r="X1983" i="5"/>
  <c r="W1983" i="5"/>
  <c r="X2105" i="5"/>
  <c r="W2105" i="5"/>
  <c r="X1513" i="5"/>
  <c r="W1513" i="5"/>
  <c r="X1894" i="5"/>
  <c r="W1894" i="5"/>
  <c r="X1195" i="5"/>
  <c r="W1195" i="5"/>
  <c r="X2104" i="5"/>
  <c r="W2104" i="5"/>
  <c r="X25" i="5"/>
  <c r="W25" i="5"/>
  <c r="X1982" i="5"/>
  <c r="W1982" i="5"/>
  <c r="X1512" i="5"/>
  <c r="W1512" i="5"/>
  <c r="X1348" i="5"/>
  <c r="W1348" i="5"/>
  <c r="X1642" i="5"/>
  <c r="W1642" i="5"/>
  <c r="X1511" i="5"/>
  <c r="W1511" i="5"/>
  <c r="X1510" i="5"/>
  <c r="W1510" i="5"/>
  <c r="X1474" i="5"/>
  <c r="W1474" i="5"/>
  <c r="X2219" i="5"/>
  <c r="W2219" i="5"/>
  <c r="X2218" i="5"/>
  <c r="W2218" i="5"/>
  <c r="X1251" i="5"/>
  <c r="W1251" i="5"/>
  <c r="X2071" i="5"/>
  <c r="W2071" i="5"/>
  <c r="X872" i="5"/>
  <c r="W872" i="5"/>
  <c r="X1473" i="5"/>
  <c r="W1473" i="5"/>
  <c r="X1031" i="5"/>
  <c r="W1031" i="5"/>
  <c r="X1641" i="5"/>
  <c r="W1641" i="5"/>
  <c r="X2137" i="5"/>
  <c r="W2137" i="5"/>
  <c r="X802" i="5"/>
  <c r="W802" i="5"/>
  <c r="X649" i="5"/>
  <c r="W649" i="5"/>
  <c r="X1030" i="5"/>
  <c r="W1030" i="5"/>
  <c r="X2070" i="5"/>
  <c r="W2070" i="5"/>
  <c r="X2027" i="5"/>
  <c r="W2027" i="5"/>
  <c r="X1893" i="5"/>
  <c r="W1893" i="5"/>
  <c r="X1509" i="5"/>
  <c r="W1509" i="5"/>
  <c r="X954" i="5"/>
  <c r="W954" i="5"/>
  <c r="X1029" i="5"/>
  <c r="W1029" i="5"/>
  <c r="X734" i="5"/>
  <c r="W734" i="5"/>
  <c r="X648" i="5"/>
  <c r="W648" i="5"/>
  <c r="X1749" i="5"/>
  <c r="W1749" i="5"/>
  <c r="X1347" i="5"/>
  <c r="W1347" i="5"/>
  <c r="X1346" i="5"/>
  <c r="W1346" i="5"/>
  <c r="X2026" i="5"/>
  <c r="W2026" i="5"/>
  <c r="X1892" i="5"/>
  <c r="W1892" i="5"/>
  <c r="X801" i="5"/>
  <c r="W801" i="5"/>
  <c r="X1602" i="5"/>
  <c r="W1602" i="5"/>
  <c r="X647" i="5"/>
  <c r="W647" i="5"/>
  <c r="X646" i="5"/>
  <c r="W646" i="5"/>
  <c r="X43" i="5"/>
  <c r="W43" i="5"/>
  <c r="X953" i="5"/>
  <c r="W953" i="5"/>
  <c r="X2136" i="5"/>
  <c r="W2136" i="5"/>
  <c r="X2135" i="5"/>
  <c r="W2135" i="5"/>
  <c r="X1748" i="5"/>
  <c r="W1748" i="5"/>
  <c r="X1508" i="5"/>
  <c r="W1508" i="5"/>
  <c r="X1941" i="5"/>
  <c r="W1941" i="5"/>
  <c r="X1250" i="5"/>
  <c r="W1250" i="5"/>
  <c r="X1789" i="5"/>
  <c r="W1789" i="5"/>
  <c r="X1568" i="5"/>
  <c r="W1568" i="5"/>
  <c r="X277" i="5"/>
  <c r="W277" i="5"/>
  <c r="X276" i="5"/>
  <c r="W276" i="5"/>
  <c r="X402" i="5"/>
  <c r="W402" i="5"/>
  <c r="X645" i="5"/>
  <c r="W645" i="5"/>
  <c r="X326" i="5"/>
  <c r="W326" i="5"/>
  <c r="X2025" i="5"/>
  <c r="W2025" i="5"/>
  <c r="X952" i="5"/>
  <c r="W952" i="5"/>
  <c r="X575" i="5"/>
  <c r="W575" i="5"/>
  <c r="X1846" i="5"/>
  <c r="W1846" i="5"/>
  <c r="X1788" i="5"/>
  <c r="W1788" i="5"/>
  <c r="X1507" i="5"/>
  <c r="W1507" i="5"/>
  <c r="X1122" i="5"/>
  <c r="W1122" i="5"/>
  <c r="X1940" i="5"/>
  <c r="W1940" i="5"/>
  <c r="X1747" i="5"/>
  <c r="W1747" i="5"/>
  <c r="X1640" i="5"/>
  <c r="W1640" i="5"/>
  <c r="X1639" i="5"/>
  <c r="W1639" i="5"/>
  <c r="X1638" i="5"/>
  <c r="W1638" i="5"/>
  <c r="X1249" i="5"/>
  <c r="W1249" i="5"/>
  <c r="X2103" i="5"/>
  <c r="W2103" i="5"/>
  <c r="X1696" i="5"/>
  <c r="W1696" i="5"/>
  <c r="X1981" i="5"/>
  <c r="W1981" i="5"/>
  <c r="X1746" i="5"/>
  <c r="W1746" i="5"/>
  <c r="X1891" i="5"/>
  <c r="W1891" i="5"/>
  <c r="X1567" i="5"/>
  <c r="W1567" i="5"/>
  <c r="X2024" i="5"/>
  <c r="W2024" i="5"/>
  <c r="X1845" i="5"/>
  <c r="W1845" i="5"/>
  <c r="X1844" i="5"/>
  <c r="W1844" i="5"/>
  <c r="X1843" i="5"/>
  <c r="W1843" i="5"/>
  <c r="X1842" i="5"/>
  <c r="W1842" i="5"/>
  <c r="X2194" i="5"/>
  <c r="W2194" i="5"/>
  <c r="X2193" i="5"/>
  <c r="W2193" i="5"/>
  <c r="X1194" i="5"/>
  <c r="W1194" i="5"/>
  <c r="X362" i="5"/>
  <c r="W362" i="5"/>
  <c r="X1890" i="5"/>
  <c r="W1890" i="5"/>
  <c r="X2221" i="5"/>
  <c r="W2221" i="5"/>
  <c r="X871" i="5"/>
  <c r="W871" i="5"/>
  <c r="X1566" i="5"/>
  <c r="W1566" i="5"/>
  <c r="X53" i="5"/>
  <c r="W53" i="5"/>
  <c r="X509" i="5"/>
  <c r="W509" i="5"/>
  <c r="X1248" i="5"/>
  <c r="W1248" i="5"/>
  <c r="X2159" i="5"/>
  <c r="W2159" i="5"/>
  <c r="X644" i="5"/>
  <c r="W644" i="5"/>
  <c r="X643" i="5"/>
  <c r="W643" i="5"/>
  <c r="X42" i="5"/>
  <c r="W42" i="5"/>
  <c r="X1420" i="5"/>
  <c r="W1420" i="5"/>
  <c r="X1980" i="5"/>
  <c r="W1980" i="5"/>
  <c r="X1745" i="5"/>
  <c r="W1745" i="5"/>
  <c r="X1306" i="5"/>
  <c r="W1306" i="5"/>
  <c r="X1744" i="5"/>
  <c r="W1744" i="5"/>
  <c r="X2134" i="5"/>
  <c r="W2134" i="5"/>
  <c r="X2023" i="5"/>
  <c r="W2023" i="5"/>
  <c r="X135" i="5"/>
  <c r="W135" i="5"/>
  <c r="X2133" i="5"/>
  <c r="W2133" i="5"/>
  <c r="X642" i="5"/>
  <c r="W642" i="5"/>
  <c r="X1637" i="5"/>
  <c r="W1637" i="5"/>
  <c r="X1419" i="5"/>
  <c r="W1419" i="5"/>
  <c r="X401" i="5"/>
  <c r="W401" i="5"/>
  <c r="X951" i="5"/>
  <c r="W951" i="5"/>
  <c r="X1743" i="5"/>
  <c r="W1743" i="5"/>
  <c r="X733" i="5"/>
  <c r="W733" i="5"/>
  <c r="X1472" i="5"/>
  <c r="W1472" i="5"/>
  <c r="X870" i="5"/>
  <c r="W870" i="5"/>
  <c r="X1305" i="5"/>
  <c r="W1305" i="5"/>
  <c r="X1418" i="5"/>
  <c r="W1418" i="5"/>
  <c r="X2102" i="5"/>
  <c r="W2102" i="5"/>
  <c r="X641" i="5"/>
  <c r="W641" i="5"/>
  <c r="X508" i="5"/>
  <c r="W508" i="5"/>
  <c r="X2101" i="5"/>
  <c r="W2101" i="5"/>
  <c r="X1506" i="5"/>
  <c r="W1506" i="5"/>
  <c r="X1505" i="5"/>
  <c r="W1505" i="5"/>
  <c r="X1695" i="5"/>
  <c r="W1695" i="5"/>
  <c r="X234" i="5"/>
  <c r="W234" i="5"/>
  <c r="X1193" i="5"/>
  <c r="W1193" i="5"/>
  <c r="X507" i="5"/>
  <c r="W507" i="5"/>
  <c r="X1028" i="5"/>
  <c r="W1028" i="5"/>
  <c r="X1304" i="5"/>
  <c r="W1304" i="5"/>
  <c r="X1565" i="5"/>
  <c r="W1565" i="5"/>
  <c r="X732" i="5"/>
  <c r="W732" i="5"/>
  <c r="X731" i="5"/>
  <c r="W731" i="5"/>
  <c r="X1889" i="5"/>
  <c r="W1889" i="5"/>
  <c r="X869" i="5"/>
  <c r="W869" i="5"/>
  <c r="X1787" i="5"/>
  <c r="W1787" i="5"/>
  <c r="X1694" i="5"/>
  <c r="W1694" i="5"/>
  <c r="X1939" i="5"/>
  <c r="W1939" i="5"/>
  <c r="X1027" i="5"/>
  <c r="W1027" i="5"/>
  <c r="X1841" i="5"/>
  <c r="W1841" i="5"/>
  <c r="X800" i="5"/>
  <c r="W800" i="5"/>
  <c r="X1742" i="5"/>
  <c r="W1742" i="5"/>
  <c r="X1938" i="5"/>
  <c r="W1938" i="5"/>
  <c r="X1693" i="5"/>
  <c r="W1693" i="5"/>
  <c r="X506" i="5"/>
  <c r="W506" i="5"/>
  <c r="X1121" i="5"/>
  <c r="W1121" i="5"/>
  <c r="X730" i="5"/>
  <c r="W730" i="5"/>
  <c r="X640" i="5"/>
  <c r="W640" i="5"/>
  <c r="X1840" i="5"/>
  <c r="W1840" i="5"/>
  <c r="X1786" i="5"/>
  <c r="W1786" i="5"/>
  <c r="X729" i="5"/>
  <c r="W729" i="5"/>
  <c r="X2069" i="5"/>
  <c r="W2069" i="5"/>
  <c r="X639" i="5"/>
  <c r="W639" i="5"/>
  <c r="X799" i="5"/>
  <c r="W799" i="5"/>
  <c r="X1192" i="5"/>
  <c r="W1192" i="5"/>
  <c r="X1504" i="5"/>
  <c r="W1504" i="5"/>
  <c r="X1692" i="5"/>
  <c r="W1692" i="5"/>
  <c r="X1979" i="5"/>
  <c r="W1979" i="5"/>
  <c r="X1978" i="5"/>
  <c r="W1978" i="5"/>
  <c r="X2022" i="5"/>
  <c r="W2022" i="5"/>
  <c r="X950" i="5"/>
  <c r="W950" i="5"/>
  <c r="X2068" i="5"/>
  <c r="W2068" i="5"/>
  <c r="X1417" i="5"/>
  <c r="W1417" i="5"/>
  <c r="X638" i="5"/>
  <c r="W638" i="5"/>
  <c r="X1888" i="5"/>
  <c r="W1888" i="5"/>
  <c r="X1741" i="5"/>
  <c r="W1741" i="5"/>
  <c r="X1740" i="5"/>
  <c r="W1740" i="5"/>
  <c r="X201" i="5"/>
  <c r="W201" i="5"/>
  <c r="X637" i="5"/>
  <c r="W637" i="5"/>
  <c r="X1503" i="5"/>
  <c r="W1503" i="5"/>
  <c r="X868" i="5"/>
  <c r="W868" i="5"/>
  <c r="X1416" i="5"/>
  <c r="W1416" i="5"/>
  <c r="X1191" i="5"/>
  <c r="W1191" i="5"/>
  <c r="X1120" i="5"/>
  <c r="W1120" i="5"/>
  <c r="X505" i="5"/>
  <c r="W505" i="5"/>
  <c r="X1190" i="5"/>
  <c r="W1190" i="5"/>
  <c r="X1303" i="5"/>
  <c r="W1303" i="5"/>
  <c r="X1636" i="5"/>
  <c r="W1636" i="5"/>
  <c r="X1345" i="5"/>
  <c r="W1345" i="5"/>
  <c r="X449" i="5"/>
  <c r="W449" i="5"/>
  <c r="X867" i="5"/>
  <c r="W867" i="5"/>
  <c r="X574" i="5"/>
  <c r="W574" i="5"/>
  <c r="X1785" i="5"/>
  <c r="W1785" i="5"/>
  <c r="X1839" i="5"/>
  <c r="W1839" i="5"/>
  <c r="X1838" i="5"/>
  <c r="W1838" i="5"/>
  <c r="X1977" i="5"/>
  <c r="W1977" i="5"/>
  <c r="X2132" i="5"/>
  <c r="W2132" i="5"/>
  <c r="X361" i="5"/>
  <c r="W361" i="5"/>
  <c r="X1502" i="5"/>
  <c r="W1502" i="5"/>
  <c r="X2100" i="5"/>
  <c r="W2100" i="5"/>
  <c r="X1837" i="5"/>
  <c r="W1837" i="5"/>
  <c r="X1836" i="5"/>
  <c r="W1836" i="5"/>
  <c r="X1601" i="5"/>
  <c r="W1601" i="5"/>
  <c r="X866" i="5"/>
  <c r="W866" i="5"/>
  <c r="X2021" i="5"/>
  <c r="W2021" i="5"/>
  <c r="X2131" i="5"/>
  <c r="W2131" i="5"/>
  <c r="X1835" i="5"/>
  <c r="W1835" i="5"/>
  <c r="X1026" i="5"/>
  <c r="W1026" i="5"/>
  <c r="X1025" i="5"/>
  <c r="W1025" i="5"/>
  <c r="X1564" i="5"/>
  <c r="W1564" i="5"/>
  <c r="X728" i="5"/>
  <c r="W728" i="5"/>
  <c r="X1691" i="5"/>
  <c r="W1691" i="5"/>
  <c r="X1189" i="5"/>
  <c r="W1189" i="5"/>
  <c r="X573" i="5"/>
  <c r="W573" i="5"/>
  <c r="X572" i="5"/>
  <c r="W572" i="5"/>
  <c r="X504" i="5"/>
  <c r="W504" i="5"/>
  <c r="X1600" i="5"/>
  <c r="W1600" i="5"/>
  <c r="X1690" i="5"/>
  <c r="W1690" i="5"/>
  <c r="X1834" i="5"/>
  <c r="W1834" i="5"/>
  <c r="X865" i="5"/>
  <c r="W865" i="5"/>
  <c r="X1119" i="5"/>
  <c r="W1119" i="5"/>
  <c r="X1188" i="5"/>
  <c r="W1188" i="5"/>
  <c r="X1187" i="5"/>
  <c r="W1187" i="5"/>
  <c r="X1024" i="5"/>
  <c r="W1024" i="5"/>
  <c r="X1833" i="5"/>
  <c r="W1833" i="5"/>
  <c r="X1415" i="5"/>
  <c r="W1415" i="5"/>
  <c r="X949" i="5"/>
  <c r="W949" i="5"/>
  <c r="X1784" i="5"/>
  <c r="W1784" i="5"/>
  <c r="X1118" i="5"/>
  <c r="W1118" i="5"/>
  <c r="X1832" i="5"/>
  <c r="W1832" i="5"/>
  <c r="X200" i="5"/>
  <c r="W200" i="5"/>
  <c r="X571" i="5"/>
  <c r="W571" i="5"/>
  <c r="X636" i="5"/>
  <c r="W636" i="5"/>
  <c r="X635" i="5"/>
  <c r="W635" i="5"/>
  <c r="X233" i="5"/>
  <c r="W233" i="5"/>
  <c r="X2099" i="5"/>
  <c r="W2099" i="5"/>
  <c r="X1887" i="5"/>
  <c r="W1887" i="5"/>
  <c r="X503" i="5"/>
  <c r="W503" i="5"/>
  <c r="X864" i="5"/>
  <c r="W864" i="5"/>
  <c r="X2212" i="5"/>
  <c r="W2212" i="5"/>
  <c r="X1023" i="5"/>
  <c r="W1023" i="5"/>
  <c r="X1344" i="5"/>
  <c r="W1344" i="5"/>
  <c r="X1976" i="5"/>
  <c r="W1976" i="5"/>
  <c r="X1563" i="5"/>
  <c r="W1563" i="5"/>
  <c r="X1471" i="5"/>
  <c r="W1471" i="5"/>
  <c r="X727" i="5"/>
  <c r="W727" i="5"/>
  <c r="X570" i="5"/>
  <c r="W570" i="5"/>
  <c r="X726" i="5"/>
  <c r="W726" i="5"/>
  <c r="X2020" i="5"/>
  <c r="W2020" i="5"/>
  <c r="X1247" i="5"/>
  <c r="W1247" i="5"/>
  <c r="X2211" i="5"/>
  <c r="W2211" i="5"/>
  <c r="X1414" i="5"/>
  <c r="W1414" i="5"/>
  <c r="X1562" i="5"/>
  <c r="W1562" i="5"/>
  <c r="X1975" i="5"/>
  <c r="W1975" i="5"/>
  <c r="X1974" i="5"/>
  <c r="W1974" i="5"/>
  <c r="X1561" i="5"/>
  <c r="W1561" i="5"/>
  <c r="X1246" i="5"/>
  <c r="W1246" i="5"/>
  <c r="X2158" i="5"/>
  <c r="W2158" i="5"/>
  <c r="X1186" i="5"/>
  <c r="W1186" i="5"/>
  <c r="X725" i="5"/>
  <c r="W725" i="5"/>
  <c r="X1501" i="5"/>
  <c r="W1501" i="5"/>
  <c r="X1302" i="5"/>
  <c r="W1302" i="5"/>
  <c r="X360" i="5"/>
  <c r="W360" i="5"/>
  <c r="X359" i="5"/>
  <c r="W359" i="5"/>
  <c r="X1245" i="5"/>
  <c r="W1245" i="5"/>
  <c r="X2098" i="5"/>
  <c r="W2098" i="5"/>
  <c r="X2097" i="5"/>
  <c r="W2097" i="5"/>
  <c r="X724" i="5"/>
  <c r="W724" i="5"/>
  <c r="X1301" i="5"/>
  <c r="W1301" i="5"/>
  <c r="X569" i="5"/>
  <c r="W569" i="5"/>
  <c r="X798" i="5"/>
  <c r="W798" i="5"/>
  <c r="X948" i="5"/>
  <c r="W948" i="5"/>
  <c r="X448" i="5"/>
  <c r="W448" i="5"/>
  <c r="X1185" i="5"/>
  <c r="W1185" i="5"/>
  <c r="X1184" i="5"/>
  <c r="W1184" i="5"/>
  <c r="X1022" i="5"/>
  <c r="W1022" i="5"/>
  <c r="X358" i="5"/>
  <c r="W358" i="5"/>
  <c r="X634" i="5"/>
  <c r="W634" i="5"/>
  <c r="X1413" i="5"/>
  <c r="W1413" i="5"/>
  <c r="X1412" i="5"/>
  <c r="W1412" i="5"/>
  <c r="X357" i="5"/>
  <c r="W357" i="5"/>
  <c r="X723" i="5"/>
  <c r="W723" i="5"/>
  <c r="X2096" i="5"/>
  <c r="W2096" i="5"/>
  <c r="X1599" i="5"/>
  <c r="W1599" i="5"/>
  <c r="X947" i="5"/>
  <c r="W947" i="5"/>
  <c r="X1598" i="5"/>
  <c r="W1598" i="5"/>
  <c r="X134" i="5"/>
  <c r="W134" i="5"/>
  <c r="X863" i="5"/>
  <c r="W863" i="5"/>
  <c r="X1244" i="5"/>
  <c r="W1244" i="5"/>
  <c r="X502" i="5"/>
  <c r="W502" i="5"/>
  <c r="X946" i="5"/>
  <c r="W946" i="5"/>
  <c r="X1300" i="5"/>
  <c r="W1300" i="5"/>
  <c r="X1343" i="5"/>
  <c r="W1343" i="5"/>
  <c r="X1411" i="5"/>
  <c r="W1411" i="5"/>
  <c r="X2019" i="5"/>
  <c r="W2019" i="5"/>
  <c r="X1500" i="5"/>
  <c r="W1500" i="5"/>
  <c r="X2067" i="5"/>
  <c r="W2067" i="5"/>
  <c r="X447" i="5"/>
  <c r="W447" i="5"/>
  <c r="X1937" i="5"/>
  <c r="W1937" i="5"/>
  <c r="X722" i="5"/>
  <c r="W722" i="5"/>
  <c r="X1021" i="5"/>
  <c r="W1021" i="5"/>
  <c r="X2217" i="5"/>
  <c r="W2217" i="5"/>
  <c r="X2066" i="5"/>
  <c r="W2066" i="5"/>
  <c r="X446" i="5"/>
  <c r="W446" i="5"/>
  <c r="X1117" i="5"/>
  <c r="W1117" i="5"/>
  <c r="X1342" i="5"/>
  <c r="W1342" i="5"/>
  <c r="X1183" i="5"/>
  <c r="W1183" i="5"/>
  <c r="X1936" i="5"/>
  <c r="W1936" i="5"/>
  <c r="X1341" i="5"/>
  <c r="W1341" i="5"/>
  <c r="X501" i="5"/>
  <c r="W501" i="5"/>
  <c r="X862" i="5"/>
  <c r="W862" i="5"/>
  <c r="X1410" i="5"/>
  <c r="W1410" i="5"/>
  <c r="X325" i="5"/>
  <c r="W325" i="5"/>
  <c r="X568" i="5"/>
  <c r="W568" i="5"/>
  <c r="X1689" i="5"/>
  <c r="W1689" i="5"/>
  <c r="X1886" i="5"/>
  <c r="W1886" i="5"/>
  <c r="X1560" i="5"/>
  <c r="W1560" i="5"/>
  <c r="X445" i="5"/>
  <c r="W445" i="5"/>
  <c r="X1182" i="5"/>
  <c r="W1182" i="5"/>
  <c r="X1688" i="5"/>
  <c r="W1688" i="5"/>
  <c r="X1831" i="5"/>
  <c r="W1831" i="5"/>
  <c r="X1783" i="5"/>
  <c r="W1783" i="5"/>
  <c r="X2065" i="5"/>
  <c r="W2065" i="5"/>
  <c r="X1885" i="5"/>
  <c r="W1885" i="5"/>
  <c r="X356" i="5"/>
  <c r="W356" i="5"/>
  <c r="X1470" i="5"/>
  <c r="W1470" i="5"/>
  <c r="X721" i="5"/>
  <c r="W721" i="5"/>
  <c r="X720" i="5"/>
  <c r="W720" i="5"/>
  <c r="X1020" i="5"/>
  <c r="W1020" i="5"/>
  <c r="X1973" i="5"/>
  <c r="W1973" i="5"/>
  <c r="X1635" i="5"/>
  <c r="W1635" i="5"/>
  <c r="X1559" i="5"/>
  <c r="W1559" i="5"/>
  <c r="X1884" i="5"/>
  <c r="W1884" i="5"/>
  <c r="X797" i="5"/>
  <c r="W797" i="5"/>
  <c r="X1469" i="5"/>
  <c r="W1469" i="5"/>
  <c r="X1243" i="5"/>
  <c r="W1243" i="5"/>
  <c r="X1242" i="5"/>
  <c r="W1242" i="5"/>
  <c r="X324" i="5"/>
  <c r="W324" i="5"/>
  <c r="X633" i="5"/>
  <c r="W633" i="5"/>
  <c r="X2130" i="5"/>
  <c r="W2130" i="5"/>
  <c r="X1558" i="5"/>
  <c r="W1558" i="5"/>
  <c r="X1557" i="5"/>
  <c r="W1557" i="5"/>
  <c r="X1830" i="5"/>
  <c r="W1830" i="5"/>
  <c r="X355" i="5"/>
  <c r="W355" i="5"/>
  <c r="X1409" i="5"/>
  <c r="W1409" i="5"/>
  <c r="X1116" i="5"/>
  <c r="W1116" i="5"/>
  <c r="X1829" i="5"/>
  <c r="W1829" i="5"/>
  <c r="X1181" i="5"/>
  <c r="W1181" i="5"/>
  <c r="X861" i="5"/>
  <c r="W861" i="5"/>
  <c r="X1687" i="5"/>
  <c r="W1687" i="5"/>
  <c r="X74" i="5"/>
  <c r="W74" i="5"/>
  <c r="X1299" i="5"/>
  <c r="W1299" i="5"/>
  <c r="X1935" i="5"/>
  <c r="W1935" i="5"/>
  <c r="X1597" i="5"/>
  <c r="W1597" i="5"/>
  <c r="X1298" i="5"/>
  <c r="W1298" i="5"/>
  <c r="X1556" i="5"/>
  <c r="W1556" i="5"/>
  <c r="X2095" i="5"/>
  <c r="W2095" i="5"/>
  <c r="X2094" i="5"/>
  <c r="W2094" i="5"/>
  <c r="X1468" i="5"/>
  <c r="W1468" i="5"/>
  <c r="X1972" i="5"/>
  <c r="W1972" i="5"/>
  <c r="X2018" i="5"/>
  <c r="W2018" i="5"/>
  <c r="X2064" i="5"/>
  <c r="W2064" i="5"/>
  <c r="X2063" i="5"/>
  <c r="W2063" i="5"/>
  <c r="X1555" i="5"/>
  <c r="W1555" i="5"/>
  <c r="X2093" i="5"/>
  <c r="W2093" i="5"/>
  <c r="X719" i="5"/>
  <c r="W719" i="5"/>
  <c r="X945" i="5"/>
  <c r="W945" i="5"/>
  <c r="X1408" i="5"/>
  <c r="W1408" i="5"/>
  <c r="X567" i="5"/>
  <c r="W567" i="5"/>
  <c r="X944" i="5"/>
  <c r="W944" i="5"/>
  <c r="X1407" i="5"/>
  <c r="W1407" i="5"/>
  <c r="X1406" i="5"/>
  <c r="W1406" i="5"/>
  <c r="X632" i="5"/>
  <c r="W632" i="5"/>
  <c r="X1883" i="5"/>
  <c r="W1883" i="5"/>
  <c r="X943" i="5"/>
  <c r="W943" i="5"/>
  <c r="X1115" i="5"/>
  <c r="W1115" i="5"/>
  <c r="X1882" i="5"/>
  <c r="W1882" i="5"/>
  <c r="X942" i="5"/>
  <c r="W942" i="5"/>
  <c r="X631" i="5"/>
  <c r="W631" i="5"/>
  <c r="X1934" i="5"/>
  <c r="W1934" i="5"/>
  <c r="X796" i="5"/>
  <c r="W796" i="5"/>
  <c r="X444" i="5"/>
  <c r="W444" i="5"/>
  <c r="X1405" i="5"/>
  <c r="W1405" i="5"/>
  <c r="X500" i="5"/>
  <c r="W500" i="5"/>
  <c r="X2157" i="5"/>
  <c r="W2157" i="5"/>
  <c r="X860" i="5"/>
  <c r="W860" i="5"/>
  <c r="X1828" i="5"/>
  <c r="W1828" i="5"/>
  <c r="X859" i="5"/>
  <c r="W859" i="5"/>
  <c r="X443" i="5"/>
  <c r="W443" i="5"/>
  <c r="X442" i="5"/>
  <c r="W442" i="5"/>
  <c r="X630" i="5"/>
  <c r="W630" i="5"/>
  <c r="X1019" i="5"/>
  <c r="W1019" i="5"/>
  <c r="X1018" i="5"/>
  <c r="W1018" i="5"/>
  <c r="X1596" i="5"/>
  <c r="W1596" i="5"/>
  <c r="X1595" i="5"/>
  <c r="W1595" i="5"/>
  <c r="X718" i="5"/>
  <c r="W718" i="5"/>
  <c r="X1017" i="5"/>
  <c r="W1017" i="5"/>
  <c r="X1467" i="5"/>
  <c r="W1467" i="5"/>
  <c r="X717" i="5"/>
  <c r="W717" i="5"/>
  <c r="X232" i="5"/>
  <c r="W232" i="5"/>
  <c r="X2062" i="5"/>
  <c r="W2062" i="5"/>
  <c r="X1827" i="5"/>
  <c r="W1827" i="5"/>
  <c r="X441" i="5"/>
  <c r="W441" i="5"/>
  <c r="X1340" i="5"/>
  <c r="W1340" i="5"/>
  <c r="X1466" i="5"/>
  <c r="W1466" i="5"/>
  <c r="X2092" i="5"/>
  <c r="W2092" i="5"/>
  <c r="X716" i="5"/>
  <c r="W716" i="5"/>
  <c r="X2017" i="5"/>
  <c r="W2017" i="5"/>
  <c r="X400" i="5"/>
  <c r="W400" i="5"/>
  <c r="X629" i="5"/>
  <c r="W629" i="5"/>
  <c r="X1739" i="5"/>
  <c r="W1739" i="5"/>
  <c r="X1686" i="5"/>
  <c r="W1686" i="5"/>
  <c r="X1114" i="5"/>
  <c r="W1114" i="5"/>
  <c r="X1297" i="5"/>
  <c r="W1297" i="5"/>
  <c r="X1685" i="5"/>
  <c r="W1685" i="5"/>
  <c r="X1971" i="5"/>
  <c r="W1971" i="5"/>
  <c r="X1881" i="5"/>
  <c r="W1881" i="5"/>
  <c r="X1339" i="5"/>
  <c r="W1339" i="5"/>
  <c r="X1338" i="5"/>
  <c r="W1338" i="5"/>
  <c r="X1241" i="5"/>
  <c r="W1241" i="5"/>
  <c r="X1738" i="5"/>
  <c r="W1738" i="5"/>
  <c r="X499" i="5"/>
  <c r="W499" i="5"/>
  <c r="X323" i="5"/>
  <c r="W323" i="5"/>
  <c r="X715" i="5"/>
  <c r="W715" i="5"/>
  <c r="X2156" i="5"/>
  <c r="W2156" i="5"/>
  <c r="X1404" i="5"/>
  <c r="W1404" i="5"/>
  <c r="X1403" i="5"/>
  <c r="W1403" i="5"/>
  <c r="X41" i="5"/>
  <c r="W41" i="5"/>
  <c r="X1240" i="5"/>
  <c r="W1240" i="5"/>
  <c r="X1113" i="5"/>
  <c r="W1113" i="5"/>
  <c r="X133" i="5"/>
  <c r="W133" i="5"/>
  <c r="X1594" i="5"/>
  <c r="W1594" i="5"/>
  <c r="X1465" i="5"/>
  <c r="W1465" i="5"/>
  <c r="X2016" i="5"/>
  <c r="W2016" i="5"/>
  <c r="X440" i="5"/>
  <c r="W440" i="5"/>
  <c r="X439" i="5"/>
  <c r="W439" i="5"/>
  <c r="X1464" i="5"/>
  <c r="W1464" i="5"/>
  <c r="X1112" i="5"/>
  <c r="W1112" i="5"/>
  <c r="X714" i="5"/>
  <c r="W714" i="5"/>
  <c r="X795" i="5"/>
  <c r="W795" i="5"/>
  <c r="X1593" i="5"/>
  <c r="W1593" i="5"/>
  <c r="X566" i="5"/>
  <c r="W566" i="5"/>
  <c r="X2015" i="5"/>
  <c r="W2015" i="5"/>
  <c r="X941" i="5"/>
  <c r="W941" i="5"/>
  <c r="X1826" i="5"/>
  <c r="W1826" i="5"/>
  <c r="X628" i="5"/>
  <c r="W628" i="5"/>
  <c r="X2192" i="5"/>
  <c r="W2192" i="5"/>
  <c r="X1180" i="5"/>
  <c r="W1180" i="5"/>
  <c r="X1782" i="5"/>
  <c r="W1782" i="5"/>
  <c r="X1634" i="5"/>
  <c r="W1634" i="5"/>
  <c r="X940" i="5"/>
  <c r="W940" i="5"/>
  <c r="X2014" i="5"/>
  <c r="W2014" i="5"/>
  <c r="X2013" i="5"/>
  <c r="W2013" i="5"/>
  <c r="X1684" i="5"/>
  <c r="W1684" i="5"/>
  <c r="X1111" i="5"/>
  <c r="W1111" i="5"/>
  <c r="X1110" i="5"/>
  <c r="W1110" i="5"/>
  <c r="X438" i="5"/>
  <c r="W438" i="5"/>
  <c r="X1825" i="5"/>
  <c r="W1825" i="5"/>
  <c r="X1296" i="5"/>
  <c r="W1296" i="5"/>
  <c r="X1880" i="5"/>
  <c r="W1880" i="5"/>
  <c r="X1970" i="5"/>
  <c r="W1970" i="5"/>
  <c r="X1554" i="5"/>
  <c r="W1554" i="5"/>
  <c r="X1933" i="5"/>
  <c r="W1933" i="5"/>
  <c r="X1932" i="5"/>
  <c r="W1932" i="5"/>
  <c r="X1402" i="5"/>
  <c r="W1402" i="5"/>
  <c r="X939" i="5"/>
  <c r="W939" i="5"/>
  <c r="X1401" i="5"/>
  <c r="W1401" i="5"/>
  <c r="X1179" i="5"/>
  <c r="W1179" i="5"/>
  <c r="X1633" i="5"/>
  <c r="W1633" i="5"/>
  <c r="X1632" i="5"/>
  <c r="W1632" i="5"/>
  <c r="X1931" i="5"/>
  <c r="W1931" i="5"/>
  <c r="X1930" i="5"/>
  <c r="W1930" i="5"/>
  <c r="X2129" i="5"/>
  <c r="W2129" i="5"/>
  <c r="X2128" i="5"/>
  <c r="W2128" i="5"/>
  <c r="X2205" i="5"/>
  <c r="W2205" i="5"/>
  <c r="X1683" i="5"/>
  <c r="W1683" i="5"/>
  <c r="X163" i="5"/>
  <c r="W163" i="5"/>
  <c r="X1178" i="5"/>
  <c r="W1178" i="5"/>
  <c r="X1463" i="5"/>
  <c r="W1463" i="5"/>
  <c r="X1879" i="5"/>
  <c r="W1879" i="5"/>
  <c r="X1878" i="5"/>
  <c r="W1878" i="5"/>
  <c r="X1295" i="5"/>
  <c r="W1295" i="5"/>
  <c r="X399" i="5"/>
  <c r="W399" i="5"/>
  <c r="X2012" i="5"/>
  <c r="W2012" i="5"/>
  <c r="X1682" i="5"/>
  <c r="W1682" i="5"/>
  <c r="X2091" i="5"/>
  <c r="W2091" i="5"/>
  <c r="X794" i="5"/>
  <c r="W794" i="5"/>
  <c r="X793" i="5"/>
  <c r="W793" i="5"/>
  <c r="X24" i="5"/>
  <c r="W24" i="5"/>
  <c r="X322" i="5"/>
  <c r="W322" i="5"/>
  <c r="X1294" i="5"/>
  <c r="W1294" i="5"/>
  <c r="X2204" i="5"/>
  <c r="W2204" i="5"/>
  <c r="X1592" i="5"/>
  <c r="W1592" i="5"/>
  <c r="X1591" i="5"/>
  <c r="W1591" i="5"/>
  <c r="X1631" i="5"/>
  <c r="W1631" i="5"/>
  <c r="X1630" i="5"/>
  <c r="W1630" i="5"/>
  <c r="X1462" i="5"/>
  <c r="W1462" i="5"/>
  <c r="X858" i="5"/>
  <c r="W858" i="5"/>
  <c r="X1929" i="5"/>
  <c r="W1929" i="5"/>
  <c r="X1109" i="5"/>
  <c r="W1109" i="5"/>
  <c r="X498" i="5"/>
  <c r="W498" i="5"/>
  <c r="X497" i="5"/>
  <c r="W497" i="5"/>
  <c r="X437" i="5"/>
  <c r="W437" i="5"/>
  <c r="X1337" i="5"/>
  <c r="W1337" i="5"/>
  <c r="X1336" i="5"/>
  <c r="W1336" i="5"/>
  <c r="X1239" i="5"/>
  <c r="W1239" i="5"/>
  <c r="X1238" i="5"/>
  <c r="W1238" i="5"/>
  <c r="X1237" i="5"/>
  <c r="W1237" i="5"/>
  <c r="X496" i="5"/>
  <c r="W496" i="5"/>
  <c r="X1553" i="5"/>
  <c r="W1553" i="5"/>
  <c r="X1824" i="5"/>
  <c r="W1824" i="5"/>
  <c r="X1823" i="5"/>
  <c r="W1823" i="5"/>
  <c r="X1236" i="5"/>
  <c r="W1236" i="5"/>
  <c r="X1461" i="5"/>
  <c r="W1461" i="5"/>
  <c r="X792" i="5"/>
  <c r="W792" i="5"/>
  <c r="X2011" i="5"/>
  <c r="W2011" i="5"/>
  <c r="X2191" i="5"/>
  <c r="W2191" i="5"/>
  <c r="X2190" i="5"/>
  <c r="W2190" i="5"/>
  <c r="X1822" i="5"/>
  <c r="W1822" i="5"/>
  <c r="X1460" i="5"/>
  <c r="W1460" i="5"/>
  <c r="X1969" i="5"/>
  <c r="W1969" i="5"/>
  <c r="X1459" i="5"/>
  <c r="W1459" i="5"/>
  <c r="X1400" i="5"/>
  <c r="W1400" i="5"/>
  <c r="X1499" i="5"/>
  <c r="W1499" i="5"/>
  <c r="X1590" i="5"/>
  <c r="W1590" i="5"/>
  <c r="X1589" i="5"/>
  <c r="W1589" i="5"/>
  <c r="X199" i="5"/>
  <c r="W199" i="5"/>
  <c r="X1108" i="5"/>
  <c r="W1108" i="5"/>
  <c r="X73" i="5"/>
  <c r="W73" i="5"/>
  <c r="X938" i="5"/>
  <c r="W938" i="5"/>
  <c r="X1928" i="5"/>
  <c r="W1928" i="5"/>
  <c r="X1968" i="5"/>
  <c r="W1968" i="5"/>
  <c r="X52" i="5"/>
  <c r="W52" i="5"/>
  <c r="X1927" i="5"/>
  <c r="W1927" i="5"/>
  <c r="X1235" i="5"/>
  <c r="W1235" i="5"/>
  <c r="X1107" i="5"/>
  <c r="W1107" i="5"/>
  <c r="X1016" i="5"/>
  <c r="W1016" i="5"/>
  <c r="X1015" i="5"/>
  <c r="W1015" i="5"/>
  <c r="X495" i="5"/>
  <c r="W495" i="5"/>
  <c r="X2010" i="5"/>
  <c r="W2010" i="5"/>
  <c r="X1781" i="5"/>
  <c r="W1781" i="5"/>
  <c r="X1821" i="5"/>
  <c r="W1821" i="5"/>
  <c r="X1820" i="5"/>
  <c r="W1820" i="5"/>
  <c r="X2090" i="5"/>
  <c r="W2090" i="5"/>
  <c r="X627" i="5"/>
  <c r="W627" i="5"/>
  <c r="X2061" i="5"/>
  <c r="W2061" i="5"/>
  <c r="X1737" i="5"/>
  <c r="W1737" i="5"/>
  <c r="X1681" i="5"/>
  <c r="W1681" i="5"/>
  <c r="X2216" i="5"/>
  <c r="W2216" i="5"/>
  <c r="X1293" i="5"/>
  <c r="W1293" i="5"/>
  <c r="X626" i="5"/>
  <c r="W626" i="5"/>
  <c r="X625" i="5"/>
  <c r="W625" i="5"/>
  <c r="X713" i="5"/>
  <c r="W713" i="5"/>
  <c r="X1736" i="5"/>
  <c r="W1736" i="5"/>
  <c r="X321" i="5"/>
  <c r="W321" i="5"/>
  <c r="X1177" i="5"/>
  <c r="W1177" i="5"/>
  <c r="X1735" i="5"/>
  <c r="W1735" i="5"/>
  <c r="X1877" i="5"/>
  <c r="W1877" i="5"/>
  <c r="X1399" i="5"/>
  <c r="W1399" i="5"/>
  <c r="X2210" i="5"/>
  <c r="W2210" i="5"/>
  <c r="X398" i="5"/>
  <c r="W398" i="5"/>
  <c r="X857" i="5"/>
  <c r="W857" i="5"/>
  <c r="X1552" i="5"/>
  <c r="W1552" i="5"/>
  <c r="X1926" i="5"/>
  <c r="W1926" i="5"/>
  <c r="X1925" i="5"/>
  <c r="W1925" i="5"/>
  <c r="X856" i="5"/>
  <c r="W856" i="5"/>
  <c r="X791" i="5"/>
  <c r="W791" i="5"/>
  <c r="X231" i="5"/>
  <c r="W231" i="5"/>
  <c r="X790" i="5"/>
  <c r="W790" i="5"/>
  <c r="X1780" i="5"/>
  <c r="W1780" i="5"/>
  <c r="X1779" i="5"/>
  <c r="W1779" i="5"/>
  <c r="X1778" i="5"/>
  <c r="W1778" i="5"/>
  <c r="X1734" i="5"/>
  <c r="W1734" i="5"/>
  <c r="X1680" i="5"/>
  <c r="W1680" i="5"/>
  <c r="X1458" i="5"/>
  <c r="W1458" i="5"/>
  <c r="X1457" i="5"/>
  <c r="W1457" i="5"/>
  <c r="X1967" i="5"/>
  <c r="W1967" i="5"/>
  <c r="X789" i="5"/>
  <c r="W789" i="5"/>
  <c r="X624" i="5"/>
  <c r="W624" i="5"/>
  <c r="X937" i="5"/>
  <c r="W937" i="5"/>
  <c r="X936" i="5"/>
  <c r="W936" i="5"/>
  <c r="X1629" i="5"/>
  <c r="W1629" i="5"/>
  <c r="X935" i="5"/>
  <c r="W935" i="5"/>
  <c r="X1106" i="5"/>
  <c r="W1106" i="5"/>
  <c r="X1398" i="5"/>
  <c r="W1398" i="5"/>
  <c r="X1176" i="5"/>
  <c r="W1176" i="5"/>
  <c r="X1876" i="5"/>
  <c r="W1876" i="5"/>
  <c r="X1292" i="5"/>
  <c r="W1292" i="5"/>
  <c r="X1014" i="5"/>
  <c r="W1014" i="5"/>
  <c r="X1335" i="5"/>
  <c r="W1335" i="5"/>
  <c r="X494" i="5"/>
  <c r="W494" i="5"/>
  <c r="X2203" i="5"/>
  <c r="W2203" i="5"/>
  <c r="X1105" i="5"/>
  <c r="W1105" i="5"/>
  <c r="X623" i="5"/>
  <c r="W623" i="5"/>
  <c r="X2178" i="5"/>
  <c r="W2178" i="5"/>
  <c r="X1777" i="5"/>
  <c r="W1777" i="5"/>
  <c r="X2189" i="5"/>
  <c r="W2189" i="5"/>
  <c r="X1397" i="5"/>
  <c r="W1397" i="5"/>
  <c r="X1013" i="5"/>
  <c r="W1013" i="5"/>
  <c r="X1498" i="5"/>
  <c r="W1498" i="5"/>
  <c r="X1819" i="5"/>
  <c r="W1819" i="5"/>
  <c r="X493" i="5"/>
  <c r="W493" i="5"/>
  <c r="X492" i="5"/>
  <c r="W492" i="5"/>
  <c r="X2155" i="5"/>
  <c r="W2155" i="5"/>
  <c r="X1588" i="5"/>
  <c r="W1588" i="5"/>
  <c r="X1875" i="5"/>
  <c r="W1875" i="5"/>
  <c r="X622" i="5"/>
  <c r="W622" i="5"/>
  <c r="X1175" i="5"/>
  <c r="W1175" i="5"/>
  <c r="X1396" i="5"/>
  <c r="W1396" i="5"/>
  <c r="X198" i="5"/>
  <c r="W198" i="5"/>
  <c r="X1551" i="5"/>
  <c r="W1551" i="5"/>
  <c r="X1174" i="5"/>
  <c r="W1174" i="5"/>
  <c r="X1776" i="5"/>
  <c r="W1776" i="5"/>
  <c r="X712" i="5"/>
  <c r="W712" i="5"/>
  <c r="X320" i="5"/>
  <c r="W320" i="5"/>
  <c r="X319" i="5"/>
  <c r="W319" i="5"/>
  <c r="X1775" i="5"/>
  <c r="W1775" i="5"/>
  <c r="X1104" i="5"/>
  <c r="W1104" i="5"/>
  <c r="X1291" i="5"/>
  <c r="W1291" i="5"/>
  <c r="X2188" i="5"/>
  <c r="W2188" i="5"/>
  <c r="X2187" i="5"/>
  <c r="W2187" i="5"/>
  <c r="X1733" i="5"/>
  <c r="W1733" i="5"/>
  <c r="X106" i="5"/>
  <c r="W106" i="5"/>
  <c r="X72" i="5"/>
  <c r="W72" i="5"/>
  <c r="X1924" i="5"/>
  <c r="W1924" i="5"/>
  <c r="X491" i="5"/>
  <c r="W491" i="5"/>
  <c r="X2060" i="5"/>
  <c r="W2060" i="5"/>
  <c r="X1966" i="5"/>
  <c r="W1966" i="5"/>
  <c r="X1818" i="5"/>
  <c r="W1818" i="5"/>
  <c r="X1874" i="5"/>
  <c r="W1874" i="5"/>
  <c r="X1732" i="5"/>
  <c r="W1732" i="5"/>
  <c r="X1334" i="5"/>
  <c r="W1334" i="5"/>
  <c r="X1290" i="5"/>
  <c r="W1290" i="5"/>
  <c r="X4" i="5"/>
  <c r="W4" i="5"/>
  <c r="X1103" i="5"/>
  <c r="W1103" i="5"/>
  <c r="X1173" i="5"/>
  <c r="W1173" i="5"/>
  <c r="X2059" i="5"/>
  <c r="W2059" i="5"/>
  <c r="X1102" i="5"/>
  <c r="W1102" i="5"/>
  <c r="X1101" i="5"/>
  <c r="W1101" i="5"/>
  <c r="X132" i="5"/>
  <c r="W132" i="5"/>
  <c r="X855" i="5"/>
  <c r="W855" i="5"/>
  <c r="X2009" i="5"/>
  <c r="W2009" i="5"/>
  <c r="X788" i="5"/>
  <c r="W788" i="5"/>
  <c r="X787" i="5"/>
  <c r="W787" i="5"/>
  <c r="X786" i="5"/>
  <c r="W786" i="5"/>
  <c r="X2177" i="5"/>
  <c r="W2177" i="5"/>
  <c r="X397" i="5"/>
  <c r="W397" i="5"/>
  <c r="X1100" i="5"/>
  <c r="W1100" i="5"/>
  <c r="X105" i="5"/>
  <c r="W105" i="5"/>
  <c r="X104" i="5"/>
  <c r="W104" i="5"/>
  <c r="X131" i="5"/>
  <c r="W131" i="5"/>
  <c r="X2058" i="5"/>
  <c r="W2058" i="5"/>
  <c r="X1628" i="5"/>
  <c r="W1628" i="5"/>
  <c r="X1679" i="5"/>
  <c r="W1679" i="5"/>
  <c r="X711" i="5"/>
  <c r="W711" i="5"/>
  <c r="X2127" i="5"/>
  <c r="W2127" i="5"/>
  <c r="X2126" i="5"/>
  <c r="W2126" i="5"/>
  <c r="X490" i="5"/>
  <c r="W490" i="5"/>
  <c r="X2176" i="5"/>
  <c r="W2176" i="5"/>
  <c r="X1497" i="5"/>
  <c r="W1497" i="5"/>
  <c r="X1496" i="5"/>
  <c r="W1496" i="5"/>
  <c r="X40" i="5"/>
  <c r="W40" i="5"/>
  <c r="X1456" i="5"/>
  <c r="W1456" i="5"/>
  <c r="X1774" i="5"/>
  <c r="W1774" i="5"/>
  <c r="X436" i="5"/>
  <c r="W436" i="5"/>
  <c r="X1731" i="5"/>
  <c r="W1731" i="5"/>
  <c r="X1455" i="5"/>
  <c r="W1455" i="5"/>
  <c r="X785" i="5"/>
  <c r="W785" i="5"/>
  <c r="X621" i="5"/>
  <c r="W621" i="5"/>
  <c r="X2" i="5"/>
  <c r="W2" i="5"/>
  <c r="X1172" i="5"/>
  <c r="W1172" i="5"/>
  <c r="X103" i="5"/>
  <c r="W103" i="5"/>
  <c r="X102" i="5"/>
  <c r="W102" i="5"/>
  <c r="X318" i="5"/>
  <c r="W318" i="5"/>
  <c r="X101" i="5"/>
  <c r="W101" i="5"/>
  <c r="X100" i="5"/>
  <c r="W100" i="5"/>
  <c r="X2186" i="5"/>
  <c r="W2186" i="5"/>
  <c r="X39" i="5"/>
  <c r="W39" i="5"/>
  <c r="X38" i="5"/>
  <c r="W38" i="5"/>
  <c r="X1171" i="5"/>
  <c r="W1171" i="5"/>
  <c r="X1170" i="5"/>
  <c r="W1170" i="5"/>
  <c r="X1289" i="5"/>
  <c r="W1289" i="5"/>
  <c r="X1678" i="5"/>
  <c r="W1678" i="5"/>
  <c r="X1099" i="5"/>
  <c r="W1099" i="5"/>
  <c r="X1333" i="5"/>
  <c r="W1333" i="5"/>
  <c r="X1098" i="5"/>
  <c r="W1098" i="5"/>
  <c r="X1097" i="5"/>
  <c r="W1097" i="5"/>
  <c r="X1730" i="5"/>
  <c r="W1730" i="5"/>
  <c r="X2125" i="5"/>
  <c r="W2125" i="5"/>
  <c r="X317" i="5"/>
  <c r="W317" i="5"/>
  <c r="X316" i="5"/>
  <c r="W316" i="5"/>
  <c r="X1395" i="5"/>
  <c r="W1395" i="5"/>
  <c r="X1394" i="5"/>
  <c r="W1394" i="5"/>
  <c r="X2008" i="5"/>
  <c r="W2008" i="5"/>
  <c r="X934" i="5"/>
  <c r="W934" i="5"/>
  <c r="X1817" i="5"/>
  <c r="W1817" i="5"/>
  <c r="X1393" i="5"/>
  <c r="W1393" i="5"/>
  <c r="X1965" i="5"/>
  <c r="W1965" i="5"/>
  <c r="X710" i="5"/>
  <c r="W710" i="5"/>
  <c r="X2124" i="5"/>
  <c r="W2124" i="5"/>
  <c r="X565" i="5"/>
  <c r="W565" i="5"/>
  <c r="X854" i="5"/>
  <c r="W854" i="5"/>
  <c r="X1169" i="5"/>
  <c r="W1169" i="5"/>
  <c r="X396" i="5"/>
  <c r="W396" i="5"/>
  <c r="X275" i="5"/>
  <c r="W275" i="5"/>
  <c r="X3" i="5"/>
  <c r="W3" i="5"/>
  <c r="X1550" i="5"/>
  <c r="W1550" i="5"/>
  <c r="X395" i="5"/>
  <c r="W395" i="5"/>
  <c r="X1234" i="5"/>
  <c r="W1234" i="5"/>
  <c r="X2057" i="5"/>
  <c r="W2057" i="5"/>
  <c r="X784" i="5"/>
  <c r="W784" i="5"/>
  <c r="X2202" i="5"/>
  <c r="W2202" i="5"/>
  <c r="X1332" i="5"/>
  <c r="W1332" i="5"/>
  <c r="X2007" i="5"/>
  <c r="W2007" i="5"/>
  <c r="X162" i="5"/>
  <c r="W162" i="5"/>
  <c r="X1392" i="5"/>
  <c r="W1392" i="5"/>
  <c r="X1168" i="5"/>
  <c r="W1168" i="5"/>
  <c r="X1012" i="5"/>
  <c r="W1012" i="5"/>
  <c r="X1454" i="5"/>
  <c r="W1454" i="5"/>
  <c r="X1391" i="5"/>
  <c r="W1391" i="5"/>
  <c r="X315" i="5"/>
  <c r="W315" i="5"/>
  <c r="X314" i="5"/>
  <c r="W314" i="5"/>
  <c r="X1923" i="5"/>
  <c r="W1923" i="5"/>
  <c r="X1390" i="5"/>
  <c r="W1390" i="5"/>
  <c r="X1167" i="5"/>
  <c r="W1167" i="5"/>
  <c r="X933" i="5"/>
  <c r="W933" i="5"/>
  <c r="X274" i="5"/>
  <c r="W274" i="5"/>
  <c r="X2123" i="5"/>
  <c r="W2123" i="5"/>
  <c r="X620" i="5"/>
  <c r="W620" i="5"/>
  <c r="X619" i="5"/>
  <c r="W619" i="5"/>
  <c r="X1331" i="5"/>
  <c r="W1331" i="5"/>
  <c r="X709" i="5"/>
  <c r="W709" i="5"/>
  <c r="X2175" i="5"/>
  <c r="W2175" i="5"/>
  <c r="X435" i="5"/>
  <c r="W435" i="5"/>
  <c r="X2201" i="5"/>
  <c r="W2201" i="5"/>
  <c r="X618" i="5"/>
  <c r="W618" i="5"/>
  <c r="X1922" i="5"/>
  <c r="W1922" i="5"/>
  <c r="X489" i="5"/>
  <c r="W489" i="5"/>
  <c r="X1964" i="5"/>
  <c r="W1964" i="5"/>
  <c r="X19" i="5"/>
  <c r="W19" i="5"/>
  <c r="X2006" i="5"/>
  <c r="W2006" i="5"/>
  <c r="X1233" i="5"/>
  <c r="W1233" i="5"/>
  <c r="X197" i="5"/>
  <c r="W197" i="5"/>
  <c r="X196" i="5"/>
  <c r="W196" i="5"/>
  <c r="X1096" i="5"/>
  <c r="W1096" i="5"/>
  <c r="X1873" i="5"/>
  <c r="W1873" i="5"/>
  <c r="X230" i="5"/>
  <c r="W230" i="5"/>
  <c r="X1288" i="5"/>
  <c r="W1288" i="5"/>
  <c r="X2154" i="5"/>
  <c r="W2154" i="5"/>
  <c r="X1330" i="5"/>
  <c r="W1330" i="5"/>
  <c r="X1232" i="5"/>
  <c r="W1232" i="5"/>
  <c r="X2056" i="5"/>
  <c r="W2056" i="5"/>
  <c r="X394" i="5"/>
  <c r="W394" i="5"/>
  <c r="X1287" i="5"/>
  <c r="W1287" i="5"/>
  <c r="X1011" i="5"/>
  <c r="W1011" i="5"/>
  <c r="X617" i="5"/>
  <c r="W617" i="5"/>
  <c r="X1389" i="5"/>
  <c r="W1389" i="5"/>
  <c r="X1388" i="5"/>
  <c r="W1388" i="5"/>
  <c r="X932" i="5"/>
  <c r="W932" i="5"/>
  <c r="X195" i="5"/>
  <c r="W195" i="5"/>
  <c r="X1627" i="5"/>
  <c r="W1627" i="5"/>
  <c r="X488" i="5"/>
  <c r="W488" i="5"/>
  <c r="X2055" i="5"/>
  <c r="W2055" i="5"/>
  <c r="X1773" i="5"/>
  <c r="W1773" i="5"/>
  <c r="X853" i="5"/>
  <c r="W853" i="5"/>
  <c r="X9" i="5"/>
  <c r="W9" i="5"/>
  <c r="X1677" i="5"/>
  <c r="W1677" i="5"/>
  <c r="X616" i="5"/>
  <c r="W616" i="5"/>
  <c r="X1387" i="5"/>
  <c r="W1387" i="5"/>
  <c r="X1676" i="5"/>
  <c r="W1676" i="5"/>
  <c r="X1675" i="5"/>
  <c r="W1675" i="5"/>
  <c r="X1816" i="5"/>
  <c r="W1816" i="5"/>
  <c r="X487" i="5"/>
  <c r="W487" i="5"/>
  <c r="X1549" i="5"/>
  <c r="W1549" i="5"/>
  <c r="X783" i="5"/>
  <c r="W783" i="5"/>
  <c r="X1386" i="5"/>
  <c r="W1386" i="5"/>
  <c r="X1010" i="5"/>
  <c r="W1010" i="5"/>
  <c r="X2200" i="5"/>
  <c r="W2200" i="5"/>
  <c r="X1385" i="5"/>
  <c r="W1385" i="5"/>
  <c r="X434" i="5"/>
  <c r="W434" i="5"/>
  <c r="X1548" i="5"/>
  <c r="W1548" i="5"/>
  <c r="X1729" i="5"/>
  <c r="W1729" i="5"/>
  <c r="X1674" i="5"/>
  <c r="W1674" i="5"/>
  <c r="X1009" i="5"/>
  <c r="W1009" i="5"/>
  <c r="X1008" i="5"/>
  <c r="W1008" i="5"/>
  <c r="X486" i="5"/>
  <c r="W486" i="5"/>
  <c r="X313" i="5"/>
  <c r="W313" i="5"/>
  <c r="X312" i="5"/>
  <c r="W312" i="5"/>
  <c r="X564" i="5"/>
  <c r="W564" i="5"/>
  <c r="X1815" i="5"/>
  <c r="W1815" i="5"/>
  <c r="X161" i="5"/>
  <c r="W161" i="5"/>
  <c r="X160" i="5"/>
  <c r="W160" i="5"/>
  <c r="X1728" i="5"/>
  <c r="W1728" i="5"/>
  <c r="X2054" i="5"/>
  <c r="W2054" i="5"/>
  <c r="X1007" i="5"/>
  <c r="W1007" i="5"/>
  <c r="X1547" i="5"/>
  <c r="W1547" i="5"/>
  <c r="X2122" i="5"/>
  <c r="W2122" i="5"/>
  <c r="X433" i="5"/>
  <c r="W433" i="5"/>
  <c r="X354" i="5"/>
  <c r="W354" i="5"/>
  <c r="X1921" i="5"/>
  <c r="W1921" i="5"/>
  <c r="X1920" i="5"/>
  <c r="W1920" i="5"/>
  <c r="X782" i="5"/>
  <c r="W782" i="5"/>
  <c r="X563" i="5"/>
  <c r="W563" i="5"/>
  <c r="X485" i="5"/>
  <c r="W485" i="5"/>
  <c r="X1384" i="5"/>
  <c r="W1384" i="5"/>
  <c r="X1546" i="5"/>
  <c r="W1546" i="5"/>
  <c r="X2005" i="5"/>
  <c r="W2005" i="5"/>
  <c r="X1006" i="5"/>
  <c r="W1006" i="5"/>
  <c r="X2053" i="5"/>
  <c r="W2053" i="5"/>
  <c r="X2121" i="5"/>
  <c r="W2121" i="5"/>
  <c r="X615" i="5"/>
  <c r="W615" i="5"/>
  <c r="X614" i="5"/>
  <c r="W614" i="5"/>
  <c r="X18" i="5"/>
  <c r="W18" i="5"/>
  <c r="X1166" i="5"/>
  <c r="W1166" i="5"/>
  <c r="X931" i="5"/>
  <c r="W931" i="5"/>
  <c r="X1919" i="5"/>
  <c r="W1919" i="5"/>
  <c r="X229" i="5"/>
  <c r="W229" i="5"/>
  <c r="X1872" i="5"/>
  <c r="W1872" i="5"/>
  <c r="X1871" i="5"/>
  <c r="W1871" i="5"/>
  <c r="X2120" i="5"/>
  <c r="W2120" i="5"/>
  <c r="X1165" i="5"/>
  <c r="W1165" i="5"/>
  <c r="X1545" i="5"/>
  <c r="W1545" i="5"/>
  <c r="X194" i="5"/>
  <c r="W194" i="5"/>
  <c r="X1727" i="5"/>
  <c r="W1727" i="5"/>
  <c r="X1870" i="5"/>
  <c r="W1870" i="5"/>
  <c r="X1095" i="5"/>
  <c r="W1095" i="5"/>
  <c r="X1094" i="5"/>
  <c r="W1094" i="5"/>
  <c r="X1495" i="5"/>
  <c r="W1495" i="5"/>
  <c r="X2174" i="5"/>
  <c r="W2174" i="5"/>
  <c r="X2173" i="5"/>
  <c r="W2173" i="5"/>
  <c r="X1626" i="5"/>
  <c r="W1626" i="5"/>
  <c r="X708" i="5"/>
  <c r="W708" i="5"/>
  <c r="X228" i="5"/>
  <c r="W228" i="5"/>
  <c r="X130" i="5"/>
  <c r="W130" i="5"/>
  <c r="X1164" i="5"/>
  <c r="W1164" i="5"/>
  <c r="X311" i="5"/>
  <c r="W311" i="5"/>
  <c r="X129" i="5"/>
  <c r="W129" i="5"/>
  <c r="X1231" i="5"/>
  <c r="W1231" i="5"/>
  <c r="X1383" i="5"/>
  <c r="W1383" i="5"/>
  <c r="X51" i="5"/>
  <c r="W51" i="5"/>
  <c r="X1005" i="5"/>
  <c r="W1005" i="5"/>
  <c r="X2052" i="5"/>
  <c r="W2052" i="5"/>
  <c r="X1772" i="5"/>
  <c r="W1772" i="5"/>
  <c r="X484" i="5"/>
  <c r="W484" i="5"/>
  <c r="X1963" i="5"/>
  <c r="W1963" i="5"/>
  <c r="X852" i="5"/>
  <c r="W852" i="5"/>
  <c r="X128" i="5"/>
  <c r="W128" i="5"/>
  <c r="X613" i="5"/>
  <c r="W613" i="5"/>
  <c r="X310" i="5"/>
  <c r="W310" i="5"/>
  <c r="X707" i="5"/>
  <c r="W707" i="5"/>
  <c r="X706" i="5"/>
  <c r="W706" i="5"/>
  <c r="X50" i="5"/>
  <c r="W50" i="5"/>
  <c r="X1726" i="5"/>
  <c r="W1726" i="5"/>
  <c r="X1869" i="5"/>
  <c r="W1869" i="5"/>
  <c r="X1004" i="5"/>
  <c r="W1004" i="5"/>
  <c r="X17" i="5"/>
  <c r="W17" i="5"/>
  <c r="X16" i="5"/>
  <c r="W16" i="5"/>
  <c r="X2172" i="5"/>
  <c r="W2172" i="5"/>
  <c r="X1003" i="5"/>
  <c r="W1003" i="5"/>
  <c r="X1918" i="5"/>
  <c r="W1918" i="5"/>
  <c r="X930" i="5"/>
  <c r="W930" i="5"/>
  <c r="X1868" i="5"/>
  <c r="W1868" i="5"/>
  <c r="X1382" i="5"/>
  <c r="W1382" i="5"/>
  <c r="X1093" i="5"/>
  <c r="W1093" i="5"/>
  <c r="X2119" i="5"/>
  <c r="W2119" i="5"/>
  <c r="X1587" i="5"/>
  <c r="W1587" i="5"/>
  <c r="X1586" i="5"/>
  <c r="W1586" i="5"/>
  <c r="X1163" i="5"/>
  <c r="W1163" i="5"/>
  <c r="X562" i="5"/>
  <c r="W562" i="5"/>
  <c r="X612" i="5"/>
  <c r="W612" i="5"/>
  <c r="X1962" i="5"/>
  <c r="W1962" i="5"/>
  <c r="X1673" i="5"/>
  <c r="W1673" i="5"/>
  <c r="X1544" i="5"/>
  <c r="W1544" i="5"/>
  <c r="X23" i="5"/>
  <c r="W23" i="5"/>
  <c r="X2004" i="5"/>
  <c r="W2004" i="5"/>
  <c r="X2003" i="5"/>
  <c r="W2003" i="5"/>
  <c r="X1725" i="5"/>
  <c r="W1725" i="5"/>
  <c r="X1453" i="5"/>
  <c r="W1453" i="5"/>
  <c r="X929" i="5"/>
  <c r="W929" i="5"/>
  <c r="X1867" i="5"/>
  <c r="W1867" i="5"/>
  <c r="X1381" i="5"/>
  <c r="W1381" i="5"/>
  <c r="X2002" i="5"/>
  <c r="W2002" i="5"/>
  <c r="X1771" i="5"/>
  <c r="W1771" i="5"/>
  <c r="X1917" i="5"/>
  <c r="W1917" i="5"/>
  <c r="X561" i="5"/>
  <c r="W561" i="5"/>
  <c r="X1724" i="5"/>
  <c r="W1724" i="5"/>
  <c r="X1092" i="5"/>
  <c r="W1092" i="5"/>
  <c r="X71" i="5"/>
  <c r="W71" i="5"/>
  <c r="X483" i="5"/>
  <c r="W483" i="5"/>
  <c r="X611" i="5"/>
  <c r="W611" i="5"/>
  <c r="X432" i="5"/>
  <c r="W432" i="5"/>
  <c r="X431" i="5"/>
  <c r="W431" i="5"/>
  <c r="X1230" i="5"/>
  <c r="W1230" i="5"/>
  <c r="X781" i="5"/>
  <c r="W781" i="5"/>
  <c r="X1286" i="5"/>
  <c r="W1286" i="5"/>
  <c r="X1162" i="5"/>
  <c r="W1162" i="5"/>
  <c r="X353" i="5"/>
  <c r="W353" i="5"/>
  <c r="X352" i="5"/>
  <c r="W352" i="5"/>
  <c r="X309" i="5"/>
  <c r="W309" i="5"/>
  <c r="X308" i="5"/>
  <c r="W308" i="5"/>
  <c r="X127" i="5"/>
  <c r="W127" i="5"/>
  <c r="X610" i="5"/>
  <c r="W610" i="5"/>
  <c r="X2215" i="5"/>
  <c r="W2215" i="5"/>
  <c r="X2051" i="5"/>
  <c r="W2051" i="5"/>
  <c r="X1229" i="5"/>
  <c r="W1229" i="5"/>
  <c r="X1866" i="5"/>
  <c r="W1866" i="5"/>
  <c r="X1625" i="5"/>
  <c r="W1625" i="5"/>
  <c r="X705" i="5"/>
  <c r="W705" i="5"/>
  <c r="X1543" i="5"/>
  <c r="W1543" i="5"/>
  <c r="X1542" i="5"/>
  <c r="W1542" i="5"/>
  <c r="X2153" i="5"/>
  <c r="W2153" i="5"/>
  <c r="X928" i="5"/>
  <c r="W928" i="5"/>
  <c r="X1672" i="5"/>
  <c r="W1672" i="5"/>
  <c r="X393" i="5"/>
  <c r="W393" i="5"/>
  <c r="X1002" i="5"/>
  <c r="W1002" i="5"/>
  <c r="X1091" i="5"/>
  <c r="W1091" i="5"/>
  <c r="X704" i="5"/>
  <c r="W704" i="5"/>
  <c r="X1814" i="5"/>
  <c r="W1814" i="5"/>
  <c r="X703" i="5"/>
  <c r="W703" i="5"/>
  <c r="X1541" i="5"/>
  <c r="W1541" i="5"/>
  <c r="X273" i="5"/>
  <c r="W273" i="5"/>
  <c r="X1161" i="5"/>
  <c r="W1161" i="5"/>
  <c r="X1916" i="5"/>
  <c r="W1916" i="5"/>
  <c r="X1380" i="5"/>
  <c r="W1380" i="5"/>
  <c r="X2089" i="5"/>
  <c r="W2089" i="5"/>
  <c r="X1285" i="5"/>
  <c r="W1285" i="5"/>
  <c r="X2118" i="5"/>
  <c r="W2118" i="5"/>
  <c r="X1865" i="5"/>
  <c r="W1865" i="5"/>
  <c r="X2001" i="5"/>
  <c r="W2001" i="5"/>
  <c r="X1624" i="5"/>
  <c r="W1624" i="5"/>
  <c r="X927" i="5"/>
  <c r="W927" i="5"/>
  <c r="X2152" i="5"/>
  <c r="W2152" i="5"/>
  <c r="X1494" i="5"/>
  <c r="W1494" i="5"/>
  <c r="X1770" i="5"/>
  <c r="W1770" i="5"/>
  <c r="X430" i="5"/>
  <c r="W430" i="5"/>
  <c r="X429" i="5"/>
  <c r="W429" i="5"/>
  <c r="X1379" i="5"/>
  <c r="W1379" i="5"/>
  <c r="X392" i="5"/>
  <c r="W392" i="5"/>
  <c r="X1813" i="5"/>
  <c r="W1813" i="5"/>
  <c r="X1228" i="5"/>
  <c r="W1228" i="5"/>
  <c r="X1493" i="5"/>
  <c r="W1493" i="5"/>
  <c r="X2171" i="5"/>
  <c r="W2171" i="5"/>
  <c r="X1671" i="5"/>
  <c r="W1671" i="5"/>
  <c r="X428" i="5"/>
  <c r="W428" i="5"/>
  <c r="X482" i="5"/>
  <c r="W482" i="5"/>
  <c r="X2214" i="5"/>
  <c r="W2214" i="5"/>
  <c r="X2000" i="5"/>
  <c r="W2000" i="5"/>
  <c r="X1090" i="5"/>
  <c r="W1090" i="5"/>
  <c r="X2170" i="5"/>
  <c r="W2170" i="5"/>
  <c r="X1284" i="5"/>
  <c r="W1284" i="5"/>
  <c r="X1283" i="5"/>
  <c r="W1283" i="5"/>
  <c r="X70" i="5"/>
  <c r="W70" i="5"/>
  <c r="X1723" i="5"/>
  <c r="W1723" i="5"/>
  <c r="X1282" i="5"/>
  <c r="W1282" i="5"/>
  <c r="X351" i="5"/>
  <c r="W351" i="5"/>
  <c r="X1915" i="5"/>
  <c r="W1915" i="5"/>
  <c r="X926" i="5"/>
  <c r="W926" i="5"/>
  <c r="X1812" i="5"/>
  <c r="W1812" i="5"/>
  <c r="X1001" i="5"/>
  <c r="W1001" i="5"/>
  <c r="X925" i="5"/>
  <c r="W925" i="5"/>
  <c r="X2169" i="5"/>
  <c r="W2169" i="5"/>
  <c r="X780" i="5"/>
  <c r="W780" i="5"/>
  <c r="X99" i="5"/>
  <c r="W99" i="5"/>
  <c r="X1722" i="5"/>
  <c r="W1722" i="5"/>
  <c r="X1670" i="5"/>
  <c r="W1670" i="5"/>
  <c r="X159" i="5"/>
  <c r="W159" i="5"/>
  <c r="X609" i="5"/>
  <c r="W609" i="5"/>
  <c r="X1329" i="5"/>
  <c r="W1329" i="5"/>
  <c r="X2151" i="5"/>
  <c r="W2151" i="5"/>
  <c r="X1623" i="5"/>
  <c r="W1623" i="5"/>
  <c r="X2050" i="5"/>
  <c r="W2050" i="5"/>
  <c r="X2049" i="5"/>
  <c r="W2049" i="5"/>
  <c r="X1769" i="5"/>
  <c r="W1769" i="5"/>
  <c r="X2185" i="5"/>
  <c r="W2185" i="5"/>
  <c r="X1089" i="5"/>
  <c r="W1089" i="5"/>
  <c r="X1768" i="5"/>
  <c r="W1768" i="5"/>
  <c r="X1000" i="5"/>
  <c r="W1000" i="5"/>
  <c r="X272" i="5"/>
  <c r="W272" i="5"/>
  <c r="X560" i="5"/>
  <c r="W560" i="5"/>
  <c r="X391" i="5"/>
  <c r="W391" i="5"/>
  <c r="X1452" i="5"/>
  <c r="W1452" i="5"/>
  <c r="X851" i="5"/>
  <c r="W851" i="5"/>
  <c r="X999" i="5"/>
  <c r="W999" i="5"/>
  <c r="X2048" i="5"/>
  <c r="W2048" i="5"/>
  <c r="X1721" i="5"/>
  <c r="W1721" i="5"/>
  <c r="X1451" i="5"/>
  <c r="W1451" i="5"/>
  <c r="X1281" i="5"/>
  <c r="W1281" i="5"/>
  <c r="X1280" i="5"/>
  <c r="W1280" i="5"/>
  <c r="X702" i="5"/>
  <c r="W702" i="5"/>
  <c r="X701" i="5"/>
  <c r="W701" i="5"/>
  <c r="X15" i="5"/>
  <c r="W15" i="5"/>
  <c r="X1585" i="5"/>
  <c r="W1585" i="5"/>
  <c r="X1088" i="5"/>
  <c r="W1088" i="5"/>
  <c r="X1811" i="5"/>
  <c r="W1811" i="5"/>
  <c r="X158" i="5"/>
  <c r="W158" i="5"/>
  <c r="X1622" i="5"/>
  <c r="W1622" i="5"/>
  <c r="X850" i="5"/>
  <c r="W850" i="5"/>
  <c r="X849" i="5"/>
  <c r="W849" i="5"/>
  <c r="X227" i="5"/>
  <c r="W227" i="5"/>
  <c r="X779" i="5"/>
  <c r="W779" i="5"/>
  <c r="X608" i="5"/>
  <c r="W608" i="5"/>
  <c r="X1160" i="5"/>
  <c r="W1160" i="5"/>
  <c r="X1720" i="5"/>
  <c r="W1720" i="5"/>
  <c r="X1864" i="5"/>
  <c r="W1864" i="5"/>
  <c r="X1719" i="5"/>
  <c r="W1719" i="5"/>
  <c r="X1669" i="5"/>
  <c r="W1669" i="5"/>
  <c r="X1914" i="5"/>
  <c r="W1914" i="5"/>
  <c r="X307" i="5"/>
  <c r="W307" i="5"/>
  <c r="X924" i="5"/>
  <c r="W924" i="5"/>
  <c r="X607" i="5"/>
  <c r="W607" i="5"/>
  <c r="X1328" i="5"/>
  <c r="W1328" i="5"/>
  <c r="X390" i="5"/>
  <c r="W390" i="5"/>
  <c r="X1913" i="5"/>
  <c r="W1913" i="5"/>
  <c r="X1492" i="5"/>
  <c r="W1492" i="5"/>
  <c r="X1491" i="5"/>
  <c r="W1491" i="5"/>
  <c r="X14" i="5"/>
  <c r="W14" i="5"/>
  <c r="X923" i="5"/>
  <c r="W923" i="5"/>
  <c r="X922" i="5"/>
  <c r="W922" i="5"/>
  <c r="X157" i="5"/>
  <c r="W157" i="5"/>
  <c r="X700" i="5"/>
  <c r="W700" i="5"/>
  <c r="X2209" i="5"/>
  <c r="W2209" i="5"/>
  <c r="X1863" i="5"/>
  <c r="W1863" i="5"/>
  <c r="X1087" i="5"/>
  <c r="W1087" i="5"/>
  <c r="X2117" i="5"/>
  <c r="W2117" i="5"/>
  <c r="X1862" i="5"/>
  <c r="W1862" i="5"/>
  <c r="X1327" i="5"/>
  <c r="W1327" i="5"/>
  <c r="X699" i="5"/>
  <c r="W699" i="5"/>
  <c r="X998" i="5"/>
  <c r="W998" i="5"/>
  <c r="X997" i="5"/>
  <c r="W997" i="5"/>
  <c r="X2208" i="5"/>
  <c r="W2208" i="5"/>
  <c r="X8" i="5"/>
  <c r="W8" i="5"/>
  <c r="X13" i="5"/>
  <c r="W13" i="5"/>
  <c r="X1490" i="5"/>
  <c r="W1490" i="5"/>
  <c r="X1718" i="5"/>
  <c r="W1718" i="5"/>
  <c r="X2088" i="5"/>
  <c r="W2088" i="5"/>
  <c r="X1961" i="5"/>
  <c r="W1961" i="5"/>
  <c r="X2047" i="5"/>
  <c r="W2047" i="5"/>
  <c r="X156" i="5"/>
  <c r="W156" i="5"/>
  <c r="X1584" i="5"/>
  <c r="W1584" i="5"/>
  <c r="X1159" i="5"/>
  <c r="W1159" i="5"/>
  <c r="X1668" i="5"/>
  <c r="W1668" i="5"/>
  <c r="X1717" i="5"/>
  <c r="W1717" i="5"/>
  <c r="X2168" i="5"/>
  <c r="W2168" i="5"/>
  <c r="X1378" i="5"/>
  <c r="W1378" i="5"/>
  <c r="X1377" i="5"/>
  <c r="W1377" i="5"/>
  <c r="X698" i="5"/>
  <c r="W698" i="5"/>
  <c r="X1086" i="5"/>
  <c r="W1086" i="5"/>
  <c r="X69" i="5"/>
  <c r="W69" i="5"/>
  <c r="X68" i="5"/>
  <c r="W68" i="5"/>
  <c r="X1450" i="5"/>
  <c r="W1450" i="5"/>
  <c r="X1489" i="5"/>
  <c r="W1489" i="5"/>
  <c r="X1716" i="5"/>
  <c r="W1716" i="5"/>
  <c r="X126" i="5"/>
  <c r="W126" i="5"/>
  <c r="X125" i="5"/>
  <c r="W125" i="5"/>
  <c r="X1279" i="5"/>
  <c r="W1279" i="5"/>
  <c r="X2167" i="5"/>
  <c r="W2167" i="5"/>
  <c r="X1158" i="5"/>
  <c r="W1158" i="5"/>
  <c r="X271" i="5"/>
  <c r="W271" i="5"/>
  <c r="X2116" i="5"/>
  <c r="W2116" i="5"/>
  <c r="X389" i="5"/>
  <c r="W389" i="5"/>
  <c r="X388" i="5"/>
  <c r="W388" i="5"/>
  <c r="X1999" i="5"/>
  <c r="W1999" i="5"/>
  <c r="X1621" i="5"/>
  <c r="W1621" i="5"/>
  <c r="X606" i="5"/>
  <c r="W606" i="5"/>
  <c r="X1540" i="5"/>
  <c r="W1540" i="5"/>
  <c r="X1583" i="5"/>
  <c r="W1583" i="5"/>
  <c r="X1767" i="5"/>
  <c r="W1767" i="5"/>
  <c r="X270" i="5"/>
  <c r="W270" i="5"/>
  <c r="X2150" i="5"/>
  <c r="W2150" i="5"/>
  <c r="X2149" i="5"/>
  <c r="W2149" i="5"/>
  <c r="X1085" i="5"/>
  <c r="W1085" i="5"/>
  <c r="X1539" i="5"/>
  <c r="W1539" i="5"/>
  <c r="X481" i="5"/>
  <c r="W481" i="5"/>
  <c r="X1449" i="5"/>
  <c r="W1449" i="5"/>
  <c r="X559" i="5"/>
  <c r="W559" i="5"/>
  <c r="X1582" i="5"/>
  <c r="W1582" i="5"/>
  <c r="X155" i="5"/>
  <c r="W155" i="5"/>
  <c r="X1766" i="5"/>
  <c r="W1766" i="5"/>
  <c r="X1765" i="5"/>
  <c r="W1765" i="5"/>
  <c r="X1861" i="5"/>
  <c r="W1861" i="5"/>
  <c r="X1326" i="5"/>
  <c r="W1326" i="5"/>
  <c r="X2087" i="5"/>
  <c r="W2087" i="5"/>
  <c r="X387" i="5"/>
  <c r="W387" i="5"/>
  <c r="X1620" i="5"/>
  <c r="W1620" i="5"/>
  <c r="X1538" i="5"/>
  <c r="W1538" i="5"/>
  <c r="X1667" i="5"/>
  <c r="W1667" i="5"/>
  <c r="X558" i="5"/>
  <c r="W558" i="5"/>
  <c r="X778" i="5"/>
  <c r="W778" i="5"/>
  <c r="X1998" i="5"/>
  <c r="W1998" i="5"/>
  <c r="X2184" i="5"/>
  <c r="W2184" i="5"/>
  <c r="X2207" i="5"/>
  <c r="W2207" i="5"/>
  <c r="X226" i="5"/>
  <c r="W226" i="5"/>
  <c r="X2183" i="5"/>
  <c r="W2183" i="5"/>
  <c r="X2182" i="5"/>
  <c r="W2182" i="5"/>
  <c r="X1376" i="5"/>
  <c r="W1376" i="5"/>
  <c r="X154" i="5"/>
  <c r="W154" i="5"/>
  <c r="X777" i="5"/>
  <c r="W777" i="5"/>
  <c r="X921" i="5"/>
  <c r="W921" i="5"/>
  <c r="X1619" i="5"/>
  <c r="W1619" i="5"/>
  <c r="X7" i="5"/>
  <c r="W7" i="5"/>
  <c r="X1084" i="5"/>
  <c r="W1084" i="5"/>
  <c r="X920" i="5"/>
  <c r="W920" i="5"/>
  <c r="X153" i="5"/>
  <c r="W153" i="5"/>
  <c r="X22" i="5"/>
  <c r="W22" i="5"/>
  <c r="X1227" i="5"/>
  <c r="W1227" i="5"/>
  <c r="X1537" i="5"/>
  <c r="W1537" i="5"/>
  <c r="X2148" i="5"/>
  <c r="W2148" i="5"/>
  <c r="X697" i="5"/>
  <c r="W697" i="5"/>
  <c r="X696" i="5"/>
  <c r="W696" i="5"/>
  <c r="X2147" i="5"/>
  <c r="W2147" i="5"/>
  <c r="X1997" i="5"/>
  <c r="W1997" i="5"/>
  <c r="X1996" i="5"/>
  <c r="W1996" i="5"/>
  <c r="X1995" i="5"/>
  <c r="W1995" i="5"/>
  <c r="X776" i="5"/>
  <c r="W776" i="5"/>
  <c r="X848" i="5"/>
  <c r="W848" i="5"/>
  <c r="X1810" i="5"/>
  <c r="W1810" i="5"/>
  <c r="X306" i="5"/>
  <c r="W306" i="5"/>
  <c r="X305" i="5"/>
  <c r="W305" i="5"/>
  <c r="X695" i="5"/>
  <c r="W695" i="5"/>
  <c r="X98" i="5"/>
  <c r="W98" i="5"/>
  <c r="X97" i="5"/>
  <c r="W97" i="5"/>
  <c r="X1715" i="5"/>
  <c r="W1715" i="5"/>
  <c r="X1994" i="5"/>
  <c r="W1994" i="5"/>
  <c r="X1375" i="5"/>
  <c r="W1375" i="5"/>
  <c r="X1374" i="5"/>
  <c r="W1374" i="5"/>
  <c r="X1083" i="5"/>
  <c r="W1083" i="5"/>
  <c r="X1581" i="5"/>
  <c r="W1581" i="5"/>
  <c r="X919" i="5"/>
  <c r="W919" i="5"/>
  <c r="X918" i="5"/>
  <c r="W918" i="5"/>
  <c r="X1960" i="5"/>
  <c r="W1960" i="5"/>
  <c r="X557" i="5"/>
  <c r="W557" i="5"/>
  <c r="X1993" i="5"/>
  <c r="W1993" i="5"/>
  <c r="X1714" i="5"/>
  <c r="W1714" i="5"/>
  <c r="X605" i="5"/>
  <c r="W605" i="5"/>
  <c r="X1448" i="5"/>
  <c r="W1448" i="5"/>
  <c r="X1912" i="5"/>
  <c r="W1912" i="5"/>
  <c r="X427" i="5"/>
  <c r="W427" i="5"/>
  <c r="X1536" i="5"/>
  <c r="W1536" i="5"/>
  <c r="X1535" i="5"/>
  <c r="W1535" i="5"/>
  <c r="X67" i="5"/>
  <c r="W67" i="5"/>
  <c r="X480" i="5"/>
  <c r="W480" i="5"/>
  <c r="X847" i="5"/>
  <c r="W847" i="5"/>
  <c r="X37" i="5"/>
  <c r="W37" i="5"/>
  <c r="X1534" i="5"/>
  <c r="W1534" i="5"/>
  <c r="X1325" i="5"/>
  <c r="W1325" i="5"/>
  <c r="X1809" i="5"/>
  <c r="W1809" i="5"/>
  <c r="X1580" i="5"/>
  <c r="W1580" i="5"/>
  <c r="X269" i="5"/>
  <c r="W269" i="5"/>
  <c r="X2046" i="5"/>
  <c r="W2046" i="5"/>
  <c r="X1911" i="5"/>
  <c r="W1911" i="5"/>
  <c r="X694" i="5"/>
  <c r="W694" i="5"/>
  <c r="X917" i="5"/>
  <c r="W917" i="5"/>
  <c r="X916" i="5"/>
  <c r="W916" i="5"/>
  <c r="X996" i="5"/>
  <c r="W996" i="5"/>
  <c r="X21" i="5"/>
  <c r="W21" i="5"/>
  <c r="X350" i="5"/>
  <c r="W350" i="5"/>
  <c r="X268" i="5"/>
  <c r="W268" i="5"/>
  <c r="X1666" i="5"/>
  <c r="W1666" i="5"/>
  <c r="X1618" i="5"/>
  <c r="W1618" i="5"/>
  <c r="X96" i="5"/>
  <c r="W96" i="5"/>
  <c r="X1665" i="5"/>
  <c r="W1665" i="5"/>
  <c r="X1664" i="5"/>
  <c r="W1664" i="5"/>
  <c r="X479" i="5"/>
  <c r="W479" i="5"/>
  <c r="X426" i="5"/>
  <c r="W426" i="5"/>
  <c r="X349" i="5"/>
  <c r="W349" i="5"/>
  <c r="X1579" i="5"/>
  <c r="W1579" i="5"/>
  <c r="X66" i="5"/>
  <c r="W66" i="5"/>
  <c r="X1617" i="5"/>
  <c r="W1617" i="5"/>
  <c r="X1663" i="5"/>
  <c r="W1663" i="5"/>
  <c r="X1324" i="5"/>
  <c r="W1324" i="5"/>
  <c r="X267" i="5"/>
  <c r="W267" i="5"/>
  <c r="X846" i="5"/>
  <c r="W846" i="5"/>
  <c r="X36" i="5"/>
  <c r="W36" i="5"/>
  <c r="X225" i="5"/>
  <c r="W225" i="5"/>
  <c r="X1808" i="5"/>
  <c r="W1808" i="5"/>
  <c r="X95" i="5"/>
  <c r="W95" i="5"/>
  <c r="X35" i="5"/>
  <c r="W35" i="5"/>
  <c r="X425" i="5"/>
  <c r="W425" i="5"/>
  <c r="X1807" i="5"/>
  <c r="W1807" i="5"/>
  <c r="X34" i="5"/>
  <c r="W34" i="5"/>
  <c r="X33" i="5"/>
  <c r="W33" i="5"/>
  <c r="X266" i="5"/>
  <c r="W266" i="5"/>
  <c r="X1082" i="5"/>
  <c r="W1082" i="5"/>
  <c r="X2146" i="5"/>
  <c r="W2146" i="5"/>
  <c r="X1910" i="5"/>
  <c r="W1910" i="5"/>
  <c r="X348" i="5"/>
  <c r="W348" i="5"/>
  <c r="X49" i="5"/>
  <c r="W49" i="5"/>
  <c r="X1806" i="5"/>
  <c r="W1806" i="5"/>
  <c r="X995" i="5"/>
  <c r="W995" i="5"/>
  <c r="X2166" i="5"/>
  <c r="W2166" i="5"/>
  <c r="X152" i="5"/>
  <c r="W152" i="5"/>
  <c r="X693" i="5"/>
  <c r="W693" i="5"/>
  <c r="X2145" i="5"/>
  <c r="W2145" i="5"/>
  <c r="X265" i="5"/>
  <c r="W265" i="5"/>
  <c r="X193" i="5"/>
  <c r="W193" i="5"/>
  <c r="X1616" i="5"/>
  <c r="W1616" i="5"/>
  <c r="X20" i="5"/>
  <c r="W20" i="5"/>
  <c r="X151" i="5"/>
  <c r="W151" i="5"/>
  <c r="X845" i="5"/>
  <c r="W845" i="5"/>
  <c r="X2220" i="5"/>
  <c r="W2220" i="5"/>
  <c r="X1909" i="5"/>
  <c r="W1909" i="5"/>
  <c r="X1081" i="5"/>
  <c r="W1081" i="5"/>
  <c r="X1959" i="5"/>
  <c r="W1959" i="5"/>
  <c r="X1958" i="5"/>
  <c r="W1958" i="5"/>
  <c r="X1713" i="5"/>
  <c r="W1713" i="5"/>
  <c r="X2045" i="5"/>
  <c r="W2045" i="5"/>
  <c r="X1157" i="5"/>
  <c r="W1157" i="5"/>
  <c r="X124" i="5"/>
  <c r="W124" i="5"/>
  <c r="X12" i="5"/>
  <c r="W12" i="5"/>
  <c r="X386" i="5"/>
  <c r="W386" i="5"/>
  <c r="X48" i="5"/>
  <c r="W48" i="5"/>
  <c r="X556" i="5"/>
  <c r="W556" i="5"/>
  <c r="X1615" i="5"/>
  <c r="W1615" i="5"/>
  <c r="X1614" i="5"/>
  <c r="W1614" i="5"/>
  <c r="X264" i="5"/>
  <c r="W264" i="5"/>
  <c r="X555" i="5"/>
  <c r="W555" i="5"/>
  <c r="X775" i="5"/>
  <c r="W775" i="5"/>
  <c r="X1080" i="5"/>
  <c r="W1080" i="5"/>
  <c r="X2199" i="5"/>
  <c r="W2199" i="5"/>
  <c r="AC2199" i="5"/>
  <c r="AC1080" i="5"/>
  <c r="AC775" i="5"/>
  <c r="AC555" i="5"/>
  <c r="AC264" i="5"/>
  <c r="AC1614" i="5"/>
  <c r="AC1615" i="5"/>
  <c r="AC556" i="5"/>
  <c r="AC48" i="5"/>
  <c r="AC386" i="5"/>
  <c r="AC12" i="5"/>
  <c r="AC124" i="5"/>
  <c r="AC1157" i="5"/>
  <c r="AC2045" i="5"/>
  <c r="AC1713" i="5"/>
  <c r="AC1958" i="5"/>
  <c r="AC1959" i="5"/>
  <c r="AC1081" i="5"/>
  <c r="AC1909" i="5"/>
  <c r="AC2220" i="5"/>
  <c r="AC845" i="5"/>
  <c r="AC151" i="5"/>
  <c r="AC20" i="5"/>
  <c r="AC1616" i="5"/>
  <c r="AC193" i="5"/>
  <c r="AC265" i="5"/>
  <c r="AC2145" i="5"/>
  <c r="AC693" i="5"/>
  <c r="AC152" i="5"/>
  <c r="AC2166" i="5"/>
  <c r="AC995" i="5"/>
  <c r="AC1806" i="5"/>
  <c r="AC49" i="5"/>
  <c r="AC348" i="5"/>
  <c r="AC1910" i="5"/>
  <c r="AC2146" i="5"/>
  <c r="AC1082" i="5"/>
  <c r="AC266" i="5"/>
  <c r="AC33" i="5"/>
  <c r="AC34" i="5"/>
  <c r="AC1807" i="5"/>
  <c r="AC425" i="5"/>
  <c r="AC35" i="5"/>
  <c r="AC95" i="5"/>
  <c r="AC1808" i="5"/>
  <c r="AC225" i="5"/>
  <c r="AC36" i="5"/>
  <c r="AC846" i="5"/>
  <c r="AC267" i="5"/>
  <c r="AC1324" i="5"/>
  <c r="AC1663" i="5"/>
  <c r="AC1617" i="5"/>
  <c r="AC66" i="5"/>
  <c r="AC1579" i="5"/>
  <c r="AC349" i="5"/>
  <c r="AC426" i="5"/>
  <c r="AC479" i="5"/>
  <c r="AC1664" i="5"/>
  <c r="AC1665" i="5"/>
  <c r="AC96" i="5"/>
  <c r="AC1618" i="5"/>
  <c r="AC1666" i="5"/>
  <c r="AC268" i="5"/>
  <c r="AC350" i="5"/>
  <c r="AC21" i="5"/>
  <c r="AC996" i="5"/>
  <c r="AC916" i="5"/>
  <c r="AC917" i="5"/>
  <c r="AC694" i="5"/>
  <c r="AC1911" i="5"/>
  <c r="AC2046" i="5"/>
  <c r="AC269" i="5"/>
  <c r="AC1580" i="5"/>
  <c r="AC1809" i="5"/>
  <c r="AC1325" i="5"/>
  <c r="AC1534" i="5"/>
  <c r="AC37" i="5"/>
  <c r="AC847" i="5"/>
  <c r="AC480" i="5"/>
  <c r="AC67" i="5"/>
  <c r="AC1535" i="5"/>
  <c r="AC1536" i="5"/>
  <c r="AC427" i="5"/>
  <c r="AC1912" i="5"/>
  <c r="AC1448" i="5"/>
  <c r="AC605" i="5"/>
  <c r="AC1714" i="5"/>
  <c r="AC1993" i="5"/>
  <c r="AC557" i="5"/>
  <c r="AC1960" i="5"/>
  <c r="AC918" i="5"/>
  <c r="AC919" i="5"/>
  <c r="AC1581" i="5"/>
  <c r="AC1083" i="5"/>
  <c r="AC1374" i="5"/>
  <c r="AC1375" i="5"/>
  <c r="AC1994" i="5"/>
  <c r="AC1715" i="5"/>
  <c r="AC97" i="5"/>
  <c r="AC98" i="5"/>
  <c r="AC695" i="5"/>
  <c r="AC305" i="5"/>
  <c r="AC306" i="5"/>
  <c r="AC1810" i="5"/>
  <c r="AC848" i="5"/>
  <c r="AC776" i="5"/>
  <c r="AC1995" i="5"/>
  <c r="AC1996" i="5"/>
  <c r="AC1997" i="5"/>
  <c r="AC2147" i="5"/>
  <c r="AC696" i="5"/>
  <c r="AC697" i="5"/>
  <c r="AC2148" i="5"/>
  <c r="AC1537" i="5"/>
  <c r="AC1227" i="5"/>
  <c r="AC22" i="5"/>
  <c r="AC153" i="5"/>
  <c r="AC920" i="5"/>
  <c r="AC1084" i="5"/>
  <c r="AC7" i="5"/>
  <c r="AC1619" i="5"/>
  <c r="AC921" i="5"/>
  <c r="AC777" i="5"/>
  <c r="AC154" i="5"/>
  <c r="AC1376" i="5"/>
  <c r="AC2182" i="5"/>
  <c r="AC2183" i="5"/>
  <c r="AC226" i="5"/>
  <c r="AC2207" i="5"/>
  <c r="AC2184" i="5"/>
  <c r="AC1998" i="5"/>
  <c r="AC778" i="5"/>
  <c r="AC558" i="5"/>
  <c r="AC1667" i="5"/>
  <c r="AC1538" i="5"/>
  <c r="AC1620" i="5"/>
  <c r="AC387" i="5"/>
  <c r="AC2087" i="5"/>
  <c r="AC1326" i="5"/>
  <c r="AC1861" i="5"/>
  <c r="AC1765" i="5"/>
  <c r="AC1766" i="5"/>
  <c r="AC155" i="5"/>
  <c r="AC1582" i="5"/>
  <c r="AC559" i="5"/>
  <c r="AC1449" i="5"/>
  <c r="AC481" i="5"/>
  <c r="AC1539" i="5"/>
  <c r="AC1085" i="5"/>
  <c r="AC2149" i="5"/>
  <c r="AC2150" i="5"/>
  <c r="AC270" i="5"/>
  <c r="AC1767" i="5"/>
  <c r="AC1583" i="5"/>
  <c r="AC1540" i="5"/>
  <c r="AC606" i="5"/>
  <c r="AC1621" i="5"/>
  <c r="AC1999" i="5"/>
  <c r="AC388" i="5"/>
  <c r="AC389" i="5"/>
  <c r="AC2116" i="5"/>
  <c r="AC271" i="5"/>
  <c r="AC1158" i="5"/>
  <c r="AC2167" i="5"/>
  <c r="AC1279" i="5"/>
  <c r="AC125" i="5"/>
  <c r="AC126" i="5"/>
  <c r="AC1716" i="5"/>
  <c r="AC1489" i="5"/>
  <c r="AC1450" i="5"/>
  <c r="AC68" i="5"/>
  <c r="AC69" i="5"/>
  <c r="AC1086" i="5"/>
  <c r="AC698" i="5"/>
  <c r="AC1377" i="5"/>
  <c r="AC1378" i="5"/>
  <c r="AC2168" i="5"/>
  <c r="AC1717" i="5"/>
  <c r="AC1668" i="5"/>
  <c r="AC1159" i="5"/>
  <c r="AC1584" i="5"/>
  <c r="AC156" i="5"/>
  <c r="AC2047" i="5"/>
  <c r="AC1961" i="5"/>
  <c r="AC2088" i="5"/>
  <c r="AC1718" i="5"/>
  <c r="AC1490" i="5"/>
  <c r="AC13" i="5"/>
  <c r="AC8" i="5"/>
  <c r="AC2208" i="5"/>
  <c r="AC997" i="5"/>
  <c r="AC998" i="5"/>
  <c r="AC699" i="5"/>
  <c r="AC1327" i="5"/>
  <c r="AC1862" i="5"/>
  <c r="AC2117" i="5"/>
  <c r="AC1087" i="5"/>
  <c r="AC1863" i="5"/>
  <c r="AC2209" i="5"/>
  <c r="AC700" i="5"/>
  <c r="AC157" i="5"/>
  <c r="AC922" i="5"/>
  <c r="AC923" i="5"/>
  <c r="AC14" i="5"/>
  <c r="AC1491" i="5"/>
  <c r="AC1492" i="5"/>
  <c r="AC1913" i="5"/>
  <c r="AC390" i="5"/>
  <c r="AC1328" i="5"/>
  <c r="AC607" i="5"/>
  <c r="AC924" i="5"/>
  <c r="AC307" i="5"/>
  <c r="AC1914" i="5"/>
  <c r="AC1669" i="5"/>
  <c r="AC1719" i="5"/>
  <c r="AC1864" i="5"/>
  <c r="AC1720" i="5"/>
  <c r="AC1160" i="5"/>
  <c r="AC608" i="5"/>
  <c r="AC779" i="5"/>
  <c r="AC227" i="5"/>
  <c r="AC849" i="5"/>
  <c r="AC850" i="5"/>
  <c r="AC1622" i="5"/>
  <c r="AC158" i="5"/>
  <c r="AC1811" i="5"/>
  <c r="AC1088" i="5"/>
  <c r="AC1585" i="5"/>
  <c r="AC15" i="5"/>
  <c r="AC701" i="5"/>
  <c r="AC702" i="5"/>
  <c r="AC1280" i="5"/>
  <c r="AC1281" i="5"/>
  <c r="AC1451" i="5"/>
  <c r="AC1721" i="5"/>
  <c r="AC2048" i="5"/>
  <c r="AC999" i="5"/>
  <c r="AC851" i="5"/>
  <c r="AC1452" i="5"/>
  <c r="AC391" i="5"/>
  <c r="AC560" i="5"/>
  <c r="AC272" i="5"/>
  <c r="AC1000" i="5"/>
  <c r="AC1768" i="5"/>
  <c r="AC1089" i="5"/>
  <c r="AC2185" i="5"/>
  <c r="AC1769" i="5"/>
  <c r="AC2049" i="5"/>
  <c r="AC2050" i="5"/>
  <c r="AC1623" i="5"/>
  <c r="AC2151" i="5"/>
  <c r="AC1329" i="5"/>
  <c r="AC609" i="5"/>
  <c r="AC159" i="5"/>
  <c r="AC1670" i="5"/>
  <c r="AC1722" i="5"/>
  <c r="AC99" i="5"/>
  <c r="AC780" i="5"/>
  <c r="AC2169" i="5"/>
  <c r="AC925" i="5"/>
  <c r="AC1001" i="5"/>
  <c r="AC1812" i="5"/>
  <c r="AC926" i="5"/>
  <c r="AC1915" i="5"/>
  <c r="AC351" i="5"/>
  <c r="AC1282" i="5"/>
  <c r="AC1723" i="5"/>
  <c r="AC70" i="5"/>
  <c r="AC1283" i="5"/>
  <c r="AC1284" i="5"/>
  <c r="AC2170" i="5"/>
  <c r="AC1090" i="5"/>
  <c r="AC2000" i="5"/>
  <c r="AC2214" i="5"/>
  <c r="AC482" i="5"/>
  <c r="AC428" i="5"/>
  <c r="AC1671" i="5"/>
  <c r="AC2171" i="5"/>
  <c r="AC1493" i="5"/>
  <c r="AC1228" i="5"/>
  <c r="AC1813" i="5"/>
  <c r="AC392" i="5"/>
  <c r="AC1379" i="5"/>
  <c r="AC429" i="5"/>
  <c r="AC430" i="5"/>
  <c r="AC1770" i="5"/>
  <c r="AC1494" i="5"/>
  <c r="AC2152" i="5"/>
  <c r="AC927" i="5"/>
  <c r="AC1624" i="5"/>
  <c r="AC2001" i="5"/>
  <c r="AC1865" i="5"/>
  <c r="AC2118" i="5"/>
  <c r="AC1285" i="5"/>
  <c r="AC2089" i="5"/>
  <c r="AC1380" i="5"/>
  <c r="AC1916" i="5"/>
  <c r="AC1161" i="5"/>
  <c r="AC273" i="5"/>
  <c r="AC1541" i="5"/>
  <c r="AC703" i="5"/>
  <c r="AC1814" i="5"/>
  <c r="AC704" i="5"/>
  <c r="AC1091" i="5"/>
  <c r="AC1002" i="5"/>
  <c r="AC393" i="5"/>
  <c r="AC1672" i="5"/>
  <c r="AC928" i="5"/>
  <c r="AC2153" i="5"/>
  <c r="AC1542" i="5"/>
  <c r="AC1543" i="5"/>
  <c r="AC705" i="5"/>
  <c r="AC1625" i="5"/>
  <c r="AC1866" i="5"/>
  <c r="AC1229" i="5"/>
  <c r="AC2051" i="5"/>
  <c r="AC2215" i="5"/>
  <c r="AC610" i="5"/>
  <c r="AC127" i="5"/>
  <c r="AC308" i="5"/>
  <c r="AC309" i="5"/>
  <c r="AC352" i="5"/>
  <c r="AC353" i="5"/>
  <c r="AC1162" i="5"/>
  <c r="AC1286" i="5"/>
  <c r="AC781" i="5"/>
  <c r="AC1230" i="5"/>
  <c r="AC431" i="5"/>
  <c r="AC432" i="5"/>
  <c r="AC611" i="5"/>
  <c r="AC483" i="5"/>
  <c r="AC71" i="5"/>
  <c r="AC1092" i="5"/>
  <c r="AC1724" i="5"/>
  <c r="AC561" i="5"/>
  <c r="AC1917" i="5"/>
  <c r="AC1771" i="5"/>
  <c r="AC2002" i="5"/>
  <c r="AC1381" i="5"/>
  <c r="AC1867" i="5"/>
  <c r="AC929" i="5"/>
  <c r="AC1453" i="5"/>
  <c r="AC1725" i="5"/>
  <c r="AC2003" i="5"/>
  <c r="AC2004" i="5"/>
  <c r="AC23" i="5"/>
  <c r="AC1544" i="5"/>
  <c r="AC1673" i="5"/>
  <c r="AC1962" i="5"/>
  <c r="AC612" i="5"/>
  <c r="AC562" i="5"/>
  <c r="AC1163" i="5"/>
  <c r="AC1586" i="5"/>
  <c r="AC1587" i="5"/>
  <c r="AC2119" i="5"/>
  <c r="AC1093" i="5"/>
  <c r="AC1382" i="5"/>
  <c r="AC1868" i="5"/>
  <c r="AC930" i="5"/>
  <c r="AC1918" i="5"/>
  <c r="AC1003" i="5"/>
  <c r="AC2172" i="5"/>
  <c r="AC16" i="5"/>
  <c r="AC17" i="5"/>
  <c r="AC1004" i="5"/>
  <c r="AC1869" i="5"/>
  <c r="AC1726" i="5"/>
  <c r="AC50" i="5"/>
  <c r="AC706" i="5"/>
  <c r="AC707" i="5"/>
  <c r="AC310" i="5"/>
  <c r="AC613" i="5"/>
  <c r="AC128" i="5"/>
  <c r="AC852" i="5"/>
  <c r="AC1963" i="5"/>
  <c r="AC484" i="5"/>
  <c r="AC1772" i="5"/>
  <c r="AC2052" i="5"/>
  <c r="AC1005" i="5"/>
  <c r="AC51" i="5"/>
  <c r="AC1383" i="5"/>
  <c r="AC1231" i="5"/>
  <c r="AC129" i="5"/>
  <c r="AC311" i="5"/>
  <c r="AC1164" i="5"/>
  <c r="AC130" i="5"/>
  <c r="AC228" i="5"/>
  <c r="AC708" i="5"/>
  <c r="AC1626" i="5"/>
  <c r="AC2173" i="5"/>
  <c r="AC2174" i="5"/>
  <c r="AC1495" i="5"/>
  <c r="AC1094" i="5"/>
  <c r="AC1095" i="5"/>
  <c r="AC1870" i="5"/>
  <c r="AC1727" i="5"/>
  <c r="AC194" i="5"/>
  <c r="AC1545" i="5"/>
  <c r="AC1165" i="5"/>
  <c r="AC2120" i="5"/>
  <c r="AC1871" i="5"/>
  <c r="AC1872" i="5"/>
  <c r="AC229" i="5"/>
  <c r="AC1919" i="5"/>
  <c r="AC931" i="5"/>
  <c r="AC1166" i="5"/>
  <c r="AC18" i="5"/>
  <c r="AC614" i="5"/>
  <c r="AC615" i="5"/>
  <c r="AC2121" i="5"/>
  <c r="AC2053" i="5"/>
  <c r="AC1006" i="5"/>
  <c r="AC2005" i="5"/>
  <c r="AC1546" i="5"/>
  <c r="AC1384" i="5"/>
  <c r="AC485" i="5"/>
  <c r="AC563" i="5"/>
  <c r="AC782" i="5"/>
  <c r="AC1920" i="5"/>
  <c r="AC1921" i="5"/>
  <c r="AC354" i="5"/>
  <c r="AC433" i="5"/>
  <c r="AC2122" i="5"/>
  <c r="AC1547" i="5"/>
  <c r="AC1007" i="5"/>
  <c r="AC2054" i="5"/>
  <c r="AC1728" i="5"/>
  <c r="AC160" i="5"/>
  <c r="AC161" i="5"/>
  <c r="AC1815" i="5"/>
  <c r="AC564" i="5"/>
  <c r="AC312" i="5"/>
  <c r="AC313" i="5"/>
  <c r="AC486" i="5"/>
  <c r="AC1008" i="5"/>
  <c r="AC1009" i="5"/>
  <c r="AC1674" i="5"/>
  <c r="AC1729" i="5"/>
  <c r="AC1548" i="5"/>
  <c r="AC434" i="5"/>
  <c r="AC1385" i="5"/>
  <c r="AC2200" i="5"/>
  <c r="AC1010" i="5"/>
  <c r="AC1386" i="5"/>
  <c r="AC783" i="5"/>
  <c r="AC1549" i="5"/>
  <c r="AC487" i="5"/>
  <c r="AC1816" i="5"/>
  <c r="AC1675" i="5"/>
  <c r="AC1676" i="5"/>
  <c r="AC1387" i="5"/>
  <c r="AC616" i="5"/>
  <c r="AC1677" i="5"/>
  <c r="AC9" i="5"/>
  <c r="AC853" i="5"/>
  <c r="AC1773" i="5"/>
  <c r="AC2055" i="5"/>
  <c r="AC488" i="5"/>
  <c r="AC1627" i="5"/>
  <c r="AC195" i="5"/>
  <c r="AC932" i="5"/>
  <c r="AC1388" i="5"/>
  <c r="AC1389" i="5"/>
  <c r="AC617" i="5"/>
  <c r="AC1011" i="5"/>
  <c r="AC1287" i="5"/>
  <c r="AC394" i="5"/>
  <c r="AC2056" i="5"/>
  <c r="AC1232" i="5"/>
  <c r="AC1330" i="5"/>
  <c r="AC2154" i="5"/>
  <c r="AC1288" i="5"/>
  <c r="AC230" i="5"/>
  <c r="AC1873" i="5"/>
  <c r="AC1096" i="5"/>
  <c r="AC196" i="5"/>
  <c r="AC197" i="5"/>
  <c r="AC1233" i="5"/>
  <c r="AC2006" i="5"/>
  <c r="AC19" i="5"/>
  <c r="AC1964" i="5"/>
  <c r="AC489" i="5"/>
  <c r="AC1922" i="5"/>
  <c r="AC618" i="5"/>
  <c r="AC2201" i="5"/>
  <c r="AC435" i="5"/>
  <c r="AC2175" i="5"/>
  <c r="AC709" i="5"/>
  <c r="AC1331" i="5"/>
  <c r="AC619" i="5"/>
  <c r="AC620" i="5"/>
  <c r="AC2123" i="5"/>
  <c r="AC274" i="5"/>
  <c r="AC933" i="5"/>
  <c r="AC1167" i="5"/>
  <c r="AC1390" i="5"/>
  <c r="AC1923" i="5"/>
  <c r="AC314" i="5"/>
  <c r="AC315" i="5"/>
  <c r="AC1391" i="5"/>
  <c r="AC1454" i="5"/>
  <c r="AC1012" i="5"/>
  <c r="AC1168" i="5"/>
  <c r="AC1392" i="5"/>
  <c r="AC162" i="5"/>
  <c r="AC2007" i="5"/>
  <c r="AC1332" i="5"/>
  <c r="AC2202" i="5"/>
  <c r="AC784" i="5"/>
  <c r="AC2057" i="5"/>
  <c r="AC1234" i="5"/>
  <c r="AC395" i="5"/>
  <c r="AC1550" i="5"/>
  <c r="AC3" i="5"/>
  <c r="AC275" i="5"/>
  <c r="AC396" i="5"/>
  <c r="AC1169" i="5"/>
  <c r="AC854" i="5"/>
  <c r="AC565" i="5"/>
  <c r="AC2124" i="5"/>
  <c r="AC710" i="5"/>
  <c r="AC1965" i="5"/>
  <c r="AC1393" i="5"/>
  <c r="AC1817" i="5"/>
  <c r="AC934" i="5"/>
  <c r="AC2008" i="5"/>
  <c r="AC1394" i="5"/>
  <c r="AC1395" i="5"/>
  <c r="AC316" i="5"/>
  <c r="AC317" i="5"/>
  <c r="AC2125" i="5"/>
  <c r="AC1730" i="5"/>
  <c r="AC1097" i="5"/>
  <c r="AC1098" i="5"/>
  <c r="AC1333" i="5"/>
  <c r="AC1099" i="5"/>
  <c r="AC1678" i="5"/>
  <c r="AC1289" i="5"/>
  <c r="AC1170" i="5"/>
  <c r="AC1171" i="5"/>
  <c r="AC38" i="5"/>
  <c r="AC39" i="5"/>
  <c r="AC2186" i="5"/>
  <c r="AC100" i="5"/>
  <c r="AC101" i="5"/>
  <c r="AC318" i="5"/>
  <c r="AC102" i="5"/>
  <c r="AC103" i="5"/>
  <c r="AC1172" i="5"/>
  <c r="AC2" i="5"/>
  <c r="AC621" i="5"/>
  <c r="AC785" i="5"/>
  <c r="AC1455" i="5"/>
  <c r="AC1731" i="5"/>
  <c r="AC436" i="5"/>
  <c r="AC1774" i="5"/>
  <c r="AC1456" i="5"/>
  <c r="AC40" i="5"/>
  <c r="AC1496" i="5"/>
  <c r="AC1497" i="5"/>
  <c r="AC2176" i="5"/>
  <c r="AC490" i="5"/>
  <c r="AC2126" i="5"/>
  <c r="AC2127" i="5"/>
  <c r="AC711" i="5"/>
  <c r="AC1679" i="5"/>
  <c r="AC1628" i="5"/>
  <c r="AC2058" i="5"/>
  <c r="AC131" i="5"/>
  <c r="AC104" i="5"/>
  <c r="AC105" i="5"/>
  <c r="AC1100" i="5"/>
  <c r="AC397" i="5"/>
  <c r="AC2177" i="5"/>
  <c r="AC786" i="5"/>
  <c r="AC787" i="5"/>
  <c r="AC788" i="5"/>
  <c r="AC2009" i="5"/>
  <c r="AC855" i="5"/>
  <c r="AC132" i="5"/>
  <c r="AC1101" i="5"/>
  <c r="AC1102" i="5"/>
  <c r="AC2059" i="5"/>
  <c r="AC1173" i="5"/>
  <c r="AC1103" i="5"/>
  <c r="AC4" i="5"/>
  <c r="AC1290" i="5"/>
  <c r="AC1334" i="5"/>
  <c r="AC1732" i="5"/>
  <c r="AC1874" i="5"/>
  <c r="AC1818" i="5"/>
  <c r="AC1966" i="5"/>
  <c r="AC2060" i="5"/>
  <c r="AC491" i="5"/>
  <c r="AC1924" i="5"/>
  <c r="AC72" i="5"/>
  <c r="AC106" i="5"/>
  <c r="AC1733" i="5"/>
  <c r="AC2187" i="5"/>
  <c r="AC2188" i="5"/>
  <c r="AC1291" i="5"/>
  <c r="AC1104" i="5"/>
  <c r="AC1775" i="5"/>
  <c r="AC319" i="5"/>
  <c r="AC320" i="5"/>
  <c r="AC712" i="5"/>
  <c r="AC1776" i="5"/>
  <c r="AC1174" i="5"/>
  <c r="AC1551" i="5"/>
  <c r="AC198" i="5"/>
  <c r="AC1396" i="5"/>
  <c r="AC1175" i="5"/>
  <c r="AC622" i="5"/>
  <c r="AC1875" i="5"/>
  <c r="AC1588" i="5"/>
  <c r="AC2155" i="5"/>
  <c r="AC492" i="5"/>
  <c r="AC493" i="5"/>
  <c r="AC1819" i="5"/>
  <c r="AC1498" i="5"/>
  <c r="AC1013" i="5"/>
  <c r="AC1397" i="5"/>
  <c r="AC2189" i="5"/>
  <c r="AC1777" i="5"/>
  <c r="AC2178" i="5"/>
  <c r="AC623" i="5"/>
  <c r="AC1105" i="5"/>
  <c r="AC2203" i="5"/>
  <c r="AC494" i="5"/>
  <c r="AC1335" i="5"/>
  <c r="AC1014" i="5"/>
  <c r="AC1292" i="5"/>
  <c r="AC1876" i="5"/>
  <c r="AC1176" i="5"/>
  <c r="AC1398" i="5"/>
  <c r="AC1106" i="5"/>
  <c r="AC935" i="5"/>
  <c r="AC1629" i="5"/>
  <c r="AC936" i="5"/>
  <c r="AC937" i="5"/>
  <c r="AC624" i="5"/>
  <c r="AC789" i="5"/>
  <c r="AC1967" i="5"/>
  <c r="AC1457" i="5"/>
  <c r="AC1458" i="5"/>
  <c r="AC1680" i="5"/>
  <c r="AC1734" i="5"/>
  <c r="AC1778" i="5"/>
  <c r="AC1779" i="5"/>
  <c r="AC1780" i="5"/>
  <c r="AC790" i="5"/>
  <c r="AC231" i="5"/>
  <c r="AC791" i="5"/>
  <c r="AC856" i="5"/>
  <c r="AC1925" i="5"/>
  <c r="AC1926" i="5"/>
  <c r="AC1552" i="5"/>
  <c r="AC857" i="5"/>
  <c r="AC398" i="5"/>
  <c r="AC2210" i="5"/>
  <c r="AC1399" i="5"/>
  <c r="AC1877" i="5"/>
  <c r="AC1735" i="5"/>
  <c r="AC1177" i="5"/>
  <c r="AC321" i="5"/>
  <c r="AC1736" i="5"/>
  <c r="AC713" i="5"/>
  <c r="AC625" i="5"/>
  <c r="AC626" i="5"/>
  <c r="AC1293" i="5"/>
  <c r="AC2216" i="5"/>
  <c r="AC1681" i="5"/>
  <c r="AC1737" i="5"/>
  <c r="AC2061" i="5"/>
  <c r="AC627" i="5"/>
  <c r="AC2090" i="5"/>
  <c r="AC1820" i="5"/>
  <c r="AC1821" i="5"/>
  <c r="AC1781" i="5"/>
  <c r="AC2010" i="5"/>
  <c r="AC495" i="5"/>
  <c r="AC1015" i="5"/>
  <c r="AC1016" i="5"/>
  <c r="AC1107" i="5"/>
  <c r="AC1235" i="5"/>
  <c r="AC1927" i="5"/>
  <c r="AC52" i="5"/>
  <c r="AC1968" i="5"/>
  <c r="AC1928" i="5"/>
  <c r="AC938" i="5"/>
  <c r="AC73" i="5"/>
  <c r="AC1108" i="5"/>
  <c r="AC199" i="5"/>
  <c r="AC1589" i="5"/>
  <c r="AC1590" i="5"/>
  <c r="AC1499" i="5"/>
  <c r="AC1400" i="5"/>
  <c r="AC1459" i="5"/>
  <c r="AC1969" i="5"/>
  <c r="AC1460" i="5"/>
  <c r="AC1822" i="5"/>
  <c r="AC2190" i="5"/>
  <c r="AC2191" i="5"/>
  <c r="AC2011" i="5"/>
  <c r="AC792" i="5"/>
  <c r="AC1461" i="5"/>
  <c r="AC1236" i="5"/>
  <c r="AC1823" i="5"/>
  <c r="AC1824" i="5"/>
  <c r="AC1553" i="5"/>
  <c r="AC496" i="5"/>
  <c r="AC1237" i="5"/>
  <c r="AC1238" i="5"/>
  <c r="AC1239" i="5"/>
  <c r="AC1336" i="5"/>
  <c r="AC1337" i="5"/>
  <c r="AC437" i="5"/>
  <c r="AC497" i="5"/>
  <c r="AC498" i="5"/>
  <c r="AC1109" i="5"/>
  <c r="AC1929" i="5"/>
  <c r="AC858" i="5"/>
  <c r="AC1462" i="5"/>
  <c r="AC1630" i="5"/>
  <c r="AC1631" i="5"/>
  <c r="AC1591" i="5"/>
  <c r="AC1592" i="5"/>
  <c r="AC2204" i="5"/>
  <c r="AC1294" i="5"/>
  <c r="AC322" i="5"/>
  <c r="AC24" i="5"/>
  <c r="AC793" i="5"/>
  <c r="AC794" i="5"/>
  <c r="AC2091" i="5"/>
  <c r="AC1682" i="5"/>
  <c r="AC2012" i="5"/>
  <c r="AC399" i="5"/>
  <c r="AC1295" i="5"/>
  <c r="AC1878" i="5"/>
  <c r="AC1879" i="5"/>
  <c r="AC1463" i="5"/>
  <c r="AC1178" i="5"/>
  <c r="AC163" i="5"/>
  <c r="AC1683" i="5"/>
  <c r="AC2205" i="5"/>
  <c r="AC2128" i="5"/>
  <c r="AC2129" i="5"/>
  <c r="AC1930" i="5"/>
  <c r="AC1931" i="5"/>
  <c r="AC1632" i="5"/>
  <c r="AC1633" i="5"/>
  <c r="AC1179" i="5"/>
  <c r="AC1401" i="5"/>
  <c r="AC939" i="5"/>
  <c r="AC1402" i="5"/>
  <c r="AC1932" i="5"/>
  <c r="AC1933" i="5"/>
  <c r="AC1554" i="5"/>
  <c r="AC1970" i="5"/>
  <c r="AC1880" i="5"/>
  <c r="AC1296" i="5"/>
  <c r="AC1825" i="5"/>
  <c r="AC438" i="5"/>
  <c r="AC1110" i="5"/>
  <c r="AC1111" i="5"/>
  <c r="AC1684" i="5"/>
  <c r="AC2013" i="5"/>
  <c r="AC2014" i="5"/>
  <c r="AC940" i="5"/>
  <c r="AC1634" i="5"/>
  <c r="AC1782" i="5"/>
  <c r="AC1180" i="5"/>
  <c r="AC2192" i="5"/>
  <c r="AC628" i="5"/>
  <c r="AC1826" i="5"/>
  <c r="AC941" i="5"/>
  <c r="AC2015" i="5"/>
  <c r="AC566" i="5"/>
  <c r="AC1593" i="5"/>
  <c r="AC795" i="5"/>
  <c r="AC714" i="5"/>
  <c r="AC1112" i="5"/>
  <c r="AC1464" i="5"/>
  <c r="AC439" i="5"/>
  <c r="AC440" i="5"/>
  <c r="AC2016" i="5"/>
  <c r="AC1465" i="5"/>
  <c r="AC1594" i="5"/>
  <c r="AC133" i="5"/>
  <c r="AC1113" i="5"/>
  <c r="AC1240" i="5"/>
  <c r="AC41" i="5"/>
  <c r="AC1403" i="5"/>
  <c r="AC1404" i="5"/>
  <c r="AC2156" i="5"/>
  <c r="AC715" i="5"/>
  <c r="AC323" i="5"/>
  <c r="AC499" i="5"/>
  <c r="AC1738" i="5"/>
  <c r="AC1241" i="5"/>
  <c r="AC1338" i="5"/>
  <c r="AC1339" i="5"/>
  <c r="AC1881" i="5"/>
  <c r="AC1971" i="5"/>
  <c r="AC1685" i="5"/>
  <c r="AC1297" i="5"/>
  <c r="AC1114" i="5"/>
  <c r="AC1686" i="5"/>
  <c r="AC1739" i="5"/>
  <c r="AC629" i="5"/>
  <c r="AC400" i="5"/>
  <c r="AC2017" i="5"/>
  <c r="AC716" i="5"/>
  <c r="AC2092" i="5"/>
  <c r="AC1466" i="5"/>
  <c r="AC1340" i="5"/>
  <c r="AC441" i="5"/>
  <c r="AC1827" i="5"/>
  <c r="AC2062" i="5"/>
  <c r="AC232" i="5"/>
  <c r="AC717" i="5"/>
  <c r="AC1467" i="5"/>
  <c r="AC1017" i="5"/>
  <c r="AC718" i="5"/>
  <c r="AC1595" i="5"/>
  <c r="AC1596" i="5"/>
  <c r="AC1018" i="5"/>
  <c r="AC1019" i="5"/>
  <c r="AC630" i="5"/>
  <c r="AC442" i="5"/>
  <c r="AC443" i="5"/>
  <c r="AC859" i="5"/>
  <c r="AC1828" i="5"/>
  <c r="AC860" i="5"/>
  <c r="AC2157" i="5"/>
  <c r="AC500" i="5"/>
  <c r="AC1405" i="5"/>
  <c r="AC444" i="5"/>
  <c r="AC796" i="5"/>
  <c r="AC1934" i="5"/>
  <c r="AC631" i="5"/>
  <c r="AC942" i="5"/>
  <c r="AC1882" i="5"/>
  <c r="AC1115" i="5"/>
  <c r="AC943" i="5"/>
  <c r="AC1883" i="5"/>
  <c r="AC632" i="5"/>
  <c r="AC1406" i="5"/>
  <c r="AC1407" i="5"/>
  <c r="AC944" i="5"/>
  <c r="AC567" i="5"/>
  <c r="AC1408" i="5"/>
  <c r="AC945" i="5"/>
  <c r="AC719" i="5"/>
  <c r="AC2093" i="5"/>
  <c r="AC1555" i="5"/>
  <c r="AC2063" i="5"/>
  <c r="AC2064" i="5"/>
  <c r="AC2018" i="5"/>
  <c r="AC1972" i="5"/>
  <c r="AC1468" i="5"/>
  <c r="AC2094" i="5"/>
  <c r="AC2095" i="5"/>
  <c r="AC1556" i="5"/>
  <c r="AC1298" i="5"/>
  <c r="AC1597" i="5"/>
  <c r="AC1935" i="5"/>
  <c r="AC1299" i="5"/>
  <c r="AC74" i="5"/>
  <c r="AC1687" i="5"/>
  <c r="AC861" i="5"/>
  <c r="AC1181" i="5"/>
  <c r="AC1829" i="5"/>
  <c r="AC1116" i="5"/>
  <c r="AC1409" i="5"/>
  <c r="AC355" i="5"/>
  <c r="AC1830" i="5"/>
  <c r="AC1557" i="5"/>
  <c r="AC1558" i="5"/>
  <c r="AC2130" i="5"/>
  <c r="AC633" i="5"/>
  <c r="AC324" i="5"/>
  <c r="AC1242" i="5"/>
  <c r="AC1243" i="5"/>
  <c r="AC1469" i="5"/>
  <c r="AC797" i="5"/>
  <c r="AC1884" i="5"/>
  <c r="AC1559" i="5"/>
  <c r="AC1635" i="5"/>
  <c r="AC1973" i="5"/>
  <c r="AC1020" i="5"/>
  <c r="AC720" i="5"/>
  <c r="AC721" i="5"/>
  <c r="AC1470" i="5"/>
  <c r="AC356" i="5"/>
  <c r="AC1885" i="5"/>
  <c r="AC2065" i="5"/>
  <c r="AC1783" i="5"/>
  <c r="AC1831" i="5"/>
  <c r="AC1688" i="5"/>
  <c r="AC1182" i="5"/>
  <c r="AC445" i="5"/>
  <c r="AC1560" i="5"/>
  <c r="AC1886" i="5"/>
  <c r="AC1689" i="5"/>
  <c r="AC568" i="5"/>
  <c r="AC325" i="5"/>
  <c r="AC1410" i="5"/>
  <c r="AC862" i="5"/>
  <c r="AC501" i="5"/>
  <c r="AC1341" i="5"/>
  <c r="AC1936" i="5"/>
  <c r="AC1183" i="5"/>
  <c r="AC1342" i="5"/>
  <c r="AC1117" i="5"/>
  <c r="AC446" i="5"/>
  <c r="AC2066" i="5"/>
  <c r="AC2217" i="5"/>
  <c r="AC1021" i="5"/>
  <c r="AC722" i="5"/>
  <c r="AC1937" i="5"/>
  <c r="AC447" i="5"/>
  <c r="AC2067" i="5"/>
  <c r="AC1500" i="5"/>
  <c r="AC2019" i="5"/>
  <c r="AC1411" i="5"/>
  <c r="AC1343" i="5"/>
  <c r="AC1300" i="5"/>
  <c r="AC946" i="5"/>
  <c r="AC502" i="5"/>
  <c r="AC1244" i="5"/>
  <c r="AC863" i="5"/>
  <c r="AC134" i="5"/>
  <c r="AC1598" i="5"/>
  <c r="AC947" i="5"/>
  <c r="AC1599" i="5"/>
  <c r="AC2096" i="5"/>
  <c r="AC723" i="5"/>
  <c r="AC357" i="5"/>
  <c r="AC1412" i="5"/>
  <c r="AC1413" i="5"/>
  <c r="AC634" i="5"/>
  <c r="AC358" i="5"/>
  <c r="AC1022" i="5"/>
  <c r="AC1184" i="5"/>
  <c r="AC1185" i="5"/>
  <c r="AC448" i="5"/>
  <c r="AC948" i="5"/>
  <c r="AC798" i="5"/>
  <c r="AC569" i="5"/>
  <c r="AC1301" i="5"/>
  <c r="AC724" i="5"/>
  <c r="AC2097" i="5"/>
  <c r="AC2098" i="5"/>
  <c r="AC1245" i="5"/>
  <c r="AC359" i="5"/>
  <c r="AC360" i="5"/>
  <c r="AC1302" i="5"/>
  <c r="AC1501" i="5"/>
  <c r="AC725" i="5"/>
  <c r="AC1186" i="5"/>
  <c r="AC2158" i="5"/>
  <c r="AC1246" i="5"/>
  <c r="AC1561" i="5"/>
  <c r="AC1974" i="5"/>
  <c r="AC1975" i="5"/>
  <c r="AC1562" i="5"/>
  <c r="AC1414" i="5"/>
  <c r="AC2211" i="5"/>
  <c r="AC1247" i="5"/>
  <c r="AC2020" i="5"/>
  <c r="AC726" i="5"/>
  <c r="AC570" i="5"/>
  <c r="AC727" i="5"/>
  <c r="AC1471" i="5"/>
  <c r="AC1563" i="5"/>
  <c r="AC1976" i="5"/>
  <c r="AC1344" i="5"/>
  <c r="AC1023" i="5"/>
  <c r="AC2212" i="5"/>
  <c r="AC864" i="5"/>
  <c r="AC503" i="5"/>
  <c r="AC1887" i="5"/>
  <c r="AC2099" i="5"/>
  <c r="AC233" i="5"/>
  <c r="AC635" i="5"/>
  <c r="AC636" i="5"/>
  <c r="AC571" i="5"/>
  <c r="AC200" i="5"/>
  <c r="AC1832" i="5"/>
  <c r="AC1118" i="5"/>
  <c r="AC1784" i="5"/>
  <c r="AC949" i="5"/>
  <c r="AC1415" i="5"/>
  <c r="AC1833" i="5"/>
  <c r="AC1024" i="5"/>
  <c r="AC1187" i="5"/>
  <c r="AC1188" i="5"/>
  <c r="AC1119" i="5"/>
  <c r="AC865" i="5"/>
  <c r="AC1834" i="5"/>
  <c r="AC1690" i="5"/>
  <c r="AC1600" i="5"/>
  <c r="AC504" i="5"/>
  <c r="AC572" i="5"/>
  <c r="AC573" i="5"/>
  <c r="AC1189" i="5"/>
  <c r="AC1691" i="5"/>
  <c r="AC728" i="5"/>
  <c r="AC1564" i="5"/>
  <c r="AC1025" i="5"/>
  <c r="AC1026" i="5"/>
  <c r="AC1835" i="5"/>
  <c r="AC2131" i="5"/>
  <c r="AC2021" i="5"/>
  <c r="AC866" i="5"/>
  <c r="AC1601" i="5"/>
  <c r="AC1836" i="5"/>
  <c r="AC1837" i="5"/>
  <c r="AC2100" i="5"/>
  <c r="AC1502" i="5"/>
  <c r="AC361" i="5"/>
  <c r="AC2132" i="5"/>
  <c r="AC1977" i="5"/>
  <c r="AC1838" i="5"/>
  <c r="AC1839" i="5"/>
  <c r="AC1785" i="5"/>
  <c r="AC574" i="5"/>
  <c r="AC867" i="5"/>
  <c r="AC449" i="5"/>
  <c r="AC1345" i="5"/>
  <c r="AC1636" i="5"/>
  <c r="AC1303" i="5"/>
  <c r="AC1190" i="5"/>
  <c r="AC505" i="5"/>
  <c r="AC1120" i="5"/>
  <c r="AC1191" i="5"/>
  <c r="AC1416" i="5"/>
  <c r="AC868" i="5"/>
  <c r="AC1503" i="5"/>
  <c r="AC637" i="5"/>
  <c r="AC201" i="5"/>
  <c r="AC1740" i="5"/>
  <c r="AC1741" i="5"/>
  <c r="AC1888" i="5"/>
  <c r="AC638" i="5"/>
  <c r="AC1417" i="5"/>
  <c r="AC2068" i="5"/>
  <c r="AC950" i="5"/>
  <c r="AC2022" i="5"/>
  <c r="AC1978" i="5"/>
  <c r="AC1979" i="5"/>
  <c r="AC1692" i="5"/>
  <c r="AC1504" i="5"/>
  <c r="AC1192" i="5"/>
  <c r="AC799" i="5"/>
  <c r="AC639" i="5"/>
  <c r="AC2069" i="5"/>
  <c r="AC729" i="5"/>
  <c r="AC1786" i="5"/>
  <c r="AC1840" i="5"/>
  <c r="AC640" i="5"/>
  <c r="AC730" i="5"/>
  <c r="AC1121" i="5"/>
  <c r="AC506" i="5"/>
  <c r="AC1693" i="5"/>
  <c r="AC1938" i="5"/>
  <c r="AC1742" i="5"/>
  <c r="AC800" i="5"/>
  <c r="AC1841" i="5"/>
  <c r="AC1027" i="5"/>
  <c r="AC1939" i="5"/>
  <c r="AC1694" i="5"/>
  <c r="AC1787" i="5"/>
  <c r="AC869" i="5"/>
  <c r="AC1889" i="5"/>
  <c r="AC731" i="5"/>
  <c r="AC732" i="5"/>
  <c r="AC1565" i="5"/>
  <c r="AC1304" i="5"/>
  <c r="AC1028" i="5"/>
  <c r="AC507" i="5"/>
  <c r="AC1193" i="5"/>
  <c r="AC234" i="5"/>
  <c r="AC1695" i="5"/>
  <c r="AC1505" i="5"/>
  <c r="AC1506" i="5"/>
  <c r="AC2101" i="5"/>
  <c r="AC508" i="5"/>
  <c r="AC641" i="5"/>
  <c r="AC2102" i="5"/>
  <c r="AC1418" i="5"/>
  <c r="AC1305" i="5"/>
  <c r="AC870" i="5"/>
  <c r="AC1472" i="5"/>
  <c r="AC733" i="5"/>
  <c r="AC1743" i="5"/>
  <c r="AC951" i="5"/>
  <c r="AC401" i="5"/>
  <c r="AC1419" i="5"/>
  <c r="AC1637" i="5"/>
  <c r="AC642" i="5"/>
  <c r="AC2133" i="5"/>
  <c r="AC135" i="5"/>
  <c r="AC2023" i="5"/>
  <c r="AC2134" i="5"/>
  <c r="AC1744" i="5"/>
  <c r="AC1306" i="5"/>
  <c r="AC1745" i="5"/>
  <c r="AC1980" i="5"/>
  <c r="AC1420" i="5"/>
  <c r="AC42" i="5"/>
  <c r="AC643" i="5"/>
  <c r="AC644" i="5"/>
  <c r="AC2159" i="5"/>
  <c r="AC1248" i="5"/>
  <c r="AC509" i="5"/>
  <c r="AC53" i="5"/>
  <c r="AC1566" i="5"/>
  <c r="AC871" i="5"/>
  <c r="AC2221" i="5"/>
  <c r="AC1890" i="5"/>
  <c r="AC362" i="5"/>
  <c r="AC1194" i="5"/>
  <c r="AC2193" i="5"/>
  <c r="AC2194" i="5"/>
  <c r="AC1842" i="5"/>
  <c r="AC1843" i="5"/>
  <c r="AC1844" i="5"/>
  <c r="AC1845" i="5"/>
  <c r="AC2024" i="5"/>
  <c r="AC1567" i="5"/>
  <c r="AC1891" i="5"/>
  <c r="AC1746" i="5"/>
  <c r="AC1981" i="5"/>
  <c r="AC1696" i="5"/>
  <c r="AC2103" i="5"/>
  <c r="AC1249" i="5"/>
  <c r="AC1638" i="5"/>
  <c r="AC1639" i="5"/>
  <c r="AC1640" i="5"/>
  <c r="AC1747" i="5"/>
  <c r="AC1940" i="5"/>
  <c r="AC1122" i="5"/>
  <c r="AC1507" i="5"/>
  <c r="AC1788" i="5"/>
  <c r="AC1846" i="5"/>
  <c r="AC575" i="5"/>
  <c r="AC952" i="5"/>
  <c r="AC2025" i="5"/>
  <c r="AC326" i="5"/>
  <c r="AC645" i="5"/>
  <c r="AC402" i="5"/>
  <c r="AC276" i="5"/>
  <c r="AC277" i="5"/>
  <c r="AC1568" i="5"/>
  <c r="AC1789" i="5"/>
  <c r="AC1250" i="5"/>
  <c r="AC1941" i="5"/>
  <c r="AC1508" i="5"/>
  <c r="AC1748" i="5"/>
  <c r="AC2135" i="5"/>
  <c r="AC2136" i="5"/>
  <c r="AC953" i="5"/>
  <c r="AC43" i="5"/>
  <c r="AC646" i="5"/>
  <c r="AC647" i="5"/>
  <c r="AC1602" i="5"/>
  <c r="AC801" i="5"/>
  <c r="AC1892" i="5"/>
  <c r="AC2026" i="5"/>
  <c r="AC1346" i="5"/>
  <c r="AC1347" i="5"/>
  <c r="AC1749" i="5"/>
  <c r="AC648" i="5"/>
  <c r="AC734" i="5"/>
  <c r="AC1029" i="5"/>
  <c r="AC954" i="5"/>
  <c r="AC1509" i="5"/>
  <c r="AC1893" i="5"/>
  <c r="AC2027" i="5"/>
  <c r="AC2070" i="5"/>
  <c r="AC1030" i="5"/>
  <c r="AC649" i="5"/>
  <c r="AC802" i="5"/>
  <c r="AC2137" i="5"/>
  <c r="AC1641" i="5"/>
  <c r="AC1031" i="5"/>
  <c r="AC1473" i="5"/>
  <c r="AC872" i="5"/>
  <c r="AC2071" i="5"/>
  <c r="AC1251" i="5"/>
  <c r="AC2218" i="5"/>
  <c r="AC2219" i="5"/>
  <c r="AC1474" i="5"/>
  <c r="AC1510" i="5"/>
  <c r="AC1511" i="5"/>
  <c r="AC1642" i="5"/>
  <c r="AC1348" i="5"/>
  <c r="AC1512" i="5"/>
  <c r="AC1982" i="5"/>
  <c r="AC25" i="5"/>
  <c r="AC2104" i="5"/>
  <c r="AC1195" i="5"/>
  <c r="AC1894" i="5"/>
  <c r="AC1513" i="5"/>
  <c r="AC2105" i="5"/>
  <c r="AC1983" i="5"/>
  <c r="AC450" i="5"/>
  <c r="AC873" i="5"/>
  <c r="AC874" i="5"/>
  <c r="AC875" i="5"/>
  <c r="AC1603" i="5"/>
  <c r="AC1196" i="5"/>
  <c r="AC1847" i="5"/>
  <c r="AC1750" i="5"/>
  <c r="AC803" i="5"/>
  <c r="AC735" i="5"/>
  <c r="AC2138" i="5"/>
  <c r="AC2106" i="5"/>
  <c r="AC1421" i="5"/>
  <c r="AC2028" i="5"/>
  <c r="AC1643" i="5"/>
  <c r="AC804" i="5"/>
  <c r="AC403" i="5"/>
  <c r="AC1644" i="5"/>
  <c r="AC1307" i="5"/>
  <c r="AC736" i="5"/>
  <c r="AC1790" i="5"/>
  <c r="AC1984" i="5"/>
  <c r="AC451" i="5"/>
  <c r="AC737" i="5"/>
  <c r="AC2139" i="5"/>
  <c r="AC1349" i="5"/>
  <c r="AC1645" i="5"/>
  <c r="AC2072" i="5"/>
  <c r="AC2073" i="5"/>
  <c r="AC1791" i="5"/>
  <c r="AC1569" i="5"/>
  <c r="AC2029" i="5"/>
  <c r="AC1032" i="5"/>
  <c r="AC1422" i="5"/>
  <c r="AC650" i="5"/>
  <c r="AC510" i="5"/>
  <c r="AC1423" i="5"/>
  <c r="AC1848" i="5"/>
  <c r="AC1849" i="5"/>
  <c r="AC576" i="5"/>
  <c r="AC136" i="5"/>
  <c r="AC1475" i="5"/>
  <c r="AC1308" i="5"/>
  <c r="AC1424" i="5"/>
  <c r="AC1425" i="5"/>
  <c r="AC876" i="5"/>
  <c r="AC1197" i="5"/>
  <c r="AC1646" i="5"/>
  <c r="AC738" i="5"/>
  <c r="AC1514" i="5"/>
  <c r="AC1942" i="5"/>
  <c r="AC1350" i="5"/>
  <c r="AC1751" i="5"/>
  <c r="AC2160" i="5"/>
  <c r="AC2161" i="5"/>
  <c r="AC2030" i="5"/>
  <c r="AC1752" i="5"/>
  <c r="AC1604" i="5"/>
  <c r="AC1033" i="5"/>
  <c r="AC955" i="5"/>
  <c r="AC956" i="5"/>
  <c r="AC1895" i="5"/>
  <c r="AC511" i="5"/>
  <c r="AC805" i="5"/>
  <c r="AC1943" i="5"/>
  <c r="AC957" i="5"/>
  <c r="AC651" i="5"/>
  <c r="AC1985" i="5"/>
  <c r="AC739" i="5"/>
  <c r="AC75" i="5"/>
  <c r="AC652" i="5"/>
  <c r="AC1570" i="5"/>
  <c r="AC740" i="5"/>
  <c r="AC741" i="5"/>
  <c r="AC742" i="5"/>
  <c r="AC1850" i="5"/>
  <c r="AC877" i="5"/>
  <c r="AC1851" i="5"/>
  <c r="AC958" i="5"/>
  <c r="AC653" i="5"/>
  <c r="AC1896" i="5"/>
  <c r="AC1897" i="5"/>
  <c r="AC806" i="5"/>
  <c r="AC1476" i="5"/>
  <c r="AC1605" i="5"/>
  <c r="AC164" i="5"/>
  <c r="AC1477" i="5"/>
  <c r="AC1351" i="5"/>
  <c r="AC807" i="5"/>
  <c r="AC404" i="5"/>
  <c r="AC808" i="5"/>
  <c r="AC1478" i="5"/>
  <c r="AC1479" i="5"/>
  <c r="AC1944" i="5"/>
  <c r="AC1252" i="5"/>
  <c r="AC1034" i="5"/>
  <c r="AC2162" i="5"/>
  <c r="AC2206" i="5"/>
  <c r="AC743" i="5"/>
  <c r="AC809" i="5"/>
  <c r="AC107" i="5"/>
  <c r="AC327" i="5"/>
  <c r="AC1571" i="5"/>
  <c r="AC1753" i="5"/>
  <c r="AC1515" i="5"/>
  <c r="AC1426" i="5"/>
  <c r="AC1427" i="5"/>
  <c r="AC2163" i="5"/>
  <c r="AC810" i="5"/>
  <c r="AC452" i="5"/>
  <c r="AC2213" i="5"/>
  <c r="AC811" i="5"/>
  <c r="AC812" i="5"/>
  <c r="AC405" i="5"/>
  <c r="AC363" i="5"/>
  <c r="AC1309" i="5"/>
  <c r="AC1697" i="5"/>
  <c r="AC1123" i="5"/>
  <c r="AC1352" i="5"/>
  <c r="AC1353" i="5"/>
  <c r="AC2074" i="5"/>
  <c r="AC1035" i="5"/>
  <c r="AC1198" i="5"/>
  <c r="AC1945" i="5"/>
  <c r="AC1354" i="5"/>
  <c r="AC1647" i="5"/>
  <c r="AC1124" i="5"/>
  <c r="AC959" i="5"/>
  <c r="AC1036" i="5"/>
  <c r="AC1428" i="5"/>
  <c r="AC813" i="5"/>
  <c r="AC1253" i="5"/>
  <c r="AC1429" i="5"/>
  <c r="AC512" i="5"/>
  <c r="AC960" i="5"/>
  <c r="AC202" i="5"/>
  <c r="AC744" i="5"/>
  <c r="AC1430" i="5"/>
  <c r="AC1125" i="5"/>
  <c r="AC2031" i="5"/>
  <c r="AC1126" i="5"/>
  <c r="AC1792" i="5"/>
  <c r="AC2195" i="5"/>
  <c r="AC1199" i="5"/>
  <c r="AC878" i="5"/>
  <c r="AC406" i="5"/>
  <c r="AC407" i="5"/>
  <c r="AC1037" i="5"/>
  <c r="AC328" i="5"/>
  <c r="AC1254" i="5"/>
  <c r="AC513" i="5"/>
  <c r="AC2032" i="5"/>
  <c r="AC278" i="5"/>
  <c r="AC1200" i="5"/>
  <c r="AC1201" i="5"/>
  <c r="AC1355" i="5"/>
  <c r="AC408" i="5"/>
  <c r="AC1356" i="5"/>
  <c r="AC2033" i="5"/>
  <c r="AC1357" i="5"/>
  <c r="AC814" i="5"/>
  <c r="AC1038" i="5"/>
  <c r="AC961" i="5"/>
  <c r="AC577" i="5"/>
  <c r="AC2075" i="5"/>
  <c r="AC1202" i="5"/>
  <c r="AC1793" i="5"/>
  <c r="AC745" i="5"/>
  <c r="AC879" i="5"/>
  <c r="AC1127" i="5"/>
  <c r="AC815" i="5"/>
  <c r="AC578" i="5"/>
  <c r="AC2107" i="5"/>
  <c r="AC1039" i="5"/>
  <c r="AC1572" i="5"/>
  <c r="AC1040" i="5"/>
  <c r="AC1203" i="5"/>
  <c r="AC1431" i="5"/>
  <c r="AC235" i="5"/>
  <c r="AC514" i="5"/>
  <c r="AC44" i="5"/>
  <c r="AC26" i="5"/>
  <c r="AC1310" i="5"/>
  <c r="AC962" i="5"/>
  <c r="AC1946" i="5"/>
  <c r="AC1898" i="5"/>
  <c r="AC1899" i="5"/>
  <c r="AC1255" i="5"/>
  <c r="AC816" i="5"/>
  <c r="AC515" i="5"/>
  <c r="AC1480" i="5"/>
  <c r="AC1481" i="5"/>
  <c r="AC654" i="5"/>
  <c r="AC880" i="5"/>
  <c r="AC881" i="5"/>
  <c r="AC1041" i="5"/>
  <c r="AC364" i="5"/>
  <c r="AC963" i="5"/>
  <c r="AC76" i="5"/>
  <c r="AC165" i="5"/>
  <c r="AC166" i="5"/>
  <c r="AC817" i="5"/>
  <c r="AC1754" i="5"/>
  <c r="AC1698" i="5"/>
  <c r="AC1204" i="5"/>
  <c r="AC1794" i="5"/>
  <c r="AC236" i="5"/>
  <c r="AC2164" i="5"/>
  <c r="AC1205" i="5"/>
  <c r="AC365" i="5"/>
  <c r="AC746" i="5"/>
  <c r="AC329" i="5"/>
  <c r="AC1042" i="5"/>
  <c r="AC366" i="5"/>
  <c r="AC579" i="5"/>
  <c r="AC580" i="5"/>
  <c r="AC516" i="5"/>
  <c r="AC137" i="5"/>
  <c r="AC138" i="5"/>
  <c r="AC517" i="5"/>
  <c r="AC367" i="5"/>
  <c r="AC108" i="5"/>
  <c r="AC409" i="5"/>
  <c r="AC1900" i="5"/>
  <c r="AC1256" i="5"/>
  <c r="AC1482" i="5"/>
  <c r="AC747" i="5"/>
  <c r="AC964" i="5"/>
  <c r="AC1483" i="5"/>
  <c r="AC518" i="5"/>
  <c r="AC1484" i="5"/>
  <c r="AC203" i="5"/>
  <c r="AC1986" i="5"/>
  <c r="AC581" i="5"/>
  <c r="AC1795" i="5"/>
  <c r="AC167" i="5"/>
  <c r="AC1257" i="5"/>
  <c r="AC1258" i="5"/>
  <c r="AC1648" i="5"/>
  <c r="AC519" i="5"/>
  <c r="AC2108" i="5"/>
  <c r="AC582" i="5"/>
  <c r="AC1259" i="5"/>
  <c r="AC330" i="5"/>
  <c r="AC1206" i="5"/>
  <c r="AC139" i="5"/>
  <c r="AC520" i="5"/>
  <c r="AC1516" i="5"/>
  <c r="AC2034" i="5"/>
  <c r="AC1043" i="5"/>
  <c r="AC1485" i="5"/>
  <c r="AC748" i="5"/>
  <c r="AC655" i="5"/>
  <c r="AC1432" i="5"/>
  <c r="AC1796" i="5"/>
  <c r="AC1260" i="5"/>
  <c r="AC2076" i="5"/>
  <c r="AC2077" i="5"/>
  <c r="AC453" i="5"/>
  <c r="AC1433" i="5"/>
  <c r="AC1207" i="5"/>
  <c r="AC1208" i="5"/>
  <c r="AC1128" i="5"/>
  <c r="AC1261" i="5"/>
  <c r="AC331" i="5"/>
  <c r="AC1987" i="5"/>
  <c r="AC1797" i="5"/>
  <c r="AC2035" i="5"/>
  <c r="AC818" i="5"/>
  <c r="AC965" i="5"/>
  <c r="AC966" i="5"/>
  <c r="AC1311" i="5"/>
  <c r="AC583" i="5"/>
  <c r="AC749" i="5"/>
  <c r="AC368" i="5"/>
  <c r="AC204" i="5"/>
  <c r="AC237" i="5"/>
  <c r="AC2036" i="5"/>
  <c r="AC819" i="5"/>
  <c r="AC820" i="5"/>
  <c r="AC279" i="5"/>
  <c r="AC280" i="5"/>
  <c r="AC281" i="5"/>
  <c r="AC1947" i="5"/>
  <c r="AC1948" i="5"/>
  <c r="AC1209" i="5"/>
  <c r="AC1044" i="5"/>
  <c r="AC584" i="5"/>
  <c r="AC2078" i="5"/>
  <c r="AC1045" i="5"/>
  <c r="AC109" i="5"/>
  <c r="AC1988" i="5"/>
  <c r="AC238" i="5"/>
  <c r="AC369" i="5"/>
  <c r="AC332" i="5"/>
  <c r="AC1573" i="5"/>
  <c r="AC1517" i="5"/>
  <c r="AC282" i="5"/>
  <c r="AC882" i="5"/>
  <c r="AC656" i="5"/>
  <c r="AC1649" i="5"/>
  <c r="AC821" i="5"/>
  <c r="AC168" i="5"/>
  <c r="AC283" i="5"/>
  <c r="AC1949" i="5"/>
  <c r="AC1950" i="5"/>
  <c r="AC967" i="5"/>
  <c r="AC883" i="5"/>
  <c r="AC1901" i="5"/>
  <c r="AC1902" i="5"/>
  <c r="AC968" i="5"/>
  <c r="AC110" i="5"/>
  <c r="AC1129" i="5"/>
  <c r="AC1699" i="5"/>
  <c r="AC2140" i="5"/>
  <c r="AC969" i="5"/>
  <c r="AC1755" i="5"/>
  <c r="AC1903" i="5"/>
  <c r="AC521" i="5"/>
  <c r="AC77" i="5"/>
  <c r="AC239" i="5"/>
  <c r="AC522" i="5"/>
  <c r="AC1518" i="5"/>
  <c r="AC1519" i="5"/>
  <c r="AC523" i="5"/>
  <c r="AC1046" i="5"/>
  <c r="AC970" i="5"/>
  <c r="AC971" i="5"/>
  <c r="AC884" i="5"/>
  <c r="AC524" i="5"/>
  <c r="AC370" i="5"/>
  <c r="AC333" i="5"/>
  <c r="AC169" i="5"/>
  <c r="AC1904" i="5"/>
  <c r="AC1905" i="5"/>
  <c r="AC1262" i="5"/>
  <c r="AC525" i="5"/>
  <c r="AC822" i="5"/>
  <c r="AC1210" i="5"/>
  <c r="AC1211" i="5"/>
  <c r="AC78" i="5"/>
  <c r="AC1700" i="5"/>
  <c r="AC1263" i="5"/>
  <c r="AC1047" i="5"/>
  <c r="AC1650" i="5"/>
  <c r="AC1130" i="5"/>
  <c r="AC170" i="5"/>
  <c r="AC1048" i="5"/>
  <c r="AC1358" i="5"/>
  <c r="AC240" i="5"/>
  <c r="AC526" i="5"/>
  <c r="AC1131" i="5"/>
  <c r="AC2109" i="5"/>
  <c r="AC885" i="5"/>
  <c r="AC205" i="5"/>
  <c r="AC1574" i="5"/>
  <c r="AC972" i="5"/>
  <c r="AC585" i="5"/>
  <c r="AC2196" i="5"/>
  <c r="AC2197" i="5"/>
  <c r="AC973" i="5"/>
  <c r="AC1359" i="5"/>
  <c r="AC1360" i="5"/>
  <c r="AC527" i="5"/>
  <c r="AC528" i="5"/>
  <c r="AC1989" i="5"/>
  <c r="AC657" i="5"/>
  <c r="AC658" i="5"/>
  <c r="AC1798" i="5"/>
  <c r="AC659" i="5"/>
  <c r="AC410" i="5"/>
  <c r="AC886" i="5"/>
  <c r="AC887" i="5"/>
  <c r="AC660" i="5"/>
  <c r="AC750" i="5"/>
  <c r="AC1756" i="5"/>
  <c r="AC284" i="5"/>
  <c r="AC751" i="5"/>
  <c r="AC752" i="5"/>
  <c r="AC1906" i="5"/>
  <c r="AC241" i="5"/>
  <c r="AC79" i="5"/>
  <c r="AC1049" i="5"/>
  <c r="AC1050" i="5"/>
  <c r="AC823" i="5"/>
  <c r="AC753" i="5"/>
  <c r="AC1361" i="5"/>
  <c r="AC1362" i="5"/>
  <c r="AC1312" i="5"/>
  <c r="AC334" i="5"/>
  <c r="AC1264" i="5"/>
  <c r="AC529" i="5"/>
  <c r="AC371" i="5"/>
  <c r="AC1990" i="5"/>
  <c r="AC1313" i="5"/>
  <c r="AC1951" i="5"/>
  <c r="AC1907" i="5"/>
  <c r="AC1434" i="5"/>
  <c r="AC1799" i="5"/>
  <c r="AC1952" i="5"/>
  <c r="AC411" i="5"/>
  <c r="AC285" i="5"/>
  <c r="AC454" i="5"/>
  <c r="AC1265" i="5"/>
  <c r="AC1520" i="5"/>
  <c r="AC1701" i="5"/>
  <c r="AC1051" i="5"/>
  <c r="AC754" i="5"/>
  <c r="AC1953" i="5"/>
  <c r="AC755" i="5"/>
  <c r="AC530" i="5"/>
  <c r="AC1606" i="5"/>
  <c r="AC2141" i="5"/>
  <c r="AC1435" i="5"/>
  <c r="AC661" i="5"/>
  <c r="AC662" i="5"/>
  <c r="AC586" i="5"/>
  <c r="AC286" i="5"/>
  <c r="AC1052" i="5"/>
  <c r="AC206" i="5"/>
  <c r="AC372" i="5"/>
  <c r="AC1132" i="5"/>
  <c r="AC1954" i="5"/>
  <c r="AC242" i="5"/>
  <c r="AC287" i="5"/>
  <c r="AC1266" i="5"/>
  <c r="AC373" i="5"/>
  <c r="AC974" i="5"/>
  <c r="AC2142" i="5"/>
  <c r="AC1212" i="5"/>
  <c r="AC1267" i="5"/>
  <c r="AC288" i="5"/>
  <c r="AC888" i="5"/>
  <c r="AC889" i="5"/>
  <c r="AC890" i="5"/>
  <c r="AC891" i="5"/>
  <c r="AC756" i="5"/>
  <c r="AC1436" i="5"/>
  <c r="AC1437" i="5"/>
  <c r="AC587" i="5"/>
  <c r="AC1053" i="5"/>
  <c r="AC54" i="5"/>
  <c r="AC2037" i="5"/>
  <c r="AC1702" i="5"/>
  <c r="AC892" i="5"/>
  <c r="AC893" i="5"/>
  <c r="AC243" i="5"/>
  <c r="AC1133" i="5"/>
  <c r="AC975" i="5"/>
  <c r="AC531" i="5"/>
  <c r="AC374" i="5"/>
  <c r="AC1314" i="5"/>
  <c r="AC2143" i="5"/>
  <c r="AC111" i="5"/>
  <c r="AC1852" i="5"/>
  <c r="AC1268" i="5"/>
  <c r="AC1757" i="5"/>
  <c r="AC244" i="5"/>
  <c r="AC245" i="5"/>
  <c r="AC1054" i="5"/>
  <c r="AC1055" i="5"/>
  <c r="AC757" i="5"/>
  <c r="AC412" i="5"/>
  <c r="AC894" i="5"/>
  <c r="AC1853" i="5"/>
  <c r="AC27" i="5"/>
  <c r="AC28" i="5"/>
  <c r="AC1269" i="5"/>
  <c r="AC895" i="5"/>
  <c r="AC2079" i="5"/>
  <c r="AC10" i="5"/>
  <c r="AC11" i="5"/>
  <c r="AC246" i="5"/>
  <c r="AC171" i="5"/>
  <c r="AC1363" i="5"/>
  <c r="AC1854" i="5"/>
  <c r="AC1056" i="5"/>
  <c r="AC1057" i="5"/>
  <c r="AC824" i="5"/>
  <c r="AC825" i="5"/>
  <c r="AC1991" i="5"/>
  <c r="AC976" i="5"/>
  <c r="AC1703" i="5"/>
  <c r="AC663" i="5"/>
  <c r="AC588" i="5"/>
  <c r="AC2165" i="5"/>
  <c r="AC375" i="5"/>
  <c r="AC826" i="5"/>
  <c r="AC827" i="5"/>
  <c r="AC55" i="5"/>
  <c r="AC589" i="5"/>
  <c r="AC1521" i="5"/>
  <c r="AC455" i="5"/>
  <c r="AC172" i="5"/>
  <c r="AC1704" i="5"/>
  <c r="AC1438" i="5"/>
  <c r="AC1522" i="5"/>
  <c r="AC758" i="5"/>
  <c r="AC112" i="5"/>
  <c r="AC113" i="5"/>
  <c r="AC1058" i="5"/>
  <c r="AC2038" i="5"/>
  <c r="AC1270" i="5"/>
  <c r="AC532" i="5"/>
  <c r="AC2110" i="5"/>
  <c r="AC2111" i="5"/>
  <c r="AC80" i="5"/>
  <c r="AC81" i="5"/>
  <c r="AC1134" i="5"/>
  <c r="AC759" i="5"/>
  <c r="AC207" i="5"/>
  <c r="AC1705" i="5"/>
  <c r="AC1135" i="5"/>
  <c r="AC1523" i="5"/>
  <c r="AC977" i="5"/>
  <c r="AC828" i="5"/>
  <c r="AC1364" i="5"/>
  <c r="AC1213" i="5"/>
  <c r="AC289" i="5"/>
  <c r="AC1365" i="5"/>
  <c r="AC1524" i="5"/>
  <c r="AC896" i="5"/>
  <c r="AC456" i="5"/>
  <c r="AC1439" i="5"/>
  <c r="AC208" i="5"/>
  <c r="AC2039" i="5"/>
  <c r="AC1758" i="5"/>
  <c r="AC1575" i="5"/>
  <c r="AC2040" i="5"/>
  <c r="AC1525" i="5"/>
  <c r="AC1059" i="5"/>
  <c r="AC1060" i="5"/>
  <c r="AC1366" i="5"/>
  <c r="AC760" i="5"/>
  <c r="AC761" i="5"/>
  <c r="AC173" i="5"/>
  <c r="AC413" i="5"/>
  <c r="AC762" i="5"/>
  <c r="AC664" i="5"/>
  <c r="AC590" i="5"/>
  <c r="AC1440" i="5"/>
  <c r="AC1706" i="5"/>
  <c r="AC533" i="5"/>
  <c r="AC534" i="5"/>
  <c r="AC591" i="5"/>
  <c r="AC1061" i="5"/>
  <c r="AC1062" i="5"/>
  <c r="AC1271" i="5"/>
  <c r="AC174" i="5"/>
  <c r="AC2080" i="5"/>
  <c r="AC457" i="5"/>
  <c r="AC1441" i="5"/>
  <c r="AC897" i="5"/>
  <c r="AC1526" i="5"/>
  <c r="AC1607" i="5"/>
  <c r="AC1315" i="5"/>
  <c r="AC1316" i="5"/>
  <c r="AC247" i="5"/>
  <c r="AC335" i="5"/>
  <c r="AC1136" i="5"/>
  <c r="AC898" i="5"/>
  <c r="AC829" i="5"/>
  <c r="AC1651" i="5"/>
  <c r="AC1759" i="5"/>
  <c r="AC290" i="5"/>
  <c r="AC1955" i="5"/>
  <c r="AC1063" i="5"/>
  <c r="AC82" i="5"/>
  <c r="AC978" i="5"/>
  <c r="AC1137" i="5"/>
  <c r="AC592" i="5"/>
  <c r="AC665" i="5"/>
  <c r="AC414" i="5"/>
  <c r="AC899" i="5"/>
  <c r="AC291" i="5"/>
  <c r="AC248" i="5"/>
  <c r="AC1486" i="5"/>
  <c r="AC1064" i="5"/>
  <c r="AC535" i="5"/>
  <c r="AC666" i="5"/>
  <c r="AC458" i="5"/>
  <c r="AC979" i="5"/>
  <c r="AC830" i="5"/>
  <c r="AC415" i="5"/>
  <c r="AC1576" i="5"/>
  <c r="AC1577" i="5"/>
  <c r="AC1652" i="5"/>
  <c r="AC1855" i="5"/>
  <c r="AC249" i="5"/>
  <c r="AC593" i="5"/>
  <c r="AC594" i="5"/>
  <c r="AC900" i="5"/>
  <c r="AC901" i="5"/>
  <c r="AC763" i="5"/>
  <c r="AC209" i="5"/>
  <c r="AC376" i="5"/>
  <c r="AC459" i="5"/>
  <c r="AC595" i="5"/>
  <c r="AC667" i="5"/>
  <c r="AC668" i="5"/>
  <c r="AC1527" i="5"/>
  <c r="AC831" i="5"/>
  <c r="AC1367" i="5"/>
  <c r="AC2081" i="5"/>
  <c r="AC416" i="5"/>
  <c r="AC1214" i="5"/>
  <c r="AC764" i="5"/>
  <c r="AC669" i="5"/>
  <c r="AC1317" i="5"/>
  <c r="AC417" i="5"/>
  <c r="AC980" i="5"/>
  <c r="AC832" i="5"/>
  <c r="AC1442" i="5"/>
  <c r="AC670" i="5"/>
  <c r="AC671" i="5"/>
  <c r="AC460" i="5"/>
  <c r="AC1065" i="5"/>
  <c r="AC1760" i="5"/>
  <c r="AC1653" i="5"/>
  <c r="AC1654" i="5"/>
  <c r="AC250" i="5"/>
  <c r="AC981" i="5"/>
  <c r="AC1215" i="5"/>
  <c r="AC140" i="5"/>
  <c r="AC1066" i="5"/>
  <c r="AC1067" i="5"/>
  <c r="AC596" i="5"/>
  <c r="AC833" i="5"/>
  <c r="AC834" i="5"/>
  <c r="AC210" i="5"/>
  <c r="AC83" i="5"/>
  <c r="AC84" i="5"/>
  <c r="AC982" i="5"/>
  <c r="AC536" i="5"/>
  <c r="AC292" i="5"/>
  <c r="AC293" i="5"/>
  <c r="AC56" i="5"/>
  <c r="AC1608" i="5"/>
  <c r="AC983" i="5"/>
  <c r="AC1138" i="5"/>
  <c r="AC175" i="5"/>
  <c r="AC211" i="5"/>
  <c r="AC1068" i="5"/>
  <c r="AC984" i="5"/>
  <c r="AC212" i="5"/>
  <c r="AC213" i="5"/>
  <c r="AC1069" i="5"/>
  <c r="AC1443" i="5"/>
  <c r="AC1444" i="5"/>
  <c r="AC114" i="5"/>
  <c r="AC1139" i="5"/>
  <c r="AC1272" i="5"/>
  <c r="AC672" i="5"/>
  <c r="AC1655" i="5"/>
  <c r="AC1368" i="5"/>
  <c r="AC1656" i="5"/>
  <c r="AC2082" i="5"/>
  <c r="AC141" i="5"/>
  <c r="AC1273" i="5"/>
  <c r="AC214" i="5"/>
  <c r="AC377" i="5"/>
  <c r="AC597" i="5"/>
  <c r="AC1856" i="5"/>
  <c r="AC598" i="5"/>
  <c r="AC1369" i="5"/>
  <c r="AC336" i="5"/>
  <c r="AC85" i="5"/>
  <c r="AC86" i="5"/>
  <c r="AC537" i="5"/>
  <c r="AC538" i="5"/>
  <c r="AC337" i="5"/>
  <c r="AC1657" i="5"/>
  <c r="AC378" i="5"/>
  <c r="AC2041" i="5"/>
  <c r="AC539" i="5"/>
  <c r="AC835" i="5"/>
  <c r="AC294" i="5"/>
  <c r="AC295" i="5"/>
  <c r="AC1318" i="5"/>
  <c r="AC2179" i="5"/>
  <c r="AC296" i="5"/>
  <c r="AC2042" i="5"/>
  <c r="AC2112" i="5"/>
  <c r="AC1609" i="5"/>
  <c r="AC1610" i="5"/>
  <c r="AC1140" i="5"/>
  <c r="AC1761" i="5"/>
  <c r="AC176" i="5"/>
  <c r="AC418" i="5"/>
  <c r="AC1319" i="5"/>
  <c r="AC115" i="5"/>
  <c r="AC461" i="5"/>
  <c r="AC599" i="5"/>
  <c r="AC902" i="5"/>
  <c r="AC379" i="5"/>
  <c r="AC540" i="5"/>
  <c r="AC338" i="5"/>
  <c r="AC765" i="5"/>
  <c r="AC2180" i="5"/>
  <c r="AC2083" i="5"/>
  <c r="AC1956" i="5"/>
  <c r="AC251" i="5"/>
  <c r="AC462" i="5"/>
  <c r="AC1141" i="5"/>
  <c r="AC1578" i="5"/>
  <c r="AC1611" i="5"/>
  <c r="AC985" i="5"/>
  <c r="AC2113" i="5"/>
  <c r="AC903" i="5"/>
  <c r="AC177" i="5"/>
  <c r="AC904" i="5"/>
  <c r="AC1612" i="5"/>
  <c r="AC297" i="5"/>
  <c r="AC298" i="5"/>
  <c r="AC1274" i="5"/>
  <c r="AC1370" i="5"/>
  <c r="AC2084" i="5"/>
  <c r="AC1070" i="5"/>
  <c r="AC673" i="5"/>
  <c r="AC674" i="5"/>
  <c r="AC1707" i="5"/>
  <c r="AC1216" i="5"/>
  <c r="AC380" i="5"/>
  <c r="AC45" i="5"/>
  <c r="AC1071" i="5"/>
  <c r="AC178" i="5"/>
  <c r="AC986" i="5"/>
  <c r="AC836" i="5"/>
  <c r="AC252" i="5"/>
  <c r="AC1320" i="5"/>
  <c r="AC179" i="5"/>
  <c r="AC2144" i="5"/>
  <c r="AC1762" i="5"/>
  <c r="AC1763" i="5"/>
  <c r="AC541" i="5"/>
  <c r="AC675" i="5"/>
  <c r="AC1217" i="5"/>
  <c r="AC987" i="5"/>
  <c r="AC905" i="5"/>
  <c r="AC542" i="5"/>
  <c r="AC1857" i="5"/>
  <c r="AC57" i="5"/>
  <c r="AC1800" i="5"/>
  <c r="AC1801" i="5"/>
  <c r="AC837" i="5"/>
  <c r="AC419" i="5"/>
  <c r="AC1142" i="5"/>
  <c r="AC1321" i="5"/>
  <c r="AC543" i="5"/>
  <c r="AC1072" i="5"/>
  <c r="AC544" i="5"/>
  <c r="AC1073" i="5"/>
  <c r="AC253" i="5"/>
  <c r="AC142" i="5"/>
  <c r="AC838" i="5"/>
  <c r="AC839" i="5"/>
  <c r="AC87" i="5"/>
  <c r="AC906" i="5"/>
  <c r="AC2181" i="5"/>
  <c r="AC600" i="5"/>
  <c r="AC1218" i="5"/>
  <c r="AC1219" i="5"/>
  <c r="AC299" i="5"/>
  <c r="AC180" i="5"/>
  <c r="AC988" i="5"/>
  <c r="AC676" i="5"/>
  <c r="AC420" i="5"/>
  <c r="AC116" i="5"/>
  <c r="AC989" i="5"/>
  <c r="AC545" i="5"/>
  <c r="AC546" i="5"/>
  <c r="AC990" i="5"/>
  <c r="AC339" i="5"/>
  <c r="AC58" i="5"/>
  <c r="AC117" i="5"/>
  <c r="AC907" i="5"/>
  <c r="AC463" i="5"/>
  <c r="AC464" i="5"/>
  <c r="AC254" i="5"/>
  <c r="AC381" i="5"/>
  <c r="AC991" i="5"/>
  <c r="AC465" i="5"/>
  <c r="AC340" i="5"/>
  <c r="AC382" i="5"/>
  <c r="AC59" i="5"/>
  <c r="AC1708" i="5"/>
  <c r="AC1143" i="5"/>
  <c r="AC1144" i="5"/>
  <c r="AC300" i="5"/>
  <c r="AC677" i="5"/>
  <c r="AC255" i="5"/>
  <c r="AC766" i="5"/>
  <c r="AC1220" i="5"/>
  <c r="AC143" i="5"/>
  <c r="AC601" i="5"/>
  <c r="AC1275" i="5"/>
  <c r="AC466" i="5"/>
  <c r="AC678" i="5"/>
  <c r="AC341" i="5"/>
  <c r="AC1145" i="5"/>
  <c r="AC342" i="5"/>
  <c r="AC908" i="5"/>
  <c r="AC1802" i="5"/>
  <c r="AC301" i="5"/>
  <c r="AC1445" i="5"/>
  <c r="AC1446" i="5"/>
  <c r="AC181" i="5"/>
  <c r="AC144" i="5"/>
  <c r="AC118" i="5"/>
  <c r="AC119" i="5"/>
  <c r="AC1709" i="5"/>
  <c r="AC1992" i="5"/>
  <c r="AC1221" i="5"/>
  <c r="AC256" i="5"/>
  <c r="AC1146" i="5"/>
  <c r="AC215" i="5"/>
  <c r="AC1528" i="5"/>
  <c r="AC1147" i="5"/>
  <c r="AC383" i="5"/>
  <c r="AC1074" i="5"/>
  <c r="AC1075" i="5"/>
  <c r="AC547" i="5"/>
  <c r="AC548" i="5"/>
  <c r="AC602" i="5"/>
  <c r="AC909" i="5"/>
  <c r="AC767" i="5"/>
  <c r="AC1371" i="5"/>
  <c r="AC1372" i="5"/>
  <c r="AC1148" i="5"/>
  <c r="AC1322" i="5"/>
  <c r="AC1323" i="5"/>
  <c r="AC1908" i="5"/>
  <c r="AC182" i="5"/>
  <c r="AC1957" i="5"/>
  <c r="AC343" i="5"/>
  <c r="AC145" i="5"/>
  <c r="AC1529" i="5"/>
  <c r="AC1530" i="5"/>
  <c r="AC1222" i="5"/>
  <c r="AC216" i="5"/>
  <c r="AC1858" i="5"/>
  <c r="AC768" i="5"/>
  <c r="AC2085" i="5"/>
  <c r="AC769" i="5"/>
  <c r="AC302" i="5"/>
  <c r="AC1658" i="5"/>
  <c r="AC603" i="5"/>
  <c r="AC1149" i="5"/>
  <c r="AC992" i="5"/>
  <c r="AC303" i="5"/>
  <c r="AC1803" i="5"/>
  <c r="AC1804" i="5"/>
  <c r="AC183" i="5"/>
  <c r="AC1223" i="5"/>
  <c r="AC184" i="5"/>
  <c r="AC185" i="5"/>
  <c r="AC304" i="5"/>
  <c r="AC679" i="5"/>
  <c r="AC467" i="5"/>
  <c r="AC88" i="5"/>
  <c r="AC993" i="5"/>
  <c r="AC217" i="5"/>
  <c r="AC549" i="5"/>
  <c r="AC840" i="5"/>
  <c r="AC146" i="5"/>
  <c r="AC344" i="5"/>
  <c r="AC680" i="5"/>
  <c r="AC604" i="5"/>
  <c r="AC910" i="5"/>
  <c r="AC1150" i="5"/>
  <c r="AC1151" i="5"/>
  <c r="AC218" i="5"/>
  <c r="AC120" i="5"/>
  <c r="AC186" i="5"/>
  <c r="AC911" i="5"/>
  <c r="AC187" i="5"/>
  <c r="AC188" i="5"/>
  <c r="AC468" i="5"/>
  <c r="AC46" i="5"/>
  <c r="AC681" i="5"/>
  <c r="AC682" i="5"/>
  <c r="AC841" i="5"/>
  <c r="AC842" i="5"/>
  <c r="AC219" i="5"/>
  <c r="AC220" i="5"/>
  <c r="AC770" i="5"/>
  <c r="AC1659" i="5"/>
  <c r="AC1152" i="5"/>
  <c r="AC1276" i="5"/>
  <c r="AC1277" i="5"/>
  <c r="AC221" i="5"/>
  <c r="AC189" i="5"/>
  <c r="AC345" i="5"/>
  <c r="AC384" i="5"/>
  <c r="AC385" i="5"/>
  <c r="AC843" i="5"/>
  <c r="AC1278" i="5"/>
  <c r="AC421" i="5"/>
  <c r="AC257" i="5"/>
  <c r="AC912" i="5"/>
  <c r="AC60" i="5"/>
  <c r="AC61" i="5"/>
  <c r="AC62" i="5"/>
  <c r="AC258" i="5"/>
  <c r="AC1076" i="5"/>
  <c r="AC29" i="5"/>
  <c r="AC1487" i="5"/>
  <c r="AC1488" i="5"/>
  <c r="AC1710" i="5"/>
  <c r="AC1711" i="5"/>
  <c r="AC1712" i="5"/>
  <c r="AC1224" i="5"/>
  <c r="AC346" i="5"/>
  <c r="AC844" i="5"/>
  <c r="AC89" i="5"/>
  <c r="AC63" i="5"/>
  <c r="AC147" i="5"/>
  <c r="AC64" i="5"/>
  <c r="AC222" i="5"/>
  <c r="AC2198" i="5"/>
  <c r="AC469" i="5"/>
  <c r="AC683" i="5"/>
  <c r="AC90" i="5"/>
  <c r="AC771" i="5"/>
  <c r="AC550" i="5"/>
  <c r="AC148" i="5"/>
  <c r="AC30" i="5"/>
  <c r="AC684" i="5"/>
  <c r="AC1660" i="5"/>
  <c r="AC1661" i="5"/>
  <c r="AC551" i="5"/>
  <c r="AC772" i="5"/>
  <c r="AC685" i="5"/>
  <c r="AC1613" i="5"/>
  <c r="AC2114" i="5"/>
  <c r="AC470" i="5"/>
  <c r="AC1077" i="5"/>
  <c r="AC223" i="5"/>
  <c r="AC552" i="5"/>
  <c r="AC259" i="5"/>
  <c r="AC260" i="5"/>
  <c r="AC121" i="5"/>
  <c r="AC65" i="5"/>
  <c r="AC471" i="5"/>
  <c r="AC422" i="5"/>
  <c r="AC472" i="5"/>
  <c r="AC1859" i="5"/>
  <c r="AC122" i="5"/>
  <c r="AC261" i="5"/>
  <c r="AC1153" i="5"/>
  <c r="AC1154" i="5"/>
  <c r="AC473" i="5"/>
  <c r="AC474" i="5"/>
  <c r="AC31" i="5"/>
  <c r="AC423" i="5"/>
  <c r="AC1764" i="5"/>
  <c r="AC149" i="5"/>
  <c r="AC2086" i="5"/>
  <c r="AC1531" i="5"/>
  <c r="AC190" i="5"/>
  <c r="AC686" i="5"/>
  <c r="AC262" i="5"/>
  <c r="AC1860" i="5"/>
  <c r="AC424" i="5"/>
  <c r="AC5" i="5"/>
  <c r="AC994" i="5"/>
  <c r="AC1225" i="5"/>
  <c r="AC123" i="5"/>
  <c r="AC1662" i="5"/>
  <c r="AC687" i="5"/>
  <c r="AC475" i="5"/>
  <c r="AC1155" i="5"/>
  <c r="AC2043" i="5"/>
  <c r="AC688" i="5"/>
  <c r="AC553" i="5"/>
  <c r="AC773" i="5"/>
  <c r="AC263" i="5"/>
  <c r="AC91" i="5"/>
  <c r="AC92" i="5"/>
  <c r="AC93" i="5"/>
  <c r="AC1078" i="5"/>
  <c r="AC913" i="5"/>
  <c r="AC689" i="5"/>
  <c r="AC94" i="5"/>
  <c r="AC191" i="5"/>
  <c r="AC2044" i="5"/>
  <c r="AC47" i="5"/>
  <c r="AC914" i="5"/>
  <c r="AC774" i="5"/>
  <c r="AC690" i="5"/>
  <c r="AC691" i="5"/>
  <c r="AC554" i="5"/>
  <c r="AC476" i="5"/>
  <c r="AC477" i="5"/>
  <c r="AC224" i="5"/>
  <c r="AC192" i="5"/>
  <c r="AC150" i="5"/>
  <c r="AC32" i="5"/>
  <c r="AC6" i="5"/>
  <c r="AC1373" i="5"/>
  <c r="AC1805" i="5"/>
  <c r="AC347" i="5"/>
  <c r="AC2115" i="5"/>
  <c r="AC692" i="5"/>
  <c r="AC1447" i="5"/>
  <c r="AC1226" i="5"/>
  <c r="AC1532" i="5"/>
  <c r="AC915" i="5"/>
  <c r="AC478" i="5"/>
  <c r="AC1079" i="5"/>
  <c r="AB2199" i="5"/>
  <c r="AB1080" i="5"/>
  <c r="AB775" i="5"/>
  <c r="AB555" i="5"/>
  <c r="AB264" i="5"/>
  <c r="AB1614" i="5"/>
  <c r="AB1615" i="5"/>
  <c r="AB556" i="5"/>
  <c r="AB48" i="5"/>
  <c r="AB386" i="5"/>
  <c r="AB12" i="5"/>
  <c r="AB124" i="5"/>
  <c r="AB1157" i="5"/>
  <c r="AB2045" i="5"/>
  <c r="AB1713" i="5"/>
  <c r="AB1958" i="5"/>
  <c r="AB1959" i="5"/>
  <c r="AB1081" i="5"/>
  <c r="AB1909" i="5"/>
  <c r="AB2220" i="5"/>
  <c r="AB845" i="5"/>
  <c r="AB151" i="5"/>
  <c r="AB20" i="5"/>
  <c r="AB1616" i="5"/>
  <c r="AB193" i="5"/>
  <c r="AB265" i="5"/>
  <c r="AB2145" i="5"/>
  <c r="AB693" i="5"/>
  <c r="AB152" i="5"/>
  <c r="AB2166" i="5"/>
  <c r="AB995" i="5"/>
  <c r="AB1806" i="5"/>
  <c r="AB49" i="5"/>
  <c r="AB348" i="5"/>
  <c r="AB1910" i="5"/>
  <c r="AB2146" i="5"/>
  <c r="AB1082" i="5"/>
  <c r="AB266" i="5"/>
  <c r="AB33" i="5"/>
  <c r="AB34" i="5"/>
  <c r="AB1807" i="5"/>
  <c r="AB425" i="5"/>
  <c r="AB35" i="5"/>
  <c r="AB95" i="5"/>
  <c r="AB1808" i="5"/>
  <c r="AB225" i="5"/>
  <c r="AB36" i="5"/>
  <c r="AB846" i="5"/>
  <c r="AB267" i="5"/>
  <c r="AB1324" i="5"/>
  <c r="AB1663" i="5"/>
  <c r="AB1617" i="5"/>
  <c r="AB66" i="5"/>
  <c r="AB1579" i="5"/>
  <c r="AB349" i="5"/>
  <c r="AB426" i="5"/>
  <c r="AB479" i="5"/>
  <c r="AB1664" i="5"/>
  <c r="AB1665" i="5"/>
  <c r="AB96" i="5"/>
  <c r="AB1618" i="5"/>
  <c r="AB1666" i="5"/>
  <c r="AB268" i="5"/>
  <c r="AB350" i="5"/>
  <c r="AB21" i="5"/>
  <c r="AB996" i="5"/>
  <c r="AB916" i="5"/>
  <c r="AB917" i="5"/>
  <c r="AB694" i="5"/>
  <c r="AB1911" i="5"/>
  <c r="AB2046" i="5"/>
  <c r="AB269" i="5"/>
  <c r="AB1580" i="5"/>
  <c r="AB1809" i="5"/>
  <c r="AB1325" i="5"/>
  <c r="AB1534" i="5"/>
  <c r="AB37" i="5"/>
  <c r="AB847" i="5"/>
  <c r="AB480" i="5"/>
  <c r="AB67" i="5"/>
  <c r="AB1535" i="5"/>
  <c r="AB1536" i="5"/>
  <c r="AB427" i="5"/>
  <c r="AB1912" i="5"/>
  <c r="AB1448" i="5"/>
  <c r="AB605" i="5"/>
  <c r="AB1714" i="5"/>
  <c r="AB1993" i="5"/>
  <c r="AB557" i="5"/>
  <c r="AB1960" i="5"/>
  <c r="AB918" i="5"/>
  <c r="AB919" i="5"/>
  <c r="AB1581" i="5"/>
  <c r="AB1083" i="5"/>
  <c r="AB1374" i="5"/>
  <c r="AB1375" i="5"/>
  <c r="AB1994" i="5"/>
  <c r="AB1715" i="5"/>
  <c r="AB97" i="5"/>
  <c r="AB98" i="5"/>
  <c r="AB695" i="5"/>
  <c r="AB305" i="5"/>
  <c r="AB306" i="5"/>
  <c r="AB1810" i="5"/>
  <c r="AB848" i="5"/>
  <c r="AB776" i="5"/>
  <c r="AB1995" i="5"/>
  <c r="AB1996" i="5"/>
  <c r="AB1997" i="5"/>
  <c r="AB2147" i="5"/>
  <c r="AB696" i="5"/>
  <c r="AB697" i="5"/>
  <c r="AB2148" i="5"/>
  <c r="AB1537" i="5"/>
  <c r="AB1227" i="5"/>
  <c r="AB22" i="5"/>
  <c r="AB153" i="5"/>
  <c r="AB920" i="5"/>
  <c r="AB1084" i="5"/>
  <c r="AB7" i="5"/>
  <c r="AB1619" i="5"/>
  <c r="AB921" i="5"/>
  <c r="AB777" i="5"/>
  <c r="AB154" i="5"/>
  <c r="AB1376" i="5"/>
  <c r="AB2182" i="5"/>
  <c r="AB2183" i="5"/>
  <c r="AB226" i="5"/>
  <c r="AB2207" i="5"/>
  <c r="AB2184" i="5"/>
  <c r="AB1998" i="5"/>
  <c r="AB778" i="5"/>
  <c r="AB558" i="5"/>
  <c r="AB1667" i="5"/>
  <c r="AB1538" i="5"/>
  <c r="AB1620" i="5"/>
  <c r="AB387" i="5"/>
  <c r="AB2087" i="5"/>
  <c r="AB1326" i="5"/>
  <c r="AB1861" i="5"/>
  <c r="AB1765" i="5"/>
  <c r="AB1766" i="5"/>
  <c r="AB155" i="5"/>
  <c r="AB1582" i="5"/>
  <c r="AB559" i="5"/>
  <c r="AB1449" i="5"/>
  <c r="AB481" i="5"/>
  <c r="AB1539" i="5"/>
  <c r="AB1085" i="5"/>
  <c r="AB2149" i="5"/>
  <c r="AB2150" i="5"/>
  <c r="AB270" i="5"/>
  <c r="AB1767" i="5"/>
  <c r="AB1583" i="5"/>
  <c r="AB1540" i="5"/>
  <c r="AB606" i="5"/>
  <c r="AB1621" i="5"/>
  <c r="AB1999" i="5"/>
  <c r="AB388" i="5"/>
  <c r="AB389" i="5"/>
  <c r="AB2116" i="5"/>
  <c r="AB271" i="5"/>
  <c r="AB1158" i="5"/>
  <c r="AB2167" i="5"/>
  <c r="AB1279" i="5"/>
  <c r="AB125" i="5"/>
  <c r="AB126" i="5"/>
  <c r="AB1716" i="5"/>
  <c r="AB1489" i="5"/>
  <c r="AB1450" i="5"/>
  <c r="AB68" i="5"/>
  <c r="AB69" i="5"/>
  <c r="AB1086" i="5"/>
  <c r="AB698" i="5"/>
  <c r="AB1377" i="5"/>
  <c r="AB1378" i="5"/>
  <c r="AB2168" i="5"/>
  <c r="AB1717" i="5"/>
  <c r="AB1668" i="5"/>
  <c r="AB1159" i="5"/>
  <c r="AB1584" i="5"/>
  <c r="AB156" i="5"/>
  <c r="AB2047" i="5"/>
  <c r="AB1961" i="5"/>
  <c r="AB2088" i="5"/>
  <c r="AB1718" i="5"/>
  <c r="AB1490" i="5"/>
  <c r="AB13" i="5"/>
  <c r="AB8" i="5"/>
  <c r="AB2208" i="5"/>
  <c r="AB997" i="5"/>
  <c r="AB998" i="5"/>
  <c r="AB699" i="5"/>
  <c r="AB1327" i="5"/>
  <c r="AB1862" i="5"/>
  <c r="AB2117" i="5"/>
  <c r="AB1087" i="5"/>
  <c r="AB1863" i="5"/>
  <c r="AB2209" i="5"/>
  <c r="AB700" i="5"/>
  <c r="AB157" i="5"/>
  <c r="AB922" i="5"/>
  <c r="AB923" i="5"/>
  <c r="AB14" i="5"/>
  <c r="AB1491" i="5"/>
  <c r="AB1492" i="5"/>
  <c r="AB1913" i="5"/>
  <c r="AB390" i="5"/>
  <c r="AB1328" i="5"/>
  <c r="AB607" i="5"/>
  <c r="AB924" i="5"/>
  <c r="AB307" i="5"/>
  <c r="AB1914" i="5"/>
  <c r="AB1669" i="5"/>
  <c r="AB1719" i="5"/>
  <c r="AB1864" i="5"/>
  <c r="AB1720" i="5"/>
  <c r="AB1160" i="5"/>
  <c r="AB608" i="5"/>
  <c r="AB779" i="5"/>
  <c r="AB227" i="5"/>
  <c r="AB849" i="5"/>
  <c r="AB850" i="5"/>
  <c r="AB1622" i="5"/>
  <c r="AB158" i="5"/>
  <c r="AB1811" i="5"/>
  <c r="AB1088" i="5"/>
  <c r="AB1585" i="5"/>
  <c r="AB15" i="5"/>
  <c r="AB701" i="5"/>
  <c r="AB702" i="5"/>
  <c r="AB1280" i="5"/>
  <c r="AB1281" i="5"/>
  <c r="AB1451" i="5"/>
  <c r="AB1721" i="5"/>
  <c r="AB2048" i="5"/>
  <c r="AB999" i="5"/>
  <c r="AB851" i="5"/>
  <c r="AB1452" i="5"/>
  <c r="AB391" i="5"/>
  <c r="AB560" i="5"/>
  <c r="AB272" i="5"/>
  <c r="AB1000" i="5"/>
  <c r="AB1768" i="5"/>
  <c r="AB1089" i="5"/>
  <c r="AB2185" i="5"/>
  <c r="AB1769" i="5"/>
  <c r="AB2049" i="5"/>
  <c r="AB2050" i="5"/>
  <c r="AB1623" i="5"/>
  <c r="AB2151" i="5"/>
  <c r="AB1329" i="5"/>
  <c r="AB609" i="5"/>
  <c r="AB159" i="5"/>
  <c r="AB1670" i="5"/>
  <c r="AB1722" i="5"/>
  <c r="AB99" i="5"/>
  <c r="AB780" i="5"/>
  <c r="AB2169" i="5"/>
  <c r="AB925" i="5"/>
  <c r="AB1001" i="5"/>
  <c r="AB1812" i="5"/>
  <c r="AB926" i="5"/>
  <c r="AB1915" i="5"/>
  <c r="AB351" i="5"/>
  <c r="AB1282" i="5"/>
  <c r="AB1723" i="5"/>
  <c r="AB70" i="5"/>
  <c r="AB1283" i="5"/>
  <c r="AB1284" i="5"/>
  <c r="AB2170" i="5"/>
  <c r="AB1090" i="5"/>
  <c r="AB2000" i="5"/>
  <c r="AB2214" i="5"/>
  <c r="AB482" i="5"/>
  <c r="AB428" i="5"/>
  <c r="AB1671" i="5"/>
  <c r="AB2171" i="5"/>
  <c r="AB1493" i="5"/>
  <c r="AB1228" i="5"/>
  <c r="AB1813" i="5"/>
  <c r="AB392" i="5"/>
  <c r="AB1379" i="5"/>
  <c r="AB429" i="5"/>
  <c r="AB430" i="5"/>
  <c r="AB1770" i="5"/>
  <c r="AB1494" i="5"/>
  <c r="AB2152" i="5"/>
  <c r="AB927" i="5"/>
  <c r="AB1624" i="5"/>
  <c r="AB2001" i="5"/>
  <c r="AB1865" i="5"/>
  <c r="AB2118" i="5"/>
  <c r="AB1285" i="5"/>
  <c r="AB2089" i="5"/>
  <c r="AB1380" i="5"/>
  <c r="AB1916" i="5"/>
  <c r="AB1161" i="5"/>
  <c r="AB273" i="5"/>
  <c r="AB1541" i="5"/>
  <c r="AB703" i="5"/>
  <c r="AB1814" i="5"/>
  <c r="AB704" i="5"/>
  <c r="AB1091" i="5"/>
  <c r="AB1002" i="5"/>
  <c r="AB393" i="5"/>
  <c r="AB1672" i="5"/>
  <c r="AB928" i="5"/>
  <c r="AB2153" i="5"/>
  <c r="AB1542" i="5"/>
  <c r="AB1543" i="5"/>
  <c r="AB705" i="5"/>
  <c r="AB1625" i="5"/>
  <c r="AB1866" i="5"/>
  <c r="AB1229" i="5"/>
  <c r="AB2051" i="5"/>
  <c r="AB2215" i="5"/>
  <c r="AB610" i="5"/>
  <c r="AB127" i="5"/>
  <c r="AB308" i="5"/>
  <c r="AB309" i="5"/>
  <c r="AB352" i="5"/>
  <c r="AB353" i="5"/>
  <c r="AB1162" i="5"/>
  <c r="AB1286" i="5"/>
  <c r="AB781" i="5"/>
  <c r="AB1230" i="5"/>
  <c r="AB431" i="5"/>
  <c r="AB432" i="5"/>
  <c r="AB611" i="5"/>
  <c r="AB483" i="5"/>
  <c r="AB71" i="5"/>
  <c r="AB1092" i="5"/>
  <c r="AB1724" i="5"/>
  <c r="AB561" i="5"/>
  <c r="AB1917" i="5"/>
  <c r="AB1771" i="5"/>
  <c r="AB2002" i="5"/>
  <c r="AB1381" i="5"/>
  <c r="AB1867" i="5"/>
  <c r="AB929" i="5"/>
  <c r="AB1453" i="5"/>
  <c r="AB1725" i="5"/>
  <c r="AB2003" i="5"/>
  <c r="AB2004" i="5"/>
  <c r="AB23" i="5"/>
  <c r="AB1544" i="5"/>
  <c r="AB1673" i="5"/>
  <c r="AB1962" i="5"/>
  <c r="AB612" i="5"/>
  <c r="AB562" i="5"/>
  <c r="AB1163" i="5"/>
  <c r="AB1586" i="5"/>
  <c r="AB1587" i="5"/>
  <c r="AB2119" i="5"/>
  <c r="AB1093" i="5"/>
  <c r="AB1382" i="5"/>
  <c r="AB1868" i="5"/>
  <c r="AB930" i="5"/>
  <c r="AB1918" i="5"/>
  <c r="AB1003" i="5"/>
  <c r="AB2172" i="5"/>
  <c r="AB16" i="5"/>
  <c r="AB17" i="5"/>
  <c r="AB1004" i="5"/>
  <c r="AB1869" i="5"/>
  <c r="AB1726" i="5"/>
  <c r="AB50" i="5"/>
  <c r="AB706" i="5"/>
  <c r="AB707" i="5"/>
  <c r="AB310" i="5"/>
  <c r="AB613" i="5"/>
  <c r="AB128" i="5"/>
  <c r="AB852" i="5"/>
  <c r="AB1963" i="5"/>
  <c r="AB484" i="5"/>
  <c r="AB1772" i="5"/>
  <c r="AB2052" i="5"/>
  <c r="AB1005" i="5"/>
  <c r="AB51" i="5"/>
  <c r="AB1383" i="5"/>
  <c r="AB1231" i="5"/>
  <c r="AB129" i="5"/>
  <c r="AB311" i="5"/>
  <c r="AB1164" i="5"/>
  <c r="AB130" i="5"/>
  <c r="AB228" i="5"/>
  <c r="AB708" i="5"/>
  <c r="AB1626" i="5"/>
  <c r="AB2173" i="5"/>
  <c r="AB2174" i="5"/>
  <c r="AB1495" i="5"/>
  <c r="AB1094" i="5"/>
  <c r="AB1095" i="5"/>
  <c r="AB1870" i="5"/>
  <c r="AB1727" i="5"/>
  <c r="AB194" i="5"/>
  <c r="AB1545" i="5"/>
  <c r="AB1165" i="5"/>
  <c r="AB2120" i="5"/>
  <c r="AB1871" i="5"/>
  <c r="AB1872" i="5"/>
  <c r="AB229" i="5"/>
  <c r="AB1919" i="5"/>
  <c r="AB931" i="5"/>
  <c r="AB1166" i="5"/>
  <c r="AB18" i="5"/>
  <c r="AB614" i="5"/>
  <c r="AB615" i="5"/>
  <c r="AB2121" i="5"/>
  <c r="AB2053" i="5"/>
  <c r="AB1006" i="5"/>
  <c r="AB2005" i="5"/>
  <c r="AB1546" i="5"/>
  <c r="AB1384" i="5"/>
  <c r="AB485" i="5"/>
  <c r="AB563" i="5"/>
  <c r="AB782" i="5"/>
  <c r="AB1920" i="5"/>
  <c r="AB1921" i="5"/>
  <c r="AB354" i="5"/>
  <c r="AB433" i="5"/>
  <c r="AB2122" i="5"/>
  <c r="AB1547" i="5"/>
  <c r="AB1007" i="5"/>
  <c r="AB2054" i="5"/>
  <c r="AB1728" i="5"/>
  <c r="AB160" i="5"/>
  <c r="AB161" i="5"/>
  <c r="AB1815" i="5"/>
  <c r="AB564" i="5"/>
  <c r="AB312" i="5"/>
  <c r="AB313" i="5"/>
  <c r="AB486" i="5"/>
  <c r="AB1008" i="5"/>
  <c r="AB1009" i="5"/>
  <c r="AB1674" i="5"/>
  <c r="AB1729" i="5"/>
  <c r="AB1548" i="5"/>
  <c r="AB434" i="5"/>
  <c r="AB1385" i="5"/>
  <c r="AB2200" i="5"/>
  <c r="AB1010" i="5"/>
  <c r="AB1386" i="5"/>
  <c r="AB783" i="5"/>
  <c r="AB1549" i="5"/>
  <c r="AB487" i="5"/>
  <c r="AB1816" i="5"/>
  <c r="AB1675" i="5"/>
  <c r="AB1676" i="5"/>
  <c r="AB1387" i="5"/>
  <c r="AB616" i="5"/>
  <c r="AB1677" i="5"/>
  <c r="AB9" i="5"/>
  <c r="AB853" i="5"/>
  <c r="AB1773" i="5"/>
  <c r="AB2055" i="5"/>
  <c r="AB488" i="5"/>
  <c r="AB1627" i="5"/>
  <c r="AB195" i="5"/>
  <c r="AB932" i="5"/>
  <c r="AB1388" i="5"/>
  <c r="AB1389" i="5"/>
  <c r="AB617" i="5"/>
  <c r="AB1011" i="5"/>
  <c r="AB1287" i="5"/>
  <c r="AB394" i="5"/>
  <c r="AB2056" i="5"/>
  <c r="AB1232" i="5"/>
  <c r="AB1330" i="5"/>
  <c r="AB2154" i="5"/>
  <c r="AB1288" i="5"/>
  <c r="AB230" i="5"/>
  <c r="AB1873" i="5"/>
  <c r="AB1096" i="5"/>
  <c r="AB196" i="5"/>
  <c r="AB197" i="5"/>
  <c r="AB1233" i="5"/>
  <c r="AB2006" i="5"/>
  <c r="AB19" i="5"/>
  <c r="AB1964" i="5"/>
  <c r="AB489" i="5"/>
  <c r="AB1922" i="5"/>
  <c r="AB618" i="5"/>
  <c r="AB2201" i="5"/>
  <c r="AB435" i="5"/>
  <c r="AB2175" i="5"/>
  <c r="AB709" i="5"/>
  <c r="AB1331" i="5"/>
  <c r="AB619" i="5"/>
  <c r="AB620" i="5"/>
  <c r="AB2123" i="5"/>
  <c r="AB274" i="5"/>
  <c r="AB933" i="5"/>
  <c r="AB1167" i="5"/>
  <c r="AB1390" i="5"/>
  <c r="AB1923" i="5"/>
  <c r="AB314" i="5"/>
  <c r="AB315" i="5"/>
  <c r="AB1391" i="5"/>
  <c r="AB1454" i="5"/>
  <c r="AB1012" i="5"/>
  <c r="AB1168" i="5"/>
  <c r="AB1392" i="5"/>
  <c r="AB162" i="5"/>
  <c r="AB2007" i="5"/>
  <c r="AB1332" i="5"/>
  <c r="AB2202" i="5"/>
  <c r="AB784" i="5"/>
  <c r="AB2057" i="5"/>
  <c r="AB1234" i="5"/>
  <c r="AB395" i="5"/>
  <c r="AB1550" i="5"/>
  <c r="AB3" i="5"/>
  <c r="AB275" i="5"/>
  <c r="AB396" i="5"/>
  <c r="AB1169" i="5"/>
  <c r="AB854" i="5"/>
  <c r="AB565" i="5"/>
  <c r="AB2124" i="5"/>
  <c r="AB710" i="5"/>
  <c r="AB1965" i="5"/>
  <c r="AB1393" i="5"/>
  <c r="AB1817" i="5"/>
  <c r="AB934" i="5"/>
  <c r="AB2008" i="5"/>
  <c r="AB1394" i="5"/>
  <c r="AB1395" i="5"/>
  <c r="AB316" i="5"/>
  <c r="AB317" i="5"/>
  <c r="AB2125" i="5"/>
  <c r="AB1730" i="5"/>
  <c r="AB1097" i="5"/>
  <c r="AB1098" i="5"/>
  <c r="AB1333" i="5"/>
  <c r="AB1099" i="5"/>
  <c r="AB1678" i="5"/>
  <c r="AB1289" i="5"/>
  <c r="AB1170" i="5"/>
  <c r="AB1171" i="5"/>
  <c r="AB38" i="5"/>
  <c r="AB39" i="5"/>
  <c r="AB2186" i="5"/>
  <c r="AB100" i="5"/>
  <c r="AB101" i="5"/>
  <c r="AB318" i="5"/>
  <c r="AB102" i="5"/>
  <c r="AB103" i="5"/>
  <c r="AB1172" i="5"/>
  <c r="AB2" i="5"/>
  <c r="AB621" i="5"/>
  <c r="AB785" i="5"/>
  <c r="AB1455" i="5"/>
  <c r="AB1731" i="5"/>
  <c r="AB436" i="5"/>
  <c r="AB1774" i="5"/>
  <c r="AB1456" i="5"/>
  <c r="AB40" i="5"/>
  <c r="AB1496" i="5"/>
  <c r="AB1497" i="5"/>
  <c r="AB2176" i="5"/>
  <c r="AB490" i="5"/>
  <c r="AB2126" i="5"/>
  <c r="AB2127" i="5"/>
  <c r="AB711" i="5"/>
  <c r="AB1679" i="5"/>
  <c r="AB1628" i="5"/>
  <c r="AB2058" i="5"/>
  <c r="AB131" i="5"/>
  <c r="AB104" i="5"/>
  <c r="AB105" i="5"/>
  <c r="AB1100" i="5"/>
  <c r="AB397" i="5"/>
  <c r="AB2177" i="5"/>
  <c r="AB786" i="5"/>
  <c r="AB787" i="5"/>
  <c r="AB788" i="5"/>
  <c r="AB2009" i="5"/>
  <c r="AB855" i="5"/>
  <c r="AB132" i="5"/>
  <c r="AB1101" i="5"/>
  <c r="AB1102" i="5"/>
  <c r="AB2059" i="5"/>
  <c r="AB1173" i="5"/>
  <c r="AB1103" i="5"/>
  <c r="AB4" i="5"/>
  <c r="AB1290" i="5"/>
  <c r="AB1334" i="5"/>
  <c r="AB1732" i="5"/>
  <c r="AB1874" i="5"/>
  <c r="AB1818" i="5"/>
  <c r="AB1966" i="5"/>
  <c r="AB2060" i="5"/>
  <c r="AB491" i="5"/>
  <c r="AB1924" i="5"/>
  <c r="AB72" i="5"/>
  <c r="AB106" i="5"/>
  <c r="AB1733" i="5"/>
  <c r="AB2187" i="5"/>
  <c r="AB2188" i="5"/>
  <c r="AB1291" i="5"/>
  <c r="AB1104" i="5"/>
  <c r="AB1775" i="5"/>
  <c r="AB319" i="5"/>
  <c r="AB320" i="5"/>
  <c r="AB712" i="5"/>
  <c r="AB1776" i="5"/>
  <c r="AB1174" i="5"/>
  <c r="AB1551" i="5"/>
  <c r="AB198" i="5"/>
  <c r="AB1396" i="5"/>
  <c r="AB1175" i="5"/>
  <c r="AB622" i="5"/>
  <c r="AB1875" i="5"/>
  <c r="AB1588" i="5"/>
  <c r="AB2155" i="5"/>
  <c r="AB492" i="5"/>
  <c r="AB493" i="5"/>
  <c r="AB1819" i="5"/>
  <c r="AB1498" i="5"/>
  <c r="AB1013" i="5"/>
  <c r="AB1397" i="5"/>
  <c r="AB2189" i="5"/>
  <c r="AB1777" i="5"/>
  <c r="AB2178" i="5"/>
  <c r="AB623" i="5"/>
  <c r="AB1105" i="5"/>
  <c r="AB2203" i="5"/>
  <c r="AB494" i="5"/>
  <c r="AB1335" i="5"/>
  <c r="AB1014" i="5"/>
  <c r="AB1292" i="5"/>
  <c r="AB1876" i="5"/>
  <c r="AB1176" i="5"/>
  <c r="AB1398" i="5"/>
  <c r="AB1106" i="5"/>
  <c r="AB935" i="5"/>
  <c r="AB1629" i="5"/>
  <c r="AB936" i="5"/>
  <c r="AB937" i="5"/>
  <c r="AB624" i="5"/>
  <c r="AB789" i="5"/>
  <c r="AB1967" i="5"/>
  <c r="AB1457" i="5"/>
  <c r="AB1458" i="5"/>
  <c r="AB1680" i="5"/>
  <c r="AB1734" i="5"/>
  <c r="AB1778" i="5"/>
  <c r="AB1779" i="5"/>
  <c r="AB1780" i="5"/>
  <c r="AB790" i="5"/>
  <c r="AB231" i="5"/>
  <c r="AB791" i="5"/>
  <c r="AB856" i="5"/>
  <c r="AB1925" i="5"/>
  <c r="AB1926" i="5"/>
  <c r="AB1552" i="5"/>
  <c r="AB857" i="5"/>
  <c r="AB398" i="5"/>
  <c r="AB2210" i="5"/>
  <c r="AB1399" i="5"/>
  <c r="AB1877" i="5"/>
  <c r="AB1735" i="5"/>
  <c r="AB1177" i="5"/>
  <c r="AB321" i="5"/>
  <c r="AB1736" i="5"/>
  <c r="AB713" i="5"/>
  <c r="AB625" i="5"/>
  <c r="AB626" i="5"/>
  <c r="AB1293" i="5"/>
  <c r="AB2216" i="5"/>
  <c r="AB1681" i="5"/>
  <c r="AB1737" i="5"/>
  <c r="AB2061" i="5"/>
  <c r="AB627" i="5"/>
  <c r="AB2090" i="5"/>
  <c r="AB1820" i="5"/>
  <c r="AB1821" i="5"/>
  <c r="AB1781" i="5"/>
  <c r="AB2010" i="5"/>
  <c r="AB495" i="5"/>
  <c r="AB1015" i="5"/>
  <c r="AB1016" i="5"/>
  <c r="AB1107" i="5"/>
  <c r="AB1235" i="5"/>
  <c r="AB1927" i="5"/>
  <c r="AB52" i="5"/>
  <c r="AB1968" i="5"/>
  <c r="AB1928" i="5"/>
  <c r="AB938" i="5"/>
  <c r="AB73" i="5"/>
  <c r="AB1108" i="5"/>
  <c r="AB199" i="5"/>
  <c r="AB1589" i="5"/>
  <c r="AB1590" i="5"/>
  <c r="AB1499" i="5"/>
  <c r="AB1400" i="5"/>
  <c r="AB1459" i="5"/>
  <c r="AB1969" i="5"/>
  <c r="AB1460" i="5"/>
  <c r="AB1822" i="5"/>
  <c r="AB2190" i="5"/>
  <c r="AB2191" i="5"/>
  <c r="AB2011" i="5"/>
  <c r="AB792" i="5"/>
  <c r="AB1461" i="5"/>
  <c r="AB1236" i="5"/>
  <c r="AB1823" i="5"/>
  <c r="AB1824" i="5"/>
  <c r="AB1553" i="5"/>
  <c r="AB496" i="5"/>
  <c r="AB1237" i="5"/>
  <c r="AB1238" i="5"/>
  <c r="AB1239" i="5"/>
  <c r="AB1336" i="5"/>
  <c r="AB1337" i="5"/>
  <c r="AB437" i="5"/>
  <c r="AB497" i="5"/>
  <c r="AB498" i="5"/>
  <c r="AB1109" i="5"/>
  <c r="AB1929" i="5"/>
  <c r="AB858" i="5"/>
  <c r="AB1462" i="5"/>
  <c r="AB1630" i="5"/>
  <c r="AB1631" i="5"/>
  <c r="AB1591" i="5"/>
  <c r="AB1592" i="5"/>
  <c r="AB2204" i="5"/>
  <c r="AB1294" i="5"/>
  <c r="AB322" i="5"/>
  <c r="AB24" i="5"/>
  <c r="AB793" i="5"/>
  <c r="AB794" i="5"/>
  <c r="AB2091" i="5"/>
  <c r="AB1682" i="5"/>
  <c r="AB2012" i="5"/>
  <c r="AB399" i="5"/>
  <c r="AB1295" i="5"/>
  <c r="AB1878" i="5"/>
  <c r="AB1879" i="5"/>
  <c r="AB1463" i="5"/>
  <c r="AB1178" i="5"/>
  <c r="AB163" i="5"/>
  <c r="AB1683" i="5"/>
  <c r="AB2205" i="5"/>
  <c r="AB2128" i="5"/>
  <c r="AB2129" i="5"/>
  <c r="AB1930" i="5"/>
  <c r="AB1931" i="5"/>
  <c r="AB1632" i="5"/>
  <c r="AB1633" i="5"/>
  <c r="AB1179" i="5"/>
  <c r="AB1401" i="5"/>
  <c r="AB939" i="5"/>
  <c r="AB1402" i="5"/>
  <c r="AB1932" i="5"/>
  <c r="AB1933" i="5"/>
  <c r="AB1554" i="5"/>
  <c r="AB1970" i="5"/>
  <c r="AB1880" i="5"/>
  <c r="AB1296" i="5"/>
  <c r="AB1825" i="5"/>
  <c r="AB438" i="5"/>
  <c r="AB1110" i="5"/>
  <c r="AB1111" i="5"/>
  <c r="AB1684" i="5"/>
  <c r="AB2013" i="5"/>
  <c r="AB2014" i="5"/>
  <c r="AB940" i="5"/>
  <c r="AB1634" i="5"/>
  <c r="AB1782" i="5"/>
  <c r="AB1180" i="5"/>
  <c r="AB2192" i="5"/>
  <c r="AB628" i="5"/>
  <c r="AB1826" i="5"/>
  <c r="AB941" i="5"/>
  <c r="AB2015" i="5"/>
  <c r="AB566" i="5"/>
  <c r="AB1593" i="5"/>
  <c r="AB795" i="5"/>
  <c r="AB714" i="5"/>
  <c r="AB1112" i="5"/>
  <c r="AB1464" i="5"/>
  <c r="AB439" i="5"/>
  <c r="AB440" i="5"/>
  <c r="AB2016" i="5"/>
  <c r="AB1465" i="5"/>
  <c r="AB1594" i="5"/>
  <c r="AB133" i="5"/>
  <c r="AB1113" i="5"/>
  <c r="AB1240" i="5"/>
  <c r="AB41" i="5"/>
  <c r="AB1403" i="5"/>
  <c r="AB1404" i="5"/>
  <c r="AB2156" i="5"/>
  <c r="AB715" i="5"/>
  <c r="AB323" i="5"/>
  <c r="AB499" i="5"/>
  <c r="AB1738" i="5"/>
  <c r="AB1241" i="5"/>
  <c r="AB1338" i="5"/>
  <c r="AB1339" i="5"/>
  <c r="AB1881" i="5"/>
  <c r="AB1971" i="5"/>
  <c r="AB1685" i="5"/>
  <c r="AB1297" i="5"/>
  <c r="AB1114" i="5"/>
  <c r="AB1686" i="5"/>
  <c r="AB1739" i="5"/>
  <c r="AB629" i="5"/>
  <c r="AB400" i="5"/>
  <c r="AB2017" i="5"/>
  <c r="AB716" i="5"/>
  <c r="AB2092" i="5"/>
  <c r="AB1466" i="5"/>
  <c r="AB1340" i="5"/>
  <c r="AB441" i="5"/>
  <c r="AB1827" i="5"/>
  <c r="AB2062" i="5"/>
  <c r="AB232" i="5"/>
  <c r="AB717" i="5"/>
  <c r="AB1467" i="5"/>
  <c r="AB1017" i="5"/>
  <c r="AB718" i="5"/>
  <c r="AB1595" i="5"/>
  <c r="AB1596" i="5"/>
  <c r="AB1018" i="5"/>
  <c r="AB1019" i="5"/>
  <c r="AB630" i="5"/>
  <c r="AB442" i="5"/>
  <c r="AB443" i="5"/>
  <c r="AB859" i="5"/>
  <c r="AB1828" i="5"/>
  <c r="AB860" i="5"/>
  <c r="AB2157" i="5"/>
  <c r="AB500" i="5"/>
  <c r="AB1405" i="5"/>
  <c r="AB444" i="5"/>
  <c r="AB796" i="5"/>
  <c r="AB1934" i="5"/>
  <c r="AB631" i="5"/>
  <c r="AB942" i="5"/>
  <c r="AB1882" i="5"/>
  <c r="AB1115" i="5"/>
  <c r="AB943" i="5"/>
  <c r="AB1883" i="5"/>
  <c r="AB632" i="5"/>
  <c r="AB1406" i="5"/>
  <c r="AB1407" i="5"/>
  <c r="AB944" i="5"/>
  <c r="AB567" i="5"/>
  <c r="AB1408" i="5"/>
  <c r="AB945" i="5"/>
  <c r="AB719" i="5"/>
  <c r="AB2093" i="5"/>
  <c r="AB1555" i="5"/>
  <c r="AB2063" i="5"/>
  <c r="AB2064" i="5"/>
  <c r="AB2018" i="5"/>
  <c r="AB1972" i="5"/>
  <c r="AB1468" i="5"/>
  <c r="AB2094" i="5"/>
  <c r="AB2095" i="5"/>
  <c r="AB1556" i="5"/>
  <c r="AB1298" i="5"/>
  <c r="AB1597" i="5"/>
  <c r="AB1935" i="5"/>
  <c r="AB1299" i="5"/>
  <c r="AB74" i="5"/>
  <c r="AB1687" i="5"/>
  <c r="AB861" i="5"/>
  <c r="AB1181" i="5"/>
  <c r="AB1829" i="5"/>
  <c r="AB1116" i="5"/>
  <c r="AB1409" i="5"/>
  <c r="AB355" i="5"/>
  <c r="AB1830" i="5"/>
  <c r="AB1557" i="5"/>
  <c r="AB1558" i="5"/>
  <c r="AB2130" i="5"/>
  <c r="AB633" i="5"/>
  <c r="AB324" i="5"/>
  <c r="AB1242" i="5"/>
  <c r="AB1243" i="5"/>
  <c r="AB1469" i="5"/>
  <c r="AB797" i="5"/>
  <c r="AB1884" i="5"/>
  <c r="AB1559" i="5"/>
  <c r="AB1635" i="5"/>
  <c r="AB1973" i="5"/>
  <c r="AB1020" i="5"/>
  <c r="AB720" i="5"/>
  <c r="AB721" i="5"/>
  <c r="AB1470" i="5"/>
  <c r="AB356" i="5"/>
  <c r="AB1885" i="5"/>
  <c r="AB2065" i="5"/>
  <c r="AB1783" i="5"/>
  <c r="AB1831" i="5"/>
  <c r="AB1688" i="5"/>
  <c r="AB1182" i="5"/>
  <c r="AB445" i="5"/>
  <c r="AB1560" i="5"/>
  <c r="AB1886" i="5"/>
  <c r="AB1689" i="5"/>
  <c r="AB568" i="5"/>
  <c r="AB325" i="5"/>
  <c r="AB1410" i="5"/>
  <c r="AB862" i="5"/>
  <c r="AB501" i="5"/>
  <c r="AB1341" i="5"/>
  <c r="AB1936" i="5"/>
  <c r="AB1183" i="5"/>
  <c r="AB1342" i="5"/>
  <c r="AB1117" i="5"/>
  <c r="AB446" i="5"/>
  <c r="AB2066" i="5"/>
  <c r="AB2217" i="5"/>
  <c r="AB1021" i="5"/>
  <c r="AB722" i="5"/>
  <c r="AB1937" i="5"/>
  <c r="AB447" i="5"/>
  <c r="AB2067" i="5"/>
  <c r="AB1500" i="5"/>
  <c r="AB2019" i="5"/>
  <c r="AB1411" i="5"/>
  <c r="AB1343" i="5"/>
  <c r="AB1300" i="5"/>
  <c r="AB946" i="5"/>
  <c r="AB502" i="5"/>
  <c r="AB1244" i="5"/>
  <c r="AB863" i="5"/>
  <c r="AB134" i="5"/>
  <c r="AB1598" i="5"/>
  <c r="AB947" i="5"/>
  <c r="AB1599" i="5"/>
  <c r="AB2096" i="5"/>
  <c r="AB723" i="5"/>
  <c r="AB357" i="5"/>
  <c r="AB1412" i="5"/>
  <c r="AB1413" i="5"/>
  <c r="AB634" i="5"/>
  <c r="AB358" i="5"/>
  <c r="AB1022" i="5"/>
  <c r="AB1184" i="5"/>
  <c r="AB1185" i="5"/>
  <c r="AB448" i="5"/>
  <c r="AB948" i="5"/>
  <c r="AB798" i="5"/>
  <c r="AB569" i="5"/>
  <c r="AB1301" i="5"/>
  <c r="AB724" i="5"/>
  <c r="AB2097" i="5"/>
  <c r="AB2098" i="5"/>
  <c r="AB1245" i="5"/>
  <c r="AB359" i="5"/>
  <c r="AB360" i="5"/>
  <c r="AB1302" i="5"/>
  <c r="AB1501" i="5"/>
  <c r="AB725" i="5"/>
  <c r="AB1186" i="5"/>
  <c r="AB2158" i="5"/>
  <c r="AB1246" i="5"/>
  <c r="AB1561" i="5"/>
  <c r="AB1974" i="5"/>
  <c r="AB1975" i="5"/>
  <c r="AB1562" i="5"/>
  <c r="AB1414" i="5"/>
  <c r="AB2211" i="5"/>
  <c r="AB1247" i="5"/>
  <c r="AB2020" i="5"/>
  <c r="AB726" i="5"/>
  <c r="AB570" i="5"/>
  <c r="AB727" i="5"/>
  <c r="AB1471" i="5"/>
  <c r="AB1563" i="5"/>
  <c r="AB1976" i="5"/>
  <c r="AB1344" i="5"/>
  <c r="AB1023" i="5"/>
  <c r="AB2212" i="5"/>
  <c r="AB864" i="5"/>
  <c r="AB503" i="5"/>
  <c r="AB1887" i="5"/>
  <c r="AB2099" i="5"/>
  <c r="AB233" i="5"/>
  <c r="AB635" i="5"/>
  <c r="AB636" i="5"/>
  <c r="AB571" i="5"/>
  <c r="AB200" i="5"/>
  <c r="AB1832" i="5"/>
  <c r="AB1118" i="5"/>
  <c r="AB1784" i="5"/>
  <c r="AB949" i="5"/>
  <c r="AB1415" i="5"/>
  <c r="AB1833" i="5"/>
  <c r="AB1024" i="5"/>
  <c r="AB1187" i="5"/>
  <c r="AB1188" i="5"/>
  <c r="AB1119" i="5"/>
  <c r="AB865" i="5"/>
  <c r="AB1834" i="5"/>
  <c r="AB1690" i="5"/>
  <c r="AB1600" i="5"/>
  <c r="AB504" i="5"/>
  <c r="AB572" i="5"/>
  <c r="AB573" i="5"/>
  <c r="AB1189" i="5"/>
  <c r="AB1691" i="5"/>
  <c r="AB728" i="5"/>
  <c r="AB1564" i="5"/>
  <c r="AB1025" i="5"/>
  <c r="AB1026" i="5"/>
  <c r="AB1835" i="5"/>
  <c r="AB2131" i="5"/>
  <c r="AB2021" i="5"/>
  <c r="AB866" i="5"/>
  <c r="AB1601" i="5"/>
  <c r="AB1836" i="5"/>
  <c r="AB1837" i="5"/>
  <c r="AB2100" i="5"/>
  <c r="AB1502" i="5"/>
  <c r="AB361" i="5"/>
  <c r="AB2132" i="5"/>
  <c r="AB1977" i="5"/>
  <c r="AB1838" i="5"/>
  <c r="AB1839" i="5"/>
  <c r="AB1785" i="5"/>
  <c r="AB574" i="5"/>
  <c r="AB867" i="5"/>
  <c r="AB449" i="5"/>
  <c r="AB1345" i="5"/>
  <c r="AB1636" i="5"/>
  <c r="AB1303" i="5"/>
  <c r="AB1190" i="5"/>
  <c r="AB505" i="5"/>
  <c r="AB1120" i="5"/>
  <c r="AB1191" i="5"/>
  <c r="AB1416" i="5"/>
  <c r="AB868" i="5"/>
  <c r="AB1503" i="5"/>
  <c r="AB637" i="5"/>
  <c r="AB201" i="5"/>
  <c r="AB1740" i="5"/>
  <c r="AB1741" i="5"/>
  <c r="AB1888" i="5"/>
  <c r="AB638" i="5"/>
  <c r="AB1417" i="5"/>
  <c r="AB2068" i="5"/>
  <c r="AB950" i="5"/>
  <c r="AB2022" i="5"/>
  <c r="AB1978" i="5"/>
  <c r="AB1979" i="5"/>
  <c r="AB1692" i="5"/>
  <c r="AB1504" i="5"/>
  <c r="AB1192" i="5"/>
  <c r="AB799" i="5"/>
  <c r="AB639" i="5"/>
  <c r="AB2069" i="5"/>
  <c r="AB729" i="5"/>
  <c r="AB1786" i="5"/>
  <c r="AB1840" i="5"/>
  <c r="AB640" i="5"/>
  <c r="AB730" i="5"/>
  <c r="AB1121" i="5"/>
  <c r="AB506" i="5"/>
  <c r="AB1693" i="5"/>
  <c r="AB1938" i="5"/>
  <c r="AB1742" i="5"/>
  <c r="AB800" i="5"/>
  <c r="AB1841" i="5"/>
  <c r="AB1027" i="5"/>
  <c r="AB1939" i="5"/>
  <c r="AB1694" i="5"/>
  <c r="AB1787" i="5"/>
  <c r="AB869" i="5"/>
  <c r="AB1889" i="5"/>
  <c r="AB731" i="5"/>
  <c r="AB732" i="5"/>
  <c r="AB1565" i="5"/>
  <c r="AB1304" i="5"/>
  <c r="AB1028" i="5"/>
  <c r="AB507" i="5"/>
  <c r="AB1193" i="5"/>
  <c r="AB234" i="5"/>
  <c r="AB1695" i="5"/>
  <c r="AB1505" i="5"/>
  <c r="AB1506" i="5"/>
  <c r="AB2101" i="5"/>
  <c r="AB508" i="5"/>
  <c r="AB641" i="5"/>
  <c r="AB2102" i="5"/>
  <c r="AB1418" i="5"/>
  <c r="AB1305" i="5"/>
  <c r="AB870" i="5"/>
  <c r="AB1472" i="5"/>
  <c r="AB733" i="5"/>
  <c r="AB1743" i="5"/>
  <c r="AB951" i="5"/>
  <c r="AB401" i="5"/>
  <c r="AB1419" i="5"/>
  <c r="AB1637" i="5"/>
  <c r="AB642" i="5"/>
  <c r="AB2133" i="5"/>
  <c r="AB135" i="5"/>
  <c r="AB2023" i="5"/>
  <c r="AB2134" i="5"/>
  <c r="AB1744" i="5"/>
  <c r="AB1306" i="5"/>
  <c r="AB1745" i="5"/>
  <c r="AB1980" i="5"/>
  <c r="AB1420" i="5"/>
  <c r="AB42" i="5"/>
  <c r="AB643" i="5"/>
  <c r="AB644" i="5"/>
  <c r="AB2159" i="5"/>
  <c r="AB1248" i="5"/>
  <c r="AB509" i="5"/>
  <c r="AB53" i="5"/>
  <c r="AB1566" i="5"/>
  <c r="AB871" i="5"/>
  <c r="AB2221" i="5"/>
  <c r="AB1890" i="5"/>
  <c r="AB362" i="5"/>
  <c r="AB1194" i="5"/>
  <c r="AB2193" i="5"/>
  <c r="AB2194" i="5"/>
  <c r="AB1842" i="5"/>
  <c r="AB1843" i="5"/>
  <c r="AB1844" i="5"/>
  <c r="AB1845" i="5"/>
  <c r="AB2024" i="5"/>
  <c r="AB1567" i="5"/>
  <c r="AB1891" i="5"/>
  <c r="AB1746" i="5"/>
  <c r="AB1981" i="5"/>
  <c r="AB1696" i="5"/>
  <c r="AB2103" i="5"/>
  <c r="AB1249" i="5"/>
  <c r="AB1638" i="5"/>
  <c r="AB1639" i="5"/>
  <c r="AB1640" i="5"/>
  <c r="AB1747" i="5"/>
  <c r="AB1940" i="5"/>
  <c r="AB1122" i="5"/>
  <c r="AB1507" i="5"/>
  <c r="AB1788" i="5"/>
  <c r="AB1846" i="5"/>
  <c r="AB575" i="5"/>
  <c r="AB952" i="5"/>
  <c r="AB2025" i="5"/>
  <c r="AB326" i="5"/>
  <c r="AB645" i="5"/>
  <c r="AB402" i="5"/>
  <c r="AB276" i="5"/>
  <c r="AB277" i="5"/>
  <c r="AB1568" i="5"/>
  <c r="AB1789" i="5"/>
  <c r="AB1250" i="5"/>
  <c r="AB1941" i="5"/>
  <c r="AB1508" i="5"/>
  <c r="AB1748" i="5"/>
  <c r="AB2135" i="5"/>
  <c r="AB2136" i="5"/>
  <c r="AB953" i="5"/>
  <c r="AB43" i="5"/>
  <c r="AB646" i="5"/>
  <c r="AB647" i="5"/>
  <c r="AB1602" i="5"/>
  <c r="AB801" i="5"/>
  <c r="AB1892" i="5"/>
  <c r="AB2026" i="5"/>
  <c r="AB1346" i="5"/>
  <c r="AB1347" i="5"/>
  <c r="AB1749" i="5"/>
  <c r="AB648" i="5"/>
  <c r="AB734" i="5"/>
  <c r="AB1029" i="5"/>
  <c r="AB954" i="5"/>
  <c r="AB1509" i="5"/>
  <c r="AB1893" i="5"/>
  <c r="AB2027" i="5"/>
  <c r="AB2070" i="5"/>
  <c r="AB1030" i="5"/>
  <c r="AB649" i="5"/>
  <c r="AB802" i="5"/>
  <c r="AB2137" i="5"/>
  <c r="AB1641" i="5"/>
  <c r="AB1031" i="5"/>
  <c r="AB1473" i="5"/>
  <c r="AB872" i="5"/>
  <c r="AB2071" i="5"/>
  <c r="AB1251" i="5"/>
  <c r="AB2218" i="5"/>
  <c r="AB2219" i="5"/>
  <c r="AB1474" i="5"/>
  <c r="AB1510" i="5"/>
  <c r="AB1511" i="5"/>
  <c r="AB1642" i="5"/>
  <c r="AB1348" i="5"/>
  <c r="AB1512" i="5"/>
  <c r="AB1982" i="5"/>
  <c r="AB25" i="5"/>
  <c r="AB2104" i="5"/>
  <c r="AB1195" i="5"/>
  <c r="AB1894" i="5"/>
  <c r="AB1513" i="5"/>
  <c r="AB2105" i="5"/>
  <c r="AB1983" i="5"/>
  <c r="AB450" i="5"/>
  <c r="AB873" i="5"/>
  <c r="AB874" i="5"/>
  <c r="AB875" i="5"/>
  <c r="AB1603" i="5"/>
  <c r="AB1196" i="5"/>
  <c r="AB1847" i="5"/>
  <c r="AB1750" i="5"/>
  <c r="AB803" i="5"/>
  <c r="AB735" i="5"/>
  <c r="AB2138" i="5"/>
  <c r="AB2106" i="5"/>
  <c r="AB1421" i="5"/>
  <c r="AB2028" i="5"/>
  <c r="AB1643" i="5"/>
  <c r="AB804" i="5"/>
  <c r="AB403" i="5"/>
  <c r="AB1644" i="5"/>
  <c r="AB1307" i="5"/>
  <c r="AB736" i="5"/>
  <c r="AB1790" i="5"/>
  <c r="AB1984" i="5"/>
  <c r="AB451" i="5"/>
  <c r="AB737" i="5"/>
  <c r="AB2139" i="5"/>
  <c r="AB1349" i="5"/>
  <c r="AB1645" i="5"/>
  <c r="AB2072" i="5"/>
  <c r="AB2073" i="5"/>
  <c r="AB1791" i="5"/>
  <c r="AB1569" i="5"/>
  <c r="AB2029" i="5"/>
  <c r="AB1032" i="5"/>
  <c r="AB1422" i="5"/>
  <c r="AB650" i="5"/>
  <c r="AB510" i="5"/>
  <c r="AB1423" i="5"/>
  <c r="AB1848" i="5"/>
  <c r="AB1849" i="5"/>
  <c r="AB576" i="5"/>
  <c r="AB136" i="5"/>
  <c r="AB1475" i="5"/>
  <c r="AB1308" i="5"/>
  <c r="AB1424" i="5"/>
  <c r="AB1425" i="5"/>
  <c r="AB876" i="5"/>
  <c r="AB1197" i="5"/>
  <c r="AB1646" i="5"/>
  <c r="AB738" i="5"/>
  <c r="AB1514" i="5"/>
  <c r="AB1942" i="5"/>
  <c r="AB1350" i="5"/>
  <c r="AB1751" i="5"/>
  <c r="AB2160" i="5"/>
  <c r="AB2161" i="5"/>
  <c r="AB2030" i="5"/>
  <c r="AB1752" i="5"/>
  <c r="AB1604" i="5"/>
  <c r="AB1033" i="5"/>
  <c r="AB955" i="5"/>
  <c r="AB956" i="5"/>
  <c r="AB1895" i="5"/>
  <c r="AB511" i="5"/>
  <c r="AB805" i="5"/>
  <c r="AB1943" i="5"/>
  <c r="AB957" i="5"/>
  <c r="AB651" i="5"/>
  <c r="AB1985" i="5"/>
  <c r="AB739" i="5"/>
  <c r="AB75" i="5"/>
  <c r="AB652" i="5"/>
  <c r="AB1570" i="5"/>
  <c r="AB740" i="5"/>
  <c r="AB741" i="5"/>
  <c r="AB742" i="5"/>
  <c r="AB1850" i="5"/>
  <c r="AB877" i="5"/>
  <c r="AB1851" i="5"/>
  <c r="AB958" i="5"/>
  <c r="AB653" i="5"/>
  <c r="AB1896" i="5"/>
  <c r="AB1897" i="5"/>
  <c r="AB806" i="5"/>
  <c r="AB1476" i="5"/>
  <c r="AB1605" i="5"/>
  <c r="AB164" i="5"/>
  <c r="AB1477" i="5"/>
  <c r="AB1351" i="5"/>
  <c r="AB807" i="5"/>
  <c r="AB404" i="5"/>
  <c r="AB808" i="5"/>
  <c r="AB1478" i="5"/>
  <c r="AB1479" i="5"/>
  <c r="AB1944" i="5"/>
  <c r="AB1252" i="5"/>
  <c r="AB1034" i="5"/>
  <c r="AB2162" i="5"/>
  <c r="AB2206" i="5"/>
  <c r="AB743" i="5"/>
  <c r="AB809" i="5"/>
  <c r="AB107" i="5"/>
  <c r="AB327" i="5"/>
  <c r="AB1571" i="5"/>
  <c r="AB1753" i="5"/>
  <c r="AB1515" i="5"/>
  <c r="AB1426" i="5"/>
  <c r="AB1427" i="5"/>
  <c r="AB2163" i="5"/>
  <c r="AB810" i="5"/>
  <c r="AB452" i="5"/>
  <c r="AB2213" i="5"/>
  <c r="AB811" i="5"/>
  <c r="AB812" i="5"/>
  <c r="AB405" i="5"/>
  <c r="AB363" i="5"/>
  <c r="AB1309" i="5"/>
  <c r="AB1697" i="5"/>
  <c r="AB1123" i="5"/>
  <c r="AB1352" i="5"/>
  <c r="AB1353" i="5"/>
  <c r="AB2074" i="5"/>
  <c r="AB1035" i="5"/>
  <c r="AB1198" i="5"/>
  <c r="AB1945" i="5"/>
  <c r="AB1354" i="5"/>
  <c r="AB1647" i="5"/>
  <c r="AB1124" i="5"/>
  <c r="AB959" i="5"/>
  <c r="AB1036" i="5"/>
  <c r="AB1428" i="5"/>
  <c r="AB813" i="5"/>
  <c r="AB1253" i="5"/>
  <c r="AB1429" i="5"/>
  <c r="AB512" i="5"/>
  <c r="AB960" i="5"/>
  <c r="AB202" i="5"/>
  <c r="AB744" i="5"/>
  <c r="AB1430" i="5"/>
  <c r="AB1125" i="5"/>
  <c r="AB2031" i="5"/>
  <c r="AB1126" i="5"/>
  <c r="AB1792" i="5"/>
  <c r="AB2195" i="5"/>
  <c r="AB1199" i="5"/>
  <c r="AB878" i="5"/>
  <c r="AB406" i="5"/>
  <c r="AB407" i="5"/>
  <c r="AB1037" i="5"/>
  <c r="AB328" i="5"/>
  <c r="AB1254" i="5"/>
  <c r="AB513" i="5"/>
  <c r="AB2032" i="5"/>
  <c r="AB278" i="5"/>
  <c r="AB1200" i="5"/>
  <c r="AB1201" i="5"/>
  <c r="AB1355" i="5"/>
  <c r="AB408" i="5"/>
  <c r="AB1356" i="5"/>
  <c r="AB2033" i="5"/>
  <c r="AB1357" i="5"/>
  <c r="AB814" i="5"/>
  <c r="AB1038" i="5"/>
  <c r="AB961" i="5"/>
  <c r="AB577" i="5"/>
  <c r="AB2075" i="5"/>
  <c r="AB1202" i="5"/>
  <c r="AB1793" i="5"/>
  <c r="AB745" i="5"/>
  <c r="AB879" i="5"/>
  <c r="AB1127" i="5"/>
  <c r="AB815" i="5"/>
  <c r="AB578" i="5"/>
  <c r="AB2107" i="5"/>
  <c r="AB1039" i="5"/>
  <c r="AB1572" i="5"/>
  <c r="AB1040" i="5"/>
  <c r="AB1203" i="5"/>
  <c r="AB1431" i="5"/>
  <c r="AB235" i="5"/>
  <c r="AB514" i="5"/>
  <c r="AB44" i="5"/>
  <c r="AB26" i="5"/>
  <c r="AB1310" i="5"/>
  <c r="AB962" i="5"/>
  <c r="AB1946" i="5"/>
  <c r="AB1898" i="5"/>
  <c r="AB1899" i="5"/>
  <c r="AB1255" i="5"/>
  <c r="AB816" i="5"/>
  <c r="AB515" i="5"/>
  <c r="AB1480" i="5"/>
  <c r="AB1481" i="5"/>
  <c r="AB654" i="5"/>
  <c r="AB880" i="5"/>
  <c r="AB881" i="5"/>
  <c r="AB1041" i="5"/>
  <c r="AB364" i="5"/>
  <c r="AB963" i="5"/>
  <c r="AB76" i="5"/>
  <c r="AB165" i="5"/>
  <c r="AB166" i="5"/>
  <c r="AB817" i="5"/>
  <c r="AB1754" i="5"/>
  <c r="AB1698" i="5"/>
  <c r="AB1204" i="5"/>
  <c r="AB1794" i="5"/>
  <c r="AB236" i="5"/>
  <c r="AB2164" i="5"/>
  <c r="AB1205" i="5"/>
  <c r="AB365" i="5"/>
  <c r="AB746" i="5"/>
  <c r="AB329" i="5"/>
  <c r="AB1042" i="5"/>
  <c r="AB366" i="5"/>
  <c r="AB579" i="5"/>
  <c r="AB580" i="5"/>
  <c r="AB516" i="5"/>
  <c r="AB137" i="5"/>
  <c r="AB138" i="5"/>
  <c r="AB517" i="5"/>
  <c r="AB367" i="5"/>
  <c r="AB108" i="5"/>
  <c r="AB409" i="5"/>
  <c r="AB1900" i="5"/>
  <c r="AB1256" i="5"/>
  <c r="AB1482" i="5"/>
  <c r="AB747" i="5"/>
  <c r="AB964" i="5"/>
  <c r="AB1483" i="5"/>
  <c r="AB518" i="5"/>
  <c r="AB1484" i="5"/>
  <c r="AB203" i="5"/>
  <c r="AB1986" i="5"/>
  <c r="AB581" i="5"/>
  <c r="AB1795" i="5"/>
  <c r="AB167" i="5"/>
  <c r="AB1257" i="5"/>
  <c r="AB1258" i="5"/>
  <c r="AB1648" i="5"/>
  <c r="AB519" i="5"/>
  <c r="AB2108" i="5"/>
  <c r="AB582" i="5"/>
  <c r="AB1259" i="5"/>
  <c r="AB330" i="5"/>
  <c r="AB1206" i="5"/>
  <c r="AB139" i="5"/>
  <c r="AB520" i="5"/>
  <c r="AB1516" i="5"/>
  <c r="AB2034" i="5"/>
  <c r="AB1043" i="5"/>
  <c r="AB1485" i="5"/>
  <c r="AB748" i="5"/>
  <c r="AB655" i="5"/>
  <c r="AB1432" i="5"/>
  <c r="AB1796" i="5"/>
  <c r="AB1260" i="5"/>
  <c r="AB2076" i="5"/>
  <c r="AB2077" i="5"/>
  <c r="AB453" i="5"/>
  <c r="AB1433" i="5"/>
  <c r="AB1207" i="5"/>
  <c r="AB1208" i="5"/>
  <c r="AB1128" i="5"/>
  <c r="AB1261" i="5"/>
  <c r="AB331" i="5"/>
  <c r="AB1987" i="5"/>
  <c r="AB1797" i="5"/>
  <c r="AB2035" i="5"/>
  <c r="AB818" i="5"/>
  <c r="AB965" i="5"/>
  <c r="AB966" i="5"/>
  <c r="AB1311" i="5"/>
  <c r="AB583" i="5"/>
  <c r="AB749" i="5"/>
  <c r="AB368" i="5"/>
  <c r="AB204" i="5"/>
  <c r="AB237" i="5"/>
  <c r="AB2036" i="5"/>
  <c r="AB819" i="5"/>
  <c r="AB820" i="5"/>
  <c r="AB279" i="5"/>
  <c r="AB280" i="5"/>
  <c r="AB281" i="5"/>
  <c r="AB1947" i="5"/>
  <c r="AB1948" i="5"/>
  <c r="AB1209" i="5"/>
  <c r="AB1044" i="5"/>
  <c r="AB584" i="5"/>
  <c r="AB2078" i="5"/>
  <c r="AB1045" i="5"/>
  <c r="AB109" i="5"/>
  <c r="AB1988" i="5"/>
  <c r="AB238" i="5"/>
  <c r="AB369" i="5"/>
  <c r="AB332" i="5"/>
  <c r="AB1573" i="5"/>
  <c r="AB1517" i="5"/>
  <c r="AB282" i="5"/>
  <c r="AB882" i="5"/>
  <c r="AB656" i="5"/>
  <c r="AB1649" i="5"/>
  <c r="AB821" i="5"/>
  <c r="AB168" i="5"/>
  <c r="AB283" i="5"/>
  <c r="AB1949" i="5"/>
  <c r="AB1950" i="5"/>
  <c r="AB967" i="5"/>
  <c r="AB883" i="5"/>
  <c r="AB1901" i="5"/>
  <c r="AB1902" i="5"/>
  <c r="AB968" i="5"/>
  <c r="AB110" i="5"/>
  <c r="AB1129" i="5"/>
  <c r="AB1699" i="5"/>
  <c r="AB2140" i="5"/>
  <c r="AB969" i="5"/>
  <c r="AB1755" i="5"/>
  <c r="AB1903" i="5"/>
  <c r="AB521" i="5"/>
  <c r="AB77" i="5"/>
  <c r="AB239" i="5"/>
  <c r="AB522" i="5"/>
  <c r="AB1518" i="5"/>
  <c r="AB1519" i="5"/>
  <c r="AB523" i="5"/>
  <c r="AB1046" i="5"/>
  <c r="AB970" i="5"/>
  <c r="AB971" i="5"/>
  <c r="AB884" i="5"/>
  <c r="AB524" i="5"/>
  <c r="AB370" i="5"/>
  <c r="AB333" i="5"/>
  <c r="AB169" i="5"/>
  <c r="AB1904" i="5"/>
  <c r="AB1905" i="5"/>
  <c r="AB1262" i="5"/>
  <c r="AB525" i="5"/>
  <c r="AB822" i="5"/>
  <c r="AB1210" i="5"/>
  <c r="AB1211" i="5"/>
  <c r="AB78" i="5"/>
  <c r="AB1700" i="5"/>
  <c r="AB1263" i="5"/>
  <c r="AB1047" i="5"/>
  <c r="AB1650" i="5"/>
  <c r="AB1130" i="5"/>
  <c r="AB170" i="5"/>
  <c r="AB1048" i="5"/>
  <c r="AB1358" i="5"/>
  <c r="AB240" i="5"/>
  <c r="AB526" i="5"/>
  <c r="AB1131" i="5"/>
  <c r="AB2109" i="5"/>
  <c r="AB885" i="5"/>
  <c r="AB205" i="5"/>
  <c r="AB1574" i="5"/>
  <c r="AB972" i="5"/>
  <c r="AB585" i="5"/>
  <c r="AB2196" i="5"/>
  <c r="AB2197" i="5"/>
  <c r="AB973" i="5"/>
  <c r="AB1359" i="5"/>
  <c r="AB1360" i="5"/>
  <c r="AB527" i="5"/>
  <c r="AB528" i="5"/>
  <c r="AB1989" i="5"/>
  <c r="AB657" i="5"/>
  <c r="AB658" i="5"/>
  <c r="AB1798" i="5"/>
  <c r="AB659" i="5"/>
  <c r="AB410" i="5"/>
  <c r="AB886" i="5"/>
  <c r="AB887" i="5"/>
  <c r="AB660" i="5"/>
  <c r="AB750" i="5"/>
  <c r="AB1756" i="5"/>
  <c r="AB284" i="5"/>
  <c r="AB751" i="5"/>
  <c r="AB752" i="5"/>
  <c r="AB1906" i="5"/>
  <c r="AB241" i="5"/>
  <c r="AB79" i="5"/>
  <c r="AB1049" i="5"/>
  <c r="AB1050" i="5"/>
  <c r="AB823" i="5"/>
  <c r="AB753" i="5"/>
  <c r="AB1361" i="5"/>
  <c r="AB1362" i="5"/>
  <c r="AB1312" i="5"/>
  <c r="AB334" i="5"/>
  <c r="AB1264" i="5"/>
  <c r="AB529" i="5"/>
  <c r="AB371" i="5"/>
  <c r="AB1990" i="5"/>
  <c r="AB1313" i="5"/>
  <c r="AB1951" i="5"/>
  <c r="AB1907" i="5"/>
  <c r="AB1434" i="5"/>
  <c r="AB1799" i="5"/>
  <c r="AB1952" i="5"/>
  <c r="AB411" i="5"/>
  <c r="AB285" i="5"/>
  <c r="AB454" i="5"/>
  <c r="AB1265" i="5"/>
  <c r="AB1520" i="5"/>
  <c r="AB1701" i="5"/>
  <c r="AB1051" i="5"/>
  <c r="AB754" i="5"/>
  <c r="AB1953" i="5"/>
  <c r="AB755" i="5"/>
  <c r="AB530" i="5"/>
  <c r="AB1606" i="5"/>
  <c r="AB2141" i="5"/>
  <c r="AB1435" i="5"/>
  <c r="AB661" i="5"/>
  <c r="AB662" i="5"/>
  <c r="AB586" i="5"/>
  <c r="AB286" i="5"/>
  <c r="AB1052" i="5"/>
  <c r="AB206" i="5"/>
  <c r="AB372" i="5"/>
  <c r="AB1132" i="5"/>
  <c r="AB1954" i="5"/>
  <c r="AB242" i="5"/>
  <c r="AB287" i="5"/>
  <c r="AB1266" i="5"/>
  <c r="AB373" i="5"/>
  <c r="AB974" i="5"/>
  <c r="AB2142" i="5"/>
  <c r="AB1212" i="5"/>
  <c r="AB1267" i="5"/>
  <c r="AB288" i="5"/>
  <c r="AB888" i="5"/>
  <c r="AB889" i="5"/>
  <c r="AB890" i="5"/>
  <c r="AB891" i="5"/>
  <c r="AB756" i="5"/>
  <c r="AB1436" i="5"/>
  <c r="AB1437" i="5"/>
  <c r="AB587" i="5"/>
  <c r="AB1053" i="5"/>
  <c r="AB54" i="5"/>
  <c r="AB2037" i="5"/>
  <c r="AB1702" i="5"/>
  <c r="AB892" i="5"/>
  <c r="AB893" i="5"/>
  <c r="AB243" i="5"/>
  <c r="AB1133" i="5"/>
  <c r="AB975" i="5"/>
  <c r="AB531" i="5"/>
  <c r="AB374" i="5"/>
  <c r="AB1314" i="5"/>
  <c r="AB2143" i="5"/>
  <c r="AB111" i="5"/>
  <c r="AB1852" i="5"/>
  <c r="AB1268" i="5"/>
  <c r="AB1757" i="5"/>
  <c r="AB244" i="5"/>
  <c r="AB245" i="5"/>
  <c r="AB1054" i="5"/>
  <c r="AB1055" i="5"/>
  <c r="AB757" i="5"/>
  <c r="AB412" i="5"/>
  <c r="AB894" i="5"/>
  <c r="AB1853" i="5"/>
  <c r="AB27" i="5"/>
  <c r="AB28" i="5"/>
  <c r="AB1269" i="5"/>
  <c r="AB895" i="5"/>
  <c r="AB2079" i="5"/>
  <c r="AB10" i="5"/>
  <c r="AB11" i="5"/>
  <c r="AB246" i="5"/>
  <c r="AB171" i="5"/>
  <c r="AB1363" i="5"/>
  <c r="AB1854" i="5"/>
  <c r="AB1056" i="5"/>
  <c r="AB1057" i="5"/>
  <c r="AB824" i="5"/>
  <c r="AB825" i="5"/>
  <c r="AB1991" i="5"/>
  <c r="AB976" i="5"/>
  <c r="AB1703" i="5"/>
  <c r="AB663" i="5"/>
  <c r="AB588" i="5"/>
  <c r="AB2165" i="5"/>
  <c r="AB375" i="5"/>
  <c r="AB826" i="5"/>
  <c r="AB827" i="5"/>
  <c r="AB55" i="5"/>
  <c r="AB589" i="5"/>
  <c r="AB1521" i="5"/>
  <c r="AB455" i="5"/>
  <c r="AB172" i="5"/>
  <c r="AB1704" i="5"/>
  <c r="AB1438" i="5"/>
  <c r="AB1522" i="5"/>
  <c r="AB758" i="5"/>
  <c r="AB112" i="5"/>
  <c r="AB113" i="5"/>
  <c r="AB1058" i="5"/>
  <c r="AB2038" i="5"/>
  <c r="AB1270" i="5"/>
  <c r="AB532" i="5"/>
  <c r="AB2110" i="5"/>
  <c r="AB2111" i="5"/>
  <c r="AB80" i="5"/>
  <c r="AB81" i="5"/>
  <c r="AB1134" i="5"/>
  <c r="AB759" i="5"/>
  <c r="AB207" i="5"/>
  <c r="AB1705" i="5"/>
  <c r="AB1135" i="5"/>
  <c r="AB1523" i="5"/>
  <c r="AB977" i="5"/>
  <c r="AB828" i="5"/>
  <c r="AB1364" i="5"/>
  <c r="AB1213" i="5"/>
  <c r="AB289" i="5"/>
  <c r="AB1365" i="5"/>
  <c r="AB1524" i="5"/>
  <c r="AB896" i="5"/>
  <c r="AB456" i="5"/>
  <c r="AB1439" i="5"/>
  <c r="AB208" i="5"/>
  <c r="AB2039" i="5"/>
  <c r="AB1758" i="5"/>
  <c r="AB1575" i="5"/>
  <c r="AB2040" i="5"/>
  <c r="AB1525" i="5"/>
  <c r="AB1059" i="5"/>
  <c r="AB1060" i="5"/>
  <c r="AB1366" i="5"/>
  <c r="AB760" i="5"/>
  <c r="AB761" i="5"/>
  <c r="AB173" i="5"/>
  <c r="AB413" i="5"/>
  <c r="AB762" i="5"/>
  <c r="AB664" i="5"/>
  <c r="AB590" i="5"/>
  <c r="AB1440" i="5"/>
  <c r="AB1706" i="5"/>
  <c r="AB533" i="5"/>
  <c r="AB534" i="5"/>
  <c r="AB591" i="5"/>
  <c r="AB1061" i="5"/>
  <c r="AB1062" i="5"/>
  <c r="AB1271" i="5"/>
  <c r="AB174" i="5"/>
  <c r="AB2080" i="5"/>
  <c r="AB457" i="5"/>
  <c r="AB1441" i="5"/>
  <c r="AB897" i="5"/>
  <c r="AB1526" i="5"/>
  <c r="AB1607" i="5"/>
  <c r="AB1315" i="5"/>
  <c r="AB1316" i="5"/>
  <c r="AB247" i="5"/>
  <c r="AB335" i="5"/>
  <c r="AB1136" i="5"/>
  <c r="AB898" i="5"/>
  <c r="AB829" i="5"/>
  <c r="AB1651" i="5"/>
  <c r="AB1759" i="5"/>
  <c r="AB290" i="5"/>
  <c r="AB1955" i="5"/>
  <c r="AB1063" i="5"/>
  <c r="AB82" i="5"/>
  <c r="AB978" i="5"/>
  <c r="AB1137" i="5"/>
  <c r="AB592" i="5"/>
  <c r="AB665" i="5"/>
  <c r="AB414" i="5"/>
  <c r="AB899" i="5"/>
  <c r="AB291" i="5"/>
  <c r="AB248" i="5"/>
  <c r="AB1486" i="5"/>
  <c r="AB1064" i="5"/>
  <c r="AB535" i="5"/>
  <c r="AB666" i="5"/>
  <c r="AB458" i="5"/>
  <c r="AB979" i="5"/>
  <c r="AB830" i="5"/>
  <c r="AB415" i="5"/>
  <c r="AB1576" i="5"/>
  <c r="AB1577" i="5"/>
  <c r="AB1652" i="5"/>
  <c r="AB1855" i="5"/>
  <c r="AB249" i="5"/>
  <c r="AB593" i="5"/>
  <c r="AB594" i="5"/>
  <c r="AB900" i="5"/>
  <c r="AB901" i="5"/>
  <c r="AB763" i="5"/>
  <c r="AB209" i="5"/>
  <c r="AB376" i="5"/>
  <c r="AB459" i="5"/>
  <c r="AB595" i="5"/>
  <c r="AB667" i="5"/>
  <c r="AB668" i="5"/>
  <c r="AB1527" i="5"/>
  <c r="AB831" i="5"/>
  <c r="AB1367" i="5"/>
  <c r="AB2081" i="5"/>
  <c r="AB416" i="5"/>
  <c r="AB1214" i="5"/>
  <c r="AB764" i="5"/>
  <c r="AB669" i="5"/>
  <c r="AB1317" i="5"/>
  <c r="AB417" i="5"/>
  <c r="AB980" i="5"/>
  <c r="AB832" i="5"/>
  <c r="AB1442" i="5"/>
  <c r="AB670" i="5"/>
  <c r="AB671" i="5"/>
  <c r="AB460" i="5"/>
  <c r="AB1065" i="5"/>
  <c r="AB1760" i="5"/>
  <c r="AB1653" i="5"/>
  <c r="AB1654" i="5"/>
  <c r="AB250" i="5"/>
  <c r="AB981" i="5"/>
  <c r="AB1215" i="5"/>
  <c r="AB140" i="5"/>
  <c r="AB1066" i="5"/>
  <c r="AB1067" i="5"/>
  <c r="AB596" i="5"/>
  <c r="AB833" i="5"/>
  <c r="AB834" i="5"/>
  <c r="AB210" i="5"/>
  <c r="AB83" i="5"/>
  <c r="AB84" i="5"/>
  <c r="AB982" i="5"/>
  <c r="AB536" i="5"/>
  <c r="AB292" i="5"/>
  <c r="AB293" i="5"/>
  <c r="AB56" i="5"/>
  <c r="AB1608" i="5"/>
  <c r="AB983" i="5"/>
  <c r="AB1138" i="5"/>
  <c r="AB175" i="5"/>
  <c r="AB211" i="5"/>
  <c r="AB1068" i="5"/>
  <c r="AB984" i="5"/>
  <c r="AB212" i="5"/>
  <c r="AB213" i="5"/>
  <c r="AB1069" i="5"/>
  <c r="AB1443" i="5"/>
  <c r="AB1444" i="5"/>
  <c r="AB114" i="5"/>
  <c r="AB1139" i="5"/>
  <c r="AB1272" i="5"/>
  <c r="AB672" i="5"/>
  <c r="AB1655" i="5"/>
  <c r="AB1368" i="5"/>
  <c r="AB1656" i="5"/>
  <c r="AB2082" i="5"/>
  <c r="AB141" i="5"/>
  <c r="AB1273" i="5"/>
  <c r="AB214" i="5"/>
  <c r="AB377" i="5"/>
  <c r="AB597" i="5"/>
  <c r="AB1856" i="5"/>
  <c r="AB598" i="5"/>
  <c r="AB1369" i="5"/>
  <c r="AB336" i="5"/>
  <c r="AB85" i="5"/>
  <c r="AB86" i="5"/>
  <c r="AB537" i="5"/>
  <c r="AB538" i="5"/>
  <c r="AB337" i="5"/>
  <c r="AB1657" i="5"/>
  <c r="AB378" i="5"/>
  <c r="AB2041" i="5"/>
  <c r="AB539" i="5"/>
  <c r="AB835" i="5"/>
  <c r="AB294" i="5"/>
  <c r="AB295" i="5"/>
  <c r="AB1318" i="5"/>
  <c r="AB2179" i="5"/>
  <c r="AB296" i="5"/>
  <c r="AB2042" i="5"/>
  <c r="AB2112" i="5"/>
  <c r="AB1609" i="5"/>
  <c r="AB1610" i="5"/>
  <c r="AB1140" i="5"/>
  <c r="AB1761" i="5"/>
  <c r="AB176" i="5"/>
  <c r="AB418" i="5"/>
  <c r="AB1319" i="5"/>
  <c r="AB115" i="5"/>
  <c r="AB461" i="5"/>
  <c r="AB599" i="5"/>
  <c r="AB902" i="5"/>
  <c r="AB379" i="5"/>
  <c r="AB540" i="5"/>
  <c r="AB338" i="5"/>
  <c r="AB765" i="5"/>
  <c r="AB2180" i="5"/>
  <c r="AB2083" i="5"/>
  <c r="AB1956" i="5"/>
  <c r="AB251" i="5"/>
  <c r="AB462" i="5"/>
  <c r="AB1141" i="5"/>
  <c r="AB1578" i="5"/>
  <c r="AB1611" i="5"/>
  <c r="AB985" i="5"/>
  <c r="AB2113" i="5"/>
  <c r="AB903" i="5"/>
  <c r="AB177" i="5"/>
  <c r="AB904" i="5"/>
  <c r="AB1612" i="5"/>
  <c r="AB297" i="5"/>
  <c r="AB298" i="5"/>
  <c r="AB1274" i="5"/>
  <c r="AB1370" i="5"/>
  <c r="AB2084" i="5"/>
  <c r="AB1070" i="5"/>
  <c r="AB673" i="5"/>
  <c r="AB674" i="5"/>
  <c r="AB1707" i="5"/>
  <c r="AB1216" i="5"/>
  <c r="AB380" i="5"/>
  <c r="AB45" i="5"/>
  <c r="AB1071" i="5"/>
  <c r="AB178" i="5"/>
  <c r="AB986" i="5"/>
  <c r="AB836" i="5"/>
  <c r="AB252" i="5"/>
  <c r="AB1320" i="5"/>
  <c r="AB179" i="5"/>
  <c r="AB2144" i="5"/>
  <c r="AB1762" i="5"/>
  <c r="AB1763" i="5"/>
  <c r="AB541" i="5"/>
  <c r="AB675" i="5"/>
  <c r="AB1217" i="5"/>
  <c r="AB987" i="5"/>
  <c r="AB905" i="5"/>
  <c r="AB542" i="5"/>
  <c r="AB1857" i="5"/>
  <c r="AB57" i="5"/>
  <c r="AB1800" i="5"/>
  <c r="AB1801" i="5"/>
  <c r="AB837" i="5"/>
  <c r="AB419" i="5"/>
  <c r="AB1142" i="5"/>
  <c r="AB1321" i="5"/>
  <c r="AB543" i="5"/>
  <c r="AB1072" i="5"/>
  <c r="AB544" i="5"/>
  <c r="AB1073" i="5"/>
  <c r="AB253" i="5"/>
  <c r="AB142" i="5"/>
  <c r="AB838" i="5"/>
  <c r="AB839" i="5"/>
  <c r="AB87" i="5"/>
  <c r="AB906" i="5"/>
  <c r="AB2181" i="5"/>
  <c r="AB600" i="5"/>
  <c r="AB1218" i="5"/>
  <c r="AB1219" i="5"/>
  <c r="AB299" i="5"/>
  <c r="AB180" i="5"/>
  <c r="AB988" i="5"/>
  <c r="AB676" i="5"/>
  <c r="AB420" i="5"/>
  <c r="AB116" i="5"/>
  <c r="AB989" i="5"/>
  <c r="AB545" i="5"/>
  <c r="AB546" i="5"/>
  <c r="AB990" i="5"/>
  <c r="AB339" i="5"/>
  <c r="AB58" i="5"/>
  <c r="AB117" i="5"/>
  <c r="AB907" i="5"/>
  <c r="AB463" i="5"/>
  <c r="AB464" i="5"/>
  <c r="AB254" i="5"/>
  <c r="AB381" i="5"/>
  <c r="AB991" i="5"/>
  <c r="AB465" i="5"/>
  <c r="AB340" i="5"/>
  <c r="AB382" i="5"/>
  <c r="AB59" i="5"/>
  <c r="AB1708" i="5"/>
  <c r="AB1143" i="5"/>
  <c r="AB1144" i="5"/>
  <c r="AB300" i="5"/>
  <c r="AB677" i="5"/>
  <c r="AB255" i="5"/>
  <c r="AB766" i="5"/>
  <c r="AB1220" i="5"/>
  <c r="AB143" i="5"/>
  <c r="AB601" i="5"/>
  <c r="AB1275" i="5"/>
  <c r="AB466" i="5"/>
  <c r="AB678" i="5"/>
  <c r="AB341" i="5"/>
  <c r="AB1145" i="5"/>
  <c r="AB342" i="5"/>
  <c r="AB908" i="5"/>
  <c r="AB1802" i="5"/>
  <c r="AB301" i="5"/>
  <c r="AB1445" i="5"/>
  <c r="AB1446" i="5"/>
  <c r="AB181" i="5"/>
  <c r="AB144" i="5"/>
  <c r="AB118" i="5"/>
  <c r="AB119" i="5"/>
  <c r="AB1709" i="5"/>
  <c r="AB1992" i="5"/>
  <c r="AB1221" i="5"/>
  <c r="AB256" i="5"/>
  <c r="AB1146" i="5"/>
  <c r="AB215" i="5"/>
  <c r="AB1528" i="5"/>
  <c r="AB1147" i="5"/>
  <c r="AB383" i="5"/>
  <c r="AB1074" i="5"/>
  <c r="AB1075" i="5"/>
  <c r="AB547" i="5"/>
  <c r="AB548" i="5"/>
  <c r="AB602" i="5"/>
  <c r="AB909" i="5"/>
  <c r="AB767" i="5"/>
  <c r="AB1371" i="5"/>
  <c r="AB1372" i="5"/>
  <c r="AB1148" i="5"/>
  <c r="AB1322" i="5"/>
  <c r="AB1323" i="5"/>
  <c r="AB1908" i="5"/>
  <c r="AB182" i="5"/>
  <c r="AB1957" i="5"/>
  <c r="AB343" i="5"/>
  <c r="AB145" i="5"/>
  <c r="AB1529" i="5"/>
  <c r="AB1530" i="5"/>
  <c r="AB1222" i="5"/>
  <c r="AB216" i="5"/>
  <c r="AB1858" i="5"/>
  <c r="AB768" i="5"/>
  <c r="AB2085" i="5"/>
  <c r="AB769" i="5"/>
  <c r="AB302" i="5"/>
  <c r="AB1658" i="5"/>
  <c r="AB603" i="5"/>
  <c r="AB1149" i="5"/>
  <c r="AB992" i="5"/>
  <c r="AB303" i="5"/>
  <c r="AB1803" i="5"/>
  <c r="AB1804" i="5"/>
  <c r="AB183" i="5"/>
  <c r="AB1223" i="5"/>
  <c r="AB184" i="5"/>
  <c r="AB185" i="5"/>
  <c r="AB304" i="5"/>
  <c r="AB679" i="5"/>
  <c r="AB467" i="5"/>
  <c r="AB88" i="5"/>
  <c r="AB993" i="5"/>
  <c r="AB217" i="5"/>
  <c r="AB549" i="5"/>
  <c r="AB840" i="5"/>
  <c r="AB146" i="5"/>
  <c r="AB344" i="5"/>
  <c r="AB680" i="5"/>
  <c r="AB604" i="5"/>
  <c r="AB910" i="5"/>
  <c r="AB1150" i="5"/>
  <c r="AB1151" i="5"/>
  <c r="AB218" i="5"/>
  <c r="AB120" i="5"/>
  <c r="AB186" i="5"/>
  <c r="AB911" i="5"/>
  <c r="AB187" i="5"/>
  <c r="AB188" i="5"/>
  <c r="AB468" i="5"/>
  <c r="AB46" i="5"/>
  <c r="AB681" i="5"/>
  <c r="AB682" i="5"/>
  <c r="AB841" i="5"/>
  <c r="AB842" i="5"/>
  <c r="AB219" i="5"/>
  <c r="AB220" i="5"/>
  <c r="AB770" i="5"/>
  <c r="AB1659" i="5"/>
  <c r="AB1152" i="5"/>
  <c r="AB1276" i="5"/>
  <c r="AB1277" i="5"/>
  <c r="AB221" i="5"/>
  <c r="AB189" i="5"/>
  <c r="AB345" i="5"/>
  <c r="AB384" i="5"/>
  <c r="AB385" i="5"/>
  <c r="AB843" i="5"/>
  <c r="AB1278" i="5"/>
  <c r="AB421" i="5"/>
  <c r="AB257" i="5"/>
  <c r="AB912" i="5"/>
  <c r="AB60" i="5"/>
  <c r="AB61" i="5"/>
  <c r="AB62" i="5"/>
  <c r="AB258" i="5"/>
  <c r="AB1076" i="5"/>
  <c r="AB29" i="5"/>
  <c r="AB1487" i="5"/>
  <c r="AB1488" i="5"/>
  <c r="AB1710" i="5"/>
  <c r="AB1711" i="5"/>
  <c r="AB1712" i="5"/>
  <c r="AB1224" i="5"/>
  <c r="AB346" i="5"/>
  <c r="AB844" i="5"/>
  <c r="AB89" i="5"/>
  <c r="AB63" i="5"/>
  <c r="AB147" i="5"/>
  <c r="AB64" i="5"/>
  <c r="AB222" i="5"/>
  <c r="AB2198" i="5"/>
  <c r="AB469" i="5"/>
  <c r="AB683" i="5"/>
  <c r="AB90" i="5"/>
  <c r="AB771" i="5"/>
  <c r="AB550" i="5"/>
  <c r="AB148" i="5"/>
  <c r="AB30" i="5"/>
  <c r="AB684" i="5"/>
  <c r="AB1660" i="5"/>
  <c r="AB1661" i="5"/>
  <c r="AB551" i="5"/>
  <c r="AB772" i="5"/>
  <c r="AB685" i="5"/>
  <c r="AB1613" i="5"/>
  <c r="AB2114" i="5"/>
  <c r="AB470" i="5"/>
  <c r="AB1077" i="5"/>
  <c r="AB223" i="5"/>
  <c r="AB552" i="5"/>
  <c r="AB259" i="5"/>
  <c r="AB260" i="5"/>
  <c r="AB121" i="5"/>
  <c r="AB65" i="5"/>
  <c r="AB471" i="5"/>
  <c r="AB422" i="5"/>
  <c r="AB472" i="5"/>
  <c r="AB1859" i="5"/>
  <c r="AB122" i="5"/>
  <c r="AB261" i="5"/>
  <c r="AB1153" i="5"/>
  <c r="AB1154" i="5"/>
  <c r="AB473" i="5"/>
  <c r="AB474" i="5"/>
  <c r="AB31" i="5"/>
  <c r="AB423" i="5"/>
  <c r="AB1764" i="5"/>
  <c r="AB149" i="5"/>
  <c r="AB2086" i="5"/>
  <c r="AB1531" i="5"/>
  <c r="AB190" i="5"/>
  <c r="AB686" i="5"/>
  <c r="AB262" i="5"/>
  <c r="AB1860" i="5"/>
  <c r="AB424" i="5"/>
  <c r="AB5" i="5"/>
  <c r="AB994" i="5"/>
  <c r="AB1225" i="5"/>
  <c r="AB123" i="5"/>
  <c r="AB1662" i="5"/>
  <c r="AB687" i="5"/>
  <c r="AB475" i="5"/>
  <c r="AB1155" i="5"/>
  <c r="AB2043" i="5"/>
  <c r="AB688" i="5"/>
  <c r="AB553" i="5"/>
  <c r="AB773" i="5"/>
  <c r="AB263" i="5"/>
  <c r="AB91" i="5"/>
  <c r="AB92" i="5"/>
  <c r="AB93" i="5"/>
  <c r="AB1078" i="5"/>
  <c r="AB913" i="5"/>
  <c r="AB689" i="5"/>
  <c r="AB94" i="5"/>
  <c r="AB191" i="5"/>
  <c r="AB2044" i="5"/>
  <c r="AB47" i="5"/>
  <c r="AB914" i="5"/>
  <c r="AB774" i="5"/>
  <c r="AB690" i="5"/>
  <c r="AB691" i="5"/>
  <c r="AB554" i="5"/>
  <c r="AB476" i="5"/>
  <c r="AB477" i="5"/>
  <c r="AB224" i="5"/>
  <c r="AB192" i="5"/>
  <c r="AB150" i="5"/>
  <c r="AB32" i="5"/>
  <c r="AB6" i="5"/>
  <c r="AB1373" i="5"/>
  <c r="AB1805" i="5"/>
  <c r="AB347" i="5"/>
  <c r="AB2115" i="5"/>
  <c r="AB692" i="5"/>
  <c r="AB1447" i="5"/>
  <c r="AB1226" i="5"/>
  <c r="AB1532" i="5"/>
  <c r="AB915" i="5"/>
  <c r="AB478" i="5"/>
  <c r="AB1079" i="5"/>
  <c r="AA2199" i="5"/>
  <c r="AA1080" i="5"/>
  <c r="AA775" i="5"/>
  <c r="AA555" i="5"/>
  <c r="AA264" i="5"/>
  <c r="AA1614" i="5"/>
  <c r="AA1615" i="5"/>
  <c r="AA556" i="5"/>
  <c r="AA48" i="5"/>
  <c r="AA386" i="5"/>
  <c r="AA12" i="5"/>
  <c r="AA124" i="5"/>
  <c r="AA1157" i="5"/>
  <c r="AA2045" i="5"/>
  <c r="AA1713" i="5"/>
  <c r="AA1958" i="5"/>
  <c r="AA1959" i="5"/>
  <c r="AA1081" i="5"/>
  <c r="AA1909" i="5"/>
  <c r="AA2220" i="5"/>
  <c r="AA845" i="5"/>
  <c r="AA151" i="5"/>
  <c r="AA20" i="5"/>
  <c r="AA1616" i="5"/>
  <c r="AA193" i="5"/>
  <c r="AA265" i="5"/>
  <c r="AA2145" i="5"/>
  <c r="AA693" i="5"/>
  <c r="AA152" i="5"/>
  <c r="AA2166" i="5"/>
  <c r="AA995" i="5"/>
  <c r="AA1806" i="5"/>
  <c r="AA49" i="5"/>
  <c r="AA348" i="5"/>
  <c r="AA1910" i="5"/>
  <c r="AA2146" i="5"/>
  <c r="AA1082" i="5"/>
  <c r="AA266" i="5"/>
  <c r="AA33" i="5"/>
  <c r="AA34" i="5"/>
  <c r="AA1807" i="5"/>
  <c r="AA425" i="5"/>
  <c r="AA35" i="5"/>
  <c r="AA95" i="5"/>
  <c r="AA1808" i="5"/>
  <c r="AA225" i="5"/>
  <c r="AA36" i="5"/>
  <c r="AA846" i="5"/>
  <c r="AA267" i="5"/>
  <c r="AA1324" i="5"/>
  <c r="AA1663" i="5"/>
  <c r="AA1617" i="5"/>
  <c r="AA66" i="5"/>
  <c r="AA1579" i="5"/>
  <c r="AA349" i="5"/>
  <c r="AA426" i="5"/>
  <c r="AA479" i="5"/>
  <c r="AA1664" i="5"/>
  <c r="AA1665" i="5"/>
  <c r="AA96" i="5"/>
  <c r="AA1618" i="5"/>
  <c r="AA1666" i="5"/>
  <c r="AA268" i="5"/>
  <c r="AA350" i="5"/>
  <c r="AA21" i="5"/>
  <c r="AA996" i="5"/>
  <c r="AA916" i="5"/>
  <c r="AA917" i="5"/>
  <c r="AA694" i="5"/>
  <c r="AA1911" i="5"/>
  <c r="AA2046" i="5"/>
  <c r="AA269" i="5"/>
  <c r="AA1580" i="5"/>
  <c r="AA1809" i="5"/>
  <c r="AA1325" i="5"/>
  <c r="AA1534" i="5"/>
  <c r="AA37" i="5"/>
  <c r="AA847" i="5"/>
  <c r="AA480" i="5"/>
  <c r="AA67" i="5"/>
  <c r="AA1535" i="5"/>
  <c r="AA1536" i="5"/>
  <c r="AA427" i="5"/>
  <c r="AA1912" i="5"/>
  <c r="AA1448" i="5"/>
  <c r="AA605" i="5"/>
  <c r="AA1714" i="5"/>
  <c r="AA1993" i="5"/>
  <c r="AA557" i="5"/>
  <c r="AA1960" i="5"/>
  <c r="AA918" i="5"/>
  <c r="AA919" i="5"/>
  <c r="AA1581" i="5"/>
  <c r="AA1083" i="5"/>
  <c r="AA1374" i="5"/>
  <c r="AA1375" i="5"/>
  <c r="AA1994" i="5"/>
  <c r="AA1715" i="5"/>
  <c r="AA97" i="5"/>
  <c r="AA98" i="5"/>
  <c r="AA695" i="5"/>
  <c r="AA305" i="5"/>
  <c r="AA306" i="5"/>
  <c r="AA1810" i="5"/>
  <c r="AA848" i="5"/>
  <c r="AA776" i="5"/>
  <c r="AA1995" i="5"/>
  <c r="AA1996" i="5"/>
  <c r="AA1997" i="5"/>
  <c r="AA2147" i="5"/>
  <c r="AA696" i="5"/>
  <c r="AA697" i="5"/>
  <c r="AA2148" i="5"/>
  <c r="AA1537" i="5"/>
  <c r="AA1227" i="5"/>
  <c r="AA22" i="5"/>
  <c r="AA153" i="5"/>
  <c r="AA920" i="5"/>
  <c r="AA1084" i="5"/>
  <c r="AA7" i="5"/>
  <c r="AA1619" i="5"/>
  <c r="AA921" i="5"/>
  <c r="AA777" i="5"/>
  <c r="AA154" i="5"/>
  <c r="AA1376" i="5"/>
  <c r="AA2182" i="5"/>
  <c r="AA2183" i="5"/>
  <c r="AA226" i="5"/>
  <c r="AA2207" i="5"/>
  <c r="AA2184" i="5"/>
  <c r="AA1998" i="5"/>
  <c r="AA778" i="5"/>
  <c r="AA558" i="5"/>
  <c r="AA1667" i="5"/>
  <c r="AA1538" i="5"/>
  <c r="AA1620" i="5"/>
  <c r="AA387" i="5"/>
  <c r="AA2087" i="5"/>
  <c r="AA1326" i="5"/>
  <c r="AA1861" i="5"/>
  <c r="AA1765" i="5"/>
  <c r="AA1766" i="5"/>
  <c r="AA155" i="5"/>
  <c r="AA1582" i="5"/>
  <c r="AA559" i="5"/>
  <c r="AA1449" i="5"/>
  <c r="AA481" i="5"/>
  <c r="AA1539" i="5"/>
  <c r="AA1085" i="5"/>
  <c r="AA2149" i="5"/>
  <c r="AA2150" i="5"/>
  <c r="AA270" i="5"/>
  <c r="AA1767" i="5"/>
  <c r="AA1583" i="5"/>
  <c r="AA1540" i="5"/>
  <c r="AA606" i="5"/>
  <c r="AA1621" i="5"/>
  <c r="AA1999" i="5"/>
  <c r="AA388" i="5"/>
  <c r="AA389" i="5"/>
  <c r="AA2116" i="5"/>
  <c r="AA271" i="5"/>
  <c r="AA1158" i="5"/>
  <c r="AA2167" i="5"/>
  <c r="AA1279" i="5"/>
  <c r="AA125" i="5"/>
  <c r="AA126" i="5"/>
  <c r="AA1716" i="5"/>
  <c r="AA1489" i="5"/>
  <c r="AA1450" i="5"/>
  <c r="AA68" i="5"/>
  <c r="AA69" i="5"/>
  <c r="AA1086" i="5"/>
  <c r="AA698" i="5"/>
  <c r="AA1377" i="5"/>
  <c r="AA1378" i="5"/>
  <c r="AA2168" i="5"/>
  <c r="AA1717" i="5"/>
  <c r="AA1668" i="5"/>
  <c r="AA1159" i="5"/>
  <c r="AA1584" i="5"/>
  <c r="AA156" i="5"/>
  <c r="AA2047" i="5"/>
  <c r="AA1961" i="5"/>
  <c r="AA2088" i="5"/>
  <c r="AA1718" i="5"/>
  <c r="AA1490" i="5"/>
  <c r="AA13" i="5"/>
  <c r="AA8" i="5"/>
  <c r="AA2208" i="5"/>
  <c r="AA997" i="5"/>
  <c r="AA998" i="5"/>
  <c r="AA699" i="5"/>
  <c r="AA1327" i="5"/>
  <c r="AA1862" i="5"/>
  <c r="AA2117" i="5"/>
  <c r="AA1087" i="5"/>
  <c r="AA1863" i="5"/>
  <c r="AA2209" i="5"/>
  <c r="AA700" i="5"/>
  <c r="AA157" i="5"/>
  <c r="AA922" i="5"/>
  <c r="AA923" i="5"/>
  <c r="AA14" i="5"/>
  <c r="AA1491" i="5"/>
  <c r="AA1492" i="5"/>
  <c r="AA1913" i="5"/>
  <c r="AA390" i="5"/>
  <c r="AA1328" i="5"/>
  <c r="AA607" i="5"/>
  <c r="AA924" i="5"/>
  <c r="AA307" i="5"/>
  <c r="AA1914" i="5"/>
  <c r="AA1669" i="5"/>
  <c r="AA1719" i="5"/>
  <c r="AA1864" i="5"/>
  <c r="AA1720" i="5"/>
  <c r="AA1160" i="5"/>
  <c r="AA608" i="5"/>
  <c r="AA779" i="5"/>
  <c r="AA227" i="5"/>
  <c r="AA849" i="5"/>
  <c r="AA850" i="5"/>
  <c r="AA1622" i="5"/>
  <c r="AA158" i="5"/>
  <c r="AA1811" i="5"/>
  <c r="AA1088" i="5"/>
  <c r="AA1585" i="5"/>
  <c r="AA15" i="5"/>
  <c r="AA701" i="5"/>
  <c r="AA702" i="5"/>
  <c r="AA1280" i="5"/>
  <c r="AA1281" i="5"/>
  <c r="AA1451" i="5"/>
  <c r="AA1721" i="5"/>
  <c r="AA2048" i="5"/>
  <c r="AA999" i="5"/>
  <c r="AA851" i="5"/>
  <c r="AA1452" i="5"/>
  <c r="AA391" i="5"/>
  <c r="AA560" i="5"/>
  <c r="AA272" i="5"/>
  <c r="AA1000" i="5"/>
  <c r="AA1768" i="5"/>
  <c r="AA1089" i="5"/>
  <c r="AA2185" i="5"/>
  <c r="AA1769" i="5"/>
  <c r="AA2049" i="5"/>
  <c r="AA2050" i="5"/>
  <c r="AA1623" i="5"/>
  <c r="AA2151" i="5"/>
  <c r="AA1329" i="5"/>
  <c r="AA609" i="5"/>
  <c r="AA159" i="5"/>
  <c r="AA1670" i="5"/>
  <c r="AA1722" i="5"/>
  <c r="AA99" i="5"/>
  <c r="AA780" i="5"/>
  <c r="AA2169" i="5"/>
  <c r="AA925" i="5"/>
  <c r="AA1001" i="5"/>
  <c r="AA1812" i="5"/>
  <c r="AA926" i="5"/>
  <c r="AA1915" i="5"/>
  <c r="AA351" i="5"/>
  <c r="AA1282" i="5"/>
  <c r="AA1723" i="5"/>
  <c r="AA70" i="5"/>
  <c r="AA1283" i="5"/>
  <c r="AA1284" i="5"/>
  <c r="AA2170" i="5"/>
  <c r="AA1090" i="5"/>
  <c r="AA2000" i="5"/>
  <c r="AA2214" i="5"/>
  <c r="AA482" i="5"/>
  <c r="AA428" i="5"/>
  <c r="AA1671" i="5"/>
  <c r="AA2171" i="5"/>
  <c r="AA1493" i="5"/>
  <c r="AA1228" i="5"/>
  <c r="AA1813" i="5"/>
  <c r="AA392" i="5"/>
  <c r="AA1379" i="5"/>
  <c r="AA429" i="5"/>
  <c r="AA430" i="5"/>
  <c r="AA1770" i="5"/>
  <c r="AA1494" i="5"/>
  <c r="AA2152" i="5"/>
  <c r="AA927" i="5"/>
  <c r="AA1624" i="5"/>
  <c r="AA2001" i="5"/>
  <c r="AA1865" i="5"/>
  <c r="AA2118" i="5"/>
  <c r="AA1285" i="5"/>
  <c r="AA2089" i="5"/>
  <c r="AA1380" i="5"/>
  <c r="AA1916" i="5"/>
  <c r="AA1161" i="5"/>
  <c r="AA273" i="5"/>
  <c r="AA1541" i="5"/>
  <c r="AA703" i="5"/>
  <c r="AA1814" i="5"/>
  <c r="AA704" i="5"/>
  <c r="AA1091" i="5"/>
  <c r="AA1002" i="5"/>
  <c r="AA393" i="5"/>
  <c r="AA1672" i="5"/>
  <c r="AA928" i="5"/>
  <c r="AA2153" i="5"/>
  <c r="AA1542" i="5"/>
  <c r="AA1543" i="5"/>
  <c r="AA705" i="5"/>
  <c r="AA1625" i="5"/>
  <c r="AA1866" i="5"/>
  <c r="AA1229" i="5"/>
  <c r="AA2051" i="5"/>
  <c r="AA2215" i="5"/>
  <c r="AA610" i="5"/>
  <c r="AA127" i="5"/>
  <c r="AA308" i="5"/>
  <c r="AA309" i="5"/>
  <c r="AA352" i="5"/>
  <c r="AA353" i="5"/>
  <c r="AA1162" i="5"/>
  <c r="AA1286" i="5"/>
  <c r="AA781" i="5"/>
  <c r="AA1230" i="5"/>
  <c r="AA431" i="5"/>
  <c r="AA432" i="5"/>
  <c r="AA611" i="5"/>
  <c r="AA483" i="5"/>
  <c r="AA71" i="5"/>
  <c r="AA1092" i="5"/>
  <c r="AA1724" i="5"/>
  <c r="AA561" i="5"/>
  <c r="AA1917" i="5"/>
  <c r="AA1771" i="5"/>
  <c r="AA2002" i="5"/>
  <c r="AA1381" i="5"/>
  <c r="AA1867" i="5"/>
  <c r="AA929" i="5"/>
  <c r="AA1453" i="5"/>
  <c r="AA1725" i="5"/>
  <c r="AA2003" i="5"/>
  <c r="AA2004" i="5"/>
  <c r="AA23" i="5"/>
  <c r="AA1544" i="5"/>
  <c r="AA1673" i="5"/>
  <c r="AA1962" i="5"/>
  <c r="AA612" i="5"/>
  <c r="AA562" i="5"/>
  <c r="AA1163" i="5"/>
  <c r="AA1586" i="5"/>
  <c r="AA1587" i="5"/>
  <c r="AA2119" i="5"/>
  <c r="AA1093" i="5"/>
  <c r="AA1382" i="5"/>
  <c r="AA1868" i="5"/>
  <c r="AA930" i="5"/>
  <c r="AA1918" i="5"/>
  <c r="AA1003" i="5"/>
  <c r="AA2172" i="5"/>
  <c r="AA16" i="5"/>
  <c r="AA17" i="5"/>
  <c r="AA1004" i="5"/>
  <c r="AA1869" i="5"/>
  <c r="AA1726" i="5"/>
  <c r="AA50" i="5"/>
  <c r="AA706" i="5"/>
  <c r="AA707" i="5"/>
  <c r="AA310" i="5"/>
  <c r="AA613" i="5"/>
  <c r="AA128" i="5"/>
  <c r="AA852" i="5"/>
  <c r="AA1963" i="5"/>
  <c r="AA484" i="5"/>
  <c r="AA1772" i="5"/>
  <c r="AA2052" i="5"/>
  <c r="AA1005" i="5"/>
  <c r="AA51" i="5"/>
  <c r="AA1383" i="5"/>
  <c r="AA1231" i="5"/>
  <c r="AA129" i="5"/>
  <c r="AA311" i="5"/>
  <c r="AA1164" i="5"/>
  <c r="AA130" i="5"/>
  <c r="AA228" i="5"/>
  <c r="AA708" i="5"/>
  <c r="AA1626" i="5"/>
  <c r="AA2173" i="5"/>
  <c r="AA2174" i="5"/>
  <c r="AA1495" i="5"/>
  <c r="AA1094" i="5"/>
  <c r="AA1095" i="5"/>
  <c r="AA1870" i="5"/>
  <c r="AA1727" i="5"/>
  <c r="AA194" i="5"/>
  <c r="AA1545" i="5"/>
  <c r="AA1165" i="5"/>
  <c r="AA2120" i="5"/>
  <c r="AA1871" i="5"/>
  <c r="AA1872" i="5"/>
  <c r="AA229" i="5"/>
  <c r="AA1919" i="5"/>
  <c r="AA931" i="5"/>
  <c r="AA1166" i="5"/>
  <c r="AA18" i="5"/>
  <c r="AA614" i="5"/>
  <c r="AA615" i="5"/>
  <c r="AA2121" i="5"/>
  <c r="AA2053" i="5"/>
  <c r="AA1006" i="5"/>
  <c r="AA2005" i="5"/>
  <c r="AA1546" i="5"/>
  <c r="AA1384" i="5"/>
  <c r="AA485" i="5"/>
  <c r="AA563" i="5"/>
  <c r="AA782" i="5"/>
  <c r="AA1920" i="5"/>
  <c r="AA1921" i="5"/>
  <c r="AA354" i="5"/>
  <c r="AA433" i="5"/>
  <c r="AA2122" i="5"/>
  <c r="AA1547" i="5"/>
  <c r="AA1007" i="5"/>
  <c r="AA2054" i="5"/>
  <c r="AA1728" i="5"/>
  <c r="AA160" i="5"/>
  <c r="AA161" i="5"/>
  <c r="AA1815" i="5"/>
  <c r="AA564" i="5"/>
  <c r="AA312" i="5"/>
  <c r="AA313" i="5"/>
  <c r="AA486" i="5"/>
  <c r="AA1008" i="5"/>
  <c r="AA1009" i="5"/>
  <c r="AA1674" i="5"/>
  <c r="AA1729" i="5"/>
  <c r="AA1548" i="5"/>
  <c r="AA434" i="5"/>
  <c r="AA1385" i="5"/>
  <c r="AA2200" i="5"/>
  <c r="AA1010" i="5"/>
  <c r="AA1386" i="5"/>
  <c r="AA783" i="5"/>
  <c r="AA1549" i="5"/>
  <c r="AA487" i="5"/>
  <c r="AA1816" i="5"/>
  <c r="AA1675" i="5"/>
  <c r="AA1676" i="5"/>
  <c r="AA1387" i="5"/>
  <c r="AA616" i="5"/>
  <c r="AA1677" i="5"/>
  <c r="AA9" i="5"/>
  <c r="AA853" i="5"/>
  <c r="AA1773" i="5"/>
  <c r="AA2055" i="5"/>
  <c r="AA488" i="5"/>
  <c r="AA1627" i="5"/>
  <c r="AA195" i="5"/>
  <c r="AA932" i="5"/>
  <c r="AA1388" i="5"/>
  <c r="AA1389" i="5"/>
  <c r="AA617" i="5"/>
  <c r="AA1011" i="5"/>
  <c r="AA1287" i="5"/>
  <c r="AA394" i="5"/>
  <c r="AA2056" i="5"/>
  <c r="AA1232" i="5"/>
  <c r="AA1330" i="5"/>
  <c r="AA2154" i="5"/>
  <c r="AA1288" i="5"/>
  <c r="AA230" i="5"/>
  <c r="AA1873" i="5"/>
  <c r="AA1096" i="5"/>
  <c r="AA196" i="5"/>
  <c r="AA197" i="5"/>
  <c r="AA1233" i="5"/>
  <c r="AA2006" i="5"/>
  <c r="AA19" i="5"/>
  <c r="AA1964" i="5"/>
  <c r="AA489" i="5"/>
  <c r="AA1922" i="5"/>
  <c r="AA618" i="5"/>
  <c r="AA2201" i="5"/>
  <c r="AA435" i="5"/>
  <c r="AA2175" i="5"/>
  <c r="AA709" i="5"/>
  <c r="AA1331" i="5"/>
  <c r="AA619" i="5"/>
  <c r="AA620" i="5"/>
  <c r="AA2123" i="5"/>
  <c r="AA274" i="5"/>
  <c r="AA933" i="5"/>
  <c r="AA1167" i="5"/>
  <c r="AA1390" i="5"/>
  <c r="AA1923" i="5"/>
  <c r="AA314" i="5"/>
  <c r="AA315" i="5"/>
  <c r="AA1391" i="5"/>
  <c r="AA1454" i="5"/>
  <c r="AA1012" i="5"/>
  <c r="AA1168" i="5"/>
  <c r="AA1392" i="5"/>
  <c r="AA162" i="5"/>
  <c r="AA2007" i="5"/>
  <c r="AA1332" i="5"/>
  <c r="AA2202" i="5"/>
  <c r="AA784" i="5"/>
  <c r="AA2057" i="5"/>
  <c r="AA1234" i="5"/>
  <c r="AA395" i="5"/>
  <c r="AA1550" i="5"/>
  <c r="AA3" i="5"/>
  <c r="AA275" i="5"/>
  <c r="AA396" i="5"/>
  <c r="AA1169" i="5"/>
  <c r="AA854" i="5"/>
  <c r="AA565" i="5"/>
  <c r="AA2124" i="5"/>
  <c r="AA710" i="5"/>
  <c r="AA1965" i="5"/>
  <c r="AA1393" i="5"/>
  <c r="AA1817" i="5"/>
  <c r="AA934" i="5"/>
  <c r="AA2008" i="5"/>
  <c r="AA1394" i="5"/>
  <c r="AA1395" i="5"/>
  <c r="AA316" i="5"/>
  <c r="AA317" i="5"/>
  <c r="AA2125" i="5"/>
  <c r="AA1730" i="5"/>
  <c r="AA1097" i="5"/>
  <c r="AA1098" i="5"/>
  <c r="AA1333" i="5"/>
  <c r="AA1099" i="5"/>
  <c r="AA1678" i="5"/>
  <c r="AA1289" i="5"/>
  <c r="AA1170" i="5"/>
  <c r="AA1171" i="5"/>
  <c r="AA38" i="5"/>
  <c r="AA39" i="5"/>
  <c r="AA2186" i="5"/>
  <c r="AA100" i="5"/>
  <c r="AA101" i="5"/>
  <c r="AA318" i="5"/>
  <c r="AA102" i="5"/>
  <c r="AA103" i="5"/>
  <c r="AA1172" i="5"/>
  <c r="AA2" i="5"/>
  <c r="AA621" i="5"/>
  <c r="AA785" i="5"/>
  <c r="AA1455" i="5"/>
  <c r="AA1731" i="5"/>
  <c r="AA436" i="5"/>
  <c r="AA1774" i="5"/>
  <c r="AA1456" i="5"/>
  <c r="AA40" i="5"/>
  <c r="AA1496" i="5"/>
  <c r="AA1497" i="5"/>
  <c r="AA2176" i="5"/>
  <c r="AA490" i="5"/>
  <c r="AA2126" i="5"/>
  <c r="AA2127" i="5"/>
  <c r="AA711" i="5"/>
  <c r="AA1679" i="5"/>
  <c r="AA1628" i="5"/>
  <c r="AA2058" i="5"/>
  <c r="AA131" i="5"/>
  <c r="AA104" i="5"/>
  <c r="AA105" i="5"/>
  <c r="AA1100" i="5"/>
  <c r="AA397" i="5"/>
  <c r="AA2177" i="5"/>
  <c r="AA786" i="5"/>
  <c r="AA787" i="5"/>
  <c r="AA788" i="5"/>
  <c r="AA2009" i="5"/>
  <c r="AA855" i="5"/>
  <c r="AA132" i="5"/>
  <c r="AA1101" i="5"/>
  <c r="AA1102" i="5"/>
  <c r="AA2059" i="5"/>
  <c r="AA1173" i="5"/>
  <c r="AA1103" i="5"/>
  <c r="AA4" i="5"/>
  <c r="AA1290" i="5"/>
  <c r="AA1334" i="5"/>
  <c r="AA1732" i="5"/>
  <c r="AA1874" i="5"/>
  <c r="AA1818" i="5"/>
  <c r="AA1966" i="5"/>
  <c r="AA2060" i="5"/>
  <c r="AA491" i="5"/>
  <c r="AA1924" i="5"/>
  <c r="AA72" i="5"/>
  <c r="AA106" i="5"/>
  <c r="AA1733" i="5"/>
  <c r="AA2187" i="5"/>
  <c r="AA2188" i="5"/>
  <c r="AA1291" i="5"/>
  <c r="AA1104" i="5"/>
  <c r="AA1775" i="5"/>
  <c r="AA319" i="5"/>
  <c r="AA320" i="5"/>
  <c r="AA712" i="5"/>
  <c r="AA1776" i="5"/>
  <c r="AA1174" i="5"/>
  <c r="AA1551" i="5"/>
  <c r="AA198" i="5"/>
  <c r="AA1396" i="5"/>
  <c r="AA1175" i="5"/>
  <c r="AA622" i="5"/>
  <c r="AA1875" i="5"/>
  <c r="AA1588" i="5"/>
  <c r="AA2155" i="5"/>
  <c r="AA492" i="5"/>
  <c r="AA493" i="5"/>
  <c r="AA1819" i="5"/>
  <c r="AA1498" i="5"/>
  <c r="AA1013" i="5"/>
  <c r="AA1397" i="5"/>
  <c r="AA2189" i="5"/>
  <c r="AA1777" i="5"/>
  <c r="AA2178" i="5"/>
  <c r="AA623" i="5"/>
  <c r="AA1105" i="5"/>
  <c r="AA2203" i="5"/>
  <c r="AA494" i="5"/>
  <c r="AA1335" i="5"/>
  <c r="AA1014" i="5"/>
  <c r="AA1292" i="5"/>
  <c r="AA1876" i="5"/>
  <c r="AA1176" i="5"/>
  <c r="AA1398" i="5"/>
  <c r="AA1106" i="5"/>
  <c r="AA935" i="5"/>
  <c r="AA1629" i="5"/>
  <c r="AA936" i="5"/>
  <c r="AA937" i="5"/>
  <c r="AA624" i="5"/>
  <c r="AA789" i="5"/>
  <c r="AA1967" i="5"/>
  <c r="AA1457" i="5"/>
  <c r="AA1458" i="5"/>
  <c r="AA1680" i="5"/>
  <c r="AA1734" i="5"/>
  <c r="AA1778" i="5"/>
  <c r="AA1779" i="5"/>
  <c r="AA1780" i="5"/>
  <c r="AA790" i="5"/>
  <c r="AA231" i="5"/>
  <c r="AA791" i="5"/>
  <c r="AA856" i="5"/>
  <c r="AA1925" i="5"/>
  <c r="AA1926" i="5"/>
  <c r="AA1552" i="5"/>
  <c r="AA857" i="5"/>
  <c r="AA398" i="5"/>
  <c r="AA2210" i="5"/>
  <c r="AA1399" i="5"/>
  <c r="AA1877" i="5"/>
  <c r="AA1735" i="5"/>
  <c r="AA1177" i="5"/>
  <c r="AA321" i="5"/>
  <c r="AA1736" i="5"/>
  <c r="AA713" i="5"/>
  <c r="AA625" i="5"/>
  <c r="AA626" i="5"/>
  <c r="AA1293" i="5"/>
  <c r="AA2216" i="5"/>
  <c r="AA1681" i="5"/>
  <c r="AA1737" i="5"/>
  <c r="AA2061" i="5"/>
  <c r="AA627" i="5"/>
  <c r="AA2090" i="5"/>
  <c r="AA1820" i="5"/>
  <c r="AA1821" i="5"/>
  <c r="AA1781" i="5"/>
  <c r="AA2010" i="5"/>
  <c r="AA495" i="5"/>
  <c r="AA1015" i="5"/>
  <c r="AA1016" i="5"/>
  <c r="AA1107" i="5"/>
  <c r="AA1235" i="5"/>
  <c r="AA1927" i="5"/>
  <c r="AA52" i="5"/>
  <c r="AA1968" i="5"/>
  <c r="AA1928" i="5"/>
  <c r="AA938" i="5"/>
  <c r="AA73" i="5"/>
  <c r="AA1108" i="5"/>
  <c r="AA199" i="5"/>
  <c r="AA1589" i="5"/>
  <c r="AA1590" i="5"/>
  <c r="AA1499" i="5"/>
  <c r="AA1400" i="5"/>
  <c r="AA1459" i="5"/>
  <c r="AA1969" i="5"/>
  <c r="AA1460" i="5"/>
  <c r="AA1822" i="5"/>
  <c r="AA2190" i="5"/>
  <c r="AA2191" i="5"/>
  <c r="AA2011" i="5"/>
  <c r="AA792" i="5"/>
  <c r="AA1461" i="5"/>
  <c r="AA1236" i="5"/>
  <c r="AA1823" i="5"/>
  <c r="AA1824" i="5"/>
  <c r="AA1553" i="5"/>
  <c r="AA496" i="5"/>
  <c r="AA1237" i="5"/>
  <c r="AA1238" i="5"/>
  <c r="AA1239" i="5"/>
  <c r="AA1336" i="5"/>
  <c r="AA1337" i="5"/>
  <c r="AA437" i="5"/>
  <c r="AA497" i="5"/>
  <c r="AA498" i="5"/>
  <c r="AA1109" i="5"/>
  <c r="AA1929" i="5"/>
  <c r="AA858" i="5"/>
  <c r="AA1462" i="5"/>
  <c r="AA1630" i="5"/>
  <c r="AA1631" i="5"/>
  <c r="AA1591" i="5"/>
  <c r="AA1592" i="5"/>
  <c r="AA2204" i="5"/>
  <c r="AA1294" i="5"/>
  <c r="AA322" i="5"/>
  <c r="AA24" i="5"/>
  <c r="AA793" i="5"/>
  <c r="AA794" i="5"/>
  <c r="AA2091" i="5"/>
  <c r="AA1682" i="5"/>
  <c r="AA2012" i="5"/>
  <c r="AA399" i="5"/>
  <c r="AA1295" i="5"/>
  <c r="AA1878" i="5"/>
  <c r="AA1879" i="5"/>
  <c r="AA1463" i="5"/>
  <c r="AA1178" i="5"/>
  <c r="AA163" i="5"/>
  <c r="AA1683" i="5"/>
  <c r="AA2205" i="5"/>
  <c r="AA2128" i="5"/>
  <c r="AA2129" i="5"/>
  <c r="AA1930" i="5"/>
  <c r="AA1931" i="5"/>
  <c r="AA1632" i="5"/>
  <c r="AA1633" i="5"/>
  <c r="AA1179" i="5"/>
  <c r="AA1401" i="5"/>
  <c r="AA939" i="5"/>
  <c r="AA1402" i="5"/>
  <c r="AA1932" i="5"/>
  <c r="AA1933" i="5"/>
  <c r="AA1554" i="5"/>
  <c r="AA1970" i="5"/>
  <c r="AA1880" i="5"/>
  <c r="AA1296" i="5"/>
  <c r="AA1825" i="5"/>
  <c r="AA438" i="5"/>
  <c r="AA1110" i="5"/>
  <c r="AA1111" i="5"/>
  <c r="AA1684" i="5"/>
  <c r="AA2013" i="5"/>
  <c r="AA2014" i="5"/>
  <c r="AA940" i="5"/>
  <c r="AA1634" i="5"/>
  <c r="AA1782" i="5"/>
  <c r="AA1180" i="5"/>
  <c r="AA2192" i="5"/>
  <c r="AA628" i="5"/>
  <c r="AA1826" i="5"/>
  <c r="AA941" i="5"/>
  <c r="AA2015" i="5"/>
  <c r="AA566" i="5"/>
  <c r="AA1593" i="5"/>
  <c r="AA795" i="5"/>
  <c r="AA714" i="5"/>
  <c r="AA1112" i="5"/>
  <c r="AA1464" i="5"/>
  <c r="AA439" i="5"/>
  <c r="AA440" i="5"/>
  <c r="AA2016" i="5"/>
  <c r="AA1465" i="5"/>
  <c r="AA1594" i="5"/>
  <c r="AA133" i="5"/>
  <c r="AA1113" i="5"/>
  <c r="AA1240" i="5"/>
  <c r="AA41" i="5"/>
  <c r="AA1403" i="5"/>
  <c r="AA1404" i="5"/>
  <c r="AA2156" i="5"/>
  <c r="AA715" i="5"/>
  <c r="AA323" i="5"/>
  <c r="AA499" i="5"/>
  <c r="AA1738" i="5"/>
  <c r="AA1241" i="5"/>
  <c r="AA1338" i="5"/>
  <c r="AA1339" i="5"/>
  <c r="AA1881" i="5"/>
  <c r="AA1971" i="5"/>
  <c r="AA1685" i="5"/>
  <c r="AA1297" i="5"/>
  <c r="AA1114" i="5"/>
  <c r="AA1686" i="5"/>
  <c r="AA1739" i="5"/>
  <c r="AA629" i="5"/>
  <c r="AA400" i="5"/>
  <c r="AA2017" i="5"/>
  <c r="AA716" i="5"/>
  <c r="AA2092" i="5"/>
  <c r="AA1466" i="5"/>
  <c r="AA1340" i="5"/>
  <c r="AA441" i="5"/>
  <c r="AA1827" i="5"/>
  <c r="AA2062" i="5"/>
  <c r="AA232" i="5"/>
  <c r="AA717" i="5"/>
  <c r="AA1467" i="5"/>
  <c r="AA1017" i="5"/>
  <c r="AA718" i="5"/>
  <c r="AA1595" i="5"/>
  <c r="AA1596" i="5"/>
  <c r="AA1018" i="5"/>
  <c r="AA1019" i="5"/>
  <c r="AA630" i="5"/>
  <c r="AA442" i="5"/>
  <c r="AA443" i="5"/>
  <c r="AA859" i="5"/>
  <c r="AA1828" i="5"/>
  <c r="AA860" i="5"/>
  <c r="AA2157" i="5"/>
  <c r="AA500" i="5"/>
  <c r="AA1405" i="5"/>
  <c r="AA444" i="5"/>
  <c r="AA796" i="5"/>
  <c r="AA1934" i="5"/>
  <c r="AA631" i="5"/>
  <c r="AA942" i="5"/>
  <c r="AA1882" i="5"/>
  <c r="AA1115" i="5"/>
  <c r="AA943" i="5"/>
  <c r="AA1883" i="5"/>
  <c r="AA632" i="5"/>
  <c r="AA1406" i="5"/>
  <c r="AA1407" i="5"/>
  <c r="AA944" i="5"/>
  <c r="AA567" i="5"/>
  <c r="AA1408" i="5"/>
  <c r="AA945" i="5"/>
  <c r="AA719" i="5"/>
  <c r="AA2093" i="5"/>
  <c r="AA1555" i="5"/>
  <c r="AA2063" i="5"/>
  <c r="AA2064" i="5"/>
  <c r="AA2018" i="5"/>
  <c r="AA1972" i="5"/>
  <c r="AA1468" i="5"/>
  <c r="AA2094" i="5"/>
  <c r="AA2095" i="5"/>
  <c r="AA1556" i="5"/>
  <c r="AA1298" i="5"/>
  <c r="AA1597" i="5"/>
  <c r="AA1935" i="5"/>
  <c r="AA1299" i="5"/>
  <c r="AA74" i="5"/>
  <c r="AA1687" i="5"/>
  <c r="AA861" i="5"/>
  <c r="AA1181" i="5"/>
  <c r="AA1829" i="5"/>
  <c r="AA1116" i="5"/>
  <c r="AA1409" i="5"/>
  <c r="AA355" i="5"/>
  <c r="AA1830" i="5"/>
  <c r="AA1557" i="5"/>
  <c r="AA1558" i="5"/>
  <c r="AA2130" i="5"/>
  <c r="AA633" i="5"/>
  <c r="AA324" i="5"/>
  <c r="AA1242" i="5"/>
  <c r="AA1243" i="5"/>
  <c r="AA1469" i="5"/>
  <c r="AA797" i="5"/>
  <c r="AA1884" i="5"/>
  <c r="AA1559" i="5"/>
  <c r="AA1635" i="5"/>
  <c r="AA1973" i="5"/>
  <c r="AA1020" i="5"/>
  <c r="AA720" i="5"/>
  <c r="AA721" i="5"/>
  <c r="AA1470" i="5"/>
  <c r="AA356" i="5"/>
  <c r="AA1885" i="5"/>
  <c r="AA2065" i="5"/>
  <c r="AA1783" i="5"/>
  <c r="AA1831" i="5"/>
  <c r="AA1688" i="5"/>
  <c r="AA1182" i="5"/>
  <c r="AA445" i="5"/>
  <c r="AA1560" i="5"/>
  <c r="AA1886" i="5"/>
  <c r="AA1689" i="5"/>
  <c r="AA568" i="5"/>
  <c r="AA325" i="5"/>
  <c r="AA1410" i="5"/>
  <c r="AA862" i="5"/>
  <c r="AA501" i="5"/>
  <c r="AA1341" i="5"/>
  <c r="AA1936" i="5"/>
  <c r="AA1183" i="5"/>
  <c r="AA1342" i="5"/>
  <c r="AA1117" i="5"/>
  <c r="AA446" i="5"/>
  <c r="AA2066" i="5"/>
  <c r="AA2217" i="5"/>
  <c r="AA1021" i="5"/>
  <c r="AA722" i="5"/>
  <c r="AA1937" i="5"/>
  <c r="AA447" i="5"/>
  <c r="AA2067" i="5"/>
  <c r="AA1500" i="5"/>
  <c r="AA2019" i="5"/>
  <c r="AA1411" i="5"/>
  <c r="AA1343" i="5"/>
  <c r="AA1300" i="5"/>
  <c r="AA946" i="5"/>
  <c r="AA502" i="5"/>
  <c r="AA1244" i="5"/>
  <c r="AA863" i="5"/>
  <c r="AA134" i="5"/>
  <c r="AA1598" i="5"/>
  <c r="AA947" i="5"/>
  <c r="AA1599" i="5"/>
  <c r="AA2096" i="5"/>
  <c r="AA723" i="5"/>
  <c r="AA357" i="5"/>
  <c r="AA1412" i="5"/>
  <c r="AA1413" i="5"/>
  <c r="AA634" i="5"/>
  <c r="AA358" i="5"/>
  <c r="AA1022" i="5"/>
  <c r="AA1184" i="5"/>
  <c r="AA1185" i="5"/>
  <c r="AA448" i="5"/>
  <c r="AA948" i="5"/>
  <c r="AA798" i="5"/>
  <c r="AA569" i="5"/>
  <c r="AA1301" i="5"/>
  <c r="AA724" i="5"/>
  <c r="AA2097" i="5"/>
  <c r="AA2098" i="5"/>
  <c r="AA1245" i="5"/>
  <c r="AA359" i="5"/>
  <c r="AA360" i="5"/>
  <c r="AA1302" i="5"/>
  <c r="AA1501" i="5"/>
  <c r="AA725" i="5"/>
  <c r="AA1186" i="5"/>
  <c r="AA2158" i="5"/>
  <c r="AA1246" i="5"/>
  <c r="AA1561" i="5"/>
  <c r="AA1974" i="5"/>
  <c r="AA1975" i="5"/>
  <c r="AA1562" i="5"/>
  <c r="AA1414" i="5"/>
  <c r="AA2211" i="5"/>
  <c r="AA1247" i="5"/>
  <c r="AA2020" i="5"/>
  <c r="AA726" i="5"/>
  <c r="AA570" i="5"/>
  <c r="AA727" i="5"/>
  <c r="AA1471" i="5"/>
  <c r="AA1563" i="5"/>
  <c r="AA1976" i="5"/>
  <c r="AA1344" i="5"/>
  <c r="AA1023" i="5"/>
  <c r="AA2212" i="5"/>
  <c r="AA864" i="5"/>
  <c r="AA503" i="5"/>
  <c r="AA1887" i="5"/>
  <c r="AA2099" i="5"/>
  <c r="AA233" i="5"/>
  <c r="AA635" i="5"/>
  <c r="AA636" i="5"/>
  <c r="AA571" i="5"/>
  <c r="AA200" i="5"/>
  <c r="AA1832" i="5"/>
  <c r="AA1118" i="5"/>
  <c r="AA1784" i="5"/>
  <c r="AA949" i="5"/>
  <c r="AA1415" i="5"/>
  <c r="AA1833" i="5"/>
  <c r="AA1024" i="5"/>
  <c r="AA1187" i="5"/>
  <c r="AA1188" i="5"/>
  <c r="AA1119" i="5"/>
  <c r="AA865" i="5"/>
  <c r="AA1834" i="5"/>
  <c r="AA1690" i="5"/>
  <c r="AA1600" i="5"/>
  <c r="AA504" i="5"/>
  <c r="AA572" i="5"/>
  <c r="AA573" i="5"/>
  <c r="AA1189" i="5"/>
  <c r="AA1691" i="5"/>
  <c r="AA728" i="5"/>
  <c r="AA1564" i="5"/>
  <c r="AA1025" i="5"/>
  <c r="AA1026" i="5"/>
  <c r="AA1835" i="5"/>
  <c r="AA2131" i="5"/>
  <c r="AA2021" i="5"/>
  <c r="AA866" i="5"/>
  <c r="AA1601" i="5"/>
  <c r="AA1836" i="5"/>
  <c r="AA1837" i="5"/>
  <c r="AA2100" i="5"/>
  <c r="AA1502" i="5"/>
  <c r="AA361" i="5"/>
  <c r="AA2132" i="5"/>
  <c r="AA1977" i="5"/>
  <c r="AA1838" i="5"/>
  <c r="AA1839" i="5"/>
  <c r="AA1785" i="5"/>
  <c r="AA574" i="5"/>
  <c r="AA867" i="5"/>
  <c r="AA449" i="5"/>
  <c r="AA1345" i="5"/>
  <c r="AA1636" i="5"/>
  <c r="AA1303" i="5"/>
  <c r="AA1190" i="5"/>
  <c r="AA505" i="5"/>
  <c r="AA1120" i="5"/>
  <c r="AA1191" i="5"/>
  <c r="AA1416" i="5"/>
  <c r="AA868" i="5"/>
  <c r="AA1503" i="5"/>
  <c r="AA637" i="5"/>
  <c r="AA201" i="5"/>
  <c r="AA1740" i="5"/>
  <c r="AA1741" i="5"/>
  <c r="AA1888" i="5"/>
  <c r="AA638" i="5"/>
  <c r="AA1417" i="5"/>
  <c r="AA2068" i="5"/>
  <c r="AA950" i="5"/>
  <c r="AA2022" i="5"/>
  <c r="AA1978" i="5"/>
  <c r="AA1979" i="5"/>
  <c r="AA1692" i="5"/>
  <c r="AA1504" i="5"/>
  <c r="AA1192" i="5"/>
  <c r="AA799" i="5"/>
  <c r="AA639" i="5"/>
  <c r="AA2069" i="5"/>
  <c r="AA729" i="5"/>
  <c r="AA1786" i="5"/>
  <c r="AA1840" i="5"/>
  <c r="AA640" i="5"/>
  <c r="AA730" i="5"/>
  <c r="AA1121" i="5"/>
  <c r="AA506" i="5"/>
  <c r="AA1693" i="5"/>
  <c r="AA1938" i="5"/>
  <c r="AA1742" i="5"/>
  <c r="AA800" i="5"/>
  <c r="AA1841" i="5"/>
  <c r="AA1027" i="5"/>
  <c r="AA1939" i="5"/>
  <c r="AA1694" i="5"/>
  <c r="AA1787" i="5"/>
  <c r="AA869" i="5"/>
  <c r="AA1889" i="5"/>
  <c r="AA731" i="5"/>
  <c r="AA732" i="5"/>
  <c r="AA1565" i="5"/>
  <c r="AA1304" i="5"/>
  <c r="AA1028" i="5"/>
  <c r="AA507" i="5"/>
  <c r="AA1193" i="5"/>
  <c r="AA234" i="5"/>
  <c r="AA1695" i="5"/>
  <c r="AA1505" i="5"/>
  <c r="AA1506" i="5"/>
  <c r="AA2101" i="5"/>
  <c r="AA508" i="5"/>
  <c r="AA641" i="5"/>
  <c r="AA2102" i="5"/>
  <c r="AA1418" i="5"/>
  <c r="AA1305" i="5"/>
  <c r="AA870" i="5"/>
  <c r="AA1472" i="5"/>
  <c r="AA733" i="5"/>
  <c r="AA1743" i="5"/>
  <c r="AA951" i="5"/>
  <c r="AA401" i="5"/>
  <c r="AA1419" i="5"/>
  <c r="AA1637" i="5"/>
  <c r="AA642" i="5"/>
  <c r="AA2133" i="5"/>
  <c r="AA135" i="5"/>
  <c r="AA2023" i="5"/>
  <c r="AA2134" i="5"/>
  <c r="AA1744" i="5"/>
  <c r="AA1306" i="5"/>
  <c r="AA1745" i="5"/>
  <c r="AA1980" i="5"/>
  <c r="AA1420" i="5"/>
  <c r="AA42" i="5"/>
  <c r="AA643" i="5"/>
  <c r="AA644" i="5"/>
  <c r="AA2159" i="5"/>
  <c r="AA1248" i="5"/>
  <c r="AA509" i="5"/>
  <c r="AA53" i="5"/>
  <c r="AA1566" i="5"/>
  <c r="AA871" i="5"/>
  <c r="AA2221" i="5"/>
  <c r="AA1890" i="5"/>
  <c r="AA362" i="5"/>
  <c r="AA1194" i="5"/>
  <c r="AA2193" i="5"/>
  <c r="AA2194" i="5"/>
  <c r="AA1842" i="5"/>
  <c r="AA1843" i="5"/>
  <c r="AA1844" i="5"/>
  <c r="AA1845" i="5"/>
  <c r="AA2024" i="5"/>
  <c r="AA1567" i="5"/>
  <c r="AA1891" i="5"/>
  <c r="AA1746" i="5"/>
  <c r="AA1981" i="5"/>
  <c r="AA1696" i="5"/>
  <c r="AA2103" i="5"/>
  <c r="AA1249" i="5"/>
  <c r="AA1638" i="5"/>
  <c r="AA1639" i="5"/>
  <c r="AA1640" i="5"/>
  <c r="AA1747" i="5"/>
  <c r="AA1940" i="5"/>
  <c r="AA1122" i="5"/>
  <c r="AA1507" i="5"/>
  <c r="AA1788" i="5"/>
  <c r="AA1846" i="5"/>
  <c r="AA575" i="5"/>
  <c r="AA952" i="5"/>
  <c r="AA2025" i="5"/>
  <c r="AA326" i="5"/>
  <c r="AA645" i="5"/>
  <c r="AA402" i="5"/>
  <c r="AA276" i="5"/>
  <c r="AA277" i="5"/>
  <c r="AA1568" i="5"/>
  <c r="AA1789" i="5"/>
  <c r="AA1250" i="5"/>
  <c r="AA1941" i="5"/>
  <c r="AA1508" i="5"/>
  <c r="AA1748" i="5"/>
  <c r="AA2135" i="5"/>
  <c r="AA2136" i="5"/>
  <c r="AA953" i="5"/>
  <c r="AA43" i="5"/>
  <c r="AA646" i="5"/>
  <c r="AA647" i="5"/>
  <c r="AA1602" i="5"/>
  <c r="AA801" i="5"/>
  <c r="AA1892" i="5"/>
  <c r="AA2026" i="5"/>
  <c r="AA1346" i="5"/>
  <c r="AA1347" i="5"/>
  <c r="AA1749" i="5"/>
  <c r="AA648" i="5"/>
  <c r="AA734" i="5"/>
  <c r="AA1029" i="5"/>
  <c r="AA954" i="5"/>
  <c r="AA1509" i="5"/>
  <c r="AA1893" i="5"/>
  <c r="AA2027" i="5"/>
  <c r="AA2070" i="5"/>
  <c r="AA1030" i="5"/>
  <c r="AA649" i="5"/>
  <c r="AA802" i="5"/>
  <c r="AA2137" i="5"/>
  <c r="AA1641" i="5"/>
  <c r="AA1031" i="5"/>
  <c r="AA1473" i="5"/>
  <c r="AA872" i="5"/>
  <c r="AA2071" i="5"/>
  <c r="AA1251" i="5"/>
  <c r="AA2218" i="5"/>
  <c r="AA2219" i="5"/>
  <c r="AA1474" i="5"/>
  <c r="AA1510" i="5"/>
  <c r="AA1511" i="5"/>
  <c r="AA1642" i="5"/>
  <c r="AA1348" i="5"/>
  <c r="AA1512" i="5"/>
  <c r="AA1982" i="5"/>
  <c r="AA25" i="5"/>
  <c r="AA2104" i="5"/>
  <c r="AA1195" i="5"/>
  <c r="AA1894" i="5"/>
  <c r="AA1513" i="5"/>
  <c r="AA2105" i="5"/>
  <c r="AA1983" i="5"/>
  <c r="AA450" i="5"/>
  <c r="AA873" i="5"/>
  <c r="AA874" i="5"/>
  <c r="AA875" i="5"/>
  <c r="AA1603" i="5"/>
  <c r="AA1196" i="5"/>
  <c r="AA1847" i="5"/>
  <c r="AA1750" i="5"/>
  <c r="AA803" i="5"/>
  <c r="AA735" i="5"/>
  <c r="AA2138" i="5"/>
  <c r="AA2106" i="5"/>
  <c r="AA1421" i="5"/>
  <c r="AA2028" i="5"/>
  <c r="AA1643" i="5"/>
  <c r="AA804" i="5"/>
  <c r="AA403" i="5"/>
  <c r="AA1644" i="5"/>
  <c r="AA1307" i="5"/>
  <c r="AA736" i="5"/>
  <c r="AA1790" i="5"/>
  <c r="AA1984" i="5"/>
  <c r="AA451" i="5"/>
  <c r="AA737" i="5"/>
  <c r="AA2139" i="5"/>
  <c r="AA1349" i="5"/>
  <c r="AA1645" i="5"/>
  <c r="AA2072" i="5"/>
  <c r="AA2073" i="5"/>
  <c r="AA1791" i="5"/>
  <c r="AA1569" i="5"/>
  <c r="AA2029" i="5"/>
  <c r="AA1032" i="5"/>
  <c r="AA1422" i="5"/>
  <c r="AA650" i="5"/>
  <c r="AA510" i="5"/>
  <c r="AA1423" i="5"/>
  <c r="AA1848" i="5"/>
  <c r="AA1849" i="5"/>
  <c r="AA576" i="5"/>
  <c r="AA136" i="5"/>
  <c r="AA1475" i="5"/>
  <c r="AA1308" i="5"/>
  <c r="AA1424" i="5"/>
  <c r="AA1425" i="5"/>
  <c r="AA876" i="5"/>
  <c r="AA1197" i="5"/>
  <c r="AA1646" i="5"/>
  <c r="AA738" i="5"/>
  <c r="AA1514" i="5"/>
  <c r="AA1942" i="5"/>
  <c r="AA1350" i="5"/>
  <c r="AA1751" i="5"/>
  <c r="AA2160" i="5"/>
  <c r="AA2161" i="5"/>
  <c r="AA2030" i="5"/>
  <c r="AA1752" i="5"/>
  <c r="AA1604" i="5"/>
  <c r="AA1033" i="5"/>
  <c r="AA955" i="5"/>
  <c r="AA956" i="5"/>
  <c r="AA1895" i="5"/>
  <c r="AA511" i="5"/>
  <c r="AA805" i="5"/>
  <c r="AA1943" i="5"/>
  <c r="AA957" i="5"/>
  <c r="AA651" i="5"/>
  <c r="AA1985" i="5"/>
  <c r="AA739" i="5"/>
  <c r="AA75" i="5"/>
  <c r="AA652" i="5"/>
  <c r="AA1570" i="5"/>
  <c r="AA740" i="5"/>
  <c r="AA741" i="5"/>
  <c r="AA742" i="5"/>
  <c r="AA1850" i="5"/>
  <c r="AA877" i="5"/>
  <c r="AA1851" i="5"/>
  <c r="AA958" i="5"/>
  <c r="AA653" i="5"/>
  <c r="AA1896" i="5"/>
  <c r="AA1897" i="5"/>
  <c r="AA806" i="5"/>
  <c r="AA1476" i="5"/>
  <c r="AA1605" i="5"/>
  <c r="AA164" i="5"/>
  <c r="AA1477" i="5"/>
  <c r="AA1351" i="5"/>
  <c r="AA807" i="5"/>
  <c r="AA404" i="5"/>
  <c r="AA808" i="5"/>
  <c r="AA1478" i="5"/>
  <c r="AA1479" i="5"/>
  <c r="AA1944" i="5"/>
  <c r="AA1252" i="5"/>
  <c r="AA1034" i="5"/>
  <c r="AA2162" i="5"/>
  <c r="AA2206" i="5"/>
  <c r="AA743" i="5"/>
  <c r="AA809" i="5"/>
  <c r="AA107" i="5"/>
  <c r="AA327" i="5"/>
  <c r="AA1571" i="5"/>
  <c r="AA1753" i="5"/>
  <c r="AA1515" i="5"/>
  <c r="AA1426" i="5"/>
  <c r="AA1427" i="5"/>
  <c r="AA2163" i="5"/>
  <c r="AA810" i="5"/>
  <c r="AA452" i="5"/>
  <c r="AA2213" i="5"/>
  <c r="AA811" i="5"/>
  <c r="AA812" i="5"/>
  <c r="AA405" i="5"/>
  <c r="AA363" i="5"/>
  <c r="AA1309" i="5"/>
  <c r="AA1697" i="5"/>
  <c r="AA1123" i="5"/>
  <c r="AA1352" i="5"/>
  <c r="AA1353" i="5"/>
  <c r="AA2074" i="5"/>
  <c r="AA1035" i="5"/>
  <c r="AA1198" i="5"/>
  <c r="AA1945" i="5"/>
  <c r="AA1354" i="5"/>
  <c r="AA1647" i="5"/>
  <c r="AA1124" i="5"/>
  <c r="AA959" i="5"/>
  <c r="AA1036" i="5"/>
  <c r="AA1428" i="5"/>
  <c r="AA813" i="5"/>
  <c r="AA1253" i="5"/>
  <c r="AA1429" i="5"/>
  <c r="AA512" i="5"/>
  <c r="AA960" i="5"/>
  <c r="AA202" i="5"/>
  <c r="AA744" i="5"/>
  <c r="AA1430" i="5"/>
  <c r="AA1125" i="5"/>
  <c r="AA2031" i="5"/>
  <c r="AA1126" i="5"/>
  <c r="AA1792" i="5"/>
  <c r="AA2195" i="5"/>
  <c r="AA1199" i="5"/>
  <c r="AA878" i="5"/>
  <c r="AA406" i="5"/>
  <c r="AA407" i="5"/>
  <c r="AA1037" i="5"/>
  <c r="AA328" i="5"/>
  <c r="AA1254" i="5"/>
  <c r="AA513" i="5"/>
  <c r="AA2032" i="5"/>
  <c r="AA278" i="5"/>
  <c r="AA1200" i="5"/>
  <c r="AA1201" i="5"/>
  <c r="AA1355" i="5"/>
  <c r="AA408" i="5"/>
  <c r="AA1356" i="5"/>
  <c r="AA2033" i="5"/>
  <c r="AA1357" i="5"/>
  <c r="AA814" i="5"/>
  <c r="AA1038" i="5"/>
  <c r="AA961" i="5"/>
  <c r="AA577" i="5"/>
  <c r="AA2075" i="5"/>
  <c r="AA1202" i="5"/>
  <c r="AA1793" i="5"/>
  <c r="AA745" i="5"/>
  <c r="AA879" i="5"/>
  <c r="AA1127" i="5"/>
  <c r="AA815" i="5"/>
  <c r="AA578" i="5"/>
  <c r="AA2107" i="5"/>
  <c r="AA1039" i="5"/>
  <c r="AA1572" i="5"/>
  <c r="AA1040" i="5"/>
  <c r="AA1203" i="5"/>
  <c r="AA1431" i="5"/>
  <c r="AA235" i="5"/>
  <c r="AA514" i="5"/>
  <c r="AA44" i="5"/>
  <c r="AA26" i="5"/>
  <c r="AA1310" i="5"/>
  <c r="AA962" i="5"/>
  <c r="AA1946" i="5"/>
  <c r="AA1898" i="5"/>
  <c r="AA1899" i="5"/>
  <c r="AA1255" i="5"/>
  <c r="AA816" i="5"/>
  <c r="AA515" i="5"/>
  <c r="AA1480" i="5"/>
  <c r="AA1481" i="5"/>
  <c r="AA654" i="5"/>
  <c r="AA880" i="5"/>
  <c r="AA881" i="5"/>
  <c r="AA1041" i="5"/>
  <c r="AA364" i="5"/>
  <c r="AA963" i="5"/>
  <c r="AA76" i="5"/>
  <c r="AA165" i="5"/>
  <c r="AA166" i="5"/>
  <c r="AA817" i="5"/>
  <c r="AA1754" i="5"/>
  <c r="AA1698" i="5"/>
  <c r="AA1204" i="5"/>
  <c r="AA1794" i="5"/>
  <c r="AA236" i="5"/>
  <c r="AA2164" i="5"/>
  <c r="AA1205" i="5"/>
  <c r="AA365" i="5"/>
  <c r="AA746" i="5"/>
  <c r="AA329" i="5"/>
  <c r="AA1042" i="5"/>
  <c r="AA366" i="5"/>
  <c r="AA579" i="5"/>
  <c r="AA580" i="5"/>
  <c r="AA516" i="5"/>
  <c r="AA137" i="5"/>
  <c r="AA138" i="5"/>
  <c r="AA517" i="5"/>
  <c r="AA367" i="5"/>
  <c r="AA108" i="5"/>
  <c r="AA409" i="5"/>
  <c r="AA1900" i="5"/>
  <c r="AA1256" i="5"/>
  <c r="AA1482" i="5"/>
  <c r="AA747" i="5"/>
  <c r="AA964" i="5"/>
  <c r="AA1483" i="5"/>
  <c r="AA518" i="5"/>
  <c r="AA1484" i="5"/>
  <c r="AA203" i="5"/>
  <c r="AA1986" i="5"/>
  <c r="AA581" i="5"/>
  <c r="AA1795" i="5"/>
  <c r="AA167" i="5"/>
  <c r="AA1257" i="5"/>
  <c r="AA1258" i="5"/>
  <c r="AA1648" i="5"/>
  <c r="AA519" i="5"/>
  <c r="AA2108" i="5"/>
  <c r="AA582" i="5"/>
  <c r="AA1259" i="5"/>
  <c r="AA330" i="5"/>
  <c r="AA1206" i="5"/>
  <c r="AA139" i="5"/>
  <c r="AA520" i="5"/>
  <c r="AA1516" i="5"/>
  <c r="AA2034" i="5"/>
  <c r="AA1043" i="5"/>
  <c r="AA1485" i="5"/>
  <c r="AA748" i="5"/>
  <c r="AA655" i="5"/>
  <c r="AA1432" i="5"/>
  <c r="AA1796" i="5"/>
  <c r="AA1260" i="5"/>
  <c r="AA2076" i="5"/>
  <c r="AA2077" i="5"/>
  <c r="AA453" i="5"/>
  <c r="AA1433" i="5"/>
  <c r="AA1207" i="5"/>
  <c r="AA1208" i="5"/>
  <c r="AA1128" i="5"/>
  <c r="AA1261" i="5"/>
  <c r="AA331" i="5"/>
  <c r="AA1987" i="5"/>
  <c r="AA1797" i="5"/>
  <c r="AA2035" i="5"/>
  <c r="AA818" i="5"/>
  <c r="AA965" i="5"/>
  <c r="AA966" i="5"/>
  <c r="AA1311" i="5"/>
  <c r="AA583" i="5"/>
  <c r="AA749" i="5"/>
  <c r="AA368" i="5"/>
  <c r="AA204" i="5"/>
  <c r="AA237" i="5"/>
  <c r="AA2036" i="5"/>
  <c r="AA819" i="5"/>
  <c r="AA820" i="5"/>
  <c r="AA279" i="5"/>
  <c r="AA280" i="5"/>
  <c r="AA281" i="5"/>
  <c r="AA1947" i="5"/>
  <c r="AA1948" i="5"/>
  <c r="AA1209" i="5"/>
  <c r="AA1044" i="5"/>
  <c r="AA584" i="5"/>
  <c r="AA2078" i="5"/>
  <c r="AA1045" i="5"/>
  <c r="AA109" i="5"/>
  <c r="AA1988" i="5"/>
  <c r="AA238" i="5"/>
  <c r="AA369" i="5"/>
  <c r="AA332" i="5"/>
  <c r="AA1573" i="5"/>
  <c r="AA1517" i="5"/>
  <c r="AA282" i="5"/>
  <c r="AA882" i="5"/>
  <c r="AA656" i="5"/>
  <c r="AA1649" i="5"/>
  <c r="AA821" i="5"/>
  <c r="AA168" i="5"/>
  <c r="AA283" i="5"/>
  <c r="AA1949" i="5"/>
  <c r="AA1950" i="5"/>
  <c r="AA967" i="5"/>
  <c r="AA883" i="5"/>
  <c r="AA1901" i="5"/>
  <c r="AA1902" i="5"/>
  <c r="AA968" i="5"/>
  <c r="AA110" i="5"/>
  <c r="AA1129" i="5"/>
  <c r="AA1699" i="5"/>
  <c r="AA2140" i="5"/>
  <c r="AA969" i="5"/>
  <c r="AA1755" i="5"/>
  <c r="AA1903" i="5"/>
  <c r="AA521" i="5"/>
  <c r="AA77" i="5"/>
  <c r="AA239" i="5"/>
  <c r="AA522" i="5"/>
  <c r="AA1518" i="5"/>
  <c r="AA1519" i="5"/>
  <c r="AA523" i="5"/>
  <c r="AA1046" i="5"/>
  <c r="AA970" i="5"/>
  <c r="AA971" i="5"/>
  <c r="AA884" i="5"/>
  <c r="AA524" i="5"/>
  <c r="AA370" i="5"/>
  <c r="AA333" i="5"/>
  <c r="AA169" i="5"/>
  <c r="AA1904" i="5"/>
  <c r="AA1905" i="5"/>
  <c r="AA1262" i="5"/>
  <c r="AA525" i="5"/>
  <c r="AA822" i="5"/>
  <c r="AA1210" i="5"/>
  <c r="AA1211" i="5"/>
  <c r="AA78" i="5"/>
  <c r="AA1700" i="5"/>
  <c r="AA1263" i="5"/>
  <c r="AA1047" i="5"/>
  <c r="AA1650" i="5"/>
  <c r="AA1130" i="5"/>
  <c r="AA170" i="5"/>
  <c r="AA1048" i="5"/>
  <c r="AA1358" i="5"/>
  <c r="AA240" i="5"/>
  <c r="AA526" i="5"/>
  <c r="AA1131" i="5"/>
  <c r="AA2109" i="5"/>
  <c r="AA885" i="5"/>
  <c r="AA205" i="5"/>
  <c r="AA1574" i="5"/>
  <c r="AA972" i="5"/>
  <c r="AA585" i="5"/>
  <c r="AA2196" i="5"/>
  <c r="AA2197" i="5"/>
  <c r="AA973" i="5"/>
  <c r="AA1359" i="5"/>
  <c r="AA1360" i="5"/>
  <c r="AA527" i="5"/>
  <c r="AA528" i="5"/>
  <c r="AA1989" i="5"/>
  <c r="AA657" i="5"/>
  <c r="AA658" i="5"/>
  <c r="AA1798" i="5"/>
  <c r="AA659" i="5"/>
  <c r="AA410" i="5"/>
  <c r="AA886" i="5"/>
  <c r="AA887" i="5"/>
  <c r="AA660" i="5"/>
  <c r="AA750" i="5"/>
  <c r="AA1756" i="5"/>
  <c r="AA284" i="5"/>
  <c r="AA751" i="5"/>
  <c r="AA752" i="5"/>
  <c r="AA1906" i="5"/>
  <c r="AA241" i="5"/>
  <c r="AA79" i="5"/>
  <c r="AA1049" i="5"/>
  <c r="AA1050" i="5"/>
  <c r="AA823" i="5"/>
  <c r="AA753" i="5"/>
  <c r="AA1361" i="5"/>
  <c r="AA1362" i="5"/>
  <c r="AA1312" i="5"/>
  <c r="AA334" i="5"/>
  <c r="AA1264" i="5"/>
  <c r="AA529" i="5"/>
  <c r="AA371" i="5"/>
  <c r="AA1990" i="5"/>
  <c r="AA1313" i="5"/>
  <c r="AA1951" i="5"/>
  <c r="AA1907" i="5"/>
  <c r="AA1434" i="5"/>
  <c r="AA1799" i="5"/>
  <c r="AA1952" i="5"/>
  <c r="AA411" i="5"/>
  <c r="AA285" i="5"/>
  <c r="AA454" i="5"/>
  <c r="AA1265" i="5"/>
  <c r="AA1520" i="5"/>
  <c r="AA1701" i="5"/>
  <c r="AA1051" i="5"/>
  <c r="AA754" i="5"/>
  <c r="AA1953" i="5"/>
  <c r="AA755" i="5"/>
  <c r="AA530" i="5"/>
  <c r="AA1606" i="5"/>
  <c r="AA2141" i="5"/>
  <c r="AA1435" i="5"/>
  <c r="AA661" i="5"/>
  <c r="AA662" i="5"/>
  <c r="AA586" i="5"/>
  <c r="AA286" i="5"/>
  <c r="AA1052" i="5"/>
  <c r="AA206" i="5"/>
  <c r="AA372" i="5"/>
  <c r="AA1132" i="5"/>
  <c r="AA1954" i="5"/>
  <c r="AA242" i="5"/>
  <c r="AA287" i="5"/>
  <c r="AA1266" i="5"/>
  <c r="AA373" i="5"/>
  <c r="AA974" i="5"/>
  <c r="AA2142" i="5"/>
  <c r="AA1212" i="5"/>
  <c r="AA1267" i="5"/>
  <c r="AA288" i="5"/>
  <c r="AA888" i="5"/>
  <c r="AA889" i="5"/>
  <c r="AA890" i="5"/>
  <c r="AA891" i="5"/>
  <c r="AA756" i="5"/>
  <c r="AA1436" i="5"/>
  <c r="AA1437" i="5"/>
  <c r="AA587" i="5"/>
  <c r="AA1053" i="5"/>
  <c r="AA54" i="5"/>
  <c r="AA2037" i="5"/>
  <c r="AA1702" i="5"/>
  <c r="AA892" i="5"/>
  <c r="AA893" i="5"/>
  <c r="AA243" i="5"/>
  <c r="AA1133" i="5"/>
  <c r="AA975" i="5"/>
  <c r="AA531" i="5"/>
  <c r="AA374" i="5"/>
  <c r="AA1314" i="5"/>
  <c r="AA2143" i="5"/>
  <c r="AA111" i="5"/>
  <c r="AA1852" i="5"/>
  <c r="AA1268" i="5"/>
  <c r="AA1757" i="5"/>
  <c r="AA244" i="5"/>
  <c r="AA245" i="5"/>
  <c r="AA1054" i="5"/>
  <c r="AA1055" i="5"/>
  <c r="AA757" i="5"/>
  <c r="AA412" i="5"/>
  <c r="AA894" i="5"/>
  <c r="AA1853" i="5"/>
  <c r="AA27" i="5"/>
  <c r="AA28" i="5"/>
  <c r="AA1269" i="5"/>
  <c r="AA895" i="5"/>
  <c r="AA2079" i="5"/>
  <c r="AA10" i="5"/>
  <c r="AA11" i="5"/>
  <c r="AA246" i="5"/>
  <c r="AA171" i="5"/>
  <c r="AA1363" i="5"/>
  <c r="AA1854" i="5"/>
  <c r="AA1056" i="5"/>
  <c r="AA1057" i="5"/>
  <c r="AA824" i="5"/>
  <c r="AA825" i="5"/>
  <c r="AA1991" i="5"/>
  <c r="AA976" i="5"/>
  <c r="AA1703" i="5"/>
  <c r="AA663" i="5"/>
  <c r="AA588" i="5"/>
  <c r="AA2165" i="5"/>
  <c r="AA375" i="5"/>
  <c r="AA826" i="5"/>
  <c r="AA827" i="5"/>
  <c r="AA55" i="5"/>
  <c r="AA589" i="5"/>
  <c r="AA1521" i="5"/>
  <c r="AA455" i="5"/>
  <c r="AA172" i="5"/>
  <c r="AA1704" i="5"/>
  <c r="AA1438" i="5"/>
  <c r="AA1522" i="5"/>
  <c r="AA758" i="5"/>
  <c r="AA112" i="5"/>
  <c r="AA113" i="5"/>
  <c r="AA1058" i="5"/>
  <c r="AA2038" i="5"/>
  <c r="AA1270" i="5"/>
  <c r="AA532" i="5"/>
  <c r="AA2110" i="5"/>
  <c r="AA2111" i="5"/>
  <c r="AA80" i="5"/>
  <c r="AA81" i="5"/>
  <c r="AA1134" i="5"/>
  <c r="AA759" i="5"/>
  <c r="AA207" i="5"/>
  <c r="AA1705" i="5"/>
  <c r="AA1135" i="5"/>
  <c r="AA1523" i="5"/>
  <c r="AA977" i="5"/>
  <c r="AA828" i="5"/>
  <c r="AA1364" i="5"/>
  <c r="AA1213" i="5"/>
  <c r="AA289" i="5"/>
  <c r="AA1365" i="5"/>
  <c r="AA1524" i="5"/>
  <c r="AA896" i="5"/>
  <c r="AA456" i="5"/>
  <c r="AA1439" i="5"/>
  <c r="AA208" i="5"/>
  <c r="AA2039" i="5"/>
  <c r="AA1758" i="5"/>
  <c r="AA1575" i="5"/>
  <c r="AA2040" i="5"/>
  <c r="AA1525" i="5"/>
  <c r="AA1059" i="5"/>
  <c r="AA1060" i="5"/>
  <c r="AA1366" i="5"/>
  <c r="AA760" i="5"/>
  <c r="AA761" i="5"/>
  <c r="AA173" i="5"/>
  <c r="AA413" i="5"/>
  <c r="AA762" i="5"/>
  <c r="AA664" i="5"/>
  <c r="AA590" i="5"/>
  <c r="AA1440" i="5"/>
  <c r="AA1706" i="5"/>
  <c r="AA533" i="5"/>
  <c r="AA534" i="5"/>
  <c r="AA591" i="5"/>
  <c r="AA1061" i="5"/>
  <c r="AA1062" i="5"/>
  <c r="AA1271" i="5"/>
  <c r="AA174" i="5"/>
  <c r="AA2080" i="5"/>
  <c r="AA457" i="5"/>
  <c r="AA1441" i="5"/>
  <c r="AA897" i="5"/>
  <c r="AA1526" i="5"/>
  <c r="AA1607" i="5"/>
  <c r="AA1315" i="5"/>
  <c r="AA1316" i="5"/>
  <c r="AA247" i="5"/>
  <c r="AA335" i="5"/>
  <c r="AA1136" i="5"/>
  <c r="AA898" i="5"/>
  <c r="AA829" i="5"/>
  <c r="AA1651" i="5"/>
  <c r="AA1759" i="5"/>
  <c r="AA290" i="5"/>
  <c r="AA1955" i="5"/>
  <c r="AA1063" i="5"/>
  <c r="AA82" i="5"/>
  <c r="AA978" i="5"/>
  <c r="AA1137" i="5"/>
  <c r="AA592" i="5"/>
  <c r="AA665" i="5"/>
  <c r="AA414" i="5"/>
  <c r="AA899" i="5"/>
  <c r="AA291" i="5"/>
  <c r="AA248" i="5"/>
  <c r="AA1486" i="5"/>
  <c r="AA1064" i="5"/>
  <c r="AA535" i="5"/>
  <c r="AA666" i="5"/>
  <c r="AA458" i="5"/>
  <c r="AA979" i="5"/>
  <c r="AA830" i="5"/>
  <c r="AA415" i="5"/>
  <c r="AA1576" i="5"/>
  <c r="AA1577" i="5"/>
  <c r="AA1652" i="5"/>
  <c r="AA1855" i="5"/>
  <c r="AA249" i="5"/>
  <c r="AA593" i="5"/>
  <c r="AA594" i="5"/>
  <c r="AA900" i="5"/>
  <c r="AA901" i="5"/>
  <c r="AA763" i="5"/>
  <c r="AA209" i="5"/>
  <c r="AA376" i="5"/>
  <c r="AA459" i="5"/>
  <c r="AA595" i="5"/>
  <c r="AA667" i="5"/>
  <c r="AA668" i="5"/>
  <c r="AA1527" i="5"/>
  <c r="AA831" i="5"/>
  <c r="AA1367" i="5"/>
  <c r="AA2081" i="5"/>
  <c r="AA416" i="5"/>
  <c r="AA1214" i="5"/>
  <c r="AA764" i="5"/>
  <c r="AA669" i="5"/>
  <c r="AA1317" i="5"/>
  <c r="AA417" i="5"/>
  <c r="AA980" i="5"/>
  <c r="AA832" i="5"/>
  <c r="AA1442" i="5"/>
  <c r="AA670" i="5"/>
  <c r="AA671" i="5"/>
  <c r="AA460" i="5"/>
  <c r="AA1065" i="5"/>
  <c r="AA1760" i="5"/>
  <c r="AA1653" i="5"/>
  <c r="AA1654" i="5"/>
  <c r="AA250" i="5"/>
  <c r="AA981" i="5"/>
  <c r="AA1215" i="5"/>
  <c r="AA140" i="5"/>
  <c r="AA1066" i="5"/>
  <c r="AA1067" i="5"/>
  <c r="AA596" i="5"/>
  <c r="AA833" i="5"/>
  <c r="AA834" i="5"/>
  <c r="AA210" i="5"/>
  <c r="AA83" i="5"/>
  <c r="AA84" i="5"/>
  <c r="AA982" i="5"/>
  <c r="AA536" i="5"/>
  <c r="AA292" i="5"/>
  <c r="AA293" i="5"/>
  <c r="AA56" i="5"/>
  <c r="AA1608" i="5"/>
  <c r="AA983" i="5"/>
  <c r="AA1138" i="5"/>
  <c r="AA175" i="5"/>
  <c r="AA211" i="5"/>
  <c r="AA1068" i="5"/>
  <c r="AA984" i="5"/>
  <c r="AA212" i="5"/>
  <c r="AA213" i="5"/>
  <c r="AA1069" i="5"/>
  <c r="AA1443" i="5"/>
  <c r="AA1444" i="5"/>
  <c r="AA114" i="5"/>
  <c r="AA1139" i="5"/>
  <c r="AA1272" i="5"/>
  <c r="AA672" i="5"/>
  <c r="AA1655" i="5"/>
  <c r="AA1368" i="5"/>
  <c r="AA1656" i="5"/>
  <c r="AA2082" i="5"/>
  <c r="AA141" i="5"/>
  <c r="AA1273" i="5"/>
  <c r="AA214" i="5"/>
  <c r="AA377" i="5"/>
  <c r="AA597" i="5"/>
  <c r="AA1856" i="5"/>
  <c r="AA598" i="5"/>
  <c r="AA1369" i="5"/>
  <c r="AA336" i="5"/>
  <c r="AA85" i="5"/>
  <c r="AA86" i="5"/>
  <c r="AA537" i="5"/>
  <c r="AA538" i="5"/>
  <c r="AA337" i="5"/>
  <c r="AA1657" i="5"/>
  <c r="AA378" i="5"/>
  <c r="AA2041" i="5"/>
  <c r="AA539" i="5"/>
  <c r="AA835" i="5"/>
  <c r="AA294" i="5"/>
  <c r="AA295" i="5"/>
  <c r="AA1318" i="5"/>
  <c r="AA2179" i="5"/>
  <c r="AA296" i="5"/>
  <c r="AA2042" i="5"/>
  <c r="AA2112" i="5"/>
  <c r="AA1609" i="5"/>
  <c r="AA1610" i="5"/>
  <c r="AA1140" i="5"/>
  <c r="AA1761" i="5"/>
  <c r="AA176" i="5"/>
  <c r="AA418" i="5"/>
  <c r="AA1319" i="5"/>
  <c r="AA115" i="5"/>
  <c r="AA461" i="5"/>
  <c r="AA599" i="5"/>
  <c r="AA902" i="5"/>
  <c r="AA379" i="5"/>
  <c r="AA540" i="5"/>
  <c r="AA338" i="5"/>
  <c r="AA765" i="5"/>
  <c r="AA2180" i="5"/>
  <c r="AA2083" i="5"/>
  <c r="AA1956" i="5"/>
  <c r="AA251" i="5"/>
  <c r="AA462" i="5"/>
  <c r="AA1141" i="5"/>
  <c r="AA1578" i="5"/>
  <c r="AA1611" i="5"/>
  <c r="AA985" i="5"/>
  <c r="AA2113" i="5"/>
  <c r="AA903" i="5"/>
  <c r="AA177" i="5"/>
  <c r="AA904" i="5"/>
  <c r="AA1612" i="5"/>
  <c r="AA297" i="5"/>
  <c r="AA298" i="5"/>
  <c r="AA1274" i="5"/>
  <c r="AA1370" i="5"/>
  <c r="AA2084" i="5"/>
  <c r="AA1070" i="5"/>
  <c r="AA673" i="5"/>
  <c r="AA674" i="5"/>
  <c r="AA1707" i="5"/>
  <c r="AA1216" i="5"/>
  <c r="AA380" i="5"/>
  <c r="AA45" i="5"/>
  <c r="AA1071" i="5"/>
  <c r="AA178" i="5"/>
  <c r="AA986" i="5"/>
  <c r="AA836" i="5"/>
  <c r="AA252" i="5"/>
  <c r="AA1320" i="5"/>
  <c r="AA179" i="5"/>
  <c r="AA2144" i="5"/>
  <c r="AA1762" i="5"/>
  <c r="AA1763" i="5"/>
  <c r="AA541" i="5"/>
  <c r="AA675" i="5"/>
  <c r="AA1217" i="5"/>
  <c r="AA987" i="5"/>
  <c r="AA905" i="5"/>
  <c r="AA542" i="5"/>
  <c r="AA1857" i="5"/>
  <c r="AA57" i="5"/>
  <c r="AA1800" i="5"/>
  <c r="AA1801" i="5"/>
  <c r="AA837" i="5"/>
  <c r="AA419" i="5"/>
  <c r="AA1142" i="5"/>
  <c r="AA1321" i="5"/>
  <c r="AA543" i="5"/>
  <c r="AA1072" i="5"/>
  <c r="AA544" i="5"/>
  <c r="AA1073" i="5"/>
  <c r="AA253" i="5"/>
  <c r="AA142" i="5"/>
  <c r="AA838" i="5"/>
  <c r="AA839" i="5"/>
  <c r="AA87" i="5"/>
  <c r="AA906" i="5"/>
  <c r="AA2181" i="5"/>
  <c r="AA600" i="5"/>
  <c r="AA1218" i="5"/>
  <c r="AA1219" i="5"/>
  <c r="AA299" i="5"/>
  <c r="AA180" i="5"/>
  <c r="AA988" i="5"/>
  <c r="AA676" i="5"/>
  <c r="AA420" i="5"/>
  <c r="AA116" i="5"/>
  <c r="AA989" i="5"/>
  <c r="AA545" i="5"/>
  <c r="AA546" i="5"/>
  <c r="AA990" i="5"/>
  <c r="AA339" i="5"/>
  <c r="AA58" i="5"/>
  <c r="AA117" i="5"/>
  <c r="AA907" i="5"/>
  <c r="AA463" i="5"/>
  <c r="AA464" i="5"/>
  <c r="AA254" i="5"/>
  <c r="AA381" i="5"/>
  <c r="AA991" i="5"/>
  <c r="AA465" i="5"/>
  <c r="AA340" i="5"/>
  <c r="AA382" i="5"/>
  <c r="AA59" i="5"/>
  <c r="AA1708" i="5"/>
  <c r="AA1143" i="5"/>
  <c r="AA1144" i="5"/>
  <c r="AA300" i="5"/>
  <c r="AA677" i="5"/>
  <c r="AA255" i="5"/>
  <c r="AA766" i="5"/>
  <c r="AA1220" i="5"/>
  <c r="AA143" i="5"/>
  <c r="AA601" i="5"/>
  <c r="AA1275" i="5"/>
  <c r="AA466" i="5"/>
  <c r="AA678" i="5"/>
  <c r="AA341" i="5"/>
  <c r="AA1145" i="5"/>
  <c r="AA342" i="5"/>
  <c r="AA908" i="5"/>
  <c r="AA1802" i="5"/>
  <c r="AA301" i="5"/>
  <c r="AA1445" i="5"/>
  <c r="AA1446" i="5"/>
  <c r="AA181" i="5"/>
  <c r="AA144" i="5"/>
  <c r="AA118" i="5"/>
  <c r="AA119" i="5"/>
  <c r="AA1709" i="5"/>
  <c r="AA1992" i="5"/>
  <c r="AA1221" i="5"/>
  <c r="AA256" i="5"/>
  <c r="AA1146" i="5"/>
  <c r="AA215" i="5"/>
  <c r="AA1528" i="5"/>
  <c r="AA1147" i="5"/>
  <c r="AA383" i="5"/>
  <c r="AA1074" i="5"/>
  <c r="AA1075" i="5"/>
  <c r="AA547" i="5"/>
  <c r="AA548" i="5"/>
  <c r="AA602" i="5"/>
  <c r="AA909" i="5"/>
  <c r="AA767" i="5"/>
  <c r="AA1371" i="5"/>
  <c r="AA1372" i="5"/>
  <c r="AA1148" i="5"/>
  <c r="AA1322" i="5"/>
  <c r="AA1323" i="5"/>
  <c r="AA1908" i="5"/>
  <c r="AA182" i="5"/>
  <c r="AA1957" i="5"/>
  <c r="AA343" i="5"/>
  <c r="AA145" i="5"/>
  <c r="AA1529" i="5"/>
  <c r="AA1530" i="5"/>
  <c r="AA1222" i="5"/>
  <c r="AA216" i="5"/>
  <c r="AA1858" i="5"/>
  <c r="AA768" i="5"/>
  <c r="AA2085" i="5"/>
  <c r="AA769" i="5"/>
  <c r="AA302" i="5"/>
  <c r="AA1658" i="5"/>
  <c r="AA603" i="5"/>
  <c r="AA1149" i="5"/>
  <c r="AA992" i="5"/>
  <c r="AA303" i="5"/>
  <c r="AA1803" i="5"/>
  <c r="AA1804" i="5"/>
  <c r="AA183" i="5"/>
  <c r="AA1223" i="5"/>
  <c r="AA184" i="5"/>
  <c r="AA185" i="5"/>
  <c r="AA304" i="5"/>
  <c r="AA679" i="5"/>
  <c r="AA467" i="5"/>
  <c r="AA88" i="5"/>
  <c r="AA993" i="5"/>
  <c r="AA217" i="5"/>
  <c r="AA549" i="5"/>
  <c r="AA840" i="5"/>
  <c r="AA146" i="5"/>
  <c r="AA344" i="5"/>
  <c r="AA680" i="5"/>
  <c r="AA604" i="5"/>
  <c r="AA910" i="5"/>
  <c r="AA1150" i="5"/>
  <c r="AA1151" i="5"/>
  <c r="AA218" i="5"/>
  <c r="AA120" i="5"/>
  <c r="AA186" i="5"/>
  <c r="AA911" i="5"/>
  <c r="AA187" i="5"/>
  <c r="AA188" i="5"/>
  <c r="AA468" i="5"/>
  <c r="AA46" i="5"/>
  <c r="AA681" i="5"/>
  <c r="AA682" i="5"/>
  <c r="AA841" i="5"/>
  <c r="AA842" i="5"/>
  <c r="AA219" i="5"/>
  <c r="AA220" i="5"/>
  <c r="AA770" i="5"/>
  <c r="AA1659" i="5"/>
  <c r="AA1152" i="5"/>
  <c r="AA1276" i="5"/>
  <c r="AA1277" i="5"/>
  <c r="AA221" i="5"/>
  <c r="AA189" i="5"/>
  <c r="AA345" i="5"/>
  <c r="AA384" i="5"/>
  <c r="AA385" i="5"/>
  <c r="AA843" i="5"/>
  <c r="AA1278" i="5"/>
  <c r="AA421" i="5"/>
  <c r="AA257" i="5"/>
  <c r="AA912" i="5"/>
  <c r="AA60" i="5"/>
  <c r="AA61" i="5"/>
  <c r="AA62" i="5"/>
  <c r="AA258" i="5"/>
  <c r="AA1076" i="5"/>
  <c r="AA29" i="5"/>
  <c r="AA1487" i="5"/>
  <c r="AA1488" i="5"/>
  <c r="AA1710" i="5"/>
  <c r="AA1711" i="5"/>
  <c r="AA1712" i="5"/>
  <c r="AA1224" i="5"/>
  <c r="AA346" i="5"/>
  <c r="AA844" i="5"/>
  <c r="AA89" i="5"/>
  <c r="AA63" i="5"/>
  <c r="AA147" i="5"/>
  <c r="AA64" i="5"/>
  <c r="AA222" i="5"/>
  <c r="AA2198" i="5"/>
  <c r="AA469" i="5"/>
  <c r="AA683" i="5"/>
  <c r="AA90" i="5"/>
  <c r="AA771" i="5"/>
  <c r="AA550" i="5"/>
  <c r="AA148" i="5"/>
  <c r="AA30" i="5"/>
  <c r="AA684" i="5"/>
  <c r="AA1660" i="5"/>
  <c r="AA1661" i="5"/>
  <c r="AA551" i="5"/>
  <c r="AA772" i="5"/>
  <c r="AA685" i="5"/>
  <c r="AA1613" i="5"/>
  <c r="AA2114" i="5"/>
  <c r="AA470" i="5"/>
  <c r="AA1077" i="5"/>
  <c r="AA223" i="5"/>
  <c r="AA552" i="5"/>
  <c r="AA259" i="5"/>
  <c r="AA260" i="5"/>
  <c r="AA121" i="5"/>
  <c r="AA65" i="5"/>
  <c r="AA471" i="5"/>
  <c r="AA422" i="5"/>
  <c r="AA472" i="5"/>
  <c r="AA1859" i="5"/>
  <c r="AA122" i="5"/>
  <c r="AA261" i="5"/>
  <c r="AA1153" i="5"/>
  <c r="AA1154" i="5"/>
  <c r="AA473" i="5"/>
  <c r="AA474" i="5"/>
  <c r="AA31" i="5"/>
  <c r="AA423" i="5"/>
  <c r="AA1764" i="5"/>
  <c r="AA149" i="5"/>
  <c r="AA2086" i="5"/>
  <c r="AA1531" i="5"/>
  <c r="AA190" i="5"/>
  <c r="AA686" i="5"/>
  <c r="AA262" i="5"/>
  <c r="AA1860" i="5"/>
  <c r="AA424" i="5"/>
  <c r="AA5" i="5"/>
  <c r="AA994" i="5"/>
  <c r="AA1225" i="5"/>
  <c r="AA123" i="5"/>
  <c r="AA1662" i="5"/>
  <c r="AA687" i="5"/>
  <c r="AA475" i="5"/>
  <c r="AA1155" i="5"/>
  <c r="AA2043" i="5"/>
  <c r="AA688" i="5"/>
  <c r="AA553" i="5"/>
  <c r="AA773" i="5"/>
  <c r="AA263" i="5"/>
  <c r="AA91" i="5"/>
  <c r="AA92" i="5"/>
  <c r="AA93" i="5"/>
  <c r="AA1078" i="5"/>
  <c r="AA913" i="5"/>
  <c r="AA689" i="5"/>
  <c r="AA94" i="5"/>
  <c r="AA191" i="5"/>
  <c r="AA2044" i="5"/>
  <c r="AA47" i="5"/>
  <c r="AA914" i="5"/>
  <c r="AA774" i="5"/>
  <c r="AA690" i="5"/>
  <c r="AA691" i="5"/>
  <c r="AA554" i="5"/>
  <c r="AA476" i="5"/>
  <c r="AA477" i="5"/>
  <c r="AA224" i="5"/>
  <c r="AA192" i="5"/>
  <c r="AA150" i="5"/>
  <c r="AA32" i="5"/>
  <c r="AA6" i="5"/>
  <c r="AA1373" i="5"/>
  <c r="AA1805" i="5"/>
  <c r="AA347" i="5"/>
  <c r="AA2115" i="5"/>
  <c r="AA692" i="5"/>
  <c r="AA1447" i="5"/>
  <c r="AA1226" i="5"/>
  <c r="AA1532" i="5"/>
  <c r="AA915" i="5"/>
  <c r="AA478" i="5"/>
  <c r="AA1079" i="5"/>
  <c r="Z1080" i="5"/>
  <c r="Z775" i="5"/>
  <c r="Z555" i="5"/>
  <c r="Z264" i="5"/>
  <c r="Z1614" i="5"/>
  <c r="Z1615" i="5"/>
  <c r="Z556" i="5"/>
  <c r="Z48" i="5"/>
  <c r="Z386" i="5"/>
  <c r="Z12" i="5"/>
  <c r="Z124" i="5"/>
  <c r="Z1157" i="5"/>
  <c r="Z2045" i="5"/>
  <c r="Z1713" i="5"/>
  <c r="Z1958" i="5"/>
  <c r="Z1959" i="5"/>
  <c r="Z1081" i="5"/>
  <c r="Z1909" i="5"/>
  <c r="Z2220" i="5"/>
  <c r="Z845" i="5"/>
  <c r="Z151" i="5"/>
  <c r="Z20" i="5"/>
  <c r="Z1616" i="5"/>
  <c r="Z193" i="5"/>
  <c r="Z265" i="5"/>
  <c r="Z2145" i="5"/>
  <c r="Z693" i="5"/>
  <c r="Z152" i="5"/>
  <c r="Z2166" i="5"/>
  <c r="Z995" i="5"/>
  <c r="Z1806" i="5"/>
  <c r="Z49" i="5"/>
  <c r="Z348" i="5"/>
  <c r="Z1910" i="5"/>
  <c r="Z2146" i="5"/>
  <c r="Z1082" i="5"/>
  <c r="Z266" i="5"/>
  <c r="Z33" i="5"/>
  <c r="Z34" i="5"/>
  <c r="Z1807" i="5"/>
  <c r="Z425" i="5"/>
  <c r="Z35" i="5"/>
  <c r="Z95" i="5"/>
  <c r="Z1808" i="5"/>
  <c r="Z225" i="5"/>
  <c r="Z36" i="5"/>
  <c r="Z846" i="5"/>
  <c r="Z267" i="5"/>
  <c r="Z1324" i="5"/>
  <c r="Z1663" i="5"/>
  <c r="Z1617" i="5"/>
  <c r="Z66" i="5"/>
  <c r="Z1579" i="5"/>
  <c r="Z349" i="5"/>
  <c r="Z426" i="5"/>
  <c r="Z479" i="5"/>
  <c r="Z1664" i="5"/>
  <c r="Z1665" i="5"/>
  <c r="Z96" i="5"/>
  <c r="Z1618" i="5"/>
  <c r="Z1666" i="5"/>
  <c r="Z268" i="5"/>
  <c r="Z350" i="5"/>
  <c r="Z21" i="5"/>
  <c r="Z996" i="5"/>
  <c r="Z916" i="5"/>
  <c r="Z917" i="5"/>
  <c r="Z694" i="5"/>
  <c r="Z1911" i="5"/>
  <c r="Z2046" i="5"/>
  <c r="Z269" i="5"/>
  <c r="Z1580" i="5"/>
  <c r="Z1809" i="5"/>
  <c r="Z1325" i="5"/>
  <c r="Z1534" i="5"/>
  <c r="Z37" i="5"/>
  <c r="Z847" i="5"/>
  <c r="Z480" i="5"/>
  <c r="Z67" i="5"/>
  <c r="Z1535" i="5"/>
  <c r="Z1536" i="5"/>
  <c r="Z427" i="5"/>
  <c r="Z1912" i="5"/>
  <c r="Z1448" i="5"/>
  <c r="Z605" i="5"/>
  <c r="Z1714" i="5"/>
  <c r="Z1993" i="5"/>
  <c r="Z557" i="5"/>
  <c r="Z1960" i="5"/>
  <c r="Z918" i="5"/>
  <c r="Z919" i="5"/>
  <c r="Z1581" i="5"/>
  <c r="Z1083" i="5"/>
  <c r="Z1374" i="5"/>
  <c r="Z1375" i="5"/>
  <c r="Z1994" i="5"/>
  <c r="Z1715" i="5"/>
  <c r="Z97" i="5"/>
  <c r="Z98" i="5"/>
  <c r="Z695" i="5"/>
  <c r="Z305" i="5"/>
  <c r="Z306" i="5"/>
  <c r="Z1810" i="5"/>
  <c r="Z848" i="5"/>
  <c r="Z776" i="5"/>
  <c r="Z1995" i="5"/>
  <c r="Z1996" i="5"/>
  <c r="Z1997" i="5"/>
  <c r="Z2147" i="5"/>
  <c r="Z696" i="5"/>
  <c r="Z697" i="5"/>
  <c r="Z2148" i="5"/>
  <c r="Z1537" i="5"/>
  <c r="Z1227" i="5"/>
  <c r="Z22" i="5"/>
  <c r="Z153" i="5"/>
  <c r="Z920" i="5"/>
  <c r="Z1084" i="5"/>
  <c r="Z7" i="5"/>
  <c r="Z1619" i="5"/>
  <c r="Z921" i="5"/>
  <c r="Z777" i="5"/>
  <c r="Z154" i="5"/>
  <c r="Z1376" i="5"/>
  <c r="Z2182" i="5"/>
  <c r="Z2183" i="5"/>
  <c r="Z226" i="5"/>
  <c r="Z2207" i="5"/>
  <c r="Z2184" i="5"/>
  <c r="Z1998" i="5"/>
  <c r="Z778" i="5"/>
  <c r="Z558" i="5"/>
  <c r="Z1667" i="5"/>
  <c r="Z1538" i="5"/>
  <c r="Z1620" i="5"/>
  <c r="Z387" i="5"/>
  <c r="Z2087" i="5"/>
  <c r="Z1326" i="5"/>
  <c r="Z1861" i="5"/>
  <c r="Z1765" i="5"/>
  <c r="Z1766" i="5"/>
  <c r="Z155" i="5"/>
  <c r="Z1582" i="5"/>
  <c r="Z559" i="5"/>
  <c r="Z1449" i="5"/>
  <c r="Z481" i="5"/>
  <c r="Z1539" i="5"/>
  <c r="Z1085" i="5"/>
  <c r="Z2149" i="5"/>
  <c r="Z2150" i="5"/>
  <c r="Z270" i="5"/>
  <c r="Z1767" i="5"/>
  <c r="Z1583" i="5"/>
  <c r="Z1540" i="5"/>
  <c r="Z606" i="5"/>
  <c r="Z1621" i="5"/>
  <c r="Z1999" i="5"/>
  <c r="Z388" i="5"/>
  <c r="Z389" i="5"/>
  <c r="Z2116" i="5"/>
  <c r="Z271" i="5"/>
  <c r="Z1158" i="5"/>
  <c r="Z2167" i="5"/>
  <c r="Z1279" i="5"/>
  <c r="Z125" i="5"/>
  <c r="Z126" i="5"/>
  <c r="Z1716" i="5"/>
  <c r="Z1489" i="5"/>
  <c r="Z1450" i="5"/>
  <c r="Z68" i="5"/>
  <c r="Z69" i="5"/>
  <c r="Z1086" i="5"/>
  <c r="Z698" i="5"/>
  <c r="Z1377" i="5"/>
  <c r="Z1378" i="5"/>
  <c r="Z2168" i="5"/>
  <c r="Z1717" i="5"/>
  <c r="Z1668" i="5"/>
  <c r="Z1159" i="5"/>
  <c r="Z1584" i="5"/>
  <c r="Z156" i="5"/>
  <c r="Z2047" i="5"/>
  <c r="Z1961" i="5"/>
  <c r="Z2088" i="5"/>
  <c r="Z1718" i="5"/>
  <c r="Z1490" i="5"/>
  <c r="Z13" i="5"/>
  <c r="Z8" i="5"/>
  <c r="Z2208" i="5"/>
  <c r="Z997" i="5"/>
  <c r="Z998" i="5"/>
  <c r="Z699" i="5"/>
  <c r="Z1327" i="5"/>
  <c r="Z1862" i="5"/>
  <c r="Z2117" i="5"/>
  <c r="Z1087" i="5"/>
  <c r="Z1863" i="5"/>
  <c r="Z2209" i="5"/>
  <c r="Z700" i="5"/>
  <c r="Z157" i="5"/>
  <c r="Z922" i="5"/>
  <c r="Z923" i="5"/>
  <c r="Z14" i="5"/>
  <c r="Z1491" i="5"/>
  <c r="Z1492" i="5"/>
  <c r="Z1913" i="5"/>
  <c r="Z390" i="5"/>
  <c r="Z1328" i="5"/>
  <c r="Z607" i="5"/>
  <c r="Z924" i="5"/>
  <c r="Z307" i="5"/>
  <c r="Z1914" i="5"/>
  <c r="Z1669" i="5"/>
  <c r="Z1719" i="5"/>
  <c r="Z1864" i="5"/>
  <c r="Z1720" i="5"/>
  <c r="Z1160" i="5"/>
  <c r="Z608" i="5"/>
  <c r="Z779" i="5"/>
  <c r="Z227" i="5"/>
  <c r="Z849" i="5"/>
  <c r="Z850" i="5"/>
  <c r="Z1622" i="5"/>
  <c r="Z158" i="5"/>
  <c r="Z1811" i="5"/>
  <c r="Z1088" i="5"/>
  <c r="Z1585" i="5"/>
  <c r="Z15" i="5"/>
  <c r="Z701" i="5"/>
  <c r="Z702" i="5"/>
  <c r="Z1280" i="5"/>
  <c r="Z1281" i="5"/>
  <c r="Z1451" i="5"/>
  <c r="Z1721" i="5"/>
  <c r="Z2048" i="5"/>
  <c r="Z999" i="5"/>
  <c r="Z851" i="5"/>
  <c r="Z1452" i="5"/>
  <c r="Z391" i="5"/>
  <c r="Z560" i="5"/>
  <c r="Z272" i="5"/>
  <c r="Z1000" i="5"/>
  <c r="Z1768" i="5"/>
  <c r="Z1089" i="5"/>
  <c r="Z2185" i="5"/>
  <c r="Z1769" i="5"/>
  <c r="Z2049" i="5"/>
  <c r="Z2050" i="5"/>
  <c r="Z1623" i="5"/>
  <c r="Z2151" i="5"/>
  <c r="Z1329" i="5"/>
  <c r="Z609" i="5"/>
  <c r="Z159" i="5"/>
  <c r="Z1670" i="5"/>
  <c r="Z1722" i="5"/>
  <c r="Z99" i="5"/>
  <c r="Z780" i="5"/>
  <c r="Z2169" i="5"/>
  <c r="Z925" i="5"/>
  <c r="Z1001" i="5"/>
  <c r="Z1812" i="5"/>
  <c r="Z926" i="5"/>
  <c r="Z1915" i="5"/>
  <c r="Z351" i="5"/>
  <c r="Z1282" i="5"/>
  <c r="Z1723" i="5"/>
  <c r="Z70" i="5"/>
  <c r="Z1283" i="5"/>
  <c r="Z1284" i="5"/>
  <c r="Z2170" i="5"/>
  <c r="Z1090" i="5"/>
  <c r="Z2000" i="5"/>
  <c r="Z2214" i="5"/>
  <c r="Z482" i="5"/>
  <c r="Z428" i="5"/>
  <c r="Z1671" i="5"/>
  <c r="Z2171" i="5"/>
  <c r="Z1493" i="5"/>
  <c r="Z1228" i="5"/>
  <c r="Z1813" i="5"/>
  <c r="Z392" i="5"/>
  <c r="Z1379" i="5"/>
  <c r="Z429" i="5"/>
  <c r="Z430" i="5"/>
  <c r="Z1770" i="5"/>
  <c r="Z1494" i="5"/>
  <c r="Z2152" i="5"/>
  <c r="Z927" i="5"/>
  <c r="Z1624" i="5"/>
  <c r="Z2001" i="5"/>
  <c r="Z1865" i="5"/>
  <c r="Z2118" i="5"/>
  <c r="Z1285" i="5"/>
  <c r="Z2089" i="5"/>
  <c r="Z1380" i="5"/>
  <c r="Z1916" i="5"/>
  <c r="Z1161" i="5"/>
  <c r="Z273" i="5"/>
  <c r="Z1541" i="5"/>
  <c r="Z703" i="5"/>
  <c r="Z1814" i="5"/>
  <c r="Z704" i="5"/>
  <c r="Z1091" i="5"/>
  <c r="Z1002" i="5"/>
  <c r="Z393" i="5"/>
  <c r="Z1672" i="5"/>
  <c r="Z928" i="5"/>
  <c r="Z2153" i="5"/>
  <c r="Z1542" i="5"/>
  <c r="Z1543" i="5"/>
  <c r="Z705" i="5"/>
  <c r="Z1625" i="5"/>
  <c r="Z1866" i="5"/>
  <c r="Z1229" i="5"/>
  <c r="Z2051" i="5"/>
  <c r="Z2215" i="5"/>
  <c r="Z610" i="5"/>
  <c r="Z127" i="5"/>
  <c r="Z308" i="5"/>
  <c r="Z309" i="5"/>
  <c r="Z352" i="5"/>
  <c r="Z353" i="5"/>
  <c r="Z1162" i="5"/>
  <c r="Z1286" i="5"/>
  <c r="Z781" i="5"/>
  <c r="Z1230" i="5"/>
  <c r="Z431" i="5"/>
  <c r="Z432" i="5"/>
  <c r="Z611" i="5"/>
  <c r="Z483" i="5"/>
  <c r="Z71" i="5"/>
  <c r="Z1092" i="5"/>
  <c r="Z1724" i="5"/>
  <c r="Z561" i="5"/>
  <c r="Z1917" i="5"/>
  <c r="Z1771" i="5"/>
  <c r="Z2002" i="5"/>
  <c r="Z1381" i="5"/>
  <c r="Z1867" i="5"/>
  <c r="Z929" i="5"/>
  <c r="Z1453" i="5"/>
  <c r="Z1725" i="5"/>
  <c r="Z2003" i="5"/>
  <c r="Z2004" i="5"/>
  <c r="Z23" i="5"/>
  <c r="Z1544" i="5"/>
  <c r="Z1673" i="5"/>
  <c r="Z1962" i="5"/>
  <c r="Z612" i="5"/>
  <c r="Z562" i="5"/>
  <c r="Z1163" i="5"/>
  <c r="Z1586" i="5"/>
  <c r="Z1587" i="5"/>
  <c r="Z2119" i="5"/>
  <c r="Z1093" i="5"/>
  <c r="Z1382" i="5"/>
  <c r="Z1868" i="5"/>
  <c r="Z930" i="5"/>
  <c r="Z1918" i="5"/>
  <c r="Z1003" i="5"/>
  <c r="Z2172" i="5"/>
  <c r="Z16" i="5"/>
  <c r="Z17" i="5"/>
  <c r="Z1004" i="5"/>
  <c r="Z1869" i="5"/>
  <c r="Z1726" i="5"/>
  <c r="Z50" i="5"/>
  <c r="Z706" i="5"/>
  <c r="Z707" i="5"/>
  <c r="Z310" i="5"/>
  <c r="Z613" i="5"/>
  <c r="Z128" i="5"/>
  <c r="Z852" i="5"/>
  <c r="Z1963" i="5"/>
  <c r="Z484" i="5"/>
  <c r="Z1772" i="5"/>
  <c r="Z2052" i="5"/>
  <c r="Z1005" i="5"/>
  <c r="Z51" i="5"/>
  <c r="Z1383" i="5"/>
  <c r="Z1231" i="5"/>
  <c r="Z129" i="5"/>
  <c r="Z311" i="5"/>
  <c r="Z1164" i="5"/>
  <c r="Z130" i="5"/>
  <c r="Z228" i="5"/>
  <c r="Z708" i="5"/>
  <c r="Z1626" i="5"/>
  <c r="Z2173" i="5"/>
  <c r="Z2174" i="5"/>
  <c r="Z1495" i="5"/>
  <c r="Z1094" i="5"/>
  <c r="Z1095" i="5"/>
  <c r="Z1870" i="5"/>
  <c r="Z1727" i="5"/>
  <c r="Z194" i="5"/>
  <c r="Z1545" i="5"/>
  <c r="Z1165" i="5"/>
  <c r="Z2120" i="5"/>
  <c r="Z1871" i="5"/>
  <c r="Z1872" i="5"/>
  <c r="Z229" i="5"/>
  <c r="Z1919" i="5"/>
  <c r="Z931" i="5"/>
  <c r="Z1166" i="5"/>
  <c r="Z18" i="5"/>
  <c r="Z614" i="5"/>
  <c r="Z615" i="5"/>
  <c r="Z2121" i="5"/>
  <c r="Z2053" i="5"/>
  <c r="Z1006" i="5"/>
  <c r="Z2005" i="5"/>
  <c r="Z1546" i="5"/>
  <c r="Z1384" i="5"/>
  <c r="Z485" i="5"/>
  <c r="Z563" i="5"/>
  <c r="Z782" i="5"/>
  <c r="Z1920" i="5"/>
  <c r="Z1921" i="5"/>
  <c r="Z354" i="5"/>
  <c r="Z433" i="5"/>
  <c r="Z2122" i="5"/>
  <c r="Z1547" i="5"/>
  <c r="Z1007" i="5"/>
  <c r="Z2054" i="5"/>
  <c r="Z1728" i="5"/>
  <c r="Z160" i="5"/>
  <c r="Z161" i="5"/>
  <c r="Z1815" i="5"/>
  <c r="Z564" i="5"/>
  <c r="Z312" i="5"/>
  <c r="Z313" i="5"/>
  <c r="Z486" i="5"/>
  <c r="Z1008" i="5"/>
  <c r="Z1009" i="5"/>
  <c r="Z1674" i="5"/>
  <c r="Z1729" i="5"/>
  <c r="Z1548" i="5"/>
  <c r="Z434" i="5"/>
  <c r="Z1385" i="5"/>
  <c r="Z2200" i="5"/>
  <c r="Z1010" i="5"/>
  <c r="Z1386" i="5"/>
  <c r="Z783" i="5"/>
  <c r="Z1549" i="5"/>
  <c r="Z487" i="5"/>
  <c r="Z1816" i="5"/>
  <c r="Z1675" i="5"/>
  <c r="Z1676" i="5"/>
  <c r="Z1387" i="5"/>
  <c r="Z616" i="5"/>
  <c r="Z1677" i="5"/>
  <c r="Z9" i="5"/>
  <c r="Z853" i="5"/>
  <c r="Z1773" i="5"/>
  <c r="Z2055" i="5"/>
  <c r="Z488" i="5"/>
  <c r="Z1627" i="5"/>
  <c r="Z195" i="5"/>
  <c r="Z932" i="5"/>
  <c r="Z1388" i="5"/>
  <c r="Z1389" i="5"/>
  <c r="Z617" i="5"/>
  <c r="Z1011" i="5"/>
  <c r="Z1287" i="5"/>
  <c r="Z394" i="5"/>
  <c r="Z2056" i="5"/>
  <c r="Z1232" i="5"/>
  <c r="Z1330" i="5"/>
  <c r="Z2154" i="5"/>
  <c r="Z1288" i="5"/>
  <c r="Z230" i="5"/>
  <c r="Z1873" i="5"/>
  <c r="Z1096" i="5"/>
  <c r="Z196" i="5"/>
  <c r="Z197" i="5"/>
  <c r="Z1233" i="5"/>
  <c r="Z2006" i="5"/>
  <c r="Z19" i="5"/>
  <c r="Z1964" i="5"/>
  <c r="Z489" i="5"/>
  <c r="Z1922" i="5"/>
  <c r="Z618" i="5"/>
  <c r="Z2201" i="5"/>
  <c r="Z435" i="5"/>
  <c r="Z2175" i="5"/>
  <c r="Z709" i="5"/>
  <c r="Z1331" i="5"/>
  <c r="Z619" i="5"/>
  <c r="Z620" i="5"/>
  <c r="Z2123" i="5"/>
  <c r="Z274" i="5"/>
  <c r="Z933" i="5"/>
  <c r="Z1167" i="5"/>
  <c r="Z1390" i="5"/>
  <c r="Z1923" i="5"/>
  <c r="Z314" i="5"/>
  <c r="Z315" i="5"/>
  <c r="Z1391" i="5"/>
  <c r="Z1454" i="5"/>
  <c r="Z1012" i="5"/>
  <c r="Z1168" i="5"/>
  <c r="Z1392" i="5"/>
  <c r="Z162" i="5"/>
  <c r="Z2007" i="5"/>
  <c r="Z1332" i="5"/>
  <c r="Z2202" i="5"/>
  <c r="Z784" i="5"/>
  <c r="Z2057" i="5"/>
  <c r="Z1234" i="5"/>
  <c r="Z395" i="5"/>
  <c r="Z1550" i="5"/>
  <c r="Z3" i="5"/>
  <c r="Z275" i="5"/>
  <c r="Z396" i="5"/>
  <c r="Z1169" i="5"/>
  <c r="Z854" i="5"/>
  <c r="Z565" i="5"/>
  <c r="Z2124" i="5"/>
  <c r="Z710" i="5"/>
  <c r="Z1965" i="5"/>
  <c r="Z1393" i="5"/>
  <c r="Z1817" i="5"/>
  <c r="Z934" i="5"/>
  <c r="Z2008" i="5"/>
  <c r="Z1394" i="5"/>
  <c r="Z1395" i="5"/>
  <c r="Z316" i="5"/>
  <c r="Z317" i="5"/>
  <c r="Z2125" i="5"/>
  <c r="Z1730" i="5"/>
  <c r="Z1097" i="5"/>
  <c r="Z1098" i="5"/>
  <c r="Z1333" i="5"/>
  <c r="Z1099" i="5"/>
  <c r="Z1678" i="5"/>
  <c r="Z1289" i="5"/>
  <c r="Z1170" i="5"/>
  <c r="Z1171" i="5"/>
  <c r="Z38" i="5"/>
  <c r="Z39" i="5"/>
  <c r="Z2186" i="5"/>
  <c r="Z100" i="5"/>
  <c r="Z101" i="5"/>
  <c r="Z318" i="5"/>
  <c r="Z102" i="5"/>
  <c r="Z103" i="5"/>
  <c r="Z1172" i="5"/>
  <c r="Z2" i="5"/>
  <c r="Z621" i="5"/>
  <c r="Z785" i="5"/>
  <c r="Z1455" i="5"/>
  <c r="Z1731" i="5"/>
  <c r="Z436" i="5"/>
  <c r="Z1774" i="5"/>
  <c r="Z1456" i="5"/>
  <c r="Z40" i="5"/>
  <c r="Z1496" i="5"/>
  <c r="Z1497" i="5"/>
  <c r="Z2176" i="5"/>
  <c r="Z490" i="5"/>
  <c r="Z2126" i="5"/>
  <c r="Z2127" i="5"/>
  <c r="Z711" i="5"/>
  <c r="Z1679" i="5"/>
  <c r="Z1628" i="5"/>
  <c r="Z2058" i="5"/>
  <c r="Z131" i="5"/>
  <c r="Z104" i="5"/>
  <c r="Z105" i="5"/>
  <c r="Z1100" i="5"/>
  <c r="Z397" i="5"/>
  <c r="Z2177" i="5"/>
  <c r="Z786" i="5"/>
  <c r="Z787" i="5"/>
  <c r="Z788" i="5"/>
  <c r="Z2009" i="5"/>
  <c r="Z855" i="5"/>
  <c r="Z132" i="5"/>
  <c r="Z1101" i="5"/>
  <c r="Z1102" i="5"/>
  <c r="Z2059" i="5"/>
  <c r="Z1173" i="5"/>
  <c r="Z1103" i="5"/>
  <c r="Z4" i="5"/>
  <c r="Z1290" i="5"/>
  <c r="Z1334" i="5"/>
  <c r="Z1732" i="5"/>
  <c r="Z1874" i="5"/>
  <c r="Z1818" i="5"/>
  <c r="Z1966" i="5"/>
  <c r="Z2060" i="5"/>
  <c r="Z491" i="5"/>
  <c r="Z1924" i="5"/>
  <c r="Z72" i="5"/>
  <c r="Z106" i="5"/>
  <c r="Z1733" i="5"/>
  <c r="Z2187" i="5"/>
  <c r="Z2188" i="5"/>
  <c r="Z1291" i="5"/>
  <c r="Z1104" i="5"/>
  <c r="Z1775" i="5"/>
  <c r="Z319" i="5"/>
  <c r="Z320" i="5"/>
  <c r="Z712" i="5"/>
  <c r="Z1776" i="5"/>
  <c r="Z1174" i="5"/>
  <c r="Z1551" i="5"/>
  <c r="Z198" i="5"/>
  <c r="Z1396" i="5"/>
  <c r="Z1175" i="5"/>
  <c r="Z622" i="5"/>
  <c r="Z1875" i="5"/>
  <c r="Z1588" i="5"/>
  <c r="Z2155" i="5"/>
  <c r="Z492" i="5"/>
  <c r="Z493" i="5"/>
  <c r="Z1819" i="5"/>
  <c r="Z1498" i="5"/>
  <c r="Z1013" i="5"/>
  <c r="Z1397" i="5"/>
  <c r="Z2189" i="5"/>
  <c r="Z1777" i="5"/>
  <c r="Z2178" i="5"/>
  <c r="Z623" i="5"/>
  <c r="Z1105" i="5"/>
  <c r="Z2203" i="5"/>
  <c r="Z494" i="5"/>
  <c r="Z1335" i="5"/>
  <c r="Z1014" i="5"/>
  <c r="Z1292" i="5"/>
  <c r="Z1876" i="5"/>
  <c r="Z1176" i="5"/>
  <c r="Z1398" i="5"/>
  <c r="Z1106" i="5"/>
  <c r="Z935" i="5"/>
  <c r="Z1629" i="5"/>
  <c r="Z936" i="5"/>
  <c r="Z937" i="5"/>
  <c r="Z624" i="5"/>
  <c r="Z789" i="5"/>
  <c r="Z1967" i="5"/>
  <c r="Z1457" i="5"/>
  <c r="Z1458" i="5"/>
  <c r="Z1680" i="5"/>
  <c r="Z1734" i="5"/>
  <c r="Z1778" i="5"/>
  <c r="Z1779" i="5"/>
  <c r="Z1780" i="5"/>
  <c r="Z790" i="5"/>
  <c r="Z231" i="5"/>
  <c r="Z791" i="5"/>
  <c r="Z856" i="5"/>
  <c r="Z1925" i="5"/>
  <c r="Z1926" i="5"/>
  <c r="Z1552" i="5"/>
  <c r="Z857" i="5"/>
  <c r="Z398" i="5"/>
  <c r="Z2210" i="5"/>
  <c r="Z1399" i="5"/>
  <c r="Z1877" i="5"/>
  <c r="Z1735" i="5"/>
  <c r="Z1177" i="5"/>
  <c r="Z321" i="5"/>
  <c r="Z1736" i="5"/>
  <c r="Z713" i="5"/>
  <c r="Z625" i="5"/>
  <c r="Z626" i="5"/>
  <c r="Z1293" i="5"/>
  <c r="Z2216" i="5"/>
  <c r="Z1681" i="5"/>
  <c r="Z1737" i="5"/>
  <c r="Z2061" i="5"/>
  <c r="Z627" i="5"/>
  <c r="Z2090" i="5"/>
  <c r="Z1820" i="5"/>
  <c r="Z1821" i="5"/>
  <c r="Z1781" i="5"/>
  <c r="Z2010" i="5"/>
  <c r="Z495" i="5"/>
  <c r="Z1015" i="5"/>
  <c r="Z1016" i="5"/>
  <c r="Z1107" i="5"/>
  <c r="Z1235" i="5"/>
  <c r="Z1927" i="5"/>
  <c r="Z52" i="5"/>
  <c r="Z1968" i="5"/>
  <c r="Z1928" i="5"/>
  <c r="Z938" i="5"/>
  <c r="Z73" i="5"/>
  <c r="Z1108" i="5"/>
  <c r="Z199" i="5"/>
  <c r="Z1589" i="5"/>
  <c r="Z1590" i="5"/>
  <c r="Z1499" i="5"/>
  <c r="Z1400" i="5"/>
  <c r="Z1459" i="5"/>
  <c r="Z1969" i="5"/>
  <c r="Z1460" i="5"/>
  <c r="Z1822" i="5"/>
  <c r="Z2190" i="5"/>
  <c r="Z2191" i="5"/>
  <c r="Z2011" i="5"/>
  <c r="Z792" i="5"/>
  <c r="Z1461" i="5"/>
  <c r="Z1236" i="5"/>
  <c r="Z1823" i="5"/>
  <c r="Z1824" i="5"/>
  <c r="Z1553" i="5"/>
  <c r="Z496" i="5"/>
  <c r="Z1237" i="5"/>
  <c r="Z1238" i="5"/>
  <c r="Z1239" i="5"/>
  <c r="Z1336" i="5"/>
  <c r="Z1337" i="5"/>
  <c r="Z437" i="5"/>
  <c r="Z497" i="5"/>
  <c r="Z498" i="5"/>
  <c r="Z1109" i="5"/>
  <c r="Z1929" i="5"/>
  <c r="Z858" i="5"/>
  <c r="Z1462" i="5"/>
  <c r="Z1630" i="5"/>
  <c r="Z1631" i="5"/>
  <c r="Z1591" i="5"/>
  <c r="Z1592" i="5"/>
  <c r="Z2204" i="5"/>
  <c r="Z1294" i="5"/>
  <c r="Z322" i="5"/>
  <c r="Z24" i="5"/>
  <c r="Z793" i="5"/>
  <c r="Z794" i="5"/>
  <c r="Z2091" i="5"/>
  <c r="Z1682" i="5"/>
  <c r="Z2012" i="5"/>
  <c r="Z399" i="5"/>
  <c r="Z1295" i="5"/>
  <c r="Z1878" i="5"/>
  <c r="Z1879" i="5"/>
  <c r="Z1463" i="5"/>
  <c r="Z1178" i="5"/>
  <c r="Z163" i="5"/>
  <c r="Z1683" i="5"/>
  <c r="Z2205" i="5"/>
  <c r="Z2128" i="5"/>
  <c r="Z2129" i="5"/>
  <c r="Z1930" i="5"/>
  <c r="Z1931" i="5"/>
  <c r="Z1632" i="5"/>
  <c r="Z1633" i="5"/>
  <c r="Z1179" i="5"/>
  <c r="Z1401" i="5"/>
  <c r="Z939" i="5"/>
  <c r="Z1402" i="5"/>
  <c r="Z1932" i="5"/>
  <c r="Z1933" i="5"/>
  <c r="Z1554" i="5"/>
  <c r="Z1970" i="5"/>
  <c r="Z1880" i="5"/>
  <c r="Z1296" i="5"/>
  <c r="Z1825" i="5"/>
  <c r="Z438" i="5"/>
  <c r="Z1110" i="5"/>
  <c r="Z1111" i="5"/>
  <c r="Z1684" i="5"/>
  <c r="Z2013" i="5"/>
  <c r="Z2014" i="5"/>
  <c r="Z940" i="5"/>
  <c r="Z1634" i="5"/>
  <c r="Z1782" i="5"/>
  <c r="Z1180" i="5"/>
  <c r="Z2192" i="5"/>
  <c r="Z628" i="5"/>
  <c r="Z1826" i="5"/>
  <c r="Z941" i="5"/>
  <c r="Z2015" i="5"/>
  <c r="Z566" i="5"/>
  <c r="Z1593" i="5"/>
  <c r="Z795" i="5"/>
  <c r="Z714" i="5"/>
  <c r="Z1112" i="5"/>
  <c r="Z1464" i="5"/>
  <c r="Z439" i="5"/>
  <c r="Z440" i="5"/>
  <c r="Z2016" i="5"/>
  <c r="Z1465" i="5"/>
  <c r="Z1594" i="5"/>
  <c r="Z133" i="5"/>
  <c r="Z1113" i="5"/>
  <c r="Z1240" i="5"/>
  <c r="Z41" i="5"/>
  <c r="Z1403" i="5"/>
  <c r="Z1404" i="5"/>
  <c r="Z2156" i="5"/>
  <c r="Z715" i="5"/>
  <c r="Z323" i="5"/>
  <c r="Z499" i="5"/>
  <c r="Z1738" i="5"/>
  <c r="Z1241" i="5"/>
  <c r="Z1338" i="5"/>
  <c r="Z1339" i="5"/>
  <c r="Z1881" i="5"/>
  <c r="Z1971" i="5"/>
  <c r="Z1685" i="5"/>
  <c r="Z1297" i="5"/>
  <c r="Z1114" i="5"/>
  <c r="Z1686" i="5"/>
  <c r="Z1739" i="5"/>
  <c r="Z629" i="5"/>
  <c r="Z400" i="5"/>
  <c r="Z2017" i="5"/>
  <c r="Z716" i="5"/>
  <c r="Z2092" i="5"/>
  <c r="Z1466" i="5"/>
  <c r="Z1340" i="5"/>
  <c r="Z441" i="5"/>
  <c r="Z1827" i="5"/>
  <c r="Z2062" i="5"/>
  <c r="Z232" i="5"/>
  <c r="Z717" i="5"/>
  <c r="Z1467" i="5"/>
  <c r="Z1017" i="5"/>
  <c r="Z718" i="5"/>
  <c r="Z1595" i="5"/>
  <c r="Z1596" i="5"/>
  <c r="Z1018" i="5"/>
  <c r="Z1019" i="5"/>
  <c r="Z630" i="5"/>
  <c r="Z442" i="5"/>
  <c r="Z443" i="5"/>
  <c r="Z859" i="5"/>
  <c r="Z1828" i="5"/>
  <c r="Z860" i="5"/>
  <c r="Z2157" i="5"/>
  <c r="Z500" i="5"/>
  <c r="Z1405" i="5"/>
  <c r="Z444" i="5"/>
  <c r="Z796" i="5"/>
  <c r="Z1934" i="5"/>
  <c r="Z631" i="5"/>
  <c r="Z942" i="5"/>
  <c r="Z1882" i="5"/>
  <c r="Z1115" i="5"/>
  <c r="Z943" i="5"/>
  <c r="Z1883" i="5"/>
  <c r="Z632" i="5"/>
  <c r="Z1406" i="5"/>
  <c r="Z1407" i="5"/>
  <c r="Z944" i="5"/>
  <c r="Z567" i="5"/>
  <c r="Z1408" i="5"/>
  <c r="Z945" i="5"/>
  <c r="Z719" i="5"/>
  <c r="Z2093" i="5"/>
  <c r="Z1555" i="5"/>
  <c r="Z2063" i="5"/>
  <c r="Z2064" i="5"/>
  <c r="Z2018" i="5"/>
  <c r="Z1972" i="5"/>
  <c r="Z1468" i="5"/>
  <c r="Z2094" i="5"/>
  <c r="Z2095" i="5"/>
  <c r="Z1556" i="5"/>
  <c r="Z1298" i="5"/>
  <c r="Z1597" i="5"/>
  <c r="Z1935" i="5"/>
  <c r="Z1299" i="5"/>
  <c r="Z74" i="5"/>
  <c r="Z1687" i="5"/>
  <c r="Z861" i="5"/>
  <c r="Z1181" i="5"/>
  <c r="Z1829" i="5"/>
  <c r="Z1116" i="5"/>
  <c r="Z1409" i="5"/>
  <c r="Z355" i="5"/>
  <c r="Z1830" i="5"/>
  <c r="Z1557" i="5"/>
  <c r="Z1558" i="5"/>
  <c r="Z2130" i="5"/>
  <c r="Z633" i="5"/>
  <c r="Z324" i="5"/>
  <c r="Z1242" i="5"/>
  <c r="Z1243" i="5"/>
  <c r="Z1469" i="5"/>
  <c r="Z797" i="5"/>
  <c r="Z1884" i="5"/>
  <c r="Z1559" i="5"/>
  <c r="Z1635" i="5"/>
  <c r="Z1973" i="5"/>
  <c r="Z1020" i="5"/>
  <c r="Z720" i="5"/>
  <c r="Z721" i="5"/>
  <c r="Z1470" i="5"/>
  <c r="Z356" i="5"/>
  <c r="Z1885" i="5"/>
  <c r="Z2065" i="5"/>
  <c r="Z1783" i="5"/>
  <c r="Z1831" i="5"/>
  <c r="Z1688" i="5"/>
  <c r="Z1182" i="5"/>
  <c r="Z445" i="5"/>
  <c r="Z1560" i="5"/>
  <c r="Z1886" i="5"/>
  <c r="Z1689" i="5"/>
  <c r="Z568" i="5"/>
  <c r="Z325" i="5"/>
  <c r="Z1410" i="5"/>
  <c r="Z862" i="5"/>
  <c r="Z501" i="5"/>
  <c r="Z1341" i="5"/>
  <c r="Z1936" i="5"/>
  <c r="Z1183" i="5"/>
  <c r="Z1342" i="5"/>
  <c r="Z1117" i="5"/>
  <c r="Z446" i="5"/>
  <c r="Z2066" i="5"/>
  <c r="Z2217" i="5"/>
  <c r="Z1021" i="5"/>
  <c r="Z722" i="5"/>
  <c r="Z1937" i="5"/>
  <c r="Z447" i="5"/>
  <c r="Z2067" i="5"/>
  <c r="Z1500" i="5"/>
  <c r="Z2019" i="5"/>
  <c r="Z1411" i="5"/>
  <c r="Z1343" i="5"/>
  <c r="Z1300" i="5"/>
  <c r="Z946" i="5"/>
  <c r="Z502" i="5"/>
  <c r="Z1244" i="5"/>
  <c r="Z863" i="5"/>
  <c r="Z134" i="5"/>
  <c r="Z1598" i="5"/>
  <c r="Z947" i="5"/>
  <c r="Z1599" i="5"/>
  <c r="Z2096" i="5"/>
  <c r="Z723" i="5"/>
  <c r="Z357" i="5"/>
  <c r="Z1412" i="5"/>
  <c r="Z1413" i="5"/>
  <c r="Z634" i="5"/>
  <c r="Z358" i="5"/>
  <c r="Z1022" i="5"/>
  <c r="Z1184" i="5"/>
  <c r="Z1185" i="5"/>
  <c r="Z448" i="5"/>
  <c r="Z948" i="5"/>
  <c r="Z798" i="5"/>
  <c r="Z569" i="5"/>
  <c r="Z1301" i="5"/>
  <c r="Z724" i="5"/>
  <c r="Z2097" i="5"/>
  <c r="Z2098" i="5"/>
  <c r="Z1245" i="5"/>
  <c r="Z359" i="5"/>
  <c r="Z360" i="5"/>
  <c r="Z1302" i="5"/>
  <c r="Z1501" i="5"/>
  <c r="Z725" i="5"/>
  <c r="Z1186" i="5"/>
  <c r="Z2158" i="5"/>
  <c r="Z1246" i="5"/>
  <c r="Z1561" i="5"/>
  <c r="Z1974" i="5"/>
  <c r="Z1975" i="5"/>
  <c r="Z1562" i="5"/>
  <c r="Z1414" i="5"/>
  <c r="Z2211" i="5"/>
  <c r="Z1247" i="5"/>
  <c r="Z2020" i="5"/>
  <c r="Z726" i="5"/>
  <c r="Z570" i="5"/>
  <c r="Z727" i="5"/>
  <c r="Z1471" i="5"/>
  <c r="Z1563" i="5"/>
  <c r="Z1976" i="5"/>
  <c r="Z1344" i="5"/>
  <c r="Z1023" i="5"/>
  <c r="Z2212" i="5"/>
  <c r="Z864" i="5"/>
  <c r="Z503" i="5"/>
  <c r="Z1887" i="5"/>
  <c r="Z2099" i="5"/>
  <c r="Z233" i="5"/>
  <c r="Z635" i="5"/>
  <c r="Z636" i="5"/>
  <c r="Z571" i="5"/>
  <c r="Z200" i="5"/>
  <c r="Z1832" i="5"/>
  <c r="Z1118" i="5"/>
  <c r="Z1784" i="5"/>
  <c r="Z949" i="5"/>
  <c r="Z1415" i="5"/>
  <c r="Z1833" i="5"/>
  <c r="Z1024" i="5"/>
  <c r="Z1187" i="5"/>
  <c r="Z1188" i="5"/>
  <c r="Z1119" i="5"/>
  <c r="Z865" i="5"/>
  <c r="Z1834" i="5"/>
  <c r="Z1690" i="5"/>
  <c r="Z1600" i="5"/>
  <c r="Z504" i="5"/>
  <c r="Z572" i="5"/>
  <c r="Z573" i="5"/>
  <c r="Z1189" i="5"/>
  <c r="Z1691" i="5"/>
  <c r="Z728" i="5"/>
  <c r="Z1564" i="5"/>
  <c r="Z1025" i="5"/>
  <c r="Z1026" i="5"/>
  <c r="Z1835" i="5"/>
  <c r="Z2131" i="5"/>
  <c r="Z2021" i="5"/>
  <c r="Z866" i="5"/>
  <c r="Z1601" i="5"/>
  <c r="Z1836" i="5"/>
  <c r="Z1837" i="5"/>
  <c r="Z2100" i="5"/>
  <c r="Z1502" i="5"/>
  <c r="Z361" i="5"/>
  <c r="Z2132" i="5"/>
  <c r="Z1977" i="5"/>
  <c r="Z1838" i="5"/>
  <c r="Z1839" i="5"/>
  <c r="Z1785" i="5"/>
  <c r="Z574" i="5"/>
  <c r="Z867" i="5"/>
  <c r="Z449" i="5"/>
  <c r="Z1345" i="5"/>
  <c r="Z1636" i="5"/>
  <c r="Z1303" i="5"/>
  <c r="Z1190" i="5"/>
  <c r="Z505" i="5"/>
  <c r="Z1120" i="5"/>
  <c r="Z1191" i="5"/>
  <c r="Z1416" i="5"/>
  <c r="Z868" i="5"/>
  <c r="Z1503" i="5"/>
  <c r="Z637" i="5"/>
  <c r="Z201" i="5"/>
  <c r="Z1740" i="5"/>
  <c r="Z1741" i="5"/>
  <c r="Z1888" i="5"/>
  <c r="Z638" i="5"/>
  <c r="Z1417" i="5"/>
  <c r="Z2068" i="5"/>
  <c r="Z950" i="5"/>
  <c r="Z2022" i="5"/>
  <c r="Z1978" i="5"/>
  <c r="Z1979" i="5"/>
  <c r="Z1692" i="5"/>
  <c r="Z1504" i="5"/>
  <c r="Z1192" i="5"/>
  <c r="Z799" i="5"/>
  <c r="Z639" i="5"/>
  <c r="Z2069" i="5"/>
  <c r="Z729" i="5"/>
  <c r="Z1786" i="5"/>
  <c r="Z1840" i="5"/>
  <c r="Z640" i="5"/>
  <c r="Z730" i="5"/>
  <c r="Z1121" i="5"/>
  <c r="Z506" i="5"/>
  <c r="Z1693" i="5"/>
  <c r="Z1938" i="5"/>
  <c r="Z1742" i="5"/>
  <c r="Z800" i="5"/>
  <c r="Z1841" i="5"/>
  <c r="Z1027" i="5"/>
  <c r="Z1939" i="5"/>
  <c r="Z1694" i="5"/>
  <c r="Z1787" i="5"/>
  <c r="Z869" i="5"/>
  <c r="Z1889" i="5"/>
  <c r="Z731" i="5"/>
  <c r="Z732" i="5"/>
  <c r="Z1565" i="5"/>
  <c r="Z1304" i="5"/>
  <c r="Z1028" i="5"/>
  <c r="Z507" i="5"/>
  <c r="Z1193" i="5"/>
  <c r="Z234" i="5"/>
  <c r="Z1695" i="5"/>
  <c r="Z1505" i="5"/>
  <c r="Z1506" i="5"/>
  <c r="Z2101" i="5"/>
  <c r="Z508" i="5"/>
  <c r="Z641" i="5"/>
  <c r="Z2102" i="5"/>
  <c r="Z1418" i="5"/>
  <c r="Z1305" i="5"/>
  <c r="Z870" i="5"/>
  <c r="Z1472" i="5"/>
  <c r="Z733" i="5"/>
  <c r="Z1743" i="5"/>
  <c r="Z951" i="5"/>
  <c r="Z401" i="5"/>
  <c r="Z1419" i="5"/>
  <c r="Z1637" i="5"/>
  <c r="Z642" i="5"/>
  <c r="Z2133" i="5"/>
  <c r="Z135" i="5"/>
  <c r="Z2023" i="5"/>
  <c r="Z2134" i="5"/>
  <c r="Z1744" i="5"/>
  <c r="Z1306" i="5"/>
  <c r="Z1745" i="5"/>
  <c r="Z1980" i="5"/>
  <c r="Z1420" i="5"/>
  <c r="Z42" i="5"/>
  <c r="Z643" i="5"/>
  <c r="Z644" i="5"/>
  <c r="Z2159" i="5"/>
  <c r="Z1248" i="5"/>
  <c r="Z509" i="5"/>
  <c r="Z53" i="5"/>
  <c r="Z1566" i="5"/>
  <c r="Z871" i="5"/>
  <c r="Z2221" i="5"/>
  <c r="Z1890" i="5"/>
  <c r="Z362" i="5"/>
  <c r="Z1194" i="5"/>
  <c r="Z2193" i="5"/>
  <c r="Z2194" i="5"/>
  <c r="Z1842" i="5"/>
  <c r="Z1843" i="5"/>
  <c r="Z1844" i="5"/>
  <c r="Z1845" i="5"/>
  <c r="Z2024" i="5"/>
  <c r="Z1567" i="5"/>
  <c r="Z1891" i="5"/>
  <c r="Z1746" i="5"/>
  <c r="Z1981" i="5"/>
  <c r="Z1696" i="5"/>
  <c r="Z2103" i="5"/>
  <c r="Z1249" i="5"/>
  <c r="Z1638" i="5"/>
  <c r="Z1639" i="5"/>
  <c r="Z1640" i="5"/>
  <c r="Z1747" i="5"/>
  <c r="Z1940" i="5"/>
  <c r="Z1122" i="5"/>
  <c r="Z1507" i="5"/>
  <c r="Z1788" i="5"/>
  <c r="Z1846" i="5"/>
  <c r="Z575" i="5"/>
  <c r="Z952" i="5"/>
  <c r="Z2025" i="5"/>
  <c r="Z326" i="5"/>
  <c r="Z645" i="5"/>
  <c r="Z402" i="5"/>
  <c r="Z276" i="5"/>
  <c r="Z277" i="5"/>
  <c r="Z1568" i="5"/>
  <c r="Z1789" i="5"/>
  <c r="Z1250" i="5"/>
  <c r="Z1941" i="5"/>
  <c r="Z1508" i="5"/>
  <c r="Z1748" i="5"/>
  <c r="Z2135" i="5"/>
  <c r="Z2136" i="5"/>
  <c r="Z953" i="5"/>
  <c r="Z43" i="5"/>
  <c r="Z646" i="5"/>
  <c r="Z647" i="5"/>
  <c r="Z1602" i="5"/>
  <c r="Z801" i="5"/>
  <c r="Z1892" i="5"/>
  <c r="Z2026" i="5"/>
  <c r="Z1346" i="5"/>
  <c r="Z1347" i="5"/>
  <c r="Z1749" i="5"/>
  <c r="Z648" i="5"/>
  <c r="Z734" i="5"/>
  <c r="Z1029" i="5"/>
  <c r="Z954" i="5"/>
  <c r="Z1509" i="5"/>
  <c r="Z1893" i="5"/>
  <c r="Z2027" i="5"/>
  <c r="Z2070" i="5"/>
  <c r="Z1030" i="5"/>
  <c r="Z649" i="5"/>
  <c r="Z802" i="5"/>
  <c r="Z2137" i="5"/>
  <c r="Z1641" i="5"/>
  <c r="Z1031" i="5"/>
  <c r="Z1473" i="5"/>
  <c r="Z872" i="5"/>
  <c r="Z2071" i="5"/>
  <c r="Z1251" i="5"/>
  <c r="Z2218" i="5"/>
  <c r="Z2219" i="5"/>
  <c r="Z1474" i="5"/>
  <c r="Z1510" i="5"/>
  <c r="Z1511" i="5"/>
  <c r="Z1642" i="5"/>
  <c r="Z1348" i="5"/>
  <c r="Z1512" i="5"/>
  <c r="Z1982" i="5"/>
  <c r="Z25" i="5"/>
  <c r="Z2104" i="5"/>
  <c r="Z1195" i="5"/>
  <c r="Z1894" i="5"/>
  <c r="Z1513" i="5"/>
  <c r="Z2105" i="5"/>
  <c r="Z1983" i="5"/>
  <c r="Z450" i="5"/>
  <c r="Z873" i="5"/>
  <c r="Z874" i="5"/>
  <c r="Z875" i="5"/>
  <c r="Z1603" i="5"/>
  <c r="Z1196" i="5"/>
  <c r="Z1847" i="5"/>
  <c r="Z1750" i="5"/>
  <c r="Z803" i="5"/>
  <c r="Z735" i="5"/>
  <c r="Z2138" i="5"/>
  <c r="Z2106" i="5"/>
  <c r="Z1421" i="5"/>
  <c r="Z2028" i="5"/>
  <c r="Z1643" i="5"/>
  <c r="Z804" i="5"/>
  <c r="Z403" i="5"/>
  <c r="Z1644" i="5"/>
  <c r="Z1307" i="5"/>
  <c r="Z736" i="5"/>
  <c r="Z1790" i="5"/>
  <c r="Z1984" i="5"/>
  <c r="Z451" i="5"/>
  <c r="Z737" i="5"/>
  <c r="Z2139" i="5"/>
  <c r="Z1349" i="5"/>
  <c r="Z1645" i="5"/>
  <c r="Z2072" i="5"/>
  <c r="Z2073" i="5"/>
  <c r="Z1791" i="5"/>
  <c r="Z1569" i="5"/>
  <c r="Z2029" i="5"/>
  <c r="Z1032" i="5"/>
  <c r="Z1422" i="5"/>
  <c r="Z650" i="5"/>
  <c r="Z510" i="5"/>
  <c r="Z1423" i="5"/>
  <c r="Z1848" i="5"/>
  <c r="Z1849" i="5"/>
  <c r="Z576" i="5"/>
  <c r="Z136" i="5"/>
  <c r="Z1475" i="5"/>
  <c r="Z1308" i="5"/>
  <c r="Z1424" i="5"/>
  <c r="Z1425" i="5"/>
  <c r="Z876" i="5"/>
  <c r="Z1197" i="5"/>
  <c r="Z1646" i="5"/>
  <c r="Z738" i="5"/>
  <c r="Z1514" i="5"/>
  <c r="Z1942" i="5"/>
  <c r="Z1350" i="5"/>
  <c r="Z1751" i="5"/>
  <c r="Z2160" i="5"/>
  <c r="Z2161" i="5"/>
  <c r="Z2030" i="5"/>
  <c r="Z1752" i="5"/>
  <c r="Z1604" i="5"/>
  <c r="Z1033" i="5"/>
  <c r="Z955" i="5"/>
  <c r="Z956" i="5"/>
  <c r="Z1895" i="5"/>
  <c r="Z511" i="5"/>
  <c r="Z805" i="5"/>
  <c r="Z1943" i="5"/>
  <c r="Z957" i="5"/>
  <c r="Z651" i="5"/>
  <c r="Z1985" i="5"/>
  <c r="Z739" i="5"/>
  <c r="Z75" i="5"/>
  <c r="Z652" i="5"/>
  <c r="Z1570" i="5"/>
  <c r="Z740" i="5"/>
  <c r="Z741" i="5"/>
  <c r="Z742" i="5"/>
  <c r="Z1850" i="5"/>
  <c r="Z877" i="5"/>
  <c r="Z1851" i="5"/>
  <c r="Z958" i="5"/>
  <c r="Z653" i="5"/>
  <c r="Z1896" i="5"/>
  <c r="Z1897" i="5"/>
  <c r="Z806" i="5"/>
  <c r="Z1476" i="5"/>
  <c r="Z1605" i="5"/>
  <c r="Z164" i="5"/>
  <c r="Z1477" i="5"/>
  <c r="Z1351" i="5"/>
  <c r="Z807" i="5"/>
  <c r="Z404" i="5"/>
  <c r="Z808" i="5"/>
  <c r="Z1478" i="5"/>
  <c r="Z1479" i="5"/>
  <c r="Z1944" i="5"/>
  <c r="Z1252" i="5"/>
  <c r="Z1034" i="5"/>
  <c r="Z2162" i="5"/>
  <c r="Z2206" i="5"/>
  <c r="Z743" i="5"/>
  <c r="Z809" i="5"/>
  <c r="Z107" i="5"/>
  <c r="Z327" i="5"/>
  <c r="Z1571" i="5"/>
  <c r="Z1753" i="5"/>
  <c r="Z1515" i="5"/>
  <c r="Z1426" i="5"/>
  <c r="Z1427" i="5"/>
  <c r="Z2163" i="5"/>
  <c r="Z810" i="5"/>
  <c r="Z452" i="5"/>
  <c r="Z2213" i="5"/>
  <c r="Z811" i="5"/>
  <c r="Z812" i="5"/>
  <c r="Z405" i="5"/>
  <c r="Z363" i="5"/>
  <c r="Z1309" i="5"/>
  <c r="Z1697" i="5"/>
  <c r="Z1123" i="5"/>
  <c r="Z1352" i="5"/>
  <c r="Z1353" i="5"/>
  <c r="Z2074" i="5"/>
  <c r="Z1035" i="5"/>
  <c r="Z1198" i="5"/>
  <c r="Z1945" i="5"/>
  <c r="Z1354" i="5"/>
  <c r="Z1647" i="5"/>
  <c r="Z1124" i="5"/>
  <c r="Z959" i="5"/>
  <c r="Z1036" i="5"/>
  <c r="Z1428" i="5"/>
  <c r="Z813" i="5"/>
  <c r="Z1253" i="5"/>
  <c r="Z1429" i="5"/>
  <c r="Z512" i="5"/>
  <c r="Z960" i="5"/>
  <c r="Z202" i="5"/>
  <c r="Z744" i="5"/>
  <c r="Z1430" i="5"/>
  <c r="Z1125" i="5"/>
  <c r="Z2031" i="5"/>
  <c r="Z1126" i="5"/>
  <c r="Z1792" i="5"/>
  <c r="Z2195" i="5"/>
  <c r="Z1199" i="5"/>
  <c r="Z878" i="5"/>
  <c r="Z406" i="5"/>
  <c r="Z407" i="5"/>
  <c r="Z1037" i="5"/>
  <c r="Z328" i="5"/>
  <c r="Z1254" i="5"/>
  <c r="Z513" i="5"/>
  <c r="Z2032" i="5"/>
  <c r="Z278" i="5"/>
  <c r="Z1200" i="5"/>
  <c r="Z1201" i="5"/>
  <c r="Z1355" i="5"/>
  <c r="Z408" i="5"/>
  <c r="Z1356" i="5"/>
  <c r="Z2033" i="5"/>
  <c r="Z1357" i="5"/>
  <c r="Z814" i="5"/>
  <c r="Z1038" i="5"/>
  <c r="Z961" i="5"/>
  <c r="Z577" i="5"/>
  <c r="Z2075" i="5"/>
  <c r="Z1202" i="5"/>
  <c r="Z1793" i="5"/>
  <c r="Z745" i="5"/>
  <c r="Z879" i="5"/>
  <c r="Z1127" i="5"/>
  <c r="Z815" i="5"/>
  <c r="Z578" i="5"/>
  <c r="Z2107" i="5"/>
  <c r="Z1039" i="5"/>
  <c r="Z1572" i="5"/>
  <c r="Z1040" i="5"/>
  <c r="Z1203" i="5"/>
  <c r="Z1431" i="5"/>
  <c r="Z235" i="5"/>
  <c r="Z514" i="5"/>
  <c r="Z44" i="5"/>
  <c r="Z26" i="5"/>
  <c r="Z1310" i="5"/>
  <c r="Z962" i="5"/>
  <c r="Z1946" i="5"/>
  <c r="Z1898" i="5"/>
  <c r="Z1899" i="5"/>
  <c r="Z1255" i="5"/>
  <c r="Z816" i="5"/>
  <c r="Z515" i="5"/>
  <c r="Z1480" i="5"/>
  <c r="Z1481" i="5"/>
  <c r="Z654" i="5"/>
  <c r="Z880" i="5"/>
  <c r="Z881" i="5"/>
  <c r="Z1041" i="5"/>
  <c r="Z364" i="5"/>
  <c r="Z963" i="5"/>
  <c r="Z76" i="5"/>
  <c r="Z165" i="5"/>
  <c r="Z166" i="5"/>
  <c r="Z817" i="5"/>
  <c r="Z1754" i="5"/>
  <c r="Z1698" i="5"/>
  <c r="Z1204" i="5"/>
  <c r="Z1794" i="5"/>
  <c r="Z236" i="5"/>
  <c r="Z2164" i="5"/>
  <c r="Z1205" i="5"/>
  <c r="Z365" i="5"/>
  <c r="Z746" i="5"/>
  <c r="Z329" i="5"/>
  <c r="Z1042" i="5"/>
  <c r="Z366" i="5"/>
  <c r="Z579" i="5"/>
  <c r="Z580" i="5"/>
  <c r="Z516" i="5"/>
  <c r="Z137" i="5"/>
  <c r="Z138" i="5"/>
  <c r="Z517" i="5"/>
  <c r="Z367" i="5"/>
  <c r="Z108" i="5"/>
  <c r="Z409" i="5"/>
  <c r="Z1900" i="5"/>
  <c r="Z1256" i="5"/>
  <c r="Z1482" i="5"/>
  <c r="Z747" i="5"/>
  <c r="Z964" i="5"/>
  <c r="Z1483" i="5"/>
  <c r="Z518" i="5"/>
  <c r="Z1484" i="5"/>
  <c r="Z203" i="5"/>
  <c r="Z1986" i="5"/>
  <c r="Z581" i="5"/>
  <c r="Z1795" i="5"/>
  <c r="Z167" i="5"/>
  <c r="Z1257" i="5"/>
  <c r="Z1258" i="5"/>
  <c r="Z1648" i="5"/>
  <c r="Z519" i="5"/>
  <c r="Z2108" i="5"/>
  <c r="Z582" i="5"/>
  <c r="Z1259" i="5"/>
  <c r="Z330" i="5"/>
  <c r="Z1206" i="5"/>
  <c r="Z139" i="5"/>
  <c r="Z520" i="5"/>
  <c r="Z1516" i="5"/>
  <c r="Z2034" i="5"/>
  <c r="Z1043" i="5"/>
  <c r="Z1485" i="5"/>
  <c r="Z748" i="5"/>
  <c r="Z655" i="5"/>
  <c r="Z1432" i="5"/>
  <c r="Z1796" i="5"/>
  <c r="Z1260" i="5"/>
  <c r="Z2076" i="5"/>
  <c r="Z2077" i="5"/>
  <c r="Z453" i="5"/>
  <c r="Z1433" i="5"/>
  <c r="Z1207" i="5"/>
  <c r="Z1208" i="5"/>
  <c r="Z1128" i="5"/>
  <c r="Z1261" i="5"/>
  <c r="Z331" i="5"/>
  <c r="Z1987" i="5"/>
  <c r="Z1797" i="5"/>
  <c r="Z2035" i="5"/>
  <c r="Z818" i="5"/>
  <c r="Z965" i="5"/>
  <c r="Z966" i="5"/>
  <c r="Z1311" i="5"/>
  <c r="Z583" i="5"/>
  <c r="Z749" i="5"/>
  <c r="Z368" i="5"/>
  <c r="Z204" i="5"/>
  <c r="Z237" i="5"/>
  <c r="Z2036" i="5"/>
  <c r="Z819" i="5"/>
  <c r="Z820" i="5"/>
  <c r="Z279" i="5"/>
  <c r="Z280" i="5"/>
  <c r="Z281" i="5"/>
  <c r="Z1947" i="5"/>
  <c r="Z1948" i="5"/>
  <c r="Z1209" i="5"/>
  <c r="Z1044" i="5"/>
  <c r="Z584" i="5"/>
  <c r="Z2078" i="5"/>
  <c r="Z1045" i="5"/>
  <c r="Z109" i="5"/>
  <c r="Z1988" i="5"/>
  <c r="Z238" i="5"/>
  <c r="Z369" i="5"/>
  <c r="Z332" i="5"/>
  <c r="Z1573" i="5"/>
  <c r="Z1517" i="5"/>
  <c r="Z282" i="5"/>
  <c r="Z882" i="5"/>
  <c r="Z656" i="5"/>
  <c r="Z1649" i="5"/>
  <c r="Z821" i="5"/>
  <c r="Z168" i="5"/>
  <c r="Z283" i="5"/>
  <c r="Z1949" i="5"/>
  <c r="Z1950" i="5"/>
  <c r="Z967" i="5"/>
  <c r="Z883" i="5"/>
  <c r="Z1901" i="5"/>
  <c r="Z1902" i="5"/>
  <c r="Z968" i="5"/>
  <c r="Z110" i="5"/>
  <c r="Z1129" i="5"/>
  <c r="Z1699" i="5"/>
  <c r="Z2140" i="5"/>
  <c r="Z969" i="5"/>
  <c r="Z1755" i="5"/>
  <c r="Z1903" i="5"/>
  <c r="Z521" i="5"/>
  <c r="Z77" i="5"/>
  <c r="Z239" i="5"/>
  <c r="Z522" i="5"/>
  <c r="Z1518" i="5"/>
  <c r="Z1519" i="5"/>
  <c r="Z523" i="5"/>
  <c r="Z1046" i="5"/>
  <c r="Z970" i="5"/>
  <c r="Z971" i="5"/>
  <c r="Z884" i="5"/>
  <c r="Z524" i="5"/>
  <c r="Z370" i="5"/>
  <c r="Z333" i="5"/>
  <c r="Z169" i="5"/>
  <c r="Z1904" i="5"/>
  <c r="Z1905" i="5"/>
  <c r="Z1262" i="5"/>
  <c r="Z525" i="5"/>
  <c r="Z822" i="5"/>
  <c r="Z1210" i="5"/>
  <c r="Z1211" i="5"/>
  <c r="Z78" i="5"/>
  <c r="Z1700" i="5"/>
  <c r="Z1263" i="5"/>
  <c r="Z1047" i="5"/>
  <c r="Z1650" i="5"/>
  <c r="Z1130" i="5"/>
  <c r="Z170" i="5"/>
  <c r="Z1048" i="5"/>
  <c r="Z1358" i="5"/>
  <c r="Z240" i="5"/>
  <c r="Z526" i="5"/>
  <c r="Z1131" i="5"/>
  <c r="Z2109" i="5"/>
  <c r="Z885" i="5"/>
  <c r="Z205" i="5"/>
  <c r="Z1574" i="5"/>
  <c r="Z972" i="5"/>
  <c r="Z585" i="5"/>
  <c r="Z2196" i="5"/>
  <c r="Z2197" i="5"/>
  <c r="Z973" i="5"/>
  <c r="Z1359" i="5"/>
  <c r="Z1360" i="5"/>
  <c r="Z527" i="5"/>
  <c r="Z528" i="5"/>
  <c r="Z1989" i="5"/>
  <c r="Z657" i="5"/>
  <c r="Z658" i="5"/>
  <c r="Z1798" i="5"/>
  <c r="Z659" i="5"/>
  <c r="Z410" i="5"/>
  <c r="Z886" i="5"/>
  <c r="Z887" i="5"/>
  <c r="Z660" i="5"/>
  <c r="Z750" i="5"/>
  <c r="Z1756" i="5"/>
  <c r="Z284" i="5"/>
  <c r="Z751" i="5"/>
  <c r="Z752" i="5"/>
  <c r="Z1906" i="5"/>
  <c r="Z241" i="5"/>
  <c r="Z79" i="5"/>
  <c r="Z1049" i="5"/>
  <c r="Z1050" i="5"/>
  <c r="Z823" i="5"/>
  <c r="Z753" i="5"/>
  <c r="Z1361" i="5"/>
  <c r="Z1362" i="5"/>
  <c r="Z1312" i="5"/>
  <c r="Z334" i="5"/>
  <c r="Z1264" i="5"/>
  <c r="Z529" i="5"/>
  <c r="Z371" i="5"/>
  <c r="Z1990" i="5"/>
  <c r="Z1313" i="5"/>
  <c r="Z1951" i="5"/>
  <c r="Z1907" i="5"/>
  <c r="Z1434" i="5"/>
  <c r="Z1799" i="5"/>
  <c r="Z1952" i="5"/>
  <c r="Z411" i="5"/>
  <c r="Z285" i="5"/>
  <c r="Z454" i="5"/>
  <c r="Z1265" i="5"/>
  <c r="Z1520" i="5"/>
  <c r="Z1701" i="5"/>
  <c r="Z1051" i="5"/>
  <c r="Z754" i="5"/>
  <c r="Z1953" i="5"/>
  <c r="Z755" i="5"/>
  <c r="Z530" i="5"/>
  <c r="Z1606" i="5"/>
  <c r="Z2141" i="5"/>
  <c r="Z1435" i="5"/>
  <c r="Z661" i="5"/>
  <c r="Z662" i="5"/>
  <c r="Z586" i="5"/>
  <c r="Z286" i="5"/>
  <c r="Z1052" i="5"/>
  <c r="Z206" i="5"/>
  <c r="Z372" i="5"/>
  <c r="Z1132" i="5"/>
  <c r="Z1954" i="5"/>
  <c r="Z242" i="5"/>
  <c r="Z287" i="5"/>
  <c r="Z1266" i="5"/>
  <c r="Z373" i="5"/>
  <c r="Z974" i="5"/>
  <c r="Z2142" i="5"/>
  <c r="Z1212" i="5"/>
  <c r="Z1267" i="5"/>
  <c r="Z288" i="5"/>
  <c r="Z888" i="5"/>
  <c r="Z889" i="5"/>
  <c r="Z890" i="5"/>
  <c r="Z891" i="5"/>
  <c r="Z756" i="5"/>
  <c r="Z1436" i="5"/>
  <c r="Z1437" i="5"/>
  <c r="Z587" i="5"/>
  <c r="Z1053" i="5"/>
  <c r="Z54" i="5"/>
  <c r="Z2037" i="5"/>
  <c r="Z1702" i="5"/>
  <c r="Z892" i="5"/>
  <c r="Z893" i="5"/>
  <c r="Z243" i="5"/>
  <c r="Z1133" i="5"/>
  <c r="Z975" i="5"/>
  <c r="Z531" i="5"/>
  <c r="Z374" i="5"/>
  <c r="Z1314" i="5"/>
  <c r="Z2143" i="5"/>
  <c r="Z111" i="5"/>
  <c r="Z1852" i="5"/>
  <c r="Z1268" i="5"/>
  <c r="Z1757" i="5"/>
  <c r="Z244" i="5"/>
  <c r="Z245" i="5"/>
  <c r="Z1054" i="5"/>
  <c r="Z1055" i="5"/>
  <c r="Z757" i="5"/>
  <c r="Z412" i="5"/>
  <c r="Z894" i="5"/>
  <c r="Z1853" i="5"/>
  <c r="Z27" i="5"/>
  <c r="Z28" i="5"/>
  <c r="Z1269" i="5"/>
  <c r="Z895" i="5"/>
  <c r="Z2079" i="5"/>
  <c r="Z10" i="5"/>
  <c r="Z11" i="5"/>
  <c r="Z246" i="5"/>
  <c r="Z171" i="5"/>
  <c r="Z1363" i="5"/>
  <c r="Z1854" i="5"/>
  <c r="Z1056" i="5"/>
  <c r="Z1057" i="5"/>
  <c r="Z824" i="5"/>
  <c r="Z825" i="5"/>
  <c r="Z1991" i="5"/>
  <c r="Z976" i="5"/>
  <c r="Z1703" i="5"/>
  <c r="Z663" i="5"/>
  <c r="Z588" i="5"/>
  <c r="Z2165" i="5"/>
  <c r="Z375" i="5"/>
  <c r="Z826" i="5"/>
  <c r="Z827" i="5"/>
  <c r="Z55" i="5"/>
  <c r="Z589" i="5"/>
  <c r="Z1521" i="5"/>
  <c r="Z455" i="5"/>
  <c r="Z172" i="5"/>
  <c r="Z1704" i="5"/>
  <c r="Z1438" i="5"/>
  <c r="Z1522" i="5"/>
  <c r="Z758" i="5"/>
  <c r="Z112" i="5"/>
  <c r="Z113" i="5"/>
  <c r="Z1058" i="5"/>
  <c r="Z2038" i="5"/>
  <c r="Z1270" i="5"/>
  <c r="Z532" i="5"/>
  <c r="Z2110" i="5"/>
  <c r="Z2111" i="5"/>
  <c r="Z80" i="5"/>
  <c r="Z81" i="5"/>
  <c r="Z1134" i="5"/>
  <c r="Z759" i="5"/>
  <c r="Z207" i="5"/>
  <c r="Z1705" i="5"/>
  <c r="Z1135" i="5"/>
  <c r="Z1523" i="5"/>
  <c r="Z977" i="5"/>
  <c r="Z828" i="5"/>
  <c r="Z1364" i="5"/>
  <c r="Z1213" i="5"/>
  <c r="Z289" i="5"/>
  <c r="Z1365" i="5"/>
  <c r="Z1524" i="5"/>
  <c r="Z896" i="5"/>
  <c r="Z456" i="5"/>
  <c r="Z1439" i="5"/>
  <c r="Z208" i="5"/>
  <c r="Z2039" i="5"/>
  <c r="Z1758" i="5"/>
  <c r="Z1575" i="5"/>
  <c r="Z2040" i="5"/>
  <c r="Z1525" i="5"/>
  <c r="Z1059" i="5"/>
  <c r="Z1060" i="5"/>
  <c r="Z1366" i="5"/>
  <c r="Z760" i="5"/>
  <c r="Z761" i="5"/>
  <c r="Z173" i="5"/>
  <c r="Z413" i="5"/>
  <c r="Z762" i="5"/>
  <c r="Z664" i="5"/>
  <c r="Z590" i="5"/>
  <c r="Z1440" i="5"/>
  <c r="Z1706" i="5"/>
  <c r="Z533" i="5"/>
  <c r="Z534" i="5"/>
  <c r="Z591" i="5"/>
  <c r="Z1061" i="5"/>
  <c r="Z1062" i="5"/>
  <c r="Z1271" i="5"/>
  <c r="Z174" i="5"/>
  <c r="Z2080" i="5"/>
  <c r="Z457" i="5"/>
  <c r="Z1441" i="5"/>
  <c r="Z897" i="5"/>
  <c r="Z1526" i="5"/>
  <c r="Z1607" i="5"/>
  <c r="Z1315" i="5"/>
  <c r="Z1316" i="5"/>
  <c r="Z247" i="5"/>
  <c r="Z335" i="5"/>
  <c r="Z1136" i="5"/>
  <c r="Z898" i="5"/>
  <c r="Z829" i="5"/>
  <c r="Z1651" i="5"/>
  <c r="Z1759" i="5"/>
  <c r="Z290" i="5"/>
  <c r="Z1955" i="5"/>
  <c r="Z1063" i="5"/>
  <c r="Z82" i="5"/>
  <c r="Z978" i="5"/>
  <c r="Z1137" i="5"/>
  <c r="Z592" i="5"/>
  <c r="Z665" i="5"/>
  <c r="Z414" i="5"/>
  <c r="Z899" i="5"/>
  <c r="Z291" i="5"/>
  <c r="Z248" i="5"/>
  <c r="Z1486" i="5"/>
  <c r="Z1064" i="5"/>
  <c r="Z535" i="5"/>
  <c r="Z666" i="5"/>
  <c r="Z458" i="5"/>
  <c r="Z979" i="5"/>
  <c r="Z830" i="5"/>
  <c r="Z415" i="5"/>
  <c r="Z1576" i="5"/>
  <c r="Z1577" i="5"/>
  <c r="Z1652" i="5"/>
  <c r="Z1855" i="5"/>
  <c r="Z249" i="5"/>
  <c r="Z593" i="5"/>
  <c r="Z594" i="5"/>
  <c r="Z900" i="5"/>
  <c r="Z901" i="5"/>
  <c r="Z763" i="5"/>
  <c r="Z209" i="5"/>
  <c r="Z376" i="5"/>
  <c r="Z459" i="5"/>
  <c r="Z595" i="5"/>
  <c r="Z667" i="5"/>
  <c r="Z668" i="5"/>
  <c r="Z1527" i="5"/>
  <c r="Z831" i="5"/>
  <c r="Z1367" i="5"/>
  <c r="Z2081" i="5"/>
  <c r="Z416" i="5"/>
  <c r="Z1214" i="5"/>
  <c r="Z764" i="5"/>
  <c r="Z669" i="5"/>
  <c r="Z1317" i="5"/>
  <c r="Z417" i="5"/>
  <c r="Z980" i="5"/>
  <c r="Z832" i="5"/>
  <c r="Z1442" i="5"/>
  <c r="Z670" i="5"/>
  <c r="Z671" i="5"/>
  <c r="Z460" i="5"/>
  <c r="Z1065" i="5"/>
  <c r="Z1760" i="5"/>
  <c r="Z1653" i="5"/>
  <c r="Z1654" i="5"/>
  <c r="Z250" i="5"/>
  <c r="Z981" i="5"/>
  <c r="Z1215" i="5"/>
  <c r="Z140" i="5"/>
  <c r="Z1066" i="5"/>
  <c r="Z1067" i="5"/>
  <c r="Z596" i="5"/>
  <c r="Z833" i="5"/>
  <c r="Z834" i="5"/>
  <c r="Z210" i="5"/>
  <c r="Z83" i="5"/>
  <c r="Z84" i="5"/>
  <c r="Z982" i="5"/>
  <c r="Z536" i="5"/>
  <c r="Z292" i="5"/>
  <c r="Z293" i="5"/>
  <c r="Z56" i="5"/>
  <c r="Z1608" i="5"/>
  <c r="Z983" i="5"/>
  <c r="Z1138" i="5"/>
  <c r="Z175" i="5"/>
  <c r="Z211" i="5"/>
  <c r="Z1068" i="5"/>
  <c r="Z984" i="5"/>
  <c r="Z212" i="5"/>
  <c r="Z213" i="5"/>
  <c r="Z1069" i="5"/>
  <c r="Z1443" i="5"/>
  <c r="Z1444" i="5"/>
  <c r="Z114" i="5"/>
  <c r="Z1139" i="5"/>
  <c r="Z1272" i="5"/>
  <c r="Z672" i="5"/>
  <c r="Z1655" i="5"/>
  <c r="Z1368" i="5"/>
  <c r="Z1656" i="5"/>
  <c r="Z2082" i="5"/>
  <c r="Z141" i="5"/>
  <c r="Z1273" i="5"/>
  <c r="Z214" i="5"/>
  <c r="Z377" i="5"/>
  <c r="Z597" i="5"/>
  <c r="Z1856" i="5"/>
  <c r="Z598" i="5"/>
  <c r="Z1369" i="5"/>
  <c r="Z336" i="5"/>
  <c r="Z85" i="5"/>
  <c r="Z86" i="5"/>
  <c r="Z537" i="5"/>
  <c r="Z538" i="5"/>
  <c r="Z337" i="5"/>
  <c r="Z1657" i="5"/>
  <c r="Z378" i="5"/>
  <c r="Z2041" i="5"/>
  <c r="Z539" i="5"/>
  <c r="Z835" i="5"/>
  <c r="Z294" i="5"/>
  <c r="Z295" i="5"/>
  <c r="Z1318" i="5"/>
  <c r="Z2179" i="5"/>
  <c r="Z296" i="5"/>
  <c r="Z2042" i="5"/>
  <c r="Z2112" i="5"/>
  <c r="Z1609" i="5"/>
  <c r="Z1610" i="5"/>
  <c r="Z1140" i="5"/>
  <c r="Z1761" i="5"/>
  <c r="Z176" i="5"/>
  <c r="Z418" i="5"/>
  <c r="Z1319" i="5"/>
  <c r="Z115" i="5"/>
  <c r="Z461" i="5"/>
  <c r="Z599" i="5"/>
  <c r="Z902" i="5"/>
  <c r="Z379" i="5"/>
  <c r="Z540" i="5"/>
  <c r="Z338" i="5"/>
  <c r="Z765" i="5"/>
  <c r="Z2180" i="5"/>
  <c r="Z2083" i="5"/>
  <c r="Z1956" i="5"/>
  <c r="Z251" i="5"/>
  <c r="Z462" i="5"/>
  <c r="Z1141" i="5"/>
  <c r="Z1578" i="5"/>
  <c r="Z1611" i="5"/>
  <c r="Z985" i="5"/>
  <c r="Z2113" i="5"/>
  <c r="Z903" i="5"/>
  <c r="Z177" i="5"/>
  <c r="Z904" i="5"/>
  <c r="Z1612" i="5"/>
  <c r="Z297" i="5"/>
  <c r="Z298" i="5"/>
  <c r="Z1274" i="5"/>
  <c r="Z1370" i="5"/>
  <c r="Z2084" i="5"/>
  <c r="Z1070" i="5"/>
  <c r="Z673" i="5"/>
  <c r="Z674" i="5"/>
  <c r="Z1707" i="5"/>
  <c r="Z1216" i="5"/>
  <c r="Z380" i="5"/>
  <c r="Z45" i="5"/>
  <c r="Z1071" i="5"/>
  <c r="Z178" i="5"/>
  <c r="Z986" i="5"/>
  <c r="Z836" i="5"/>
  <c r="Z252" i="5"/>
  <c r="Z1320" i="5"/>
  <c r="Z179" i="5"/>
  <c r="Z2144" i="5"/>
  <c r="Z1762" i="5"/>
  <c r="Z1763" i="5"/>
  <c r="Z541" i="5"/>
  <c r="Z675" i="5"/>
  <c r="Z1217" i="5"/>
  <c r="Z987" i="5"/>
  <c r="Z905" i="5"/>
  <c r="Z542" i="5"/>
  <c r="Z1857" i="5"/>
  <c r="Z57" i="5"/>
  <c r="Z1800" i="5"/>
  <c r="Z1801" i="5"/>
  <c r="Z837" i="5"/>
  <c r="Z419" i="5"/>
  <c r="Z1142" i="5"/>
  <c r="Z1321" i="5"/>
  <c r="Z543" i="5"/>
  <c r="Z1072" i="5"/>
  <c r="Z544" i="5"/>
  <c r="Z1073" i="5"/>
  <c r="Z253" i="5"/>
  <c r="Z142" i="5"/>
  <c r="Z838" i="5"/>
  <c r="Z839" i="5"/>
  <c r="Z87" i="5"/>
  <c r="Z906" i="5"/>
  <c r="Z2181" i="5"/>
  <c r="Z600" i="5"/>
  <c r="Z1218" i="5"/>
  <c r="Z1219" i="5"/>
  <c r="Z299" i="5"/>
  <c r="Z180" i="5"/>
  <c r="Z988" i="5"/>
  <c r="Z676" i="5"/>
  <c r="Z420" i="5"/>
  <c r="Z116" i="5"/>
  <c r="Z989" i="5"/>
  <c r="Z545" i="5"/>
  <c r="Z546" i="5"/>
  <c r="Z990" i="5"/>
  <c r="Z339" i="5"/>
  <c r="Z58" i="5"/>
  <c r="Z117" i="5"/>
  <c r="Z907" i="5"/>
  <c r="Z463" i="5"/>
  <c r="Z464" i="5"/>
  <c r="Z254" i="5"/>
  <c r="Z381" i="5"/>
  <c r="Z991" i="5"/>
  <c r="Z465" i="5"/>
  <c r="Z340" i="5"/>
  <c r="Z382" i="5"/>
  <c r="Z59" i="5"/>
  <c r="Z1708" i="5"/>
  <c r="Z1143" i="5"/>
  <c r="Z1144" i="5"/>
  <c r="Z300" i="5"/>
  <c r="Z677" i="5"/>
  <c r="Z255" i="5"/>
  <c r="Z766" i="5"/>
  <c r="Z1220" i="5"/>
  <c r="Z143" i="5"/>
  <c r="Z601" i="5"/>
  <c r="Z1275" i="5"/>
  <c r="Z466" i="5"/>
  <c r="Z678" i="5"/>
  <c r="Z341" i="5"/>
  <c r="Z1145" i="5"/>
  <c r="Z342" i="5"/>
  <c r="Z908" i="5"/>
  <c r="Z1802" i="5"/>
  <c r="Z301" i="5"/>
  <c r="Z1445" i="5"/>
  <c r="Z1446" i="5"/>
  <c r="Z181" i="5"/>
  <c r="Z144" i="5"/>
  <c r="Z118" i="5"/>
  <c r="Z119" i="5"/>
  <c r="Z1709" i="5"/>
  <c r="Z1992" i="5"/>
  <c r="Z1221" i="5"/>
  <c r="Z256" i="5"/>
  <c r="Z1146" i="5"/>
  <c r="Z215" i="5"/>
  <c r="Z1528" i="5"/>
  <c r="Z1147" i="5"/>
  <c r="Z383" i="5"/>
  <c r="Z1074" i="5"/>
  <c r="Z1075" i="5"/>
  <c r="Z547" i="5"/>
  <c r="Z548" i="5"/>
  <c r="Z602" i="5"/>
  <c r="Z909" i="5"/>
  <c r="Z767" i="5"/>
  <c r="Z1371" i="5"/>
  <c r="Z1372" i="5"/>
  <c r="Z1148" i="5"/>
  <c r="Z1322" i="5"/>
  <c r="Z1323" i="5"/>
  <c r="Z1908" i="5"/>
  <c r="Z182" i="5"/>
  <c r="Z1957" i="5"/>
  <c r="Z343" i="5"/>
  <c r="Z145" i="5"/>
  <c r="Z1529" i="5"/>
  <c r="Z1530" i="5"/>
  <c r="Z1222" i="5"/>
  <c r="Z216" i="5"/>
  <c r="Z1858" i="5"/>
  <c r="Z768" i="5"/>
  <c r="Z2085" i="5"/>
  <c r="Z769" i="5"/>
  <c r="Z302" i="5"/>
  <c r="Z1658" i="5"/>
  <c r="Z603" i="5"/>
  <c r="Z1149" i="5"/>
  <c r="Z992" i="5"/>
  <c r="Z303" i="5"/>
  <c r="Z1803" i="5"/>
  <c r="Z1804" i="5"/>
  <c r="Z183" i="5"/>
  <c r="Z1223" i="5"/>
  <c r="Z184" i="5"/>
  <c r="Z185" i="5"/>
  <c r="Z304" i="5"/>
  <c r="Z679" i="5"/>
  <c r="Z467" i="5"/>
  <c r="Z88" i="5"/>
  <c r="Z993" i="5"/>
  <c r="Z217" i="5"/>
  <c r="Z549" i="5"/>
  <c r="Z840" i="5"/>
  <c r="Z146" i="5"/>
  <c r="Z344" i="5"/>
  <c r="Z680" i="5"/>
  <c r="Z604" i="5"/>
  <c r="Z910" i="5"/>
  <c r="Z1150" i="5"/>
  <c r="Z1151" i="5"/>
  <c r="Z218" i="5"/>
  <c r="Z120" i="5"/>
  <c r="Z186" i="5"/>
  <c r="Z911" i="5"/>
  <c r="Z187" i="5"/>
  <c r="Z188" i="5"/>
  <c r="Z468" i="5"/>
  <c r="Z46" i="5"/>
  <c r="Z681" i="5"/>
  <c r="Z682" i="5"/>
  <c r="Z841" i="5"/>
  <c r="Z842" i="5"/>
  <c r="Z219" i="5"/>
  <c r="Z220" i="5"/>
  <c r="Z770" i="5"/>
  <c r="Z1659" i="5"/>
  <c r="Z1152" i="5"/>
  <c r="Z1276" i="5"/>
  <c r="Z1277" i="5"/>
  <c r="Z221" i="5"/>
  <c r="Z189" i="5"/>
  <c r="Z345" i="5"/>
  <c r="Z384" i="5"/>
  <c r="Z385" i="5"/>
  <c r="Z843" i="5"/>
  <c r="Z1278" i="5"/>
  <c r="Z421" i="5"/>
  <c r="Z257" i="5"/>
  <c r="Z912" i="5"/>
  <c r="Z60" i="5"/>
  <c r="Z61" i="5"/>
  <c r="Z62" i="5"/>
  <c r="Z258" i="5"/>
  <c r="Z1076" i="5"/>
  <c r="Z29" i="5"/>
  <c r="Z1487" i="5"/>
  <c r="Z1488" i="5"/>
  <c r="Z1710" i="5"/>
  <c r="Z1711" i="5"/>
  <c r="Z1712" i="5"/>
  <c r="Z1224" i="5"/>
  <c r="Z346" i="5"/>
  <c r="Z844" i="5"/>
  <c r="Z89" i="5"/>
  <c r="Z63" i="5"/>
  <c r="Z147" i="5"/>
  <c r="Z64" i="5"/>
  <c r="Z222" i="5"/>
  <c r="Z2198" i="5"/>
  <c r="Z469" i="5"/>
  <c r="Z683" i="5"/>
  <c r="Z90" i="5"/>
  <c r="Z771" i="5"/>
  <c r="Z550" i="5"/>
  <c r="Z148" i="5"/>
  <c r="Z30" i="5"/>
  <c r="Z684" i="5"/>
  <c r="Z1660" i="5"/>
  <c r="Z1661" i="5"/>
  <c r="Z551" i="5"/>
  <c r="Z772" i="5"/>
  <c r="Z685" i="5"/>
  <c r="Z1613" i="5"/>
  <c r="Z2114" i="5"/>
  <c r="Z470" i="5"/>
  <c r="Z1077" i="5"/>
  <c r="Z223" i="5"/>
  <c r="Z552" i="5"/>
  <c r="Z259" i="5"/>
  <c r="Z260" i="5"/>
  <c r="Z121" i="5"/>
  <c r="Z65" i="5"/>
  <c r="Z471" i="5"/>
  <c r="Z422" i="5"/>
  <c r="Z472" i="5"/>
  <c r="Z1859" i="5"/>
  <c r="Z122" i="5"/>
  <c r="Z261" i="5"/>
  <c r="Z1153" i="5"/>
  <c r="Z1154" i="5"/>
  <c r="Z473" i="5"/>
  <c r="Z474" i="5"/>
  <c r="Z31" i="5"/>
  <c r="Z423" i="5"/>
  <c r="Z1764" i="5"/>
  <c r="Z149" i="5"/>
  <c r="Z2086" i="5"/>
  <c r="Z1531" i="5"/>
  <c r="Z190" i="5"/>
  <c r="Z686" i="5"/>
  <c r="Z262" i="5"/>
  <c r="Z1860" i="5"/>
  <c r="Z424" i="5"/>
  <c r="Z5" i="5"/>
  <c r="Z994" i="5"/>
  <c r="Z1225" i="5"/>
  <c r="Z123" i="5"/>
  <c r="Z1662" i="5"/>
  <c r="Z687" i="5"/>
  <c r="Z475" i="5"/>
  <c r="Z1155" i="5"/>
  <c r="Z2043" i="5"/>
  <c r="Z688" i="5"/>
  <c r="Z553" i="5"/>
  <c r="Z773" i="5"/>
  <c r="Z263" i="5"/>
  <c r="Z91" i="5"/>
  <c r="Z92" i="5"/>
  <c r="Z93" i="5"/>
  <c r="Z1078" i="5"/>
  <c r="Z913" i="5"/>
  <c r="Z689" i="5"/>
  <c r="Z94" i="5"/>
  <c r="Z191" i="5"/>
  <c r="Z2044" i="5"/>
  <c r="Z47" i="5"/>
  <c r="Z914" i="5"/>
  <c r="Z774" i="5"/>
  <c r="Z690" i="5"/>
  <c r="Z691" i="5"/>
  <c r="Z554" i="5"/>
  <c r="Z476" i="5"/>
  <c r="Z477" i="5"/>
  <c r="Z224" i="5"/>
  <c r="Z192" i="5"/>
  <c r="Z150" i="5"/>
  <c r="Z32" i="5"/>
  <c r="Z6" i="5"/>
  <c r="Z1373" i="5"/>
  <c r="Z1805" i="5"/>
  <c r="Z347" i="5"/>
  <c r="Z2115" i="5"/>
  <c r="Z692" i="5"/>
  <c r="Z1447" i="5"/>
  <c r="Z1226" i="5"/>
  <c r="Z1532" i="5"/>
  <c r="Z915" i="5"/>
  <c r="Z478" i="5"/>
  <c r="Z1079" i="5"/>
  <c r="Z2199" i="5"/>
  <c r="Y2199" i="5"/>
  <c r="Y1080" i="5"/>
  <c r="Y775" i="5"/>
  <c r="Y555" i="5"/>
  <c r="Y264" i="5"/>
  <c r="Y1614" i="5"/>
  <c r="Y1615" i="5"/>
  <c r="Y556" i="5"/>
  <c r="Y48" i="5"/>
  <c r="Y386" i="5"/>
  <c r="Y12" i="5"/>
  <c r="Y124" i="5"/>
  <c r="Y1157" i="5"/>
  <c r="Y2045" i="5"/>
  <c r="Y1713" i="5"/>
  <c r="Y1958" i="5"/>
  <c r="Y1959" i="5"/>
  <c r="Y1081" i="5"/>
  <c r="Y1909" i="5"/>
  <c r="Y2220" i="5"/>
  <c r="Y845" i="5"/>
  <c r="Y151" i="5"/>
  <c r="Y20" i="5"/>
  <c r="Y1616" i="5"/>
  <c r="Y193" i="5"/>
  <c r="Y265" i="5"/>
  <c r="Y2145" i="5"/>
  <c r="Y693" i="5"/>
  <c r="Y152" i="5"/>
  <c r="Y2166" i="5"/>
  <c r="Y995" i="5"/>
  <c r="Y1806" i="5"/>
  <c r="Y49" i="5"/>
  <c r="Y348" i="5"/>
  <c r="Y1910" i="5"/>
  <c r="Y2146" i="5"/>
  <c r="Y1082" i="5"/>
  <c r="Y266" i="5"/>
  <c r="Y33" i="5"/>
  <c r="Y34" i="5"/>
  <c r="Y1807" i="5"/>
  <c r="Y425" i="5"/>
  <c r="Y35" i="5"/>
  <c r="Y95" i="5"/>
  <c r="Y1808" i="5"/>
  <c r="Y225" i="5"/>
  <c r="Y36" i="5"/>
  <c r="Y846" i="5"/>
  <c r="Y267" i="5"/>
  <c r="Y1324" i="5"/>
  <c r="Y1663" i="5"/>
  <c r="Y1617" i="5"/>
  <c r="Y66" i="5"/>
  <c r="Y1579" i="5"/>
  <c r="Y349" i="5"/>
  <c r="Y426" i="5"/>
  <c r="Y479" i="5"/>
  <c r="Y1664" i="5"/>
  <c r="Y1665" i="5"/>
  <c r="Y96" i="5"/>
  <c r="Y1618" i="5"/>
  <c r="Y1666" i="5"/>
  <c r="Y268" i="5"/>
  <c r="Y350" i="5"/>
  <c r="Y21" i="5"/>
  <c r="Y996" i="5"/>
  <c r="Y916" i="5"/>
  <c r="Y917" i="5"/>
  <c r="Y694" i="5"/>
  <c r="Y1911" i="5"/>
  <c r="Y2046" i="5"/>
  <c r="Y269" i="5"/>
  <c r="Y1580" i="5"/>
  <c r="Y1809" i="5"/>
  <c r="Y1325" i="5"/>
  <c r="Y1534" i="5"/>
  <c r="Y37" i="5"/>
  <c r="Y847" i="5"/>
  <c r="Y480" i="5"/>
  <c r="Y67" i="5"/>
  <c r="Y1535" i="5"/>
  <c r="Y1536" i="5"/>
  <c r="Y427" i="5"/>
  <c r="Y1912" i="5"/>
  <c r="Y1448" i="5"/>
  <c r="Y605" i="5"/>
  <c r="Y1714" i="5"/>
  <c r="Y1993" i="5"/>
  <c r="Y557" i="5"/>
  <c r="Y1960" i="5"/>
  <c r="Y918" i="5"/>
  <c r="Y919" i="5"/>
  <c r="Y1581" i="5"/>
  <c r="Y1083" i="5"/>
  <c r="Y1374" i="5"/>
  <c r="Y1375" i="5"/>
  <c r="Y1994" i="5"/>
  <c r="Y1715" i="5"/>
  <c r="Y97" i="5"/>
  <c r="Y98" i="5"/>
  <c r="Y695" i="5"/>
  <c r="Y305" i="5"/>
  <c r="Y306" i="5"/>
  <c r="Y1810" i="5"/>
  <c r="Y848" i="5"/>
  <c r="Y776" i="5"/>
  <c r="Y1995" i="5"/>
  <c r="Y1996" i="5"/>
  <c r="Y1997" i="5"/>
  <c r="Y2147" i="5"/>
  <c r="Y696" i="5"/>
  <c r="Y697" i="5"/>
  <c r="Y2148" i="5"/>
  <c r="Y1537" i="5"/>
  <c r="Y1227" i="5"/>
  <c r="Y22" i="5"/>
  <c r="Y153" i="5"/>
  <c r="Y920" i="5"/>
  <c r="Y1084" i="5"/>
  <c r="Y7" i="5"/>
  <c r="Y1619" i="5"/>
  <c r="Y921" i="5"/>
  <c r="Y777" i="5"/>
  <c r="Y154" i="5"/>
  <c r="Y1376" i="5"/>
  <c r="Y2182" i="5"/>
  <c r="Y2183" i="5"/>
  <c r="Y226" i="5"/>
  <c r="Y2207" i="5"/>
  <c r="Y2184" i="5"/>
  <c r="Y1998" i="5"/>
  <c r="Y778" i="5"/>
  <c r="Y558" i="5"/>
  <c r="Y1667" i="5"/>
  <c r="Y1538" i="5"/>
  <c r="Y1620" i="5"/>
  <c r="Y387" i="5"/>
  <c r="Y2087" i="5"/>
  <c r="Y1326" i="5"/>
  <c r="Y1861" i="5"/>
  <c r="Y1765" i="5"/>
  <c r="Y1766" i="5"/>
  <c r="Y155" i="5"/>
  <c r="Y1582" i="5"/>
  <c r="Y559" i="5"/>
  <c r="Y1449" i="5"/>
  <c r="Y481" i="5"/>
  <c r="Y1539" i="5"/>
  <c r="Y1085" i="5"/>
  <c r="Y2149" i="5"/>
  <c r="Y2150" i="5"/>
  <c r="Y270" i="5"/>
  <c r="Y1767" i="5"/>
  <c r="Y1583" i="5"/>
  <c r="Y1540" i="5"/>
  <c r="Y606" i="5"/>
  <c r="Y1621" i="5"/>
  <c r="Y1999" i="5"/>
  <c r="Y388" i="5"/>
  <c r="Y389" i="5"/>
  <c r="Y2116" i="5"/>
  <c r="Y271" i="5"/>
  <c r="Y1158" i="5"/>
  <c r="Y2167" i="5"/>
  <c r="Y1279" i="5"/>
  <c r="Y125" i="5"/>
  <c r="Y126" i="5"/>
  <c r="Y1716" i="5"/>
  <c r="Y1489" i="5"/>
  <c r="Y1450" i="5"/>
  <c r="Y68" i="5"/>
  <c r="Y69" i="5"/>
  <c r="Y1086" i="5"/>
  <c r="Y698" i="5"/>
  <c r="Y1377" i="5"/>
  <c r="Y1378" i="5"/>
  <c r="Y2168" i="5"/>
  <c r="Y1717" i="5"/>
  <c r="Y1668" i="5"/>
  <c r="Y1159" i="5"/>
  <c r="Y1584" i="5"/>
  <c r="Y156" i="5"/>
  <c r="Y2047" i="5"/>
  <c r="Y1961" i="5"/>
  <c r="Y2088" i="5"/>
  <c r="Y1718" i="5"/>
  <c r="Y1490" i="5"/>
  <c r="Y13" i="5"/>
  <c r="Y8" i="5"/>
  <c r="Y2208" i="5"/>
  <c r="Y997" i="5"/>
  <c r="Y998" i="5"/>
  <c r="Y699" i="5"/>
  <c r="Y1327" i="5"/>
  <c r="Y1862" i="5"/>
  <c r="Y2117" i="5"/>
  <c r="Y1087" i="5"/>
  <c r="Y1863" i="5"/>
  <c r="Y2209" i="5"/>
  <c r="Y700" i="5"/>
  <c r="Y157" i="5"/>
  <c r="Y922" i="5"/>
  <c r="Y923" i="5"/>
  <c r="Y14" i="5"/>
  <c r="Y1491" i="5"/>
  <c r="Y1492" i="5"/>
  <c r="Y1913" i="5"/>
  <c r="Y390" i="5"/>
  <c r="Y1328" i="5"/>
  <c r="Y607" i="5"/>
  <c r="Y924" i="5"/>
  <c r="Y307" i="5"/>
  <c r="Y1914" i="5"/>
  <c r="Y1669" i="5"/>
  <c r="Y1719" i="5"/>
  <c r="Y1864" i="5"/>
  <c r="Y1720" i="5"/>
  <c r="Y1160" i="5"/>
  <c r="Y608" i="5"/>
  <c r="Y779" i="5"/>
  <c r="Y227" i="5"/>
  <c r="Y849" i="5"/>
  <c r="Y850" i="5"/>
  <c r="Y1622" i="5"/>
  <c r="Y158" i="5"/>
  <c r="Y1811" i="5"/>
  <c r="Y1088" i="5"/>
  <c r="Y1585" i="5"/>
  <c r="Y15" i="5"/>
  <c r="Y701" i="5"/>
  <c r="Y702" i="5"/>
  <c r="Y1280" i="5"/>
  <c r="Y1281" i="5"/>
  <c r="Y1451" i="5"/>
  <c r="Y1721" i="5"/>
  <c r="Y2048" i="5"/>
  <c r="Y999" i="5"/>
  <c r="Y851" i="5"/>
  <c r="Y1452" i="5"/>
  <c r="Y391" i="5"/>
  <c r="Y560" i="5"/>
  <c r="Y272" i="5"/>
  <c r="Y1000" i="5"/>
  <c r="Y1768" i="5"/>
  <c r="Y1089" i="5"/>
  <c r="Y2185" i="5"/>
  <c r="Y1769" i="5"/>
  <c r="Y2049" i="5"/>
  <c r="Y2050" i="5"/>
  <c r="Y1623" i="5"/>
  <c r="Y2151" i="5"/>
  <c r="Y1329" i="5"/>
  <c r="Y609" i="5"/>
  <c r="Y159" i="5"/>
  <c r="Y1670" i="5"/>
  <c r="Y1722" i="5"/>
  <c r="Y99" i="5"/>
  <c r="Y780" i="5"/>
  <c r="Y2169" i="5"/>
  <c r="Y925" i="5"/>
  <c r="Y1001" i="5"/>
  <c r="Y1812" i="5"/>
  <c r="Y926" i="5"/>
  <c r="Y1915" i="5"/>
  <c r="Y351" i="5"/>
  <c r="Y1282" i="5"/>
  <c r="Y1723" i="5"/>
  <c r="Y70" i="5"/>
  <c r="Y1283" i="5"/>
  <c r="Y1284" i="5"/>
  <c r="Y2170" i="5"/>
  <c r="Y1090" i="5"/>
  <c r="Y2000" i="5"/>
  <c r="Y2214" i="5"/>
  <c r="Y482" i="5"/>
  <c r="Y428" i="5"/>
  <c r="Y1671" i="5"/>
  <c r="Y2171" i="5"/>
  <c r="Y1493" i="5"/>
  <c r="Y1228" i="5"/>
  <c r="Y1813" i="5"/>
  <c r="Y392" i="5"/>
  <c r="Y1379" i="5"/>
  <c r="Y429" i="5"/>
  <c r="Y430" i="5"/>
  <c r="Y1770" i="5"/>
  <c r="Y1494" i="5"/>
  <c r="Y2152" i="5"/>
  <c r="Y927" i="5"/>
  <c r="Y1624" i="5"/>
  <c r="Y2001" i="5"/>
  <c r="Y1865" i="5"/>
  <c r="Y2118" i="5"/>
  <c r="Y1285" i="5"/>
  <c r="Y2089" i="5"/>
  <c r="Y1380" i="5"/>
  <c r="Y1916" i="5"/>
  <c r="Y1161" i="5"/>
  <c r="Y273" i="5"/>
  <c r="Y1541" i="5"/>
  <c r="Y703" i="5"/>
  <c r="Y1814" i="5"/>
  <c r="Y704" i="5"/>
  <c r="Y1091" i="5"/>
  <c r="Y1002" i="5"/>
  <c r="Y393" i="5"/>
  <c r="Y1672" i="5"/>
  <c r="Y928" i="5"/>
  <c r="Y2153" i="5"/>
  <c r="Y1542" i="5"/>
  <c r="Y1543" i="5"/>
  <c r="Y705" i="5"/>
  <c r="Y1625" i="5"/>
  <c r="Y1866" i="5"/>
  <c r="Y1229" i="5"/>
  <c r="Y2051" i="5"/>
  <c r="Y2215" i="5"/>
  <c r="Y610" i="5"/>
  <c r="Y127" i="5"/>
  <c r="Y308" i="5"/>
  <c r="Y309" i="5"/>
  <c r="Y352" i="5"/>
  <c r="Y353" i="5"/>
  <c r="Y1162" i="5"/>
  <c r="Y1286" i="5"/>
  <c r="Y781" i="5"/>
  <c r="Y1230" i="5"/>
  <c r="Y431" i="5"/>
  <c r="Y432" i="5"/>
  <c r="Y611" i="5"/>
  <c r="Y483" i="5"/>
  <c r="Y71" i="5"/>
  <c r="Y1092" i="5"/>
  <c r="Y1724" i="5"/>
  <c r="Y561" i="5"/>
  <c r="Y1917" i="5"/>
  <c r="Y1771" i="5"/>
  <c r="Y2002" i="5"/>
  <c r="Y1381" i="5"/>
  <c r="Y1867" i="5"/>
  <c r="Y929" i="5"/>
  <c r="Y1453" i="5"/>
  <c r="Y1725" i="5"/>
  <c r="Y2003" i="5"/>
  <c r="Y2004" i="5"/>
  <c r="Y23" i="5"/>
  <c r="Y1544" i="5"/>
  <c r="Y1673" i="5"/>
  <c r="Y1962" i="5"/>
  <c r="Y612" i="5"/>
  <c r="Y562" i="5"/>
  <c r="Y1163" i="5"/>
  <c r="Y1586" i="5"/>
  <c r="Y1587" i="5"/>
  <c r="Y2119" i="5"/>
  <c r="Y1093" i="5"/>
  <c r="Y1382" i="5"/>
  <c r="Y1868" i="5"/>
  <c r="Y930" i="5"/>
  <c r="Y1918" i="5"/>
  <c r="Y1003" i="5"/>
  <c r="Y2172" i="5"/>
  <c r="Y16" i="5"/>
  <c r="Y17" i="5"/>
  <c r="Y1004" i="5"/>
  <c r="Y1869" i="5"/>
  <c r="Y1726" i="5"/>
  <c r="Y50" i="5"/>
  <c r="Y706" i="5"/>
  <c r="Y707" i="5"/>
  <c r="Y310" i="5"/>
  <c r="Y613" i="5"/>
  <c r="Y128" i="5"/>
  <c r="Y852" i="5"/>
  <c r="Y1963" i="5"/>
  <c r="Y484" i="5"/>
  <c r="Y1772" i="5"/>
  <c r="Y2052" i="5"/>
  <c r="Y1005" i="5"/>
  <c r="Y51" i="5"/>
  <c r="Y1383" i="5"/>
  <c r="Y1231" i="5"/>
  <c r="Y129" i="5"/>
  <c r="Y311" i="5"/>
  <c r="Y1164" i="5"/>
  <c r="Y130" i="5"/>
  <c r="Y228" i="5"/>
  <c r="Y708" i="5"/>
  <c r="Y1626" i="5"/>
  <c r="Y2173" i="5"/>
  <c r="Y2174" i="5"/>
  <c r="Y1495" i="5"/>
  <c r="Y1094" i="5"/>
  <c r="Y1095" i="5"/>
  <c r="Y1870" i="5"/>
  <c r="Y1727" i="5"/>
  <c r="Y194" i="5"/>
  <c r="Y1545" i="5"/>
  <c r="Y1165" i="5"/>
  <c r="Y2120" i="5"/>
  <c r="Y1871" i="5"/>
  <c r="Y1872" i="5"/>
  <c r="Y229" i="5"/>
  <c r="Y1919" i="5"/>
  <c r="Y931" i="5"/>
  <c r="Y1166" i="5"/>
  <c r="Y18" i="5"/>
  <c r="Y614" i="5"/>
  <c r="Y615" i="5"/>
  <c r="Y2121" i="5"/>
  <c r="Y2053" i="5"/>
  <c r="Y1006" i="5"/>
  <c r="Y2005" i="5"/>
  <c r="Y1546" i="5"/>
  <c r="Y1384" i="5"/>
  <c r="Y485" i="5"/>
  <c r="Y563" i="5"/>
  <c r="Y782" i="5"/>
  <c r="Y1920" i="5"/>
  <c r="Y1921" i="5"/>
  <c r="Y354" i="5"/>
  <c r="Y433" i="5"/>
  <c r="Y2122" i="5"/>
  <c r="Y1547" i="5"/>
  <c r="Y1007" i="5"/>
  <c r="Y2054" i="5"/>
  <c r="Y1728" i="5"/>
  <c r="Y160" i="5"/>
  <c r="Y161" i="5"/>
  <c r="Y1815" i="5"/>
  <c r="Y564" i="5"/>
  <c r="Y312" i="5"/>
  <c r="Y313" i="5"/>
  <c r="Y486" i="5"/>
  <c r="Y1008" i="5"/>
  <c r="Y1009" i="5"/>
  <c r="Y1674" i="5"/>
  <c r="Y1729" i="5"/>
  <c r="Y1548" i="5"/>
  <c r="Y434" i="5"/>
  <c r="Y1385" i="5"/>
  <c r="Y2200" i="5"/>
  <c r="Y1010" i="5"/>
  <c r="Y1386" i="5"/>
  <c r="Y783" i="5"/>
  <c r="Y1549" i="5"/>
  <c r="Y487" i="5"/>
  <c r="Y1816" i="5"/>
  <c r="Y1675" i="5"/>
  <c r="Y1676" i="5"/>
  <c r="Y1387" i="5"/>
  <c r="Y616" i="5"/>
  <c r="Y1677" i="5"/>
  <c r="Y9" i="5"/>
  <c r="Y853" i="5"/>
  <c r="Y1773" i="5"/>
  <c r="Y2055" i="5"/>
  <c r="Y488" i="5"/>
  <c r="Y1627" i="5"/>
  <c r="Y195" i="5"/>
  <c r="Y932" i="5"/>
  <c r="Y1388" i="5"/>
  <c r="Y1389" i="5"/>
  <c r="Y617" i="5"/>
  <c r="Y1011" i="5"/>
  <c r="Y1287" i="5"/>
  <c r="Y394" i="5"/>
  <c r="Y2056" i="5"/>
  <c r="Y1232" i="5"/>
  <c r="Y1330" i="5"/>
  <c r="Y2154" i="5"/>
  <c r="Y1288" i="5"/>
  <c r="Y230" i="5"/>
  <c r="Y1873" i="5"/>
  <c r="Y1096" i="5"/>
  <c r="Y196" i="5"/>
  <c r="Y197" i="5"/>
  <c r="Y1233" i="5"/>
  <c r="Y2006" i="5"/>
  <c r="Y19" i="5"/>
  <c r="Y1964" i="5"/>
  <c r="Y489" i="5"/>
  <c r="Y1922" i="5"/>
  <c r="Y618" i="5"/>
  <c r="Y2201" i="5"/>
  <c r="Y435" i="5"/>
  <c r="Y2175" i="5"/>
  <c r="Y709" i="5"/>
  <c r="Y1331" i="5"/>
  <c r="Y619" i="5"/>
  <c r="Y620" i="5"/>
  <c r="Y2123" i="5"/>
  <c r="Y274" i="5"/>
  <c r="Y933" i="5"/>
  <c r="Y1167" i="5"/>
  <c r="Y1390" i="5"/>
  <c r="Y1923" i="5"/>
  <c r="Y314" i="5"/>
  <c r="Y315" i="5"/>
  <c r="Y1391" i="5"/>
  <c r="Y1454" i="5"/>
  <c r="Y1012" i="5"/>
  <c r="Y1168" i="5"/>
  <c r="Y1392" i="5"/>
  <c r="Y162" i="5"/>
  <c r="Y2007" i="5"/>
  <c r="Y1332" i="5"/>
  <c r="Y2202" i="5"/>
  <c r="Y784" i="5"/>
  <c r="Y2057" i="5"/>
  <c r="Y1234" i="5"/>
  <c r="Y395" i="5"/>
  <c r="Y1550" i="5"/>
  <c r="Y3" i="5"/>
  <c r="Y275" i="5"/>
  <c r="Y396" i="5"/>
  <c r="Y1169" i="5"/>
  <c r="Y854" i="5"/>
  <c r="Y565" i="5"/>
  <c r="Y2124" i="5"/>
  <c r="Y710" i="5"/>
  <c r="Y1965" i="5"/>
  <c r="Y1393" i="5"/>
  <c r="Y1817" i="5"/>
  <c r="Y934" i="5"/>
  <c r="Y2008" i="5"/>
  <c r="Y1394" i="5"/>
  <c r="Y1395" i="5"/>
  <c r="Y316" i="5"/>
  <c r="Y317" i="5"/>
  <c r="Y2125" i="5"/>
  <c r="Y1730" i="5"/>
  <c r="Y1097" i="5"/>
  <c r="Y1098" i="5"/>
  <c r="Y1333" i="5"/>
  <c r="Y1099" i="5"/>
  <c r="Y1678" i="5"/>
  <c r="Y1289" i="5"/>
  <c r="Y1170" i="5"/>
  <c r="Y1171" i="5"/>
  <c r="Y38" i="5"/>
  <c r="Y39" i="5"/>
  <c r="Y2186" i="5"/>
  <c r="Y100" i="5"/>
  <c r="Y101" i="5"/>
  <c r="Y318" i="5"/>
  <c r="Y102" i="5"/>
  <c r="Y103" i="5"/>
  <c r="Y1172" i="5"/>
  <c r="Y2" i="5"/>
  <c r="Y621" i="5"/>
  <c r="Y785" i="5"/>
  <c r="Y1455" i="5"/>
  <c r="Y1731" i="5"/>
  <c r="Y436" i="5"/>
  <c r="Y1774" i="5"/>
  <c r="Y1456" i="5"/>
  <c r="Y40" i="5"/>
  <c r="Y1496" i="5"/>
  <c r="Y1497" i="5"/>
  <c r="Y2176" i="5"/>
  <c r="Y490" i="5"/>
  <c r="Y2126" i="5"/>
  <c r="Y2127" i="5"/>
  <c r="Y711" i="5"/>
  <c r="Y1679" i="5"/>
  <c r="Y1628" i="5"/>
  <c r="Y2058" i="5"/>
  <c r="Y131" i="5"/>
  <c r="Y104" i="5"/>
  <c r="Y105" i="5"/>
  <c r="Y1100" i="5"/>
  <c r="Y397" i="5"/>
  <c r="Y2177" i="5"/>
  <c r="Y786" i="5"/>
  <c r="Y787" i="5"/>
  <c r="Y788" i="5"/>
  <c r="Y2009" i="5"/>
  <c r="Y855" i="5"/>
  <c r="Y132" i="5"/>
  <c r="Y1101" i="5"/>
  <c r="Y1102" i="5"/>
  <c r="Y2059" i="5"/>
  <c r="Y1173" i="5"/>
  <c r="Y1103" i="5"/>
  <c r="Y4" i="5"/>
  <c r="Y1290" i="5"/>
  <c r="Y1334" i="5"/>
  <c r="Y1732" i="5"/>
  <c r="Y1874" i="5"/>
  <c r="Y1818" i="5"/>
  <c r="Y1966" i="5"/>
  <c r="Y2060" i="5"/>
  <c r="Y491" i="5"/>
  <c r="Y1924" i="5"/>
  <c r="Y72" i="5"/>
  <c r="Y106" i="5"/>
  <c r="Y1733" i="5"/>
  <c r="Y2187" i="5"/>
  <c r="Y2188" i="5"/>
  <c r="Y1291" i="5"/>
  <c r="Y1104" i="5"/>
  <c r="Y1775" i="5"/>
  <c r="Y319" i="5"/>
  <c r="Y320" i="5"/>
  <c r="Y712" i="5"/>
  <c r="Y1776" i="5"/>
  <c r="Y1174" i="5"/>
  <c r="Y1551" i="5"/>
  <c r="Y198" i="5"/>
  <c r="Y1396" i="5"/>
  <c r="Y1175" i="5"/>
  <c r="Y622" i="5"/>
  <c r="Y1875" i="5"/>
  <c r="Y1588" i="5"/>
  <c r="Y2155" i="5"/>
  <c r="Y492" i="5"/>
  <c r="Y493" i="5"/>
  <c r="Y1819" i="5"/>
  <c r="Y1498" i="5"/>
  <c r="Y1013" i="5"/>
  <c r="Y1397" i="5"/>
  <c r="Y2189" i="5"/>
  <c r="Y1777" i="5"/>
  <c r="Y2178" i="5"/>
  <c r="Y623" i="5"/>
  <c r="Y1105" i="5"/>
  <c r="Y2203" i="5"/>
  <c r="Y494" i="5"/>
  <c r="Y1335" i="5"/>
  <c r="Y1014" i="5"/>
  <c r="Y1292" i="5"/>
  <c r="Y1876" i="5"/>
  <c r="Y1176" i="5"/>
  <c r="Y1398" i="5"/>
  <c r="Y1106" i="5"/>
  <c r="Y935" i="5"/>
  <c r="Y1629" i="5"/>
  <c r="Y936" i="5"/>
  <c r="Y937" i="5"/>
  <c r="Y624" i="5"/>
  <c r="Y789" i="5"/>
  <c r="Y1967" i="5"/>
  <c r="Y1457" i="5"/>
  <c r="Y1458" i="5"/>
  <c r="Y1680" i="5"/>
  <c r="Y1734" i="5"/>
  <c r="Y1778" i="5"/>
  <c r="Y1779" i="5"/>
  <c r="Y1780" i="5"/>
  <c r="Y790" i="5"/>
  <c r="Y231" i="5"/>
  <c r="Y791" i="5"/>
  <c r="Y856" i="5"/>
  <c r="Y1925" i="5"/>
  <c r="Y1926" i="5"/>
  <c r="Y1552" i="5"/>
  <c r="Y857" i="5"/>
  <c r="Y398" i="5"/>
  <c r="Y2210" i="5"/>
  <c r="Y1399" i="5"/>
  <c r="Y1877" i="5"/>
  <c r="Y1735" i="5"/>
  <c r="Y1177" i="5"/>
  <c r="Y321" i="5"/>
  <c r="Y1736" i="5"/>
  <c r="Y713" i="5"/>
  <c r="Y625" i="5"/>
  <c r="Y626" i="5"/>
  <c r="Y1293" i="5"/>
  <c r="Y2216" i="5"/>
  <c r="Y1681" i="5"/>
  <c r="Y1737" i="5"/>
  <c r="Y2061" i="5"/>
  <c r="Y627" i="5"/>
  <c r="Y2090" i="5"/>
  <c r="Y1820" i="5"/>
  <c r="Y1821" i="5"/>
  <c r="Y1781" i="5"/>
  <c r="Y2010" i="5"/>
  <c r="Y495" i="5"/>
  <c r="Y1015" i="5"/>
  <c r="Y1016" i="5"/>
  <c r="Y1107" i="5"/>
  <c r="Y1235" i="5"/>
  <c r="Y1927" i="5"/>
  <c r="Y52" i="5"/>
  <c r="Y1968" i="5"/>
  <c r="Y1928" i="5"/>
  <c r="Y938" i="5"/>
  <c r="Y73" i="5"/>
  <c r="Y1108" i="5"/>
  <c r="Y199" i="5"/>
  <c r="Y1589" i="5"/>
  <c r="Y1590" i="5"/>
  <c r="Y1499" i="5"/>
  <c r="Y1400" i="5"/>
  <c r="Y1459" i="5"/>
  <c r="Y1969" i="5"/>
  <c r="Y1460" i="5"/>
  <c r="Y1822" i="5"/>
  <c r="Y2190" i="5"/>
  <c r="Y2191" i="5"/>
  <c r="Y2011" i="5"/>
  <c r="Y792" i="5"/>
  <c r="Y1461" i="5"/>
  <c r="Y1236" i="5"/>
  <c r="Y1823" i="5"/>
  <c r="Y1824" i="5"/>
  <c r="Y1553" i="5"/>
  <c r="Y496" i="5"/>
  <c r="Y1237" i="5"/>
  <c r="Y1238" i="5"/>
  <c r="Y1239" i="5"/>
  <c r="Y1336" i="5"/>
  <c r="Y1337" i="5"/>
  <c r="Y437" i="5"/>
  <c r="Y497" i="5"/>
  <c r="Y498" i="5"/>
  <c r="Y1109" i="5"/>
  <c r="Y1929" i="5"/>
  <c r="Y858" i="5"/>
  <c r="Y1462" i="5"/>
  <c r="Y1630" i="5"/>
  <c r="Y1631" i="5"/>
  <c r="Y1591" i="5"/>
  <c r="Y1592" i="5"/>
  <c r="Y2204" i="5"/>
  <c r="Y1294" i="5"/>
  <c r="Y322" i="5"/>
  <c r="Y24" i="5"/>
  <c r="Y793" i="5"/>
  <c r="Y794" i="5"/>
  <c r="Y2091" i="5"/>
  <c r="Y1682" i="5"/>
  <c r="Y2012" i="5"/>
  <c r="Y399" i="5"/>
  <c r="Y1295" i="5"/>
  <c r="Y1878" i="5"/>
  <c r="Y1879" i="5"/>
  <c r="Y1463" i="5"/>
  <c r="Y1178" i="5"/>
  <c r="Y163" i="5"/>
  <c r="Y1683" i="5"/>
  <c r="Y2205" i="5"/>
  <c r="Y2128" i="5"/>
  <c r="Y2129" i="5"/>
  <c r="Y1930" i="5"/>
  <c r="Y1931" i="5"/>
  <c r="Y1632" i="5"/>
  <c r="Y1633" i="5"/>
  <c r="Y1179" i="5"/>
  <c r="Y1401" i="5"/>
  <c r="Y939" i="5"/>
  <c r="Y1402" i="5"/>
  <c r="Y1932" i="5"/>
  <c r="Y1933" i="5"/>
  <c r="Y1554" i="5"/>
  <c r="Y1970" i="5"/>
  <c r="Y1880" i="5"/>
  <c r="Y1296" i="5"/>
  <c r="Y1825" i="5"/>
  <c r="Y438" i="5"/>
  <c r="Y1110" i="5"/>
  <c r="Y1111" i="5"/>
  <c r="Y1684" i="5"/>
  <c r="Y2013" i="5"/>
  <c r="Y2014" i="5"/>
  <c r="Y940" i="5"/>
  <c r="Y1634" i="5"/>
  <c r="Y1782" i="5"/>
  <c r="Y1180" i="5"/>
  <c r="Y2192" i="5"/>
  <c r="Y628" i="5"/>
  <c r="Y1826" i="5"/>
  <c r="Y941" i="5"/>
  <c r="Y2015" i="5"/>
  <c r="Y566" i="5"/>
  <c r="Y1593" i="5"/>
  <c r="Y795" i="5"/>
  <c r="Y714" i="5"/>
  <c r="Y1112" i="5"/>
  <c r="Y1464" i="5"/>
  <c r="Y439" i="5"/>
  <c r="Y440" i="5"/>
  <c r="Y2016" i="5"/>
  <c r="Y1465" i="5"/>
  <c r="Y1594" i="5"/>
  <c r="Y133" i="5"/>
  <c r="Y1113" i="5"/>
  <c r="Y1240" i="5"/>
  <c r="Y41" i="5"/>
  <c r="Y1403" i="5"/>
  <c r="Y1404" i="5"/>
  <c r="Y2156" i="5"/>
  <c r="Y715" i="5"/>
  <c r="Y323" i="5"/>
  <c r="Y499" i="5"/>
  <c r="Y1738" i="5"/>
  <c r="Y1241" i="5"/>
  <c r="Y1338" i="5"/>
  <c r="Y1339" i="5"/>
  <c r="Y1881" i="5"/>
  <c r="Y1971" i="5"/>
  <c r="Y1685" i="5"/>
  <c r="Y1297" i="5"/>
  <c r="Y1114" i="5"/>
  <c r="Y1686" i="5"/>
  <c r="Y1739" i="5"/>
  <c r="Y629" i="5"/>
  <c r="Y400" i="5"/>
  <c r="Y2017" i="5"/>
  <c r="Y716" i="5"/>
  <c r="Y2092" i="5"/>
  <c r="Y1466" i="5"/>
  <c r="Y1340" i="5"/>
  <c r="Y441" i="5"/>
  <c r="Y1827" i="5"/>
  <c r="Y2062" i="5"/>
  <c r="Y232" i="5"/>
  <c r="Y717" i="5"/>
  <c r="Y1467" i="5"/>
  <c r="Y1017" i="5"/>
  <c r="Y718" i="5"/>
  <c r="Y1595" i="5"/>
  <c r="Y1596" i="5"/>
  <c r="Y1018" i="5"/>
  <c r="Y1019" i="5"/>
  <c r="Y630" i="5"/>
  <c r="Y442" i="5"/>
  <c r="Y443" i="5"/>
  <c r="Y859" i="5"/>
  <c r="Y1828" i="5"/>
  <c r="Y860" i="5"/>
  <c r="Y2157" i="5"/>
  <c r="Y500" i="5"/>
  <c r="Y1405" i="5"/>
  <c r="Y444" i="5"/>
  <c r="Y796" i="5"/>
  <c r="Y1934" i="5"/>
  <c r="Y631" i="5"/>
  <c r="Y942" i="5"/>
  <c r="Y1882" i="5"/>
  <c r="Y1115" i="5"/>
  <c r="Y943" i="5"/>
  <c r="Y1883" i="5"/>
  <c r="Y632" i="5"/>
  <c r="Y1406" i="5"/>
  <c r="Y1407" i="5"/>
  <c r="Y944" i="5"/>
  <c r="Y567" i="5"/>
  <c r="Y1408" i="5"/>
  <c r="Y945" i="5"/>
  <c r="Y719" i="5"/>
  <c r="Y2093" i="5"/>
  <c r="Y1555" i="5"/>
  <c r="Y2063" i="5"/>
  <c r="Y2064" i="5"/>
  <c r="Y2018" i="5"/>
  <c r="Y1972" i="5"/>
  <c r="Y1468" i="5"/>
  <c r="Y2094" i="5"/>
  <c r="Y2095" i="5"/>
  <c r="Y1556" i="5"/>
  <c r="Y1298" i="5"/>
  <c r="Y1597" i="5"/>
  <c r="Y1935" i="5"/>
  <c r="Y1299" i="5"/>
  <c r="Y74" i="5"/>
  <c r="Y1687" i="5"/>
  <c r="Y861" i="5"/>
  <c r="Y1181" i="5"/>
  <c r="Y1829" i="5"/>
  <c r="Y1116" i="5"/>
  <c r="Y1409" i="5"/>
  <c r="Y355" i="5"/>
  <c r="Y1830" i="5"/>
  <c r="Y1557" i="5"/>
  <c r="Y1558" i="5"/>
  <c r="Y2130" i="5"/>
  <c r="Y633" i="5"/>
  <c r="Y324" i="5"/>
  <c r="Y1242" i="5"/>
  <c r="Y1243" i="5"/>
  <c r="Y1469" i="5"/>
  <c r="Y797" i="5"/>
  <c r="Y1884" i="5"/>
  <c r="Y1559" i="5"/>
  <c r="Y1635" i="5"/>
  <c r="Y1973" i="5"/>
  <c r="Y1020" i="5"/>
  <c r="Y720" i="5"/>
  <c r="Y721" i="5"/>
  <c r="Y1470" i="5"/>
  <c r="Y356" i="5"/>
  <c r="Y1885" i="5"/>
  <c r="Y2065" i="5"/>
  <c r="Y1783" i="5"/>
  <c r="Y1831" i="5"/>
  <c r="Y1688" i="5"/>
  <c r="Y1182" i="5"/>
  <c r="Y445" i="5"/>
  <c r="Y1560" i="5"/>
  <c r="Y1886" i="5"/>
  <c r="Y1689" i="5"/>
  <c r="Y568" i="5"/>
  <c r="Y325" i="5"/>
  <c r="Y1410" i="5"/>
  <c r="Y862" i="5"/>
  <c r="Y501" i="5"/>
  <c r="Y1341" i="5"/>
  <c r="Y1936" i="5"/>
  <c r="Y1183" i="5"/>
  <c r="Y1342" i="5"/>
  <c r="Y1117" i="5"/>
  <c r="Y446" i="5"/>
  <c r="Y2066" i="5"/>
  <c r="Y2217" i="5"/>
  <c r="Y1021" i="5"/>
  <c r="Y722" i="5"/>
  <c r="Y1937" i="5"/>
  <c r="Y447" i="5"/>
  <c r="Y2067" i="5"/>
  <c r="Y1500" i="5"/>
  <c r="Y2019" i="5"/>
  <c r="Y1411" i="5"/>
  <c r="Y1343" i="5"/>
  <c r="Y1300" i="5"/>
  <c r="Y946" i="5"/>
  <c r="Y502" i="5"/>
  <c r="Y1244" i="5"/>
  <c r="Y863" i="5"/>
  <c r="Y134" i="5"/>
  <c r="Y1598" i="5"/>
  <c r="Y947" i="5"/>
  <c r="Y1599" i="5"/>
  <c r="Y2096" i="5"/>
  <c r="Y723" i="5"/>
  <c r="Y357" i="5"/>
  <c r="Y1412" i="5"/>
  <c r="Y1413" i="5"/>
  <c r="Y634" i="5"/>
  <c r="Y358" i="5"/>
  <c r="Y1022" i="5"/>
  <c r="Y1184" i="5"/>
  <c r="Y1185" i="5"/>
  <c r="Y448" i="5"/>
  <c r="Y948" i="5"/>
  <c r="Y798" i="5"/>
  <c r="Y569" i="5"/>
  <c r="Y1301" i="5"/>
  <c r="Y724" i="5"/>
  <c r="Y2097" i="5"/>
  <c r="Y2098" i="5"/>
  <c r="Y1245" i="5"/>
  <c r="Y359" i="5"/>
  <c r="Y360" i="5"/>
  <c r="Y1302" i="5"/>
  <c r="Y1501" i="5"/>
  <c r="Y725" i="5"/>
  <c r="Y1186" i="5"/>
  <c r="Y2158" i="5"/>
  <c r="Y1246" i="5"/>
  <c r="Y1561" i="5"/>
  <c r="Y1974" i="5"/>
  <c r="Y1975" i="5"/>
  <c r="Y1562" i="5"/>
  <c r="Y1414" i="5"/>
  <c r="Y2211" i="5"/>
  <c r="Y1247" i="5"/>
  <c r="Y2020" i="5"/>
  <c r="Y726" i="5"/>
  <c r="Y570" i="5"/>
  <c r="Y727" i="5"/>
  <c r="Y1471" i="5"/>
  <c r="Y1563" i="5"/>
  <c r="Y1976" i="5"/>
  <c r="Y1344" i="5"/>
  <c r="Y1023" i="5"/>
  <c r="Y2212" i="5"/>
  <c r="Y864" i="5"/>
  <c r="Y503" i="5"/>
  <c r="Y1887" i="5"/>
  <c r="Y2099" i="5"/>
  <c r="Y233" i="5"/>
  <c r="Y635" i="5"/>
  <c r="Y636" i="5"/>
  <c r="Y571" i="5"/>
  <c r="Y200" i="5"/>
  <c r="Y1832" i="5"/>
  <c r="Y1118" i="5"/>
  <c r="Y1784" i="5"/>
  <c r="Y949" i="5"/>
  <c r="Y1415" i="5"/>
  <c r="Y1833" i="5"/>
  <c r="Y1024" i="5"/>
  <c r="Y1187" i="5"/>
  <c r="Y1188" i="5"/>
  <c r="Y1119" i="5"/>
  <c r="Y865" i="5"/>
  <c r="Y1834" i="5"/>
  <c r="Y1690" i="5"/>
  <c r="Y1600" i="5"/>
  <c r="Y504" i="5"/>
  <c r="Y572" i="5"/>
  <c r="Y573" i="5"/>
  <c r="Y1189" i="5"/>
  <c r="Y1691" i="5"/>
  <c r="Y728" i="5"/>
  <c r="Y1564" i="5"/>
  <c r="Y1025" i="5"/>
  <c r="Y1026" i="5"/>
  <c r="Y1835" i="5"/>
  <c r="Y2131" i="5"/>
  <c r="Y2021" i="5"/>
  <c r="Y866" i="5"/>
  <c r="Y1601" i="5"/>
  <c r="Y1836" i="5"/>
  <c r="Y1837" i="5"/>
  <c r="Y2100" i="5"/>
  <c r="Y1502" i="5"/>
  <c r="Y361" i="5"/>
  <c r="Y2132" i="5"/>
  <c r="Y1977" i="5"/>
  <c r="Y1838" i="5"/>
  <c r="Y1839" i="5"/>
  <c r="Y1785" i="5"/>
  <c r="Y574" i="5"/>
  <c r="Y867" i="5"/>
  <c r="Y449" i="5"/>
  <c r="Y1345" i="5"/>
  <c r="Y1636" i="5"/>
  <c r="Y1303" i="5"/>
  <c r="Y1190" i="5"/>
  <c r="Y505" i="5"/>
  <c r="Y1120" i="5"/>
  <c r="Y1191" i="5"/>
  <c r="Y1416" i="5"/>
  <c r="Y868" i="5"/>
  <c r="Y1503" i="5"/>
  <c r="Y637" i="5"/>
  <c r="Y201" i="5"/>
  <c r="Y1740" i="5"/>
  <c r="Y1741" i="5"/>
  <c r="Y1888" i="5"/>
  <c r="Y638" i="5"/>
  <c r="Y1417" i="5"/>
  <c r="Y2068" i="5"/>
  <c r="Y950" i="5"/>
  <c r="Y2022" i="5"/>
  <c r="Y1978" i="5"/>
  <c r="Y1979" i="5"/>
  <c r="Y1692" i="5"/>
  <c r="Y1504" i="5"/>
  <c r="Y1192" i="5"/>
  <c r="Y799" i="5"/>
  <c r="Y639" i="5"/>
  <c r="Y2069" i="5"/>
  <c r="Y729" i="5"/>
  <c r="Y1786" i="5"/>
  <c r="Y1840" i="5"/>
  <c r="Y640" i="5"/>
  <c r="Y730" i="5"/>
  <c r="Y1121" i="5"/>
  <c r="Y506" i="5"/>
  <c r="Y1693" i="5"/>
  <c r="Y1938" i="5"/>
  <c r="Y1742" i="5"/>
  <c r="Y800" i="5"/>
  <c r="Y1841" i="5"/>
  <c r="Y1027" i="5"/>
  <c r="Y1939" i="5"/>
  <c r="Y1694" i="5"/>
  <c r="Y1787" i="5"/>
  <c r="Y869" i="5"/>
  <c r="Y1889" i="5"/>
  <c r="Y731" i="5"/>
  <c r="Y732" i="5"/>
  <c r="Y1565" i="5"/>
  <c r="Y1304" i="5"/>
  <c r="Y1028" i="5"/>
  <c r="Y507" i="5"/>
  <c r="Y1193" i="5"/>
  <c r="Y234" i="5"/>
  <c r="Y1695" i="5"/>
  <c r="Y1505" i="5"/>
  <c r="Y1506" i="5"/>
  <c r="Y2101" i="5"/>
  <c r="Y508" i="5"/>
  <c r="Y641" i="5"/>
  <c r="Y2102" i="5"/>
  <c r="Y1418" i="5"/>
  <c r="Y1305" i="5"/>
  <c r="Y870" i="5"/>
  <c r="Y1472" i="5"/>
  <c r="Y733" i="5"/>
  <c r="Y1743" i="5"/>
  <c r="Y951" i="5"/>
  <c r="Y401" i="5"/>
  <c r="Y1419" i="5"/>
  <c r="Y1637" i="5"/>
  <c r="Y642" i="5"/>
  <c r="Y2133" i="5"/>
  <c r="Y135" i="5"/>
  <c r="Y2023" i="5"/>
  <c r="Y2134" i="5"/>
  <c r="Y1744" i="5"/>
  <c r="Y1306" i="5"/>
  <c r="Y1745" i="5"/>
  <c r="Y1980" i="5"/>
  <c r="Y1420" i="5"/>
  <c r="Y42" i="5"/>
  <c r="Y643" i="5"/>
  <c r="Y644" i="5"/>
  <c r="Y2159" i="5"/>
  <c r="Y1248" i="5"/>
  <c r="Y509" i="5"/>
  <c r="Y53" i="5"/>
  <c r="Y1566" i="5"/>
  <c r="Y871" i="5"/>
  <c r="Y2221" i="5"/>
  <c r="Y1890" i="5"/>
  <c r="Y362" i="5"/>
  <c r="Y1194" i="5"/>
  <c r="Y2193" i="5"/>
  <c r="Y2194" i="5"/>
  <c r="Y1842" i="5"/>
  <c r="Y1843" i="5"/>
  <c r="Y1844" i="5"/>
  <c r="Y1845" i="5"/>
  <c r="Y2024" i="5"/>
  <c r="Y1567" i="5"/>
  <c r="Y1891" i="5"/>
  <c r="Y1746" i="5"/>
  <c r="Y1981" i="5"/>
  <c r="Y1696" i="5"/>
  <c r="Y2103" i="5"/>
  <c r="Y1249" i="5"/>
  <c r="Y1638" i="5"/>
  <c r="Y1639" i="5"/>
  <c r="Y1640" i="5"/>
  <c r="Y1747" i="5"/>
  <c r="Y1940" i="5"/>
  <c r="Y1122" i="5"/>
  <c r="Y1507" i="5"/>
  <c r="Y1788" i="5"/>
  <c r="Y1846" i="5"/>
  <c r="Y575" i="5"/>
  <c r="Y952" i="5"/>
  <c r="Y2025" i="5"/>
  <c r="Y326" i="5"/>
  <c r="Y645" i="5"/>
  <c r="Y402" i="5"/>
  <c r="Y276" i="5"/>
  <c r="Y277" i="5"/>
  <c r="Y1568" i="5"/>
  <c r="Y1789" i="5"/>
  <c r="Y1250" i="5"/>
  <c r="Y1941" i="5"/>
  <c r="Y1508" i="5"/>
  <c r="Y1748" i="5"/>
  <c r="Y2135" i="5"/>
  <c r="Y2136" i="5"/>
  <c r="Y953" i="5"/>
  <c r="Y43" i="5"/>
  <c r="Y646" i="5"/>
  <c r="Y647" i="5"/>
  <c r="Y1602" i="5"/>
  <c r="Y801" i="5"/>
  <c r="Y1892" i="5"/>
  <c r="Y2026" i="5"/>
  <c r="Y1346" i="5"/>
  <c r="Y1347" i="5"/>
  <c r="Y1749" i="5"/>
  <c r="Y648" i="5"/>
  <c r="Y734" i="5"/>
  <c r="Y1029" i="5"/>
  <c r="Y954" i="5"/>
  <c r="Y1509" i="5"/>
  <c r="Y1893" i="5"/>
  <c r="Y2027" i="5"/>
  <c r="Y2070" i="5"/>
  <c r="Y1030" i="5"/>
  <c r="Y649" i="5"/>
  <c r="Y802" i="5"/>
  <c r="Y2137" i="5"/>
  <c r="Y1641" i="5"/>
  <c r="Y1031" i="5"/>
  <c r="Y1473" i="5"/>
  <c r="Y872" i="5"/>
  <c r="Y2071" i="5"/>
  <c r="Y1251" i="5"/>
  <c r="Y2218" i="5"/>
  <c r="Y2219" i="5"/>
  <c r="Y1474" i="5"/>
  <c r="Y1510" i="5"/>
  <c r="Y1511" i="5"/>
  <c r="Y1642" i="5"/>
  <c r="Y1348" i="5"/>
  <c r="Y1512" i="5"/>
  <c r="Y1982" i="5"/>
  <c r="Y25" i="5"/>
  <c r="Y2104" i="5"/>
  <c r="Y1195" i="5"/>
  <c r="Y1894" i="5"/>
  <c r="Y1513" i="5"/>
  <c r="Y2105" i="5"/>
  <c r="Y1983" i="5"/>
  <c r="Y450" i="5"/>
  <c r="Y873" i="5"/>
  <c r="Y874" i="5"/>
  <c r="Y875" i="5"/>
  <c r="Y1603" i="5"/>
  <c r="Y1196" i="5"/>
  <c r="Y1847" i="5"/>
  <c r="Y1750" i="5"/>
  <c r="Y803" i="5"/>
  <c r="Y735" i="5"/>
  <c r="Y2138" i="5"/>
  <c r="Y2106" i="5"/>
  <c r="Y1421" i="5"/>
  <c r="Y2028" i="5"/>
  <c r="Y1643" i="5"/>
  <c r="Y804" i="5"/>
  <c r="Y403" i="5"/>
  <c r="Y1644" i="5"/>
  <c r="Y1307" i="5"/>
  <c r="Y736" i="5"/>
  <c r="Y1790" i="5"/>
  <c r="Y1984" i="5"/>
  <c r="Y451" i="5"/>
  <c r="Y737" i="5"/>
  <c r="Y2139" i="5"/>
  <c r="Y1349" i="5"/>
  <c r="Y1645" i="5"/>
  <c r="Y2072" i="5"/>
  <c r="Y2073" i="5"/>
  <c r="Y1791" i="5"/>
  <c r="Y1569" i="5"/>
  <c r="Y2029" i="5"/>
  <c r="Y1032" i="5"/>
  <c r="Y1422" i="5"/>
  <c r="Y650" i="5"/>
  <c r="Y510" i="5"/>
  <c r="Y1423" i="5"/>
  <c r="Y1848" i="5"/>
  <c r="Y1849" i="5"/>
  <c r="Y576" i="5"/>
  <c r="Y136" i="5"/>
  <c r="Y1475" i="5"/>
  <c r="Y1308" i="5"/>
  <c r="Y1424" i="5"/>
  <c r="Y1425" i="5"/>
  <c r="Y876" i="5"/>
  <c r="Y1197" i="5"/>
  <c r="Y1646" i="5"/>
  <c r="Y738" i="5"/>
  <c r="Y1514" i="5"/>
  <c r="Y1942" i="5"/>
  <c r="Y1350" i="5"/>
  <c r="Y1751" i="5"/>
  <c r="Y2160" i="5"/>
  <c r="Y2161" i="5"/>
  <c r="Y2030" i="5"/>
  <c r="Y1752" i="5"/>
  <c r="Y1604" i="5"/>
  <c r="Y1033" i="5"/>
  <c r="Y955" i="5"/>
  <c r="Y956" i="5"/>
  <c r="Y1895" i="5"/>
  <c r="Y511" i="5"/>
  <c r="Y805" i="5"/>
  <c r="Y1943" i="5"/>
  <c r="Y957" i="5"/>
  <c r="Y651" i="5"/>
  <c r="Y1985" i="5"/>
  <c r="Y739" i="5"/>
  <c r="Y75" i="5"/>
  <c r="Y652" i="5"/>
  <c r="Y1570" i="5"/>
  <c r="Y740" i="5"/>
  <c r="Y741" i="5"/>
  <c r="Y742" i="5"/>
  <c r="Y1850" i="5"/>
  <c r="Y877" i="5"/>
  <c r="Y1851" i="5"/>
  <c r="Y958" i="5"/>
  <c r="Y653" i="5"/>
  <c r="Y1896" i="5"/>
  <c r="Y1897" i="5"/>
  <c r="Y806" i="5"/>
  <c r="Y1476" i="5"/>
  <c r="Y1605" i="5"/>
  <c r="Y164" i="5"/>
  <c r="Y1477" i="5"/>
  <c r="Y1351" i="5"/>
  <c r="Y807" i="5"/>
  <c r="Y404" i="5"/>
  <c r="Y808" i="5"/>
  <c r="Y1478" i="5"/>
  <c r="Y1479" i="5"/>
  <c r="Y1944" i="5"/>
  <c r="Y1252" i="5"/>
  <c r="Y1034" i="5"/>
  <c r="Y2162" i="5"/>
  <c r="Y2206" i="5"/>
  <c r="Y743" i="5"/>
  <c r="Y809" i="5"/>
  <c r="Y107" i="5"/>
  <c r="Y327" i="5"/>
  <c r="Y1571" i="5"/>
  <c r="Y1753" i="5"/>
  <c r="Y1515" i="5"/>
  <c r="Y1426" i="5"/>
  <c r="Y1427" i="5"/>
  <c r="Y2163" i="5"/>
  <c r="Y810" i="5"/>
  <c r="Y452" i="5"/>
  <c r="Y2213" i="5"/>
  <c r="Y811" i="5"/>
  <c r="Y812" i="5"/>
  <c r="Y405" i="5"/>
  <c r="Y363" i="5"/>
  <c r="Y1309" i="5"/>
  <c r="Y1697" i="5"/>
  <c r="Y1123" i="5"/>
  <c r="Y1352" i="5"/>
  <c r="Y1353" i="5"/>
  <c r="Y2074" i="5"/>
  <c r="Y1035" i="5"/>
  <c r="Y1198" i="5"/>
  <c r="Y1945" i="5"/>
  <c r="Y1354" i="5"/>
  <c r="Y1647" i="5"/>
  <c r="Y1124" i="5"/>
  <c r="Y959" i="5"/>
  <c r="Y1036" i="5"/>
  <c r="Y1428" i="5"/>
  <c r="Y813" i="5"/>
  <c r="Y1253" i="5"/>
  <c r="Y1429" i="5"/>
  <c r="Y512" i="5"/>
  <c r="Y960" i="5"/>
  <c r="Y202" i="5"/>
  <c r="Y744" i="5"/>
  <c r="Y1430" i="5"/>
  <c r="Y1125" i="5"/>
  <c r="Y2031" i="5"/>
  <c r="Y1126" i="5"/>
  <c r="Y1792" i="5"/>
  <c r="Y2195" i="5"/>
  <c r="Y1199" i="5"/>
  <c r="Y878" i="5"/>
  <c r="Y406" i="5"/>
  <c r="Y407" i="5"/>
  <c r="Y1037" i="5"/>
  <c r="Y328" i="5"/>
  <c r="Y1254" i="5"/>
  <c r="Y513" i="5"/>
  <c r="Y2032" i="5"/>
  <c r="Y278" i="5"/>
  <c r="Y1200" i="5"/>
  <c r="Y1201" i="5"/>
  <c r="Y1355" i="5"/>
  <c r="Y408" i="5"/>
  <c r="Y1356" i="5"/>
  <c r="Y2033" i="5"/>
  <c r="Y1357" i="5"/>
  <c r="Y814" i="5"/>
  <c r="Y1038" i="5"/>
  <c r="Y961" i="5"/>
  <c r="Y577" i="5"/>
  <c r="Y2075" i="5"/>
  <c r="Y1202" i="5"/>
  <c r="Y1793" i="5"/>
  <c r="Y745" i="5"/>
  <c r="Y879" i="5"/>
  <c r="Y1127" i="5"/>
  <c r="Y815" i="5"/>
  <c r="Y578" i="5"/>
  <c r="Y2107" i="5"/>
  <c r="Y1039" i="5"/>
  <c r="Y1572" i="5"/>
  <c r="Y1040" i="5"/>
  <c r="Y1203" i="5"/>
  <c r="Y1431" i="5"/>
  <c r="Y235" i="5"/>
  <c r="Y514" i="5"/>
  <c r="Y44" i="5"/>
  <c r="Y26" i="5"/>
  <c r="Y1310" i="5"/>
  <c r="Y962" i="5"/>
  <c r="Y1946" i="5"/>
  <c r="Y1898" i="5"/>
  <c r="Y1899" i="5"/>
  <c r="Y1255" i="5"/>
  <c r="Y816" i="5"/>
  <c r="Y515" i="5"/>
  <c r="Y1480" i="5"/>
  <c r="Y1481" i="5"/>
  <c r="Y654" i="5"/>
  <c r="Y880" i="5"/>
  <c r="Y881" i="5"/>
  <c r="Y1041" i="5"/>
  <c r="Y364" i="5"/>
  <c r="Y963" i="5"/>
  <c r="Y76" i="5"/>
  <c r="Y165" i="5"/>
  <c r="Y166" i="5"/>
  <c r="Y817" i="5"/>
  <c r="Y1754" i="5"/>
  <c r="Y1698" i="5"/>
  <c r="Y1204" i="5"/>
  <c r="Y1794" i="5"/>
  <c r="Y236" i="5"/>
  <c r="Y2164" i="5"/>
  <c r="Y1205" i="5"/>
  <c r="Y365" i="5"/>
  <c r="Y746" i="5"/>
  <c r="Y329" i="5"/>
  <c r="Y1042" i="5"/>
  <c r="Y366" i="5"/>
  <c r="Y579" i="5"/>
  <c r="Y580" i="5"/>
  <c r="Y516" i="5"/>
  <c r="Y137" i="5"/>
  <c r="Y138" i="5"/>
  <c r="Y517" i="5"/>
  <c r="Y367" i="5"/>
  <c r="Y108" i="5"/>
  <c r="Y409" i="5"/>
  <c r="Y1900" i="5"/>
  <c r="Y1256" i="5"/>
  <c r="Y1482" i="5"/>
  <c r="Y747" i="5"/>
  <c r="Y964" i="5"/>
  <c r="Y1483" i="5"/>
  <c r="Y518" i="5"/>
  <c r="Y1484" i="5"/>
  <c r="Y203" i="5"/>
  <c r="Y1986" i="5"/>
  <c r="Y581" i="5"/>
  <c r="Y1795" i="5"/>
  <c r="Y167" i="5"/>
  <c r="Y1257" i="5"/>
  <c r="Y1258" i="5"/>
  <c r="Y1648" i="5"/>
  <c r="Y519" i="5"/>
  <c r="Y2108" i="5"/>
  <c r="Y582" i="5"/>
  <c r="Y1259" i="5"/>
  <c r="Y330" i="5"/>
  <c r="Y1206" i="5"/>
  <c r="Y139" i="5"/>
  <c r="Y520" i="5"/>
  <c r="Y1516" i="5"/>
  <c r="Y2034" i="5"/>
  <c r="Y1043" i="5"/>
  <c r="Y1485" i="5"/>
  <c r="Y748" i="5"/>
  <c r="Y655" i="5"/>
  <c r="Y1432" i="5"/>
  <c r="Y1796" i="5"/>
  <c r="Y1260" i="5"/>
  <c r="Y2076" i="5"/>
  <c r="Y2077" i="5"/>
  <c r="Y453" i="5"/>
  <c r="Y1433" i="5"/>
  <c r="Y1207" i="5"/>
  <c r="Y1208" i="5"/>
  <c r="Y1128" i="5"/>
  <c r="Y1261" i="5"/>
  <c r="Y331" i="5"/>
  <c r="Y1987" i="5"/>
  <c r="Y1797" i="5"/>
  <c r="Y2035" i="5"/>
  <c r="Y818" i="5"/>
  <c r="Y965" i="5"/>
  <c r="Y966" i="5"/>
  <c r="Y1311" i="5"/>
  <c r="Y583" i="5"/>
  <c r="Y749" i="5"/>
  <c r="Y368" i="5"/>
  <c r="Y204" i="5"/>
  <c r="Y237" i="5"/>
  <c r="Y2036" i="5"/>
  <c r="Y819" i="5"/>
  <c r="Y820" i="5"/>
  <c r="Y279" i="5"/>
  <c r="Y280" i="5"/>
  <c r="Y281" i="5"/>
  <c r="Y1947" i="5"/>
  <c r="Y1948" i="5"/>
  <c r="Y1209" i="5"/>
  <c r="Y1044" i="5"/>
  <c r="Y584" i="5"/>
  <c r="Y2078" i="5"/>
  <c r="Y1045" i="5"/>
  <c r="Y109" i="5"/>
  <c r="Y1988" i="5"/>
  <c r="Y238" i="5"/>
  <c r="Y369" i="5"/>
  <c r="Y332" i="5"/>
  <c r="Y1573" i="5"/>
  <c r="Y1517" i="5"/>
  <c r="Y282" i="5"/>
  <c r="Y882" i="5"/>
  <c r="Y656" i="5"/>
  <c r="Y1649" i="5"/>
  <c r="Y821" i="5"/>
  <c r="Y168" i="5"/>
  <c r="Y283" i="5"/>
  <c r="Y1949" i="5"/>
  <c r="Y1950" i="5"/>
  <c r="Y967" i="5"/>
  <c r="Y883" i="5"/>
  <c r="Y1901" i="5"/>
  <c r="Y1902" i="5"/>
  <c r="Y968" i="5"/>
  <c r="Y110" i="5"/>
  <c r="Y1129" i="5"/>
  <c r="Y1699" i="5"/>
  <c r="Y2140" i="5"/>
  <c r="Y969" i="5"/>
  <c r="Y1755" i="5"/>
  <c r="Y1903" i="5"/>
  <c r="Y521" i="5"/>
  <c r="Y77" i="5"/>
  <c r="Y239" i="5"/>
  <c r="Y522" i="5"/>
  <c r="Y1518" i="5"/>
  <c r="Y1519" i="5"/>
  <c r="Y523" i="5"/>
  <c r="Y1046" i="5"/>
  <c r="Y970" i="5"/>
  <c r="Y971" i="5"/>
  <c r="Y884" i="5"/>
  <c r="Y524" i="5"/>
  <c r="Y370" i="5"/>
  <c r="Y333" i="5"/>
  <c r="Y169" i="5"/>
  <c r="Y1904" i="5"/>
  <c r="Y1905" i="5"/>
  <c r="Y1262" i="5"/>
  <c r="Y525" i="5"/>
  <c r="Y822" i="5"/>
  <c r="Y1210" i="5"/>
  <c r="Y1211" i="5"/>
  <c r="Y78" i="5"/>
  <c r="Y1700" i="5"/>
  <c r="Y1263" i="5"/>
  <c r="Y1047" i="5"/>
  <c r="Y1650" i="5"/>
  <c r="Y1130" i="5"/>
  <c r="Y170" i="5"/>
  <c r="Y1048" i="5"/>
  <c r="Y1358" i="5"/>
  <c r="Y240" i="5"/>
  <c r="Y526" i="5"/>
  <c r="Y1131" i="5"/>
  <c r="Y2109" i="5"/>
  <c r="Y885" i="5"/>
  <c r="Y205" i="5"/>
  <c r="Y1574" i="5"/>
  <c r="Y972" i="5"/>
  <c r="Y585" i="5"/>
  <c r="Y2196" i="5"/>
  <c r="Y2197" i="5"/>
  <c r="Y973" i="5"/>
  <c r="Y1359" i="5"/>
  <c r="Y1360" i="5"/>
  <c r="Y527" i="5"/>
  <c r="Y528" i="5"/>
  <c r="Y1989" i="5"/>
  <c r="Y657" i="5"/>
  <c r="Y658" i="5"/>
  <c r="Y1798" i="5"/>
  <c r="Y659" i="5"/>
  <c r="Y410" i="5"/>
  <c r="Y886" i="5"/>
  <c r="Y887" i="5"/>
  <c r="Y660" i="5"/>
  <c r="Y750" i="5"/>
  <c r="Y1756" i="5"/>
  <c r="Y284" i="5"/>
  <c r="Y751" i="5"/>
  <c r="Y752" i="5"/>
  <c r="Y1906" i="5"/>
  <c r="Y241" i="5"/>
  <c r="Y79" i="5"/>
  <c r="Y1049" i="5"/>
  <c r="Y1050" i="5"/>
  <c r="Y823" i="5"/>
  <c r="Y753" i="5"/>
  <c r="Y1361" i="5"/>
  <c r="Y1362" i="5"/>
  <c r="Y1312" i="5"/>
  <c r="Y334" i="5"/>
  <c r="Y1264" i="5"/>
  <c r="Y529" i="5"/>
  <c r="Y371" i="5"/>
  <c r="Y1990" i="5"/>
  <c r="Y1313" i="5"/>
  <c r="Y1951" i="5"/>
  <c r="Y1907" i="5"/>
  <c r="Y1434" i="5"/>
  <c r="Y1799" i="5"/>
  <c r="Y1952" i="5"/>
  <c r="Y411" i="5"/>
  <c r="Y285" i="5"/>
  <c r="Y454" i="5"/>
  <c r="Y1265" i="5"/>
  <c r="Y1520" i="5"/>
  <c r="Y1701" i="5"/>
  <c r="Y1051" i="5"/>
  <c r="Y754" i="5"/>
  <c r="Y1953" i="5"/>
  <c r="Y755" i="5"/>
  <c r="Y530" i="5"/>
  <c r="Y1606" i="5"/>
  <c r="Y2141" i="5"/>
  <c r="Y1435" i="5"/>
  <c r="Y661" i="5"/>
  <c r="Y662" i="5"/>
  <c r="Y586" i="5"/>
  <c r="Y286" i="5"/>
  <c r="Y1052" i="5"/>
  <c r="Y206" i="5"/>
  <c r="Y372" i="5"/>
  <c r="Y1132" i="5"/>
  <c r="Y1954" i="5"/>
  <c r="Y242" i="5"/>
  <c r="Y287" i="5"/>
  <c r="Y1266" i="5"/>
  <c r="Y373" i="5"/>
  <c r="Y974" i="5"/>
  <c r="Y2142" i="5"/>
  <c r="Y1212" i="5"/>
  <c r="Y1267" i="5"/>
  <c r="Y288" i="5"/>
  <c r="Y888" i="5"/>
  <c r="Y889" i="5"/>
  <c r="Y890" i="5"/>
  <c r="Y891" i="5"/>
  <c r="Y756" i="5"/>
  <c r="Y1436" i="5"/>
  <c r="Y1437" i="5"/>
  <c r="Y587" i="5"/>
  <c r="Y1053" i="5"/>
  <c r="Y54" i="5"/>
  <c r="Y2037" i="5"/>
  <c r="Y1702" i="5"/>
  <c r="Y892" i="5"/>
  <c r="Y893" i="5"/>
  <c r="Y243" i="5"/>
  <c r="Y1133" i="5"/>
  <c r="Y975" i="5"/>
  <c r="Y531" i="5"/>
  <c r="Y374" i="5"/>
  <c r="Y1314" i="5"/>
  <c r="Y2143" i="5"/>
  <c r="Y111" i="5"/>
  <c r="Y1852" i="5"/>
  <c r="Y1268" i="5"/>
  <c r="Y1757" i="5"/>
  <c r="Y244" i="5"/>
  <c r="Y245" i="5"/>
  <c r="Y1054" i="5"/>
  <c r="Y1055" i="5"/>
  <c r="Y757" i="5"/>
  <c r="Y412" i="5"/>
  <c r="Y894" i="5"/>
  <c r="Y1853" i="5"/>
  <c r="Y27" i="5"/>
  <c r="Y28" i="5"/>
  <c r="Y1269" i="5"/>
  <c r="Y895" i="5"/>
  <c r="Y2079" i="5"/>
  <c r="Y10" i="5"/>
  <c r="Y11" i="5"/>
  <c r="Y246" i="5"/>
  <c r="Y171" i="5"/>
  <c r="Y1363" i="5"/>
  <c r="Y1854" i="5"/>
  <c r="Y1056" i="5"/>
  <c r="Y1057" i="5"/>
  <c r="Y824" i="5"/>
  <c r="Y825" i="5"/>
  <c r="Y1991" i="5"/>
  <c r="Y976" i="5"/>
  <c r="Y1703" i="5"/>
  <c r="Y663" i="5"/>
  <c r="Y588" i="5"/>
  <c r="Y2165" i="5"/>
  <c r="Y375" i="5"/>
  <c r="Y826" i="5"/>
  <c r="Y827" i="5"/>
  <c r="Y55" i="5"/>
  <c r="Y589" i="5"/>
  <c r="Y1521" i="5"/>
  <c r="Y455" i="5"/>
  <c r="Y172" i="5"/>
  <c r="Y1704" i="5"/>
  <c r="Y1438" i="5"/>
  <c r="Y1522" i="5"/>
  <c r="Y758" i="5"/>
  <c r="Y112" i="5"/>
  <c r="Y113" i="5"/>
  <c r="Y1058" i="5"/>
  <c r="Y2038" i="5"/>
  <c r="Y1270" i="5"/>
  <c r="Y532" i="5"/>
  <c r="Y2110" i="5"/>
  <c r="Y2111" i="5"/>
  <c r="Y80" i="5"/>
  <c r="Y81" i="5"/>
  <c r="Y1134" i="5"/>
  <c r="Y759" i="5"/>
  <c r="Y207" i="5"/>
  <c r="Y1705" i="5"/>
  <c r="Y1135" i="5"/>
  <c r="Y1523" i="5"/>
  <c r="Y977" i="5"/>
  <c r="Y828" i="5"/>
  <c r="Y1364" i="5"/>
  <c r="Y1213" i="5"/>
  <c r="Y289" i="5"/>
  <c r="Y1365" i="5"/>
  <c r="Y1524" i="5"/>
  <c r="Y896" i="5"/>
  <c r="Y456" i="5"/>
  <c r="Y1439" i="5"/>
  <c r="Y208" i="5"/>
  <c r="Y2039" i="5"/>
  <c r="Y1758" i="5"/>
  <c r="Y1575" i="5"/>
  <c r="Y2040" i="5"/>
  <c r="Y1525" i="5"/>
  <c r="Y1059" i="5"/>
  <c r="Y1060" i="5"/>
  <c r="Y1366" i="5"/>
  <c r="Y760" i="5"/>
  <c r="Y761" i="5"/>
  <c r="Y173" i="5"/>
  <c r="Y413" i="5"/>
  <c r="Y762" i="5"/>
  <c r="Y664" i="5"/>
  <c r="Y590" i="5"/>
  <c r="Y1440" i="5"/>
  <c r="Y1706" i="5"/>
  <c r="Y533" i="5"/>
  <c r="Y534" i="5"/>
  <c r="Y591" i="5"/>
  <c r="Y1061" i="5"/>
  <c r="Y1062" i="5"/>
  <c r="Y1271" i="5"/>
  <c r="Y174" i="5"/>
  <c r="Y2080" i="5"/>
  <c r="Y457" i="5"/>
  <c r="Y1441" i="5"/>
  <c r="Y897" i="5"/>
  <c r="Y1526" i="5"/>
  <c r="Y1607" i="5"/>
  <c r="Y1315" i="5"/>
  <c r="Y1316" i="5"/>
  <c r="Y247" i="5"/>
  <c r="Y335" i="5"/>
  <c r="Y1136" i="5"/>
  <c r="Y898" i="5"/>
  <c r="Y829" i="5"/>
  <c r="Y1651" i="5"/>
  <c r="Y1759" i="5"/>
  <c r="Y290" i="5"/>
  <c r="Y1955" i="5"/>
  <c r="Y1063" i="5"/>
  <c r="Y82" i="5"/>
  <c r="Y978" i="5"/>
  <c r="Y1137" i="5"/>
  <c r="Y592" i="5"/>
  <c r="Y665" i="5"/>
  <c r="Y414" i="5"/>
  <c r="Y899" i="5"/>
  <c r="Y291" i="5"/>
  <c r="Y248" i="5"/>
  <c r="Y1486" i="5"/>
  <c r="Y1064" i="5"/>
  <c r="Y535" i="5"/>
  <c r="Y666" i="5"/>
  <c r="Y458" i="5"/>
  <c r="Y979" i="5"/>
  <c r="Y830" i="5"/>
  <c r="Y415" i="5"/>
  <c r="Y1576" i="5"/>
  <c r="Y1577" i="5"/>
  <c r="Y1652" i="5"/>
  <c r="Y1855" i="5"/>
  <c r="Y249" i="5"/>
  <c r="Y593" i="5"/>
  <c r="Y594" i="5"/>
  <c r="Y900" i="5"/>
  <c r="Y901" i="5"/>
  <c r="Y763" i="5"/>
  <c r="Y209" i="5"/>
  <c r="Y376" i="5"/>
  <c r="Y459" i="5"/>
  <c r="Y595" i="5"/>
  <c r="Y667" i="5"/>
  <c r="Y668" i="5"/>
  <c r="Y1527" i="5"/>
  <c r="Y831" i="5"/>
  <c r="Y1367" i="5"/>
  <c r="Y2081" i="5"/>
  <c r="Y416" i="5"/>
  <c r="Y1214" i="5"/>
  <c r="Y764" i="5"/>
  <c r="Y669" i="5"/>
  <c r="Y1317" i="5"/>
  <c r="Y417" i="5"/>
  <c r="Y980" i="5"/>
  <c r="Y832" i="5"/>
  <c r="Y1442" i="5"/>
  <c r="Y670" i="5"/>
  <c r="Y671" i="5"/>
  <c r="Y460" i="5"/>
  <c r="Y1065" i="5"/>
  <c r="Y1760" i="5"/>
  <c r="Y1653" i="5"/>
  <c r="Y1654" i="5"/>
  <c r="Y250" i="5"/>
  <c r="Y981" i="5"/>
  <c r="Y1215" i="5"/>
  <c r="Y140" i="5"/>
  <c r="Y1066" i="5"/>
  <c r="Y1067" i="5"/>
  <c r="Y596" i="5"/>
  <c r="Y833" i="5"/>
  <c r="Y834" i="5"/>
  <c r="Y210" i="5"/>
  <c r="Y83" i="5"/>
  <c r="Y84" i="5"/>
  <c r="Y982" i="5"/>
  <c r="Y536" i="5"/>
  <c r="Y292" i="5"/>
  <c r="Y293" i="5"/>
  <c r="Y56" i="5"/>
  <c r="Y1608" i="5"/>
  <c r="Y983" i="5"/>
  <c r="Y1138" i="5"/>
  <c r="Y175" i="5"/>
  <c r="Y211" i="5"/>
  <c r="Y1068" i="5"/>
  <c r="Y984" i="5"/>
  <c r="Y212" i="5"/>
  <c r="Y213" i="5"/>
  <c r="Y1069" i="5"/>
  <c r="Y1443" i="5"/>
  <c r="Y1444" i="5"/>
  <c r="Y114" i="5"/>
  <c r="Y1139" i="5"/>
  <c r="Y1272" i="5"/>
  <c r="Y672" i="5"/>
  <c r="Y1655" i="5"/>
  <c r="Y1368" i="5"/>
  <c r="Y1656" i="5"/>
  <c r="Y2082" i="5"/>
  <c r="Y141" i="5"/>
  <c r="Y1273" i="5"/>
  <c r="Y214" i="5"/>
  <c r="Y377" i="5"/>
  <c r="Y597" i="5"/>
  <c r="Y1856" i="5"/>
  <c r="Y598" i="5"/>
  <c r="Y1369" i="5"/>
  <c r="Y336" i="5"/>
  <c r="Y85" i="5"/>
  <c r="Y86" i="5"/>
  <c r="Y537" i="5"/>
  <c r="Y538" i="5"/>
  <c r="Y337" i="5"/>
  <c r="Y1657" i="5"/>
  <c r="Y378" i="5"/>
  <c r="Y2041" i="5"/>
  <c r="Y539" i="5"/>
  <c r="Y835" i="5"/>
  <c r="Y294" i="5"/>
  <c r="Y295" i="5"/>
  <c r="Y1318" i="5"/>
  <c r="Y2179" i="5"/>
  <c r="Y296" i="5"/>
  <c r="Y2042" i="5"/>
  <c r="Y2112" i="5"/>
  <c r="Y1609" i="5"/>
  <c r="Y1610" i="5"/>
  <c r="Y1140" i="5"/>
  <c r="Y1761" i="5"/>
  <c r="Y176" i="5"/>
  <c r="Y418" i="5"/>
  <c r="Y1319" i="5"/>
  <c r="Y115" i="5"/>
  <c r="Y461" i="5"/>
  <c r="Y599" i="5"/>
  <c r="Y902" i="5"/>
  <c r="Y379" i="5"/>
  <c r="Y540" i="5"/>
  <c r="Y338" i="5"/>
  <c r="Y765" i="5"/>
  <c r="Y2180" i="5"/>
  <c r="Y2083" i="5"/>
  <c r="Y1956" i="5"/>
  <c r="Y251" i="5"/>
  <c r="Y462" i="5"/>
  <c r="Y1141" i="5"/>
  <c r="Y1578" i="5"/>
  <c r="Y1611" i="5"/>
  <c r="Y985" i="5"/>
  <c r="Y2113" i="5"/>
  <c r="Y903" i="5"/>
  <c r="Y177" i="5"/>
  <c r="Y904" i="5"/>
  <c r="Y1612" i="5"/>
  <c r="Y297" i="5"/>
  <c r="Y298" i="5"/>
  <c r="Y1274" i="5"/>
  <c r="Y1370" i="5"/>
  <c r="Y2084" i="5"/>
  <c r="Y1070" i="5"/>
  <c r="Y673" i="5"/>
  <c r="Y674" i="5"/>
  <c r="Y1707" i="5"/>
  <c r="Y1216" i="5"/>
  <c r="Y380" i="5"/>
  <c r="Y45" i="5"/>
  <c r="Y1071" i="5"/>
  <c r="Y178" i="5"/>
  <c r="Y986" i="5"/>
  <c r="Y836" i="5"/>
  <c r="Y252" i="5"/>
  <c r="Y1320" i="5"/>
  <c r="Y179" i="5"/>
  <c r="Y2144" i="5"/>
  <c r="Y1762" i="5"/>
  <c r="Y1763" i="5"/>
  <c r="Y541" i="5"/>
  <c r="Y675" i="5"/>
  <c r="Y1217" i="5"/>
  <c r="Y987" i="5"/>
  <c r="Y905" i="5"/>
  <c r="Y542" i="5"/>
  <c r="Y1857" i="5"/>
  <c r="Y57" i="5"/>
  <c r="Y1800" i="5"/>
  <c r="Y1801" i="5"/>
  <c r="Y837" i="5"/>
  <c r="Y419" i="5"/>
  <c r="Y1142" i="5"/>
  <c r="Y1321" i="5"/>
  <c r="Y543" i="5"/>
  <c r="Y1072" i="5"/>
  <c r="Y544" i="5"/>
  <c r="Y1073" i="5"/>
  <c r="Y253" i="5"/>
  <c r="Y142" i="5"/>
  <c r="Y838" i="5"/>
  <c r="Y839" i="5"/>
  <c r="Y87" i="5"/>
  <c r="Y906" i="5"/>
  <c r="Y2181" i="5"/>
  <c r="Y600" i="5"/>
  <c r="Y1218" i="5"/>
  <c r="Y1219" i="5"/>
  <c r="Y299" i="5"/>
  <c r="Y180" i="5"/>
  <c r="Y988" i="5"/>
  <c r="Y676" i="5"/>
  <c r="Y420" i="5"/>
  <c r="Y116" i="5"/>
  <c r="Y989" i="5"/>
  <c r="Y545" i="5"/>
  <c r="Y546" i="5"/>
  <c r="Y990" i="5"/>
  <c r="Y339" i="5"/>
  <c r="Y58" i="5"/>
  <c r="Y117" i="5"/>
  <c r="Y907" i="5"/>
  <c r="Y463" i="5"/>
  <c r="Y464" i="5"/>
  <c r="Y254" i="5"/>
  <c r="Y381" i="5"/>
  <c r="Y991" i="5"/>
  <c r="Y465" i="5"/>
  <c r="Y340" i="5"/>
  <c r="Y382" i="5"/>
  <c r="Y59" i="5"/>
  <c r="Y1708" i="5"/>
  <c r="Y1143" i="5"/>
  <c r="Y1144" i="5"/>
  <c r="Y300" i="5"/>
  <c r="Y677" i="5"/>
  <c r="Y255" i="5"/>
  <c r="Y766" i="5"/>
  <c r="Y1220" i="5"/>
  <c r="Y143" i="5"/>
  <c r="Y601" i="5"/>
  <c r="Y1275" i="5"/>
  <c r="Y466" i="5"/>
  <c r="Y678" i="5"/>
  <c r="Y341" i="5"/>
  <c r="Y1145" i="5"/>
  <c r="Y342" i="5"/>
  <c r="Y908" i="5"/>
  <c r="Y1802" i="5"/>
  <c r="Y301" i="5"/>
  <c r="Y1445" i="5"/>
  <c r="Y1446" i="5"/>
  <c r="Y181" i="5"/>
  <c r="Y144" i="5"/>
  <c r="Y118" i="5"/>
  <c r="Y119" i="5"/>
  <c r="Y1709" i="5"/>
  <c r="Y1992" i="5"/>
  <c r="Y1221" i="5"/>
  <c r="Y256" i="5"/>
  <c r="Y1146" i="5"/>
  <c r="Y215" i="5"/>
  <c r="Y1528" i="5"/>
  <c r="Y1147" i="5"/>
  <c r="Y383" i="5"/>
  <c r="Y1074" i="5"/>
  <c r="Y1075" i="5"/>
  <c r="Y547" i="5"/>
  <c r="Y548" i="5"/>
  <c r="Y602" i="5"/>
  <c r="Y909" i="5"/>
  <c r="Y767" i="5"/>
  <c r="Y1371" i="5"/>
  <c r="Y1372" i="5"/>
  <c r="Y1148" i="5"/>
  <c r="Y1322" i="5"/>
  <c r="Y1323" i="5"/>
  <c r="Y1908" i="5"/>
  <c r="Y182" i="5"/>
  <c r="Y1957" i="5"/>
  <c r="Y343" i="5"/>
  <c r="Y145" i="5"/>
  <c r="Y1529" i="5"/>
  <c r="Y1530" i="5"/>
  <c r="Y1222" i="5"/>
  <c r="Y216" i="5"/>
  <c r="Y1858" i="5"/>
  <c r="Y768" i="5"/>
  <c r="Y2085" i="5"/>
  <c r="Y769" i="5"/>
  <c r="Y302" i="5"/>
  <c r="Y1658" i="5"/>
  <c r="Y603" i="5"/>
  <c r="Y1149" i="5"/>
  <c r="Y992" i="5"/>
  <c r="Y303" i="5"/>
  <c r="Y1803" i="5"/>
  <c r="Y1804" i="5"/>
  <c r="Y183" i="5"/>
  <c r="Y1223" i="5"/>
  <c r="Y184" i="5"/>
  <c r="Y185" i="5"/>
  <c r="Y304" i="5"/>
  <c r="Y679" i="5"/>
  <c r="Y467" i="5"/>
  <c r="Y88" i="5"/>
  <c r="Y993" i="5"/>
  <c r="Y217" i="5"/>
  <c r="Y549" i="5"/>
  <c r="Y840" i="5"/>
  <c r="Y146" i="5"/>
  <c r="Y344" i="5"/>
  <c r="Y680" i="5"/>
  <c r="Y604" i="5"/>
  <c r="Y910" i="5"/>
  <c r="Y1150" i="5"/>
  <c r="Y1151" i="5"/>
  <c r="Y218" i="5"/>
  <c r="Y120" i="5"/>
  <c r="Y186" i="5"/>
  <c r="Y911" i="5"/>
  <c r="Y187" i="5"/>
  <c r="Y188" i="5"/>
  <c r="Y468" i="5"/>
  <c r="Y46" i="5"/>
  <c r="Y681" i="5"/>
  <c r="Y682" i="5"/>
  <c r="Y841" i="5"/>
  <c r="Y842" i="5"/>
  <c r="Y219" i="5"/>
  <c r="Y220" i="5"/>
  <c r="Y770" i="5"/>
  <c r="Y1659" i="5"/>
  <c r="Y1152" i="5"/>
  <c r="Y1276" i="5"/>
  <c r="Y1277" i="5"/>
  <c r="Y221" i="5"/>
  <c r="Y189" i="5"/>
  <c r="Y345" i="5"/>
  <c r="Y384" i="5"/>
  <c r="Y385" i="5"/>
  <c r="Y843" i="5"/>
  <c r="Y1278" i="5"/>
  <c r="Y421" i="5"/>
  <c r="Y257" i="5"/>
  <c r="Y912" i="5"/>
  <c r="Y60" i="5"/>
  <c r="Y61" i="5"/>
  <c r="Y62" i="5"/>
  <c r="Y258" i="5"/>
  <c r="Y1076" i="5"/>
  <c r="Y29" i="5"/>
  <c r="Y1487" i="5"/>
  <c r="Y1488" i="5"/>
  <c r="Y1710" i="5"/>
  <c r="Y1711" i="5"/>
  <c r="Y1712" i="5"/>
  <c r="Y1224" i="5"/>
  <c r="Y346" i="5"/>
  <c r="Y844" i="5"/>
  <c r="Y89" i="5"/>
  <c r="Y63" i="5"/>
  <c r="Y147" i="5"/>
  <c r="Y64" i="5"/>
  <c r="Y222" i="5"/>
  <c r="Y2198" i="5"/>
  <c r="Y469" i="5"/>
  <c r="Y683" i="5"/>
  <c r="Y90" i="5"/>
  <c r="Y771" i="5"/>
  <c r="Y550" i="5"/>
  <c r="Y148" i="5"/>
  <c r="Y30" i="5"/>
  <c r="Y684" i="5"/>
  <c r="Y1660" i="5"/>
  <c r="Y1661" i="5"/>
  <c r="Y551" i="5"/>
  <c r="Y772" i="5"/>
  <c r="Y685" i="5"/>
  <c r="Y1613" i="5"/>
  <c r="Y2114" i="5"/>
  <c r="Y470" i="5"/>
  <c r="Y1077" i="5"/>
  <c r="Y223" i="5"/>
  <c r="Y552" i="5"/>
  <c r="Y259" i="5"/>
  <c r="Y260" i="5"/>
  <c r="Y121" i="5"/>
  <c r="Y65" i="5"/>
  <c r="Y471" i="5"/>
  <c r="Y422" i="5"/>
  <c r="Y472" i="5"/>
  <c r="Y1859" i="5"/>
  <c r="Y122" i="5"/>
  <c r="Y261" i="5"/>
  <c r="Y1153" i="5"/>
  <c r="Y1154" i="5"/>
  <c r="Y473" i="5"/>
  <c r="Y474" i="5"/>
  <c r="Y31" i="5"/>
  <c r="Y423" i="5"/>
  <c r="Y1764" i="5"/>
  <c r="Y149" i="5"/>
  <c r="Y2086" i="5"/>
  <c r="Y1531" i="5"/>
  <c r="Y190" i="5"/>
  <c r="Y686" i="5"/>
  <c r="Y262" i="5"/>
  <c r="Y1860" i="5"/>
  <c r="Y424" i="5"/>
  <c r="Y5" i="5"/>
  <c r="Y994" i="5"/>
  <c r="Y1225" i="5"/>
  <c r="Y123" i="5"/>
  <c r="Y1662" i="5"/>
  <c r="Y687" i="5"/>
  <c r="Y475" i="5"/>
  <c r="Y1155" i="5"/>
  <c r="Y2043" i="5"/>
  <c r="Y688" i="5"/>
  <c r="Y553" i="5"/>
  <c r="Y773" i="5"/>
  <c r="Y263" i="5"/>
  <c r="Y91" i="5"/>
  <c r="Y92" i="5"/>
  <c r="Y93" i="5"/>
  <c r="Y1078" i="5"/>
  <c r="Y913" i="5"/>
  <c r="Y689" i="5"/>
  <c r="Y94" i="5"/>
  <c r="Y191" i="5"/>
  <c r="Y2044" i="5"/>
  <c r="Y47" i="5"/>
  <c r="Y914" i="5"/>
  <c r="Y774" i="5"/>
  <c r="Y690" i="5"/>
  <c r="Y691" i="5"/>
  <c r="Y554" i="5"/>
  <c r="Y476" i="5"/>
  <c r="Y477" i="5"/>
  <c r="Y224" i="5"/>
  <c r="Y192" i="5"/>
  <c r="Y150" i="5"/>
  <c r="Y32" i="5"/>
  <c r="Y6" i="5"/>
  <c r="Y1373" i="5"/>
  <c r="Y1805" i="5"/>
  <c r="Y347" i="5"/>
  <c r="Y2115" i="5"/>
  <c r="Y692" i="5"/>
  <c r="Y1447" i="5"/>
  <c r="Y1226" i="5"/>
  <c r="Y1532" i="5"/>
  <c r="Y915" i="5"/>
  <c r="Y478" i="5"/>
  <c r="Y1079" i="5"/>
  <c r="V2199" i="5"/>
  <c r="V1080" i="5"/>
  <c r="V775" i="5"/>
  <c r="V555" i="5"/>
  <c r="V264" i="5"/>
  <c r="V1614" i="5"/>
  <c r="V1615" i="5"/>
  <c r="V556" i="5"/>
  <c r="V48" i="5"/>
  <c r="V386" i="5"/>
  <c r="V12" i="5"/>
  <c r="V124" i="5"/>
  <c r="V1157" i="5"/>
  <c r="V2045" i="5"/>
  <c r="V1713" i="5"/>
  <c r="V1958" i="5"/>
  <c r="V1959" i="5"/>
  <c r="V1081" i="5"/>
  <c r="V1909" i="5"/>
  <c r="V2220" i="5"/>
  <c r="V845" i="5"/>
  <c r="V151" i="5"/>
  <c r="V20" i="5"/>
  <c r="V1616" i="5"/>
  <c r="V193" i="5"/>
  <c r="V265" i="5"/>
  <c r="V2145" i="5"/>
  <c r="V693" i="5"/>
  <c r="V152" i="5"/>
  <c r="V2166" i="5"/>
  <c r="V995" i="5"/>
  <c r="V1806" i="5"/>
  <c r="V49" i="5"/>
  <c r="V348" i="5"/>
  <c r="V1910" i="5"/>
  <c r="V2146" i="5"/>
  <c r="V1082" i="5"/>
  <c r="V266" i="5"/>
  <c r="V33" i="5"/>
  <c r="V34" i="5"/>
  <c r="V1807" i="5"/>
  <c r="V425" i="5"/>
  <c r="V35" i="5"/>
  <c r="V95" i="5"/>
  <c r="V1808" i="5"/>
  <c r="V225" i="5"/>
  <c r="V36" i="5"/>
  <c r="V846" i="5"/>
  <c r="V267" i="5"/>
  <c r="V1324" i="5"/>
  <c r="V1663" i="5"/>
  <c r="V1617" i="5"/>
  <c r="V66" i="5"/>
  <c r="V1579" i="5"/>
  <c r="V349" i="5"/>
  <c r="V426" i="5"/>
  <c r="V479" i="5"/>
  <c r="V1664" i="5"/>
  <c r="V1665" i="5"/>
  <c r="V96" i="5"/>
  <c r="V1618" i="5"/>
  <c r="V1666" i="5"/>
  <c r="V268" i="5"/>
  <c r="V350" i="5"/>
  <c r="V21" i="5"/>
  <c r="V996" i="5"/>
  <c r="V916" i="5"/>
  <c r="V917" i="5"/>
  <c r="V694" i="5"/>
  <c r="V1911" i="5"/>
  <c r="V2046" i="5"/>
  <c r="V269" i="5"/>
  <c r="V1580" i="5"/>
  <c r="V1809" i="5"/>
  <c r="V1325" i="5"/>
  <c r="V1534" i="5"/>
  <c r="V37" i="5"/>
  <c r="V847" i="5"/>
  <c r="V480" i="5"/>
  <c r="V67" i="5"/>
  <c r="V1535" i="5"/>
  <c r="V1536" i="5"/>
  <c r="V427" i="5"/>
  <c r="V1912" i="5"/>
  <c r="V1448" i="5"/>
  <c r="V605" i="5"/>
  <c r="V1714" i="5"/>
  <c r="V1993" i="5"/>
  <c r="V557" i="5"/>
  <c r="V1960" i="5"/>
  <c r="V918" i="5"/>
  <c r="V919" i="5"/>
  <c r="V1581" i="5"/>
  <c r="V1083" i="5"/>
  <c r="V1374" i="5"/>
  <c r="V1375" i="5"/>
  <c r="V1994" i="5"/>
  <c r="V1715" i="5"/>
  <c r="V97" i="5"/>
  <c r="V98" i="5"/>
  <c r="V695" i="5"/>
  <c r="V305" i="5"/>
  <c r="V306" i="5"/>
  <c r="V1810" i="5"/>
  <c r="V848" i="5"/>
  <c r="V776" i="5"/>
  <c r="V1995" i="5"/>
  <c r="V1996" i="5"/>
  <c r="V1997" i="5"/>
  <c r="V2147" i="5"/>
  <c r="V696" i="5"/>
  <c r="V697" i="5"/>
  <c r="V2148" i="5"/>
  <c r="V1537" i="5"/>
  <c r="V1227" i="5"/>
  <c r="V22" i="5"/>
  <c r="V153" i="5"/>
  <c r="V920" i="5"/>
  <c r="V1084" i="5"/>
  <c r="V7" i="5"/>
  <c r="V1619" i="5"/>
  <c r="V921" i="5"/>
  <c r="V777" i="5"/>
  <c r="V154" i="5"/>
  <c r="V1376" i="5"/>
  <c r="V2182" i="5"/>
  <c r="V2183" i="5"/>
  <c r="V226" i="5"/>
  <c r="V2207" i="5"/>
  <c r="V2184" i="5"/>
  <c r="V1998" i="5"/>
  <c r="V778" i="5"/>
  <c r="V558" i="5"/>
  <c r="V1667" i="5"/>
  <c r="V1538" i="5"/>
  <c r="V1620" i="5"/>
  <c r="V387" i="5"/>
  <c r="V2087" i="5"/>
  <c r="V1326" i="5"/>
  <c r="V1861" i="5"/>
  <c r="V1765" i="5"/>
  <c r="V1766" i="5"/>
  <c r="V155" i="5"/>
  <c r="V1582" i="5"/>
  <c r="V559" i="5"/>
  <c r="V1449" i="5"/>
  <c r="V481" i="5"/>
  <c r="V1539" i="5"/>
  <c r="V1085" i="5"/>
  <c r="V2149" i="5"/>
  <c r="V2150" i="5"/>
  <c r="V270" i="5"/>
  <c r="V1767" i="5"/>
  <c r="V1583" i="5"/>
  <c r="V1540" i="5"/>
  <c r="V606" i="5"/>
  <c r="V1621" i="5"/>
  <c r="V1999" i="5"/>
  <c r="V388" i="5"/>
  <c r="V389" i="5"/>
  <c r="V2116" i="5"/>
  <c r="V271" i="5"/>
  <c r="V1158" i="5"/>
  <c r="V2167" i="5"/>
  <c r="V1279" i="5"/>
  <c r="V125" i="5"/>
  <c r="V126" i="5"/>
  <c r="V1716" i="5"/>
  <c r="V1489" i="5"/>
  <c r="V1450" i="5"/>
  <c r="V68" i="5"/>
  <c r="V69" i="5"/>
  <c r="V1086" i="5"/>
  <c r="V698" i="5"/>
  <c r="V1377" i="5"/>
  <c r="V1378" i="5"/>
  <c r="V2168" i="5"/>
  <c r="V1717" i="5"/>
  <c r="V1668" i="5"/>
  <c r="V1159" i="5"/>
  <c r="V1584" i="5"/>
  <c r="V156" i="5"/>
  <c r="V2047" i="5"/>
  <c r="V1961" i="5"/>
  <c r="V2088" i="5"/>
  <c r="V1718" i="5"/>
  <c r="V1490" i="5"/>
  <c r="V13" i="5"/>
  <c r="V8" i="5"/>
  <c r="V2208" i="5"/>
  <c r="V997" i="5"/>
  <c r="V998" i="5"/>
  <c r="V699" i="5"/>
  <c r="V1327" i="5"/>
  <c r="V1862" i="5"/>
  <c r="V2117" i="5"/>
  <c r="V1087" i="5"/>
  <c r="V1863" i="5"/>
  <c r="V2209" i="5"/>
  <c r="V700" i="5"/>
  <c r="V157" i="5"/>
  <c r="V922" i="5"/>
  <c r="V923" i="5"/>
  <c r="V14" i="5"/>
  <c r="V1491" i="5"/>
  <c r="V1492" i="5"/>
  <c r="V1913" i="5"/>
  <c r="V390" i="5"/>
  <c r="V1328" i="5"/>
  <c r="V607" i="5"/>
  <c r="V924" i="5"/>
  <c r="V307" i="5"/>
  <c r="V1914" i="5"/>
  <c r="V1669" i="5"/>
  <c r="V1719" i="5"/>
  <c r="V1864" i="5"/>
  <c r="V1720" i="5"/>
  <c r="V1160" i="5"/>
  <c r="V608" i="5"/>
  <c r="V779" i="5"/>
  <c r="V227" i="5"/>
  <c r="V849" i="5"/>
  <c r="V850" i="5"/>
  <c r="V1622" i="5"/>
  <c r="V158" i="5"/>
  <c r="V1811" i="5"/>
  <c r="V1088" i="5"/>
  <c r="V1585" i="5"/>
  <c r="V15" i="5"/>
  <c r="V701" i="5"/>
  <c r="V702" i="5"/>
  <c r="V1280" i="5"/>
  <c r="V1281" i="5"/>
  <c r="V1451" i="5"/>
  <c r="V1721" i="5"/>
  <c r="V2048" i="5"/>
  <c r="V999" i="5"/>
  <c r="V851" i="5"/>
  <c r="V1452" i="5"/>
  <c r="V391" i="5"/>
  <c r="V560" i="5"/>
  <c r="V272" i="5"/>
  <c r="V1000" i="5"/>
  <c r="V1768" i="5"/>
  <c r="V1089" i="5"/>
  <c r="V2185" i="5"/>
  <c r="V1769" i="5"/>
  <c r="V2049" i="5"/>
  <c r="V2050" i="5"/>
  <c r="V1623" i="5"/>
  <c r="V2151" i="5"/>
  <c r="V1329" i="5"/>
  <c r="V609" i="5"/>
  <c r="V159" i="5"/>
  <c r="V1670" i="5"/>
  <c r="V1722" i="5"/>
  <c r="V99" i="5"/>
  <c r="V780" i="5"/>
  <c r="V2169" i="5"/>
  <c r="V925" i="5"/>
  <c r="V1001" i="5"/>
  <c r="V1812" i="5"/>
  <c r="V926" i="5"/>
  <c r="V1915" i="5"/>
  <c r="V351" i="5"/>
  <c r="V1282" i="5"/>
  <c r="V1723" i="5"/>
  <c r="V70" i="5"/>
  <c r="V1283" i="5"/>
  <c r="V1284" i="5"/>
  <c r="V2170" i="5"/>
  <c r="V1090" i="5"/>
  <c r="V2000" i="5"/>
  <c r="V2214" i="5"/>
  <c r="V482" i="5"/>
  <c r="V428" i="5"/>
  <c r="V1671" i="5"/>
  <c r="V2171" i="5"/>
  <c r="V1493" i="5"/>
  <c r="V1228" i="5"/>
  <c r="V1813" i="5"/>
  <c r="V392" i="5"/>
  <c r="V1379" i="5"/>
  <c r="V429" i="5"/>
  <c r="V430" i="5"/>
  <c r="V1770" i="5"/>
  <c r="V1494" i="5"/>
  <c r="V2152" i="5"/>
  <c r="V927" i="5"/>
  <c r="V1624" i="5"/>
  <c r="V2001" i="5"/>
  <c r="V1865" i="5"/>
  <c r="V2118" i="5"/>
  <c r="V1285" i="5"/>
  <c r="V2089" i="5"/>
  <c r="V1380" i="5"/>
  <c r="V1916" i="5"/>
  <c r="V1161" i="5"/>
  <c r="V273" i="5"/>
  <c r="V1541" i="5"/>
  <c r="V703" i="5"/>
  <c r="V1814" i="5"/>
  <c r="V704" i="5"/>
  <c r="V1091" i="5"/>
  <c r="V1002" i="5"/>
  <c r="V393" i="5"/>
  <c r="V1672" i="5"/>
  <c r="V928" i="5"/>
  <c r="V2153" i="5"/>
  <c r="V1542" i="5"/>
  <c r="V1543" i="5"/>
  <c r="V705" i="5"/>
  <c r="V1625" i="5"/>
  <c r="V1866" i="5"/>
  <c r="V1229" i="5"/>
  <c r="V2051" i="5"/>
  <c r="V2215" i="5"/>
  <c r="V610" i="5"/>
  <c r="V127" i="5"/>
  <c r="V308" i="5"/>
  <c r="V309" i="5"/>
  <c r="V352" i="5"/>
  <c r="V353" i="5"/>
  <c r="V1162" i="5"/>
  <c r="V1286" i="5"/>
  <c r="V781" i="5"/>
  <c r="V1230" i="5"/>
  <c r="V431" i="5"/>
  <c r="V432" i="5"/>
  <c r="V611" i="5"/>
  <c r="V483" i="5"/>
  <c r="V71" i="5"/>
  <c r="V1092" i="5"/>
  <c r="V1724" i="5"/>
  <c r="V561" i="5"/>
  <c r="V1917" i="5"/>
  <c r="V1771" i="5"/>
  <c r="V2002" i="5"/>
  <c r="V1381" i="5"/>
  <c r="V1867" i="5"/>
  <c r="V929" i="5"/>
  <c r="V1453" i="5"/>
  <c r="V1725" i="5"/>
  <c r="V2003" i="5"/>
  <c r="V2004" i="5"/>
  <c r="V23" i="5"/>
  <c r="V1544" i="5"/>
  <c r="V1673" i="5"/>
  <c r="V1962" i="5"/>
  <c r="V612" i="5"/>
  <c r="V562" i="5"/>
  <c r="V1163" i="5"/>
  <c r="V1586" i="5"/>
  <c r="V1587" i="5"/>
  <c r="V2119" i="5"/>
  <c r="V1093" i="5"/>
  <c r="V1382" i="5"/>
  <c r="V1868" i="5"/>
  <c r="V930" i="5"/>
  <c r="V1918" i="5"/>
  <c r="V1003" i="5"/>
  <c r="V2172" i="5"/>
  <c r="V16" i="5"/>
  <c r="V17" i="5"/>
  <c r="V1004" i="5"/>
  <c r="V1869" i="5"/>
  <c r="V1726" i="5"/>
  <c r="V50" i="5"/>
  <c r="V706" i="5"/>
  <c r="V707" i="5"/>
  <c r="V310" i="5"/>
  <c r="V613" i="5"/>
  <c r="V128" i="5"/>
  <c r="V852" i="5"/>
  <c r="V1963" i="5"/>
  <c r="V484" i="5"/>
  <c r="V1772" i="5"/>
  <c r="V2052" i="5"/>
  <c r="V1005" i="5"/>
  <c r="V51" i="5"/>
  <c r="V1383" i="5"/>
  <c r="V1231" i="5"/>
  <c r="V129" i="5"/>
  <c r="V311" i="5"/>
  <c r="V1164" i="5"/>
  <c r="V130" i="5"/>
  <c r="V228" i="5"/>
  <c r="V708" i="5"/>
  <c r="V1626" i="5"/>
  <c r="V2173" i="5"/>
  <c r="V2174" i="5"/>
  <c r="V1495" i="5"/>
  <c r="V1094" i="5"/>
  <c r="V1095" i="5"/>
  <c r="V1870" i="5"/>
  <c r="V1727" i="5"/>
  <c r="V194" i="5"/>
  <c r="V1545" i="5"/>
  <c r="V1165" i="5"/>
  <c r="V2120" i="5"/>
  <c r="V1871" i="5"/>
  <c r="V1872" i="5"/>
  <c r="V229" i="5"/>
  <c r="V1919" i="5"/>
  <c r="V931" i="5"/>
  <c r="V1166" i="5"/>
  <c r="V18" i="5"/>
  <c r="V614" i="5"/>
  <c r="V615" i="5"/>
  <c r="V2121" i="5"/>
  <c r="V2053" i="5"/>
  <c r="V1006" i="5"/>
  <c r="V2005" i="5"/>
  <c r="V1546" i="5"/>
  <c r="V1384" i="5"/>
  <c r="V485" i="5"/>
  <c r="V563" i="5"/>
  <c r="V782" i="5"/>
  <c r="V1920" i="5"/>
  <c r="V1921" i="5"/>
  <c r="V354" i="5"/>
  <c r="V433" i="5"/>
  <c r="V2122" i="5"/>
  <c r="V1547" i="5"/>
  <c r="V1007" i="5"/>
  <c r="V2054" i="5"/>
  <c r="V1728" i="5"/>
  <c r="V160" i="5"/>
  <c r="V161" i="5"/>
  <c r="V1815" i="5"/>
  <c r="V564" i="5"/>
  <c r="V312" i="5"/>
  <c r="V313" i="5"/>
  <c r="V486" i="5"/>
  <c r="V1008" i="5"/>
  <c r="V1009" i="5"/>
  <c r="V1674" i="5"/>
  <c r="V1729" i="5"/>
  <c r="V1548" i="5"/>
  <c r="V434" i="5"/>
  <c r="V1385" i="5"/>
  <c r="V2200" i="5"/>
  <c r="V1010" i="5"/>
  <c r="V1386" i="5"/>
  <c r="V783" i="5"/>
  <c r="V1549" i="5"/>
  <c r="V487" i="5"/>
  <c r="V1816" i="5"/>
  <c r="V1675" i="5"/>
  <c r="V1676" i="5"/>
  <c r="V1387" i="5"/>
  <c r="V616" i="5"/>
  <c r="V1677" i="5"/>
  <c r="V9" i="5"/>
  <c r="V853" i="5"/>
  <c r="V1773" i="5"/>
  <c r="V2055" i="5"/>
  <c r="V488" i="5"/>
  <c r="V1627" i="5"/>
  <c r="V195" i="5"/>
  <c r="V932" i="5"/>
  <c r="V1388" i="5"/>
  <c r="V1389" i="5"/>
  <c r="V617" i="5"/>
  <c r="V1011" i="5"/>
  <c r="V1287" i="5"/>
  <c r="V394" i="5"/>
  <c r="V2056" i="5"/>
  <c r="V1232" i="5"/>
  <c r="V1330" i="5"/>
  <c r="V2154" i="5"/>
  <c r="V1288" i="5"/>
  <c r="V230" i="5"/>
  <c r="V1873" i="5"/>
  <c r="V1096" i="5"/>
  <c r="V196" i="5"/>
  <c r="V197" i="5"/>
  <c r="V1233" i="5"/>
  <c r="V2006" i="5"/>
  <c r="V19" i="5"/>
  <c r="V1964" i="5"/>
  <c r="V489" i="5"/>
  <c r="V1922" i="5"/>
  <c r="V618" i="5"/>
  <c r="V2201" i="5"/>
  <c r="V435" i="5"/>
  <c r="V2175" i="5"/>
  <c r="V709" i="5"/>
  <c r="V1331" i="5"/>
  <c r="V619" i="5"/>
  <c r="V620" i="5"/>
  <c r="V2123" i="5"/>
  <c r="V274" i="5"/>
  <c r="V933" i="5"/>
  <c r="V1167" i="5"/>
  <c r="V1390" i="5"/>
  <c r="V1923" i="5"/>
  <c r="V314" i="5"/>
  <c r="V315" i="5"/>
  <c r="V1391" i="5"/>
  <c r="V1454" i="5"/>
  <c r="V1012" i="5"/>
  <c r="V1168" i="5"/>
  <c r="V1392" i="5"/>
  <c r="V162" i="5"/>
  <c r="V2007" i="5"/>
  <c r="V1332" i="5"/>
  <c r="V2202" i="5"/>
  <c r="V784" i="5"/>
  <c r="V2057" i="5"/>
  <c r="V1234" i="5"/>
  <c r="V395" i="5"/>
  <c r="V1550" i="5"/>
  <c r="V3" i="5"/>
  <c r="V275" i="5"/>
  <c r="V396" i="5"/>
  <c r="V1169" i="5"/>
  <c r="V854" i="5"/>
  <c r="V565" i="5"/>
  <c r="V2124" i="5"/>
  <c r="V710" i="5"/>
  <c r="V1965" i="5"/>
  <c r="V1393" i="5"/>
  <c r="V1817" i="5"/>
  <c r="V934" i="5"/>
  <c r="V2008" i="5"/>
  <c r="V1394" i="5"/>
  <c r="V1395" i="5"/>
  <c r="V316" i="5"/>
  <c r="V317" i="5"/>
  <c r="V2125" i="5"/>
  <c r="V1730" i="5"/>
  <c r="V1097" i="5"/>
  <c r="V1098" i="5"/>
  <c r="V1333" i="5"/>
  <c r="V1099" i="5"/>
  <c r="V1678" i="5"/>
  <c r="V1289" i="5"/>
  <c r="V1170" i="5"/>
  <c r="V1171" i="5"/>
  <c r="V38" i="5"/>
  <c r="V39" i="5"/>
  <c r="V2186" i="5"/>
  <c r="V100" i="5"/>
  <c r="V101" i="5"/>
  <c r="V318" i="5"/>
  <c r="V102" i="5"/>
  <c r="V103" i="5"/>
  <c r="V1172" i="5"/>
  <c r="V2" i="5"/>
  <c r="V621" i="5"/>
  <c r="V785" i="5"/>
  <c r="V1455" i="5"/>
  <c r="V1731" i="5"/>
  <c r="V436" i="5"/>
  <c r="V1774" i="5"/>
  <c r="V1456" i="5"/>
  <c r="V40" i="5"/>
  <c r="V1496" i="5"/>
  <c r="V1497" i="5"/>
  <c r="V2176" i="5"/>
  <c r="V490" i="5"/>
  <c r="V2126" i="5"/>
  <c r="V2127" i="5"/>
  <c r="V711" i="5"/>
  <c r="V1679" i="5"/>
  <c r="V1628" i="5"/>
  <c r="V2058" i="5"/>
  <c r="V131" i="5"/>
  <c r="V104" i="5"/>
  <c r="V105" i="5"/>
  <c r="V1100" i="5"/>
  <c r="V397" i="5"/>
  <c r="V2177" i="5"/>
  <c r="V786" i="5"/>
  <c r="V787" i="5"/>
  <c r="V788" i="5"/>
  <c r="V2009" i="5"/>
  <c r="V855" i="5"/>
  <c r="V132" i="5"/>
  <c r="V1101" i="5"/>
  <c r="V1102" i="5"/>
  <c r="V2059" i="5"/>
  <c r="V1173" i="5"/>
  <c r="V1103" i="5"/>
  <c r="V4" i="5"/>
  <c r="V1290" i="5"/>
  <c r="V1334" i="5"/>
  <c r="V1732" i="5"/>
  <c r="V1874" i="5"/>
  <c r="V1818" i="5"/>
  <c r="V1966" i="5"/>
  <c r="V2060" i="5"/>
  <c r="V491" i="5"/>
  <c r="V1924" i="5"/>
  <c r="V72" i="5"/>
  <c r="V106" i="5"/>
  <c r="V1733" i="5"/>
  <c r="V2187" i="5"/>
  <c r="V2188" i="5"/>
  <c r="V1291" i="5"/>
  <c r="V1104" i="5"/>
  <c r="V1775" i="5"/>
  <c r="V319" i="5"/>
  <c r="V320" i="5"/>
  <c r="V712" i="5"/>
  <c r="V1776" i="5"/>
  <c r="V1174" i="5"/>
  <c r="V1551" i="5"/>
  <c r="V198" i="5"/>
  <c r="V1396" i="5"/>
  <c r="V1175" i="5"/>
  <c r="V622" i="5"/>
  <c r="V1875" i="5"/>
  <c r="V1588" i="5"/>
  <c r="V2155" i="5"/>
  <c r="V492" i="5"/>
  <c r="V493" i="5"/>
  <c r="V1819" i="5"/>
  <c r="V1498" i="5"/>
  <c r="V1013" i="5"/>
  <c r="V1397" i="5"/>
  <c r="V2189" i="5"/>
  <c r="V1777" i="5"/>
  <c r="V2178" i="5"/>
  <c r="V623" i="5"/>
  <c r="V1105" i="5"/>
  <c r="V2203" i="5"/>
  <c r="V494" i="5"/>
  <c r="V1335" i="5"/>
  <c r="V1014" i="5"/>
  <c r="V1292" i="5"/>
  <c r="V1876" i="5"/>
  <c r="V1176" i="5"/>
  <c r="V1398" i="5"/>
  <c r="V1106" i="5"/>
  <c r="V935" i="5"/>
  <c r="V1629" i="5"/>
  <c r="V936" i="5"/>
  <c r="V937" i="5"/>
  <c r="V624" i="5"/>
  <c r="V789" i="5"/>
  <c r="V1967" i="5"/>
  <c r="V1457" i="5"/>
  <c r="V1458" i="5"/>
  <c r="V1680" i="5"/>
  <c r="V1734" i="5"/>
  <c r="V1778" i="5"/>
  <c r="V1779" i="5"/>
  <c r="V1780" i="5"/>
  <c r="V790" i="5"/>
  <c r="V231" i="5"/>
  <c r="V791" i="5"/>
  <c r="V856" i="5"/>
  <c r="V1925" i="5"/>
  <c r="V1926" i="5"/>
  <c r="V1552" i="5"/>
  <c r="V857" i="5"/>
  <c r="V398" i="5"/>
  <c r="V2210" i="5"/>
  <c r="V1399" i="5"/>
  <c r="V1877" i="5"/>
  <c r="V1735" i="5"/>
  <c r="V1177" i="5"/>
  <c r="V321" i="5"/>
  <c r="V1736" i="5"/>
  <c r="V713" i="5"/>
  <c r="V625" i="5"/>
  <c r="V626" i="5"/>
  <c r="V1293" i="5"/>
  <c r="V2216" i="5"/>
  <c r="V1681" i="5"/>
  <c r="V1737" i="5"/>
  <c r="V2061" i="5"/>
  <c r="V627" i="5"/>
  <c r="V2090" i="5"/>
  <c r="V1820" i="5"/>
  <c r="V1821" i="5"/>
  <c r="V1781" i="5"/>
  <c r="V2010" i="5"/>
  <c r="V495" i="5"/>
  <c r="V1015" i="5"/>
  <c r="V1016" i="5"/>
  <c r="V1107" i="5"/>
  <c r="V1235" i="5"/>
  <c r="V1927" i="5"/>
  <c r="V52" i="5"/>
  <c r="V1968" i="5"/>
  <c r="V1928" i="5"/>
  <c r="V938" i="5"/>
  <c r="V73" i="5"/>
  <c r="V1108" i="5"/>
  <c r="V199" i="5"/>
  <c r="V1589" i="5"/>
  <c r="V1590" i="5"/>
  <c r="V1499" i="5"/>
  <c r="V1400" i="5"/>
  <c r="V1459" i="5"/>
  <c r="V1969" i="5"/>
  <c r="V1460" i="5"/>
  <c r="V1822" i="5"/>
  <c r="V2190" i="5"/>
  <c r="V2191" i="5"/>
  <c r="V2011" i="5"/>
  <c r="V792" i="5"/>
  <c r="V1461" i="5"/>
  <c r="V1236" i="5"/>
  <c r="V1823" i="5"/>
  <c r="V1824" i="5"/>
  <c r="V1553" i="5"/>
  <c r="V496" i="5"/>
  <c r="V1237" i="5"/>
  <c r="V1238" i="5"/>
  <c r="V1239" i="5"/>
  <c r="V1336" i="5"/>
  <c r="V1337" i="5"/>
  <c r="V437" i="5"/>
  <c r="V497" i="5"/>
  <c r="V498" i="5"/>
  <c r="V1109" i="5"/>
  <c r="V1929" i="5"/>
  <c r="V858" i="5"/>
  <c r="V1462" i="5"/>
  <c r="V1630" i="5"/>
  <c r="V1631" i="5"/>
  <c r="V1591" i="5"/>
  <c r="V1592" i="5"/>
  <c r="V2204" i="5"/>
  <c r="V1294" i="5"/>
  <c r="V322" i="5"/>
  <c r="V24" i="5"/>
  <c r="V793" i="5"/>
  <c r="V794" i="5"/>
  <c r="V2091" i="5"/>
  <c r="V1682" i="5"/>
  <c r="V2012" i="5"/>
  <c r="V399" i="5"/>
  <c r="V1295" i="5"/>
  <c r="V1878" i="5"/>
  <c r="V1879" i="5"/>
  <c r="V1463" i="5"/>
  <c r="V1178" i="5"/>
  <c r="V163" i="5"/>
  <c r="V1683" i="5"/>
  <c r="V2205" i="5"/>
  <c r="V2128" i="5"/>
  <c r="V2129" i="5"/>
  <c r="V1930" i="5"/>
  <c r="V1931" i="5"/>
  <c r="V1632" i="5"/>
  <c r="V1633" i="5"/>
  <c r="V1179" i="5"/>
  <c r="V1401" i="5"/>
  <c r="V939" i="5"/>
  <c r="V1402" i="5"/>
  <c r="V1932" i="5"/>
  <c r="V1933" i="5"/>
  <c r="V1554" i="5"/>
  <c r="V1970" i="5"/>
  <c r="V1880" i="5"/>
  <c r="V1296" i="5"/>
  <c r="V1825" i="5"/>
  <c r="V438" i="5"/>
  <c r="V1110" i="5"/>
  <c r="V1111" i="5"/>
  <c r="V1684" i="5"/>
  <c r="V2013" i="5"/>
  <c r="V2014" i="5"/>
  <c r="V940" i="5"/>
  <c r="V1634" i="5"/>
  <c r="V1782" i="5"/>
  <c r="V1180" i="5"/>
  <c r="V2192" i="5"/>
  <c r="V628" i="5"/>
  <c r="V1826" i="5"/>
  <c r="V941" i="5"/>
  <c r="V2015" i="5"/>
  <c r="V566" i="5"/>
  <c r="V1593" i="5"/>
  <c r="V795" i="5"/>
  <c r="V714" i="5"/>
  <c r="V1112" i="5"/>
  <c r="V1464" i="5"/>
  <c r="V439" i="5"/>
  <c r="V440" i="5"/>
  <c r="V2016" i="5"/>
  <c r="V1465" i="5"/>
  <c r="V1594" i="5"/>
  <c r="V133" i="5"/>
  <c r="V1113" i="5"/>
  <c r="V1240" i="5"/>
  <c r="V41" i="5"/>
  <c r="V1403" i="5"/>
  <c r="V1404" i="5"/>
  <c r="V2156" i="5"/>
  <c r="V715" i="5"/>
  <c r="V323" i="5"/>
  <c r="V499" i="5"/>
  <c r="V1738" i="5"/>
  <c r="V1241" i="5"/>
  <c r="V1338" i="5"/>
  <c r="V1339" i="5"/>
  <c r="V1881" i="5"/>
  <c r="V1971" i="5"/>
  <c r="V1685" i="5"/>
  <c r="V1297" i="5"/>
  <c r="V1114" i="5"/>
  <c r="V1686" i="5"/>
  <c r="V1739" i="5"/>
  <c r="V629" i="5"/>
  <c r="V400" i="5"/>
  <c r="V2017" i="5"/>
  <c r="V716" i="5"/>
  <c r="V2092" i="5"/>
  <c r="V1466" i="5"/>
  <c r="V1340" i="5"/>
  <c r="V441" i="5"/>
  <c r="V1827" i="5"/>
  <c r="V2062" i="5"/>
  <c r="V232" i="5"/>
  <c r="V717" i="5"/>
  <c r="V1467" i="5"/>
  <c r="V1017" i="5"/>
  <c r="V718" i="5"/>
  <c r="V1595" i="5"/>
  <c r="V1596" i="5"/>
  <c r="V1018" i="5"/>
  <c r="V1019" i="5"/>
  <c r="V630" i="5"/>
  <c r="V442" i="5"/>
  <c r="V443" i="5"/>
  <c r="V859" i="5"/>
  <c r="V1828" i="5"/>
  <c r="V860" i="5"/>
  <c r="V2157" i="5"/>
  <c r="V500" i="5"/>
  <c r="V1405" i="5"/>
  <c r="V444" i="5"/>
  <c r="V796" i="5"/>
  <c r="V1934" i="5"/>
  <c r="V631" i="5"/>
  <c r="V942" i="5"/>
  <c r="V1882" i="5"/>
  <c r="V1115" i="5"/>
  <c r="V943" i="5"/>
  <c r="V1883" i="5"/>
  <c r="V632" i="5"/>
  <c r="V1406" i="5"/>
  <c r="V1407" i="5"/>
  <c r="V944" i="5"/>
  <c r="V567" i="5"/>
  <c r="V1408" i="5"/>
  <c r="V945" i="5"/>
  <c r="V719" i="5"/>
  <c r="V2093" i="5"/>
  <c r="V1555" i="5"/>
  <c r="V2063" i="5"/>
  <c r="V2064" i="5"/>
  <c r="V2018" i="5"/>
  <c r="V1972" i="5"/>
  <c r="V1468" i="5"/>
  <c r="V2094" i="5"/>
  <c r="V2095" i="5"/>
  <c r="V1556" i="5"/>
  <c r="V1298" i="5"/>
  <c r="V1597" i="5"/>
  <c r="V1935" i="5"/>
  <c r="V1299" i="5"/>
  <c r="V74" i="5"/>
  <c r="V1687" i="5"/>
  <c r="V861" i="5"/>
  <c r="V1181" i="5"/>
  <c r="V1829" i="5"/>
  <c r="V1116" i="5"/>
  <c r="V1409" i="5"/>
  <c r="V355" i="5"/>
  <c r="V1830" i="5"/>
  <c r="V1557" i="5"/>
  <c r="V1558" i="5"/>
  <c r="V2130" i="5"/>
  <c r="V633" i="5"/>
  <c r="V324" i="5"/>
  <c r="V1242" i="5"/>
  <c r="V1243" i="5"/>
  <c r="V1469" i="5"/>
  <c r="V797" i="5"/>
  <c r="V1884" i="5"/>
  <c r="V1559" i="5"/>
  <c r="V1635" i="5"/>
  <c r="V1973" i="5"/>
  <c r="V1020" i="5"/>
  <c r="V720" i="5"/>
  <c r="V721" i="5"/>
  <c r="V1470" i="5"/>
  <c r="V356" i="5"/>
  <c r="V1885" i="5"/>
  <c r="V2065" i="5"/>
  <c r="V1783" i="5"/>
  <c r="V1831" i="5"/>
  <c r="V1688" i="5"/>
  <c r="V1182" i="5"/>
  <c r="V445" i="5"/>
  <c r="V1560" i="5"/>
  <c r="V1886" i="5"/>
  <c r="V1689" i="5"/>
  <c r="V568" i="5"/>
  <c r="V325" i="5"/>
  <c r="V1410" i="5"/>
  <c r="V862" i="5"/>
  <c r="V501" i="5"/>
  <c r="V1341" i="5"/>
  <c r="V1936" i="5"/>
  <c r="V1183" i="5"/>
  <c r="V1342" i="5"/>
  <c r="V1117" i="5"/>
  <c r="V446" i="5"/>
  <c r="V2066" i="5"/>
  <c r="V2217" i="5"/>
  <c r="V1021" i="5"/>
  <c r="V722" i="5"/>
  <c r="V1937" i="5"/>
  <c r="V447" i="5"/>
  <c r="V2067" i="5"/>
  <c r="V1500" i="5"/>
  <c r="V2019" i="5"/>
  <c r="V1411" i="5"/>
  <c r="V1343" i="5"/>
  <c r="V1300" i="5"/>
  <c r="V946" i="5"/>
  <c r="V502" i="5"/>
  <c r="V1244" i="5"/>
  <c r="V863" i="5"/>
  <c r="V134" i="5"/>
  <c r="V1598" i="5"/>
  <c r="V947" i="5"/>
  <c r="V1599" i="5"/>
  <c r="V2096" i="5"/>
  <c r="V723" i="5"/>
  <c r="V357" i="5"/>
  <c r="V1412" i="5"/>
  <c r="V1413" i="5"/>
  <c r="V634" i="5"/>
  <c r="V358" i="5"/>
  <c r="V1022" i="5"/>
  <c r="V1184" i="5"/>
  <c r="V1185" i="5"/>
  <c r="V448" i="5"/>
  <c r="V948" i="5"/>
  <c r="V798" i="5"/>
  <c r="V569" i="5"/>
  <c r="V1301" i="5"/>
  <c r="V724" i="5"/>
  <c r="V2097" i="5"/>
  <c r="V2098" i="5"/>
  <c r="V1245" i="5"/>
  <c r="V359" i="5"/>
  <c r="V360" i="5"/>
  <c r="V1302" i="5"/>
  <c r="V1501" i="5"/>
  <c r="V725" i="5"/>
  <c r="V1186" i="5"/>
  <c r="V2158" i="5"/>
  <c r="V1246" i="5"/>
  <c r="V1561" i="5"/>
  <c r="V1974" i="5"/>
  <c r="V1975" i="5"/>
  <c r="V1562" i="5"/>
  <c r="V1414" i="5"/>
  <c r="V2211" i="5"/>
  <c r="V1247" i="5"/>
  <c r="V2020" i="5"/>
  <c r="V726" i="5"/>
  <c r="V570" i="5"/>
  <c r="V727" i="5"/>
  <c r="V1471" i="5"/>
  <c r="V1563" i="5"/>
  <c r="V1976" i="5"/>
  <c r="V1344" i="5"/>
  <c r="V1023" i="5"/>
  <c r="V2212" i="5"/>
  <c r="V864" i="5"/>
  <c r="V503" i="5"/>
  <c r="V1887" i="5"/>
  <c r="V2099" i="5"/>
  <c r="V233" i="5"/>
  <c r="V635" i="5"/>
  <c r="V636" i="5"/>
  <c r="V571" i="5"/>
  <c r="V200" i="5"/>
  <c r="V1832" i="5"/>
  <c r="V1118" i="5"/>
  <c r="V1784" i="5"/>
  <c r="V949" i="5"/>
  <c r="V1415" i="5"/>
  <c r="V1833" i="5"/>
  <c r="V1024" i="5"/>
  <c r="V1187" i="5"/>
  <c r="V1188" i="5"/>
  <c r="V1119" i="5"/>
  <c r="V865" i="5"/>
  <c r="V1834" i="5"/>
  <c r="V1690" i="5"/>
  <c r="V1600" i="5"/>
  <c r="V504" i="5"/>
  <c r="V572" i="5"/>
  <c r="V573" i="5"/>
  <c r="V1189" i="5"/>
  <c r="V1691" i="5"/>
  <c r="V728" i="5"/>
  <c r="V1564" i="5"/>
  <c r="V1025" i="5"/>
  <c r="V1026" i="5"/>
  <c r="V1835" i="5"/>
  <c r="V2131" i="5"/>
  <c r="V2021" i="5"/>
  <c r="V866" i="5"/>
  <c r="V1601" i="5"/>
  <c r="V1836" i="5"/>
  <c r="V1837" i="5"/>
  <c r="V2100" i="5"/>
  <c r="V1502" i="5"/>
  <c r="V361" i="5"/>
  <c r="V2132" i="5"/>
  <c r="V1977" i="5"/>
  <c r="V1838" i="5"/>
  <c r="V1839" i="5"/>
  <c r="V1785" i="5"/>
  <c r="V574" i="5"/>
  <c r="V867" i="5"/>
  <c r="V449" i="5"/>
  <c r="V1345" i="5"/>
  <c r="V1636" i="5"/>
  <c r="V1303" i="5"/>
  <c r="V1190" i="5"/>
  <c r="V505" i="5"/>
  <c r="V1120" i="5"/>
  <c r="V1191" i="5"/>
  <c r="V1416" i="5"/>
  <c r="V868" i="5"/>
  <c r="V1503" i="5"/>
  <c r="V637" i="5"/>
  <c r="V201" i="5"/>
  <c r="V1740" i="5"/>
  <c r="V1741" i="5"/>
  <c r="V1888" i="5"/>
  <c r="V638" i="5"/>
  <c r="V1417" i="5"/>
  <c r="V2068" i="5"/>
  <c r="V950" i="5"/>
  <c r="V2022" i="5"/>
  <c r="V1978" i="5"/>
  <c r="V1979" i="5"/>
  <c r="V1692" i="5"/>
  <c r="V1504" i="5"/>
  <c r="V1192" i="5"/>
  <c r="V799" i="5"/>
  <c r="V639" i="5"/>
  <c r="V2069" i="5"/>
  <c r="V729" i="5"/>
  <c r="V1786" i="5"/>
  <c r="V1840" i="5"/>
  <c r="V640" i="5"/>
  <c r="V730" i="5"/>
  <c r="V1121" i="5"/>
  <c r="V506" i="5"/>
  <c r="V1693" i="5"/>
  <c r="V1938" i="5"/>
  <c r="V1742" i="5"/>
  <c r="V800" i="5"/>
  <c r="V1841" i="5"/>
  <c r="V1027" i="5"/>
  <c r="V1939" i="5"/>
  <c r="V1694" i="5"/>
  <c r="V1787" i="5"/>
  <c r="V869" i="5"/>
  <c r="V1889" i="5"/>
  <c r="V731" i="5"/>
  <c r="V732" i="5"/>
  <c r="V1565" i="5"/>
  <c r="V1304" i="5"/>
  <c r="V1028" i="5"/>
  <c r="V507" i="5"/>
  <c r="V1193" i="5"/>
  <c r="V234" i="5"/>
  <c r="V1695" i="5"/>
  <c r="V1505" i="5"/>
  <c r="V1506" i="5"/>
  <c r="V2101" i="5"/>
  <c r="V508" i="5"/>
  <c r="V641" i="5"/>
  <c r="V2102" i="5"/>
  <c r="V1418" i="5"/>
  <c r="V1305" i="5"/>
  <c r="V870" i="5"/>
  <c r="V1472" i="5"/>
  <c r="V733" i="5"/>
  <c r="V1743" i="5"/>
  <c r="V951" i="5"/>
  <c r="V401" i="5"/>
  <c r="V1419" i="5"/>
  <c r="V1637" i="5"/>
  <c r="V642" i="5"/>
  <c r="V2133" i="5"/>
  <c r="V135" i="5"/>
  <c r="V2023" i="5"/>
  <c r="V2134" i="5"/>
  <c r="V1744" i="5"/>
  <c r="V1306" i="5"/>
  <c r="V1745" i="5"/>
  <c r="V1980" i="5"/>
  <c r="V1420" i="5"/>
  <c r="V42" i="5"/>
  <c r="V643" i="5"/>
  <c r="V644" i="5"/>
  <c r="V2159" i="5"/>
  <c r="V1248" i="5"/>
  <c r="V509" i="5"/>
  <c r="V53" i="5"/>
  <c r="V1566" i="5"/>
  <c r="V871" i="5"/>
  <c r="V2221" i="5"/>
  <c r="V1890" i="5"/>
  <c r="V362" i="5"/>
  <c r="V1194" i="5"/>
  <c r="V2193" i="5"/>
  <c r="V2194" i="5"/>
  <c r="V1842" i="5"/>
  <c r="V1843" i="5"/>
  <c r="V1844" i="5"/>
  <c r="V1845" i="5"/>
  <c r="V2024" i="5"/>
  <c r="V1567" i="5"/>
  <c r="V1891" i="5"/>
  <c r="V1746" i="5"/>
  <c r="V1981" i="5"/>
  <c r="V1696" i="5"/>
  <c r="V2103" i="5"/>
  <c r="V1249" i="5"/>
  <c r="V1638" i="5"/>
  <c r="V1639" i="5"/>
  <c r="V1640" i="5"/>
  <c r="V1747" i="5"/>
  <c r="V1940" i="5"/>
  <c r="V1122" i="5"/>
  <c r="V1507" i="5"/>
  <c r="V1788" i="5"/>
  <c r="V1846" i="5"/>
  <c r="V575" i="5"/>
  <c r="V952" i="5"/>
  <c r="V2025" i="5"/>
  <c r="V326" i="5"/>
  <c r="V645" i="5"/>
  <c r="V402" i="5"/>
  <c r="V276" i="5"/>
  <c r="V277" i="5"/>
  <c r="V1568" i="5"/>
  <c r="V1789" i="5"/>
  <c r="V1250" i="5"/>
  <c r="V1941" i="5"/>
  <c r="V1508" i="5"/>
  <c r="V1748" i="5"/>
  <c r="V2135" i="5"/>
  <c r="V2136" i="5"/>
  <c r="V953" i="5"/>
  <c r="V43" i="5"/>
  <c r="V646" i="5"/>
  <c r="V647" i="5"/>
  <c r="V1602" i="5"/>
  <c r="V801" i="5"/>
  <c r="V1892" i="5"/>
  <c r="V2026" i="5"/>
  <c r="V1346" i="5"/>
  <c r="V1347" i="5"/>
  <c r="V1749" i="5"/>
  <c r="V648" i="5"/>
  <c r="V734" i="5"/>
  <c r="V1029" i="5"/>
  <c r="V954" i="5"/>
  <c r="V1509" i="5"/>
  <c r="V1893" i="5"/>
  <c r="V2027" i="5"/>
  <c r="V2070" i="5"/>
  <c r="V1030" i="5"/>
  <c r="V649" i="5"/>
  <c r="V802" i="5"/>
  <c r="V2137" i="5"/>
  <c r="V1641" i="5"/>
  <c r="V1031" i="5"/>
  <c r="V1473" i="5"/>
  <c r="V872" i="5"/>
  <c r="V2071" i="5"/>
  <c r="V1251" i="5"/>
  <c r="V2218" i="5"/>
  <c r="V2219" i="5"/>
  <c r="V1474" i="5"/>
  <c r="V1510" i="5"/>
  <c r="V1511" i="5"/>
  <c r="V1642" i="5"/>
  <c r="V1348" i="5"/>
  <c r="V1512" i="5"/>
  <c r="V1982" i="5"/>
  <c r="V25" i="5"/>
  <c r="V2104" i="5"/>
  <c r="V1195" i="5"/>
  <c r="V1894" i="5"/>
  <c r="V1513" i="5"/>
  <c r="V2105" i="5"/>
  <c r="V1983" i="5"/>
  <c r="V450" i="5"/>
  <c r="V873" i="5"/>
  <c r="V874" i="5"/>
  <c r="V875" i="5"/>
  <c r="V1603" i="5"/>
  <c r="V1196" i="5"/>
  <c r="V1847" i="5"/>
  <c r="V1750" i="5"/>
  <c r="V803" i="5"/>
  <c r="V735" i="5"/>
  <c r="V2138" i="5"/>
  <c r="V2106" i="5"/>
  <c r="V1421" i="5"/>
  <c r="V2028" i="5"/>
  <c r="V1643" i="5"/>
  <c r="V804" i="5"/>
  <c r="V403" i="5"/>
  <c r="V1644" i="5"/>
  <c r="V1307" i="5"/>
  <c r="V736" i="5"/>
  <c r="V1790" i="5"/>
  <c r="V1984" i="5"/>
  <c r="V451" i="5"/>
  <c r="V737" i="5"/>
  <c r="V2139" i="5"/>
  <c r="V1349" i="5"/>
  <c r="V1645" i="5"/>
  <c r="V2072" i="5"/>
  <c r="V2073" i="5"/>
  <c r="V1791" i="5"/>
  <c r="V1569" i="5"/>
  <c r="V2029" i="5"/>
  <c r="V1032" i="5"/>
  <c r="V1422" i="5"/>
  <c r="V650" i="5"/>
  <c r="V510" i="5"/>
  <c r="V1423" i="5"/>
  <c r="V1848" i="5"/>
  <c r="V1849" i="5"/>
  <c r="V576" i="5"/>
  <c r="V136" i="5"/>
  <c r="V1475" i="5"/>
  <c r="V1308" i="5"/>
  <c r="V1424" i="5"/>
  <c r="V1425" i="5"/>
  <c r="V876" i="5"/>
  <c r="V1197" i="5"/>
  <c r="V1646" i="5"/>
  <c r="V738" i="5"/>
  <c r="V1514" i="5"/>
  <c r="V1942" i="5"/>
  <c r="V1350" i="5"/>
  <c r="V1751" i="5"/>
  <c r="V2160" i="5"/>
  <c r="V2161" i="5"/>
  <c r="V2030" i="5"/>
  <c r="V1752" i="5"/>
  <c r="V1604" i="5"/>
  <c r="V1033" i="5"/>
  <c r="V955" i="5"/>
  <c r="V956" i="5"/>
  <c r="V1895" i="5"/>
  <c r="V511" i="5"/>
  <c r="V805" i="5"/>
  <c r="V1943" i="5"/>
  <c r="V957" i="5"/>
  <c r="V651" i="5"/>
  <c r="V1985" i="5"/>
  <c r="V739" i="5"/>
  <c r="V75" i="5"/>
  <c r="V652" i="5"/>
  <c r="V1570" i="5"/>
  <c r="V740" i="5"/>
  <c r="V741" i="5"/>
  <c r="V742" i="5"/>
  <c r="V1850" i="5"/>
  <c r="V877" i="5"/>
  <c r="V1851" i="5"/>
  <c r="V958" i="5"/>
  <c r="V653" i="5"/>
  <c r="V1896" i="5"/>
  <c r="V1897" i="5"/>
  <c r="V806" i="5"/>
  <c r="V1476" i="5"/>
  <c r="V1605" i="5"/>
  <c r="V164" i="5"/>
  <c r="V1477" i="5"/>
  <c r="V1351" i="5"/>
  <c r="V807" i="5"/>
  <c r="V404" i="5"/>
  <c r="V808" i="5"/>
  <c r="V1478" i="5"/>
  <c r="V1479" i="5"/>
  <c r="V1944" i="5"/>
  <c r="V1252" i="5"/>
  <c r="V1034" i="5"/>
  <c r="V2162" i="5"/>
  <c r="V2206" i="5"/>
  <c r="V743" i="5"/>
  <c r="V809" i="5"/>
  <c r="V107" i="5"/>
  <c r="V327" i="5"/>
  <c r="V1571" i="5"/>
  <c r="V1753" i="5"/>
  <c r="V1515" i="5"/>
  <c r="V1426" i="5"/>
  <c r="V1427" i="5"/>
  <c r="V2163" i="5"/>
  <c r="V810" i="5"/>
  <c r="V452" i="5"/>
  <c r="V2213" i="5"/>
  <c r="V811" i="5"/>
  <c r="V812" i="5"/>
  <c r="V405" i="5"/>
  <c r="V363" i="5"/>
  <c r="V1309" i="5"/>
  <c r="V1697" i="5"/>
  <c r="V1123" i="5"/>
  <c r="V1352" i="5"/>
  <c r="V1353" i="5"/>
  <c r="V2074" i="5"/>
  <c r="V1035" i="5"/>
  <c r="V1198" i="5"/>
  <c r="V1945" i="5"/>
  <c r="V1354" i="5"/>
  <c r="V1647" i="5"/>
  <c r="V1124" i="5"/>
  <c r="V959" i="5"/>
  <c r="V1036" i="5"/>
  <c r="V1428" i="5"/>
  <c r="V813" i="5"/>
  <c r="V1253" i="5"/>
  <c r="V1429" i="5"/>
  <c r="V512" i="5"/>
  <c r="V960" i="5"/>
  <c r="V202" i="5"/>
  <c r="V744" i="5"/>
  <c r="V1430" i="5"/>
  <c r="V1125" i="5"/>
  <c r="V2031" i="5"/>
  <c r="V1126" i="5"/>
  <c r="V1792" i="5"/>
  <c r="V2195" i="5"/>
  <c r="V1199" i="5"/>
  <c r="V878" i="5"/>
  <c r="V406" i="5"/>
  <c r="V407" i="5"/>
  <c r="V1037" i="5"/>
  <c r="V328" i="5"/>
  <c r="V1254" i="5"/>
  <c r="V513" i="5"/>
  <c r="V2032" i="5"/>
  <c r="V278" i="5"/>
  <c r="V1200" i="5"/>
  <c r="V1201" i="5"/>
  <c r="V1355" i="5"/>
  <c r="V408" i="5"/>
  <c r="V1356" i="5"/>
  <c r="V2033" i="5"/>
  <c r="V1357" i="5"/>
  <c r="V814" i="5"/>
  <c r="V1038" i="5"/>
  <c r="V961" i="5"/>
  <c r="V577" i="5"/>
  <c r="V2075" i="5"/>
  <c r="V1202" i="5"/>
  <c r="V1793" i="5"/>
  <c r="V745" i="5"/>
  <c r="V879" i="5"/>
  <c r="V1127" i="5"/>
  <c r="V815" i="5"/>
  <c r="V578" i="5"/>
  <c r="V2107" i="5"/>
  <c r="V1039" i="5"/>
  <c r="V1572" i="5"/>
  <c r="V1040" i="5"/>
  <c r="V1203" i="5"/>
  <c r="V1431" i="5"/>
  <c r="V235" i="5"/>
  <c r="V514" i="5"/>
  <c r="V44" i="5"/>
  <c r="V26" i="5"/>
  <c r="V1310" i="5"/>
  <c r="V962" i="5"/>
  <c r="V1946" i="5"/>
  <c r="V1898" i="5"/>
  <c r="V1899" i="5"/>
  <c r="V1255" i="5"/>
  <c r="V816" i="5"/>
  <c r="V515" i="5"/>
  <c r="V1480" i="5"/>
  <c r="V1481" i="5"/>
  <c r="V654" i="5"/>
  <c r="V880" i="5"/>
  <c r="V881" i="5"/>
  <c r="V1041" i="5"/>
  <c r="V364" i="5"/>
  <c r="V963" i="5"/>
  <c r="V76" i="5"/>
  <c r="V165" i="5"/>
  <c r="V166" i="5"/>
  <c r="V817" i="5"/>
  <c r="V1754" i="5"/>
  <c r="V1698" i="5"/>
  <c r="V1204" i="5"/>
  <c r="V1794" i="5"/>
  <c r="V236" i="5"/>
  <c r="V2164" i="5"/>
  <c r="V1205" i="5"/>
  <c r="V365" i="5"/>
  <c r="V746" i="5"/>
  <c r="V329" i="5"/>
  <c r="V1042" i="5"/>
  <c r="V366" i="5"/>
  <c r="V579" i="5"/>
  <c r="V580" i="5"/>
  <c r="V516" i="5"/>
  <c r="V137" i="5"/>
  <c r="V138" i="5"/>
  <c r="V517" i="5"/>
  <c r="V367" i="5"/>
  <c r="V108" i="5"/>
  <c r="V409" i="5"/>
  <c r="V1900" i="5"/>
  <c r="V1256" i="5"/>
  <c r="V1482" i="5"/>
  <c r="V747" i="5"/>
  <c r="V964" i="5"/>
  <c r="V1483" i="5"/>
  <c r="V518" i="5"/>
  <c r="V1484" i="5"/>
  <c r="V203" i="5"/>
  <c r="V1986" i="5"/>
  <c r="V581" i="5"/>
  <c r="V1795" i="5"/>
  <c r="V167" i="5"/>
  <c r="V1257" i="5"/>
  <c r="V1258" i="5"/>
  <c r="V1648" i="5"/>
  <c r="V519" i="5"/>
  <c r="V2108" i="5"/>
  <c r="V582" i="5"/>
  <c r="V1259" i="5"/>
  <c r="V330" i="5"/>
  <c r="V1206" i="5"/>
  <c r="V139" i="5"/>
  <c r="V520" i="5"/>
  <c r="V1516" i="5"/>
  <c r="V2034" i="5"/>
  <c r="V1043" i="5"/>
  <c r="V1485" i="5"/>
  <c r="V748" i="5"/>
  <c r="V655" i="5"/>
  <c r="V1432" i="5"/>
  <c r="V1796" i="5"/>
  <c r="V1260" i="5"/>
  <c r="V2076" i="5"/>
  <c r="V2077" i="5"/>
  <c r="V453" i="5"/>
  <c r="V1433" i="5"/>
  <c r="V1207" i="5"/>
  <c r="V1208" i="5"/>
  <c r="V1128" i="5"/>
  <c r="V1261" i="5"/>
  <c r="V331" i="5"/>
  <c r="V1987" i="5"/>
  <c r="V1797" i="5"/>
  <c r="V2035" i="5"/>
  <c r="V818" i="5"/>
  <c r="V965" i="5"/>
  <c r="V966" i="5"/>
  <c r="V1311" i="5"/>
  <c r="V583" i="5"/>
  <c r="V749" i="5"/>
  <c r="V368" i="5"/>
  <c r="V204" i="5"/>
  <c r="V237" i="5"/>
  <c r="V2036" i="5"/>
  <c r="V819" i="5"/>
  <c r="V820" i="5"/>
  <c r="V279" i="5"/>
  <c r="V280" i="5"/>
  <c r="V281" i="5"/>
  <c r="V1947" i="5"/>
  <c r="V1948" i="5"/>
  <c r="V1209" i="5"/>
  <c r="V1044" i="5"/>
  <c r="V584" i="5"/>
  <c r="V2078" i="5"/>
  <c r="V1045" i="5"/>
  <c r="V109" i="5"/>
  <c r="V1988" i="5"/>
  <c r="V238" i="5"/>
  <c r="V369" i="5"/>
  <c r="V332" i="5"/>
  <c r="V1573" i="5"/>
  <c r="V1517" i="5"/>
  <c r="V282" i="5"/>
  <c r="V882" i="5"/>
  <c r="V656" i="5"/>
  <c r="V1649" i="5"/>
  <c r="V821" i="5"/>
  <c r="V168" i="5"/>
  <c r="V283" i="5"/>
  <c r="V1949" i="5"/>
  <c r="V1950" i="5"/>
  <c r="V967" i="5"/>
  <c r="V883" i="5"/>
  <c r="V1901" i="5"/>
  <c r="V1902" i="5"/>
  <c r="V968" i="5"/>
  <c r="V110" i="5"/>
  <c r="V1129" i="5"/>
  <c r="V1699" i="5"/>
  <c r="V2140" i="5"/>
  <c r="V969" i="5"/>
  <c r="V1755" i="5"/>
  <c r="V1903" i="5"/>
  <c r="V521" i="5"/>
  <c r="V77" i="5"/>
  <c r="V239" i="5"/>
  <c r="V522" i="5"/>
  <c r="V1518" i="5"/>
  <c r="V1519" i="5"/>
  <c r="V523" i="5"/>
  <c r="V1046" i="5"/>
  <c r="V970" i="5"/>
  <c r="V971" i="5"/>
  <c r="V884" i="5"/>
  <c r="V524" i="5"/>
  <c r="V370" i="5"/>
  <c r="V333" i="5"/>
  <c r="V169" i="5"/>
  <c r="V1904" i="5"/>
  <c r="V1905" i="5"/>
  <c r="V1262" i="5"/>
  <c r="V525" i="5"/>
  <c r="V822" i="5"/>
  <c r="V1210" i="5"/>
  <c r="V1211" i="5"/>
  <c r="V78" i="5"/>
  <c r="V1700" i="5"/>
  <c r="V1263" i="5"/>
  <c r="V1047" i="5"/>
  <c r="V1650" i="5"/>
  <c r="V1130" i="5"/>
  <c r="V170" i="5"/>
  <c r="V1048" i="5"/>
  <c r="V1358" i="5"/>
  <c r="V240" i="5"/>
  <c r="V526" i="5"/>
  <c r="V1131" i="5"/>
  <c r="V2109" i="5"/>
  <c r="V885" i="5"/>
  <c r="V205" i="5"/>
  <c r="V1574" i="5"/>
  <c r="V972" i="5"/>
  <c r="V585" i="5"/>
  <c r="V2196" i="5"/>
  <c r="V2197" i="5"/>
  <c r="V973" i="5"/>
  <c r="V1359" i="5"/>
  <c r="V1360" i="5"/>
  <c r="V527" i="5"/>
  <c r="V528" i="5"/>
  <c r="V1989" i="5"/>
  <c r="V657" i="5"/>
  <c r="V658" i="5"/>
  <c r="V1798" i="5"/>
  <c r="V659" i="5"/>
  <c r="V410" i="5"/>
  <c r="V886" i="5"/>
  <c r="V887" i="5"/>
  <c r="V660" i="5"/>
  <c r="V750" i="5"/>
  <c r="V1756" i="5"/>
  <c r="V284" i="5"/>
  <c r="V751" i="5"/>
  <c r="V752" i="5"/>
  <c r="V1906" i="5"/>
  <c r="V241" i="5"/>
  <c r="V79" i="5"/>
  <c r="V1049" i="5"/>
  <c r="V1050" i="5"/>
  <c r="V823" i="5"/>
  <c r="V753" i="5"/>
  <c r="V1361" i="5"/>
  <c r="V1362" i="5"/>
  <c r="V1312" i="5"/>
  <c r="V334" i="5"/>
  <c r="V1264" i="5"/>
  <c r="V529" i="5"/>
  <c r="V371" i="5"/>
  <c r="V1990" i="5"/>
  <c r="V1313" i="5"/>
  <c r="V1951" i="5"/>
  <c r="V1907" i="5"/>
  <c r="V1434" i="5"/>
  <c r="V1799" i="5"/>
  <c r="V1952" i="5"/>
  <c r="V411" i="5"/>
  <c r="V285" i="5"/>
  <c r="V454" i="5"/>
  <c r="V1265" i="5"/>
  <c r="V1520" i="5"/>
  <c r="V1701" i="5"/>
  <c r="V1051" i="5"/>
  <c r="V754" i="5"/>
  <c r="V1953" i="5"/>
  <c r="V755" i="5"/>
  <c r="V530" i="5"/>
  <c r="V1606" i="5"/>
  <c r="V2141" i="5"/>
  <c r="V1435" i="5"/>
  <c r="V661" i="5"/>
  <c r="V662" i="5"/>
  <c r="V586" i="5"/>
  <c r="V286" i="5"/>
  <c r="V1052" i="5"/>
  <c r="V206" i="5"/>
  <c r="V372" i="5"/>
  <c r="V1132" i="5"/>
  <c r="V1954" i="5"/>
  <c r="V242" i="5"/>
  <c r="V287" i="5"/>
  <c r="V1266" i="5"/>
  <c r="V373" i="5"/>
  <c r="V974" i="5"/>
  <c r="V2142" i="5"/>
  <c r="V1212" i="5"/>
  <c r="V1267" i="5"/>
  <c r="V288" i="5"/>
  <c r="V888" i="5"/>
  <c r="V889" i="5"/>
  <c r="V890" i="5"/>
  <c r="V891" i="5"/>
  <c r="V756" i="5"/>
  <c r="V1436" i="5"/>
  <c r="V1437" i="5"/>
  <c r="V587" i="5"/>
  <c r="V1053" i="5"/>
  <c r="V54" i="5"/>
  <c r="V2037" i="5"/>
  <c r="V1702" i="5"/>
  <c r="V892" i="5"/>
  <c r="V893" i="5"/>
  <c r="V243" i="5"/>
  <c r="V1133" i="5"/>
  <c r="V975" i="5"/>
  <c r="V531" i="5"/>
  <c r="V374" i="5"/>
  <c r="V1314" i="5"/>
  <c r="V2143" i="5"/>
  <c r="V111" i="5"/>
  <c r="V1852" i="5"/>
  <c r="V1268" i="5"/>
  <c r="V1757" i="5"/>
  <c r="V244" i="5"/>
  <c r="V245" i="5"/>
  <c r="V1054" i="5"/>
  <c r="V1055" i="5"/>
  <c r="V757" i="5"/>
  <c r="V412" i="5"/>
  <c r="V894" i="5"/>
  <c r="V1853" i="5"/>
  <c r="V27" i="5"/>
  <c r="V28" i="5"/>
  <c r="V1269" i="5"/>
  <c r="V895" i="5"/>
  <c r="V2079" i="5"/>
  <c r="V10" i="5"/>
  <c r="V11" i="5"/>
  <c r="V246" i="5"/>
  <c r="V171" i="5"/>
  <c r="V1363" i="5"/>
  <c r="V1854" i="5"/>
  <c r="V1056" i="5"/>
  <c r="V1057" i="5"/>
  <c r="V824" i="5"/>
  <c r="V825" i="5"/>
  <c r="V1991" i="5"/>
  <c r="V976" i="5"/>
  <c r="V1703" i="5"/>
  <c r="V663" i="5"/>
  <c r="V588" i="5"/>
  <c r="V2165" i="5"/>
  <c r="V375" i="5"/>
  <c r="V826" i="5"/>
  <c r="V827" i="5"/>
  <c r="V55" i="5"/>
  <c r="V589" i="5"/>
  <c r="V1521" i="5"/>
  <c r="V455" i="5"/>
  <c r="V172" i="5"/>
  <c r="V1704" i="5"/>
  <c r="V1438" i="5"/>
  <c r="V1522" i="5"/>
  <c r="V758" i="5"/>
  <c r="V112" i="5"/>
  <c r="V113" i="5"/>
  <c r="V1058" i="5"/>
  <c r="V2038" i="5"/>
  <c r="V1270" i="5"/>
  <c r="V532" i="5"/>
  <c r="V2110" i="5"/>
  <c r="V2111" i="5"/>
  <c r="V80" i="5"/>
  <c r="V81" i="5"/>
  <c r="V1134" i="5"/>
  <c r="V759" i="5"/>
  <c r="V207" i="5"/>
  <c r="V1705" i="5"/>
  <c r="V1135" i="5"/>
  <c r="V1523" i="5"/>
  <c r="V977" i="5"/>
  <c r="V828" i="5"/>
  <c r="V1364" i="5"/>
  <c r="V1213" i="5"/>
  <c r="V289" i="5"/>
  <c r="V1365" i="5"/>
  <c r="V1524" i="5"/>
  <c r="V896" i="5"/>
  <c r="V456" i="5"/>
  <c r="V1439" i="5"/>
  <c r="V208" i="5"/>
  <c r="V2039" i="5"/>
  <c r="V1758" i="5"/>
  <c r="V1575" i="5"/>
  <c r="V2040" i="5"/>
  <c r="V1525" i="5"/>
  <c r="V1059" i="5"/>
  <c r="V1060" i="5"/>
  <c r="V1366" i="5"/>
  <c r="V760" i="5"/>
  <c r="V761" i="5"/>
  <c r="V173" i="5"/>
  <c r="V413" i="5"/>
  <c r="V762" i="5"/>
  <c r="V664" i="5"/>
  <c r="V590" i="5"/>
  <c r="V1440" i="5"/>
  <c r="V1706" i="5"/>
  <c r="V533" i="5"/>
  <c r="V534" i="5"/>
  <c r="V591" i="5"/>
  <c r="V1061" i="5"/>
  <c r="V1062" i="5"/>
  <c r="V1271" i="5"/>
  <c r="V174" i="5"/>
  <c r="V2080" i="5"/>
  <c r="V457" i="5"/>
  <c r="V1441" i="5"/>
  <c r="V897" i="5"/>
  <c r="V1526" i="5"/>
  <c r="V1607" i="5"/>
  <c r="V1315" i="5"/>
  <c r="V1316" i="5"/>
  <c r="V247" i="5"/>
  <c r="V335" i="5"/>
  <c r="V1136" i="5"/>
  <c r="V898" i="5"/>
  <c r="V829" i="5"/>
  <c r="V1651" i="5"/>
  <c r="V1759" i="5"/>
  <c r="V290" i="5"/>
  <c r="V1955" i="5"/>
  <c r="V1063" i="5"/>
  <c r="V82" i="5"/>
  <c r="V978" i="5"/>
  <c r="V1137" i="5"/>
  <c r="V592" i="5"/>
  <c r="V665" i="5"/>
  <c r="V414" i="5"/>
  <c r="V899" i="5"/>
  <c r="V291" i="5"/>
  <c r="V248" i="5"/>
  <c r="V1486" i="5"/>
  <c r="V1064" i="5"/>
  <c r="V535" i="5"/>
  <c r="V666" i="5"/>
  <c r="V458" i="5"/>
  <c r="V979" i="5"/>
  <c r="V830" i="5"/>
  <c r="V415" i="5"/>
  <c r="V1576" i="5"/>
  <c r="V1577" i="5"/>
  <c r="V1652" i="5"/>
  <c r="V1855" i="5"/>
  <c r="V249" i="5"/>
  <c r="V593" i="5"/>
  <c r="V594" i="5"/>
  <c r="V900" i="5"/>
  <c r="V901" i="5"/>
  <c r="V763" i="5"/>
  <c r="V209" i="5"/>
  <c r="V376" i="5"/>
  <c r="V459" i="5"/>
  <c r="V595" i="5"/>
  <c r="V667" i="5"/>
  <c r="V668" i="5"/>
  <c r="V1527" i="5"/>
  <c r="V831" i="5"/>
  <c r="V1367" i="5"/>
  <c r="V2081" i="5"/>
  <c r="V416" i="5"/>
  <c r="V1214" i="5"/>
  <c r="V764" i="5"/>
  <c r="V669" i="5"/>
  <c r="V1317" i="5"/>
  <c r="V417" i="5"/>
  <c r="V980" i="5"/>
  <c r="V832" i="5"/>
  <c r="V1442" i="5"/>
  <c r="V670" i="5"/>
  <c r="V671" i="5"/>
  <c r="V460" i="5"/>
  <c r="V1065" i="5"/>
  <c r="V1760" i="5"/>
  <c r="V1653" i="5"/>
  <c r="V1654" i="5"/>
  <c r="V250" i="5"/>
  <c r="V981" i="5"/>
  <c r="V1215" i="5"/>
  <c r="V140" i="5"/>
  <c r="V1066" i="5"/>
  <c r="V1067" i="5"/>
  <c r="V596" i="5"/>
  <c r="V833" i="5"/>
  <c r="V834" i="5"/>
  <c r="V210" i="5"/>
  <c r="V83" i="5"/>
  <c r="V84" i="5"/>
  <c r="V982" i="5"/>
  <c r="V536" i="5"/>
  <c r="V292" i="5"/>
  <c r="V293" i="5"/>
  <c r="V56" i="5"/>
  <c r="V1608" i="5"/>
  <c r="V983" i="5"/>
  <c r="V1138" i="5"/>
  <c r="V175" i="5"/>
  <c r="V211" i="5"/>
  <c r="V1068" i="5"/>
  <c r="V984" i="5"/>
  <c r="V212" i="5"/>
  <c r="V213" i="5"/>
  <c r="V1069" i="5"/>
  <c r="V1443" i="5"/>
  <c r="V1444" i="5"/>
  <c r="V114" i="5"/>
  <c r="V1139" i="5"/>
  <c r="V1272" i="5"/>
  <c r="V672" i="5"/>
  <c r="V1655" i="5"/>
  <c r="V1368" i="5"/>
  <c r="V1656" i="5"/>
  <c r="V2082" i="5"/>
  <c r="V141" i="5"/>
  <c r="V1273" i="5"/>
  <c r="V214" i="5"/>
  <c r="V377" i="5"/>
  <c r="V597" i="5"/>
  <c r="V1856" i="5"/>
  <c r="V598" i="5"/>
  <c r="V1369" i="5"/>
  <c r="V336" i="5"/>
  <c r="V85" i="5"/>
  <c r="V86" i="5"/>
  <c r="V537" i="5"/>
  <c r="V538" i="5"/>
  <c r="V337" i="5"/>
  <c r="V1657" i="5"/>
  <c r="V378" i="5"/>
  <c r="V2041" i="5"/>
  <c r="V539" i="5"/>
  <c r="V835" i="5"/>
  <c r="V294" i="5"/>
  <c r="V295" i="5"/>
  <c r="V1318" i="5"/>
  <c r="V2179" i="5"/>
  <c r="V296" i="5"/>
  <c r="V2042" i="5"/>
  <c r="V2112" i="5"/>
  <c r="V1609" i="5"/>
  <c r="V1610" i="5"/>
  <c r="V1140" i="5"/>
  <c r="V1761" i="5"/>
  <c r="V176" i="5"/>
  <c r="V418" i="5"/>
  <c r="V1319" i="5"/>
  <c r="V115" i="5"/>
  <c r="V461" i="5"/>
  <c r="V599" i="5"/>
  <c r="V902" i="5"/>
  <c r="V379" i="5"/>
  <c r="V540" i="5"/>
  <c r="V338" i="5"/>
  <c r="V765" i="5"/>
  <c r="V2180" i="5"/>
  <c r="V2083" i="5"/>
  <c r="V1956" i="5"/>
  <c r="V251" i="5"/>
  <c r="V462" i="5"/>
  <c r="V1141" i="5"/>
  <c r="V1578" i="5"/>
  <c r="V1611" i="5"/>
  <c r="V985" i="5"/>
  <c r="V2113" i="5"/>
  <c r="V903" i="5"/>
  <c r="V177" i="5"/>
  <c r="V904" i="5"/>
  <c r="V1612" i="5"/>
  <c r="V297" i="5"/>
  <c r="V298" i="5"/>
  <c r="V1274" i="5"/>
  <c r="V1370" i="5"/>
  <c r="V2084" i="5"/>
  <c r="V1070" i="5"/>
  <c r="V673" i="5"/>
  <c r="V674" i="5"/>
  <c r="V1707" i="5"/>
  <c r="V1216" i="5"/>
  <c r="V380" i="5"/>
  <c r="V45" i="5"/>
  <c r="V1071" i="5"/>
  <c r="V178" i="5"/>
  <c r="V986" i="5"/>
  <c r="V836" i="5"/>
  <c r="V252" i="5"/>
  <c r="V1320" i="5"/>
  <c r="V179" i="5"/>
  <c r="V2144" i="5"/>
  <c r="V1762" i="5"/>
  <c r="V1763" i="5"/>
  <c r="V541" i="5"/>
  <c r="V675" i="5"/>
  <c r="V1217" i="5"/>
  <c r="V987" i="5"/>
  <c r="V905" i="5"/>
  <c r="V542" i="5"/>
  <c r="V1857" i="5"/>
  <c r="V57" i="5"/>
  <c r="V1800" i="5"/>
  <c r="V1801" i="5"/>
  <c r="V837" i="5"/>
  <c r="V419" i="5"/>
  <c r="V1142" i="5"/>
  <c r="V1321" i="5"/>
  <c r="V543" i="5"/>
  <c r="V1072" i="5"/>
  <c r="V544" i="5"/>
  <c r="V1073" i="5"/>
  <c r="V253" i="5"/>
  <c r="V142" i="5"/>
  <c r="V838" i="5"/>
  <c r="V839" i="5"/>
  <c r="V87" i="5"/>
  <c r="V906" i="5"/>
  <c r="V2181" i="5"/>
  <c r="V600" i="5"/>
  <c r="V1218" i="5"/>
  <c r="V1219" i="5"/>
  <c r="V299" i="5"/>
  <c r="V180" i="5"/>
  <c r="V988" i="5"/>
  <c r="V676" i="5"/>
  <c r="V420" i="5"/>
  <c r="V116" i="5"/>
  <c r="V989" i="5"/>
  <c r="V545" i="5"/>
  <c r="V546" i="5"/>
  <c r="V990" i="5"/>
  <c r="V339" i="5"/>
  <c r="V58" i="5"/>
  <c r="V117" i="5"/>
  <c r="V907" i="5"/>
  <c r="V463" i="5"/>
  <c r="V464" i="5"/>
  <c r="V254" i="5"/>
  <c r="V381" i="5"/>
  <c r="V991" i="5"/>
  <c r="V465" i="5"/>
  <c r="V340" i="5"/>
  <c r="V382" i="5"/>
  <c r="V59" i="5"/>
  <c r="V1708" i="5"/>
  <c r="V1143" i="5"/>
  <c r="V1144" i="5"/>
  <c r="V300" i="5"/>
  <c r="V677" i="5"/>
  <c r="V255" i="5"/>
  <c r="V766" i="5"/>
  <c r="V1220" i="5"/>
  <c r="V143" i="5"/>
  <c r="V601" i="5"/>
  <c r="V1275" i="5"/>
  <c r="V466" i="5"/>
  <c r="V678" i="5"/>
  <c r="V341" i="5"/>
  <c r="V1145" i="5"/>
  <c r="V342" i="5"/>
  <c r="V908" i="5"/>
  <c r="V1802" i="5"/>
  <c r="V301" i="5"/>
  <c r="V1445" i="5"/>
  <c r="V1446" i="5"/>
  <c r="V181" i="5"/>
  <c r="V144" i="5"/>
  <c r="V118" i="5"/>
  <c r="V119" i="5"/>
  <c r="V1709" i="5"/>
  <c r="V1992" i="5"/>
  <c r="V1221" i="5"/>
  <c r="V256" i="5"/>
  <c r="V1146" i="5"/>
  <c r="V215" i="5"/>
  <c r="V1528" i="5"/>
  <c r="V1147" i="5"/>
  <c r="V383" i="5"/>
  <c r="V1074" i="5"/>
  <c r="V1075" i="5"/>
  <c r="V547" i="5"/>
  <c r="V548" i="5"/>
  <c r="V602" i="5"/>
  <c r="V909" i="5"/>
  <c r="V767" i="5"/>
  <c r="V1371" i="5"/>
  <c r="V1372" i="5"/>
  <c r="V1148" i="5"/>
  <c r="V1322" i="5"/>
  <c r="V1323" i="5"/>
  <c r="V1908" i="5"/>
  <c r="V182" i="5"/>
  <c r="V1957" i="5"/>
  <c r="V343" i="5"/>
  <c r="V145" i="5"/>
  <c r="V1529" i="5"/>
  <c r="V1530" i="5"/>
  <c r="V1222" i="5"/>
  <c r="V216" i="5"/>
  <c r="V1858" i="5"/>
  <c r="V768" i="5"/>
  <c r="V2085" i="5"/>
  <c r="V769" i="5"/>
  <c r="V302" i="5"/>
  <c r="V1658" i="5"/>
  <c r="V603" i="5"/>
  <c r="V1149" i="5"/>
  <c r="V992" i="5"/>
  <c r="V303" i="5"/>
  <c r="V1803" i="5"/>
  <c r="V1804" i="5"/>
  <c r="V183" i="5"/>
  <c r="V1223" i="5"/>
  <c r="V184" i="5"/>
  <c r="V185" i="5"/>
  <c r="V304" i="5"/>
  <c r="V679" i="5"/>
  <c r="V467" i="5"/>
  <c r="V88" i="5"/>
  <c r="V993" i="5"/>
  <c r="V217" i="5"/>
  <c r="V549" i="5"/>
  <c r="V840" i="5"/>
  <c r="V146" i="5"/>
  <c r="V344" i="5"/>
  <c r="V680" i="5"/>
  <c r="V604" i="5"/>
  <c r="V910" i="5"/>
  <c r="V1150" i="5"/>
  <c r="V1151" i="5"/>
  <c r="V218" i="5"/>
  <c r="V120" i="5"/>
  <c r="V186" i="5"/>
  <c r="V911" i="5"/>
  <c r="V187" i="5"/>
  <c r="V188" i="5"/>
  <c r="V468" i="5"/>
  <c r="V46" i="5"/>
  <c r="V681" i="5"/>
  <c r="V682" i="5"/>
  <c r="V841" i="5"/>
  <c r="V842" i="5"/>
  <c r="V219" i="5"/>
  <c r="V220" i="5"/>
  <c r="V770" i="5"/>
  <c r="V1659" i="5"/>
  <c r="V1152" i="5"/>
  <c r="V1276" i="5"/>
  <c r="V1277" i="5"/>
  <c r="V221" i="5"/>
  <c r="V189" i="5"/>
  <c r="V345" i="5"/>
  <c r="V384" i="5"/>
  <c r="V385" i="5"/>
  <c r="V843" i="5"/>
  <c r="V1278" i="5"/>
  <c r="V421" i="5"/>
  <c r="V257" i="5"/>
  <c r="V912" i="5"/>
  <c r="V60" i="5"/>
  <c r="V61" i="5"/>
  <c r="V62" i="5"/>
  <c r="V258" i="5"/>
  <c r="V1076" i="5"/>
  <c r="V29" i="5"/>
  <c r="V1487" i="5"/>
  <c r="V1488" i="5"/>
  <c r="V1710" i="5"/>
  <c r="V1711" i="5"/>
  <c r="V1712" i="5"/>
  <c r="V1224" i="5"/>
  <c r="V346" i="5"/>
  <c r="V844" i="5"/>
  <c r="V89" i="5"/>
  <c r="V63" i="5"/>
  <c r="V147" i="5"/>
  <c r="V64" i="5"/>
  <c r="V222" i="5"/>
  <c r="V2198" i="5"/>
  <c r="V469" i="5"/>
  <c r="V683" i="5"/>
  <c r="V90" i="5"/>
  <c r="V771" i="5"/>
  <c r="V550" i="5"/>
  <c r="V148" i="5"/>
  <c r="V30" i="5"/>
  <c r="V684" i="5"/>
  <c r="V1660" i="5"/>
  <c r="V1661" i="5"/>
  <c r="V551" i="5"/>
  <c r="V772" i="5"/>
  <c r="V685" i="5"/>
  <c r="V1613" i="5"/>
  <c r="V2114" i="5"/>
  <c r="V470" i="5"/>
  <c r="V1077" i="5"/>
  <c r="V223" i="5"/>
  <c r="V552" i="5"/>
  <c r="V259" i="5"/>
  <c r="V260" i="5"/>
  <c r="V121" i="5"/>
  <c r="V65" i="5"/>
  <c r="V471" i="5"/>
  <c r="V422" i="5"/>
  <c r="V472" i="5"/>
  <c r="V1859" i="5"/>
  <c r="V122" i="5"/>
  <c r="V261" i="5"/>
  <c r="V1153" i="5"/>
  <c r="V1154" i="5"/>
  <c r="V473" i="5"/>
  <c r="V474" i="5"/>
  <c r="V31" i="5"/>
  <c r="V423" i="5"/>
  <c r="V1764" i="5"/>
  <c r="V149" i="5"/>
  <c r="V2086" i="5"/>
  <c r="V1531" i="5"/>
  <c r="V190" i="5"/>
  <c r="V686" i="5"/>
  <c r="V262" i="5"/>
  <c r="V1860" i="5"/>
  <c r="V424" i="5"/>
  <c r="V5" i="5"/>
  <c r="V994" i="5"/>
  <c r="V1225" i="5"/>
  <c r="V123" i="5"/>
  <c r="V1662" i="5"/>
  <c r="V687" i="5"/>
  <c r="V475" i="5"/>
  <c r="V1155" i="5"/>
  <c r="V2043" i="5"/>
  <c r="V688" i="5"/>
  <c r="V553" i="5"/>
  <c r="V773" i="5"/>
  <c r="V263" i="5"/>
  <c r="V91" i="5"/>
  <c r="V92" i="5"/>
  <c r="V93" i="5"/>
  <c r="V1078" i="5"/>
  <c r="V913" i="5"/>
  <c r="V689" i="5"/>
  <c r="V94" i="5"/>
  <c r="V191" i="5"/>
  <c r="V2044" i="5"/>
  <c r="V47" i="5"/>
  <c r="V914" i="5"/>
  <c r="V774" i="5"/>
  <c r="V690" i="5"/>
  <c r="V691" i="5"/>
  <c r="V554" i="5"/>
  <c r="V476" i="5"/>
  <c r="V477" i="5"/>
  <c r="V224" i="5"/>
  <c r="V192" i="5"/>
  <c r="V150" i="5"/>
  <c r="V32" i="5"/>
  <c r="V6" i="5"/>
  <c r="V1373" i="5"/>
  <c r="V1805" i="5"/>
  <c r="V347" i="5"/>
  <c r="V2115" i="5"/>
  <c r="V692" i="5"/>
  <c r="V1447" i="5"/>
  <c r="V1226" i="5"/>
  <c r="V1532" i="5"/>
  <c r="V915" i="5"/>
  <c r="V478" i="5"/>
  <c r="V1079" i="5"/>
  <c r="U2199" i="5"/>
  <c r="U1080" i="5"/>
  <c r="U775" i="5"/>
  <c r="U555" i="5"/>
  <c r="U264" i="5"/>
  <c r="U1614" i="5"/>
  <c r="U1615" i="5"/>
  <c r="U556" i="5"/>
  <c r="U48" i="5"/>
  <c r="U386" i="5"/>
  <c r="U12" i="5"/>
  <c r="U124" i="5"/>
  <c r="U1157" i="5"/>
  <c r="U2045" i="5"/>
  <c r="U1713" i="5"/>
  <c r="U1958" i="5"/>
  <c r="U1959" i="5"/>
  <c r="U1081" i="5"/>
  <c r="U1909" i="5"/>
  <c r="U2220" i="5"/>
  <c r="U845" i="5"/>
  <c r="U151" i="5"/>
  <c r="U20" i="5"/>
  <c r="U1616" i="5"/>
  <c r="U193" i="5"/>
  <c r="U265" i="5"/>
  <c r="U2145" i="5"/>
  <c r="U693" i="5"/>
  <c r="U152" i="5"/>
  <c r="U2166" i="5"/>
  <c r="U995" i="5"/>
  <c r="U1806" i="5"/>
  <c r="U49" i="5"/>
  <c r="U348" i="5"/>
  <c r="U1910" i="5"/>
  <c r="U2146" i="5"/>
  <c r="U1082" i="5"/>
  <c r="U266" i="5"/>
  <c r="U33" i="5"/>
  <c r="U34" i="5"/>
  <c r="U1807" i="5"/>
  <c r="U425" i="5"/>
  <c r="U35" i="5"/>
  <c r="U95" i="5"/>
  <c r="U1808" i="5"/>
  <c r="U225" i="5"/>
  <c r="U36" i="5"/>
  <c r="U846" i="5"/>
  <c r="U267" i="5"/>
  <c r="U1324" i="5"/>
  <c r="U1663" i="5"/>
  <c r="U1617" i="5"/>
  <c r="U66" i="5"/>
  <c r="U1579" i="5"/>
  <c r="U349" i="5"/>
  <c r="U426" i="5"/>
  <c r="U479" i="5"/>
  <c r="U1664" i="5"/>
  <c r="U1665" i="5"/>
  <c r="U96" i="5"/>
  <c r="U1618" i="5"/>
  <c r="U1666" i="5"/>
  <c r="U268" i="5"/>
  <c r="U350" i="5"/>
  <c r="U21" i="5"/>
  <c r="U996" i="5"/>
  <c r="U916" i="5"/>
  <c r="U917" i="5"/>
  <c r="U694" i="5"/>
  <c r="U1911" i="5"/>
  <c r="U2046" i="5"/>
  <c r="U269" i="5"/>
  <c r="U1580" i="5"/>
  <c r="U1809" i="5"/>
  <c r="U1325" i="5"/>
  <c r="U1534" i="5"/>
  <c r="U37" i="5"/>
  <c r="U847" i="5"/>
  <c r="U480" i="5"/>
  <c r="U67" i="5"/>
  <c r="U1535" i="5"/>
  <c r="U1536" i="5"/>
  <c r="U427" i="5"/>
  <c r="U1912" i="5"/>
  <c r="U1448" i="5"/>
  <c r="U605" i="5"/>
  <c r="U1714" i="5"/>
  <c r="U1993" i="5"/>
  <c r="U557" i="5"/>
  <c r="U1960" i="5"/>
  <c r="U918" i="5"/>
  <c r="U919" i="5"/>
  <c r="U1581" i="5"/>
  <c r="U1083" i="5"/>
  <c r="U1374" i="5"/>
  <c r="U1375" i="5"/>
  <c r="U1994" i="5"/>
  <c r="U1715" i="5"/>
  <c r="U97" i="5"/>
  <c r="U98" i="5"/>
  <c r="U695" i="5"/>
  <c r="U305" i="5"/>
  <c r="U306" i="5"/>
  <c r="U1810" i="5"/>
  <c r="U848" i="5"/>
  <c r="U776" i="5"/>
  <c r="U1995" i="5"/>
  <c r="U1996" i="5"/>
  <c r="U1997" i="5"/>
  <c r="U2147" i="5"/>
  <c r="U696" i="5"/>
  <c r="U697" i="5"/>
  <c r="U2148" i="5"/>
  <c r="U1537" i="5"/>
  <c r="U1227" i="5"/>
  <c r="U22" i="5"/>
  <c r="U153" i="5"/>
  <c r="U920" i="5"/>
  <c r="U1084" i="5"/>
  <c r="U7" i="5"/>
  <c r="U1619" i="5"/>
  <c r="U921" i="5"/>
  <c r="U777" i="5"/>
  <c r="U154" i="5"/>
  <c r="U1376" i="5"/>
  <c r="U2182" i="5"/>
  <c r="U2183" i="5"/>
  <c r="U226" i="5"/>
  <c r="U2207" i="5"/>
  <c r="U2184" i="5"/>
  <c r="U1998" i="5"/>
  <c r="U778" i="5"/>
  <c r="U558" i="5"/>
  <c r="U1667" i="5"/>
  <c r="U1538" i="5"/>
  <c r="U1620" i="5"/>
  <c r="U387" i="5"/>
  <c r="U2087" i="5"/>
  <c r="U1326" i="5"/>
  <c r="U1861" i="5"/>
  <c r="U1765" i="5"/>
  <c r="U1766" i="5"/>
  <c r="U155" i="5"/>
  <c r="U1582" i="5"/>
  <c r="U559" i="5"/>
  <c r="U1449" i="5"/>
  <c r="U481" i="5"/>
  <c r="U1539" i="5"/>
  <c r="U1085" i="5"/>
  <c r="U2149" i="5"/>
  <c r="U2150" i="5"/>
  <c r="U270" i="5"/>
  <c r="U1767" i="5"/>
  <c r="U1583" i="5"/>
  <c r="U1540" i="5"/>
  <c r="U606" i="5"/>
  <c r="U1621" i="5"/>
  <c r="U1999" i="5"/>
  <c r="U388" i="5"/>
  <c r="U389" i="5"/>
  <c r="U2116" i="5"/>
  <c r="U271" i="5"/>
  <c r="U1158" i="5"/>
  <c r="U2167" i="5"/>
  <c r="U1279" i="5"/>
  <c r="U125" i="5"/>
  <c r="U126" i="5"/>
  <c r="U1716" i="5"/>
  <c r="U1489" i="5"/>
  <c r="U1450" i="5"/>
  <c r="U68" i="5"/>
  <c r="U69" i="5"/>
  <c r="U1086" i="5"/>
  <c r="U698" i="5"/>
  <c r="U1377" i="5"/>
  <c r="U1378" i="5"/>
  <c r="U2168" i="5"/>
  <c r="U1717" i="5"/>
  <c r="U1668" i="5"/>
  <c r="U1159" i="5"/>
  <c r="U1584" i="5"/>
  <c r="U156" i="5"/>
  <c r="U2047" i="5"/>
  <c r="U1961" i="5"/>
  <c r="U2088" i="5"/>
  <c r="U1718" i="5"/>
  <c r="U1490" i="5"/>
  <c r="U13" i="5"/>
  <c r="U8" i="5"/>
  <c r="U2208" i="5"/>
  <c r="U997" i="5"/>
  <c r="U998" i="5"/>
  <c r="U699" i="5"/>
  <c r="U1327" i="5"/>
  <c r="U1862" i="5"/>
  <c r="U2117" i="5"/>
  <c r="U1087" i="5"/>
  <c r="U1863" i="5"/>
  <c r="U2209" i="5"/>
  <c r="U700" i="5"/>
  <c r="U157" i="5"/>
  <c r="U922" i="5"/>
  <c r="U923" i="5"/>
  <c r="U14" i="5"/>
  <c r="U1491" i="5"/>
  <c r="U1492" i="5"/>
  <c r="U1913" i="5"/>
  <c r="U390" i="5"/>
  <c r="U1328" i="5"/>
  <c r="U607" i="5"/>
  <c r="U924" i="5"/>
  <c r="U307" i="5"/>
  <c r="U1914" i="5"/>
  <c r="U1669" i="5"/>
  <c r="U1719" i="5"/>
  <c r="U1864" i="5"/>
  <c r="U1720" i="5"/>
  <c r="U1160" i="5"/>
  <c r="U608" i="5"/>
  <c r="U779" i="5"/>
  <c r="U227" i="5"/>
  <c r="U849" i="5"/>
  <c r="U850" i="5"/>
  <c r="U1622" i="5"/>
  <c r="U158" i="5"/>
  <c r="U1811" i="5"/>
  <c r="U1088" i="5"/>
  <c r="U1585" i="5"/>
  <c r="U15" i="5"/>
  <c r="U701" i="5"/>
  <c r="U702" i="5"/>
  <c r="U1280" i="5"/>
  <c r="U1281" i="5"/>
  <c r="U1451" i="5"/>
  <c r="U1721" i="5"/>
  <c r="U2048" i="5"/>
  <c r="U999" i="5"/>
  <c r="U851" i="5"/>
  <c r="U1452" i="5"/>
  <c r="U391" i="5"/>
  <c r="U560" i="5"/>
  <c r="U272" i="5"/>
  <c r="U1000" i="5"/>
  <c r="U1768" i="5"/>
  <c r="U1089" i="5"/>
  <c r="U2185" i="5"/>
  <c r="U1769" i="5"/>
  <c r="U2049" i="5"/>
  <c r="U2050" i="5"/>
  <c r="U1623" i="5"/>
  <c r="U2151" i="5"/>
  <c r="U1329" i="5"/>
  <c r="U609" i="5"/>
  <c r="U159" i="5"/>
  <c r="U1670" i="5"/>
  <c r="U1722" i="5"/>
  <c r="U99" i="5"/>
  <c r="U780" i="5"/>
  <c r="U2169" i="5"/>
  <c r="U925" i="5"/>
  <c r="U1001" i="5"/>
  <c r="U1812" i="5"/>
  <c r="U926" i="5"/>
  <c r="U1915" i="5"/>
  <c r="U351" i="5"/>
  <c r="U1282" i="5"/>
  <c r="U1723" i="5"/>
  <c r="U70" i="5"/>
  <c r="U1283" i="5"/>
  <c r="U1284" i="5"/>
  <c r="U2170" i="5"/>
  <c r="U1090" i="5"/>
  <c r="U2000" i="5"/>
  <c r="U2214" i="5"/>
  <c r="U482" i="5"/>
  <c r="U428" i="5"/>
  <c r="U1671" i="5"/>
  <c r="U2171" i="5"/>
  <c r="U1493" i="5"/>
  <c r="U1228" i="5"/>
  <c r="U1813" i="5"/>
  <c r="U392" i="5"/>
  <c r="U1379" i="5"/>
  <c r="U429" i="5"/>
  <c r="U430" i="5"/>
  <c r="U1770" i="5"/>
  <c r="U1494" i="5"/>
  <c r="U2152" i="5"/>
  <c r="U927" i="5"/>
  <c r="U1624" i="5"/>
  <c r="U2001" i="5"/>
  <c r="U1865" i="5"/>
  <c r="U2118" i="5"/>
  <c r="U1285" i="5"/>
  <c r="U2089" i="5"/>
  <c r="U1380" i="5"/>
  <c r="U1916" i="5"/>
  <c r="U1161" i="5"/>
  <c r="U273" i="5"/>
  <c r="U1541" i="5"/>
  <c r="U703" i="5"/>
  <c r="U1814" i="5"/>
  <c r="U704" i="5"/>
  <c r="U1091" i="5"/>
  <c r="U1002" i="5"/>
  <c r="U393" i="5"/>
  <c r="U1672" i="5"/>
  <c r="U928" i="5"/>
  <c r="U2153" i="5"/>
  <c r="U1542" i="5"/>
  <c r="U1543" i="5"/>
  <c r="U705" i="5"/>
  <c r="U1625" i="5"/>
  <c r="U1866" i="5"/>
  <c r="U1229" i="5"/>
  <c r="U2051" i="5"/>
  <c r="U2215" i="5"/>
  <c r="U610" i="5"/>
  <c r="U127" i="5"/>
  <c r="U308" i="5"/>
  <c r="U309" i="5"/>
  <c r="U352" i="5"/>
  <c r="U353" i="5"/>
  <c r="U1162" i="5"/>
  <c r="U1286" i="5"/>
  <c r="U781" i="5"/>
  <c r="U1230" i="5"/>
  <c r="U431" i="5"/>
  <c r="U432" i="5"/>
  <c r="U611" i="5"/>
  <c r="U483" i="5"/>
  <c r="U71" i="5"/>
  <c r="U1092" i="5"/>
  <c r="U1724" i="5"/>
  <c r="U561" i="5"/>
  <c r="U1917" i="5"/>
  <c r="U1771" i="5"/>
  <c r="U2002" i="5"/>
  <c r="U1381" i="5"/>
  <c r="U1867" i="5"/>
  <c r="U929" i="5"/>
  <c r="U1453" i="5"/>
  <c r="U1725" i="5"/>
  <c r="U2003" i="5"/>
  <c r="U2004" i="5"/>
  <c r="U23" i="5"/>
  <c r="U1544" i="5"/>
  <c r="U1673" i="5"/>
  <c r="U1962" i="5"/>
  <c r="U612" i="5"/>
  <c r="U562" i="5"/>
  <c r="U1163" i="5"/>
  <c r="U1586" i="5"/>
  <c r="U1587" i="5"/>
  <c r="U2119" i="5"/>
  <c r="U1093" i="5"/>
  <c r="U1382" i="5"/>
  <c r="U1868" i="5"/>
  <c r="U930" i="5"/>
  <c r="U1918" i="5"/>
  <c r="U1003" i="5"/>
  <c r="U2172" i="5"/>
  <c r="U16" i="5"/>
  <c r="U17" i="5"/>
  <c r="U1004" i="5"/>
  <c r="U1869" i="5"/>
  <c r="U1726" i="5"/>
  <c r="U50" i="5"/>
  <c r="U706" i="5"/>
  <c r="U707" i="5"/>
  <c r="U310" i="5"/>
  <c r="U613" i="5"/>
  <c r="U128" i="5"/>
  <c r="U852" i="5"/>
  <c r="U1963" i="5"/>
  <c r="U484" i="5"/>
  <c r="U1772" i="5"/>
  <c r="U2052" i="5"/>
  <c r="U1005" i="5"/>
  <c r="U51" i="5"/>
  <c r="U1383" i="5"/>
  <c r="U1231" i="5"/>
  <c r="U129" i="5"/>
  <c r="U311" i="5"/>
  <c r="U1164" i="5"/>
  <c r="U130" i="5"/>
  <c r="U228" i="5"/>
  <c r="U708" i="5"/>
  <c r="U1626" i="5"/>
  <c r="U2173" i="5"/>
  <c r="U2174" i="5"/>
  <c r="U1495" i="5"/>
  <c r="U1094" i="5"/>
  <c r="U1095" i="5"/>
  <c r="U1870" i="5"/>
  <c r="U1727" i="5"/>
  <c r="U194" i="5"/>
  <c r="U1545" i="5"/>
  <c r="U1165" i="5"/>
  <c r="U2120" i="5"/>
  <c r="U1871" i="5"/>
  <c r="U1872" i="5"/>
  <c r="U229" i="5"/>
  <c r="U1919" i="5"/>
  <c r="U931" i="5"/>
  <c r="U1166" i="5"/>
  <c r="U18" i="5"/>
  <c r="U614" i="5"/>
  <c r="U615" i="5"/>
  <c r="U2121" i="5"/>
  <c r="U2053" i="5"/>
  <c r="U1006" i="5"/>
  <c r="U2005" i="5"/>
  <c r="U1546" i="5"/>
  <c r="U1384" i="5"/>
  <c r="U485" i="5"/>
  <c r="U563" i="5"/>
  <c r="U782" i="5"/>
  <c r="U1920" i="5"/>
  <c r="U1921" i="5"/>
  <c r="U354" i="5"/>
  <c r="U433" i="5"/>
  <c r="U2122" i="5"/>
  <c r="U1547" i="5"/>
  <c r="U1007" i="5"/>
  <c r="U2054" i="5"/>
  <c r="U1728" i="5"/>
  <c r="U160" i="5"/>
  <c r="U161" i="5"/>
  <c r="U1815" i="5"/>
  <c r="U564" i="5"/>
  <c r="U312" i="5"/>
  <c r="U313" i="5"/>
  <c r="U486" i="5"/>
  <c r="U1008" i="5"/>
  <c r="U1009" i="5"/>
  <c r="U1674" i="5"/>
  <c r="U1729" i="5"/>
  <c r="U1548" i="5"/>
  <c r="U434" i="5"/>
  <c r="U1385" i="5"/>
  <c r="U2200" i="5"/>
  <c r="U1010" i="5"/>
  <c r="U1386" i="5"/>
  <c r="U783" i="5"/>
  <c r="U1549" i="5"/>
  <c r="U487" i="5"/>
  <c r="U1816" i="5"/>
  <c r="U1675" i="5"/>
  <c r="U1676" i="5"/>
  <c r="U1387" i="5"/>
  <c r="U616" i="5"/>
  <c r="U1677" i="5"/>
  <c r="U9" i="5"/>
  <c r="U853" i="5"/>
  <c r="U1773" i="5"/>
  <c r="U2055" i="5"/>
  <c r="U488" i="5"/>
  <c r="U1627" i="5"/>
  <c r="U195" i="5"/>
  <c r="U932" i="5"/>
  <c r="U1388" i="5"/>
  <c r="U1389" i="5"/>
  <c r="U617" i="5"/>
  <c r="U1011" i="5"/>
  <c r="U1287" i="5"/>
  <c r="U394" i="5"/>
  <c r="U2056" i="5"/>
  <c r="U1232" i="5"/>
  <c r="U1330" i="5"/>
  <c r="U2154" i="5"/>
  <c r="U1288" i="5"/>
  <c r="U230" i="5"/>
  <c r="U1873" i="5"/>
  <c r="U1096" i="5"/>
  <c r="U196" i="5"/>
  <c r="U197" i="5"/>
  <c r="U1233" i="5"/>
  <c r="U2006" i="5"/>
  <c r="U19" i="5"/>
  <c r="U1964" i="5"/>
  <c r="U489" i="5"/>
  <c r="U1922" i="5"/>
  <c r="U618" i="5"/>
  <c r="U2201" i="5"/>
  <c r="U435" i="5"/>
  <c r="U2175" i="5"/>
  <c r="U709" i="5"/>
  <c r="U1331" i="5"/>
  <c r="U619" i="5"/>
  <c r="U620" i="5"/>
  <c r="U2123" i="5"/>
  <c r="U274" i="5"/>
  <c r="U933" i="5"/>
  <c r="U1167" i="5"/>
  <c r="U1390" i="5"/>
  <c r="U1923" i="5"/>
  <c r="U314" i="5"/>
  <c r="U315" i="5"/>
  <c r="U1391" i="5"/>
  <c r="U1454" i="5"/>
  <c r="U1012" i="5"/>
  <c r="U1168" i="5"/>
  <c r="U1392" i="5"/>
  <c r="U162" i="5"/>
  <c r="U2007" i="5"/>
  <c r="U1332" i="5"/>
  <c r="U2202" i="5"/>
  <c r="U784" i="5"/>
  <c r="U2057" i="5"/>
  <c r="U1234" i="5"/>
  <c r="U395" i="5"/>
  <c r="U1550" i="5"/>
  <c r="U3" i="5"/>
  <c r="U275" i="5"/>
  <c r="U396" i="5"/>
  <c r="U1169" i="5"/>
  <c r="U854" i="5"/>
  <c r="U565" i="5"/>
  <c r="U2124" i="5"/>
  <c r="U710" i="5"/>
  <c r="U1965" i="5"/>
  <c r="U1393" i="5"/>
  <c r="U1817" i="5"/>
  <c r="U934" i="5"/>
  <c r="U2008" i="5"/>
  <c r="U1394" i="5"/>
  <c r="U1395" i="5"/>
  <c r="U316" i="5"/>
  <c r="U317" i="5"/>
  <c r="U2125" i="5"/>
  <c r="U1730" i="5"/>
  <c r="U1097" i="5"/>
  <c r="U1098" i="5"/>
  <c r="U1333" i="5"/>
  <c r="U1099" i="5"/>
  <c r="U1678" i="5"/>
  <c r="U1289" i="5"/>
  <c r="U1170" i="5"/>
  <c r="U1171" i="5"/>
  <c r="U38" i="5"/>
  <c r="U39" i="5"/>
  <c r="U2186" i="5"/>
  <c r="U100" i="5"/>
  <c r="U101" i="5"/>
  <c r="U318" i="5"/>
  <c r="U102" i="5"/>
  <c r="U103" i="5"/>
  <c r="U1172" i="5"/>
  <c r="U2" i="5"/>
  <c r="U621" i="5"/>
  <c r="U785" i="5"/>
  <c r="U1455" i="5"/>
  <c r="U1731" i="5"/>
  <c r="U436" i="5"/>
  <c r="U1774" i="5"/>
  <c r="U1456" i="5"/>
  <c r="U40" i="5"/>
  <c r="U1496" i="5"/>
  <c r="U1497" i="5"/>
  <c r="U2176" i="5"/>
  <c r="U490" i="5"/>
  <c r="U2126" i="5"/>
  <c r="U2127" i="5"/>
  <c r="U711" i="5"/>
  <c r="U1679" i="5"/>
  <c r="U1628" i="5"/>
  <c r="U2058" i="5"/>
  <c r="U131" i="5"/>
  <c r="U104" i="5"/>
  <c r="U105" i="5"/>
  <c r="U1100" i="5"/>
  <c r="U397" i="5"/>
  <c r="U2177" i="5"/>
  <c r="U786" i="5"/>
  <c r="U787" i="5"/>
  <c r="U788" i="5"/>
  <c r="U2009" i="5"/>
  <c r="U855" i="5"/>
  <c r="U132" i="5"/>
  <c r="U1101" i="5"/>
  <c r="U1102" i="5"/>
  <c r="U2059" i="5"/>
  <c r="U1173" i="5"/>
  <c r="U1103" i="5"/>
  <c r="U4" i="5"/>
  <c r="U1290" i="5"/>
  <c r="U1334" i="5"/>
  <c r="U1732" i="5"/>
  <c r="U1874" i="5"/>
  <c r="U1818" i="5"/>
  <c r="U1966" i="5"/>
  <c r="U2060" i="5"/>
  <c r="U491" i="5"/>
  <c r="U1924" i="5"/>
  <c r="U72" i="5"/>
  <c r="U106" i="5"/>
  <c r="U1733" i="5"/>
  <c r="U2187" i="5"/>
  <c r="U2188" i="5"/>
  <c r="U1291" i="5"/>
  <c r="U1104" i="5"/>
  <c r="U1775" i="5"/>
  <c r="U319" i="5"/>
  <c r="U320" i="5"/>
  <c r="U712" i="5"/>
  <c r="U1776" i="5"/>
  <c r="U1174" i="5"/>
  <c r="U1551" i="5"/>
  <c r="U198" i="5"/>
  <c r="U1396" i="5"/>
  <c r="U1175" i="5"/>
  <c r="U622" i="5"/>
  <c r="U1875" i="5"/>
  <c r="U1588" i="5"/>
  <c r="U2155" i="5"/>
  <c r="U492" i="5"/>
  <c r="U493" i="5"/>
  <c r="U1819" i="5"/>
  <c r="U1498" i="5"/>
  <c r="U1013" i="5"/>
  <c r="U1397" i="5"/>
  <c r="U2189" i="5"/>
  <c r="U1777" i="5"/>
  <c r="U2178" i="5"/>
  <c r="U623" i="5"/>
  <c r="U1105" i="5"/>
  <c r="U2203" i="5"/>
  <c r="U494" i="5"/>
  <c r="U1335" i="5"/>
  <c r="U1014" i="5"/>
  <c r="U1292" i="5"/>
  <c r="U1876" i="5"/>
  <c r="U1176" i="5"/>
  <c r="U1398" i="5"/>
  <c r="U1106" i="5"/>
  <c r="U935" i="5"/>
  <c r="U1629" i="5"/>
  <c r="U936" i="5"/>
  <c r="U937" i="5"/>
  <c r="U624" i="5"/>
  <c r="U789" i="5"/>
  <c r="U1967" i="5"/>
  <c r="U1457" i="5"/>
  <c r="U1458" i="5"/>
  <c r="U1680" i="5"/>
  <c r="U1734" i="5"/>
  <c r="U1778" i="5"/>
  <c r="U1779" i="5"/>
  <c r="U1780" i="5"/>
  <c r="U790" i="5"/>
  <c r="U231" i="5"/>
  <c r="U791" i="5"/>
  <c r="U856" i="5"/>
  <c r="U1925" i="5"/>
  <c r="U1926" i="5"/>
  <c r="U1552" i="5"/>
  <c r="U857" i="5"/>
  <c r="U398" i="5"/>
  <c r="U2210" i="5"/>
  <c r="U1399" i="5"/>
  <c r="U1877" i="5"/>
  <c r="U1735" i="5"/>
  <c r="U1177" i="5"/>
  <c r="U321" i="5"/>
  <c r="U1736" i="5"/>
  <c r="U713" i="5"/>
  <c r="U625" i="5"/>
  <c r="U626" i="5"/>
  <c r="U1293" i="5"/>
  <c r="U2216" i="5"/>
  <c r="U1681" i="5"/>
  <c r="U1737" i="5"/>
  <c r="U2061" i="5"/>
  <c r="U627" i="5"/>
  <c r="U2090" i="5"/>
  <c r="U1820" i="5"/>
  <c r="U1821" i="5"/>
  <c r="U1781" i="5"/>
  <c r="U2010" i="5"/>
  <c r="U495" i="5"/>
  <c r="U1015" i="5"/>
  <c r="U1016" i="5"/>
  <c r="U1107" i="5"/>
  <c r="U1235" i="5"/>
  <c r="U1927" i="5"/>
  <c r="U52" i="5"/>
  <c r="U1968" i="5"/>
  <c r="U1928" i="5"/>
  <c r="U938" i="5"/>
  <c r="U73" i="5"/>
  <c r="U1108" i="5"/>
  <c r="U199" i="5"/>
  <c r="U1589" i="5"/>
  <c r="U1590" i="5"/>
  <c r="U1499" i="5"/>
  <c r="U1400" i="5"/>
  <c r="U1459" i="5"/>
  <c r="U1969" i="5"/>
  <c r="U1460" i="5"/>
  <c r="U1822" i="5"/>
  <c r="U2190" i="5"/>
  <c r="U2191" i="5"/>
  <c r="U2011" i="5"/>
  <c r="U792" i="5"/>
  <c r="U1461" i="5"/>
  <c r="U1236" i="5"/>
  <c r="U1823" i="5"/>
  <c r="U1824" i="5"/>
  <c r="U1553" i="5"/>
  <c r="U496" i="5"/>
  <c r="U1237" i="5"/>
  <c r="U1238" i="5"/>
  <c r="U1239" i="5"/>
  <c r="U1336" i="5"/>
  <c r="U1337" i="5"/>
  <c r="U437" i="5"/>
  <c r="U497" i="5"/>
  <c r="U498" i="5"/>
  <c r="U1109" i="5"/>
  <c r="U1929" i="5"/>
  <c r="U858" i="5"/>
  <c r="U1462" i="5"/>
  <c r="U1630" i="5"/>
  <c r="U1631" i="5"/>
  <c r="U1591" i="5"/>
  <c r="U1592" i="5"/>
  <c r="U2204" i="5"/>
  <c r="U1294" i="5"/>
  <c r="U322" i="5"/>
  <c r="U24" i="5"/>
  <c r="U793" i="5"/>
  <c r="U794" i="5"/>
  <c r="U2091" i="5"/>
  <c r="U1682" i="5"/>
  <c r="U2012" i="5"/>
  <c r="U399" i="5"/>
  <c r="U1295" i="5"/>
  <c r="U1878" i="5"/>
  <c r="U1879" i="5"/>
  <c r="U1463" i="5"/>
  <c r="U1178" i="5"/>
  <c r="U163" i="5"/>
  <c r="U1683" i="5"/>
  <c r="U2205" i="5"/>
  <c r="U2128" i="5"/>
  <c r="U2129" i="5"/>
  <c r="U1930" i="5"/>
  <c r="U1931" i="5"/>
  <c r="U1632" i="5"/>
  <c r="U1633" i="5"/>
  <c r="U1179" i="5"/>
  <c r="U1401" i="5"/>
  <c r="U939" i="5"/>
  <c r="U1402" i="5"/>
  <c r="U1932" i="5"/>
  <c r="U1933" i="5"/>
  <c r="U1554" i="5"/>
  <c r="U1970" i="5"/>
  <c r="U1880" i="5"/>
  <c r="U1296" i="5"/>
  <c r="U1825" i="5"/>
  <c r="U438" i="5"/>
  <c r="U1110" i="5"/>
  <c r="U1111" i="5"/>
  <c r="U1684" i="5"/>
  <c r="U2013" i="5"/>
  <c r="U2014" i="5"/>
  <c r="U940" i="5"/>
  <c r="U1634" i="5"/>
  <c r="U1782" i="5"/>
  <c r="U1180" i="5"/>
  <c r="U2192" i="5"/>
  <c r="U628" i="5"/>
  <c r="U1826" i="5"/>
  <c r="U941" i="5"/>
  <c r="U2015" i="5"/>
  <c r="U566" i="5"/>
  <c r="U1593" i="5"/>
  <c r="U795" i="5"/>
  <c r="U714" i="5"/>
  <c r="U1112" i="5"/>
  <c r="U1464" i="5"/>
  <c r="U439" i="5"/>
  <c r="U440" i="5"/>
  <c r="U2016" i="5"/>
  <c r="U1465" i="5"/>
  <c r="U1594" i="5"/>
  <c r="U133" i="5"/>
  <c r="U1113" i="5"/>
  <c r="U1240" i="5"/>
  <c r="U41" i="5"/>
  <c r="U1403" i="5"/>
  <c r="U1404" i="5"/>
  <c r="U2156" i="5"/>
  <c r="U715" i="5"/>
  <c r="U323" i="5"/>
  <c r="U499" i="5"/>
  <c r="U1738" i="5"/>
  <c r="U1241" i="5"/>
  <c r="U1338" i="5"/>
  <c r="U1339" i="5"/>
  <c r="U1881" i="5"/>
  <c r="U1971" i="5"/>
  <c r="U1685" i="5"/>
  <c r="U1297" i="5"/>
  <c r="U1114" i="5"/>
  <c r="U1686" i="5"/>
  <c r="U1739" i="5"/>
  <c r="U629" i="5"/>
  <c r="U400" i="5"/>
  <c r="U2017" i="5"/>
  <c r="U716" i="5"/>
  <c r="U2092" i="5"/>
  <c r="U1466" i="5"/>
  <c r="U1340" i="5"/>
  <c r="U441" i="5"/>
  <c r="U1827" i="5"/>
  <c r="U2062" i="5"/>
  <c r="U232" i="5"/>
  <c r="U717" i="5"/>
  <c r="U1467" i="5"/>
  <c r="U1017" i="5"/>
  <c r="U718" i="5"/>
  <c r="U1595" i="5"/>
  <c r="U1596" i="5"/>
  <c r="U1018" i="5"/>
  <c r="U1019" i="5"/>
  <c r="U630" i="5"/>
  <c r="U442" i="5"/>
  <c r="U443" i="5"/>
  <c r="U859" i="5"/>
  <c r="U1828" i="5"/>
  <c r="U860" i="5"/>
  <c r="U2157" i="5"/>
  <c r="U500" i="5"/>
  <c r="U1405" i="5"/>
  <c r="U444" i="5"/>
  <c r="U796" i="5"/>
  <c r="U1934" i="5"/>
  <c r="U631" i="5"/>
  <c r="U942" i="5"/>
  <c r="U1882" i="5"/>
  <c r="U1115" i="5"/>
  <c r="U943" i="5"/>
  <c r="U1883" i="5"/>
  <c r="U632" i="5"/>
  <c r="U1406" i="5"/>
  <c r="U1407" i="5"/>
  <c r="U944" i="5"/>
  <c r="U567" i="5"/>
  <c r="U1408" i="5"/>
  <c r="U945" i="5"/>
  <c r="U719" i="5"/>
  <c r="U2093" i="5"/>
  <c r="U1555" i="5"/>
  <c r="U2063" i="5"/>
  <c r="U2064" i="5"/>
  <c r="U2018" i="5"/>
  <c r="U1972" i="5"/>
  <c r="U1468" i="5"/>
  <c r="U2094" i="5"/>
  <c r="U2095" i="5"/>
  <c r="U1556" i="5"/>
  <c r="U1298" i="5"/>
  <c r="U1597" i="5"/>
  <c r="U1935" i="5"/>
  <c r="U1299" i="5"/>
  <c r="U74" i="5"/>
  <c r="U1687" i="5"/>
  <c r="U861" i="5"/>
  <c r="U1181" i="5"/>
  <c r="U1829" i="5"/>
  <c r="U1116" i="5"/>
  <c r="U1409" i="5"/>
  <c r="U355" i="5"/>
  <c r="U1830" i="5"/>
  <c r="U1557" i="5"/>
  <c r="U1558" i="5"/>
  <c r="U2130" i="5"/>
  <c r="U633" i="5"/>
  <c r="U324" i="5"/>
  <c r="U1242" i="5"/>
  <c r="U1243" i="5"/>
  <c r="U1469" i="5"/>
  <c r="U797" i="5"/>
  <c r="U1884" i="5"/>
  <c r="U1559" i="5"/>
  <c r="U1635" i="5"/>
  <c r="U1973" i="5"/>
  <c r="U1020" i="5"/>
  <c r="U720" i="5"/>
  <c r="U721" i="5"/>
  <c r="U1470" i="5"/>
  <c r="U356" i="5"/>
  <c r="U1885" i="5"/>
  <c r="U2065" i="5"/>
  <c r="U1783" i="5"/>
  <c r="U1831" i="5"/>
  <c r="U1688" i="5"/>
  <c r="U1182" i="5"/>
  <c r="U445" i="5"/>
  <c r="U1560" i="5"/>
  <c r="U1886" i="5"/>
  <c r="U1689" i="5"/>
  <c r="U568" i="5"/>
  <c r="U325" i="5"/>
  <c r="U1410" i="5"/>
  <c r="U862" i="5"/>
  <c r="U501" i="5"/>
  <c r="U1341" i="5"/>
  <c r="U1936" i="5"/>
  <c r="U1183" i="5"/>
  <c r="U1342" i="5"/>
  <c r="U1117" i="5"/>
  <c r="U446" i="5"/>
  <c r="U2066" i="5"/>
  <c r="U2217" i="5"/>
  <c r="U1021" i="5"/>
  <c r="U722" i="5"/>
  <c r="U1937" i="5"/>
  <c r="U447" i="5"/>
  <c r="U2067" i="5"/>
  <c r="U1500" i="5"/>
  <c r="U2019" i="5"/>
  <c r="U1411" i="5"/>
  <c r="U1343" i="5"/>
  <c r="U1300" i="5"/>
  <c r="U946" i="5"/>
  <c r="U502" i="5"/>
  <c r="U1244" i="5"/>
  <c r="U863" i="5"/>
  <c r="U134" i="5"/>
  <c r="U1598" i="5"/>
  <c r="U947" i="5"/>
  <c r="U1599" i="5"/>
  <c r="U2096" i="5"/>
  <c r="U723" i="5"/>
  <c r="U357" i="5"/>
  <c r="U1412" i="5"/>
  <c r="U1413" i="5"/>
  <c r="U634" i="5"/>
  <c r="U358" i="5"/>
  <c r="U1022" i="5"/>
  <c r="U1184" i="5"/>
  <c r="U1185" i="5"/>
  <c r="U448" i="5"/>
  <c r="U948" i="5"/>
  <c r="U798" i="5"/>
  <c r="U569" i="5"/>
  <c r="U1301" i="5"/>
  <c r="U724" i="5"/>
  <c r="U2097" i="5"/>
  <c r="U2098" i="5"/>
  <c r="U1245" i="5"/>
  <c r="U359" i="5"/>
  <c r="U360" i="5"/>
  <c r="U1302" i="5"/>
  <c r="U1501" i="5"/>
  <c r="U725" i="5"/>
  <c r="U1186" i="5"/>
  <c r="U2158" i="5"/>
  <c r="U1246" i="5"/>
  <c r="U1561" i="5"/>
  <c r="U1974" i="5"/>
  <c r="U1975" i="5"/>
  <c r="U1562" i="5"/>
  <c r="U1414" i="5"/>
  <c r="U2211" i="5"/>
  <c r="U1247" i="5"/>
  <c r="U2020" i="5"/>
  <c r="U726" i="5"/>
  <c r="U570" i="5"/>
  <c r="U727" i="5"/>
  <c r="U1471" i="5"/>
  <c r="U1563" i="5"/>
  <c r="U1976" i="5"/>
  <c r="U1344" i="5"/>
  <c r="U1023" i="5"/>
  <c r="U2212" i="5"/>
  <c r="U864" i="5"/>
  <c r="U503" i="5"/>
  <c r="U1887" i="5"/>
  <c r="U2099" i="5"/>
  <c r="U233" i="5"/>
  <c r="U635" i="5"/>
  <c r="U636" i="5"/>
  <c r="U571" i="5"/>
  <c r="U200" i="5"/>
  <c r="U1832" i="5"/>
  <c r="U1118" i="5"/>
  <c r="U1784" i="5"/>
  <c r="U949" i="5"/>
  <c r="U1415" i="5"/>
  <c r="U1833" i="5"/>
  <c r="U1024" i="5"/>
  <c r="U1187" i="5"/>
  <c r="U1188" i="5"/>
  <c r="U1119" i="5"/>
  <c r="U865" i="5"/>
  <c r="U1834" i="5"/>
  <c r="U1690" i="5"/>
  <c r="U1600" i="5"/>
  <c r="U504" i="5"/>
  <c r="U572" i="5"/>
  <c r="U573" i="5"/>
  <c r="U1189" i="5"/>
  <c r="U1691" i="5"/>
  <c r="U728" i="5"/>
  <c r="U1564" i="5"/>
  <c r="U1025" i="5"/>
  <c r="U1026" i="5"/>
  <c r="U1835" i="5"/>
  <c r="U2131" i="5"/>
  <c r="U2021" i="5"/>
  <c r="U866" i="5"/>
  <c r="U1601" i="5"/>
  <c r="U1836" i="5"/>
  <c r="U1837" i="5"/>
  <c r="U2100" i="5"/>
  <c r="U1502" i="5"/>
  <c r="U361" i="5"/>
  <c r="U2132" i="5"/>
  <c r="U1977" i="5"/>
  <c r="U1838" i="5"/>
  <c r="U1839" i="5"/>
  <c r="U1785" i="5"/>
  <c r="U574" i="5"/>
  <c r="U867" i="5"/>
  <c r="U449" i="5"/>
  <c r="U1345" i="5"/>
  <c r="U1636" i="5"/>
  <c r="U1303" i="5"/>
  <c r="U1190" i="5"/>
  <c r="U505" i="5"/>
  <c r="U1120" i="5"/>
  <c r="U1191" i="5"/>
  <c r="U1416" i="5"/>
  <c r="U868" i="5"/>
  <c r="U1503" i="5"/>
  <c r="U637" i="5"/>
  <c r="U201" i="5"/>
  <c r="U1740" i="5"/>
  <c r="U1741" i="5"/>
  <c r="U1888" i="5"/>
  <c r="U638" i="5"/>
  <c r="U1417" i="5"/>
  <c r="U2068" i="5"/>
  <c r="U950" i="5"/>
  <c r="U2022" i="5"/>
  <c r="U1978" i="5"/>
  <c r="U1979" i="5"/>
  <c r="U1692" i="5"/>
  <c r="U1504" i="5"/>
  <c r="U1192" i="5"/>
  <c r="U799" i="5"/>
  <c r="U639" i="5"/>
  <c r="U2069" i="5"/>
  <c r="U729" i="5"/>
  <c r="U1786" i="5"/>
  <c r="U1840" i="5"/>
  <c r="U640" i="5"/>
  <c r="U730" i="5"/>
  <c r="U1121" i="5"/>
  <c r="U506" i="5"/>
  <c r="U1693" i="5"/>
  <c r="U1938" i="5"/>
  <c r="U1742" i="5"/>
  <c r="U800" i="5"/>
  <c r="U1841" i="5"/>
  <c r="U1027" i="5"/>
  <c r="U1939" i="5"/>
  <c r="U1694" i="5"/>
  <c r="U1787" i="5"/>
  <c r="U869" i="5"/>
  <c r="U1889" i="5"/>
  <c r="U731" i="5"/>
  <c r="U732" i="5"/>
  <c r="U1565" i="5"/>
  <c r="U1304" i="5"/>
  <c r="U1028" i="5"/>
  <c r="U507" i="5"/>
  <c r="U1193" i="5"/>
  <c r="U234" i="5"/>
  <c r="U1695" i="5"/>
  <c r="U1505" i="5"/>
  <c r="U1506" i="5"/>
  <c r="U2101" i="5"/>
  <c r="U508" i="5"/>
  <c r="U641" i="5"/>
  <c r="U2102" i="5"/>
  <c r="U1418" i="5"/>
  <c r="U1305" i="5"/>
  <c r="U870" i="5"/>
  <c r="U1472" i="5"/>
  <c r="U733" i="5"/>
  <c r="U1743" i="5"/>
  <c r="U951" i="5"/>
  <c r="U401" i="5"/>
  <c r="U1419" i="5"/>
  <c r="U1637" i="5"/>
  <c r="U642" i="5"/>
  <c r="U2133" i="5"/>
  <c r="U135" i="5"/>
  <c r="U2023" i="5"/>
  <c r="U2134" i="5"/>
  <c r="U1744" i="5"/>
  <c r="U1306" i="5"/>
  <c r="U1745" i="5"/>
  <c r="U1980" i="5"/>
  <c r="U1420" i="5"/>
  <c r="U42" i="5"/>
  <c r="U643" i="5"/>
  <c r="U644" i="5"/>
  <c r="U2159" i="5"/>
  <c r="U1248" i="5"/>
  <c r="U509" i="5"/>
  <c r="U53" i="5"/>
  <c r="U1566" i="5"/>
  <c r="U871" i="5"/>
  <c r="U2221" i="5"/>
  <c r="U1890" i="5"/>
  <c r="U362" i="5"/>
  <c r="U1194" i="5"/>
  <c r="U2193" i="5"/>
  <c r="U2194" i="5"/>
  <c r="U1842" i="5"/>
  <c r="U1843" i="5"/>
  <c r="U1844" i="5"/>
  <c r="U1845" i="5"/>
  <c r="U2024" i="5"/>
  <c r="U1567" i="5"/>
  <c r="U1891" i="5"/>
  <c r="U1746" i="5"/>
  <c r="U1981" i="5"/>
  <c r="U1696" i="5"/>
  <c r="U2103" i="5"/>
  <c r="U1249" i="5"/>
  <c r="U1638" i="5"/>
  <c r="U1639" i="5"/>
  <c r="U1640" i="5"/>
  <c r="U1747" i="5"/>
  <c r="U1940" i="5"/>
  <c r="U1122" i="5"/>
  <c r="U1507" i="5"/>
  <c r="U1788" i="5"/>
  <c r="U1846" i="5"/>
  <c r="U575" i="5"/>
  <c r="U952" i="5"/>
  <c r="U2025" i="5"/>
  <c r="U326" i="5"/>
  <c r="U645" i="5"/>
  <c r="U402" i="5"/>
  <c r="U276" i="5"/>
  <c r="U277" i="5"/>
  <c r="U1568" i="5"/>
  <c r="U1789" i="5"/>
  <c r="U1250" i="5"/>
  <c r="U1941" i="5"/>
  <c r="U1508" i="5"/>
  <c r="U1748" i="5"/>
  <c r="U2135" i="5"/>
  <c r="U2136" i="5"/>
  <c r="U953" i="5"/>
  <c r="U43" i="5"/>
  <c r="U646" i="5"/>
  <c r="U647" i="5"/>
  <c r="U1602" i="5"/>
  <c r="U801" i="5"/>
  <c r="U1892" i="5"/>
  <c r="U2026" i="5"/>
  <c r="U1346" i="5"/>
  <c r="U1347" i="5"/>
  <c r="U1749" i="5"/>
  <c r="U648" i="5"/>
  <c r="U734" i="5"/>
  <c r="U1029" i="5"/>
  <c r="U954" i="5"/>
  <c r="U1509" i="5"/>
  <c r="U1893" i="5"/>
  <c r="U2027" i="5"/>
  <c r="U2070" i="5"/>
  <c r="U1030" i="5"/>
  <c r="U649" i="5"/>
  <c r="U802" i="5"/>
  <c r="U2137" i="5"/>
  <c r="U1641" i="5"/>
  <c r="U1031" i="5"/>
  <c r="U1473" i="5"/>
  <c r="U872" i="5"/>
  <c r="U2071" i="5"/>
  <c r="U1251" i="5"/>
  <c r="U2218" i="5"/>
  <c r="U2219" i="5"/>
  <c r="U1474" i="5"/>
  <c r="U1510" i="5"/>
  <c r="U1511" i="5"/>
  <c r="U1642" i="5"/>
  <c r="U1348" i="5"/>
  <c r="U1512" i="5"/>
  <c r="U1982" i="5"/>
  <c r="U25" i="5"/>
  <c r="U2104" i="5"/>
  <c r="U1195" i="5"/>
  <c r="U1894" i="5"/>
  <c r="U1513" i="5"/>
  <c r="U2105" i="5"/>
  <c r="U1983" i="5"/>
  <c r="U450" i="5"/>
  <c r="U873" i="5"/>
  <c r="U874" i="5"/>
  <c r="U875" i="5"/>
  <c r="U1603" i="5"/>
  <c r="U1196" i="5"/>
  <c r="U1847" i="5"/>
  <c r="U1750" i="5"/>
  <c r="U803" i="5"/>
  <c r="U735" i="5"/>
  <c r="U2138" i="5"/>
  <c r="U2106" i="5"/>
  <c r="U1421" i="5"/>
  <c r="U2028" i="5"/>
  <c r="U1643" i="5"/>
  <c r="U804" i="5"/>
  <c r="U403" i="5"/>
  <c r="U1644" i="5"/>
  <c r="U1307" i="5"/>
  <c r="U736" i="5"/>
  <c r="U1790" i="5"/>
  <c r="U1984" i="5"/>
  <c r="U451" i="5"/>
  <c r="U737" i="5"/>
  <c r="U2139" i="5"/>
  <c r="U1349" i="5"/>
  <c r="U1645" i="5"/>
  <c r="U2072" i="5"/>
  <c r="U2073" i="5"/>
  <c r="U1791" i="5"/>
  <c r="U1569" i="5"/>
  <c r="U2029" i="5"/>
  <c r="U1032" i="5"/>
  <c r="U1422" i="5"/>
  <c r="U650" i="5"/>
  <c r="U510" i="5"/>
  <c r="U1423" i="5"/>
  <c r="U1848" i="5"/>
  <c r="U1849" i="5"/>
  <c r="U576" i="5"/>
  <c r="U136" i="5"/>
  <c r="U1475" i="5"/>
  <c r="U1308" i="5"/>
  <c r="U1424" i="5"/>
  <c r="U1425" i="5"/>
  <c r="U876" i="5"/>
  <c r="U1197" i="5"/>
  <c r="U1646" i="5"/>
  <c r="U738" i="5"/>
  <c r="U1514" i="5"/>
  <c r="U1942" i="5"/>
  <c r="U1350" i="5"/>
  <c r="U1751" i="5"/>
  <c r="U2160" i="5"/>
  <c r="U2161" i="5"/>
  <c r="U2030" i="5"/>
  <c r="U1752" i="5"/>
  <c r="U1604" i="5"/>
  <c r="U1033" i="5"/>
  <c r="U955" i="5"/>
  <c r="U956" i="5"/>
  <c r="U1895" i="5"/>
  <c r="U511" i="5"/>
  <c r="U805" i="5"/>
  <c r="U1943" i="5"/>
  <c r="U957" i="5"/>
  <c r="U651" i="5"/>
  <c r="U1985" i="5"/>
  <c r="U739" i="5"/>
  <c r="U75" i="5"/>
  <c r="U652" i="5"/>
  <c r="U1570" i="5"/>
  <c r="U740" i="5"/>
  <c r="U741" i="5"/>
  <c r="U742" i="5"/>
  <c r="U1850" i="5"/>
  <c r="U877" i="5"/>
  <c r="U1851" i="5"/>
  <c r="U958" i="5"/>
  <c r="U653" i="5"/>
  <c r="U1896" i="5"/>
  <c r="U1897" i="5"/>
  <c r="U806" i="5"/>
  <c r="U1476" i="5"/>
  <c r="U1605" i="5"/>
  <c r="U164" i="5"/>
  <c r="U1477" i="5"/>
  <c r="U1351" i="5"/>
  <c r="U807" i="5"/>
  <c r="U404" i="5"/>
  <c r="U808" i="5"/>
  <c r="U1478" i="5"/>
  <c r="U1479" i="5"/>
  <c r="U1944" i="5"/>
  <c r="U1252" i="5"/>
  <c r="U1034" i="5"/>
  <c r="U2162" i="5"/>
  <c r="U2206" i="5"/>
  <c r="U743" i="5"/>
  <c r="U809" i="5"/>
  <c r="U107" i="5"/>
  <c r="U327" i="5"/>
  <c r="U1571" i="5"/>
  <c r="U1753" i="5"/>
  <c r="U1515" i="5"/>
  <c r="U1426" i="5"/>
  <c r="U1427" i="5"/>
  <c r="U2163" i="5"/>
  <c r="U810" i="5"/>
  <c r="U452" i="5"/>
  <c r="U2213" i="5"/>
  <c r="U811" i="5"/>
  <c r="U812" i="5"/>
  <c r="U405" i="5"/>
  <c r="U363" i="5"/>
  <c r="U1309" i="5"/>
  <c r="U1697" i="5"/>
  <c r="U1123" i="5"/>
  <c r="U1352" i="5"/>
  <c r="U1353" i="5"/>
  <c r="U2074" i="5"/>
  <c r="U1035" i="5"/>
  <c r="U1198" i="5"/>
  <c r="U1945" i="5"/>
  <c r="U1354" i="5"/>
  <c r="U1647" i="5"/>
  <c r="U1124" i="5"/>
  <c r="U959" i="5"/>
  <c r="U1036" i="5"/>
  <c r="U1428" i="5"/>
  <c r="U813" i="5"/>
  <c r="U1253" i="5"/>
  <c r="U1429" i="5"/>
  <c r="U512" i="5"/>
  <c r="U960" i="5"/>
  <c r="U202" i="5"/>
  <c r="U744" i="5"/>
  <c r="U1430" i="5"/>
  <c r="U1125" i="5"/>
  <c r="U2031" i="5"/>
  <c r="U1126" i="5"/>
  <c r="U1792" i="5"/>
  <c r="U2195" i="5"/>
  <c r="U1199" i="5"/>
  <c r="U878" i="5"/>
  <c r="U406" i="5"/>
  <c r="U407" i="5"/>
  <c r="U1037" i="5"/>
  <c r="U328" i="5"/>
  <c r="U1254" i="5"/>
  <c r="U513" i="5"/>
  <c r="U2032" i="5"/>
  <c r="U278" i="5"/>
  <c r="U1200" i="5"/>
  <c r="U1201" i="5"/>
  <c r="U1355" i="5"/>
  <c r="U408" i="5"/>
  <c r="U1356" i="5"/>
  <c r="U2033" i="5"/>
  <c r="U1357" i="5"/>
  <c r="U814" i="5"/>
  <c r="U1038" i="5"/>
  <c r="U961" i="5"/>
  <c r="U577" i="5"/>
  <c r="U2075" i="5"/>
  <c r="U1202" i="5"/>
  <c r="U1793" i="5"/>
  <c r="U745" i="5"/>
  <c r="U879" i="5"/>
  <c r="U1127" i="5"/>
  <c r="U815" i="5"/>
  <c r="U578" i="5"/>
  <c r="U2107" i="5"/>
  <c r="U1039" i="5"/>
  <c r="U1572" i="5"/>
  <c r="U1040" i="5"/>
  <c r="U1203" i="5"/>
  <c r="U1431" i="5"/>
  <c r="U235" i="5"/>
  <c r="U514" i="5"/>
  <c r="U44" i="5"/>
  <c r="U26" i="5"/>
  <c r="U1310" i="5"/>
  <c r="U962" i="5"/>
  <c r="U1946" i="5"/>
  <c r="U1898" i="5"/>
  <c r="U1899" i="5"/>
  <c r="U1255" i="5"/>
  <c r="U816" i="5"/>
  <c r="U515" i="5"/>
  <c r="U1480" i="5"/>
  <c r="U1481" i="5"/>
  <c r="U654" i="5"/>
  <c r="U880" i="5"/>
  <c r="U881" i="5"/>
  <c r="U1041" i="5"/>
  <c r="U364" i="5"/>
  <c r="U963" i="5"/>
  <c r="U76" i="5"/>
  <c r="U165" i="5"/>
  <c r="U166" i="5"/>
  <c r="U817" i="5"/>
  <c r="U1754" i="5"/>
  <c r="U1698" i="5"/>
  <c r="U1204" i="5"/>
  <c r="U1794" i="5"/>
  <c r="U236" i="5"/>
  <c r="U2164" i="5"/>
  <c r="U1205" i="5"/>
  <c r="U365" i="5"/>
  <c r="U746" i="5"/>
  <c r="U329" i="5"/>
  <c r="U1042" i="5"/>
  <c r="U366" i="5"/>
  <c r="U579" i="5"/>
  <c r="U580" i="5"/>
  <c r="U516" i="5"/>
  <c r="U137" i="5"/>
  <c r="U138" i="5"/>
  <c r="U517" i="5"/>
  <c r="U367" i="5"/>
  <c r="U108" i="5"/>
  <c r="U409" i="5"/>
  <c r="U1900" i="5"/>
  <c r="U1256" i="5"/>
  <c r="U1482" i="5"/>
  <c r="U747" i="5"/>
  <c r="U964" i="5"/>
  <c r="U1483" i="5"/>
  <c r="U518" i="5"/>
  <c r="U1484" i="5"/>
  <c r="U203" i="5"/>
  <c r="U1986" i="5"/>
  <c r="U581" i="5"/>
  <c r="U1795" i="5"/>
  <c r="U167" i="5"/>
  <c r="U1257" i="5"/>
  <c r="U1258" i="5"/>
  <c r="U1648" i="5"/>
  <c r="U519" i="5"/>
  <c r="U2108" i="5"/>
  <c r="U582" i="5"/>
  <c r="U1259" i="5"/>
  <c r="U330" i="5"/>
  <c r="U1206" i="5"/>
  <c r="U139" i="5"/>
  <c r="U520" i="5"/>
  <c r="U1516" i="5"/>
  <c r="U2034" i="5"/>
  <c r="U1043" i="5"/>
  <c r="U1485" i="5"/>
  <c r="U748" i="5"/>
  <c r="U655" i="5"/>
  <c r="U1432" i="5"/>
  <c r="U1796" i="5"/>
  <c r="U1260" i="5"/>
  <c r="U2076" i="5"/>
  <c r="U2077" i="5"/>
  <c r="U453" i="5"/>
  <c r="U1433" i="5"/>
  <c r="U1207" i="5"/>
  <c r="U1208" i="5"/>
  <c r="U1128" i="5"/>
  <c r="U1261" i="5"/>
  <c r="U331" i="5"/>
  <c r="U1987" i="5"/>
  <c r="U1797" i="5"/>
  <c r="U2035" i="5"/>
  <c r="U818" i="5"/>
  <c r="U965" i="5"/>
  <c r="U966" i="5"/>
  <c r="U1311" i="5"/>
  <c r="U583" i="5"/>
  <c r="U749" i="5"/>
  <c r="U368" i="5"/>
  <c r="U204" i="5"/>
  <c r="U237" i="5"/>
  <c r="U2036" i="5"/>
  <c r="U819" i="5"/>
  <c r="U820" i="5"/>
  <c r="U279" i="5"/>
  <c r="U280" i="5"/>
  <c r="U281" i="5"/>
  <c r="U1947" i="5"/>
  <c r="U1948" i="5"/>
  <c r="U1209" i="5"/>
  <c r="U1044" i="5"/>
  <c r="U584" i="5"/>
  <c r="U2078" i="5"/>
  <c r="U1045" i="5"/>
  <c r="U109" i="5"/>
  <c r="U1988" i="5"/>
  <c r="U238" i="5"/>
  <c r="U369" i="5"/>
  <c r="U332" i="5"/>
  <c r="U1573" i="5"/>
  <c r="U1517" i="5"/>
  <c r="U282" i="5"/>
  <c r="U882" i="5"/>
  <c r="U656" i="5"/>
  <c r="U1649" i="5"/>
  <c r="U821" i="5"/>
  <c r="U168" i="5"/>
  <c r="U283" i="5"/>
  <c r="U1949" i="5"/>
  <c r="U1950" i="5"/>
  <c r="U967" i="5"/>
  <c r="U883" i="5"/>
  <c r="U1901" i="5"/>
  <c r="U1902" i="5"/>
  <c r="U968" i="5"/>
  <c r="U110" i="5"/>
  <c r="U1129" i="5"/>
  <c r="U1699" i="5"/>
  <c r="U2140" i="5"/>
  <c r="U969" i="5"/>
  <c r="U1755" i="5"/>
  <c r="U1903" i="5"/>
  <c r="U521" i="5"/>
  <c r="U77" i="5"/>
  <c r="U239" i="5"/>
  <c r="U522" i="5"/>
  <c r="U1518" i="5"/>
  <c r="U1519" i="5"/>
  <c r="U523" i="5"/>
  <c r="U1046" i="5"/>
  <c r="U970" i="5"/>
  <c r="U971" i="5"/>
  <c r="U884" i="5"/>
  <c r="U524" i="5"/>
  <c r="U370" i="5"/>
  <c r="U333" i="5"/>
  <c r="U169" i="5"/>
  <c r="U1904" i="5"/>
  <c r="U1905" i="5"/>
  <c r="U1262" i="5"/>
  <c r="U525" i="5"/>
  <c r="U822" i="5"/>
  <c r="U1210" i="5"/>
  <c r="U1211" i="5"/>
  <c r="U78" i="5"/>
  <c r="U1700" i="5"/>
  <c r="U1263" i="5"/>
  <c r="U1047" i="5"/>
  <c r="U1650" i="5"/>
  <c r="U1130" i="5"/>
  <c r="U170" i="5"/>
  <c r="U1048" i="5"/>
  <c r="U1358" i="5"/>
  <c r="U240" i="5"/>
  <c r="U526" i="5"/>
  <c r="U1131" i="5"/>
  <c r="U2109" i="5"/>
  <c r="U885" i="5"/>
  <c r="U205" i="5"/>
  <c r="U1574" i="5"/>
  <c r="U972" i="5"/>
  <c r="U585" i="5"/>
  <c r="U2196" i="5"/>
  <c r="U2197" i="5"/>
  <c r="U973" i="5"/>
  <c r="U1359" i="5"/>
  <c r="U1360" i="5"/>
  <c r="U527" i="5"/>
  <c r="U528" i="5"/>
  <c r="U1989" i="5"/>
  <c r="U657" i="5"/>
  <c r="U658" i="5"/>
  <c r="U1798" i="5"/>
  <c r="U659" i="5"/>
  <c r="U410" i="5"/>
  <c r="U886" i="5"/>
  <c r="U887" i="5"/>
  <c r="U660" i="5"/>
  <c r="U750" i="5"/>
  <c r="U1756" i="5"/>
  <c r="U284" i="5"/>
  <c r="U751" i="5"/>
  <c r="U752" i="5"/>
  <c r="U1906" i="5"/>
  <c r="U241" i="5"/>
  <c r="U79" i="5"/>
  <c r="U1049" i="5"/>
  <c r="U1050" i="5"/>
  <c r="U823" i="5"/>
  <c r="U753" i="5"/>
  <c r="U1361" i="5"/>
  <c r="U1362" i="5"/>
  <c r="U1312" i="5"/>
  <c r="U334" i="5"/>
  <c r="U1264" i="5"/>
  <c r="U529" i="5"/>
  <c r="U371" i="5"/>
  <c r="U1990" i="5"/>
  <c r="U1313" i="5"/>
  <c r="U1951" i="5"/>
  <c r="U1907" i="5"/>
  <c r="U1434" i="5"/>
  <c r="U1799" i="5"/>
  <c r="U1952" i="5"/>
  <c r="U411" i="5"/>
  <c r="U285" i="5"/>
  <c r="U454" i="5"/>
  <c r="U1265" i="5"/>
  <c r="U1520" i="5"/>
  <c r="U1701" i="5"/>
  <c r="U1051" i="5"/>
  <c r="U754" i="5"/>
  <c r="U1953" i="5"/>
  <c r="U755" i="5"/>
  <c r="U530" i="5"/>
  <c r="U1606" i="5"/>
  <c r="U2141" i="5"/>
  <c r="U1435" i="5"/>
  <c r="U661" i="5"/>
  <c r="U662" i="5"/>
  <c r="U586" i="5"/>
  <c r="U286" i="5"/>
  <c r="U1052" i="5"/>
  <c r="U206" i="5"/>
  <c r="U372" i="5"/>
  <c r="U1132" i="5"/>
  <c r="U1954" i="5"/>
  <c r="U242" i="5"/>
  <c r="U287" i="5"/>
  <c r="U1266" i="5"/>
  <c r="U373" i="5"/>
  <c r="U974" i="5"/>
  <c r="U2142" i="5"/>
  <c r="U1212" i="5"/>
  <c r="U1267" i="5"/>
  <c r="U288" i="5"/>
  <c r="U888" i="5"/>
  <c r="U889" i="5"/>
  <c r="U890" i="5"/>
  <c r="U891" i="5"/>
  <c r="U756" i="5"/>
  <c r="U1436" i="5"/>
  <c r="U1437" i="5"/>
  <c r="U587" i="5"/>
  <c r="U1053" i="5"/>
  <c r="U54" i="5"/>
  <c r="U2037" i="5"/>
  <c r="U1702" i="5"/>
  <c r="U892" i="5"/>
  <c r="U893" i="5"/>
  <c r="U243" i="5"/>
  <c r="U1133" i="5"/>
  <c r="U975" i="5"/>
  <c r="U531" i="5"/>
  <c r="U374" i="5"/>
  <c r="U1314" i="5"/>
  <c r="U2143" i="5"/>
  <c r="U111" i="5"/>
  <c r="U1852" i="5"/>
  <c r="U1268" i="5"/>
  <c r="U1757" i="5"/>
  <c r="U244" i="5"/>
  <c r="U245" i="5"/>
  <c r="U1054" i="5"/>
  <c r="U1055" i="5"/>
  <c r="U757" i="5"/>
  <c r="U412" i="5"/>
  <c r="U894" i="5"/>
  <c r="U1853" i="5"/>
  <c r="U27" i="5"/>
  <c r="U28" i="5"/>
  <c r="U1269" i="5"/>
  <c r="U895" i="5"/>
  <c r="U2079" i="5"/>
  <c r="U10" i="5"/>
  <c r="U11" i="5"/>
  <c r="U246" i="5"/>
  <c r="U171" i="5"/>
  <c r="U1363" i="5"/>
  <c r="U1854" i="5"/>
  <c r="U1056" i="5"/>
  <c r="U1057" i="5"/>
  <c r="U824" i="5"/>
  <c r="U825" i="5"/>
  <c r="U1991" i="5"/>
  <c r="U976" i="5"/>
  <c r="U1703" i="5"/>
  <c r="U663" i="5"/>
  <c r="U588" i="5"/>
  <c r="U2165" i="5"/>
  <c r="U375" i="5"/>
  <c r="U826" i="5"/>
  <c r="U827" i="5"/>
  <c r="U55" i="5"/>
  <c r="U589" i="5"/>
  <c r="U1521" i="5"/>
  <c r="U455" i="5"/>
  <c r="U172" i="5"/>
  <c r="U1704" i="5"/>
  <c r="U1438" i="5"/>
  <c r="U1522" i="5"/>
  <c r="U758" i="5"/>
  <c r="U112" i="5"/>
  <c r="U113" i="5"/>
  <c r="U1058" i="5"/>
  <c r="U2038" i="5"/>
  <c r="U1270" i="5"/>
  <c r="U532" i="5"/>
  <c r="U2110" i="5"/>
  <c r="U2111" i="5"/>
  <c r="U80" i="5"/>
  <c r="U81" i="5"/>
  <c r="U1134" i="5"/>
  <c r="U759" i="5"/>
  <c r="U207" i="5"/>
  <c r="U1705" i="5"/>
  <c r="U1135" i="5"/>
  <c r="U1523" i="5"/>
  <c r="U977" i="5"/>
  <c r="U828" i="5"/>
  <c r="U1364" i="5"/>
  <c r="U1213" i="5"/>
  <c r="U289" i="5"/>
  <c r="U1365" i="5"/>
  <c r="U1524" i="5"/>
  <c r="U896" i="5"/>
  <c r="U456" i="5"/>
  <c r="U1439" i="5"/>
  <c r="U208" i="5"/>
  <c r="U2039" i="5"/>
  <c r="U1758" i="5"/>
  <c r="U1575" i="5"/>
  <c r="U2040" i="5"/>
  <c r="U1525" i="5"/>
  <c r="U1059" i="5"/>
  <c r="U1060" i="5"/>
  <c r="U1366" i="5"/>
  <c r="U760" i="5"/>
  <c r="U761" i="5"/>
  <c r="U173" i="5"/>
  <c r="U413" i="5"/>
  <c r="U762" i="5"/>
  <c r="U664" i="5"/>
  <c r="U590" i="5"/>
  <c r="U1440" i="5"/>
  <c r="U1706" i="5"/>
  <c r="U533" i="5"/>
  <c r="U534" i="5"/>
  <c r="U591" i="5"/>
  <c r="U1061" i="5"/>
  <c r="U1062" i="5"/>
  <c r="U1271" i="5"/>
  <c r="U174" i="5"/>
  <c r="U2080" i="5"/>
  <c r="U457" i="5"/>
  <c r="U1441" i="5"/>
  <c r="U897" i="5"/>
  <c r="U1526" i="5"/>
  <c r="U1607" i="5"/>
  <c r="U1315" i="5"/>
  <c r="U1316" i="5"/>
  <c r="U247" i="5"/>
  <c r="U335" i="5"/>
  <c r="U1136" i="5"/>
  <c r="U898" i="5"/>
  <c r="U829" i="5"/>
  <c r="U1651" i="5"/>
  <c r="U1759" i="5"/>
  <c r="U290" i="5"/>
  <c r="U1955" i="5"/>
  <c r="U1063" i="5"/>
  <c r="U82" i="5"/>
  <c r="U978" i="5"/>
  <c r="U1137" i="5"/>
  <c r="U592" i="5"/>
  <c r="U665" i="5"/>
  <c r="U414" i="5"/>
  <c r="U899" i="5"/>
  <c r="U291" i="5"/>
  <c r="U248" i="5"/>
  <c r="U1486" i="5"/>
  <c r="U1064" i="5"/>
  <c r="U535" i="5"/>
  <c r="U666" i="5"/>
  <c r="U458" i="5"/>
  <c r="U979" i="5"/>
  <c r="U830" i="5"/>
  <c r="U415" i="5"/>
  <c r="U1576" i="5"/>
  <c r="U1577" i="5"/>
  <c r="U1652" i="5"/>
  <c r="U1855" i="5"/>
  <c r="U249" i="5"/>
  <c r="U593" i="5"/>
  <c r="U594" i="5"/>
  <c r="U900" i="5"/>
  <c r="U901" i="5"/>
  <c r="U763" i="5"/>
  <c r="U209" i="5"/>
  <c r="U376" i="5"/>
  <c r="U459" i="5"/>
  <c r="U595" i="5"/>
  <c r="U667" i="5"/>
  <c r="U668" i="5"/>
  <c r="U1527" i="5"/>
  <c r="U831" i="5"/>
  <c r="U1367" i="5"/>
  <c r="U2081" i="5"/>
  <c r="U416" i="5"/>
  <c r="U1214" i="5"/>
  <c r="U764" i="5"/>
  <c r="U669" i="5"/>
  <c r="U1317" i="5"/>
  <c r="U417" i="5"/>
  <c r="U980" i="5"/>
  <c r="U832" i="5"/>
  <c r="U1442" i="5"/>
  <c r="U670" i="5"/>
  <c r="U671" i="5"/>
  <c r="U460" i="5"/>
  <c r="U1065" i="5"/>
  <c r="U1760" i="5"/>
  <c r="U1653" i="5"/>
  <c r="U1654" i="5"/>
  <c r="U250" i="5"/>
  <c r="U981" i="5"/>
  <c r="U1215" i="5"/>
  <c r="U140" i="5"/>
  <c r="U1066" i="5"/>
  <c r="U1067" i="5"/>
  <c r="U596" i="5"/>
  <c r="U833" i="5"/>
  <c r="U834" i="5"/>
  <c r="U210" i="5"/>
  <c r="U83" i="5"/>
  <c r="U84" i="5"/>
  <c r="U982" i="5"/>
  <c r="U536" i="5"/>
  <c r="U292" i="5"/>
  <c r="U293" i="5"/>
  <c r="U56" i="5"/>
  <c r="U1608" i="5"/>
  <c r="U983" i="5"/>
  <c r="U1138" i="5"/>
  <c r="U175" i="5"/>
  <c r="U211" i="5"/>
  <c r="U1068" i="5"/>
  <c r="U984" i="5"/>
  <c r="U212" i="5"/>
  <c r="U213" i="5"/>
  <c r="U1069" i="5"/>
  <c r="U1443" i="5"/>
  <c r="U1444" i="5"/>
  <c r="U114" i="5"/>
  <c r="U1139" i="5"/>
  <c r="U1272" i="5"/>
  <c r="U672" i="5"/>
  <c r="U1655" i="5"/>
  <c r="U1368" i="5"/>
  <c r="U1656" i="5"/>
  <c r="U2082" i="5"/>
  <c r="U141" i="5"/>
  <c r="U1273" i="5"/>
  <c r="U214" i="5"/>
  <c r="U377" i="5"/>
  <c r="U597" i="5"/>
  <c r="U1856" i="5"/>
  <c r="U598" i="5"/>
  <c r="U1369" i="5"/>
  <c r="U336" i="5"/>
  <c r="U85" i="5"/>
  <c r="U86" i="5"/>
  <c r="U537" i="5"/>
  <c r="U538" i="5"/>
  <c r="U337" i="5"/>
  <c r="U1657" i="5"/>
  <c r="U378" i="5"/>
  <c r="U2041" i="5"/>
  <c r="U539" i="5"/>
  <c r="U835" i="5"/>
  <c r="U294" i="5"/>
  <c r="U295" i="5"/>
  <c r="U1318" i="5"/>
  <c r="U2179" i="5"/>
  <c r="U296" i="5"/>
  <c r="U2042" i="5"/>
  <c r="U2112" i="5"/>
  <c r="U1609" i="5"/>
  <c r="U1610" i="5"/>
  <c r="U1140" i="5"/>
  <c r="U1761" i="5"/>
  <c r="U176" i="5"/>
  <c r="U418" i="5"/>
  <c r="U1319" i="5"/>
  <c r="U115" i="5"/>
  <c r="U461" i="5"/>
  <c r="U599" i="5"/>
  <c r="U902" i="5"/>
  <c r="U379" i="5"/>
  <c r="U540" i="5"/>
  <c r="U338" i="5"/>
  <c r="U765" i="5"/>
  <c r="U2180" i="5"/>
  <c r="U2083" i="5"/>
  <c r="U1956" i="5"/>
  <c r="U251" i="5"/>
  <c r="U462" i="5"/>
  <c r="U1141" i="5"/>
  <c r="U1578" i="5"/>
  <c r="U1611" i="5"/>
  <c r="U985" i="5"/>
  <c r="U2113" i="5"/>
  <c r="U903" i="5"/>
  <c r="U177" i="5"/>
  <c r="U904" i="5"/>
  <c r="U1612" i="5"/>
  <c r="U297" i="5"/>
  <c r="U298" i="5"/>
  <c r="U1274" i="5"/>
  <c r="U1370" i="5"/>
  <c r="U2084" i="5"/>
  <c r="U1070" i="5"/>
  <c r="U673" i="5"/>
  <c r="U674" i="5"/>
  <c r="U1707" i="5"/>
  <c r="U1216" i="5"/>
  <c r="U380" i="5"/>
  <c r="U45" i="5"/>
  <c r="U1071" i="5"/>
  <c r="U178" i="5"/>
  <c r="U986" i="5"/>
  <c r="U836" i="5"/>
  <c r="U252" i="5"/>
  <c r="U1320" i="5"/>
  <c r="U179" i="5"/>
  <c r="U2144" i="5"/>
  <c r="U1762" i="5"/>
  <c r="U1763" i="5"/>
  <c r="U541" i="5"/>
  <c r="U675" i="5"/>
  <c r="U1217" i="5"/>
  <c r="U987" i="5"/>
  <c r="U905" i="5"/>
  <c r="U542" i="5"/>
  <c r="U1857" i="5"/>
  <c r="U57" i="5"/>
  <c r="U1800" i="5"/>
  <c r="U1801" i="5"/>
  <c r="U837" i="5"/>
  <c r="U419" i="5"/>
  <c r="U1142" i="5"/>
  <c r="U1321" i="5"/>
  <c r="U543" i="5"/>
  <c r="U1072" i="5"/>
  <c r="U544" i="5"/>
  <c r="U1073" i="5"/>
  <c r="U253" i="5"/>
  <c r="U142" i="5"/>
  <c r="U838" i="5"/>
  <c r="U839" i="5"/>
  <c r="U87" i="5"/>
  <c r="U906" i="5"/>
  <c r="U2181" i="5"/>
  <c r="U600" i="5"/>
  <c r="U1218" i="5"/>
  <c r="U1219" i="5"/>
  <c r="U299" i="5"/>
  <c r="U180" i="5"/>
  <c r="U988" i="5"/>
  <c r="U676" i="5"/>
  <c r="U420" i="5"/>
  <c r="U116" i="5"/>
  <c r="U989" i="5"/>
  <c r="U545" i="5"/>
  <c r="U546" i="5"/>
  <c r="U990" i="5"/>
  <c r="U339" i="5"/>
  <c r="U58" i="5"/>
  <c r="U117" i="5"/>
  <c r="U907" i="5"/>
  <c r="U463" i="5"/>
  <c r="U464" i="5"/>
  <c r="U254" i="5"/>
  <c r="U381" i="5"/>
  <c r="U991" i="5"/>
  <c r="U465" i="5"/>
  <c r="U340" i="5"/>
  <c r="U382" i="5"/>
  <c r="U59" i="5"/>
  <c r="U1708" i="5"/>
  <c r="U1143" i="5"/>
  <c r="U1144" i="5"/>
  <c r="U300" i="5"/>
  <c r="U677" i="5"/>
  <c r="U255" i="5"/>
  <c r="U766" i="5"/>
  <c r="U1220" i="5"/>
  <c r="U143" i="5"/>
  <c r="U601" i="5"/>
  <c r="U1275" i="5"/>
  <c r="U466" i="5"/>
  <c r="U678" i="5"/>
  <c r="U341" i="5"/>
  <c r="U1145" i="5"/>
  <c r="U342" i="5"/>
  <c r="U908" i="5"/>
  <c r="U1802" i="5"/>
  <c r="U301" i="5"/>
  <c r="U1445" i="5"/>
  <c r="U1446" i="5"/>
  <c r="U181" i="5"/>
  <c r="U144" i="5"/>
  <c r="U118" i="5"/>
  <c r="U119" i="5"/>
  <c r="U1709" i="5"/>
  <c r="U1992" i="5"/>
  <c r="U1221" i="5"/>
  <c r="U256" i="5"/>
  <c r="U1146" i="5"/>
  <c r="U215" i="5"/>
  <c r="U1528" i="5"/>
  <c r="U1147" i="5"/>
  <c r="U383" i="5"/>
  <c r="U1074" i="5"/>
  <c r="U1075" i="5"/>
  <c r="U547" i="5"/>
  <c r="U548" i="5"/>
  <c r="U602" i="5"/>
  <c r="U909" i="5"/>
  <c r="U767" i="5"/>
  <c r="U1371" i="5"/>
  <c r="U1372" i="5"/>
  <c r="U1148" i="5"/>
  <c r="U1322" i="5"/>
  <c r="U1323" i="5"/>
  <c r="U1908" i="5"/>
  <c r="U182" i="5"/>
  <c r="U1957" i="5"/>
  <c r="U343" i="5"/>
  <c r="U145" i="5"/>
  <c r="U1529" i="5"/>
  <c r="U1530" i="5"/>
  <c r="U1222" i="5"/>
  <c r="U216" i="5"/>
  <c r="U1858" i="5"/>
  <c r="U768" i="5"/>
  <c r="U2085" i="5"/>
  <c r="U769" i="5"/>
  <c r="U302" i="5"/>
  <c r="U1658" i="5"/>
  <c r="U603" i="5"/>
  <c r="U1149" i="5"/>
  <c r="U992" i="5"/>
  <c r="U303" i="5"/>
  <c r="U1803" i="5"/>
  <c r="U1804" i="5"/>
  <c r="U183" i="5"/>
  <c r="U1223" i="5"/>
  <c r="U184" i="5"/>
  <c r="U185" i="5"/>
  <c r="U304" i="5"/>
  <c r="U679" i="5"/>
  <c r="U467" i="5"/>
  <c r="U88" i="5"/>
  <c r="U993" i="5"/>
  <c r="U217" i="5"/>
  <c r="U549" i="5"/>
  <c r="U840" i="5"/>
  <c r="U146" i="5"/>
  <c r="U344" i="5"/>
  <c r="U680" i="5"/>
  <c r="U604" i="5"/>
  <c r="U910" i="5"/>
  <c r="U1150" i="5"/>
  <c r="U1151" i="5"/>
  <c r="U218" i="5"/>
  <c r="U120" i="5"/>
  <c r="U186" i="5"/>
  <c r="U911" i="5"/>
  <c r="U187" i="5"/>
  <c r="U188" i="5"/>
  <c r="U468" i="5"/>
  <c r="U46" i="5"/>
  <c r="U681" i="5"/>
  <c r="U682" i="5"/>
  <c r="U841" i="5"/>
  <c r="U842" i="5"/>
  <c r="U219" i="5"/>
  <c r="U220" i="5"/>
  <c r="U770" i="5"/>
  <c r="U1659" i="5"/>
  <c r="U1152" i="5"/>
  <c r="U1276" i="5"/>
  <c r="U1277" i="5"/>
  <c r="U221" i="5"/>
  <c r="U189" i="5"/>
  <c r="U345" i="5"/>
  <c r="U384" i="5"/>
  <c r="U385" i="5"/>
  <c r="U843" i="5"/>
  <c r="U1278" i="5"/>
  <c r="U421" i="5"/>
  <c r="U257" i="5"/>
  <c r="U912" i="5"/>
  <c r="U60" i="5"/>
  <c r="U61" i="5"/>
  <c r="U62" i="5"/>
  <c r="U258" i="5"/>
  <c r="U1076" i="5"/>
  <c r="U29" i="5"/>
  <c r="U1487" i="5"/>
  <c r="U1488" i="5"/>
  <c r="U1710" i="5"/>
  <c r="U1711" i="5"/>
  <c r="U1712" i="5"/>
  <c r="U1224" i="5"/>
  <c r="U346" i="5"/>
  <c r="U844" i="5"/>
  <c r="U89" i="5"/>
  <c r="U63" i="5"/>
  <c r="U147" i="5"/>
  <c r="U64" i="5"/>
  <c r="U222" i="5"/>
  <c r="U2198" i="5"/>
  <c r="U469" i="5"/>
  <c r="U683" i="5"/>
  <c r="U90" i="5"/>
  <c r="U771" i="5"/>
  <c r="U550" i="5"/>
  <c r="U148" i="5"/>
  <c r="U30" i="5"/>
  <c r="U684" i="5"/>
  <c r="U1660" i="5"/>
  <c r="U1661" i="5"/>
  <c r="U551" i="5"/>
  <c r="U772" i="5"/>
  <c r="U685" i="5"/>
  <c r="U1613" i="5"/>
  <c r="U2114" i="5"/>
  <c r="U470" i="5"/>
  <c r="U1077" i="5"/>
  <c r="U223" i="5"/>
  <c r="U552" i="5"/>
  <c r="U259" i="5"/>
  <c r="U260" i="5"/>
  <c r="U121" i="5"/>
  <c r="U65" i="5"/>
  <c r="U471" i="5"/>
  <c r="U422" i="5"/>
  <c r="U472" i="5"/>
  <c r="U1859" i="5"/>
  <c r="U122" i="5"/>
  <c r="U261" i="5"/>
  <c r="U1153" i="5"/>
  <c r="U1154" i="5"/>
  <c r="U473" i="5"/>
  <c r="U474" i="5"/>
  <c r="U31" i="5"/>
  <c r="U423" i="5"/>
  <c r="U1764" i="5"/>
  <c r="U149" i="5"/>
  <c r="U2086" i="5"/>
  <c r="U1531" i="5"/>
  <c r="U190" i="5"/>
  <c r="U686" i="5"/>
  <c r="U262" i="5"/>
  <c r="U1860" i="5"/>
  <c r="U424" i="5"/>
  <c r="U5" i="5"/>
  <c r="U994" i="5"/>
  <c r="U1225" i="5"/>
  <c r="U123" i="5"/>
  <c r="U1662" i="5"/>
  <c r="U687" i="5"/>
  <c r="U475" i="5"/>
  <c r="U1155" i="5"/>
  <c r="U2043" i="5"/>
  <c r="U688" i="5"/>
  <c r="U553" i="5"/>
  <c r="U773" i="5"/>
  <c r="U263" i="5"/>
  <c r="U91" i="5"/>
  <c r="U92" i="5"/>
  <c r="U93" i="5"/>
  <c r="U1078" i="5"/>
  <c r="U913" i="5"/>
  <c r="U689" i="5"/>
  <c r="U94" i="5"/>
  <c r="U191" i="5"/>
  <c r="U2044" i="5"/>
  <c r="U47" i="5"/>
  <c r="U914" i="5"/>
  <c r="U774" i="5"/>
  <c r="U690" i="5"/>
  <c r="U691" i="5"/>
  <c r="U554" i="5"/>
  <c r="U476" i="5"/>
  <c r="U477" i="5"/>
  <c r="U224" i="5"/>
  <c r="U192" i="5"/>
  <c r="U150" i="5"/>
  <c r="U32" i="5"/>
  <c r="U6" i="5"/>
  <c r="U1373" i="5"/>
  <c r="U1805" i="5"/>
  <c r="U347" i="5"/>
  <c r="U2115" i="5"/>
  <c r="U692" i="5"/>
  <c r="U1447" i="5"/>
  <c r="U1226" i="5"/>
  <c r="U1532" i="5"/>
  <c r="U915" i="5"/>
  <c r="U478" i="5"/>
  <c r="U1079" i="5"/>
  <c r="T2199" i="5"/>
  <c r="T1080" i="5"/>
  <c r="T775" i="5"/>
  <c r="T555" i="5"/>
  <c r="T264" i="5"/>
  <c r="T1614" i="5"/>
  <c r="T1615" i="5"/>
  <c r="T556" i="5"/>
  <c r="T48" i="5"/>
  <c r="T386" i="5"/>
  <c r="T12" i="5"/>
  <c r="T124" i="5"/>
  <c r="T1157" i="5"/>
  <c r="T2045" i="5"/>
  <c r="T1713" i="5"/>
  <c r="T1958" i="5"/>
  <c r="T1959" i="5"/>
  <c r="T1081" i="5"/>
  <c r="T1909" i="5"/>
  <c r="T2220" i="5"/>
  <c r="T845" i="5"/>
  <c r="T151" i="5"/>
  <c r="T20" i="5"/>
  <c r="T1616" i="5"/>
  <c r="T193" i="5"/>
  <c r="T265" i="5"/>
  <c r="T2145" i="5"/>
  <c r="T693" i="5"/>
  <c r="T152" i="5"/>
  <c r="T2166" i="5"/>
  <c r="T995" i="5"/>
  <c r="T1806" i="5"/>
  <c r="T49" i="5"/>
  <c r="T348" i="5"/>
  <c r="T1910" i="5"/>
  <c r="T2146" i="5"/>
  <c r="T1082" i="5"/>
  <c r="T266" i="5"/>
  <c r="T33" i="5"/>
  <c r="T34" i="5"/>
  <c r="T1807" i="5"/>
  <c r="T425" i="5"/>
  <c r="T35" i="5"/>
  <c r="T95" i="5"/>
  <c r="T1808" i="5"/>
  <c r="T225" i="5"/>
  <c r="T36" i="5"/>
  <c r="T846" i="5"/>
  <c r="T267" i="5"/>
  <c r="T1324" i="5"/>
  <c r="T1663" i="5"/>
  <c r="T1617" i="5"/>
  <c r="T66" i="5"/>
  <c r="T1579" i="5"/>
  <c r="T349" i="5"/>
  <c r="T426" i="5"/>
  <c r="T479" i="5"/>
  <c r="T1664" i="5"/>
  <c r="T1665" i="5"/>
  <c r="T96" i="5"/>
  <c r="T1618" i="5"/>
  <c r="T1666" i="5"/>
  <c r="T268" i="5"/>
  <c r="T350" i="5"/>
  <c r="T21" i="5"/>
  <c r="T996" i="5"/>
  <c r="T916" i="5"/>
  <c r="T917" i="5"/>
  <c r="T694" i="5"/>
  <c r="T1911" i="5"/>
  <c r="T2046" i="5"/>
  <c r="T269" i="5"/>
  <c r="T1580" i="5"/>
  <c r="T1809" i="5"/>
  <c r="T1325" i="5"/>
  <c r="T1534" i="5"/>
  <c r="T37" i="5"/>
  <c r="T847" i="5"/>
  <c r="T480" i="5"/>
  <c r="T67" i="5"/>
  <c r="T1535" i="5"/>
  <c r="T1536" i="5"/>
  <c r="T427" i="5"/>
  <c r="T1912" i="5"/>
  <c r="T1448" i="5"/>
  <c r="T605" i="5"/>
  <c r="T1714" i="5"/>
  <c r="T1993" i="5"/>
  <c r="T557" i="5"/>
  <c r="T1960" i="5"/>
  <c r="T918" i="5"/>
  <c r="T919" i="5"/>
  <c r="T1581" i="5"/>
  <c r="T1083" i="5"/>
  <c r="T1374" i="5"/>
  <c r="T1375" i="5"/>
  <c r="T1994" i="5"/>
  <c r="T1715" i="5"/>
  <c r="T97" i="5"/>
  <c r="T98" i="5"/>
  <c r="T695" i="5"/>
  <c r="T305" i="5"/>
  <c r="T306" i="5"/>
  <c r="T1810" i="5"/>
  <c r="T848" i="5"/>
  <c r="T776" i="5"/>
  <c r="T1995" i="5"/>
  <c r="T1996" i="5"/>
  <c r="T1997" i="5"/>
  <c r="T2147" i="5"/>
  <c r="T696" i="5"/>
  <c r="T697" i="5"/>
  <c r="T2148" i="5"/>
  <c r="T1537" i="5"/>
  <c r="T1227" i="5"/>
  <c r="T22" i="5"/>
  <c r="T153" i="5"/>
  <c r="T920" i="5"/>
  <c r="T1084" i="5"/>
  <c r="T7" i="5"/>
  <c r="T1619" i="5"/>
  <c r="T921" i="5"/>
  <c r="T777" i="5"/>
  <c r="T154" i="5"/>
  <c r="T1376" i="5"/>
  <c r="T2182" i="5"/>
  <c r="T2183" i="5"/>
  <c r="T226" i="5"/>
  <c r="T2207" i="5"/>
  <c r="T2184" i="5"/>
  <c r="T1998" i="5"/>
  <c r="T778" i="5"/>
  <c r="T558" i="5"/>
  <c r="T1667" i="5"/>
  <c r="T1538" i="5"/>
  <c r="T1620" i="5"/>
  <c r="T387" i="5"/>
  <c r="T2087" i="5"/>
  <c r="T1326" i="5"/>
  <c r="T1861" i="5"/>
  <c r="T1765" i="5"/>
  <c r="T1766" i="5"/>
  <c r="T155" i="5"/>
  <c r="T1582" i="5"/>
  <c r="T559" i="5"/>
  <c r="T1449" i="5"/>
  <c r="T481" i="5"/>
  <c r="T1539" i="5"/>
  <c r="T1085" i="5"/>
  <c r="T2149" i="5"/>
  <c r="T2150" i="5"/>
  <c r="T270" i="5"/>
  <c r="T1767" i="5"/>
  <c r="T1583" i="5"/>
  <c r="T1540" i="5"/>
  <c r="T606" i="5"/>
  <c r="T1621" i="5"/>
  <c r="T1999" i="5"/>
  <c r="T388" i="5"/>
  <c r="T389" i="5"/>
  <c r="T2116" i="5"/>
  <c r="T271" i="5"/>
  <c r="T1158" i="5"/>
  <c r="T2167" i="5"/>
  <c r="T1279" i="5"/>
  <c r="T125" i="5"/>
  <c r="T126" i="5"/>
  <c r="T1716" i="5"/>
  <c r="T1489" i="5"/>
  <c r="T1450" i="5"/>
  <c r="T68" i="5"/>
  <c r="T69" i="5"/>
  <c r="T1086" i="5"/>
  <c r="T698" i="5"/>
  <c r="T1377" i="5"/>
  <c r="T1378" i="5"/>
  <c r="T2168" i="5"/>
  <c r="T1717" i="5"/>
  <c r="T1668" i="5"/>
  <c r="T1159" i="5"/>
  <c r="T1584" i="5"/>
  <c r="T156" i="5"/>
  <c r="T2047" i="5"/>
  <c r="T1961" i="5"/>
  <c r="T2088" i="5"/>
  <c r="T1718" i="5"/>
  <c r="T1490" i="5"/>
  <c r="T13" i="5"/>
  <c r="T8" i="5"/>
  <c r="T2208" i="5"/>
  <c r="T997" i="5"/>
  <c r="T998" i="5"/>
  <c r="T699" i="5"/>
  <c r="T1327" i="5"/>
  <c r="T1862" i="5"/>
  <c r="T2117" i="5"/>
  <c r="T1087" i="5"/>
  <c r="T1863" i="5"/>
  <c r="T2209" i="5"/>
  <c r="T700" i="5"/>
  <c r="T157" i="5"/>
  <c r="T922" i="5"/>
  <c r="T923" i="5"/>
  <c r="T14" i="5"/>
  <c r="T1491" i="5"/>
  <c r="T1492" i="5"/>
  <c r="T1913" i="5"/>
  <c r="T390" i="5"/>
  <c r="T1328" i="5"/>
  <c r="T607" i="5"/>
  <c r="T924" i="5"/>
  <c r="T307" i="5"/>
  <c r="T1914" i="5"/>
  <c r="T1669" i="5"/>
  <c r="T1719" i="5"/>
  <c r="T1864" i="5"/>
  <c r="T1720" i="5"/>
  <c r="T1160" i="5"/>
  <c r="T608" i="5"/>
  <c r="T779" i="5"/>
  <c r="T227" i="5"/>
  <c r="T849" i="5"/>
  <c r="T850" i="5"/>
  <c r="T1622" i="5"/>
  <c r="T158" i="5"/>
  <c r="T1811" i="5"/>
  <c r="T1088" i="5"/>
  <c r="T1585" i="5"/>
  <c r="T15" i="5"/>
  <c r="T701" i="5"/>
  <c r="T702" i="5"/>
  <c r="T1280" i="5"/>
  <c r="T1281" i="5"/>
  <c r="T1451" i="5"/>
  <c r="T1721" i="5"/>
  <c r="T2048" i="5"/>
  <c r="T999" i="5"/>
  <c r="T851" i="5"/>
  <c r="T1452" i="5"/>
  <c r="T391" i="5"/>
  <c r="T560" i="5"/>
  <c r="T272" i="5"/>
  <c r="T1000" i="5"/>
  <c r="T1768" i="5"/>
  <c r="T1089" i="5"/>
  <c r="T2185" i="5"/>
  <c r="T1769" i="5"/>
  <c r="T2049" i="5"/>
  <c r="T2050" i="5"/>
  <c r="T1623" i="5"/>
  <c r="T2151" i="5"/>
  <c r="T1329" i="5"/>
  <c r="T609" i="5"/>
  <c r="T159" i="5"/>
  <c r="T1670" i="5"/>
  <c r="T1722" i="5"/>
  <c r="T99" i="5"/>
  <c r="T780" i="5"/>
  <c r="T2169" i="5"/>
  <c r="T925" i="5"/>
  <c r="T1001" i="5"/>
  <c r="T1812" i="5"/>
  <c r="T926" i="5"/>
  <c r="T1915" i="5"/>
  <c r="T351" i="5"/>
  <c r="T1282" i="5"/>
  <c r="T1723" i="5"/>
  <c r="T70" i="5"/>
  <c r="T1283" i="5"/>
  <c r="T1284" i="5"/>
  <c r="T2170" i="5"/>
  <c r="T1090" i="5"/>
  <c r="T2000" i="5"/>
  <c r="T2214" i="5"/>
  <c r="T482" i="5"/>
  <c r="T428" i="5"/>
  <c r="T1671" i="5"/>
  <c r="T2171" i="5"/>
  <c r="T1493" i="5"/>
  <c r="T1228" i="5"/>
  <c r="T1813" i="5"/>
  <c r="T392" i="5"/>
  <c r="T1379" i="5"/>
  <c r="T429" i="5"/>
  <c r="T430" i="5"/>
  <c r="T1770" i="5"/>
  <c r="T1494" i="5"/>
  <c r="T2152" i="5"/>
  <c r="T927" i="5"/>
  <c r="T1624" i="5"/>
  <c r="T2001" i="5"/>
  <c r="T1865" i="5"/>
  <c r="T2118" i="5"/>
  <c r="T1285" i="5"/>
  <c r="T2089" i="5"/>
  <c r="T1380" i="5"/>
  <c r="T1916" i="5"/>
  <c r="T1161" i="5"/>
  <c r="T273" i="5"/>
  <c r="T1541" i="5"/>
  <c r="T703" i="5"/>
  <c r="T1814" i="5"/>
  <c r="T704" i="5"/>
  <c r="T1091" i="5"/>
  <c r="T1002" i="5"/>
  <c r="T393" i="5"/>
  <c r="T1672" i="5"/>
  <c r="T928" i="5"/>
  <c r="T2153" i="5"/>
  <c r="T1542" i="5"/>
  <c r="T1543" i="5"/>
  <c r="T705" i="5"/>
  <c r="T1625" i="5"/>
  <c r="T1866" i="5"/>
  <c r="T1229" i="5"/>
  <c r="T2051" i="5"/>
  <c r="T2215" i="5"/>
  <c r="T610" i="5"/>
  <c r="T127" i="5"/>
  <c r="T308" i="5"/>
  <c r="T309" i="5"/>
  <c r="T352" i="5"/>
  <c r="T353" i="5"/>
  <c r="T1162" i="5"/>
  <c r="T1286" i="5"/>
  <c r="T781" i="5"/>
  <c r="T1230" i="5"/>
  <c r="T431" i="5"/>
  <c r="T432" i="5"/>
  <c r="T611" i="5"/>
  <c r="T483" i="5"/>
  <c r="T71" i="5"/>
  <c r="T1092" i="5"/>
  <c r="T1724" i="5"/>
  <c r="T561" i="5"/>
  <c r="T1917" i="5"/>
  <c r="T1771" i="5"/>
  <c r="T2002" i="5"/>
  <c r="T1381" i="5"/>
  <c r="T1867" i="5"/>
  <c r="T929" i="5"/>
  <c r="T1453" i="5"/>
  <c r="T1725" i="5"/>
  <c r="T2003" i="5"/>
  <c r="T2004" i="5"/>
  <c r="T23" i="5"/>
  <c r="T1544" i="5"/>
  <c r="T1673" i="5"/>
  <c r="T1962" i="5"/>
  <c r="T612" i="5"/>
  <c r="T562" i="5"/>
  <c r="T1163" i="5"/>
  <c r="T1586" i="5"/>
  <c r="T1587" i="5"/>
  <c r="T2119" i="5"/>
  <c r="T1093" i="5"/>
  <c r="T1382" i="5"/>
  <c r="T1868" i="5"/>
  <c r="T930" i="5"/>
  <c r="T1918" i="5"/>
  <c r="T1003" i="5"/>
  <c r="T2172" i="5"/>
  <c r="T16" i="5"/>
  <c r="T17" i="5"/>
  <c r="T1004" i="5"/>
  <c r="T1869" i="5"/>
  <c r="T1726" i="5"/>
  <c r="T50" i="5"/>
  <c r="T706" i="5"/>
  <c r="T707" i="5"/>
  <c r="T310" i="5"/>
  <c r="T613" i="5"/>
  <c r="T128" i="5"/>
  <c r="T852" i="5"/>
  <c r="T1963" i="5"/>
  <c r="T484" i="5"/>
  <c r="T1772" i="5"/>
  <c r="T2052" i="5"/>
  <c r="T1005" i="5"/>
  <c r="T51" i="5"/>
  <c r="T1383" i="5"/>
  <c r="T1231" i="5"/>
  <c r="T129" i="5"/>
  <c r="T311" i="5"/>
  <c r="T1164" i="5"/>
  <c r="T130" i="5"/>
  <c r="T228" i="5"/>
  <c r="T708" i="5"/>
  <c r="T1626" i="5"/>
  <c r="T2173" i="5"/>
  <c r="T2174" i="5"/>
  <c r="T1495" i="5"/>
  <c r="T1094" i="5"/>
  <c r="T1095" i="5"/>
  <c r="T1870" i="5"/>
  <c r="T1727" i="5"/>
  <c r="T194" i="5"/>
  <c r="T1545" i="5"/>
  <c r="T1165" i="5"/>
  <c r="T2120" i="5"/>
  <c r="T1871" i="5"/>
  <c r="T1872" i="5"/>
  <c r="T229" i="5"/>
  <c r="T1919" i="5"/>
  <c r="T931" i="5"/>
  <c r="T1166" i="5"/>
  <c r="T18" i="5"/>
  <c r="T614" i="5"/>
  <c r="T615" i="5"/>
  <c r="T2121" i="5"/>
  <c r="T2053" i="5"/>
  <c r="T1006" i="5"/>
  <c r="T2005" i="5"/>
  <c r="T1546" i="5"/>
  <c r="T1384" i="5"/>
  <c r="T485" i="5"/>
  <c r="T563" i="5"/>
  <c r="T782" i="5"/>
  <c r="T1920" i="5"/>
  <c r="T1921" i="5"/>
  <c r="T354" i="5"/>
  <c r="T433" i="5"/>
  <c r="T2122" i="5"/>
  <c r="T1547" i="5"/>
  <c r="T1007" i="5"/>
  <c r="T2054" i="5"/>
  <c r="T1728" i="5"/>
  <c r="T160" i="5"/>
  <c r="T161" i="5"/>
  <c r="T1815" i="5"/>
  <c r="T564" i="5"/>
  <c r="T312" i="5"/>
  <c r="T313" i="5"/>
  <c r="T486" i="5"/>
  <c r="T1008" i="5"/>
  <c r="T1009" i="5"/>
  <c r="T1674" i="5"/>
  <c r="T1729" i="5"/>
  <c r="T1548" i="5"/>
  <c r="T434" i="5"/>
  <c r="T1385" i="5"/>
  <c r="T2200" i="5"/>
  <c r="T1010" i="5"/>
  <c r="T1386" i="5"/>
  <c r="T783" i="5"/>
  <c r="T1549" i="5"/>
  <c r="T487" i="5"/>
  <c r="T1816" i="5"/>
  <c r="T1675" i="5"/>
  <c r="T1676" i="5"/>
  <c r="T1387" i="5"/>
  <c r="T616" i="5"/>
  <c r="T1677" i="5"/>
  <c r="T9" i="5"/>
  <c r="T853" i="5"/>
  <c r="T1773" i="5"/>
  <c r="T2055" i="5"/>
  <c r="T488" i="5"/>
  <c r="T1627" i="5"/>
  <c r="T195" i="5"/>
  <c r="T932" i="5"/>
  <c r="T1388" i="5"/>
  <c r="T1389" i="5"/>
  <c r="T617" i="5"/>
  <c r="T1011" i="5"/>
  <c r="T1287" i="5"/>
  <c r="T394" i="5"/>
  <c r="T2056" i="5"/>
  <c r="T1232" i="5"/>
  <c r="T1330" i="5"/>
  <c r="T2154" i="5"/>
  <c r="T1288" i="5"/>
  <c r="T230" i="5"/>
  <c r="T1873" i="5"/>
  <c r="T1096" i="5"/>
  <c r="T196" i="5"/>
  <c r="T197" i="5"/>
  <c r="T1233" i="5"/>
  <c r="T2006" i="5"/>
  <c r="T19" i="5"/>
  <c r="T1964" i="5"/>
  <c r="T489" i="5"/>
  <c r="T1922" i="5"/>
  <c r="T618" i="5"/>
  <c r="T2201" i="5"/>
  <c r="T435" i="5"/>
  <c r="T2175" i="5"/>
  <c r="T709" i="5"/>
  <c r="T1331" i="5"/>
  <c r="T619" i="5"/>
  <c r="T620" i="5"/>
  <c r="T2123" i="5"/>
  <c r="T274" i="5"/>
  <c r="T933" i="5"/>
  <c r="T1167" i="5"/>
  <c r="T1390" i="5"/>
  <c r="T1923" i="5"/>
  <c r="T314" i="5"/>
  <c r="T315" i="5"/>
  <c r="T1391" i="5"/>
  <c r="T1454" i="5"/>
  <c r="T1012" i="5"/>
  <c r="T1168" i="5"/>
  <c r="T1392" i="5"/>
  <c r="T162" i="5"/>
  <c r="T2007" i="5"/>
  <c r="T1332" i="5"/>
  <c r="T2202" i="5"/>
  <c r="T784" i="5"/>
  <c r="T2057" i="5"/>
  <c r="T1234" i="5"/>
  <c r="T395" i="5"/>
  <c r="T1550" i="5"/>
  <c r="T3" i="5"/>
  <c r="T275" i="5"/>
  <c r="T396" i="5"/>
  <c r="T1169" i="5"/>
  <c r="T854" i="5"/>
  <c r="T565" i="5"/>
  <c r="T2124" i="5"/>
  <c r="T710" i="5"/>
  <c r="T1965" i="5"/>
  <c r="T1393" i="5"/>
  <c r="T1817" i="5"/>
  <c r="T934" i="5"/>
  <c r="T2008" i="5"/>
  <c r="T1394" i="5"/>
  <c r="T1395" i="5"/>
  <c r="T316" i="5"/>
  <c r="T317" i="5"/>
  <c r="T2125" i="5"/>
  <c r="T1730" i="5"/>
  <c r="T1097" i="5"/>
  <c r="T1098" i="5"/>
  <c r="T1333" i="5"/>
  <c r="T1099" i="5"/>
  <c r="T1678" i="5"/>
  <c r="T1289" i="5"/>
  <c r="T1170" i="5"/>
  <c r="T1171" i="5"/>
  <c r="T38" i="5"/>
  <c r="T39" i="5"/>
  <c r="T2186" i="5"/>
  <c r="T100" i="5"/>
  <c r="T101" i="5"/>
  <c r="T318" i="5"/>
  <c r="T102" i="5"/>
  <c r="T103" i="5"/>
  <c r="T1172" i="5"/>
  <c r="T2" i="5"/>
  <c r="T621" i="5"/>
  <c r="T785" i="5"/>
  <c r="T1455" i="5"/>
  <c r="T1731" i="5"/>
  <c r="T436" i="5"/>
  <c r="T1774" i="5"/>
  <c r="T1456" i="5"/>
  <c r="T40" i="5"/>
  <c r="T1496" i="5"/>
  <c r="T1497" i="5"/>
  <c r="T2176" i="5"/>
  <c r="T490" i="5"/>
  <c r="T2126" i="5"/>
  <c r="T2127" i="5"/>
  <c r="T711" i="5"/>
  <c r="T1679" i="5"/>
  <c r="T1628" i="5"/>
  <c r="T2058" i="5"/>
  <c r="T131" i="5"/>
  <c r="T104" i="5"/>
  <c r="T105" i="5"/>
  <c r="T1100" i="5"/>
  <c r="T397" i="5"/>
  <c r="T2177" i="5"/>
  <c r="T786" i="5"/>
  <c r="T787" i="5"/>
  <c r="T788" i="5"/>
  <c r="T2009" i="5"/>
  <c r="T855" i="5"/>
  <c r="T132" i="5"/>
  <c r="T1101" i="5"/>
  <c r="T1102" i="5"/>
  <c r="T2059" i="5"/>
  <c r="T1173" i="5"/>
  <c r="T1103" i="5"/>
  <c r="T4" i="5"/>
  <c r="T1290" i="5"/>
  <c r="T1334" i="5"/>
  <c r="T1732" i="5"/>
  <c r="T1874" i="5"/>
  <c r="T1818" i="5"/>
  <c r="T1966" i="5"/>
  <c r="T2060" i="5"/>
  <c r="T491" i="5"/>
  <c r="T1924" i="5"/>
  <c r="T72" i="5"/>
  <c r="T106" i="5"/>
  <c r="T1733" i="5"/>
  <c r="T2187" i="5"/>
  <c r="T2188" i="5"/>
  <c r="T1291" i="5"/>
  <c r="T1104" i="5"/>
  <c r="T1775" i="5"/>
  <c r="T319" i="5"/>
  <c r="T320" i="5"/>
  <c r="T712" i="5"/>
  <c r="T1776" i="5"/>
  <c r="T1174" i="5"/>
  <c r="T1551" i="5"/>
  <c r="T198" i="5"/>
  <c r="T1396" i="5"/>
  <c r="T1175" i="5"/>
  <c r="T622" i="5"/>
  <c r="T1875" i="5"/>
  <c r="T1588" i="5"/>
  <c r="T2155" i="5"/>
  <c r="T492" i="5"/>
  <c r="T493" i="5"/>
  <c r="T1819" i="5"/>
  <c r="T1498" i="5"/>
  <c r="T1013" i="5"/>
  <c r="T1397" i="5"/>
  <c r="T2189" i="5"/>
  <c r="T1777" i="5"/>
  <c r="T2178" i="5"/>
  <c r="T623" i="5"/>
  <c r="T1105" i="5"/>
  <c r="T2203" i="5"/>
  <c r="T494" i="5"/>
  <c r="T1335" i="5"/>
  <c r="T1014" i="5"/>
  <c r="T1292" i="5"/>
  <c r="T1876" i="5"/>
  <c r="T1176" i="5"/>
  <c r="T1398" i="5"/>
  <c r="T1106" i="5"/>
  <c r="T935" i="5"/>
  <c r="T1629" i="5"/>
  <c r="T936" i="5"/>
  <c r="T937" i="5"/>
  <c r="T624" i="5"/>
  <c r="T789" i="5"/>
  <c r="T1967" i="5"/>
  <c r="T1457" i="5"/>
  <c r="T1458" i="5"/>
  <c r="T1680" i="5"/>
  <c r="T1734" i="5"/>
  <c r="T1778" i="5"/>
  <c r="T1779" i="5"/>
  <c r="T1780" i="5"/>
  <c r="T790" i="5"/>
  <c r="T231" i="5"/>
  <c r="T791" i="5"/>
  <c r="T856" i="5"/>
  <c r="T1925" i="5"/>
  <c r="T1926" i="5"/>
  <c r="T1552" i="5"/>
  <c r="T857" i="5"/>
  <c r="T398" i="5"/>
  <c r="T2210" i="5"/>
  <c r="T1399" i="5"/>
  <c r="T1877" i="5"/>
  <c r="T1735" i="5"/>
  <c r="T1177" i="5"/>
  <c r="T321" i="5"/>
  <c r="T1736" i="5"/>
  <c r="T713" i="5"/>
  <c r="T625" i="5"/>
  <c r="T626" i="5"/>
  <c r="T1293" i="5"/>
  <c r="T2216" i="5"/>
  <c r="T1681" i="5"/>
  <c r="T1737" i="5"/>
  <c r="T2061" i="5"/>
  <c r="T627" i="5"/>
  <c r="T2090" i="5"/>
  <c r="T1820" i="5"/>
  <c r="T1821" i="5"/>
  <c r="T1781" i="5"/>
  <c r="T2010" i="5"/>
  <c r="T495" i="5"/>
  <c r="T1015" i="5"/>
  <c r="T1016" i="5"/>
  <c r="T1107" i="5"/>
  <c r="T1235" i="5"/>
  <c r="T1927" i="5"/>
  <c r="T52" i="5"/>
  <c r="T1968" i="5"/>
  <c r="T1928" i="5"/>
  <c r="T938" i="5"/>
  <c r="T73" i="5"/>
  <c r="T1108" i="5"/>
  <c r="T199" i="5"/>
  <c r="T1589" i="5"/>
  <c r="T1590" i="5"/>
  <c r="T1499" i="5"/>
  <c r="T1400" i="5"/>
  <c r="T1459" i="5"/>
  <c r="T1969" i="5"/>
  <c r="T1460" i="5"/>
  <c r="T1822" i="5"/>
  <c r="T2190" i="5"/>
  <c r="T2191" i="5"/>
  <c r="T2011" i="5"/>
  <c r="T792" i="5"/>
  <c r="T1461" i="5"/>
  <c r="T1236" i="5"/>
  <c r="T1823" i="5"/>
  <c r="T1824" i="5"/>
  <c r="T1553" i="5"/>
  <c r="T496" i="5"/>
  <c r="T1237" i="5"/>
  <c r="T1238" i="5"/>
  <c r="T1239" i="5"/>
  <c r="T1336" i="5"/>
  <c r="T1337" i="5"/>
  <c r="T437" i="5"/>
  <c r="T497" i="5"/>
  <c r="T498" i="5"/>
  <c r="T1109" i="5"/>
  <c r="T1929" i="5"/>
  <c r="T858" i="5"/>
  <c r="T1462" i="5"/>
  <c r="T1630" i="5"/>
  <c r="T1631" i="5"/>
  <c r="T1591" i="5"/>
  <c r="T1592" i="5"/>
  <c r="T2204" i="5"/>
  <c r="T1294" i="5"/>
  <c r="T322" i="5"/>
  <c r="T24" i="5"/>
  <c r="T793" i="5"/>
  <c r="T794" i="5"/>
  <c r="T2091" i="5"/>
  <c r="T1682" i="5"/>
  <c r="T2012" i="5"/>
  <c r="T399" i="5"/>
  <c r="T1295" i="5"/>
  <c r="T1878" i="5"/>
  <c r="T1879" i="5"/>
  <c r="T1463" i="5"/>
  <c r="T1178" i="5"/>
  <c r="T163" i="5"/>
  <c r="T1683" i="5"/>
  <c r="T2205" i="5"/>
  <c r="T2128" i="5"/>
  <c r="T2129" i="5"/>
  <c r="T1930" i="5"/>
  <c r="T1931" i="5"/>
  <c r="T1632" i="5"/>
  <c r="T1633" i="5"/>
  <c r="T1179" i="5"/>
  <c r="T1401" i="5"/>
  <c r="T939" i="5"/>
  <c r="T1402" i="5"/>
  <c r="T1932" i="5"/>
  <c r="T1933" i="5"/>
  <c r="T1554" i="5"/>
  <c r="T1970" i="5"/>
  <c r="T1880" i="5"/>
  <c r="T1296" i="5"/>
  <c r="T1825" i="5"/>
  <c r="T438" i="5"/>
  <c r="T1110" i="5"/>
  <c r="T1111" i="5"/>
  <c r="T1684" i="5"/>
  <c r="T2013" i="5"/>
  <c r="T2014" i="5"/>
  <c r="T940" i="5"/>
  <c r="T1634" i="5"/>
  <c r="T1782" i="5"/>
  <c r="T1180" i="5"/>
  <c r="T2192" i="5"/>
  <c r="T628" i="5"/>
  <c r="T1826" i="5"/>
  <c r="T941" i="5"/>
  <c r="T2015" i="5"/>
  <c r="T566" i="5"/>
  <c r="T1593" i="5"/>
  <c r="T795" i="5"/>
  <c r="T714" i="5"/>
  <c r="T1112" i="5"/>
  <c r="T1464" i="5"/>
  <c r="T439" i="5"/>
  <c r="T440" i="5"/>
  <c r="T2016" i="5"/>
  <c r="T1465" i="5"/>
  <c r="T1594" i="5"/>
  <c r="T133" i="5"/>
  <c r="T1113" i="5"/>
  <c r="T1240" i="5"/>
  <c r="T41" i="5"/>
  <c r="T1403" i="5"/>
  <c r="T1404" i="5"/>
  <c r="T2156" i="5"/>
  <c r="T715" i="5"/>
  <c r="T323" i="5"/>
  <c r="T499" i="5"/>
  <c r="T1738" i="5"/>
  <c r="T1241" i="5"/>
  <c r="T1338" i="5"/>
  <c r="T1339" i="5"/>
  <c r="T1881" i="5"/>
  <c r="T1971" i="5"/>
  <c r="T1685" i="5"/>
  <c r="T1297" i="5"/>
  <c r="T1114" i="5"/>
  <c r="T1686" i="5"/>
  <c r="T1739" i="5"/>
  <c r="T629" i="5"/>
  <c r="T400" i="5"/>
  <c r="T2017" i="5"/>
  <c r="T716" i="5"/>
  <c r="T2092" i="5"/>
  <c r="T1466" i="5"/>
  <c r="T1340" i="5"/>
  <c r="T441" i="5"/>
  <c r="T1827" i="5"/>
  <c r="T2062" i="5"/>
  <c r="T232" i="5"/>
  <c r="T717" i="5"/>
  <c r="T1467" i="5"/>
  <c r="T1017" i="5"/>
  <c r="T718" i="5"/>
  <c r="T1595" i="5"/>
  <c r="T1596" i="5"/>
  <c r="T1018" i="5"/>
  <c r="T1019" i="5"/>
  <c r="T630" i="5"/>
  <c r="T442" i="5"/>
  <c r="T443" i="5"/>
  <c r="T859" i="5"/>
  <c r="T1828" i="5"/>
  <c r="T860" i="5"/>
  <c r="T2157" i="5"/>
  <c r="T500" i="5"/>
  <c r="T1405" i="5"/>
  <c r="T444" i="5"/>
  <c r="T796" i="5"/>
  <c r="T1934" i="5"/>
  <c r="T631" i="5"/>
  <c r="T942" i="5"/>
  <c r="T1882" i="5"/>
  <c r="T1115" i="5"/>
  <c r="T943" i="5"/>
  <c r="T1883" i="5"/>
  <c r="T632" i="5"/>
  <c r="T1406" i="5"/>
  <c r="T1407" i="5"/>
  <c r="T944" i="5"/>
  <c r="T567" i="5"/>
  <c r="T1408" i="5"/>
  <c r="T945" i="5"/>
  <c r="T719" i="5"/>
  <c r="T2093" i="5"/>
  <c r="T1555" i="5"/>
  <c r="T2063" i="5"/>
  <c r="T2064" i="5"/>
  <c r="T2018" i="5"/>
  <c r="T1972" i="5"/>
  <c r="T1468" i="5"/>
  <c r="T2094" i="5"/>
  <c r="T2095" i="5"/>
  <c r="T1556" i="5"/>
  <c r="T1298" i="5"/>
  <c r="T1597" i="5"/>
  <c r="T1935" i="5"/>
  <c r="T1299" i="5"/>
  <c r="T74" i="5"/>
  <c r="T1687" i="5"/>
  <c r="T861" i="5"/>
  <c r="T1181" i="5"/>
  <c r="T1829" i="5"/>
  <c r="T1116" i="5"/>
  <c r="T1409" i="5"/>
  <c r="T355" i="5"/>
  <c r="T1830" i="5"/>
  <c r="T1557" i="5"/>
  <c r="T1558" i="5"/>
  <c r="T2130" i="5"/>
  <c r="T633" i="5"/>
  <c r="T324" i="5"/>
  <c r="T1242" i="5"/>
  <c r="T1243" i="5"/>
  <c r="T1469" i="5"/>
  <c r="T797" i="5"/>
  <c r="T1884" i="5"/>
  <c r="T1559" i="5"/>
  <c r="T1635" i="5"/>
  <c r="T1973" i="5"/>
  <c r="T1020" i="5"/>
  <c r="T720" i="5"/>
  <c r="T721" i="5"/>
  <c r="T1470" i="5"/>
  <c r="T356" i="5"/>
  <c r="T1885" i="5"/>
  <c r="T2065" i="5"/>
  <c r="T1783" i="5"/>
  <c r="T1831" i="5"/>
  <c r="T1688" i="5"/>
  <c r="T1182" i="5"/>
  <c r="T445" i="5"/>
  <c r="T1560" i="5"/>
  <c r="T1886" i="5"/>
  <c r="T1689" i="5"/>
  <c r="T568" i="5"/>
  <c r="T325" i="5"/>
  <c r="T1410" i="5"/>
  <c r="T862" i="5"/>
  <c r="T501" i="5"/>
  <c r="T1341" i="5"/>
  <c r="T1936" i="5"/>
  <c r="T1183" i="5"/>
  <c r="T1342" i="5"/>
  <c r="T1117" i="5"/>
  <c r="T446" i="5"/>
  <c r="T2066" i="5"/>
  <c r="T2217" i="5"/>
  <c r="T1021" i="5"/>
  <c r="T722" i="5"/>
  <c r="T1937" i="5"/>
  <c r="T447" i="5"/>
  <c r="T2067" i="5"/>
  <c r="T1500" i="5"/>
  <c r="T2019" i="5"/>
  <c r="T1411" i="5"/>
  <c r="T1343" i="5"/>
  <c r="T1300" i="5"/>
  <c r="T946" i="5"/>
  <c r="T502" i="5"/>
  <c r="T1244" i="5"/>
  <c r="T863" i="5"/>
  <c r="T134" i="5"/>
  <c r="T1598" i="5"/>
  <c r="T947" i="5"/>
  <c r="T1599" i="5"/>
  <c r="T2096" i="5"/>
  <c r="T723" i="5"/>
  <c r="T357" i="5"/>
  <c r="T1412" i="5"/>
  <c r="T1413" i="5"/>
  <c r="T634" i="5"/>
  <c r="T358" i="5"/>
  <c r="T1022" i="5"/>
  <c r="T1184" i="5"/>
  <c r="T1185" i="5"/>
  <c r="T448" i="5"/>
  <c r="T948" i="5"/>
  <c r="T798" i="5"/>
  <c r="T569" i="5"/>
  <c r="T1301" i="5"/>
  <c r="T724" i="5"/>
  <c r="T2097" i="5"/>
  <c r="T2098" i="5"/>
  <c r="T1245" i="5"/>
  <c r="T359" i="5"/>
  <c r="T360" i="5"/>
  <c r="T1302" i="5"/>
  <c r="T1501" i="5"/>
  <c r="T725" i="5"/>
  <c r="T1186" i="5"/>
  <c r="T2158" i="5"/>
  <c r="T1246" i="5"/>
  <c r="T1561" i="5"/>
  <c r="T1974" i="5"/>
  <c r="T1975" i="5"/>
  <c r="T1562" i="5"/>
  <c r="T1414" i="5"/>
  <c r="T2211" i="5"/>
  <c r="T1247" i="5"/>
  <c r="T2020" i="5"/>
  <c r="T726" i="5"/>
  <c r="T570" i="5"/>
  <c r="T727" i="5"/>
  <c r="T1471" i="5"/>
  <c r="T1563" i="5"/>
  <c r="T1976" i="5"/>
  <c r="T1344" i="5"/>
  <c r="T1023" i="5"/>
  <c r="T2212" i="5"/>
  <c r="T864" i="5"/>
  <c r="T503" i="5"/>
  <c r="T1887" i="5"/>
  <c r="T2099" i="5"/>
  <c r="T233" i="5"/>
  <c r="T635" i="5"/>
  <c r="T636" i="5"/>
  <c r="T571" i="5"/>
  <c r="T200" i="5"/>
  <c r="T1832" i="5"/>
  <c r="T1118" i="5"/>
  <c r="T1784" i="5"/>
  <c r="T949" i="5"/>
  <c r="T1415" i="5"/>
  <c r="T1833" i="5"/>
  <c r="T1024" i="5"/>
  <c r="T1187" i="5"/>
  <c r="T1188" i="5"/>
  <c r="T1119" i="5"/>
  <c r="T865" i="5"/>
  <c r="T1834" i="5"/>
  <c r="T1690" i="5"/>
  <c r="T1600" i="5"/>
  <c r="T504" i="5"/>
  <c r="T572" i="5"/>
  <c r="T573" i="5"/>
  <c r="T1189" i="5"/>
  <c r="T1691" i="5"/>
  <c r="T728" i="5"/>
  <c r="T1564" i="5"/>
  <c r="T1025" i="5"/>
  <c r="T1026" i="5"/>
  <c r="T1835" i="5"/>
  <c r="T2131" i="5"/>
  <c r="T2021" i="5"/>
  <c r="T866" i="5"/>
  <c r="T1601" i="5"/>
  <c r="T1836" i="5"/>
  <c r="T1837" i="5"/>
  <c r="T2100" i="5"/>
  <c r="T1502" i="5"/>
  <c r="T361" i="5"/>
  <c r="T2132" i="5"/>
  <c r="T1977" i="5"/>
  <c r="T1838" i="5"/>
  <c r="T1839" i="5"/>
  <c r="T1785" i="5"/>
  <c r="T574" i="5"/>
  <c r="T867" i="5"/>
  <c r="T449" i="5"/>
  <c r="T1345" i="5"/>
  <c r="T1636" i="5"/>
  <c r="T1303" i="5"/>
  <c r="T1190" i="5"/>
  <c r="T505" i="5"/>
  <c r="T1120" i="5"/>
  <c r="T1191" i="5"/>
  <c r="T1416" i="5"/>
  <c r="T868" i="5"/>
  <c r="T1503" i="5"/>
  <c r="T637" i="5"/>
  <c r="T201" i="5"/>
  <c r="T1740" i="5"/>
  <c r="T1741" i="5"/>
  <c r="T1888" i="5"/>
  <c r="T638" i="5"/>
  <c r="T1417" i="5"/>
  <c r="T2068" i="5"/>
  <c r="T950" i="5"/>
  <c r="T2022" i="5"/>
  <c r="T1978" i="5"/>
  <c r="T1979" i="5"/>
  <c r="T1692" i="5"/>
  <c r="T1504" i="5"/>
  <c r="T1192" i="5"/>
  <c r="T799" i="5"/>
  <c r="T639" i="5"/>
  <c r="T2069" i="5"/>
  <c r="T729" i="5"/>
  <c r="T1786" i="5"/>
  <c r="T1840" i="5"/>
  <c r="T640" i="5"/>
  <c r="T730" i="5"/>
  <c r="T1121" i="5"/>
  <c r="T506" i="5"/>
  <c r="T1693" i="5"/>
  <c r="T1938" i="5"/>
  <c r="T1742" i="5"/>
  <c r="T800" i="5"/>
  <c r="T1841" i="5"/>
  <c r="T1027" i="5"/>
  <c r="T1939" i="5"/>
  <c r="T1694" i="5"/>
  <c r="T1787" i="5"/>
  <c r="T869" i="5"/>
  <c r="T1889" i="5"/>
  <c r="T731" i="5"/>
  <c r="T732" i="5"/>
  <c r="T1565" i="5"/>
  <c r="T1304" i="5"/>
  <c r="T1028" i="5"/>
  <c r="T507" i="5"/>
  <c r="T1193" i="5"/>
  <c r="T234" i="5"/>
  <c r="T1695" i="5"/>
  <c r="T1505" i="5"/>
  <c r="T1506" i="5"/>
  <c r="T2101" i="5"/>
  <c r="T508" i="5"/>
  <c r="T641" i="5"/>
  <c r="T2102" i="5"/>
  <c r="T1418" i="5"/>
  <c r="T1305" i="5"/>
  <c r="T870" i="5"/>
  <c r="T1472" i="5"/>
  <c r="T733" i="5"/>
  <c r="T1743" i="5"/>
  <c r="T951" i="5"/>
  <c r="T401" i="5"/>
  <c r="T1419" i="5"/>
  <c r="T1637" i="5"/>
  <c r="T642" i="5"/>
  <c r="T2133" i="5"/>
  <c r="T135" i="5"/>
  <c r="T2023" i="5"/>
  <c r="T2134" i="5"/>
  <c r="T1744" i="5"/>
  <c r="T1306" i="5"/>
  <c r="T1745" i="5"/>
  <c r="T1980" i="5"/>
  <c r="T1420" i="5"/>
  <c r="T42" i="5"/>
  <c r="T643" i="5"/>
  <c r="T644" i="5"/>
  <c r="T2159" i="5"/>
  <c r="T1248" i="5"/>
  <c r="T509" i="5"/>
  <c r="T53" i="5"/>
  <c r="T1566" i="5"/>
  <c r="T871" i="5"/>
  <c r="T2221" i="5"/>
  <c r="T1890" i="5"/>
  <c r="T362" i="5"/>
  <c r="T1194" i="5"/>
  <c r="T2193" i="5"/>
  <c r="T2194" i="5"/>
  <c r="T1842" i="5"/>
  <c r="T1843" i="5"/>
  <c r="T1844" i="5"/>
  <c r="T1845" i="5"/>
  <c r="T2024" i="5"/>
  <c r="T1567" i="5"/>
  <c r="T1891" i="5"/>
  <c r="T1746" i="5"/>
  <c r="T1981" i="5"/>
  <c r="T1696" i="5"/>
  <c r="T2103" i="5"/>
  <c r="T1249" i="5"/>
  <c r="T1638" i="5"/>
  <c r="T1639" i="5"/>
  <c r="T1640" i="5"/>
  <c r="T1747" i="5"/>
  <c r="T1940" i="5"/>
  <c r="T1122" i="5"/>
  <c r="T1507" i="5"/>
  <c r="T1788" i="5"/>
  <c r="T1846" i="5"/>
  <c r="T575" i="5"/>
  <c r="T952" i="5"/>
  <c r="T2025" i="5"/>
  <c r="T326" i="5"/>
  <c r="T645" i="5"/>
  <c r="T402" i="5"/>
  <c r="T276" i="5"/>
  <c r="T277" i="5"/>
  <c r="T1568" i="5"/>
  <c r="T1789" i="5"/>
  <c r="T1250" i="5"/>
  <c r="T1941" i="5"/>
  <c r="T1508" i="5"/>
  <c r="T1748" i="5"/>
  <c r="T2135" i="5"/>
  <c r="T2136" i="5"/>
  <c r="T953" i="5"/>
  <c r="T43" i="5"/>
  <c r="T646" i="5"/>
  <c r="T647" i="5"/>
  <c r="T1602" i="5"/>
  <c r="T801" i="5"/>
  <c r="T1892" i="5"/>
  <c r="T2026" i="5"/>
  <c r="T1346" i="5"/>
  <c r="T1347" i="5"/>
  <c r="T1749" i="5"/>
  <c r="T648" i="5"/>
  <c r="T734" i="5"/>
  <c r="T1029" i="5"/>
  <c r="T954" i="5"/>
  <c r="T1509" i="5"/>
  <c r="T1893" i="5"/>
  <c r="T2027" i="5"/>
  <c r="T2070" i="5"/>
  <c r="T1030" i="5"/>
  <c r="T649" i="5"/>
  <c r="T802" i="5"/>
  <c r="T2137" i="5"/>
  <c r="T1641" i="5"/>
  <c r="T1031" i="5"/>
  <c r="T1473" i="5"/>
  <c r="T872" i="5"/>
  <c r="T2071" i="5"/>
  <c r="T1251" i="5"/>
  <c r="T2218" i="5"/>
  <c r="T2219" i="5"/>
  <c r="T1474" i="5"/>
  <c r="T1510" i="5"/>
  <c r="T1511" i="5"/>
  <c r="T1642" i="5"/>
  <c r="T1348" i="5"/>
  <c r="T1512" i="5"/>
  <c r="T1982" i="5"/>
  <c r="T25" i="5"/>
  <c r="T2104" i="5"/>
  <c r="T1195" i="5"/>
  <c r="T1894" i="5"/>
  <c r="T1513" i="5"/>
  <c r="T2105" i="5"/>
  <c r="T1983" i="5"/>
  <c r="T450" i="5"/>
  <c r="T873" i="5"/>
  <c r="T874" i="5"/>
  <c r="T875" i="5"/>
  <c r="T1603" i="5"/>
  <c r="T1196" i="5"/>
  <c r="T1847" i="5"/>
  <c r="T1750" i="5"/>
  <c r="T803" i="5"/>
  <c r="T735" i="5"/>
  <c r="T2138" i="5"/>
  <c r="T2106" i="5"/>
  <c r="T1421" i="5"/>
  <c r="T2028" i="5"/>
  <c r="T1643" i="5"/>
  <c r="T804" i="5"/>
  <c r="T403" i="5"/>
  <c r="T1644" i="5"/>
  <c r="T1307" i="5"/>
  <c r="T736" i="5"/>
  <c r="T1790" i="5"/>
  <c r="T1984" i="5"/>
  <c r="T451" i="5"/>
  <c r="T737" i="5"/>
  <c r="T2139" i="5"/>
  <c r="T1349" i="5"/>
  <c r="T1645" i="5"/>
  <c r="T2072" i="5"/>
  <c r="T2073" i="5"/>
  <c r="T1791" i="5"/>
  <c r="T1569" i="5"/>
  <c r="T2029" i="5"/>
  <c r="T1032" i="5"/>
  <c r="T1422" i="5"/>
  <c r="T650" i="5"/>
  <c r="T510" i="5"/>
  <c r="T1423" i="5"/>
  <c r="T1848" i="5"/>
  <c r="T1849" i="5"/>
  <c r="T576" i="5"/>
  <c r="T136" i="5"/>
  <c r="T1475" i="5"/>
  <c r="T1308" i="5"/>
  <c r="T1424" i="5"/>
  <c r="T1425" i="5"/>
  <c r="T876" i="5"/>
  <c r="T1197" i="5"/>
  <c r="T1646" i="5"/>
  <c r="T738" i="5"/>
  <c r="T1514" i="5"/>
  <c r="T1942" i="5"/>
  <c r="T1350" i="5"/>
  <c r="T1751" i="5"/>
  <c r="T2160" i="5"/>
  <c r="T2161" i="5"/>
  <c r="T2030" i="5"/>
  <c r="T1752" i="5"/>
  <c r="T1604" i="5"/>
  <c r="T1033" i="5"/>
  <c r="T955" i="5"/>
  <c r="T956" i="5"/>
  <c r="T1895" i="5"/>
  <c r="T511" i="5"/>
  <c r="T805" i="5"/>
  <c r="T1943" i="5"/>
  <c r="T957" i="5"/>
  <c r="T651" i="5"/>
  <c r="T1985" i="5"/>
  <c r="T739" i="5"/>
  <c r="T75" i="5"/>
  <c r="T652" i="5"/>
  <c r="T1570" i="5"/>
  <c r="T740" i="5"/>
  <c r="T741" i="5"/>
  <c r="T742" i="5"/>
  <c r="T1850" i="5"/>
  <c r="T877" i="5"/>
  <c r="T1851" i="5"/>
  <c r="T958" i="5"/>
  <c r="T653" i="5"/>
  <c r="T1896" i="5"/>
  <c r="T1897" i="5"/>
  <c r="T806" i="5"/>
  <c r="T1476" i="5"/>
  <c r="T1605" i="5"/>
  <c r="T164" i="5"/>
  <c r="T1477" i="5"/>
  <c r="T1351" i="5"/>
  <c r="T807" i="5"/>
  <c r="T404" i="5"/>
  <c r="T808" i="5"/>
  <c r="T1478" i="5"/>
  <c r="T1479" i="5"/>
  <c r="T1944" i="5"/>
  <c r="T1252" i="5"/>
  <c r="T1034" i="5"/>
  <c r="T2162" i="5"/>
  <c r="T2206" i="5"/>
  <c r="T743" i="5"/>
  <c r="T809" i="5"/>
  <c r="T107" i="5"/>
  <c r="T327" i="5"/>
  <c r="T1571" i="5"/>
  <c r="T1753" i="5"/>
  <c r="T1515" i="5"/>
  <c r="T1426" i="5"/>
  <c r="T1427" i="5"/>
  <c r="T2163" i="5"/>
  <c r="T810" i="5"/>
  <c r="T452" i="5"/>
  <c r="T2213" i="5"/>
  <c r="T811" i="5"/>
  <c r="T812" i="5"/>
  <c r="T405" i="5"/>
  <c r="T363" i="5"/>
  <c r="T1309" i="5"/>
  <c r="T1697" i="5"/>
  <c r="T1123" i="5"/>
  <c r="T1352" i="5"/>
  <c r="T1353" i="5"/>
  <c r="T2074" i="5"/>
  <c r="T1035" i="5"/>
  <c r="T1198" i="5"/>
  <c r="T1945" i="5"/>
  <c r="T1354" i="5"/>
  <c r="T1647" i="5"/>
  <c r="T1124" i="5"/>
  <c r="T959" i="5"/>
  <c r="T1036" i="5"/>
  <c r="T1428" i="5"/>
  <c r="T813" i="5"/>
  <c r="T1253" i="5"/>
  <c r="T1429" i="5"/>
  <c r="T512" i="5"/>
  <c r="T960" i="5"/>
  <c r="T202" i="5"/>
  <c r="T744" i="5"/>
  <c r="T1430" i="5"/>
  <c r="T1125" i="5"/>
  <c r="T2031" i="5"/>
  <c r="T1126" i="5"/>
  <c r="T1792" i="5"/>
  <c r="T2195" i="5"/>
  <c r="T1199" i="5"/>
  <c r="T878" i="5"/>
  <c r="T406" i="5"/>
  <c r="T407" i="5"/>
  <c r="T1037" i="5"/>
  <c r="T328" i="5"/>
  <c r="T1254" i="5"/>
  <c r="T513" i="5"/>
  <c r="T2032" i="5"/>
  <c r="T278" i="5"/>
  <c r="T1200" i="5"/>
  <c r="T1201" i="5"/>
  <c r="T1355" i="5"/>
  <c r="T408" i="5"/>
  <c r="T1356" i="5"/>
  <c r="T2033" i="5"/>
  <c r="T1357" i="5"/>
  <c r="T814" i="5"/>
  <c r="T1038" i="5"/>
  <c r="T961" i="5"/>
  <c r="T577" i="5"/>
  <c r="T2075" i="5"/>
  <c r="T1202" i="5"/>
  <c r="T1793" i="5"/>
  <c r="T745" i="5"/>
  <c r="T879" i="5"/>
  <c r="T1127" i="5"/>
  <c r="T815" i="5"/>
  <c r="T578" i="5"/>
  <c r="T2107" i="5"/>
  <c r="T1039" i="5"/>
  <c r="T1572" i="5"/>
  <c r="T1040" i="5"/>
  <c r="T1203" i="5"/>
  <c r="T1431" i="5"/>
  <c r="T235" i="5"/>
  <c r="T514" i="5"/>
  <c r="T44" i="5"/>
  <c r="T26" i="5"/>
  <c r="T1310" i="5"/>
  <c r="T962" i="5"/>
  <c r="T1946" i="5"/>
  <c r="T1898" i="5"/>
  <c r="T1899" i="5"/>
  <c r="T1255" i="5"/>
  <c r="T816" i="5"/>
  <c r="T515" i="5"/>
  <c r="T1480" i="5"/>
  <c r="T1481" i="5"/>
  <c r="T654" i="5"/>
  <c r="T880" i="5"/>
  <c r="T881" i="5"/>
  <c r="T1041" i="5"/>
  <c r="T364" i="5"/>
  <c r="T963" i="5"/>
  <c r="T76" i="5"/>
  <c r="T165" i="5"/>
  <c r="T166" i="5"/>
  <c r="T817" i="5"/>
  <c r="T1754" i="5"/>
  <c r="T1698" i="5"/>
  <c r="T1204" i="5"/>
  <c r="T1794" i="5"/>
  <c r="T236" i="5"/>
  <c r="T2164" i="5"/>
  <c r="T1205" i="5"/>
  <c r="T365" i="5"/>
  <c r="T746" i="5"/>
  <c r="T329" i="5"/>
  <c r="T1042" i="5"/>
  <c r="T366" i="5"/>
  <c r="T579" i="5"/>
  <c r="T580" i="5"/>
  <c r="T516" i="5"/>
  <c r="T137" i="5"/>
  <c r="T138" i="5"/>
  <c r="T517" i="5"/>
  <c r="T367" i="5"/>
  <c r="T108" i="5"/>
  <c r="T409" i="5"/>
  <c r="T1900" i="5"/>
  <c r="T1256" i="5"/>
  <c r="T1482" i="5"/>
  <c r="T747" i="5"/>
  <c r="T964" i="5"/>
  <c r="T1483" i="5"/>
  <c r="T518" i="5"/>
  <c r="T1484" i="5"/>
  <c r="T203" i="5"/>
  <c r="T1986" i="5"/>
  <c r="T581" i="5"/>
  <c r="T1795" i="5"/>
  <c r="T167" i="5"/>
  <c r="T1257" i="5"/>
  <c r="T1258" i="5"/>
  <c r="T1648" i="5"/>
  <c r="T519" i="5"/>
  <c r="T2108" i="5"/>
  <c r="T582" i="5"/>
  <c r="T1259" i="5"/>
  <c r="T330" i="5"/>
  <c r="T1206" i="5"/>
  <c r="T139" i="5"/>
  <c r="T520" i="5"/>
  <c r="T1516" i="5"/>
  <c r="T2034" i="5"/>
  <c r="T1043" i="5"/>
  <c r="T1485" i="5"/>
  <c r="T748" i="5"/>
  <c r="T655" i="5"/>
  <c r="T1432" i="5"/>
  <c r="T1796" i="5"/>
  <c r="T1260" i="5"/>
  <c r="T2076" i="5"/>
  <c r="T2077" i="5"/>
  <c r="T453" i="5"/>
  <c r="T1433" i="5"/>
  <c r="T1207" i="5"/>
  <c r="T1208" i="5"/>
  <c r="T1128" i="5"/>
  <c r="T1261" i="5"/>
  <c r="T331" i="5"/>
  <c r="T1987" i="5"/>
  <c r="T1797" i="5"/>
  <c r="T2035" i="5"/>
  <c r="T818" i="5"/>
  <c r="T965" i="5"/>
  <c r="T966" i="5"/>
  <c r="T1311" i="5"/>
  <c r="T583" i="5"/>
  <c r="T749" i="5"/>
  <c r="T368" i="5"/>
  <c r="T204" i="5"/>
  <c r="T237" i="5"/>
  <c r="T2036" i="5"/>
  <c r="T819" i="5"/>
  <c r="T820" i="5"/>
  <c r="T279" i="5"/>
  <c r="T280" i="5"/>
  <c r="T281" i="5"/>
  <c r="T1947" i="5"/>
  <c r="T1948" i="5"/>
  <c r="T1209" i="5"/>
  <c r="T1044" i="5"/>
  <c r="T584" i="5"/>
  <c r="T2078" i="5"/>
  <c r="T1045" i="5"/>
  <c r="T109" i="5"/>
  <c r="T1988" i="5"/>
  <c r="T238" i="5"/>
  <c r="T369" i="5"/>
  <c r="T332" i="5"/>
  <c r="T1573" i="5"/>
  <c r="T1517" i="5"/>
  <c r="T282" i="5"/>
  <c r="T882" i="5"/>
  <c r="T656" i="5"/>
  <c r="T1649" i="5"/>
  <c r="T821" i="5"/>
  <c r="T168" i="5"/>
  <c r="T283" i="5"/>
  <c r="T1949" i="5"/>
  <c r="T1950" i="5"/>
  <c r="T967" i="5"/>
  <c r="T883" i="5"/>
  <c r="T1901" i="5"/>
  <c r="T1902" i="5"/>
  <c r="T968" i="5"/>
  <c r="T110" i="5"/>
  <c r="T1129" i="5"/>
  <c r="T1699" i="5"/>
  <c r="T2140" i="5"/>
  <c r="T969" i="5"/>
  <c r="T1755" i="5"/>
  <c r="T1903" i="5"/>
  <c r="T521" i="5"/>
  <c r="T77" i="5"/>
  <c r="T239" i="5"/>
  <c r="T522" i="5"/>
  <c r="T1518" i="5"/>
  <c r="T1519" i="5"/>
  <c r="T523" i="5"/>
  <c r="T1046" i="5"/>
  <c r="T970" i="5"/>
  <c r="T971" i="5"/>
  <c r="T884" i="5"/>
  <c r="T524" i="5"/>
  <c r="T370" i="5"/>
  <c r="T333" i="5"/>
  <c r="T169" i="5"/>
  <c r="T1904" i="5"/>
  <c r="T1905" i="5"/>
  <c r="T1262" i="5"/>
  <c r="T525" i="5"/>
  <c r="T822" i="5"/>
  <c r="T1210" i="5"/>
  <c r="T1211" i="5"/>
  <c r="T78" i="5"/>
  <c r="T1700" i="5"/>
  <c r="T1263" i="5"/>
  <c r="T1047" i="5"/>
  <c r="T1650" i="5"/>
  <c r="T1130" i="5"/>
  <c r="T170" i="5"/>
  <c r="T1048" i="5"/>
  <c r="T1358" i="5"/>
  <c r="T240" i="5"/>
  <c r="T526" i="5"/>
  <c r="T1131" i="5"/>
  <c r="T2109" i="5"/>
  <c r="T885" i="5"/>
  <c r="T205" i="5"/>
  <c r="T1574" i="5"/>
  <c r="T972" i="5"/>
  <c r="T585" i="5"/>
  <c r="T2196" i="5"/>
  <c r="T2197" i="5"/>
  <c r="T973" i="5"/>
  <c r="T1359" i="5"/>
  <c r="T1360" i="5"/>
  <c r="T527" i="5"/>
  <c r="T528" i="5"/>
  <c r="T1989" i="5"/>
  <c r="T657" i="5"/>
  <c r="T658" i="5"/>
  <c r="T1798" i="5"/>
  <c r="T659" i="5"/>
  <c r="T410" i="5"/>
  <c r="T886" i="5"/>
  <c r="T887" i="5"/>
  <c r="T660" i="5"/>
  <c r="T750" i="5"/>
  <c r="T1756" i="5"/>
  <c r="T284" i="5"/>
  <c r="T751" i="5"/>
  <c r="T752" i="5"/>
  <c r="T1906" i="5"/>
  <c r="T241" i="5"/>
  <c r="T79" i="5"/>
  <c r="T1049" i="5"/>
  <c r="T1050" i="5"/>
  <c r="T823" i="5"/>
  <c r="T753" i="5"/>
  <c r="T1361" i="5"/>
  <c r="T1362" i="5"/>
  <c r="T1312" i="5"/>
  <c r="T334" i="5"/>
  <c r="T1264" i="5"/>
  <c r="T529" i="5"/>
  <c r="T371" i="5"/>
  <c r="T1990" i="5"/>
  <c r="T1313" i="5"/>
  <c r="T1951" i="5"/>
  <c r="T1907" i="5"/>
  <c r="T1434" i="5"/>
  <c r="T1799" i="5"/>
  <c r="T1952" i="5"/>
  <c r="T411" i="5"/>
  <c r="T285" i="5"/>
  <c r="T454" i="5"/>
  <c r="T1265" i="5"/>
  <c r="T1520" i="5"/>
  <c r="T1701" i="5"/>
  <c r="T1051" i="5"/>
  <c r="T754" i="5"/>
  <c r="T1953" i="5"/>
  <c r="T755" i="5"/>
  <c r="T530" i="5"/>
  <c r="T1606" i="5"/>
  <c r="T2141" i="5"/>
  <c r="T1435" i="5"/>
  <c r="T661" i="5"/>
  <c r="T662" i="5"/>
  <c r="T586" i="5"/>
  <c r="T286" i="5"/>
  <c r="T1052" i="5"/>
  <c r="T206" i="5"/>
  <c r="T372" i="5"/>
  <c r="T1132" i="5"/>
  <c r="T1954" i="5"/>
  <c r="T242" i="5"/>
  <c r="T287" i="5"/>
  <c r="T1266" i="5"/>
  <c r="T373" i="5"/>
  <c r="T974" i="5"/>
  <c r="T2142" i="5"/>
  <c r="T1212" i="5"/>
  <c r="T1267" i="5"/>
  <c r="T288" i="5"/>
  <c r="T888" i="5"/>
  <c r="T889" i="5"/>
  <c r="T890" i="5"/>
  <c r="T891" i="5"/>
  <c r="T756" i="5"/>
  <c r="T1436" i="5"/>
  <c r="T1437" i="5"/>
  <c r="T587" i="5"/>
  <c r="T1053" i="5"/>
  <c r="T54" i="5"/>
  <c r="T2037" i="5"/>
  <c r="T1702" i="5"/>
  <c r="T892" i="5"/>
  <c r="T893" i="5"/>
  <c r="T243" i="5"/>
  <c r="T1133" i="5"/>
  <c r="T975" i="5"/>
  <c r="T531" i="5"/>
  <c r="T374" i="5"/>
  <c r="T1314" i="5"/>
  <c r="T2143" i="5"/>
  <c r="T111" i="5"/>
  <c r="T1852" i="5"/>
  <c r="T1268" i="5"/>
  <c r="T1757" i="5"/>
  <c r="T244" i="5"/>
  <c r="T245" i="5"/>
  <c r="T1054" i="5"/>
  <c r="T1055" i="5"/>
  <c r="T757" i="5"/>
  <c r="T412" i="5"/>
  <c r="T894" i="5"/>
  <c r="T1853" i="5"/>
  <c r="T27" i="5"/>
  <c r="T28" i="5"/>
  <c r="T1269" i="5"/>
  <c r="T895" i="5"/>
  <c r="T2079" i="5"/>
  <c r="T10" i="5"/>
  <c r="T11" i="5"/>
  <c r="T246" i="5"/>
  <c r="T171" i="5"/>
  <c r="T1363" i="5"/>
  <c r="T1854" i="5"/>
  <c r="T1056" i="5"/>
  <c r="T1057" i="5"/>
  <c r="T824" i="5"/>
  <c r="T825" i="5"/>
  <c r="T1991" i="5"/>
  <c r="T976" i="5"/>
  <c r="T1703" i="5"/>
  <c r="T663" i="5"/>
  <c r="T588" i="5"/>
  <c r="T2165" i="5"/>
  <c r="T375" i="5"/>
  <c r="T826" i="5"/>
  <c r="T827" i="5"/>
  <c r="T55" i="5"/>
  <c r="T589" i="5"/>
  <c r="T1521" i="5"/>
  <c r="T455" i="5"/>
  <c r="T172" i="5"/>
  <c r="T1704" i="5"/>
  <c r="T1438" i="5"/>
  <c r="T1522" i="5"/>
  <c r="T758" i="5"/>
  <c r="T112" i="5"/>
  <c r="T113" i="5"/>
  <c r="T1058" i="5"/>
  <c r="T2038" i="5"/>
  <c r="T1270" i="5"/>
  <c r="T532" i="5"/>
  <c r="T2110" i="5"/>
  <c r="T2111" i="5"/>
  <c r="T80" i="5"/>
  <c r="T81" i="5"/>
  <c r="T1134" i="5"/>
  <c r="T759" i="5"/>
  <c r="T207" i="5"/>
  <c r="T1705" i="5"/>
  <c r="T1135" i="5"/>
  <c r="T1523" i="5"/>
  <c r="T977" i="5"/>
  <c r="T828" i="5"/>
  <c r="T1364" i="5"/>
  <c r="T1213" i="5"/>
  <c r="T289" i="5"/>
  <c r="T1365" i="5"/>
  <c r="T1524" i="5"/>
  <c r="T896" i="5"/>
  <c r="T456" i="5"/>
  <c r="T1439" i="5"/>
  <c r="T208" i="5"/>
  <c r="T2039" i="5"/>
  <c r="T1758" i="5"/>
  <c r="T1575" i="5"/>
  <c r="T2040" i="5"/>
  <c r="T1525" i="5"/>
  <c r="T1059" i="5"/>
  <c r="T1060" i="5"/>
  <c r="T1366" i="5"/>
  <c r="T760" i="5"/>
  <c r="T761" i="5"/>
  <c r="T173" i="5"/>
  <c r="T413" i="5"/>
  <c r="T762" i="5"/>
  <c r="T664" i="5"/>
  <c r="T590" i="5"/>
  <c r="T1440" i="5"/>
  <c r="T1706" i="5"/>
  <c r="T533" i="5"/>
  <c r="T534" i="5"/>
  <c r="T591" i="5"/>
  <c r="T1061" i="5"/>
  <c r="T1062" i="5"/>
  <c r="T1271" i="5"/>
  <c r="T174" i="5"/>
  <c r="T2080" i="5"/>
  <c r="T457" i="5"/>
  <c r="T1441" i="5"/>
  <c r="T897" i="5"/>
  <c r="T1526" i="5"/>
  <c r="T1607" i="5"/>
  <c r="T1315" i="5"/>
  <c r="T1316" i="5"/>
  <c r="T247" i="5"/>
  <c r="T335" i="5"/>
  <c r="T1136" i="5"/>
  <c r="T898" i="5"/>
  <c r="T829" i="5"/>
  <c r="T1651" i="5"/>
  <c r="T1759" i="5"/>
  <c r="T290" i="5"/>
  <c r="T1955" i="5"/>
  <c r="T1063" i="5"/>
  <c r="T82" i="5"/>
  <c r="T978" i="5"/>
  <c r="T1137" i="5"/>
  <c r="T592" i="5"/>
  <c r="T665" i="5"/>
  <c r="T414" i="5"/>
  <c r="T899" i="5"/>
  <c r="T291" i="5"/>
  <c r="T248" i="5"/>
  <c r="T1486" i="5"/>
  <c r="T1064" i="5"/>
  <c r="T535" i="5"/>
  <c r="T666" i="5"/>
  <c r="T458" i="5"/>
  <c r="T979" i="5"/>
  <c r="T830" i="5"/>
  <c r="T415" i="5"/>
  <c r="T1576" i="5"/>
  <c r="T1577" i="5"/>
  <c r="T1652" i="5"/>
  <c r="T1855" i="5"/>
  <c r="T249" i="5"/>
  <c r="T593" i="5"/>
  <c r="T594" i="5"/>
  <c r="T900" i="5"/>
  <c r="T901" i="5"/>
  <c r="T763" i="5"/>
  <c r="T209" i="5"/>
  <c r="T376" i="5"/>
  <c r="T459" i="5"/>
  <c r="T595" i="5"/>
  <c r="T667" i="5"/>
  <c r="T668" i="5"/>
  <c r="T1527" i="5"/>
  <c r="T831" i="5"/>
  <c r="T1367" i="5"/>
  <c r="T2081" i="5"/>
  <c r="T416" i="5"/>
  <c r="T1214" i="5"/>
  <c r="T764" i="5"/>
  <c r="T669" i="5"/>
  <c r="T1317" i="5"/>
  <c r="T417" i="5"/>
  <c r="T980" i="5"/>
  <c r="T832" i="5"/>
  <c r="T1442" i="5"/>
  <c r="T670" i="5"/>
  <c r="T671" i="5"/>
  <c r="T460" i="5"/>
  <c r="T1065" i="5"/>
  <c r="T1760" i="5"/>
  <c r="T1653" i="5"/>
  <c r="T1654" i="5"/>
  <c r="T250" i="5"/>
  <c r="T981" i="5"/>
  <c r="T1215" i="5"/>
  <c r="T140" i="5"/>
  <c r="T1066" i="5"/>
  <c r="T1067" i="5"/>
  <c r="T596" i="5"/>
  <c r="T833" i="5"/>
  <c r="T834" i="5"/>
  <c r="T210" i="5"/>
  <c r="T83" i="5"/>
  <c r="T84" i="5"/>
  <c r="T982" i="5"/>
  <c r="T536" i="5"/>
  <c r="T292" i="5"/>
  <c r="T293" i="5"/>
  <c r="T56" i="5"/>
  <c r="T1608" i="5"/>
  <c r="T983" i="5"/>
  <c r="T1138" i="5"/>
  <c r="T175" i="5"/>
  <c r="T211" i="5"/>
  <c r="T1068" i="5"/>
  <c r="T984" i="5"/>
  <c r="T212" i="5"/>
  <c r="T213" i="5"/>
  <c r="T1069" i="5"/>
  <c r="T1443" i="5"/>
  <c r="T1444" i="5"/>
  <c r="T114" i="5"/>
  <c r="T1139" i="5"/>
  <c r="T1272" i="5"/>
  <c r="T672" i="5"/>
  <c r="T1655" i="5"/>
  <c r="T1368" i="5"/>
  <c r="T1656" i="5"/>
  <c r="T2082" i="5"/>
  <c r="T141" i="5"/>
  <c r="T1273" i="5"/>
  <c r="T214" i="5"/>
  <c r="T377" i="5"/>
  <c r="T597" i="5"/>
  <c r="T1856" i="5"/>
  <c r="T598" i="5"/>
  <c r="T1369" i="5"/>
  <c r="T336" i="5"/>
  <c r="T85" i="5"/>
  <c r="T86" i="5"/>
  <c r="T537" i="5"/>
  <c r="T538" i="5"/>
  <c r="T337" i="5"/>
  <c r="T1657" i="5"/>
  <c r="T378" i="5"/>
  <c r="T2041" i="5"/>
  <c r="T539" i="5"/>
  <c r="T835" i="5"/>
  <c r="T294" i="5"/>
  <c r="T295" i="5"/>
  <c r="T1318" i="5"/>
  <c r="T2179" i="5"/>
  <c r="T296" i="5"/>
  <c r="T2042" i="5"/>
  <c r="T2112" i="5"/>
  <c r="T1609" i="5"/>
  <c r="T1610" i="5"/>
  <c r="T1140" i="5"/>
  <c r="T1761" i="5"/>
  <c r="T176" i="5"/>
  <c r="T418" i="5"/>
  <c r="T1319" i="5"/>
  <c r="T115" i="5"/>
  <c r="T461" i="5"/>
  <c r="T599" i="5"/>
  <c r="T902" i="5"/>
  <c r="T379" i="5"/>
  <c r="T540" i="5"/>
  <c r="T338" i="5"/>
  <c r="T765" i="5"/>
  <c r="T2180" i="5"/>
  <c r="T2083" i="5"/>
  <c r="T1956" i="5"/>
  <c r="T251" i="5"/>
  <c r="T462" i="5"/>
  <c r="T1141" i="5"/>
  <c r="T1578" i="5"/>
  <c r="T1611" i="5"/>
  <c r="T985" i="5"/>
  <c r="T2113" i="5"/>
  <c r="T903" i="5"/>
  <c r="T177" i="5"/>
  <c r="T904" i="5"/>
  <c r="T1612" i="5"/>
  <c r="T297" i="5"/>
  <c r="T298" i="5"/>
  <c r="T1274" i="5"/>
  <c r="T1370" i="5"/>
  <c r="T2084" i="5"/>
  <c r="T1070" i="5"/>
  <c r="T673" i="5"/>
  <c r="T674" i="5"/>
  <c r="T1707" i="5"/>
  <c r="T1216" i="5"/>
  <c r="T380" i="5"/>
  <c r="T45" i="5"/>
  <c r="T1071" i="5"/>
  <c r="T178" i="5"/>
  <c r="T986" i="5"/>
  <c r="T836" i="5"/>
  <c r="T252" i="5"/>
  <c r="T1320" i="5"/>
  <c r="T179" i="5"/>
  <c r="T2144" i="5"/>
  <c r="T1762" i="5"/>
  <c r="T1763" i="5"/>
  <c r="T541" i="5"/>
  <c r="T675" i="5"/>
  <c r="T1217" i="5"/>
  <c r="T987" i="5"/>
  <c r="T905" i="5"/>
  <c r="T542" i="5"/>
  <c r="T1857" i="5"/>
  <c r="T57" i="5"/>
  <c r="T1800" i="5"/>
  <c r="T1801" i="5"/>
  <c r="T837" i="5"/>
  <c r="T419" i="5"/>
  <c r="T1142" i="5"/>
  <c r="T1321" i="5"/>
  <c r="T543" i="5"/>
  <c r="T1072" i="5"/>
  <c r="T544" i="5"/>
  <c r="T1073" i="5"/>
  <c r="T253" i="5"/>
  <c r="T142" i="5"/>
  <c r="T838" i="5"/>
  <c r="T839" i="5"/>
  <c r="T87" i="5"/>
  <c r="T906" i="5"/>
  <c r="T2181" i="5"/>
  <c r="T600" i="5"/>
  <c r="T1218" i="5"/>
  <c r="T1219" i="5"/>
  <c r="T299" i="5"/>
  <c r="T180" i="5"/>
  <c r="T988" i="5"/>
  <c r="T676" i="5"/>
  <c r="T420" i="5"/>
  <c r="T116" i="5"/>
  <c r="T989" i="5"/>
  <c r="T545" i="5"/>
  <c r="T546" i="5"/>
  <c r="T990" i="5"/>
  <c r="T339" i="5"/>
  <c r="T58" i="5"/>
  <c r="T117" i="5"/>
  <c r="T907" i="5"/>
  <c r="T463" i="5"/>
  <c r="T464" i="5"/>
  <c r="T254" i="5"/>
  <c r="T381" i="5"/>
  <c r="T991" i="5"/>
  <c r="T465" i="5"/>
  <c r="T340" i="5"/>
  <c r="T382" i="5"/>
  <c r="T59" i="5"/>
  <c r="T1708" i="5"/>
  <c r="T1143" i="5"/>
  <c r="T1144" i="5"/>
  <c r="T300" i="5"/>
  <c r="T677" i="5"/>
  <c r="T255" i="5"/>
  <c r="T766" i="5"/>
  <c r="T1220" i="5"/>
  <c r="T143" i="5"/>
  <c r="T601" i="5"/>
  <c r="T1275" i="5"/>
  <c r="T466" i="5"/>
  <c r="T678" i="5"/>
  <c r="T341" i="5"/>
  <c r="T1145" i="5"/>
  <c r="T342" i="5"/>
  <c r="T908" i="5"/>
  <c r="T1802" i="5"/>
  <c r="T301" i="5"/>
  <c r="T1445" i="5"/>
  <c r="T1446" i="5"/>
  <c r="T181" i="5"/>
  <c r="T144" i="5"/>
  <c r="T118" i="5"/>
  <c r="T119" i="5"/>
  <c r="T1709" i="5"/>
  <c r="T1992" i="5"/>
  <c r="T1221" i="5"/>
  <c r="T256" i="5"/>
  <c r="T1146" i="5"/>
  <c r="T215" i="5"/>
  <c r="T1528" i="5"/>
  <c r="T1147" i="5"/>
  <c r="T383" i="5"/>
  <c r="T1074" i="5"/>
  <c r="T1075" i="5"/>
  <c r="T547" i="5"/>
  <c r="T548" i="5"/>
  <c r="T602" i="5"/>
  <c r="T909" i="5"/>
  <c r="T767" i="5"/>
  <c r="T1371" i="5"/>
  <c r="T1372" i="5"/>
  <c r="T1148" i="5"/>
  <c r="T1322" i="5"/>
  <c r="T1323" i="5"/>
  <c r="T1908" i="5"/>
  <c r="T182" i="5"/>
  <c r="T1957" i="5"/>
  <c r="T343" i="5"/>
  <c r="T145" i="5"/>
  <c r="T1529" i="5"/>
  <c r="T1530" i="5"/>
  <c r="T1222" i="5"/>
  <c r="T216" i="5"/>
  <c r="T1858" i="5"/>
  <c r="T768" i="5"/>
  <c r="T2085" i="5"/>
  <c r="T769" i="5"/>
  <c r="T302" i="5"/>
  <c r="T1658" i="5"/>
  <c r="T603" i="5"/>
  <c r="T1149" i="5"/>
  <c r="T992" i="5"/>
  <c r="T303" i="5"/>
  <c r="T1803" i="5"/>
  <c r="T1804" i="5"/>
  <c r="T183" i="5"/>
  <c r="T1223" i="5"/>
  <c r="T184" i="5"/>
  <c r="T185" i="5"/>
  <c r="T304" i="5"/>
  <c r="T679" i="5"/>
  <c r="T467" i="5"/>
  <c r="T88" i="5"/>
  <c r="T993" i="5"/>
  <c r="T217" i="5"/>
  <c r="T549" i="5"/>
  <c r="T840" i="5"/>
  <c r="T146" i="5"/>
  <c r="T344" i="5"/>
  <c r="T680" i="5"/>
  <c r="T604" i="5"/>
  <c r="T910" i="5"/>
  <c r="T1150" i="5"/>
  <c r="T1151" i="5"/>
  <c r="T218" i="5"/>
  <c r="T120" i="5"/>
  <c r="T186" i="5"/>
  <c r="T911" i="5"/>
  <c r="T187" i="5"/>
  <c r="T188" i="5"/>
  <c r="T468" i="5"/>
  <c r="T46" i="5"/>
  <c r="T681" i="5"/>
  <c r="T682" i="5"/>
  <c r="T841" i="5"/>
  <c r="T842" i="5"/>
  <c r="T219" i="5"/>
  <c r="T220" i="5"/>
  <c r="T770" i="5"/>
  <c r="T1659" i="5"/>
  <c r="T1152" i="5"/>
  <c r="T1276" i="5"/>
  <c r="T1277" i="5"/>
  <c r="T221" i="5"/>
  <c r="T189" i="5"/>
  <c r="T345" i="5"/>
  <c r="T384" i="5"/>
  <c r="T385" i="5"/>
  <c r="T843" i="5"/>
  <c r="T1278" i="5"/>
  <c r="T421" i="5"/>
  <c r="T257" i="5"/>
  <c r="T912" i="5"/>
  <c r="T60" i="5"/>
  <c r="T61" i="5"/>
  <c r="T62" i="5"/>
  <c r="T258" i="5"/>
  <c r="T1076" i="5"/>
  <c r="T29" i="5"/>
  <c r="T1487" i="5"/>
  <c r="T1488" i="5"/>
  <c r="T1710" i="5"/>
  <c r="T1711" i="5"/>
  <c r="T1712" i="5"/>
  <c r="T1224" i="5"/>
  <c r="T346" i="5"/>
  <c r="T844" i="5"/>
  <c r="T89" i="5"/>
  <c r="T63" i="5"/>
  <c r="T147" i="5"/>
  <c r="T64" i="5"/>
  <c r="T222" i="5"/>
  <c r="T2198" i="5"/>
  <c r="T469" i="5"/>
  <c r="T683" i="5"/>
  <c r="T90" i="5"/>
  <c r="T771" i="5"/>
  <c r="T550" i="5"/>
  <c r="T148" i="5"/>
  <c r="T30" i="5"/>
  <c r="T684" i="5"/>
  <c r="T1660" i="5"/>
  <c r="T1661" i="5"/>
  <c r="T551" i="5"/>
  <c r="T772" i="5"/>
  <c r="T685" i="5"/>
  <c r="T1613" i="5"/>
  <c r="T2114" i="5"/>
  <c r="T470" i="5"/>
  <c r="T1077" i="5"/>
  <c r="T223" i="5"/>
  <c r="T552" i="5"/>
  <c r="T259" i="5"/>
  <c r="T260" i="5"/>
  <c r="T121" i="5"/>
  <c r="T65" i="5"/>
  <c r="T471" i="5"/>
  <c r="T422" i="5"/>
  <c r="T472" i="5"/>
  <c r="T1859" i="5"/>
  <c r="T122" i="5"/>
  <c r="T261" i="5"/>
  <c r="T1153" i="5"/>
  <c r="T1154" i="5"/>
  <c r="T473" i="5"/>
  <c r="T474" i="5"/>
  <c r="T31" i="5"/>
  <c r="T423" i="5"/>
  <c r="T1764" i="5"/>
  <c r="T149" i="5"/>
  <c r="T2086" i="5"/>
  <c r="T1531" i="5"/>
  <c r="T190" i="5"/>
  <c r="T686" i="5"/>
  <c r="T262" i="5"/>
  <c r="T1860" i="5"/>
  <c r="T424" i="5"/>
  <c r="T5" i="5"/>
  <c r="T994" i="5"/>
  <c r="T1225" i="5"/>
  <c r="T123" i="5"/>
  <c r="T1662" i="5"/>
  <c r="T687" i="5"/>
  <c r="T475" i="5"/>
  <c r="T1155" i="5"/>
  <c r="T2043" i="5"/>
  <c r="T688" i="5"/>
  <c r="T553" i="5"/>
  <c r="T773" i="5"/>
  <c r="T263" i="5"/>
  <c r="T91" i="5"/>
  <c r="T92" i="5"/>
  <c r="T93" i="5"/>
  <c r="T1078" i="5"/>
  <c r="T913" i="5"/>
  <c r="T689" i="5"/>
  <c r="T94" i="5"/>
  <c r="T191" i="5"/>
  <c r="T2044" i="5"/>
  <c r="T47" i="5"/>
  <c r="T914" i="5"/>
  <c r="T774" i="5"/>
  <c r="T690" i="5"/>
  <c r="T691" i="5"/>
  <c r="T554" i="5"/>
  <c r="T476" i="5"/>
  <c r="T477" i="5"/>
  <c r="T224" i="5"/>
  <c r="T192" i="5"/>
  <c r="T150" i="5"/>
  <c r="T32" i="5"/>
  <c r="T6" i="5"/>
  <c r="T1373" i="5"/>
  <c r="T1805" i="5"/>
  <c r="T347" i="5"/>
  <c r="T2115" i="5"/>
  <c r="T692" i="5"/>
  <c r="T1447" i="5"/>
  <c r="T1226" i="5"/>
  <c r="T1532" i="5"/>
  <c r="T915" i="5"/>
  <c r="T478" i="5"/>
  <c r="T1079" i="5"/>
  <c r="S2199" i="5"/>
  <c r="S1080" i="5"/>
  <c r="S775" i="5"/>
  <c r="S555" i="5"/>
  <c r="S264" i="5"/>
  <c r="S1614" i="5"/>
  <c r="S1615" i="5"/>
  <c r="S556" i="5"/>
  <c r="S48" i="5"/>
  <c r="S386" i="5"/>
  <c r="S12" i="5"/>
  <c r="S124" i="5"/>
  <c r="S1157" i="5"/>
  <c r="S2045" i="5"/>
  <c r="S1713" i="5"/>
  <c r="S1958" i="5"/>
  <c r="S1959" i="5"/>
  <c r="S1081" i="5"/>
  <c r="S1909" i="5"/>
  <c r="S2220" i="5"/>
  <c r="S845" i="5"/>
  <c r="S151" i="5"/>
  <c r="S20" i="5"/>
  <c r="S1616" i="5"/>
  <c r="S193" i="5"/>
  <c r="S265" i="5"/>
  <c r="S2145" i="5"/>
  <c r="S693" i="5"/>
  <c r="S152" i="5"/>
  <c r="S2166" i="5"/>
  <c r="S995" i="5"/>
  <c r="S1806" i="5"/>
  <c r="S49" i="5"/>
  <c r="S348" i="5"/>
  <c r="S1910" i="5"/>
  <c r="S2146" i="5"/>
  <c r="S1082" i="5"/>
  <c r="S266" i="5"/>
  <c r="S33" i="5"/>
  <c r="S34" i="5"/>
  <c r="S1807" i="5"/>
  <c r="S425" i="5"/>
  <c r="S35" i="5"/>
  <c r="S95" i="5"/>
  <c r="S1808" i="5"/>
  <c r="S225" i="5"/>
  <c r="S36" i="5"/>
  <c r="S846" i="5"/>
  <c r="S267" i="5"/>
  <c r="S1324" i="5"/>
  <c r="S1663" i="5"/>
  <c r="S1617" i="5"/>
  <c r="S66" i="5"/>
  <c r="S1579" i="5"/>
  <c r="S349" i="5"/>
  <c r="S426" i="5"/>
  <c r="S479" i="5"/>
  <c r="S1664" i="5"/>
  <c r="S1665" i="5"/>
  <c r="S96" i="5"/>
  <c r="S1618" i="5"/>
  <c r="S1666" i="5"/>
  <c r="S268" i="5"/>
  <c r="S350" i="5"/>
  <c r="S21" i="5"/>
  <c r="S996" i="5"/>
  <c r="S916" i="5"/>
  <c r="S917" i="5"/>
  <c r="S694" i="5"/>
  <c r="S1911" i="5"/>
  <c r="S2046" i="5"/>
  <c r="S269" i="5"/>
  <c r="S1580" i="5"/>
  <c r="S1809" i="5"/>
  <c r="S1325" i="5"/>
  <c r="S1534" i="5"/>
  <c r="S37" i="5"/>
  <c r="S847" i="5"/>
  <c r="S480" i="5"/>
  <c r="S67" i="5"/>
  <c r="S1535" i="5"/>
  <c r="S1536" i="5"/>
  <c r="S427" i="5"/>
  <c r="S1912" i="5"/>
  <c r="S1448" i="5"/>
  <c r="S605" i="5"/>
  <c r="S1714" i="5"/>
  <c r="S1993" i="5"/>
  <c r="S557" i="5"/>
  <c r="S1960" i="5"/>
  <c r="S918" i="5"/>
  <c r="S919" i="5"/>
  <c r="S1581" i="5"/>
  <c r="S1083" i="5"/>
  <c r="S1374" i="5"/>
  <c r="S1375" i="5"/>
  <c r="S1994" i="5"/>
  <c r="S1715" i="5"/>
  <c r="S97" i="5"/>
  <c r="S98" i="5"/>
  <c r="S695" i="5"/>
  <c r="S305" i="5"/>
  <c r="S306" i="5"/>
  <c r="S1810" i="5"/>
  <c r="S848" i="5"/>
  <c r="S776" i="5"/>
  <c r="S1995" i="5"/>
  <c r="S1996" i="5"/>
  <c r="S1997" i="5"/>
  <c r="S2147" i="5"/>
  <c r="S696" i="5"/>
  <c r="S697" i="5"/>
  <c r="S2148" i="5"/>
  <c r="S1537" i="5"/>
  <c r="S1227" i="5"/>
  <c r="S22" i="5"/>
  <c r="S153" i="5"/>
  <c r="S920" i="5"/>
  <c r="S1084" i="5"/>
  <c r="S7" i="5"/>
  <c r="S1619" i="5"/>
  <c r="S921" i="5"/>
  <c r="S777" i="5"/>
  <c r="S154" i="5"/>
  <c r="S1376" i="5"/>
  <c r="S2182" i="5"/>
  <c r="S2183" i="5"/>
  <c r="S226" i="5"/>
  <c r="S2207" i="5"/>
  <c r="S2184" i="5"/>
  <c r="S1998" i="5"/>
  <c r="S778" i="5"/>
  <c r="S558" i="5"/>
  <c r="S1667" i="5"/>
  <c r="S1538" i="5"/>
  <c r="S1620" i="5"/>
  <c r="S387" i="5"/>
  <c r="S2087" i="5"/>
  <c r="S1326" i="5"/>
  <c r="S1861" i="5"/>
  <c r="S1765" i="5"/>
  <c r="S1766" i="5"/>
  <c r="S155" i="5"/>
  <c r="S1582" i="5"/>
  <c r="S559" i="5"/>
  <c r="S1449" i="5"/>
  <c r="S481" i="5"/>
  <c r="S1539" i="5"/>
  <c r="S1085" i="5"/>
  <c r="S2149" i="5"/>
  <c r="S2150" i="5"/>
  <c r="S270" i="5"/>
  <c r="S1767" i="5"/>
  <c r="S1583" i="5"/>
  <c r="S1540" i="5"/>
  <c r="S606" i="5"/>
  <c r="S1621" i="5"/>
  <c r="S1999" i="5"/>
  <c r="S388" i="5"/>
  <c r="S389" i="5"/>
  <c r="S2116" i="5"/>
  <c r="S271" i="5"/>
  <c r="S1158" i="5"/>
  <c r="S2167" i="5"/>
  <c r="S1279" i="5"/>
  <c r="S125" i="5"/>
  <c r="S126" i="5"/>
  <c r="S1716" i="5"/>
  <c r="S1489" i="5"/>
  <c r="S1450" i="5"/>
  <c r="S68" i="5"/>
  <c r="S69" i="5"/>
  <c r="S1086" i="5"/>
  <c r="S698" i="5"/>
  <c r="S1377" i="5"/>
  <c r="S1378" i="5"/>
  <c r="S2168" i="5"/>
  <c r="S1717" i="5"/>
  <c r="S1668" i="5"/>
  <c r="S1159" i="5"/>
  <c r="S1584" i="5"/>
  <c r="S156" i="5"/>
  <c r="S2047" i="5"/>
  <c r="S1961" i="5"/>
  <c r="S2088" i="5"/>
  <c r="S1718" i="5"/>
  <c r="S1490" i="5"/>
  <c r="S13" i="5"/>
  <c r="S8" i="5"/>
  <c r="S2208" i="5"/>
  <c r="S997" i="5"/>
  <c r="S998" i="5"/>
  <c r="S699" i="5"/>
  <c r="S1327" i="5"/>
  <c r="S1862" i="5"/>
  <c r="S2117" i="5"/>
  <c r="S1087" i="5"/>
  <c r="S1863" i="5"/>
  <c r="S2209" i="5"/>
  <c r="S700" i="5"/>
  <c r="S157" i="5"/>
  <c r="S922" i="5"/>
  <c r="S923" i="5"/>
  <c r="S14" i="5"/>
  <c r="S1491" i="5"/>
  <c r="S1492" i="5"/>
  <c r="S1913" i="5"/>
  <c r="S390" i="5"/>
  <c r="S1328" i="5"/>
  <c r="S607" i="5"/>
  <c r="S924" i="5"/>
  <c r="S307" i="5"/>
  <c r="S1914" i="5"/>
  <c r="S1669" i="5"/>
  <c r="S1719" i="5"/>
  <c r="S1864" i="5"/>
  <c r="S1720" i="5"/>
  <c r="S1160" i="5"/>
  <c r="S608" i="5"/>
  <c r="S779" i="5"/>
  <c r="S227" i="5"/>
  <c r="S849" i="5"/>
  <c r="S850" i="5"/>
  <c r="S1622" i="5"/>
  <c r="S158" i="5"/>
  <c r="S1811" i="5"/>
  <c r="S1088" i="5"/>
  <c r="S1585" i="5"/>
  <c r="S15" i="5"/>
  <c r="S701" i="5"/>
  <c r="S702" i="5"/>
  <c r="S1280" i="5"/>
  <c r="S1281" i="5"/>
  <c r="S1451" i="5"/>
  <c r="S1721" i="5"/>
  <c r="S2048" i="5"/>
  <c r="S999" i="5"/>
  <c r="S851" i="5"/>
  <c r="S1452" i="5"/>
  <c r="S391" i="5"/>
  <c r="S560" i="5"/>
  <c r="S272" i="5"/>
  <c r="S1000" i="5"/>
  <c r="S1768" i="5"/>
  <c r="S1089" i="5"/>
  <c r="S2185" i="5"/>
  <c r="S1769" i="5"/>
  <c r="S2049" i="5"/>
  <c r="S2050" i="5"/>
  <c r="S1623" i="5"/>
  <c r="S2151" i="5"/>
  <c r="S1329" i="5"/>
  <c r="S609" i="5"/>
  <c r="S159" i="5"/>
  <c r="S1670" i="5"/>
  <c r="S1722" i="5"/>
  <c r="S99" i="5"/>
  <c r="S780" i="5"/>
  <c r="S2169" i="5"/>
  <c r="S925" i="5"/>
  <c r="S1001" i="5"/>
  <c r="S1812" i="5"/>
  <c r="S926" i="5"/>
  <c r="S1915" i="5"/>
  <c r="S351" i="5"/>
  <c r="S1282" i="5"/>
  <c r="S1723" i="5"/>
  <c r="S70" i="5"/>
  <c r="S1283" i="5"/>
  <c r="S1284" i="5"/>
  <c r="S2170" i="5"/>
  <c r="S1090" i="5"/>
  <c r="S2000" i="5"/>
  <c r="S2214" i="5"/>
  <c r="S482" i="5"/>
  <c r="S428" i="5"/>
  <c r="S1671" i="5"/>
  <c r="S2171" i="5"/>
  <c r="S1493" i="5"/>
  <c r="S1228" i="5"/>
  <c r="S1813" i="5"/>
  <c r="S392" i="5"/>
  <c r="S1379" i="5"/>
  <c r="S429" i="5"/>
  <c r="S430" i="5"/>
  <c r="S1770" i="5"/>
  <c r="S1494" i="5"/>
  <c r="S2152" i="5"/>
  <c r="S927" i="5"/>
  <c r="S1624" i="5"/>
  <c r="S2001" i="5"/>
  <c r="S1865" i="5"/>
  <c r="S2118" i="5"/>
  <c r="S1285" i="5"/>
  <c r="S2089" i="5"/>
  <c r="S1380" i="5"/>
  <c r="S1916" i="5"/>
  <c r="S1161" i="5"/>
  <c r="S273" i="5"/>
  <c r="S1541" i="5"/>
  <c r="S703" i="5"/>
  <c r="S1814" i="5"/>
  <c r="S704" i="5"/>
  <c r="S1091" i="5"/>
  <c r="S1002" i="5"/>
  <c r="S393" i="5"/>
  <c r="S1672" i="5"/>
  <c r="S928" i="5"/>
  <c r="S2153" i="5"/>
  <c r="S1542" i="5"/>
  <c r="S1543" i="5"/>
  <c r="S705" i="5"/>
  <c r="S1625" i="5"/>
  <c r="S1866" i="5"/>
  <c r="S1229" i="5"/>
  <c r="S2051" i="5"/>
  <c r="S2215" i="5"/>
  <c r="S610" i="5"/>
  <c r="S127" i="5"/>
  <c r="S308" i="5"/>
  <c r="S309" i="5"/>
  <c r="S352" i="5"/>
  <c r="S353" i="5"/>
  <c r="S1162" i="5"/>
  <c r="S1286" i="5"/>
  <c r="S781" i="5"/>
  <c r="S1230" i="5"/>
  <c r="S431" i="5"/>
  <c r="S432" i="5"/>
  <c r="S611" i="5"/>
  <c r="S483" i="5"/>
  <c r="S71" i="5"/>
  <c r="S1092" i="5"/>
  <c r="S1724" i="5"/>
  <c r="S561" i="5"/>
  <c r="S1917" i="5"/>
  <c r="S1771" i="5"/>
  <c r="S2002" i="5"/>
  <c r="S1381" i="5"/>
  <c r="S1867" i="5"/>
  <c r="S929" i="5"/>
  <c r="S1453" i="5"/>
  <c r="S1725" i="5"/>
  <c r="S2003" i="5"/>
  <c r="S2004" i="5"/>
  <c r="S23" i="5"/>
  <c r="S1544" i="5"/>
  <c r="S1673" i="5"/>
  <c r="S1962" i="5"/>
  <c r="S612" i="5"/>
  <c r="S562" i="5"/>
  <c r="S1163" i="5"/>
  <c r="S1586" i="5"/>
  <c r="S1587" i="5"/>
  <c r="S2119" i="5"/>
  <c r="S1093" i="5"/>
  <c r="S1382" i="5"/>
  <c r="S1868" i="5"/>
  <c r="S930" i="5"/>
  <c r="S1918" i="5"/>
  <c r="S1003" i="5"/>
  <c r="S2172" i="5"/>
  <c r="S16" i="5"/>
  <c r="S17" i="5"/>
  <c r="S1004" i="5"/>
  <c r="S1869" i="5"/>
  <c r="S1726" i="5"/>
  <c r="S50" i="5"/>
  <c r="S706" i="5"/>
  <c r="S707" i="5"/>
  <c r="S310" i="5"/>
  <c r="S613" i="5"/>
  <c r="S128" i="5"/>
  <c r="S852" i="5"/>
  <c r="S1963" i="5"/>
  <c r="S484" i="5"/>
  <c r="S1772" i="5"/>
  <c r="S2052" i="5"/>
  <c r="S1005" i="5"/>
  <c r="S51" i="5"/>
  <c r="S1383" i="5"/>
  <c r="S1231" i="5"/>
  <c r="S129" i="5"/>
  <c r="S311" i="5"/>
  <c r="S1164" i="5"/>
  <c r="S130" i="5"/>
  <c r="S228" i="5"/>
  <c r="S708" i="5"/>
  <c r="S1626" i="5"/>
  <c r="S2173" i="5"/>
  <c r="S2174" i="5"/>
  <c r="S1495" i="5"/>
  <c r="S1094" i="5"/>
  <c r="S1095" i="5"/>
  <c r="S1870" i="5"/>
  <c r="S1727" i="5"/>
  <c r="S194" i="5"/>
  <c r="S1545" i="5"/>
  <c r="S1165" i="5"/>
  <c r="S2120" i="5"/>
  <c r="S1871" i="5"/>
  <c r="S1872" i="5"/>
  <c r="S229" i="5"/>
  <c r="S1919" i="5"/>
  <c r="S931" i="5"/>
  <c r="S1166" i="5"/>
  <c r="S18" i="5"/>
  <c r="S614" i="5"/>
  <c r="S615" i="5"/>
  <c r="S2121" i="5"/>
  <c r="S2053" i="5"/>
  <c r="S1006" i="5"/>
  <c r="S2005" i="5"/>
  <c r="S1546" i="5"/>
  <c r="S1384" i="5"/>
  <c r="S485" i="5"/>
  <c r="S563" i="5"/>
  <c r="S782" i="5"/>
  <c r="S1920" i="5"/>
  <c r="S1921" i="5"/>
  <c r="S354" i="5"/>
  <c r="S433" i="5"/>
  <c r="S2122" i="5"/>
  <c r="S1547" i="5"/>
  <c r="S1007" i="5"/>
  <c r="S2054" i="5"/>
  <c r="S1728" i="5"/>
  <c r="S160" i="5"/>
  <c r="S161" i="5"/>
  <c r="S1815" i="5"/>
  <c r="S564" i="5"/>
  <c r="S312" i="5"/>
  <c r="S313" i="5"/>
  <c r="S486" i="5"/>
  <c r="S1008" i="5"/>
  <c r="S1009" i="5"/>
  <c r="S1674" i="5"/>
  <c r="S1729" i="5"/>
  <c r="S1548" i="5"/>
  <c r="S434" i="5"/>
  <c r="S1385" i="5"/>
  <c r="S2200" i="5"/>
  <c r="S1010" i="5"/>
  <c r="S1386" i="5"/>
  <c r="S783" i="5"/>
  <c r="S1549" i="5"/>
  <c r="S487" i="5"/>
  <c r="S1816" i="5"/>
  <c r="S1675" i="5"/>
  <c r="S1676" i="5"/>
  <c r="S1387" i="5"/>
  <c r="S616" i="5"/>
  <c r="S1677" i="5"/>
  <c r="S9" i="5"/>
  <c r="S853" i="5"/>
  <c r="S1773" i="5"/>
  <c r="S2055" i="5"/>
  <c r="S488" i="5"/>
  <c r="S1627" i="5"/>
  <c r="S195" i="5"/>
  <c r="S932" i="5"/>
  <c r="S1388" i="5"/>
  <c r="S1389" i="5"/>
  <c r="S617" i="5"/>
  <c r="S1011" i="5"/>
  <c r="S1287" i="5"/>
  <c r="S394" i="5"/>
  <c r="S2056" i="5"/>
  <c r="S1232" i="5"/>
  <c r="S1330" i="5"/>
  <c r="S2154" i="5"/>
  <c r="S1288" i="5"/>
  <c r="S230" i="5"/>
  <c r="S1873" i="5"/>
  <c r="S1096" i="5"/>
  <c r="S196" i="5"/>
  <c r="S197" i="5"/>
  <c r="S1233" i="5"/>
  <c r="S2006" i="5"/>
  <c r="S19" i="5"/>
  <c r="S1964" i="5"/>
  <c r="S489" i="5"/>
  <c r="S1922" i="5"/>
  <c r="S618" i="5"/>
  <c r="S2201" i="5"/>
  <c r="S435" i="5"/>
  <c r="S2175" i="5"/>
  <c r="S709" i="5"/>
  <c r="S1331" i="5"/>
  <c r="S619" i="5"/>
  <c r="S620" i="5"/>
  <c r="S2123" i="5"/>
  <c r="S274" i="5"/>
  <c r="S933" i="5"/>
  <c r="S1167" i="5"/>
  <c r="S1390" i="5"/>
  <c r="S1923" i="5"/>
  <c r="S314" i="5"/>
  <c r="S315" i="5"/>
  <c r="S1391" i="5"/>
  <c r="S1454" i="5"/>
  <c r="S1012" i="5"/>
  <c r="S1168" i="5"/>
  <c r="S1392" i="5"/>
  <c r="S162" i="5"/>
  <c r="S2007" i="5"/>
  <c r="S1332" i="5"/>
  <c r="S2202" i="5"/>
  <c r="S784" i="5"/>
  <c r="S2057" i="5"/>
  <c r="S1234" i="5"/>
  <c r="S395" i="5"/>
  <c r="S1550" i="5"/>
  <c r="S3" i="5"/>
  <c r="S275" i="5"/>
  <c r="S396" i="5"/>
  <c r="S1169" i="5"/>
  <c r="S854" i="5"/>
  <c r="S565" i="5"/>
  <c r="S2124" i="5"/>
  <c r="S710" i="5"/>
  <c r="S1965" i="5"/>
  <c r="S1393" i="5"/>
  <c r="S1817" i="5"/>
  <c r="S934" i="5"/>
  <c r="S2008" i="5"/>
  <c r="S1394" i="5"/>
  <c r="S1395" i="5"/>
  <c r="S316" i="5"/>
  <c r="S317" i="5"/>
  <c r="S2125" i="5"/>
  <c r="S1730" i="5"/>
  <c r="S1097" i="5"/>
  <c r="S1098" i="5"/>
  <c r="S1333" i="5"/>
  <c r="S1099" i="5"/>
  <c r="S1678" i="5"/>
  <c r="S1289" i="5"/>
  <c r="S1170" i="5"/>
  <c r="S1171" i="5"/>
  <c r="S38" i="5"/>
  <c r="S39" i="5"/>
  <c r="S2186" i="5"/>
  <c r="S100" i="5"/>
  <c r="S101" i="5"/>
  <c r="S318" i="5"/>
  <c r="S102" i="5"/>
  <c r="S103" i="5"/>
  <c r="S1172" i="5"/>
  <c r="S2" i="5"/>
  <c r="S621" i="5"/>
  <c r="S785" i="5"/>
  <c r="S1455" i="5"/>
  <c r="S1731" i="5"/>
  <c r="S436" i="5"/>
  <c r="S1774" i="5"/>
  <c r="S1456" i="5"/>
  <c r="S40" i="5"/>
  <c r="S1496" i="5"/>
  <c r="S1497" i="5"/>
  <c r="S2176" i="5"/>
  <c r="S490" i="5"/>
  <c r="S2126" i="5"/>
  <c r="S2127" i="5"/>
  <c r="S711" i="5"/>
  <c r="S1679" i="5"/>
  <c r="S1628" i="5"/>
  <c r="S2058" i="5"/>
  <c r="S131" i="5"/>
  <c r="S104" i="5"/>
  <c r="S105" i="5"/>
  <c r="S1100" i="5"/>
  <c r="S397" i="5"/>
  <c r="S2177" i="5"/>
  <c r="S786" i="5"/>
  <c r="S787" i="5"/>
  <c r="S788" i="5"/>
  <c r="S2009" i="5"/>
  <c r="S855" i="5"/>
  <c r="S132" i="5"/>
  <c r="S1101" i="5"/>
  <c r="S1102" i="5"/>
  <c r="S2059" i="5"/>
  <c r="S1173" i="5"/>
  <c r="S1103" i="5"/>
  <c r="S4" i="5"/>
  <c r="S1290" i="5"/>
  <c r="S1334" i="5"/>
  <c r="S1732" i="5"/>
  <c r="S1874" i="5"/>
  <c r="S1818" i="5"/>
  <c r="S1966" i="5"/>
  <c r="S2060" i="5"/>
  <c r="S491" i="5"/>
  <c r="S1924" i="5"/>
  <c r="S72" i="5"/>
  <c r="S106" i="5"/>
  <c r="S1733" i="5"/>
  <c r="S2187" i="5"/>
  <c r="S2188" i="5"/>
  <c r="S1291" i="5"/>
  <c r="S1104" i="5"/>
  <c r="S1775" i="5"/>
  <c r="S319" i="5"/>
  <c r="S320" i="5"/>
  <c r="S712" i="5"/>
  <c r="S1776" i="5"/>
  <c r="S1174" i="5"/>
  <c r="S1551" i="5"/>
  <c r="S198" i="5"/>
  <c r="S1396" i="5"/>
  <c r="S1175" i="5"/>
  <c r="S622" i="5"/>
  <c r="S1875" i="5"/>
  <c r="S1588" i="5"/>
  <c r="S2155" i="5"/>
  <c r="S492" i="5"/>
  <c r="S493" i="5"/>
  <c r="S1819" i="5"/>
  <c r="S1498" i="5"/>
  <c r="S1013" i="5"/>
  <c r="S1397" i="5"/>
  <c r="S2189" i="5"/>
  <c r="S1777" i="5"/>
  <c r="S2178" i="5"/>
  <c r="S623" i="5"/>
  <c r="S1105" i="5"/>
  <c r="S2203" i="5"/>
  <c r="S494" i="5"/>
  <c r="S1335" i="5"/>
  <c r="S1014" i="5"/>
  <c r="S1292" i="5"/>
  <c r="S1876" i="5"/>
  <c r="S1176" i="5"/>
  <c r="S1398" i="5"/>
  <c r="S1106" i="5"/>
  <c r="S935" i="5"/>
  <c r="S1629" i="5"/>
  <c r="S936" i="5"/>
  <c r="S937" i="5"/>
  <c r="S624" i="5"/>
  <c r="S789" i="5"/>
  <c r="S1967" i="5"/>
  <c r="S1457" i="5"/>
  <c r="S1458" i="5"/>
  <c r="S1680" i="5"/>
  <c r="S1734" i="5"/>
  <c r="S1778" i="5"/>
  <c r="S1779" i="5"/>
  <c r="S1780" i="5"/>
  <c r="S790" i="5"/>
  <c r="S231" i="5"/>
  <c r="S791" i="5"/>
  <c r="S856" i="5"/>
  <c r="S1925" i="5"/>
  <c r="S1926" i="5"/>
  <c r="S1552" i="5"/>
  <c r="S857" i="5"/>
  <c r="S398" i="5"/>
  <c r="S2210" i="5"/>
  <c r="S1399" i="5"/>
  <c r="S1877" i="5"/>
  <c r="S1735" i="5"/>
  <c r="S1177" i="5"/>
  <c r="S321" i="5"/>
  <c r="S1736" i="5"/>
  <c r="S713" i="5"/>
  <c r="S625" i="5"/>
  <c r="S626" i="5"/>
  <c r="S1293" i="5"/>
  <c r="S2216" i="5"/>
  <c r="S1681" i="5"/>
  <c r="S1737" i="5"/>
  <c r="S2061" i="5"/>
  <c r="S627" i="5"/>
  <c r="S2090" i="5"/>
  <c r="S1820" i="5"/>
  <c r="S1821" i="5"/>
  <c r="S1781" i="5"/>
  <c r="S2010" i="5"/>
  <c r="S495" i="5"/>
  <c r="S1015" i="5"/>
  <c r="S1016" i="5"/>
  <c r="S1107" i="5"/>
  <c r="S1235" i="5"/>
  <c r="S1927" i="5"/>
  <c r="S52" i="5"/>
  <c r="S1968" i="5"/>
  <c r="S1928" i="5"/>
  <c r="S938" i="5"/>
  <c r="S73" i="5"/>
  <c r="S1108" i="5"/>
  <c r="S199" i="5"/>
  <c r="S1589" i="5"/>
  <c r="S1590" i="5"/>
  <c r="S1499" i="5"/>
  <c r="S1400" i="5"/>
  <c r="S1459" i="5"/>
  <c r="S1969" i="5"/>
  <c r="S1460" i="5"/>
  <c r="S1822" i="5"/>
  <c r="S2190" i="5"/>
  <c r="S2191" i="5"/>
  <c r="S2011" i="5"/>
  <c r="S792" i="5"/>
  <c r="S1461" i="5"/>
  <c r="S1236" i="5"/>
  <c r="S1823" i="5"/>
  <c r="S1824" i="5"/>
  <c r="S1553" i="5"/>
  <c r="S496" i="5"/>
  <c r="S1237" i="5"/>
  <c r="S1238" i="5"/>
  <c r="S1239" i="5"/>
  <c r="S1336" i="5"/>
  <c r="S1337" i="5"/>
  <c r="S437" i="5"/>
  <c r="S497" i="5"/>
  <c r="S498" i="5"/>
  <c r="S1109" i="5"/>
  <c r="S1929" i="5"/>
  <c r="S858" i="5"/>
  <c r="S1462" i="5"/>
  <c r="S1630" i="5"/>
  <c r="S1631" i="5"/>
  <c r="S1591" i="5"/>
  <c r="S1592" i="5"/>
  <c r="S2204" i="5"/>
  <c r="S1294" i="5"/>
  <c r="S322" i="5"/>
  <c r="S24" i="5"/>
  <c r="S793" i="5"/>
  <c r="S794" i="5"/>
  <c r="S2091" i="5"/>
  <c r="S1682" i="5"/>
  <c r="S2012" i="5"/>
  <c r="S399" i="5"/>
  <c r="S1295" i="5"/>
  <c r="S1878" i="5"/>
  <c r="S1879" i="5"/>
  <c r="S1463" i="5"/>
  <c r="S1178" i="5"/>
  <c r="S163" i="5"/>
  <c r="S1683" i="5"/>
  <c r="S2205" i="5"/>
  <c r="S2128" i="5"/>
  <c r="S2129" i="5"/>
  <c r="S1930" i="5"/>
  <c r="S1931" i="5"/>
  <c r="S1632" i="5"/>
  <c r="S1633" i="5"/>
  <c r="S1179" i="5"/>
  <c r="S1401" i="5"/>
  <c r="S939" i="5"/>
  <c r="S1402" i="5"/>
  <c r="S1932" i="5"/>
  <c r="S1933" i="5"/>
  <c r="S1554" i="5"/>
  <c r="S1970" i="5"/>
  <c r="S1880" i="5"/>
  <c r="S1296" i="5"/>
  <c r="S1825" i="5"/>
  <c r="S438" i="5"/>
  <c r="S1110" i="5"/>
  <c r="S1111" i="5"/>
  <c r="S1684" i="5"/>
  <c r="S2013" i="5"/>
  <c r="S2014" i="5"/>
  <c r="S940" i="5"/>
  <c r="S1634" i="5"/>
  <c r="S1782" i="5"/>
  <c r="S1180" i="5"/>
  <c r="S2192" i="5"/>
  <c r="S628" i="5"/>
  <c r="S1826" i="5"/>
  <c r="S941" i="5"/>
  <c r="S2015" i="5"/>
  <c r="S566" i="5"/>
  <c r="S1593" i="5"/>
  <c r="S795" i="5"/>
  <c r="S714" i="5"/>
  <c r="S1112" i="5"/>
  <c r="S1464" i="5"/>
  <c r="S439" i="5"/>
  <c r="S440" i="5"/>
  <c r="S2016" i="5"/>
  <c r="S1465" i="5"/>
  <c r="S1594" i="5"/>
  <c r="S133" i="5"/>
  <c r="S1113" i="5"/>
  <c r="S1240" i="5"/>
  <c r="S41" i="5"/>
  <c r="S1403" i="5"/>
  <c r="S1404" i="5"/>
  <c r="S2156" i="5"/>
  <c r="S715" i="5"/>
  <c r="S323" i="5"/>
  <c r="S499" i="5"/>
  <c r="S1738" i="5"/>
  <c r="S1241" i="5"/>
  <c r="S1338" i="5"/>
  <c r="S1339" i="5"/>
  <c r="S1881" i="5"/>
  <c r="S1971" i="5"/>
  <c r="S1685" i="5"/>
  <c r="S1297" i="5"/>
  <c r="S1114" i="5"/>
  <c r="S1686" i="5"/>
  <c r="S1739" i="5"/>
  <c r="S629" i="5"/>
  <c r="S400" i="5"/>
  <c r="S2017" i="5"/>
  <c r="S716" i="5"/>
  <c r="S2092" i="5"/>
  <c r="S1466" i="5"/>
  <c r="S1340" i="5"/>
  <c r="S441" i="5"/>
  <c r="S1827" i="5"/>
  <c r="S2062" i="5"/>
  <c r="S232" i="5"/>
  <c r="S717" i="5"/>
  <c r="S1467" i="5"/>
  <c r="S1017" i="5"/>
  <c r="S718" i="5"/>
  <c r="S1595" i="5"/>
  <c r="S1596" i="5"/>
  <c r="S1018" i="5"/>
  <c r="S1019" i="5"/>
  <c r="S630" i="5"/>
  <c r="S442" i="5"/>
  <c r="S443" i="5"/>
  <c r="S859" i="5"/>
  <c r="S1828" i="5"/>
  <c r="S860" i="5"/>
  <c r="S2157" i="5"/>
  <c r="S500" i="5"/>
  <c r="S1405" i="5"/>
  <c r="S444" i="5"/>
  <c r="S796" i="5"/>
  <c r="S1934" i="5"/>
  <c r="S631" i="5"/>
  <c r="S942" i="5"/>
  <c r="S1882" i="5"/>
  <c r="S1115" i="5"/>
  <c r="S943" i="5"/>
  <c r="S1883" i="5"/>
  <c r="S632" i="5"/>
  <c r="S1406" i="5"/>
  <c r="S1407" i="5"/>
  <c r="S944" i="5"/>
  <c r="S567" i="5"/>
  <c r="S1408" i="5"/>
  <c r="S945" i="5"/>
  <c r="S719" i="5"/>
  <c r="S2093" i="5"/>
  <c r="S1555" i="5"/>
  <c r="S2063" i="5"/>
  <c r="S2064" i="5"/>
  <c r="S2018" i="5"/>
  <c r="S1972" i="5"/>
  <c r="S1468" i="5"/>
  <c r="S2094" i="5"/>
  <c r="S2095" i="5"/>
  <c r="S1556" i="5"/>
  <c r="S1298" i="5"/>
  <c r="S1597" i="5"/>
  <c r="S1935" i="5"/>
  <c r="S1299" i="5"/>
  <c r="S74" i="5"/>
  <c r="S1687" i="5"/>
  <c r="S861" i="5"/>
  <c r="S1181" i="5"/>
  <c r="S1829" i="5"/>
  <c r="S1116" i="5"/>
  <c r="S1409" i="5"/>
  <c r="S355" i="5"/>
  <c r="S1830" i="5"/>
  <c r="S1557" i="5"/>
  <c r="S1558" i="5"/>
  <c r="S2130" i="5"/>
  <c r="S633" i="5"/>
  <c r="S324" i="5"/>
  <c r="S1242" i="5"/>
  <c r="S1243" i="5"/>
  <c r="S1469" i="5"/>
  <c r="S797" i="5"/>
  <c r="S1884" i="5"/>
  <c r="S1559" i="5"/>
  <c r="S1635" i="5"/>
  <c r="S1973" i="5"/>
  <c r="S1020" i="5"/>
  <c r="S720" i="5"/>
  <c r="S721" i="5"/>
  <c r="S1470" i="5"/>
  <c r="S356" i="5"/>
  <c r="S1885" i="5"/>
  <c r="S2065" i="5"/>
  <c r="S1783" i="5"/>
  <c r="S1831" i="5"/>
  <c r="S1688" i="5"/>
  <c r="S1182" i="5"/>
  <c r="S445" i="5"/>
  <c r="S1560" i="5"/>
  <c r="S1886" i="5"/>
  <c r="S1689" i="5"/>
  <c r="S568" i="5"/>
  <c r="S325" i="5"/>
  <c r="S1410" i="5"/>
  <c r="S862" i="5"/>
  <c r="S501" i="5"/>
  <c r="S1341" i="5"/>
  <c r="S1936" i="5"/>
  <c r="S1183" i="5"/>
  <c r="S1342" i="5"/>
  <c r="S1117" i="5"/>
  <c r="S446" i="5"/>
  <c r="S2066" i="5"/>
  <c r="S2217" i="5"/>
  <c r="S1021" i="5"/>
  <c r="S722" i="5"/>
  <c r="S1937" i="5"/>
  <c r="S447" i="5"/>
  <c r="S2067" i="5"/>
  <c r="S1500" i="5"/>
  <c r="S2019" i="5"/>
  <c r="S1411" i="5"/>
  <c r="S1343" i="5"/>
  <c r="S1300" i="5"/>
  <c r="S946" i="5"/>
  <c r="S502" i="5"/>
  <c r="S1244" i="5"/>
  <c r="S863" i="5"/>
  <c r="S134" i="5"/>
  <c r="S1598" i="5"/>
  <c r="S947" i="5"/>
  <c r="S1599" i="5"/>
  <c r="S2096" i="5"/>
  <c r="S723" i="5"/>
  <c r="S357" i="5"/>
  <c r="S1412" i="5"/>
  <c r="S1413" i="5"/>
  <c r="S634" i="5"/>
  <c r="S358" i="5"/>
  <c r="S1022" i="5"/>
  <c r="S1184" i="5"/>
  <c r="S1185" i="5"/>
  <c r="S448" i="5"/>
  <c r="S948" i="5"/>
  <c r="S798" i="5"/>
  <c r="S569" i="5"/>
  <c r="S1301" i="5"/>
  <c r="S724" i="5"/>
  <c r="S2097" i="5"/>
  <c r="S2098" i="5"/>
  <c r="S1245" i="5"/>
  <c r="S359" i="5"/>
  <c r="S360" i="5"/>
  <c r="S1302" i="5"/>
  <c r="S1501" i="5"/>
  <c r="S725" i="5"/>
  <c r="S1186" i="5"/>
  <c r="S2158" i="5"/>
  <c r="S1246" i="5"/>
  <c r="S1561" i="5"/>
  <c r="S1974" i="5"/>
  <c r="S1975" i="5"/>
  <c r="S1562" i="5"/>
  <c r="S1414" i="5"/>
  <c r="S2211" i="5"/>
  <c r="S1247" i="5"/>
  <c r="S2020" i="5"/>
  <c r="S726" i="5"/>
  <c r="S570" i="5"/>
  <c r="S727" i="5"/>
  <c r="S1471" i="5"/>
  <c r="S1563" i="5"/>
  <c r="S1976" i="5"/>
  <c r="S1344" i="5"/>
  <c r="S1023" i="5"/>
  <c r="S2212" i="5"/>
  <c r="S864" i="5"/>
  <c r="S503" i="5"/>
  <c r="S1887" i="5"/>
  <c r="S2099" i="5"/>
  <c r="S233" i="5"/>
  <c r="S635" i="5"/>
  <c r="S636" i="5"/>
  <c r="S571" i="5"/>
  <c r="S200" i="5"/>
  <c r="S1832" i="5"/>
  <c r="S1118" i="5"/>
  <c r="S1784" i="5"/>
  <c r="S949" i="5"/>
  <c r="S1415" i="5"/>
  <c r="S1833" i="5"/>
  <c r="S1024" i="5"/>
  <c r="S1187" i="5"/>
  <c r="S1188" i="5"/>
  <c r="S1119" i="5"/>
  <c r="S865" i="5"/>
  <c r="S1834" i="5"/>
  <c r="S1690" i="5"/>
  <c r="S1600" i="5"/>
  <c r="S504" i="5"/>
  <c r="S572" i="5"/>
  <c r="S573" i="5"/>
  <c r="S1189" i="5"/>
  <c r="S1691" i="5"/>
  <c r="S728" i="5"/>
  <c r="S1564" i="5"/>
  <c r="S1025" i="5"/>
  <c r="S1026" i="5"/>
  <c r="S1835" i="5"/>
  <c r="S2131" i="5"/>
  <c r="S2021" i="5"/>
  <c r="S866" i="5"/>
  <c r="S1601" i="5"/>
  <c r="S1836" i="5"/>
  <c r="S1837" i="5"/>
  <c r="S2100" i="5"/>
  <c r="S1502" i="5"/>
  <c r="S361" i="5"/>
  <c r="S2132" i="5"/>
  <c r="S1977" i="5"/>
  <c r="S1838" i="5"/>
  <c r="S1839" i="5"/>
  <c r="S1785" i="5"/>
  <c r="S574" i="5"/>
  <c r="S867" i="5"/>
  <c r="S449" i="5"/>
  <c r="S1345" i="5"/>
  <c r="S1636" i="5"/>
  <c r="S1303" i="5"/>
  <c r="S1190" i="5"/>
  <c r="S505" i="5"/>
  <c r="S1120" i="5"/>
  <c r="S1191" i="5"/>
  <c r="S1416" i="5"/>
  <c r="S868" i="5"/>
  <c r="S1503" i="5"/>
  <c r="S637" i="5"/>
  <c r="S201" i="5"/>
  <c r="S1740" i="5"/>
  <c r="S1741" i="5"/>
  <c r="S1888" i="5"/>
  <c r="S638" i="5"/>
  <c r="S1417" i="5"/>
  <c r="S2068" i="5"/>
  <c r="S950" i="5"/>
  <c r="S2022" i="5"/>
  <c r="S1978" i="5"/>
  <c r="S1979" i="5"/>
  <c r="S1692" i="5"/>
  <c r="S1504" i="5"/>
  <c r="S1192" i="5"/>
  <c r="S799" i="5"/>
  <c r="S639" i="5"/>
  <c r="S2069" i="5"/>
  <c r="S729" i="5"/>
  <c r="S1786" i="5"/>
  <c r="S1840" i="5"/>
  <c r="S640" i="5"/>
  <c r="S730" i="5"/>
  <c r="S1121" i="5"/>
  <c r="S506" i="5"/>
  <c r="S1693" i="5"/>
  <c r="S1938" i="5"/>
  <c r="S1742" i="5"/>
  <c r="S800" i="5"/>
  <c r="S1841" i="5"/>
  <c r="S1027" i="5"/>
  <c r="S1939" i="5"/>
  <c r="S1694" i="5"/>
  <c r="S1787" i="5"/>
  <c r="S869" i="5"/>
  <c r="S1889" i="5"/>
  <c r="S731" i="5"/>
  <c r="S732" i="5"/>
  <c r="S1565" i="5"/>
  <c r="S1304" i="5"/>
  <c r="S1028" i="5"/>
  <c r="S507" i="5"/>
  <c r="S1193" i="5"/>
  <c r="S234" i="5"/>
  <c r="S1695" i="5"/>
  <c r="S1505" i="5"/>
  <c r="S1506" i="5"/>
  <c r="S2101" i="5"/>
  <c r="S508" i="5"/>
  <c r="S641" i="5"/>
  <c r="S2102" i="5"/>
  <c r="S1418" i="5"/>
  <c r="S1305" i="5"/>
  <c r="S870" i="5"/>
  <c r="S1472" i="5"/>
  <c r="S733" i="5"/>
  <c r="S1743" i="5"/>
  <c r="S951" i="5"/>
  <c r="S401" i="5"/>
  <c r="S1419" i="5"/>
  <c r="S1637" i="5"/>
  <c r="S642" i="5"/>
  <c r="S2133" i="5"/>
  <c r="S135" i="5"/>
  <c r="S2023" i="5"/>
  <c r="S2134" i="5"/>
  <c r="S1744" i="5"/>
  <c r="S1306" i="5"/>
  <c r="S1745" i="5"/>
  <c r="S1980" i="5"/>
  <c r="S1420" i="5"/>
  <c r="S42" i="5"/>
  <c r="S643" i="5"/>
  <c r="S644" i="5"/>
  <c r="S2159" i="5"/>
  <c r="S1248" i="5"/>
  <c r="S509" i="5"/>
  <c r="S53" i="5"/>
  <c r="S1566" i="5"/>
  <c r="S871" i="5"/>
  <c r="S2221" i="5"/>
  <c r="S1890" i="5"/>
  <c r="S362" i="5"/>
  <c r="S1194" i="5"/>
  <c r="S2193" i="5"/>
  <c r="S2194" i="5"/>
  <c r="S1842" i="5"/>
  <c r="S1843" i="5"/>
  <c r="S1844" i="5"/>
  <c r="S1845" i="5"/>
  <c r="S2024" i="5"/>
  <c r="S1567" i="5"/>
  <c r="S1891" i="5"/>
  <c r="S1746" i="5"/>
  <c r="S1981" i="5"/>
  <c r="S1696" i="5"/>
  <c r="S2103" i="5"/>
  <c r="S1249" i="5"/>
  <c r="S1638" i="5"/>
  <c r="S1639" i="5"/>
  <c r="S1640" i="5"/>
  <c r="S1747" i="5"/>
  <c r="S1940" i="5"/>
  <c r="S1122" i="5"/>
  <c r="S1507" i="5"/>
  <c r="S1788" i="5"/>
  <c r="S1846" i="5"/>
  <c r="S575" i="5"/>
  <c r="S952" i="5"/>
  <c r="S2025" i="5"/>
  <c r="S326" i="5"/>
  <c r="S645" i="5"/>
  <c r="S402" i="5"/>
  <c r="S276" i="5"/>
  <c r="S277" i="5"/>
  <c r="S1568" i="5"/>
  <c r="S1789" i="5"/>
  <c r="S1250" i="5"/>
  <c r="S1941" i="5"/>
  <c r="S1508" i="5"/>
  <c r="S1748" i="5"/>
  <c r="S2135" i="5"/>
  <c r="S2136" i="5"/>
  <c r="S953" i="5"/>
  <c r="S43" i="5"/>
  <c r="S646" i="5"/>
  <c r="S647" i="5"/>
  <c r="S1602" i="5"/>
  <c r="S801" i="5"/>
  <c r="S1892" i="5"/>
  <c r="S2026" i="5"/>
  <c r="S1346" i="5"/>
  <c r="S1347" i="5"/>
  <c r="S1749" i="5"/>
  <c r="S648" i="5"/>
  <c r="S734" i="5"/>
  <c r="S1029" i="5"/>
  <c r="S954" i="5"/>
  <c r="S1509" i="5"/>
  <c r="S1893" i="5"/>
  <c r="S2027" i="5"/>
  <c r="S2070" i="5"/>
  <c r="S1030" i="5"/>
  <c r="S649" i="5"/>
  <c r="S802" i="5"/>
  <c r="S2137" i="5"/>
  <c r="S1641" i="5"/>
  <c r="S1031" i="5"/>
  <c r="S1473" i="5"/>
  <c r="S872" i="5"/>
  <c r="S2071" i="5"/>
  <c r="S1251" i="5"/>
  <c r="S2218" i="5"/>
  <c r="S2219" i="5"/>
  <c r="S1474" i="5"/>
  <c r="S1510" i="5"/>
  <c r="S1511" i="5"/>
  <c r="S1642" i="5"/>
  <c r="S1348" i="5"/>
  <c r="S1512" i="5"/>
  <c r="S1982" i="5"/>
  <c r="S25" i="5"/>
  <c r="S2104" i="5"/>
  <c r="S1195" i="5"/>
  <c r="S1894" i="5"/>
  <c r="S1513" i="5"/>
  <c r="S2105" i="5"/>
  <c r="S1983" i="5"/>
  <c r="S450" i="5"/>
  <c r="S873" i="5"/>
  <c r="S874" i="5"/>
  <c r="S875" i="5"/>
  <c r="S1603" i="5"/>
  <c r="S1196" i="5"/>
  <c r="S1847" i="5"/>
  <c r="S1750" i="5"/>
  <c r="S803" i="5"/>
  <c r="S735" i="5"/>
  <c r="S2138" i="5"/>
  <c r="S2106" i="5"/>
  <c r="S1421" i="5"/>
  <c r="S2028" i="5"/>
  <c r="S1643" i="5"/>
  <c r="S804" i="5"/>
  <c r="S403" i="5"/>
  <c r="S1644" i="5"/>
  <c r="S1307" i="5"/>
  <c r="S736" i="5"/>
  <c r="S1790" i="5"/>
  <c r="S1984" i="5"/>
  <c r="S451" i="5"/>
  <c r="S737" i="5"/>
  <c r="S2139" i="5"/>
  <c r="S1349" i="5"/>
  <c r="S1645" i="5"/>
  <c r="S2072" i="5"/>
  <c r="S2073" i="5"/>
  <c r="S1791" i="5"/>
  <c r="S1569" i="5"/>
  <c r="S2029" i="5"/>
  <c r="S1032" i="5"/>
  <c r="S1422" i="5"/>
  <c r="S650" i="5"/>
  <c r="S510" i="5"/>
  <c r="S1423" i="5"/>
  <c r="S1848" i="5"/>
  <c r="S1849" i="5"/>
  <c r="S576" i="5"/>
  <c r="S136" i="5"/>
  <c r="S1475" i="5"/>
  <c r="S1308" i="5"/>
  <c r="S1424" i="5"/>
  <c r="S1425" i="5"/>
  <c r="S876" i="5"/>
  <c r="S1197" i="5"/>
  <c r="S1646" i="5"/>
  <c r="S738" i="5"/>
  <c r="S1514" i="5"/>
  <c r="S1942" i="5"/>
  <c r="S1350" i="5"/>
  <c r="S1751" i="5"/>
  <c r="S2160" i="5"/>
  <c r="S2161" i="5"/>
  <c r="S2030" i="5"/>
  <c r="S1752" i="5"/>
  <c r="S1604" i="5"/>
  <c r="S1033" i="5"/>
  <c r="S955" i="5"/>
  <c r="S956" i="5"/>
  <c r="S1895" i="5"/>
  <c r="S511" i="5"/>
  <c r="S805" i="5"/>
  <c r="S1943" i="5"/>
  <c r="S957" i="5"/>
  <c r="S651" i="5"/>
  <c r="S1985" i="5"/>
  <c r="S739" i="5"/>
  <c r="S75" i="5"/>
  <c r="S652" i="5"/>
  <c r="S1570" i="5"/>
  <c r="S740" i="5"/>
  <c r="S741" i="5"/>
  <c r="S742" i="5"/>
  <c r="S1850" i="5"/>
  <c r="S877" i="5"/>
  <c r="S1851" i="5"/>
  <c r="S958" i="5"/>
  <c r="S653" i="5"/>
  <c r="S1896" i="5"/>
  <c r="S1897" i="5"/>
  <c r="S806" i="5"/>
  <c r="S1476" i="5"/>
  <c r="S1605" i="5"/>
  <c r="S164" i="5"/>
  <c r="S1477" i="5"/>
  <c r="S1351" i="5"/>
  <c r="S807" i="5"/>
  <c r="S404" i="5"/>
  <c r="S808" i="5"/>
  <c r="S1478" i="5"/>
  <c r="S1479" i="5"/>
  <c r="S1944" i="5"/>
  <c r="S1252" i="5"/>
  <c r="S1034" i="5"/>
  <c r="S2162" i="5"/>
  <c r="S2206" i="5"/>
  <c r="S743" i="5"/>
  <c r="S809" i="5"/>
  <c r="S107" i="5"/>
  <c r="S327" i="5"/>
  <c r="S1571" i="5"/>
  <c r="S1753" i="5"/>
  <c r="S1515" i="5"/>
  <c r="S1426" i="5"/>
  <c r="S1427" i="5"/>
  <c r="S2163" i="5"/>
  <c r="S810" i="5"/>
  <c r="S452" i="5"/>
  <c r="S2213" i="5"/>
  <c r="S811" i="5"/>
  <c r="S812" i="5"/>
  <c r="S405" i="5"/>
  <c r="S363" i="5"/>
  <c r="S1309" i="5"/>
  <c r="S1697" i="5"/>
  <c r="S1123" i="5"/>
  <c r="S1352" i="5"/>
  <c r="S1353" i="5"/>
  <c r="S2074" i="5"/>
  <c r="S1035" i="5"/>
  <c r="S1198" i="5"/>
  <c r="S1945" i="5"/>
  <c r="S1354" i="5"/>
  <c r="S1647" i="5"/>
  <c r="S1124" i="5"/>
  <c r="S959" i="5"/>
  <c r="S1036" i="5"/>
  <c r="S1428" i="5"/>
  <c r="S813" i="5"/>
  <c r="S1253" i="5"/>
  <c r="S1429" i="5"/>
  <c r="S512" i="5"/>
  <c r="S960" i="5"/>
  <c r="S202" i="5"/>
  <c r="S744" i="5"/>
  <c r="S1430" i="5"/>
  <c r="S1125" i="5"/>
  <c r="S2031" i="5"/>
  <c r="S1126" i="5"/>
  <c r="S1792" i="5"/>
  <c r="S2195" i="5"/>
  <c r="S1199" i="5"/>
  <c r="S878" i="5"/>
  <c r="S406" i="5"/>
  <c r="S407" i="5"/>
  <c r="S1037" i="5"/>
  <c r="S328" i="5"/>
  <c r="S1254" i="5"/>
  <c r="S513" i="5"/>
  <c r="S2032" i="5"/>
  <c r="S278" i="5"/>
  <c r="S1200" i="5"/>
  <c r="S1201" i="5"/>
  <c r="S1355" i="5"/>
  <c r="S408" i="5"/>
  <c r="S1356" i="5"/>
  <c r="S2033" i="5"/>
  <c r="S1357" i="5"/>
  <c r="S814" i="5"/>
  <c r="S1038" i="5"/>
  <c r="S961" i="5"/>
  <c r="S577" i="5"/>
  <c r="S2075" i="5"/>
  <c r="S1202" i="5"/>
  <c r="S1793" i="5"/>
  <c r="S745" i="5"/>
  <c r="S879" i="5"/>
  <c r="S1127" i="5"/>
  <c r="S815" i="5"/>
  <c r="S578" i="5"/>
  <c r="S2107" i="5"/>
  <c r="S1039" i="5"/>
  <c r="S1572" i="5"/>
  <c r="S1040" i="5"/>
  <c r="S1203" i="5"/>
  <c r="S1431" i="5"/>
  <c r="S235" i="5"/>
  <c r="S514" i="5"/>
  <c r="S44" i="5"/>
  <c r="S26" i="5"/>
  <c r="S1310" i="5"/>
  <c r="S962" i="5"/>
  <c r="S1946" i="5"/>
  <c r="S1898" i="5"/>
  <c r="S1899" i="5"/>
  <c r="S1255" i="5"/>
  <c r="S816" i="5"/>
  <c r="S515" i="5"/>
  <c r="S1480" i="5"/>
  <c r="S1481" i="5"/>
  <c r="S654" i="5"/>
  <c r="S880" i="5"/>
  <c r="S881" i="5"/>
  <c r="S1041" i="5"/>
  <c r="S364" i="5"/>
  <c r="S963" i="5"/>
  <c r="S76" i="5"/>
  <c r="S165" i="5"/>
  <c r="S166" i="5"/>
  <c r="S817" i="5"/>
  <c r="S1754" i="5"/>
  <c r="S1698" i="5"/>
  <c r="S1204" i="5"/>
  <c r="S1794" i="5"/>
  <c r="S236" i="5"/>
  <c r="S2164" i="5"/>
  <c r="S1205" i="5"/>
  <c r="S365" i="5"/>
  <c r="S746" i="5"/>
  <c r="S329" i="5"/>
  <c r="S1042" i="5"/>
  <c r="S366" i="5"/>
  <c r="S579" i="5"/>
  <c r="S580" i="5"/>
  <c r="S516" i="5"/>
  <c r="S137" i="5"/>
  <c r="S138" i="5"/>
  <c r="S517" i="5"/>
  <c r="S367" i="5"/>
  <c r="S108" i="5"/>
  <c r="S409" i="5"/>
  <c r="S1900" i="5"/>
  <c r="S1256" i="5"/>
  <c r="S1482" i="5"/>
  <c r="S747" i="5"/>
  <c r="S964" i="5"/>
  <c r="S1483" i="5"/>
  <c r="S518" i="5"/>
  <c r="S1484" i="5"/>
  <c r="S203" i="5"/>
  <c r="S1986" i="5"/>
  <c r="S581" i="5"/>
  <c r="S1795" i="5"/>
  <c r="S167" i="5"/>
  <c r="S1257" i="5"/>
  <c r="S1258" i="5"/>
  <c r="S1648" i="5"/>
  <c r="S519" i="5"/>
  <c r="S2108" i="5"/>
  <c r="S582" i="5"/>
  <c r="S1259" i="5"/>
  <c r="S330" i="5"/>
  <c r="S1206" i="5"/>
  <c r="S139" i="5"/>
  <c r="S520" i="5"/>
  <c r="S1516" i="5"/>
  <c r="S2034" i="5"/>
  <c r="S1043" i="5"/>
  <c r="S1485" i="5"/>
  <c r="S748" i="5"/>
  <c r="S655" i="5"/>
  <c r="S1432" i="5"/>
  <c r="S1796" i="5"/>
  <c r="S1260" i="5"/>
  <c r="S2076" i="5"/>
  <c r="S2077" i="5"/>
  <c r="S453" i="5"/>
  <c r="S1433" i="5"/>
  <c r="S1207" i="5"/>
  <c r="S1208" i="5"/>
  <c r="S1128" i="5"/>
  <c r="S1261" i="5"/>
  <c r="S331" i="5"/>
  <c r="S1987" i="5"/>
  <c r="S1797" i="5"/>
  <c r="S2035" i="5"/>
  <c r="S818" i="5"/>
  <c r="S965" i="5"/>
  <c r="S966" i="5"/>
  <c r="S1311" i="5"/>
  <c r="S583" i="5"/>
  <c r="S749" i="5"/>
  <c r="S368" i="5"/>
  <c r="S204" i="5"/>
  <c r="S237" i="5"/>
  <c r="S2036" i="5"/>
  <c r="S819" i="5"/>
  <c r="S820" i="5"/>
  <c r="S279" i="5"/>
  <c r="S280" i="5"/>
  <c r="S281" i="5"/>
  <c r="S1947" i="5"/>
  <c r="S1948" i="5"/>
  <c r="S1209" i="5"/>
  <c r="S1044" i="5"/>
  <c r="S584" i="5"/>
  <c r="S2078" i="5"/>
  <c r="S1045" i="5"/>
  <c r="S109" i="5"/>
  <c r="S1988" i="5"/>
  <c r="S238" i="5"/>
  <c r="S369" i="5"/>
  <c r="S332" i="5"/>
  <c r="S1573" i="5"/>
  <c r="S1517" i="5"/>
  <c r="S282" i="5"/>
  <c r="S882" i="5"/>
  <c r="S656" i="5"/>
  <c r="S1649" i="5"/>
  <c r="S821" i="5"/>
  <c r="S168" i="5"/>
  <c r="S283" i="5"/>
  <c r="S1949" i="5"/>
  <c r="S1950" i="5"/>
  <c r="S967" i="5"/>
  <c r="S883" i="5"/>
  <c r="S1901" i="5"/>
  <c r="S1902" i="5"/>
  <c r="S968" i="5"/>
  <c r="S110" i="5"/>
  <c r="S1129" i="5"/>
  <c r="S1699" i="5"/>
  <c r="S2140" i="5"/>
  <c r="S969" i="5"/>
  <c r="S1755" i="5"/>
  <c r="S1903" i="5"/>
  <c r="S521" i="5"/>
  <c r="S77" i="5"/>
  <c r="S239" i="5"/>
  <c r="S522" i="5"/>
  <c r="S1518" i="5"/>
  <c r="S1519" i="5"/>
  <c r="S523" i="5"/>
  <c r="S1046" i="5"/>
  <c r="S970" i="5"/>
  <c r="S971" i="5"/>
  <c r="S884" i="5"/>
  <c r="S524" i="5"/>
  <c r="S370" i="5"/>
  <c r="S333" i="5"/>
  <c r="S169" i="5"/>
  <c r="S1904" i="5"/>
  <c r="S1905" i="5"/>
  <c r="S1262" i="5"/>
  <c r="S525" i="5"/>
  <c r="S822" i="5"/>
  <c r="S1210" i="5"/>
  <c r="S1211" i="5"/>
  <c r="S78" i="5"/>
  <c r="S1700" i="5"/>
  <c r="S1263" i="5"/>
  <c r="S1047" i="5"/>
  <c r="S1650" i="5"/>
  <c r="S1130" i="5"/>
  <c r="S170" i="5"/>
  <c r="S1048" i="5"/>
  <c r="S1358" i="5"/>
  <c r="S240" i="5"/>
  <c r="S526" i="5"/>
  <c r="S1131" i="5"/>
  <c r="S2109" i="5"/>
  <c r="S885" i="5"/>
  <c r="S205" i="5"/>
  <c r="S1574" i="5"/>
  <c r="S972" i="5"/>
  <c r="S585" i="5"/>
  <c r="S2196" i="5"/>
  <c r="S2197" i="5"/>
  <c r="S973" i="5"/>
  <c r="S1359" i="5"/>
  <c r="S1360" i="5"/>
  <c r="S527" i="5"/>
  <c r="S528" i="5"/>
  <c r="S1989" i="5"/>
  <c r="S657" i="5"/>
  <c r="S658" i="5"/>
  <c r="S1798" i="5"/>
  <c r="S659" i="5"/>
  <c r="S410" i="5"/>
  <c r="S886" i="5"/>
  <c r="S887" i="5"/>
  <c r="S660" i="5"/>
  <c r="S750" i="5"/>
  <c r="S1756" i="5"/>
  <c r="S284" i="5"/>
  <c r="S751" i="5"/>
  <c r="S752" i="5"/>
  <c r="S1906" i="5"/>
  <c r="S241" i="5"/>
  <c r="S79" i="5"/>
  <c r="S1049" i="5"/>
  <c r="S1050" i="5"/>
  <c r="S823" i="5"/>
  <c r="S753" i="5"/>
  <c r="S1361" i="5"/>
  <c r="S1362" i="5"/>
  <c r="S1312" i="5"/>
  <c r="S334" i="5"/>
  <c r="S1264" i="5"/>
  <c r="S529" i="5"/>
  <c r="S371" i="5"/>
  <c r="S1990" i="5"/>
  <c r="S1313" i="5"/>
  <c r="S1951" i="5"/>
  <c r="S1907" i="5"/>
  <c r="S1434" i="5"/>
  <c r="S1799" i="5"/>
  <c r="S1952" i="5"/>
  <c r="S411" i="5"/>
  <c r="S285" i="5"/>
  <c r="S454" i="5"/>
  <c r="S1265" i="5"/>
  <c r="S1520" i="5"/>
  <c r="S1701" i="5"/>
  <c r="S1051" i="5"/>
  <c r="S754" i="5"/>
  <c r="S1953" i="5"/>
  <c r="S755" i="5"/>
  <c r="S530" i="5"/>
  <c r="S1606" i="5"/>
  <c r="S2141" i="5"/>
  <c r="S1435" i="5"/>
  <c r="S661" i="5"/>
  <c r="S662" i="5"/>
  <c r="S586" i="5"/>
  <c r="S286" i="5"/>
  <c r="S1052" i="5"/>
  <c r="S206" i="5"/>
  <c r="S372" i="5"/>
  <c r="S1132" i="5"/>
  <c r="S1954" i="5"/>
  <c r="S242" i="5"/>
  <c r="S287" i="5"/>
  <c r="S1266" i="5"/>
  <c r="S373" i="5"/>
  <c r="S974" i="5"/>
  <c r="S2142" i="5"/>
  <c r="S1212" i="5"/>
  <c r="S1267" i="5"/>
  <c r="S288" i="5"/>
  <c r="S888" i="5"/>
  <c r="S889" i="5"/>
  <c r="S890" i="5"/>
  <c r="S891" i="5"/>
  <c r="S756" i="5"/>
  <c r="S1436" i="5"/>
  <c r="S1437" i="5"/>
  <c r="S587" i="5"/>
  <c r="S1053" i="5"/>
  <c r="S54" i="5"/>
  <c r="S2037" i="5"/>
  <c r="S1702" i="5"/>
  <c r="S892" i="5"/>
  <c r="S893" i="5"/>
  <c r="S243" i="5"/>
  <c r="S1133" i="5"/>
  <c r="S975" i="5"/>
  <c r="S531" i="5"/>
  <c r="S374" i="5"/>
  <c r="S1314" i="5"/>
  <c r="S2143" i="5"/>
  <c r="S111" i="5"/>
  <c r="S1852" i="5"/>
  <c r="S1268" i="5"/>
  <c r="S1757" i="5"/>
  <c r="S244" i="5"/>
  <c r="S245" i="5"/>
  <c r="S1054" i="5"/>
  <c r="S1055" i="5"/>
  <c r="S757" i="5"/>
  <c r="S412" i="5"/>
  <c r="S894" i="5"/>
  <c r="S1853" i="5"/>
  <c r="S27" i="5"/>
  <c r="S28" i="5"/>
  <c r="S1269" i="5"/>
  <c r="S895" i="5"/>
  <c r="S2079" i="5"/>
  <c r="S10" i="5"/>
  <c r="S11" i="5"/>
  <c r="S246" i="5"/>
  <c r="S171" i="5"/>
  <c r="S1363" i="5"/>
  <c r="S1854" i="5"/>
  <c r="S1056" i="5"/>
  <c r="S1057" i="5"/>
  <c r="S824" i="5"/>
  <c r="S825" i="5"/>
  <c r="S1991" i="5"/>
  <c r="S976" i="5"/>
  <c r="S1703" i="5"/>
  <c r="S663" i="5"/>
  <c r="S588" i="5"/>
  <c r="S2165" i="5"/>
  <c r="S375" i="5"/>
  <c r="S826" i="5"/>
  <c r="S827" i="5"/>
  <c r="S55" i="5"/>
  <c r="S589" i="5"/>
  <c r="S1521" i="5"/>
  <c r="S455" i="5"/>
  <c r="S172" i="5"/>
  <c r="S1704" i="5"/>
  <c r="S1438" i="5"/>
  <c r="S1522" i="5"/>
  <c r="S758" i="5"/>
  <c r="S112" i="5"/>
  <c r="S113" i="5"/>
  <c r="S1058" i="5"/>
  <c r="S2038" i="5"/>
  <c r="S1270" i="5"/>
  <c r="S532" i="5"/>
  <c r="S2110" i="5"/>
  <c r="S2111" i="5"/>
  <c r="S80" i="5"/>
  <c r="S81" i="5"/>
  <c r="S1134" i="5"/>
  <c r="S759" i="5"/>
  <c r="S207" i="5"/>
  <c r="S1705" i="5"/>
  <c r="S1135" i="5"/>
  <c r="S1523" i="5"/>
  <c r="S977" i="5"/>
  <c r="S828" i="5"/>
  <c r="S1364" i="5"/>
  <c r="S1213" i="5"/>
  <c r="S289" i="5"/>
  <c r="S1365" i="5"/>
  <c r="S1524" i="5"/>
  <c r="S896" i="5"/>
  <c r="S456" i="5"/>
  <c r="S1439" i="5"/>
  <c r="S208" i="5"/>
  <c r="S2039" i="5"/>
  <c r="S1758" i="5"/>
  <c r="S1575" i="5"/>
  <c r="S2040" i="5"/>
  <c r="S1525" i="5"/>
  <c r="S1059" i="5"/>
  <c r="S1060" i="5"/>
  <c r="S1366" i="5"/>
  <c r="S760" i="5"/>
  <c r="S761" i="5"/>
  <c r="S173" i="5"/>
  <c r="S413" i="5"/>
  <c r="S762" i="5"/>
  <c r="S664" i="5"/>
  <c r="S590" i="5"/>
  <c r="S1440" i="5"/>
  <c r="S1706" i="5"/>
  <c r="S533" i="5"/>
  <c r="S534" i="5"/>
  <c r="S591" i="5"/>
  <c r="S1061" i="5"/>
  <c r="S1062" i="5"/>
  <c r="S1271" i="5"/>
  <c r="S174" i="5"/>
  <c r="S2080" i="5"/>
  <c r="S457" i="5"/>
  <c r="S1441" i="5"/>
  <c r="S897" i="5"/>
  <c r="S1526" i="5"/>
  <c r="S1607" i="5"/>
  <c r="S1315" i="5"/>
  <c r="S1316" i="5"/>
  <c r="S247" i="5"/>
  <c r="S335" i="5"/>
  <c r="S1136" i="5"/>
  <c r="S898" i="5"/>
  <c r="S829" i="5"/>
  <c r="S1651" i="5"/>
  <c r="S1759" i="5"/>
  <c r="S290" i="5"/>
  <c r="S1955" i="5"/>
  <c r="S1063" i="5"/>
  <c r="S82" i="5"/>
  <c r="S978" i="5"/>
  <c r="S1137" i="5"/>
  <c r="S592" i="5"/>
  <c r="S665" i="5"/>
  <c r="S414" i="5"/>
  <c r="S899" i="5"/>
  <c r="S291" i="5"/>
  <c r="S248" i="5"/>
  <c r="S1486" i="5"/>
  <c r="S1064" i="5"/>
  <c r="S535" i="5"/>
  <c r="S666" i="5"/>
  <c r="S458" i="5"/>
  <c r="S979" i="5"/>
  <c r="S830" i="5"/>
  <c r="S415" i="5"/>
  <c r="S1576" i="5"/>
  <c r="S1577" i="5"/>
  <c r="S1652" i="5"/>
  <c r="S1855" i="5"/>
  <c r="S249" i="5"/>
  <c r="S593" i="5"/>
  <c r="S594" i="5"/>
  <c r="S900" i="5"/>
  <c r="S901" i="5"/>
  <c r="S763" i="5"/>
  <c r="S209" i="5"/>
  <c r="S376" i="5"/>
  <c r="S459" i="5"/>
  <c r="S595" i="5"/>
  <c r="S667" i="5"/>
  <c r="S668" i="5"/>
  <c r="S1527" i="5"/>
  <c r="S831" i="5"/>
  <c r="S1367" i="5"/>
  <c r="S2081" i="5"/>
  <c r="S416" i="5"/>
  <c r="S1214" i="5"/>
  <c r="S764" i="5"/>
  <c r="S669" i="5"/>
  <c r="S1317" i="5"/>
  <c r="S417" i="5"/>
  <c r="S980" i="5"/>
  <c r="S832" i="5"/>
  <c r="S1442" i="5"/>
  <c r="S670" i="5"/>
  <c r="S671" i="5"/>
  <c r="S460" i="5"/>
  <c r="S1065" i="5"/>
  <c r="S1760" i="5"/>
  <c r="S1653" i="5"/>
  <c r="S1654" i="5"/>
  <c r="S250" i="5"/>
  <c r="S981" i="5"/>
  <c r="S1215" i="5"/>
  <c r="S140" i="5"/>
  <c r="S1066" i="5"/>
  <c r="S1067" i="5"/>
  <c r="S596" i="5"/>
  <c r="S833" i="5"/>
  <c r="S834" i="5"/>
  <c r="S210" i="5"/>
  <c r="S83" i="5"/>
  <c r="S84" i="5"/>
  <c r="S982" i="5"/>
  <c r="S536" i="5"/>
  <c r="S292" i="5"/>
  <c r="S293" i="5"/>
  <c r="S56" i="5"/>
  <c r="S1608" i="5"/>
  <c r="S983" i="5"/>
  <c r="S1138" i="5"/>
  <c r="S175" i="5"/>
  <c r="S211" i="5"/>
  <c r="S1068" i="5"/>
  <c r="S984" i="5"/>
  <c r="S212" i="5"/>
  <c r="S213" i="5"/>
  <c r="S1069" i="5"/>
  <c r="S1443" i="5"/>
  <c r="S1444" i="5"/>
  <c r="S114" i="5"/>
  <c r="S1139" i="5"/>
  <c r="S1272" i="5"/>
  <c r="S672" i="5"/>
  <c r="S1655" i="5"/>
  <c r="S1368" i="5"/>
  <c r="S1656" i="5"/>
  <c r="S2082" i="5"/>
  <c r="S141" i="5"/>
  <c r="S1273" i="5"/>
  <c r="S214" i="5"/>
  <c r="S377" i="5"/>
  <c r="S597" i="5"/>
  <c r="S1856" i="5"/>
  <c r="S598" i="5"/>
  <c r="S1369" i="5"/>
  <c r="S336" i="5"/>
  <c r="S85" i="5"/>
  <c r="S86" i="5"/>
  <c r="S537" i="5"/>
  <c r="S538" i="5"/>
  <c r="S337" i="5"/>
  <c r="S1657" i="5"/>
  <c r="S378" i="5"/>
  <c r="S2041" i="5"/>
  <c r="S539" i="5"/>
  <c r="S835" i="5"/>
  <c r="S294" i="5"/>
  <c r="S295" i="5"/>
  <c r="S1318" i="5"/>
  <c r="S2179" i="5"/>
  <c r="S296" i="5"/>
  <c r="S2042" i="5"/>
  <c r="S2112" i="5"/>
  <c r="S1609" i="5"/>
  <c r="S1610" i="5"/>
  <c r="S1140" i="5"/>
  <c r="S1761" i="5"/>
  <c r="S176" i="5"/>
  <c r="S418" i="5"/>
  <c r="S1319" i="5"/>
  <c r="S115" i="5"/>
  <c r="S461" i="5"/>
  <c r="S599" i="5"/>
  <c r="S902" i="5"/>
  <c r="S379" i="5"/>
  <c r="S540" i="5"/>
  <c r="S338" i="5"/>
  <c r="S765" i="5"/>
  <c r="S2180" i="5"/>
  <c r="S2083" i="5"/>
  <c r="S1956" i="5"/>
  <c r="S251" i="5"/>
  <c r="S462" i="5"/>
  <c r="S1141" i="5"/>
  <c r="S1578" i="5"/>
  <c r="S1611" i="5"/>
  <c r="S985" i="5"/>
  <c r="S2113" i="5"/>
  <c r="S903" i="5"/>
  <c r="S177" i="5"/>
  <c r="S904" i="5"/>
  <c r="S1612" i="5"/>
  <c r="S297" i="5"/>
  <c r="S298" i="5"/>
  <c r="S1274" i="5"/>
  <c r="S1370" i="5"/>
  <c r="S2084" i="5"/>
  <c r="S1070" i="5"/>
  <c r="S673" i="5"/>
  <c r="S674" i="5"/>
  <c r="S1707" i="5"/>
  <c r="S1216" i="5"/>
  <c r="S380" i="5"/>
  <c r="S45" i="5"/>
  <c r="S1071" i="5"/>
  <c r="S178" i="5"/>
  <c r="S986" i="5"/>
  <c r="S836" i="5"/>
  <c r="S252" i="5"/>
  <c r="S1320" i="5"/>
  <c r="S179" i="5"/>
  <c r="S2144" i="5"/>
  <c r="S1762" i="5"/>
  <c r="S1763" i="5"/>
  <c r="S541" i="5"/>
  <c r="S675" i="5"/>
  <c r="S1217" i="5"/>
  <c r="S987" i="5"/>
  <c r="S905" i="5"/>
  <c r="S542" i="5"/>
  <c r="S1857" i="5"/>
  <c r="S57" i="5"/>
  <c r="S1800" i="5"/>
  <c r="S1801" i="5"/>
  <c r="S837" i="5"/>
  <c r="S419" i="5"/>
  <c r="S1142" i="5"/>
  <c r="S1321" i="5"/>
  <c r="S543" i="5"/>
  <c r="S1072" i="5"/>
  <c r="S544" i="5"/>
  <c r="S1073" i="5"/>
  <c r="S253" i="5"/>
  <c r="S142" i="5"/>
  <c r="S838" i="5"/>
  <c r="S839" i="5"/>
  <c r="S87" i="5"/>
  <c r="S906" i="5"/>
  <c r="S2181" i="5"/>
  <c r="S600" i="5"/>
  <c r="S1218" i="5"/>
  <c r="S1219" i="5"/>
  <c r="S299" i="5"/>
  <c r="S180" i="5"/>
  <c r="S988" i="5"/>
  <c r="S676" i="5"/>
  <c r="S420" i="5"/>
  <c r="S116" i="5"/>
  <c r="S989" i="5"/>
  <c r="S545" i="5"/>
  <c r="S546" i="5"/>
  <c r="S990" i="5"/>
  <c r="S339" i="5"/>
  <c r="S58" i="5"/>
  <c r="S117" i="5"/>
  <c r="S907" i="5"/>
  <c r="S463" i="5"/>
  <c r="S464" i="5"/>
  <c r="S254" i="5"/>
  <c r="S381" i="5"/>
  <c r="S991" i="5"/>
  <c r="S465" i="5"/>
  <c r="S340" i="5"/>
  <c r="S382" i="5"/>
  <c r="S59" i="5"/>
  <c r="S1708" i="5"/>
  <c r="S1143" i="5"/>
  <c r="S1144" i="5"/>
  <c r="S300" i="5"/>
  <c r="S677" i="5"/>
  <c r="S255" i="5"/>
  <c r="S766" i="5"/>
  <c r="S1220" i="5"/>
  <c r="S143" i="5"/>
  <c r="S601" i="5"/>
  <c r="S1275" i="5"/>
  <c r="S466" i="5"/>
  <c r="S678" i="5"/>
  <c r="S341" i="5"/>
  <c r="S1145" i="5"/>
  <c r="S342" i="5"/>
  <c r="S908" i="5"/>
  <c r="S1802" i="5"/>
  <c r="S301" i="5"/>
  <c r="S1445" i="5"/>
  <c r="S1446" i="5"/>
  <c r="S181" i="5"/>
  <c r="S144" i="5"/>
  <c r="S118" i="5"/>
  <c r="S119" i="5"/>
  <c r="S1709" i="5"/>
  <c r="S1992" i="5"/>
  <c r="S1221" i="5"/>
  <c r="S256" i="5"/>
  <c r="S1146" i="5"/>
  <c r="S215" i="5"/>
  <c r="S1528" i="5"/>
  <c r="S1147" i="5"/>
  <c r="S383" i="5"/>
  <c r="S1074" i="5"/>
  <c r="S1075" i="5"/>
  <c r="S547" i="5"/>
  <c r="S548" i="5"/>
  <c r="S602" i="5"/>
  <c r="S909" i="5"/>
  <c r="S767" i="5"/>
  <c r="S1371" i="5"/>
  <c r="S1372" i="5"/>
  <c r="S1148" i="5"/>
  <c r="S1322" i="5"/>
  <c r="S1323" i="5"/>
  <c r="S1908" i="5"/>
  <c r="S182" i="5"/>
  <c r="S1957" i="5"/>
  <c r="S343" i="5"/>
  <c r="S145" i="5"/>
  <c r="S1529" i="5"/>
  <c r="S1530" i="5"/>
  <c r="S1222" i="5"/>
  <c r="S216" i="5"/>
  <c r="S1858" i="5"/>
  <c r="S768" i="5"/>
  <c r="S2085" i="5"/>
  <c r="S769" i="5"/>
  <c r="S302" i="5"/>
  <c r="S1658" i="5"/>
  <c r="S603" i="5"/>
  <c r="S1149" i="5"/>
  <c r="S992" i="5"/>
  <c r="S303" i="5"/>
  <c r="S1803" i="5"/>
  <c r="S1804" i="5"/>
  <c r="S183" i="5"/>
  <c r="S1223" i="5"/>
  <c r="S184" i="5"/>
  <c r="S185" i="5"/>
  <c r="S304" i="5"/>
  <c r="S679" i="5"/>
  <c r="S467" i="5"/>
  <c r="S88" i="5"/>
  <c r="S993" i="5"/>
  <c r="S217" i="5"/>
  <c r="S549" i="5"/>
  <c r="S840" i="5"/>
  <c r="S146" i="5"/>
  <c r="S344" i="5"/>
  <c r="S680" i="5"/>
  <c r="S604" i="5"/>
  <c r="S910" i="5"/>
  <c r="S1150" i="5"/>
  <c r="S1151" i="5"/>
  <c r="S218" i="5"/>
  <c r="S120" i="5"/>
  <c r="S186" i="5"/>
  <c r="S911" i="5"/>
  <c r="S187" i="5"/>
  <c r="S188" i="5"/>
  <c r="S468" i="5"/>
  <c r="S46" i="5"/>
  <c r="S681" i="5"/>
  <c r="S682" i="5"/>
  <c r="S841" i="5"/>
  <c r="S842" i="5"/>
  <c r="S219" i="5"/>
  <c r="S220" i="5"/>
  <c r="S770" i="5"/>
  <c r="S1659" i="5"/>
  <c r="S1152" i="5"/>
  <c r="S1276" i="5"/>
  <c r="S1277" i="5"/>
  <c r="S221" i="5"/>
  <c r="S189" i="5"/>
  <c r="S345" i="5"/>
  <c r="S384" i="5"/>
  <c r="S385" i="5"/>
  <c r="S843" i="5"/>
  <c r="S1278" i="5"/>
  <c r="S421" i="5"/>
  <c r="S257" i="5"/>
  <c r="S912" i="5"/>
  <c r="S60" i="5"/>
  <c r="S61" i="5"/>
  <c r="S62" i="5"/>
  <c r="S258" i="5"/>
  <c r="S1076" i="5"/>
  <c r="S29" i="5"/>
  <c r="S1487" i="5"/>
  <c r="S1488" i="5"/>
  <c r="S1710" i="5"/>
  <c r="S1711" i="5"/>
  <c r="S1712" i="5"/>
  <c r="S1224" i="5"/>
  <c r="S346" i="5"/>
  <c r="S844" i="5"/>
  <c r="S89" i="5"/>
  <c r="S63" i="5"/>
  <c r="S147" i="5"/>
  <c r="S64" i="5"/>
  <c r="S222" i="5"/>
  <c r="S2198" i="5"/>
  <c r="S469" i="5"/>
  <c r="S683" i="5"/>
  <c r="S90" i="5"/>
  <c r="S771" i="5"/>
  <c r="S550" i="5"/>
  <c r="S148" i="5"/>
  <c r="S30" i="5"/>
  <c r="S684" i="5"/>
  <c r="S1660" i="5"/>
  <c r="S1661" i="5"/>
  <c r="S551" i="5"/>
  <c r="S772" i="5"/>
  <c r="S685" i="5"/>
  <c r="S1613" i="5"/>
  <c r="S2114" i="5"/>
  <c r="S470" i="5"/>
  <c r="S1077" i="5"/>
  <c r="S223" i="5"/>
  <c r="S552" i="5"/>
  <c r="S259" i="5"/>
  <c r="S260" i="5"/>
  <c r="S121" i="5"/>
  <c r="S65" i="5"/>
  <c r="S471" i="5"/>
  <c r="S422" i="5"/>
  <c r="S472" i="5"/>
  <c r="S1859" i="5"/>
  <c r="S122" i="5"/>
  <c r="S261" i="5"/>
  <c r="S1153" i="5"/>
  <c r="S1154" i="5"/>
  <c r="S473" i="5"/>
  <c r="S474" i="5"/>
  <c r="S31" i="5"/>
  <c r="S423" i="5"/>
  <c r="S1764" i="5"/>
  <c r="S149" i="5"/>
  <c r="S2086" i="5"/>
  <c r="S1531" i="5"/>
  <c r="S190" i="5"/>
  <c r="S686" i="5"/>
  <c r="S262" i="5"/>
  <c r="S1860" i="5"/>
  <c r="S424" i="5"/>
  <c r="S5" i="5"/>
  <c r="S994" i="5"/>
  <c r="S1225" i="5"/>
  <c r="S123" i="5"/>
  <c r="S1662" i="5"/>
  <c r="S687" i="5"/>
  <c r="S475" i="5"/>
  <c r="S1155" i="5"/>
  <c r="S2043" i="5"/>
  <c r="S688" i="5"/>
  <c r="S553" i="5"/>
  <c r="S773" i="5"/>
  <c r="S263" i="5"/>
  <c r="S91" i="5"/>
  <c r="S92" i="5"/>
  <c r="S93" i="5"/>
  <c r="S1078" i="5"/>
  <c r="S913" i="5"/>
  <c r="S689" i="5"/>
  <c r="S94" i="5"/>
  <c r="S191" i="5"/>
  <c r="S2044" i="5"/>
  <c r="S47" i="5"/>
  <c r="S914" i="5"/>
  <c r="S774" i="5"/>
  <c r="S690" i="5"/>
  <c r="S691" i="5"/>
  <c r="S554" i="5"/>
  <c r="S476" i="5"/>
  <c r="S477" i="5"/>
  <c r="S224" i="5"/>
  <c r="S192" i="5"/>
  <c r="S150" i="5"/>
  <c r="S32" i="5"/>
  <c r="S6" i="5"/>
  <c r="S1373" i="5"/>
  <c r="S1805" i="5"/>
  <c r="S347" i="5"/>
  <c r="S2115" i="5"/>
  <c r="S692" i="5"/>
  <c r="S1447" i="5"/>
  <c r="S1226" i="5"/>
  <c r="S1532" i="5"/>
  <c r="S915" i="5"/>
  <c r="S478" i="5"/>
  <c r="S1079" i="5"/>
  <c r="R2199" i="5"/>
  <c r="R1080" i="5"/>
  <c r="R775" i="5"/>
  <c r="R555" i="5"/>
  <c r="R264" i="5"/>
  <c r="R1614" i="5"/>
  <c r="R1615" i="5"/>
  <c r="R556" i="5"/>
  <c r="R48" i="5"/>
  <c r="R386" i="5"/>
  <c r="R12" i="5"/>
  <c r="R124" i="5"/>
  <c r="R1157" i="5"/>
  <c r="R2045" i="5"/>
  <c r="R1713" i="5"/>
  <c r="R1958" i="5"/>
  <c r="R1959" i="5"/>
  <c r="R1081" i="5"/>
  <c r="R1909" i="5"/>
  <c r="R2220" i="5"/>
  <c r="R845" i="5"/>
  <c r="R151" i="5"/>
  <c r="R20" i="5"/>
  <c r="R1616" i="5"/>
  <c r="R193" i="5"/>
  <c r="R265" i="5"/>
  <c r="R2145" i="5"/>
  <c r="R693" i="5"/>
  <c r="R152" i="5"/>
  <c r="R2166" i="5"/>
  <c r="R995" i="5"/>
  <c r="R1806" i="5"/>
  <c r="R49" i="5"/>
  <c r="R348" i="5"/>
  <c r="R1910" i="5"/>
  <c r="R2146" i="5"/>
  <c r="R1082" i="5"/>
  <c r="R266" i="5"/>
  <c r="R33" i="5"/>
  <c r="R34" i="5"/>
  <c r="R1807" i="5"/>
  <c r="R425" i="5"/>
  <c r="R35" i="5"/>
  <c r="R95" i="5"/>
  <c r="R1808" i="5"/>
  <c r="R225" i="5"/>
  <c r="R36" i="5"/>
  <c r="R846" i="5"/>
  <c r="R267" i="5"/>
  <c r="R1324" i="5"/>
  <c r="R1663" i="5"/>
  <c r="R1617" i="5"/>
  <c r="R66" i="5"/>
  <c r="R1579" i="5"/>
  <c r="R349" i="5"/>
  <c r="R426" i="5"/>
  <c r="R479" i="5"/>
  <c r="R1664" i="5"/>
  <c r="R1665" i="5"/>
  <c r="R96" i="5"/>
  <c r="R1618" i="5"/>
  <c r="R1666" i="5"/>
  <c r="R268" i="5"/>
  <c r="R350" i="5"/>
  <c r="R21" i="5"/>
  <c r="R996" i="5"/>
  <c r="R916" i="5"/>
  <c r="R917" i="5"/>
  <c r="R694" i="5"/>
  <c r="R1911" i="5"/>
  <c r="R2046" i="5"/>
  <c r="R269" i="5"/>
  <c r="R1580" i="5"/>
  <c r="R1809" i="5"/>
  <c r="R1325" i="5"/>
  <c r="R1534" i="5"/>
  <c r="R37" i="5"/>
  <c r="R847" i="5"/>
  <c r="R480" i="5"/>
  <c r="R67" i="5"/>
  <c r="R1535" i="5"/>
  <c r="R1536" i="5"/>
  <c r="R427" i="5"/>
  <c r="R1912" i="5"/>
  <c r="R1448" i="5"/>
  <c r="R605" i="5"/>
  <c r="R1714" i="5"/>
  <c r="R1993" i="5"/>
  <c r="R557" i="5"/>
  <c r="R1960" i="5"/>
  <c r="R918" i="5"/>
  <c r="R919" i="5"/>
  <c r="R1581" i="5"/>
  <c r="R1083" i="5"/>
  <c r="R1374" i="5"/>
  <c r="R1375" i="5"/>
  <c r="R1994" i="5"/>
  <c r="R1715" i="5"/>
  <c r="R97" i="5"/>
  <c r="R98" i="5"/>
  <c r="R695" i="5"/>
  <c r="R305" i="5"/>
  <c r="R306" i="5"/>
  <c r="R1810" i="5"/>
  <c r="R848" i="5"/>
  <c r="R776" i="5"/>
  <c r="R1995" i="5"/>
  <c r="R1996" i="5"/>
  <c r="R1997" i="5"/>
  <c r="R2147" i="5"/>
  <c r="R696" i="5"/>
  <c r="R697" i="5"/>
  <c r="R2148" i="5"/>
  <c r="R1537" i="5"/>
  <c r="R1227" i="5"/>
  <c r="R22" i="5"/>
  <c r="R153" i="5"/>
  <c r="R920" i="5"/>
  <c r="R1084" i="5"/>
  <c r="R7" i="5"/>
  <c r="R1619" i="5"/>
  <c r="R921" i="5"/>
  <c r="R777" i="5"/>
  <c r="R154" i="5"/>
  <c r="R1376" i="5"/>
  <c r="R2182" i="5"/>
  <c r="R2183" i="5"/>
  <c r="R226" i="5"/>
  <c r="R2207" i="5"/>
  <c r="R2184" i="5"/>
  <c r="R1998" i="5"/>
  <c r="R778" i="5"/>
  <c r="R558" i="5"/>
  <c r="R1667" i="5"/>
  <c r="R1538" i="5"/>
  <c r="R1620" i="5"/>
  <c r="R387" i="5"/>
  <c r="R2087" i="5"/>
  <c r="R1326" i="5"/>
  <c r="R1861" i="5"/>
  <c r="R1765" i="5"/>
  <c r="R1766" i="5"/>
  <c r="R155" i="5"/>
  <c r="R1582" i="5"/>
  <c r="R559" i="5"/>
  <c r="R1449" i="5"/>
  <c r="R481" i="5"/>
  <c r="R1539" i="5"/>
  <c r="R1085" i="5"/>
  <c r="R2149" i="5"/>
  <c r="R2150" i="5"/>
  <c r="R270" i="5"/>
  <c r="R1767" i="5"/>
  <c r="R1583" i="5"/>
  <c r="R1540" i="5"/>
  <c r="R606" i="5"/>
  <c r="R1621" i="5"/>
  <c r="R1999" i="5"/>
  <c r="R388" i="5"/>
  <c r="R389" i="5"/>
  <c r="R2116" i="5"/>
  <c r="R271" i="5"/>
  <c r="R1158" i="5"/>
  <c r="R2167" i="5"/>
  <c r="R1279" i="5"/>
  <c r="R125" i="5"/>
  <c r="R126" i="5"/>
  <c r="R1716" i="5"/>
  <c r="R1489" i="5"/>
  <c r="R1450" i="5"/>
  <c r="R68" i="5"/>
  <c r="R69" i="5"/>
  <c r="R1086" i="5"/>
  <c r="R698" i="5"/>
  <c r="R1377" i="5"/>
  <c r="R1378" i="5"/>
  <c r="R2168" i="5"/>
  <c r="R1717" i="5"/>
  <c r="R1668" i="5"/>
  <c r="R1159" i="5"/>
  <c r="R1584" i="5"/>
  <c r="R156" i="5"/>
  <c r="R2047" i="5"/>
  <c r="R1961" i="5"/>
  <c r="R2088" i="5"/>
  <c r="R1718" i="5"/>
  <c r="R1490" i="5"/>
  <c r="R13" i="5"/>
  <c r="R8" i="5"/>
  <c r="R2208" i="5"/>
  <c r="R997" i="5"/>
  <c r="R998" i="5"/>
  <c r="R699" i="5"/>
  <c r="R1327" i="5"/>
  <c r="R1862" i="5"/>
  <c r="R2117" i="5"/>
  <c r="R1087" i="5"/>
  <c r="R1863" i="5"/>
  <c r="R2209" i="5"/>
  <c r="R700" i="5"/>
  <c r="R157" i="5"/>
  <c r="R922" i="5"/>
  <c r="R923" i="5"/>
  <c r="R14" i="5"/>
  <c r="R1491" i="5"/>
  <c r="R1492" i="5"/>
  <c r="R1913" i="5"/>
  <c r="R390" i="5"/>
  <c r="R1328" i="5"/>
  <c r="R607" i="5"/>
  <c r="R924" i="5"/>
  <c r="R307" i="5"/>
  <c r="R1914" i="5"/>
  <c r="R1669" i="5"/>
  <c r="R1719" i="5"/>
  <c r="R1864" i="5"/>
  <c r="R1720" i="5"/>
  <c r="R1160" i="5"/>
  <c r="R608" i="5"/>
  <c r="R779" i="5"/>
  <c r="R227" i="5"/>
  <c r="R849" i="5"/>
  <c r="R850" i="5"/>
  <c r="R1622" i="5"/>
  <c r="R158" i="5"/>
  <c r="R1811" i="5"/>
  <c r="R1088" i="5"/>
  <c r="R1585" i="5"/>
  <c r="R15" i="5"/>
  <c r="R701" i="5"/>
  <c r="R702" i="5"/>
  <c r="R1280" i="5"/>
  <c r="R1281" i="5"/>
  <c r="R1451" i="5"/>
  <c r="R1721" i="5"/>
  <c r="R2048" i="5"/>
  <c r="R999" i="5"/>
  <c r="R851" i="5"/>
  <c r="R1452" i="5"/>
  <c r="R391" i="5"/>
  <c r="R560" i="5"/>
  <c r="R272" i="5"/>
  <c r="R1000" i="5"/>
  <c r="R1768" i="5"/>
  <c r="R1089" i="5"/>
  <c r="R2185" i="5"/>
  <c r="R1769" i="5"/>
  <c r="R2049" i="5"/>
  <c r="R2050" i="5"/>
  <c r="R1623" i="5"/>
  <c r="R2151" i="5"/>
  <c r="R1329" i="5"/>
  <c r="R609" i="5"/>
  <c r="R159" i="5"/>
  <c r="R1670" i="5"/>
  <c r="R1722" i="5"/>
  <c r="R99" i="5"/>
  <c r="R780" i="5"/>
  <c r="R2169" i="5"/>
  <c r="R925" i="5"/>
  <c r="R1001" i="5"/>
  <c r="R1812" i="5"/>
  <c r="R926" i="5"/>
  <c r="R1915" i="5"/>
  <c r="R351" i="5"/>
  <c r="R1282" i="5"/>
  <c r="R1723" i="5"/>
  <c r="R70" i="5"/>
  <c r="R1283" i="5"/>
  <c r="R1284" i="5"/>
  <c r="R2170" i="5"/>
  <c r="R1090" i="5"/>
  <c r="R2000" i="5"/>
  <c r="R2214" i="5"/>
  <c r="R482" i="5"/>
  <c r="R428" i="5"/>
  <c r="R1671" i="5"/>
  <c r="R2171" i="5"/>
  <c r="R1493" i="5"/>
  <c r="R1228" i="5"/>
  <c r="R1813" i="5"/>
  <c r="R392" i="5"/>
  <c r="R1379" i="5"/>
  <c r="R429" i="5"/>
  <c r="R430" i="5"/>
  <c r="R1770" i="5"/>
  <c r="R1494" i="5"/>
  <c r="R2152" i="5"/>
  <c r="R927" i="5"/>
  <c r="R1624" i="5"/>
  <c r="R2001" i="5"/>
  <c r="R1865" i="5"/>
  <c r="R2118" i="5"/>
  <c r="R1285" i="5"/>
  <c r="R2089" i="5"/>
  <c r="R1380" i="5"/>
  <c r="R1916" i="5"/>
  <c r="R1161" i="5"/>
  <c r="R273" i="5"/>
  <c r="R1541" i="5"/>
  <c r="R703" i="5"/>
  <c r="R1814" i="5"/>
  <c r="R704" i="5"/>
  <c r="R1091" i="5"/>
  <c r="R1002" i="5"/>
  <c r="R393" i="5"/>
  <c r="R1672" i="5"/>
  <c r="R928" i="5"/>
  <c r="R2153" i="5"/>
  <c r="R1542" i="5"/>
  <c r="R1543" i="5"/>
  <c r="R705" i="5"/>
  <c r="R1625" i="5"/>
  <c r="R1866" i="5"/>
  <c r="R1229" i="5"/>
  <c r="R2051" i="5"/>
  <c r="R2215" i="5"/>
  <c r="R610" i="5"/>
  <c r="R127" i="5"/>
  <c r="R308" i="5"/>
  <c r="R309" i="5"/>
  <c r="R352" i="5"/>
  <c r="R353" i="5"/>
  <c r="R1162" i="5"/>
  <c r="R1286" i="5"/>
  <c r="R781" i="5"/>
  <c r="R1230" i="5"/>
  <c r="R431" i="5"/>
  <c r="R432" i="5"/>
  <c r="R611" i="5"/>
  <c r="R483" i="5"/>
  <c r="R71" i="5"/>
  <c r="R1092" i="5"/>
  <c r="R1724" i="5"/>
  <c r="R561" i="5"/>
  <c r="R1917" i="5"/>
  <c r="R1771" i="5"/>
  <c r="R2002" i="5"/>
  <c r="R1381" i="5"/>
  <c r="R1867" i="5"/>
  <c r="R929" i="5"/>
  <c r="R1453" i="5"/>
  <c r="R1725" i="5"/>
  <c r="R2003" i="5"/>
  <c r="R2004" i="5"/>
  <c r="R23" i="5"/>
  <c r="R1544" i="5"/>
  <c r="R1673" i="5"/>
  <c r="R1962" i="5"/>
  <c r="R612" i="5"/>
  <c r="R562" i="5"/>
  <c r="R1163" i="5"/>
  <c r="R1586" i="5"/>
  <c r="R1587" i="5"/>
  <c r="R2119" i="5"/>
  <c r="R1093" i="5"/>
  <c r="R1382" i="5"/>
  <c r="R1868" i="5"/>
  <c r="R930" i="5"/>
  <c r="R1918" i="5"/>
  <c r="R1003" i="5"/>
  <c r="R2172" i="5"/>
  <c r="R16" i="5"/>
  <c r="R17" i="5"/>
  <c r="R1004" i="5"/>
  <c r="R1869" i="5"/>
  <c r="R1726" i="5"/>
  <c r="R50" i="5"/>
  <c r="R706" i="5"/>
  <c r="R707" i="5"/>
  <c r="R310" i="5"/>
  <c r="R613" i="5"/>
  <c r="R128" i="5"/>
  <c r="R852" i="5"/>
  <c r="R1963" i="5"/>
  <c r="R484" i="5"/>
  <c r="R1772" i="5"/>
  <c r="R2052" i="5"/>
  <c r="R1005" i="5"/>
  <c r="R51" i="5"/>
  <c r="R1383" i="5"/>
  <c r="R1231" i="5"/>
  <c r="R129" i="5"/>
  <c r="R311" i="5"/>
  <c r="R1164" i="5"/>
  <c r="R130" i="5"/>
  <c r="R228" i="5"/>
  <c r="R708" i="5"/>
  <c r="R1626" i="5"/>
  <c r="R2173" i="5"/>
  <c r="R2174" i="5"/>
  <c r="R1495" i="5"/>
  <c r="R1094" i="5"/>
  <c r="R1095" i="5"/>
  <c r="R1870" i="5"/>
  <c r="R1727" i="5"/>
  <c r="R194" i="5"/>
  <c r="R1545" i="5"/>
  <c r="R1165" i="5"/>
  <c r="R2120" i="5"/>
  <c r="R1871" i="5"/>
  <c r="R1872" i="5"/>
  <c r="R229" i="5"/>
  <c r="R1919" i="5"/>
  <c r="R931" i="5"/>
  <c r="R1166" i="5"/>
  <c r="R18" i="5"/>
  <c r="R614" i="5"/>
  <c r="R615" i="5"/>
  <c r="R2121" i="5"/>
  <c r="R2053" i="5"/>
  <c r="R1006" i="5"/>
  <c r="R2005" i="5"/>
  <c r="R1546" i="5"/>
  <c r="R1384" i="5"/>
  <c r="R485" i="5"/>
  <c r="R563" i="5"/>
  <c r="R782" i="5"/>
  <c r="R1920" i="5"/>
  <c r="R1921" i="5"/>
  <c r="R354" i="5"/>
  <c r="R433" i="5"/>
  <c r="R2122" i="5"/>
  <c r="R1547" i="5"/>
  <c r="R1007" i="5"/>
  <c r="R2054" i="5"/>
  <c r="R1728" i="5"/>
  <c r="R160" i="5"/>
  <c r="R161" i="5"/>
  <c r="R1815" i="5"/>
  <c r="R564" i="5"/>
  <c r="R312" i="5"/>
  <c r="R313" i="5"/>
  <c r="R486" i="5"/>
  <c r="R1008" i="5"/>
  <c r="R1009" i="5"/>
  <c r="R1674" i="5"/>
  <c r="R1729" i="5"/>
  <c r="R1548" i="5"/>
  <c r="R434" i="5"/>
  <c r="R1385" i="5"/>
  <c r="R2200" i="5"/>
  <c r="R1010" i="5"/>
  <c r="R1386" i="5"/>
  <c r="R783" i="5"/>
  <c r="R1549" i="5"/>
  <c r="R487" i="5"/>
  <c r="R1816" i="5"/>
  <c r="R1675" i="5"/>
  <c r="R1676" i="5"/>
  <c r="R1387" i="5"/>
  <c r="R616" i="5"/>
  <c r="R1677" i="5"/>
  <c r="R9" i="5"/>
  <c r="R853" i="5"/>
  <c r="R1773" i="5"/>
  <c r="R2055" i="5"/>
  <c r="R488" i="5"/>
  <c r="R1627" i="5"/>
  <c r="R195" i="5"/>
  <c r="R932" i="5"/>
  <c r="R1388" i="5"/>
  <c r="R1389" i="5"/>
  <c r="R617" i="5"/>
  <c r="R1011" i="5"/>
  <c r="R1287" i="5"/>
  <c r="R394" i="5"/>
  <c r="R2056" i="5"/>
  <c r="R1232" i="5"/>
  <c r="R1330" i="5"/>
  <c r="R2154" i="5"/>
  <c r="R1288" i="5"/>
  <c r="R230" i="5"/>
  <c r="R1873" i="5"/>
  <c r="R1096" i="5"/>
  <c r="R196" i="5"/>
  <c r="R197" i="5"/>
  <c r="R1233" i="5"/>
  <c r="R2006" i="5"/>
  <c r="R19" i="5"/>
  <c r="R1964" i="5"/>
  <c r="R489" i="5"/>
  <c r="R1922" i="5"/>
  <c r="R618" i="5"/>
  <c r="R2201" i="5"/>
  <c r="R435" i="5"/>
  <c r="R2175" i="5"/>
  <c r="R709" i="5"/>
  <c r="R1331" i="5"/>
  <c r="R619" i="5"/>
  <c r="R620" i="5"/>
  <c r="R2123" i="5"/>
  <c r="R274" i="5"/>
  <c r="R933" i="5"/>
  <c r="R1167" i="5"/>
  <c r="R1390" i="5"/>
  <c r="R1923" i="5"/>
  <c r="R314" i="5"/>
  <c r="R315" i="5"/>
  <c r="R1391" i="5"/>
  <c r="R1454" i="5"/>
  <c r="R1012" i="5"/>
  <c r="R1168" i="5"/>
  <c r="R1392" i="5"/>
  <c r="R162" i="5"/>
  <c r="R2007" i="5"/>
  <c r="R1332" i="5"/>
  <c r="R2202" i="5"/>
  <c r="R784" i="5"/>
  <c r="R2057" i="5"/>
  <c r="R1234" i="5"/>
  <c r="R395" i="5"/>
  <c r="R1550" i="5"/>
  <c r="R3" i="5"/>
  <c r="R275" i="5"/>
  <c r="R396" i="5"/>
  <c r="R1169" i="5"/>
  <c r="R854" i="5"/>
  <c r="R565" i="5"/>
  <c r="R2124" i="5"/>
  <c r="R710" i="5"/>
  <c r="R1965" i="5"/>
  <c r="R1393" i="5"/>
  <c r="R1817" i="5"/>
  <c r="R934" i="5"/>
  <c r="R2008" i="5"/>
  <c r="R1394" i="5"/>
  <c r="R1395" i="5"/>
  <c r="R316" i="5"/>
  <c r="R317" i="5"/>
  <c r="R2125" i="5"/>
  <c r="R1730" i="5"/>
  <c r="R1097" i="5"/>
  <c r="R1098" i="5"/>
  <c r="R1333" i="5"/>
  <c r="R1099" i="5"/>
  <c r="R1678" i="5"/>
  <c r="R1289" i="5"/>
  <c r="R1170" i="5"/>
  <c r="R1171" i="5"/>
  <c r="R38" i="5"/>
  <c r="R39" i="5"/>
  <c r="R2186" i="5"/>
  <c r="R100" i="5"/>
  <c r="R101" i="5"/>
  <c r="R318" i="5"/>
  <c r="R102" i="5"/>
  <c r="R103" i="5"/>
  <c r="R1172" i="5"/>
  <c r="R2" i="5"/>
  <c r="R621" i="5"/>
  <c r="R785" i="5"/>
  <c r="R1455" i="5"/>
  <c r="R1731" i="5"/>
  <c r="R436" i="5"/>
  <c r="R1774" i="5"/>
  <c r="R1456" i="5"/>
  <c r="R40" i="5"/>
  <c r="R1496" i="5"/>
  <c r="R1497" i="5"/>
  <c r="R2176" i="5"/>
  <c r="R490" i="5"/>
  <c r="R2126" i="5"/>
  <c r="R2127" i="5"/>
  <c r="R711" i="5"/>
  <c r="R1679" i="5"/>
  <c r="R1628" i="5"/>
  <c r="R2058" i="5"/>
  <c r="R131" i="5"/>
  <c r="R104" i="5"/>
  <c r="R105" i="5"/>
  <c r="R1100" i="5"/>
  <c r="R397" i="5"/>
  <c r="R2177" i="5"/>
  <c r="R786" i="5"/>
  <c r="R787" i="5"/>
  <c r="R788" i="5"/>
  <c r="R2009" i="5"/>
  <c r="R855" i="5"/>
  <c r="R132" i="5"/>
  <c r="R1101" i="5"/>
  <c r="R1102" i="5"/>
  <c r="R2059" i="5"/>
  <c r="R1173" i="5"/>
  <c r="R1103" i="5"/>
  <c r="R4" i="5"/>
  <c r="R1290" i="5"/>
  <c r="R1334" i="5"/>
  <c r="R1732" i="5"/>
  <c r="R1874" i="5"/>
  <c r="R1818" i="5"/>
  <c r="R1966" i="5"/>
  <c r="R2060" i="5"/>
  <c r="R491" i="5"/>
  <c r="R1924" i="5"/>
  <c r="R72" i="5"/>
  <c r="R106" i="5"/>
  <c r="R1733" i="5"/>
  <c r="R2187" i="5"/>
  <c r="R2188" i="5"/>
  <c r="R1291" i="5"/>
  <c r="R1104" i="5"/>
  <c r="R1775" i="5"/>
  <c r="R319" i="5"/>
  <c r="R320" i="5"/>
  <c r="R712" i="5"/>
  <c r="R1776" i="5"/>
  <c r="R1174" i="5"/>
  <c r="R1551" i="5"/>
  <c r="R198" i="5"/>
  <c r="R1396" i="5"/>
  <c r="R1175" i="5"/>
  <c r="R622" i="5"/>
  <c r="R1875" i="5"/>
  <c r="R1588" i="5"/>
  <c r="R2155" i="5"/>
  <c r="R492" i="5"/>
  <c r="R493" i="5"/>
  <c r="R1819" i="5"/>
  <c r="R1498" i="5"/>
  <c r="R1013" i="5"/>
  <c r="R1397" i="5"/>
  <c r="R2189" i="5"/>
  <c r="R1777" i="5"/>
  <c r="R2178" i="5"/>
  <c r="R623" i="5"/>
  <c r="R1105" i="5"/>
  <c r="R2203" i="5"/>
  <c r="R494" i="5"/>
  <c r="R1335" i="5"/>
  <c r="R1014" i="5"/>
  <c r="R1292" i="5"/>
  <c r="R1876" i="5"/>
  <c r="R1176" i="5"/>
  <c r="R1398" i="5"/>
  <c r="R1106" i="5"/>
  <c r="R935" i="5"/>
  <c r="R1629" i="5"/>
  <c r="R936" i="5"/>
  <c r="R937" i="5"/>
  <c r="R624" i="5"/>
  <c r="R789" i="5"/>
  <c r="R1967" i="5"/>
  <c r="R1457" i="5"/>
  <c r="R1458" i="5"/>
  <c r="R1680" i="5"/>
  <c r="R1734" i="5"/>
  <c r="R1778" i="5"/>
  <c r="R1779" i="5"/>
  <c r="R1780" i="5"/>
  <c r="R790" i="5"/>
  <c r="R231" i="5"/>
  <c r="R791" i="5"/>
  <c r="R856" i="5"/>
  <c r="R1925" i="5"/>
  <c r="R1926" i="5"/>
  <c r="R1552" i="5"/>
  <c r="R857" i="5"/>
  <c r="R398" i="5"/>
  <c r="R2210" i="5"/>
  <c r="R1399" i="5"/>
  <c r="R1877" i="5"/>
  <c r="R1735" i="5"/>
  <c r="R1177" i="5"/>
  <c r="R321" i="5"/>
  <c r="R1736" i="5"/>
  <c r="R713" i="5"/>
  <c r="R625" i="5"/>
  <c r="R626" i="5"/>
  <c r="R1293" i="5"/>
  <c r="R2216" i="5"/>
  <c r="R1681" i="5"/>
  <c r="R1737" i="5"/>
  <c r="R2061" i="5"/>
  <c r="R627" i="5"/>
  <c r="R2090" i="5"/>
  <c r="R1820" i="5"/>
  <c r="R1821" i="5"/>
  <c r="R1781" i="5"/>
  <c r="R2010" i="5"/>
  <c r="R495" i="5"/>
  <c r="R1015" i="5"/>
  <c r="R1016" i="5"/>
  <c r="R1107" i="5"/>
  <c r="R1235" i="5"/>
  <c r="R1927" i="5"/>
  <c r="R52" i="5"/>
  <c r="R1968" i="5"/>
  <c r="R1928" i="5"/>
  <c r="R938" i="5"/>
  <c r="R73" i="5"/>
  <c r="R1108" i="5"/>
  <c r="R199" i="5"/>
  <c r="R1589" i="5"/>
  <c r="R1590" i="5"/>
  <c r="R1499" i="5"/>
  <c r="R1400" i="5"/>
  <c r="R1459" i="5"/>
  <c r="R1969" i="5"/>
  <c r="R1460" i="5"/>
  <c r="R1822" i="5"/>
  <c r="R2190" i="5"/>
  <c r="R2191" i="5"/>
  <c r="R2011" i="5"/>
  <c r="R792" i="5"/>
  <c r="R1461" i="5"/>
  <c r="R1236" i="5"/>
  <c r="R1823" i="5"/>
  <c r="R1824" i="5"/>
  <c r="R1553" i="5"/>
  <c r="R496" i="5"/>
  <c r="R1237" i="5"/>
  <c r="R1238" i="5"/>
  <c r="R1239" i="5"/>
  <c r="R1336" i="5"/>
  <c r="R1337" i="5"/>
  <c r="R437" i="5"/>
  <c r="R497" i="5"/>
  <c r="R498" i="5"/>
  <c r="R1109" i="5"/>
  <c r="R1929" i="5"/>
  <c r="R858" i="5"/>
  <c r="R1462" i="5"/>
  <c r="R1630" i="5"/>
  <c r="R1631" i="5"/>
  <c r="R1591" i="5"/>
  <c r="R1592" i="5"/>
  <c r="R2204" i="5"/>
  <c r="R1294" i="5"/>
  <c r="R322" i="5"/>
  <c r="R24" i="5"/>
  <c r="R793" i="5"/>
  <c r="R794" i="5"/>
  <c r="R2091" i="5"/>
  <c r="R1682" i="5"/>
  <c r="R2012" i="5"/>
  <c r="R399" i="5"/>
  <c r="R1295" i="5"/>
  <c r="R1878" i="5"/>
  <c r="R1879" i="5"/>
  <c r="R1463" i="5"/>
  <c r="R1178" i="5"/>
  <c r="R163" i="5"/>
  <c r="R1683" i="5"/>
  <c r="R2205" i="5"/>
  <c r="R2128" i="5"/>
  <c r="R2129" i="5"/>
  <c r="R1930" i="5"/>
  <c r="R1931" i="5"/>
  <c r="R1632" i="5"/>
  <c r="R1633" i="5"/>
  <c r="R1179" i="5"/>
  <c r="R1401" i="5"/>
  <c r="R939" i="5"/>
  <c r="R1402" i="5"/>
  <c r="R1932" i="5"/>
  <c r="R1933" i="5"/>
  <c r="R1554" i="5"/>
  <c r="R1970" i="5"/>
  <c r="R1880" i="5"/>
  <c r="R1296" i="5"/>
  <c r="R1825" i="5"/>
  <c r="R438" i="5"/>
  <c r="R1110" i="5"/>
  <c r="R1111" i="5"/>
  <c r="R1684" i="5"/>
  <c r="R2013" i="5"/>
  <c r="R2014" i="5"/>
  <c r="R940" i="5"/>
  <c r="R1634" i="5"/>
  <c r="R1782" i="5"/>
  <c r="R1180" i="5"/>
  <c r="R2192" i="5"/>
  <c r="R628" i="5"/>
  <c r="R1826" i="5"/>
  <c r="R941" i="5"/>
  <c r="R2015" i="5"/>
  <c r="R566" i="5"/>
  <c r="R1593" i="5"/>
  <c r="R795" i="5"/>
  <c r="R714" i="5"/>
  <c r="R1112" i="5"/>
  <c r="R1464" i="5"/>
  <c r="R439" i="5"/>
  <c r="R440" i="5"/>
  <c r="R2016" i="5"/>
  <c r="R1465" i="5"/>
  <c r="R1594" i="5"/>
  <c r="R133" i="5"/>
  <c r="R1113" i="5"/>
  <c r="R1240" i="5"/>
  <c r="R41" i="5"/>
  <c r="R1403" i="5"/>
  <c r="R1404" i="5"/>
  <c r="R2156" i="5"/>
  <c r="R715" i="5"/>
  <c r="R323" i="5"/>
  <c r="R499" i="5"/>
  <c r="R1738" i="5"/>
  <c r="R1241" i="5"/>
  <c r="R1338" i="5"/>
  <c r="R1339" i="5"/>
  <c r="R1881" i="5"/>
  <c r="R1971" i="5"/>
  <c r="R1685" i="5"/>
  <c r="R1297" i="5"/>
  <c r="R1114" i="5"/>
  <c r="R1686" i="5"/>
  <c r="R1739" i="5"/>
  <c r="R629" i="5"/>
  <c r="R400" i="5"/>
  <c r="R2017" i="5"/>
  <c r="R716" i="5"/>
  <c r="R2092" i="5"/>
  <c r="R1466" i="5"/>
  <c r="R1340" i="5"/>
  <c r="R441" i="5"/>
  <c r="R1827" i="5"/>
  <c r="R2062" i="5"/>
  <c r="R232" i="5"/>
  <c r="R717" i="5"/>
  <c r="R1467" i="5"/>
  <c r="R1017" i="5"/>
  <c r="R718" i="5"/>
  <c r="R1595" i="5"/>
  <c r="R1596" i="5"/>
  <c r="R1018" i="5"/>
  <c r="R1019" i="5"/>
  <c r="R630" i="5"/>
  <c r="R442" i="5"/>
  <c r="R443" i="5"/>
  <c r="R859" i="5"/>
  <c r="R1828" i="5"/>
  <c r="R860" i="5"/>
  <c r="R2157" i="5"/>
  <c r="R500" i="5"/>
  <c r="R1405" i="5"/>
  <c r="R444" i="5"/>
  <c r="R796" i="5"/>
  <c r="R1934" i="5"/>
  <c r="R631" i="5"/>
  <c r="R942" i="5"/>
  <c r="R1882" i="5"/>
  <c r="R1115" i="5"/>
  <c r="R943" i="5"/>
  <c r="R1883" i="5"/>
  <c r="R632" i="5"/>
  <c r="R1406" i="5"/>
  <c r="R1407" i="5"/>
  <c r="R944" i="5"/>
  <c r="R567" i="5"/>
  <c r="R1408" i="5"/>
  <c r="R945" i="5"/>
  <c r="R719" i="5"/>
  <c r="R2093" i="5"/>
  <c r="R1555" i="5"/>
  <c r="R2063" i="5"/>
  <c r="R2064" i="5"/>
  <c r="R2018" i="5"/>
  <c r="R1972" i="5"/>
  <c r="R1468" i="5"/>
  <c r="R2094" i="5"/>
  <c r="R2095" i="5"/>
  <c r="R1556" i="5"/>
  <c r="R1298" i="5"/>
  <c r="R1597" i="5"/>
  <c r="R1935" i="5"/>
  <c r="R1299" i="5"/>
  <c r="R74" i="5"/>
  <c r="R1687" i="5"/>
  <c r="R861" i="5"/>
  <c r="R1181" i="5"/>
  <c r="R1829" i="5"/>
  <c r="R1116" i="5"/>
  <c r="R1409" i="5"/>
  <c r="R355" i="5"/>
  <c r="R1830" i="5"/>
  <c r="R1557" i="5"/>
  <c r="R1558" i="5"/>
  <c r="R2130" i="5"/>
  <c r="R633" i="5"/>
  <c r="R324" i="5"/>
  <c r="R1242" i="5"/>
  <c r="R1243" i="5"/>
  <c r="R1469" i="5"/>
  <c r="R797" i="5"/>
  <c r="R1884" i="5"/>
  <c r="R1559" i="5"/>
  <c r="R1635" i="5"/>
  <c r="R1973" i="5"/>
  <c r="R1020" i="5"/>
  <c r="R720" i="5"/>
  <c r="R721" i="5"/>
  <c r="R1470" i="5"/>
  <c r="R356" i="5"/>
  <c r="R1885" i="5"/>
  <c r="R2065" i="5"/>
  <c r="R1783" i="5"/>
  <c r="R1831" i="5"/>
  <c r="R1688" i="5"/>
  <c r="R1182" i="5"/>
  <c r="R445" i="5"/>
  <c r="R1560" i="5"/>
  <c r="R1886" i="5"/>
  <c r="R1689" i="5"/>
  <c r="R568" i="5"/>
  <c r="R325" i="5"/>
  <c r="R1410" i="5"/>
  <c r="R862" i="5"/>
  <c r="R501" i="5"/>
  <c r="R1341" i="5"/>
  <c r="R1936" i="5"/>
  <c r="R1183" i="5"/>
  <c r="R1342" i="5"/>
  <c r="R1117" i="5"/>
  <c r="R446" i="5"/>
  <c r="R2066" i="5"/>
  <c r="R2217" i="5"/>
  <c r="R1021" i="5"/>
  <c r="R722" i="5"/>
  <c r="R1937" i="5"/>
  <c r="R447" i="5"/>
  <c r="R2067" i="5"/>
  <c r="R1500" i="5"/>
  <c r="R2019" i="5"/>
  <c r="R1411" i="5"/>
  <c r="R1343" i="5"/>
  <c r="R1300" i="5"/>
  <c r="R946" i="5"/>
  <c r="R502" i="5"/>
  <c r="R1244" i="5"/>
  <c r="R863" i="5"/>
  <c r="R134" i="5"/>
  <c r="R1598" i="5"/>
  <c r="R947" i="5"/>
  <c r="R1599" i="5"/>
  <c r="R2096" i="5"/>
  <c r="R723" i="5"/>
  <c r="R357" i="5"/>
  <c r="R1412" i="5"/>
  <c r="R1413" i="5"/>
  <c r="R634" i="5"/>
  <c r="R358" i="5"/>
  <c r="R1022" i="5"/>
  <c r="R1184" i="5"/>
  <c r="R1185" i="5"/>
  <c r="R448" i="5"/>
  <c r="R948" i="5"/>
  <c r="R798" i="5"/>
  <c r="R569" i="5"/>
  <c r="R1301" i="5"/>
  <c r="R724" i="5"/>
  <c r="R2097" i="5"/>
  <c r="R2098" i="5"/>
  <c r="R1245" i="5"/>
  <c r="R359" i="5"/>
  <c r="R360" i="5"/>
  <c r="R1302" i="5"/>
  <c r="R1501" i="5"/>
  <c r="R725" i="5"/>
  <c r="R1186" i="5"/>
  <c r="R2158" i="5"/>
  <c r="R1246" i="5"/>
  <c r="R1561" i="5"/>
  <c r="R1974" i="5"/>
  <c r="R1975" i="5"/>
  <c r="R1562" i="5"/>
  <c r="R1414" i="5"/>
  <c r="R2211" i="5"/>
  <c r="R1247" i="5"/>
  <c r="R2020" i="5"/>
  <c r="R726" i="5"/>
  <c r="R570" i="5"/>
  <c r="R727" i="5"/>
  <c r="R1471" i="5"/>
  <c r="R1563" i="5"/>
  <c r="R1976" i="5"/>
  <c r="R1344" i="5"/>
  <c r="R1023" i="5"/>
  <c r="R2212" i="5"/>
  <c r="R864" i="5"/>
  <c r="R503" i="5"/>
  <c r="R1887" i="5"/>
  <c r="R2099" i="5"/>
  <c r="R233" i="5"/>
  <c r="R635" i="5"/>
  <c r="R636" i="5"/>
  <c r="R571" i="5"/>
  <c r="R200" i="5"/>
  <c r="R1832" i="5"/>
  <c r="R1118" i="5"/>
  <c r="R1784" i="5"/>
  <c r="R949" i="5"/>
  <c r="R1415" i="5"/>
  <c r="R1833" i="5"/>
  <c r="R1024" i="5"/>
  <c r="R1187" i="5"/>
  <c r="R1188" i="5"/>
  <c r="R1119" i="5"/>
  <c r="R865" i="5"/>
  <c r="R1834" i="5"/>
  <c r="R1690" i="5"/>
  <c r="R1600" i="5"/>
  <c r="R504" i="5"/>
  <c r="R572" i="5"/>
  <c r="R573" i="5"/>
  <c r="R1189" i="5"/>
  <c r="R1691" i="5"/>
  <c r="R728" i="5"/>
  <c r="R1564" i="5"/>
  <c r="R1025" i="5"/>
  <c r="R1026" i="5"/>
  <c r="R1835" i="5"/>
  <c r="R2131" i="5"/>
  <c r="R2021" i="5"/>
  <c r="R866" i="5"/>
  <c r="R1601" i="5"/>
  <c r="R1836" i="5"/>
  <c r="R1837" i="5"/>
  <c r="R2100" i="5"/>
  <c r="R1502" i="5"/>
  <c r="R361" i="5"/>
  <c r="R2132" i="5"/>
  <c r="R1977" i="5"/>
  <c r="R1838" i="5"/>
  <c r="R1839" i="5"/>
  <c r="R1785" i="5"/>
  <c r="R574" i="5"/>
  <c r="R867" i="5"/>
  <c r="R449" i="5"/>
  <c r="R1345" i="5"/>
  <c r="R1636" i="5"/>
  <c r="R1303" i="5"/>
  <c r="R1190" i="5"/>
  <c r="R505" i="5"/>
  <c r="R1120" i="5"/>
  <c r="R1191" i="5"/>
  <c r="R1416" i="5"/>
  <c r="R868" i="5"/>
  <c r="R1503" i="5"/>
  <c r="R637" i="5"/>
  <c r="R201" i="5"/>
  <c r="R1740" i="5"/>
  <c r="R1741" i="5"/>
  <c r="R1888" i="5"/>
  <c r="R638" i="5"/>
  <c r="R1417" i="5"/>
  <c r="R2068" i="5"/>
  <c r="R950" i="5"/>
  <c r="R2022" i="5"/>
  <c r="R1978" i="5"/>
  <c r="R1979" i="5"/>
  <c r="R1692" i="5"/>
  <c r="R1504" i="5"/>
  <c r="R1192" i="5"/>
  <c r="R799" i="5"/>
  <c r="R639" i="5"/>
  <c r="R2069" i="5"/>
  <c r="R729" i="5"/>
  <c r="R1786" i="5"/>
  <c r="R1840" i="5"/>
  <c r="R640" i="5"/>
  <c r="R730" i="5"/>
  <c r="R1121" i="5"/>
  <c r="R506" i="5"/>
  <c r="R1693" i="5"/>
  <c r="R1938" i="5"/>
  <c r="R1742" i="5"/>
  <c r="R800" i="5"/>
  <c r="R1841" i="5"/>
  <c r="R1027" i="5"/>
  <c r="R1939" i="5"/>
  <c r="R1694" i="5"/>
  <c r="R1787" i="5"/>
  <c r="R869" i="5"/>
  <c r="R1889" i="5"/>
  <c r="R731" i="5"/>
  <c r="R732" i="5"/>
  <c r="R1565" i="5"/>
  <c r="R1304" i="5"/>
  <c r="R1028" i="5"/>
  <c r="R507" i="5"/>
  <c r="R1193" i="5"/>
  <c r="R234" i="5"/>
  <c r="R1695" i="5"/>
  <c r="R1505" i="5"/>
  <c r="R1506" i="5"/>
  <c r="R2101" i="5"/>
  <c r="R508" i="5"/>
  <c r="R641" i="5"/>
  <c r="R2102" i="5"/>
  <c r="R1418" i="5"/>
  <c r="R1305" i="5"/>
  <c r="R870" i="5"/>
  <c r="R1472" i="5"/>
  <c r="R733" i="5"/>
  <c r="R1743" i="5"/>
  <c r="R951" i="5"/>
  <c r="R401" i="5"/>
  <c r="R1419" i="5"/>
  <c r="R1637" i="5"/>
  <c r="R642" i="5"/>
  <c r="R2133" i="5"/>
  <c r="R135" i="5"/>
  <c r="R2023" i="5"/>
  <c r="R2134" i="5"/>
  <c r="R1744" i="5"/>
  <c r="R1306" i="5"/>
  <c r="R1745" i="5"/>
  <c r="R1980" i="5"/>
  <c r="R1420" i="5"/>
  <c r="R42" i="5"/>
  <c r="R643" i="5"/>
  <c r="R644" i="5"/>
  <c r="R2159" i="5"/>
  <c r="R1248" i="5"/>
  <c r="R509" i="5"/>
  <c r="R53" i="5"/>
  <c r="R1566" i="5"/>
  <c r="R871" i="5"/>
  <c r="R2221" i="5"/>
  <c r="R1890" i="5"/>
  <c r="R362" i="5"/>
  <c r="R1194" i="5"/>
  <c r="R2193" i="5"/>
  <c r="R2194" i="5"/>
  <c r="R1842" i="5"/>
  <c r="R1843" i="5"/>
  <c r="R1844" i="5"/>
  <c r="R1845" i="5"/>
  <c r="R2024" i="5"/>
  <c r="R1567" i="5"/>
  <c r="R1891" i="5"/>
  <c r="R1746" i="5"/>
  <c r="R1981" i="5"/>
  <c r="R1696" i="5"/>
  <c r="R2103" i="5"/>
  <c r="R1249" i="5"/>
  <c r="R1638" i="5"/>
  <c r="R1639" i="5"/>
  <c r="R1640" i="5"/>
  <c r="R1747" i="5"/>
  <c r="R1940" i="5"/>
  <c r="R1122" i="5"/>
  <c r="R1507" i="5"/>
  <c r="R1788" i="5"/>
  <c r="R1846" i="5"/>
  <c r="R575" i="5"/>
  <c r="R952" i="5"/>
  <c r="R2025" i="5"/>
  <c r="R326" i="5"/>
  <c r="R645" i="5"/>
  <c r="R402" i="5"/>
  <c r="R276" i="5"/>
  <c r="R277" i="5"/>
  <c r="R1568" i="5"/>
  <c r="R1789" i="5"/>
  <c r="R1250" i="5"/>
  <c r="R1941" i="5"/>
  <c r="R1508" i="5"/>
  <c r="R1748" i="5"/>
  <c r="R2135" i="5"/>
  <c r="R2136" i="5"/>
  <c r="R953" i="5"/>
  <c r="R43" i="5"/>
  <c r="R646" i="5"/>
  <c r="R647" i="5"/>
  <c r="R1602" i="5"/>
  <c r="R801" i="5"/>
  <c r="R1892" i="5"/>
  <c r="R2026" i="5"/>
  <c r="R1346" i="5"/>
  <c r="R1347" i="5"/>
  <c r="R1749" i="5"/>
  <c r="R648" i="5"/>
  <c r="R734" i="5"/>
  <c r="R1029" i="5"/>
  <c r="R954" i="5"/>
  <c r="R1509" i="5"/>
  <c r="R1893" i="5"/>
  <c r="R2027" i="5"/>
  <c r="R2070" i="5"/>
  <c r="R1030" i="5"/>
  <c r="R649" i="5"/>
  <c r="R802" i="5"/>
  <c r="R2137" i="5"/>
  <c r="R1641" i="5"/>
  <c r="R1031" i="5"/>
  <c r="R1473" i="5"/>
  <c r="R872" i="5"/>
  <c r="R2071" i="5"/>
  <c r="R1251" i="5"/>
  <c r="R2218" i="5"/>
  <c r="R2219" i="5"/>
  <c r="R1474" i="5"/>
  <c r="R1510" i="5"/>
  <c r="R1511" i="5"/>
  <c r="R1642" i="5"/>
  <c r="R1348" i="5"/>
  <c r="R1512" i="5"/>
  <c r="R1982" i="5"/>
  <c r="R25" i="5"/>
  <c r="R2104" i="5"/>
  <c r="R1195" i="5"/>
  <c r="R1894" i="5"/>
  <c r="R1513" i="5"/>
  <c r="R2105" i="5"/>
  <c r="R1983" i="5"/>
  <c r="R450" i="5"/>
  <c r="R873" i="5"/>
  <c r="R874" i="5"/>
  <c r="R875" i="5"/>
  <c r="R1603" i="5"/>
  <c r="R1196" i="5"/>
  <c r="R1847" i="5"/>
  <c r="R1750" i="5"/>
  <c r="R803" i="5"/>
  <c r="R735" i="5"/>
  <c r="R2138" i="5"/>
  <c r="R2106" i="5"/>
  <c r="R1421" i="5"/>
  <c r="R2028" i="5"/>
  <c r="R1643" i="5"/>
  <c r="R804" i="5"/>
  <c r="R403" i="5"/>
  <c r="R1644" i="5"/>
  <c r="R1307" i="5"/>
  <c r="R736" i="5"/>
  <c r="R1790" i="5"/>
  <c r="R1984" i="5"/>
  <c r="R451" i="5"/>
  <c r="R737" i="5"/>
  <c r="R2139" i="5"/>
  <c r="R1349" i="5"/>
  <c r="R1645" i="5"/>
  <c r="R2072" i="5"/>
  <c r="R2073" i="5"/>
  <c r="R1791" i="5"/>
  <c r="R1569" i="5"/>
  <c r="R2029" i="5"/>
  <c r="R1032" i="5"/>
  <c r="R1422" i="5"/>
  <c r="R650" i="5"/>
  <c r="R510" i="5"/>
  <c r="R1423" i="5"/>
  <c r="R1848" i="5"/>
  <c r="R1849" i="5"/>
  <c r="R576" i="5"/>
  <c r="R136" i="5"/>
  <c r="R1475" i="5"/>
  <c r="R1308" i="5"/>
  <c r="R1424" i="5"/>
  <c r="R1425" i="5"/>
  <c r="R876" i="5"/>
  <c r="R1197" i="5"/>
  <c r="R1646" i="5"/>
  <c r="R738" i="5"/>
  <c r="R1514" i="5"/>
  <c r="R1942" i="5"/>
  <c r="R1350" i="5"/>
  <c r="R1751" i="5"/>
  <c r="R2160" i="5"/>
  <c r="R2161" i="5"/>
  <c r="R2030" i="5"/>
  <c r="R1752" i="5"/>
  <c r="R1604" i="5"/>
  <c r="R1033" i="5"/>
  <c r="R955" i="5"/>
  <c r="R956" i="5"/>
  <c r="R1895" i="5"/>
  <c r="R511" i="5"/>
  <c r="R805" i="5"/>
  <c r="R1943" i="5"/>
  <c r="R957" i="5"/>
  <c r="R651" i="5"/>
  <c r="R1985" i="5"/>
  <c r="R739" i="5"/>
  <c r="R75" i="5"/>
  <c r="R652" i="5"/>
  <c r="R1570" i="5"/>
  <c r="R740" i="5"/>
  <c r="R741" i="5"/>
  <c r="R742" i="5"/>
  <c r="R1850" i="5"/>
  <c r="R877" i="5"/>
  <c r="R1851" i="5"/>
  <c r="R958" i="5"/>
  <c r="R653" i="5"/>
  <c r="R1896" i="5"/>
  <c r="R1897" i="5"/>
  <c r="R806" i="5"/>
  <c r="R1476" i="5"/>
  <c r="R1605" i="5"/>
  <c r="R164" i="5"/>
  <c r="R1477" i="5"/>
  <c r="R1351" i="5"/>
  <c r="R807" i="5"/>
  <c r="R404" i="5"/>
  <c r="R808" i="5"/>
  <c r="R1478" i="5"/>
  <c r="R1479" i="5"/>
  <c r="R1944" i="5"/>
  <c r="R1252" i="5"/>
  <c r="R1034" i="5"/>
  <c r="R2162" i="5"/>
  <c r="R2206" i="5"/>
  <c r="R743" i="5"/>
  <c r="R809" i="5"/>
  <c r="R107" i="5"/>
  <c r="R327" i="5"/>
  <c r="R1571" i="5"/>
  <c r="R1753" i="5"/>
  <c r="R1515" i="5"/>
  <c r="R1426" i="5"/>
  <c r="R1427" i="5"/>
  <c r="R2163" i="5"/>
  <c r="R810" i="5"/>
  <c r="R452" i="5"/>
  <c r="R2213" i="5"/>
  <c r="R811" i="5"/>
  <c r="R812" i="5"/>
  <c r="R405" i="5"/>
  <c r="R363" i="5"/>
  <c r="R1309" i="5"/>
  <c r="R1697" i="5"/>
  <c r="R1123" i="5"/>
  <c r="R1352" i="5"/>
  <c r="R1353" i="5"/>
  <c r="R2074" i="5"/>
  <c r="R1035" i="5"/>
  <c r="R1198" i="5"/>
  <c r="R1945" i="5"/>
  <c r="R1354" i="5"/>
  <c r="R1647" i="5"/>
  <c r="R1124" i="5"/>
  <c r="R959" i="5"/>
  <c r="R1036" i="5"/>
  <c r="R1428" i="5"/>
  <c r="R813" i="5"/>
  <c r="R1253" i="5"/>
  <c r="R1429" i="5"/>
  <c r="R512" i="5"/>
  <c r="R960" i="5"/>
  <c r="R202" i="5"/>
  <c r="R744" i="5"/>
  <c r="R1430" i="5"/>
  <c r="R1125" i="5"/>
  <c r="R2031" i="5"/>
  <c r="R1126" i="5"/>
  <c r="R1792" i="5"/>
  <c r="R2195" i="5"/>
  <c r="R1199" i="5"/>
  <c r="R878" i="5"/>
  <c r="R406" i="5"/>
  <c r="R407" i="5"/>
  <c r="R1037" i="5"/>
  <c r="R328" i="5"/>
  <c r="R1254" i="5"/>
  <c r="R513" i="5"/>
  <c r="R2032" i="5"/>
  <c r="R278" i="5"/>
  <c r="R1200" i="5"/>
  <c r="R1201" i="5"/>
  <c r="R1355" i="5"/>
  <c r="R408" i="5"/>
  <c r="R1356" i="5"/>
  <c r="R2033" i="5"/>
  <c r="R1357" i="5"/>
  <c r="R814" i="5"/>
  <c r="R1038" i="5"/>
  <c r="R961" i="5"/>
  <c r="R577" i="5"/>
  <c r="R2075" i="5"/>
  <c r="R1202" i="5"/>
  <c r="R1793" i="5"/>
  <c r="R745" i="5"/>
  <c r="R879" i="5"/>
  <c r="R1127" i="5"/>
  <c r="R815" i="5"/>
  <c r="R578" i="5"/>
  <c r="R2107" i="5"/>
  <c r="R1039" i="5"/>
  <c r="R1572" i="5"/>
  <c r="R1040" i="5"/>
  <c r="R1203" i="5"/>
  <c r="R1431" i="5"/>
  <c r="R235" i="5"/>
  <c r="R514" i="5"/>
  <c r="R44" i="5"/>
  <c r="R26" i="5"/>
  <c r="R1310" i="5"/>
  <c r="R962" i="5"/>
  <c r="R1946" i="5"/>
  <c r="R1898" i="5"/>
  <c r="R1899" i="5"/>
  <c r="R1255" i="5"/>
  <c r="R816" i="5"/>
  <c r="R515" i="5"/>
  <c r="R1480" i="5"/>
  <c r="R1481" i="5"/>
  <c r="R654" i="5"/>
  <c r="R880" i="5"/>
  <c r="R881" i="5"/>
  <c r="R1041" i="5"/>
  <c r="R364" i="5"/>
  <c r="R963" i="5"/>
  <c r="R76" i="5"/>
  <c r="R165" i="5"/>
  <c r="R166" i="5"/>
  <c r="R817" i="5"/>
  <c r="R1754" i="5"/>
  <c r="R1698" i="5"/>
  <c r="R1204" i="5"/>
  <c r="R1794" i="5"/>
  <c r="R236" i="5"/>
  <c r="R2164" i="5"/>
  <c r="R1205" i="5"/>
  <c r="R365" i="5"/>
  <c r="R746" i="5"/>
  <c r="R329" i="5"/>
  <c r="R1042" i="5"/>
  <c r="R366" i="5"/>
  <c r="R579" i="5"/>
  <c r="R580" i="5"/>
  <c r="R516" i="5"/>
  <c r="R137" i="5"/>
  <c r="R138" i="5"/>
  <c r="R517" i="5"/>
  <c r="R367" i="5"/>
  <c r="R108" i="5"/>
  <c r="R409" i="5"/>
  <c r="R1900" i="5"/>
  <c r="R1256" i="5"/>
  <c r="R1482" i="5"/>
  <c r="R747" i="5"/>
  <c r="R964" i="5"/>
  <c r="R1483" i="5"/>
  <c r="R518" i="5"/>
  <c r="R1484" i="5"/>
  <c r="R203" i="5"/>
  <c r="R1986" i="5"/>
  <c r="R581" i="5"/>
  <c r="R1795" i="5"/>
  <c r="R167" i="5"/>
  <c r="R1257" i="5"/>
  <c r="R1258" i="5"/>
  <c r="R1648" i="5"/>
  <c r="R519" i="5"/>
  <c r="R2108" i="5"/>
  <c r="R582" i="5"/>
  <c r="R1259" i="5"/>
  <c r="R330" i="5"/>
  <c r="R1206" i="5"/>
  <c r="R139" i="5"/>
  <c r="R520" i="5"/>
  <c r="R1516" i="5"/>
  <c r="R2034" i="5"/>
  <c r="R1043" i="5"/>
  <c r="R1485" i="5"/>
  <c r="R748" i="5"/>
  <c r="R655" i="5"/>
  <c r="R1432" i="5"/>
  <c r="R1796" i="5"/>
  <c r="R1260" i="5"/>
  <c r="R2076" i="5"/>
  <c r="R2077" i="5"/>
  <c r="R453" i="5"/>
  <c r="R1433" i="5"/>
  <c r="R1207" i="5"/>
  <c r="R1208" i="5"/>
  <c r="R1128" i="5"/>
  <c r="R1261" i="5"/>
  <c r="R331" i="5"/>
  <c r="R1987" i="5"/>
  <c r="R1797" i="5"/>
  <c r="R2035" i="5"/>
  <c r="R818" i="5"/>
  <c r="R965" i="5"/>
  <c r="R966" i="5"/>
  <c r="R1311" i="5"/>
  <c r="R583" i="5"/>
  <c r="R749" i="5"/>
  <c r="R368" i="5"/>
  <c r="R204" i="5"/>
  <c r="R237" i="5"/>
  <c r="R2036" i="5"/>
  <c r="R819" i="5"/>
  <c r="R820" i="5"/>
  <c r="R279" i="5"/>
  <c r="R280" i="5"/>
  <c r="R281" i="5"/>
  <c r="R1947" i="5"/>
  <c r="R1948" i="5"/>
  <c r="R1209" i="5"/>
  <c r="R1044" i="5"/>
  <c r="R584" i="5"/>
  <c r="R2078" i="5"/>
  <c r="R1045" i="5"/>
  <c r="R109" i="5"/>
  <c r="R1988" i="5"/>
  <c r="R238" i="5"/>
  <c r="R369" i="5"/>
  <c r="R332" i="5"/>
  <c r="R1573" i="5"/>
  <c r="R1517" i="5"/>
  <c r="R282" i="5"/>
  <c r="R882" i="5"/>
  <c r="R656" i="5"/>
  <c r="R1649" i="5"/>
  <c r="R821" i="5"/>
  <c r="R168" i="5"/>
  <c r="R283" i="5"/>
  <c r="R1949" i="5"/>
  <c r="R1950" i="5"/>
  <c r="R967" i="5"/>
  <c r="R883" i="5"/>
  <c r="R1901" i="5"/>
  <c r="R1902" i="5"/>
  <c r="R968" i="5"/>
  <c r="R110" i="5"/>
  <c r="R1129" i="5"/>
  <c r="R1699" i="5"/>
  <c r="R2140" i="5"/>
  <c r="R969" i="5"/>
  <c r="R1755" i="5"/>
  <c r="R1903" i="5"/>
  <c r="R521" i="5"/>
  <c r="R77" i="5"/>
  <c r="R239" i="5"/>
  <c r="R522" i="5"/>
  <c r="R1518" i="5"/>
  <c r="R1519" i="5"/>
  <c r="R523" i="5"/>
  <c r="R1046" i="5"/>
  <c r="R970" i="5"/>
  <c r="R971" i="5"/>
  <c r="R884" i="5"/>
  <c r="R524" i="5"/>
  <c r="R370" i="5"/>
  <c r="R333" i="5"/>
  <c r="R169" i="5"/>
  <c r="R1904" i="5"/>
  <c r="R1905" i="5"/>
  <c r="R1262" i="5"/>
  <c r="R525" i="5"/>
  <c r="R822" i="5"/>
  <c r="R1210" i="5"/>
  <c r="R1211" i="5"/>
  <c r="R78" i="5"/>
  <c r="R1700" i="5"/>
  <c r="R1263" i="5"/>
  <c r="R1047" i="5"/>
  <c r="R1650" i="5"/>
  <c r="R1130" i="5"/>
  <c r="R170" i="5"/>
  <c r="R1048" i="5"/>
  <c r="R1358" i="5"/>
  <c r="R240" i="5"/>
  <c r="R526" i="5"/>
  <c r="R1131" i="5"/>
  <c r="R2109" i="5"/>
  <c r="R885" i="5"/>
  <c r="R205" i="5"/>
  <c r="R1574" i="5"/>
  <c r="R972" i="5"/>
  <c r="R585" i="5"/>
  <c r="R2196" i="5"/>
  <c r="R2197" i="5"/>
  <c r="R973" i="5"/>
  <c r="R1359" i="5"/>
  <c r="R1360" i="5"/>
  <c r="R527" i="5"/>
  <c r="R528" i="5"/>
  <c r="R1989" i="5"/>
  <c r="R657" i="5"/>
  <c r="R658" i="5"/>
  <c r="R1798" i="5"/>
  <c r="R659" i="5"/>
  <c r="R410" i="5"/>
  <c r="R886" i="5"/>
  <c r="R887" i="5"/>
  <c r="R660" i="5"/>
  <c r="R750" i="5"/>
  <c r="R1756" i="5"/>
  <c r="R284" i="5"/>
  <c r="R751" i="5"/>
  <c r="R752" i="5"/>
  <c r="R1906" i="5"/>
  <c r="R241" i="5"/>
  <c r="R79" i="5"/>
  <c r="R1049" i="5"/>
  <c r="R1050" i="5"/>
  <c r="R823" i="5"/>
  <c r="R753" i="5"/>
  <c r="R1361" i="5"/>
  <c r="R1362" i="5"/>
  <c r="R1312" i="5"/>
  <c r="R334" i="5"/>
  <c r="R1264" i="5"/>
  <c r="R529" i="5"/>
  <c r="R371" i="5"/>
  <c r="R1990" i="5"/>
  <c r="R1313" i="5"/>
  <c r="R1951" i="5"/>
  <c r="R1907" i="5"/>
  <c r="R1434" i="5"/>
  <c r="R1799" i="5"/>
  <c r="R1952" i="5"/>
  <c r="R411" i="5"/>
  <c r="R285" i="5"/>
  <c r="R454" i="5"/>
  <c r="R1265" i="5"/>
  <c r="R1520" i="5"/>
  <c r="R1701" i="5"/>
  <c r="R1051" i="5"/>
  <c r="R754" i="5"/>
  <c r="R1953" i="5"/>
  <c r="R755" i="5"/>
  <c r="R530" i="5"/>
  <c r="R1606" i="5"/>
  <c r="R2141" i="5"/>
  <c r="R1435" i="5"/>
  <c r="R661" i="5"/>
  <c r="R662" i="5"/>
  <c r="R586" i="5"/>
  <c r="R286" i="5"/>
  <c r="R1052" i="5"/>
  <c r="R206" i="5"/>
  <c r="R372" i="5"/>
  <c r="R1132" i="5"/>
  <c r="R1954" i="5"/>
  <c r="R242" i="5"/>
  <c r="R287" i="5"/>
  <c r="R1266" i="5"/>
  <c r="R373" i="5"/>
  <c r="R974" i="5"/>
  <c r="R2142" i="5"/>
  <c r="R1212" i="5"/>
  <c r="R1267" i="5"/>
  <c r="R288" i="5"/>
  <c r="R888" i="5"/>
  <c r="R889" i="5"/>
  <c r="R890" i="5"/>
  <c r="R891" i="5"/>
  <c r="R756" i="5"/>
  <c r="R1436" i="5"/>
  <c r="R1437" i="5"/>
  <c r="R587" i="5"/>
  <c r="R1053" i="5"/>
  <c r="R54" i="5"/>
  <c r="R2037" i="5"/>
  <c r="R1702" i="5"/>
  <c r="R892" i="5"/>
  <c r="R893" i="5"/>
  <c r="R243" i="5"/>
  <c r="R1133" i="5"/>
  <c r="R975" i="5"/>
  <c r="R531" i="5"/>
  <c r="R374" i="5"/>
  <c r="R1314" i="5"/>
  <c r="R2143" i="5"/>
  <c r="R111" i="5"/>
  <c r="R1852" i="5"/>
  <c r="R1268" i="5"/>
  <c r="R1757" i="5"/>
  <c r="R244" i="5"/>
  <c r="R245" i="5"/>
  <c r="R1054" i="5"/>
  <c r="R1055" i="5"/>
  <c r="R757" i="5"/>
  <c r="R412" i="5"/>
  <c r="R894" i="5"/>
  <c r="R1853" i="5"/>
  <c r="R27" i="5"/>
  <c r="R28" i="5"/>
  <c r="R1269" i="5"/>
  <c r="R895" i="5"/>
  <c r="R2079" i="5"/>
  <c r="R10" i="5"/>
  <c r="R11" i="5"/>
  <c r="R246" i="5"/>
  <c r="R171" i="5"/>
  <c r="R1363" i="5"/>
  <c r="R1854" i="5"/>
  <c r="R1056" i="5"/>
  <c r="R1057" i="5"/>
  <c r="R824" i="5"/>
  <c r="R825" i="5"/>
  <c r="R1991" i="5"/>
  <c r="R976" i="5"/>
  <c r="R1703" i="5"/>
  <c r="R663" i="5"/>
  <c r="R588" i="5"/>
  <c r="R2165" i="5"/>
  <c r="R375" i="5"/>
  <c r="R826" i="5"/>
  <c r="R827" i="5"/>
  <c r="R55" i="5"/>
  <c r="R589" i="5"/>
  <c r="R1521" i="5"/>
  <c r="R455" i="5"/>
  <c r="R172" i="5"/>
  <c r="R1704" i="5"/>
  <c r="R1438" i="5"/>
  <c r="R1522" i="5"/>
  <c r="R758" i="5"/>
  <c r="R112" i="5"/>
  <c r="R113" i="5"/>
  <c r="R1058" i="5"/>
  <c r="R2038" i="5"/>
  <c r="R1270" i="5"/>
  <c r="R532" i="5"/>
  <c r="R2110" i="5"/>
  <c r="R2111" i="5"/>
  <c r="R80" i="5"/>
  <c r="R81" i="5"/>
  <c r="R1134" i="5"/>
  <c r="R759" i="5"/>
  <c r="R207" i="5"/>
  <c r="R1705" i="5"/>
  <c r="R1135" i="5"/>
  <c r="R1523" i="5"/>
  <c r="R977" i="5"/>
  <c r="R828" i="5"/>
  <c r="R1364" i="5"/>
  <c r="R1213" i="5"/>
  <c r="R289" i="5"/>
  <c r="R1365" i="5"/>
  <c r="R1524" i="5"/>
  <c r="R896" i="5"/>
  <c r="R456" i="5"/>
  <c r="R1439" i="5"/>
  <c r="R208" i="5"/>
  <c r="R2039" i="5"/>
  <c r="R1758" i="5"/>
  <c r="R1575" i="5"/>
  <c r="R2040" i="5"/>
  <c r="R1525" i="5"/>
  <c r="R1059" i="5"/>
  <c r="R1060" i="5"/>
  <c r="R1366" i="5"/>
  <c r="R760" i="5"/>
  <c r="R761" i="5"/>
  <c r="R173" i="5"/>
  <c r="R413" i="5"/>
  <c r="R762" i="5"/>
  <c r="R664" i="5"/>
  <c r="R590" i="5"/>
  <c r="R1440" i="5"/>
  <c r="R1706" i="5"/>
  <c r="R533" i="5"/>
  <c r="R534" i="5"/>
  <c r="R591" i="5"/>
  <c r="R1061" i="5"/>
  <c r="R1062" i="5"/>
  <c r="R1271" i="5"/>
  <c r="R174" i="5"/>
  <c r="R2080" i="5"/>
  <c r="R457" i="5"/>
  <c r="R1441" i="5"/>
  <c r="R897" i="5"/>
  <c r="R1526" i="5"/>
  <c r="R1607" i="5"/>
  <c r="R1315" i="5"/>
  <c r="R1316" i="5"/>
  <c r="R247" i="5"/>
  <c r="R335" i="5"/>
  <c r="R1136" i="5"/>
  <c r="R898" i="5"/>
  <c r="R829" i="5"/>
  <c r="R1651" i="5"/>
  <c r="R1759" i="5"/>
  <c r="R290" i="5"/>
  <c r="R1955" i="5"/>
  <c r="R1063" i="5"/>
  <c r="R82" i="5"/>
  <c r="R978" i="5"/>
  <c r="R1137" i="5"/>
  <c r="R592" i="5"/>
  <c r="R665" i="5"/>
  <c r="R414" i="5"/>
  <c r="R899" i="5"/>
  <c r="R291" i="5"/>
  <c r="R248" i="5"/>
  <c r="R1486" i="5"/>
  <c r="R1064" i="5"/>
  <c r="R535" i="5"/>
  <c r="R666" i="5"/>
  <c r="R458" i="5"/>
  <c r="R979" i="5"/>
  <c r="R830" i="5"/>
  <c r="R415" i="5"/>
  <c r="R1576" i="5"/>
  <c r="R1577" i="5"/>
  <c r="R1652" i="5"/>
  <c r="R1855" i="5"/>
  <c r="R249" i="5"/>
  <c r="R593" i="5"/>
  <c r="R594" i="5"/>
  <c r="R900" i="5"/>
  <c r="R901" i="5"/>
  <c r="R763" i="5"/>
  <c r="R209" i="5"/>
  <c r="R376" i="5"/>
  <c r="R459" i="5"/>
  <c r="R595" i="5"/>
  <c r="R667" i="5"/>
  <c r="R668" i="5"/>
  <c r="R1527" i="5"/>
  <c r="R831" i="5"/>
  <c r="R1367" i="5"/>
  <c r="R2081" i="5"/>
  <c r="R416" i="5"/>
  <c r="R1214" i="5"/>
  <c r="R764" i="5"/>
  <c r="R669" i="5"/>
  <c r="R1317" i="5"/>
  <c r="R417" i="5"/>
  <c r="R980" i="5"/>
  <c r="R832" i="5"/>
  <c r="R1442" i="5"/>
  <c r="R670" i="5"/>
  <c r="R671" i="5"/>
  <c r="R460" i="5"/>
  <c r="R1065" i="5"/>
  <c r="R1760" i="5"/>
  <c r="R1653" i="5"/>
  <c r="R1654" i="5"/>
  <c r="R250" i="5"/>
  <c r="R981" i="5"/>
  <c r="R1215" i="5"/>
  <c r="R140" i="5"/>
  <c r="R1066" i="5"/>
  <c r="R1067" i="5"/>
  <c r="R596" i="5"/>
  <c r="R833" i="5"/>
  <c r="R834" i="5"/>
  <c r="R210" i="5"/>
  <c r="R83" i="5"/>
  <c r="R84" i="5"/>
  <c r="R982" i="5"/>
  <c r="R536" i="5"/>
  <c r="R292" i="5"/>
  <c r="R293" i="5"/>
  <c r="R56" i="5"/>
  <c r="R1608" i="5"/>
  <c r="R983" i="5"/>
  <c r="R1138" i="5"/>
  <c r="R175" i="5"/>
  <c r="R211" i="5"/>
  <c r="R1068" i="5"/>
  <c r="R984" i="5"/>
  <c r="R212" i="5"/>
  <c r="R213" i="5"/>
  <c r="R1069" i="5"/>
  <c r="R1443" i="5"/>
  <c r="R1444" i="5"/>
  <c r="R114" i="5"/>
  <c r="R1139" i="5"/>
  <c r="R1272" i="5"/>
  <c r="R672" i="5"/>
  <c r="R1655" i="5"/>
  <c r="R1368" i="5"/>
  <c r="R1656" i="5"/>
  <c r="R2082" i="5"/>
  <c r="R141" i="5"/>
  <c r="R1273" i="5"/>
  <c r="R214" i="5"/>
  <c r="R377" i="5"/>
  <c r="R597" i="5"/>
  <c r="R1856" i="5"/>
  <c r="R598" i="5"/>
  <c r="R1369" i="5"/>
  <c r="R336" i="5"/>
  <c r="R85" i="5"/>
  <c r="R86" i="5"/>
  <c r="R537" i="5"/>
  <c r="R538" i="5"/>
  <c r="R337" i="5"/>
  <c r="R1657" i="5"/>
  <c r="R378" i="5"/>
  <c r="R2041" i="5"/>
  <c r="R539" i="5"/>
  <c r="R835" i="5"/>
  <c r="R294" i="5"/>
  <c r="R295" i="5"/>
  <c r="R1318" i="5"/>
  <c r="R2179" i="5"/>
  <c r="R296" i="5"/>
  <c r="R2042" i="5"/>
  <c r="R2112" i="5"/>
  <c r="R1609" i="5"/>
  <c r="R1610" i="5"/>
  <c r="R1140" i="5"/>
  <c r="R1761" i="5"/>
  <c r="R176" i="5"/>
  <c r="R418" i="5"/>
  <c r="R1319" i="5"/>
  <c r="R115" i="5"/>
  <c r="R461" i="5"/>
  <c r="R599" i="5"/>
  <c r="R902" i="5"/>
  <c r="R379" i="5"/>
  <c r="R540" i="5"/>
  <c r="R338" i="5"/>
  <c r="R765" i="5"/>
  <c r="R2180" i="5"/>
  <c r="R2083" i="5"/>
  <c r="R1956" i="5"/>
  <c r="R251" i="5"/>
  <c r="R462" i="5"/>
  <c r="R1141" i="5"/>
  <c r="R1578" i="5"/>
  <c r="R1611" i="5"/>
  <c r="R985" i="5"/>
  <c r="R2113" i="5"/>
  <c r="R903" i="5"/>
  <c r="R177" i="5"/>
  <c r="R904" i="5"/>
  <c r="R1612" i="5"/>
  <c r="R297" i="5"/>
  <c r="R298" i="5"/>
  <c r="R1274" i="5"/>
  <c r="R1370" i="5"/>
  <c r="R2084" i="5"/>
  <c r="R1070" i="5"/>
  <c r="R673" i="5"/>
  <c r="R674" i="5"/>
  <c r="R1707" i="5"/>
  <c r="R1216" i="5"/>
  <c r="R380" i="5"/>
  <c r="R45" i="5"/>
  <c r="R1071" i="5"/>
  <c r="R178" i="5"/>
  <c r="R986" i="5"/>
  <c r="R836" i="5"/>
  <c r="R252" i="5"/>
  <c r="R1320" i="5"/>
  <c r="R179" i="5"/>
  <c r="R2144" i="5"/>
  <c r="R1762" i="5"/>
  <c r="R1763" i="5"/>
  <c r="R541" i="5"/>
  <c r="R675" i="5"/>
  <c r="R1217" i="5"/>
  <c r="R987" i="5"/>
  <c r="R905" i="5"/>
  <c r="R542" i="5"/>
  <c r="R1857" i="5"/>
  <c r="R57" i="5"/>
  <c r="R1800" i="5"/>
  <c r="R1801" i="5"/>
  <c r="R837" i="5"/>
  <c r="R419" i="5"/>
  <c r="R1142" i="5"/>
  <c r="R1321" i="5"/>
  <c r="R543" i="5"/>
  <c r="R1072" i="5"/>
  <c r="R544" i="5"/>
  <c r="R1073" i="5"/>
  <c r="R253" i="5"/>
  <c r="R142" i="5"/>
  <c r="R838" i="5"/>
  <c r="R839" i="5"/>
  <c r="R87" i="5"/>
  <c r="R906" i="5"/>
  <c r="R2181" i="5"/>
  <c r="R600" i="5"/>
  <c r="R1218" i="5"/>
  <c r="R1219" i="5"/>
  <c r="R299" i="5"/>
  <c r="R180" i="5"/>
  <c r="R988" i="5"/>
  <c r="R676" i="5"/>
  <c r="R420" i="5"/>
  <c r="R116" i="5"/>
  <c r="R989" i="5"/>
  <c r="R545" i="5"/>
  <c r="R546" i="5"/>
  <c r="R990" i="5"/>
  <c r="R339" i="5"/>
  <c r="R58" i="5"/>
  <c r="R117" i="5"/>
  <c r="R907" i="5"/>
  <c r="R463" i="5"/>
  <c r="R464" i="5"/>
  <c r="R254" i="5"/>
  <c r="R381" i="5"/>
  <c r="R991" i="5"/>
  <c r="R465" i="5"/>
  <c r="R340" i="5"/>
  <c r="R382" i="5"/>
  <c r="R59" i="5"/>
  <c r="R1708" i="5"/>
  <c r="R1143" i="5"/>
  <c r="R1144" i="5"/>
  <c r="R300" i="5"/>
  <c r="R677" i="5"/>
  <c r="R255" i="5"/>
  <c r="R766" i="5"/>
  <c r="R1220" i="5"/>
  <c r="R143" i="5"/>
  <c r="R601" i="5"/>
  <c r="R1275" i="5"/>
  <c r="R466" i="5"/>
  <c r="R678" i="5"/>
  <c r="R341" i="5"/>
  <c r="R1145" i="5"/>
  <c r="R342" i="5"/>
  <c r="R908" i="5"/>
  <c r="R1802" i="5"/>
  <c r="R301" i="5"/>
  <c r="R1445" i="5"/>
  <c r="R1446" i="5"/>
  <c r="R181" i="5"/>
  <c r="R144" i="5"/>
  <c r="R118" i="5"/>
  <c r="R119" i="5"/>
  <c r="R1709" i="5"/>
  <c r="R1992" i="5"/>
  <c r="R1221" i="5"/>
  <c r="R256" i="5"/>
  <c r="R1146" i="5"/>
  <c r="R215" i="5"/>
  <c r="R1528" i="5"/>
  <c r="R1147" i="5"/>
  <c r="R383" i="5"/>
  <c r="R1074" i="5"/>
  <c r="R1075" i="5"/>
  <c r="R547" i="5"/>
  <c r="R548" i="5"/>
  <c r="R602" i="5"/>
  <c r="R909" i="5"/>
  <c r="R767" i="5"/>
  <c r="R1371" i="5"/>
  <c r="R1372" i="5"/>
  <c r="R1148" i="5"/>
  <c r="R1322" i="5"/>
  <c r="R1323" i="5"/>
  <c r="R1908" i="5"/>
  <c r="R182" i="5"/>
  <c r="R1957" i="5"/>
  <c r="R343" i="5"/>
  <c r="R145" i="5"/>
  <c r="R1529" i="5"/>
  <c r="R1530" i="5"/>
  <c r="R1222" i="5"/>
  <c r="R216" i="5"/>
  <c r="R1858" i="5"/>
  <c r="R768" i="5"/>
  <c r="R2085" i="5"/>
  <c r="R769" i="5"/>
  <c r="R302" i="5"/>
  <c r="R1658" i="5"/>
  <c r="R603" i="5"/>
  <c r="R1149" i="5"/>
  <c r="R992" i="5"/>
  <c r="R303" i="5"/>
  <c r="R1803" i="5"/>
  <c r="R1804" i="5"/>
  <c r="R183" i="5"/>
  <c r="R1223" i="5"/>
  <c r="R184" i="5"/>
  <c r="R185" i="5"/>
  <c r="R304" i="5"/>
  <c r="R679" i="5"/>
  <c r="R467" i="5"/>
  <c r="R88" i="5"/>
  <c r="R993" i="5"/>
  <c r="R217" i="5"/>
  <c r="R549" i="5"/>
  <c r="R840" i="5"/>
  <c r="R146" i="5"/>
  <c r="R344" i="5"/>
  <c r="R680" i="5"/>
  <c r="R604" i="5"/>
  <c r="R910" i="5"/>
  <c r="R1150" i="5"/>
  <c r="R1151" i="5"/>
  <c r="R218" i="5"/>
  <c r="R120" i="5"/>
  <c r="R186" i="5"/>
  <c r="R911" i="5"/>
  <c r="R187" i="5"/>
  <c r="R188" i="5"/>
  <c r="R468" i="5"/>
  <c r="R46" i="5"/>
  <c r="R681" i="5"/>
  <c r="R682" i="5"/>
  <c r="R841" i="5"/>
  <c r="R842" i="5"/>
  <c r="R219" i="5"/>
  <c r="R220" i="5"/>
  <c r="R770" i="5"/>
  <c r="R1659" i="5"/>
  <c r="R1152" i="5"/>
  <c r="R1276" i="5"/>
  <c r="R1277" i="5"/>
  <c r="R221" i="5"/>
  <c r="R189" i="5"/>
  <c r="R345" i="5"/>
  <c r="R384" i="5"/>
  <c r="R385" i="5"/>
  <c r="R843" i="5"/>
  <c r="R1278" i="5"/>
  <c r="R421" i="5"/>
  <c r="R257" i="5"/>
  <c r="R912" i="5"/>
  <c r="R60" i="5"/>
  <c r="R61" i="5"/>
  <c r="R62" i="5"/>
  <c r="R258" i="5"/>
  <c r="R1076" i="5"/>
  <c r="R29" i="5"/>
  <c r="R1487" i="5"/>
  <c r="R1488" i="5"/>
  <c r="R1710" i="5"/>
  <c r="R1711" i="5"/>
  <c r="R1712" i="5"/>
  <c r="R1224" i="5"/>
  <c r="R346" i="5"/>
  <c r="R844" i="5"/>
  <c r="R89" i="5"/>
  <c r="R63" i="5"/>
  <c r="R147" i="5"/>
  <c r="R64" i="5"/>
  <c r="R222" i="5"/>
  <c r="R2198" i="5"/>
  <c r="R469" i="5"/>
  <c r="R683" i="5"/>
  <c r="R90" i="5"/>
  <c r="R771" i="5"/>
  <c r="R550" i="5"/>
  <c r="R148" i="5"/>
  <c r="R30" i="5"/>
  <c r="R684" i="5"/>
  <c r="R1660" i="5"/>
  <c r="R1661" i="5"/>
  <c r="R551" i="5"/>
  <c r="R772" i="5"/>
  <c r="R685" i="5"/>
  <c r="R1613" i="5"/>
  <c r="R2114" i="5"/>
  <c r="R470" i="5"/>
  <c r="R1077" i="5"/>
  <c r="R223" i="5"/>
  <c r="R552" i="5"/>
  <c r="R259" i="5"/>
  <c r="R260" i="5"/>
  <c r="R121" i="5"/>
  <c r="R65" i="5"/>
  <c r="R471" i="5"/>
  <c r="R422" i="5"/>
  <c r="R472" i="5"/>
  <c r="R1859" i="5"/>
  <c r="R122" i="5"/>
  <c r="R261" i="5"/>
  <c r="R1153" i="5"/>
  <c r="R1154" i="5"/>
  <c r="R473" i="5"/>
  <c r="R474" i="5"/>
  <c r="R31" i="5"/>
  <c r="R423" i="5"/>
  <c r="R1764" i="5"/>
  <c r="R149" i="5"/>
  <c r="R2086" i="5"/>
  <c r="R1531" i="5"/>
  <c r="R190" i="5"/>
  <c r="R686" i="5"/>
  <c r="R262" i="5"/>
  <c r="R1860" i="5"/>
  <c r="R424" i="5"/>
  <c r="R5" i="5"/>
  <c r="R994" i="5"/>
  <c r="R1225" i="5"/>
  <c r="R123" i="5"/>
  <c r="R1662" i="5"/>
  <c r="R687" i="5"/>
  <c r="R475" i="5"/>
  <c r="R1155" i="5"/>
  <c r="R2043" i="5"/>
  <c r="R688" i="5"/>
  <c r="R553" i="5"/>
  <c r="R773" i="5"/>
  <c r="R263" i="5"/>
  <c r="R91" i="5"/>
  <c r="R92" i="5"/>
  <c r="R93" i="5"/>
  <c r="R1078" i="5"/>
  <c r="R913" i="5"/>
  <c r="R689" i="5"/>
  <c r="R94" i="5"/>
  <c r="R191" i="5"/>
  <c r="R2044" i="5"/>
  <c r="R47" i="5"/>
  <c r="R914" i="5"/>
  <c r="R774" i="5"/>
  <c r="R690" i="5"/>
  <c r="R691" i="5"/>
  <c r="R554" i="5"/>
  <c r="R476" i="5"/>
  <c r="R477" i="5"/>
  <c r="R224" i="5"/>
  <c r="R192" i="5"/>
  <c r="R150" i="5"/>
  <c r="R32" i="5"/>
  <c r="R6" i="5"/>
  <c r="R1373" i="5"/>
  <c r="R1805" i="5"/>
  <c r="R347" i="5"/>
  <c r="R2115" i="5"/>
  <c r="R692" i="5"/>
  <c r="R1447" i="5"/>
  <c r="R1226" i="5"/>
  <c r="R1532" i="5"/>
  <c r="R915" i="5"/>
  <c r="R478" i="5"/>
  <c r="R1079" i="5"/>
  <c r="Q2199" i="5"/>
  <c r="Q1080" i="5"/>
  <c r="Q775" i="5"/>
  <c r="Q555" i="5"/>
  <c r="Q264" i="5"/>
  <c r="Q1614" i="5"/>
  <c r="Q1615" i="5"/>
  <c r="Q556" i="5"/>
  <c r="Q48" i="5"/>
  <c r="Q386" i="5"/>
  <c r="Q12" i="5"/>
  <c r="Q124" i="5"/>
  <c r="Q1157" i="5"/>
  <c r="Q2045" i="5"/>
  <c r="Q1713" i="5"/>
  <c r="Q1958" i="5"/>
  <c r="Q1959" i="5"/>
  <c r="Q1081" i="5"/>
  <c r="Q1909" i="5"/>
  <c r="Q2220" i="5"/>
  <c r="Q845" i="5"/>
  <c r="Q151" i="5"/>
  <c r="Q20" i="5"/>
  <c r="Q1616" i="5"/>
  <c r="Q193" i="5"/>
  <c r="Q265" i="5"/>
  <c r="Q2145" i="5"/>
  <c r="Q693" i="5"/>
  <c r="Q152" i="5"/>
  <c r="Q2166" i="5"/>
  <c r="Q995" i="5"/>
  <c r="Q1806" i="5"/>
  <c r="Q49" i="5"/>
  <c r="Q348" i="5"/>
  <c r="Q1910" i="5"/>
  <c r="Q2146" i="5"/>
  <c r="Q1082" i="5"/>
  <c r="Q266" i="5"/>
  <c r="Q33" i="5"/>
  <c r="Q34" i="5"/>
  <c r="Q1807" i="5"/>
  <c r="Q425" i="5"/>
  <c r="Q35" i="5"/>
  <c r="Q95" i="5"/>
  <c r="Q1808" i="5"/>
  <c r="Q225" i="5"/>
  <c r="Q36" i="5"/>
  <c r="Q846" i="5"/>
  <c r="Q267" i="5"/>
  <c r="Q1324" i="5"/>
  <c r="Q1663" i="5"/>
  <c r="Q1617" i="5"/>
  <c r="Q66" i="5"/>
  <c r="Q1579" i="5"/>
  <c r="Q349" i="5"/>
  <c r="Q426" i="5"/>
  <c r="Q479" i="5"/>
  <c r="Q1664" i="5"/>
  <c r="Q1665" i="5"/>
  <c r="Q96" i="5"/>
  <c r="Q1618" i="5"/>
  <c r="Q1666" i="5"/>
  <c r="Q268" i="5"/>
  <c r="Q350" i="5"/>
  <c r="Q21" i="5"/>
  <c r="Q996" i="5"/>
  <c r="Q916" i="5"/>
  <c r="Q917" i="5"/>
  <c r="Q694" i="5"/>
  <c r="Q1911" i="5"/>
  <c r="Q2046" i="5"/>
  <c r="Q269" i="5"/>
  <c r="Q1580" i="5"/>
  <c r="Q1809" i="5"/>
  <c r="Q1325" i="5"/>
  <c r="Q1534" i="5"/>
  <c r="Q37" i="5"/>
  <c r="Q847" i="5"/>
  <c r="Q480" i="5"/>
  <c r="Q67" i="5"/>
  <c r="Q1535" i="5"/>
  <c r="Q1536" i="5"/>
  <c r="Q427" i="5"/>
  <c r="Q1912" i="5"/>
  <c r="Q1448" i="5"/>
  <c r="Q605" i="5"/>
  <c r="Q1714" i="5"/>
  <c r="Q1993" i="5"/>
  <c r="Q557" i="5"/>
  <c r="Q1960" i="5"/>
  <c r="Q918" i="5"/>
  <c r="Q919" i="5"/>
  <c r="Q1581" i="5"/>
  <c r="Q1083" i="5"/>
  <c r="Q1374" i="5"/>
  <c r="Q1375" i="5"/>
  <c r="Q1994" i="5"/>
  <c r="Q1715" i="5"/>
  <c r="Q97" i="5"/>
  <c r="Q98" i="5"/>
  <c r="Q695" i="5"/>
  <c r="Q305" i="5"/>
  <c r="Q306" i="5"/>
  <c r="Q1810" i="5"/>
  <c r="Q848" i="5"/>
  <c r="Q776" i="5"/>
  <c r="Q1995" i="5"/>
  <c r="Q1996" i="5"/>
  <c r="Q1997" i="5"/>
  <c r="Q2147" i="5"/>
  <c r="Q696" i="5"/>
  <c r="Q697" i="5"/>
  <c r="Q2148" i="5"/>
  <c r="Q1537" i="5"/>
  <c r="Q1227" i="5"/>
  <c r="Q22" i="5"/>
  <c r="Q153" i="5"/>
  <c r="Q920" i="5"/>
  <c r="Q1084" i="5"/>
  <c r="Q7" i="5"/>
  <c r="Q1619" i="5"/>
  <c r="Q921" i="5"/>
  <c r="Q777" i="5"/>
  <c r="Q154" i="5"/>
  <c r="Q1376" i="5"/>
  <c r="Q2182" i="5"/>
  <c r="Q2183" i="5"/>
  <c r="Q226" i="5"/>
  <c r="Q2207" i="5"/>
  <c r="Q2184" i="5"/>
  <c r="Q1998" i="5"/>
  <c r="Q778" i="5"/>
  <c r="Q558" i="5"/>
  <c r="Q1667" i="5"/>
  <c r="Q1538" i="5"/>
  <c r="Q1620" i="5"/>
  <c r="Q387" i="5"/>
  <c r="Q2087" i="5"/>
  <c r="Q1326" i="5"/>
  <c r="Q1861" i="5"/>
  <c r="Q1765" i="5"/>
  <c r="Q1766" i="5"/>
  <c r="Q155" i="5"/>
  <c r="Q1582" i="5"/>
  <c r="Q559" i="5"/>
  <c r="Q1449" i="5"/>
  <c r="Q481" i="5"/>
  <c r="Q1539" i="5"/>
  <c r="Q1085" i="5"/>
  <c r="Q2149" i="5"/>
  <c r="Q2150" i="5"/>
  <c r="Q270" i="5"/>
  <c r="Q1767" i="5"/>
  <c r="Q1583" i="5"/>
  <c r="Q1540" i="5"/>
  <c r="Q606" i="5"/>
  <c r="Q1621" i="5"/>
  <c r="Q1999" i="5"/>
  <c r="Q388" i="5"/>
  <c r="Q389" i="5"/>
  <c r="Q2116" i="5"/>
  <c r="Q271" i="5"/>
  <c r="Q1158" i="5"/>
  <c r="Q2167" i="5"/>
  <c r="Q1279" i="5"/>
  <c r="Q125" i="5"/>
  <c r="Q126" i="5"/>
  <c r="Q1716" i="5"/>
  <c r="Q1489" i="5"/>
  <c r="Q1450" i="5"/>
  <c r="Q68" i="5"/>
  <c r="Q69" i="5"/>
  <c r="Q1086" i="5"/>
  <c r="Q698" i="5"/>
  <c r="Q1377" i="5"/>
  <c r="Q1378" i="5"/>
  <c r="Q2168" i="5"/>
  <c r="Q1717" i="5"/>
  <c r="Q1668" i="5"/>
  <c r="Q1159" i="5"/>
  <c r="Q1584" i="5"/>
  <c r="Q156" i="5"/>
  <c r="Q2047" i="5"/>
  <c r="Q1961" i="5"/>
  <c r="Q2088" i="5"/>
  <c r="Q1718" i="5"/>
  <c r="Q1490" i="5"/>
  <c r="Q13" i="5"/>
  <c r="Q8" i="5"/>
  <c r="Q2208" i="5"/>
  <c r="Q997" i="5"/>
  <c r="Q998" i="5"/>
  <c r="Q699" i="5"/>
  <c r="Q1327" i="5"/>
  <c r="Q1862" i="5"/>
  <c r="Q2117" i="5"/>
  <c r="Q1087" i="5"/>
  <c r="Q1863" i="5"/>
  <c r="Q2209" i="5"/>
  <c r="Q700" i="5"/>
  <c r="Q157" i="5"/>
  <c r="Q922" i="5"/>
  <c r="Q923" i="5"/>
  <c r="Q14" i="5"/>
  <c r="Q1491" i="5"/>
  <c r="Q1492" i="5"/>
  <c r="Q1913" i="5"/>
  <c r="Q390" i="5"/>
  <c r="Q1328" i="5"/>
  <c r="Q607" i="5"/>
  <c r="Q924" i="5"/>
  <c r="Q307" i="5"/>
  <c r="Q1914" i="5"/>
  <c r="Q1669" i="5"/>
  <c r="Q1719" i="5"/>
  <c r="Q1864" i="5"/>
  <c r="Q1720" i="5"/>
  <c r="Q1160" i="5"/>
  <c r="Q608" i="5"/>
  <c r="Q779" i="5"/>
  <c r="Q227" i="5"/>
  <c r="Q849" i="5"/>
  <c r="Q850" i="5"/>
  <c r="Q1622" i="5"/>
  <c r="Q158" i="5"/>
  <c r="Q1811" i="5"/>
  <c r="Q1088" i="5"/>
  <c r="Q1585" i="5"/>
  <c r="Q15" i="5"/>
  <c r="Q701" i="5"/>
  <c r="Q702" i="5"/>
  <c r="Q1280" i="5"/>
  <c r="Q1281" i="5"/>
  <c r="Q1451" i="5"/>
  <c r="Q1721" i="5"/>
  <c r="Q2048" i="5"/>
  <c r="Q999" i="5"/>
  <c r="Q851" i="5"/>
  <c r="Q1452" i="5"/>
  <c r="Q391" i="5"/>
  <c r="Q560" i="5"/>
  <c r="Q272" i="5"/>
  <c r="Q1000" i="5"/>
  <c r="Q1768" i="5"/>
  <c r="Q1089" i="5"/>
  <c r="Q2185" i="5"/>
  <c r="Q1769" i="5"/>
  <c r="Q2049" i="5"/>
  <c r="Q2050" i="5"/>
  <c r="Q1623" i="5"/>
  <c r="Q2151" i="5"/>
  <c r="Q1329" i="5"/>
  <c r="Q609" i="5"/>
  <c r="Q159" i="5"/>
  <c r="Q1670" i="5"/>
  <c r="Q1722" i="5"/>
  <c r="Q99" i="5"/>
  <c r="Q780" i="5"/>
  <c r="Q2169" i="5"/>
  <c r="Q925" i="5"/>
  <c r="Q1001" i="5"/>
  <c r="Q1812" i="5"/>
  <c r="Q926" i="5"/>
  <c r="Q1915" i="5"/>
  <c r="Q351" i="5"/>
  <c r="Q1282" i="5"/>
  <c r="Q1723" i="5"/>
  <c r="Q70" i="5"/>
  <c r="Q1283" i="5"/>
  <c r="Q1284" i="5"/>
  <c r="Q2170" i="5"/>
  <c r="Q1090" i="5"/>
  <c r="Q2000" i="5"/>
  <c r="Q2214" i="5"/>
  <c r="Q482" i="5"/>
  <c r="Q428" i="5"/>
  <c r="Q1671" i="5"/>
  <c r="Q2171" i="5"/>
  <c r="Q1493" i="5"/>
  <c r="Q1228" i="5"/>
  <c r="Q1813" i="5"/>
  <c r="Q392" i="5"/>
  <c r="Q1379" i="5"/>
  <c r="Q429" i="5"/>
  <c r="Q430" i="5"/>
  <c r="Q1770" i="5"/>
  <c r="Q1494" i="5"/>
  <c r="Q2152" i="5"/>
  <c r="Q927" i="5"/>
  <c r="Q1624" i="5"/>
  <c r="Q2001" i="5"/>
  <c r="Q1865" i="5"/>
  <c r="Q2118" i="5"/>
  <c r="Q1285" i="5"/>
  <c r="Q2089" i="5"/>
  <c r="Q1380" i="5"/>
  <c r="Q1916" i="5"/>
  <c r="Q1161" i="5"/>
  <c r="Q273" i="5"/>
  <c r="Q1541" i="5"/>
  <c r="Q703" i="5"/>
  <c r="Q1814" i="5"/>
  <c r="Q704" i="5"/>
  <c r="Q1091" i="5"/>
  <c r="Q1002" i="5"/>
  <c r="Q393" i="5"/>
  <c r="Q1672" i="5"/>
  <c r="Q928" i="5"/>
  <c r="Q2153" i="5"/>
  <c r="Q1542" i="5"/>
  <c r="Q1543" i="5"/>
  <c r="Q705" i="5"/>
  <c r="Q1625" i="5"/>
  <c r="Q1866" i="5"/>
  <c r="Q1229" i="5"/>
  <c r="Q2051" i="5"/>
  <c r="Q2215" i="5"/>
  <c r="Q610" i="5"/>
  <c r="Q127" i="5"/>
  <c r="Q308" i="5"/>
  <c r="Q309" i="5"/>
  <c r="Q352" i="5"/>
  <c r="Q353" i="5"/>
  <c r="Q1162" i="5"/>
  <c r="Q1286" i="5"/>
  <c r="Q781" i="5"/>
  <c r="Q1230" i="5"/>
  <c r="Q431" i="5"/>
  <c r="Q432" i="5"/>
  <c r="Q611" i="5"/>
  <c r="Q483" i="5"/>
  <c r="Q71" i="5"/>
  <c r="Q1092" i="5"/>
  <c r="Q1724" i="5"/>
  <c r="Q561" i="5"/>
  <c r="Q1917" i="5"/>
  <c r="Q1771" i="5"/>
  <c r="Q2002" i="5"/>
  <c r="Q1381" i="5"/>
  <c r="Q1867" i="5"/>
  <c r="Q929" i="5"/>
  <c r="Q1453" i="5"/>
  <c r="Q1725" i="5"/>
  <c r="Q2003" i="5"/>
  <c r="Q2004" i="5"/>
  <c r="Q23" i="5"/>
  <c r="Q1544" i="5"/>
  <c r="Q1673" i="5"/>
  <c r="Q1962" i="5"/>
  <c r="Q612" i="5"/>
  <c r="Q562" i="5"/>
  <c r="Q1163" i="5"/>
  <c r="Q1586" i="5"/>
  <c r="Q1587" i="5"/>
  <c r="Q2119" i="5"/>
  <c r="Q1093" i="5"/>
  <c r="Q1382" i="5"/>
  <c r="Q1868" i="5"/>
  <c r="Q930" i="5"/>
  <c r="Q1918" i="5"/>
  <c r="Q1003" i="5"/>
  <c r="Q2172" i="5"/>
  <c r="Q16" i="5"/>
  <c r="Q17" i="5"/>
  <c r="Q1004" i="5"/>
  <c r="Q1869" i="5"/>
  <c r="Q1726" i="5"/>
  <c r="Q50" i="5"/>
  <c r="Q706" i="5"/>
  <c r="Q707" i="5"/>
  <c r="Q310" i="5"/>
  <c r="Q613" i="5"/>
  <c r="Q128" i="5"/>
  <c r="Q852" i="5"/>
  <c r="Q1963" i="5"/>
  <c r="Q484" i="5"/>
  <c r="Q1772" i="5"/>
  <c r="Q2052" i="5"/>
  <c r="Q1005" i="5"/>
  <c r="Q51" i="5"/>
  <c r="Q1383" i="5"/>
  <c r="Q1231" i="5"/>
  <c r="Q129" i="5"/>
  <c r="Q311" i="5"/>
  <c r="Q1164" i="5"/>
  <c r="Q130" i="5"/>
  <c r="Q228" i="5"/>
  <c r="Q708" i="5"/>
  <c r="Q1626" i="5"/>
  <c r="Q2173" i="5"/>
  <c r="Q2174" i="5"/>
  <c r="Q1495" i="5"/>
  <c r="Q1094" i="5"/>
  <c r="Q1095" i="5"/>
  <c r="Q1870" i="5"/>
  <c r="Q1727" i="5"/>
  <c r="Q194" i="5"/>
  <c r="Q1545" i="5"/>
  <c r="Q1165" i="5"/>
  <c r="Q2120" i="5"/>
  <c r="Q1871" i="5"/>
  <c r="Q1872" i="5"/>
  <c r="Q229" i="5"/>
  <c r="Q1919" i="5"/>
  <c r="Q931" i="5"/>
  <c r="Q1166" i="5"/>
  <c r="Q18" i="5"/>
  <c r="Q614" i="5"/>
  <c r="Q615" i="5"/>
  <c r="Q2121" i="5"/>
  <c r="Q2053" i="5"/>
  <c r="Q1006" i="5"/>
  <c r="Q2005" i="5"/>
  <c r="Q1546" i="5"/>
  <c r="Q1384" i="5"/>
  <c r="Q485" i="5"/>
  <c r="Q563" i="5"/>
  <c r="Q782" i="5"/>
  <c r="Q1920" i="5"/>
  <c r="Q1921" i="5"/>
  <c r="Q354" i="5"/>
  <c r="Q433" i="5"/>
  <c r="Q2122" i="5"/>
  <c r="Q1547" i="5"/>
  <c r="Q1007" i="5"/>
  <c r="Q2054" i="5"/>
  <c r="Q1728" i="5"/>
  <c r="Q160" i="5"/>
  <c r="Q161" i="5"/>
  <c r="Q1815" i="5"/>
  <c r="Q564" i="5"/>
  <c r="Q312" i="5"/>
  <c r="Q313" i="5"/>
  <c r="Q486" i="5"/>
  <c r="Q1008" i="5"/>
  <c r="Q1009" i="5"/>
  <c r="Q1674" i="5"/>
  <c r="Q1729" i="5"/>
  <c r="Q1548" i="5"/>
  <c r="Q434" i="5"/>
  <c r="Q1385" i="5"/>
  <c r="Q2200" i="5"/>
  <c r="Q1010" i="5"/>
  <c r="Q1386" i="5"/>
  <c r="Q783" i="5"/>
  <c r="Q1549" i="5"/>
  <c r="Q487" i="5"/>
  <c r="Q1816" i="5"/>
  <c r="Q1675" i="5"/>
  <c r="Q1676" i="5"/>
  <c r="Q1387" i="5"/>
  <c r="Q616" i="5"/>
  <c r="Q1677" i="5"/>
  <c r="Q9" i="5"/>
  <c r="Q853" i="5"/>
  <c r="Q1773" i="5"/>
  <c r="Q2055" i="5"/>
  <c r="Q488" i="5"/>
  <c r="Q1627" i="5"/>
  <c r="Q195" i="5"/>
  <c r="Q932" i="5"/>
  <c r="Q1388" i="5"/>
  <c r="Q1389" i="5"/>
  <c r="Q617" i="5"/>
  <c r="Q1011" i="5"/>
  <c r="Q1287" i="5"/>
  <c r="Q394" i="5"/>
  <c r="Q2056" i="5"/>
  <c r="Q1232" i="5"/>
  <c r="Q1330" i="5"/>
  <c r="Q2154" i="5"/>
  <c r="Q1288" i="5"/>
  <c r="Q230" i="5"/>
  <c r="Q1873" i="5"/>
  <c r="Q1096" i="5"/>
  <c r="Q196" i="5"/>
  <c r="Q197" i="5"/>
  <c r="Q1233" i="5"/>
  <c r="Q2006" i="5"/>
  <c r="Q19" i="5"/>
  <c r="Q1964" i="5"/>
  <c r="Q489" i="5"/>
  <c r="Q1922" i="5"/>
  <c r="Q618" i="5"/>
  <c r="Q2201" i="5"/>
  <c r="Q435" i="5"/>
  <c r="Q2175" i="5"/>
  <c r="Q709" i="5"/>
  <c r="Q1331" i="5"/>
  <c r="Q619" i="5"/>
  <c r="Q620" i="5"/>
  <c r="Q2123" i="5"/>
  <c r="Q274" i="5"/>
  <c r="Q933" i="5"/>
  <c r="Q1167" i="5"/>
  <c r="Q1390" i="5"/>
  <c r="Q1923" i="5"/>
  <c r="Q314" i="5"/>
  <c r="Q315" i="5"/>
  <c r="Q1391" i="5"/>
  <c r="Q1454" i="5"/>
  <c r="Q1012" i="5"/>
  <c r="Q1168" i="5"/>
  <c r="Q1392" i="5"/>
  <c r="Q162" i="5"/>
  <c r="Q2007" i="5"/>
  <c r="Q1332" i="5"/>
  <c r="Q2202" i="5"/>
  <c r="Q784" i="5"/>
  <c r="Q2057" i="5"/>
  <c r="Q1234" i="5"/>
  <c r="Q395" i="5"/>
  <c r="Q1550" i="5"/>
  <c r="Q3" i="5"/>
  <c r="Q275" i="5"/>
  <c r="Q396" i="5"/>
  <c r="Q1169" i="5"/>
  <c r="Q854" i="5"/>
  <c r="Q565" i="5"/>
  <c r="Q2124" i="5"/>
  <c r="Q710" i="5"/>
  <c r="Q1965" i="5"/>
  <c r="Q1393" i="5"/>
  <c r="Q1817" i="5"/>
  <c r="Q934" i="5"/>
  <c r="Q2008" i="5"/>
  <c r="Q1394" i="5"/>
  <c r="Q1395" i="5"/>
  <c r="Q316" i="5"/>
  <c r="Q317" i="5"/>
  <c r="Q2125" i="5"/>
  <c r="Q1730" i="5"/>
  <c r="Q1097" i="5"/>
  <c r="Q1098" i="5"/>
  <c r="Q1333" i="5"/>
  <c r="Q1099" i="5"/>
  <c r="Q1678" i="5"/>
  <c r="Q1289" i="5"/>
  <c r="Q1170" i="5"/>
  <c r="Q1171" i="5"/>
  <c r="Q38" i="5"/>
  <c r="Q39" i="5"/>
  <c r="Q2186" i="5"/>
  <c r="Q100" i="5"/>
  <c r="Q101" i="5"/>
  <c r="Q318" i="5"/>
  <c r="Q102" i="5"/>
  <c r="Q103" i="5"/>
  <c r="Q1172" i="5"/>
  <c r="Q2" i="5"/>
  <c r="Q621" i="5"/>
  <c r="Q785" i="5"/>
  <c r="Q1455" i="5"/>
  <c r="Q1731" i="5"/>
  <c r="Q436" i="5"/>
  <c r="Q1774" i="5"/>
  <c r="Q1456" i="5"/>
  <c r="Q40" i="5"/>
  <c r="Q1496" i="5"/>
  <c r="Q1497" i="5"/>
  <c r="Q2176" i="5"/>
  <c r="Q490" i="5"/>
  <c r="Q2126" i="5"/>
  <c r="Q2127" i="5"/>
  <c r="Q711" i="5"/>
  <c r="Q1679" i="5"/>
  <c r="Q1628" i="5"/>
  <c r="Q2058" i="5"/>
  <c r="Q131" i="5"/>
  <c r="Q104" i="5"/>
  <c r="Q105" i="5"/>
  <c r="Q1100" i="5"/>
  <c r="Q397" i="5"/>
  <c r="Q2177" i="5"/>
  <c r="Q786" i="5"/>
  <c r="Q787" i="5"/>
  <c r="Q788" i="5"/>
  <c r="Q2009" i="5"/>
  <c r="Q855" i="5"/>
  <c r="Q132" i="5"/>
  <c r="Q1101" i="5"/>
  <c r="Q1102" i="5"/>
  <c r="Q2059" i="5"/>
  <c r="Q1173" i="5"/>
  <c r="Q1103" i="5"/>
  <c r="Q4" i="5"/>
  <c r="Q1290" i="5"/>
  <c r="Q1334" i="5"/>
  <c r="Q1732" i="5"/>
  <c r="Q1874" i="5"/>
  <c r="Q1818" i="5"/>
  <c r="Q1966" i="5"/>
  <c r="Q2060" i="5"/>
  <c r="Q491" i="5"/>
  <c r="Q1924" i="5"/>
  <c r="Q72" i="5"/>
  <c r="Q106" i="5"/>
  <c r="Q1733" i="5"/>
  <c r="Q2187" i="5"/>
  <c r="Q2188" i="5"/>
  <c r="Q1291" i="5"/>
  <c r="Q1104" i="5"/>
  <c r="Q1775" i="5"/>
  <c r="Q319" i="5"/>
  <c r="Q320" i="5"/>
  <c r="Q712" i="5"/>
  <c r="Q1776" i="5"/>
  <c r="Q1174" i="5"/>
  <c r="Q1551" i="5"/>
  <c r="Q198" i="5"/>
  <c r="Q1396" i="5"/>
  <c r="Q1175" i="5"/>
  <c r="Q622" i="5"/>
  <c r="Q1875" i="5"/>
  <c r="Q1588" i="5"/>
  <c r="Q2155" i="5"/>
  <c r="Q492" i="5"/>
  <c r="Q493" i="5"/>
  <c r="Q1819" i="5"/>
  <c r="Q1498" i="5"/>
  <c r="Q1013" i="5"/>
  <c r="Q1397" i="5"/>
  <c r="Q2189" i="5"/>
  <c r="Q1777" i="5"/>
  <c r="Q2178" i="5"/>
  <c r="Q623" i="5"/>
  <c r="Q1105" i="5"/>
  <c r="Q2203" i="5"/>
  <c r="Q494" i="5"/>
  <c r="Q1335" i="5"/>
  <c r="Q1014" i="5"/>
  <c r="Q1292" i="5"/>
  <c r="Q1876" i="5"/>
  <c r="Q1176" i="5"/>
  <c r="Q1398" i="5"/>
  <c r="Q1106" i="5"/>
  <c r="Q935" i="5"/>
  <c r="Q1629" i="5"/>
  <c r="Q936" i="5"/>
  <c r="Q937" i="5"/>
  <c r="Q624" i="5"/>
  <c r="Q789" i="5"/>
  <c r="Q1967" i="5"/>
  <c r="Q1457" i="5"/>
  <c r="Q1458" i="5"/>
  <c r="Q1680" i="5"/>
  <c r="Q1734" i="5"/>
  <c r="Q1778" i="5"/>
  <c r="Q1779" i="5"/>
  <c r="Q1780" i="5"/>
  <c r="Q790" i="5"/>
  <c r="Q231" i="5"/>
  <c r="Q791" i="5"/>
  <c r="Q856" i="5"/>
  <c r="Q1925" i="5"/>
  <c r="Q1926" i="5"/>
  <c r="Q1552" i="5"/>
  <c r="Q857" i="5"/>
  <c r="Q398" i="5"/>
  <c r="Q2210" i="5"/>
  <c r="Q1399" i="5"/>
  <c r="Q1877" i="5"/>
  <c r="Q1735" i="5"/>
  <c r="Q1177" i="5"/>
  <c r="Q321" i="5"/>
  <c r="Q1736" i="5"/>
  <c r="Q713" i="5"/>
  <c r="Q625" i="5"/>
  <c r="Q626" i="5"/>
  <c r="Q1293" i="5"/>
  <c r="Q2216" i="5"/>
  <c r="Q1681" i="5"/>
  <c r="Q1737" i="5"/>
  <c r="Q2061" i="5"/>
  <c r="Q627" i="5"/>
  <c r="Q2090" i="5"/>
  <c r="Q1820" i="5"/>
  <c r="Q1821" i="5"/>
  <c r="Q1781" i="5"/>
  <c r="Q2010" i="5"/>
  <c r="Q495" i="5"/>
  <c r="Q1015" i="5"/>
  <c r="Q1016" i="5"/>
  <c r="Q1107" i="5"/>
  <c r="Q1235" i="5"/>
  <c r="Q1927" i="5"/>
  <c r="Q52" i="5"/>
  <c r="Q1968" i="5"/>
  <c r="Q1928" i="5"/>
  <c r="Q938" i="5"/>
  <c r="Q73" i="5"/>
  <c r="Q1108" i="5"/>
  <c r="Q199" i="5"/>
  <c r="Q1589" i="5"/>
  <c r="Q1590" i="5"/>
  <c r="Q1499" i="5"/>
  <c r="Q1400" i="5"/>
  <c r="Q1459" i="5"/>
  <c r="Q1969" i="5"/>
  <c r="Q1460" i="5"/>
  <c r="Q1822" i="5"/>
  <c r="Q2190" i="5"/>
  <c r="Q2191" i="5"/>
  <c r="Q2011" i="5"/>
  <c r="Q792" i="5"/>
  <c r="Q1461" i="5"/>
  <c r="Q1236" i="5"/>
  <c r="Q1823" i="5"/>
  <c r="Q1824" i="5"/>
  <c r="Q1553" i="5"/>
  <c r="Q496" i="5"/>
  <c r="Q1237" i="5"/>
  <c r="Q1238" i="5"/>
  <c r="Q1239" i="5"/>
  <c r="Q1336" i="5"/>
  <c r="Q1337" i="5"/>
  <c r="Q437" i="5"/>
  <c r="Q497" i="5"/>
  <c r="Q498" i="5"/>
  <c r="Q1109" i="5"/>
  <c r="Q1929" i="5"/>
  <c r="Q858" i="5"/>
  <c r="Q1462" i="5"/>
  <c r="Q1630" i="5"/>
  <c r="Q1631" i="5"/>
  <c r="Q1591" i="5"/>
  <c r="Q1592" i="5"/>
  <c r="Q2204" i="5"/>
  <c r="Q1294" i="5"/>
  <c r="Q322" i="5"/>
  <c r="Q24" i="5"/>
  <c r="Q793" i="5"/>
  <c r="Q794" i="5"/>
  <c r="Q2091" i="5"/>
  <c r="Q1682" i="5"/>
  <c r="Q2012" i="5"/>
  <c r="Q399" i="5"/>
  <c r="Q1295" i="5"/>
  <c r="Q1878" i="5"/>
  <c r="Q1879" i="5"/>
  <c r="Q1463" i="5"/>
  <c r="Q1178" i="5"/>
  <c r="Q163" i="5"/>
  <c r="Q1683" i="5"/>
  <c r="Q2205" i="5"/>
  <c r="Q2128" i="5"/>
  <c r="Q2129" i="5"/>
  <c r="Q1930" i="5"/>
  <c r="Q1931" i="5"/>
  <c r="Q1632" i="5"/>
  <c r="Q1633" i="5"/>
  <c r="Q1179" i="5"/>
  <c r="Q1401" i="5"/>
  <c r="Q939" i="5"/>
  <c r="Q1402" i="5"/>
  <c r="Q1932" i="5"/>
  <c r="Q1933" i="5"/>
  <c r="Q1554" i="5"/>
  <c r="Q1970" i="5"/>
  <c r="Q1880" i="5"/>
  <c r="Q1296" i="5"/>
  <c r="Q1825" i="5"/>
  <c r="Q438" i="5"/>
  <c r="Q1110" i="5"/>
  <c r="Q1111" i="5"/>
  <c r="Q1684" i="5"/>
  <c r="Q2013" i="5"/>
  <c r="Q2014" i="5"/>
  <c r="Q940" i="5"/>
  <c r="Q1634" i="5"/>
  <c r="Q1782" i="5"/>
  <c r="Q1180" i="5"/>
  <c r="Q2192" i="5"/>
  <c r="Q628" i="5"/>
  <c r="Q1826" i="5"/>
  <c r="Q941" i="5"/>
  <c r="Q2015" i="5"/>
  <c r="Q566" i="5"/>
  <c r="Q1593" i="5"/>
  <c r="Q795" i="5"/>
  <c r="Q714" i="5"/>
  <c r="Q1112" i="5"/>
  <c r="Q1464" i="5"/>
  <c r="Q439" i="5"/>
  <c r="Q440" i="5"/>
  <c r="Q2016" i="5"/>
  <c r="Q1465" i="5"/>
  <c r="Q1594" i="5"/>
  <c r="Q133" i="5"/>
  <c r="Q1113" i="5"/>
  <c r="Q1240" i="5"/>
  <c r="Q41" i="5"/>
  <c r="Q1403" i="5"/>
  <c r="Q1404" i="5"/>
  <c r="Q2156" i="5"/>
  <c r="Q715" i="5"/>
  <c r="Q323" i="5"/>
  <c r="Q499" i="5"/>
  <c r="Q1738" i="5"/>
  <c r="Q1241" i="5"/>
  <c r="Q1338" i="5"/>
  <c r="Q1339" i="5"/>
  <c r="Q1881" i="5"/>
  <c r="Q1971" i="5"/>
  <c r="Q1685" i="5"/>
  <c r="Q1297" i="5"/>
  <c r="Q1114" i="5"/>
  <c r="Q1686" i="5"/>
  <c r="Q1739" i="5"/>
  <c r="Q629" i="5"/>
  <c r="Q400" i="5"/>
  <c r="Q2017" i="5"/>
  <c r="Q716" i="5"/>
  <c r="Q2092" i="5"/>
  <c r="Q1466" i="5"/>
  <c r="Q1340" i="5"/>
  <c r="Q441" i="5"/>
  <c r="Q1827" i="5"/>
  <c r="Q2062" i="5"/>
  <c r="Q232" i="5"/>
  <c r="Q717" i="5"/>
  <c r="Q1467" i="5"/>
  <c r="Q1017" i="5"/>
  <c r="Q718" i="5"/>
  <c r="Q1595" i="5"/>
  <c r="Q1596" i="5"/>
  <c r="Q1018" i="5"/>
  <c r="Q1019" i="5"/>
  <c r="Q630" i="5"/>
  <c r="Q442" i="5"/>
  <c r="Q443" i="5"/>
  <c r="Q859" i="5"/>
  <c r="Q1828" i="5"/>
  <c r="Q860" i="5"/>
  <c r="Q2157" i="5"/>
  <c r="Q500" i="5"/>
  <c r="Q1405" i="5"/>
  <c r="Q444" i="5"/>
  <c r="Q796" i="5"/>
  <c r="Q1934" i="5"/>
  <c r="Q631" i="5"/>
  <c r="Q942" i="5"/>
  <c r="Q1882" i="5"/>
  <c r="Q1115" i="5"/>
  <c r="Q943" i="5"/>
  <c r="Q1883" i="5"/>
  <c r="Q632" i="5"/>
  <c r="Q1406" i="5"/>
  <c r="Q1407" i="5"/>
  <c r="Q944" i="5"/>
  <c r="Q567" i="5"/>
  <c r="Q1408" i="5"/>
  <c r="Q945" i="5"/>
  <c r="Q719" i="5"/>
  <c r="Q2093" i="5"/>
  <c r="Q1555" i="5"/>
  <c r="Q2063" i="5"/>
  <c r="Q2064" i="5"/>
  <c r="Q2018" i="5"/>
  <c r="Q1972" i="5"/>
  <c r="Q1468" i="5"/>
  <c r="Q2094" i="5"/>
  <c r="Q2095" i="5"/>
  <c r="Q1556" i="5"/>
  <c r="Q1298" i="5"/>
  <c r="Q1597" i="5"/>
  <c r="Q1935" i="5"/>
  <c r="Q1299" i="5"/>
  <c r="Q74" i="5"/>
  <c r="Q1687" i="5"/>
  <c r="Q861" i="5"/>
  <c r="Q1181" i="5"/>
  <c r="Q1829" i="5"/>
  <c r="Q1116" i="5"/>
  <c r="Q1409" i="5"/>
  <c r="Q355" i="5"/>
  <c r="Q1830" i="5"/>
  <c r="Q1557" i="5"/>
  <c r="Q1558" i="5"/>
  <c r="Q2130" i="5"/>
  <c r="Q633" i="5"/>
  <c r="Q324" i="5"/>
  <c r="Q1242" i="5"/>
  <c r="Q1243" i="5"/>
  <c r="Q1469" i="5"/>
  <c r="Q797" i="5"/>
  <c r="Q1884" i="5"/>
  <c r="Q1559" i="5"/>
  <c r="Q1635" i="5"/>
  <c r="Q1973" i="5"/>
  <c r="Q1020" i="5"/>
  <c r="Q720" i="5"/>
  <c r="Q721" i="5"/>
  <c r="Q1470" i="5"/>
  <c r="Q356" i="5"/>
  <c r="Q1885" i="5"/>
  <c r="Q2065" i="5"/>
  <c r="Q1783" i="5"/>
  <c r="Q1831" i="5"/>
  <c r="Q1688" i="5"/>
  <c r="Q1182" i="5"/>
  <c r="Q445" i="5"/>
  <c r="Q1560" i="5"/>
  <c r="Q1886" i="5"/>
  <c r="Q1689" i="5"/>
  <c r="Q568" i="5"/>
  <c r="Q325" i="5"/>
  <c r="Q1410" i="5"/>
  <c r="Q862" i="5"/>
  <c r="Q501" i="5"/>
  <c r="Q1341" i="5"/>
  <c r="Q1936" i="5"/>
  <c r="Q1183" i="5"/>
  <c r="Q1342" i="5"/>
  <c r="Q1117" i="5"/>
  <c r="Q446" i="5"/>
  <c r="Q2066" i="5"/>
  <c r="Q2217" i="5"/>
  <c r="Q1021" i="5"/>
  <c r="Q722" i="5"/>
  <c r="Q1937" i="5"/>
  <c r="Q447" i="5"/>
  <c r="Q2067" i="5"/>
  <c r="Q1500" i="5"/>
  <c r="Q2019" i="5"/>
  <c r="Q1411" i="5"/>
  <c r="Q1343" i="5"/>
  <c r="Q1300" i="5"/>
  <c r="Q946" i="5"/>
  <c r="Q502" i="5"/>
  <c r="Q1244" i="5"/>
  <c r="Q863" i="5"/>
  <c r="Q134" i="5"/>
  <c r="Q1598" i="5"/>
  <c r="Q947" i="5"/>
  <c r="Q1599" i="5"/>
  <c r="Q2096" i="5"/>
  <c r="Q723" i="5"/>
  <c r="Q357" i="5"/>
  <c r="Q1412" i="5"/>
  <c r="Q1413" i="5"/>
  <c r="Q634" i="5"/>
  <c r="Q358" i="5"/>
  <c r="Q1022" i="5"/>
  <c r="Q1184" i="5"/>
  <c r="Q1185" i="5"/>
  <c r="Q448" i="5"/>
  <c r="Q948" i="5"/>
  <c r="Q798" i="5"/>
  <c r="Q569" i="5"/>
  <c r="Q1301" i="5"/>
  <c r="Q724" i="5"/>
  <c r="Q2097" i="5"/>
  <c r="Q2098" i="5"/>
  <c r="Q1245" i="5"/>
  <c r="Q359" i="5"/>
  <c r="Q360" i="5"/>
  <c r="Q1302" i="5"/>
  <c r="Q1501" i="5"/>
  <c r="Q725" i="5"/>
  <c r="Q1186" i="5"/>
  <c r="Q2158" i="5"/>
  <c r="Q1246" i="5"/>
  <c r="Q1561" i="5"/>
  <c r="Q1974" i="5"/>
  <c r="Q1975" i="5"/>
  <c r="Q1562" i="5"/>
  <c r="Q1414" i="5"/>
  <c r="Q2211" i="5"/>
  <c r="Q1247" i="5"/>
  <c r="Q2020" i="5"/>
  <c r="Q726" i="5"/>
  <c r="Q570" i="5"/>
  <c r="Q727" i="5"/>
  <c r="Q1471" i="5"/>
  <c r="Q1563" i="5"/>
  <c r="Q1976" i="5"/>
  <c r="Q1344" i="5"/>
  <c r="Q1023" i="5"/>
  <c r="Q2212" i="5"/>
  <c r="Q864" i="5"/>
  <c r="Q503" i="5"/>
  <c r="Q1887" i="5"/>
  <c r="Q2099" i="5"/>
  <c r="Q233" i="5"/>
  <c r="Q635" i="5"/>
  <c r="Q636" i="5"/>
  <c r="Q571" i="5"/>
  <c r="Q200" i="5"/>
  <c r="Q1832" i="5"/>
  <c r="Q1118" i="5"/>
  <c r="Q1784" i="5"/>
  <c r="Q949" i="5"/>
  <c r="Q1415" i="5"/>
  <c r="Q1833" i="5"/>
  <c r="Q1024" i="5"/>
  <c r="Q1187" i="5"/>
  <c r="Q1188" i="5"/>
  <c r="Q1119" i="5"/>
  <c r="Q865" i="5"/>
  <c r="Q1834" i="5"/>
  <c r="Q1690" i="5"/>
  <c r="Q1600" i="5"/>
  <c r="Q504" i="5"/>
  <c r="Q572" i="5"/>
  <c r="Q573" i="5"/>
  <c r="Q1189" i="5"/>
  <c r="Q1691" i="5"/>
  <c r="Q728" i="5"/>
  <c r="Q1564" i="5"/>
  <c r="Q1025" i="5"/>
  <c r="Q1026" i="5"/>
  <c r="Q1835" i="5"/>
  <c r="Q2131" i="5"/>
  <c r="Q2021" i="5"/>
  <c r="Q866" i="5"/>
  <c r="Q1601" i="5"/>
  <c r="Q1836" i="5"/>
  <c r="Q1837" i="5"/>
  <c r="Q2100" i="5"/>
  <c r="Q1502" i="5"/>
  <c r="Q361" i="5"/>
  <c r="Q2132" i="5"/>
  <c r="Q1977" i="5"/>
  <c r="Q1838" i="5"/>
  <c r="Q1839" i="5"/>
  <c r="Q1785" i="5"/>
  <c r="Q574" i="5"/>
  <c r="Q867" i="5"/>
  <c r="Q449" i="5"/>
  <c r="Q1345" i="5"/>
  <c r="Q1636" i="5"/>
  <c r="Q1303" i="5"/>
  <c r="Q1190" i="5"/>
  <c r="Q505" i="5"/>
  <c r="Q1120" i="5"/>
  <c r="Q1191" i="5"/>
  <c r="Q1416" i="5"/>
  <c r="Q868" i="5"/>
  <c r="Q1503" i="5"/>
  <c r="Q637" i="5"/>
  <c r="Q201" i="5"/>
  <c r="Q1740" i="5"/>
  <c r="Q1741" i="5"/>
  <c r="Q1888" i="5"/>
  <c r="Q638" i="5"/>
  <c r="Q1417" i="5"/>
  <c r="Q2068" i="5"/>
  <c r="Q950" i="5"/>
  <c r="Q2022" i="5"/>
  <c r="Q1978" i="5"/>
  <c r="Q1979" i="5"/>
  <c r="Q1692" i="5"/>
  <c r="Q1504" i="5"/>
  <c r="Q1192" i="5"/>
  <c r="Q799" i="5"/>
  <c r="Q639" i="5"/>
  <c r="Q2069" i="5"/>
  <c r="Q729" i="5"/>
  <c r="Q1786" i="5"/>
  <c r="Q1840" i="5"/>
  <c r="Q640" i="5"/>
  <c r="Q730" i="5"/>
  <c r="Q1121" i="5"/>
  <c r="Q506" i="5"/>
  <c r="Q1693" i="5"/>
  <c r="Q1938" i="5"/>
  <c r="Q1742" i="5"/>
  <c r="Q800" i="5"/>
  <c r="Q1841" i="5"/>
  <c r="Q1027" i="5"/>
  <c r="Q1939" i="5"/>
  <c r="Q1694" i="5"/>
  <c r="Q1787" i="5"/>
  <c r="Q869" i="5"/>
  <c r="Q1889" i="5"/>
  <c r="Q731" i="5"/>
  <c r="Q732" i="5"/>
  <c r="Q1565" i="5"/>
  <c r="Q1304" i="5"/>
  <c r="Q1028" i="5"/>
  <c r="Q507" i="5"/>
  <c r="Q1193" i="5"/>
  <c r="Q234" i="5"/>
  <c r="Q1695" i="5"/>
  <c r="Q1505" i="5"/>
  <c r="Q1506" i="5"/>
  <c r="Q2101" i="5"/>
  <c r="Q508" i="5"/>
  <c r="Q641" i="5"/>
  <c r="Q2102" i="5"/>
  <c r="Q1418" i="5"/>
  <c r="Q1305" i="5"/>
  <c r="Q870" i="5"/>
  <c r="Q1472" i="5"/>
  <c r="Q733" i="5"/>
  <c r="Q1743" i="5"/>
  <c r="Q951" i="5"/>
  <c r="Q401" i="5"/>
  <c r="Q1419" i="5"/>
  <c r="Q1637" i="5"/>
  <c r="Q642" i="5"/>
  <c r="Q2133" i="5"/>
  <c r="Q135" i="5"/>
  <c r="Q2023" i="5"/>
  <c r="Q2134" i="5"/>
  <c r="Q1744" i="5"/>
  <c r="Q1306" i="5"/>
  <c r="Q1745" i="5"/>
  <c r="Q1980" i="5"/>
  <c r="Q1420" i="5"/>
  <c r="Q42" i="5"/>
  <c r="Q643" i="5"/>
  <c r="Q644" i="5"/>
  <c r="Q2159" i="5"/>
  <c r="Q1248" i="5"/>
  <c r="Q509" i="5"/>
  <c r="Q53" i="5"/>
  <c r="Q1566" i="5"/>
  <c r="Q871" i="5"/>
  <c r="Q2221" i="5"/>
  <c r="Q1890" i="5"/>
  <c r="Q362" i="5"/>
  <c r="Q1194" i="5"/>
  <c r="Q2193" i="5"/>
  <c r="Q2194" i="5"/>
  <c r="Q1842" i="5"/>
  <c r="Q1843" i="5"/>
  <c r="Q1844" i="5"/>
  <c r="Q1845" i="5"/>
  <c r="Q2024" i="5"/>
  <c r="Q1567" i="5"/>
  <c r="Q1891" i="5"/>
  <c r="Q1746" i="5"/>
  <c r="Q1981" i="5"/>
  <c r="Q1696" i="5"/>
  <c r="Q2103" i="5"/>
  <c r="Q1249" i="5"/>
  <c r="Q1638" i="5"/>
  <c r="Q1639" i="5"/>
  <c r="Q1640" i="5"/>
  <c r="Q1747" i="5"/>
  <c r="Q1940" i="5"/>
  <c r="Q1122" i="5"/>
  <c r="Q1507" i="5"/>
  <c r="Q1788" i="5"/>
  <c r="Q1846" i="5"/>
  <c r="Q575" i="5"/>
  <c r="Q952" i="5"/>
  <c r="Q2025" i="5"/>
  <c r="Q326" i="5"/>
  <c r="Q645" i="5"/>
  <c r="Q402" i="5"/>
  <c r="Q276" i="5"/>
  <c r="Q277" i="5"/>
  <c r="Q1568" i="5"/>
  <c r="Q1789" i="5"/>
  <c r="Q1250" i="5"/>
  <c r="Q1941" i="5"/>
  <c r="Q1508" i="5"/>
  <c r="Q1748" i="5"/>
  <c r="Q2135" i="5"/>
  <c r="Q2136" i="5"/>
  <c r="Q953" i="5"/>
  <c r="Q43" i="5"/>
  <c r="Q646" i="5"/>
  <c r="Q647" i="5"/>
  <c r="Q1602" i="5"/>
  <c r="Q801" i="5"/>
  <c r="Q1892" i="5"/>
  <c r="Q2026" i="5"/>
  <c r="Q1346" i="5"/>
  <c r="Q1347" i="5"/>
  <c r="Q1749" i="5"/>
  <c r="Q648" i="5"/>
  <c r="Q734" i="5"/>
  <c r="Q1029" i="5"/>
  <c r="Q954" i="5"/>
  <c r="Q1509" i="5"/>
  <c r="Q1893" i="5"/>
  <c r="Q2027" i="5"/>
  <c r="Q2070" i="5"/>
  <c r="Q1030" i="5"/>
  <c r="Q649" i="5"/>
  <c r="Q802" i="5"/>
  <c r="Q2137" i="5"/>
  <c r="Q1641" i="5"/>
  <c r="Q1031" i="5"/>
  <c r="Q1473" i="5"/>
  <c r="Q872" i="5"/>
  <c r="Q2071" i="5"/>
  <c r="Q1251" i="5"/>
  <c r="Q2218" i="5"/>
  <c r="Q2219" i="5"/>
  <c r="Q1474" i="5"/>
  <c r="Q1510" i="5"/>
  <c r="Q1511" i="5"/>
  <c r="Q1642" i="5"/>
  <c r="Q1348" i="5"/>
  <c r="Q1512" i="5"/>
  <c r="Q1982" i="5"/>
  <c r="Q25" i="5"/>
  <c r="Q2104" i="5"/>
  <c r="Q1195" i="5"/>
  <c r="Q1894" i="5"/>
  <c r="Q1513" i="5"/>
  <c r="Q2105" i="5"/>
  <c r="Q1983" i="5"/>
  <c r="Q450" i="5"/>
  <c r="Q873" i="5"/>
  <c r="Q874" i="5"/>
  <c r="Q875" i="5"/>
  <c r="Q1603" i="5"/>
  <c r="Q1196" i="5"/>
  <c r="Q1847" i="5"/>
  <c r="Q1750" i="5"/>
  <c r="Q803" i="5"/>
  <c r="Q735" i="5"/>
  <c r="Q2138" i="5"/>
  <c r="Q2106" i="5"/>
  <c r="Q1421" i="5"/>
  <c r="Q2028" i="5"/>
  <c r="Q1643" i="5"/>
  <c r="Q804" i="5"/>
  <c r="Q403" i="5"/>
  <c r="Q1644" i="5"/>
  <c r="Q1307" i="5"/>
  <c r="Q736" i="5"/>
  <c r="Q1790" i="5"/>
  <c r="Q1984" i="5"/>
  <c r="Q451" i="5"/>
  <c r="Q737" i="5"/>
  <c r="Q2139" i="5"/>
  <c r="Q1349" i="5"/>
  <c r="Q1645" i="5"/>
  <c r="Q2072" i="5"/>
  <c r="Q2073" i="5"/>
  <c r="Q1791" i="5"/>
  <c r="Q1569" i="5"/>
  <c r="Q2029" i="5"/>
  <c r="Q1032" i="5"/>
  <c r="Q1422" i="5"/>
  <c r="Q650" i="5"/>
  <c r="Q510" i="5"/>
  <c r="Q1423" i="5"/>
  <c r="Q1848" i="5"/>
  <c r="Q1849" i="5"/>
  <c r="Q576" i="5"/>
  <c r="Q136" i="5"/>
  <c r="Q1475" i="5"/>
  <c r="Q1308" i="5"/>
  <c r="Q1424" i="5"/>
  <c r="Q1425" i="5"/>
  <c r="Q876" i="5"/>
  <c r="Q1197" i="5"/>
  <c r="Q1646" i="5"/>
  <c r="Q738" i="5"/>
  <c r="Q1514" i="5"/>
  <c r="Q1942" i="5"/>
  <c r="Q1350" i="5"/>
  <c r="Q1751" i="5"/>
  <c r="Q2160" i="5"/>
  <c r="Q2161" i="5"/>
  <c r="Q2030" i="5"/>
  <c r="Q1752" i="5"/>
  <c r="Q1604" i="5"/>
  <c r="Q1033" i="5"/>
  <c r="Q955" i="5"/>
  <c r="Q956" i="5"/>
  <c r="Q1895" i="5"/>
  <c r="Q511" i="5"/>
  <c r="Q805" i="5"/>
  <c r="Q1943" i="5"/>
  <c r="Q957" i="5"/>
  <c r="Q651" i="5"/>
  <c r="Q1985" i="5"/>
  <c r="Q739" i="5"/>
  <c r="Q75" i="5"/>
  <c r="Q652" i="5"/>
  <c r="Q1570" i="5"/>
  <c r="Q740" i="5"/>
  <c r="Q741" i="5"/>
  <c r="Q742" i="5"/>
  <c r="Q1850" i="5"/>
  <c r="Q877" i="5"/>
  <c r="Q1851" i="5"/>
  <c r="Q958" i="5"/>
  <c r="Q653" i="5"/>
  <c r="Q1896" i="5"/>
  <c r="Q1897" i="5"/>
  <c r="Q806" i="5"/>
  <c r="Q1476" i="5"/>
  <c r="Q1605" i="5"/>
  <c r="Q164" i="5"/>
  <c r="Q1477" i="5"/>
  <c r="Q1351" i="5"/>
  <c r="Q807" i="5"/>
  <c r="Q404" i="5"/>
  <c r="Q808" i="5"/>
  <c r="Q1478" i="5"/>
  <c r="Q1479" i="5"/>
  <c r="Q1944" i="5"/>
  <c r="Q1252" i="5"/>
  <c r="Q1034" i="5"/>
  <c r="Q2162" i="5"/>
  <c r="Q2206" i="5"/>
  <c r="Q743" i="5"/>
  <c r="Q809" i="5"/>
  <c r="Q107" i="5"/>
  <c r="Q327" i="5"/>
  <c r="Q1571" i="5"/>
  <c r="Q1753" i="5"/>
  <c r="Q1515" i="5"/>
  <c r="Q1426" i="5"/>
  <c r="Q1427" i="5"/>
  <c r="Q2163" i="5"/>
  <c r="Q810" i="5"/>
  <c r="Q452" i="5"/>
  <c r="Q2213" i="5"/>
  <c r="Q811" i="5"/>
  <c r="Q812" i="5"/>
  <c r="Q405" i="5"/>
  <c r="Q363" i="5"/>
  <c r="Q1309" i="5"/>
  <c r="Q1697" i="5"/>
  <c r="Q1123" i="5"/>
  <c r="Q1352" i="5"/>
  <c r="Q1353" i="5"/>
  <c r="Q2074" i="5"/>
  <c r="Q1035" i="5"/>
  <c r="Q1198" i="5"/>
  <c r="Q1945" i="5"/>
  <c r="Q1354" i="5"/>
  <c r="Q1647" i="5"/>
  <c r="Q1124" i="5"/>
  <c r="Q959" i="5"/>
  <c r="Q1036" i="5"/>
  <c r="Q1428" i="5"/>
  <c r="Q813" i="5"/>
  <c r="Q1253" i="5"/>
  <c r="Q1429" i="5"/>
  <c r="Q512" i="5"/>
  <c r="Q960" i="5"/>
  <c r="Q202" i="5"/>
  <c r="Q744" i="5"/>
  <c r="Q1430" i="5"/>
  <c r="Q1125" i="5"/>
  <c r="Q2031" i="5"/>
  <c r="Q1126" i="5"/>
  <c r="Q1792" i="5"/>
  <c r="Q2195" i="5"/>
  <c r="Q1199" i="5"/>
  <c r="Q878" i="5"/>
  <c r="Q406" i="5"/>
  <c r="Q407" i="5"/>
  <c r="Q1037" i="5"/>
  <c r="Q328" i="5"/>
  <c r="Q1254" i="5"/>
  <c r="Q513" i="5"/>
  <c r="Q2032" i="5"/>
  <c r="Q278" i="5"/>
  <c r="Q1200" i="5"/>
  <c r="Q1201" i="5"/>
  <c r="Q1355" i="5"/>
  <c r="Q408" i="5"/>
  <c r="Q1356" i="5"/>
  <c r="Q2033" i="5"/>
  <c r="Q1357" i="5"/>
  <c r="Q814" i="5"/>
  <c r="Q1038" i="5"/>
  <c r="Q961" i="5"/>
  <c r="Q577" i="5"/>
  <c r="Q2075" i="5"/>
  <c r="Q1202" i="5"/>
  <c r="Q1793" i="5"/>
  <c r="Q745" i="5"/>
  <c r="Q879" i="5"/>
  <c r="Q1127" i="5"/>
  <c r="Q815" i="5"/>
  <c r="Q578" i="5"/>
  <c r="Q2107" i="5"/>
  <c r="Q1039" i="5"/>
  <c r="Q1572" i="5"/>
  <c r="Q1040" i="5"/>
  <c r="Q1203" i="5"/>
  <c r="Q1431" i="5"/>
  <c r="Q235" i="5"/>
  <c r="Q514" i="5"/>
  <c r="Q44" i="5"/>
  <c r="Q26" i="5"/>
  <c r="Q1310" i="5"/>
  <c r="Q962" i="5"/>
  <c r="Q1946" i="5"/>
  <c r="Q1898" i="5"/>
  <c r="Q1899" i="5"/>
  <c r="Q1255" i="5"/>
  <c r="Q816" i="5"/>
  <c r="Q515" i="5"/>
  <c r="Q1480" i="5"/>
  <c r="Q1481" i="5"/>
  <c r="Q654" i="5"/>
  <c r="Q880" i="5"/>
  <c r="Q881" i="5"/>
  <c r="Q1041" i="5"/>
  <c r="Q364" i="5"/>
  <c r="Q963" i="5"/>
  <c r="Q76" i="5"/>
  <c r="Q165" i="5"/>
  <c r="Q166" i="5"/>
  <c r="Q817" i="5"/>
  <c r="Q1754" i="5"/>
  <c r="Q1698" i="5"/>
  <c r="Q1204" i="5"/>
  <c r="Q1794" i="5"/>
  <c r="Q236" i="5"/>
  <c r="Q2164" i="5"/>
  <c r="Q1205" i="5"/>
  <c r="Q365" i="5"/>
  <c r="Q746" i="5"/>
  <c r="Q329" i="5"/>
  <c r="Q1042" i="5"/>
  <c r="Q366" i="5"/>
  <c r="Q579" i="5"/>
  <c r="Q580" i="5"/>
  <c r="Q516" i="5"/>
  <c r="Q137" i="5"/>
  <c r="Q138" i="5"/>
  <c r="Q517" i="5"/>
  <c r="Q367" i="5"/>
  <c r="Q108" i="5"/>
  <c r="Q409" i="5"/>
  <c r="Q1900" i="5"/>
  <c r="Q1256" i="5"/>
  <c r="Q1482" i="5"/>
  <c r="Q747" i="5"/>
  <c r="Q964" i="5"/>
  <c r="Q1483" i="5"/>
  <c r="Q518" i="5"/>
  <c r="Q1484" i="5"/>
  <c r="Q203" i="5"/>
  <c r="Q1986" i="5"/>
  <c r="Q581" i="5"/>
  <c r="Q1795" i="5"/>
  <c r="Q167" i="5"/>
  <c r="Q1257" i="5"/>
  <c r="Q1258" i="5"/>
  <c r="Q1648" i="5"/>
  <c r="Q519" i="5"/>
  <c r="Q2108" i="5"/>
  <c r="Q582" i="5"/>
  <c r="Q1259" i="5"/>
  <c r="Q330" i="5"/>
  <c r="Q1206" i="5"/>
  <c r="Q139" i="5"/>
  <c r="Q520" i="5"/>
  <c r="Q1516" i="5"/>
  <c r="Q2034" i="5"/>
  <c r="Q1043" i="5"/>
  <c r="Q1485" i="5"/>
  <c r="Q748" i="5"/>
  <c r="Q655" i="5"/>
  <c r="Q1432" i="5"/>
  <c r="Q1796" i="5"/>
  <c r="Q1260" i="5"/>
  <c r="Q2076" i="5"/>
  <c r="Q2077" i="5"/>
  <c r="Q453" i="5"/>
  <c r="Q1433" i="5"/>
  <c r="Q1207" i="5"/>
  <c r="Q1208" i="5"/>
  <c r="Q1128" i="5"/>
  <c r="Q1261" i="5"/>
  <c r="Q331" i="5"/>
  <c r="Q1987" i="5"/>
  <c r="Q1797" i="5"/>
  <c r="Q2035" i="5"/>
  <c r="Q818" i="5"/>
  <c r="Q965" i="5"/>
  <c r="Q966" i="5"/>
  <c r="Q1311" i="5"/>
  <c r="Q583" i="5"/>
  <c r="Q749" i="5"/>
  <c r="Q368" i="5"/>
  <c r="Q204" i="5"/>
  <c r="Q237" i="5"/>
  <c r="Q2036" i="5"/>
  <c r="Q819" i="5"/>
  <c r="Q820" i="5"/>
  <c r="Q279" i="5"/>
  <c r="Q280" i="5"/>
  <c r="Q281" i="5"/>
  <c r="Q1947" i="5"/>
  <c r="Q1948" i="5"/>
  <c r="Q1209" i="5"/>
  <c r="Q1044" i="5"/>
  <c r="Q584" i="5"/>
  <c r="Q2078" i="5"/>
  <c r="Q1045" i="5"/>
  <c r="Q109" i="5"/>
  <c r="Q1988" i="5"/>
  <c r="Q238" i="5"/>
  <c r="Q369" i="5"/>
  <c r="Q332" i="5"/>
  <c r="Q1573" i="5"/>
  <c r="Q1517" i="5"/>
  <c r="Q282" i="5"/>
  <c r="Q882" i="5"/>
  <c r="Q656" i="5"/>
  <c r="Q1649" i="5"/>
  <c r="Q821" i="5"/>
  <c r="Q168" i="5"/>
  <c r="Q283" i="5"/>
  <c r="Q1949" i="5"/>
  <c r="Q1950" i="5"/>
  <c r="Q967" i="5"/>
  <c r="Q883" i="5"/>
  <c r="Q1901" i="5"/>
  <c r="Q1902" i="5"/>
  <c r="Q968" i="5"/>
  <c r="Q110" i="5"/>
  <c r="Q1129" i="5"/>
  <c r="Q1699" i="5"/>
  <c r="Q2140" i="5"/>
  <c r="Q969" i="5"/>
  <c r="Q1755" i="5"/>
  <c r="Q1903" i="5"/>
  <c r="Q521" i="5"/>
  <c r="Q77" i="5"/>
  <c r="Q239" i="5"/>
  <c r="Q522" i="5"/>
  <c r="Q1518" i="5"/>
  <c r="Q1519" i="5"/>
  <c r="Q523" i="5"/>
  <c r="Q1046" i="5"/>
  <c r="Q970" i="5"/>
  <c r="Q971" i="5"/>
  <c r="Q884" i="5"/>
  <c r="Q524" i="5"/>
  <c r="Q370" i="5"/>
  <c r="Q333" i="5"/>
  <c r="Q169" i="5"/>
  <c r="Q1904" i="5"/>
  <c r="Q1905" i="5"/>
  <c r="Q1262" i="5"/>
  <c r="Q525" i="5"/>
  <c r="Q822" i="5"/>
  <c r="Q1210" i="5"/>
  <c r="Q1211" i="5"/>
  <c r="Q78" i="5"/>
  <c r="Q1700" i="5"/>
  <c r="Q1263" i="5"/>
  <c r="Q1047" i="5"/>
  <c r="Q1650" i="5"/>
  <c r="Q1130" i="5"/>
  <c r="Q170" i="5"/>
  <c r="Q1048" i="5"/>
  <c r="Q1358" i="5"/>
  <c r="Q240" i="5"/>
  <c r="Q526" i="5"/>
  <c r="Q1131" i="5"/>
  <c r="Q2109" i="5"/>
  <c r="Q885" i="5"/>
  <c r="Q205" i="5"/>
  <c r="Q1574" i="5"/>
  <c r="Q972" i="5"/>
  <c r="Q585" i="5"/>
  <c r="Q2196" i="5"/>
  <c r="Q2197" i="5"/>
  <c r="Q973" i="5"/>
  <c r="Q1359" i="5"/>
  <c r="Q1360" i="5"/>
  <c r="Q527" i="5"/>
  <c r="Q528" i="5"/>
  <c r="Q1989" i="5"/>
  <c r="Q657" i="5"/>
  <c r="Q658" i="5"/>
  <c r="Q1798" i="5"/>
  <c r="Q659" i="5"/>
  <c r="Q410" i="5"/>
  <c r="Q886" i="5"/>
  <c r="Q887" i="5"/>
  <c r="Q660" i="5"/>
  <c r="Q750" i="5"/>
  <c r="Q1756" i="5"/>
  <c r="Q284" i="5"/>
  <c r="Q751" i="5"/>
  <c r="Q752" i="5"/>
  <c r="Q1906" i="5"/>
  <c r="Q241" i="5"/>
  <c r="Q79" i="5"/>
  <c r="Q1049" i="5"/>
  <c r="Q1050" i="5"/>
  <c r="Q823" i="5"/>
  <c r="Q753" i="5"/>
  <c r="Q1361" i="5"/>
  <c r="Q1362" i="5"/>
  <c r="Q1312" i="5"/>
  <c r="Q334" i="5"/>
  <c r="Q1264" i="5"/>
  <c r="Q529" i="5"/>
  <c r="Q371" i="5"/>
  <c r="Q1990" i="5"/>
  <c r="Q1313" i="5"/>
  <c r="Q1951" i="5"/>
  <c r="Q1907" i="5"/>
  <c r="Q1434" i="5"/>
  <c r="Q1799" i="5"/>
  <c r="Q1952" i="5"/>
  <c r="Q411" i="5"/>
  <c r="Q285" i="5"/>
  <c r="Q454" i="5"/>
  <c r="Q1265" i="5"/>
  <c r="Q1520" i="5"/>
  <c r="Q1701" i="5"/>
  <c r="Q1051" i="5"/>
  <c r="Q754" i="5"/>
  <c r="Q1953" i="5"/>
  <c r="Q755" i="5"/>
  <c r="Q530" i="5"/>
  <c r="Q1606" i="5"/>
  <c r="Q2141" i="5"/>
  <c r="Q1435" i="5"/>
  <c r="Q661" i="5"/>
  <c r="Q662" i="5"/>
  <c r="Q586" i="5"/>
  <c r="Q286" i="5"/>
  <c r="Q1052" i="5"/>
  <c r="Q206" i="5"/>
  <c r="Q372" i="5"/>
  <c r="Q1132" i="5"/>
  <c r="Q1954" i="5"/>
  <c r="Q242" i="5"/>
  <c r="Q287" i="5"/>
  <c r="Q1266" i="5"/>
  <c r="Q373" i="5"/>
  <c r="Q974" i="5"/>
  <c r="Q2142" i="5"/>
  <c r="Q1212" i="5"/>
  <c r="Q1267" i="5"/>
  <c r="Q288" i="5"/>
  <c r="Q888" i="5"/>
  <c r="Q889" i="5"/>
  <c r="Q890" i="5"/>
  <c r="Q891" i="5"/>
  <c r="Q756" i="5"/>
  <c r="Q1436" i="5"/>
  <c r="Q1437" i="5"/>
  <c r="Q587" i="5"/>
  <c r="Q1053" i="5"/>
  <c r="Q54" i="5"/>
  <c r="Q2037" i="5"/>
  <c r="Q1702" i="5"/>
  <c r="Q892" i="5"/>
  <c r="Q893" i="5"/>
  <c r="Q243" i="5"/>
  <c r="Q1133" i="5"/>
  <c r="Q975" i="5"/>
  <c r="Q531" i="5"/>
  <c r="Q374" i="5"/>
  <c r="Q1314" i="5"/>
  <c r="Q2143" i="5"/>
  <c r="Q111" i="5"/>
  <c r="Q1852" i="5"/>
  <c r="Q1268" i="5"/>
  <c r="Q1757" i="5"/>
  <c r="Q244" i="5"/>
  <c r="Q245" i="5"/>
  <c r="Q1054" i="5"/>
  <c r="Q1055" i="5"/>
  <c r="Q757" i="5"/>
  <c r="Q412" i="5"/>
  <c r="Q894" i="5"/>
  <c r="Q1853" i="5"/>
  <c r="Q27" i="5"/>
  <c r="Q28" i="5"/>
  <c r="Q1269" i="5"/>
  <c r="Q895" i="5"/>
  <c r="Q2079" i="5"/>
  <c r="Q10" i="5"/>
  <c r="Q11" i="5"/>
  <c r="Q246" i="5"/>
  <c r="Q171" i="5"/>
  <c r="Q1363" i="5"/>
  <c r="Q1854" i="5"/>
  <c r="Q1056" i="5"/>
  <c r="Q1057" i="5"/>
  <c r="Q824" i="5"/>
  <c r="Q825" i="5"/>
  <c r="Q1991" i="5"/>
  <c r="Q976" i="5"/>
  <c r="Q1703" i="5"/>
  <c r="Q663" i="5"/>
  <c r="Q588" i="5"/>
  <c r="Q2165" i="5"/>
  <c r="Q375" i="5"/>
  <c r="Q826" i="5"/>
  <c r="Q827" i="5"/>
  <c r="Q55" i="5"/>
  <c r="Q589" i="5"/>
  <c r="Q1521" i="5"/>
  <c r="Q455" i="5"/>
  <c r="Q172" i="5"/>
  <c r="Q1704" i="5"/>
  <c r="Q1438" i="5"/>
  <c r="Q1522" i="5"/>
  <c r="Q758" i="5"/>
  <c r="Q112" i="5"/>
  <c r="Q113" i="5"/>
  <c r="Q1058" i="5"/>
  <c r="Q2038" i="5"/>
  <c r="Q1270" i="5"/>
  <c r="Q532" i="5"/>
  <c r="Q2110" i="5"/>
  <c r="Q2111" i="5"/>
  <c r="Q80" i="5"/>
  <c r="Q81" i="5"/>
  <c r="Q1134" i="5"/>
  <c r="Q759" i="5"/>
  <c r="Q207" i="5"/>
  <c r="Q1705" i="5"/>
  <c r="Q1135" i="5"/>
  <c r="Q1523" i="5"/>
  <c r="Q977" i="5"/>
  <c r="Q828" i="5"/>
  <c r="Q1364" i="5"/>
  <c r="Q1213" i="5"/>
  <c r="Q289" i="5"/>
  <c r="Q1365" i="5"/>
  <c r="Q1524" i="5"/>
  <c r="Q896" i="5"/>
  <c r="Q456" i="5"/>
  <c r="Q1439" i="5"/>
  <c r="Q208" i="5"/>
  <c r="Q2039" i="5"/>
  <c r="Q1758" i="5"/>
  <c r="Q1575" i="5"/>
  <c r="Q2040" i="5"/>
  <c r="Q1525" i="5"/>
  <c r="Q1059" i="5"/>
  <c r="Q1060" i="5"/>
  <c r="Q1366" i="5"/>
  <c r="Q760" i="5"/>
  <c r="Q761" i="5"/>
  <c r="Q173" i="5"/>
  <c r="Q413" i="5"/>
  <c r="Q762" i="5"/>
  <c r="Q664" i="5"/>
  <c r="Q590" i="5"/>
  <c r="Q1440" i="5"/>
  <c r="Q1706" i="5"/>
  <c r="Q533" i="5"/>
  <c r="Q534" i="5"/>
  <c r="Q591" i="5"/>
  <c r="Q1061" i="5"/>
  <c r="Q1062" i="5"/>
  <c r="Q1271" i="5"/>
  <c r="Q174" i="5"/>
  <c r="Q2080" i="5"/>
  <c r="Q457" i="5"/>
  <c r="Q1441" i="5"/>
  <c r="Q897" i="5"/>
  <c r="Q1526" i="5"/>
  <c r="Q1607" i="5"/>
  <c r="Q1315" i="5"/>
  <c r="Q1316" i="5"/>
  <c r="Q247" i="5"/>
  <c r="Q335" i="5"/>
  <c r="Q1136" i="5"/>
  <c r="Q898" i="5"/>
  <c r="Q829" i="5"/>
  <c r="Q1651" i="5"/>
  <c r="Q1759" i="5"/>
  <c r="Q290" i="5"/>
  <c r="Q1955" i="5"/>
  <c r="Q1063" i="5"/>
  <c r="Q82" i="5"/>
  <c r="Q978" i="5"/>
  <c r="Q1137" i="5"/>
  <c r="Q592" i="5"/>
  <c r="Q665" i="5"/>
  <c r="Q414" i="5"/>
  <c r="Q899" i="5"/>
  <c r="Q291" i="5"/>
  <c r="Q248" i="5"/>
  <c r="Q1486" i="5"/>
  <c r="Q1064" i="5"/>
  <c r="Q535" i="5"/>
  <c r="Q666" i="5"/>
  <c r="Q458" i="5"/>
  <c r="Q979" i="5"/>
  <c r="Q830" i="5"/>
  <c r="Q415" i="5"/>
  <c r="Q1576" i="5"/>
  <c r="Q1577" i="5"/>
  <c r="Q1652" i="5"/>
  <c r="Q1855" i="5"/>
  <c r="Q249" i="5"/>
  <c r="Q593" i="5"/>
  <c r="Q594" i="5"/>
  <c r="Q900" i="5"/>
  <c r="Q901" i="5"/>
  <c r="Q763" i="5"/>
  <c r="Q209" i="5"/>
  <c r="Q376" i="5"/>
  <c r="Q459" i="5"/>
  <c r="Q595" i="5"/>
  <c r="Q667" i="5"/>
  <c r="Q668" i="5"/>
  <c r="Q1527" i="5"/>
  <c r="Q831" i="5"/>
  <c r="Q1367" i="5"/>
  <c r="Q2081" i="5"/>
  <c r="Q416" i="5"/>
  <c r="Q1214" i="5"/>
  <c r="Q764" i="5"/>
  <c r="Q669" i="5"/>
  <c r="Q1317" i="5"/>
  <c r="Q417" i="5"/>
  <c r="Q980" i="5"/>
  <c r="Q832" i="5"/>
  <c r="Q1442" i="5"/>
  <c r="Q670" i="5"/>
  <c r="Q671" i="5"/>
  <c r="Q460" i="5"/>
  <c r="Q1065" i="5"/>
  <c r="Q1760" i="5"/>
  <c r="Q1653" i="5"/>
  <c r="Q1654" i="5"/>
  <c r="Q250" i="5"/>
  <c r="Q981" i="5"/>
  <c r="Q1215" i="5"/>
  <c r="Q140" i="5"/>
  <c r="Q1066" i="5"/>
  <c r="Q1067" i="5"/>
  <c r="Q596" i="5"/>
  <c r="Q833" i="5"/>
  <c r="Q834" i="5"/>
  <c r="Q210" i="5"/>
  <c r="Q83" i="5"/>
  <c r="Q84" i="5"/>
  <c r="Q982" i="5"/>
  <c r="Q536" i="5"/>
  <c r="Q292" i="5"/>
  <c r="Q293" i="5"/>
  <c r="Q56" i="5"/>
  <c r="Q1608" i="5"/>
  <c r="Q983" i="5"/>
  <c r="Q1138" i="5"/>
  <c r="Q175" i="5"/>
  <c r="Q211" i="5"/>
  <c r="Q1068" i="5"/>
  <c r="Q984" i="5"/>
  <c r="Q212" i="5"/>
  <c r="Q213" i="5"/>
  <c r="Q1069" i="5"/>
  <c r="Q1443" i="5"/>
  <c r="Q1444" i="5"/>
  <c r="Q114" i="5"/>
  <c r="Q1139" i="5"/>
  <c r="Q1272" i="5"/>
  <c r="Q672" i="5"/>
  <c r="Q1655" i="5"/>
  <c r="Q1368" i="5"/>
  <c r="Q1656" i="5"/>
  <c r="Q2082" i="5"/>
  <c r="Q141" i="5"/>
  <c r="Q1273" i="5"/>
  <c r="Q214" i="5"/>
  <c r="Q377" i="5"/>
  <c r="Q597" i="5"/>
  <c r="Q1856" i="5"/>
  <c r="Q598" i="5"/>
  <c r="Q1369" i="5"/>
  <c r="Q336" i="5"/>
  <c r="Q85" i="5"/>
  <c r="Q86" i="5"/>
  <c r="Q537" i="5"/>
  <c r="Q538" i="5"/>
  <c r="Q337" i="5"/>
  <c r="Q1657" i="5"/>
  <c r="Q378" i="5"/>
  <c r="Q2041" i="5"/>
  <c r="Q539" i="5"/>
  <c r="Q835" i="5"/>
  <c r="Q294" i="5"/>
  <c r="Q295" i="5"/>
  <c r="Q1318" i="5"/>
  <c r="Q2179" i="5"/>
  <c r="Q296" i="5"/>
  <c r="Q2042" i="5"/>
  <c r="Q2112" i="5"/>
  <c r="Q1609" i="5"/>
  <c r="Q1610" i="5"/>
  <c r="Q1140" i="5"/>
  <c r="Q1761" i="5"/>
  <c r="Q176" i="5"/>
  <c r="Q418" i="5"/>
  <c r="Q1319" i="5"/>
  <c r="Q115" i="5"/>
  <c r="Q461" i="5"/>
  <c r="Q599" i="5"/>
  <c r="Q902" i="5"/>
  <c r="Q379" i="5"/>
  <c r="Q540" i="5"/>
  <c r="Q338" i="5"/>
  <c r="Q765" i="5"/>
  <c r="Q2180" i="5"/>
  <c r="Q2083" i="5"/>
  <c r="Q1956" i="5"/>
  <c r="Q251" i="5"/>
  <c r="Q462" i="5"/>
  <c r="Q1141" i="5"/>
  <c r="Q1578" i="5"/>
  <c r="Q1611" i="5"/>
  <c r="Q985" i="5"/>
  <c r="Q2113" i="5"/>
  <c r="Q903" i="5"/>
  <c r="Q177" i="5"/>
  <c r="Q904" i="5"/>
  <c r="Q1612" i="5"/>
  <c r="Q297" i="5"/>
  <c r="Q298" i="5"/>
  <c r="Q1274" i="5"/>
  <c r="Q1370" i="5"/>
  <c r="Q2084" i="5"/>
  <c r="Q1070" i="5"/>
  <c r="Q673" i="5"/>
  <c r="Q674" i="5"/>
  <c r="Q1707" i="5"/>
  <c r="Q1216" i="5"/>
  <c r="Q380" i="5"/>
  <c r="Q45" i="5"/>
  <c r="Q1071" i="5"/>
  <c r="Q178" i="5"/>
  <c r="Q986" i="5"/>
  <c r="Q836" i="5"/>
  <c r="Q252" i="5"/>
  <c r="Q1320" i="5"/>
  <c r="Q179" i="5"/>
  <c r="Q2144" i="5"/>
  <c r="Q1762" i="5"/>
  <c r="Q1763" i="5"/>
  <c r="Q541" i="5"/>
  <c r="Q675" i="5"/>
  <c r="Q1217" i="5"/>
  <c r="Q987" i="5"/>
  <c r="Q905" i="5"/>
  <c r="Q542" i="5"/>
  <c r="Q1857" i="5"/>
  <c r="Q57" i="5"/>
  <c r="Q1800" i="5"/>
  <c r="Q1801" i="5"/>
  <c r="Q837" i="5"/>
  <c r="Q419" i="5"/>
  <c r="Q1142" i="5"/>
  <c r="Q1321" i="5"/>
  <c r="Q543" i="5"/>
  <c r="Q1072" i="5"/>
  <c r="Q544" i="5"/>
  <c r="Q1073" i="5"/>
  <c r="Q253" i="5"/>
  <c r="Q142" i="5"/>
  <c r="Q838" i="5"/>
  <c r="Q839" i="5"/>
  <c r="Q87" i="5"/>
  <c r="Q906" i="5"/>
  <c r="Q2181" i="5"/>
  <c r="Q600" i="5"/>
  <c r="Q1218" i="5"/>
  <c r="Q1219" i="5"/>
  <c r="Q299" i="5"/>
  <c r="Q180" i="5"/>
  <c r="Q988" i="5"/>
  <c r="Q676" i="5"/>
  <c r="Q420" i="5"/>
  <c r="Q116" i="5"/>
  <c r="Q989" i="5"/>
  <c r="Q545" i="5"/>
  <c r="Q546" i="5"/>
  <c r="Q990" i="5"/>
  <c r="Q339" i="5"/>
  <c r="Q58" i="5"/>
  <c r="Q117" i="5"/>
  <c r="Q907" i="5"/>
  <c r="Q463" i="5"/>
  <c r="Q464" i="5"/>
  <c r="Q254" i="5"/>
  <c r="Q381" i="5"/>
  <c r="Q991" i="5"/>
  <c r="Q465" i="5"/>
  <c r="Q340" i="5"/>
  <c r="Q382" i="5"/>
  <c r="Q59" i="5"/>
  <c r="Q1708" i="5"/>
  <c r="Q1143" i="5"/>
  <c r="Q1144" i="5"/>
  <c r="Q300" i="5"/>
  <c r="Q677" i="5"/>
  <c r="Q255" i="5"/>
  <c r="Q766" i="5"/>
  <c r="Q1220" i="5"/>
  <c r="Q143" i="5"/>
  <c r="Q601" i="5"/>
  <c r="Q1275" i="5"/>
  <c r="Q466" i="5"/>
  <c r="Q678" i="5"/>
  <c r="Q341" i="5"/>
  <c r="Q1145" i="5"/>
  <c r="Q342" i="5"/>
  <c r="Q908" i="5"/>
  <c r="Q1802" i="5"/>
  <c r="Q301" i="5"/>
  <c r="Q1445" i="5"/>
  <c r="Q1446" i="5"/>
  <c r="Q181" i="5"/>
  <c r="Q144" i="5"/>
  <c r="Q118" i="5"/>
  <c r="Q119" i="5"/>
  <c r="Q1709" i="5"/>
  <c r="Q1992" i="5"/>
  <c r="Q1221" i="5"/>
  <c r="Q256" i="5"/>
  <c r="Q1146" i="5"/>
  <c r="Q215" i="5"/>
  <c r="Q1528" i="5"/>
  <c r="Q1147" i="5"/>
  <c r="Q383" i="5"/>
  <c r="Q1074" i="5"/>
  <c r="Q1075" i="5"/>
  <c r="Q547" i="5"/>
  <c r="Q548" i="5"/>
  <c r="Q602" i="5"/>
  <c r="Q909" i="5"/>
  <c r="Q767" i="5"/>
  <c r="Q1371" i="5"/>
  <c r="Q1372" i="5"/>
  <c r="Q1148" i="5"/>
  <c r="Q1322" i="5"/>
  <c r="Q1323" i="5"/>
  <c r="Q1908" i="5"/>
  <c r="Q182" i="5"/>
  <c r="Q1957" i="5"/>
  <c r="Q343" i="5"/>
  <c r="Q145" i="5"/>
  <c r="Q1529" i="5"/>
  <c r="Q1530" i="5"/>
  <c r="Q1222" i="5"/>
  <c r="Q216" i="5"/>
  <c r="Q1858" i="5"/>
  <c r="Q768" i="5"/>
  <c r="Q2085" i="5"/>
  <c r="Q769" i="5"/>
  <c r="Q302" i="5"/>
  <c r="Q1658" i="5"/>
  <c r="Q603" i="5"/>
  <c r="Q1149" i="5"/>
  <c r="Q992" i="5"/>
  <c r="Q303" i="5"/>
  <c r="Q1803" i="5"/>
  <c r="Q1804" i="5"/>
  <c r="Q183" i="5"/>
  <c r="Q1223" i="5"/>
  <c r="Q184" i="5"/>
  <c r="Q185" i="5"/>
  <c r="Q304" i="5"/>
  <c r="Q679" i="5"/>
  <c r="Q467" i="5"/>
  <c r="Q88" i="5"/>
  <c r="Q993" i="5"/>
  <c r="Q217" i="5"/>
  <c r="Q549" i="5"/>
  <c r="Q840" i="5"/>
  <c r="Q146" i="5"/>
  <c r="Q344" i="5"/>
  <c r="Q680" i="5"/>
  <c r="Q604" i="5"/>
  <c r="Q910" i="5"/>
  <c r="Q1150" i="5"/>
  <c r="Q1151" i="5"/>
  <c r="Q218" i="5"/>
  <c r="Q120" i="5"/>
  <c r="Q186" i="5"/>
  <c r="Q911" i="5"/>
  <c r="Q187" i="5"/>
  <c r="Q188" i="5"/>
  <c r="Q468" i="5"/>
  <c r="Q46" i="5"/>
  <c r="Q681" i="5"/>
  <c r="Q682" i="5"/>
  <c r="Q841" i="5"/>
  <c r="Q842" i="5"/>
  <c r="Q219" i="5"/>
  <c r="Q220" i="5"/>
  <c r="Q770" i="5"/>
  <c r="Q1659" i="5"/>
  <c r="Q1152" i="5"/>
  <c r="Q1276" i="5"/>
  <c r="Q1277" i="5"/>
  <c r="Q221" i="5"/>
  <c r="Q189" i="5"/>
  <c r="Q345" i="5"/>
  <c r="Q384" i="5"/>
  <c r="Q385" i="5"/>
  <c r="Q843" i="5"/>
  <c r="Q1278" i="5"/>
  <c r="Q421" i="5"/>
  <c r="Q257" i="5"/>
  <c r="Q912" i="5"/>
  <c r="Q60" i="5"/>
  <c r="Q61" i="5"/>
  <c r="Q62" i="5"/>
  <c r="Q258" i="5"/>
  <c r="Q1076" i="5"/>
  <c r="Q29" i="5"/>
  <c r="Q1487" i="5"/>
  <c r="Q1488" i="5"/>
  <c r="Q1710" i="5"/>
  <c r="Q1711" i="5"/>
  <c r="Q1712" i="5"/>
  <c r="Q1224" i="5"/>
  <c r="Q346" i="5"/>
  <c r="Q844" i="5"/>
  <c r="Q89" i="5"/>
  <c r="Q63" i="5"/>
  <c r="Q147" i="5"/>
  <c r="Q64" i="5"/>
  <c r="Q222" i="5"/>
  <c r="Q2198" i="5"/>
  <c r="Q469" i="5"/>
  <c r="Q683" i="5"/>
  <c r="Q90" i="5"/>
  <c r="Q771" i="5"/>
  <c r="Q550" i="5"/>
  <c r="Q148" i="5"/>
  <c r="Q30" i="5"/>
  <c r="Q684" i="5"/>
  <c r="Q1660" i="5"/>
  <c r="Q1661" i="5"/>
  <c r="Q551" i="5"/>
  <c r="Q772" i="5"/>
  <c r="Q685" i="5"/>
  <c r="Q1613" i="5"/>
  <c r="Q2114" i="5"/>
  <c r="Q470" i="5"/>
  <c r="Q1077" i="5"/>
  <c r="Q223" i="5"/>
  <c r="Q552" i="5"/>
  <c r="Q259" i="5"/>
  <c r="Q260" i="5"/>
  <c r="Q121" i="5"/>
  <c r="Q65" i="5"/>
  <c r="Q471" i="5"/>
  <c r="Q422" i="5"/>
  <c r="Q472" i="5"/>
  <c r="Q1859" i="5"/>
  <c r="Q122" i="5"/>
  <c r="Q261" i="5"/>
  <c r="Q1153" i="5"/>
  <c r="Q1154" i="5"/>
  <c r="Q473" i="5"/>
  <c r="Q474" i="5"/>
  <c r="Q31" i="5"/>
  <c r="Q423" i="5"/>
  <c r="Q1764" i="5"/>
  <c r="Q149" i="5"/>
  <c r="Q2086" i="5"/>
  <c r="Q1531" i="5"/>
  <c r="Q190" i="5"/>
  <c r="Q686" i="5"/>
  <c r="Q262" i="5"/>
  <c r="Q1860" i="5"/>
  <c r="Q424" i="5"/>
  <c r="Q5" i="5"/>
  <c r="Q994" i="5"/>
  <c r="Q1225" i="5"/>
  <c r="Q123" i="5"/>
  <c r="Q1662" i="5"/>
  <c r="Q687" i="5"/>
  <c r="Q475" i="5"/>
  <c r="Q1155" i="5"/>
  <c r="Q2043" i="5"/>
  <c r="Q688" i="5"/>
  <c r="Q553" i="5"/>
  <c r="Q773" i="5"/>
  <c r="Q263" i="5"/>
  <c r="Q91" i="5"/>
  <c r="Q92" i="5"/>
  <c r="Q93" i="5"/>
  <c r="Q1078" i="5"/>
  <c r="Q913" i="5"/>
  <c r="Q689" i="5"/>
  <c r="Q94" i="5"/>
  <c r="Q191" i="5"/>
  <c r="Q2044" i="5"/>
  <c r="Q47" i="5"/>
  <c r="Q914" i="5"/>
  <c r="Q774" i="5"/>
  <c r="Q690" i="5"/>
  <c r="Q691" i="5"/>
  <c r="Q554" i="5"/>
  <c r="Q476" i="5"/>
  <c r="Q477" i="5"/>
  <c r="Q224" i="5"/>
  <c r="Q192" i="5"/>
  <c r="Q150" i="5"/>
  <c r="Q32" i="5"/>
  <c r="Q6" i="5"/>
  <c r="Q1373" i="5"/>
  <c r="Q1805" i="5"/>
  <c r="Q347" i="5"/>
  <c r="Q2115" i="5"/>
  <c r="Q692" i="5"/>
  <c r="Q1447" i="5"/>
  <c r="Q1226" i="5"/>
  <c r="Q1532" i="5"/>
  <c r="Q915" i="5"/>
  <c r="Q478" i="5"/>
  <c r="Q1079" i="5"/>
  <c r="P2199" i="5"/>
  <c r="P1080" i="5"/>
  <c r="P775" i="5"/>
  <c r="P555" i="5"/>
  <c r="P264" i="5"/>
  <c r="P1614" i="5"/>
  <c r="P1615" i="5"/>
  <c r="P556" i="5"/>
  <c r="P48" i="5"/>
  <c r="P386" i="5"/>
  <c r="P12" i="5"/>
  <c r="P124" i="5"/>
  <c r="P1157" i="5"/>
  <c r="P2045" i="5"/>
  <c r="P1713" i="5"/>
  <c r="P1958" i="5"/>
  <c r="P1959" i="5"/>
  <c r="P1081" i="5"/>
  <c r="P1909" i="5"/>
  <c r="P2220" i="5"/>
  <c r="P845" i="5"/>
  <c r="P151" i="5"/>
  <c r="P20" i="5"/>
  <c r="P1616" i="5"/>
  <c r="P193" i="5"/>
  <c r="P265" i="5"/>
  <c r="P2145" i="5"/>
  <c r="P693" i="5"/>
  <c r="P152" i="5"/>
  <c r="P2166" i="5"/>
  <c r="P995" i="5"/>
  <c r="P1806" i="5"/>
  <c r="P49" i="5"/>
  <c r="P348" i="5"/>
  <c r="P1910" i="5"/>
  <c r="P2146" i="5"/>
  <c r="P1082" i="5"/>
  <c r="P266" i="5"/>
  <c r="P33" i="5"/>
  <c r="P34" i="5"/>
  <c r="P1807" i="5"/>
  <c r="P425" i="5"/>
  <c r="P35" i="5"/>
  <c r="P95" i="5"/>
  <c r="P1808" i="5"/>
  <c r="P225" i="5"/>
  <c r="P36" i="5"/>
  <c r="P846" i="5"/>
  <c r="P267" i="5"/>
  <c r="P1324" i="5"/>
  <c r="P1663" i="5"/>
  <c r="P1617" i="5"/>
  <c r="P66" i="5"/>
  <c r="P1579" i="5"/>
  <c r="P349" i="5"/>
  <c r="P426" i="5"/>
  <c r="P479" i="5"/>
  <c r="P1664" i="5"/>
  <c r="P1665" i="5"/>
  <c r="P96" i="5"/>
  <c r="P1618" i="5"/>
  <c r="P1666" i="5"/>
  <c r="P268" i="5"/>
  <c r="P350" i="5"/>
  <c r="P21" i="5"/>
  <c r="P996" i="5"/>
  <c r="P916" i="5"/>
  <c r="P917" i="5"/>
  <c r="P694" i="5"/>
  <c r="P1911" i="5"/>
  <c r="P2046" i="5"/>
  <c r="P269" i="5"/>
  <c r="P1580" i="5"/>
  <c r="P1809" i="5"/>
  <c r="P1325" i="5"/>
  <c r="P1534" i="5"/>
  <c r="P37" i="5"/>
  <c r="P847" i="5"/>
  <c r="P480" i="5"/>
  <c r="P67" i="5"/>
  <c r="P1535" i="5"/>
  <c r="P1536" i="5"/>
  <c r="P427" i="5"/>
  <c r="P1912" i="5"/>
  <c r="P1448" i="5"/>
  <c r="P605" i="5"/>
  <c r="P1714" i="5"/>
  <c r="P1993" i="5"/>
  <c r="P557" i="5"/>
  <c r="P1960" i="5"/>
  <c r="P918" i="5"/>
  <c r="P919" i="5"/>
  <c r="P1581" i="5"/>
  <c r="P1083" i="5"/>
  <c r="P1374" i="5"/>
  <c r="P1375" i="5"/>
  <c r="P1994" i="5"/>
  <c r="P1715" i="5"/>
  <c r="P97" i="5"/>
  <c r="P98" i="5"/>
  <c r="P695" i="5"/>
  <c r="P305" i="5"/>
  <c r="P306" i="5"/>
  <c r="P1810" i="5"/>
  <c r="P848" i="5"/>
  <c r="P776" i="5"/>
  <c r="P1995" i="5"/>
  <c r="P1996" i="5"/>
  <c r="P1997" i="5"/>
  <c r="P2147" i="5"/>
  <c r="P696" i="5"/>
  <c r="P697" i="5"/>
  <c r="P2148" i="5"/>
  <c r="P1537" i="5"/>
  <c r="P1227" i="5"/>
  <c r="P22" i="5"/>
  <c r="P153" i="5"/>
  <c r="P920" i="5"/>
  <c r="P1084" i="5"/>
  <c r="P7" i="5"/>
  <c r="P1619" i="5"/>
  <c r="P921" i="5"/>
  <c r="P777" i="5"/>
  <c r="P154" i="5"/>
  <c r="P1376" i="5"/>
  <c r="P2182" i="5"/>
  <c r="P2183" i="5"/>
  <c r="P226" i="5"/>
  <c r="P2207" i="5"/>
  <c r="P2184" i="5"/>
  <c r="P1998" i="5"/>
  <c r="P778" i="5"/>
  <c r="P558" i="5"/>
  <c r="P1667" i="5"/>
  <c r="P1538" i="5"/>
  <c r="P1620" i="5"/>
  <c r="P387" i="5"/>
  <c r="P2087" i="5"/>
  <c r="P1326" i="5"/>
  <c r="P1861" i="5"/>
  <c r="P1765" i="5"/>
  <c r="P1766" i="5"/>
  <c r="P155" i="5"/>
  <c r="P1582" i="5"/>
  <c r="P559" i="5"/>
  <c r="P1449" i="5"/>
  <c r="P481" i="5"/>
  <c r="P1539" i="5"/>
  <c r="P1085" i="5"/>
  <c r="P2149" i="5"/>
  <c r="P2150" i="5"/>
  <c r="P270" i="5"/>
  <c r="P1767" i="5"/>
  <c r="P1583" i="5"/>
  <c r="P1540" i="5"/>
  <c r="P606" i="5"/>
  <c r="P1621" i="5"/>
  <c r="P1999" i="5"/>
  <c r="P388" i="5"/>
  <c r="P389" i="5"/>
  <c r="P2116" i="5"/>
  <c r="P271" i="5"/>
  <c r="P1158" i="5"/>
  <c r="P2167" i="5"/>
  <c r="P1279" i="5"/>
  <c r="P125" i="5"/>
  <c r="P126" i="5"/>
  <c r="P1716" i="5"/>
  <c r="P1489" i="5"/>
  <c r="P1450" i="5"/>
  <c r="P68" i="5"/>
  <c r="P69" i="5"/>
  <c r="P1086" i="5"/>
  <c r="P698" i="5"/>
  <c r="P1377" i="5"/>
  <c r="P1378" i="5"/>
  <c r="P2168" i="5"/>
  <c r="P1717" i="5"/>
  <c r="P1668" i="5"/>
  <c r="P1159" i="5"/>
  <c r="P1584" i="5"/>
  <c r="P156" i="5"/>
  <c r="P2047" i="5"/>
  <c r="P1961" i="5"/>
  <c r="P2088" i="5"/>
  <c r="P1718" i="5"/>
  <c r="P1490" i="5"/>
  <c r="P13" i="5"/>
  <c r="P8" i="5"/>
  <c r="P2208" i="5"/>
  <c r="P997" i="5"/>
  <c r="P998" i="5"/>
  <c r="P699" i="5"/>
  <c r="P1327" i="5"/>
  <c r="P1862" i="5"/>
  <c r="P2117" i="5"/>
  <c r="P1087" i="5"/>
  <c r="P1863" i="5"/>
  <c r="P2209" i="5"/>
  <c r="P700" i="5"/>
  <c r="P157" i="5"/>
  <c r="P922" i="5"/>
  <c r="P923" i="5"/>
  <c r="P14" i="5"/>
  <c r="P1491" i="5"/>
  <c r="P1492" i="5"/>
  <c r="P1913" i="5"/>
  <c r="P390" i="5"/>
  <c r="P1328" i="5"/>
  <c r="P607" i="5"/>
  <c r="P924" i="5"/>
  <c r="P307" i="5"/>
  <c r="P1914" i="5"/>
  <c r="P1669" i="5"/>
  <c r="P1719" i="5"/>
  <c r="P1864" i="5"/>
  <c r="P1720" i="5"/>
  <c r="P1160" i="5"/>
  <c r="P608" i="5"/>
  <c r="P779" i="5"/>
  <c r="P227" i="5"/>
  <c r="P849" i="5"/>
  <c r="P850" i="5"/>
  <c r="P1622" i="5"/>
  <c r="P158" i="5"/>
  <c r="P1811" i="5"/>
  <c r="P1088" i="5"/>
  <c r="P1585" i="5"/>
  <c r="P15" i="5"/>
  <c r="P701" i="5"/>
  <c r="P702" i="5"/>
  <c r="P1280" i="5"/>
  <c r="P1281" i="5"/>
  <c r="P1451" i="5"/>
  <c r="P1721" i="5"/>
  <c r="P2048" i="5"/>
  <c r="P999" i="5"/>
  <c r="P851" i="5"/>
  <c r="P1452" i="5"/>
  <c r="P391" i="5"/>
  <c r="P560" i="5"/>
  <c r="P272" i="5"/>
  <c r="P1000" i="5"/>
  <c r="P1768" i="5"/>
  <c r="P1089" i="5"/>
  <c r="P2185" i="5"/>
  <c r="P1769" i="5"/>
  <c r="P2049" i="5"/>
  <c r="P2050" i="5"/>
  <c r="P1623" i="5"/>
  <c r="P2151" i="5"/>
  <c r="P1329" i="5"/>
  <c r="P609" i="5"/>
  <c r="P159" i="5"/>
  <c r="P1670" i="5"/>
  <c r="P1722" i="5"/>
  <c r="P99" i="5"/>
  <c r="P780" i="5"/>
  <c r="P2169" i="5"/>
  <c r="P925" i="5"/>
  <c r="P1001" i="5"/>
  <c r="P1812" i="5"/>
  <c r="P926" i="5"/>
  <c r="P1915" i="5"/>
  <c r="P351" i="5"/>
  <c r="P1282" i="5"/>
  <c r="P1723" i="5"/>
  <c r="P70" i="5"/>
  <c r="P1283" i="5"/>
  <c r="P1284" i="5"/>
  <c r="P2170" i="5"/>
  <c r="P1090" i="5"/>
  <c r="P2000" i="5"/>
  <c r="P2214" i="5"/>
  <c r="P482" i="5"/>
  <c r="P428" i="5"/>
  <c r="P1671" i="5"/>
  <c r="P2171" i="5"/>
  <c r="P1493" i="5"/>
  <c r="P1228" i="5"/>
  <c r="P1813" i="5"/>
  <c r="P392" i="5"/>
  <c r="P1379" i="5"/>
  <c r="P429" i="5"/>
  <c r="P430" i="5"/>
  <c r="P1770" i="5"/>
  <c r="P1494" i="5"/>
  <c r="P2152" i="5"/>
  <c r="P927" i="5"/>
  <c r="P1624" i="5"/>
  <c r="P2001" i="5"/>
  <c r="P1865" i="5"/>
  <c r="P2118" i="5"/>
  <c r="P1285" i="5"/>
  <c r="P2089" i="5"/>
  <c r="P1380" i="5"/>
  <c r="P1916" i="5"/>
  <c r="P1161" i="5"/>
  <c r="P273" i="5"/>
  <c r="P1541" i="5"/>
  <c r="P703" i="5"/>
  <c r="P1814" i="5"/>
  <c r="P704" i="5"/>
  <c r="P1091" i="5"/>
  <c r="P1002" i="5"/>
  <c r="P393" i="5"/>
  <c r="P1672" i="5"/>
  <c r="P928" i="5"/>
  <c r="P2153" i="5"/>
  <c r="P1542" i="5"/>
  <c r="P1543" i="5"/>
  <c r="P705" i="5"/>
  <c r="P1625" i="5"/>
  <c r="P1866" i="5"/>
  <c r="P1229" i="5"/>
  <c r="P2051" i="5"/>
  <c r="P2215" i="5"/>
  <c r="P610" i="5"/>
  <c r="P127" i="5"/>
  <c r="P308" i="5"/>
  <c r="P309" i="5"/>
  <c r="P352" i="5"/>
  <c r="P353" i="5"/>
  <c r="P1162" i="5"/>
  <c r="P1286" i="5"/>
  <c r="P781" i="5"/>
  <c r="P1230" i="5"/>
  <c r="P431" i="5"/>
  <c r="P432" i="5"/>
  <c r="P611" i="5"/>
  <c r="P483" i="5"/>
  <c r="P71" i="5"/>
  <c r="P1092" i="5"/>
  <c r="P1724" i="5"/>
  <c r="P561" i="5"/>
  <c r="P1917" i="5"/>
  <c r="P1771" i="5"/>
  <c r="P2002" i="5"/>
  <c r="P1381" i="5"/>
  <c r="P1867" i="5"/>
  <c r="P929" i="5"/>
  <c r="P1453" i="5"/>
  <c r="P1725" i="5"/>
  <c r="P2003" i="5"/>
  <c r="P2004" i="5"/>
  <c r="P23" i="5"/>
  <c r="P1544" i="5"/>
  <c r="P1673" i="5"/>
  <c r="P1962" i="5"/>
  <c r="P612" i="5"/>
  <c r="P562" i="5"/>
  <c r="P1163" i="5"/>
  <c r="P1586" i="5"/>
  <c r="P1587" i="5"/>
  <c r="P2119" i="5"/>
  <c r="P1093" i="5"/>
  <c r="P1382" i="5"/>
  <c r="P1868" i="5"/>
  <c r="P930" i="5"/>
  <c r="P1918" i="5"/>
  <c r="P1003" i="5"/>
  <c r="P2172" i="5"/>
  <c r="P16" i="5"/>
  <c r="P17" i="5"/>
  <c r="P1004" i="5"/>
  <c r="P1869" i="5"/>
  <c r="P1726" i="5"/>
  <c r="P50" i="5"/>
  <c r="P706" i="5"/>
  <c r="P707" i="5"/>
  <c r="P310" i="5"/>
  <c r="P613" i="5"/>
  <c r="P128" i="5"/>
  <c r="P852" i="5"/>
  <c r="P1963" i="5"/>
  <c r="P484" i="5"/>
  <c r="P1772" i="5"/>
  <c r="P2052" i="5"/>
  <c r="P1005" i="5"/>
  <c r="P51" i="5"/>
  <c r="P1383" i="5"/>
  <c r="P1231" i="5"/>
  <c r="P129" i="5"/>
  <c r="P311" i="5"/>
  <c r="P1164" i="5"/>
  <c r="P130" i="5"/>
  <c r="P228" i="5"/>
  <c r="P708" i="5"/>
  <c r="P1626" i="5"/>
  <c r="P2173" i="5"/>
  <c r="P2174" i="5"/>
  <c r="P1495" i="5"/>
  <c r="P1094" i="5"/>
  <c r="P1095" i="5"/>
  <c r="P1870" i="5"/>
  <c r="P1727" i="5"/>
  <c r="P194" i="5"/>
  <c r="P1545" i="5"/>
  <c r="P1165" i="5"/>
  <c r="P2120" i="5"/>
  <c r="P1871" i="5"/>
  <c r="P1872" i="5"/>
  <c r="P229" i="5"/>
  <c r="P1919" i="5"/>
  <c r="P931" i="5"/>
  <c r="P1166" i="5"/>
  <c r="P18" i="5"/>
  <c r="P614" i="5"/>
  <c r="P615" i="5"/>
  <c r="P2121" i="5"/>
  <c r="P2053" i="5"/>
  <c r="P1006" i="5"/>
  <c r="P2005" i="5"/>
  <c r="P1546" i="5"/>
  <c r="P1384" i="5"/>
  <c r="P485" i="5"/>
  <c r="P563" i="5"/>
  <c r="P782" i="5"/>
  <c r="P1920" i="5"/>
  <c r="P1921" i="5"/>
  <c r="P354" i="5"/>
  <c r="P433" i="5"/>
  <c r="P2122" i="5"/>
  <c r="P1547" i="5"/>
  <c r="P1007" i="5"/>
  <c r="P2054" i="5"/>
  <c r="P1728" i="5"/>
  <c r="P160" i="5"/>
  <c r="P161" i="5"/>
  <c r="P1815" i="5"/>
  <c r="P564" i="5"/>
  <c r="P312" i="5"/>
  <c r="P313" i="5"/>
  <c r="P486" i="5"/>
  <c r="P1008" i="5"/>
  <c r="P1009" i="5"/>
  <c r="P1674" i="5"/>
  <c r="P1729" i="5"/>
  <c r="P1548" i="5"/>
  <c r="P434" i="5"/>
  <c r="P1385" i="5"/>
  <c r="P2200" i="5"/>
  <c r="P1010" i="5"/>
  <c r="P1386" i="5"/>
  <c r="P783" i="5"/>
  <c r="P1549" i="5"/>
  <c r="P487" i="5"/>
  <c r="P1816" i="5"/>
  <c r="P1675" i="5"/>
  <c r="P1676" i="5"/>
  <c r="P1387" i="5"/>
  <c r="P616" i="5"/>
  <c r="P1677" i="5"/>
  <c r="P9" i="5"/>
  <c r="P853" i="5"/>
  <c r="P1773" i="5"/>
  <c r="P2055" i="5"/>
  <c r="P488" i="5"/>
  <c r="P1627" i="5"/>
  <c r="P195" i="5"/>
  <c r="P932" i="5"/>
  <c r="P1388" i="5"/>
  <c r="P1389" i="5"/>
  <c r="P617" i="5"/>
  <c r="P1011" i="5"/>
  <c r="P1287" i="5"/>
  <c r="P394" i="5"/>
  <c r="P2056" i="5"/>
  <c r="P1232" i="5"/>
  <c r="P1330" i="5"/>
  <c r="P2154" i="5"/>
  <c r="P1288" i="5"/>
  <c r="P230" i="5"/>
  <c r="P1873" i="5"/>
  <c r="P1096" i="5"/>
  <c r="P196" i="5"/>
  <c r="P197" i="5"/>
  <c r="P1233" i="5"/>
  <c r="P2006" i="5"/>
  <c r="P19" i="5"/>
  <c r="P1964" i="5"/>
  <c r="P489" i="5"/>
  <c r="P1922" i="5"/>
  <c r="P618" i="5"/>
  <c r="P2201" i="5"/>
  <c r="P435" i="5"/>
  <c r="P2175" i="5"/>
  <c r="P709" i="5"/>
  <c r="P1331" i="5"/>
  <c r="P619" i="5"/>
  <c r="P620" i="5"/>
  <c r="P2123" i="5"/>
  <c r="P274" i="5"/>
  <c r="P933" i="5"/>
  <c r="P1167" i="5"/>
  <c r="P1390" i="5"/>
  <c r="P1923" i="5"/>
  <c r="P314" i="5"/>
  <c r="P315" i="5"/>
  <c r="P1391" i="5"/>
  <c r="P1454" i="5"/>
  <c r="P1012" i="5"/>
  <c r="P1168" i="5"/>
  <c r="P1392" i="5"/>
  <c r="P162" i="5"/>
  <c r="P2007" i="5"/>
  <c r="P1332" i="5"/>
  <c r="P2202" i="5"/>
  <c r="P784" i="5"/>
  <c r="P2057" i="5"/>
  <c r="P1234" i="5"/>
  <c r="P395" i="5"/>
  <c r="P1550" i="5"/>
  <c r="P3" i="5"/>
  <c r="P275" i="5"/>
  <c r="P396" i="5"/>
  <c r="P1169" i="5"/>
  <c r="P854" i="5"/>
  <c r="P565" i="5"/>
  <c r="P2124" i="5"/>
  <c r="P710" i="5"/>
  <c r="P1965" i="5"/>
  <c r="P1393" i="5"/>
  <c r="P1817" i="5"/>
  <c r="P934" i="5"/>
  <c r="P2008" i="5"/>
  <c r="P1394" i="5"/>
  <c r="P1395" i="5"/>
  <c r="P316" i="5"/>
  <c r="P317" i="5"/>
  <c r="P2125" i="5"/>
  <c r="P1730" i="5"/>
  <c r="P1097" i="5"/>
  <c r="P1098" i="5"/>
  <c r="P1333" i="5"/>
  <c r="P1099" i="5"/>
  <c r="P1678" i="5"/>
  <c r="P1289" i="5"/>
  <c r="P1170" i="5"/>
  <c r="P1171" i="5"/>
  <c r="P38" i="5"/>
  <c r="P39" i="5"/>
  <c r="P2186" i="5"/>
  <c r="P100" i="5"/>
  <c r="P101" i="5"/>
  <c r="P318" i="5"/>
  <c r="P102" i="5"/>
  <c r="P103" i="5"/>
  <c r="P1172" i="5"/>
  <c r="P2" i="5"/>
  <c r="P621" i="5"/>
  <c r="P785" i="5"/>
  <c r="P1455" i="5"/>
  <c r="P1731" i="5"/>
  <c r="P436" i="5"/>
  <c r="P1774" i="5"/>
  <c r="P1456" i="5"/>
  <c r="P40" i="5"/>
  <c r="P1496" i="5"/>
  <c r="P1497" i="5"/>
  <c r="P2176" i="5"/>
  <c r="P490" i="5"/>
  <c r="P2126" i="5"/>
  <c r="P2127" i="5"/>
  <c r="P711" i="5"/>
  <c r="P1679" i="5"/>
  <c r="P1628" i="5"/>
  <c r="P2058" i="5"/>
  <c r="P131" i="5"/>
  <c r="P104" i="5"/>
  <c r="P105" i="5"/>
  <c r="P1100" i="5"/>
  <c r="P397" i="5"/>
  <c r="P2177" i="5"/>
  <c r="P786" i="5"/>
  <c r="P787" i="5"/>
  <c r="P788" i="5"/>
  <c r="P2009" i="5"/>
  <c r="P855" i="5"/>
  <c r="P132" i="5"/>
  <c r="P1101" i="5"/>
  <c r="P1102" i="5"/>
  <c r="P2059" i="5"/>
  <c r="P1173" i="5"/>
  <c r="P1103" i="5"/>
  <c r="P4" i="5"/>
  <c r="P1290" i="5"/>
  <c r="P1334" i="5"/>
  <c r="P1732" i="5"/>
  <c r="P1874" i="5"/>
  <c r="P1818" i="5"/>
  <c r="P1966" i="5"/>
  <c r="P2060" i="5"/>
  <c r="P491" i="5"/>
  <c r="P1924" i="5"/>
  <c r="P72" i="5"/>
  <c r="P106" i="5"/>
  <c r="P1733" i="5"/>
  <c r="P2187" i="5"/>
  <c r="P2188" i="5"/>
  <c r="P1291" i="5"/>
  <c r="P1104" i="5"/>
  <c r="P1775" i="5"/>
  <c r="P319" i="5"/>
  <c r="P320" i="5"/>
  <c r="P712" i="5"/>
  <c r="P1776" i="5"/>
  <c r="P1174" i="5"/>
  <c r="P1551" i="5"/>
  <c r="P198" i="5"/>
  <c r="P1396" i="5"/>
  <c r="P1175" i="5"/>
  <c r="P622" i="5"/>
  <c r="P1875" i="5"/>
  <c r="P1588" i="5"/>
  <c r="P2155" i="5"/>
  <c r="P492" i="5"/>
  <c r="P493" i="5"/>
  <c r="P1819" i="5"/>
  <c r="P1498" i="5"/>
  <c r="P1013" i="5"/>
  <c r="P1397" i="5"/>
  <c r="P2189" i="5"/>
  <c r="P1777" i="5"/>
  <c r="P2178" i="5"/>
  <c r="P623" i="5"/>
  <c r="P1105" i="5"/>
  <c r="P2203" i="5"/>
  <c r="P494" i="5"/>
  <c r="P1335" i="5"/>
  <c r="P1014" i="5"/>
  <c r="P1292" i="5"/>
  <c r="P1876" i="5"/>
  <c r="P1176" i="5"/>
  <c r="P1398" i="5"/>
  <c r="P1106" i="5"/>
  <c r="P935" i="5"/>
  <c r="P1629" i="5"/>
  <c r="P936" i="5"/>
  <c r="P937" i="5"/>
  <c r="P624" i="5"/>
  <c r="P789" i="5"/>
  <c r="P1967" i="5"/>
  <c r="P1457" i="5"/>
  <c r="P1458" i="5"/>
  <c r="P1680" i="5"/>
  <c r="P1734" i="5"/>
  <c r="P1778" i="5"/>
  <c r="P1779" i="5"/>
  <c r="P1780" i="5"/>
  <c r="P790" i="5"/>
  <c r="P231" i="5"/>
  <c r="P791" i="5"/>
  <c r="P856" i="5"/>
  <c r="P1925" i="5"/>
  <c r="P1926" i="5"/>
  <c r="P1552" i="5"/>
  <c r="P857" i="5"/>
  <c r="P398" i="5"/>
  <c r="P2210" i="5"/>
  <c r="P1399" i="5"/>
  <c r="P1877" i="5"/>
  <c r="P1735" i="5"/>
  <c r="P1177" i="5"/>
  <c r="P321" i="5"/>
  <c r="P1736" i="5"/>
  <c r="P713" i="5"/>
  <c r="P625" i="5"/>
  <c r="P626" i="5"/>
  <c r="P1293" i="5"/>
  <c r="P2216" i="5"/>
  <c r="P1681" i="5"/>
  <c r="P1737" i="5"/>
  <c r="P2061" i="5"/>
  <c r="P627" i="5"/>
  <c r="P2090" i="5"/>
  <c r="P1820" i="5"/>
  <c r="P1821" i="5"/>
  <c r="P1781" i="5"/>
  <c r="P2010" i="5"/>
  <c r="P495" i="5"/>
  <c r="P1015" i="5"/>
  <c r="P1016" i="5"/>
  <c r="P1107" i="5"/>
  <c r="P1235" i="5"/>
  <c r="P1927" i="5"/>
  <c r="P52" i="5"/>
  <c r="P1968" i="5"/>
  <c r="P1928" i="5"/>
  <c r="P938" i="5"/>
  <c r="P73" i="5"/>
  <c r="P1108" i="5"/>
  <c r="P199" i="5"/>
  <c r="P1589" i="5"/>
  <c r="P1590" i="5"/>
  <c r="P1499" i="5"/>
  <c r="P1400" i="5"/>
  <c r="P1459" i="5"/>
  <c r="P1969" i="5"/>
  <c r="P1460" i="5"/>
  <c r="P1822" i="5"/>
  <c r="P2190" i="5"/>
  <c r="P2191" i="5"/>
  <c r="P2011" i="5"/>
  <c r="P792" i="5"/>
  <c r="P1461" i="5"/>
  <c r="P1236" i="5"/>
  <c r="P1823" i="5"/>
  <c r="P1824" i="5"/>
  <c r="P1553" i="5"/>
  <c r="P496" i="5"/>
  <c r="P1237" i="5"/>
  <c r="P1238" i="5"/>
  <c r="P1239" i="5"/>
  <c r="P1336" i="5"/>
  <c r="P1337" i="5"/>
  <c r="P437" i="5"/>
  <c r="P497" i="5"/>
  <c r="P498" i="5"/>
  <c r="P1109" i="5"/>
  <c r="P1929" i="5"/>
  <c r="P858" i="5"/>
  <c r="P1462" i="5"/>
  <c r="P1630" i="5"/>
  <c r="P1631" i="5"/>
  <c r="P1591" i="5"/>
  <c r="P1592" i="5"/>
  <c r="P2204" i="5"/>
  <c r="P1294" i="5"/>
  <c r="P322" i="5"/>
  <c r="P24" i="5"/>
  <c r="P793" i="5"/>
  <c r="P794" i="5"/>
  <c r="P2091" i="5"/>
  <c r="P1682" i="5"/>
  <c r="P2012" i="5"/>
  <c r="P399" i="5"/>
  <c r="P1295" i="5"/>
  <c r="P1878" i="5"/>
  <c r="P1879" i="5"/>
  <c r="P1463" i="5"/>
  <c r="P1178" i="5"/>
  <c r="P163" i="5"/>
  <c r="P1683" i="5"/>
  <c r="P2205" i="5"/>
  <c r="P2128" i="5"/>
  <c r="P2129" i="5"/>
  <c r="P1930" i="5"/>
  <c r="P1931" i="5"/>
  <c r="P1632" i="5"/>
  <c r="P1633" i="5"/>
  <c r="P1179" i="5"/>
  <c r="P1401" i="5"/>
  <c r="P939" i="5"/>
  <c r="P1402" i="5"/>
  <c r="P1932" i="5"/>
  <c r="P1933" i="5"/>
  <c r="P1554" i="5"/>
  <c r="P1970" i="5"/>
  <c r="P1880" i="5"/>
  <c r="P1296" i="5"/>
  <c r="P1825" i="5"/>
  <c r="P438" i="5"/>
  <c r="P1110" i="5"/>
  <c r="P1111" i="5"/>
  <c r="P1684" i="5"/>
  <c r="P2013" i="5"/>
  <c r="P2014" i="5"/>
  <c r="P940" i="5"/>
  <c r="P1634" i="5"/>
  <c r="P1782" i="5"/>
  <c r="P1180" i="5"/>
  <c r="P2192" i="5"/>
  <c r="P628" i="5"/>
  <c r="P1826" i="5"/>
  <c r="P941" i="5"/>
  <c r="P2015" i="5"/>
  <c r="P566" i="5"/>
  <c r="P1593" i="5"/>
  <c r="P795" i="5"/>
  <c r="P714" i="5"/>
  <c r="P1112" i="5"/>
  <c r="P1464" i="5"/>
  <c r="P439" i="5"/>
  <c r="P440" i="5"/>
  <c r="P2016" i="5"/>
  <c r="P1465" i="5"/>
  <c r="P1594" i="5"/>
  <c r="P133" i="5"/>
  <c r="P1113" i="5"/>
  <c r="P1240" i="5"/>
  <c r="P41" i="5"/>
  <c r="P1403" i="5"/>
  <c r="P1404" i="5"/>
  <c r="P2156" i="5"/>
  <c r="P715" i="5"/>
  <c r="P323" i="5"/>
  <c r="P499" i="5"/>
  <c r="P1738" i="5"/>
  <c r="P1241" i="5"/>
  <c r="P1338" i="5"/>
  <c r="P1339" i="5"/>
  <c r="P1881" i="5"/>
  <c r="P1971" i="5"/>
  <c r="P1685" i="5"/>
  <c r="P1297" i="5"/>
  <c r="P1114" i="5"/>
  <c r="P1686" i="5"/>
  <c r="P1739" i="5"/>
  <c r="P629" i="5"/>
  <c r="P400" i="5"/>
  <c r="P2017" i="5"/>
  <c r="P716" i="5"/>
  <c r="P2092" i="5"/>
  <c r="P1466" i="5"/>
  <c r="P1340" i="5"/>
  <c r="P441" i="5"/>
  <c r="P1827" i="5"/>
  <c r="P2062" i="5"/>
  <c r="P232" i="5"/>
  <c r="P717" i="5"/>
  <c r="P1467" i="5"/>
  <c r="P1017" i="5"/>
  <c r="P718" i="5"/>
  <c r="P1595" i="5"/>
  <c r="P1596" i="5"/>
  <c r="P1018" i="5"/>
  <c r="P1019" i="5"/>
  <c r="P630" i="5"/>
  <c r="P442" i="5"/>
  <c r="P443" i="5"/>
  <c r="P859" i="5"/>
  <c r="P1828" i="5"/>
  <c r="P860" i="5"/>
  <c r="P2157" i="5"/>
  <c r="P500" i="5"/>
  <c r="P1405" i="5"/>
  <c r="P444" i="5"/>
  <c r="P796" i="5"/>
  <c r="P1934" i="5"/>
  <c r="P631" i="5"/>
  <c r="P942" i="5"/>
  <c r="P1882" i="5"/>
  <c r="P1115" i="5"/>
  <c r="P943" i="5"/>
  <c r="P1883" i="5"/>
  <c r="P632" i="5"/>
  <c r="P1406" i="5"/>
  <c r="P1407" i="5"/>
  <c r="P944" i="5"/>
  <c r="P567" i="5"/>
  <c r="P1408" i="5"/>
  <c r="P945" i="5"/>
  <c r="P719" i="5"/>
  <c r="P2093" i="5"/>
  <c r="P1555" i="5"/>
  <c r="P2063" i="5"/>
  <c r="P2064" i="5"/>
  <c r="P2018" i="5"/>
  <c r="P1972" i="5"/>
  <c r="P1468" i="5"/>
  <c r="P2094" i="5"/>
  <c r="P2095" i="5"/>
  <c r="P1556" i="5"/>
  <c r="P1298" i="5"/>
  <c r="P1597" i="5"/>
  <c r="P1935" i="5"/>
  <c r="P1299" i="5"/>
  <c r="P74" i="5"/>
  <c r="P1687" i="5"/>
  <c r="P861" i="5"/>
  <c r="P1181" i="5"/>
  <c r="P1829" i="5"/>
  <c r="P1116" i="5"/>
  <c r="P1409" i="5"/>
  <c r="P355" i="5"/>
  <c r="P1830" i="5"/>
  <c r="P1557" i="5"/>
  <c r="P1558" i="5"/>
  <c r="P2130" i="5"/>
  <c r="P633" i="5"/>
  <c r="P324" i="5"/>
  <c r="P1242" i="5"/>
  <c r="P1243" i="5"/>
  <c r="P1469" i="5"/>
  <c r="P797" i="5"/>
  <c r="P1884" i="5"/>
  <c r="P1559" i="5"/>
  <c r="P1635" i="5"/>
  <c r="P1973" i="5"/>
  <c r="P1020" i="5"/>
  <c r="P720" i="5"/>
  <c r="P721" i="5"/>
  <c r="P1470" i="5"/>
  <c r="P356" i="5"/>
  <c r="P1885" i="5"/>
  <c r="P2065" i="5"/>
  <c r="P1783" i="5"/>
  <c r="P1831" i="5"/>
  <c r="P1688" i="5"/>
  <c r="P1182" i="5"/>
  <c r="P445" i="5"/>
  <c r="P1560" i="5"/>
  <c r="P1886" i="5"/>
  <c r="P1689" i="5"/>
  <c r="P568" i="5"/>
  <c r="P325" i="5"/>
  <c r="P1410" i="5"/>
  <c r="P862" i="5"/>
  <c r="P501" i="5"/>
  <c r="P1341" i="5"/>
  <c r="P1936" i="5"/>
  <c r="P1183" i="5"/>
  <c r="P1342" i="5"/>
  <c r="P1117" i="5"/>
  <c r="P446" i="5"/>
  <c r="P2066" i="5"/>
  <c r="P2217" i="5"/>
  <c r="P1021" i="5"/>
  <c r="P722" i="5"/>
  <c r="P1937" i="5"/>
  <c r="P447" i="5"/>
  <c r="P2067" i="5"/>
  <c r="P1500" i="5"/>
  <c r="P2019" i="5"/>
  <c r="P1411" i="5"/>
  <c r="P1343" i="5"/>
  <c r="P1300" i="5"/>
  <c r="P946" i="5"/>
  <c r="P502" i="5"/>
  <c r="P1244" i="5"/>
  <c r="P863" i="5"/>
  <c r="P134" i="5"/>
  <c r="P1598" i="5"/>
  <c r="P947" i="5"/>
  <c r="P1599" i="5"/>
  <c r="P2096" i="5"/>
  <c r="P723" i="5"/>
  <c r="P357" i="5"/>
  <c r="P1412" i="5"/>
  <c r="P1413" i="5"/>
  <c r="P634" i="5"/>
  <c r="P358" i="5"/>
  <c r="P1022" i="5"/>
  <c r="P1184" i="5"/>
  <c r="P1185" i="5"/>
  <c r="P448" i="5"/>
  <c r="P948" i="5"/>
  <c r="P798" i="5"/>
  <c r="P569" i="5"/>
  <c r="P1301" i="5"/>
  <c r="P724" i="5"/>
  <c r="P2097" i="5"/>
  <c r="P2098" i="5"/>
  <c r="P1245" i="5"/>
  <c r="P359" i="5"/>
  <c r="P360" i="5"/>
  <c r="P1302" i="5"/>
  <c r="P1501" i="5"/>
  <c r="P725" i="5"/>
  <c r="P1186" i="5"/>
  <c r="P2158" i="5"/>
  <c r="P1246" i="5"/>
  <c r="P1561" i="5"/>
  <c r="P1974" i="5"/>
  <c r="P1975" i="5"/>
  <c r="P1562" i="5"/>
  <c r="P1414" i="5"/>
  <c r="P2211" i="5"/>
  <c r="P1247" i="5"/>
  <c r="P2020" i="5"/>
  <c r="P726" i="5"/>
  <c r="P570" i="5"/>
  <c r="P727" i="5"/>
  <c r="P1471" i="5"/>
  <c r="P1563" i="5"/>
  <c r="P1976" i="5"/>
  <c r="P1344" i="5"/>
  <c r="P1023" i="5"/>
  <c r="P2212" i="5"/>
  <c r="P864" i="5"/>
  <c r="P503" i="5"/>
  <c r="P1887" i="5"/>
  <c r="P2099" i="5"/>
  <c r="P233" i="5"/>
  <c r="P635" i="5"/>
  <c r="P636" i="5"/>
  <c r="P571" i="5"/>
  <c r="P200" i="5"/>
  <c r="P1832" i="5"/>
  <c r="P1118" i="5"/>
  <c r="P1784" i="5"/>
  <c r="P949" i="5"/>
  <c r="P1415" i="5"/>
  <c r="P1833" i="5"/>
  <c r="P1024" i="5"/>
  <c r="P1187" i="5"/>
  <c r="P1188" i="5"/>
  <c r="P1119" i="5"/>
  <c r="P865" i="5"/>
  <c r="P1834" i="5"/>
  <c r="P1690" i="5"/>
  <c r="P1600" i="5"/>
  <c r="P504" i="5"/>
  <c r="P572" i="5"/>
  <c r="P573" i="5"/>
  <c r="P1189" i="5"/>
  <c r="P1691" i="5"/>
  <c r="P728" i="5"/>
  <c r="P1564" i="5"/>
  <c r="P1025" i="5"/>
  <c r="P1026" i="5"/>
  <c r="P1835" i="5"/>
  <c r="P2131" i="5"/>
  <c r="P2021" i="5"/>
  <c r="P866" i="5"/>
  <c r="P1601" i="5"/>
  <c r="P1836" i="5"/>
  <c r="P1837" i="5"/>
  <c r="P2100" i="5"/>
  <c r="P1502" i="5"/>
  <c r="P361" i="5"/>
  <c r="P2132" i="5"/>
  <c r="P1977" i="5"/>
  <c r="P1838" i="5"/>
  <c r="P1839" i="5"/>
  <c r="P1785" i="5"/>
  <c r="P574" i="5"/>
  <c r="P867" i="5"/>
  <c r="P449" i="5"/>
  <c r="P1345" i="5"/>
  <c r="P1636" i="5"/>
  <c r="P1303" i="5"/>
  <c r="P1190" i="5"/>
  <c r="P505" i="5"/>
  <c r="P1120" i="5"/>
  <c r="P1191" i="5"/>
  <c r="P1416" i="5"/>
  <c r="P868" i="5"/>
  <c r="P1503" i="5"/>
  <c r="P637" i="5"/>
  <c r="P201" i="5"/>
  <c r="P1740" i="5"/>
  <c r="P1741" i="5"/>
  <c r="P1888" i="5"/>
  <c r="P638" i="5"/>
  <c r="P1417" i="5"/>
  <c r="P2068" i="5"/>
  <c r="P950" i="5"/>
  <c r="P2022" i="5"/>
  <c r="P1978" i="5"/>
  <c r="P1979" i="5"/>
  <c r="P1692" i="5"/>
  <c r="P1504" i="5"/>
  <c r="P1192" i="5"/>
  <c r="P799" i="5"/>
  <c r="P639" i="5"/>
  <c r="P2069" i="5"/>
  <c r="P729" i="5"/>
  <c r="P1786" i="5"/>
  <c r="P1840" i="5"/>
  <c r="P640" i="5"/>
  <c r="P730" i="5"/>
  <c r="P1121" i="5"/>
  <c r="P506" i="5"/>
  <c r="P1693" i="5"/>
  <c r="P1938" i="5"/>
  <c r="P1742" i="5"/>
  <c r="P800" i="5"/>
  <c r="P1841" i="5"/>
  <c r="P1027" i="5"/>
  <c r="P1939" i="5"/>
  <c r="P1694" i="5"/>
  <c r="P1787" i="5"/>
  <c r="P869" i="5"/>
  <c r="P1889" i="5"/>
  <c r="P731" i="5"/>
  <c r="P732" i="5"/>
  <c r="P1565" i="5"/>
  <c r="P1304" i="5"/>
  <c r="P1028" i="5"/>
  <c r="P507" i="5"/>
  <c r="P1193" i="5"/>
  <c r="P234" i="5"/>
  <c r="P1695" i="5"/>
  <c r="P1505" i="5"/>
  <c r="P1506" i="5"/>
  <c r="P2101" i="5"/>
  <c r="P508" i="5"/>
  <c r="P641" i="5"/>
  <c r="P2102" i="5"/>
  <c r="P1418" i="5"/>
  <c r="P1305" i="5"/>
  <c r="P870" i="5"/>
  <c r="P1472" i="5"/>
  <c r="P733" i="5"/>
  <c r="P1743" i="5"/>
  <c r="P951" i="5"/>
  <c r="P401" i="5"/>
  <c r="P1419" i="5"/>
  <c r="P1637" i="5"/>
  <c r="P642" i="5"/>
  <c r="P2133" i="5"/>
  <c r="P135" i="5"/>
  <c r="P2023" i="5"/>
  <c r="P2134" i="5"/>
  <c r="P1744" i="5"/>
  <c r="P1306" i="5"/>
  <c r="P1745" i="5"/>
  <c r="P1980" i="5"/>
  <c r="P1420" i="5"/>
  <c r="P42" i="5"/>
  <c r="P643" i="5"/>
  <c r="P644" i="5"/>
  <c r="P2159" i="5"/>
  <c r="P1248" i="5"/>
  <c r="P509" i="5"/>
  <c r="P53" i="5"/>
  <c r="P1566" i="5"/>
  <c r="P871" i="5"/>
  <c r="P2221" i="5"/>
  <c r="P1890" i="5"/>
  <c r="P362" i="5"/>
  <c r="P1194" i="5"/>
  <c r="P2193" i="5"/>
  <c r="P2194" i="5"/>
  <c r="P1842" i="5"/>
  <c r="P1843" i="5"/>
  <c r="P1844" i="5"/>
  <c r="P1845" i="5"/>
  <c r="P2024" i="5"/>
  <c r="P1567" i="5"/>
  <c r="P1891" i="5"/>
  <c r="P1746" i="5"/>
  <c r="P1981" i="5"/>
  <c r="P1696" i="5"/>
  <c r="P2103" i="5"/>
  <c r="P1249" i="5"/>
  <c r="P1638" i="5"/>
  <c r="P1639" i="5"/>
  <c r="P1640" i="5"/>
  <c r="P1747" i="5"/>
  <c r="P1940" i="5"/>
  <c r="P1122" i="5"/>
  <c r="P1507" i="5"/>
  <c r="P1788" i="5"/>
  <c r="P1846" i="5"/>
  <c r="P575" i="5"/>
  <c r="P952" i="5"/>
  <c r="P2025" i="5"/>
  <c r="P326" i="5"/>
  <c r="P645" i="5"/>
  <c r="P402" i="5"/>
  <c r="P276" i="5"/>
  <c r="P277" i="5"/>
  <c r="P1568" i="5"/>
  <c r="P1789" i="5"/>
  <c r="P1250" i="5"/>
  <c r="P1941" i="5"/>
  <c r="P1508" i="5"/>
  <c r="P1748" i="5"/>
  <c r="P2135" i="5"/>
  <c r="P2136" i="5"/>
  <c r="P953" i="5"/>
  <c r="P43" i="5"/>
  <c r="P646" i="5"/>
  <c r="P647" i="5"/>
  <c r="P1602" i="5"/>
  <c r="P801" i="5"/>
  <c r="P1892" i="5"/>
  <c r="P2026" i="5"/>
  <c r="P1346" i="5"/>
  <c r="P1347" i="5"/>
  <c r="P1749" i="5"/>
  <c r="P648" i="5"/>
  <c r="P734" i="5"/>
  <c r="P1029" i="5"/>
  <c r="P954" i="5"/>
  <c r="P1509" i="5"/>
  <c r="P1893" i="5"/>
  <c r="P2027" i="5"/>
  <c r="P2070" i="5"/>
  <c r="P1030" i="5"/>
  <c r="P649" i="5"/>
  <c r="P802" i="5"/>
  <c r="P2137" i="5"/>
  <c r="P1641" i="5"/>
  <c r="P1031" i="5"/>
  <c r="P1473" i="5"/>
  <c r="P872" i="5"/>
  <c r="P2071" i="5"/>
  <c r="P1251" i="5"/>
  <c r="P2218" i="5"/>
  <c r="P2219" i="5"/>
  <c r="P1474" i="5"/>
  <c r="P1510" i="5"/>
  <c r="P1511" i="5"/>
  <c r="P1642" i="5"/>
  <c r="P1348" i="5"/>
  <c r="P1512" i="5"/>
  <c r="P1982" i="5"/>
  <c r="P25" i="5"/>
  <c r="P2104" i="5"/>
  <c r="P1195" i="5"/>
  <c r="P1894" i="5"/>
  <c r="P1513" i="5"/>
  <c r="P2105" i="5"/>
  <c r="P1983" i="5"/>
  <c r="P450" i="5"/>
  <c r="P873" i="5"/>
  <c r="P874" i="5"/>
  <c r="P875" i="5"/>
  <c r="P1603" i="5"/>
  <c r="P1196" i="5"/>
  <c r="P1847" i="5"/>
  <c r="P1750" i="5"/>
  <c r="P803" i="5"/>
  <c r="P735" i="5"/>
  <c r="P2138" i="5"/>
  <c r="P2106" i="5"/>
  <c r="P1421" i="5"/>
  <c r="P2028" i="5"/>
  <c r="P1643" i="5"/>
  <c r="P804" i="5"/>
  <c r="P403" i="5"/>
  <c r="P1644" i="5"/>
  <c r="P1307" i="5"/>
  <c r="P736" i="5"/>
  <c r="P1790" i="5"/>
  <c r="P1984" i="5"/>
  <c r="P451" i="5"/>
  <c r="P737" i="5"/>
  <c r="P2139" i="5"/>
  <c r="P1349" i="5"/>
  <c r="P1645" i="5"/>
  <c r="P2072" i="5"/>
  <c r="P2073" i="5"/>
  <c r="P1791" i="5"/>
  <c r="P1569" i="5"/>
  <c r="P2029" i="5"/>
  <c r="P1032" i="5"/>
  <c r="P1422" i="5"/>
  <c r="P650" i="5"/>
  <c r="P510" i="5"/>
  <c r="P1423" i="5"/>
  <c r="P1848" i="5"/>
  <c r="P1849" i="5"/>
  <c r="P576" i="5"/>
  <c r="P136" i="5"/>
  <c r="P1475" i="5"/>
  <c r="P1308" i="5"/>
  <c r="P1424" i="5"/>
  <c r="P1425" i="5"/>
  <c r="P876" i="5"/>
  <c r="P1197" i="5"/>
  <c r="P1646" i="5"/>
  <c r="P738" i="5"/>
  <c r="P1514" i="5"/>
  <c r="P1942" i="5"/>
  <c r="P1350" i="5"/>
  <c r="P1751" i="5"/>
  <c r="P2160" i="5"/>
  <c r="P2161" i="5"/>
  <c r="P2030" i="5"/>
  <c r="P1752" i="5"/>
  <c r="P1604" i="5"/>
  <c r="P1033" i="5"/>
  <c r="P955" i="5"/>
  <c r="P956" i="5"/>
  <c r="P1895" i="5"/>
  <c r="P511" i="5"/>
  <c r="P805" i="5"/>
  <c r="P1943" i="5"/>
  <c r="P957" i="5"/>
  <c r="P651" i="5"/>
  <c r="P1985" i="5"/>
  <c r="P739" i="5"/>
  <c r="P75" i="5"/>
  <c r="P652" i="5"/>
  <c r="P1570" i="5"/>
  <c r="P740" i="5"/>
  <c r="P741" i="5"/>
  <c r="P742" i="5"/>
  <c r="P1850" i="5"/>
  <c r="P877" i="5"/>
  <c r="P1851" i="5"/>
  <c r="P958" i="5"/>
  <c r="P653" i="5"/>
  <c r="P1896" i="5"/>
  <c r="P1897" i="5"/>
  <c r="P806" i="5"/>
  <c r="P1476" i="5"/>
  <c r="P1605" i="5"/>
  <c r="P164" i="5"/>
  <c r="P1477" i="5"/>
  <c r="P1351" i="5"/>
  <c r="P807" i="5"/>
  <c r="P404" i="5"/>
  <c r="P808" i="5"/>
  <c r="P1478" i="5"/>
  <c r="P1479" i="5"/>
  <c r="P1944" i="5"/>
  <c r="P1252" i="5"/>
  <c r="P1034" i="5"/>
  <c r="P2162" i="5"/>
  <c r="P2206" i="5"/>
  <c r="P743" i="5"/>
  <c r="P809" i="5"/>
  <c r="P107" i="5"/>
  <c r="P327" i="5"/>
  <c r="P1571" i="5"/>
  <c r="P1753" i="5"/>
  <c r="P1515" i="5"/>
  <c r="P1426" i="5"/>
  <c r="P1427" i="5"/>
  <c r="P2163" i="5"/>
  <c r="P810" i="5"/>
  <c r="P452" i="5"/>
  <c r="P2213" i="5"/>
  <c r="P811" i="5"/>
  <c r="P812" i="5"/>
  <c r="P405" i="5"/>
  <c r="P363" i="5"/>
  <c r="P1309" i="5"/>
  <c r="P1697" i="5"/>
  <c r="P1123" i="5"/>
  <c r="P1352" i="5"/>
  <c r="P1353" i="5"/>
  <c r="P2074" i="5"/>
  <c r="P1035" i="5"/>
  <c r="P1198" i="5"/>
  <c r="P1945" i="5"/>
  <c r="P1354" i="5"/>
  <c r="P1647" i="5"/>
  <c r="P1124" i="5"/>
  <c r="P959" i="5"/>
  <c r="P1036" i="5"/>
  <c r="P1428" i="5"/>
  <c r="P813" i="5"/>
  <c r="P1253" i="5"/>
  <c r="P1429" i="5"/>
  <c r="P512" i="5"/>
  <c r="P960" i="5"/>
  <c r="P202" i="5"/>
  <c r="P744" i="5"/>
  <c r="P1430" i="5"/>
  <c r="P1125" i="5"/>
  <c r="P2031" i="5"/>
  <c r="P1126" i="5"/>
  <c r="P1792" i="5"/>
  <c r="P2195" i="5"/>
  <c r="P1199" i="5"/>
  <c r="P878" i="5"/>
  <c r="P406" i="5"/>
  <c r="P407" i="5"/>
  <c r="P1037" i="5"/>
  <c r="P328" i="5"/>
  <c r="P1254" i="5"/>
  <c r="P513" i="5"/>
  <c r="P2032" i="5"/>
  <c r="P278" i="5"/>
  <c r="P1200" i="5"/>
  <c r="P1201" i="5"/>
  <c r="P1355" i="5"/>
  <c r="P408" i="5"/>
  <c r="P1356" i="5"/>
  <c r="P2033" i="5"/>
  <c r="P1357" i="5"/>
  <c r="P814" i="5"/>
  <c r="P1038" i="5"/>
  <c r="P961" i="5"/>
  <c r="P577" i="5"/>
  <c r="P2075" i="5"/>
  <c r="P1202" i="5"/>
  <c r="P1793" i="5"/>
  <c r="P745" i="5"/>
  <c r="P879" i="5"/>
  <c r="P1127" i="5"/>
  <c r="P815" i="5"/>
  <c r="P578" i="5"/>
  <c r="P2107" i="5"/>
  <c r="P1039" i="5"/>
  <c r="P1572" i="5"/>
  <c r="P1040" i="5"/>
  <c r="P1203" i="5"/>
  <c r="P1431" i="5"/>
  <c r="P235" i="5"/>
  <c r="P514" i="5"/>
  <c r="P44" i="5"/>
  <c r="P26" i="5"/>
  <c r="P1310" i="5"/>
  <c r="P962" i="5"/>
  <c r="P1946" i="5"/>
  <c r="P1898" i="5"/>
  <c r="P1899" i="5"/>
  <c r="P1255" i="5"/>
  <c r="P816" i="5"/>
  <c r="P515" i="5"/>
  <c r="P1480" i="5"/>
  <c r="P1481" i="5"/>
  <c r="P654" i="5"/>
  <c r="P880" i="5"/>
  <c r="P881" i="5"/>
  <c r="P1041" i="5"/>
  <c r="P364" i="5"/>
  <c r="P963" i="5"/>
  <c r="P76" i="5"/>
  <c r="P165" i="5"/>
  <c r="P166" i="5"/>
  <c r="P817" i="5"/>
  <c r="P1754" i="5"/>
  <c r="P1698" i="5"/>
  <c r="P1204" i="5"/>
  <c r="P1794" i="5"/>
  <c r="P236" i="5"/>
  <c r="P2164" i="5"/>
  <c r="P1205" i="5"/>
  <c r="P365" i="5"/>
  <c r="P746" i="5"/>
  <c r="P329" i="5"/>
  <c r="P1042" i="5"/>
  <c r="P366" i="5"/>
  <c r="P579" i="5"/>
  <c r="P580" i="5"/>
  <c r="P516" i="5"/>
  <c r="P137" i="5"/>
  <c r="P138" i="5"/>
  <c r="P517" i="5"/>
  <c r="P367" i="5"/>
  <c r="P108" i="5"/>
  <c r="P409" i="5"/>
  <c r="P1900" i="5"/>
  <c r="P1256" i="5"/>
  <c r="P1482" i="5"/>
  <c r="P747" i="5"/>
  <c r="P964" i="5"/>
  <c r="P1483" i="5"/>
  <c r="P518" i="5"/>
  <c r="P1484" i="5"/>
  <c r="P203" i="5"/>
  <c r="P1986" i="5"/>
  <c r="P581" i="5"/>
  <c r="P1795" i="5"/>
  <c r="P167" i="5"/>
  <c r="P1257" i="5"/>
  <c r="P1258" i="5"/>
  <c r="P1648" i="5"/>
  <c r="P519" i="5"/>
  <c r="P2108" i="5"/>
  <c r="P582" i="5"/>
  <c r="P1259" i="5"/>
  <c r="P330" i="5"/>
  <c r="P1206" i="5"/>
  <c r="P139" i="5"/>
  <c r="P520" i="5"/>
  <c r="P1516" i="5"/>
  <c r="P2034" i="5"/>
  <c r="P1043" i="5"/>
  <c r="P1485" i="5"/>
  <c r="P748" i="5"/>
  <c r="P655" i="5"/>
  <c r="P1432" i="5"/>
  <c r="P1796" i="5"/>
  <c r="P1260" i="5"/>
  <c r="P2076" i="5"/>
  <c r="P2077" i="5"/>
  <c r="P453" i="5"/>
  <c r="P1433" i="5"/>
  <c r="P1207" i="5"/>
  <c r="P1208" i="5"/>
  <c r="P1128" i="5"/>
  <c r="P1261" i="5"/>
  <c r="P331" i="5"/>
  <c r="P1987" i="5"/>
  <c r="P1797" i="5"/>
  <c r="P2035" i="5"/>
  <c r="P818" i="5"/>
  <c r="P965" i="5"/>
  <c r="P966" i="5"/>
  <c r="P1311" i="5"/>
  <c r="P583" i="5"/>
  <c r="P749" i="5"/>
  <c r="P368" i="5"/>
  <c r="P204" i="5"/>
  <c r="P237" i="5"/>
  <c r="P2036" i="5"/>
  <c r="P819" i="5"/>
  <c r="P820" i="5"/>
  <c r="P279" i="5"/>
  <c r="P280" i="5"/>
  <c r="P281" i="5"/>
  <c r="P1947" i="5"/>
  <c r="P1948" i="5"/>
  <c r="P1209" i="5"/>
  <c r="P1044" i="5"/>
  <c r="P584" i="5"/>
  <c r="P2078" i="5"/>
  <c r="P1045" i="5"/>
  <c r="P109" i="5"/>
  <c r="P1988" i="5"/>
  <c r="P238" i="5"/>
  <c r="P369" i="5"/>
  <c r="P332" i="5"/>
  <c r="P1573" i="5"/>
  <c r="P1517" i="5"/>
  <c r="P282" i="5"/>
  <c r="P882" i="5"/>
  <c r="P656" i="5"/>
  <c r="P1649" i="5"/>
  <c r="P821" i="5"/>
  <c r="P168" i="5"/>
  <c r="P283" i="5"/>
  <c r="P1949" i="5"/>
  <c r="P1950" i="5"/>
  <c r="P967" i="5"/>
  <c r="P883" i="5"/>
  <c r="P1901" i="5"/>
  <c r="P1902" i="5"/>
  <c r="P968" i="5"/>
  <c r="P110" i="5"/>
  <c r="P1129" i="5"/>
  <c r="P1699" i="5"/>
  <c r="P2140" i="5"/>
  <c r="P969" i="5"/>
  <c r="P1755" i="5"/>
  <c r="P1903" i="5"/>
  <c r="P521" i="5"/>
  <c r="P77" i="5"/>
  <c r="P239" i="5"/>
  <c r="P522" i="5"/>
  <c r="P1518" i="5"/>
  <c r="P1519" i="5"/>
  <c r="P523" i="5"/>
  <c r="P1046" i="5"/>
  <c r="P970" i="5"/>
  <c r="P971" i="5"/>
  <c r="P884" i="5"/>
  <c r="P524" i="5"/>
  <c r="P370" i="5"/>
  <c r="P333" i="5"/>
  <c r="P169" i="5"/>
  <c r="P1904" i="5"/>
  <c r="P1905" i="5"/>
  <c r="P1262" i="5"/>
  <c r="P525" i="5"/>
  <c r="P822" i="5"/>
  <c r="P1210" i="5"/>
  <c r="P1211" i="5"/>
  <c r="P78" i="5"/>
  <c r="P1700" i="5"/>
  <c r="P1263" i="5"/>
  <c r="P1047" i="5"/>
  <c r="P1650" i="5"/>
  <c r="P1130" i="5"/>
  <c r="P170" i="5"/>
  <c r="P1048" i="5"/>
  <c r="P1358" i="5"/>
  <c r="P240" i="5"/>
  <c r="P526" i="5"/>
  <c r="P1131" i="5"/>
  <c r="P2109" i="5"/>
  <c r="P885" i="5"/>
  <c r="P205" i="5"/>
  <c r="P1574" i="5"/>
  <c r="P972" i="5"/>
  <c r="P585" i="5"/>
  <c r="P2196" i="5"/>
  <c r="P2197" i="5"/>
  <c r="P973" i="5"/>
  <c r="P1359" i="5"/>
  <c r="P1360" i="5"/>
  <c r="P527" i="5"/>
  <c r="P528" i="5"/>
  <c r="P1989" i="5"/>
  <c r="P657" i="5"/>
  <c r="P658" i="5"/>
  <c r="P1798" i="5"/>
  <c r="P659" i="5"/>
  <c r="P410" i="5"/>
  <c r="P886" i="5"/>
  <c r="P887" i="5"/>
  <c r="P660" i="5"/>
  <c r="P750" i="5"/>
  <c r="P1756" i="5"/>
  <c r="P284" i="5"/>
  <c r="P751" i="5"/>
  <c r="P752" i="5"/>
  <c r="P1906" i="5"/>
  <c r="P241" i="5"/>
  <c r="P79" i="5"/>
  <c r="P1049" i="5"/>
  <c r="P1050" i="5"/>
  <c r="P823" i="5"/>
  <c r="P753" i="5"/>
  <c r="P1361" i="5"/>
  <c r="P1362" i="5"/>
  <c r="P1312" i="5"/>
  <c r="P334" i="5"/>
  <c r="P1264" i="5"/>
  <c r="P529" i="5"/>
  <c r="P371" i="5"/>
  <c r="P1990" i="5"/>
  <c r="P1313" i="5"/>
  <c r="P1951" i="5"/>
  <c r="P1907" i="5"/>
  <c r="P1434" i="5"/>
  <c r="P1799" i="5"/>
  <c r="P1952" i="5"/>
  <c r="P411" i="5"/>
  <c r="P285" i="5"/>
  <c r="P454" i="5"/>
  <c r="P1265" i="5"/>
  <c r="P1520" i="5"/>
  <c r="P1701" i="5"/>
  <c r="P1051" i="5"/>
  <c r="P754" i="5"/>
  <c r="P1953" i="5"/>
  <c r="P755" i="5"/>
  <c r="P530" i="5"/>
  <c r="P1606" i="5"/>
  <c r="P2141" i="5"/>
  <c r="P1435" i="5"/>
  <c r="P661" i="5"/>
  <c r="P662" i="5"/>
  <c r="P586" i="5"/>
  <c r="P286" i="5"/>
  <c r="P1052" i="5"/>
  <c r="P206" i="5"/>
  <c r="P372" i="5"/>
  <c r="P1132" i="5"/>
  <c r="P1954" i="5"/>
  <c r="P242" i="5"/>
  <c r="P287" i="5"/>
  <c r="P1266" i="5"/>
  <c r="P373" i="5"/>
  <c r="P974" i="5"/>
  <c r="P2142" i="5"/>
  <c r="P1212" i="5"/>
  <c r="P1267" i="5"/>
  <c r="P288" i="5"/>
  <c r="P888" i="5"/>
  <c r="P889" i="5"/>
  <c r="P890" i="5"/>
  <c r="P891" i="5"/>
  <c r="P756" i="5"/>
  <c r="P1436" i="5"/>
  <c r="P1437" i="5"/>
  <c r="P587" i="5"/>
  <c r="P1053" i="5"/>
  <c r="P54" i="5"/>
  <c r="P2037" i="5"/>
  <c r="P1702" i="5"/>
  <c r="P892" i="5"/>
  <c r="P893" i="5"/>
  <c r="P243" i="5"/>
  <c r="P1133" i="5"/>
  <c r="P975" i="5"/>
  <c r="P531" i="5"/>
  <c r="P374" i="5"/>
  <c r="P1314" i="5"/>
  <c r="P2143" i="5"/>
  <c r="P111" i="5"/>
  <c r="P1852" i="5"/>
  <c r="P1268" i="5"/>
  <c r="P1757" i="5"/>
  <c r="P244" i="5"/>
  <c r="P245" i="5"/>
  <c r="P1054" i="5"/>
  <c r="P1055" i="5"/>
  <c r="P757" i="5"/>
  <c r="P412" i="5"/>
  <c r="P894" i="5"/>
  <c r="P1853" i="5"/>
  <c r="P27" i="5"/>
  <c r="P28" i="5"/>
  <c r="P1269" i="5"/>
  <c r="P895" i="5"/>
  <c r="P2079" i="5"/>
  <c r="P10" i="5"/>
  <c r="P11" i="5"/>
  <c r="P246" i="5"/>
  <c r="P171" i="5"/>
  <c r="P1363" i="5"/>
  <c r="P1854" i="5"/>
  <c r="P1056" i="5"/>
  <c r="P1057" i="5"/>
  <c r="P824" i="5"/>
  <c r="P825" i="5"/>
  <c r="P1991" i="5"/>
  <c r="P976" i="5"/>
  <c r="P1703" i="5"/>
  <c r="P663" i="5"/>
  <c r="P588" i="5"/>
  <c r="P2165" i="5"/>
  <c r="P375" i="5"/>
  <c r="P826" i="5"/>
  <c r="P827" i="5"/>
  <c r="P55" i="5"/>
  <c r="P589" i="5"/>
  <c r="P1521" i="5"/>
  <c r="P455" i="5"/>
  <c r="P172" i="5"/>
  <c r="P1704" i="5"/>
  <c r="P1438" i="5"/>
  <c r="P1522" i="5"/>
  <c r="P758" i="5"/>
  <c r="P112" i="5"/>
  <c r="P113" i="5"/>
  <c r="P1058" i="5"/>
  <c r="P2038" i="5"/>
  <c r="P1270" i="5"/>
  <c r="P532" i="5"/>
  <c r="P2110" i="5"/>
  <c r="P2111" i="5"/>
  <c r="P80" i="5"/>
  <c r="P81" i="5"/>
  <c r="P1134" i="5"/>
  <c r="P759" i="5"/>
  <c r="P207" i="5"/>
  <c r="P1705" i="5"/>
  <c r="P1135" i="5"/>
  <c r="P1523" i="5"/>
  <c r="P977" i="5"/>
  <c r="P828" i="5"/>
  <c r="P1364" i="5"/>
  <c r="P1213" i="5"/>
  <c r="P289" i="5"/>
  <c r="P1365" i="5"/>
  <c r="P1524" i="5"/>
  <c r="P896" i="5"/>
  <c r="P456" i="5"/>
  <c r="P1439" i="5"/>
  <c r="P208" i="5"/>
  <c r="P2039" i="5"/>
  <c r="P1758" i="5"/>
  <c r="P1575" i="5"/>
  <c r="P2040" i="5"/>
  <c r="P1525" i="5"/>
  <c r="P1059" i="5"/>
  <c r="P1060" i="5"/>
  <c r="P1366" i="5"/>
  <c r="P760" i="5"/>
  <c r="P761" i="5"/>
  <c r="P173" i="5"/>
  <c r="P413" i="5"/>
  <c r="P762" i="5"/>
  <c r="P664" i="5"/>
  <c r="P590" i="5"/>
  <c r="P1440" i="5"/>
  <c r="P1706" i="5"/>
  <c r="P533" i="5"/>
  <c r="P534" i="5"/>
  <c r="P591" i="5"/>
  <c r="P1061" i="5"/>
  <c r="P1062" i="5"/>
  <c r="P1271" i="5"/>
  <c r="P174" i="5"/>
  <c r="P2080" i="5"/>
  <c r="P457" i="5"/>
  <c r="P1441" i="5"/>
  <c r="P897" i="5"/>
  <c r="P1526" i="5"/>
  <c r="P1607" i="5"/>
  <c r="P1315" i="5"/>
  <c r="P1316" i="5"/>
  <c r="P247" i="5"/>
  <c r="P335" i="5"/>
  <c r="P1136" i="5"/>
  <c r="P898" i="5"/>
  <c r="P829" i="5"/>
  <c r="P1651" i="5"/>
  <c r="P1759" i="5"/>
  <c r="P290" i="5"/>
  <c r="P1955" i="5"/>
  <c r="P1063" i="5"/>
  <c r="P82" i="5"/>
  <c r="P978" i="5"/>
  <c r="P1137" i="5"/>
  <c r="P592" i="5"/>
  <c r="P665" i="5"/>
  <c r="P414" i="5"/>
  <c r="P899" i="5"/>
  <c r="P291" i="5"/>
  <c r="P248" i="5"/>
  <c r="P1486" i="5"/>
  <c r="P1064" i="5"/>
  <c r="P535" i="5"/>
  <c r="P666" i="5"/>
  <c r="P458" i="5"/>
  <c r="P979" i="5"/>
  <c r="P830" i="5"/>
  <c r="P415" i="5"/>
  <c r="P1576" i="5"/>
  <c r="P1577" i="5"/>
  <c r="P1652" i="5"/>
  <c r="P1855" i="5"/>
  <c r="P249" i="5"/>
  <c r="P593" i="5"/>
  <c r="P594" i="5"/>
  <c r="P900" i="5"/>
  <c r="P901" i="5"/>
  <c r="P763" i="5"/>
  <c r="P209" i="5"/>
  <c r="P376" i="5"/>
  <c r="P459" i="5"/>
  <c r="P595" i="5"/>
  <c r="P667" i="5"/>
  <c r="P668" i="5"/>
  <c r="P1527" i="5"/>
  <c r="P831" i="5"/>
  <c r="P1367" i="5"/>
  <c r="P2081" i="5"/>
  <c r="P416" i="5"/>
  <c r="P1214" i="5"/>
  <c r="P764" i="5"/>
  <c r="P669" i="5"/>
  <c r="P1317" i="5"/>
  <c r="P417" i="5"/>
  <c r="P980" i="5"/>
  <c r="P832" i="5"/>
  <c r="P1442" i="5"/>
  <c r="P670" i="5"/>
  <c r="P671" i="5"/>
  <c r="P460" i="5"/>
  <c r="P1065" i="5"/>
  <c r="P1760" i="5"/>
  <c r="P1653" i="5"/>
  <c r="P1654" i="5"/>
  <c r="P250" i="5"/>
  <c r="P981" i="5"/>
  <c r="P1215" i="5"/>
  <c r="P140" i="5"/>
  <c r="P1066" i="5"/>
  <c r="P1067" i="5"/>
  <c r="P596" i="5"/>
  <c r="P833" i="5"/>
  <c r="P834" i="5"/>
  <c r="P210" i="5"/>
  <c r="P83" i="5"/>
  <c r="P84" i="5"/>
  <c r="P982" i="5"/>
  <c r="P536" i="5"/>
  <c r="P292" i="5"/>
  <c r="P293" i="5"/>
  <c r="P56" i="5"/>
  <c r="P1608" i="5"/>
  <c r="P983" i="5"/>
  <c r="P1138" i="5"/>
  <c r="P175" i="5"/>
  <c r="P211" i="5"/>
  <c r="P1068" i="5"/>
  <c r="P984" i="5"/>
  <c r="P212" i="5"/>
  <c r="P213" i="5"/>
  <c r="P1069" i="5"/>
  <c r="P1443" i="5"/>
  <c r="P1444" i="5"/>
  <c r="P114" i="5"/>
  <c r="P1139" i="5"/>
  <c r="P1272" i="5"/>
  <c r="P672" i="5"/>
  <c r="P1655" i="5"/>
  <c r="P1368" i="5"/>
  <c r="P1656" i="5"/>
  <c r="P2082" i="5"/>
  <c r="P141" i="5"/>
  <c r="P1273" i="5"/>
  <c r="P214" i="5"/>
  <c r="P377" i="5"/>
  <c r="P597" i="5"/>
  <c r="P1856" i="5"/>
  <c r="P598" i="5"/>
  <c r="P1369" i="5"/>
  <c r="P336" i="5"/>
  <c r="P85" i="5"/>
  <c r="P86" i="5"/>
  <c r="P537" i="5"/>
  <c r="P538" i="5"/>
  <c r="P337" i="5"/>
  <c r="P1657" i="5"/>
  <c r="P378" i="5"/>
  <c r="P2041" i="5"/>
  <c r="P539" i="5"/>
  <c r="P835" i="5"/>
  <c r="P294" i="5"/>
  <c r="P295" i="5"/>
  <c r="P1318" i="5"/>
  <c r="P2179" i="5"/>
  <c r="P296" i="5"/>
  <c r="P2042" i="5"/>
  <c r="P2112" i="5"/>
  <c r="P1609" i="5"/>
  <c r="P1610" i="5"/>
  <c r="P1140" i="5"/>
  <c r="P1761" i="5"/>
  <c r="P176" i="5"/>
  <c r="P418" i="5"/>
  <c r="P1319" i="5"/>
  <c r="P115" i="5"/>
  <c r="P461" i="5"/>
  <c r="P599" i="5"/>
  <c r="P902" i="5"/>
  <c r="P379" i="5"/>
  <c r="P540" i="5"/>
  <c r="P338" i="5"/>
  <c r="P765" i="5"/>
  <c r="P2180" i="5"/>
  <c r="P2083" i="5"/>
  <c r="P1956" i="5"/>
  <c r="P251" i="5"/>
  <c r="P462" i="5"/>
  <c r="P1141" i="5"/>
  <c r="P1578" i="5"/>
  <c r="P1611" i="5"/>
  <c r="P985" i="5"/>
  <c r="P2113" i="5"/>
  <c r="P903" i="5"/>
  <c r="P177" i="5"/>
  <c r="P904" i="5"/>
  <c r="P1612" i="5"/>
  <c r="P297" i="5"/>
  <c r="P298" i="5"/>
  <c r="P1274" i="5"/>
  <c r="P1370" i="5"/>
  <c r="P2084" i="5"/>
  <c r="P1070" i="5"/>
  <c r="P673" i="5"/>
  <c r="P674" i="5"/>
  <c r="P1707" i="5"/>
  <c r="P1216" i="5"/>
  <c r="P380" i="5"/>
  <c r="P45" i="5"/>
  <c r="P1071" i="5"/>
  <c r="P178" i="5"/>
  <c r="P986" i="5"/>
  <c r="P836" i="5"/>
  <c r="P252" i="5"/>
  <c r="P1320" i="5"/>
  <c r="P179" i="5"/>
  <c r="P2144" i="5"/>
  <c r="P1762" i="5"/>
  <c r="P1763" i="5"/>
  <c r="P541" i="5"/>
  <c r="P675" i="5"/>
  <c r="P1217" i="5"/>
  <c r="P987" i="5"/>
  <c r="P905" i="5"/>
  <c r="P542" i="5"/>
  <c r="P1857" i="5"/>
  <c r="P57" i="5"/>
  <c r="P1800" i="5"/>
  <c r="P1801" i="5"/>
  <c r="P837" i="5"/>
  <c r="P419" i="5"/>
  <c r="P1142" i="5"/>
  <c r="P1321" i="5"/>
  <c r="P543" i="5"/>
  <c r="P1072" i="5"/>
  <c r="P544" i="5"/>
  <c r="P1073" i="5"/>
  <c r="P253" i="5"/>
  <c r="P142" i="5"/>
  <c r="P838" i="5"/>
  <c r="P839" i="5"/>
  <c r="P87" i="5"/>
  <c r="P906" i="5"/>
  <c r="P2181" i="5"/>
  <c r="P600" i="5"/>
  <c r="P1218" i="5"/>
  <c r="P1219" i="5"/>
  <c r="P299" i="5"/>
  <c r="P180" i="5"/>
  <c r="P988" i="5"/>
  <c r="P676" i="5"/>
  <c r="P420" i="5"/>
  <c r="P116" i="5"/>
  <c r="P989" i="5"/>
  <c r="P545" i="5"/>
  <c r="P546" i="5"/>
  <c r="P990" i="5"/>
  <c r="P339" i="5"/>
  <c r="P58" i="5"/>
  <c r="P117" i="5"/>
  <c r="P907" i="5"/>
  <c r="P463" i="5"/>
  <c r="P464" i="5"/>
  <c r="P254" i="5"/>
  <c r="P381" i="5"/>
  <c r="P991" i="5"/>
  <c r="P465" i="5"/>
  <c r="P340" i="5"/>
  <c r="P382" i="5"/>
  <c r="P59" i="5"/>
  <c r="P1708" i="5"/>
  <c r="P1143" i="5"/>
  <c r="P1144" i="5"/>
  <c r="P300" i="5"/>
  <c r="P677" i="5"/>
  <c r="P255" i="5"/>
  <c r="P766" i="5"/>
  <c r="P1220" i="5"/>
  <c r="P143" i="5"/>
  <c r="P601" i="5"/>
  <c r="P1275" i="5"/>
  <c r="P466" i="5"/>
  <c r="P678" i="5"/>
  <c r="P341" i="5"/>
  <c r="P1145" i="5"/>
  <c r="P342" i="5"/>
  <c r="P908" i="5"/>
  <c r="P1802" i="5"/>
  <c r="P301" i="5"/>
  <c r="P1445" i="5"/>
  <c r="P1446" i="5"/>
  <c r="P181" i="5"/>
  <c r="P144" i="5"/>
  <c r="P118" i="5"/>
  <c r="P119" i="5"/>
  <c r="P1709" i="5"/>
  <c r="P1992" i="5"/>
  <c r="P1221" i="5"/>
  <c r="P256" i="5"/>
  <c r="P1146" i="5"/>
  <c r="P215" i="5"/>
  <c r="P1528" i="5"/>
  <c r="P1147" i="5"/>
  <c r="P383" i="5"/>
  <c r="P1074" i="5"/>
  <c r="P1075" i="5"/>
  <c r="P547" i="5"/>
  <c r="P548" i="5"/>
  <c r="P602" i="5"/>
  <c r="P909" i="5"/>
  <c r="P767" i="5"/>
  <c r="P1371" i="5"/>
  <c r="P1372" i="5"/>
  <c r="P1148" i="5"/>
  <c r="P1322" i="5"/>
  <c r="P1323" i="5"/>
  <c r="P1908" i="5"/>
  <c r="P182" i="5"/>
  <c r="P1957" i="5"/>
  <c r="P343" i="5"/>
  <c r="P145" i="5"/>
  <c r="P1529" i="5"/>
  <c r="P1530" i="5"/>
  <c r="P1222" i="5"/>
  <c r="P216" i="5"/>
  <c r="P1858" i="5"/>
  <c r="P768" i="5"/>
  <c r="P2085" i="5"/>
  <c r="P769" i="5"/>
  <c r="P302" i="5"/>
  <c r="P1658" i="5"/>
  <c r="P603" i="5"/>
  <c r="P1149" i="5"/>
  <c r="P992" i="5"/>
  <c r="P303" i="5"/>
  <c r="P1803" i="5"/>
  <c r="P1804" i="5"/>
  <c r="P183" i="5"/>
  <c r="P1223" i="5"/>
  <c r="P184" i="5"/>
  <c r="P185" i="5"/>
  <c r="P304" i="5"/>
  <c r="P679" i="5"/>
  <c r="P467" i="5"/>
  <c r="P88" i="5"/>
  <c r="P993" i="5"/>
  <c r="P217" i="5"/>
  <c r="P549" i="5"/>
  <c r="P840" i="5"/>
  <c r="P146" i="5"/>
  <c r="P344" i="5"/>
  <c r="P680" i="5"/>
  <c r="P604" i="5"/>
  <c r="P910" i="5"/>
  <c r="P1150" i="5"/>
  <c r="P1151" i="5"/>
  <c r="P218" i="5"/>
  <c r="P120" i="5"/>
  <c r="P186" i="5"/>
  <c r="P911" i="5"/>
  <c r="P187" i="5"/>
  <c r="P188" i="5"/>
  <c r="P468" i="5"/>
  <c r="P46" i="5"/>
  <c r="P681" i="5"/>
  <c r="P682" i="5"/>
  <c r="P841" i="5"/>
  <c r="P842" i="5"/>
  <c r="P219" i="5"/>
  <c r="P220" i="5"/>
  <c r="P770" i="5"/>
  <c r="P1659" i="5"/>
  <c r="P1152" i="5"/>
  <c r="P1276" i="5"/>
  <c r="P1277" i="5"/>
  <c r="P221" i="5"/>
  <c r="P189" i="5"/>
  <c r="P345" i="5"/>
  <c r="P384" i="5"/>
  <c r="P385" i="5"/>
  <c r="P843" i="5"/>
  <c r="P1278" i="5"/>
  <c r="P421" i="5"/>
  <c r="P257" i="5"/>
  <c r="P912" i="5"/>
  <c r="P60" i="5"/>
  <c r="P61" i="5"/>
  <c r="P62" i="5"/>
  <c r="P258" i="5"/>
  <c r="P1076" i="5"/>
  <c r="P29" i="5"/>
  <c r="P1487" i="5"/>
  <c r="P1488" i="5"/>
  <c r="P1710" i="5"/>
  <c r="P1711" i="5"/>
  <c r="P1712" i="5"/>
  <c r="P1224" i="5"/>
  <c r="P346" i="5"/>
  <c r="P844" i="5"/>
  <c r="P89" i="5"/>
  <c r="P63" i="5"/>
  <c r="P147" i="5"/>
  <c r="P64" i="5"/>
  <c r="P222" i="5"/>
  <c r="P2198" i="5"/>
  <c r="P469" i="5"/>
  <c r="P683" i="5"/>
  <c r="P90" i="5"/>
  <c r="P771" i="5"/>
  <c r="P550" i="5"/>
  <c r="P148" i="5"/>
  <c r="P30" i="5"/>
  <c r="P684" i="5"/>
  <c r="P1660" i="5"/>
  <c r="P1661" i="5"/>
  <c r="P551" i="5"/>
  <c r="P772" i="5"/>
  <c r="P685" i="5"/>
  <c r="P1613" i="5"/>
  <c r="P2114" i="5"/>
  <c r="P470" i="5"/>
  <c r="P1077" i="5"/>
  <c r="P223" i="5"/>
  <c r="P552" i="5"/>
  <c r="P259" i="5"/>
  <c r="P260" i="5"/>
  <c r="P121" i="5"/>
  <c r="P65" i="5"/>
  <c r="P471" i="5"/>
  <c r="P422" i="5"/>
  <c r="P472" i="5"/>
  <c r="P1859" i="5"/>
  <c r="P122" i="5"/>
  <c r="P261" i="5"/>
  <c r="P1153" i="5"/>
  <c r="P1154" i="5"/>
  <c r="P473" i="5"/>
  <c r="P474" i="5"/>
  <c r="P31" i="5"/>
  <c r="P423" i="5"/>
  <c r="P1764" i="5"/>
  <c r="P149" i="5"/>
  <c r="P2086" i="5"/>
  <c r="P1531" i="5"/>
  <c r="P190" i="5"/>
  <c r="P686" i="5"/>
  <c r="P262" i="5"/>
  <c r="P1860" i="5"/>
  <c r="P424" i="5"/>
  <c r="P5" i="5"/>
  <c r="P994" i="5"/>
  <c r="P1225" i="5"/>
  <c r="P123" i="5"/>
  <c r="P1662" i="5"/>
  <c r="P687" i="5"/>
  <c r="P475" i="5"/>
  <c r="P1155" i="5"/>
  <c r="P2043" i="5"/>
  <c r="P688" i="5"/>
  <c r="P553" i="5"/>
  <c r="P773" i="5"/>
  <c r="P263" i="5"/>
  <c r="P91" i="5"/>
  <c r="P92" i="5"/>
  <c r="P93" i="5"/>
  <c r="P1078" i="5"/>
  <c r="P913" i="5"/>
  <c r="P689" i="5"/>
  <c r="P94" i="5"/>
  <c r="P191" i="5"/>
  <c r="P2044" i="5"/>
  <c r="P47" i="5"/>
  <c r="P914" i="5"/>
  <c r="P774" i="5"/>
  <c r="P690" i="5"/>
  <c r="P691" i="5"/>
  <c r="P554" i="5"/>
  <c r="P476" i="5"/>
  <c r="P477" i="5"/>
  <c r="P224" i="5"/>
  <c r="P192" i="5"/>
  <c r="P150" i="5"/>
  <c r="P32" i="5"/>
  <c r="P6" i="5"/>
  <c r="P1373" i="5"/>
  <c r="P1805" i="5"/>
  <c r="P347" i="5"/>
  <c r="P2115" i="5"/>
  <c r="P692" i="5"/>
  <c r="P1447" i="5"/>
  <c r="P1226" i="5"/>
  <c r="P1532" i="5"/>
  <c r="P915" i="5"/>
  <c r="P478" i="5"/>
  <c r="P1079" i="5"/>
  <c r="O2199" i="5"/>
  <c r="O1080" i="5"/>
  <c r="O775" i="5"/>
  <c r="O555" i="5"/>
  <c r="O264" i="5"/>
  <c r="O1614" i="5"/>
  <c r="O1615" i="5"/>
  <c r="O556" i="5"/>
  <c r="O48" i="5"/>
  <c r="O386" i="5"/>
  <c r="O12" i="5"/>
  <c r="O124" i="5"/>
  <c r="O1157" i="5"/>
  <c r="O2045" i="5"/>
  <c r="O1713" i="5"/>
  <c r="O1958" i="5"/>
  <c r="O1959" i="5"/>
  <c r="O1081" i="5"/>
  <c r="O1909" i="5"/>
  <c r="O2220" i="5"/>
  <c r="O845" i="5"/>
  <c r="O151" i="5"/>
  <c r="O20" i="5"/>
  <c r="O1616" i="5"/>
  <c r="O193" i="5"/>
  <c r="O265" i="5"/>
  <c r="O2145" i="5"/>
  <c r="O693" i="5"/>
  <c r="O152" i="5"/>
  <c r="O2166" i="5"/>
  <c r="O995" i="5"/>
  <c r="O1806" i="5"/>
  <c r="O49" i="5"/>
  <c r="O348" i="5"/>
  <c r="O1910" i="5"/>
  <c r="O2146" i="5"/>
  <c r="O1082" i="5"/>
  <c r="O266" i="5"/>
  <c r="O33" i="5"/>
  <c r="O34" i="5"/>
  <c r="O1807" i="5"/>
  <c r="O425" i="5"/>
  <c r="O35" i="5"/>
  <c r="O95" i="5"/>
  <c r="O1808" i="5"/>
  <c r="O225" i="5"/>
  <c r="O36" i="5"/>
  <c r="O846" i="5"/>
  <c r="O267" i="5"/>
  <c r="O1324" i="5"/>
  <c r="O1663" i="5"/>
  <c r="O1617" i="5"/>
  <c r="O66" i="5"/>
  <c r="O1579" i="5"/>
  <c r="O349" i="5"/>
  <c r="O426" i="5"/>
  <c r="O479" i="5"/>
  <c r="O1664" i="5"/>
  <c r="O1665" i="5"/>
  <c r="O96" i="5"/>
  <c r="O1618" i="5"/>
  <c r="O1666" i="5"/>
  <c r="O268" i="5"/>
  <c r="O350" i="5"/>
  <c r="O21" i="5"/>
  <c r="O996" i="5"/>
  <c r="O916" i="5"/>
  <c r="O917" i="5"/>
  <c r="O694" i="5"/>
  <c r="O1911" i="5"/>
  <c r="O2046" i="5"/>
  <c r="O269" i="5"/>
  <c r="O1580" i="5"/>
  <c r="O1809" i="5"/>
  <c r="O1325" i="5"/>
  <c r="O1534" i="5"/>
  <c r="O37" i="5"/>
  <c r="O847" i="5"/>
  <c r="O480" i="5"/>
  <c r="O67" i="5"/>
  <c r="O1535" i="5"/>
  <c r="O1536" i="5"/>
  <c r="O427" i="5"/>
  <c r="O1912" i="5"/>
  <c r="O1448" i="5"/>
  <c r="O605" i="5"/>
  <c r="O1714" i="5"/>
  <c r="O1993" i="5"/>
  <c r="O557" i="5"/>
  <c r="O1960" i="5"/>
  <c r="O918" i="5"/>
  <c r="O919" i="5"/>
  <c r="O1581" i="5"/>
  <c r="O1083" i="5"/>
  <c r="O1374" i="5"/>
  <c r="O1375" i="5"/>
  <c r="O1994" i="5"/>
  <c r="O1715" i="5"/>
  <c r="O97" i="5"/>
  <c r="O98" i="5"/>
  <c r="O695" i="5"/>
  <c r="O305" i="5"/>
  <c r="O306" i="5"/>
  <c r="O1810" i="5"/>
  <c r="O848" i="5"/>
  <c r="O776" i="5"/>
  <c r="O1995" i="5"/>
  <c r="O1996" i="5"/>
  <c r="O1997" i="5"/>
  <c r="O2147" i="5"/>
  <c r="O696" i="5"/>
  <c r="O697" i="5"/>
  <c r="O2148" i="5"/>
  <c r="O1537" i="5"/>
  <c r="O1227" i="5"/>
  <c r="O22" i="5"/>
  <c r="O153" i="5"/>
  <c r="O920" i="5"/>
  <c r="O1084" i="5"/>
  <c r="O7" i="5"/>
  <c r="O1619" i="5"/>
  <c r="O921" i="5"/>
  <c r="O777" i="5"/>
  <c r="O154" i="5"/>
  <c r="O1376" i="5"/>
  <c r="O2182" i="5"/>
  <c r="O2183" i="5"/>
  <c r="O226" i="5"/>
  <c r="O2207" i="5"/>
  <c r="O2184" i="5"/>
  <c r="O1998" i="5"/>
  <c r="O778" i="5"/>
  <c r="O558" i="5"/>
  <c r="O1667" i="5"/>
  <c r="O1538" i="5"/>
  <c r="O1620" i="5"/>
  <c r="O387" i="5"/>
  <c r="O2087" i="5"/>
  <c r="O1326" i="5"/>
  <c r="O1861" i="5"/>
  <c r="O1765" i="5"/>
  <c r="O1766" i="5"/>
  <c r="O155" i="5"/>
  <c r="O1582" i="5"/>
  <c r="O559" i="5"/>
  <c r="O1449" i="5"/>
  <c r="O481" i="5"/>
  <c r="O1539" i="5"/>
  <c r="O1085" i="5"/>
  <c r="O2149" i="5"/>
  <c r="O2150" i="5"/>
  <c r="O270" i="5"/>
  <c r="O1767" i="5"/>
  <c r="O1583" i="5"/>
  <c r="O1540" i="5"/>
  <c r="O606" i="5"/>
  <c r="O1621" i="5"/>
  <c r="O1999" i="5"/>
  <c r="O388" i="5"/>
  <c r="O389" i="5"/>
  <c r="O2116" i="5"/>
  <c r="O271" i="5"/>
  <c r="O1158" i="5"/>
  <c r="O2167" i="5"/>
  <c r="O1279" i="5"/>
  <c r="O125" i="5"/>
  <c r="O126" i="5"/>
  <c r="O1716" i="5"/>
  <c r="O1489" i="5"/>
  <c r="O1450" i="5"/>
  <c r="O68" i="5"/>
  <c r="O69" i="5"/>
  <c r="O1086" i="5"/>
  <c r="O698" i="5"/>
  <c r="O1377" i="5"/>
  <c r="O1378" i="5"/>
  <c r="O2168" i="5"/>
  <c r="O1717" i="5"/>
  <c r="O1668" i="5"/>
  <c r="O1159" i="5"/>
  <c r="O1584" i="5"/>
  <c r="O156" i="5"/>
  <c r="O2047" i="5"/>
  <c r="O1961" i="5"/>
  <c r="O2088" i="5"/>
  <c r="O1718" i="5"/>
  <c r="O1490" i="5"/>
  <c r="O13" i="5"/>
  <c r="O8" i="5"/>
  <c r="O2208" i="5"/>
  <c r="O997" i="5"/>
  <c r="O998" i="5"/>
  <c r="O699" i="5"/>
  <c r="O1327" i="5"/>
  <c r="O1862" i="5"/>
  <c r="O2117" i="5"/>
  <c r="O1087" i="5"/>
  <c r="O1863" i="5"/>
  <c r="O2209" i="5"/>
  <c r="O700" i="5"/>
  <c r="O157" i="5"/>
  <c r="O922" i="5"/>
  <c r="O923" i="5"/>
  <c r="O14" i="5"/>
  <c r="O1491" i="5"/>
  <c r="O1492" i="5"/>
  <c r="O1913" i="5"/>
  <c r="O390" i="5"/>
  <c r="O1328" i="5"/>
  <c r="O607" i="5"/>
  <c r="O924" i="5"/>
  <c r="O307" i="5"/>
  <c r="O1914" i="5"/>
  <c r="O1669" i="5"/>
  <c r="O1719" i="5"/>
  <c r="O1864" i="5"/>
  <c r="O1720" i="5"/>
  <c r="O1160" i="5"/>
  <c r="O608" i="5"/>
  <c r="O779" i="5"/>
  <c r="O227" i="5"/>
  <c r="O849" i="5"/>
  <c r="O850" i="5"/>
  <c r="O1622" i="5"/>
  <c r="O158" i="5"/>
  <c r="O1811" i="5"/>
  <c r="O1088" i="5"/>
  <c r="O1585" i="5"/>
  <c r="O15" i="5"/>
  <c r="O701" i="5"/>
  <c r="O702" i="5"/>
  <c r="O1280" i="5"/>
  <c r="O1281" i="5"/>
  <c r="O1451" i="5"/>
  <c r="O1721" i="5"/>
  <c r="O2048" i="5"/>
  <c r="O999" i="5"/>
  <c r="O851" i="5"/>
  <c r="O1452" i="5"/>
  <c r="O391" i="5"/>
  <c r="O560" i="5"/>
  <c r="O272" i="5"/>
  <c r="O1000" i="5"/>
  <c r="O1768" i="5"/>
  <c r="O1089" i="5"/>
  <c r="O2185" i="5"/>
  <c r="O1769" i="5"/>
  <c r="O2049" i="5"/>
  <c r="O2050" i="5"/>
  <c r="O1623" i="5"/>
  <c r="O2151" i="5"/>
  <c r="O1329" i="5"/>
  <c r="O609" i="5"/>
  <c r="O159" i="5"/>
  <c r="O1670" i="5"/>
  <c r="O1722" i="5"/>
  <c r="O99" i="5"/>
  <c r="O780" i="5"/>
  <c r="O2169" i="5"/>
  <c r="O925" i="5"/>
  <c r="O1001" i="5"/>
  <c r="O1812" i="5"/>
  <c r="O926" i="5"/>
  <c r="O1915" i="5"/>
  <c r="O351" i="5"/>
  <c r="O1282" i="5"/>
  <c r="O1723" i="5"/>
  <c r="O70" i="5"/>
  <c r="O1283" i="5"/>
  <c r="O1284" i="5"/>
  <c r="O2170" i="5"/>
  <c r="O1090" i="5"/>
  <c r="O2000" i="5"/>
  <c r="O2214" i="5"/>
  <c r="O482" i="5"/>
  <c r="O428" i="5"/>
  <c r="O1671" i="5"/>
  <c r="O2171" i="5"/>
  <c r="O1493" i="5"/>
  <c r="O1228" i="5"/>
  <c r="O1813" i="5"/>
  <c r="O392" i="5"/>
  <c r="O1379" i="5"/>
  <c r="O429" i="5"/>
  <c r="O430" i="5"/>
  <c r="O1770" i="5"/>
  <c r="O1494" i="5"/>
  <c r="O2152" i="5"/>
  <c r="O927" i="5"/>
  <c r="O1624" i="5"/>
  <c r="O2001" i="5"/>
  <c r="O1865" i="5"/>
  <c r="O2118" i="5"/>
  <c r="O1285" i="5"/>
  <c r="O2089" i="5"/>
  <c r="O1380" i="5"/>
  <c r="O1916" i="5"/>
  <c r="O1161" i="5"/>
  <c r="O273" i="5"/>
  <c r="O1541" i="5"/>
  <c r="O703" i="5"/>
  <c r="O1814" i="5"/>
  <c r="O704" i="5"/>
  <c r="O1091" i="5"/>
  <c r="O1002" i="5"/>
  <c r="O393" i="5"/>
  <c r="O1672" i="5"/>
  <c r="O928" i="5"/>
  <c r="O2153" i="5"/>
  <c r="O1542" i="5"/>
  <c r="O1543" i="5"/>
  <c r="O705" i="5"/>
  <c r="O1625" i="5"/>
  <c r="O1866" i="5"/>
  <c r="O1229" i="5"/>
  <c r="O2051" i="5"/>
  <c r="O2215" i="5"/>
  <c r="O610" i="5"/>
  <c r="O127" i="5"/>
  <c r="O308" i="5"/>
  <c r="O309" i="5"/>
  <c r="O352" i="5"/>
  <c r="O353" i="5"/>
  <c r="O1162" i="5"/>
  <c r="O1286" i="5"/>
  <c r="O781" i="5"/>
  <c r="O1230" i="5"/>
  <c r="O431" i="5"/>
  <c r="O432" i="5"/>
  <c r="O611" i="5"/>
  <c r="O483" i="5"/>
  <c r="O71" i="5"/>
  <c r="O1092" i="5"/>
  <c r="O1724" i="5"/>
  <c r="O561" i="5"/>
  <c r="O1917" i="5"/>
  <c r="O1771" i="5"/>
  <c r="O2002" i="5"/>
  <c r="O1381" i="5"/>
  <c r="O1867" i="5"/>
  <c r="O929" i="5"/>
  <c r="O1453" i="5"/>
  <c r="O1725" i="5"/>
  <c r="O2003" i="5"/>
  <c r="O2004" i="5"/>
  <c r="O23" i="5"/>
  <c r="O1544" i="5"/>
  <c r="O1673" i="5"/>
  <c r="O1962" i="5"/>
  <c r="O612" i="5"/>
  <c r="O562" i="5"/>
  <c r="O1163" i="5"/>
  <c r="O1586" i="5"/>
  <c r="O1587" i="5"/>
  <c r="O2119" i="5"/>
  <c r="O1093" i="5"/>
  <c r="O1382" i="5"/>
  <c r="O1868" i="5"/>
  <c r="O930" i="5"/>
  <c r="O1918" i="5"/>
  <c r="O1003" i="5"/>
  <c r="O2172" i="5"/>
  <c r="O16" i="5"/>
  <c r="O17" i="5"/>
  <c r="O1004" i="5"/>
  <c r="O1869" i="5"/>
  <c r="O1726" i="5"/>
  <c r="O50" i="5"/>
  <c r="O706" i="5"/>
  <c r="O707" i="5"/>
  <c r="O310" i="5"/>
  <c r="O613" i="5"/>
  <c r="O128" i="5"/>
  <c r="O852" i="5"/>
  <c r="O1963" i="5"/>
  <c r="O484" i="5"/>
  <c r="O1772" i="5"/>
  <c r="O2052" i="5"/>
  <c r="O1005" i="5"/>
  <c r="O51" i="5"/>
  <c r="O1383" i="5"/>
  <c r="O1231" i="5"/>
  <c r="O129" i="5"/>
  <c r="O311" i="5"/>
  <c r="O1164" i="5"/>
  <c r="O130" i="5"/>
  <c r="O228" i="5"/>
  <c r="O708" i="5"/>
  <c r="O1626" i="5"/>
  <c r="O2173" i="5"/>
  <c r="O2174" i="5"/>
  <c r="O1495" i="5"/>
  <c r="O1094" i="5"/>
  <c r="O1095" i="5"/>
  <c r="O1870" i="5"/>
  <c r="O1727" i="5"/>
  <c r="O194" i="5"/>
  <c r="O1545" i="5"/>
  <c r="O1165" i="5"/>
  <c r="O2120" i="5"/>
  <c r="O1871" i="5"/>
  <c r="O1872" i="5"/>
  <c r="O229" i="5"/>
  <c r="O1919" i="5"/>
  <c r="O931" i="5"/>
  <c r="O1166" i="5"/>
  <c r="O18" i="5"/>
  <c r="O614" i="5"/>
  <c r="O615" i="5"/>
  <c r="O2121" i="5"/>
  <c r="O2053" i="5"/>
  <c r="O1006" i="5"/>
  <c r="O2005" i="5"/>
  <c r="O1546" i="5"/>
  <c r="O1384" i="5"/>
  <c r="O485" i="5"/>
  <c r="O563" i="5"/>
  <c r="O782" i="5"/>
  <c r="O1920" i="5"/>
  <c r="O1921" i="5"/>
  <c r="O354" i="5"/>
  <c r="O433" i="5"/>
  <c r="O2122" i="5"/>
  <c r="O1547" i="5"/>
  <c r="O1007" i="5"/>
  <c r="O2054" i="5"/>
  <c r="O1728" i="5"/>
  <c r="O160" i="5"/>
  <c r="O161" i="5"/>
  <c r="O1815" i="5"/>
  <c r="O564" i="5"/>
  <c r="O312" i="5"/>
  <c r="O313" i="5"/>
  <c r="O486" i="5"/>
  <c r="O1008" i="5"/>
  <c r="O1009" i="5"/>
  <c r="O1674" i="5"/>
  <c r="O1729" i="5"/>
  <c r="O1548" i="5"/>
  <c r="O434" i="5"/>
  <c r="O1385" i="5"/>
  <c r="O2200" i="5"/>
  <c r="O1010" i="5"/>
  <c r="O1386" i="5"/>
  <c r="O783" i="5"/>
  <c r="O1549" i="5"/>
  <c r="O487" i="5"/>
  <c r="O1816" i="5"/>
  <c r="O1675" i="5"/>
  <c r="O1676" i="5"/>
  <c r="O1387" i="5"/>
  <c r="O616" i="5"/>
  <c r="O1677" i="5"/>
  <c r="O9" i="5"/>
  <c r="O853" i="5"/>
  <c r="O1773" i="5"/>
  <c r="O2055" i="5"/>
  <c r="O488" i="5"/>
  <c r="O1627" i="5"/>
  <c r="O195" i="5"/>
  <c r="O932" i="5"/>
  <c r="O1388" i="5"/>
  <c r="O1389" i="5"/>
  <c r="O617" i="5"/>
  <c r="O1011" i="5"/>
  <c r="O1287" i="5"/>
  <c r="O394" i="5"/>
  <c r="O2056" i="5"/>
  <c r="O1232" i="5"/>
  <c r="O1330" i="5"/>
  <c r="O2154" i="5"/>
  <c r="O1288" i="5"/>
  <c r="O230" i="5"/>
  <c r="O1873" i="5"/>
  <c r="O1096" i="5"/>
  <c r="O196" i="5"/>
  <c r="O197" i="5"/>
  <c r="O1233" i="5"/>
  <c r="O2006" i="5"/>
  <c r="O19" i="5"/>
  <c r="O1964" i="5"/>
  <c r="O489" i="5"/>
  <c r="O1922" i="5"/>
  <c r="O618" i="5"/>
  <c r="O2201" i="5"/>
  <c r="O435" i="5"/>
  <c r="O2175" i="5"/>
  <c r="O709" i="5"/>
  <c r="O1331" i="5"/>
  <c r="O619" i="5"/>
  <c r="O620" i="5"/>
  <c r="O2123" i="5"/>
  <c r="O274" i="5"/>
  <c r="O933" i="5"/>
  <c r="O1167" i="5"/>
  <c r="O1390" i="5"/>
  <c r="O1923" i="5"/>
  <c r="O314" i="5"/>
  <c r="O315" i="5"/>
  <c r="O1391" i="5"/>
  <c r="O1454" i="5"/>
  <c r="O1012" i="5"/>
  <c r="O1168" i="5"/>
  <c r="O1392" i="5"/>
  <c r="O162" i="5"/>
  <c r="O2007" i="5"/>
  <c r="O1332" i="5"/>
  <c r="O2202" i="5"/>
  <c r="O784" i="5"/>
  <c r="O2057" i="5"/>
  <c r="O1234" i="5"/>
  <c r="O395" i="5"/>
  <c r="O1550" i="5"/>
  <c r="O3" i="5"/>
  <c r="O275" i="5"/>
  <c r="O396" i="5"/>
  <c r="O1169" i="5"/>
  <c r="O854" i="5"/>
  <c r="O565" i="5"/>
  <c r="O2124" i="5"/>
  <c r="O710" i="5"/>
  <c r="O1965" i="5"/>
  <c r="O1393" i="5"/>
  <c r="O1817" i="5"/>
  <c r="O934" i="5"/>
  <c r="O2008" i="5"/>
  <c r="O1394" i="5"/>
  <c r="O1395" i="5"/>
  <c r="O316" i="5"/>
  <c r="O317" i="5"/>
  <c r="O2125" i="5"/>
  <c r="O1730" i="5"/>
  <c r="O1097" i="5"/>
  <c r="O1098" i="5"/>
  <c r="O1333" i="5"/>
  <c r="O1099" i="5"/>
  <c r="O1678" i="5"/>
  <c r="O1289" i="5"/>
  <c r="O1170" i="5"/>
  <c r="O1171" i="5"/>
  <c r="O38" i="5"/>
  <c r="O39" i="5"/>
  <c r="O2186" i="5"/>
  <c r="O100" i="5"/>
  <c r="O101" i="5"/>
  <c r="O318" i="5"/>
  <c r="O102" i="5"/>
  <c r="O103" i="5"/>
  <c r="O1172" i="5"/>
  <c r="O2" i="5"/>
  <c r="O621" i="5"/>
  <c r="O785" i="5"/>
  <c r="O1455" i="5"/>
  <c r="O1731" i="5"/>
  <c r="O436" i="5"/>
  <c r="O1774" i="5"/>
  <c r="O1456" i="5"/>
  <c r="O40" i="5"/>
  <c r="O1496" i="5"/>
  <c r="O1497" i="5"/>
  <c r="O2176" i="5"/>
  <c r="O490" i="5"/>
  <c r="O2126" i="5"/>
  <c r="O2127" i="5"/>
  <c r="O711" i="5"/>
  <c r="O1679" i="5"/>
  <c r="O1628" i="5"/>
  <c r="O2058" i="5"/>
  <c r="O131" i="5"/>
  <c r="O104" i="5"/>
  <c r="O105" i="5"/>
  <c r="O1100" i="5"/>
  <c r="O397" i="5"/>
  <c r="O2177" i="5"/>
  <c r="O786" i="5"/>
  <c r="O787" i="5"/>
  <c r="O788" i="5"/>
  <c r="O2009" i="5"/>
  <c r="O855" i="5"/>
  <c r="O132" i="5"/>
  <c r="O1101" i="5"/>
  <c r="O1102" i="5"/>
  <c r="O2059" i="5"/>
  <c r="O1173" i="5"/>
  <c r="O1103" i="5"/>
  <c r="O4" i="5"/>
  <c r="O1290" i="5"/>
  <c r="O1334" i="5"/>
  <c r="O1732" i="5"/>
  <c r="O1874" i="5"/>
  <c r="O1818" i="5"/>
  <c r="O1966" i="5"/>
  <c r="O2060" i="5"/>
  <c r="O491" i="5"/>
  <c r="O1924" i="5"/>
  <c r="O72" i="5"/>
  <c r="O106" i="5"/>
  <c r="O1733" i="5"/>
  <c r="O2187" i="5"/>
  <c r="O2188" i="5"/>
  <c r="O1291" i="5"/>
  <c r="O1104" i="5"/>
  <c r="O1775" i="5"/>
  <c r="O319" i="5"/>
  <c r="O320" i="5"/>
  <c r="O712" i="5"/>
  <c r="O1776" i="5"/>
  <c r="O1174" i="5"/>
  <c r="O1551" i="5"/>
  <c r="O198" i="5"/>
  <c r="O1396" i="5"/>
  <c r="O1175" i="5"/>
  <c r="O622" i="5"/>
  <c r="O1875" i="5"/>
  <c r="O1588" i="5"/>
  <c r="O2155" i="5"/>
  <c r="O492" i="5"/>
  <c r="O493" i="5"/>
  <c r="O1819" i="5"/>
  <c r="O1498" i="5"/>
  <c r="O1013" i="5"/>
  <c r="O1397" i="5"/>
  <c r="O2189" i="5"/>
  <c r="O1777" i="5"/>
  <c r="O2178" i="5"/>
  <c r="O623" i="5"/>
  <c r="O1105" i="5"/>
  <c r="O2203" i="5"/>
  <c r="O494" i="5"/>
  <c r="O1335" i="5"/>
  <c r="O1014" i="5"/>
  <c r="O1292" i="5"/>
  <c r="O1876" i="5"/>
  <c r="O1176" i="5"/>
  <c r="O1398" i="5"/>
  <c r="O1106" i="5"/>
  <c r="O935" i="5"/>
  <c r="O1629" i="5"/>
  <c r="O936" i="5"/>
  <c r="O937" i="5"/>
  <c r="O624" i="5"/>
  <c r="O789" i="5"/>
  <c r="O1967" i="5"/>
  <c r="O1457" i="5"/>
  <c r="O1458" i="5"/>
  <c r="O1680" i="5"/>
  <c r="O1734" i="5"/>
  <c r="O1778" i="5"/>
  <c r="O1779" i="5"/>
  <c r="O1780" i="5"/>
  <c r="O790" i="5"/>
  <c r="O231" i="5"/>
  <c r="O791" i="5"/>
  <c r="O856" i="5"/>
  <c r="O1925" i="5"/>
  <c r="O1926" i="5"/>
  <c r="O1552" i="5"/>
  <c r="O857" i="5"/>
  <c r="O398" i="5"/>
  <c r="O2210" i="5"/>
  <c r="O1399" i="5"/>
  <c r="O1877" i="5"/>
  <c r="O1735" i="5"/>
  <c r="O1177" i="5"/>
  <c r="O321" i="5"/>
  <c r="O1736" i="5"/>
  <c r="O713" i="5"/>
  <c r="O625" i="5"/>
  <c r="O626" i="5"/>
  <c r="O1293" i="5"/>
  <c r="O2216" i="5"/>
  <c r="O1681" i="5"/>
  <c r="O1737" i="5"/>
  <c r="O2061" i="5"/>
  <c r="O627" i="5"/>
  <c r="O2090" i="5"/>
  <c r="O1820" i="5"/>
  <c r="O1821" i="5"/>
  <c r="O1781" i="5"/>
  <c r="O2010" i="5"/>
  <c r="O495" i="5"/>
  <c r="O1015" i="5"/>
  <c r="O1016" i="5"/>
  <c r="O1107" i="5"/>
  <c r="O1235" i="5"/>
  <c r="O1927" i="5"/>
  <c r="O52" i="5"/>
  <c r="O1968" i="5"/>
  <c r="O1928" i="5"/>
  <c r="O938" i="5"/>
  <c r="O73" i="5"/>
  <c r="O1108" i="5"/>
  <c r="O199" i="5"/>
  <c r="O1589" i="5"/>
  <c r="O1590" i="5"/>
  <c r="O1499" i="5"/>
  <c r="O1400" i="5"/>
  <c r="O1459" i="5"/>
  <c r="O1969" i="5"/>
  <c r="O1460" i="5"/>
  <c r="O1822" i="5"/>
  <c r="O2190" i="5"/>
  <c r="O2191" i="5"/>
  <c r="O2011" i="5"/>
  <c r="O792" i="5"/>
  <c r="O1461" i="5"/>
  <c r="O1236" i="5"/>
  <c r="O1823" i="5"/>
  <c r="O1824" i="5"/>
  <c r="O1553" i="5"/>
  <c r="O496" i="5"/>
  <c r="O1237" i="5"/>
  <c r="O1238" i="5"/>
  <c r="O1239" i="5"/>
  <c r="O1336" i="5"/>
  <c r="O1337" i="5"/>
  <c r="O437" i="5"/>
  <c r="O497" i="5"/>
  <c r="O498" i="5"/>
  <c r="O1109" i="5"/>
  <c r="O1929" i="5"/>
  <c r="O858" i="5"/>
  <c r="O1462" i="5"/>
  <c r="O1630" i="5"/>
  <c r="O1631" i="5"/>
  <c r="O1591" i="5"/>
  <c r="O1592" i="5"/>
  <c r="O2204" i="5"/>
  <c r="O1294" i="5"/>
  <c r="O322" i="5"/>
  <c r="O24" i="5"/>
  <c r="O793" i="5"/>
  <c r="O794" i="5"/>
  <c r="O2091" i="5"/>
  <c r="O1682" i="5"/>
  <c r="O2012" i="5"/>
  <c r="O399" i="5"/>
  <c r="O1295" i="5"/>
  <c r="O1878" i="5"/>
  <c r="O1879" i="5"/>
  <c r="O1463" i="5"/>
  <c r="O1178" i="5"/>
  <c r="O163" i="5"/>
  <c r="O1683" i="5"/>
  <c r="O2205" i="5"/>
  <c r="O2128" i="5"/>
  <c r="O2129" i="5"/>
  <c r="O1930" i="5"/>
  <c r="O1931" i="5"/>
  <c r="O1632" i="5"/>
  <c r="O1633" i="5"/>
  <c r="O1179" i="5"/>
  <c r="O1401" i="5"/>
  <c r="O939" i="5"/>
  <c r="O1402" i="5"/>
  <c r="O1932" i="5"/>
  <c r="O1933" i="5"/>
  <c r="O1554" i="5"/>
  <c r="O1970" i="5"/>
  <c r="O1880" i="5"/>
  <c r="O1296" i="5"/>
  <c r="O1825" i="5"/>
  <c r="O438" i="5"/>
  <c r="O1110" i="5"/>
  <c r="O1111" i="5"/>
  <c r="O1684" i="5"/>
  <c r="O2013" i="5"/>
  <c r="O2014" i="5"/>
  <c r="O940" i="5"/>
  <c r="O1634" i="5"/>
  <c r="O1782" i="5"/>
  <c r="O1180" i="5"/>
  <c r="O2192" i="5"/>
  <c r="O628" i="5"/>
  <c r="O1826" i="5"/>
  <c r="O941" i="5"/>
  <c r="O2015" i="5"/>
  <c r="O566" i="5"/>
  <c r="O1593" i="5"/>
  <c r="O795" i="5"/>
  <c r="O714" i="5"/>
  <c r="O1112" i="5"/>
  <c r="O1464" i="5"/>
  <c r="O439" i="5"/>
  <c r="O440" i="5"/>
  <c r="O2016" i="5"/>
  <c r="O1465" i="5"/>
  <c r="O1594" i="5"/>
  <c r="O133" i="5"/>
  <c r="O1113" i="5"/>
  <c r="O1240" i="5"/>
  <c r="O41" i="5"/>
  <c r="O1403" i="5"/>
  <c r="O1404" i="5"/>
  <c r="O2156" i="5"/>
  <c r="O715" i="5"/>
  <c r="O323" i="5"/>
  <c r="O499" i="5"/>
  <c r="O1738" i="5"/>
  <c r="O1241" i="5"/>
  <c r="O1338" i="5"/>
  <c r="O1339" i="5"/>
  <c r="O1881" i="5"/>
  <c r="O1971" i="5"/>
  <c r="O1685" i="5"/>
  <c r="O1297" i="5"/>
  <c r="O1114" i="5"/>
  <c r="O1686" i="5"/>
  <c r="O1739" i="5"/>
  <c r="O629" i="5"/>
  <c r="O400" i="5"/>
  <c r="O2017" i="5"/>
  <c r="O716" i="5"/>
  <c r="O2092" i="5"/>
  <c r="O1466" i="5"/>
  <c r="O1340" i="5"/>
  <c r="O441" i="5"/>
  <c r="O1827" i="5"/>
  <c r="O2062" i="5"/>
  <c r="O232" i="5"/>
  <c r="O717" i="5"/>
  <c r="O1467" i="5"/>
  <c r="O1017" i="5"/>
  <c r="O718" i="5"/>
  <c r="O1595" i="5"/>
  <c r="O1596" i="5"/>
  <c r="O1018" i="5"/>
  <c r="O1019" i="5"/>
  <c r="O630" i="5"/>
  <c r="O442" i="5"/>
  <c r="O443" i="5"/>
  <c r="O859" i="5"/>
  <c r="O1828" i="5"/>
  <c r="O860" i="5"/>
  <c r="O2157" i="5"/>
  <c r="O500" i="5"/>
  <c r="O1405" i="5"/>
  <c r="O444" i="5"/>
  <c r="O796" i="5"/>
  <c r="O1934" i="5"/>
  <c r="O631" i="5"/>
  <c r="O942" i="5"/>
  <c r="O1882" i="5"/>
  <c r="O1115" i="5"/>
  <c r="O943" i="5"/>
  <c r="O1883" i="5"/>
  <c r="O632" i="5"/>
  <c r="O1406" i="5"/>
  <c r="O1407" i="5"/>
  <c r="O944" i="5"/>
  <c r="O567" i="5"/>
  <c r="O1408" i="5"/>
  <c r="O945" i="5"/>
  <c r="O719" i="5"/>
  <c r="O2093" i="5"/>
  <c r="O1555" i="5"/>
  <c r="O2063" i="5"/>
  <c r="O2064" i="5"/>
  <c r="O2018" i="5"/>
  <c r="O1972" i="5"/>
  <c r="O1468" i="5"/>
  <c r="O2094" i="5"/>
  <c r="O2095" i="5"/>
  <c r="O1556" i="5"/>
  <c r="O1298" i="5"/>
  <c r="O1597" i="5"/>
  <c r="O1935" i="5"/>
  <c r="O1299" i="5"/>
  <c r="O74" i="5"/>
  <c r="O1687" i="5"/>
  <c r="O861" i="5"/>
  <c r="O1181" i="5"/>
  <c r="O1829" i="5"/>
  <c r="O1116" i="5"/>
  <c r="O1409" i="5"/>
  <c r="O355" i="5"/>
  <c r="O1830" i="5"/>
  <c r="O1557" i="5"/>
  <c r="O1558" i="5"/>
  <c r="O2130" i="5"/>
  <c r="O633" i="5"/>
  <c r="O324" i="5"/>
  <c r="O1242" i="5"/>
  <c r="O1243" i="5"/>
  <c r="O1469" i="5"/>
  <c r="O797" i="5"/>
  <c r="O1884" i="5"/>
  <c r="O1559" i="5"/>
  <c r="O1635" i="5"/>
  <c r="O1973" i="5"/>
  <c r="O1020" i="5"/>
  <c r="O720" i="5"/>
  <c r="O721" i="5"/>
  <c r="O1470" i="5"/>
  <c r="O356" i="5"/>
  <c r="O1885" i="5"/>
  <c r="O2065" i="5"/>
  <c r="O1783" i="5"/>
  <c r="O1831" i="5"/>
  <c r="O1688" i="5"/>
  <c r="O1182" i="5"/>
  <c r="O445" i="5"/>
  <c r="O1560" i="5"/>
  <c r="O1886" i="5"/>
  <c r="O1689" i="5"/>
  <c r="O568" i="5"/>
  <c r="O325" i="5"/>
  <c r="O1410" i="5"/>
  <c r="O862" i="5"/>
  <c r="O501" i="5"/>
  <c r="O1341" i="5"/>
  <c r="O1936" i="5"/>
  <c r="O1183" i="5"/>
  <c r="O1342" i="5"/>
  <c r="O1117" i="5"/>
  <c r="O446" i="5"/>
  <c r="O2066" i="5"/>
  <c r="O2217" i="5"/>
  <c r="O1021" i="5"/>
  <c r="O722" i="5"/>
  <c r="O1937" i="5"/>
  <c r="O447" i="5"/>
  <c r="O2067" i="5"/>
  <c r="O1500" i="5"/>
  <c r="O2019" i="5"/>
  <c r="O1411" i="5"/>
  <c r="O1343" i="5"/>
  <c r="O1300" i="5"/>
  <c r="O946" i="5"/>
  <c r="O502" i="5"/>
  <c r="O1244" i="5"/>
  <c r="O863" i="5"/>
  <c r="O134" i="5"/>
  <c r="O1598" i="5"/>
  <c r="O947" i="5"/>
  <c r="O1599" i="5"/>
  <c r="O2096" i="5"/>
  <c r="O723" i="5"/>
  <c r="O357" i="5"/>
  <c r="O1412" i="5"/>
  <c r="O1413" i="5"/>
  <c r="O634" i="5"/>
  <c r="O358" i="5"/>
  <c r="O1022" i="5"/>
  <c r="O1184" i="5"/>
  <c r="O1185" i="5"/>
  <c r="O448" i="5"/>
  <c r="O948" i="5"/>
  <c r="O798" i="5"/>
  <c r="O569" i="5"/>
  <c r="O1301" i="5"/>
  <c r="O724" i="5"/>
  <c r="O2097" i="5"/>
  <c r="O2098" i="5"/>
  <c r="O1245" i="5"/>
  <c r="O359" i="5"/>
  <c r="O360" i="5"/>
  <c r="O1302" i="5"/>
  <c r="O1501" i="5"/>
  <c r="O725" i="5"/>
  <c r="O1186" i="5"/>
  <c r="O2158" i="5"/>
  <c r="O1246" i="5"/>
  <c r="O1561" i="5"/>
  <c r="O1974" i="5"/>
  <c r="O1975" i="5"/>
  <c r="O1562" i="5"/>
  <c r="O1414" i="5"/>
  <c r="O2211" i="5"/>
  <c r="O1247" i="5"/>
  <c r="O2020" i="5"/>
  <c r="O726" i="5"/>
  <c r="O570" i="5"/>
  <c r="O727" i="5"/>
  <c r="O1471" i="5"/>
  <c r="O1563" i="5"/>
  <c r="O1976" i="5"/>
  <c r="O1344" i="5"/>
  <c r="O1023" i="5"/>
  <c r="O2212" i="5"/>
  <c r="O864" i="5"/>
  <c r="O503" i="5"/>
  <c r="O1887" i="5"/>
  <c r="O2099" i="5"/>
  <c r="O233" i="5"/>
  <c r="O635" i="5"/>
  <c r="O636" i="5"/>
  <c r="O571" i="5"/>
  <c r="O200" i="5"/>
  <c r="O1832" i="5"/>
  <c r="O1118" i="5"/>
  <c r="O1784" i="5"/>
  <c r="O949" i="5"/>
  <c r="O1415" i="5"/>
  <c r="O1833" i="5"/>
  <c r="O1024" i="5"/>
  <c r="O1187" i="5"/>
  <c r="O1188" i="5"/>
  <c r="O1119" i="5"/>
  <c r="O865" i="5"/>
  <c r="O1834" i="5"/>
  <c r="O1690" i="5"/>
  <c r="O1600" i="5"/>
  <c r="O504" i="5"/>
  <c r="O572" i="5"/>
  <c r="O573" i="5"/>
  <c r="O1189" i="5"/>
  <c r="O1691" i="5"/>
  <c r="O728" i="5"/>
  <c r="O1564" i="5"/>
  <c r="O1025" i="5"/>
  <c r="O1026" i="5"/>
  <c r="O1835" i="5"/>
  <c r="O2131" i="5"/>
  <c r="O2021" i="5"/>
  <c r="O866" i="5"/>
  <c r="O1601" i="5"/>
  <c r="O1836" i="5"/>
  <c r="O1837" i="5"/>
  <c r="O2100" i="5"/>
  <c r="O1502" i="5"/>
  <c r="O361" i="5"/>
  <c r="O2132" i="5"/>
  <c r="O1977" i="5"/>
  <c r="O1838" i="5"/>
  <c r="O1839" i="5"/>
  <c r="O1785" i="5"/>
  <c r="O574" i="5"/>
  <c r="O867" i="5"/>
  <c r="O449" i="5"/>
  <c r="O1345" i="5"/>
  <c r="O1636" i="5"/>
  <c r="O1303" i="5"/>
  <c r="O1190" i="5"/>
  <c r="O505" i="5"/>
  <c r="O1120" i="5"/>
  <c r="O1191" i="5"/>
  <c r="O1416" i="5"/>
  <c r="O868" i="5"/>
  <c r="O1503" i="5"/>
  <c r="O637" i="5"/>
  <c r="O201" i="5"/>
  <c r="O1740" i="5"/>
  <c r="O1741" i="5"/>
  <c r="O1888" i="5"/>
  <c r="O638" i="5"/>
  <c r="O1417" i="5"/>
  <c r="O2068" i="5"/>
  <c r="O950" i="5"/>
  <c r="O2022" i="5"/>
  <c r="O1978" i="5"/>
  <c r="O1979" i="5"/>
  <c r="O1692" i="5"/>
  <c r="O1504" i="5"/>
  <c r="O1192" i="5"/>
  <c r="O799" i="5"/>
  <c r="O639" i="5"/>
  <c r="O2069" i="5"/>
  <c r="O729" i="5"/>
  <c r="O1786" i="5"/>
  <c r="O1840" i="5"/>
  <c r="O640" i="5"/>
  <c r="O730" i="5"/>
  <c r="O1121" i="5"/>
  <c r="O506" i="5"/>
  <c r="O1693" i="5"/>
  <c r="O1938" i="5"/>
  <c r="O1742" i="5"/>
  <c r="O800" i="5"/>
  <c r="O1841" i="5"/>
  <c r="O1027" i="5"/>
  <c r="O1939" i="5"/>
  <c r="O1694" i="5"/>
  <c r="O1787" i="5"/>
  <c r="O869" i="5"/>
  <c r="O1889" i="5"/>
  <c r="O731" i="5"/>
  <c r="O732" i="5"/>
  <c r="O1565" i="5"/>
  <c r="O1304" i="5"/>
  <c r="O1028" i="5"/>
  <c r="O507" i="5"/>
  <c r="O1193" i="5"/>
  <c r="O234" i="5"/>
  <c r="O1695" i="5"/>
  <c r="O1505" i="5"/>
  <c r="O1506" i="5"/>
  <c r="O2101" i="5"/>
  <c r="O508" i="5"/>
  <c r="O641" i="5"/>
  <c r="O2102" i="5"/>
  <c r="O1418" i="5"/>
  <c r="O1305" i="5"/>
  <c r="O870" i="5"/>
  <c r="O1472" i="5"/>
  <c r="O733" i="5"/>
  <c r="O1743" i="5"/>
  <c r="O951" i="5"/>
  <c r="O401" i="5"/>
  <c r="O1419" i="5"/>
  <c r="O1637" i="5"/>
  <c r="O642" i="5"/>
  <c r="O2133" i="5"/>
  <c r="O135" i="5"/>
  <c r="O2023" i="5"/>
  <c r="O2134" i="5"/>
  <c r="O1744" i="5"/>
  <c r="O1306" i="5"/>
  <c r="O1745" i="5"/>
  <c r="O1980" i="5"/>
  <c r="O1420" i="5"/>
  <c r="O42" i="5"/>
  <c r="O643" i="5"/>
  <c r="O644" i="5"/>
  <c r="O2159" i="5"/>
  <c r="O1248" i="5"/>
  <c r="O509" i="5"/>
  <c r="O53" i="5"/>
  <c r="O1566" i="5"/>
  <c r="O871" i="5"/>
  <c r="O2221" i="5"/>
  <c r="O1890" i="5"/>
  <c r="O362" i="5"/>
  <c r="O1194" i="5"/>
  <c r="O2193" i="5"/>
  <c r="O2194" i="5"/>
  <c r="O1842" i="5"/>
  <c r="O1843" i="5"/>
  <c r="O1844" i="5"/>
  <c r="O1845" i="5"/>
  <c r="O2024" i="5"/>
  <c r="O1567" i="5"/>
  <c r="O1891" i="5"/>
  <c r="O1746" i="5"/>
  <c r="O1981" i="5"/>
  <c r="O1696" i="5"/>
  <c r="O2103" i="5"/>
  <c r="O1249" i="5"/>
  <c r="O1638" i="5"/>
  <c r="O1639" i="5"/>
  <c r="O1640" i="5"/>
  <c r="O1747" i="5"/>
  <c r="O1940" i="5"/>
  <c r="O1122" i="5"/>
  <c r="O1507" i="5"/>
  <c r="O1788" i="5"/>
  <c r="O1846" i="5"/>
  <c r="O575" i="5"/>
  <c r="O952" i="5"/>
  <c r="O2025" i="5"/>
  <c r="O326" i="5"/>
  <c r="O645" i="5"/>
  <c r="O402" i="5"/>
  <c r="O276" i="5"/>
  <c r="O277" i="5"/>
  <c r="O1568" i="5"/>
  <c r="O1789" i="5"/>
  <c r="O1250" i="5"/>
  <c r="O1941" i="5"/>
  <c r="O1508" i="5"/>
  <c r="O1748" i="5"/>
  <c r="O2135" i="5"/>
  <c r="O2136" i="5"/>
  <c r="O953" i="5"/>
  <c r="O43" i="5"/>
  <c r="O646" i="5"/>
  <c r="O647" i="5"/>
  <c r="O1602" i="5"/>
  <c r="O801" i="5"/>
  <c r="O1892" i="5"/>
  <c r="O2026" i="5"/>
  <c r="O1346" i="5"/>
  <c r="O1347" i="5"/>
  <c r="O1749" i="5"/>
  <c r="O648" i="5"/>
  <c r="O734" i="5"/>
  <c r="O1029" i="5"/>
  <c r="O954" i="5"/>
  <c r="O1509" i="5"/>
  <c r="O1893" i="5"/>
  <c r="O2027" i="5"/>
  <c r="O2070" i="5"/>
  <c r="O1030" i="5"/>
  <c r="O649" i="5"/>
  <c r="O802" i="5"/>
  <c r="O2137" i="5"/>
  <c r="O1641" i="5"/>
  <c r="O1031" i="5"/>
  <c r="O1473" i="5"/>
  <c r="O872" i="5"/>
  <c r="O2071" i="5"/>
  <c r="O1251" i="5"/>
  <c r="O2218" i="5"/>
  <c r="O2219" i="5"/>
  <c r="O1474" i="5"/>
  <c r="O1510" i="5"/>
  <c r="O1511" i="5"/>
  <c r="O1642" i="5"/>
  <c r="O1348" i="5"/>
  <c r="O1512" i="5"/>
  <c r="O1982" i="5"/>
  <c r="O25" i="5"/>
  <c r="O2104" i="5"/>
  <c r="O1195" i="5"/>
  <c r="O1894" i="5"/>
  <c r="O1513" i="5"/>
  <c r="O2105" i="5"/>
  <c r="O1983" i="5"/>
  <c r="O450" i="5"/>
  <c r="O873" i="5"/>
  <c r="O874" i="5"/>
  <c r="O875" i="5"/>
  <c r="O1603" i="5"/>
  <c r="O1196" i="5"/>
  <c r="O1847" i="5"/>
  <c r="O1750" i="5"/>
  <c r="O803" i="5"/>
  <c r="O735" i="5"/>
  <c r="O2138" i="5"/>
  <c r="O2106" i="5"/>
  <c r="O1421" i="5"/>
  <c r="O2028" i="5"/>
  <c r="O1643" i="5"/>
  <c r="O804" i="5"/>
  <c r="O403" i="5"/>
  <c r="O1644" i="5"/>
  <c r="O1307" i="5"/>
  <c r="O736" i="5"/>
  <c r="O1790" i="5"/>
  <c r="O1984" i="5"/>
  <c r="O451" i="5"/>
  <c r="O737" i="5"/>
  <c r="O2139" i="5"/>
  <c r="O1349" i="5"/>
  <c r="O1645" i="5"/>
  <c r="O2072" i="5"/>
  <c r="O2073" i="5"/>
  <c r="O1791" i="5"/>
  <c r="O1569" i="5"/>
  <c r="O2029" i="5"/>
  <c r="O1032" i="5"/>
  <c r="O1422" i="5"/>
  <c r="O650" i="5"/>
  <c r="O510" i="5"/>
  <c r="O1423" i="5"/>
  <c r="O1848" i="5"/>
  <c r="O1849" i="5"/>
  <c r="O576" i="5"/>
  <c r="O136" i="5"/>
  <c r="O1475" i="5"/>
  <c r="O1308" i="5"/>
  <c r="O1424" i="5"/>
  <c r="O1425" i="5"/>
  <c r="O876" i="5"/>
  <c r="O1197" i="5"/>
  <c r="O1646" i="5"/>
  <c r="O738" i="5"/>
  <c r="O1514" i="5"/>
  <c r="O1942" i="5"/>
  <c r="O1350" i="5"/>
  <c r="O1751" i="5"/>
  <c r="O2160" i="5"/>
  <c r="O2161" i="5"/>
  <c r="O2030" i="5"/>
  <c r="O1752" i="5"/>
  <c r="O1604" i="5"/>
  <c r="O1033" i="5"/>
  <c r="O955" i="5"/>
  <c r="O956" i="5"/>
  <c r="O1895" i="5"/>
  <c r="O511" i="5"/>
  <c r="O805" i="5"/>
  <c r="O1943" i="5"/>
  <c r="O957" i="5"/>
  <c r="O651" i="5"/>
  <c r="O1985" i="5"/>
  <c r="O739" i="5"/>
  <c r="O75" i="5"/>
  <c r="O652" i="5"/>
  <c r="O1570" i="5"/>
  <c r="O740" i="5"/>
  <c r="O741" i="5"/>
  <c r="O742" i="5"/>
  <c r="O1850" i="5"/>
  <c r="O877" i="5"/>
  <c r="O1851" i="5"/>
  <c r="O958" i="5"/>
  <c r="O653" i="5"/>
  <c r="O1896" i="5"/>
  <c r="O1897" i="5"/>
  <c r="O806" i="5"/>
  <c r="O1476" i="5"/>
  <c r="O1605" i="5"/>
  <c r="O164" i="5"/>
  <c r="O1477" i="5"/>
  <c r="O1351" i="5"/>
  <c r="O807" i="5"/>
  <c r="O404" i="5"/>
  <c r="O808" i="5"/>
  <c r="O1478" i="5"/>
  <c r="O1479" i="5"/>
  <c r="O1944" i="5"/>
  <c r="O1252" i="5"/>
  <c r="O1034" i="5"/>
  <c r="O2162" i="5"/>
  <c r="O2206" i="5"/>
  <c r="O743" i="5"/>
  <c r="O809" i="5"/>
  <c r="O107" i="5"/>
  <c r="O327" i="5"/>
  <c r="O1571" i="5"/>
  <c r="O1753" i="5"/>
  <c r="O1515" i="5"/>
  <c r="O1426" i="5"/>
  <c r="O1427" i="5"/>
  <c r="O2163" i="5"/>
  <c r="O810" i="5"/>
  <c r="O452" i="5"/>
  <c r="O2213" i="5"/>
  <c r="O811" i="5"/>
  <c r="O812" i="5"/>
  <c r="O405" i="5"/>
  <c r="O363" i="5"/>
  <c r="O1309" i="5"/>
  <c r="O1697" i="5"/>
  <c r="O1123" i="5"/>
  <c r="O1352" i="5"/>
  <c r="O1353" i="5"/>
  <c r="O2074" i="5"/>
  <c r="O1035" i="5"/>
  <c r="O1198" i="5"/>
  <c r="O1945" i="5"/>
  <c r="O1354" i="5"/>
  <c r="O1647" i="5"/>
  <c r="O1124" i="5"/>
  <c r="O959" i="5"/>
  <c r="O1036" i="5"/>
  <c r="O1428" i="5"/>
  <c r="O813" i="5"/>
  <c r="O1253" i="5"/>
  <c r="O1429" i="5"/>
  <c r="O512" i="5"/>
  <c r="O960" i="5"/>
  <c r="O202" i="5"/>
  <c r="O744" i="5"/>
  <c r="O1430" i="5"/>
  <c r="O1125" i="5"/>
  <c r="O2031" i="5"/>
  <c r="O1126" i="5"/>
  <c r="O1792" i="5"/>
  <c r="O2195" i="5"/>
  <c r="O1199" i="5"/>
  <c r="O878" i="5"/>
  <c r="O406" i="5"/>
  <c r="O407" i="5"/>
  <c r="O1037" i="5"/>
  <c r="O328" i="5"/>
  <c r="O1254" i="5"/>
  <c r="O513" i="5"/>
  <c r="O2032" i="5"/>
  <c r="O278" i="5"/>
  <c r="O1200" i="5"/>
  <c r="O1201" i="5"/>
  <c r="O1355" i="5"/>
  <c r="O408" i="5"/>
  <c r="O1356" i="5"/>
  <c r="O2033" i="5"/>
  <c r="O1357" i="5"/>
  <c r="O814" i="5"/>
  <c r="O1038" i="5"/>
  <c r="O961" i="5"/>
  <c r="O577" i="5"/>
  <c r="O2075" i="5"/>
  <c r="O1202" i="5"/>
  <c r="O1793" i="5"/>
  <c r="O745" i="5"/>
  <c r="O879" i="5"/>
  <c r="O1127" i="5"/>
  <c r="O815" i="5"/>
  <c r="O578" i="5"/>
  <c r="O2107" i="5"/>
  <c r="O1039" i="5"/>
  <c r="O1572" i="5"/>
  <c r="O1040" i="5"/>
  <c r="O1203" i="5"/>
  <c r="O1431" i="5"/>
  <c r="O235" i="5"/>
  <c r="O514" i="5"/>
  <c r="O44" i="5"/>
  <c r="O26" i="5"/>
  <c r="O1310" i="5"/>
  <c r="O962" i="5"/>
  <c r="O1946" i="5"/>
  <c r="O1898" i="5"/>
  <c r="O1899" i="5"/>
  <c r="O1255" i="5"/>
  <c r="O816" i="5"/>
  <c r="O515" i="5"/>
  <c r="O1480" i="5"/>
  <c r="O1481" i="5"/>
  <c r="O654" i="5"/>
  <c r="O880" i="5"/>
  <c r="O881" i="5"/>
  <c r="O1041" i="5"/>
  <c r="O364" i="5"/>
  <c r="O963" i="5"/>
  <c r="O76" i="5"/>
  <c r="O165" i="5"/>
  <c r="O166" i="5"/>
  <c r="O817" i="5"/>
  <c r="O1754" i="5"/>
  <c r="O1698" i="5"/>
  <c r="O1204" i="5"/>
  <c r="O1794" i="5"/>
  <c r="O236" i="5"/>
  <c r="O2164" i="5"/>
  <c r="O1205" i="5"/>
  <c r="O365" i="5"/>
  <c r="O746" i="5"/>
  <c r="O329" i="5"/>
  <c r="O1042" i="5"/>
  <c r="O366" i="5"/>
  <c r="O579" i="5"/>
  <c r="O580" i="5"/>
  <c r="O516" i="5"/>
  <c r="O137" i="5"/>
  <c r="O138" i="5"/>
  <c r="O517" i="5"/>
  <c r="O367" i="5"/>
  <c r="O108" i="5"/>
  <c r="O409" i="5"/>
  <c r="O1900" i="5"/>
  <c r="O1256" i="5"/>
  <c r="O1482" i="5"/>
  <c r="O747" i="5"/>
  <c r="O964" i="5"/>
  <c r="O1483" i="5"/>
  <c r="O518" i="5"/>
  <c r="O1484" i="5"/>
  <c r="O203" i="5"/>
  <c r="O1986" i="5"/>
  <c r="O581" i="5"/>
  <c r="O1795" i="5"/>
  <c r="O167" i="5"/>
  <c r="O1257" i="5"/>
  <c r="O1258" i="5"/>
  <c r="O1648" i="5"/>
  <c r="O519" i="5"/>
  <c r="O2108" i="5"/>
  <c r="O582" i="5"/>
  <c r="O1259" i="5"/>
  <c r="O330" i="5"/>
  <c r="O1206" i="5"/>
  <c r="O139" i="5"/>
  <c r="O520" i="5"/>
  <c r="O1516" i="5"/>
  <c r="O2034" i="5"/>
  <c r="O1043" i="5"/>
  <c r="O1485" i="5"/>
  <c r="O748" i="5"/>
  <c r="O655" i="5"/>
  <c r="O1432" i="5"/>
  <c r="O1796" i="5"/>
  <c r="O1260" i="5"/>
  <c r="O2076" i="5"/>
  <c r="O2077" i="5"/>
  <c r="O453" i="5"/>
  <c r="O1433" i="5"/>
  <c r="O1207" i="5"/>
  <c r="O1208" i="5"/>
  <c r="O1128" i="5"/>
  <c r="O1261" i="5"/>
  <c r="O331" i="5"/>
  <c r="O1987" i="5"/>
  <c r="O1797" i="5"/>
  <c r="O2035" i="5"/>
  <c r="O818" i="5"/>
  <c r="O965" i="5"/>
  <c r="O966" i="5"/>
  <c r="O1311" i="5"/>
  <c r="O583" i="5"/>
  <c r="O749" i="5"/>
  <c r="O368" i="5"/>
  <c r="O204" i="5"/>
  <c r="O237" i="5"/>
  <c r="O2036" i="5"/>
  <c r="O819" i="5"/>
  <c r="O820" i="5"/>
  <c r="O279" i="5"/>
  <c r="O280" i="5"/>
  <c r="O281" i="5"/>
  <c r="O1947" i="5"/>
  <c r="O1948" i="5"/>
  <c r="O1209" i="5"/>
  <c r="O1044" i="5"/>
  <c r="O584" i="5"/>
  <c r="O2078" i="5"/>
  <c r="O1045" i="5"/>
  <c r="O109" i="5"/>
  <c r="O1988" i="5"/>
  <c r="O238" i="5"/>
  <c r="O369" i="5"/>
  <c r="O332" i="5"/>
  <c r="O1573" i="5"/>
  <c r="O1517" i="5"/>
  <c r="O282" i="5"/>
  <c r="O882" i="5"/>
  <c r="O656" i="5"/>
  <c r="O1649" i="5"/>
  <c r="O821" i="5"/>
  <c r="O168" i="5"/>
  <c r="O283" i="5"/>
  <c r="O1949" i="5"/>
  <c r="O1950" i="5"/>
  <c r="O967" i="5"/>
  <c r="O883" i="5"/>
  <c r="O1901" i="5"/>
  <c r="O1902" i="5"/>
  <c r="O968" i="5"/>
  <c r="O110" i="5"/>
  <c r="O1129" i="5"/>
  <c r="O1699" i="5"/>
  <c r="O2140" i="5"/>
  <c r="O969" i="5"/>
  <c r="O1755" i="5"/>
  <c r="O1903" i="5"/>
  <c r="O521" i="5"/>
  <c r="O77" i="5"/>
  <c r="O239" i="5"/>
  <c r="O522" i="5"/>
  <c r="O1518" i="5"/>
  <c r="O1519" i="5"/>
  <c r="O523" i="5"/>
  <c r="O1046" i="5"/>
  <c r="O970" i="5"/>
  <c r="O971" i="5"/>
  <c r="O884" i="5"/>
  <c r="O524" i="5"/>
  <c r="O370" i="5"/>
  <c r="O333" i="5"/>
  <c r="O169" i="5"/>
  <c r="O1904" i="5"/>
  <c r="O1905" i="5"/>
  <c r="O1262" i="5"/>
  <c r="O525" i="5"/>
  <c r="O822" i="5"/>
  <c r="O1210" i="5"/>
  <c r="O1211" i="5"/>
  <c r="O78" i="5"/>
  <c r="O1700" i="5"/>
  <c r="O1263" i="5"/>
  <c r="O1047" i="5"/>
  <c r="O1650" i="5"/>
  <c r="O1130" i="5"/>
  <c r="O170" i="5"/>
  <c r="O1048" i="5"/>
  <c r="O1358" i="5"/>
  <c r="O240" i="5"/>
  <c r="O526" i="5"/>
  <c r="O1131" i="5"/>
  <c r="O2109" i="5"/>
  <c r="O885" i="5"/>
  <c r="O205" i="5"/>
  <c r="O1574" i="5"/>
  <c r="O972" i="5"/>
  <c r="O585" i="5"/>
  <c r="O2196" i="5"/>
  <c r="O2197" i="5"/>
  <c r="O973" i="5"/>
  <c r="O1359" i="5"/>
  <c r="O1360" i="5"/>
  <c r="O527" i="5"/>
  <c r="O528" i="5"/>
  <c r="O1989" i="5"/>
  <c r="O657" i="5"/>
  <c r="O658" i="5"/>
  <c r="O1798" i="5"/>
  <c r="O659" i="5"/>
  <c r="O410" i="5"/>
  <c r="O886" i="5"/>
  <c r="O887" i="5"/>
  <c r="O660" i="5"/>
  <c r="O750" i="5"/>
  <c r="O1756" i="5"/>
  <c r="O284" i="5"/>
  <c r="O751" i="5"/>
  <c r="O752" i="5"/>
  <c r="O1906" i="5"/>
  <c r="O241" i="5"/>
  <c r="O79" i="5"/>
  <c r="O1049" i="5"/>
  <c r="O1050" i="5"/>
  <c r="O823" i="5"/>
  <c r="O753" i="5"/>
  <c r="O1361" i="5"/>
  <c r="O1362" i="5"/>
  <c r="O1312" i="5"/>
  <c r="O334" i="5"/>
  <c r="O1264" i="5"/>
  <c r="O529" i="5"/>
  <c r="O371" i="5"/>
  <c r="O1990" i="5"/>
  <c r="O1313" i="5"/>
  <c r="O1951" i="5"/>
  <c r="O1907" i="5"/>
  <c r="O1434" i="5"/>
  <c r="O1799" i="5"/>
  <c r="O1952" i="5"/>
  <c r="O411" i="5"/>
  <c r="O285" i="5"/>
  <c r="O454" i="5"/>
  <c r="O1265" i="5"/>
  <c r="O1520" i="5"/>
  <c r="O1701" i="5"/>
  <c r="O1051" i="5"/>
  <c r="O754" i="5"/>
  <c r="O1953" i="5"/>
  <c r="O755" i="5"/>
  <c r="O530" i="5"/>
  <c r="O1606" i="5"/>
  <c r="O2141" i="5"/>
  <c r="O1435" i="5"/>
  <c r="O661" i="5"/>
  <c r="O662" i="5"/>
  <c r="O586" i="5"/>
  <c r="O286" i="5"/>
  <c r="O1052" i="5"/>
  <c r="O206" i="5"/>
  <c r="O372" i="5"/>
  <c r="O1132" i="5"/>
  <c r="O1954" i="5"/>
  <c r="O242" i="5"/>
  <c r="O287" i="5"/>
  <c r="O1266" i="5"/>
  <c r="O373" i="5"/>
  <c r="O974" i="5"/>
  <c r="O2142" i="5"/>
  <c r="O1212" i="5"/>
  <c r="O1267" i="5"/>
  <c r="O288" i="5"/>
  <c r="O888" i="5"/>
  <c r="O889" i="5"/>
  <c r="O890" i="5"/>
  <c r="O891" i="5"/>
  <c r="O756" i="5"/>
  <c r="O1436" i="5"/>
  <c r="O1437" i="5"/>
  <c r="O587" i="5"/>
  <c r="O1053" i="5"/>
  <c r="O54" i="5"/>
  <c r="O2037" i="5"/>
  <c r="O1702" i="5"/>
  <c r="O892" i="5"/>
  <c r="O893" i="5"/>
  <c r="O243" i="5"/>
  <c r="O1133" i="5"/>
  <c r="O975" i="5"/>
  <c r="O531" i="5"/>
  <c r="O374" i="5"/>
  <c r="O1314" i="5"/>
  <c r="O2143" i="5"/>
  <c r="O111" i="5"/>
  <c r="O1852" i="5"/>
  <c r="O1268" i="5"/>
  <c r="O1757" i="5"/>
  <c r="O244" i="5"/>
  <c r="O245" i="5"/>
  <c r="O1054" i="5"/>
  <c r="O1055" i="5"/>
  <c r="O757" i="5"/>
  <c r="O412" i="5"/>
  <c r="O894" i="5"/>
  <c r="O1853" i="5"/>
  <c r="O27" i="5"/>
  <c r="O28" i="5"/>
  <c r="O1269" i="5"/>
  <c r="O895" i="5"/>
  <c r="O2079" i="5"/>
  <c r="O10" i="5"/>
  <c r="O11" i="5"/>
  <c r="O246" i="5"/>
  <c r="O171" i="5"/>
  <c r="O1363" i="5"/>
  <c r="O1854" i="5"/>
  <c r="O1056" i="5"/>
  <c r="O1057" i="5"/>
  <c r="O824" i="5"/>
  <c r="O825" i="5"/>
  <c r="O1991" i="5"/>
  <c r="O976" i="5"/>
  <c r="O1703" i="5"/>
  <c r="O663" i="5"/>
  <c r="O588" i="5"/>
  <c r="O2165" i="5"/>
  <c r="O375" i="5"/>
  <c r="O826" i="5"/>
  <c r="O827" i="5"/>
  <c r="O55" i="5"/>
  <c r="O589" i="5"/>
  <c r="O1521" i="5"/>
  <c r="O455" i="5"/>
  <c r="O172" i="5"/>
  <c r="O1704" i="5"/>
  <c r="O1438" i="5"/>
  <c r="O1522" i="5"/>
  <c r="O758" i="5"/>
  <c r="O112" i="5"/>
  <c r="O113" i="5"/>
  <c r="O1058" i="5"/>
  <c r="O2038" i="5"/>
  <c r="O1270" i="5"/>
  <c r="O532" i="5"/>
  <c r="O2110" i="5"/>
  <c r="O2111" i="5"/>
  <c r="O80" i="5"/>
  <c r="O81" i="5"/>
  <c r="O1134" i="5"/>
  <c r="O759" i="5"/>
  <c r="O207" i="5"/>
  <c r="O1705" i="5"/>
  <c r="O1135" i="5"/>
  <c r="O1523" i="5"/>
  <c r="O977" i="5"/>
  <c r="O828" i="5"/>
  <c r="O1364" i="5"/>
  <c r="O1213" i="5"/>
  <c r="O289" i="5"/>
  <c r="O1365" i="5"/>
  <c r="O1524" i="5"/>
  <c r="O896" i="5"/>
  <c r="O456" i="5"/>
  <c r="O1439" i="5"/>
  <c r="O208" i="5"/>
  <c r="O2039" i="5"/>
  <c r="O1758" i="5"/>
  <c r="O1575" i="5"/>
  <c r="O2040" i="5"/>
  <c r="O1525" i="5"/>
  <c r="O1059" i="5"/>
  <c r="O1060" i="5"/>
  <c r="O1366" i="5"/>
  <c r="O760" i="5"/>
  <c r="O761" i="5"/>
  <c r="O173" i="5"/>
  <c r="O413" i="5"/>
  <c r="O762" i="5"/>
  <c r="O664" i="5"/>
  <c r="O590" i="5"/>
  <c r="O1440" i="5"/>
  <c r="O1706" i="5"/>
  <c r="O533" i="5"/>
  <c r="O534" i="5"/>
  <c r="O591" i="5"/>
  <c r="O1061" i="5"/>
  <c r="O1062" i="5"/>
  <c r="O1271" i="5"/>
  <c r="O174" i="5"/>
  <c r="O2080" i="5"/>
  <c r="O457" i="5"/>
  <c r="O1441" i="5"/>
  <c r="O897" i="5"/>
  <c r="O1526" i="5"/>
  <c r="O1607" i="5"/>
  <c r="O1315" i="5"/>
  <c r="O1316" i="5"/>
  <c r="O247" i="5"/>
  <c r="O335" i="5"/>
  <c r="O1136" i="5"/>
  <c r="O898" i="5"/>
  <c r="O829" i="5"/>
  <c r="O1651" i="5"/>
  <c r="O1759" i="5"/>
  <c r="O290" i="5"/>
  <c r="O1955" i="5"/>
  <c r="O1063" i="5"/>
  <c r="O82" i="5"/>
  <c r="O978" i="5"/>
  <c r="O1137" i="5"/>
  <c r="O592" i="5"/>
  <c r="O665" i="5"/>
  <c r="O414" i="5"/>
  <c r="O899" i="5"/>
  <c r="O291" i="5"/>
  <c r="O248" i="5"/>
  <c r="O1486" i="5"/>
  <c r="O1064" i="5"/>
  <c r="O535" i="5"/>
  <c r="O666" i="5"/>
  <c r="O458" i="5"/>
  <c r="O979" i="5"/>
  <c r="O830" i="5"/>
  <c r="O415" i="5"/>
  <c r="O1576" i="5"/>
  <c r="O1577" i="5"/>
  <c r="O1652" i="5"/>
  <c r="O1855" i="5"/>
  <c r="O249" i="5"/>
  <c r="O593" i="5"/>
  <c r="O594" i="5"/>
  <c r="O900" i="5"/>
  <c r="O901" i="5"/>
  <c r="O763" i="5"/>
  <c r="O209" i="5"/>
  <c r="O376" i="5"/>
  <c r="O459" i="5"/>
  <c r="O595" i="5"/>
  <c r="O667" i="5"/>
  <c r="O668" i="5"/>
  <c r="O1527" i="5"/>
  <c r="O831" i="5"/>
  <c r="O1367" i="5"/>
  <c r="O2081" i="5"/>
  <c r="O416" i="5"/>
  <c r="O1214" i="5"/>
  <c r="O764" i="5"/>
  <c r="O669" i="5"/>
  <c r="O1317" i="5"/>
  <c r="O417" i="5"/>
  <c r="O980" i="5"/>
  <c r="O832" i="5"/>
  <c r="O1442" i="5"/>
  <c r="O670" i="5"/>
  <c r="O671" i="5"/>
  <c r="O460" i="5"/>
  <c r="O1065" i="5"/>
  <c r="O1760" i="5"/>
  <c r="O1653" i="5"/>
  <c r="O1654" i="5"/>
  <c r="O250" i="5"/>
  <c r="O981" i="5"/>
  <c r="O1215" i="5"/>
  <c r="O140" i="5"/>
  <c r="O1066" i="5"/>
  <c r="O1067" i="5"/>
  <c r="O596" i="5"/>
  <c r="O833" i="5"/>
  <c r="O834" i="5"/>
  <c r="O210" i="5"/>
  <c r="O83" i="5"/>
  <c r="O84" i="5"/>
  <c r="O982" i="5"/>
  <c r="O536" i="5"/>
  <c r="O292" i="5"/>
  <c r="O293" i="5"/>
  <c r="O56" i="5"/>
  <c r="O1608" i="5"/>
  <c r="O983" i="5"/>
  <c r="O1138" i="5"/>
  <c r="O175" i="5"/>
  <c r="O211" i="5"/>
  <c r="O1068" i="5"/>
  <c r="O984" i="5"/>
  <c r="O212" i="5"/>
  <c r="O213" i="5"/>
  <c r="O1069" i="5"/>
  <c r="O1443" i="5"/>
  <c r="O1444" i="5"/>
  <c r="O114" i="5"/>
  <c r="O1139" i="5"/>
  <c r="O1272" i="5"/>
  <c r="O672" i="5"/>
  <c r="O1655" i="5"/>
  <c r="O1368" i="5"/>
  <c r="O1656" i="5"/>
  <c r="O2082" i="5"/>
  <c r="O141" i="5"/>
  <c r="O1273" i="5"/>
  <c r="O214" i="5"/>
  <c r="O377" i="5"/>
  <c r="O597" i="5"/>
  <c r="O1856" i="5"/>
  <c r="O598" i="5"/>
  <c r="O1369" i="5"/>
  <c r="O336" i="5"/>
  <c r="O85" i="5"/>
  <c r="O86" i="5"/>
  <c r="O537" i="5"/>
  <c r="O538" i="5"/>
  <c r="O337" i="5"/>
  <c r="O1657" i="5"/>
  <c r="O378" i="5"/>
  <c r="O2041" i="5"/>
  <c r="O539" i="5"/>
  <c r="O835" i="5"/>
  <c r="O294" i="5"/>
  <c r="O295" i="5"/>
  <c r="O1318" i="5"/>
  <c r="O2179" i="5"/>
  <c r="O296" i="5"/>
  <c r="O2042" i="5"/>
  <c r="O2112" i="5"/>
  <c r="O1609" i="5"/>
  <c r="O1610" i="5"/>
  <c r="O1140" i="5"/>
  <c r="O1761" i="5"/>
  <c r="O176" i="5"/>
  <c r="O418" i="5"/>
  <c r="O1319" i="5"/>
  <c r="O115" i="5"/>
  <c r="O461" i="5"/>
  <c r="O599" i="5"/>
  <c r="O902" i="5"/>
  <c r="O379" i="5"/>
  <c r="O540" i="5"/>
  <c r="O338" i="5"/>
  <c r="O765" i="5"/>
  <c r="O2180" i="5"/>
  <c r="O2083" i="5"/>
  <c r="O1956" i="5"/>
  <c r="O251" i="5"/>
  <c r="O462" i="5"/>
  <c r="O1141" i="5"/>
  <c r="O1578" i="5"/>
  <c r="O1611" i="5"/>
  <c r="O985" i="5"/>
  <c r="O2113" i="5"/>
  <c r="O903" i="5"/>
  <c r="O177" i="5"/>
  <c r="O904" i="5"/>
  <c r="O1612" i="5"/>
  <c r="O297" i="5"/>
  <c r="O298" i="5"/>
  <c r="O1274" i="5"/>
  <c r="O1370" i="5"/>
  <c r="O2084" i="5"/>
  <c r="O1070" i="5"/>
  <c r="O673" i="5"/>
  <c r="O674" i="5"/>
  <c r="O1707" i="5"/>
  <c r="O1216" i="5"/>
  <c r="O380" i="5"/>
  <c r="O45" i="5"/>
  <c r="O1071" i="5"/>
  <c r="O178" i="5"/>
  <c r="O986" i="5"/>
  <c r="O836" i="5"/>
  <c r="O252" i="5"/>
  <c r="O1320" i="5"/>
  <c r="O179" i="5"/>
  <c r="O2144" i="5"/>
  <c r="O1762" i="5"/>
  <c r="O1763" i="5"/>
  <c r="O541" i="5"/>
  <c r="O675" i="5"/>
  <c r="O1217" i="5"/>
  <c r="O987" i="5"/>
  <c r="O905" i="5"/>
  <c r="O542" i="5"/>
  <c r="O1857" i="5"/>
  <c r="O57" i="5"/>
  <c r="O1800" i="5"/>
  <c r="O1801" i="5"/>
  <c r="O837" i="5"/>
  <c r="O419" i="5"/>
  <c r="O1142" i="5"/>
  <c r="O1321" i="5"/>
  <c r="O543" i="5"/>
  <c r="O1072" i="5"/>
  <c r="O544" i="5"/>
  <c r="O1073" i="5"/>
  <c r="O253" i="5"/>
  <c r="O142" i="5"/>
  <c r="O838" i="5"/>
  <c r="O839" i="5"/>
  <c r="O87" i="5"/>
  <c r="O906" i="5"/>
  <c r="O2181" i="5"/>
  <c r="O600" i="5"/>
  <c r="O1218" i="5"/>
  <c r="O1219" i="5"/>
  <c r="O299" i="5"/>
  <c r="O180" i="5"/>
  <c r="O988" i="5"/>
  <c r="O676" i="5"/>
  <c r="O420" i="5"/>
  <c r="O116" i="5"/>
  <c r="O989" i="5"/>
  <c r="O545" i="5"/>
  <c r="O546" i="5"/>
  <c r="O990" i="5"/>
  <c r="O339" i="5"/>
  <c r="O58" i="5"/>
  <c r="O117" i="5"/>
  <c r="O907" i="5"/>
  <c r="O463" i="5"/>
  <c r="O464" i="5"/>
  <c r="O254" i="5"/>
  <c r="O381" i="5"/>
  <c r="O991" i="5"/>
  <c r="O465" i="5"/>
  <c r="O340" i="5"/>
  <c r="O382" i="5"/>
  <c r="O59" i="5"/>
  <c r="O1708" i="5"/>
  <c r="O1143" i="5"/>
  <c r="O1144" i="5"/>
  <c r="O300" i="5"/>
  <c r="O677" i="5"/>
  <c r="O255" i="5"/>
  <c r="O766" i="5"/>
  <c r="O1220" i="5"/>
  <c r="O143" i="5"/>
  <c r="O601" i="5"/>
  <c r="O1275" i="5"/>
  <c r="O466" i="5"/>
  <c r="O678" i="5"/>
  <c r="O341" i="5"/>
  <c r="O1145" i="5"/>
  <c r="O342" i="5"/>
  <c r="O908" i="5"/>
  <c r="O1802" i="5"/>
  <c r="O301" i="5"/>
  <c r="O1445" i="5"/>
  <c r="O1446" i="5"/>
  <c r="O181" i="5"/>
  <c r="O144" i="5"/>
  <c r="O118" i="5"/>
  <c r="O119" i="5"/>
  <c r="O1709" i="5"/>
  <c r="O1992" i="5"/>
  <c r="O1221" i="5"/>
  <c r="O256" i="5"/>
  <c r="O1146" i="5"/>
  <c r="O215" i="5"/>
  <c r="O1528" i="5"/>
  <c r="O1147" i="5"/>
  <c r="O383" i="5"/>
  <c r="O1074" i="5"/>
  <c r="O1075" i="5"/>
  <c r="O547" i="5"/>
  <c r="O548" i="5"/>
  <c r="O602" i="5"/>
  <c r="O909" i="5"/>
  <c r="O767" i="5"/>
  <c r="O1371" i="5"/>
  <c r="O1372" i="5"/>
  <c r="O1148" i="5"/>
  <c r="O1322" i="5"/>
  <c r="O1323" i="5"/>
  <c r="O1908" i="5"/>
  <c r="O182" i="5"/>
  <c r="O1957" i="5"/>
  <c r="O343" i="5"/>
  <c r="O145" i="5"/>
  <c r="O1529" i="5"/>
  <c r="O1530" i="5"/>
  <c r="O1222" i="5"/>
  <c r="O216" i="5"/>
  <c r="O1858" i="5"/>
  <c r="O768" i="5"/>
  <c r="O2085" i="5"/>
  <c r="O769" i="5"/>
  <c r="O302" i="5"/>
  <c r="O1658" i="5"/>
  <c r="O603" i="5"/>
  <c r="O1149" i="5"/>
  <c r="O992" i="5"/>
  <c r="O303" i="5"/>
  <c r="O1803" i="5"/>
  <c r="O1804" i="5"/>
  <c r="O183" i="5"/>
  <c r="O1223" i="5"/>
  <c r="O184" i="5"/>
  <c r="O185" i="5"/>
  <c r="O304" i="5"/>
  <c r="O679" i="5"/>
  <c r="O467" i="5"/>
  <c r="O88" i="5"/>
  <c r="O993" i="5"/>
  <c r="O217" i="5"/>
  <c r="O549" i="5"/>
  <c r="O840" i="5"/>
  <c r="O146" i="5"/>
  <c r="O344" i="5"/>
  <c r="O680" i="5"/>
  <c r="O604" i="5"/>
  <c r="O910" i="5"/>
  <c r="O1150" i="5"/>
  <c r="O1151" i="5"/>
  <c r="O218" i="5"/>
  <c r="O120" i="5"/>
  <c r="O186" i="5"/>
  <c r="O911" i="5"/>
  <c r="O187" i="5"/>
  <c r="O188" i="5"/>
  <c r="O468" i="5"/>
  <c r="O46" i="5"/>
  <c r="O681" i="5"/>
  <c r="O682" i="5"/>
  <c r="O841" i="5"/>
  <c r="O842" i="5"/>
  <c r="O219" i="5"/>
  <c r="O220" i="5"/>
  <c r="O770" i="5"/>
  <c r="O1659" i="5"/>
  <c r="O1152" i="5"/>
  <c r="O1276" i="5"/>
  <c r="O1277" i="5"/>
  <c r="O221" i="5"/>
  <c r="O189" i="5"/>
  <c r="O345" i="5"/>
  <c r="O384" i="5"/>
  <c r="O385" i="5"/>
  <c r="O843" i="5"/>
  <c r="O1278" i="5"/>
  <c r="O421" i="5"/>
  <c r="O257" i="5"/>
  <c r="O912" i="5"/>
  <c r="O60" i="5"/>
  <c r="O61" i="5"/>
  <c r="O62" i="5"/>
  <c r="O258" i="5"/>
  <c r="O1076" i="5"/>
  <c r="O29" i="5"/>
  <c r="O1487" i="5"/>
  <c r="O1488" i="5"/>
  <c r="O1710" i="5"/>
  <c r="O1711" i="5"/>
  <c r="O1712" i="5"/>
  <c r="O1224" i="5"/>
  <c r="O346" i="5"/>
  <c r="O844" i="5"/>
  <c r="O89" i="5"/>
  <c r="O63" i="5"/>
  <c r="O147" i="5"/>
  <c r="O64" i="5"/>
  <c r="O222" i="5"/>
  <c r="O2198" i="5"/>
  <c r="O469" i="5"/>
  <c r="O683" i="5"/>
  <c r="O90" i="5"/>
  <c r="O771" i="5"/>
  <c r="O550" i="5"/>
  <c r="O148" i="5"/>
  <c r="O30" i="5"/>
  <c r="O684" i="5"/>
  <c r="O1660" i="5"/>
  <c r="O1661" i="5"/>
  <c r="O551" i="5"/>
  <c r="O772" i="5"/>
  <c r="O685" i="5"/>
  <c r="O1613" i="5"/>
  <c r="O2114" i="5"/>
  <c r="O470" i="5"/>
  <c r="O1077" i="5"/>
  <c r="O223" i="5"/>
  <c r="O552" i="5"/>
  <c r="O259" i="5"/>
  <c r="O260" i="5"/>
  <c r="O121" i="5"/>
  <c r="O65" i="5"/>
  <c r="O471" i="5"/>
  <c r="O422" i="5"/>
  <c r="O472" i="5"/>
  <c r="O1859" i="5"/>
  <c r="O122" i="5"/>
  <c r="O261" i="5"/>
  <c r="O1153" i="5"/>
  <c r="O1154" i="5"/>
  <c r="O473" i="5"/>
  <c r="O474" i="5"/>
  <c r="O31" i="5"/>
  <c r="O423" i="5"/>
  <c r="O1764" i="5"/>
  <c r="O149" i="5"/>
  <c r="O2086" i="5"/>
  <c r="O1531" i="5"/>
  <c r="O190" i="5"/>
  <c r="O686" i="5"/>
  <c r="O262" i="5"/>
  <c r="O1860" i="5"/>
  <c r="O424" i="5"/>
  <c r="O5" i="5"/>
  <c r="O994" i="5"/>
  <c r="O1225" i="5"/>
  <c r="O123" i="5"/>
  <c r="O1662" i="5"/>
  <c r="O687" i="5"/>
  <c r="O475" i="5"/>
  <c r="O1155" i="5"/>
  <c r="O2043" i="5"/>
  <c r="O688" i="5"/>
  <c r="O553" i="5"/>
  <c r="O773" i="5"/>
  <c r="O263" i="5"/>
  <c r="O91" i="5"/>
  <c r="O92" i="5"/>
  <c r="O93" i="5"/>
  <c r="O1078" i="5"/>
  <c r="O913" i="5"/>
  <c r="O689" i="5"/>
  <c r="O94" i="5"/>
  <c r="O191" i="5"/>
  <c r="O2044" i="5"/>
  <c r="O47" i="5"/>
  <c r="O914" i="5"/>
  <c r="O774" i="5"/>
  <c r="O690" i="5"/>
  <c r="O691" i="5"/>
  <c r="O554" i="5"/>
  <c r="O476" i="5"/>
  <c r="O477" i="5"/>
  <c r="O224" i="5"/>
  <c r="O192" i="5"/>
  <c r="O150" i="5"/>
  <c r="O32" i="5"/>
  <c r="O6" i="5"/>
  <c r="O1373" i="5"/>
  <c r="O1805" i="5"/>
  <c r="O347" i="5"/>
  <c r="O2115" i="5"/>
  <c r="O692" i="5"/>
  <c r="O1447" i="5"/>
  <c r="O1226" i="5"/>
  <c r="O1532" i="5"/>
  <c r="O915" i="5"/>
  <c r="O478" i="5"/>
  <c r="O1079" i="5"/>
  <c r="N2199" i="5"/>
  <c r="N1080" i="5"/>
  <c r="N775" i="5"/>
  <c r="N555" i="5"/>
  <c r="N264" i="5"/>
  <c r="N1614" i="5"/>
  <c r="N1615" i="5"/>
  <c r="N556" i="5"/>
  <c r="N48" i="5"/>
  <c r="N386" i="5"/>
  <c r="N12" i="5"/>
  <c r="N124" i="5"/>
  <c r="N1157" i="5"/>
  <c r="N2045" i="5"/>
  <c r="N1713" i="5"/>
  <c r="N1958" i="5"/>
  <c r="N1959" i="5"/>
  <c r="N1081" i="5"/>
  <c r="N1909" i="5"/>
  <c r="N2220" i="5"/>
  <c r="N845" i="5"/>
  <c r="N151" i="5"/>
  <c r="N20" i="5"/>
  <c r="N1616" i="5"/>
  <c r="N193" i="5"/>
  <c r="N265" i="5"/>
  <c r="N2145" i="5"/>
  <c r="N693" i="5"/>
  <c r="N152" i="5"/>
  <c r="N2166" i="5"/>
  <c r="N995" i="5"/>
  <c r="N1806" i="5"/>
  <c r="N49" i="5"/>
  <c r="N348" i="5"/>
  <c r="N1910" i="5"/>
  <c r="N2146" i="5"/>
  <c r="N1082" i="5"/>
  <c r="N266" i="5"/>
  <c r="N33" i="5"/>
  <c r="N34" i="5"/>
  <c r="N1807" i="5"/>
  <c r="N425" i="5"/>
  <c r="N35" i="5"/>
  <c r="N95" i="5"/>
  <c r="N1808" i="5"/>
  <c r="N225" i="5"/>
  <c r="N36" i="5"/>
  <c r="N846" i="5"/>
  <c r="N267" i="5"/>
  <c r="N1324" i="5"/>
  <c r="N1663" i="5"/>
  <c r="N1617" i="5"/>
  <c r="N66" i="5"/>
  <c r="N1579" i="5"/>
  <c r="N349" i="5"/>
  <c r="N426" i="5"/>
  <c r="N479" i="5"/>
  <c r="N1664" i="5"/>
  <c r="N1665" i="5"/>
  <c r="N96" i="5"/>
  <c r="N1618" i="5"/>
  <c r="N1666" i="5"/>
  <c r="N268" i="5"/>
  <c r="N350" i="5"/>
  <c r="N21" i="5"/>
  <c r="N996" i="5"/>
  <c r="N916" i="5"/>
  <c r="N917" i="5"/>
  <c r="N694" i="5"/>
  <c r="N1911" i="5"/>
  <c r="N2046" i="5"/>
  <c r="N269" i="5"/>
  <c r="N1580" i="5"/>
  <c r="N1809" i="5"/>
  <c r="N1325" i="5"/>
  <c r="N1534" i="5"/>
  <c r="N37" i="5"/>
  <c r="N847" i="5"/>
  <c r="N480" i="5"/>
  <c r="N67" i="5"/>
  <c r="N1535" i="5"/>
  <c r="N1536" i="5"/>
  <c r="N427" i="5"/>
  <c r="N1912" i="5"/>
  <c r="N1448" i="5"/>
  <c r="N605" i="5"/>
  <c r="N1714" i="5"/>
  <c r="N1993" i="5"/>
  <c r="N557" i="5"/>
  <c r="N1960" i="5"/>
  <c r="N918" i="5"/>
  <c r="N919" i="5"/>
  <c r="N1581" i="5"/>
  <c r="N1083" i="5"/>
  <c r="N1374" i="5"/>
  <c r="N1375" i="5"/>
  <c r="N1994" i="5"/>
  <c r="N1715" i="5"/>
  <c r="N97" i="5"/>
  <c r="N98" i="5"/>
  <c r="N695" i="5"/>
  <c r="N305" i="5"/>
  <c r="N306" i="5"/>
  <c r="N1810" i="5"/>
  <c r="N848" i="5"/>
  <c r="N776" i="5"/>
  <c r="N1995" i="5"/>
  <c r="N1996" i="5"/>
  <c r="N1997" i="5"/>
  <c r="N2147" i="5"/>
  <c r="N696" i="5"/>
  <c r="N697" i="5"/>
  <c r="N2148" i="5"/>
  <c r="N1537" i="5"/>
  <c r="N1227" i="5"/>
  <c r="N22" i="5"/>
  <c r="N153" i="5"/>
  <c r="N920" i="5"/>
  <c r="N1084" i="5"/>
  <c r="N7" i="5"/>
  <c r="N1619" i="5"/>
  <c r="N921" i="5"/>
  <c r="N777" i="5"/>
  <c r="N154" i="5"/>
  <c r="N1376" i="5"/>
  <c r="N2182" i="5"/>
  <c r="N2183" i="5"/>
  <c r="N226" i="5"/>
  <c r="N2207" i="5"/>
  <c r="N2184" i="5"/>
  <c r="N1998" i="5"/>
  <c r="N778" i="5"/>
  <c r="N558" i="5"/>
  <c r="N1667" i="5"/>
  <c r="N1538" i="5"/>
  <c r="N1620" i="5"/>
  <c r="N387" i="5"/>
  <c r="N2087" i="5"/>
  <c r="N1326" i="5"/>
  <c r="N1861" i="5"/>
  <c r="N1765" i="5"/>
  <c r="N1766" i="5"/>
  <c r="N155" i="5"/>
  <c r="N1582" i="5"/>
  <c r="N559" i="5"/>
  <c r="N1449" i="5"/>
  <c r="N481" i="5"/>
  <c r="N1539" i="5"/>
  <c r="N1085" i="5"/>
  <c r="N2149" i="5"/>
  <c r="N2150" i="5"/>
  <c r="N270" i="5"/>
  <c r="N1767" i="5"/>
  <c r="N1583" i="5"/>
  <c r="N1540" i="5"/>
  <c r="N606" i="5"/>
  <c r="N1621" i="5"/>
  <c r="N1999" i="5"/>
  <c r="N388" i="5"/>
  <c r="N389" i="5"/>
  <c r="N2116" i="5"/>
  <c r="N271" i="5"/>
  <c r="N1158" i="5"/>
  <c r="N2167" i="5"/>
  <c r="N1279" i="5"/>
  <c r="N125" i="5"/>
  <c r="N126" i="5"/>
  <c r="N1716" i="5"/>
  <c r="N1489" i="5"/>
  <c r="N1450" i="5"/>
  <c r="N68" i="5"/>
  <c r="N69" i="5"/>
  <c r="N1086" i="5"/>
  <c r="N698" i="5"/>
  <c r="N1377" i="5"/>
  <c r="N1378" i="5"/>
  <c r="N2168" i="5"/>
  <c r="N1717" i="5"/>
  <c r="N1668" i="5"/>
  <c r="N1159" i="5"/>
  <c r="N1584" i="5"/>
  <c r="N156" i="5"/>
  <c r="N2047" i="5"/>
  <c r="N1961" i="5"/>
  <c r="N2088" i="5"/>
  <c r="N1718" i="5"/>
  <c r="N1490" i="5"/>
  <c r="N13" i="5"/>
  <c r="N8" i="5"/>
  <c r="N2208" i="5"/>
  <c r="N997" i="5"/>
  <c r="N998" i="5"/>
  <c r="N699" i="5"/>
  <c r="N1327" i="5"/>
  <c r="N1862" i="5"/>
  <c r="N2117" i="5"/>
  <c r="N1087" i="5"/>
  <c r="N1863" i="5"/>
  <c r="N2209" i="5"/>
  <c r="N700" i="5"/>
  <c r="N157" i="5"/>
  <c r="N922" i="5"/>
  <c r="N923" i="5"/>
  <c r="N14" i="5"/>
  <c r="N1491" i="5"/>
  <c r="N1492" i="5"/>
  <c r="N1913" i="5"/>
  <c r="N390" i="5"/>
  <c r="N1328" i="5"/>
  <c r="N607" i="5"/>
  <c r="N924" i="5"/>
  <c r="N307" i="5"/>
  <c r="N1914" i="5"/>
  <c r="N1669" i="5"/>
  <c r="N1719" i="5"/>
  <c r="N1864" i="5"/>
  <c r="N1720" i="5"/>
  <c r="N1160" i="5"/>
  <c r="N608" i="5"/>
  <c r="N779" i="5"/>
  <c r="N227" i="5"/>
  <c r="N849" i="5"/>
  <c r="N850" i="5"/>
  <c r="N1622" i="5"/>
  <c r="N158" i="5"/>
  <c r="N1811" i="5"/>
  <c r="N1088" i="5"/>
  <c r="N1585" i="5"/>
  <c r="N15" i="5"/>
  <c r="N701" i="5"/>
  <c r="N702" i="5"/>
  <c r="N1280" i="5"/>
  <c r="N1281" i="5"/>
  <c r="N1451" i="5"/>
  <c r="N1721" i="5"/>
  <c r="N2048" i="5"/>
  <c r="N999" i="5"/>
  <c r="N851" i="5"/>
  <c r="N1452" i="5"/>
  <c r="N391" i="5"/>
  <c r="N560" i="5"/>
  <c r="N272" i="5"/>
  <c r="N1000" i="5"/>
  <c r="N1768" i="5"/>
  <c r="N1089" i="5"/>
  <c r="N2185" i="5"/>
  <c r="N1769" i="5"/>
  <c r="N2049" i="5"/>
  <c r="N2050" i="5"/>
  <c r="N1623" i="5"/>
  <c r="N2151" i="5"/>
  <c r="N1329" i="5"/>
  <c r="N609" i="5"/>
  <c r="N159" i="5"/>
  <c r="N1670" i="5"/>
  <c r="N1722" i="5"/>
  <c r="N99" i="5"/>
  <c r="N780" i="5"/>
  <c r="N2169" i="5"/>
  <c r="N925" i="5"/>
  <c r="N1001" i="5"/>
  <c r="N1812" i="5"/>
  <c r="N926" i="5"/>
  <c r="N1915" i="5"/>
  <c r="N351" i="5"/>
  <c r="N1282" i="5"/>
  <c r="N1723" i="5"/>
  <c r="N70" i="5"/>
  <c r="N1283" i="5"/>
  <c r="N1284" i="5"/>
  <c r="N2170" i="5"/>
  <c r="N1090" i="5"/>
  <c r="N2000" i="5"/>
  <c r="N2214" i="5"/>
  <c r="N482" i="5"/>
  <c r="N428" i="5"/>
  <c r="N1671" i="5"/>
  <c r="N2171" i="5"/>
  <c r="N1493" i="5"/>
  <c r="N1228" i="5"/>
  <c r="N1813" i="5"/>
  <c r="N392" i="5"/>
  <c r="N1379" i="5"/>
  <c r="N429" i="5"/>
  <c r="N430" i="5"/>
  <c r="N1770" i="5"/>
  <c r="N1494" i="5"/>
  <c r="N2152" i="5"/>
  <c r="N927" i="5"/>
  <c r="N1624" i="5"/>
  <c r="N2001" i="5"/>
  <c r="N1865" i="5"/>
  <c r="N2118" i="5"/>
  <c r="N1285" i="5"/>
  <c r="N2089" i="5"/>
  <c r="N1380" i="5"/>
  <c r="N1916" i="5"/>
  <c r="N1161" i="5"/>
  <c r="N273" i="5"/>
  <c r="N1541" i="5"/>
  <c r="N703" i="5"/>
  <c r="N1814" i="5"/>
  <c r="N704" i="5"/>
  <c r="N1091" i="5"/>
  <c r="N1002" i="5"/>
  <c r="N393" i="5"/>
  <c r="N1672" i="5"/>
  <c r="N928" i="5"/>
  <c r="N2153" i="5"/>
  <c r="N1542" i="5"/>
  <c r="N1543" i="5"/>
  <c r="N705" i="5"/>
  <c r="N1625" i="5"/>
  <c r="N1866" i="5"/>
  <c r="N1229" i="5"/>
  <c r="N2051" i="5"/>
  <c r="N2215" i="5"/>
  <c r="N610" i="5"/>
  <c r="N127" i="5"/>
  <c r="N308" i="5"/>
  <c r="N309" i="5"/>
  <c r="N352" i="5"/>
  <c r="N353" i="5"/>
  <c r="N1162" i="5"/>
  <c r="N1286" i="5"/>
  <c r="N781" i="5"/>
  <c r="N1230" i="5"/>
  <c r="N431" i="5"/>
  <c r="N432" i="5"/>
  <c r="N611" i="5"/>
  <c r="N483" i="5"/>
  <c r="N71" i="5"/>
  <c r="N1092" i="5"/>
  <c r="N1724" i="5"/>
  <c r="N561" i="5"/>
  <c r="N1917" i="5"/>
  <c r="N1771" i="5"/>
  <c r="N2002" i="5"/>
  <c r="N1381" i="5"/>
  <c r="N1867" i="5"/>
  <c r="N929" i="5"/>
  <c r="N1453" i="5"/>
  <c r="N1725" i="5"/>
  <c r="N2003" i="5"/>
  <c r="N2004" i="5"/>
  <c r="N23" i="5"/>
  <c r="N1544" i="5"/>
  <c r="N1673" i="5"/>
  <c r="N1962" i="5"/>
  <c r="N612" i="5"/>
  <c r="N562" i="5"/>
  <c r="N1163" i="5"/>
  <c r="N1586" i="5"/>
  <c r="N1587" i="5"/>
  <c r="N2119" i="5"/>
  <c r="N1093" i="5"/>
  <c r="N1382" i="5"/>
  <c r="N1868" i="5"/>
  <c r="N930" i="5"/>
  <c r="N1918" i="5"/>
  <c r="N1003" i="5"/>
  <c r="N2172" i="5"/>
  <c r="N16" i="5"/>
  <c r="N17" i="5"/>
  <c r="N1004" i="5"/>
  <c r="N1869" i="5"/>
  <c r="N1726" i="5"/>
  <c r="N50" i="5"/>
  <c r="N706" i="5"/>
  <c r="N707" i="5"/>
  <c r="N310" i="5"/>
  <c r="N613" i="5"/>
  <c r="N128" i="5"/>
  <c r="N852" i="5"/>
  <c r="N1963" i="5"/>
  <c r="N484" i="5"/>
  <c r="N1772" i="5"/>
  <c r="N2052" i="5"/>
  <c r="N1005" i="5"/>
  <c r="N51" i="5"/>
  <c r="N1383" i="5"/>
  <c r="N1231" i="5"/>
  <c r="N129" i="5"/>
  <c r="N311" i="5"/>
  <c r="N1164" i="5"/>
  <c r="N130" i="5"/>
  <c r="N228" i="5"/>
  <c r="N708" i="5"/>
  <c r="N1626" i="5"/>
  <c r="N2173" i="5"/>
  <c r="N2174" i="5"/>
  <c r="N1495" i="5"/>
  <c r="N1094" i="5"/>
  <c r="N1095" i="5"/>
  <c r="N1870" i="5"/>
  <c r="N1727" i="5"/>
  <c r="N194" i="5"/>
  <c r="N1545" i="5"/>
  <c r="N1165" i="5"/>
  <c r="N2120" i="5"/>
  <c r="N1871" i="5"/>
  <c r="N1872" i="5"/>
  <c r="N229" i="5"/>
  <c r="N1919" i="5"/>
  <c r="N931" i="5"/>
  <c r="N1166" i="5"/>
  <c r="N18" i="5"/>
  <c r="N614" i="5"/>
  <c r="N615" i="5"/>
  <c r="N2121" i="5"/>
  <c r="N2053" i="5"/>
  <c r="N1006" i="5"/>
  <c r="N2005" i="5"/>
  <c r="N1546" i="5"/>
  <c r="N1384" i="5"/>
  <c r="N485" i="5"/>
  <c r="N563" i="5"/>
  <c r="N782" i="5"/>
  <c r="N1920" i="5"/>
  <c r="N1921" i="5"/>
  <c r="N354" i="5"/>
  <c r="N433" i="5"/>
  <c r="N2122" i="5"/>
  <c r="N1547" i="5"/>
  <c r="N1007" i="5"/>
  <c r="N2054" i="5"/>
  <c r="N1728" i="5"/>
  <c r="N160" i="5"/>
  <c r="N161" i="5"/>
  <c r="N1815" i="5"/>
  <c r="N564" i="5"/>
  <c r="N312" i="5"/>
  <c r="N313" i="5"/>
  <c r="N486" i="5"/>
  <c r="N1008" i="5"/>
  <c r="N1009" i="5"/>
  <c r="N1674" i="5"/>
  <c r="N1729" i="5"/>
  <c r="N1548" i="5"/>
  <c r="N434" i="5"/>
  <c r="N1385" i="5"/>
  <c r="N2200" i="5"/>
  <c r="N1010" i="5"/>
  <c r="N1386" i="5"/>
  <c r="N783" i="5"/>
  <c r="N1549" i="5"/>
  <c r="N487" i="5"/>
  <c r="N1816" i="5"/>
  <c r="N1675" i="5"/>
  <c r="N1676" i="5"/>
  <c r="N1387" i="5"/>
  <c r="N616" i="5"/>
  <c r="N1677" i="5"/>
  <c r="N9" i="5"/>
  <c r="N853" i="5"/>
  <c r="N1773" i="5"/>
  <c r="N2055" i="5"/>
  <c r="N488" i="5"/>
  <c r="N1627" i="5"/>
  <c r="N195" i="5"/>
  <c r="N932" i="5"/>
  <c r="N1388" i="5"/>
  <c r="N1389" i="5"/>
  <c r="N617" i="5"/>
  <c r="N1011" i="5"/>
  <c r="N1287" i="5"/>
  <c r="N394" i="5"/>
  <c r="N2056" i="5"/>
  <c r="N1232" i="5"/>
  <c r="N1330" i="5"/>
  <c r="N2154" i="5"/>
  <c r="N1288" i="5"/>
  <c r="N230" i="5"/>
  <c r="N1873" i="5"/>
  <c r="N1096" i="5"/>
  <c r="N196" i="5"/>
  <c r="N197" i="5"/>
  <c r="N1233" i="5"/>
  <c r="N2006" i="5"/>
  <c r="N19" i="5"/>
  <c r="N1964" i="5"/>
  <c r="N489" i="5"/>
  <c r="N1922" i="5"/>
  <c r="N618" i="5"/>
  <c r="N2201" i="5"/>
  <c r="N435" i="5"/>
  <c r="N2175" i="5"/>
  <c r="N709" i="5"/>
  <c r="N1331" i="5"/>
  <c r="N619" i="5"/>
  <c r="N620" i="5"/>
  <c r="N2123" i="5"/>
  <c r="N274" i="5"/>
  <c r="N933" i="5"/>
  <c r="N1167" i="5"/>
  <c r="N1390" i="5"/>
  <c r="N1923" i="5"/>
  <c r="N314" i="5"/>
  <c r="N315" i="5"/>
  <c r="N1391" i="5"/>
  <c r="N1454" i="5"/>
  <c r="N1012" i="5"/>
  <c r="N1168" i="5"/>
  <c r="N1392" i="5"/>
  <c r="N162" i="5"/>
  <c r="N2007" i="5"/>
  <c r="N1332" i="5"/>
  <c r="N2202" i="5"/>
  <c r="N784" i="5"/>
  <c r="N2057" i="5"/>
  <c r="N1234" i="5"/>
  <c r="N395" i="5"/>
  <c r="N1550" i="5"/>
  <c r="N3" i="5"/>
  <c r="N275" i="5"/>
  <c r="N396" i="5"/>
  <c r="N1169" i="5"/>
  <c r="N854" i="5"/>
  <c r="N565" i="5"/>
  <c r="N2124" i="5"/>
  <c r="N710" i="5"/>
  <c r="N1965" i="5"/>
  <c r="N1393" i="5"/>
  <c r="N1817" i="5"/>
  <c r="N934" i="5"/>
  <c r="N2008" i="5"/>
  <c r="N1394" i="5"/>
  <c r="N1395" i="5"/>
  <c r="N316" i="5"/>
  <c r="N317" i="5"/>
  <c r="N2125" i="5"/>
  <c r="N1730" i="5"/>
  <c r="N1097" i="5"/>
  <c r="N1098" i="5"/>
  <c r="N1333" i="5"/>
  <c r="N1099" i="5"/>
  <c r="N1678" i="5"/>
  <c r="N1289" i="5"/>
  <c r="N1170" i="5"/>
  <c r="N1171" i="5"/>
  <c r="N38" i="5"/>
  <c r="N39" i="5"/>
  <c r="N2186" i="5"/>
  <c r="N100" i="5"/>
  <c r="N101" i="5"/>
  <c r="N318" i="5"/>
  <c r="N102" i="5"/>
  <c r="N103" i="5"/>
  <c r="N1172" i="5"/>
  <c r="N2" i="5"/>
  <c r="N621" i="5"/>
  <c r="N785" i="5"/>
  <c r="N1455" i="5"/>
  <c r="N1731" i="5"/>
  <c r="N436" i="5"/>
  <c r="N1774" i="5"/>
  <c r="N1456" i="5"/>
  <c r="N40" i="5"/>
  <c r="N1496" i="5"/>
  <c r="N1497" i="5"/>
  <c r="N2176" i="5"/>
  <c r="N490" i="5"/>
  <c r="N2126" i="5"/>
  <c r="N2127" i="5"/>
  <c r="N711" i="5"/>
  <c r="N1679" i="5"/>
  <c r="N1628" i="5"/>
  <c r="N2058" i="5"/>
  <c r="N131" i="5"/>
  <c r="N104" i="5"/>
  <c r="N105" i="5"/>
  <c r="N1100" i="5"/>
  <c r="N397" i="5"/>
  <c r="N2177" i="5"/>
  <c r="N786" i="5"/>
  <c r="N787" i="5"/>
  <c r="N788" i="5"/>
  <c r="N2009" i="5"/>
  <c r="N855" i="5"/>
  <c r="N132" i="5"/>
  <c r="N1101" i="5"/>
  <c r="N1102" i="5"/>
  <c r="N2059" i="5"/>
  <c r="N1173" i="5"/>
  <c r="N1103" i="5"/>
  <c r="N4" i="5"/>
  <c r="N1290" i="5"/>
  <c r="N1334" i="5"/>
  <c r="N1732" i="5"/>
  <c r="N1874" i="5"/>
  <c r="N1818" i="5"/>
  <c r="N1966" i="5"/>
  <c r="N2060" i="5"/>
  <c r="N491" i="5"/>
  <c r="N1924" i="5"/>
  <c r="N72" i="5"/>
  <c r="N106" i="5"/>
  <c r="N1733" i="5"/>
  <c r="N2187" i="5"/>
  <c r="N2188" i="5"/>
  <c r="N1291" i="5"/>
  <c r="N1104" i="5"/>
  <c r="N1775" i="5"/>
  <c r="N319" i="5"/>
  <c r="N320" i="5"/>
  <c r="N712" i="5"/>
  <c r="N1776" i="5"/>
  <c r="N1174" i="5"/>
  <c r="N1551" i="5"/>
  <c r="N198" i="5"/>
  <c r="N1396" i="5"/>
  <c r="N1175" i="5"/>
  <c r="N622" i="5"/>
  <c r="N1875" i="5"/>
  <c r="N1588" i="5"/>
  <c r="N2155" i="5"/>
  <c r="N492" i="5"/>
  <c r="N493" i="5"/>
  <c r="N1819" i="5"/>
  <c r="N1498" i="5"/>
  <c r="N1013" i="5"/>
  <c r="N1397" i="5"/>
  <c r="N2189" i="5"/>
  <c r="N1777" i="5"/>
  <c r="N2178" i="5"/>
  <c r="N623" i="5"/>
  <c r="N1105" i="5"/>
  <c r="N2203" i="5"/>
  <c r="N494" i="5"/>
  <c r="N1335" i="5"/>
  <c r="N1014" i="5"/>
  <c r="N1292" i="5"/>
  <c r="N1876" i="5"/>
  <c r="N1176" i="5"/>
  <c r="N1398" i="5"/>
  <c r="N1106" i="5"/>
  <c r="N935" i="5"/>
  <c r="N1629" i="5"/>
  <c r="N936" i="5"/>
  <c r="N937" i="5"/>
  <c r="N624" i="5"/>
  <c r="N789" i="5"/>
  <c r="N1967" i="5"/>
  <c r="N1457" i="5"/>
  <c r="N1458" i="5"/>
  <c r="N1680" i="5"/>
  <c r="N1734" i="5"/>
  <c r="N1778" i="5"/>
  <c r="N1779" i="5"/>
  <c r="N1780" i="5"/>
  <c r="N790" i="5"/>
  <c r="N231" i="5"/>
  <c r="N791" i="5"/>
  <c r="N856" i="5"/>
  <c r="N1925" i="5"/>
  <c r="N1926" i="5"/>
  <c r="N1552" i="5"/>
  <c r="N857" i="5"/>
  <c r="N398" i="5"/>
  <c r="N2210" i="5"/>
  <c r="N1399" i="5"/>
  <c r="N1877" i="5"/>
  <c r="N1735" i="5"/>
  <c r="N1177" i="5"/>
  <c r="N321" i="5"/>
  <c r="N1736" i="5"/>
  <c r="N713" i="5"/>
  <c r="N625" i="5"/>
  <c r="N626" i="5"/>
  <c r="N1293" i="5"/>
  <c r="N2216" i="5"/>
  <c r="N1681" i="5"/>
  <c r="N1737" i="5"/>
  <c r="N2061" i="5"/>
  <c r="N627" i="5"/>
  <c r="N2090" i="5"/>
  <c r="N1820" i="5"/>
  <c r="N1821" i="5"/>
  <c r="N1781" i="5"/>
  <c r="N2010" i="5"/>
  <c r="N495" i="5"/>
  <c r="N1015" i="5"/>
  <c r="N1016" i="5"/>
  <c r="N1107" i="5"/>
  <c r="N1235" i="5"/>
  <c r="N1927" i="5"/>
  <c r="N52" i="5"/>
  <c r="N1968" i="5"/>
  <c r="N1928" i="5"/>
  <c r="N938" i="5"/>
  <c r="N73" i="5"/>
  <c r="N1108" i="5"/>
  <c r="N199" i="5"/>
  <c r="N1589" i="5"/>
  <c r="N1590" i="5"/>
  <c r="N1499" i="5"/>
  <c r="N1400" i="5"/>
  <c r="N1459" i="5"/>
  <c r="N1969" i="5"/>
  <c r="N1460" i="5"/>
  <c r="N1822" i="5"/>
  <c r="N2190" i="5"/>
  <c r="N2191" i="5"/>
  <c r="N2011" i="5"/>
  <c r="N792" i="5"/>
  <c r="N1461" i="5"/>
  <c r="N1236" i="5"/>
  <c r="N1823" i="5"/>
  <c r="N1824" i="5"/>
  <c r="N1553" i="5"/>
  <c r="N496" i="5"/>
  <c r="N1237" i="5"/>
  <c r="N1238" i="5"/>
  <c r="N1239" i="5"/>
  <c r="N1336" i="5"/>
  <c r="N1337" i="5"/>
  <c r="N437" i="5"/>
  <c r="N497" i="5"/>
  <c r="N498" i="5"/>
  <c r="N1109" i="5"/>
  <c r="N1929" i="5"/>
  <c r="N858" i="5"/>
  <c r="N1462" i="5"/>
  <c r="N1630" i="5"/>
  <c r="N1631" i="5"/>
  <c r="N1591" i="5"/>
  <c r="N1592" i="5"/>
  <c r="N2204" i="5"/>
  <c r="N1294" i="5"/>
  <c r="N322" i="5"/>
  <c r="N24" i="5"/>
  <c r="N793" i="5"/>
  <c r="N794" i="5"/>
  <c r="N2091" i="5"/>
  <c r="N1682" i="5"/>
  <c r="N2012" i="5"/>
  <c r="N399" i="5"/>
  <c r="N1295" i="5"/>
  <c r="N1878" i="5"/>
  <c r="N1879" i="5"/>
  <c r="N1463" i="5"/>
  <c r="N1178" i="5"/>
  <c r="N163" i="5"/>
  <c r="N1683" i="5"/>
  <c r="N2205" i="5"/>
  <c r="N2128" i="5"/>
  <c r="N2129" i="5"/>
  <c r="N1930" i="5"/>
  <c r="N1931" i="5"/>
  <c r="N1632" i="5"/>
  <c r="N1633" i="5"/>
  <c r="N1179" i="5"/>
  <c r="N1401" i="5"/>
  <c r="N939" i="5"/>
  <c r="N1402" i="5"/>
  <c r="N1932" i="5"/>
  <c r="N1933" i="5"/>
  <c r="N1554" i="5"/>
  <c r="N1970" i="5"/>
  <c r="N1880" i="5"/>
  <c r="N1296" i="5"/>
  <c r="N1825" i="5"/>
  <c r="N438" i="5"/>
  <c r="N1110" i="5"/>
  <c r="N1111" i="5"/>
  <c r="N1684" i="5"/>
  <c r="N2013" i="5"/>
  <c r="N2014" i="5"/>
  <c r="N940" i="5"/>
  <c r="N1634" i="5"/>
  <c r="N1782" i="5"/>
  <c r="N1180" i="5"/>
  <c r="N2192" i="5"/>
  <c r="N628" i="5"/>
  <c r="N1826" i="5"/>
  <c r="N941" i="5"/>
  <c r="N2015" i="5"/>
  <c r="N566" i="5"/>
  <c r="N1593" i="5"/>
  <c r="N795" i="5"/>
  <c r="N714" i="5"/>
  <c r="N1112" i="5"/>
  <c r="N1464" i="5"/>
  <c r="N439" i="5"/>
  <c r="N440" i="5"/>
  <c r="N2016" i="5"/>
  <c r="N1465" i="5"/>
  <c r="N1594" i="5"/>
  <c r="N133" i="5"/>
  <c r="N1113" i="5"/>
  <c r="N1240" i="5"/>
  <c r="N41" i="5"/>
  <c r="N1403" i="5"/>
  <c r="N1404" i="5"/>
  <c r="N2156" i="5"/>
  <c r="N715" i="5"/>
  <c r="N323" i="5"/>
  <c r="N499" i="5"/>
  <c r="N1738" i="5"/>
  <c r="N1241" i="5"/>
  <c r="N1338" i="5"/>
  <c r="N1339" i="5"/>
  <c r="N1881" i="5"/>
  <c r="N1971" i="5"/>
  <c r="N1685" i="5"/>
  <c r="N1297" i="5"/>
  <c r="N1114" i="5"/>
  <c r="N1686" i="5"/>
  <c r="N1739" i="5"/>
  <c r="N629" i="5"/>
  <c r="N400" i="5"/>
  <c r="N2017" i="5"/>
  <c r="N716" i="5"/>
  <c r="N2092" i="5"/>
  <c r="N1466" i="5"/>
  <c r="N1340" i="5"/>
  <c r="N441" i="5"/>
  <c r="N1827" i="5"/>
  <c r="N2062" i="5"/>
  <c r="N232" i="5"/>
  <c r="N717" i="5"/>
  <c r="N1467" i="5"/>
  <c r="N1017" i="5"/>
  <c r="N718" i="5"/>
  <c r="N1595" i="5"/>
  <c r="N1596" i="5"/>
  <c r="N1018" i="5"/>
  <c r="N1019" i="5"/>
  <c r="N630" i="5"/>
  <c r="N442" i="5"/>
  <c r="N443" i="5"/>
  <c r="N859" i="5"/>
  <c r="N1828" i="5"/>
  <c r="N860" i="5"/>
  <c r="N2157" i="5"/>
  <c r="N500" i="5"/>
  <c r="N1405" i="5"/>
  <c r="N444" i="5"/>
  <c r="N796" i="5"/>
  <c r="N1934" i="5"/>
  <c r="N631" i="5"/>
  <c r="N942" i="5"/>
  <c r="N1882" i="5"/>
  <c r="N1115" i="5"/>
  <c r="N943" i="5"/>
  <c r="N1883" i="5"/>
  <c r="N632" i="5"/>
  <c r="N1406" i="5"/>
  <c r="N1407" i="5"/>
  <c r="N944" i="5"/>
  <c r="N567" i="5"/>
  <c r="N1408" i="5"/>
  <c r="N945" i="5"/>
  <c r="N719" i="5"/>
  <c r="N2093" i="5"/>
  <c r="N1555" i="5"/>
  <c r="N2063" i="5"/>
  <c r="N2064" i="5"/>
  <c r="N2018" i="5"/>
  <c r="N1972" i="5"/>
  <c r="N1468" i="5"/>
  <c r="N2094" i="5"/>
  <c r="N2095" i="5"/>
  <c r="N1556" i="5"/>
  <c r="N1298" i="5"/>
  <c r="N1597" i="5"/>
  <c r="N1935" i="5"/>
  <c r="N1299" i="5"/>
  <c r="N74" i="5"/>
  <c r="N1687" i="5"/>
  <c r="N861" i="5"/>
  <c r="N1181" i="5"/>
  <c r="N1829" i="5"/>
  <c r="N1116" i="5"/>
  <c r="N1409" i="5"/>
  <c r="N355" i="5"/>
  <c r="N1830" i="5"/>
  <c r="N1557" i="5"/>
  <c r="N1558" i="5"/>
  <c r="N2130" i="5"/>
  <c r="N633" i="5"/>
  <c r="N324" i="5"/>
  <c r="N1242" i="5"/>
  <c r="N1243" i="5"/>
  <c r="N1469" i="5"/>
  <c r="N797" i="5"/>
  <c r="N1884" i="5"/>
  <c r="N1559" i="5"/>
  <c r="N1635" i="5"/>
  <c r="N1973" i="5"/>
  <c r="N1020" i="5"/>
  <c r="N720" i="5"/>
  <c r="N721" i="5"/>
  <c r="N1470" i="5"/>
  <c r="N356" i="5"/>
  <c r="N1885" i="5"/>
  <c r="N2065" i="5"/>
  <c r="N1783" i="5"/>
  <c r="N1831" i="5"/>
  <c r="N1688" i="5"/>
  <c r="N1182" i="5"/>
  <c r="N445" i="5"/>
  <c r="N1560" i="5"/>
  <c r="N1886" i="5"/>
  <c r="N1689" i="5"/>
  <c r="N568" i="5"/>
  <c r="N325" i="5"/>
  <c r="N1410" i="5"/>
  <c r="N862" i="5"/>
  <c r="N501" i="5"/>
  <c r="N1341" i="5"/>
  <c r="N1936" i="5"/>
  <c r="N1183" i="5"/>
  <c r="N1342" i="5"/>
  <c r="N1117" i="5"/>
  <c r="N446" i="5"/>
  <c r="N2066" i="5"/>
  <c r="N2217" i="5"/>
  <c r="N1021" i="5"/>
  <c r="N722" i="5"/>
  <c r="N1937" i="5"/>
  <c r="N447" i="5"/>
  <c r="N2067" i="5"/>
  <c r="N1500" i="5"/>
  <c r="N2019" i="5"/>
  <c r="N1411" i="5"/>
  <c r="N1343" i="5"/>
  <c r="N1300" i="5"/>
  <c r="N946" i="5"/>
  <c r="N502" i="5"/>
  <c r="N1244" i="5"/>
  <c r="N863" i="5"/>
  <c r="N134" i="5"/>
  <c r="N1598" i="5"/>
  <c r="N947" i="5"/>
  <c r="N1599" i="5"/>
  <c r="N2096" i="5"/>
  <c r="N723" i="5"/>
  <c r="N357" i="5"/>
  <c r="N1412" i="5"/>
  <c r="N1413" i="5"/>
  <c r="N634" i="5"/>
  <c r="N358" i="5"/>
  <c r="N1022" i="5"/>
  <c r="N1184" i="5"/>
  <c r="N1185" i="5"/>
  <c r="N448" i="5"/>
  <c r="N948" i="5"/>
  <c r="N798" i="5"/>
  <c r="N569" i="5"/>
  <c r="N1301" i="5"/>
  <c r="N724" i="5"/>
  <c r="N2097" i="5"/>
  <c r="N2098" i="5"/>
  <c r="N1245" i="5"/>
  <c r="N359" i="5"/>
  <c r="N360" i="5"/>
  <c r="N1302" i="5"/>
  <c r="N1501" i="5"/>
  <c r="N725" i="5"/>
  <c r="N1186" i="5"/>
  <c r="N2158" i="5"/>
  <c r="N1246" i="5"/>
  <c r="N1561" i="5"/>
  <c r="N1974" i="5"/>
  <c r="N1975" i="5"/>
  <c r="N1562" i="5"/>
  <c r="N1414" i="5"/>
  <c r="N2211" i="5"/>
  <c r="N1247" i="5"/>
  <c r="N2020" i="5"/>
  <c r="N726" i="5"/>
  <c r="N570" i="5"/>
  <c r="N727" i="5"/>
  <c r="N1471" i="5"/>
  <c r="N1563" i="5"/>
  <c r="N1976" i="5"/>
  <c r="N1344" i="5"/>
  <c r="N1023" i="5"/>
  <c r="N2212" i="5"/>
  <c r="N864" i="5"/>
  <c r="N503" i="5"/>
  <c r="N1887" i="5"/>
  <c r="N2099" i="5"/>
  <c r="N233" i="5"/>
  <c r="N635" i="5"/>
  <c r="N636" i="5"/>
  <c r="N571" i="5"/>
  <c r="N200" i="5"/>
  <c r="N1832" i="5"/>
  <c r="N1118" i="5"/>
  <c r="N1784" i="5"/>
  <c r="N949" i="5"/>
  <c r="N1415" i="5"/>
  <c r="N1833" i="5"/>
  <c r="N1024" i="5"/>
  <c r="N1187" i="5"/>
  <c r="N1188" i="5"/>
  <c r="N1119" i="5"/>
  <c r="N865" i="5"/>
  <c r="N1834" i="5"/>
  <c r="N1690" i="5"/>
  <c r="N1600" i="5"/>
  <c r="N504" i="5"/>
  <c r="N572" i="5"/>
  <c r="N573" i="5"/>
  <c r="N1189" i="5"/>
  <c r="N1691" i="5"/>
  <c r="N728" i="5"/>
  <c r="N1564" i="5"/>
  <c r="N1025" i="5"/>
  <c r="N1026" i="5"/>
  <c r="N1835" i="5"/>
  <c r="N2131" i="5"/>
  <c r="N2021" i="5"/>
  <c r="N866" i="5"/>
  <c r="N1601" i="5"/>
  <c r="N1836" i="5"/>
  <c r="N1837" i="5"/>
  <c r="N2100" i="5"/>
  <c r="N1502" i="5"/>
  <c r="N361" i="5"/>
  <c r="N2132" i="5"/>
  <c r="N1977" i="5"/>
  <c r="N1838" i="5"/>
  <c r="N1839" i="5"/>
  <c r="N1785" i="5"/>
  <c r="N574" i="5"/>
  <c r="N867" i="5"/>
  <c r="N449" i="5"/>
  <c r="N1345" i="5"/>
  <c r="N1636" i="5"/>
  <c r="N1303" i="5"/>
  <c r="N1190" i="5"/>
  <c r="N505" i="5"/>
  <c r="N1120" i="5"/>
  <c r="N1191" i="5"/>
  <c r="N1416" i="5"/>
  <c r="N868" i="5"/>
  <c r="N1503" i="5"/>
  <c r="N637" i="5"/>
  <c r="N201" i="5"/>
  <c r="N1740" i="5"/>
  <c r="N1741" i="5"/>
  <c r="N1888" i="5"/>
  <c r="N638" i="5"/>
  <c r="N1417" i="5"/>
  <c r="N2068" i="5"/>
  <c r="N950" i="5"/>
  <c r="N2022" i="5"/>
  <c r="N1978" i="5"/>
  <c r="N1979" i="5"/>
  <c r="N1692" i="5"/>
  <c r="N1504" i="5"/>
  <c r="N1192" i="5"/>
  <c r="N799" i="5"/>
  <c r="N639" i="5"/>
  <c r="N2069" i="5"/>
  <c r="N729" i="5"/>
  <c r="N1786" i="5"/>
  <c r="N1840" i="5"/>
  <c r="N640" i="5"/>
  <c r="N730" i="5"/>
  <c r="N1121" i="5"/>
  <c r="N506" i="5"/>
  <c r="N1693" i="5"/>
  <c r="N1938" i="5"/>
  <c r="N1742" i="5"/>
  <c r="N800" i="5"/>
  <c r="N1841" i="5"/>
  <c r="N1027" i="5"/>
  <c r="N1939" i="5"/>
  <c r="N1694" i="5"/>
  <c r="N1787" i="5"/>
  <c r="N869" i="5"/>
  <c r="N1889" i="5"/>
  <c r="N731" i="5"/>
  <c r="N732" i="5"/>
  <c r="N1565" i="5"/>
  <c r="N1304" i="5"/>
  <c r="N1028" i="5"/>
  <c r="N507" i="5"/>
  <c r="N1193" i="5"/>
  <c r="N234" i="5"/>
  <c r="N1695" i="5"/>
  <c r="N1505" i="5"/>
  <c r="N1506" i="5"/>
  <c r="N2101" i="5"/>
  <c r="N508" i="5"/>
  <c r="N641" i="5"/>
  <c r="N2102" i="5"/>
  <c r="N1418" i="5"/>
  <c r="N1305" i="5"/>
  <c r="N870" i="5"/>
  <c r="N1472" i="5"/>
  <c r="N733" i="5"/>
  <c r="N1743" i="5"/>
  <c r="N951" i="5"/>
  <c r="N401" i="5"/>
  <c r="N1419" i="5"/>
  <c r="N1637" i="5"/>
  <c r="N642" i="5"/>
  <c r="N2133" i="5"/>
  <c r="N135" i="5"/>
  <c r="N2023" i="5"/>
  <c r="N2134" i="5"/>
  <c r="N1744" i="5"/>
  <c r="N1306" i="5"/>
  <c r="N1745" i="5"/>
  <c r="N1980" i="5"/>
  <c r="N1420" i="5"/>
  <c r="N42" i="5"/>
  <c r="N643" i="5"/>
  <c r="N644" i="5"/>
  <c r="N2159" i="5"/>
  <c r="N1248" i="5"/>
  <c r="N509" i="5"/>
  <c r="N53" i="5"/>
  <c r="N1566" i="5"/>
  <c r="N871" i="5"/>
  <c r="N2221" i="5"/>
  <c r="N1890" i="5"/>
  <c r="N362" i="5"/>
  <c r="N1194" i="5"/>
  <c r="N2193" i="5"/>
  <c r="N2194" i="5"/>
  <c r="N1842" i="5"/>
  <c r="N1843" i="5"/>
  <c r="N1844" i="5"/>
  <c r="N1845" i="5"/>
  <c r="N2024" i="5"/>
  <c r="N1567" i="5"/>
  <c r="N1891" i="5"/>
  <c r="N1746" i="5"/>
  <c r="N1981" i="5"/>
  <c r="N1696" i="5"/>
  <c r="N2103" i="5"/>
  <c r="N1249" i="5"/>
  <c r="N1638" i="5"/>
  <c r="N1639" i="5"/>
  <c r="N1640" i="5"/>
  <c r="N1747" i="5"/>
  <c r="N1940" i="5"/>
  <c r="N1122" i="5"/>
  <c r="N1507" i="5"/>
  <c r="N1788" i="5"/>
  <c r="N1846" i="5"/>
  <c r="N575" i="5"/>
  <c r="N952" i="5"/>
  <c r="N2025" i="5"/>
  <c r="N326" i="5"/>
  <c r="N645" i="5"/>
  <c r="N402" i="5"/>
  <c r="N276" i="5"/>
  <c r="N277" i="5"/>
  <c r="N1568" i="5"/>
  <c r="N1789" i="5"/>
  <c r="N1250" i="5"/>
  <c r="N1941" i="5"/>
  <c r="N1508" i="5"/>
  <c r="N1748" i="5"/>
  <c r="N2135" i="5"/>
  <c r="N2136" i="5"/>
  <c r="N953" i="5"/>
  <c r="N43" i="5"/>
  <c r="N646" i="5"/>
  <c r="N647" i="5"/>
  <c r="N1602" i="5"/>
  <c r="N801" i="5"/>
  <c r="N1892" i="5"/>
  <c r="N2026" i="5"/>
  <c r="N1346" i="5"/>
  <c r="N1347" i="5"/>
  <c r="N1749" i="5"/>
  <c r="N648" i="5"/>
  <c r="N734" i="5"/>
  <c r="N1029" i="5"/>
  <c r="N954" i="5"/>
  <c r="N1509" i="5"/>
  <c r="N1893" i="5"/>
  <c r="N2027" i="5"/>
  <c r="N2070" i="5"/>
  <c r="N1030" i="5"/>
  <c r="N649" i="5"/>
  <c r="N802" i="5"/>
  <c r="N2137" i="5"/>
  <c r="N1641" i="5"/>
  <c r="N1031" i="5"/>
  <c r="N1473" i="5"/>
  <c r="N872" i="5"/>
  <c r="N2071" i="5"/>
  <c r="N1251" i="5"/>
  <c r="N2218" i="5"/>
  <c r="N2219" i="5"/>
  <c r="N1474" i="5"/>
  <c r="N1510" i="5"/>
  <c r="N1511" i="5"/>
  <c r="N1642" i="5"/>
  <c r="N1348" i="5"/>
  <c r="N1512" i="5"/>
  <c r="N1982" i="5"/>
  <c r="N25" i="5"/>
  <c r="N2104" i="5"/>
  <c r="N1195" i="5"/>
  <c r="N1894" i="5"/>
  <c r="N1513" i="5"/>
  <c r="N2105" i="5"/>
  <c r="N1983" i="5"/>
  <c r="N450" i="5"/>
  <c r="N873" i="5"/>
  <c r="N874" i="5"/>
  <c r="N875" i="5"/>
  <c r="N1603" i="5"/>
  <c r="N1196" i="5"/>
  <c r="N1847" i="5"/>
  <c r="N1750" i="5"/>
  <c r="N803" i="5"/>
  <c r="N735" i="5"/>
  <c r="N2138" i="5"/>
  <c r="N2106" i="5"/>
  <c r="N1421" i="5"/>
  <c r="N2028" i="5"/>
  <c r="N1643" i="5"/>
  <c r="N804" i="5"/>
  <c r="N403" i="5"/>
  <c r="N1644" i="5"/>
  <c r="N1307" i="5"/>
  <c r="N736" i="5"/>
  <c r="N1790" i="5"/>
  <c r="N1984" i="5"/>
  <c r="N451" i="5"/>
  <c r="N737" i="5"/>
  <c r="N2139" i="5"/>
  <c r="N1349" i="5"/>
  <c r="N1645" i="5"/>
  <c r="N2072" i="5"/>
  <c r="N2073" i="5"/>
  <c r="N1791" i="5"/>
  <c r="N1569" i="5"/>
  <c r="N2029" i="5"/>
  <c r="N1032" i="5"/>
  <c r="N1422" i="5"/>
  <c r="N650" i="5"/>
  <c r="N510" i="5"/>
  <c r="N1423" i="5"/>
  <c r="N1848" i="5"/>
  <c r="N1849" i="5"/>
  <c r="N576" i="5"/>
  <c r="N136" i="5"/>
  <c r="N1475" i="5"/>
  <c r="N1308" i="5"/>
  <c r="N1424" i="5"/>
  <c r="N1425" i="5"/>
  <c r="N876" i="5"/>
  <c r="N1197" i="5"/>
  <c r="N1646" i="5"/>
  <c r="N738" i="5"/>
  <c r="N1514" i="5"/>
  <c r="N1942" i="5"/>
  <c r="N1350" i="5"/>
  <c r="N1751" i="5"/>
  <c r="N2160" i="5"/>
  <c r="N2161" i="5"/>
  <c r="N2030" i="5"/>
  <c r="N1752" i="5"/>
  <c r="N1604" i="5"/>
  <c r="N1033" i="5"/>
  <c r="N955" i="5"/>
  <c r="N956" i="5"/>
  <c r="N1895" i="5"/>
  <c r="N511" i="5"/>
  <c r="N805" i="5"/>
  <c r="N1943" i="5"/>
  <c r="N957" i="5"/>
  <c r="N651" i="5"/>
  <c r="N1985" i="5"/>
  <c r="N739" i="5"/>
  <c r="N75" i="5"/>
  <c r="N652" i="5"/>
  <c r="N1570" i="5"/>
  <c r="N740" i="5"/>
  <c r="N741" i="5"/>
  <c r="N742" i="5"/>
  <c r="N1850" i="5"/>
  <c r="N877" i="5"/>
  <c r="N1851" i="5"/>
  <c r="N958" i="5"/>
  <c r="N653" i="5"/>
  <c r="N1896" i="5"/>
  <c r="N1897" i="5"/>
  <c r="N806" i="5"/>
  <c r="N1476" i="5"/>
  <c r="N1605" i="5"/>
  <c r="N164" i="5"/>
  <c r="N1477" i="5"/>
  <c r="N1351" i="5"/>
  <c r="N807" i="5"/>
  <c r="N404" i="5"/>
  <c r="N808" i="5"/>
  <c r="N1478" i="5"/>
  <c r="N1479" i="5"/>
  <c r="N1944" i="5"/>
  <c r="N1252" i="5"/>
  <c r="N1034" i="5"/>
  <c r="N2162" i="5"/>
  <c r="N2206" i="5"/>
  <c r="N743" i="5"/>
  <c r="N809" i="5"/>
  <c r="N107" i="5"/>
  <c r="N327" i="5"/>
  <c r="N1571" i="5"/>
  <c r="N1753" i="5"/>
  <c r="N1515" i="5"/>
  <c r="N1426" i="5"/>
  <c r="N1427" i="5"/>
  <c r="N2163" i="5"/>
  <c r="N810" i="5"/>
  <c r="N452" i="5"/>
  <c r="N2213" i="5"/>
  <c r="N811" i="5"/>
  <c r="N812" i="5"/>
  <c r="N405" i="5"/>
  <c r="N363" i="5"/>
  <c r="N1309" i="5"/>
  <c r="N1697" i="5"/>
  <c r="N1123" i="5"/>
  <c r="N1352" i="5"/>
  <c r="N1353" i="5"/>
  <c r="N2074" i="5"/>
  <c r="N1035" i="5"/>
  <c r="N1198" i="5"/>
  <c r="N1945" i="5"/>
  <c r="N1354" i="5"/>
  <c r="N1647" i="5"/>
  <c r="N1124" i="5"/>
  <c r="N959" i="5"/>
  <c r="N1036" i="5"/>
  <c r="N1428" i="5"/>
  <c r="N813" i="5"/>
  <c r="N1253" i="5"/>
  <c r="N1429" i="5"/>
  <c r="N512" i="5"/>
  <c r="N960" i="5"/>
  <c r="N202" i="5"/>
  <c r="N744" i="5"/>
  <c r="N1430" i="5"/>
  <c r="N1125" i="5"/>
  <c r="N2031" i="5"/>
  <c r="N1126" i="5"/>
  <c r="N1792" i="5"/>
  <c r="N2195" i="5"/>
  <c r="N1199" i="5"/>
  <c r="N878" i="5"/>
  <c r="N406" i="5"/>
  <c r="N407" i="5"/>
  <c r="N1037" i="5"/>
  <c r="N328" i="5"/>
  <c r="N1254" i="5"/>
  <c r="N513" i="5"/>
  <c r="N2032" i="5"/>
  <c r="N278" i="5"/>
  <c r="N1200" i="5"/>
  <c r="N1201" i="5"/>
  <c r="N1355" i="5"/>
  <c r="N408" i="5"/>
  <c r="N1356" i="5"/>
  <c r="N2033" i="5"/>
  <c r="N1357" i="5"/>
  <c r="N814" i="5"/>
  <c r="N1038" i="5"/>
  <c r="N961" i="5"/>
  <c r="N577" i="5"/>
  <c r="N2075" i="5"/>
  <c r="N1202" i="5"/>
  <c r="N1793" i="5"/>
  <c r="N745" i="5"/>
  <c r="N879" i="5"/>
  <c r="N1127" i="5"/>
  <c r="N815" i="5"/>
  <c r="N578" i="5"/>
  <c r="N2107" i="5"/>
  <c r="N1039" i="5"/>
  <c r="N1572" i="5"/>
  <c r="N1040" i="5"/>
  <c r="N1203" i="5"/>
  <c r="N1431" i="5"/>
  <c r="N235" i="5"/>
  <c r="N514" i="5"/>
  <c r="N44" i="5"/>
  <c r="N26" i="5"/>
  <c r="N1310" i="5"/>
  <c r="N962" i="5"/>
  <c r="N1946" i="5"/>
  <c r="N1898" i="5"/>
  <c r="N1899" i="5"/>
  <c r="N1255" i="5"/>
  <c r="N816" i="5"/>
  <c r="N515" i="5"/>
  <c r="N1480" i="5"/>
  <c r="N1481" i="5"/>
  <c r="N654" i="5"/>
  <c r="N880" i="5"/>
  <c r="N881" i="5"/>
  <c r="N1041" i="5"/>
  <c r="N364" i="5"/>
  <c r="N963" i="5"/>
  <c r="N76" i="5"/>
  <c r="N165" i="5"/>
  <c r="N166" i="5"/>
  <c r="N817" i="5"/>
  <c r="N1754" i="5"/>
  <c r="N1698" i="5"/>
  <c r="N1204" i="5"/>
  <c r="N1794" i="5"/>
  <c r="N236" i="5"/>
  <c r="N2164" i="5"/>
  <c r="N1205" i="5"/>
  <c r="N365" i="5"/>
  <c r="N746" i="5"/>
  <c r="N329" i="5"/>
  <c r="N1042" i="5"/>
  <c r="N366" i="5"/>
  <c r="N579" i="5"/>
  <c r="N580" i="5"/>
  <c r="N516" i="5"/>
  <c r="N137" i="5"/>
  <c r="N138" i="5"/>
  <c r="N517" i="5"/>
  <c r="N367" i="5"/>
  <c r="N108" i="5"/>
  <c r="N409" i="5"/>
  <c r="N1900" i="5"/>
  <c r="N1256" i="5"/>
  <c r="N1482" i="5"/>
  <c r="N747" i="5"/>
  <c r="N964" i="5"/>
  <c r="N1483" i="5"/>
  <c r="N518" i="5"/>
  <c r="N1484" i="5"/>
  <c r="N203" i="5"/>
  <c r="N1986" i="5"/>
  <c r="N581" i="5"/>
  <c r="N1795" i="5"/>
  <c r="N167" i="5"/>
  <c r="N1257" i="5"/>
  <c r="N1258" i="5"/>
  <c r="N1648" i="5"/>
  <c r="N519" i="5"/>
  <c r="N2108" i="5"/>
  <c r="N582" i="5"/>
  <c r="N1259" i="5"/>
  <c r="N330" i="5"/>
  <c r="N1206" i="5"/>
  <c r="N139" i="5"/>
  <c r="N520" i="5"/>
  <c r="N1516" i="5"/>
  <c r="N2034" i="5"/>
  <c r="N1043" i="5"/>
  <c r="N1485" i="5"/>
  <c r="N748" i="5"/>
  <c r="N655" i="5"/>
  <c r="N1432" i="5"/>
  <c r="N1796" i="5"/>
  <c r="N1260" i="5"/>
  <c r="N2076" i="5"/>
  <c r="N2077" i="5"/>
  <c r="N453" i="5"/>
  <c r="N1433" i="5"/>
  <c r="N1207" i="5"/>
  <c r="N1208" i="5"/>
  <c r="N1128" i="5"/>
  <c r="N1261" i="5"/>
  <c r="N331" i="5"/>
  <c r="N1987" i="5"/>
  <c r="N1797" i="5"/>
  <c r="N2035" i="5"/>
  <c r="N818" i="5"/>
  <c r="N965" i="5"/>
  <c r="N966" i="5"/>
  <c r="N1311" i="5"/>
  <c r="N583" i="5"/>
  <c r="N749" i="5"/>
  <c r="N368" i="5"/>
  <c r="N204" i="5"/>
  <c r="N237" i="5"/>
  <c r="N2036" i="5"/>
  <c r="N819" i="5"/>
  <c r="N820" i="5"/>
  <c r="N279" i="5"/>
  <c r="N280" i="5"/>
  <c r="N281" i="5"/>
  <c r="N1947" i="5"/>
  <c r="N1948" i="5"/>
  <c r="N1209" i="5"/>
  <c r="N1044" i="5"/>
  <c r="N584" i="5"/>
  <c r="N2078" i="5"/>
  <c r="N1045" i="5"/>
  <c r="N109" i="5"/>
  <c r="N1988" i="5"/>
  <c r="N238" i="5"/>
  <c r="N369" i="5"/>
  <c r="N332" i="5"/>
  <c r="N1573" i="5"/>
  <c r="N1517" i="5"/>
  <c r="N282" i="5"/>
  <c r="N882" i="5"/>
  <c r="N656" i="5"/>
  <c r="N1649" i="5"/>
  <c r="N821" i="5"/>
  <c r="N168" i="5"/>
  <c r="N283" i="5"/>
  <c r="N1949" i="5"/>
  <c r="N1950" i="5"/>
  <c r="N967" i="5"/>
  <c r="N883" i="5"/>
  <c r="N1901" i="5"/>
  <c r="N1902" i="5"/>
  <c r="N968" i="5"/>
  <c r="N110" i="5"/>
  <c r="N1129" i="5"/>
  <c r="N1699" i="5"/>
  <c r="N2140" i="5"/>
  <c r="N969" i="5"/>
  <c r="N1755" i="5"/>
  <c r="N1903" i="5"/>
  <c r="N521" i="5"/>
  <c r="N77" i="5"/>
  <c r="N239" i="5"/>
  <c r="N522" i="5"/>
  <c r="N1518" i="5"/>
  <c r="N1519" i="5"/>
  <c r="N523" i="5"/>
  <c r="N1046" i="5"/>
  <c r="N970" i="5"/>
  <c r="N971" i="5"/>
  <c r="N884" i="5"/>
  <c r="N524" i="5"/>
  <c r="N370" i="5"/>
  <c r="N333" i="5"/>
  <c r="N169" i="5"/>
  <c r="N1904" i="5"/>
  <c r="N1905" i="5"/>
  <c r="N1262" i="5"/>
  <c r="N525" i="5"/>
  <c r="N822" i="5"/>
  <c r="N1210" i="5"/>
  <c r="N1211" i="5"/>
  <c r="N78" i="5"/>
  <c r="N1700" i="5"/>
  <c r="N1263" i="5"/>
  <c r="N1047" i="5"/>
  <c r="N1650" i="5"/>
  <c r="N1130" i="5"/>
  <c r="N170" i="5"/>
  <c r="N1048" i="5"/>
  <c r="N1358" i="5"/>
  <c r="N240" i="5"/>
  <c r="N526" i="5"/>
  <c r="N1131" i="5"/>
  <c r="N2109" i="5"/>
  <c r="N885" i="5"/>
  <c r="N205" i="5"/>
  <c r="N1574" i="5"/>
  <c r="N972" i="5"/>
  <c r="N585" i="5"/>
  <c r="N2196" i="5"/>
  <c r="N2197" i="5"/>
  <c r="N973" i="5"/>
  <c r="N1359" i="5"/>
  <c r="N1360" i="5"/>
  <c r="N527" i="5"/>
  <c r="N528" i="5"/>
  <c r="N1989" i="5"/>
  <c r="N657" i="5"/>
  <c r="N658" i="5"/>
  <c r="N1798" i="5"/>
  <c r="N659" i="5"/>
  <c r="N410" i="5"/>
  <c r="N886" i="5"/>
  <c r="N887" i="5"/>
  <c r="N660" i="5"/>
  <c r="N750" i="5"/>
  <c r="N1756" i="5"/>
  <c r="N284" i="5"/>
  <c r="N751" i="5"/>
  <c r="N752" i="5"/>
  <c r="N1906" i="5"/>
  <c r="N241" i="5"/>
  <c r="N79" i="5"/>
  <c r="N1049" i="5"/>
  <c r="N1050" i="5"/>
  <c r="N823" i="5"/>
  <c r="N753" i="5"/>
  <c r="N1361" i="5"/>
  <c r="N1362" i="5"/>
  <c r="N1312" i="5"/>
  <c r="N334" i="5"/>
  <c r="N1264" i="5"/>
  <c r="N529" i="5"/>
  <c r="N371" i="5"/>
  <c r="N1990" i="5"/>
  <c r="N1313" i="5"/>
  <c r="N1951" i="5"/>
  <c r="N1907" i="5"/>
  <c r="N1434" i="5"/>
  <c r="N1799" i="5"/>
  <c r="N1952" i="5"/>
  <c r="N411" i="5"/>
  <c r="N285" i="5"/>
  <c r="N454" i="5"/>
  <c r="N1265" i="5"/>
  <c r="N1520" i="5"/>
  <c r="N1701" i="5"/>
  <c r="N1051" i="5"/>
  <c r="N754" i="5"/>
  <c r="N1953" i="5"/>
  <c r="N755" i="5"/>
  <c r="N530" i="5"/>
  <c r="N1606" i="5"/>
  <c r="N2141" i="5"/>
  <c r="N1435" i="5"/>
  <c r="N661" i="5"/>
  <c r="N662" i="5"/>
  <c r="N586" i="5"/>
  <c r="N286" i="5"/>
  <c r="N1052" i="5"/>
  <c r="N206" i="5"/>
  <c r="N372" i="5"/>
  <c r="N1132" i="5"/>
  <c r="N1954" i="5"/>
  <c r="N242" i="5"/>
  <c r="N287" i="5"/>
  <c r="N1266" i="5"/>
  <c r="N373" i="5"/>
  <c r="N974" i="5"/>
  <c r="N2142" i="5"/>
  <c r="N1212" i="5"/>
  <c r="N1267" i="5"/>
  <c r="N288" i="5"/>
  <c r="N888" i="5"/>
  <c r="N889" i="5"/>
  <c r="N890" i="5"/>
  <c r="N891" i="5"/>
  <c r="N756" i="5"/>
  <c r="N1436" i="5"/>
  <c r="N1437" i="5"/>
  <c r="N587" i="5"/>
  <c r="N1053" i="5"/>
  <c r="N54" i="5"/>
  <c r="N2037" i="5"/>
  <c r="N1702" i="5"/>
  <c r="N892" i="5"/>
  <c r="N893" i="5"/>
  <c r="N243" i="5"/>
  <c r="N1133" i="5"/>
  <c r="N975" i="5"/>
  <c r="N531" i="5"/>
  <c r="N374" i="5"/>
  <c r="N1314" i="5"/>
  <c r="N2143" i="5"/>
  <c r="N111" i="5"/>
  <c r="N1852" i="5"/>
  <c r="N1268" i="5"/>
  <c r="N1757" i="5"/>
  <c r="N244" i="5"/>
  <c r="N245" i="5"/>
  <c r="N1054" i="5"/>
  <c r="N1055" i="5"/>
  <c r="N757" i="5"/>
  <c r="N412" i="5"/>
  <c r="N894" i="5"/>
  <c r="N1853" i="5"/>
  <c r="N27" i="5"/>
  <c r="N28" i="5"/>
  <c r="N1269" i="5"/>
  <c r="N895" i="5"/>
  <c r="N2079" i="5"/>
  <c r="N10" i="5"/>
  <c r="N11" i="5"/>
  <c r="N246" i="5"/>
  <c r="N171" i="5"/>
  <c r="N1363" i="5"/>
  <c r="N1854" i="5"/>
  <c r="N1056" i="5"/>
  <c r="N1057" i="5"/>
  <c r="N824" i="5"/>
  <c r="N825" i="5"/>
  <c r="N1991" i="5"/>
  <c r="N976" i="5"/>
  <c r="N1703" i="5"/>
  <c r="N663" i="5"/>
  <c r="N588" i="5"/>
  <c r="N2165" i="5"/>
  <c r="N375" i="5"/>
  <c r="N826" i="5"/>
  <c r="N827" i="5"/>
  <c r="N55" i="5"/>
  <c r="N589" i="5"/>
  <c r="N1521" i="5"/>
  <c r="N455" i="5"/>
  <c r="N172" i="5"/>
  <c r="N1704" i="5"/>
  <c r="N1438" i="5"/>
  <c r="N1522" i="5"/>
  <c r="N758" i="5"/>
  <c r="N112" i="5"/>
  <c r="N113" i="5"/>
  <c r="N1058" i="5"/>
  <c r="N2038" i="5"/>
  <c r="N1270" i="5"/>
  <c r="N532" i="5"/>
  <c r="N2110" i="5"/>
  <c r="N2111" i="5"/>
  <c r="N80" i="5"/>
  <c r="N81" i="5"/>
  <c r="N1134" i="5"/>
  <c r="N759" i="5"/>
  <c r="N207" i="5"/>
  <c r="N1705" i="5"/>
  <c r="N1135" i="5"/>
  <c r="N1523" i="5"/>
  <c r="N977" i="5"/>
  <c r="N828" i="5"/>
  <c r="N1364" i="5"/>
  <c r="N1213" i="5"/>
  <c r="N289" i="5"/>
  <c r="N1365" i="5"/>
  <c r="N1524" i="5"/>
  <c r="N896" i="5"/>
  <c r="N456" i="5"/>
  <c r="N1439" i="5"/>
  <c r="N208" i="5"/>
  <c r="N2039" i="5"/>
  <c r="N1758" i="5"/>
  <c r="N1575" i="5"/>
  <c r="N2040" i="5"/>
  <c r="N1525" i="5"/>
  <c r="N1059" i="5"/>
  <c r="N1060" i="5"/>
  <c r="N1366" i="5"/>
  <c r="N760" i="5"/>
  <c r="N761" i="5"/>
  <c r="N173" i="5"/>
  <c r="N413" i="5"/>
  <c r="N762" i="5"/>
  <c r="N664" i="5"/>
  <c r="N590" i="5"/>
  <c r="N1440" i="5"/>
  <c r="N1706" i="5"/>
  <c r="N533" i="5"/>
  <c r="N534" i="5"/>
  <c r="N591" i="5"/>
  <c r="N1061" i="5"/>
  <c r="N1062" i="5"/>
  <c r="N1271" i="5"/>
  <c r="N174" i="5"/>
  <c r="N2080" i="5"/>
  <c r="N457" i="5"/>
  <c r="N1441" i="5"/>
  <c r="N897" i="5"/>
  <c r="N1526" i="5"/>
  <c r="N1607" i="5"/>
  <c r="N1315" i="5"/>
  <c r="N1316" i="5"/>
  <c r="N247" i="5"/>
  <c r="N335" i="5"/>
  <c r="N1136" i="5"/>
  <c r="N898" i="5"/>
  <c r="N829" i="5"/>
  <c r="N1651" i="5"/>
  <c r="N1759" i="5"/>
  <c r="N290" i="5"/>
  <c r="N1955" i="5"/>
  <c r="N1063" i="5"/>
  <c r="N82" i="5"/>
  <c r="N978" i="5"/>
  <c r="N1137" i="5"/>
  <c r="N592" i="5"/>
  <c r="N665" i="5"/>
  <c r="N414" i="5"/>
  <c r="N899" i="5"/>
  <c r="N291" i="5"/>
  <c r="N248" i="5"/>
  <c r="N1486" i="5"/>
  <c r="N1064" i="5"/>
  <c r="N535" i="5"/>
  <c r="N666" i="5"/>
  <c r="N458" i="5"/>
  <c r="N979" i="5"/>
  <c r="N830" i="5"/>
  <c r="N415" i="5"/>
  <c r="N1576" i="5"/>
  <c r="N1577" i="5"/>
  <c r="N1652" i="5"/>
  <c r="N1855" i="5"/>
  <c r="N249" i="5"/>
  <c r="N593" i="5"/>
  <c r="N594" i="5"/>
  <c r="N900" i="5"/>
  <c r="N901" i="5"/>
  <c r="N763" i="5"/>
  <c r="N209" i="5"/>
  <c r="N376" i="5"/>
  <c r="N459" i="5"/>
  <c r="N595" i="5"/>
  <c r="N667" i="5"/>
  <c r="N668" i="5"/>
  <c r="N1527" i="5"/>
  <c r="N831" i="5"/>
  <c r="N1367" i="5"/>
  <c r="N2081" i="5"/>
  <c r="N416" i="5"/>
  <c r="N1214" i="5"/>
  <c r="N764" i="5"/>
  <c r="N669" i="5"/>
  <c r="N1317" i="5"/>
  <c r="N417" i="5"/>
  <c r="N980" i="5"/>
  <c r="N832" i="5"/>
  <c r="N1442" i="5"/>
  <c r="N670" i="5"/>
  <c r="N671" i="5"/>
  <c r="N460" i="5"/>
  <c r="N1065" i="5"/>
  <c r="N1760" i="5"/>
  <c r="N1653" i="5"/>
  <c r="N1654" i="5"/>
  <c r="N250" i="5"/>
  <c r="N981" i="5"/>
  <c r="N1215" i="5"/>
  <c r="N140" i="5"/>
  <c r="N1066" i="5"/>
  <c r="N1067" i="5"/>
  <c r="N596" i="5"/>
  <c r="N833" i="5"/>
  <c r="N834" i="5"/>
  <c r="N210" i="5"/>
  <c r="N83" i="5"/>
  <c r="N84" i="5"/>
  <c r="N982" i="5"/>
  <c r="N536" i="5"/>
  <c r="N292" i="5"/>
  <c r="N293" i="5"/>
  <c r="N56" i="5"/>
  <c r="N1608" i="5"/>
  <c r="N983" i="5"/>
  <c r="N1138" i="5"/>
  <c r="N175" i="5"/>
  <c r="N211" i="5"/>
  <c r="N1068" i="5"/>
  <c r="N984" i="5"/>
  <c r="N212" i="5"/>
  <c r="N213" i="5"/>
  <c r="N1069" i="5"/>
  <c r="N1443" i="5"/>
  <c r="N1444" i="5"/>
  <c r="N114" i="5"/>
  <c r="N1139" i="5"/>
  <c r="N1272" i="5"/>
  <c r="N672" i="5"/>
  <c r="N1655" i="5"/>
  <c r="N1368" i="5"/>
  <c r="N1656" i="5"/>
  <c r="N2082" i="5"/>
  <c r="N141" i="5"/>
  <c r="N1273" i="5"/>
  <c r="N214" i="5"/>
  <c r="N377" i="5"/>
  <c r="N597" i="5"/>
  <c r="N1856" i="5"/>
  <c r="N598" i="5"/>
  <c r="N1369" i="5"/>
  <c r="N336" i="5"/>
  <c r="N85" i="5"/>
  <c r="N86" i="5"/>
  <c r="N537" i="5"/>
  <c r="N538" i="5"/>
  <c r="N337" i="5"/>
  <c r="N1657" i="5"/>
  <c r="N378" i="5"/>
  <c r="N2041" i="5"/>
  <c r="N539" i="5"/>
  <c r="N835" i="5"/>
  <c r="N294" i="5"/>
  <c r="N295" i="5"/>
  <c r="N1318" i="5"/>
  <c r="N2179" i="5"/>
  <c r="N296" i="5"/>
  <c r="N2042" i="5"/>
  <c r="N2112" i="5"/>
  <c r="N1609" i="5"/>
  <c r="N1610" i="5"/>
  <c r="N1140" i="5"/>
  <c r="N1761" i="5"/>
  <c r="N176" i="5"/>
  <c r="N418" i="5"/>
  <c r="N1319" i="5"/>
  <c r="N115" i="5"/>
  <c r="N461" i="5"/>
  <c r="N599" i="5"/>
  <c r="N902" i="5"/>
  <c r="N379" i="5"/>
  <c r="N540" i="5"/>
  <c r="N338" i="5"/>
  <c r="N765" i="5"/>
  <c r="N2180" i="5"/>
  <c r="N2083" i="5"/>
  <c r="N1956" i="5"/>
  <c r="N251" i="5"/>
  <c r="N462" i="5"/>
  <c r="N1141" i="5"/>
  <c r="N1578" i="5"/>
  <c r="N1611" i="5"/>
  <c r="N985" i="5"/>
  <c r="N2113" i="5"/>
  <c r="N903" i="5"/>
  <c r="N177" i="5"/>
  <c r="N904" i="5"/>
  <c r="N1612" i="5"/>
  <c r="N297" i="5"/>
  <c r="N298" i="5"/>
  <c r="N1274" i="5"/>
  <c r="N1370" i="5"/>
  <c r="N2084" i="5"/>
  <c r="N1070" i="5"/>
  <c r="N673" i="5"/>
  <c r="N674" i="5"/>
  <c r="N1707" i="5"/>
  <c r="N1216" i="5"/>
  <c r="N380" i="5"/>
  <c r="N45" i="5"/>
  <c r="N1071" i="5"/>
  <c r="N178" i="5"/>
  <c r="N986" i="5"/>
  <c r="N836" i="5"/>
  <c r="N252" i="5"/>
  <c r="N1320" i="5"/>
  <c r="N179" i="5"/>
  <c r="N2144" i="5"/>
  <c r="N1762" i="5"/>
  <c r="N1763" i="5"/>
  <c r="N541" i="5"/>
  <c r="N675" i="5"/>
  <c r="N1217" i="5"/>
  <c r="N987" i="5"/>
  <c r="N905" i="5"/>
  <c r="N542" i="5"/>
  <c r="N1857" i="5"/>
  <c r="N57" i="5"/>
  <c r="N1800" i="5"/>
  <c r="N1801" i="5"/>
  <c r="N837" i="5"/>
  <c r="N419" i="5"/>
  <c r="N1142" i="5"/>
  <c r="N1321" i="5"/>
  <c r="N543" i="5"/>
  <c r="N1072" i="5"/>
  <c r="N544" i="5"/>
  <c r="N1073" i="5"/>
  <c r="N253" i="5"/>
  <c r="N142" i="5"/>
  <c r="N838" i="5"/>
  <c r="N839" i="5"/>
  <c r="N87" i="5"/>
  <c r="N906" i="5"/>
  <c r="N2181" i="5"/>
  <c r="N600" i="5"/>
  <c r="N1218" i="5"/>
  <c r="N1219" i="5"/>
  <c r="N299" i="5"/>
  <c r="N180" i="5"/>
  <c r="N988" i="5"/>
  <c r="N676" i="5"/>
  <c r="N420" i="5"/>
  <c r="N116" i="5"/>
  <c r="N989" i="5"/>
  <c r="N545" i="5"/>
  <c r="N546" i="5"/>
  <c r="N990" i="5"/>
  <c r="N339" i="5"/>
  <c r="N58" i="5"/>
  <c r="N117" i="5"/>
  <c r="N907" i="5"/>
  <c r="N463" i="5"/>
  <c r="N464" i="5"/>
  <c r="N254" i="5"/>
  <c r="N381" i="5"/>
  <c r="N991" i="5"/>
  <c r="N465" i="5"/>
  <c r="N340" i="5"/>
  <c r="N382" i="5"/>
  <c r="N59" i="5"/>
  <c r="N1708" i="5"/>
  <c r="N1143" i="5"/>
  <c r="N1144" i="5"/>
  <c r="N300" i="5"/>
  <c r="N677" i="5"/>
  <c r="N255" i="5"/>
  <c r="N766" i="5"/>
  <c r="N1220" i="5"/>
  <c r="N143" i="5"/>
  <c r="N601" i="5"/>
  <c r="N1275" i="5"/>
  <c r="N466" i="5"/>
  <c r="N678" i="5"/>
  <c r="N341" i="5"/>
  <c r="N1145" i="5"/>
  <c r="N342" i="5"/>
  <c r="N908" i="5"/>
  <c r="N1802" i="5"/>
  <c r="N301" i="5"/>
  <c r="N1445" i="5"/>
  <c r="N1446" i="5"/>
  <c r="N181" i="5"/>
  <c r="N144" i="5"/>
  <c r="N118" i="5"/>
  <c r="N119" i="5"/>
  <c r="N1709" i="5"/>
  <c r="N1992" i="5"/>
  <c r="N1221" i="5"/>
  <c r="N256" i="5"/>
  <c r="N1146" i="5"/>
  <c r="N215" i="5"/>
  <c r="N1528" i="5"/>
  <c r="N1147" i="5"/>
  <c r="N383" i="5"/>
  <c r="N1074" i="5"/>
  <c r="N1075" i="5"/>
  <c r="N547" i="5"/>
  <c r="N548" i="5"/>
  <c r="N602" i="5"/>
  <c r="N909" i="5"/>
  <c r="N767" i="5"/>
  <c r="N1371" i="5"/>
  <c r="N1372" i="5"/>
  <c r="N1148" i="5"/>
  <c r="N1322" i="5"/>
  <c r="N1323" i="5"/>
  <c r="N1908" i="5"/>
  <c r="N182" i="5"/>
  <c r="N1957" i="5"/>
  <c r="N343" i="5"/>
  <c r="N145" i="5"/>
  <c r="N1529" i="5"/>
  <c r="N1530" i="5"/>
  <c r="N1222" i="5"/>
  <c r="N216" i="5"/>
  <c r="N1858" i="5"/>
  <c r="N768" i="5"/>
  <c r="N2085" i="5"/>
  <c r="N769" i="5"/>
  <c r="N302" i="5"/>
  <c r="N1658" i="5"/>
  <c r="N603" i="5"/>
  <c r="N1149" i="5"/>
  <c r="N992" i="5"/>
  <c r="N303" i="5"/>
  <c r="N1803" i="5"/>
  <c r="N1804" i="5"/>
  <c r="N183" i="5"/>
  <c r="N1223" i="5"/>
  <c r="N184" i="5"/>
  <c r="N185" i="5"/>
  <c r="N304" i="5"/>
  <c r="N679" i="5"/>
  <c r="N467" i="5"/>
  <c r="N88" i="5"/>
  <c r="N993" i="5"/>
  <c r="N217" i="5"/>
  <c r="N549" i="5"/>
  <c r="N840" i="5"/>
  <c r="N146" i="5"/>
  <c r="N344" i="5"/>
  <c r="N680" i="5"/>
  <c r="N604" i="5"/>
  <c r="N910" i="5"/>
  <c r="N1150" i="5"/>
  <c r="N1151" i="5"/>
  <c r="N218" i="5"/>
  <c r="N120" i="5"/>
  <c r="N186" i="5"/>
  <c r="N911" i="5"/>
  <c r="N187" i="5"/>
  <c r="N188" i="5"/>
  <c r="N468" i="5"/>
  <c r="N46" i="5"/>
  <c r="N681" i="5"/>
  <c r="N682" i="5"/>
  <c r="N841" i="5"/>
  <c r="N842" i="5"/>
  <c r="N219" i="5"/>
  <c r="N220" i="5"/>
  <c r="N770" i="5"/>
  <c r="N1659" i="5"/>
  <c r="N1152" i="5"/>
  <c r="N1276" i="5"/>
  <c r="N1277" i="5"/>
  <c r="N221" i="5"/>
  <c r="N189" i="5"/>
  <c r="N345" i="5"/>
  <c r="N384" i="5"/>
  <c r="N385" i="5"/>
  <c r="N843" i="5"/>
  <c r="N1278" i="5"/>
  <c r="N421" i="5"/>
  <c r="N257" i="5"/>
  <c r="N912" i="5"/>
  <c r="N60" i="5"/>
  <c r="N61" i="5"/>
  <c r="N62" i="5"/>
  <c r="N258" i="5"/>
  <c r="N1076" i="5"/>
  <c r="N29" i="5"/>
  <c r="N1487" i="5"/>
  <c r="N1488" i="5"/>
  <c r="N1710" i="5"/>
  <c r="N1711" i="5"/>
  <c r="N1712" i="5"/>
  <c r="N1224" i="5"/>
  <c r="N346" i="5"/>
  <c r="N844" i="5"/>
  <c r="N89" i="5"/>
  <c r="N63" i="5"/>
  <c r="N147" i="5"/>
  <c r="N64" i="5"/>
  <c r="N222" i="5"/>
  <c r="N2198" i="5"/>
  <c r="N469" i="5"/>
  <c r="N683" i="5"/>
  <c r="N90" i="5"/>
  <c r="N771" i="5"/>
  <c r="N550" i="5"/>
  <c r="N148" i="5"/>
  <c r="N30" i="5"/>
  <c r="N684" i="5"/>
  <c r="N1660" i="5"/>
  <c r="N1661" i="5"/>
  <c r="N551" i="5"/>
  <c r="N772" i="5"/>
  <c r="N685" i="5"/>
  <c r="N1613" i="5"/>
  <c r="N2114" i="5"/>
  <c r="N470" i="5"/>
  <c r="N1077" i="5"/>
  <c r="N223" i="5"/>
  <c r="N552" i="5"/>
  <c r="N259" i="5"/>
  <c r="N260" i="5"/>
  <c r="N121" i="5"/>
  <c r="N65" i="5"/>
  <c r="N471" i="5"/>
  <c r="N422" i="5"/>
  <c r="N472" i="5"/>
  <c r="N1859" i="5"/>
  <c r="N122" i="5"/>
  <c r="N261" i="5"/>
  <c r="N1153" i="5"/>
  <c r="N1154" i="5"/>
  <c r="N473" i="5"/>
  <c r="N474" i="5"/>
  <c r="N31" i="5"/>
  <c r="N423" i="5"/>
  <c r="N1764" i="5"/>
  <c r="N149" i="5"/>
  <c r="N2086" i="5"/>
  <c r="N1531" i="5"/>
  <c r="N190" i="5"/>
  <c r="N686" i="5"/>
  <c r="N262" i="5"/>
  <c r="N1860" i="5"/>
  <c r="N424" i="5"/>
  <c r="N5" i="5"/>
  <c r="N994" i="5"/>
  <c r="N1225" i="5"/>
  <c r="N123" i="5"/>
  <c r="N1662" i="5"/>
  <c r="N687" i="5"/>
  <c r="N475" i="5"/>
  <c r="N1155" i="5"/>
  <c r="N2043" i="5"/>
  <c r="N688" i="5"/>
  <c r="N553" i="5"/>
  <c r="N773" i="5"/>
  <c r="N263" i="5"/>
  <c r="N91" i="5"/>
  <c r="N92" i="5"/>
  <c r="N93" i="5"/>
  <c r="N1078" i="5"/>
  <c r="N913" i="5"/>
  <c r="N689" i="5"/>
  <c r="N94" i="5"/>
  <c r="N191" i="5"/>
  <c r="N2044" i="5"/>
  <c r="N47" i="5"/>
  <c r="N914" i="5"/>
  <c r="N774" i="5"/>
  <c r="N690" i="5"/>
  <c r="N691" i="5"/>
  <c r="N554" i="5"/>
  <c r="N476" i="5"/>
  <c r="N477" i="5"/>
  <c r="N224" i="5"/>
  <c r="N192" i="5"/>
  <c r="N150" i="5"/>
  <c r="N32" i="5"/>
  <c r="N6" i="5"/>
  <c r="N1373" i="5"/>
  <c r="N1805" i="5"/>
  <c r="N347" i="5"/>
  <c r="N2115" i="5"/>
  <c r="N692" i="5"/>
  <c r="N1447" i="5"/>
  <c r="N1226" i="5"/>
  <c r="N1532" i="5"/>
  <c r="N915" i="5"/>
  <c r="N478" i="5"/>
  <c r="N1079" i="5"/>
  <c r="M2199" i="5"/>
  <c r="M1080" i="5"/>
  <c r="M775" i="5"/>
  <c r="M555" i="5"/>
  <c r="M264" i="5"/>
  <c r="M1614" i="5"/>
  <c r="M1615" i="5"/>
  <c r="M556" i="5"/>
  <c r="M48" i="5"/>
  <c r="M386" i="5"/>
  <c r="M12" i="5"/>
  <c r="M124" i="5"/>
  <c r="M1157" i="5"/>
  <c r="M2045" i="5"/>
  <c r="M1713" i="5"/>
  <c r="M1958" i="5"/>
  <c r="M1959" i="5"/>
  <c r="M1081" i="5"/>
  <c r="M1909" i="5"/>
  <c r="M2220" i="5"/>
  <c r="M845" i="5"/>
  <c r="M151" i="5"/>
  <c r="M20" i="5"/>
  <c r="M1616" i="5"/>
  <c r="M193" i="5"/>
  <c r="M265" i="5"/>
  <c r="M2145" i="5"/>
  <c r="M693" i="5"/>
  <c r="M152" i="5"/>
  <c r="M2166" i="5"/>
  <c r="M995" i="5"/>
  <c r="M1806" i="5"/>
  <c r="M49" i="5"/>
  <c r="M348" i="5"/>
  <c r="M1910" i="5"/>
  <c r="M2146" i="5"/>
  <c r="M1082" i="5"/>
  <c r="M266" i="5"/>
  <c r="M33" i="5"/>
  <c r="M34" i="5"/>
  <c r="M1807" i="5"/>
  <c r="M425" i="5"/>
  <c r="M35" i="5"/>
  <c r="M95" i="5"/>
  <c r="M1808" i="5"/>
  <c r="M225" i="5"/>
  <c r="M36" i="5"/>
  <c r="M846" i="5"/>
  <c r="M267" i="5"/>
  <c r="M1324" i="5"/>
  <c r="M1663" i="5"/>
  <c r="M1617" i="5"/>
  <c r="M66" i="5"/>
  <c r="M1579" i="5"/>
  <c r="M349" i="5"/>
  <c r="M426" i="5"/>
  <c r="M479" i="5"/>
  <c r="M1664" i="5"/>
  <c r="M1665" i="5"/>
  <c r="M96" i="5"/>
  <c r="M1618" i="5"/>
  <c r="M1666" i="5"/>
  <c r="M268" i="5"/>
  <c r="M350" i="5"/>
  <c r="M21" i="5"/>
  <c r="M996" i="5"/>
  <c r="M916" i="5"/>
  <c r="M917" i="5"/>
  <c r="M694" i="5"/>
  <c r="M1911" i="5"/>
  <c r="M2046" i="5"/>
  <c r="M269" i="5"/>
  <c r="M1580" i="5"/>
  <c r="M1809" i="5"/>
  <c r="M1325" i="5"/>
  <c r="M1534" i="5"/>
  <c r="M37" i="5"/>
  <c r="M847" i="5"/>
  <c r="M480" i="5"/>
  <c r="M67" i="5"/>
  <c r="M1535" i="5"/>
  <c r="M1536" i="5"/>
  <c r="M427" i="5"/>
  <c r="M1912" i="5"/>
  <c r="M1448" i="5"/>
  <c r="M605" i="5"/>
  <c r="M1714" i="5"/>
  <c r="M1993" i="5"/>
  <c r="M557" i="5"/>
  <c r="M1960" i="5"/>
  <c r="M918" i="5"/>
  <c r="M919" i="5"/>
  <c r="M1581" i="5"/>
  <c r="M1083" i="5"/>
  <c r="M1374" i="5"/>
  <c r="M1375" i="5"/>
  <c r="M1994" i="5"/>
  <c r="M1715" i="5"/>
  <c r="M97" i="5"/>
  <c r="M98" i="5"/>
  <c r="M695" i="5"/>
  <c r="M305" i="5"/>
  <c r="M306" i="5"/>
  <c r="M1810" i="5"/>
  <c r="M848" i="5"/>
  <c r="M776" i="5"/>
  <c r="M1995" i="5"/>
  <c r="M1996" i="5"/>
  <c r="M1997" i="5"/>
  <c r="M2147" i="5"/>
  <c r="M696" i="5"/>
  <c r="M697" i="5"/>
  <c r="M2148" i="5"/>
  <c r="M1537" i="5"/>
  <c r="M1227" i="5"/>
  <c r="M22" i="5"/>
  <c r="M153" i="5"/>
  <c r="M920" i="5"/>
  <c r="M1084" i="5"/>
  <c r="M7" i="5"/>
  <c r="M1619" i="5"/>
  <c r="M921" i="5"/>
  <c r="M777" i="5"/>
  <c r="M154" i="5"/>
  <c r="M1376" i="5"/>
  <c r="M2182" i="5"/>
  <c r="M2183" i="5"/>
  <c r="M226" i="5"/>
  <c r="M2207" i="5"/>
  <c r="M2184" i="5"/>
  <c r="M1998" i="5"/>
  <c r="M778" i="5"/>
  <c r="M558" i="5"/>
  <c r="M1667" i="5"/>
  <c r="M1538" i="5"/>
  <c r="M1620" i="5"/>
  <c r="M387" i="5"/>
  <c r="M2087" i="5"/>
  <c r="M1326" i="5"/>
  <c r="M1861" i="5"/>
  <c r="M1765" i="5"/>
  <c r="M1766" i="5"/>
  <c r="M155" i="5"/>
  <c r="M1582" i="5"/>
  <c r="M559" i="5"/>
  <c r="M1449" i="5"/>
  <c r="M481" i="5"/>
  <c r="M1539" i="5"/>
  <c r="M1085" i="5"/>
  <c r="M2149" i="5"/>
  <c r="M2150" i="5"/>
  <c r="M270" i="5"/>
  <c r="M1767" i="5"/>
  <c r="M1583" i="5"/>
  <c r="M1540" i="5"/>
  <c r="M606" i="5"/>
  <c r="M1621" i="5"/>
  <c r="M1999" i="5"/>
  <c r="M388" i="5"/>
  <c r="M389" i="5"/>
  <c r="M2116" i="5"/>
  <c r="M271" i="5"/>
  <c r="M1158" i="5"/>
  <c r="M2167" i="5"/>
  <c r="M1279" i="5"/>
  <c r="M125" i="5"/>
  <c r="M126" i="5"/>
  <c r="M1716" i="5"/>
  <c r="M1489" i="5"/>
  <c r="M1450" i="5"/>
  <c r="M68" i="5"/>
  <c r="M69" i="5"/>
  <c r="M1086" i="5"/>
  <c r="M698" i="5"/>
  <c r="M1377" i="5"/>
  <c r="M1378" i="5"/>
  <c r="M2168" i="5"/>
  <c r="M1717" i="5"/>
  <c r="M1668" i="5"/>
  <c r="M1159" i="5"/>
  <c r="M1584" i="5"/>
  <c r="M156" i="5"/>
  <c r="M2047" i="5"/>
  <c r="M1961" i="5"/>
  <c r="M2088" i="5"/>
  <c r="M1718" i="5"/>
  <c r="M1490" i="5"/>
  <c r="M13" i="5"/>
  <c r="M8" i="5"/>
  <c r="M2208" i="5"/>
  <c r="M997" i="5"/>
  <c r="M998" i="5"/>
  <c r="M699" i="5"/>
  <c r="M1327" i="5"/>
  <c r="M1862" i="5"/>
  <c r="M2117" i="5"/>
  <c r="M1087" i="5"/>
  <c r="M1863" i="5"/>
  <c r="M2209" i="5"/>
  <c r="M700" i="5"/>
  <c r="M157" i="5"/>
  <c r="M922" i="5"/>
  <c r="M923" i="5"/>
  <c r="M14" i="5"/>
  <c r="M1491" i="5"/>
  <c r="M1492" i="5"/>
  <c r="M1913" i="5"/>
  <c r="M390" i="5"/>
  <c r="M1328" i="5"/>
  <c r="M607" i="5"/>
  <c r="M924" i="5"/>
  <c r="M307" i="5"/>
  <c r="M1914" i="5"/>
  <c r="M1669" i="5"/>
  <c r="M1719" i="5"/>
  <c r="M1864" i="5"/>
  <c r="M1720" i="5"/>
  <c r="M1160" i="5"/>
  <c r="M608" i="5"/>
  <c r="M779" i="5"/>
  <c r="M227" i="5"/>
  <c r="M849" i="5"/>
  <c r="M850" i="5"/>
  <c r="M1622" i="5"/>
  <c r="M158" i="5"/>
  <c r="M1811" i="5"/>
  <c r="M1088" i="5"/>
  <c r="M1585" i="5"/>
  <c r="M15" i="5"/>
  <c r="M701" i="5"/>
  <c r="M702" i="5"/>
  <c r="M1280" i="5"/>
  <c r="M1281" i="5"/>
  <c r="M1451" i="5"/>
  <c r="M1721" i="5"/>
  <c r="M2048" i="5"/>
  <c r="M999" i="5"/>
  <c r="M851" i="5"/>
  <c r="M1452" i="5"/>
  <c r="M391" i="5"/>
  <c r="M560" i="5"/>
  <c r="M272" i="5"/>
  <c r="M1000" i="5"/>
  <c r="M1768" i="5"/>
  <c r="M1089" i="5"/>
  <c r="M2185" i="5"/>
  <c r="M1769" i="5"/>
  <c r="M2049" i="5"/>
  <c r="M2050" i="5"/>
  <c r="M1623" i="5"/>
  <c r="M2151" i="5"/>
  <c r="M1329" i="5"/>
  <c r="M609" i="5"/>
  <c r="M159" i="5"/>
  <c r="M1670" i="5"/>
  <c r="M1722" i="5"/>
  <c r="M99" i="5"/>
  <c r="M780" i="5"/>
  <c r="M2169" i="5"/>
  <c r="M925" i="5"/>
  <c r="M1001" i="5"/>
  <c r="M1812" i="5"/>
  <c r="M926" i="5"/>
  <c r="M1915" i="5"/>
  <c r="M351" i="5"/>
  <c r="M1282" i="5"/>
  <c r="M1723" i="5"/>
  <c r="M70" i="5"/>
  <c r="M1283" i="5"/>
  <c r="M1284" i="5"/>
  <c r="M2170" i="5"/>
  <c r="M1090" i="5"/>
  <c r="M2000" i="5"/>
  <c r="M2214" i="5"/>
  <c r="M482" i="5"/>
  <c r="M428" i="5"/>
  <c r="M1671" i="5"/>
  <c r="M2171" i="5"/>
  <c r="M1493" i="5"/>
  <c r="M1228" i="5"/>
  <c r="M1813" i="5"/>
  <c r="M392" i="5"/>
  <c r="M1379" i="5"/>
  <c r="M429" i="5"/>
  <c r="M430" i="5"/>
  <c r="M1770" i="5"/>
  <c r="M1494" i="5"/>
  <c r="M2152" i="5"/>
  <c r="M927" i="5"/>
  <c r="M1624" i="5"/>
  <c r="M2001" i="5"/>
  <c r="M1865" i="5"/>
  <c r="M2118" i="5"/>
  <c r="M1285" i="5"/>
  <c r="M2089" i="5"/>
  <c r="M1380" i="5"/>
  <c r="M1916" i="5"/>
  <c r="M1161" i="5"/>
  <c r="M273" i="5"/>
  <c r="M1541" i="5"/>
  <c r="M703" i="5"/>
  <c r="M1814" i="5"/>
  <c r="M704" i="5"/>
  <c r="M1091" i="5"/>
  <c r="M1002" i="5"/>
  <c r="M393" i="5"/>
  <c r="M1672" i="5"/>
  <c r="M928" i="5"/>
  <c r="M2153" i="5"/>
  <c r="M1542" i="5"/>
  <c r="M1543" i="5"/>
  <c r="M705" i="5"/>
  <c r="M1625" i="5"/>
  <c r="M1866" i="5"/>
  <c r="M1229" i="5"/>
  <c r="M2051" i="5"/>
  <c r="M2215" i="5"/>
  <c r="M610" i="5"/>
  <c r="M127" i="5"/>
  <c r="M308" i="5"/>
  <c r="M309" i="5"/>
  <c r="M352" i="5"/>
  <c r="M353" i="5"/>
  <c r="M1162" i="5"/>
  <c r="M1286" i="5"/>
  <c r="M781" i="5"/>
  <c r="M1230" i="5"/>
  <c r="M431" i="5"/>
  <c r="M432" i="5"/>
  <c r="M611" i="5"/>
  <c r="M483" i="5"/>
  <c r="M71" i="5"/>
  <c r="M1092" i="5"/>
  <c r="M1724" i="5"/>
  <c r="M561" i="5"/>
  <c r="M1917" i="5"/>
  <c r="M1771" i="5"/>
  <c r="M2002" i="5"/>
  <c r="M1381" i="5"/>
  <c r="M1867" i="5"/>
  <c r="M929" i="5"/>
  <c r="M1453" i="5"/>
  <c r="M1725" i="5"/>
  <c r="M2003" i="5"/>
  <c r="M2004" i="5"/>
  <c r="M23" i="5"/>
  <c r="M1544" i="5"/>
  <c r="M1673" i="5"/>
  <c r="M1962" i="5"/>
  <c r="M612" i="5"/>
  <c r="M562" i="5"/>
  <c r="M1163" i="5"/>
  <c r="M1586" i="5"/>
  <c r="M1587" i="5"/>
  <c r="M2119" i="5"/>
  <c r="M1093" i="5"/>
  <c r="M1382" i="5"/>
  <c r="M1868" i="5"/>
  <c r="M930" i="5"/>
  <c r="M1918" i="5"/>
  <c r="M1003" i="5"/>
  <c r="M2172" i="5"/>
  <c r="M16" i="5"/>
  <c r="M17" i="5"/>
  <c r="M1004" i="5"/>
  <c r="M1869" i="5"/>
  <c r="M1726" i="5"/>
  <c r="M50" i="5"/>
  <c r="M706" i="5"/>
  <c r="M707" i="5"/>
  <c r="M310" i="5"/>
  <c r="M613" i="5"/>
  <c r="M128" i="5"/>
  <c r="M852" i="5"/>
  <c r="M1963" i="5"/>
  <c r="M484" i="5"/>
  <c r="M1772" i="5"/>
  <c r="M2052" i="5"/>
  <c r="M1005" i="5"/>
  <c r="M51" i="5"/>
  <c r="M1383" i="5"/>
  <c r="M1231" i="5"/>
  <c r="M129" i="5"/>
  <c r="M311" i="5"/>
  <c r="M1164" i="5"/>
  <c r="M130" i="5"/>
  <c r="M228" i="5"/>
  <c r="M708" i="5"/>
  <c r="M1626" i="5"/>
  <c r="M2173" i="5"/>
  <c r="M2174" i="5"/>
  <c r="M1495" i="5"/>
  <c r="M1094" i="5"/>
  <c r="M1095" i="5"/>
  <c r="M1870" i="5"/>
  <c r="M1727" i="5"/>
  <c r="M194" i="5"/>
  <c r="M1545" i="5"/>
  <c r="M1165" i="5"/>
  <c r="M2120" i="5"/>
  <c r="M1871" i="5"/>
  <c r="M1872" i="5"/>
  <c r="M229" i="5"/>
  <c r="M1919" i="5"/>
  <c r="M931" i="5"/>
  <c r="M1166" i="5"/>
  <c r="M18" i="5"/>
  <c r="M614" i="5"/>
  <c r="M615" i="5"/>
  <c r="M2121" i="5"/>
  <c r="M2053" i="5"/>
  <c r="M1006" i="5"/>
  <c r="M2005" i="5"/>
  <c r="M1546" i="5"/>
  <c r="M1384" i="5"/>
  <c r="M485" i="5"/>
  <c r="M563" i="5"/>
  <c r="M782" i="5"/>
  <c r="M1920" i="5"/>
  <c r="M1921" i="5"/>
  <c r="M354" i="5"/>
  <c r="M433" i="5"/>
  <c r="M2122" i="5"/>
  <c r="M1547" i="5"/>
  <c r="M1007" i="5"/>
  <c r="M2054" i="5"/>
  <c r="M1728" i="5"/>
  <c r="M160" i="5"/>
  <c r="M161" i="5"/>
  <c r="M1815" i="5"/>
  <c r="M564" i="5"/>
  <c r="M312" i="5"/>
  <c r="M313" i="5"/>
  <c r="M486" i="5"/>
  <c r="M1008" i="5"/>
  <c r="M1009" i="5"/>
  <c r="M1674" i="5"/>
  <c r="M1729" i="5"/>
  <c r="M1548" i="5"/>
  <c r="M434" i="5"/>
  <c r="M1385" i="5"/>
  <c r="M2200" i="5"/>
  <c r="M1010" i="5"/>
  <c r="M1386" i="5"/>
  <c r="M783" i="5"/>
  <c r="M1549" i="5"/>
  <c r="M487" i="5"/>
  <c r="M1816" i="5"/>
  <c r="M1675" i="5"/>
  <c r="M1676" i="5"/>
  <c r="M1387" i="5"/>
  <c r="M616" i="5"/>
  <c r="M1677" i="5"/>
  <c r="M9" i="5"/>
  <c r="M853" i="5"/>
  <c r="M1773" i="5"/>
  <c r="M2055" i="5"/>
  <c r="M488" i="5"/>
  <c r="M1627" i="5"/>
  <c r="M195" i="5"/>
  <c r="M932" i="5"/>
  <c r="M1388" i="5"/>
  <c r="M1389" i="5"/>
  <c r="M617" i="5"/>
  <c r="M1011" i="5"/>
  <c r="M1287" i="5"/>
  <c r="M394" i="5"/>
  <c r="M2056" i="5"/>
  <c r="M1232" i="5"/>
  <c r="M1330" i="5"/>
  <c r="M2154" i="5"/>
  <c r="M1288" i="5"/>
  <c r="M230" i="5"/>
  <c r="M1873" i="5"/>
  <c r="M1096" i="5"/>
  <c r="M196" i="5"/>
  <c r="M197" i="5"/>
  <c r="M1233" i="5"/>
  <c r="M2006" i="5"/>
  <c r="M19" i="5"/>
  <c r="M1964" i="5"/>
  <c r="M489" i="5"/>
  <c r="M1922" i="5"/>
  <c r="M618" i="5"/>
  <c r="M2201" i="5"/>
  <c r="M435" i="5"/>
  <c r="M2175" i="5"/>
  <c r="M709" i="5"/>
  <c r="M1331" i="5"/>
  <c r="M619" i="5"/>
  <c r="M620" i="5"/>
  <c r="M2123" i="5"/>
  <c r="M274" i="5"/>
  <c r="M933" i="5"/>
  <c r="M1167" i="5"/>
  <c r="M1390" i="5"/>
  <c r="M1923" i="5"/>
  <c r="M314" i="5"/>
  <c r="M315" i="5"/>
  <c r="M1391" i="5"/>
  <c r="M1454" i="5"/>
  <c r="M1012" i="5"/>
  <c r="M1168" i="5"/>
  <c r="M1392" i="5"/>
  <c r="M162" i="5"/>
  <c r="M2007" i="5"/>
  <c r="M1332" i="5"/>
  <c r="M2202" i="5"/>
  <c r="M784" i="5"/>
  <c r="M2057" i="5"/>
  <c r="M1234" i="5"/>
  <c r="M395" i="5"/>
  <c r="M1550" i="5"/>
  <c r="M3" i="5"/>
  <c r="M275" i="5"/>
  <c r="M396" i="5"/>
  <c r="M1169" i="5"/>
  <c r="M854" i="5"/>
  <c r="M565" i="5"/>
  <c r="M2124" i="5"/>
  <c r="M710" i="5"/>
  <c r="M1965" i="5"/>
  <c r="M1393" i="5"/>
  <c r="M1817" i="5"/>
  <c r="M934" i="5"/>
  <c r="M2008" i="5"/>
  <c r="M1394" i="5"/>
  <c r="M1395" i="5"/>
  <c r="M316" i="5"/>
  <c r="M317" i="5"/>
  <c r="M2125" i="5"/>
  <c r="M1730" i="5"/>
  <c r="M1097" i="5"/>
  <c r="M1098" i="5"/>
  <c r="M1333" i="5"/>
  <c r="M1099" i="5"/>
  <c r="M1678" i="5"/>
  <c r="M1289" i="5"/>
  <c r="M1170" i="5"/>
  <c r="M1171" i="5"/>
  <c r="M38" i="5"/>
  <c r="M39" i="5"/>
  <c r="M2186" i="5"/>
  <c r="M100" i="5"/>
  <c r="M101" i="5"/>
  <c r="M318" i="5"/>
  <c r="M102" i="5"/>
  <c r="M103" i="5"/>
  <c r="M1172" i="5"/>
  <c r="M2" i="5"/>
  <c r="M621" i="5"/>
  <c r="M785" i="5"/>
  <c r="M1455" i="5"/>
  <c r="M1731" i="5"/>
  <c r="M436" i="5"/>
  <c r="M1774" i="5"/>
  <c r="M1456" i="5"/>
  <c r="M40" i="5"/>
  <c r="M1496" i="5"/>
  <c r="M1497" i="5"/>
  <c r="M2176" i="5"/>
  <c r="M490" i="5"/>
  <c r="M2126" i="5"/>
  <c r="M2127" i="5"/>
  <c r="M711" i="5"/>
  <c r="M1679" i="5"/>
  <c r="M1628" i="5"/>
  <c r="M2058" i="5"/>
  <c r="M131" i="5"/>
  <c r="M104" i="5"/>
  <c r="M105" i="5"/>
  <c r="M1100" i="5"/>
  <c r="M397" i="5"/>
  <c r="M2177" i="5"/>
  <c r="M786" i="5"/>
  <c r="M787" i="5"/>
  <c r="M788" i="5"/>
  <c r="M2009" i="5"/>
  <c r="M855" i="5"/>
  <c r="M132" i="5"/>
  <c r="M1101" i="5"/>
  <c r="M1102" i="5"/>
  <c r="M2059" i="5"/>
  <c r="M1173" i="5"/>
  <c r="M1103" i="5"/>
  <c r="M4" i="5"/>
  <c r="M1290" i="5"/>
  <c r="M1334" i="5"/>
  <c r="M1732" i="5"/>
  <c r="M1874" i="5"/>
  <c r="M1818" i="5"/>
  <c r="M1966" i="5"/>
  <c r="M2060" i="5"/>
  <c r="M491" i="5"/>
  <c r="M1924" i="5"/>
  <c r="M72" i="5"/>
  <c r="M106" i="5"/>
  <c r="M1733" i="5"/>
  <c r="M2187" i="5"/>
  <c r="M2188" i="5"/>
  <c r="M1291" i="5"/>
  <c r="M1104" i="5"/>
  <c r="M1775" i="5"/>
  <c r="M319" i="5"/>
  <c r="M320" i="5"/>
  <c r="M712" i="5"/>
  <c r="M1776" i="5"/>
  <c r="M1174" i="5"/>
  <c r="M1551" i="5"/>
  <c r="M198" i="5"/>
  <c r="M1396" i="5"/>
  <c r="M1175" i="5"/>
  <c r="M622" i="5"/>
  <c r="M1875" i="5"/>
  <c r="M1588" i="5"/>
  <c r="M2155" i="5"/>
  <c r="M492" i="5"/>
  <c r="M493" i="5"/>
  <c r="M1819" i="5"/>
  <c r="M1498" i="5"/>
  <c r="M1013" i="5"/>
  <c r="M1397" i="5"/>
  <c r="M2189" i="5"/>
  <c r="M1777" i="5"/>
  <c r="M2178" i="5"/>
  <c r="M623" i="5"/>
  <c r="M1105" i="5"/>
  <c r="M2203" i="5"/>
  <c r="M494" i="5"/>
  <c r="M1335" i="5"/>
  <c r="M1014" i="5"/>
  <c r="M1292" i="5"/>
  <c r="M1876" i="5"/>
  <c r="M1176" i="5"/>
  <c r="M1398" i="5"/>
  <c r="M1106" i="5"/>
  <c r="M935" i="5"/>
  <c r="M1629" i="5"/>
  <c r="M936" i="5"/>
  <c r="M937" i="5"/>
  <c r="M624" i="5"/>
  <c r="M789" i="5"/>
  <c r="M1967" i="5"/>
  <c r="M1457" i="5"/>
  <c r="M1458" i="5"/>
  <c r="M1680" i="5"/>
  <c r="M1734" i="5"/>
  <c r="M1778" i="5"/>
  <c r="M1779" i="5"/>
  <c r="M1780" i="5"/>
  <c r="M790" i="5"/>
  <c r="M231" i="5"/>
  <c r="M791" i="5"/>
  <c r="M856" i="5"/>
  <c r="M1925" i="5"/>
  <c r="M1926" i="5"/>
  <c r="M1552" i="5"/>
  <c r="M857" i="5"/>
  <c r="M398" i="5"/>
  <c r="M2210" i="5"/>
  <c r="M1399" i="5"/>
  <c r="M1877" i="5"/>
  <c r="M1735" i="5"/>
  <c r="M1177" i="5"/>
  <c r="M321" i="5"/>
  <c r="M1736" i="5"/>
  <c r="M713" i="5"/>
  <c r="M625" i="5"/>
  <c r="M626" i="5"/>
  <c r="M1293" i="5"/>
  <c r="M2216" i="5"/>
  <c r="M1681" i="5"/>
  <c r="M1737" i="5"/>
  <c r="M2061" i="5"/>
  <c r="M627" i="5"/>
  <c r="M2090" i="5"/>
  <c r="M1820" i="5"/>
  <c r="M1821" i="5"/>
  <c r="M1781" i="5"/>
  <c r="M2010" i="5"/>
  <c r="M495" i="5"/>
  <c r="M1015" i="5"/>
  <c r="M1016" i="5"/>
  <c r="M1107" i="5"/>
  <c r="M1235" i="5"/>
  <c r="M1927" i="5"/>
  <c r="M52" i="5"/>
  <c r="M1968" i="5"/>
  <c r="M1928" i="5"/>
  <c r="M938" i="5"/>
  <c r="M73" i="5"/>
  <c r="M1108" i="5"/>
  <c r="M199" i="5"/>
  <c r="M1589" i="5"/>
  <c r="M1590" i="5"/>
  <c r="M1499" i="5"/>
  <c r="M1400" i="5"/>
  <c r="M1459" i="5"/>
  <c r="M1969" i="5"/>
  <c r="M1460" i="5"/>
  <c r="M1822" i="5"/>
  <c r="M2190" i="5"/>
  <c r="M2191" i="5"/>
  <c r="M2011" i="5"/>
  <c r="M792" i="5"/>
  <c r="M1461" i="5"/>
  <c r="M1236" i="5"/>
  <c r="M1823" i="5"/>
  <c r="M1824" i="5"/>
  <c r="M1553" i="5"/>
  <c r="M496" i="5"/>
  <c r="M1237" i="5"/>
  <c r="M1238" i="5"/>
  <c r="M1239" i="5"/>
  <c r="M1336" i="5"/>
  <c r="M1337" i="5"/>
  <c r="M437" i="5"/>
  <c r="M497" i="5"/>
  <c r="M498" i="5"/>
  <c r="M1109" i="5"/>
  <c r="M1929" i="5"/>
  <c r="M858" i="5"/>
  <c r="M1462" i="5"/>
  <c r="M1630" i="5"/>
  <c r="M1631" i="5"/>
  <c r="M1591" i="5"/>
  <c r="M1592" i="5"/>
  <c r="M2204" i="5"/>
  <c r="M1294" i="5"/>
  <c r="M322" i="5"/>
  <c r="M24" i="5"/>
  <c r="M793" i="5"/>
  <c r="M794" i="5"/>
  <c r="M2091" i="5"/>
  <c r="M1682" i="5"/>
  <c r="M2012" i="5"/>
  <c r="M399" i="5"/>
  <c r="M1295" i="5"/>
  <c r="M1878" i="5"/>
  <c r="M1879" i="5"/>
  <c r="M1463" i="5"/>
  <c r="M1178" i="5"/>
  <c r="M163" i="5"/>
  <c r="M1683" i="5"/>
  <c r="M2205" i="5"/>
  <c r="M2128" i="5"/>
  <c r="M2129" i="5"/>
  <c r="M1930" i="5"/>
  <c r="M1931" i="5"/>
  <c r="M1632" i="5"/>
  <c r="M1633" i="5"/>
  <c r="M1179" i="5"/>
  <c r="M1401" i="5"/>
  <c r="M939" i="5"/>
  <c r="M1402" i="5"/>
  <c r="M1932" i="5"/>
  <c r="M1933" i="5"/>
  <c r="M1554" i="5"/>
  <c r="M1970" i="5"/>
  <c r="M1880" i="5"/>
  <c r="M1296" i="5"/>
  <c r="M1825" i="5"/>
  <c r="M438" i="5"/>
  <c r="M1110" i="5"/>
  <c r="M1111" i="5"/>
  <c r="M1684" i="5"/>
  <c r="M2013" i="5"/>
  <c r="M2014" i="5"/>
  <c r="M940" i="5"/>
  <c r="M1634" i="5"/>
  <c r="M1782" i="5"/>
  <c r="M1180" i="5"/>
  <c r="M2192" i="5"/>
  <c r="M628" i="5"/>
  <c r="M1826" i="5"/>
  <c r="M941" i="5"/>
  <c r="M2015" i="5"/>
  <c r="M566" i="5"/>
  <c r="M1593" i="5"/>
  <c r="M795" i="5"/>
  <c r="M714" i="5"/>
  <c r="M1112" i="5"/>
  <c r="M1464" i="5"/>
  <c r="M439" i="5"/>
  <c r="M440" i="5"/>
  <c r="M2016" i="5"/>
  <c r="M1465" i="5"/>
  <c r="M1594" i="5"/>
  <c r="M133" i="5"/>
  <c r="M1113" i="5"/>
  <c r="M1240" i="5"/>
  <c r="M41" i="5"/>
  <c r="M1403" i="5"/>
  <c r="M1404" i="5"/>
  <c r="M2156" i="5"/>
  <c r="M715" i="5"/>
  <c r="M323" i="5"/>
  <c r="M499" i="5"/>
  <c r="M1738" i="5"/>
  <c r="M1241" i="5"/>
  <c r="M1338" i="5"/>
  <c r="M1339" i="5"/>
  <c r="M1881" i="5"/>
  <c r="M1971" i="5"/>
  <c r="M1685" i="5"/>
  <c r="M1297" i="5"/>
  <c r="M1114" i="5"/>
  <c r="M1686" i="5"/>
  <c r="M1739" i="5"/>
  <c r="M629" i="5"/>
  <c r="M400" i="5"/>
  <c r="M2017" i="5"/>
  <c r="M716" i="5"/>
  <c r="M2092" i="5"/>
  <c r="M1466" i="5"/>
  <c r="M1340" i="5"/>
  <c r="M441" i="5"/>
  <c r="M1827" i="5"/>
  <c r="M2062" i="5"/>
  <c r="M232" i="5"/>
  <c r="M717" i="5"/>
  <c r="M1467" i="5"/>
  <c r="M1017" i="5"/>
  <c r="M718" i="5"/>
  <c r="M1595" i="5"/>
  <c r="M1596" i="5"/>
  <c r="M1018" i="5"/>
  <c r="M1019" i="5"/>
  <c r="M630" i="5"/>
  <c r="M442" i="5"/>
  <c r="M443" i="5"/>
  <c r="M859" i="5"/>
  <c r="M1828" i="5"/>
  <c r="M860" i="5"/>
  <c r="M2157" i="5"/>
  <c r="M500" i="5"/>
  <c r="M1405" i="5"/>
  <c r="M444" i="5"/>
  <c r="M796" i="5"/>
  <c r="M1934" i="5"/>
  <c r="M631" i="5"/>
  <c r="M942" i="5"/>
  <c r="M1882" i="5"/>
  <c r="M1115" i="5"/>
  <c r="M943" i="5"/>
  <c r="M1883" i="5"/>
  <c r="M632" i="5"/>
  <c r="M1406" i="5"/>
  <c r="M1407" i="5"/>
  <c r="M944" i="5"/>
  <c r="M567" i="5"/>
  <c r="M1408" i="5"/>
  <c r="M945" i="5"/>
  <c r="M719" i="5"/>
  <c r="M2093" i="5"/>
  <c r="M1555" i="5"/>
  <c r="M2063" i="5"/>
  <c r="M2064" i="5"/>
  <c r="M2018" i="5"/>
  <c r="M1972" i="5"/>
  <c r="M1468" i="5"/>
  <c r="M2094" i="5"/>
  <c r="M2095" i="5"/>
  <c r="M1556" i="5"/>
  <c r="M1298" i="5"/>
  <c r="M1597" i="5"/>
  <c r="M1935" i="5"/>
  <c r="M1299" i="5"/>
  <c r="M74" i="5"/>
  <c r="M1687" i="5"/>
  <c r="M861" i="5"/>
  <c r="M1181" i="5"/>
  <c r="M1829" i="5"/>
  <c r="M1116" i="5"/>
  <c r="M1409" i="5"/>
  <c r="M355" i="5"/>
  <c r="M1830" i="5"/>
  <c r="M1557" i="5"/>
  <c r="M1558" i="5"/>
  <c r="M2130" i="5"/>
  <c r="M633" i="5"/>
  <c r="M324" i="5"/>
  <c r="M1242" i="5"/>
  <c r="M1243" i="5"/>
  <c r="M1469" i="5"/>
  <c r="M797" i="5"/>
  <c r="M1884" i="5"/>
  <c r="M1559" i="5"/>
  <c r="M1635" i="5"/>
  <c r="M1973" i="5"/>
  <c r="M1020" i="5"/>
  <c r="M720" i="5"/>
  <c r="M721" i="5"/>
  <c r="M1470" i="5"/>
  <c r="M356" i="5"/>
  <c r="M1885" i="5"/>
  <c r="M2065" i="5"/>
  <c r="M1783" i="5"/>
  <c r="M1831" i="5"/>
  <c r="M1688" i="5"/>
  <c r="M1182" i="5"/>
  <c r="M445" i="5"/>
  <c r="M1560" i="5"/>
  <c r="M1886" i="5"/>
  <c r="M1689" i="5"/>
  <c r="M568" i="5"/>
  <c r="M325" i="5"/>
  <c r="M1410" i="5"/>
  <c r="M862" i="5"/>
  <c r="M501" i="5"/>
  <c r="M1341" i="5"/>
  <c r="M1936" i="5"/>
  <c r="M1183" i="5"/>
  <c r="M1342" i="5"/>
  <c r="M1117" i="5"/>
  <c r="M446" i="5"/>
  <c r="M2066" i="5"/>
  <c r="M2217" i="5"/>
  <c r="M1021" i="5"/>
  <c r="M722" i="5"/>
  <c r="M1937" i="5"/>
  <c r="M447" i="5"/>
  <c r="M2067" i="5"/>
  <c r="M1500" i="5"/>
  <c r="M2019" i="5"/>
  <c r="M1411" i="5"/>
  <c r="M1343" i="5"/>
  <c r="M1300" i="5"/>
  <c r="M946" i="5"/>
  <c r="M502" i="5"/>
  <c r="M1244" i="5"/>
  <c r="M863" i="5"/>
  <c r="M134" i="5"/>
  <c r="M1598" i="5"/>
  <c r="M947" i="5"/>
  <c r="M1599" i="5"/>
  <c r="M2096" i="5"/>
  <c r="M723" i="5"/>
  <c r="M357" i="5"/>
  <c r="M1412" i="5"/>
  <c r="M1413" i="5"/>
  <c r="M634" i="5"/>
  <c r="M358" i="5"/>
  <c r="M1022" i="5"/>
  <c r="M1184" i="5"/>
  <c r="M1185" i="5"/>
  <c r="M448" i="5"/>
  <c r="M948" i="5"/>
  <c r="M798" i="5"/>
  <c r="M569" i="5"/>
  <c r="M1301" i="5"/>
  <c r="M724" i="5"/>
  <c r="M2097" i="5"/>
  <c r="M2098" i="5"/>
  <c r="M1245" i="5"/>
  <c r="M359" i="5"/>
  <c r="M360" i="5"/>
  <c r="M1302" i="5"/>
  <c r="M1501" i="5"/>
  <c r="M725" i="5"/>
  <c r="M1186" i="5"/>
  <c r="M2158" i="5"/>
  <c r="M1246" i="5"/>
  <c r="M1561" i="5"/>
  <c r="M1974" i="5"/>
  <c r="M1975" i="5"/>
  <c r="M1562" i="5"/>
  <c r="M1414" i="5"/>
  <c r="M2211" i="5"/>
  <c r="M1247" i="5"/>
  <c r="M2020" i="5"/>
  <c r="M726" i="5"/>
  <c r="M570" i="5"/>
  <c r="M727" i="5"/>
  <c r="M1471" i="5"/>
  <c r="M1563" i="5"/>
  <c r="M1976" i="5"/>
  <c r="M1344" i="5"/>
  <c r="M1023" i="5"/>
  <c r="M2212" i="5"/>
  <c r="M864" i="5"/>
  <c r="M503" i="5"/>
  <c r="M1887" i="5"/>
  <c r="M2099" i="5"/>
  <c r="M233" i="5"/>
  <c r="M635" i="5"/>
  <c r="M636" i="5"/>
  <c r="M571" i="5"/>
  <c r="M200" i="5"/>
  <c r="M1832" i="5"/>
  <c r="M1118" i="5"/>
  <c r="M1784" i="5"/>
  <c r="M949" i="5"/>
  <c r="M1415" i="5"/>
  <c r="M1833" i="5"/>
  <c r="M1024" i="5"/>
  <c r="M1187" i="5"/>
  <c r="M1188" i="5"/>
  <c r="M1119" i="5"/>
  <c r="M865" i="5"/>
  <c r="M1834" i="5"/>
  <c r="M1690" i="5"/>
  <c r="M1600" i="5"/>
  <c r="M504" i="5"/>
  <c r="M572" i="5"/>
  <c r="M573" i="5"/>
  <c r="M1189" i="5"/>
  <c r="M1691" i="5"/>
  <c r="M728" i="5"/>
  <c r="M1564" i="5"/>
  <c r="M1025" i="5"/>
  <c r="M1026" i="5"/>
  <c r="M1835" i="5"/>
  <c r="M2131" i="5"/>
  <c r="M2021" i="5"/>
  <c r="M866" i="5"/>
  <c r="M1601" i="5"/>
  <c r="M1836" i="5"/>
  <c r="M1837" i="5"/>
  <c r="M2100" i="5"/>
  <c r="M1502" i="5"/>
  <c r="M361" i="5"/>
  <c r="M2132" i="5"/>
  <c r="M1977" i="5"/>
  <c r="M1838" i="5"/>
  <c r="M1839" i="5"/>
  <c r="M1785" i="5"/>
  <c r="M574" i="5"/>
  <c r="M867" i="5"/>
  <c r="M449" i="5"/>
  <c r="M1345" i="5"/>
  <c r="M1636" i="5"/>
  <c r="M1303" i="5"/>
  <c r="M1190" i="5"/>
  <c r="M505" i="5"/>
  <c r="M1120" i="5"/>
  <c r="M1191" i="5"/>
  <c r="M1416" i="5"/>
  <c r="M868" i="5"/>
  <c r="M1503" i="5"/>
  <c r="M637" i="5"/>
  <c r="M201" i="5"/>
  <c r="M1740" i="5"/>
  <c r="M1741" i="5"/>
  <c r="M1888" i="5"/>
  <c r="M638" i="5"/>
  <c r="M1417" i="5"/>
  <c r="M2068" i="5"/>
  <c r="M950" i="5"/>
  <c r="M2022" i="5"/>
  <c r="M1978" i="5"/>
  <c r="M1979" i="5"/>
  <c r="M1692" i="5"/>
  <c r="M1504" i="5"/>
  <c r="M1192" i="5"/>
  <c r="M799" i="5"/>
  <c r="M639" i="5"/>
  <c r="M2069" i="5"/>
  <c r="M729" i="5"/>
  <c r="M1786" i="5"/>
  <c r="M1840" i="5"/>
  <c r="M640" i="5"/>
  <c r="M730" i="5"/>
  <c r="M1121" i="5"/>
  <c r="M506" i="5"/>
  <c r="M1693" i="5"/>
  <c r="M1938" i="5"/>
  <c r="M1742" i="5"/>
  <c r="M800" i="5"/>
  <c r="M1841" i="5"/>
  <c r="M1027" i="5"/>
  <c r="M1939" i="5"/>
  <c r="M1694" i="5"/>
  <c r="M1787" i="5"/>
  <c r="M869" i="5"/>
  <c r="M1889" i="5"/>
  <c r="M731" i="5"/>
  <c r="M732" i="5"/>
  <c r="M1565" i="5"/>
  <c r="M1304" i="5"/>
  <c r="M1028" i="5"/>
  <c r="M507" i="5"/>
  <c r="M1193" i="5"/>
  <c r="M234" i="5"/>
  <c r="M1695" i="5"/>
  <c r="M1505" i="5"/>
  <c r="M1506" i="5"/>
  <c r="M2101" i="5"/>
  <c r="M508" i="5"/>
  <c r="M641" i="5"/>
  <c r="M2102" i="5"/>
  <c r="M1418" i="5"/>
  <c r="M1305" i="5"/>
  <c r="M870" i="5"/>
  <c r="M1472" i="5"/>
  <c r="M733" i="5"/>
  <c r="M1743" i="5"/>
  <c r="M951" i="5"/>
  <c r="M401" i="5"/>
  <c r="M1419" i="5"/>
  <c r="M1637" i="5"/>
  <c r="M642" i="5"/>
  <c r="M2133" i="5"/>
  <c r="M135" i="5"/>
  <c r="M2023" i="5"/>
  <c r="M2134" i="5"/>
  <c r="M1744" i="5"/>
  <c r="M1306" i="5"/>
  <c r="M1745" i="5"/>
  <c r="M1980" i="5"/>
  <c r="M1420" i="5"/>
  <c r="M42" i="5"/>
  <c r="M643" i="5"/>
  <c r="M644" i="5"/>
  <c r="M2159" i="5"/>
  <c r="M1248" i="5"/>
  <c r="M509" i="5"/>
  <c r="M53" i="5"/>
  <c r="M1566" i="5"/>
  <c r="M871" i="5"/>
  <c r="M2221" i="5"/>
  <c r="M1890" i="5"/>
  <c r="M362" i="5"/>
  <c r="M1194" i="5"/>
  <c r="M2193" i="5"/>
  <c r="M2194" i="5"/>
  <c r="M1842" i="5"/>
  <c r="M1843" i="5"/>
  <c r="M1844" i="5"/>
  <c r="M1845" i="5"/>
  <c r="M2024" i="5"/>
  <c r="M1567" i="5"/>
  <c r="M1891" i="5"/>
  <c r="M1746" i="5"/>
  <c r="M1981" i="5"/>
  <c r="M1696" i="5"/>
  <c r="M2103" i="5"/>
  <c r="M1249" i="5"/>
  <c r="M1638" i="5"/>
  <c r="M1639" i="5"/>
  <c r="M1640" i="5"/>
  <c r="M1747" i="5"/>
  <c r="M1940" i="5"/>
  <c r="M1122" i="5"/>
  <c r="M1507" i="5"/>
  <c r="M1788" i="5"/>
  <c r="M1846" i="5"/>
  <c r="M575" i="5"/>
  <c r="M952" i="5"/>
  <c r="M2025" i="5"/>
  <c r="M326" i="5"/>
  <c r="M645" i="5"/>
  <c r="M402" i="5"/>
  <c r="M276" i="5"/>
  <c r="M277" i="5"/>
  <c r="M1568" i="5"/>
  <c r="M1789" i="5"/>
  <c r="M1250" i="5"/>
  <c r="M1941" i="5"/>
  <c r="M1508" i="5"/>
  <c r="M1748" i="5"/>
  <c r="M2135" i="5"/>
  <c r="M2136" i="5"/>
  <c r="M953" i="5"/>
  <c r="M43" i="5"/>
  <c r="M646" i="5"/>
  <c r="M647" i="5"/>
  <c r="M1602" i="5"/>
  <c r="M801" i="5"/>
  <c r="M1892" i="5"/>
  <c r="M2026" i="5"/>
  <c r="M1346" i="5"/>
  <c r="M1347" i="5"/>
  <c r="M1749" i="5"/>
  <c r="M648" i="5"/>
  <c r="M734" i="5"/>
  <c r="M1029" i="5"/>
  <c r="M954" i="5"/>
  <c r="M1509" i="5"/>
  <c r="M1893" i="5"/>
  <c r="M2027" i="5"/>
  <c r="M2070" i="5"/>
  <c r="M1030" i="5"/>
  <c r="M649" i="5"/>
  <c r="M802" i="5"/>
  <c r="M2137" i="5"/>
  <c r="M1641" i="5"/>
  <c r="M1031" i="5"/>
  <c r="M1473" i="5"/>
  <c r="M872" i="5"/>
  <c r="M2071" i="5"/>
  <c r="M1251" i="5"/>
  <c r="M2218" i="5"/>
  <c r="M2219" i="5"/>
  <c r="M1474" i="5"/>
  <c r="M1510" i="5"/>
  <c r="M1511" i="5"/>
  <c r="M1642" i="5"/>
  <c r="M1348" i="5"/>
  <c r="M1512" i="5"/>
  <c r="M1982" i="5"/>
  <c r="M25" i="5"/>
  <c r="M2104" i="5"/>
  <c r="M1195" i="5"/>
  <c r="M1894" i="5"/>
  <c r="M1513" i="5"/>
  <c r="M2105" i="5"/>
  <c r="M1983" i="5"/>
  <c r="M450" i="5"/>
  <c r="M873" i="5"/>
  <c r="M874" i="5"/>
  <c r="M875" i="5"/>
  <c r="M1603" i="5"/>
  <c r="M1196" i="5"/>
  <c r="M1847" i="5"/>
  <c r="M1750" i="5"/>
  <c r="M803" i="5"/>
  <c r="M735" i="5"/>
  <c r="M2138" i="5"/>
  <c r="M2106" i="5"/>
  <c r="M1421" i="5"/>
  <c r="M2028" i="5"/>
  <c r="M1643" i="5"/>
  <c r="M804" i="5"/>
  <c r="M403" i="5"/>
  <c r="M1644" i="5"/>
  <c r="M1307" i="5"/>
  <c r="M736" i="5"/>
  <c r="M1790" i="5"/>
  <c r="M1984" i="5"/>
  <c r="M451" i="5"/>
  <c r="M737" i="5"/>
  <c r="M2139" i="5"/>
  <c r="M1349" i="5"/>
  <c r="M1645" i="5"/>
  <c r="M2072" i="5"/>
  <c r="M2073" i="5"/>
  <c r="M1791" i="5"/>
  <c r="M1569" i="5"/>
  <c r="M2029" i="5"/>
  <c r="M1032" i="5"/>
  <c r="M1422" i="5"/>
  <c r="M650" i="5"/>
  <c r="M510" i="5"/>
  <c r="M1423" i="5"/>
  <c r="M1848" i="5"/>
  <c r="M1849" i="5"/>
  <c r="M576" i="5"/>
  <c r="M136" i="5"/>
  <c r="M1475" i="5"/>
  <c r="M1308" i="5"/>
  <c r="M1424" i="5"/>
  <c r="M1425" i="5"/>
  <c r="M876" i="5"/>
  <c r="M1197" i="5"/>
  <c r="M1646" i="5"/>
  <c r="M738" i="5"/>
  <c r="M1514" i="5"/>
  <c r="M1942" i="5"/>
  <c r="M1350" i="5"/>
  <c r="M1751" i="5"/>
  <c r="M2160" i="5"/>
  <c r="M2161" i="5"/>
  <c r="M2030" i="5"/>
  <c r="M1752" i="5"/>
  <c r="M1604" i="5"/>
  <c r="M1033" i="5"/>
  <c r="M955" i="5"/>
  <c r="M956" i="5"/>
  <c r="M1895" i="5"/>
  <c r="M511" i="5"/>
  <c r="M805" i="5"/>
  <c r="M1943" i="5"/>
  <c r="M957" i="5"/>
  <c r="M651" i="5"/>
  <c r="M1985" i="5"/>
  <c r="M739" i="5"/>
  <c r="M75" i="5"/>
  <c r="M652" i="5"/>
  <c r="M1570" i="5"/>
  <c r="M740" i="5"/>
  <c r="M741" i="5"/>
  <c r="M742" i="5"/>
  <c r="M1850" i="5"/>
  <c r="M877" i="5"/>
  <c r="M1851" i="5"/>
  <c r="M958" i="5"/>
  <c r="M653" i="5"/>
  <c r="M1896" i="5"/>
  <c r="M1897" i="5"/>
  <c r="M806" i="5"/>
  <c r="M1476" i="5"/>
  <c r="M1605" i="5"/>
  <c r="M164" i="5"/>
  <c r="M1477" i="5"/>
  <c r="M1351" i="5"/>
  <c r="M807" i="5"/>
  <c r="M404" i="5"/>
  <c r="M808" i="5"/>
  <c r="M1478" i="5"/>
  <c r="M1479" i="5"/>
  <c r="M1944" i="5"/>
  <c r="M1252" i="5"/>
  <c r="M1034" i="5"/>
  <c r="M2162" i="5"/>
  <c r="M2206" i="5"/>
  <c r="M743" i="5"/>
  <c r="M809" i="5"/>
  <c r="M107" i="5"/>
  <c r="M327" i="5"/>
  <c r="M1571" i="5"/>
  <c r="M1753" i="5"/>
  <c r="M1515" i="5"/>
  <c r="M1426" i="5"/>
  <c r="M1427" i="5"/>
  <c r="M2163" i="5"/>
  <c r="M810" i="5"/>
  <c r="M452" i="5"/>
  <c r="M2213" i="5"/>
  <c r="M811" i="5"/>
  <c r="M812" i="5"/>
  <c r="M405" i="5"/>
  <c r="M363" i="5"/>
  <c r="M1309" i="5"/>
  <c r="M1697" i="5"/>
  <c r="M1123" i="5"/>
  <c r="M1352" i="5"/>
  <c r="M1353" i="5"/>
  <c r="M2074" i="5"/>
  <c r="M1035" i="5"/>
  <c r="M1198" i="5"/>
  <c r="M1945" i="5"/>
  <c r="M1354" i="5"/>
  <c r="M1647" i="5"/>
  <c r="M1124" i="5"/>
  <c r="M959" i="5"/>
  <c r="M1036" i="5"/>
  <c r="M1428" i="5"/>
  <c r="M813" i="5"/>
  <c r="M1253" i="5"/>
  <c r="M1429" i="5"/>
  <c r="M512" i="5"/>
  <c r="M960" i="5"/>
  <c r="M202" i="5"/>
  <c r="M744" i="5"/>
  <c r="M1430" i="5"/>
  <c r="M1125" i="5"/>
  <c r="M2031" i="5"/>
  <c r="M1126" i="5"/>
  <c r="M1792" i="5"/>
  <c r="M2195" i="5"/>
  <c r="M1199" i="5"/>
  <c r="M878" i="5"/>
  <c r="M406" i="5"/>
  <c r="M407" i="5"/>
  <c r="M1037" i="5"/>
  <c r="M328" i="5"/>
  <c r="M1254" i="5"/>
  <c r="M513" i="5"/>
  <c r="M2032" i="5"/>
  <c r="M278" i="5"/>
  <c r="M1200" i="5"/>
  <c r="M1201" i="5"/>
  <c r="M1355" i="5"/>
  <c r="M408" i="5"/>
  <c r="M1356" i="5"/>
  <c r="M2033" i="5"/>
  <c r="M1357" i="5"/>
  <c r="M814" i="5"/>
  <c r="M1038" i="5"/>
  <c r="M961" i="5"/>
  <c r="M577" i="5"/>
  <c r="M2075" i="5"/>
  <c r="M1202" i="5"/>
  <c r="M1793" i="5"/>
  <c r="M745" i="5"/>
  <c r="M879" i="5"/>
  <c r="M1127" i="5"/>
  <c r="M815" i="5"/>
  <c r="M578" i="5"/>
  <c r="M2107" i="5"/>
  <c r="M1039" i="5"/>
  <c r="M1572" i="5"/>
  <c r="M1040" i="5"/>
  <c r="M1203" i="5"/>
  <c r="M1431" i="5"/>
  <c r="M235" i="5"/>
  <c r="M514" i="5"/>
  <c r="M44" i="5"/>
  <c r="M26" i="5"/>
  <c r="M1310" i="5"/>
  <c r="M962" i="5"/>
  <c r="M1946" i="5"/>
  <c r="M1898" i="5"/>
  <c r="M1899" i="5"/>
  <c r="M1255" i="5"/>
  <c r="M816" i="5"/>
  <c r="M515" i="5"/>
  <c r="M1480" i="5"/>
  <c r="M1481" i="5"/>
  <c r="M654" i="5"/>
  <c r="M880" i="5"/>
  <c r="M881" i="5"/>
  <c r="M1041" i="5"/>
  <c r="M364" i="5"/>
  <c r="M963" i="5"/>
  <c r="M76" i="5"/>
  <c r="M165" i="5"/>
  <c r="M166" i="5"/>
  <c r="M817" i="5"/>
  <c r="M1754" i="5"/>
  <c r="M1698" i="5"/>
  <c r="M1204" i="5"/>
  <c r="M1794" i="5"/>
  <c r="M236" i="5"/>
  <c r="M2164" i="5"/>
  <c r="M1205" i="5"/>
  <c r="M365" i="5"/>
  <c r="M746" i="5"/>
  <c r="M329" i="5"/>
  <c r="M1042" i="5"/>
  <c r="M366" i="5"/>
  <c r="M579" i="5"/>
  <c r="M580" i="5"/>
  <c r="M516" i="5"/>
  <c r="M137" i="5"/>
  <c r="M138" i="5"/>
  <c r="M517" i="5"/>
  <c r="M367" i="5"/>
  <c r="M108" i="5"/>
  <c r="M409" i="5"/>
  <c r="M1900" i="5"/>
  <c r="M1256" i="5"/>
  <c r="M1482" i="5"/>
  <c r="M747" i="5"/>
  <c r="M964" i="5"/>
  <c r="M1483" i="5"/>
  <c r="M518" i="5"/>
  <c r="M1484" i="5"/>
  <c r="M203" i="5"/>
  <c r="M1986" i="5"/>
  <c r="M581" i="5"/>
  <c r="M1795" i="5"/>
  <c r="M167" i="5"/>
  <c r="M1257" i="5"/>
  <c r="M1258" i="5"/>
  <c r="M1648" i="5"/>
  <c r="M519" i="5"/>
  <c r="M2108" i="5"/>
  <c r="M582" i="5"/>
  <c r="M1259" i="5"/>
  <c r="M330" i="5"/>
  <c r="M1206" i="5"/>
  <c r="M139" i="5"/>
  <c r="M520" i="5"/>
  <c r="M1516" i="5"/>
  <c r="M2034" i="5"/>
  <c r="M1043" i="5"/>
  <c r="M1485" i="5"/>
  <c r="M748" i="5"/>
  <c r="M655" i="5"/>
  <c r="M1432" i="5"/>
  <c r="M1796" i="5"/>
  <c r="M1260" i="5"/>
  <c r="M2076" i="5"/>
  <c r="M2077" i="5"/>
  <c r="M453" i="5"/>
  <c r="M1433" i="5"/>
  <c r="M1207" i="5"/>
  <c r="M1208" i="5"/>
  <c r="M1128" i="5"/>
  <c r="M1261" i="5"/>
  <c r="M331" i="5"/>
  <c r="M1987" i="5"/>
  <c r="M1797" i="5"/>
  <c r="M2035" i="5"/>
  <c r="M818" i="5"/>
  <c r="M965" i="5"/>
  <c r="M966" i="5"/>
  <c r="M1311" i="5"/>
  <c r="M583" i="5"/>
  <c r="M749" i="5"/>
  <c r="M368" i="5"/>
  <c r="M204" i="5"/>
  <c r="M237" i="5"/>
  <c r="M2036" i="5"/>
  <c r="M819" i="5"/>
  <c r="M820" i="5"/>
  <c r="M279" i="5"/>
  <c r="M280" i="5"/>
  <c r="M281" i="5"/>
  <c r="M1947" i="5"/>
  <c r="M1948" i="5"/>
  <c r="M1209" i="5"/>
  <c r="M1044" i="5"/>
  <c r="M584" i="5"/>
  <c r="M2078" i="5"/>
  <c r="M1045" i="5"/>
  <c r="M109" i="5"/>
  <c r="M1988" i="5"/>
  <c r="M238" i="5"/>
  <c r="M369" i="5"/>
  <c r="M332" i="5"/>
  <c r="M1573" i="5"/>
  <c r="M1517" i="5"/>
  <c r="M282" i="5"/>
  <c r="M882" i="5"/>
  <c r="M656" i="5"/>
  <c r="M1649" i="5"/>
  <c r="M821" i="5"/>
  <c r="M168" i="5"/>
  <c r="M283" i="5"/>
  <c r="M1949" i="5"/>
  <c r="M1950" i="5"/>
  <c r="M967" i="5"/>
  <c r="M883" i="5"/>
  <c r="M1901" i="5"/>
  <c r="M1902" i="5"/>
  <c r="M968" i="5"/>
  <c r="M110" i="5"/>
  <c r="M1129" i="5"/>
  <c r="M1699" i="5"/>
  <c r="M2140" i="5"/>
  <c r="M969" i="5"/>
  <c r="M1755" i="5"/>
  <c r="M1903" i="5"/>
  <c r="M521" i="5"/>
  <c r="M77" i="5"/>
  <c r="M239" i="5"/>
  <c r="M522" i="5"/>
  <c r="M1518" i="5"/>
  <c r="M1519" i="5"/>
  <c r="M523" i="5"/>
  <c r="M1046" i="5"/>
  <c r="M970" i="5"/>
  <c r="M971" i="5"/>
  <c r="M884" i="5"/>
  <c r="M524" i="5"/>
  <c r="M370" i="5"/>
  <c r="M333" i="5"/>
  <c r="M169" i="5"/>
  <c r="M1904" i="5"/>
  <c r="M1905" i="5"/>
  <c r="M1262" i="5"/>
  <c r="M525" i="5"/>
  <c r="M822" i="5"/>
  <c r="M1210" i="5"/>
  <c r="M1211" i="5"/>
  <c r="M78" i="5"/>
  <c r="M1700" i="5"/>
  <c r="M1263" i="5"/>
  <c r="M1047" i="5"/>
  <c r="M1650" i="5"/>
  <c r="M1130" i="5"/>
  <c r="M170" i="5"/>
  <c r="M1048" i="5"/>
  <c r="M1358" i="5"/>
  <c r="M240" i="5"/>
  <c r="M526" i="5"/>
  <c r="M1131" i="5"/>
  <c r="M2109" i="5"/>
  <c r="M885" i="5"/>
  <c r="M205" i="5"/>
  <c r="M1574" i="5"/>
  <c r="M972" i="5"/>
  <c r="M585" i="5"/>
  <c r="M2196" i="5"/>
  <c r="M2197" i="5"/>
  <c r="M973" i="5"/>
  <c r="M1359" i="5"/>
  <c r="M1360" i="5"/>
  <c r="M527" i="5"/>
  <c r="M528" i="5"/>
  <c r="M1989" i="5"/>
  <c r="M657" i="5"/>
  <c r="M658" i="5"/>
  <c r="M1798" i="5"/>
  <c r="M659" i="5"/>
  <c r="M410" i="5"/>
  <c r="M886" i="5"/>
  <c r="M887" i="5"/>
  <c r="M660" i="5"/>
  <c r="M750" i="5"/>
  <c r="M1756" i="5"/>
  <c r="M284" i="5"/>
  <c r="M751" i="5"/>
  <c r="M752" i="5"/>
  <c r="M1906" i="5"/>
  <c r="M241" i="5"/>
  <c r="M79" i="5"/>
  <c r="M1049" i="5"/>
  <c r="M1050" i="5"/>
  <c r="M823" i="5"/>
  <c r="M753" i="5"/>
  <c r="M1361" i="5"/>
  <c r="M1362" i="5"/>
  <c r="M1312" i="5"/>
  <c r="M334" i="5"/>
  <c r="M1264" i="5"/>
  <c r="M529" i="5"/>
  <c r="M371" i="5"/>
  <c r="M1990" i="5"/>
  <c r="M1313" i="5"/>
  <c r="M1951" i="5"/>
  <c r="M1907" i="5"/>
  <c r="M1434" i="5"/>
  <c r="M1799" i="5"/>
  <c r="M1952" i="5"/>
  <c r="M411" i="5"/>
  <c r="M285" i="5"/>
  <c r="M454" i="5"/>
  <c r="M1265" i="5"/>
  <c r="M1520" i="5"/>
  <c r="M1701" i="5"/>
  <c r="M1051" i="5"/>
  <c r="M754" i="5"/>
  <c r="M1953" i="5"/>
  <c r="M755" i="5"/>
  <c r="M530" i="5"/>
  <c r="M1606" i="5"/>
  <c r="M2141" i="5"/>
  <c r="M1435" i="5"/>
  <c r="M661" i="5"/>
  <c r="M662" i="5"/>
  <c r="M586" i="5"/>
  <c r="M286" i="5"/>
  <c r="M1052" i="5"/>
  <c r="M206" i="5"/>
  <c r="M372" i="5"/>
  <c r="M1132" i="5"/>
  <c r="M1954" i="5"/>
  <c r="M242" i="5"/>
  <c r="M287" i="5"/>
  <c r="M1266" i="5"/>
  <c r="M373" i="5"/>
  <c r="M974" i="5"/>
  <c r="M2142" i="5"/>
  <c r="M1212" i="5"/>
  <c r="M1267" i="5"/>
  <c r="M288" i="5"/>
  <c r="M888" i="5"/>
  <c r="M889" i="5"/>
  <c r="M890" i="5"/>
  <c r="M891" i="5"/>
  <c r="M756" i="5"/>
  <c r="M1436" i="5"/>
  <c r="M1437" i="5"/>
  <c r="M587" i="5"/>
  <c r="M1053" i="5"/>
  <c r="M54" i="5"/>
  <c r="M2037" i="5"/>
  <c r="M1702" i="5"/>
  <c r="M892" i="5"/>
  <c r="M893" i="5"/>
  <c r="M243" i="5"/>
  <c r="M1133" i="5"/>
  <c r="M975" i="5"/>
  <c r="M531" i="5"/>
  <c r="M374" i="5"/>
  <c r="M1314" i="5"/>
  <c r="M2143" i="5"/>
  <c r="M111" i="5"/>
  <c r="M1852" i="5"/>
  <c r="M1268" i="5"/>
  <c r="M1757" i="5"/>
  <c r="M244" i="5"/>
  <c r="M245" i="5"/>
  <c r="M1054" i="5"/>
  <c r="M1055" i="5"/>
  <c r="M757" i="5"/>
  <c r="M412" i="5"/>
  <c r="M894" i="5"/>
  <c r="M1853" i="5"/>
  <c r="M27" i="5"/>
  <c r="M28" i="5"/>
  <c r="M1269" i="5"/>
  <c r="M895" i="5"/>
  <c r="M2079" i="5"/>
  <c r="M10" i="5"/>
  <c r="M11" i="5"/>
  <c r="M246" i="5"/>
  <c r="M171" i="5"/>
  <c r="M1363" i="5"/>
  <c r="M1854" i="5"/>
  <c r="M1056" i="5"/>
  <c r="M1057" i="5"/>
  <c r="M824" i="5"/>
  <c r="M825" i="5"/>
  <c r="M1991" i="5"/>
  <c r="M976" i="5"/>
  <c r="M1703" i="5"/>
  <c r="M663" i="5"/>
  <c r="M588" i="5"/>
  <c r="M2165" i="5"/>
  <c r="M375" i="5"/>
  <c r="M826" i="5"/>
  <c r="M827" i="5"/>
  <c r="M55" i="5"/>
  <c r="M589" i="5"/>
  <c r="M1521" i="5"/>
  <c r="M455" i="5"/>
  <c r="M172" i="5"/>
  <c r="M1704" i="5"/>
  <c r="M1438" i="5"/>
  <c r="M1522" i="5"/>
  <c r="M758" i="5"/>
  <c r="M112" i="5"/>
  <c r="M113" i="5"/>
  <c r="M1058" i="5"/>
  <c r="M2038" i="5"/>
  <c r="M1270" i="5"/>
  <c r="M532" i="5"/>
  <c r="M2110" i="5"/>
  <c r="M2111" i="5"/>
  <c r="M80" i="5"/>
  <c r="M81" i="5"/>
  <c r="M1134" i="5"/>
  <c r="M759" i="5"/>
  <c r="M207" i="5"/>
  <c r="M1705" i="5"/>
  <c r="M1135" i="5"/>
  <c r="M1523" i="5"/>
  <c r="M977" i="5"/>
  <c r="M828" i="5"/>
  <c r="M1364" i="5"/>
  <c r="M1213" i="5"/>
  <c r="M289" i="5"/>
  <c r="M1365" i="5"/>
  <c r="M1524" i="5"/>
  <c r="M896" i="5"/>
  <c r="M456" i="5"/>
  <c r="M1439" i="5"/>
  <c r="M208" i="5"/>
  <c r="M2039" i="5"/>
  <c r="M1758" i="5"/>
  <c r="M1575" i="5"/>
  <c r="M2040" i="5"/>
  <c r="M1525" i="5"/>
  <c r="M1059" i="5"/>
  <c r="M1060" i="5"/>
  <c r="M1366" i="5"/>
  <c r="M760" i="5"/>
  <c r="M761" i="5"/>
  <c r="M173" i="5"/>
  <c r="M413" i="5"/>
  <c r="M762" i="5"/>
  <c r="M664" i="5"/>
  <c r="M590" i="5"/>
  <c r="M1440" i="5"/>
  <c r="M1706" i="5"/>
  <c r="M533" i="5"/>
  <c r="M534" i="5"/>
  <c r="M591" i="5"/>
  <c r="M1061" i="5"/>
  <c r="M1062" i="5"/>
  <c r="M1271" i="5"/>
  <c r="M174" i="5"/>
  <c r="M2080" i="5"/>
  <c r="M457" i="5"/>
  <c r="M1441" i="5"/>
  <c r="M897" i="5"/>
  <c r="M1526" i="5"/>
  <c r="M1607" i="5"/>
  <c r="M1315" i="5"/>
  <c r="M1316" i="5"/>
  <c r="M247" i="5"/>
  <c r="M335" i="5"/>
  <c r="M1136" i="5"/>
  <c r="M898" i="5"/>
  <c r="M829" i="5"/>
  <c r="M1651" i="5"/>
  <c r="M1759" i="5"/>
  <c r="M290" i="5"/>
  <c r="M1955" i="5"/>
  <c r="M1063" i="5"/>
  <c r="M82" i="5"/>
  <c r="M978" i="5"/>
  <c r="M1137" i="5"/>
  <c r="M592" i="5"/>
  <c r="M665" i="5"/>
  <c r="M414" i="5"/>
  <c r="M899" i="5"/>
  <c r="M291" i="5"/>
  <c r="M248" i="5"/>
  <c r="M1486" i="5"/>
  <c r="M1064" i="5"/>
  <c r="M535" i="5"/>
  <c r="M666" i="5"/>
  <c r="M458" i="5"/>
  <c r="M979" i="5"/>
  <c r="M830" i="5"/>
  <c r="M415" i="5"/>
  <c r="M1576" i="5"/>
  <c r="M1577" i="5"/>
  <c r="M1652" i="5"/>
  <c r="M1855" i="5"/>
  <c r="M249" i="5"/>
  <c r="M593" i="5"/>
  <c r="M594" i="5"/>
  <c r="M900" i="5"/>
  <c r="M901" i="5"/>
  <c r="M763" i="5"/>
  <c r="M209" i="5"/>
  <c r="M376" i="5"/>
  <c r="M459" i="5"/>
  <c r="M595" i="5"/>
  <c r="M667" i="5"/>
  <c r="M668" i="5"/>
  <c r="M1527" i="5"/>
  <c r="M831" i="5"/>
  <c r="M1367" i="5"/>
  <c r="M2081" i="5"/>
  <c r="M416" i="5"/>
  <c r="M1214" i="5"/>
  <c r="M764" i="5"/>
  <c r="M669" i="5"/>
  <c r="M1317" i="5"/>
  <c r="M417" i="5"/>
  <c r="M980" i="5"/>
  <c r="M832" i="5"/>
  <c r="M1442" i="5"/>
  <c r="M670" i="5"/>
  <c r="M671" i="5"/>
  <c r="M460" i="5"/>
  <c r="M1065" i="5"/>
  <c r="M1760" i="5"/>
  <c r="M1653" i="5"/>
  <c r="M1654" i="5"/>
  <c r="M250" i="5"/>
  <c r="M981" i="5"/>
  <c r="M1215" i="5"/>
  <c r="M140" i="5"/>
  <c r="M1066" i="5"/>
  <c r="M1067" i="5"/>
  <c r="M596" i="5"/>
  <c r="M833" i="5"/>
  <c r="M834" i="5"/>
  <c r="M210" i="5"/>
  <c r="M83" i="5"/>
  <c r="M84" i="5"/>
  <c r="M982" i="5"/>
  <c r="M536" i="5"/>
  <c r="M292" i="5"/>
  <c r="M293" i="5"/>
  <c r="M56" i="5"/>
  <c r="M1608" i="5"/>
  <c r="M983" i="5"/>
  <c r="M1138" i="5"/>
  <c r="M175" i="5"/>
  <c r="M211" i="5"/>
  <c r="M1068" i="5"/>
  <c r="M984" i="5"/>
  <c r="M212" i="5"/>
  <c r="M213" i="5"/>
  <c r="M1069" i="5"/>
  <c r="M1443" i="5"/>
  <c r="M1444" i="5"/>
  <c r="M114" i="5"/>
  <c r="M1139" i="5"/>
  <c r="M1272" i="5"/>
  <c r="M672" i="5"/>
  <c r="M1655" i="5"/>
  <c r="M1368" i="5"/>
  <c r="M1656" i="5"/>
  <c r="M2082" i="5"/>
  <c r="M141" i="5"/>
  <c r="M1273" i="5"/>
  <c r="M214" i="5"/>
  <c r="M377" i="5"/>
  <c r="M597" i="5"/>
  <c r="M1856" i="5"/>
  <c r="M598" i="5"/>
  <c r="M1369" i="5"/>
  <c r="M336" i="5"/>
  <c r="M85" i="5"/>
  <c r="M86" i="5"/>
  <c r="M537" i="5"/>
  <c r="M538" i="5"/>
  <c r="M337" i="5"/>
  <c r="M1657" i="5"/>
  <c r="M378" i="5"/>
  <c r="M2041" i="5"/>
  <c r="M539" i="5"/>
  <c r="M835" i="5"/>
  <c r="M294" i="5"/>
  <c r="M295" i="5"/>
  <c r="M1318" i="5"/>
  <c r="M2179" i="5"/>
  <c r="M296" i="5"/>
  <c r="M2042" i="5"/>
  <c r="M2112" i="5"/>
  <c r="M1609" i="5"/>
  <c r="M1610" i="5"/>
  <c r="M1140" i="5"/>
  <c r="M1761" i="5"/>
  <c r="M176" i="5"/>
  <c r="M418" i="5"/>
  <c r="M1319" i="5"/>
  <c r="M115" i="5"/>
  <c r="M461" i="5"/>
  <c r="M599" i="5"/>
  <c r="M902" i="5"/>
  <c r="M379" i="5"/>
  <c r="M540" i="5"/>
  <c r="M338" i="5"/>
  <c r="M765" i="5"/>
  <c r="M2180" i="5"/>
  <c r="M2083" i="5"/>
  <c r="M1956" i="5"/>
  <c r="M251" i="5"/>
  <c r="M462" i="5"/>
  <c r="M1141" i="5"/>
  <c r="M1578" i="5"/>
  <c r="M1611" i="5"/>
  <c r="M985" i="5"/>
  <c r="M2113" i="5"/>
  <c r="M903" i="5"/>
  <c r="M177" i="5"/>
  <c r="M904" i="5"/>
  <c r="M1612" i="5"/>
  <c r="M297" i="5"/>
  <c r="M298" i="5"/>
  <c r="M1274" i="5"/>
  <c r="M1370" i="5"/>
  <c r="M2084" i="5"/>
  <c r="M1070" i="5"/>
  <c r="M673" i="5"/>
  <c r="M674" i="5"/>
  <c r="M1707" i="5"/>
  <c r="M1216" i="5"/>
  <c r="M380" i="5"/>
  <c r="M45" i="5"/>
  <c r="M1071" i="5"/>
  <c r="M178" i="5"/>
  <c r="M986" i="5"/>
  <c r="M836" i="5"/>
  <c r="M252" i="5"/>
  <c r="M1320" i="5"/>
  <c r="M179" i="5"/>
  <c r="M2144" i="5"/>
  <c r="M1762" i="5"/>
  <c r="M1763" i="5"/>
  <c r="M541" i="5"/>
  <c r="M675" i="5"/>
  <c r="M1217" i="5"/>
  <c r="M987" i="5"/>
  <c r="M905" i="5"/>
  <c r="M542" i="5"/>
  <c r="M1857" i="5"/>
  <c r="M57" i="5"/>
  <c r="M1800" i="5"/>
  <c r="M1801" i="5"/>
  <c r="M837" i="5"/>
  <c r="M419" i="5"/>
  <c r="M1142" i="5"/>
  <c r="M1321" i="5"/>
  <c r="M543" i="5"/>
  <c r="M1072" i="5"/>
  <c r="M544" i="5"/>
  <c r="M1073" i="5"/>
  <c r="M253" i="5"/>
  <c r="M142" i="5"/>
  <c r="M838" i="5"/>
  <c r="M839" i="5"/>
  <c r="M87" i="5"/>
  <c r="M906" i="5"/>
  <c r="M2181" i="5"/>
  <c r="M600" i="5"/>
  <c r="M1218" i="5"/>
  <c r="M1219" i="5"/>
  <c r="M299" i="5"/>
  <c r="M180" i="5"/>
  <c r="M988" i="5"/>
  <c r="M676" i="5"/>
  <c r="M420" i="5"/>
  <c r="M116" i="5"/>
  <c r="M989" i="5"/>
  <c r="M545" i="5"/>
  <c r="M546" i="5"/>
  <c r="M990" i="5"/>
  <c r="M339" i="5"/>
  <c r="M58" i="5"/>
  <c r="M117" i="5"/>
  <c r="M907" i="5"/>
  <c r="M463" i="5"/>
  <c r="M464" i="5"/>
  <c r="M254" i="5"/>
  <c r="M381" i="5"/>
  <c r="M991" i="5"/>
  <c r="M465" i="5"/>
  <c r="M340" i="5"/>
  <c r="M382" i="5"/>
  <c r="M59" i="5"/>
  <c r="M1708" i="5"/>
  <c r="M1143" i="5"/>
  <c r="M1144" i="5"/>
  <c r="M300" i="5"/>
  <c r="M677" i="5"/>
  <c r="M255" i="5"/>
  <c r="M766" i="5"/>
  <c r="M1220" i="5"/>
  <c r="M143" i="5"/>
  <c r="M601" i="5"/>
  <c r="M1275" i="5"/>
  <c r="M466" i="5"/>
  <c r="M678" i="5"/>
  <c r="M341" i="5"/>
  <c r="M1145" i="5"/>
  <c r="M342" i="5"/>
  <c r="M908" i="5"/>
  <c r="M1802" i="5"/>
  <c r="M301" i="5"/>
  <c r="M1445" i="5"/>
  <c r="M1446" i="5"/>
  <c r="M181" i="5"/>
  <c r="M144" i="5"/>
  <c r="M118" i="5"/>
  <c r="M119" i="5"/>
  <c r="M1709" i="5"/>
  <c r="M1992" i="5"/>
  <c r="M1221" i="5"/>
  <c r="M256" i="5"/>
  <c r="M1146" i="5"/>
  <c r="M215" i="5"/>
  <c r="M1528" i="5"/>
  <c r="M1147" i="5"/>
  <c r="M383" i="5"/>
  <c r="M1074" i="5"/>
  <c r="M1075" i="5"/>
  <c r="M547" i="5"/>
  <c r="M548" i="5"/>
  <c r="M602" i="5"/>
  <c r="M909" i="5"/>
  <c r="M767" i="5"/>
  <c r="M1371" i="5"/>
  <c r="M1372" i="5"/>
  <c r="M1148" i="5"/>
  <c r="M1322" i="5"/>
  <c r="M1323" i="5"/>
  <c r="M1908" i="5"/>
  <c r="M182" i="5"/>
  <c r="M1957" i="5"/>
  <c r="M343" i="5"/>
  <c r="M145" i="5"/>
  <c r="M1529" i="5"/>
  <c r="M1530" i="5"/>
  <c r="M1222" i="5"/>
  <c r="M216" i="5"/>
  <c r="M1858" i="5"/>
  <c r="M768" i="5"/>
  <c r="M2085" i="5"/>
  <c r="M769" i="5"/>
  <c r="M302" i="5"/>
  <c r="M1658" i="5"/>
  <c r="M603" i="5"/>
  <c r="M1149" i="5"/>
  <c r="M992" i="5"/>
  <c r="M303" i="5"/>
  <c r="M1803" i="5"/>
  <c r="M1804" i="5"/>
  <c r="M183" i="5"/>
  <c r="M1223" i="5"/>
  <c r="M184" i="5"/>
  <c r="M185" i="5"/>
  <c r="M304" i="5"/>
  <c r="M679" i="5"/>
  <c r="M467" i="5"/>
  <c r="M88" i="5"/>
  <c r="M993" i="5"/>
  <c r="M217" i="5"/>
  <c r="M549" i="5"/>
  <c r="M840" i="5"/>
  <c r="M146" i="5"/>
  <c r="M344" i="5"/>
  <c r="M680" i="5"/>
  <c r="M604" i="5"/>
  <c r="M910" i="5"/>
  <c r="M1150" i="5"/>
  <c r="M1151" i="5"/>
  <c r="M218" i="5"/>
  <c r="M120" i="5"/>
  <c r="M186" i="5"/>
  <c r="M911" i="5"/>
  <c r="M187" i="5"/>
  <c r="M188" i="5"/>
  <c r="M468" i="5"/>
  <c r="M46" i="5"/>
  <c r="M681" i="5"/>
  <c r="M682" i="5"/>
  <c r="M841" i="5"/>
  <c r="M842" i="5"/>
  <c r="M219" i="5"/>
  <c r="M220" i="5"/>
  <c r="M770" i="5"/>
  <c r="M1659" i="5"/>
  <c r="M1152" i="5"/>
  <c r="M1276" i="5"/>
  <c r="M1277" i="5"/>
  <c r="M221" i="5"/>
  <c r="M189" i="5"/>
  <c r="M345" i="5"/>
  <c r="M384" i="5"/>
  <c r="M385" i="5"/>
  <c r="M843" i="5"/>
  <c r="M1278" i="5"/>
  <c r="M421" i="5"/>
  <c r="M257" i="5"/>
  <c r="M912" i="5"/>
  <c r="M60" i="5"/>
  <c r="M61" i="5"/>
  <c r="M62" i="5"/>
  <c r="M258" i="5"/>
  <c r="M1076" i="5"/>
  <c r="M29" i="5"/>
  <c r="M1487" i="5"/>
  <c r="M1488" i="5"/>
  <c r="M1710" i="5"/>
  <c r="M1711" i="5"/>
  <c r="M1712" i="5"/>
  <c r="M1224" i="5"/>
  <c r="M346" i="5"/>
  <c r="M844" i="5"/>
  <c r="M89" i="5"/>
  <c r="M63" i="5"/>
  <c r="M147" i="5"/>
  <c r="M64" i="5"/>
  <c r="M222" i="5"/>
  <c r="M2198" i="5"/>
  <c r="M469" i="5"/>
  <c r="M683" i="5"/>
  <c r="M90" i="5"/>
  <c r="M771" i="5"/>
  <c r="M550" i="5"/>
  <c r="M148" i="5"/>
  <c r="M30" i="5"/>
  <c r="M684" i="5"/>
  <c r="M1660" i="5"/>
  <c r="M1661" i="5"/>
  <c r="M551" i="5"/>
  <c r="M772" i="5"/>
  <c r="M685" i="5"/>
  <c r="M1613" i="5"/>
  <c r="M2114" i="5"/>
  <c r="M470" i="5"/>
  <c r="M1077" i="5"/>
  <c r="M223" i="5"/>
  <c r="M552" i="5"/>
  <c r="M259" i="5"/>
  <c r="M260" i="5"/>
  <c r="M121" i="5"/>
  <c r="M65" i="5"/>
  <c r="M471" i="5"/>
  <c r="M422" i="5"/>
  <c r="M472" i="5"/>
  <c r="M1859" i="5"/>
  <c r="M122" i="5"/>
  <c r="M261" i="5"/>
  <c r="M1153" i="5"/>
  <c r="M1154" i="5"/>
  <c r="M473" i="5"/>
  <c r="M474" i="5"/>
  <c r="M31" i="5"/>
  <c r="M423" i="5"/>
  <c r="M1764" i="5"/>
  <c r="M149" i="5"/>
  <c r="M2086" i="5"/>
  <c r="M1531" i="5"/>
  <c r="M190" i="5"/>
  <c r="M686" i="5"/>
  <c r="M262" i="5"/>
  <c r="M1860" i="5"/>
  <c r="M424" i="5"/>
  <c r="M5" i="5"/>
  <c r="M994" i="5"/>
  <c r="M1225" i="5"/>
  <c r="M123" i="5"/>
  <c r="M1662" i="5"/>
  <c r="M687" i="5"/>
  <c r="M475" i="5"/>
  <c r="M1155" i="5"/>
  <c r="M2043" i="5"/>
  <c r="M688" i="5"/>
  <c r="M553" i="5"/>
  <c r="M773" i="5"/>
  <c r="M263" i="5"/>
  <c r="M91" i="5"/>
  <c r="M92" i="5"/>
  <c r="M93" i="5"/>
  <c r="M1078" i="5"/>
  <c r="M913" i="5"/>
  <c r="M689" i="5"/>
  <c r="M94" i="5"/>
  <c r="M191" i="5"/>
  <c r="M2044" i="5"/>
  <c r="M47" i="5"/>
  <c r="M914" i="5"/>
  <c r="M774" i="5"/>
  <c r="M690" i="5"/>
  <c r="M691" i="5"/>
  <c r="M554" i="5"/>
  <c r="M476" i="5"/>
  <c r="M477" i="5"/>
  <c r="M224" i="5"/>
  <c r="M192" i="5"/>
  <c r="M150" i="5"/>
  <c r="M32" i="5"/>
  <c r="M6" i="5"/>
  <c r="M1373" i="5"/>
  <c r="M1805" i="5"/>
  <c r="M347" i="5"/>
  <c r="M2115" i="5"/>
  <c r="M692" i="5"/>
  <c r="M1447" i="5"/>
  <c r="M1226" i="5"/>
  <c r="M1532" i="5"/>
  <c r="M915" i="5"/>
  <c r="M478" i="5"/>
  <c r="M1079" i="5"/>
  <c r="L2199" i="5"/>
  <c r="L1080" i="5"/>
  <c r="L775" i="5"/>
  <c r="L555" i="5"/>
  <c r="L264" i="5"/>
  <c r="L1614" i="5"/>
  <c r="L1615" i="5"/>
  <c r="L556" i="5"/>
  <c r="L48" i="5"/>
  <c r="L386" i="5"/>
  <c r="L12" i="5"/>
  <c r="L124" i="5"/>
  <c r="L1157" i="5"/>
  <c r="L2045" i="5"/>
  <c r="L1713" i="5"/>
  <c r="L1958" i="5"/>
  <c r="L1959" i="5"/>
  <c r="L1081" i="5"/>
  <c r="L1909" i="5"/>
  <c r="L2220" i="5"/>
  <c r="L845" i="5"/>
  <c r="L151" i="5"/>
  <c r="L20" i="5"/>
  <c r="L1616" i="5"/>
  <c r="L193" i="5"/>
  <c r="L265" i="5"/>
  <c r="L2145" i="5"/>
  <c r="L693" i="5"/>
  <c r="L152" i="5"/>
  <c r="L2166" i="5"/>
  <c r="L995" i="5"/>
  <c r="L1806" i="5"/>
  <c r="L49" i="5"/>
  <c r="L348" i="5"/>
  <c r="L1910" i="5"/>
  <c r="L2146" i="5"/>
  <c r="L1082" i="5"/>
  <c r="L266" i="5"/>
  <c r="L33" i="5"/>
  <c r="L34" i="5"/>
  <c r="L1807" i="5"/>
  <c r="L425" i="5"/>
  <c r="L35" i="5"/>
  <c r="L95" i="5"/>
  <c r="L1808" i="5"/>
  <c r="L225" i="5"/>
  <c r="L36" i="5"/>
  <c r="L846" i="5"/>
  <c r="L267" i="5"/>
  <c r="L1324" i="5"/>
  <c r="L1663" i="5"/>
  <c r="L1617" i="5"/>
  <c r="L66" i="5"/>
  <c r="L1579" i="5"/>
  <c r="L349" i="5"/>
  <c r="L426" i="5"/>
  <c r="L479" i="5"/>
  <c r="L1664" i="5"/>
  <c r="L1665" i="5"/>
  <c r="L96" i="5"/>
  <c r="L1618" i="5"/>
  <c r="L1666" i="5"/>
  <c r="L268" i="5"/>
  <c r="L350" i="5"/>
  <c r="L21" i="5"/>
  <c r="L996" i="5"/>
  <c r="L916" i="5"/>
  <c r="L917" i="5"/>
  <c r="L694" i="5"/>
  <c r="L1911" i="5"/>
  <c r="L2046" i="5"/>
  <c r="L269" i="5"/>
  <c r="L1580" i="5"/>
  <c r="L1809" i="5"/>
  <c r="L1325" i="5"/>
  <c r="L1534" i="5"/>
  <c r="L37" i="5"/>
  <c r="L847" i="5"/>
  <c r="L480" i="5"/>
  <c r="L67" i="5"/>
  <c r="L1535" i="5"/>
  <c r="L1536" i="5"/>
  <c r="L427" i="5"/>
  <c r="L1912" i="5"/>
  <c r="L1448" i="5"/>
  <c r="L605" i="5"/>
  <c r="L1714" i="5"/>
  <c r="L1993" i="5"/>
  <c r="L557" i="5"/>
  <c r="L1960" i="5"/>
  <c r="L918" i="5"/>
  <c r="L919" i="5"/>
  <c r="L1581" i="5"/>
  <c r="L1083" i="5"/>
  <c r="L1374" i="5"/>
  <c r="L1375" i="5"/>
  <c r="L1994" i="5"/>
  <c r="L1715" i="5"/>
  <c r="L97" i="5"/>
  <c r="L98" i="5"/>
  <c r="L695" i="5"/>
  <c r="L305" i="5"/>
  <c r="L306" i="5"/>
  <c r="L1810" i="5"/>
  <c r="L848" i="5"/>
  <c r="L776" i="5"/>
  <c r="L1995" i="5"/>
  <c r="L1996" i="5"/>
  <c r="L1997" i="5"/>
  <c r="L2147" i="5"/>
  <c r="L696" i="5"/>
  <c r="L697" i="5"/>
  <c r="L2148" i="5"/>
  <c r="L1537" i="5"/>
  <c r="L1227" i="5"/>
  <c r="L22" i="5"/>
  <c r="L153" i="5"/>
  <c r="L920" i="5"/>
  <c r="L1084" i="5"/>
  <c r="L7" i="5"/>
  <c r="L1619" i="5"/>
  <c r="L921" i="5"/>
  <c r="L777" i="5"/>
  <c r="L154" i="5"/>
  <c r="L1376" i="5"/>
  <c r="L2182" i="5"/>
  <c r="L2183" i="5"/>
  <c r="L226" i="5"/>
  <c r="L2207" i="5"/>
  <c r="L2184" i="5"/>
  <c r="L1998" i="5"/>
  <c r="L778" i="5"/>
  <c r="L558" i="5"/>
  <c r="L1667" i="5"/>
  <c r="L1538" i="5"/>
  <c r="L1620" i="5"/>
  <c r="L387" i="5"/>
  <c r="L2087" i="5"/>
  <c r="L1326" i="5"/>
  <c r="L1861" i="5"/>
  <c r="L1765" i="5"/>
  <c r="L1766" i="5"/>
  <c r="L155" i="5"/>
  <c r="L1582" i="5"/>
  <c r="L559" i="5"/>
  <c r="L1449" i="5"/>
  <c r="L481" i="5"/>
  <c r="L1539" i="5"/>
  <c r="L1085" i="5"/>
  <c r="L2149" i="5"/>
  <c r="L2150" i="5"/>
  <c r="L270" i="5"/>
  <c r="L1767" i="5"/>
  <c r="L1583" i="5"/>
  <c r="L1540" i="5"/>
  <c r="L606" i="5"/>
  <c r="L1621" i="5"/>
  <c r="L1999" i="5"/>
  <c r="L388" i="5"/>
  <c r="L389" i="5"/>
  <c r="L2116" i="5"/>
  <c r="L271" i="5"/>
  <c r="L1158" i="5"/>
  <c r="L2167" i="5"/>
  <c r="L1279" i="5"/>
  <c r="L125" i="5"/>
  <c r="L126" i="5"/>
  <c r="L1716" i="5"/>
  <c r="L1489" i="5"/>
  <c r="L1450" i="5"/>
  <c r="L68" i="5"/>
  <c r="L69" i="5"/>
  <c r="L1086" i="5"/>
  <c r="L698" i="5"/>
  <c r="L1377" i="5"/>
  <c r="L1378" i="5"/>
  <c r="L2168" i="5"/>
  <c r="L1717" i="5"/>
  <c r="L1668" i="5"/>
  <c r="L1159" i="5"/>
  <c r="L1584" i="5"/>
  <c r="L156" i="5"/>
  <c r="L2047" i="5"/>
  <c r="L1961" i="5"/>
  <c r="L2088" i="5"/>
  <c r="L1718" i="5"/>
  <c r="L1490" i="5"/>
  <c r="L13" i="5"/>
  <c r="L8" i="5"/>
  <c r="L2208" i="5"/>
  <c r="L997" i="5"/>
  <c r="L998" i="5"/>
  <c r="L699" i="5"/>
  <c r="L1327" i="5"/>
  <c r="L1862" i="5"/>
  <c r="L2117" i="5"/>
  <c r="L1087" i="5"/>
  <c r="L1863" i="5"/>
  <c r="L2209" i="5"/>
  <c r="L700" i="5"/>
  <c r="L157" i="5"/>
  <c r="L922" i="5"/>
  <c r="L923" i="5"/>
  <c r="L14" i="5"/>
  <c r="L1491" i="5"/>
  <c r="L1492" i="5"/>
  <c r="L1913" i="5"/>
  <c r="L390" i="5"/>
  <c r="L1328" i="5"/>
  <c r="L607" i="5"/>
  <c r="L924" i="5"/>
  <c r="L307" i="5"/>
  <c r="L1914" i="5"/>
  <c r="L1669" i="5"/>
  <c r="L1719" i="5"/>
  <c r="L1864" i="5"/>
  <c r="L1720" i="5"/>
  <c r="L1160" i="5"/>
  <c r="L608" i="5"/>
  <c r="L779" i="5"/>
  <c r="L227" i="5"/>
  <c r="L849" i="5"/>
  <c r="L850" i="5"/>
  <c r="L1622" i="5"/>
  <c r="L158" i="5"/>
  <c r="L1811" i="5"/>
  <c r="L1088" i="5"/>
  <c r="L1585" i="5"/>
  <c r="L15" i="5"/>
  <c r="L701" i="5"/>
  <c r="L702" i="5"/>
  <c r="L1280" i="5"/>
  <c r="L1281" i="5"/>
  <c r="L1451" i="5"/>
  <c r="L1721" i="5"/>
  <c r="L2048" i="5"/>
  <c r="L999" i="5"/>
  <c r="L851" i="5"/>
  <c r="L1452" i="5"/>
  <c r="L391" i="5"/>
  <c r="L560" i="5"/>
  <c r="L272" i="5"/>
  <c r="L1000" i="5"/>
  <c r="L1768" i="5"/>
  <c r="L1089" i="5"/>
  <c r="L2185" i="5"/>
  <c r="L1769" i="5"/>
  <c r="L2049" i="5"/>
  <c r="L2050" i="5"/>
  <c r="L1623" i="5"/>
  <c r="L2151" i="5"/>
  <c r="L1329" i="5"/>
  <c r="L609" i="5"/>
  <c r="L159" i="5"/>
  <c r="L1670" i="5"/>
  <c r="L1722" i="5"/>
  <c r="L99" i="5"/>
  <c r="L780" i="5"/>
  <c r="L2169" i="5"/>
  <c r="L925" i="5"/>
  <c r="L1001" i="5"/>
  <c r="L1812" i="5"/>
  <c r="L926" i="5"/>
  <c r="L1915" i="5"/>
  <c r="L351" i="5"/>
  <c r="L1282" i="5"/>
  <c r="L1723" i="5"/>
  <c r="L70" i="5"/>
  <c r="L1283" i="5"/>
  <c r="L1284" i="5"/>
  <c r="L2170" i="5"/>
  <c r="L1090" i="5"/>
  <c r="L2000" i="5"/>
  <c r="L2214" i="5"/>
  <c r="L482" i="5"/>
  <c r="L428" i="5"/>
  <c r="L1671" i="5"/>
  <c r="L2171" i="5"/>
  <c r="L1493" i="5"/>
  <c r="L1228" i="5"/>
  <c r="L1813" i="5"/>
  <c r="L392" i="5"/>
  <c r="L1379" i="5"/>
  <c r="L429" i="5"/>
  <c r="L430" i="5"/>
  <c r="L1770" i="5"/>
  <c r="L1494" i="5"/>
  <c r="L2152" i="5"/>
  <c r="L927" i="5"/>
  <c r="L1624" i="5"/>
  <c r="L2001" i="5"/>
  <c r="L1865" i="5"/>
  <c r="L2118" i="5"/>
  <c r="L1285" i="5"/>
  <c r="L2089" i="5"/>
  <c r="L1380" i="5"/>
  <c r="L1916" i="5"/>
  <c r="L1161" i="5"/>
  <c r="L273" i="5"/>
  <c r="L1541" i="5"/>
  <c r="L703" i="5"/>
  <c r="L1814" i="5"/>
  <c r="L704" i="5"/>
  <c r="L1091" i="5"/>
  <c r="L1002" i="5"/>
  <c r="L393" i="5"/>
  <c r="L1672" i="5"/>
  <c r="L928" i="5"/>
  <c r="L2153" i="5"/>
  <c r="L1542" i="5"/>
  <c r="L1543" i="5"/>
  <c r="L705" i="5"/>
  <c r="L1625" i="5"/>
  <c r="L1866" i="5"/>
  <c r="L1229" i="5"/>
  <c r="L2051" i="5"/>
  <c r="L2215" i="5"/>
  <c r="L610" i="5"/>
  <c r="L127" i="5"/>
  <c r="L308" i="5"/>
  <c r="L309" i="5"/>
  <c r="L352" i="5"/>
  <c r="L353" i="5"/>
  <c r="L1162" i="5"/>
  <c r="L1286" i="5"/>
  <c r="L781" i="5"/>
  <c r="L1230" i="5"/>
  <c r="L431" i="5"/>
  <c r="L432" i="5"/>
  <c r="L611" i="5"/>
  <c r="L483" i="5"/>
  <c r="L71" i="5"/>
  <c r="L1092" i="5"/>
  <c r="L1724" i="5"/>
  <c r="L561" i="5"/>
  <c r="L1917" i="5"/>
  <c r="L1771" i="5"/>
  <c r="L2002" i="5"/>
  <c r="L1381" i="5"/>
  <c r="L1867" i="5"/>
  <c r="L929" i="5"/>
  <c r="L1453" i="5"/>
  <c r="L1725" i="5"/>
  <c r="L2003" i="5"/>
  <c r="L2004" i="5"/>
  <c r="L23" i="5"/>
  <c r="L1544" i="5"/>
  <c r="L1673" i="5"/>
  <c r="L1962" i="5"/>
  <c r="L612" i="5"/>
  <c r="L562" i="5"/>
  <c r="L1163" i="5"/>
  <c r="L1586" i="5"/>
  <c r="L1587" i="5"/>
  <c r="L2119" i="5"/>
  <c r="L1093" i="5"/>
  <c r="L1382" i="5"/>
  <c r="L1868" i="5"/>
  <c r="L930" i="5"/>
  <c r="L1918" i="5"/>
  <c r="L1003" i="5"/>
  <c r="L2172" i="5"/>
  <c r="L16" i="5"/>
  <c r="L17" i="5"/>
  <c r="L1004" i="5"/>
  <c r="L1869" i="5"/>
  <c r="L1726" i="5"/>
  <c r="L50" i="5"/>
  <c r="L706" i="5"/>
  <c r="L707" i="5"/>
  <c r="L310" i="5"/>
  <c r="L613" i="5"/>
  <c r="L128" i="5"/>
  <c r="L852" i="5"/>
  <c r="L1963" i="5"/>
  <c r="L484" i="5"/>
  <c r="L1772" i="5"/>
  <c r="L2052" i="5"/>
  <c r="L1005" i="5"/>
  <c r="L51" i="5"/>
  <c r="L1383" i="5"/>
  <c r="L1231" i="5"/>
  <c r="L129" i="5"/>
  <c r="L311" i="5"/>
  <c r="L1164" i="5"/>
  <c r="L130" i="5"/>
  <c r="L228" i="5"/>
  <c r="L708" i="5"/>
  <c r="L1626" i="5"/>
  <c r="L2173" i="5"/>
  <c r="L2174" i="5"/>
  <c r="L1495" i="5"/>
  <c r="L1094" i="5"/>
  <c r="L1095" i="5"/>
  <c r="L1870" i="5"/>
  <c r="L1727" i="5"/>
  <c r="L194" i="5"/>
  <c r="L1545" i="5"/>
  <c r="L1165" i="5"/>
  <c r="L2120" i="5"/>
  <c r="L1871" i="5"/>
  <c r="L1872" i="5"/>
  <c r="L229" i="5"/>
  <c r="L1919" i="5"/>
  <c r="L931" i="5"/>
  <c r="L1166" i="5"/>
  <c r="L18" i="5"/>
  <c r="L614" i="5"/>
  <c r="L615" i="5"/>
  <c r="L2121" i="5"/>
  <c r="L2053" i="5"/>
  <c r="L1006" i="5"/>
  <c r="L2005" i="5"/>
  <c r="L1546" i="5"/>
  <c r="L1384" i="5"/>
  <c r="L485" i="5"/>
  <c r="L563" i="5"/>
  <c r="L782" i="5"/>
  <c r="L1920" i="5"/>
  <c r="L1921" i="5"/>
  <c r="L354" i="5"/>
  <c r="L433" i="5"/>
  <c r="L2122" i="5"/>
  <c r="L1547" i="5"/>
  <c r="L1007" i="5"/>
  <c r="L2054" i="5"/>
  <c r="L1728" i="5"/>
  <c r="L160" i="5"/>
  <c r="L161" i="5"/>
  <c r="L1815" i="5"/>
  <c r="L564" i="5"/>
  <c r="L312" i="5"/>
  <c r="L313" i="5"/>
  <c r="L486" i="5"/>
  <c r="L1008" i="5"/>
  <c r="L1009" i="5"/>
  <c r="L1674" i="5"/>
  <c r="L1729" i="5"/>
  <c r="L1548" i="5"/>
  <c r="L434" i="5"/>
  <c r="L1385" i="5"/>
  <c r="L2200" i="5"/>
  <c r="L1010" i="5"/>
  <c r="L1386" i="5"/>
  <c r="L783" i="5"/>
  <c r="L1549" i="5"/>
  <c r="L487" i="5"/>
  <c r="L1816" i="5"/>
  <c r="L1675" i="5"/>
  <c r="L1676" i="5"/>
  <c r="L1387" i="5"/>
  <c r="L616" i="5"/>
  <c r="L1677" i="5"/>
  <c r="L9" i="5"/>
  <c r="L853" i="5"/>
  <c r="L1773" i="5"/>
  <c r="L2055" i="5"/>
  <c r="L488" i="5"/>
  <c r="L1627" i="5"/>
  <c r="L195" i="5"/>
  <c r="L932" i="5"/>
  <c r="L1388" i="5"/>
  <c r="L1389" i="5"/>
  <c r="L617" i="5"/>
  <c r="L1011" i="5"/>
  <c r="L1287" i="5"/>
  <c r="L394" i="5"/>
  <c r="L2056" i="5"/>
  <c r="L1232" i="5"/>
  <c r="L1330" i="5"/>
  <c r="L2154" i="5"/>
  <c r="L1288" i="5"/>
  <c r="L230" i="5"/>
  <c r="L1873" i="5"/>
  <c r="L1096" i="5"/>
  <c r="L196" i="5"/>
  <c r="L197" i="5"/>
  <c r="L1233" i="5"/>
  <c r="L2006" i="5"/>
  <c r="L19" i="5"/>
  <c r="L1964" i="5"/>
  <c r="L489" i="5"/>
  <c r="L1922" i="5"/>
  <c r="L618" i="5"/>
  <c r="L2201" i="5"/>
  <c r="L435" i="5"/>
  <c r="L2175" i="5"/>
  <c r="L709" i="5"/>
  <c r="L1331" i="5"/>
  <c r="L619" i="5"/>
  <c r="L620" i="5"/>
  <c r="L2123" i="5"/>
  <c r="L274" i="5"/>
  <c r="L933" i="5"/>
  <c r="L1167" i="5"/>
  <c r="L1390" i="5"/>
  <c r="L1923" i="5"/>
  <c r="L314" i="5"/>
  <c r="L315" i="5"/>
  <c r="L1391" i="5"/>
  <c r="L1454" i="5"/>
  <c r="L1012" i="5"/>
  <c r="L1168" i="5"/>
  <c r="L1392" i="5"/>
  <c r="L162" i="5"/>
  <c r="L2007" i="5"/>
  <c r="L1332" i="5"/>
  <c r="L2202" i="5"/>
  <c r="L784" i="5"/>
  <c r="L2057" i="5"/>
  <c r="L1234" i="5"/>
  <c r="L395" i="5"/>
  <c r="L1550" i="5"/>
  <c r="L3" i="5"/>
  <c r="L275" i="5"/>
  <c r="L396" i="5"/>
  <c r="L1169" i="5"/>
  <c r="L854" i="5"/>
  <c r="L565" i="5"/>
  <c r="L2124" i="5"/>
  <c r="L710" i="5"/>
  <c r="L1965" i="5"/>
  <c r="L1393" i="5"/>
  <c r="L1817" i="5"/>
  <c r="L934" i="5"/>
  <c r="L2008" i="5"/>
  <c r="L1394" i="5"/>
  <c r="L1395" i="5"/>
  <c r="L316" i="5"/>
  <c r="L317" i="5"/>
  <c r="L2125" i="5"/>
  <c r="L1730" i="5"/>
  <c r="L1097" i="5"/>
  <c r="L1098" i="5"/>
  <c r="L1333" i="5"/>
  <c r="L1099" i="5"/>
  <c r="L1678" i="5"/>
  <c r="L1289" i="5"/>
  <c r="L1170" i="5"/>
  <c r="L1171" i="5"/>
  <c r="L38" i="5"/>
  <c r="L39" i="5"/>
  <c r="L2186" i="5"/>
  <c r="L100" i="5"/>
  <c r="L101" i="5"/>
  <c r="L318" i="5"/>
  <c r="L102" i="5"/>
  <c r="L103" i="5"/>
  <c r="L1172" i="5"/>
  <c r="L2" i="5"/>
  <c r="L621" i="5"/>
  <c r="L785" i="5"/>
  <c r="L1455" i="5"/>
  <c r="L1731" i="5"/>
  <c r="L436" i="5"/>
  <c r="L1774" i="5"/>
  <c r="L1456" i="5"/>
  <c r="L40" i="5"/>
  <c r="L1496" i="5"/>
  <c r="L1497" i="5"/>
  <c r="L2176" i="5"/>
  <c r="L490" i="5"/>
  <c r="L2126" i="5"/>
  <c r="L2127" i="5"/>
  <c r="L711" i="5"/>
  <c r="L1679" i="5"/>
  <c r="L1628" i="5"/>
  <c r="L2058" i="5"/>
  <c r="L131" i="5"/>
  <c r="L104" i="5"/>
  <c r="L105" i="5"/>
  <c r="L1100" i="5"/>
  <c r="L397" i="5"/>
  <c r="L2177" i="5"/>
  <c r="L786" i="5"/>
  <c r="L787" i="5"/>
  <c r="L788" i="5"/>
  <c r="L2009" i="5"/>
  <c r="L855" i="5"/>
  <c r="L132" i="5"/>
  <c r="L1101" i="5"/>
  <c r="L1102" i="5"/>
  <c r="L2059" i="5"/>
  <c r="L1173" i="5"/>
  <c r="L1103" i="5"/>
  <c r="L4" i="5"/>
  <c r="L1290" i="5"/>
  <c r="L1334" i="5"/>
  <c r="L1732" i="5"/>
  <c r="L1874" i="5"/>
  <c r="L1818" i="5"/>
  <c r="L1966" i="5"/>
  <c r="L2060" i="5"/>
  <c r="L491" i="5"/>
  <c r="L1924" i="5"/>
  <c r="L72" i="5"/>
  <c r="L106" i="5"/>
  <c r="L1733" i="5"/>
  <c r="L2187" i="5"/>
  <c r="L2188" i="5"/>
  <c r="L1291" i="5"/>
  <c r="L1104" i="5"/>
  <c r="L1775" i="5"/>
  <c r="L319" i="5"/>
  <c r="L320" i="5"/>
  <c r="L712" i="5"/>
  <c r="L1776" i="5"/>
  <c r="L1174" i="5"/>
  <c r="L1551" i="5"/>
  <c r="L198" i="5"/>
  <c r="L1396" i="5"/>
  <c r="L1175" i="5"/>
  <c r="L622" i="5"/>
  <c r="L1875" i="5"/>
  <c r="L1588" i="5"/>
  <c r="L2155" i="5"/>
  <c r="L492" i="5"/>
  <c r="L493" i="5"/>
  <c r="L1819" i="5"/>
  <c r="L1498" i="5"/>
  <c r="L1013" i="5"/>
  <c r="L1397" i="5"/>
  <c r="L2189" i="5"/>
  <c r="L1777" i="5"/>
  <c r="L2178" i="5"/>
  <c r="L623" i="5"/>
  <c r="L1105" i="5"/>
  <c r="L2203" i="5"/>
  <c r="L494" i="5"/>
  <c r="L1335" i="5"/>
  <c r="L1014" i="5"/>
  <c r="L1292" i="5"/>
  <c r="L1876" i="5"/>
  <c r="L1176" i="5"/>
  <c r="L1398" i="5"/>
  <c r="L1106" i="5"/>
  <c r="L935" i="5"/>
  <c r="L1629" i="5"/>
  <c r="L936" i="5"/>
  <c r="L937" i="5"/>
  <c r="L624" i="5"/>
  <c r="L789" i="5"/>
  <c r="L1967" i="5"/>
  <c r="L1457" i="5"/>
  <c r="L1458" i="5"/>
  <c r="L1680" i="5"/>
  <c r="L1734" i="5"/>
  <c r="L1778" i="5"/>
  <c r="L1779" i="5"/>
  <c r="L1780" i="5"/>
  <c r="L790" i="5"/>
  <c r="L231" i="5"/>
  <c r="L791" i="5"/>
  <c r="L856" i="5"/>
  <c r="L1925" i="5"/>
  <c r="L1926" i="5"/>
  <c r="L1552" i="5"/>
  <c r="L857" i="5"/>
  <c r="L398" i="5"/>
  <c r="L2210" i="5"/>
  <c r="L1399" i="5"/>
  <c r="L1877" i="5"/>
  <c r="L1735" i="5"/>
  <c r="L1177" i="5"/>
  <c r="L321" i="5"/>
  <c r="L1736" i="5"/>
  <c r="L713" i="5"/>
  <c r="L625" i="5"/>
  <c r="L626" i="5"/>
  <c r="L1293" i="5"/>
  <c r="L2216" i="5"/>
  <c r="L1681" i="5"/>
  <c r="L1737" i="5"/>
  <c r="L2061" i="5"/>
  <c r="L627" i="5"/>
  <c r="L2090" i="5"/>
  <c r="L1820" i="5"/>
  <c r="L1821" i="5"/>
  <c r="L1781" i="5"/>
  <c r="L2010" i="5"/>
  <c r="L495" i="5"/>
  <c r="L1015" i="5"/>
  <c r="L1016" i="5"/>
  <c r="L1107" i="5"/>
  <c r="L1235" i="5"/>
  <c r="L1927" i="5"/>
  <c r="L52" i="5"/>
  <c r="L1968" i="5"/>
  <c r="L1928" i="5"/>
  <c r="L938" i="5"/>
  <c r="L73" i="5"/>
  <c r="L1108" i="5"/>
  <c r="L199" i="5"/>
  <c r="L1589" i="5"/>
  <c r="L1590" i="5"/>
  <c r="L1499" i="5"/>
  <c r="L1400" i="5"/>
  <c r="L1459" i="5"/>
  <c r="L1969" i="5"/>
  <c r="L1460" i="5"/>
  <c r="L1822" i="5"/>
  <c r="L2190" i="5"/>
  <c r="L2191" i="5"/>
  <c r="L2011" i="5"/>
  <c r="L792" i="5"/>
  <c r="L1461" i="5"/>
  <c r="L1236" i="5"/>
  <c r="L1823" i="5"/>
  <c r="L1824" i="5"/>
  <c r="L1553" i="5"/>
  <c r="L496" i="5"/>
  <c r="L1237" i="5"/>
  <c r="L1238" i="5"/>
  <c r="L1239" i="5"/>
  <c r="L1336" i="5"/>
  <c r="L1337" i="5"/>
  <c r="L437" i="5"/>
  <c r="L497" i="5"/>
  <c r="L498" i="5"/>
  <c r="L1109" i="5"/>
  <c r="L1929" i="5"/>
  <c r="L858" i="5"/>
  <c r="L1462" i="5"/>
  <c r="L1630" i="5"/>
  <c r="L1631" i="5"/>
  <c r="L1591" i="5"/>
  <c r="L1592" i="5"/>
  <c r="L2204" i="5"/>
  <c r="L1294" i="5"/>
  <c r="L322" i="5"/>
  <c r="L24" i="5"/>
  <c r="L793" i="5"/>
  <c r="L794" i="5"/>
  <c r="L2091" i="5"/>
  <c r="L1682" i="5"/>
  <c r="L2012" i="5"/>
  <c r="L399" i="5"/>
  <c r="L1295" i="5"/>
  <c r="L1878" i="5"/>
  <c r="L1879" i="5"/>
  <c r="L1463" i="5"/>
  <c r="L1178" i="5"/>
  <c r="L163" i="5"/>
  <c r="L1683" i="5"/>
  <c r="L2205" i="5"/>
  <c r="L2128" i="5"/>
  <c r="L2129" i="5"/>
  <c r="L1930" i="5"/>
  <c r="L1931" i="5"/>
  <c r="L1632" i="5"/>
  <c r="L1633" i="5"/>
  <c r="L1179" i="5"/>
  <c r="L1401" i="5"/>
  <c r="L939" i="5"/>
  <c r="L1402" i="5"/>
  <c r="L1932" i="5"/>
  <c r="L1933" i="5"/>
  <c r="L1554" i="5"/>
  <c r="L1970" i="5"/>
  <c r="L1880" i="5"/>
  <c r="L1296" i="5"/>
  <c r="L1825" i="5"/>
  <c r="L438" i="5"/>
  <c r="L1110" i="5"/>
  <c r="L1111" i="5"/>
  <c r="L1684" i="5"/>
  <c r="L2013" i="5"/>
  <c r="L2014" i="5"/>
  <c r="L940" i="5"/>
  <c r="L1634" i="5"/>
  <c r="L1782" i="5"/>
  <c r="L1180" i="5"/>
  <c r="L2192" i="5"/>
  <c r="L628" i="5"/>
  <c r="L1826" i="5"/>
  <c r="L941" i="5"/>
  <c r="L2015" i="5"/>
  <c r="L566" i="5"/>
  <c r="L1593" i="5"/>
  <c r="L795" i="5"/>
  <c r="L714" i="5"/>
  <c r="L1112" i="5"/>
  <c r="L1464" i="5"/>
  <c r="L439" i="5"/>
  <c r="L440" i="5"/>
  <c r="L2016" i="5"/>
  <c r="L1465" i="5"/>
  <c r="L1594" i="5"/>
  <c r="L133" i="5"/>
  <c r="L1113" i="5"/>
  <c r="L1240" i="5"/>
  <c r="L41" i="5"/>
  <c r="L1403" i="5"/>
  <c r="L1404" i="5"/>
  <c r="L2156" i="5"/>
  <c r="L715" i="5"/>
  <c r="L323" i="5"/>
  <c r="L499" i="5"/>
  <c r="L1738" i="5"/>
  <c r="L1241" i="5"/>
  <c r="L1338" i="5"/>
  <c r="L1339" i="5"/>
  <c r="L1881" i="5"/>
  <c r="L1971" i="5"/>
  <c r="L1685" i="5"/>
  <c r="L1297" i="5"/>
  <c r="L1114" i="5"/>
  <c r="L1686" i="5"/>
  <c r="L1739" i="5"/>
  <c r="L629" i="5"/>
  <c r="L400" i="5"/>
  <c r="L2017" i="5"/>
  <c r="L716" i="5"/>
  <c r="L2092" i="5"/>
  <c r="L1466" i="5"/>
  <c r="L1340" i="5"/>
  <c r="L441" i="5"/>
  <c r="L1827" i="5"/>
  <c r="L2062" i="5"/>
  <c r="L232" i="5"/>
  <c r="L717" i="5"/>
  <c r="L1467" i="5"/>
  <c r="L1017" i="5"/>
  <c r="L718" i="5"/>
  <c r="L1595" i="5"/>
  <c r="L1596" i="5"/>
  <c r="L1018" i="5"/>
  <c r="L1019" i="5"/>
  <c r="L630" i="5"/>
  <c r="L442" i="5"/>
  <c r="L443" i="5"/>
  <c r="L859" i="5"/>
  <c r="L1828" i="5"/>
  <c r="L860" i="5"/>
  <c r="L2157" i="5"/>
  <c r="L500" i="5"/>
  <c r="L1405" i="5"/>
  <c r="L444" i="5"/>
  <c r="L796" i="5"/>
  <c r="L1934" i="5"/>
  <c r="L631" i="5"/>
  <c r="L942" i="5"/>
  <c r="L1882" i="5"/>
  <c r="L1115" i="5"/>
  <c r="L943" i="5"/>
  <c r="L1883" i="5"/>
  <c r="L632" i="5"/>
  <c r="L1406" i="5"/>
  <c r="L1407" i="5"/>
  <c r="L944" i="5"/>
  <c r="L567" i="5"/>
  <c r="L1408" i="5"/>
  <c r="L945" i="5"/>
  <c r="L719" i="5"/>
  <c r="L2093" i="5"/>
  <c r="L1555" i="5"/>
  <c r="L2063" i="5"/>
  <c r="L2064" i="5"/>
  <c r="L2018" i="5"/>
  <c r="L1972" i="5"/>
  <c r="L1468" i="5"/>
  <c r="L2094" i="5"/>
  <c r="L2095" i="5"/>
  <c r="L1556" i="5"/>
  <c r="L1298" i="5"/>
  <c r="L1597" i="5"/>
  <c r="L1935" i="5"/>
  <c r="L1299" i="5"/>
  <c r="L74" i="5"/>
  <c r="L1687" i="5"/>
  <c r="L861" i="5"/>
  <c r="L1181" i="5"/>
  <c r="L1829" i="5"/>
  <c r="L1116" i="5"/>
  <c r="L1409" i="5"/>
  <c r="L355" i="5"/>
  <c r="L1830" i="5"/>
  <c r="L1557" i="5"/>
  <c r="L1558" i="5"/>
  <c r="L2130" i="5"/>
  <c r="L633" i="5"/>
  <c r="L324" i="5"/>
  <c r="L1242" i="5"/>
  <c r="L1243" i="5"/>
  <c r="L1469" i="5"/>
  <c r="L797" i="5"/>
  <c r="L1884" i="5"/>
  <c r="L1559" i="5"/>
  <c r="L1635" i="5"/>
  <c r="L1973" i="5"/>
  <c r="L1020" i="5"/>
  <c r="L720" i="5"/>
  <c r="L721" i="5"/>
  <c r="L1470" i="5"/>
  <c r="L356" i="5"/>
  <c r="L1885" i="5"/>
  <c r="L2065" i="5"/>
  <c r="L1783" i="5"/>
  <c r="L1831" i="5"/>
  <c r="L1688" i="5"/>
  <c r="L1182" i="5"/>
  <c r="L445" i="5"/>
  <c r="L1560" i="5"/>
  <c r="L1886" i="5"/>
  <c r="L1689" i="5"/>
  <c r="L568" i="5"/>
  <c r="L325" i="5"/>
  <c r="L1410" i="5"/>
  <c r="L862" i="5"/>
  <c r="L501" i="5"/>
  <c r="L1341" i="5"/>
  <c r="L1936" i="5"/>
  <c r="L1183" i="5"/>
  <c r="L1342" i="5"/>
  <c r="L1117" i="5"/>
  <c r="L446" i="5"/>
  <c r="L2066" i="5"/>
  <c r="L2217" i="5"/>
  <c r="L1021" i="5"/>
  <c r="L722" i="5"/>
  <c r="L1937" i="5"/>
  <c r="L447" i="5"/>
  <c r="L2067" i="5"/>
  <c r="L1500" i="5"/>
  <c r="L2019" i="5"/>
  <c r="L1411" i="5"/>
  <c r="L1343" i="5"/>
  <c r="L1300" i="5"/>
  <c r="L946" i="5"/>
  <c r="L502" i="5"/>
  <c r="L1244" i="5"/>
  <c r="L863" i="5"/>
  <c r="L134" i="5"/>
  <c r="L1598" i="5"/>
  <c r="L947" i="5"/>
  <c r="L1599" i="5"/>
  <c r="L2096" i="5"/>
  <c r="L723" i="5"/>
  <c r="L357" i="5"/>
  <c r="L1412" i="5"/>
  <c r="L1413" i="5"/>
  <c r="L634" i="5"/>
  <c r="L358" i="5"/>
  <c r="L1022" i="5"/>
  <c r="L1184" i="5"/>
  <c r="L1185" i="5"/>
  <c r="L448" i="5"/>
  <c r="L948" i="5"/>
  <c r="L798" i="5"/>
  <c r="L569" i="5"/>
  <c r="L1301" i="5"/>
  <c r="L724" i="5"/>
  <c r="L2097" i="5"/>
  <c r="L2098" i="5"/>
  <c r="L1245" i="5"/>
  <c r="L359" i="5"/>
  <c r="L360" i="5"/>
  <c r="L1302" i="5"/>
  <c r="L1501" i="5"/>
  <c r="L725" i="5"/>
  <c r="L1186" i="5"/>
  <c r="L2158" i="5"/>
  <c r="L1246" i="5"/>
  <c r="L1561" i="5"/>
  <c r="L1974" i="5"/>
  <c r="L1975" i="5"/>
  <c r="L1562" i="5"/>
  <c r="L1414" i="5"/>
  <c r="L2211" i="5"/>
  <c r="L1247" i="5"/>
  <c r="L2020" i="5"/>
  <c r="L726" i="5"/>
  <c r="L570" i="5"/>
  <c r="L727" i="5"/>
  <c r="L1471" i="5"/>
  <c r="L1563" i="5"/>
  <c r="L1976" i="5"/>
  <c r="L1344" i="5"/>
  <c r="L1023" i="5"/>
  <c r="L2212" i="5"/>
  <c r="L864" i="5"/>
  <c r="L503" i="5"/>
  <c r="L1887" i="5"/>
  <c r="L2099" i="5"/>
  <c r="L233" i="5"/>
  <c r="L635" i="5"/>
  <c r="L636" i="5"/>
  <c r="L571" i="5"/>
  <c r="L200" i="5"/>
  <c r="L1832" i="5"/>
  <c r="L1118" i="5"/>
  <c r="L1784" i="5"/>
  <c r="L949" i="5"/>
  <c r="L1415" i="5"/>
  <c r="L1833" i="5"/>
  <c r="L1024" i="5"/>
  <c r="L1187" i="5"/>
  <c r="L1188" i="5"/>
  <c r="L1119" i="5"/>
  <c r="L865" i="5"/>
  <c r="L1834" i="5"/>
  <c r="L1690" i="5"/>
  <c r="L1600" i="5"/>
  <c r="L504" i="5"/>
  <c r="L572" i="5"/>
  <c r="L573" i="5"/>
  <c r="L1189" i="5"/>
  <c r="L1691" i="5"/>
  <c r="L728" i="5"/>
  <c r="L1564" i="5"/>
  <c r="L1025" i="5"/>
  <c r="L1026" i="5"/>
  <c r="L1835" i="5"/>
  <c r="L2131" i="5"/>
  <c r="L2021" i="5"/>
  <c r="L866" i="5"/>
  <c r="L1601" i="5"/>
  <c r="L1836" i="5"/>
  <c r="L1837" i="5"/>
  <c r="L2100" i="5"/>
  <c r="L1502" i="5"/>
  <c r="L361" i="5"/>
  <c r="L2132" i="5"/>
  <c r="L1977" i="5"/>
  <c r="L1838" i="5"/>
  <c r="L1839" i="5"/>
  <c r="L1785" i="5"/>
  <c r="L574" i="5"/>
  <c r="L867" i="5"/>
  <c r="L449" i="5"/>
  <c r="L1345" i="5"/>
  <c r="L1636" i="5"/>
  <c r="L1303" i="5"/>
  <c r="L1190" i="5"/>
  <c r="L505" i="5"/>
  <c r="L1120" i="5"/>
  <c r="L1191" i="5"/>
  <c r="L1416" i="5"/>
  <c r="L868" i="5"/>
  <c r="L1503" i="5"/>
  <c r="L637" i="5"/>
  <c r="L201" i="5"/>
  <c r="L1740" i="5"/>
  <c r="L1741" i="5"/>
  <c r="L1888" i="5"/>
  <c r="L638" i="5"/>
  <c r="L1417" i="5"/>
  <c r="L2068" i="5"/>
  <c r="L950" i="5"/>
  <c r="L2022" i="5"/>
  <c r="L1978" i="5"/>
  <c r="L1979" i="5"/>
  <c r="L1692" i="5"/>
  <c r="L1504" i="5"/>
  <c r="L1192" i="5"/>
  <c r="L799" i="5"/>
  <c r="L639" i="5"/>
  <c r="L2069" i="5"/>
  <c r="L729" i="5"/>
  <c r="L1786" i="5"/>
  <c r="L1840" i="5"/>
  <c r="L640" i="5"/>
  <c r="L730" i="5"/>
  <c r="L1121" i="5"/>
  <c r="L506" i="5"/>
  <c r="L1693" i="5"/>
  <c r="L1938" i="5"/>
  <c r="L1742" i="5"/>
  <c r="L800" i="5"/>
  <c r="L1841" i="5"/>
  <c r="L1027" i="5"/>
  <c r="L1939" i="5"/>
  <c r="L1694" i="5"/>
  <c r="L1787" i="5"/>
  <c r="L869" i="5"/>
  <c r="L1889" i="5"/>
  <c r="L731" i="5"/>
  <c r="L732" i="5"/>
  <c r="L1565" i="5"/>
  <c r="L1304" i="5"/>
  <c r="L1028" i="5"/>
  <c r="L507" i="5"/>
  <c r="L1193" i="5"/>
  <c r="L234" i="5"/>
  <c r="L1695" i="5"/>
  <c r="L1505" i="5"/>
  <c r="L1506" i="5"/>
  <c r="L2101" i="5"/>
  <c r="L508" i="5"/>
  <c r="L641" i="5"/>
  <c r="L2102" i="5"/>
  <c r="L1418" i="5"/>
  <c r="L1305" i="5"/>
  <c r="L870" i="5"/>
  <c r="L1472" i="5"/>
  <c r="L733" i="5"/>
  <c r="L1743" i="5"/>
  <c r="L951" i="5"/>
  <c r="L401" i="5"/>
  <c r="L1419" i="5"/>
  <c r="L1637" i="5"/>
  <c r="L642" i="5"/>
  <c r="L2133" i="5"/>
  <c r="L135" i="5"/>
  <c r="L2023" i="5"/>
  <c r="L2134" i="5"/>
  <c r="L1744" i="5"/>
  <c r="L1306" i="5"/>
  <c r="L1745" i="5"/>
  <c r="L1980" i="5"/>
  <c r="L1420" i="5"/>
  <c r="L42" i="5"/>
  <c r="L643" i="5"/>
  <c r="L644" i="5"/>
  <c r="L2159" i="5"/>
  <c r="L1248" i="5"/>
  <c r="L509" i="5"/>
  <c r="L53" i="5"/>
  <c r="L1566" i="5"/>
  <c r="L871" i="5"/>
  <c r="L2221" i="5"/>
  <c r="L1890" i="5"/>
  <c r="L362" i="5"/>
  <c r="L1194" i="5"/>
  <c r="L2193" i="5"/>
  <c r="L2194" i="5"/>
  <c r="L1842" i="5"/>
  <c r="L1843" i="5"/>
  <c r="L1844" i="5"/>
  <c r="L1845" i="5"/>
  <c r="L2024" i="5"/>
  <c r="L1567" i="5"/>
  <c r="L1891" i="5"/>
  <c r="L1746" i="5"/>
  <c r="L1981" i="5"/>
  <c r="L1696" i="5"/>
  <c r="L2103" i="5"/>
  <c r="L1249" i="5"/>
  <c r="L1638" i="5"/>
  <c r="L1639" i="5"/>
  <c r="L1640" i="5"/>
  <c r="L1747" i="5"/>
  <c r="L1940" i="5"/>
  <c r="L1122" i="5"/>
  <c r="L1507" i="5"/>
  <c r="L1788" i="5"/>
  <c r="L1846" i="5"/>
  <c r="L575" i="5"/>
  <c r="L952" i="5"/>
  <c r="L2025" i="5"/>
  <c r="L326" i="5"/>
  <c r="L645" i="5"/>
  <c r="L402" i="5"/>
  <c r="L276" i="5"/>
  <c r="L277" i="5"/>
  <c r="L1568" i="5"/>
  <c r="L1789" i="5"/>
  <c r="L1250" i="5"/>
  <c r="L1941" i="5"/>
  <c r="L1508" i="5"/>
  <c r="L1748" i="5"/>
  <c r="L2135" i="5"/>
  <c r="L2136" i="5"/>
  <c r="L953" i="5"/>
  <c r="L43" i="5"/>
  <c r="L646" i="5"/>
  <c r="L647" i="5"/>
  <c r="L1602" i="5"/>
  <c r="L801" i="5"/>
  <c r="L1892" i="5"/>
  <c r="L2026" i="5"/>
  <c r="L1346" i="5"/>
  <c r="L1347" i="5"/>
  <c r="L1749" i="5"/>
  <c r="L648" i="5"/>
  <c r="L734" i="5"/>
  <c r="L1029" i="5"/>
  <c r="L954" i="5"/>
  <c r="L1509" i="5"/>
  <c r="L1893" i="5"/>
  <c r="L2027" i="5"/>
  <c r="L2070" i="5"/>
  <c r="L1030" i="5"/>
  <c r="L649" i="5"/>
  <c r="L802" i="5"/>
  <c r="L2137" i="5"/>
  <c r="L1641" i="5"/>
  <c r="L1031" i="5"/>
  <c r="L1473" i="5"/>
  <c r="L872" i="5"/>
  <c r="L2071" i="5"/>
  <c r="L1251" i="5"/>
  <c r="L2218" i="5"/>
  <c r="L2219" i="5"/>
  <c r="L1474" i="5"/>
  <c r="L1510" i="5"/>
  <c r="L1511" i="5"/>
  <c r="L1642" i="5"/>
  <c r="L1348" i="5"/>
  <c r="L1512" i="5"/>
  <c r="L1982" i="5"/>
  <c r="L25" i="5"/>
  <c r="L2104" i="5"/>
  <c r="L1195" i="5"/>
  <c r="L1894" i="5"/>
  <c r="L1513" i="5"/>
  <c r="L2105" i="5"/>
  <c r="L1983" i="5"/>
  <c r="L450" i="5"/>
  <c r="L873" i="5"/>
  <c r="L874" i="5"/>
  <c r="L875" i="5"/>
  <c r="L1603" i="5"/>
  <c r="L1196" i="5"/>
  <c r="L1847" i="5"/>
  <c r="L1750" i="5"/>
  <c r="L803" i="5"/>
  <c r="L735" i="5"/>
  <c r="L2138" i="5"/>
  <c r="L2106" i="5"/>
  <c r="L1421" i="5"/>
  <c r="L2028" i="5"/>
  <c r="L1643" i="5"/>
  <c r="L804" i="5"/>
  <c r="L403" i="5"/>
  <c r="L1644" i="5"/>
  <c r="L1307" i="5"/>
  <c r="L736" i="5"/>
  <c r="L1790" i="5"/>
  <c r="L1984" i="5"/>
  <c r="L451" i="5"/>
  <c r="L737" i="5"/>
  <c r="L2139" i="5"/>
  <c r="L1349" i="5"/>
  <c r="L1645" i="5"/>
  <c r="L2072" i="5"/>
  <c r="L2073" i="5"/>
  <c r="L1791" i="5"/>
  <c r="L1569" i="5"/>
  <c r="L2029" i="5"/>
  <c r="L1032" i="5"/>
  <c r="L1422" i="5"/>
  <c r="L650" i="5"/>
  <c r="L510" i="5"/>
  <c r="L1423" i="5"/>
  <c r="L1848" i="5"/>
  <c r="L1849" i="5"/>
  <c r="L576" i="5"/>
  <c r="L136" i="5"/>
  <c r="L1475" i="5"/>
  <c r="L1308" i="5"/>
  <c r="L1424" i="5"/>
  <c r="L1425" i="5"/>
  <c r="L876" i="5"/>
  <c r="L1197" i="5"/>
  <c r="L1646" i="5"/>
  <c r="L738" i="5"/>
  <c r="L1514" i="5"/>
  <c r="L1942" i="5"/>
  <c r="L1350" i="5"/>
  <c r="L1751" i="5"/>
  <c r="L2160" i="5"/>
  <c r="L2161" i="5"/>
  <c r="L2030" i="5"/>
  <c r="L1752" i="5"/>
  <c r="L1604" i="5"/>
  <c r="L1033" i="5"/>
  <c r="L955" i="5"/>
  <c r="L956" i="5"/>
  <c r="L1895" i="5"/>
  <c r="L511" i="5"/>
  <c r="L805" i="5"/>
  <c r="L1943" i="5"/>
  <c r="L957" i="5"/>
  <c r="L651" i="5"/>
  <c r="L1985" i="5"/>
  <c r="L739" i="5"/>
  <c r="L75" i="5"/>
  <c r="L652" i="5"/>
  <c r="L1570" i="5"/>
  <c r="L740" i="5"/>
  <c r="L741" i="5"/>
  <c r="L742" i="5"/>
  <c r="L1850" i="5"/>
  <c r="L877" i="5"/>
  <c r="L1851" i="5"/>
  <c r="L958" i="5"/>
  <c r="L653" i="5"/>
  <c r="L1896" i="5"/>
  <c r="L1897" i="5"/>
  <c r="L806" i="5"/>
  <c r="L1476" i="5"/>
  <c r="L1605" i="5"/>
  <c r="L164" i="5"/>
  <c r="L1477" i="5"/>
  <c r="L1351" i="5"/>
  <c r="L807" i="5"/>
  <c r="L404" i="5"/>
  <c r="L808" i="5"/>
  <c r="L1478" i="5"/>
  <c r="L1479" i="5"/>
  <c r="L1944" i="5"/>
  <c r="L1252" i="5"/>
  <c r="L1034" i="5"/>
  <c r="L2162" i="5"/>
  <c r="L2206" i="5"/>
  <c r="L743" i="5"/>
  <c r="L809" i="5"/>
  <c r="L107" i="5"/>
  <c r="L327" i="5"/>
  <c r="L1571" i="5"/>
  <c r="L1753" i="5"/>
  <c r="L1515" i="5"/>
  <c r="L1426" i="5"/>
  <c r="L1427" i="5"/>
  <c r="L2163" i="5"/>
  <c r="L810" i="5"/>
  <c r="L452" i="5"/>
  <c r="L2213" i="5"/>
  <c r="L811" i="5"/>
  <c r="L812" i="5"/>
  <c r="L405" i="5"/>
  <c r="L363" i="5"/>
  <c r="L1309" i="5"/>
  <c r="L1697" i="5"/>
  <c r="L1123" i="5"/>
  <c r="L1352" i="5"/>
  <c r="L1353" i="5"/>
  <c r="L2074" i="5"/>
  <c r="L1035" i="5"/>
  <c r="L1198" i="5"/>
  <c r="L1945" i="5"/>
  <c r="L1354" i="5"/>
  <c r="L1647" i="5"/>
  <c r="L1124" i="5"/>
  <c r="L959" i="5"/>
  <c r="L1036" i="5"/>
  <c r="L1428" i="5"/>
  <c r="L813" i="5"/>
  <c r="L1253" i="5"/>
  <c r="L1429" i="5"/>
  <c r="L512" i="5"/>
  <c r="L960" i="5"/>
  <c r="L202" i="5"/>
  <c r="L744" i="5"/>
  <c r="L1430" i="5"/>
  <c r="L1125" i="5"/>
  <c r="L2031" i="5"/>
  <c r="L1126" i="5"/>
  <c r="L1792" i="5"/>
  <c r="L2195" i="5"/>
  <c r="L1199" i="5"/>
  <c r="L878" i="5"/>
  <c r="L406" i="5"/>
  <c r="L407" i="5"/>
  <c r="L1037" i="5"/>
  <c r="L328" i="5"/>
  <c r="L1254" i="5"/>
  <c r="L513" i="5"/>
  <c r="L2032" i="5"/>
  <c r="L278" i="5"/>
  <c r="L1200" i="5"/>
  <c r="L1201" i="5"/>
  <c r="L1355" i="5"/>
  <c r="L408" i="5"/>
  <c r="L1356" i="5"/>
  <c r="L2033" i="5"/>
  <c r="L1357" i="5"/>
  <c r="L814" i="5"/>
  <c r="L1038" i="5"/>
  <c r="L961" i="5"/>
  <c r="L577" i="5"/>
  <c r="L2075" i="5"/>
  <c r="L1202" i="5"/>
  <c r="L1793" i="5"/>
  <c r="L745" i="5"/>
  <c r="L879" i="5"/>
  <c r="L1127" i="5"/>
  <c r="L815" i="5"/>
  <c r="L578" i="5"/>
  <c r="L2107" i="5"/>
  <c r="L1039" i="5"/>
  <c r="L1572" i="5"/>
  <c r="L1040" i="5"/>
  <c r="L1203" i="5"/>
  <c r="L1431" i="5"/>
  <c r="L235" i="5"/>
  <c r="L514" i="5"/>
  <c r="L44" i="5"/>
  <c r="L26" i="5"/>
  <c r="L1310" i="5"/>
  <c r="L962" i="5"/>
  <c r="L1946" i="5"/>
  <c r="L1898" i="5"/>
  <c r="L1899" i="5"/>
  <c r="L1255" i="5"/>
  <c r="L816" i="5"/>
  <c r="L515" i="5"/>
  <c r="L1480" i="5"/>
  <c r="L1481" i="5"/>
  <c r="L654" i="5"/>
  <c r="L880" i="5"/>
  <c r="L881" i="5"/>
  <c r="L1041" i="5"/>
  <c r="L364" i="5"/>
  <c r="L963" i="5"/>
  <c r="L76" i="5"/>
  <c r="L165" i="5"/>
  <c r="L166" i="5"/>
  <c r="L817" i="5"/>
  <c r="L1754" i="5"/>
  <c r="L1698" i="5"/>
  <c r="L1204" i="5"/>
  <c r="L1794" i="5"/>
  <c r="L236" i="5"/>
  <c r="L2164" i="5"/>
  <c r="L1205" i="5"/>
  <c r="L365" i="5"/>
  <c r="L746" i="5"/>
  <c r="L329" i="5"/>
  <c r="L1042" i="5"/>
  <c r="L366" i="5"/>
  <c r="L579" i="5"/>
  <c r="L580" i="5"/>
  <c r="L516" i="5"/>
  <c r="L137" i="5"/>
  <c r="L138" i="5"/>
  <c r="L517" i="5"/>
  <c r="L367" i="5"/>
  <c r="L108" i="5"/>
  <c r="L409" i="5"/>
  <c r="L1900" i="5"/>
  <c r="L1256" i="5"/>
  <c r="L1482" i="5"/>
  <c r="L747" i="5"/>
  <c r="L964" i="5"/>
  <c r="L1483" i="5"/>
  <c r="L518" i="5"/>
  <c r="L1484" i="5"/>
  <c r="L203" i="5"/>
  <c r="L1986" i="5"/>
  <c r="L581" i="5"/>
  <c r="L1795" i="5"/>
  <c r="L167" i="5"/>
  <c r="L1257" i="5"/>
  <c r="L1258" i="5"/>
  <c r="L1648" i="5"/>
  <c r="L519" i="5"/>
  <c r="L2108" i="5"/>
  <c r="L582" i="5"/>
  <c r="L1259" i="5"/>
  <c r="L330" i="5"/>
  <c r="L1206" i="5"/>
  <c r="L139" i="5"/>
  <c r="L520" i="5"/>
  <c r="L1516" i="5"/>
  <c r="L2034" i="5"/>
  <c r="L1043" i="5"/>
  <c r="L1485" i="5"/>
  <c r="L748" i="5"/>
  <c r="L655" i="5"/>
  <c r="L1432" i="5"/>
  <c r="L1796" i="5"/>
  <c r="L1260" i="5"/>
  <c r="L2076" i="5"/>
  <c r="L2077" i="5"/>
  <c r="L453" i="5"/>
  <c r="L1433" i="5"/>
  <c r="L1207" i="5"/>
  <c r="L1208" i="5"/>
  <c r="L1128" i="5"/>
  <c r="L1261" i="5"/>
  <c r="L331" i="5"/>
  <c r="L1987" i="5"/>
  <c r="L1797" i="5"/>
  <c r="L2035" i="5"/>
  <c r="L818" i="5"/>
  <c r="L965" i="5"/>
  <c r="L966" i="5"/>
  <c r="L1311" i="5"/>
  <c r="L583" i="5"/>
  <c r="L749" i="5"/>
  <c r="L368" i="5"/>
  <c r="L204" i="5"/>
  <c r="L237" i="5"/>
  <c r="L2036" i="5"/>
  <c r="L819" i="5"/>
  <c r="L820" i="5"/>
  <c r="L279" i="5"/>
  <c r="L280" i="5"/>
  <c r="L281" i="5"/>
  <c r="L1947" i="5"/>
  <c r="L1948" i="5"/>
  <c r="L1209" i="5"/>
  <c r="L1044" i="5"/>
  <c r="L584" i="5"/>
  <c r="L2078" i="5"/>
  <c r="L1045" i="5"/>
  <c r="L109" i="5"/>
  <c r="L1988" i="5"/>
  <c r="L238" i="5"/>
  <c r="L369" i="5"/>
  <c r="L332" i="5"/>
  <c r="L1573" i="5"/>
  <c r="L1517" i="5"/>
  <c r="L282" i="5"/>
  <c r="L882" i="5"/>
  <c r="L656" i="5"/>
  <c r="L1649" i="5"/>
  <c r="L821" i="5"/>
  <c r="L168" i="5"/>
  <c r="L283" i="5"/>
  <c r="L1949" i="5"/>
  <c r="L1950" i="5"/>
  <c r="L967" i="5"/>
  <c r="L883" i="5"/>
  <c r="L1901" i="5"/>
  <c r="L1902" i="5"/>
  <c r="L968" i="5"/>
  <c r="L110" i="5"/>
  <c r="L1129" i="5"/>
  <c r="L1699" i="5"/>
  <c r="L2140" i="5"/>
  <c r="L969" i="5"/>
  <c r="L1755" i="5"/>
  <c r="L1903" i="5"/>
  <c r="L521" i="5"/>
  <c r="L77" i="5"/>
  <c r="L239" i="5"/>
  <c r="L522" i="5"/>
  <c r="L1518" i="5"/>
  <c r="L1519" i="5"/>
  <c r="L523" i="5"/>
  <c r="L1046" i="5"/>
  <c r="L970" i="5"/>
  <c r="L971" i="5"/>
  <c r="L884" i="5"/>
  <c r="L524" i="5"/>
  <c r="L370" i="5"/>
  <c r="L333" i="5"/>
  <c r="L169" i="5"/>
  <c r="L1904" i="5"/>
  <c r="L1905" i="5"/>
  <c r="L1262" i="5"/>
  <c r="L525" i="5"/>
  <c r="L822" i="5"/>
  <c r="L1210" i="5"/>
  <c r="L1211" i="5"/>
  <c r="L78" i="5"/>
  <c r="L1700" i="5"/>
  <c r="L1263" i="5"/>
  <c r="L1047" i="5"/>
  <c r="L1650" i="5"/>
  <c r="L1130" i="5"/>
  <c r="L170" i="5"/>
  <c r="L1048" i="5"/>
  <c r="L1358" i="5"/>
  <c r="L240" i="5"/>
  <c r="L526" i="5"/>
  <c r="L1131" i="5"/>
  <c r="L2109" i="5"/>
  <c r="L885" i="5"/>
  <c r="L205" i="5"/>
  <c r="L1574" i="5"/>
  <c r="L972" i="5"/>
  <c r="L585" i="5"/>
  <c r="L2196" i="5"/>
  <c r="L2197" i="5"/>
  <c r="L973" i="5"/>
  <c r="L1359" i="5"/>
  <c r="L1360" i="5"/>
  <c r="L527" i="5"/>
  <c r="L528" i="5"/>
  <c r="L1989" i="5"/>
  <c r="L657" i="5"/>
  <c r="L658" i="5"/>
  <c r="L1798" i="5"/>
  <c r="L659" i="5"/>
  <c r="L410" i="5"/>
  <c r="L886" i="5"/>
  <c r="L887" i="5"/>
  <c r="L660" i="5"/>
  <c r="L750" i="5"/>
  <c r="L1756" i="5"/>
  <c r="L284" i="5"/>
  <c r="L751" i="5"/>
  <c r="L752" i="5"/>
  <c r="L1906" i="5"/>
  <c r="L241" i="5"/>
  <c r="L79" i="5"/>
  <c r="L1049" i="5"/>
  <c r="L1050" i="5"/>
  <c r="L823" i="5"/>
  <c r="L753" i="5"/>
  <c r="L1361" i="5"/>
  <c r="L1362" i="5"/>
  <c r="L1312" i="5"/>
  <c r="L334" i="5"/>
  <c r="L1264" i="5"/>
  <c r="L529" i="5"/>
  <c r="L371" i="5"/>
  <c r="L1990" i="5"/>
  <c r="L1313" i="5"/>
  <c r="L1951" i="5"/>
  <c r="L1907" i="5"/>
  <c r="L1434" i="5"/>
  <c r="L1799" i="5"/>
  <c r="L1952" i="5"/>
  <c r="L411" i="5"/>
  <c r="L285" i="5"/>
  <c r="L454" i="5"/>
  <c r="L1265" i="5"/>
  <c r="L1520" i="5"/>
  <c r="L1701" i="5"/>
  <c r="L1051" i="5"/>
  <c r="L754" i="5"/>
  <c r="L1953" i="5"/>
  <c r="L755" i="5"/>
  <c r="L530" i="5"/>
  <c r="L1606" i="5"/>
  <c r="L2141" i="5"/>
  <c r="L1435" i="5"/>
  <c r="L661" i="5"/>
  <c r="L662" i="5"/>
  <c r="L586" i="5"/>
  <c r="L286" i="5"/>
  <c r="L1052" i="5"/>
  <c r="L206" i="5"/>
  <c r="L372" i="5"/>
  <c r="L1132" i="5"/>
  <c r="L1954" i="5"/>
  <c r="L242" i="5"/>
  <c r="L287" i="5"/>
  <c r="L1266" i="5"/>
  <c r="L373" i="5"/>
  <c r="L974" i="5"/>
  <c r="L2142" i="5"/>
  <c r="L1212" i="5"/>
  <c r="L1267" i="5"/>
  <c r="L288" i="5"/>
  <c r="L888" i="5"/>
  <c r="L889" i="5"/>
  <c r="L890" i="5"/>
  <c r="L891" i="5"/>
  <c r="L756" i="5"/>
  <c r="L1436" i="5"/>
  <c r="L1437" i="5"/>
  <c r="L587" i="5"/>
  <c r="L1053" i="5"/>
  <c r="L54" i="5"/>
  <c r="L2037" i="5"/>
  <c r="L1702" i="5"/>
  <c r="L892" i="5"/>
  <c r="L893" i="5"/>
  <c r="L243" i="5"/>
  <c r="L1133" i="5"/>
  <c r="L975" i="5"/>
  <c r="L531" i="5"/>
  <c r="L374" i="5"/>
  <c r="L1314" i="5"/>
  <c r="L2143" i="5"/>
  <c r="L111" i="5"/>
  <c r="L1852" i="5"/>
  <c r="L1268" i="5"/>
  <c r="L1757" i="5"/>
  <c r="L244" i="5"/>
  <c r="L245" i="5"/>
  <c r="L1054" i="5"/>
  <c r="L1055" i="5"/>
  <c r="L757" i="5"/>
  <c r="L412" i="5"/>
  <c r="L894" i="5"/>
  <c r="L1853" i="5"/>
  <c r="L27" i="5"/>
  <c r="L28" i="5"/>
  <c r="L1269" i="5"/>
  <c r="L895" i="5"/>
  <c r="L2079" i="5"/>
  <c r="L10" i="5"/>
  <c r="L11" i="5"/>
  <c r="L246" i="5"/>
  <c r="L171" i="5"/>
  <c r="L1363" i="5"/>
  <c r="L1854" i="5"/>
  <c r="L1056" i="5"/>
  <c r="L1057" i="5"/>
  <c r="L824" i="5"/>
  <c r="L825" i="5"/>
  <c r="L1991" i="5"/>
  <c r="L976" i="5"/>
  <c r="L1703" i="5"/>
  <c r="L663" i="5"/>
  <c r="L588" i="5"/>
  <c r="L2165" i="5"/>
  <c r="L375" i="5"/>
  <c r="L826" i="5"/>
  <c r="L827" i="5"/>
  <c r="L55" i="5"/>
  <c r="L589" i="5"/>
  <c r="L1521" i="5"/>
  <c r="L455" i="5"/>
  <c r="L172" i="5"/>
  <c r="L1704" i="5"/>
  <c r="L1438" i="5"/>
  <c r="L1522" i="5"/>
  <c r="L758" i="5"/>
  <c r="L112" i="5"/>
  <c r="L113" i="5"/>
  <c r="L1058" i="5"/>
  <c r="L2038" i="5"/>
  <c r="L1270" i="5"/>
  <c r="L532" i="5"/>
  <c r="L2110" i="5"/>
  <c r="L2111" i="5"/>
  <c r="L80" i="5"/>
  <c r="L81" i="5"/>
  <c r="L1134" i="5"/>
  <c r="L759" i="5"/>
  <c r="L207" i="5"/>
  <c r="L1705" i="5"/>
  <c r="L1135" i="5"/>
  <c r="L1523" i="5"/>
  <c r="L977" i="5"/>
  <c r="L828" i="5"/>
  <c r="L1364" i="5"/>
  <c r="L1213" i="5"/>
  <c r="L289" i="5"/>
  <c r="L1365" i="5"/>
  <c r="L1524" i="5"/>
  <c r="L896" i="5"/>
  <c r="L456" i="5"/>
  <c r="L1439" i="5"/>
  <c r="L208" i="5"/>
  <c r="L2039" i="5"/>
  <c r="L1758" i="5"/>
  <c r="L1575" i="5"/>
  <c r="L2040" i="5"/>
  <c r="L1525" i="5"/>
  <c r="L1059" i="5"/>
  <c r="L1060" i="5"/>
  <c r="L1366" i="5"/>
  <c r="L760" i="5"/>
  <c r="L761" i="5"/>
  <c r="L173" i="5"/>
  <c r="L413" i="5"/>
  <c r="L762" i="5"/>
  <c r="L664" i="5"/>
  <c r="L590" i="5"/>
  <c r="L1440" i="5"/>
  <c r="L1706" i="5"/>
  <c r="L533" i="5"/>
  <c r="L534" i="5"/>
  <c r="L591" i="5"/>
  <c r="L1061" i="5"/>
  <c r="L1062" i="5"/>
  <c r="L1271" i="5"/>
  <c r="L174" i="5"/>
  <c r="L2080" i="5"/>
  <c r="L457" i="5"/>
  <c r="L1441" i="5"/>
  <c r="L897" i="5"/>
  <c r="L1526" i="5"/>
  <c r="L1607" i="5"/>
  <c r="L1315" i="5"/>
  <c r="L1316" i="5"/>
  <c r="L247" i="5"/>
  <c r="L335" i="5"/>
  <c r="L1136" i="5"/>
  <c r="L898" i="5"/>
  <c r="L829" i="5"/>
  <c r="L1651" i="5"/>
  <c r="L1759" i="5"/>
  <c r="L290" i="5"/>
  <c r="L1955" i="5"/>
  <c r="L1063" i="5"/>
  <c r="L82" i="5"/>
  <c r="L978" i="5"/>
  <c r="L1137" i="5"/>
  <c r="L592" i="5"/>
  <c r="L665" i="5"/>
  <c r="L414" i="5"/>
  <c r="L899" i="5"/>
  <c r="L291" i="5"/>
  <c r="L248" i="5"/>
  <c r="L1486" i="5"/>
  <c r="L1064" i="5"/>
  <c r="L535" i="5"/>
  <c r="L666" i="5"/>
  <c r="L458" i="5"/>
  <c r="L979" i="5"/>
  <c r="L830" i="5"/>
  <c r="L415" i="5"/>
  <c r="L1576" i="5"/>
  <c r="L1577" i="5"/>
  <c r="L1652" i="5"/>
  <c r="L1855" i="5"/>
  <c r="L249" i="5"/>
  <c r="L593" i="5"/>
  <c r="L594" i="5"/>
  <c r="L900" i="5"/>
  <c r="L901" i="5"/>
  <c r="L763" i="5"/>
  <c r="L209" i="5"/>
  <c r="L376" i="5"/>
  <c r="L459" i="5"/>
  <c r="L595" i="5"/>
  <c r="L667" i="5"/>
  <c r="L668" i="5"/>
  <c r="L1527" i="5"/>
  <c r="L831" i="5"/>
  <c r="L1367" i="5"/>
  <c r="L2081" i="5"/>
  <c r="L416" i="5"/>
  <c r="L1214" i="5"/>
  <c r="L764" i="5"/>
  <c r="L669" i="5"/>
  <c r="L1317" i="5"/>
  <c r="L417" i="5"/>
  <c r="L980" i="5"/>
  <c r="L832" i="5"/>
  <c r="L1442" i="5"/>
  <c r="L670" i="5"/>
  <c r="L671" i="5"/>
  <c r="L460" i="5"/>
  <c r="L1065" i="5"/>
  <c r="L1760" i="5"/>
  <c r="L1653" i="5"/>
  <c r="L1654" i="5"/>
  <c r="L250" i="5"/>
  <c r="L981" i="5"/>
  <c r="L1215" i="5"/>
  <c r="L140" i="5"/>
  <c r="L1066" i="5"/>
  <c r="L1067" i="5"/>
  <c r="L596" i="5"/>
  <c r="L833" i="5"/>
  <c r="L834" i="5"/>
  <c r="L210" i="5"/>
  <c r="L83" i="5"/>
  <c r="L84" i="5"/>
  <c r="L982" i="5"/>
  <c r="L536" i="5"/>
  <c r="L292" i="5"/>
  <c r="L293" i="5"/>
  <c r="L56" i="5"/>
  <c r="L1608" i="5"/>
  <c r="L983" i="5"/>
  <c r="L1138" i="5"/>
  <c r="L175" i="5"/>
  <c r="L211" i="5"/>
  <c r="L1068" i="5"/>
  <c r="L984" i="5"/>
  <c r="L212" i="5"/>
  <c r="L213" i="5"/>
  <c r="L1069" i="5"/>
  <c r="L1443" i="5"/>
  <c r="L1444" i="5"/>
  <c r="L114" i="5"/>
  <c r="L1139" i="5"/>
  <c r="L1272" i="5"/>
  <c r="L672" i="5"/>
  <c r="L1655" i="5"/>
  <c r="L1368" i="5"/>
  <c r="L1656" i="5"/>
  <c r="L2082" i="5"/>
  <c r="L141" i="5"/>
  <c r="L1273" i="5"/>
  <c r="L214" i="5"/>
  <c r="L377" i="5"/>
  <c r="L597" i="5"/>
  <c r="L1856" i="5"/>
  <c r="L598" i="5"/>
  <c r="L1369" i="5"/>
  <c r="L336" i="5"/>
  <c r="L85" i="5"/>
  <c r="L86" i="5"/>
  <c r="L537" i="5"/>
  <c r="L538" i="5"/>
  <c r="L337" i="5"/>
  <c r="L1657" i="5"/>
  <c r="L378" i="5"/>
  <c r="L2041" i="5"/>
  <c r="L539" i="5"/>
  <c r="L835" i="5"/>
  <c r="L294" i="5"/>
  <c r="L295" i="5"/>
  <c r="L1318" i="5"/>
  <c r="L2179" i="5"/>
  <c r="L296" i="5"/>
  <c r="L2042" i="5"/>
  <c r="L2112" i="5"/>
  <c r="L1609" i="5"/>
  <c r="L1610" i="5"/>
  <c r="L1140" i="5"/>
  <c r="L1761" i="5"/>
  <c r="L176" i="5"/>
  <c r="L418" i="5"/>
  <c r="L1319" i="5"/>
  <c r="L115" i="5"/>
  <c r="L461" i="5"/>
  <c r="L599" i="5"/>
  <c r="L902" i="5"/>
  <c r="L379" i="5"/>
  <c r="L540" i="5"/>
  <c r="L338" i="5"/>
  <c r="L765" i="5"/>
  <c r="L2180" i="5"/>
  <c r="L2083" i="5"/>
  <c r="L1956" i="5"/>
  <c r="L251" i="5"/>
  <c r="L462" i="5"/>
  <c r="L1141" i="5"/>
  <c r="L1578" i="5"/>
  <c r="L1611" i="5"/>
  <c r="L985" i="5"/>
  <c r="L2113" i="5"/>
  <c r="L903" i="5"/>
  <c r="L177" i="5"/>
  <c r="L904" i="5"/>
  <c r="L1612" i="5"/>
  <c r="L297" i="5"/>
  <c r="L298" i="5"/>
  <c r="L1274" i="5"/>
  <c r="L1370" i="5"/>
  <c r="L2084" i="5"/>
  <c r="L1070" i="5"/>
  <c r="L673" i="5"/>
  <c r="L674" i="5"/>
  <c r="L1707" i="5"/>
  <c r="L1216" i="5"/>
  <c r="L380" i="5"/>
  <c r="L45" i="5"/>
  <c r="L1071" i="5"/>
  <c r="L178" i="5"/>
  <c r="L986" i="5"/>
  <c r="L836" i="5"/>
  <c r="L252" i="5"/>
  <c r="L1320" i="5"/>
  <c r="L179" i="5"/>
  <c r="L2144" i="5"/>
  <c r="L1762" i="5"/>
  <c r="L1763" i="5"/>
  <c r="L541" i="5"/>
  <c r="L675" i="5"/>
  <c r="L1217" i="5"/>
  <c r="L987" i="5"/>
  <c r="L905" i="5"/>
  <c r="L542" i="5"/>
  <c r="L1857" i="5"/>
  <c r="L57" i="5"/>
  <c r="L1800" i="5"/>
  <c r="L1801" i="5"/>
  <c r="L837" i="5"/>
  <c r="L419" i="5"/>
  <c r="L1142" i="5"/>
  <c r="L1321" i="5"/>
  <c r="L543" i="5"/>
  <c r="L1072" i="5"/>
  <c r="L544" i="5"/>
  <c r="L1073" i="5"/>
  <c r="L253" i="5"/>
  <c r="L142" i="5"/>
  <c r="L838" i="5"/>
  <c r="L839" i="5"/>
  <c r="L87" i="5"/>
  <c r="L906" i="5"/>
  <c r="L2181" i="5"/>
  <c r="L600" i="5"/>
  <c r="L1218" i="5"/>
  <c r="L1219" i="5"/>
  <c r="L299" i="5"/>
  <c r="L180" i="5"/>
  <c r="L988" i="5"/>
  <c r="L676" i="5"/>
  <c r="L420" i="5"/>
  <c r="L116" i="5"/>
  <c r="L989" i="5"/>
  <c r="L545" i="5"/>
  <c r="L546" i="5"/>
  <c r="L990" i="5"/>
  <c r="L339" i="5"/>
  <c r="L58" i="5"/>
  <c r="L117" i="5"/>
  <c r="L907" i="5"/>
  <c r="L463" i="5"/>
  <c r="L464" i="5"/>
  <c r="L254" i="5"/>
  <c r="L381" i="5"/>
  <c r="L991" i="5"/>
  <c r="L465" i="5"/>
  <c r="L340" i="5"/>
  <c r="L382" i="5"/>
  <c r="L59" i="5"/>
  <c r="L1708" i="5"/>
  <c r="L1143" i="5"/>
  <c r="L1144" i="5"/>
  <c r="L300" i="5"/>
  <c r="L677" i="5"/>
  <c r="L255" i="5"/>
  <c r="L766" i="5"/>
  <c r="L1220" i="5"/>
  <c r="L143" i="5"/>
  <c r="L601" i="5"/>
  <c r="L1275" i="5"/>
  <c r="L466" i="5"/>
  <c r="L678" i="5"/>
  <c r="L341" i="5"/>
  <c r="L1145" i="5"/>
  <c r="L342" i="5"/>
  <c r="L908" i="5"/>
  <c r="L1802" i="5"/>
  <c r="L301" i="5"/>
  <c r="L1445" i="5"/>
  <c r="L1446" i="5"/>
  <c r="L181" i="5"/>
  <c r="L144" i="5"/>
  <c r="L118" i="5"/>
  <c r="L119" i="5"/>
  <c r="L1709" i="5"/>
  <c r="L1992" i="5"/>
  <c r="L1221" i="5"/>
  <c r="L256" i="5"/>
  <c r="L1146" i="5"/>
  <c r="L215" i="5"/>
  <c r="L1528" i="5"/>
  <c r="L1147" i="5"/>
  <c r="L383" i="5"/>
  <c r="L1074" i="5"/>
  <c r="L1075" i="5"/>
  <c r="L547" i="5"/>
  <c r="L548" i="5"/>
  <c r="L602" i="5"/>
  <c r="L909" i="5"/>
  <c r="L767" i="5"/>
  <c r="L1371" i="5"/>
  <c r="L1372" i="5"/>
  <c r="L1148" i="5"/>
  <c r="L1322" i="5"/>
  <c r="L1323" i="5"/>
  <c r="L1908" i="5"/>
  <c r="L182" i="5"/>
  <c r="L1957" i="5"/>
  <c r="L343" i="5"/>
  <c r="L145" i="5"/>
  <c r="L1529" i="5"/>
  <c r="L1530" i="5"/>
  <c r="L1222" i="5"/>
  <c r="L216" i="5"/>
  <c r="L1858" i="5"/>
  <c r="L768" i="5"/>
  <c r="L2085" i="5"/>
  <c r="L769" i="5"/>
  <c r="L302" i="5"/>
  <c r="L1658" i="5"/>
  <c r="L603" i="5"/>
  <c r="L1149" i="5"/>
  <c r="L992" i="5"/>
  <c r="L303" i="5"/>
  <c r="L1803" i="5"/>
  <c r="L1804" i="5"/>
  <c r="L183" i="5"/>
  <c r="L1223" i="5"/>
  <c r="L184" i="5"/>
  <c r="L185" i="5"/>
  <c r="L304" i="5"/>
  <c r="L679" i="5"/>
  <c r="L467" i="5"/>
  <c r="L88" i="5"/>
  <c r="L993" i="5"/>
  <c r="L217" i="5"/>
  <c r="L549" i="5"/>
  <c r="L840" i="5"/>
  <c r="L146" i="5"/>
  <c r="L344" i="5"/>
  <c r="L680" i="5"/>
  <c r="L604" i="5"/>
  <c r="L910" i="5"/>
  <c r="L1150" i="5"/>
  <c r="L1151" i="5"/>
  <c r="L218" i="5"/>
  <c r="L120" i="5"/>
  <c r="L186" i="5"/>
  <c r="L911" i="5"/>
  <c r="L187" i="5"/>
  <c r="L188" i="5"/>
  <c r="L468" i="5"/>
  <c r="L46" i="5"/>
  <c r="L681" i="5"/>
  <c r="L682" i="5"/>
  <c r="L841" i="5"/>
  <c r="L842" i="5"/>
  <c r="L219" i="5"/>
  <c r="L220" i="5"/>
  <c r="L770" i="5"/>
  <c r="L1659" i="5"/>
  <c r="L1152" i="5"/>
  <c r="L1276" i="5"/>
  <c r="L1277" i="5"/>
  <c r="L221" i="5"/>
  <c r="L189" i="5"/>
  <c r="L345" i="5"/>
  <c r="L384" i="5"/>
  <c r="L385" i="5"/>
  <c r="L843" i="5"/>
  <c r="L1278" i="5"/>
  <c r="L421" i="5"/>
  <c r="L257" i="5"/>
  <c r="L912" i="5"/>
  <c r="L60" i="5"/>
  <c r="L61" i="5"/>
  <c r="L62" i="5"/>
  <c r="L258" i="5"/>
  <c r="L1076" i="5"/>
  <c r="L29" i="5"/>
  <c r="L1487" i="5"/>
  <c r="L1488" i="5"/>
  <c r="L1710" i="5"/>
  <c r="L1711" i="5"/>
  <c r="L1712" i="5"/>
  <c r="L1224" i="5"/>
  <c r="L346" i="5"/>
  <c r="L844" i="5"/>
  <c r="L89" i="5"/>
  <c r="L63" i="5"/>
  <c r="L147" i="5"/>
  <c r="L64" i="5"/>
  <c r="L222" i="5"/>
  <c r="L2198" i="5"/>
  <c r="L469" i="5"/>
  <c r="L683" i="5"/>
  <c r="L90" i="5"/>
  <c r="L771" i="5"/>
  <c r="L550" i="5"/>
  <c r="L148" i="5"/>
  <c r="L30" i="5"/>
  <c r="L684" i="5"/>
  <c r="L1660" i="5"/>
  <c r="L1661" i="5"/>
  <c r="L551" i="5"/>
  <c r="L772" i="5"/>
  <c r="L685" i="5"/>
  <c r="L1613" i="5"/>
  <c r="L2114" i="5"/>
  <c r="L470" i="5"/>
  <c r="L1077" i="5"/>
  <c r="L223" i="5"/>
  <c r="L552" i="5"/>
  <c r="L259" i="5"/>
  <c r="L260" i="5"/>
  <c r="L121" i="5"/>
  <c r="L65" i="5"/>
  <c r="L471" i="5"/>
  <c r="L422" i="5"/>
  <c r="L472" i="5"/>
  <c r="L1859" i="5"/>
  <c r="L122" i="5"/>
  <c r="L261" i="5"/>
  <c r="L1153" i="5"/>
  <c r="L1154" i="5"/>
  <c r="L473" i="5"/>
  <c r="L474" i="5"/>
  <c r="L31" i="5"/>
  <c r="L423" i="5"/>
  <c r="L1764" i="5"/>
  <c r="L149" i="5"/>
  <c r="L2086" i="5"/>
  <c r="L1531" i="5"/>
  <c r="L190" i="5"/>
  <c r="L686" i="5"/>
  <c r="L262" i="5"/>
  <c r="L1860" i="5"/>
  <c r="L424" i="5"/>
  <c r="L5" i="5"/>
  <c r="L994" i="5"/>
  <c r="L1225" i="5"/>
  <c r="L123" i="5"/>
  <c r="L1662" i="5"/>
  <c r="L687" i="5"/>
  <c r="L475" i="5"/>
  <c r="L1155" i="5"/>
  <c r="L2043" i="5"/>
  <c r="L688" i="5"/>
  <c r="L553" i="5"/>
  <c r="L773" i="5"/>
  <c r="L263" i="5"/>
  <c r="L91" i="5"/>
  <c r="L92" i="5"/>
  <c r="L93" i="5"/>
  <c r="L1078" i="5"/>
  <c r="L913" i="5"/>
  <c r="L689" i="5"/>
  <c r="L94" i="5"/>
  <c r="L191" i="5"/>
  <c r="L2044" i="5"/>
  <c r="L47" i="5"/>
  <c r="L914" i="5"/>
  <c r="L774" i="5"/>
  <c r="L690" i="5"/>
  <c r="L691" i="5"/>
  <c r="L554" i="5"/>
  <c r="L476" i="5"/>
  <c r="L477" i="5"/>
  <c r="L224" i="5"/>
  <c r="L192" i="5"/>
  <c r="L150" i="5"/>
  <c r="L32" i="5"/>
  <c r="L6" i="5"/>
  <c r="L1373" i="5"/>
  <c r="L1805" i="5"/>
  <c r="L347" i="5"/>
  <c r="L2115" i="5"/>
  <c r="L692" i="5"/>
  <c r="L1447" i="5"/>
  <c r="L1226" i="5"/>
  <c r="L1532" i="5"/>
  <c r="L915" i="5"/>
  <c r="L478" i="5"/>
  <c r="L1079" i="5"/>
  <c r="K2199" i="5"/>
  <c r="K1080" i="5"/>
  <c r="K775" i="5"/>
  <c r="K555" i="5"/>
  <c r="K264" i="5"/>
  <c r="K1614" i="5"/>
  <c r="K1615" i="5"/>
  <c r="K556" i="5"/>
  <c r="K48" i="5"/>
  <c r="K386" i="5"/>
  <c r="K12" i="5"/>
  <c r="K124" i="5"/>
  <c r="K1157" i="5"/>
  <c r="K2045" i="5"/>
  <c r="K1713" i="5"/>
  <c r="K1958" i="5"/>
  <c r="K1959" i="5"/>
  <c r="K1081" i="5"/>
  <c r="K1909" i="5"/>
  <c r="K2220" i="5"/>
  <c r="K845" i="5"/>
  <c r="K151" i="5"/>
  <c r="K20" i="5"/>
  <c r="K1616" i="5"/>
  <c r="K193" i="5"/>
  <c r="K265" i="5"/>
  <c r="K2145" i="5"/>
  <c r="K693" i="5"/>
  <c r="K152" i="5"/>
  <c r="K2166" i="5"/>
  <c r="K995" i="5"/>
  <c r="K1806" i="5"/>
  <c r="K49" i="5"/>
  <c r="K348" i="5"/>
  <c r="K1910" i="5"/>
  <c r="K2146" i="5"/>
  <c r="K1082" i="5"/>
  <c r="K266" i="5"/>
  <c r="K33" i="5"/>
  <c r="K34" i="5"/>
  <c r="K1807" i="5"/>
  <c r="K425" i="5"/>
  <c r="K35" i="5"/>
  <c r="K95" i="5"/>
  <c r="K1808" i="5"/>
  <c r="K225" i="5"/>
  <c r="K36" i="5"/>
  <c r="K846" i="5"/>
  <c r="K267" i="5"/>
  <c r="K1324" i="5"/>
  <c r="K1663" i="5"/>
  <c r="K1617" i="5"/>
  <c r="K66" i="5"/>
  <c r="K1579" i="5"/>
  <c r="K349" i="5"/>
  <c r="K426" i="5"/>
  <c r="K479" i="5"/>
  <c r="K1664" i="5"/>
  <c r="K1665" i="5"/>
  <c r="K96" i="5"/>
  <c r="K1618" i="5"/>
  <c r="K1666" i="5"/>
  <c r="K268" i="5"/>
  <c r="K350" i="5"/>
  <c r="K21" i="5"/>
  <c r="K996" i="5"/>
  <c r="K916" i="5"/>
  <c r="K917" i="5"/>
  <c r="K694" i="5"/>
  <c r="K1911" i="5"/>
  <c r="K2046" i="5"/>
  <c r="K269" i="5"/>
  <c r="K1580" i="5"/>
  <c r="K1809" i="5"/>
  <c r="K1325" i="5"/>
  <c r="K1534" i="5"/>
  <c r="K37" i="5"/>
  <c r="K847" i="5"/>
  <c r="K480" i="5"/>
  <c r="K67" i="5"/>
  <c r="K1535" i="5"/>
  <c r="K1536" i="5"/>
  <c r="K427" i="5"/>
  <c r="K1912" i="5"/>
  <c r="K1448" i="5"/>
  <c r="K605" i="5"/>
  <c r="K1714" i="5"/>
  <c r="K1993" i="5"/>
  <c r="K557" i="5"/>
  <c r="K1960" i="5"/>
  <c r="K918" i="5"/>
  <c r="K919" i="5"/>
  <c r="K1581" i="5"/>
  <c r="K1083" i="5"/>
  <c r="K1374" i="5"/>
  <c r="K1375" i="5"/>
  <c r="K1994" i="5"/>
  <c r="K1715" i="5"/>
  <c r="K97" i="5"/>
  <c r="K98" i="5"/>
  <c r="K695" i="5"/>
  <c r="K305" i="5"/>
  <c r="K306" i="5"/>
  <c r="K1810" i="5"/>
  <c r="K848" i="5"/>
  <c r="K776" i="5"/>
  <c r="K1995" i="5"/>
  <c r="K1996" i="5"/>
  <c r="K1997" i="5"/>
  <c r="K2147" i="5"/>
  <c r="K696" i="5"/>
  <c r="K697" i="5"/>
  <c r="K2148" i="5"/>
  <c r="K1537" i="5"/>
  <c r="K1227" i="5"/>
  <c r="K22" i="5"/>
  <c r="K153" i="5"/>
  <c r="K920" i="5"/>
  <c r="K1084" i="5"/>
  <c r="K7" i="5"/>
  <c r="K1619" i="5"/>
  <c r="K921" i="5"/>
  <c r="K777" i="5"/>
  <c r="K154" i="5"/>
  <c r="K1376" i="5"/>
  <c r="K2182" i="5"/>
  <c r="K2183" i="5"/>
  <c r="K226" i="5"/>
  <c r="K2207" i="5"/>
  <c r="K2184" i="5"/>
  <c r="K1998" i="5"/>
  <c r="K778" i="5"/>
  <c r="K558" i="5"/>
  <c r="K1667" i="5"/>
  <c r="K1538" i="5"/>
  <c r="K1620" i="5"/>
  <c r="K387" i="5"/>
  <c r="K2087" i="5"/>
  <c r="K1326" i="5"/>
  <c r="K1861" i="5"/>
  <c r="K1765" i="5"/>
  <c r="K1766" i="5"/>
  <c r="K155" i="5"/>
  <c r="K1582" i="5"/>
  <c r="K559" i="5"/>
  <c r="K1449" i="5"/>
  <c r="K481" i="5"/>
  <c r="K1539" i="5"/>
  <c r="K1085" i="5"/>
  <c r="K2149" i="5"/>
  <c r="K2150" i="5"/>
  <c r="K270" i="5"/>
  <c r="K1767" i="5"/>
  <c r="K1583" i="5"/>
  <c r="K1540" i="5"/>
  <c r="K606" i="5"/>
  <c r="K1621" i="5"/>
  <c r="K1999" i="5"/>
  <c r="K388" i="5"/>
  <c r="K389" i="5"/>
  <c r="K2116" i="5"/>
  <c r="K271" i="5"/>
  <c r="K1158" i="5"/>
  <c r="K2167" i="5"/>
  <c r="K1279" i="5"/>
  <c r="K125" i="5"/>
  <c r="K126" i="5"/>
  <c r="K1716" i="5"/>
  <c r="K1489" i="5"/>
  <c r="K1450" i="5"/>
  <c r="K68" i="5"/>
  <c r="K69" i="5"/>
  <c r="K1086" i="5"/>
  <c r="K698" i="5"/>
  <c r="K1377" i="5"/>
  <c r="K1378" i="5"/>
  <c r="K2168" i="5"/>
  <c r="K1717" i="5"/>
  <c r="K1668" i="5"/>
  <c r="K1159" i="5"/>
  <c r="K1584" i="5"/>
  <c r="K156" i="5"/>
  <c r="K2047" i="5"/>
  <c r="K1961" i="5"/>
  <c r="K2088" i="5"/>
  <c r="K1718" i="5"/>
  <c r="K1490" i="5"/>
  <c r="K13" i="5"/>
  <c r="K8" i="5"/>
  <c r="K2208" i="5"/>
  <c r="K997" i="5"/>
  <c r="K998" i="5"/>
  <c r="K699" i="5"/>
  <c r="K1327" i="5"/>
  <c r="K1862" i="5"/>
  <c r="K2117" i="5"/>
  <c r="K1087" i="5"/>
  <c r="K1863" i="5"/>
  <c r="K2209" i="5"/>
  <c r="K700" i="5"/>
  <c r="K157" i="5"/>
  <c r="K922" i="5"/>
  <c r="K923" i="5"/>
  <c r="K14" i="5"/>
  <c r="K1491" i="5"/>
  <c r="K1492" i="5"/>
  <c r="K1913" i="5"/>
  <c r="K390" i="5"/>
  <c r="K1328" i="5"/>
  <c r="K607" i="5"/>
  <c r="K924" i="5"/>
  <c r="K307" i="5"/>
  <c r="K1914" i="5"/>
  <c r="K1669" i="5"/>
  <c r="K1719" i="5"/>
  <c r="K1864" i="5"/>
  <c r="K1720" i="5"/>
  <c r="K1160" i="5"/>
  <c r="K608" i="5"/>
  <c r="K779" i="5"/>
  <c r="K227" i="5"/>
  <c r="K849" i="5"/>
  <c r="K850" i="5"/>
  <c r="K1622" i="5"/>
  <c r="K158" i="5"/>
  <c r="K1811" i="5"/>
  <c r="K1088" i="5"/>
  <c r="K1585" i="5"/>
  <c r="K15" i="5"/>
  <c r="K701" i="5"/>
  <c r="K702" i="5"/>
  <c r="K1280" i="5"/>
  <c r="K1281" i="5"/>
  <c r="K1451" i="5"/>
  <c r="K1721" i="5"/>
  <c r="K2048" i="5"/>
  <c r="K999" i="5"/>
  <c r="K851" i="5"/>
  <c r="K1452" i="5"/>
  <c r="K391" i="5"/>
  <c r="K560" i="5"/>
  <c r="K272" i="5"/>
  <c r="K1000" i="5"/>
  <c r="K1768" i="5"/>
  <c r="K1089" i="5"/>
  <c r="K2185" i="5"/>
  <c r="K1769" i="5"/>
  <c r="K2049" i="5"/>
  <c r="K2050" i="5"/>
  <c r="K1623" i="5"/>
  <c r="K2151" i="5"/>
  <c r="K1329" i="5"/>
  <c r="K609" i="5"/>
  <c r="K159" i="5"/>
  <c r="K1670" i="5"/>
  <c r="K1722" i="5"/>
  <c r="K99" i="5"/>
  <c r="K780" i="5"/>
  <c r="K2169" i="5"/>
  <c r="K925" i="5"/>
  <c r="K1001" i="5"/>
  <c r="K1812" i="5"/>
  <c r="K926" i="5"/>
  <c r="K1915" i="5"/>
  <c r="K351" i="5"/>
  <c r="K1282" i="5"/>
  <c r="K1723" i="5"/>
  <c r="K70" i="5"/>
  <c r="K1283" i="5"/>
  <c r="K1284" i="5"/>
  <c r="K2170" i="5"/>
  <c r="K1090" i="5"/>
  <c r="K2000" i="5"/>
  <c r="K2214" i="5"/>
  <c r="K482" i="5"/>
  <c r="K428" i="5"/>
  <c r="K1671" i="5"/>
  <c r="K2171" i="5"/>
  <c r="K1493" i="5"/>
  <c r="K1228" i="5"/>
  <c r="K1813" i="5"/>
  <c r="K392" i="5"/>
  <c r="K1379" i="5"/>
  <c r="K429" i="5"/>
  <c r="K430" i="5"/>
  <c r="K1770" i="5"/>
  <c r="K1494" i="5"/>
  <c r="K2152" i="5"/>
  <c r="K927" i="5"/>
  <c r="K1624" i="5"/>
  <c r="K2001" i="5"/>
  <c r="K1865" i="5"/>
  <c r="K2118" i="5"/>
  <c r="K1285" i="5"/>
  <c r="K2089" i="5"/>
  <c r="K1380" i="5"/>
  <c r="K1916" i="5"/>
  <c r="K1161" i="5"/>
  <c r="K273" i="5"/>
  <c r="K1541" i="5"/>
  <c r="K703" i="5"/>
  <c r="K1814" i="5"/>
  <c r="K704" i="5"/>
  <c r="K1091" i="5"/>
  <c r="K1002" i="5"/>
  <c r="K393" i="5"/>
  <c r="K1672" i="5"/>
  <c r="K928" i="5"/>
  <c r="K2153" i="5"/>
  <c r="K1542" i="5"/>
  <c r="K1543" i="5"/>
  <c r="K705" i="5"/>
  <c r="K1625" i="5"/>
  <c r="K1866" i="5"/>
  <c r="K1229" i="5"/>
  <c r="K2051" i="5"/>
  <c r="K2215" i="5"/>
  <c r="K610" i="5"/>
  <c r="K127" i="5"/>
  <c r="K308" i="5"/>
  <c r="K309" i="5"/>
  <c r="K352" i="5"/>
  <c r="K353" i="5"/>
  <c r="K1162" i="5"/>
  <c r="K1286" i="5"/>
  <c r="K781" i="5"/>
  <c r="K1230" i="5"/>
  <c r="K431" i="5"/>
  <c r="K432" i="5"/>
  <c r="K611" i="5"/>
  <c r="K483" i="5"/>
  <c r="K71" i="5"/>
  <c r="K1092" i="5"/>
  <c r="K1724" i="5"/>
  <c r="K561" i="5"/>
  <c r="K1917" i="5"/>
  <c r="K1771" i="5"/>
  <c r="K2002" i="5"/>
  <c r="K1381" i="5"/>
  <c r="K1867" i="5"/>
  <c r="K929" i="5"/>
  <c r="K1453" i="5"/>
  <c r="K1725" i="5"/>
  <c r="K2003" i="5"/>
  <c r="K2004" i="5"/>
  <c r="K23" i="5"/>
  <c r="K1544" i="5"/>
  <c r="K1673" i="5"/>
  <c r="K1962" i="5"/>
  <c r="K612" i="5"/>
  <c r="K562" i="5"/>
  <c r="K1163" i="5"/>
  <c r="K1586" i="5"/>
  <c r="K1587" i="5"/>
  <c r="K2119" i="5"/>
  <c r="K1093" i="5"/>
  <c r="K1382" i="5"/>
  <c r="K1868" i="5"/>
  <c r="K930" i="5"/>
  <c r="K1918" i="5"/>
  <c r="K1003" i="5"/>
  <c r="K2172" i="5"/>
  <c r="K16" i="5"/>
  <c r="K17" i="5"/>
  <c r="K1004" i="5"/>
  <c r="K1869" i="5"/>
  <c r="K1726" i="5"/>
  <c r="K50" i="5"/>
  <c r="K706" i="5"/>
  <c r="K707" i="5"/>
  <c r="K310" i="5"/>
  <c r="K613" i="5"/>
  <c r="K128" i="5"/>
  <c r="K852" i="5"/>
  <c r="K1963" i="5"/>
  <c r="K484" i="5"/>
  <c r="K1772" i="5"/>
  <c r="K2052" i="5"/>
  <c r="K1005" i="5"/>
  <c r="K51" i="5"/>
  <c r="K1383" i="5"/>
  <c r="K1231" i="5"/>
  <c r="K129" i="5"/>
  <c r="K311" i="5"/>
  <c r="K1164" i="5"/>
  <c r="K130" i="5"/>
  <c r="K228" i="5"/>
  <c r="K708" i="5"/>
  <c r="K1626" i="5"/>
  <c r="K2173" i="5"/>
  <c r="K2174" i="5"/>
  <c r="K1495" i="5"/>
  <c r="K1094" i="5"/>
  <c r="K1095" i="5"/>
  <c r="K1870" i="5"/>
  <c r="K1727" i="5"/>
  <c r="K194" i="5"/>
  <c r="K1545" i="5"/>
  <c r="K1165" i="5"/>
  <c r="K2120" i="5"/>
  <c r="K1871" i="5"/>
  <c r="K1872" i="5"/>
  <c r="K229" i="5"/>
  <c r="K1919" i="5"/>
  <c r="K931" i="5"/>
  <c r="K1166" i="5"/>
  <c r="K18" i="5"/>
  <c r="K614" i="5"/>
  <c r="K615" i="5"/>
  <c r="K2121" i="5"/>
  <c r="K2053" i="5"/>
  <c r="K1006" i="5"/>
  <c r="K2005" i="5"/>
  <c r="K1546" i="5"/>
  <c r="K1384" i="5"/>
  <c r="K485" i="5"/>
  <c r="K563" i="5"/>
  <c r="K782" i="5"/>
  <c r="K1920" i="5"/>
  <c r="K1921" i="5"/>
  <c r="K354" i="5"/>
  <c r="K433" i="5"/>
  <c r="K2122" i="5"/>
  <c r="K1547" i="5"/>
  <c r="K1007" i="5"/>
  <c r="K2054" i="5"/>
  <c r="K1728" i="5"/>
  <c r="K160" i="5"/>
  <c r="K161" i="5"/>
  <c r="K1815" i="5"/>
  <c r="K564" i="5"/>
  <c r="K312" i="5"/>
  <c r="K313" i="5"/>
  <c r="K486" i="5"/>
  <c r="K1008" i="5"/>
  <c r="K1009" i="5"/>
  <c r="K1674" i="5"/>
  <c r="K1729" i="5"/>
  <c r="K1548" i="5"/>
  <c r="K434" i="5"/>
  <c r="K1385" i="5"/>
  <c r="K2200" i="5"/>
  <c r="K1010" i="5"/>
  <c r="K1386" i="5"/>
  <c r="K783" i="5"/>
  <c r="K1549" i="5"/>
  <c r="K487" i="5"/>
  <c r="K1816" i="5"/>
  <c r="K1675" i="5"/>
  <c r="K1676" i="5"/>
  <c r="K1387" i="5"/>
  <c r="K616" i="5"/>
  <c r="K1677" i="5"/>
  <c r="K9" i="5"/>
  <c r="K853" i="5"/>
  <c r="K1773" i="5"/>
  <c r="K2055" i="5"/>
  <c r="K488" i="5"/>
  <c r="K1627" i="5"/>
  <c r="K195" i="5"/>
  <c r="K932" i="5"/>
  <c r="K1388" i="5"/>
  <c r="K1389" i="5"/>
  <c r="K617" i="5"/>
  <c r="K1011" i="5"/>
  <c r="K1287" i="5"/>
  <c r="K394" i="5"/>
  <c r="K2056" i="5"/>
  <c r="K1232" i="5"/>
  <c r="K1330" i="5"/>
  <c r="K2154" i="5"/>
  <c r="K1288" i="5"/>
  <c r="K230" i="5"/>
  <c r="K1873" i="5"/>
  <c r="K1096" i="5"/>
  <c r="K196" i="5"/>
  <c r="K197" i="5"/>
  <c r="K1233" i="5"/>
  <c r="K2006" i="5"/>
  <c r="K19" i="5"/>
  <c r="K1964" i="5"/>
  <c r="K489" i="5"/>
  <c r="K1922" i="5"/>
  <c r="K618" i="5"/>
  <c r="K2201" i="5"/>
  <c r="K435" i="5"/>
  <c r="K2175" i="5"/>
  <c r="K709" i="5"/>
  <c r="K1331" i="5"/>
  <c r="K619" i="5"/>
  <c r="K620" i="5"/>
  <c r="K2123" i="5"/>
  <c r="K274" i="5"/>
  <c r="K933" i="5"/>
  <c r="K1167" i="5"/>
  <c r="K1390" i="5"/>
  <c r="K1923" i="5"/>
  <c r="K314" i="5"/>
  <c r="K315" i="5"/>
  <c r="K1391" i="5"/>
  <c r="K1454" i="5"/>
  <c r="K1012" i="5"/>
  <c r="K1168" i="5"/>
  <c r="K1392" i="5"/>
  <c r="K162" i="5"/>
  <c r="K2007" i="5"/>
  <c r="K1332" i="5"/>
  <c r="K2202" i="5"/>
  <c r="K784" i="5"/>
  <c r="K2057" i="5"/>
  <c r="K1234" i="5"/>
  <c r="K395" i="5"/>
  <c r="K1550" i="5"/>
  <c r="K3" i="5"/>
  <c r="K275" i="5"/>
  <c r="K396" i="5"/>
  <c r="K1169" i="5"/>
  <c r="K854" i="5"/>
  <c r="K565" i="5"/>
  <c r="K2124" i="5"/>
  <c r="K710" i="5"/>
  <c r="K1965" i="5"/>
  <c r="K1393" i="5"/>
  <c r="K1817" i="5"/>
  <c r="K934" i="5"/>
  <c r="K2008" i="5"/>
  <c r="K1394" i="5"/>
  <c r="K1395" i="5"/>
  <c r="K316" i="5"/>
  <c r="K317" i="5"/>
  <c r="K2125" i="5"/>
  <c r="K1730" i="5"/>
  <c r="K1097" i="5"/>
  <c r="K1098" i="5"/>
  <c r="K1333" i="5"/>
  <c r="K1099" i="5"/>
  <c r="K1678" i="5"/>
  <c r="K1289" i="5"/>
  <c r="K1170" i="5"/>
  <c r="K1171" i="5"/>
  <c r="K38" i="5"/>
  <c r="K39" i="5"/>
  <c r="K2186" i="5"/>
  <c r="K100" i="5"/>
  <c r="K101" i="5"/>
  <c r="K318" i="5"/>
  <c r="K102" i="5"/>
  <c r="K103" i="5"/>
  <c r="K1172" i="5"/>
  <c r="K2" i="5"/>
  <c r="K621" i="5"/>
  <c r="K785" i="5"/>
  <c r="K1455" i="5"/>
  <c r="K1731" i="5"/>
  <c r="K436" i="5"/>
  <c r="K1774" i="5"/>
  <c r="K1456" i="5"/>
  <c r="K40" i="5"/>
  <c r="K1496" i="5"/>
  <c r="K1497" i="5"/>
  <c r="K2176" i="5"/>
  <c r="K490" i="5"/>
  <c r="K2126" i="5"/>
  <c r="K2127" i="5"/>
  <c r="K711" i="5"/>
  <c r="K1679" i="5"/>
  <c r="K1628" i="5"/>
  <c r="K2058" i="5"/>
  <c r="K131" i="5"/>
  <c r="K104" i="5"/>
  <c r="K105" i="5"/>
  <c r="K1100" i="5"/>
  <c r="K397" i="5"/>
  <c r="K2177" i="5"/>
  <c r="K786" i="5"/>
  <c r="K787" i="5"/>
  <c r="K788" i="5"/>
  <c r="K2009" i="5"/>
  <c r="K855" i="5"/>
  <c r="K132" i="5"/>
  <c r="K1101" i="5"/>
  <c r="K1102" i="5"/>
  <c r="K2059" i="5"/>
  <c r="K1173" i="5"/>
  <c r="K1103" i="5"/>
  <c r="K4" i="5"/>
  <c r="K1290" i="5"/>
  <c r="K1334" i="5"/>
  <c r="K1732" i="5"/>
  <c r="K1874" i="5"/>
  <c r="K1818" i="5"/>
  <c r="K1966" i="5"/>
  <c r="K2060" i="5"/>
  <c r="K491" i="5"/>
  <c r="K1924" i="5"/>
  <c r="K72" i="5"/>
  <c r="K106" i="5"/>
  <c r="K1733" i="5"/>
  <c r="K2187" i="5"/>
  <c r="K2188" i="5"/>
  <c r="K1291" i="5"/>
  <c r="K1104" i="5"/>
  <c r="K1775" i="5"/>
  <c r="K319" i="5"/>
  <c r="K320" i="5"/>
  <c r="K712" i="5"/>
  <c r="K1776" i="5"/>
  <c r="K1174" i="5"/>
  <c r="K1551" i="5"/>
  <c r="K198" i="5"/>
  <c r="K1396" i="5"/>
  <c r="K1175" i="5"/>
  <c r="K622" i="5"/>
  <c r="K1875" i="5"/>
  <c r="K1588" i="5"/>
  <c r="K2155" i="5"/>
  <c r="K492" i="5"/>
  <c r="K493" i="5"/>
  <c r="K1819" i="5"/>
  <c r="K1498" i="5"/>
  <c r="K1013" i="5"/>
  <c r="K1397" i="5"/>
  <c r="K2189" i="5"/>
  <c r="K1777" i="5"/>
  <c r="K2178" i="5"/>
  <c r="K623" i="5"/>
  <c r="K1105" i="5"/>
  <c r="K2203" i="5"/>
  <c r="K494" i="5"/>
  <c r="K1335" i="5"/>
  <c r="K1014" i="5"/>
  <c r="K1292" i="5"/>
  <c r="K1876" i="5"/>
  <c r="K1176" i="5"/>
  <c r="K1398" i="5"/>
  <c r="K1106" i="5"/>
  <c r="K935" i="5"/>
  <c r="K1629" i="5"/>
  <c r="K936" i="5"/>
  <c r="K937" i="5"/>
  <c r="K624" i="5"/>
  <c r="K789" i="5"/>
  <c r="K1967" i="5"/>
  <c r="K1457" i="5"/>
  <c r="K1458" i="5"/>
  <c r="K1680" i="5"/>
  <c r="K1734" i="5"/>
  <c r="K1778" i="5"/>
  <c r="K1779" i="5"/>
  <c r="K1780" i="5"/>
  <c r="K790" i="5"/>
  <c r="K231" i="5"/>
  <c r="K791" i="5"/>
  <c r="K856" i="5"/>
  <c r="K1925" i="5"/>
  <c r="K1926" i="5"/>
  <c r="K1552" i="5"/>
  <c r="K857" i="5"/>
  <c r="K398" i="5"/>
  <c r="K2210" i="5"/>
  <c r="K1399" i="5"/>
  <c r="K1877" i="5"/>
  <c r="K1735" i="5"/>
  <c r="K1177" i="5"/>
  <c r="K321" i="5"/>
  <c r="K1736" i="5"/>
  <c r="K713" i="5"/>
  <c r="K625" i="5"/>
  <c r="K626" i="5"/>
  <c r="K1293" i="5"/>
  <c r="K2216" i="5"/>
  <c r="K1681" i="5"/>
  <c r="K1737" i="5"/>
  <c r="K2061" i="5"/>
  <c r="K627" i="5"/>
  <c r="K2090" i="5"/>
  <c r="K1820" i="5"/>
  <c r="K1821" i="5"/>
  <c r="K1781" i="5"/>
  <c r="K2010" i="5"/>
  <c r="K495" i="5"/>
  <c r="K1015" i="5"/>
  <c r="K1016" i="5"/>
  <c r="K1107" i="5"/>
  <c r="K1235" i="5"/>
  <c r="K1927" i="5"/>
  <c r="K52" i="5"/>
  <c r="K1968" i="5"/>
  <c r="K1928" i="5"/>
  <c r="K938" i="5"/>
  <c r="K73" i="5"/>
  <c r="K1108" i="5"/>
  <c r="K199" i="5"/>
  <c r="K1589" i="5"/>
  <c r="K1590" i="5"/>
  <c r="K1499" i="5"/>
  <c r="K1400" i="5"/>
  <c r="K1459" i="5"/>
  <c r="K1969" i="5"/>
  <c r="K1460" i="5"/>
  <c r="K1822" i="5"/>
  <c r="K2190" i="5"/>
  <c r="K2191" i="5"/>
  <c r="K2011" i="5"/>
  <c r="K792" i="5"/>
  <c r="K1461" i="5"/>
  <c r="K1236" i="5"/>
  <c r="K1823" i="5"/>
  <c r="K1824" i="5"/>
  <c r="K1553" i="5"/>
  <c r="K496" i="5"/>
  <c r="K1237" i="5"/>
  <c r="K1238" i="5"/>
  <c r="K1239" i="5"/>
  <c r="K1336" i="5"/>
  <c r="K1337" i="5"/>
  <c r="K437" i="5"/>
  <c r="K497" i="5"/>
  <c r="K498" i="5"/>
  <c r="K1109" i="5"/>
  <c r="K1929" i="5"/>
  <c r="K858" i="5"/>
  <c r="K1462" i="5"/>
  <c r="K1630" i="5"/>
  <c r="K1631" i="5"/>
  <c r="K1591" i="5"/>
  <c r="K1592" i="5"/>
  <c r="K2204" i="5"/>
  <c r="K1294" i="5"/>
  <c r="K322" i="5"/>
  <c r="K24" i="5"/>
  <c r="K793" i="5"/>
  <c r="K794" i="5"/>
  <c r="K2091" i="5"/>
  <c r="K1682" i="5"/>
  <c r="K2012" i="5"/>
  <c r="K399" i="5"/>
  <c r="K1295" i="5"/>
  <c r="K1878" i="5"/>
  <c r="K1879" i="5"/>
  <c r="K1463" i="5"/>
  <c r="K1178" i="5"/>
  <c r="K163" i="5"/>
  <c r="K1683" i="5"/>
  <c r="K2205" i="5"/>
  <c r="K2128" i="5"/>
  <c r="K2129" i="5"/>
  <c r="K1930" i="5"/>
  <c r="K1931" i="5"/>
  <c r="K1632" i="5"/>
  <c r="K1633" i="5"/>
  <c r="K1179" i="5"/>
  <c r="K1401" i="5"/>
  <c r="K939" i="5"/>
  <c r="K1402" i="5"/>
  <c r="K1932" i="5"/>
  <c r="K1933" i="5"/>
  <c r="K1554" i="5"/>
  <c r="K1970" i="5"/>
  <c r="K1880" i="5"/>
  <c r="K1296" i="5"/>
  <c r="K1825" i="5"/>
  <c r="K438" i="5"/>
  <c r="K1110" i="5"/>
  <c r="K1111" i="5"/>
  <c r="K1684" i="5"/>
  <c r="K2013" i="5"/>
  <c r="K2014" i="5"/>
  <c r="K940" i="5"/>
  <c r="K1634" i="5"/>
  <c r="K1782" i="5"/>
  <c r="K1180" i="5"/>
  <c r="K2192" i="5"/>
  <c r="K628" i="5"/>
  <c r="K1826" i="5"/>
  <c r="K941" i="5"/>
  <c r="K2015" i="5"/>
  <c r="K566" i="5"/>
  <c r="K1593" i="5"/>
  <c r="K795" i="5"/>
  <c r="K714" i="5"/>
  <c r="K1112" i="5"/>
  <c r="K1464" i="5"/>
  <c r="K439" i="5"/>
  <c r="K440" i="5"/>
  <c r="K2016" i="5"/>
  <c r="K1465" i="5"/>
  <c r="K1594" i="5"/>
  <c r="K133" i="5"/>
  <c r="K1113" i="5"/>
  <c r="K1240" i="5"/>
  <c r="K41" i="5"/>
  <c r="K1403" i="5"/>
  <c r="K1404" i="5"/>
  <c r="K2156" i="5"/>
  <c r="K715" i="5"/>
  <c r="K323" i="5"/>
  <c r="K499" i="5"/>
  <c r="K1738" i="5"/>
  <c r="K1241" i="5"/>
  <c r="K1338" i="5"/>
  <c r="K1339" i="5"/>
  <c r="K1881" i="5"/>
  <c r="K1971" i="5"/>
  <c r="K1685" i="5"/>
  <c r="K1297" i="5"/>
  <c r="K1114" i="5"/>
  <c r="K1686" i="5"/>
  <c r="K1739" i="5"/>
  <c r="K629" i="5"/>
  <c r="K400" i="5"/>
  <c r="K2017" i="5"/>
  <c r="K716" i="5"/>
  <c r="K2092" i="5"/>
  <c r="K1466" i="5"/>
  <c r="K1340" i="5"/>
  <c r="K441" i="5"/>
  <c r="K1827" i="5"/>
  <c r="K2062" i="5"/>
  <c r="K232" i="5"/>
  <c r="K717" i="5"/>
  <c r="K1467" i="5"/>
  <c r="K1017" i="5"/>
  <c r="K718" i="5"/>
  <c r="K1595" i="5"/>
  <c r="K1596" i="5"/>
  <c r="K1018" i="5"/>
  <c r="K1019" i="5"/>
  <c r="K630" i="5"/>
  <c r="K442" i="5"/>
  <c r="K443" i="5"/>
  <c r="K859" i="5"/>
  <c r="K1828" i="5"/>
  <c r="K860" i="5"/>
  <c r="K2157" i="5"/>
  <c r="K500" i="5"/>
  <c r="K1405" i="5"/>
  <c r="K444" i="5"/>
  <c r="K796" i="5"/>
  <c r="K1934" i="5"/>
  <c r="K631" i="5"/>
  <c r="K942" i="5"/>
  <c r="K1882" i="5"/>
  <c r="K1115" i="5"/>
  <c r="K943" i="5"/>
  <c r="K1883" i="5"/>
  <c r="K632" i="5"/>
  <c r="K1406" i="5"/>
  <c r="K1407" i="5"/>
  <c r="K944" i="5"/>
  <c r="K567" i="5"/>
  <c r="K1408" i="5"/>
  <c r="K945" i="5"/>
  <c r="K719" i="5"/>
  <c r="K2093" i="5"/>
  <c r="K1555" i="5"/>
  <c r="K2063" i="5"/>
  <c r="K2064" i="5"/>
  <c r="K2018" i="5"/>
  <c r="K1972" i="5"/>
  <c r="K1468" i="5"/>
  <c r="K2094" i="5"/>
  <c r="K2095" i="5"/>
  <c r="K1556" i="5"/>
  <c r="K1298" i="5"/>
  <c r="K1597" i="5"/>
  <c r="K1935" i="5"/>
  <c r="K1299" i="5"/>
  <c r="K74" i="5"/>
  <c r="K1687" i="5"/>
  <c r="K861" i="5"/>
  <c r="K1181" i="5"/>
  <c r="K1829" i="5"/>
  <c r="K1116" i="5"/>
  <c r="K1409" i="5"/>
  <c r="K355" i="5"/>
  <c r="K1830" i="5"/>
  <c r="K1557" i="5"/>
  <c r="K1558" i="5"/>
  <c r="K2130" i="5"/>
  <c r="K633" i="5"/>
  <c r="K324" i="5"/>
  <c r="K1242" i="5"/>
  <c r="K1243" i="5"/>
  <c r="K1469" i="5"/>
  <c r="K797" i="5"/>
  <c r="K1884" i="5"/>
  <c r="K1559" i="5"/>
  <c r="K1635" i="5"/>
  <c r="K1973" i="5"/>
  <c r="K1020" i="5"/>
  <c r="K720" i="5"/>
  <c r="K721" i="5"/>
  <c r="K1470" i="5"/>
  <c r="K356" i="5"/>
  <c r="K1885" i="5"/>
  <c r="K2065" i="5"/>
  <c r="K1783" i="5"/>
  <c r="K1831" i="5"/>
  <c r="K1688" i="5"/>
  <c r="K1182" i="5"/>
  <c r="K445" i="5"/>
  <c r="K1560" i="5"/>
  <c r="K1886" i="5"/>
  <c r="K1689" i="5"/>
  <c r="K568" i="5"/>
  <c r="K325" i="5"/>
  <c r="K1410" i="5"/>
  <c r="K862" i="5"/>
  <c r="K501" i="5"/>
  <c r="K1341" i="5"/>
  <c r="K1936" i="5"/>
  <c r="K1183" i="5"/>
  <c r="K1342" i="5"/>
  <c r="K1117" i="5"/>
  <c r="K446" i="5"/>
  <c r="K2066" i="5"/>
  <c r="K2217" i="5"/>
  <c r="K1021" i="5"/>
  <c r="K722" i="5"/>
  <c r="K1937" i="5"/>
  <c r="K447" i="5"/>
  <c r="K2067" i="5"/>
  <c r="K1500" i="5"/>
  <c r="K2019" i="5"/>
  <c r="K1411" i="5"/>
  <c r="K1343" i="5"/>
  <c r="K1300" i="5"/>
  <c r="K946" i="5"/>
  <c r="K502" i="5"/>
  <c r="K1244" i="5"/>
  <c r="K863" i="5"/>
  <c r="K134" i="5"/>
  <c r="K1598" i="5"/>
  <c r="K947" i="5"/>
  <c r="K1599" i="5"/>
  <c r="K2096" i="5"/>
  <c r="K723" i="5"/>
  <c r="K357" i="5"/>
  <c r="K1412" i="5"/>
  <c r="K1413" i="5"/>
  <c r="K634" i="5"/>
  <c r="K358" i="5"/>
  <c r="K1022" i="5"/>
  <c r="K1184" i="5"/>
  <c r="K1185" i="5"/>
  <c r="K448" i="5"/>
  <c r="K948" i="5"/>
  <c r="K798" i="5"/>
  <c r="K569" i="5"/>
  <c r="K1301" i="5"/>
  <c r="K724" i="5"/>
  <c r="K2097" i="5"/>
  <c r="K2098" i="5"/>
  <c r="K1245" i="5"/>
  <c r="K359" i="5"/>
  <c r="K360" i="5"/>
  <c r="K1302" i="5"/>
  <c r="K1501" i="5"/>
  <c r="K725" i="5"/>
  <c r="K1186" i="5"/>
  <c r="K2158" i="5"/>
  <c r="K1246" i="5"/>
  <c r="K1561" i="5"/>
  <c r="K1974" i="5"/>
  <c r="K1975" i="5"/>
  <c r="K1562" i="5"/>
  <c r="K1414" i="5"/>
  <c r="K2211" i="5"/>
  <c r="K1247" i="5"/>
  <c r="K2020" i="5"/>
  <c r="K726" i="5"/>
  <c r="K570" i="5"/>
  <c r="K727" i="5"/>
  <c r="K1471" i="5"/>
  <c r="K1563" i="5"/>
  <c r="K1976" i="5"/>
  <c r="K1344" i="5"/>
  <c r="K1023" i="5"/>
  <c r="K2212" i="5"/>
  <c r="K864" i="5"/>
  <c r="K503" i="5"/>
  <c r="K1887" i="5"/>
  <c r="K2099" i="5"/>
  <c r="K233" i="5"/>
  <c r="K635" i="5"/>
  <c r="K636" i="5"/>
  <c r="K571" i="5"/>
  <c r="K200" i="5"/>
  <c r="K1832" i="5"/>
  <c r="K1118" i="5"/>
  <c r="K1784" i="5"/>
  <c r="K949" i="5"/>
  <c r="K1415" i="5"/>
  <c r="K1833" i="5"/>
  <c r="K1024" i="5"/>
  <c r="K1187" i="5"/>
  <c r="K1188" i="5"/>
  <c r="K1119" i="5"/>
  <c r="K865" i="5"/>
  <c r="K1834" i="5"/>
  <c r="K1690" i="5"/>
  <c r="K1600" i="5"/>
  <c r="K504" i="5"/>
  <c r="K572" i="5"/>
  <c r="K573" i="5"/>
  <c r="K1189" i="5"/>
  <c r="K1691" i="5"/>
  <c r="K728" i="5"/>
  <c r="K1564" i="5"/>
  <c r="K1025" i="5"/>
  <c r="K1026" i="5"/>
  <c r="K1835" i="5"/>
  <c r="K2131" i="5"/>
  <c r="K2021" i="5"/>
  <c r="K866" i="5"/>
  <c r="K1601" i="5"/>
  <c r="K1836" i="5"/>
  <c r="K1837" i="5"/>
  <c r="K2100" i="5"/>
  <c r="K1502" i="5"/>
  <c r="K361" i="5"/>
  <c r="K2132" i="5"/>
  <c r="K1977" i="5"/>
  <c r="K1838" i="5"/>
  <c r="K1839" i="5"/>
  <c r="K1785" i="5"/>
  <c r="K574" i="5"/>
  <c r="K867" i="5"/>
  <c r="K449" i="5"/>
  <c r="K1345" i="5"/>
  <c r="K1636" i="5"/>
  <c r="K1303" i="5"/>
  <c r="K1190" i="5"/>
  <c r="K505" i="5"/>
  <c r="K1120" i="5"/>
  <c r="K1191" i="5"/>
  <c r="K1416" i="5"/>
  <c r="K868" i="5"/>
  <c r="K1503" i="5"/>
  <c r="K637" i="5"/>
  <c r="K201" i="5"/>
  <c r="K1740" i="5"/>
  <c r="K1741" i="5"/>
  <c r="K1888" i="5"/>
  <c r="K638" i="5"/>
  <c r="K1417" i="5"/>
  <c r="K2068" i="5"/>
  <c r="K950" i="5"/>
  <c r="K2022" i="5"/>
  <c r="K1978" i="5"/>
  <c r="K1979" i="5"/>
  <c r="K1692" i="5"/>
  <c r="K1504" i="5"/>
  <c r="K1192" i="5"/>
  <c r="K799" i="5"/>
  <c r="K639" i="5"/>
  <c r="K2069" i="5"/>
  <c r="K729" i="5"/>
  <c r="K1786" i="5"/>
  <c r="K1840" i="5"/>
  <c r="K640" i="5"/>
  <c r="K730" i="5"/>
  <c r="K1121" i="5"/>
  <c r="K506" i="5"/>
  <c r="K1693" i="5"/>
  <c r="K1938" i="5"/>
  <c r="K1742" i="5"/>
  <c r="K800" i="5"/>
  <c r="K1841" i="5"/>
  <c r="K1027" i="5"/>
  <c r="K1939" i="5"/>
  <c r="K1694" i="5"/>
  <c r="K1787" i="5"/>
  <c r="K869" i="5"/>
  <c r="K1889" i="5"/>
  <c r="K731" i="5"/>
  <c r="K732" i="5"/>
  <c r="K1565" i="5"/>
  <c r="K1304" i="5"/>
  <c r="K1028" i="5"/>
  <c r="K507" i="5"/>
  <c r="K1193" i="5"/>
  <c r="K234" i="5"/>
  <c r="K1695" i="5"/>
  <c r="K1505" i="5"/>
  <c r="K1506" i="5"/>
  <c r="K2101" i="5"/>
  <c r="K508" i="5"/>
  <c r="K641" i="5"/>
  <c r="K2102" i="5"/>
  <c r="K1418" i="5"/>
  <c r="K1305" i="5"/>
  <c r="K870" i="5"/>
  <c r="K1472" i="5"/>
  <c r="K733" i="5"/>
  <c r="K1743" i="5"/>
  <c r="K951" i="5"/>
  <c r="K401" i="5"/>
  <c r="K1419" i="5"/>
  <c r="K1637" i="5"/>
  <c r="K642" i="5"/>
  <c r="K2133" i="5"/>
  <c r="K135" i="5"/>
  <c r="K2023" i="5"/>
  <c r="K2134" i="5"/>
  <c r="K1744" i="5"/>
  <c r="K1306" i="5"/>
  <c r="K1745" i="5"/>
  <c r="K1980" i="5"/>
  <c r="K1420" i="5"/>
  <c r="K42" i="5"/>
  <c r="K643" i="5"/>
  <c r="K644" i="5"/>
  <c r="K2159" i="5"/>
  <c r="K1248" i="5"/>
  <c r="K509" i="5"/>
  <c r="K53" i="5"/>
  <c r="K1566" i="5"/>
  <c r="K871" i="5"/>
  <c r="K2221" i="5"/>
  <c r="K1890" i="5"/>
  <c r="K362" i="5"/>
  <c r="K1194" i="5"/>
  <c r="K2193" i="5"/>
  <c r="K2194" i="5"/>
  <c r="K1842" i="5"/>
  <c r="K1843" i="5"/>
  <c r="K1844" i="5"/>
  <c r="K1845" i="5"/>
  <c r="K2024" i="5"/>
  <c r="K1567" i="5"/>
  <c r="K1891" i="5"/>
  <c r="K1746" i="5"/>
  <c r="K1981" i="5"/>
  <c r="K1696" i="5"/>
  <c r="K2103" i="5"/>
  <c r="K1249" i="5"/>
  <c r="K1638" i="5"/>
  <c r="K1639" i="5"/>
  <c r="K1640" i="5"/>
  <c r="K1747" i="5"/>
  <c r="K1940" i="5"/>
  <c r="K1122" i="5"/>
  <c r="K1507" i="5"/>
  <c r="K1788" i="5"/>
  <c r="K1846" i="5"/>
  <c r="K575" i="5"/>
  <c r="K952" i="5"/>
  <c r="K2025" i="5"/>
  <c r="K326" i="5"/>
  <c r="K645" i="5"/>
  <c r="K402" i="5"/>
  <c r="K276" i="5"/>
  <c r="K277" i="5"/>
  <c r="K1568" i="5"/>
  <c r="K1789" i="5"/>
  <c r="K1250" i="5"/>
  <c r="K1941" i="5"/>
  <c r="K1508" i="5"/>
  <c r="K1748" i="5"/>
  <c r="K2135" i="5"/>
  <c r="K2136" i="5"/>
  <c r="K953" i="5"/>
  <c r="K43" i="5"/>
  <c r="K646" i="5"/>
  <c r="K647" i="5"/>
  <c r="K1602" i="5"/>
  <c r="K801" i="5"/>
  <c r="K1892" i="5"/>
  <c r="K2026" i="5"/>
  <c r="K1346" i="5"/>
  <c r="K1347" i="5"/>
  <c r="K1749" i="5"/>
  <c r="K648" i="5"/>
  <c r="K734" i="5"/>
  <c r="K1029" i="5"/>
  <c r="K954" i="5"/>
  <c r="K1509" i="5"/>
  <c r="K1893" i="5"/>
  <c r="K2027" i="5"/>
  <c r="K2070" i="5"/>
  <c r="K1030" i="5"/>
  <c r="K649" i="5"/>
  <c r="K802" i="5"/>
  <c r="K2137" i="5"/>
  <c r="K1641" i="5"/>
  <c r="K1031" i="5"/>
  <c r="K1473" i="5"/>
  <c r="K872" i="5"/>
  <c r="K2071" i="5"/>
  <c r="K1251" i="5"/>
  <c r="K2218" i="5"/>
  <c r="K2219" i="5"/>
  <c r="K1474" i="5"/>
  <c r="K1510" i="5"/>
  <c r="K1511" i="5"/>
  <c r="K1642" i="5"/>
  <c r="K1348" i="5"/>
  <c r="K1512" i="5"/>
  <c r="K1982" i="5"/>
  <c r="K25" i="5"/>
  <c r="K2104" i="5"/>
  <c r="K1195" i="5"/>
  <c r="K1894" i="5"/>
  <c r="K1513" i="5"/>
  <c r="K2105" i="5"/>
  <c r="K1983" i="5"/>
  <c r="K450" i="5"/>
  <c r="K873" i="5"/>
  <c r="K874" i="5"/>
  <c r="K875" i="5"/>
  <c r="K1603" i="5"/>
  <c r="K1196" i="5"/>
  <c r="K1847" i="5"/>
  <c r="K1750" i="5"/>
  <c r="K803" i="5"/>
  <c r="K735" i="5"/>
  <c r="K2138" i="5"/>
  <c r="K2106" i="5"/>
  <c r="K1421" i="5"/>
  <c r="K2028" i="5"/>
  <c r="K1643" i="5"/>
  <c r="K804" i="5"/>
  <c r="K403" i="5"/>
  <c r="K1644" i="5"/>
  <c r="K1307" i="5"/>
  <c r="K736" i="5"/>
  <c r="K1790" i="5"/>
  <c r="K1984" i="5"/>
  <c r="K451" i="5"/>
  <c r="K737" i="5"/>
  <c r="K2139" i="5"/>
  <c r="K1349" i="5"/>
  <c r="K1645" i="5"/>
  <c r="K2072" i="5"/>
  <c r="K2073" i="5"/>
  <c r="K1791" i="5"/>
  <c r="K1569" i="5"/>
  <c r="K2029" i="5"/>
  <c r="K1032" i="5"/>
  <c r="K1422" i="5"/>
  <c r="K650" i="5"/>
  <c r="K510" i="5"/>
  <c r="K1423" i="5"/>
  <c r="K1848" i="5"/>
  <c r="K1849" i="5"/>
  <c r="K576" i="5"/>
  <c r="K136" i="5"/>
  <c r="K1475" i="5"/>
  <c r="K1308" i="5"/>
  <c r="K1424" i="5"/>
  <c r="K1425" i="5"/>
  <c r="K876" i="5"/>
  <c r="K1197" i="5"/>
  <c r="K1646" i="5"/>
  <c r="K738" i="5"/>
  <c r="K1514" i="5"/>
  <c r="K1942" i="5"/>
  <c r="K1350" i="5"/>
  <c r="K1751" i="5"/>
  <c r="K2160" i="5"/>
  <c r="K2161" i="5"/>
  <c r="K2030" i="5"/>
  <c r="K1752" i="5"/>
  <c r="K1604" i="5"/>
  <c r="K1033" i="5"/>
  <c r="K955" i="5"/>
  <c r="K956" i="5"/>
  <c r="K1895" i="5"/>
  <c r="K511" i="5"/>
  <c r="K805" i="5"/>
  <c r="K1943" i="5"/>
  <c r="K957" i="5"/>
  <c r="K651" i="5"/>
  <c r="K1985" i="5"/>
  <c r="K739" i="5"/>
  <c r="K75" i="5"/>
  <c r="K652" i="5"/>
  <c r="K1570" i="5"/>
  <c r="K740" i="5"/>
  <c r="K741" i="5"/>
  <c r="K742" i="5"/>
  <c r="K1850" i="5"/>
  <c r="K877" i="5"/>
  <c r="K1851" i="5"/>
  <c r="K958" i="5"/>
  <c r="K653" i="5"/>
  <c r="K1896" i="5"/>
  <c r="K1897" i="5"/>
  <c r="K806" i="5"/>
  <c r="K1476" i="5"/>
  <c r="K1605" i="5"/>
  <c r="K164" i="5"/>
  <c r="K1477" i="5"/>
  <c r="K1351" i="5"/>
  <c r="K807" i="5"/>
  <c r="K404" i="5"/>
  <c r="K808" i="5"/>
  <c r="K1478" i="5"/>
  <c r="K1479" i="5"/>
  <c r="K1944" i="5"/>
  <c r="K1252" i="5"/>
  <c r="K1034" i="5"/>
  <c r="K2162" i="5"/>
  <c r="K2206" i="5"/>
  <c r="K743" i="5"/>
  <c r="K809" i="5"/>
  <c r="K107" i="5"/>
  <c r="K327" i="5"/>
  <c r="K1571" i="5"/>
  <c r="K1753" i="5"/>
  <c r="K1515" i="5"/>
  <c r="K1426" i="5"/>
  <c r="K1427" i="5"/>
  <c r="K2163" i="5"/>
  <c r="K810" i="5"/>
  <c r="K452" i="5"/>
  <c r="K2213" i="5"/>
  <c r="K811" i="5"/>
  <c r="K812" i="5"/>
  <c r="K405" i="5"/>
  <c r="K363" i="5"/>
  <c r="K1309" i="5"/>
  <c r="K1697" i="5"/>
  <c r="K1123" i="5"/>
  <c r="K1352" i="5"/>
  <c r="K1353" i="5"/>
  <c r="K2074" i="5"/>
  <c r="K1035" i="5"/>
  <c r="K1198" i="5"/>
  <c r="K1945" i="5"/>
  <c r="K1354" i="5"/>
  <c r="K1647" i="5"/>
  <c r="K1124" i="5"/>
  <c r="K959" i="5"/>
  <c r="K1036" i="5"/>
  <c r="K1428" i="5"/>
  <c r="K813" i="5"/>
  <c r="K1253" i="5"/>
  <c r="K1429" i="5"/>
  <c r="K512" i="5"/>
  <c r="K960" i="5"/>
  <c r="K202" i="5"/>
  <c r="K744" i="5"/>
  <c r="K1430" i="5"/>
  <c r="K1125" i="5"/>
  <c r="K2031" i="5"/>
  <c r="K1126" i="5"/>
  <c r="K1792" i="5"/>
  <c r="K2195" i="5"/>
  <c r="K1199" i="5"/>
  <c r="K878" i="5"/>
  <c r="K406" i="5"/>
  <c r="K407" i="5"/>
  <c r="K1037" i="5"/>
  <c r="K328" i="5"/>
  <c r="K1254" i="5"/>
  <c r="K513" i="5"/>
  <c r="K2032" i="5"/>
  <c r="K278" i="5"/>
  <c r="K1200" i="5"/>
  <c r="K1201" i="5"/>
  <c r="K1355" i="5"/>
  <c r="K408" i="5"/>
  <c r="K1356" i="5"/>
  <c r="K2033" i="5"/>
  <c r="K1357" i="5"/>
  <c r="K814" i="5"/>
  <c r="K1038" i="5"/>
  <c r="K961" i="5"/>
  <c r="K577" i="5"/>
  <c r="K2075" i="5"/>
  <c r="K1202" i="5"/>
  <c r="K1793" i="5"/>
  <c r="K745" i="5"/>
  <c r="K879" i="5"/>
  <c r="K1127" i="5"/>
  <c r="K815" i="5"/>
  <c r="K578" i="5"/>
  <c r="K2107" i="5"/>
  <c r="K1039" i="5"/>
  <c r="K1572" i="5"/>
  <c r="K1040" i="5"/>
  <c r="K1203" i="5"/>
  <c r="K1431" i="5"/>
  <c r="K235" i="5"/>
  <c r="K514" i="5"/>
  <c r="K44" i="5"/>
  <c r="K26" i="5"/>
  <c r="K1310" i="5"/>
  <c r="K962" i="5"/>
  <c r="K1946" i="5"/>
  <c r="K1898" i="5"/>
  <c r="K1899" i="5"/>
  <c r="K1255" i="5"/>
  <c r="K816" i="5"/>
  <c r="K515" i="5"/>
  <c r="K1480" i="5"/>
  <c r="K1481" i="5"/>
  <c r="K654" i="5"/>
  <c r="K880" i="5"/>
  <c r="K881" i="5"/>
  <c r="K1041" i="5"/>
  <c r="K364" i="5"/>
  <c r="K963" i="5"/>
  <c r="K76" i="5"/>
  <c r="K165" i="5"/>
  <c r="K166" i="5"/>
  <c r="K817" i="5"/>
  <c r="K1754" i="5"/>
  <c r="K1698" i="5"/>
  <c r="K1204" i="5"/>
  <c r="K1794" i="5"/>
  <c r="K236" i="5"/>
  <c r="K2164" i="5"/>
  <c r="K1205" i="5"/>
  <c r="K365" i="5"/>
  <c r="K746" i="5"/>
  <c r="K329" i="5"/>
  <c r="K1042" i="5"/>
  <c r="K366" i="5"/>
  <c r="K579" i="5"/>
  <c r="K580" i="5"/>
  <c r="K516" i="5"/>
  <c r="K137" i="5"/>
  <c r="K138" i="5"/>
  <c r="K517" i="5"/>
  <c r="K367" i="5"/>
  <c r="K108" i="5"/>
  <c r="K409" i="5"/>
  <c r="K1900" i="5"/>
  <c r="K1256" i="5"/>
  <c r="K1482" i="5"/>
  <c r="K747" i="5"/>
  <c r="K964" i="5"/>
  <c r="K1483" i="5"/>
  <c r="K518" i="5"/>
  <c r="K1484" i="5"/>
  <c r="K203" i="5"/>
  <c r="K1986" i="5"/>
  <c r="K581" i="5"/>
  <c r="K1795" i="5"/>
  <c r="K167" i="5"/>
  <c r="K1257" i="5"/>
  <c r="K1258" i="5"/>
  <c r="K1648" i="5"/>
  <c r="K519" i="5"/>
  <c r="K2108" i="5"/>
  <c r="K582" i="5"/>
  <c r="K1259" i="5"/>
  <c r="K330" i="5"/>
  <c r="K1206" i="5"/>
  <c r="K139" i="5"/>
  <c r="K520" i="5"/>
  <c r="K1516" i="5"/>
  <c r="K2034" i="5"/>
  <c r="K1043" i="5"/>
  <c r="K1485" i="5"/>
  <c r="K748" i="5"/>
  <c r="K655" i="5"/>
  <c r="K1432" i="5"/>
  <c r="K1796" i="5"/>
  <c r="K1260" i="5"/>
  <c r="K2076" i="5"/>
  <c r="K2077" i="5"/>
  <c r="K453" i="5"/>
  <c r="K1433" i="5"/>
  <c r="K1207" i="5"/>
  <c r="K1208" i="5"/>
  <c r="K1128" i="5"/>
  <c r="K1261" i="5"/>
  <c r="K331" i="5"/>
  <c r="K1987" i="5"/>
  <c r="K1797" i="5"/>
  <c r="K2035" i="5"/>
  <c r="K818" i="5"/>
  <c r="K965" i="5"/>
  <c r="K966" i="5"/>
  <c r="K1311" i="5"/>
  <c r="K583" i="5"/>
  <c r="K749" i="5"/>
  <c r="K368" i="5"/>
  <c r="K204" i="5"/>
  <c r="K237" i="5"/>
  <c r="K2036" i="5"/>
  <c r="K819" i="5"/>
  <c r="K820" i="5"/>
  <c r="K279" i="5"/>
  <c r="K280" i="5"/>
  <c r="K281" i="5"/>
  <c r="K1947" i="5"/>
  <c r="K1948" i="5"/>
  <c r="K1209" i="5"/>
  <c r="K1044" i="5"/>
  <c r="K584" i="5"/>
  <c r="K2078" i="5"/>
  <c r="K1045" i="5"/>
  <c r="K109" i="5"/>
  <c r="K1988" i="5"/>
  <c r="K238" i="5"/>
  <c r="K369" i="5"/>
  <c r="K332" i="5"/>
  <c r="K1573" i="5"/>
  <c r="K1517" i="5"/>
  <c r="K282" i="5"/>
  <c r="K882" i="5"/>
  <c r="K656" i="5"/>
  <c r="K1649" i="5"/>
  <c r="K821" i="5"/>
  <c r="K168" i="5"/>
  <c r="K283" i="5"/>
  <c r="K1949" i="5"/>
  <c r="K1950" i="5"/>
  <c r="K967" i="5"/>
  <c r="K883" i="5"/>
  <c r="K1901" i="5"/>
  <c r="K1902" i="5"/>
  <c r="K968" i="5"/>
  <c r="K110" i="5"/>
  <c r="K1129" i="5"/>
  <c r="K1699" i="5"/>
  <c r="K2140" i="5"/>
  <c r="K969" i="5"/>
  <c r="K1755" i="5"/>
  <c r="K1903" i="5"/>
  <c r="K521" i="5"/>
  <c r="K77" i="5"/>
  <c r="K239" i="5"/>
  <c r="K522" i="5"/>
  <c r="K1518" i="5"/>
  <c r="K1519" i="5"/>
  <c r="K523" i="5"/>
  <c r="K1046" i="5"/>
  <c r="K970" i="5"/>
  <c r="K971" i="5"/>
  <c r="K884" i="5"/>
  <c r="K524" i="5"/>
  <c r="K370" i="5"/>
  <c r="K333" i="5"/>
  <c r="K169" i="5"/>
  <c r="K1904" i="5"/>
  <c r="K1905" i="5"/>
  <c r="K1262" i="5"/>
  <c r="K525" i="5"/>
  <c r="K822" i="5"/>
  <c r="K1210" i="5"/>
  <c r="K1211" i="5"/>
  <c r="K78" i="5"/>
  <c r="K1700" i="5"/>
  <c r="K1263" i="5"/>
  <c r="K1047" i="5"/>
  <c r="K1650" i="5"/>
  <c r="K1130" i="5"/>
  <c r="K170" i="5"/>
  <c r="K1048" i="5"/>
  <c r="K1358" i="5"/>
  <c r="K240" i="5"/>
  <c r="K526" i="5"/>
  <c r="K1131" i="5"/>
  <c r="K2109" i="5"/>
  <c r="K885" i="5"/>
  <c r="K205" i="5"/>
  <c r="K1574" i="5"/>
  <c r="K972" i="5"/>
  <c r="K585" i="5"/>
  <c r="K2196" i="5"/>
  <c r="K2197" i="5"/>
  <c r="K973" i="5"/>
  <c r="K1359" i="5"/>
  <c r="K1360" i="5"/>
  <c r="K527" i="5"/>
  <c r="K528" i="5"/>
  <c r="K1989" i="5"/>
  <c r="K657" i="5"/>
  <c r="K658" i="5"/>
  <c r="K1798" i="5"/>
  <c r="K659" i="5"/>
  <c r="K410" i="5"/>
  <c r="K886" i="5"/>
  <c r="K887" i="5"/>
  <c r="K660" i="5"/>
  <c r="K750" i="5"/>
  <c r="K1756" i="5"/>
  <c r="K284" i="5"/>
  <c r="K751" i="5"/>
  <c r="K752" i="5"/>
  <c r="K1906" i="5"/>
  <c r="K241" i="5"/>
  <c r="K79" i="5"/>
  <c r="K1049" i="5"/>
  <c r="K1050" i="5"/>
  <c r="K823" i="5"/>
  <c r="K753" i="5"/>
  <c r="K1361" i="5"/>
  <c r="K1362" i="5"/>
  <c r="K1312" i="5"/>
  <c r="K334" i="5"/>
  <c r="K1264" i="5"/>
  <c r="K529" i="5"/>
  <c r="K371" i="5"/>
  <c r="K1990" i="5"/>
  <c r="K1313" i="5"/>
  <c r="K1951" i="5"/>
  <c r="K1907" i="5"/>
  <c r="K1434" i="5"/>
  <c r="K1799" i="5"/>
  <c r="K1952" i="5"/>
  <c r="K411" i="5"/>
  <c r="K285" i="5"/>
  <c r="K454" i="5"/>
  <c r="K1265" i="5"/>
  <c r="K1520" i="5"/>
  <c r="K1701" i="5"/>
  <c r="K1051" i="5"/>
  <c r="K754" i="5"/>
  <c r="K1953" i="5"/>
  <c r="K755" i="5"/>
  <c r="K530" i="5"/>
  <c r="K1606" i="5"/>
  <c r="K2141" i="5"/>
  <c r="K1435" i="5"/>
  <c r="K661" i="5"/>
  <c r="K662" i="5"/>
  <c r="K586" i="5"/>
  <c r="K286" i="5"/>
  <c r="K1052" i="5"/>
  <c r="K206" i="5"/>
  <c r="K372" i="5"/>
  <c r="K1132" i="5"/>
  <c r="K1954" i="5"/>
  <c r="K242" i="5"/>
  <c r="K287" i="5"/>
  <c r="K1266" i="5"/>
  <c r="K373" i="5"/>
  <c r="K974" i="5"/>
  <c r="K2142" i="5"/>
  <c r="K1212" i="5"/>
  <c r="K1267" i="5"/>
  <c r="K288" i="5"/>
  <c r="K888" i="5"/>
  <c r="K889" i="5"/>
  <c r="K890" i="5"/>
  <c r="K891" i="5"/>
  <c r="K756" i="5"/>
  <c r="K1436" i="5"/>
  <c r="K1437" i="5"/>
  <c r="K587" i="5"/>
  <c r="K1053" i="5"/>
  <c r="K54" i="5"/>
  <c r="K2037" i="5"/>
  <c r="K1702" i="5"/>
  <c r="K892" i="5"/>
  <c r="K893" i="5"/>
  <c r="K243" i="5"/>
  <c r="K1133" i="5"/>
  <c r="K975" i="5"/>
  <c r="K531" i="5"/>
  <c r="K374" i="5"/>
  <c r="K1314" i="5"/>
  <c r="K2143" i="5"/>
  <c r="K111" i="5"/>
  <c r="K1852" i="5"/>
  <c r="K1268" i="5"/>
  <c r="K1757" i="5"/>
  <c r="K244" i="5"/>
  <c r="K245" i="5"/>
  <c r="K1054" i="5"/>
  <c r="K1055" i="5"/>
  <c r="K757" i="5"/>
  <c r="K412" i="5"/>
  <c r="K894" i="5"/>
  <c r="K1853" i="5"/>
  <c r="K27" i="5"/>
  <c r="K28" i="5"/>
  <c r="K1269" i="5"/>
  <c r="K895" i="5"/>
  <c r="K2079" i="5"/>
  <c r="K10" i="5"/>
  <c r="K11" i="5"/>
  <c r="K246" i="5"/>
  <c r="K171" i="5"/>
  <c r="K1363" i="5"/>
  <c r="K1854" i="5"/>
  <c r="K1056" i="5"/>
  <c r="K1057" i="5"/>
  <c r="K824" i="5"/>
  <c r="K825" i="5"/>
  <c r="K1991" i="5"/>
  <c r="K976" i="5"/>
  <c r="K1703" i="5"/>
  <c r="K663" i="5"/>
  <c r="K588" i="5"/>
  <c r="K2165" i="5"/>
  <c r="K375" i="5"/>
  <c r="K826" i="5"/>
  <c r="K827" i="5"/>
  <c r="K55" i="5"/>
  <c r="K589" i="5"/>
  <c r="K1521" i="5"/>
  <c r="K455" i="5"/>
  <c r="K172" i="5"/>
  <c r="K1704" i="5"/>
  <c r="K1438" i="5"/>
  <c r="K1522" i="5"/>
  <c r="K758" i="5"/>
  <c r="K112" i="5"/>
  <c r="K113" i="5"/>
  <c r="K1058" i="5"/>
  <c r="K2038" i="5"/>
  <c r="K1270" i="5"/>
  <c r="K532" i="5"/>
  <c r="K2110" i="5"/>
  <c r="K2111" i="5"/>
  <c r="K80" i="5"/>
  <c r="K81" i="5"/>
  <c r="K1134" i="5"/>
  <c r="K759" i="5"/>
  <c r="K207" i="5"/>
  <c r="K1705" i="5"/>
  <c r="K1135" i="5"/>
  <c r="K1523" i="5"/>
  <c r="K977" i="5"/>
  <c r="K828" i="5"/>
  <c r="K1364" i="5"/>
  <c r="K1213" i="5"/>
  <c r="K289" i="5"/>
  <c r="K1365" i="5"/>
  <c r="K1524" i="5"/>
  <c r="K896" i="5"/>
  <c r="K456" i="5"/>
  <c r="K1439" i="5"/>
  <c r="K208" i="5"/>
  <c r="K2039" i="5"/>
  <c r="K1758" i="5"/>
  <c r="K1575" i="5"/>
  <c r="K2040" i="5"/>
  <c r="K1525" i="5"/>
  <c r="K1059" i="5"/>
  <c r="K1060" i="5"/>
  <c r="K1366" i="5"/>
  <c r="K760" i="5"/>
  <c r="K761" i="5"/>
  <c r="K173" i="5"/>
  <c r="K413" i="5"/>
  <c r="K762" i="5"/>
  <c r="K664" i="5"/>
  <c r="K590" i="5"/>
  <c r="K1440" i="5"/>
  <c r="K1706" i="5"/>
  <c r="K533" i="5"/>
  <c r="K534" i="5"/>
  <c r="K591" i="5"/>
  <c r="K1061" i="5"/>
  <c r="K1062" i="5"/>
  <c r="K1271" i="5"/>
  <c r="K174" i="5"/>
  <c r="K2080" i="5"/>
  <c r="K457" i="5"/>
  <c r="K1441" i="5"/>
  <c r="K897" i="5"/>
  <c r="K1526" i="5"/>
  <c r="K1607" i="5"/>
  <c r="K1315" i="5"/>
  <c r="K1316" i="5"/>
  <c r="K247" i="5"/>
  <c r="K335" i="5"/>
  <c r="K1136" i="5"/>
  <c r="K898" i="5"/>
  <c r="K829" i="5"/>
  <c r="K1651" i="5"/>
  <c r="K1759" i="5"/>
  <c r="K290" i="5"/>
  <c r="K1955" i="5"/>
  <c r="K1063" i="5"/>
  <c r="K82" i="5"/>
  <c r="K978" i="5"/>
  <c r="K1137" i="5"/>
  <c r="K592" i="5"/>
  <c r="K665" i="5"/>
  <c r="K414" i="5"/>
  <c r="K899" i="5"/>
  <c r="K291" i="5"/>
  <c r="K248" i="5"/>
  <c r="K1486" i="5"/>
  <c r="K1064" i="5"/>
  <c r="K535" i="5"/>
  <c r="K666" i="5"/>
  <c r="K458" i="5"/>
  <c r="K979" i="5"/>
  <c r="K830" i="5"/>
  <c r="K415" i="5"/>
  <c r="K1576" i="5"/>
  <c r="K1577" i="5"/>
  <c r="K1652" i="5"/>
  <c r="K1855" i="5"/>
  <c r="K249" i="5"/>
  <c r="K593" i="5"/>
  <c r="K594" i="5"/>
  <c r="K900" i="5"/>
  <c r="K901" i="5"/>
  <c r="K763" i="5"/>
  <c r="K209" i="5"/>
  <c r="K376" i="5"/>
  <c r="K459" i="5"/>
  <c r="K595" i="5"/>
  <c r="K667" i="5"/>
  <c r="K668" i="5"/>
  <c r="K1527" i="5"/>
  <c r="K831" i="5"/>
  <c r="K1367" i="5"/>
  <c r="K2081" i="5"/>
  <c r="K416" i="5"/>
  <c r="K1214" i="5"/>
  <c r="K764" i="5"/>
  <c r="K669" i="5"/>
  <c r="K1317" i="5"/>
  <c r="K417" i="5"/>
  <c r="K980" i="5"/>
  <c r="K832" i="5"/>
  <c r="K1442" i="5"/>
  <c r="K670" i="5"/>
  <c r="K671" i="5"/>
  <c r="K460" i="5"/>
  <c r="K1065" i="5"/>
  <c r="K1760" i="5"/>
  <c r="K1653" i="5"/>
  <c r="K1654" i="5"/>
  <c r="K250" i="5"/>
  <c r="K981" i="5"/>
  <c r="K1215" i="5"/>
  <c r="K140" i="5"/>
  <c r="K1066" i="5"/>
  <c r="K1067" i="5"/>
  <c r="K596" i="5"/>
  <c r="K833" i="5"/>
  <c r="K834" i="5"/>
  <c r="K210" i="5"/>
  <c r="K83" i="5"/>
  <c r="K84" i="5"/>
  <c r="K982" i="5"/>
  <c r="K536" i="5"/>
  <c r="K292" i="5"/>
  <c r="K293" i="5"/>
  <c r="K56" i="5"/>
  <c r="K1608" i="5"/>
  <c r="K983" i="5"/>
  <c r="K1138" i="5"/>
  <c r="K175" i="5"/>
  <c r="K211" i="5"/>
  <c r="K1068" i="5"/>
  <c r="K984" i="5"/>
  <c r="K212" i="5"/>
  <c r="K213" i="5"/>
  <c r="K1069" i="5"/>
  <c r="K1443" i="5"/>
  <c r="K1444" i="5"/>
  <c r="K114" i="5"/>
  <c r="K1139" i="5"/>
  <c r="K1272" i="5"/>
  <c r="K672" i="5"/>
  <c r="K1655" i="5"/>
  <c r="K1368" i="5"/>
  <c r="K1656" i="5"/>
  <c r="K2082" i="5"/>
  <c r="K141" i="5"/>
  <c r="K1273" i="5"/>
  <c r="K214" i="5"/>
  <c r="K377" i="5"/>
  <c r="K597" i="5"/>
  <c r="K1856" i="5"/>
  <c r="K598" i="5"/>
  <c r="K1369" i="5"/>
  <c r="K336" i="5"/>
  <c r="K85" i="5"/>
  <c r="K86" i="5"/>
  <c r="K537" i="5"/>
  <c r="K538" i="5"/>
  <c r="K337" i="5"/>
  <c r="K1657" i="5"/>
  <c r="K378" i="5"/>
  <c r="K2041" i="5"/>
  <c r="K539" i="5"/>
  <c r="K835" i="5"/>
  <c r="K294" i="5"/>
  <c r="K295" i="5"/>
  <c r="K1318" i="5"/>
  <c r="K2179" i="5"/>
  <c r="K296" i="5"/>
  <c r="K2042" i="5"/>
  <c r="K2112" i="5"/>
  <c r="K1609" i="5"/>
  <c r="K1610" i="5"/>
  <c r="K1140" i="5"/>
  <c r="K1761" i="5"/>
  <c r="K176" i="5"/>
  <c r="K418" i="5"/>
  <c r="K1319" i="5"/>
  <c r="K115" i="5"/>
  <c r="K461" i="5"/>
  <c r="K599" i="5"/>
  <c r="K902" i="5"/>
  <c r="K379" i="5"/>
  <c r="K540" i="5"/>
  <c r="K338" i="5"/>
  <c r="K765" i="5"/>
  <c r="K2180" i="5"/>
  <c r="K2083" i="5"/>
  <c r="K1956" i="5"/>
  <c r="K251" i="5"/>
  <c r="K462" i="5"/>
  <c r="K1141" i="5"/>
  <c r="K1578" i="5"/>
  <c r="K1611" i="5"/>
  <c r="K985" i="5"/>
  <c r="K2113" i="5"/>
  <c r="K903" i="5"/>
  <c r="K177" i="5"/>
  <c r="K904" i="5"/>
  <c r="K1612" i="5"/>
  <c r="K297" i="5"/>
  <c r="K298" i="5"/>
  <c r="K1274" i="5"/>
  <c r="K1370" i="5"/>
  <c r="K2084" i="5"/>
  <c r="K1070" i="5"/>
  <c r="K673" i="5"/>
  <c r="K674" i="5"/>
  <c r="K1707" i="5"/>
  <c r="K1216" i="5"/>
  <c r="K380" i="5"/>
  <c r="K45" i="5"/>
  <c r="K1071" i="5"/>
  <c r="K178" i="5"/>
  <c r="K986" i="5"/>
  <c r="K836" i="5"/>
  <c r="K252" i="5"/>
  <c r="K1320" i="5"/>
  <c r="K179" i="5"/>
  <c r="K2144" i="5"/>
  <c r="K1762" i="5"/>
  <c r="K1763" i="5"/>
  <c r="K541" i="5"/>
  <c r="K675" i="5"/>
  <c r="K1217" i="5"/>
  <c r="K987" i="5"/>
  <c r="K905" i="5"/>
  <c r="K542" i="5"/>
  <c r="K1857" i="5"/>
  <c r="K57" i="5"/>
  <c r="K1800" i="5"/>
  <c r="K1801" i="5"/>
  <c r="K837" i="5"/>
  <c r="K419" i="5"/>
  <c r="K1142" i="5"/>
  <c r="K1321" i="5"/>
  <c r="K543" i="5"/>
  <c r="K1072" i="5"/>
  <c r="K544" i="5"/>
  <c r="K1073" i="5"/>
  <c r="K253" i="5"/>
  <c r="K142" i="5"/>
  <c r="K838" i="5"/>
  <c r="K839" i="5"/>
  <c r="K87" i="5"/>
  <c r="K906" i="5"/>
  <c r="K2181" i="5"/>
  <c r="K600" i="5"/>
  <c r="K1218" i="5"/>
  <c r="K1219" i="5"/>
  <c r="K299" i="5"/>
  <c r="K180" i="5"/>
  <c r="K988" i="5"/>
  <c r="K676" i="5"/>
  <c r="K420" i="5"/>
  <c r="K116" i="5"/>
  <c r="K989" i="5"/>
  <c r="K545" i="5"/>
  <c r="K546" i="5"/>
  <c r="K990" i="5"/>
  <c r="K339" i="5"/>
  <c r="K58" i="5"/>
  <c r="K117" i="5"/>
  <c r="K907" i="5"/>
  <c r="K463" i="5"/>
  <c r="K464" i="5"/>
  <c r="K254" i="5"/>
  <c r="K381" i="5"/>
  <c r="K991" i="5"/>
  <c r="K465" i="5"/>
  <c r="K340" i="5"/>
  <c r="K382" i="5"/>
  <c r="K59" i="5"/>
  <c r="K1708" i="5"/>
  <c r="K1143" i="5"/>
  <c r="K1144" i="5"/>
  <c r="K300" i="5"/>
  <c r="K677" i="5"/>
  <c r="K255" i="5"/>
  <c r="K766" i="5"/>
  <c r="K1220" i="5"/>
  <c r="K143" i="5"/>
  <c r="K601" i="5"/>
  <c r="K1275" i="5"/>
  <c r="K466" i="5"/>
  <c r="K678" i="5"/>
  <c r="K341" i="5"/>
  <c r="K1145" i="5"/>
  <c r="K342" i="5"/>
  <c r="K908" i="5"/>
  <c r="K1802" i="5"/>
  <c r="K301" i="5"/>
  <c r="K1445" i="5"/>
  <c r="K1446" i="5"/>
  <c r="K181" i="5"/>
  <c r="K144" i="5"/>
  <c r="K118" i="5"/>
  <c r="K119" i="5"/>
  <c r="K1709" i="5"/>
  <c r="K1992" i="5"/>
  <c r="K1221" i="5"/>
  <c r="K256" i="5"/>
  <c r="K1146" i="5"/>
  <c r="K215" i="5"/>
  <c r="K1528" i="5"/>
  <c r="K1147" i="5"/>
  <c r="K383" i="5"/>
  <c r="K1074" i="5"/>
  <c r="K1075" i="5"/>
  <c r="K547" i="5"/>
  <c r="K548" i="5"/>
  <c r="K602" i="5"/>
  <c r="K909" i="5"/>
  <c r="K767" i="5"/>
  <c r="K1371" i="5"/>
  <c r="K1372" i="5"/>
  <c r="K1148" i="5"/>
  <c r="K1322" i="5"/>
  <c r="K1323" i="5"/>
  <c r="K1908" i="5"/>
  <c r="K182" i="5"/>
  <c r="K1957" i="5"/>
  <c r="K343" i="5"/>
  <c r="K145" i="5"/>
  <c r="K1529" i="5"/>
  <c r="K1530" i="5"/>
  <c r="K1222" i="5"/>
  <c r="K216" i="5"/>
  <c r="K1858" i="5"/>
  <c r="K768" i="5"/>
  <c r="K2085" i="5"/>
  <c r="K769" i="5"/>
  <c r="K302" i="5"/>
  <c r="K1658" i="5"/>
  <c r="K603" i="5"/>
  <c r="K1149" i="5"/>
  <c r="K992" i="5"/>
  <c r="K303" i="5"/>
  <c r="K1803" i="5"/>
  <c r="K1804" i="5"/>
  <c r="K183" i="5"/>
  <c r="K1223" i="5"/>
  <c r="K184" i="5"/>
  <c r="K185" i="5"/>
  <c r="K304" i="5"/>
  <c r="K679" i="5"/>
  <c r="K467" i="5"/>
  <c r="K88" i="5"/>
  <c r="K993" i="5"/>
  <c r="K217" i="5"/>
  <c r="K549" i="5"/>
  <c r="K840" i="5"/>
  <c r="K146" i="5"/>
  <c r="K344" i="5"/>
  <c r="K680" i="5"/>
  <c r="K604" i="5"/>
  <c r="K910" i="5"/>
  <c r="K1150" i="5"/>
  <c r="K1151" i="5"/>
  <c r="K218" i="5"/>
  <c r="K120" i="5"/>
  <c r="K186" i="5"/>
  <c r="K911" i="5"/>
  <c r="K187" i="5"/>
  <c r="K188" i="5"/>
  <c r="K468" i="5"/>
  <c r="K46" i="5"/>
  <c r="K681" i="5"/>
  <c r="K682" i="5"/>
  <c r="K841" i="5"/>
  <c r="K842" i="5"/>
  <c r="K219" i="5"/>
  <c r="K220" i="5"/>
  <c r="K770" i="5"/>
  <c r="K1659" i="5"/>
  <c r="K1152" i="5"/>
  <c r="K1276" i="5"/>
  <c r="K1277" i="5"/>
  <c r="K221" i="5"/>
  <c r="K189" i="5"/>
  <c r="K345" i="5"/>
  <c r="K384" i="5"/>
  <c r="K385" i="5"/>
  <c r="K843" i="5"/>
  <c r="K1278" i="5"/>
  <c r="K421" i="5"/>
  <c r="K257" i="5"/>
  <c r="K912" i="5"/>
  <c r="K60" i="5"/>
  <c r="K61" i="5"/>
  <c r="K62" i="5"/>
  <c r="K258" i="5"/>
  <c r="K1076" i="5"/>
  <c r="K29" i="5"/>
  <c r="K1487" i="5"/>
  <c r="K1488" i="5"/>
  <c r="K1710" i="5"/>
  <c r="K1711" i="5"/>
  <c r="K1712" i="5"/>
  <c r="K1224" i="5"/>
  <c r="K346" i="5"/>
  <c r="K844" i="5"/>
  <c r="K89" i="5"/>
  <c r="K63" i="5"/>
  <c r="K147" i="5"/>
  <c r="K64" i="5"/>
  <c r="K222" i="5"/>
  <c r="K2198" i="5"/>
  <c r="K469" i="5"/>
  <c r="K683" i="5"/>
  <c r="K90" i="5"/>
  <c r="K771" i="5"/>
  <c r="K550" i="5"/>
  <c r="K148" i="5"/>
  <c r="K30" i="5"/>
  <c r="K684" i="5"/>
  <c r="K1660" i="5"/>
  <c r="K1661" i="5"/>
  <c r="K551" i="5"/>
  <c r="K772" i="5"/>
  <c r="K685" i="5"/>
  <c r="K1613" i="5"/>
  <c r="K2114" i="5"/>
  <c r="K470" i="5"/>
  <c r="K1077" i="5"/>
  <c r="K223" i="5"/>
  <c r="K552" i="5"/>
  <c r="K259" i="5"/>
  <c r="K260" i="5"/>
  <c r="K121" i="5"/>
  <c r="K65" i="5"/>
  <c r="K471" i="5"/>
  <c r="K422" i="5"/>
  <c r="K472" i="5"/>
  <c r="K1859" i="5"/>
  <c r="K122" i="5"/>
  <c r="K261" i="5"/>
  <c r="K1153" i="5"/>
  <c r="K1154" i="5"/>
  <c r="K473" i="5"/>
  <c r="K474" i="5"/>
  <c r="K31" i="5"/>
  <c r="K423" i="5"/>
  <c r="K1764" i="5"/>
  <c r="K149" i="5"/>
  <c r="K2086" i="5"/>
  <c r="K1531" i="5"/>
  <c r="K190" i="5"/>
  <c r="K686" i="5"/>
  <c r="K262" i="5"/>
  <c r="K1860" i="5"/>
  <c r="K424" i="5"/>
  <c r="K5" i="5"/>
  <c r="K994" i="5"/>
  <c r="K1225" i="5"/>
  <c r="K123" i="5"/>
  <c r="K1662" i="5"/>
  <c r="K687" i="5"/>
  <c r="K475" i="5"/>
  <c r="K1155" i="5"/>
  <c r="K2043" i="5"/>
  <c r="K688" i="5"/>
  <c r="K553" i="5"/>
  <c r="K773" i="5"/>
  <c r="K263" i="5"/>
  <c r="K91" i="5"/>
  <c r="K92" i="5"/>
  <c r="K93" i="5"/>
  <c r="K1078" i="5"/>
  <c r="K913" i="5"/>
  <c r="K689" i="5"/>
  <c r="K94" i="5"/>
  <c r="K191" i="5"/>
  <c r="K2044" i="5"/>
  <c r="K47" i="5"/>
  <c r="K914" i="5"/>
  <c r="K774" i="5"/>
  <c r="K690" i="5"/>
  <c r="K691" i="5"/>
  <c r="K554" i="5"/>
  <c r="K476" i="5"/>
  <c r="K477" i="5"/>
  <c r="K224" i="5"/>
  <c r="K192" i="5"/>
  <c r="K150" i="5"/>
  <c r="K32" i="5"/>
  <c r="K6" i="5"/>
  <c r="K1373" i="5"/>
  <c r="K1805" i="5"/>
  <c r="K347" i="5"/>
  <c r="K2115" i="5"/>
  <c r="K692" i="5"/>
  <c r="K1447" i="5"/>
  <c r="K1226" i="5"/>
  <c r="K1532" i="5"/>
  <c r="K915" i="5"/>
  <c r="K478" i="5"/>
  <c r="K1079" i="5"/>
  <c r="J2199" i="5"/>
  <c r="J1080" i="5"/>
  <c r="J775" i="5"/>
  <c r="J555" i="5"/>
  <c r="J264" i="5"/>
  <c r="J1614" i="5"/>
  <c r="J1615" i="5"/>
  <c r="J556" i="5"/>
  <c r="J48" i="5"/>
  <c r="J386" i="5"/>
  <c r="J12" i="5"/>
  <c r="J124" i="5"/>
  <c r="J1157" i="5"/>
  <c r="J2045" i="5"/>
  <c r="J1713" i="5"/>
  <c r="J1958" i="5"/>
  <c r="J1959" i="5"/>
  <c r="J1081" i="5"/>
  <c r="J1909" i="5"/>
  <c r="J2220" i="5"/>
  <c r="J845" i="5"/>
  <c r="J151" i="5"/>
  <c r="J20" i="5"/>
  <c r="J1616" i="5"/>
  <c r="J193" i="5"/>
  <c r="J265" i="5"/>
  <c r="J2145" i="5"/>
  <c r="J693" i="5"/>
  <c r="J152" i="5"/>
  <c r="J2166" i="5"/>
  <c r="J995" i="5"/>
  <c r="J1806" i="5"/>
  <c r="J49" i="5"/>
  <c r="J348" i="5"/>
  <c r="J1910" i="5"/>
  <c r="J2146" i="5"/>
  <c r="J1082" i="5"/>
  <c r="J266" i="5"/>
  <c r="J33" i="5"/>
  <c r="J34" i="5"/>
  <c r="J1807" i="5"/>
  <c r="J425" i="5"/>
  <c r="J35" i="5"/>
  <c r="J95" i="5"/>
  <c r="J1808" i="5"/>
  <c r="J225" i="5"/>
  <c r="J36" i="5"/>
  <c r="J846" i="5"/>
  <c r="J267" i="5"/>
  <c r="J1324" i="5"/>
  <c r="J1663" i="5"/>
  <c r="J1617" i="5"/>
  <c r="J66" i="5"/>
  <c r="J1579" i="5"/>
  <c r="J349" i="5"/>
  <c r="J426" i="5"/>
  <c r="J479" i="5"/>
  <c r="J1664" i="5"/>
  <c r="J1665" i="5"/>
  <c r="J96" i="5"/>
  <c r="J1618" i="5"/>
  <c r="J1666" i="5"/>
  <c r="J268" i="5"/>
  <c r="J350" i="5"/>
  <c r="J21" i="5"/>
  <c r="J996" i="5"/>
  <c r="J916" i="5"/>
  <c r="J917" i="5"/>
  <c r="J694" i="5"/>
  <c r="J1911" i="5"/>
  <c r="J2046" i="5"/>
  <c r="J269" i="5"/>
  <c r="J1580" i="5"/>
  <c r="J1809" i="5"/>
  <c r="J1325" i="5"/>
  <c r="J1534" i="5"/>
  <c r="J37" i="5"/>
  <c r="J847" i="5"/>
  <c r="J480" i="5"/>
  <c r="J67" i="5"/>
  <c r="J1535" i="5"/>
  <c r="J1536" i="5"/>
  <c r="J427" i="5"/>
  <c r="J1912" i="5"/>
  <c r="J1448" i="5"/>
  <c r="J605" i="5"/>
  <c r="J1714" i="5"/>
  <c r="J1993" i="5"/>
  <c r="J557" i="5"/>
  <c r="J1960" i="5"/>
  <c r="J918" i="5"/>
  <c r="J919" i="5"/>
  <c r="J1581" i="5"/>
  <c r="J1083" i="5"/>
  <c r="J1374" i="5"/>
  <c r="J1375" i="5"/>
  <c r="J1994" i="5"/>
  <c r="J1715" i="5"/>
  <c r="J97" i="5"/>
  <c r="J98" i="5"/>
  <c r="J695" i="5"/>
  <c r="J305" i="5"/>
  <c r="J306" i="5"/>
  <c r="J1810" i="5"/>
  <c r="J848" i="5"/>
  <c r="J776" i="5"/>
  <c r="J1995" i="5"/>
  <c r="J1996" i="5"/>
  <c r="J1997" i="5"/>
  <c r="J2147" i="5"/>
  <c r="J696" i="5"/>
  <c r="J697" i="5"/>
  <c r="J2148" i="5"/>
  <c r="J1537" i="5"/>
  <c r="J1227" i="5"/>
  <c r="J22" i="5"/>
  <c r="J153" i="5"/>
  <c r="J920" i="5"/>
  <c r="J1084" i="5"/>
  <c r="J7" i="5"/>
  <c r="J1619" i="5"/>
  <c r="J921" i="5"/>
  <c r="J777" i="5"/>
  <c r="J154" i="5"/>
  <c r="J1376" i="5"/>
  <c r="J2182" i="5"/>
  <c r="J2183" i="5"/>
  <c r="J226" i="5"/>
  <c r="J2207" i="5"/>
  <c r="J2184" i="5"/>
  <c r="J1998" i="5"/>
  <c r="J778" i="5"/>
  <c r="J558" i="5"/>
  <c r="J1667" i="5"/>
  <c r="J1538" i="5"/>
  <c r="J1620" i="5"/>
  <c r="J387" i="5"/>
  <c r="J2087" i="5"/>
  <c r="J1326" i="5"/>
  <c r="J1861" i="5"/>
  <c r="J1765" i="5"/>
  <c r="J1766" i="5"/>
  <c r="J155" i="5"/>
  <c r="J1582" i="5"/>
  <c r="J559" i="5"/>
  <c r="J1449" i="5"/>
  <c r="J481" i="5"/>
  <c r="J1539" i="5"/>
  <c r="J1085" i="5"/>
  <c r="J2149" i="5"/>
  <c r="J2150" i="5"/>
  <c r="J270" i="5"/>
  <c r="J1767" i="5"/>
  <c r="J1583" i="5"/>
  <c r="J1540" i="5"/>
  <c r="J606" i="5"/>
  <c r="J1621" i="5"/>
  <c r="J1999" i="5"/>
  <c r="J388" i="5"/>
  <c r="J389" i="5"/>
  <c r="J2116" i="5"/>
  <c r="J271" i="5"/>
  <c r="J1158" i="5"/>
  <c r="J2167" i="5"/>
  <c r="J1279" i="5"/>
  <c r="J125" i="5"/>
  <c r="J126" i="5"/>
  <c r="J1716" i="5"/>
  <c r="J1489" i="5"/>
  <c r="J1450" i="5"/>
  <c r="J68" i="5"/>
  <c r="J69" i="5"/>
  <c r="J1086" i="5"/>
  <c r="J698" i="5"/>
  <c r="J1377" i="5"/>
  <c r="J1378" i="5"/>
  <c r="J2168" i="5"/>
  <c r="J1717" i="5"/>
  <c r="J1668" i="5"/>
  <c r="J1159" i="5"/>
  <c r="J1584" i="5"/>
  <c r="J156" i="5"/>
  <c r="J2047" i="5"/>
  <c r="J1961" i="5"/>
  <c r="J2088" i="5"/>
  <c r="J1718" i="5"/>
  <c r="J1490" i="5"/>
  <c r="J13" i="5"/>
  <c r="J8" i="5"/>
  <c r="J2208" i="5"/>
  <c r="J997" i="5"/>
  <c r="J998" i="5"/>
  <c r="J699" i="5"/>
  <c r="J1327" i="5"/>
  <c r="J1862" i="5"/>
  <c r="J2117" i="5"/>
  <c r="J1087" i="5"/>
  <c r="J1863" i="5"/>
  <c r="J2209" i="5"/>
  <c r="J700" i="5"/>
  <c r="J157" i="5"/>
  <c r="J922" i="5"/>
  <c r="J923" i="5"/>
  <c r="J14" i="5"/>
  <c r="J1491" i="5"/>
  <c r="J1492" i="5"/>
  <c r="J1913" i="5"/>
  <c r="J390" i="5"/>
  <c r="J1328" i="5"/>
  <c r="J607" i="5"/>
  <c r="J924" i="5"/>
  <c r="J307" i="5"/>
  <c r="J1914" i="5"/>
  <c r="J1669" i="5"/>
  <c r="J1719" i="5"/>
  <c r="J1864" i="5"/>
  <c r="J1720" i="5"/>
  <c r="J1160" i="5"/>
  <c r="J608" i="5"/>
  <c r="J779" i="5"/>
  <c r="J227" i="5"/>
  <c r="J849" i="5"/>
  <c r="J850" i="5"/>
  <c r="J1622" i="5"/>
  <c r="J158" i="5"/>
  <c r="J1811" i="5"/>
  <c r="J1088" i="5"/>
  <c r="J1585" i="5"/>
  <c r="J15" i="5"/>
  <c r="J701" i="5"/>
  <c r="J702" i="5"/>
  <c r="J1280" i="5"/>
  <c r="J1281" i="5"/>
  <c r="J1451" i="5"/>
  <c r="J1721" i="5"/>
  <c r="J2048" i="5"/>
  <c r="J999" i="5"/>
  <c r="J851" i="5"/>
  <c r="J1452" i="5"/>
  <c r="J391" i="5"/>
  <c r="J560" i="5"/>
  <c r="J272" i="5"/>
  <c r="J1000" i="5"/>
  <c r="J1768" i="5"/>
  <c r="J1089" i="5"/>
  <c r="J2185" i="5"/>
  <c r="J1769" i="5"/>
  <c r="J2049" i="5"/>
  <c r="J2050" i="5"/>
  <c r="J1623" i="5"/>
  <c r="J2151" i="5"/>
  <c r="J1329" i="5"/>
  <c r="J609" i="5"/>
  <c r="J159" i="5"/>
  <c r="J1670" i="5"/>
  <c r="J1722" i="5"/>
  <c r="J99" i="5"/>
  <c r="J780" i="5"/>
  <c r="J2169" i="5"/>
  <c r="J925" i="5"/>
  <c r="J1001" i="5"/>
  <c r="J1812" i="5"/>
  <c r="J926" i="5"/>
  <c r="J1915" i="5"/>
  <c r="J351" i="5"/>
  <c r="J1282" i="5"/>
  <c r="J1723" i="5"/>
  <c r="J70" i="5"/>
  <c r="J1283" i="5"/>
  <c r="J1284" i="5"/>
  <c r="J2170" i="5"/>
  <c r="J1090" i="5"/>
  <c r="J2000" i="5"/>
  <c r="J2214" i="5"/>
  <c r="J482" i="5"/>
  <c r="J428" i="5"/>
  <c r="J1671" i="5"/>
  <c r="J2171" i="5"/>
  <c r="J1493" i="5"/>
  <c r="J1228" i="5"/>
  <c r="J1813" i="5"/>
  <c r="J392" i="5"/>
  <c r="J1379" i="5"/>
  <c r="J429" i="5"/>
  <c r="J430" i="5"/>
  <c r="J1770" i="5"/>
  <c r="J1494" i="5"/>
  <c r="J2152" i="5"/>
  <c r="J927" i="5"/>
  <c r="J1624" i="5"/>
  <c r="J2001" i="5"/>
  <c r="J1865" i="5"/>
  <c r="J2118" i="5"/>
  <c r="J1285" i="5"/>
  <c r="J2089" i="5"/>
  <c r="J1380" i="5"/>
  <c r="J1916" i="5"/>
  <c r="J1161" i="5"/>
  <c r="J273" i="5"/>
  <c r="J1541" i="5"/>
  <c r="J703" i="5"/>
  <c r="J1814" i="5"/>
  <c r="J704" i="5"/>
  <c r="J1091" i="5"/>
  <c r="J1002" i="5"/>
  <c r="J393" i="5"/>
  <c r="J1672" i="5"/>
  <c r="J928" i="5"/>
  <c r="J2153" i="5"/>
  <c r="J1542" i="5"/>
  <c r="J1543" i="5"/>
  <c r="J705" i="5"/>
  <c r="J1625" i="5"/>
  <c r="J1866" i="5"/>
  <c r="J1229" i="5"/>
  <c r="J2051" i="5"/>
  <c r="J2215" i="5"/>
  <c r="J610" i="5"/>
  <c r="J127" i="5"/>
  <c r="J308" i="5"/>
  <c r="J309" i="5"/>
  <c r="J352" i="5"/>
  <c r="J353" i="5"/>
  <c r="J1162" i="5"/>
  <c r="J1286" i="5"/>
  <c r="J781" i="5"/>
  <c r="J1230" i="5"/>
  <c r="J431" i="5"/>
  <c r="J432" i="5"/>
  <c r="J611" i="5"/>
  <c r="J483" i="5"/>
  <c r="J71" i="5"/>
  <c r="J1092" i="5"/>
  <c r="J1724" i="5"/>
  <c r="J561" i="5"/>
  <c r="J1917" i="5"/>
  <c r="J1771" i="5"/>
  <c r="J2002" i="5"/>
  <c r="J1381" i="5"/>
  <c r="J1867" i="5"/>
  <c r="J929" i="5"/>
  <c r="J1453" i="5"/>
  <c r="J1725" i="5"/>
  <c r="J2003" i="5"/>
  <c r="J2004" i="5"/>
  <c r="J23" i="5"/>
  <c r="J1544" i="5"/>
  <c r="J1673" i="5"/>
  <c r="J1962" i="5"/>
  <c r="J612" i="5"/>
  <c r="J562" i="5"/>
  <c r="J1163" i="5"/>
  <c r="J1586" i="5"/>
  <c r="J1587" i="5"/>
  <c r="J2119" i="5"/>
  <c r="J1093" i="5"/>
  <c r="J1382" i="5"/>
  <c r="J1868" i="5"/>
  <c r="J930" i="5"/>
  <c r="J1918" i="5"/>
  <c r="J1003" i="5"/>
  <c r="J2172" i="5"/>
  <c r="J16" i="5"/>
  <c r="J17" i="5"/>
  <c r="J1004" i="5"/>
  <c r="J1869" i="5"/>
  <c r="J1726" i="5"/>
  <c r="J50" i="5"/>
  <c r="J706" i="5"/>
  <c r="J707" i="5"/>
  <c r="J310" i="5"/>
  <c r="J613" i="5"/>
  <c r="J128" i="5"/>
  <c r="J852" i="5"/>
  <c r="J1963" i="5"/>
  <c r="J484" i="5"/>
  <c r="J1772" i="5"/>
  <c r="J2052" i="5"/>
  <c r="J1005" i="5"/>
  <c r="J51" i="5"/>
  <c r="J1383" i="5"/>
  <c r="J1231" i="5"/>
  <c r="J129" i="5"/>
  <c r="J311" i="5"/>
  <c r="J1164" i="5"/>
  <c r="J130" i="5"/>
  <c r="J228" i="5"/>
  <c r="J708" i="5"/>
  <c r="J1626" i="5"/>
  <c r="J2173" i="5"/>
  <c r="J2174" i="5"/>
  <c r="J1495" i="5"/>
  <c r="J1094" i="5"/>
  <c r="J1095" i="5"/>
  <c r="J1870" i="5"/>
  <c r="J1727" i="5"/>
  <c r="J194" i="5"/>
  <c r="J1545" i="5"/>
  <c r="J1165" i="5"/>
  <c r="J2120" i="5"/>
  <c r="J1871" i="5"/>
  <c r="J1872" i="5"/>
  <c r="J229" i="5"/>
  <c r="J1919" i="5"/>
  <c r="J931" i="5"/>
  <c r="J1166" i="5"/>
  <c r="J18" i="5"/>
  <c r="J614" i="5"/>
  <c r="J615" i="5"/>
  <c r="J2121" i="5"/>
  <c r="J2053" i="5"/>
  <c r="J1006" i="5"/>
  <c r="J2005" i="5"/>
  <c r="J1546" i="5"/>
  <c r="J1384" i="5"/>
  <c r="J485" i="5"/>
  <c r="J563" i="5"/>
  <c r="J782" i="5"/>
  <c r="J1920" i="5"/>
  <c r="J1921" i="5"/>
  <c r="J354" i="5"/>
  <c r="J433" i="5"/>
  <c r="J2122" i="5"/>
  <c r="J1547" i="5"/>
  <c r="J1007" i="5"/>
  <c r="J2054" i="5"/>
  <c r="J1728" i="5"/>
  <c r="J160" i="5"/>
  <c r="J161" i="5"/>
  <c r="J1815" i="5"/>
  <c r="J564" i="5"/>
  <c r="J312" i="5"/>
  <c r="J313" i="5"/>
  <c r="J486" i="5"/>
  <c r="J1008" i="5"/>
  <c r="J1009" i="5"/>
  <c r="J1674" i="5"/>
  <c r="J1729" i="5"/>
  <c r="J1548" i="5"/>
  <c r="J434" i="5"/>
  <c r="J1385" i="5"/>
  <c r="J2200" i="5"/>
  <c r="J1010" i="5"/>
  <c r="J1386" i="5"/>
  <c r="J783" i="5"/>
  <c r="J1549" i="5"/>
  <c r="J487" i="5"/>
  <c r="J1816" i="5"/>
  <c r="J1675" i="5"/>
  <c r="J1676" i="5"/>
  <c r="J1387" i="5"/>
  <c r="J616" i="5"/>
  <c r="J1677" i="5"/>
  <c r="J9" i="5"/>
  <c r="J853" i="5"/>
  <c r="J1773" i="5"/>
  <c r="J2055" i="5"/>
  <c r="J488" i="5"/>
  <c r="J1627" i="5"/>
  <c r="J195" i="5"/>
  <c r="J932" i="5"/>
  <c r="J1388" i="5"/>
  <c r="J1389" i="5"/>
  <c r="J617" i="5"/>
  <c r="J1011" i="5"/>
  <c r="J1287" i="5"/>
  <c r="J394" i="5"/>
  <c r="J2056" i="5"/>
  <c r="J1232" i="5"/>
  <c r="J1330" i="5"/>
  <c r="J2154" i="5"/>
  <c r="J1288" i="5"/>
  <c r="J230" i="5"/>
  <c r="J1873" i="5"/>
  <c r="J1096" i="5"/>
  <c r="J196" i="5"/>
  <c r="J197" i="5"/>
  <c r="J1233" i="5"/>
  <c r="J2006" i="5"/>
  <c r="J19" i="5"/>
  <c r="J1964" i="5"/>
  <c r="J489" i="5"/>
  <c r="J1922" i="5"/>
  <c r="J618" i="5"/>
  <c r="J2201" i="5"/>
  <c r="J435" i="5"/>
  <c r="J2175" i="5"/>
  <c r="J709" i="5"/>
  <c r="J1331" i="5"/>
  <c r="J619" i="5"/>
  <c r="J620" i="5"/>
  <c r="J2123" i="5"/>
  <c r="J274" i="5"/>
  <c r="J933" i="5"/>
  <c r="J1167" i="5"/>
  <c r="J1390" i="5"/>
  <c r="J1923" i="5"/>
  <c r="J314" i="5"/>
  <c r="J315" i="5"/>
  <c r="J1391" i="5"/>
  <c r="J1454" i="5"/>
  <c r="J1012" i="5"/>
  <c r="J1168" i="5"/>
  <c r="J1392" i="5"/>
  <c r="J162" i="5"/>
  <c r="J2007" i="5"/>
  <c r="J1332" i="5"/>
  <c r="J2202" i="5"/>
  <c r="J784" i="5"/>
  <c r="J2057" i="5"/>
  <c r="J1234" i="5"/>
  <c r="J395" i="5"/>
  <c r="J1550" i="5"/>
  <c r="J3" i="5"/>
  <c r="J275" i="5"/>
  <c r="J396" i="5"/>
  <c r="J1169" i="5"/>
  <c r="J854" i="5"/>
  <c r="J565" i="5"/>
  <c r="J2124" i="5"/>
  <c r="J710" i="5"/>
  <c r="J1965" i="5"/>
  <c r="J1393" i="5"/>
  <c r="J1817" i="5"/>
  <c r="J934" i="5"/>
  <c r="J2008" i="5"/>
  <c r="J1394" i="5"/>
  <c r="J1395" i="5"/>
  <c r="J316" i="5"/>
  <c r="J317" i="5"/>
  <c r="J2125" i="5"/>
  <c r="J1730" i="5"/>
  <c r="J1097" i="5"/>
  <c r="J1098" i="5"/>
  <c r="J1333" i="5"/>
  <c r="J1099" i="5"/>
  <c r="J1678" i="5"/>
  <c r="J1289" i="5"/>
  <c r="J1170" i="5"/>
  <c r="J1171" i="5"/>
  <c r="J38" i="5"/>
  <c r="J39" i="5"/>
  <c r="J2186" i="5"/>
  <c r="J100" i="5"/>
  <c r="J101" i="5"/>
  <c r="J318" i="5"/>
  <c r="J102" i="5"/>
  <c r="J103" i="5"/>
  <c r="J1172" i="5"/>
  <c r="J2" i="5"/>
  <c r="J621" i="5"/>
  <c r="J785" i="5"/>
  <c r="J1455" i="5"/>
  <c r="J1731" i="5"/>
  <c r="J436" i="5"/>
  <c r="J1774" i="5"/>
  <c r="J1456" i="5"/>
  <c r="J40" i="5"/>
  <c r="J1496" i="5"/>
  <c r="J1497" i="5"/>
  <c r="J2176" i="5"/>
  <c r="J490" i="5"/>
  <c r="J2126" i="5"/>
  <c r="J2127" i="5"/>
  <c r="J711" i="5"/>
  <c r="J1679" i="5"/>
  <c r="J1628" i="5"/>
  <c r="J2058" i="5"/>
  <c r="J131" i="5"/>
  <c r="J104" i="5"/>
  <c r="J105" i="5"/>
  <c r="J1100" i="5"/>
  <c r="J397" i="5"/>
  <c r="J2177" i="5"/>
  <c r="J786" i="5"/>
  <c r="J787" i="5"/>
  <c r="J788" i="5"/>
  <c r="J2009" i="5"/>
  <c r="J855" i="5"/>
  <c r="J132" i="5"/>
  <c r="J1101" i="5"/>
  <c r="J1102" i="5"/>
  <c r="J2059" i="5"/>
  <c r="J1173" i="5"/>
  <c r="J1103" i="5"/>
  <c r="J4" i="5"/>
  <c r="J1290" i="5"/>
  <c r="J1334" i="5"/>
  <c r="J1732" i="5"/>
  <c r="J1874" i="5"/>
  <c r="J1818" i="5"/>
  <c r="J1966" i="5"/>
  <c r="J2060" i="5"/>
  <c r="J491" i="5"/>
  <c r="J1924" i="5"/>
  <c r="J72" i="5"/>
  <c r="J106" i="5"/>
  <c r="J1733" i="5"/>
  <c r="J2187" i="5"/>
  <c r="J2188" i="5"/>
  <c r="J1291" i="5"/>
  <c r="J1104" i="5"/>
  <c r="J1775" i="5"/>
  <c r="J319" i="5"/>
  <c r="J320" i="5"/>
  <c r="J712" i="5"/>
  <c r="J1776" i="5"/>
  <c r="J1174" i="5"/>
  <c r="J1551" i="5"/>
  <c r="J198" i="5"/>
  <c r="J1396" i="5"/>
  <c r="J1175" i="5"/>
  <c r="J622" i="5"/>
  <c r="J1875" i="5"/>
  <c r="J1588" i="5"/>
  <c r="J2155" i="5"/>
  <c r="J492" i="5"/>
  <c r="J493" i="5"/>
  <c r="J1819" i="5"/>
  <c r="J1498" i="5"/>
  <c r="J1013" i="5"/>
  <c r="J1397" i="5"/>
  <c r="J2189" i="5"/>
  <c r="J1777" i="5"/>
  <c r="J2178" i="5"/>
  <c r="J623" i="5"/>
  <c r="J1105" i="5"/>
  <c r="J2203" i="5"/>
  <c r="J494" i="5"/>
  <c r="J1335" i="5"/>
  <c r="J1014" i="5"/>
  <c r="J1292" i="5"/>
  <c r="J1876" i="5"/>
  <c r="J1176" i="5"/>
  <c r="J1398" i="5"/>
  <c r="J1106" i="5"/>
  <c r="J935" i="5"/>
  <c r="J1629" i="5"/>
  <c r="J936" i="5"/>
  <c r="J937" i="5"/>
  <c r="J624" i="5"/>
  <c r="J789" i="5"/>
  <c r="J1967" i="5"/>
  <c r="J1457" i="5"/>
  <c r="J1458" i="5"/>
  <c r="J1680" i="5"/>
  <c r="J1734" i="5"/>
  <c r="J1778" i="5"/>
  <c r="J1779" i="5"/>
  <c r="J1780" i="5"/>
  <c r="J790" i="5"/>
  <c r="J231" i="5"/>
  <c r="J791" i="5"/>
  <c r="J856" i="5"/>
  <c r="J1925" i="5"/>
  <c r="J1926" i="5"/>
  <c r="J1552" i="5"/>
  <c r="J857" i="5"/>
  <c r="J398" i="5"/>
  <c r="J2210" i="5"/>
  <c r="J1399" i="5"/>
  <c r="J1877" i="5"/>
  <c r="J1735" i="5"/>
  <c r="J1177" i="5"/>
  <c r="J321" i="5"/>
  <c r="J1736" i="5"/>
  <c r="J713" i="5"/>
  <c r="J625" i="5"/>
  <c r="J626" i="5"/>
  <c r="J1293" i="5"/>
  <c r="J2216" i="5"/>
  <c r="J1681" i="5"/>
  <c r="J1737" i="5"/>
  <c r="J2061" i="5"/>
  <c r="J627" i="5"/>
  <c r="J2090" i="5"/>
  <c r="J1820" i="5"/>
  <c r="J1821" i="5"/>
  <c r="J1781" i="5"/>
  <c r="J2010" i="5"/>
  <c r="J495" i="5"/>
  <c r="J1015" i="5"/>
  <c r="J1016" i="5"/>
  <c r="J1107" i="5"/>
  <c r="J1235" i="5"/>
  <c r="J1927" i="5"/>
  <c r="J52" i="5"/>
  <c r="J1968" i="5"/>
  <c r="J1928" i="5"/>
  <c r="J938" i="5"/>
  <c r="J73" i="5"/>
  <c r="J1108" i="5"/>
  <c r="J199" i="5"/>
  <c r="J1589" i="5"/>
  <c r="J1590" i="5"/>
  <c r="J1499" i="5"/>
  <c r="J1400" i="5"/>
  <c r="J1459" i="5"/>
  <c r="J1969" i="5"/>
  <c r="J1460" i="5"/>
  <c r="J1822" i="5"/>
  <c r="J2190" i="5"/>
  <c r="J2191" i="5"/>
  <c r="J2011" i="5"/>
  <c r="J792" i="5"/>
  <c r="J1461" i="5"/>
  <c r="J1236" i="5"/>
  <c r="J1823" i="5"/>
  <c r="J1824" i="5"/>
  <c r="J1553" i="5"/>
  <c r="J496" i="5"/>
  <c r="J1237" i="5"/>
  <c r="J1238" i="5"/>
  <c r="J1239" i="5"/>
  <c r="J1336" i="5"/>
  <c r="J1337" i="5"/>
  <c r="J437" i="5"/>
  <c r="J497" i="5"/>
  <c r="J498" i="5"/>
  <c r="J1109" i="5"/>
  <c r="J1929" i="5"/>
  <c r="J858" i="5"/>
  <c r="J1462" i="5"/>
  <c r="J1630" i="5"/>
  <c r="J1631" i="5"/>
  <c r="J1591" i="5"/>
  <c r="J1592" i="5"/>
  <c r="J2204" i="5"/>
  <c r="J1294" i="5"/>
  <c r="J322" i="5"/>
  <c r="J24" i="5"/>
  <c r="J793" i="5"/>
  <c r="J794" i="5"/>
  <c r="J2091" i="5"/>
  <c r="J1682" i="5"/>
  <c r="J2012" i="5"/>
  <c r="J399" i="5"/>
  <c r="J1295" i="5"/>
  <c r="J1878" i="5"/>
  <c r="J1879" i="5"/>
  <c r="J1463" i="5"/>
  <c r="J1178" i="5"/>
  <c r="J163" i="5"/>
  <c r="J1683" i="5"/>
  <c r="J2205" i="5"/>
  <c r="J2128" i="5"/>
  <c r="J2129" i="5"/>
  <c r="J1930" i="5"/>
  <c r="J1931" i="5"/>
  <c r="J1632" i="5"/>
  <c r="J1633" i="5"/>
  <c r="J1179" i="5"/>
  <c r="J1401" i="5"/>
  <c r="J939" i="5"/>
  <c r="J1402" i="5"/>
  <c r="J1932" i="5"/>
  <c r="J1933" i="5"/>
  <c r="J1554" i="5"/>
  <c r="J1970" i="5"/>
  <c r="J1880" i="5"/>
  <c r="J1296" i="5"/>
  <c r="J1825" i="5"/>
  <c r="J438" i="5"/>
  <c r="J1110" i="5"/>
  <c r="J1111" i="5"/>
  <c r="J1684" i="5"/>
  <c r="J2013" i="5"/>
  <c r="J2014" i="5"/>
  <c r="J940" i="5"/>
  <c r="J1634" i="5"/>
  <c r="J1782" i="5"/>
  <c r="J1180" i="5"/>
  <c r="J2192" i="5"/>
  <c r="J628" i="5"/>
  <c r="J1826" i="5"/>
  <c r="J941" i="5"/>
  <c r="J2015" i="5"/>
  <c r="J566" i="5"/>
  <c r="J1593" i="5"/>
  <c r="J795" i="5"/>
  <c r="J714" i="5"/>
  <c r="J1112" i="5"/>
  <c r="J1464" i="5"/>
  <c r="J439" i="5"/>
  <c r="J440" i="5"/>
  <c r="J2016" i="5"/>
  <c r="J1465" i="5"/>
  <c r="J1594" i="5"/>
  <c r="J133" i="5"/>
  <c r="J1113" i="5"/>
  <c r="J1240" i="5"/>
  <c r="J41" i="5"/>
  <c r="J1403" i="5"/>
  <c r="J1404" i="5"/>
  <c r="J2156" i="5"/>
  <c r="J715" i="5"/>
  <c r="J323" i="5"/>
  <c r="J499" i="5"/>
  <c r="J1738" i="5"/>
  <c r="J1241" i="5"/>
  <c r="J1338" i="5"/>
  <c r="J1339" i="5"/>
  <c r="J1881" i="5"/>
  <c r="J1971" i="5"/>
  <c r="J1685" i="5"/>
  <c r="J1297" i="5"/>
  <c r="J1114" i="5"/>
  <c r="J1686" i="5"/>
  <c r="J1739" i="5"/>
  <c r="J629" i="5"/>
  <c r="J400" i="5"/>
  <c r="J2017" i="5"/>
  <c r="J716" i="5"/>
  <c r="J2092" i="5"/>
  <c r="J1466" i="5"/>
  <c r="J1340" i="5"/>
  <c r="J441" i="5"/>
  <c r="J1827" i="5"/>
  <c r="J2062" i="5"/>
  <c r="J232" i="5"/>
  <c r="J717" i="5"/>
  <c r="J1467" i="5"/>
  <c r="J1017" i="5"/>
  <c r="J718" i="5"/>
  <c r="J1595" i="5"/>
  <c r="J1596" i="5"/>
  <c r="J1018" i="5"/>
  <c r="J1019" i="5"/>
  <c r="J630" i="5"/>
  <c r="J442" i="5"/>
  <c r="J443" i="5"/>
  <c r="J859" i="5"/>
  <c r="J1828" i="5"/>
  <c r="J860" i="5"/>
  <c r="J2157" i="5"/>
  <c r="J500" i="5"/>
  <c r="J1405" i="5"/>
  <c r="J444" i="5"/>
  <c r="J796" i="5"/>
  <c r="J1934" i="5"/>
  <c r="J631" i="5"/>
  <c r="J942" i="5"/>
  <c r="J1882" i="5"/>
  <c r="J1115" i="5"/>
  <c r="J943" i="5"/>
  <c r="J1883" i="5"/>
  <c r="J632" i="5"/>
  <c r="J1406" i="5"/>
  <c r="J1407" i="5"/>
  <c r="J944" i="5"/>
  <c r="J567" i="5"/>
  <c r="J1408" i="5"/>
  <c r="J945" i="5"/>
  <c r="J719" i="5"/>
  <c r="J2093" i="5"/>
  <c r="J1555" i="5"/>
  <c r="J2063" i="5"/>
  <c r="J2064" i="5"/>
  <c r="J2018" i="5"/>
  <c r="J1972" i="5"/>
  <c r="J1468" i="5"/>
  <c r="J2094" i="5"/>
  <c r="J2095" i="5"/>
  <c r="J1556" i="5"/>
  <c r="J1298" i="5"/>
  <c r="J1597" i="5"/>
  <c r="J1935" i="5"/>
  <c r="J1299" i="5"/>
  <c r="J74" i="5"/>
  <c r="J1687" i="5"/>
  <c r="J861" i="5"/>
  <c r="J1181" i="5"/>
  <c r="J1829" i="5"/>
  <c r="J1116" i="5"/>
  <c r="J1409" i="5"/>
  <c r="J355" i="5"/>
  <c r="J1830" i="5"/>
  <c r="J1557" i="5"/>
  <c r="J1558" i="5"/>
  <c r="J2130" i="5"/>
  <c r="J633" i="5"/>
  <c r="J324" i="5"/>
  <c r="J1242" i="5"/>
  <c r="J1243" i="5"/>
  <c r="J1469" i="5"/>
  <c r="J797" i="5"/>
  <c r="J1884" i="5"/>
  <c r="J1559" i="5"/>
  <c r="J1635" i="5"/>
  <c r="J1973" i="5"/>
  <c r="J1020" i="5"/>
  <c r="J720" i="5"/>
  <c r="J721" i="5"/>
  <c r="J1470" i="5"/>
  <c r="J356" i="5"/>
  <c r="J1885" i="5"/>
  <c r="J2065" i="5"/>
  <c r="J1783" i="5"/>
  <c r="J1831" i="5"/>
  <c r="J1688" i="5"/>
  <c r="J1182" i="5"/>
  <c r="J445" i="5"/>
  <c r="J1560" i="5"/>
  <c r="J1886" i="5"/>
  <c r="J1689" i="5"/>
  <c r="J568" i="5"/>
  <c r="J325" i="5"/>
  <c r="J1410" i="5"/>
  <c r="J862" i="5"/>
  <c r="J501" i="5"/>
  <c r="J1341" i="5"/>
  <c r="J1936" i="5"/>
  <c r="J1183" i="5"/>
  <c r="J1342" i="5"/>
  <c r="J1117" i="5"/>
  <c r="J446" i="5"/>
  <c r="J2066" i="5"/>
  <c r="J2217" i="5"/>
  <c r="J1021" i="5"/>
  <c r="J722" i="5"/>
  <c r="J1937" i="5"/>
  <c r="J447" i="5"/>
  <c r="J2067" i="5"/>
  <c r="J1500" i="5"/>
  <c r="J2019" i="5"/>
  <c r="J1411" i="5"/>
  <c r="J1343" i="5"/>
  <c r="J1300" i="5"/>
  <c r="J946" i="5"/>
  <c r="J502" i="5"/>
  <c r="J1244" i="5"/>
  <c r="J863" i="5"/>
  <c r="J134" i="5"/>
  <c r="J1598" i="5"/>
  <c r="J947" i="5"/>
  <c r="J1599" i="5"/>
  <c r="J2096" i="5"/>
  <c r="J723" i="5"/>
  <c r="J357" i="5"/>
  <c r="J1412" i="5"/>
  <c r="J1413" i="5"/>
  <c r="J634" i="5"/>
  <c r="J358" i="5"/>
  <c r="J1022" i="5"/>
  <c r="J1184" i="5"/>
  <c r="J1185" i="5"/>
  <c r="J448" i="5"/>
  <c r="J948" i="5"/>
  <c r="J798" i="5"/>
  <c r="J569" i="5"/>
  <c r="J1301" i="5"/>
  <c r="J724" i="5"/>
  <c r="J2097" i="5"/>
  <c r="J2098" i="5"/>
  <c r="J1245" i="5"/>
  <c r="J359" i="5"/>
  <c r="J360" i="5"/>
  <c r="J1302" i="5"/>
  <c r="J1501" i="5"/>
  <c r="J725" i="5"/>
  <c r="J1186" i="5"/>
  <c r="J2158" i="5"/>
  <c r="J1246" i="5"/>
  <c r="J1561" i="5"/>
  <c r="J1974" i="5"/>
  <c r="J1975" i="5"/>
  <c r="J1562" i="5"/>
  <c r="J1414" i="5"/>
  <c r="J2211" i="5"/>
  <c r="J1247" i="5"/>
  <c r="J2020" i="5"/>
  <c r="J726" i="5"/>
  <c r="J570" i="5"/>
  <c r="J727" i="5"/>
  <c r="J1471" i="5"/>
  <c r="J1563" i="5"/>
  <c r="J1976" i="5"/>
  <c r="J1344" i="5"/>
  <c r="J1023" i="5"/>
  <c r="J2212" i="5"/>
  <c r="J864" i="5"/>
  <c r="J503" i="5"/>
  <c r="J1887" i="5"/>
  <c r="J2099" i="5"/>
  <c r="J233" i="5"/>
  <c r="J635" i="5"/>
  <c r="J636" i="5"/>
  <c r="J571" i="5"/>
  <c r="J200" i="5"/>
  <c r="J1832" i="5"/>
  <c r="J1118" i="5"/>
  <c r="J1784" i="5"/>
  <c r="J949" i="5"/>
  <c r="J1415" i="5"/>
  <c r="J1833" i="5"/>
  <c r="J1024" i="5"/>
  <c r="J1187" i="5"/>
  <c r="J1188" i="5"/>
  <c r="J1119" i="5"/>
  <c r="J865" i="5"/>
  <c r="J1834" i="5"/>
  <c r="J1690" i="5"/>
  <c r="J1600" i="5"/>
  <c r="J504" i="5"/>
  <c r="J572" i="5"/>
  <c r="J573" i="5"/>
  <c r="J1189" i="5"/>
  <c r="J1691" i="5"/>
  <c r="J728" i="5"/>
  <c r="J1564" i="5"/>
  <c r="J1025" i="5"/>
  <c r="J1026" i="5"/>
  <c r="J1835" i="5"/>
  <c r="J2131" i="5"/>
  <c r="J2021" i="5"/>
  <c r="J866" i="5"/>
  <c r="J1601" i="5"/>
  <c r="J1836" i="5"/>
  <c r="J1837" i="5"/>
  <c r="J2100" i="5"/>
  <c r="J1502" i="5"/>
  <c r="J361" i="5"/>
  <c r="J2132" i="5"/>
  <c r="J1977" i="5"/>
  <c r="J1838" i="5"/>
  <c r="J1839" i="5"/>
  <c r="J1785" i="5"/>
  <c r="J574" i="5"/>
  <c r="J867" i="5"/>
  <c r="J449" i="5"/>
  <c r="J1345" i="5"/>
  <c r="J1636" i="5"/>
  <c r="J1303" i="5"/>
  <c r="J1190" i="5"/>
  <c r="J505" i="5"/>
  <c r="J1120" i="5"/>
  <c r="J1191" i="5"/>
  <c r="J1416" i="5"/>
  <c r="J868" i="5"/>
  <c r="J1503" i="5"/>
  <c r="J637" i="5"/>
  <c r="J201" i="5"/>
  <c r="J1740" i="5"/>
  <c r="J1741" i="5"/>
  <c r="J1888" i="5"/>
  <c r="J638" i="5"/>
  <c r="J1417" i="5"/>
  <c r="J2068" i="5"/>
  <c r="J950" i="5"/>
  <c r="J2022" i="5"/>
  <c r="J1978" i="5"/>
  <c r="J1979" i="5"/>
  <c r="J1692" i="5"/>
  <c r="J1504" i="5"/>
  <c r="J1192" i="5"/>
  <c r="J799" i="5"/>
  <c r="J639" i="5"/>
  <c r="J2069" i="5"/>
  <c r="J729" i="5"/>
  <c r="J1786" i="5"/>
  <c r="J1840" i="5"/>
  <c r="J640" i="5"/>
  <c r="J730" i="5"/>
  <c r="J1121" i="5"/>
  <c r="J506" i="5"/>
  <c r="J1693" i="5"/>
  <c r="J1938" i="5"/>
  <c r="J1742" i="5"/>
  <c r="J800" i="5"/>
  <c r="J1841" i="5"/>
  <c r="J1027" i="5"/>
  <c r="J1939" i="5"/>
  <c r="J1694" i="5"/>
  <c r="J1787" i="5"/>
  <c r="J869" i="5"/>
  <c r="J1889" i="5"/>
  <c r="J731" i="5"/>
  <c r="J732" i="5"/>
  <c r="J1565" i="5"/>
  <c r="J1304" i="5"/>
  <c r="J1028" i="5"/>
  <c r="J507" i="5"/>
  <c r="J1193" i="5"/>
  <c r="J234" i="5"/>
  <c r="J1695" i="5"/>
  <c r="J1505" i="5"/>
  <c r="J1506" i="5"/>
  <c r="J2101" i="5"/>
  <c r="J508" i="5"/>
  <c r="J641" i="5"/>
  <c r="J2102" i="5"/>
  <c r="J1418" i="5"/>
  <c r="J1305" i="5"/>
  <c r="J870" i="5"/>
  <c r="J1472" i="5"/>
  <c r="J733" i="5"/>
  <c r="J1743" i="5"/>
  <c r="J951" i="5"/>
  <c r="J401" i="5"/>
  <c r="J1419" i="5"/>
  <c r="J1637" i="5"/>
  <c r="J642" i="5"/>
  <c r="J2133" i="5"/>
  <c r="J135" i="5"/>
  <c r="J2023" i="5"/>
  <c r="J2134" i="5"/>
  <c r="J1744" i="5"/>
  <c r="J1306" i="5"/>
  <c r="J1745" i="5"/>
  <c r="J1980" i="5"/>
  <c r="J1420" i="5"/>
  <c r="J42" i="5"/>
  <c r="J643" i="5"/>
  <c r="J644" i="5"/>
  <c r="J2159" i="5"/>
  <c r="J1248" i="5"/>
  <c r="J509" i="5"/>
  <c r="J53" i="5"/>
  <c r="J1566" i="5"/>
  <c r="J871" i="5"/>
  <c r="J2221" i="5"/>
  <c r="J1890" i="5"/>
  <c r="J362" i="5"/>
  <c r="J1194" i="5"/>
  <c r="J2193" i="5"/>
  <c r="J2194" i="5"/>
  <c r="J1842" i="5"/>
  <c r="J1843" i="5"/>
  <c r="J1844" i="5"/>
  <c r="J1845" i="5"/>
  <c r="J2024" i="5"/>
  <c r="J1567" i="5"/>
  <c r="J1891" i="5"/>
  <c r="J1746" i="5"/>
  <c r="J1981" i="5"/>
  <c r="J1696" i="5"/>
  <c r="J2103" i="5"/>
  <c r="J1249" i="5"/>
  <c r="J1638" i="5"/>
  <c r="J1639" i="5"/>
  <c r="J1640" i="5"/>
  <c r="J1747" i="5"/>
  <c r="J1940" i="5"/>
  <c r="J1122" i="5"/>
  <c r="J1507" i="5"/>
  <c r="J1788" i="5"/>
  <c r="J1846" i="5"/>
  <c r="J575" i="5"/>
  <c r="J952" i="5"/>
  <c r="J2025" i="5"/>
  <c r="J326" i="5"/>
  <c r="J645" i="5"/>
  <c r="J402" i="5"/>
  <c r="J276" i="5"/>
  <c r="J277" i="5"/>
  <c r="J1568" i="5"/>
  <c r="J1789" i="5"/>
  <c r="J1250" i="5"/>
  <c r="J1941" i="5"/>
  <c r="J1508" i="5"/>
  <c r="J1748" i="5"/>
  <c r="J2135" i="5"/>
  <c r="J2136" i="5"/>
  <c r="J953" i="5"/>
  <c r="J43" i="5"/>
  <c r="J646" i="5"/>
  <c r="J647" i="5"/>
  <c r="J1602" i="5"/>
  <c r="J801" i="5"/>
  <c r="J1892" i="5"/>
  <c r="J2026" i="5"/>
  <c r="J1346" i="5"/>
  <c r="J1347" i="5"/>
  <c r="J1749" i="5"/>
  <c r="J648" i="5"/>
  <c r="J734" i="5"/>
  <c r="J1029" i="5"/>
  <c r="J954" i="5"/>
  <c r="J1509" i="5"/>
  <c r="J1893" i="5"/>
  <c r="J2027" i="5"/>
  <c r="J2070" i="5"/>
  <c r="J1030" i="5"/>
  <c r="J649" i="5"/>
  <c r="J802" i="5"/>
  <c r="J2137" i="5"/>
  <c r="J1641" i="5"/>
  <c r="J1031" i="5"/>
  <c r="J1473" i="5"/>
  <c r="J872" i="5"/>
  <c r="J2071" i="5"/>
  <c r="J1251" i="5"/>
  <c r="J2218" i="5"/>
  <c r="J2219" i="5"/>
  <c r="J1474" i="5"/>
  <c r="J1510" i="5"/>
  <c r="J1511" i="5"/>
  <c r="J1642" i="5"/>
  <c r="J1348" i="5"/>
  <c r="J1512" i="5"/>
  <c r="J1982" i="5"/>
  <c r="J25" i="5"/>
  <c r="J2104" i="5"/>
  <c r="J1195" i="5"/>
  <c r="J1894" i="5"/>
  <c r="J1513" i="5"/>
  <c r="J2105" i="5"/>
  <c r="J1983" i="5"/>
  <c r="J450" i="5"/>
  <c r="J873" i="5"/>
  <c r="J874" i="5"/>
  <c r="J875" i="5"/>
  <c r="J1603" i="5"/>
  <c r="J1196" i="5"/>
  <c r="J1847" i="5"/>
  <c r="J1750" i="5"/>
  <c r="J803" i="5"/>
  <c r="J735" i="5"/>
  <c r="J2138" i="5"/>
  <c r="J2106" i="5"/>
  <c r="J1421" i="5"/>
  <c r="J2028" i="5"/>
  <c r="J1643" i="5"/>
  <c r="J804" i="5"/>
  <c r="J403" i="5"/>
  <c r="J1644" i="5"/>
  <c r="J1307" i="5"/>
  <c r="J736" i="5"/>
  <c r="J1790" i="5"/>
  <c r="J1984" i="5"/>
  <c r="J451" i="5"/>
  <c r="J737" i="5"/>
  <c r="J2139" i="5"/>
  <c r="J1349" i="5"/>
  <c r="J1645" i="5"/>
  <c r="J2072" i="5"/>
  <c r="J2073" i="5"/>
  <c r="J1791" i="5"/>
  <c r="J1569" i="5"/>
  <c r="J2029" i="5"/>
  <c r="J1032" i="5"/>
  <c r="J1422" i="5"/>
  <c r="J650" i="5"/>
  <c r="J510" i="5"/>
  <c r="J1423" i="5"/>
  <c r="J1848" i="5"/>
  <c r="J1849" i="5"/>
  <c r="J576" i="5"/>
  <c r="J136" i="5"/>
  <c r="J1475" i="5"/>
  <c r="J1308" i="5"/>
  <c r="J1424" i="5"/>
  <c r="J1425" i="5"/>
  <c r="J876" i="5"/>
  <c r="J1197" i="5"/>
  <c r="J1646" i="5"/>
  <c r="J738" i="5"/>
  <c r="J1514" i="5"/>
  <c r="J1942" i="5"/>
  <c r="J1350" i="5"/>
  <c r="J1751" i="5"/>
  <c r="J2160" i="5"/>
  <c r="J2161" i="5"/>
  <c r="J2030" i="5"/>
  <c r="J1752" i="5"/>
  <c r="J1604" i="5"/>
  <c r="J1033" i="5"/>
  <c r="J955" i="5"/>
  <c r="J956" i="5"/>
  <c r="J1895" i="5"/>
  <c r="J511" i="5"/>
  <c r="J805" i="5"/>
  <c r="J1943" i="5"/>
  <c r="J957" i="5"/>
  <c r="J651" i="5"/>
  <c r="J1985" i="5"/>
  <c r="J739" i="5"/>
  <c r="J75" i="5"/>
  <c r="J652" i="5"/>
  <c r="J1570" i="5"/>
  <c r="J740" i="5"/>
  <c r="J741" i="5"/>
  <c r="J742" i="5"/>
  <c r="J1850" i="5"/>
  <c r="J877" i="5"/>
  <c r="J1851" i="5"/>
  <c r="J958" i="5"/>
  <c r="J653" i="5"/>
  <c r="J1896" i="5"/>
  <c r="J1897" i="5"/>
  <c r="J806" i="5"/>
  <c r="J1476" i="5"/>
  <c r="J1605" i="5"/>
  <c r="J164" i="5"/>
  <c r="J1477" i="5"/>
  <c r="J1351" i="5"/>
  <c r="J807" i="5"/>
  <c r="J404" i="5"/>
  <c r="J808" i="5"/>
  <c r="J1478" i="5"/>
  <c r="J1479" i="5"/>
  <c r="J1944" i="5"/>
  <c r="J1252" i="5"/>
  <c r="J1034" i="5"/>
  <c r="J2162" i="5"/>
  <c r="J2206" i="5"/>
  <c r="J743" i="5"/>
  <c r="J809" i="5"/>
  <c r="J107" i="5"/>
  <c r="J327" i="5"/>
  <c r="J1571" i="5"/>
  <c r="J1753" i="5"/>
  <c r="J1515" i="5"/>
  <c r="J1426" i="5"/>
  <c r="J1427" i="5"/>
  <c r="J2163" i="5"/>
  <c r="J810" i="5"/>
  <c r="J452" i="5"/>
  <c r="J2213" i="5"/>
  <c r="J811" i="5"/>
  <c r="J812" i="5"/>
  <c r="J405" i="5"/>
  <c r="J363" i="5"/>
  <c r="J1309" i="5"/>
  <c r="J1697" i="5"/>
  <c r="J1123" i="5"/>
  <c r="J1352" i="5"/>
  <c r="J1353" i="5"/>
  <c r="J2074" i="5"/>
  <c r="J1035" i="5"/>
  <c r="J1198" i="5"/>
  <c r="J1945" i="5"/>
  <c r="J1354" i="5"/>
  <c r="J1647" i="5"/>
  <c r="J1124" i="5"/>
  <c r="J959" i="5"/>
  <c r="J1036" i="5"/>
  <c r="J1428" i="5"/>
  <c r="J813" i="5"/>
  <c r="J1253" i="5"/>
  <c r="J1429" i="5"/>
  <c r="J512" i="5"/>
  <c r="J960" i="5"/>
  <c r="J202" i="5"/>
  <c r="J744" i="5"/>
  <c r="J1430" i="5"/>
  <c r="J1125" i="5"/>
  <c r="J2031" i="5"/>
  <c r="J1126" i="5"/>
  <c r="J1792" i="5"/>
  <c r="J2195" i="5"/>
  <c r="J1199" i="5"/>
  <c r="J878" i="5"/>
  <c r="J406" i="5"/>
  <c r="J407" i="5"/>
  <c r="J1037" i="5"/>
  <c r="J328" i="5"/>
  <c r="J1254" i="5"/>
  <c r="J513" i="5"/>
  <c r="J2032" i="5"/>
  <c r="J278" i="5"/>
  <c r="J1200" i="5"/>
  <c r="J1201" i="5"/>
  <c r="J1355" i="5"/>
  <c r="J408" i="5"/>
  <c r="J1356" i="5"/>
  <c r="J2033" i="5"/>
  <c r="J1357" i="5"/>
  <c r="J814" i="5"/>
  <c r="J1038" i="5"/>
  <c r="J961" i="5"/>
  <c r="J577" i="5"/>
  <c r="J2075" i="5"/>
  <c r="J1202" i="5"/>
  <c r="J1793" i="5"/>
  <c r="J745" i="5"/>
  <c r="J879" i="5"/>
  <c r="J1127" i="5"/>
  <c r="J815" i="5"/>
  <c r="J578" i="5"/>
  <c r="J2107" i="5"/>
  <c r="J1039" i="5"/>
  <c r="J1572" i="5"/>
  <c r="J1040" i="5"/>
  <c r="J1203" i="5"/>
  <c r="J1431" i="5"/>
  <c r="J235" i="5"/>
  <c r="J514" i="5"/>
  <c r="J44" i="5"/>
  <c r="J26" i="5"/>
  <c r="J1310" i="5"/>
  <c r="J962" i="5"/>
  <c r="J1946" i="5"/>
  <c r="J1898" i="5"/>
  <c r="J1899" i="5"/>
  <c r="J1255" i="5"/>
  <c r="J816" i="5"/>
  <c r="J515" i="5"/>
  <c r="J1480" i="5"/>
  <c r="J1481" i="5"/>
  <c r="J654" i="5"/>
  <c r="J880" i="5"/>
  <c r="J881" i="5"/>
  <c r="J1041" i="5"/>
  <c r="J364" i="5"/>
  <c r="J963" i="5"/>
  <c r="J76" i="5"/>
  <c r="J165" i="5"/>
  <c r="J166" i="5"/>
  <c r="J817" i="5"/>
  <c r="J1754" i="5"/>
  <c r="J1698" i="5"/>
  <c r="J1204" i="5"/>
  <c r="J1794" i="5"/>
  <c r="J236" i="5"/>
  <c r="J2164" i="5"/>
  <c r="J1205" i="5"/>
  <c r="J365" i="5"/>
  <c r="J746" i="5"/>
  <c r="J329" i="5"/>
  <c r="J1042" i="5"/>
  <c r="J366" i="5"/>
  <c r="J579" i="5"/>
  <c r="J580" i="5"/>
  <c r="J516" i="5"/>
  <c r="J137" i="5"/>
  <c r="J138" i="5"/>
  <c r="J517" i="5"/>
  <c r="J367" i="5"/>
  <c r="J108" i="5"/>
  <c r="J409" i="5"/>
  <c r="J1900" i="5"/>
  <c r="J1256" i="5"/>
  <c r="J1482" i="5"/>
  <c r="J747" i="5"/>
  <c r="J964" i="5"/>
  <c r="J1483" i="5"/>
  <c r="J518" i="5"/>
  <c r="J1484" i="5"/>
  <c r="J203" i="5"/>
  <c r="J1986" i="5"/>
  <c r="J581" i="5"/>
  <c r="J1795" i="5"/>
  <c r="J167" i="5"/>
  <c r="J1257" i="5"/>
  <c r="J1258" i="5"/>
  <c r="J1648" i="5"/>
  <c r="J519" i="5"/>
  <c r="J2108" i="5"/>
  <c r="J582" i="5"/>
  <c r="J1259" i="5"/>
  <c r="J330" i="5"/>
  <c r="J1206" i="5"/>
  <c r="J139" i="5"/>
  <c r="J520" i="5"/>
  <c r="J1516" i="5"/>
  <c r="J2034" i="5"/>
  <c r="J1043" i="5"/>
  <c r="J1485" i="5"/>
  <c r="J748" i="5"/>
  <c r="J655" i="5"/>
  <c r="J1432" i="5"/>
  <c r="J1796" i="5"/>
  <c r="J1260" i="5"/>
  <c r="J2076" i="5"/>
  <c r="J2077" i="5"/>
  <c r="J453" i="5"/>
  <c r="J1433" i="5"/>
  <c r="J1207" i="5"/>
  <c r="J1208" i="5"/>
  <c r="J1128" i="5"/>
  <c r="J1261" i="5"/>
  <c r="J331" i="5"/>
  <c r="J1987" i="5"/>
  <c r="J1797" i="5"/>
  <c r="J2035" i="5"/>
  <c r="J818" i="5"/>
  <c r="J965" i="5"/>
  <c r="J966" i="5"/>
  <c r="J1311" i="5"/>
  <c r="J583" i="5"/>
  <c r="J749" i="5"/>
  <c r="J368" i="5"/>
  <c r="J204" i="5"/>
  <c r="J237" i="5"/>
  <c r="J2036" i="5"/>
  <c r="J819" i="5"/>
  <c r="J820" i="5"/>
  <c r="J279" i="5"/>
  <c r="J280" i="5"/>
  <c r="J281" i="5"/>
  <c r="J1947" i="5"/>
  <c r="J1948" i="5"/>
  <c r="J1209" i="5"/>
  <c r="J1044" i="5"/>
  <c r="J584" i="5"/>
  <c r="J2078" i="5"/>
  <c r="J1045" i="5"/>
  <c r="J109" i="5"/>
  <c r="J1988" i="5"/>
  <c r="J238" i="5"/>
  <c r="J369" i="5"/>
  <c r="J332" i="5"/>
  <c r="J1573" i="5"/>
  <c r="J1517" i="5"/>
  <c r="J282" i="5"/>
  <c r="J882" i="5"/>
  <c r="J656" i="5"/>
  <c r="J1649" i="5"/>
  <c r="J821" i="5"/>
  <c r="J168" i="5"/>
  <c r="J283" i="5"/>
  <c r="J1949" i="5"/>
  <c r="J1950" i="5"/>
  <c r="J967" i="5"/>
  <c r="J883" i="5"/>
  <c r="J1901" i="5"/>
  <c r="J1902" i="5"/>
  <c r="J968" i="5"/>
  <c r="J110" i="5"/>
  <c r="J1129" i="5"/>
  <c r="J1699" i="5"/>
  <c r="J2140" i="5"/>
  <c r="J969" i="5"/>
  <c r="J1755" i="5"/>
  <c r="J1903" i="5"/>
  <c r="J521" i="5"/>
  <c r="J77" i="5"/>
  <c r="J239" i="5"/>
  <c r="J522" i="5"/>
  <c r="J1518" i="5"/>
  <c r="J1519" i="5"/>
  <c r="J523" i="5"/>
  <c r="J1046" i="5"/>
  <c r="J970" i="5"/>
  <c r="J971" i="5"/>
  <c r="J884" i="5"/>
  <c r="J524" i="5"/>
  <c r="J370" i="5"/>
  <c r="J333" i="5"/>
  <c r="J169" i="5"/>
  <c r="J1904" i="5"/>
  <c r="J1905" i="5"/>
  <c r="J1262" i="5"/>
  <c r="J525" i="5"/>
  <c r="J822" i="5"/>
  <c r="J1210" i="5"/>
  <c r="J1211" i="5"/>
  <c r="J78" i="5"/>
  <c r="J1700" i="5"/>
  <c r="J1263" i="5"/>
  <c r="J1047" i="5"/>
  <c r="J1650" i="5"/>
  <c r="J1130" i="5"/>
  <c r="J170" i="5"/>
  <c r="J1048" i="5"/>
  <c r="J1358" i="5"/>
  <c r="J240" i="5"/>
  <c r="J526" i="5"/>
  <c r="J1131" i="5"/>
  <c r="J2109" i="5"/>
  <c r="J885" i="5"/>
  <c r="J205" i="5"/>
  <c r="J1574" i="5"/>
  <c r="J972" i="5"/>
  <c r="J585" i="5"/>
  <c r="J2196" i="5"/>
  <c r="J2197" i="5"/>
  <c r="J973" i="5"/>
  <c r="J1359" i="5"/>
  <c r="J1360" i="5"/>
  <c r="J527" i="5"/>
  <c r="J528" i="5"/>
  <c r="J1989" i="5"/>
  <c r="J657" i="5"/>
  <c r="J658" i="5"/>
  <c r="J1798" i="5"/>
  <c r="J659" i="5"/>
  <c r="J410" i="5"/>
  <c r="J886" i="5"/>
  <c r="J887" i="5"/>
  <c r="J660" i="5"/>
  <c r="J750" i="5"/>
  <c r="J1756" i="5"/>
  <c r="J284" i="5"/>
  <c r="J751" i="5"/>
  <c r="J752" i="5"/>
  <c r="J1906" i="5"/>
  <c r="J241" i="5"/>
  <c r="J79" i="5"/>
  <c r="J1049" i="5"/>
  <c r="J1050" i="5"/>
  <c r="J823" i="5"/>
  <c r="J753" i="5"/>
  <c r="J1361" i="5"/>
  <c r="J1362" i="5"/>
  <c r="J1312" i="5"/>
  <c r="J334" i="5"/>
  <c r="J1264" i="5"/>
  <c r="J529" i="5"/>
  <c r="J371" i="5"/>
  <c r="J1990" i="5"/>
  <c r="J1313" i="5"/>
  <c r="J1951" i="5"/>
  <c r="J1907" i="5"/>
  <c r="J1434" i="5"/>
  <c r="J1799" i="5"/>
  <c r="J1952" i="5"/>
  <c r="J411" i="5"/>
  <c r="J285" i="5"/>
  <c r="J454" i="5"/>
  <c r="J1265" i="5"/>
  <c r="J1520" i="5"/>
  <c r="J1701" i="5"/>
  <c r="J1051" i="5"/>
  <c r="J754" i="5"/>
  <c r="J1953" i="5"/>
  <c r="J755" i="5"/>
  <c r="J530" i="5"/>
  <c r="J1606" i="5"/>
  <c r="J2141" i="5"/>
  <c r="J1435" i="5"/>
  <c r="J661" i="5"/>
  <c r="J662" i="5"/>
  <c r="J586" i="5"/>
  <c r="J286" i="5"/>
  <c r="J1052" i="5"/>
  <c r="J206" i="5"/>
  <c r="J372" i="5"/>
  <c r="J1132" i="5"/>
  <c r="J1954" i="5"/>
  <c r="J242" i="5"/>
  <c r="J287" i="5"/>
  <c r="J1266" i="5"/>
  <c r="J373" i="5"/>
  <c r="J974" i="5"/>
  <c r="J2142" i="5"/>
  <c r="J1212" i="5"/>
  <c r="J1267" i="5"/>
  <c r="J288" i="5"/>
  <c r="J888" i="5"/>
  <c r="J889" i="5"/>
  <c r="J890" i="5"/>
  <c r="J891" i="5"/>
  <c r="J756" i="5"/>
  <c r="J1436" i="5"/>
  <c r="J1437" i="5"/>
  <c r="J587" i="5"/>
  <c r="J1053" i="5"/>
  <c r="J54" i="5"/>
  <c r="J2037" i="5"/>
  <c r="J1702" i="5"/>
  <c r="J892" i="5"/>
  <c r="J893" i="5"/>
  <c r="J243" i="5"/>
  <c r="J1133" i="5"/>
  <c r="J975" i="5"/>
  <c r="J531" i="5"/>
  <c r="J374" i="5"/>
  <c r="J1314" i="5"/>
  <c r="J2143" i="5"/>
  <c r="J111" i="5"/>
  <c r="J1852" i="5"/>
  <c r="J1268" i="5"/>
  <c r="J1757" i="5"/>
  <c r="J244" i="5"/>
  <c r="J245" i="5"/>
  <c r="J1054" i="5"/>
  <c r="J1055" i="5"/>
  <c r="J757" i="5"/>
  <c r="J412" i="5"/>
  <c r="J894" i="5"/>
  <c r="J1853" i="5"/>
  <c r="J27" i="5"/>
  <c r="J28" i="5"/>
  <c r="J1269" i="5"/>
  <c r="J895" i="5"/>
  <c r="J2079" i="5"/>
  <c r="J10" i="5"/>
  <c r="J11" i="5"/>
  <c r="J246" i="5"/>
  <c r="J171" i="5"/>
  <c r="J1363" i="5"/>
  <c r="J1854" i="5"/>
  <c r="J1056" i="5"/>
  <c r="J1057" i="5"/>
  <c r="J824" i="5"/>
  <c r="J825" i="5"/>
  <c r="J1991" i="5"/>
  <c r="J976" i="5"/>
  <c r="J1703" i="5"/>
  <c r="J663" i="5"/>
  <c r="J588" i="5"/>
  <c r="J2165" i="5"/>
  <c r="J375" i="5"/>
  <c r="J826" i="5"/>
  <c r="J827" i="5"/>
  <c r="J55" i="5"/>
  <c r="J589" i="5"/>
  <c r="J1521" i="5"/>
  <c r="J455" i="5"/>
  <c r="J172" i="5"/>
  <c r="J1704" i="5"/>
  <c r="J1438" i="5"/>
  <c r="J1522" i="5"/>
  <c r="J758" i="5"/>
  <c r="J112" i="5"/>
  <c r="J113" i="5"/>
  <c r="J1058" i="5"/>
  <c r="J2038" i="5"/>
  <c r="J1270" i="5"/>
  <c r="J532" i="5"/>
  <c r="J2110" i="5"/>
  <c r="J2111" i="5"/>
  <c r="J80" i="5"/>
  <c r="J81" i="5"/>
  <c r="J1134" i="5"/>
  <c r="J759" i="5"/>
  <c r="J207" i="5"/>
  <c r="J1705" i="5"/>
  <c r="J1135" i="5"/>
  <c r="J1523" i="5"/>
  <c r="J977" i="5"/>
  <c r="J828" i="5"/>
  <c r="J1364" i="5"/>
  <c r="J1213" i="5"/>
  <c r="J289" i="5"/>
  <c r="J1365" i="5"/>
  <c r="J1524" i="5"/>
  <c r="J896" i="5"/>
  <c r="J456" i="5"/>
  <c r="J1439" i="5"/>
  <c r="J208" i="5"/>
  <c r="J2039" i="5"/>
  <c r="J1758" i="5"/>
  <c r="J1575" i="5"/>
  <c r="J2040" i="5"/>
  <c r="J1525" i="5"/>
  <c r="J1059" i="5"/>
  <c r="J1060" i="5"/>
  <c r="J1366" i="5"/>
  <c r="J760" i="5"/>
  <c r="J761" i="5"/>
  <c r="J173" i="5"/>
  <c r="J413" i="5"/>
  <c r="J762" i="5"/>
  <c r="J664" i="5"/>
  <c r="J590" i="5"/>
  <c r="J1440" i="5"/>
  <c r="J1706" i="5"/>
  <c r="J533" i="5"/>
  <c r="J534" i="5"/>
  <c r="J591" i="5"/>
  <c r="J1061" i="5"/>
  <c r="J1062" i="5"/>
  <c r="J1271" i="5"/>
  <c r="J174" i="5"/>
  <c r="J2080" i="5"/>
  <c r="J457" i="5"/>
  <c r="J1441" i="5"/>
  <c r="J897" i="5"/>
  <c r="J1526" i="5"/>
  <c r="J1607" i="5"/>
  <c r="J1315" i="5"/>
  <c r="J1316" i="5"/>
  <c r="J247" i="5"/>
  <c r="J335" i="5"/>
  <c r="J1136" i="5"/>
  <c r="J898" i="5"/>
  <c r="J829" i="5"/>
  <c r="J1651" i="5"/>
  <c r="J1759" i="5"/>
  <c r="J290" i="5"/>
  <c r="J1955" i="5"/>
  <c r="J1063" i="5"/>
  <c r="J82" i="5"/>
  <c r="J978" i="5"/>
  <c r="J1137" i="5"/>
  <c r="J592" i="5"/>
  <c r="J665" i="5"/>
  <c r="J414" i="5"/>
  <c r="J899" i="5"/>
  <c r="J291" i="5"/>
  <c r="J248" i="5"/>
  <c r="J1486" i="5"/>
  <c r="J1064" i="5"/>
  <c r="J535" i="5"/>
  <c r="J666" i="5"/>
  <c r="J458" i="5"/>
  <c r="J979" i="5"/>
  <c r="J830" i="5"/>
  <c r="J415" i="5"/>
  <c r="J1576" i="5"/>
  <c r="J1577" i="5"/>
  <c r="J1652" i="5"/>
  <c r="J1855" i="5"/>
  <c r="J249" i="5"/>
  <c r="J593" i="5"/>
  <c r="J594" i="5"/>
  <c r="J900" i="5"/>
  <c r="J901" i="5"/>
  <c r="J763" i="5"/>
  <c r="J209" i="5"/>
  <c r="J376" i="5"/>
  <c r="J459" i="5"/>
  <c r="J595" i="5"/>
  <c r="J667" i="5"/>
  <c r="J668" i="5"/>
  <c r="J1527" i="5"/>
  <c r="J831" i="5"/>
  <c r="J1367" i="5"/>
  <c r="J2081" i="5"/>
  <c r="J416" i="5"/>
  <c r="J1214" i="5"/>
  <c r="J764" i="5"/>
  <c r="J669" i="5"/>
  <c r="J1317" i="5"/>
  <c r="J417" i="5"/>
  <c r="J980" i="5"/>
  <c r="J832" i="5"/>
  <c r="J1442" i="5"/>
  <c r="J670" i="5"/>
  <c r="J671" i="5"/>
  <c r="J460" i="5"/>
  <c r="J1065" i="5"/>
  <c r="J1760" i="5"/>
  <c r="J1653" i="5"/>
  <c r="J1654" i="5"/>
  <c r="J250" i="5"/>
  <c r="J981" i="5"/>
  <c r="J1215" i="5"/>
  <c r="J140" i="5"/>
  <c r="J1066" i="5"/>
  <c r="J1067" i="5"/>
  <c r="J596" i="5"/>
  <c r="J833" i="5"/>
  <c r="J834" i="5"/>
  <c r="J210" i="5"/>
  <c r="J83" i="5"/>
  <c r="J84" i="5"/>
  <c r="J982" i="5"/>
  <c r="J536" i="5"/>
  <c r="J292" i="5"/>
  <c r="J293" i="5"/>
  <c r="J56" i="5"/>
  <c r="J1608" i="5"/>
  <c r="J983" i="5"/>
  <c r="J1138" i="5"/>
  <c r="J175" i="5"/>
  <c r="J211" i="5"/>
  <c r="J1068" i="5"/>
  <c r="J984" i="5"/>
  <c r="J212" i="5"/>
  <c r="J213" i="5"/>
  <c r="J1069" i="5"/>
  <c r="J1443" i="5"/>
  <c r="J1444" i="5"/>
  <c r="J114" i="5"/>
  <c r="J1139" i="5"/>
  <c r="J1272" i="5"/>
  <c r="J672" i="5"/>
  <c r="J1655" i="5"/>
  <c r="J1368" i="5"/>
  <c r="J1656" i="5"/>
  <c r="J2082" i="5"/>
  <c r="J141" i="5"/>
  <c r="J1273" i="5"/>
  <c r="J214" i="5"/>
  <c r="J377" i="5"/>
  <c r="J597" i="5"/>
  <c r="J1856" i="5"/>
  <c r="J598" i="5"/>
  <c r="J1369" i="5"/>
  <c r="J336" i="5"/>
  <c r="J85" i="5"/>
  <c r="J86" i="5"/>
  <c r="J537" i="5"/>
  <c r="J538" i="5"/>
  <c r="J337" i="5"/>
  <c r="J1657" i="5"/>
  <c r="J378" i="5"/>
  <c r="J2041" i="5"/>
  <c r="J539" i="5"/>
  <c r="J835" i="5"/>
  <c r="J294" i="5"/>
  <c r="J295" i="5"/>
  <c r="J1318" i="5"/>
  <c r="J2179" i="5"/>
  <c r="J296" i="5"/>
  <c r="J2042" i="5"/>
  <c r="J2112" i="5"/>
  <c r="J1609" i="5"/>
  <c r="J1610" i="5"/>
  <c r="J1140" i="5"/>
  <c r="J1761" i="5"/>
  <c r="J176" i="5"/>
  <c r="J418" i="5"/>
  <c r="J1319" i="5"/>
  <c r="J115" i="5"/>
  <c r="J461" i="5"/>
  <c r="J599" i="5"/>
  <c r="J902" i="5"/>
  <c r="J379" i="5"/>
  <c r="J540" i="5"/>
  <c r="J338" i="5"/>
  <c r="J765" i="5"/>
  <c r="J2180" i="5"/>
  <c r="J2083" i="5"/>
  <c r="J1956" i="5"/>
  <c r="J251" i="5"/>
  <c r="J462" i="5"/>
  <c r="J1141" i="5"/>
  <c r="J1578" i="5"/>
  <c r="J1611" i="5"/>
  <c r="J985" i="5"/>
  <c r="J2113" i="5"/>
  <c r="J903" i="5"/>
  <c r="J177" i="5"/>
  <c r="J904" i="5"/>
  <c r="J1612" i="5"/>
  <c r="J297" i="5"/>
  <c r="J298" i="5"/>
  <c r="J1274" i="5"/>
  <c r="J1370" i="5"/>
  <c r="J2084" i="5"/>
  <c r="J1070" i="5"/>
  <c r="J673" i="5"/>
  <c r="J674" i="5"/>
  <c r="J1707" i="5"/>
  <c r="J1216" i="5"/>
  <c r="J380" i="5"/>
  <c r="J45" i="5"/>
  <c r="J1071" i="5"/>
  <c r="J178" i="5"/>
  <c r="J986" i="5"/>
  <c r="J836" i="5"/>
  <c r="J252" i="5"/>
  <c r="J1320" i="5"/>
  <c r="J179" i="5"/>
  <c r="J2144" i="5"/>
  <c r="J1762" i="5"/>
  <c r="J1763" i="5"/>
  <c r="J541" i="5"/>
  <c r="J675" i="5"/>
  <c r="J1217" i="5"/>
  <c r="J987" i="5"/>
  <c r="J905" i="5"/>
  <c r="J542" i="5"/>
  <c r="J1857" i="5"/>
  <c r="J57" i="5"/>
  <c r="J1800" i="5"/>
  <c r="J1801" i="5"/>
  <c r="J837" i="5"/>
  <c r="J419" i="5"/>
  <c r="J1142" i="5"/>
  <c r="J1321" i="5"/>
  <c r="J543" i="5"/>
  <c r="J1072" i="5"/>
  <c r="J544" i="5"/>
  <c r="J1073" i="5"/>
  <c r="J253" i="5"/>
  <c r="J142" i="5"/>
  <c r="J838" i="5"/>
  <c r="J839" i="5"/>
  <c r="J87" i="5"/>
  <c r="J906" i="5"/>
  <c r="J2181" i="5"/>
  <c r="J600" i="5"/>
  <c r="J1218" i="5"/>
  <c r="J1219" i="5"/>
  <c r="J299" i="5"/>
  <c r="J180" i="5"/>
  <c r="J988" i="5"/>
  <c r="J676" i="5"/>
  <c r="J420" i="5"/>
  <c r="J116" i="5"/>
  <c r="J989" i="5"/>
  <c r="J545" i="5"/>
  <c r="J546" i="5"/>
  <c r="J990" i="5"/>
  <c r="J339" i="5"/>
  <c r="J58" i="5"/>
  <c r="J117" i="5"/>
  <c r="J907" i="5"/>
  <c r="J463" i="5"/>
  <c r="J464" i="5"/>
  <c r="J254" i="5"/>
  <c r="J381" i="5"/>
  <c r="J991" i="5"/>
  <c r="J465" i="5"/>
  <c r="J340" i="5"/>
  <c r="J382" i="5"/>
  <c r="J59" i="5"/>
  <c r="J1708" i="5"/>
  <c r="J1143" i="5"/>
  <c r="J1144" i="5"/>
  <c r="J300" i="5"/>
  <c r="J677" i="5"/>
  <c r="J255" i="5"/>
  <c r="J766" i="5"/>
  <c r="J1220" i="5"/>
  <c r="J143" i="5"/>
  <c r="J601" i="5"/>
  <c r="J1275" i="5"/>
  <c r="J466" i="5"/>
  <c r="J678" i="5"/>
  <c r="J341" i="5"/>
  <c r="J1145" i="5"/>
  <c r="J342" i="5"/>
  <c r="J908" i="5"/>
  <c r="J1802" i="5"/>
  <c r="J301" i="5"/>
  <c r="J1445" i="5"/>
  <c r="J1446" i="5"/>
  <c r="J181" i="5"/>
  <c r="J144" i="5"/>
  <c r="J118" i="5"/>
  <c r="J119" i="5"/>
  <c r="J1709" i="5"/>
  <c r="J1992" i="5"/>
  <c r="J1221" i="5"/>
  <c r="J256" i="5"/>
  <c r="J1146" i="5"/>
  <c r="J215" i="5"/>
  <c r="J1528" i="5"/>
  <c r="J1147" i="5"/>
  <c r="J383" i="5"/>
  <c r="J1074" i="5"/>
  <c r="J1075" i="5"/>
  <c r="J547" i="5"/>
  <c r="J548" i="5"/>
  <c r="J602" i="5"/>
  <c r="J909" i="5"/>
  <c r="J767" i="5"/>
  <c r="J1371" i="5"/>
  <c r="J1372" i="5"/>
  <c r="J1148" i="5"/>
  <c r="J1322" i="5"/>
  <c r="J1323" i="5"/>
  <c r="J1908" i="5"/>
  <c r="J182" i="5"/>
  <c r="J1957" i="5"/>
  <c r="J343" i="5"/>
  <c r="J145" i="5"/>
  <c r="J1529" i="5"/>
  <c r="J1530" i="5"/>
  <c r="J1222" i="5"/>
  <c r="J216" i="5"/>
  <c r="J1858" i="5"/>
  <c r="J768" i="5"/>
  <c r="J2085" i="5"/>
  <c r="J769" i="5"/>
  <c r="J302" i="5"/>
  <c r="J1658" i="5"/>
  <c r="J603" i="5"/>
  <c r="J1149" i="5"/>
  <c r="J992" i="5"/>
  <c r="J303" i="5"/>
  <c r="J1803" i="5"/>
  <c r="J1804" i="5"/>
  <c r="J183" i="5"/>
  <c r="J1223" i="5"/>
  <c r="J184" i="5"/>
  <c r="J185" i="5"/>
  <c r="J304" i="5"/>
  <c r="J679" i="5"/>
  <c r="J467" i="5"/>
  <c r="J88" i="5"/>
  <c r="J993" i="5"/>
  <c r="J217" i="5"/>
  <c r="J549" i="5"/>
  <c r="J840" i="5"/>
  <c r="J146" i="5"/>
  <c r="J344" i="5"/>
  <c r="J680" i="5"/>
  <c r="J604" i="5"/>
  <c r="J910" i="5"/>
  <c r="J1150" i="5"/>
  <c r="J1151" i="5"/>
  <c r="J218" i="5"/>
  <c r="J120" i="5"/>
  <c r="J186" i="5"/>
  <c r="J911" i="5"/>
  <c r="J187" i="5"/>
  <c r="J188" i="5"/>
  <c r="J468" i="5"/>
  <c r="J46" i="5"/>
  <c r="J681" i="5"/>
  <c r="J682" i="5"/>
  <c r="J841" i="5"/>
  <c r="J842" i="5"/>
  <c r="J219" i="5"/>
  <c r="J220" i="5"/>
  <c r="J770" i="5"/>
  <c r="J1659" i="5"/>
  <c r="J1152" i="5"/>
  <c r="J1276" i="5"/>
  <c r="J1277" i="5"/>
  <c r="J221" i="5"/>
  <c r="J189" i="5"/>
  <c r="J345" i="5"/>
  <c r="J384" i="5"/>
  <c r="J385" i="5"/>
  <c r="J843" i="5"/>
  <c r="J1278" i="5"/>
  <c r="J421" i="5"/>
  <c r="J257" i="5"/>
  <c r="J912" i="5"/>
  <c r="J60" i="5"/>
  <c r="J61" i="5"/>
  <c r="J62" i="5"/>
  <c r="J258" i="5"/>
  <c r="J1076" i="5"/>
  <c r="J29" i="5"/>
  <c r="J1487" i="5"/>
  <c r="J1488" i="5"/>
  <c r="J1710" i="5"/>
  <c r="J1711" i="5"/>
  <c r="J1712" i="5"/>
  <c r="J1224" i="5"/>
  <c r="J346" i="5"/>
  <c r="J844" i="5"/>
  <c r="J89" i="5"/>
  <c r="J63" i="5"/>
  <c r="J147" i="5"/>
  <c r="J64" i="5"/>
  <c r="J222" i="5"/>
  <c r="J2198" i="5"/>
  <c r="J469" i="5"/>
  <c r="J683" i="5"/>
  <c r="J90" i="5"/>
  <c r="J771" i="5"/>
  <c r="J550" i="5"/>
  <c r="J148" i="5"/>
  <c r="J30" i="5"/>
  <c r="J684" i="5"/>
  <c r="J1660" i="5"/>
  <c r="J1661" i="5"/>
  <c r="J551" i="5"/>
  <c r="J772" i="5"/>
  <c r="J685" i="5"/>
  <c r="J1613" i="5"/>
  <c r="J2114" i="5"/>
  <c r="J470" i="5"/>
  <c r="J1077" i="5"/>
  <c r="J223" i="5"/>
  <c r="J552" i="5"/>
  <c r="J259" i="5"/>
  <c r="J260" i="5"/>
  <c r="J121" i="5"/>
  <c r="J65" i="5"/>
  <c r="J471" i="5"/>
  <c r="J422" i="5"/>
  <c r="J472" i="5"/>
  <c r="J1859" i="5"/>
  <c r="J122" i="5"/>
  <c r="J261" i="5"/>
  <c r="J1153" i="5"/>
  <c r="J1154" i="5"/>
  <c r="J473" i="5"/>
  <c r="J474" i="5"/>
  <c r="J31" i="5"/>
  <c r="J423" i="5"/>
  <c r="J1764" i="5"/>
  <c r="J149" i="5"/>
  <c r="J2086" i="5"/>
  <c r="J1531" i="5"/>
  <c r="J190" i="5"/>
  <c r="J686" i="5"/>
  <c r="J262" i="5"/>
  <c r="J1860" i="5"/>
  <c r="J424" i="5"/>
  <c r="J5" i="5"/>
  <c r="J994" i="5"/>
  <c r="J1225" i="5"/>
  <c r="J123" i="5"/>
  <c r="J1662" i="5"/>
  <c r="J687" i="5"/>
  <c r="J475" i="5"/>
  <c r="J1155" i="5"/>
  <c r="J2043" i="5"/>
  <c r="J688" i="5"/>
  <c r="J553" i="5"/>
  <c r="J773" i="5"/>
  <c r="J263" i="5"/>
  <c r="J91" i="5"/>
  <c r="J92" i="5"/>
  <c r="J93" i="5"/>
  <c r="J1078" i="5"/>
  <c r="J913" i="5"/>
  <c r="J689" i="5"/>
  <c r="J94" i="5"/>
  <c r="J191" i="5"/>
  <c r="J2044" i="5"/>
  <c r="J47" i="5"/>
  <c r="J914" i="5"/>
  <c r="J774" i="5"/>
  <c r="J690" i="5"/>
  <c r="J691" i="5"/>
  <c r="J554" i="5"/>
  <c r="J476" i="5"/>
  <c r="J477" i="5"/>
  <c r="J224" i="5"/>
  <c r="J192" i="5"/>
  <c r="J150" i="5"/>
  <c r="J32" i="5"/>
  <c r="J6" i="5"/>
  <c r="J1373" i="5"/>
  <c r="J1805" i="5"/>
  <c r="J347" i="5"/>
  <c r="J2115" i="5"/>
  <c r="J692" i="5"/>
  <c r="J1447" i="5"/>
  <c r="J1226" i="5"/>
  <c r="J1532" i="5"/>
  <c r="J915" i="5"/>
  <c r="J478" i="5"/>
  <c r="J1079" i="5"/>
  <c r="R527" i="1"/>
  <c r="R1664" i="1"/>
  <c r="R211" i="1"/>
  <c r="R484" i="1"/>
  <c r="R219" i="1"/>
  <c r="R1657" i="1"/>
  <c r="R795" i="1"/>
  <c r="R254" i="1"/>
  <c r="R206" i="1"/>
  <c r="R207" i="1"/>
  <c r="R1202" i="1"/>
  <c r="R1595" i="1"/>
  <c r="R925" i="1"/>
  <c r="R1154" i="1"/>
  <c r="R540" i="1"/>
  <c r="R541" i="1"/>
  <c r="R1730" i="1"/>
  <c r="R2220" i="1"/>
  <c r="R1551" i="1"/>
  <c r="R1729" i="1"/>
  <c r="R422" i="1"/>
  <c r="R2216" i="1"/>
  <c r="R2214" i="1"/>
  <c r="R687" i="1"/>
  <c r="R228" i="1"/>
  <c r="R1780" i="1"/>
  <c r="R308" i="1"/>
  <c r="R1174" i="1"/>
  <c r="R88" i="1"/>
  <c r="R107" i="1"/>
  <c r="R1158" i="1"/>
  <c r="R1124" i="1"/>
  <c r="R1673" i="1"/>
  <c r="R1132" i="1"/>
  <c r="R1353" i="1"/>
  <c r="R907" i="1"/>
  <c r="R2148" i="1"/>
  <c r="R214" i="1"/>
  <c r="R1350" i="1"/>
  <c r="R118" i="1"/>
  <c r="R1343" i="1"/>
  <c r="R95" i="1"/>
  <c r="R1345" i="1"/>
  <c r="R877" i="1"/>
  <c r="R1610" i="1"/>
  <c r="R1893" i="1"/>
  <c r="R935" i="1"/>
  <c r="R1894" i="1"/>
  <c r="R1764" i="1"/>
  <c r="R522" i="1"/>
  <c r="R648" i="1"/>
  <c r="R1742" i="1"/>
  <c r="R2067" i="1"/>
  <c r="R1286" i="1"/>
  <c r="R703" i="1"/>
  <c r="R704" i="1"/>
  <c r="R624" i="1"/>
  <c r="R1222" i="1"/>
  <c r="R284" i="1"/>
  <c r="R1067" i="1"/>
  <c r="R1025" i="1"/>
  <c r="R1328" i="1"/>
  <c r="R1149" i="1"/>
  <c r="R1329" i="1"/>
  <c r="R134" i="1"/>
  <c r="R1092" i="1"/>
  <c r="R1389" i="1"/>
  <c r="R724" i="1"/>
  <c r="R1786" i="1"/>
  <c r="R2122" i="1"/>
  <c r="R1874" i="1"/>
  <c r="R2013" i="1"/>
  <c r="R480" i="1"/>
  <c r="R792" i="1"/>
  <c r="R216" i="1"/>
  <c r="R1606" i="1"/>
  <c r="R389" i="1"/>
  <c r="R612" i="1"/>
  <c r="R632" i="1"/>
  <c r="R1360" i="1"/>
  <c r="R79" i="1"/>
  <c r="R229" i="1"/>
  <c r="R1157" i="1"/>
  <c r="R676" i="1"/>
  <c r="R2115" i="1"/>
  <c r="R1147" i="1"/>
  <c r="R2026" i="1"/>
  <c r="R1307" i="1"/>
  <c r="R2" i="1"/>
  <c r="R1812" i="1"/>
  <c r="R684" i="1"/>
  <c r="R510" i="1"/>
  <c r="R1151" i="1"/>
  <c r="R1755" i="1"/>
  <c r="R1756" i="1"/>
  <c r="R2009" i="1"/>
  <c r="R1170" i="1"/>
  <c r="R301" i="1"/>
  <c r="R668" i="1"/>
  <c r="R1003" i="1"/>
  <c r="R1522" i="1"/>
  <c r="R974" i="1"/>
  <c r="R242" i="1"/>
  <c r="R2108" i="1"/>
  <c r="R311" i="1"/>
  <c r="R177" i="1"/>
  <c r="R312" i="1"/>
  <c r="R11" i="1"/>
  <c r="R2187" i="1"/>
  <c r="R1844" i="1"/>
  <c r="R1845" i="1"/>
  <c r="R564" i="1"/>
  <c r="R1937" i="1"/>
  <c r="R345" i="1"/>
  <c r="R346" i="1"/>
  <c r="R2188" i="1"/>
  <c r="R1489" i="1"/>
  <c r="R565" i="1"/>
  <c r="R1642" i="1"/>
  <c r="R1643" i="1"/>
  <c r="R1644" i="1"/>
  <c r="R1645" i="1"/>
  <c r="R1839" i="1"/>
  <c r="R2082" i="1"/>
  <c r="R125" i="1"/>
  <c r="R2219" i="1"/>
  <c r="R934" i="1"/>
  <c r="R1990" i="1"/>
  <c r="R854" i="1"/>
  <c r="R1046" i="1"/>
  <c r="R269" i="1"/>
  <c r="R1690" i="1"/>
  <c r="R1853" i="1"/>
  <c r="R513" i="1"/>
  <c r="R310" i="1"/>
  <c r="R590" i="1"/>
  <c r="R651" i="1"/>
  <c r="R223" i="1"/>
  <c r="R1708" i="1"/>
  <c r="R1090" i="1"/>
  <c r="R210" i="1"/>
  <c r="R628" i="1"/>
  <c r="R1709" i="1"/>
  <c r="R224" i="1"/>
  <c r="R370" i="1"/>
  <c r="R184" i="1"/>
  <c r="R1774" i="1"/>
  <c r="R1766" i="1"/>
  <c r="R1103" i="1"/>
  <c r="R2079" i="1"/>
  <c r="R1280" i="1"/>
  <c r="R2072" i="1"/>
  <c r="R1682" i="1"/>
  <c r="R2080" i="1"/>
  <c r="R105" i="1"/>
  <c r="R282" i="1"/>
  <c r="R2151" i="1"/>
  <c r="R1901" i="1"/>
  <c r="R1527" i="1"/>
  <c r="R1437" i="1"/>
  <c r="R63" i="1"/>
  <c r="R1091" i="1"/>
  <c r="R1927" i="1"/>
  <c r="R2056" i="1"/>
  <c r="R176" i="1"/>
  <c r="R872" i="1"/>
  <c r="R1080" i="1"/>
  <c r="R954" i="1"/>
  <c r="R955" i="1"/>
  <c r="R1581" i="1"/>
  <c r="R1582" i="1"/>
  <c r="R1271" i="1"/>
  <c r="R364" i="1"/>
  <c r="R2189" i="1"/>
  <c r="R1695" i="1"/>
  <c r="R365" i="1"/>
  <c r="R1362" i="1"/>
  <c r="R296" i="1"/>
  <c r="R329" i="1"/>
  <c r="R1583" i="1"/>
  <c r="R330" i="1"/>
  <c r="R323" i="1"/>
  <c r="R324" i="1"/>
  <c r="R54" i="1"/>
  <c r="R453" i="1"/>
  <c r="R117" i="1"/>
  <c r="R1562" i="1"/>
  <c r="R1891" i="1"/>
  <c r="R266" i="1"/>
  <c r="R1933" i="1"/>
  <c r="R1832" i="1"/>
  <c r="R45" i="1"/>
  <c r="R424" i="1"/>
  <c r="R921" i="1"/>
  <c r="R1435" i="1"/>
  <c r="R1900" i="1"/>
  <c r="R774" i="1"/>
  <c r="R165" i="1"/>
  <c r="R42" i="1"/>
  <c r="R226" i="1"/>
  <c r="R1511" i="1"/>
  <c r="R1617" i="1"/>
  <c r="R404" i="1"/>
  <c r="R861" i="1"/>
  <c r="R23" i="1"/>
  <c r="R233" i="1"/>
  <c r="R1249" i="1"/>
  <c r="R234" i="1"/>
  <c r="R976" i="1"/>
  <c r="R809" i="1"/>
  <c r="R1400" i="1"/>
  <c r="R1297" i="1"/>
  <c r="R1924" i="1"/>
  <c r="R1401" i="1"/>
  <c r="R1656" i="1"/>
  <c r="R1733" i="1"/>
  <c r="R1145" i="1"/>
  <c r="R1575" i="1"/>
  <c r="R1370" i="1"/>
  <c r="R890" i="1"/>
  <c r="R626" i="1"/>
  <c r="R1641" i="1"/>
  <c r="R25" i="1"/>
  <c r="R858" i="1"/>
  <c r="R1172" i="1"/>
  <c r="R1934" i="1"/>
  <c r="R1557" i="1"/>
  <c r="R1982" i="1"/>
  <c r="R2145" i="1"/>
  <c r="R1139" i="1"/>
  <c r="R1346" i="1"/>
  <c r="R996" i="1"/>
  <c r="R2167" i="1"/>
  <c r="R1666" i="1"/>
  <c r="R1626" i="1"/>
  <c r="R1337" i="1"/>
  <c r="R337" i="1"/>
  <c r="R273" i="1"/>
  <c r="R1625" i="1"/>
  <c r="R1500" i="1"/>
  <c r="R1138" i="1"/>
  <c r="R1290" i="1"/>
  <c r="R1291" i="1"/>
  <c r="R2054" i="1"/>
  <c r="R900" i="1"/>
  <c r="R1197" i="1"/>
  <c r="R1198" i="1"/>
  <c r="R1310" i="1"/>
  <c r="R645" i="1"/>
  <c r="R1691" i="1"/>
  <c r="R646" i="1"/>
  <c r="R1612" i="1"/>
  <c r="R251" i="1"/>
  <c r="R90" i="1"/>
  <c r="R2069" i="1"/>
  <c r="R221" i="1"/>
  <c r="R463" i="1"/>
  <c r="R464" i="1"/>
  <c r="R970" i="1"/>
  <c r="R759" i="1"/>
  <c r="R1865" i="1"/>
  <c r="R1523" i="1"/>
  <c r="R876" i="1"/>
  <c r="R333" i="1"/>
  <c r="R983" i="1"/>
  <c r="R446" i="1"/>
  <c r="R75" i="1"/>
  <c r="R261" i="1"/>
  <c r="R151" i="1"/>
  <c r="R1081" i="1"/>
  <c r="R1785" i="1"/>
  <c r="R152" i="1"/>
  <c r="R1094" i="1"/>
  <c r="R1406" i="1"/>
  <c r="R1507" i="1"/>
  <c r="R1033" i="1"/>
  <c r="R16" i="1"/>
  <c r="R136" i="1"/>
  <c r="R1443" i="1"/>
  <c r="R1117" i="1"/>
  <c r="R1861" i="1"/>
  <c r="R1255" i="1"/>
  <c r="R318" i="1"/>
  <c r="R1506" i="1"/>
  <c r="R36" i="1"/>
  <c r="R215" i="1"/>
  <c r="R1692" i="1"/>
  <c r="R1630" i="1"/>
  <c r="R1593" i="1"/>
  <c r="R1543" i="1"/>
  <c r="R1526" i="1"/>
  <c r="R1544" i="1"/>
  <c r="R2052" i="1"/>
  <c r="R1920" i="1"/>
  <c r="R1313" i="1"/>
  <c r="R640" i="1"/>
  <c r="R841" i="1"/>
  <c r="R2123" i="1"/>
  <c r="R641" i="1"/>
  <c r="R1777" i="1"/>
  <c r="R2055" i="1"/>
  <c r="R1680" i="1"/>
  <c r="R1681" i="1"/>
  <c r="R1414" i="1"/>
  <c r="R1513" i="1"/>
  <c r="R1856" i="1"/>
  <c r="R1848" i="1"/>
  <c r="R2084" i="1"/>
  <c r="R1074" i="1"/>
  <c r="R1448" i="1"/>
  <c r="R1407" i="1"/>
  <c r="R945" i="1"/>
  <c r="R1342" i="1"/>
  <c r="R519" i="1"/>
  <c r="R1311" i="1"/>
  <c r="R1639" i="1"/>
  <c r="R1251" i="1"/>
  <c r="R1704" i="1"/>
  <c r="R1775" i="1"/>
  <c r="R773" i="1"/>
  <c r="R951" i="1"/>
  <c r="R85" i="1"/>
  <c r="R1001" i="1"/>
  <c r="R1784" i="1"/>
  <c r="R733" i="1"/>
  <c r="R1218" i="1"/>
  <c r="R1063" i="1"/>
  <c r="R57" i="1"/>
  <c r="R1831" i="1"/>
  <c r="R1509" i="1"/>
  <c r="R265" i="1"/>
  <c r="R1378" i="1"/>
  <c r="R1392" i="1"/>
  <c r="R387" i="1"/>
  <c r="R1061" i="1"/>
  <c r="R909" i="1"/>
  <c r="R2091" i="1"/>
  <c r="R52" i="1"/>
  <c r="R1273" i="1"/>
  <c r="R623" i="1"/>
  <c r="R439" i="1"/>
  <c r="R2092" i="1"/>
  <c r="R1637" i="1"/>
  <c r="R1974" i="1"/>
  <c r="R2212" i="1"/>
  <c r="R448" i="1"/>
  <c r="R1817" i="1"/>
  <c r="R927" i="1"/>
  <c r="R140" i="1"/>
  <c r="R888" i="1"/>
  <c r="R1872" i="1"/>
  <c r="R1100" i="1"/>
  <c r="R411" i="1"/>
  <c r="R1281" i="1"/>
  <c r="R1295" i="1"/>
  <c r="R146" i="1"/>
  <c r="R663" i="1"/>
  <c r="R455" i="1"/>
  <c r="R833" i="1"/>
  <c r="R1274" i="1"/>
  <c r="R1769" i="1"/>
  <c r="R1983" i="1"/>
  <c r="R297" i="1"/>
  <c r="R1659" i="1"/>
  <c r="R635" i="1"/>
  <c r="R1912" i="1"/>
  <c r="R1049" i="1"/>
  <c r="R1241" i="1"/>
  <c r="R279" i="1"/>
  <c r="R379" i="1"/>
  <c r="R524" i="1"/>
  <c r="R1538" i="1"/>
  <c r="R595" i="1"/>
  <c r="R738" i="1"/>
  <c r="R971" i="1"/>
  <c r="R609" i="1"/>
  <c r="R1016" i="1"/>
  <c r="R1520" i="1"/>
  <c r="R1921" i="1"/>
  <c r="R631" i="1"/>
  <c r="R643" i="1"/>
  <c r="R1272" i="1"/>
  <c r="R200" i="1"/>
  <c r="R384" i="1"/>
  <c r="R2149" i="1"/>
  <c r="R1030" i="1"/>
  <c r="R1939" i="1"/>
  <c r="R758" i="1"/>
  <c r="R288" i="1"/>
  <c r="R2012" i="1"/>
  <c r="R1298" i="1"/>
  <c r="R1782" i="1"/>
  <c r="R1585" i="1"/>
  <c r="R2044" i="1"/>
  <c r="R167" i="1"/>
  <c r="R1952" i="1"/>
  <c r="R470" i="1"/>
  <c r="R1953" i="1"/>
  <c r="R168" i="1"/>
  <c r="R1765" i="1"/>
  <c r="R1884" i="1"/>
  <c r="R1747" i="1"/>
  <c r="R1501" i="1"/>
  <c r="R374" i="1"/>
  <c r="R1116" i="1"/>
  <c r="R1760" i="1"/>
  <c r="R2102" i="1"/>
  <c r="R247" i="1"/>
  <c r="R259" i="1"/>
  <c r="R692" i="1"/>
  <c r="R2025" i="1"/>
  <c r="R1375" i="1"/>
  <c r="R7" i="1"/>
  <c r="R8" i="1"/>
  <c r="R2174" i="1"/>
  <c r="R769" i="1"/>
  <c r="R1402" i="1"/>
  <c r="R1703" i="1"/>
  <c r="R908" i="1"/>
  <c r="R1476" i="1"/>
  <c r="R1038" i="1"/>
  <c r="R295" i="1"/>
  <c r="R1772" i="1"/>
  <c r="R2138" i="1"/>
  <c r="R1332" i="1"/>
  <c r="R2139" i="1"/>
  <c r="R205" i="1"/>
  <c r="R40" i="1"/>
  <c r="R1801" i="1"/>
  <c r="R1802" i="1"/>
  <c r="R41" i="1"/>
  <c r="R19" i="1"/>
  <c r="R15" i="1"/>
  <c r="R1879" i="1"/>
  <c r="R1403" i="1"/>
  <c r="R1404" i="1"/>
  <c r="R459" i="1"/>
  <c r="R1938" i="1"/>
  <c r="R386" i="1"/>
  <c r="R1981" i="1"/>
  <c r="R276" i="1"/>
  <c r="R1279" i="1"/>
  <c r="R1243" i="1"/>
  <c r="R1017" i="1"/>
  <c r="R1429" i="1"/>
  <c r="R1450" i="1"/>
  <c r="R828" i="1"/>
  <c r="R1936" i="1"/>
  <c r="R1576" i="1"/>
  <c r="R1577" i="1"/>
  <c r="R2003" i="1"/>
  <c r="R685" i="1"/>
  <c r="R388" i="1"/>
  <c r="R309" i="1"/>
  <c r="R1745" i="1"/>
  <c r="R292" i="1"/>
  <c r="R56" i="1"/>
  <c r="R782" i="1"/>
  <c r="R115" i="1"/>
  <c r="R1849" i="1"/>
  <c r="R100" i="1"/>
  <c r="R101" i="1"/>
  <c r="R757" i="1"/>
  <c r="R1977" i="1"/>
  <c r="R1590" i="1"/>
  <c r="R639" i="1"/>
  <c r="R1054" i="1"/>
  <c r="R1749" i="1"/>
  <c r="R652" i="1"/>
  <c r="R2105" i="1"/>
  <c r="R722" i="1"/>
  <c r="R1143" i="1"/>
  <c r="R1985" i="1"/>
  <c r="R1541" i="1"/>
  <c r="R2137" i="1"/>
  <c r="R1822" i="1"/>
  <c r="R1545" i="1"/>
  <c r="R528" i="1"/>
  <c r="R529" i="1"/>
  <c r="R2176" i="1"/>
  <c r="R2098" i="1"/>
  <c r="R368" i="1"/>
  <c r="R2022" i="1"/>
  <c r="R2099" i="1"/>
  <c r="R677" i="1"/>
  <c r="R647" i="1"/>
  <c r="R351" i="1"/>
  <c r="R147" i="1"/>
  <c r="R1304" i="1"/>
  <c r="R850" i="1"/>
  <c r="R940" i="1"/>
  <c r="R587" i="1"/>
  <c r="R38" i="1"/>
  <c r="R937" i="1"/>
  <c r="R525" i="1"/>
  <c r="R551" i="1"/>
  <c r="R257" i="1"/>
  <c r="R1685" i="1"/>
  <c r="R1746" i="1"/>
  <c r="R80" i="1"/>
  <c r="R1650" i="1"/>
  <c r="R1830" i="1"/>
  <c r="R1159" i="1"/>
  <c r="R164" i="1"/>
  <c r="R191" i="1"/>
  <c r="R1707" i="1"/>
  <c r="R1034" i="1"/>
  <c r="R2073" i="1"/>
  <c r="R397" i="1"/>
  <c r="R1216" i="1"/>
  <c r="R507" i="1"/>
  <c r="R896" i="1"/>
  <c r="R1351" i="1"/>
  <c r="R462" i="1"/>
  <c r="R2183" i="1"/>
  <c r="R1325" i="1"/>
  <c r="R1962" i="1"/>
  <c r="R1553" i="1"/>
  <c r="R1862" i="1"/>
  <c r="R655" i="1"/>
  <c r="R814" i="1"/>
  <c r="R2146" i="1"/>
  <c r="R765" i="1"/>
  <c r="R766" i="1"/>
  <c r="R28" i="1"/>
  <c r="R300" i="1"/>
  <c r="R666" i="1"/>
  <c r="R174" i="1"/>
  <c r="R604" i="1"/>
  <c r="R656" i="1"/>
  <c r="R657" i="1"/>
  <c r="R1185" i="1"/>
  <c r="R870" i="1"/>
  <c r="R915" i="1"/>
  <c r="R1365" i="1"/>
  <c r="R1330" i="1"/>
  <c r="R649" i="1"/>
  <c r="R650" i="1"/>
  <c r="R916" i="1"/>
  <c r="R2221" i="1"/>
  <c r="R86" i="1"/>
  <c r="R281" i="1"/>
  <c r="R2075" i="1"/>
  <c r="R767" i="1"/>
  <c r="R2023" i="1"/>
  <c r="R1200" i="1"/>
  <c r="R805" i="1"/>
  <c r="R1225" i="1"/>
  <c r="R1748" i="1"/>
  <c r="R43" i="1"/>
  <c r="R1652" i="1"/>
  <c r="R487" i="1"/>
  <c r="R682" i="1"/>
  <c r="R574" i="1"/>
  <c r="R823" i="1"/>
  <c r="R1204" i="1"/>
  <c r="R586" i="1"/>
  <c r="R119" i="1"/>
  <c r="R1110" i="1"/>
  <c r="R1517" i="1"/>
  <c r="R372" i="1"/>
  <c r="R961" i="1"/>
  <c r="R1799" i="1"/>
  <c r="R171" i="1"/>
  <c r="R188" i="1"/>
  <c r="R1800" i="1"/>
  <c r="R1615" i="1"/>
  <c r="R1601" i="1"/>
  <c r="R1548" i="1"/>
  <c r="R2000" i="1"/>
  <c r="R178" i="1"/>
  <c r="R1549" i="1"/>
  <c r="R2197" i="1"/>
  <c r="R1446" i="1"/>
  <c r="R390" i="1"/>
  <c r="R1447" i="1"/>
  <c r="R893" i="1"/>
  <c r="R894" i="1"/>
  <c r="R1142" i="1"/>
  <c r="R431" i="1"/>
  <c r="R1210" i="1"/>
  <c r="R320" i="1"/>
  <c r="R1888" i="1"/>
  <c r="R2028" i="1"/>
  <c r="R660" i="1"/>
  <c r="R1678" i="1"/>
  <c r="R47" i="1"/>
  <c r="R978" i="1"/>
  <c r="R589" i="1"/>
  <c r="R2024" i="1"/>
  <c r="R963" i="1"/>
  <c r="R705" i="1"/>
  <c r="R2193" i="1"/>
  <c r="R633" i="1"/>
  <c r="R26" i="1"/>
  <c r="R1123" i="1"/>
  <c r="R1032" i="1"/>
  <c r="R457" i="1"/>
  <c r="R1177" i="1"/>
  <c r="R593" i="1"/>
  <c r="R283" i="1"/>
  <c r="R563" i="1"/>
  <c r="R1584" i="1"/>
  <c r="R393" i="1"/>
  <c r="R2185" i="1"/>
  <c r="R1175" i="1"/>
  <c r="R2106" i="1"/>
  <c r="R44" i="1"/>
  <c r="R992" i="1"/>
  <c r="R783" i="1"/>
  <c r="R237" i="1"/>
  <c r="R2211" i="1"/>
  <c r="R887" i="1"/>
  <c r="R1413" i="1"/>
  <c r="R1651" i="1"/>
  <c r="R260" i="1"/>
  <c r="R1405" i="1"/>
  <c r="R1986" i="1"/>
  <c r="R1987" i="1"/>
  <c r="R316" i="1"/>
  <c r="R2053" i="1"/>
  <c r="R764" i="1"/>
  <c r="R2141" i="1"/>
  <c r="R1634" i="1"/>
  <c r="R1859" i="1"/>
  <c r="R1464" i="1"/>
  <c r="R1445" i="1"/>
  <c r="R1381" i="1"/>
  <c r="R567" i="1"/>
  <c r="R2209" i="1"/>
  <c r="R636" i="1"/>
  <c r="R472" i="1"/>
  <c r="R1497" i="1"/>
  <c r="R385" i="1"/>
  <c r="R815" i="1"/>
  <c r="R2008" i="1"/>
  <c r="R1209" i="1"/>
  <c r="R933" i="1"/>
  <c r="R613" i="1"/>
  <c r="R1226" i="1"/>
  <c r="R642" i="1"/>
  <c r="R1305" i="1"/>
  <c r="R139" i="1"/>
  <c r="R249" i="1"/>
  <c r="R250" i="1"/>
  <c r="R468" i="1"/>
  <c r="R1754" i="1"/>
  <c r="R1319" i="1"/>
  <c r="R1379" i="1"/>
  <c r="R1531" i="1"/>
  <c r="R1349" i="1"/>
  <c r="R1278" i="1"/>
  <c r="R1870" i="1"/>
  <c r="R381" i="1"/>
  <c r="R454" i="1"/>
  <c r="R981" i="1"/>
  <c r="R268" i="1"/>
  <c r="R280" i="1"/>
  <c r="R591" i="1"/>
  <c r="R903" i="1"/>
  <c r="R343" i="1"/>
  <c r="R148" i="1"/>
  <c r="R1563" i="1"/>
  <c r="R196" i="1"/>
  <c r="R30" i="1"/>
  <c r="R2136" i="1"/>
  <c r="R788" i="1"/>
  <c r="R248" i="1"/>
  <c r="R1430" i="1"/>
  <c r="R96" i="1"/>
  <c r="R988" i="1"/>
  <c r="R97" i="1"/>
  <c r="R617" i="1"/>
  <c r="R74" i="1"/>
  <c r="R2095" i="1"/>
  <c r="R2124" i="1"/>
  <c r="R781" i="1"/>
  <c r="R534" i="1"/>
  <c r="R1419" i="1"/>
  <c r="R535" i="1"/>
  <c r="R760" i="1"/>
  <c r="R1394" i="1"/>
  <c r="R552" i="1"/>
  <c r="R871" i="1"/>
  <c r="R443" i="1"/>
  <c r="R736" i="1"/>
  <c r="R860" i="1"/>
  <c r="R114" i="1"/>
  <c r="R1214" i="1"/>
  <c r="R314" i="1"/>
  <c r="R2063" i="1"/>
  <c r="R669" i="1"/>
  <c r="R407" i="1"/>
  <c r="R2093" i="1"/>
  <c r="R670" i="1"/>
  <c r="R2094" i="1"/>
  <c r="R1367" i="1"/>
  <c r="R1236" i="1"/>
  <c r="R376" i="1"/>
  <c r="R913" i="1"/>
  <c r="R2131" i="1"/>
  <c r="R132" i="1"/>
  <c r="R505" i="1"/>
  <c r="R1165" i="1"/>
  <c r="R332" i="1"/>
  <c r="R865" i="1"/>
  <c r="R1911" i="1"/>
  <c r="R1969" i="1"/>
  <c r="R1012" i="1"/>
  <c r="R347" i="1"/>
  <c r="R1244" i="1"/>
  <c r="R67" i="1"/>
  <c r="R1013" i="1"/>
  <c r="R1836" i="1"/>
  <c r="R162" i="1"/>
  <c r="R380" i="1"/>
  <c r="R359" i="1"/>
  <c r="R1452" i="1"/>
  <c r="R1710" i="1"/>
  <c r="R1201" i="1"/>
  <c r="R130" i="1"/>
  <c r="R729" i="1"/>
  <c r="R1167" i="1"/>
  <c r="R1168" i="1"/>
  <c r="R1954" i="1"/>
  <c r="R1188" i="1"/>
  <c r="R1294" i="1"/>
  <c r="R1287" i="1"/>
  <c r="R1725" i="1"/>
  <c r="R285" i="1"/>
  <c r="R598" i="1"/>
  <c r="R2182" i="1"/>
  <c r="R845" i="1"/>
  <c r="R286" i="1"/>
  <c r="R1380" i="1"/>
  <c r="R1377" i="1"/>
  <c r="R467" i="1"/>
  <c r="R1118" i="1"/>
  <c r="R398" i="1"/>
  <c r="R2125" i="1"/>
  <c r="R383" i="1"/>
  <c r="R2039" i="1"/>
  <c r="R508" i="1"/>
  <c r="R2040" i="1"/>
  <c r="R258" i="1"/>
  <c r="R1455" i="1"/>
  <c r="R1919" i="1"/>
  <c r="R2163" i="1"/>
  <c r="R1851" i="1"/>
  <c r="R290" i="1"/>
  <c r="R1890" i="1"/>
  <c r="R1065" i="1"/>
  <c r="R325" i="1"/>
  <c r="R1713" i="1"/>
  <c r="R499" i="1"/>
  <c r="R238" i="1"/>
  <c r="R1624" i="1"/>
  <c r="R1182" i="1"/>
  <c r="R500" i="1"/>
  <c r="R1518" i="1"/>
  <c r="R437" i="1"/>
  <c r="R1852" i="1"/>
  <c r="R1519" i="1"/>
  <c r="R1161" i="1"/>
  <c r="R855" i="1"/>
  <c r="R984" i="1"/>
  <c r="R2065" i="1"/>
  <c r="R691" i="1"/>
  <c r="R1261" i="1"/>
  <c r="R993" i="1"/>
  <c r="R481" i="1"/>
  <c r="R1386" i="1"/>
  <c r="R2016" i="1"/>
  <c r="R2048" i="1"/>
  <c r="R1196" i="1"/>
  <c r="R1228" i="1"/>
  <c r="R1229" i="1"/>
  <c r="R1187" i="1"/>
  <c r="R1418" i="1"/>
  <c r="R1702" i="1"/>
  <c r="R560" i="1"/>
  <c r="R561" i="1"/>
  <c r="R989" i="1"/>
  <c r="R1628" i="1"/>
  <c r="R31" i="1"/>
  <c r="R2021" i="1"/>
  <c r="R1359" i="1"/>
  <c r="R1317" i="1"/>
  <c r="R1932" i="1"/>
  <c r="R1728" i="1"/>
  <c r="R1487" i="1"/>
  <c r="R2104" i="1"/>
  <c r="R1098" i="1"/>
  <c r="R1633" i="1"/>
  <c r="R719" i="1"/>
  <c r="R1483" i="1"/>
  <c r="R720" i="1"/>
  <c r="R466" i="1"/>
  <c r="R291" i="1"/>
  <c r="R1478" i="1"/>
  <c r="R638" i="1"/>
  <c r="R874" i="1"/>
  <c r="R1997" i="1"/>
  <c r="R1415" i="1"/>
  <c r="R804" i="1"/>
  <c r="R918" i="1"/>
  <c r="R1384" i="1"/>
  <c r="R941" i="1"/>
  <c r="R942" i="1"/>
  <c r="R1050" i="1"/>
  <c r="R1331" i="1"/>
  <c r="R1580" i="1"/>
  <c r="R1957" i="1"/>
  <c r="R1393" i="1"/>
  <c r="R49" i="1"/>
  <c r="R13" i="1"/>
  <c r="R1263" i="1"/>
  <c r="R112" i="1"/>
  <c r="R113" i="1"/>
  <c r="R1264" i="1"/>
  <c r="R483" i="1"/>
  <c r="R1867" i="1"/>
  <c r="R542" i="1"/>
  <c r="R799" i="1"/>
  <c r="R479" i="1"/>
  <c r="R543" i="1"/>
  <c r="R986" i="1"/>
  <c r="R2215" i="1"/>
  <c r="R218" i="1"/>
  <c r="R2057" i="1"/>
  <c r="R92" i="1"/>
  <c r="R1740" i="1"/>
  <c r="R1741" i="1"/>
  <c r="R1814" i="1"/>
  <c r="R93" i="1"/>
  <c r="R1108" i="1"/>
  <c r="R1660" i="1"/>
  <c r="R869" i="1"/>
  <c r="R2034" i="1"/>
  <c r="R761" i="1"/>
  <c r="R2198" i="1"/>
  <c r="R616" i="1"/>
  <c r="R1602" i="1"/>
  <c r="R1976" i="1"/>
  <c r="R509" i="1"/>
  <c r="R1470" i="1"/>
  <c r="R1471" i="1"/>
  <c r="R1246" i="1"/>
  <c r="R911" i="1"/>
  <c r="R275" i="1"/>
  <c r="R737" i="1"/>
  <c r="R518" i="1"/>
  <c r="R556" i="1"/>
  <c r="R1481" i="1"/>
  <c r="R201" i="1"/>
  <c r="R600" i="1"/>
  <c r="R494" i="1"/>
  <c r="R601" i="1"/>
  <c r="R883" i="1"/>
  <c r="R575" i="1"/>
  <c r="R1486" i="1"/>
  <c r="R533" i="1"/>
  <c r="R1638" i="1"/>
  <c r="R131" i="1"/>
  <c r="R1793" i="1"/>
  <c r="R2074" i="1"/>
  <c r="R1726" i="1"/>
  <c r="R1308" i="1"/>
  <c r="R1190" i="1"/>
  <c r="R2101" i="1"/>
  <c r="R699" i="1"/>
  <c r="R1559" i="1"/>
  <c r="R493" i="1"/>
  <c r="R1948" i="1"/>
  <c r="R1736" i="1"/>
  <c r="R975" i="1"/>
  <c r="R1622" i="1"/>
  <c r="R1627" i="1"/>
  <c r="R1566" i="1"/>
  <c r="R1552" i="1"/>
  <c r="R208" i="1"/>
  <c r="R2133" i="1"/>
  <c r="R886" i="1"/>
  <c r="R400" i="1"/>
  <c r="R1269" i="1"/>
  <c r="R447" i="1"/>
  <c r="R943" i="1"/>
  <c r="R1270" i="1"/>
  <c r="R396" i="1"/>
  <c r="R239" i="1"/>
  <c r="R185" i="1"/>
  <c r="R1097" i="1"/>
  <c r="R538" i="1"/>
  <c r="R1803" i="1"/>
  <c r="R621" i="1"/>
  <c r="R1235" i="1"/>
  <c r="R599" i="1"/>
  <c r="R1372" i="1"/>
  <c r="R1722" i="1"/>
  <c r="R1598" i="1"/>
  <c r="R1970" i="1"/>
  <c r="R1971" i="1"/>
  <c r="R789" i="1"/>
  <c r="R1534" i="1"/>
  <c r="R837" i="1"/>
  <c r="R413" i="1"/>
  <c r="R1009" i="1"/>
  <c r="R1068" i="1"/>
  <c r="R1245" i="1"/>
  <c r="R360" i="1"/>
  <c r="R1716" i="1"/>
  <c r="R843" i="1"/>
  <c r="R1006" i="1"/>
  <c r="R1717" i="1"/>
  <c r="R1007" i="1"/>
  <c r="R659" i="1"/>
  <c r="R1133" i="1"/>
  <c r="R701" i="1"/>
  <c r="R742" i="1"/>
  <c r="R129" i="1"/>
  <c r="R762" i="1"/>
  <c r="R1752" i="1"/>
  <c r="R1753" i="1"/>
  <c r="R198" i="1"/>
  <c r="R304" i="1"/>
  <c r="R1107" i="1"/>
  <c r="R1866" i="1"/>
  <c r="R2062" i="1"/>
  <c r="R1757" i="1"/>
  <c r="R829" i="1"/>
  <c r="R1417" i="1"/>
  <c r="R2156" i="1"/>
  <c r="R72" i="1"/>
  <c r="R1340" i="1"/>
  <c r="R2033" i="1"/>
  <c r="R1945" i="1"/>
  <c r="R2100" i="1"/>
  <c r="R2007" i="1"/>
  <c r="R1833" i="1"/>
  <c r="R1253" i="1"/>
  <c r="R1960" i="1"/>
  <c r="R1254" i="1"/>
  <c r="R1333" i="1"/>
  <c r="R391" i="1"/>
  <c r="R775" i="1"/>
  <c r="R392" i="1"/>
  <c r="R1148" i="1"/>
  <c r="R557" i="1"/>
  <c r="R1967" i="1"/>
  <c r="R1057" i="1"/>
  <c r="R1463" i="1"/>
  <c r="R2150" i="1"/>
  <c r="R1335" i="1"/>
  <c r="R1183" i="1"/>
  <c r="R1860" i="1"/>
  <c r="R553" i="1"/>
  <c r="R1540" i="1"/>
  <c r="R1086" i="1"/>
  <c r="R436" i="1"/>
  <c r="R278" i="1"/>
  <c r="R501" i="1"/>
  <c r="R1315" i="1"/>
  <c r="R1316" i="1"/>
  <c r="R1904" i="1"/>
  <c r="R808" i="1"/>
  <c r="R778" i="1"/>
  <c r="R1039" i="1"/>
  <c r="R363" i="1"/>
  <c r="R450" i="1"/>
  <c r="R2181" i="1"/>
  <c r="R451" i="1"/>
  <c r="R1776" i="1"/>
  <c r="R1339" i="1"/>
  <c r="R2107" i="1"/>
  <c r="R442" i="1"/>
  <c r="R654" i="1"/>
  <c r="R1878" i="1"/>
  <c r="R982" i="1"/>
  <c r="R199" i="1"/>
  <c r="R672" i="1"/>
  <c r="R1995" i="1"/>
  <c r="R1928" i="1"/>
  <c r="R1306" i="1"/>
  <c r="R2071" i="1"/>
  <c r="R1929" i="1"/>
  <c r="R1101" i="1"/>
  <c r="R730" i="1"/>
  <c r="R418" i="1"/>
  <c r="R1931" i="1"/>
  <c r="R22" i="1"/>
  <c r="R906" i="1"/>
  <c r="R1268" i="1"/>
  <c r="R1474" i="1"/>
  <c r="R1737" i="1"/>
  <c r="R608" i="1"/>
  <c r="R688" i="1"/>
  <c r="R1390" i="1"/>
  <c r="R1037" i="1"/>
  <c r="R299" i="1"/>
  <c r="R1918" i="1"/>
  <c r="R1411" i="1"/>
  <c r="R186" i="1"/>
  <c r="R1010" i="1"/>
  <c r="R149" i="1"/>
  <c r="R1440" i="1"/>
  <c r="R1076" i="1"/>
  <c r="R366" i="1"/>
  <c r="R1863" i="1"/>
  <c r="R1570" i="1"/>
  <c r="R1594" i="1"/>
  <c r="R1975" i="1"/>
  <c r="R825" i="1"/>
  <c r="R1059" i="1"/>
  <c r="R1719" i="1"/>
  <c r="R708" i="1"/>
  <c r="R926" i="1"/>
  <c r="R2058" i="1"/>
  <c r="R103" i="1"/>
  <c r="R1152" i="1"/>
  <c r="R702" i="1"/>
  <c r="R104" i="1"/>
  <c r="R1732" i="1"/>
  <c r="R785" i="1"/>
  <c r="R786" i="1"/>
  <c r="R2129" i="1"/>
  <c r="R1508" i="1"/>
  <c r="R9" i="1"/>
  <c r="R1714" i="1"/>
  <c r="R1715" i="1"/>
  <c r="R1015" i="1"/>
  <c r="R2152" i="1"/>
  <c r="R1499" i="1"/>
  <c r="R2159" i="1"/>
  <c r="R2160" i="1"/>
  <c r="R802" i="1"/>
  <c r="R1542" i="1"/>
  <c r="R2049" i="1"/>
  <c r="R803" i="1"/>
  <c r="R693" i="1"/>
  <c r="R1528" i="1"/>
  <c r="R1773" i="1"/>
  <c r="R653" i="1"/>
  <c r="R1239" i="1"/>
  <c r="R2029" i="1"/>
  <c r="R2030" i="1"/>
  <c r="R1683" i="1"/>
  <c r="R1484" i="1"/>
  <c r="R710" i="1"/>
  <c r="R1564" i="1"/>
  <c r="R2213" i="1"/>
  <c r="R1479" i="1"/>
  <c r="R862" i="1"/>
  <c r="R1480" i="1"/>
  <c r="R37" i="1"/>
  <c r="R427" i="1"/>
  <c r="R1607" i="1"/>
  <c r="R137" i="1"/>
  <c r="R61" i="1"/>
  <c r="R1041" i="1"/>
  <c r="R1300" i="1"/>
  <c r="R780" i="1"/>
  <c r="R1453" i="1"/>
  <c r="R664" i="1"/>
  <c r="R852" i="1"/>
  <c r="R1150" i="1"/>
  <c r="R1303" i="1"/>
  <c r="R1227" i="1"/>
  <c r="R1619" i="1"/>
  <c r="R956" i="1"/>
  <c r="R846" i="1"/>
  <c r="R1968" i="1"/>
  <c r="R1289" i="1"/>
  <c r="R1498" i="1"/>
  <c r="R491" i="1"/>
  <c r="R2066" i="1"/>
  <c r="R492" i="1"/>
  <c r="R968" i="1"/>
  <c r="R172" i="1"/>
  <c r="R2144" i="1"/>
  <c r="R173" i="1"/>
  <c r="R1192" i="1"/>
  <c r="R412" i="1"/>
  <c r="R1320" i="1"/>
  <c r="R1266" i="1"/>
  <c r="R1738" i="1"/>
  <c r="R1469" i="1"/>
  <c r="R794" i="1"/>
  <c r="R1631" i="1"/>
  <c r="R1813" i="1"/>
  <c r="R579" i="1"/>
  <c r="R489" i="1"/>
  <c r="R1314" i="1"/>
  <c r="R1787" i="1"/>
  <c r="R602" i="1"/>
  <c r="R1658" i="1"/>
  <c r="R997" i="1"/>
  <c r="R1875" i="1"/>
  <c r="R2020" i="1"/>
  <c r="R1711" i="1"/>
  <c r="R1821" i="1"/>
  <c r="R1412" i="1"/>
  <c r="R1973" i="1"/>
  <c r="R1257" i="1"/>
  <c r="R1818" i="1"/>
  <c r="R1018" i="1"/>
  <c r="R1014" i="1"/>
  <c r="R930" i="1"/>
  <c r="R440" i="1"/>
  <c r="R1162" i="1"/>
  <c r="R1897" i="1"/>
  <c r="R1846" i="1"/>
  <c r="R1122" i="1"/>
  <c r="R1721" i="1"/>
  <c r="R1885" i="1"/>
  <c r="R516" i="1"/>
  <c r="R919" i="1"/>
  <c r="R1796" i="1"/>
  <c r="R790" i="1"/>
  <c r="R723" i="1"/>
  <c r="R772" i="1"/>
  <c r="R1232" i="1"/>
  <c r="R1334" i="1"/>
  <c r="R1193" i="1"/>
  <c r="R1902" i="1"/>
  <c r="R321" i="1"/>
  <c r="R1767" i="1"/>
  <c r="R1876" i="1"/>
  <c r="R1877" i="1"/>
  <c r="R2076" i="1"/>
  <c r="R322" i="1"/>
  <c r="R2011" i="1"/>
  <c r="R423" i="1"/>
  <c r="R55" i="1"/>
  <c r="R1026" i="1"/>
  <c r="R497" i="1"/>
  <c r="R2170" i="1"/>
  <c r="R1299" i="1"/>
  <c r="R150" i="1"/>
  <c r="R1827" i="1"/>
  <c r="R1697" i="1"/>
  <c r="R1698" i="1"/>
  <c r="R706" i="1"/>
  <c r="R2059" i="1"/>
  <c r="R1951" i="1"/>
  <c r="R1383" i="1"/>
  <c r="R253" i="1"/>
  <c r="R362" i="1"/>
  <c r="R1556" i="1"/>
  <c r="R1420" i="1"/>
  <c r="R817" i="1"/>
  <c r="R637" i="1"/>
  <c r="R1048" i="1"/>
  <c r="R1823" i="1"/>
  <c r="R2155" i="1"/>
  <c r="R1824" i="1"/>
  <c r="R840" i="1"/>
  <c r="R444" i="1"/>
  <c r="R920" i="1"/>
  <c r="R912" i="1"/>
  <c r="R824" i="1"/>
  <c r="R1792" i="1"/>
  <c r="R1946" i="1"/>
  <c r="R1347" i="1"/>
  <c r="R476" i="1"/>
  <c r="R1536" i="1"/>
  <c r="R1537" i="1"/>
  <c r="R1113" i="1"/>
  <c r="R1129" i="1"/>
  <c r="R1130" i="1"/>
  <c r="R1675" i="1"/>
  <c r="R1676" i="1"/>
  <c r="R1155" i="1"/>
  <c r="R966" i="1"/>
  <c r="R967" i="1"/>
  <c r="R1156" i="1"/>
  <c r="R1180" i="1"/>
  <c r="R395" i="1"/>
  <c r="R2031" i="1"/>
  <c r="R1441" i="1"/>
  <c r="R2032" i="1"/>
  <c r="R1791" i="1"/>
  <c r="R1144" i="1"/>
  <c r="R1880" i="1"/>
  <c r="R1160" i="1"/>
  <c r="R756" i="1"/>
  <c r="R160" i="1"/>
  <c r="R1629" i="1"/>
  <c r="R1815" i="1"/>
  <c r="R1781" i="1"/>
  <c r="R1881" i="1"/>
  <c r="R1662" i="1"/>
  <c r="R863" i="1"/>
  <c r="R1186" i="1"/>
  <c r="R864" i="1"/>
  <c r="R807" i="1"/>
  <c r="R671" i="1"/>
  <c r="R618" i="1"/>
  <c r="R619" i="1"/>
  <c r="R502" i="1"/>
  <c r="R569" i="1"/>
  <c r="R910" i="1"/>
  <c r="R681" i="1"/>
  <c r="R917" i="1"/>
  <c r="R879" i="1"/>
  <c r="R880" i="1"/>
  <c r="R1999" i="1"/>
  <c r="R1256" i="1"/>
  <c r="R1044" i="1"/>
  <c r="R89" i="1"/>
  <c r="R1045" i="1"/>
  <c r="R1220" i="1"/>
  <c r="R1837" i="1"/>
  <c r="R1838" i="1"/>
  <c r="R1262" i="1"/>
  <c r="R2116" i="1"/>
  <c r="R133" i="1"/>
  <c r="R1042" i="1"/>
  <c r="R1949" i="1"/>
  <c r="R98" i="1"/>
  <c r="R2117" i="1"/>
  <c r="R402" i="1"/>
  <c r="R102" i="1"/>
  <c r="R64" i="1"/>
  <c r="R403" i="1"/>
  <c r="R91" i="1"/>
  <c r="R356" i="1"/>
  <c r="R897" i="1"/>
  <c r="R475" i="1"/>
  <c r="R820" i="1"/>
  <c r="R1550" i="1"/>
  <c r="R1636" i="1"/>
  <c r="R1521" i="1"/>
  <c r="R1070" i="1"/>
  <c r="R1234" i="1"/>
  <c r="R1231" i="1"/>
  <c r="R289" i="1"/>
  <c r="R504" i="1"/>
  <c r="R153" i="1"/>
  <c r="R1035" i="1"/>
  <c r="R1618" i="1"/>
  <c r="R1027" i="1"/>
  <c r="R1058" i="1"/>
  <c r="R776" i="1"/>
  <c r="R503" i="1"/>
  <c r="R1111" i="1"/>
  <c r="R264" i="1"/>
  <c r="R1503" i="1"/>
  <c r="R1434" i="1"/>
  <c r="R755" i="1"/>
  <c r="R768" i="1"/>
  <c r="R187" i="1"/>
  <c r="R512" i="1"/>
  <c r="R59" i="1"/>
  <c r="R60" i="1"/>
  <c r="R573" i="1"/>
  <c r="R1623" i="1"/>
  <c r="R39" i="1"/>
  <c r="R2035" i="1"/>
  <c r="R1961" i="1"/>
  <c r="R1208" i="1"/>
  <c r="R203" i="1"/>
  <c r="R1031" i="1"/>
  <c r="R204" i="1"/>
  <c r="R834" i="1"/>
  <c r="R428" i="1"/>
  <c r="R1944" i="1"/>
  <c r="R2051" i="1"/>
  <c r="R753" i="1"/>
  <c r="R361" i="1"/>
  <c r="R929" i="1"/>
  <c r="R629" i="1"/>
  <c r="R597" i="1"/>
  <c r="R225" i="1"/>
  <c r="R1605" i="1"/>
  <c r="R1095" i="1"/>
  <c r="R1023" i="1"/>
  <c r="R1318" i="1"/>
  <c r="R1535" i="1"/>
  <c r="R2190" i="1"/>
  <c r="R1069" i="1"/>
  <c r="R1677" i="1"/>
  <c r="R891" i="1"/>
  <c r="R1207" i="1"/>
  <c r="R108" i="1"/>
  <c r="R220" i="1"/>
  <c r="R109" i="1"/>
  <c r="R110" i="1"/>
  <c r="R1532" i="1"/>
  <c r="R1533" i="1"/>
  <c r="R1134" i="1"/>
  <c r="R1352" i="1"/>
  <c r="R179" i="1"/>
  <c r="R749" i="1"/>
  <c r="R1385" i="1"/>
  <c r="R750" i="1"/>
  <c r="R1788" i="1"/>
  <c r="R2164" i="1"/>
  <c r="R1614" i="1"/>
  <c r="R1510" i="1"/>
  <c r="R1021" i="1"/>
  <c r="R94" i="1"/>
  <c r="R1868" i="1"/>
  <c r="R1734" i="1"/>
  <c r="R116" i="1"/>
  <c r="R433" i="1"/>
  <c r="R434" i="1"/>
  <c r="R1296" i="1"/>
  <c r="R20" i="1"/>
  <c r="R2203" i="1"/>
  <c r="R1647" i="1"/>
  <c r="R1066" i="1"/>
  <c r="R1648" i="1"/>
  <c r="R335" i="1"/>
  <c r="R1458" i="1"/>
  <c r="R307" i="1"/>
  <c r="R952" i="1"/>
  <c r="R81" i="1"/>
  <c r="R461" i="1"/>
  <c r="R1895" i="1"/>
  <c r="R1806" i="1"/>
  <c r="R82" i="1"/>
  <c r="R2165" i="1"/>
  <c r="R83" i="1"/>
  <c r="R905" i="1"/>
  <c r="R868" i="1"/>
  <c r="R1700" i="1"/>
  <c r="R1135" i="1"/>
  <c r="R1166" i="1"/>
  <c r="R371" i="1"/>
  <c r="R65" i="1"/>
  <c r="R27" i="1"/>
  <c r="R2077" i="1"/>
  <c r="R209" i="1"/>
  <c r="R973" i="1"/>
  <c r="R349" i="1"/>
  <c r="R859" i="1"/>
  <c r="R1391" i="1"/>
  <c r="R1206" i="1"/>
  <c r="R1028" i="1"/>
  <c r="R1684" i="1"/>
  <c r="R1589" i="1"/>
  <c r="R801" i="1"/>
  <c r="R1179" i="1"/>
  <c r="R658" i="1"/>
  <c r="R1387" i="1"/>
  <c r="R341" i="1"/>
  <c r="R1906" i="1"/>
  <c r="R10" i="1"/>
  <c r="R1808" i="1"/>
  <c r="R1456" i="1"/>
  <c r="R1363" i="1"/>
  <c r="R158" i="1"/>
  <c r="R1560" i="1"/>
  <c r="R1809" i="1"/>
  <c r="R222" i="1"/>
  <c r="R713" i="1"/>
  <c r="R244" i="1"/>
  <c r="R714" i="1"/>
  <c r="R715" i="1"/>
  <c r="R84" i="1"/>
  <c r="R2070" i="1"/>
  <c r="R1914" i="1"/>
  <c r="R77" i="1"/>
  <c r="R1126" i="1"/>
  <c r="R2046" i="1"/>
  <c r="R106" i="1"/>
  <c r="R2047" i="1"/>
  <c r="R1586" i="1"/>
  <c r="R1127" i="1"/>
  <c r="R408" i="1"/>
  <c r="R2178" i="1"/>
  <c r="R1998" i="1"/>
  <c r="R256" i="1"/>
  <c r="R1909" i="1"/>
  <c r="R48" i="1"/>
  <c r="R634" i="1"/>
  <c r="R1899" i="1"/>
  <c r="R175" i="1"/>
  <c r="R21" i="1"/>
  <c r="R857" i="1"/>
  <c r="R1724" i="1"/>
  <c r="R1688" i="1"/>
  <c r="R1882" i="1"/>
  <c r="R1689" i="1"/>
  <c r="R2217" i="1"/>
  <c r="R847" i="1"/>
  <c r="R1099" i="1"/>
  <c r="R1237" i="1"/>
  <c r="R1238" i="1"/>
  <c r="R1374" i="1"/>
  <c r="R1672" i="1"/>
  <c r="R415" i="1"/>
  <c r="R1449" i="1"/>
  <c r="R357" i="1"/>
  <c r="R1941" i="1"/>
  <c r="R959" i="1"/>
  <c r="R317" i="1"/>
  <c r="R1461" i="1"/>
  <c r="R1217" i="1"/>
  <c r="R406" i="1"/>
  <c r="R822" i="1"/>
  <c r="R4" i="1"/>
  <c r="R213" i="1"/>
  <c r="R1267" i="1"/>
  <c r="R1922" i="1"/>
  <c r="R1473" i="1"/>
  <c r="R1923" i="1"/>
  <c r="R1358" i="1"/>
  <c r="R620" i="1"/>
  <c r="R661" i="1"/>
  <c r="R1153" i="1"/>
  <c r="R490" i="1"/>
  <c r="R506" i="1"/>
  <c r="R1416" i="1"/>
  <c r="R831" i="1"/>
  <c r="R1120" i="1"/>
  <c r="R832" i="1"/>
  <c r="R1285" i="1"/>
  <c r="R875" i="1"/>
  <c r="R570" i="1"/>
  <c r="R496" i="1"/>
  <c r="R1635" i="1"/>
  <c r="R615" i="1"/>
  <c r="R303" i="1"/>
  <c r="R1119" i="1"/>
  <c r="R144" i="1"/>
  <c r="R580" i="1"/>
  <c r="R449" i="1"/>
  <c r="R1587" i="1"/>
  <c r="R1554" i="1"/>
  <c r="R1588" i="1"/>
  <c r="R294" i="1"/>
  <c r="R182" i="1"/>
  <c r="R839" i="1"/>
  <c r="R1496" i="1"/>
  <c r="R1530" i="1"/>
  <c r="R797" i="1"/>
  <c r="R958" i="1"/>
  <c r="R338" i="1"/>
  <c r="R34" i="1"/>
  <c r="R1426" i="1"/>
  <c r="R1248" i="1"/>
  <c r="R1369" i="1"/>
  <c r="R592" i="1"/>
  <c r="R1907" i="1"/>
  <c r="R873" i="1"/>
  <c r="R2096" i="1"/>
  <c r="R718" i="1"/>
  <c r="R923" i="1"/>
  <c r="R754" i="1"/>
  <c r="R1797" i="1"/>
  <c r="R700" i="1"/>
  <c r="R851" i="1"/>
  <c r="R1230" i="1"/>
  <c r="R2195" i="1"/>
  <c r="R1886" i="1"/>
  <c r="R1887" i="1"/>
  <c r="R1596" i="1"/>
  <c r="R1992" i="1"/>
  <c r="R1597" i="1"/>
  <c r="R1431" i="1"/>
  <c r="R373" i="1"/>
  <c r="R928" i="1"/>
  <c r="R1653" i="1"/>
  <c r="R2015" i="1"/>
  <c r="R1466" i="1"/>
  <c r="R2038" i="1"/>
  <c r="R1467" i="1"/>
  <c r="R1036" i="1"/>
  <c r="R2132" i="1"/>
  <c r="R673" i="1"/>
  <c r="R739" i="1"/>
  <c r="R514" i="1"/>
  <c r="R1457" i="1"/>
  <c r="R2153" i="1"/>
  <c r="R1789" i="1"/>
  <c r="R2186" i="1"/>
  <c r="R821" i="1"/>
  <c r="R1468" i="1"/>
  <c r="R1326" i="1"/>
  <c r="R1558" i="1"/>
  <c r="R1718" i="1"/>
  <c r="R2081" i="1"/>
  <c r="R6" i="1"/>
  <c r="R1857" i="1"/>
  <c r="R353" i="1"/>
  <c r="R1858" i="1"/>
  <c r="R1829" i="1"/>
  <c r="R1950" i="1"/>
  <c r="R924" i="1"/>
  <c r="R410" i="1"/>
  <c r="R800" i="1"/>
  <c r="R272" i="1"/>
  <c r="R2180" i="1"/>
  <c r="R1002" i="1"/>
  <c r="R562" i="1"/>
  <c r="R1759" i="1"/>
  <c r="R354" i="1"/>
  <c r="R355" i="1"/>
  <c r="R1996" i="1"/>
  <c r="R1663" i="1"/>
  <c r="R614" i="1"/>
  <c r="R1843" i="1"/>
  <c r="R1344" i="1"/>
  <c r="R1674" i="1"/>
  <c r="R1442" i="1"/>
  <c r="R1178" i="1"/>
  <c r="R17" i="1"/>
  <c r="R689" i="1"/>
  <c r="R18" i="1"/>
  <c r="R1778" i="1"/>
  <c r="R126" i="1"/>
  <c r="R962" i="1"/>
  <c r="R485" i="1"/>
  <c r="R197" i="1"/>
  <c r="R904" i="1"/>
  <c r="R889" i="1"/>
  <c r="R375" i="1"/>
  <c r="R1005" i="1"/>
  <c r="R163" i="1"/>
  <c r="R1611" i="1"/>
  <c r="R181" i="1"/>
  <c r="R2175" i="1"/>
  <c r="R73" i="1"/>
  <c r="R401" i="1"/>
  <c r="R1988" i="1"/>
  <c r="R622" i="1"/>
  <c r="R1421" i="1"/>
  <c r="R298" i="1"/>
  <c r="R1348" i="1"/>
  <c r="R50" i="1"/>
  <c r="R1301" i="1"/>
  <c r="R1302" i="1"/>
  <c r="R35" i="1"/>
  <c r="R315" i="1"/>
  <c r="R270" i="1"/>
  <c r="R271" i="1"/>
  <c r="R1847" i="1"/>
  <c r="R1459" i="1"/>
  <c r="R544" i="1"/>
  <c r="R1743" i="1"/>
  <c r="R2089" i="1"/>
  <c r="R1128" i="1"/>
  <c r="R1744" i="1"/>
  <c r="R2090" i="1"/>
  <c r="R1620" i="1"/>
  <c r="R521" i="1"/>
  <c r="R990" i="1"/>
  <c r="R2128" i="1"/>
  <c r="R511" i="1"/>
  <c r="R787" i="1"/>
  <c r="R445" i="1"/>
  <c r="R1121" i="1"/>
  <c r="R763" i="1"/>
  <c r="R498" i="1"/>
  <c r="R1288" i="1"/>
  <c r="R458" i="1"/>
  <c r="R1011" i="1"/>
  <c r="R946" i="1"/>
  <c r="R532" i="1"/>
  <c r="R2110" i="1"/>
  <c r="R2111" i="1"/>
  <c r="R452" i="1"/>
  <c r="R947" i="1"/>
  <c r="R2112" i="1"/>
  <c r="R1233" i="1"/>
  <c r="R1338" i="1"/>
  <c r="R255" i="1"/>
  <c r="R1661" i="1"/>
  <c r="R1490" i="1"/>
  <c r="R1956" i="1"/>
  <c r="R399" i="1"/>
  <c r="R1491" i="1"/>
  <c r="R1492" i="1"/>
  <c r="R367" i="1"/>
  <c r="R420" i="1"/>
  <c r="R979" i="1"/>
  <c r="R1512" i="1"/>
  <c r="R421" i="1"/>
  <c r="R1850" i="1"/>
  <c r="R416" i="1"/>
  <c r="R2045" i="1"/>
  <c r="R1699" i="1"/>
  <c r="R1136" i="1"/>
  <c r="R1438" i="1"/>
  <c r="R1433" i="1"/>
  <c r="R1493" i="1"/>
  <c r="R1176" i="1"/>
  <c r="R1104" i="1"/>
  <c r="R1494" i="1"/>
  <c r="R1064" i="1"/>
  <c r="R1989" i="1"/>
  <c r="R1958" i="1"/>
  <c r="R1060" i="1"/>
  <c r="R1768" i="1"/>
  <c r="R2142" i="1"/>
  <c r="R123" i="1"/>
  <c r="R1930" i="1"/>
  <c r="R712" i="1"/>
  <c r="R1783" i="1"/>
  <c r="R2097" i="1"/>
  <c r="R798" i="1"/>
  <c r="R695" i="1"/>
  <c r="R2205" i="1"/>
  <c r="R1739" i="1"/>
  <c r="R465" i="1"/>
  <c r="R169" i="1"/>
  <c r="R469" i="1"/>
  <c r="R931" i="1"/>
  <c r="R1077" i="1"/>
  <c r="R1029" i="1"/>
  <c r="R1361" i="1"/>
  <c r="R1621" i="1"/>
  <c r="R1084" i="1"/>
  <c r="R1632" i="1"/>
  <c r="R334" i="1"/>
  <c r="R1169" i="1"/>
  <c r="R1194" i="1"/>
  <c r="R1195" i="1"/>
  <c r="R1600" i="1"/>
  <c r="R779" i="1"/>
  <c r="R1591" i="1"/>
  <c r="R339" i="1"/>
  <c r="R1354" i="1"/>
  <c r="R2166" i="1"/>
  <c r="R1804" i="1"/>
  <c r="R1696" i="1"/>
  <c r="R1173" i="1"/>
  <c r="R287" i="1"/>
  <c r="R495" i="1"/>
  <c r="R1087" i="1"/>
  <c r="R901" i="1"/>
  <c r="R2083" i="1"/>
  <c r="R1088" i="1"/>
  <c r="R1495" i="1"/>
  <c r="R348" i="1"/>
  <c r="R588" i="1"/>
  <c r="R1915" i="1"/>
  <c r="R830" i="1"/>
  <c r="R1022" i="1"/>
  <c r="R1807" i="1"/>
  <c r="R697" i="1"/>
  <c r="R1292" i="1"/>
  <c r="R3" i="1"/>
  <c r="R1382" i="1"/>
  <c r="R2179" i="1"/>
  <c r="R1312" i="1"/>
  <c r="R625" i="1"/>
  <c r="R902" i="1"/>
  <c r="R732" i="1"/>
  <c r="R1679" i="1"/>
  <c r="R1004" i="1"/>
  <c r="R1701" i="1"/>
  <c r="R1223" i="1"/>
  <c r="R71" i="1"/>
  <c r="R819" i="1"/>
  <c r="R683" i="1"/>
  <c r="R2140" i="1"/>
  <c r="R1465" i="1"/>
  <c r="R32" i="1"/>
  <c r="R2036" i="1"/>
  <c r="R2037" i="1"/>
  <c r="R582" i="1"/>
  <c r="R432" i="1"/>
  <c r="R1137" i="1"/>
  <c r="R488" i="1"/>
  <c r="R1762" i="1"/>
  <c r="R746" i="1"/>
  <c r="R584" i="1"/>
  <c r="R1892" i="1"/>
  <c r="R1409" i="1"/>
  <c r="R1221" i="1"/>
  <c r="R548" i="1"/>
  <c r="R1410" i="1"/>
  <c r="R2130" i="1"/>
  <c r="R549" i="1"/>
  <c r="R547" i="1"/>
  <c r="R895" i="1"/>
  <c r="R1565" i="1"/>
  <c r="R2147" i="1"/>
  <c r="R1947" i="1"/>
  <c r="R866" i="1"/>
  <c r="R2114" i="1"/>
  <c r="R1399" i="1"/>
  <c r="R1475" i="1"/>
  <c r="R293" i="1"/>
  <c r="R202" i="1"/>
  <c r="R696" i="1"/>
  <c r="R232" i="1"/>
  <c r="R1669" i="1"/>
  <c r="R429" i="1"/>
  <c r="R430" i="1"/>
  <c r="R1670" i="1"/>
  <c r="R1427" i="1"/>
  <c r="R1428" i="1"/>
  <c r="R568" i="1"/>
  <c r="R350" i="1"/>
  <c r="R2206" i="1"/>
  <c r="R1131" i="1"/>
  <c r="R1727" i="1"/>
  <c r="R965" i="1"/>
  <c r="R2006" i="1"/>
  <c r="R180" i="1"/>
  <c r="R2014" i="1"/>
  <c r="R1072" i="1"/>
  <c r="R2218" i="1"/>
  <c r="R594" i="1"/>
  <c r="R1819" i="1"/>
  <c r="R156" i="1"/>
  <c r="R1376" i="1"/>
  <c r="R856" i="1"/>
  <c r="R99" i="1"/>
  <c r="R892" i="1"/>
  <c r="R1770" i="1"/>
  <c r="R2121" i="1"/>
  <c r="R1649" i="1"/>
  <c r="R969" i="1"/>
  <c r="R78" i="1"/>
  <c r="R1546" i="1"/>
  <c r="R1397" i="1"/>
  <c r="R948" i="1"/>
  <c r="R836" i="1"/>
  <c r="R377" i="1"/>
  <c r="R2172" i="1"/>
  <c r="R1460" i="1"/>
  <c r="R1686" i="1"/>
  <c r="R1687" i="1"/>
  <c r="R2127" i="1"/>
  <c r="R1840" i="1"/>
  <c r="R1841" i="1"/>
  <c r="R745" i="1"/>
  <c r="R1454" i="1"/>
  <c r="R1082" i="1"/>
  <c r="R1994" i="1"/>
  <c r="R2064" i="1"/>
  <c r="R1109" i="1"/>
  <c r="R2118" i="1"/>
  <c r="R2119" i="1"/>
  <c r="R2120" i="1"/>
  <c r="R2201" i="1"/>
  <c r="R1705" i="1"/>
  <c r="R1834" i="1"/>
  <c r="R1835" i="1"/>
  <c r="R953" i="1"/>
  <c r="R1432" i="1"/>
  <c r="R2060" i="1"/>
  <c r="R2017" i="1"/>
  <c r="R991" i="1"/>
  <c r="R2061" i="1"/>
  <c r="R881" i="1"/>
  <c r="R674" i="1"/>
  <c r="R842" i="1"/>
  <c r="R1966" i="1"/>
  <c r="R2169" i="1"/>
  <c r="R246" i="1"/>
  <c r="R166" i="1"/>
  <c r="R1324" i="1"/>
  <c r="R1609" i="1"/>
  <c r="R1482" i="1"/>
  <c r="R1539" i="1"/>
  <c r="R358" i="1"/>
  <c r="R230" i="1"/>
  <c r="R1873" i="1"/>
  <c r="R1505" i="1"/>
  <c r="R2087" i="1"/>
  <c r="R111" i="1"/>
  <c r="R806" i="1"/>
  <c r="R1323" i="1"/>
  <c r="R262" i="1"/>
  <c r="R66" i="1"/>
  <c r="R394" i="1"/>
  <c r="R1275" i="1"/>
  <c r="R1356" i="1"/>
  <c r="R550" i="1"/>
  <c r="R1910" i="1"/>
  <c r="R29" i="1"/>
  <c r="R994" i="1"/>
  <c r="R1205" i="1"/>
  <c r="R2109" i="1"/>
  <c r="R1896" i="1"/>
  <c r="R939" i="1"/>
  <c r="R1125" i="1"/>
  <c r="R1439" i="1"/>
  <c r="R1106" i="1"/>
  <c r="R796" i="1"/>
  <c r="R2210" i="1"/>
  <c r="R53" i="1"/>
  <c r="R1555" i="1"/>
  <c r="R960" i="1"/>
  <c r="R302" i="1"/>
  <c r="R2168" i="1"/>
  <c r="R328" i="1"/>
  <c r="R1794" i="1"/>
  <c r="R1795" i="1"/>
  <c r="R1972" i="1"/>
  <c r="R610" i="1"/>
  <c r="R950" i="1"/>
  <c r="R1798" i="1"/>
  <c r="R1758" i="1"/>
  <c r="R2184" i="1"/>
  <c r="R1276" i="1"/>
  <c r="R12" i="1"/>
  <c r="R471" i="1"/>
  <c r="R2207" i="1"/>
  <c r="R1199" i="1"/>
  <c r="R707" i="1"/>
  <c r="R1078" i="1"/>
  <c r="R1079" i="1"/>
  <c r="R849" i="1"/>
  <c r="R1075" i="1"/>
  <c r="R844" i="1"/>
  <c r="R1488" i="1"/>
  <c r="R1978" i="1"/>
  <c r="R630" i="1"/>
  <c r="R313" i="1"/>
  <c r="R1388" i="1"/>
  <c r="R977" i="1"/>
  <c r="R2088" i="1"/>
  <c r="R414" i="1"/>
  <c r="R1277" i="1"/>
  <c r="R721" i="1"/>
  <c r="R382" i="1"/>
  <c r="R987" i="1"/>
  <c r="R127" i="1"/>
  <c r="R2043" i="1"/>
  <c r="R128" i="1"/>
  <c r="R1573" i="1"/>
  <c r="R998" i="1"/>
  <c r="R1574" i="1"/>
  <c r="R936" i="1"/>
  <c r="R678" i="1"/>
  <c r="R679" i="1"/>
  <c r="R999" i="1"/>
  <c r="R914" i="1"/>
  <c r="R1224" i="1"/>
  <c r="R1790" i="1"/>
  <c r="R537" i="1"/>
  <c r="R2005" i="1"/>
  <c r="R1373" i="1"/>
  <c r="R882" i="1"/>
  <c r="R1889" i="1"/>
  <c r="R141" i="1"/>
  <c r="R1024" i="1"/>
  <c r="R1260" i="1"/>
  <c r="R425" i="1"/>
  <c r="R2010" i="1"/>
  <c r="R1616" i="1"/>
  <c r="R585" i="1"/>
  <c r="R898" i="1"/>
  <c r="R667" i="1"/>
  <c r="R1259" i="1"/>
  <c r="R517" i="1"/>
  <c r="R980" i="1"/>
  <c r="R2199" i="1"/>
  <c r="R1667" i="1"/>
  <c r="R438" i="1"/>
  <c r="R1668" i="1"/>
  <c r="R680" i="1"/>
  <c r="R1820" i="1"/>
  <c r="R2157" i="1"/>
  <c r="R87" i="1"/>
  <c r="R716" i="1"/>
  <c r="R717" i="1"/>
  <c r="R1913" i="1"/>
  <c r="R559" i="1"/>
  <c r="R2113" i="1"/>
  <c r="R1309" i="1"/>
  <c r="R2103" i="1"/>
  <c r="R195" i="1"/>
  <c r="R583" i="1"/>
  <c r="R2208" i="1"/>
  <c r="R2173" i="1"/>
  <c r="R1047" i="1"/>
  <c r="R1215" i="1"/>
  <c r="R530" i="1"/>
  <c r="R1436" i="1"/>
  <c r="R1810" i="1"/>
  <c r="R531" i="1"/>
  <c r="R405" i="1"/>
  <c r="R2126" i="1"/>
  <c r="R1071" i="1"/>
  <c r="R1052" i="1"/>
  <c r="R154" i="1"/>
  <c r="R1258" i="1"/>
  <c r="R536" i="1"/>
  <c r="R1102" i="1"/>
  <c r="R142" i="1"/>
  <c r="R143" i="1"/>
  <c r="R486" i="1"/>
  <c r="R644" i="1"/>
  <c r="R1926" i="1"/>
  <c r="R1040" i="1"/>
  <c r="R734" i="1"/>
  <c r="R554" i="1"/>
  <c r="R1720" i="1"/>
  <c r="R2134" i="1"/>
  <c r="R1514" i="1"/>
  <c r="R1735" i="1"/>
  <c r="R1515" i="1"/>
  <c r="R2041" i="1"/>
  <c r="R1252" i="1"/>
  <c r="R1085" i="1"/>
  <c r="R5" i="1"/>
  <c r="R731" i="1"/>
  <c r="R441" i="1"/>
  <c r="R1984" i="1"/>
  <c r="R138" i="1"/>
  <c r="R1779" i="1"/>
  <c r="R1451" i="1"/>
  <c r="R183" i="1"/>
  <c r="R949" i="1"/>
  <c r="R170" i="1"/>
  <c r="R1265" i="1"/>
  <c r="R665" i="1"/>
  <c r="R1408" i="1"/>
  <c r="R2085" i="1"/>
  <c r="R1395" i="1"/>
  <c r="R1396" i="1"/>
  <c r="R417" i="1"/>
  <c r="R274" i="1"/>
  <c r="R2086" i="1"/>
  <c r="R2001" i="1"/>
  <c r="R1219" i="1"/>
  <c r="R1883" i="1"/>
  <c r="R1240" i="1"/>
  <c r="R419" i="1"/>
  <c r="R957" i="1"/>
  <c r="R2002" i="1"/>
  <c r="R1816" i="1"/>
  <c r="R159" i="1"/>
  <c r="R1114" i="1"/>
  <c r="R1115" i="1"/>
  <c r="R252" i="1"/>
  <c r="R777" i="1"/>
  <c r="R838" i="1"/>
  <c r="R1293" i="1"/>
  <c r="R2042" i="1"/>
  <c r="R1247" i="1"/>
  <c r="R995" i="1"/>
  <c r="R853" i="1"/>
  <c r="R33" i="1"/>
  <c r="R24" i="1"/>
  <c r="R848" i="1"/>
  <c r="R1211" i="1"/>
  <c r="R1959" i="1"/>
  <c r="R1212" i="1"/>
  <c r="R1213" i="1"/>
  <c r="R1146" i="1"/>
  <c r="R1825" i="1"/>
  <c r="R727" i="1"/>
  <c r="R1646" i="1"/>
  <c r="R426" i="1"/>
  <c r="R728" i="1"/>
  <c r="R1561" i="1"/>
  <c r="R474" i="1"/>
  <c r="R1640" i="1"/>
  <c r="R1073" i="1"/>
  <c r="R515" i="1"/>
  <c r="R192" i="1"/>
  <c r="R686" i="1"/>
  <c r="R327" i="1"/>
  <c r="R193" i="1"/>
  <c r="R1485" i="1"/>
  <c r="R1811" i="1"/>
  <c r="R1355" i="1"/>
  <c r="R1750" i="1"/>
  <c r="R1940" i="1"/>
  <c r="R1371" i="1"/>
  <c r="R1871" i="1"/>
  <c r="R319" i="1"/>
  <c r="R1502" i="1"/>
  <c r="R1731" i="1"/>
  <c r="R1336" i="1"/>
  <c r="R190" i="1"/>
  <c r="R816" i="1"/>
  <c r="R2135" i="1"/>
  <c r="R1472" i="1"/>
  <c r="R2161" i="1"/>
  <c r="R122" i="1"/>
  <c r="R2162" i="1"/>
  <c r="R813" i="1"/>
  <c r="R835" i="1"/>
  <c r="R2078" i="1"/>
  <c r="R456" i="1"/>
  <c r="R1341" i="1"/>
  <c r="R725" i="1"/>
  <c r="R726" i="1"/>
  <c r="R477" i="1"/>
  <c r="R2019" i="1"/>
  <c r="R478" i="1"/>
  <c r="R1140" i="1"/>
  <c r="R1571" i="1"/>
  <c r="R1529" i="1"/>
  <c r="R1141" i="1"/>
  <c r="R1572" i="1"/>
  <c r="R336" i="1"/>
  <c r="R2191" i="1"/>
  <c r="R1105" i="1"/>
  <c r="R566" i="1"/>
  <c r="R747" i="1"/>
  <c r="R748" i="1"/>
  <c r="R1826" i="1"/>
  <c r="R482" i="1"/>
  <c r="R793" i="1"/>
  <c r="R157" i="1"/>
  <c r="R245" i="1"/>
  <c r="R735" i="1"/>
  <c r="R520" i="1"/>
  <c r="R306" i="1"/>
  <c r="R340" i="1"/>
  <c r="R985" i="1"/>
  <c r="R884" i="1"/>
  <c r="R46" i="1"/>
  <c r="R885" i="1"/>
  <c r="R964" i="1"/>
  <c r="R605" i="1"/>
  <c r="R606" i="1"/>
  <c r="R1842" i="1"/>
  <c r="R120" i="1"/>
  <c r="R236" i="1"/>
  <c r="R1055" i="1"/>
  <c r="R217" i="1"/>
  <c r="R62" i="1"/>
  <c r="R161" i="1"/>
  <c r="R1942" i="1"/>
  <c r="R523" i="1"/>
  <c r="R1943" i="1"/>
  <c r="R124" i="1"/>
  <c r="R1444" i="1"/>
  <c r="R922" i="1"/>
  <c r="R460" i="1"/>
  <c r="R473" i="1"/>
  <c r="R435" i="1"/>
  <c r="R1191" i="1"/>
  <c r="R1578" i="1"/>
  <c r="R878" i="1"/>
  <c r="R1422" i="1"/>
  <c r="R1925" i="1"/>
  <c r="R2196" i="1"/>
  <c r="R1964" i="1"/>
  <c r="R121" i="1"/>
  <c r="R1043" i="1"/>
  <c r="R1965" i="1"/>
  <c r="R2171" i="1"/>
  <c r="R145" i="1"/>
  <c r="R526" i="1"/>
  <c r="R1357" i="1"/>
  <c r="R51" i="1"/>
  <c r="R240" i="1"/>
  <c r="R1019" i="1"/>
  <c r="R1020" i="1"/>
  <c r="R1547" i="1"/>
  <c r="R1693" i="1"/>
  <c r="R194" i="1"/>
  <c r="R771" i="1"/>
  <c r="R1368" i="1"/>
  <c r="R1321" i="1"/>
  <c r="R603" i="1"/>
  <c r="R68" i="1"/>
  <c r="R69" i="1"/>
  <c r="R2143" i="1"/>
  <c r="R1322" i="1"/>
  <c r="R70" i="1"/>
  <c r="R1579" i="1"/>
  <c r="R596" i="1"/>
  <c r="R352" i="1"/>
  <c r="R1592" i="1"/>
  <c r="R690" i="1"/>
  <c r="R1203" i="1"/>
  <c r="R263" i="1"/>
  <c r="R1712" i="1"/>
  <c r="R1979" i="1"/>
  <c r="R867" i="1"/>
  <c r="R1980" i="1"/>
  <c r="R711" i="1"/>
  <c r="R1963" i="1"/>
  <c r="R1462" i="1"/>
  <c r="R1112" i="1"/>
  <c r="R938" i="1"/>
  <c r="R1242" i="1"/>
  <c r="R607" i="1"/>
  <c r="R627" i="1"/>
  <c r="R1955" i="1"/>
  <c r="R1706" i="1"/>
  <c r="R1163" i="1"/>
  <c r="R1164" i="1"/>
  <c r="R1694" i="1"/>
  <c r="R1603" i="1"/>
  <c r="R1671" i="1"/>
  <c r="R2027" i="1"/>
  <c r="R581" i="1"/>
  <c r="R899" i="1"/>
  <c r="R344" i="1"/>
  <c r="R2018" i="1"/>
  <c r="R1083" i="1"/>
  <c r="R1567" i="1"/>
  <c r="R2068" i="1"/>
  <c r="R662" i="1"/>
  <c r="R709" i="1"/>
  <c r="R14" i="1"/>
  <c r="R1568" i="1"/>
  <c r="R571" i="1"/>
  <c r="R1569" i="1"/>
  <c r="R2158" i="1"/>
  <c r="R751" i="1"/>
  <c r="R1991" i="1"/>
  <c r="R1423" i="1"/>
  <c r="R752" i="1"/>
  <c r="R1096" i="1"/>
  <c r="R2177" i="1"/>
  <c r="R811" i="1"/>
  <c r="R572" i="1"/>
  <c r="R1524" i="1"/>
  <c r="R1916" i="1"/>
  <c r="R539" i="1"/>
  <c r="R1366" i="1"/>
  <c r="R1854" i="1"/>
  <c r="R326" i="1"/>
  <c r="R1898" i="1"/>
  <c r="R1398" i="1"/>
  <c r="R558" i="1"/>
  <c r="R2202" i="1"/>
  <c r="R1855" i="1"/>
  <c r="R231" i="1"/>
  <c r="R1761" i="1"/>
  <c r="R818" i="1"/>
  <c r="R342" i="1"/>
  <c r="R1869" i="1"/>
  <c r="R1993" i="1"/>
  <c r="R369" i="1"/>
  <c r="R1525" i="1"/>
  <c r="R1903" i="1"/>
  <c r="R277" i="1"/>
  <c r="R826" i="1"/>
  <c r="R827" i="1"/>
  <c r="R694" i="1"/>
  <c r="R932" i="1"/>
  <c r="R972" i="1"/>
  <c r="R1654" i="1"/>
  <c r="R1655" i="1"/>
  <c r="R1250" i="1"/>
  <c r="R227" i="1"/>
  <c r="R189" i="1"/>
  <c r="R1665" i="1"/>
  <c r="R2194" i="1"/>
  <c r="R267" i="1"/>
  <c r="R1008" i="1"/>
  <c r="R1327" i="1"/>
  <c r="R791" i="1"/>
  <c r="R1516" i="1"/>
  <c r="R1171" i="1"/>
  <c r="R155" i="1"/>
  <c r="R1771" i="1"/>
  <c r="R1477" i="1"/>
  <c r="R1282" i="1"/>
  <c r="R1189" i="1"/>
  <c r="R58" i="1"/>
  <c r="R1283" i="1"/>
  <c r="R1284" i="1"/>
  <c r="R810" i="1"/>
  <c r="R1805" i="1"/>
  <c r="R1828" i="1"/>
  <c r="R1051" i="1"/>
  <c r="R1424" i="1"/>
  <c r="R1425" i="1"/>
  <c r="R305" i="1"/>
  <c r="R1935" i="1"/>
  <c r="R744" i="1"/>
  <c r="R1056" i="1"/>
  <c r="R1093" i="1"/>
  <c r="R1751" i="1"/>
  <c r="R1184" i="1"/>
  <c r="R611" i="1"/>
  <c r="R2154" i="1"/>
  <c r="R1608" i="1"/>
  <c r="R409" i="1"/>
  <c r="R784" i="1"/>
  <c r="R576" i="1"/>
  <c r="R675" i="1"/>
  <c r="R577" i="1"/>
  <c r="R578" i="1"/>
  <c r="R235" i="1"/>
  <c r="R770" i="1"/>
  <c r="R812" i="1"/>
  <c r="R545" i="1"/>
  <c r="R546" i="1"/>
  <c r="R743" i="1"/>
  <c r="R243" i="1"/>
  <c r="R1599" i="1"/>
  <c r="R2192" i="1"/>
  <c r="R212" i="1"/>
  <c r="R76" i="1"/>
  <c r="R1723" i="1"/>
  <c r="R1504" i="1"/>
  <c r="R241" i="1"/>
  <c r="R1053" i="1"/>
  <c r="R1604" i="1"/>
  <c r="R2004" i="1"/>
  <c r="R555" i="1"/>
  <c r="R1917" i="1"/>
  <c r="R1364" i="1"/>
  <c r="R1864" i="1"/>
  <c r="R1613" i="1"/>
  <c r="R944" i="1"/>
  <c r="R2050" i="1"/>
  <c r="R1905" i="1"/>
  <c r="R1181" i="1"/>
  <c r="R698" i="1"/>
  <c r="R740" i="1"/>
  <c r="R741" i="1"/>
  <c r="R1062" i="1"/>
  <c r="R331" i="1"/>
  <c r="R1763" i="1"/>
  <c r="R1908" i="1"/>
  <c r="R2200" i="1"/>
  <c r="R135" i="1"/>
  <c r="R2204" i="1"/>
  <c r="R378" i="1"/>
  <c r="R1089" i="1"/>
  <c r="R1000"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 i="1"/>
  <c r="Q527" i="1"/>
  <c r="Q1664" i="1"/>
  <c r="Q211" i="1"/>
  <c r="Q484" i="1"/>
  <c r="Q219" i="1"/>
  <c r="Q1657" i="1"/>
  <c r="Q795" i="1"/>
  <c r="Q254" i="1"/>
  <c r="Q206" i="1"/>
  <c r="Q207" i="1"/>
  <c r="Q1202" i="1"/>
  <c r="Q1595" i="1"/>
  <c r="Q925" i="1"/>
  <c r="Q1154" i="1"/>
  <c r="Q540" i="1"/>
  <c r="Q541" i="1"/>
  <c r="Q1730" i="1"/>
  <c r="Q2220" i="1"/>
  <c r="Q1551" i="1"/>
  <c r="Q1729" i="1"/>
  <c r="Q422" i="1"/>
  <c r="Q2216" i="1"/>
  <c r="Q2214" i="1"/>
  <c r="Q687" i="1"/>
  <c r="Q228" i="1"/>
  <c r="Q1780" i="1"/>
  <c r="Q308" i="1"/>
  <c r="Q1174" i="1"/>
  <c r="Q88" i="1"/>
  <c r="Q107" i="1"/>
  <c r="Q1158" i="1"/>
  <c r="Q1124" i="1"/>
  <c r="Q1673" i="1"/>
  <c r="Q1132" i="1"/>
  <c r="Q1353" i="1"/>
  <c r="Q907" i="1"/>
  <c r="Q2148" i="1"/>
  <c r="Q214" i="1"/>
  <c r="Q1350" i="1"/>
  <c r="Q118" i="1"/>
  <c r="Q1343" i="1"/>
  <c r="Q95" i="1"/>
  <c r="Q1345" i="1"/>
  <c r="Q877" i="1"/>
  <c r="Q1610" i="1"/>
  <c r="Q1893" i="1"/>
  <c r="Q935" i="1"/>
  <c r="Q1894" i="1"/>
  <c r="Q1764" i="1"/>
  <c r="Q522" i="1"/>
  <c r="Q648" i="1"/>
  <c r="Q1742" i="1"/>
  <c r="Q2067" i="1"/>
  <c r="Q1286" i="1"/>
  <c r="Q703" i="1"/>
  <c r="Q704" i="1"/>
  <c r="Q624" i="1"/>
  <c r="Q1222" i="1"/>
  <c r="Q284" i="1"/>
  <c r="Q1067" i="1"/>
  <c r="Q1025" i="1"/>
  <c r="Q1328" i="1"/>
  <c r="Q1149" i="1"/>
  <c r="Q1329" i="1"/>
  <c r="Q134" i="1"/>
  <c r="Q1092" i="1"/>
  <c r="Q1389" i="1"/>
  <c r="Q724" i="1"/>
  <c r="Q1786" i="1"/>
  <c r="Q2122" i="1"/>
  <c r="Q1874" i="1"/>
  <c r="Q2013" i="1"/>
  <c r="Q480" i="1"/>
  <c r="Q792" i="1"/>
  <c r="Q216" i="1"/>
  <c r="Q1606" i="1"/>
  <c r="Q389" i="1"/>
  <c r="Q612" i="1"/>
  <c r="Q632" i="1"/>
  <c r="Q1360" i="1"/>
  <c r="Q79" i="1"/>
  <c r="Q229" i="1"/>
  <c r="Q1157" i="1"/>
  <c r="Q676" i="1"/>
  <c r="Q2115" i="1"/>
  <c r="Q1147" i="1"/>
  <c r="Q2026" i="1"/>
  <c r="Q1307" i="1"/>
  <c r="Q2" i="1"/>
  <c r="Q1812" i="1"/>
  <c r="Q684" i="1"/>
  <c r="Q510" i="1"/>
  <c r="Q1151" i="1"/>
  <c r="Q1755" i="1"/>
  <c r="Q1756" i="1"/>
  <c r="Q2009" i="1"/>
  <c r="Q1170" i="1"/>
  <c r="Q301" i="1"/>
  <c r="Q668" i="1"/>
  <c r="Q1003" i="1"/>
  <c r="Q1522" i="1"/>
  <c r="Q974" i="1"/>
  <c r="Q242" i="1"/>
  <c r="Q2108" i="1"/>
  <c r="Q311" i="1"/>
  <c r="Q177" i="1"/>
  <c r="Q312" i="1"/>
  <c r="Q11" i="1"/>
  <c r="Q2187" i="1"/>
  <c r="Q1844" i="1"/>
  <c r="Q1845" i="1"/>
  <c r="Q564" i="1"/>
  <c r="Q1937" i="1"/>
  <c r="Q345" i="1"/>
  <c r="Q346" i="1"/>
  <c r="Q2188" i="1"/>
  <c r="Q1489" i="1"/>
  <c r="Q565" i="1"/>
  <c r="Q1642" i="1"/>
  <c r="Q1643" i="1"/>
  <c r="Q1644" i="1"/>
  <c r="Q1645" i="1"/>
  <c r="Q1839" i="1"/>
  <c r="Q2082" i="1"/>
  <c r="Q125" i="1"/>
  <c r="Q2219" i="1"/>
  <c r="Q934" i="1"/>
  <c r="Q1990" i="1"/>
  <c r="Q854" i="1"/>
  <c r="Q1046" i="1"/>
  <c r="Q269" i="1"/>
  <c r="Q1690" i="1"/>
  <c r="Q1853" i="1"/>
  <c r="Q513" i="1"/>
  <c r="Q310" i="1"/>
  <c r="Q590" i="1"/>
  <c r="Q651" i="1"/>
  <c r="Q223" i="1"/>
  <c r="Q1708" i="1"/>
  <c r="Q1090" i="1"/>
  <c r="Q210" i="1"/>
  <c r="Q628" i="1"/>
  <c r="Q1709" i="1"/>
  <c r="Q224" i="1"/>
  <c r="Q370" i="1"/>
  <c r="Q184" i="1"/>
  <c r="Q1774" i="1"/>
  <c r="Q1766" i="1"/>
  <c r="Q1103" i="1"/>
  <c r="Q2079" i="1"/>
  <c r="Q1280" i="1"/>
  <c r="Q2072" i="1"/>
  <c r="Q1682" i="1"/>
  <c r="Q2080" i="1"/>
  <c r="Q105" i="1"/>
  <c r="Q282" i="1"/>
  <c r="Q2151" i="1"/>
  <c r="Q1901" i="1"/>
  <c r="Q1527" i="1"/>
  <c r="Q1437" i="1"/>
  <c r="Q63" i="1"/>
  <c r="Q1091" i="1"/>
  <c r="Q1927" i="1"/>
  <c r="Q2056" i="1"/>
  <c r="Q176" i="1"/>
  <c r="Q872" i="1"/>
  <c r="Q1080" i="1"/>
  <c r="Q954" i="1"/>
  <c r="Q955" i="1"/>
  <c r="Q1581" i="1"/>
  <c r="Q1582" i="1"/>
  <c r="Q1271" i="1"/>
  <c r="Q364" i="1"/>
  <c r="Q2189" i="1"/>
  <c r="Q1695" i="1"/>
  <c r="Q365" i="1"/>
  <c r="Q1362" i="1"/>
  <c r="Q296" i="1"/>
  <c r="Q329" i="1"/>
  <c r="Q1583" i="1"/>
  <c r="Q330" i="1"/>
  <c r="Q323" i="1"/>
  <c r="Q324" i="1"/>
  <c r="Q54" i="1"/>
  <c r="Q453" i="1"/>
  <c r="Q117" i="1"/>
  <c r="Q1562" i="1"/>
  <c r="Q1891" i="1"/>
  <c r="Q266" i="1"/>
  <c r="Q1933" i="1"/>
  <c r="Q1832" i="1"/>
  <c r="Q45" i="1"/>
  <c r="Q424" i="1"/>
  <c r="Q921" i="1"/>
  <c r="Q1435" i="1"/>
  <c r="Q1900" i="1"/>
  <c r="Q774" i="1"/>
  <c r="Q165" i="1"/>
  <c r="Q42" i="1"/>
  <c r="Q226" i="1"/>
  <c r="Q1511" i="1"/>
  <c r="Q1617" i="1"/>
  <c r="Q404" i="1"/>
  <c r="Q861" i="1"/>
  <c r="Q23" i="1"/>
  <c r="Q233" i="1"/>
  <c r="Q1249" i="1"/>
  <c r="Q234" i="1"/>
  <c r="Q976" i="1"/>
  <c r="Q809" i="1"/>
  <c r="Q1400" i="1"/>
  <c r="Q1297" i="1"/>
  <c r="Q1924" i="1"/>
  <c r="Q1401" i="1"/>
  <c r="Q1656" i="1"/>
  <c r="Q1733" i="1"/>
  <c r="Q1145" i="1"/>
  <c r="Q1575" i="1"/>
  <c r="Q1370" i="1"/>
  <c r="Q890" i="1"/>
  <c r="Q626" i="1"/>
  <c r="Q1641" i="1"/>
  <c r="Q25" i="1"/>
  <c r="Q858" i="1"/>
  <c r="Q1172" i="1"/>
  <c r="Q1934" i="1"/>
  <c r="Q1557" i="1"/>
  <c r="Q1982" i="1"/>
  <c r="Q2145" i="1"/>
  <c r="Q1139" i="1"/>
  <c r="Q1346" i="1"/>
  <c r="Q996" i="1"/>
  <c r="Q2167" i="1"/>
  <c r="Q1666" i="1"/>
  <c r="Q1626" i="1"/>
  <c r="Q1337" i="1"/>
  <c r="Q337" i="1"/>
  <c r="Q273" i="1"/>
  <c r="Q1625" i="1"/>
  <c r="Q1500" i="1"/>
  <c r="Q1138" i="1"/>
  <c r="Q1290" i="1"/>
  <c r="Q1291" i="1"/>
  <c r="Q2054" i="1"/>
  <c r="Q900" i="1"/>
  <c r="Q1197" i="1"/>
  <c r="Q1198" i="1"/>
  <c r="Q1310" i="1"/>
  <c r="Q645" i="1"/>
  <c r="Q1691" i="1"/>
  <c r="Q646" i="1"/>
  <c r="Q1612" i="1"/>
  <c r="Q251" i="1"/>
  <c r="Q90" i="1"/>
  <c r="Q2069" i="1"/>
  <c r="Q221" i="1"/>
  <c r="Q463" i="1"/>
  <c r="Q464" i="1"/>
  <c r="Q970" i="1"/>
  <c r="Q759" i="1"/>
  <c r="Q1865" i="1"/>
  <c r="Q1523" i="1"/>
  <c r="Q876" i="1"/>
  <c r="Q333" i="1"/>
  <c r="Q983" i="1"/>
  <c r="Q446" i="1"/>
  <c r="Q75" i="1"/>
  <c r="Q261" i="1"/>
  <c r="Q151" i="1"/>
  <c r="Q1081" i="1"/>
  <c r="Q1785" i="1"/>
  <c r="Q152" i="1"/>
  <c r="Q1094" i="1"/>
  <c r="Q1406" i="1"/>
  <c r="Q1507" i="1"/>
  <c r="Q1033" i="1"/>
  <c r="Q16" i="1"/>
  <c r="Q136" i="1"/>
  <c r="Q1443" i="1"/>
  <c r="Q1117" i="1"/>
  <c r="Q1861" i="1"/>
  <c r="Q1255" i="1"/>
  <c r="Q318" i="1"/>
  <c r="Q1506" i="1"/>
  <c r="Q36" i="1"/>
  <c r="Q215" i="1"/>
  <c r="Q1692" i="1"/>
  <c r="Q1630" i="1"/>
  <c r="Q1593" i="1"/>
  <c r="Q1543" i="1"/>
  <c r="Q1526" i="1"/>
  <c r="Q1544" i="1"/>
  <c r="Q2052" i="1"/>
  <c r="Q1920" i="1"/>
  <c r="Q1313" i="1"/>
  <c r="Q640" i="1"/>
  <c r="Q841" i="1"/>
  <c r="Q2123" i="1"/>
  <c r="Q641" i="1"/>
  <c r="Q1777" i="1"/>
  <c r="Q2055" i="1"/>
  <c r="Q1680" i="1"/>
  <c r="Q1681" i="1"/>
  <c r="Q1414" i="1"/>
  <c r="Q1513" i="1"/>
  <c r="Q1856" i="1"/>
  <c r="Q1848" i="1"/>
  <c r="Q2084" i="1"/>
  <c r="Q1074" i="1"/>
  <c r="Q1448" i="1"/>
  <c r="Q1407" i="1"/>
  <c r="Q945" i="1"/>
  <c r="Q1342" i="1"/>
  <c r="Q519" i="1"/>
  <c r="Q1311" i="1"/>
  <c r="Q1639" i="1"/>
  <c r="Q1251" i="1"/>
  <c r="Q1704" i="1"/>
  <c r="Q1775" i="1"/>
  <c r="Q773" i="1"/>
  <c r="Q951" i="1"/>
  <c r="Q85" i="1"/>
  <c r="Q1001" i="1"/>
  <c r="Q1784" i="1"/>
  <c r="Q733" i="1"/>
  <c r="Q1218" i="1"/>
  <c r="Q1063" i="1"/>
  <c r="Q57" i="1"/>
  <c r="Q1831" i="1"/>
  <c r="Q1509" i="1"/>
  <c r="Q265" i="1"/>
  <c r="Q1378" i="1"/>
  <c r="Q1392" i="1"/>
  <c r="Q387" i="1"/>
  <c r="Q1061" i="1"/>
  <c r="Q909" i="1"/>
  <c r="Q2091" i="1"/>
  <c r="Q52" i="1"/>
  <c r="Q1273" i="1"/>
  <c r="Q623" i="1"/>
  <c r="Q439" i="1"/>
  <c r="Q2092" i="1"/>
  <c r="Q1637" i="1"/>
  <c r="Q1974" i="1"/>
  <c r="Q2212" i="1"/>
  <c r="Q448" i="1"/>
  <c r="Q1817" i="1"/>
  <c r="Q927" i="1"/>
  <c r="Q140" i="1"/>
  <c r="Q888" i="1"/>
  <c r="Q1872" i="1"/>
  <c r="Q1100" i="1"/>
  <c r="Q411" i="1"/>
  <c r="Q1281" i="1"/>
  <c r="Q1295" i="1"/>
  <c r="Q146" i="1"/>
  <c r="Q663" i="1"/>
  <c r="Q455" i="1"/>
  <c r="Q833" i="1"/>
  <c r="Q1274" i="1"/>
  <c r="Q1769" i="1"/>
  <c r="Q1983" i="1"/>
  <c r="Q297" i="1"/>
  <c r="Q1659" i="1"/>
  <c r="Q635" i="1"/>
  <c r="Q1912" i="1"/>
  <c r="Q1049" i="1"/>
  <c r="Q1241" i="1"/>
  <c r="Q279" i="1"/>
  <c r="Q379" i="1"/>
  <c r="Q524" i="1"/>
  <c r="Q1538" i="1"/>
  <c r="Q595" i="1"/>
  <c r="Q738" i="1"/>
  <c r="Q971" i="1"/>
  <c r="Q609" i="1"/>
  <c r="Q1016" i="1"/>
  <c r="Q1520" i="1"/>
  <c r="Q1921" i="1"/>
  <c r="Q631" i="1"/>
  <c r="Q643" i="1"/>
  <c r="Q1272" i="1"/>
  <c r="Q200" i="1"/>
  <c r="Q384" i="1"/>
  <c r="Q2149" i="1"/>
  <c r="Q1030" i="1"/>
  <c r="Q1939" i="1"/>
  <c r="Q758" i="1"/>
  <c r="Q288" i="1"/>
  <c r="Q2012" i="1"/>
  <c r="Q1298" i="1"/>
  <c r="Q1782" i="1"/>
  <c r="Q1585" i="1"/>
  <c r="Q2044" i="1"/>
  <c r="Q167" i="1"/>
  <c r="Q1952" i="1"/>
  <c r="Q470" i="1"/>
  <c r="Q1953" i="1"/>
  <c r="Q168" i="1"/>
  <c r="Q1765" i="1"/>
  <c r="Q1884" i="1"/>
  <c r="Q1747" i="1"/>
  <c r="Q1501" i="1"/>
  <c r="Q374" i="1"/>
  <c r="Q1116" i="1"/>
  <c r="Q1760" i="1"/>
  <c r="Q2102" i="1"/>
  <c r="Q247" i="1"/>
  <c r="Q259" i="1"/>
  <c r="Q692" i="1"/>
  <c r="Q2025" i="1"/>
  <c r="Q1375" i="1"/>
  <c r="Q7" i="1"/>
  <c r="Q8" i="1"/>
  <c r="Q2174" i="1"/>
  <c r="Q769" i="1"/>
  <c r="Q1402" i="1"/>
  <c r="Q1703" i="1"/>
  <c r="Q908" i="1"/>
  <c r="Q1476" i="1"/>
  <c r="Q1038" i="1"/>
  <c r="Q295" i="1"/>
  <c r="Q1772" i="1"/>
  <c r="Q2138" i="1"/>
  <c r="Q1332" i="1"/>
  <c r="Q2139" i="1"/>
  <c r="Q205" i="1"/>
  <c r="Q40" i="1"/>
  <c r="Q1801" i="1"/>
  <c r="Q1802" i="1"/>
  <c r="Q41" i="1"/>
  <c r="Q19" i="1"/>
  <c r="Q15" i="1"/>
  <c r="Q1879" i="1"/>
  <c r="Q1403" i="1"/>
  <c r="Q1404" i="1"/>
  <c r="Q459" i="1"/>
  <c r="Q1938" i="1"/>
  <c r="Q386" i="1"/>
  <c r="Q1981" i="1"/>
  <c r="Q276" i="1"/>
  <c r="Q1279" i="1"/>
  <c r="Q1243" i="1"/>
  <c r="Q1017" i="1"/>
  <c r="Q1429" i="1"/>
  <c r="Q1450" i="1"/>
  <c r="Q828" i="1"/>
  <c r="Q1936" i="1"/>
  <c r="Q1576" i="1"/>
  <c r="Q1577" i="1"/>
  <c r="Q2003" i="1"/>
  <c r="Q685" i="1"/>
  <c r="Q388" i="1"/>
  <c r="Q309" i="1"/>
  <c r="Q1745" i="1"/>
  <c r="Q292" i="1"/>
  <c r="Q56" i="1"/>
  <c r="Q782" i="1"/>
  <c r="Q115" i="1"/>
  <c r="Q1849" i="1"/>
  <c r="Q100" i="1"/>
  <c r="Q101" i="1"/>
  <c r="Q757" i="1"/>
  <c r="Q1977" i="1"/>
  <c r="Q1590" i="1"/>
  <c r="Q639" i="1"/>
  <c r="Q1054" i="1"/>
  <c r="Q1749" i="1"/>
  <c r="Q652" i="1"/>
  <c r="Q2105" i="1"/>
  <c r="Q722" i="1"/>
  <c r="Q1143" i="1"/>
  <c r="Q1985" i="1"/>
  <c r="Q1541" i="1"/>
  <c r="Q2137" i="1"/>
  <c r="Q1822" i="1"/>
  <c r="Q1545" i="1"/>
  <c r="Q528" i="1"/>
  <c r="Q529" i="1"/>
  <c r="Q2176" i="1"/>
  <c r="Q2098" i="1"/>
  <c r="Q368" i="1"/>
  <c r="Q2022" i="1"/>
  <c r="Q2099" i="1"/>
  <c r="Q677" i="1"/>
  <c r="Q647" i="1"/>
  <c r="Q351" i="1"/>
  <c r="Q147" i="1"/>
  <c r="Q1304" i="1"/>
  <c r="Q850" i="1"/>
  <c r="Q940" i="1"/>
  <c r="Q587" i="1"/>
  <c r="Q38" i="1"/>
  <c r="Q937" i="1"/>
  <c r="Q525" i="1"/>
  <c r="Q551" i="1"/>
  <c r="Q257" i="1"/>
  <c r="Q1685" i="1"/>
  <c r="Q1746" i="1"/>
  <c r="Q80" i="1"/>
  <c r="Q1650" i="1"/>
  <c r="Q1830" i="1"/>
  <c r="Q1159" i="1"/>
  <c r="Q164" i="1"/>
  <c r="Q191" i="1"/>
  <c r="Q1707" i="1"/>
  <c r="Q1034" i="1"/>
  <c r="Q2073" i="1"/>
  <c r="Q397" i="1"/>
  <c r="Q1216" i="1"/>
  <c r="Q507" i="1"/>
  <c r="Q896" i="1"/>
  <c r="Q1351" i="1"/>
  <c r="Q462" i="1"/>
  <c r="Q2183" i="1"/>
  <c r="Q1325" i="1"/>
  <c r="Q1962" i="1"/>
  <c r="Q1553" i="1"/>
  <c r="Q1862" i="1"/>
  <c r="Q655" i="1"/>
  <c r="Q814" i="1"/>
  <c r="Q2146" i="1"/>
  <c r="Q765" i="1"/>
  <c r="Q766" i="1"/>
  <c r="Q28" i="1"/>
  <c r="Q300" i="1"/>
  <c r="Q666" i="1"/>
  <c r="Q174" i="1"/>
  <c r="Q604" i="1"/>
  <c r="Q656" i="1"/>
  <c r="Q657" i="1"/>
  <c r="Q1185" i="1"/>
  <c r="Q870" i="1"/>
  <c r="Q915" i="1"/>
  <c r="Q1365" i="1"/>
  <c r="Q1330" i="1"/>
  <c r="Q649" i="1"/>
  <c r="Q650" i="1"/>
  <c r="Q916" i="1"/>
  <c r="Q2221" i="1"/>
  <c r="Q86" i="1"/>
  <c r="Q281" i="1"/>
  <c r="Q2075" i="1"/>
  <c r="Q767" i="1"/>
  <c r="Q2023" i="1"/>
  <c r="Q1200" i="1"/>
  <c r="Q805" i="1"/>
  <c r="Q1225" i="1"/>
  <c r="Q1748" i="1"/>
  <c r="Q43" i="1"/>
  <c r="Q1652" i="1"/>
  <c r="Q487" i="1"/>
  <c r="Q682" i="1"/>
  <c r="Q574" i="1"/>
  <c r="Q823" i="1"/>
  <c r="Q1204" i="1"/>
  <c r="Q586" i="1"/>
  <c r="Q119" i="1"/>
  <c r="Q1110" i="1"/>
  <c r="Q1517" i="1"/>
  <c r="Q372" i="1"/>
  <c r="Q961" i="1"/>
  <c r="Q1799" i="1"/>
  <c r="Q171" i="1"/>
  <c r="Q188" i="1"/>
  <c r="Q1800" i="1"/>
  <c r="Q1615" i="1"/>
  <c r="Q1601" i="1"/>
  <c r="Q1548" i="1"/>
  <c r="Q2000" i="1"/>
  <c r="Q178" i="1"/>
  <c r="Q1549" i="1"/>
  <c r="Q2197" i="1"/>
  <c r="Q1446" i="1"/>
  <c r="Q390" i="1"/>
  <c r="Q1447" i="1"/>
  <c r="Q893" i="1"/>
  <c r="Q894" i="1"/>
  <c r="Q1142" i="1"/>
  <c r="Q431" i="1"/>
  <c r="Q1210" i="1"/>
  <c r="Q320" i="1"/>
  <c r="Q1888" i="1"/>
  <c r="Q2028" i="1"/>
  <c r="Q660" i="1"/>
  <c r="Q1678" i="1"/>
  <c r="Q47" i="1"/>
  <c r="Q978" i="1"/>
  <c r="Q589" i="1"/>
  <c r="Q2024" i="1"/>
  <c r="Q963" i="1"/>
  <c r="Q705" i="1"/>
  <c r="Q2193" i="1"/>
  <c r="Q633" i="1"/>
  <c r="Q26" i="1"/>
  <c r="Q1123" i="1"/>
  <c r="Q1032" i="1"/>
  <c r="Q457" i="1"/>
  <c r="Q1177" i="1"/>
  <c r="Q593" i="1"/>
  <c r="Q283" i="1"/>
  <c r="Q563" i="1"/>
  <c r="Q1584" i="1"/>
  <c r="Q393" i="1"/>
  <c r="Q2185" i="1"/>
  <c r="Q1175" i="1"/>
  <c r="Q2106" i="1"/>
  <c r="Q44" i="1"/>
  <c r="Q992" i="1"/>
  <c r="Q783" i="1"/>
  <c r="Q237" i="1"/>
  <c r="Q2211" i="1"/>
  <c r="Q887" i="1"/>
  <c r="Q1413" i="1"/>
  <c r="Q1651" i="1"/>
  <c r="Q260" i="1"/>
  <c r="Q1405" i="1"/>
  <c r="Q1986" i="1"/>
  <c r="Q1987" i="1"/>
  <c r="Q316" i="1"/>
  <c r="Q2053" i="1"/>
  <c r="Q764" i="1"/>
  <c r="Q2141" i="1"/>
  <c r="Q1634" i="1"/>
  <c r="Q1859" i="1"/>
  <c r="Q1464" i="1"/>
  <c r="Q1445" i="1"/>
  <c r="Q1381" i="1"/>
  <c r="Q567" i="1"/>
  <c r="Q2209" i="1"/>
  <c r="Q636" i="1"/>
  <c r="Q472" i="1"/>
  <c r="Q1497" i="1"/>
  <c r="Q385" i="1"/>
  <c r="Q815" i="1"/>
  <c r="Q2008" i="1"/>
  <c r="Q1209" i="1"/>
  <c r="Q933" i="1"/>
  <c r="Q613" i="1"/>
  <c r="Q1226" i="1"/>
  <c r="Q642" i="1"/>
  <c r="Q1305" i="1"/>
  <c r="Q139" i="1"/>
  <c r="Q249" i="1"/>
  <c r="Q250" i="1"/>
  <c r="Q468" i="1"/>
  <c r="Q1754" i="1"/>
  <c r="Q1319" i="1"/>
  <c r="Q1379" i="1"/>
  <c r="Q1531" i="1"/>
  <c r="Q1349" i="1"/>
  <c r="Q1278" i="1"/>
  <c r="Q1870" i="1"/>
  <c r="Q381" i="1"/>
  <c r="Q454" i="1"/>
  <c r="Q981" i="1"/>
  <c r="Q268" i="1"/>
  <c r="Q280" i="1"/>
  <c r="Q591" i="1"/>
  <c r="Q903" i="1"/>
  <c r="Q343" i="1"/>
  <c r="Q148" i="1"/>
  <c r="Q1563" i="1"/>
  <c r="Q196" i="1"/>
  <c r="Q30" i="1"/>
  <c r="Q2136" i="1"/>
  <c r="Q788" i="1"/>
  <c r="Q248" i="1"/>
  <c r="Q1430" i="1"/>
  <c r="Q96" i="1"/>
  <c r="Q988" i="1"/>
  <c r="Q97" i="1"/>
  <c r="Q617" i="1"/>
  <c r="Q74" i="1"/>
  <c r="Q2095" i="1"/>
  <c r="Q2124" i="1"/>
  <c r="Q781" i="1"/>
  <c r="Q534" i="1"/>
  <c r="Q1419" i="1"/>
  <c r="Q535" i="1"/>
  <c r="Q760" i="1"/>
  <c r="Q1394" i="1"/>
  <c r="Q552" i="1"/>
  <c r="Q871" i="1"/>
  <c r="Q443" i="1"/>
  <c r="Q736" i="1"/>
  <c r="Q860" i="1"/>
  <c r="Q114" i="1"/>
  <c r="Q1214" i="1"/>
  <c r="Q314" i="1"/>
  <c r="Q2063" i="1"/>
  <c r="Q669" i="1"/>
  <c r="Q407" i="1"/>
  <c r="Q2093" i="1"/>
  <c r="Q670" i="1"/>
  <c r="Q2094" i="1"/>
  <c r="Q1367" i="1"/>
  <c r="Q1236" i="1"/>
  <c r="Q376" i="1"/>
  <c r="Q913" i="1"/>
  <c r="Q2131" i="1"/>
  <c r="Q132" i="1"/>
  <c r="Q505" i="1"/>
  <c r="Q1165" i="1"/>
  <c r="Q332" i="1"/>
  <c r="Q865" i="1"/>
  <c r="Q1911" i="1"/>
  <c r="Q1969" i="1"/>
  <c r="Q1012" i="1"/>
  <c r="Q347" i="1"/>
  <c r="Q1244" i="1"/>
  <c r="Q67" i="1"/>
  <c r="Q1013" i="1"/>
  <c r="Q1836" i="1"/>
  <c r="Q162" i="1"/>
  <c r="Q380" i="1"/>
  <c r="Q359" i="1"/>
  <c r="Q1452" i="1"/>
  <c r="Q1710" i="1"/>
  <c r="Q1201" i="1"/>
  <c r="Q130" i="1"/>
  <c r="Q729" i="1"/>
  <c r="Q1167" i="1"/>
  <c r="Q1168" i="1"/>
  <c r="Q1954" i="1"/>
  <c r="Q1188" i="1"/>
  <c r="Q1294" i="1"/>
  <c r="Q1287" i="1"/>
  <c r="Q1725" i="1"/>
  <c r="Q285" i="1"/>
  <c r="Q598" i="1"/>
  <c r="Q2182" i="1"/>
  <c r="Q845" i="1"/>
  <c r="Q286" i="1"/>
  <c r="Q1380" i="1"/>
  <c r="Q1377" i="1"/>
  <c r="Q467" i="1"/>
  <c r="Q1118" i="1"/>
  <c r="Q398" i="1"/>
  <c r="Q2125" i="1"/>
  <c r="Q383" i="1"/>
  <c r="Q2039" i="1"/>
  <c r="Q508" i="1"/>
  <c r="Q2040" i="1"/>
  <c r="Q258" i="1"/>
  <c r="Q1455" i="1"/>
  <c r="Q1919" i="1"/>
  <c r="Q2163" i="1"/>
  <c r="Q1851" i="1"/>
  <c r="Q290" i="1"/>
  <c r="Q1890" i="1"/>
  <c r="Q1065" i="1"/>
  <c r="Q325" i="1"/>
  <c r="Q1713" i="1"/>
  <c r="Q499" i="1"/>
  <c r="Q238" i="1"/>
  <c r="Q1624" i="1"/>
  <c r="Q1182" i="1"/>
  <c r="Q500" i="1"/>
  <c r="Q1518" i="1"/>
  <c r="Q437" i="1"/>
  <c r="Q1852" i="1"/>
  <c r="Q1519" i="1"/>
  <c r="Q1161" i="1"/>
  <c r="Q855" i="1"/>
  <c r="Q984" i="1"/>
  <c r="Q2065" i="1"/>
  <c r="Q691" i="1"/>
  <c r="Q1261" i="1"/>
  <c r="Q993" i="1"/>
  <c r="Q481" i="1"/>
  <c r="Q1386" i="1"/>
  <c r="Q2016" i="1"/>
  <c r="Q2048" i="1"/>
  <c r="Q1196" i="1"/>
  <c r="Q1228" i="1"/>
  <c r="Q1229" i="1"/>
  <c r="Q1187" i="1"/>
  <c r="Q1418" i="1"/>
  <c r="Q1702" i="1"/>
  <c r="Q560" i="1"/>
  <c r="Q561" i="1"/>
  <c r="Q989" i="1"/>
  <c r="Q1628" i="1"/>
  <c r="Q31" i="1"/>
  <c r="Q2021" i="1"/>
  <c r="Q1359" i="1"/>
  <c r="Q1317" i="1"/>
  <c r="Q1932" i="1"/>
  <c r="Q1728" i="1"/>
  <c r="Q1487" i="1"/>
  <c r="Q2104" i="1"/>
  <c r="Q1098" i="1"/>
  <c r="Q1633" i="1"/>
  <c r="Q719" i="1"/>
  <c r="Q1483" i="1"/>
  <c r="Q720" i="1"/>
  <c r="Q466" i="1"/>
  <c r="Q291" i="1"/>
  <c r="Q1478" i="1"/>
  <c r="Q638" i="1"/>
  <c r="Q874" i="1"/>
  <c r="Q1997" i="1"/>
  <c r="Q1415" i="1"/>
  <c r="Q804" i="1"/>
  <c r="Q918" i="1"/>
  <c r="Q1384" i="1"/>
  <c r="Q941" i="1"/>
  <c r="Q942" i="1"/>
  <c r="Q1050" i="1"/>
  <c r="Q1331" i="1"/>
  <c r="Q1580" i="1"/>
  <c r="Q1957" i="1"/>
  <c r="Q1393" i="1"/>
  <c r="Q49" i="1"/>
  <c r="Q13" i="1"/>
  <c r="Q1263" i="1"/>
  <c r="Q112" i="1"/>
  <c r="Q113" i="1"/>
  <c r="Q1264" i="1"/>
  <c r="Q483" i="1"/>
  <c r="Q1867" i="1"/>
  <c r="Q542" i="1"/>
  <c r="Q799" i="1"/>
  <c r="Q479" i="1"/>
  <c r="Q543" i="1"/>
  <c r="Q986" i="1"/>
  <c r="Q2215" i="1"/>
  <c r="Q218" i="1"/>
  <c r="Q2057" i="1"/>
  <c r="Q92" i="1"/>
  <c r="Q1740" i="1"/>
  <c r="Q1741" i="1"/>
  <c r="Q1814" i="1"/>
  <c r="Q93" i="1"/>
  <c r="Q1108" i="1"/>
  <c r="Q1660" i="1"/>
  <c r="Q869" i="1"/>
  <c r="Q2034" i="1"/>
  <c r="Q761" i="1"/>
  <c r="Q2198" i="1"/>
  <c r="Q616" i="1"/>
  <c r="Q1602" i="1"/>
  <c r="Q1976" i="1"/>
  <c r="Q509" i="1"/>
  <c r="Q1470" i="1"/>
  <c r="Q1471" i="1"/>
  <c r="Q1246" i="1"/>
  <c r="Q911" i="1"/>
  <c r="Q275" i="1"/>
  <c r="Q737" i="1"/>
  <c r="Q518" i="1"/>
  <c r="Q556" i="1"/>
  <c r="Q1481" i="1"/>
  <c r="Q201" i="1"/>
  <c r="Q600" i="1"/>
  <c r="Q494" i="1"/>
  <c r="Q601" i="1"/>
  <c r="Q883" i="1"/>
  <c r="Q575" i="1"/>
  <c r="Q1486" i="1"/>
  <c r="Q533" i="1"/>
  <c r="Q1638" i="1"/>
  <c r="Q131" i="1"/>
  <c r="Q1793" i="1"/>
  <c r="Q2074" i="1"/>
  <c r="Q1726" i="1"/>
  <c r="Q1308" i="1"/>
  <c r="Q1190" i="1"/>
  <c r="Q2101" i="1"/>
  <c r="Q699" i="1"/>
  <c r="Q1559" i="1"/>
  <c r="Q493" i="1"/>
  <c r="Q1948" i="1"/>
  <c r="Q1736" i="1"/>
  <c r="Q975" i="1"/>
  <c r="Q1622" i="1"/>
  <c r="Q1627" i="1"/>
  <c r="Q1566" i="1"/>
  <c r="Q1552" i="1"/>
  <c r="Q208" i="1"/>
  <c r="Q2133" i="1"/>
  <c r="Q886" i="1"/>
  <c r="Q400" i="1"/>
  <c r="Q1269" i="1"/>
  <c r="Q447" i="1"/>
  <c r="Q943" i="1"/>
  <c r="Q1270" i="1"/>
  <c r="Q396" i="1"/>
  <c r="Q239" i="1"/>
  <c r="Q185" i="1"/>
  <c r="Q1097" i="1"/>
  <c r="Q538" i="1"/>
  <c r="Q1803" i="1"/>
  <c r="Q621" i="1"/>
  <c r="Q1235" i="1"/>
  <c r="Q599" i="1"/>
  <c r="Q1372" i="1"/>
  <c r="Q1722" i="1"/>
  <c r="Q1598" i="1"/>
  <c r="Q1970" i="1"/>
  <c r="Q1971" i="1"/>
  <c r="Q789" i="1"/>
  <c r="Q1534" i="1"/>
  <c r="Q837" i="1"/>
  <c r="Q413" i="1"/>
  <c r="Q1009" i="1"/>
  <c r="Q1068" i="1"/>
  <c r="Q1245" i="1"/>
  <c r="Q360" i="1"/>
  <c r="Q1716" i="1"/>
  <c r="Q843" i="1"/>
  <c r="Q1006" i="1"/>
  <c r="Q1717" i="1"/>
  <c r="Q1007" i="1"/>
  <c r="Q659" i="1"/>
  <c r="Q1133" i="1"/>
  <c r="Q701" i="1"/>
  <c r="Q742" i="1"/>
  <c r="Q129" i="1"/>
  <c r="Q762" i="1"/>
  <c r="Q1752" i="1"/>
  <c r="Q1753" i="1"/>
  <c r="Q198" i="1"/>
  <c r="Q304" i="1"/>
  <c r="Q1107" i="1"/>
  <c r="Q1866" i="1"/>
  <c r="Q2062" i="1"/>
  <c r="Q1757" i="1"/>
  <c r="Q829" i="1"/>
  <c r="Q1417" i="1"/>
  <c r="Q2156" i="1"/>
  <c r="Q72" i="1"/>
  <c r="Q1340" i="1"/>
  <c r="Q2033" i="1"/>
  <c r="Q1945" i="1"/>
  <c r="Q2100" i="1"/>
  <c r="Q2007" i="1"/>
  <c r="Q1833" i="1"/>
  <c r="Q1253" i="1"/>
  <c r="Q1960" i="1"/>
  <c r="Q1254" i="1"/>
  <c r="Q1333" i="1"/>
  <c r="Q391" i="1"/>
  <c r="Q775" i="1"/>
  <c r="Q392" i="1"/>
  <c r="Q1148" i="1"/>
  <c r="Q557" i="1"/>
  <c r="Q1967" i="1"/>
  <c r="Q1057" i="1"/>
  <c r="Q1463" i="1"/>
  <c r="Q2150" i="1"/>
  <c r="Q1335" i="1"/>
  <c r="Q1183" i="1"/>
  <c r="Q1860" i="1"/>
  <c r="Q553" i="1"/>
  <c r="Q1540" i="1"/>
  <c r="Q1086" i="1"/>
  <c r="Q436" i="1"/>
  <c r="Q278" i="1"/>
  <c r="Q501" i="1"/>
  <c r="Q1315" i="1"/>
  <c r="Q1316" i="1"/>
  <c r="Q1904" i="1"/>
  <c r="Q808" i="1"/>
  <c r="Q778" i="1"/>
  <c r="Q1039" i="1"/>
  <c r="Q363" i="1"/>
  <c r="Q450" i="1"/>
  <c r="Q2181" i="1"/>
  <c r="Q451" i="1"/>
  <c r="Q1776" i="1"/>
  <c r="Q1339" i="1"/>
  <c r="Q2107" i="1"/>
  <c r="Q442" i="1"/>
  <c r="Q654" i="1"/>
  <c r="Q1878" i="1"/>
  <c r="Q982" i="1"/>
  <c r="Q199" i="1"/>
  <c r="Q672" i="1"/>
  <c r="Q1995" i="1"/>
  <c r="Q1928" i="1"/>
  <c r="Q1306" i="1"/>
  <c r="Q2071" i="1"/>
  <c r="Q1929" i="1"/>
  <c r="Q1101" i="1"/>
  <c r="Q730" i="1"/>
  <c r="Q418" i="1"/>
  <c r="Q1931" i="1"/>
  <c r="Q22" i="1"/>
  <c r="Q906" i="1"/>
  <c r="Q1268" i="1"/>
  <c r="Q1474" i="1"/>
  <c r="Q1737" i="1"/>
  <c r="Q608" i="1"/>
  <c r="Q688" i="1"/>
  <c r="Q1390" i="1"/>
  <c r="Q1037" i="1"/>
  <c r="Q299" i="1"/>
  <c r="Q1918" i="1"/>
  <c r="Q1411" i="1"/>
  <c r="Q186" i="1"/>
  <c r="Q1010" i="1"/>
  <c r="Q149" i="1"/>
  <c r="Q1440" i="1"/>
  <c r="Q1076" i="1"/>
  <c r="Q366" i="1"/>
  <c r="Q1863" i="1"/>
  <c r="Q1570" i="1"/>
  <c r="Q1594" i="1"/>
  <c r="Q1975" i="1"/>
  <c r="Q825" i="1"/>
  <c r="Q1059" i="1"/>
  <c r="Q1719" i="1"/>
  <c r="Q708" i="1"/>
  <c r="Q926" i="1"/>
  <c r="Q2058" i="1"/>
  <c r="Q103" i="1"/>
  <c r="Q1152" i="1"/>
  <c r="Q702" i="1"/>
  <c r="Q104" i="1"/>
  <c r="Q1732" i="1"/>
  <c r="Q785" i="1"/>
  <c r="Q786" i="1"/>
  <c r="Q2129" i="1"/>
  <c r="Q1508" i="1"/>
  <c r="Q9" i="1"/>
  <c r="Q1714" i="1"/>
  <c r="Q1715" i="1"/>
  <c r="Q1015" i="1"/>
  <c r="Q2152" i="1"/>
  <c r="Q1499" i="1"/>
  <c r="Q2159" i="1"/>
  <c r="Q2160" i="1"/>
  <c r="Q802" i="1"/>
  <c r="Q1542" i="1"/>
  <c r="Q2049" i="1"/>
  <c r="Q803" i="1"/>
  <c r="Q693" i="1"/>
  <c r="Q1528" i="1"/>
  <c r="Q1773" i="1"/>
  <c r="Q653" i="1"/>
  <c r="Q1239" i="1"/>
  <c r="Q2029" i="1"/>
  <c r="Q2030" i="1"/>
  <c r="Q1683" i="1"/>
  <c r="Q1484" i="1"/>
  <c r="Q710" i="1"/>
  <c r="Q1564" i="1"/>
  <c r="Q2213" i="1"/>
  <c r="Q1479" i="1"/>
  <c r="Q862" i="1"/>
  <c r="Q1480" i="1"/>
  <c r="Q37" i="1"/>
  <c r="Q427" i="1"/>
  <c r="Q1607" i="1"/>
  <c r="Q137" i="1"/>
  <c r="Q61" i="1"/>
  <c r="Q1041" i="1"/>
  <c r="Q1300" i="1"/>
  <c r="Q780" i="1"/>
  <c r="Q1453" i="1"/>
  <c r="Q664" i="1"/>
  <c r="Q852" i="1"/>
  <c r="Q1150" i="1"/>
  <c r="Q1303" i="1"/>
  <c r="Q1227" i="1"/>
  <c r="Q1619" i="1"/>
  <c r="Q956" i="1"/>
  <c r="Q846" i="1"/>
  <c r="Q1968" i="1"/>
  <c r="Q1289" i="1"/>
  <c r="Q1498" i="1"/>
  <c r="Q491" i="1"/>
  <c r="Q2066" i="1"/>
  <c r="Q492" i="1"/>
  <c r="Q968" i="1"/>
  <c r="Q172" i="1"/>
  <c r="Q2144" i="1"/>
  <c r="Q173" i="1"/>
  <c r="Q1192" i="1"/>
  <c r="Q412" i="1"/>
  <c r="Q1320" i="1"/>
  <c r="Q1266" i="1"/>
  <c r="Q1738" i="1"/>
  <c r="Q1469" i="1"/>
  <c r="Q794" i="1"/>
  <c r="Q1631" i="1"/>
  <c r="Q1813" i="1"/>
  <c r="Q579" i="1"/>
  <c r="Q489" i="1"/>
  <c r="Q1314" i="1"/>
  <c r="Q1787" i="1"/>
  <c r="Q602" i="1"/>
  <c r="Q1658" i="1"/>
  <c r="Q997" i="1"/>
  <c r="Q1875" i="1"/>
  <c r="Q2020" i="1"/>
  <c r="Q1711" i="1"/>
  <c r="Q1821" i="1"/>
  <c r="Q1412" i="1"/>
  <c r="Q1973" i="1"/>
  <c r="Q1257" i="1"/>
  <c r="Q1818" i="1"/>
  <c r="Q1018" i="1"/>
  <c r="Q1014" i="1"/>
  <c r="Q930" i="1"/>
  <c r="Q440" i="1"/>
  <c r="Q1162" i="1"/>
  <c r="Q1897" i="1"/>
  <c r="Q1846" i="1"/>
  <c r="Q1122" i="1"/>
  <c r="Q1721" i="1"/>
  <c r="Q1885" i="1"/>
  <c r="Q516" i="1"/>
  <c r="Q919" i="1"/>
  <c r="Q1796" i="1"/>
  <c r="Q790" i="1"/>
  <c r="Q723" i="1"/>
  <c r="Q772" i="1"/>
  <c r="Q1232" i="1"/>
  <c r="Q1334" i="1"/>
  <c r="Q1193" i="1"/>
  <c r="Q1902" i="1"/>
  <c r="Q321" i="1"/>
  <c r="Q1767" i="1"/>
  <c r="Q1876" i="1"/>
  <c r="Q1877" i="1"/>
  <c r="Q2076" i="1"/>
  <c r="Q322" i="1"/>
  <c r="Q2011" i="1"/>
  <c r="Q423" i="1"/>
  <c r="Q55" i="1"/>
  <c r="Q1026" i="1"/>
  <c r="Q497" i="1"/>
  <c r="Q2170" i="1"/>
  <c r="Q1299" i="1"/>
  <c r="Q150" i="1"/>
  <c r="Q1827" i="1"/>
  <c r="Q1697" i="1"/>
  <c r="Q1698" i="1"/>
  <c r="Q706" i="1"/>
  <c r="Q2059" i="1"/>
  <c r="Q1951" i="1"/>
  <c r="Q1383" i="1"/>
  <c r="Q253" i="1"/>
  <c r="Q362" i="1"/>
  <c r="Q1556" i="1"/>
  <c r="Q1420" i="1"/>
  <c r="Q817" i="1"/>
  <c r="Q637" i="1"/>
  <c r="Q1048" i="1"/>
  <c r="Q1823" i="1"/>
  <c r="Q2155" i="1"/>
  <c r="Q1824" i="1"/>
  <c r="Q840" i="1"/>
  <c r="Q444" i="1"/>
  <c r="Q920" i="1"/>
  <c r="Q912" i="1"/>
  <c r="Q824" i="1"/>
  <c r="Q1792" i="1"/>
  <c r="Q1946" i="1"/>
  <c r="Q1347" i="1"/>
  <c r="Q476" i="1"/>
  <c r="Q1536" i="1"/>
  <c r="Q1537" i="1"/>
  <c r="Q1113" i="1"/>
  <c r="Q1129" i="1"/>
  <c r="Q1130" i="1"/>
  <c r="Q1675" i="1"/>
  <c r="Q1676" i="1"/>
  <c r="Q1155" i="1"/>
  <c r="Q966" i="1"/>
  <c r="Q967" i="1"/>
  <c r="Q1156" i="1"/>
  <c r="Q1180" i="1"/>
  <c r="Q395" i="1"/>
  <c r="Q2031" i="1"/>
  <c r="Q1441" i="1"/>
  <c r="Q2032" i="1"/>
  <c r="Q1791" i="1"/>
  <c r="Q1144" i="1"/>
  <c r="Q1880" i="1"/>
  <c r="Q1160" i="1"/>
  <c r="Q756" i="1"/>
  <c r="Q160" i="1"/>
  <c r="Q1629" i="1"/>
  <c r="Q1815" i="1"/>
  <c r="Q1781" i="1"/>
  <c r="Q1881" i="1"/>
  <c r="Q1662" i="1"/>
  <c r="Q863" i="1"/>
  <c r="Q1186" i="1"/>
  <c r="Q864" i="1"/>
  <c r="Q807" i="1"/>
  <c r="Q671" i="1"/>
  <c r="Q618" i="1"/>
  <c r="Q619" i="1"/>
  <c r="Q502" i="1"/>
  <c r="Q569" i="1"/>
  <c r="Q910" i="1"/>
  <c r="Q681" i="1"/>
  <c r="Q917" i="1"/>
  <c r="Q879" i="1"/>
  <c r="Q880" i="1"/>
  <c r="Q1999" i="1"/>
  <c r="Q1256" i="1"/>
  <c r="Q1044" i="1"/>
  <c r="Q89" i="1"/>
  <c r="Q1045" i="1"/>
  <c r="Q1220" i="1"/>
  <c r="Q1837" i="1"/>
  <c r="Q1838" i="1"/>
  <c r="Q1262" i="1"/>
  <c r="Q2116" i="1"/>
  <c r="Q133" i="1"/>
  <c r="Q1042" i="1"/>
  <c r="Q1949" i="1"/>
  <c r="Q98" i="1"/>
  <c r="Q2117" i="1"/>
  <c r="Q402" i="1"/>
  <c r="Q102" i="1"/>
  <c r="Q64" i="1"/>
  <c r="Q403" i="1"/>
  <c r="Q91" i="1"/>
  <c r="Q356" i="1"/>
  <c r="Q897" i="1"/>
  <c r="Q475" i="1"/>
  <c r="Q820" i="1"/>
  <c r="Q1550" i="1"/>
  <c r="Q1636" i="1"/>
  <c r="Q1521" i="1"/>
  <c r="Q1070" i="1"/>
  <c r="Q1234" i="1"/>
  <c r="Q1231" i="1"/>
  <c r="Q289" i="1"/>
  <c r="Q504" i="1"/>
  <c r="Q153" i="1"/>
  <c r="Q1035" i="1"/>
  <c r="Q1618" i="1"/>
  <c r="Q1027" i="1"/>
  <c r="Q1058" i="1"/>
  <c r="Q776" i="1"/>
  <c r="Q503" i="1"/>
  <c r="Q1111" i="1"/>
  <c r="Q264" i="1"/>
  <c r="Q1503" i="1"/>
  <c r="Q1434" i="1"/>
  <c r="Q755" i="1"/>
  <c r="Q768" i="1"/>
  <c r="Q187" i="1"/>
  <c r="Q512" i="1"/>
  <c r="Q59" i="1"/>
  <c r="Q60" i="1"/>
  <c r="Q573" i="1"/>
  <c r="Q1623" i="1"/>
  <c r="Q39" i="1"/>
  <c r="Q2035" i="1"/>
  <c r="Q1961" i="1"/>
  <c r="Q1208" i="1"/>
  <c r="Q203" i="1"/>
  <c r="Q1031" i="1"/>
  <c r="Q204" i="1"/>
  <c r="Q834" i="1"/>
  <c r="Q428" i="1"/>
  <c r="Q1944" i="1"/>
  <c r="Q2051" i="1"/>
  <c r="Q753" i="1"/>
  <c r="Q361" i="1"/>
  <c r="Q929" i="1"/>
  <c r="Q629" i="1"/>
  <c r="Q597" i="1"/>
  <c r="Q225" i="1"/>
  <c r="Q1605" i="1"/>
  <c r="Q1095" i="1"/>
  <c r="Q1023" i="1"/>
  <c r="Q1318" i="1"/>
  <c r="Q1535" i="1"/>
  <c r="Q2190" i="1"/>
  <c r="Q1069" i="1"/>
  <c r="Q1677" i="1"/>
  <c r="Q891" i="1"/>
  <c r="Q1207" i="1"/>
  <c r="Q108" i="1"/>
  <c r="Q220" i="1"/>
  <c r="Q109" i="1"/>
  <c r="Q110" i="1"/>
  <c r="Q1532" i="1"/>
  <c r="Q1533" i="1"/>
  <c r="Q1134" i="1"/>
  <c r="Q1352" i="1"/>
  <c r="Q179" i="1"/>
  <c r="Q749" i="1"/>
  <c r="Q1385" i="1"/>
  <c r="Q750" i="1"/>
  <c r="Q1788" i="1"/>
  <c r="Q2164" i="1"/>
  <c r="Q1614" i="1"/>
  <c r="Q1510" i="1"/>
  <c r="Q1021" i="1"/>
  <c r="Q94" i="1"/>
  <c r="Q1868" i="1"/>
  <c r="Q1734" i="1"/>
  <c r="Q116" i="1"/>
  <c r="Q433" i="1"/>
  <c r="Q434" i="1"/>
  <c r="Q1296" i="1"/>
  <c r="Q20" i="1"/>
  <c r="Q2203" i="1"/>
  <c r="Q1647" i="1"/>
  <c r="Q1066" i="1"/>
  <c r="Q1648" i="1"/>
  <c r="Q335" i="1"/>
  <c r="Q1458" i="1"/>
  <c r="Q307" i="1"/>
  <c r="Q952" i="1"/>
  <c r="Q81" i="1"/>
  <c r="Q461" i="1"/>
  <c r="Q1895" i="1"/>
  <c r="Q1806" i="1"/>
  <c r="Q82" i="1"/>
  <c r="Q2165" i="1"/>
  <c r="Q83" i="1"/>
  <c r="Q905" i="1"/>
  <c r="Q868" i="1"/>
  <c r="Q1700" i="1"/>
  <c r="Q1135" i="1"/>
  <c r="Q1166" i="1"/>
  <c r="Q371" i="1"/>
  <c r="Q65" i="1"/>
  <c r="Q27" i="1"/>
  <c r="Q2077" i="1"/>
  <c r="Q209" i="1"/>
  <c r="Q973" i="1"/>
  <c r="Q349" i="1"/>
  <c r="Q859" i="1"/>
  <c r="Q1391" i="1"/>
  <c r="Q1206" i="1"/>
  <c r="Q1028" i="1"/>
  <c r="Q1684" i="1"/>
  <c r="Q1589" i="1"/>
  <c r="Q801" i="1"/>
  <c r="Q1179" i="1"/>
  <c r="Q658" i="1"/>
  <c r="Q1387" i="1"/>
  <c r="Q341" i="1"/>
  <c r="Q1906" i="1"/>
  <c r="Q10" i="1"/>
  <c r="Q1808" i="1"/>
  <c r="Q1456" i="1"/>
  <c r="Q1363" i="1"/>
  <c r="Q158" i="1"/>
  <c r="Q1560" i="1"/>
  <c r="Q1809" i="1"/>
  <c r="Q222" i="1"/>
  <c r="Q713" i="1"/>
  <c r="Q244" i="1"/>
  <c r="Q714" i="1"/>
  <c r="Q715" i="1"/>
  <c r="Q84" i="1"/>
  <c r="Q2070" i="1"/>
  <c r="Q1914" i="1"/>
  <c r="Q77" i="1"/>
  <c r="Q1126" i="1"/>
  <c r="Q2046" i="1"/>
  <c r="Q106" i="1"/>
  <c r="Q2047" i="1"/>
  <c r="Q1586" i="1"/>
  <c r="Q1127" i="1"/>
  <c r="Q408" i="1"/>
  <c r="Q2178" i="1"/>
  <c r="Q1998" i="1"/>
  <c r="Q256" i="1"/>
  <c r="Q1909" i="1"/>
  <c r="Q48" i="1"/>
  <c r="Q634" i="1"/>
  <c r="Q1899" i="1"/>
  <c r="Q175" i="1"/>
  <c r="Q21" i="1"/>
  <c r="Q857" i="1"/>
  <c r="Q1724" i="1"/>
  <c r="Q1688" i="1"/>
  <c r="Q1882" i="1"/>
  <c r="Q1689" i="1"/>
  <c r="Q2217" i="1"/>
  <c r="Q847" i="1"/>
  <c r="Q1099" i="1"/>
  <c r="Q1237" i="1"/>
  <c r="Q1238" i="1"/>
  <c r="Q1374" i="1"/>
  <c r="Q1672" i="1"/>
  <c r="Q415" i="1"/>
  <c r="Q1449" i="1"/>
  <c r="Q357" i="1"/>
  <c r="Q1941" i="1"/>
  <c r="Q959" i="1"/>
  <c r="Q317" i="1"/>
  <c r="Q1461" i="1"/>
  <c r="Q1217" i="1"/>
  <c r="Q406" i="1"/>
  <c r="Q822" i="1"/>
  <c r="Q4" i="1"/>
  <c r="Q213" i="1"/>
  <c r="Q1267" i="1"/>
  <c r="Q1922" i="1"/>
  <c r="Q1473" i="1"/>
  <c r="Q1923" i="1"/>
  <c r="Q1358" i="1"/>
  <c r="Q620" i="1"/>
  <c r="Q661" i="1"/>
  <c r="Q1153" i="1"/>
  <c r="Q490" i="1"/>
  <c r="Q506" i="1"/>
  <c r="Q1416" i="1"/>
  <c r="Q831" i="1"/>
  <c r="Q1120" i="1"/>
  <c r="Q832" i="1"/>
  <c r="Q1285" i="1"/>
  <c r="Q875" i="1"/>
  <c r="Q570" i="1"/>
  <c r="Q496" i="1"/>
  <c r="Q1635" i="1"/>
  <c r="Q615" i="1"/>
  <c r="Q303" i="1"/>
  <c r="Q1119" i="1"/>
  <c r="Q144" i="1"/>
  <c r="Q580" i="1"/>
  <c r="Q449" i="1"/>
  <c r="Q1587" i="1"/>
  <c r="Q1554" i="1"/>
  <c r="Q1588" i="1"/>
  <c r="Q294" i="1"/>
  <c r="Q182" i="1"/>
  <c r="Q839" i="1"/>
  <c r="Q1496" i="1"/>
  <c r="Q1530" i="1"/>
  <c r="Q797" i="1"/>
  <c r="Q958" i="1"/>
  <c r="Q338" i="1"/>
  <c r="Q34" i="1"/>
  <c r="Q1426" i="1"/>
  <c r="Q1248" i="1"/>
  <c r="Q1369" i="1"/>
  <c r="Q592" i="1"/>
  <c r="Q1907" i="1"/>
  <c r="Q873" i="1"/>
  <c r="Q2096" i="1"/>
  <c r="Q718" i="1"/>
  <c r="Q923" i="1"/>
  <c r="Q754" i="1"/>
  <c r="Q1797" i="1"/>
  <c r="Q700" i="1"/>
  <c r="Q851" i="1"/>
  <c r="Q1230" i="1"/>
  <c r="Q2195" i="1"/>
  <c r="Q1886" i="1"/>
  <c r="Q1887" i="1"/>
  <c r="Q1596" i="1"/>
  <c r="Q1992" i="1"/>
  <c r="Q1597" i="1"/>
  <c r="Q1431" i="1"/>
  <c r="Q373" i="1"/>
  <c r="Q928" i="1"/>
  <c r="Q1653" i="1"/>
  <c r="Q2015" i="1"/>
  <c r="Q1466" i="1"/>
  <c r="Q2038" i="1"/>
  <c r="Q1467" i="1"/>
  <c r="Q1036" i="1"/>
  <c r="Q2132" i="1"/>
  <c r="Q673" i="1"/>
  <c r="Q739" i="1"/>
  <c r="Q514" i="1"/>
  <c r="Q1457" i="1"/>
  <c r="Q2153" i="1"/>
  <c r="Q1789" i="1"/>
  <c r="Q2186" i="1"/>
  <c r="Q821" i="1"/>
  <c r="Q1468" i="1"/>
  <c r="Q1326" i="1"/>
  <c r="Q1558" i="1"/>
  <c r="Q1718" i="1"/>
  <c r="Q2081" i="1"/>
  <c r="Q6" i="1"/>
  <c r="Q1857" i="1"/>
  <c r="Q353" i="1"/>
  <c r="Q1858" i="1"/>
  <c r="Q1829" i="1"/>
  <c r="Q1950" i="1"/>
  <c r="Q924" i="1"/>
  <c r="Q410" i="1"/>
  <c r="Q800" i="1"/>
  <c r="Q272" i="1"/>
  <c r="Q2180" i="1"/>
  <c r="Q1002" i="1"/>
  <c r="Q562" i="1"/>
  <c r="Q1759" i="1"/>
  <c r="Q354" i="1"/>
  <c r="Q355" i="1"/>
  <c r="Q1996" i="1"/>
  <c r="Q1663" i="1"/>
  <c r="Q614" i="1"/>
  <c r="Q1843" i="1"/>
  <c r="Q1344" i="1"/>
  <c r="Q1674" i="1"/>
  <c r="Q1442" i="1"/>
  <c r="Q1178" i="1"/>
  <c r="Q17" i="1"/>
  <c r="Q689" i="1"/>
  <c r="Q18" i="1"/>
  <c r="Q1778" i="1"/>
  <c r="Q126" i="1"/>
  <c r="Q962" i="1"/>
  <c r="Q485" i="1"/>
  <c r="Q197" i="1"/>
  <c r="Q904" i="1"/>
  <c r="Q889" i="1"/>
  <c r="Q375" i="1"/>
  <c r="Q1005" i="1"/>
  <c r="Q163" i="1"/>
  <c r="Q1611" i="1"/>
  <c r="Q181" i="1"/>
  <c r="Q2175" i="1"/>
  <c r="Q73" i="1"/>
  <c r="Q401" i="1"/>
  <c r="Q1988" i="1"/>
  <c r="Q622" i="1"/>
  <c r="Q1421" i="1"/>
  <c r="Q298" i="1"/>
  <c r="Q1348" i="1"/>
  <c r="Q50" i="1"/>
  <c r="Q1301" i="1"/>
  <c r="Q1302" i="1"/>
  <c r="Q35" i="1"/>
  <c r="Q315" i="1"/>
  <c r="Q270" i="1"/>
  <c r="Q271" i="1"/>
  <c r="Q1847" i="1"/>
  <c r="Q1459" i="1"/>
  <c r="Q544" i="1"/>
  <c r="Q1743" i="1"/>
  <c r="Q2089" i="1"/>
  <c r="Q1128" i="1"/>
  <c r="Q1744" i="1"/>
  <c r="Q2090" i="1"/>
  <c r="Q1620" i="1"/>
  <c r="Q521" i="1"/>
  <c r="Q990" i="1"/>
  <c r="Q2128" i="1"/>
  <c r="Q511" i="1"/>
  <c r="Q787" i="1"/>
  <c r="Q445" i="1"/>
  <c r="Q1121" i="1"/>
  <c r="Q763" i="1"/>
  <c r="Q498" i="1"/>
  <c r="Q1288" i="1"/>
  <c r="Q458" i="1"/>
  <c r="Q1011" i="1"/>
  <c r="Q946" i="1"/>
  <c r="Q532" i="1"/>
  <c r="Q2110" i="1"/>
  <c r="Q2111" i="1"/>
  <c r="Q452" i="1"/>
  <c r="Q947" i="1"/>
  <c r="Q2112" i="1"/>
  <c r="Q1233" i="1"/>
  <c r="Q1338" i="1"/>
  <c r="Q255" i="1"/>
  <c r="Q1661" i="1"/>
  <c r="Q1490" i="1"/>
  <c r="Q1956" i="1"/>
  <c r="Q399" i="1"/>
  <c r="Q1491" i="1"/>
  <c r="Q1492" i="1"/>
  <c r="Q367" i="1"/>
  <c r="Q420" i="1"/>
  <c r="Q979" i="1"/>
  <c r="Q1512" i="1"/>
  <c r="Q421" i="1"/>
  <c r="Q1850" i="1"/>
  <c r="Q416" i="1"/>
  <c r="Q2045" i="1"/>
  <c r="Q1699" i="1"/>
  <c r="Q1136" i="1"/>
  <c r="Q1438" i="1"/>
  <c r="Q1433" i="1"/>
  <c r="Q1493" i="1"/>
  <c r="Q1176" i="1"/>
  <c r="Q1104" i="1"/>
  <c r="Q1494" i="1"/>
  <c r="Q1064" i="1"/>
  <c r="Q1989" i="1"/>
  <c r="Q1958" i="1"/>
  <c r="Q1060" i="1"/>
  <c r="Q1768" i="1"/>
  <c r="Q2142" i="1"/>
  <c r="Q123" i="1"/>
  <c r="Q1930" i="1"/>
  <c r="Q712" i="1"/>
  <c r="Q1783" i="1"/>
  <c r="Q2097" i="1"/>
  <c r="Q798" i="1"/>
  <c r="Q695" i="1"/>
  <c r="Q2205" i="1"/>
  <c r="Q1739" i="1"/>
  <c r="Q465" i="1"/>
  <c r="Q169" i="1"/>
  <c r="Q469" i="1"/>
  <c r="Q931" i="1"/>
  <c r="Q1077" i="1"/>
  <c r="Q1029" i="1"/>
  <c r="Q1361" i="1"/>
  <c r="Q1621" i="1"/>
  <c r="Q1084" i="1"/>
  <c r="Q1632" i="1"/>
  <c r="Q334" i="1"/>
  <c r="Q1169" i="1"/>
  <c r="Q1194" i="1"/>
  <c r="Q1195" i="1"/>
  <c r="Q1600" i="1"/>
  <c r="Q779" i="1"/>
  <c r="Q1591" i="1"/>
  <c r="Q339" i="1"/>
  <c r="Q1354" i="1"/>
  <c r="Q2166" i="1"/>
  <c r="Q1804" i="1"/>
  <c r="Q1696" i="1"/>
  <c r="Q1173" i="1"/>
  <c r="Q287" i="1"/>
  <c r="Q495" i="1"/>
  <c r="Q1087" i="1"/>
  <c r="Q901" i="1"/>
  <c r="Q2083" i="1"/>
  <c r="Q1088" i="1"/>
  <c r="Q1495" i="1"/>
  <c r="Q348" i="1"/>
  <c r="Q588" i="1"/>
  <c r="Q1915" i="1"/>
  <c r="Q830" i="1"/>
  <c r="Q1022" i="1"/>
  <c r="Q1807" i="1"/>
  <c r="Q697" i="1"/>
  <c r="Q1292" i="1"/>
  <c r="Q3" i="1"/>
  <c r="Q1382" i="1"/>
  <c r="Q2179" i="1"/>
  <c r="Q1312" i="1"/>
  <c r="Q625" i="1"/>
  <c r="Q902" i="1"/>
  <c r="Q732" i="1"/>
  <c r="Q1679" i="1"/>
  <c r="Q1004" i="1"/>
  <c r="Q1701" i="1"/>
  <c r="Q1223" i="1"/>
  <c r="Q71" i="1"/>
  <c r="Q819" i="1"/>
  <c r="Q683" i="1"/>
  <c r="Q2140" i="1"/>
  <c r="Q1465" i="1"/>
  <c r="Q32" i="1"/>
  <c r="Q2036" i="1"/>
  <c r="Q2037" i="1"/>
  <c r="Q582" i="1"/>
  <c r="Q432" i="1"/>
  <c r="Q1137" i="1"/>
  <c r="Q488" i="1"/>
  <c r="Q1762" i="1"/>
  <c r="Q746" i="1"/>
  <c r="Q584" i="1"/>
  <c r="Q1892" i="1"/>
  <c r="Q1409" i="1"/>
  <c r="Q1221" i="1"/>
  <c r="Q548" i="1"/>
  <c r="Q1410" i="1"/>
  <c r="Q2130" i="1"/>
  <c r="Q549" i="1"/>
  <c r="Q547" i="1"/>
  <c r="Q895" i="1"/>
  <c r="Q1565" i="1"/>
  <c r="Q2147" i="1"/>
  <c r="Q1947" i="1"/>
  <c r="Q866" i="1"/>
  <c r="Q2114" i="1"/>
  <c r="Q1399" i="1"/>
  <c r="Q1475" i="1"/>
  <c r="Q293" i="1"/>
  <c r="Q202" i="1"/>
  <c r="Q696" i="1"/>
  <c r="Q232" i="1"/>
  <c r="Q1669" i="1"/>
  <c r="Q429" i="1"/>
  <c r="Q430" i="1"/>
  <c r="Q1670" i="1"/>
  <c r="Q1427" i="1"/>
  <c r="Q1428" i="1"/>
  <c r="Q568" i="1"/>
  <c r="Q350" i="1"/>
  <c r="Q2206" i="1"/>
  <c r="Q1131" i="1"/>
  <c r="Q1727" i="1"/>
  <c r="Q965" i="1"/>
  <c r="Q2006" i="1"/>
  <c r="Q180" i="1"/>
  <c r="Q2014" i="1"/>
  <c r="Q1072" i="1"/>
  <c r="Q2218" i="1"/>
  <c r="Q594" i="1"/>
  <c r="Q1819" i="1"/>
  <c r="Q156" i="1"/>
  <c r="Q1376" i="1"/>
  <c r="Q856" i="1"/>
  <c r="Q99" i="1"/>
  <c r="Q892" i="1"/>
  <c r="Q1770" i="1"/>
  <c r="Q2121" i="1"/>
  <c r="Q1649" i="1"/>
  <c r="Q969" i="1"/>
  <c r="Q78" i="1"/>
  <c r="Q1546" i="1"/>
  <c r="Q1397" i="1"/>
  <c r="Q948" i="1"/>
  <c r="Q836" i="1"/>
  <c r="Q377" i="1"/>
  <c r="Q2172" i="1"/>
  <c r="Q1460" i="1"/>
  <c r="Q1686" i="1"/>
  <c r="Q1687" i="1"/>
  <c r="Q2127" i="1"/>
  <c r="Q1840" i="1"/>
  <c r="Q1841" i="1"/>
  <c r="Q745" i="1"/>
  <c r="Q1454" i="1"/>
  <c r="Q1082" i="1"/>
  <c r="Q1994" i="1"/>
  <c r="Q2064" i="1"/>
  <c r="Q1109" i="1"/>
  <c r="Q2118" i="1"/>
  <c r="Q2119" i="1"/>
  <c r="Q2120" i="1"/>
  <c r="Q2201" i="1"/>
  <c r="Q1705" i="1"/>
  <c r="Q1834" i="1"/>
  <c r="Q1835" i="1"/>
  <c r="Q953" i="1"/>
  <c r="Q1432" i="1"/>
  <c r="Q2060" i="1"/>
  <c r="Q2017" i="1"/>
  <c r="Q991" i="1"/>
  <c r="Q2061" i="1"/>
  <c r="Q881" i="1"/>
  <c r="Q674" i="1"/>
  <c r="Q842" i="1"/>
  <c r="Q1966" i="1"/>
  <c r="Q2169" i="1"/>
  <c r="Q246" i="1"/>
  <c r="Q166" i="1"/>
  <c r="Q1324" i="1"/>
  <c r="Q1609" i="1"/>
  <c r="Q1482" i="1"/>
  <c r="Q1539" i="1"/>
  <c r="Q358" i="1"/>
  <c r="Q230" i="1"/>
  <c r="Q1873" i="1"/>
  <c r="Q1505" i="1"/>
  <c r="Q2087" i="1"/>
  <c r="Q111" i="1"/>
  <c r="Q806" i="1"/>
  <c r="Q1323" i="1"/>
  <c r="Q262" i="1"/>
  <c r="Q66" i="1"/>
  <c r="Q394" i="1"/>
  <c r="Q1275" i="1"/>
  <c r="Q1356" i="1"/>
  <c r="Q550" i="1"/>
  <c r="Q1910" i="1"/>
  <c r="Q29" i="1"/>
  <c r="Q994" i="1"/>
  <c r="Q1205" i="1"/>
  <c r="Q2109" i="1"/>
  <c r="Q1896" i="1"/>
  <c r="Q939" i="1"/>
  <c r="Q1125" i="1"/>
  <c r="Q1439" i="1"/>
  <c r="Q1106" i="1"/>
  <c r="Q796" i="1"/>
  <c r="Q2210" i="1"/>
  <c r="Q53" i="1"/>
  <c r="Q1555" i="1"/>
  <c r="Q960" i="1"/>
  <c r="Q302" i="1"/>
  <c r="Q2168" i="1"/>
  <c r="Q328" i="1"/>
  <c r="Q1794" i="1"/>
  <c r="Q1795" i="1"/>
  <c r="Q1972" i="1"/>
  <c r="Q610" i="1"/>
  <c r="Q950" i="1"/>
  <c r="Q1798" i="1"/>
  <c r="Q1758" i="1"/>
  <c r="Q2184" i="1"/>
  <c r="Q1276" i="1"/>
  <c r="Q12" i="1"/>
  <c r="Q471" i="1"/>
  <c r="Q2207" i="1"/>
  <c r="Q1199" i="1"/>
  <c r="Q707" i="1"/>
  <c r="Q1078" i="1"/>
  <c r="Q1079" i="1"/>
  <c r="Q849" i="1"/>
  <c r="Q1075" i="1"/>
  <c r="Q844" i="1"/>
  <c r="Q1488" i="1"/>
  <c r="Q1978" i="1"/>
  <c r="Q630" i="1"/>
  <c r="Q313" i="1"/>
  <c r="Q1388" i="1"/>
  <c r="Q977" i="1"/>
  <c r="Q2088" i="1"/>
  <c r="Q414" i="1"/>
  <c r="Q1277" i="1"/>
  <c r="Q721" i="1"/>
  <c r="Q382" i="1"/>
  <c r="Q987" i="1"/>
  <c r="Q127" i="1"/>
  <c r="Q2043" i="1"/>
  <c r="Q128" i="1"/>
  <c r="Q1573" i="1"/>
  <c r="Q998" i="1"/>
  <c r="Q1574" i="1"/>
  <c r="Q936" i="1"/>
  <c r="Q678" i="1"/>
  <c r="Q679" i="1"/>
  <c r="Q999" i="1"/>
  <c r="Q914" i="1"/>
  <c r="Q1224" i="1"/>
  <c r="Q1790" i="1"/>
  <c r="Q537" i="1"/>
  <c r="Q2005" i="1"/>
  <c r="Q1373" i="1"/>
  <c r="Q882" i="1"/>
  <c r="Q1889" i="1"/>
  <c r="Q141" i="1"/>
  <c r="Q1024" i="1"/>
  <c r="Q1260" i="1"/>
  <c r="Q425" i="1"/>
  <c r="Q2010" i="1"/>
  <c r="Q1616" i="1"/>
  <c r="Q585" i="1"/>
  <c r="Q898" i="1"/>
  <c r="Q667" i="1"/>
  <c r="Q1259" i="1"/>
  <c r="Q517" i="1"/>
  <c r="Q980" i="1"/>
  <c r="Q2199" i="1"/>
  <c r="Q1667" i="1"/>
  <c r="Q438" i="1"/>
  <c r="Q1668" i="1"/>
  <c r="Q680" i="1"/>
  <c r="Q1820" i="1"/>
  <c r="Q2157" i="1"/>
  <c r="Q87" i="1"/>
  <c r="Q716" i="1"/>
  <c r="Q717" i="1"/>
  <c r="Q1913" i="1"/>
  <c r="Q559" i="1"/>
  <c r="Q2113" i="1"/>
  <c r="Q1309" i="1"/>
  <c r="Q2103" i="1"/>
  <c r="Q195" i="1"/>
  <c r="Q583" i="1"/>
  <c r="Q2208" i="1"/>
  <c r="Q2173" i="1"/>
  <c r="Q1047" i="1"/>
  <c r="Q1215" i="1"/>
  <c r="Q530" i="1"/>
  <c r="Q1436" i="1"/>
  <c r="Q1810" i="1"/>
  <c r="Q531" i="1"/>
  <c r="Q405" i="1"/>
  <c r="Q2126" i="1"/>
  <c r="Q1071" i="1"/>
  <c r="Q1052" i="1"/>
  <c r="Q154" i="1"/>
  <c r="Q1258" i="1"/>
  <c r="Q536" i="1"/>
  <c r="Q1102" i="1"/>
  <c r="Q142" i="1"/>
  <c r="Q143" i="1"/>
  <c r="Q486" i="1"/>
  <c r="Q644" i="1"/>
  <c r="Q1926" i="1"/>
  <c r="Q1040" i="1"/>
  <c r="Q734" i="1"/>
  <c r="Q554" i="1"/>
  <c r="Q1720" i="1"/>
  <c r="Q2134" i="1"/>
  <c r="Q1514" i="1"/>
  <c r="Q1735" i="1"/>
  <c r="Q1515" i="1"/>
  <c r="Q2041" i="1"/>
  <c r="Q1252" i="1"/>
  <c r="Q1085" i="1"/>
  <c r="Q5" i="1"/>
  <c r="Q731" i="1"/>
  <c r="Q441" i="1"/>
  <c r="Q1984" i="1"/>
  <c r="Q138" i="1"/>
  <c r="Q1779" i="1"/>
  <c r="Q1451" i="1"/>
  <c r="Q183" i="1"/>
  <c r="Q949" i="1"/>
  <c r="Q170" i="1"/>
  <c r="Q1265" i="1"/>
  <c r="Q665" i="1"/>
  <c r="Q1408" i="1"/>
  <c r="Q2085" i="1"/>
  <c r="Q1395" i="1"/>
  <c r="Q1396" i="1"/>
  <c r="Q417" i="1"/>
  <c r="Q274" i="1"/>
  <c r="Q2086" i="1"/>
  <c r="Q2001" i="1"/>
  <c r="Q1219" i="1"/>
  <c r="Q1883" i="1"/>
  <c r="Q1240" i="1"/>
  <c r="Q419" i="1"/>
  <c r="Q957" i="1"/>
  <c r="Q2002" i="1"/>
  <c r="Q1816" i="1"/>
  <c r="Q159" i="1"/>
  <c r="Q1114" i="1"/>
  <c r="Q1115" i="1"/>
  <c r="Q252" i="1"/>
  <c r="Q777" i="1"/>
  <c r="Q838" i="1"/>
  <c r="Q1293" i="1"/>
  <c r="Q2042" i="1"/>
  <c r="Q1247" i="1"/>
  <c r="Q995" i="1"/>
  <c r="Q853" i="1"/>
  <c r="Q33" i="1"/>
  <c r="Q24" i="1"/>
  <c r="Q848" i="1"/>
  <c r="Q1211" i="1"/>
  <c r="Q1959" i="1"/>
  <c r="Q1212" i="1"/>
  <c r="Q1213" i="1"/>
  <c r="Q1146" i="1"/>
  <c r="Q1825" i="1"/>
  <c r="Q727" i="1"/>
  <c r="Q1646" i="1"/>
  <c r="Q426" i="1"/>
  <c r="Q728" i="1"/>
  <c r="Q1561" i="1"/>
  <c r="Q474" i="1"/>
  <c r="Q1640" i="1"/>
  <c r="Q1073" i="1"/>
  <c r="Q515" i="1"/>
  <c r="Q192" i="1"/>
  <c r="Q686" i="1"/>
  <c r="Q327" i="1"/>
  <c r="Q193" i="1"/>
  <c r="Q1485" i="1"/>
  <c r="Q1811" i="1"/>
  <c r="Q1355" i="1"/>
  <c r="Q1750" i="1"/>
  <c r="Q1940" i="1"/>
  <c r="Q1371" i="1"/>
  <c r="Q1871" i="1"/>
  <c r="Q319" i="1"/>
  <c r="Q1502" i="1"/>
  <c r="Q1731" i="1"/>
  <c r="Q1336" i="1"/>
  <c r="Q190" i="1"/>
  <c r="Q816" i="1"/>
  <c r="Q2135" i="1"/>
  <c r="Q1472" i="1"/>
  <c r="Q2161" i="1"/>
  <c r="Q122" i="1"/>
  <c r="Q2162" i="1"/>
  <c r="Q813" i="1"/>
  <c r="Q835" i="1"/>
  <c r="Q2078" i="1"/>
  <c r="Q456" i="1"/>
  <c r="Q1341" i="1"/>
  <c r="Q725" i="1"/>
  <c r="Q726" i="1"/>
  <c r="Q477" i="1"/>
  <c r="Q2019" i="1"/>
  <c r="Q478" i="1"/>
  <c r="Q1140" i="1"/>
  <c r="Q1571" i="1"/>
  <c r="Q1529" i="1"/>
  <c r="Q1141" i="1"/>
  <c r="Q1572" i="1"/>
  <c r="Q336" i="1"/>
  <c r="Q2191" i="1"/>
  <c r="Q1105" i="1"/>
  <c r="Q566" i="1"/>
  <c r="Q747" i="1"/>
  <c r="Q748" i="1"/>
  <c r="Q1826" i="1"/>
  <c r="Q482" i="1"/>
  <c r="Q793" i="1"/>
  <c r="Q157" i="1"/>
  <c r="Q245" i="1"/>
  <c r="Q735" i="1"/>
  <c r="Q520" i="1"/>
  <c r="Q306" i="1"/>
  <c r="Q340" i="1"/>
  <c r="Q985" i="1"/>
  <c r="Q884" i="1"/>
  <c r="Q46" i="1"/>
  <c r="Q885" i="1"/>
  <c r="Q964" i="1"/>
  <c r="Q605" i="1"/>
  <c r="Q606" i="1"/>
  <c r="Q1842" i="1"/>
  <c r="Q120" i="1"/>
  <c r="Q236" i="1"/>
  <c r="Q1055" i="1"/>
  <c r="Q217" i="1"/>
  <c r="Q62" i="1"/>
  <c r="Q161" i="1"/>
  <c r="Q1942" i="1"/>
  <c r="Q523" i="1"/>
  <c r="Q1943" i="1"/>
  <c r="Q124" i="1"/>
  <c r="Q1444" i="1"/>
  <c r="Q922" i="1"/>
  <c r="Q460" i="1"/>
  <c r="Q473" i="1"/>
  <c r="Q435" i="1"/>
  <c r="Q1191" i="1"/>
  <c r="Q1578" i="1"/>
  <c r="Q878" i="1"/>
  <c r="Q1422" i="1"/>
  <c r="Q1925" i="1"/>
  <c r="Q2196" i="1"/>
  <c r="Q1964" i="1"/>
  <c r="Q121" i="1"/>
  <c r="Q1043" i="1"/>
  <c r="Q1965" i="1"/>
  <c r="Q2171" i="1"/>
  <c r="Q145" i="1"/>
  <c r="Q526" i="1"/>
  <c r="Q1357" i="1"/>
  <c r="Q51" i="1"/>
  <c r="Q240" i="1"/>
  <c r="Q1019" i="1"/>
  <c r="Q1020" i="1"/>
  <c r="Q1547" i="1"/>
  <c r="Q1693" i="1"/>
  <c r="Q194" i="1"/>
  <c r="Q771" i="1"/>
  <c r="Q1368" i="1"/>
  <c r="Q1321" i="1"/>
  <c r="Q603" i="1"/>
  <c r="Q68" i="1"/>
  <c r="Q69" i="1"/>
  <c r="Q2143" i="1"/>
  <c r="Q1322" i="1"/>
  <c r="Q70" i="1"/>
  <c r="Q1579" i="1"/>
  <c r="Q596" i="1"/>
  <c r="Q352" i="1"/>
  <c r="Q1592" i="1"/>
  <c r="Q690" i="1"/>
  <c r="Q1203" i="1"/>
  <c r="Q263" i="1"/>
  <c r="Q1712" i="1"/>
  <c r="Q1979" i="1"/>
  <c r="Q867" i="1"/>
  <c r="Q1980" i="1"/>
  <c r="Q711" i="1"/>
  <c r="Q1963" i="1"/>
  <c r="Q1462" i="1"/>
  <c r="Q1112" i="1"/>
  <c r="Q938" i="1"/>
  <c r="Q1242" i="1"/>
  <c r="Q607" i="1"/>
  <c r="Q627" i="1"/>
  <c r="Q1955" i="1"/>
  <c r="Q1706" i="1"/>
  <c r="Q1163" i="1"/>
  <c r="Q1164" i="1"/>
  <c r="Q1694" i="1"/>
  <c r="Q1603" i="1"/>
  <c r="Q1671" i="1"/>
  <c r="Q2027" i="1"/>
  <c r="Q581" i="1"/>
  <c r="Q899" i="1"/>
  <c r="Q344" i="1"/>
  <c r="Q2018" i="1"/>
  <c r="Q1083" i="1"/>
  <c r="Q1567" i="1"/>
  <c r="Q2068" i="1"/>
  <c r="Q662" i="1"/>
  <c r="Q709" i="1"/>
  <c r="Q14" i="1"/>
  <c r="Q1568" i="1"/>
  <c r="Q571" i="1"/>
  <c r="Q1569" i="1"/>
  <c r="Q2158" i="1"/>
  <c r="Q751" i="1"/>
  <c r="Q1991" i="1"/>
  <c r="Q1423" i="1"/>
  <c r="Q752" i="1"/>
  <c r="Q1096" i="1"/>
  <c r="Q2177" i="1"/>
  <c r="Q811" i="1"/>
  <c r="Q572" i="1"/>
  <c r="Q1524" i="1"/>
  <c r="Q1916" i="1"/>
  <c r="Q539" i="1"/>
  <c r="Q1366" i="1"/>
  <c r="Q1854" i="1"/>
  <c r="Q326" i="1"/>
  <c r="Q1898" i="1"/>
  <c r="Q1398" i="1"/>
  <c r="Q558" i="1"/>
  <c r="Q2202" i="1"/>
  <c r="Q1855" i="1"/>
  <c r="Q231" i="1"/>
  <c r="Q1761" i="1"/>
  <c r="Q818" i="1"/>
  <c r="Q342" i="1"/>
  <c r="Q1869" i="1"/>
  <c r="Q1993" i="1"/>
  <c r="Q369" i="1"/>
  <c r="Q1525" i="1"/>
  <c r="Q1903" i="1"/>
  <c r="Q277" i="1"/>
  <c r="Q826" i="1"/>
  <c r="Q827" i="1"/>
  <c r="Q694" i="1"/>
  <c r="Q932" i="1"/>
  <c r="Q972" i="1"/>
  <c r="Q1654" i="1"/>
  <c r="Q1655" i="1"/>
  <c r="Q1250" i="1"/>
  <c r="Q227" i="1"/>
  <c r="Q189" i="1"/>
  <c r="Q1665" i="1"/>
  <c r="Q2194" i="1"/>
  <c r="Q267" i="1"/>
  <c r="Q1008" i="1"/>
  <c r="Q1327" i="1"/>
  <c r="Q791" i="1"/>
  <c r="Q1516" i="1"/>
  <c r="Q1171" i="1"/>
  <c r="Q155" i="1"/>
  <c r="Q1771" i="1"/>
  <c r="Q1477" i="1"/>
  <c r="Q1282" i="1"/>
  <c r="Q1189" i="1"/>
  <c r="Q58" i="1"/>
  <c r="Q1283" i="1"/>
  <c r="Q1284" i="1"/>
  <c r="Q810" i="1"/>
  <c r="Q1805" i="1"/>
  <c r="Q1828" i="1"/>
  <c r="Q1051" i="1"/>
  <c r="Q1424" i="1"/>
  <c r="Q1425" i="1"/>
  <c r="Q305" i="1"/>
  <c r="Q1935" i="1"/>
  <c r="Q744" i="1"/>
  <c r="Q1056" i="1"/>
  <c r="Q1093" i="1"/>
  <c r="Q1751" i="1"/>
  <c r="Q1184" i="1"/>
  <c r="Q611" i="1"/>
  <c r="Q2154" i="1"/>
  <c r="Q1608" i="1"/>
  <c r="Q409" i="1"/>
  <c r="Q784" i="1"/>
  <c r="Q576" i="1"/>
  <c r="Q675" i="1"/>
  <c r="Q577" i="1"/>
  <c r="Q578" i="1"/>
  <c r="Q235" i="1"/>
  <c r="Q770" i="1"/>
  <c r="Q812" i="1"/>
  <c r="Q545" i="1"/>
  <c r="Q546" i="1"/>
  <c r="Q743" i="1"/>
  <c r="Q243" i="1"/>
  <c r="Q1599" i="1"/>
  <c r="Q2192" i="1"/>
  <c r="Q212" i="1"/>
  <c r="Q76" i="1"/>
  <c r="Q1723" i="1"/>
  <c r="Q1504" i="1"/>
  <c r="Q241" i="1"/>
  <c r="Q1053" i="1"/>
  <c r="Q1604" i="1"/>
  <c r="Q2004" i="1"/>
  <c r="Q555" i="1"/>
  <c r="Q1917" i="1"/>
  <c r="Q1364" i="1"/>
  <c r="Q1864" i="1"/>
  <c r="Q1613" i="1"/>
  <c r="Q944" i="1"/>
  <c r="Q2050" i="1"/>
  <c r="Q1905" i="1"/>
  <c r="Q1181" i="1"/>
  <c r="Q698" i="1"/>
  <c r="Q740" i="1"/>
  <c r="Q741" i="1"/>
  <c r="Q1062" i="1"/>
  <c r="Q331" i="1"/>
  <c r="Q1763" i="1"/>
  <c r="Q1908" i="1"/>
  <c r="Q2200" i="1"/>
  <c r="Q135" i="1"/>
  <c r="Q2204" i="1"/>
  <c r="Q378" i="1"/>
  <c r="Q1089" i="1"/>
  <c r="Q1000" i="1"/>
  <c r="O2" i="1" a="1"/>
  <c r="O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s="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s="1"/>
  <c r="O629" i="1" a="1"/>
  <c r="O629" i="1" s="1"/>
  <c r="O630" i="1" a="1"/>
  <c r="O630" i="1" s="1"/>
  <c r="O631" i="1" a="1"/>
  <c r="O631" i="1" s="1"/>
  <c r="O632" i="1" a="1"/>
  <c r="O632" i="1" s="1"/>
  <c r="O633" i="1" a="1"/>
  <c r="O633" i="1" s="1"/>
  <c r="O634" i="1" a="1"/>
  <c r="O634" i="1" s="1"/>
  <c r="O635" i="1" a="1"/>
  <c r="O635" i="1" s="1"/>
  <c r="O636" i="1" a="1"/>
  <c r="O636" i="1" s="1"/>
  <c r="O637" i="1" a="1"/>
  <c r="O637" i="1" s="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s="1"/>
  <c r="O684" i="1" a="1"/>
  <c r="O684" i="1" s="1"/>
  <c r="O685" i="1" a="1"/>
  <c r="O685" i="1" s="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s="1"/>
  <c r="O700" i="1" a="1"/>
  <c r="O700" i="1" s="1"/>
  <c r="O701" i="1" a="1"/>
  <c r="O701" i="1" s="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s="1"/>
  <c r="O729" i="1" a="1"/>
  <c r="O729" i="1" s="1"/>
  <c r="O730" i="1" a="1"/>
  <c r="O730" i="1" s="1"/>
  <c r="O731" i="1" a="1"/>
  <c r="O731" i="1" s="1"/>
  <c r="O732" i="1" a="1"/>
  <c r="O732" i="1" s="1"/>
  <c r="O733" i="1" a="1"/>
  <c r="O733" i="1" s="1"/>
  <c r="O734" i="1" a="1"/>
  <c r="O734" i="1" s="1"/>
  <c r="O735" i="1" a="1"/>
  <c r="O735" i="1" s="1"/>
  <c r="O736" i="1" a="1"/>
  <c r="O736" i="1" s="1"/>
  <c r="O737" i="1" a="1"/>
  <c r="O737" i="1" s="1"/>
  <c r="O738" i="1" a="1"/>
  <c r="O738" i="1" s="1"/>
  <c r="O739" i="1" a="1"/>
  <c r="O739" i="1" s="1"/>
  <c r="O740" i="1" a="1"/>
  <c r="O740" i="1" s="1"/>
  <c r="O741" i="1" a="1"/>
  <c r="O741" i="1" s="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s="1"/>
  <c r="O754" i="1" a="1"/>
  <c r="O754" i="1" s="1"/>
  <c r="O755" i="1" a="1"/>
  <c r="O755" i="1" s="1"/>
  <c r="O756" i="1" a="1"/>
  <c r="O756" i="1" s="1"/>
  <c r="O757" i="1" a="1"/>
  <c r="O757" i="1" s="1"/>
  <c r="O758" i="1" a="1"/>
  <c r="O758" i="1" s="1"/>
  <c r="O759" i="1" a="1"/>
  <c r="O759" i="1" s="1"/>
  <c r="O760" i="1" a="1"/>
  <c r="O760" i="1" s="1"/>
  <c r="O761" i="1" a="1"/>
  <c r="O761" i="1" s="1"/>
  <c r="O762" i="1" a="1"/>
  <c r="O762" i="1" s="1"/>
  <c r="O763" i="1" a="1"/>
  <c r="O763" i="1" s="1"/>
  <c r="O764" i="1" a="1"/>
  <c r="O764" i="1" s="1"/>
  <c r="O765" i="1" a="1"/>
  <c r="O765" i="1" s="1"/>
  <c r="O766" i="1" a="1"/>
  <c r="O766" i="1" s="1"/>
  <c r="O767" i="1" a="1"/>
  <c r="O767" i="1" s="1"/>
  <c r="O768" i="1" a="1"/>
  <c r="O768" i="1" s="1"/>
  <c r="O769" i="1" a="1"/>
  <c r="O769" i="1" s="1"/>
  <c r="O770" i="1" a="1"/>
  <c r="O770" i="1" s="1"/>
  <c r="O771" i="1" a="1"/>
  <c r="O771" i="1" s="1"/>
  <c r="O772" i="1" a="1"/>
  <c r="O772" i="1" s="1"/>
  <c r="O773" i="1" a="1"/>
  <c r="O773" i="1" s="1"/>
  <c r="O774" i="1" a="1"/>
  <c r="O774" i="1" s="1"/>
  <c r="O775" i="1" a="1"/>
  <c r="O775" i="1" s="1"/>
  <c r="O776" i="1" a="1"/>
  <c r="O776" i="1" s="1"/>
  <c r="O777" i="1" a="1"/>
  <c r="O777" i="1" s="1"/>
  <c r="O778" i="1" a="1"/>
  <c r="O778" i="1" s="1"/>
  <c r="O779" i="1" a="1"/>
  <c r="O779" i="1" s="1"/>
  <c r="O780" i="1" a="1"/>
  <c r="O780" i="1" s="1"/>
  <c r="O781" i="1" a="1"/>
  <c r="O781" i="1" s="1"/>
  <c r="O782" i="1" a="1"/>
  <c r="O782" i="1" s="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s="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s="1"/>
  <c r="O815" i="1" a="1"/>
  <c r="O815" i="1" s="1"/>
  <c r="O816" i="1" a="1"/>
  <c r="O816" i="1" s="1"/>
  <c r="O817" i="1" a="1"/>
  <c r="O817" i="1" s="1"/>
  <c r="O818" i="1" a="1"/>
  <c r="O818" i="1" s="1"/>
  <c r="O819" i="1" a="1"/>
  <c r="O819" i="1" s="1"/>
  <c r="O820" i="1" a="1"/>
  <c r="O820" i="1" s="1"/>
  <c r="O821" i="1" a="1"/>
  <c r="O821" i="1" s="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s="1"/>
  <c r="O833" i="1" a="1"/>
  <c r="O833" i="1" s="1"/>
  <c r="O834" i="1" a="1"/>
  <c r="O834" i="1" s="1"/>
  <c r="O835" i="1" a="1"/>
  <c r="O835" i="1" s="1"/>
  <c r="O836" i="1" a="1"/>
  <c r="O836" i="1" s="1"/>
  <c r="O837" i="1" a="1"/>
  <c r="O837" i="1" s="1"/>
  <c r="O838" i="1" a="1"/>
  <c r="O838" i="1" s="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s="1"/>
  <c r="O859" i="1" a="1"/>
  <c r="O859" i="1" s="1"/>
  <c r="O860" i="1" a="1"/>
  <c r="O860" i="1" s="1"/>
  <c r="O861" i="1" a="1"/>
  <c r="O861" i="1" s="1"/>
  <c r="O862" i="1" a="1"/>
  <c r="O862" i="1" s="1"/>
  <c r="O863" i="1" a="1"/>
  <c r="O863" i="1" s="1"/>
  <c r="O864" i="1" a="1"/>
  <c r="O864" i="1" s="1"/>
  <c r="O865" i="1" a="1"/>
  <c r="O865" i="1" s="1"/>
  <c r="O866" i="1" a="1"/>
  <c r="O866" i="1" s="1"/>
  <c r="O867" i="1" a="1"/>
  <c r="O867" i="1" s="1"/>
  <c r="O868" i="1" a="1"/>
  <c r="O868" i="1" s="1"/>
  <c r="O869" i="1" a="1"/>
  <c r="O869" i="1" s="1"/>
  <c r="O870" i="1" a="1"/>
  <c r="O870" i="1" s="1"/>
  <c r="O871" i="1" a="1"/>
  <c r="O871" i="1" s="1"/>
  <c r="O872" i="1" a="1"/>
  <c r="O872" i="1" s="1"/>
  <c r="O873" i="1" a="1"/>
  <c r="O873" i="1" s="1"/>
  <c r="O874" i="1" a="1"/>
  <c r="O874" i="1" s="1"/>
  <c r="O875" i="1" a="1"/>
  <c r="O875" i="1" s="1"/>
  <c r="O876" i="1" a="1"/>
  <c r="O876" i="1" s="1"/>
  <c r="O877" i="1" a="1"/>
  <c r="O877" i="1" s="1"/>
  <c r="O878" i="1" a="1"/>
  <c r="O878" i="1" s="1"/>
  <c r="O879" i="1" a="1"/>
  <c r="O879" i="1" s="1"/>
  <c r="O880" i="1" a="1"/>
  <c r="O880" i="1" s="1"/>
  <c r="O881" i="1" a="1"/>
  <c r="O881" i="1" s="1"/>
  <c r="O882" i="1" a="1"/>
  <c r="O882" i="1" s="1"/>
  <c r="O883" i="1" a="1"/>
  <c r="O883" i="1" s="1"/>
  <c r="O884" i="1" a="1"/>
  <c r="O884" i="1" s="1"/>
  <c r="O885" i="1" a="1"/>
  <c r="O885" i="1" s="1"/>
  <c r="O886" i="1" a="1"/>
  <c r="O886" i="1" s="1"/>
  <c r="O887" i="1" a="1"/>
  <c r="O887" i="1" s="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905" i="1" a="1"/>
  <c r="O905" i="1" s="1"/>
  <c r="O906" i="1" a="1"/>
  <c r="O906" i="1" s="1"/>
  <c r="O907" i="1" a="1"/>
  <c r="O907" i="1" s="1"/>
  <c r="O908" i="1" a="1"/>
  <c r="O908" i="1" s="1"/>
  <c r="O909" i="1" a="1"/>
  <c r="O909" i="1" s="1"/>
  <c r="O910" i="1" a="1"/>
  <c r="O910" i="1" s="1"/>
  <c r="O911" i="1" a="1"/>
  <c r="O911" i="1" s="1"/>
  <c r="O912" i="1" a="1"/>
  <c r="O912" i="1" s="1"/>
  <c r="O913" i="1" a="1"/>
  <c r="O913" i="1" s="1"/>
  <c r="O914" i="1" a="1"/>
  <c r="O914" i="1" s="1"/>
  <c r="O915" i="1" a="1"/>
  <c r="O915" i="1" s="1"/>
  <c r="O916" i="1" a="1"/>
  <c r="O916" i="1" s="1"/>
  <c r="O917" i="1" a="1"/>
  <c r="O917" i="1" s="1"/>
  <c r="O918" i="1" a="1"/>
  <c r="O918" i="1" s="1"/>
  <c r="O919" i="1" a="1"/>
  <c r="O919" i="1" s="1"/>
  <c r="O920" i="1" a="1"/>
  <c r="O920" i="1" s="1"/>
  <c r="O921" i="1" a="1"/>
  <c r="O921" i="1" s="1"/>
  <c r="O922" i="1" a="1"/>
  <c r="O922" i="1" s="1"/>
  <c r="O923" i="1" a="1"/>
  <c r="O923" i="1" s="1"/>
  <c r="O924" i="1" a="1"/>
  <c r="O924" i="1" s="1"/>
  <c r="O925" i="1" a="1"/>
  <c r="O925" i="1" s="1"/>
  <c r="O926" i="1" a="1"/>
  <c r="O926" i="1" s="1"/>
  <c r="O927" i="1" a="1"/>
  <c r="O927" i="1" s="1"/>
  <c r="O928" i="1" a="1"/>
  <c r="O928" i="1" s="1"/>
  <c r="O929" i="1" a="1"/>
  <c r="O929" i="1" s="1"/>
  <c r="O930" i="1" a="1"/>
  <c r="O930" i="1" s="1"/>
  <c r="O931" i="1" a="1"/>
  <c r="O931" i="1" s="1"/>
  <c r="O932" i="1" a="1"/>
  <c r="O932" i="1" s="1"/>
  <c r="O933" i="1" a="1"/>
  <c r="O933" i="1" s="1"/>
  <c r="O934" i="1" a="1"/>
  <c r="O934" i="1" s="1"/>
  <c r="O935" i="1" a="1"/>
  <c r="O935" i="1" s="1"/>
  <c r="O936" i="1" a="1"/>
  <c r="O936" i="1" s="1"/>
  <c r="O937" i="1" a="1"/>
  <c r="O937" i="1" s="1"/>
  <c r="O938" i="1" a="1"/>
  <c r="O938" i="1" s="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s="1"/>
  <c r="O950" i="1" a="1"/>
  <c r="O950" i="1" s="1"/>
  <c r="O951" i="1" a="1"/>
  <c r="O951" i="1" s="1"/>
  <c r="O952" i="1" a="1"/>
  <c r="O952" i="1" s="1"/>
  <c r="O953" i="1" a="1"/>
  <c r="O953" i="1" s="1"/>
  <c r="O954" i="1" a="1"/>
  <c r="O954" i="1" s="1"/>
  <c r="O955" i="1" a="1"/>
  <c r="O955" i="1" s="1"/>
  <c r="O956" i="1" a="1"/>
  <c r="O956" i="1" s="1"/>
  <c r="O957" i="1" a="1"/>
  <c r="O957" i="1" s="1"/>
  <c r="O958" i="1" a="1"/>
  <c r="O958" i="1" s="1"/>
  <c r="O959" i="1" a="1"/>
  <c r="O959" i="1" s="1"/>
  <c r="O960" i="1" a="1"/>
  <c r="O960" i="1" s="1"/>
  <c r="O961" i="1" a="1"/>
  <c r="O961" i="1" s="1"/>
  <c r="O962" i="1" a="1"/>
  <c r="O962" i="1" s="1"/>
  <c r="O963" i="1" a="1"/>
  <c r="O963" i="1" s="1"/>
  <c r="O964" i="1" a="1"/>
  <c r="O964" i="1" s="1"/>
  <c r="O965" i="1" a="1"/>
  <c r="O965" i="1" s="1"/>
  <c r="O966" i="1" a="1"/>
  <c r="O966" i="1" s="1"/>
  <c r="O967" i="1" a="1"/>
  <c r="O967" i="1" s="1"/>
  <c r="O968" i="1" a="1"/>
  <c r="O968" i="1" s="1"/>
  <c r="O969" i="1" a="1"/>
  <c r="O969" i="1" s="1"/>
  <c r="O970" i="1" a="1"/>
  <c r="O970" i="1" s="1"/>
  <c r="O971" i="1" a="1"/>
  <c r="O971" i="1" s="1"/>
  <c r="O972" i="1" a="1"/>
  <c r="O972" i="1" s="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s="1"/>
  <c r="O994" i="1" a="1"/>
  <c r="O994" i="1" s="1"/>
  <c r="O995" i="1" a="1"/>
  <c r="O995" i="1" s="1"/>
  <c r="O996" i="1" a="1"/>
  <c r="O996" i="1" s="1"/>
  <c r="O997" i="1" a="1"/>
  <c r="O997" i="1" s="1"/>
  <c r="O998" i="1" a="1"/>
  <c r="O998" i="1" s="1"/>
  <c r="O999" i="1" a="1"/>
  <c r="O999" i="1" s="1"/>
  <c r="O1000" i="1" a="1"/>
  <c r="O1000" i="1" s="1"/>
  <c r="O1001" i="1" a="1"/>
  <c r="O1001" i="1" s="1"/>
  <c r="O1002" i="1" a="1"/>
  <c r="O1002" i="1" s="1"/>
  <c r="O1003" i="1" a="1"/>
  <c r="O1003" i="1" s="1"/>
  <c r="O1004" i="1" a="1"/>
  <c r="O1004" i="1" s="1"/>
  <c r="O1005" i="1" a="1"/>
  <c r="O1005" i="1" s="1"/>
  <c r="O1006" i="1" a="1"/>
  <c r="O1006" i="1" s="1"/>
  <c r="O1007" i="1" a="1"/>
  <c r="O1007" i="1" s="1"/>
  <c r="O1008" i="1" a="1"/>
  <c r="O1008" i="1" s="1"/>
  <c r="O1009" i="1" a="1"/>
  <c r="O1009" i="1" s="1"/>
  <c r="O1010" i="1" a="1"/>
  <c r="O1010" i="1" s="1"/>
  <c r="O1011" i="1" a="1"/>
  <c r="O1011" i="1" s="1"/>
  <c r="O1012" i="1" a="1"/>
  <c r="O1012" i="1" s="1"/>
  <c r="O1013" i="1" a="1"/>
  <c r="O1013" i="1" s="1"/>
  <c r="O1014" i="1" a="1"/>
  <c r="O1014" i="1" s="1"/>
  <c r="O1015" i="1" a="1"/>
  <c r="O1015" i="1" s="1"/>
  <c r="O1016" i="1" a="1"/>
  <c r="O1016" i="1" s="1"/>
  <c r="O1017" i="1" a="1"/>
  <c r="O1017" i="1" s="1"/>
  <c r="O1018" i="1" a="1"/>
  <c r="O1018" i="1" s="1"/>
  <c r="O1019" i="1" a="1"/>
  <c r="O1019" i="1" s="1"/>
  <c r="O1020" i="1" a="1"/>
  <c r="O1020" i="1" s="1"/>
  <c r="O1021" i="1" a="1"/>
  <c r="O1021" i="1" s="1"/>
  <c r="O1022" i="1" a="1"/>
  <c r="O1022" i="1" s="1"/>
  <c r="O1023" i="1" a="1"/>
  <c r="O1023" i="1" s="1"/>
  <c r="O1024" i="1" a="1"/>
  <c r="O1024" i="1" s="1"/>
  <c r="O1025" i="1" a="1"/>
  <c r="O1025" i="1" s="1"/>
  <c r="O1026" i="1" a="1"/>
  <c r="O1026" i="1" s="1"/>
  <c r="O1027" i="1" a="1"/>
  <c r="O1027" i="1" s="1"/>
  <c r="O1028" i="1" a="1"/>
  <c r="O1028" i="1" s="1"/>
  <c r="O1029" i="1" a="1"/>
  <c r="O1029" i="1" s="1"/>
  <c r="O1030" i="1" a="1"/>
  <c r="O1030" i="1" s="1"/>
  <c r="O1031" i="1" a="1"/>
  <c r="O1031" i="1" s="1"/>
  <c r="O1032" i="1" a="1"/>
  <c r="O1032" i="1" s="1"/>
  <c r="O1033" i="1" a="1"/>
  <c r="O1033" i="1" s="1"/>
  <c r="O1034" i="1" a="1"/>
  <c r="O1034" i="1" s="1"/>
  <c r="O1035" i="1" a="1"/>
  <c r="O1035" i="1" s="1"/>
  <c r="O1036" i="1" a="1"/>
  <c r="O1036" i="1" s="1"/>
  <c r="O1037" i="1" a="1"/>
  <c r="O1037" i="1" s="1"/>
  <c r="O1038" i="1" a="1"/>
  <c r="O1038" i="1" s="1"/>
  <c r="O1039" i="1" a="1"/>
  <c r="O1039" i="1" s="1"/>
  <c r="O1040" i="1" a="1"/>
  <c r="O1040" i="1" s="1"/>
  <c r="O1041" i="1" a="1"/>
  <c r="O1041" i="1" s="1"/>
  <c r="O1042" i="1" a="1"/>
  <c r="O1042" i="1" s="1"/>
  <c r="O1043" i="1" a="1"/>
  <c r="O1043" i="1" s="1"/>
  <c r="O1044" i="1" a="1"/>
  <c r="O1044" i="1" s="1"/>
  <c r="O1045" i="1" a="1"/>
  <c r="O1045" i="1" s="1"/>
  <c r="O1046" i="1" a="1"/>
  <c r="O1046" i="1" s="1"/>
  <c r="O1047" i="1" a="1"/>
  <c r="O1047" i="1" s="1"/>
  <c r="O1048" i="1" a="1"/>
  <c r="O1048" i="1" s="1"/>
  <c r="O1049" i="1" a="1"/>
  <c r="O1049" i="1" s="1"/>
  <c r="O1050" i="1" a="1"/>
  <c r="O1050" i="1" s="1"/>
  <c r="O1051" i="1" a="1"/>
  <c r="O1051" i="1" s="1"/>
  <c r="O1052" i="1" a="1"/>
  <c r="O1052" i="1" s="1"/>
  <c r="O1053" i="1" a="1"/>
  <c r="O1053" i="1" s="1"/>
  <c r="O1054" i="1" a="1"/>
  <c r="O1054" i="1" s="1"/>
  <c r="O1055" i="1" a="1"/>
  <c r="O1055" i="1" s="1"/>
  <c r="O1056" i="1" a="1"/>
  <c r="O1056" i="1" s="1"/>
  <c r="O1057" i="1" a="1"/>
  <c r="O1057" i="1" s="1"/>
  <c r="O1058" i="1" a="1"/>
  <c r="O1058" i="1" s="1"/>
  <c r="O1059" i="1" a="1"/>
  <c r="O1059" i="1" s="1"/>
  <c r="O1060" i="1" a="1"/>
  <c r="O1060" i="1" s="1"/>
  <c r="O1061" i="1" a="1"/>
  <c r="O1061" i="1" s="1"/>
  <c r="O1062" i="1" a="1"/>
  <c r="O1062" i="1" s="1"/>
  <c r="O1063" i="1" a="1"/>
  <c r="O1063" i="1" s="1"/>
  <c r="O1064" i="1" a="1"/>
  <c r="O1064" i="1" s="1"/>
  <c r="O1065" i="1" a="1"/>
  <c r="O1065" i="1" s="1"/>
  <c r="O1066" i="1" a="1"/>
  <c r="O1066" i="1" s="1"/>
  <c r="O1067" i="1" a="1"/>
  <c r="O1067" i="1" s="1"/>
  <c r="O1068" i="1" a="1"/>
  <c r="O1068" i="1" s="1"/>
  <c r="O1069" i="1" a="1"/>
  <c r="O1069" i="1" s="1"/>
  <c r="O1070" i="1" a="1"/>
  <c r="O1070" i="1" s="1"/>
  <c r="O1071" i="1" a="1"/>
  <c r="O1071" i="1" s="1"/>
  <c r="O1072" i="1" a="1"/>
  <c r="O1072" i="1" s="1"/>
  <c r="O1073" i="1" a="1"/>
  <c r="O1073" i="1" s="1"/>
  <c r="O1074" i="1" a="1"/>
  <c r="O1074" i="1" s="1"/>
  <c r="O1075" i="1" a="1"/>
  <c r="O1075" i="1" s="1"/>
  <c r="O1076" i="1" a="1"/>
  <c r="O1076" i="1" s="1"/>
  <c r="O1077" i="1" a="1"/>
  <c r="O1077" i="1" s="1"/>
  <c r="O1078" i="1" a="1"/>
  <c r="O1078" i="1" s="1"/>
  <c r="O1079" i="1" a="1"/>
  <c r="O1079" i="1" s="1"/>
  <c r="O1080" i="1" a="1"/>
  <c r="O1080" i="1" s="1"/>
  <c r="O1081" i="1" a="1"/>
  <c r="O1081" i="1" s="1"/>
  <c r="O1082" i="1" a="1"/>
  <c r="O1082" i="1" s="1"/>
  <c r="O1083" i="1" a="1"/>
  <c r="O1083" i="1" s="1"/>
  <c r="O1084" i="1" a="1"/>
  <c r="O1084" i="1" s="1"/>
  <c r="O1085" i="1" a="1"/>
  <c r="O1085" i="1" s="1"/>
  <c r="O1086" i="1" a="1"/>
  <c r="O1086" i="1" s="1"/>
  <c r="O1087" i="1" a="1"/>
  <c r="O1087" i="1" s="1"/>
  <c r="O1088" i="1" a="1"/>
  <c r="O1088" i="1" s="1"/>
  <c r="O1089" i="1" a="1"/>
  <c r="O1089" i="1" s="1"/>
  <c r="O1090" i="1" a="1"/>
  <c r="O1090" i="1" s="1"/>
  <c r="O1091" i="1" a="1"/>
  <c r="O1091" i="1" s="1"/>
  <c r="O1092" i="1" a="1"/>
  <c r="O1092" i="1" s="1"/>
  <c r="O1093" i="1" a="1"/>
  <c r="O1093" i="1" s="1"/>
  <c r="O1094" i="1" a="1"/>
  <c r="O1094" i="1" s="1"/>
  <c r="O1095" i="1" a="1"/>
  <c r="O1095" i="1" s="1"/>
  <c r="O1096" i="1" a="1"/>
  <c r="O1096" i="1" s="1"/>
  <c r="O1097" i="1" a="1"/>
  <c r="O1097" i="1" s="1"/>
  <c r="O1098" i="1" a="1"/>
  <c r="O1098" i="1" s="1"/>
  <c r="O1099" i="1" a="1"/>
  <c r="O1099" i="1" s="1"/>
  <c r="O1100" i="1" a="1"/>
  <c r="O1100" i="1" s="1"/>
  <c r="O1101" i="1" a="1"/>
  <c r="O1101" i="1" s="1"/>
  <c r="O1102" i="1" a="1"/>
  <c r="O1102" i="1" s="1"/>
  <c r="O1103" i="1" a="1"/>
  <c r="O1103" i="1" s="1"/>
  <c r="O1104" i="1" a="1"/>
  <c r="O1104" i="1" s="1"/>
  <c r="O1105" i="1" a="1"/>
  <c r="O1105" i="1" s="1"/>
  <c r="O1106" i="1" a="1"/>
  <c r="O1106" i="1" s="1"/>
  <c r="O1107" i="1" a="1"/>
  <c r="O1107" i="1" s="1"/>
  <c r="O1108" i="1" a="1"/>
  <c r="O1108" i="1" s="1"/>
  <c r="O1109" i="1" a="1"/>
  <c r="O1109" i="1" s="1"/>
  <c r="O1110" i="1" a="1"/>
  <c r="O1110" i="1" s="1"/>
  <c r="O1111" i="1" a="1"/>
  <c r="O1111" i="1" s="1"/>
  <c r="O1112" i="1" a="1"/>
  <c r="O1112" i="1" s="1"/>
  <c r="O1113" i="1" a="1"/>
  <c r="O1113" i="1" s="1"/>
  <c r="O1114" i="1" a="1"/>
  <c r="O1114" i="1" s="1"/>
  <c r="O1115" i="1" a="1"/>
  <c r="O1115" i="1" s="1"/>
  <c r="O1116" i="1" a="1"/>
  <c r="O1116" i="1" s="1"/>
  <c r="O1117" i="1" a="1"/>
  <c r="O1117" i="1" s="1"/>
  <c r="O1118" i="1" a="1"/>
  <c r="O1118" i="1" s="1"/>
  <c r="O1119" i="1" a="1"/>
  <c r="O1119" i="1" s="1"/>
  <c r="O1120" i="1" a="1"/>
  <c r="O1120" i="1" s="1"/>
  <c r="O1121" i="1" a="1"/>
  <c r="O1121" i="1" s="1"/>
  <c r="O1122" i="1" a="1"/>
  <c r="O1122" i="1" s="1"/>
  <c r="O1123" i="1" a="1"/>
  <c r="O1123" i="1" s="1"/>
  <c r="O1124" i="1" a="1"/>
  <c r="O1124" i="1" s="1"/>
  <c r="O1125" i="1" a="1"/>
  <c r="O1125" i="1" s="1"/>
  <c r="O1126" i="1" a="1"/>
  <c r="O1126" i="1" s="1"/>
  <c r="O1127" i="1" a="1"/>
  <c r="O1127" i="1" s="1"/>
  <c r="O1128" i="1" a="1"/>
  <c r="O1128" i="1" s="1"/>
  <c r="O1129" i="1" a="1"/>
  <c r="O1129" i="1" s="1"/>
  <c r="O1130" i="1" a="1"/>
  <c r="O1130" i="1" s="1"/>
  <c r="O1131" i="1" a="1"/>
  <c r="O1131" i="1" s="1"/>
  <c r="O1132" i="1" a="1"/>
  <c r="O1132" i="1" s="1"/>
  <c r="O1133" i="1" a="1"/>
  <c r="O1133" i="1" s="1"/>
  <c r="O1134" i="1" a="1"/>
  <c r="O1134" i="1" s="1"/>
  <c r="O1135" i="1" a="1"/>
  <c r="O1135" i="1" s="1"/>
  <c r="O1136" i="1" a="1"/>
  <c r="O1136" i="1" s="1"/>
  <c r="O1137" i="1" a="1"/>
  <c r="O1137" i="1" s="1"/>
  <c r="O1138" i="1" a="1"/>
  <c r="O1138" i="1" s="1"/>
  <c r="O1139" i="1" a="1"/>
  <c r="O1139" i="1" s="1"/>
  <c r="O1140" i="1" a="1"/>
  <c r="O1140" i="1" s="1"/>
  <c r="O1141" i="1" a="1"/>
  <c r="O1141" i="1" s="1"/>
  <c r="O1142" i="1" a="1"/>
  <c r="O1142" i="1" s="1"/>
  <c r="O1143" i="1" a="1"/>
  <c r="O1143" i="1" s="1"/>
  <c r="O1144" i="1" a="1"/>
  <c r="O1144" i="1" s="1"/>
  <c r="O1145" i="1" a="1"/>
  <c r="O1145" i="1" s="1"/>
  <c r="O1146" i="1" a="1"/>
  <c r="O1146" i="1" s="1"/>
  <c r="O1147" i="1" a="1"/>
  <c r="O1147" i="1" s="1"/>
  <c r="O1148" i="1" a="1"/>
  <c r="O1148" i="1" s="1"/>
  <c r="O1149" i="1" a="1"/>
  <c r="O1149" i="1" s="1"/>
  <c r="O1150" i="1" a="1"/>
  <c r="O1150" i="1" s="1"/>
  <c r="O1151" i="1" a="1"/>
  <c r="O1151" i="1" s="1"/>
  <c r="O1152" i="1" a="1"/>
  <c r="O1152" i="1" s="1"/>
  <c r="O1153" i="1" a="1"/>
  <c r="O1153" i="1" s="1"/>
  <c r="O1154" i="1" a="1"/>
  <c r="O1154" i="1" s="1"/>
  <c r="O1155" i="1" a="1"/>
  <c r="O1155" i="1" s="1"/>
  <c r="O1156" i="1" a="1"/>
  <c r="O1156" i="1" s="1"/>
  <c r="O1157" i="1" a="1"/>
  <c r="O1157" i="1" s="1"/>
  <c r="O1158" i="1" a="1"/>
  <c r="O1158" i="1" s="1"/>
  <c r="O1159" i="1" a="1"/>
  <c r="O1159" i="1" s="1"/>
  <c r="O1160" i="1" a="1"/>
  <c r="O1160" i="1" s="1"/>
  <c r="O1161" i="1" a="1"/>
  <c r="O1161" i="1" s="1"/>
  <c r="O1162" i="1" a="1"/>
  <c r="O1162" i="1" s="1"/>
  <c r="O1163" i="1" a="1"/>
  <c r="O1163" i="1" s="1"/>
  <c r="O1164" i="1" a="1"/>
  <c r="O1164" i="1" s="1"/>
  <c r="O1165" i="1" a="1"/>
  <c r="O1165" i="1" s="1"/>
  <c r="O1166" i="1" a="1"/>
  <c r="O1166" i="1" s="1"/>
  <c r="O1167" i="1" a="1"/>
  <c r="O1167" i="1" s="1"/>
  <c r="O1168" i="1" a="1"/>
  <c r="O1168" i="1" s="1"/>
  <c r="O1169" i="1" a="1"/>
  <c r="O1169" i="1" s="1"/>
  <c r="O1170" i="1" a="1"/>
  <c r="O1170" i="1" s="1"/>
  <c r="O1171" i="1" a="1"/>
  <c r="O1171" i="1" s="1"/>
  <c r="O1172" i="1" a="1"/>
  <c r="O1172" i="1" s="1"/>
  <c r="O1173" i="1" a="1"/>
  <c r="O1173" i="1" s="1"/>
  <c r="O1174" i="1" a="1"/>
  <c r="O1174" i="1" s="1"/>
  <c r="O1175" i="1" a="1"/>
  <c r="O1175" i="1" s="1"/>
  <c r="O1176" i="1" a="1"/>
  <c r="O1176" i="1" s="1"/>
  <c r="O1177" i="1" a="1"/>
  <c r="O1177" i="1" s="1"/>
  <c r="O1178" i="1" a="1"/>
  <c r="O1178" i="1" s="1"/>
  <c r="O1179" i="1" a="1"/>
  <c r="O1179" i="1" s="1"/>
  <c r="O1180" i="1" a="1"/>
  <c r="O1180" i="1" s="1"/>
  <c r="O1181" i="1" a="1"/>
  <c r="O1181" i="1" s="1"/>
  <c r="O1182" i="1" a="1"/>
  <c r="O1182" i="1" s="1"/>
  <c r="O1183" i="1" a="1"/>
  <c r="O1183" i="1" s="1"/>
  <c r="O1184" i="1" a="1"/>
  <c r="O1184" i="1" s="1"/>
  <c r="O1185" i="1" a="1"/>
  <c r="O1185" i="1" s="1"/>
  <c r="O1186" i="1" a="1"/>
  <c r="O1186" i="1" s="1"/>
  <c r="O1187" i="1" a="1"/>
  <c r="O1187" i="1" s="1"/>
  <c r="O1188" i="1" a="1"/>
  <c r="O1188" i="1" s="1"/>
  <c r="O1189" i="1" a="1"/>
  <c r="O1189" i="1" s="1"/>
  <c r="O1190" i="1" a="1"/>
  <c r="O1190" i="1" s="1"/>
  <c r="O1191" i="1" a="1"/>
  <c r="O1191" i="1" s="1"/>
  <c r="O1192" i="1" a="1"/>
  <c r="O1192" i="1" s="1"/>
  <c r="O1193" i="1" a="1"/>
  <c r="O1193" i="1" s="1"/>
  <c r="O1194" i="1" a="1"/>
  <c r="O1194" i="1" s="1"/>
  <c r="O1195" i="1" a="1"/>
  <c r="O1195" i="1" s="1"/>
  <c r="O1196" i="1" a="1"/>
  <c r="O1196" i="1" s="1"/>
  <c r="O1197" i="1" a="1"/>
  <c r="O1197" i="1" s="1"/>
  <c r="O1198" i="1" a="1"/>
  <c r="O1198" i="1" s="1"/>
  <c r="O1199" i="1" a="1"/>
  <c r="O1199" i="1" s="1"/>
  <c r="O1200" i="1" a="1"/>
  <c r="O1200" i="1" s="1"/>
  <c r="O1201" i="1" a="1"/>
  <c r="O1201" i="1" s="1"/>
  <c r="O1202" i="1" a="1"/>
  <c r="O1202" i="1" s="1"/>
  <c r="O1203" i="1" a="1"/>
  <c r="O1203" i="1" s="1"/>
  <c r="O1204" i="1" a="1"/>
  <c r="O1204" i="1" s="1"/>
  <c r="O1205" i="1" a="1"/>
  <c r="O1205" i="1" s="1"/>
  <c r="O1206" i="1" a="1"/>
  <c r="O1206" i="1" s="1"/>
  <c r="O1207" i="1" a="1"/>
  <c r="O1207" i="1" s="1"/>
  <c r="O1208" i="1" a="1"/>
  <c r="O1208" i="1" s="1"/>
  <c r="O1209" i="1" a="1"/>
  <c r="O1209" i="1" s="1"/>
  <c r="O1210" i="1" a="1"/>
  <c r="O1210" i="1" s="1"/>
  <c r="O1211" i="1" a="1"/>
  <c r="O1211" i="1" s="1"/>
  <c r="O1212" i="1" a="1"/>
  <c r="O1212" i="1" s="1"/>
  <c r="O1213" i="1" a="1"/>
  <c r="O1213" i="1" s="1"/>
  <c r="O1214" i="1" a="1"/>
  <c r="O1214" i="1" s="1"/>
  <c r="O1215" i="1" a="1"/>
  <c r="O1215" i="1" s="1"/>
  <c r="O1216" i="1" a="1"/>
  <c r="O1216" i="1" s="1"/>
  <c r="O1217" i="1" a="1"/>
  <c r="O1217" i="1" s="1"/>
  <c r="O1218" i="1" a="1"/>
  <c r="O1218" i="1" s="1"/>
  <c r="O1219" i="1" a="1"/>
  <c r="O1219" i="1" s="1"/>
  <c r="O1220" i="1" a="1"/>
  <c r="O1220" i="1" s="1"/>
  <c r="O1221" i="1" a="1"/>
  <c r="O1221" i="1" s="1"/>
  <c r="O1222" i="1" a="1"/>
  <c r="O1222" i="1" s="1"/>
  <c r="O1223" i="1" a="1"/>
  <c r="O1223" i="1" s="1"/>
  <c r="O1224" i="1" a="1"/>
  <c r="O1224" i="1" s="1"/>
  <c r="O1225" i="1" a="1"/>
  <c r="O1225" i="1" s="1"/>
  <c r="O1226" i="1" a="1"/>
  <c r="O1226" i="1" s="1"/>
  <c r="O1227" i="1" a="1"/>
  <c r="O1227" i="1" s="1"/>
  <c r="O1228" i="1" a="1"/>
  <c r="O1228" i="1" s="1"/>
  <c r="O1229" i="1" a="1"/>
  <c r="O1229" i="1" s="1"/>
  <c r="O1230" i="1" a="1"/>
  <c r="O1230" i="1" s="1"/>
  <c r="O1231" i="1" a="1"/>
  <c r="O1231" i="1" s="1"/>
  <c r="O1232" i="1" a="1"/>
  <c r="O1232" i="1" s="1"/>
  <c r="O1233" i="1" a="1"/>
  <c r="O1233" i="1" s="1"/>
  <c r="O1234" i="1" a="1"/>
  <c r="O1234" i="1" s="1"/>
  <c r="O1235" i="1" a="1"/>
  <c r="O1235" i="1" s="1"/>
  <c r="O1236" i="1" a="1"/>
  <c r="O1236" i="1" s="1"/>
  <c r="O1237" i="1" a="1"/>
  <c r="O1237" i="1" s="1"/>
  <c r="O1238" i="1" a="1"/>
  <c r="O1238" i="1" s="1"/>
  <c r="O1239" i="1" a="1"/>
  <c r="O1239" i="1" s="1"/>
  <c r="O1240" i="1" a="1"/>
  <c r="O1240" i="1" s="1"/>
  <c r="O1241" i="1" a="1"/>
  <c r="O1241" i="1" s="1"/>
  <c r="O1242" i="1" a="1"/>
  <c r="O1242" i="1" s="1"/>
  <c r="O1243" i="1" a="1"/>
  <c r="O1243" i="1" s="1"/>
  <c r="O1244" i="1" a="1"/>
  <c r="O1244" i="1" s="1"/>
  <c r="O1245" i="1" a="1"/>
  <c r="O1245" i="1" s="1"/>
  <c r="O1246" i="1" a="1"/>
  <c r="O1246" i="1" s="1"/>
  <c r="O1247" i="1" a="1"/>
  <c r="O1247" i="1" s="1"/>
  <c r="O1248" i="1" a="1"/>
  <c r="O1248" i="1" s="1"/>
  <c r="O1249" i="1" a="1"/>
  <c r="O1249" i="1" s="1"/>
  <c r="O1250" i="1" a="1"/>
  <c r="O1250" i="1" s="1"/>
  <c r="O1251" i="1" a="1"/>
  <c r="O1251" i="1" s="1"/>
  <c r="O1252" i="1" a="1"/>
  <c r="O1252" i="1" s="1"/>
  <c r="O1253" i="1" a="1"/>
  <c r="O1253" i="1" s="1"/>
  <c r="O1254" i="1" a="1"/>
  <c r="O1254" i="1" s="1"/>
  <c r="O1255" i="1" a="1"/>
  <c r="O1255" i="1" s="1"/>
  <c r="O1256" i="1" a="1"/>
  <c r="O1256" i="1" s="1"/>
  <c r="O1257" i="1" a="1"/>
  <c r="O1257" i="1" s="1"/>
  <c r="O1258" i="1" a="1"/>
  <c r="O1258" i="1" s="1"/>
  <c r="O1259" i="1" a="1"/>
  <c r="O1259" i="1" s="1"/>
  <c r="O1260" i="1" a="1"/>
  <c r="O1260" i="1" s="1"/>
  <c r="O1261" i="1" a="1"/>
  <c r="O1261" i="1" s="1"/>
  <c r="O1262" i="1" a="1"/>
  <c r="O1262" i="1" s="1"/>
  <c r="O1263" i="1" a="1"/>
  <c r="O1263" i="1" s="1"/>
  <c r="O1264" i="1" a="1"/>
  <c r="O1264" i="1" s="1"/>
  <c r="O1265" i="1" a="1"/>
  <c r="O1265" i="1" s="1"/>
  <c r="O1266" i="1" a="1"/>
  <c r="O1266" i="1" s="1"/>
  <c r="O1267" i="1" a="1"/>
  <c r="O1267" i="1" s="1"/>
  <c r="O1268" i="1" a="1"/>
  <c r="O1268" i="1" s="1"/>
  <c r="O1269" i="1" a="1"/>
  <c r="O1269" i="1" s="1"/>
  <c r="O1270" i="1" a="1"/>
  <c r="O1270" i="1" s="1"/>
  <c r="O1271" i="1" a="1"/>
  <c r="O1271" i="1" s="1"/>
  <c r="O1272" i="1" a="1"/>
  <c r="O1272" i="1" s="1"/>
  <c r="O1273" i="1" a="1"/>
  <c r="O1273" i="1" s="1"/>
  <c r="O1274" i="1" a="1"/>
  <c r="O1274" i="1" s="1"/>
  <c r="O1275" i="1" a="1"/>
  <c r="O1275" i="1" s="1"/>
  <c r="O1276" i="1" a="1"/>
  <c r="O1276" i="1" s="1"/>
  <c r="O1277" i="1" a="1"/>
  <c r="O1277" i="1" s="1"/>
  <c r="O1278" i="1" a="1"/>
  <c r="O1278" i="1" s="1"/>
  <c r="O1279" i="1" a="1"/>
  <c r="O1279" i="1" s="1"/>
  <c r="O1280" i="1" a="1"/>
  <c r="O1280" i="1" s="1"/>
  <c r="O1281" i="1" a="1"/>
  <c r="O1281" i="1" s="1"/>
  <c r="O1282" i="1" a="1"/>
  <c r="O1282" i="1" s="1"/>
  <c r="O1283" i="1" a="1"/>
  <c r="O1283" i="1" s="1"/>
  <c r="O1284" i="1" a="1"/>
  <c r="O1284" i="1" s="1"/>
  <c r="O1285" i="1" a="1"/>
  <c r="O1285" i="1" s="1"/>
  <c r="O1286" i="1" a="1"/>
  <c r="O1286" i="1" s="1"/>
  <c r="O1287" i="1" a="1"/>
  <c r="O1287" i="1" s="1"/>
  <c r="O1288" i="1" a="1"/>
  <c r="O1288" i="1" s="1"/>
  <c r="O1289" i="1" a="1"/>
  <c r="O1289" i="1" s="1"/>
  <c r="O1290" i="1" a="1"/>
  <c r="O1290" i="1" s="1"/>
  <c r="O1291" i="1" a="1"/>
  <c r="O1291" i="1" s="1"/>
  <c r="O1292" i="1" a="1"/>
  <c r="O1292" i="1" s="1"/>
  <c r="O1293" i="1" a="1"/>
  <c r="O1293" i="1" s="1"/>
  <c r="O1294" i="1" a="1"/>
  <c r="O1294" i="1" s="1"/>
  <c r="O1295" i="1" a="1"/>
  <c r="O1295" i="1" s="1"/>
  <c r="O1296" i="1" a="1"/>
  <c r="O1296" i="1" s="1"/>
  <c r="O1297" i="1" a="1"/>
  <c r="O1297" i="1" s="1"/>
  <c r="O1298" i="1" a="1"/>
  <c r="O1298" i="1" s="1"/>
  <c r="O1299" i="1" a="1"/>
  <c r="O1299" i="1" s="1"/>
  <c r="O1300" i="1" a="1"/>
  <c r="O1300" i="1" s="1"/>
  <c r="O1301" i="1" a="1"/>
  <c r="O1301" i="1" s="1"/>
  <c r="O1302" i="1" a="1"/>
  <c r="O1302" i="1" s="1"/>
  <c r="O1303" i="1" a="1"/>
  <c r="O1303" i="1" s="1"/>
  <c r="O1304" i="1" a="1"/>
  <c r="O1304" i="1" s="1"/>
  <c r="O1305" i="1" a="1"/>
  <c r="O1305" i="1" s="1"/>
  <c r="O1306" i="1" a="1"/>
  <c r="O1306" i="1" s="1"/>
  <c r="O1307" i="1" a="1"/>
  <c r="O1307" i="1" s="1"/>
  <c r="O1308" i="1" a="1"/>
  <c r="O1308" i="1" s="1"/>
  <c r="O1309" i="1" a="1"/>
  <c r="O1309" i="1" s="1"/>
  <c r="O1310" i="1" a="1"/>
  <c r="O1310" i="1" s="1"/>
  <c r="O1311" i="1" a="1"/>
  <c r="O1311" i="1" s="1"/>
  <c r="O1312" i="1" a="1"/>
  <c r="O1312" i="1" s="1"/>
  <c r="O1313" i="1" a="1"/>
  <c r="O1313" i="1" s="1"/>
  <c r="O1314" i="1" a="1"/>
  <c r="O1314" i="1" s="1"/>
  <c r="O1315" i="1" a="1"/>
  <c r="O1315" i="1" s="1"/>
  <c r="O1316" i="1" a="1"/>
  <c r="O1316" i="1" s="1"/>
  <c r="O1317" i="1" a="1"/>
  <c r="O1317" i="1" s="1"/>
  <c r="O1318" i="1" a="1"/>
  <c r="O1318" i="1" s="1"/>
  <c r="O1319" i="1" a="1"/>
  <c r="O1319" i="1" s="1"/>
  <c r="O1320" i="1" a="1"/>
  <c r="O1320" i="1" s="1"/>
  <c r="O1321" i="1" a="1"/>
  <c r="O1321" i="1" s="1"/>
  <c r="O1322" i="1" a="1"/>
  <c r="O1322" i="1" s="1"/>
  <c r="O1323" i="1" a="1"/>
  <c r="O1323" i="1" s="1"/>
  <c r="O1324" i="1" a="1"/>
  <c r="O1324" i="1" s="1"/>
  <c r="O1325" i="1" a="1"/>
  <c r="O1325" i="1" s="1"/>
  <c r="O1326" i="1" a="1"/>
  <c r="O1326" i="1" s="1"/>
  <c r="O1327" i="1" a="1"/>
  <c r="O1327" i="1" s="1"/>
  <c r="O1328" i="1" a="1"/>
  <c r="O1328" i="1" s="1"/>
  <c r="O1329" i="1" a="1"/>
  <c r="O1329" i="1" s="1"/>
  <c r="O1330" i="1" a="1"/>
  <c r="O1330" i="1" s="1"/>
  <c r="O1331" i="1" a="1"/>
  <c r="O1331" i="1" s="1"/>
  <c r="O1332" i="1" a="1"/>
  <c r="O1332" i="1" s="1"/>
  <c r="O1333" i="1" a="1"/>
  <c r="O1333" i="1" s="1"/>
  <c r="O1334" i="1" a="1"/>
  <c r="O1334" i="1" s="1"/>
  <c r="O1335" i="1" a="1"/>
  <c r="O1335" i="1" s="1"/>
  <c r="O1336" i="1" a="1"/>
  <c r="O1336" i="1" s="1"/>
  <c r="O1337" i="1" a="1"/>
  <c r="O1337" i="1" s="1"/>
  <c r="O1338" i="1" a="1"/>
  <c r="O1338" i="1" s="1"/>
  <c r="O1339" i="1" a="1"/>
  <c r="O1339" i="1" s="1"/>
  <c r="O1340" i="1" a="1"/>
  <c r="O1340" i="1" s="1"/>
  <c r="O1341" i="1" a="1"/>
  <c r="O1341" i="1" s="1"/>
  <c r="O1342" i="1" a="1"/>
  <c r="O1342" i="1" s="1"/>
  <c r="O1343" i="1" a="1"/>
  <c r="O1343" i="1" s="1"/>
  <c r="O1344" i="1" a="1"/>
  <c r="O1344" i="1" s="1"/>
  <c r="O1345" i="1" a="1"/>
  <c r="O1345" i="1" s="1"/>
  <c r="O1346" i="1" a="1"/>
  <c r="O1346" i="1" s="1"/>
  <c r="O1347" i="1" a="1"/>
  <c r="O1347" i="1" s="1"/>
  <c r="O1348" i="1" a="1"/>
  <c r="O1348" i="1" s="1"/>
  <c r="O1349" i="1" a="1"/>
  <c r="O1349" i="1" s="1"/>
  <c r="O1350" i="1" a="1"/>
  <c r="O1350" i="1" s="1"/>
  <c r="O1351" i="1" a="1"/>
  <c r="O1351" i="1" s="1"/>
  <c r="O1352" i="1" a="1"/>
  <c r="O1352" i="1" s="1"/>
  <c r="O1353" i="1" a="1"/>
  <c r="O1353" i="1" s="1"/>
  <c r="O1354" i="1" a="1"/>
  <c r="O1354" i="1" s="1"/>
  <c r="O1355" i="1" a="1"/>
  <c r="O1355" i="1" s="1"/>
  <c r="O1356" i="1" a="1"/>
  <c r="O1356" i="1" s="1"/>
  <c r="O1357" i="1" a="1"/>
  <c r="O1357" i="1" s="1"/>
  <c r="O1358" i="1" a="1"/>
  <c r="O1358" i="1" s="1"/>
  <c r="O1359" i="1" a="1"/>
  <c r="O1359" i="1" s="1"/>
  <c r="O1360" i="1" a="1"/>
  <c r="O1360" i="1" s="1"/>
  <c r="O1361" i="1" a="1"/>
  <c r="O1361" i="1" s="1"/>
  <c r="O1362" i="1" a="1"/>
  <c r="O1362" i="1" s="1"/>
  <c r="O1363" i="1" a="1"/>
  <c r="O1363" i="1" s="1"/>
  <c r="O1364" i="1" a="1"/>
  <c r="O1364" i="1" s="1"/>
  <c r="O1365" i="1" a="1"/>
  <c r="O1365" i="1" s="1"/>
  <c r="O1366" i="1" a="1"/>
  <c r="O1366" i="1" s="1"/>
  <c r="O1367" i="1" a="1"/>
  <c r="O1367" i="1" s="1"/>
  <c r="O1368" i="1" a="1"/>
  <c r="O1368" i="1" s="1"/>
  <c r="O1369" i="1" a="1"/>
  <c r="O1369" i="1" s="1"/>
  <c r="O1370" i="1" a="1"/>
  <c r="O1370" i="1" s="1"/>
  <c r="O1371" i="1" a="1"/>
  <c r="O1371" i="1" s="1"/>
  <c r="O1372" i="1" a="1"/>
  <c r="O1372" i="1" s="1"/>
  <c r="O1373" i="1" a="1"/>
  <c r="O1373" i="1" s="1"/>
  <c r="O1374" i="1" a="1"/>
  <c r="O1374" i="1" s="1"/>
  <c r="O1375" i="1" a="1"/>
  <c r="O1375" i="1" s="1"/>
  <c r="O1376" i="1" a="1"/>
  <c r="O1376" i="1" s="1"/>
  <c r="O1377" i="1" a="1"/>
  <c r="O1377" i="1" s="1"/>
  <c r="O1378" i="1" a="1"/>
  <c r="O1378" i="1" s="1"/>
  <c r="O1379" i="1" a="1"/>
  <c r="O1379" i="1" s="1"/>
  <c r="O1380" i="1" a="1"/>
  <c r="O1380" i="1" s="1"/>
  <c r="O1381" i="1" a="1"/>
  <c r="O1381" i="1" s="1"/>
  <c r="O1382" i="1" a="1"/>
  <c r="O1382" i="1" s="1"/>
  <c r="O1383" i="1" a="1"/>
  <c r="O1383" i="1" s="1"/>
  <c r="O1384" i="1" a="1"/>
  <c r="O1384" i="1" s="1"/>
  <c r="O1385" i="1" a="1"/>
  <c r="O1385" i="1" s="1"/>
  <c r="O1386" i="1" a="1"/>
  <c r="O1386" i="1" s="1"/>
  <c r="O1387" i="1" a="1"/>
  <c r="O1387" i="1" s="1"/>
  <c r="O1388" i="1" a="1"/>
  <c r="O1388" i="1" s="1"/>
  <c r="O1389" i="1" a="1"/>
  <c r="O1389" i="1" s="1"/>
  <c r="O1390" i="1" a="1"/>
  <c r="O1390" i="1" s="1"/>
  <c r="O1391" i="1" a="1"/>
  <c r="O1391" i="1" s="1"/>
  <c r="O1392" i="1" a="1"/>
  <c r="O1392" i="1" s="1"/>
  <c r="O1393" i="1" a="1"/>
  <c r="O1393" i="1" s="1"/>
  <c r="O1394" i="1" a="1"/>
  <c r="O1394" i="1" s="1"/>
  <c r="O1395" i="1" a="1"/>
  <c r="O1395" i="1" s="1"/>
  <c r="O1396" i="1" a="1"/>
  <c r="O1396" i="1" s="1"/>
  <c r="O1397" i="1" a="1"/>
  <c r="O1397" i="1" s="1"/>
  <c r="O1398" i="1" a="1"/>
  <c r="O1398" i="1" s="1"/>
  <c r="O1399" i="1" a="1"/>
  <c r="O1399" i="1" s="1"/>
  <c r="O1400" i="1" a="1"/>
  <c r="O1400" i="1" s="1"/>
  <c r="O1401" i="1" a="1"/>
  <c r="O1401" i="1" s="1"/>
  <c r="O1402" i="1" a="1"/>
  <c r="O1402" i="1" s="1"/>
  <c r="O1403" i="1" a="1"/>
  <c r="O1403" i="1" s="1"/>
  <c r="O1404" i="1" a="1"/>
  <c r="O1404" i="1" s="1"/>
  <c r="O1405" i="1" a="1"/>
  <c r="O1405" i="1" s="1"/>
  <c r="O1406" i="1" a="1"/>
  <c r="O1406" i="1" s="1"/>
  <c r="O1407" i="1" a="1"/>
  <c r="O1407" i="1" s="1"/>
  <c r="O1408" i="1" a="1"/>
  <c r="O1408" i="1" s="1"/>
  <c r="O1409" i="1" a="1"/>
  <c r="O1409" i="1" s="1"/>
  <c r="O1410" i="1" a="1"/>
  <c r="O1410" i="1" s="1"/>
  <c r="O1411" i="1" a="1"/>
  <c r="O1411" i="1" s="1"/>
  <c r="O1412" i="1" a="1"/>
  <c r="O1412" i="1" s="1"/>
  <c r="O1413" i="1" a="1"/>
  <c r="O1413" i="1" s="1"/>
  <c r="O1414" i="1" a="1"/>
  <c r="O1414" i="1" s="1"/>
  <c r="O1415" i="1" a="1"/>
  <c r="O1415" i="1" s="1"/>
  <c r="O1416" i="1" a="1"/>
  <c r="O1416" i="1" s="1"/>
  <c r="O1417" i="1" a="1"/>
  <c r="O1417" i="1" s="1"/>
  <c r="O1418" i="1" a="1"/>
  <c r="O1418" i="1" s="1"/>
  <c r="O1419" i="1" a="1"/>
  <c r="O1419" i="1" s="1"/>
  <c r="O1420" i="1" a="1"/>
  <c r="O1420" i="1" s="1"/>
  <c r="O1421" i="1" a="1"/>
  <c r="O1421" i="1" s="1"/>
  <c r="O1422" i="1" a="1"/>
  <c r="O1422" i="1" s="1"/>
  <c r="O1423" i="1" a="1"/>
  <c r="O1423" i="1" s="1"/>
  <c r="O1424" i="1" a="1"/>
  <c r="O1424" i="1" s="1"/>
  <c r="O1425" i="1" a="1"/>
  <c r="O1425" i="1" s="1"/>
  <c r="O1426" i="1" a="1"/>
  <c r="O1426" i="1" s="1"/>
  <c r="O1427" i="1" a="1"/>
  <c r="O1427" i="1" s="1"/>
  <c r="O1428" i="1" a="1"/>
  <c r="O1428" i="1" s="1"/>
  <c r="O1429" i="1" a="1"/>
  <c r="O1429" i="1" s="1"/>
  <c r="O1430" i="1" a="1"/>
  <c r="O1430" i="1" s="1"/>
  <c r="O1431" i="1" a="1"/>
  <c r="O1431" i="1" s="1"/>
  <c r="O1432" i="1" a="1"/>
  <c r="O1432" i="1" s="1"/>
  <c r="O1433" i="1" a="1"/>
  <c r="O1433" i="1" s="1"/>
  <c r="O1434" i="1" a="1"/>
  <c r="O1434" i="1" s="1"/>
  <c r="O1435" i="1" a="1"/>
  <c r="O1435" i="1" s="1"/>
  <c r="O1436" i="1" a="1"/>
  <c r="O1436" i="1" s="1"/>
  <c r="O1437" i="1" a="1"/>
  <c r="O1437" i="1" s="1"/>
  <c r="O1438" i="1" a="1"/>
  <c r="O1438" i="1" s="1"/>
  <c r="O1439" i="1" a="1"/>
  <c r="O1439" i="1" s="1"/>
  <c r="O1440" i="1" a="1"/>
  <c r="O1440" i="1" s="1"/>
  <c r="O1441" i="1" a="1"/>
  <c r="O1441" i="1" s="1"/>
  <c r="O1442" i="1" a="1"/>
  <c r="O1442" i="1" s="1"/>
  <c r="O1443" i="1" a="1"/>
  <c r="O1443" i="1" s="1"/>
  <c r="O1444" i="1" a="1"/>
  <c r="O1444" i="1" s="1"/>
  <c r="O1445" i="1" a="1"/>
  <c r="O1445" i="1" s="1"/>
  <c r="O1446" i="1" a="1"/>
  <c r="O1446" i="1" s="1"/>
  <c r="O1447" i="1" a="1"/>
  <c r="O1447" i="1" s="1"/>
  <c r="O1448" i="1" a="1"/>
  <c r="O1448" i="1" s="1"/>
  <c r="O1449" i="1" a="1"/>
  <c r="O1449" i="1" s="1"/>
  <c r="O1450" i="1" a="1"/>
  <c r="O1450" i="1" s="1"/>
  <c r="O1451" i="1" a="1"/>
  <c r="O1451" i="1" s="1"/>
  <c r="O1452" i="1" a="1"/>
  <c r="O1452" i="1" s="1"/>
  <c r="O1453" i="1" a="1"/>
  <c r="O1453" i="1" s="1"/>
  <c r="O1454" i="1" a="1"/>
  <c r="O1454" i="1" s="1"/>
  <c r="O1455" i="1" a="1"/>
  <c r="O1455" i="1" s="1"/>
  <c r="O1456" i="1" a="1"/>
  <c r="O1456" i="1" s="1"/>
  <c r="O1457" i="1" a="1"/>
  <c r="O1457" i="1" s="1"/>
  <c r="O1458" i="1" a="1"/>
  <c r="O1458" i="1" s="1"/>
  <c r="O1459" i="1" a="1"/>
  <c r="O1459" i="1" s="1"/>
  <c r="O1460" i="1" a="1"/>
  <c r="O1460" i="1" s="1"/>
  <c r="O1461" i="1" a="1"/>
  <c r="O1461" i="1" s="1"/>
  <c r="O1462" i="1" a="1"/>
  <c r="O1462" i="1" s="1"/>
  <c r="O1463" i="1" a="1"/>
  <c r="O1463" i="1" s="1"/>
  <c r="O1464" i="1" a="1"/>
  <c r="O1464" i="1" s="1"/>
  <c r="O1465" i="1" a="1"/>
  <c r="O1465" i="1" s="1"/>
  <c r="O1466" i="1" a="1"/>
  <c r="O1466" i="1" s="1"/>
  <c r="O1467" i="1" a="1"/>
  <c r="O1467" i="1" s="1"/>
  <c r="O1468" i="1" a="1"/>
  <c r="O1468" i="1" s="1"/>
  <c r="O1469" i="1" a="1"/>
  <c r="O1469" i="1" s="1"/>
  <c r="O1470" i="1" a="1"/>
  <c r="O1470" i="1" s="1"/>
  <c r="O1471" i="1" a="1"/>
  <c r="O1471" i="1" s="1"/>
  <c r="O1472" i="1" a="1"/>
  <c r="O1472" i="1" s="1"/>
  <c r="O1473" i="1" a="1"/>
  <c r="O1473" i="1" s="1"/>
  <c r="O1474" i="1" a="1"/>
  <c r="O1474"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1488" i="1" a="1"/>
  <c r="O1488" i="1" s="1"/>
  <c r="O1489" i="1" a="1"/>
  <c r="O1489" i="1" s="1"/>
  <c r="O1490" i="1" a="1"/>
  <c r="O1490" i="1" s="1"/>
  <c r="O1491" i="1" a="1"/>
  <c r="O1491" i="1" s="1"/>
  <c r="O1492" i="1" a="1"/>
  <c r="O1492" i="1" s="1"/>
  <c r="O1493" i="1" a="1"/>
  <c r="O1493" i="1" s="1"/>
  <c r="O1494" i="1" a="1"/>
  <c r="O1494" i="1" s="1"/>
  <c r="O1495" i="1" a="1"/>
  <c r="O1495" i="1" s="1"/>
  <c r="O1496" i="1" a="1"/>
  <c r="O1496" i="1" s="1"/>
  <c r="O1497" i="1" a="1"/>
  <c r="O1497" i="1" s="1"/>
  <c r="O1498" i="1" a="1"/>
  <c r="O1498" i="1" s="1"/>
  <c r="O1499" i="1" a="1"/>
  <c r="O1499" i="1" s="1"/>
  <c r="O1500" i="1" a="1"/>
  <c r="O1500" i="1" s="1"/>
  <c r="O1501" i="1" a="1"/>
  <c r="O1501" i="1" s="1"/>
  <c r="O1502" i="1" a="1"/>
  <c r="O1502" i="1" s="1"/>
  <c r="O1503" i="1" a="1"/>
  <c r="O1503" i="1" s="1"/>
  <c r="O1504" i="1" a="1"/>
  <c r="O1504" i="1" s="1"/>
  <c r="O1505" i="1" a="1"/>
  <c r="O1505" i="1" s="1"/>
  <c r="O1506" i="1" a="1"/>
  <c r="O1506" i="1" s="1"/>
  <c r="O1507" i="1" a="1"/>
  <c r="O1507" i="1" s="1"/>
  <c r="O1508" i="1" a="1"/>
  <c r="O1508" i="1" s="1"/>
  <c r="O1509" i="1" a="1"/>
  <c r="O1509" i="1" s="1"/>
  <c r="O1510" i="1" a="1"/>
  <c r="O1510" i="1" s="1"/>
  <c r="O1511" i="1" a="1"/>
  <c r="O1511" i="1" s="1"/>
  <c r="O1512" i="1" a="1"/>
  <c r="O1512" i="1" s="1"/>
  <c r="O1513" i="1" a="1"/>
  <c r="O1513" i="1" s="1"/>
  <c r="O1514" i="1" a="1"/>
  <c r="O1514" i="1" s="1"/>
  <c r="O1515" i="1" a="1"/>
  <c r="O1515" i="1" s="1"/>
  <c r="O1516" i="1" a="1"/>
  <c r="O1516" i="1" s="1"/>
  <c r="O1517" i="1" a="1"/>
  <c r="O1517" i="1" s="1"/>
  <c r="O1518" i="1" a="1"/>
  <c r="O1518" i="1" s="1"/>
  <c r="O1519" i="1" a="1"/>
  <c r="O1519" i="1" s="1"/>
  <c r="O1520" i="1" a="1"/>
  <c r="O1520" i="1" s="1"/>
  <c r="O1521" i="1" a="1"/>
  <c r="O1521" i="1" s="1"/>
  <c r="O1522" i="1" a="1"/>
  <c r="O1522" i="1" s="1"/>
  <c r="O1523" i="1" a="1"/>
  <c r="O1523" i="1" s="1"/>
  <c r="O1524" i="1" a="1"/>
  <c r="O1524" i="1" s="1"/>
  <c r="O1525" i="1" a="1"/>
  <c r="O1525" i="1" s="1"/>
  <c r="O1526" i="1" a="1"/>
  <c r="O1526" i="1" s="1"/>
  <c r="O1527" i="1" a="1"/>
  <c r="O1527" i="1" s="1"/>
  <c r="O1528" i="1" a="1"/>
  <c r="O1528" i="1" s="1"/>
  <c r="O1529" i="1" a="1"/>
  <c r="O1529" i="1" s="1"/>
  <c r="O1530" i="1" a="1"/>
  <c r="O1530" i="1" s="1"/>
  <c r="O1531" i="1" a="1"/>
  <c r="O1531" i="1" s="1"/>
  <c r="O1532" i="1" a="1"/>
  <c r="O1532" i="1" s="1"/>
  <c r="O1533" i="1" a="1"/>
  <c r="O1533" i="1" s="1"/>
  <c r="O1534" i="1" a="1"/>
  <c r="O1534" i="1" s="1"/>
  <c r="O1535" i="1" a="1"/>
  <c r="O1535" i="1" s="1"/>
  <c r="O1536" i="1" a="1"/>
  <c r="O1536" i="1" s="1"/>
  <c r="O1537" i="1" a="1"/>
  <c r="O1537" i="1" s="1"/>
  <c r="O1538" i="1" a="1"/>
  <c r="O1538" i="1" s="1"/>
  <c r="O1539" i="1" a="1"/>
  <c r="O1539" i="1" s="1"/>
  <c r="O1540" i="1" a="1"/>
  <c r="O1540" i="1" s="1"/>
  <c r="O1541" i="1" a="1"/>
  <c r="O1541" i="1" s="1"/>
  <c r="O1542" i="1" a="1"/>
  <c r="O1542" i="1" s="1"/>
  <c r="O1543" i="1" a="1"/>
  <c r="O1543" i="1" s="1"/>
  <c r="O1544" i="1" a="1"/>
  <c r="O1544" i="1" s="1"/>
  <c r="O1545" i="1" a="1"/>
  <c r="O1545" i="1" s="1"/>
  <c r="O1546" i="1" a="1"/>
  <c r="O1546" i="1" s="1"/>
  <c r="O1547" i="1" a="1"/>
  <c r="O1547" i="1" s="1"/>
  <c r="O1548" i="1" a="1"/>
  <c r="O1548" i="1" s="1"/>
  <c r="O1549" i="1" a="1"/>
  <c r="O1549" i="1" s="1"/>
  <c r="O1550" i="1" a="1"/>
  <c r="O1550" i="1" s="1"/>
  <c r="O1551" i="1" a="1"/>
  <c r="O1551" i="1" s="1"/>
  <c r="O1552" i="1" a="1"/>
  <c r="O1552" i="1" s="1"/>
  <c r="O1553" i="1" a="1"/>
  <c r="O1553" i="1" s="1"/>
  <c r="O1554" i="1" a="1"/>
  <c r="O1554" i="1" s="1"/>
  <c r="O1555" i="1" a="1"/>
  <c r="O1555" i="1" s="1"/>
  <c r="O1556" i="1" a="1"/>
  <c r="O1556" i="1" s="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1570" i="1" a="1"/>
  <c r="O1570" i="1" s="1"/>
  <c r="O1571" i="1" a="1"/>
  <c r="O1571" i="1" s="1"/>
  <c r="O1572" i="1" a="1"/>
  <c r="O1572" i="1" s="1"/>
  <c r="O1573" i="1" a="1"/>
  <c r="O1573" i="1" s="1"/>
  <c r="O1574" i="1" a="1"/>
  <c r="O1574" i="1" s="1"/>
  <c r="O1575" i="1" a="1"/>
  <c r="O1575" i="1" s="1"/>
  <c r="O1576" i="1" a="1"/>
  <c r="O1576" i="1" s="1"/>
  <c r="O1577" i="1" a="1"/>
  <c r="O1577" i="1" s="1"/>
  <c r="O1578" i="1" a="1"/>
  <c r="O1578" i="1" s="1"/>
  <c r="O1579" i="1" a="1"/>
  <c r="O1579" i="1" s="1"/>
  <c r="O1580" i="1" a="1"/>
  <c r="O1580" i="1" s="1"/>
  <c r="O1581" i="1" a="1"/>
  <c r="O1581" i="1" s="1"/>
  <c r="O1582" i="1" a="1"/>
  <c r="O1582" i="1" s="1"/>
  <c r="O1583" i="1" a="1"/>
  <c r="O1583" i="1" s="1"/>
  <c r="O1584" i="1" a="1"/>
  <c r="O1584" i="1" s="1"/>
  <c r="O1585" i="1" a="1"/>
  <c r="O1585" i="1" s="1"/>
  <c r="O1586" i="1" a="1"/>
  <c r="O1586" i="1" s="1"/>
  <c r="O1587" i="1" a="1"/>
  <c r="O1587" i="1" s="1"/>
  <c r="O1588" i="1" a="1"/>
  <c r="O1588" i="1" s="1"/>
  <c r="O1589" i="1" a="1"/>
  <c r="O1589" i="1" s="1"/>
  <c r="O1590" i="1" a="1"/>
  <c r="O1590" i="1" s="1"/>
  <c r="O1591" i="1" a="1"/>
  <c r="O1591" i="1" s="1"/>
  <c r="O1592" i="1" a="1"/>
  <c r="O1592" i="1" s="1"/>
  <c r="O1593" i="1" a="1"/>
  <c r="O1593" i="1" s="1"/>
  <c r="O1594" i="1" a="1"/>
  <c r="O1594" i="1" s="1"/>
  <c r="O1595" i="1" a="1"/>
  <c r="O1595" i="1" s="1"/>
  <c r="O1596" i="1" a="1"/>
  <c r="O1596" i="1" s="1"/>
  <c r="O1597" i="1" a="1"/>
  <c r="O1597" i="1" s="1"/>
  <c r="O1598" i="1" a="1"/>
  <c r="O1598" i="1" s="1"/>
  <c r="O1599" i="1" a="1"/>
  <c r="O1599" i="1" s="1"/>
  <c r="O1600" i="1" a="1"/>
  <c r="O1600" i="1" s="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s="1"/>
  <c r="O1613" i="1" a="1"/>
  <c r="O1613" i="1" s="1"/>
  <c r="O1614" i="1" a="1"/>
  <c r="O1614" i="1" s="1"/>
  <c r="O1615" i="1" a="1"/>
  <c r="O1615" i="1" s="1"/>
  <c r="O1616" i="1" a="1"/>
  <c r="O1616" i="1" s="1"/>
  <c r="O1617" i="1" a="1"/>
  <c r="O161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s="1"/>
  <c r="O1631" i="1" a="1"/>
  <c r="O1631" i="1" s="1"/>
  <c r="O1632" i="1" a="1"/>
  <c r="O1632" i="1" s="1"/>
  <c r="O1633" i="1" a="1"/>
  <c r="O1633" i="1" s="1"/>
  <c r="O1634" i="1" a="1"/>
  <c r="O1634" i="1" s="1"/>
  <c r="O1635" i="1" a="1"/>
  <c r="O1635" i="1" s="1"/>
  <c r="O1636" i="1" a="1"/>
  <c r="O1636" i="1" s="1"/>
  <c r="O1637" i="1" a="1"/>
  <c r="O1637" i="1" s="1"/>
  <c r="O1638" i="1" a="1"/>
  <c r="O1638" i="1" s="1"/>
  <c r="O1639" i="1" a="1"/>
  <c r="O1639" i="1" s="1"/>
  <c r="O1640" i="1" a="1"/>
  <c r="O1640" i="1" s="1"/>
  <c r="O1641" i="1" a="1"/>
  <c r="O1641" i="1" s="1"/>
  <c r="O1642" i="1" a="1"/>
  <c r="O1642" i="1" s="1"/>
  <c r="O1643" i="1" a="1"/>
  <c r="O1643" i="1" s="1"/>
  <c r="O1644" i="1" a="1"/>
  <c r="O1644" i="1" s="1"/>
  <c r="O1645" i="1" a="1"/>
  <c r="O1645" i="1" s="1"/>
  <c r="O1646" i="1" a="1"/>
  <c r="O1646" i="1" s="1"/>
  <c r="O1647" i="1" a="1"/>
  <c r="O1647" i="1" s="1"/>
  <c r="O1648" i="1" a="1"/>
  <c r="O1648" i="1" s="1"/>
  <c r="O1649" i="1" a="1"/>
  <c r="O1649" i="1" s="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s="1"/>
  <c r="O1664" i="1" a="1"/>
  <c r="O1664" i="1" s="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s="1"/>
  <c r="O1681" i="1" a="1"/>
  <c r="O1681" i="1" s="1"/>
  <c r="O1682" i="1" a="1"/>
  <c r="O1682" i="1" s="1"/>
  <c r="O1683" i="1" a="1"/>
  <c r="O1683" i="1" s="1"/>
  <c r="O1684" i="1" a="1"/>
  <c r="O1684" i="1" s="1"/>
  <c r="O1685" i="1" a="1"/>
  <c r="O1685" i="1" s="1"/>
  <c r="O1686" i="1" a="1"/>
  <c r="O1686" i="1" s="1"/>
  <c r="O1687" i="1" a="1"/>
  <c r="O1687" i="1" s="1"/>
  <c r="O1688" i="1" a="1"/>
  <c r="O1688" i="1" s="1"/>
  <c r="O1689" i="1" a="1"/>
  <c r="O1689" i="1" s="1"/>
  <c r="O1690" i="1" a="1"/>
  <c r="O1690" i="1" s="1"/>
  <c r="O1691" i="1" a="1"/>
  <c r="O1691" i="1" s="1"/>
  <c r="O1692" i="1" a="1"/>
  <c r="O1692" i="1" s="1"/>
  <c r="O1693" i="1" a="1"/>
  <c r="O1693" i="1" s="1"/>
  <c r="O1694" i="1" a="1"/>
  <c r="O1694" i="1" s="1"/>
  <c r="O1695" i="1" a="1"/>
  <c r="O1695" i="1" s="1"/>
  <c r="O1696" i="1" a="1"/>
  <c r="O1696" i="1" s="1"/>
  <c r="O1697" i="1" a="1"/>
  <c r="O1697" i="1" s="1"/>
  <c r="O1698" i="1" a="1"/>
  <c r="O1698" i="1" s="1"/>
  <c r="O1699" i="1" a="1"/>
  <c r="O1699" i="1" s="1"/>
  <c r="O1700" i="1" a="1"/>
  <c r="O1700" i="1" s="1"/>
  <c r="O1701" i="1" a="1"/>
  <c r="O1701" i="1" s="1"/>
  <c r="O1702" i="1" a="1"/>
  <c r="O1702" i="1" s="1"/>
  <c r="O1703" i="1" a="1"/>
  <c r="O1703" i="1" s="1"/>
  <c r="O1704" i="1" a="1"/>
  <c r="O1704" i="1" s="1"/>
  <c r="O1705" i="1" a="1"/>
  <c r="O1705" i="1" s="1"/>
  <c r="O1706" i="1" a="1"/>
  <c r="O1706" i="1" s="1"/>
  <c r="O1707" i="1" a="1"/>
  <c r="O1707" i="1" s="1"/>
  <c r="O1708" i="1" a="1"/>
  <c r="O1708" i="1" s="1"/>
  <c r="O1709" i="1" a="1"/>
  <c r="O1709" i="1" s="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s="1"/>
  <c r="O1721" i="1" a="1"/>
  <c r="O1721" i="1" s="1"/>
  <c r="O1722" i="1" a="1"/>
  <c r="O1722" i="1" s="1"/>
  <c r="O1723" i="1" a="1"/>
  <c r="O1723" i="1" s="1"/>
  <c r="O1724" i="1" a="1"/>
  <c r="O1724" i="1" s="1"/>
  <c r="O1725" i="1" a="1"/>
  <c r="O1725" i="1" s="1"/>
  <c r="O1726" i="1" a="1"/>
  <c r="O1726" i="1" s="1"/>
  <c r="O1727" i="1" a="1"/>
  <c r="O1727" i="1" s="1"/>
  <c r="O1728" i="1" a="1"/>
  <c r="O1728" i="1" s="1"/>
  <c r="O1729" i="1" a="1"/>
  <c r="O172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1739" i="1" a="1"/>
  <c r="O1739" i="1" s="1"/>
  <c r="O1740" i="1" a="1"/>
  <c r="O1740" i="1" s="1"/>
  <c r="O1741" i="1" a="1"/>
  <c r="O1741" i="1" s="1"/>
  <c r="O1742" i="1" a="1"/>
  <c r="O1742" i="1" s="1"/>
  <c r="O1743" i="1" a="1"/>
  <c r="O1743" i="1" s="1"/>
  <c r="O1744" i="1" a="1"/>
  <c r="O1744" i="1" s="1"/>
  <c r="O1745" i="1" a="1"/>
  <c r="O1745" i="1" s="1"/>
  <c r="O1746" i="1" a="1"/>
  <c r="O1746" i="1" s="1"/>
  <c r="O1747" i="1" a="1"/>
  <c r="O1747" i="1" s="1"/>
  <c r="O1748" i="1" a="1"/>
  <c r="O1748" i="1" s="1"/>
  <c r="O1749" i="1" a="1"/>
  <c r="O1749" i="1" s="1"/>
  <c r="O1750" i="1" a="1"/>
  <c r="O1750" i="1" s="1"/>
  <c r="O1751" i="1" a="1"/>
  <c r="O1751" i="1" s="1"/>
  <c r="O1752" i="1" a="1"/>
  <c r="O1752" i="1" s="1"/>
  <c r="O1753" i="1" a="1"/>
  <c r="O1753" i="1" s="1"/>
  <c r="O1754" i="1" a="1"/>
  <c r="O1754" i="1" s="1"/>
  <c r="O1755" i="1" a="1"/>
  <c r="O1755" i="1" s="1"/>
  <c r="O1756" i="1" a="1"/>
  <c r="O1756" i="1" s="1"/>
  <c r="O1757" i="1" a="1"/>
  <c r="O1757" i="1" s="1"/>
  <c r="O1758" i="1" a="1"/>
  <c r="O1758" i="1" s="1"/>
  <c r="O1759" i="1" a="1"/>
  <c r="O1759" i="1" s="1"/>
  <c r="O1760" i="1" a="1"/>
  <c r="O1760" i="1" s="1"/>
  <c r="O1761" i="1" a="1"/>
  <c r="O1761" i="1" s="1"/>
  <c r="O1762" i="1" a="1"/>
  <c r="O1762" i="1" s="1"/>
  <c r="O1763" i="1" a="1"/>
  <c r="O1763" i="1" s="1"/>
  <c r="O1764" i="1" a="1"/>
  <c r="O1764" i="1" s="1"/>
  <c r="O1765" i="1" a="1"/>
  <c r="O1765" i="1" s="1"/>
  <c r="O1766" i="1" a="1"/>
  <c r="O1766" i="1" s="1"/>
  <c r="O1767" i="1" a="1"/>
  <c r="O1767" i="1" s="1"/>
  <c r="O1768" i="1" a="1"/>
  <c r="O1768" i="1" s="1"/>
  <c r="O1769" i="1" a="1"/>
  <c r="O1769" i="1" s="1"/>
  <c r="O1770" i="1" a="1"/>
  <c r="O1770" i="1" s="1"/>
  <c r="O1771" i="1" a="1"/>
  <c r="O1771" i="1" s="1"/>
  <c r="O1772" i="1" a="1"/>
  <c r="O1772" i="1" s="1"/>
  <c r="O1773" i="1" a="1"/>
  <c r="O1773" i="1" s="1"/>
  <c r="O1774" i="1" a="1"/>
  <c r="O1774" i="1" s="1"/>
  <c r="O1775" i="1" a="1"/>
  <c r="O1775" i="1" s="1"/>
  <c r="O1776" i="1" a="1"/>
  <c r="O1776" i="1" s="1"/>
  <c r="O1777" i="1" a="1"/>
  <c r="O1777" i="1" s="1"/>
  <c r="O1778" i="1" a="1"/>
  <c r="O1778" i="1" s="1"/>
  <c r="O1779" i="1" a="1"/>
  <c r="O1779" i="1" s="1"/>
  <c r="O1780" i="1" a="1"/>
  <c r="O1780" i="1" s="1"/>
  <c r="O1781" i="1" a="1"/>
  <c r="O1781" i="1" s="1"/>
  <c r="O1782" i="1" a="1"/>
  <c r="O1782" i="1" s="1"/>
  <c r="O1783" i="1" a="1"/>
  <c r="O1783" i="1" s="1"/>
  <c r="O1784" i="1" a="1"/>
  <c r="O1784" i="1" s="1"/>
  <c r="O1785" i="1" a="1"/>
  <c r="O1785" i="1" s="1"/>
  <c r="O1786" i="1" a="1"/>
  <c r="O1786" i="1" s="1"/>
  <c r="O1787" i="1" a="1"/>
  <c r="O1787" i="1" s="1"/>
  <c r="O1788" i="1" a="1"/>
  <c r="O1788" i="1" s="1"/>
  <c r="O1789" i="1" a="1"/>
  <c r="O1789" i="1" s="1"/>
  <c r="O1790" i="1" a="1"/>
  <c r="O1790" i="1" s="1"/>
  <c r="O1791" i="1" a="1"/>
  <c r="O1791" i="1" s="1"/>
  <c r="O1792" i="1" a="1"/>
  <c r="O1792" i="1" s="1"/>
  <c r="O1793" i="1" a="1"/>
  <c r="O1793" i="1" s="1"/>
  <c r="O1794" i="1" a="1"/>
  <c r="O1794" i="1" s="1"/>
  <c r="O1795" i="1" a="1"/>
  <c r="O1795" i="1" s="1"/>
  <c r="O1796" i="1" a="1"/>
  <c r="O1796" i="1" s="1"/>
  <c r="O1797" i="1" a="1"/>
  <c r="O1797" i="1" s="1"/>
  <c r="O1798" i="1" a="1"/>
  <c r="O1798" i="1" s="1"/>
  <c r="O1799" i="1" a="1"/>
  <c r="O1799" i="1" s="1"/>
  <c r="O1800" i="1" a="1"/>
  <c r="O1800" i="1" s="1"/>
  <c r="O1801" i="1" a="1"/>
  <c r="O1801"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s="1"/>
  <c r="O1812" i="1" a="1"/>
  <c r="O1812" i="1" s="1"/>
  <c r="O1813" i="1" a="1"/>
  <c r="O1813" i="1" s="1"/>
  <c r="O1814" i="1" a="1"/>
  <c r="O1814" i="1" s="1"/>
  <c r="O1815" i="1" a="1"/>
  <c r="O1815" i="1" s="1"/>
  <c r="O1816" i="1" a="1"/>
  <c r="O1816" i="1" s="1"/>
  <c r="O1817" i="1" a="1"/>
  <c r="O1817" i="1" s="1"/>
  <c r="O1818" i="1" a="1"/>
  <c r="O1818" i="1" s="1"/>
  <c r="O1819" i="1" a="1"/>
  <c r="O1819" i="1" s="1"/>
  <c r="O1820" i="1" a="1"/>
  <c r="O1820" i="1" s="1"/>
  <c r="O1821" i="1" a="1"/>
  <c r="O1821" i="1" s="1"/>
  <c r="O1822" i="1" a="1"/>
  <c r="O1822" i="1" s="1"/>
  <c r="O1823" i="1" a="1"/>
  <c r="O1823" i="1" s="1"/>
  <c r="O1824" i="1" a="1"/>
  <c r="O1824" i="1" s="1"/>
  <c r="O1825" i="1" a="1"/>
  <c r="O1825" i="1" s="1"/>
  <c r="O1826" i="1" a="1"/>
  <c r="O1826" i="1" s="1"/>
  <c r="O1827" i="1" a="1"/>
  <c r="O1827" i="1" s="1"/>
  <c r="O1828" i="1" a="1"/>
  <c r="O1828" i="1" s="1"/>
  <c r="O1829" i="1" a="1"/>
  <c r="O1829" i="1" s="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s="1"/>
  <c r="O1843" i="1" a="1"/>
  <c r="O1843" i="1" s="1"/>
  <c r="O1844" i="1" a="1"/>
  <c r="O1844" i="1" s="1"/>
  <c r="O1845" i="1" a="1"/>
  <c r="O1845" i="1" s="1"/>
  <c r="O1846" i="1" a="1"/>
  <c r="O1846" i="1" s="1"/>
  <c r="O1847" i="1" a="1"/>
  <c r="O1847" i="1" s="1"/>
  <c r="O1848" i="1" a="1"/>
  <c r="O1848" i="1" s="1"/>
  <c r="O1849" i="1" a="1"/>
  <c r="O1849" i="1" s="1"/>
  <c r="O1850" i="1" a="1"/>
  <c r="O1850" i="1" s="1"/>
  <c r="O1851" i="1" a="1"/>
  <c r="O1851" i="1" s="1"/>
  <c r="O1852" i="1" a="1"/>
  <c r="O1852" i="1" s="1"/>
  <c r="O1853" i="1" a="1"/>
  <c r="O1853" i="1" s="1"/>
  <c r="O1854" i="1" a="1"/>
  <c r="O1854" i="1" s="1"/>
  <c r="O1855" i="1" a="1"/>
  <c r="O1855" i="1" s="1"/>
  <c r="O1856" i="1" a="1"/>
  <c r="O1856" i="1" s="1"/>
  <c r="O1857" i="1" a="1"/>
  <c r="O1857" i="1" s="1"/>
  <c r="O1858" i="1" a="1"/>
  <c r="O1858" i="1" s="1"/>
  <c r="O1859" i="1" a="1"/>
  <c r="O1859" i="1" s="1"/>
  <c r="O1860" i="1" a="1"/>
  <c r="O1860" i="1" s="1"/>
  <c r="O1861" i="1" a="1"/>
  <c r="O1861" i="1" s="1"/>
  <c r="O1862" i="1" a="1"/>
  <c r="O1862" i="1" s="1"/>
  <c r="O1863" i="1" a="1"/>
  <c r="O1863" i="1" s="1"/>
  <c r="O1864" i="1" a="1"/>
  <c r="O1864" i="1" s="1"/>
  <c r="O1865" i="1" a="1"/>
  <c r="O1865" i="1" s="1"/>
  <c r="O1866" i="1" a="1"/>
  <c r="O1866" i="1" s="1"/>
  <c r="O1867" i="1" a="1"/>
  <c r="O1867" i="1" s="1"/>
  <c r="O1868" i="1" a="1"/>
  <c r="O1868" i="1" s="1"/>
  <c r="O1869" i="1" a="1"/>
  <c r="O1869" i="1" s="1"/>
  <c r="O1870" i="1" a="1"/>
  <c r="O1870" i="1" s="1"/>
  <c r="O1871" i="1" a="1"/>
  <c r="O1871" i="1" s="1"/>
  <c r="O1872" i="1" a="1"/>
  <c r="O1872" i="1" s="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s="1"/>
  <c r="O1884" i="1" a="1"/>
  <c r="O1884" i="1" s="1"/>
  <c r="O1885" i="1" a="1"/>
  <c r="O1885" i="1" s="1"/>
  <c r="O1886" i="1" a="1"/>
  <c r="O1886" i="1" s="1"/>
  <c r="O1887" i="1" a="1"/>
  <c r="O1887" i="1" s="1"/>
  <c r="O1888" i="1" a="1"/>
  <c r="O1888" i="1" s="1"/>
  <c r="O1889" i="1" a="1"/>
  <c r="O1889" i="1" s="1"/>
  <c r="O1890" i="1" a="1"/>
  <c r="O1890" i="1" s="1"/>
  <c r="O1891" i="1" a="1"/>
  <c r="O1891" i="1" s="1"/>
  <c r="O1892" i="1" a="1"/>
  <c r="O1892" i="1" s="1"/>
  <c r="O1893" i="1" a="1"/>
  <c r="O1893" i="1" s="1"/>
  <c r="O1894" i="1" a="1"/>
  <c r="O1894" i="1" s="1"/>
  <c r="O1895" i="1" a="1"/>
  <c r="O1895" i="1" s="1"/>
  <c r="O1896" i="1" a="1"/>
  <c r="O1896" i="1" s="1"/>
  <c r="O1897" i="1" a="1"/>
  <c r="O1897" i="1" s="1"/>
  <c r="O1898" i="1" a="1"/>
  <c r="O1898" i="1" s="1"/>
  <c r="O1899" i="1" a="1"/>
  <c r="O1899" i="1" s="1"/>
  <c r="O1900" i="1" a="1"/>
  <c r="O1900" i="1" s="1"/>
  <c r="O1901" i="1" a="1"/>
  <c r="O1901" i="1" s="1"/>
  <c r="O1902" i="1" a="1"/>
  <c r="O1902" i="1" s="1"/>
  <c r="O1903" i="1" a="1"/>
  <c r="O1903" i="1" s="1"/>
  <c r="O1904" i="1" a="1"/>
  <c r="O1904" i="1" s="1"/>
  <c r="O1905" i="1" a="1"/>
  <c r="O1905" i="1" s="1"/>
  <c r="O1906" i="1" a="1"/>
  <c r="O1906" i="1" s="1"/>
  <c r="O1907" i="1" a="1"/>
  <c r="O1907" i="1" s="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s="1"/>
  <c r="O1920" i="1" a="1"/>
  <c r="O1920" i="1" s="1"/>
  <c r="O1921" i="1" a="1"/>
  <c r="O1921" i="1" s="1"/>
  <c r="O1922" i="1" a="1"/>
  <c r="O1922" i="1" s="1"/>
  <c r="O1923" i="1" a="1"/>
  <c r="O1923" i="1" s="1"/>
  <c r="O1924" i="1" a="1"/>
  <c r="O1924" i="1" s="1"/>
  <c r="O1925" i="1" a="1"/>
  <c r="O1925" i="1" s="1"/>
  <c r="O1926" i="1" a="1"/>
  <c r="O1926" i="1" s="1"/>
  <c r="O1927" i="1" a="1"/>
  <c r="O1927" i="1" s="1"/>
  <c r="O1928" i="1" a="1"/>
  <c r="O1928" i="1" s="1"/>
  <c r="O1929" i="1" a="1"/>
  <c r="O1929" i="1" s="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944" i="1" a="1"/>
  <c r="O1944" i="1" s="1"/>
  <c r="O1945" i="1" a="1"/>
  <c r="O1945" i="1" s="1"/>
  <c r="O1946" i="1" a="1"/>
  <c r="O1946" i="1" s="1"/>
  <c r="O1947" i="1" a="1"/>
  <c r="O1947" i="1" s="1"/>
  <c r="O1948" i="1" a="1"/>
  <c r="O1948" i="1" s="1"/>
  <c r="O1949" i="1" a="1"/>
  <c r="O1949" i="1" s="1"/>
  <c r="O1950" i="1" a="1"/>
  <c r="O1950" i="1" s="1"/>
  <c r="O1951" i="1" a="1"/>
  <c r="O1951" i="1" s="1"/>
  <c r="O1952" i="1" a="1"/>
  <c r="O1952" i="1" s="1"/>
  <c r="O1953" i="1" a="1"/>
  <c r="O1953" i="1" s="1"/>
  <c r="O1954" i="1" a="1"/>
  <c r="O1954" i="1" s="1"/>
  <c r="O1955" i="1" a="1"/>
  <c r="O1955" i="1" s="1"/>
  <c r="O1956" i="1" a="1"/>
  <c r="O1956" i="1" s="1"/>
  <c r="O1957" i="1" a="1"/>
  <c r="O1957" i="1" s="1"/>
  <c r="O1958" i="1" a="1"/>
  <c r="O1958" i="1" s="1"/>
  <c r="O1959" i="1" a="1"/>
  <c r="O1959" i="1" s="1"/>
  <c r="O1960" i="1" a="1"/>
  <c r="O1960" i="1" s="1"/>
  <c r="O1961" i="1" a="1"/>
  <c r="O1961" i="1" s="1"/>
  <c r="O1962" i="1" a="1"/>
  <c r="O1962" i="1" s="1"/>
  <c r="O1963" i="1" a="1"/>
  <c r="O1963" i="1" s="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s="1"/>
  <c r="O1976" i="1" a="1"/>
  <c r="O1976" i="1" s="1"/>
  <c r="O1977" i="1" a="1"/>
  <c r="O1977" i="1" s="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s="1"/>
  <c r="O1988" i="1" a="1"/>
  <c r="O1988" i="1" s="1"/>
  <c r="O1989" i="1" a="1"/>
  <c r="O1989" i="1" s="1"/>
  <c r="O1990" i="1" a="1"/>
  <c r="O1990" i="1" s="1"/>
  <c r="O1991" i="1" a="1"/>
  <c r="O1991" i="1" s="1"/>
  <c r="O1992" i="1" a="1"/>
  <c r="O1992" i="1" s="1"/>
  <c r="O1993" i="1" a="1"/>
  <c r="O1993" i="1" s="1"/>
  <c r="O1994" i="1" a="1"/>
  <c r="O1994" i="1" s="1"/>
  <c r="O1995" i="1" a="1"/>
  <c r="O1995" i="1" s="1"/>
  <c r="O1996" i="1" a="1"/>
  <c r="O1996" i="1" s="1"/>
  <c r="O1997" i="1" a="1"/>
  <c r="O1997" i="1" s="1"/>
  <c r="O1998" i="1" a="1"/>
  <c r="O1998" i="1" s="1"/>
  <c r="O1999" i="1" a="1"/>
  <c r="O1999" i="1" s="1"/>
  <c r="O2000" i="1" a="1"/>
  <c r="O2000" i="1" s="1"/>
  <c r="O2001" i="1" a="1"/>
  <c r="O2001" i="1" s="1"/>
  <c r="O2002" i="1" a="1"/>
  <c r="O2002" i="1" s="1"/>
  <c r="O2003" i="1" a="1"/>
  <c r="O2003" i="1" s="1"/>
  <c r="O2004" i="1" a="1"/>
  <c r="O2004" i="1" s="1"/>
  <c r="O2005" i="1" a="1"/>
  <c r="O2005" i="1" s="1"/>
  <c r="O2006" i="1" a="1"/>
  <c r="O2006" i="1" s="1"/>
  <c r="O2007" i="1" a="1"/>
  <c r="O2007" i="1" s="1"/>
  <c r="O2008" i="1" a="1"/>
  <c r="O2008" i="1" s="1"/>
  <c r="O2009" i="1" a="1"/>
  <c r="O2009" i="1" s="1"/>
  <c r="O2010" i="1" a="1"/>
  <c r="O2010" i="1" s="1"/>
  <c r="O2011" i="1" a="1"/>
  <c r="O2011" i="1" s="1"/>
  <c r="O2012" i="1" a="1"/>
  <c r="O2012" i="1" s="1"/>
  <c r="O2013" i="1" a="1"/>
  <c r="O2013" i="1" s="1"/>
  <c r="O2014" i="1" a="1"/>
  <c r="O2014" i="1" s="1"/>
  <c r="O2015" i="1" a="1"/>
  <c r="O2015" i="1" s="1"/>
  <c r="O2016" i="1" a="1"/>
  <c r="O2016" i="1" s="1"/>
  <c r="O2017" i="1" a="1"/>
  <c r="O2017" i="1" s="1"/>
  <c r="O2018" i="1" a="1"/>
  <c r="O2018" i="1" s="1"/>
  <c r="O2019" i="1" a="1"/>
  <c r="O2019" i="1" s="1"/>
  <c r="O2020" i="1" a="1"/>
  <c r="O2020" i="1" s="1"/>
  <c r="O2021" i="1" a="1"/>
  <c r="O2021" i="1" s="1"/>
  <c r="O2022" i="1" a="1"/>
  <c r="O2022" i="1" s="1"/>
  <c r="O2023" i="1" a="1"/>
  <c r="O2023" i="1" s="1"/>
  <c r="O2024" i="1" a="1"/>
  <c r="O2024" i="1" s="1"/>
  <c r="O2025" i="1" a="1"/>
  <c r="O2025" i="1" s="1"/>
  <c r="O2026" i="1" a="1"/>
  <c r="O2026" i="1" s="1"/>
  <c r="O2027" i="1" a="1"/>
  <c r="O2027" i="1" s="1"/>
  <c r="O2028" i="1" a="1"/>
  <c r="O2028" i="1" s="1"/>
  <c r="O2029" i="1" a="1"/>
  <c r="O2029" i="1" s="1"/>
  <c r="O2030" i="1" a="1"/>
  <c r="O2030" i="1" s="1"/>
  <c r="O2031" i="1" a="1"/>
  <c r="O2031" i="1" s="1"/>
  <c r="O2032" i="1" a="1"/>
  <c r="O2032" i="1" s="1"/>
  <c r="O2033" i="1" a="1"/>
  <c r="O2033" i="1" s="1"/>
  <c r="O2034" i="1" a="1"/>
  <c r="O2034" i="1" s="1"/>
  <c r="O2035" i="1" a="1"/>
  <c r="O2035" i="1" s="1"/>
  <c r="O2036" i="1" a="1"/>
  <c r="O2036" i="1" s="1"/>
  <c r="O2037" i="1" a="1"/>
  <c r="O2037" i="1" s="1"/>
  <c r="O2038" i="1" a="1"/>
  <c r="O2038" i="1" s="1"/>
  <c r="O2039" i="1" a="1"/>
  <c r="O2039" i="1" s="1"/>
  <c r="O2040" i="1" a="1"/>
  <c r="O2040" i="1" s="1"/>
  <c r="O2041" i="1" a="1"/>
  <c r="O2041" i="1" s="1"/>
  <c r="O2042" i="1" a="1"/>
  <c r="O2042" i="1" s="1"/>
  <c r="O2043" i="1" a="1"/>
  <c r="O2043" i="1" s="1"/>
  <c r="O2044" i="1" a="1"/>
  <c r="O2044" i="1" s="1"/>
  <c r="O2045" i="1" a="1"/>
  <c r="O2045" i="1" s="1"/>
  <c r="O2046" i="1" a="1"/>
  <c r="O2046" i="1" s="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s="1"/>
  <c r="O2058" i="1" a="1"/>
  <c r="O2058" i="1" s="1"/>
  <c r="O2059" i="1" a="1"/>
  <c r="O2059" i="1" s="1"/>
  <c r="O2060" i="1" a="1"/>
  <c r="O2060" i="1" s="1"/>
  <c r="O2061" i="1" a="1"/>
  <c r="O2061" i="1" s="1"/>
  <c r="O2062" i="1" a="1"/>
  <c r="O2062" i="1" s="1"/>
  <c r="O2063" i="1" a="1"/>
  <c r="O2063" i="1" s="1"/>
  <c r="O2064" i="1" a="1"/>
  <c r="O2064" i="1" s="1"/>
  <c r="O2065" i="1" a="1"/>
  <c r="O2065" i="1" s="1"/>
  <c r="O2066" i="1" a="1"/>
  <c r="O2066" i="1" s="1"/>
  <c r="O2067" i="1" a="1"/>
  <c r="O2067" i="1" s="1"/>
  <c r="O2068" i="1" a="1"/>
  <c r="O2068" i="1" s="1"/>
  <c r="O2069" i="1" a="1"/>
  <c r="O2069" i="1" s="1"/>
  <c r="O2070" i="1" a="1"/>
  <c r="O2070" i="1" s="1"/>
  <c r="O2071" i="1" a="1"/>
  <c r="O2071" i="1" s="1"/>
  <c r="O2072" i="1" a="1"/>
  <c r="O2072" i="1" s="1"/>
  <c r="O2073" i="1" a="1"/>
  <c r="O2073" i="1" s="1"/>
  <c r="O2074" i="1" a="1"/>
  <c r="O2074" i="1" s="1"/>
  <c r="O2075" i="1" a="1"/>
  <c r="O2075" i="1" s="1"/>
  <c r="O2076" i="1" a="1"/>
  <c r="O2076" i="1" s="1"/>
  <c r="O2077" i="1" a="1"/>
  <c r="O2077" i="1" s="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s="1"/>
  <c r="O2090" i="1" a="1"/>
  <c r="O2090" i="1" s="1"/>
  <c r="O2091" i="1" a="1"/>
  <c r="O2091" i="1" s="1"/>
  <c r="O2092" i="1" a="1"/>
  <c r="O2092" i="1" s="1"/>
  <c r="O2093" i="1" a="1"/>
  <c r="O2093" i="1" s="1"/>
  <c r="O2094" i="1" a="1"/>
  <c r="O2094" i="1" s="1"/>
  <c r="O2095" i="1" a="1"/>
  <c r="O2095" i="1" s="1"/>
  <c r="O2096" i="1" a="1"/>
  <c r="O2096" i="1" s="1"/>
  <c r="O2097" i="1" a="1"/>
  <c r="O2097" i="1" s="1"/>
  <c r="O2098" i="1" a="1"/>
  <c r="O2098" i="1" s="1"/>
  <c r="O2099" i="1" a="1"/>
  <c r="O2099" i="1" s="1"/>
  <c r="O2100" i="1" a="1"/>
  <c r="O2100" i="1" s="1"/>
  <c r="O2101" i="1" a="1"/>
  <c r="O2101" i="1" s="1"/>
  <c r="O2102" i="1" a="1"/>
  <c r="O2102" i="1" s="1"/>
  <c r="O2103" i="1" a="1"/>
  <c r="O2103" i="1" s="1"/>
  <c r="O2104" i="1" a="1"/>
  <c r="O2104" i="1" s="1"/>
  <c r="O2105" i="1" a="1"/>
  <c r="O2105" i="1" s="1"/>
  <c r="O2106" i="1" a="1"/>
  <c r="O2106" i="1" s="1"/>
  <c r="O2107" i="1" a="1"/>
  <c r="O2107" i="1" s="1"/>
  <c r="O2108" i="1" a="1"/>
  <c r="O2108" i="1" s="1"/>
  <c r="O2109" i="1" a="1"/>
  <c r="O2109" i="1" s="1"/>
  <c r="O2110" i="1" a="1"/>
  <c r="O2110" i="1" s="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s="1"/>
  <c r="O2122" i="1" a="1"/>
  <c r="O2122" i="1" s="1"/>
  <c r="O2123" i="1" a="1"/>
  <c r="O2123" i="1" s="1"/>
  <c r="O2124" i="1" a="1"/>
  <c r="O2124" i="1" s="1"/>
  <c r="O2125" i="1" a="1"/>
  <c r="O2125" i="1" s="1"/>
  <c r="O2126" i="1" a="1"/>
  <c r="O2126" i="1" s="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s="1"/>
  <c r="O2139" i="1" a="1"/>
  <c r="O2139" i="1" s="1"/>
  <c r="O2140" i="1" a="1"/>
  <c r="O2140" i="1" s="1"/>
  <c r="O2141" i="1" a="1"/>
  <c r="O2141" i="1" s="1"/>
  <c r="O2142" i="1" a="1"/>
  <c r="O2142" i="1" s="1"/>
  <c r="O2143" i="1" a="1"/>
  <c r="O2143" i="1" s="1"/>
  <c r="O2144" i="1" a="1"/>
  <c r="O2144" i="1" s="1"/>
  <c r="O2145" i="1" a="1"/>
  <c r="O2145" i="1" s="1"/>
  <c r="O2146" i="1" a="1"/>
  <c r="O2146" i="1" s="1"/>
  <c r="O2147" i="1" a="1"/>
  <c r="O2147" i="1" s="1"/>
  <c r="O2148" i="1" a="1"/>
  <c r="O2148" i="1" s="1"/>
  <c r="O2149" i="1" a="1"/>
  <c r="O2149" i="1" s="1"/>
  <c r="O2150" i="1" a="1"/>
  <c r="O2150" i="1" s="1"/>
  <c r="O2151" i="1" a="1"/>
  <c r="O2151" i="1" s="1"/>
  <c r="O2152" i="1" a="1"/>
  <c r="O2152" i="1" s="1"/>
  <c r="O2153" i="1" a="1"/>
  <c r="O2153" i="1" s="1"/>
  <c r="O2154" i="1" a="1"/>
  <c r="O2154" i="1" s="1"/>
  <c r="O2155" i="1" a="1"/>
  <c r="O2155" i="1" s="1"/>
  <c r="O2156" i="1" a="1"/>
  <c r="O2156" i="1" s="1"/>
  <c r="O2157" i="1" a="1"/>
  <c r="O2157" i="1" s="1"/>
  <c r="O2158" i="1" a="1"/>
  <c r="O2158" i="1" s="1"/>
  <c r="O2159" i="1" a="1"/>
  <c r="O2159" i="1" s="1"/>
  <c r="O2160" i="1" a="1"/>
  <c r="O2160" i="1" s="1"/>
  <c r="O2161" i="1" a="1"/>
  <c r="O2161" i="1" s="1"/>
  <c r="O2162" i="1" a="1"/>
  <c r="O2162" i="1" s="1"/>
  <c r="O2163" i="1" a="1"/>
  <c r="O2163" i="1" s="1"/>
  <c r="O2164" i="1" a="1"/>
  <c r="O2164" i="1" s="1"/>
  <c r="O2165" i="1" a="1"/>
  <c r="O2165" i="1" s="1"/>
  <c r="O2166" i="1" a="1"/>
  <c r="O2166" i="1" s="1"/>
  <c r="O2167" i="1" a="1"/>
  <c r="O2167" i="1" s="1"/>
  <c r="O2168" i="1" a="1"/>
  <c r="O2168" i="1" s="1"/>
  <c r="O2169" i="1" a="1"/>
  <c r="O2169" i="1" s="1"/>
  <c r="O2170" i="1" a="1"/>
  <c r="O2170" i="1" s="1"/>
  <c r="O2171" i="1" a="1"/>
  <c r="O2171" i="1" s="1"/>
  <c r="O2172" i="1" a="1"/>
  <c r="O2172" i="1" s="1"/>
  <c r="O2173" i="1" a="1"/>
  <c r="O2173" i="1" s="1"/>
  <c r="O2174" i="1" a="1"/>
  <c r="O2174" i="1" s="1"/>
  <c r="O2175" i="1" a="1"/>
  <c r="O2175" i="1" s="1"/>
  <c r="O2176" i="1" a="1"/>
  <c r="O2176" i="1" s="1"/>
  <c r="O2177" i="1" a="1"/>
  <c r="O2177" i="1" s="1"/>
  <c r="O2178" i="1" a="1"/>
  <c r="O2178" i="1" s="1"/>
  <c r="O2179" i="1" a="1"/>
  <c r="O2179" i="1" s="1"/>
  <c r="O2180" i="1" a="1"/>
  <c r="O2180" i="1" s="1"/>
  <c r="O2181" i="1" a="1"/>
  <c r="O2181" i="1" s="1"/>
  <c r="O2182" i="1" a="1"/>
  <c r="O2182" i="1" s="1"/>
  <c r="O2183" i="1" a="1"/>
  <c r="O2183" i="1" s="1"/>
  <c r="O2184" i="1" a="1"/>
  <c r="O2184" i="1" s="1"/>
  <c r="O2185" i="1" a="1"/>
  <c r="O2185" i="1" s="1"/>
  <c r="O2186" i="1" a="1"/>
  <c r="O2186" i="1" s="1"/>
  <c r="O2187" i="1" a="1"/>
  <c r="O2187" i="1" s="1"/>
  <c r="O2188" i="1" a="1"/>
  <c r="O2188" i="1" s="1"/>
  <c r="O2189" i="1" a="1"/>
  <c r="O2189" i="1" s="1"/>
  <c r="O2190" i="1" a="1"/>
  <c r="O2190" i="1" s="1"/>
  <c r="O2191" i="1" a="1"/>
  <c r="O2191" i="1" s="1"/>
  <c r="O2192" i="1" a="1"/>
  <c r="O2192" i="1" s="1"/>
  <c r="O2193" i="1" a="1"/>
  <c r="O2193" i="1" s="1"/>
  <c r="O2194" i="1" a="1"/>
  <c r="O2194" i="1" s="1"/>
  <c r="O2195" i="1" a="1"/>
  <c r="O2195" i="1" s="1"/>
  <c r="O2196" i="1" a="1"/>
  <c r="O2196" i="1" s="1"/>
  <c r="O2197" i="1" a="1"/>
  <c r="O2197" i="1" s="1"/>
  <c r="O2198" i="1" a="1"/>
  <c r="O2198" i="1" s="1"/>
  <c r="O2199" i="1" a="1"/>
  <c r="O2199" i="1" s="1"/>
  <c r="O2200" i="1" a="1"/>
  <c r="O2200" i="1" s="1"/>
  <c r="O2201" i="1" a="1"/>
  <c r="O2201" i="1" s="1"/>
  <c r="O2202" i="1" a="1"/>
  <c r="O2202" i="1" s="1"/>
  <c r="O2203" i="1" a="1"/>
  <c r="O2203" i="1" s="1"/>
  <c r="O2204" i="1" a="1"/>
  <c r="O2204" i="1" s="1"/>
  <c r="O2205" i="1" a="1"/>
  <c r="O2205" i="1" s="1"/>
  <c r="O2206" i="1" a="1"/>
  <c r="O2206" i="1" s="1"/>
  <c r="O2207" i="1" a="1"/>
  <c r="O2207" i="1" s="1"/>
  <c r="O2208" i="1" a="1"/>
  <c r="O2208" i="1" s="1"/>
  <c r="O2209" i="1" a="1"/>
  <c r="O2209" i="1" s="1"/>
  <c r="O2210" i="1" a="1"/>
  <c r="O2210" i="1" s="1"/>
  <c r="O2211" i="1" a="1"/>
  <c r="O2211" i="1" s="1"/>
  <c r="O2212" i="1" a="1"/>
  <c r="O2212" i="1" s="1"/>
  <c r="O2213" i="1" a="1"/>
  <c r="O2213" i="1" s="1"/>
  <c r="O2214" i="1" a="1"/>
  <c r="O2214" i="1" s="1"/>
  <c r="O2215" i="1" a="1"/>
  <c r="O2215" i="1" s="1"/>
  <c r="O2216" i="1" a="1"/>
  <c r="O2216" i="1" s="1"/>
  <c r="O2217" i="1" a="1"/>
  <c r="O2217" i="1" s="1"/>
  <c r="O2218" i="1" a="1"/>
  <c r="O2218" i="1" s="1"/>
  <c r="O2219" i="1" a="1"/>
  <c r="O2219" i="1" s="1"/>
  <c r="O2220" i="1" a="1"/>
  <c r="O2220" i="1" s="1"/>
  <c r="O2221" i="1" a="1"/>
  <c r="O2221" i="1" s="1"/>
  <c r="P2" i="1" a="1"/>
  <c r="P2" i="1" s="1"/>
  <c r="P3" i="1" a="1"/>
  <c r="P3" i="1" s="1"/>
  <c r="P4" i="1" a="1"/>
  <c r="P4" i="1" s="1"/>
  <c r="P5" i="1" a="1"/>
  <c r="P5" i="1" s="1"/>
  <c r="P6" i="1" a="1"/>
  <c r="P6" i="1" s="1"/>
  <c r="P7" i="1" a="1"/>
  <c r="P7" i="1" s="1"/>
  <c r="P8" i="1" a="1"/>
  <c r="P8" i="1" s="1"/>
  <c r="P9" i="1" a="1"/>
  <c r="P9" i="1" s="1"/>
  <c r="P10" i="1" a="1"/>
  <c r="P10" i="1" s="1"/>
  <c r="P11" i="1" a="1"/>
  <c r="P11" i="1" s="1"/>
  <c r="P12" i="1" a="1"/>
  <c r="P12" i="1" s="1"/>
  <c r="P13" i="1" a="1"/>
  <c r="P13" i="1" s="1"/>
  <c r="P14" i="1" a="1"/>
  <c r="P14" i="1" s="1"/>
  <c r="P15" i="1" a="1"/>
  <c r="P15" i="1" s="1"/>
  <c r="P16" i="1" a="1"/>
  <c r="P16" i="1" s="1"/>
  <c r="P17" i="1" a="1"/>
  <c r="P17" i="1" s="1"/>
  <c r="P18" i="1" a="1"/>
  <c r="P18" i="1" s="1"/>
  <c r="P19" i="1" a="1"/>
  <c r="P19" i="1" s="1"/>
  <c r="P20" i="1" a="1"/>
  <c r="P20" i="1" s="1"/>
  <c r="P21" i="1" a="1"/>
  <c r="P21" i="1" s="1"/>
  <c r="P22" i="1" a="1"/>
  <c r="P22" i="1" s="1"/>
  <c r="P23" i="1" a="1"/>
  <c r="P23" i="1" s="1"/>
  <c r="P24" i="1" a="1"/>
  <c r="P24" i="1" s="1"/>
  <c r="P25" i="1" a="1"/>
  <c r="P25" i="1" s="1"/>
  <c r="P26" i="1" a="1"/>
  <c r="P26" i="1" s="1"/>
  <c r="P27" i="1" a="1"/>
  <c r="P27" i="1" s="1"/>
  <c r="P28" i="1" a="1"/>
  <c r="P28" i="1" s="1"/>
  <c r="P29" i="1" a="1"/>
  <c r="P29" i="1" s="1"/>
  <c r="P30" i="1" a="1"/>
  <c r="P30" i="1" s="1"/>
  <c r="P31" i="1" a="1"/>
  <c r="P31" i="1" s="1"/>
  <c r="P32" i="1" a="1"/>
  <c r="P32" i="1" s="1"/>
  <c r="P33" i="1" a="1"/>
  <c r="P33" i="1" s="1"/>
  <c r="P34" i="1" a="1"/>
  <c r="P34" i="1" s="1"/>
  <c r="P35" i="1" a="1"/>
  <c r="P35" i="1" s="1"/>
  <c r="P36" i="1" a="1"/>
  <c r="P36" i="1" s="1"/>
  <c r="P37" i="1" a="1"/>
  <c r="P37" i="1" s="1"/>
  <c r="P38" i="1" a="1"/>
  <c r="P38" i="1" s="1"/>
  <c r="P39" i="1" a="1"/>
  <c r="P39" i="1" s="1"/>
  <c r="P40" i="1" a="1"/>
  <c r="P40" i="1" s="1"/>
  <c r="P41" i="1" a="1"/>
  <c r="P41" i="1" s="1"/>
  <c r="P42" i="1" a="1"/>
  <c r="P42" i="1" s="1"/>
  <c r="P43" i="1" a="1"/>
  <c r="P43" i="1" s="1"/>
  <c r="P44" i="1" a="1"/>
  <c r="P44" i="1" s="1"/>
  <c r="P45" i="1" a="1"/>
  <c r="P45" i="1" s="1"/>
  <c r="P46" i="1" a="1"/>
  <c r="P46" i="1" s="1"/>
  <c r="P47" i="1" a="1"/>
  <c r="P47" i="1" s="1"/>
  <c r="P48" i="1" a="1"/>
  <c r="P48" i="1" s="1"/>
  <c r="P49" i="1" a="1"/>
  <c r="P49" i="1" s="1"/>
  <c r="P50" i="1" a="1"/>
  <c r="P50" i="1" s="1"/>
  <c r="P51" i="1" a="1"/>
  <c r="P51" i="1" s="1"/>
  <c r="P52" i="1" a="1"/>
  <c r="P52" i="1" s="1"/>
  <c r="P53" i="1" a="1"/>
  <c r="P53" i="1" s="1"/>
  <c r="P54" i="1" a="1"/>
  <c r="P54" i="1" s="1"/>
  <c r="P55" i="1" a="1"/>
  <c r="P55" i="1" s="1"/>
  <c r="P56" i="1" a="1"/>
  <c r="P56" i="1" s="1"/>
  <c r="P57" i="1" a="1"/>
  <c r="P57" i="1" s="1"/>
  <c r="P58" i="1" a="1"/>
  <c r="P58" i="1" s="1"/>
  <c r="P59" i="1" a="1"/>
  <c r="P59" i="1" s="1"/>
  <c r="P60" i="1" a="1"/>
  <c r="P60" i="1" s="1"/>
  <c r="P61" i="1" a="1"/>
  <c r="P61" i="1" s="1"/>
  <c r="P62" i="1" a="1"/>
  <c r="P62" i="1" s="1"/>
  <c r="P63" i="1" a="1"/>
  <c r="P63" i="1" s="1"/>
  <c r="P64" i="1" a="1"/>
  <c r="P64" i="1" s="1"/>
  <c r="P65" i="1" a="1"/>
  <c r="P65" i="1" s="1"/>
  <c r="P66" i="1" a="1"/>
  <c r="P66" i="1" s="1"/>
  <c r="P67" i="1" a="1"/>
  <c r="P67" i="1" s="1"/>
  <c r="P68" i="1" a="1"/>
  <c r="P68" i="1" s="1"/>
  <c r="P69" i="1" a="1"/>
  <c r="P69" i="1" s="1"/>
  <c r="P70" i="1" a="1"/>
  <c r="P70" i="1" s="1"/>
  <c r="P71" i="1" a="1"/>
  <c r="P71" i="1" s="1"/>
  <c r="P72" i="1" a="1"/>
  <c r="P72" i="1" s="1"/>
  <c r="P73" i="1" a="1"/>
  <c r="P73" i="1" s="1"/>
  <c r="P74" i="1" a="1"/>
  <c r="P74" i="1" s="1"/>
  <c r="P75" i="1" a="1"/>
  <c r="P75" i="1" s="1"/>
  <c r="P76" i="1" a="1"/>
  <c r="P76" i="1" s="1"/>
  <c r="P77" i="1" a="1"/>
  <c r="P77" i="1" s="1"/>
  <c r="P78" i="1" a="1"/>
  <c r="P78" i="1" s="1"/>
  <c r="P79" i="1" a="1"/>
  <c r="P79" i="1" s="1"/>
  <c r="P80" i="1" a="1"/>
  <c r="P80" i="1" s="1"/>
  <c r="P81" i="1" a="1"/>
  <c r="P81" i="1" s="1"/>
  <c r="P82" i="1" a="1"/>
  <c r="P82" i="1" s="1"/>
  <c r="P83" i="1" a="1"/>
  <c r="P83" i="1" s="1"/>
  <c r="P84" i="1" a="1"/>
  <c r="P84" i="1" s="1"/>
  <c r="P85" i="1" a="1"/>
  <c r="P85" i="1" s="1"/>
  <c r="P86" i="1" a="1"/>
  <c r="P86" i="1" s="1"/>
  <c r="P87" i="1" a="1"/>
  <c r="P87" i="1" s="1"/>
  <c r="P88" i="1" a="1"/>
  <c r="P88" i="1" s="1"/>
  <c r="P89" i="1" a="1"/>
  <c r="P89" i="1" s="1"/>
  <c r="P90" i="1" a="1"/>
  <c r="P90" i="1" s="1"/>
  <c r="P91" i="1" a="1"/>
  <c r="P91" i="1" s="1"/>
  <c r="P92" i="1" a="1"/>
  <c r="P92" i="1" s="1"/>
  <c r="P93" i="1" a="1"/>
  <c r="P93" i="1" s="1"/>
  <c r="P94" i="1" a="1"/>
  <c r="P94" i="1" s="1"/>
  <c r="P95" i="1" a="1"/>
  <c r="P95" i="1" s="1"/>
  <c r="P96" i="1" a="1"/>
  <c r="P96" i="1" s="1"/>
  <c r="P97" i="1" a="1"/>
  <c r="P97" i="1" s="1"/>
  <c r="P98" i="1" a="1"/>
  <c r="P98" i="1" s="1"/>
  <c r="P99" i="1" a="1"/>
  <c r="P99" i="1" s="1"/>
  <c r="P100" i="1" a="1"/>
  <c r="P100" i="1" s="1"/>
  <c r="P101" i="1" a="1"/>
  <c r="P101" i="1" s="1"/>
  <c r="P102" i="1" a="1"/>
  <c r="P102" i="1" s="1"/>
  <c r="P103" i="1" a="1"/>
  <c r="P103" i="1" s="1"/>
  <c r="P104" i="1" a="1"/>
  <c r="P104" i="1" s="1"/>
  <c r="P105" i="1" a="1"/>
  <c r="P105" i="1" s="1"/>
  <c r="P106" i="1" a="1"/>
  <c r="P106" i="1" s="1"/>
  <c r="P107" i="1" a="1"/>
  <c r="P107" i="1" s="1"/>
  <c r="P108" i="1" a="1"/>
  <c r="P108" i="1" s="1"/>
  <c r="P109" i="1" a="1"/>
  <c r="P109" i="1" s="1"/>
  <c r="P110" i="1" a="1"/>
  <c r="P110" i="1" s="1"/>
  <c r="P111" i="1" a="1"/>
  <c r="P111" i="1" s="1"/>
  <c r="P112" i="1" a="1"/>
  <c r="P112" i="1" s="1"/>
  <c r="P113" i="1" a="1"/>
  <c r="P113" i="1" s="1"/>
  <c r="P114" i="1" a="1"/>
  <c r="P114" i="1" s="1"/>
  <c r="P115" i="1" a="1"/>
  <c r="P115" i="1" s="1"/>
  <c r="P116" i="1" a="1"/>
  <c r="P116" i="1" s="1"/>
  <c r="P117" i="1" a="1"/>
  <c r="P117" i="1" s="1"/>
  <c r="P118" i="1" a="1"/>
  <c r="P118" i="1" s="1"/>
  <c r="P119" i="1" a="1"/>
  <c r="P119" i="1" s="1"/>
  <c r="P120" i="1" a="1"/>
  <c r="P120" i="1" s="1"/>
  <c r="P121" i="1" a="1"/>
  <c r="P121" i="1" s="1"/>
  <c r="P122" i="1" a="1"/>
  <c r="P122" i="1" s="1"/>
  <c r="P123" i="1" a="1"/>
  <c r="P123" i="1" s="1"/>
  <c r="P124" i="1" a="1"/>
  <c r="P124" i="1" s="1"/>
  <c r="P125" i="1" a="1"/>
  <c r="P125" i="1" s="1"/>
  <c r="P126" i="1" a="1"/>
  <c r="P126" i="1" s="1"/>
  <c r="P127" i="1" a="1"/>
  <c r="P127" i="1" s="1"/>
  <c r="P128" i="1" a="1"/>
  <c r="P128" i="1" s="1"/>
  <c r="P129" i="1" a="1"/>
  <c r="P129" i="1" s="1"/>
  <c r="P130" i="1" a="1"/>
  <c r="P130" i="1" s="1"/>
  <c r="P131" i="1" a="1"/>
  <c r="P131" i="1" s="1"/>
  <c r="P132" i="1" a="1"/>
  <c r="P132" i="1" s="1"/>
  <c r="P133" i="1" a="1"/>
  <c r="P133" i="1" s="1"/>
  <c r="P134" i="1" a="1"/>
  <c r="P134" i="1" s="1"/>
  <c r="P135" i="1" a="1"/>
  <c r="P135" i="1" s="1"/>
  <c r="P136" i="1" a="1"/>
  <c r="P136" i="1" s="1"/>
  <c r="P137" i="1" a="1"/>
  <c r="P137" i="1" s="1"/>
  <c r="P138" i="1" a="1"/>
  <c r="P138" i="1" s="1"/>
  <c r="P139" i="1" a="1"/>
  <c r="P139" i="1" s="1"/>
  <c r="P140" i="1" a="1"/>
  <c r="P140" i="1" s="1"/>
  <c r="P141" i="1" a="1"/>
  <c r="P141" i="1" s="1"/>
  <c r="P142" i="1" a="1"/>
  <c r="P142" i="1" s="1"/>
  <c r="P143" i="1" a="1"/>
  <c r="P143" i="1" s="1"/>
  <c r="P144" i="1" a="1"/>
  <c r="P144" i="1" s="1"/>
  <c r="P145" i="1" a="1"/>
  <c r="P145" i="1" s="1"/>
  <c r="P146" i="1" a="1"/>
  <c r="P146" i="1" s="1"/>
  <c r="P147" i="1" a="1"/>
  <c r="P147" i="1" s="1"/>
  <c r="P148" i="1" a="1"/>
  <c r="P148" i="1" s="1"/>
  <c r="P149" i="1" a="1"/>
  <c r="P149" i="1" s="1"/>
  <c r="P150" i="1" a="1"/>
  <c r="P150" i="1" s="1"/>
  <c r="P151" i="1" a="1"/>
  <c r="P151" i="1" s="1"/>
  <c r="P152" i="1" a="1"/>
  <c r="P152" i="1" s="1"/>
  <c r="P153" i="1" a="1"/>
  <c r="P153" i="1" s="1"/>
  <c r="P154" i="1" a="1"/>
  <c r="P154" i="1" s="1"/>
  <c r="P155" i="1" a="1"/>
  <c r="P155" i="1" s="1"/>
  <c r="P156" i="1" a="1"/>
  <c r="P156" i="1" s="1"/>
  <c r="P157" i="1" a="1"/>
  <c r="P157" i="1" s="1"/>
  <c r="P158" i="1" a="1"/>
  <c r="P158" i="1" s="1"/>
  <c r="P159" i="1" a="1"/>
  <c r="P159" i="1" s="1"/>
  <c r="P160" i="1" a="1"/>
  <c r="P160" i="1" s="1"/>
  <c r="P161" i="1" a="1"/>
  <c r="P161" i="1" s="1"/>
  <c r="P162" i="1" a="1"/>
  <c r="P162" i="1" s="1"/>
  <c r="P163" i="1" a="1"/>
  <c r="P163" i="1" s="1"/>
  <c r="P164" i="1" a="1"/>
  <c r="P164" i="1" s="1"/>
  <c r="P165" i="1" a="1"/>
  <c r="P165" i="1" s="1"/>
  <c r="P166" i="1" a="1"/>
  <c r="P166" i="1" s="1"/>
  <c r="P167" i="1" a="1"/>
  <c r="P167" i="1" s="1"/>
  <c r="P168" i="1" a="1"/>
  <c r="P168" i="1" s="1"/>
  <c r="P169" i="1" a="1"/>
  <c r="P169" i="1" s="1"/>
  <c r="P170" i="1" a="1"/>
  <c r="P170" i="1" s="1"/>
  <c r="P171" i="1" a="1"/>
  <c r="P171" i="1" s="1"/>
  <c r="P172" i="1" a="1"/>
  <c r="P172" i="1" s="1"/>
  <c r="P173" i="1" a="1"/>
  <c r="P173" i="1" s="1"/>
  <c r="P174" i="1" a="1"/>
  <c r="P174" i="1" s="1"/>
  <c r="P175" i="1" a="1"/>
  <c r="P175" i="1" s="1"/>
  <c r="P176" i="1" a="1"/>
  <c r="P176" i="1" s="1"/>
  <c r="P177" i="1" a="1"/>
  <c r="P177" i="1" s="1"/>
  <c r="P178" i="1" a="1"/>
  <c r="P178" i="1" s="1"/>
  <c r="P179" i="1" a="1"/>
  <c r="P179" i="1" s="1"/>
  <c r="P180" i="1" a="1"/>
  <c r="P180" i="1" s="1"/>
  <c r="P181" i="1" a="1"/>
  <c r="P181" i="1" s="1"/>
  <c r="P182" i="1" a="1"/>
  <c r="P182" i="1" s="1"/>
  <c r="P183" i="1" a="1"/>
  <c r="P183" i="1" s="1"/>
  <c r="P184" i="1" a="1"/>
  <c r="P184" i="1" s="1"/>
  <c r="P185" i="1" a="1"/>
  <c r="P185" i="1" s="1"/>
  <c r="P186" i="1" a="1"/>
  <c r="P186" i="1" s="1"/>
  <c r="P187" i="1" a="1"/>
  <c r="P187" i="1" s="1"/>
  <c r="P188" i="1" a="1"/>
  <c r="P188" i="1" s="1"/>
  <c r="P189" i="1" a="1"/>
  <c r="P189" i="1" s="1"/>
  <c r="P190" i="1" a="1"/>
  <c r="P190" i="1" s="1"/>
  <c r="P191" i="1" a="1"/>
  <c r="P191" i="1" s="1"/>
  <c r="P192" i="1" a="1"/>
  <c r="P192" i="1" s="1"/>
  <c r="P193" i="1" a="1"/>
  <c r="P193" i="1" s="1"/>
  <c r="P194" i="1" a="1"/>
  <c r="P194" i="1" s="1"/>
  <c r="P195" i="1" a="1"/>
  <c r="P195" i="1" s="1"/>
  <c r="P196" i="1" a="1"/>
  <c r="P196" i="1" s="1"/>
  <c r="P197" i="1" a="1"/>
  <c r="P197" i="1" s="1"/>
  <c r="P198" i="1" a="1"/>
  <c r="P198" i="1" s="1"/>
  <c r="P199" i="1" a="1"/>
  <c r="P199" i="1" s="1"/>
  <c r="P200" i="1" a="1"/>
  <c r="P200" i="1" s="1"/>
  <c r="P201" i="1" a="1"/>
  <c r="P201" i="1" s="1"/>
  <c r="P202" i="1" a="1"/>
  <c r="P202" i="1" s="1"/>
  <c r="P203" i="1" a="1"/>
  <c r="P203" i="1" s="1"/>
  <c r="P204" i="1" a="1"/>
  <c r="P204" i="1" s="1"/>
  <c r="P205" i="1" a="1"/>
  <c r="P205" i="1" s="1"/>
  <c r="P206" i="1" a="1"/>
  <c r="P206" i="1" s="1"/>
  <c r="P207" i="1" a="1"/>
  <c r="P207" i="1" s="1"/>
  <c r="P208" i="1" a="1"/>
  <c r="P208" i="1" s="1"/>
  <c r="P209" i="1" a="1"/>
  <c r="P209" i="1" s="1"/>
  <c r="P210" i="1" a="1"/>
  <c r="P210" i="1" s="1"/>
  <c r="P211" i="1" a="1"/>
  <c r="P211" i="1" s="1"/>
  <c r="P212" i="1" a="1"/>
  <c r="P212" i="1" s="1"/>
  <c r="P213" i="1" a="1"/>
  <c r="P213" i="1" s="1"/>
  <c r="P214" i="1" a="1"/>
  <c r="P214" i="1" s="1"/>
  <c r="P215" i="1" a="1"/>
  <c r="P215" i="1" s="1"/>
  <c r="P216" i="1" a="1"/>
  <c r="P216" i="1" s="1"/>
  <c r="P217" i="1" a="1"/>
  <c r="P217" i="1" s="1"/>
  <c r="P218" i="1" a="1"/>
  <c r="P218" i="1" s="1"/>
  <c r="P219" i="1" a="1"/>
  <c r="P219" i="1" s="1"/>
  <c r="P220" i="1" a="1"/>
  <c r="P220" i="1" s="1"/>
  <c r="P221" i="1" a="1"/>
  <c r="P221" i="1" s="1"/>
  <c r="P222" i="1" a="1"/>
  <c r="P222" i="1" s="1"/>
  <c r="P223" i="1" a="1"/>
  <c r="P223" i="1" s="1"/>
  <c r="P224" i="1" a="1"/>
  <c r="P224" i="1" s="1"/>
  <c r="P225" i="1" a="1"/>
  <c r="P225" i="1" s="1"/>
  <c r="P226" i="1" a="1"/>
  <c r="P226" i="1" s="1"/>
  <c r="P227" i="1" a="1"/>
  <c r="P227" i="1" s="1"/>
  <c r="P228" i="1" a="1"/>
  <c r="P228" i="1" s="1"/>
  <c r="P229" i="1" a="1"/>
  <c r="P229" i="1" s="1"/>
  <c r="P230" i="1" a="1"/>
  <c r="P230" i="1" s="1"/>
  <c r="P231" i="1" a="1"/>
  <c r="P231" i="1" s="1"/>
  <c r="P232" i="1" a="1"/>
  <c r="P232" i="1" s="1"/>
  <c r="P233" i="1" a="1"/>
  <c r="P233" i="1" s="1"/>
  <c r="P234" i="1" a="1"/>
  <c r="P234" i="1" s="1"/>
  <c r="P235" i="1" a="1"/>
  <c r="P235" i="1" s="1"/>
  <c r="P236" i="1" a="1"/>
  <c r="P236" i="1" s="1"/>
  <c r="P237" i="1" a="1"/>
  <c r="P237" i="1" s="1"/>
  <c r="P238" i="1" a="1"/>
  <c r="P238" i="1" s="1"/>
  <c r="P239" i="1" a="1"/>
  <c r="P239" i="1" s="1"/>
  <c r="P240" i="1" a="1"/>
  <c r="P240" i="1" s="1"/>
  <c r="P241" i="1" a="1"/>
  <c r="P241" i="1" s="1"/>
  <c r="P242" i="1" a="1"/>
  <c r="P242" i="1" s="1"/>
  <c r="P243" i="1" a="1"/>
  <c r="P243" i="1" s="1"/>
  <c r="P244" i="1" a="1"/>
  <c r="P244" i="1" s="1"/>
  <c r="P245" i="1" a="1"/>
  <c r="P245" i="1" s="1"/>
  <c r="P246" i="1" a="1"/>
  <c r="P246" i="1" s="1"/>
  <c r="P247" i="1" a="1"/>
  <c r="P247" i="1" s="1"/>
  <c r="P248" i="1" a="1"/>
  <c r="P248" i="1" s="1"/>
  <c r="P249" i="1" a="1"/>
  <c r="P249" i="1" s="1"/>
  <c r="P250" i="1" a="1"/>
  <c r="P250" i="1" s="1"/>
  <c r="P251" i="1" a="1"/>
  <c r="P251" i="1" s="1"/>
  <c r="P252" i="1" a="1"/>
  <c r="P252" i="1" s="1"/>
  <c r="P253" i="1" a="1"/>
  <c r="P253" i="1" s="1"/>
  <c r="P254" i="1" a="1"/>
  <c r="P254" i="1" s="1"/>
  <c r="P255" i="1" a="1"/>
  <c r="P255" i="1" s="1"/>
  <c r="P256" i="1" a="1"/>
  <c r="P256" i="1" s="1"/>
  <c r="P257" i="1" a="1"/>
  <c r="P257" i="1" s="1"/>
  <c r="P258" i="1" a="1"/>
  <c r="P258" i="1" s="1"/>
  <c r="P259" i="1" a="1"/>
  <c r="P259" i="1" s="1"/>
  <c r="P260" i="1" a="1"/>
  <c r="P260" i="1" s="1"/>
  <c r="P261" i="1" a="1"/>
  <c r="P261" i="1" s="1"/>
  <c r="P262" i="1" a="1"/>
  <c r="P262" i="1" s="1"/>
  <c r="P263" i="1" a="1"/>
  <c r="P263" i="1" s="1"/>
  <c r="P264" i="1" a="1"/>
  <c r="P264" i="1" s="1"/>
  <c r="P265" i="1" a="1"/>
  <c r="P265" i="1" s="1"/>
  <c r="P266" i="1" a="1"/>
  <c r="P266" i="1" s="1"/>
  <c r="P267" i="1" a="1"/>
  <c r="P267" i="1" s="1"/>
  <c r="P268" i="1" a="1"/>
  <c r="P268" i="1" s="1"/>
  <c r="P269" i="1" a="1"/>
  <c r="P269" i="1" s="1"/>
  <c r="P270" i="1" a="1"/>
  <c r="P270" i="1" s="1"/>
  <c r="P271" i="1" a="1"/>
  <c r="P271" i="1" s="1"/>
  <c r="P272" i="1" a="1"/>
  <c r="P272" i="1" s="1"/>
  <c r="P273" i="1" a="1"/>
  <c r="P273" i="1" s="1"/>
  <c r="P274" i="1" a="1"/>
  <c r="P274" i="1" s="1"/>
  <c r="P275" i="1" a="1"/>
  <c r="P275" i="1" s="1"/>
  <c r="P276" i="1" a="1"/>
  <c r="P276" i="1" s="1"/>
  <c r="P277" i="1" a="1"/>
  <c r="P277" i="1" s="1"/>
  <c r="P278" i="1" a="1"/>
  <c r="P278" i="1" s="1"/>
  <c r="P279" i="1" a="1"/>
  <c r="P279" i="1" s="1"/>
  <c r="P280" i="1" a="1"/>
  <c r="P280" i="1" s="1"/>
  <c r="P281" i="1" a="1"/>
  <c r="P281" i="1" s="1"/>
  <c r="P282" i="1" a="1"/>
  <c r="P282" i="1" s="1"/>
  <c r="P283" i="1" a="1"/>
  <c r="P283" i="1" s="1"/>
  <c r="P284" i="1" a="1"/>
  <c r="P284" i="1" s="1"/>
  <c r="P285" i="1" a="1"/>
  <c r="P285" i="1" s="1"/>
  <c r="P286" i="1" a="1"/>
  <c r="P286" i="1" s="1"/>
  <c r="P287" i="1" a="1"/>
  <c r="P287" i="1" s="1"/>
  <c r="P288" i="1" a="1"/>
  <c r="P288" i="1" s="1"/>
  <c r="P289" i="1" a="1"/>
  <c r="P289" i="1" s="1"/>
  <c r="P290" i="1" a="1"/>
  <c r="P290" i="1" s="1"/>
  <c r="P291" i="1" a="1"/>
  <c r="P291" i="1" s="1"/>
  <c r="P292" i="1" a="1"/>
  <c r="P292" i="1" s="1"/>
  <c r="P293" i="1" a="1"/>
  <c r="P293" i="1" s="1"/>
  <c r="P294" i="1" a="1"/>
  <c r="P294" i="1" s="1"/>
  <c r="P295" i="1" a="1"/>
  <c r="P295" i="1" s="1"/>
  <c r="P296" i="1" a="1"/>
  <c r="P296" i="1" s="1"/>
  <c r="P297" i="1" a="1"/>
  <c r="P297" i="1" s="1"/>
  <c r="P298" i="1" a="1"/>
  <c r="P298" i="1" s="1"/>
  <c r="P299" i="1" a="1"/>
  <c r="P299" i="1" s="1"/>
  <c r="P300" i="1" a="1"/>
  <c r="P300" i="1" s="1"/>
  <c r="P301" i="1" a="1"/>
  <c r="P301" i="1" s="1"/>
  <c r="P302" i="1" a="1"/>
  <c r="P302" i="1" s="1"/>
  <c r="P303" i="1" a="1"/>
  <c r="P303" i="1" s="1"/>
  <c r="P304" i="1" a="1"/>
  <c r="P304" i="1" s="1"/>
  <c r="P305" i="1" a="1"/>
  <c r="P305" i="1" s="1"/>
  <c r="P306" i="1" a="1"/>
  <c r="P306" i="1" s="1"/>
  <c r="P307" i="1" a="1"/>
  <c r="P307" i="1" s="1"/>
  <c r="P308" i="1" a="1"/>
  <c r="P308" i="1" s="1"/>
  <c r="P309" i="1" a="1"/>
  <c r="P309" i="1" s="1"/>
  <c r="P310" i="1" a="1"/>
  <c r="P310" i="1" s="1"/>
  <c r="P311" i="1" a="1"/>
  <c r="P311" i="1" s="1"/>
  <c r="P312" i="1" a="1"/>
  <c r="P312" i="1" s="1"/>
  <c r="P313" i="1" a="1"/>
  <c r="P313" i="1" s="1"/>
  <c r="P314" i="1" a="1"/>
  <c r="P314" i="1" s="1"/>
  <c r="P315" i="1" a="1"/>
  <c r="P315" i="1" s="1"/>
  <c r="P316" i="1" a="1"/>
  <c r="P316" i="1" s="1"/>
  <c r="P317" i="1" a="1"/>
  <c r="P317" i="1" s="1"/>
  <c r="P318" i="1" a="1"/>
  <c r="P318" i="1" s="1"/>
  <c r="P319" i="1" a="1"/>
  <c r="P319" i="1" s="1"/>
  <c r="P320" i="1" a="1"/>
  <c r="P320" i="1" s="1"/>
  <c r="P321" i="1" a="1"/>
  <c r="P321" i="1" s="1"/>
  <c r="P322" i="1" a="1"/>
  <c r="P322" i="1" s="1"/>
  <c r="P323" i="1" a="1"/>
  <c r="P323" i="1" s="1"/>
  <c r="P324" i="1" a="1"/>
  <c r="P324" i="1" s="1"/>
  <c r="P325" i="1" a="1"/>
  <c r="P325" i="1" s="1"/>
  <c r="P326" i="1" a="1"/>
  <c r="P326" i="1" s="1"/>
  <c r="P327" i="1" a="1"/>
  <c r="P327" i="1" s="1"/>
  <c r="P328" i="1" a="1"/>
  <c r="P328" i="1" s="1"/>
  <c r="P329" i="1" a="1"/>
  <c r="P329" i="1" s="1"/>
  <c r="P330" i="1" a="1"/>
  <c r="P330" i="1" s="1"/>
  <c r="P331" i="1" a="1"/>
  <c r="P331" i="1" s="1"/>
  <c r="P332" i="1" a="1"/>
  <c r="P332" i="1" s="1"/>
  <c r="P333" i="1" a="1"/>
  <c r="P333" i="1" s="1"/>
  <c r="P334" i="1" a="1"/>
  <c r="P334" i="1" s="1"/>
  <c r="P335" i="1" a="1"/>
  <c r="P335" i="1" s="1"/>
  <c r="P336" i="1" a="1"/>
  <c r="P336" i="1" s="1"/>
  <c r="P337" i="1" a="1"/>
  <c r="P337" i="1" s="1"/>
  <c r="P338" i="1" a="1"/>
  <c r="P338" i="1" s="1"/>
  <c r="P339" i="1" a="1"/>
  <c r="P339" i="1" s="1"/>
  <c r="P340" i="1" a="1"/>
  <c r="P340" i="1" s="1"/>
  <c r="P341" i="1" a="1"/>
  <c r="P341" i="1" s="1"/>
  <c r="P342" i="1" a="1"/>
  <c r="P342" i="1" s="1"/>
  <c r="P343" i="1" a="1"/>
  <c r="P343" i="1" s="1"/>
  <c r="P344" i="1" a="1"/>
  <c r="P344" i="1" s="1"/>
  <c r="P345" i="1" a="1"/>
  <c r="P345" i="1" s="1"/>
  <c r="P346" i="1" a="1"/>
  <c r="P346" i="1" s="1"/>
  <c r="P347" i="1" a="1"/>
  <c r="P347" i="1" s="1"/>
  <c r="P348" i="1" a="1"/>
  <c r="P348" i="1" s="1"/>
  <c r="P349" i="1" a="1"/>
  <c r="P349" i="1" s="1"/>
  <c r="P350" i="1" a="1"/>
  <c r="P350" i="1" s="1"/>
  <c r="P351" i="1" a="1"/>
  <c r="P351" i="1" s="1"/>
  <c r="P352" i="1" a="1"/>
  <c r="P352" i="1" s="1"/>
  <c r="P353" i="1" a="1"/>
  <c r="P353" i="1" s="1"/>
  <c r="P354" i="1" a="1"/>
  <c r="P354" i="1" s="1"/>
  <c r="P355" i="1" a="1"/>
  <c r="P355" i="1" s="1"/>
  <c r="P356" i="1" a="1"/>
  <c r="P356" i="1" s="1"/>
  <c r="P357" i="1" a="1"/>
  <c r="P357" i="1" s="1"/>
  <c r="P358" i="1" a="1"/>
  <c r="P358" i="1" s="1"/>
  <c r="P359" i="1" a="1"/>
  <c r="P359" i="1" s="1"/>
  <c r="P360" i="1" a="1"/>
  <c r="P360" i="1" s="1"/>
  <c r="P361" i="1" a="1"/>
  <c r="P361" i="1" s="1"/>
  <c r="P362" i="1" a="1"/>
  <c r="P362" i="1" s="1"/>
  <c r="P363" i="1" a="1"/>
  <c r="P363" i="1" s="1"/>
  <c r="P364" i="1" a="1"/>
  <c r="P364" i="1" s="1"/>
  <c r="P365" i="1" a="1"/>
  <c r="P365" i="1" s="1"/>
  <c r="P366" i="1" a="1"/>
  <c r="P366" i="1" s="1"/>
  <c r="P367" i="1" a="1"/>
  <c r="P367" i="1" s="1"/>
  <c r="P368" i="1" a="1"/>
  <c r="P368" i="1" s="1"/>
  <c r="P369" i="1" a="1"/>
  <c r="P369" i="1" s="1"/>
  <c r="P370" i="1" a="1"/>
  <c r="P370" i="1" s="1"/>
  <c r="P371" i="1" a="1"/>
  <c r="P371" i="1" s="1"/>
  <c r="P372" i="1" a="1"/>
  <c r="P372" i="1" s="1"/>
  <c r="P373" i="1" a="1"/>
  <c r="P373" i="1" s="1"/>
  <c r="P374" i="1" a="1"/>
  <c r="P374" i="1" s="1"/>
  <c r="P375" i="1" a="1"/>
  <c r="P375" i="1" s="1"/>
  <c r="P376" i="1" a="1"/>
  <c r="P376" i="1" s="1"/>
  <c r="P377" i="1" a="1"/>
  <c r="P377" i="1" s="1"/>
  <c r="P378" i="1" a="1"/>
  <c r="P378" i="1" s="1"/>
  <c r="P379" i="1" a="1"/>
  <c r="P379" i="1" s="1"/>
  <c r="P380" i="1" a="1"/>
  <c r="P380" i="1" s="1"/>
  <c r="P381" i="1" a="1"/>
  <c r="P381" i="1" s="1"/>
  <c r="P382" i="1" a="1"/>
  <c r="P382" i="1" s="1"/>
  <c r="P383" i="1" a="1"/>
  <c r="P383" i="1" s="1"/>
  <c r="P384" i="1" a="1"/>
  <c r="P384" i="1" s="1"/>
  <c r="P385" i="1" a="1"/>
  <c r="P385" i="1" s="1"/>
  <c r="P386" i="1" a="1"/>
  <c r="P386" i="1" s="1"/>
  <c r="P387" i="1" a="1"/>
  <c r="P387" i="1" s="1"/>
  <c r="P388" i="1" a="1"/>
  <c r="P388" i="1" s="1"/>
  <c r="P389" i="1" a="1"/>
  <c r="P389" i="1" s="1"/>
  <c r="P390" i="1" a="1"/>
  <c r="P390" i="1" s="1"/>
  <c r="P391" i="1" a="1"/>
  <c r="P391" i="1" s="1"/>
  <c r="P392" i="1" a="1"/>
  <c r="P392" i="1" s="1"/>
  <c r="P393" i="1" a="1"/>
  <c r="P393" i="1" s="1"/>
  <c r="P394" i="1" a="1"/>
  <c r="P394" i="1" s="1"/>
  <c r="P395" i="1" a="1"/>
  <c r="P395" i="1" s="1"/>
  <c r="P396" i="1" a="1"/>
  <c r="P396" i="1" s="1"/>
  <c r="P397" i="1" a="1"/>
  <c r="P397" i="1" s="1"/>
  <c r="P398" i="1" a="1"/>
  <c r="P398" i="1" s="1"/>
  <c r="P399" i="1" a="1"/>
  <c r="P399" i="1" s="1"/>
  <c r="P400" i="1" a="1"/>
  <c r="P400" i="1" s="1"/>
  <c r="P401" i="1" a="1"/>
  <c r="P401" i="1" s="1"/>
  <c r="P402" i="1" a="1"/>
  <c r="P402" i="1" s="1"/>
  <c r="P403" i="1" a="1"/>
  <c r="P403" i="1" s="1"/>
  <c r="P404" i="1" a="1"/>
  <c r="P404" i="1" s="1"/>
  <c r="P405" i="1" a="1"/>
  <c r="P405" i="1" s="1"/>
  <c r="P406" i="1" a="1"/>
  <c r="P406" i="1" s="1"/>
  <c r="P407" i="1" a="1"/>
  <c r="P407" i="1" s="1"/>
  <c r="P408" i="1" a="1"/>
  <c r="P408" i="1" s="1"/>
  <c r="P409" i="1" a="1"/>
  <c r="P409" i="1" s="1"/>
  <c r="P410" i="1" a="1"/>
  <c r="P410" i="1" s="1"/>
  <c r="P411" i="1" a="1"/>
  <c r="P411" i="1" s="1"/>
  <c r="P412" i="1" a="1"/>
  <c r="P412" i="1" s="1"/>
  <c r="P413" i="1" a="1"/>
  <c r="P413" i="1" s="1"/>
  <c r="P414" i="1" a="1"/>
  <c r="P414" i="1" s="1"/>
  <c r="P415" i="1" a="1"/>
  <c r="P415" i="1" s="1"/>
  <c r="P416" i="1" a="1"/>
  <c r="P416" i="1" s="1"/>
  <c r="P417" i="1" a="1"/>
  <c r="P417" i="1" s="1"/>
  <c r="P418" i="1" a="1"/>
  <c r="P418" i="1" s="1"/>
  <c r="P419" i="1" a="1"/>
  <c r="P419" i="1" s="1"/>
  <c r="P420" i="1" a="1"/>
  <c r="P420" i="1" s="1"/>
  <c r="P421" i="1" a="1"/>
  <c r="P421" i="1" s="1"/>
  <c r="P422" i="1" a="1"/>
  <c r="P422" i="1" s="1"/>
  <c r="P423" i="1" a="1"/>
  <c r="P423" i="1" s="1"/>
  <c r="P424" i="1" a="1"/>
  <c r="P424" i="1" s="1"/>
  <c r="P425" i="1" a="1"/>
  <c r="P425" i="1" s="1"/>
  <c r="P426" i="1" a="1"/>
  <c r="P426" i="1" s="1"/>
  <c r="P427" i="1" a="1"/>
  <c r="P427" i="1" s="1"/>
  <c r="P428" i="1" a="1"/>
  <c r="P428" i="1" s="1"/>
  <c r="P429" i="1" a="1"/>
  <c r="P429" i="1" s="1"/>
  <c r="P430" i="1" a="1"/>
  <c r="P430" i="1" s="1"/>
  <c r="P431" i="1" a="1"/>
  <c r="P431" i="1" s="1"/>
  <c r="P432" i="1" a="1"/>
  <c r="P432" i="1" s="1"/>
  <c r="P433" i="1" a="1"/>
  <c r="P433" i="1" s="1"/>
  <c r="P434" i="1" a="1"/>
  <c r="P434" i="1" s="1"/>
  <c r="P435" i="1" a="1"/>
  <c r="P435" i="1" s="1"/>
  <c r="P436" i="1" a="1"/>
  <c r="P436" i="1" s="1"/>
  <c r="P437" i="1" a="1"/>
  <c r="P437" i="1" s="1"/>
  <c r="P438" i="1" a="1"/>
  <c r="P438" i="1" s="1"/>
  <c r="P439" i="1" a="1"/>
  <c r="P439" i="1" s="1"/>
  <c r="P440" i="1" a="1"/>
  <c r="P440" i="1" s="1"/>
  <c r="P441" i="1" a="1"/>
  <c r="P441" i="1" s="1"/>
  <c r="P442" i="1" a="1"/>
  <c r="P442" i="1" s="1"/>
  <c r="P443" i="1" a="1"/>
  <c r="P443" i="1" s="1"/>
  <c r="P444" i="1" a="1"/>
  <c r="P444" i="1" s="1"/>
  <c r="P445" i="1" a="1"/>
  <c r="P445" i="1" s="1"/>
  <c r="P446" i="1" a="1"/>
  <c r="P446" i="1" s="1"/>
  <c r="P447" i="1" a="1"/>
  <c r="P447" i="1" s="1"/>
  <c r="P448" i="1" a="1"/>
  <c r="P448" i="1" s="1"/>
  <c r="P449" i="1" a="1"/>
  <c r="P449" i="1" s="1"/>
  <c r="P450" i="1" a="1"/>
  <c r="P450" i="1" s="1"/>
  <c r="P451" i="1" a="1"/>
  <c r="P451" i="1" s="1"/>
  <c r="P452" i="1" a="1"/>
  <c r="P452" i="1" s="1"/>
  <c r="P453" i="1" a="1"/>
  <c r="P453" i="1" s="1"/>
  <c r="P454" i="1" a="1"/>
  <c r="P454" i="1" s="1"/>
  <c r="P455" i="1" a="1"/>
  <c r="P455" i="1" s="1"/>
  <c r="P456" i="1" a="1"/>
  <c r="P456" i="1" s="1"/>
  <c r="P457" i="1" a="1"/>
  <c r="P457" i="1" s="1"/>
  <c r="P458" i="1" a="1"/>
  <c r="P458" i="1" s="1"/>
  <c r="P459" i="1" a="1"/>
  <c r="P459" i="1" s="1"/>
  <c r="P460" i="1" a="1"/>
  <c r="P460" i="1" s="1"/>
  <c r="P461" i="1" a="1"/>
  <c r="P461" i="1" s="1"/>
  <c r="P462" i="1" a="1"/>
  <c r="P462" i="1" s="1"/>
  <c r="P463" i="1" a="1"/>
  <c r="P463" i="1" s="1"/>
  <c r="P464" i="1" a="1"/>
  <c r="P464" i="1" s="1"/>
  <c r="P465" i="1" a="1"/>
  <c r="P465" i="1" s="1"/>
  <c r="P466" i="1" a="1"/>
  <c r="P466" i="1" s="1"/>
  <c r="P467" i="1" a="1"/>
  <c r="P467" i="1" s="1"/>
  <c r="P468" i="1" a="1"/>
  <c r="P468" i="1" s="1"/>
  <c r="P469" i="1" a="1"/>
  <c r="P469" i="1" s="1"/>
  <c r="P470" i="1" a="1"/>
  <c r="P470" i="1" s="1"/>
  <c r="P471" i="1" a="1"/>
  <c r="P471" i="1" s="1"/>
  <c r="P472" i="1" a="1"/>
  <c r="P472" i="1" s="1"/>
  <c r="P473" i="1" a="1"/>
  <c r="P473" i="1" s="1"/>
  <c r="P474" i="1" a="1"/>
  <c r="P474" i="1" s="1"/>
  <c r="P475" i="1" a="1"/>
  <c r="P475" i="1" s="1"/>
  <c r="P476" i="1" a="1"/>
  <c r="P476" i="1" s="1"/>
  <c r="P477" i="1" a="1"/>
  <c r="P477" i="1" s="1"/>
  <c r="P478" i="1" a="1"/>
  <c r="P478" i="1" s="1"/>
  <c r="P479" i="1" a="1"/>
  <c r="P479" i="1" s="1"/>
  <c r="P480" i="1" a="1"/>
  <c r="P480" i="1" s="1"/>
  <c r="P481" i="1" a="1"/>
  <c r="P481" i="1" s="1"/>
  <c r="P482" i="1" a="1"/>
  <c r="P482" i="1" s="1"/>
  <c r="P483" i="1" a="1"/>
  <c r="P483" i="1" s="1"/>
  <c r="P484" i="1" a="1"/>
  <c r="P484" i="1" s="1"/>
  <c r="P485" i="1" a="1"/>
  <c r="P485" i="1" s="1"/>
  <c r="P486" i="1" a="1"/>
  <c r="P486" i="1" s="1"/>
  <c r="P487" i="1" a="1"/>
  <c r="P487" i="1" s="1"/>
  <c r="P488" i="1" a="1"/>
  <c r="P488" i="1" s="1"/>
  <c r="P489" i="1" a="1"/>
  <c r="P489" i="1" s="1"/>
  <c r="P490" i="1" a="1"/>
  <c r="P490" i="1" s="1"/>
  <c r="P491" i="1" a="1"/>
  <c r="P491" i="1" s="1"/>
  <c r="P492" i="1" a="1"/>
  <c r="P492" i="1" s="1"/>
  <c r="P493" i="1" a="1"/>
  <c r="P493" i="1" s="1"/>
  <c r="P494" i="1" a="1"/>
  <c r="P494" i="1" s="1"/>
  <c r="P495" i="1" a="1"/>
  <c r="P495" i="1" s="1"/>
  <c r="P496" i="1" a="1"/>
  <c r="P496" i="1" s="1"/>
  <c r="P497" i="1" a="1"/>
  <c r="P497" i="1" s="1"/>
  <c r="P498" i="1" a="1"/>
  <c r="P498" i="1" s="1"/>
  <c r="P499" i="1" a="1"/>
  <c r="P499" i="1" s="1"/>
  <c r="P500" i="1" a="1"/>
  <c r="P500" i="1" s="1"/>
  <c r="P501" i="1" a="1"/>
  <c r="P501" i="1" s="1"/>
  <c r="P502" i="1" a="1"/>
  <c r="P502" i="1" s="1"/>
  <c r="P503" i="1" a="1"/>
  <c r="P503" i="1" s="1"/>
  <c r="P504" i="1" a="1"/>
  <c r="P504" i="1" s="1"/>
  <c r="P505" i="1" a="1"/>
  <c r="P505" i="1" s="1"/>
  <c r="P506" i="1" a="1"/>
  <c r="P506" i="1" s="1"/>
  <c r="P507" i="1" a="1"/>
  <c r="P507" i="1" s="1"/>
  <c r="P508" i="1" a="1"/>
  <c r="P508" i="1" s="1"/>
  <c r="P509" i="1" a="1"/>
  <c r="P509" i="1" s="1"/>
  <c r="P510" i="1" a="1"/>
  <c r="P510" i="1" s="1"/>
  <c r="P511" i="1" a="1"/>
  <c r="P511" i="1" s="1"/>
  <c r="P512" i="1" a="1"/>
  <c r="P512" i="1" s="1"/>
  <c r="P513" i="1" a="1"/>
  <c r="P513" i="1" s="1"/>
  <c r="P514" i="1" a="1"/>
  <c r="P514" i="1" s="1"/>
  <c r="P515" i="1" a="1"/>
  <c r="P515" i="1" s="1"/>
  <c r="P516" i="1" a="1"/>
  <c r="P516" i="1" s="1"/>
  <c r="P517" i="1" a="1"/>
  <c r="P517" i="1" s="1"/>
  <c r="P518" i="1" a="1"/>
  <c r="P518" i="1" s="1"/>
  <c r="P519" i="1" a="1"/>
  <c r="P519" i="1" s="1"/>
  <c r="P520" i="1" a="1"/>
  <c r="P520" i="1" s="1"/>
  <c r="P521" i="1" a="1"/>
  <c r="P521" i="1" s="1"/>
  <c r="P522" i="1" a="1"/>
  <c r="P522" i="1" s="1"/>
  <c r="P523" i="1" a="1"/>
  <c r="P523" i="1" s="1"/>
  <c r="P524" i="1" a="1"/>
  <c r="P524" i="1" s="1"/>
  <c r="P525" i="1" a="1"/>
  <c r="P525" i="1" s="1"/>
  <c r="P526" i="1" a="1"/>
  <c r="P526" i="1" s="1"/>
  <c r="P527" i="1" a="1"/>
  <c r="P527" i="1" s="1"/>
  <c r="P528" i="1" a="1"/>
  <c r="P528" i="1" s="1"/>
  <c r="P529" i="1" a="1"/>
  <c r="P529" i="1" s="1"/>
  <c r="P530" i="1" a="1"/>
  <c r="P530" i="1" s="1"/>
  <c r="P531" i="1" a="1"/>
  <c r="P531" i="1" s="1"/>
  <c r="P532" i="1" a="1"/>
  <c r="P532" i="1" s="1"/>
  <c r="P533" i="1" a="1"/>
  <c r="P533" i="1" s="1"/>
  <c r="P534" i="1" a="1"/>
  <c r="P534" i="1" s="1"/>
  <c r="P535" i="1" a="1"/>
  <c r="P535" i="1" s="1"/>
  <c r="P536" i="1" a="1"/>
  <c r="P536" i="1" s="1"/>
  <c r="P537" i="1" a="1"/>
  <c r="P537" i="1" s="1"/>
  <c r="P538" i="1" a="1"/>
  <c r="P538" i="1" s="1"/>
  <c r="P539" i="1" a="1"/>
  <c r="P539" i="1" s="1"/>
  <c r="P540" i="1" a="1"/>
  <c r="P540" i="1" s="1"/>
  <c r="P541" i="1" a="1"/>
  <c r="P541" i="1" s="1"/>
  <c r="P542" i="1" a="1"/>
  <c r="P542" i="1" s="1"/>
  <c r="P543" i="1" a="1"/>
  <c r="P543" i="1" s="1"/>
  <c r="P544" i="1" a="1"/>
  <c r="P544" i="1" s="1"/>
  <c r="P545" i="1" a="1"/>
  <c r="P545" i="1" s="1"/>
  <c r="P546" i="1" a="1"/>
  <c r="P546" i="1" s="1"/>
  <c r="P547" i="1" a="1"/>
  <c r="P547" i="1" s="1"/>
  <c r="P548" i="1" a="1"/>
  <c r="P548" i="1" s="1"/>
  <c r="P549" i="1" a="1"/>
  <c r="P549" i="1" s="1"/>
  <c r="P550" i="1" a="1"/>
  <c r="P550" i="1" s="1"/>
  <c r="P551" i="1" a="1"/>
  <c r="P551" i="1" s="1"/>
  <c r="P552" i="1" a="1"/>
  <c r="P552" i="1" s="1"/>
  <c r="P553" i="1" a="1"/>
  <c r="P553" i="1" s="1"/>
  <c r="P554" i="1" a="1"/>
  <c r="P554" i="1" s="1"/>
  <c r="P555" i="1" a="1"/>
  <c r="P555" i="1" s="1"/>
  <c r="P556" i="1" a="1"/>
  <c r="P556" i="1" s="1"/>
  <c r="P557" i="1" a="1"/>
  <c r="P557" i="1" s="1"/>
  <c r="P558" i="1" a="1"/>
  <c r="P558" i="1" s="1"/>
  <c r="P559" i="1" a="1"/>
  <c r="P559" i="1" s="1"/>
  <c r="P560" i="1" a="1"/>
  <c r="P560" i="1" s="1"/>
  <c r="P561" i="1" a="1"/>
  <c r="P561" i="1" s="1"/>
  <c r="P562" i="1" a="1"/>
  <c r="P562" i="1" s="1"/>
  <c r="P563" i="1" a="1"/>
  <c r="P563" i="1" s="1"/>
  <c r="P564" i="1" a="1"/>
  <c r="P564" i="1" s="1"/>
  <c r="P565" i="1" a="1"/>
  <c r="P565" i="1" s="1"/>
  <c r="P566" i="1" a="1"/>
  <c r="P566" i="1" s="1"/>
  <c r="P567" i="1" a="1"/>
  <c r="P567" i="1" s="1"/>
  <c r="P568" i="1" a="1"/>
  <c r="P568" i="1" s="1"/>
  <c r="P569" i="1" a="1"/>
  <c r="P569" i="1" s="1"/>
  <c r="P570" i="1" a="1"/>
  <c r="P570" i="1" s="1"/>
  <c r="P571" i="1" a="1"/>
  <c r="P571" i="1" s="1"/>
  <c r="P572" i="1" a="1"/>
  <c r="P572" i="1" s="1"/>
  <c r="P573" i="1" a="1"/>
  <c r="P573" i="1" s="1"/>
  <c r="P574" i="1" a="1"/>
  <c r="P574" i="1" s="1"/>
  <c r="P575" i="1" a="1"/>
  <c r="P575" i="1" s="1"/>
  <c r="P576" i="1" a="1"/>
  <c r="P576" i="1" s="1"/>
  <c r="P577" i="1" a="1"/>
  <c r="P577" i="1" s="1"/>
  <c r="P578" i="1" a="1"/>
  <c r="P578" i="1" s="1"/>
  <c r="P579" i="1" a="1"/>
  <c r="P579" i="1" s="1"/>
  <c r="P580" i="1" a="1"/>
  <c r="P580" i="1" s="1"/>
  <c r="P581" i="1" a="1"/>
  <c r="P581" i="1" s="1"/>
  <c r="P582" i="1" a="1"/>
  <c r="P582" i="1" s="1"/>
  <c r="P583" i="1" a="1"/>
  <c r="P583" i="1" s="1"/>
  <c r="P584" i="1" a="1"/>
  <c r="P584" i="1" s="1"/>
  <c r="P585" i="1" a="1"/>
  <c r="P585" i="1" s="1"/>
  <c r="P586" i="1" a="1"/>
  <c r="P586" i="1" s="1"/>
  <c r="P587" i="1" a="1"/>
  <c r="P587" i="1" s="1"/>
  <c r="P588" i="1" a="1"/>
  <c r="P588" i="1" s="1"/>
  <c r="P589" i="1" a="1"/>
  <c r="P589" i="1" s="1"/>
  <c r="P590" i="1" a="1"/>
  <c r="P590" i="1" s="1"/>
  <c r="P591" i="1" a="1"/>
  <c r="P591" i="1" s="1"/>
  <c r="P592" i="1" a="1"/>
  <c r="P592" i="1" s="1"/>
  <c r="P593" i="1" a="1"/>
  <c r="P593" i="1" s="1"/>
  <c r="P594" i="1" a="1"/>
  <c r="P594" i="1" s="1"/>
  <c r="P595" i="1" a="1"/>
  <c r="P595" i="1" s="1"/>
  <c r="P596" i="1" a="1"/>
  <c r="P596" i="1" s="1"/>
  <c r="P597" i="1" a="1"/>
  <c r="P597" i="1" s="1"/>
  <c r="P598" i="1" a="1"/>
  <c r="P598" i="1" s="1"/>
  <c r="P599" i="1" a="1"/>
  <c r="P599" i="1" s="1"/>
  <c r="P600" i="1" a="1"/>
  <c r="P600" i="1" s="1"/>
  <c r="P601" i="1" a="1"/>
  <c r="P601" i="1" s="1"/>
  <c r="P602" i="1" a="1"/>
  <c r="P602" i="1" s="1"/>
  <c r="P603" i="1" a="1"/>
  <c r="P603" i="1" s="1"/>
  <c r="P604" i="1" a="1"/>
  <c r="P604" i="1" s="1"/>
  <c r="P605" i="1" a="1"/>
  <c r="P605" i="1" s="1"/>
  <c r="P606" i="1" a="1"/>
  <c r="P606" i="1" s="1"/>
  <c r="P607" i="1" a="1"/>
  <c r="P607" i="1" s="1"/>
  <c r="P608" i="1" a="1"/>
  <c r="P608" i="1" s="1"/>
  <c r="P609" i="1" a="1"/>
  <c r="P609" i="1" s="1"/>
  <c r="P610" i="1" a="1"/>
  <c r="P610" i="1" s="1"/>
  <c r="P611" i="1" a="1"/>
  <c r="P611" i="1" s="1"/>
  <c r="P612" i="1" a="1"/>
  <c r="P612" i="1" s="1"/>
  <c r="P613" i="1" a="1"/>
  <c r="P613" i="1" s="1"/>
  <c r="P614" i="1" a="1"/>
  <c r="P614" i="1" s="1"/>
  <c r="P615" i="1" a="1"/>
  <c r="P615" i="1" s="1"/>
  <c r="P616" i="1" a="1"/>
  <c r="P616" i="1" s="1"/>
  <c r="P617" i="1" a="1"/>
  <c r="P617" i="1" s="1"/>
  <c r="P618" i="1" a="1"/>
  <c r="P618" i="1" s="1"/>
  <c r="P619" i="1" a="1"/>
  <c r="P619" i="1" s="1"/>
  <c r="P620" i="1" a="1"/>
  <c r="P620" i="1" s="1"/>
  <c r="P621" i="1" a="1"/>
  <c r="P621" i="1" s="1"/>
  <c r="P622" i="1" a="1"/>
  <c r="P622" i="1" s="1"/>
  <c r="P623" i="1" a="1"/>
  <c r="P623" i="1" s="1"/>
  <c r="P624" i="1" a="1"/>
  <c r="P624" i="1" s="1"/>
  <c r="P625" i="1" a="1"/>
  <c r="P625" i="1" s="1"/>
  <c r="P626" i="1" a="1"/>
  <c r="P626" i="1" s="1"/>
  <c r="P627" i="1" a="1"/>
  <c r="P627" i="1" s="1"/>
  <c r="P628" i="1" a="1"/>
  <c r="P628" i="1" s="1"/>
  <c r="P629" i="1" a="1"/>
  <c r="P629" i="1" s="1"/>
  <c r="P630" i="1" a="1"/>
  <c r="P630" i="1" s="1"/>
  <c r="P631" i="1" a="1"/>
  <c r="P631" i="1" s="1"/>
  <c r="P632" i="1" a="1"/>
  <c r="P632" i="1" s="1"/>
  <c r="P633" i="1" a="1"/>
  <c r="P633" i="1" s="1"/>
  <c r="P634" i="1" a="1"/>
  <c r="P634" i="1" s="1"/>
  <c r="P635" i="1" a="1"/>
  <c r="P635" i="1" s="1"/>
  <c r="P636" i="1" a="1"/>
  <c r="P636" i="1" s="1"/>
  <c r="P637" i="1" a="1"/>
  <c r="P637" i="1" s="1"/>
  <c r="P638" i="1" a="1"/>
  <c r="P638" i="1" s="1"/>
  <c r="P639" i="1" a="1"/>
  <c r="P639" i="1" s="1"/>
  <c r="P640" i="1" a="1"/>
  <c r="P640" i="1" s="1"/>
  <c r="P641" i="1" a="1"/>
  <c r="P641" i="1" s="1"/>
  <c r="P642" i="1" a="1"/>
  <c r="P642" i="1" s="1"/>
  <c r="P643" i="1" a="1"/>
  <c r="P643" i="1" s="1"/>
  <c r="P644" i="1" a="1"/>
  <c r="P644" i="1" s="1"/>
  <c r="P645" i="1" a="1"/>
  <c r="P645" i="1" s="1"/>
  <c r="P646" i="1" a="1"/>
  <c r="P646" i="1" s="1"/>
  <c r="P647" i="1" a="1"/>
  <c r="P647" i="1" s="1"/>
  <c r="P648" i="1" a="1"/>
  <c r="P648" i="1" s="1"/>
  <c r="P649" i="1" a="1"/>
  <c r="P649" i="1" s="1"/>
  <c r="P650" i="1" a="1"/>
  <c r="P650" i="1" s="1"/>
  <c r="P651" i="1" a="1"/>
  <c r="P651" i="1" s="1"/>
  <c r="P652" i="1" a="1"/>
  <c r="P652" i="1" s="1"/>
  <c r="P653" i="1" a="1"/>
  <c r="P653" i="1" s="1"/>
  <c r="P654" i="1" a="1"/>
  <c r="P654" i="1" s="1"/>
  <c r="P655" i="1" a="1"/>
  <c r="P655" i="1" s="1"/>
  <c r="P656" i="1" a="1"/>
  <c r="P656" i="1" s="1"/>
  <c r="P657" i="1" a="1"/>
  <c r="P657" i="1" s="1"/>
  <c r="P658" i="1" a="1"/>
  <c r="P658" i="1" s="1"/>
  <c r="P659" i="1" a="1"/>
  <c r="P659" i="1" s="1"/>
  <c r="P660" i="1" a="1"/>
  <c r="P660" i="1" s="1"/>
  <c r="P661" i="1" a="1"/>
  <c r="P661" i="1" s="1"/>
  <c r="P662" i="1" a="1"/>
  <c r="P662" i="1" s="1"/>
  <c r="P663" i="1" a="1"/>
  <c r="P663" i="1" s="1"/>
  <c r="P664" i="1" a="1"/>
  <c r="P664" i="1" s="1"/>
  <c r="P665" i="1" a="1"/>
  <c r="P665" i="1" s="1"/>
  <c r="P666" i="1" a="1"/>
  <c r="P666" i="1" s="1"/>
  <c r="P667" i="1" a="1"/>
  <c r="P667" i="1" s="1"/>
  <c r="P668" i="1" a="1"/>
  <c r="P668" i="1" s="1"/>
  <c r="P669" i="1" a="1"/>
  <c r="P669" i="1" s="1"/>
  <c r="P670" i="1" a="1"/>
  <c r="P670" i="1" s="1"/>
  <c r="P671" i="1" a="1"/>
  <c r="P671" i="1" s="1"/>
  <c r="P672" i="1" a="1"/>
  <c r="P672" i="1" s="1"/>
  <c r="P673" i="1" a="1"/>
  <c r="P673" i="1" s="1"/>
  <c r="P674" i="1" a="1"/>
  <c r="P674" i="1" s="1"/>
  <c r="P675" i="1" a="1"/>
  <c r="P675" i="1" s="1"/>
  <c r="P676" i="1" a="1"/>
  <c r="P676" i="1" s="1"/>
  <c r="P677" i="1" a="1"/>
  <c r="P677" i="1" s="1"/>
  <c r="P678" i="1" a="1"/>
  <c r="P678" i="1" s="1"/>
  <c r="P679" i="1" a="1"/>
  <c r="P679" i="1" s="1"/>
  <c r="P680" i="1" a="1"/>
  <c r="P680" i="1" s="1"/>
  <c r="P681" i="1" a="1"/>
  <c r="P681" i="1" s="1"/>
  <c r="P682" i="1" a="1"/>
  <c r="P682" i="1" s="1"/>
  <c r="P683" i="1" a="1"/>
  <c r="P683" i="1" s="1"/>
  <c r="P684" i="1" a="1"/>
  <c r="P684" i="1" s="1"/>
  <c r="P685" i="1" a="1"/>
  <c r="P685" i="1" s="1"/>
  <c r="P686" i="1" a="1"/>
  <c r="P686" i="1" s="1"/>
  <c r="P687" i="1" a="1"/>
  <c r="P687" i="1" s="1"/>
  <c r="P688" i="1" a="1"/>
  <c r="P688" i="1" s="1"/>
  <c r="P689" i="1" a="1"/>
  <c r="P689" i="1" s="1"/>
  <c r="P690" i="1" a="1"/>
  <c r="P690" i="1" s="1"/>
  <c r="P691" i="1" a="1"/>
  <c r="P691" i="1" s="1"/>
  <c r="P692" i="1" a="1"/>
  <c r="P692" i="1" s="1"/>
  <c r="P693" i="1" a="1"/>
  <c r="P693" i="1" s="1"/>
  <c r="P694" i="1" a="1"/>
  <c r="P694" i="1" s="1"/>
  <c r="P695" i="1" a="1"/>
  <c r="P695" i="1" s="1"/>
  <c r="P696" i="1" a="1"/>
  <c r="P696" i="1" s="1"/>
  <c r="P697" i="1" a="1"/>
  <c r="P697" i="1" s="1"/>
  <c r="P698" i="1" a="1"/>
  <c r="P698" i="1" s="1"/>
  <c r="P699" i="1" a="1"/>
  <c r="P699" i="1" s="1"/>
  <c r="P700" i="1" a="1"/>
  <c r="P700" i="1" s="1"/>
  <c r="P701" i="1" a="1"/>
  <c r="P701" i="1" s="1"/>
  <c r="P702" i="1" a="1"/>
  <c r="P702" i="1" s="1"/>
  <c r="P703" i="1" a="1"/>
  <c r="P703" i="1" s="1"/>
  <c r="P704" i="1" a="1"/>
  <c r="P704" i="1" s="1"/>
  <c r="P705" i="1" a="1"/>
  <c r="P705" i="1" s="1"/>
  <c r="P706" i="1" a="1"/>
  <c r="P706" i="1" s="1"/>
  <c r="P707" i="1" a="1"/>
  <c r="P707" i="1" s="1"/>
  <c r="P708" i="1" a="1"/>
  <c r="P708" i="1" s="1"/>
  <c r="P709" i="1" a="1"/>
  <c r="P709" i="1" s="1"/>
  <c r="P710" i="1" a="1"/>
  <c r="P710" i="1" s="1"/>
  <c r="P711" i="1" a="1"/>
  <c r="P711" i="1" s="1"/>
  <c r="P712" i="1" a="1"/>
  <c r="P712" i="1" s="1"/>
  <c r="P713" i="1" a="1"/>
  <c r="P713" i="1" s="1"/>
  <c r="P714" i="1" a="1"/>
  <c r="P714" i="1" s="1"/>
  <c r="P715" i="1" a="1"/>
  <c r="P715" i="1" s="1"/>
  <c r="P716" i="1" a="1"/>
  <c r="P716" i="1" s="1"/>
  <c r="P717" i="1" a="1"/>
  <c r="P717" i="1" s="1"/>
  <c r="P718" i="1" a="1"/>
  <c r="P718" i="1" s="1"/>
  <c r="P719" i="1" a="1"/>
  <c r="P719" i="1" s="1"/>
  <c r="P720" i="1" a="1"/>
  <c r="P720" i="1" s="1"/>
  <c r="P721" i="1" a="1"/>
  <c r="P721" i="1" s="1"/>
  <c r="P722" i="1" a="1"/>
  <c r="P722" i="1" s="1"/>
  <c r="P723" i="1" a="1"/>
  <c r="P723" i="1" s="1"/>
  <c r="P724" i="1" a="1"/>
  <c r="P724" i="1" s="1"/>
  <c r="P725" i="1" a="1"/>
  <c r="P725" i="1" s="1"/>
  <c r="P726" i="1" a="1"/>
  <c r="P726" i="1" s="1"/>
  <c r="P727" i="1" a="1"/>
  <c r="P727" i="1" s="1"/>
  <c r="P728" i="1" a="1"/>
  <c r="P728" i="1" s="1"/>
  <c r="P729" i="1" a="1"/>
  <c r="P729" i="1" s="1"/>
  <c r="P730" i="1" a="1"/>
  <c r="P730" i="1" s="1"/>
  <c r="P731" i="1" a="1"/>
  <c r="P731" i="1" s="1"/>
  <c r="P732" i="1" a="1"/>
  <c r="P732" i="1" s="1"/>
  <c r="P733" i="1" a="1"/>
  <c r="P733" i="1" s="1"/>
  <c r="P734" i="1" a="1"/>
  <c r="P734" i="1" s="1"/>
  <c r="P735" i="1" a="1"/>
  <c r="P735" i="1" s="1"/>
  <c r="P736" i="1" a="1"/>
  <c r="P736" i="1" s="1"/>
  <c r="P737" i="1" a="1"/>
  <c r="P737" i="1" s="1"/>
  <c r="P738" i="1" a="1"/>
  <c r="P738" i="1" s="1"/>
  <c r="P739" i="1" a="1"/>
  <c r="P739" i="1" s="1"/>
  <c r="P740" i="1" a="1"/>
  <c r="P740" i="1" s="1"/>
  <c r="P741" i="1" a="1"/>
  <c r="P741" i="1" s="1"/>
  <c r="P742" i="1" a="1"/>
  <c r="P742" i="1" s="1"/>
  <c r="P743" i="1" a="1"/>
  <c r="P743" i="1" s="1"/>
  <c r="P744" i="1" a="1"/>
  <c r="P744" i="1" s="1"/>
  <c r="P745" i="1" a="1"/>
  <c r="P745" i="1" s="1"/>
  <c r="P746" i="1" a="1"/>
  <c r="P746" i="1" s="1"/>
  <c r="P747" i="1" a="1"/>
  <c r="P747" i="1" s="1"/>
  <c r="P748" i="1" a="1"/>
  <c r="P748" i="1" s="1"/>
  <c r="P749" i="1" a="1"/>
  <c r="P749" i="1" s="1"/>
  <c r="P750" i="1" a="1"/>
  <c r="P750" i="1" s="1"/>
  <c r="P751" i="1" a="1"/>
  <c r="P751" i="1" s="1"/>
  <c r="P752" i="1" a="1"/>
  <c r="P752" i="1" s="1"/>
  <c r="P753" i="1" a="1"/>
  <c r="P753" i="1" s="1"/>
  <c r="P754" i="1" a="1"/>
  <c r="P754" i="1" s="1"/>
  <c r="P755" i="1" a="1"/>
  <c r="P755" i="1" s="1"/>
  <c r="P756" i="1" a="1"/>
  <c r="P756" i="1" s="1"/>
  <c r="P757" i="1" a="1"/>
  <c r="P757" i="1" s="1"/>
  <c r="P758" i="1" a="1"/>
  <c r="P758" i="1" s="1"/>
  <c r="P759" i="1" a="1"/>
  <c r="P759" i="1" s="1"/>
  <c r="P760" i="1" a="1"/>
  <c r="P760" i="1" s="1"/>
  <c r="P761" i="1" a="1"/>
  <c r="P761" i="1" s="1"/>
  <c r="P762" i="1" a="1"/>
  <c r="P762" i="1" s="1"/>
  <c r="P763" i="1" a="1"/>
  <c r="P763" i="1" s="1"/>
  <c r="P764" i="1" a="1"/>
  <c r="P764" i="1" s="1"/>
  <c r="P765" i="1" a="1"/>
  <c r="P765" i="1" s="1"/>
  <c r="P766" i="1" a="1"/>
  <c r="P766" i="1" s="1"/>
  <c r="P767" i="1" a="1"/>
  <c r="P767" i="1" s="1"/>
  <c r="P768" i="1" a="1"/>
  <c r="P768" i="1" s="1"/>
  <c r="P769" i="1" a="1"/>
  <c r="P769" i="1" s="1"/>
  <c r="P770" i="1" a="1"/>
  <c r="P770" i="1" s="1"/>
  <c r="P771" i="1" a="1"/>
  <c r="P771" i="1" s="1"/>
  <c r="P772" i="1" a="1"/>
  <c r="P772" i="1" s="1"/>
  <c r="P773" i="1" a="1"/>
  <c r="P773" i="1" s="1"/>
  <c r="P774" i="1" a="1"/>
  <c r="P774" i="1" s="1"/>
  <c r="P775" i="1" a="1"/>
  <c r="P775" i="1" s="1"/>
  <c r="P776" i="1" a="1"/>
  <c r="P776" i="1" s="1"/>
  <c r="P777" i="1" a="1"/>
  <c r="P777" i="1" s="1"/>
  <c r="P778" i="1" a="1"/>
  <c r="P778" i="1" s="1"/>
  <c r="P779" i="1" a="1"/>
  <c r="P779" i="1" s="1"/>
  <c r="P780" i="1" a="1"/>
  <c r="P780" i="1" s="1"/>
  <c r="P781" i="1" a="1"/>
  <c r="P781" i="1" s="1"/>
  <c r="P782" i="1" a="1"/>
  <c r="P782" i="1" s="1"/>
  <c r="P783" i="1" a="1"/>
  <c r="P783" i="1" s="1"/>
  <c r="P784" i="1" a="1"/>
  <c r="P784" i="1" s="1"/>
  <c r="P785" i="1" a="1"/>
  <c r="P785" i="1" s="1"/>
  <c r="P786" i="1" a="1"/>
  <c r="P786" i="1" s="1"/>
  <c r="P787" i="1" a="1"/>
  <c r="P787" i="1" s="1"/>
  <c r="P788" i="1" a="1"/>
  <c r="P788" i="1" s="1"/>
  <c r="P789" i="1" a="1"/>
  <c r="P789" i="1" s="1"/>
  <c r="P790" i="1" a="1"/>
  <c r="P790" i="1" s="1"/>
  <c r="P791" i="1" a="1"/>
  <c r="P791" i="1" s="1"/>
  <c r="P792" i="1" a="1"/>
  <c r="P792" i="1" s="1"/>
  <c r="P793" i="1" a="1"/>
  <c r="P793" i="1" s="1"/>
  <c r="P794" i="1" a="1"/>
  <c r="P794" i="1" s="1"/>
  <c r="P795" i="1" a="1"/>
  <c r="P795" i="1" s="1"/>
  <c r="P796" i="1" a="1"/>
  <c r="P796" i="1" s="1"/>
  <c r="P797" i="1" a="1"/>
  <c r="P797" i="1" s="1"/>
  <c r="P798" i="1" a="1"/>
  <c r="P798" i="1" s="1"/>
  <c r="P799" i="1" a="1"/>
  <c r="P799" i="1" s="1"/>
  <c r="P800" i="1" a="1"/>
  <c r="P800" i="1" s="1"/>
  <c r="P801" i="1" a="1"/>
  <c r="P801" i="1" s="1"/>
  <c r="P802" i="1" a="1"/>
  <c r="P802" i="1" s="1"/>
  <c r="P803" i="1" a="1"/>
  <c r="P803" i="1" s="1"/>
  <c r="P804" i="1" a="1"/>
  <c r="P804" i="1" s="1"/>
  <c r="P805" i="1" a="1"/>
  <c r="P805" i="1" s="1"/>
  <c r="P806" i="1" a="1"/>
  <c r="P806" i="1" s="1"/>
  <c r="P807" i="1" a="1"/>
  <c r="P807" i="1" s="1"/>
  <c r="P808" i="1" a="1"/>
  <c r="P808" i="1" s="1"/>
  <c r="P809" i="1" a="1"/>
  <c r="P809" i="1" s="1"/>
  <c r="P810" i="1" a="1"/>
  <c r="P810" i="1" s="1"/>
  <c r="P811" i="1" a="1"/>
  <c r="P811" i="1" s="1"/>
  <c r="P812" i="1" a="1"/>
  <c r="P812" i="1" s="1"/>
  <c r="P813" i="1" a="1"/>
  <c r="P813" i="1" s="1"/>
  <c r="P814" i="1" a="1"/>
  <c r="P814" i="1" s="1"/>
  <c r="P815" i="1" a="1"/>
  <c r="P815" i="1" s="1"/>
  <c r="P816" i="1" a="1"/>
  <c r="P816" i="1" s="1"/>
  <c r="P817" i="1" a="1"/>
  <c r="P817" i="1" s="1"/>
  <c r="P818" i="1" a="1"/>
  <c r="P818" i="1" s="1"/>
  <c r="P819" i="1" a="1"/>
  <c r="P819" i="1" s="1"/>
  <c r="P820" i="1" a="1"/>
  <c r="P820" i="1" s="1"/>
  <c r="P821" i="1" a="1"/>
  <c r="P821" i="1" s="1"/>
  <c r="P822" i="1" a="1"/>
  <c r="P822" i="1" s="1"/>
  <c r="P823" i="1" a="1"/>
  <c r="P823" i="1" s="1"/>
  <c r="P824" i="1" a="1"/>
  <c r="P824" i="1" s="1"/>
  <c r="P825" i="1" a="1"/>
  <c r="P825" i="1" s="1"/>
  <c r="P826" i="1" a="1"/>
  <c r="P826" i="1" s="1"/>
  <c r="P827" i="1" a="1"/>
  <c r="P827" i="1" s="1"/>
  <c r="P828" i="1" a="1"/>
  <c r="P828" i="1" s="1"/>
  <c r="P829" i="1" a="1"/>
  <c r="P829" i="1" s="1"/>
  <c r="P830" i="1" a="1"/>
  <c r="P830" i="1" s="1"/>
  <c r="P831" i="1" a="1"/>
  <c r="P831" i="1" s="1"/>
  <c r="P832" i="1" a="1"/>
  <c r="P832" i="1" s="1"/>
  <c r="P833" i="1" a="1"/>
  <c r="P833" i="1" s="1"/>
  <c r="P834" i="1" a="1"/>
  <c r="P834" i="1" s="1"/>
  <c r="P835" i="1" a="1"/>
  <c r="P835" i="1" s="1"/>
  <c r="P836" i="1" a="1"/>
  <c r="P836" i="1" s="1"/>
  <c r="P837" i="1" a="1"/>
  <c r="P837" i="1" s="1"/>
  <c r="P838" i="1" a="1"/>
  <c r="P838" i="1" s="1"/>
  <c r="P839" i="1" a="1"/>
  <c r="P839" i="1" s="1"/>
  <c r="P840" i="1" a="1"/>
  <c r="P840" i="1" s="1"/>
  <c r="P841" i="1" a="1"/>
  <c r="P841" i="1" s="1"/>
  <c r="P842" i="1" a="1"/>
  <c r="P842" i="1" s="1"/>
  <c r="P843" i="1" a="1"/>
  <c r="P843" i="1" s="1"/>
  <c r="P844" i="1" a="1"/>
  <c r="P844" i="1" s="1"/>
  <c r="P845" i="1" a="1"/>
  <c r="P845" i="1" s="1"/>
  <c r="P846" i="1" a="1"/>
  <c r="P846" i="1" s="1"/>
  <c r="P847" i="1" a="1"/>
  <c r="P847" i="1" s="1"/>
  <c r="P848" i="1" a="1"/>
  <c r="P848" i="1" s="1"/>
  <c r="P849" i="1" a="1"/>
  <c r="P849" i="1" s="1"/>
  <c r="P850" i="1" a="1"/>
  <c r="P850" i="1" s="1"/>
  <c r="P851" i="1" a="1"/>
  <c r="P851" i="1" s="1"/>
  <c r="P852" i="1" a="1"/>
  <c r="P852" i="1" s="1"/>
  <c r="P853" i="1" a="1"/>
  <c r="P853" i="1" s="1"/>
  <c r="P854" i="1" a="1"/>
  <c r="P854" i="1" s="1"/>
  <c r="P855" i="1" a="1"/>
  <c r="P855" i="1" s="1"/>
  <c r="P856" i="1" a="1"/>
  <c r="P856" i="1" s="1"/>
  <c r="P857" i="1" a="1"/>
  <c r="P857" i="1" s="1"/>
  <c r="P858" i="1" a="1"/>
  <c r="P858" i="1" s="1"/>
  <c r="P859" i="1" a="1"/>
  <c r="P859" i="1" s="1"/>
  <c r="P860" i="1" a="1"/>
  <c r="P860" i="1" s="1"/>
  <c r="P861" i="1" a="1"/>
  <c r="P861" i="1" s="1"/>
  <c r="P862" i="1" a="1"/>
  <c r="P862" i="1" s="1"/>
  <c r="P863" i="1" a="1"/>
  <c r="P863" i="1" s="1"/>
  <c r="P864" i="1" a="1"/>
  <c r="P864" i="1" s="1"/>
  <c r="P865" i="1" a="1"/>
  <c r="P865" i="1" s="1"/>
  <c r="P866" i="1" a="1"/>
  <c r="P866" i="1" s="1"/>
  <c r="P867" i="1" a="1"/>
  <c r="P867" i="1" s="1"/>
  <c r="P868" i="1" a="1"/>
  <c r="P868" i="1" s="1"/>
  <c r="P869" i="1" a="1"/>
  <c r="P869" i="1" s="1"/>
  <c r="P870" i="1" a="1"/>
  <c r="P870" i="1" s="1"/>
  <c r="P871" i="1" a="1"/>
  <c r="P871" i="1" s="1"/>
  <c r="P872" i="1" a="1"/>
  <c r="P872" i="1" s="1"/>
  <c r="P873" i="1" a="1"/>
  <c r="P873" i="1" s="1"/>
  <c r="P874" i="1" a="1"/>
  <c r="P874" i="1" s="1"/>
  <c r="P875" i="1" a="1"/>
  <c r="P875" i="1" s="1"/>
  <c r="P876" i="1" a="1"/>
  <c r="P876" i="1" s="1"/>
  <c r="P877" i="1" a="1"/>
  <c r="P877" i="1" s="1"/>
  <c r="P878" i="1" a="1"/>
  <c r="P878" i="1" s="1"/>
  <c r="P879" i="1" a="1"/>
  <c r="P879" i="1" s="1"/>
  <c r="P880" i="1" a="1"/>
  <c r="P880" i="1" s="1"/>
  <c r="P881" i="1" a="1"/>
  <c r="P881" i="1" s="1"/>
  <c r="P882" i="1" a="1"/>
  <c r="P882" i="1" s="1"/>
  <c r="P883" i="1" a="1"/>
  <c r="P883" i="1" s="1"/>
  <c r="P884" i="1" a="1"/>
  <c r="P884" i="1" s="1"/>
  <c r="P885" i="1" a="1"/>
  <c r="P885" i="1" s="1"/>
  <c r="P886" i="1" a="1"/>
  <c r="P886" i="1" s="1"/>
  <c r="P887" i="1" a="1"/>
  <c r="P887" i="1" s="1"/>
  <c r="P888" i="1" a="1"/>
  <c r="P888" i="1" s="1"/>
  <c r="P889" i="1" a="1"/>
  <c r="P889" i="1" s="1"/>
  <c r="P890" i="1" a="1"/>
  <c r="P890" i="1" s="1"/>
  <c r="P891" i="1" a="1"/>
  <c r="P891" i="1" s="1"/>
  <c r="P892" i="1" a="1"/>
  <c r="P892" i="1" s="1"/>
  <c r="P893" i="1" a="1"/>
  <c r="P893" i="1" s="1"/>
  <c r="P894" i="1" a="1"/>
  <c r="P894" i="1" s="1"/>
  <c r="P895" i="1" a="1"/>
  <c r="P895" i="1" s="1"/>
  <c r="P896" i="1" a="1"/>
  <c r="P896" i="1" s="1"/>
  <c r="P897" i="1" a="1"/>
  <c r="P897" i="1" s="1"/>
  <c r="P898" i="1" a="1"/>
  <c r="P898" i="1" s="1"/>
  <c r="P899" i="1" a="1"/>
  <c r="P899" i="1" s="1"/>
  <c r="P900" i="1" a="1"/>
  <c r="P900" i="1" s="1"/>
  <c r="P901" i="1" a="1"/>
  <c r="P901" i="1" s="1"/>
  <c r="P902" i="1" a="1"/>
  <c r="P902" i="1" s="1"/>
  <c r="P903" i="1" a="1"/>
  <c r="P903" i="1" s="1"/>
  <c r="P904" i="1" a="1"/>
  <c r="P904" i="1" s="1"/>
  <c r="P905" i="1" a="1"/>
  <c r="P905" i="1" s="1"/>
  <c r="P906" i="1" a="1"/>
  <c r="P906" i="1" s="1"/>
  <c r="P907" i="1" a="1"/>
  <c r="P907" i="1" s="1"/>
  <c r="P908" i="1" a="1"/>
  <c r="P908" i="1" s="1"/>
  <c r="P909" i="1" a="1"/>
  <c r="P909" i="1" s="1"/>
  <c r="P910" i="1" a="1"/>
  <c r="P910" i="1" s="1"/>
  <c r="P911" i="1" a="1"/>
  <c r="P911" i="1" s="1"/>
  <c r="P912" i="1" a="1"/>
  <c r="P912" i="1" s="1"/>
  <c r="P913" i="1" a="1"/>
  <c r="P913" i="1" s="1"/>
  <c r="P914" i="1" a="1"/>
  <c r="P914" i="1" s="1"/>
  <c r="P915" i="1" a="1"/>
  <c r="P915" i="1" s="1"/>
  <c r="P916" i="1" a="1"/>
  <c r="P916" i="1" s="1"/>
  <c r="P917" i="1" a="1"/>
  <c r="P917" i="1" s="1"/>
  <c r="P918" i="1" a="1"/>
  <c r="P918" i="1" s="1"/>
  <c r="P919" i="1" a="1"/>
  <c r="P919" i="1" s="1"/>
  <c r="P920" i="1" a="1"/>
  <c r="P920" i="1" s="1"/>
  <c r="P921" i="1" a="1"/>
  <c r="P921" i="1" s="1"/>
  <c r="P922" i="1" a="1"/>
  <c r="P922" i="1" s="1"/>
  <c r="P923" i="1" a="1"/>
  <c r="P923" i="1" s="1"/>
  <c r="P924" i="1" a="1"/>
  <c r="P924" i="1" s="1"/>
  <c r="P925" i="1" a="1"/>
  <c r="P925" i="1" s="1"/>
  <c r="P926" i="1" a="1"/>
  <c r="P926" i="1" s="1"/>
  <c r="P927" i="1" a="1"/>
  <c r="P927" i="1" s="1"/>
  <c r="P928" i="1" a="1"/>
  <c r="P928" i="1" s="1"/>
  <c r="P929" i="1" a="1"/>
  <c r="P929" i="1" s="1"/>
  <c r="P930" i="1" a="1"/>
  <c r="P930" i="1" s="1"/>
  <c r="P931" i="1" a="1"/>
  <c r="P931" i="1" s="1"/>
  <c r="P932" i="1" a="1"/>
  <c r="P932" i="1" s="1"/>
  <c r="P933" i="1" a="1"/>
  <c r="P933" i="1" s="1"/>
  <c r="P934" i="1" a="1"/>
  <c r="P934" i="1" s="1"/>
  <c r="P935" i="1" a="1"/>
  <c r="P935" i="1" s="1"/>
  <c r="P936" i="1" a="1"/>
  <c r="P936" i="1" s="1"/>
  <c r="P937" i="1" a="1"/>
  <c r="P937" i="1" s="1"/>
  <c r="P938" i="1" a="1"/>
  <c r="P938" i="1" s="1"/>
  <c r="P939" i="1" a="1"/>
  <c r="P939" i="1" s="1"/>
  <c r="P940" i="1" a="1"/>
  <c r="P940" i="1" s="1"/>
  <c r="P941" i="1" a="1"/>
  <c r="P941" i="1" s="1"/>
  <c r="P942" i="1" a="1"/>
  <c r="P942" i="1" s="1"/>
  <c r="P943" i="1" a="1"/>
  <c r="P943" i="1" s="1"/>
  <c r="P944" i="1" a="1"/>
  <c r="P944" i="1" s="1"/>
  <c r="P945" i="1" a="1"/>
  <c r="P945" i="1" s="1"/>
  <c r="P946" i="1" a="1"/>
  <c r="P946" i="1" s="1"/>
  <c r="P947" i="1" a="1"/>
  <c r="P947" i="1" s="1"/>
  <c r="P948" i="1" a="1"/>
  <c r="P948" i="1" s="1"/>
  <c r="P949" i="1" a="1"/>
  <c r="P949" i="1" s="1"/>
  <c r="P950" i="1" a="1"/>
  <c r="P950" i="1" s="1"/>
  <c r="P951" i="1" a="1"/>
  <c r="P951" i="1" s="1"/>
  <c r="P952" i="1" a="1"/>
  <c r="P952" i="1" s="1"/>
  <c r="P953" i="1" a="1"/>
  <c r="P953" i="1" s="1"/>
  <c r="P954" i="1" a="1"/>
  <c r="P954" i="1" s="1"/>
  <c r="P955" i="1" a="1"/>
  <c r="P955" i="1" s="1"/>
  <c r="P956" i="1" a="1"/>
  <c r="P956" i="1" s="1"/>
  <c r="P957" i="1" a="1"/>
  <c r="P957" i="1" s="1"/>
  <c r="P958" i="1" a="1"/>
  <c r="P958" i="1" s="1"/>
  <c r="P959" i="1" a="1"/>
  <c r="P959" i="1" s="1"/>
  <c r="P960" i="1" a="1"/>
  <c r="P960" i="1" s="1"/>
  <c r="P961" i="1" a="1"/>
  <c r="P961" i="1" s="1"/>
  <c r="P962" i="1" a="1"/>
  <c r="P962" i="1" s="1"/>
  <c r="P963" i="1" a="1"/>
  <c r="P963" i="1" s="1"/>
  <c r="P964" i="1" a="1"/>
  <c r="P964" i="1" s="1"/>
  <c r="P965" i="1" a="1"/>
  <c r="P965" i="1" s="1"/>
  <c r="P966" i="1" a="1"/>
  <c r="P966" i="1" s="1"/>
  <c r="P967" i="1" a="1"/>
  <c r="P967" i="1" s="1"/>
  <c r="P968" i="1" a="1"/>
  <c r="P968" i="1" s="1"/>
  <c r="P969" i="1" a="1"/>
  <c r="P969" i="1" s="1"/>
  <c r="P970" i="1" a="1"/>
  <c r="P970" i="1" s="1"/>
  <c r="P971" i="1" a="1"/>
  <c r="P971" i="1" s="1"/>
  <c r="P972" i="1" a="1"/>
  <c r="P972" i="1" s="1"/>
  <c r="P973" i="1" a="1"/>
  <c r="P973" i="1" s="1"/>
  <c r="P974" i="1" a="1"/>
  <c r="P974" i="1" s="1"/>
  <c r="P975" i="1" a="1"/>
  <c r="P975" i="1" s="1"/>
  <c r="P976" i="1" a="1"/>
  <c r="P976" i="1" s="1"/>
  <c r="P977" i="1" a="1"/>
  <c r="P977" i="1" s="1"/>
  <c r="P978" i="1" a="1"/>
  <c r="P978" i="1" s="1"/>
  <c r="P979" i="1" a="1"/>
  <c r="P979" i="1" s="1"/>
  <c r="P980" i="1" a="1"/>
  <c r="P980" i="1" s="1"/>
  <c r="P981" i="1" a="1"/>
  <c r="P981" i="1" s="1"/>
  <c r="P982" i="1" a="1"/>
  <c r="P982" i="1" s="1"/>
  <c r="P983" i="1" a="1"/>
  <c r="P983" i="1" s="1"/>
  <c r="P984" i="1" a="1"/>
  <c r="P984" i="1" s="1"/>
  <c r="P985" i="1" a="1"/>
  <c r="P985" i="1" s="1"/>
  <c r="P986" i="1" a="1"/>
  <c r="P986" i="1" s="1"/>
  <c r="P987" i="1" a="1"/>
  <c r="P987" i="1" s="1"/>
  <c r="P988" i="1" a="1"/>
  <c r="P988" i="1" s="1"/>
  <c r="P989" i="1" a="1"/>
  <c r="P989" i="1" s="1"/>
  <c r="P990" i="1" a="1"/>
  <c r="P990" i="1" s="1"/>
  <c r="P991" i="1" a="1"/>
  <c r="P991" i="1" s="1"/>
  <c r="P992" i="1" a="1"/>
  <c r="P992" i="1" s="1"/>
  <c r="P993" i="1" a="1"/>
  <c r="P993" i="1" s="1"/>
  <c r="P994" i="1" a="1"/>
  <c r="P994" i="1" s="1"/>
  <c r="P995" i="1" a="1"/>
  <c r="P995" i="1" s="1"/>
  <c r="P996" i="1" a="1"/>
  <c r="P996" i="1" s="1"/>
  <c r="P997" i="1" a="1"/>
  <c r="P997" i="1" s="1"/>
  <c r="P998" i="1" a="1"/>
  <c r="P998" i="1" s="1"/>
  <c r="P999" i="1" a="1"/>
  <c r="P999" i="1" s="1"/>
  <c r="P1000" i="1" a="1"/>
  <c r="P1000" i="1" s="1"/>
  <c r="P1001" i="1" a="1"/>
  <c r="P1001" i="1" s="1"/>
  <c r="P1002" i="1" a="1"/>
  <c r="P1002" i="1" s="1"/>
  <c r="P1003" i="1" a="1"/>
  <c r="P1003" i="1" s="1"/>
  <c r="P1004" i="1" a="1"/>
  <c r="P1004" i="1" s="1"/>
  <c r="P1005" i="1" a="1"/>
  <c r="P1005" i="1" s="1"/>
  <c r="P1006" i="1" a="1"/>
  <c r="P1006" i="1" s="1"/>
  <c r="P1007" i="1" a="1"/>
  <c r="P1007" i="1" s="1"/>
  <c r="P1008" i="1" a="1"/>
  <c r="P1008" i="1" s="1"/>
  <c r="P1009" i="1" a="1"/>
  <c r="P1009" i="1" s="1"/>
  <c r="P1010" i="1" a="1"/>
  <c r="P1010" i="1" s="1"/>
  <c r="P1011" i="1" a="1"/>
  <c r="P1011" i="1" s="1"/>
  <c r="P1012" i="1" a="1"/>
  <c r="P1012" i="1" s="1"/>
  <c r="P1013" i="1" a="1"/>
  <c r="P1013" i="1" s="1"/>
  <c r="P1014" i="1" a="1"/>
  <c r="P1014" i="1" s="1"/>
  <c r="P1015" i="1" a="1"/>
  <c r="P1015" i="1" s="1"/>
  <c r="P1016" i="1" a="1"/>
  <c r="P1016" i="1" s="1"/>
  <c r="P1017" i="1" a="1"/>
  <c r="P1017" i="1" s="1"/>
  <c r="P1018" i="1" a="1"/>
  <c r="P1018" i="1" s="1"/>
  <c r="P1019" i="1" a="1"/>
  <c r="P1019" i="1" s="1"/>
  <c r="P1020" i="1" a="1"/>
  <c r="P1020" i="1" s="1"/>
  <c r="P1021" i="1" a="1"/>
  <c r="P1021" i="1" s="1"/>
  <c r="P1022" i="1" a="1"/>
  <c r="P1022" i="1" s="1"/>
  <c r="P1023" i="1" a="1"/>
  <c r="P1023" i="1" s="1"/>
  <c r="P1024" i="1" a="1"/>
  <c r="P1024" i="1" s="1"/>
  <c r="P1025" i="1" a="1"/>
  <c r="P1025" i="1" s="1"/>
  <c r="P1026" i="1" a="1"/>
  <c r="P1026" i="1" s="1"/>
  <c r="P1027" i="1" a="1"/>
  <c r="P1027" i="1" s="1"/>
  <c r="P1028" i="1" a="1"/>
  <c r="P1028" i="1" s="1"/>
  <c r="P1029" i="1" a="1"/>
  <c r="P1029" i="1" s="1"/>
  <c r="P1030" i="1" a="1"/>
  <c r="P1030" i="1" s="1"/>
  <c r="P1031" i="1" a="1"/>
  <c r="P1031" i="1" s="1"/>
  <c r="P1032" i="1" a="1"/>
  <c r="P1032" i="1" s="1"/>
  <c r="P1033" i="1" a="1"/>
  <c r="P1033" i="1" s="1"/>
  <c r="P1034" i="1" a="1"/>
  <c r="P1034" i="1" s="1"/>
  <c r="P1035" i="1" a="1"/>
  <c r="P1035" i="1" s="1"/>
  <c r="P1036" i="1" a="1"/>
  <c r="P1036" i="1" s="1"/>
  <c r="P1037" i="1" a="1"/>
  <c r="P1037" i="1" s="1"/>
  <c r="P1038" i="1" a="1"/>
  <c r="P1038" i="1" s="1"/>
  <c r="P1039" i="1" a="1"/>
  <c r="P1039" i="1" s="1"/>
  <c r="P1040" i="1" a="1"/>
  <c r="P1040" i="1" s="1"/>
  <c r="P1041" i="1" a="1"/>
  <c r="P1041" i="1" s="1"/>
  <c r="P1042" i="1" a="1"/>
  <c r="P1042" i="1" s="1"/>
  <c r="P1043" i="1" a="1"/>
  <c r="P1043" i="1" s="1"/>
  <c r="P1044" i="1" a="1"/>
  <c r="P1044" i="1" s="1"/>
  <c r="P1045" i="1" a="1"/>
  <c r="P1045" i="1" s="1"/>
  <c r="P1046" i="1" a="1"/>
  <c r="P1046" i="1" s="1"/>
  <c r="P1047" i="1" a="1"/>
  <c r="P1047" i="1" s="1"/>
  <c r="P1048" i="1" a="1"/>
  <c r="P1048" i="1" s="1"/>
  <c r="P1049" i="1" a="1"/>
  <c r="P1049" i="1" s="1"/>
  <c r="P1050" i="1" a="1"/>
  <c r="P1050" i="1" s="1"/>
  <c r="P1051" i="1" a="1"/>
  <c r="P1051" i="1" s="1"/>
  <c r="P1052" i="1" a="1"/>
  <c r="P1052" i="1" s="1"/>
  <c r="P1053" i="1" a="1"/>
  <c r="P1053" i="1" s="1"/>
  <c r="P1054" i="1" a="1"/>
  <c r="P1054" i="1" s="1"/>
  <c r="P1055" i="1" a="1"/>
  <c r="P1055" i="1" s="1"/>
  <c r="P1056" i="1" a="1"/>
  <c r="P1056" i="1" s="1"/>
  <c r="P1057" i="1" a="1"/>
  <c r="P1057" i="1" s="1"/>
  <c r="P1058" i="1" a="1"/>
  <c r="P1058" i="1" s="1"/>
  <c r="P1059" i="1" a="1"/>
  <c r="P1059" i="1" s="1"/>
  <c r="P1060" i="1" a="1"/>
  <c r="P1060" i="1" s="1"/>
  <c r="P1061" i="1" a="1"/>
  <c r="P1061" i="1" s="1"/>
  <c r="P1062" i="1" a="1"/>
  <c r="P1062" i="1" s="1"/>
  <c r="P1063" i="1" a="1"/>
  <c r="P1063" i="1" s="1"/>
  <c r="P1064" i="1" a="1"/>
  <c r="P1064" i="1" s="1"/>
  <c r="P1065" i="1" a="1"/>
  <c r="P1065" i="1" s="1"/>
  <c r="P1066" i="1" a="1"/>
  <c r="P1066" i="1" s="1"/>
  <c r="P1067" i="1" a="1"/>
  <c r="P1067" i="1" s="1"/>
  <c r="P1068" i="1" a="1"/>
  <c r="P1068" i="1" s="1"/>
  <c r="P1069" i="1" a="1"/>
  <c r="P1069" i="1" s="1"/>
  <c r="P1070" i="1" a="1"/>
  <c r="P1070" i="1" s="1"/>
  <c r="P1071" i="1" a="1"/>
  <c r="P1071" i="1" s="1"/>
  <c r="P1072" i="1" a="1"/>
  <c r="P1072" i="1" s="1"/>
  <c r="P1073" i="1" a="1"/>
  <c r="P1073" i="1" s="1"/>
  <c r="P1074" i="1" a="1"/>
  <c r="P1074" i="1" s="1"/>
  <c r="P1075" i="1" a="1"/>
  <c r="P1075" i="1" s="1"/>
  <c r="P1076" i="1" a="1"/>
  <c r="P1076" i="1" s="1"/>
  <c r="P1077" i="1" a="1"/>
  <c r="P1077" i="1" s="1"/>
  <c r="P1078" i="1" a="1"/>
  <c r="P1078" i="1" s="1"/>
  <c r="P1079" i="1" a="1"/>
  <c r="P1079" i="1" s="1"/>
  <c r="P1080" i="1" a="1"/>
  <c r="P1080" i="1" s="1"/>
  <c r="P1081" i="1" a="1"/>
  <c r="P1081" i="1" s="1"/>
  <c r="P1082" i="1" a="1"/>
  <c r="P1082" i="1" s="1"/>
  <c r="P1083" i="1" a="1"/>
  <c r="P1083" i="1" s="1"/>
  <c r="P1084" i="1" a="1"/>
  <c r="P1084" i="1" s="1"/>
  <c r="P1085" i="1" a="1"/>
  <c r="P1085" i="1" s="1"/>
  <c r="P1086" i="1" a="1"/>
  <c r="P1086" i="1" s="1"/>
  <c r="P1087" i="1" a="1"/>
  <c r="P1087" i="1" s="1"/>
  <c r="P1088" i="1" a="1"/>
  <c r="P1088" i="1" s="1"/>
  <c r="P1089" i="1" a="1"/>
  <c r="P1089" i="1" s="1"/>
  <c r="P1090" i="1" a="1"/>
  <c r="P1090" i="1" s="1"/>
  <c r="P1091" i="1" a="1"/>
  <c r="P1091" i="1" s="1"/>
  <c r="P1092" i="1" a="1"/>
  <c r="P1092" i="1" s="1"/>
  <c r="P1093" i="1" a="1"/>
  <c r="P1093" i="1" s="1"/>
  <c r="P1094" i="1" a="1"/>
  <c r="P1094" i="1" s="1"/>
  <c r="P1095" i="1" a="1"/>
  <c r="P1095" i="1" s="1"/>
  <c r="P1096" i="1" a="1"/>
  <c r="P1096" i="1" s="1"/>
  <c r="P1097" i="1" a="1"/>
  <c r="P1097" i="1" s="1"/>
  <c r="P1098" i="1" a="1"/>
  <c r="P1098" i="1" s="1"/>
  <c r="P1099" i="1" a="1"/>
  <c r="P1099" i="1" s="1"/>
  <c r="P1100" i="1" a="1"/>
  <c r="P1100" i="1" s="1"/>
  <c r="P1101" i="1" a="1"/>
  <c r="P1101" i="1" s="1"/>
  <c r="P1102" i="1" a="1"/>
  <c r="P1102" i="1" s="1"/>
  <c r="P1103" i="1" a="1"/>
  <c r="P1103" i="1" s="1"/>
  <c r="P1104" i="1" a="1"/>
  <c r="P1104" i="1" s="1"/>
  <c r="P1105" i="1" a="1"/>
  <c r="P1105" i="1" s="1"/>
  <c r="P1106" i="1" a="1"/>
  <c r="P1106" i="1" s="1"/>
  <c r="P1107" i="1" a="1"/>
  <c r="P1107" i="1" s="1"/>
  <c r="P1108" i="1" a="1"/>
  <c r="P1108" i="1" s="1"/>
  <c r="P1109" i="1" a="1"/>
  <c r="P1109" i="1" s="1"/>
  <c r="P1110" i="1" a="1"/>
  <c r="P1110" i="1" s="1"/>
  <c r="P1111" i="1" a="1"/>
  <c r="P1111" i="1" s="1"/>
  <c r="P1112" i="1" a="1"/>
  <c r="P1112" i="1" s="1"/>
  <c r="P1113" i="1" a="1"/>
  <c r="P1113" i="1" s="1"/>
  <c r="P1114" i="1" a="1"/>
  <c r="P1114" i="1" s="1"/>
  <c r="P1115" i="1" a="1"/>
  <c r="P1115" i="1" s="1"/>
  <c r="P1116" i="1" a="1"/>
  <c r="P1116" i="1" s="1"/>
  <c r="P1117" i="1" a="1"/>
  <c r="P1117" i="1" s="1"/>
  <c r="P1118" i="1" a="1"/>
  <c r="P1118" i="1" s="1"/>
  <c r="P1119" i="1" a="1"/>
  <c r="P1119" i="1" s="1"/>
  <c r="P1120" i="1" a="1"/>
  <c r="P1120" i="1" s="1"/>
  <c r="P1121" i="1" a="1"/>
  <c r="P1121" i="1" s="1"/>
  <c r="P1122" i="1" a="1"/>
  <c r="P1122" i="1" s="1"/>
  <c r="P1123" i="1" a="1"/>
  <c r="P1123" i="1" s="1"/>
  <c r="P1124" i="1" a="1"/>
  <c r="P1124" i="1" s="1"/>
  <c r="P1125" i="1" a="1"/>
  <c r="P1125" i="1" s="1"/>
  <c r="P1126" i="1" a="1"/>
  <c r="P1126" i="1" s="1"/>
  <c r="P1127" i="1" a="1"/>
  <c r="P1127" i="1" s="1"/>
  <c r="P1128" i="1" a="1"/>
  <c r="P1128" i="1" s="1"/>
  <c r="P1129" i="1" a="1"/>
  <c r="P1129" i="1" s="1"/>
  <c r="P1130" i="1" a="1"/>
  <c r="P1130" i="1" s="1"/>
  <c r="P1131" i="1" a="1"/>
  <c r="P1131" i="1" s="1"/>
  <c r="P1132" i="1" a="1"/>
  <c r="P1132" i="1" s="1"/>
  <c r="P1133" i="1" a="1"/>
  <c r="P1133" i="1" s="1"/>
  <c r="P1134" i="1" a="1"/>
  <c r="P1134" i="1" s="1"/>
  <c r="P1135" i="1" a="1"/>
  <c r="P1135" i="1" s="1"/>
  <c r="P1136" i="1" a="1"/>
  <c r="P1136" i="1" s="1"/>
  <c r="P1137" i="1" a="1"/>
  <c r="P1137" i="1" s="1"/>
  <c r="P1138" i="1" a="1"/>
  <c r="P1138" i="1" s="1"/>
  <c r="P1139" i="1" a="1"/>
  <c r="P1139" i="1" s="1"/>
  <c r="P1140" i="1" a="1"/>
  <c r="P1140" i="1" s="1"/>
  <c r="P1141" i="1" a="1"/>
  <c r="P1141" i="1" s="1"/>
  <c r="P1142" i="1" a="1"/>
  <c r="P1142" i="1" s="1"/>
  <c r="P1143" i="1" a="1"/>
  <c r="P1143" i="1" s="1"/>
  <c r="P1144" i="1" a="1"/>
  <c r="P1144" i="1" s="1"/>
  <c r="P1145" i="1" a="1"/>
  <c r="P1145" i="1" s="1"/>
  <c r="P1146" i="1" a="1"/>
  <c r="P1146" i="1" s="1"/>
  <c r="P1147" i="1" a="1"/>
  <c r="P1147" i="1" s="1"/>
  <c r="P1148" i="1" a="1"/>
  <c r="P1148" i="1" s="1"/>
  <c r="P1149" i="1" a="1"/>
  <c r="P1149" i="1" s="1"/>
  <c r="P1150" i="1" a="1"/>
  <c r="P1150" i="1" s="1"/>
  <c r="P1151" i="1" a="1"/>
  <c r="P1151" i="1" s="1"/>
  <c r="P1152" i="1" a="1"/>
  <c r="P1152" i="1" s="1"/>
  <c r="P1153" i="1" a="1"/>
  <c r="P1153" i="1" s="1"/>
  <c r="P1154" i="1" a="1"/>
  <c r="P1154" i="1" s="1"/>
  <c r="P1155" i="1" a="1"/>
  <c r="P1155" i="1" s="1"/>
  <c r="P1156" i="1" a="1"/>
  <c r="P1156" i="1" s="1"/>
  <c r="P1157" i="1" a="1"/>
  <c r="P1157" i="1" s="1"/>
  <c r="P1158" i="1" a="1"/>
  <c r="P1158" i="1" s="1"/>
  <c r="P1159" i="1" a="1"/>
  <c r="P1159" i="1" s="1"/>
  <c r="P1160" i="1" a="1"/>
  <c r="P1160" i="1" s="1"/>
  <c r="P1161" i="1" a="1"/>
  <c r="P1161" i="1" s="1"/>
  <c r="P1162" i="1" a="1"/>
  <c r="P1162" i="1" s="1"/>
  <c r="P1163" i="1" a="1"/>
  <c r="P1163" i="1" s="1"/>
  <c r="P1164" i="1" a="1"/>
  <c r="P1164" i="1" s="1"/>
  <c r="P1165" i="1" a="1"/>
  <c r="P1165" i="1" s="1"/>
  <c r="P1166" i="1" a="1"/>
  <c r="P1166" i="1" s="1"/>
  <c r="P1167" i="1" a="1"/>
  <c r="P1167" i="1" s="1"/>
  <c r="P1168" i="1" a="1"/>
  <c r="P1168" i="1" s="1"/>
  <c r="P1169" i="1" a="1"/>
  <c r="P1169" i="1" s="1"/>
  <c r="P1170" i="1" a="1"/>
  <c r="P1170" i="1" s="1"/>
  <c r="P1171" i="1" a="1"/>
  <c r="P1171" i="1" s="1"/>
  <c r="P1172" i="1" a="1"/>
  <c r="P1172" i="1" s="1"/>
  <c r="P1173" i="1" a="1"/>
  <c r="P1173" i="1" s="1"/>
  <c r="P1174" i="1" a="1"/>
  <c r="P1174" i="1" s="1"/>
  <c r="P1175" i="1" a="1"/>
  <c r="P1175" i="1" s="1"/>
  <c r="P1176" i="1" a="1"/>
  <c r="P1176" i="1" s="1"/>
  <c r="P1177" i="1" a="1"/>
  <c r="P1177" i="1" s="1"/>
  <c r="P1178" i="1" a="1"/>
  <c r="P1178" i="1" s="1"/>
  <c r="P1179" i="1" a="1"/>
  <c r="P1179" i="1" s="1"/>
  <c r="P1180" i="1" a="1"/>
  <c r="P1180" i="1" s="1"/>
  <c r="P1181" i="1" a="1"/>
  <c r="P1181" i="1" s="1"/>
  <c r="P1182" i="1" a="1"/>
  <c r="P1182" i="1" s="1"/>
  <c r="P1183" i="1" a="1"/>
  <c r="P1183" i="1" s="1"/>
  <c r="P1184" i="1" a="1"/>
  <c r="P1184" i="1" s="1"/>
  <c r="P1185" i="1" a="1"/>
  <c r="P1185" i="1" s="1"/>
  <c r="P1186" i="1" a="1"/>
  <c r="P1186" i="1" s="1"/>
  <c r="P1187" i="1" a="1"/>
  <c r="P1187" i="1" s="1"/>
  <c r="P1188" i="1" a="1"/>
  <c r="P1188" i="1" s="1"/>
  <c r="P1189" i="1" a="1"/>
  <c r="P1189" i="1" s="1"/>
  <c r="P1190" i="1" a="1"/>
  <c r="P1190" i="1" s="1"/>
  <c r="P1191" i="1" a="1"/>
  <c r="P1191" i="1" s="1"/>
  <c r="P1192" i="1" a="1"/>
  <c r="P1192" i="1" s="1"/>
  <c r="P1193" i="1" a="1"/>
  <c r="P1193" i="1" s="1"/>
  <c r="P1194" i="1" a="1"/>
  <c r="P1194" i="1" s="1"/>
  <c r="P1195" i="1" a="1"/>
  <c r="P1195" i="1" s="1"/>
  <c r="P1196" i="1" a="1"/>
  <c r="P1196" i="1" s="1"/>
  <c r="P1197" i="1" a="1"/>
  <c r="P1197" i="1" s="1"/>
  <c r="P1198" i="1" a="1"/>
  <c r="P1198" i="1" s="1"/>
  <c r="P1199" i="1" a="1"/>
  <c r="P1199" i="1" s="1"/>
  <c r="P1200" i="1" a="1"/>
  <c r="P1200" i="1" s="1"/>
  <c r="P1201" i="1" a="1"/>
  <c r="P1201" i="1" s="1"/>
  <c r="P1202" i="1" a="1"/>
  <c r="P1202" i="1" s="1"/>
  <c r="P1203" i="1" a="1"/>
  <c r="P1203" i="1" s="1"/>
  <c r="P1204" i="1" a="1"/>
  <c r="P1204" i="1" s="1"/>
  <c r="P1205" i="1" a="1"/>
  <c r="P1205" i="1" s="1"/>
  <c r="P1206" i="1" a="1"/>
  <c r="P1206" i="1" s="1"/>
  <c r="P1207" i="1" a="1"/>
  <c r="P1207" i="1" s="1"/>
  <c r="P1208" i="1" a="1"/>
  <c r="P1208" i="1" s="1"/>
  <c r="P1209" i="1" a="1"/>
  <c r="P1209" i="1" s="1"/>
  <c r="P1210" i="1" a="1"/>
  <c r="P1210" i="1" s="1"/>
  <c r="P1211" i="1" a="1"/>
  <c r="P1211" i="1" s="1"/>
  <c r="P1212" i="1" a="1"/>
  <c r="P1212" i="1" s="1"/>
  <c r="P1213" i="1" a="1"/>
  <c r="P1213" i="1" s="1"/>
  <c r="P1214" i="1" a="1"/>
  <c r="P1214" i="1" s="1"/>
  <c r="P1215" i="1" a="1"/>
  <c r="P1215" i="1" s="1"/>
  <c r="P1216" i="1" a="1"/>
  <c r="P1216" i="1" s="1"/>
  <c r="P1217" i="1" a="1"/>
  <c r="P1217" i="1" s="1"/>
  <c r="P1218" i="1" a="1"/>
  <c r="P1218" i="1" s="1"/>
  <c r="P1219" i="1" a="1"/>
  <c r="P1219" i="1" s="1"/>
  <c r="P1220" i="1" a="1"/>
  <c r="P1220" i="1" s="1"/>
  <c r="P1221" i="1" a="1"/>
  <c r="P1221" i="1" s="1"/>
  <c r="P1222" i="1" a="1"/>
  <c r="P1222" i="1" s="1"/>
  <c r="P1223" i="1" a="1"/>
  <c r="P1223" i="1" s="1"/>
  <c r="P1224" i="1" a="1"/>
  <c r="P1224" i="1" s="1"/>
  <c r="P1225" i="1" a="1"/>
  <c r="P1225" i="1" s="1"/>
  <c r="P1226" i="1" a="1"/>
  <c r="P1226" i="1" s="1"/>
  <c r="P1227" i="1" a="1"/>
  <c r="P1227" i="1" s="1"/>
  <c r="P1228" i="1" a="1"/>
  <c r="P1228" i="1" s="1"/>
  <c r="P1229" i="1" a="1"/>
  <c r="P1229" i="1" s="1"/>
  <c r="P1230" i="1" a="1"/>
  <c r="P1230" i="1" s="1"/>
  <c r="P1231" i="1" a="1"/>
  <c r="P1231" i="1" s="1"/>
  <c r="P1232" i="1" a="1"/>
  <c r="P1232" i="1" s="1"/>
  <c r="P1233" i="1" a="1"/>
  <c r="P1233" i="1" s="1"/>
  <c r="P1234" i="1" a="1"/>
  <c r="P1234" i="1" s="1"/>
  <c r="P1235" i="1" a="1"/>
  <c r="P1235" i="1" s="1"/>
  <c r="P1236" i="1" a="1"/>
  <c r="P1236" i="1" s="1"/>
  <c r="P1237" i="1" a="1"/>
  <c r="P1237" i="1" s="1"/>
  <c r="P1238" i="1" a="1"/>
  <c r="P1238" i="1" s="1"/>
  <c r="P1239" i="1" a="1"/>
  <c r="P1239" i="1" s="1"/>
  <c r="P1240" i="1" a="1"/>
  <c r="P1240" i="1" s="1"/>
  <c r="P1241" i="1" a="1"/>
  <c r="P1241" i="1" s="1"/>
  <c r="P1242" i="1" a="1"/>
  <c r="P1242" i="1" s="1"/>
  <c r="P1243" i="1" a="1"/>
  <c r="P1243" i="1" s="1"/>
  <c r="P1244" i="1" a="1"/>
  <c r="P1244" i="1" s="1"/>
  <c r="P1245" i="1" a="1"/>
  <c r="P1245" i="1" s="1"/>
  <c r="P1246" i="1" a="1"/>
  <c r="P1246" i="1" s="1"/>
  <c r="P1247" i="1" a="1"/>
  <c r="P1247" i="1" s="1"/>
  <c r="P1248" i="1" a="1"/>
  <c r="P1248" i="1" s="1"/>
  <c r="P1249" i="1" a="1"/>
  <c r="P1249" i="1" s="1"/>
  <c r="P1250" i="1" a="1"/>
  <c r="P1250" i="1" s="1"/>
  <c r="P1251" i="1" a="1"/>
  <c r="P1251" i="1" s="1"/>
  <c r="P1252" i="1" a="1"/>
  <c r="P1252" i="1" s="1"/>
  <c r="P1253" i="1" a="1"/>
  <c r="P1253" i="1" s="1"/>
  <c r="P1254" i="1" a="1"/>
  <c r="P1254" i="1" s="1"/>
  <c r="P1255" i="1" a="1"/>
  <c r="P1255" i="1" s="1"/>
  <c r="P1256" i="1" a="1"/>
  <c r="P1256" i="1" s="1"/>
  <c r="P1257" i="1" a="1"/>
  <c r="P1257" i="1" s="1"/>
  <c r="P1258" i="1" a="1"/>
  <c r="P1258" i="1" s="1"/>
  <c r="P1259" i="1" a="1"/>
  <c r="P1259" i="1" s="1"/>
  <c r="P1260" i="1" a="1"/>
  <c r="P1260" i="1" s="1"/>
  <c r="P1261" i="1" a="1"/>
  <c r="P1261" i="1" s="1"/>
  <c r="P1262" i="1" a="1"/>
  <c r="P1262" i="1" s="1"/>
  <c r="P1263" i="1" a="1"/>
  <c r="P1263" i="1" s="1"/>
  <c r="P1264" i="1" a="1"/>
  <c r="P1264" i="1" s="1"/>
  <c r="P1265" i="1" a="1"/>
  <c r="P1265" i="1" s="1"/>
  <c r="P1266" i="1" a="1"/>
  <c r="P1266" i="1" s="1"/>
  <c r="P1267" i="1" a="1"/>
  <c r="P1267" i="1" s="1"/>
  <c r="P1268" i="1" a="1"/>
  <c r="P1268" i="1" s="1"/>
  <c r="P1269" i="1" a="1"/>
  <c r="P1269" i="1" s="1"/>
  <c r="P1270" i="1" a="1"/>
  <c r="P1270" i="1" s="1"/>
  <c r="P1271" i="1" a="1"/>
  <c r="P1271" i="1" s="1"/>
  <c r="P1272" i="1" a="1"/>
  <c r="P1272" i="1" s="1"/>
  <c r="P1273" i="1" a="1"/>
  <c r="P1273" i="1" s="1"/>
  <c r="P1274" i="1" a="1"/>
  <c r="P1274" i="1" s="1"/>
  <c r="P1275" i="1" a="1"/>
  <c r="P1275" i="1" s="1"/>
  <c r="P1276" i="1" a="1"/>
  <c r="P1276" i="1" s="1"/>
  <c r="P1277" i="1" a="1"/>
  <c r="P1277" i="1" s="1"/>
  <c r="P1278" i="1" a="1"/>
  <c r="P1278" i="1" s="1"/>
  <c r="P1279" i="1" a="1"/>
  <c r="P1279" i="1" s="1"/>
  <c r="P1280" i="1" a="1"/>
  <c r="P1280" i="1" s="1"/>
  <c r="P1281" i="1" a="1"/>
  <c r="P1281" i="1" s="1"/>
  <c r="P1282" i="1" a="1"/>
  <c r="P1282" i="1" s="1"/>
  <c r="P1283" i="1" a="1"/>
  <c r="P1283" i="1" s="1"/>
  <c r="P1284" i="1" a="1"/>
  <c r="P1284" i="1" s="1"/>
  <c r="P1285" i="1" a="1"/>
  <c r="P1285" i="1" s="1"/>
  <c r="P1286" i="1" a="1"/>
  <c r="P1286" i="1" s="1"/>
  <c r="P1287" i="1" a="1"/>
  <c r="P1287" i="1" s="1"/>
  <c r="P1288" i="1" a="1"/>
  <c r="P1288" i="1" s="1"/>
  <c r="P1289" i="1" a="1"/>
  <c r="P1289" i="1" s="1"/>
  <c r="P1290" i="1" a="1"/>
  <c r="P1290" i="1" s="1"/>
  <c r="P1291" i="1" a="1"/>
  <c r="P1291" i="1" s="1"/>
  <c r="P1292" i="1" a="1"/>
  <c r="P1292" i="1" s="1"/>
  <c r="P1293" i="1" a="1"/>
  <c r="P1293" i="1" s="1"/>
  <c r="P1294" i="1" a="1"/>
  <c r="P1294" i="1" s="1"/>
  <c r="P1295" i="1" a="1"/>
  <c r="P1295" i="1" s="1"/>
  <c r="P1296" i="1" a="1"/>
  <c r="P1296" i="1" s="1"/>
  <c r="P1297" i="1" a="1"/>
  <c r="P1297" i="1" s="1"/>
  <c r="P1298" i="1" a="1"/>
  <c r="P1298" i="1" s="1"/>
  <c r="P1299" i="1" a="1"/>
  <c r="P1299" i="1" s="1"/>
  <c r="P1300" i="1" a="1"/>
  <c r="P1300" i="1" s="1"/>
  <c r="P1301" i="1" a="1"/>
  <c r="P1301" i="1" s="1"/>
  <c r="P1302" i="1" a="1"/>
  <c r="P1302" i="1" s="1"/>
  <c r="P1303" i="1" a="1"/>
  <c r="P1303" i="1" s="1"/>
  <c r="P1304" i="1" a="1"/>
  <c r="P1304" i="1" s="1"/>
  <c r="P1305" i="1" a="1"/>
  <c r="P1305" i="1" s="1"/>
  <c r="P1306" i="1" a="1"/>
  <c r="P1306" i="1" s="1"/>
  <c r="P1307" i="1" a="1"/>
  <c r="P1307" i="1" s="1"/>
  <c r="P1308" i="1" a="1"/>
  <c r="P1308" i="1" s="1"/>
  <c r="P1309" i="1" a="1"/>
  <c r="P1309" i="1" s="1"/>
  <c r="P1310" i="1" a="1"/>
  <c r="P1310" i="1" s="1"/>
  <c r="P1311" i="1" a="1"/>
  <c r="P1311" i="1" s="1"/>
  <c r="P1312" i="1" a="1"/>
  <c r="P1312" i="1" s="1"/>
  <c r="P1313" i="1" a="1"/>
  <c r="P1313" i="1" s="1"/>
  <c r="P1314" i="1" a="1"/>
  <c r="P1314" i="1" s="1"/>
  <c r="P1315" i="1" a="1"/>
  <c r="P1315" i="1" s="1"/>
  <c r="P1316" i="1" a="1"/>
  <c r="P1316" i="1" s="1"/>
  <c r="P1317" i="1" a="1"/>
  <c r="P1317" i="1" s="1"/>
  <c r="P1318" i="1" a="1"/>
  <c r="P1318" i="1" s="1"/>
  <c r="P1319" i="1" a="1"/>
  <c r="P1319" i="1" s="1"/>
  <c r="P1320" i="1" a="1"/>
  <c r="P1320" i="1" s="1"/>
  <c r="P1321" i="1" a="1"/>
  <c r="P1321" i="1" s="1"/>
  <c r="P1322" i="1" a="1"/>
  <c r="P1322" i="1" s="1"/>
  <c r="P1323" i="1" a="1"/>
  <c r="P1323" i="1" s="1"/>
  <c r="P1324" i="1" a="1"/>
  <c r="P1324" i="1" s="1"/>
  <c r="P1325" i="1" a="1"/>
  <c r="P1325" i="1" s="1"/>
  <c r="P1326" i="1" a="1"/>
  <c r="P1326" i="1" s="1"/>
  <c r="P1327" i="1" a="1"/>
  <c r="P1327" i="1" s="1"/>
  <c r="P1328" i="1" a="1"/>
  <c r="P1328" i="1" s="1"/>
  <c r="P1329" i="1" a="1"/>
  <c r="P1329" i="1" s="1"/>
  <c r="P1330" i="1" a="1"/>
  <c r="P1330" i="1" s="1"/>
  <c r="P1331" i="1" a="1"/>
  <c r="P1331" i="1" s="1"/>
  <c r="P1332" i="1" a="1"/>
  <c r="P1332" i="1" s="1"/>
  <c r="P1333" i="1" a="1"/>
  <c r="P1333" i="1" s="1"/>
  <c r="P1334" i="1" a="1"/>
  <c r="P1334" i="1" s="1"/>
  <c r="P1335" i="1" a="1"/>
  <c r="P1335" i="1" s="1"/>
  <c r="P1336" i="1" a="1"/>
  <c r="P1336" i="1" s="1"/>
  <c r="P1337" i="1" a="1"/>
  <c r="P1337" i="1" s="1"/>
  <c r="P1338" i="1" a="1"/>
  <c r="P1338" i="1" s="1"/>
  <c r="P1339" i="1" a="1"/>
  <c r="P1339" i="1" s="1"/>
  <c r="P1340" i="1" a="1"/>
  <c r="P1340" i="1" s="1"/>
  <c r="P1341" i="1" a="1"/>
  <c r="P1341" i="1" s="1"/>
  <c r="P1342" i="1" a="1"/>
  <c r="P1342" i="1" s="1"/>
  <c r="P1343" i="1" a="1"/>
  <c r="P1343" i="1" s="1"/>
  <c r="P1344" i="1" a="1"/>
  <c r="P1344" i="1" s="1"/>
  <c r="P1345" i="1" a="1"/>
  <c r="P1345" i="1" s="1"/>
  <c r="P1346" i="1" a="1"/>
  <c r="P1346" i="1" s="1"/>
  <c r="P1347" i="1" a="1"/>
  <c r="P1347" i="1" s="1"/>
  <c r="P1348" i="1" a="1"/>
  <c r="P1348" i="1" s="1"/>
  <c r="P1349" i="1" a="1"/>
  <c r="P1349" i="1" s="1"/>
  <c r="P1350" i="1" a="1"/>
  <c r="P1350" i="1" s="1"/>
  <c r="P1351" i="1" a="1"/>
  <c r="P1351" i="1" s="1"/>
  <c r="P1352" i="1" a="1"/>
  <c r="P1352" i="1" s="1"/>
  <c r="P1353" i="1" a="1"/>
  <c r="P1353" i="1" s="1"/>
  <c r="P1354" i="1" a="1"/>
  <c r="P1354" i="1" s="1"/>
  <c r="P1355" i="1" a="1"/>
  <c r="P1355" i="1" s="1"/>
  <c r="P1356" i="1" a="1"/>
  <c r="P1356" i="1" s="1"/>
  <c r="P1357" i="1" a="1"/>
  <c r="P1357" i="1" s="1"/>
  <c r="P1358" i="1" a="1"/>
  <c r="P1358" i="1" s="1"/>
  <c r="P1359" i="1" a="1"/>
  <c r="P1359" i="1" s="1"/>
  <c r="P1360" i="1" a="1"/>
  <c r="P1360" i="1" s="1"/>
  <c r="P1361" i="1" a="1"/>
  <c r="P1361" i="1" s="1"/>
  <c r="P1362" i="1" a="1"/>
  <c r="P1362" i="1" s="1"/>
  <c r="P1363" i="1" a="1"/>
  <c r="P1363" i="1" s="1"/>
  <c r="P1364" i="1" a="1"/>
  <c r="P1364" i="1" s="1"/>
  <c r="P1365" i="1" a="1"/>
  <c r="P1365" i="1" s="1"/>
  <c r="P1366" i="1" a="1"/>
  <c r="P1366" i="1" s="1"/>
  <c r="P1367" i="1" a="1"/>
  <c r="P1367" i="1" s="1"/>
  <c r="P1368" i="1" a="1"/>
  <c r="P1368" i="1" s="1"/>
  <c r="P1369" i="1" a="1"/>
  <c r="P1369" i="1" s="1"/>
  <c r="P1370" i="1" a="1"/>
  <c r="P1370" i="1" s="1"/>
  <c r="P1371" i="1" a="1"/>
  <c r="P1371" i="1" s="1"/>
  <c r="P1372" i="1" a="1"/>
  <c r="P1372" i="1" s="1"/>
  <c r="P1373" i="1" a="1"/>
  <c r="P1373" i="1" s="1"/>
  <c r="P1374" i="1" a="1"/>
  <c r="P1374" i="1" s="1"/>
  <c r="P1375" i="1" a="1"/>
  <c r="P1375" i="1" s="1"/>
  <c r="P1376" i="1" a="1"/>
  <c r="P1376" i="1" s="1"/>
  <c r="P1377" i="1" a="1"/>
  <c r="P1377" i="1" s="1"/>
  <c r="P1378" i="1" a="1"/>
  <c r="P1378" i="1" s="1"/>
  <c r="P1379" i="1" a="1"/>
  <c r="P1379" i="1" s="1"/>
  <c r="P1380" i="1" a="1"/>
  <c r="P1380" i="1" s="1"/>
  <c r="P1381" i="1" a="1"/>
  <c r="P1381" i="1" s="1"/>
  <c r="P1382" i="1" a="1"/>
  <c r="P1382" i="1" s="1"/>
  <c r="P1383" i="1" a="1"/>
  <c r="P1383" i="1" s="1"/>
  <c r="P1384" i="1" a="1"/>
  <c r="P1384" i="1" s="1"/>
  <c r="P1385" i="1" a="1"/>
  <c r="P1385" i="1" s="1"/>
  <c r="P1386" i="1" a="1"/>
  <c r="P1386" i="1" s="1"/>
  <c r="P1387" i="1" a="1"/>
  <c r="P1387" i="1" s="1"/>
  <c r="P1388" i="1" a="1"/>
  <c r="P1388" i="1" s="1"/>
  <c r="P1389" i="1" a="1"/>
  <c r="P1389" i="1" s="1"/>
  <c r="P1390" i="1" a="1"/>
  <c r="P1390" i="1" s="1"/>
  <c r="P1391" i="1" a="1"/>
  <c r="P1391" i="1" s="1"/>
  <c r="P1392" i="1" a="1"/>
  <c r="P1392" i="1" s="1"/>
  <c r="P1393" i="1" a="1"/>
  <c r="P1393" i="1" s="1"/>
  <c r="P1394" i="1" a="1"/>
  <c r="P1394" i="1" s="1"/>
  <c r="P1395" i="1" a="1"/>
  <c r="P1395" i="1" s="1"/>
  <c r="P1396" i="1" a="1"/>
  <c r="P1396" i="1" s="1"/>
  <c r="P1397" i="1" a="1"/>
  <c r="P1397" i="1" s="1"/>
  <c r="P1398" i="1" a="1"/>
  <c r="P1398" i="1" s="1"/>
  <c r="P1399" i="1" a="1"/>
  <c r="P1399" i="1" s="1"/>
  <c r="P1400" i="1" a="1"/>
  <c r="P1400" i="1" s="1"/>
  <c r="P1401" i="1" a="1"/>
  <c r="P1401" i="1" s="1"/>
  <c r="P1402" i="1" a="1"/>
  <c r="P1402" i="1" s="1"/>
  <c r="P1403" i="1" a="1"/>
  <c r="P1403" i="1" s="1"/>
  <c r="P1404" i="1" a="1"/>
  <c r="P1404" i="1" s="1"/>
  <c r="P1405" i="1" a="1"/>
  <c r="P1405" i="1" s="1"/>
  <c r="P1406" i="1" a="1"/>
  <c r="P1406" i="1" s="1"/>
  <c r="P1407" i="1" a="1"/>
  <c r="P1407" i="1" s="1"/>
  <c r="P1408" i="1" a="1"/>
  <c r="P1408" i="1" s="1"/>
  <c r="P1409" i="1" a="1"/>
  <c r="P1409" i="1" s="1"/>
  <c r="P1410" i="1" a="1"/>
  <c r="P1410" i="1" s="1"/>
  <c r="P1411" i="1" a="1"/>
  <c r="P1411" i="1" s="1"/>
  <c r="P1412" i="1" a="1"/>
  <c r="P1412" i="1" s="1"/>
  <c r="P1413" i="1" a="1"/>
  <c r="P1413" i="1" s="1"/>
  <c r="P1414" i="1" a="1"/>
  <c r="P1414" i="1" s="1"/>
  <c r="P1415" i="1" a="1"/>
  <c r="P1415" i="1" s="1"/>
  <c r="P1416" i="1" a="1"/>
  <c r="P1416" i="1" s="1"/>
  <c r="P1417" i="1" a="1"/>
  <c r="P1417" i="1" s="1"/>
  <c r="P1418" i="1" a="1"/>
  <c r="P1418" i="1" s="1"/>
  <c r="P1419" i="1" a="1"/>
  <c r="P1419" i="1" s="1"/>
  <c r="P1420" i="1" a="1"/>
  <c r="P1420" i="1" s="1"/>
  <c r="P1421" i="1" a="1"/>
  <c r="P1421" i="1" s="1"/>
  <c r="P1422" i="1" a="1"/>
  <c r="P1422" i="1" s="1"/>
  <c r="P1423" i="1" a="1"/>
  <c r="P1423" i="1" s="1"/>
  <c r="P1424" i="1" a="1"/>
  <c r="P1424" i="1" s="1"/>
  <c r="P1425" i="1" a="1"/>
  <c r="P1425" i="1" s="1"/>
  <c r="P1426" i="1" a="1"/>
  <c r="P1426" i="1" s="1"/>
  <c r="P1427" i="1" a="1"/>
  <c r="P1427" i="1" s="1"/>
  <c r="P1428" i="1" a="1"/>
  <c r="P1428" i="1" s="1"/>
  <c r="P1429" i="1" a="1"/>
  <c r="P1429" i="1" s="1"/>
  <c r="P1430" i="1" a="1"/>
  <c r="P1430" i="1" s="1"/>
  <c r="P1431" i="1" a="1"/>
  <c r="P1431" i="1" s="1"/>
  <c r="P1432" i="1" a="1"/>
  <c r="P1432" i="1" s="1"/>
  <c r="P1433" i="1" a="1"/>
  <c r="P1433" i="1" s="1"/>
  <c r="P1434" i="1" a="1"/>
  <c r="P1434" i="1" s="1"/>
  <c r="P1435" i="1" a="1"/>
  <c r="P1435" i="1" s="1"/>
  <c r="P1436" i="1" a="1"/>
  <c r="P1436" i="1" s="1"/>
  <c r="P1437" i="1" a="1"/>
  <c r="P1437" i="1" s="1"/>
  <c r="P1438" i="1" a="1"/>
  <c r="P1438" i="1" s="1"/>
  <c r="P1439" i="1" a="1"/>
  <c r="P1439" i="1" s="1"/>
  <c r="P1440" i="1" a="1"/>
  <c r="P1440" i="1" s="1"/>
  <c r="P1441" i="1" a="1"/>
  <c r="P1441" i="1" s="1"/>
  <c r="P1442" i="1" a="1"/>
  <c r="P1442" i="1" s="1"/>
  <c r="P1443" i="1" a="1"/>
  <c r="P1443" i="1" s="1"/>
  <c r="P1444" i="1" a="1"/>
  <c r="P1444" i="1" s="1"/>
  <c r="P1445" i="1" a="1"/>
  <c r="P1445" i="1" s="1"/>
  <c r="P1446" i="1" a="1"/>
  <c r="P1446" i="1" s="1"/>
  <c r="P1447" i="1" a="1"/>
  <c r="P1447" i="1" s="1"/>
  <c r="P1448" i="1" a="1"/>
  <c r="P1448" i="1" s="1"/>
  <c r="P1449" i="1" a="1"/>
  <c r="P1449" i="1" s="1"/>
  <c r="P1450" i="1" a="1"/>
  <c r="P1450" i="1" s="1"/>
  <c r="P1451" i="1" a="1"/>
  <c r="P1451" i="1" s="1"/>
  <c r="P1452" i="1" a="1"/>
  <c r="P1452" i="1" s="1"/>
  <c r="P1453" i="1" a="1"/>
  <c r="P1453" i="1" s="1"/>
  <c r="P1454" i="1" a="1"/>
  <c r="P1454" i="1" s="1"/>
  <c r="P1455" i="1" a="1"/>
  <c r="P1455" i="1" s="1"/>
  <c r="P1456" i="1" a="1"/>
  <c r="P1456" i="1" s="1"/>
  <c r="P1457" i="1" a="1"/>
  <c r="P1457" i="1" s="1"/>
  <c r="P1458" i="1" a="1"/>
  <c r="P1458" i="1" s="1"/>
  <c r="P1459" i="1" a="1"/>
  <c r="P1459" i="1" s="1"/>
  <c r="P1460" i="1" a="1"/>
  <c r="P1460" i="1" s="1"/>
  <c r="P1461" i="1" a="1"/>
  <c r="P1461" i="1" s="1"/>
  <c r="P1462" i="1" a="1"/>
  <c r="P1462" i="1" s="1"/>
  <c r="P1463" i="1" a="1"/>
  <c r="P1463" i="1" s="1"/>
  <c r="P1464" i="1" a="1"/>
  <c r="P1464" i="1" s="1"/>
  <c r="P1465" i="1" a="1"/>
  <c r="P1465" i="1" s="1"/>
  <c r="P1466" i="1" a="1"/>
  <c r="P1466" i="1" s="1"/>
  <c r="P1467" i="1" a="1"/>
  <c r="P1467" i="1" s="1"/>
  <c r="P1468" i="1" a="1"/>
  <c r="P1468" i="1" s="1"/>
  <c r="P1469" i="1" a="1"/>
  <c r="P1469" i="1" s="1"/>
  <c r="P1470" i="1" a="1"/>
  <c r="P1470" i="1" s="1"/>
  <c r="P1471" i="1" a="1"/>
  <c r="P1471" i="1" s="1"/>
  <c r="P1472" i="1" a="1"/>
  <c r="P1472" i="1" s="1"/>
  <c r="P1473" i="1" a="1"/>
  <c r="P1473" i="1" s="1"/>
  <c r="P1474" i="1" a="1"/>
  <c r="P1474" i="1" s="1"/>
  <c r="P1475" i="1" a="1"/>
  <c r="P1475" i="1" s="1"/>
  <c r="P1476" i="1" a="1"/>
  <c r="P1476" i="1" s="1"/>
  <c r="P1477" i="1" a="1"/>
  <c r="P1477" i="1" s="1"/>
  <c r="P1478" i="1" a="1"/>
  <c r="P1478" i="1" s="1"/>
  <c r="P1479" i="1" a="1"/>
  <c r="P1479" i="1" s="1"/>
  <c r="P1480" i="1" a="1"/>
  <c r="P1480" i="1" s="1"/>
  <c r="P1481" i="1" a="1"/>
  <c r="P1481" i="1" s="1"/>
  <c r="P1482" i="1" a="1"/>
  <c r="P1482" i="1" s="1"/>
  <c r="P1483" i="1" a="1"/>
  <c r="P1483" i="1" s="1"/>
  <c r="P1484" i="1" a="1"/>
  <c r="P1484" i="1" s="1"/>
  <c r="P1485" i="1" a="1"/>
  <c r="P1485" i="1" s="1"/>
  <c r="P1486" i="1" a="1"/>
  <c r="P1486" i="1" s="1"/>
  <c r="P1487" i="1" a="1"/>
  <c r="P1487" i="1" s="1"/>
  <c r="P1488" i="1" a="1"/>
  <c r="P1488" i="1" s="1"/>
  <c r="P1489" i="1" a="1"/>
  <c r="P1489" i="1" s="1"/>
  <c r="P1490" i="1" a="1"/>
  <c r="P1490" i="1" s="1"/>
  <c r="P1491" i="1" a="1"/>
  <c r="P1491" i="1" s="1"/>
  <c r="P1492" i="1" a="1"/>
  <c r="P1492" i="1" s="1"/>
  <c r="P1493" i="1" a="1"/>
  <c r="P1493" i="1" s="1"/>
  <c r="P1494" i="1" a="1"/>
  <c r="P1494" i="1" s="1"/>
  <c r="P1495" i="1" a="1"/>
  <c r="P1495" i="1" s="1"/>
  <c r="P1496" i="1" a="1"/>
  <c r="P1496" i="1" s="1"/>
  <c r="P1497" i="1" a="1"/>
  <c r="P1497" i="1" s="1"/>
  <c r="P1498" i="1" a="1"/>
  <c r="P1498" i="1" s="1"/>
  <c r="P1499" i="1" a="1"/>
  <c r="P1499" i="1" s="1"/>
  <c r="P1500" i="1" a="1"/>
  <c r="P1500" i="1" s="1"/>
  <c r="P1501" i="1" a="1"/>
  <c r="P1501" i="1" s="1"/>
  <c r="P1502" i="1" a="1"/>
  <c r="P1502" i="1" s="1"/>
  <c r="P1503" i="1" a="1"/>
  <c r="P1503" i="1" s="1"/>
  <c r="P1504" i="1" a="1"/>
  <c r="P1504" i="1" s="1"/>
  <c r="P1505" i="1" a="1"/>
  <c r="P1505" i="1" s="1"/>
  <c r="P1506" i="1" a="1"/>
  <c r="P1506" i="1" s="1"/>
  <c r="P1507" i="1" a="1"/>
  <c r="P1507" i="1" s="1"/>
  <c r="P1508" i="1" a="1"/>
  <c r="P1508" i="1" s="1"/>
  <c r="P1509" i="1" a="1"/>
  <c r="P1509" i="1" s="1"/>
  <c r="P1510" i="1" a="1"/>
  <c r="P1510" i="1" s="1"/>
  <c r="P1511" i="1" a="1"/>
  <c r="P1511" i="1" s="1"/>
  <c r="P1512" i="1" a="1"/>
  <c r="P1512" i="1" s="1"/>
  <c r="P1513" i="1" a="1"/>
  <c r="P1513" i="1" s="1"/>
  <c r="P1514" i="1" a="1"/>
  <c r="P1514" i="1" s="1"/>
  <c r="P1515" i="1" a="1"/>
  <c r="P1515" i="1" s="1"/>
  <c r="P1516" i="1" a="1"/>
  <c r="P1516" i="1" s="1"/>
  <c r="P1517" i="1" a="1"/>
  <c r="P1517" i="1" s="1"/>
  <c r="P1518" i="1" a="1"/>
  <c r="P1518" i="1" s="1"/>
  <c r="P1519" i="1" a="1"/>
  <c r="P1519" i="1" s="1"/>
  <c r="P1520" i="1" a="1"/>
  <c r="P1520" i="1" s="1"/>
  <c r="P1521" i="1" a="1"/>
  <c r="P1521" i="1" s="1"/>
  <c r="P1522" i="1" a="1"/>
  <c r="P1522" i="1" s="1"/>
  <c r="P1523" i="1" a="1"/>
  <c r="P1523" i="1" s="1"/>
  <c r="P1524" i="1" a="1"/>
  <c r="P1524" i="1" s="1"/>
  <c r="P1525" i="1" a="1"/>
  <c r="P1525" i="1" s="1"/>
  <c r="P1526" i="1" a="1"/>
  <c r="P1526" i="1" s="1"/>
  <c r="P1527" i="1" a="1"/>
  <c r="P1527" i="1" s="1"/>
  <c r="P1528" i="1" a="1"/>
  <c r="P1528" i="1" s="1"/>
  <c r="P1529" i="1" a="1"/>
  <c r="P1529" i="1" s="1"/>
  <c r="P1530" i="1" a="1"/>
  <c r="P1530" i="1" s="1"/>
  <c r="P1531" i="1" a="1"/>
  <c r="P1531" i="1" s="1"/>
  <c r="P1532" i="1" a="1"/>
  <c r="P1532" i="1" s="1"/>
  <c r="P1533" i="1" a="1"/>
  <c r="P1533" i="1" s="1"/>
  <c r="P1534" i="1" a="1"/>
  <c r="P1534" i="1" s="1"/>
  <c r="P1535" i="1" a="1"/>
  <c r="P1535" i="1" s="1"/>
  <c r="P1536" i="1" a="1"/>
  <c r="P1536" i="1" s="1"/>
  <c r="P1537" i="1" a="1"/>
  <c r="P1537" i="1" s="1"/>
  <c r="P1538" i="1" a="1"/>
  <c r="P1538" i="1" s="1"/>
  <c r="P1539" i="1" a="1"/>
  <c r="P1539" i="1" s="1"/>
  <c r="P1540" i="1" a="1"/>
  <c r="P1540" i="1" s="1"/>
  <c r="P1541" i="1" a="1"/>
  <c r="P1541" i="1" s="1"/>
  <c r="P1542" i="1" a="1"/>
  <c r="P1542" i="1" s="1"/>
  <c r="P1543" i="1" a="1"/>
  <c r="P1543" i="1" s="1"/>
  <c r="P1544" i="1" a="1"/>
  <c r="P1544" i="1" s="1"/>
  <c r="P1545" i="1" a="1"/>
  <c r="P1545" i="1" s="1"/>
  <c r="P1546" i="1" a="1"/>
  <c r="P1546" i="1" s="1"/>
  <c r="P1547" i="1" a="1"/>
  <c r="P1547" i="1" s="1"/>
  <c r="P1548" i="1" a="1"/>
  <c r="P1548" i="1" s="1"/>
  <c r="P1549" i="1" a="1"/>
  <c r="P1549" i="1" s="1"/>
  <c r="P1550" i="1" a="1"/>
  <c r="P1550" i="1" s="1"/>
  <c r="P1551" i="1" a="1"/>
  <c r="P1551" i="1" s="1"/>
  <c r="P1552" i="1" a="1"/>
  <c r="P1552" i="1" s="1"/>
  <c r="P1553" i="1" a="1"/>
  <c r="P1553" i="1" s="1"/>
  <c r="P1554" i="1" a="1"/>
  <c r="P1554" i="1" s="1"/>
  <c r="P1555" i="1" a="1"/>
  <c r="P1555" i="1" s="1"/>
  <c r="P1556" i="1" a="1"/>
  <c r="P1556" i="1" s="1"/>
  <c r="P1557" i="1" a="1"/>
  <c r="P1557" i="1" s="1"/>
  <c r="P1558" i="1" a="1"/>
  <c r="P1558" i="1" s="1"/>
  <c r="P1559" i="1" a="1"/>
  <c r="P1559" i="1" s="1"/>
  <c r="P1560" i="1" a="1"/>
  <c r="P1560" i="1" s="1"/>
  <c r="P1561" i="1" a="1"/>
  <c r="P1561" i="1" s="1"/>
  <c r="P1562" i="1" a="1"/>
  <c r="P1562" i="1" s="1"/>
  <c r="P1563" i="1" a="1"/>
  <c r="P1563" i="1" s="1"/>
  <c r="P1564" i="1" a="1"/>
  <c r="P1564" i="1" s="1"/>
  <c r="P1565" i="1" a="1"/>
  <c r="P1565" i="1" s="1"/>
  <c r="P1566" i="1" a="1"/>
  <c r="P1566" i="1" s="1"/>
  <c r="P1567" i="1" a="1"/>
  <c r="P1567" i="1" s="1"/>
  <c r="P1568" i="1" a="1"/>
  <c r="P1568" i="1" s="1"/>
  <c r="P1569" i="1" a="1"/>
  <c r="P1569" i="1" s="1"/>
  <c r="P1570" i="1" a="1"/>
  <c r="P1570" i="1" s="1"/>
  <c r="P1571" i="1" a="1"/>
  <c r="P1571" i="1" s="1"/>
  <c r="P1572" i="1" a="1"/>
  <c r="P1572" i="1" s="1"/>
  <c r="P1573" i="1" a="1"/>
  <c r="P1573" i="1" s="1"/>
  <c r="P1574" i="1" a="1"/>
  <c r="P1574" i="1" s="1"/>
  <c r="P1575" i="1" a="1"/>
  <c r="P1575" i="1" s="1"/>
  <c r="P1576" i="1" a="1"/>
  <c r="P1576" i="1" s="1"/>
  <c r="P1577" i="1" a="1"/>
  <c r="P1577" i="1" s="1"/>
  <c r="P1578" i="1" a="1"/>
  <c r="P1578" i="1" s="1"/>
  <c r="P1579" i="1" a="1"/>
  <c r="P1579" i="1" s="1"/>
  <c r="P1580" i="1" a="1"/>
  <c r="P1580" i="1" s="1"/>
  <c r="P1581" i="1" a="1"/>
  <c r="P1581" i="1" s="1"/>
  <c r="P1582" i="1" a="1"/>
  <c r="P1582" i="1" s="1"/>
  <c r="P1583" i="1" a="1"/>
  <c r="P1583" i="1" s="1"/>
  <c r="P1584" i="1" a="1"/>
  <c r="P1584" i="1" s="1"/>
  <c r="P1585" i="1" a="1"/>
  <c r="P1585" i="1" s="1"/>
  <c r="P1586" i="1" a="1"/>
  <c r="P1586" i="1" s="1"/>
  <c r="P1587" i="1" a="1"/>
  <c r="P1587" i="1" s="1"/>
  <c r="P1588" i="1" a="1"/>
  <c r="P1588" i="1" s="1"/>
  <c r="P1589" i="1" a="1"/>
  <c r="P1589" i="1" s="1"/>
  <c r="P1590" i="1" a="1"/>
  <c r="P1590" i="1" s="1"/>
  <c r="P1591" i="1" a="1"/>
  <c r="P1591" i="1" s="1"/>
  <c r="P1592" i="1" a="1"/>
  <c r="P1592" i="1" s="1"/>
  <c r="P1593" i="1" a="1"/>
  <c r="P1593" i="1" s="1"/>
  <c r="P1594" i="1" a="1"/>
  <c r="P1594" i="1" s="1"/>
  <c r="P1595" i="1" a="1"/>
  <c r="P1595" i="1" s="1"/>
  <c r="P1596" i="1" a="1"/>
  <c r="P1596" i="1" s="1"/>
  <c r="P1597" i="1" a="1"/>
  <c r="P1597" i="1" s="1"/>
  <c r="P1598" i="1" a="1"/>
  <c r="P1598" i="1" s="1"/>
  <c r="P1599" i="1" a="1"/>
  <c r="P1599" i="1" s="1"/>
  <c r="P1600" i="1" a="1"/>
  <c r="P1600" i="1" s="1"/>
  <c r="P1601" i="1" a="1"/>
  <c r="P1601" i="1" s="1"/>
  <c r="P1602" i="1" a="1"/>
  <c r="P1602" i="1" s="1"/>
  <c r="P1603" i="1" a="1"/>
  <c r="P1603" i="1" s="1"/>
  <c r="P1604" i="1" a="1"/>
  <c r="P1604" i="1" s="1"/>
  <c r="P1605" i="1" a="1"/>
  <c r="P1605" i="1" s="1"/>
  <c r="P1606" i="1" a="1"/>
  <c r="P1606" i="1" s="1"/>
  <c r="P1607" i="1" a="1"/>
  <c r="P1607" i="1" s="1"/>
  <c r="P1608" i="1" a="1"/>
  <c r="P1608" i="1" s="1"/>
  <c r="P1609" i="1" a="1"/>
  <c r="P1609" i="1" s="1"/>
  <c r="P1610" i="1" a="1"/>
  <c r="P1610" i="1" s="1"/>
  <c r="P1611" i="1" a="1"/>
  <c r="P1611" i="1" s="1"/>
  <c r="P1612" i="1" a="1"/>
  <c r="P1612" i="1" s="1"/>
  <c r="P1613" i="1" a="1"/>
  <c r="P1613" i="1" s="1"/>
  <c r="P1614" i="1" a="1"/>
  <c r="P1614" i="1" s="1"/>
  <c r="P1615" i="1" a="1"/>
  <c r="P1615" i="1" s="1"/>
  <c r="P1616" i="1" a="1"/>
  <c r="P1616" i="1" s="1"/>
  <c r="P1617" i="1" a="1"/>
  <c r="P1617" i="1" s="1"/>
  <c r="P1618" i="1" a="1"/>
  <c r="P1618" i="1" s="1"/>
  <c r="P1619" i="1" a="1"/>
  <c r="P1619" i="1" s="1"/>
  <c r="P1620" i="1" a="1"/>
  <c r="P1620" i="1" s="1"/>
  <c r="P1621" i="1" a="1"/>
  <c r="P1621" i="1" s="1"/>
  <c r="P1622" i="1" a="1"/>
  <c r="P1622" i="1" s="1"/>
  <c r="P1623" i="1" a="1"/>
  <c r="P1623" i="1" s="1"/>
  <c r="P1624" i="1" a="1"/>
  <c r="P1624" i="1" s="1"/>
  <c r="P1625" i="1" a="1"/>
  <c r="P1625" i="1" s="1"/>
  <c r="P1626" i="1" a="1"/>
  <c r="P1626" i="1" s="1"/>
  <c r="P1627" i="1" a="1"/>
  <c r="P1627" i="1" s="1"/>
  <c r="P1628" i="1" a="1"/>
  <c r="P1628" i="1" s="1"/>
  <c r="P1629" i="1" a="1"/>
  <c r="P1629" i="1" s="1"/>
  <c r="P1630" i="1" a="1"/>
  <c r="P1630" i="1" s="1"/>
  <c r="P1631" i="1" a="1"/>
  <c r="P1631" i="1" s="1"/>
  <c r="P1632" i="1" a="1"/>
  <c r="P1632" i="1" s="1"/>
  <c r="P1633" i="1" a="1"/>
  <c r="P1633" i="1" s="1"/>
  <c r="P1634" i="1" a="1"/>
  <c r="P1634" i="1" s="1"/>
  <c r="P1635" i="1" a="1"/>
  <c r="P1635" i="1" s="1"/>
  <c r="P1636" i="1" a="1"/>
  <c r="P1636" i="1" s="1"/>
  <c r="P1637" i="1" a="1"/>
  <c r="P1637" i="1" s="1"/>
  <c r="P1638" i="1" a="1"/>
  <c r="P1638" i="1" s="1"/>
  <c r="P1639" i="1" a="1"/>
  <c r="P1639" i="1" s="1"/>
  <c r="P1640" i="1" a="1"/>
  <c r="P1640" i="1" s="1"/>
  <c r="P1641" i="1" a="1"/>
  <c r="P1641" i="1" s="1"/>
  <c r="P1642" i="1" a="1"/>
  <c r="P1642" i="1" s="1"/>
  <c r="P1643" i="1" a="1"/>
  <c r="P1643" i="1" s="1"/>
  <c r="P1644" i="1" a="1"/>
  <c r="P1644" i="1" s="1"/>
  <c r="P1645" i="1" a="1"/>
  <c r="P1645" i="1" s="1"/>
  <c r="P1646" i="1" a="1"/>
  <c r="P1646" i="1" s="1"/>
  <c r="P1647" i="1" a="1"/>
  <c r="P1647" i="1" s="1"/>
  <c r="P1648" i="1" a="1"/>
  <c r="P1648" i="1" s="1"/>
  <c r="P1649" i="1" a="1"/>
  <c r="P1649" i="1" s="1"/>
  <c r="P1650" i="1" a="1"/>
  <c r="P1650" i="1" s="1"/>
  <c r="P1651" i="1" a="1"/>
  <c r="P1651" i="1" s="1"/>
  <c r="P1652" i="1" a="1"/>
  <c r="P1652" i="1" s="1"/>
  <c r="P1653" i="1" a="1"/>
  <c r="P1653" i="1" s="1"/>
  <c r="P1654" i="1" a="1"/>
  <c r="P1654" i="1" s="1"/>
  <c r="P1655" i="1" a="1"/>
  <c r="P1655" i="1" s="1"/>
  <c r="P1656" i="1" a="1"/>
  <c r="P1656" i="1" s="1"/>
  <c r="P1657" i="1" a="1"/>
  <c r="P1657" i="1" s="1"/>
  <c r="P1658" i="1" a="1"/>
  <c r="P1658" i="1" s="1"/>
  <c r="P1659" i="1" a="1"/>
  <c r="P1659" i="1" s="1"/>
  <c r="P1660" i="1" a="1"/>
  <c r="P1660" i="1" s="1"/>
  <c r="P1661" i="1" a="1"/>
  <c r="P1661" i="1" s="1"/>
  <c r="P1662" i="1" a="1"/>
  <c r="P1662" i="1" s="1"/>
  <c r="P1663" i="1" a="1"/>
  <c r="P1663" i="1" s="1"/>
  <c r="P1664" i="1" a="1"/>
  <c r="P1664" i="1" s="1"/>
  <c r="P1665" i="1" a="1"/>
  <c r="P1665" i="1" s="1"/>
  <c r="P1666" i="1" a="1"/>
  <c r="P1666" i="1" s="1"/>
  <c r="P1667" i="1" a="1"/>
  <c r="P1667" i="1" s="1"/>
  <c r="P1668" i="1" a="1"/>
  <c r="P1668" i="1" s="1"/>
  <c r="P1669" i="1" a="1"/>
  <c r="P1669" i="1" s="1"/>
  <c r="P1670" i="1" a="1"/>
  <c r="P1670" i="1" s="1"/>
  <c r="P1671" i="1" a="1"/>
  <c r="P1671" i="1" s="1"/>
  <c r="P1672" i="1" a="1"/>
  <c r="P1672" i="1" s="1"/>
  <c r="P1673" i="1" a="1"/>
  <c r="P1673" i="1" s="1"/>
  <c r="P1674" i="1" a="1"/>
  <c r="P1674" i="1" s="1"/>
  <c r="P1675" i="1" a="1"/>
  <c r="P1675" i="1" s="1"/>
  <c r="P1676" i="1" a="1"/>
  <c r="P1676" i="1" s="1"/>
  <c r="P1677" i="1" a="1"/>
  <c r="P1677" i="1" s="1"/>
  <c r="P1678" i="1" a="1"/>
  <c r="P1678" i="1" s="1"/>
  <c r="P1679" i="1" a="1"/>
  <c r="P1679" i="1" s="1"/>
  <c r="P1680" i="1" a="1"/>
  <c r="P1680" i="1" s="1"/>
  <c r="P1681" i="1" a="1"/>
  <c r="P1681" i="1" s="1"/>
  <c r="P1682" i="1" a="1"/>
  <c r="P1682" i="1" s="1"/>
  <c r="P1683" i="1" a="1"/>
  <c r="P1683" i="1" s="1"/>
  <c r="P1684" i="1" a="1"/>
  <c r="P1684" i="1" s="1"/>
  <c r="P1685" i="1" a="1"/>
  <c r="P1685" i="1" s="1"/>
  <c r="P1686" i="1" a="1"/>
  <c r="P1686" i="1" s="1"/>
  <c r="P1687" i="1" a="1"/>
  <c r="P1687" i="1" s="1"/>
  <c r="P1688" i="1" a="1"/>
  <c r="P1688" i="1" s="1"/>
  <c r="P1689" i="1" a="1"/>
  <c r="P1689" i="1" s="1"/>
  <c r="P1690" i="1" a="1"/>
  <c r="P1690" i="1" s="1"/>
  <c r="P1691" i="1" a="1"/>
  <c r="P1691" i="1" s="1"/>
  <c r="P1692" i="1" a="1"/>
  <c r="P1692" i="1" s="1"/>
  <c r="P1693" i="1" a="1"/>
  <c r="P1693" i="1" s="1"/>
  <c r="P1694" i="1" a="1"/>
  <c r="P1694" i="1" s="1"/>
  <c r="P1695" i="1" a="1"/>
  <c r="P1695" i="1" s="1"/>
  <c r="P1696" i="1" a="1"/>
  <c r="P1696" i="1" s="1"/>
  <c r="P1697" i="1" a="1"/>
  <c r="P1697" i="1" s="1"/>
  <c r="P1698" i="1" a="1"/>
  <c r="P1698" i="1" s="1"/>
  <c r="P1699" i="1" a="1"/>
  <c r="P1699" i="1" s="1"/>
  <c r="P1700" i="1" a="1"/>
  <c r="P1700" i="1" s="1"/>
  <c r="P1701" i="1" a="1"/>
  <c r="P1701" i="1" s="1"/>
  <c r="P1702" i="1" a="1"/>
  <c r="P1702" i="1" s="1"/>
  <c r="P1703" i="1" a="1"/>
  <c r="P1703" i="1" s="1"/>
  <c r="P1704" i="1" a="1"/>
  <c r="P1704" i="1" s="1"/>
  <c r="P1705" i="1" a="1"/>
  <c r="P1705" i="1" s="1"/>
  <c r="P1706" i="1" a="1"/>
  <c r="P1706" i="1" s="1"/>
  <c r="P1707" i="1" a="1"/>
  <c r="P1707" i="1" s="1"/>
  <c r="P1708" i="1" a="1"/>
  <c r="P1708" i="1" s="1"/>
  <c r="P1709" i="1" a="1"/>
  <c r="P1709" i="1" s="1"/>
  <c r="P1710" i="1" a="1"/>
  <c r="P1710" i="1" s="1"/>
  <c r="P1711" i="1" a="1"/>
  <c r="P1711" i="1" s="1"/>
  <c r="P1712" i="1" a="1"/>
  <c r="P1712" i="1" s="1"/>
  <c r="P1713" i="1" a="1"/>
  <c r="P1713" i="1" s="1"/>
  <c r="P1714" i="1" a="1"/>
  <c r="P1714" i="1" s="1"/>
  <c r="P1715" i="1" a="1"/>
  <c r="P1715" i="1" s="1"/>
  <c r="P1716" i="1" a="1"/>
  <c r="P1716" i="1" s="1"/>
  <c r="P1717" i="1" a="1"/>
  <c r="P1717" i="1" s="1"/>
  <c r="P1718" i="1" a="1"/>
  <c r="P1718" i="1" s="1"/>
  <c r="P1719" i="1" a="1"/>
  <c r="P1719" i="1" s="1"/>
  <c r="P1720" i="1" a="1"/>
  <c r="P1720" i="1" s="1"/>
  <c r="P1721" i="1" a="1"/>
  <c r="P1721" i="1" s="1"/>
  <c r="P1722" i="1" a="1"/>
  <c r="P1722" i="1" s="1"/>
  <c r="P1723" i="1" a="1"/>
  <c r="P1723" i="1" s="1"/>
  <c r="P1724" i="1" a="1"/>
  <c r="P1724" i="1" s="1"/>
  <c r="P1725" i="1" a="1"/>
  <c r="P1725" i="1" s="1"/>
  <c r="P1726" i="1" a="1"/>
  <c r="P1726" i="1" s="1"/>
  <c r="P1727" i="1" a="1"/>
  <c r="P1727" i="1" s="1"/>
  <c r="P1728" i="1" a="1"/>
  <c r="P1728" i="1" s="1"/>
  <c r="P1729" i="1" a="1"/>
  <c r="P1729" i="1" s="1"/>
  <c r="P1730" i="1" a="1"/>
  <c r="P1730" i="1" s="1"/>
  <c r="P1731" i="1" a="1"/>
  <c r="P1731" i="1" s="1"/>
  <c r="P1732" i="1" a="1"/>
  <c r="P1732" i="1" s="1"/>
  <c r="P1733" i="1" a="1"/>
  <c r="P1733" i="1" s="1"/>
  <c r="P1734" i="1" a="1"/>
  <c r="P1734" i="1" s="1"/>
  <c r="P1735" i="1" a="1"/>
  <c r="P1735" i="1" s="1"/>
  <c r="P1736" i="1" a="1"/>
  <c r="P1736" i="1" s="1"/>
  <c r="P1737" i="1" a="1"/>
  <c r="P1737" i="1" s="1"/>
  <c r="P1738" i="1" a="1"/>
  <c r="P1738" i="1" s="1"/>
  <c r="P1739" i="1" a="1"/>
  <c r="P1739" i="1" s="1"/>
  <c r="P1740" i="1" a="1"/>
  <c r="P1740" i="1" s="1"/>
  <c r="P1741" i="1" a="1"/>
  <c r="P1741" i="1" s="1"/>
  <c r="P1742" i="1" a="1"/>
  <c r="P1742" i="1" s="1"/>
  <c r="P1743" i="1" a="1"/>
  <c r="P1743" i="1" s="1"/>
  <c r="P1744" i="1" a="1"/>
  <c r="P1744" i="1" s="1"/>
  <c r="P1745" i="1" a="1"/>
  <c r="P1745" i="1" s="1"/>
  <c r="P1746" i="1" a="1"/>
  <c r="P1746" i="1" s="1"/>
  <c r="P1747" i="1" a="1"/>
  <c r="P1747" i="1" s="1"/>
  <c r="P1748" i="1" a="1"/>
  <c r="P1748" i="1" s="1"/>
  <c r="P1749" i="1" a="1"/>
  <c r="P1749" i="1" s="1"/>
  <c r="P1750" i="1" a="1"/>
  <c r="P1750" i="1" s="1"/>
  <c r="P1751" i="1" a="1"/>
  <c r="P1751" i="1" s="1"/>
  <c r="P1752" i="1" a="1"/>
  <c r="P1752" i="1" s="1"/>
  <c r="P1753" i="1" a="1"/>
  <c r="P1753" i="1" s="1"/>
  <c r="P1754" i="1" a="1"/>
  <c r="P1754" i="1" s="1"/>
  <c r="P1755" i="1" a="1"/>
  <c r="P1755" i="1" s="1"/>
  <c r="P1756" i="1" a="1"/>
  <c r="P1756" i="1" s="1"/>
  <c r="P1757" i="1" a="1"/>
  <c r="P1757" i="1" s="1"/>
  <c r="P1758" i="1" a="1"/>
  <c r="P1758" i="1" s="1"/>
  <c r="P1759" i="1" a="1"/>
  <c r="P1759" i="1" s="1"/>
  <c r="P1760" i="1" a="1"/>
  <c r="P1760" i="1" s="1"/>
  <c r="P1761" i="1" a="1"/>
  <c r="P1761" i="1" s="1"/>
  <c r="P1762" i="1" a="1"/>
  <c r="P1762" i="1" s="1"/>
  <c r="P1763" i="1" a="1"/>
  <c r="P1763" i="1" s="1"/>
  <c r="P1764" i="1" a="1"/>
  <c r="P1764" i="1" s="1"/>
  <c r="P1765" i="1" a="1"/>
  <c r="P1765" i="1" s="1"/>
  <c r="P1766" i="1" a="1"/>
  <c r="P1766" i="1" s="1"/>
  <c r="P1767" i="1" a="1"/>
  <c r="P1767" i="1" s="1"/>
  <c r="P1768" i="1" a="1"/>
  <c r="P1768" i="1" s="1"/>
  <c r="P1769" i="1" a="1"/>
  <c r="P1769" i="1" s="1"/>
  <c r="P1770" i="1" a="1"/>
  <c r="P1770" i="1" s="1"/>
  <c r="P1771" i="1" a="1"/>
  <c r="P1771" i="1" s="1"/>
  <c r="P1772" i="1" a="1"/>
  <c r="P1772" i="1" s="1"/>
  <c r="P1773" i="1" a="1"/>
  <c r="P1773" i="1" s="1"/>
  <c r="P1774" i="1" a="1"/>
  <c r="P1774" i="1" s="1"/>
  <c r="P1775" i="1" a="1"/>
  <c r="P1775" i="1" s="1"/>
  <c r="P1776" i="1" a="1"/>
  <c r="P1776" i="1" s="1"/>
  <c r="P1777" i="1" a="1"/>
  <c r="P1777" i="1" s="1"/>
  <c r="P1778" i="1" a="1"/>
  <c r="P1778" i="1" s="1"/>
  <c r="P1779" i="1" a="1"/>
  <c r="P1779" i="1" s="1"/>
  <c r="P1780" i="1" a="1"/>
  <c r="P1780" i="1" s="1"/>
  <c r="P1781" i="1" a="1"/>
  <c r="P1781" i="1" s="1"/>
  <c r="P1782" i="1" a="1"/>
  <c r="P1782" i="1" s="1"/>
  <c r="P1783" i="1" a="1"/>
  <c r="P1783" i="1" s="1"/>
  <c r="P1784" i="1" a="1"/>
  <c r="P1784" i="1" s="1"/>
  <c r="P1785" i="1" a="1"/>
  <c r="P1785" i="1" s="1"/>
  <c r="P1786" i="1" a="1"/>
  <c r="P1786" i="1" s="1"/>
  <c r="P1787" i="1" a="1"/>
  <c r="P1787" i="1" s="1"/>
  <c r="P1788" i="1" a="1"/>
  <c r="P1788" i="1" s="1"/>
  <c r="P1789" i="1" a="1"/>
  <c r="P1789" i="1" s="1"/>
  <c r="P1790" i="1" a="1"/>
  <c r="P1790" i="1" s="1"/>
  <c r="P1791" i="1" a="1"/>
  <c r="P1791" i="1" s="1"/>
  <c r="P1792" i="1" a="1"/>
  <c r="P1792" i="1" s="1"/>
  <c r="P1793" i="1" a="1"/>
  <c r="P1793" i="1" s="1"/>
  <c r="P1794" i="1" a="1"/>
  <c r="P1794" i="1" s="1"/>
  <c r="P1795" i="1" a="1"/>
  <c r="P1795" i="1" s="1"/>
  <c r="P1796" i="1" a="1"/>
  <c r="P1796" i="1" s="1"/>
  <c r="P1797" i="1" a="1"/>
  <c r="P1797" i="1" s="1"/>
  <c r="P1798" i="1" a="1"/>
  <c r="P1798" i="1" s="1"/>
  <c r="P1799" i="1" a="1"/>
  <c r="P1799" i="1" s="1"/>
  <c r="P1800" i="1" a="1"/>
  <c r="P1800" i="1" s="1"/>
  <c r="P1801" i="1" a="1"/>
  <c r="P1801" i="1" s="1"/>
  <c r="P1802" i="1" a="1"/>
  <c r="P1802" i="1" s="1"/>
  <c r="P1803" i="1" a="1"/>
  <c r="P1803" i="1" s="1"/>
  <c r="P1804" i="1" a="1"/>
  <c r="P1804" i="1" s="1"/>
  <c r="P1805" i="1" a="1"/>
  <c r="P1805" i="1" s="1"/>
  <c r="P1806" i="1" a="1"/>
  <c r="P1806" i="1" s="1"/>
  <c r="P1807" i="1" a="1"/>
  <c r="P1807" i="1" s="1"/>
  <c r="P1808" i="1" a="1"/>
  <c r="P1808" i="1" s="1"/>
  <c r="P1809" i="1" a="1"/>
  <c r="P1809" i="1" s="1"/>
  <c r="P1810" i="1" a="1"/>
  <c r="P1810" i="1" s="1"/>
  <c r="P1811" i="1" a="1"/>
  <c r="P1811" i="1" s="1"/>
  <c r="P1812" i="1" a="1"/>
  <c r="P1812" i="1" s="1"/>
  <c r="P1813" i="1" a="1"/>
  <c r="P1813" i="1" s="1"/>
  <c r="P1814" i="1" a="1"/>
  <c r="P1814" i="1" s="1"/>
  <c r="P1815" i="1" a="1"/>
  <c r="P1815" i="1" s="1"/>
  <c r="P1816" i="1" a="1"/>
  <c r="P1816" i="1" s="1"/>
  <c r="P1817" i="1" a="1"/>
  <c r="P1817" i="1" s="1"/>
  <c r="P1818" i="1" a="1"/>
  <c r="P1818" i="1" s="1"/>
  <c r="P1819" i="1" a="1"/>
  <c r="P1819" i="1" s="1"/>
  <c r="P1820" i="1" a="1"/>
  <c r="P1820" i="1" s="1"/>
  <c r="P1821" i="1" a="1"/>
  <c r="P1821" i="1" s="1"/>
  <c r="P1822" i="1" a="1"/>
  <c r="P1822" i="1" s="1"/>
  <c r="P1823" i="1" a="1"/>
  <c r="P1823" i="1" s="1"/>
  <c r="P1824" i="1" a="1"/>
  <c r="P1824" i="1" s="1"/>
  <c r="P1825" i="1" a="1"/>
  <c r="P1825" i="1" s="1"/>
  <c r="P1826" i="1" a="1"/>
  <c r="P1826" i="1" s="1"/>
  <c r="P1827" i="1" a="1"/>
  <c r="P1827" i="1" s="1"/>
  <c r="P1828" i="1" a="1"/>
  <c r="P1828" i="1" s="1"/>
  <c r="P1829" i="1" a="1"/>
  <c r="P1829" i="1" s="1"/>
  <c r="P1830" i="1" a="1"/>
  <c r="P1830" i="1" s="1"/>
  <c r="P1831" i="1" a="1"/>
  <c r="P1831" i="1" s="1"/>
  <c r="P1832" i="1" a="1"/>
  <c r="P1832" i="1" s="1"/>
  <c r="P1833" i="1" a="1"/>
  <c r="P1833" i="1" s="1"/>
  <c r="P1834" i="1" a="1"/>
  <c r="P1834" i="1" s="1"/>
  <c r="P1835" i="1" a="1"/>
  <c r="P1835" i="1" s="1"/>
  <c r="P1836" i="1" a="1"/>
  <c r="P1836" i="1" s="1"/>
  <c r="P1837" i="1" a="1"/>
  <c r="P1837" i="1" s="1"/>
  <c r="P1838" i="1" a="1"/>
  <c r="P1838" i="1" s="1"/>
  <c r="P1839" i="1" a="1"/>
  <c r="P1839" i="1" s="1"/>
  <c r="P1840" i="1" a="1"/>
  <c r="P1840" i="1" s="1"/>
  <c r="P1841" i="1" a="1"/>
  <c r="P1841" i="1" s="1"/>
  <c r="P1842" i="1" a="1"/>
  <c r="P1842" i="1" s="1"/>
  <c r="P1843" i="1" a="1"/>
  <c r="P1843" i="1" s="1"/>
  <c r="P1844" i="1" a="1"/>
  <c r="P1844" i="1" s="1"/>
  <c r="P1845" i="1" a="1"/>
  <c r="P1845" i="1" s="1"/>
  <c r="P1846" i="1" a="1"/>
  <c r="P1846" i="1" s="1"/>
  <c r="P1847" i="1" a="1"/>
  <c r="P1847" i="1" s="1"/>
  <c r="P1848" i="1" a="1"/>
  <c r="P1848" i="1" s="1"/>
  <c r="P1849" i="1" a="1"/>
  <c r="P1849" i="1" s="1"/>
  <c r="P1850" i="1" a="1"/>
  <c r="P1850" i="1" s="1"/>
  <c r="P1851" i="1" a="1"/>
  <c r="P1851" i="1" s="1"/>
  <c r="P1852" i="1" a="1"/>
  <c r="P1852" i="1" s="1"/>
  <c r="P1853" i="1" a="1"/>
  <c r="P1853" i="1" s="1"/>
  <c r="P1854" i="1" a="1"/>
  <c r="P1854" i="1" s="1"/>
  <c r="P1855" i="1" a="1"/>
  <c r="P1855" i="1" s="1"/>
  <c r="P1856" i="1" a="1"/>
  <c r="P1856" i="1" s="1"/>
  <c r="P1857" i="1" a="1"/>
  <c r="P1857" i="1" s="1"/>
  <c r="P1858" i="1" a="1"/>
  <c r="P1858" i="1" s="1"/>
  <c r="P1859" i="1" a="1"/>
  <c r="P1859" i="1" s="1"/>
  <c r="P1860" i="1" a="1"/>
  <c r="P1860" i="1" s="1"/>
  <c r="P1861" i="1" a="1"/>
  <c r="P1861" i="1" s="1"/>
  <c r="P1862" i="1" a="1"/>
  <c r="P1862" i="1" s="1"/>
  <c r="P1863" i="1" a="1"/>
  <c r="P1863" i="1" s="1"/>
  <c r="P1864" i="1" a="1"/>
  <c r="P1864" i="1" s="1"/>
  <c r="P1865" i="1" a="1"/>
  <c r="P1865" i="1" s="1"/>
  <c r="P1866" i="1" a="1"/>
  <c r="P1866" i="1" s="1"/>
  <c r="P1867" i="1" a="1"/>
  <c r="P1867" i="1" s="1"/>
  <c r="P1868" i="1" a="1"/>
  <c r="P1868" i="1" s="1"/>
  <c r="P1869" i="1" a="1"/>
  <c r="P1869" i="1" s="1"/>
  <c r="P1870" i="1" a="1"/>
  <c r="P1870" i="1" s="1"/>
  <c r="P1871" i="1" a="1"/>
  <c r="P1871" i="1" s="1"/>
  <c r="P1872" i="1" a="1"/>
  <c r="P1872" i="1" s="1"/>
  <c r="P1873" i="1" a="1"/>
  <c r="P1873" i="1" s="1"/>
  <c r="P1874" i="1" a="1"/>
  <c r="P1874" i="1" s="1"/>
  <c r="P1875" i="1" a="1"/>
  <c r="P1875" i="1" s="1"/>
  <c r="P1876" i="1" a="1"/>
  <c r="P1876" i="1" s="1"/>
  <c r="P1877" i="1" a="1"/>
  <c r="P1877" i="1" s="1"/>
  <c r="P1878" i="1" a="1"/>
  <c r="P1878" i="1" s="1"/>
  <c r="P1879" i="1" a="1"/>
  <c r="P1879" i="1" s="1"/>
  <c r="P1880" i="1" a="1"/>
  <c r="P1880" i="1" s="1"/>
  <c r="P1881" i="1" a="1"/>
  <c r="P1881" i="1" s="1"/>
  <c r="P1882" i="1" a="1"/>
  <c r="P1882" i="1" s="1"/>
  <c r="P1883" i="1" a="1"/>
  <c r="P1883" i="1" s="1"/>
  <c r="P1884" i="1" a="1"/>
  <c r="P1884" i="1" s="1"/>
  <c r="P1885" i="1" a="1"/>
  <c r="P1885" i="1" s="1"/>
  <c r="P1886" i="1" a="1"/>
  <c r="P1886" i="1" s="1"/>
  <c r="P1887" i="1" a="1"/>
  <c r="P1887" i="1" s="1"/>
  <c r="P1888" i="1" a="1"/>
  <c r="P1888" i="1" s="1"/>
  <c r="P1889" i="1" a="1"/>
  <c r="P1889" i="1" s="1"/>
  <c r="P1890" i="1" a="1"/>
  <c r="P1890" i="1" s="1"/>
  <c r="P1891" i="1" a="1"/>
  <c r="P1891" i="1" s="1"/>
  <c r="P1892" i="1" a="1"/>
  <c r="P1892" i="1" s="1"/>
  <c r="P1893" i="1" a="1"/>
  <c r="P1893" i="1" s="1"/>
  <c r="P1894" i="1" a="1"/>
  <c r="P1894" i="1" s="1"/>
  <c r="P1895" i="1" a="1"/>
  <c r="P1895" i="1" s="1"/>
  <c r="P1896" i="1" a="1"/>
  <c r="P1896" i="1" s="1"/>
  <c r="P1897" i="1" a="1"/>
  <c r="P1897" i="1" s="1"/>
  <c r="P1898" i="1" a="1"/>
  <c r="P1898" i="1" s="1"/>
  <c r="P1899" i="1" a="1"/>
  <c r="P1899" i="1" s="1"/>
  <c r="P1900" i="1" a="1"/>
  <c r="P1900" i="1" s="1"/>
  <c r="P1901" i="1" a="1"/>
  <c r="P1901" i="1" s="1"/>
  <c r="P1902" i="1" a="1"/>
  <c r="P1902" i="1" s="1"/>
  <c r="P1903" i="1" a="1"/>
  <c r="P1903" i="1" s="1"/>
  <c r="P1904" i="1" a="1"/>
  <c r="P1904" i="1" s="1"/>
  <c r="P1905" i="1" a="1"/>
  <c r="P1905" i="1" s="1"/>
  <c r="P1906" i="1" a="1"/>
  <c r="P1906" i="1" s="1"/>
  <c r="P1907" i="1" a="1"/>
  <c r="P1907" i="1" s="1"/>
  <c r="P1908" i="1" a="1"/>
  <c r="P1908" i="1" s="1"/>
  <c r="P1909" i="1" a="1"/>
  <c r="P1909" i="1" s="1"/>
  <c r="P1910" i="1" a="1"/>
  <c r="P1910" i="1" s="1"/>
  <c r="P1911" i="1" a="1"/>
  <c r="P1911" i="1" s="1"/>
  <c r="P1912" i="1" a="1"/>
  <c r="P1912" i="1" s="1"/>
  <c r="P1913" i="1" a="1"/>
  <c r="P1913" i="1" s="1"/>
  <c r="P1914" i="1" a="1"/>
  <c r="P1914" i="1" s="1"/>
  <c r="P1915" i="1" a="1"/>
  <c r="P1915" i="1" s="1"/>
  <c r="P1916" i="1" a="1"/>
  <c r="P1916" i="1" s="1"/>
  <c r="P1917" i="1" a="1"/>
  <c r="P1917" i="1" s="1"/>
  <c r="P1918" i="1" a="1"/>
  <c r="P1918" i="1" s="1"/>
  <c r="P1919" i="1" a="1"/>
  <c r="P1919" i="1" s="1"/>
  <c r="P1920" i="1" a="1"/>
  <c r="P1920" i="1" s="1"/>
  <c r="P1921" i="1" a="1"/>
  <c r="P1921" i="1" s="1"/>
  <c r="P1922" i="1" a="1"/>
  <c r="P1922" i="1" s="1"/>
  <c r="P1923" i="1" a="1"/>
  <c r="P1923" i="1" s="1"/>
  <c r="P1924" i="1" a="1"/>
  <c r="P1924" i="1" s="1"/>
  <c r="P1925" i="1" a="1"/>
  <c r="P1925" i="1" s="1"/>
  <c r="P1926" i="1" a="1"/>
  <c r="P1926" i="1" s="1"/>
  <c r="P1927" i="1" a="1"/>
  <c r="P1927" i="1" s="1"/>
  <c r="P1928" i="1" a="1"/>
  <c r="P1928" i="1" s="1"/>
  <c r="P1929" i="1" a="1"/>
  <c r="P1929" i="1" s="1"/>
  <c r="P1930" i="1" a="1"/>
  <c r="P1930" i="1" s="1"/>
  <c r="P1931" i="1" a="1"/>
  <c r="P1931" i="1" s="1"/>
  <c r="P1932" i="1" a="1"/>
  <c r="P1932" i="1" s="1"/>
  <c r="P1933" i="1" a="1"/>
  <c r="P1933" i="1" s="1"/>
  <c r="P1934" i="1" a="1"/>
  <c r="P1934" i="1" s="1"/>
  <c r="P1935" i="1" a="1"/>
  <c r="P1935" i="1" s="1"/>
  <c r="P1936" i="1" a="1"/>
  <c r="P1936" i="1" s="1"/>
  <c r="P1937" i="1" a="1"/>
  <c r="P1937" i="1" s="1"/>
  <c r="P1938" i="1" a="1"/>
  <c r="P1938" i="1" s="1"/>
  <c r="P1939" i="1" a="1"/>
  <c r="P1939" i="1" s="1"/>
  <c r="P1940" i="1" a="1"/>
  <c r="P1940" i="1" s="1"/>
  <c r="P1941" i="1" a="1"/>
  <c r="P1941" i="1" s="1"/>
  <c r="P1942" i="1" a="1"/>
  <c r="P1942" i="1" s="1"/>
  <c r="P1943" i="1" a="1"/>
  <c r="P1943" i="1" s="1"/>
  <c r="P1944" i="1" a="1"/>
  <c r="P1944" i="1" s="1"/>
  <c r="P1945" i="1" a="1"/>
  <c r="P1945" i="1" s="1"/>
  <c r="P1946" i="1" a="1"/>
  <c r="P1946" i="1" s="1"/>
  <c r="P1947" i="1" a="1"/>
  <c r="P1947" i="1" s="1"/>
  <c r="P1948" i="1" a="1"/>
  <c r="P1948" i="1" s="1"/>
  <c r="P1949" i="1" a="1"/>
  <c r="P1949" i="1" s="1"/>
  <c r="P1950" i="1" a="1"/>
  <c r="P1950" i="1" s="1"/>
  <c r="P1951" i="1" a="1"/>
  <c r="P1951" i="1" s="1"/>
  <c r="P1952" i="1" a="1"/>
  <c r="P1952" i="1" s="1"/>
  <c r="P1953" i="1" a="1"/>
  <c r="P1953" i="1" s="1"/>
  <c r="P1954" i="1" a="1"/>
  <c r="P1954" i="1" s="1"/>
  <c r="P1955" i="1" a="1"/>
  <c r="P1955" i="1" s="1"/>
  <c r="P1956" i="1" a="1"/>
  <c r="P1956" i="1" s="1"/>
  <c r="P1957" i="1" a="1"/>
  <c r="P1957" i="1" s="1"/>
  <c r="P1958" i="1" a="1"/>
  <c r="P1958" i="1" s="1"/>
  <c r="P1959" i="1" a="1"/>
  <c r="P1959" i="1" s="1"/>
  <c r="P1960" i="1" a="1"/>
  <c r="P1960" i="1" s="1"/>
  <c r="P1961" i="1" a="1"/>
  <c r="P1961" i="1" s="1"/>
  <c r="P1962" i="1" a="1"/>
  <c r="P1962" i="1" s="1"/>
  <c r="P1963" i="1" a="1"/>
  <c r="P1963" i="1" s="1"/>
  <c r="P1964" i="1" a="1"/>
  <c r="P1964" i="1" s="1"/>
  <c r="P1965" i="1" a="1"/>
  <c r="P1965" i="1" s="1"/>
  <c r="P1966" i="1" a="1"/>
  <c r="P1966" i="1" s="1"/>
  <c r="P1967" i="1" a="1"/>
  <c r="P1967" i="1" s="1"/>
  <c r="P1968" i="1" a="1"/>
  <c r="P1968" i="1" s="1"/>
  <c r="P1969" i="1" a="1"/>
  <c r="P1969" i="1" s="1"/>
  <c r="P1970" i="1" a="1"/>
  <c r="P1970" i="1" s="1"/>
  <c r="P1971" i="1" a="1"/>
  <c r="P1971" i="1" s="1"/>
  <c r="P1972" i="1" a="1"/>
  <c r="P1972" i="1" s="1"/>
  <c r="P1973" i="1" a="1"/>
  <c r="P1973" i="1" s="1"/>
  <c r="P1974" i="1" a="1"/>
  <c r="P1974" i="1" s="1"/>
  <c r="P1975" i="1" a="1"/>
  <c r="P1975" i="1" s="1"/>
  <c r="P1976" i="1" a="1"/>
  <c r="P1976" i="1" s="1"/>
  <c r="P1977" i="1" a="1"/>
  <c r="P1977" i="1" s="1"/>
  <c r="P1978" i="1" a="1"/>
  <c r="P1978" i="1" s="1"/>
  <c r="P1979" i="1" a="1"/>
  <c r="P1979" i="1" s="1"/>
  <c r="P1980" i="1" a="1"/>
  <c r="P1980" i="1" s="1"/>
  <c r="P1981" i="1" a="1"/>
  <c r="P1981" i="1" s="1"/>
  <c r="P1982" i="1" a="1"/>
  <c r="P1982" i="1" s="1"/>
  <c r="P1983" i="1" a="1"/>
  <c r="P1983" i="1" s="1"/>
  <c r="P1984" i="1" a="1"/>
  <c r="P1984" i="1" s="1"/>
  <c r="P1985" i="1" a="1"/>
  <c r="P1985" i="1" s="1"/>
  <c r="P1986" i="1" a="1"/>
  <c r="P1986" i="1" s="1"/>
  <c r="P1987" i="1" a="1"/>
  <c r="P1987" i="1" s="1"/>
  <c r="P1988" i="1" a="1"/>
  <c r="P1988" i="1" s="1"/>
  <c r="P1989" i="1" a="1"/>
  <c r="P1989" i="1" s="1"/>
  <c r="P1990" i="1" a="1"/>
  <c r="P1990" i="1" s="1"/>
  <c r="P1991" i="1" a="1"/>
  <c r="P1991" i="1" s="1"/>
  <c r="P1992" i="1" a="1"/>
  <c r="P1992" i="1" s="1"/>
  <c r="P1993" i="1" a="1"/>
  <c r="P1993" i="1" s="1"/>
  <c r="P1994" i="1" a="1"/>
  <c r="P1994" i="1" s="1"/>
  <c r="P1995" i="1" a="1"/>
  <c r="P1995" i="1" s="1"/>
  <c r="P1996" i="1" a="1"/>
  <c r="P1996" i="1" s="1"/>
  <c r="P1997" i="1" a="1"/>
  <c r="P1997" i="1" s="1"/>
  <c r="P1998" i="1" a="1"/>
  <c r="P1998" i="1" s="1"/>
  <c r="P1999" i="1" a="1"/>
  <c r="P1999" i="1" s="1"/>
  <c r="P2000" i="1" a="1"/>
  <c r="P2000" i="1" s="1"/>
  <c r="P2001" i="1" a="1"/>
  <c r="P2001" i="1" s="1"/>
  <c r="P2002" i="1" a="1"/>
  <c r="P2002" i="1" s="1"/>
  <c r="P2003" i="1" a="1"/>
  <c r="P2003" i="1" s="1"/>
  <c r="P2004" i="1" a="1"/>
  <c r="P2004" i="1" s="1"/>
  <c r="P2005" i="1" a="1"/>
  <c r="P2005" i="1" s="1"/>
  <c r="P2006" i="1" a="1"/>
  <c r="P2006" i="1" s="1"/>
  <c r="P2007" i="1" a="1"/>
  <c r="P2007" i="1" s="1"/>
  <c r="P2008" i="1" a="1"/>
  <c r="P2008" i="1" s="1"/>
  <c r="P2009" i="1" a="1"/>
  <c r="P2009" i="1" s="1"/>
  <c r="P2010" i="1" a="1"/>
  <c r="P2010" i="1" s="1"/>
  <c r="P2011" i="1" a="1"/>
  <c r="P2011" i="1" s="1"/>
  <c r="P2012" i="1" a="1"/>
  <c r="P2012" i="1" s="1"/>
  <c r="P2013" i="1" a="1"/>
  <c r="P2013" i="1" s="1"/>
  <c r="P2014" i="1" a="1"/>
  <c r="P2014" i="1" s="1"/>
  <c r="P2015" i="1" a="1"/>
  <c r="P2015" i="1" s="1"/>
  <c r="P2016" i="1" a="1"/>
  <c r="P2016" i="1" s="1"/>
  <c r="P2017" i="1" a="1"/>
  <c r="P2017" i="1" s="1"/>
  <c r="P2018" i="1" a="1"/>
  <c r="P2018" i="1" s="1"/>
  <c r="P2019" i="1" a="1"/>
  <c r="P2019" i="1" s="1"/>
  <c r="P2020" i="1" a="1"/>
  <c r="P2020" i="1" s="1"/>
  <c r="P2021" i="1" a="1"/>
  <c r="P2021" i="1" s="1"/>
  <c r="P2022" i="1" a="1"/>
  <c r="P2022" i="1" s="1"/>
  <c r="P2023" i="1" a="1"/>
  <c r="P2023" i="1" s="1"/>
  <c r="P2024" i="1" a="1"/>
  <c r="P2024" i="1" s="1"/>
  <c r="P2025" i="1" a="1"/>
  <c r="P2025" i="1" s="1"/>
  <c r="P2026" i="1" a="1"/>
  <c r="P2026" i="1" s="1"/>
  <c r="P2027" i="1" a="1"/>
  <c r="P2027" i="1" s="1"/>
  <c r="P2028" i="1" a="1"/>
  <c r="P2028" i="1" s="1"/>
  <c r="P2029" i="1" a="1"/>
  <c r="P2029" i="1" s="1"/>
  <c r="P2030" i="1" a="1"/>
  <c r="P2030" i="1" s="1"/>
  <c r="P2031" i="1" a="1"/>
  <c r="P2031" i="1" s="1"/>
  <c r="P2032" i="1" a="1"/>
  <c r="P2032" i="1" s="1"/>
  <c r="P2033" i="1" a="1"/>
  <c r="P2033" i="1" s="1"/>
  <c r="P2034" i="1" a="1"/>
  <c r="P2034" i="1" s="1"/>
  <c r="P2035" i="1" a="1"/>
  <c r="P2035" i="1" s="1"/>
  <c r="P2036" i="1" a="1"/>
  <c r="P2036" i="1" s="1"/>
  <c r="P2037" i="1" a="1"/>
  <c r="P2037" i="1" s="1"/>
  <c r="P2038" i="1" a="1"/>
  <c r="P2038" i="1" s="1"/>
  <c r="P2039" i="1" a="1"/>
  <c r="P2039" i="1" s="1"/>
  <c r="P2040" i="1" a="1"/>
  <c r="P2040" i="1" s="1"/>
  <c r="P2041" i="1" a="1"/>
  <c r="P2041" i="1" s="1"/>
  <c r="P2042" i="1" a="1"/>
  <c r="P2042" i="1" s="1"/>
  <c r="P2043" i="1" a="1"/>
  <c r="P2043" i="1" s="1"/>
  <c r="P2044" i="1" a="1"/>
  <c r="P2044" i="1" s="1"/>
  <c r="P2045" i="1" a="1"/>
  <c r="P2045" i="1" s="1"/>
  <c r="P2046" i="1" a="1"/>
  <c r="P2046" i="1" s="1"/>
  <c r="P2047" i="1" a="1"/>
  <c r="P2047" i="1" s="1"/>
  <c r="P2048" i="1" a="1"/>
  <c r="P2048" i="1" s="1"/>
  <c r="P2049" i="1" a="1"/>
  <c r="P2049" i="1" s="1"/>
  <c r="P2050" i="1" a="1"/>
  <c r="P2050" i="1" s="1"/>
  <c r="P2051" i="1" a="1"/>
  <c r="P2051" i="1" s="1"/>
  <c r="P2052" i="1" a="1"/>
  <c r="P2052" i="1" s="1"/>
  <c r="P2053" i="1" a="1"/>
  <c r="P2053" i="1" s="1"/>
  <c r="P2054" i="1" a="1"/>
  <c r="P2054" i="1" s="1"/>
  <c r="P2055" i="1" a="1"/>
  <c r="P2055" i="1" s="1"/>
  <c r="P2056" i="1" a="1"/>
  <c r="P2056" i="1" s="1"/>
  <c r="P2057" i="1" a="1"/>
  <c r="P2057" i="1" s="1"/>
  <c r="P2058" i="1" a="1"/>
  <c r="P2058" i="1" s="1"/>
  <c r="P2059" i="1" a="1"/>
  <c r="P2059" i="1" s="1"/>
  <c r="P2060" i="1" a="1"/>
  <c r="P2060" i="1" s="1"/>
  <c r="P2061" i="1" a="1"/>
  <c r="P2061" i="1" s="1"/>
  <c r="P2062" i="1" a="1"/>
  <c r="P2062" i="1" s="1"/>
  <c r="P2063" i="1" a="1"/>
  <c r="P2063" i="1" s="1"/>
  <c r="P2064" i="1" a="1"/>
  <c r="P2064" i="1" s="1"/>
  <c r="P2065" i="1" a="1"/>
  <c r="P2065" i="1" s="1"/>
  <c r="P2066" i="1" a="1"/>
  <c r="P2066" i="1" s="1"/>
  <c r="P2067" i="1" a="1"/>
  <c r="P2067" i="1" s="1"/>
  <c r="P2068" i="1" a="1"/>
  <c r="P2068" i="1" s="1"/>
  <c r="P2069" i="1" a="1"/>
  <c r="P2069" i="1" s="1"/>
  <c r="P2070" i="1" a="1"/>
  <c r="P2070" i="1" s="1"/>
  <c r="P2071" i="1" a="1"/>
  <c r="P2071" i="1" s="1"/>
  <c r="P2072" i="1" a="1"/>
  <c r="P2072" i="1" s="1"/>
  <c r="P2073" i="1" a="1"/>
  <c r="P2073" i="1" s="1"/>
  <c r="P2074" i="1" a="1"/>
  <c r="P2074" i="1" s="1"/>
  <c r="P2075" i="1" a="1"/>
  <c r="P2075" i="1" s="1"/>
  <c r="P2076" i="1" a="1"/>
  <c r="P2076" i="1" s="1"/>
  <c r="P2077" i="1" a="1"/>
  <c r="P2077" i="1" s="1"/>
  <c r="P2078" i="1" a="1"/>
  <c r="P2078" i="1" s="1"/>
  <c r="P2079" i="1" a="1"/>
  <c r="P2079" i="1" s="1"/>
  <c r="P2080" i="1" a="1"/>
  <c r="P2080" i="1" s="1"/>
  <c r="P2081" i="1" a="1"/>
  <c r="P2081" i="1" s="1"/>
  <c r="P2082" i="1" a="1"/>
  <c r="P2082" i="1" s="1"/>
  <c r="P2083" i="1" a="1"/>
  <c r="P2083" i="1" s="1"/>
  <c r="P2084" i="1" a="1"/>
  <c r="P2084" i="1" s="1"/>
  <c r="P2085" i="1" a="1"/>
  <c r="P2085" i="1" s="1"/>
  <c r="P2086" i="1" a="1"/>
  <c r="P2086" i="1" s="1"/>
  <c r="P2087" i="1" a="1"/>
  <c r="P2087" i="1" s="1"/>
  <c r="P2088" i="1" a="1"/>
  <c r="P2088" i="1" s="1"/>
  <c r="P2089" i="1" a="1"/>
  <c r="P2089" i="1" s="1"/>
  <c r="P2090" i="1" a="1"/>
  <c r="P2090" i="1" s="1"/>
  <c r="P2091" i="1" a="1"/>
  <c r="P2091" i="1" s="1"/>
  <c r="P2092" i="1" a="1"/>
  <c r="P2092" i="1" s="1"/>
  <c r="P2093" i="1" a="1"/>
  <c r="P2093" i="1" s="1"/>
  <c r="P2094" i="1" a="1"/>
  <c r="P2094" i="1" s="1"/>
  <c r="P2095" i="1" a="1"/>
  <c r="P2095" i="1" s="1"/>
  <c r="P2096" i="1" a="1"/>
  <c r="P2096" i="1" s="1"/>
  <c r="P2097" i="1" a="1"/>
  <c r="P2097" i="1" s="1"/>
  <c r="P2098" i="1" a="1"/>
  <c r="P2098" i="1" s="1"/>
  <c r="P2099" i="1" a="1"/>
  <c r="P2099" i="1" s="1"/>
  <c r="P2100" i="1" a="1"/>
  <c r="P2100" i="1" s="1"/>
  <c r="P2101" i="1" a="1"/>
  <c r="P2101" i="1" s="1"/>
  <c r="P2102" i="1" a="1"/>
  <c r="P2102" i="1" s="1"/>
  <c r="P2103" i="1" a="1"/>
  <c r="P2103" i="1" s="1"/>
  <c r="P2104" i="1" a="1"/>
  <c r="P2104" i="1" s="1"/>
  <c r="P2105" i="1" a="1"/>
  <c r="P2105" i="1" s="1"/>
  <c r="P2106" i="1" a="1"/>
  <c r="P2106" i="1" s="1"/>
  <c r="P2107" i="1" a="1"/>
  <c r="P2107" i="1" s="1"/>
  <c r="P2108" i="1" a="1"/>
  <c r="P2108" i="1" s="1"/>
  <c r="P2109" i="1" a="1"/>
  <c r="P2109" i="1" s="1"/>
  <c r="P2110" i="1" a="1"/>
  <c r="P2110" i="1" s="1"/>
  <c r="P2111" i="1" a="1"/>
  <c r="P2111" i="1" s="1"/>
  <c r="P2112" i="1" a="1"/>
  <c r="P2112" i="1" s="1"/>
  <c r="P2113" i="1" a="1"/>
  <c r="P2113" i="1" s="1"/>
  <c r="P2114" i="1" a="1"/>
  <c r="P2114" i="1" s="1"/>
  <c r="P2115" i="1" a="1"/>
  <c r="P2115" i="1" s="1"/>
  <c r="P2116" i="1" a="1"/>
  <c r="P2116" i="1" s="1"/>
  <c r="P2117" i="1" a="1"/>
  <c r="P2117" i="1" s="1"/>
  <c r="P2118" i="1" a="1"/>
  <c r="P2118" i="1" s="1"/>
  <c r="P2119" i="1" a="1"/>
  <c r="P2119" i="1" s="1"/>
  <c r="P2120" i="1" a="1"/>
  <c r="P2120" i="1" s="1"/>
  <c r="P2121" i="1" a="1"/>
  <c r="P2121" i="1" s="1"/>
  <c r="P2122" i="1" a="1"/>
  <c r="P2122" i="1" s="1"/>
  <c r="P2123" i="1" a="1"/>
  <c r="P2123" i="1" s="1"/>
  <c r="P2124" i="1" a="1"/>
  <c r="P2124" i="1" s="1"/>
  <c r="P2125" i="1" a="1"/>
  <c r="P2125" i="1" s="1"/>
  <c r="P2126" i="1" a="1"/>
  <c r="P2126" i="1" s="1"/>
  <c r="P2127" i="1" a="1"/>
  <c r="P2127" i="1" s="1"/>
  <c r="P2128" i="1" a="1"/>
  <c r="P2128" i="1" s="1"/>
  <c r="P2129" i="1" a="1"/>
  <c r="P2129" i="1" s="1"/>
  <c r="P2130" i="1" a="1"/>
  <c r="P2130" i="1" s="1"/>
  <c r="P2131" i="1" a="1"/>
  <c r="P2131" i="1" s="1"/>
  <c r="P2132" i="1" a="1"/>
  <c r="P2132" i="1" s="1"/>
  <c r="P2133" i="1" a="1"/>
  <c r="P2133" i="1" s="1"/>
  <c r="P2134" i="1" a="1"/>
  <c r="P2134" i="1" s="1"/>
  <c r="P2135" i="1" a="1"/>
  <c r="P2135" i="1" s="1"/>
  <c r="P2136" i="1" a="1"/>
  <c r="P2136" i="1" s="1"/>
  <c r="P2137" i="1" a="1"/>
  <c r="P2137" i="1" s="1"/>
  <c r="P2138" i="1" a="1"/>
  <c r="P2138" i="1" s="1"/>
  <c r="P2139" i="1" a="1"/>
  <c r="P2139" i="1" s="1"/>
  <c r="P2140" i="1" a="1"/>
  <c r="P2140" i="1" s="1"/>
  <c r="P2141" i="1" a="1"/>
  <c r="P2141" i="1" s="1"/>
  <c r="P2142" i="1" a="1"/>
  <c r="P2142" i="1" s="1"/>
  <c r="P2143" i="1" a="1"/>
  <c r="P2143" i="1" s="1"/>
  <c r="P2144" i="1" a="1"/>
  <c r="P2144" i="1" s="1"/>
  <c r="P2145" i="1" a="1"/>
  <c r="P2145" i="1" s="1"/>
  <c r="P2146" i="1" a="1"/>
  <c r="P2146" i="1" s="1"/>
  <c r="P2147" i="1" a="1"/>
  <c r="P2147" i="1" s="1"/>
  <c r="P2148" i="1" a="1"/>
  <c r="P2148" i="1" s="1"/>
  <c r="P2149" i="1" a="1"/>
  <c r="P2149" i="1" s="1"/>
  <c r="P2150" i="1" a="1"/>
  <c r="P2150" i="1" s="1"/>
  <c r="P2151" i="1" a="1"/>
  <c r="P2151" i="1" s="1"/>
  <c r="P2152" i="1" a="1"/>
  <c r="P2152" i="1" s="1"/>
  <c r="P2153" i="1" a="1"/>
  <c r="P2153" i="1" s="1"/>
  <c r="P2154" i="1" a="1"/>
  <c r="P2154" i="1" s="1"/>
  <c r="P2155" i="1" a="1"/>
  <c r="P2155" i="1" s="1"/>
  <c r="P2156" i="1" a="1"/>
  <c r="P2156" i="1" s="1"/>
  <c r="P2157" i="1" a="1"/>
  <c r="P2157" i="1" s="1"/>
  <c r="P2158" i="1" a="1"/>
  <c r="P2158" i="1" s="1"/>
  <c r="P2159" i="1" a="1"/>
  <c r="P2159" i="1" s="1"/>
  <c r="P2160" i="1" a="1"/>
  <c r="P2160" i="1" s="1"/>
  <c r="P2161" i="1" a="1"/>
  <c r="P2161" i="1" s="1"/>
  <c r="P2162" i="1" a="1"/>
  <c r="P2162" i="1" s="1"/>
  <c r="P2163" i="1" a="1"/>
  <c r="P2163" i="1" s="1"/>
  <c r="P2164" i="1" a="1"/>
  <c r="P2164" i="1" s="1"/>
  <c r="P2165" i="1" a="1"/>
  <c r="P2165" i="1" s="1"/>
  <c r="P2166" i="1" a="1"/>
  <c r="P2166" i="1" s="1"/>
  <c r="P2167" i="1" a="1"/>
  <c r="P2167" i="1" s="1"/>
  <c r="P2168" i="1" a="1"/>
  <c r="P2168" i="1" s="1"/>
  <c r="P2169" i="1" a="1"/>
  <c r="P2169" i="1" s="1"/>
  <c r="P2170" i="1" a="1"/>
  <c r="P2170" i="1" s="1"/>
  <c r="P2171" i="1" a="1"/>
  <c r="P2171" i="1" s="1"/>
  <c r="P2172" i="1" a="1"/>
  <c r="P2172" i="1" s="1"/>
  <c r="P2173" i="1" a="1"/>
  <c r="P2173" i="1" s="1"/>
  <c r="P2174" i="1" a="1"/>
  <c r="P2174" i="1" s="1"/>
  <c r="P2175" i="1" a="1"/>
  <c r="P2175" i="1" s="1"/>
  <c r="P2176" i="1" a="1"/>
  <c r="P2176" i="1" s="1"/>
  <c r="P2177" i="1" a="1"/>
  <c r="P2177" i="1" s="1"/>
  <c r="P2178" i="1" a="1"/>
  <c r="P2178" i="1" s="1"/>
  <c r="P2179" i="1" a="1"/>
  <c r="P2179" i="1" s="1"/>
  <c r="P2180" i="1" a="1"/>
  <c r="P2180" i="1" s="1"/>
  <c r="P2181" i="1" a="1"/>
  <c r="P2181" i="1" s="1"/>
  <c r="P2182" i="1" a="1"/>
  <c r="P2182" i="1" s="1"/>
  <c r="P2183" i="1" a="1"/>
  <c r="P2183" i="1" s="1"/>
  <c r="P2184" i="1" a="1"/>
  <c r="P2184" i="1" s="1"/>
  <c r="P2185" i="1" a="1"/>
  <c r="P2185" i="1" s="1"/>
  <c r="P2186" i="1" a="1"/>
  <c r="P2186" i="1" s="1"/>
  <c r="P2187" i="1" a="1"/>
  <c r="P2187" i="1" s="1"/>
  <c r="P2188" i="1" a="1"/>
  <c r="P2188" i="1" s="1"/>
  <c r="P2189" i="1" a="1"/>
  <c r="P2189" i="1" s="1"/>
  <c r="P2190" i="1" a="1"/>
  <c r="P2190" i="1" s="1"/>
  <c r="P2191" i="1" a="1"/>
  <c r="P2191" i="1" s="1"/>
  <c r="P2192" i="1" a="1"/>
  <c r="P2192" i="1" s="1"/>
  <c r="P2193" i="1" a="1"/>
  <c r="P2193" i="1" s="1"/>
  <c r="P2194" i="1" a="1"/>
  <c r="P2194" i="1" s="1"/>
  <c r="P2195" i="1" a="1"/>
  <c r="P2195" i="1" s="1"/>
  <c r="P2196" i="1" a="1"/>
  <c r="P2196" i="1" s="1"/>
  <c r="P2197" i="1" a="1"/>
  <c r="P2197" i="1" s="1"/>
  <c r="P2198" i="1" a="1"/>
  <c r="P2198" i="1" s="1"/>
  <c r="P2199" i="1" a="1"/>
  <c r="P2199" i="1" s="1"/>
  <c r="P2200" i="1" a="1"/>
  <c r="P2200" i="1" s="1"/>
  <c r="P2201" i="1" a="1"/>
  <c r="P2201" i="1" s="1"/>
  <c r="P2202" i="1" a="1"/>
  <c r="P2202" i="1" s="1"/>
  <c r="P2203" i="1" a="1"/>
  <c r="P2203" i="1" s="1"/>
  <c r="P2204" i="1" a="1"/>
  <c r="P2204" i="1" s="1"/>
  <c r="P2205" i="1" a="1"/>
  <c r="P2205" i="1" s="1"/>
  <c r="P2206" i="1" a="1"/>
  <c r="P2206" i="1" s="1"/>
  <c r="P2207" i="1" a="1"/>
  <c r="P2207" i="1" s="1"/>
  <c r="P2208" i="1" a="1"/>
  <c r="P2208" i="1" s="1"/>
  <c r="P2209" i="1" a="1"/>
  <c r="P2209" i="1" s="1"/>
  <c r="P2210" i="1" a="1"/>
  <c r="P2210" i="1" s="1"/>
  <c r="P2211" i="1" a="1"/>
  <c r="P2211" i="1" s="1"/>
  <c r="P2212" i="1" a="1"/>
  <c r="P2212" i="1" s="1"/>
  <c r="P2213" i="1" a="1"/>
  <c r="P2213" i="1" s="1"/>
  <c r="P2214" i="1" a="1"/>
  <c r="P2214" i="1" s="1"/>
  <c r="P2215" i="1" a="1"/>
  <c r="P2215" i="1" s="1"/>
  <c r="P2216" i="1" a="1"/>
  <c r="P2216" i="1" s="1"/>
  <c r="P2217" i="1" a="1"/>
  <c r="P2217" i="1" s="1"/>
  <c r="P2218" i="1" a="1"/>
  <c r="P2218" i="1" s="1"/>
  <c r="P2219" i="1" a="1"/>
  <c r="P2219" i="1" s="1"/>
  <c r="P2220" i="1" a="1"/>
  <c r="P2220" i="1" s="1"/>
  <c r="P2221" i="1" a="1"/>
  <c r="P2221" i="1" s="1"/>
  <c r="D14" i="10" l="1"/>
  <c r="B33" i="8"/>
  <c r="B30" i="8"/>
  <c r="B34" i="8"/>
  <c r="B31" i="8"/>
  <c r="B27" i="8"/>
  <c r="B29" i="8"/>
  <c r="B28" i="8"/>
  <c r="G10" i="8"/>
  <c r="G5" i="8"/>
  <c r="G2" i="8"/>
  <c r="G11" i="8"/>
  <c r="G1" i="8"/>
  <c r="G9" i="8"/>
  <c r="G34" i="8"/>
  <c r="G33" i="8"/>
  <c r="G3" i="8"/>
  <c r="G7" i="8"/>
  <c r="G30" i="8"/>
  <c r="G4" i="8"/>
  <c r="G8" i="8"/>
  <c r="G24" i="8"/>
  <c r="G27" i="8"/>
  <c r="G25" i="8"/>
  <c r="G29" i="8"/>
  <c r="G28" i="8"/>
  <c r="G22" i="8"/>
  <c r="G23" i="8"/>
  <c r="B22" i="8"/>
  <c r="B23" i="8"/>
  <c r="B24" i="8"/>
  <c r="B25" i="8"/>
  <c r="B21" i="8"/>
  <c r="H9" i="10"/>
  <c r="B9" i="10"/>
  <c r="D9" i="10"/>
  <c r="F9" i="10"/>
  <c r="L3" i="10"/>
  <c r="N7" i="10"/>
  <c r="N15" i="10"/>
  <c r="H10" i="10"/>
  <c r="F8" i="10"/>
  <c r="H11" i="10"/>
  <c r="J4" i="10"/>
  <c r="J12" i="10"/>
  <c r="J5" i="10"/>
  <c r="J13" i="10"/>
  <c r="N6" i="10"/>
  <c r="N14" i="10"/>
  <c r="B6" i="10"/>
  <c r="B14" i="10"/>
  <c r="D8" i="10"/>
  <c r="F10" i="10"/>
  <c r="H4" i="10"/>
  <c r="H12" i="10"/>
  <c r="J6" i="10"/>
  <c r="J14" i="10"/>
  <c r="N8" i="10"/>
  <c r="B7" i="10"/>
  <c r="B15" i="10"/>
  <c r="F11" i="10"/>
  <c r="H5" i="10"/>
  <c r="H13" i="10"/>
  <c r="J7" i="10"/>
  <c r="J15" i="10"/>
  <c r="N9" i="10"/>
  <c r="B8" i="10"/>
  <c r="D10" i="10"/>
  <c r="F4" i="10"/>
  <c r="F12" i="10"/>
  <c r="H6" i="10"/>
  <c r="H14" i="10"/>
  <c r="J8" i="10"/>
  <c r="N10" i="10"/>
  <c r="D11" i="10"/>
  <c r="F5" i="10"/>
  <c r="F13" i="10"/>
  <c r="H7" i="10"/>
  <c r="H15" i="10"/>
  <c r="J9" i="10"/>
  <c r="N11" i="10"/>
  <c r="B10" i="10"/>
  <c r="D4" i="10"/>
  <c r="D12" i="10"/>
  <c r="F6" i="10"/>
  <c r="F14" i="10"/>
  <c r="H8" i="10"/>
  <c r="J10" i="10"/>
  <c r="N4" i="10"/>
  <c r="N12" i="10"/>
  <c r="B11" i="10"/>
  <c r="D5" i="10"/>
  <c r="D13" i="10"/>
  <c r="F7" i="10"/>
  <c r="F15" i="10"/>
  <c r="J11" i="10"/>
  <c r="N5" i="10"/>
  <c r="N13" i="10"/>
  <c r="B4" i="10"/>
  <c r="B12" i="10"/>
  <c r="D6" i="10"/>
  <c r="B5" i="10"/>
  <c r="B13" i="10"/>
  <c r="D7" i="10"/>
  <c r="D15" i="10"/>
  <c r="L2" i="10"/>
  <c r="N4" i="7"/>
  <c r="B6" i="7"/>
  <c r="J8" i="7"/>
  <c r="N10" i="7"/>
  <c r="H12" i="7"/>
  <c r="N14" i="7"/>
  <c r="J9" i="7"/>
  <c r="D15" i="7"/>
  <c r="B2" i="8"/>
  <c r="B4" i="8"/>
  <c r="N11" i="7"/>
  <c r="N13" i="7"/>
  <c r="F11" i="7"/>
  <c r="J12" i="7"/>
  <c r="B14" i="7"/>
  <c r="F15" i="7"/>
  <c r="L15" i="7" s="1"/>
  <c r="J4" i="7"/>
  <c r="F7" i="7"/>
  <c r="N9" i="7"/>
  <c r="B3" i="8"/>
  <c r="B5" i="8"/>
  <c r="B15" i="8"/>
  <c r="H11" i="7"/>
  <c r="N12" i="7"/>
  <c r="D14" i="7"/>
  <c r="H15" i="7"/>
  <c r="D6" i="7"/>
  <c r="H7" i="7"/>
  <c r="N8" i="7"/>
  <c r="B10" i="7"/>
  <c r="B16" i="8"/>
  <c r="J11" i="7"/>
  <c r="B13" i="7"/>
  <c r="F14" i="7"/>
  <c r="J15" i="7"/>
  <c r="B5" i="7"/>
  <c r="F6" i="7"/>
  <c r="J7" i="7"/>
  <c r="D10" i="7"/>
  <c r="B1" i="8"/>
  <c r="D13" i="7"/>
  <c r="H14" i="7"/>
  <c r="N15" i="7"/>
  <c r="D5" i="7"/>
  <c r="H6" i="7"/>
  <c r="N7" i="7"/>
  <c r="B9" i="7"/>
  <c r="F10" i="7"/>
  <c r="B12" i="7"/>
  <c r="F13" i="7"/>
  <c r="J14" i="7"/>
  <c r="B4" i="7"/>
  <c r="F5" i="7"/>
  <c r="J6" i="7"/>
  <c r="B8" i="7"/>
  <c r="D9" i="7"/>
  <c r="H10" i="7"/>
  <c r="B7" i="8"/>
  <c r="B10" i="8"/>
  <c r="B18" i="8"/>
  <c r="D12" i="7"/>
  <c r="H13" i="7"/>
  <c r="D4" i="7"/>
  <c r="H5" i="7"/>
  <c r="N6" i="7"/>
  <c r="D8" i="7"/>
  <c r="F9" i="7"/>
  <c r="J10" i="7"/>
  <c r="B11" i="7"/>
  <c r="F12" i="7"/>
  <c r="J13" i="7"/>
  <c r="B15" i="7"/>
  <c r="F4" i="7"/>
  <c r="J5" i="7"/>
  <c r="B7" i="7"/>
  <c r="F8" i="7"/>
  <c r="H9" i="7"/>
  <c r="D11" i="7"/>
  <c r="H4" i="7"/>
  <c r="N5" i="7"/>
  <c r="D7" i="7"/>
  <c r="H8" i="7"/>
  <c r="B9" i="8"/>
  <c r="B11" i="8"/>
  <c r="B17" i="8"/>
  <c r="B8" i="8"/>
  <c r="B19" i="8"/>
  <c r="L3" i="7"/>
  <c r="L2" i="7"/>
  <c r="L6" i="7" l="1"/>
  <c r="L11" i="7"/>
  <c r="L5" i="7"/>
  <c r="L12" i="10"/>
  <c r="L4" i="7"/>
  <c r="L14" i="10"/>
  <c r="L11" i="10"/>
  <c r="L15" i="10"/>
  <c r="L4" i="10"/>
  <c r="L7" i="10"/>
  <c r="L8" i="10"/>
  <c r="L9" i="10"/>
  <c r="L10" i="10"/>
  <c r="L5" i="10"/>
  <c r="L6" i="10"/>
  <c r="L13" i="10"/>
  <c r="L12" i="7"/>
  <c r="L13" i="7"/>
  <c r="L14" i="7"/>
  <c r="L7" i="7"/>
  <c r="L8" i="7"/>
  <c r="L9" i="7"/>
  <c r="L10"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<sst xmlns="http://schemas.openxmlformats.org/spreadsheetml/2006/main" count="20863" uniqueCount="816">
  <si>
    <t>ID</t>
  </si>
  <si>
    <t>Income</t>
  </si>
  <si>
    <t>Kids</t>
  </si>
  <si>
    <t>Teens</t>
  </si>
  <si>
    <t>Age</t>
  </si>
  <si>
    <t>Divorced</t>
  </si>
  <si>
    <t>Married</t>
  </si>
  <si>
    <t>Single</t>
  </si>
  <si>
    <t>Together</t>
  </si>
  <si>
    <t>Widow</t>
  </si>
  <si>
    <t>Basic</t>
  </si>
  <si>
    <t>Graduate</t>
  </si>
  <si>
    <t>Master</t>
  </si>
  <si>
    <t>PhD</t>
  </si>
  <si>
    <t>State</t>
  </si>
  <si>
    <t>MC3</t>
  </si>
  <si>
    <t>MC4</t>
  </si>
  <si>
    <t>MC5</t>
  </si>
  <si>
    <t>MC1</t>
  </si>
  <si>
    <t>MC2</t>
  </si>
  <si>
    <t>Complaint</t>
  </si>
  <si>
    <t>Pilot</t>
  </si>
  <si>
    <t>Enrollment</t>
  </si>
  <si>
    <t>11/30/2020</t>
  </si>
  <si>
    <t>11/29/2020</t>
  </si>
  <si>
    <t>11/28/2020</t>
  </si>
  <si>
    <t>11/27/2020</t>
  </si>
  <si>
    <t>11/26/2020</t>
  </si>
  <si>
    <t>11/25/2020</t>
  </si>
  <si>
    <t>11/24/2020</t>
  </si>
  <si>
    <t>11/23/2020</t>
  </si>
  <si>
    <t>11/22/2020</t>
  </si>
  <si>
    <t>11/21/2020</t>
  </si>
  <si>
    <t>11/20/2020</t>
  </si>
  <si>
    <t>11/19/2020</t>
  </si>
  <si>
    <t>11/18/2020</t>
  </si>
  <si>
    <t>11/17/2020</t>
  </si>
  <si>
    <t>11/16/2020</t>
  </si>
  <si>
    <t>11/15/2020</t>
  </si>
  <si>
    <t>11/14/2020</t>
  </si>
  <si>
    <t>11/13/2020</t>
  </si>
  <si>
    <t>10/30/2020</t>
  </si>
  <si>
    <t>10/29/2020</t>
  </si>
  <si>
    <t>10/28/2020</t>
  </si>
  <si>
    <t>10/27/2020</t>
  </si>
  <si>
    <t>10/26/2020</t>
  </si>
  <si>
    <t>10/23/2020</t>
  </si>
  <si>
    <t>10/22/2020</t>
  </si>
  <si>
    <t>10/21/2020</t>
  </si>
  <si>
    <t>10/20/2020</t>
  </si>
  <si>
    <t>10/19/2020</t>
  </si>
  <si>
    <t>10/17/2020</t>
  </si>
  <si>
    <t>10/16/2020</t>
  </si>
  <si>
    <t>10/15/2020</t>
  </si>
  <si>
    <t>10/14/2020</t>
  </si>
  <si>
    <t>10/13/2020</t>
  </si>
  <si>
    <t>9/30/2020</t>
  </si>
  <si>
    <t>9/29/2020</t>
  </si>
  <si>
    <t>9/28/2020</t>
  </si>
  <si>
    <t>9/27/2020</t>
  </si>
  <si>
    <t>9/26/2020</t>
  </si>
  <si>
    <t>9/25/2020</t>
  </si>
  <si>
    <t>9/24/2020</t>
  </si>
  <si>
    <t>9/23/2020</t>
  </si>
  <si>
    <t>9/22/2020</t>
  </si>
  <si>
    <t>9/21/2020</t>
  </si>
  <si>
    <t>9/20/2020</t>
  </si>
  <si>
    <t>9/19/2020</t>
  </si>
  <si>
    <t>9/18/2020</t>
  </si>
  <si>
    <t>9/17/2020</t>
  </si>
  <si>
    <t>9/16/2020</t>
  </si>
  <si>
    <t>9/15/2020</t>
  </si>
  <si>
    <t>9/14/2020</t>
  </si>
  <si>
    <t>9/13/2020</t>
  </si>
  <si>
    <t>8/31/2020</t>
  </si>
  <si>
    <t>8/30/2020</t>
  </si>
  <si>
    <t>8/29/2020</t>
  </si>
  <si>
    <t>8/28/2020</t>
  </si>
  <si>
    <t>8/27/2020</t>
  </si>
  <si>
    <t>8/26/2020</t>
  </si>
  <si>
    <t>8/25/2020</t>
  </si>
  <si>
    <t>8/24/2020</t>
  </si>
  <si>
    <t>8/23/2020</t>
  </si>
  <si>
    <t>8/22/2020</t>
  </si>
  <si>
    <t>8/21/2020</t>
  </si>
  <si>
    <t>8/20/2020</t>
  </si>
  <si>
    <t>8/17/2020</t>
  </si>
  <si>
    <t>8/16/2020</t>
  </si>
  <si>
    <t>8/15/2020</t>
  </si>
  <si>
    <t>8/14/2020</t>
  </si>
  <si>
    <t>8/13/2020</t>
  </si>
  <si>
    <t>7/31/2020</t>
  </si>
  <si>
    <t>7/30/2020</t>
  </si>
  <si>
    <t>7/29/2020</t>
  </si>
  <si>
    <t>7/26/2020</t>
  </si>
  <si>
    <t>7/25/2020</t>
  </si>
  <si>
    <t>7/24/2020</t>
  </si>
  <si>
    <t>7/23/2020</t>
  </si>
  <si>
    <t>7/22/2020</t>
  </si>
  <si>
    <t>7/21/2020</t>
  </si>
  <si>
    <t>7/20/2020</t>
  </si>
  <si>
    <t>7/19/2020</t>
  </si>
  <si>
    <t>7/18/2020</t>
  </si>
  <si>
    <t>7/17/2020</t>
  </si>
  <si>
    <t>7/16/2020</t>
  </si>
  <si>
    <t>7/15/2020</t>
  </si>
  <si>
    <t>7/14/2020</t>
  </si>
  <si>
    <t>7/13/2020</t>
  </si>
  <si>
    <t>6/30/2020</t>
  </si>
  <si>
    <t>6/29/2020</t>
  </si>
  <si>
    <t>6/28/2020</t>
  </si>
  <si>
    <t>6/27/2020</t>
  </si>
  <si>
    <t>6/25/2020</t>
  </si>
  <si>
    <t>6/24/2020</t>
  </si>
  <si>
    <t>6/23/2020</t>
  </si>
  <si>
    <t>6/21/2020</t>
  </si>
  <si>
    <t>6/20/2020</t>
  </si>
  <si>
    <t>6/19/2020</t>
  </si>
  <si>
    <t>6/18/2020</t>
  </si>
  <si>
    <t>6/17/2020</t>
  </si>
  <si>
    <t>6/16/2020</t>
  </si>
  <si>
    <t>6/15/2020</t>
  </si>
  <si>
    <t>6/13/2020</t>
  </si>
  <si>
    <t>5/31/2020</t>
  </si>
  <si>
    <t>5/30/2020</t>
  </si>
  <si>
    <t>5/29/2020</t>
  </si>
  <si>
    <t>5/28/2020</t>
  </si>
  <si>
    <t>5/27/2020</t>
  </si>
  <si>
    <t>5/26/2020</t>
  </si>
  <si>
    <t>5/25/2020</t>
  </si>
  <si>
    <t>5/24/2020</t>
  </si>
  <si>
    <t>5/23/2020</t>
  </si>
  <si>
    <t>5/22/2020</t>
  </si>
  <si>
    <t>5/21/2020</t>
  </si>
  <si>
    <t>5/20/2020</t>
  </si>
  <si>
    <t>5/19/2020</t>
  </si>
  <si>
    <t>5/18/2020</t>
  </si>
  <si>
    <t>5/17/2020</t>
  </si>
  <si>
    <t>5/16/2020</t>
  </si>
  <si>
    <t>5/15/2020</t>
  </si>
  <si>
    <t>5/14/2020</t>
  </si>
  <si>
    <t>5/13/2020</t>
  </si>
  <si>
    <t>4/29/2020</t>
  </si>
  <si>
    <t>4/28/2020</t>
  </si>
  <si>
    <t>4/27/2020</t>
  </si>
  <si>
    <t>4/26/2020</t>
  </si>
  <si>
    <t>4/25/2020</t>
  </si>
  <si>
    <t>4/24/2020</t>
  </si>
  <si>
    <t>4/23/2020</t>
  </si>
  <si>
    <t>4/21/2020</t>
  </si>
  <si>
    <t>4/20/2020</t>
  </si>
  <si>
    <t>4/19/2020</t>
  </si>
  <si>
    <t>4/18/2020</t>
  </si>
  <si>
    <t>4/16/2020</t>
  </si>
  <si>
    <t>4/15/2020</t>
  </si>
  <si>
    <t>4/14/2020</t>
  </si>
  <si>
    <t>4/13/2020</t>
  </si>
  <si>
    <t>3/31/2020</t>
  </si>
  <si>
    <t>3/30/2020</t>
  </si>
  <si>
    <t>3/29/2020</t>
  </si>
  <si>
    <t>3/28/2020</t>
  </si>
  <si>
    <t>3/27/2020</t>
  </si>
  <si>
    <t>3/26/2020</t>
  </si>
  <si>
    <t>3/25/2020</t>
  </si>
  <si>
    <t>3/24/2020</t>
  </si>
  <si>
    <t>3/23/2020</t>
  </si>
  <si>
    <t>3/22/2020</t>
  </si>
  <si>
    <t>3/21/2020</t>
  </si>
  <si>
    <t>3/20/2020</t>
  </si>
  <si>
    <t>3/19/2020</t>
  </si>
  <si>
    <t>3/18/2020</t>
  </si>
  <si>
    <t>3/17/2020</t>
  </si>
  <si>
    <t>3/16/2020</t>
  </si>
  <si>
    <t>3/15/2020</t>
  </si>
  <si>
    <t>3/14/2020</t>
  </si>
  <si>
    <t>2/29/2020</t>
  </si>
  <si>
    <t>2/28/2020</t>
  </si>
  <si>
    <t>2/27/2020</t>
  </si>
  <si>
    <t>2/26/2020</t>
  </si>
  <si>
    <t>2/25/2020</t>
  </si>
  <si>
    <t>2/24/2020</t>
  </si>
  <si>
    <t>2/23/2020</t>
  </si>
  <si>
    <t>2/22/2020</t>
  </si>
  <si>
    <t>2/21/2020</t>
  </si>
  <si>
    <t>2/20/2020</t>
  </si>
  <si>
    <t>2/19/2020</t>
  </si>
  <si>
    <t>2/18/2020</t>
  </si>
  <si>
    <t>2/17/2020</t>
  </si>
  <si>
    <t>2/16/2020</t>
  </si>
  <si>
    <t>2/15/2020</t>
  </si>
  <si>
    <t>2/14/2020</t>
  </si>
  <si>
    <t>1/31/2020</t>
  </si>
  <si>
    <t>1/30/2020</t>
  </si>
  <si>
    <t>1/29/2020</t>
  </si>
  <si>
    <t>1/28/2020</t>
  </si>
  <si>
    <t>1/27/2020</t>
  </si>
  <si>
    <t>1/26/2020</t>
  </si>
  <si>
    <t>1/25/2020</t>
  </si>
  <si>
    <t>1/24/2020</t>
  </si>
  <si>
    <t>1/23/2020</t>
  </si>
  <si>
    <t>1/22/2020</t>
  </si>
  <si>
    <t>1/21/2020</t>
  </si>
  <si>
    <t>1/20/2020</t>
  </si>
  <si>
    <t>1/19/2020</t>
  </si>
  <si>
    <t>1/18/2020</t>
  </si>
  <si>
    <t>1/17/2020</t>
  </si>
  <si>
    <t>1/16/2020</t>
  </si>
  <si>
    <t>1/15/2020</t>
  </si>
  <si>
    <t>1/14/2020</t>
  </si>
  <si>
    <t>1/13/2020</t>
  </si>
  <si>
    <t>12/31/2019</t>
  </si>
  <si>
    <t>12/30/2019</t>
  </si>
  <si>
    <t>12/29/2019</t>
  </si>
  <si>
    <t>12/28/2019</t>
  </si>
  <si>
    <t>12/27/2019</t>
  </si>
  <si>
    <t>12/26/2019</t>
  </si>
  <si>
    <t>12/25/2019</t>
  </si>
  <si>
    <t>12/24/2019</t>
  </si>
  <si>
    <t>12/23/2019</t>
  </si>
  <si>
    <t>12/22/2019</t>
  </si>
  <si>
    <t>12/21/2019</t>
  </si>
  <si>
    <t>12/20/2019</t>
  </si>
  <si>
    <t>12/19/2019</t>
  </si>
  <si>
    <t>12/18/2019</t>
  </si>
  <si>
    <t>12/17/2019</t>
  </si>
  <si>
    <t>12/16/2019</t>
  </si>
  <si>
    <t>12/14/2019</t>
  </si>
  <si>
    <t>12/13/2019</t>
  </si>
  <si>
    <t>11/30/2019</t>
  </si>
  <si>
    <t>11/29/2019</t>
  </si>
  <si>
    <t>11/28/2019</t>
  </si>
  <si>
    <t>11/27/2019</t>
  </si>
  <si>
    <t>11/26/2019</t>
  </si>
  <si>
    <t>11/25/2019</t>
  </si>
  <si>
    <t>11/24/2019</t>
  </si>
  <si>
    <t>11/23/2019</t>
  </si>
  <si>
    <t>11/22/2019</t>
  </si>
  <si>
    <t>11/21/2019</t>
  </si>
  <si>
    <t>11/19/2019</t>
  </si>
  <si>
    <t>11/18/2019</t>
  </si>
  <si>
    <t>11/17/2019</t>
  </si>
  <si>
    <t>11/16/2019</t>
  </si>
  <si>
    <t>11/15/2019</t>
  </si>
  <si>
    <t>11/14/2019</t>
  </si>
  <si>
    <t>11/13/2019</t>
  </si>
  <si>
    <t>10/31/2019</t>
  </si>
  <si>
    <t>10/30/2019</t>
  </si>
  <si>
    <t>10/29/2019</t>
  </si>
  <si>
    <t>10/28/2019</t>
  </si>
  <si>
    <t>10/27/2019</t>
  </si>
  <si>
    <t>10/26/2019</t>
  </si>
  <si>
    <t>10/25/2019</t>
  </si>
  <si>
    <t>10/24/2019</t>
  </si>
  <si>
    <t>10/23/2019</t>
  </si>
  <si>
    <t>10/22/2019</t>
  </si>
  <si>
    <t>10/21/2019</t>
  </si>
  <si>
    <t>10/20/2019</t>
  </si>
  <si>
    <t>10/19/2019</t>
  </si>
  <si>
    <t>10/18/2019</t>
  </si>
  <si>
    <t>10/17/2019</t>
  </si>
  <si>
    <t>10/16/2019</t>
  </si>
  <si>
    <t>10/15/2019</t>
  </si>
  <si>
    <t>10/14/2019</t>
  </si>
  <si>
    <t>10/13/2019</t>
  </si>
  <si>
    <t>9/30/2019</t>
  </si>
  <si>
    <t>9/29/2019</t>
  </si>
  <si>
    <t>9/28/2019</t>
  </si>
  <si>
    <t>9/27/2019</t>
  </si>
  <si>
    <t>9/26/2019</t>
  </si>
  <si>
    <t>9/25/2019</t>
  </si>
  <si>
    <t>9/24/2019</t>
  </si>
  <si>
    <t>9/23/2019</t>
  </si>
  <si>
    <t>9/22/2019</t>
  </si>
  <si>
    <t>9/21/2019</t>
  </si>
  <si>
    <t>9/20/2019</t>
  </si>
  <si>
    <t>9/19/2019</t>
  </si>
  <si>
    <t>9/18/2019</t>
  </si>
  <si>
    <t>9/17/2019</t>
  </si>
  <si>
    <t>9/16/2019</t>
  </si>
  <si>
    <t>9/15/2019</t>
  </si>
  <si>
    <t>9/14/2019</t>
  </si>
  <si>
    <t>9/13/2019</t>
  </si>
  <si>
    <t>8/31/2019</t>
  </si>
  <si>
    <t>8/30/2019</t>
  </si>
  <si>
    <t>8/29/2019</t>
  </si>
  <si>
    <t>8/28/2019</t>
  </si>
  <si>
    <t>8/27/2019</t>
  </si>
  <si>
    <t>8/26/2019</t>
  </si>
  <si>
    <t>8/25/2019</t>
  </si>
  <si>
    <t>8/24/2019</t>
  </si>
  <si>
    <t>8/23/2019</t>
  </si>
  <si>
    <t>8/22/2019</t>
  </si>
  <si>
    <t>8/21/2019</t>
  </si>
  <si>
    <t>8/20/2019</t>
  </si>
  <si>
    <t>8/19/2019</t>
  </si>
  <si>
    <t>8/17/2019</t>
  </si>
  <si>
    <t>8/16/2019</t>
  </si>
  <si>
    <t>8/15/2019</t>
  </si>
  <si>
    <t>8/14/2019</t>
  </si>
  <si>
    <t>8/13/2019</t>
  </si>
  <si>
    <t>7/31/2019</t>
  </si>
  <si>
    <t>7/30/2019</t>
  </si>
  <si>
    <t>7/29/2019</t>
  </si>
  <si>
    <t>7/28/2019</t>
  </si>
  <si>
    <t>7/27/2019</t>
  </si>
  <si>
    <t>7/26/2019</t>
  </si>
  <si>
    <t>7/25/2019</t>
  </si>
  <si>
    <t>7/24/2019</t>
  </si>
  <si>
    <t>7/23/2019</t>
  </si>
  <si>
    <t>7/22/2019</t>
  </si>
  <si>
    <t>7/21/2019</t>
  </si>
  <si>
    <t>7/20/2019</t>
  </si>
  <si>
    <t>7/19/2019</t>
  </si>
  <si>
    <t>7/18/2019</t>
  </si>
  <si>
    <t>7/17/2019</t>
  </si>
  <si>
    <t>7/16/2019</t>
  </si>
  <si>
    <t>7/15/2019</t>
  </si>
  <si>
    <t>7/14/2019</t>
  </si>
  <si>
    <t>6/30/2019</t>
  </si>
  <si>
    <t>6/29/2019</t>
  </si>
  <si>
    <t>6/28/2019</t>
  </si>
  <si>
    <t>6/27/2019</t>
  </si>
  <si>
    <t>6/26/2019</t>
  </si>
  <si>
    <t>6/24/2019</t>
  </si>
  <si>
    <t>6/23/2019</t>
  </si>
  <si>
    <t>6/22/2019</t>
  </si>
  <si>
    <t>6/21/2019</t>
  </si>
  <si>
    <t>6/20/2019</t>
  </si>
  <si>
    <t>6/19/2019</t>
  </si>
  <si>
    <t>6/18/2019</t>
  </si>
  <si>
    <t>6/17/2019</t>
  </si>
  <si>
    <t>6/16/2019</t>
  </si>
  <si>
    <t>6/15/2019</t>
  </si>
  <si>
    <t>6/14/2019</t>
  </si>
  <si>
    <t>6/13/2019</t>
  </si>
  <si>
    <t>5/31/2019</t>
  </si>
  <si>
    <t>5/30/2019</t>
  </si>
  <si>
    <t>5/29/2019</t>
  </si>
  <si>
    <t>5/28/2019</t>
  </si>
  <si>
    <t>5/27/2019</t>
  </si>
  <si>
    <t>5/26/2019</t>
  </si>
  <si>
    <t>5/25/2019</t>
  </si>
  <si>
    <t>5/24/2019</t>
  </si>
  <si>
    <t>5/23/2019</t>
  </si>
  <si>
    <t>5/22/2019</t>
  </si>
  <si>
    <t>5/21/2019</t>
  </si>
  <si>
    <t>5/19/2019</t>
  </si>
  <si>
    <t>5/18/2019</t>
  </si>
  <si>
    <t>5/17/2019</t>
  </si>
  <si>
    <t>5/16/2019</t>
  </si>
  <si>
    <t>5/15/2019</t>
  </si>
  <si>
    <t>5/14/2019</t>
  </si>
  <si>
    <t>5/13/2019</t>
  </si>
  <si>
    <t>4/30/2019</t>
  </si>
  <si>
    <t>4/29/2019</t>
  </si>
  <si>
    <t>4/28/2019</t>
  </si>
  <si>
    <t>4/27/2019</t>
  </si>
  <si>
    <t>4/26/2019</t>
  </si>
  <si>
    <t>4/25/2019</t>
  </si>
  <si>
    <t>4/24/2019</t>
  </si>
  <si>
    <t>4/23/2019</t>
  </si>
  <si>
    <t>4/21/2019</t>
  </si>
  <si>
    <t>4/20/2019</t>
  </si>
  <si>
    <t>4/19/2019</t>
  </si>
  <si>
    <t>4/18/2019</t>
  </si>
  <si>
    <t>4/17/2019</t>
  </si>
  <si>
    <t>4/16/2019</t>
  </si>
  <si>
    <t>4/15/2019</t>
  </si>
  <si>
    <t>4/14/2019</t>
  </si>
  <si>
    <t>4/13/2019</t>
  </si>
  <si>
    <t>3/31/2019</t>
  </si>
  <si>
    <t>3/30/2019</t>
  </si>
  <si>
    <t>3/29/2019</t>
  </si>
  <si>
    <t>3/28/2019</t>
  </si>
  <si>
    <t>3/27/2019</t>
  </si>
  <si>
    <t>3/26/2019</t>
  </si>
  <si>
    <t>3/25/2019</t>
  </si>
  <si>
    <t>3/24/2019</t>
  </si>
  <si>
    <t>3/23/2019</t>
  </si>
  <si>
    <t>3/22/2019</t>
  </si>
  <si>
    <t>3/21/2019</t>
  </si>
  <si>
    <t>3/20/2019</t>
  </si>
  <si>
    <t>3/19/2019</t>
  </si>
  <si>
    <t>3/18/2019</t>
  </si>
  <si>
    <t>3/17/2019</t>
  </si>
  <si>
    <t>3/16/2019</t>
  </si>
  <si>
    <t>3/14/2019</t>
  </si>
  <si>
    <t>3/13/2019</t>
  </si>
  <si>
    <t>2/28/2019</t>
  </si>
  <si>
    <t>2/27/2019</t>
  </si>
  <si>
    <t>2/26/2019</t>
  </si>
  <si>
    <t>2/25/2019</t>
  </si>
  <si>
    <t>2/24/2019</t>
  </si>
  <si>
    <t>2/23/2019</t>
  </si>
  <si>
    <t>2/22/2019</t>
  </si>
  <si>
    <t>2/20/2019</t>
  </si>
  <si>
    <t>2/19/2019</t>
  </si>
  <si>
    <t>2/17/2019</t>
  </si>
  <si>
    <t>2/16/2019</t>
  </si>
  <si>
    <t>2/15/2019</t>
  </si>
  <si>
    <t>2/14/2019</t>
  </si>
  <si>
    <t>2/13/2019</t>
  </si>
  <si>
    <t>1/31/2019</t>
  </si>
  <si>
    <t>1/30/2019</t>
  </si>
  <si>
    <t>1/29/2019</t>
  </si>
  <si>
    <t>1/28/2019</t>
  </si>
  <si>
    <t>1/27/2019</t>
  </si>
  <si>
    <t>1/26/2019</t>
  </si>
  <si>
    <t>1/25/2019</t>
  </si>
  <si>
    <t>1/24/2019</t>
  </si>
  <si>
    <t>1/23/2019</t>
  </si>
  <si>
    <t>1/22/2019</t>
  </si>
  <si>
    <t>1/21/2019</t>
  </si>
  <si>
    <t>1/20/2019</t>
  </si>
  <si>
    <t>1/19/2019</t>
  </si>
  <si>
    <t>1/18/2019</t>
  </si>
  <si>
    <t>1/17/2019</t>
  </si>
  <si>
    <t>1/16/2019</t>
  </si>
  <si>
    <t>1/15/2019</t>
  </si>
  <si>
    <t>1/14/2019</t>
  </si>
  <si>
    <t>1/13/2019</t>
  </si>
  <si>
    <t>Recency</t>
  </si>
  <si>
    <t>Teas</t>
  </si>
  <si>
    <t>Fruits</t>
  </si>
  <si>
    <t>Meats</t>
  </si>
  <si>
    <t>Seafood</t>
  </si>
  <si>
    <t>Sweets</t>
  </si>
  <si>
    <t>Premium</t>
  </si>
  <si>
    <t>Regular</t>
  </si>
  <si>
    <t>Deals</t>
  </si>
  <si>
    <t>Website</t>
  </si>
  <si>
    <t>Catalog</t>
  </si>
  <si>
    <t>Store</t>
  </si>
  <si>
    <t>Visits</t>
  </si>
  <si>
    <t>California</t>
  </si>
  <si>
    <t>Texas</t>
  </si>
  <si>
    <t>Florida</t>
  </si>
  <si>
    <t>Illinois</t>
  </si>
  <si>
    <t>New York</t>
  </si>
  <si>
    <t>Other</t>
  </si>
  <si>
    <t>Martial Status</t>
  </si>
  <si>
    <t>Education</t>
  </si>
  <si>
    <t>NA</t>
  </si>
  <si>
    <t>Requirement 1: When you clean your data, sometimes you may want to combine similar information found in separate columns into one column. Do you have similar categories of data that could be combined in order to conduct your analysis? You should combine some of your columns that contain similar information into a new column.</t>
  </si>
  <si>
    <t>Requirement 2: Statistics provide useful summary information of data. You should perform basic summary statistics on the most “important” columns (give this thought as to what you consider important information given the business case).
Note that summary statistics paint an overall picture of your data. Examples include the minimum, maximum, range, mean, mode, and median, which are helpful in understanding the underlying data.
Please calculate the following statistics:
1.What are the extreme values (min, max)?
2.Which values occur the most (mode)?
3.How often do values occur (frequency)?
4.What is the range of values?
5.Within the range of values, is the data concentrated more toward the lower end of the range or the higher, or is it evenly distributed? Notice how the data changes.</t>
  </si>
  <si>
    <t>Income Mean</t>
  </si>
  <si>
    <t>Income Min</t>
  </si>
  <si>
    <t>Income Max</t>
  </si>
  <si>
    <t>Income Mode</t>
  </si>
  <si>
    <t>Income Range</t>
  </si>
  <si>
    <t>Distribution</t>
  </si>
  <si>
    <t>Age Mean</t>
  </si>
  <si>
    <t>Age Min</t>
  </si>
  <si>
    <t>Age Max</t>
  </si>
  <si>
    <t>Age Mode</t>
  </si>
  <si>
    <t>Age Range</t>
  </si>
  <si>
    <t>Most Frequent Status</t>
  </si>
  <si>
    <t>Most Frequent Education</t>
  </si>
  <si>
    <t>Most Frequent Channel</t>
  </si>
  <si>
    <t>MC3 &amp; MC4</t>
  </si>
  <si>
    <t>Requirement 3: Are there simple Excel charts that can assist you in visually analyzing the data from the previous questions? Please provide examples of these charts for some of the “important” variables</t>
  </si>
  <si>
    <t>Income Median</t>
  </si>
  <si>
    <t>Age Median</t>
  </si>
  <si>
    <t>Deals Mean</t>
  </si>
  <si>
    <t>Deals Min</t>
  </si>
  <si>
    <t>Deals Max</t>
  </si>
  <si>
    <t>Deals Mode</t>
  </si>
  <si>
    <t>Deals Median</t>
  </si>
  <si>
    <t>Deals Range</t>
  </si>
  <si>
    <t>Website Mean</t>
  </si>
  <si>
    <t>Website Min</t>
  </si>
  <si>
    <t>Website Max</t>
  </si>
  <si>
    <t>Website Mode</t>
  </si>
  <si>
    <t>Website Median</t>
  </si>
  <si>
    <t>Website Range</t>
  </si>
  <si>
    <t>Catalog Mean</t>
  </si>
  <si>
    <t>Catalog Min</t>
  </si>
  <si>
    <t>Catalog Max</t>
  </si>
  <si>
    <t>Catalog Mode</t>
  </si>
  <si>
    <t>Catalog Median</t>
  </si>
  <si>
    <t>Catalog Range</t>
  </si>
  <si>
    <t>Store Mean</t>
  </si>
  <si>
    <t>Store Min</t>
  </si>
  <si>
    <t>Store Max</t>
  </si>
  <si>
    <t>Store Mode</t>
  </si>
  <si>
    <t>Store Median</t>
  </si>
  <si>
    <t>Store Range</t>
  </si>
  <si>
    <t>Visits Mean</t>
  </si>
  <si>
    <t>Visits Min</t>
  </si>
  <si>
    <t>Visits Max</t>
  </si>
  <si>
    <t>Visits Mode</t>
  </si>
  <si>
    <t>Visits Median</t>
  </si>
  <si>
    <t>Visits Range</t>
  </si>
  <si>
    <t>Teas Mean</t>
  </si>
  <si>
    <t>Teas Min</t>
  </si>
  <si>
    <t>Teas Max</t>
  </si>
  <si>
    <t>Teas Mode</t>
  </si>
  <si>
    <t>Teas Median</t>
  </si>
  <si>
    <t>Teas Range</t>
  </si>
  <si>
    <t>Fruits Mean</t>
  </si>
  <si>
    <t>Fruits Min</t>
  </si>
  <si>
    <t>Fruits Max</t>
  </si>
  <si>
    <t>Fruits Mode</t>
  </si>
  <si>
    <t>Fruits Median</t>
  </si>
  <si>
    <t>Fruits Range</t>
  </si>
  <si>
    <t>Meats Mean</t>
  </si>
  <si>
    <t>Meats Min</t>
  </si>
  <si>
    <t>Meats Max</t>
  </si>
  <si>
    <t>Meats Mode</t>
  </si>
  <si>
    <t>Meats Median</t>
  </si>
  <si>
    <t>Meats Range</t>
  </si>
  <si>
    <t>Seafood Mean</t>
  </si>
  <si>
    <t>Seafood Min</t>
  </si>
  <si>
    <t>Seafood Max</t>
  </si>
  <si>
    <t>Seafood Mode</t>
  </si>
  <si>
    <t>Seafood Median</t>
  </si>
  <si>
    <t>Seafood Range</t>
  </si>
  <si>
    <t>Sweets Mean</t>
  </si>
  <si>
    <t>Sweets Min</t>
  </si>
  <si>
    <t>Sweets Max</t>
  </si>
  <si>
    <t>Sweets Mode</t>
  </si>
  <si>
    <t>Sweets Median</t>
  </si>
  <si>
    <t>Sweets Range</t>
  </si>
  <si>
    <t>Most Marketing Campaign</t>
  </si>
  <si>
    <t>Premium Mean</t>
  </si>
  <si>
    <t>Premium Min</t>
  </si>
  <si>
    <t>Premium Max</t>
  </si>
  <si>
    <t>Premium Mode</t>
  </si>
  <si>
    <t>Premium Median</t>
  </si>
  <si>
    <t>Premium Range</t>
  </si>
  <si>
    <t>Regular Mean</t>
  </si>
  <si>
    <t>Regular Min</t>
  </si>
  <si>
    <t>Regular Max</t>
  </si>
  <si>
    <t>Regular Mode</t>
  </si>
  <si>
    <t>Regular Median</t>
  </si>
  <si>
    <t>Regular Range</t>
  </si>
  <si>
    <t>Part of data curation involves cleaning your data and removing values that are incorrect or are significantly different from the rest of the data as they don’t contribute valuable information and may hinder your analysis. While you may consider removing irrelevant rows, be cautious, as seemingly unimportant values may hold valuable information that needs to be considered in your analysis. You should identify which values of each of the columns, if any, do not make sense and then determine if you should remove the row.
Getting Started: look for blanks and missing values, values that are outside of the typical range (e.g., negative or extreme values) or do not make sense given what the data represents (e.g., decimals).</t>
  </si>
  <si>
    <t>11/1/2020</t>
  </si>
  <si>
    <t>9/10/2019</t>
  </si>
  <si>
    <t>4/9/2019</t>
  </si>
  <si>
    <t>1/11/2020</t>
  </si>
  <si>
    <t>5/10/2019</t>
  </si>
  <si>
    <t>2/6/2019</t>
  </si>
  <si>
    <t>9/7/2020</t>
  </si>
  <si>
    <t>8/9/2019</t>
  </si>
  <si>
    <t>10/12/2019</t>
  </si>
  <si>
    <t>10/6/2019</t>
  </si>
  <si>
    <t>9/1/2019</t>
  </si>
  <si>
    <t>9/4/2020</t>
  </si>
  <si>
    <t>1/3/2020</t>
  </si>
  <si>
    <t>10/2/2020</t>
  </si>
  <si>
    <t>6/9/2020</t>
  </si>
  <si>
    <t>10/3/2020</t>
  </si>
  <si>
    <t>3/3/2019</t>
  </si>
  <si>
    <t>8/2/2019</t>
  </si>
  <si>
    <t>10/6/2020</t>
  </si>
  <si>
    <t>12/8/2019</t>
  </si>
  <si>
    <t>7/12/2020</t>
  </si>
  <si>
    <t>1/1/2020</t>
  </si>
  <si>
    <t>10/12/2020</t>
  </si>
  <si>
    <t>11/8/2019</t>
  </si>
  <si>
    <t>2/10/2020</t>
  </si>
  <si>
    <t>8/4/2019</t>
  </si>
  <si>
    <t>9/9/2020</t>
  </si>
  <si>
    <t>6/9/2019</t>
  </si>
  <si>
    <t>11/2/2020</t>
  </si>
  <si>
    <t>10/10/2019</t>
  </si>
  <si>
    <t>10/8/2019</t>
  </si>
  <si>
    <t>3/10/2020</t>
  </si>
  <si>
    <t>11/9/2019</t>
  </si>
  <si>
    <t>6/11/2019</t>
  </si>
  <si>
    <t>7/9/2020</t>
  </si>
  <si>
    <t>1/12/2020</t>
  </si>
  <si>
    <t>7/10/2020</t>
  </si>
  <si>
    <t>10/5/2020</t>
  </si>
  <si>
    <t>6/6/2020</t>
  </si>
  <si>
    <t>3/2/2019</t>
  </si>
  <si>
    <t>8/8/2019</t>
  </si>
  <si>
    <t>5/1/2019</t>
  </si>
  <si>
    <t>4/11/2020</t>
  </si>
  <si>
    <t>3/3/2020</t>
  </si>
  <si>
    <t>11/11/2020</t>
  </si>
  <si>
    <t>1/6/2019</t>
  </si>
  <si>
    <t>9/6/2020</t>
  </si>
  <si>
    <t>4/7/2019</t>
  </si>
  <si>
    <t>5/8/2020</t>
  </si>
  <si>
    <t>9/4/2019</t>
  </si>
  <si>
    <t>7/1/2020</t>
  </si>
  <si>
    <t>5/1/2020</t>
  </si>
  <si>
    <t>12/7/2019</t>
  </si>
  <si>
    <t>11/2/2019</t>
  </si>
  <si>
    <t>6/12/2019</t>
  </si>
  <si>
    <t>3/6/2019</t>
  </si>
  <si>
    <t>4/2/2019</t>
  </si>
  <si>
    <t>4/12/2020</t>
  </si>
  <si>
    <t>8/6/2019</t>
  </si>
  <si>
    <t>8/1/2020</t>
  </si>
  <si>
    <t>4/6/2019</t>
  </si>
  <si>
    <t>6/4/2020</t>
  </si>
  <si>
    <t>10/11/2020</t>
  </si>
  <si>
    <t>6/2/2020</t>
  </si>
  <si>
    <t>8/5/2019</t>
  </si>
  <si>
    <t>9/2/2019</t>
  </si>
  <si>
    <t>8/5/2020</t>
  </si>
  <si>
    <t>3/6/2020</t>
  </si>
  <si>
    <t>10/4/2019</t>
  </si>
  <si>
    <t>12/2/2020</t>
  </si>
  <si>
    <t>11/6/2020</t>
  </si>
  <si>
    <t>9/12/2020</t>
  </si>
  <si>
    <t>10/1/2020</t>
  </si>
  <si>
    <t>2/3/2019</t>
  </si>
  <si>
    <t>3/1/2019</t>
  </si>
  <si>
    <t>3/5/2019</t>
  </si>
  <si>
    <t>5/7/2020</t>
  </si>
  <si>
    <t>12/4/2019</t>
  </si>
  <si>
    <t>12/1/2020</t>
  </si>
  <si>
    <t>4/3/2020</t>
  </si>
  <si>
    <t>10/4/2020</t>
  </si>
  <si>
    <t>5/3/2020</t>
  </si>
  <si>
    <t>4/5/2019</t>
  </si>
  <si>
    <t>3/7/2020</t>
  </si>
  <si>
    <t>2/2/2020</t>
  </si>
  <si>
    <t>8/9/2020</t>
  </si>
  <si>
    <t>5/2/2020</t>
  </si>
  <si>
    <t>4/8/2020</t>
  </si>
  <si>
    <t>7/3/2019</t>
  </si>
  <si>
    <t>8/4/2020</t>
  </si>
  <si>
    <t>11/3/2019</t>
  </si>
  <si>
    <t>4/2/2020</t>
  </si>
  <si>
    <t>10/7/2020</t>
  </si>
  <si>
    <t>8/12/2020</t>
  </si>
  <si>
    <t>5/6/2019</t>
  </si>
  <si>
    <t>12/9/2019</t>
  </si>
  <si>
    <t>1/7/2019</t>
  </si>
  <si>
    <t>7/10/2019</t>
  </si>
  <si>
    <t>10/11/2019</t>
  </si>
  <si>
    <t>3/11/2019</t>
  </si>
  <si>
    <t>7/6/2019</t>
  </si>
  <si>
    <t>3/4/2019</t>
  </si>
  <si>
    <t>2/1/2019</t>
  </si>
  <si>
    <t>2/9/2019</t>
  </si>
  <si>
    <t>10/3/2019</t>
  </si>
  <si>
    <t>10/8/2020</t>
  </si>
  <si>
    <t>7/2/2020</t>
  </si>
  <si>
    <t>6/5/2020</t>
  </si>
  <si>
    <t>8/7/2019</t>
  </si>
  <si>
    <t>5/4/2020</t>
  </si>
  <si>
    <t>5/2/2019</t>
  </si>
  <si>
    <t>5/11/2020</t>
  </si>
  <si>
    <t>11/4/2020</t>
  </si>
  <si>
    <t>6/1/2020</t>
  </si>
  <si>
    <t>2/5/2020</t>
  </si>
  <si>
    <t>4/4/2020</t>
  </si>
  <si>
    <t>9/11/2019</t>
  </si>
  <si>
    <t>5/4/2019</t>
  </si>
  <si>
    <t>4/3/2019</t>
  </si>
  <si>
    <t>4/8/2019</t>
  </si>
  <si>
    <t>9/3/2019</t>
  </si>
  <si>
    <t>10/9/2019</t>
  </si>
  <si>
    <t>9/11/2020</t>
  </si>
  <si>
    <t>4/5/2020</t>
  </si>
  <si>
    <t>5/12/2020</t>
  </si>
  <si>
    <t>11/6/2019</t>
  </si>
  <si>
    <t>3/12/2019</t>
  </si>
  <si>
    <t>3/12/2020</t>
  </si>
  <si>
    <t>11/7/2020</t>
  </si>
  <si>
    <t>3/7/2019</t>
  </si>
  <si>
    <t>4/12/2019</t>
  </si>
  <si>
    <t>6/8/2020</t>
  </si>
  <si>
    <t>9/7/2019</t>
  </si>
  <si>
    <t>3/4/2020</t>
  </si>
  <si>
    <t>9/5/2019</t>
  </si>
  <si>
    <t>2/1/2020</t>
  </si>
  <si>
    <t>3/8/2020</t>
  </si>
  <si>
    <t>12/12/2019</t>
  </si>
  <si>
    <t>12/3/2020</t>
  </si>
  <si>
    <t>7/3/2020</t>
  </si>
  <si>
    <t>2/4/2019</t>
  </si>
  <si>
    <t>4/11/2019</t>
  </si>
  <si>
    <t>1/12/2019</t>
  </si>
  <si>
    <t>3/8/2019</t>
  </si>
  <si>
    <t>2/5/2019</t>
  </si>
  <si>
    <t>2/10/2019</t>
  </si>
  <si>
    <t>8/8/2020</t>
  </si>
  <si>
    <t>2/12/2019</t>
  </si>
  <si>
    <t>8/7/2020</t>
  </si>
  <si>
    <t>5/12/2019</t>
  </si>
  <si>
    <t>5/10/2020</t>
  </si>
  <si>
    <t>8/12/2019</t>
  </si>
  <si>
    <t>9/8/2019</t>
  </si>
  <si>
    <t>8/3/2019</t>
  </si>
  <si>
    <t>8/6/2020</t>
  </si>
  <si>
    <t>11/3/2020</t>
  </si>
  <si>
    <t>8/11/2020</t>
  </si>
  <si>
    <t>12/3/2019</t>
  </si>
  <si>
    <t>7/7/2020</t>
  </si>
  <si>
    <t>9/2/2020</t>
  </si>
  <si>
    <t>7/6/2020</t>
  </si>
  <si>
    <t>1/6/2020</t>
  </si>
  <si>
    <t>2/8/2019</t>
  </si>
  <si>
    <t>1/8/2019</t>
  </si>
  <si>
    <t>12/6/2019</t>
  </si>
  <si>
    <t>5/9/2019</t>
  </si>
  <si>
    <t>2/7/2019</t>
  </si>
  <si>
    <t>1/4/2020</t>
  </si>
  <si>
    <t>5/3/2019</t>
  </si>
  <si>
    <t>7/5/2020</t>
  </si>
  <si>
    <t>12/11/2019</t>
  </si>
  <si>
    <t>11/10/2020</t>
  </si>
  <si>
    <t>6/6/2019</t>
  </si>
  <si>
    <t>3/9/2020</t>
  </si>
  <si>
    <t>6/12/2020</t>
  </si>
  <si>
    <t>12/10/2019</t>
  </si>
  <si>
    <t>7/8/2019</t>
  </si>
  <si>
    <t>7/11/2020</t>
  </si>
  <si>
    <t>1/7/2020</t>
  </si>
  <si>
    <t>6/10/2020</t>
  </si>
  <si>
    <t>2/2/2019</t>
  </si>
  <si>
    <t>6/7/2020</t>
  </si>
  <si>
    <t>2/11/2020</t>
  </si>
  <si>
    <t>9/6/2019</t>
  </si>
  <si>
    <t>12/1/2019</t>
  </si>
  <si>
    <t>5/7/2019</t>
  </si>
  <si>
    <t>5/8/2019</t>
  </si>
  <si>
    <t>10/7/2019</t>
  </si>
  <si>
    <t>9/10/2020</t>
  </si>
  <si>
    <t>11/7/2019</t>
  </si>
  <si>
    <t>7/2/2019</t>
  </si>
  <si>
    <t>1/9/2019</t>
  </si>
  <si>
    <t>6/1/2019</t>
  </si>
  <si>
    <t>5/5/2019</t>
  </si>
  <si>
    <t>3/11/2020</t>
  </si>
  <si>
    <t>1/4/2019</t>
  </si>
  <si>
    <t>1/10/2020</t>
  </si>
  <si>
    <t>11/12/2020</t>
  </si>
  <si>
    <t>10/2/2019</t>
  </si>
  <si>
    <t>7/12/2019</t>
  </si>
  <si>
    <t>12/2/2019</t>
  </si>
  <si>
    <t>8/10/2020</t>
  </si>
  <si>
    <t>11/1/2019</t>
  </si>
  <si>
    <t>4/1/2020</t>
  </si>
  <si>
    <t>11/4/2019</t>
  </si>
  <si>
    <t>4/10/2019</t>
  </si>
  <si>
    <t>1/5/2019</t>
  </si>
  <si>
    <t>9/8/2020</t>
  </si>
  <si>
    <t>2/12/2020</t>
  </si>
  <si>
    <t>6/4/2019</t>
  </si>
  <si>
    <t>4/1/2019</t>
  </si>
  <si>
    <t>9/5/2020</t>
  </si>
  <si>
    <t>7/4/2020</t>
  </si>
  <si>
    <t>4/10/2020</t>
  </si>
  <si>
    <t>8/10/2019</t>
  </si>
  <si>
    <t>2/3/2020</t>
  </si>
  <si>
    <t>4/9/2020</t>
  </si>
  <si>
    <t>7/9/2019</t>
  </si>
  <si>
    <t>6/11/2020</t>
  </si>
  <si>
    <t>4/4/2019</t>
  </si>
  <si>
    <t>5/9/2020</t>
  </si>
  <si>
    <t>2/6/2020</t>
  </si>
  <si>
    <t>11/11/2019</t>
  </si>
  <si>
    <t>10/9/2020</t>
  </si>
  <si>
    <t>5/5/2020</t>
  </si>
  <si>
    <t>8/3/2020</t>
  </si>
  <si>
    <t>3/1/2020</t>
  </si>
  <si>
    <t>2/4/2020</t>
  </si>
  <si>
    <t>7/11/2019</t>
  </si>
  <si>
    <t>1/11/2019</t>
  </si>
  <si>
    <t>5/6/2020</t>
  </si>
  <si>
    <t>4/7/2020</t>
  </si>
  <si>
    <t>12/5/2019</t>
  </si>
  <si>
    <t>8/11/2019</t>
  </si>
  <si>
    <t>6/8/2019</t>
  </si>
  <si>
    <t>9/12/2019</t>
  </si>
  <si>
    <t>7/1/2019</t>
  </si>
  <si>
    <t>1/9/2020</t>
  </si>
  <si>
    <t>9/3/2020</t>
  </si>
  <si>
    <t>11/5/2019</t>
  </si>
  <si>
    <t>10/10/2020</t>
  </si>
  <si>
    <t>8/2/2020</t>
  </si>
  <si>
    <t>7/8/2020</t>
  </si>
  <si>
    <t>6/3/2020</t>
  </si>
  <si>
    <t>2/11/2019</t>
  </si>
  <si>
    <t>1/2/2020</t>
  </si>
  <si>
    <t>1/10/2019</t>
  </si>
  <si>
    <t>7/4/2019</t>
  </si>
  <si>
    <t>6/2/2019</t>
  </si>
  <si>
    <t>5/11/2019</t>
  </si>
  <si>
    <t>6/10/2019</t>
  </si>
  <si>
    <t>9/1/2020</t>
  </si>
  <si>
    <t>11/9/2020</t>
  </si>
  <si>
    <t>3/2/2020</t>
  </si>
  <si>
    <t>2/7/2020</t>
  </si>
  <si>
    <t>2/9/2020</t>
  </si>
  <si>
    <t>6/5/2019</t>
  </si>
  <si>
    <t>11/8/2020</t>
  </si>
  <si>
    <t>1/5/2020</t>
  </si>
  <si>
    <t>10/5/2019</t>
  </si>
  <si>
    <t>6/7/2019</t>
  </si>
  <si>
    <t>1/8/2020</t>
  </si>
  <si>
    <t>3/9/2019</t>
  </si>
  <si>
    <t>6/3/2019</t>
  </si>
  <si>
    <r>
      <t xml:space="preserve">Steps Taken:
</t>
    </r>
    <r>
      <rPr>
        <sz val="11"/>
        <color theme="1"/>
        <rFont val="Calibri"/>
        <family val="2"/>
        <scheme val="minor"/>
      </rPr>
      <t xml:space="preserve">1. Created Martial Status Column in Customers Sheet, recflecting the status of each customer using (IFS) - Text Format.
2. Created Education Column in Customers Sheet, recflecting the education level of each customer using (IFS &amp; AND(for null values)) - Text Format.
3. Moved all marketing sheet columns to Customers Sheet, recflecting the data of each customer using (Xlookup) - Text Format. As for Enrollment column made sure that the data are in Date Format.
5. Moved all Sales sheet columns to Customers Sheet (except ID column), recflecting the data of each customer sales  using (Xlookup) - Number Format.
6. Used Text to Columns to split state column getting only the name of state - Text Format.
</t>
    </r>
  </si>
  <si>
    <t>Row Labels</t>
  </si>
  <si>
    <t>Grand Total</t>
  </si>
  <si>
    <t>24-33</t>
  </si>
  <si>
    <t>34-43</t>
  </si>
  <si>
    <t>44-53</t>
  </si>
  <si>
    <t>54-63</t>
  </si>
  <si>
    <t>64-73</t>
  </si>
  <si>
    <t>74-83</t>
  </si>
  <si>
    <t>Count of Age</t>
  </si>
  <si>
    <t>Age Group Frequency</t>
  </si>
  <si>
    <t>Charts After Cleaning</t>
  </si>
  <si>
    <t>The data appears to be concentrated more toward the middle or slightly higher end of the range.</t>
  </si>
  <si>
    <r>
      <t xml:space="preserve">Steps Taken to Clean the Data:
</t>
    </r>
    <r>
      <rPr>
        <sz val="11"/>
        <color theme="1"/>
        <rFont val="Calibri"/>
        <family val="2"/>
        <scheme val="minor"/>
      </rPr>
      <t>1. In Income replaced "0" values with Mean value "151,551"
2. In Age replaced "0" &amp; "1" value with Mean value "50", and "-64" replaced with "64".
3. In Kids and Teens replaced "0.1" with "0" &amp; "1.5" values with "1".
4. In Eductaion replaced NA values with Mode Education "Graduate".
5. In Enrollment adjusted the column to have same Date Format.
6. In Product Categories, replaced negtive values with positive same integer.
7. In Product Categories Columns, there are 0 values for all the products, rows are removed.
8. In Regular Column, replaced negtive values with positive same integer.
9. In Deals replaced "100000" value with Median value "2".
10. In Catalog replaced "0.2" value with Median value "2".
11</t>
    </r>
    <r>
      <rPr>
        <b/>
        <sz val="11"/>
        <color theme="1"/>
        <rFont val="Calibri"/>
        <family val="2"/>
        <scheme val="minor"/>
      </rPr>
      <t>.</t>
    </r>
    <r>
      <rPr>
        <sz val="11"/>
        <color theme="1"/>
        <rFont val="Calibri"/>
        <family val="2"/>
        <scheme val="minor"/>
      </rPr>
      <t xml:space="preserve"> In Store replaced negative value with Mean value "6".</t>
    </r>
    <r>
      <rPr>
        <b/>
        <sz val="11"/>
        <color theme="1"/>
        <rFont val="Calibri"/>
        <family val="2"/>
        <scheme val="minor"/>
      </rPr>
      <t xml:space="preserve">
</t>
    </r>
    <r>
      <rPr>
        <sz val="11"/>
        <color theme="1"/>
        <rFont val="Calibri"/>
        <family val="2"/>
        <scheme val="minor"/>
      </rPr>
      <t>12. All Columns data type are validated corresponding the right data type.</t>
    </r>
  </si>
  <si>
    <r>
      <t xml:space="preserve">1. After curating your data, are there any issues you foresee that may cause problems in your data analysis for the business problem you are addressing?
</t>
    </r>
    <r>
      <rPr>
        <sz val="11"/>
        <color theme="1"/>
        <rFont val="Calibri"/>
        <family val="2"/>
        <scheme val="minor"/>
      </rPr>
      <t xml:space="preserve">Yes, we faced some challenges. The primary issue was encountering unrealistic data points, such as zeros or extremely large numbers, which were clearly erroneous. These anomalies required careful handling, as they could skew analysis outcomes.
The second challenge involved deciding how to address these errors: whether to delete the affected records entirely or to correct them based on logical assumptions or supplementary data. This decision was critical to maintaining the integrity and reliability of the dataset. Through effective teamwork and collaboration, we were able to develop and implement the best solution to handle these data errors, ensuring the dataset was clean and suitable for analysis.
</t>
    </r>
    <r>
      <rPr>
        <b/>
        <sz val="11"/>
        <color theme="1"/>
        <rFont val="Calibri"/>
        <family val="2"/>
        <scheme val="minor"/>
      </rPr>
      <t xml:space="preserve">2. Now that you have understood your data better, can you think of additional analytical tools that will help you to perform your analysis? 
</t>
    </r>
    <r>
      <rPr>
        <sz val="11"/>
        <color theme="1"/>
        <rFont val="Calibri"/>
        <family val="2"/>
        <scheme val="minor"/>
      </rPr>
      <t xml:space="preserve">Yes, Pivot Tables, Excel Functions like VLOOKUP, INDEX-MATCH, COUNT, and more advanced charts.
</t>
    </r>
    <r>
      <rPr>
        <b/>
        <sz val="11"/>
        <color theme="1"/>
        <rFont val="Calibri"/>
        <family val="2"/>
        <scheme val="minor"/>
      </rPr>
      <t xml:space="preserve">
3. Having begun the process of working on a data analytics project, can you see how data-driven decisions might enhance the qualitative analysis management previously used to improve business results? If so, can you provide some examples? 
</t>
    </r>
    <r>
      <rPr>
        <sz val="11"/>
        <color theme="1"/>
        <rFont val="Calibri"/>
        <family val="2"/>
        <scheme val="minor"/>
      </rPr>
      <t>Yes, data-driven decisions can complement and enhance qualitative analysis by providing measurable insights. For example: Customer Behavior: Data can reveal purchasing trends, helping refine customer segmentation and targeting strategies. Operational Efficiency: Analyzing process data can identify bottlenecks and optimize workflows.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</si>
</sst>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m/d/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5" tint="0.59999389629810485"/>
        <bgColor indexed="64"/>
      </patternFill>
    </fill>
    <fill>
      <patternFill patternType="solid">
        <fgColor theme="7"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op>
      <bottom/>
      <diagonal/>
    </border>
    <border>
      <left/>
      <right/>
      <top style="thin">
        <color theme="4"/>
      </top>
      <bottom style="thin">
        <color theme="4"/>
      </bottom>
      <diagonal/>
    </border>
    <border>
      <left style="thin">
        <color indexed="64"/>
      </left>
      <right style="thin">
        <color indexed="64"/>
      </right>
      <top style="thin">
        <color indexed="64"/>
      </top>
      <bottom style="thin">
        <color indexed="64"/>
      </bottom>
      <diagonal/>
    </border>
    <border>
      <left/>
      <right/>
      <top style="double">
        <color theme="4"/>
      </top>
      <bottom style="thin">
        <color theme="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14" fontId="0" fillId="0" borderId="0" xfId="0" applyNumberFormat="1"/>
    <xf numFmtId="164" fontId="0" fillId="0" borderId="0" xfId="0" applyNumberFormat="1"/>
    <xf numFmtId="165" fontId="0" fillId="0" borderId="0" xfId="0" applyNumberFormat="1" applyAlignment="1">
      <alignment horizontal="center" vertical="center"/>
    </xf>
    <xf numFmtId="0" fontId="13" fillId="33" borderId="10" xfId="0" applyFont="1" applyFill="1" applyBorder="1" applyAlignment="1">
      <alignment horizontal="center" vertical="center"/>
    </xf>
    <xf numFmtId="0" fontId="0" fillId="0" borderId="0" xfId="0" applyAlignment="1">
      <alignment horizontal="center" vertical="center"/>
    </xf>
    <xf numFmtId="0" fontId="0" fillId="0" borderId="10" xfId="0" applyFont="1" applyBorder="1" applyAlignment="1">
      <alignment horizontal="center" vertical="center"/>
    </xf>
    <xf numFmtId="0" fontId="0" fillId="0" borderId="11" xfId="0" applyFont="1" applyBorder="1" applyAlignment="1">
      <alignment horizontal="center" vertical="center"/>
    </xf>
    <xf numFmtId="0" fontId="0" fillId="0" borderId="0" xfId="0" applyNumberFormat="1" applyAlignment="1">
      <alignment horizontal="center" vertical="center"/>
    </xf>
    <xf numFmtId="0" fontId="16" fillId="35" borderId="12" xfId="0" applyFont="1" applyFill="1" applyBorder="1" applyAlignment="1">
      <alignment horizontal="left" vertical="center"/>
    </xf>
    <xf numFmtId="3" fontId="16" fillId="35" borderId="12" xfId="0" applyNumberFormat="1" applyFont="1" applyFill="1" applyBorder="1" applyAlignment="1">
      <alignment horizontal="left" vertical="center" wrapText="1"/>
    </xf>
    <xf numFmtId="3" fontId="16" fillId="35" borderId="12" xfId="0" applyNumberFormat="1" applyFont="1" applyFill="1" applyBorder="1" applyAlignment="1">
      <alignment horizontal="left" vertical="center"/>
    </xf>
    <xf numFmtId="0" fontId="13" fillId="33" borderId="10" xfId="0" applyFont="1" applyFill="1" applyBorder="1"/>
    <xf numFmtId="0" fontId="0" fillId="0" borderId="15" xfId="0" applyBorder="1" applyAlignment="1">
      <alignment vertical="top"/>
    </xf>
    <xf numFmtId="0" fontId="0" fillId="0" borderId="0" xfId="0" applyBorder="1" applyAlignment="1">
      <alignment vertical="top"/>
    </xf>
    <xf numFmtId="0" fontId="16" fillId="0" borderId="13" xfId="0" applyNumberFormat="1" applyFont="1" applyBorder="1" applyAlignment="1">
      <alignment horizontal="center" vertical="center"/>
    </xf>
    <xf numFmtId="3" fontId="0" fillId="0" borderId="10" xfId="0" applyNumberFormat="1" applyFont="1" applyBorder="1" applyAlignment="1">
      <alignment horizontal="center" vertical="center"/>
    </xf>
    <xf numFmtId="49" fontId="0" fillId="0" borderId="0" xfId="0" applyNumberFormat="1" applyAlignment="1">
      <alignment horizontal="center" vertical="center"/>
    </xf>
    <xf numFmtId="0" fontId="0" fillId="0" borderId="10" xfId="0" applyNumberFormat="1" applyFont="1" applyBorder="1" applyAlignment="1">
      <alignment horizontal="center" vertical="center"/>
    </xf>
    <xf numFmtId="3" fontId="16" fillId="0" borderId="13" xfId="0" applyNumberFormat="1" applyFont="1" applyBorder="1" applyAlignment="1">
      <alignment horizontal="center" vertical="center"/>
    </xf>
    <xf numFmtId="3" fontId="0" fillId="0" borderId="0" xfId="0" applyNumberFormat="1" applyBorder="1" applyAlignment="1">
      <alignment vertical="top"/>
    </xf>
    <xf numFmtId="3" fontId="0" fillId="0" borderId="10" xfId="0" applyNumberFormat="1" applyBorder="1" applyAlignment="1">
      <alignment horizontal="center" vertical="center"/>
    </xf>
    <xf numFmtId="3" fontId="0" fillId="0" borderId="0" xfId="0" applyNumberFormat="1" applyAlignment="1">
      <alignment horizontal="left"/>
    </xf>
    <xf numFmtId="0" fontId="0" fillId="0" borderId="0" xfId="0" applyNumberFormat="1"/>
    <xf numFmtId="0" fontId="16" fillId="35" borderId="12" xfId="0" applyFont="1" applyFill="1" applyBorder="1" applyAlignment="1">
      <alignment horizontal="center" vertical="center"/>
    </xf>
    <xf numFmtId="0" fontId="16" fillId="35" borderId="12" xfId="0" applyFont="1" applyFill="1" applyBorder="1" applyAlignment="1">
      <alignment horizontal="left" vertical="center" wrapText="1"/>
    </xf>
    <xf numFmtId="0" fontId="16" fillId="34" borderId="0" xfId="0" applyFont="1" applyFill="1" applyAlignment="1">
      <alignment horizontal="left" vertical="center" wrapText="1"/>
    </xf>
    <xf numFmtId="0" fontId="16" fillId="35" borderId="0" xfId="0" applyFont="1" applyFill="1" applyAlignment="1">
      <alignment horizontal="left" vertical="center" wrapText="1"/>
    </xf>
    <xf numFmtId="0" fontId="16" fillId="34" borderId="14" xfId="0" applyFont="1" applyFill="1" applyBorder="1" applyAlignment="1">
      <alignment horizontal="left" vertical="top" wrapText="1"/>
    </xf>
    <xf numFmtId="0" fontId="16" fillId="34" borderId="0" xfId="0" applyFont="1" applyFill="1" applyBorder="1" applyAlignment="1">
      <alignment horizontal="center" vertical="top" wrapText="1"/>
    </xf>
    <xf numFmtId="0" fontId="16" fillId="35" borderId="16" xfId="0" applyFont="1" applyFill="1" applyBorder="1" applyAlignment="1">
      <alignment horizontal="center" vertical="center"/>
    </xf>
    <xf numFmtId="0" fontId="16" fillId="35" borderId="17" xfId="0" applyFont="1" applyFill="1" applyBorder="1" applyAlignment="1">
      <alignment horizontal="center" vertical="center"/>
    </xf>
    <xf numFmtId="0" fontId="16" fillId="34" borderId="0" xfId="0" applyFont="1" applyFill="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3">
    <dxf>
      <numFmt numFmtId="19" formatCode="dd/mm/yyyy"/>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164" formatCode="yyyy\-mm\-dd;@"/>
    </dxf>
    <dxf>
      <alignment horizontal="center"/>
    </dxf>
    <dxf>
      <alignment horizontal="center"/>
    </dxf>
    <dxf>
      <font>
        <b/>
      </font>
      <numFmt numFmtId="0" formatCode="General"/>
      <fill>
        <patternFill patternType="solid">
          <fgColor indexed="64"/>
          <bgColor theme="7" tint="0.79998168889431442"/>
        </patternFill>
      </fill>
      <alignment vertical="center"/>
    </dxf>
    <dxf>
      <font>
        <b/>
      </font>
      <numFmt numFmtId="0" formatCode="General"/>
      <fill>
        <patternFill patternType="solid">
          <fgColor indexed="64"/>
          <bgColor theme="7" tint="0.79998168889431442"/>
        </patternFill>
      </fill>
      <alignment vertical="center"/>
    </dxf>
    <dxf>
      <font>
        <b/>
      </font>
      <fill>
        <patternFill patternType="solid">
          <fgColor indexed="64"/>
          <bgColor theme="7" tint="0.79998168889431442"/>
        </patternFill>
      </fill>
      <alignment horizontal="left" vertical="center"/>
    </dxf>
    <dxf>
      <font>
        <b/>
      </font>
      <fill>
        <patternFill patternType="solid">
          <fgColor indexed="64"/>
          <bgColor theme="7" tint="0.79998168889431442"/>
        </patternFill>
      </fill>
      <alignment horizontal="left" vertical="cent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numFmt numFmtId="0" formatCode="General"/>
      <alignment horizontal="center" vertical="center" textRotation="0" wrapText="0" indent="0" justifyLastLine="0" shrinkToFit="0" readingOrder="0"/>
    </dxf>
    <dxf>
      <numFmt numFmtId="3" formatCode="#,##0"/>
      <alignment horizontal="center" vertical="center" textRotation="0" wrapText="0" indent="0" justifyLastLine="0" shrinkToFit="0" readingOrder="0"/>
      <border diagonalUp="0" diagonalDown="0">
        <left/>
        <right/>
        <top style="thin">
          <color theme="4"/>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numFmt numFmtId="3" formatCode="#,##0"/>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numFmt numFmtId="3" formatCode="#,##0"/>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numFmt numFmtId="3" formatCode="#,##0"/>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numFmt numFmtId="3" formatCode="#,##0"/>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border diagonalUp="0" diagonalDown="0" outline="0">
        <left/>
        <right/>
        <top style="thin">
          <color theme="4"/>
        </top>
        <bottom/>
      </border>
    </dxf>
    <dxf>
      <border outline="0">
        <left style="thin">
          <color rgb="FF4472C4"/>
        </left>
      </border>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theme="4"/>
        </top>
        <bottom/>
      </border>
    </dxf>
    <dxf>
      <border outline="0">
        <left style="thin">
          <color theme="4"/>
        </left>
      </border>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Sheet1!$A$33:$A$34</c:f>
              <c:strCache>
                <c:ptCount val="2"/>
                <c:pt idx="0">
                  <c:v>Regular</c:v>
                </c:pt>
                <c:pt idx="1">
                  <c:v>Premium</c:v>
                </c:pt>
              </c:strCache>
            </c:strRef>
          </c:cat>
          <c:val>
            <c:numRef>
              <c:f>Sheet1!$B$33:$B$34</c:f>
              <c:numCache>
                <c:formatCode>#,##0</c:formatCode>
                <c:ptCount val="2"/>
                <c:pt idx="0">
                  <c:v>2961904</c:v>
                </c:pt>
                <c:pt idx="1">
                  <c:v>292422</c:v>
                </c:pt>
              </c:numCache>
            </c:numRef>
          </c:val>
          <c:extLst>
            <c:ext xmlns:c16="http://schemas.microsoft.com/office/drawing/2014/chart" uri="{C3380CC4-5D6E-409C-BE32-E72D297353CC}">
              <c16:uniqueId val="{00000000-9FB3-44D4-917C-78037B54F5CC}"/>
            </c:ext>
          </c:extLst>
        </c:ser>
        <c:dLbls>
          <c:dLblPos val="outEnd"/>
          <c:showLegendKey val="0"/>
          <c:showVal val="1"/>
          <c:showCatName val="0"/>
          <c:showSerName val="0"/>
          <c:showPercent val="0"/>
          <c:showBubbleSize val="0"/>
        </c:dLbls>
        <c:gapWidth val="219"/>
        <c:overlap val="-27"/>
        <c:axId val="542119599"/>
        <c:axId val="542120559"/>
      </c:barChart>
      <c:catAx>
        <c:axId val="54211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20559"/>
        <c:crosses val="autoZero"/>
        <c:auto val="1"/>
        <c:lblAlgn val="ctr"/>
        <c:lblOffset val="100"/>
        <c:noMultiLvlLbl val="0"/>
      </c:catAx>
      <c:valAx>
        <c:axId val="542120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195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Purchase by Product Type</a:t>
            </a:r>
            <a:endParaRPr lang="en-US" sz="11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Sheet1!$F$33:$F$34</c:f>
              <c:strCache>
                <c:ptCount val="2"/>
                <c:pt idx="0">
                  <c:v>Regular</c:v>
                </c:pt>
                <c:pt idx="1">
                  <c:v>Premium</c:v>
                </c:pt>
              </c:strCache>
            </c:strRef>
          </c:cat>
          <c:val>
            <c:numRef>
              <c:f>Sheet1!$G$33:$G$34</c:f>
              <c:numCache>
                <c:formatCode>#,##0</c:formatCode>
                <c:ptCount val="2"/>
                <c:pt idx="0">
                  <c:v>2990195</c:v>
                </c:pt>
                <c:pt idx="1">
                  <c:v>292683</c:v>
                </c:pt>
              </c:numCache>
            </c:numRef>
          </c:val>
          <c:extLst>
            <c:ext xmlns:c16="http://schemas.microsoft.com/office/drawing/2014/chart" uri="{C3380CC4-5D6E-409C-BE32-E72D297353CC}">
              <c16:uniqueId val="{00000000-F7A6-4F97-9606-62FAAD4D29E3}"/>
            </c:ext>
          </c:extLst>
        </c:ser>
        <c:dLbls>
          <c:dLblPos val="outEnd"/>
          <c:showLegendKey val="0"/>
          <c:showVal val="1"/>
          <c:showCatName val="0"/>
          <c:showSerName val="0"/>
          <c:showPercent val="0"/>
          <c:showBubbleSize val="0"/>
        </c:dLbls>
        <c:gapWidth val="219"/>
        <c:overlap val="-27"/>
        <c:axId val="902552879"/>
        <c:axId val="902554799"/>
      </c:barChart>
      <c:catAx>
        <c:axId val="90255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554799"/>
        <c:crosses val="autoZero"/>
        <c:auto val="1"/>
        <c:lblAlgn val="ctr"/>
        <c:lblOffset val="100"/>
        <c:noMultiLvlLbl val="0"/>
      </c:catAx>
      <c:valAx>
        <c:axId val="902554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552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per</a:t>
            </a:r>
            <a:r>
              <a:rPr lang="en-US" baseline="0"/>
              <a:t>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9131-418F-B0DF-36B162A547C3}"/>
              </c:ext>
            </c:extLst>
          </c:dPt>
          <c:dPt>
            <c:idx val="1"/>
            <c:bubble3D val="0"/>
            <c:spPr>
              <a:solidFill>
                <a:schemeClr val="accent2"/>
              </a:solidFill>
              <a:ln>
                <a:noFill/>
              </a:ln>
              <a:effectLst/>
            </c:spPr>
            <c:extLst>
              <c:ext xmlns:c16="http://schemas.microsoft.com/office/drawing/2014/chart" uri="{C3380CC4-5D6E-409C-BE32-E72D297353CC}">
                <c16:uniqueId val="{00000003-9131-418F-B0DF-36B162A547C3}"/>
              </c:ext>
            </c:extLst>
          </c:dPt>
          <c:dPt>
            <c:idx val="2"/>
            <c:bubble3D val="0"/>
            <c:spPr>
              <a:solidFill>
                <a:schemeClr val="accent3"/>
              </a:solidFill>
              <a:ln>
                <a:noFill/>
              </a:ln>
              <a:effectLst/>
            </c:spPr>
            <c:extLst>
              <c:ext xmlns:c16="http://schemas.microsoft.com/office/drawing/2014/chart" uri="{C3380CC4-5D6E-409C-BE32-E72D297353CC}">
                <c16:uniqueId val="{00000005-9131-418F-B0DF-36B162A547C3}"/>
              </c:ext>
            </c:extLst>
          </c:dPt>
          <c:dPt>
            <c:idx val="3"/>
            <c:bubble3D val="0"/>
            <c:spPr>
              <a:solidFill>
                <a:schemeClr val="accent4"/>
              </a:solidFill>
              <a:ln>
                <a:noFill/>
              </a:ln>
              <a:effectLst/>
            </c:spPr>
            <c:extLst>
              <c:ext xmlns:c16="http://schemas.microsoft.com/office/drawing/2014/chart" uri="{C3380CC4-5D6E-409C-BE32-E72D297353CC}">
                <c16:uniqueId val="{00000007-9131-418F-B0DF-36B162A547C3}"/>
              </c:ext>
            </c:extLst>
          </c:dPt>
          <c:dPt>
            <c:idx val="4"/>
            <c:bubble3D val="0"/>
            <c:spPr>
              <a:solidFill>
                <a:schemeClr val="accent5"/>
              </a:solidFill>
              <a:ln>
                <a:noFill/>
              </a:ln>
              <a:effectLst/>
            </c:spPr>
            <c:extLst>
              <c:ext xmlns:c16="http://schemas.microsoft.com/office/drawing/2014/chart" uri="{C3380CC4-5D6E-409C-BE32-E72D297353CC}">
                <c16:uniqueId val="{00000009-9131-418F-B0DF-36B162A547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Sheet1!$A$1:$A$5</c:f>
              <c:strCache>
                <c:ptCount val="5"/>
                <c:pt idx="0">
                  <c:v>Teas</c:v>
                </c:pt>
                <c:pt idx="1">
                  <c:v>Fruits</c:v>
                </c:pt>
                <c:pt idx="2">
                  <c:v>Meats</c:v>
                </c:pt>
                <c:pt idx="3">
                  <c:v>Seafood</c:v>
                </c:pt>
                <c:pt idx="4">
                  <c:v>Sweets</c:v>
                </c:pt>
              </c:strCache>
            </c:strRef>
          </c:cat>
          <c:val>
            <c:numRef>
              <c:f>Sheet1!$B$1:$B$5</c:f>
              <c:numCache>
                <c:formatCode>General</c:formatCode>
                <c:ptCount val="5"/>
                <c:pt idx="0">
                  <c:v>1734336</c:v>
                </c:pt>
                <c:pt idx="1">
                  <c:v>154139</c:v>
                </c:pt>
                <c:pt idx="2">
                  <c:v>986946</c:v>
                </c:pt>
                <c:pt idx="3">
                  <c:v>219967</c:v>
                </c:pt>
                <c:pt idx="4">
                  <c:v>157502</c:v>
                </c:pt>
              </c:numCache>
            </c:numRef>
          </c:val>
          <c:extLst>
            <c:ext xmlns:c16="http://schemas.microsoft.com/office/drawing/2014/chart" uri="{C3380CC4-5D6E-409C-BE32-E72D297353CC}">
              <c16:uniqueId val="{0000000A-9131-418F-B0DF-36B162A547C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by Channel</a:t>
            </a:r>
          </a:p>
        </c:rich>
      </c:tx>
      <c:layout>
        <c:manualLayout>
          <c:xMode val="edge"/>
          <c:yMode val="edge"/>
          <c:x val="0.3594930008748906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Sheet1!$A$7:$A$11</c:f>
              <c:strCache>
                <c:ptCount val="5"/>
                <c:pt idx="0">
                  <c:v>Deals</c:v>
                </c:pt>
                <c:pt idx="1">
                  <c:v>Website</c:v>
                </c:pt>
                <c:pt idx="2">
                  <c:v>Catalog</c:v>
                </c:pt>
                <c:pt idx="3">
                  <c:v>Store</c:v>
                </c:pt>
                <c:pt idx="4">
                  <c:v>Visits</c:v>
                </c:pt>
              </c:strCache>
            </c:strRef>
          </c:cat>
          <c:val>
            <c:numRef>
              <c:f>Sheet1!$B$7:$B$11</c:f>
              <c:numCache>
                <c:formatCode>General</c:formatCode>
                <c:ptCount val="5"/>
                <c:pt idx="0">
                  <c:v>1005160</c:v>
                </c:pt>
                <c:pt idx="1">
                  <c:v>9108</c:v>
                </c:pt>
                <c:pt idx="2">
                  <c:v>5862.2</c:v>
                </c:pt>
                <c:pt idx="3">
                  <c:v>12905</c:v>
                </c:pt>
                <c:pt idx="4">
                  <c:v>11859</c:v>
                </c:pt>
              </c:numCache>
            </c:numRef>
          </c:val>
          <c:extLst>
            <c:ext xmlns:c16="http://schemas.microsoft.com/office/drawing/2014/chart" uri="{C3380CC4-5D6E-409C-BE32-E72D297353CC}">
              <c16:uniqueId val="{00000000-7CB9-4D76-A03C-8510C73AA4D5}"/>
            </c:ext>
          </c:extLst>
        </c:ser>
        <c:dLbls>
          <c:dLblPos val="outEnd"/>
          <c:showLegendKey val="0"/>
          <c:showVal val="1"/>
          <c:showCatName val="0"/>
          <c:showSerName val="0"/>
          <c:showPercent val="0"/>
          <c:showBubbleSize val="0"/>
        </c:dLbls>
        <c:gapWidth val="219"/>
        <c:overlap val="-27"/>
        <c:axId val="1475375295"/>
        <c:axId val="1475375775"/>
      </c:barChart>
      <c:catAx>
        <c:axId val="147537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375775"/>
        <c:crosses val="autoZero"/>
        <c:auto val="1"/>
        <c:lblAlgn val="ctr"/>
        <c:lblOffset val="100"/>
        <c:noMultiLvlLbl val="0"/>
      </c:catAx>
      <c:valAx>
        <c:axId val="147537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3752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Purchases by MC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Sheet1!$A$15:$A$19</c:f>
              <c:strCache>
                <c:ptCount val="5"/>
                <c:pt idx="0">
                  <c:v>MC1</c:v>
                </c:pt>
                <c:pt idx="1">
                  <c:v>MC2</c:v>
                </c:pt>
                <c:pt idx="2">
                  <c:v>MC3</c:v>
                </c:pt>
                <c:pt idx="3">
                  <c:v>MC4</c:v>
                </c:pt>
                <c:pt idx="4">
                  <c:v>MC5</c:v>
                </c:pt>
              </c:strCache>
            </c:strRef>
          </c:cat>
          <c:val>
            <c:numRef>
              <c:f>Sheet1!$B$15:$B$19</c:f>
              <c:numCache>
                <c:formatCode>#,##0</c:formatCode>
                <c:ptCount val="5"/>
                <c:pt idx="0">
                  <c:v>143</c:v>
                </c:pt>
                <c:pt idx="1">
                  <c:v>30</c:v>
                </c:pt>
                <c:pt idx="2">
                  <c:v>165</c:v>
                </c:pt>
                <c:pt idx="3">
                  <c:v>165</c:v>
                </c:pt>
                <c:pt idx="4">
                  <c:v>161</c:v>
                </c:pt>
              </c:numCache>
            </c:numRef>
          </c:val>
          <c:extLst>
            <c:ext xmlns:c16="http://schemas.microsoft.com/office/drawing/2014/chart" uri="{C3380CC4-5D6E-409C-BE32-E72D297353CC}">
              <c16:uniqueId val="{00000000-1670-4F0F-81AA-91A379AC1C4D}"/>
            </c:ext>
          </c:extLst>
        </c:ser>
        <c:dLbls>
          <c:dLblPos val="outEnd"/>
          <c:showLegendKey val="0"/>
          <c:showVal val="1"/>
          <c:showCatName val="0"/>
          <c:showSerName val="0"/>
          <c:showPercent val="0"/>
          <c:showBubbleSize val="0"/>
        </c:dLbls>
        <c:gapWidth val="219"/>
        <c:overlap val="-27"/>
        <c:axId val="1277212927"/>
        <c:axId val="1277213407"/>
      </c:barChart>
      <c:catAx>
        <c:axId val="127721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213407"/>
        <c:crosses val="autoZero"/>
        <c:auto val="1"/>
        <c:lblAlgn val="ctr"/>
        <c:lblOffset val="100"/>
        <c:noMultiLvlLbl val="0"/>
      </c:catAx>
      <c:valAx>
        <c:axId val="1277213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21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Martial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A9-43B9-A68A-167BA1EBF0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A9-43B9-A68A-167BA1EBF0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A9-43B9-A68A-167BA1EBF0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A9-43B9-A68A-167BA1EBF0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A9-43B9-A68A-167BA1EBF0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5"/>
                <c:pt idx="0">
                  <c:v>Single</c:v>
                </c:pt>
                <c:pt idx="1">
                  <c:v>Married</c:v>
                </c:pt>
                <c:pt idx="2">
                  <c:v>Together</c:v>
                </c:pt>
                <c:pt idx="3">
                  <c:v>Widow</c:v>
                </c:pt>
                <c:pt idx="4">
                  <c:v>Divorced</c:v>
                </c:pt>
              </c:strCache>
            </c:strRef>
          </c:cat>
          <c:val>
            <c:numRef>
              <c:f>Sheet1!$B$21:$B$25</c:f>
              <c:numCache>
                <c:formatCode>General</c:formatCode>
                <c:ptCount val="5"/>
                <c:pt idx="0">
                  <c:v>482</c:v>
                </c:pt>
                <c:pt idx="1">
                  <c:v>860</c:v>
                </c:pt>
                <c:pt idx="2">
                  <c:v>571</c:v>
                </c:pt>
                <c:pt idx="3">
                  <c:v>76</c:v>
                </c:pt>
                <c:pt idx="4">
                  <c:v>231</c:v>
                </c:pt>
              </c:numCache>
            </c:numRef>
          </c:val>
          <c:extLst>
            <c:ext xmlns:c16="http://schemas.microsoft.com/office/drawing/2014/chart" uri="{C3380CC4-5D6E-409C-BE32-E72D297353CC}">
              <c16:uniqueId val="{0000000A-20A9-43B9-A68A-167BA1EBF0D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Education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Sheet1!$A$27:$A$31</c:f>
              <c:strCache>
                <c:ptCount val="5"/>
                <c:pt idx="0">
                  <c:v>Graduate</c:v>
                </c:pt>
                <c:pt idx="1">
                  <c:v>PhD</c:v>
                </c:pt>
                <c:pt idx="2">
                  <c:v>Master</c:v>
                </c:pt>
                <c:pt idx="3">
                  <c:v>NA</c:v>
                </c:pt>
                <c:pt idx="4">
                  <c:v>Basic</c:v>
                </c:pt>
              </c:strCache>
            </c:strRef>
          </c:cat>
          <c:val>
            <c:numRef>
              <c:f>Sheet1!$B$27:$B$31</c:f>
              <c:numCache>
                <c:formatCode>General</c:formatCode>
                <c:ptCount val="5"/>
                <c:pt idx="0">
                  <c:v>1122</c:v>
                </c:pt>
                <c:pt idx="1">
                  <c:v>479</c:v>
                </c:pt>
                <c:pt idx="2">
                  <c:v>367</c:v>
                </c:pt>
                <c:pt idx="3">
                  <c:v>198</c:v>
                </c:pt>
                <c:pt idx="4">
                  <c:v>54</c:v>
                </c:pt>
              </c:numCache>
            </c:numRef>
          </c:val>
          <c:extLst>
            <c:ext xmlns:c16="http://schemas.microsoft.com/office/drawing/2014/chart" uri="{C3380CC4-5D6E-409C-BE32-E72D297353CC}">
              <c16:uniqueId val="{00000000-767C-4C98-9C21-F0E5188E113B}"/>
            </c:ext>
          </c:extLst>
        </c:ser>
        <c:dLbls>
          <c:dLblPos val="outEnd"/>
          <c:showLegendKey val="0"/>
          <c:showVal val="1"/>
          <c:showCatName val="0"/>
          <c:showSerName val="0"/>
          <c:showPercent val="0"/>
          <c:showBubbleSize val="0"/>
        </c:dLbls>
        <c:gapWidth val="219"/>
        <c:overlap val="-27"/>
        <c:axId val="1677213343"/>
        <c:axId val="1677209983"/>
      </c:barChart>
      <c:catAx>
        <c:axId val="167721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209983"/>
        <c:crosses val="autoZero"/>
        <c:auto val="1"/>
        <c:lblAlgn val="ctr"/>
        <c:lblOffset val="100"/>
        <c:noMultiLvlLbl val="0"/>
      </c:catAx>
      <c:valAx>
        <c:axId val="167720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21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Sheet1!$A$33:$A$34</c:f>
              <c:strCache>
                <c:ptCount val="2"/>
                <c:pt idx="0">
                  <c:v>Regular</c:v>
                </c:pt>
                <c:pt idx="1">
                  <c:v>Premium</c:v>
                </c:pt>
              </c:strCache>
            </c:strRef>
          </c:cat>
          <c:val>
            <c:numRef>
              <c:f>Sheet1!$B$33:$B$34</c:f>
              <c:numCache>
                <c:formatCode>#,##0</c:formatCode>
                <c:ptCount val="2"/>
                <c:pt idx="0">
                  <c:v>2961904</c:v>
                </c:pt>
                <c:pt idx="1">
                  <c:v>292422</c:v>
                </c:pt>
              </c:numCache>
            </c:numRef>
          </c:val>
          <c:extLst>
            <c:ext xmlns:c16="http://schemas.microsoft.com/office/drawing/2014/chart" uri="{C3380CC4-5D6E-409C-BE32-E72D297353CC}">
              <c16:uniqueId val="{00000000-EA73-46C2-8793-2A183A6989B8}"/>
            </c:ext>
          </c:extLst>
        </c:ser>
        <c:dLbls>
          <c:dLblPos val="outEnd"/>
          <c:showLegendKey val="0"/>
          <c:showVal val="1"/>
          <c:showCatName val="0"/>
          <c:showSerName val="0"/>
          <c:showPercent val="0"/>
          <c:showBubbleSize val="0"/>
        </c:dLbls>
        <c:gapWidth val="219"/>
        <c:overlap val="-27"/>
        <c:axId val="542119599"/>
        <c:axId val="542120559"/>
      </c:barChart>
      <c:catAx>
        <c:axId val="54211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20559"/>
        <c:crosses val="autoZero"/>
        <c:auto val="1"/>
        <c:lblAlgn val="ctr"/>
        <c:lblOffset val="100"/>
        <c:noMultiLvlLbl val="0"/>
      </c:catAx>
      <c:valAx>
        <c:axId val="542120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195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Purchases by MC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Sheet1!$A$15:$A$19</c:f>
              <c:strCache>
                <c:ptCount val="5"/>
                <c:pt idx="0">
                  <c:v>MC1</c:v>
                </c:pt>
                <c:pt idx="1">
                  <c:v>MC2</c:v>
                </c:pt>
                <c:pt idx="2">
                  <c:v>MC3</c:v>
                </c:pt>
                <c:pt idx="3">
                  <c:v>MC4</c:v>
                </c:pt>
                <c:pt idx="4">
                  <c:v>MC5</c:v>
                </c:pt>
              </c:strCache>
            </c:strRef>
          </c:cat>
          <c:val>
            <c:numRef>
              <c:f>Sheet1!$B$15:$B$19</c:f>
              <c:numCache>
                <c:formatCode>#,##0</c:formatCode>
                <c:ptCount val="5"/>
                <c:pt idx="0">
                  <c:v>143</c:v>
                </c:pt>
                <c:pt idx="1">
                  <c:v>30</c:v>
                </c:pt>
                <c:pt idx="2">
                  <c:v>165</c:v>
                </c:pt>
                <c:pt idx="3">
                  <c:v>165</c:v>
                </c:pt>
                <c:pt idx="4">
                  <c:v>161</c:v>
                </c:pt>
              </c:numCache>
            </c:numRef>
          </c:val>
          <c:extLst>
            <c:ext xmlns:c16="http://schemas.microsoft.com/office/drawing/2014/chart" uri="{C3380CC4-5D6E-409C-BE32-E72D297353CC}">
              <c16:uniqueId val="{00000000-AF6E-43BF-B74E-67AA411AD47A}"/>
            </c:ext>
          </c:extLst>
        </c:ser>
        <c:dLbls>
          <c:dLblPos val="outEnd"/>
          <c:showLegendKey val="0"/>
          <c:showVal val="1"/>
          <c:showCatName val="0"/>
          <c:showSerName val="0"/>
          <c:showPercent val="0"/>
          <c:showBubbleSize val="0"/>
        </c:dLbls>
        <c:gapWidth val="219"/>
        <c:overlap val="-27"/>
        <c:axId val="1277212927"/>
        <c:axId val="1277213407"/>
      </c:barChart>
      <c:catAx>
        <c:axId val="127721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213407"/>
        <c:crosses val="autoZero"/>
        <c:auto val="1"/>
        <c:lblAlgn val="ctr"/>
        <c:lblOffset val="100"/>
        <c:noMultiLvlLbl val="0"/>
      </c:catAx>
      <c:valAx>
        <c:axId val="1277213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21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baseline="0">
                <a:effectLst/>
              </a:rPr>
              <a:t>Purchase per Product Category</a:t>
            </a:r>
            <a:endParaRPr lang="en-US" sz="1200">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DE-4B62-B31A-2F518D375A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DE-4B62-B31A-2F518D375A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DE-4B62-B31A-2F518D375A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DE-4B62-B31A-2F518D375A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DE-4B62-B31A-2F518D375AED}"/>
              </c:ext>
            </c:extLst>
          </c:dPt>
          <c:dLbls>
            <c:dLbl>
              <c:idx val="0"/>
              <c:layout>
                <c:manualLayout>
                  <c:x val="2.1970691163604551E-2"/>
                  <c:y val="-9.610309128025663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DE-4B62-B31A-2F518D375A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Sheet1!$F$1:$F$5</c:f>
              <c:strCache>
                <c:ptCount val="5"/>
                <c:pt idx="0">
                  <c:v>Teas</c:v>
                </c:pt>
                <c:pt idx="1">
                  <c:v>Fruits</c:v>
                </c:pt>
                <c:pt idx="2">
                  <c:v>Meats</c:v>
                </c:pt>
                <c:pt idx="3">
                  <c:v>Seafood</c:v>
                </c:pt>
                <c:pt idx="4">
                  <c:v>Sweets</c:v>
                </c:pt>
              </c:strCache>
            </c:strRef>
          </c:cat>
          <c:val>
            <c:numRef>
              <c:f>Sheet1!$G$1:$G$5</c:f>
              <c:numCache>
                <c:formatCode>General</c:formatCode>
                <c:ptCount val="5"/>
                <c:pt idx="0">
                  <c:v>1739094</c:v>
                </c:pt>
                <c:pt idx="1">
                  <c:v>154350</c:v>
                </c:pt>
                <c:pt idx="2">
                  <c:v>988299</c:v>
                </c:pt>
                <c:pt idx="3">
                  <c:v>220317</c:v>
                </c:pt>
                <c:pt idx="4">
                  <c:v>157628</c:v>
                </c:pt>
              </c:numCache>
            </c:numRef>
          </c:val>
          <c:extLst>
            <c:ext xmlns:c16="http://schemas.microsoft.com/office/drawing/2014/chart" uri="{C3380CC4-5D6E-409C-BE32-E72D297353CC}">
              <c16:uniqueId val="{0000000A-18DE-4B62-B31A-2F518D375A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Purchase by Channel</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Sheet1!$F$7:$F$11</c:f>
              <c:strCache>
                <c:ptCount val="5"/>
                <c:pt idx="0">
                  <c:v>Store</c:v>
                </c:pt>
                <c:pt idx="1">
                  <c:v>Visits</c:v>
                </c:pt>
                <c:pt idx="2">
                  <c:v>Website</c:v>
                </c:pt>
                <c:pt idx="3">
                  <c:v>Catalog</c:v>
                </c:pt>
                <c:pt idx="4">
                  <c:v>Deals</c:v>
                </c:pt>
              </c:strCache>
            </c:strRef>
          </c:cat>
          <c:val>
            <c:numRef>
              <c:f>Sheet1!$G$7:$G$11</c:f>
              <c:numCache>
                <c:formatCode>General</c:formatCode>
                <c:ptCount val="5"/>
                <c:pt idx="0">
                  <c:v>12931</c:v>
                </c:pt>
                <c:pt idx="1">
                  <c:v>11867</c:v>
                </c:pt>
                <c:pt idx="2">
                  <c:v>9110</c:v>
                </c:pt>
                <c:pt idx="3">
                  <c:v>5867</c:v>
                </c:pt>
                <c:pt idx="4">
                  <c:v>5162</c:v>
                </c:pt>
              </c:numCache>
            </c:numRef>
          </c:val>
          <c:extLst>
            <c:ext xmlns:c16="http://schemas.microsoft.com/office/drawing/2014/chart" uri="{C3380CC4-5D6E-409C-BE32-E72D297353CC}">
              <c16:uniqueId val="{00000000-ECC3-4E2B-9F94-6AC79544BE0B}"/>
            </c:ext>
          </c:extLst>
        </c:ser>
        <c:dLbls>
          <c:showLegendKey val="0"/>
          <c:showVal val="0"/>
          <c:showCatName val="0"/>
          <c:showSerName val="0"/>
          <c:showPercent val="0"/>
          <c:showBubbleSize val="0"/>
        </c:dLbls>
        <c:gapWidth val="219"/>
        <c:overlap val="-27"/>
        <c:axId val="908537231"/>
        <c:axId val="1354418831"/>
      </c:barChart>
      <c:catAx>
        <c:axId val="90853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418831"/>
        <c:crosses val="autoZero"/>
        <c:auto val="1"/>
        <c:lblAlgn val="ctr"/>
        <c:lblOffset val="100"/>
        <c:noMultiLvlLbl val="0"/>
      </c:catAx>
      <c:valAx>
        <c:axId val="135441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37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Martial Status</a:t>
            </a:r>
            <a:endParaRPr lang="en-US"/>
          </a:p>
        </c:rich>
      </c:tx>
      <c:overlay val="0"/>
      <c:spPr>
        <a:noFill/>
        <a:ln>
          <a:noFill/>
        </a:ln>
        <a:effectLst/>
      </c:spPr>
    </c:title>
    <c:autoTitleDeleted val="0"/>
    <c:plotArea>
      <c:layout/>
      <c:pieChart>
        <c:varyColors val="1"/>
        <c:ser>
          <c:idx val="1"/>
          <c:order val="0"/>
          <c:dLbls>
            <c:spPr>
              <a:noFill/>
              <a:ln>
                <a:noFill/>
              </a:ln>
              <a:effectLst/>
            </c:sp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Sheet1!$F$21:$F$25</c:f>
              <c:strCache>
                <c:ptCount val="5"/>
                <c:pt idx="0">
                  <c:v>Single</c:v>
                </c:pt>
                <c:pt idx="1">
                  <c:v>Married</c:v>
                </c:pt>
                <c:pt idx="2">
                  <c:v>Together</c:v>
                </c:pt>
                <c:pt idx="3">
                  <c:v>Widow</c:v>
                </c:pt>
                <c:pt idx="4">
                  <c:v>Divorced</c:v>
                </c:pt>
              </c:strCache>
            </c:strRef>
          </c:cat>
          <c:val>
            <c:numRef>
              <c:f>Sheet1!$G$21:$G$25</c:f>
              <c:numCache>
                <c:formatCode>General</c:formatCode>
                <c:ptCount val="5"/>
                <c:pt idx="0">
                  <c:v>481</c:v>
                </c:pt>
                <c:pt idx="1">
                  <c:v>860</c:v>
                </c:pt>
                <c:pt idx="2">
                  <c:v>572</c:v>
                </c:pt>
                <c:pt idx="3">
                  <c:v>76</c:v>
                </c:pt>
                <c:pt idx="4">
                  <c:v>232</c:v>
                </c:pt>
              </c:numCache>
            </c:numRef>
          </c:val>
          <c:extLst>
            <c:ext xmlns:c16="http://schemas.microsoft.com/office/drawing/2014/chart" uri="{C3380CC4-5D6E-409C-BE32-E72D297353CC}">
              <c16:uniqueId val="{00000000-23C3-4C29-9641-11941F5C84F5}"/>
            </c:ext>
          </c:extLst>
        </c:ser>
        <c:dLbls>
          <c:dLblPos val="bestFit"/>
          <c:showLegendKey val="0"/>
          <c:showVal val="1"/>
          <c:showCatName val="0"/>
          <c:showSerName val="0"/>
          <c:showPercent val="0"/>
          <c:showBubbleSize val="0"/>
          <c:showLeaderLines val="1"/>
        </c:dLbls>
        <c:firstSliceAng val="0"/>
      </c:pieChart>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Education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Sheet1!$F$27:$F$30</c:f>
              <c:strCache>
                <c:ptCount val="4"/>
                <c:pt idx="0">
                  <c:v>Graduate</c:v>
                </c:pt>
                <c:pt idx="1">
                  <c:v>PhD</c:v>
                </c:pt>
                <c:pt idx="2">
                  <c:v>Master</c:v>
                </c:pt>
                <c:pt idx="3">
                  <c:v>Basic</c:v>
                </c:pt>
              </c:strCache>
            </c:strRef>
          </c:cat>
          <c:val>
            <c:numRef>
              <c:f>Sheet1!$G$27:$G$30</c:f>
              <c:numCache>
                <c:formatCode>General</c:formatCode>
                <c:ptCount val="4"/>
                <c:pt idx="0">
                  <c:v>1321</c:v>
                </c:pt>
                <c:pt idx="1">
                  <c:v>479</c:v>
                </c:pt>
                <c:pt idx="2">
                  <c:v>367</c:v>
                </c:pt>
                <c:pt idx="3">
                  <c:v>54</c:v>
                </c:pt>
              </c:numCache>
            </c:numRef>
          </c:val>
          <c:extLst>
            <c:ext xmlns:c16="http://schemas.microsoft.com/office/drawing/2014/chart" uri="{C3380CC4-5D6E-409C-BE32-E72D297353CC}">
              <c16:uniqueId val="{00000000-E57A-4862-B25E-093973475742}"/>
            </c:ext>
          </c:extLst>
        </c:ser>
        <c:dLbls>
          <c:showLegendKey val="0"/>
          <c:showVal val="0"/>
          <c:showCatName val="0"/>
          <c:showSerName val="0"/>
          <c:showPercent val="0"/>
          <c:showBubbleSize val="0"/>
        </c:dLbls>
        <c:gapWidth val="219"/>
        <c:overlap val="-27"/>
        <c:axId val="542130159"/>
        <c:axId val="542130639"/>
      </c:barChart>
      <c:catAx>
        <c:axId val="54213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30639"/>
        <c:crosses val="autoZero"/>
        <c:auto val="1"/>
        <c:lblAlgn val="ctr"/>
        <c:lblOffset val="100"/>
        <c:noMultiLvlLbl val="0"/>
      </c:catAx>
      <c:valAx>
        <c:axId val="54213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3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Purchase by Product Type</a:t>
            </a:r>
            <a:endParaRPr lang="en-US" sz="11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Sheet1!$F$33:$F$34</c:f>
              <c:strCache>
                <c:ptCount val="2"/>
                <c:pt idx="0">
                  <c:v>Regular</c:v>
                </c:pt>
                <c:pt idx="1">
                  <c:v>Premium</c:v>
                </c:pt>
              </c:strCache>
            </c:strRef>
          </c:cat>
          <c:val>
            <c:numRef>
              <c:f>Sheet1!$G$33:$G$34</c:f>
              <c:numCache>
                <c:formatCode>#,##0</c:formatCode>
                <c:ptCount val="2"/>
                <c:pt idx="0">
                  <c:v>2990195</c:v>
                </c:pt>
                <c:pt idx="1">
                  <c:v>292683</c:v>
                </c:pt>
              </c:numCache>
            </c:numRef>
          </c:val>
          <c:extLst>
            <c:ext xmlns:c16="http://schemas.microsoft.com/office/drawing/2014/chart" uri="{C3380CC4-5D6E-409C-BE32-E72D297353CC}">
              <c16:uniqueId val="{00000000-A2BE-45A8-8C46-D4DF396A1F87}"/>
            </c:ext>
          </c:extLst>
        </c:ser>
        <c:dLbls>
          <c:dLblPos val="outEnd"/>
          <c:showLegendKey val="0"/>
          <c:showVal val="1"/>
          <c:showCatName val="0"/>
          <c:showSerName val="0"/>
          <c:showPercent val="0"/>
          <c:showBubbleSize val="0"/>
        </c:dLbls>
        <c:gapWidth val="219"/>
        <c:overlap val="-27"/>
        <c:axId val="902552879"/>
        <c:axId val="902554799"/>
      </c:barChart>
      <c:catAx>
        <c:axId val="90255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554799"/>
        <c:crosses val="autoZero"/>
        <c:auto val="1"/>
        <c:lblAlgn val="ctr"/>
        <c:lblOffset val="100"/>
        <c:noMultiLvlLbl val="0"/>
      </c:catAx>
      <c:valAx>
        <c:axId val="902554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552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Income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 Distribution</a:t>
          </a:r>
        </a:p>
      </cx:txPr>
    </cx:title>
    <cx:plotArea>
      <cx:plotAreaRegion>
        <cx:series layoutId="clusteredColumn" uniqueId="{682A85BF-7B19-44A3-866A-77FFFC40E66E}" formatIdx="0">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Age Histogram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 Histogram</a:t>
          </a:r>
        </a:p>
      </cx:txPr>
    </cx:title>
    <cx:plotArea>
      <cx:plotAreaRegion>
        <cx:series layoutId="clusteredColumn" uniqueId="{63D8D9A9-6807-4C71-B71E-3A6ED829DD01}" formatIdx="0">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Income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 Distribution</a:t>
          </a:r>
        </a:p>
      </cx:txPr>
    </cx:title>
    <cx:plotArea>
      <cx:plotAreaRegion>
        <cx:series layoutId="clusteredColumn" uniqueId="{538355BF-F7CE-4BAE-A7C9-74FFCACDBDB3}">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Age Histogram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 Histogram</a:t>
          </a:r>
        </a:p>
      </cx:txPr>
    </cx:title>
    <cx:plotArea>
      <cx:plotAreaRegion>
        <cx:series layoutId="clusteredColumn" uniqueId="{85F7B74C-1D10-4D43-9072-451F7545806E}">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microsoft.com/office/2014/relationships/chartEx" Target="../charts/chartEx4.xml"/><Relationship Id="rId1" Type="http://schemas.microsoft.com/office/2014/relationships/chartEx" Target="../charts/chartEx3.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205740</xdr:colOff>
      <xdr:row>12</xdr:row>
      <xdr:rowOff>125730</xdr:rowOff>
    </xdr:from>
    <xdr:to>
      <xdr:col>15</xdr:col>
      <xdr:colOff>510540</xdr:colOff>
      <xdr:row>26</xdr:row>
      <xdr:rowOff>148590</xdr:rowOff>
    </xdr:to>
    <xdr:graphicFrame macro="">
      <xdr:nvGraphicFramePr>
        <xdr:cNvPr id="13" name="Chart 12">
          <a:extLst>
            <a:ext uri="{FF2B5EF4-FFF2-40B4-BE49-F238E27FC236}">
              <a16:creationId xmlns:a16="http://schemas.microsoft.com/office/drawing/2014/main" id="{20DD7975-9A8C-B1FE-1E03-9386EE454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518160</xdr:colOff>
      <xdr:row>18</xdr:row>
      <xdr:rowOff>110490</xdr:rowOff>
    </xdr:from>
    <xdr:to>
      <xdr:col>15</xdr:col>
      <xdr:colOff>213360</xdr:colOff>
      <xdr:row>32</xdr:row>
      <xdr:rowOff>125730</xdr:rowOff>
    </xdr:to>
    <xdr:graphicFrame macro="">
      <xdr:nvGraphicFramePr>
        <xdr:cNvPr id="14" name="Chart 13">
          <a:extLst>
            <a:ext uri="{FF2B5EF4-FFF2-40B4-BE49-F238E27FC236}">
              <a16:creationId xmlns:a16="http://schemas.microsoft.com/office/drawing/2014/main" id="{CDA57225-F57C-E797-F2E2-4B618FCF0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381000</xdr:colOff>
      <xdr:row>16</xdr:row>
      <xdr:rowOff>167640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C55C1A7-4C97-4AE3-81C2-9F8D929C4E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82880"/>
              <a:ext cx="4648200" cy="29108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388620</xdr:colOff>
      <xdr:row>1</xdr:row>
      <xdr:rowOff>0</xdr:rowOff>
    </xdr:from>
    <xdr:to>
      <xdr:col>15</xdr:col>
      <xdr:colOff>106680</xdr:colOff>
      <xdr:row>16</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A8B64BD-D1D8-4FB1-99D3-5C328A8278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655820" y="182880"/>
              <a:ext cx="4594860" cy="2895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31</xdr:row>
      <xdr:rowOff>7620</xdr:rowOff>
    </xdr:from>
    <xdr:to>
      <xdr:col>5</xdr:col>
      <xdr:colOff>213360</xdr:colOff>
      <xdr:row>44</xdr:row>
      <xdr:rowOff>76200</xdr:rowOff>
    </xdr:to>
    <xdr:graphicFrame macro="">
      <xdr:nvGraphicFramePr>
        <xdr:cNvPr id="5" name="Chart 4">
          <a:extLst>
            <a:ext uri="{FF2B5EF4-FFF2-40B4-BE49-F238E27FC236}">
              <a16:creationId xmlns:a16="http://schemas.microsoft.com/office/drawing/2014/main" id="{7EF80CFF-32B1-438E-82C7-0E1389603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548640</xdr:colOff>
      <xdr:row>30</xdr:row>
      <xdr:rowOff>175260</xdr:rowOff>
    </xdr:from>
    <xdr:to>
      <xdr:col>16</xdr:col>
      <xdr:colOff>495300</xdr:colOff>
      <xdr:row>43</xdr:row>
      <xdr:rowOff>160020</xdr:rowOff>
    </xdr:to>
    <xdr:graphicFrame macro="">
      <xdr:nvGraphicFramePr>
        <xdr:cNvPr id="6" name="Chart 5">
          <a:extLst>
            <a:ext uri="{FF2B5EF4-FFF2-40B4-BE49-F238E27FC236}">
              <a16:creationId xmlns:a16="http://schemas.microsoft.com/office/drawing/2014/main" id="{31270C72-172B-43D3-BEC3-70CEF8093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228600</xdr:colOff>
      <xdr:row>31</xdr:row>
      <xdr:rowOff>0</xdr:rowOff>
    </xdr:from>
    <xdr:to>
      <xdr:col>10</xdr:col>
      <xdr:colOff>541020</xdr:colOff>
      <xdr:row>44</xdr:row>
      <xdr:rowOff>91440</xdr:rowOff>
    </xdr:to>
    <xdr:graphicFrame macro="">
      <xdr:nvGraphicFramePr>
        <xdr:cNvPr id="7" name="Chart 6">
          <a:extLst>
            <a:ext uri="{FF2B5EF4-FFF2-40B4-BE49-F238E27FC236}">
              <a16:creationId xmlns:a16="http://schemas.microsoft.com/office/drawing/2014/main" id="{3492049E-8366-4A79-A000-01CC120EF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17</xdr:row>
      <xdr:rowOff>144780</xdr:rowOff>
    </xdr:from>
    <xdr:to>
      <xdr:col>5</xdr:col>
      <xdr:colOff>251460</xdr:colOff>
      <xdr:row>30</xdr:row>
      <xdr:rowOff>45720</xdr:rowOff>
    </xdr:to>
    <xdr:graphicFrame macro="">
      <xdr:nvGraphicFramePr>
        <xdr:cNvPr id="4" name="Chart 3">
          <a:extLst>
            <a:ext uri="{FF2B5EF4-FFF2-40B4-BE49-F238E27FC236}">
              <a16:creationId xmlns:a16="http://schemas.microsoft.com/office/drawing/2014/main" id="{FEFF2CB8-BBCC-4DB9-A58F-0205A1CD5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259080</xdr:colOff>
      <xdr:row>17</xdr:row>
      <xdr:rowOff>152400</xdr:rowOff>
    </xdr:from>
    <xdr:to>
      <xdr:col>11</xdr:col>
      <xdr:colOff>7620</xdr:colOff>
      <xdr:row>30</xdr:row>
      <xdr:rowOff>53340</xdr:rowOff>
    </xdr:to>
    <xdr:graphicFrame macro="">
      <xdr:nvGraphicFramePr>
        <xdr:cNvPr id="8" name="Chart 7">
          <a:extLst>
            <a:ext uri="{FF2B5EF4-FFF2-40B4-BE49-F238E27FC236}">
              <a16:creationId xmlns:a16="http://schemas.microsoft.com/office/drawing/2014/main" id="{C3451783-8F2D-42AC-B2BC-5C466ED7E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44</xdr:row>
      <xdr:rowOff>152400</xdr:rowOff>
    </xdr:from>
    <xdr:to>
      <xdr:col>5</xdr:col>
      <xdr:colOff>144780</xdr:colOff>
      <xdr:row>60</xdr:row>
      <xdr:rowOff>0</xdr:rowOff>
    </xdr:to>
    <xdr:graphicFrame macro="">
      <xdr:nvGraphicFramePr>
        <xdr:cNvPr id="9" name="Chart 8">
          <a:extLst>
            <a:ext uri="{FF2B5EF4-FFF2-40B4-BE49-F238E27FC236}">
              <a16:creationId xmlns:a16="http://schemas.microsoft.com/office/drawing/2014/main" id="{E664A473-D5A9-4D79-A604-DD366E315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396240</xdr:colOff>
      <xdr:row>17</xdr:row>
      <xdr:rowOff>160020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5032D9C-9403-47F2-8BC9-E5D723C9A6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236220"/>
              <a:ext cx="4663440" cy="3086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396240</xdr:colOff>
      <xdr:row>1</xdr:row>
      <xdr:rowOff>7620</xdr:rowOff>
    </xdr:from>
    <xdr:to>
      <xdr:col>15</xdr:col>
      <xdr:colOff>114300</xdr:colOff>
      <xdr:row>17</xdr:row>
      <xdr:rowOff>144780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E5E8549-6EC5-4316-B3DE-F5A22A39C4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663440" y="243840"/>
              <a:ext cx="4594860" cy="30632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190500</xdr:colOff>
      <xdr:row>30</xdr:row>
      <xdr:rowOff>167640</xdr:rowOff>
    </xdr:from>
    <xdr:to>
      <xdr:col>16</xdr:col>
      <xdr:colOff>358140</xdr:colOff>
      <xdr:row>43</xdr:row>
      <xdr:rowOff>45720</xdr:rowOff>
    </xdr:to>
    <xdr:graphicFrame macro="">
      <xdr:nvGraphicFramePr>
        <xdr:cNvPr id="6" name="Chart 5">
          <a:extLst>
            <a:ext uri="{FF2B5EF4-FFF2-40B4-BE49-F238E27FC236}">
              <a16:creationId xmlns:a16="http://schemas.microsoft.com/office/drawing/2014/main" id="{96630567-B312-4648-96DE-8E5577B09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30</xdr:row>
      <xdr:rowOff>175260</xdr:rowOff>
    </xdr:from>
    <xdr:to>
      <xdr:col>5</xdr:col>
      <xdr:colOff>259080</xdr:colOff>
      <xdr:row>43</xdr:row>
      <xdr:rowOff>30480</xdr:rowOff>
    </xdr:to>
    <xdr:graphicFrame macro="">
      <xdr:nvGraphicFramePr>
        <xdr:cNvPr id="7" name="Chart 6">
          <a:extLst>
            <a:ext uri="{FF2B5EF4-FFF2-40B4-BE49-F238E27FC236}">
              <a16:creationId xmlns:a16="http://schemas.microsoft.com/office/drawing/2014/main" id="{9BC42571-A3C6-4E23-BB0B-5A7974CE0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266700</xdr:colOff>
      <xdr:row>30</xdr:row>
      <xdr:rowOff>152400</xdr:rowOff>
    </xdr:from>
    <xdr:to>
      <xdr:col>11</xdr:col>
      <xdr:colOff>182880</xdr:colOff>
      <xdr:row>43</xdr:row>
      <xdr:rowOff>15240</xdr:rowOff>
    </xdr:to>
    <xdr:graphicFrame macro="">
      <xdr:nvGraphicFramePr>
        <xdr:cNvPr id="8" name="Chart 7">
          <a:extLst>
            <a:ext uri="{FF2B5EF4-FFF2-40B4-BE49-F238E27FC236}">
              <a16:creationId xmlns:a16="http://schemas.microsoft.com/office/drawing/2014/main" id="{9230270B-B142-4F8C-8BB5-15261158C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19</xdr:row>
      <xdr:rowOff>0</xdr:rowOff>
    </xdr:from>
    <xdr:to>
      <xdr:col>5</xdr:col>
      <xdr:colOff>259080</xdr:colOff>
      <xdr:row>30</xdr:row>
      <xdr:rowOff>167640</xdr:rowOff>
    </xdr:to>
    <xdr:graphicFrame macro="">
      <xdr:nvGraphicFramePr>
        <xdr:cNvPr id="9" name="Chart 8">
          <a:extLst>
            <a:ext uri="{FF2B5EF4-FFF2-40B4-BE49-F238E27FC236}">
              <a16:creationId xmlns:a16="http://schemas.microsoft.com/office/drawing/2014/main" id="{DE018F24-B423-42D3-BB0A-649ACD2DC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259080</xdr:colOff>
      <xdr:row>18</xdr:row>
      <xdr:rowOff>175260</xdr:rowOff>
    </xdr:from>
    <xdr:to>
      <xdr:col>11</xdr:col>
      <xdr:colOff>182880</xdr:colOff>
      <xdr:row>30</xdr:row>
      <xdr:rowOff>167640</xdr:rowOff>
    </xdr:to>
    <xdr:graphicFrame macro="">
      <xdr:nvGraphicFramePr>
        <xdr:cNvPr id="10" name="Chart 9">
          <a:extLst>
            <a:ext uri="{FF2B5EF4-FFF2-40B4-BE49-F238E27FC236}">
              <a16:creationId xmlns:a16="http://schemas.microsoft.com/office/drawing/2014/main" id="{1D8897CC-64CD-4926-8EE5-B221B6F52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43</xdr:row>
      <xdr:rowOff>53340</xdr:rowOff>
    </xdr:from>
    <xdr:to>
      <xdr:col>5</xdr:col>
      <xdr:colOff>274320</xdr:colOff>
      <xdr:row>57</xdr:row>
      <xdr:rowOff>0</xdr:rowOff>
    </xdr:to>
    <xdr:graphicFrame macro="">
      <xdr:nvGraphicFramePr>
        <xdr:cNvPr id="11" name="Chart 10">
          <a:extLst>
            <a:ext uri="{FF2B5EF4-FFF2-40B4-BE49-F238E27FC236}">
              <a16:creationId xmlns:a16="http://schemas.microsoft.com/office/drawing/2014/main" id="{4150646D-6C4E-4A0B-B576-EC7462674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Top" refreshedDate="45632.79573391204" createdVersion="8" refreshedVersion="8" minRefreshableVersion="3" recordCount="2221" xr:uid="{59468E38-D3EF-4AF5-9AED-388DBCEA1275}">
  <cacheSource type="worksheet">
    <worksheetSource name="CustomerCombinedCleaned"/>
  </cacheSource>
  <cacheFields count="29">
    <cacheField name="ID" numFmtId="0">
      <sharedItems containsSemiMixedTypes="0" containsString="0" containsNumber="1" containsInteger="1" minValue="1001" maxValue="3220"/>
    </cacheField>
    <cacheField name="Income" numFmtId="3">
      <sharedItems containsSemiMixedTypes="0" containsString="0" containsNumber="1" containsInteger="1" minValue="101730" maxValue="213734"/>
    </cacheField>
    <cacheField name="Kids" numFmtId="3">
      <sharedItems containsSemiMixedTypes="0" containsString="0" containsNumber="1" containsInteger="1" minValue="0" maxValue="2"/>
    </cacheField>
    <cacheField name="Teens" numFmtId="3">
      <sharedItems containsSemiMixedTypes="0" containsString="0" containsNumber="1" containsInteger="1" minValue="0" maxValue="2"/>
    </cacheField>
    <cacheField name="Age" numFmtId="3">
      <sharedItems containsSemiMixedTypes="0" containsString="0" containsNumber="1" containsInteger="1" minValue="24" maxValue="80" count="56">
        <n v="50"/>
        <n v="24"/>
        <n v="25"/>
        <n v="26"/>
        <n v="27"/>
        <n v="28"/>
        <n v="29"/>
        <n v="30"/>
        <n v="31"/>
        <n v="32"/>
        <n v="33"/>
        <n v="34"/>
        <n v="35"/>
        <n v="36"/>
        <n v="37"/>
        <n v="38"/>
        <n v="39"/>
        <n v="40"/>
        <n v="41"/>
        <n v="42"/>
        <n v="43"/>
        <n v="44"/>
        <n v="45"/>
        <n v="46"/>
        <n v="47"/>
        <n v="48"/>
        <n v="49"/>
        <n v="51"/>
        <n v="52"/>
        <n v="53"/>
        <n v="54"/>
        <n v="55"/>
        <n v="56"/>
        <n v="57"/>
        <n v="58"/>
        <n v="59"/>
        <n v="60"/>
        <n v="61"/>
        <n v="62"/>
        <n v="63"/>
        <n v="64"/>
        <n v="65"/>
        <n v="66"/>
        <n v="67"/>
        <n v="68"/>
        <n v="69"/>
        <n v="70"/>
        <n v="71"/>
        <n v="72"/>
        <n v="73"/>
        <n v="74"/>
        <n v="75"/>
        <n v="76"/>
        <n v="77"/>
        <n v="79"/>
        <n v="80"/>
      </sharedItems>
      <fieldGroup base="4">
        <rangePr startNum="24" endNum="80" groupInterval="10"/>
        <groupItems count="8">
          <s v="&lt;24"/>
          <s v="24-33"/>
          <s v="34-43"/>
          <s v="44-53"/>
          <s v="54-63"/>
          <s v="64-73"/>
          <s v="74-83"/>
          <s v="&gt;84"/>
        </groupItems>
      </fieldGroup>
    </cacheField>
    <cacheField name="Martial Status" numFmtId="49">
      <sharedItems/>
    </cacheField>
    <cacheField name="Education" numFmtId="49">
      <sharedItems/>
    </cacheField>
    <cacheField name="Enrollment" numFmtId="165">
      <sharedItems containsDate="1" containsMixedTypes="1" minDate="2020-01-07T00:00:00" maxDate="2020-11-04T00:00:00"/>
    </cacheField>
    <cacheField name="State" numFmtId="0">
      <sharedItems/>
    </cacheField>
    <cacheField name="Recency" numFmtId="3">
      <sharedItems containsSemiMixedTypes="0" containsString="0" containsNumber="1" containsInteger="1" minValue="0" maxValue="99"/>
    </cacheField>
    <cacheField name="Teas" numFmtId="3">
      <sharedItems containsSemiMixedTypes="0" containsString="0" containsNumber="1" containsInteger="1" minValue="0" maxValue="3734"/>
    </cacheField>
    <cacheField name="Fruits" numFmtId="3">
      <sharedItems containsSemiMixedTypes="0" containsString="0" containsNumber="1" containsInteger="1" minValue="0" maxValue="614"/>
    </cacheField>
    <cacheField name="Meats" numFmtId="3">
      <sharedItems containsSemiMixedTypes="0" containsString="0" containsNumber="1" containsInteger="1" minValue="0" maxValue="72219"/>
    </cacheField>
    <cacheField name="Seafood" numFmtId="3">
      <sharedItems containsSemiMixedTypes="0" containsString="0" containsNumber="1" containsInteger="1" minValue="0" maxValue="812"/>
    </cacheField>
    <cacheField name="Sweets" numFmtId="3">
      <sharedItems containsSemiMixedTypes="0" containsString="0" containsNumber="1" containsInteger="1" minValue="0" maxValue="855"/>
    </cacheField>
    <cacheField name="Premium" numFmtId="3">
      <sharedItems containsSemiMixedTypes="0" containsString="0" containsNumber="1" containsInteger="1" minValue="0" maxValue="7570"/>
    </cacheField>
    <cacheField name="Regular" numFmtId="3">
      <sharedItems containsSemiMixedTypes="0" containsString="0" containsNumber="1" containsInteger="1" minValue="0" maxValue="72345"/>
    </cacheField>
    <cacheField name="Deals" numFmtId="3">
      <sharedItems containsSemiMixedTypes="0" containsString="0" containsNumber="1" containsInteger="1" minValue="0" maxValue="15"/>
    </cacheField>
    <cacheField name="Website" numFmtId="3">
      <sharedItems containsSemiMixedTypes="0" containsString="0" containsNumber="1" containsInteger="1" minValue="0" maxValue="27"/>
    </cacheField>
    <cacheField name="Catalog" numFmtId="3">
      <sharedItems containsSemiMixedTypes="0" containsString="0" containsNumber="1" containsInteger="1" minValue="0" maxValue="28"/>
    </cacheField>
    <cacheField name="Store" numFmtId="3">
      <sharedItems containsSemiMixedTypes="0" containsString="0" containsNumber="1" containsInteger="1" minValue="0" maxValue="13"/>
    </cacheField>
    <cacheField name="Visits" numFmtId="3">
      <sharedItems containsSemiMixedTypes="0" containsString="0" containsNumber="1" containsInteger="1" minValue="0" maxValue="20"/>
    </cacheField>
    <cacheField name="Complaint" numFmtId="3">
      <sharedItems containsSemiMixedTypes="0" containsString="0" containsNumber="1" containsInteger="1" minValue="0" maxValue="1"/>
    </cacheField>
    <cacheField name="Pilot" numFmtId="3">
      <sharedItems containsSemiMixedTypes="0" containsString="0" containsNumber="1" containsInteger="1" minValue="0" maxValue="1"/>
    </cacheField>
    <cacheField name="MC1" numFmtId="3">
      <sharedItems containsSemiMixedTypes="0" containsString="0" containsNumber="1" containsInteger="1" minValue="0" maxValue="1"/>
    </cacheField>
    <cacheField name="MC2" numFmtId="3">
      <sharedItems containsSemiMixedTypes="0" containsString="0" containsNumber="1" containsInteger="1" minValue="0" maxValue="1"/>
    </cacheField>
    <cacheField name="MC3" numFmtId="3">
      <sharedItems containsSemiMixedTypes="0" containsString="0" containsNumber="1" containsInteger="1" minValue="0" maxValue="1"/>
    </cacheField>
    <cacheField name="MC4" numFmtId="3">
      <sharedItems containsSemiMixedTypes="0" containsString="0" containsNumber="1" containsInteger="1" minValue="0" maxValue="1"/>
    </cacheField>
    <cacheField name="MC5" numFmtId="3">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1">
  <r>
    <n v="3220"/>
    <n v="169534"/>
    <n v="1"/>
    <n v="1"/>
    <x v="0"/>
    <s v="Married"/>
    <s v="PhD"/>
    <s v="3/22/2019"/>
    <s v="Other"/>
    <n v="40"/>
    <n v="205"/>
    <n v="7"/>
    <n v="149"/>
    <n v="5"/>
    <n v="2"/>
    <n v="51"/>
    <n v="317"/>
    <n v="3"/>
    <n v="3"/>
    <n v="1"/>
    <n v="4"/>
    <n v="7"/>
    <n v="0"/>
    <n v="1"/>
    <n v="0"/>
    <n v="0"/>
    <n v="0"/>
    <n v="0"/>
    <n v="0"/>
  </r>
  <r>
    <n v="2151"/>
    <n v="114421"/>
    <n v="0"/>
    <n v="0"/>
    <x v="1"/>
    <s v="Married"/>
    <s v="Basic"/>
    <s v="7/24/2020"/>
    <s v="Texas"/>
    <n v="81"/>
    <n v="0"/>
    <n v="0"/>
    <n v="16"/>
    <n v="24"/>
    <n v="24"/>
    <n v="63"/>
    <n v="0"/>
    <n v="1"/>
    <n v="1"/>
    <n v="0"/>
    <n v="2"/>
    <n v="5"/>
    <n v="0"/>
    <n v="0"/>
    <n v="0"/>
    <n v="0"/>
    <n v="1"/>
    <n v="0"/>
    <n v="0"/>
  </r>
  <r>
    <n v="1044"/>
    <n v="107500"/>
    <n v="0"/>
    <n v="0"/>
    <x v="1"/>
    <s v="Married"/>
    <s v="Graduate"/>
    <s v="4/16/2019"/>
    <s v="Florida"/>
    <n v="24"/>
    <n v="43"/>
    <n v="258"/>
    <n v="201"/>
    <n v="215"/>
    <n v="315"/>
    <n v="717"/>
    <n v="315"/>
    <n v="3"/>
    <n v="3"/>
    <n v="1"/>
    <n v="3"/>
    <n v="9"/>
    <n v="0"/>
    <n v="1"/>
    <n v="0"/>
    <n v="0"/>
    <n v="0"/>
    <n v="0"/>
    <n v="0"/>
  </r>
  <r>
    <n v="2825"/>
    <n v="183257"/>
    <n v="0"/>
    <n v="0"/>
    <x v="2"/>
    <s v="Single"/>
    <s v="Graduate"/>
    <s v="2/23/2019"/>
    <s v="California"/>
    <n v="56"/>
    <n v="1180"/>
    <n v="59"/>
    <n v="1299"/>
    <n v="84"/>
    <n v="236"/>
    <n v="147"/>
    <n v="2710"/>
    <n v="1"/>
    <n v="5"/>
    <n v="10"/>
    <n v="12"/>
    <n v="6"/>
    <n v="1"/>
    <n v="1"/>
    <n v="0"/>
    <n v="0"/>
    <n v="1"/>
    <n v="0"/>
    <n v="1"/>
  </r>
  <r>
    <n v="3181"/>
    <n v="180617"/>
    <n v="0"/>
    <n v="0"/>
    <x v="2"/>
    <s v="Single"/>
    <s v="Graduate"/>
    <s v="3/19/2019"/>
    <s v="Illinois"/>
    <n v="42"/>
    <n v="1331"/>
    <n v="114"/>
    <n v="1414"/>
    <n v="161"/>
    <n v="123"/>
    <n v="72"/>
    <n v="3072"/>
    <n v="1"/>
    <n v="4"/>
    <n v="6"/>
    <n v="8"/>
    <n v="2"/>
    <n v="0"/>
    <n v="0"/>
    <n v="0"/>
    <n v="0"/>
    <n v="0"/>
    <n v="0"/>
    <n v="0"/>
  </r>
  <r>
    <n v="1728"/>
    <n v="171163"/>
    <n v="0"/>
    <n v="0"/>
    <x v="2"/>
    <s v="Single"/>
    <s v="Graduate"/>
    <s v="8/13/2020"/>
    <s v="Florida"/>
    <n v="30"/>
    <n v="681"/>
    <n v="41"/>
    <n v="895"/>
    <n v="332"/>
    <n v="255"/>
    <n v="106"/>
    <n v="2097"/>
    <n v="1"/>
    <n v="3"/>
    <n v="8"/>
    <n v="12"/>
    <n v="1"/>
    <n v="0"/>
    <n v="0"/>
    <n v="0"/>
    <n v="0"/>
    <n v="0"/>
    <n v="0"/>
    <n v="0"/>
  </r>
  <r>
    <n v="1677"/>
    <n v="134824"/>
    <n v="0"/>
    <n v="0"/>
    <x v="2"/>
    <s v="Single"/>
    <s v="Graduate"/>
    <s v="8/30/2020"/>
    <s v="Texas"/>
    <n v="65"/>
    <n v="15"/>
    <n v="8"/>
    <n v="43"/>
    <n v="8"/>
    <n v="0"/>
    <n v="15"/>
    <n v="58"/>
    <n v="1"/>
    <n v="1"/>
    <n v="0"/>
    <n v="2"/>
    <n v="6"/>
    <n v="0"/>
    <n v="0"/>
    <n v="0"/>
    <n v="0"/>
    <n v="0"/>
    <n v="0"/>
    <n v="0"/>
  </r>
  <r>
    <n v="1976"/>
    <n v="134824"/>
    <n v="0"/>
    <n v="0"/>
    <x v="2"/>
    <s v="Single"/>
    <s v="Graduate"/>
    <s v="8/30/2020"/>
    <s v="New York"/>
    <n v="65"/>
    <n v="15"/>
    <n v="8"/>
    <n v="43"/>
    <n v="8"/>
    <n v="0"/>
    <n v="15"/>
    <n v="58"/>
    <n v="1"/>
    <n v="1"/>
    <n v="0"/>
    <n v="2"/>
    <n v="6"/>
    <n v="0"/>
    <n v="0"/>
    <n v="0"/>
    <n v="0"/>
    <n v="0"/>
    <n v="0"/>
    <n v="0"/>
  </r>
  <r>
    <n v="1895"/>
    <n v="195529"/>
    <n v="0"/>
    <n v="0"/>
    <x v="3"/>
    <s v="Single"/>
    <s v="Graduate"/>
    <s v="5/10/2019"/>
    <s v="California"/>
    <n v="29"/>
    <n v="1576"/>
    <n v="59"/>
    <n v="1822"/>
    <n v="512"/>
    <n v="55"/>
    <n v="49"/>
    <n v="3975"/>
    <n v="1"/>
    <n v="7"/>
    <n v="3"/>
    <n v="7"/>
    <n v="3"/>
    <n v="0"/>
    <n v="1"/>
    <n v="0"/>
    <n v="0"/>
    <n v="0"/>
    <n v="0"/>
    <n v="1"/>
  </r>
  <r>
    <n v="2144"/>
    <n v="180685"/>
    <n v="0"/>
    <n v="0"/>
    <x v="3"/>
    <s v="Together"/>
    <s v="Graduate"/>
    <s v="1/27/2019"/>
    <s v="New York"/>
    <n v="55"/>
    <n v="540"/>
    <n v="101"/>
    <n v="1353"/>
    <n v="76"/>
    <n v="58"/>
    <n v="121"/>
    <n v="2006"/>
    <n v="1"/>
    <n v="6"/>
    <n v="4"/>
    <n v="10"/>
    <n v="2"/>
    <n v="0"/>
    <n v="0"/>
    <n v="0"/>
    <n v="0"/>
    <n v="0"/>
    <n v="0"/>
    <n v="0"/>
  </r>
  <r>
    <n v="1401"/>
    <n v="180134"/>
    <n v="0"/>
    <n v="0"/>
    <x v="3"/>
    <s v="Together"/>
    <s v="Graduate"/>
    <s v="7/21/2020"/>
    <s v="Texas"/>
    <n v="11"/>
    <n v="2171"/>
    <n v="58"/>
    <n v="634"/>
    <n v="117"/>
    <n v="58"/>
    <n v="58"/>
    <n v="2981"/>
    <n v="1"/>
    <n v="2"/>
    <n v="7"/>
    <n v="11"/>
    <n v="5"/>
    <n v="0"/>
    <n v="0"/>
    <n v="1"/>
    <n v="1"/>
    <n v="0"/>
    <n v="1"/>
    <n v="1"/>
  </r>
  <r>
    <n v="3062"/>
    <n v="179244"/>
    <n v="0"/>
    <n v="0"/>
    <x v="4"/>
    <s v="Single"/>
    <s v="Graduate"/>
    <s v="5/26/2019"/>
    <s v="New York"/>
    <n v="58"/>
    <n v="1065"/>
    <n v="231"/>
    <n v="283"/>
    <n v="480"/>
    <n v="138"/>
    <n v="554"/>
    <n v="1642"/>
    <n v="1"/>
    <n v="4"/>
    <n v="10"/>
    <n v="7"/>
    <n v="1"/>
    <n v="0"/>
    <n v="1"/>
    <n v="1"/>
    <n v="0"/>
    <n v="0"/>
    <n v="0"/>
    <n v="1"/>
  </r>
  <r>
    <n v="1376"/>
    <n v="174293"/>
    <n v="0"/>
    <n v="0"/>
    <x v="4"/>
    <s v="Single"/>
    <s v="Graduate"/>
    <s v="10/8/2020"/>
    <s v="New York"/>
    <n v="66"/>
    <n v="880"/>
    <n v="357"/>
    <n v="786"/>
    <n v="218"/>
    <n v="213"/>
    <n v="190"/>
    <n v="2264"/>
    <n v="1"/>
    <n v="5"/>
    <n v="4"/>
    <n v="6"/>
    <n v="2"/>
    <n v="0"/>
    <n v="0"/>
    <n v="0"/>
    <n v="0"/>
    <n v="0"/>
    <n v="0"/>
    <n v="0"/>
  </r>
  <r>
    <n v="1909"/>
    <n v="174293"/>
    <n v="0"/>
    <n v="0"/>
    <x v="4"/>
    <s v="Single"/>
    <s v="Graduate"/>
    <s v="10/8/2020"/>
    <s v="Illinois"/>
    <n v="66"/>
    <n v="880"/>
    <n v="357"/>
    <n v="786"/>
    <n v="218"/>
    <n v="213"/>
    <n v="190"/>
    <n v="2264"/>
    <n v="1"/>
    <n v="5"/>
    <n v="4"/>
    <n v="6"/>
    <n v="2"/>
    <n v="0"/>
    <n v="0"/>
    <n v="0"/>
    <n v="0"/>
    <n v="0"/>
    <n v="0"/>
    <n v="0"/>
  </r>
  <r>
    <n v="1902"/>
    <n v="172354"/>
    <n v="0"/>
    <n v="0"/>
    <x v="4"/>
    <s v="Single"/>
    <s v="Graduate"/>
    <s v="9/22/2019"/>
    <s v="Florida"/>
    <n v="67"/>
    <n v="750"/>
    <n v="62"/>
    <n v="1127"/>
    <n v="524"/>
    <n v="29"/>
    <n v="434"/>
    <n v="2058"/>
    <n v="1"/>
    <n v="2"/>
    <n v="10"/>
    <n v="6"/>
    <n v="1"/>
    <n v="0"/>
    <n v="0"/>
    <n v="0"/>
    <n v="0"/>
    <n v="0"/>
    <n v="0"/>
    <n v="0"/>
  </r>
  <r>
    <n v="2331"/>
    <n v="170515"/>
    <n v="0"/>
    <n v="0"/>
    <x v="4"/>
    <s v="Single"/>
    <s v="Graduate"/>
    <s v="3/27/2020"/>
    <s v="Texas"/>
    <n v="12"/>
    <n v="1016"/>
    <n v="0"/>
    <n v="1093"/>
    <n v="440"/>
    <n v="155"/>
    <n v="339"/>
    <n v="2365"/>
    <n v="1"/>
    <n v="6"/>
    <n v="6"/>
    <n v="4"/>
    <n v="2"/>
    <n v="0"/>
    <n v="1"/>
    <n v="0"/>
    <n v="0"/>
    <n v="0"/>
    <n v="0"/>
    <n v="0"/>
  </r>
  <r>
    <n v="1130"/>
    <n v="192859"/>
    <n v="0"/>
    <n v="0"/>
    <x v="5"/>
    <s v="Single"/>
    <s v="Master"/>
    <s v="3/26/2019"/>
    <s v="New York"/>
    <n v="46"/>
    <n v="1998"/>
    <n v="127"/>
    <n v="1913"/>
    <n v="108"/>
    <n v="127"/>
    <n v="42"/>
    <n v="4231"/>
    <n v="1"/>
    <n v="5"/>
    <n v="4"/>
    <n v="12"/>
    <n v="2"/>
    <n v="0"/>
    <n v="0"/>
    <n v="0"/>
    <n v="0"/>
    <n v="0"/>
    <n v="0"/>
    <n v="0"/>
  </r>
  <r>
    <n v="3055"/>
    <n v="187000"/>
    <n v="0"/>
    <n v="0"/>
    <x v="5"/>
    <s v="Married"/>
    <s v="Graduate"/>
    <s v="5/22/2019"/>
    <s v="Illinois"/>
    <n v="61"/>
    <n v="421"/>
    <n v="54"/>
    <n v="1305"/>
    <n v="144"/>
    <n v="37"/>
    <n v="105"/>
    <n v="1855"/>
    <n v="1"/>
    <n v="4"/>
    <n v="6"/>
    <n v="7"/>
    <n v="2"/>
    <n v="0"/>
    <n v="0"/>
    <n v="0"/>
    <n v="0"/>
    <n v="0"/>
    <n v="0"/>
    <n v="0"/>
  </r>
  <r>
    <n v="2047"/>
    <n v="183528"/>
    <n v="0"/>
    <n v="0"/>
    <x v="5"/>
    <s v="Single"/>
    <s v="Graduate"/>
    <s v="10/5/2020"/>
    <s v="Illinois"/>
    <n v="7"/>
    <n v="1165"/>
    <n v="257"/>
    <n v="1490"/>
    <n v="294"/>
    <n v="97"/>
    <n v="323"/>
    <n v="2979"/>
    <n v="1"/>
    <n v="4"/>
    <n v="10"/>
    <n v="8"/>
    <n v="1"/>
    <n v="0"/>
    <n v="1"/>
    <n v="1"/>
    <n v="0"/>
    <n v="1"/>
    <n v="0"/>
    <n v="0"/>
  </r>
  <r>
    <n v="1892"/>
    <n v="175114"/>
    <n v="0"/>
    <n v="0"/>
    <x v="5"/>
    <s v="Together"/>
    <s v="Graduate"/>
    <s v="4/13/2020"/>
    <s v="New York"/>
    <n v="40"/>
    <n v="1331"/>
    <n v="28"/>
    <n v="1219"/>
    <n v="147"/>
    <n v="140"/>
    <n v="56"/>
    <n v="2809"/>
    <n v="1"/>
    <n v="3"/>
    <n v="10"/>
    <n v="5"/>
    <n v="2"/>
    <n v="0"/>
    <n v="0"/>
    <n v="0"/>
    <n v="0"/>
    <n v="0"/>
    <n v="0"/>
    <n v="0"/>
  </r>
  <r>
    <n v="2788"/>
    <n v="163207"/>
    <n v="0"/>
    <n v="0"/>
    <x v="5"/>
    <s v="Together"/>
    <s v="Graduate"/>
    <s v="6/27/2019"/>
    <s v="Other"/>
    <n v="68"/>
    <n v="1131"/>
    <n v="436"/>
    <n v="1459"/>
    <n v="235"/>
    <n v="436"/>
    <n v="181"/>
    <n v="3517"/>
    <n v="1"/>
    <n v="2"/>
    <n v="3"/>
    <n v="6"/>
    <n v="7"/>
    <n v="0"/>
    <n v="0"/>
    <n v="1"/>
    <n v="0"/>
    <n v="0"/>
    <n v="0"/>
    <n v="0"/>
  </r>
  <r>
    <n v="1812"/>
    <n v="148789"/>
    <n v="0"/>
    <n v="0"/>
    <x v="5"/>
    <s v="Single"/>
    <s v="Graduate"/>
    <s v="2/15/2019"/>
    <s v="Florida"/>
    <n v="94"/>
    <n v="1070"/>
    <n v="49"/>
    <n v="476"/>
    <n v="21"/>
    <n v="15"/>
    <n v="442"/>
    <n v="1189"/>
    <n v="1"/>
    <n v="6"/>
    <n v="4"/>
    <n v="7"/>
    <n v="6"/>
    <n v="0"/>
    <n v="0"/>
    <n v="0"/>
    <n v="0"/>
    <n v="0"/>
    <n v="0"/>
    <n v="0"/>
  </r>
  <r>
    <n v="1296"/>
    <n v="142670"/>
    <n v="0"/>
    <n v="0"/>
    <x v="5"/>
    <s v="Together"/>
    <s v="Master"/>
    <s v="10/2/2019"/>
    <s v="Florida"/>
    <n v="12"/>
    <n v="515"/>
    <n v="7"/>
    <n v="154"/>
    <n v="67"/>
    <n v="13"/>
    <n v="50"/>
    <n v="705"/>
    <n v="1"/>
    <n v="4"/>
    <n v="2"/>
    <n v="4"/>
    <n v="4"/>
    <n v="0"/>
    <n v="0"/>
    <n v="0"/>
    <n v="0"/>
    <n v="0"/>
    <n v="0"/>
    <n v="0"/>
  </r>
  <r>
    <n v="1492"/>
    <n v="134935"/>
    <n v="0"/>
    <n v="0"/>
    <x v="5"/>
    <s v="Married"/>
    <s v="Graduate"/>
    <s v="11/26/2019"/>
    <s v="Other"/>
    <n v="71"/>
    <n v="131"/>
    <n v="15"/>
    <n v="255"/>
    <n v="12"/>
    <n v="39"/>
    <n v="77"/>
    <n v="375"/>
    <n v="1"/>
    <n v="2"/>
    <n v="1"/>
    <n v="4"/>
    <n v="7"/>
    <n v="0"/>
    <n v="0"/>
    <n v="0"/>
    <n v="0"/>
    <n v="0"/>
    <n v="0"/>
    <n v="0"/>
  </r>
  <r>
    <n v="2554"/>
    <n v="134935"/>
    <n v="0"/>
    <n v="0"/>
    <x v="5"/>
    <s v="Married"/>
    <s v="Graduate"/>
    <s v="11/26/2019"/>
    <s v="Other"/>
    <n v="71"/>
    <n v="131"/>
    <n v="15"/>
    <n v="255"/>
    <n v="12"/>
    <n v="39"/>
    <n v="77"/>
    <n v="375"/>
    <n v="1"/>
    <n v="2"/>
    <n v="1"/>
    <n v="4"/>
    <n v="7"/>
    <n v="0"/>
    <n v="0"/>
    <n v="0"/>
    <n v="0"/>
    <n v="0"/>
    <n v="0"/>
    <n v="0"/>
  </r>
  <r>
    <n v="2689"/>
    <n v="118746"/>
    <n v="1"/>
    <n v="0"/>
    <x v="5"/>
    <s v="Single"/>
    <s v="Basic"/>
    <s v="11/2/2020"/>
    <s v="Illinois"/>
    <n v="41"/>
    <n v="13"/>
    <n v="63"/>
    <n v="70"/>
    <n v="76"/>
    <n v="57"/>
    <n v="127"/>
    <n v="152"/>
    <n v="2"/>
    <n v="3"/>
    <n v="0"/>
    <n v="3"/>
    <n v="6"/>
    <n v="0"/>
    <n v="0"/>
    <n v="0"/>
    <n v="0"/>
    <n v="0"/>
    <n v="0"/>
    <n v="0"/>
  </r>
  <r>
    <n v="2341"/>
    <n v="117256"/>
    <n v="1"/>
    <n v="0"/>
    <x v="5"/>
    <s v="Married"/>
    <s v="Basic"/>
    <s v="4/29/2020"/>
    <s v="Illinois"/>
    <n v="10"/>
    <n v="41"/>
    <n v="27"/>
    <n v="95"/>
    <n v="54"/>
    <n v="54"/>
    <n v="149"/>
    <n v="122"/>
    <n v="2"/>
    <n v="2"/>
    <n v="1"/>
    <n v="2"/>
    <n v="8"/>
    <n v="0"/>
    <n v="0"/>
    <n v="0"/>
    <n v="0"/>
    <n v="1"/>
    <n v="0"/>
    <n v="0"/>
  </r>
  <r>
    <n v="3132"/>
    <n v="115253"/>
    <n v="1"/>
    <n v="0"/>
    <x v="5"/>
    <s v="Single"/>
    <s v="Basic"/>
    <s v="4/3/2020"/>
    <s v="Florida"/>
    <n v="13"/>
    <n v="8"/>
    <n v="23"/>
    <n v="23"/>
    <n v="60"/>
    <n v="8"/>
    <n v="98"/>
    <n v="23"/>
    <n v="2"/>
    <n v="1"/>
    <n v="0"/>
    <n v="3"/>
    <n v="7"/>
    <n v="0"/>
    <n v="0"/>
    <n v="0"/>
    <n v="0"/>
    <n v="0"/>
    <n v="0"/>
    <n v="0"/>
  </r>
  <r>
    <n v="2227"/>
    <n v="107500"/>
    <n v="1"/>
    <n v="0"/>
    <x v="5"/>
    <s v="Single"/>
    <s v="Basic"/>
    <s v="5/10/2019"/>
    <s v="Illinois"/>
    <n v="63"/>
    <n v="143"/>
    <n v="244"/>
    <n v="258"/>
    <n v="115"/>
    <n v="373"/>
    <n v="573"/>
    <n v="559"/>
    <n v="4"/>
    <n v="3"/>
    <n v="2"/>
    <n v="2"/>
    <n v="9"/>
    <n v="0"/>
    <n v="0"/>
    <n v="0"/>
    <n v="0"/>
    <n v="0"/>
    <n v="0"/>
    <n v="0"/>
  </r>
  <r>
    <n v="2160"/>
    <n v="190638"/>
    <n v="0"/>
    <n v="0"/>
    <x v="6"/>
    <s v="Single"/>
    <s v="Master"/>
    <s v="7/20/2020"/>
    <s v="Florida"/>
    <n v="29"/>
    <n v="2431"/>
    <n v="252"/>
    <n v="1925"/>
    <n v="198"/>
    <n v="303"/>
    <n v="202"/>
    <n v="4907"/>
    <n v="1"/>
    <n v="3"/>
    <n v="4"/>
    <n v="10"/>
    <n v="1"/>
    <n v="0"/>
    <n v="0"/>
    <n v="0"/>
    <n v="0"/>
    <n v="0"/>
    <n v="0"/>
    <n v="1"/>
  </r>
  <r>
    <n v="2548"/>
    <n v="190638"/>
    <n v="0"/>
    <n v="0"/>
    <x v="6"/>
    <s v="Single"/>
    <s v="Master"/>
    <s v="7/20/2020"/>
    <s v="Other"/>
    <n v="29"/>
    <n v="2431"/>
    <n v="252"/>
    <n v="1925"/>
    <n v="198"/>
    <n v="303"/>
    <n v="202"/>
    <n v="4907"/>
    <n v="1"/>
    <n v="3"/>
    <n v="4"/>
    <n v="10"/>
    <n v="1"/>
    <n v="0"/>
    <n v="1"/>
    <n v="0"/>
    <n v="0"/>
    <n v="0"/>
    <n v="0"/>
    <n v="1"/>
  </r>
  <r>
    <n v="2697"/>
    <n v="190273"/>
    <n v="0"/>
    <n v="0"/>
    <x v="6"/>
    <s v="Single"/>
    <s v="Graduate"/>
    <s v="5/20/2020"/>
    <s v="Texas"/>
    <n v="32"/>
    <n v="1484"/>
    <n v="272"/>
    <n v="1798"/>
    <n v="253"/>
    <n v="156"/>
    <n v="234"/>
    <n v="3729"/>
    <n v="1"/>
    <n v="5"/>
    <n v="6"/>
    <n v="7"/>
    <n v="2"/>
    <n v="0"/>
    <n v="1"/>
    <n v="1"/>
    <n v="0"/>
    <n v="0"/>
    <n v="1"/>
    <n v="1"/>
  </r>
  <r>
    <n v="1710"/>
    <n v="189891"/>
    <n v="0"/>
    <n v="0"/>
    <x v="6"/>
    <s v="Together"/>
    <s v="Graduate"/>
    <s v="9/20/2019"/>
    <s v="Florida"/>
    <n v="17"/>
    <n v="870"/>
    <n v="46"/>
    <n v="279"/>
    <n v="125"/>
    <n v="59"/>
    <n v="387"/>
    <n v="993"/>
    <n v="1"/>
    <n v="11"/>
    <n v="6"/>
    <n v="8"/>
    <n v="4"/>
    <n v="0"/>
    <n v="0"/>
    <n v="0"/>
    <n v="0"/>
    <n v="0"/>
    <n v="0"/>
    <n v="1"/>
  </r>
  <r>
    <n v="1105"/>
    <n v="186037"/>
    <n v="0"/>
    <n v="0"/>
    <x v="6"/>
    <s v="Single"/>
    <s v="Graduate"/>
    <s v="6/9/2019"/>
    <s v="Illinois"/>
    <n v="95"/>
    <n v="1060"/>
    <n v="95"/>
    <n v="270"/>
    <n v="63"/>
    <n v="43"/>
    <n v="48"/>
    <n v="1483"/>
    <n v="1"/>
    <n v="6"/>
    <n v="7"/>
    <n v="11"/>
    <n v="3"/>
    <n v="0"/>
    <n v="1"/>
    <n v="0"/>
    <n v="0"/>
    <n v="0"/>
    <n v="1"/>
    <n v="1"/>
  </r>
  <r>
    <n v="1379"/>
    <n v="168682"/>
    <n v="0"/>
    <n v="0"/>
    <x v="6"/>
    <s v="Together"/>
    <s v="PhD"/>
    <s v="3/12/2020"/>
    <s v="California"/>
    <n v="56"/>
    <n v="2257"/>
    <n v="0"/>
    <n v="1240"/>
    <n v="243"/>
    <n v="74"/>
    <n v="111"/>
    <n v="3704"/>
    <n v="1"/>
    <n v="4"/>
    <n v="9"/>
    <n v="10"/>
    <n v="2"/>
    <n v="0"/>
    <n v="0"/>
    <n v="0"/>
    <n v="0"/>
    <n v="0"/>
    <n v="0"/>
    <n v="0"/>
  </r>
  <r>
    <n v="2199"/>
    <n v="168682"/>
    <n v="0"/>
    <n v="0"/>
    <x v="6"/>
    <s v="Together"/>
    <s v="PhD"/>
    <s v="3/12/2020"/>
    <s v="Texas"/>
    <n v="56"/>
    <n v="2257"/>
    <n v="0"/>
    <n v="1240"/>
    <n v="243"/>
    <n v="74"/>
    <n v="111"/>
    <n v="3704"/>
    <n v="1"/>
    <n v="4"/>
    <n v="9"/>
    <n v="10"/>
    <n v="2"/>
    <n v="0"/>
    <n v="0"/>
    <n v="0"/>
    <n v="0"/>
    <n v="0"/>
    <n v="0"/>
    <n v="0"/>
  </r>
  <r>
    <n v="1103"/>
    <n v="168126"/>
    <n v="0"/>
    <n v="0"/>
    <x v="6"/>
    <s v="Single"/>
    <s v="PhD"/>
    <s v="4/17/2019"/>
    <s v="California"/>
    <n v="40"/>
    <n v="3287"/>
    <n v="42"/>
    <n v="768"/>
    <n v="57"/>
    <n v="126"/>
    <n v="212"/>
    <n v="4067"/>
    <n v="1"/>
    <n v="7"/>
    <n v="4"/>
    <n v="5"/>
    <n v="9"/>
    <n v="0"/>
    <n v="1"/>
    <n v="0"/>
    <n v="0"/>
    <n v="0"/>
    <n v="1"/>
    <n v="0"/>
  </r>
  <r>
    <n v="1827"/>
    <n v="161618"/>
    <n v="0"/>
    <n v="0"/>
    <x v="6"/>
    <s v="Single"/>
    <s v="Graduate"/>
    <s v="3/6/2019"/>
    <s v="Texas"/>
    <n v="27"/>
    <n v="1587"/>
    <n v="239"/>
    <n v="1047"/>
    <n v="0"/>
    <n v="118"/>
    <n v="538"/>
    <n v="2452"/>
    <n v="2"/>
    <n v="3"/>
    <n v="6"/>
    <n v="8"/>
    <n v="3"/>
    <n v="0"/>
    <n v="0"/>
    <n v="0"/>
    <n v="0"/>
    <n v="0"/>
    <n v="0"/>
    <n v="0"/>
  </r>
  <r>
    <n v="2962"/>
    <n v="151373"/>
    <n v="0"/>
    <n v="0"/>
    <x v="6"/>
    <s v="Married"/>
    <s v="Graduate"/>
    <s v="11/27/2019"/>
    <s v="Other"/>
    <n v="37"/>
    <n v="245"/>
    <n v="6"/>
    <n v="298"/>
    <n v="189"/>
    <n v="77"/>
    <n v="345"/>
    <n v="469"/>
    <n v="1"/>
    <n v="3"/>
    <n v="5"/>
    <n v="3"/>
    <n v="4"/>
    <n v="0"/>
    <n v="0"/>
    <n v="0"/>
    <n v="0"/>
    <n v="0"/>
    <n v="0"/>
    <n v="0"/>
  </r>
  <r>
    <n v="3015"/>
    <n v="149767"/>
    <n v="0"/>
    <n v="0"/>
    <x v="6"/>
    <s v="Single"/>
    <s v="Graduate"/>
    <s v="10/7/2019"/>
    <s v="Texas"/>
    <n v="92"/>
    <n v="608"/>
    <n v="141"/>
    <n v="593"/>
    <n v="166"/>
    <n v="126"/>
    <n v="448"/>
    <n v="1186"/>
    <n v="1"/>
    <n v="5"/>
    <n v="4"/>
    <n v="8"/>
    <n v="4"/>
    <n v="0"/>
    <n v="0"/>
    <n v="0"/>
    <n v="0"/>
    <n v="0"/>
    <n v="0"/>
    <n v="0"/>
  </r>
  <r>
    <n v="1506"/>
    <n v="142691"/>
    <n v="0"/>
    <n v="0"/>
    <x v="6"/>
    <s v="Married"/>
    <s v="Graduate"/>
    <s v="1/21/2020"/>
    <s v="Florida"/>
    <n v="48"/>
    <n v="598"/>
    <n v="7"/>
    <n v="214"/>
    <n v="127"/>
    <n v="57"/>
    <n v="194"/>
    <n v="809"/>
    <n v="1"/>
    <n v="5"/>
    <n v="1"/>
    <n v="6"/>
    <n v="5"/>
    <n v="0"/>
    <n v="0"/>
    <n v="0"/>
    <n v="0"/>
    <n v="0"/>
    <n v="0"/>
    <n v="0"/>
  </r>
  <r>
    <n v="1874"/>
    <n v="126868"/>
    <n v="1"/>
    <n v="0"/>
    <x v="6"/>
    <s v="Single"/>
    <s v="Basic"/>
    <s v="10/4/2020"/>
    <s v="New York"/>
    <n v="52"/>
    <n v="0"/>
    <n v="0"/>
    <n v="5"/>
    <n v="38"/>
    <n v="14"/>
    <n v="9"/>
    <n v="47"/>
    <n v="1"/>
    <n v="1"/>
    <n v="0"/>
    <n v="2"/>
    <n v="7"/>
    <n v="0"/>
    <n v="0"/>
    <n v="0"/>
    <n v="0"/>
    <n v="0"/>
    <n v="0"/>
    <n v="0"/>
  </r>
  <r>
    <n v="2650"/>
    <n v="120193"/>
    <n v="0"/>
    <n v="0"/>
    <x v="6"/>
    <s v="Together"/>
    <s v="Graduate"/>
    <s v="5/5/2019"/>
    <s v="Other"/>
    <n v="18"/>
    <n v="48"/>
    <n v="48"/>
    <n v="131"/>
    <n v="143"/>
    <n v="65"/>
    <n v="54"/>
    <n v="381"/>
    <n v="1"/>
    <n v="1"/>
    <n v="1"/>
    <n v="4"/>
    <n v="4"/>
    <n v="0"/>
    <n v="0"/>
    <n v="0"/>
    <n v="0"/>
    <n v="0"/>
    <n v="0"/>
    <n v="0"/>
  </r>
  <r>
    <n v="2023"/>
    <n v="108028"/>
    <n v="0"/>
    <n v="0"/>
    <x v="6"/>
    <s v="Single"/>
    <s v="Graduate"/>
    <s v="2/23/2019"/>
    <s v="Illinois"/>
    <n v="62"/>
    <n v="982"/>
    <n v="242"/>
    <n v="888"/>
    <n v="94"/>
    <n v="161"/>
    <n v="27"/>
    <n v="2341"/>
    <n v="15"/>
    <n v="0"/>
    <n v="1"/>
    <n v="0"/>
    <n v="19"/>
    <n v="0"/>
    <n v="0"/>
    <n v="0"/>
    <n v="0"/>
    <n v="0"/>
    <n v="0"/>
    <n v="0"/>
  </r>
  <r>
    <n v="2933"/>
    <n v="196843"/>
    <n v="0"/>
    <n v="0"/>
    <x v="7"/>
    <s v="Single"/>
    <s v="Graduate"/>
    <s v="9/28/2019"/>
    <s v="California"/>
    <n v="60"/>
    <n v="911"/>
    <n v="144"/>
    <n v="1933"/>
    <n v="81"/>
    <n v="35"/>
    <n v="35"/>
    <n v="3069"/>
    <n v="1"/>
    <n v="6"/>
    <n v="11"/>
    <n v="10"/>
    <n v="2"/>
    <n v="0"/>
    <n v="1"/>
    <n v="0"/>
    <n v="0"/>
    <n v="0"/>
    <n v="0"/>
    <n v="1"/>
  </r>
  <r>
    <n v="3135"/>
    <n v="191172"/>
    <n v="0"/>
    <n v="0"/>
    <x v="7"/>
    <s v="Single"/>
    <s v="Master"/>
    <s v="9/1/2019"/>
    <s v="Texas"/>
    <n v="94"/>
    <n v="340"/>
    <n v="59"/>
    <n v="1715"/>
    <n v="0"/>
    <n v="59"/>
    <n v="117"/>
    <n v="2055"/>
    <n v="0"/>
    <n v="4"/>
    <n v="3"/>
    <n v="7"/>
    <n v="3"/>
    <n v="0"/>
    <n v="1"/>
    <n v="1"/>
    <n v="1"/>
    <n v="1"/>
    <n v="0"/>
    <n v="1"/>
  </r>
  <r>
    <n v="2153"/>
    <n v="174214"/>
    <n v="0"/>
    <n v="0"/>
    <x v="7"/>
    <s v="Married"/>
    <s v="PhD"/>
    <s v="1/31/2019"/>
    <s v="California"/>
    <n v="3"/>
    <n v="2026"/>
    <n v="195"/>
    <n v="1284"/>
    <n v="202"/>
    <n v="232"/>
    <n v="77"/>
    <n v="3862"/>
    <n v="1"/>
    <n v="8"/>
    <n v="2"/>
    <n v="5"/>
    <n v="5"/>
    <n v="0"/>
    <n v="0"/>
    <n v="0"/>
    <n v="0"/>
    <n v="0"/>
    <n v="0"/>
    <n v="0"/>
  </r>
  <r>
    <n v="1230"/>
    <n v="173687"/>
    <n v="0"/>
    <n v="0"/>
    <x v="7"/>
    <s v="Married"/>
    <s v="Graduate"/>
    <s v="5/4/2020"/>
    <s v="Florida"/>
    <n v="8"/>
    <n v="1318"/>
    <n v="361"/>
    <n v="1186"/>
    <n v="514"/>
    <n v="31"/>
    <n v="427"/>
    <n v="2982"/>
    <n v="1"/>
    <n v="3"/>
    <n v="9"/>
    <n v="9"/>
    <n v="2"/>
    <n v="0"/>
    <n v="1"/>
    <n v="1"/>
    <n v="0"/>
    <n v="0"/>
    <n v="0"/>
    <n v="0"/>
  </r>
  <r>
    <n v="2588"/>
    <n v="164509"/>
    <n v="0"/>
    <n v="0"/>
    <x v="7"/>
    <s v="Single"/>
    <s v="Graduate"/>
    <s v="1/22/2020"/>
    <s v="New York"/>
    <n v="19"/>
    <n v="2132"/>
    <n v="472"/>
    <n v="1466"/>
    <n v="61"/>
    <n v="64"/>
    <n v="196"/>
    <n v="3999"/>
    <n v="1"/>
    <n v="6"/>
    <n v="3"/>
    <n v="9"/>
    <n v="4"/>
    <n v="0"/>
    <n v="1"/>
    <n v="0"/>
    <n v="0"/>
    <n v="1"/>
    <n v="0"/>
    <n v="0"/>
  </r>
  <r>
    <n v="2583"/>
    <n v="151250"/>
    <n v="1"/>
    <n v="0"/>
    <x v="7"/>
    <s v="Single"/>
    <s v="Graduate"/>
    <s v="9/4/2019"/>
    <s v="Texas"/>
    <n v="28"/>
    <n v="1009"/>
    <n v="94"/>
    <n v="679"/>
    <n v="100"/>
    <n v="94"/>
    <n v="118"/>
    <n v="1859"/>
    <n v="5"/>
    <n v="10"/>
    <n v="5"/>
    <n v="4"/>
    <n v="9"/>
    <n v="0"/>
    <n v="0"/>
    <n v="0"/>
    <n v="0"/>
    <n v="1"/>
    <n v="0"/>
    <n v="0"/>
  </r>
  <r>
    <n v="2470"/>
    <n v="135765"/>
    <n v="1"/>
    <n v="0"/>
    <x v="7"/>
    <s v="Married"/>
    <s v="Graduate"/>
    <s v="5/17/2020"/>
    <s v="Other"/>
    <n v="86"/>
    <n v="84"/>
    <n v="11"/>
    <n v="114"/>
    <n v="0"/>
    <n v="19"/>
    <n v="57"/>
    <n v="171"/>
    <n v="2"/>
    <n v="2"/>
    <n v="0"/>
    <n v="4"/>
    <n v="6"/>
    <n v="0"/>
    <n v="0"/>
    <n v="0"/>
    <n v="0"/>
    <n v="0"/>
    <n v="0"/>
    <n v="0"/>
  </r>
  <r>
    <n v="2390"/>
    <n v="134412"/>
    <n v="1"/>
    <n v="0"/>
    <x v="7"/>
    <s v="Single"/>
    <s v="Graduate"/>
    <s v="7/21/2019"/>
    <s v="New York"/>
    <n v="62"/>
    <n v="203"/>
    <n v="47"/>
    <n v="195"/>
    <n v="16"/>
    <n v="141"/>
    <n v="215"/>
    <n v="387"/>
    <n v="3"/>
    <n v="5"/>
    <n v="0"/>
    <n v="3"/>
    <n v="9"/>
    <n v="0"/>
    <n v="0"/>
    <n v="0"/>
    <n v="0"/>
    <n v="0"/>
    <n v="0"/>
    <n v="0"/>
  </r>
  <r>
    <n v="2822"/>
    <n v="130093"/>
    <n v="0"/>
    <n v="0"/>
    <x v="7"/>
    <s v="Married"/>
    <s v="Graduate"/>
    <s v="12/13/2019"/>
    <s v="New York"/>
    <n v="19"/>
    <n v="9"/>
    <n v="26"/>
    <n v="121"/>
    <n v="56"/>
    <n v="17"/>
    <n v="69"/>
    <n v="160"/>
    <n v="1"/>
    <n v="2"/>
    <n v="0"/>
    <n v="3"/>
    <n v="7"/>
    <n v="0"/>
    <n v="0"/>
    <n v="0"/>
    <n v="0"/>
    <n v="0"/>
    <n v="0"/>
    <n v="0"/>
  </r>
  <r>
    <n v="1501"/>
    <n v="126095"/>
    <n v="1"/>
    <n v="0"/>
    <x v="7"/>
    <s v="Single"/>
    <s v="Graduate"/>
    <s v="12/5/2019"/>
    <s v="Illinois"/>
    <n v="77"/>
    <n v="53"/>
    <n v="34"/>
    <n v="43"/>
    <n v="14"/>
    <n v="5"/>
    <n v="53"/>
    <n v="97"/>
    <n v="1"/>
    <n v="1"/>
    <n v="0"/>
    <n v="3"/>
    <n v="7"/>
    <n v="0"/>
    <n v="0"/>
    <n v="0"/>
    <n v="0"/>
    <n v="0"/>
    <n v="0"/>
    <n v="0"/>
  </r>
  <r>
    <n v="1529"/>
    <n v="124683"/>
    <n v="1"/>
    <n v="0"/>
    <x v="7"/>
    <s v="Married"/>
    <s v="Graduate"/>
    <s v="8/12/2020"/>
    <s v="California"/>
    <n v="98"/>
    <n v="40"/>
    <n v="20"/>
    <n v="51"/>
    <n v="30"/>
    <n v="35"/>
    <n v="30"/>
    <n v="146"/>
    <n v="2"/>
    <n v="2"/>
    <n v="0"/>
    <n v="4"/>
    <n v="5"/>
    <n v="0"/>
    <n v="0"/>
    <n v="0"/>
    <n v="0"/>
    <n v="0"/>
    <n v="0"/>
    <n v="0"/>
  </r>
  <r>
    <n v="1486"/>
    <n v="124279"/>
    <n v="0"/>
    <n v="0"/>
    <x v="7"/>
    <s v="Married"/>
    <s v="Basic"/>
    <s v="6/5/2019"/>
    <s v="Other"/>
    <n v="6"/>
    <n v="82"/>
    <n v="184"/>
    <n v="107"/>
    <n v="102"/>
    <n v="317"/>
    <n v="553"/>
    <n v="241"/>
    <n v="1"/>
    <n v="4"/>
    <n v="1"/>
    <n v="3"/>
    <n v="8"/>
    <n v="0"/>
    <n v="0"/>
    <n v="0"/>
    <n v="0"/>
    <n v="0"/>
    <n v="0"/>
    <n v="0"/>
  </r>
  <r>
    <n v="2323"/>
    <n v="118929"/>
    <n v="0"/>
    <n v="0"/>
    <x v="7"/>
    <s v="Married"/>
    <s v="Graduate"/>
    <s v="7/24/2019"/>
    <s v="Illinois"/>
    <n v="15"/>
    <n v="201"/>
    <n v="0"/>
    <n v="50"/>
    <n v="145"/>
    <n v="25"/>
    <n v="113"/>
    <n v="308"/>
    <n v="1"/>
    <n v="1"/>
    <n v="0"/>
    <n v="4"/>
    <n v="6"/>
    <n v="0"/>
    <n v="0"/>
    <n v="0"/>
    <n v="0"/>
    <n v="0"/>
    <n v="0"/>
    <n v="0"/>
  </r>
  <r>
    <n v="2891"/>
    <n v="118929"/>
    <n v="0"/>
    <n v="0"/>
    <x v="7"/>
    <s v="Married"/>
    <s v="Graduate"/>
    <s v="7/24/2019"/>
    <s v="California"/>
    <n v="15"/>
    <n v="201"/>
    <n v="0"/>
    <n v="50"/>
    <n v="145"/>
    <n v="25"/>
    <n v="113"/>
    <n v="308"/>
    <n v="1"/>
    <n v="1"/>
    <n v="0"/>
    <n v="4"/>
    <n v="6"/>
    <n v="0"/>
    <n v="0"/>
    <n v="0"/>
    <n v="0"/>
    <n v="0"/>
    <n v="0"/>
    <n v="0"/>
  </r>
  <r>
    <n v="3172"/>
    <n v="118929"/>
    <n v="0"/>
    <n v="0"/>
    <x v="7"/>
    <s v="Married"/>
    <s v="Graduate"/>
    <s v="7/24/2019"/>
    <s v="Other"/>
    <n v="15"/>
    <n v="201"/>
    <n v="0"/>
    <n v="50"/>
    <n v="145"/>
    <n v="25"/>
    <n v="113"/>
    <n v="308"/>
    <n v="1"/>
    <n v="1"/>
    <n v="0"/>
    <n v="4"/>
    <n v="6"/>
    <n v="0"/>
    <n v="0"/>
    <n v="0"/>
    <n v="0"/>
    <n v="0"/>
    <n v="0"/>
    <n v="0"/>
  </r>
  <r>
    <n v="2188"/>
    <n v="118351"/>
    <n v="0"/>
    <n v="0"/>
    <x v="7"/>
    <s v="Married"/>
    <s v="Graduate"/>
    <s v="4/4/2020"/>
    <s v="Other"/>
    <n v="1"/>
    <n v="6"/>
    <n v="77"/>
    <n v="58"/>
    <n v="0"/>
    <n v="90"/>
    <n v="45"/>
    <n v="187"/>
    <n v="1"/>
    <n v="2"/>
    <n v="0"/>
    <n v="3"/>
    <n v="7"/>
    <n v="0"/>
    <n v="0"/>
    <n v="0"/>
    <n v="0"/>
    <n v="0"/>
    <n v="0"/>
    <n v="0"/>
  </r>
  <r>
    <n v="2669"/>
    <n v="118222"/>
    <n v="0"/>
    <n v="0"/>
    <x v="7"/>
    <s v="Married"/>
    <s v="Graduate"/>
    <s v="6/7/2019"/>
    <s v="California"/>
    <n v="70"/>
    <n v="78"/>
    <n v="26"/>
    <n v="123"/>
    <n v="78"/>
    <n v="39"/>
    <n v="91"/>
    <n v="253"/>
    <n v="1"/>
    <n v="2"/>
    <n v="0"/>
    <n v="3"/>
    <n v="8"/>
    <n v="0"/>
    <n v="0"/>
    <n v="0"/>
    <n v="0"/>
    <n v="0"/>
    <n v="0"/>
    <n v="0"/>
  </r>
  <r>
    <n v="3168"/>
    <n v="116185"/>
    <n v="1"/>
    <n v="0"/>
    <x v="7"/>
    <s v="Single"/>
    <s v="Basic"/>
    <s v="1/10/2020"/>
    <s v="Florida"/>
    <n v="71"/>
    <n v="36"/>
    <n v="79"/>
    <n v="115"/>
    <n v="151"/>
    <n v="57"/>
    <n v="323"/>
    <n v="115"/>
    <n v="2"/>
    <n v="2"/>
    <n v="2"/>
    <n v="2"/>
    <n v="8"/>
    <n v="0"/>
    <n v="0"/>
    <n v="0"/>
    <n v="0"/>
    <n v="0"/>
    <n v="0"/>
    <n v="0"/>
  </r>
  <r>
    <n v="2866"/>
    <n v="188420"/>
    <n v="0"/>
    <n v="0"/>
    <x v="8"/>
    <s v="Together"/>
    <s v="Master"/>
    <s v="10/6/2020"/>
    <s v="Other"/>
    <n v="87"/>
    <n v="2039"/>
    <n v="326"/>
    <n v="1304"/>
    <n v="211"/>
    <n v="202"/>
    <n v="326"/>
    <n v="3757"/>
    <n v="1"/>
    <n v="4"/>
    <n v="7"/>
    <n v="8"/>
    <n v="1"/>
    <n v="0"/>
    <n v="0"/>
    <n v="1"/>
    <n v="0"/>
    <n v="1"/>
    <n v="0"/>
    <n v="1"/>
  </r>
  <r>
    <n v="1840"/>
    <n v="185710"/>
    <n v="0"/>
    <n v="0"/>
    <x v="8"/>
    <s v="Married"/>
    <s v="Graduate"/>
    <s v="10/10/2019"/>
    <s v="Other"/>
    <n v="5"/>
    <n v="1300"/>
    <n v="43"/>
    <n v="758"/>
    <n v="63"/>
    <n v="65"/>
    <n v="72"/>
    <n v="2158"/>
    <n v="1"/>
    <n v="6"/>
    <n v="9"/>
    <n v="10"/>
    <n v="2"/>
    <n v="0"/>
    <n v="0"/>
    <n v="0"/>
    <n v="0"/>
    <n v="0"/>
    <n v="0"/>
    <n v="1"/>
  </r>
  <r>
    <n v="1491"/>
    <n v="181217"/>
    <n v="0"/>
    <n v="0"/>
    <x v="8"/>
    <s v="Single"/>
    <s v="Graduate"/>
    <s v="12/24/2019"/>
    <s v="Texas"/>
    <n v="77"/>
    <n v="1100"/>
    <n v="156"/>
    <n v="723"/>
    <n v="326"/>
    <n v="89"/>
    <n v="187"/>
    <n v="2207"/>
    <n v="1"/>
    <n v="3"/>
    <n v="7"/>
    <n v="11"/>
    <n v="1"/>
    <n v="0"/>
    <n v="0"/>
    <n v="0"/>
    <n v="0"/>
    <n v="0"/>
    <n v="0"/>
    <n v="0"/>
  </r>
  <r>
    <n v="2664"/>
    <n v="181217"/>
    <n v="0"/>
    <n v="0"/>
    <x v="8"/>
    <s v="Single"/>
    <s v="Graduate"/>
    <s v="12/24/2019"/>
    <s v="Florida"/>
    <n v="77"/>
    <n v="1100"/>
    <n v="156"/>
    <n v="723"/>
    <n v="326"/>
    <n v="89"/>
    <n v="187"/>
    <n v="2207"/>
    <n v="1"/>
    <n v="3"/>
    <n v="7"/>
    <n v="11"/>
    <n v="1"/>
    <n v="0"/>
    <n v="0"/>
    <n v="0"/>
    <n v="0"/>
    <n v="0"/>
    <n v="0"/>
    <n v="0"/>
  </r>
  <r>
    <n v="1669"/>
    <n v="177845"/>
    <n v="0"/>
    <n v="0"/>
    <x v="8"/>
    <s v="Together"/>
    <s v="PhD"/>
    <s v="10/20/2020"/>
    <s v="Illinois"/>
    <n v="40"/>
    <n v="1736"/>
    <n v="91"/>
    <n v="1097"/>
    <n v="0"/>
    <n v="91"/>
    <n v="59"/>
    <n v="2956"/>
    <n v="1"/>
    <n v="3"/>
    <n v="5"/>
    <n v="12"/>
    <n v="1"/>
    <n v="0"/>
    <n v="0"/>
    <n v="1"/>
    <n v="0"/>
    <n v="0"/>
    <n v="0"/>
    <n v="1"/>
  </r>
  <r>
    <n v="1411"/>
    <n v="175433"/>
    <n v="1"/>
    <n v="0"/>
    <x v="8"/>
    <s v="Married"/>
    <s v="Graduate"/>
    <s v="9/9/2020"/>
    <s v="Illinois"/>
    <n v="28"/>
    <n v="1861"/>
    <n v="0"/>
    <n v="691"/>
    <n v="0"/>
    <n v="79"/>
    <n v="133"/>
    <n v="2498"/>
    <n v="2"/>
    <n v="2"/>
    <n v="5"/>
    <n v="10"/>
    <n v="6"/>
    <n v="0"/>
    <n v="0"/>
    <n v="1"/>
    <n v="0"/>
    <n v="0"/>
    <n v="1"/>
    <n v="0"/>
  </r>
  <r>
    <n v="1180"/>
    <n v="166973"/>
    <n v="0"/>
    <n v="0"/>
    <x v="8"/>
    <s v="Together"/>
    <s v="PhD"/>
    <s v="10/22/2019"/>
    <s v="Other"/>
    <n v="98"/>
    <n v="1162"/>
    <n v="55"/>
    <n v="1077"/>
    <n v="366"/>
    <n v="282"/>
    <n v="254"/>
    <n v="2688"/>
    <n v="1"/>
    <n v="8"/>
    <n v="7"/>
    <n v="12"/>
    <n v="3"/>
    <n v="0"/>
    <n v="0"/>
    <n v="0"/>
    <n v="0"/>
    <n v="0"/>
    <n v="0"/>
    <n v="0"/>
  </r>
  <r>
    <n v="1974"/>
    <n v="164449"/>
    <n v="1"/>
    <n v="0"/>
    <x v="8"/>
    <s v="Single"/>
    <s v="Graduate"/>
    <s v="7/25/2020"/>
    <s v="Florida"/>
    <n v="70"/>
    <n v="556"/>
    <n v="161"/>
    <n v="720"/>
    <n v="350"/>
    <n v="89"/>
    <n v="179"/>
    <n v="1697"/>
    <n v="4"/>
    <n v="5"/>
    <n v="3"/>
    <n v="12"/>
    <n v="4"/>
    <n v="0"/>
    <n v="0"/>
    <n v="0"/>
    <n v="0"/>
    <n v="0"/>
    <n v="0"/>
    <n v="0"/>
  </r>
  <r>
    <n v="2294"/>
    <n v="159060"/>
    <n v="1"/>
    <n v="0"/>
    <x v="8"/>
    <s v="Married"/>
    <s v="Graduate"/>
    <s v="6/17/2020"/>
    <s v="New York"/>
    <n v="77"/>
    <n v="94"/>
    <n v="108"/>
    <n v="299"/>
    <n v="97"/>
    <n v="108"/>
    <n v="32"/>
    <n v="673"/>
    <n v="3"/>
    <n v="3"/>
    <n v="1"/>
    <n v="7"/>
    <n v="4"/>
    <n v="0"/>
    <n v="0"/>
    <n v="0"/>
    <n v="0"/>
    <n v="0"/>
    <n v="0"/>
    <n v="0"/>
  </r>
  <r>
    <n v="1912"/>
    <n v="146107"/>
    <n v="1"/>
    <n v="0"/>
    <x v="8"/>
    <s v="Single"/>
    <s v="Graduate"/>
    <s v="7/17/2020"/>
    <s v="Other"/>
    <n v="78"/>
    <n v="98"/>
    <n v="29"/>
    <n v="86"/>
    <n v="51"/>
    <n v="29"/>
    <n v="105"/>
    <n v="187"/>
    <n v="1"/>
    <n v="1"/>
    <n v="1"/>
    <n v="4"/>
    <n v="3"/>
    <n v="0"/>
    <n v="0"/>
    <n v="0"/>
    <n v="0"/>
    <n v="0"/>
    <n v="0"/>
    <n v="0"/>
  </r>
  <r>
    <n v="1415"/>
    <n v="142387"/>
    <n v="1"/>
    <n v="0"/>
    <x v="8"/>
    <s v="Married"/>
    <s v="Graduate"/>
    <s v="4/5/2019"/>
    <s v="California"/>
    <n v="42"/>
    <n v="789"/>
    <n v="0"/>
    <n v="789"/>
    <n v="64"/>
    <n v="13"/>
    <n v="642"/>
    <n v="1014"/>
    <n v="5"/>
    <n v="8"/>
    <n v="1"/>
    <n v="7"/>
    <n v="8"/>
    <n v="0"/>
    <n v="0"/>
    <n v="0"/>
    <n v="0"/>
    <n v="0"/>
    <n v="0"/>
    <n v="0"/>
  </r>
  <r>
    <n v="1844"/>
    <n v="138683"/>
    <n v="1"/>
    <n v="0"/>
    <x v="8"/>
    <s v="Together"/>
    <s v="Graduate"/>
    <s v="3/11/2019"/>
    <s v="New York"/>
    <n v="80"/>
    <n v="165"/>
    <n v="125"/>
    <n v="247"/>
    <n v="301"/>
    <n v="147"/>
    <n v="237"/>
    <n v="749"/>
    <n v="6"/>
    <n v="4"/>
    <n v="1"/>
    <n v="6"/>
    <n v="7"/>
    <n v="0"/>
    <n v="0"/>
    <n v="0"/>
    <n v="0"/>
    <n v="0"/>
    <n v="0"/>
    <n v="0"/>
  </r>
  <r>
    <n v="1027"/>
    <n v="138360"/>
    <n v="1"/>
    <n v="0"/>
    <x v="8"/>
    <s v="Married"/>
    <s v="Graduate"/>
    <s v="11/5/2019"/>
    <s v="Illinois"/>
    <n v="26"/>
    <n v="130"/>
    <n v="7"/>
    <n v="151"/>
    <n v="72"/>
    <n v="76"/>
    <n v="36"/>
    <n v="400"/>
    <n v="2"/>
    <n v="2"/>
    <n v="1"/>
    <n v="4"/>
    <n v="3"/>
    <n v="0"/>
    <n v="0"/>
    <n v="0"/>
    <n v="0"/>
    <n v="0"/>
    <n v="0"/>
    <n v="0"/>
  </r>
  <r>
    <n v="2122"/>
    <n v="137155"/>
    <n v="1"/>
    <n v="0"/>
    <x v="8"/>
    <s v="Married"/>
    <s v="Graduate"/>
    <s v="7/8/2019"/>
    <s v="Other"/>
    <n v="51"/>
    <n v="85"/>
    <n v="0"/>
    <n v="96"/>
    <n v="26"/>
    <n v="55"/>
    <n v="11"/>
    <n v="251"/>
    <n v="1"/>
    <n v="2"/>
    <n v="0"/>
    <n v="4"/>
    <n v="5"/>
    <n v="0"/>
    <n v="0"/>
    <n v="0"/>
    <n v="0"/>
    <n v="0"/>
    <n v="0"/>
    <n v="0"/>
  </r>
  <r>
    <n v="1316"/>
    <n v="133996"/>
    <n v="0"/>
    <n v="0"/>
    <x v="8"/>
    <s v="Single"/>
    <s v="PhD"/>
    <s v="2/16/2020"/>
    <s v="New York"/>
    <n v="46"/>
    <n v="158"/>
    <n v="8"/>
    <n v="59"/>
    <n v="32"/>
    <n v="0"/>
    <n v="24"/>
    <n v="233"/>
    <n v="1"/>
    <n v="1"/>
    <n v="1"/>
    <n v="3"/>
    <n v="4"/>
    <n v="0"/>
    <n v="0"/>
    <n v="0"/>
    <n v="0"/>
    <n v="0"/>
    <n v="0"/>
    <n v="0"/>
  </r>
  <r>
    <n v="2639"/>
    <n v="133996"/>
    <n v="0"/>
    <n v="0"/>
    <x v="8"/>
    <s v="Single"/>
    <s v="PhD"/>
    <s v="2/16/2020"/>
    <s v="California"/>
    <n v="46"/>
    <n v="158"/>
    <n v="8"/>
    <n v="59"/>
    <n v="32"/>
    <n v="0"/>
    <n v="24"/>
    <n v="233"/>
    <n v="1"/>
    <n v="1"/>
    <n v="1"/>
    <n v="3"/>
    <n v="4"/>
    <n v="0"/>
    <n v="0"/>
    <n v="0"/>
    <n v="0"/>
    <n v="0"/>
    <n v="0"/>
    <n v="0"/>
  </r>
  <r>
    <n v="2516"/>
    <n v="131928"/>
    <n v="1"/>
    <n v="0"/>
    <x v="8"/>
    <s v="Together"/>
    <s v="Graduate"/>
    <s v="9/1/2020"/>
    <s v="New York"/>
    <n v="5"/>
    <n v="136"/>
    <n v="17"/>
    <n v="99"/>
    <n v="17"/>
    <n v="8"/>
    <n v="21"/>
    <n v="256"/>
    <n v="2"/>
    <n v="3"/>
    <n v="0"/>
    <n v="4"/>
    <n v="7"/>
    <n v="0"/>
    <n v="0"/>
    <n v="0"/>
    <n v="0"/>
    <n v="0"/>
    <n v="0"/>
    <n v="0"/>
  </r>
  <r>
    <n v="1361"/>
    <n v="130279"/>
    <n v="1"/>
    <n v="0"/>
    <x v="8"/>
    <s v="Single"/>
    <s v="Graduate"/>
    <s v="6/6/2019"/>
    <s v="California"/>
    <n v="13"/>
    <n v="43"/>
    <n v="17"/>
    <n v="60"/>
    <n v="17"/>
    <n v="17"/>
    <n v="4"/>
    <n v="151"/>
    <n v="1"/>
    <n v="1"/>
    <n v="0"/>
    <n v="3"/>
    <n v="8"/>
    <n v="0"/>
    <n v="0"/>
    <n v="0"/>
    <n v="0"/>
    <n v="0"/>
    <n v="0"/>
    <n v="0"/>
  </r>
  <r>
    <n v="1427"/>
    <n v="130279"/>
    <n v="1"/>
    <n v="0"/>
    <x v="8"/>
    <s v="Single"/>
    <s v="Graduate"/>
    <s v="6/6/2019"/>
    <s v="California"/>
    <n v="13"/>
    <n v="43"/>
    <n v="17"/>
    <n v="60"/>
    <n v="17"/>
    <n v="17"/>
    <n v="4"/>
    <n v="151"/>
    <n v="1"/>
    <n v="1"/>
    <n v="0"/>
    <n v="3"/>
    <n v="8"/>
    <n v="0"/>
    <n v="0"/>
    <n v="0"/>
    <n v="0"/>
    <n v="0"/>
    <n v="0"/>
    <n v="0"/>
  </r>
  <r>
    <n v="1424"/>
    <n v="128691"/>
    <n v="1"/>
    <n v="0"/>
    <x v="8"/>
    <s v="Married"/>
    <s v="Graduate"/>
    <s v="12/9/2019"/>
    <s v="New York"/>
    <n v="56"/>
    <n v="22"/>
    <n v="18"/>
    <n v="58"/>
    <n v="36"/>
    <n v="0"/>
    <n v="18"/>
    <n v="117"/>
    <n v="1"/>
    <n v="1"/>
    <n v="0"/>
    <n v="3"/>
    <n v="8"/>
    <n v="0"/>
    <n v="0"/>
    <n v="0"/>
    <n v="0"/>
    <n v="0"/>
    <n v="0"/>
    <n v="0"/>
  </r>
  <r>
    <n v="2219"/>
    <n v="128691"/>
    <n v="1"/>
    <n v="0"/>
    <x v="8"/>
    <s v="Married"/>
    <s v="Graduate"/>
    <s v="12/9/2019"/>
    <s v="California"/>
    <n v="56"/>
    <n v="22"/>
    <n v="18"/>
    <n v="58"/>
    <n v="36"/>
    <n v="0"/>
    <n v="18"/>
    <n v="117"/>
    <n v="1"/>
    <n v="1"/>
    <n v="0"/>
    <n v="3"/>
    <n v="8"/>
    <n v="0"/>
    <n v="0"/>
    <n v="0"/>
    <n v="0"/>
    <n v="0"/>
    <n v="0"/>
    <n v="0"/>
  </r>
  <r>
    <n v="1914"/>
    <n v="125443"/>
    <n v="1"/>
    <n v="0"/>
    <x v="8"/>
    <s v="Married"/>
    <s v="Basic"/>
    <s v="5/29/2019"/>
    <s v="Florida"/>
    <n v="82"/>
    <n v="5"/>
    <n v="20"/>
    <n v="15"/>
    <n v="39"/>
    <n v="44"/>
    <n v="35"/>
    <n v="89"/>
    <n v="1"/>
    <n v="1"/>
    <n v="0"/>
    <n v="3"/>
    <n v="8"/>
    <n v="0"/>
    <n v="0"/>
    <n v="0"/>
    <n v="0"/>
    <n v="0"/>
    <n v="0"/>
    <n v="0"/>
  </r>
  <r>
    <n v="1535"/>
    <n v="121474"/>
    <n v="1"/>
    <n v="0"/>
    <x v="8"/>
    <s v="Single"/>
    <s v="Graduate"/>
    <s v="9/12/2020"/>
    <s v="California"/>
    <n v="0"/>
    <n v="34"/>
    <n v="91"/>
    <n v="136"/>
    <n v="62"/>
    <n v="0"/>
    <n v="192"/>
    <n v="130"/>
    <n v="2"/>
    <n v="3"/>
    <n v="1"/>
    <n v="2"/>
    <n v="7"/>
    <n v="0"/>
    <n v="1"/>
    <n v="0"/>
    <n v="0"/>
    <n v="1"/>
    <n v="0"/>
    <n v="0"/>
  </r>
  <r>
    <n v="2677"/>
    <n v="118358"/>
    <n v="1"/>
    <n v="0"/>
    <x v="8"/>
    <s v="Single"/>
    <s v="Graduate"/>
    <s v="4/26/2020"/>
    <s v="Illinois"/>
    <n v="49"/>
    <n v="39"/>
    <n v="52"/>
    <n v="122"/>
    <n v="103"/>
    <n v="26"/>
    <n v="26"/>
    <n v="316"/>
    <n v="3"/>
    <n v="3"/>
    <n v="0"/>
    <n v="4"/>
    <n v="7"/>
    <n v="0"/>
    <n v="0"/>
    <n v="0"/>
    <n v="0"/>
    <n v="0"/>
    <n v="0"/>
    <n v="0"/>
  </r>
  <r>
    <n v="1719"/>
    <n v="117487"/>
    <n v="1"/>
    <n v="0"/>
    <x v="8"/>
    <s v="Married"/>
    <s v="Basic"/>
    <s v="8/23/2019"/>
    <s v="Texas"/>
    <n v="37"/>
    <n v="0"/>
    <n v="0"/>
    <n v="7"/>
    <n v="47"/>
    <n v="27"/>
    <n v="40"/>
    <n v="40"/>
    <n v="1"/>
    <n v="1"/>
    <n v="0"/>
    <n v="2"/>
    <n v="7"/>
    <n v="0"/>
    <n v="0"/>
    <n v="0"/>
    <n v="0"/>
    <n v="0"/>
    <n v="0"/>
    <n v="0"/>
  </r>
  <r>
    <n v="1029"/>
    <n v="110979"/>
    <n v="0"/>
    <n v="0"/>
    <x v="8"/>
    <s v="Divorced"/>
    <s v="Master"/>
    <s v="10/26/2020"/>
    <s v="Texas"/>
    <n v="34"/>
    <n v="81"/>
    <n v="40"/>
    <n v="101"/>
    <n v="20"/>
    <n v="20"/>
    <n v="40"/>
    <n v="222"/>
    <n v="2"/>
    <n v="3"/>
    <n v="0"/>
    <n v="3"/>
    <n v="5"/>
    <n v="0"/>
    <n v="0"/>
    <n v="0"/>
    <n v="0"/>
    <n v="0"/>
    <n v="0"/>
    <n v="0"/>
  </r>
  <r>
    <n v="2119"/>
    <n v="110979"/>
    <n v="0"/>
    <n v="0"/>
    <x v="8"/>
    <s v="Divorced"/>
    <s v="Master"/>
    <s v="10/26/2020"/>
    <s v="Illinois"/>
    <n v="34"/>
    <n v="81"/>
    <n v="40"/>
    <n v="101"/>
    <n v="20"/>
    <n v="20"/>
    <n v="40"/>
    <n v="222"/>
    <n v="2"/>
    <n v="3"/>
    <n v="0"/>
    <n v="3"/>
    <n v="5"/>
    <n v="0"/>
    <n v="0"/>
    <n v="0"/>
    <n v="0"/>
    <n v="0"/>
    <n v="0"/>
    <n v="0"/>
  </r>
  <r>
    <n v="1412"/>
    <n v="110404"/>
    <n v="1"/>
    <n v="0"/>
    <x v="8"/>
    <s v="Together"/>
    <s v="Graduate"/>
    <s v="10/8/2020"/>
    <s v="New York"/>
    <n v="52"/>
    <n v="21"/>
    <n v="21"/>
    <n v="117"/>
    <n v="106"/>
    <n v="64"/>
    <n v="127"/>
    <n v="202"/>
    <n v="2"/>
    <n v="1"/>
    <n v="0"/>
    <n v="4"/>
    <n v="5"/>
    <n v="0"/>
    <n v="0"/>
    <n v="0"/>
    <n v="0"/>
    <n v="0"/>
    <n v="0"/>
    <n v="0"/>
  </r>
  <r>
    <n v="2512"/>
    <n v="109255"/>
    <n v="1"/>
    <n v="0"/>
    <x v="8"/>
    <s v="Single"/>
    <s v="Graduate"/>
    <s v="5/26/2020"/>
    <s v="Other"/>
    <n v="91"/>
    <n v="106"/>
    <n v="0"/>
    <n v="83"/>
    <n v="24"/>
    <n v="0"/>
    <n v="47"/>
    <n v="165"/>
    <n v="1"/>
    <n v="1"/>
    <n v="1"/>
    <n v="2"/>
    <n v="8"/>
    <n v="0"/>
    <n v="0"/>
    <n v="0"/>
    <n v="0"/>
    <n v="0"/>
    <n v="0"/>
    <n v="0"/>
  </r>
  <r>
    <n v="1684"/>
    <n v="190247"/>
    <n v="0"/>
    <n v="0"/>
    <x v="9"/>
    <s v="Single"/>
    <s v="Master"/>
    <s v="10/3/2020"/>
    <s v="Other"/>
    <n v="27"/>
    <n v="2496"/>
    <n v="67"/>
    <n v="742"/>
    <n v="44"/>
    <n v="34"/>
    <n v="34"/>
    <n v="3350"/>
    <n v="1"/>
    <n v="3"/>
    <n v="4"/>
    <n v="7"/>
    <n v="1"/>
    <n v="0"/>
    <n v="1"/>
    <n v="1"/>
    <n v="0"/>
    <n v="0"/>
    <n v="1"/>
    <n v="1"/>
  </r>
  <r>
    <n v="2468"/>
    <n v="187679"/>
    <n v="0"/>
    <n v="0"/>
    <x v="9"/>
    <s v="Together"/>
    <s v="Graduate"/>
    <s v="1/1/2020"/>
    <s v="New York"/>
    <n v="62"/>
    <n v="2695"/>
    <n v="368"/>
    <n v="1745"/>
    <n v="208"/>
    <n v="317"/>
    <n v="71"/>
    <n v="5261"/>
    <n v="1"/>
    <n v="7"/>
    <n v="11"/>
    <n v="10"/>
    <n v="4"/>
    <n v="0"/>
    <n v="1"/>
    <n v="1"/>
    <n v="0"/>
    <n v="1"/>
    <n v="0"/>
    <n v="1"/>
  </r>
  <r>
    <n v="1951"/>
    <n v="184219"/>
    <n v="0"/>
    <n v="0"/>
    <x v="9"/>
    <s v="Married"/>
    <s v="Graduate"/>
    <s v="7/9/2020"/>
    <s v="Illinois"/>
    <n v="27"/>
    <n v="949"/>
    <n v="300"/>
    <n v="875"/>
    <n v="98"/>
    <n v="300"/>
    <n v="98"/>
    <n v="2424"/>
    <n v="1"/>
    <n v="3"/>
    <n v="4"/>
    <n v="10"/>
    <n v="1"/>
    <n v="0"/>
    <n v="0"/>
    <n v="0"/>
    <n v="0"/>
    <n v="0"/>
    <n v="0"/>
    <n v="0"/>
  </r>
  <r>
    <n v="2486"/>
    <n v="184219"/>
    <n v="0"/>
    <n v="0"/>
    <x v="9"/>
    <s v="Married"/>
    <s v="Graduate"/>
    <s v="7/9/2020"/>
    <s v="New York"/>
    <n v="27"/>
    <n v="949"/>
    <n v="300"/>
    <n v="875"/>
    <n v="98"/>
    <n v="300"/>
    <n v="98"/>
    <n v="2424"/>
    <n v="1"/>
    <n v="3"/>
    <n v="4"/>
    <n v="10"/>
    <n v="1"/>
    <n v="0"/>
    <n v="0"/>
    <n v="0"/>
    <n v="0"/>
    <n v="0"/>
    <n v="0"/>
    <n v="0"/>
  </r>
  <r>
    <n v="1743"/>
    <n v="178285"/>
    <n v="0"/>
    <n v="0"/>
    <x v="9"/>
    <s v="Married"/>
    <s v="Master"/>
    <s v="4/3/2020"/>
    <s v="Texas"/>
    <n v="13"/>
    <n v="1473"/>
    <n v="244"/>
    <n v="890"/>
    <n v="399"/>
    <n v="153"/>
    <n v="91"/>
    <n v="3068"/>
    <n v="1"/>
    <n v="6"/>
    <n v="4"/>
    <n v="10"/>
    <n v="3"/>
    <n v="0"/>
    <n v="0"/>
    <n v="0"/>
    <n v="0"/>
    <n v="0"/>
    <n v="0"/>
    <n v="0"/>
  </r>
  <r>
    <n v="1324"/>
    <n v="168655"/>
    <n v="0"/>
    <n v="0"/>
    <x v="9"/>
    <s v="Single"/>
    <s v="Graduate"/>
    <s v="1/15/2019"/>
    <s v="Other"/>
    <n v="95"/>
    <n v="1120"/>
    <n v="47"/>
    <n v="2044"/>
    <n v="184"/>
    <n v="290"/>
    <n v="93"/>
    <n v="3591"/>
    <n v="1"/>
    <n v="4"/>
    <n v="5"/>
    <n v="11"/>
    <n v="3"/>
    <n v="0"/>
    <n v="0"/>
    <n v="0"/>
    <n v="0"/>
    <n v="0"/>
    <n v="0"/>
    <n v="0"/>
  </r>
  <r>
    <n v="2586"/>
    <n v="168655"/>
    <n v="0"/>
    <n v="0"/>
    <x v="9"/>
    <s v="Single"/>
    <s v="Graduate"/>
    <s v="1/15/2019"/>
    <s v="Florida"/>
    <n v="95"/>
    <n v="1120"/>
    <n v="47"/>
    <n v="2044"/>
    <n v="184"/>
    <n v="290"/>
    <n v="93"/>
    <n v="3591"/>
    <n v="1"/>
    <n v="4"/>
    <n v="5"/>
    <n v="11"/>
    <n v="3"/>
    <n v="0"/>
    <n v="0"/>
    <n v="0"/>
    <n v="0"/>
    <n v="0"/>
    <n v="0"/>
    <n v="0"/>
  </r>
  <r>
    <n v="2475"/>
    <n v="168487"/>
    <n v="0"/>
    <n v="0"/>
    <x v="9"/>
    <s v="Married"/>
    <s v="Graduate"/>
    <s v="6/20/2019"/>
    <s v="Texas"/>
    <n v="48"/>
    <n v="1865"/>
    <n v="30"/>
    <n v="947"/>
    <n v="81"/>
    <n v="219"/>
    <n v="219"/>
    <n v="2923"/>
    <n v="1"/>
    <n v="9"/>
    <n v="7"/>
    <n v="13"/>
    <n v="4"/>
    <n v="0"/>
    <n v="0"/>
    <n v="0"/>
    <n v="0"/>
    <n v="0"/>
    <n v="0"/>
    <n v="0"/>
  </r>
  <r>
    <n v="3053"/>
    <n v="168487"/>
    <n v="0"/>
    <n v="0"/>
    <x v="9"/>
    <s v="Married"/>
    <s v="Graduate"/>
    <s v="6/20/2019"/>
    <s v="California"/>
    <n v="48"/>
    <n v="1865"/>
    <n v="30"/>
    <n v="947"/>
    <n v="81"/>
    <n v="219"/>
    <n v="219"/>
    <n v="2923"/>
    <n v="1"/>
    <n v="9"/>
    <n v="7"/>
    <n v="13"/>
    <n v="4"/>
    <n v="0"/>
    <n v="0"/>
    <n v="0"/>
    <n v="0"/>
    <n v="0"/>
    <n v="0"/>
    <n v="0"/>
  </r>
  <r>
    <n v="1235"/>
    <n v="167546"/>
    <n v="0"/>
    <n v="0"/>
    <x v="9"/>
    <s v="Married"/>
    <s v="PhD"/>
    <s v="2/5/2019"/>
    <s v="California"/>
    <n v="90"/>
    <n v="2143"/>
    <n v="332"/>
    <n v="1905"/>
    <n v="372"/>
    <n v="94"/>
    <n v="427"/>
    <n v="4420"/>
    <n v="1"/>
    <n v="4"/>
    <n v="10"/>
    <n v="5"/>
    <n v="3"/>
    <n v="0"/>
    <n v="0"/>
    <n v="0"/>
    <n v="0"/>
    <n v="0"/>
    <n v="0"/>
    <n v="0"/>
  </r>
  <r>
    <n v="2865"/>
    <n v="167546"/>
    <n v="0"/>
    <n v="0"/>
    <x v="9"/>
    <s v="Married"/>
    <s v="PhD"/>
    <s v="2/5/2019"/>
    <s v="Texas"/>
    <n v="90"/>
    <n v="2143"/>
    <n v="332"/>
    <n v="1905"/>
    <n v="372"/>
    <n v="94"/>
    <n v="427"/>
    <n v="4420"/>
    <n v="1"/>
    <n v="4"/>
    <n v="10"/>
    <n v="5"/>
    <n v="3"/>
    <n v="0"/>
    <n v="0"/>
    <n v="0"/>
    <n v="0"/>
    <n v="0"/>
    <n v="0"/>
    <n v="0"/>
  </r>
  <r>
    <n v="1157"/>
    <n v="166951"/>
    <n v="0"/>
    <n v="0"/>
    <x v="9"/>
    <s v="Single"/>
    <s v="Graduate"/>
    <s v="4/8/2020"/>
    <s v="California"/>
    <n v="46"/>
    <n v="691"/>
    <n v="404"/>
    <n v="761"/>
    <n v="431"/>
    <n v="190"/>
    <n v="309"/>
    <n v="2167"/>
    <n v="1"/>
    <n v="3"/>
    <n v="4"/>
    <n v="7"/>
    <n v="1"/>
    <n v="0"/>
    <n v="0"/>
    <n v="0"/>
    <n v="0"/>
    <n v="0"/>
    <n v="0"/>
    <n v="0"/>
  </r>
  <r>
    <n v="1208"/>
    <n v="145204"/>
    <n v="1"/>
    <n v="0"/>
    <x v="9"/>
    <s v="Together"/>
    <s v="Graduate"/>
    <s v="9/15/2020"/>
    <s v="New York"/>
    <n v="93"/>
    <n v="96"/>
    <n v="35"/>
    <n v="80"/>
    <n v="93"/>
    <n v="3"/>
    <n v="58"/>
    <n v="251"/>
    <n v="1"/>
    <n v="1"/>
    <n v="1"/>
    <n v="4"/>
    <n v="3"/>
    <n v="0"/>
    <n v="0"/>
    <n v="0"/>
    <n v="0"/>
    <n v="0"/>
    <n v="0"/>
    <n v="0"/>
  </r>
  <r>
    <n v="1134"/>
    <n v="141883"/>
    <n v="1"/>
    <n v="0"/>
    <x v="9"/>
    <s v="Together"/>
    <s v="Graduate"/>
    <s v="8/24/2019"/>
    <s v="Florida"/>
    <n v="13"/>
    <n v="108"/>
    <n v="115"/>
    <n v="139"/>
    <n v="247"/>
    <n v="54"/>
    <n v="393"/>
    <n v="271"/>
    <n v="3"/>
    <n v="4"/>
    <n v="2"/>
    <n v="3"/>
    <n v="7"/>
    <n v="0"/>
    <n v="0"/>
    <n v="0"/>
    <n v="0"/>
    <n v="0"/>
    <n v="0"/>
    <n v="0"/>
  </r>
  <r>
    <n v="1290"/>
    <n v="139747"/>
    <n v="1"/>
    <n v="0"/>
    <x v="9"/>
    <s v="Single"/>
    <s v="Graduate"/>
    <s v="9/17/2020"/>
    <s v="Florida"/>
    <n v="43"/>
    <n v="281"/>
    <n v="53"/>
    <n v="327"/>
    <n v="70"/>
    <n v="46"/>
    <n v="183"/>
    <n v="594"/>
    <n v="3"/>
    <n v="5"/>
    <n v="1"/>
    <n v="4"/>
    <n v="8"/>
    <n v="0"/>
    <n v="0"/>
    <n v="0"/>
    <n v="0"/>
    <n v="0"/>
    <n v="0"/>
    <n v="0"/>
  </r>
  <r>
    <n v="1181"/>
    <n v="138872"/>
    <n v="1"/>
    <n v="0"/>
    <x v="9"/>
    <s v="Married"/>
    <s v="Graduate"/>
    <s v="11/4/2019"/>
    <s v="California"/>
    <n v="93"/>
    <n v="82"/>
    <n v="11"/>
    <n v="75"/>
    <n v="11"/>
    <n v="68"/>
    <n v="79"/>
    <n v="168"/>
    <n v="2"/>
    <n v="3"/>
    <n v="0"/>
    <n v="3"/>
    <n v="8"/>
    <n v="0"/>
    <n v="0"/>
    <n v="0"/>
    <n v="0"/>
    <n v="0"/>
    <n v="0"/>
    <n v="0"/>
  </r>
  <r>
    <n v="1283"/>
    <n v="135388"/>
    <n v="1"/>
    <n v="0"/>
    <x v="9"/>
    <s v="Divorced"/>
    <s v="Graduate"/>
    <s v="8/12/2019"/>
    <s v="California"/>
    <n v="20"/>
    <n v="23"/>
    <n v="15"/>
    <n v="27"/>
    <n v="15"/>
    <n v="11"/>
    <n v="31"/>
    <n v="61"/>
    <n v="1"/>
    <n v="1"/>
    <n v="0"/>
    <n v="3"/>
    <n v="7"/>
    <n v="0"/>
    <n v="0"/>
    <n v="0"/>
    <n v="0"/>
    <n v="0"/>
    <n v="0"/>
    <n v="0"/>
  </r>
  <r>
    <n v="1143"/>
    <n v="134176"/>
    <n v="1"/>
    <n v="0"/>
    <x v="9"/>
    <s v="Single"/>
    <s v="Graduate"/>
    <s v="10/16/2020"/>
    <s v="Texas"/>
    <n v="12"/>
    <n v="20"/>
    <n v="27"/>
    <n v="94"/>
    <n v="75"/>
    <n v="55"/>
    <n v="79"/>
    <n v="192"/>
    <n v="4"/>
    <n v="3"/>
    <n v="0"/>
    <n v="4"/>
    <n v="6"/>
    <n v="0"/>
    <n v="0"/>
    <n v="0"/>
    <n v="0"/>
    <n v="0"/>
    <n v="0"/>
    <n v="0"/>
  </r>
  <r>
    <n v="1823"/>
    <n v="134176"/>
    <n v="1"/>
    <n v="0"/>
    <x v="9"/>
    <s v="Single"/>
    <s v="Graduate"/>
    <s v="10/16/2020"/>
    <s v="California"/>
    <n v="12"/>
    <n v="20"/>
    <n v="27"/>
    <n v="94"/>
    <n v="75"/>
    <n v="55"/>
    <n v="79"/>
    <n v="192"/>
    <n v="4"/>
    <n v="3"/>
    <n v="0"/>
    <n v="4"/>
    <n v="6"/>
    <n v="0"/>
    <n v="0"/>
    <n v="0"/>
    <n v="0"/>
    <n v="0"/>
    <n v="0"/>
    <n v="0"/>
  </r>
  <r>
    <n v="1194"/>
    <n v="129604"/>
    <n v="1"/>
    <n v="0"/>
    <x v="9"/>
    <s v="Together"/>
    <s v="Graduate"/>
    <s v="5/14/2020"/>
    <s v="Florida"/>
    <n v="88"/>
    <n v="31"/>
    <n v="26"/>
    <n v="57"/>
    <n v="31"/>
    <n v="26"/>
    <n v="61"/>
    <n v="109"/>
    <n v="1"/>
    <n v="1"/>
    <n v="0"/>
    <n v="3"/>
    <n v="9"/>
    <n v="0"/>
    <n v="0"/>
    <n v="0"/>
    <n v="0"/>
    <n v="1"/>
    <n v="0"/>
    <n v="0"/>
  </r>
  <r>
    <n v="1054"/>
    <n v="127938"/>
    <n v="1"/>
    <n v="0"/>
    <x v="9"/>
    <s v="Single"/>
    <s v="Graduate"/>
    <s v="10/2/2020"/>
    <s v="Other"/>
    <n v="31"/>
    <n v="60"/>
    <n v="0"/>
    <n v="37"/>
    <n v="9"/>
    <n v="5"/>
    <n v="23"/>
    <n v="87"/>
    <n v="1"/>
    <n v="1"/>
    <n v="0"/>
    <n v="4"/>
    <n v="3"/>
    <n v="0"/>
    <n v="0"/>
    <n v="0"/>
    <n v="0"/>
    <n v="0"/>
    <n v="0"/>
    <n v="0"/>
  </r>
  <r>
    <n v="2824"/>
    <n v="125008"/>
    <n v="1"/>
    <n v="0"/>
    <x v="9"/>
    <s v="Single"/>
    <s v="Graduate"/>
    <s v="7/9/2020"/>
    <s v="Other"/>
    <n v="72"/>
    <n v="10"/>
    <n v="40"/>
    <n v="40"/>
    <n v="30"/>
    <n v="5"/>
    <n v="45"/>
    <n v="80"/>
    <n v="2"/>
    <n v="1"/>
    <n v="0"/>
    <n v="3"/>
    <n v="8"/>
    <n v="0"/>
    <n v="0"/>
    <n v="0"/>
    <n v="0"/>
    <n v="0"/>
    <n v="0"/>
    <n v="0"/>
  </r>
  <r>
    <n v="2538"/>
    <n v="124645"/>
    <n v="1"/>
    <n v="0"/>
    <x v="9"/>
    <s v="Married"/>
    <s v="Graduate"/>
    <s v="4/8/2019"/>
    <s v="Florida"/>
    <n v="16"/>
    <n v="25"/>
    <n v="15"/>
    <n v="20"/>
    <n v="20"/>
    <n v="5"/>
    <n v="0"/>
    <n v="86"/>
    <n v="1"/>
    <n v="1"/>
    <n v="0"/>
    <n v="2"/>
    <n v="8"/>
    <n v="0"/>
    <n v="0"/>
    <n v="0"/>
    <n v="0"/>
    <n v="0"/>
    <n v="0"/>
    <n v="0"/>
  </r>
  <r>
    <n v="2510"/>
    <n v="123331"/>
    <n v="1"/>
    <n v="0"/>
    <x v="9"/>
    <s v="Married"/>
    <s v="Graduate"/>
    <s v="2/9/2019"/>
    <s v="New York"/>
    <n v="92"/>
    <n v="26"/>
    <n v="190"/>
    <n v="37"/>
    <n v="0"/>
    <n v="53"/>
    <n v="238"/>
    <n v="69"/>
    <n v="2"/>
    <n v="3"/>
    <n v="0"/>
    <n v="3"/>
    <n v="8"/>
    <n v="0"/>
    <n v="0"/>
    <n v="0"/>
    <n v="0"/>
    <n v="0"/>
    <n v="0"/>
    <n v="0"/>
  </r>
  <r>
    <n v="2511"/>
    <n v="123331"/>
    <n v="1"/>
    <n v="0"/>
    <x v="9"/>
    <s v="Single"/>
    <s v="Graduate"/>
    <s v="3/12/2019"/>
    <s v="Texas"/>
    <n v="97"/>
    <n v="550"/>
    <n v="106"/>
    <n v="534"/>
    <n v="127"/>
    <n v="79"/>
    <n v="26"/>
    <n v="1369"/>
    <n v="6"/>
    <n v="5"/>
    <n v="1"/>
    <n v="5"/>
    <n v="9"/>
    <n v="0"/>
    <n v="0"/>
    <n v="0"/>
    <n v="0"/>
    <n v="0"/>
    <n v="0"/>
    <n v="0"/>
  </r>
  <r>
    <n v="1458"/>
    <n v="120518"/>
    <n v="1"/>
    <n v="0"/>
    <x v="9"/>
    <s v="Single"/>
    <s v="Graduate"/>
    <s v="10/22/2020"/>
    <s v="Florida"/>
    <n v="58"/>
    <n v="23"/>
    <n v="6"/>
    <n v="35"/>
    <n v="23"/>
    <n v="6"/>
    <n v="53"/>
    <n v="41"/>
    <n v="1"/>
    <n v="1"/>
    <n v="1"/>
    <n v="2"/>
    <n v="5"/>
    <n v="0"/>
    <n v="0"/>
    <n v="0"/>
    <n v="0"/>
    <n v="0"/>
    <n v="0"/>
    <n v="0"/>
  </r>
  <r>
    <n v="1170"/>
    <n v="116248"/>
    <n v="1"/>
    <n v="0"/>
    <x v="9"/>
    <s v="Married"/>
    <s v="Graduate"/>
    <s v="10/14/2020"/>
    <s v="Florida"/>
    <n v="77"/>
    <n v="86"/>
    <n v="79"/>
    <n v="72"/>
    <n v="21"/>
    <n v="86"/>
    <n v="64"/>
    <n v="279"/>
    <n v="3"/>
    <n v="2"/>
    <n v="1"/>
    <n v="3"/>
    <n v="6"/>
    <n v="0"/>
    <n v="0"/>
    <n v="0"/>
    <n v="0"/>
    <n v="0"/>
    <n v="0"/>
    <n v="0"/>
  </r>
  <r>
    <n v="1953"/>
    <n v="115716"/>
    <n v="1"/>
    <n v="0"/>
    <x v="9"/>
    <s v="Married"/>
    <s v="Graduate"/>
    <s v="4/19/2019"/>
    <s v="Texas"/>
    <n v="8"/>
    <n v="118"/>
    <n v="37"/>
    <n v="221"/>
    <n v="59"/>
    <n v="52"/>
    <n v="191"/>
    <n v="295"/>
    <n v="3"/>
    <n v="3"/>
    <n v="0"/>
    <n v="4"/>
    <n v="8"/>
    <n v="1"/>
    <n v="0"/>
    <n v="0"/>
    <n v="0"/>
    <n v="0"/>
    <n v="0"/>
    <n v="0"/>
  </r>
  <r>
    <n v="2568"/>
    <n v="113724"/>
    <n v="1"/>
    <n v="0"/>
    <x v="9"/>
    <s v="Together"/>
    <s v="Basic"/>
    <s v="2/5/2019"/>
    <s v="Florida"/>
    <n v="43"/>
    <n v="17"/>
    <n v="58"/>
    <n v="41"/>
    <n v="17"/>
    <n v="124"/>
    <n v="224"/>
    <n v="33"/>
    <n v="1"/>
    <n v="2"/>
    <n v="0"/>
    <n v="2"/>
    <n v="9"/>
    <n v="0"/>
    <n v="0"/>
    <n v="0"/>
    <n v="0"/>
    <n v="1"/>
    <n v="0"/>
    <n v="0"/>
  </r>
  <r>
    <n v="1982"/>
    <n v="195169"/>
    <n v="0"/>
    <n v="0"/>
    <x v="10"/>
    <s v="Single"/>
    <s v="PhD"/>
    <s v="3/15/2020"/>
    <s v="New York"/>
    <n v="1"/>
    <n v="2635"/>
    <n v="43"/>
    <n v="921"/>
    <n v="217"/>
    <n v="41"/>
    <n v="41"/>
    <n v="3816"/>
    <n v="1"/>
    <n v="4"/>
    <n v="3"/>
    <n v="4"/>
    <n v="1"/>
    <n v="0"/>
    <n v="1"/>
    <n v="1"/>
    <n v="0"/>
    <n v="0"/>
    <n v="0"/>
    <n v="1"/>
  </r>
  <r>
    <n v="1079"/>
    <n v="181361"/>
    <n v="0"/>
    <n v="0"/>
    <x v="10"/>
    <s v="Divorced"/>
    <s v="Graduate"/>
    <s v="8/1/2020"/>
    <s v="California"/>
    <n v="18"/>
    <n v="363"/>
    <n v="51"/>
    <n v="945"/>
    <n v="60"/>
    <n v="145"/>
    <n v="169"/>
    <n v="1395"/>
    <n v="1"/>
    <n v="3"/>
    <n v="10"/>
    <n v="13"/>
    <n v="1"/>
    <n v="0"/>
    <n v="0"/>
    <n v="0"/>
    <n v="0"/>
    <n v="0"/>
    <n v="0"/>
    <n v="0"/>
  </r>
  <r>
    <n v="2560"/>
    <n v="181361"/>
    <n v="0"/>
    <n v="0"/>
    <x v="10"/>
    <s v="Divorced"/>
    <s v="Graduate"/>
    <s v="8/1/2020"/>
    <s v="Other"/>
    <n v="18"/>
    <n v="363"/>
    <n v="51"/>
    <n v="945"/>
    <n v="60"/>
    <n v="145"/>
    <n v="169"/>
    <n v="1395"/>
    <n v="1"/>
    <n v="3"/>
    <n v="10"/>
    <n v="13"/>
    <n v="1"/>
    <n v="0"/>
    <n v="1"/>
    <n v="0"/>
    <n v="0"/>
    <n v="0"/>
    <n v="0"/>
    <n v="0"/>
  </r>
  <r>
    <n v="2565"/>
    <n v="175794"/>
    <n v="0"/>
    <n v="0"/>
    <x v="10"/>
    <s v="Married"/>
    <s v="Graduate"/>
    <s v="5/30/2020"/>
    <s v="Texas"/>
    <n v="33"/>
    <n v="1749"/>
    <n v="371"/>
    <n v="1450"/>
    <n v="146"/>
    <n v="74"/>
    <n v="111"/>
    <n v="3679"/>
    <n v="1"/>
    <n v="7"/>
    <n v="5"/>
    <n v="12"/>
    <n v="3"/>
    <n v="0"/>
    <n v="0"/>
    <n v="1"/>
    <n v="0"/>
    <n v="0"/>
    <n v="0"/>
    <n v="0"/>
  </r>
  <r>
    <n v="2504"/>
    <n v="174004"/>
    <n v="0"/>
    <n v="0"/>
    <x v="10"/>
    <s v="Single"/>
    <s v="PhD"/>
    <s v="7/31/2020"/>
    <s v="New York"/>
    <n v="5"/>
    <n v="1843"/>
    <n v="113"/>
    <n v="1317"/>
    <n v="99"/>
    <n v="414"/>
    <n v="113"/>
    <n v="3673"/>
    <n v="1"/>
    <n v="4"/>
    <n v="6"/>
    <n v="4"/>
    <n v="3"/>
    <n v="0"/>
    <n v="1"/>
    <n v="1"/>
    <n v="0"/>
    <n v="0"/>
    <n v="0"/>
    <n v="1"/>
  </r>
  <r>
    <n v="1505"/>
    <n v="173454"/>
    <n v="0"/>
    <n v="0"/>
    <x v="10"/>
    <s v="Single"/>
    <s v="Master"/>
    <s v="8/5/2020"/>
    <s v="California"/>
    <n v="95"/>
    <n v="2319"/>
    <n v="172"/>
    <n v="829"/>
    <n v="132"/>
    <n v="33"/>
    <n v="413"/>
    <n v="3072"/>
    <n v="1"/>
    <n v="2"/>
    <n v="4"/>
    <n v="6"/>
    <n v="5"/>
    <n v="0"/>
    <n v="0"/>
    <n v="0"/>
    <n v="0"/>
    <n v="1"/>
    <n v="0"/>
    <n v="0"/>
  </r>
  <r>
    <n v="2877"/>
    <n v="173395"/>
    <n v="0"/>
    <n v="0"/>
    <x v="10"/>
    <s v="Married"/>
    <s v="Master"/>
    <s v="8/22/2020"/>
    <s v="Texas"/>
    <n v="94"/>
    <n v="643"/>
    <n v="17"/>
    <n v="189"/>
    <n v="47"/>
    <n v="17"/>
    <n v="26"/>
    <n v="886"/>
    <n v="1"/>
    <n v="4"/>
    <n v="4"/>
    <n v="6"/>
    <n v="2"/>
    <n v="0"/>
    <n v="0"/>
    <n v="0"/>
    <n v="0"/>
    <n v="0"/>
    <n v="0"/>
    <n v="0"/>
  </r>
  <r>
    <n v="2040"/>
    <n v="167605"/>
    <n v="0"/>
    <n v="0"/>
    <x v="10"/>
    <s v="Together"/>
    <s v="Graduate"/>
    <s v="9/5/2019"/>
    <s v="Florida"/>
    <n v="84"/>
    <n v="833"/>
    <n v="69"/>
    <n v="699"/>
    <n v="456"/>
    <n v="134"/>
    <n v="134"/>
    <n v="2058"/>
    <n v="1"/>
    <n v="2"/>
    <n v="8"/>
    <n v="6"/>
    <n v="1"/>
    <n v="0"/>
    <n v="0"/>
    <n v="0"/>
    <n v="0"/>
    <n v="0"/>
    <n v="0"/>
    <n v="0"/>
  </r>
  <r>
    <n v="1748"/>
    <n v="167430"/>
    <n v="0"/>
    <n v="0"/>
    <x v="10"/>
    <s v="Together"/>
    <s v="Graduate"/>
    <s v="2/10/2019"/>
    <s v="New York"/>
    <n v="6"/>
    <n v="1477"/>
    <n v="241"/>
    <n v="723"/>
    <n v="315"/>
    <n v="330"/>
    <n v="300"/>
    <n v="2786"/>
    <n v="1"/>
    <n v="11"/>
    <n v="5"/>
    <n v="12"/>
    <n v="6"/>
    <n v="0"/>
    <n v="0"/>
    <n v="0"/>
    <n v="0"/>
    <n v="0"/>
    <n v="0"/>
    <n v="0"/>
  </r>
  <r>
    <n v="2666"/>
    <n v="161787"/>
    <n v="0"/>
    <n v="0"/>
    <x v="10"/>
    <s v="Divorced"/>
    <s v="Master"/>
    <s v="12/11/2019"/>
    <s v="New York"/>
    <n v="71"/>
    <n v="1626"/>
    <n v="191"/>
    <n v="1084"/>
    <n v="204"/>
    <n v="126"/>
    <n v="223"/>
    <n v="3009"/>
    <n v="1"/>
    <n v="8"/>
    <n v="4"/>
    <n v="6"/>
    <n v="5"/>
    <n v="0"/>
    <n v="0"/>
    <n v="0"/>
    <n v="0"/>
    <n v="0"/>
    <n v="0"/>
    <n v="0"/>
  </r>
  <r>
    <n v="2593"/>
    <n v="157100"/>
    <n v="1"/>
    <n v="0"/>
    <x v="10"/>
    <s v="Single"/>
    <s v="Graduate"/>
    <s v="10/22/2020"/>
    <s v="Illinois"/>
    <n v="9"/>
    <n v="435"/>
    <n v="30"/>
    <n v="272"/>
    <n v="41"/>
    <n v="30"/>
    <n v="47"/>
    <n v="762"/>
    <n v="2"/>
    <n v="3"/>
    <n v="2"/>
    <n v="7"/>
    <n v="3"/>
    <n v="0"/>
    <n v="0"/>
    <n v="0"/>
    <n v="0"/>
    <n v="0"/>
    <n v="0"/>
    <n v="0"/>
  </r>
  <r>
    <n v="1926"/>
    <n v="151563"/>
    <n v="0"/>
    <n v="0"/>
    <x v="10"/>
    <s v="Married"/>
    <s v="PhD"/>
    <s v="3/8/2019"/>
    <s v="Florida"/>
    <n v="60"/>
    <n v="3427"/>
    <n v="0"/>
    <n v="141"/>
    <n v="0"/>
    <n v="0"/>
    <n v="106"/>
    <n v="3463"/>
    <n v="1"/>
    <n v="4"/>
    <n v="4"/>
    <n v="10"/>
    <n v="8"/>
    <n v="0"/>
    <n v="0"/>
    <n v="0"/>
    <n v="0"/>
    <n v="0"/>
    <n v="1"/>
    <n v="1"/>
  </r>
  <r>
    <n v="1397"/>
    <n v="146923"/>
    <n v="1"/>
    <n v="0"/>
    <x v="10"/>
    <s v="Single"/>
    <s v="Graduate"/>
    <s v="1/27/2019"/>
    <s v="California"/>
    <n v="90"/>
    <n v="266"/>
    <n v="138"/>
    <n v="169"/>
    <n v="319"/>
    <n v="244"/>
    <n v="19"/>
    <n v="1118"/>
    <n v="3"/>
    <n v="5"/>
    <n v="1"/>
    <n v="7"/>
    <n v="7"/>
    <n v="0"/>
    <n v="0"/>
    <n v="0"/>
    <n v="0"/>
    <n v="0"/>
    <n v="0"/>
    <n v="0"/>
  </r>
  <r>
    <n v="2043"/>
    <n v="142000"/>
    <n v="0"/>
    <n v="0"/>
    <x v="10"/>
    <s v="Single"/>
    <s v="PhD"/>
    <s v="6/17/2019"/>
    <s v="Texas"/>
    <n v="23"/>
    <n v="419"/>
    <n v="281"/>
    <n v="903"/>
    <n v="287"/>
    <n v="199"/>
    <n v="118"/>
    <n v="1971"/>
    <n v="2"/>
    <n v="5"/>
    <n v="2"/>
    <n v="11"/>
    <n v="5"/>
    <n v="0"/>
    <n v="1"/>
    <n v="0"/>
    <n v="0"/>
    <n v="0"/>
    <n v="0"/>
    <n v="0"/>
  </r>
  <r>
    <n v="3046"/>
    <n v="142000"/>
    <n v="0"/>
    <n v="0"/>
    <x v="10"/>
    <s v="Single"/>
    <s v="PhD"/>
    <s v="6/17/2019"/>
    <s v="Other"/>
    <n v="23"/>
    <n v="419"/>
    <n v="281"/>
    <n v="903"/>
    <n v="287"/>
    <n v="199"/>
    <n v="118"/>
    <n v="1971"/>
    <n v="2"/>
    <n v="5"/>
    <n v="2"/>
    <n v="11"/>
    <n v="5"/>
    <n v="0"/>
    <n v="1"/>
    <n v="0"/>
    <n v="0"/>
    <n v="0"/>
    <n v="0"/>
    <n v="0"/>
  </r>
  <r>
    <n v="2454"/>
    <n v="141020"/>
    <n v="0"/>
    <n v="0"/>
    <x v="10"/>
    <s v="Single"/>
    <s v="Master"/>
    <s v="4/3/2020"/>
    <s v="Florida"/>
    <n v="68"/>
    <n v="385"/>
    <n v="3"/>
    <n v="186"/>
    <n v="24"/>
    <n v="24"/>
    <n v="124"/>
    <n v="498"/>
    <n v="1"/>
    <n v="3"/>
    <n v="2"/>
    <n v="4"/>
    <n v="3"/>
    <n v="0"/>
    <n v="0"/>
    <n v="0"/>
    <n v="0"/>
    <n v="0"/>
    <n v="0"/>
    <n v="0"/>
  </r>
  <r>
    <n v="2522"/>
    <n v="130390"/>
    <n v="0"/>
    <n v="0"/>
    <x v="10"/>
    <s v="Married"/>
    <s v="Graduate"/>
    <s v="2/7/2020"/>
    <s v="New York"/>
    <n v="5"/>
    <n v="43"/>
    <n v="51"/>
    <n v="51"/>
    <n v="107"/>
    <n v="4"/>
    <n v="86"/>
    <n v="172"/>
    <n v="1"/>
    <n v="2"/>
    <n v="0"/>
    <n v="3"/>
    <n v="6"/>
    <n v="0"/>
    <n v="0"/>
    <n v="0"/>
    <n v="0"/>
    <n v="0"/>
    <n v="0"/>
    <n v="0"/>
  </r>
  <r>
    <n v="2805"/>
    <n v="129236"/>
    <n v="1"/>
    <n v="0"/>
    <x v="10"/>
    <s v="Single"/>
    <s v="Graduate"/>
    <s v="3/14/2020"/>
    <s v="Texas"/>
    <n v="30"/>
    <n v="164"/>
    <n v="18"/>
    <n v="106"/>
    <n v="71"/>
    <n v="40"/>
    <n v="40"/>
    <n v="358"/>
    <n v="2"/>
    <n v="4"/>
    <n v="0"/>
    <n v="3"/>
    <n v="9"/>
    <n v="0"/>
    <n v="0"/>
    <n v="0"/>
    <n v="0"/>
    <n v="0"/>
    <n v="0"/>
    <n v="0"/>
  </r>
  <r>
    <n v="1508"/>
    <n v="125545"/>
    <n v="1"/>
    <n v="0"/>
    <x v="10"/>
    <s v="Married"/>
    <s v="Graduate"/>
    <s v="2/13/2019"/>
    <s v="New York"/>
    <n v="35"/>
    <n v="157"/>
    <n v="5"/>
    <n v="315"/>
    <n v="79"/>
    <n v="59"/>
    <n v="418"/>
    <n v="197"/>
    <n v="3"/>
    <n v="2"/>
    <n v="2"/>
    <n v="3"/>
    <n v="6"/>
    <n v="0"/>
    <n v="1"/>
    <n v="0"/>
    <n v="0"/>
    <n v="0"/>
    <n v="0"/>
    <n v="0"/>
  </r>
  <r>
    <n v="2850"/>
    <n v="123830"/>
    <n v="0"/>
    <n v="0"/>
    <x v="10"/>
    <s v="Single"/>
    <s v="Graduate"/>
    <s v="7/14/2020"/>
    <s v="Florida"/>
    <n v="3"/>
    <n v="5"/>
    <n v="42"/>
    <n v="31"/>
    <n v="21"/>
    <n v="42"/>
    <n v="83"/>
    <n v="57"/>
    <n v="1"/>
    <n v="1"/>
    <n v="0"/>
    <n v="3"/>
    <n v="7"/>
    <n v="0"/>
    <n v="0"/>
    <n v="0"/>
    <n v="0"/>
    <n v="0"/>
    <n v="0"/>
    <n v="0"/>
  </r>
  <r>
    <n v="1382"/>
    <n v="123442"/>
    <n v="1"/>
    <n v="0"/>
    <x v="10"/>
    <s v="Single"/>
    <s v="Graduate"/>
    <s v="5/31/2019"/>
    <s v="New York"/>
    <n v="71"/>
    <n v="11"/>
    <n v="0"/>
    <n v="32"/>
    <n v="42"/>
    <n v="32"/>
    <n v="26"/>
    <n v="90"/>
    <n v="1"/>
    <n v="1"/>
    <n v="0"/>
    <n v="3"/>
    <n v="7"/>
    <n v="0"/>
    <n v="0"/>
    <n v="0"/>
    <n v="0"/>
    <n v="0"/>
    <n v="0"/>
    <n v="0"/>
  </r>
  <r>
    <n v="1984"/>
    <n v="122434"/>
    <n v="1"/>
    <n v="0"/>
    <x v="10"/>
    <s v="Together"/>
    <s v="Graduate"/>
    <s v="7/21/2019"/>
    <s v="Other"/>
    <n v="25"/>
    <n v="22"/>
    <n v="65"/>
    <n v="60"/>
    <n v="16"/>
    <n v="71"/>
    <n v="82"/>
    <n v="153"/>
    <n v="2"/>
    <n v="2"/>
    <n v="0"/>
    <n v="3"/>
    <n v="8"/>
    <n v="0"/>
    <n v="0"/>
    <n v="0"/>
    <n v="0"/>
    <n v="0"/>
    <n v="0"/>
    <n v="0"/>
  </r>
  <r>
    <n v="1649"/>
    <n v="121063"/>
    <n v="1"/>
    <n v="0"/>
    <x v="10"/>
    <s v="Single"/>
    <s v="Basic"/>
    <s v="3/1/2020"/>
    <s v="California"/>
    <n v="34"/>
    <n v="6"/>
    <n v="57"/>
    <n v="63"/>
    <n v="109"/>
    <n v="17"/>
    <n v="86"/>
    <n v="167"/>
    <n v="2"/>
    <n v="2"/>
    <n v="0"/>
    <n v="3"/>
    <n v="6"/>
    <n v="0"/>
    <n v="0"/>
    <n v="0"/>
    <n v="0"/>
    <n v="0"/>
    <n v="0"/>
    <n v="0"/>
  </r>
  <r>
    <n v="2332"/>
    <n v="118227"/>
    <n v="1"/>
    <n v="0"/>
    <x v="10"/>
    <s v="Together"/>
    <s v="Graduate"/>
    <s v="4/15/2019"/>
    <s v="Other"/>
    <n v="21"/>
    <n v="6"/>
    <n v="13"/>
    <n v="45"/>
    <n v="26"/>
    <n v="19"/>
    <n v="71"/>
    <n v="39"/>
    <n v="1"/>
    <n v="0"/>
    <n v="1"/>
    <n v="2"/>
    <n v="8"/>
    <n v="0"/>
    <n v="0"/>
    <n v="0"/>
    <n v="0"/>
    <n v="0"/>
    <n v="0"/>
    <n v="0"/>
  </r>
  <r>
    <n v="1014"/>
    <n v="117323"/>
    <n v="0"/>
    <n v="0"/>
    <x v="10"/>
    <s v="Married"/>
    <s v="Graduate"/>
    <s v="3/17/2019"/>
    <s v="Florida"/>
    <n v="38"/>
    <n v="20"/>
    <n v="95"/>
    <n v="115"/>
    <n v="41"/>
    <n v="7"/>
    <n v="34"/>
    <n v="244"/>
    <n v="1"/>
    <n v="1"/>
    <n v="0"/>
    <n v="3"/>
    <n v="8"/>
    <n v="0"/>
    <n v="0"/>
    <n v="0"/>
    <n v="0"/>
    <n v="0"/>
    <n v="0"/>
    <n v="0"/>
  </r>
  <r>
    <n v="2008"/>
    <n v="115038"/>
    <n v="1"/>
    <n v="0"/>
    <x v="10"/>
    <s v="Single"/>
    <s v="Basic"/>
    <s v="7/6/2019"/>
    <s v="Other"/>
    <n v="93"/>
    <n v="31"/>
    <n v="61"/>
    <n v="84"/>
    <n v="145"/>
    <n v="92"/>
    <n v="199"/>
    <n v="214"/>
    <n v="2"/>
    <n v="2"/>
    <n v="1"/>
    <n v="2"/>
    <n v="9"/>
    <n v="0"/>
    <n v="0"/>
    <n v="0"/>
    <n v="0"/>
    <n v="0"/>
    <n v="0"/>
    <n v="0"/>
  </r>
  <r>
    <n v="1843"/>
    <n v="107500"/>
    <n v="0"/>
    <n v="0"/>
    <x v="10"/>
    <s v="Married"/>
    <s v="Graduate"/>
    <s v="6/16/2019"/>
    <s v="Illinois"/>
    <n v="94"/>
    <n v="0"/>
    <n v="29"/>
    <n v="43"/>
    <n v="57"/>
    <n v="14"/>
    <n v="72"/>
    <n v="72"/>
    <n v="1"/>
    <n v="0"/>
    <n v="0"/>
    <n v="3"/>
    <n v="6"/>
    <n v="0"/>
    <n v="0"/>
    <n v="0"/>
    <n v="0"/>
    <n v="0"/>
    <n v="0"/>
    <n v="0"/>
  </r>
  <r>
    <n v="1410"/>
    <n v="192910"/>
    <n v="0"/>
    <n v="0"/>
    <x v="11"/>
    <s v="Married"/>
    <s v="Graduate"/>
    <s v="9/28/2020"/>
    <s v="Florida"/>
    <n v="42"/>
    <n v="1144"/>
    <n v="284"/>
    <n v="1644"/>
    <n v="372"/>
    <n v="214"/>
    <n v="69"/>
    <n v="3590"/>
    <n v="1"/>
    <n v="6"/>
    <n v="7"/>
    <n v="13"/>
    <n v="1"/>
    <n v="0"/>
    <n v="0"/>
    <n v="1"/>
    <n v="0"/>
    <n v="0"/>
    <n v="1"/>
    <n v="1"/>
  </r>
  <r>
    <n v="1795"/>
    <n v="191820"/>
    <n v="0"/>
    <n v="0"/>
    <x v="11"/>
    <s v="Together"/>
    <s v="PhD"/>
    <s v="4/29/2020"/>
    <s v="Illinois"/>
    <n v="72"/>
    <n v="857"/>
    <n v="153"/>
    <n v="1561"/>
    <n v="159"/>
    <n v="336"/>
    <n v="63"/>
    <n v="3002"/>
    <n v="0"/>
    <n v="5"/>
    <n v="5"/>
    <n v="12"/>
    <n v="1"/>
    <n v="0"/>
    <n v="0"/>
    <n v="0"/>
    <n v="0"/>
    <n v="0"/>
    <n v="0"/>
    <n v="0"/>
  </r>
  <r>
    <n v="2685"/>
    <n v="183512"/>
    <n v="0"/>
    <n v="0"/>
    <x v="11"/>
    <s v="Married"/>
    <s v="Graduate"/>
    <s v="11/21/2020"/>
    <s v="Texas"/>
    <n v="31"/>
    <n v="2329"/>
    <n v="134"/>
    <n v="1835"/>
    <n v="176"/>
    <n v="44"/>
    <n v="222"/>
    <n v="4296"/>
    <n v="1"/>
    <n v="4"/>
    <n v="7"/>
    <n v="10"/>
    <n v="1"/>
    <n v="0"/>
    <n v="1"/>
    <n v="1"/>
    <n v="1"/>
    <n v="1"/>
    <n v="0"/>
    <n v="1"/>
  </r>
  <r>
    <n v="1905"/>
    <n v="183033"/>
    <n v="1"/>
    <n v="0"/>
    <x v="11"/>
    <s v="Together"/>
    <s v="Graduate"/>
    <s v="10/22/2020"/>
    <s v="Texas"/>
    <n v="82"/>
    <n v="1790"/>
    <n v="218"/>
    <n v="950"/>
    <n v="522"/>
    <n v="328"/>
    <n v="73"/>
    <n v="3736"/>
    <n v="1"/>
    <n v="11"/>
    <n v="4"/>
    <n v="10"/>
    <n v="5"/>
    <n v="0"/>
    <n v="0"/>
    <n v="1"/>
    <n v="0"/>
    <n v="0"/>
    <n v="0"/>
    <n v="0"/>
  </r>
  <r>
    <n v="3096"/>
    <n v="182333"/>
    <n v="0"/>
    <n v="0"/>
    <x v="11"/>
    <s v="Married"/>
    <s v="PhD"/>
    <s v="9/4/2019"/>
    <s v="Florida"/>
    <n v="60"/>
    <n v="2903"/>
    <n v="0"/>
    <n v="795"/>
    <n v="102"/>
    <n v="197"/>
    <n v="38"/>
    <n v="3960"/>
    <n v="1"/>
    <n v="4"/>
    <n v="3"/>
    <n v="10"/>
    <n v="2"/>
    <n v="0"/>
    <n v="1"/>
    <n v="0"/>
    <n v="0"/>
    <n v="0"/>
    <n v="0"/>
    <n v="1"/>
  </r>
  <r>
    <n v="2078"/>
    <n v="180910"/>
    <n v="0"/>
    <n v="0"/>
    <x v="11"/>
    <s v="Single"/>
    <s v="Graduate"/>
    <s v="4/7/2019"/>
    <s v="New York"/>
    <n v="71"/>
    <n v="358"/>
    <n v="179"/>
    <n v="825"/>
    <n v="150"/>
    <n v="87"/>
    <n v="92"/>
    <n v="1507"/>
    <n v="1"/>
    <n v="3"/>
    <n v="3"/>
    <n v="8"/>
    <n v="1"/>
    <n v="0"/>
    <n v="0"/>
    <n v="0"/>
    <n v="0"/>
    <n v="0"/>
    <n v="0"/>
    <n v="0"/>
  </r>
  <r>
    <n v="2647"/>
    <n v="180141"/>
    <n v="0"/>
    <n v="0"/>
    <x v="11"/>
    <s v="Married"/>
    <s v="Master"/>
    <s v="6/18/2019"/>
    <s v="Illinois"/>
    <n v="20"/>
    <n v="2661"/>
    <n v="229"/>
    <n v="1513"/>
    <n v="117"/>
    <n v="90"/>
    <n v="90"/>
    <n v="4520"/>
    <n v="1"/>
    <n v="7"/>
    <n v="4"/>
    <n v="10"/>
    <n v="6"/>
    <n v="0"/>
    <n v="1"/>
    <n v="0"/>
    <n v="0"/>
    <n v="0"/>
    <n v="0"/>
    <n v="1"/>
  </r>
  <r>
    <n v="2489"/>
    <n v="179529"/>
    <n v="0"/>
    <n v="0"/>
    <x v="11"/>
    <s v="Married"/>
    <s v="Graduate"/>
    <s v="10/1/2020"/>
    <s v="California"/>
    <n v="1"/>
    <n v="955"/>
    <n v="95"/>
    <n v="1594"/>
    <n v="165"/>
    <n v="445"/>
    <n v="445"/>
    <n v="2808"/>
    <n v="1"/>
    <n v="4"/>
    <n v="8"/>
    <n v="9"/>
    <n v="2"/>
    <n v="0"/>
    <n v="0"/>
    <n v="0"/>
    <n v="0"/>
    <n v="0"/>
    <n v="0"/>
    <n v="0"/>
  </r>
  <r>
    <n v="2802"/>
    <n v="178394"/>
    <n v="0"/>
    <n v="0"/>
    <x v="11"/>
    <s v="Together"/>
    <s v="Graduate"/>
    <s v="7/23/2019"/>
    <s v="Florida"/>
    <n v="13"/>
    <n v="678"/>
    <n v="61"/>
    <n v="1586"/>
    <n v="492"/>
    <n v="55"/>
    <n v="378"/>
    <n v="2494"/>
    <n v="1"/>
    <n v="4"/>
    <n v="6"/>
    <n v="5"/>
    <n v="2"/>
    <n v="0"/>
    <n v="1"/>
    <n v="0"/>
    <n v="0"/>
    <n v="0"/>
    <n v="0"/>
    <n v="0"/>
  </r>
  <r>
    <n v="1335"/>
    <n v="171952"/>
    <n v="1"/>
    <n v="0"/>
    <x v="11"/>
    <s v="Married"/>
    <s v="Graduate"/>
    <s v="6/17/2019"/>
    <s v="Texas"/>
    <n v="93"/>
    <n v="1568"/>
    <n v="191"/>
    <n v="1087"/>
    <n v="124"/>
    <n v="256"/>
    <n v="222"/>
    <n v="3004"/>
    <n v="2"/>
    <n v="8"/>
    <n v="4"/>
    <n v="8"/>
    <n v="4"/>
    <n v="0"/>
    <n v="0"/>
    <n v="0"/>
    <n v="0"/>
    <n v="1"/>
    <n v="0"/>
    <n v="1"/>
  </r>
  <r>
    <n v="1686"/>
    <n v="171952"/>
    <n v="1"/>
    <n v="0"/>
    <x v="11"/>
    <s v="Married"/>
    <s v="Graduate"/>
    <s v="6/17/2019"/>
    <s v="Florida"/>
    <n v="93"/>
    <n v="1568"/>
    <n v="191"/>
    <n v="1087"/>
    <n v="124"/>
    <n v="256"/>
    <n v="222"/>
    <n v="3004"/>
    <n v="2"/>
    <n v="8"/>
    <n v="4"/>
    <n v="8"/>
    <n v="4"/>
    <n v="0"/>
    <n v="0"/>
    <n v="0"/>
    <n v="0"/>
    <n v="1"/>
    <n v="0"/>
    <n v="1"/>
  </r>
  <r>
    <n v="1265"/>
    <n v="169867"/>
    <n v="0"/>
    <n v="0"/>
    <x v="11"/>
    <s v="Single"/>
    <s v="PhD"/>
    <s v="9/7/2019"/>
    <s v="California"/>
    <n v="30"/>
    <n v="477"/>
    <n v="0"/>
    <n v="1245"/>
    <n v="80"/>
    <n v="316"/>
    <n v="131"/>
    <n v="1986"/>
    <n v="1"/>
    <n v="3"/>
    <n v="5"/>
    <n v="8"/>
    <n v="1"/>
    <n v="0"/>
    <n v="1"/>
    <n v="1"/>
    <n v="0"/>
    <n v="0"/>
    <n v="0"/>
    <n v="0"/>
  </r>
  <r>
    <n v="3214"/>
    <n v="162868"/>
    <n v="0"/>
    <n v="0"/>
    <x v="11"/>
    <s v="Single"/>
    <s v="Graduate"/>
    <s v="1/22/2019"/>
    <s v="Other"/>
    <n v="50"/>
    <n v="13"/>
    <n v="3"/>
    <n v="16"/>
    <n v="8"/>
    <n v="10"/>
    <n v="8"/>
    <n v="41"/>
    <n v="1"/>
    <n v="0"/>
    <n v="0"/>
    <n v="3"/>
    <n v="4"/>
    <n v="0"/>
    <n v="0"/>
    <n v="0"/>
    <n v="0"/>
    <n v="0"/>
    <n v="0"/>
    <n v="0"/>
  </r>
  <r>
    <n v="1890"/>
    <n v="145921"/>
    <n v="0"/>
    <n v="0"/>
    <x v="11"/>
    <s v="Married"/>
    <s v="PhD"/>
    <s v="8/14/2020"/>
    <s v="Florida"/>
    <n v="23"/>
    <n v="324"/>
    <n v="29"/>
    <n v="156"/>
    <n v="76"/>
    <n v="10"/>
    <n v="38"/>
    <n v="556"/>
    <n v="1"/>
    <n v="2"/>
    <n v="1"/>
    <n v="6"/>
    <n v="4"/>
    <n v="0"/>
    <n v="0"/>
    <n v="0"/>
    <n v="0"/>
    <n v="0"/>
    <n v="0"/>
    <n v="0"/>
  </r>
  <r>
    <n v="1284"/>
    <n v="142386"/>
    <n v="1"/>
    <n v="0"/>
    <x v="11"/>
    <s v="Together"/>
    <s v="Master"/>
    <s v="6/20/2019"/>
    <s v="Florida"/>
    <n v="43"/>
    <n v="218"/>
    <n v="13"/>
    <n v="54"/>
    <n v="0"/>
    <n v="13"/>
    <n v="37"/>
    <n v="262"/>
    <n v="1"/>
    <n v="3"/>
    <n v="0"/>
    <n v="3"/>
    <n v="8"/>
    <n v="0"/>
    <n v="0"/>
    <n v="0"/>
    <n v="0"/>
    <n v="0"/>
    <n v="0"/>
    <n v="0"/>
  </r>
  <r>
    <n v="2521"/>
    <n v="142386"/>
    <n v="1"/>
    <n v="0"/>
    <x v="11"/>
    <s v="Together"/>
    <s v="Master"/>
    <s v="6/20/2019"/>
    <s v="Illinois"/>
    <n v="43"/>
    <n v="218"/>
    <n v="13"/>
    <n v="54"/>
    <n v="0"/>
    <n v="13"/>
    <n v="37"/>
    <n v="262"/>
    <n v="1"/>
    <n v="3"/>
    <n v="0"/>
    <n v="3"/>
    <n v="8"/>
    <n v="0"/>
    <n v="0"/>
    <n v="0"/>
    <n v="0"/>
    <n v="0"/>
    <n v="0"/>
    <n v="0"/>
  </r>
  <r>
    <n v="1325"/>
    <n v="141411"/>
    <n v="0"/>
    <n v="0"/>
    <x v="11"/>
    <s v="Divorced"/>
    <s v="Graduate"/>
    <s v="5/13/2020"/>
    <s v="California"/>
    <n v="11"/>
    <n v="126"/>
    <n v="109"/>
    <n v="130"/>
    <n v="38"/>
    <n v="10"/>
    <n v="61"/>
    <n v="352"/>
    <n v="1"/>
    <n v="2"/>
    <n v="1"/>
    <n v="4"/>
    <n v="6"/>
    <n v="0"/>
    <n v="0"/>
    <n v="0"/>
    <n v="0"/>
    <n v="0"/>
    <n v="0"/>
    <n v="0"/>
  </r>
  <r>
    <n v="2986"/>
    <n v="139146"/>
    <n v="1"/>
    <n v="0"/>
    <x v="11"/>
    <s v="Single"/>
    <s v="Graduate"/>
    <s v="7/22/2019"/>
    <s v="Other"/>
    <n v="1"/>
    <n v="334"/>
    <n v="4"/>
    <n v="117"/>
    <n v="46"/>
    <n v="43"/>
    <n v="43"/>
    <n v="501"/>
    <n v="3"/>
    <n v="4"/>
    <n v="0"/>
    <n v="4"/>
    <n v="8"/>
    <n v="0"/>
    <n v="0"/>
    <n v="0"/>
    <n v="0"/>
    <n v="0"/>
    <n v="0"/>
    <n v="0"/>
  </r>
  <r>
    <n v="2083"/>
    <n v="138508"/>
    <n v="1"/>
    <n v="0"/>
    <x v="11"/>
    <s v="Married"/>
    <s v="Graduate"/>
    <s v="1/7/2020"/>
    <s v="Illinois"/>
    <n v="95"/>
    <n v="432"/>
    <n v="68"/>
    <n v="741"/>
    <n v="90"/>
    <n v="68"/>
    <n v="194"/>
    <n v="1205"/>
    <n v="6"/>
    <n v="7"/>
    <n v="2"/>
    <n v="5"/>
    <n v="8"/>
    <n v="0"/>
    <n v="0"/>
    <n v="0"/>
    <n v="0"/>
    <n v="0"/>
    <n v="0"/>
    <n v="0"/>
  </r>
  <r>
    <n v="2212"/>
    <n v="138197"/>
    <n v="1"/>
    <n v="0"/>
    <x v="11"/>
    <s v="Together"/>
    <s v="PhD"/>
    <s v="12/4/2019"/>
    <s v="Other"/>
    <n v="86"/>
    <n v="83"/>
    <n v="0"/>
    <n v="40"/>
    <n v="7"/>
    <n v="4"/>
    <n v="11"/>
    <n v="123"/>
    <n v="1"/>
    <n v="1"/>
    <n v="0"/>
    <n v="3"/>
    <n v="5"/>
    <n v="0"/>
    <n v="0"/>
    <n v="0"/>
    <n v="0"/>
    <n v="0"/>
    <n v="0"/>
    <n v="0"/>
  </r>
  <r>
    <n v="2025"/>
    <n v="134728"/>
    <n v="1"/>
    <n v="0"/>
    <x v="11"/>
    <s v="Together"/>
    <s v="Graduate"/>
    <s v="1/4/2020"/>
    <s v="Texas"/>
    <n v="2"/>
    <n v="54"/>
    <n v="0"/>
    <n v="62"/>
    <n v="0"/>
    <n v="0"/>
    <n v="23"/>
    <n v="93"/>
    <n v="1"/>
    <n v="1"/>
    <n v="1"/>
    <n v="2"/>
    <n v="6"/>
    <n v="0"/>
    <n v="1"/>
    <n v="0"/>
    <n v="0"/>
    <n v="0"/>
    <n v="0"/>
    <n v="0"/>
  </r>
  <r>
    <n v="1217"/>
    <n v="134320"/>
    <n v="1"/>
    <n v="0"/>
    <x v="11"/>
    <s v="Together"/>
    <s v="PhD"/>
    <s v="7/23/2020"/>
    <s v="California"/>
    <n v="66"/>
    <n v="16"/>
    <n v="4"/>
    <n v="35"/>
    <n v="12"/>
    <n v="0"/>
    <n v="0"/>
    <n v="67"/>
    <n v="1"/>
    <n v="1"/>
    <n v="0"/>
    <n v="2"/>
    <n v="8"/>
    <n v="0"/>
    <n v="0"/>
    <n v="0"/>
    <n v="0"/>
    <n v="0"/>
    <n v="0"/>
    <n v="0"/>
  </r>
  <r>
    <n v="2882"/>
    <n v="133235"/>
    <n v="1"/>
    <n v="0"/>
    <x v="11"/>
    <s v="Together"/>
    <s v="Graduate"/>
    <s v="7/12/2020"/>
    <s v="New York"/>
    <n v="71"/>
    <n v="180"/>
    <n v="0"/>
    <n v="64"/>
    <n v="8"/>
    <n v="4"/>
    <n v="24"/>
    <n v="233"/>
    <n v="1"/>
    <n v="3"/>
    <n v="0"/>
    <n v="3"/>
    <n v="7"/>
    <n v="0"/>
    <n v="0"/>
    <n v="0"/>
    <n v="0"/>
    <n v="0"/>
    <n v="0"/>
    <n v="0"/>
  </r>
  <r>
    <n v="1509"/>
    <n v="132880"/>
    <n v="1"/>
    <n v="0"/>
    <x v="11"/>
    <s v="Married"/>
    <s v="Graduate"/>
    <s v="5/11/2019"/>
    <s v="Texas"/>
    <n v="76"/>
    <n v="32"/>
    <n v="16"/>
    <n v="61"/>
    <n v="28"/>
    <n v="24"/>
    <n v="8"/>
    <n v="154"/>
    <n v="1"/>
    <n v="1"/>
    <n v="0"/>
    <n v="3"/>
    <n v="8"/>
    <n v="0"/>
    <n v="0"/>
    <n v="0"/>
    <n v="0"/>
    <n v="0"/>
    <n v="0"/>
    <n v="0"/>
  </r>
  <r>
    <n v="1314"/>
    <n v="129999"/>
    <n v="1"/>
    <n v="0"/>
    <x v="11"/>
    <s v="Single"/>
    <s v="PhD"/>
    <s v="7/21/2019"/>
    <s v="Florida"/>
    <n v="22"/>
    <n v="295"/>
    <n v="30"/>
    <n v="256"/>
    <n v="43"/>
    <n v="22"/>
    <n v="48"/>
    <n v="598"/>
    <n v="4"/>
    <n v="3"/>
    <n v="1"/>
    <n v="4"/>
    <n v="8"/>
    <n v="0"/>
    <n v="0"/>
    <n v="0"/>
    <n v="0"/>
    <n v="0"/>
    <n v="0"/>
    <n v="0"/>
  </r>
  <r>
    <n v="2440"/>
    <n v="128072"/>
    <n v="1"/>
    <n v="0"/>
    <x v="11"/>
    <s v="Married"/>
    <s v="Master"/>
    <s v="12/13/2019"/>
    <s v="Other"/>
    <n v="10"/>
    <n v="137"/>
    <n v="0"/>
    <n v="46"/>
    <n v="9"/>
    <n v="0"/>
    <n v="23"/>
    <n v="169"/>
    <n v="1"/>
    <n v="1"/>
    <n v="0"/>
    <n v="3"/>
    <n v="7"/>
    <n v="0"/>
    <n v="0"/>
    <n v="0"/>
    <n v="0"/>
    <n v="0"/>
    <n v="0"/>
    <n v="0"/>
  </r>
  <r>
    <n v="2549"/>
    <n v="127161"/>
    <n v="1"/>
    <n v="0"/>
    <x v="11"/>
    <s v="Married"/>
    <s v="Master"/>
    <s v="4/3/2020"/>
    <s v="California"/>
    <n v="41"/>
    <n v="33"/>
    <n v="19"/>
    <n v="108"/>
    <n v="33"/>
    <n v="0"/>
    <n v="51"/>
    <n v="140"/>
    <n v="1"/>
    <n v="1"/>
    <n v="0"/>
    <n v="3"/>
    <n v="7"/>
    <n v="0"/>
    <n v="0"/>
    <n v="0"/>
    <n v="0"/>
    <n v="0"/>
    <n v="0"/>
    <n v="0"/>
  </r>
  <r>
    <n v="3199"/>
    <n v="126816"/>
    <n v="0"/>
    <n v="0"/>
    <x v="11"/>
    <s v="Single"/>
    <s v="Graduate"/>
    <s v="1/22/2019"/>
    <s v="Illinois"/>
    <n v="50"/>
    <n v="24"/>
    <n v="5"/>
    <n v="28"/>
    <n v="14"/>
    <n v="19"/>
    <n v="14"/>
    <n v="76"/>
    <n v="1"/>
    <n v="0"/>
    <n v="0"/>
    <n v="3"/>
    <n v="4"/>
    <n v="0"/>
    <n v="0"/>
    <n v="0"/>
    <n v="0"/>
    <n v="0"/>
    <n v="0"/>
    <n v="0"/>
  </r>
  <r>
    <n v="2130"/>
    <n v="126576"/>
    <n v="1"/>
    <n v="0"/>
    <x v="11"/>
    <s v="Single"/>
    <s v="Graduate"/>
    <s v="3/20/2019"/>
    <s v="Florida"/>
    <n v="40"/>
    <n v="48"/>
    <n v="0"/>
    <n v="38"/>
    <n v="0"/>
    <n v="0"/>
    <n v="43"/>
    <n v="43"/>
    <n v="1"/>
    <n v="1"/>
    <n v="0"/>
    <n v="2"/>
    <n v="9"/>
    <n v="0"/>
    <n v="1"/>
    <n v="0"/>
    <n v="0"/>
    <n v="1"/>
    <n v="0"/>
    <n v="0"/>
  </r>
  <r>
    <n v="1691"/>
    <n v="125252"/>
    <n v="1"/>
    <n v="0"/>
    <x v="11"/>
    <s v="Married"/>
    <s v="Graduate"/>
    <s v="12/17/2019"/>
    <s v="California"/>
    <n v="26"/>
    <n v="5"/>
    <n v="15"/>
    <n v="20"/>
    <n v="10"/>
    <n v="10"/>
    <n v="30"/>
    <n v="30"/>
    <n v="1"/>
    <n v="1"/>
    <n v="0"/>
    <n v="2"/>
    <n v="8"/>
    <n v="0"/>
    <n v="0"/>
    <n v="0"/>
    <n v="0"/>
    <n v="0"/>
    <n v="0"/>
    <n v="0"/>
  </r>
  <r>
    <n v="2963"/>
    <n v="123477"/>
    <n v="1"/>
    <n v="0"/>
    <x v="11"/>
    <s v="Married"/>
    <s v="Graduate"/>
    <s v="3/27/2020"/>
    <s v="California"/>
    <n v="39"/>
    <n v="200"/>
    <n v="79"/>
    <n v="284"/>
    <n v="16"/>
    <n v="42"/>
    <n v="153"/>
    <n v="468"/>
    <n v="3"/>
    <n v="3"/>
    <n v="0"/>
    <n v="4"/>
    <n v="8"/>
    <n v="0"/>
    <n v="0"/>
    <n v="0"/>
    <n v="0"/>
    <n v="0"/>
    <n v="0"/>
    <n v="0"/>
  </r>
  <r>
    <n v="2208"/>
    <n v="122518"/>
    <n v="1"/>
    <n v="0"/>
    <x v="11"/>
    <s v="Married"/>
    <s v="Graduate"/>
    <s v="3/29/2019"/>
    <s v="Florida"/>
    <n v="36"/>
    <n v="60"/>
    <n v="38"/>
    <n v="65"/>
    <n v="11"/>
    <n v="11"/>
    <n v="147"/>
    <n v="38"/>
    <n v="2"/>
    <n v="2"/>
    <n v="1"/>
    <n v="2"/>
    <n v="5"/>
    <n v="0"/>
    <n v="1"/>
    <n v="0"/>
    <n v="0"/>
    <n v="1"/>
    <n v="0"/>
    <n v="0"/>
  </r>
  <r>
    <n v="2739"/>
    <n v="121955"/>
    <n v="1"/>
    <n v="0"/>
    <x v="11"/>
    <s v="Married"/>
    <s v="Graduate"/>
    <s v="2/12/2020"/>
    <s v="Texas"/>
    <n v="81"/>
    <n v="28"/>
    <n v="6"/>
    <n v="39"/>
    <n v="94"/>
    <n v="78"/>
    <n v="61"/>
    <n v="183"/>
    <n v="2"/>
    <n v="2"/>
    <n v="1"/>
    <n v="3"/>
    <n v="6"/>
    <n v="0"/>
    <n v="0"/>
    <n v="0"/>
    <n v="0"/>
    <n v="0"/>
    <n v="0"/>
    <n v="0"/>
  </r>
  <r>
    <n v="1589"/>
    <n v="121888"/>
    <n v="1"/>
    <n v="0"/>
    <x v="11"/>
    <s v="Single"/>
    <s v="Master"/>
    <s v="6/5/2019"/>
    <s v="California"/>
    <n v="15"/>
    <n v="490"/>
    <n v="56"/>
    <n v="256"/>
    <n v="11"/>
    <n v="17"/>
    <n v="356"/>
    <n v="473"/>
    <n v="4"/>
    <n v="5"/>
    <n v="1"/>
    <n v="2"/>
    <n v="10"/>
    <n v="0"/>
    <n v="1"/>
    <n v="0"/>
    <n v="0"/>
    <n v="0"/>
    <n v="0"/>
    <n v="0"/>
  </r>
  <r>
    <n v="1880"/>
    <n v="121846"/>
    <n v="1"/>
    <n v="0"/>
    <x v="11"/>
    <s v="Divorced"/>
    <s v="Graduate"/>
    <s v="3/28/2020"/>
    <s v="New York"/>
    <n v="38"/>
    <n v="39"/>
    <n v="95"/>
    <n v="100"/>
    <n v="33"/>
    <n v="56"/>
    <n v="145"/>
    <n v="178"/>
    <n v="4"/>
    <n v="4"/>
    <n v="0"/>
    <n v="3"/>
    <n v="8"/>
    <n v="0"/>
    <n v="0"/>
    <n v="0"/>
    <n v="0"/>
    <n v="0"/>
    <n v="0"/>
    <n v="0"/>
  </r>
  <r>
    <n v="2413"/>
    <n v="120491"/>
    <n v="0"/>
    <n v="0"/>
    <x v="11"/>
    <s v="Together"/>
    <s v="Graduate"/>
    <s v="7/2/2019"/>
    <s v="Illinois"/>
    <n v="16"/>
    <n v="29"/>
    <n v="24"/>
    <n v="29"/>
    <n v="24"/>
    <n v="12"/>
    <n v="59"/>
    <n v="59"/>
    <n v="1"/>
    <n v="0"/>
    <n v="1"/>
    <n v="2"/>
    <n v="7"/>
    <n v="0"/>
    <n v="0"/>
    <n v="0"/>
    <n v="0"/>
    <n v="0"/>
    <n v="0"/>
    <n v="0"/>
  </r>
  <r>
    <n v="1766"/>
    <n v="120425"/>
    <n v="1"/>
    <n v="0"/>
    <x v="11"/>
    <s v="Married"/>
    <s v="Basic"/>
    <s v="4/5/2019"/>
    <s v="New York"/>
    <n v="5"/>
    <n v="24"/>
    <n v="71"/>
    <n v="29"/>
    <n v="18"/>
    <n v="94"/>
    <n v="100"/>
    <n v="136"/>
    <n v="2"/>
    <n v="2"/>
    <n v="0"/>
    <n v="3"/>
    <n v="7"/>
    <n v="0"/>
    <n v="0"/>
    <n v="0"/>
    <n v="0"/>
    <n v="0"/>
    <n v="0"/>
    <n v="0"/>
  </r>
  <r>
    <n v="3074"/>
    <n v="120425"/>
    <n v="1"/>
    <n v="0"/>
    <x v="11"/>
    <s v="Married"/>
    <s v="Basic"/>
    <s v="4/5/2019"/>
    <s v="New York"/>
    <n v="5"/>
    <n v="24"/>
    <n v="71"/>
    <n v="29"/>
    <n v="18"/>
    <n v="94"/>
    <n v="100"/>
    <n v="136"/>
    <n v="2"/>
    <n v="2"/>
    <n v="0"/>
    <n v="3"/>
    <n v="7"/>
    <n v="0"/>
    <n v="0"/>
    <n v="0"/>
    <n v="0"/>
    <n v="0"/>
    <n v="0"/>
    <n v="0"/>
  </r>
  <r>
    <n v="1848"/>
    <n v="119485"/>
    <n v="2"/>
    <n v="0"/>
    <x v="11"/>
    <s v="Single"/>
    <s v="Master"/>
    <s v="2/29/2020"/>
    <s v="Florida"/>
    <n v="80"/>
    <n v="37"/>
    <n v="0"/>
    <n v="25"/>
    <n v="0"/>
    <n v="0"/>
    <n v="0"/>
    <n v="61"/>
    <n v="1"/>
    <n v="1"/>
    <n v="0"/>
    <n v="2"/>
    <n v="7"/>
    <n v="0"/>
    <n v="0"/>
    <n v="0"/>
    <n v="0"/>
    <n v="0"/>
    <n v="0"/>
    <n v="0"/>
  </r>
  <r>
    <n v="1925"/>
    <n v="114906"/>
    <n v="0"/>
    <n v="0"/>
    <x v="11"/>
    <s v="Single"/>
    <s v="Basic"/>
    <s v="5/29/2019"/>
    <s v="California"/>
    <n v="86"/>
    <n v="54"/>
    <n v="54"/>
    <n v="108"/>
    <n v="54"/>
    <n v="123"/>
    <n v="116"/>
    <n v="278"/>
    <n v="3"/>
    <n v="2"/>
    <n v="1"/>
    <n v="3"/>
    <n v="7"/>
    <n v="0"/>
    <n v="0"/>
    <n v="0"/>
    <n v="0"/>
    <n v="0"/>
    <n v="0"/>
    <n v="0"/>
  </r>
  <r>
    <n v="2201"/>
    <n v="108940"/>
    <n v="1"/>
    <n v="0"/>
    <x v="11"/>
    <s v="Single"/>
    <s v="Basic"/>
    <s v="1/27/2019"/>
    <s v="California"/>
    <n v="25"/>
    <n v="12"/>
    <n v="548"/>
    <n v="37"/>
    <n v="49"/>
    <n v="73"/>
    <n v="512"/>
    <n v="207"/>
    <n v="3"/>
    <n v="3"/>
    <n v="1"/>
    <n v="3"/>
    <n v="8"/>
    <n v="0"/>
    <n v="0"/>
    <n v="0"/>
    <n v="0"/>
    <n v="0"/>
    <n v="0"/>
    <n v="0"/>
  </r>
  <r>
    <n v="1423"/>
    <n v="107500"/>
    <n v="1"/>
    <n v="0"/>
    <x v="11"/>
    <s v="Married"/>
    <s v="Graduate"/>
    <s v="7/15/2019"/>
    <s v="Illinois"/>
    <n v="96"/>
    <n v="14"/>
    <n v="158"/>
    <n v="72"/>
    <n v="57"/>
    <n v="86"/>
    <n v="129"/>
    <n v="258"/>
    <n v="2"/>
    <n v="2"/>
    <n v="0"/>
    <n v="3"/>
    <n v="8"/>
    <n v="0"/>
    <n v="0"/>
    <n v="0"/>
    <n v="0"/>
    <n v="0"/>
    <n v="0"/>
    <n v="0"/>
  </r>
  <r>
    <n v="2408"/>
    <n v="192533"/>
    <n v="0"/>
    <n v="0"/>
    <x v="12"/>
    <s v="Married"/>
    <s v="Graduate"/>
    <s v="5/25/2020"/>
    <s v="New York"/>
    <n v="84"/>
    <n v="1442"/>
    <n v="44"/>
    <n v="246"/>
    <n v="229"/>
    <n v="306"/>
    <n v="87"/>
    <n v="2178"/>
    <n v="1"/>
    <n v="6"/>
    <n v="5"/>
    <n v="11"/>
    <n v="2"/>
    <n v="0"/>
    <n v="0"/>
    <n v="1"/>
    <n v="0"/>
    <n v="0"/>
    <n v="0"/>
    <n v="1"/>
  </r>
  <r>
    <n v="2115"/>
    <n v="172903"/>
    <n v="0"/>
    <n v="0"/>
    <x v="12"/>
    <s v="Single"/>
    <s v="Graduate"/>
    <s v="4/4/2020"/>
    <s v="Texas"/>
    <n v="74"/>
    <n v="2531"/>
    <n v="327"/>
    <n v="1779"/>
    <n v="0"/>
    <n v="45"/>
    <n v="92"/>
    <n v="4589"/>
    <n v="1"/>
    <n v="7"/>
    <n v="5"/>
    <n v="8"/>
    <n v="4"/>
    <n v="0"/>
    <n v="1"/>
    <n v="1"/>
    <n v="0"/>
    <n v="0"/>
    <n v="1"/>
    <n v="1"/>
  </r>
  <r>
    <n v="1202"/>
    <n v="170951"/>
    <n v="0"/>
    <n v="0"/>
    <x v="12"/>
    <s v="Married"/>
    <s v="Graduate"/>
    <s v="10/9/2019"/>
    <s v="New York"/>
    <n v="66"/>
    <n v="576"/>
    <n v="24"/>
    <n v="1335"/>
    <n v="612"/>
    <n v="210"/>
    <n v="130"/>
    <n v="2626"/>
    <n v="1"/>
    <n v="3"/>
    <n v="4"/>
    <n v="9"/>
    <n v="1"/>
    <n v="0"/>
    <n v="0"/>
    <n v="0"/>
    <n v="0"/>
    <n v="0"/>
    <n v="0"/>
    <n v="0"/>
  </r>
  <r>
    <n v="2036"/>
    <n v="170596"/>
    <n v="0"/>
    <n v="0"/>
    <x v="12"/>
    <s v="Single"/>
    <s v="Graduate"/>
    <s v="3/12/2019"/>
    <s v="New York"/>
    <n v="68"/>
    <n v="839"/>
    <n v="106"/>
    <n v="1290"/>
    <n v="41"/>
    <n v="0"/>
    <n v="63"/>
    <n v="2214"/>
    <n v="1"/>
    <n v="3"/>
    <n v="5"/>
    <n v="12"/>
    <n v="2"/>
    <n v="0"/>
    <n v="0"/>
    <n v="0"/>
    <n v="0"/>
    <n v="0"/>
    <n v="0"/>
    <n v="0"/>
  </r>
  <r>
    <n v="2747"/>
    <n v="170596"/>
    <n v="0"/>
    <n v="0"/>
    <x v="12"/>
    <s v="Single"/>
    <s v="Graduate"/>
    <s v="3/12/2019"/>
    <s v="California"/>
    <n v="68"/>
    <n v="839"/>
    <n v="106"/>
    <n v="1290"/>
    <n v="41"/>
    <n v="0"/>
    <n v="63"/>
    <n v="2214"/>
    <n v="1"/>
    <n v="3"/>
    <n v="5"/>
    <n v="12"/>
    <n v="2"/>
    <n v="0"/>
    <n v="0"/>
    <n v="0"/>
    <n v="0"/>
    <n v="0"/>
    <n v="0"/>
    <n v="0"/>
  </r>
  <r>
    <n v="1303"/>
    <n v="166503"/>
    <n v="1"/>
    <n v="0"/>
    <x v="12"/>
    <s v="Single"/>
    <s v="Graduate"/>
    <s v="1/19/2019"/>
    <s v="Illinois"/>
    <n v="30"/>
    <n v="228"/>
    <n v="160"/>
    <n v="320"/>
    <n v="163"/>
    <n v="8"/>
    <n v="125"/>
    <n v="754"/>
    <n v="2"/>
    <n v="4"/>
    <n v="3"/>
    <n v="6"/>
    <n v="3"/>
    <n v="0"/>
    <n v="0"/>
    <n v="0"/>
    <n v="0"/>
    <n v="0"/>
    <n v="0"/>
    <n v="0"/>
  </r>
  <r>
    <n v="1487"/>
    <n v="164355"/>
    <n v="1"/>
    <n v="0"/>
    <x v="12"/>
    <s v="Married"/>
    <s v="PhD"/>
    <s v="1/29/2019"/>
    <s v="California"/>
    <n v="66"/>
    <n v="2674"/>
    <n v="0"/>
    <n v="358"/>
    <n v="171"/>
    <n v="97"/>
    <n v="391"/>
    <n v="2909"/>
    <n v="2"/>
    <n v="4"/>
    <n v="3"/>
    <n v="12"/>
    <n v="8"/>
    <n v="0"/>
    <n v="0"/>
    <n v="0"/>
    <n v="0"/>
    <n v="0"/>
    <n v="0"/>
    <n v="0"/>
  </r>
  <r>
    <n v="1838"/>
    <n v="155357"/>
    <n v="2"/>
    <n v="0"/>
    <x v="12"/>
    <s v="Married"/>
    <s v="Graduate"/>
    <s v="7/27/2019"/>
    <s v="New York"/>
    <n v="66"/>
    <n v="1050"/>
    <n v="180"/>
    <n v="326"/>
    <n v="236"/>
    <n v="70"/>
    <n v="180"/>
    <n v="1681"/>
    <n v="3"/>
    <n v="6"/>
    <n v="2"/>
    <n v="11"/>
    <n v="5"/>
    <n v="0"/>
    <n v="0"/>
    <n v="0"/>
    <n v="0"/>
    <n v="0"/>
    <n v="0"/>
    <n v="0"/>
  </r>
  <r>
    <n v="2834"/>
    <n v="154006"/>
    <n v="1"/>
    <n v="0"/>
    <x v="12"/>
    <s v="Together"/>
    <s v="Graduate"/>
    <s v="2/23/2019"/>
    <s v="New York"/>
    <n v="42"/>
    <n v="496"/>
    <n v="220"/>
    <n v="579"/>
    <n v="17"/>
    <n v="68"/>
    <n v="277"/>
    <n v="1104"/>
    <n v="2"/>
    <n v="8"/>
    <n v="1"/>
    <n v="7"/>
    <n v="7"/>
    <n v="0"/>
    <n v="0"/>
    <n v="0"/>
    <n v="0"/>
    <n v="0"/>
    <n v="0"/>
    <n v="0"/>
  </r>
  <r>
    <n v="2540"/>
    <n v="144322"/>
    <n v="1"/>
    <n v="0"/>
    <x v="12"/>
    <s v="Married"/>
    <s v="Graduate"/>
    <s v="11/20/2020"/>
    <s v="New York"/>
    <n v="30"/>
    <n v="150"/>
    <n v="0"/>
    <n v="130"/>
    <n v="10"/>
    <n v="0"/>
    <n v="10"/>
    <n v="280"/>
    <n v="2"/>
    <n v="3"/>
    <n v="0"/>
    <n v="3"/>
    <n v="8"/>
    <n v="0"/>
    <n v="0"/>
    <n v="0"/>
    <n v="0"/>
    <n v="0"/>
    <n v="0"/>
    <n v="0"/>
  </r>
  <r>
    <n v="2640"/>
    <n v="141473"/>
    <n v="1"/>
    <n v="0"/>
    <x v="12"/>
    <s v="Single"/>
    <s v="Graduate"/>
    <s v="11/24/2019"/>
    <s v="Florida"/>
    <n v="80"/>
    <n v="72"/>
    <n v="27"/>
    <n v="68"/>
    <n v="51"/>
    <n v="10"/>
    <n v="31"/>
    <n v="198"/>
    <n v="1"/>
    <n v="2"/>
    <n v="0"/>
    <n v="3"/>
    <n v="7"/>
    <n v="0"/>
    <n v="0"/>
    <n v="0"/>
    <n v="0"/>
    <n v="0"/>
    <n v="0"/>
    <n v="0"/>
  </r>
  <r>
    <n v="3187"/>
    <n v="140101"/>
    <n v="1"/>
    <n v="0"/>
    <x v="12"/>
    <s v="Together"/>
    <s v="Master"/>
    <s v="3/21/2019"/>
    <s v="Illinois"/>
    <n v="73"/>
    <n v="597"/>
    <n v="10"/>
    <n v="451"/>
    <n v="91"/>
    <n v="84"/>
    <n v="217"/>
    <n v="1017"/>
    <n v="4"/>
    <n v="6"/>
    <n v="1"/>
    <n v="6"/>
    <n v="7"/>
    <n v="0"/>
    <n v="0"/>
    <n v="0"/>
    <n v="0"/>
    <n v="0"/>
    <n v="0"/>
    <n v="0"/>
  </r>
  <r>
    <n v="2645"/>
    <n v="137929"/>
    <n v="0"/>
    <n v="0"/>
    <x v="12"/>
    <s v="Single"/>
    <s v="PhD"/>
    <s v="1/4/2020"/>
    <s v="California"/>
    <n v="49"/>
    <n v="735"/>
    <n v="7"/>
    <n v="167"/>
    <n v="11"/>
    <n v="7"/>
    <n v="36"/>
    <n v="891"/>
    <n v="2"/>
    <n v="4"/>
    <n v="2"/>
    <n v="5"/>
    <n v="7"/>
    <n v="0"/>
    <n v="1"/>
    <n v="1"/>
    <n v="0"/>
    <n v="0"/>
    <n v="1"/>
    <n v="0"/>
  </r>
  <r>
    <n v="1660"/>
    <n v="136145"/>
    <n v="1"/>
    <n v="0"/>
    <x v="12"/>
    <s v="Married"/>
    <s v="Graduate"/>
    <s v="11/21/2019"/>
    <s v="Other"/>
    <n v="13"/>
    <n v="211"/>
    <n v="15"/>
    <n v="286"/>
    <n v="64"/>
    <n v="4"/>
    <n v="68"/>
    <n v="512"/>
    <n v="4"/>
    <n v="4"/>
    <n v="1"/>
    <n v="3"/>
    <n v="9"/>
    <n v="0"/>
    <n v="1"/>
    <n v="0"/>
    <n v="0"/>
    <n v="1"/>
    <n v="0"/>
    <n v="0"/>
  </r>
  <r>
    <n v="1019"/>
    <n v="133812"/>
    <n v="1"/>
    <n v="0"/>
    <x v="12"/>
    <s v="Single"/>
    <s v="Graduate"/>
    <s v="4/10/2019"/>
    <s v="California"/>
    <n v="86"/>
    <n v="16"/>
    <n v="67"/>
    <n v="75"/>
    <n v="119"/>
    <n v="95"/>
    <n v="154"/>
    <n v="218"/>
    <n v="2"/>
    <n v="2"/>
    <n v="1"/>
    <n v="3"/>
    <n v="6"/>
    <n v="0"/>
    <n v="0"/>
    <n v="0"/>
    <n v="0"/>
    <n v="0"/>
    <n v="0"/>
    <n v="0"/>
  </r>
  <r>
    <n v="1008"/>
    <n v="133454"/>
    <n v="1"/>
    <n v="0"/>
    <x v="12"/>
    <s v="Married"/>
    <s v="PhD"/>
    <s v="10/13/2019"/>
    <s v="Florida"/>
    <n v="32"/>
    <n v="303"/>
    <n v="40"/>
    <n v="223"/>
    <n v="12"/>
    <n v="4"/>
    <n v="92"/>
    <n v="491"/>
    <n v="2"/>
    <n v="4"/>
    <n v="0"/>
    <n v="4"/>
    <n v="8"/>
    <n v="0"/>
    <n v="0"/>
    <n v="0"/>
    <n v="0"/>
    <n v="0"/>
    <n v="0"/>
    <n v="0"/>
  </r>
  <r>
    <n v="2867"/>
    <n v="131158"/>
    <n v="1"/>
    <n v="0"/>
    <x v="12"/>
    <s v="Married"/>
    <s v="Graduate"/>
    <s v="7/4/2019"/>
    <s v="California"/>
    <n v="62"/>
    <n v="105"/>
    <n v="25"/>
    <n v="67"/>
    <n v="84"/>
    <n v="0"/>
    <n v="21"/>
    <n v="261"/>
    <n v="2"/>
    <n v="2"/>
    <n v="0"/>
    <n v="3"/>
    <n v="8"/>
    <n v="0"/>
    <n v="0"/>
    <n v="0"/>
    <n v="0"/>
    <n v="0"/>
    <n v="0"/>
    <n v="0"/>
  </r>
  <r>
    <n v="2859"/>
    <n v="130298"/>
    <n v="0"/>
    <n v="0"/>
    <x v="12"/>
    <s v="Single"/>
    <s v="PhD"/>
    <s v="10/23/2020"/>
    <s v="Texas"/>
    <n v="48"/>
    <n v="26"/>
    <n v="13"/>
    <n v="52"/>
    <n v="26"/>
    <n v="4"/>
    <n v="0"/>
    <n v="120"/>
    <n v="1"/>
    <n v="1"/>
    <n v="1"/>
    <n v="3"/>
    <n v="3"/>
    <n v="0"/>
    <n v="0"/>
    <n v="0"/>
    <n v="0"/>
    <n v="0"/>
    <n v="0"/>
    <n v="0"/>
  </r>
  <r>
    <n v="1238"/>
    <n v="129938"/>
    <n v="1"/>
    <n v="0"/>
    <x v="12"/>
    <s v="Single"/>
    <s v="Graduate"/>
    <s v="4/2/2020"/>
    <s v="New York"/>
    <n v="52"/>
    <n v="13"/>
    <n v="13"/>
    <n v="30"/>
    <n v="0"/>
    <n v="9"/>
    <n v="48"/>
    <n v="17"/>
    <n v="2"/>
    <n v="1"/>
    <n v="0"/>
    <n v="3"/>
    <n v="6"/>
    <n v="0"/>
    <n v="0"/>
    <n v="0"/>
    <n v="0"/>
    <n v="0"/>
    <n v="0"/>
    <n v="0"/>
  </r>
  <r>
    <n v="1075"/>
    <n v="129760"/>
    <n v="1"/>
    <n v="0"/>
    <x v="12"/>
    <s v="Single"/>
    <s v="Graduate"/>
    <s v="2/3/2019"/>
    <s v="Illinois"/>
    <n v="87"/>
    <n v="279"/>
    <n v="17"/>
    <n v="296"/>
    <n v="31"/>
    <n v="22"/>
    <n v="74"/>
    <n v="571"/>
    <n v="4"/>
    <n v="3"/>
    <n v="1"/>
    <n v="4"/>
    <n v="8"/>
    <n v="0"/>
    <n v="0"/>
    <n v="0"/>
    <n v="0"/>
    <n v="0"/>
    <n v="0"/>
    <n v="0"/>
  </r>
  <r>
    <n v="2751"/>
    <n v="129760"/>
    <n v="1"/>
    <n v="0"/>
    <x v="12"/>
    <s v="Single"/>
    <s v="Graduate"/>
    <s v="2/3/2019"/>
    <s v="Texas"/>
    <n v="87"/>
    <n v="279"/>
    <n v="17"/>
    <n v="296"/>
    <n v="31"/>
    <n v="22"/>
    <n v="74"/>
    <n v="571"/>
    <n v="4"/>
    <n v="3"/>
    <n v="1"/>
    <n v="4"/>
    <n v="8"/>
    <n v="0"/>
    <n v="0"/>
    <n v="0"/>
    <n v="0"/>
    <n v="0"/>
    <n v="0"/>
    <n v="0"/>
  </r>
  <r>
    <n v="1634"/>
    <n v="129103"/>
    <n v="1"/>
    <n v="0"/>
    <x v="12"/>
    <s v="Together"/>
    <s v="Graduate"/>
    <s v="2/1/2019"/>
    <s v="New York"/>
    <n v="38"/>
    <n v="71"/>
    <n v="0"/>
    <n v="75"/>
    <n v="27"/>
    <n v="13"/>
    <n v="27"/>
    <n v="160"/>
    <n v="2"/>
    <n v="1"/>
    <n v="0"/>
    <n v="3"/>
    <n v="9"/>
    <n v="0"/>
    <n v="0"/>
    <n v="0"/>
    <n v="0"/>
    <n v="0"/>
    <n v="0"/>
    <n v="0"/>
  </r>
  <r>
    <n v="2282"/>
    <n v="123148"/>
    <n v="0"/>
    <n v="0"/>
    <x v="12"/>
    <s v="Married"/>
    <s v="Graduate"/>
    <s v="7/25/2020"/>
    <s v="New York"/>
    <n v="83"/>
    <n v="21"/>
    <n v="32"/>
    <n v="43"/>
    <n v="32"/>
    <n v="16"/>
    <n v="53"/>
    <n v="90"/>
    <n v="1"/>
    <n v="2"/>
    <n v="0"/>
    <n v="3"/>
    <n v="7"/>
    <n v="0"/>
    <n v="0"/>
    <n v="0"/>
    <n v="0"/>
    <n v="0"/>
    <n v="0"/>
    <n v="0"/>
  </r>
  <r>
    <n v="2166"/>
    <n v="122327"/>
    <n v="1"/>
    <n v="0"/>
    <x v="12"/>
    <s v="Single"/>
    <s v="Graduate"/>
    <s v="1/7/2020"/>
    <s v="Florida"/>
    <n v="94"/>
    <n v="27"/>
    <n v="22"/>
    <n v="44"/>
    <n v="11"/>
    <n v="0"/>
    <n v="27"/>
    <n v="77"/>
    <n v="1"/>
    <n v="1"/>
    <n v="0"/>
    <n v="3"/>
    <n v="5"/>
    <n v="0"/>
    <n v="0"/>
    <n v="0"/>
    <n v="0"/>
    <n v="0"/>
    <n v="0"/>
    <n v="0"/>
  </r>
  <r>
    <n v="2357"/>
    <n v="121355"/>
    <n v="1"/>
    <n v="0"/>
    <x v="12"/>
    <s v="Married"/>
    <s v="Graduate"/>
    <s v="1/25/2020"/>
    <s v="California"/>
    <n v="5"/>
    <n v="28"/>
    <n v="74"/>
    <n v="80"/>
    <n v="0"/>
    <n v="28"/>
    <n v="176"/>
    <n v="34"/>
    <n v="2"/>
    <n v="2"/>
    <n v="1"/>
    <n v="2"/>
    <n v="6"/>
    <n v="0"/>
    <n v="1"/>
    <n v="0"/>
    <n v="0"/>
    <n v="1"/>
    <n v="0"/>
    <n v="0"/>
  </r>
  <r>
    <n v="1040"/>
    <n v="120559"/>
    <n v="1"/>
    <n v="0"/>
    <x v="12"/>
    <s v="Married"/>
    <s v="Master"/>
    <s v="8/17/2019"/>
    <s v="New York"/>
    <n v="88"/>
    <n v="76"/>
    <n v="6"/>
    <n v="170"/>
    <n v="18"/>
    <n v="0"/>
    <n v="41"/>
    <n v="229"/>
    <n v="2"/>
    <n v="2"/>
    <n v="0"/>
    <n v="3"/>
    <n v="8"/>
    <n v="0"/>
    <n v="0"/>
    <n v="0"/>
    <n v="0"/>
    <n v="0"/>
    <n v="0"/>
    <n v="0"/>
  </r>
  <r>
    <n v="1365"/>
    <n v="119986"/>
    <n v="1"/>
    <n v="0"/>
    <x v="12"/>
    <s v="Married"/>
    <s v="Graduate"/>
    <s v="4/20/2020"/>
    <s v="Texas"/>
    <n v="74"/>
    <n v="18"/>
    <n v="36"/>
    <n v="30"/>
    <n v="0"/>
    <n v="12"/>
    <n v="36"/>
    <n v="60"/>
    <n v="1"/>
    <n v="0"/>
    <n v="0"/>
    <n v="3"/>
    <n v="7"/>
    <n v="0"/>
    <n v="0"/>
    <n v="0"/>
    <n v="0"/>
    <n v="0"/>
    <n v="0"/>
    <n v="0"/>
  </r>
  <r>
    <n v="1643"/>
    <n v="119986"/>
    <n v="1"/>
    <n v="0"/>
    <x v="12"/>
    <s v="Married"/>
    <s v="Graduate"/>
    <s v="4/20/2020"/>
    <s v="California"/>
    <n v="74"/>
    <n v="18"/>
    <n v="36"/>
    <n v="30"/>
    <n v="0"/>
    <n v="12"/>
    <n v="36"/>
    <n v="60"/>
    <n v="1"/>
    <n v="0"/>
    <n v="0"/>
    <n v="3"/>
    <n v="7"/>
    <n v="0"/>
    <n v="0"/>
    <n v="0"/>
    <n v="0"/>
    <n v="0"/>
    <n v="0"/>
    <n v="0"/>
  </r>
  <r>
    <n v="1114"/>
    <n v="119510"/>
    <n v="2"/>
    <n v="0"/>
    <x v="12"/>
    <s v="Married"/>
    <s v="Master"/>
    <s v="2/9/2020"/>
    <s v="Other"/>
    <n v="63"/>
    <n v="55"/>
    <n v="0"/>
    <n v="43"/>
    <n v="18"/>
    <n v="25"/>
    <n v="43"/>
    <n v="98"/>
    <n v="2"/>
    <n v="1"/>
    <n v="0"/>
    <n v="3"/>
    <n v="7"/>
    <n v="0"/>
    <n v="0"/>
    <n v="0"/>
    <n v="0"/>
    <n v="0"/>
    <n v="0"/>
    <n v="0"/>
  </r>
  <r>
    <n v="2667"/>
    <n v="118169"/>
    <n v="1"/>
    <n v="0"/>
    <x v="12"/>
    <s v="Married"/>
    <s v="PhD"/>
    <s v="7/27/2019"/>
    <s v="Texas"/>
    <n v="40"/>
    <n v="59"/>
    <n v="0"/>
    <n v="33"/>
    <n v="0"/>
    <n v="0"/>
    <n v="46"/>
    <n v="46"/>
    <n v="1"/>
    <n v="1"/>
    <n v="0"/>
    <n v="2"/>
    <n v="8"/>
    <n v="0"/>
    <n v="0"/>
    <n v="0"/>
    <n v="0"/>
    <n v="0"/>
    <n v="0"/>
    <n v="0"/>
  </r>
  <r>
    <n v="2109"/>
    <n v="116581"/>
    <n v="0"/>
    <n v="0"/>
    <x v="12"/>
    <s v="Single"/>
    <s v="Basic"/>
    <s v="6/19/2019"/>
    <s v="Texas"/>
    <n v="51"/>
    <n v="7"/>
    <n v="21"/>
    <n v="28"/>
    <n v="14"/>
    <n v="21"/>
    <n v="77"/>
    <n v="14"/>
    <n v="1"/>
    <n v="0"/>
    <n v="0"/>
    <n v="3"/>
    <n v="4"/>
    <n v="0"/>
    <n v="0"/>
    <n v="0"/>
    <n v="0"/>
    <n v="0"/>
    <n v="0"/>
    <n v="0"/>
  </r>
  <r>
    <n v="3004"/>
    <n v="107500"/>
    <n v="1"/>
    <n v="0"/>
    <x v="12"/>
    <s v="Together"/>
    <s v="Graduate"/>
    <s v="1/6/2019"/>
    <s v="Other"/>
    <n v="98"/>
    <n v="72"/>
    <n v="244"/>
    <n v="244"/>
    <n v="186"/>
    <n v="201"/>
    <n v="487"/>
    <n v="459"/>
    <n v="4"/>
    <n v="2"/>
    <n v="1"/>
    <n v="3"/>
    <n v="9"/>
    <n v="0"/>
    <n v="0"/>
    <n v="0"/>
    <n v="0"/>
    <n v="0"/>
    <n v="0"/>
    <n v="0"/>
  </r>
  <r>
    <n v="3136"/>
    <n v="190000"/>
    <n v="0"/>
    <n v="0"/>
    <x v="13"/>
    <s v="Married"/>
    <s v="Graduate"/>
    <s v="5/29/2020"/>
    <s v="Other"/>
    <n v="91"/>
    <n v="1425"/>
    <n v="304"/>
    <n v="281"/>
    <n v="198"/>
    <n v="405"/>
    <n v="509"/>
    <n v="2105"/>
    <n v="1"/>
    <n v="4"/>
    <n v="8"/>
    <n v="5"/>
    <n v="1"/>
    <n v="0"/>
    <n v="0"/>
    <n v="1"/>
    <n v="0"/>
    <n v="1"/>
    <n v="0"/>
    <n v="1"/>
  </r>
  <r>
    <n v="2829"/>
    <n v="182733"/>
    <n v="0"/>
    <n v="0"/>
    <x v="13"/>
    <s v="Single"/>
    <s v="PhD"/>
    <s v="2/15/2020"/>
    <s v="Texas"/>
    <n v="28"/>
    <n v="1573"/>
    <n v="110"/>
    <n v="928"/>
    <n v="144"/>
    <n v="84"/>
    <n v="84"/>
    <n v="2754"/>
    <n v="1"/>
    <n v="8"/>
    <n v="4"/>
    <n v="7"/>
    <n v="4"/>
    <n v="0"/>
    <n v="1"/>
    <n v="0"/>
    <n v="0"/>
    <n v="0"/>
    <n v="0"/>
    <n v="0"/>
  </r>
  <r>
    <n v="1118"/>
    <n v="179607"/>
    <n v="0"/>
    <n v="0"/>
    <x v="13"/>
    <s v="Single"/>
    <s v="Graduate"/>
    <s v="9/26/2019"/>
    <s v="New York"/>
    <n v="37"/>
    <n v="1015"/>
    <n v="300"/>
    <n v="2146"/>
    <n v="390"/>
    <n v="0"/>
    <n v="487"/>
    <n v="3364"/>
    <n v="1"/>
    <n v="3"/>
    <n v="6"/>
    <n v="6"/>
    <n v="1"/>
    <n v="0"/>
    <n v="1"/>
    <n v="0"/>
    <n v="0"/>
    <n v="0"/>
    <n v="0"/>
    <n v="0"/>
  </r>
  <r>
    <n v="2915"/>
    <n v="173356"/>
    <n v="0"/>
    <n v="0"/>
    <x v="13"/>
    <s v="Married"/>
    <s v="PhD"/>
    <s v="7/13/2020"/>
    <s v="California"/>
    <n v="56"/>
    <n v="2481"/>
    <n v="33"/>
    <n v="761"/>
    <n v="0"/>
    <n v="33"/>
    <n v="265"/>
    <n v="3044"/>
    <n v="1"/>
    <n v="5"/>
    <n v="11"/>
    <n v="5"/>
    <n v="2"/>
    <n v="0"/>
    <n v="1"/>
    <n v="1"/>
    <n v="0"/>
    <n v="1"/>
    <n v="0"/>
    <n v="1"/>
  </r>
  <r>
    <n v="2918"/>
    <n v="172570"/>
    <n v="0"/>
    <n v="0"/>
    <x v="13"/>
    <s v="Married"/>
    <s v="Graduate"/>
    <s v="9/29/2020"/>
    <s v="New York"/>
    <n v="67"/>
    <n v="652"/>
    <n v="197"/>
    <n v="514"/>
    <n v="359"/>
    <n v="335"/>
    <n v="533"/>
    <n v="1524"/>
    <n v="1"/>
    <n v="4"/>
    <n v="6"/>
    <n v="12"/>
    <n v="1"/>
    <n v="0"/>
    <n v="0"/>
    <n v="0"/>
    <n v="0"/>
    <n v="0"/>
    <n v="0"/>
    <n v="0"/>
  </r>
  <r>
    <n v="2855"/>
    <n v="170643"/>
    <n v="0"/>
    <n v="0"/>
    <x v="13"/>
    <s v="Married"/>
    <s v="PhD"/>
    <s v="3/22/2019"/>
    <s v="California"/>
    <n v="66"/>
    <n v="2942"/>
    <n v="258"/>
    <n v="734"/>
    <n v="56"/>
    <n v="345"/>
    <n v="80"/>
    <n v="4256"/>
    <n v="1"/>
    <n v="5"/>
    <n v="8"/>
    <n v="4"/>
    <n v="6"/>
    <n v="0"/>
    <n v="1"/>
    <n v="0"/>
    <n v="0"/>
    <n v="0"/>
    <n v="0"/>
    <n v="0"/>
  </r>
  <r>
    <n v="2754"/>
    <n v="165370"/>
    <n v="0"/>
    <n v="0"/>
    <x v="13"/>
    <s v="Married"/>
    <s v="Graduate"/>
    <s v="1/6/2020"/>
    <s v="Florida"/>
    <n v="1"/>
    <n v="180"/>
    <n v="56"/>
    <n v="283"/>
    <n v="349"/>
    <n v="225"/>
    <n v="73"/>
    <n v="1019"/>
    <n v="1"/>
    <n v="2"/>
    <n v="3"/>
    <n v="13"/>
    <n v="1"/>
    <n v="0"/>
    <n v="0"/>
    <n v="0"/>
    <n v="0"/>
    <n v="0"/>
    <n v="0"/>
    <n v="0"/>
  </r>
  <r>
    <n v="3212"/>
    <n v="160646"/>
    <n v="1"/>
    <n v="0"/>
    <x v="13"/>
    <s v="Single"/>
    <s v="Graduate"/>
    <s v="8/21/2019"/>
    <s v="New York"/>
    <n v="82"/>
    <n v="64"/>
    <n v="8"/>
    <n v="69"/>
    <n v="19"/>
    <n v="3"/>
    <n v="61"/>
    <n v="101"/>
    <n v="3"/>
    <n v="3"/>
    <n v="1"/>
    <n v="2"/>
    <n v="9"/>
    <n v="0"/>
    <n v="0"/>
    <n v="0"/>
    <n v="0"/>
    <n v="1"/>
    <n v="0"/>
    <n v="0"/>
  </r>
  <r>
    <n v="2591"/>
    <n v="155434"/>
    <n v="1"/>
    <n v="0"/>
    <x v="13"/>
    <s v="Married"/>
    <s v="Graduate"/>
    <s v="3/11/2020"/>
    <s v="California"/>
    <n v="21"/>
    <n v="667"/>
    <n v="322"/>
    <n v="603"/>
    <n v="474"/>
    <n v="193"/>
    <n v="213"/>
    <n v="2047"/>
    <n v="3"/>
    <n v="5"/>
    <n v="3"/>
    <n v="13"/>
    <n v="4"/>
    <n v="0"/>
    <n v="0"/>
    <n v="0"/>
    <n v="0"/>
    <n v="0"/>
    <n v="0"/>
    <n v="0"/>
  </r>
  <r>
    <n v="2860"/>
    <n v="152413"/>
    <n v="1"/>
    <n v="0"/>
    <x v="13"/>
    <s v="Single"/>
    <s v="Graduate"/>
    <s v="4/10/2019"/>
    <s v="Other"/>
    <n v="67"/>
    <n v="538"/>
    <n v="23"/>
    <n v="387"/>
    <n v="163"/>
    <n v="163"/>
    <n v="35"/>
    <n v="1239"/>
    <n v="2"/>
    <n v="7"/>
    <n v="1"/>
    <n v="7"/>
    <n v="7"/>
    <n v="0"/>
    <n v="0"/>
    <n v="0"/>
    <n v="0"/>
    <n v="0"/>
    <n v="0"/>
    <n v="0"/>
  </r>
  <r>
    <n v="1526"/>
    <n v="142710"/>
    <n v="1"/>
    <n v="0"/>
    <x v="13"/>
    <s v="Single"/>
    <s v="PhD"/>
    <s v="5/5/2019"/>
    <s v="New York"/>
    <n v="38"/>
    <n v="842"/>
    <n v="10"/>
    <n v="140"/>
    <n v="13"/>
    <n v="10"/>
    <n v="341"/>
    <n v="675"/>
    <n v="2"/>
    <n v="4"/>
    <n v="5"/>
    <n v="3"/>
    <n v="6"/>
    <n v="0"/>
    <n v="0"/>
    <n v="0"/>
    <n v="0"/>
    <n v="0"/>
    <n v="0"/>
    <n v="0"/>
  </r>
  <r>
    <n v="1441"/>
    <n v="142207"/>
    <n v="1"/>
    <n v="0"/>
    <x v="13"/>
    <s v="Married"/>
    <s v="Master"/>
    <s v="9/6/2019"/>
    <s v="Illinois"/>
    <n v="71"/>
    <n v="391"/>
    <n v="37"/>
    <n v="243"/>
    <n v="10"/>
    <n v="57"/>
    <n v="155"/>
    <n v="583"/>
    <n v="4"/>
    <n v="4"/>
    <n v="1"/>
    <n v="5"/>
    <n v="6"/>
    <n v="0"/>
    <n v="1"/>
    <n v="0"/>
    <n v="0"/>
    <n v="1"/>
    <n v="0"/>
    <n v="0"/>
  </r>
  <r>
    <n v="3009"/>
    <n v="140059"/>
    <n v="1"/>
    <n v="0"/>
    <x v="13"/>
    <s v="Married"/>
    <s v="Graduate"/>
    <s v="3/4/2020"/>
    <s v="Texas"/>
    <n v="82"/>
    <n v="385"/>
    <n v="101"/>
    <n v="322"/>
    <n v="98"/>
    <n v="35"/>
    <n v="507"/>
    <n v="434"/>
    <n v="1"/>
    <n v="6"/>
    <n v="2"/>
    <n v="3"/>
    <n v="8"/>
    <n v="0"/>
    <n v="0"/>
    <n v="0"/>
    <n v="0"/>
    <n v="1"/>
    <n v="0"/>
    <n v="0"/>
  </r>
  <r>
    <n v="1574"/>
    <n v="139684"/>
    <n v="1"/>
    <n v="0"/>
    <x v="13"/>
    <s v="Single"/>
    <s v="PhD"/>
    <s v="3/19/2019"/>
    <s v="New York"/>
    <n v="41"/>
    <n v="67"/>
    <n v="0"/>
    <n v="123"/>
    <n v="21"/>
    <n v="14"/>
    <n v="60"/>
    <n v="165"/>
    <n v="2"/>
    <n v="2"/>
    <n v="1"/>
    <n v="2"/>
    <n v="7"/>
    <n v="1"/>
    <n v="1"/>
    <n v="0"/>
    <n v="0"/>
    <n v="0"/>
    <n v="0"/>
    <n v="0"/>
  </r>
  <r>
    <n v="3013"/>
    <n v="138680"/>
    <n v="1"/>
    <n v="0"/>
    <x v="13"/>
    <s v="Married"/>
    <s v="Graduate"/>
    <s v="9/2/2019"/>
    <s v="Illinois"/>
    <n v="97"/>
    <n v="39"/>
    <n v="0"/>
    <n v="129"/>
    <n v="54"/>
    <n v="18"/>
    <n v="43"/>
    <n v="197"/>
    <n v="1"/>
    <n v="2"/>
    <n v="0"/>
    <n v="3"/>
    <n v="7"/>
    <n v="0"/>
    <n v="0"/>
    <n v="0"/>
    <n v="0"/>
    <n v="0"/>
    <n v="0"/>
    <n v="0"/>
  </r>
  <r>
    <n v="2680"/>
    <n v="138175"/>
    <n v="1"/>
    <n v="0"/>
    <x v="13"/>
    <s v="Married"/>
    <s v="PhD"/>
    <s v="2/28/2020"/>
    <s v="Other"/>
    <n v="6"/>
    <n v="253"/>
    <n v="22"/>
    <n v="250"/>
    <n v="7"/>
    <n v="11"/>
    <n v="11"/>
    <n v="532"/>
    <n v="3"/>
    <n v="3"/>
    <n v="1"/>
    <n v="4"/>
    <n v="7"/>
    <n v="0"/>
    <n v="0"/>
    <n v="0"/>
    <n v="0"/>
    <n v="0"/>
    <n v="0"/>
    <n v="0"/>
  </r>
  <r>
    <n v="2299"/>
    <n v="137235"/>
    <n v="1"/>
    <n v="0"/>
    <x v="13"/>
    <s v="Together"/>
    <s v="Graduate"/>
    <s v="7/8/2020"/>
    <s v="Illinois"/>
    <n v="68"/>
    <n v="74"/>
    <n v="7"/>
    <n v="33"/>
    <n v="15"/>
    <n v="22"/>
    <n v="74"/>
    <n v="77"/>
    <n v="1"/>
    <n v="1"/>
    <n v="1"/>
    <n v="2"/>
    <n v="4"/>
    <n v="0"/>
    <n v="0"/>
    <n v="0"/>
    <n v="0"/>
    <n v="0"/>
    <n v="0"/>
    <n v="0"/>
  </r>
  <r>
    <n v="2573"/>
    <n v="136108"/>
    <n v="1"/>
    <n v="0"/>
    <x v="13"/>
    <s v="Single"/>
    <s v="Graduate"/>
    <s v="3/21/2020"/>
    <s v="California"/>
    <n v="68"/>
    <n v="531"/>
    <n v="30"/>
    <n v="486"/>
    <n v="11"/>
    <n v="41"/>
    <n v="177"/>
    <n v="924"/>
    <n v="3"/>
    <n v="7"/>
    <n v="1"/>
    <n v="4"/>
    <n v="9"/>
    <n v="0"/>
    <n v="0"/>
    <n v="0"/>
    <n v="0"/>
    <n v="1"/>
    <n v="0"/>
    <n v="0"/>
  </r>
  <r>
    <n v="1354"/>
    <n v="135684"/>
    <n v="1"/>
    <n v="0"/>
    <x v="13"/>
    <s v="Married"/>
    <s v="Graduate"/>
    <s v="9/26/2020"/>
    <s v="Other"/>
    <n v="66"/>
    <n v="38"/>
    <n v="15"/>
    <n v="27"/>
    <n v="0"/>
    <n v="23"/>
    <n v="11"/>
    <n v="91"/>
    <n v="1"/>
    <n v="1"/>
    <n v="0"/>
    <n v="3"/>
    <n v="6"/>
    <n v="0"/>
    <n v="0"/>
    <n v="0"/>
    <n v="0"/>
    <n v="0"/>
    <n v="0"/>
    <n v="0"/>
  </r>
  <r>
    <n v="2029"/>
    <n v="135196"/>
    <n v="1"/>
    <n v="0"/>
    <x v="13"/>
    <s v="Together"/>
    <s v="Graduate"/>
    <s v="4/20/2019"/>
    <s v="Illinois"/>
    <n v="68"/>
    <n v="288"/>
    <n v="46"/>
    <n v="542"/>
    <n v="165"/>
    <n v="150"/>
    <n v="718"/>
    <n v="472"/>
    <n v="6"/>
    <n v="6"/>
    <n v="1"/>
    <n v="5"/>
    <n v="8"/>
    <n v="0"/>
    <n v="1"/>
    <n v="0"/>
    <n v="0"/>
    <n v="0"/>
    <n v="0"/>
    <n v="0"/>
  </r>
  <r>
    <n v="2690"/>
    <n v="135196"/>
    <n v="1"/>
    <n v="0"/>
    <x v="13"/>
    <s v="Together"/>
    <s v="Graduate"/>
    <s v="4/20/2019"/>
    <s v="New York"/>
    <n v="68"/>
    <n v="288"/>
    <n v="46"/>
    <n v="542"/>
    <n v="165"/>
    <n v="150"/>
    <n v="718"/>
    <n v="472"/>
    <n v="6"/>
    <n v="6"/>
    <n v="1"/>
    <n v="5"/>
    <n v="8"/>
    <n v="0"/>
    <n v="0"/>
    <n v="0"/>
    <n v="0"/>
    <n v="0"/>
    <n v="0"/>
    <n v="0"/>
  </r>
  <r>
    <n v="2842"/>
    <n v="134738"/>
    <n v="1"/>
    <n v="0"/>
    <x v="13"/>
    <s v="Single"/>
    <s v="Graduate"/>
    <s v="10/15/2020"/>
    <s v="Other"/>
    <n v="51"/>
    <n v="12"/>
    <n v="8"/>
    <n v="39"/>
    <n v="12"/>
    <n v="0"/>
    <n v="8"/>
    <n v="62"/>
    <n v="1"/>
    <n v="1"/>
    <n v="0"/>
    <n v="3"/>
    <n v="6"/>
    <n v="0"/>
    <n v="0"/>
    <n v="0"/>
    <n v="0"/>
    <n v="0"/>
    <n v="0"/>
    <n v="0"/>
  </r>
  <r>
    <n v="1277"/>
    <n v="132414"/>
    <n v="0"/>
    <n v="0"/>
    <x v="13"/>
    <s v="Together"/>
    <s v="Graduate"/>
    <s v="12/9/2019"/>
    <s v="California"/>
    <n v="11"/>
    <n v="82"/>
    <n v="25"/>
    <n v="20"/>
    <n v="0"/>
    <n v="37"/>
    <n v="49"/>
    <n v="114"/>
    <n v="1"/>
    <n v="1"/>
    <n v="0"/>
    <n v="3"/>
    <n v="7"/>
    <n v="0"/>
    <n v="0"/>
    <n v="0"/>
    <n v="0"/>
    <n v="1"/>
    <n v="0"/>
    <n v="0"/>
  </r>
  <r>
    <n v="3041"/>
    <n v="131761"/>
    <n v="1"/>
    <n v="0"/>
    <x v="13"/>
    <s v="Married"/>
    <s v="Graduate"/>
    <s v="9/9/2020"/>
    <s v="California"/>
    <n v="96"/>
    <n v="79"/>
    <n v="4"/>
    <n v="83"/>
    <n v="66"/>
    <n v="58"/>
    <n v="116"/>
    <n v="174"/>
    <n v="2"/>
    <n v="3"/>
    <n v="0"/>
    <n v="4"/>
    <n v="5"/>
    <n v="0"/>
    <n v="0"/>
    <n v="0"/>
    <n v="0"/>
    <n v="0"/>
    <n v="0"/>
    <n v="0"/>
  </r>
  <r>
    <n v="2954"/>
    <n v="131385"/>
    <n v="1"/>
    <n v="0"/>
    <x v="13"/>
    <s v="Single"/>
    <s v="Master"/>
    <s v="5/12/2019"/>
    <s v="New York"/>
    <n v="56"/>
    <n v="13"/>
    <n v="8"/>
    <n v="50"/>
    <n v="0"/>
    <n v="4"/>
    <n v="38"/>
    <n v="38"/>
    <n v="1"/>
    <n v="1"/>
    <n v="0"/>
    <n v="2"/>
    <n v="8"/>
    <n v="0"/>
    <n v="1"/>
    <n v="0"/>
    <n v="0"/>
    <n v="1"/>
    <n v="0"/>
    <n v="0"/>
  </r>
  <r>
    <n v="1172"/>
    <n v="130477"/>
    <n v="1"/>
    <n v="0"/>
    <x v="13"/>
    <s v="Married"/>
    <s v="Master"/>
    <s v="6/28/2020"/>
    <s v="New York"/>
    <n v="16"/>
    <n v="201"/>
    <n v="4"/>
    <n v="26"/>
    <n v="0"/>
    <n v="0"/>
    <n v="51"/>
    <n v="180"/>
    <n v="1"/>
    <n v="1"/>
    <n v="1"/>
    <n v="3"/>
    <n v="6"/>
    <n v="0"/>
    <n v="0"/>
    <n v="0"/>
    <n v="0"/>
    <n v="0"/>
    <n v="0"/>
    <n v="0"/>
  </r>
  <r>
    <n v="1312"/>
    <n v="127255"/>
    <n v="1"/>
    <n v="0"/>
    <x v="13"/>
    <s v="Married"/>
    <s v="Graduate"/>
    <s v="4/13/2020"/>
    <s v="Other"/>
    <n v="3"/>
    <n v="103"/>
    <n v="5"/>
    <n v="51"/>
    <n v="0"/>
    <n v="5"/>
    <n v="9"/>
    <n v="154"/>
    <n v="1"/>
    <n v="1"/>
    <n v="0"/>
    <n v="3"/>
    <n v="7"/>
    <n v="0"/>
    <n v="0"/>
    <n v="0"/>
    <n v="0"/>
    <n v="0"/>
    <n v="0"/>
    <n v="0"/>
  </r>
  <r>
    <n v="1004"/>
    <n v="126646"/>
    <n v="1"/>
    <n v="0"/>
    <x v="13"/>
    <s v="Together"/>
    <s v="Graduate"/>
    <s v="7/17/2020"/>
    <s v="New York"/>
    <n v="26"/>
    <n v="52"/>
    <n v="19"/>
    <n v="95"/>
    <n v="48"/>
    <n v="14"/>
    <n v="24"/>
    <n v="204"/>
    <n v="2"/>
    <n v="2"/>
    <n v="0"/>
    <n v="4"/>
    <n v="6"/>
    <n v="0"/>
    <n v="0"/>
    <n v="0"/>
    <n v="0"/>
    <n v="0"/>
    <n v="0"/>
    <n v="0"/>
  </r>
  <r>
    <n v="2221"/>
    <n v="125707"/>
    <n v="1"/>
    <n v="0"/>
    <x v="13"/>
    <s v="Single"/>
    <s v="Basic"/>
    <s v="6/24/2020"/>
    <s v="Illinois"/>
    <n v="18"/>
    <n v="5"/>
    <n v="29"/>
    <n v="10"/>
    <n v="15"/>
    <n v="29"/>
    <n v="15"/>
    <n v="73"/>
    <n v="1"/>
    <n v="1"/>
    <n v="0"/>
    <n v="3"/>
    <n v="7"/>
    <n v="0"/>
    <n v="0"/>
    <n v="0"/>
    <n v="0"/>
    <n v="0"/>
    <n v="0"/>
    <n v="0"/>
  </r>
  <r>
    <n v="2955"/>
    <n v="124570"/>
    <n v="1"/>
    <n v="0"/>
    <x v="13"/>
    <s v="Married"/>
    <s v="Graduate"/>
    <s v="8/4/2019"/>
    <s v="Texas"/>
    <n v="97"/>
    <n v="142"/>
    <n v="172"/>
    <n v="314"/>
    <n v="56"/>
    <n v="71"/>
    <n v="223"/>
    <n v="532"/>
    <n v="3"/>
    <n v="4"/>
    <n v="0"/>
    <n v="4"/>
    <n v="9"/>
    <n v="0"/>
    <n v="0"/>
    <n v="0"/>
    <n v="0"/>
    <n v="0"/>
    <n v="0"/>
    <n v="0"/>
  </r>
  <r>
    <n v="1291"/>
    <n v="123976"/>
    <n v="1"/>
    <n v="0"/>
    <x v="13"/>
    <s v="Together"/>
    <s v="Graduate"/>
    <s v="6/2/2020"/>
    <s v="Illinois"/>
    <n v="68"/>
    <n v="72"/>
    <n v="5"/>
    <n v="109"/>
    <n v="10"/>
    <n v="16"/>
    <n v="129"/>
    <n v="83"/>
    <n v="3"/>
    <n v="3"/>
    <n v="1"/>
    <n v="3"/>
    <n v="7"/>
    <n v="0"/>
    <n v="0"/>
    <n v="0"/>
    <n v="0"/>
    <n v="0"/>
    <n v="0"/>
    <n v="0"/>
  </r>
  <r>
    <n v="1152"/>
    <n v="123228"/>
    <n v="1"/>
    <n v="0"/>
    <x v="13"/>
    <s v="Married"/>
    <s v="Graduate"/>
    <s v="6/11/2020"/>
    <s v="Florida"/>
    <n v="91"/>
    <n v="281"/>
    <n v="16"/>
    <n v="260"/>
    <n v="37"/>
    <n v="21"/>
    <n v="27"/>
    <n v="589"/>
    <n v="4"/>
    <n v="3"/>
    <n v="0"/>
    <n v="4"/>
    <n v="8"/>
    <n v="0"/>
    <n v="0"/>
    <n v="0"/>
    <n v="0"/>
    <n v="0"/>
    <n v="0"/>
    <n v="0"/>
  </r>
  <r>
    <n v="1703"/>
    <n v="118988"/>
    <n v="1"/>
    <n v="0"/>
    <x v="13"/>
    <s v="Married"/>
    <s v="PhD"/>
    <s v="10/27/2020"/>
    <s v="California"/>
    <n v="43"/>
    <n v="38"/>
    <n v="0"/>
    <n v="38"/>
    <n v="13"/>
    <n v="6"/>
    <n v="6"/>
    <n v="88"/>
    <n v="2"/>
    <n v="1"/>
    <n v="0"/>
    <n v="3"/>
    <n v="7"/>
    <n v="0"/>
    <n v="0"/>
    <n v="0"/>
    <n v="0"/>
    <n v="0"/>
    <n v="0"/>
    <n v="0"/>
  </r>
  <r>
    <n v="1193"/>
    <n v="118890"/>
    <n v="0"/>
    <n v="0"/>
    <x v="13"/>
    <s v="Single"/>
    <s v="Master"/>
    <s v="4/17/2019"/>
    <s v="California"/>
    <n v="5"/>
    <n v="38"/>
    <n v="25"/>
    <n v="6"/>
    <n v="44"/>
    <n v="13"/>
    <n v="94"/>
    <n v="31"/>
    <n v="1"/>
    <n v="0"/>
    <n v="1"/>
    <n v="2"/>
    <n v="6"/>
    <n v="0"/>
    <n v="1"/>
    <n v="0"/>
    <n v="0"/>
    <n v="1"/>
    <n v="0"/>
    <n v="0"/>
  </r>
  <r>
    <n v="1810"/>
    <n v="116529"/>
    <n v="1"/>
    <n v="0"/>
    <x v="13"/>
    <s v="Together"/>
    <s v="Graduate"/>
    <s v="8/5/2020"/>
    <s v="Other"/>
    <n v="23"/>
    <n v="21"/>
    <n v="0"/>
    <n v="35"/>
    <n v="92"/>
    <n v="0"/>
    <n v="7"/>
    <n v="141"/>
    <n v="1"/>
    <n v="1"/>
    <n v="0"/>
    <n v="3"/>
    <n v="6"/>
    <n v="0"/>
    <n v="0"/>
    <n v="0"/>
    <n v="0"/>
    <n v="0"/>
    <n v="0"/>
    <n v="0"/>
  </r>
  <r>
    <n v="2095"/>
    <n v="116269"/>
    <n v="1"/>
    <n v="0"/>
    <x v="13"/>
    <s v="Single"/>
    <s v="PhD"/>
    <s v="2/4/2020"/>
    <s v="Illinois"/>
    <n v="75"/>
    <n v="136"/>
    <n v="21"/>
    <n v="129"/>
    <n v="21"/>
    <n v="7"/>
    <n v="0"/>
    <n v="314"/>
    <n v="3"/>
    <n v="3"/>
    <n v="0"/>
    <n v="3"/>
    <n v="8"/>
    <n v="0"/>
    <n v="0"/>
    <n v="0"/>
    <n v="0"/>
    <n v="0"/>
    <n v="0"/>
    <n v="0"/>
  </r>
  <r>
    <n v="1381"/>
    <n v="115345"/>
    <n v="1"/>
    <n v="0"/>
    <x v="13"/>
    <s v="Together"/>
    <s v="Graduate"/>
    <s v="2/5/2019"/>
    <s v="Illinois"/>
    <n v="51"/>
    <n v="38"/>
    <n v="15"/>
    <n v="120"/>
    <n v="23"/>
    <n v="15"/>
    <n v="143"/>
    <n v="68"/>
    <n v="2"/>
    <n v="1"/>
    <n v="1"/>
    <n v="2"/>
    <n v="8"/>
    <n v="0"/>
    <n v="1"/>
    <n v="0"/>
    <n v="0"/>
    <n v="0"/>
    <n v="0"/>
    <n v="0"/>
  </r>
  <r>
    <n v="3071"/>
    <n v="114796"/>
    <n v="1"/>
    <n v="0"/>
    <x v="13"/>
    <s v="Married"/>
    <s v="Graduate"/>
    <s v="2/22/2019"/>
    <s v="California"/>
    <n v="1"/>
    <n v="101"/>
    <n v="23"/>
    <n v="62"/>
    <n v="54"/>
    <n v="31"/>
    <n v="124"/>
    <n v="147"/>
    <n v="2"/>
    <n v="1"/>
    <n v="0"/>
    <n v="3"/>
    <n v="9"/>
    <n v="0"/>
    <n v="1"/>
    <n v="0"/>
    <n v="0"/>
    <n v="0"/>
    <n v="0"/>
    <n v="0"/>
  </r>
  <r>
    <n v="3197"/>
    <n v="111012"/>
    <n v="1"/>
    <n v="0"/>
    <x v="13"/>
    <s v="Single"/>
    <s v="Graduate"/>
    <s v="8/21/2019"/>
    <s v="California"/>
    <n v="82"/>
    <n v="242"/>
    <n v="30"/>
    <n v="262"/>
    <n v="71"/>
    <n v="10"/>
    <n v="232"/>
    <n v="383"/>
    <n v="3"/>
    <n v="3"/>
    <n v="1"/>
    <n v="2"/>
    <n v="9"/>
    <n v="0"/>
    <n v="0"/>
    <n v="0"/>
    <n v="0"/>
    <n v="1"/>
    <n v="0"/>
    <n v="0"/>
  </r>
  <r>
    <n v="1116"/>
    <n v="201970"/>
    <n v="0"/>
    <n v="0"/>
    <x v="14"/>
    <s v="Single"/>
    <s v="Graduate"/>
    <s v="8/17/2019"/>
    <s v="Florida"/>
    <n v="69"/>
    <n v="1430"/>
    <n v="53"/>
    <n v="202"/>
    <n v="87"/>
    <n v="143"/>
    <n v="333"/>
    <n v="1583"/>
    <n v="0"/>
    <n v="6"/>
    <n v="8"/>
    <n v="13"/>
    <n v="2"/>
    <n v="0"/>
    <n v="1"/>
    <n v="1"/>
    <n v="0"/>
    <n v="0"/>
    <n v="1"/>
    <n v="1"/>
  </r>
  <r>
    <n v="2696"/>
    <n v="192491"/>
    <n v="0"/>
    <n v="0"/>
    <x v="14"/>
    <s v="Married"/>
    <s v="PhD"/>
    <s v="10/6/2019"/>
    <s v="New York"/>
    <n v="71"/>
    <n v="2037"/>
    <n v="92"/>
    <n v="1946"/>
    <n v="60"/>
    <n v="52"/>
    <n v="46"/>
    <n v="4142"/>
    <n v="1"/>
    <n v="7"/>
    <n v="5"/>
    <n v="12"/>
    <n v="3"/>
    <n v="0"/>
    <n v="1"/>
    <n v="1"/>
    <n v="0"/>
    <n v="0"/>
    <n v="1"/>
    <n v="1"/>
  </r>
  <r>
    <n v="2242"/>
    <n v="190687"/>
    <n v="0"/>
    <n v="0"/>
    <x v="14"/>
    <s v="Divorced"/>
    <s v="PhD"/>
    <s v="10/27/2019"/>
    <s v="Other"/>
    <n v="98"/>
    <n v="2065"/>
    <n v="36"/>
    <n v="1413"/>
    <n v="48"/>
    <n v="71"/>
    <n v="107"/>
    <n v="3526"/>
    <n v="1"/>
    <n v="6"/>
    <n v="2"/>
    <n v="8"/>
    <n v="2"/>
    <n v="0"/>
    <n v="1"/>
    <n v="0"/>
    <n v="0"/>
    <n v="0"/>
    <n v="0"/>
    <n v="1"/>
  </r>
  <r>
    <n v="3158"/>
    <n v="189616"/>
    <n v="0"/>
    <n v="0"/>
    <x v="14"/>
    <s v="Single"/>
    <s v="Master"/>
    <s v="8/2/2019"/>
    <s v="New York"/>
    <n v="36"/>
    <n v="1420"/>
    <n v="99"/>
    <n v="1386"/>
    <n v="307"/>
    <n v="235"/>
    <n v="32"/>
    <n v="3415"/>
    <n v="1"/>
    <n v="7"/>
    <n v="5"/>
    <n v="12"/>
    <n v="2"/>
    <n v="0"/>
    <n v="1"/>
    <n v="0"/>
    <n v="0"/>
    <n v="0"/>
    <n v="0"/>
    <n v="0"/>
  </r>
  <r>
    <n v="2496"/>
    <n v="187188"/>
    <n v="0"/>
    <n v="0"/>
    <x v="14"/>
    <s v="Single"/>
    <s v="PhD"/>
    <s v="11/8/2019"/>
    <s v="Florida"/>
    <n v="73"/>
    <n v="1954"/>
    <n v="238"/>
    <n v="1554"/>
    <n v="105"/>
    <n v="159"/>
    <n v="118"/>
    <n v="3892"/>
    <n v="1"/>
    <n v="10"/>
    <n v="2"/>
    <n v="6"/>
    <n v="3"/>
    <n v="0"/>
    <n v="1"/>
    <n v="0"/>
    <n v="0"/>
    <n v="0"/>
    <n v="0"/>
    <n v="0"/>
  </r>
  <r>
    <n v="2672"/>
    <n v="186580"/>
    <n v="0"/>
    <n v="0"/>
    <x v="14"/>
    <s v="Married"/>
    <s v="PhD"/>
    <s v="8/4/2019"/>
    <s v="New York"/>
    <n v="72"/>
    <n v="1146"/>
    <n v="45"/>
    <n v="274"/>
    <n v="56"/>
    <n v="43"/>
    <n v="43"/>
    <n v="1521"/>
    <n v="0"/>
    <n v="4"/>
    <n v="2"/>
    <n v="5"/>
    <n v="1"/>
    <n v="0"/>
    <n v="0"/>
    <n v="0"/>
    <n v="0"/>
    <n v="0"/>
    <n v="0"/>
    <n v="1"/>
  </r>
  <r>
    <n v="1923"/>
    <n v="182025"/>
    <n v="0"/>
    <n v="0"/>
    <x v="14"/>
    <s v="Divorced"/>
    <s v="Graduate"/>
    <s v="11/2/2019"/>
    <s v="Texas"/>
    <n v="76"/>
    <n v="593"/>
    <n v="217"/>
    <n v="1345"/>
    <n v="107"/>
    <n v="155"/>
    <n v="217"/>
    <n v="2199"/>
    <n v="1"/>
    <n v="3"/>
    <n v="2"/>
    <n v="6"/>
    <n v="1"/>
    <n v="0"/>
    <n v="1"/>
    <n v="0"/>
    <n v="0"/>
    <n v="0"/>
    <n v="0"/>
    <n v="1"/>
  </r>
  <r>
    <n v="2092"/>
    <n v="181698"/>
    <n v="0"/>
    <n v="0"/>
    <x v="14"/>
    <s v="Single"/>
    <s v="Graduate"/>
    <s v="8/6/2019"/>
    <s v="Other"/>
    <n v="1"/>
    <n v="1577"/>
    <n v="100"/>
    <n v="256"/>
    <n v="67"/>
    <n v="356"/>
    <n v="100"/>
    <n v="2255"/>
    <n v="1"/>
    <n v="8"/>
    <n v="2"/>
    <n v="5"/>
    <n v="5"/>
    <n v="0"/>
    <n v="1"/>
    <n v="1"/>
    <n v="0"/>
    <n v="0"/>
    <n v="0"/>
    <n v="0"/>
  </r>
  <r>
    <n v="2261"/>
    <n v="178687"/>
    <n v="0"/>
    <n v="0"/>
    <x v="14"/>
    <s v="Together"/>
    <s v="Graduate"/>
    <s v="1/14/2019"/>
    <s v="California"/>
    <n v="13"/>
    <n v="1855"/>
    <n v="420"/>
    <n v="1560"/>
    <n v="329"/>
    <n v="125"/>
    <n v="547"/>
    <n v="3742"/>
    <n v="1"/>
    <n v="4"/>
    <n v="6"/>
    <n v="8"/>
    <n v="2"/>
    <n v="0"/>
    <n v="1"/>
    <n v="0"/>
    <n v="0"/>
    <n v="0"/>
    <n v="0"/>
    <n v="1"/>
  </r>
  <r>
    <n v="1873"/>
    <n v="176630"/>
    <n v="0"/>
    <n v="0"/>
    <x v="14"/>
    <s v="Married"/>
    <s v="Graduate"/>
    <s v="6/20/2020"/>
    <s v="Illinois"/>
    <n v="93"/>
    <n v="588"/>
    <n v="71"/>
    <n v="1028"/>
    <n v="92"/>
    <n v="129"/>
    <n v="403"/>
    <n v="1505"/>
    <n v="1"/>
    <n v="3"/>
    <n v="10"/>
    <n v="11"/>
    <n v="1"/>
    <n v="0"/>
    <n v="0"/>
    <n v="0"/>
    <n v="0"/>
    <n v="0"/>
    <n v="0"/>
    <n v="0"/>
  </r>
  <r>
    <n v="1851"/>
    <n v="170123"/>
    <n v="0"/>
    <n v="0"/>
    <x v="14"/>
    <s v="Together"/>
    <s v="PhD"/>
    <s v="3/4/2020"/>
    <s v="Texas"/>
    <n v="27"/>
    <n v="3173"/>
    <n v="0"/>
    <n v="961"/>
    <n v="56"/>
    <n v="0"/>
    <n v="0"/>
    <n v="4190"/>
    <n v="1"/>
    <n v="5"/>
    <n v="7"/>
    <n v="4"/>
    <n v="3"/>
    <n v="0"/>
    <n v="0"/>
    <n v="0"/>
    <n v="1"/>
    <n v="0"/>
    <n v="1"/>
    <n v="0"/>
  </r>
  <r>
    <n v="3047"/>
    <n v="169520"/>
    <n v="0"/>
    <n v="0"/>
    <x v="14"/>
    <s v="Married"/>
    <s v="Graduate"/>
    <s v="12/12/2019"/>
    <s v="California"/>
    <n v="95"/>
    <n v="1529"/>
    <n v="293"/>
    <n v="1010"/>
    <n v="295"/>
    <n v="195"/>
    <n v="227"/>
    <n v="3094"/>
    <n v="1"/>
    <n v="9"/>
    <n v="6"/>
    <n v="5"/>
    <n v="5"/>
    <n v="0"/>
    <n v="0"/>
    <n v="0"/>
    <n v="0"/>
    <n v="0"/>
    <n v="0"/>
    <n v="0"/>
  </r>
  <r>
    <n v="1091"/>
    <n v="150150"/>
    <n v="0"/>
    <n v="0"/>
    <x v="14"/>
    <s v="Married"/>
    <s v="PhD"/>
    <s v="11/25/2019"/>
    <s v="California"/>
    <n v="32"/>
    <n v="404"/>
    <n v="138"/>
    <n v="275"/>
    <n v="195"/>
    <n v="183"/>
    <n v="33"/>
    <n v="1162"/>
    <n v="2"/>
    <n v="5"/>
    <n v="2"/>
    <n v="7"/>
    <n v="5"/>
    <n v="0"/>
    <n v="0"/>
    <n v="0"/>
    <n v="0"/>
    <n v="0"/>
    <n v="0"/>
    <n v="0"/>
  </r>
  <r>
    <n v="2327"/>
    <n v="150150"/>
    <n v="0"/>
    <n v="0"/>
    <x v="14"/>
    <s v="Married"/>
    <s v="PhD"/>
    <s v="11/25/2019"/>
    <s v="California"/>
    <n v="32"/>
    <n v="404"/>
    <n v="138"/>
    <n v="275"/>
    <n v="195"/>
    <n v="183"/>
    <n v="33"/>
    <n v="1162"/>
    <n v="2"/>
    <n v="5"/>
    <n v="2"/>
    <n v="7"/>
    <n v="5"/>
    <n v="0"/>
    <n v="0"/>
    <n v="0"/>
    <n v="0"/>
    <n v="0"/>
    <n v="0"/>
    <n v="0"/>
  </r>
  <r>
    <n v="2069"/>
    <n v="143776"/>
    <n v="1"/>
    <n v="0"/>
    <x v="14"/>
    <s v="Together"/>
    <s v="Graduate"/>
    <s v="10/7/2020"/>
    <s v="California"/>
    <n v="77"/>
    <n v="26"/>
    <n v="0"/>
    <n v="30"/>
    <n v="7"/>
    <n v="3"/>
    <n v="10"/>
    <n v="56"/>
    <n v="1"/>
    <n v="1"/>
    <n v="0"/>
    <n v="2"/>
    <n v="6"/>
    <n v="0"/>
    <n v="0"/>
    <n v="0"/>
    <n v="0"/>
    <n v="0"/>
    <n v="0"/>
    <n v="0"/>
  </r>
  <r>
    <n v="1858"/>
    <n v="139922"/>
    <n v="1"/>
    <n v="0"/>
    <x v="14"/>
    <s v="Married"/>
    <s v="Graduate"/>
    <s v="7/22/2019"/>
    <s v="Other"/>
    <n v="30"/>
    <n v="102"/>
    <n v="42"/>
    <n v="207"/>
    <n v="67"/>
    <n v="4"/>
    <n v="126"/>
    <n v="294"/>
    <n v="2"/>
    <n v="3"/>
    <n v="0"/>
    <n v="4"/>
    <n v="8"/>
    <n v="0"/>
    <n v="0"/>
    <n v="0"/>
    <n v="0"/>
    <n v="0"/>
    <n v="0"/>
    <n v="0"/>
  </r>
  <r>
    <n v="2415"/>
    <n v="139922"/>
    <n v="1"/>
    <n v="0"/>
    <x v="14"/>
    <s v="Married"/>
    <s v="Graduate"/>
    <s v="7/22/2019"/>
    <s v="Texas"/>
    <n v="30"/>
    <n v="102"/>
    <n v="42"/>
    <n v="207"/>
    <n v="67"/>
    <n v="4"/>
    <n v="126"/>
    <n v="294"/>
    <n v="2"/>
    <n v="3"/>
    <n v="0"/>
    <n v="4"/>
    <n v="8"/>
    <n v="0"/>
    <n v="0"/>
    <n v="0"/>
    <n v="0"/>
    <n v="0"/>
    <n v="0"/>
    <n v="0"/>
  </r>
  <r>
    <n v="2536"/>
    <n v="139922"/>
    <n v="1"/>
    <n v="0"/>
    <x v="14"/>
    <s v="Married"/>
    <s v="Graduate"/>
    <s v="7/22/2019"/>
    <s v="Other"/>
    <n v="30"/>
    <n v="102"/>
    <n v="42"/>
    <n v="207"/>
    <n v="67"/>
    <n v="4"/>
    <n v="126"/>
    <n v="294"/>
    <n v="2"/>
    <n v="3"/>
    <n v="0"/>
    <n v="4"/>
    <n v="8"/>
    <n v="0"/>
    <n v="0"/>
    <n v="0"/>
    <n v="0"/>
    <n v="0"/>
    <n v="0"/>
    <n v="0"/>
  </r>
  <r>
    <n v="1568"/>
    <n v="139453"/>
    <n v="1"/>
    <n v="0"/>
    <x v="14"/>
    <s v="Together"/>
    <s v="Graduate"/>
    <s v="9/7/2020"/>
    <s v="New York"/>
    <n v="64"/>
    <n v="163"/>
    <n v="0"/>
    <n v="25"/>
    <n v="0"/>
    <n v="0"/>
    <n v="7"/>
    <n v="180"/>
    <n v="2"/>
    <n v="2"/>
    <n v="0"/>
    <n v="3"/>
    <n v="6"/>
    <n v="0"/>
    <n v="0"/>
    <n v="0"/>
    <n v="0"/>
    <n v="0"/>
    <n v="0"/>
    <n v="0"/>
  </r>
  <r>
    <n v="2946"/>
    <n v="139062"/>
    <n v="1"/>
    <n v="0"/>
    <x v="14"/>
    <s v="Single"/>
    <s v="Graduate"/>
    <s v="8/29/2020"/>
    <s v="Florida"/>
    <n v="28"/>
    <n v="82"/>
    <n v="0"/>
    <n v="32"/>
    <n v="0"/>
    <n v="0"/>
    <n v="43"/>
    <n v="71"/>
    <n v="1"/>
    <n v="1"/>
    <n v="0"/>
    <n v="3"/>
    <n v="4"/>
    <n v="0"/>
    <n v="0"/>
    <n v="0"/>
    <n v="0"/>
    <n v="1"/>
    <n v="0"/>
    <n v="0"/>
  </r>
  <r>
    <n v="2716"/>
    <n v="137292"/>
    <n v="1"/>
    <n v="0"/>
    <x v="14"/>
    <s v="Together"/>
    <s v="Graduate"/>
    <s v="9/23/2019"/>
    <s v="Other"/>
    <n v="32"/>
    <n v="1012"/>
    <n v="0"/>
    <n v="317"/>
    <n v="37"/>
    <n v="85"/>
    <n v="243"/>
    <n v="1208"/>
    <n v="5"/>
    <n v="6"/>
    <n v="3"/>
    <n v="5"/>
    <n v="8"/>
    <n v="0"/>
    <n v="0"/>
    <n v="0"/>
    <n v="0"/>
    <n v="0"/>
    <n v="0"/>
    <n v="0"/>
  </r>
  <r>
    <n v="2991"/>
    <n v="136790"/>
    <n v="0"/>
    <n v="0"/>
    <x v="14"/>
    <s v="Married"/>
    <s v="Graduate"/>
    <s v="8/6/2019"/>
    <s v="Texas"/>
    <n v="14"/>
    <n v="11"/>
    <n v="11"/>
    <n v="52"/>
    <n v="56"/>
    <n v="78"/>
    <n v="37"/>
    <n v="171"/>
    <n v="1"/>
    <n v="2"/>
    <n v="1"/>
    <n v="2"/>
    <n v="9"/>
    <n v="0"/>
    <n v="1"/>
    <n v="0"/>
    <n v="0"/>
    <n v="0"/>
    <n v="0"/>
    <n v="0"/>
  </r>
  <r>
    <n v="2098"/>
    <n v="136262"/>
    <n v="0"/>
    <n v="0"/>
    <x v="14"/>
    <s v="Married"/>
    <s v="Master"/>
    <s v="2/25/2020"/>
    <s v="Other"/>
    <n v="24"/>
    <n v="331"/>
    <n v="147"/>
    <n v="203"/>
    <n v="240"/>
    <n v="105"/>
    <n v="575"/>
    <n v="451"/>
    <n v="1"/>
    <n v="3"/>
    <n v="5"/>
    <n v="3"/>
    <n v="6"/>
    <n v="0"/>
    <n v="1"/>
    <n v="0"/>
    <n v="0"/>
    <n v="1"/>
    <n v="0"/>
    <n v="0"/>
  </r>
  <r>
    <n v="2762"/>
    <n v="136075"/>
    <n v="1"/>
    <n v="0"/>
    <x v="14"/>
    <s v="Together"/>
    <s v="Graduate"/>
    <s v="5/15/2020"/>
    <s v="New York"/>
    <n v="54"/>
    <n v="174"/>
    <n v="0"/>
    <n v="113"/>
    <n v="45"/>
    <n v="4"/>
    <n v="113"/>
    <n v="223"/>
    <n v="1"/>
    <n v="2"/>
    <n v="0"/>
    <n v="4"/>
    <n v="6"/>
    <n v="0"/>
    <n v="0"/>
    <n v="0"/>
    <n v="0"/>
    <n v="0"/>
    <n v="0"/>
    <n v="0"/>
  </r>
  <r>
    <n v="2317"/>
    <n v="135876"/>
    <n v="0"/>
    <n v="0"/>
    <x v="14"/>
    <s v="Married"/>
    <s v="Master"/>
    <s v="9/24/2020"/>
    <s v="Illinois"/>
    <n v="13"/>
    <n v="250"/>
    <n v="8"/>
    <n v="151"/>
    <n v="15"/>
    <n v="11"/>
    <n v="53"/>
    <n v="383"/>
    <n v="1"/>
    <n v="3"/>
    <n v="1"/>
    <n v="3"/>
    <n v="6"/>
    <n v="0"/>
    <n v="0"/>
    <n v="0"/>
    <n v="0"/>
    <n v="0"/>
    <n v="0"/>
    <n v="0"/>
  </r>
  <r>
    <n v="2097"/>
    <n v="133569"/>
    <n v="1"/>
    <n v="0"/>
    <x v="14"/>
    <s v="Married"/>
    <s v="PhD"/>
    <s v="3/22/2020"/>
    <s v="Texas"/>
    <n v="10"/>
    <n v="64"/>
    <n v="8"/>
    <n v="72"/>
    <n v="12"/>
    <n v="0"/>
    <n v="95"/>
    <n v="60"/>
    <n v="1"/>
    <n v="1"/>
    <n v="1"/>
    <n v="2"/>
    <n v="8"/>
    <n v="0"/>
    <n v="1"/>
    <n v="0"/>
    <n v="0"/>
    <n v="1"/>
    <n v="0"/>
    <n v="0"/>
  </r>
  <r>
    <n v="3123"/>
    <n v="132146"/>
    <n v="1"/>
    <n v="0"/>
    <x v="14"/>
    <s v="Married"/>
    <s v="Graduate"/>
    <s v="10/16/2020"/>
    <s v="Texas"/>
    <n v="16"/>
    <n v="107"/>
    <n v="12"/>
    <n v="95"/>
    <n v="16"/>
    <n v="29"/>
    <n v="12"/>
    <n v="247"/>
    <n v="2"/>
    <n v="2"/>
    <n v="0"/>
    <n v="4"/>
    <n v="6"/>
    <n v="0"/>
    <n v="0"/>
    <n v="0"/>
    <n v="0"/>
    <n v="0"/>
    <n v="0"/>
    <n v="0"/>
  </r>
  <r>
    <n v="1258"/>
    <n v="131788"/>
    <n v="1"/>
    <n v="0"/>
    <x v="14"/>
    <s v="Single"/>
    <s v="Master"/>
    <s v="8/24/2020"/>
    <s v="Other"/>
    <n v="15"/>
    <n v="66"/>
    <n v="29"/>
    <n v="95"/>
    <n v="0"/>
    <n v="33"/>
    <n v="25"/>
    <n v="199"/>
    <n v="3"/>
    <n v="3"/>
    <n v="0"/>
    <n v="4"/>
    <n v="5"/>
    <n v="1"/>
    <n v="0"/>
    <n v="0"/>
    <n v="0"/>
    <n v="0"/>
    <n v="0"/>
    <n v="0"/>
  </r>
  <r>
    <n v="1087"/>
    <n v="130096"/>
    <n v="1"/>
    <n v="0"/>
    <x v="14"/>
    <s v="Married"/>
    <s v="Graduate"/>
    <s v="10/26/2020"/>
    <s v="Illinois"/>
    <n v="30"/>
    <n v="22"/>
    <n v="13"/>
    <n v="48"/>
    <n v="52"/>
    <n v="22"/>
    <n v="39"/>
    <n v="117"/>
    <n v="1"/>
    <n v="2"/>
    <n v="0"/>
    <n v="3"/>
    <n v="6"/>
    <n v="0"/>
    <n v="0"/>
    <n v="0"/>
    <n v="0"/>
    <n v="0"/>
    <n v="0"/>
    <n v="0"/>
  </r>
  <r>
    <n v="1405"/>
    <n v="130096"/>
    <n v="1"/>
    <n v="0"/>
    <x v="14"/>
    <s v="Married"/>
    <s v="Graduate"/>
    <s v="10/26/2020"/>
    <s v="Illinois"/>
    <n v="30"/>
    <n v="22"/>
    <n v="13"/>
    <n v="48"/>
    <n v="52"/>
    <n v="22"/>
    <n v="39"/>
    <n v="117"/>
    <n v="1"/>
    <n v="2"/>
    <n v="0"/>
    <n v="3"/>
    <n v="6"/>
    <n v="0"/>
    <n v="0"/>
    <n v="0"/>
    <n v="0"/>
    <n v="0"/>
    <n v="0"/>
    <n v="0"/>
  </r>
  <r>
    <n v="2214"/>
    <n v="128427"/>
    <n v="1"/>
    <n v="0"/>
    <x v="14"/>
    <s v="Together"/>
    <s v="Graduate"/>
    <s v="8/26/2019"/>
    <s v="Florida"/>
    <n v="67"/>
    <n v="81"/>
    <n v="14"/>
    <n v="86"/>
    <n v="14"/>
    <n v="14"/>
    <n v="27"/>
    <n v="181"/>
    <n v="2"/>
    <n v="2"/>
    <n v="0"/>
    <n v="3"/>
    <n v="8"/>
    <n v="0"/>
    <n v="0"/>
    <n v="0"/>
    <n v="0"/>
    <n v="0"/>
    <n v="0"/>
    <n v="0"/>
  </r>
  <r>
    <n v="3184"/>
    <n v="128427"/>
    <n v="1"/>
    <n v="0"/>
    <x v="14"/>
    <s v="Together"/>
    <s v="Graduate"/>
    <s v="8/26/2019"/>
    <s v="Other"/>
    <n v="67"/>
    <n v="81"/>
    <n v="14"/>
    <n v="86"/>
    <n v="14"/>
    <n v="14"/>
    <n v="27"/>
    <n v="181"/>
    <n v="2"/>
    <n v="2"/>
    <n v="0"/>
    <n v="3"/>
    <n v="8"/>
    <n v="0"/>
    <n v="0"/>
    <n v="0"/>
    <n v="0"/>
    <n v="0"/>
    <n v="0"/>
    <n v="0"/>
  </r>
  <r>
    <n v="2592"/>
    <n v="128359"/>
    <n v="1"/>
    <n v="0"/>
    <x v="14"/>
    <s v="Together"/>
    <s v="Graduate"/>
    <s v="4/2/2020"/>
    <s v="Florida"/>
    <n v="35"/>
    <n v="27"/>
    <n v="0"/>
    <n v="23"/>
    <n v="9"/>
    <n v="5"/>
    <n v="9"/>
    <n v="54"/>
    <n v="1"/>
    <n v="1"/>
    <n v="0"/>
    <n v="2"/>
    <n v="7"/>
    <n v="0"/>
    <n v="0"/>
    <n v="0"/>
    <n v="0"/>
    <n v="0"/>
    <n v="0"/>
    <n v="0"/>
  </r>
  <r>
    <n v="2035"/>
    <n v="127100"/>
    <n v="1"/>
    <n v="0"/>
    <x v="14"/>
    <s v="Married"/>
    <s v="Master"/>
    <s v="9/10/2019"/>
    <s v="Illinois"/>
    <n v="64"/>
    <n v="56"/>
    <n v="0"/>
    <n v="61"/>
    <n v="9"/>
    <n v="0"/>
    <n v="47"/>
    <n v="80"/>
    <n v="1"/>
    <n v="1"/>
    <n v="0"/>
    <n v="3"/>
    <n v="7"/>
    <n v="0"/>
    <n v="0"/>
    <n v="0"/>
    <n v="0"/>
    <n v="0"/>
    <n v="0"/>
    <n v="0"/>
  </r>
  <r>
    <n v="2406"/>
    <n v="127100"/>
    <n v="1"/>
    <n v="0"/>
    <x v="14"/>
    <s v="Married"/>
    <s v="Master"/>
    <s v="9/10/2019"/>
    <s v="Florida"/>
    <n v="64"/>
    <n v="56"/>
    <n v="0"/>
    <n v="61"/>
    <n v="9"/>
    <n v="0"/>
    <n v="47"/>
    <n v="80"/>
    <n v="1"/>
    <n v="1"/>
    <n v="0"/>
    <n v="3"/>
    <n v="7"/>
    <n v="0"/>
    <n v="0"/>
    <n v="0"/>
    <n v="0"/>
    <n v="0"/>
    <n v="0"/>
    <n v="0"/>
  </r>
  <r>
    <n v="1174"/>
    <n v="125271"/>
    <n v="1"/>
    <n v="0"/>
    <x v="14"/>
    <s v="Married"/>
    <s v="Graduate"/>
    <s v="5/12/2019"/>
    <s v="Other"/>
    <n v="45"/>
    <n v="50"/>
    <n v="5"/>
    <n v="89"/>
    <n v="50"/>
    <n v="20"/>
    <n v="35"/>
    <n v="178"/>
    <n v="1"/>
    <n v="1"/>
    <n v="1"/>
    <n v="2"/>
    <n v="9"/>
    <n v="0"/>
    <n v="0"/>
    <n v="0"/>
    <n v="0"/>
    <n v="0"/>
    <n v="0"/>
    <n v="0"/>
  </r>
  <r>
    <n v="1315"/>
    <n v="124072"/>
    <n v="1"/>
    <n v="0"/>
    <x v="14"/>
    <s v="Single"/>
    <s v="Graduate"/>
    <s v="9/21/2019"/>
    <s v="Illinois"/>
    <n v="79"/>
    <n v="46"/>
    <n v="5"/>
    <n v="31"/>
    <n v="15"/>
    <n v="0"/>
    <n v="21"/>
    <n v="77"/>
    <n v="1"/>
    <n v="1"/>
    <n v="0"/>
    <n v="2"/>
    <n v="8"/>
    <n v="0"/>
    <n v="0"/>
    <n v="0"/>
    <n v="0"/>
    <n v="0"/>
    <n v="0"/>
    <n v="0"/>
  </r>
  <r>
    <n v="2658"/>
    <n v="123536"/>
    <n v="1"/>
    <n v="0"/>
    <x v="14"/>
    <s v="Married"/>
    <s v="PhD"/>
    <s v="11/8/2020"/>
    <s v="Florida"/>
    <n v="53"/>
    <n v="31"/>
    <n v="0"/>
    <n v="16"/>
    <n v="0"/>
    <n v="0"/>
    <n v="5"/>
    <n v="42"/>
    <n v="1"/>
    <n v="0"/>
    <n v="0"/>
    <n v="3"/>
    <n v="3"/>
    <n v="0"/>
    <n v="0"/>
    <n v="0"/>
    <n v="0"/>
    <n v="0"/>
    <n v="0"/>
    <n v="0"/>
  </r>
  <r>
    <n v="2876"/>
    <n v="122148"/>
    <n v="0"/>
    <n v="0"/>
    <x v="14"/>
    <s v="Single"/>
    <s v="Graduate"/>
    <s v="9/17/2020"/>
    <s v="New York"/>
    <n v="16"/>
    <n v="83"/>
    <n v="28"/>
    <n v="77"/>
    <n v="0"/>
    <n v="22"/>
    <n v="61"/>
    <n v="149"/>
    <n v="1"/>
    <n v="1"/>
    <n v="0"/>
    <n v="3"/>
    <n v="7"/>
    <n v="0"/>
    <n v="0"/>
    <n v="0"/>
    <n v="0"/>
    <n v="0"/>
    <n v="0"/>
    <n v="0"/>
  </r>
  <r>
    <n v="1319"/>
    <n v="122010"/>
    <n v="1"/>
    <n v="0"/>
    <x v="14"/>
    <s v="Together"/>
    <s v="Graduate"/>
    <s v="12/5/2019"/>
    <s v="California"/>
    <n v="51"/>
    <n v="61"/>
    <n v="11"/>
    <n v="50"/>
    <n v="17"/>
    <n v="0"/>
    <n v="44"/>
    <n v="94"/>
    <n v="2"/>
    <n v="2"/>
    <n v="0"/>
    <n v="3"/>
    <n v="8"/>
    <n v="0"/>
    <n v="0"/>
    <n v="0"/>
    <n v="0"/>
    <n v="0"/>
    <n v="0"/>
    <n v="0"/>
  </r>
  <r>
    <n v="2790"/>
    <n v="121840"/>
    <n v="1"/>
    <n v="0"/>
    <x v="14"/>
    <s v="Together"/>
    <s v="PhD"/>
    <s v="12/26/2019"/>
    <s v="Florida"/>
    <n v="80"/>
    <n v="95"/>
    <n v="0"/>
    <n v="50"/>
    <n v="0"/>
    <n v="0"/>
    <n v="6"/>
    <n v="139"/>
    <n v="1"/>
    <n v="1"/>
    <n v="0"/>
    <n v="3"/>
    <n v="9"/>
    <n v="0"/>
    <n v="0"/>
    <n v="0"/>
    <n v="0"/>
    <n v="0"/>
    <n v="0"/>
    <n v="0"/>
  </r>
  <r>
    <n v="1527"/>
    <n v="184169"/>
    <n v="0"/>
    <n v="0"/>
    <x v="15"/>
    <s v="Married"/>
    <s v="PhD"/>
    <s v="1/12/2020"/>
    <s v="Texas"/>
    <n v="9"/>
    <n v="3234"/>
    <n v="42"/>
    <n v="882"/>
    <n v="0"/>
    <n v="42"/>
    <n v="0"/>
    <n v="4199"/>
    <n v="1"/>
    <n v="7"/>
    <n v="6"/>
    <n v="6"/>
    <n v="3"/>
    <n v="0"/>
    <n v="1"/>
    <n v="0"/>
    <n v="0"/>
    <n v="0"/>
    <n v="1"/>
    <n v="1"/>
  </r>
  <r>
    <n v="1898"/>
    <n v="184169"/>
    <n v="0"/>
    <n v="0"/>
    <x v="15"/>
    <s v="Married"/>
    <s v="PhD"/>
    <s v="1/12/2020"/>
    <s v="New York"/>
    <n v="9"/>
    <n v="3234"/>
    <n v="42"/>
    <n v="882"/>
    <n v="0"/>
    <n v="42"/>
    <n v="0"/>
    <n v="4199"/>
    <n v="1"/>
    <n v="7"/>
    <n v="6"/>
    <n v="6"/>
    <n v="3"/>
    <n v="0"/>
    <n v="1"/>
    <n v="0"/>
    <n v="0"/>
    <n v="0"/>
    <n v="1"/>
    <n v="1"/>
  </r>
  <r>
    <n v="1541"/>
    <n v="179908"/>
    <n v="0"/>
    <n v="0"/>
    <x v="15"/>
    <s v="Married"/>
    <s v="Graduate"/>
    <s v="9/10/2019"/>
    <s v="California"/>
    <n v="30"/>
    <n v="1254"/>
    <n v="290"/>
    <n v="1713"/>
    <n v="65"/>
    <n v="417"/>
    <n v="250"/>
    <n v="3490"/>
    <n v="1"/>
    <n v="5"/>
    <n v="6"/>
    <n v="7"/>
    <n v="2"/>
    <n v="0"/>
    <n v="0"/>
    <n v="0"/>
    <n v="0"/>
    <n v="0"/>
    <n v="0"/>
    <n v="1"/>
  </r>
  <r>
    <n v="1056"/>
    <n v="175777"/>
    <n v="0"/>
    <n v="0"/>
    <x v="15"/>
    <s v="Single"/>
    <s v="Master"/>
    <s v="12/9/2019"/>
    <s v="Florida"/>
    <n v="12"/>
    <n v="1652"/>
    <n v="60"/>
    <n v="1248"/>
    <n v="160"/>
    <n v="30"/>
    <n v="186"/>
    <n v="2965"/>
    <n v="1"/>
    <n v="3"/>
    <n v="6"/>
    <n v="11"/>
    <n v="1"/>
    <n v="0"/>
    <n v="1"/>
    <n v="0"/>
    <n v="0"/>
    <n v="0"/>
    <n v="1"/>
    <n v="1"/>
  </r>
  <r>
    <n v="3189"/>
    <n v="175777"/>
    <n v="0"/>
    <n v="0"/>
    <x v="15"/>
    <s v="Single"/>
    <s v="Master"/>
    <s v="12/9/2019"/>
    <s v="Texas"/>
    <n v="12"/>
    <n v="1652"/>
    <n v="60"/>
    <n v="1248"/>
    <n v="160"/>
    <n v="30"/>
    <n v="186"/>
    <n v="2965"/>
    <n v="1"/>
    <n v="3"/>
    <n v="6"/>
    <n v="11"/>
    <n v="1"/>
    <n v="0"/>
    <n v="1"/>
    <n v="0"/>
    <n v="0"/>
    <n v="0"/>
    <n v="1"/>
    <n v="1"/>
  </r>
  <r>
    <n v="1908"/>
    <n v="174116"/>
    <n v="0"/>
    <n v="0"/>
    <x v="15"/>
    <s v="Single"/>
    <s v="Graduate"/>
    <s v="6/5/2020"/>
    <s v="Florida"/>
    <n v="53"/>
    <n v="2046"/>
    <n v="261"/>
    <n v="1654"/>
    <n v="341"/>
    <n v="129"/>
    <n v="390"/>
    <n v="4041"/>
    <n v="1"/>
    <n v="4"/>
    <n v="4"/>
    <n v="10"/>
    <n v="2"/>
    <n v="0"/>
    <n v="0"/>
    <n v="0"/>
    <n v="0"/>
    <n v="0"/>
    <n v="1"/>
    <n v="0"/>
  </r>
  <r>
    <n v="2243"/>
    <n v="173450"/>
    <n v="0"/>
    <n v="0"/>
    <x v="15"/>
    <s v="Together"/>
    <s v="Master"/>
    <s v="5/11/2020"/>
    <s v="California"/>
    <n v="85"/>
    <n v="2697"/>
    <n v="120"/>
    <n v="980"/>
    <n v="213"/>
    <n v="163"/>
    <n v="87"/>
    <n v="4085"/>
    <n v="1"/>
    <n v="7"/>
    <n v="8"/>
    <n v="11"/>
    <n v="3"/>
    <n v="0"/>
    <n v="0"/>
    <n v="1"/>
    <n v="0"/>
    <n v="1"/>
    <n v="0"/>
    <n v="0"/>
  </r>
  <r>
    <n v="2316"/>
    <n v="171853"/>
    <n v="0"/>
    <n v="0"/>
    <x v="15"/>
    <s v="Together"/>
    <s v="Graduate"/>
    <s v="10/13/2019"/>
    <s v="Florida"/>
    <n v="29"/>
    <n v="856"/>
    <n v="258"/>
    <n v="988"/>
    <n v="337"/>
    <n v="232"/>
    <n v="77"/>
    <n v="2595"/>
    <n v="1"/>
    <n v="2"/>
    <n v="8"/>
    <n v="6"/>
    <n v="1"/>
    <n v="0"/>
    <n v="0"/>
    <n v="0"/>
    <n v="0"/>
    <n v="0"/>
    <n v="0"/>
    <n v="0"/>
  </r>
  <r>
    <n v="2742"/>
    <n v="171853"/>
    <n v="0"/>
    <n v="0"/>
    <x v="15"/>
    <s v="Together"/>
    <s v="Graduate"/>
    <s v="10/13/2019"/>
    <s v="Florida"/>
    <n v="29"/>
    <n v="856"/>
    <n v="258"/>
    <n v="988"/>
    <n v="337"/>
    <n v="232"/>
    <n v="77"/>
    <n v="2595"/>
    <n v="1"/>
    <n v="2"/>
    <n v="8"/>
    <n v="6"/>
    <n v="1"/>
    <n v="0"/>
    <n v="0"/>
    <n v="0"/>
    <n v="0"/>
    <n v="0"/>
    <n v="0"/>
    <n v="0"/>
  </r>
  <r>
    <n v="2424"/>
    <n v="170038"/>
    <n v="0"/>
    <n v="0"/>
    <x v="15"/>
    <s v="Together"/>
    <s v="PhD"/>
    <s v="3/31/2020"/>
    <s v="Florida"/>
    <n v="54"/>
    <n v="1425"/>
    <n v="131"/>
    <n v="845"/>
    <n v="172"/>
    <n v="131"/>
    <n v="316"/>
    <n v="2389"/>
    <n v="1"/>
    <n v="4"/>
    <n v="4"/>
    <n v="8"/>
    <n v="2"/>
    <n v="0"/>
    <n v="0"/>
    <n v="0"/>
    <n v="0"/>
    <n v="0"/>
    <n v="0"/>
    <n v="0"/>
  </r>
  <r>
    <n v="3035"/>
    <n v="170038"/>
    <n v="0"/>
    <n v="0"/>
    <x v="15"/>
    <s v="Together"/>
    <s v="PhD"/>
    <s v="3/31/2020"/>
    <s v="California"/>
    <n v="54"/>
    <n v="1425"/>
    <n v="131"/>
    <n v="845"/>
    <n v="172"/>
    <n v="131"/>
    <n v="316"/>
    <n v="2389"/>
    <n v="1"/>
    <n v="4"/>
    <n v="4"/>
    <n v="8"/>
    <n v="2"/>
    <n v="0"/>
    <n v="0"/>
    <n v="0"/>
    <n v="0"/>
    <n v="0"/>
    <n v="0"/>
    <n v="0"/>
  </r>
  <r>
    <n v="2334"/>
    <n v="169109"/>
    <n v="0"/>
    <n v="0"/>
    <x v="15"/>
    <s v="Married"/>
    <s v="Graduate"/>
    <s v="4/16/2019"/>
    <s v="Florida"/>
    <n v="10"/>
    <n v="2014"/>
    <n v="61"/>
    <n v="1123"/>
    <n v="303"/>
    <n v="71"/>
    <n v="232"/>
    <n v="3340"/>
    <n v="1"/>
    <n v="6"/>
    <n v="6"/>
    <n v="7"/>
    <n v="4"/>
    <n v="0"/>
    <n v="1"/>
    <n v="0"/>
    <n v="0"/>
    <n v="0"/>
    <n v="0"/>
    <n v="1"/>
  </r>
  <r>
    <n v="2839"/>
    <n v="169109"/>
    <n v="0"/>
    <n v="0"/>
    <x v="15"/>
    <s v="Married"/>
    <s v="Graduate"/>
    <s v="4/16/2019"/>
    <s v="Illinois"/>
    <n v="10"/>
    <n v="2014"/>
    <n v="61"/>
    <n v="1123"/>
    <n v="303"/>
    <n v="71"/>
    <n v="232"/>
    <n v="3340"/>
    <n v="1"/>
    <n v="6"/>
    <n v="6"/>
    <n v="7"/>
    <n v="4"/>
    <n v="0"/>
    <n v="1"/>
    <n v="0"/>
    <n v="0"/>
    <n v="0"/>
    <n v="0"/>
    <n v="1"/>
  </r>
  <r>
    <n v="1285"/>
    <n v="168627"/>
    <n v="0"/>
    <n v="0"/>
    <x v="15"/>
    <s v="Single"/>
    <s v="Graduate"/>
    <s v="6/19/2019"/>
    <s v="Illinois"/>
    <n v="45"/>
    <n v="971"/>
    <n v="37"/>
    <n v="646"/>
    <n v="147"/>
    <n v="133"/>
    <n v="93"/>
    <n v="1840"/>
    <n v="1"/>
    <n v="2"/>
    <n v="3"/>
    <n v="6"/>
    <n v="1"/>
    <n v="0"/>
    <n v="0"/>
    <n v="0"/>
    <n v="0"/>
    <n v="0"/>
    <n v="0"/>
    <n v="0"/>
  </r>
  <r>
    <n v="1443"/>
    <n v="166664"/>
    <n v="0"/>
    <n v="0"/>
    <x v="15"/>
    <s v="Together"/>
    <s v="Graduate"/>
    <s v="3/2/2019"/>
    <s v="Texas"/>
    <n v="78"/>
    <n v="995"/>
    <n v="240"/>
    <n v="1118"/>
    <n v="550"/>
    <n v="240"/>
    <n v="80"/>
    <n v="3063"/>
    <n v="1"/>
    <n v="5"/>
    <n v="7"/>
    <n v="6"/>
    <n v="3"/>
    <n v="0"/>
    <n v="0"/>
    <n v="0"/>
    <n v="0"/>
    <n v="0"/>
    <n v="0"/>
    <n v="0"/>
  </r>
  <r>
    <n v="2598"/>
    <n v="166664"/>
    <n v="0"/>
    <n v="0"/>
    <x v="15"/>
    <s v="Together"/>
    <s v="Graduate"/>
    <s v="3/2/2019"/>
    <s v="Florida"/>
    <n v="78"/>
    <n v="995"/>
    <n v="240"/>
    <n v="1118"/>
    <n v="550"/>
    <n v="240"/>
    <n v="80"/>
    <n v="3063"/>
    <n v="1"/>
    <n v="5"/>
    <n v="7"/>
    <n v="6"/>
    <n v="3"/>
    <n v="0"/>
    <n v="0"/>
    <n v="0"/>
    <n v="0"/>
    <n v="0"/>
    <n v="0"/>
    <n v="0"/>
  </r>
  <r>
    <n v="2288"/>
    <n v="165169"/>
    <n v="0"/>
    <n v="0"/>
    <x v="15"/>
    <s v="Married"/>
    <s v="Graduate"/>
    <s v="6/20/2020"/>
    <s v="New York"/>
    <n v="23"/>
    <n v="2722"/>
    <n v="0"/>
    <n v="175"/>
    <n v="0"/>
    <n v="0"/>
    <n v="117"/>
    <n v="2780"/>
    <n v="1"/>
    <n v="10"/>
    <n v="4"/>
    <n v="13"/>
    <n v="6"/>
    <n v="0"/>
    <n v="1"/>
    <n v="1"/>
    <n v="1"/>
    <n v="1"/>
    <n v="0"/>
    <n v="1"/>
  </r>
  <r>
    <n v="2921"/>
    <n v="163211"/>
    <n v="0"/>
    <n v="0"/>
    <x v="15"/>
    <s v="Married"/>
    <s v="Graduate"/>
    <s v="4/9/2019"/>
    <s v="California"/>
    <n v="3"/>
    <n v="374"/>
    <n v="498"/>
    <n v="1185"/>
    <n v="529"/>
    <n v="67"/>
    <n v="374"/>
    <n v="2280"/>
    <n v="2"/>
    <n v="3"/>
    <n v="8"/>
    <n v="7"/>
    <n v="2"/>
    <n v="0"/>
    <n v="1"/>
    <n v="0"/>
    <n v="0"/>
    <n v="0"/>
    <n v="0"/>
    <n v="0"/>
  </r>
  <r>
    <n v="3014"/>
    <n v="161416"/>
    <n v="0"/>
    <n v="0"/>
    <x v="15"/>
    <s v="Together"/>
    <s v="Graduate"/>
    <s v="7/16/2019"/>
    <s v="New York"/>
    <n v="25"/>
    <n v="2229"/>
    <n v="405"/>
    <n v="849"/>
    <n v="528"/>
    <n v="160"/>
    <n v="205"/>
    <n v="3966"/>
    <n v="1"/>
    <n v="10"/>
    <n v="3"/>
    <n v="10"/>
    <n v="6"/>
    <n v="0"/>
    <n v="0"/>
    <n v="0"/>
    <n v="0"/>
    <n v="1"/>
    <n v="0"/>
    <n v="0"/>
  </r>
  <r>
    <n v="2791"/>
    <n v="158582"/>
    <n v="0"/>
    <n v="1"/>
    <x v="15"/>
    <s v="Together"/>
    <s v="Graduate"/>
    <s v="3/4/2020"/>
    <s v="Illinois"/>
    <n v="15"/>
    <n v="1088"/>
    <n v="95"/>
    <n v="287"/>
    <n v="273"/>
    <n v="208"/>
    <n v="114"/>
    <n v="1838"/>
    <n v="2"/>
    <n v="9"/>
    <n v="2"/>
    <n v="9"/>
    <n v="5"/>
    <n v="0"/>
    <n v="0"/>
    <n v="0"/>
    <n v="0"/>
    <n v="0"/>
    <n v="1"/>
    <n v="0"/>
  </r>
  <r>
    <n v="1927"/>
    <n v="157937"/>
    <n v="0"/>
    <n v="1"/>
    <x v="15"/>
    <s v="Married"/>
    <s v="Graduate"/>
    <s v="7/23/2020"/>
    <s v="Illinois"/>
    <n v="56"/>
    <n v="711"/>
    <n v="114"/>
    <n v="393"/>
    <n v="150"/>
    <n v="131"/>
    <n v="363"/>
    <n v="1137"/>
    <n v="3"/>
    <n v="4"/>
    <n v="4"/>
    <n v="9"/>
    <n v="3"/>
    <n v="0"/>
    <n v="0"/>
    <n v="0"/>
    <n v="0"/>
    <n v="0"/>
    <n v="0"/>
    <n v="0"/>
  </r>
  <r>
    <n v="1695"/>
    <n v="150272"/>
    <n v="1"/>
    <n v="0"/>
    <x v="15"/>
    <s v="Together"/>
    <s v="Graduate"/>
    <s v="1/12/2020"/>
    <s v="Texas"/>
    <n v="75"/>
    <n v="296"/>
    <n v="39"/>
    <n v="197"/>
    <n v="129"/>
    <n v="24"/>
    <n v="12"/>
    <n v="673"/>
    <n v="3"/>
    <n v="4"/>
    <n v="1"/>
    <n v="5"/>
    <n v="7"/>
    <n v="0"/>
    <n v="0"/>
    <n v="0"/>
    <n v="0"/>
    <n v="0"/>
    <n v="0"/>
    <n v="0"/>
  </r>
  <r>
    <n v="2552"/>
    <n v="145203"/>
    <n v="2"/>
    <n v="0"/>
    <x v="15"/>
    <s v="Together"/>
    <s v="Graduate"/>
    <s v="8/27/2020"/>
    <s v="New York"/>
    <n v="4"/>
    <n v="112"/>
    <n v="10"/>
    <n v="215"/>
    <n v="32"/>
    <n v="26"/>
    <n v="77"/>
    <n v="318"/>
    <n v="1"/>
    <n v="3"/>
    <n v="1"/>
    <n v="3"/>
    <n v="6"/>
    <n v="0"/>
    <n v="1"/>
    <n v="0"/>
    <n v="0"/>
    <n v="0"/>
    <n v="0"/>
    <n v="0"/>
  </r>
  <r>
    <n v="2996"/>
    <n v="143815"/>
    <n v="1"/>
    <n v="0"/>
    <x v="15"/>
    <s v="Married"/>
    <s v="Master"/>
    <s v="9/10/2019"/>
    <s v="New York"/>
    <n v="53"/>
    <n v="46"/>
    <n v="33"/>
    <n v="95"/>
    <n v="13"/>
    <n v="23"/>
    <n v="49"/>
    <n v="161"/>
    <n v="1"/>
    <n v="2"/>
    <n v="0"/>
    <n v="3"/>
    <n v="6"/>
    <n v="0"/>
    <n v="0"/>
    <n v="0"/>
    <n v="0"/>
    <n v="0"/>
    <n v="0"/>
    <n v="0"/>
  </r>
  <r>
    <n v="2864"/>
    <n v="142081"/>
    <n v="1"/>
    <n v="0"/>
    <x v="15"/>
    <s v="Married"/>
    <s v="Graduate"/>
    <s v="8/3/2019"/>
    <s v="New York"/>
    <n v="86"/>
    <n v="591"/>
    <n v="34"/>
    <n v="371"/>
    <n v="182"/>
    <n v="20"/>
    <n v="91"/>
    <n v="1107"/>
    <n v="2"/>
    <n v="6"/>
    <n v="3"/>
    <n v="4"/>
    <n v="6"/>
    <n v="0"/>
    <n v="0"/>
    <n v="0"/>
    <n v="0"/>
    <n v="1"/>
    <n v="0"/>
    <n v="0"/>
  </r>
  <r>
    <n v="1664"/>
    <n v="141039"/>
    <n v="0"/>
    <n v="0"/>
    <x v="15"/>
    <s v="Together"/>
    <s v="Graduate"/>
    <s v="12/30/2019"/>
    <s v="New York"/>
    <n v="32"/>
    <n v="117"/>
    <n v="38"/>
    <n v="471"/>
    <n v="615"/>
    <n v="210"/>
    <n v="155"/>
    <n v="1296"/>
    <n v="1"/>
    <n v="8"/>
    <n v="1"/>
    <n v="5"/>
    <n v="8"/>
    <n v="0"/>
    <n v="0"/>
    <n v="0"/>
    <n v="0"/>
    <n v="0"/>
    <n v="0"/>
    <n v="0"/>
  </r>
  <r>
    <n v="2064"/>
    <n v="140479"/>
    <n v="1"/>
    <n v="0"/>
    <x v="15"/>
    <s v="Together"/>
    <s v="Graduate"/>
    <s v="1/22/2020"/>
    <s v="Florida"/>
    <n v="95"/>
    <n v="17"/>
    <n v="0"/>
    <n v="28"/>
    <n v="7"/>
    <n v="0"/>
    <n v="0"/>
    <n v="52"/>
    <n v="1"/>
    <n v="0"/>
    <n v="0"/>
    <n v="3"/>
    <n v="4"/>
    <n v="0"/>
    <n v="0"/>
    <n v="0"/>
    <n v="0"/>
    <n v="0"/>
    <n v="0"/>
    <n v="0"/>
  </r>
  <r>
    <n v="2319"/>
    <n v="139660"/>
    <n v="1"/>
    <n v="0"/>
    <x v="15"/>
    <s v="Single"/>
    <s v="Graduate"/>
    <s v="1/13/2019"/>
    <s v="Texas"/>
    <n v="36"/>
    <n v="489"/>
    <n v="46"/>
    <n v="275"/>
    <n v="70"/>
    <n v="46"/>
    <n v="127"/>
    <n v="799"/>
    <n v="3"/>
    <n v="7"/>
    <n v="1"/>
    <n v="3"/>
    <n v="9"/>
    <n v="0"/>
    <n v="1"/>
    <n v="0"/>
    <n v="0"/>
    <n v="0"/>
    <n v="0"/>
    <n v="0"/>
  </r>
  <r>
    <n v="2699"/>
    <n v="138513"/>
    <n v="1"/>
    <n v="0"/>
    <x v="15"/>
    <s v="Single"/>
    <s v="PhD"/>
    <s v="7/4/2020"/>
    <s v="California"/>
    <n v="20"/>
    <n v="619"/>
    <n v="11"/>
    <n v="414"/>
    <n v="58"/>
    <n v="0"/>
    <n v="65"/>
    <n v="1036"/>
    <n v="5"/>
    <n v="6"/>
    <n v="1"/>
    <n v="5"/>
    <n v="8"/>
    <n v="0"/>
    <n v="1"/>
    <n v="0"/>
    <n v="0"/>
    <n v="0"/>
    <n v="0"/>
    <n v="0"/>
  </r>
  <r>
    <n v="1020"/>
    <n v="137040"/>
    <n v="0"/>
    <n v="0"/>
    <x v="15"/>
    <s v="Married"/>
    <s v="Graduate"/>
    <s v="1/13/2019"/>
    <s v="Florida"/>
    <n v="41"/>
    <n v="318"/>
    <n v="7"/>
    <n v="270"/>
    <n v="255"/>
    <n v="141"/>
    <n v="178"/>
    <n v="814"/>
    <n v="1"/>
    <n v="4"/>
    <n v="2"/>
    <n v="5"/>
    <n v="8"/>
    <n v="0"/>
    <n v="0"/>
    <n v="0"/>
    <n v="0"/>
    <n v="0"/>
    <n v="0"/>
    <n v="0"/>
  </r>
  <r>
    <n v="2815"/>
    <n v="132313"/>
    <n v="1"/>
    <n v="0"/>
    <x v="15"/>
    <s v="Together"/>
    <s v="PhD"/>
    <s v="7/19/2019"/>
    <s v="Illinois"/>
    <n v="60"/>
    <n v="352"/>
    <n v="16"/>
    <n v="229"/>
    <n v="8"/>
    <n v="16"/>
    <n v="29"/>
    <n v="594"/>
    <n v="3"/>
    <n v="4"/>
    <n v="0"/>
    <n v="4"/>
    <n v="9"/>
    <n v="0"/>
    <n v="0"/>
    <n v="0"/>
    <n v="0"/>
    <n v="0"/>
    <n v="0"/>
    <n v="0"/>
  </r>
  <r>
    <n v="1160"/>
    <n v="128718"/>
    <n v="1"/>
    <n v="0"/>
    <x v="15"/>
    <s v="Married"/>
    <s v="Graduate"/>
    <s v="12/18/2019"/>
    <s v="New York"/>
    <n v="78"/>
    <n v="54"/>
    <n v="18"/>
    <n v="27"/>
    <n v="49"/>
    <n v="36"/>
    <n v="72"/>
    <n v="112"/>
    <n v="2"/>
    <n v="2"/>
    <n v="0"/>
    <n v="3"/>
    <n v="8"/>
    <n v="0"/>
    <n v="0"/>
    <n v="0"/>
    <n v="0"/>
    <n v="0"/>
    <n v="0"/>
    <n v="0"/>
  </r>
  <r>
    <n v="1518"/>
    <n v="128567"/>
    <n v="1"/>
    <n v="0"/>
    <x v="15"/>
    <s v="Single"/>
    <s v="Graduate"/>
    <s v="11/22/2019"/>
    <s v="Florida"/>
    <n v="57"/>
    <n v="50"/>
    <n v="14"/>
    <n v="99"/>
    <n v="9"/>
    <n v="9"/>
    <n v="27"/>
    <n v="153"/>
    <n v="2"/>
    <n v="2"/>
    <n v="0"/>
    <n v="3"/>
    <n v="6"/>
    <n v="0"/>
    <n v="0"/>
    <n v="0"/>
    <n v="0"/>
    <n v="0"/>
    <n v="0"/>
    <n v="0"/>
  </r>
  <r>
    <n v="2079"/>
    <n v="127590"/>
    <n v="1"/>
    <n v="0"/>
    <x v="15"/>
    <s v="Together"/>
    <s v="Master"/>
    <s v="9/28/2019"/>
    <s v="Texas"/>
    <n v="38"/>
    <n v="28"/>
    <n v="0"/>
    <n v="23"/>
    <n v="0"/>
    <n v="0"/>
    <n v="5"/>
    <n v="46"/>
    <n v="1"/>
    <n v="1"/>
    <n v="0"/>
    <n v="2"/>
    <n v="7"/>
    <n v="0"/>
    <n v="0"/>
    <n v="0"/>
    <n v="0"/>
    <n v="0"/>
    <n v="0"/>
    <n v="0"/>
  </r>
  <r>
    <n v="2306"/>
    <n v="124711"/>
    <n v="0"/>
    <n v="0"/>
    <x v="15"/>
    <s v="Married"/>
    <s v="Graduate"/>
    <s v="9/22/2020"/>
    <s v="New York"/>
    <n v="86"/>
    <n v="50"/>
    <n v="35"/>
    <n v="126"/>
    <n v="30"/>
    <n v="15"/>
    <n v="35"/>
    <n v="222"/>
    <n v="1"/>
    <n v="3"/>
    <n v="0"/>
    <n v="3"/>
    <n v="7"/>
    <n v="0"/>
    <n v="0"/>
    <n v="0"/>
    <n v="0"/>
    <n v="0"/>
    <n v="0"/>
    <n v="0"/>
  </r>
  <r>
    <n v="2324"/>
    <n v="124367"/>
    <n v="1"/>
    <n v="0"/>
    <x v="15"/>
    <s v="Single"/>
    <s v="Basic"/>
    <s v="8/25/2019"/>
    <s v="New York"/>
    <n v="58"/>
    <n v="10"/>
    <n v="20"/>
    <n v="10"/>
    <n v="0"/>
    <n v="56"/>
    <n v="26"/>
    <n v="71"/>
    <n v="1"/>
    <n v="1"/>
    <n v="0"/>
    <n v="2"/>
    <n v="9"/>
    <n v="0"/>
    <n v="0"/>
    <n v="0"/>
    <n v="0"/>
    <n v="0"/>
    <n v="0"/>
    <n v="0"/>
  </r>
  <r>
    <n v="1224"/>
    <n v="123661"/>
    <n v="1"/>
    <n v="0"/>
    <x v="15"/>
    <s v="Together"/>
    <s v="Master"/>
    <s v="5/10/2020"/>
    <s v="Florida"/>
    <n v="46"/>
    <n v="94"/>
    <n v="0"/>
    <n v="21"/>
    <n v="0"/>
    <n v="0"/>
    <n v="5"/>
    <n v="110"/>
    <n v="1"/>
    <n v="1"/>
    <n v="0"/>
    <n v="3"/>
    <n v="7"/>
    <n v="0"/>
    <n v="0"/>
    <n v="0"/>
    <n v="0"/>
    <n v="0"/>
    <n v="0"/>
    <n v="0"/>
  </r>
  <r>
    <n v="1394"/>
    <n v="123616"/>
    <n v="1"/>
    <n v="0"/>
    <x v="15"/>
    <s v="Single"/>
    <s v="Graduate"/>
    <s v="4/24/2019"/>
    <s v="New York"/>
    <n v="76"/>
    <n v="21"/>
    <n v="115"/>
    <n v="58"/>
    <n v="16"/>
    <n v="37"/>
    <n v="168"/>
    <n v="79"/>
    <n v="2"/>
    <n v="3"/>
    <n v="0"/>
    <n v="3"/>
    <n v="8"/>
    <n v="0"/>
    <n v="1"/>
    <n v="0"/>
    <n v="0"/>
    <n v="0"/>
    <n v="0"/>
    <n v="0"/>
  </r>
  <r>
    <n v="2626"/>
    <n v="122448"/>
    <n v="1"/>
    <n v="0"/>
    <x v="15"/>
    <s v="Married"/>
    <s v="Graduate"/>
    <s v="8/2/2020"/>
    <s v="Other"/>
    <n v="86"/>
    <n v="16"/>
    <n v="5"/>
    <n v="44"/>
    <n v="125"/>
    <n v="11"/>
    <n v="98"/>
    <n v="104"/>
    <n v="3"/>
    <n v="2"/>
    <n v="1"/>
    <n v="3"/>
    <n v="3"/>
    <n v="0"/>
    <n v="0"/>
    <n v="0"/>
    <n v="0"/>
    <n v="0"/>
    <n v="0"/>
    <n v="0"/>
  </r>
  <r>
    <n v="2907"/>
    <n v="121059"/>
    <n v="1"/>
    <n v="0"/>
    <x v="15"/>
    <s v="Married"/>
    <s v="Master"/>
    <s v="6/13/2020"/>
    <s v="Texas"/>
    <n v="40"/>
    <n v="46"/>
    <n v="17"/>
    <n v="109"/>
    <n v="17"/>
    <n v="17"/>
    <n v="46"/>
    <n v="161"/>
    <n v="3"/>
    <n v="3"/>
    <n v="0"/>
    <n v="3"/>
    <n v="6"/>
    <n v="0"/>
    <n v="0"/>
    <n v="0"/>
    <n v="0"/>
    <n v="0"/>
    <n v="0"/>
    <n v="0"/>
  </r>
  <r>
    <n v="2604"/>
    <n v="119444"/>
    <n v="1"/>
    <n v="0"/>
    <x v="15"/>
    <s v="Together"/>
    <s v="Graduate"/>
    <s v="7/29/2020"/>
    <s v="Florida"/>
    <n v="8"/>
    <n v="98"/>
    <n v="0"/>
    <n v="141"/>
    <n v="18"/>
    <n v="12"/>
    <n v="61"/>
    <n v="209"/>
    <n v="3"/>
    <n v="4"/>
    <n v="1"/>
    <n v="2"/>
    <n v="7"/>
    <n v="0"/>
    <n v="1"/>
    <n v="0"/>
    <n v="0"/>
    <n v="0"/>
    <n v="0"/>
    <n v="0"/>
  </r>
  <r>
    <n v="1406"/>
    <n v="118492"/>
    <n v="1"/>
    <n v="0"/>
    <x v="15"/>
    <s v="Together"/>
    <s v="Master"/>
    <s v="11/9/2020"/>
    <s v="New York"/>
    <n v="75"/>
    <n v="13"/>
    <n v="13"/>
    <n v="13"/>
    <n v="13"/>
    <n v="6"/>
    <n v="6"/>
    <n v="51"/>
    <n v="1"/>
    <n v="1"/>
    <n v="0"/>
    <n v="2"/>
    <n v="8"/>
    <n v="0"/>
    <n v="0"/>
    <n v="0"/>
    <n v="0"/>
    <n v="0"/>
    <n v="0"/>
    <n v="0"/>
  </r>
  <r>
    <n v="2308"/>
    <n v="106560"/>
    <n v="0"/>
    <n v="0"/>
    <x v="15"/>
    <s v="Single"/>
    <s v="Master"/>
    <s v="5/18/2020"/>
    <s v="Other"/>
    <n v="2"/>
    <n v="1088"/>
    <n v="179"/>
    <n v="422"/>
    <n v="65"/>
    <n v="49"/>
    <n v="4256"/>
    <n v="2453"/>
    <n v="0"/>
    <n v="1"/>
    <n v="0"/>
    <n v="1"/>
    <n v="17"/>
    <n v="0"/>
    <n v="0"/>
    <n v="0"/>
    <n v="0"/>
    <n v="0"/>
    <n v="0"/>
    <n v="0"/>
  </r>
  <r>
    <n v="1402"/>
    <n v="191065"/>
    <n v="0"/>
    <n v="0"/>
    <x v="16"/>
    <s v="Single"/>
    <s v="Graduate"/>
    <s v="7/30/2019"/>
    <s v="Other"/>
    <n v="33"/>
    <n v="1725"/>
    <n v="239"/>
    <n v="227"/>
    <n v="376"/>
    <n v="287"/>
    <n v="239"/>
    <n v="2614"/>
    <n v="1"/>
    <n v="7"/>
    <n v="9"/>
    <n v="9"/>
    <n v="3"/>
    <n v="0"/>
    <n v="1"/>
    <n v="1"/>
    <n v="0"/>
    <n v="0"/>
    <n v="0"/>
    <n v="1"/>
  </r>
  <r>
    <n v="3179"/>
    <n v="188325"/>
    <n v="0"/>
    <n v="0"/>
    <x v="16"/>
    <s v="Together"/>
    <s v="Graduate"/>
    <s v="7/12/2020"/>
    <s v="California"/>
    <n v="42"/>
    <n v="1107"/>
    <n v="151"/>
    <n v="1834"/>
    <n v="198"/>
    <n v="58"/>
    <n v="113"/>
    <n v="3235"/>
    <n v="1"/>
    <n v="6"/>
    <n v="2"/>
    <n v="9"/>
    <n v="2"/>
    <n v="0"/>
    <n v="0"/>
    <n v="0"/>
    <n v="0"/>
    <n v="0"/>
    <n v="0"/>
    <n v="0"/>
  </r>
  <r>
    <n v="2057"/>
    <n v="187171"/>
    <n v="0"/>
    <n v="0"/>
    <x v="16"/>
    <s v="Married"/>
    <s v="PhD"/>
    <s v="10/6/2019"/>
    <s v="California"/>
    <n v="27"/>
    <n v="2149"/>
    <n v="94"/>
    <n v="230"/>
    <n v="125"/>
    <n v="94"/>
    <n v="94"/>
    <n v="2598"/>
    <n v="1"/>
    <n v="6"/>
    <n v="7"/>
    <n v="11"/>
    <n v="2"/>
    <n v="0"/>
    <n v="0"/>
    <n v="0"/>
    <n v="0"/>
    <n v="1"/>
    <n v="0"/>
    <n v="1"/>
  </r>
  <r>
    <n v="1264"/>
    <n v="177882"/>
    <n v="0"/>
    <n v="0"/>
    <x v="16"/>
    <s v="Together"/>
    <s v="Master"/>
    <s v="10/4/2020"/>
    <s v="Other"/>
    <n v="29"/>
    <n v="155"/>
    <n v="295"/>
    <n v="904"/>
    <n v="429"/>
    <n v="50"/>
    <n v="34"/>
    <n v="1800"/>
    <n v="1"/>
    <n v="3"/>
    <n v="3"/>
    <n v="5"/>
    <n v="1"/>
    <n v="0"/>
    <n v="0"/>
    <n v="0"/>
    <n v="0"/>
    <n v="0"/>
    <n v="0"/>
    <n v="0"/>
  </r>
  <r>
    <n v="2620"/>
    <n v="175774"/>
    <n v="1"/>
    <n v="0"/>
    <x v="16"/>
    <s v="Together"/>
    <s v="Graduate"/>
    <s v="10/6/2020"/>
    <s v="Other"/>
    <n v="27"/>
    <n v="789"/>
    <n v="49"/>
    <n v="311"/>
    <n v="598"/>
    <n v="32"/>
    <n v="130"/>
    <n v="1649"/>
    <n v="1"/>
    <n v="7"/>
    <n v="5"/>
    <n v="8"/>
    <n v="4"/>
    <n v="0"/>
    <n v="0"/>
    <n v="0"/>
    <n v="0"/>
    <n v="0"/>
    <n v="0"/>
    <n v="0"/>
  </r>
  <r>
    <n v="2774"/>
    <n v="175774"/>
    <n v="1"/>
    <n v="0"/>
    <x v="16"/>
    <s v="Together"/>
    <s v="Graduate"/>
    <s v="10/6/2020"/>
    <s v="New York"/>
    <n v="27"/>
    <n v="789"/>
    <n v="49"/>
    <n v="311"/>
    <n v="598"/>
    <n v="32"/>
    <n v="130"/>
    <n v="1649"/>
    <n v="1"/>
    <n v="7"/>
    <n v="5"/>
    <n v="8"/>
    <n v="4"/>
    <n v="0"/>
    <n v="0"/>
    <n v="0"/>
    <n v="0"/>
    <n v="0"/>
    <n v="0"/>
    <n v="0"/>
  </r>
  <r>
    <n v="2634"/>
    <n v="172066"/>
    <n v="0"/>
    <n v="0"/>
    <x v="16"/>
    <s v="Single"/>
    <s v="Graduate"/>
    <s v="11/27/2020"/>
    <s v="Florida"/>
    <n v="55"/>
    <n v="2395"/>
    <n v="81"/>
    <n v="1280"/>
    <n v="320"/>
    <n v="122"/>
    <n v="81"/>
    <n v="4116"/>
    <n v="1"/>
    <n v="4"/>
    <n v="6"/>
    <n v="6"/>
    <n v="2"/>
    <n v="0"/>
    <n v="1"/>
    <n v="1"/>
    <n v="0"/>
    <n v="0"/>
    <n v="0"/>
    <n v="1"/>
  </r>
  <r>
    <n v="2623"/>
    <n v="158684"/>
    <n v="0"/>
    <n v="0"/>
    <x v="16"/>
    <s v="Single"/>
    <s v="Graduate"/>
    <s v="11/20/2020"/>
    <s v="Illinois"/>
    <n v="71"/>
    <n v="1295"/>
    <n v="95"/>
    <n v="484"/>
    <n v="76"/>
    <n v="19"/>
    <n v="230"/>
    <n v="1739"/>
    <n v="1"/>
    <n v="5"/>
    <n v="3"/>
    <n v="12"/>
    <n v="2"/>
    <n v="0"/>
    <n v="0"/>
    <n v="0"/>
    <n v="0"/>
    <n v="0"/>
    <n v="1"/>
    <n v="0"/>
  </r>
  <r>
    <n v="1005"/>
    <n v="158293"/>
    <n v="1"/>
    <n v="0"/>
    <x v="16"/>
    <s v="Married"/>
    <s v="PhD"/>
    <s v="6/25/2020"/>
    <s v="Texas"/>
    <n v="94"/>
    <n v="470"/>
    <n v="117"/>
    <n v="320"/>
    <n v="125"/>
    <n v="73"/>
    <n v="41"/>
    <n v="1064"/>
    <n v="5"/>
    <n v="5"/>
    <n v="3"/>
    <n v="6"/>
    <n v="5"/>
    <n v="0"/>
    <n v="0"/>
    <n v="0"/>
    <n v="0"/>
    <n v="0"/>
    <n v="0"/>
    <n v="0"/>
  </r>
  <r>
    <n v="3203"/>
    <n v="156981"/>
    <n v="0"/>
    <n v="0"/>
    <x v="16"/>
    <s v="Divorced"/>
    <s v="Graduate"/>
    <s v="7/1/2020"/>
    <s v="California"/>
    <n v="91"/>
    <n v="2502"/>
    <n v="132"/>
    <n v="598"/>
    <n v="88"/>
    <n v="33"/>
    <n v="66"/>
    <n v="3287"/>
    <n v="1"/>
    <n v="2"/>
    <n v="3"/>
    <n v="13"/>
    <n v="6"/>
    <n v="0"/>
    <n v="0"/>
    <n v="0"/>
    <n v="0"/>
    <n v="0"/>
    <n v="1"/>
    <n v="0"/>
  </r>
  <r>
    <n v="1456"/>
    <n v="156937"/>
    <n v="1"/>
    <n v="0"/>
    <x v="16"/>
    <s v="Together"/>
    <s v="PhD"/>
    <s v="1/9/2019"/>
    <s v="Other"/>
    <n v="81"/>
    <n v="2056"/>
    <n v="22"/>
    <n v="345"/>
    <n v="30"/>
    <n v="22"/>
    <n v="22"/>
    <n v="2453"/>
    <n v="7"/>
    <n v="8"/>
    <n v="6"/>
    <n v="9"/>
    <n v="6"/>
    <n v="0"/>
    <n v="1"/>
    <n v="0"/>
    <n v="0"/>
    <n v="0"/>
    <n v="1"/>
    <n v="0"/>
  </r>
  <r>
    <n v="2618"/>
    <n v="156386"/>
    <n v="1"/>
    <n v="1"/>
    <x v="16"/>
    <s v="Together"/>
    <s v="Graduate"/>
    <s v="4/3/2019"/>
    <s v="New York"/>
    <n v="51"/>
    <n v="638"/>
    <n v="133"/>
    <n v="594"/>
    <n v="36"/>
    <n v="89"/>
    <n v="208"/>
    <n v="1281"/>
    <n v="8"/>
    <n v="9"/>
    <n v="1"/>
    <n v="7"/>
    <n v="9"/>
    <n v="0"/>
    <n v="0"/>
    <n v="0"/>
    <n v="0"/>
    <n v="0"/>
    <n v="0"/>
    <n v="0"/>
  </r>
  <r>
    <n v="1983"/>
    <n v="156337"/>
    <n v="1"/>
    <n v="1"/>
    <x v="16"/>
    <s v="Married"/>
    <s v="Graduate"/>
    <s v="9/1/2019"/>
    <s v="Texas"/>
    <n v="25"/>
    <n v="968"/>
    <n v="44"/>
    <n v="400"/>
    <n v="78"/>
    <n v="14"/>
    <n v="505"/>
    <n v="999"/>
    <n v="5"/>
    <n v="8"/>
    <n v="5"/>
    <n v="4"/>
    <n v="8"/>
    <n v="0"/>
    <n v="1"/>
    <n v="1"/>
    <n v="0"/>
    <n v="1"/>
    <n v="0"/>
    <n v="0"/>
  </r>
  <r>
    <n v="2158"/>
    <n v="154386"/>
    <n v="0"/>
    <n v="1"/>
    <x v="16"/>
    <s v="Married"/>
    <s v="Graduate"/>
    <s v="10/22/2019"/>
    <s v="Other"/>
    <n v="8"/>
    <n v="786"/>
    <n v="60"/>
    <n v="182"/>
    <n v="176"/>
    <n v="60"/>
    <n v="71"/>
    <n v="1192"/>
    <n v="2"/>
    <n v="3"/>
    <n v="2"/>
    <n v="10"/>
    <n v="3"/>
    <n v="0"/>
    <n v="0"/>
    <n v="0"/>
    <n v="0"/>
    <n v="0"/>
    <n v="0"/>
    <n v="0"/>
  </r>
  <r>
    <n v="1864"/>
    <n v="151111"/>
    <n v="1"/>
    <n v="1"/>
    <x v="16"/>
    <s v="Married"/>
    <s v="Graduate"/>
    <s v="11/23/2020"/>
    <s v="Other"/>
    <n v="83"/>
    <n v="65"/>
    <n v="0"/>
    <n v="56"/>
    <n v="18"/>
    <n v="15"/>
    <n v="9"/>
    <n v="145"/>
    <n v="2"/>
    <n v="2"/>
    <n v="0"/>
    <n v="3"/>
    <n v="6"/>
    <n v="0"/>
    <n v="0"/>
    <n v="0"/>
    <n v="0"/>
    <n v="0"/>
    <n v="0"/>
    <n v="0"/>
  </r>
  <r>
    <n v="3080"/>
    <n v="144953"/>
    <n v="0"/>
    <n v="0"/>
    <x v="16"/>
    <s v="Together"/>
    <s v="PhD"/>
    <s v="5/28/2019"/>
    <s v="New York"/>
    <n v="31"/>
    <n v="2347"/>
    <n v="55"/>
    <n v="429"/>
    <n v="35"/>
    <n v="26"/>
    <n v="400"/>
    <n v="2493"/>
    <n v="1"/>
    <n v="7"/>
    <n v="3"/>
    <n v="13"/>
    <n v="6"/>
    <n v="0"/>
    <n v="0"/>
    <n v="0"/>
    <n v="0"/>
    <n v="1"/>
    <n v="0"/>
    <n v="0"/>
  </r>
  <r>
    <n v="1854"/>
    <n v="142395"/>
    <n v="1"/>
    <n v="1"/>
    <x v="16"/>
    <s v="Single"/>
    <s v="Graduate"/>
    <s v="9/8/2020"/>
    <s v="Florida"/>
    <n v="35"/>
    <n v="161"/>
    <n v="44"/>
    <n v="191"/>
    <n v="81"/>
    <n v="50"/>
    <n v="84"/>
    <n v="443"/>
    <n v="4"/>
    <n v="3"/>
    <n v="1"/>
    <n v="4"/>
    <n v="7"/>
    <n v="0"/>
    <n v="0"/>
    <n v="0"/>
    <n v="0"/>
    <n v="0"/>
    <n v="0"/>
    <n v="0"/>
  </r>
  <r>
    <n v="2127"/>
    <n v="142162"/>
    <n v="1"/>
    <n v="0"/>
    <x v="16"/>
    <s v="Together"/>
    <s v="Graduate"/>
    <s v="4/25/2020"/>
    <s v="Texas"/>
    <n v="31"/>
    <n v="155"/>
    <n v="24"/>
    <n v="199"/>
    <n v="7"/>
    <n v="13"/>
    <n v="91"/>
    <n v="307"/>
    <n v="2"/>
    <n v="3"/>
    <n v="1"/>
    <n v="3"/>
    <n v="6"/>
    <n v="0"/>
    <n v="1"/>
    <n v="0"/>
    <n v="0"/>
    <n v="1"/>
    <n v="0"/>
    <n v="0"/>
  </r>
  <r>
    <n v="1973"/>
    <n v="142021"/>
    <n v="1"/>
    <n v="0"/>
    <x v="16"/>
    <s v="Together"/>
    <s v="Master"/>
    <s v="2/5/2019"/>
    <s v="California"/>
    <n v="34"/>
    <n v="1328"/>
    <n v="17"/>
    <n v="460"/>
    <n v="24"/>
    <n v="17"/>
    <n v="91"/>
    <n v="1754"/>
    <n v="5"/>
    <n v="10"/>
    <n v="1"/>
    <n v="6"/>
    <n v="9"/>
    <n v="0"/>
    <n v="0"/>
    <n v="0"/>
    <n v="0"/>
    <n v="1"/>
    <n v="0"/>
    <n v="0"/>
  </r>
  <r>
    <n v="3137"/>
    <n v="141967"/>
    <n v="1"/>
    <n v="1"/>
    <x v="16"/>
    <s v="Single"/>
    <s v="Graduate"/>
    <s v="4/29/2020"/>
    <s v="California"/>
    <n v="66"/>
    <n v="78"/>
    <n v="14"/>
    <n v="34"/>
    <n v="0"/>
    <n v="7"/>
    <n v="51"/>
    <n v="81"/>
    <n v="1"/>
    <n v="1"/>
    <n v="0"/>
    <n v="3"/>
    <n v="4"/>
    <n v="0"/>
    <n v="0"/>
    <n v="0"/>
    <n v="0"/>
    <n v="0"/>
    <n v="0"/>
    <n v="0"/>
  </r>
  <r>
    <n v="2204"/>
    <n v="140211"/>
    <n v="1"/>
    <n v="1"/>
    <x v="16"/>
    <s v="Married"/>
    <s v="Graduate"/>
    <s v="1/4/2020"/>
    <s v="New York"/>
    <n v="30"/>
    <n v="178"/>
    <n v="3"/>
    <n v="24"/>
    <n v="7"/>
    <n v="3"/>
    <n v="87"/>
    <n v="129"/>
    <n v="2"/>
    <n v="2"/>
    <n v="1"/>
    <n v="2"/>
    <n v="8"/>
    <n v="0"/>
    <n v="0"/>
    <n v="0"/>
    <n v="0"/>
    <n v="1"/>
    <n v="0"/>
    <n v="0"/>
  </r>
  <r>
    <n v="1494"/>
    <n v="139665"/>
    <n v="1"/>
    <n v="0"/>
    <x v="16"/>
    <s v="Together"/>
    <s v="PhD"/>
    <s v="10/30/2019"/>
    <s v="Florida"/>
    <n v="97"/>
    <n v="447"/>
    <n v="4"/>
    <n v="197"/>
    <n v="0"/>
    <n v="4"/>
    <n v="109"/>
    <n v="542"/>
    <n v="3"/>
    <n v="4"/>
    <n v="2"/>
    <n v="3"/>
    <n v="7"/>
    <n v="0"/>
    <n v="0"/>
    <n v="0"/>
    <n v="0"/>
    <n v="1"/>
    <n v="0"/>
    <n v="0"/>
  </r>
  <r>
    <n v="1137"/>
    <n v="138547"/>
    <n v="1"/>
    <n v="0"/>
    <x v="16"/>
    <s v="Together"/>
    <s v="Graduate"/>
    <s v="2/2/2020"/>
    <s v="Texas"/>
    <n v="49"/>
    <n v="22"/>
    <n v="4"/>
    <n v="36"/>
    <n v="0"/>
    <n v="4"/>
    <n v="14"/>
    <n v="50"/>
    <n v="1"/>
    <n v="1"/>
    <n v="0"/>
    <n v="2"/>
    <n v="8"/>
    <n v="1"/>
    <n v="0"/>
    <n v="0"/>
    <n v="0"/>
    <n v="0"/>
    <n v="0"/>
    <n v="0"/>
  </r>
  <r>
    <n v="1558"/>
    <n v="136959"/>
    <n v="1"/>
    <n v="0"/>
    <x v="16"/>
    <s v="Married"/>
    <s v="Master"/>
    <s v="3/8/2020"/>
    <s v="Other"/>
    <n v="56"/>
    <n v="93"/>
    <n v="22"/>
    <n v="93"/>
    <n v="22"/>
    <n v="0"/>
    <n v="0"/>
    <n v="230"/>
    <n v="2"/>
    <n v="2"/>
    <n v="0"/>
    <n v="3"/>
    <n v="8"/>
    <n v="0"/>
    <n v="0"/>
    <n v="0"/>
    <n v="0"/>
    <n v="0"/>
    <n v="0"/>
    <n v="0"/>
  </r>
  <r>
    <n v="1368"/>
    <n v="136143"/>
    <n v="1"/>
    <n v="0"/>
    <x v="16"/>
    <s v="Single"/>
    <s v="Master"/>
    <s v="9/3/2020"/>
    <s v="Florida"/>
    <n v="33"/>
    <n v="45"/>
    <n v="0"/>
    <n v="4"/>
    <n v="0"/>
    <n v="0"/>
    <n v="23"/>
    <n v="26"/>
    <n v="1"/>
    <n v="0"/>
    <n v="1"/>
    <n v="2"/>
    <n v="3"/>
    <n v="0"/>
    <n v="0"/>
    <n v="0"/>
    <n v="0"/>
    <n v="0"/>
    <n v="0"/>
    <n v="0"/>
  </r>
  <r>
    <n v="2892"/>
    <n v="136038"/>
    <n v="1"/>
    <n v="0"/>
    <x v="16"/>
    <s v="Single"/>
    <s v="PhD"/>
    <s v="11/5/2019"/>
    <s v="Florida"/>
    <n v="82"/>
    <n v="87"/>
    <n v="0"/>
    <n v="57"/>
    <n v="0"/>
    <n v="8"/>
    <n v="26"/>
    <n v="125"/>
    <n v="2"/>
    <n v="3"/>
    <n v="0"/>
    <n v="3"/>
    <n v="6"/>
    <n v="0"/>
    <n v="0"/>
    <n v="0"/>
    <n v="0"/>
    <n v="0"/>
    <n v="0"/>
    <n v="0"/>
  </r>
  <r>
    <n v="1741"/>
    <n v="135523"/>
    <n v="1"/>
    <n v="0"/>
    <x v="16"/>
    <s v="Married"/>
    <s v="Graduate"/>
    <s v="3/9/2020"/>
    <s v="Illinois"/>
    <n v="8"/>
    <n v="42"/>
    <n v="19"/>
    <n v="84"/>
    <n v="46"/>
    <n v="19"/>
    <n v="42"/>
    <n v="168"/>
    <n v="2"/>
    <n v="3"/>
    <n v="0"/>
    <n v="3"/>
    <n v="7"/>
    <n v="0"/>
    <n v="0"/>
    <n v="0"/>
    <n v="0"/>
    <n v="0"/>
    <n v="0"/>
    <n v="0"/>
  </r>
  <r>
    <n v="2988"/>
    <n v="134445"/>
    <n v="0"/>
    <n v="0"/>
    <x v="16"/>
    <s v="Married"/>
    <s v="Basic"/>
    <s v="7/4/2019"/>
    <s v="Florida"/>
    <n v="92"/>
    <n v="890"/>
    <n v="476"/>
    <n v="476"/>
    <n v="812"/>
    <n v="504"/>
    <n v="117"/>
    <n v="3041"/>
    <n v="6"/>
    <n v="11"/>
    <n v="2"/>
    <n v="8"/>
    <n v="9"/>
    <n v="0"/>
    <n v="0"/>
    <n v="0"/>
    <n v="0"/>
    <n v="0"/>
    <n v="0"/>
    <n v="0"/>
  </r>
  <r>
    <n v="1583"/>
    <n v="131089"/>
    <n v="1"/>
    <n v="0"/>
    <x v="16"/>
    <s v="Together"/>
    <s v="Graduate"/>
    <s v="1/22/2019"/>
    <s v="California"/>
    <n v="57"/>
    <n v="131"/>
    <n v="13"/>
    <n v="131"/>
    <n v="8"/>
    <n v="34"/>
    <n v="17"/>
    <n v="299"/>
    <n v="3"/>
    <n v="3"/>
    <n v="0"/>
    <n v="4"/>
    <n v="8"/>
    <n v="0"/>
    <n v="0"/>
    <n v="0"/>
    <n v="0"/>
    <n v="0"/>
    <n v="0"/>
    <n v="0"/>
  </r>
  <r>
    <n v="3017"/>
    <n v="129009"/>
    <n v="1"/>
    <n v="0"/>
    <x v="16"/>
    <s v="Married"/>
    <s v="Graduate"/>
    <s v="5/5/2020"/>
    <s v="California"/>
    <n v="19"/>
    <n v="27"/>
    <n v="27"/>
    <n v="67"/>
    <n v="44"/>
    <n v="22"/>
    <n v="9"/>
    <n v="178"/>
    <n v="2"/>
    <n v="2"/>
    <n v="0"/>
    <n v="3"/>
    <n v="6"/>
    <n v="0"/>
    <n v="0"/>
    <n v="0"/>
    <n v="0"/>
    <n v="0"/>
    <n v="0"/>
    <n v="0"/>
  </r>
  <r>
    <n v="2159"/>
    <n v="128510"/>
    <n v="1"/>
    <n v="1"/>
    <x v="16"/>
    <s v="Divorced"/>
    <s v="Graduate"/>
    <s v="9/18/2019"/>
    <s v="California"/>
    <n v="72"/>
    <n v="198"/>
    <n v="23"/>
    <n v="86"/>
    <n v="0"/>
    <n v="18"/>
    <n v="86"/>
    <n v="239"/>
    <n v="3"/>
    <n v="2"/>
    <n v="0"/>
    <n v="4"/>
    <n v="5"/>
    <n v="0"/>
    <n v="0"/>
    <n v="0"/>
    <n v="0"/>
    <n v="0"/>
    <n v="0"/>
    <n v="0"/>
  </r>
  <r>
    <n v="3085"/>
    <n v="127733"/>
    <n v="1"/>
    <n v="0"/>
    <x v="16"/>
    <s v="Married"/>
    <s v="Graduate"/>
    <s v="1/31/2020"/>
    <s v="Illinois"/>
    <n v="16"/>
    <n v="0"/>
    <n v="32"/>
    <n v="23"/>
    <n v="120"/>
    <n v="9"/>
    <n v="78"/>
    <n v="106"/>
    <n v="2"/>
    <n v="2"/>
    <n v="0"/>
    <n v="3"/>
    <n v="7"/>
    <n v="0"/>
    <n v="0"/>
    <n v="0"/>
    <n v="0"/>
    <n v="0"/>
    <n v="0"/>
    <n v="0"/>
  </r>
  <r>
    <n v="1791"/>
    <n v="126872"/>
    <n v="0"/>
    <n v="0"/>
    <x v="16"/>
    <s v="Married"/>
    <s v="Graduate"/>
    <s v="3/22/2020"/>
    <s v="Texas"/>
    <n v="0"/>
    <n v="14"/>
    <n v="47"/>
    <n v="38"/>
    <n v="14"/>
    <n v="76"/>
    <n v="151"/>
    <n v="38"/>
    <n v="1"/>
    <n v="1"/>
    <n v="1"/>
    <n v="2"/>
    <n v="6"/>
    <n v="0"/>
    <n v="0"/>
    <n v="0"/>
    <n v="0"/>
    <n v="0"/>
    <n v="0"/>
    <n v="0"/>
  </r>
  <r>
    <n v="1267"/>
    <n v="124480"/>
    <n v="1"/>
    <n v="0"/>
    <x v="16"/>
    <s v="Married"/>
    <s v="Basic"/>
    <s v="7/19/2019"/>
    <s v="Illinois"/>
    <n v="46"/>
    <n v="20"/>
    <n v="97"/>
    <n v="46"/>
    <n v="142"/>
    <n v="127"/>
    <n v="86"/>
    <n v="346"/>
    <n v="3"/>
    <n v="3"/>
    <n v="0"/>
    <n v="4"/>
    <n v="7"/>
    <n v="0"/>
    <n v="0"/>
    <n v="0"/>
    <n v="0"/>
    <n v="0"/>
    <n v="0"/>
    <n v="0"/>
  </r>
  <r>
    <n v="2668"/>
    <n v="124336"/>
    <n v="1"/>
    <n v="0"/>
    <x v="16"/>
    <s v="Single"/>
    <s v="Graduate"/>
    <s v="2/1/2019"/>
    <s v="Other"/>
    <n v="82"/>
    <n v="5"/>
    <n v="31"/>
    <n v="10"/>
    <n v="41"/>
    <n v="10"/>
    <n v="61"/>
    <n v="36"/>
    <n v="1"/>
    <n v="1"/>
    <n v="0"/>
    <n v="2"/>
    <n v="7"/>
    <n v="0"/>
    <n v="0"/>
    <n v="0"/>
    <n v="0"/>
    <n v="0"/>
    <n v="0"/>
    <n v="0"/>
  </r>
  <r>
    <n v="1523"/>
    <n v="122944"/>
    <n v="1"/>
    <n v="0"/>
    <x v="16"/>
    <s v="Single"/>
    <s v="Master"/>
    <s v="5/29/2020"/>
    <s v="California"/>
    <n v="67"/>
    <n v="102"/>
    <n v="16"/>
    <n v="102"/>
    <n v="21"/>
    <n v="27"/>
    <n v="139"/>
    <n v="129"/>
    <n v="3"/>
    <n v="3"/>
    <n v="0"/>
    <n v="3"/>
    <n v="7"/>
    <n v="0"/>
    <n v="0"/>
    <n v="0"/>
    <n v="0"/>
    <n v="0"/>
    <n v="0"/>
    <n v="0"/>
  </r>
  <r>
    <n v="1824"/>
    <n v="119419"/>
    <n v="1"/>
    <n v="0"/>
    <x v="16"/>
    <s v="Married"/>
    <s v="Graduate"/>
    <s v="4/17/2019"/>
    <s v="Florida"/>
    <n v="76"/>
    <n v="12"/>
    <n v="86"/>
    <n v="172"/>
    <n v="98"/>
    <n v="18"/>
    <n v="43"/>
    <n v="344"/>
    <n v="4"/>
    <n v="4"/>
    <n v="0"/>
    <n v="3"/>
    <n v="9"/>
    <n v="0"/>
    <n v="0"/>
    <n v="0"/>
    <n v="0"/>
    <n v="0"/>
    <n v="0"/>
    <n v="0"/>
  </r>
  <r>
    <n v="2458"/>
    <n v="119414"/>
    <n v="1"/>
    <n v="0"/>
    <x v="16"/>
    <s v="Together"/>
    <s v="Graduate"/>
    <s v="3/22/2020"/>
    <s v="Other"/>
    <n v="32"/>
    <n v="12"/>
    <n v="18"/>
    <n v="74"/>
    <n v="18"/>
    <n v="31"/>
    <n v="43"/>
    <n v="111"/>
    <n v="1"/>
    <n v="1"/>
    <n v="0"/>
    <n v="3"/>
    <n v="8"/>
    <n v="0"/>
    <n v="0"/>
    <n v="0"/>
    <n v="0"/>
    <n v="0"/>
    <n v="0"/>
    <n v="0"/>
  </r>
  <r>
    <n v="2970"/>
    <n v="196547"/>
    <n v="0"/>
    <n v="0"/>
    <x v="17"/>
    <s v="Married"/>
    <s v="Graduate"/>
    <s v="10/27/2020"/>
    <s v="Florida"/>
    <n v="4"/>
    <n v="912"/>
    <n v="43"/>
    <n v="254"/>
    <n v="106"/>
    <n v="206"/>
    <n v="126"/>
    <n v="1394"/>
    <n v="0"/>
    <n v="7"/>
    <n v="6"/>
    <n v="8"/>
    <n v="2"/>
    <n v="0"/>
    <n v="1"/>
    <n v="1"/>
    <n v="0"/>
    <n v="1"/>
    <n v="0"/>
    <n v="1"/>
  </r>
  <r>
    <n v="1279"/>
    <n v="182497"/>
    <n v="0"/>
    <n v="0"/>
    <x v="17"/>
    <s v="Married"/>
    <s v="Graduate"/>
    <s v="4/7/2019"/>
    <s v="Illinois"/>
    <n v="32"/>
    <n v="1719"/>
    <n v="285"/>
    <n v="1268"/>
    <n v="478"/>
    <n v="46"/>
    <n v="449"/>
    <n v="3347"/>
    <n v="1"/>
    <n v="2"/>
    <n v="7"/>
    <n v="9"/>
    <n v="4"/>
    <n v="0"/>
    <n v="0"/>
    <n v="0"/>
    <n v="0"/>
    <n v="0"/>
    <n v="0"/>
    <n v="1"/>
  </r>
  <r>
    <n v="1545"/>
    <n v="181741"/>
    <n v="0"/>
    <n v="0"/>
    <x v="17"/>
    <s v="Single"/>
    <s v="Graduate"/>
    <s v="11/21/2019"/>
    <s v="Texas"/>
    <n v="75"/>
    <n v="554"/>
    <n v="340"/>
    <n v="2090"/>
    <n v="129"/>
    <n v="298"/>
    <n v="84"/>
    <n v="3326"/>
    <n v="0"/>
    <n v="6"/>
    <n v="6"/>
    <n v="7"/>
    <n v="2"/>
    <n v="0"/>
    <n v="0"/>
    <n v="0"/>
    <n v="0"/>
    <n v="0"/>
    <n v="0"/>
    <n v="0"/>
  </r>
  <r>
    <n v="1818"/>
    <n v="181702"/>
    <n v="0"/>
    <n v="0"/>
    <x v="17"/>
    <s v="Divorced"/>
    <s v="Graduate"/>
    <s v="2/28/2019"/>
    <s v="Florida"/>
    <n v="98"/>
    <n v="1252"/>
    <n v="111"/>
    <n v="1721"/>
    <n v="62"/>
    <n v="69"/>
    <n v="416"/>
    <n v="2800"/>
    <n v="1"/>
    <n v="7"/>
    <n v="7"/>
    <n v="12"/>
    <n v="3"/>
    <n v="0"/>
    <n v="0"/>
    <n v="0"/>
    <n v="0"/>
    <n v="0"/>
    <n v="0"/>
    <n v="0"/>
  </r>
  <r>
    <n v="1039"/>
    <n v="180011"/>
    <n v="0"/>
    <n v="1"/>
    <x v="17"/>
    <s v="Married"/>
    <s v="Graduate"/>
    <s v="10/4/2019"/>
    <s v="Illinois"/>
    <n v="3"/>
    <n v="947"/>
    <n v="171"/>
    <n v="1206"/>
    <n v="184"/>
    <n v="400"/>
    <n v="229"/>
    <n v="2680"/>
    <n v="2"/>
    <n v="8"/>
    <n v="6"/>
    <n v="5"/>
    <n v="4"/>
    <n v="0"/>
    <n v="0"/>
    <n v="0"/>
    <n v="0"/>
    <n v="0"/>
    <n v="0"/>
    <n v="0"/>
  </r>
  <r>
    <n v="2661"/>
    <n v="178789"/>
    <n v="0"/>
    <n v="0"/>
    <x v="17"/>
    <s v="Divorced"/>
    <s v="Master"/>
    <s v="1/13/2019"/>
    <s v="Texas"/>
    <n v="12"/>
    <n v="1514"/>
    <n v="113"/>
    <n v="1929"/>
    <n v="48"/>
    <n v="188"/>
    <n v="188"/>
    <n v="3604"/>
    <n v="1"/>
    <n v="4"/>
    <n v="6"/>
    <n v="5"/>
    <n v="2"/>
    <n v="0"/>
    <n v="1"/>
    <n v="0"/>
    <n v="0"/>
    <n v="0"/>
    <n v="0"/>
    <n v="0"/>
  </r>
  <r>
    <n v="1655"/>
    <n v="177353"/>
    <n v="0"/>
    <n v="1"/>
    <x v="17"/>
    <s v="Married"/>
    <s v="Graduate"/>
    <s v="5/22/2020"/>
    <s v="California"/>
    <n v="38"/>
    <n v="631"/>
    <n v="135"/>
    <n v="245"/>
    <n v="158"/>
    <n v="232"/>
    <n v="135"/>
    <n v="1266"/>
    <n v="2"/>
    <n v="6"/>
    <n v="4"/>
    <n v="8"/>
    <n v="4"/>
    <n v="0"/>
    <n v="0"/>
    <n v="0"/>
    <n v="0"/>
    <n v="0"/>
    <n v="0"/>
    <n v="0"/>
  </r>
  <r>
    <n v="1801"/>
    <n v="176412"/>
    <n v="0"/>
    <n v="0"/>
    <x v="17"/>
    <s v="Single"/>
    <s v="PhD"/>
    <s v="10/10/2019"/>
    <s v="Illinois"/>
    <n v="15"/>
    <n v="1939"/>
    <n v="122"/>
    <n v="1856"/>
    <n v="53"/>
    <n v="164"/>
    <n v="39"/>
    <n v="4096"/>
    <n v="1"/>
    <n v="5"/>
    <n v="4"/>
    <n v="8"/>
    <n v="3"/>
    <n v="0"/>
    <n v="1"/>
    <n v="1"/>
    <n v="0"/>
    <n v="0"/>
    <n v="0"/>
    <n v="1"/>
  </r>
  <r>
    <n v="1437"/>
    <n v="170829"/>
    <n v="1"/>
    <n v="1"/>
    <x v="17"/>
    <s v="Married"/>
    <s v="Graduate"/>
    <s v="5/7/2020"/>
    <s v="Texas"/>
    <n v="87"/>
    <n v="340"/>
    <n v="169"/>
    <n v="256"/>
    <n v="174"/>
    <n v="46"/>
    <n v="55"/>
    <n v="929"/>
    <n v="2"/>
    <n v="4"/>
    <n v="2"/>
    <n v="8"/>
    <n v="3"/>
    <n v="0"/>
    <n v="0"/>
    <n v="0"/>
    <n v="0"/>
    <n v="0"/>
    <n v="0"/>
    <n v="0"/>
  </r>
  <r>
    <n v="1184"/>
    <n v="169661"/>
    <n v="0"/>
    <n v="0"/>
    <x v="17"/>
    <s v="Married"/>
    <s v="Master"/>
    <s v="10/17/2020"/>
    <s v="New York"/>
    <n v="80"/>
    <n v="1598"/>
    <n v="39"/>
    <n v="258"/>
    <n v="78"/>
    <n v="39"/>
    <n v="19"/>
    <n v="1992"/>
    <n v="1"/>
    <n v="7"/>
    <n v="3"/>
    <n v="12"/>
    <n v="3"/>
    <n v="0"/>
    <n v="0"/>
    <n v="0"/>
    <n v="0"/>
    <n v="0"/>
    <n v="0"/>
    <n v="0"/>
  </r>
  <r>
    <n v="1207"/>
    <n v="169508"/>
    <n v="1"/>
    <n v="0"/>
    <x v="17"/>
    <s v="Together"/>
    <s v="Graduate"/>
    <s v="4/21/2019"/>
    <s v="Illinois"/>
    <n v="48"/>
    <n v="2009"/>
    <n v="78"/>
    <n v="395"/>
    <n v="102"/>
    <n v="78"/>
    <n v="105"/>
    <n v="2558"/>
    <n v="2"/>
    <n v="11"/>
    <n v="4"/>
    <n v="11"/>
    <n v="6"/>
    <n v="0"/>
    <n v="0"/>
    <n v="0"/>
    <n v="0"/>
    <n v="0"/>
    <n v="0"/>
    <n v="0"/>
  </r>
  <r>
    <n v="2974"/>
    <n v="167506"/>
    <n v="0"/>
    <n v="1"/>
    <x v="17"/>
    <s v="Single"/>
    <s v="Graduate"/>
    <s v="6/8/2020"/>
    <s v="Other"/>
    <n v="73"/>
    <n v="223"/>
    <n v="94"/>
    <n v="166"/>
    <n v="82"/>
    <n v="89"/>
    <n v="166"/>
    <n v="489"/>
    <n v="1"/>
    <n v="4"/>
    <n v="1"/>
    <n v="6"/>
    <n v="3"/>
    <n v="0"/>
    <n v="0"/>
    <n v="0"/>
    <n v="0"/>
    <n v="0"/>
    <n v="0"/>
    <n v="0"/>
  </r>
  <r>
    <n v="1661"/>
    <n v="165295"/>
    <n v="0"/>
    <n v="0"/>
    <x v="17"/>
    <s v="Single"/>
    <s v="PhD"/>
    <s v="5/29/2020"/>
    <s v="California"/>
    <n v="19"/>
    <n v="924"/>
    <n v="81"/>
    <n v="296"/>
    <n v="86"/>
    <n v="278"/>
    <n v="15"/>
    <n v="1651"/>
    <n v="1"/>
    <n v="3"/>
    <n v="3"/>
    <n v="13"/>
    <n v="2"/>
    <n v="0"/>
    <n v="0"/>
    <n v="0"/>
    <n v="0"/>
    <n v="0"/>
    <n v="0"/>
    <n v="0"/>
  </r>
  <r>
    <n v="3129"/>
    <n v="162994"/>
    <n v="1"/>
    <n v="0"/>
    <x v="17"/>
    <s v="Together"/>
    <s v="Graduate"/>
    <s v="8/8/2020"/>
    <s v="Texas"/>
    <n v="74"/>
    <n v="580"/>
    <n v="31"/>
    <n v="124"/>
    <n v="10"/>
    <n v="31"/>
    <n v="31"/>
    <n v="745"/>
    <n v="1"/>
    <n v="6"/>
    <n v="2"/>
    <n v="4"/>
    <n v="6"/>
    <n v="0"/>
    <n v="0"/>
    <n v="0"/>
    <n v="0"/>
    <n v="0"/>
    <n v="0"/>
    <n v="0"/>
  </r>
  <r>
    <n v="3174"/>
    <n v="161014"/>
    <n v="0"/>
    <n v="1"/>
    <x v="17"/>
    <s v="Married"/>
    <s v="Graduate"/>
    <s v="1/16/2019"/>
    <s v="Florida"/>
    <n v="17"/>
    <n v="710"/>
    <n v="340"/>
    <n v="1306"/>
    <n v="480"/>
    <n v="113"/>
    <n v="77"/>
    <n v="2874"/>
    <n v="4"/>
    <n v="9"/>
    <n v="3"/>
    <n v="4"/>
    <n v="7"/>
    <n v="0"/>
    <n v="0"/>
    <n v="0"/>
    <n v="0"/>
    <n v="0"/>
    <n v="0"/>
    <n v="0"/>
  </r>
  <r>
    <n v="2491"/>
    <n v="151766"/>
    <n v="1"/>
    <n v="0"/>
    <x v="17"/>
    <s v="Single"/>
    <s v="Graduate"/>
    <s v="8/15/2020"/>
    <s v="Illinois"/>
    <n v="74"/>
    <n v="176"/>
    <n v="150"/>
    <n v="255"/>
    <n v="18"/>
    <n v="59"/>
    <n v="150"/>
    <n v="507"/>
    <n v="2"/>
    <n v="4"/>
    <n v="2"/>
    <n v="4"/>
    <n v="5"/>
    <n v="0"/>
    <n v="0"/>
    <n v="0"/>
    <n v="0"/>
    <n v="0"/>
    <n v="0"/>
    <n v="0"/>
  </r>
  <r>
    <n v="1945"/>
    <n v="150183"/>
    <n v="1"/>
    <n v="1"/>
    <x v="17"/>
    <s v="Married"/>
    <s v="Graduate"/>
    <s v="11/29/2020"/>
    <s v="Illinois"/>
    <n v="47"/>
    <n v="290"/>
    <n v="36"/>
    <n v="251"/>
    <n v="39"/>
    <n v="30"/>
    <n v="45"/>
    <n v="602"/>
    <n v="7"/>
    <n v="3"/>
    <n v="1"/>
    <n v="6"/>
    <n v="5"/>
    <n v="0"/>
    <n v="0"/>
    <n v="0"/>
    <n v="0"/>
    <n v="0"/>
    <n v="0"/>
    <n v="0"/>
  </r>
  <r>
    <n v="1531"/>
    <n v="147850"/>
    <n v="1"/>
    <n v="0"/>
    <x v="17"/>
    <s v="Married"/>
    <s v="Graduate"/>
    <s v="5/9/2020"/>
    <s v="Illinois"/>
    <n v="72"/>
    <n v="130"/>
    <n v="22"/>
    <n v="133"/>
    <n v="62"/>
    <n v="37"/>
    <n v="31"/>
    <n v="352"/>
    <n v="1"/>
    <n v="3"/>
    <n v="0"/>
    <n v="4"/>
    <n v="6"/>
    <n v="0"/>
    <n v="0"/>
    <n v="0"/>
    <n v="0"/>
    <n v="0"/>
    <n v="0"/>
    <n v="0"/>
  </r>
  <r>
    <n v="1819"/>
    <n v="145889"/>
    <n v="0"/>
    <n v="1"/>
    <x v="17"/>
    <s v="Single"/>
    <s v="Graduate"/>
    <s v="12/7/2019"/>
    <s v="Illinois"/>
    <n v="42"/>
    <n v="99"/>
    <n v="0"/>
    <n v="19"/>
    <n v="0"/>
    <n v="3"/>
    <n v="25"/>
    <n v="95"/>
    <n v="1"/>
    <n v="1"/>
    <n v="0"/>
    <n v="3"/>
    <n v="6"/>
    <n v="0"/>
    <n v="0"/>
    <n v="0"/>
    <n v="0"/>
    <n v="0"/>
    <n v="0"/>
    <n v="0"/>
  </r>
  <r>
    <n v="2364"/>
    <n v="144964"/>
    <n v="1"/>
    <n v="1"/>
    <x v="17"/>
    <s v="Together"/>
    <s v="Graduate"/>
    <s v="5/23/2019"/>
    <s v="Florida"/>
    <n v="35"/>
    <n v="61"/>
    <n v="3"/>
    <n v="55"/>
    <n v="6"/>
    <n v="0"/>
    <n v="6"/>
    <n v="119"/>
    <n v="1"/>
    <n v="1"/>
    <n v="0"/>
    <n v="3"/>
    <n v="8"/>
    <n v="0"/>
    <n v="0"/>
    <n v="0"/>
    <n v="0"/>
    <n v="0"/>
    <n v="0"/>
    <n v="0"/>
  </r>
  <r>
    <n v="1950"/>
    <n v="144010"/>
    <n v="1"/>
    <n v="0"/>
    <x v="17"/>
    <s v="Together"/>
    <s v="Graduate"/>
    <s v="3/20/2019"/>
    <s v="Florida"/>
    <n v="46"/>
    <n v="609"/>
    <n v="118"/>
    <n v="766"/>
    <n v="281"/>
    <n v="236"/>
    <n v="157"/>
    <n v="1852"/>
    <n v="6"/>
    <n v="10"/>
    <n v="2"/>
    <n v="6"/>
    <n v="9"/>
    <n v="0"/>
    <n v="0"/>
    <n v="0"/>
    <n v="0"/>
    <n v="0"/>
    <n v="0"/>
    <n v="0"/>
  </r>
  <r>
    <n v="1106"/>
    <n v="143974"/>
    <n v="1"/>
    <n v="0"/>
    <x v="17"/>
    <s v="Married"/>
    <s v="PhD"/>
    <s v="5/19/2019"/>
    <s v="New York"/>
    <n v="19"/>
    <n v="1238"/>
    <n v="0"/>
    <n v="331"/>
    <n v="0"/>
    <n v="0"/>
    <n v="236"/>
    <n v="1333"/>
    <n v="5"/>
    <n v="6"/>
    <n v="4"/>
    <n v="6"/>
    <n v="7"/>
    <n v="0"/>
    <n v="0"/>
    <n v="0"/>
    <n v="0"/>
    <n v="0"/>
    <n v="0"/>
    <n v="0"/>
  </r>
  <r>
    <n v="3091"/>
    <n v="143586"/>
    <n v="0"/>
    <n v="1"/>
    <x v="17"/>
    <s v="Married"/>
    <s v="Graduate"/>
    <s v="2/4/2019"/>
    <s v="Illinois"/>
    <n v="26"/>
    <n v="326"/>
    <n v="7"/>
    <n v="36"/>
    <n v="13"/>
    <n v="0"/>
    <n v="53"/>
    <n v="329"/>
    <n v="3"/>
    <n v="3"/>
    <n v="0"/>
    <n v="4"/>
    <n v="8"/>
    <n v="0"/>
    <n v="0"/>
    <n v="0"/>
    <n v="0"/>
    <n v="0"/>
    <n v="0"/>
    <n v="0"/>
  </r>
  <r>
    <n v="1016"/>
    <n v="141850"/>
    <n v="1"/>
    <n v="1"/>
    <x v="17"/>
    <s v="Married"/>
    <s v="Graduate"/>
    <s v="5/31/2019"/>
    <s v="New York"/>
    <n v="51"/>
    <n v="180"/>
    <n v="17"/>
    <n v="64"/>
    <n v="7"/>
    <n v="44"/>
    <n v="14"/>
    <n v="298"/>
    <n v="3"/>
    <n v="3"/>
    <n v="0"/>
    <n v="3"/>
    <n v="8"/>
    <n v="0"/>
    <n v="0"/>
    <n v="0"/>
    <n v="0"/>
    <n v="0"/>
    <n v="0"/>
    <n v="0"/>
  </r>
  <r>
    <n v="1455"/>
    <n v="137406"/>
    <n v="1"/>
    <n v="0"/>
    <x v="17"/>
    <s v="Married"/>
    <s v="Graduate"/>
    <s v="3/16/2020"/>
    <s v="Texas"/>
    <n v="18"/>
    <n v="7"/>
    <n v="0"/>
    <n v="29"/>
    <n v="7"/>
    <n v="7"/>
    <n v="11"/>
    <n v="40"/>
    <n v="1"/>
    <n v="1"/>
    <n v="0"/>
    <n v="2"/>
    <n v="8"/>
    <n v="0"/>
    <n v="1"/>
    <n v="0"/>
    <n v="0"/>
    <n v="0"/>
    <n v="0"/>
    <n v="0"/>
  </r>
  <r>
    <n v="2741"/>
    <n v="136802"/>
    <n v="1"/>
    <n v="0"/>
    <x v="17"/>
    <s v="Single"/>
    <s v="PhD"/>
    <s v="11/20/2020"/>
    <s v="California"/>
    <n v="23"/>
    <n v="59"/>
    <n v="4"/>
    <n v="7"/>
    <n v="0"/>
    <n v="0"/>
    <n v="4"/>
    <n v="67"/>
    <n v="1"/>
    <n v="1"/>
    <n v="0"/>
    <n v="3"/>
    <n v="5"/>
    <n v="0"/>
    <n v="0"/>
    <n v="0"/>
    <n v="0"/>
    <n v="0"/>
    <n v="0"/>
    <n v="0"/>
  </r>
  <r>
    <n v="2564"/>
    <n v="134968"/>
    <n v="1"/>
    <n v="0"/>
    <x v="17"/>
    <s v="Married"/>
    <s v="Graduate"/>
    <s v="9/15/2019"/>
    <s v="New York"/>
    <n v="11"/>
    <n v="610"/>
    <n v="23"/>
    <n v="174"/>
    <n v="31"/>
    <n v="8"/>
    <n v="8"/>
    <n v="838"/>
    <n v="7"/>
    <n v="3"/>
    <n v="2"/>
    <n v="5"/>
    <n v="7"/>
    <n v="0"/>
    <n v="0"/>
    <n v="0"/>
    <n v="0"/>
    <n v="0"/>
    <n v="0"/>
    <n v="0"/>
  </r>
  <r>
    <n v="2654"/>
    <n v="133228"/>
    <n v="1"/>
    <n v="0"/>
    <x v="17"/>
    <s v="Married"/>
    <s v="Graduate"/>
    <s v="6/29/2020"/>
    <s v="New York"/>
    <n v="28"/>
    <n v="88"/>
    <n v="8"/>
    <n v="124"/>
    <n v="28"/>
    <n v="16"/>
    <n v="20"/>
    <n v="245"/>
    <n v="1"/>
    <n v="2"/>
    <n v="0"/>
    <n v="3"/>
    <n v="7"/>
    <n v="0"/>
    <n v="0"/>
    <n v="0"/>
    <n v="0"/>
    <n v="0"/>
    <n v="0"/>
    <n v="0"/>
  </r>
  <r>
    <n v="2727"/>
    <n v="131859"/>
    <n v="1"/>
    <n v="0"/>
    <x v="17"/>
    <s v="Single"/>
    <s v="Graduate"/>
    <s v="8/3/2020"/>
    <s v="Texas"/>
    <n v="3"/>
    <n v="12"/>
    <n v="17"/>
    <n v="29"/>
    <n v="62"/>
    <n v="33"/>
    <n v="46"/>
    <n v="108"/>
    <n v="1"/>
    <n v="1"/>
    <n v="0"/>
    <n v="3"/>
    <n v="7"/>
    <n v="0"/>
    <n v="0"/>
    <n v="0"/>
    <n v="0"/>
    <n v="0"/>
    <n v="0"/>
    <n v="0"/>
  </r>
  <r>
    <n v="2884"/>
    <n v="131535"/>
    <n v="1"/>
    <n v="0"/>
    <x v="17"/>
    <s v="Married"/>
    <s v="Master"/>
    <s v="3/2/2020"/>
    <s v="Other"/>
    <n v="95"/>
    <n v="63"/>
    <n v="17"/>
    <n v="54"/>
    <n v="0"/>
    <n v="0"/>
    <n v="79"/>
    <n v="54"/>
    <n v="1"/>
    <n v="1"/>
    <n v="1"/>
    <n v="2"/>
    <n v="7"/>
    <n v="0"/>
    <n v="0"/>
    <n v="0"/>
    <n v="0"/>
    <n v="1"/>
    <n v="0"/>
    <n v="0"/>
  </r>
  <r>
    <n v="3057"/>
    <n v="130828"/>
    <n v="1"/>
    <n v="0"/>
    <x v="17"/>
    <s v="Single"/>
    <s v="Graduate"/>
    <s v="3/10/2020"/>
    <s v="Texas"/>
    <n v="16"/>
    <n v="68"/>
    <n v="47"/>
    <n v="64"/>
    <n v="8"/>
    <n v="0"/>
    <n v="51"/>
    <n v="136"/>
    <n v="2"/>
    <n v="1"/>
    <n v="1"/>
    <n v="4"/>
    <n v="3"/>
    <n v="0"/>
    <n v="0"/>
    <n v="0"/>
    <n v="0"/>
    <n v="0"/>
    <n v="0"/>
    <n v="0"/>
  </r>
  <r>
    <n v="1211"/>
    <n v="130732"/>
    <n v="1"/>
    <n v="0"/>
    <x v="17"/>
    <s v="Married"/>
    <s v="PhD"/>
    <s v="6/12/2019"/>
    <s v="California"/>
    <n v="44"/>
    <n v="659"/>
    <n v="4"/>
    <n v="106"/>
    <n v="0"/>
    <n v="4"/>
    <n v="13"/>
    <n v="761"/>
    <n v="4"/>
    <n v="4"/>
    <n v="1"/>
    <n v="4"/>
    <n v="8"/>
    <n v="0"/>
    <n v="0"/>
    <n v="0"/>
    <n v="0"/>
    <n v="0"/>
    <n v="0"/>
    <n v="0"/>
  </r>
  <r>
    <n v="2016"/>
    <n v="128071"/>
    <n v="0"/>
    <n v="0"/>
    <x v="17"/>
    <s v="Single"/>
    <s v="Graduate"/>
    <s v="2/3/2019"/>
    <s v="Florida"/>
    <n v="65"/>
    <n v="178"/>
    <n v="151"/>
    <n v="593"/>
    <n v="187"/>
    <n v="119"/>
    <n v="201"/>
    <n v="1027"/>
    <n v="2"/>
    <n v="5"/>
    <n v="1"/>
    <n v="5"/>
    <n v="8"/>
    <n v="0"/>
    <n v="0"/>
    <n v="0"/>
    <n v="0"/>
    <n v="0"/>
    <n v="0"/>
    <n v="0"/>
  </r>
  <r>
    <n v="1645"/>
    <n v="125965"/>
    <n v="0"/>
    <n v="0"/>
    <x v="17"/>
    <s v="Married"/>
    <s v="Basic"/>
    <s v="2/12/2019"/>
    <s v="Illinois"/>
    <n v="29"/>
    <n v="10"/>
    <n v="10"/>
    <n v="53"/>
    <n v="199"/>
    <n v="34"/>
    <n v="53"/>
    <n v="252"/>
    <n v="1"/>
    <n v="2"/>
    <n v="0"/>
    <n v="3"/>
    <n v="8"/>
    <n v="0"/>
    <n v="0"/>
    <n v="0"/>
    <n v="0"/>
    <n v="0"/>
    <n v="0"/>
    <n v="0"/>
  </r>
  <r>
    <n v="1814"/>
    <n v="125130"/>
    <n v="1"/>
    <n v="0"/>
    <x v="17"/>
    <s v="Together"/>
    <s v="Graduate"/>
    <s v="3/8/2020"/>
    <s v="New York"/>
    <n v="10"/>
    <n v="10"/>
    <n v="25"/>
    <n v="35"/>
    <n v="0"/>
    <n v="90"/>
    <n v="90"/>
    <n v="70"/>
    <n v="2"/>
    <n v="2"/>
    <n v="0"/>
    <n v="3"/>
    <n v="7"/>
    <n v="0"/>
    <n v="0"/>
    <n v="0"/>
    <n v="0"/>
    <n v="0"/>
    <n v="0"/>
    <n v="0"/>
  </r>
  <r>
    <n v="2459"/>
    <n v="119107"/>
    <n v="1"/>
    <n v="0"/>
    <x v="17"/>
    <s v="Married"/>
    <s v="Graduate"/>
    <s v="1/27/2020"/>
    <s v="California"/>
    <n v="49"/>
    <n v="12"/>
    <n v="25"/>
    <n v="56"/>
    <n v="62"/>
    <n v="31"/>
    <n v="100"/>
    <n v="87"/>
    <n v="2"/>
    <n v="1"/>
    <n v="0"/>
    <n v="3"/>
    <n v="7"/>
    <n v="0"/>
    <n v="0"/>
    <n v="0"/>
    <n v="0"/>
    <n v="0"/>
    <n v="0"/>
    <n v="0"/>
  </r>
  <r>
    <n v="3101"/>
    <n v="116005"/>
    <n v="1"/>
    <n v="0"/>
    <x v="17"/>
    <s v="Married"/>
    <s v="Basic"/>
    <s v="1/19/2019"/>
    <s v="California"/>
    <n v="69"/>
    <n v="7"/>
    <n v="22"/>
    <n v="14"/>
    <n v="145"/>
    <n v="217"/>
    <n v="341"/>
    <n v="65"/>
    <n v="3"/>
    <n v="2"/>
    <n v="1"/>
    <n v="2"/>
    <n v="8"/>
    <n v="0"/>
    <n v="0"/>
    <n v="0"/>
    <n v="0"/>
    <n v="0"/>
    <n v="0"/>
    <n v="0"/>
  </r>
  <r>
    <n v="1830"/>
    <n v="115072"/>
    <n v="2"/>
    <n v="0"/>
    <x v="17"/>
    <s v="Married"/>
    <s v="Graduate"/>
    <s v="10/15/2019"/>
    <s v="Florida"/>
    <n v="96"/>
    <n v="61"/>
    <n v="15"/>
    <n v="115"/>
    <n v="0"/>
    <n v="76"/>
    <n v="137"/>
    <n v="130"/>
    <n v="4"/>
    <n v="3"/>
    <n v="1"/>
    <n v="3"/>
    <n v="5"/>
    <n v="0"/>
    <n v="0"/>
    <n v="0"/>
    <n v="0"/>
    <n v="0"/>
    <n v="0"/>
    <n v="0"/>
  </r>
  <r>
    <n v="1383"/>
    <n v="114515"/>
    <n v="1"/>
    <n v="0"/>
    <x v="17"/>
    <s v="Together"/>
    <s v="Graduate"/>
    <s v="4/16/2019"/>
    <s v="Texas"/>
    <n v="71"/>
    <n v="47"/>
    <n v="32"/>
    <n v="71"/>
    <n v="47"/>
    <n v="284"/>
    <n v="276"/>
    <n v="205"/>
    <n v="4"/>
    <n v="2"/>
    <n v="2"/>
    <n v="3"/>
    <n v="7"/>
    <n v="0"/>
    <n v="1"/>
    <n v="0"/>
    <n v="0"/>
    <n v="0"/>
    <n v="0"/>
    <n v="0"/>
  </r>
  <r>
    <n v="1374"/>
    <n v="190300"/>
    <n v="0"/>
    <n v="0"/>
    <x v="18"/>
    <s v="Together"/>
    <s v="Graduate"/>
    <s v="6/9/2020"/>
    <s v="Florida"/>
    <n v="7"/>
    <n v="1252"/>
    <n v="282"/>
    <n v="1656"/>
    <n v="70"/>
    <n v="282"/>
    <n v="120"/>
    <n v="3422"/>
    <n v="0"/>
    <n v="5"/>
    <n v="6"/>
    <n v="8"/>
    <n v="1"/>
    <n v="0"/>
    <n v="0"/>
    <n v="0"/>
    <n v="0"/>
    <n v="0"/>
    <n v="0"/>
    <n v="1"/>
  </r>
  <r>
    <n v="1063"/>
    <n v="188194"/>
    <n v="0"/>
    <n v="1"/>
    <x v="18"/>
    <s v="Single"/>
    <s v="Graduate"/>
    <s v="8/23/2020"/>
    <s v="Illinois"/>
    <n v="19"/>
    <n v="1468"/>
    <n v="30"/>
    <n v="659"/>
    <n v="429"/>
    <n v="51"/>
    <n v="81"/>
    <n v="2556"/>
    <n v="1"/>
    <n v="11"/>
    <n v="10"/>
    <n v="10"/>
    <n v="5"/>
    <n v="0"/>
    <n v="1"/>
    <n v="1"/>
    <n v="0"/>
    <n v="1"/>
    <n v="0"/>
    <n v="0"/>
  </r>
  <r>
    <n v="1094"/>
    <n v="185693"/>
    <n v="0"/>
    <n v="1"/>
    <x v="18"/>
    <s v="Together"/>
    <s v="Graduate"/>
    <s v="9/25/2019"/>
    <s v="New York"/>
    <n v="59"/>
    <n v="836"/>
    <n v="373"/>
    <n v="397"/>
    <n v="401"/>
    <n v="286"/>
    <n v="241"/>
    <n v="2052"/>
    <n v="2"/>
    <n v="9"/>
    <n v="5"/>
    <n v="11"/>
    <n v="5"/>
    <n v="0"/>
    <n v="0"/>
    <n v="0"/>
    <n v="0"/>
    <n v="0"/>
    <n v="0"/>
    <n v="0"/>
  </r>
  <r>
    <n v="1991"/>
    <n v="177568"/>
    <n v="0"/>
    <n v="1"/>
    <x v="18"/>
    <s v="Together"/>
    <s v="Graduate"/>
    <s v="1/30/2019"/>
    <s v="California"/>
    <n v="30"/>
    <n v="2816"/>
    <n v="0"/>
    <n v="907"/>
    <n v="531"/>
    <n v="407"/>
    <n v="362"/>
    <n v="4299"/>
    <n v="1"/>
    <n v="10"/>
    <n v="2"/>
    <n v="8"/>
    <n v="5"/>
    <n v="0"/>
    <n v="0"/>
    <n v="1"/>
    <n v="0"/>
    <n v="0"/>
    <n v="1"/>
    <n v="1"/>
  </r>
  <r>
    <n v="1102"/>
    <n v="177298"/>
    <n v="0"/>
    <n v="1"/>
    <x v="18"/>
    <s v="Together"/>
    <s v="Graduate"/>
    <s v="4/8/2020"/>
    <s v="Other"/>
    <n v="46"/>
    <n v="975"/>
    <n v="264"/>
    <n v="670"/>
    <n v="53"/>
    <n v="80"/>
    <n v="181"/>
    <n v="1860"/>
    <n v="1"/>
    <n v="6"/>
    <n v="6"/>
    <n v="11"/>
    <n v="3"/>
    <n v="0"/>
    <n v="0"/>
    <n v="0"/>
    <n v="0"/>
    <n v="0"/>
    <n v="0"/>
    <n v="0"/>
  </r>
  <r>
    <n v="2764"/>
    <n v="177298"/>
    <n v="0"/>
    <n v="1"/>
    <x v="18"/>
    <s v="Together"/>
    <s v="Graduate"/>
    <s v="4/8/2020"/>
    <s v="Other"/>
    <n v="46"/>
    <n v="975"/>
    <n v="264"/>
    <n v="670"/>
    <n v="53"/>
    <n v="80"/>
    <n v="181"/>
    <n v="1860"/>
    <n v="1"/>
    <n v="6"/>
    <n v="6"/>
    <n v="11"/>
    <n v="3"/>
    <n v="0"/>
    <n v="0"/>
    <n v="0"/>
    <n v="0"/>
    <n v="0"/>
    <n v="0"/>
    <n v="0"/>
  </r>
  <r>
    <n v="1735"/>
    <n v="175507"/>
    <n v="0"/>
    <n v="0"/>
    <x v="18"/>
    <s v="Together"/>
    <s v="Graduate"/>
    <s v="10/6/2020"/>
    <s v="Illinois"/>
    <n v="56"/>
    <n v="1648"/>
    <n v="216"/>
    <n v="869"/>
    <n v="242"/>
    <n v="186"/>
    <n v="186"/>
    <n v="2975"/>
    <n v="1"/>
    <n v="8"/>
    <n v="6"/>
    <n v="6"/>
    <n v="3"/>
    <n v="0"/>
    <n v="0"/>
    <n v="0"/>
    <n v="0"/>
    <n v="0"/>
    <n v="0"/>
    <n v="0"/>
  </r>
  <r>
    <n v="2365"/>
    <n v="175507"/>
    <n v="0"/>
    <n v="0"/>
    <x v="18"/>
    <s v="Together"/>
    <s v="Graduate"/>
    <s v="10/6/2020"/>
    <s v="Illinois"/>
    <n v="56"/>
    <n v="1648"/>
    <n v="216"/>
    <n v="869"/>
    <n v="242"/>
    <n v="186"/>
    <n v="186"/>
    <n v="2975"/>
    <n v="1"/>
    <n v="8"/>
    <n v="6"/>
    <n v="6"/>
    <n v="3"/>
    <n v="0"/>
    <n v="0"/>
    <n v="0"/>
    <n v="0"/>
    <n v="0"/>
    <n v="0"/>
    <n v="0"/>
  </r>
  <r>
    <n v="1751"/>
    <n v="172063"/>
    <n v="0"/>
    <n v="1"/>
    <x v="18"/>
    <s v="Married"/>
    <s v="Graduate"/>
    <s v="12/8/2019"/>
    <s v="California"/>
    <n v="3"/>
    <n v="430"/>
    <n v="76"/>
    <n v="831"/>
    <n v="181"/>
    <n v="76"/>
    <n v="215"/>
    <n v="1380"/>
    <n v="2"/>
    <n v="5"/>
    <n v="2"/>
    <n v="12"/>
    <n v="2"/>
    <n v="0"/>
    <n v="0"/>
    <n v="0"/>
    <n v="0"/>
    <n v="0"/>
    <n v="0"/>
    <n v="0"/>
  </r>
  <r>
    <n v="2284"/>
    <n v="171626"/>
    <n v="0"/>
    <n v="0"/>
    <x v="18"/>
    <s v="Married"/>
    <s v="Graduate"/>
    <s v="4/8/2019"/>
    <s v="Other"/>
    <n v="94"/>
    <n v="1308"/>
    <n v="173"/>
    <n v="901"/>
    <n v="225"/>
    <n v="347"/>
    <n v="173"/>
    <n v="2782"/>
    <n v="1"/>
    <n v="5"/>
    <n v="5"/>
    <n v="8"/>
    <n v="3"/>
    <n v="0"/>
    <n v="0"/>
    <n v="0"/>
    <n v="0"/>
    <n v="0"/>
    <n v="1"/>
    <n v="0"/>
  </r>
  <r>
    <n v="1659"/>
    <n v="170337"/>
    <n v="0"/>
    <n v="0"/>
    <x v="18"/>
    <s v="Single"/>
    <s v="Graduate"/>
    <s v="6/8/2020"/>
    <s v="Texas"/>
    <n v="75"/>
    <n v="453"/>
    <n v="196"/>
    <n v="361"/>
    <n v="61"/>
    <n v="104"/>
    <n v="220"/>
    <n v="954"/>
    <n v="1"/>
    <n v="2"/>
    <n v="2"/>
    <n v="12"/>
    <n v="1"/>
    <n v="0"/>
    <n v="0"/>
    <n v="0"/>
    <n v="0"/>
    <n v="0"/>
    <n v="0"/>
    <n v="0"/>
  </r>
  <r>
    <n v="1928"/>
    <n v="168274"/>
    <n v="1"/>
    <n v="1"/>
    <x v="18"/>
    <s v="Divorced"/>
    <s v="Graduate"/>
    <s v="3/6/2020"/>
    <s v="New York"/>
    <n v="83"/>
    <n v="333"/>
    <n v="62"/>
    <n v="126"/>
    <n v="57"/>
    <n v="62"/>
    <n v="113"/>
    <n v="525"/>
    <n v="2"/>
    <n v="4"/>
    <n v="2"/>
    <n v="5"/>
    <n v="3"/>
    <n v="0"/>
    <n v="0"/>
    <n v="0"/>
    <n v="0"/>
    <n v="0"/>
    <n v="0"/>
    <n v="0"/>
  </r>
  <r>
    <n v="3194"/>
    <n v="163777"/>
    <n v="1"/>
    <n v="1"/>
    <x v="18"/>
    <s v="Married"/>
    <s v="Graduate"/>
    <s v="8/29/2019"/>
    <s v="New York"/>
    <n v="87"/>
    <n v="1174"/>
    <n v="13"/>
    <n v="272"/>
    <n v="39"/>
    <n v="44"/>
    <n v="136"/>
    <n v="1405"/>
    <n v="8"/>
    <n v="11"/>
    <n v="1"/>
    <n v="6"/>
    <n v="8"/>
    <n v="0"/>
    <n v="0"/>
    <n v="0"/>
    <n v="0"/>
    <n v="0"/>
    <n v="0"/>
    <n v="0"/>
  </r>
  <r>
    <n v="1375"/>
    <n v="162499"/>
    <n v="1"/>
    <n v="0"/>
    <x v="18"/>
    <s v="Together"/>
    <s v="Master"/>
    <s v="5/15/2020"/>
    <s v="Illinois"/>
    <n v="0"/>
    <n v="364"/>
    <n v="10"/>
    <n v="159"/>
    <n v="0"/>
    <n v="34"/>
    <n v="10"/>
    <n v="556"/>
    <n v="2"/>
    <n v="3"/>
    <n v="1"/>
    <n v="6"/>
    <n v="4"/>
    <n v="0"/>
    <n v="0"/>
    <n v="0"/>
    <n v="0"/>
    <n v="0"/>
    <n v="0"/>
    <n v="0"/>
  </r>
  <r>
    <n v="2076"/>
    <n v="161825"/>
    <n v="0"/>
    <n v="1"/>
    <x v="18"/>
    <s v="Single"/>
    <s v="Graduate"/>
    <s v="1/12/2020"/>
    <s v="Florida"/>
    <n v="56"/>
    <n v="424"/>
    <n v="131"/>
    <n v="262"/>
    <n v="144"/>
    <n v="79"/>
    <n v="71"/>
    <n v="968"/>
    <n v="1"/>
    <n v="4"/>
    <n v="2"/>
    <n v="8"/>
    <n v="4"/>
    <n v="0"/>
    <n v="0"/>
    <n v="0"/>
    <n v="0"/>
    <n v="0"/>
    <n v="0"/>
    <n v="0"/>
  </r>
  <r>
    <n v="2837"/>
    <n v="161825"/>
    <n v="0"/>
    <n v="1"/>
    <x v="18"/>
    <s v="Single"/>
    <s v="Graduate"/>
    <s v="1/12/2020"/>
    <s v="California"/>
    <n v="56"/>
    <n v="424"/>
    <n v="131"/>
    <n v="262"/>
    <n v="144"/>
    <n v="79"/>
    <n v="71"/>
    <n v="968"/>
    <n v="1"/>
    <n v="4"/>
    <n v="2"/>
    <n v="8"/>
    <n v="4"/>
    <n v="0"/>
    <n v="0"/>
    <n v="0"/>
    <n v="0"/>
    <n v="0"/>
    <n v="0"/>
    <n v="0"/>
  </r>
  <r>
    <n v="2763"/>
    <n v="160839"/>
    <n v="1"/>
    <n v="1"/>
    <x v="18"/>
    <s v="Together"/>
    <s v="Graduate"/>
    <s v="2/2/2019"/>
    <s v="Texas"/>
    <n v="72"/>
    <n v="1586"/>
    <n v="56"/>
    <n v="338"/>
    <n v="590"/>
    <n v="397"/>
    <n v="338"/>
    <n v="2628"/>
    <n v="13"/>
    <n v="2"/>
    <n v="2"/>
    <n v="12"/>
    <n v="8"/>
    <n v="0"/>
    <n v="0"/>
    <n v="0"/>
    <n v="0"/>
    <n v="0"/>
    <n v="0"/>
    <n v="0"/>
  </r>
  <r>
    <n v="1836"/>
    <n v="160474"/>
    <n v="0"/>
    <n v="1"/>
    <x v="18"/>
    <s v="Single"/>
    <s v="Graduate"/>
    <s v="9/6/2019"/>
    <s v="Florida"/>
    <n v="25"/>
    <n v="703"/>
    <n v="528"/>
    <n v="804"/>
    <n v="621"/>
    <n v="24"/>
    <n v="451"/>
    <n v="2229"/>
    <n v="7"/>
    <n v="10"/>
    <n v="2"/>
    <n v="12"/>
    <n v="7"/>
    <n v="0"/>
    <n v="0"/>
    <n v="0"/>
    <n v="0"/>
    <n v="0"/>
    <n v="0"/>
    <n v="0"/>
  </r>
  <r>
    <n v="2456"/>
    <n v="160474"/>
    <n v="0"/>
    <n v="1"/>
    <x v="18"/>
    <s v="Single"/>
    <s v="Graduate"/>
    <s v="9/6/2019"/>
    <s v="New York"/>
    <n v="25"/>
    <n v="703"/>
    <n v="528"/>
    <n v="804"/>
    <n v="621"/>
    <n v="24"/>
    <n v="451"/>
    <n v="2229"/>
    <n v="7"/>
    <n v="10"/>
    <n v="2"/>
    <n v="12"/>
    <n v="7"/>
    <n v="0"/>
    <n v="0"/>
    <n v="0"/>
    <n v="0"/>
    <n v="0"/>
    <n v="0"/>
    <n v="0"/>
  </r>
  <r>
    <n v="1495"/>
    <n v="160152"/>
    <n v="0"/>
    <n v="1"/>
    <x v="18"/>
    <s v="Single"/>
    <s v="Graduate"/>
    <s v="9/2/2019"/>
    <s v="Illinois"/>
    <n v="6"/>
    <n v="865"/>
    <n v="221"/>
    <n v="799"/>
    <n v="229"/>
    <n v="154"/>
    <n v="242"/>
    <n v="2026"/>
    <n v="1"/>
    <n v="6"/>
    <n v="4"/>
    <n v="12"/>
    <n v="3"/>
    <n v="0"/>
    <n v="0"/>
    <n v="0"/>
    <n v="0"/>
    <n v="0"/>
    <n v="0"/>
    <n v="0"/>
  </r>
  <r>
    <n v="3188"/>
    <n v="158025"/>
    <n v="0"/>
    <n v="1"/>
    <x v="18"/>
    <s v="Married"/>
    <s v="Graduate"/>
    <s v="5/2/2020"/>
    <s v="New York"/>
    <n v="81"/>
    <n v="735"/>
    <n v="84"/>
    <n v="240"/>
    <n v="30"/>
    <n v="131"/>
    <n v="60"/>
    <n v="1160"/>
    <n v="3"/>
    <n v="3"/>
    <n v="2"/>
    <n v="10"/>
    <n v="4"/>
    <n v="0"/>
    <n v="0"/>
    <n v="0"/>
    <n v="0"/>
    <n v="0"/>
    <n v="0"/>
    <n v="0"/>
  </r>
  <r>
    <n v="2391"/>
    <n v="157537"/>
    <n v="1"/>
    <n v="0"/>
    <x v="18"/>
    <s v="Single"/>
    <s v="Graduate"/>
    <s v="11/15/2019"/>
    <s v="Texas"/>
    <n v="83"/>
    <n v="523"/>
    <n v="153"/>
    <n v="381"/>
    <n v="140"/>
    <n v="22"/>
    <n v="274"/>
    <n v="945"/>
    <n v="4"/>
    <n v="4"/>
    <n v="3"/>
    <n v="8"/>
    <n v="4"/>
    <n v="0"/>
    <n v="0"/>
    <n v="0"/>
    <n v="0"/>
    <n v="0"/>
    <n v="0"/>
    <n v="0"/>
  </r>
  <r>
    <n v="3209"/>
    <n v="157313"/>
    <n v="1"/>
    <n v="1"/>
    <x v="18"/>
    <s v="Married"/>
    <s v="Graduate"/>
    <s v="8/29/2019"/>
    <s v="California"/>
    <n v="87"/>
    <n v="1254"/>
    <n v="14"/>
    <n v="291"/>
    <n v="41"/>
    <n v="47"/>
    <n v="145"/>
    <n v="1501"/>
    <n v="8"/>
    <n v="11"/>
    <n v="1"/>
    <n v="6"/>
    <n v="8"/>
    <n v="0"/>
    <n v="0"/>
    <n v="0"/>
    <n v="0"/>
    <n v="0"/>
    <n v="0"/>
    <n v="0"/>
  </r>
  <r>
    <n v="2080"/>
    <n v="156775"/>
    <n v="0"/>
    <n v="1"/>
    <x v="18"/>
    <s v="Married"/>
    <s v="Graduate"/>
    <s v="6/9/2019"/>
    <s v="Other"/>
    <n v="62"/>
    <n v="1695"/>
    <n v="97"/>
    <n v="442"/>
    <n v="160"/>
    <n v="97"/>
    <n v="97"/>
    <n v="2394"/>
    <n v="2"/>
    <n v="5"/>
    <n v="8"/>
    <n v="10"/>
    <n v="5"/>
    <n v="0"/>
    <n v="0"/>
    <n v="0"/>
    <n v="0"/>
    <n v="0"/>
    <n v="0"/>
    <n v="0"/>
  </r>
  <r>
    <n v="2082"/>
    <n v="154210"/>
    <n v="0"/>
    <n v="1"/>
    <x v="18"/>
    <s v="Married"/>
    <s v="Graduate"/>
    <s v="10/25/2019"/>
    <s v="Florida"/>
    <n v="18"/>
    <n v="199"/>
    <n v="154"/>
    <n v="310"/>
    <n v="228"/>
    <n v="26"/>
    <n v="128"/>
    <n v="788"/>
    <n v="2"/>
    <n v="4"/>
    <n v="1"/>
    <n v="7"/>
    <n v="5"/>
    <n v="0"/>
    <n v="0"/>
    <n v="0"/>
    <n v="0"/>
    <n v="0"/>
    <n v="0"/>
    <n v="0"/>
  </r>
  <r>
    <n v="2104"/>
    <n v="148526"/>
    <n v="1"/>
    <n v="0"/>
    <x v="18"/>
    <s v="Single"/>
    <s v="Graduate"/>
    <s v="5/30/2020"/>
    <s v="Other"/>
    <n v="32"/>
    <n v="70"/>
    <n v="52"/>
    <n v="70"/>
    <n v="132"/>
    <n v="61"/>
    <n v="28"/>
    <n v="358"/>
    <n v="1"/>
    <n v="2"/>
    <n v="1"/>
    <n v="4"/>
    <n v="3"/>
    <n v="0"/>
    <n v="0"/>
    <n v="0"/>
    <n v="0"/>
    <n v="0"/>
    <n v="0"/>
    <n v="0"/>
  </r>
  <r>
    <n v="1552"/>
    <n v="147691"/>
    <n v="0"/>
    <n v="1"/>
    <x v="18"/>
    <s v="Single"/>
    <s v="Graduate"/>
    <s v="12/10/2019"/>
    <s v="Other"/>
    <n v="43"/>
    <n v="43"/>
    <n v="0"/>
    <n v="9"/>
    <n v="0"/>
    <n v="0"/>
    <n v="12"/>
    <n v="40"/>
    <n v="1"/>
    <n v="1"/>
    <n v="0"/>
    <n v="2"/>
    <n v="6"/>
    <n v="0"/>
    <n v="0"/>
    <n v="0"/>
    <n v="0"/>
    <n v="0"/>
    <n v="0"/>
    <n v="0"/>
  </r>
  <r>
    <n v="3018"/>
    <n v="145057"/>
    <n v="1"/>
    <n v="0"/>
    <x v="18"/>
    <s v="Married"/>
    <s v="Master"/>
    <s v="5/7/2020"/>
    <s v="Florida"/>
    <n v="80"/>
    <n v="119"/>
    <n v="0"/>
    <n v="23"/>
    <n v="10"/>
    <n v="0"/>
    <n v="10"/>
    <n v="142"/>
    <n v="1"/>
    <n v="2"/>
    <n v="0"/>
    <n v="3"/>
    <n v="5"/>
    <n v="0"/>
    <n v="0"/>
    <n v="0"/>
    <n v="0"/>
    <n v="0"/>
    <n v="0"/>
    <n v="0"/>
  </r>
  <r>
    <n v="1739"/>
    <n v="140662"/>
    <n v="1"/>
    <n v="0"/>
    <x v="18"/>
    <s v="Married"/>
    <s v="Master"/>
    <s v="8/20/2019"/>
    <s v="California"/>
    <n v="0"/>
    <n v="138"/>
    <n v="7"/>
    <n v="80"/>
    <n v="0"/>
    <n v="14"/>
    <n v="80"/>
    <n v="159"/>
    <n v="2"/>
    <n v="2"/>
    <n v="1"/>
    <n v="3"/>
    <n v="4"/>
    <n v="0"/>
    <n v="0"/>
    <n v="0"/>
    <n v="0"/>
    <n v="0"/>
    <n v="0"/>
    <n v="0"/>
  </r>
  <r>
    <n v="2953"/>
    <n v="136781"/>
    <n v="1"/>
    <n v="0"/>
    <x v="18"/>
    <s v="Married"/>
    <s v="Graduate"/>
    <s v="9/14/2020"/>
    <s v="Illinois"/>
    <n v="16"/>
    <n v="108"/>
    <n v="4"/>
    <n v="63"/>
    <n v="0"/>
    <n v="11"/>
    <n v="48"/>
    <n v="138"/>
    <n v="1"/>
    <n v="2"/>
    <n v="1"/>
    <n v="2"/>
    <n v="8"/>
    <n v="0"/>
    <n v="1"/>
    <n v="0"/>
    <n v="0"/>
    <n v="0"/>
    <n v="0"/>
    <n v="0"/>
  </r>
  <r>
    <n v="3042"/>
    <n v="134350"/>
    <n v="1"/>
    <n v="0"/>
    <x v="18"/>
    <s v="Together"/>
    <s v="Graduate"/>
    <s v="3/25/2020"/>
    <s v="Florida"/>
    <n v="81"/>
    <n v="63"/>
    <n v="12"/>
    <n v="59"/>
    <n v="8"/>
    <n v="4"/>
    <n v="43"/>
    <n v="102"/>
    <n v="1"/>
    <n v="1"/>
    <n v="0"/>
    <n v="3"/>
    <n v="7"/>
    <n v="0"/>
    <n v="0"/>
    <n v="0"/>
    <n v="0"/>
    <n v="0"/>
    <n v="0"/>
    <n v="0"/>
  </r>
  <r>
    <n v="1963"/>
    <n v="133462"/>
    <n v="1"/>
    <n v="0"/>
    <x v="18"/>
    <s v="Divorced"/>
    <s v="Master"/>
    <s v="1/12/2020"/>
    <s v="Illinois"/>
    <n v="78"/>
    <n v="88"/>
    <n v="12"/>
    <n v="72"/>
    <n v="0"/>
    <n v="0"/>
    <n v="44"/>
    <n v="128"/>
    <n v="1"/>
    <n v="2"/>
    <n v="0"/>
    <n v="3"/>
    <n v="7"/>
    <n v="0"/>
    <n v="0"/>
    <n v="0"/>
    <n v="0"/>
    <n v="0"/>
    <n v="0"/>
    <n v="0"/>
  </r>
  <r>
    <n v="3000"/>
    <n v="132765"/>
    <n v="1"/>
    <n v="0"/>
    <x v="18"/>
    <s v="Married"/>
    <s v="Master"/>
    <s v="7/30/2020"/>
    <s v="Florida"/>
    <n v="49"/>
    <n v="53"/>
    <n v="12"/>
    <n v="69"/>
    <n v="28"/>
    <n v="12"/>
    <n v="12"/>
    <n v="162"/>
    <n v="2"/>
    <n v="2"/>
    <n v="0"/>
    <n v="4"/>
    <n v="5"/>
    <n v="0"/>
    <n v="0"/>
    <n v="0"/>
    <n v="0"/>
    <n v="0"/>
    <n v="0"/>
    <n v="0"/>
  </r>
  <r>
    <n v="2102"/>
    <n v="131605"/>
    <n v="1"/>
    <n v="0"/>
    <x v="18"/>
    <s v="Married"/>
    <s v="PhD"/>
    <s v="4/29/2019"/>
    <s v="New York"/>
    <n v="15"/>
    <n v="308"/>
    <n v="0"/>
    <n v="175"/>
    <n v="8"/>
    <n v="4"/>
    <n v="25"/>
    <n v="471"/>
    <n v="2"/>
    <n v="2"/>
    <n v="1"/>
    <n v="4"/>
    <n v="7"/>
    <n v="0"/>
    <n v="0"/>
    <n v="0"/>
    <n v="0"/>
    <n v="0"/>
    <n v="0"/>
    <n v="0"/>
  </r>
  <r>
    <n v="2411"/>
    <n v="131086"/>
    <n v="1"/>
    <n v="1"/>
    <x v="18"/>
    <s v="Married"/>
    <s v="Graduate"/>
    <s v="10/9/2019"/>
    <s v="California"/>
    <n v="79"/>
    <n v="67"/>
    <n v="8"/>
    <n v="46"/>
    <n v="13"/>
    <n v="0"/>
    <n v="67"/>
    <n v="67"/>
    <n v="2"/>
    <n v="1"/>
    <n v="1"/>
    <n v="2"/>
    <n v="8"/>
    <n v="0"/>
    <n v="0"/>
    <n v="0"/>
    <n v="0"/>
    <n v="1"/>
    <n v="0"/>
    <n v="0"/>
  </r>
  <r>
    <n v="1850"/>
    <n v="130545"/>
    <n v="1"/>
    <n v="0"/>
    <x v="18"/>
    <s v="Together"/>
    <s v="Graduate"/>
    <s v="3/24/2019"/>
    <s v="New York"/>
    <n v="71"/>
    <n v="17"/>
    <n v="51"/>
    <n v="64"/>
    <n v="81"/>
    <n v="30"/>
    <n v="51"/>
    <n v="192"/>
    <n v="2"/>
    <n v="2"/>
    <n v="0"/>
    <n v="3"/>
    <n v="7"/>
    <n v="0"/>
    <n v="0"/>
    <n v="0"/>
    <n v="0"/>
    <n v="0"/>
    <n v="0"/>
    <n v="0"/>
  </r>
  <r>
    <n v="1931"/>
    <n v="127922"/>
    <n v="1"/>
    <n v="0"/>
    <x v="18"/>
    <s v="Together"/>
    <s v="PhD"/>
    <s v="10/14/2020"/>
    <s v="California"/>
    <n v="80"/>
    <n v="50"/>
    <n v="0"/>
    <n v="60"/>
    <n v="9"/>
    <n v="18"/>
    <n v="50"/>
    <n v="87"/>
    <n v="1"/>
    <n v="2"/>
    <n v="0"/>
    <n v="3"/>
    <n v="4"/>
    <n v="0"/>
    <n v="0"/>
    <n v="0"/>
    <n v="0"/>
    <n v="0"/>
    <n v="0"/>
    <n v="0"/>
  </r>
  <r>
    <n v="2310"/>
    <n v="127244"/>
    <n v="1"/>
    <n v="0"/>
    <x v="18"/>
    <s v="Married"/>
    <s v="Graduate"/>
    <s v="8/11/2020"/>
    <s v="Florida"/>
    <n v="84"/>
    <n v="28"/>
    <n v="23"/>
    <n v="79"/>
    <n v="14"/>
    <n v="112"/>
    <n v="215"/>
    <n v="42"/>
    <n v="2"/>
    <n v="2"/>
    <n v="2"/>
    <n v="2"/>
    <n v="7"/>
    <n v="0"/>
    <n v="0"/>
    <n v="0"/>
    <n v="0"/>
    <n v="0"/>
    <n v="0"/>
    <n v="0"/>
  </r>
  <r>
    <n v="1097"/>
    <n v="124594"/>
    <n v="1"/>
    <n v="0"/>
    <x v="18"/>
    <s v="Together"/>
    <s v="Basic"/>
    <s v="5/16/2020"/>
    <s v="California"/>
    <n v="94"/>
    <n v="5"/>
    <n v="15"/>
    <n v="30"/>
    <n v="51"/>
    <n v="0"/>
    <n v="46"/>
    <n v="56"/>
    <n v="1"/>
    <n v="1"/>
    <n v="0"/>
    <n v="3"/>
    <n v="5"/>
    <n v="0"/>
    <n v="0"/>
    <n v="0"/>
    <n v="0"/>
    <n v="0"/>
    <n v="0"/>
    <n v="0"/>
  </r>
  <r>
    <n v="2619"/>
    <n v="124594"/>
    <n v="1"/>
    <n v="0"/>
    <x v="18"/>
    <s v="Together"/>
    <s v="Basic"/>
    <s v="5/16/2020"/>
    <s v="Texas"/>
    <n v="94"/>
    <n v="5"/>
    <n v="15"/>
    <n v="30"/>
    <n v="51"/>
    <n v="0"/>
    <n v="46"/>
    <n v="56"/>
    <n v="1"/>
    <n v="1"/>
    <n v="0"/>
    <n v="3"/>
    <n v="5"/>
    <n v="0"/>
    <n v="0"/>
    <n v="0"/>
    <n v="0"/>
    <n v="0"/>
    <n v="0"/>
    <n v="0"/>
  </r>
  <r>
    <n v="1906"/>
    <n v="124401"/>
    <n v="0"/>
    <n v="0"/>
    <x v="18"/>
    <s v="Together"/>
    <s v="Master"/>
    <s v="2/5/2019"/>
    <s v="Other"/>
    <n v="98"/>
    <n v="372"/>
    <n v="143"/>
    <n v="1106"/>
    <n v="51"/>
    <n v="122"/>
    <n v="586"/>
    <n v="1208"/>
    <n v="3"/>
    <n v="6"/>
    <n v="1"/>
    <n v="6"/>
    <n v="8"/>
    <n v="0"/>
    <n v="0"/>
    <n v="0"/>
    <n v="0"/>
    <n v="0"/>
    <n v="0"/>
    <n v="0"/>
  </r>
  <r>
    <n v="2155"/>
    <n v="123724"/>
    <n v="1"/>
    <n v="0"/>
    <x v="18"/>
    <s v="Together"/>
    <s v="Basic"/>
    <s v="6/15/2019"/>
    <s v="Illinois"/>
    <n v="65"/>
    <n v="26"/>
    <n v="120"/>
    <n v="78"/>
    <n v="0"/>
    <n v="94"/>
    <n v="73"/>
    <n v="245"/>
    <n v="2"/>
    <n v="2"/>
    <n v="0"/>
    <n v="3"/>
    <n v="8"/>
    <n v="0"/>
    <n v="0"/>
    <n v="0"/>
    <n v="0"/>
    <n v="0"/>
    <n v="0"/>
    <n v="0"/>
  </r>
  <r>
    <n v="2418"/>
    <n v="121645"/>
    <n v="1"/>
    <n v="0"/>
    <x v="18"/>
    <s v="Together"/>
    <s v="Graduate"/>
    <s v="2/8/2019"/>
    <s v="Florida"/>
    <n v="75"/>
    <n v="79"/>
    <n v="0"/>
    <n v="129"/>
    <n v="22"/>
    <n v="28"/>
    <n v="107"/>
    <n v="152"/>
    <n v="3"/>
    <n v="3"/>
    <n v="0"/>
    <n v="3"/>
    <n v="9"/>
    <n v="0"/>
    <n v="1"/>
    <n v="0"/>
    <n v="0"/>
    <n v="0"/>
    <n v="0"/>
    <n v="0"/>
  </r>
  <r>
    <n v="2755"/>
    <n v="120194"/>
    <n v="1"/>
    <n v="0"/>
    <x v="18"/>
    <s v="Single"/>
    <s v="Basic"/>
    <s v="5/24/2019"/>
    <s v="Illinois"/>
    <n v="64"/>
    <n v="0"/>
    <n v="24"/>
    <n v="42"/>
    <n v="65"/>
    <n v="60"/>
    <n v="89"/>
    <n v="101"/>
    <n v="2"/>
    <n v="2"/>
    <n v="0"/>
    <n v="3"/>
    <n v="6"/>
    <n v="0"/>
    <n v="0"/>
    <n v="0"/>
    <n v="0"/>
    <n v="0"/>
    <n v="0"/>
    <n v="0"/>
  </r>
  <r>
    <n v="2695"/>
    <n v="117688"/>
    <n v="1"/>
    <n v="0"/>
    <x v="18"/>
    <s v="Married"/>
    <s v="Graduate"/>
    <s v="6/20/2019"/>
    <s v="Illinois"/>
    <n v="82"/>
    <n v="13"/>
    <n v="13"/>
    <n v="7"/>
    <n v="20"/>
    <n v="7"/>
    <n v="13"/>
    <n v="47"/>
    <n v="1"/>
    <n v="1"/>
    <n v="0"/>
    <n v="2"/>
    <n v="8"/>
    <n v="1"/>
    <n v="0"/>
    <n v="0"/>
    <n v="0"/>
    <n v="0"/>
    <n v="0"/>
    <n v="0"/>
  </r>
  <r>
    <n v="2700"/>
    <n v="116653"/>
    <n v="1"/>
    <n v="0"/>
    <x v="18"/>
    <s v="Single"/>
    <s v="Master"/>
    <s v="9/22/2020"/>
    <s v="Florida"/>
    <n v="10"/>
    <n v="35"/>
    <n v="49"/>
    <n v="217"/>
    <n v="105"/>
    <n v="28"/>
    <n v="49"/>
    <n v="385"/>
    <n v="3"/>
    <n v="2"/>
    <n v="1"/>
    <n v="3"/>
    <n v="6"/>
    <n v="0"/>
    <n v="1"/>
    <n v="0"/>
    <n v="0"/>
    <n v="0"/>
    <n v="0"/>
    <n v="0"/>
  </r>
  <r>
    <n v="2730"/>
    <n v="116014"/>
    <n v="1"/>
    <n v="1"/>
    <x v="18"/>
    <s v="Single"/>
    <s v="Basic"/>
    <s v="8/22/2019"/>
    <s v="Florida"/>
    <n v="42"/>
    <n v="22"/>
    <n v="65"/>
    <n v="29"/>
    <n v="51"/>
    <n v="58"/>
    <n v="51"/>
    <n v="174"/>
    <n v="4"/>
    <n v="1"/>
    <n v="1"/>
    <n v="4"/>
    <n v="3"/>
    <n v="0"/>
    <n v="0"/>
    <n v="0"/>
    <n v="0"/>
    <n v="0"/>
    <n v="0"/>
    <n v="0"/>
  </r>
  <r>
    <n v="2652"/>
    <n v="115862"/>
    <n v="1"/>
    <n v="0"/>
    <x v="18"/>
    <s v="Single"/>
    <s v="Basic"/>
    <s v="12/2/2019"/>
    <s v="Florida"/>
    <n v="26"/>
    <n v="7"/>
    <n v="7"/>
    <n v="29"/>
    <n v="80"/>
    <n v="66"/>
    <n v="73"/>
    <n v="117"/>
    <n v="1"/>
    <n v="1"/>
    <n v="0"/>
    <n v="3"/>
    <n v="8"/>
    <n v="0"/>
    <n v="0"/>
    <n v="0"/>
    <n v="0"/>
    <n v="0"/>
    <n v="0"/>
    <n v="0"/>
  </r>
  <r>
    <n v="1247"/>
    <n v="115287"/>
    <n v="1"/>
    <n v="0"/>
    <x v="18"/>
    <s v="Divorced"/>
    <s v="Graduate"/>
    <s v="3/17/2019"/>
    <s v="California"/>
    <n v="60"/>
    <n v="8"/>
    <n v="15"/>
    <n v="60"/>
    <n v="30"/>
    <n v="23"/>
    <n v="98"/>
    <n v="38"/>
    <n v="2"/>
    <n v="1"/>
    <n v="1"/>
    <n v="2"/>
    <n v="7"/>
    <n v="0"/>
    <n v="1"/>
    <n v="0"/>
    <n v="0"/>
    <n v="1"/>
    <n v="0"/>
    <n v="0"/>
  </r>
  <r>
    <n v="2184"/>
    <n v="115287"/>
    <n v="1"/>
    <n v="0"/>
    <x v="18"/>
    <s v="Divorced"/>
    <s v="Graduate"/>
    <s v="3/17/2019"/>
    <s v="Florida"/>
    <n v="60"/>
    <n v="8"/>
    <n v="15"/>
    <n v="60"/>
    <n v="30"/>
    <n v="23"/>
    <n v="98"/>
    <n v="38"/>
    <n v="2"/>
    <n v="1"/>
    <n v="1"/>
    <n v="2"/>
    <n v="7"/>
    <n v="0"/>
    <n v="1"/>
    <n v="0"/>
    <n v="0"/>
    <n v="1"/>
    <n v="0"/>
    <n v="0"/>
  </r>
  <r>
    <n v="2736"/>
    <n v="113533"/>
    <n v="1"/>
    <n v="0"/>
    <x v="18"/>
    <s v="Divorced"/>
    <s v="Graduate"/>
    <s v="8/15/2019"/>
    <s v="Florida"/>
    <n v="45"/>
    <n v="101"/>
    <n v="25"/>
    <n v="67"/>
    <n v="67"/>
    <n v="0"/>
    <n v="143"/>
    <n v="117"/>
    <n v="2"/>
    <n v="2"/>
    <n v="0"/>
    <n v="3"/>
    <n v="7"/>
    <n v="0"/>
    <n v="0"/>
    <n v="0"/>
    <n v="0"/>
    <n v="0"/>
    <n v="0"/>
    <n v="0"/>
  </r>
  <r>
    <n v="2133"/>
    <n v="107500"/>
    <n v="0"/>
    <n v="1"/>
    <x v="18"/>
    <s v="Married"/>
    <s v="Graduate"/>
    <s v="2/3/2019"/>
    <s v="Texas"/>
    <n v="61"/>
    <n v="72"/>
    <n v="29"/>
    <n v="43"/>
    <n v="43"/>
    <n v="0"/>
    <n v="72"/>
    <n v="115"/>
    <n v="1"/>
    <n v="1"/>
    <n v="0"/>
    <n v="2"/>
    <n v="8"/>
    <n v="0"/>
    <n v="0"/>
    <n v="0"/>
    <n v="0"/>
    <n v="0"/>
    <n v="0"/>
    <n v="0"/>
  </r>
  <r>
    <n v="3190"/>
    <n v="107500"/>
    <n v="1"/>
    <n v="0"/>
    <x v="18"/>
    <s v="Together"/>
    <s v="Graduate"/>
    <s v="10/12/2019"/>
    <s v="Other"/>
    <n v="7"/>
    <n v="29"/>
    <n v="115"/>
    <n v="158"/>
    <n v="43"/>
    <n v="115"/>
    <n v="301"/>
    <n v="158"/>
    <n v="4"/>
    <n v="3"/>
    <n v="2"/>
    <n v="2"/>
    <n v="7"/>
    <n v="0"/>
    <n v="0"/>
    <n v="0"/>
    <n v="0"/>
    <n v="0"/>
    <n v="0"/>
    <n v="0"/>
  </r>
  <r>
    <n v="1021"/>
    <n v="102447"/>
    <n v="1"/>
    <n v="0"/>
    <x v="18"/>
    <s v="Married"/>
    <s v="Graduate"/>
    <s v="6/13/2019"/>
    <s v="Illinois"/>
    <n v="42"/>
    <n v="42"/>
    <n v="42"/>
    <n v="72219"/>
    <n v="42"/>
    <n v="42"/>
    <n v="42"/>
    <n v="72345"/>
    <n v="15"/>
    <n v="0"/>
    <n v="28"/>
    <n v="0"/>
    <n v="1"/>
    <n v="0"/>
    <n v="0"/>
    <n v="0"/>
    <n v="0"/>
    <n v="0"/>
    <n v="0"/>
    <n v="0"/>
  </r>
  <r>
    <n v="2314"/>
    <n v="188097"/>
    <n v="1"/>
    <n v="0"/>
    <x v="19"/>
    <s v="Married"/>
    <s v="Master"/>
    <s v="1/23/2019"/>
    <s v="Other"/>
    <n v="24"/>
    <n v="348"/>
    <n v="0"/>
    <n v="1025"/>
    <n v="0"/>
    <n v="269"/>
    <n v="160"/>
    <n v="1482"/>
    <n v="1"/>
    <n v="6"/>
    <n v="5"/>
    <n v="8"/>
    <n v="9"/>
    <n v="0"/>
    <n v="1"/>
    <n v="1"/>
    <n v="0"/>
    <n v="0"/>
    <n v="1"/>
    <n v="1"/>
  </r>
  <r>
    <n v="2944"/>
    <n v="185738"/>
    <n v="0"/>
    <n v="0"/>
    <x v="19"/>
    <s v="Together"/>
    <s v="Master"/>
    <s v="6/29/2020"/>
    <s v="Other"/>
    <n v="41"/>
    <n v="1978"/>
    <n v="56"/>
    <n v="815"/>
    <n v="37"/>
    <n v="56"/>
    <n v="28"/>
    <n v="2914"/>
    <n v="1"/>
    <n v="3"/>
    <n v="6"/>
    <n v="11"/>
    <n v="1"/>
    <n v="0"/>
    <n v="0"/>
    <n v="0"/>
    <n v="0"/>
    <n v="0"/>
    <n v="1"/>
    <n v="1"/>
  </r>
  <r>
    <n v="1967"/>
    <n v="182170"/>
    <n v="0"/>
    <n v="0"/>
    <x v="19"/>
    <s v="Married"/>
    <s v="PhD"/>
    <s v="5/1/2020"/>
    <s v="California"/>
    <n v="13"/>
    <n v="2268"/>
    <n v="206"/>
    <n v="1443"/>
    <n v="109"/>
    <n v="122"/>
    <n v="82"/>
    <n v="4066"/>
    <n v="1"/>
    <n v="5"/>
    <n v="6"/>
    <n v="7"/>
    <n v="2"/>
    <n v="0"/>
    <n v="0"/>
    <n v="0"/>
    <n v="0"/>
    <n v="0"/>
    <n v="0"/>
    <n v="0"/>
  </r>
  <r>
    <n v="1907"/>
    <n v="177583"/>
    <n v="0"/>
    <n v="0"/>
    <x v="19"/>
    <s v="Married"/>
    <s v="Graduate"/>
    <s v="7/17/2020"/>
    <s v="California"/>
    <n v="93"/>
    <n v="851"/>
    <n v="53"/>
    <n v="879"/>
    <n v="572"/>
    <n v="27"/>
    <n v="247"/>
    <n v="2136"/>
    <n v="1"/>
    <n v="4"/>
    <n v="5"/>
    <n v="9"/>
    <n v="2"/>
    <n v="0"/>
    <n v="0"/>
    <n v="1"/>
    <n v="0"/>
    <n v="0"/>
    <n v="0"/>
    <n v="0"/>
  </r>
  <r>
    <n v="1977"/>
    <n v="175437"/>
    <n v="0"/>
    <n v="0"/>
    <x v="19"/>
    <s v="Together"/>
    <s v="Graduate"/>
    <s v="4/15/2020"/>
    <s v="Texas"/>
    <n v="25"/>
    <n v="1849"/>
    <n v="0"/>
    <n v="1267"/>
    <n v="221"/>
    <n v="135"/>
    <n v="0"/>
    <n v="3472"/>
    <n v="1"/>
    <n v="8"/>
    <n v="4"/>
    <n v="10"/>
    <n v="6"/>
    <n v="0"/>
    <n v="0"/>
    <n v="1"/>
    <n v="0"/>
    <n v="0"/>
    <n v="0"/>
    <n v="0"/>
  </r>
  <r>
    <n v="3171"/>
    <n v="173807"/>
    <n v="0"/>
    <n v="1"/>
    <x v="19"/>
    <s v="Married"/>
    <s v="Graduate"/>
    <s v="6/9/2019"/>
    <s v="Texas"/>
    <n v="88"/>
    <n v="862"/>
    <n v="292"/>
    <n v="367"/>
    <n v="167"/>
    <n v="184"/>
    <n v="127"/>
    <n v="1745"/>
    <n v="2"/>
    <n v="5"/>
    <n v="5"/>
    <n v="11"/>
    <n v="2"/>
    <n v="0"/>
    <n v="0"/>
    <n v="0"/>
    <n v="0"/>
    <n v="0"/>
    <n v="0"/>
    <n v="0"/>
  </r>
  <r>
    <n v="2827"/>
    <n v="172159"/>
    <n v="0"/>
    <n v="0"/>
    <x v="19"/>
    <s v="Married"/>
    <s v="PhD"/>
    <s v="4/5/2019"/>
    <s v="Illinois"/>
    <n v="62"/>
    <n v="768"/>
    <n v="126"/>
    <n v="2145"/>
    <n v="81"/>
    <n v="95"/>
    <n v="126"/>
    <n v="3090"/>
    <n v="1"/>
    <n v="4"/>
    <n v="6"/>
    <n v="10"/>
    <n v="2"/>
    <n v="0"/>
    <n v="0"/>
    <n v="0"/>
    <n v="0"/>
    <n v="0"/>
    <n v="0"/>
    <n v="0"/>
  </r>
  <r>
    <n v="2259"/>
    <n v="171847"/>
    <n v="0"/>
    <n v="0"/>
    <x v="19"/>
    <s v="Divorced"/>
    <s v="Graduate"/>
    <s v="2/26/2019"/>
    <s v="Texas"/>
    <n v="95"/>
    <n v="1763"/>
    <n v="50"/>
    <n v="254"/>
    <n v="132"/>
    <n v="151"/>
    <n v="502"/>
    <n v="1847"/>
    <n v="0"/>
    <n v="6"/>
    <n v="7"/>
    <n v="9"/>
    <n v="3"/>
    <n v="0"/>
    <n v="0"/>
    <n v="1"/>
    <n v="0"/>
    <n v="0"/>
    <n v="0"/>
    <n v="0"/>
  </r>
  <r>
    <n v="1682"/>
    <n v="171427"/>
    <n v="2"/>
    <n v="0"/>
    <x v="19"/>
    <s v="Married"/>
    <s v="Graduate"/>
    <s v="8/16/2020"/>
    <s v="New York"/>
    <n v="26"/>
    <n v="509"/>
    <n v="295"/>
    <n v="425"/>
    <n v="36"/>
    <n v="154"/>
    <n v="55"/>
    <n v="1363"/>
    <n v="2"/>
    <n v="8"/>
    <n v="2"/>
    <n v="8"/>
    <n v="4"/>
    <n v="0"/>
    <n v="0"/>
    <n v="0"/>
    <n v="0"/>
    <n v="0"/>
    <n v="0"/>
    <n v="0"/>
  </r>
  <r>
    <n v="1683"/>
    <n v="171022"/>
    <n v="0"/>
    <n v="1"/>
    <x v="19"/>
    <s v="Divorced"/>
    <s v="Graduate"/>
    <s v="7/18/2020"/>
    <s v="Texas"/>
    <n v="30"/>
    <n v="2189"/>
    <n v="29"/>
    <n v="669"/>
    <n v="0"/>
    <n v="29"/>
    <n v="583"/>
    <n v="2333"/>
    <n v="3"/>
    <n v="5"/>
    <n v="2"/>
    <n v="11"/>
    <n v="8"/>
    <n v="0"/>
    <n v="0"/>
    <n v="0"/>
    <n v="0"/>
    <n v="1"/>
    <n v="0"/>
    <n v="0"/>
  </r>
  <r>
    <n v="2655"/>
    <n v="170440"/>
    <n v="0"/>
    <n v="0"/>
    <x v="19"/>
    <s v="Together"/>
    <s v="Graduate"/>
    <s v="3/14/2020"/>
    <s v="Texas"/>
    <n v="49"/>
    <n v="1670"/>
    <n v="283"/>
    <n v="1207"/>
    <n v="184"/>
    <n v="247"/>
    <n v="213"/>
    <n v="3378"/>
    <n v="1"/>
    <n v="5"/>
    <n v="10"/>
    <n v="7"/>
    <n v="3"/>
    <n v="0"/>
    <n v="0"/>
    <n v="1"/>
    <n v="0"/>
    <n v="0"/>
    <n v="0"/>
    <n v="0"/>
  </r>
  <r>
    <n v="1870"/>
    <n v="168092"/>
    <n v="0"/>
    <n v="0"/>
    <x v="19"/>
    <s v="Single"/>
    <s v="Master"/>
    <s v="5/22/2020"/>
    <s v="Other"/>
    <n v="7"/>
    <n v="2103"/>
    <n v="148"/>
    <n v="511"/>
    <n v="193"/>
    <n v="89"/>
    <n v="118"/>
    <n v="2925"/>
    <n v="2"/>
    <n v="2"/>
    <n v="6"/>
    <n v="10"/>
    <n v="5"/>
    <n v="0"/>
    <n v="0"/>
    <n v="0"/>
    <n v="0"/>
    <n v="0"/>
    <n v="0"/>
    <n v="0"/>
  </r>
  <r>
    <n v="2050"/>
    <n v="167023"/>
    <n v="0"/>
    <n v="0"/>
    <x v="19"/>
    <s v="Married"/>
    <s v="Graduate"/>
    <s v="8/8/2020"/>
    <s v="Other"/>
    <n v="93"/>
    <n v="1106"/>
    <n v="110"/>
    <n v="952"/>
    <n v="27"/>
    <n v="20"/>
    <n v="42"/>
    <n v="2173"/>
    <n v="1"/>
    <n v="3"/>
    <n v="7"/>
    <n v="13"/>
    <n v="2"/>
    <n v="1"/>
    <n v="0"/>
    <n v="0"/>
    <n v="0"/>
    <n v="0"/>
    <n v="0"/>
    <n v="0"/>
  </r>
  <r>
    <n v="1051"/>
    <n v="166373"/>
    <n v="1"/>
    <n v="1"/>
    <x v="19"/>
    <s v="Married"/>
    <s v="Graduate"/>
    <s v="11/17/2019"/>
    <s v="Illinois"/>
    <n v="57"/>
    <n v="822"/>
    <n v="23"/>
    <n v="311"/>
    <n v="30"/>
    <n v="60"/>
    <n v="273"/>
    <n v="973"/>
    <n v="7"/>
    <n v="4"/>
    <n v="2"/>
    <n v="10"/>
    <n v="3"/>
    <n v="0"/>
    <n v="0"/>
    <n v="0"/>
    <n v="0"/>
    <n v="0"/>
    <n v="0"/>
    <n v="0"/>
  </r>
  <r>
    <n v="1713"/>
    <n v="166373"/>
    <n v="1"/>
    <n v="1"/>
    <x v="19"/>
    <s v="Married"/>
    <s v="Graduate"/>
    <s v="11/17/2019"/>
    <s v="Texas"/>
    <n v="57"/>
    <n v="822"/>
    <n v="23"/>
    <n v="311"/>
    <n v="30"/>
    <n v="60"/>
    <n v="273"/>
    <n v="973"/>
    <n v="7"/>
    <n v="4"/>
    <n v="2"/>
    <n v="10"/>
    <n v="3"/>
    <n v="0"/>
    <n v="0"/>
    <n v="0"/>
    <n v="0"/>
    <n v="0"/>
    <n v="0"/>
    <n v="0"/>
  </r>
  <r>
    <n v="2518"/>
    <n v="165819"/>
    <n v="0"/>
    <n v="0"/>
    <x v="19"/>
    <s v="Married"/>
    <s v="Graduate"/>
    <s v="5/6/2019"/>
    <s v="Other"/>
    <n v="99"/>
    <n v="673"/>
    <n v="96"/>
    <n v="1766"/>
    <n v="375"/>
    <n v="416"/>
    <n v="159"/>
    <n v="3167"/>
    <n v="1"/>
    <n v="5"/>
    <n v="4"/>
    <n v="10"/>
    <n v="3"/>
    <n v="0"/>
    <n v="0"/>
    <n v="0"/>
    <n v="0"/>
    <n v="0"/>
    <n v="0"/>
    <n v="0"/>
  </r>
  <r>
    <n v="2683"/>
    <n v="164813"/>
    <n v="1"/>
    <n v="0"/>
    <x v="19"/>
    <s v="Married"/>
    <s v="Graduate"/>
    <s v="6/8/2020"/>
    <s v="Illinois"/>
    <n v="81"/>
    <n v="745"/>
    <n v="0"/>
    <n v="315"/>
    <n v="455"/>
    <n v="247"/>
    <n v="132"/>
    <n v="1630"/>
    <n v="1"/>
    <n v="7"/>
    <n v="2"/>
    <n v="10"/>
    <n v="5"/>
    <n v="0"/>
    <n v="0"/>
    <n v="0"/>
    <n v="0"/>
    <n v="0"/>
    <n v="0"/>
    <n v="0"/>
  </r>
  <r>
    <n v="1736"/>
    <n v="163855"/>
    <n v="0"/>
    <n v="0"/>
    <x v="19"/>
    <s v="Together"/>
    <s v="Graduate"/>
    <s v="7/17/2019"/>
    <s v="New York"/>
    <n v="28"/>
    <n v="921"/>
    <n v="90"/>
    <n v="806"/>
    <n v="239"/>
    <n v="298"/>
    <n v="228"/>
    <n v="2125"/>
    <n v="1"/>
    <n v="7"/>
    <n v="3"/>
    <n v="13"/>
    <n v="4"/>
    <n v="0"/>
    <n v="0"/>
    <n v="0"/>
    <n v="0"/>
    <n v="0"/>
    <n v="0"/>
    <n v="0"/>
  </r>
  <r>
    <n v="1190"/>
    <n v="163693"/>
    <n v="0"/>
    <n v="1"/>
    <x v="19"/>
    <s v="Divorced"/>
    <s v="Graduate"/>
    <s v="3/20/2020"/>
    <s v="New York"/>
    <n v="63"/>
    <n v="1509"/>
    <n v="111"/>
    <n v="866"/>
    <n v="108"/>
    <n v="224"/>
    <n v="139"/>
    <n v="2678"/>
    <n v="3"/>
    <n v="11"/>
    <n v="6"/>
    <n v="9"/>
    <n v="6"/>
    <n v="0"/>
    <n v="0"/>
    <n v="0"/>
    <n v="0"/>
    <n v="0"/>
    <n v="0"/>
    <n v="0"/>
  </r>
  <r>
    <n v="1964"/>
    <n v="163693"/>
    <n v="0"/>
    <n v="1"/>
    <x v="19"/>
    <s v="Divorced"/>
    <s v="Graduate"/>
    <s v="3/20/2020"/>
    <s v="New York"/>
    <n v="63"/>
    <n v="1509"/>
    <n v="111"/>
    <n v="866"/>
    <n v="108"/>
    <n v="224"/>
    <n v="139"/>
    <n v="2678"/>
    <n v="3"/>
    <n v="11"/>
    <n v="6"/>
    <n v="9"/>
    <n v="6"/>
    <n v="0"/>
    <n v="0"/>
    <n v="0"/>
    <n v="0"/>
    <n v="0"/>
    <n v="0"/>
    <n v="0"/>
  </r>
  <r>
    <n v="1855"/>
    <n v="161346"/>
    <n v="1"/>
    <n v="0"/>
    <x v="19"/>
    <s v="Together"/>
    <s v="Master"/>
    <s v="3/12/2020"/>
    <s v="Illinois"/>
    <n v="34"/>
    <n v="1478"/>
    <n v="153"/>
    <n v="442"/>
    <n v="113"/>
    <n v="42"/>
    <n v="373"/>
    <n v="1854"/>
    <n v="1"/>
    <n v="5"/>
    <n v="7"/>
    <n v="10"/>
    <n v="3"/>
    <n v="0"/>
    <n v="0"/>
    <n v="0"/>
    <n v="0"/>
    <n v="0"/>
    <n v="0"/>
    <n v="0"/>
  </r>
  <r>
    <n v="1147"/>
    <n v="160199"/>
    <n v="1"/>
    <n v="2"/>
    <x v="19"/>
    <s v="Single"/>
    <s v="Graduate"/>
    <s v="2/17/2020"/>
    <s v="Illinois"/>
    <n v="49"/>
    <n v="21"/>
    <n v="3"/>
    <n v="19"/>
    <n v="5"/>
    <n v="0"/>
    <n v="0"/>
    <n v="48"/>
    <n v="1"/>
    <n v="0"/>
    <n v="0"/>
    <n v="3"/>
    <n v="4"/>
    <n v="0"/>
    <n v="0"/>
    <n v="0"/>
    <n v="0"/>
    <n v="0"/>
    <n v="0"/>
    <n v="0"/>
  </r>
  <r>
    <n v="2469"/>
    <n v="157867"/>
    <n v="1"/>
    <n v="0"/>
    <x v="19"/>
    <s v="Together"/>
    <s v="Graduate"/>
    <s v="3/7/2020"/>
    <s v="Texas"/>
    <n v="48"/>
    <n v="938"/>
    <n v="95"/>
    <n v="486"/>
    <n v="41"/>
    <n v="63"/>
    <n v="46"/>
    <n v="1577"/>
    <n v="7"/>
    <n v="7"/>
    <n v="2"/>
    <n v="9"/>
    <n v="6"/>
    <n v="0"/>
    <n v="0"/>
    <n v="0"/>
    <n v="0"/>
    <n v="0"/>
    <n v="0"/>
    <n v="0"/>
  </r>
  <r>
    <n v="2961"/>
    <n v="157113"/>
    <n v="1"/>
    <n v="1"/>
    <x v="19"/>
    <s v="Married"/>
    <s v="Graduate"/>
    <s v="7/14/2019"/>
    <s v="Texas"/>
    <n v="45"/>
    <n v="501"/>
    <n v="11"/>
    <n v="91"/>
    <n v="0"/>
    <n v="6"/>
    <n v="116"/>
    <n v="492"/>
    <n v="6"/>
    <n v="4"/>
    <n v="1"/>
    <n v="5"/>
    <n v="7"/>
    <n v="0"/>
    <n v="0"/>
    <n v="0"/>
    <n v="0"/>
    <n v="0"/>
    <n v="0"/>
    <n v="0"/>
  </r>
  <r>
    <n v="1480"/>
    <n v="155563"/>
    <n v="0"/>
    <n v="1"/>
    <x v="19"/>
    <s v="Divorced"/>
    <s v="Graduate"/>
    <s v="9/9/2020"/>
    <s v="Other"/>
    <n v="22"/>
    <n v="81"/>
    <n v="3"/>
    <n v="25"/>
    <n v="6"/>
    <n v="0"/>
    <n v="6"/>
    <n v="109"/>
    <n v="1"/>
    <n v="2"/>
    <n v="0"/>
    <n v="3"/>
    <n v="3"/>
    <n v="0"/>
    <n v="0"/>
    <n v="0"/>
    <n v="0"/>
    <n v="0"/>
    <n v="0"/>
    <n v="0"/>
  </r>
  <r>
    <n v="1540"/>
    <n v="154880"/>
    <n v="1"/>
    <n v="0"/>
    <x v="19"/>
    <s v="Single"/>
    <s v="PhD"/>
    <s v="8/6/2019"/>
    <s v="Other"/>
    <n v="57"/>
    <n v="869"/>
    <n v="240"/>
    <n v="387"/>
    <n v="288"/>
    <n v="127"/>
    <n v="333"/>
    <n v="1578"/>
    <n v="2"/>
    <n v="6"/>
    <n v="2"/>
    <n v="11"/>
    <n v="5"/>
    <n v="0"/>
    <n v="0"/>
    <n v="0"/>
    <n v="0"/>
    <n v="0"/>
    <n v="0"/>
    <n v="0"/>
  </r>
  <r>
    <n v="1601"/>
    <n v="154162"/>
    <n v="1"/>
    <n v="1"/>
    <x v="19"/>
    <s v="Widow"/>
    <s v="Graduate"/>
    <s v="8/23/2019"/>
    <s v="California"/>
    <n v="31"/>
    <n v="14"/>
    <n v="17"/>
    <n v="28"/>
    <n v="17"/>
    <n v="14"/>
    <n v="28"/>
    <n v="63"/>
    <n v="1"/>
    <n v="1"/>
    <n v="0"/>
    <n v="3"/>
    <n v="4"/>
    <n v="0"/>
    <n v="0"/>
    <n v="0"/>
    <n v="0"/>
    <n v="0"/>
    <n v="0"/>
    <n v="0"/>
  </r>
  <r>
    <n v="1849"/>
    <n v="153172"/>
    <n v="0"/>
    <n v="1"/>
    <x v="19"/>
    <s v="Together"/>
    <s v="Graduate"/>
    <s v="10/11/2019"/>
    <s v="Illinois"/>
    <n v="54"/>
    <n v="349"/>
    <n v="179"/>
    <n v="259"/>
    <n v="196"/>
    <n v="58"/>
    <n v="360"/>
    <n v="680"/>
    <n v="3"/>
    <n v="2"/>
    <n v="3"/>
    <n v="8"/>
    <n v="3"/>
    <n v="0"/>
    <n v="0"/>
    <n v="0"/>
    <n v="0"/>
    <n v="0"/>
    <n v="0"/>
    <n v="0"/>
  </r>
  <r>
    <n v="2799"/>
    <n v="152513"/>
    <n v="0"/>
    <n v="0"/>
    <x v="19"/>
    <s v="Together"/>
    <s v="Graduate"/>
    <s v="2/9/2019"/>
    <s v="Texas"/>
    <n v="84"/>
    <n v="1066"/>
    <n v="49"/>
    <n v="700"/>
    <n v="302"/>
    <n v="546"/>
    <n v="674"/>
    <n v="1989"/>
    <n v="2"/>
    <n v="9"/>
    <n v="5"/>
    <n v="9"/>
    <n v="7"/>
    <n v="0"/>
    <n v="0"/>
    <n v="0"/>
    <n v="0"/>
    <n v="0"/>
    <n v="0"/>
    <n v="0"/>
  </r>
  <r>
    <n v="1204"/>
    <n v="152195"/>
    <n v="2"/>
    <n v="1"/>
    <x v="19"/>
    <s v="Single"/>
    <s v="Graduate"/>
    <s v="10/16/2020"/>
    <s v="Other"/>
    <n v="2"/>
    <n v="35"/>
    <n v="0"/>
    <n v="12"/>
    <n v="0"/>
    <n v="0"/>
    <n v="3"/>
    <n v="44"/>
    <n v="1"/>
    <n v="1"/>
    <n v="0"/>
    <n v="2"/>
    <n v="8"/>
    <n v="0"/>
    <n v="0"/>
    <n v="0"/>
    <n v="0"/>
    <n v="0"/>
    <n v="0"/>
    <n v="0"/>
  </r>
  <r>
    <n v="1774"/>
    <n v="151267"/>
    <n v="1"/>
    <n v="1"/>
    <x v="19"/>
    <s v="Married"/>
    <s v="Graduate"/>
    <s v="4/4/2020"/>
    <s v="Other"/>
    <n v="37"/>
    <n v="540"/>
    <n v="6"/>
    <n v="189"/>
    <n v="21"/>
    <n v="6"/>
    <n v="35"/>
    <n v="726"/>
    <n v="4"/>
    <n v="3"/>
    <n v="3"/>
    <n v="5"/>
    <n v="4"/>
    <n v="0"/>
    <n v="0"/>
    <n v="0"/>
    <n v="0"/>
    <n v="0"/>
    <n v="0"/>
    <n v="0"/>
  </r>
  <r>
    <n v="2100"/>
    <n v="147025"/>
    <n v="0"/>
    <n v="1"/>
    <x v="19"/>
    <s v="Married"/>
    <s v="Graduate"/>
    <s v="2/17/2020"/>
    <s v="Florida"/>
    <n v="98"/>
    <n v="1588"/>
    <n v="34"/>
    <n v="184"/>
    <n v="72"/>
    <n v="16"/>
    <n v="91"/>
    <n v="1804"/>
    <n v="5"/>
    <n v="11"/>
    <n v="1"/>
    <n v="6"/>
    <n v="9"/>
    <n v="0"/>
    <n v="0"/>
    <n v="0"/>
    <n v="0"/>
    <n v="0"/>
    <n v="0"/>
    <n v="0"/>
  </r>
  <r>
    <n v="1289"/>
    <n v="146377"/>
    <n v="1"/>
    <n v="0"/>
    <x v="19"/>
    <s v="Married"/>
    <s v="PhD"/>
    <s v="8/5/2020"/>
    <s v="California"/>
    <n v="89"/>
    <n v="117"/>
    <n v="0"/>
    <n v="145"/>
    <n v="13"/>
    <n v="9"/>
    <n v="0"/>
    <n v="284"/>
    <n v="1"/>
    <n v="2"/>
    <n v="1"/>
    <n v="3"/>
    <n v="4"/>
    <n v="0"/>
    <n v="0"/>
    <n v="0"/>
    <n v="0"/>
    <n v="0"/>
    <n v="0"/>
    <n v="0"/>
  </r>
  <r>
    <n v="2937"/>
    <n v="144359"/>
    <n v="1"/>
    <n v="1"/>
    <x v="19"/>
    <s v="Married"/>
    <s v="Graduate"/>
    <s v="11/21/2020"/>
    <s v="Texas"/>
    <n v="19"/>
    <n v="65"/>
    <n v="0"/>
    <n v="46"/>
    <n v="23"/>
    <n v="10"/>
    <n v="3"/>
    <n v="140"/>
    <n v="3"/>
    <n v="2"/>
    <n v="0"/>
    <n v="4"/>
    <n v="3"/>
    <n v="0"/>
    <n v="0"/>
    <n v="0"/>
    <n v="0"/>
    <n v="0"/>
    <n v="0"/>
    <n v="0"/>
  </r>
  <r>
    <n v="1769"/>
    <n v="143783"/>
    <n v="1"/>
    <n v="0"/>
    <x v="19"/>
    <s v="Married"/>
    <s v="Master"/>
    <s v="11/2/2020"/>
    <s v="California"/>
    <n v="22"/>
    <n v="1074"/>
    <n v="30"/>
    <n v="410"/>
    <n v="82"/>
    <n v="13"/>
    <n v="456"/>
    <n v="1153"/>
    <n v="6"/>
    <n v="7"/>
    <n v="1"/>
    <n v="8"/>
    <n v="7"/>
    <n v="0"/>
    <n v="0"/>
    <n v="0"/>
    <n v="0"/>
    <n v="1"/>
    <n v="0"/>
    <n v="0"/>
  </r>
  <r>
    <n v="2113"/>
    <n v="142693"/>
    <n v="1"/>
    <n v="0"/>
    <x v="19"/>
    <s v="Married"/>
    <s v="Graduate"/>
    <s v="11/11/2020"/>
    <s v="Illinois"/>
    <n v="29"/>
    <n v="27"/>
    <n v="13"/>
    <n v="67"/>
    <n v="20"/>
    <n v="10"/>
    <n v="53"/>
    <n v="84"/>
    <n v="1"/>
    <n v="1"/>
    <n v="0"/>
    <n v="3"/>
    <n v="5"/>
    <n v="0"/>
    <n v="0"/>
    <n v="0"/>
    <n v="0"/>
    <n v="0"/>
    <n v="0"/>
    <n v="0"/>
  </r>
  <r>
    <n v="3036"/>
    <n v="142554"/>
    <n v="1"/>
    <n v="1"/>
    <x v="19"/>
    <s v="Together"/>
    <s v="Graduate"/>
    <s v="6/19/2019"/>
    <s v="Florida"/>
    <n v="93"/>
    <n v="97"/>
    <n v="3"/>
    <n v="37"/>
    <n v="0"/>
    <n v="0"/>
    <n v="0"/>
    <n v="137"/>
    <n v="2"/>
    <n v="2"/>
    <n v="0"/>
    <n v="3"/>
    <n v="4"/>
    <n v="0"/>
    <n v="0"/>
    <n v="0"/>
    <n v="0"/>
    <n v="0"/>
    <n v="0"/>
    <n v="0"/>
  </r>
  <r>
    <n v="1213"/>
    <n v="142011"/>
    <n v="1"/>
    <n v="0"/>
    <x v="19"/>
    <s v="Together"/>
    <s v="Graduate"/>
    <s v="8/31/2019"/>
    <s v="Illinois"/>
    <n v="46"/>
    <n v="443"/>
    <n v="0"/>
    <n v="54"/>
    <n v="7"/>
    <n v="3"/>
    <n v="132"/>
    <n v="375"/>
    <n v="4"/>
    <n v="3"/>
    <n v="1"/>
    <n v="4"/>
    <n v="8"/>
    <n v="0"/>
    <n v="0"/>
    <n v="0"/>
    <n v="0"/>
    <n v="0"/>
    <n v="0"/>
    <n v="0"/>
  </r>
  <r>
    <n v="2213"/>
    <n v="141986"/>
    <n v="0"/>
    <n v="1"/>
    <x v="19"/>
    <s v="Divorced"/>
    <s v="Graduate"/>
    <s v="7/16/2020"/>
    <s v="California"/>
    <n v="15"/>
    <n v="91"/>
    <n v="17"/>
    <n v="27"/>
    <n v="27"/>
    <n v="10"/>
    <n v="41"/>
    <n v="132"/>
    <n v="3"/>
    <n v="3"/>
    <n v="0"/>
    <n v="4"/>
    <n v="4"/>
    <n v="0"/>
    <n v="0"/>
    <n v="0"/>
    <n v="0"/>
    <n v="0"/>
    <n v="0"/>
    <n v="0"/>
  </r>
  <r>
    <n v="2810"/>
    <n v="141580"/>
    <n v="1"/>
    <n v="1"/>
    <x v="19"/>
    <s v="Together"/>
    <s v="Graduate"/>
    <s v="5/17/2019"/>
    <s v="New York"/>
    <n v="15"/>
    <n v="191"/>
    <n v="17"/>
    <n v="82"/>
    <n v="14"/>
    <n v="0"/>
    <n v="10"/>
    <n v="293"/>
    <n v="3"/>
    <n v="2"/>
    <n v="1"/>
    <n v="3"/>
    <n v="5"/>
    <n v="0"/>
    <n v="0"/>
    <n v="0"/>
    <n v="0"/>
    <n v="0"/>
    <n v="0"/>
    <n v="0"/>
  </r>
  <r>
    <n v="2687"/>
    <n v="141154"/>
    <n v="0"/>
    <n v="1"/>
    <x v="19"/>
    <s v="Together"/>
    <s v="Graduate"/>
    <s v="9/14/2019"/>
    <s v="California"/>
    <n v="98"/>
    <n v="151"/>
    <n v="7"/>
    <n v="38"/>
    <n v="7"/>
    <n v="10"/>
    <n v="24"/>
    <n v="189"/>
    <n v="1"/>
    <n v="1"/>
    <n v="0"/>
    <n v="4"/>
    <n v="5"/>
    <n v="0"/>
    <n v="0"/>
    <n v="0"/>
    <n v="0"/>
    <n v="0"/>
    <n v="0"/>
    <n v="0"/>
  </r>
  <r>
    <n v="2060"/>
    <n v="141014"/>
    <n v="1"/>
    <n v="0"/>
    <x v="19"/>
    <s v="Married"/>
    <s v="PhD"/>
    <s v="9/27/2019"/>
    <s v="New York"/>
    <n v="65"/>
    <n v="24"/>
    <n v="7"/>
    <n v="21"/>
    <n v="7"/>
    <n v="0"/>
    <n v="10"/>
    <n v="48"/>
    <n v="1"/>
    <n v="1"/>
    <n v="0"/>
    <n v="2"/>
    <n v="7"/>
    <n v="0"/>
    <n v="0"/>
    <n v="0"/>
    <n v="0"/>
    <n v="0"/>
    <n v="0"/>
    <n v="0"/>
  </r>
  <r>
    <n v="1724"/>
    <n v="138702"/>
    <n v="1"/>
    <n v="0"/>
    <x v="19"/>
    <s v="Together"/>
    <s v="Graduate"/>
    <s v="1/6/2020"/>
    <s v="New York"/>
    <n v="71"/>
    <n v="47"/>
    <n v="39"/>
    <n v="86"/>
    <n v="47"/>
    <n v="29"/>
    <n v="143"/>
    <n v="104"/>
    <n v="2"/>
    <n v="3"/>
    <n v="0"/>
    <n v="4"/>
    <n v="6"/>
    <n v="0"/>
    <n v="0"/>
    <n v="0"/>
    <n v="0"/>
    <n v="0"/>
    <n v="0"/>
    <n v="0"/>
  </r>
  <r>
    <n v="1339"/>
    <n v="138643"/>
    <n v="1"/>
    <n v="1"/>
    <x v="19"/>
    <s v="Single"/>
    <s v="Graduate"/>
    <s v="5/5/2020"/>
    <s v="Illinois"/>
    <n v="45"/>
    <n v="79"/>
    <n v="7"/>
    <n v="50"/>
    <n v="0"/>
    <n v="4"/>
    <n v="36"/>
    <n v="104"/>
    <n v="2"/>
    <n v="2"/>
    <n v="0"/>
    <n v="3"/>
    <n v="7"/>
    <n v="1"/>
    <n v="0"/>
    <n v="0"/>
    <n v="0"/>
    <n v="0"/>
    <n v="0"/>
    <n v="0"/>
  </r>
  <r>
    <n v="1556"/>
    <n v="138593"/>
    <n v="1"/>
    <n v="0"/>
    <x v="19"/>
    <s v="Single"/>
    <s v="Graduate"/>
    <s v="2/18/2020"/>
    <s v="New York"/>
    <n v="42"/>
    <n v="183"/>
    <n v="43"/>
    <n v="176"/>
    <n v="61"/>
    <n v="86"/>
    <n v="86"/>
    <n v="463"/>
    <n v="3"/>
    <n v="4"/>
    <n v="1"/>
    <n v="3"/>
    <n v="8"/>
    <n v="0"/>
    <n v="0"/>
    <n v="0"/>
    <n v="0"/>
    <n v="0"/>
    <n v="0"/>
    <n v="0"/>
  </r>
  <r>
    <n v="1100"/>
    <n v="138557"/>
    <n v="1"/>
    <n v="0"/>
    <x v="19"/>
    <s v="Single"/>
    <s v="Graduate"/>
    <s v="5/26/2019"/>
    <s v="New York"/>
    <n v="17"/>
    <n v="273"/>
    <n v="11"/>
    <n v="111"/>
    <n v="14"/>
    <n v="14"/>
    <n v="97"/>
    <n v="327"/>
    <n v="2"/>
    <n v="3"/>
    <n v="1"/>
    <n v="3"/>
    <n v="7"/>
    <n v="0"/>
    <n v="0"/>
    <n v="0"/>
    <n v="0"/>
    <n v="0"/>
    <n v="0"/>
    <n v="0"/>
  </r>
  <r>
    <n v="1457"/>
    <n v="138415"/>
    <n v="1"/>
    <n v="1"/>
    <x v="19"/>
    <s v="Married"/>
    <s v="Graduate"/>
    <s v="6/9/2019"/>
    <s v="California"/>
    <n v="91"/>
    <n v="79"/>
    <n v="4"/>
    <n v="47"/>
    <n v="14"/>
    <n v="0"/>
    <n v="14"/>
    <n v="130"/>
    <n v="2"/>
    <n v="1"/>
    <n v="0"/>
    <n v="3"/>
    <n v="7"/>
    <n v="0"/>
    <n v="0"/>
    <n v="0"/>
    <n v="0"/>
    <n v="0"/>
    <n v="0"/>
    <n v="0"/>
  </r>
  <r>
    <n v="2336"/>
    <n v="138136"/>
    <n v="1"/>
    <n v="0"/>
    <x v="19"/>
    <s v="Married"/>
    <s v="Graduate"/>
    <s v="9/27/2019"/>
    <s v="New York"/>
    <n v="69"/>
    <n v="29"/>
    <n v="54"/>
    <n v="98"/>
    <n v="0"/>
    <n v="72"/>
    <n v="120"/>
    <n v="134"/>
    <n v="2"/>
    <n v="3"/>
    <n v="1"/>
    <n v="2"/>
    <n v="8"/>
    <n v="0"/>
    <n v="0"/>
    <n v="0"/>
    <n v="0"/>
    <n v="1"/>
    <n v="0"/>
    <n v="0"/>
  </r>
  <r>
    <n v="1250"/>
    <n v="137717"/>
    <n v="1"/>
    <n v="0"/>
    <x v="19"/>
    <s v="Married"/>
    <s v="PhD"/>
    <s v="4/30/2019"/>
    <s v="New York"/>
    <n v="31"/>
    <n v="33"/>
    <n v="0"/>
    <n v="22"/>
    <n v="15"/>
    <n v="4"/>
    <n v="18"/>
    <n v="55"/>
    <n v="1"/>
    <n v="1"/>
    <n v="0"/>
    <n v="2"/>
    <n v="9"/>
    <n v="0"/>
    <n v="0"/>
    <n v="0"/>
    <n v="0"/>
    <n v="0"/>
    <n v="0"/>
    <n v="0"/>
  </r>
  <r>
    <n v="1347"/>
    <n v="137717"/>
    <n v="1"/>
    <n v="0"/>
    <x v="19"/>
    <s v="Married"/>
    <s v="PhD"/>
    <s v="4/30/2019"/>
    <s v="Texas"/>
    <n v="31"/>
    <n v="33"/>
    <n v="0"/>
    <n v="22"/>
    <n v="15"/>
    <n v="4"/>
    <n v="18"/>
    <n v="55"/>
    <n v="1"/>
    <n v="1"/>
    <n v="0"/>
    <n v="2"/>
    <n v="9"/>
    <n v="0"/>
    <n v="0"/>
    <n v="0"/>
    <n v="0"/>
    <n v="0"/>
    <n v="0"/>
    <n v="0"/>
  </r>
  <r>
    <n v="1606"/>
    <n v="136975"/>
    <n v="1"/>
    <n v="0"/>
    <x v="19"/>
    <s v="Single"/>
    <s v="Graduate"/>
    <s v="6/3/2020"/>
    <s v="Other"/>
    <n v="50"/>
    <n v="37"/>
    <n v="22"/>
    <n v="41"/>
    <n v="0"/>
    <n v="15"/>
    <n v="7"/>
    <n v="107"/>
    <n v="1"/>
    <n v="1"/>
    <n v="0"/>
    <n v="3"/>
    <n v="7"/>
    <n v="0"/>
    <n v="0"/>
    <n v="0"/>
    <n v="0"/>
    <n v="0"/>
    <n v="0"/>
    <n v="0"/>
  </r>
  <r>
    <n v="1109"/>
    <n v="136550"/>
    <n v="1"/>
    <n v="0"/>
    <x v="19"/>
    <s v="Married"/>
    <s v="Graduate"/>
    <s v="7/27/2019"/>
    <s v="California"/>
    <n v="74"/>
    <n v="176"/>
    <n v="336"/>
    <n v="351"/>
    <n v="460"/>
    <n v="385"/>
    <n v="448"/>
    <n v="1259"/>
    <n v="5"/>
    <n v="9"/>
    <n v="1"/>
    <n v="5"/>
    <n v="9"/>
    <n v="0"/>
    <n v="0"/>
    <n v="0"/>
    <n v="0"/>
    <n v="0"/>
    <n v="0"/>
    <n v="0"/>
  </r>
  <r>
    <n v="2630"/>
    <n v="135544"/>
    <n v="1"/>
    <n v="0"/>
    <x v="19"/>
    <s v="Single"/>
    <s v="Master"/>
    <s v="8/12/2020"/>
    <s v="New York"/>
    <n v="77"/>
    <n v="114"/>
    <n v="19"/>
    <n v="88"/>
    <n v="15"/>
    <n v="4"/>
    <n v="15"/>
    <n v="225"/>
    <n v="1"/>
    <n v="2"/>
    <n v="0"/>
    <n v="3"/>
    <n v="7"/>
    <n v="0"/>
    <n v="0"/>
    <n v="0"/>
    <n v="0"/>
    <n v="0"/>
    <n v="0"/>
    <n v="0"/>
  </r>
  <r>
    <n v="2277"/>
    <n v="134043"/>
    <n v="1"/>
    <n v="0"/>
    <x v="19"/>
    <s v="Together"/>
    <s v="PhD"/>
    <s v="3/31/2020"/>
    <s v="Texas"/>
    <n v="97"/>
    <n v="79"/>
    <n v="8"/>
    <n v="55"/>
    <n v="12"/>
    <n v="0"/>
    <n v="39"/>
    <n v="114"/>
    <n v="1"/>
    <n v="2"/>
    <n v="0"/>
    <n v="2"/>
    <n v="9"/>
    <n v="0"/>
    <n v="0"/>
    <n v="0"/>
    <n v="0"/>
    <n v="0"/>
    <n v="0"/>
    <n v="0"/>
  </r>
  <r>
    <n v="1544"/>
    <n v="133039"/>
    <n v="1"/>
    <n v="0"/>
    <x v="19"/>
    <s v="Married"/>
    <s v="Graduate"/>
    <s v="2/14/2020"/>
    <s v="New York"/>
    <n v="4"/>
    <n v="121"/>
    <n v="32"/>
    <n v="48"/>
    <n v="32"/>
    <n v="32"/>
    <n v="48"/>
    <n v="217"/>
    <n v="1"/>
    <n v="2"/>
    <n v="0"/>
    <n v="4"/>
    <n v="5"/>
    <n v="0"/>
    <n v="0"/>
    <n v="0"/>
    <n v="0"/>
    <n v="0"/>
    <n v="0"/>
    <n v="0"/>
  </r>
  <r>
    <n v="2493"/>
    <n v="133039"/>
    <n v="1"/>
    <n v="0"/>
    <x v="19"/>
    <s v="Married"/>
    <s v="Graduate"/>
    <s v="2/14/2020"/>
    <s v="Texas"/>
    <n v="4"/>
    <n v="121"/>
    <n v="32"/>
    <n v="48"/>
    <n v="32"/>
    <n v="32"/>
    <n v="48"/>
    <n v="217"/>
    <n v="1"/>
    <n v="2"/>
    <n v="0"/>
    <n v="4"/>
    <n v="5"/>
    <n v="0"/>
    <n v="0"/>
    <n v="0"/>
    <n v="0"/>
    <n v="0"/>
    <n v="0"/>
    <n v="0"/>
  </r>
  <r>
    <n v="1744"/>
    <n v="131626"/>
    <n v="1"/>
    <n v="0"/>
    <x v="19"/>
    <s v="Single"/>
    <s v="PhD"/>
    <s v="10/15/2019"/>
    <s v="Other"/>
    <n v="12"/>
    <n v="162"/>
    <n v="4"/>
    <n v="37"/>
    <n v="8"/>
    <n v="4"/>
    <n v="142"/>
    <n v="75"/>
    <n v="1"/>
    <n v="2"/>
    <n v="1"/>
    <n v="2"/>
    <n v="7"/>
    <n v="0"/>
    <n v="1"/>
    <n v="0"/>
    <n v="0"/>
    <n v="1"/>
    <n v="0"/>
    <n v="0"/>
  </r>
  <r>
    <n v="1993"/>
    <n v="130168"/>
    <n v="1"/>
    <n v="0"/>
    <x v="19"/>
    <s v="Single"/>
    <s v="Graduate"/>
    <s v="8/12/2019"/>
    <s v="Illinois"/>
    <n v="51"/>
    <n v="664"/>
    <n v="86"/>
    <n v="285"/>
    <n v="0"/>
    <n v="52"/>
    <n v="116"/>
    <n v="971"/>
    <n v="7"/>
    <n v="6"/>
    <n v="1"/>
    <n v="4"/>
    <n v="9"/>
    <n v="0"/>
    <n v="0"/>
    <n v="0"/>
    <n v="0"/>
    <n v="0"/>
    <n v="0"/>
    <n v="0"/>
  </r>
  <r>
    <n v="2007"/>
    <n v="128647"/>
    <n v="1"/>
    <n v="0"/>
    <x v="19"/>
    <s v="Single"/>
    <s v="Graduate"/>
    <s v="1/26/2020"/>
    <s v="Texas"/>
    <n v="54"/>
    <n v="85"/>
    <n v="36"/>
    <n v="130"/>
    <n v="0"/>
    <n v="54"/>
    <n v="117"/>
    <n v="189"/>
    <n v="1"/>
    <n v="2"/>
    <n v="2"/>
    <n v="2"/>
    <n v="7"/>
    <n v="0"/>
    <n v="1"/>
    <n v="0"/>
    <n v="0"/>
    <n v="1"/>
    <n v="0"/>
    <n v="0"/>
  </r>
  <r>
    <n v="2995"/>
    <n v="128587"/>
    <n v="1"/>
    <n v="0"/>
    <x v="19"/>
    <s v="Together"/>
    <s v="Graduate"/>
    <s v="7/19/2020"/>
    <s v="Illinois"/>
    <n v="42"/>
    <n v="99"/>
    <n v="18"/>
    <n v="76"/>
    <n v="54"/>
    <n v="45"/>
    <n v="58"/>
    <n v="234"/>
    <n v="3"/>
    <n v="2"/>
    <n v="0"/>
    <n v="4"/>
    <n v="6"/>
    <n v="0"/>
    <n v="0"/>
    <n v="0"/>
    <n v="0"/>
    <n v="0"/>
    <n v="0"/>
    <n v="0"/>
  </r>
  <r>
    <n v="1346"/>
    <n v="128442"/>
    <n v="2"/>
    <n v="0"/>
    <x v="19"/>
    <s v="Married"/>
    <s v="Graduate"/>
    <s v="7/31/2020"/>
    <s v="New York"/>
    <n v="53"/>
    <n v="86"/>
    <n v="14"/>
    <n v="45"/>
    <n v="50"/>
    <n v="36"/>
    <n v="27"/>
    <n v="203"/>
    <n v="3"/>
    <n v="2"/>
    <n v="1"/>
    <n v="4"/>
    <n v="4"/>
    <n v="0"/>
    <n v="0"/>
    <n v="0"/>
    <n v="0"/>
    <n v="0"/>
    <n v="0"/>
    <n v="0"/>
  </r>
  <r>
    <n v="2225"/>
    <n v="127683"/>
    <n v="1"/>
    <n v="0"/>
    <x v="19"/>
    <s v="Together"/>
    <s v="PhD"/>
    <s v="1/9/2019"/>
    <s v="California"/>
    <n v="90"/>
    <n v="701"/>
    <n v="42"/>
    <n v="558"/>
    <n v="55"/>
    <n v="55"/>
    <n v="208"/>
    <n v="1204"/>
    <n v="4"/>
    <n v="6"/>
    <n v="2"/>
    <n v="4"/>
    <n v="8"/>
    <n v="0"/>
    <n v="0"/>
    <n v="0"/>
    <n v="0"/>
    <n v="0"/>
    <n v="0"/>
    <n v="0"/>
  </r>
  <r>
    <n v="3151"/>
    <n v="126487"/>
    <n v="1"/>
    <n v="0"/>
    <x v="19"/>
    <s v="Single"/>
    <s v="Basic"/>
    <s v="10/25/2019"/>
    <s v="Illinois"/>
    <n v="23"/>
    <n v="10"/>
    <n v="38"/>
    <n v="48"/>
    <n v="57"/>
    <n v="67"/>
    <n v="110"/>
    <n v="110"/>
    <n v="3"/>
    <n v="2"/>
    <n v="1"/>
    <n v="3"/>
    <n v="5"/>
    <n v="0"/>
    <n v="0"/>
    <n v="0"/>
    <n v="0"/>
    <n v="0"/>
    <n v="0"/>
    <n v="0"/>
  </r>
  <r>
    <n v="1582"/>
    <n v="126224"/>
    <n v="1"/>
    <n v="0"/>
    <x v="19"/>
    <s v="Married"/>
    <s v="Graduate"/>
    <s v="11/9/2019"/>
    <s v="Other"/>
    <n v="39"/>
    <n v="19"/>
    <n v="34"/>
    <n v="72"/>
    <n v="63"/>
    <n v="43"/>
    <n v="72"/>
    <n v="159"/>
    <n v="3"/>
    <n v="2"/>
    <n v="1"/>
    <n v="3"/>
    <n v="6"/>
    <n v="0"/>
    <n v="0"/>
    <n v="0"/>
    <n v="0"/>
    <n v="0"/>
    <n v="0"/>
    <n v="0"/>
  </r>
  <r>
    <n v="1698"/>
    <n v="125851"/>
    <n v="1"/>
    <n v="0"/>
    <x v="19"/>
    <s v="Together"/>
    <s v="Graduate"/>
    <s v="7/19/2019"/>
    <s v="Florida"/>
    <n v="45"/>
    <n v="44"/>
    <n v="19"/>
    <n v="88"/>
    <n v="34"/>
    <n v="24"/>
    <n v="24"/>
    <n v="185"/>
    <n v="2"/>
    <n v="2"/>
    <n v="0"/>
    <n v="3"/>
    <n v="7"/>
    <n v="0"/>
    <n v="0"/>
    <n v="0"/>
    <n v="0"/>
    <n v="0"/>
    <n v="0"/>
    <n v="0"/>
  </r>
  <r>
    <n v="1800"/>
    <n v="125804"/>
    <n v="1"/>
    <n v="0"/>
    <x v="19"/>
    <s v="Married"/>
    <s v="Graduate"/>
    <s v="2/6/2020"/>
    <s v="Florida"/>
    <n v="34"/>
    <n v="39"/>
    <n v="34"/>
    <n v="44"/>
    <n v="63"/>
    <n v="29"/>
    <n v="59"/>
    <n v="151"/>
    <n v="2"/>
    <n v="2"/>
    <n v="0"/>
    <n v="3"/>
    <n v="8"/>
    <n v="0"/>
    <n v="0"/>
    <n v="0"/>
    <n v="0"/>
    <n v="0"/>
    <n v="0"/>
    <n v="0"/>
  </r>
  <r>
    <n v="1179"/>
    <n v="124882"/>
    <n v="1"/>
    <n v="0"/>
    <x v="19"/>
    <s v="Together"/>
    <s v="Basic"/>
    <s v="2/14/2019"/>
    <s v="Texas"/>
    <n v="52"/>
    <n v="5"/>
    <n v="20"/>
    <n v="50"/>
    <n v="146"/>
    <n v="0"/>
    <n v="181"/>
    <n v="40"/>
    <n v="1"/>
    <n v="1"/>
    <n v="1"/>
    <n v="2"/>
    <n v="6"/>
    <n v="0"/>
    <n v="0"/>
    <n v="0"/>
    <n v="0"/>
    <n v="1"/>
    <n v="0"/>
    <n v="0"/>
  </r>
  <r>
    <n v="2871"/>
    <n v="124882"/>
    <n v="1"/>
    <n v="0"/>
    <x v="19"/>
    <s v="Together"/>
    <s v="Basic"/>
    <s v="2/14/2019"/>
    <s v="Texas"/>
    <n v="52"/>
    <n v="5"/>
    <n v="20"/>
    <n v="50"/>
    <n v="146"/>
    <n v="0"/>
    <n v="181"/>
    <n v="40"/>
    <n v="1"/>
    <n v="1"/>
    <n v="1"/>
    <n v="2"/>
    <n v="6"/>
    <n v="0"/>
    <n v="0"/>
    <n v="0"/>
    <n v="0"/>
    <n v="1"/>
    <n v="0"/>
    <n v="0"/>
  </r>
  <r>
    <n v="2609"/>
    <n v="122775"/>
    <n v="1"/>
    <n v="0"/>
    <x v="19"/>
    <s v="Together"/>
    <s v="Graduate"/>
    <s v="11/24/2019"/>
    <s v="California"/>
    <n v="40"/>
    <n v="27"/>
    <n v="5"/>
    <n v="43"/>
    <n v="0"/>
    <n v="0"/>
    <n v="5"/>
    <n v="70"/>
    <n v="1"/>
    <n v="1"/>
    <n v="0"/>
    <n v="2"/>
    <n v="8"/>
    <n v="0"/>
    <n v="0"/>
    <n v="0"/>
    <n v="0"/>
    <n v="0"/>
    <n v="0"/>
    <n v="0"/>
  </r>
  <r>
    <n v="3186"/>
    <n v="122775"/>
    <n v="1"/>
    <n v="0"/>
    <x v="19"/>
    <s v="Together"/>
    <s v="Graduate"/>
    <s v="11/24/2019"/>
    <s v="Florida"/>
    <n v="40"/>
    <n v="27"/>
    <n v="5"/>
    <n v="43"/>
    <n v="0"/>
    <n v="0"/>
    <n v="5"/>
    <n v="70"/>
    <n v="1"/>
    <n v="1"/>
    <n v="0"/>
    <n v="2"/>
    <n v="8"/>
    <n v="0"/>
    <n v="0"/>
    <n v="0"/>
    <n v="0"/>
    <n v="0"/>
    <n v="0"/>
    <n v="0"/>
  </r>
  <r>
    <n v="2123"/>
    <n v="121282"/>
    <n v="1"/>
    <n v="0"/>
    <x v="19"/>
    <s v="Divorced"/>
    <s v="Graduate"/>
    <s v="10/15/2020"/>
    <s v="California"/>
    <n v="76"/>
    <n v="6"/>
    <n v="28"/>
    <n v="46"/>
    <n v="23"/>
    <n v="46"/>
    <n v="114"/>
    <n v="34"/>
    <n v="2"/>
    <n v="2"/>
    <n v="1"/>
    <n v="2"/>
    <n v="6"/>
    <n v="0"/>
    <n v="0"/>
    <n v="0"/>
    <n v="0"/>
    <n v="0"/>
    <n v="0"/>
    <n v="0"/>
  </r>
  <r>
    <n v="2005"/>
    <n v="117345"/>
    <n v="1"/>
    <n v="0"/>
    <x v="19"/>
    <s v="Married"/>
    <s v="Graduate"/>
    <s v="4/10/2019"/>
    <s v="Illinois"/>
    <n v="79"/>
    <n v="27"/>
    <n v="61"/>
    <n v="108"/>
    <n v="115"/>
    <n v="0"/>
    <n v="81"/>
    <n v="230"/>
    <n v="2"/>
    <n v="2"/>
    <n v="1"/>
    <n v="2"/>
    <n v="8"/>
    <n v="0"/>
    <n v="0"/>
    <n v="0"/>
    <n v="0"/>
    <n v="0"/>
    <n v="0"/>
    <n v="0"/>
  </r>
  <r>
    <n v="1860"/>
    <n v="117117"/>
    <n v="1"/>
    <n v="0"/>
    <x v="19"/>
    <s v="Together"/>
    <s v="Graduate"/>
    <s v="6/24/2019"/>
    <s v="Florida"/>
    <n v="96"/>
    <n v="82"/>
    <n v="157"/>
    <n v="260"/>
    <n v="205"/>
    <n v="123"/>
    <n v="48"/>
    <n v="780"/>
    <n v="4"/>
    <n v="3"/>
    <n v="1"/>
    <n v="3"/>
    <n v="9"/>
    <n v="0"/>
    <n v="0"/>
    <n v="0"/>
    <n v="0"/>
    <n v="0"/>
    <n v="0"/>
    <n v="0"/>
  </r>
  <r>
    <n v="2439"/>
    <n v="116531"/>
    <n v="1"/>
    <n v="0"/>
    <x v="19"/>
    <s v="Together"/>
    <s v="Graduate"/>
    <s v="11/22/2020"/>
    <s v="Texas"/>
    <n v="43"/>
    <n v="14"/>
    <n v="92"/>
    <n v="42"/>
    <n v="49"/>
    <n v="35"/>
    <n v="78"/>
    <n v="155"/>
    <n v="3"/>
    <n v="3"/>
    <n v="0"/>
    <n v="3"/>
    <n v="7"/>
    <n v="0"/>
    <n v="0"/>
    <n v="0"/>
    <n v="0"/>
    <n v="0"/>
    <n v="0"/>
    <n v="0"/>
  </r>
  <r>
    <n v="2587"/>
    <n v="112393"/>
    <n v="0"/>
    <n v="0"/>
    <x v="19"/>
    <s v="Married"/>
    <s v="Graduate"/>
    <s v="5/11/2019"/>
    <s v="Illinois"/>
    <n v="38"/>
    <n v="45"/>
    <n v="54"/>
    <n v="136"/>
    <n v="100"/>
    <n v="63"/>
    <n v="118"/>
    <n v="281"/>
    <n v="1"/>
    <n v="2"/>
    <n v="0"/>
    <n v="3"/>
    <n v="9"/>
    <n v="0"/>
    <n v="0"/>
    <n v="0"/>
    <n v="0"/>
    <n v="0"/>
    <n v="0"/>
    <n v="0"/>
  </r>
  <r>
    <n v="2280"/>
    <n v="107500"/>
    <n v="1"/>
    <n v="1"/>
    <x v="19"/>
    <s v="Single"/>
    <s v="Graduate"/>
    <s v="6/3/2019"/>
    <s v="Florida"/>
    <n v="5"/>
    <n v="86"/>
    <n v="72"/>
    <n v="57"/>
    <n v="186"/>
    <n v="57"/>
    <n v="358"/>
    <n v="100"/>
    <n v="4"/>
    <n v="2"/>
    <n v="1"/>
    <n v="3"/>
    <n v="6"/>
    <n v="0"/>
    <n v="0"/>
    <n v="0"/>
    <n v="0"/>
    <n v="0"/>
    <n v="0"/>
    <n v="0"/>
  </r>
  <r>
    <n v="1191"/>
    <n v="202160"/>
    <n v="0"/>
    <n v="0"/>
    <x v="20"/>
    <s v="Together"/>
    <s v="PhD"/>
    <s v="4/9/2019"/>
    <s v="Texas"/>
    <n v="54"/>
    <n v="1510"/>
    <n v="57"/>
    <n v="273"/>
    <n v="150"/>
    <n v="348"/>
    <n v="115"/>
    <n v="2224"/>
    <n v="0"/>
    <n v="7"/>
    <n v="9"/>
    <n v="10"/>
    <n v="4"/>
    <n v="0"/>
    <n v="1"/>
    <n v="1"/>
    <n v="0"/>
    <n v="0"/>
    <n v="1"/>
    <n v="1"/>
  </r>
  <r>
    <n v="2987"/>
    <n v="196876"/>
    <n v="0"/>
    <n v="0"/>
    <x v="20"/>
    <s v="Together"/>
    <s v="Graduate"/>
    <s v="1/11/2020"/>
    <s v="California"/>
    <n v="79"/>
    <n v="1845"/>
    <n v="87"/>
    <n v="1494"/>
    <n v="81"/>
    <n v="394"/>
    <n v="43"/>
    <n v="3859"/>
    <n v="1"/>
    <n v="7"/>
    <n v="7"/>
    <n v="9"/>
    <n v="2"/>
    <n v="0"/>
    <n v="1"/>
    <n v="1"/>
    <n v="0"/>
    <n v="0"/>
    <n v="1"/>
    <n v="1"/>
  </r>
  <r>
    <n v="1886"/>
    <n v="185072"/>
    <n v="0"/>
    <n v="0"/>
    <x v="20"/>
    <s v="Single"/>
    <s v="Graduate"/>
    <s v="9/13/2020"/>
    <s v="New York"/>
    <n v="94"/>
    <n v="1075"/>
    <n v="200"/>
    <n v="851"/>
    <n v="422"/>
    <n v="24"/>
    <n v="524"/>
    <n v="2047"/>
    <n v="1"/>
    <n v="3"/>
    <n v="4"/>
    <n v="10"/>
    <n v="0"/>
    <n v="0"/>
    <n v="0"/>
    <n v="0"/>
    <n v="0"/>
    <n v="0"/>
    <n v="0"/>
    <n v="0"/>
  </r>
  <r>
    <n v="1050"/>
    <n v="182582"/>
    <n v="0"/>
    <n v="0"/>
    <x v="20"/>
    <s v="Divorced"/>
    <s v="Graduate"/>
    <s v="11/11/2020"/>
    <s v="Florida"/>
    <n v="54"/>
    <n v="1128"/>
    <n v="265"/>
    <n v="1216"/>
    <n v="345"/>
    <n v="88"/>
    <n v="533"/>
    <n v="2509"/>
    <n v="1"/>
    <n v="4"/>
    <n v="9"/>
    <n v="7"/>
    <n v="1"/>
    <n v="0"/>
    <n v="1"/>
    <n v="1"/>
    <n v="0"/>
    <n v="1"/>
    <n v="0"/>
    <n v="0"/>
  </r>
  <r>
    <n v="2844"/>
    <n v="182326"/>
    <n v="0"/>
    <n v="0"/>
    <x v="20"/>
    <s v="Together"/>
    <s v="Graduate"/>
    <s v="8/14/2020"/>
    <s v="Florida"/>
    <n v="30"/>
    <n v="2077"/>
    <n v="314"/>
    <n v="1670"/>
    <n v="352"/>
    <n v="179"/>
    <n v="405"/>
    <n v="4188"/>
    <n v="1"/>
    <n v="5"/>
    <n v="10"/>
    <n v="6"/>
    <n v="2"/>
    <n v="0"/>
    <n v="1"/>
    <n v="1"/>
    <n v="0"/>
    <n v="0"/>
    <n v="1"/>
    <n v="1"/>
  </r>
  <r>
    <n v="1631"/>
    <n v="178710"/>
    <n v="0"/>
    <n v="1"/>
    <x v="20"/>
    <s v="Married"/>
    <s v="Master"/>
    <s v="10/27/2020"/>
    <s v="California"/>
    <n v="42"/>
    <n v="1637"/>
    <n v="0"/>
    <n v="345"/>
    <n v="270"/>
    <n v="114"/>
    <n v="114"/>
    <n v="2252"/>
    <n v="3"/>
    <n v="7"/>
    <n v="6"/>
    <n v="12"/>
    <n v="4"/>
    <n v="0"/>
    <n v="0"/>
    <n v="0"/>
    <n v="0"/>
    <n v="0"/>
    <n v="0"/>
    <n v="0"/>
  </r>
  <r>
    <n v="3011"/>
    <n v="175330"/>
    <n v="1"/>
    <n v="1"/>
    <x v="20"/>
    <s v="Married"/>
    <s v="Graduate"/>
    <s v="3/11/2019"/>
    <s v="California"/>
    <n v="94"/>
    <n v="1292"/>
    <n v="191"/>
    <n v="598"/>
    <n v="216"/>
    <n v="142"/>
    <n v="142"/>
    <n v="2297"/>
    <n v="4"/>
    <n v="10"/>
    <n v="3"/>
    <n v="12"/>
    <n v="6"/>
    <n v="0"/>
    <n v="0"/>
    <n v="0"/>
    <n v="0"/>
    <n v="0"/>
    <n v="0"/>
    <n v="0"/>
  </r>
  <r>
    <n v="1747"/>
    <n v="174985"/>
    <n v="0"/>
    <n v="0"/>
    <x v="20"/>
    <s v="Married"/>
    <s v="Graduate"/>
    <s v="2/16/2019"/>
    <s v="Illinois"/>
    <n v="8"/>
    <n v="1370"/>
    <n v="119"/>
    <n v="2096"/>
    <n v="576"/>
    <n v="0"/>
    <n v="201"/>
    <n v="3960"/>
    <n v="1"/>
    <n v="3"/>
    <n v="6"/>
    <n v="7"/>
    <n v="2"/>
    <n v="0"/>
    <n v="0"/>
    <n v="0"/>
    <n v="0"/>
    <n v="0"/>
    <n v="0"/>
    <n v="0"/>
  </r>
  <r>
    <n v="2738"/>
    <n v="172117"/>
    <n v="0"/>
    <n v="1"/>
    <x v="20"/>
    <s v="Married"/>
    <s v="Graduate"/>
    <s v="1/25/2020"/>
    <s v="New York"/>
    <n v="34"/>
    <n v="1687"/>
    <n v="48"/>
    <n v="408"/>
    <n v="155"/>
    <n v="143"/>
    <n v="119"/>
    <n v="2322"/>
    <n v="1"/>
    <n v="9"/>
    <n v="7"/>
    <n v="9"/>
    <n v="5"/>
    <n v="0"/>
    <n v="0"/>
    <n v="0"/>
    <n v="0"/>
    <n v="0"/>
    <n v="0"/>
    <n v="0"/>
  </r>
  <r>
    <n v="2582"/>
    <n v="171855"/>
    <n v="0"/>
    <n v="1"/>
    <x v="20"/>
    <s v="Married"/>
    <s v="Graduate"/>
    <s v="6/23/2019"/>
    <s v="New York"/>
    <n v="59"/>
    <n v="1311"/>
    <n v="74"/>
    <n v="1009"/>
    <n v="0"/>
    <n v="268"/>
    <n v="67"/>
    <n v="2595"/>
    <n v="4"/>
    <n v="5"/>
    <n v="5"/>
    <n v="11"/>
    <n v="3"/>
    <n v="0"/>
    <n v="0"/>
    <n v="0"/>
    <n v="0"/>
    <n v="0"/>
    <n v="0"/>
    <n v="0"/>
  </r>
  <r>
    <n v="2386"/>
    <n v="169389"/>
    <n v="0"/>
    <n v="1"/>
    <x v="20"/>
    <s v="Married"/>
    <s v="PhD"/>
    <s v="3/5/2019"/>
    <s v="Other"/>
    <n v="17"/>
    <n v="1030"/>
    <n v="17"/>
    <n v="581"/>
    <n v="168"/>
    <n v="112"/>
    <n v="37"/>
    <n v="1872"/>
    <n v="1"/>
    <n v="7"/>
    <n v="2"/>
    <n v="12"/>
    <n v="4"/>
    <n v="0"/>
    <n v="0"/>
    <n v="0"/>
    <n v="0"/>
    <n v="0"/>
    <n v="0"/>
    <n v="0"/>
  </r>
  <r>
    <n v="1559"/>
    <n v="161996"/>
    <n v="0"/>
    <n v="1"/>
    <x v="20"/>
    <s v="Married"/>
    <s v="PhD"/>
    <s v="7/8/2019"/>
    <s v="California"/>
    <n v="27"/>
    <n v="2744"/>
    <n v="31"/>
    <n v="376"/>
    <n v="0"/>
    <n v="0"/>
    <n v="63"/>
    <n v="3089"/>
    <n v="3"/>
    <n v="6"/>
    <n v="4"/>
    <n v="8"/>
    <n v="5"/>
    <n v="0"/>
    <n v="1"/>
    <n v="1"/>
    <n v="1"/>
    <n v="0"/>
    <n v="1"/>
    <n v="0"/>
  </r>
  <r>
    <n v="2344"/>
    <n v="159601"/>
    <n v="0"/>
    <n v="1"/>
    <x v="20"/>
    <s v="Divorced"/>
    <s v="Graduate"/>
    <s v="12/30/2019"/>
    <s v="Other"/>
    <n v="14"/>
    <n v="1850"/>
    <n v="19"/>
    <n v="185"/>
    <n v="0"/>
    <n v="19"/>
    <n v="62"/>
    <n v="2011"/>
    <n v="4"/>
    <n v="2"/>
    <n v="2"/>
    <n v="7"/>
    <n v="8"/>
    <n v="0"/>
    <n v="0"/>
    <n v="0"/>
    <n v="0"/>
    <n v="0"/>
    <n v="1"/>
    <n v="0"/>
  </r>
  <r>
    <n v="1516"/>
    <n v="157954"/>
    <n v="1"/>
    <n v="1"/>
    <x v="20"/>
    <s v="Together"/>
    <s v="Master"/>
    <s v="11/22/2020"/>
    <s v="Other"/>
    <n v="52"/>
    <n v="1243"/>
    <n v="11"/>
    <n v="65"/>
    <n v="0"/>
    <n v="0"/>
    <n v="25"/>
    <n v="1295"/>
    <n v="7"/>
    <n v="8"/>
    <n v="2"/>
    <n v="6"/>
    <n v="7"/>
    <n v="0"/>
    <n v="0"/>
    <n v="0"/>
    <n v="0"/>
    <n v="0"/>
    <n v="1"/>
    <n v="0"/>
  </r>
  <r>
    <n v="1820"/>
    <n v="156628"/>
    <n v="0"/>
    <n v="1"/>
    <x v="20"/>
    <s v="Single"/>
    <s v="Graduate"/>
    <s v="8/25/2020"/>
    <s v="New York"/>
    <n v="30"/>
    <n v="1325"/>
    <n v="14"/>
    <n v="227"/>
    <n v="19"/>
    <n v="47"/>
    <n v="473"/>
    <n v="1159"/>
    <n v="2"/>
    <n v="7"/>
    <n v="6"/>
    <n v="5"/>
    <n v="5"/>
    <n v="0"/>
    <n v="0"/>
    <n v="0"/>
    <n v="0"/>
    <n v="1"/>
    <n v="0"/>
    <n v="0"/>
  </r>
  <r>
    <n v="1461"/>
    <n v="155842"/>
    <n v="0"/>
    <n v="1"/>
    <x v="20"/>
    <s v="Married"/>
    <s v="Master"/>
    <s v="10/27/2020"/>
    <s v="Texas"/>
    <n v="19"/>
    <n v="1259"/>
    <n v="0"/>
    <n v="109"/>
    <n v="0"/>
    <n v="11"/>
    <n v="67"/>
    <n v="1312"/>
    <n v="1"/>
    <n v="7"/>
    <n v="1"/>
    <n v="8"/>
    <n v="5"/>
    <n v="0"/>
    <n v="0"/>
    <n v="0"/>
    <n v="0"/>
    <n v="0"/>
    <n v="0"/>
    <n v="0"/>
  </r>
  <r>
    <n v="1148"/>
    <n v="155375"/>
    <n v="0"/>
    <n v="1"/>
    <x v="20"/>
    <s v="Together"/>
    <s v="Graduate"/>
    <s v="3/23/2020"/>
    <s v="New York"/>
    <n v="3"/>
    <n v="118"/>
    <n v="31"/>
    <n v="160"/>
    <n v="28"/>
    <n v="79"/>
    <n v="39"/>
    <n v="376"/>
    <n v="1"/>
    <n v="1"/>
    <n v="1"/>
    <n v="6"/>
    <n v="2"/>
    <n v="0"/>
    <n v="0"/>
    <n v="0"/>
    <n v="0"/>
    <n v="0"/>
    <n v="0"/>
    <n v="0"/>
  </r>
  <r>
    <n v="2181"/>
    <n v="154809"/>
    <n v="1"/>
    <n v="1"/>
    <x v="20"/>
    <s v="Married"/>
    <s v="Graduate"/>
    <s v="2/16/2020"/>
    <s v="Texas"/>
    <n v="0"/>
    <n v="178"/>
    <n v="17"/>
    <n v="161"/>
    <n v="37"/>
    <n v="37"/>
    <n v="62"/>
    <n v="367"/>
    <n v="4"/>
    <n v="2"/>
    <n v="1"/>
    <n v="5"/>
    <n v="4"/>
    <n v="0"/>
    <n v="0"/>
    <n v="0"/>
    <n v="0"/>
    <n v="0"/>
    <n v="0"/>
    <n v="0"/>
  </r>
  <r>
    <n v="2809"/>
    <n v="154809"/>
    <n v="1"/>
    <n v="1"/>
    <x v="20"/>
    <s v="Married"/>
    <s v="Graduate"/>
    <s v="2/16/2020"/>
    <s v="Illinois"/>
    <n v="0"/>
    <n v="178"/>
    <n v="17"/>
    <n v="161"/>
    <n v="37"/>
    <n v="37"/>
    <n v="62"/>
    <n v="367"/>
    <n v="4"/>
    <n v="2"/>
    <n v="1"/>
    <n v="5"/>
    <n v="4"/>
    <n v="0"/>
    <n v="1"/>
    <n v="0"/>
    <n v="0"/>
    <n v="0"/>
    <n v="0"/>
    <n v="0"/>
  </r>
  <r>
    <n v="2066"/>
    <n v="154233"/>
    <n v="0"/>
    <n v="1"/>
    <x v="20"/>
    <s v="Married"/>
    <s v="Graduate"/>
    <s v="7/12/2019"/>
    <s v="New York"/>
    <n v="46"/>
    <n v="1854"/>
    <n v="23"/>
    <n v="449"/>
    <n v="60"/>
    <n v="0"/>
    <n v="404"/>
    <n v="1982"/>
    <n v="4"/>
    <n v="11"/>
    <n v="6"/>
    <n v="5"/>
    <n v="8"/>
    <n v="0"/>
    <n v="0"/>
    <n v="0"/>
    <n v="0"/>
    <n v="0"/>
    <n v="0"/>
    <n v="0"/>
  </r>
  <r>
    <n v="1511"/>
    <n v="150353"/>
    <n v="0"/>
    <n v="0"/>
    <x v="20"/>
    <s v="Married"/>
    <s v="Master"/>
    <s v="11/12/2020"/>
    <s v="California"/>
    <n v="72"/>
    <n v="421"/>
    <n v="45"/>
    <n v="457"/>
    <n v="200"/>
    <n v="93"/>
    <n v="105"/>
    <n v="1111"/>
    <n v="1"/>
    <n v="4"/>
    <n v="4"/>
    <n v="6"/>
    <n v="3"/>
    <n v="0"/>
    <n v="0"/>
    <n v="0"/>
    <n v="0"/>
    <n v="0"/>
    <n v="0"/>
    <n v="0"/>
  </r>
  <r>
    <n v="2108"/>
    <n v="146931"/>
    <n v="2"/>
    <n v="1"/>
    <x v="20"/>
    <s v="Together"/>
    <s v="Graduate"/>
    <s v="9/28/2020"/>
    <s v="New York"/>
    <n v="94"/>
    <n v="128"/>
    <n v="0"/>
    <n v="53"/>
    <n v="9"/>
    <n v="3"/>
    <n v="50"/>
    <n v="144"/>
    <n v="2"/>
    <n v="1"/>
    <n v="1"/>
    <n v="3"/>
    <n v="3"/>
    <n v="0"/>
    <n v="0"/>
    <n v="0"/>
    <n v="0"/>
    <n v="0"/>
    <n v="0"/>
    <n v="0"/>
  </r>
  <r>
    <n v="2321"/>
    <n v="143263"/>
    <n v="0"/>
    <n v="1"/>
    <x v="20"/>
    <s v="Married"/>
    <s v="Master"/>
    <s v="4/28/2019"/>
    <s v="California"/>
    <n v="2"/>
    <n v="868"/>
    <n v="20"/>
    <n v="202"/>
    <n v="0"/>
    <n v="33"/>
    <n v="338"/>
    <n v="785"/>
    <n v="3"/>
    <n v="5"/>
    <n v="2"/>
    <n v="6"/>
    <n v="5"/>
    <n v="0"/>
    <n v="0"/>
    <n v="0"/>
    <n v="0"/>
    <n v="0"/>
    <n v="0"/>
    <n v="0"/>
  </r>
  <r>
    <n v="2274"/>
    <n v="142997"/>
    <n v="1"/>
    <n v="1"/>
    <x v="20"/>
    <s v="Single"/>
    <s v="PhD"/>
    <s v="5/13/2020"/>
    <s v="Florida"/>
    <n v="91"/>
    <n v="13"/>
    <n v="0"/>
    <n v="17"/>
    <n v="0"/>
    <n v="3"/>
    <n v="17"/>
    <n v="17"/>
    <n v="1"/>
    <n v="1"/>
    <n v="0"/>
    <n v="2"/>
    <n v="7"/>
    <n v="0"/>
    <n v="0"/>
    <n v="0"/>
    <n v="0"/>
    <n v="0"/>
    <n v="0"/>
    <n v="0"/>
  </r>
  <r>
    <n v="2478"/>
    <n v="142014"/>
    <n v="1"/>
    <n v="0"/>
    <x v="20"/>
    <s v="Married"/>
    <s v="Graduate"/>
    <s v="1/22/2019"/>
    <s v="Florida"/>
    <n v="56"/>
    <n v="825"/>
    <n v="51"/>
    <n v="365"/>
    <n v="14"/>
    <n v="51"/>
    <n v="169"/>
    <n v="1136"/>
    <n v="6"/>
    <n v="7"/>
    <n v="1"/>
    <n v="6"/>
    <n v="8"/>
    <n v="0"/>
    <n v="1"/>
    <n v="0"/>
    <n v="0"/>
    <n v="0"/>
    <n v="0"/>
    <n v="0"/>
  </r>
  <r>
    <n v="2550"/>
    <n v="142014"/>
    <n v="1"/>
    <n v="0"/>
    <x v="20"/>
    <s v="Married"/>
    <s v="Graduate"/>
    <s v="1/22/2019"/>
    <s v="Florida"/>
    <n v="56"/>
    <n v="825"/>
    <n v="51"/>
    <n v="365"/>
    <n v="14"/>
    <n v="51"/>
    <n v="169"/>
    <n v="1136"/>
    <n v="6"/>
    <n v="7"/>
    <n v="1"/>
    <n v="6"/>
    <n v="8"/>
    <n v="0"/>
    <n v="1"/>
    <n v="0"/>
    <n v="0"/>
    <n v="0"/>
    <n v="0"/>
    <n v="0"/>
  </r>
  <r>
    <n v="1203"/>
    <n v="141443"/>
    <n v="1"/>
    <n v="0"/>
    <x v="20"/>
    <s v="Married"/>
    <s v="Graduate"/>
    <s v="9/5/2020"/>
    <s v="Texas"/>
    <n v="79"/>
    <n v="584"/>
    <n v="24"/>
    <n v="584"/>
    <n v="85"/>
    <n v="65"/>
    <n v="304"/>
    <n v="1038"/>
    <n v="6"/>
    <n v="8"/>
    <n v="1"/>
    <n v="5"/>
    <n v="8"/>
    <n v="0"/>
    <n v="0"/>
    <n v="0"/>
    <n v="0"/>
    <n v="0"/>
    <n v="0"/>
    <n v="0"/>
  </r>
  <r>
    <n v="1463"/>
    <n v="141124"/>
    <n v="1"/>
    <n v="0"/>
    <x v="20"/>
    <s v="Married"/>
    <s v="Graduate"/>
    <s v="4/7/2019"/>
    <s v="California"/>
    <n v="41"/>
    <n v="964"/>
    <n v="24"/>
    <n v="288"/>
    <n v="51"/>
    <n v="0"/>
    <n v="408"/>
    <n v="920"/>
    <n v="7"/>
    <n v="7"/>
    <n v="3"/>
    <n v="4"/>
    <n v="8"/>
    <n v="0"/>
    <n v="0"/>
    <n v="0"/>
    <n v="0"/>
    <n v="0"/>
    <n v="0"/>
    <n v="0"/>
  </r>
  <r>
    <n v="1070"/>
    <n v="140246"/>
    <n v="1"/>
    <n v="0"/>
    <x v="20"/>
    <s v="Divorced"/>
    <s v="Graduate"/>
    <s v="5/26/2019"/>
    <s v="New York"/>
    <n v="68"/>
    <n v="7"/>
    <n v="3"/>
    <n v="21"/>
    <n v="7"/>
    <n v="3"/>
    <n v="3"/>
    <n v="38"/>
    <n v="1"/>
    <n v="1"/>
    <n v="0"/>
    <n v="2"/>
    <n v="6"/>
    <n v="0"/>
    <n v="0"/>
    <n v="0"/>
    <n v="0"/>
    <n v="0"/>
    <n v="0"/>
    <n v="0"/>
  </r>
  <r>
    <n v="1929"/>
    <n v="139771"/>
    <n v="1"/>
    <n v="0"/>
    <x v="20"/>
    <s v="Together"/>
    <s v="Graduate"/>
    <s v="5/12/2020"/>
    <s v="Texas"/>
    <n v="92"/>
    <n v="21"/>
    <n v="7"/>
    <n v="63"/>
    <n v="7"/>
    <n v="28"/>
    <n v="49"/>
    <n v="77"/>
    <n v="1"/>
    <n v="2"/>
    <n v="0"/>
    <n v="3"/>
    <n v="4"/>
    <n v="0"/>
    <n v="0"/>
    <n v="0"/>
    <n v="0"/>
    <n v="0"/>
    <n v="0"/>
    <n v="0"/>
  </r>
  <r>
    <n v="2303"/>
    <n v="137774"/>
    <n v="2"/>
    <n v="0"/>
    <x v="20"/>
    <s v="Single"/>
    <s v="Graduate"/>
    <s v="2/8/2019"/>
    <s v="California"/>
    <n v="28"/>
    <n v="631"/>
    <n v="29"/>
    <n v="390"/>
    <n v="26"/>
    <n v="7"/>
    <n v="642"/>
    <n v="441"/>
    <n v="4"/>
    <n v="7"/>
    <n v="2"/>
    <n v="3"/>
    <n v="9"/>
    <n v="1"/>
    <n v="1"/>
    <n v="0"/>
    <n v="0"/>
    <n v="1"/>
    <n v="0"/>
    <n v="0"/>
  </r>
  <r>
    <n v="2772"/>
    <n v="136273"/>
    <n v="1"/>
    <n v="0"/>
    <x v="20"/>
    <s v="Single"/>
    <s v="Master"/>
    <s v="9/20/2020"/>
    <s v="Florida"/>
    <n v="80"/>
    <n v="109"/>
    <n v="11"/>
    <n v="113"/>
    <n v="11"/>
    <n v="8"/>
    <n v="34"/>
    <n v="218"/>
    <n v="2"/>
    <n v="3"/>
    <n v="0"/>
    <n v="3"/>
    <n v="6"/>
    <n v="0"/>
    <n v="0"/>
    <n v="0"/>
    <n v="0"/>
    <n v="0"/>
    <n v="0"/>
    <n v="0"/>
  </r>
  <r>
    <n v="1049"/>
    <n v="135790"/>
    <n v="1"/>
    <n v="0"/>
    <x v="20"/>
    <s v="Single"/>
    <s v="Graduate"/>
    <s v="6/9/2019"/>
    <s v="California"/>
    <n v="54"/>
    <n v="46"/>
    <n v="23"/>
    <n v="76"/>
    <n v="114"/>
    <n v="4"/>
    <n v="11"/>
    <n v="250"/>
    <n v="2"/>
    <n v="2"/>
    <n v="0"/>
    <n v="3"/>
    <n v="7"/>
    <n v="0"/>
    <n v="0"/>
    <n v="0"/>
    <n v="0"/>
    <n v="0"/>
    <n v="0"/>
    <n v="0"/>
  </r>
  <r>
    <n v="1611"/>
    <n v="134487"/>
    <n v="1"/>
    <n v="1"/>
    <x v="20"/>
    <s v="Divorced"/>
    <s v="PhD"/>
    <s v="2/11/2019"/>
    <s v="Texas"/>
    <n v="94"/>
    <n v="74"/>
    <n v="70"/>
    <n v="129"/>
    <n v="94"/>
    <n v="4"/>
    <n v="31"/>
    <n v="339"/>
    <n v="3"/>
    <n v="3"/>
    <n v="0"/>
    <n v="3"/>
    <n v="9"/>
    <n v="0"/>
    <n v="0"/>
    <n v="0"/>
    <n v="0"/>
    <n v="0"/>
    <n v="0"/>
    <n v="0"/>
  </r>
  <r>
    <n v="2447"/>
    <n v="134380"/>
    <n v="1"/>
    <n v="0"/>
    <x v="20"/>
    <s v="Married"/>
    <s v="Graduate"/>
    <s v="10/7/2019"/>
    <s v="California"/>
    <n v="68"/>
    <n v="281"/>
    <n v="27"/>
    <n v="227"/>
    <n v="51"/>
    <n v="4"/>
    <n v="94"/>
    <n v="496"/>
    <n v="4"/>
    <n v="4"/>
    <n v="1"/>
    <n v="3"/>
    <n v="8"/>
    <n v="0"/>
    <n v="0"/>
    <n v="0"/>
    <n v="0"/>
    <n v="0"/>
    <n v="0"/>
    <n v="0"/>
  </r>
  <r>
    <n v="1577"/>
    <n v="133178"/>
    <n v="1"/>
    <n v="0"/>
    <x v="20"/>
    <s v="Together"/>
    <s v="Graduate"/>
    <s v="7/6/2020"/>
    <s v="California"/>
    <n v="9"/>
    <n v="48"/>
    <n v="24"/>
    <n v="8"/>
    <n v="44"/>
    <n v="8"/>
    <n v="64"/>
    <n v="68"/>
    <n v="1"/>
    <n v="1"/>
    <n v="0"/>
    <n v="3"/>
    <n v="4"/>
    <n v="0"/>
    <n v="0"/>
    <n v="0"/>
    <n v="0"/>
    <n v="0"/>
    <n v="0"/>
    <n v="0"/>
  </r>
  <r>
    <n v="2472"/>
    <n v="132952"/>
    <n v="1"/>
    <n v="0"/>
    <x v="20"/>
    <s v="Divorced"/>
    <s v="Graduate"/>
    <s v="5/7/2020"/>
    <s v="Florida"/>
    <n v="36"/>
    <n v="153"/>
    <n v="0"/>
    <n v="48"/>
    <n v="12"/>
    <n v="4"/>
    <n v="4"/>
    <n v="214"/>
    <n v="1"/>
    <n v="2"/>
    <n v="0"/>
    <n v="3"/>
    <n v="7"/>
    <n v="0"/>
    <n v="0"/>
    <n v="0"/>
    <n v="0"/>
    <n v="0"/>
    <n v="0"/>
    <n v="0"/>
  </r>
  <r>
    <n v="2895"/>
    <n v="131878"/>
    <n v="0"/>
    <n v="1"/>
    <x v="20"/>
    <s v="Single"/>
    <s v="Graduate"/>
    <s v="11/26/2020"/>
    <s v="Texas"/>
    <n v="7"/>
    <n v="95"/>
    <n v="17"/>
    <n v="21"/>
    <n v="41"/>
    <n v="21"/>
    <n v="95"/>
    <n v="99"/>
    <n v="1"/>
    <n v="1"/>
    <n v="0"/>
    <n v="4"/>
    <n v="3"/>
    <n v="0"/>
    <n v="0"/>
    <n v="0"/>
    <n v="0"/>
    <n v="0"/>
    <n v="0"/>
    <n v="0"/>
  </r>
  <r>
    <n v="1183"/>
    <n v="131353"/>
    <n v="1"/>
    <n v="1"/>
    <x v="20"/>
    <s v="Married"/>
    <s v="Graduate"/>
    <s v="6/4/2020"/>
    <s v="Illinois"/>
    <n v="24"/>
    <n v="42"/>
    <n v="0"/>
    <n v="42"/>
    <n v="13"/>
    <n v="4"/>
    <n v="29"/>
    <n v="71"/>
    <n v="2"/>
    <n v="1"/>
    <n v="1"/>
    <n v="2"/>
    <n v="8"/>
    <n v="0"/>
    <n v="0"/>
    <n v="0"/>
    <n v="0"/>
    <n v="0"/>
    <n v="0"/>
    <n v="0"/>
  </r>
  <r>
    <n v="2590"/>
    <n v="131353"/>
    <n v="1"/>
    <n v="1"/>
    <x v="20"/>
    <s v="Married"/>
    <s v="Graduate"/>
    <s v="6/4/2020"/>
    <s v="Other"/>
    <n v="24"/>
    <n v="42"/>
    <n v="0"/>
    <n v="42"/>
    <n v="13"/>
    <n v="4"/>
    <n v="29"/>
    <n v="71"/>
    <n v="2"/>
    <n v="1"/>
    <n v="1"/>
    <n v="2"/>
    <n v="8"/>
    <n v="0"/>
    <n v="1"/>
    <n v="0"/>
    <n v="0"/>
    <n v="0"/>
    <n v="0"/>
    <n v="0"/>
  </r>
  <r>
    <n v="2014"/>
    <n v="131056"/>
    <n v="1"/>
    <n v="0"/>
    <x v="20"/>
    <s v="Married"/>
    <s v="Graduate"/>
    <s v="6/29/2019"/>
    <s v="Other"/>
    <n v="99"/>
    <n v="21"/>
    <n v="42"/>
    <n v="55"/>
    <n v="13"/>
    <n v="34"/>
    <n v="68"/>
    <n v="97"/>
    <n v="1"/>
    <n v="1"/>
    <n v="0"/>
    <n v="3"/>
    <n v="8"/>
    <n v="0"/>
    <n v="0"/>
    <n v="0"/>
    <n v="0"/>
    <n v="0"/>
    <n v="0"/>
    <n v="0"/>
  </r>
  <r>
    <n v="2980"/>
    <n v="130368"/>
    <n v="0"/>
    <n v="1"/>
    <x v="20"/>
    <s v="Married"/>
    <s v="Graduate"/>
    <s v="4/13/2020"/>
    <s v="Other"/>
    <n v="97"/>
    <n v="150"/>
    <n v="0"/>
    <n v="56"/>
    <n v="9"/>
    <n v="0"/>
    <n v="9"/>
    <n v="206"/>
    <n v="2"/>
    <n v="2"/>
    <n v="0"/>
    <n v="3"/>
    <n v="8"/>
    <n v="0"/>
    <n v="0"/>
    <n v="0"/>
    <n v="0"/>
    <n v="0"/>
    <n v="0"/>
    <n v="0"/>
  </r>
  <r>
    <n v="2752"/>
    <n v="128973"/>
    <n v="0"/>
    <n v="0"/>
    <x v="20"/>
    <s v="Married"/>
    <s v="PhD"/>
    <s v="3/20/2019"/>
    <s v="Other"/>
    <n v="59"/>
    <n v="917"/>
    <n v="0"/>
    <n v="205"/>
    <n v="13"/>
    <n v="9"/>
    <n v="53"/>
    <n v="1091"/>
    <n v="2"/>
    <n v="5"/>
    <n v="1"/>
    <n v="5"/>
    <n v="8"/>
    <n v="0"/>
    <n v="0"/>
    <n v="0"/>
    <n v="0"/>
    <n v="0"/>
    <n v="0"/>
    <n v="0"/>
  </r>
  <r>
    <n v="1612"/>
    <n v="128769"/>
    <n v="1"/>
    <n v="0"/>
    <x v="20"/>
    <s v="Single"/>
    <s v="Graduate"/>
    <s v="5/25/2019"/>
    <s v="Other"/>
    <n v="76"/>
    <n v="184"/>
    <n v="22"/>
    <n v="577"/>
    <n v="45"/>
    <n v="13"/>
    <n v="13"/>
    <n v="828"/>
    <n v="3"/>
    <n v="4"/>
    <n v="1"/>
    <n v="4"/>
    <n v="9"/>
    <n v="0"/>
    <n v="0"/>
    <n v="0"/>
    <n v="0"/>
    <n v="0"/>
    <n v="0"/>
    <n v="0"/>
  </r>
  <r>
    <n v="3049"/>
    <n v="127889"/>
    <n v="1"/>
    <n v="0"/>
    <x v="20"/>
    <s v="Married"/>
    <s v="Master"/>
    <s v="12/10/2019"/>
    <s v="Illinois"/>
    <n v="42"/>
    <n v="64"/>
    <n v="0"/>
    <n v="18"/>
    <n v="0"/>
    <n v="0"/>
    <n v="37"/>
    <n v="46"/>
    <n v="1"/>
    <n v="1"/>
    <n v="1"/>
    <n v="2"/>
    <n v="6"/>
    <n v="0"/>
    <n v="0"/>
    <n v="0"/>
    <n v="0"/>
    <n v="0"/>
    <n v="0"/>
    <n v="0"/>
  </r>
  <r>
    <n v="1524"/>
    <n v="125315"/>
    <n v="1"/>
    <n v="0"/>
    <x v="20"/>
    <s v="Together"/>
    <s v="Graduate"/>
    <s v="4/13/2020"/>
    <s v="Florida"/>
    <n v="46"/>
    <n v="5"/>
    <n v="45"/>
    <n v="40"/>
    <n v="54"/>
    <n v="15"/>
    <n v="109"/>
    <n v="50"/>
    <n v="3"/>
    <n v="3"/>
    <n v="0"/>
    <n v="3"/>
    <n v="8"/>
    <n v="0"/>
    <n v="0"/>
    <n v="0"/>
    <n v="0"/>
    <n v="0"/>
    <n v="0"/>
    <n v="0"/>
  </r>
  <r>
    <n v="2917"/>
    <n v="123763"/>
    <n v="1"/>
    <n v="0"/>
    <x v="20"/>
    <s v="Single"/>
    <s v="Graduate"/>
    <s v="1/12/2019"/>
    <s v="Illinois"/>
    <n v="64"/>
    <n v="115"/>
    <n v="0"/>
    <n v="31"/>
    <n v="31"/>
    <n v="10"/>
    <n v="31"/>
    <n v="156"/>
    <n v="1"/>
    <n v="1"/>
    <n v="0"/>
    <n v="3"/>
    <n v="7"/>
    <n v="0"/>
    <n v="0"/>
    <n v="0"/>
    <n v="0"/>
    <n v="0"/>
    <n v="0"/>
    <n v="0"/>
  </r>
  <r>
    <n v="2900"/>
    <n v="122701"/>
    <n v="1"/>
    <n v="0"/>
    <x v="20"/>
    <s v="Married"/>
    <s v="Master"/>
    <s v="2/10/2020"/>
    <s v="New York"/>
    <n v="2"/>
    <n v="11"/>
    <n v="22"/>
    <n v="49"/>
    <n v="0"/>
    <n v="22"/>
    <n v="27"/>
    <n v="76"/>
    <n v="1"/>
    <n v="1"/>
    <n v="0"/>
    <n v="3"/>
    <n v="5"/>
    <n v="0"/>
    <n v="0"/>
    <n v="0"/>
    <n v="0"/>
    <n v="0"/>
    <n v="0"/>
    <n v="0"/>
  </r>
  <r>
    <n v="2692"/>
    <n v="122108"/>
    <n v="1"/>
    <n v="1"/>
    <x v="20"/>
    <s v="Married"/>
    <s v="Graduate"/>
    <s v="10/12/2020"/>
    <s v="Other"/>
    <n v="46"/>
    <n v="28"/>
    <n v="17"/>
    <n v="50"/>
    <n v="33"/>
    <n v="11"/>
    <n v="33"/>
    <n v="105"/>
    <n v="2"/>
    <n v="2"/>
    <n v="0"/>
    <n v="3"/>
    <n v="7"/>
    <n v="0"/>
    <n v="0"/>
    <n v="0"/>
    <n v="0"/>
    <n v="0"/>
    <n v="0"/>
    <n v="0"/>
  </r>
  <r>
    <n v="2490"/>
    <n v="120981"/>
    <n v="0"/>
    <n v="0"/>
    <x v="20"/>
    <s v="Together"/>
    <s v="Graduate"/>
    <s v="10/5/2019"/>
    <s v="Florida"/>
    <n v="14"/>
    <n v="12"/>
    <n v="69"/>
    <n v="58"/>
    <n v="35"/>
    <n v="75"/>
    <n v="173"/>
    <n v="75"/>
    <n v="1"/>
    <n v="3"/>
    <n v="1"/>
    <n v="2"/>
    <n v="8"/>
    <n v="0"/>
    <n v="1"/>
    <n v="0"/>
    <n v="0"/>
    <n v="0"/>
    <n v="0"/>
    <n v="0"/>
  </r>
  <r>
    <n v="2114"/>
    <n v="185606"/>
    <n v="0"/>
    <n v="1"/>
    <x v="21"/>
    <s v="Together"/>
    <s v="Graduate"/>
    <s v="4/19/2019"/>
    <s v="New York"/>
    <n v="89"/>
    <n v="1555"/>
    <n v="91"/>
    <n v="1873"/>
    <n v="475"/>
    <n v="65"/>
    <n v="182"/>
    <n v="3877"/>
    <n v="2"/>
    <n v="6"/>
    <n v="7"/>
    <n v="9"/>
    <n v="3"/>
    <n v="0"/>
    <n v="0"/>
    <n v="1"/>
    <n v="0"/>
    <n v="0"/>
    <n v="0"/>
    <n v="0"/>
  </r>
  <r>
    <n v="3067"/>
    <n v="181929"/>
    <n v="1"/>
    <n v="0"/>
    <x v="21"/>
    <s v="Married"/>
    <s v="Master"/>
    <s v="3/6/2019"/>
    <s v="Illinois"/>
    <n v="60"/>
    <n v="3300"/>
    <n v="122"/>
    <n v="617"/>
    <n v="109"/>
    <n v="0"/>
    <n v="411"/>
    <n v="3737"/>
    <n v="2"/>
    <n v="4"/>
    <n v="4"/>
    <n v="10"/>
    <n v="6"/>
    <n v="0"/>
    <n v="1"/>
    <n v="0"/>
    <n v="0"/>
    <n v="1"/>
    <n v="0"/>
    <n v="1"/>
  </r>
  <r>
    <n v="1043"/>
    <n v="179941"/>
    <n v="0"/>
    <n v="0"/>
    <x v="21"/>
    <s v="Single"/>
    <s v="Graduate"/>
    <s v="12/2/2020"/>
    <s v="California"/>
    <n v="72"/>
    <n v="277"/>
    <n v="369"/>
    <n v="599"/>
    <n v="511"/>
    <n v="68"/>
    <n v="392"/>
    <n v="1432"/>
    <n v="1"/>
    <n v="2"/>
    <n v="4"/>
    <n v="9"/>
    <n v="1"/>
    <n v="0"/>
    <n v="0"/>
    <n v="0"/>
    <n v="0"/>
    <n v="0"/>
    <n v="0"/>
    <n v="0"/>
  </r>
  <r>
    <n v="1969"/>
    <n v="179689"/>
    <n v="0"/>
    <n v="0"/>
    <x v="21"/>
    <s v="Single"/>
    <s v="Graduate"/>
    <s v="10/17/2019"/>
    <s v="Illinois"/>
    <n v="65"/>
    <n v="701"/>
    <n v="59"/>
    <n v="1443"/>
    <n v="406"/>
    <n v="83"/>
    <n v="273"/>
    <n v="2419"/>
    <n v="1"/>
    <n v="4"/>
    <n v="9"/>
    <n v="13"/>
    <n v="2"/>
    <n v="0"/>
    <n v="0"/>
    <n v="0"/>
    <n v="0"/>
    <n v="0"/>
    <n v="0"/>
    <n v="0"/>
  </r>
  <r>
    <n v="2775"/>
    <n v="178416"/>
    <n v="0"/>
    <n v="1"/>
    <x v="21"/>
    <s v="Together"/>
    <s v="Graduate"/>
    <s v="12/1/2020"/>
    <s v="Texas"/>
    <n v="99"/>
    <n v="1031"/>
    <n v="86"/>
    <n v="635"/>
    <n v="428"/>
    <n v="86"/>
    <n v="416"/>
    <n v="1850"/>
    <n v="2"/>
    <n v="7"/>
    <n v="7"/>
    <n v="10"/>
    <n v="3"/>
    <n v="0"/>
    <n v="0"/>
    <n v="0"/>
    <n v="0"/>
    <n v="0"/>
    <n v="0"/>
    <n v="0"/>
  </r>
  <r>
    <n v="1072"/>
    <n v="175825"/>
    <n v="0"/>
    <n v="0"/>
    <x v="21"/>
    <s v="Single"/>
    <s v="Graduate"/>
    <s v="3/19/2019"/>
    <s v="Other"/>
    <n v="40"/>
    <n v="2393"/>
    <n v="243"/>
    <n v="1806"/>
    <n v="318"/>
    <n v="243"/>
    <n v="118"/>
    <n v="4886"/>
    <n v="0"/>
    <n v="5"/>
    <n v="8"/>
    <n v="9"/>
    <n v="4"/>
    <n v="0"/>
    <n v="1"/>
    <n v="0"/>
    <n v="0"/>
    <n v="1"/>
    <n v="0"/>
    <n v="0"/>
  </r>
  <r>
    <n v="2460"/>
    <n v="175484"/>
    <n v="0"/>
    <n v="1"/>
    <x v="21"/>
    <s v="Together"/>
    <s v="Graduate"/>
    <s v="1/7/2019"/>
    <s v="Florida"/>
    <n v="50"/>
    <n v="879"/>
    <n v="226"/>
    <n v="602"/>
    <n v="458"/>
    <n v="451"/>
    <n v="79"/>
    <n v="2536"/>
    <n v="2"/>
    <n v="7"/>
    <n v="3"/>
    <n v="6"/>
    <n v="4"/>
    <n v="0"/>
    <n v="0"/>
    <n v="0"/>
    <n v="0"/>
    <n v="0"/>
    <n v="0"/>
    <n v="0"/>
  </r>
  <r>
    <n v="1708"/>
    <n v="175012"/>
    <n v="0"/>
    <n v="0"/>
    <x v="21"/>
    <s v="Divorced"/>
    <s v="Master"/>
    <s v="7/1/2020"/>
    <s v="Other"/>
    <n v="41"/>
    <n v="686"/>
    <n v="331"/>
    <n v="509"/>
    <n v="383"/>
    <n v="135"/>
    <n v="352"/>
    <n v="1692"/>
    <n v="1"/>
    <n v="3"/>
    <n v="8"/>
    <n v="11"/>
    <n v="1"/>
    <n v="0"/>
    <n v="0"/>
    <n v="0"/>
    <n v="0"/>
    <n v="0"/>
    <n v="0"/>
    <n v="0"/>
  </r>
  <r>
    <n v="1177"/>
    <n v="174068"/>
    <n v="0"/>
    <n v="0"/>
    <x v="21"/>
    <s v="Married"/>
    <s v="Graduate"/>
    <s v="8/24/2019"/>
    <s v="Illinois"/>
    <n v="14"/>
    <n v="1840"/>
    <n v="71"/>
    <n v="1262"/>
    <n v="329"/>
    <n v="179"/>
    <n v="35"/>
    <n v="3645"/>
    <n v="1"/>
    <n v="4"/>
    <n v="10"/>
    <n v="9"/>
    <n v="2"/>
    <n v="0"/>
    <n v="0"/>
    <n v="0"/>
    <n v="0"/>
    <n v="0"/>
    <n v="0"/>
    <n v="0"/>
  </r>
  <r>
    <n v="2928"/>
    <n v="172335"/>
    <n v="0"/>
    <n v="0"/>
    <x v="21"/>
    <s v="Together"/>
    <s v="PhD"/>
    <s v="1/18/2019"/>
    <s v="Florida"/>
    <n v="2"/>
    <n v="3061"/>
    <n v="250"/>
    <n v="1556"/>
    <n v="67"/>
    <n v="50"/>
    <n v="0"/>
    <n v="4984"/>
    <n v="1"/>
    <n v="10"/>
    <n v="4"/>
    <n v="8"/>
    <n v="8"/>
    <n v="0"/>
    <n v="1"/>
    <n v="0"/>
    <n v="0"/>
    <n v="0"/>
    <n v="0"/>
    <n v="0"/>
  </r>
  <r>
    <n v="3100"/>
    <n v="172309"/>
    <n v="0"/>
    <n v="0"/>
    <x v="21"/>
    <s v="Single"/>
    <s v="Master"/>
    <s v="8/16/2019"/>
    <s v="Other"/>
    <n v="64"/>
    <n v="2288"/>
    <n v="0"/>
    <n v="2104"/>
    <n v="119"/>
    <n v="91"/>
    <n v="0"/>
    <n v="4601"/>
    <n v="1"/>
    <n v="5"/>
    <n v="6"/>
    <n v="8"/>
    <n v="3"/>
    <n v="0"/>
    <n v="1"/>
    <n v="1"/>
    <n v="0"/>
    <n v="0"/>
    <n v="0"/>
    <n v="0"/>
  </r>
  <r>
    <n v="3061"/>
    <n v="171322"/>
    <n v="0"/>
    <n v="1"/>
    <x v="21"/>
    <s v="Together"/>
    <s v="Graduate"/>
    <s v="10/6/2020"/>
    <s v="Illinois"/>
    <n v="31"/>
    <n v="291"/>
    <n v="58"/>
    <n v="298"/>
    <n v="58"/>
    <n v="36"/>
    <n v="101"/>
    <n v="639"/>
    <n v="1"/>
    <n v="4"/>
    <n v="1"/>
    <n v="7"/>
    <n v="2"/>
    <n v="0"/>
    <n v="0"/>
    <n v="0"/>
    <n v="0"/>
    <n v="0"/>
    <n v="0"/>
    <n v="0"/>
  </r>
  <r>
    <n v="1299"/>
    <n v="170893"/>
    <n v="0"/>
    <n v="0"/>
    <x v="21"/>
    <s v="Single"/>
    <s v="Master"/>
    <s v="7/14/2019"/>
    <s v="Texas"/>
    <n v="42"/>
    <n v="1851"/>
    <n v="106"/>
    <n v="1352"/>
    <n v="186"/>
    <n v="106"/>
    <n v="34"/>
    <n v="3568"/>
    <n v="1"/>
    <n v="6"/>
    <n v="6"/>
    <n v="10"/>
    <n v="3"/>
    <n v="0"/>
    <n v="0"/>
    <n v="0"/>
    <n v="0"/>
    <n v="0"/>
    <n v="0"/>
    <n v="0"/>
  </r>
  <r>
    <n v="2461"/>
    <n v="170379"/>
    <n v="0"/>
    <n v="1"/>
    <x v="21"/>
    <s v="Single"/>
    <s v="Master"/>
    <s v="8/8/2019"/>
    <s v="Illinois"/>
    <n v="84"/>
    <n v="1339"/>
    <n v="61"/>
    <n v="344"/>
    <n v="157"/>
    <n v="162"/>
    <n v="19"/>
    <n v="2043"/>
    <n v="3"/>
    <n v="6"/>
    <n v="3"/>
    <n v="13"/>
    <n v="4"/>
    <n v="0"/>
    <n v="0"/>
    <n v="0"/>
    <n v="0"/>
    <n v="0"/>
    <n v="0"/>
    <n v="0"/>
  </r>
  <r>
    <n v="2535"/>
    <n v="170179"/>
    <n v="0"/>
    <n v="1"/>
    <x v="21"/>
    <s v="Divorced"/>
    <s v="PhD"/>
    <s v="12/26/2019"/>
    <s v="Texas"/>
    <n v="10"/>
    <n v="1290"/>
    <n v="213"/>
    <n v="407"/>
    <n v="167"/>
    <n v="107"/>
    <n v="323"/>
    <n v="1862"/>
    <n v="3"/>
    <n v="7"/>
    <n v="3"/>
    <n v="13"/>
    <n v="5"/>
    <n v="0"/>
    <n v="0"/>
    <n v="0"/>
    <n v="0"/>
    <n v="0"/>
    <n v="0"/>
    <n v="0"/>
  </r>
  <r>
    <n v="3032"/>
    <n v="170179"/>
    <n v="0"/>
    <n v="1"/>
    <x v="21"/>
    <s v="Divorced"/>
    <s v="PhD"/>
    <s v="12/26/2019"/>
    <s v="New York"/>
    <n v="10"/>
    <n v="1290"/>
    <n v="213"/>
    <n v="407"/>
    <n v="167"/>
    <n v="107"/>
    <n v="323"/>
    <n v="1862"/>
    <n v="3"/>
    <n v="7"/>
    <n v="3"/>
    <n v="13"/>
    <n v="5"/>
    <n v="0"/>
    <n v="0"/>
    <n v="0"/>
    <n v="0"/>
    <n v="0"/>
    <n v="0"/>
    <n v="0"/>
  </r>
  <r>
    <n v="1910"/>
    <n v="168397"/>
    <n v="0"/>
    <n v="1"/>
    <x v="21"/>
    <s v="Married"/>
    <s v="PhD"/>
    <s v="4/23/2020"/>
    <s v="New York"/>
    <n v="6"/>
    <n v="1871"/>
    <n v="197"/>
    <n v="1147"/>
    <n v="42"/>
    <n v="32"/>
    <n v="197"/>
    <n v="3092"/>
    <n v="1"/>
    <n v="6"/>
    <n v="9"/>
    <n v="5"/>
    <n v="3"/>
    <n v="0"/>
    <n v="0"/>
    <n v="0"/>
    <n v="0"/>
    <n v="0"/>
    <n v="0"/>
    <n v="0"/>
  </r>
  <r>
    <n v="1667"/>
    <n v="166476"/>
    <n v="0"/>
    <n v="1"/>
    <x v="21"/>
    <s v="Divorced"/>
    <s v="PhD"/>
    <s v="8/12/2019"/>
    <s v="California"/>
    <n v="99"/>
    <n v="932"/>
    <n v="45"/>
    <n v="316"/>
    <n v="118"/>
    <n v="120"/>
    <n v="195"/>
    <n v="1335"/>
    <n v="2"/>
    <n v="5"/>
    <n v="2"/>
    <n v="11"/>
    <n v="4"/>
    <n v="0"/>
    <n v="0"/>
    <n v="0"/>
    <n v="0"/>
    <n v="0"/>
    <n v="0"/>
    <n v="0"/>
  </r>
  <r>
    <n v="1438"/>
    <n v="165991"/>
    <n v="0"/>
    <n v="1"/>
    <x v="21"/>
    <s v="Married"/>
    <s v="Graduate"/>
    <s v="2/12/2019"/>
    <s v="Other"/>
    <n v="21"/>
    <n v="1275"/>
    <n v="48"/>
    <n v="916"/>
    <n v="63"/>
    <n v="118"/>
    <n v="23"/>
    <n v="2397"/>
    <n v="3"/>
    <n v="9"/>
    <n v="5"/>
    <n v="10"/>
    <n v="7"/>
    <n v="0"/>
    <n v="0"/>
    <n v="0"/>
    <n v="0"/>
    <n v="0"/>
    <n v="0"/>
    <n v="0"/>
  </r>
  <r>
    <n v="1490"/>
    <n v="165665"/>
    <n v="0"/>
    <n v="1"/>
    <x v="21"/>
    <s v="Married"/>
    <s v="Graduate"/>
    <s v="5/8/2020"/>
    <s v="New York"/>
    <n v="77"/>
    <n v="568"/>
    <n v="409"/>
    <n v="976"/>
    <n v="267"/>
    <n v="91"/>
    <n v="73"/>
    <n v="2238"/>
    <n v="1"/>
    <n v="5"/>
    <n v="10"/>
    <n v="8"/>
    <n v="3"/>
    <n v="0"/>
    <n v="0"/>
    <n v="0"/>
    <n v="0"/>
    <n v="0"/>
    <n v="0"/>
    <n v="0"/>
  </r>
  <r>
    <n v="1131"/>
    <n v="165104"/>
    <n v="0"/>
    <n v="1"/>
    <x v="21"/>
    <s v="Together"/>
    <s v="Master"/>
    <s v="4/20/2020"/>
    <s v="Texas"/>
    <n v="4"/>
    <n v="1872"/>
    <n v="0"/>
    <n v="588"/>
    <n v="33"/>
    <n v="51"/>
    <n v="127"/>
    <n v="2417"/>
    <n v="2"/>
    <n v="3"/>
    <n v="5"/>
    <n v="7"/>
    <n v="7"/>
    <n v="0"/>
    <n v="1"/>
    <n v="0"/>
    <n v="0"/>
    <n v="0"/>
    <n v="0"/>
    <n v="0"/>
  </r>
  <r>
    <n v="1470"/>
    <n v="165104"/>
    <n v="0"/>
    <n v="1"/>
    <x v="21"/>
    <s v="Together"/>
    <s v="Master"/>
    <s v="4/20/2020"/>
    <s v="Florida"/>
    <n v="4"/>
    <n v="1872"/>
    <n v="0"/>
    <n v="588"/>
    <n v="33"/>
    <n v="51"/>
    <n v="127"/>
    <n v="2417"/>
    <n v="2"/>
    <n v="3"/>
    <n v="5"/>
    <n v="7"/>
    <n v="7"/>
    <n v="0"/>
    <n v="0"/>
    <n v="0"/>
    <n v="0"/>
    <n v="0"/>
    <n v="0"/>
    <n v="0"/>
  </r>
  <r>
    <n v="2637"/>
    <n v="164892"/>
    <n v="0"/>
    <n v="1"/>
    <x v="21"/>
    <s v="Divorced"/>
    <s v="Graduate"/>
    <s v="11/2/2020"/>
    <s v="Texas"/>
    <n v="77"/>
    <n v="1339"/>
    <n v="61"/>
    <n v="584"/>
    <n v="81"/>
    <n v="61"/>
    <n v="165"/>
    <n v="1962"/>
    <n v="2"/>
    <n v="6"/>
    <n v="4"/>
    <n v="12"/>
    <n v="4"/>
    <n v="0"/>
    <n v="0"/>
    <n v="0"/>
    <n v="0"/>
    <n v="0"/>
    <n v="0"/>
    <n v="0"/>
  </r>
  <r>
    <n v="2328"/>
    <n v="162061"/>
    <n v="0"/>
    <n v="1"/>
    <x v="21"/>
    <s v="Together"/>
    <s v="Graduate"/>
    <s v="2/5/2020"/>
    <s v="Florida"/>
    <n v="12"/>
    <n v="1674"/>
    <n v="18"/>
    <n v="219"/>
    <n v="0"/>
    <n v="78"/>
    <n v="99"/>
    <n v="1891"/>
    <n v="3"/>
    <n v="10"/>
    <n v="4"/>
    <n v="7"/>
    <n v="6"/>
    <n v="0"/>
    <n v="0"/>
    <n v="0"/>
    <n v="0"/>
    <n v="0"/>
    <n v="1"/>
    <n v="0"/>
  </r>
  <r>
    <n v="2675"/>
    <n v="161064"/>
    <n v="0"/>
    <n v="1"/>
    <x v="21"/>
    <s v="Married"/>
    <s v="Graduate"/>
    <s v="2/5/2019"/>
    <s v="California"/>
    <n v="80"/>
    <n v="1021"/>
    <n v="332"/>
    <n v="902"/>
    <n v="0"/>
    <n v="119"/>
    <n v="475"/>
    <n v="1899"/>
    <n v="5"/>
    <n v="8"/>
    <n v="4"/>
    <n v="11"/>
    <n v="6"/>
    <n v="0"/>
    <n v="0"/>
    <n v="0"/>
    <n v="0"/>
    <n v="0"/>
    <n v="0"/>
    <n v="0"/>
  </r>
  <r>
    <n v="2555"/>
    <n v="160482"/>
    <n v="0"/>
    <n v="1"/>
    <x v="21"/>
    <s v="Single"/>
    <s v="Master"/>
    <s v="6/30/2019"/>
    <s v="California"/>
    <n v="81"/>
    <n v="677"/>
    <n v="114"/>
    <n v="356"/>
    <n v="98"/>
    <n v="37"/>
    <n v="64"/>
    <n v="1218"/>
    <n v="1"/>
    <n v="7"/>
    <n v="2"/>
    <n v="7"/>
    <n v="7"/>
    <n v="0"/>
    <n v="0"/>
    <n v="0"/>
    <n v="0"/>
    <n v="0"/>
    <n v="0"/>
    <n v="0"/>
  </r>
  <r>
    <n v="1338"/>
    <n v="160000"/>
    <n v="0"/>
    <n v="1"/>
    <x v="21"/>
    <s v="Single"/>
    <s v="PhD"/>
    <s v="5/29/2019"/>
    <s v="Florida"/>
    <n v="57"/>
    <n v="2795"/>
    <n v="0"/>
    <n v="579"/>
    <n v="0"/>
    <n v="0"/>
    <n v="32"/>
    <n v="3341"/>
    <n v="5"/>
    <n v="11"/>
    <n v="3"/>
    <n v="5"/>
    <n v="6"/>
    <n v="0"/>
    <n v="0"/>
    <n v="0"/>
    <n v="0"/>
    <n v="0"/>
    <n v="0"/>
    <n v="0"/>
  </r>
  <r>
    <n v="1135"/>
    <n v="159809"/>
    <n v="0"/>
    <n v="2"/>
    <x v="21"/>
    <s v="Married"/>
    <s v="Graduate"/>
    <s v="3/25/2019"/>
    <s v="Illinois"/>
    <n v="36"/>
    <n v="1598"/>
    <n v="43"/>
    <n v="377"/>
    <n v="86"/>
    <n v="110"/>
    <n v="131"/>
    <n v="2081"/>
    <n v="3"/>
    <n v="3"/>
    <n v="3"/>
    <n v="6"/>
    <n v="8"/>
    <n v="0"/>
    <n v="0"/>
    <n v="0"/>
    <n v="0"/>
    <n v="0"/>
    <n v="0"/>
    <n v="0"/>
  </r>
  <r>
    <n v="2501"/>
    <n v="158597"/>
    <n v="1"/>
    <n v="1"/>
    <x v="21"/>
    <s v="Married"/>
    <s v="Graduate"/>
    <s v="4/27/2019"/>
    <s v="California"/>
    <n v="20"/>
    <n v="1326"/>
    <n v="0"/>
    <n v="498"/>
    <n v="27"/>
    <n v="76"/>
    <n v="57"/>
    <n v="1870"/>
    <n v="12"/>
    <n v="7"/>
    <n v="4"/>
    <n v="9"/>
    <n v="7"/>
    <n v="0"/>
    <n v="0"/>
    <n v="0"/>
    <n v="0"/>
    <n v="0"/>
    <n v="0"/>
    <n v="0"/>
  </r>
  <r>
    <n v="2926"/>
    <n v="156939"/>
    <n v="0"/>
    <n v="1"/>
    <x v="21"/>
    <s v="Married"/>
    <s v="Graduate"/>
    <s v="2/23/2020"/>
    <s v="Other"/>
    <n v="19"/>
    <n v="706"/>
    <n v="94"/>
    <n v="284"/>
    <n v="248"/>
    <n v="80"/>
    <n v="135"/>
    <n v="1276"/>
    <n v="2"/>
    <n v="3"/>
    <n v="3"/>
    <n v="10"/>
    <n v="3"/>
    <n v="0"/>
    <n v="0"/>
    <n v="0"/>
    <n v="0"/>
    <n v="0"/>
    <n v="0"/>
    <n v="0"/>
  </r>
  <r>
    <n v="2694"/>
    <n v="155424"/>
    <n v="0"/>
    <n v="1"/>
    <x v="21"/>
    <s v="Married"/>
    <s v="PhD"/>
    <s v="5/2/2019"/>
    <s v="Florida"/>
    <n v="6"/>
    <n v="1296"/>
    <n v="171"/>
    <n v="516"/>
    <n v="28"/>
    <n v="149"/>
    <n v="300"/>
    <n v="1859"/>
    <n v="4"/>
    <n v="7"/>
    <n v="5"/>
    <n v="9"/>
    <n v="6"/>
    <n v="0"/>
    <n v="1"/>
    <n v="0"/>
    <n v="0"/>
    <n v="1"/>
    <n v="0"/>
    <n v="0"/>
  </r>
  <r>
    <n v="1811"/>
    <n v="155412"/>
    <n v="1"/>
    <n v="1"/>
    <x v="21"/>
    <s v="Divorced"/>
    <s v="PhD"/>
    <s v="4/28/2020"/>
    <s v="California"/>
    <n v="65"/>
    <n v="28"/>
    <n v="14"/>
    <n v="79"/>
    <n v="31"/>
    <n v="3"/>
    <n v="22"/>
    <n v="132"/>
    <n v="1"/>
    <n v="2"/>
    <n v="0"/>
    <n v="3"/>
    <n v="5"/>
    <n v="0"/>
    <n v="0"/>
    <n v="0"/>
    <n v="0"/>
    <n v="0"/>
    <n v="0"/>
    <n v="0"/>
  </r>
  <r>
    <n v="1528"/>
    <n v="154058"/>
    <n v="0"/>
    <n v="1"/>
    <x v="21"/>
    <s v="Together"/>
    <s v="Graduate"/>
    <s v="11/9/2019"/>
    <s v="Other"/>
    <n v="56"/>
    <n v="564"/>
    <n v="51"/>
    <n v="718"/>
    <n v="91"/>
    <n v="308"/>
    <n v="154"/>
    <n v="1579"/>
    <n v="2"/>
    <n v="4"/>
    <n v="6"/>
    <n v="8"/>
    <n v="3"/>
    <n v="0"/>
    <n v="0"/>
    <n v="0"/>
    <n v="0"/>
    <n v="0"/>
    <n v="0"/>
    <n v="0"/>
  </r>
  <r>
    <n v="1395"/>
    <n v="153858"/>
    <n v="0"/>
    <n v="1"/>
    <x v="21"/>
    <s v="Married"/>
    <s v="Graduate"/>
    <s v="4/16/2019"/>
    <s v="Texas"/>
    <n v="50"/>
    <n v="1163"/>
    <n v="151"/>
    <n v="631"/>
    <n v="166"/>
    <n v="429"/>
    <n v="74"/>
    <n v="2465"/>
    <n v="4"/>
    <n v="4"/>
    <n v="3"/>
    <n v="6"/>
    <n v="4"/>
    <n v="0"/>
    <n v="0"/>
    <n v="0"/>
    <n v="0"/>
    <n v="0"/>
    <n v="0"/>
    <n v="0"/>
  </r>
  <r>
    <n v="1026"/>
    <n v="153359"/>
    <n v="1"/>
    <n v="1"/>
    <x v="21"/>
    <s v="Married"/>
    <s v="Graduate"/>
    <s v="11/1/2019"/>
    <s v="Florida"/>
    <n v="4"/>
    <n v="497"/>
    <n v="11"/>
    <n v="86"/>
    <n v="9"/>
    <n v="17"/>
    <n v="118"/>
    <n v="503"/>
    <n v="4"/>
    <n v="5"/>
    <n v="1"/>
    <n v="4"/>
    <n v="7"/>
    <n v="0"/>
    <n v="0"/>
    <n v="0"/>
    <n v="0"/>
    <n v="0"/>
    <n v="0"/>
    <n v="0"/>
  </r>
  <r>
    <n v="3069"/>
    <n v="153204"/>
    <n v="1"/>
    <n v="1"/>
    <x v="21"/>
    <s v="Married"/>
    <s v="Master"/>
    <s v="8/24/2020"/>
    <s v="Texas"/>
    <n v="40"/>
    <n v="84"/>
    <n v="0"/>
    <n v="23"/>
    <n v="6"/>
    <n v="0"/>
    <n v="17"/>
    <n v="95"/>
    <n v="1"/>
    <n v="1"/>
    <n v="0"/>
    <n v="3"/>
    <n v="4"/>
    <n v="0"/>
    <n v="0"/>
    <n v="0"/>
    <n v="0"/>
    <n v="0"/>
    <n v="0"/>
    <n v="0"/>
  </r>
  <r>
    <n v="1932"/>
    <n v="152190"/>
    <n v="1"/>
    <n v="1"/>
    <x v="21"/>
    <s v="Together"/>
    <s v="PhD"/>
    <s v="10/12/2020"/>
    <s v="Florida"/>
    <n v="39"/>
    <n v="122"/>
    <n v="0"/>
    <n v="50"/>
    <n v="0"/>
    <n v="0"/>
    <n v="52"/>
    <n v="120"/>
    <n v="3"/>
    <n v="2"/>
    <n v="1"/>
    <n v="3"/>
    <n v="5"/>
    <n v="0"/>
    <n v="0"/>
    <n v="0"/>
    <n v="0"/>
    <n v="1"/>
    <n v="0"/>
    <n v="0"/>
  </r>
  <r>
    <n v="1169"/>
    <n v="151650"/>
    <n v="0"/>
    <n v="1"/>
    <x v="21"/>
    <s v="Married"/>
    <s v="PhD"/>
    <s v="10/15/2020"/>
    <s v="California"/>
    <n v="81"/>
    <n v="446"/>
    <n v="9"/>
    <n v="65"/>
    <n v="6"/>
    <n v="15"/>
    <n v="21"/>
    <n v="520"/>
    <n v="1"/>
    <n v="4"/>
    <n v="1"/>
    <n v="4"/>
    <n v="5"/>
    <n v="0"/>
    <n v="0"/>
    <n v="0"/>
    <n v="0"/>
    <n v="0"/>
    <n v="0"/>
    <n v="0"/>
  </r>
  <r>
    <n v="1214"/>
    <n v="151369"/>
    <n v="0"/>
    <n v="1"/>
    <x v="21"/>
    <s v="Together"/>
    <s v="Graduate"/>
    <s v="4/1/2019"/>
    <s v="New York"/>
    <n v="84"/>
    <n v="875"/>
    <n v="21"/>
    <n v="233"/>
    <n v="0"/>
    <n v="32"/>
    <n v="536"/>
    <n v="625"/>
    <n v="2"/>
    <n v="8"/>
    <n v="2"/>
    <n v="4"/>
    <n v="8"/>
    <n v="0"/>
    <n v="0"/>
    <n v="0"/>
    <n v="0"/>
    <n v="0"/>
    <n v="0"/>
    <n v="0"/>
  </r>
  <r>
    <n v="1268"/>
    <n v="151369"/>
    <n v="0"/>
    <n v="1"/>
    <x v="21"/>
    <s v="Together"/>
    <s v="Graduate"/>
    <s v="4/1/2019"/>
    <s v="New York"/>
    <n v="84"/>
    <n v="875"/>
    <n v="21"/>
    <n v="233"/>
    <n v="0"/>
    <n v="32"/>
    <n v="536"/>
    <n v="625"/>
    <n v="2"/>
    <n v="8"/>
    <n v="2"/>
    <n v="4"/>
    <n v="8"/>
    <n v="0"/>
    <n v="0"/>
    <n v="0"/>
    <n v="0"/>
    <n v="0"/>
    <n v="0"/>
    <n v="0"/>
  </r>
  <r>
    <n v="2286"/>
    <n v="150200"/>
    <n v="1"/>
    <n v="1"/>
    <x v="21"/>
    <s v="Together"/>
    <s v="Graduate"/>
    <s v="9/8/2019"/>
    <s v="Florida"/>
    <n v="70"/>
    <n v="796"/>
    <n v="18"/>
    <n v="153"/>
    <n v="24"/>
    <n v="18"/>
    <n v="191"/>
    <n v="817"/>
    <n v="6"/>
    <n v="7"/>
    <n v="1"/>
    <n v="5"/>
    <n v="8"/>
    <n v="0"/>
    <n v="0"/>
    <n v="0"/>
    <n v="0"/>
    <n v="0"/>
    <n v="0"/>
    <n v="0"/>
  </r>
  <r>
    <n v="1786"/>
    <n v="149681"/>
    <n v="0"/>
    <n v="2"/>
    <x v="21"/>
    <s v="Married"/>
    <s v="Master"/>
    <s v="4/10/2020"/>
    <s v="Other"/>
    <n v="66"/>
    <n v="1238"/>
    <n v="0"/>
    <n v="78"/>
    <n v="0"/>
    <n v="0"/>
    <n v="63"/>
    <n v="1253"/>
    <n v="6"/>
    <n v="7"/>
    <n v="1"/>
    <n v="7"/>
    <n v="7"/>
    <n v="0"/>
    <n v="0"/>
    <n v="0"/>
    <n v="0"/>
    <n v="0"/>
    <n v="0"/>
    <n v="0"/>
  </r>
  <r>
    <n v="2537"/>
    <n v="149681"/>
    <n v="0"/>
    <n v="2"/>
    <x v="21"/>
    <s v="Married"/>
    <s v="Master"/>
    <s v="4/10/2020"/>
    <s v="California"/>
    <n v="66"/>
    <n v="1238"/>
    <n v="0"/>
    <n v="78"/>
    <n v="0"/>
    <n v="0"/>
    <n v="63"/>
    <n v="1253"/>
    <n v="6"/>
    <n v="7"/>
    <n v="1"/>
    <n v="7"/>
    <n v="7"/>
    <n v="0"/>
    <n v="0"/>
    <n v="0"/>
    <n v="0"/>
    <n v="0"/>
    <n v="0"/>
    <n v="0"/>
  </r>
  <r>
    <n v="2653"/>
    <n v="149544"/>
    <n v="1"/>
    <n v="0"/>
    <x v="21"/>
    <s v="Married"/>
    <s v="PhD"/>
    <s v="7/20/2019"/>
    <s v="Illinois"/>
    <n v="0"/>
    <n v="930"/>
    <n v="0"/>
    <n v="220"/>
    <n v="0"/>
    <n v="0"/>
    <n v="69"/>
    <n v="1081"/>
    <n v="2"/>
    <n v="5"/>
    <n v="1"/>
    <n v="8"/>
    <n v="7"/>
    <n v="0"/>
    <n v="0"/>
    <n v="0"/>
    <n v="0"/>
    <n v="0"/>
    <n v="0"/>
    <n v="0"/>
  </r>
  <r>
    <n v="1992"/>
    <n v="149187"/>
    <n v="0"/>
    <n v="1"/>
    <x v="21"/>
    <s v="Together"/>
    <s v="PhD"/>
    <s v="6/17/2020"/>
    <s v="Florida"/>
    <n v="63"/>
    <n v="246"/>
    <n v="3"/>
    <n v="94"/>
    <n v="6"/>
    <n v="3"/>
    <n v="0"/>
    <n v="352"/>
    <n v="1"/>
    <n v="1"/>
    <n v="1"/>
    <n v="5"/>
    <n v="2"/>
    <n v="0"/>
    <n v="0"/>
    <n v="0"/>
    <n v="0"/>
    <n v="0"/>
    <n v="0"/>
    <n v="0"/>
  </r>
  <r>
    <n v="2346"/>
    <n v="147025"/>
    <n v="0"/>
    <n v="1"/>
    <x v="21"/>
    <s v="Single"/>
    <s v="Graduate"/>
    <s v="4/13/2020"/>
    <s v="Florida"/>
    <n v="52"/>
    <n v="794"/>
    <n v="22"/>
    <n v="338"/>
    <n v="63"/>
    <n v="0"/>
    <n v="81"/>
    <n v="1135"/>
    <n v="3"/>
    <n v="6"/>
    <n v="3"/>
    <n v="5"/>
    <n v="6"/>
    <n v="0"/>
    <n v="0"/>
    <n v="0"/>
    <n v="0"/>
    <n v="0"/>
    <n v="0"/>
    <n v="0"/>
  </r>
  <r>
    <n v="1475"/>
    <n v="146310"/>
    <n v="1"/>
    <n v="0"/>
    <x v="21"/>
    <s v="Divorced"/>
    <s v="Graduate"/>
    <s v="5/10/2019"/>
    <s v="California"/>
    <n v="99"/>
    <n v="584"/>
    <n v="6"/>
    <n v="278"/>
    <n v="47"/>
    <n v="16"/>
    <n v="44"/>
    <n v="888"/>
    <n v="2"/>
    <n v="6"/>
    <n v="1"/>
    <n v="5"/>
    <n v="8"/>
    <n v="0"/>
    <n v="0"/>
    <n v="0"/>
    <n v="0"/>
    <n v="0"/>
    <n v="0"/>
    <n v="0"/>
  </r>
  <r>
    <n v="1935"/>
    <n v="146106"/>
    <n v="1"/>
    <n v="1"/>
    <x v="21"/>
    <s v="Together"/>
    <s v="Master"/>
    <s v="10/15/2020"/>
    <s v="Texas"/>
    <n v="84"/>
    <n v="95"/>
    <n v="0"/>
    <n v="25"/>
    <n v="6"/>
    <n v="0"/>
    <n v="44"/>
    <n v="82"/>
    <n v="1"/>
    <n v="1"/>
    <n v="1"/>
    <n v="2"/>
    <n v="6"/>
    <n v="0"/>
    <n v="0"/>
    <n v="0"/>
    <n v="0"/>
    <n v="0"/>
    <n v="0"/>
    <n v="0"/>
  </r>
  <r>
    <n v="2137"/>
    <n v="146049"/>
    <n v="1"/>
    <n v="1"/>
    <x v="21"/>
    <s v="Married"/>
    <s v="Graduate"/>
    <s v="12/26/2019"/>
    <s v="Illinois"/>
    <n v="11"/>
    <n v="1085"/>
    <n v="29"/>
    <n v="355"/>
    <n v="60"/>
    <n v="44"/>
    <n v="60"/>
    <n v="1513"/>
    <n v="10"/>
    <n v="5"/>
    <n v="2"/>
    <n v="9"/>
    <n v="7"/>
    <n v="0"/>
    <n v="1"/>
    <n v="0"/>
    <n v="0"/>
    <n v="0"/>
    <n v="0"/>
    <n v="0"/>
  </r>
  <r>
    <n v="2756"/>
    <n v="142473"/>
    <n v="1"/>
    <n v="1"/>
    <x v="21"/>
    <s v="Single"/>
    <s v="PhD"/>
    <s v="7/24/2020"/>
    <s v="New York"/>
    <n v="72"/>
    <n v="312"/>
    <n v="3"/>
    <n v="70"/>
    <n v="0"/>
    <n v="13"/>
    <n v="84"/>
    <n v="315"/>
    <n v="3"/>
    <n v="2"/>
    <n v="1"/>
    <n v="4"/>
    <n v="5"/>
    <n v="0"/>
    <n v="0"/>
    <n v="0"/>
    <n v="0"/>
    <n v="0"/>
    <n v="0"/>
    <n v="0"/>
  </r>
  <r>
    <n v="1770"/>
    <n v="140780"/>
    <n v="0"/>
    <n v="1"/>
    <x v="21"/>
    <s v="Divorced"/>
    <s v="Graduate"/>
    <s v="2/13/2019"/>
    <s v="Florida"/>
    <n v="30"/>
    <n v="791"/>
    <n v="93"/>
    <n v="245"/>
    <n v="45"/>
    <n v="10"/>
    <n v="117"/>
    <n v="1067"/>
    <n v="4"/>
    <n v="7"/>
    <n v="1"/>
    <n v="5"/>
    <n v="9"/>
    <n v="0"/>
    <n v="0"/>
    <n v="0"/>
    <n v="0"/>
    <n v="0"/>
    <n v="0"/>
    <n v="0"/>
  </r>
  <r>
    <n v="2239"/>
    <n v="139356"/>
    <n v="1"/>
    <n v="1"/>
    <x v="21"/>
    <s v="Married"/>
    <s v="Graduate"/>
    <s v="8/23/2020"/>
    <s v="Illinois"/>
    <n v="21"/>
    <n v="53"/>
    <n v="0"/>
    <n v="7"/>
    <n v="0"/>
    <n v="0"/>
    <n v="21"/>
    <n v="39"/>
    <n v="1"/>
    <n v="1"/>
    <n v="0"/>
    <n v="2"/>
    <n v="6"/>
    <n v="0"/>
    <n v="0"/>
    <n v="0"/>
    <n v="0"/>
    <n v="1"/>
    <n v="0"/>
    <n v="0"/>
  </r>
  <r>
    <n v="2498"/>
    <n v="137697"/>
    <n v="1"/>
    <n v="0"/>
    <x v="21"/>
    <s v="Single"/>
    <s v="Graduate"/>
    <s v="7/14/2020"/>
    <s v="New York"/>
    <n v="82"/>
    <n v="124"/>
    <n v="22"/>
    <n v="77"/>
    <n v="40"/>
    <n v="15"/>
    <n v="29"/>
    <n v="248"/>
    <n v="1"/>
    <n v="2"/>
    <n v="1"/>
    <n v="3"/>
    <n v="6"/>
    <n v="0"/>
    <n v="0"/>
    <n v="0"/>
    <n v="0"/>
    <n v="0"/>
    <n v="0"/>
    <n v="0"/>
  </r>
  <r>
    <n v="2768"/>
    <n v="137697"/>
    <n v="1"/>
    <n v="0"/>
    <x v="21"/>
    <s v="Single"/>
    <s v="Graduate"/>
    <s v="7/14/2020"/>
    <s v="New York"/>
    <n v="82"/>
    <n v="124"/>
    <n v="22"/>
    <n v="77"/>
    <n v="40"/>
    <n v="15"/>
    <n v="29"/>
    <n v="248"/>
    <n v="1"/>
    <n v="2"/>
    <n v="1"/>
    <n v="3"/>
    <n v="6"/>
    <n v="0"/>
    <n v="0"/>
    <n v="0"/>
    <n v="0"/>
    <n v="0"/>
    <n v="0"/>
    <n v="0"/>
  </r>
  <r>
    <n v="3089"/>
    <n v="137509"/>
    <n v="1"/>
    <n v="0"/>
    <x v="21"/>
    <s v="Together"/>
    <s v="Master"/>
    <s v="2/17/2019"/>
    <s v="California"/>
    <n v="24"/>
    <n v="136"/>
    <n v="18"/>
    <n v="205"/>
    <n v="44"/>
    <n v="29"/>
    <n v="18"/>
    <n v="414"/>
    <n v="2"/>
    <n v="3"/>
    <n v="0"/>
    <n v="4"/>
    <n v="7"/>
    <n v="0"/>
    <n v="0"/>
    <n v="0"/>
    <n v="0"/>
    <n v="0"/>
    <n v="0"/>
    <n v="0"/>
  </r>
  <r>
    <n v="2215"/>
    <n v="137395"/>
    <n v="1"/>
    <n v="0"/>
    <x v="21"/>
    <s v="Together"/>
    <s v="PhD"/>
    <s v="10/6/2020"/>
    <s v="Illinois"/>
    <n v="47"/>
    <n v="66"/>
    <n v="0"/>
    <n v="33"/>
    <n v="0"/>
    <n v="4"/>
    <n v="40"/>
    <n v="62"/>
    <n v="1"/>
    <n v="1"/>
    <n v="0"/>
    <n v="3"/>
    <n v="6"/>
    <n v="0"/>
    <n v="0"/>
    <n v="0"/>
    <n v="0"/>
    <n v="0"/>
    <n v="0"/>
    <n v="0"/>
  </r>
  <r>
    <n v="2605"/>
    <n v="136301"/>
    <n v="1"/>
    <n v="0"/>
    <x v="21"/>
    <s v="Together"/>
    <s v="Graduate"/>
    <s v="3/31/2020"/>
    <s v="Illinois"/>
    <n v="53"/>
    <n v="41"/>
    <n v="45"/>
    <n v="131"/>
    <n v="11"/>
    <n v="19"/>
    <n v="45"/>
    <n v="203"/>
    <n v="1"/>
    <n v="3"/>
    <n v="0"/>
    <n v="3"/>
    <n v="7"/>
    <n v="0"/>
    <n v="0"/>
    <n v="0"/>
    <n v="0"/>
    <n v="0"/>
    <n v="0"/>
    <n v="0"/>
  </r>
  <r>
    <n v="1762"/>
    <n v="136283"/>
    <n v="1"/>
    <n v="1"/>
    <x v="21"/>
    <s v="Together"/>
    <s v="Graduate"/>
    <s v="9/18/2020"/>
    <s v="Other"/>
    <n v="42"/>
    <n v="23"/>
    <n v="19"/>
    <n v="19"/>
    <n v="30"/>
    <n v="0"/>
    <n v="19"/>
    <n v="71"/>
    <n v="2"/>
    <n v="1"/>
    <n v="0"/>
    <n v="3"/>
    <n v="4"/>
    <n v="0"/>
    <n v="0"/>
    <n v="0"/>
    <n v="0"/>
    <n v="0"/>
    <n v="0"/>
    <n v="0"/>
  </r>
  <r>
    <n v="2919"/>
    <n v="134529"/>
    <n v="1"/>
    <n v="0"/>
    <x v="21"/>
    <s v="Married"/>
    <s v="Master"/>
    <s v="2/19/2019"/>
    <s v="Texas"/>
    <n v="94"/>
    <n v="265"/>
    <n v="23"/>
    <n v="148"/>
    <n v="12"/>
    <n v="23"/>
    <n v="160"/>
    <n v="312"/>
    <n v="2"/>
    <n v="2"/>
    <n v="2"/>
    <n v="3"/>
    <n v="7"/>
    <n v="0"/>
    <n v="0"/>
    <n v="0"/>
    <n v="0"/>
    <n v="0"/>
    <n v="0"/>
    <n v="0"/>
  </r>
  <r>
    <n v="1333"/>
    <n v="133181"/>
    <n v="1"/>
    <n v="0"/>
    <x v="21"/>
    <s v="Married"/>
    <s v="Master"/>
    <s v="6/9/2020"/>
    <s v="Illinois"/>
    <n v="90"/>
    <n v="36"/>
    <n v="0"/>
    <n v="12"/>
    <n v="0"/>
    <n v="0"/>
    <n v="16"/>
    <n v="32"/>
    <n v="1"/>
    <n v="1"/>
    <n v="0"/>
    <n v="2"/>
    <n v="6"/>
    <n v="0"/>
    <n v="0"/>
    <n v="0"/>
    <n v="0"/>
    <n v="1"/>
    <n v="0"/>
    <n v="0"/>
  </r>
  <r>
    <n v="2533"/>
    <n v="131859"/>
    <n v="1"/>
    <n v="0"/>
    <x v="21"/>
    <s v="Divorced"/>
    <s v="Graduate"/>
    <s v="11/19/2019"/>
    <s v="Illinois"/>
    <n v="77"/>
    <n v="12"/>
    <n v="4"/>
    <n v="12"/>
    <n v="33"/>
    <n v="0"/>
    <n v="21"/>
    <n v="41"/>
    <n v="1"/>
    <n v="1"/>
    <n v="0"/>
    <n v="2"/>
    <n v="7"/>
    <n v="0"/>
    <n v="0"/>
    <n v="0"/>
    <n v="0"/>
    <n v="0"/>
    <n v="0"/>
    <n v="0"/>
  </r>
  <r>
    <n v="1351"/>
    <n v="131615"/>
    <n v="1"/>
    <n v="0"/>
    <x v="21"/>
    <s v="Divorced"/>
    <s v="Graduate"/>
    <s v="8/21/2019"/>
    <s v="Illinois"/>
    <n v="82"/>
    <n v="8"/>
    <n v="12"/>
    <n v="83"/>
    <n v="25"/>
    <n v="46"/>
    <n v="37"/>
    <n v="137"/>
    <n v="2"/>
    <n v="2"/>
    <n v="0"/>
    <n v="3"/>
    <n v="7"/>
    <n v="0"/>
    <n v="0"/>
    <n v="0"/>
    <n v="0"/>
    <n v="0"/>
    <n v="0"/>
    <n v="0"/>
  </r>
  <r>
    <n v="1115"/>
    <n v="130992"/>
    <n v="1"/>
    <n v="0"/>
    <x v="21"/>
    <s v="Divorced"/>
    <s v="Graduate"/>
    <s v="9/27/2019"/>
    <s v="California"/>
    <n v="83"/>
    <n v="72"/>
    <n v="0"/>
    <n v="59"/>
    <n v="30"/>
    <n v="13"/>
    <n v="8"/>
    <n v="165"/>
    <n v="1"/>
    <n v="1"/>
    <n v="0"/>
    <n v="3"/>
    <n v="7"/>
    <n v="0"/>
    <n v="0"/>
    <n v="0"/>
    <n v="0"/>
    <n v="0"/>
    <n v="0"/>
    <n v="0"/>
  </r>
  <r>
    <n v="3099"/>
    <n v="130992"/>
    <n v="1"/>
    <n v="0"/>
    <x v="21"/>
    <s v="Divorced"/>
    <s v="Graduate"/>
    <s v="9/27/2019"/>
    <s v="Texas"/>
    <n v="83"/>
    <n v="72"/>
    <n v="0"/>
    <n v="59"/>
    <n v="30"/>
    <n v="13"/>
    <n v="8"/>
    <n v="165"/>
    <n v="1"/>
    <n v="1"/>
    <n v="0"/>
    <n v="3"/>
    <n v="7"/>
    <n v="0"/>
    <n v="0"/>
    <n v="0"/>
    <n v="0"/>
    <n v="0"/>
    <n v="0"/>
    <n v="0"/>
  </r>
  <r>
    <n v="1797"/>
    <n v="130772"/>
    <n v="1"/>
    <n v="1"/>
    <x v="21"/>
    <s v="Married"/>
    <s v="Graduate"/>
    <s v="8/16/2020"/>
    <s v="Texas"/>
    <n v="89"/>
    <n v="30"/>
    <n v="8"/>
    <n v="17"/>
    <n v="8"/>
    <n v="4"/>
    <n v="17"/>
    <n v="51"/>
    <n v="1"/>
    <n v="1"/>
    <n v="0"/>
    <n v="2"/>
    <n v="6"/>
    <n v="0"/>
    <n v="0"/>
    <n v="0"/>
    <n v="0"/>
    <n v="0"/>
    <n v="0"/>
    <n v="0"/>
  </r>
  <r>
    <n v="2615"/>
    <n v="130560"/>
    <n v="1"/>
    <n v="0"/>
    <x v="21"/>
    <s v="Together"/>
    <s v="Master"/>
    <s v="12/2/2019"/>
    <s v="California"/>
    <n v="6"/>
    <n v="38"/>
    <n v="4"/>
    <n v="21"/>
    <n v="17"/>
    <n v="21"/>
    <n v="30"/>
    <n v="73"/>
    <n v="1"/>
    <n v="1"/>
    <n v="0"/>
    <n v="3"/>
    <n v="7"/>
    <n v="0"/>
    <n v="0"/>
    <n v="0"/>
    <n v="0"/>
    <n v="0"/>
    <n v="0"/>
    <n v="0"/>
  </r>
  <r>
    <n v="3122"/>
    <n v="130560"/>
    <n v="1"/>
    <n v="0"/>
    <x v="21"/>
    <s v="Together"/>
    <s v="Master"/>
    <s v="12/2/2019"/>
    <s v="New York"/>
    <n v="6"/>
    <n v="38"/>
    <n v="4"/>
    <n v="21"/>
    <n v="17"/>
    <n v="21"/>
    <n v="30"/>
    <n v="73"/>
    <n v="1"/>
    <n v="1"/>
    <n v="0"/>
    <n v="3"/>
    <n v="7"/>
    <n v="0"/>
    <n v="0"/>
    <n v="0"/>
    <n v="0"/>
    <n v="0"/>
    <n v="0"/>
    <n v="0"/>
  </r>
  <r>
    <n v="2931"/>
    <n v="129478"/>
    <n v="1"/>
    <n v="0"/>
    <x v="21"/>
    <s v="Together"/>
    <s v="Graduate"/>
    <s v="6/23/2020"/>
    <s v="Texas"/>
    <n v="59"/>
    <n v="35"/>
    <n v="0"/>
    <n v="31"/>
    <n v="13"/>
    <n v="4"/>
    <n v="4"/>
    <n v="79"/>
    <n v="1"/>
    <n v="1"/>
    <n v="0"/>
    <n v="3"/>
    <n v="6"/>
    <n v="0"/>
    <n v="0"/>
    <n v="0"/>
    <n v="0"/>
    <n v="0"/>
    <n v="0"/>
    <n v="0"/>
  </r>
  <r>
    <n v="2058"/>
    <n v="126907"/>
    <n v="1"/>
    <n v="1"/>
    <x v="21"/>
    <s v="Together"/>
    <s v="Graduate"/>
    <s v="1/25/2020"/>
    <s v="Florida"/>
    <n v="10"/>
    <n v="42"/>
    <n v="5"/>
    <n v="33"/>
    <n v="0"/>
    <n v="14"/>
    <n v="9"/>
    <n v="85"/>
    <n v="2"/>
    <n v="1"/>
    <n v="0"/>
    <n v="3"/>
    <n v="7"/>
    <n v="0"/>
    <n v="0"/>
    <n v="0"/>
    <n v="0"/>
    <n v="0"/>
    <n v="0"/>
    <n v="0"/>
  </r>
  <r>
    <n v="2363"/>
    <n v="126907"/>
    <n v="1"/>
    <n v="1"/>
    <x v="21"/>
    <s v="Together"/>
    <s v="Graduate"/>
    <s v="1/25/2020"/>
    <s v="California"/>
    <n v="10"/>
    <n v="42"/>
    <n v="5"/>
    <n v="33"/>
    <n v="0"/>
    <n v="14"/>
    <n v="9"/>
    <n v="85"/>
    <n v="2"/>
    <n v="1"/>
    <n v="0"/>
    <n v="3"/>
    <n v="7"/>
    <n v="0"/>
    <n v="0"/>
    <n v="0"/>
    <n v="0"/>
    <n v="0"/>
    <n v="0"/>
    <n v="0"/>
  </r>
  <r>
    <n v="1073"/>
    <n v="126326"/>
    <n v="0"/>
    <n v="0"/>
    <x v="21"/>
    <s v="Together"/>
    <s v="Graduate"/>
    <s v="2/9/2020"/>
    <s v="California"/>
    <n v="12"/>
    <n v="5"/>
    <n v="0"/>
    <n v="24"/>
    <n v="0"/>
    <n v="14"/>
    <n v="43"/>
    <n v="0"/>
    <n v="1"/>
    <n v="0"/>
    <n v="0"/>
    <n v="3"/>
    <n v="3"/>
    <n v="1"/>
    <n v="0"/>
    <n v="0"/>
    <n v="0"/>
    <n v="0"/>
    <n v="0"/>
    <n v="0"/>
  </r>
  <r>
    <n v="3090"/>
    <n v="125176"/>
    <n v="1"/>
    <n v="1"/>
    <x v="21"/>
    <s v="Together"/>
    <s v="Graduate"/>
    <s v="1/15/2020"/>
    <s v="Florida"/>
    <n v="79"/>
    <n v="20"/>
    <n v="0"/>
    <n v="20"/>
    <n v="0"/>
    <n v="0"/>
    <n v="25"/>
    <n v="15"/>
    <n v="1"/>
    <n v="1"/>
    <n v="0"/>
    <n v="2"/>
    <n v="7"/>
    <n v="0"/>
    <n v="0"/>
    <n v="0"/>
    <n v="0"/>
    <n v="0"/>
    <n v="0"/>
    <n v="0"/>
  </r>
  <r>
    <n v="1432"/>
    <n v="124027"/>
    <n v="1"/>
    <n v="0"/>
    <x v="21"/>
    <s v="Married"/>
    <s v="Graduate"/>
    <s v="11/14/2019"/>
    <s v="Other"/>
    <n v="7"/>
    <n v="72"/>
    <n v="36"/>
    <n v="57"/>
    <n v="57"/>
    <n v="0"/>
    <n v="26"/>
    <n v="196"/>
    <n v="2"/>
    <n v="2"/>
    <n v="0"/>
    <n v="3"/>
    <n v="8"/>
    <n v="0"/>
    <n v="0"/>
    <n v="0"/>
    <n v="0"/>
    <n v="0"/>
    <n v="0"/>
    <n v="0"/>
  </r>
  <r>
    <n v="1036"/>
    <n v="123718"/>
    <n v="1"/>
    <n v="0"/>
    <x v="21"/>
    <s v="Married"/>
    <s v="Graduate"/>
    <s v="2/7/2020"/>
    <s v="Other"/>
    <n v="76"/>
    <n v="31"/>
    <n v="16"/>
    <n v="73"/>
    <n v="78"/>
    <n v="37"/>
    <n v="188"/>
    <n v="47"/>
    <n v="3"/>
    <n v="3"/>
    <n v="1"/>
    <n v="2"/>
    <n v="7"/>
    <n v="0"/>
    <n v="0"/>
    <n v="0"/>
    <n v="0"/>
    <n v="0"/>
    <n v="0"/>
    <n v="0"/>
  </r>
  <r>
    <n v="1853"/>
    <n v="121675"/>
    <n v="1"/>
    <n v="0"/>
    <x v="21"/>
    <s v="Together"/>
    <s v="Graduate"/>
    <s v="11/15/2020"/>
    <s v="California"/>
    <n v="55"/>
    <n v="22"/>
    <n v="0"/>
    <n v="90"/>
    <n v="95"/>
    <n v="22"/>
    <n v="22"/>
    <n v="208"/>
    <n v="3"/>
    <n v="4"/>
    <n v="0"/>
    <n v="3"/>
    <n v="7"/>
    <n v="0"/>
    <n v="0"/>
    <n v="0"/>
    <n v="0"/>
    <n v="0"/>
    <n v="0"/>
    <n v="0"/>
  </r>
  <r>
    <n v="2832"/>
    <n v="121024"/>
    <n v="0"/>
    <n v="0"/>
    <x v="21"/>
    <s v="Together"/>
    <s v="Master"/>
    <s v="12/9/2019"/>
    <s v="Florida"/>
    <n v="89"/>
    <n v="207"/>
    <n v="23"/>
    <n v="104"/>
    <n v="35"/>
    <n v="12"/>
    <n v="104"/>
    <n v="276"/>
    <n v="1"/>
    <n v="2"/>
    <n v="0"/>
    <n v="4"/>
    <n v="7"/>
    <n v="0"/>
    <n v="0"/>
    <n v="0"/>
    <n v="0"/>
    <n v="0"/>
    <n v="0"/>
    <n v="0"/>
  </r>
  <r>
    <n v="2000"/>
    <n v="120180"/>
    <n v="0"/>
    <n v="0"/>
    <x v="21"/>
    <s v="Single"/>
    <s v="Graduate"/>
    <s v="7/28/2019"/>
    <s v="New York"/>
    <n v="27"/>
    <n v="107"/>
    <n v="250"/>
    <n v="143"/>
    <n v="89"/>
    <n v="119"/>
    <n v="107"/>
    <n v="601"/>
    <n v="1"/>
    <n v="2"/>
    <n v="1"/>
    <n v="4"/>
    <n v="7"/>
    <n v="0"/>
    <n v="0"/>
    <n v="0"/>
    <n v="0"/>
    <n v="0"/>
    <n v="0"/>
    <n v="0"/>
  </r>
  <r>
    <n v="2893"/>
    <n v="120180"/>
    <n v="0"/>
    <n v="0"/>
    <x v="21"/>
    <s v="Single"/>
    <s v="Graduate"/>
    <s v="7/28/2019"/>
    <s v="Illinois"/>
    <n v="27"/>
    <n v="107"/>
    <n v="250"/>
    <n v="143"/>
    <n v="89"/>
    <n v="119"/>
    <n v="107"/>
    <n v="601"/>
    <n v="1"/>
    <n v="2"/>
    <n v="1"/>
    <n v="4"/>
    <n v="7"/>
    <n v="0"/>
    <n v="0"/>
    <n v="0"/>
    <n v="0"/>
    <n v="0"/>
    <n v="0"/>
    <n v="0"/>
  </r>
  <r>
    <n v="3007"/>
    <n v="117649"/>
    <n v="1"/>
    <n v="0"/>
    <x v="21"/>
    <s v="Married"/>
    <s v="Graduate"/>
    <s v="4/18/2020"/>
    <s v="Illinois"/>
    <n v="70"/>
    <n v="100"/>
    <n v="7"/>
    <n v="153"/>
    <n v="0"/>
    <n v="33"/>
    <n v="7"/>
    <n v="287"/>
    <n v="3"/>
    <n v="3"/>
    <n v="0"/>
    <n v="3"/>
    <n v="8"/>
    <n v="0"/>
    <n v="0"/>
    <n v="0"/>
    <n v="0"/>
    <n v="0"/>
    <n v="0"/>
    <n v="0"/>
  </r>
  <r>
    <n v="3120"/>
    <n v="117148"/>
    <n v="1"/>
    <n v="0"/>
    <x v="21"/>
    <s v="Married"/>
    <s v="Graduate"/>
    <s v="7/4/2020"/>
    <s v="Florida"/>
    <n v="80"/>
    <n v="61"/>
    <n v="61"/>
    <n v="75"/>
    <n v="89"/>
    <n v="68"/>
    <n v="109"/>
    <n v="246"/>
    <n v="4"/>
    <n v="3"/>
    <n v="1"/>
    <n v="3"/>
    <n v="8"/>
    <n v="0"/>
    <n v="0"/>
    <n v="0"/>
    <n v="0"/>
    <n v="0"/>
    <n v="0"/>
    <n v="0"/>
  </r>
  <r>
    <n v="1936"/>
    <n v="116927"/>
    <n v="1"/>
    <n v="1"/>
    <x v="21"/>
    <s v="Married"/>
    <s v="PhD"/>
    <s v="7/18/2019"/>
    <s v="Other"/>
    <n v="50"/>
    <n v="138"/>
    <n v="14"/>
    <n v="159"/>
    <n v="21"/>
    <n v="7"/>
    <n v="28"/>
    <n v="311"/>
    <n v="5"/>
    <n v="3"/>
    <n v="0"/>
    <n v="4"/>
    <n v="8"/>
    <n v="0"/>
    <n v="0"/>
    <n v="0"/>
    <n v="0"/>
    <n v="0"/>
    <n v="0"/>
    <n v="0"/>
  </r>
  <r>
    <n v="1311"/>
    <n v="114849"/>
    <n v="1"/>
    <n v="0"/>
    <x v="21"/>
    <s v="Divorced"/>
    <s v="PhD"/>
    <s v="12/7/2019"/>
    <s v="Texas"/>
    <n v="39"/>
    <n v="162"/>
    <n v="15"/>
    <n v="217"/>
    <n v="23"/>
    <n v="15"/>
    <n v="70"/>
    <n v="364"/>
    <n v="3"/>
    <n v="2"/>
    <n v="0"/>
    <n v="4"/>
    <n v="8"/>
    <n v="0"/>
    <n v="0"/>
    <n v="0"/>
    <n v="0"/>
    <n v="0"/>
    <n v="0"/>
    <n v="0"/>
  </r>
  <r>
    <n v="1608"/>
    <n v="113624"/>
    <n v="1"/>
    <n v="0"/>
    <x v="21"/>
    <s v="Married"/>
    <s v="Graduate"/>
    <s v="6/27/2019"/>
    <s v="Florida"/>
    <n v="93"/>
    <n v="83"/>
    <n v="17"/>
    <n v="125"/>
    <n v="17"/>
    <n v="8"/>
    <n v="50"/>
    <n v="200"/>
    <n v="2"/>
    <n v="2"/>
    <n v="0"/>
    <n v="3"/>
    <n v="6"/>
    <n v="0"/>
    <n v="0"/>
    <n v="0"/>
    <n v="0"/>
    <n v="0"/>
    <n v="0"/>
    <n v="0"/>
  </r>
  <r>
    <n v="1297"/>
    <n v="112571"/>
    <n v="1"/>
    <n v="0"/>
    <x v="21"/>
    <s v="Divorced"/>
    <s v="Graduate"/>
    <s v="6/24/2020"/>
    <s v="Illinois"/>
    <n v="86"/>
    <n v="27"/>
    <n v="45"/>
    <n v="125"/>
    <n v="18"/>
    <n v="107"/>
    <n v="152"/>
    <n v="170"/>
    <n v="4"/>
    <n v="3"/>
    <n v="1"/>
    <n v="3"/>
    <n v="6"/>
    <n v="0"/>
    <n v="0"/>
    <n v="0"/>
    <n v="0"/>
    <n v="0"/>
    <n v="0"/>
    <n v="0"/>
  </r>
  <r>
    <n v="1126"/>
    <n v="109548"/>
    <n v="1"/>
    <n v="0"/>
    <x v="21"/>
    <s v="Divorced"/>
    <s v="Basic"/>
    <s v="1/13/2019"/>
    <s v="Other"/>
    <n v="31"/>
    <n v="0"/>
    <n v="11"/>
    <n v="34"/>
    <n v="115"/>
    <n v="69"/>
    <n v="103"/>
    <n v="126"/>
    <n v="2"/>
    <n v="1"/>
    <n v="0"/>
    <n v="3"/>
    <n v="8"/>
    <n v="0"/>
    <n v="0"/>
    <n v="0"/>
    <n v="0"/>
    <n v="0"/>
    <n v="0"/>
    <n v="0"/>
  </r>
  <r>
    <n v="1011"/>
    <n v="107500"/>
    <n v="0"/>
    <n v="0"/>
    <x v="21"/>
    <s v="Married"/>
    <s v="Basic"/>
    <s v="4/20/2019"/>
    <s v="Texas"/>
    <n v="59"/>
    <n v="86"/>
    <n v="229"/>
    <n v="158"/>
    <n v="158"/>
    <n v="14"/>
    <n v="229"/>
    <n v="416"/>
    <n v="1"/>
    <n v="2"/>
    <n v="0"/>
    <n v="3"/>
    <n v="8"/>
    <n v="0"/>
    <n v="0"/>
    <n v="0"/>
    <n v="0"/>
    <n v="0"/>
    <n v="0"/>
    <n v="0"/>
  </r>
  <r>
    <n v="1705"/>
    <n v="107500"/>
    <n v="1"/>
    <n v="0"/>
    <x v="21"/>
    <s v="Married"/>
    <s v="Graduate"/>
    <s v="1/6/2019"/>
    <s v="Illinois"/>
    <n v="19"/>
    <n v="100"/>
    <n v="0"/>
    <n v="172"/>
    <n v="186"/>
    <n v="100"/>
    <n v="459"/>
    <n v="100"/>
    <n v="5"/>
    <n v="4"/>
    <n v="1"/>
    <n v="2"/>
    <n v="9"/>
    <n v="0"/>
    <n v="1"/>
    <n v="0"/>
    <n v="0"/>
    <n v="1"/>
    <n v="0"/>
    <n v="0"/>
  </r>
  <r>
    <n v="3182"/>
    <n v="105305"/>
    <n v="0"/>
    <n v="1"/>
    <x v="21"/>
    <s v="Married"/>
    <s v="Graduate"/>
    <s v="1/4/2020"/>
    <s v="New York"/>
    <n v="12"/>
    <n v="238"/>
    <n v="79"/>
    <n v="139"/>
    <n v="20"/>
    <n v="60"/>
    <n v="99"/>
    <n v="437"/>
    <n v="0"/>
    <n v="1"/>
    <n v="0"/>
    <n v="0"/>
    <n v="13"/>
    <n v="0"/>
    <n v="0"/>
    <n v="0"/>
    <n v="0"/>
    <n v="0"/>
    <n v="0"/>
    <n v="0"/>
  </r>
  <r>
    <n v="1575"/>
    <n v="192163"/>
    <n v="0"/>
    <n v="0"/>
    <x v="22"/>
    <s v="Married"/>
    <s v="Master"/>
    <s v="5/19/2019"/>
    <s v="Texas"/>
    <n v="25"/>
    <n v="1703"/>
    <n v="382"/>
    <n v="1662"/>
    <n v="221"/>
    <n v="340"/>
    <n v="42"/>
    <n v="4266"/>
    <n v="0"/>
    <n v="5"/>
    <n v="11"/>
    <n v="5"/>
    <n v="2"/>
    <n v="0"/>
    <n v="1"/>
    <n v="1"/>
    <n v="0"/>
    <n v="0"/>
    <n v="0"/>
    <n v="1"/>
  </r>
  <r>
    <n v="2820"/>
    <n v="186836"/>
    <n v="0"/>
    <n v="0"/>
    <x v="22"/>
    <s v="Married"/>
    <s v="PhD"/>
    <s v="2/17/2019"/>
    <s v="Florida"/>
    <n v="7"/>
    <n v="385"/>
    <n v="45"/>
    <n v="587"/>
    <n v="0"/>
    <n v="45"/>
    <n v="136"/>
    <n v="927"/>
    <n v="1"/>
    <n v="6"/>
    <n v="10"/>
    <n v="6"/>
    <n v="5"/>
    <n v="0"/>
    <n v="1"/>
    <n v="1"/>
    <n v="0"/>
    <n v="1"/>
    <n v="0"/>
    <n v="1"/>
  </r>
  <r>
    <n v="1609"/>
    <n v="184196"/>
    <n v="0"/>
    <n v="1"/>
    <x v="22"/>
    <s v="Single"/>
    <s v="Graduate"/>
    <s v="11/8/2019"/>
    <s v="Illinois"/>
    <n v="56"/>
    <n v="470"/>
    <n v="138"/>
    <n v="1109"/>
    <n v="505"/>
    <n v="68"/>
    <n v="416"/>
    <n v="1875"/>
    <n v="1"/>
    <n v="8"/>
    <n v="4"/>
    <n v="7"/>
    <n v="3"/>
    <n v="0"/>
    <n v="0"/>
    <n v="0"/>
    <n v="0"/>
    <n v="0"/>
    <n v="0"/>
    <n v="0"/>
  </r>
  <r>
    <n v="2081"/>
    <n v="183829"/>
    <n v="0"/>
    <n v="0"/>
    <x v="22"/>
    <s v="Divorced"/>
    <s v="Graduate"/>
    <s v="3/14/2020"/>
    <s v="California"/>
    <n v="78"/>
    <n v="1967"/>
    <n v="353"/>
    <n v="943"/>
    <n v="408"/>
    <n v="353"/>
    <n v="59"/>
    <n v="3965"/>
    <n v="0"/>
    <n v="4"/>
    <n v="7"/>
    <n v="6"/>
    <n v="1"/>
    <n v="0"/>
    <n v="1"/>
    <n v="1"/>
    <n v="0"/>
    <n v="1"/>
    <n v="0"/>
    <n v="1"/>
  </r>
  <r>
    <n v="2246"/>
    <n v="183829"/>
    <n v="0"/>
    <n v="0"/>
    <x v="22"/>
    <s v="Divorced"/>
    <s v="Graduate"/>
    <s v="3/14/2020"/>
    <s v="New York"/>
    <n v="78"/>
    <n v="1967"/>
    <n v="353"/>
    <n v="943"/>
    <n v="408"/>
    <n v="353"/>
    <n v="59"/>
    <n v="3965"/>
    <n v="0"/>
    <n v="4"/>
    <n v="7"/>
    <n v="6"/>
    <n v="1"/>
    <n v="0"/>
    <n v="1"/>
    <n v="1"/>
    <n v="0"/>
    <n v="1"/>
    <n v="0"/>
    <n v="1"/>
  </r>
  <r>
    <n v="1499"/>
    <n v="181169"/>
    <n v="0"/>
    <n v="0"/>
    <x v="22"/>
    <s v="Single"/>
    <s v="Master"/>
    <s v="9/19/2019"/>
    <s v="California"/>
    <n v="47"/>
    <n v="2875"/>
    <n v="45"/>
    <n v="1368"/>
    <n v="179"/>
    <n v="136"/>
    <n v="60"/>
    <n v="4542"/>
    <n v="1"/>
    <n v="5"/>
    <n v="7"/>
    <n v="9"/>
    <n v="2"/>
    <n v="0"/>
    <n v="0"/>
    <n v="0"/>
    <n v="0"/>
    <n v="0"/>
    <n v="0"/>
    <n v="0"/>
  </r>
  <r>
    <n v="1164"/>
    <n v="180427"/>
    <n v="0"/>
    <n v="1"/>
    <x v="22"/>
    <s v="Married"/>
    <s v="PhD"/>
    <s v="2/17/2019"/>
    <s v="Florida"/>
    <n v="56"/>
    <n v="2578"/>
    <n v="159"/>
    <n v="1007"/>
    <n v="155"/>
    <n v="159"/>
    <n v="58"/>
    <n v="4000"/>
    <n v="1"/>
    <n v="11"/>
    <n v="8"/>
    <n v="8"/>
    <n v="5"/>
    <n v="0"/>
    <n v="0"/>
    <n v="0"/>
    <n v="0"/>
    <n v="0"/>
    <n v="0"/>
    <n v="0"/>
  </r>
  <r>
    <n v="3065"/>
    <n v="180144"/>
    <n v="0"/>
    <n v="0"/>
    <x v="22"/>
    <s v="Together"/>
    <s v="Graduate"/>
    <s v="3/6/2020"/>
    <s v="California"/>
    <n v="47"/>
    <n v="539"/>
    <n v="297"/>
    <n v="1000"/>
    <n v="562"/>
    <n v="432"/>
    <n v="243"/>
    <n v="2587"/>
    <n v="1"/>
    <n v="3"/>
    <n v="7"/>
    <n v="8"/>
    <n v="1"/>
    <n v="0"/>
    <n v="0"/>
    <n v="0"/>
    <n v="0"/>
    <n v="0"/>
    <n v="0"/>
    <n v="0"/>
  </r>
  <r>
    <n v="2971"/>
    <n v="179205"/>
    <n v="0"/>
    <n v="0"/>
    <x v="22"/>
    <s v="Married"/>
    <s v="Graduate"/>
    <s v="2/3/2019"/>
    <s v="Illinois"/>
    <n v="73"/>
    <n v="1140"/>
    <n v="52"/>
    <n v="265"/>
    <n v="405"/>
    <n v="63"/>
    <n v="100"/>
    <n v="1826"/>
    <n v="1"/>
    <n v="6"/>
    <n v="5"/>
    <n v="4"/>
    <n v="4"/>
    <n v="0"/>
    <n v="1"/>
    <n v="1"/>
    <n v="0"/>
    <n v="0"/>
    <n v="0"/>
    <n v="0"/>
  </r>
  <r>
    <n v="3143"/>
    <n v="179174"/>
    <n v="0"/>
    <n v="0"/>
    <x v="22"/>
    <s v="Married"/>
    <s v="PhD"/>
    <s v="6/18/2019"/>
    <s v="California"/>
    <n v="2"/>
    <n v="2431"/>
    <n v="84"/>
    <n v="1172"/>
    <n v="437"/>
    <n v="208"/>
    <n v="292"/>
    <n v="4040"/>
    <n v="1"/>
    <n v="5"/>
    <n v="6"/>
    <n v="7"/>
    <n v="2"/>
    <n v="0"/>
    <n v="1"/>
    <n v="1"/>
    <n v="0"/>
    <n v="0"/>
    <n v="0"/>
    <n v="1"/>
  </r>
  <r>
    <n v="1696"/>
    <n v="176618"/>
    <n v="0"/>
    <n v="0"/>
    <x v="22"/>
    <s v="Married"/>
    <s v="PhD"/>
    <s v="5/14/2019"/>
    <s v="Other"/>
    <n v="64"/>
    <n v="1727"/>
    <n v="92"/>
    <n v="678"/>
    <n v="279"/>
    <n v="369"/>
    <n v="339"/>
    <n v="2805"/>
    <n v="1"/>
    <n v="3"/>
    <n v="2"/>
    <n v="5"/>
    <n v="1"/>
    <n v="0"/>
    <n v="0"/>
    <n v="0"/>
    <n v="0"/>
    <n v="0"/>
    <n v="0"/>
    <n v="0"/>
  </r>
  <r>
    <n v="2863"/>
    <n v="176532"/>
    <n v="1"/>
    <n v="1"/>
    <x v="22"/>
    <s v="Together"/>
    <s v="Graduate"/>
    <s v="2/14/2020"/>
    <s v="Illinois"/>
    <n v="38"/>
    <n v="819"/>
    <n v="69"/>
    <n v="408"/>
    <n v="208"/>
    <n v="318"/>
    <n v="69"/>
    <n v="1753"/>
    <n v="4"/>
    <n v="9"/>
    <n v="5"/>
    <n v="7"/>
    <n v="5"/>
    <n v="0"/>
    <n v="0"/>
    <n v="0"/>
    <n v="0"/>
    <n v="0"/>
    <n v="0"/>
    <n v="0"/>
  </r>
  <r>
    <n v="3068"/>
    <n v="176068"/>
    <n v="0"/>
    <n v="1"/>
    <x v="22"/>
    <s v="Married"/>
    <s v="Graduate"/>
    <s v="5/6/2019"/>
    <s v="New York"/>
    <n v="67"/>
    <n v="2581"/>
    <n v="28"/>
    <n v="296"/>
    <n v="76"/>
    <n v="28"/>
    <n v="176"/>
    <n v="2833"/>
    <n v="1"/>
    <n v="2"/>
    <n v="3"/>
    <n v="4"/>
    <n v="6"/>
    <n v="0"/>
    <n v="0"/>
    <n v="0"/>
    <n v="1"/>
    <n v="0"/>
    <n v="1"/>
    <n v="0"/>
  </r>
  <r>
    <n v="2238"/>
    <n v="174190"/>
    <n v="0"/>
    <n v="1"/>
    <x v="22"/>
    <s v="Married"/>
    <s v="Graduate"/>
    <s v="10/16/2020"/>
    <s v="Florida"/>
    <n v="49"/>
    <n v="355"/>
    <n v="190"/>
    <n v="202"/>
    <n v="394"/>
    <n v="214"/>
    <n v="150"/>
    <n v="1204"/>
    <n v="2"/>
    <n v="4"/>
    <n v="2"/>
    <n v="11"/>
    <n v="2"/>
    <n v="0"/>
    <n v="0"/>
    <n v="0"/>
    <n v="0"/>
    <n v="0"/>
    <n v="0"/>
    <n v="0"/>
  </r>
  <r>
    <n v="1153"/>
    <n v="174165"/>
    <n v="0"/>
    <n v="0"/>
    <x v="22"/>
    <s v="Divorced"/>
    <s v="PhD"/>
    <s v="10/6/2019"/>
    <s v="Illinois"/>
    <n v="9"/>
    <n v="2351"/>
    <n v="28"/>
    <n v="564"/>
    <n v="38"/>
    <n v="28"/>
    <n v="28"/>
    <n v="2980"/>
    <n v="1"/>
    <n v="5"/>
    <n v="4"/>
    <n v="10"/>
    <n v="2"/>
    <n v="0"/>
    <n v="0"/>
    <n v="0"/>
    <n v="0"/>
    <n v="0"/>
    <n v="0"/>
    <n v="0"/>
  </r>
  <r>
    <n v="1793"/>
    <n v="173170"/>
    <n v="0"/>
    <n v="0"/>
    <x v="22"/>
    <s v="Single"/>
    <s v="Graduate"/>
    <s v="11/4/2020"/>
    <s v="California"/>
    <n v="1"/>
    <n v="435"/>
    <n v="412"/>
    <n v="606"/>
    <n v="118"/>
    <n v="71"/>
    <n v="76"/>
    <n v="1567"/>
    <n v="1"/>
    <n v="5"/>
    <n v="4"/>
    <n v="6"/>
    <n v="2"/>
    <n v="0"/>
    <n v="0"/>
    <n v="0"/>
    <n v="0"/>
    <n v="0"/>
    <n v="0"/>
    <n v="0"/>
  </r>
  <r>
    <n v="2854"/>
    <n v="170300"/>
    <n v="1"/>
    <n v="0"/>
    <x v="22"/>
    <s v="Divorced"/>
    <s v="Graduate"/>
    <s v="12/20/2019"/>
    <s v="Other"/>
    <n v="89"/>
    <n v="2531"/>
    <n v="148"/>
    <n v="819"/>
    <n v="145"/>
    <n v="111"/>
    <n v="111"/>
    <n v="3643"/>
    <n v="3"/>
    <n v="5"/>
    <n v="5"/>
    <n v="13"/>
    <n v="8"/>
    <n v="0"/>
    <n v="0"/>
    <n v="0"/>
    <n v="0"/>
    <n v="0"/>
    <n v="0"/>
    <n v="0"/>
  </r>
  <r>
    <n v="2508"/>
    <n v="169283"/>
    <n v="0"/>
    <n v="1"/>
    <x v="22"/>
    <s v="Married"/>
    <s v="PhD"/>
    <s v="11/18/2020"/>
    <s v="Florida"/>
    <n v="41"/>
    <n v="1647"/>
    <n v="151"/>
    <n v="327"/>
    <n v="0"/>
    <n v="64"/>
    <n v="20"/>
    <n v="2170"/>
    <n v="4"/>
    <n v="7"/>
    <n v="3"/>
    <n v="13"/>
    <n v="5"/>
    <n v="0"/>
    <n v="0"/>
    <n v="0"/>
    <n v="0"/>
    <n v="0"/>
    <n v="0"/>
    <n v="0"/>
  </r>
  <r>
    <n v="1930"/>
    <n v="167893"/>
    <n v="0"/>
    <n v="1"/>
    <x v="22"/>
    <s v="Divorced"/>
    <s v="Graduate"/>
    <s v="3/8/2019"/>
    <s v="Other"/>
    <n v="31"/>
    <n v="1758"/>
    <n v="69"/>
    <n v="351"/>
    <n v="121"/>
    <n v="45"/>
    <n v="116"/>
    <n v="2228"/>
    <n v="2"/>
    <n v="3"/>
    <n v="2"/>
    <n v="9"/>
    <n v="8"/>
    <n v="0"/>
    <n v="0"/>
    <n v="0"/>
    <n v="0"/>
    <n v="0"/>
    <n v="0"/>
    <n v="0"/>
  </r>
  <r>
    <n v="1057"/>
    <n v="166653"/>
    <n v="1"/>
    <n v="1"/>
    <x v="22"/>
    <s v="Together"/>
    <s v="Graduate"/>
    <s v="2/12/2019"/>
    <s v="Illinois"/>
    <n v="18"/>
    <n v="1130"/>
    <n v="45"/>
    <n v="255"/>
    <n v="40"/>
    <n v="45"/>
    <n v="15"/>
    <n v="1500"/>
    <n v="4"/>
    <n v="4"/>
    <n v="2"/>
    <n v="12"/>
    <n v="3"/>
    <n v="0"/>
    <n v="0"/>
    <n v="0"/>
    <n v="0"/>
    <n v="0"/>
    <n v="0"/>
    <n v="0"/>
  </r>
  <r>
    <n v="2230"/>
    <n v="165106"/>
    <n v="0"/>
    <n v="1"/>
    <x v="22"/>
    <s v="Married"/>
    <s v="Graduate"/>
    <s v="10/28/2020"/>
    <s v="Other"/>
    <n v="55"/>
    <n v="2003"/>
    <n v="48"/>
    <n v="337"/>
    <n v="30"/>
    <n v="0"/>
    <n v="48"/>
    <n v="2371"/>
    <n v="3"/>
    <n v="8"/>
    <n v="3"/>
    <n v="13"/>
    <n v="6"/>
    <n v="0"/>
    <n v="0"/>
    <n v="0"/>
    <n v="0"/>
    <n v="0"/>
    <n v="1"/>
    <n v="0"/>
  </r>
  <r>
    <n v="1259"/>
    <n v="161905"/>
    <n v="0"/>
    <n v="1"/>
    <x v="22"/>
    <s v="Together"/>
    <s v="PhD"/>
    <s v="7/11/2020"/>
    <s v="California"/>
    <n v="2"/>
    <n v="437"/>
    <n v="0"/>
    <n v="112"/>
    <n v="16"/>
    <n v="5"/>
    <n v="34"/>
    <n v="536"/>
    <n v="2"/>
    <n v="4"/>
    <n v="2"/>
    <n v="4"/>
    <n v="5"/>
    <n v="0"/>
    <n v="0"/>
    <n v="0"/>
    <n v="0"/>
    <n v="0"/>
    <n v="0"/>
    <n v="0"/>
  </r>
  <r>
    <n v="1454"/>
    <n v="161456"/>
    <n v="0"/>
    <n v="1"/>
    <x v="22"/>
    <s v="Married"/>
    <s v="Graduate"/>
    <s v="9/1/2019"/>
    <s v="New York"/>
    <n v="47"/>
    <n v="1479"/>
    <n v="200"/>
    <n v="1009"/>
    <n v="221"/>
    <n v="504"/>
    <n v="234"/>
    <n v="3179"/>
    <n v="4"/>
    <n v="6"/>
    <n v="10"/>
    <n v="13"/>
    <n v="4"/>
    <n v="0"/>
    <n v="0"/>
    <n v="0"/>
    <n v="0"/>
    <n v="0"/>
    <n v="0"/>
    <n v="0"/>
  </r>
  <r>
    <n v="3140"/>
    <n v="160934"/>
    <n v="0"/>
    <n v="1"/>
    <x v="22"/>
    <s v="Together"/>
    <s v="Graduate"/>
    <s v="6/23/2020"/>
    <s v="New York"/>
    <n v="41"/>
    <n v="592"/>
    <n v="409"/>
    <n v="409"/>
    <n v="507"/>
    <n v="246"/>
    <n v="143"/>
    <n v="2020"/>
    <n v="2"/>
    <n v="6"/>
    <n v="4"/>
    <n v="11"/>
    <n v="4"/>
    <n v="0"/>
    <n v="0"/>
    <n v="0"/>
    <n v="0"/>
    <n v="0"/>
    <n v="0"/>
    <n v="0"/>
  </r>
  <r>
    <n v="1068"/>
    <n v="160631"/>
    <n v="1"/>
    <n v="1"/>
    <x v="22"/>
    <s v="Married"/>
    <s v="PhD"/>
    <s v="9/10/2019"/>
    <s v="Florida"/>
    <n v="88"/>
    <n v="1497"/>
    <n v="16"/>
    <n v="172"/>
    <n v="0"/>
    <n v="16"/>
    <n v="50"/>
    <n v="1651"/>
    <n v="5"/>
    <n v="9"/>
    <n v="2"/>
    <n v="8"/>
    <n v="7"/>
    <n v="0"/>
    <n v="0"/>
    <n v="0"/>
    <n v="0"/>
    <n v="0"/>
    <n v="1"/>
    <n v="0"/>
  </r>
  <r>
    <n v="1920"/>
    <n v="160554"/>
    <n v="1"/>
    <n v="0"/>
    <x v="22"/>
    <s v="Divorced"/>
    <s v="PhD"/>
    <s v="1/14/2020"/>
    <s v="Florida"/>
    <n v="8"/>
    <n v="1559"/>
    <n v="19"/>
    <n v="202"/>
    <n v="292"/>
    <n v="40"/>
    <n v="40"/>
    <n v="2071"/>
    <n v="2"/>
    <n v="8"/>
    <n v="4"/>
    <n v="9"/>
    <n v="6"/>
    <n v="0"/>
    <n v="0"/>
    <n v="0"/>
    <n v="0"/>
    <n v="0"/>
    <n v="0"/>
    <n v="0"/>
  </r>
  <r>
    <n v="2737"/>
    <n v="159481"/>
    <n v="0"/>
    <n v="1"/>
    <x v="22"/>
    <s v="Together"/>
    <s v="Graduate"/>
    <s v="3/29/2020"/>
    <s v="Illinois"/>
    <n v="47"/>
    <n v="477"/>
    <n v="8"/>
    <n v="228"/>
    <n v="190"/>
    <n v="177"/>
    <n v="156"/>
    <n v="925"/>
    <n v="2"/>
    <n v="3"/>
    <n v="3"/>
    <n v="8"/>
    <n v="2"/>
    <n v="0"/>
    <n v="0"/>
    <n v="0"/>
    <n v="0"/>
    <n v="0"/>
    <n v="0"/>
    <n v="0"/>
  </r>
  <r>
    <n v="1644"/>
    <n v="158330"/>
    <n v="0"/>
    <n v="1"/>
    <x v="22"/>
    <s v="Widow"/>
    <s v="Graduate"/>
    <s v="5/31/2020"/>
    <s v="Florida"/>
    <n v="87"/>
    <n v="1208"/>
    <n v="144"/>
    <n v="578"/>
    <n v="282"/>
    <n v="266"/>
    <n v="410"/>
    <n v="2068"/>
    <n v="1"/>
    <n v="6"/>
    <n v="4"/>
    <n v="13"/>
    <n v="4"/>
    <n v="0"/>
    <n v="0"/>
    <n v="0"/>
    <n v="0"/>
    <n v="0"/>
    <n v="0"/>
    <n v="0"/>
  </r>
  <r>
    <n v="1733"/>
    <n v="158330"/>
    <n v="0"/>
    <n v="1"/>
    <x v="22"/>
    <s v="Widow"/>
    <s v="Graduate"/>
    <s v="5/31/2020"/>
    <s v="California"/>
    <n v="87"/>
    <n v="1208"/>
    <n v="144"/>
    <n v="578"/>
    <n v="282"/>
    <n v="266"/>
    <n v="410"/>
    <n v="2068"/>
    <n v="1"/>
    <n v="6"/>
    <n v="4"/>
    <n v="13"/>
    <n v="4"/>
    <n v="0"/>
    <n v="0"/>
    <n v="0"/>
    <n v="0"/>
    <n v="0"/>
    <n v="0"/>
    <n v="0"/>
  </r>
  <r>
    <n v="2350"/>
    <n v="157338"/>
    <n v="0"/>
    <n v="1"/>
    <x v="22"/>
    <s v="Single"/>
    <s v="Graduate"/>
    <s v="10/3/2020"/>
    <s v="Other"/>
    <n v="96"/>
    <n v="392"/>
    <n v="16"/>
    <n v="143"/>
    <n v="30"/>
    <n v="22"/>
    <n v="47"/>
    <n v="557"/>
    <n v="2"/>
    <n v="4"/>
    <n v="1"/>
    <n v="5"/>
    <n v="5"/>
    <n v="0"/>
    <n v="0"/>
    <n v="0"/>
    <n v="0"/>
    <n v="0"/>
    <n v="0"/>
    <n v="0"/>
  </r>
  <r>
    <n v="2506"/>
    <n v="157036"/>
    <n v="0"/>
    <n v="1"/>
    <x v="22"/>
    <s v="Married"/>
    <s v="Graduate"/>
    <s v="5/18/2019"/>
    <s v="Other"/>
    <n v="33"/>
    <n v="3224"/>
    <n v="118"/>
    <n v="603"/>
    <n v="52"/>
    <n v="39"/>
    <n v="129"/>
    <n v="3907"/>
    <n v="4"/>
    <n v="6"/>
    <n v="3"/>
    <n v="13"/>
    <n v="9"/>
    <n v="0"/>
    <n v="0"/>
    <n v="0"/>
    <n v="0"/>
    <n v="1"/>
    <n v="0"/>
    <n v="0"/>
  </r>
  <r>
    <n v="2972"/>
    <n v="156559"/>
    <n v="0"/>
    <n v="1"/>
    <x v="22"/>
    <s v="Together"/>
    <s v="PhD"/>
    <s v="6/1/2019"/>
    <s v="New York"/>
    <n v="46"/>
    <n v="626"/>
    <n v="61"/>
    <n v="368"/>
    <n v="113"/>
    <n v="86"/>
    <n v="86"/>
    <n v="1168"/>
    <n v="3"/>
    <n v="4"/>
    <n v="3"/>
    <n v="8"/>
    <n v="4"/>
    <n v="0"/>
    <n v="0"/>
    <n v="0"/>
    <n v="0"/>
    <n v="0"/>
    <n v="0"/>
    <n v="0"/>
  </r>
  <r>
    <n v="2356"/>
    <n v="156243"/>
    <n v="1"/>
    <n v="2"/>
    <x v="22"/>
    <s v="Single"/>
    <s v="Graduate"/>
    <s v="6/5/2020"/>
    <s v="Other"/>
    <n v="26"/>
    <n v="964"/>
    <n v="0"/>
    <n v="97"/>
    <n v="11"/>
    <n v="8"/>
    <n v="19"/>
    <n v="1061"/>
    <n v="6"/>
    <n v="4"/>
    <n v="2"/>
    <n v="8"/>
    <n v="5"/>
    <n v="0"/>
    <n v="0"/>
    <n v="0"/>
    <n v="0"/>
    <n v="0"/>
    <n v="0"/>
    <n v="0"/>
  </r>
  <r>
    <n v="3008"/>
    <n v="155914"/>
    <n v="0"/>
    <n v="1"/>
    <x v="22"/>
    <s v="Together"/>
    <s v="Graduate"/>
    <s v="10/4/2019"/>
    <s v="New York"/>
    <n v="32"/>
    <n v="1071"/>
    <n v="167"/>
    <n v="1015"/>
    <n v="332"/>
    <n v="282"/>
    <n v="647"/>
    <n v="2220"/>
    <n v="4"/>
    <n v="11"/>
    <n v="6"/>
    <n v="8"/>
    <n v="7"/>
    <n v="0"/>
    <n v="0"/>
    <n v="0"/>
    <n v="0"/>
    <n v="0"/>
    <n v="0"/>
    <n v="0"/>
  </r>
  <r>
    <n v="3026"/>
    <n v="155801"/>
    <n v="1"/>
    <n v="1"/>
    <x v="22"/>
    <s v="Single"/>
    <s v="Graduate"/>
    <s v="2/27/2020"/>
    <s v="New York"/>
    <n v="35"/>
    <n v="1025"/>
    <n v="11"/>
    <n v="142"/>
    <n v="17"/>
    <n v="11"/>
    <n v="265"/>
    <n v="941"/>
    <n v="6"/>
    <n v="7"/>
    <n v="2"/>
    <n v="6"/>
    <n v="7"/>
    <n v="0"/>
    <n v="0"/>
    <n v="1"/>
    <n v="0"/>
    <n v="0"/>
    <n v="0"/>
    <n v="0"/>
  </r>
  <r>
    <n v="2209"/>
    <n v="154730"/>
    <n v="0"/>
    <n v="1"/>
    <x v="22"/>
    <s v="Married"/>
    <s v="Master"/>
    <s v="1/20/2020"/>
    <s v="Illinois"/>
    <n v="64"/>
    <n v="899"/>
    <n v="8"/>
    <n v="48"/>
    <n v="11"/>
    <n v="20"/>
    <n v="158"/>
    <n v="828"/>
    <n v="5"/>
    <n v="4"/>
    <n v="1"/>
    <n v="8"/>
    <n v="4"/>
    <n v="0"/>
    <n v="0"/>
    <n v="0"/>
    <n v="0"/>
    <n v="0"/>
    <n v="0"/>
    <n v="0"/>
  </r>
  <r>
    <n v="2476"/>
    <n v="153253"/>
    <n v="1"/>
    <n v="1"/>
    <x v="22"/>
    <s v="Together"/>
    <s v="Master"/>
    <s v="7/19/2019"/>
    <s v="Other"/>
    <n v="61"/>
    <n v="622"/>
    <n v="26"/>
    <n v="164"/>
    <n v="58"/>
    <n v="26"/>
    <n v="360"/>
    <n v="535"/>
    <n v="7"/>
    <n v="4"/>
    <n v="3"/>
    <n v="5"/>
    <n v="5"/>
    <n v="0"/>
    <n v="0"/>
    <n v="0"/>
    <n v="0"/>
    <n v="0"/>
    <n v="0"/>
    <n v="0"/>
  </r>
  <r>
    <n v="2959"/>
    <n v="153201"/>
    <n v="1"/>
    <n v="1"/>
    <x v="22"/>
    <s v="Single"/>
    <s v="Graduate"/>
    <s v="7/20/2019"/>
    <s v="Illinois"/>
    <n v="49"/>
    <n v="806"/>
    <n v="20"/>
    <n v="233"/>
    <n v="58"/>
    <n v="0"/>
    <n v="78"/>
    <n v="1040"/>
    <n v="8"/>
    <n v="6"/>
    <n v="3"/>
    <n v="5"/>
    <n v="7"/>
    <n v="0"/>
    <n v="0"/>
    <n v="0"/>
    <n v="0"/>
    <n v="0"/>
    <n v="0"/>
    <n v="0"/>
  </r>
  <r>
    <n v="1353"/>
    <n v="152614"/>
    <n v="0"/>
    <n v="1"/>
    <x v="22"/>
    <s v="Single"/>
    <s v="PhD"/>
    <s v="5/8/2019"/>
    <s v="Texas"/>
    <n v="63"/>
    <n v="2289"/>
    <n v="0"/>
    <n v="412"/>
    <n v="35"/>
    <n v="26"/>
    <n v="110"/>
    <n v="2651"/>
    <n v="2"/>
    <n v="2"/>
    <n v="4"/>
    <n v="8"/>
    <n v="8"/>
    <n v="0"/>
    <n v="0"/>
    <n v="0"/>
    <n v="0"/>
    <n v="0"/>
    <n v="0"/>
    <n v="0"/>
  </r>
  <r>
    <n v="1656"/>
    <n v="152614"/>
    <n v="0"/>
    <n v="1"/>
    <x v="22"/>
    <s v="Single"/>
    <s v="PhD"/>
    <s v="5/8/2019"/>
    <s v="Florida"/>
    <n v="63"/>
    <n v="2289"/>
    <n v="0"/>
    <n v="412"/>
    <n v="35"/>
    <n v="26"/>
    <n v="110"/>
    <n v="2651"/>
    <n v="2"/>
    <n v="2"/>
    <n v="4"/>
    <n v="8"/>
    <n v="8"/>
    <n v="0"/>
    <n v="0"/>
    <n v="0"/>
    <n v="0"/>
    <n v="0"/>
    <n v="0"/>
    <n v="0"/>
  </r>
  <r>
    <n v="2315"/>
    <n v="151948"/>
    <n v="0"/>
    <n v="1"/>
    <x v="22"/>
    <s v="Married"/>
    <s v="Graduate"/>
    <s v="2/22/2020"/>
    <s v="California"/>
    <n v="51"/>
    <n v="240"/>
    <n v="97"/>
    <n v="158"/>
    <n v="208"/>
    <n v="88"/>
    <n v="120"/>
    <n v="670"/>
    <n v="2"/>
    <n v="5"/>
    <n v="2"/>
    <n v="4"/>
    <n v="5"/>
    <n v="0"/>
    <n v="0"/>
    <n v="0"/>
    <n v="0"/>
    <n v="0"/>
    <n v="0"/>
    <n v="0"/>
  </r>
  <r>
    <n v="1845"/>
    <n v="149514"/>
    <n v="1"/>
    <n v="0"/>
    <x v="22"/>
    <s v="Single"/>
    <s v="Graduate"/>
    <s v="5/23/2020"/>
    <s v="Texas"/>
    <n v="61"/>
    <n v="266"/>
    <n v="118"/>
    <n v="236"/>
    <n v="175"/>
    <n v="39"/>
    <n v="281"/>
    <n v="553"/>
    <n v="2"/>
    <n v="6"/>
    <n v="1"/>
    <n v="4"/>
    <n v="7"/>
    <n v="0"/>
    <n v="0"/>
    <n v="0"/>
    <n v="0"/>
    <n v="0"/>
    <n v="0"/>
    <n v="0"/>
  </r>
  <r>
    <n v="1355"/>
    <n v="148178"/>
    <n v="1"/>
    <n v="1"/>
    <x v="22"/>
    <s v="Married"/>
    <s v="Graduate"/>
    <s v="4/4/2019"/>
    <s v="California"/>
    <n v="69"/>
    <n v="489"/>
    <n v="12"/>
    <n v="138"/>
    <n v="18"/>
    <n v="6"/>
    <n v="117"/>
    <n v="547"/>
    <n v="6"/>
    <n v="5"/>
    <n v="1"/>
    <n v="4"/>
    <n v="8"/>
    <n v="0"/>
    <n v="0"/>
    <n v="0"/>
    <n v="0"/>
    <n v="0"/>
    <n v="0"/>
    <n v="0"/>
  </r>
  <r>
    <n v="2744"/>
    <n v="147808"/>
    <n v="0"/>
    <n v="1"/>
    <x v="22"/>
    <s v="Married"/>
    <s v="Master"/>
    <s v="3/26/2020"/>
    <s v="New York"/>
    <n v="30"/>
    <n v="380"/>
    <n v="3"/>
    <n v="80"/>
    <n v="6"/>
    <n v="0"/>
    <n v="223"/>
    <n v="247"/>
    <n v="2"/>
    <n v="3"/>
    <n v="2"/>
    <n v="3"/>
    <n v="7"/>
    <n v="0"/>
    <n v="0"/>
    <n v="0"/>
    <n v="0"/>
    <n v="1"/>
    <n v="0"/>
    <n v="0"/>
  </r>
  <r>
    <n v="1514"/>
    <n v="147682"/>
    <n v="0"/>
    <n v="1"/>
    <x v="22"/>
    <s v="Widow"/>
    <s v="Graduate"/>
    <s v="7/23/2019"/>
    <s v="New York"/>
    <n v="80"/>
    <n v="502"/>
    <n v="189"/>
    <n v="257"/>
    <n v="300"/>
    <n v="177"/>
    <n v="189"/>
    <n v="1236"/>
    <n v="4"/>
    <n v="4"/>
    <n v="3"/>
    <n v="8"/>
    <n v="5"/>
    <n v="0"/>
    <n v="0"/>
    <n v="0"/>
    <n v="0"/>
    <n v="0"/>
    <n v="0"/>
    <n v="0"/>
  </r>
  <r>
    <n v="2483"/>
    <n v="146772"/>
    <n v="0"/>
    <n v="1"/>
    <x v="22"/>
    <s v="Together"/>
    <s v="Graduate"/>
    <s v="4/14/2019"/>
    <s v="California"/>
    <n v="88"/>
    <n v="1098"/>
    <n v="326"/>
    <n v="593"/>
    <n v="618"/>
    <n v="474"/>
    <n v="179"/>
    <n v="2931"/>
    <n v="6"/>
    <n v="11"/>
    <n v="8"/>
    <n v="5"/>
    <n v="8"/>
    <n v="0"/>
    <n v="0"/>
    <n v="0"/>
    <n v="0"/>
    <n v="1"/>
    <n v="0"/>
    <n v="0"/>
  </r>
  <r>
    <n v="2260"/>
    <n v="146149"/>
    <n v="0"/>
    <n v="1"/>
    <x v="22"/>
    <s v="Married"/>
    <s v="Graduate"/>
    <s v="5/5/2020"/>
    <s v="Other"/>
    <n v="36"/>
    <n v="804"/>
    <n v="19"/>
    <n v="225"/>
    <n v="13"/>
    <n v="0"/>
    <n v="86"/>
    <n v="975"/>
    <n v="5"/>
    <n v="5"/>
    <n v="1"/>
    <n v="7"/>
    <n v="5"/>
    <n v="0"/>
    <n v="0"/>
    <n v="0"/>
    <n v="0"/>
    <n v="0"/>
    <n v="0"/>
    <n v="0"/>
  </r>
  <r>
    <n v="1359"/>
    <n v="146098"/>
    <n v="1"/>
    <n v="1"/>
    <x v="22"/>
    <s v="Single"/>
    <s v="Master"/>
    <s v="1/23/2019"/>
    <s v="Texas"/>
    <n v="86"/>
    <n v="181"/>
    <n v="0"/>
    <n v="86"/>
    <n v="0"/>
    <n v="0"/>
    <n v="114"/>
    <n v="152"/>
    <n v="4"/>
    <n v="3"/>
    <n v="2"/>
    <n v="2"/>
    <n v="8"/>
    <n v="0"/>
    <n v="0"/>
    <n v="0"/>
    <n v="0"/>
    <n v="0"/>
    <n v="0"/>
    <n v="0"/>
  </r>
  <r>
    <n v="2487"/>
    <n v="146098"/>
    <n v="1"/>
    <n v="1"/>
    <x v="22"/>
    <s v="Single"/>
    <s v="Master"/>
    <s v="1/23/2019"/>
    <s v="Texas"/>
    <n v="86"/>
    <n v="181"/>
    <n v="0"/>
    <n v="86"/>
    <n v="0"/>
    <n v="0"/>
    <n v="114"/>
    <n v="152"/>
    <n v="4"/>
    <n v="3"/>
    <n v="2"/>
    <n v="2"/>
    <n v="8"/>
    <n v="0"/>
    <n v="0"/>
    <n v="0"/>
    <n v="0"/>
    <n v="0"/>
    <n v="0"/>
    <n v="0"/>
  </r>
  <r>
    <n v="2509"/>
    <n v="146098"/>
    <n v="1"/>
    <n v="1"/>
    <x v="22"/>
    <s v="Single"/>
    <s v="Master"/>
    <s v="1/23/2019"/>
    <s v="Illinois"/>
    <n v="86"/>
    <n v="181"/>
    <n v="0"/>
    <n v="86"/>
    <n v="0"/>
    <n v="0"/>
    <n v="114"/>
    <n v="152"/>
    <n v="4"/>
    <n v="3"/>
    <n v="2"/>
    <n v="2"/>
    <n v="8"/>
    <n v="0"/>
    <n v="1"/>
    <n v="0"/>
    <n v="0"/>
    <n v="0"/>
    <n v="0"/>
    <n v="0"/>
  </r>
  <r>
    <n v="2307"/>
    <n v="145503"/>
    <n v="1"/>
    <n v="0"/>
    <x v="22"/>
    <s v="Married"/>
    <s v="PhD"/>
    <s v="3/1/2020"/>
    <s v="Texas"/>
    <n v="54"/>
    <n v="310"/>
    <n v="13"/>
    <n v="141"/>
    <n v="19"/>
    <n v="3"/>
    <n v="58"/>
    <n v="428"/>
    <n v="1"/>
    <n v="3"/>
    <n v="1"/>
    <n v="4"/>
    <n v="5"/>
    <n v="0"/>
    <n v="0"/>
    <n v="0"/>
    <n v="0"/>
    <n v="0"/>
    <n v="0"/>
    <n v="0"/>
  </r>
  <r>
    <n v="1271"/>
    <n v="144319"/>
    <n v="1"/>
    <n v="1"/>
    <x v="22"/>
    <s v="Married"/>
    <s v="Master"/>
    <s v="9/21/2020"/>
    <s v="California"/>
    <n v="18"/>
    <n v="85"/>
    <n v="0"/>
    <n v="26"/>
    <n v="0"/>
    <n v="0"/>
    <n v="10"/>
    <n v="101"/>
    <n v="2"/>
    <n v="2"/>
    <n v="0"/>
    <n v="3"/>
    <n v="5"/>
    <n v="0"/>
    <n v="0"/>
    <n v="0"/>
    <n v="0"/>
    <n v="0"/>
    <n v="0"/>
    <n v="0"/>
  </r>
  <r>
    <n v="1467"/>
    <n v="143057"/>
    <n v="0"/>
    <n v="1"/>
    <x v="22"/>
    <s v="Married"/>
    <s v="Graduate"/>
    <s v="4/5/2020"/>
    <s v="Texas"/>
    <n v="30"/>
    <n v="708"/>
    <n v="7"/>
    <n v="146"/>
    <n v="0"/>
    <n v="7"/>
    <n v="17"/>
    <n v="851"/>
    <n v="4"/>
    <n v="4"/>
    <n v="2"/>
    <n v="5"/>
    <n v="5"/>
    <n v="0"/>
    <n v="0"/>
    <n v="0"/>
    <n v="0"/>
    <n v="0"/>
    <n v="0"/>
    <n v="0"/>
  </r>
  <r>
    <n v="2196"/>
    <n v="142160"/>
    <n v="1"/>
    <n v="1"/>
    <x v="22"/>
    <s v="Single"/>
    <s v="Graduate"/>
    <s v="12/3/2019"/>
    <s v="Florida"/>
    <n v="26"/>
    <n v="162"/>
    <n v="30"/>
    <n v="152"/>
    <n v="10"/>
    <n v="51"/>
    <n v="67"/>
    <n v="337"/>
    <n v="4"/>
    <n v="2"/>
    <n v="1"/>
    <n v="4"/>
    <n v="6"/>
    <n v="0"/>
    <n v="1"/>
    <n v="0"/>
    <n v="0"/>
    <n v="0"/>
    <n v="0"/>
    <n v="0"/>
  </r>
  <r>
    <n v="2369"/>
    <n v="141658"/>
    <n v="1"/>
    <n v="1"/>
    <x v="22"/>
    <s v="Single"/>
    <s v="Graduate"/>
    <s v="4/16/2019"/>
    <s v="California"/>
    <n v="30"/>
    <n v="27"/>
    <n v="14"/>
    <n v="41"/>
    <n v="51"/>
    <n v="14"/>
    <n v="99"/>
    <n v="48"/>
    <n v="2"/>
    <n v="1"/>
    <n v="1"/>
    <n v="2"/>
    <n v="4"/>
    <n v="0"/>
    <n v="0"/>
    <n v="0"/>
    <n v="0"/>
    <n v="0"/>
    <n v="0"/>
    <n v="0"/>
  </r>
  <r>
    <n v="2948"/>
    <n v="140794"/>
    <n v="0"/>
    <n v="1"/>
    <x v="22"/>
    <s v="Married"/>
    <s v="Graduate"/>
    <s v="9/12/2019"/>
    <s v="New York"/>
    <n v="18"/>
    <n v="901"/>
    <n v="79"/>
    <n v="252"/>
    <n v="14"/>
    <n v="79"/>
    <n v="173"/>
    <n v="1153"/>
    <n v="2"/>
    <n v="6"/>
    <n v="3"/>
    <n v="5"/>
    <n v="7"/>
    <n v="0"/>
    <n v="0"/>
    <n v="0"/>
    <n v="0"/>
    <n v="0"/>
    <n v="0"/>
    <n v="0"/>
  </r>
  <r>
    <n v="1944"/>
    <n v="140233"/>
    <n v="0"/>
    <n v="1"/>
    <x v="22"/>
    <s v="Married"/>
    <s v="PhD"/>
    <s v="3/20/2020"/>
    <s v="Florida"/>
    <n v="84"/>
    <n v="279"/>
    <n v="14"/>
    <n v="160"/>
    <n v="0"/>
    <n v="59"/>
    <n v="7"/>
    <n v="505"/>
    <n v="5"/>
    <n v="2"/>
    <n v="1"/>
    <n v="5"/>
    <n v="6"/>
    <n v="0"/>
    <n v="0"/>
    <n v="0"/>
    <n v="0"/>
    <n v="0"/>
    <n v="0"/>
    <n v="0"/>
  </r>
  <r>
    <n v="2257"/>
    <n v="137368"/>
    <n v="1"/>
    <n v="0"/>
    <x v="22"/>
    <s v="Married"/>
    <s v="Master"/>
    <s v="5/22/2020"/>
    <s v="Illinois"/>
    <n v="4"/>
    <n v="11"/>
    <n v="7"/>
    <n v="40"/>
    <n v="7"/>
    <n v="7"/>
    <n v="37"/>
    <n v="37"/>
    <n v="1"/>
    <n v="1"/>
    <n v="0"/>
    <n v="2"/>
    <n v="6"/>
    <n v="0"/>
    <n v="0"/>
    <n v="0"/>
    <n v="0"/>
    <n v="1"/>
    <n v="0"/>
    <n v="0"/>
  </r>
  <r>
    <n v="2525"/>
    <n v="137284"/>
    <n v="1"/>
    <n v="1"/>
    <x v="22"/>
    <s v="Married"/>
    <s v="Graduate"/>
    <s v="9/3/2019"/>
    <s v="California"/>
    <n v="46"/>
    <n v="41"/>
    <n v="4"/>
    <n v="7"/>
    <n v="7"/>
    <n v="4"/>
    <n v="22"/>
    <n v="41"/>
    <n v="1"/>
    <n v="0"/>
    <n v="0"/>
    <n v="3"/>
    <n v="6"/>
    <n v="0"/>
    <n v="0"/>
    <n v="0"/>
    <n v="0"/>
    <n v="0"/>
    <n v="0"/>
    <n v="0"/>
  </r>
  <r>
    <n v="2990"/>
    <n v="137284"/>
    <n v="1"/>
    <n v="1"/>
    <x v="22"/>
    <s v="Married"/>
    <s v="Graduate"/>
    <s v="9/3/2019"/>
    <s v="New York"/>
    <n v="46"/>
    <n v="41"/>
    <n v="4"/>
    <n v="7"/>
    <n v="7"/>
    <n v="4"/>
    <n v="22"/>
    <n v="41"/>
    <n v="1"/>
    <n v="0"/>
    <n v="0"/>
    <n v="3"/>
    <n v="6"/>
    <n v="0"/>
    <n v="0"/>
    <n v="0"/>
    <n v="0"/>
    <n v="0"/>
    <n v="0"/>
    <n v="0"/>
  </r>
  <r>
    <n v="3167"/>
    <n v="137085"/>
    <n v="1"/>
    <n v="1"/>
    <x v="22"/>
    <s v="Married"/>
    <s v="Graduate"/>
    <s v="11/30/2020"/>
    <s v="California"/>
    <n v="65"/>
    <n v="144"/>
    <n v="4"/>
    <n v="59"/>
    <n v="7"/>
    <n v="0"/>
    <n v="11"/>
    <n v="203"/>
    <n v="4"/>
    <n v="3"/>
    <n v="0"/>
    <n v="3"/>
    <n v="8"/>
    <n v="0"/>
    <n v="0"/>
    <n v="0"/>
    <n v="0"/>
    <n v="0"/>
    <n v="0"/>
    <n v="0"/>
  </r>
  <r>
    <n v="2575"/>
    <n v="136663"/>
    <n v="1"/>
    <n v="0"/>
    <x v="22"/>
    <s v="Married"/>
    <s v="PhD"/>
    <s v="9/29/2020"/>
    <s v="Illinois"/>
    <n v="40"/>
    <n v="67"/>
    <n v="0"/>
    <n v="22"/>
    <n v="11"/>
    <n v="11"/>
    <n v="19"/>
    <n v="93"/>
    <n v="1"/>
    <n v="1"/>
    <n v="1"/>
    <n v="3"/>
    <n v="2"/>
    <n v="0"/>
    <n v="0"/>
    <n v="0"/>
    <n v="0"/>
    <n v="0"/>
    <n v="0"/>
    <n v="0"/>
  </r>
  <r>
    <n v="1863"/>
    <n v="136627"/>
    <n v="2"/>
    <n v="0"/>
    <x v="22"/>
    <s v="Divorced"/>
    <s v="Graduate"/>
    <s v="12/28/2019"/>
    <s v="Texas"/>
    <n v="78"/>
    <n v="34"/>
    <n v="4"/>
    <n v="19"/>
    <n v="0"/>
    <n v="0"/>
    <n v="4"/>
    <n v="52"/>
    <n v="1"/>
    <n v="0"/>
    <n v="0"/>
    <n v="3"/>
    <n v="5"/>
    <n v="0"/>
    <n v="0"/>
    <n v="0"/>
    <n v="0"/>
    <n v="0"/>
    <n v="0"/>
    <n v="0"/>
  </r>
  <r>
    <n v="1862"/>
    <n v="135797"/>
    <n v="0"/>
    <n v="1"/>
    <x v="22"/>
    <s v="Married"/>
    <s v="Graduate"/>
    <s v="3/23/2019"/>
    <s v="New York"/>
    <n v="16"/>
    <n v="102"/>
    <n v="4"/>
    <n v="53"/>
    <n v="15"/>
    <n v="4"/>
    <n v="80"/>
    <n v="99"/>
    <n v="2"/>
    <n v="2"/>
    <n v="0"/>
    <n v="3"/>
    <n v="8"/>
    <n v="0"/>
    <n v="0"/>
    <n v="0"/>
    <n v="0"/>
    <n v="0"/>
    <n v="0"/>
    <n v="0"/>
  </r>
  <r>
    <n v="2910"/>
    <n v="134984"/>
    <n v="1"/>
    <n v="1"/>
    <x v="22"/>
    <s v="Together"/>
    <s v="Graduate"/>
    <s v="2/11/2019"/>
    <s v="Florida"/>
    <n v="40"/>
    <n v="31"/>
    <n v="15"/>
    <n v="58"/>
    <n v="12"/>
    <n v="19"/>
    <n v="12"/>
    <n v="123"/>
    <n v="2"/>
    <n v="1"/>
    <n v="0"/>
    <n v="3"/>
    <n v="7"/>
    <n v="0"/>
    <n v="0"/>
    <n v="0"/>
    <n v="0"/>
    <n v="0"/>
    <n v="0"/>
    <n v="0"/>
  </r>
  <r>
    <n v="3125"/>
    <n v="134176"/>
    <n v="0"/>
    <n v="1"/>
    <x v="22"/>
    <s v="Together"/>
    <s v="Master"/>
    <s v="6/28/2020"/>
    <s v="California"/>
    <n v="9"/>
    <n v="43"/>
    <n v="8"/>
    <n v="27"/>
    <n v="16"/>
    <n v="8"/>
    <n v="8"/>
    <n v="94"/>
    <n v="1"/>
    <n v="1"/>
    <n v="0"/>
    <n v="3"/>
    <n v="3"/>
    <n v="0"/>
    <n v="0"/>
    <n v="0"/>
    <n v="0"/>
    <n v="0"/>
    <n v="0"/>
    <n v="0"/>
  </r>
  <r>
    <n v="2589"/>
    <n v="133955"/>
    <n v="1"/>
    <n v="0"/>
    <x v="22"/>
    <s v="Single"/>
    <s v="Graduate"/>
    <s v="1/14/2020"/>
    <s v="Texas"/>
    <n v="92"/>
    <n v="395"/>
    <n v="8"/>
    <n v="505"/>
    <n v="91"/>
    <n v="28"/>
    <n v="39"/>
    <n v="986"/>
    <n v="4"/>
    <n v="5"/>
    <n v="1"/>
    <n v="5"/>
    <n v="8"/>
    <n v="0"/>
    <n v="0"/>
    <n v="0"/>
    <n v="0"/>
    <n v="0"/>
    <n v="0"/>
    <n v="0"/>
  </r>
  <r>
    <n v="1693"/>
    <n v="133249"/>
    <n v="1"/>
    <n v="0"/>
    <x v="22"/>
    <s v="Single"/>
    <s v="Graduate"/>
    <s v="7/28/2019"/>
    <s v="Illinois"/>
    <n v="11"/>
    <n v="24"/>
    <n v="40"/>
    <n v="84"/>
    <n v="76"/>
    <n v="56"/>
    <n v="168"/>
    <n v="112"/>
    <n v="2"/>
    <n v="2"/>
    <n v="1"/>
    <n v="3"/>
    <n v="6"/>
    <n v="0"/>
    <n v="0"/>
    <n v="0"/>
    <n v="0"/>
    <n v="0"/>
    <n v="0"/>
    <n v="0"/>
  </r>
  <r>
    <n v="2325"/>
    <n v="133249"/>
    <n v="1"/>
    <n v="0"/>
    <x v="22"/>
    <s v="Single"/>
    <s v="Graduate"/>
    <s v="7/28/2019"/>
    <s v="Texas"/>
    <n v="11"/>
    <n v="24"/>
    <n v="40"/>
    <n v="84"/>
    <n v="76"/>
    <n v="56"/>
    <n v="168"/>
    <n v="112"/>
    <n v="2"/>
    <n v="2"/>
    <n v="1"/>
    <n v="3"/>
    <n v="6"/>
    <n v="0"/>
    <n v="0"/>
    <n v="0"/>
    <n v="0"/>
    <n v="0"/>
    <n v="0"/>
    <n v="0"/>
  </r>
  <r>
    <n v="1448"/>
    <n v="133183"/>
    <n v="1"/>
    <n v="0"/>
    <x v="22"/>
    <s v="Married"/>
    <s v="Graduate"/>
    <s v="7/31/2020"/>
    <s v="New York"/>
    <n v="46"/>
    <n v="28"/>
    <n v="20"/>
    <n v="157"/>
    <n v="68"/>
    <n v="60"/>
    <n v="149"/>
    <n v="185"/>
    <n v="2"/>
    <n v="4"/>
    <n v="0"/>
    <n v="3"/>
    <n v="7"/>
    <n v="0"/>
    <n v="0"/>
    <n v="0"/>
    <n v="0"/>
    <n v="0"/>
    <n v="0"/>
    <n v="0"/>
  </r>
  <r>
    <n v="1237"/>
    <n v="131160"/>
    <n v="1"/>
    <n v="0"/>
    <x v="22"/>
    <s v="Single"/>
    <s v="Master"/>
    <s v="2/21/2020"/>
    <s v="Illinois"/>
    <n v="59"/>
    <n v="67"/>
    <n v="13"/>
    <n v="105"/>
    <n v="25"/>
    <n v="4"/>
    <n v="55"/>
    <n v="160"/>
    <n v="2"/>
    <n v="2"/>
    <n v="0"/>
    <n v="3"/>
    <n v="8"/>
    <n v="0"/>
    <n v="0"/>
    <n v="0"/>
    <n v="0"/>
    <n v="0"/>
    <n v="0"/>
    <n v="0"/>
  </r>
  <r>
    <n v="1592"/>
    <n v="130801"/>
    <n v="0"/>
    <n v="1"/>
    <x v="22"/>
    <s v="Married"/>
    <s v="Basic"/>
    <s v="4/2/2019"/>
    <s v="New York"/>
    <n v="23"/>
    <n v="34"/>
    <n v="17"/>
    <n v="21"/>
    <n v="64"/>
    <n v="8"/>
    <n v="47"/>
    <n v="98"/>
    <n v="2"/>
    <n v="1"/>
    <n v="0"/>
    <n v="3"/>
    <n v="7"/>
    <n v="0"/>
    <n v="0"/>
    <n v="0"/>
    <n v="0"/>
    <n v="0"/>
    <n v="0"/>
    <n v="0"/>
  </r>
  <r>
    <n v="2651"/>
    <n v="127573"/>
    <n v="1"/>
    <n v="0"/>
    <x v="22"/>
    <s v="Married"/>
    <s v="Graduate"/>
    <s v="8/30/2019"/>
    <s v="California"/>
    <n v="45"/>
    <n v="231"/>
    <n v="69"/>
    <n v="509"/>
    <n v="180"/>
    <n v="69"/>
    <n v="69"/>
    <n v="990"/>
    <n v="4"/>
    <n v="5"/>
    <n v="1"/>
    <n v="4"/>
    <n v="8"/>
    <n v="0"/>
    <n v="0"/>
    <n v="0"/>
    <n v="0"/>
    <n v="0"/>
    <n v="0"/>
    <n v="0"/>
  </r>
  <r>
    <n v="1136"/>
    <n v="123957"/>
    <n v="1"/>
    <n v="0"/>
    <x v="22"/>
    <s v="Married"/>
    <s v="Graduate"/>
    <s v="4/4/2019"/>
    <s v="New York"/>
    <n v="47"/>
    <n v="10"/>
    <n v="5"/>
    <n v="93"/>
    <n v="103"/>
    <n v="57"/>
    <n v="83"/>
    <n v="186"/>
    <n v="1"/>
    <n v="2"/>
    <n v="0"/>
    <n v="3"/>
    <n v="6"/>
    <n v="0"/>
    <n v="1"/>
    <n v="0"/>
    <n v="0"/>
    <n v="0"/>
    <n v="0"/>
    <n v="0"/>
  </r>
  <r>
    <n v="2804"/>
    <n v="122669"/>
    <n v="1"/>
    <n v="0"/>
    <x v="22"/>
    <s v="Together"/>
    <s v="Master"/>
    <s v="10/27/2019"/>
    <s v="New York"/>
    <n v="30"/>
    <n v="87"/>
    <n v="76"/>
    <n v="195"/>
    <n v="200"/>
    <n v="119"/>
    <n v="260"/>
    <n v="417"/>
    <n v="3"/>
    <n v="4"/>
    <n v="1"/>
    <n v="2"/>
    <n v="9"/>
    <n v="0"/>
    <n v="1"/>
    <n v="0"/>
    <n v="0"/>
    <n v="0"/>
    <n v="0"/>
    <n v="0"/>
  </r>
  <r>
    <n v="2826"/>
    <n v="122280"/>
    <n v="1"/>
    <n v="0"/>
    <x v="22"/>
    <s v="Together"/>
    <s v="Graduate"/>
    <s v="10/24/2019"/>
    <s v="Florida"/>
    <n v="85"/>
    <n v="11"/>
    <n v="5"/>
    <n v="22"/>
    <n v="16"/>
    <n v="5"/>
    <n v="11"/>
    <n v="49"/>
    <n v="1"/>
    <n v="1"/>
    <n v="0"/>
    <n v="2"/>
    <n v="8"/>
    <n v="0"/>
    <n v="0"/>
    <n v="0"/>
    <n v="0"/>
    <n v="0"/>
    <n v="0"/>
    <n v="0"/>
  </r>
  <r>
    <n v="1223"/>
    <n v="122212"/>
    <n v="1"/>
    <n v="0"/>
    <x v="22"/>
    <s v="Married"/>
    <s v="Graduate"/>
    <s v="5/15/2020"/>
    <s v="California"/>
    <n v="49"/>
    <n v="28"/>
    <n v="50"/>
    <n v="110"/>
    <n v="33"/>
    <n v="44"/>
    <n v="116"/>
    <n v="149"/>
    <n v="2"/>
    <n v="2"/>
    <n v="0"/>
    <n v="4"/>
    <n v="6"/>
    <n v="0"/>
    <n v="0"/>
    <n v="0"/>
    <n v="0"/>
    <n v="0"/>
    <n v="0"/>
    <n v="0"/>
  </r>
  <r>
    <n v="1400"/>
    <n v="119789"/>
    <n v="1"/>
    <n v="0"/>
    <x v="22"/>
    <s v="Together"/>
    <s v="Graduate"/>
    <s v="4/26/2020"/>
    <s v="New York"/>
    <n v="24"/>
    <n v="12"/>
    <n v="30"/>
    <n v="54"/>
    <n v="169"/>
    <n v="36"/>
    <n v="169"/>
    <n v="133"/>
    <n v="3"/>
    <n v="2"/>
    <n v="1"/>
    <n v="3"/>
    <n v="5"/>
    <n v="0"/>
    <n v="0"/>
    <n v="0"/>
    <n v="0"/>
    <n v="1"/>
    <n v="0"/>
    <n v="0"/>
  </r>
  <r>
    <n v="1579"/>
    <n v="117459"/>
    <n v="1"/>
    <n v="0"/>
    <x v="22"/>
    <s v="Together"/>
    <s v="Master"/>
    <s v="2/24/2020"/>
    <s v="Illinois"/>
    <n v="12"/>
    <n v="40"/>
    <n v="27"/>
    <n v="108"/>
    <n v="20"/>
    <n v="67"/>
    <n v="202"/>
    <n v="61"/>
    <n v="3"/>
    <n v="3"/>
    <n v="1"/>
    <n v="2"/>
    <n v="7"/>
    <n v="0"/>
    <n v="1"/>
    <n v="0"/>
    <n v="0"/>
    <n v="0"/>
    <n v="0"/>
    <n v="0"/>
  </r>
  <r>
    <n v="1727"/>
    <n v="117003"/>
    <n v="1"/>
    <n v="0"/>
    <x v="22"/>
    <s v="Married"/>
    <s v="Graduate"/>
    <s v="5/15/2020"/>
    <s v="California"/>
    <n v="37"/>
    <n v="14"/>
    <n v="34"/>
    <n v="83"/>
    <n v="28"/>
    <n v="55"/>
    <n v="48"/>
    <n v="165"/>
    <n v="3"/>
    <n v="2"/>
    <n v="0"/>
    <n v="4"/>
    <n v="5"/>
    <n v="0"/>
    <n v="0"/>
    <n v="0"/>
    <n v="0"/>
    <n v="0"/>
    <n v="0"/>
    <n v="0"/>
  </r>
  <r>
    <n v="2836"/>
    <n v="111448"/>
    <n v="0"/>
    <n v="0"/>
    <x v="22"/>
    <s v="Divorced"/>
    <s v="Graduate"/>
    <s v="5/21/2020"/>
    <s v="Other"/>
    <n v="16"/>
    <n v="0"/>
    <n v="0"/>
    <n v="0"/>
    <n v="58"/>
    <n v="19"/>
    <n v="58"/>
    <n v="19"/>
    <n v="1"/>
    <n v="1"/>
    <n v="0"/>
    <n v="2"/>
    <n v="6"/>
    <n v="0"/>
    <n v="0"/>
    <n v="0"/>
    <n v="0"/>
    <n v="0"/>
    <n v="0"/>
    <n v="0"/>
  </r>
  <r>
    <n v="1042"/>
    <n v="107500"/>
    <n v="1"/>
    <n v="0"/>
    <x v="22"/>
    <s v="Married"/>
    <s v="Master"/>
    <s v="3/8/2020"/>
    <s v="Other"/>
    <n v="19"/>
    <n v="43"/>
    <n v="14"/>
    <n v="143"/>
    <n v="43"/>
    <n v="29"/>
    <n v="172"/>
    <n v="100"/>
    <n v="3"/>
    <n v="2"/>
    <n v="0"/>
    <n v="3"/>
    <n v="5"/>
    <n v="0"/>
    <n v="0"/>
    <n v="0"/>
    <n v="0"/>
    <n v="0"/>
    <n v="0"/>
    <n v="0"/>
  </r>
  <r>
    <n v="1239"/>
    <n v="202692"/>
    <n v="0"/>
    <n v="0"/>
    <x v="23"/>
    <s v="Divorced"/>
    <s v="Graduate"/>
    <s v="9/10/2019"/>
    <s v="Texas"/>
    <n v="5"/>
    <n v="332"/>
    <n v="292"/>
    <n v="876"/>
    <n v="63"/>
    <n v="339"/>
    <n v="292"/>
    <n v="1611"/>
    <n v="1"/>
    <n v="6"/>
    <n v="9"/>
    <n v="13"/>
    <n v="2"/>
    <n v="0"/>
    <n v="1"/>
    <n v="1"/>
    <n v="1"/>
    <n v="0"/>
    <n v="1"/>
    <n v="1"/>
  </r>
  <r>
    <n v="2922"/>
    <n v="183891"/>
    <n v="0"/>
    <n v="1"/>
    <x v="23"/>
    <s v="Married"/>
    <s v="Master"/>
    <s v="11/24/2020"/>
    <s v="Florida"/>
    <n v="24"/>
    <n v="476"/>
    <n v="83"/>
    <n v="767"/>
    <n v="243"/>
    <n v="186"/>
    <n v="33"/>
    <n v="1723"/>
    <n v="1"/>
    <n v="4"/>
    <n v="7"/>
    <n v="10"/>
    <n v="1"/>
    <n v="0"/>
    <n v="0"/>
    <n v="0"/>
    <n v="0"/>
    <n v="0"/>
    <n v="0"/>
    <n v="0"/>
  </r>
  <r>
    <n v="2134"/>
    <n v="183145"/>
    <n v="0"/>
    <n v="0"/>
    <x v="23"/>
    <s v="Together"/>
    <s v="Graduate"/>
    <s v="2/27/2019"/>
    <s v="Other"/>
    <n v="14"/>
    <n v="1712"/>
    <n v="77"/>
    <n v="1610"/>
    <n v="86"/>
    <n v="302"/>
    <n v="251"/>
    <n v="3535"/>
    <n v="1"/>
    <n v="5"/>
    <n v="9"/>
    <n v="11"/>
    <n v="2"/>
    <n v="0"/>
    <n v="1"/>
    <n v="0"/>
    <n v="0"/>
    <n v="0"/>
    <n v="0"/>
    <n v="1"/>
  </r>
  <r>
    <n v="1407"/>
    <n v="182584"/>
    <n v="0"/>
    <n v="0"/>
    <x v="23"/>
    <s v="Married"/>
    <s v="Master"/>
    <s v="11/9/2019"/>
    <s v="Texas"/>
    <n v="26"/>
    <n v="2379"/>
    <n v="150"/>
    <n v="228"/>
    <n v="64"/>
    <n v="201"/>
    <n v="150"/>
    <n v="2872"/>
    <n v="1"/>
    <n v="3"/>
    <n v="4"/>
    <n v="8"/>
    <n v="1"/>
    <n v="0"/>
    <n v="1"/>
    <n v="0"/>
    <n v="0"/>
    <n v="0"/>
    <n v="1"/>
    <n v="1"/>
  </r>
  <r>
    <n v="1911"/>
    <n v="179632"/>
    <n v="0"/>
    <n v="0"/>
    <x v="23"/>
    <s v="Together"/>
    <s v="PhD"/>
    <s v="9/12/2020"/>
    <s v="Texas"/>
    <n v="42"/>
    <n v="1062"/>
    <n v="0"/>
    <n v="1150"/>
    <n v="223"/>
    <n v="47"/>
    <n v="27"/>
    <n v="2457"/>
    <n v="1"/>
    <n v="6"/>
    <n v="4"/>
    <n v="9"/>
    <n v="2"/>
    <n v="0"/>
    <n v="0"/>
    <n v="0"/>
    <n v="0"/>
    <n v="0"/>
    <n v="0"/>
    <n v="0"/>
  </r>
  <r>
    <n v="3072"/>
    <n v="178128"/>
    <n v="0"/>
    <n v="1"/>
    <x v="23"/>
    <s v="Married"/>
    <s v="PhD"/>
    <s v="7/26/2020"/>
    <s v="Florida"/>
    <n v="89"/>
    <n v="2129"/>
    <n v="55"/>
    <n v="524"/>
    <n v="36"/>
    <n v="55"/>
    <n v="82"/>
    <n v="2718"/>
    <n v="2"/>
    <n v="8"/>
    <n v="4"/>
    <n v="6"/>
    <n v="3"/>
    <n v="0"/>
    <n v="0"/>
    <n v="0"/>
    <n v="0"/>
    <n v="0"/>
    <n v="1"/>
    <n v="1"/>
  </r>
  <r>
    <n v="2776"/>
    <n v="175702"/>
    <n v="0"/>
    <n v="1"/>
    <x v="23"/>
    <s v="Together"/>
    <s v="Graduate"/>
    <s v="3/21/2019"/>
    <s v="Other"/>
    <n v="87"/>
    <n v="2490"/>
    <n v="0"/>
    <n v="1460"/>
    <n v="337"/>
    <n v="86"/>
    <n v="86"/>
    <n v="4287"/>
    <n v="1"/>
    <n v="10"/>
    <n v="5"/>
    <n v="13"/>
    <n v="6"/>
    <n v="0"/>
    <n v="0"/>
    <n v="0"/>
    <n v="0"/>
    <n v="0"/>
    <n v="0"/>
    <n v="1"/>
  </r>
  <r>
    <n v="1337"/>
    <n v="172099"/>
    <n v="0"/>
    <n v="0"/>
    <x v="23"/>
    <s v="Married"/>
    <s v="Graduate"/>
    <s v="4/3/2019"/>
    <s v="California"/>
    <n v="18"/>
    <n v="1303"/>
    <n v="217"/>
    <n v="979"/>
    <n v="284"/>
    <n v="0"/>
    <n v="53"/>
    <n v="2731"/>
    <n v="1"/>
    <n v="3"/>
    <n v="4"/>
    <n v="10"/>
    <n v="1"/>
    <n v="0"/>
    <n v="0"/>
    <n v="0"/>
    <n v="0"/>
    <n v="0"/>
    <n v="0"/>
    <n v="0"/>
  </r>
  <r>
    <n v="1761"/>
    <n v="171466"/>
    <n v="0"/>
    <n v="0"/>
    <x v="23"/>
    <s v="Single"/>
    <s v="PhD"/>
    <s v="9/9/2020"/>
    <s v="Texas"/>
    <n v="86"/>
    <n v="988"/>
    <n v="29"/>
    <n v="1310"/>
    <n v="187"/>
    <n v="437"/>
    <n v="0"/>
    <n v="2951"/>
    <n v="1"/>
    <n v="4"/>
    <n v="4"/>
    <n v="10"/>
    <n v="1"/>
    <n v="0"/>
    <n v="0"/>
    <n v="0"/>
    <n v="0"/>
    <n v="0"/>
    <n v="0"/>
    <n v="0"/>
  </r>
  <r>
    <n v="2869"/>
    <n v="169719"/>
    <n v="0"/>
    <n v="0"/>
    <x v="23"/>
    <s v="Single"/>
    <s v="Graduate"/>
    <s v="10/30/2020"/>
    <s v="Illinois"/>
    <n v="99"/>
    <n v="665"/>
    <n v="209"/>
    <n v="506"/>
    <n v="431"/>
    <n v="34"/>
    <n v="105"/>
    <n v="1741"/>
    <n v="1"/>
    <n v="2"/>
    <n v="3"/>
    <n v="5"/>
    <n v="1"/>
    <n v="0"/>
    <n v="0"/>
    <n v="0"/>
    <n v="0"/>
    <n v="0"/>
    <n v="0"/>
    <n v="0"/>
  </r>
  <r>
    <n v="1133"/>
    <n v="168352"/>
    <n v="0"/>
    <n v="1"/>
    <x v="23"/>
    <s v="Single"/>
    <s v="PhD"/>
    <s v="2/2/2020"/>
    <s v="California"/>
    <n v="47"/>
    <n v="1512"/>
    <n v="39"/>
    <n v="325"/>
    <n v="106"/>
    <n v="81"/>
    <n v="81"/>
    <n v="1983"/>
    <n v="3"/>
    <n v="8"/>
    <n v="5"/>
    <n v="9"/>
    <n v="6"/>
    <n v="0"/>
    <n v="0"/>
    <n v="0"/>
    <n v="0"/>
    <n v="0"/>
    <n v="0"/>
    <n v="0"/>
  </r>
  <r>
    <n v="1635"/>
    <n v="167445"/>
    <n v="0"/>
    <n v="1"/>
    <x v="23"/>
    <s v="Married"/>
    <s v="Graduate"/>
    <s v="1/17/2019"/>
    <s v="Texas"/>
    <n v="63"/>
    <n v="1879"/>
    <n v="199"/>
    <n v="539"/>
    <n v="72"/>
    <n v="199"/>
    <n v="27"/>
    <n v="2860"/>
    <n v="5"/>
    <n v="9"/>
    <n v="6"/>
    <n v="12"/>
    <n v="6"/>
    <n v="0"/>
    <n v="0"/>
    <n v="0"/>
    <n v="0"/>
    <n v="0"/>
    <n v="0"/>
    <n v="0"/>
  </r>
  <r>
    <n v="2530"/>
    <n v="167445"/>
    <n v="0"/>
    <n v="1"/>
    <x v="23"/>
    <s v="Married"/>
    <s v="Graduate"/>
    <s v="1/17/2019"/>
    <s v="Other"/>
    <n v="63"/>
    <n v="1879"/>
    <n v="199"/>
    <n v="539"/>
    <n v="72"/>
    <n v="199"/>
    <n v="27"/>
    <n v="2860"/>
    <n v="5"/>
    <n v="9"/>
    <n v="6"/>
    <n v="12"/>
    <n v="6"/>
    <n v="0"/>
    <n v="0"/>
    <n v="0"/>
    <n v="0"/>
    <n v="0"/>
    <n v="0"/>
    <n v="0"/>
  </r>
  <r>
    <n v="3037"/>
    <n v="167445"/>
    <n v="0"/>
    <n v="1"/>
    <x v="23"/>
    <s v="Married"/>
    <s v="Graduate"/>
    <s v="1/17/2019"/>
    <s v="Illinois"/>
    <n v="63"/>
    <n v="1879"/>
    <n v="199"/>
    <n v="539"/>
    <n v="72"/>
    <n v="199"/>
    <n v="27"/>
    <n v="2860"/>
    <n v="5"/>
    <n v="9"/>
    <n v="6"/>
    <n v="12"/>
    <n v="6"/>
    <n v="0"/>
    <n v="0"/>
    <n v="0"/>
    <n v="0"/>
    <n v="0"/>
    <n v="0"/>
    <n v="0"/>
  </r>
  <r>
    <n v="1270"/>
    <n v="165640"/>
    <n v="0"/>
    <n v="1"/>
    <x v="23"/>
    <s v="Together"/>
    <s v="PhD"/>
    <s v="8/5/2020"/>
    <s v="Other"/>
    <n v="74"/>
    <n v="515"/>
    <n v="18"/>
    <n v="376"/>
    <n v="50"/>
    <n v="38"/>
    <n v="167"/>
    <n v="830"/>
    <n v="1"/>
    <n v="5"/>
    <n v="1"/>
    <n v="8"/>
    <n v="2"/>
    <n v="0"/>
    <n v="0"/>
    <n v="0"/>
    <n v="0"/>
    <n v="0"/>
    <n v="0"/>
    <n v="0"/>
  </r>
  <r>
    <n v="2089"/>
    <n v="165463"/>
    <n v="1"/>
    <n v="0"/>
    <x v="23"/>
    <s v="Married"/>
    <s v="Graduate"/>
    <s v="7/6/2020"/>
    <s v="Illinois"/>
    <n v="17"/>
    <n v="988"/>
    <n v="81"/>
    <n v="177"/>
    <n v="53"/>
    <n v="81"/>
    <n v="40"/>
    <n v="1340"/>
    <n v="2"/>
    <n v="6"/>
    <n v="2"/>
    <n v="9"/>
    <n v="5"/>
    <n v="0"/>
    <n v="0"/>
    <n v="0"/>
    <n v="0"/>
    <n v="0"/>
    <n v="1"/>
    <n v="0"/>
  </r>
  <r>
    <n v="1966"/>
    <n v="165352"/>
    <n v="0"/>
    <n v="1"/>
    <x v="23"/>
    <s v="Married"/>
    <s v="PhD"/>
    <s v="1/26/2020"/>
    <s v="Other"/>
    <n v="43"/>
    <n v="719"/>
    <n v="8"/>
    <n v="213"/>
    <n v="10"/>
    <n v="18"/>
    <n v="58"/>
    <n v="908"/>
    <n v="2"/>
    <n v="4"/>
    <n v="2"/>
    <n v="8"/>
    <n v="4"/>
    <n v="0"/>
    <n v="0"/>
    <n v="0"/>
    <n v="0"/>
    <n v="0"/>
    <n v="0"/>
    <n v="0"/>
  </r>
  <r>
    <n v="3215"/>
    <n v="163979"/>
    <n v="1"/>
    <n v="0"/>
    <x v="23"/>
    <s v="Married"/>
    <s v="Graduate"/>
    <s v="12/6/2019"/>
    <s v="California"/>
    <n v="81"/>
    <n v="8"/>
    <n v="8"/>
    <n v="18"/>
    <n v="15"/>
    <n v="5"/>
    <n v="23"/>
    <n v="31"/>
    <n v="2"/>
    <n v="1"/>
    <n v="0"/>
    <n v="2"/>
    <n v="7"/>
    <n v="0"/>
    <n v="0"/>
    <n v="0"/>
    <n v="0"/>
    <n v="0"/>
    <n v="0"/>
    <n v="0"/>
  </r>
  <r>
    <n v="2481"/>
    <n v="163206"/>
    <n v="0"/>
    <n v="0"/>
    <x v="23"/>
    <s v="Married"/>
    <s v="Master"/>
    <s v="8/24/2020"/>
    <s v="Texas"/>
    <n v="65"/>
    <n v="1937"/>
    <n v="21"/>
    <n v="323"/>
    <n v="28"/>
    <n v="21"/>
    <n v="67"/>
    <n v="2262"/>
    <n v="1"/>
    <n v="4"/>
    <n v="3"/>
    <n v="6"/>
    <n v="2"/>
    <n v="0"/>
    <n v="0"/>
    <n v="0"/>
    <n v="0"/>
    <n v="0"/>
    <n v="0"/>
    <n v="1"/>
  </r>
  <r>
    <n v="2784"/>
    <n v="163159"/>
    <n v="0"/>
    <n v="0"/>
    <x v="23"/>
    <s v="Single"/>
    <s v="PhD"/>
    <s v="4/12/2019"/>
    <s v="Florida"/>
    <n v="74"/>
    <n v="2493"/>
    <n v="88"/>
    <n v="1514"/>
    <n v="230"/>
    <n v="222"/>
    <n v="96"/>
    <n v="4451"/>
    <n v="1"/>
    <n v="3"/>
    <n v="5"/>
    <n v="8"/>
    <n v="3"/>
    <n v="0"/>
    <n v="0"/>
    <n v="0"/>
    <n v="0"/>
    <n v="1"/>
    <n v="0"/>
    <n v="0"/>
  </r>
  <r>
    <n v="2905"/>
    <n v="161917"/>
    <n v="1"/>
    <n v="1"/>
    <x v="23"/>
    <s v="Married"/>
    <s v="PhD"/>
    <s v="4/26/2020"/>
    <s v="Illinois"/>
    <n v="83"/>
    <n v="120"/>
    <n v="10"/>
    <n v="94"/>
    <n v="5"/>
    <n v="5"/>
    <n v="3"/>
    <n v="233"/>
    <n v="1"/>
    <n v="2"/>
    <n v="0"/>
    <n v="4"/>
    <n v="5"/>
    <n v="0"/>
    <n v="0"/>
    <n v="0"/>
    <n v="0"/>
    <n v="0"/>
    <n v="0"/>
    <n v="0"/>
  </r>
  <r>
    <n v="1471"/>
    <n v="160093"/>
    <n v="0"/>
    <n v="1"/>
    <x v="23"/>
    <s v="Married"/>
    <s v="Graduate"/>
    <s v="12/1/2019"/>
    <s v="Illinois"/>
    <n v="92"/>
    <n v="1337"/>
    <n v="32"/>
    <n v="290"/>
    <n v="43"/>
    <n v="16"/>
    <n v="240"/>
    <n v="1479"/>
    <n v="2"/>
    <n v="7"/>
    <n v="2"/>
    <n v="10"/>
    <n v="6"/>
    <n v="0"/>
    <n v="0"/>
    <n v="0"/>
    <n v="0"/>
    <n v="0"/>
    <n v="0"/>
    <n v="0"/>
  </r>
  <r>
    <n v="2622"/>
    <n v="158494"/>
    <n v="0"/>
    <n v="1"/>
    <x v="23"/>
    <s v="Married"/>
    <s v="Master"/>
    <s v="5/18/2020"/>
    <s v="Florida"/>
    <n v="56"/>
    <n v="807"/>
    <n v="19"/>
    <n v="184"/>
    <n v="11"/>
    <n v="0"/>
    <n v="51"/>
    <n v="970"/>
    <n v="2"/>
    <n v="6"/>
    <n v="2"/>
    <n v="6"/>
    <n v="6"/>
    <n v="0"/>
    <n v="0"/>
    <n v="0"/>
    <n v="0"/>
    <n v="0"/>
    <n v="0"/>
    <n v="0"/>
  </r>
  <r>
    <n v="2138"/>
    <n v="156715"/>
    <n v="0"/>
    <n v="0"/>
    <x v="23"/>
    <s v="Together"/>
    <s v="Graduate"/>
    <s v="5/12/2019"/>
    <s v="New York"/>
    <n v="52"/>
    <n v="713"/>
    <n v="290"/>
    <n v="660"/>
    <n v="655"/>
    <n v="475"/>
    <n v="25"/>
    <n v="2769"/>
    <n v="1"/>
    <n v="7"/>
    <n v="3"/>
    <n v="4"/>
    <n v="4"/>
    <n v="0"/>
    <n v="0"/>
    <n v="0"/>
    <n v="0"/>
    <n v="0"/>
    <n v="0"/>
    <n v="0"/>
  </r>
  <r>
    <n v="3059"/>
    <n v="153367"/>
    <n v="1"/>
    <n v="1"/>
    <x v="23"/>
    <s v="Divorced"/>
    <s v="Master"/>
    <s v="2/5/2020"/>
    <s v="California"/>
    <n v="2"/>
    <n v="658"/>
    <n v="20"/>
    <n v="402"/>
    <n v="29"/>
    <n v="9"/>
    <n v="32"/>
    <n v="1086"/>
    <n v="7"/>
    <n v="5"/>
    <n v="1"/>
    <n v="8"/>
    <n v="7"/>
    <n v="0"/>
    <n v="1"/>
    <n v="0"/>
    <n v="0"/>
    <n v="0"/>
    <n v="0"/>
    <n v="0"/>
  </r>
  <r>
    <n v="2342"/>
    <n v="153034"/>
    <n v="1"/>
    <n v="1"/>
    <x v="23"/>
    <s v="Divorced"/>
    <s v="Graduate"/>
    <s v="11/4/2019"/>
    <s v="New York"/>
    <n v="30"/>
    <n v="462"/>
    <n v="43"/>
    <n v="566"/>
    <n v="43"/>
    <n v="32"/>
    <n v="144"/>
    <n v="1001"/>
    <n v="8"/>
    <n v="6"/>
    <n v="1"/>
    <n v="7"/>
    <n v="8"/>
    <n v="0"/>
    <n v="0"/>
    <n v="0"/>
    <n v="0"/>
    <n v="0"/>
    <n v="0"/>
    <n v="0"/>
  </r>
  <r>
    <n v="2116"/>
    <n v="149669"/>
    <n v="1"/>
    <n v="0"/>
    <x v="23"/>
    <s v="Together"/>
    <s v="Graduate"/>
    <s v="10/28/2020"/>
    <s v="Other"/>
    <n v="97"/>
    <n v="500"/>
    <n v="15"/>
    <n v="322"/>
    <n v="33"/>
    <n v="24"/>
    <n v="87"/>
    <n v="808"/>
    <n v="2"/>
    <n v="5"/>
    <n v="1"/>
    <n v="6"/>
    <n v="6"/>
    <n v="0"/>
    <n v="0"/>
    <n v="0"/>
    <n v="0"/>
    <n v="0"/>
    <n v="0"/>
    <n v="0"/>
  </r>
  <r>
    <n v="1831"/>
    <n v="149166"/>
    <n v="0"/>
    <n v="1"/>
    <x v="23"/>
    <s v="Single"/>
    <s v="Graduate"/>
    <s v="11/18/2019"/>
    <s v="Illinois"/>
    <n v="17"/>
    <n v="680"/>
    <n v="6"/>
    <n v="76"/>
    <n v="21"/>
    <n v="0"/>
    <n v="334"/>
    <n v="449"/>
    <n v="2"/>
    <n v="5"/>
    <n v="3"/>
    <n v="3"/>
    <n v="6"/>
    <n v="0"/>
    <n v="0"/>
    <n v="0"/>
    <n v="0"/>
    <n v="0"/>
    <n v="0"/>
    <n v="0"/>
  </r>
  <r>
    <n v="2808"/>
    <n v="148186"/>
    <n v="1"/>
    <n v="0"/>
    <x v="23"/>
    <s v="Together"/>
    <s v="Graduate"/>
    <s v="8/24/2020"/>
    <s v="Florida"/>
    <n v="39"/>
    <n v="298"/>
    <n v="9"/>
    <n v="203"/>
    <n v="37"/>
    <n v="22"/>
    <n v="105"/>
    <n v="464"/>
    <n v="3"/>
    <n v="4"/>
    <n v="1"/>
    <n v="4"/>
    <n v="7"/>
    <n v="0"/>
    <n v="0"/>
    <n v="0"/>
    <n v="0"/>
    <n v="0"/>
    <n v="0"/>
    <n v="0"/>
  </r>
  <r>
    <n v="1889"/>
    <n v="147889"/>
    <n v="1"/>
    <n v="0"/>
    <x v="23"/>
    <s v="Together"/>
    <s v="Graduate"/>
    <s v="6/10/2020"/>
    <s v="California"/>
    <n v="94"/>
    <n v="90"/>
    <n v="0"/>
    <n v="90"/>
    <n v="0"/>
    <n v="15"/>
    <n v="12"/>
    <n v="182"/>
    <n v="1"/>
    <n v="2"/>
    <n v="0"/>
    <n v="3"/>
    <n v="5"/>
    <n v="0"/>
    <n v="0"/>
    <n v="0"/>
    <n v="0"/>
    <n v="0"/>
    <n v="0"/>
    <n v="0"/>
  </r>
  <r>
    <n v="1835"/>
    <n v="146374"/>
    <n v="0"/>
    <n v="1"/>
    <x v="23"/>
    <s v="Married"/>
    <s v="PhD"/>
    <s v="8/21/2020"/>
    <s v="California"/>
    <n v="1"/>
    <n v="1288"/>
    <n v="0"/>
    <n v="66"/>
    <n v="0"/>
    <n v="0"/>
    <n v="54"/>
    <n v="1300"/>
    <n v="3"/>
    <n v="7"/>
    <n v="1"/>
    <n v="7"/>
    <n v="8"/>
    <n v="0"/>
    <n v="1"/>
    <n v="1"/>
    <n v="0"/>
    <n v="0"/>
    <n v="1"/>
    <n v="0"/>
  </r>
  <r>
    <n v="1201"/>
    <n v="146014"/>
    <n v="1"/>
    <n v="1"/>
    <x v="23"/>
    <s v="Together"/>
    <s v="Master"/>
    <s v="6/28/2019"/>
    <s v="Illinois"/>
    <n v="21"/>
    <n v="1301"/>
    <n v="0"/>
    <n v="187"/>
    <n v="60"/>
    <n v="29"/>
    <n v="140"/>
    <n v="1437"/>
    <n v="10"/>
    <n v="7"/>
    <n v="1"/>
    <n v="8"/>
    <n v="7"/>
    <n v="0"/>
    <n v="0"/>
    <n v="0"/>
    <n v="0"/>
    <n v="0"/>
    <n v="0"/>
    <n v="0"/>
  </r>
  <r>
    <n v="2170"/>
    <n v="145894"/>
    <n v="0"/>
    <n v="2"/>
    <x v="23"/>
    <s v="Married"/>
    <s v="Graduate"/>
    <s v="8/3/2020"/>
    <s v="Other"/>
    <n v="15"/>
    <n v="86"/>
    <n v="6"/>
    <n v="22"/>
    <n v="0"/>
    <n v="6"/>
    <n v="41"/>
    <n v="79"/>
    <n v="1"/>
    <n v="1"/>
    <n v="0"/>
    <n v="3"/>
    <n v="5"/>
    <n v="0"/>
    <n v="0"/>
    <n v="0"/>
    <n v="0"/>
    <n v="0"/>
    <n v="0"/>
    <n v="0"/>
  </r>
  <r>
    <n v="1599"/>
    <n v="145837"/>
    <n v="1"/>
    <n v="1"/>
    <x v="23"/>
    <s v="Married"/>
    <s v="Graduate"/>
    <s v="12/31/2019"/>
    <s v="Texas"/>
    <n v="88"/>
    <n v="684"/>
    <n v="41"/>
    <n v="277"/>
    <n v="54"/>
    <n v="54"/>
    <n v="76"/>
    <n v="1034"/>
    <n v="5"/>
    <n v="6"/>
    <n v="2"/>
    <n v="5"/>
    <n v="7"/>
    <n v="0"/>
    <n v="0"/>
    <n v="0"/>
    <n v="0"/>
    <n v="0"/>
    <n v="0"/>
    <n v="0"/>
  </r>
  <r>
    <n v="1564"/>
    <n v="145207"/>
    <n v="1"/>
    <n v="1"/>
    <x v="23"/>
    <s v="Married"/>
    <s v="PhD"/>
    <s v="4/17/2019"/>
    <s v="Other"/>
    <n v="64"/>
    <n v="652"/>
    <n v="0"/>
    <n v="32"/>
    <n v="0"/>
    <n v="0"/>
    <n v="6"/>
    <n v="678"/>
    <n v="5"/>
    <n v="3"/>
    <n v="1"/>
    <n v="6"/>
    <n v="6"/>
    <n v="0"/>
    <n v="0"/>
    <n v="0"/>
    <n v="0"/>
    <n v="0"/>
    <n v="1"/>
    <n v="0"/>
  </r>
  <r>
    <n v="1648"/>
    <n v="145068"/>
    <n v="0"/>
    <n v="1"/>
    <x v="23"/>
    <s v="Together"/>
    <s v="PhD"/>
    <s v="10/21/2019"/>
    <s v="Other"/>
    <n v="25"/>
    <n v="45"/>
    <n v="0"/>
    <n v="10"/>
    <n v="0"/>
    <n v="0"/>
    <n v="10"/>
    <n v="45"/>
    <n v="1"/>
    <n v="1"/>
    <n v="0"/>
    <n v="2"/>
    <n v="7"/>
    <n v="0"/>
    <n v="0"/>
    <n v="0"/>
    <n v="0"/>
    <n v="0"/>
    <n v="0"/>
    <n v="0"/>
  </r>
  <r>
    <n v="1554"/>
    <n v="144989"/>
    <n v="0"/>
    <n v="1"/>
    <x v="23"/>
    <s v="Married"/>
    <s v="Graduate"/>
    <s v="2/17/2019"/>
    <s v="Florida"/>
    <n v="26"/>
    <n v="316"/>
    <n v="0"/>
    <n v="342"/>
    <n v="158"/>
    <n v="32"/>
    <n v="342"/>
    <n v="506"/>
    <n v="5"/>
    <n v="5"/>
    <n v="1"/>
    <n v="5"/>
    <n v="6"/>
    <n v="0"/>
    <n v="0"/>
    <n v="0"/>
    <n v="0"/>
    <n v="0"/>
    <n v="0"/>
    <n v="0"/>
  </r>
  <r>
    <n v="2726"/>
    <n v="144989"/>
    <n v="0"/>
    <n v="1"/>
    <x v="23"/>
    <s v="Married"/>
    <s v="Graduate"/>
    <s v="2/17/2019"/>
    <s v="New York"/>
    <n v="26"/>
    <n v="316"/>
    <n v="0"/>
    <n v="342"/>
    <n v="158"/>
    <n v="32"/>
    <n v="342"/>
    <n v="506"/>
    <n v="5"/>
    <n v="5"/>
    <n v="1"/>
    <n v="5"/>
    <n v="6"/>
    <n v="0"/>
    <n v="0"/>
    <n v="0"/>
    <n v="0"/>
    <n v="0"/>
    <n v="0"/>
    <n v="0"/>
  </r>
  <r>
    <n v="2693"/>
    <n v="144392"/>
    <n v="1"/>
    <n v="1"/>
    <x v="23"/>
    <s v="Together"/>
    <s v="Graduate"/>
    <s v="2/10/2020"/>
    <s v="California"/>
    <n v="71"/>
    <n v="283"/>
    <n v="16"/>
    <n v="231"/>
    <n v="23"/>
    <n v="39"/>
    <n v="94"/>
    <n v="498"/>
    <n v="5"/>
    <n v="4"/>
    <n v="1"/>
    <n v="4"/>
    <n v="7"/>
    <n v="0"/>
    <n v="0"/>
    <n v="0"/>
    <n v="0"/>
    <n v="0"/>
    <n v="0"/>
    <n v="0"/>
  </r>
  <r>
    <n v="3164"/>
    <n v="143322"/>
    <n v="0"/>
    <n v="0"/>
    <x v="23"/>
    <s v="Single"/>
    <s v="Graduate"/>
    <s v="9/25/2020"/>
    <s v="New York"/>
    <n v="25"/>
    <n v="185"/>
    <n v="23"/>
    <n v="159"/>
    <n v="33"/>
    <n v="7"/>
    <n v="60"/>
    <n v="347"/>
    <n v="1"/>
    <n v="3"/>
    <n v="0"/>
    <n v="4"/>
    <n v="7"/>
    <n v="0"/>
    <n v="0"/>
    <n v="0"/>
    <n v="0"/>
    <n v="0"/>
    <n v="0"/>
    <n v="0"/>
  </r>
  <r>
    <n v="3082"/>
    <n v="143018"/>
    <n v="0"/>
    <n v="1"/>
    <x v="23"/>
    <s v="Together"/>
    <s v="Master"/>
    <s v="4/7/2020"/>
    <s v="Other"/>
    <n v="46"/>
    <n v="116"/>
    <n v="13"/>
    <n v="57"/>
    <n v="23"/>
    <n v="20"/>
    <n v="213"/>
    <n v="17"/>
    <n v="1"/>
    <n v="2"/>
    <n v="2"/>
    <n v="2"/>
    <n v="5"/>
    <n v="0"/>
    <n v="0"/>
    <n v="0"/>
    <n v="0"/>
    <n v="0"/>
    <n v="0"/>
    <n v="0"/>
  </r>
  <r>
    <n v="2037"/>
    <n v="142557"/>
    <n v="0"/>
    <n v="1"/>
    <x v="23"/>
    <s v="Married"/>
    <s v="Graduate"/>
    <s v="2/3/2019"/>
    <s v="Texas"/>
    <n v="98"/>
    <n v="643"/>
    <n v="17"/>
    <n v="178"/>
    <n v="0"/>
    <n v="17"/>
    <n v="50"/>
    <n v="804"/>
    <n v="4"/>
    <n v="6"/>
    <n v="1"/>
    <n v="4"/>
    <n v="8"/>
    <n v="0"/>
    <n v="0"/>
    <n v="0"/>
    <n v="0"/>
    <n v="0"/>
    <n v="0"/>
    <n v="0"/>
  </r>
  <r>
    <n v="1386"/>
    <n v="142373"/>
    <n v="1"/>
    <n v="1"/>
    <x v="23"/>
    <s v="Single"/>
    <s v="Graduate"/>
    <s v="1/20/2020"/>
    <s v="Florida"/>
    <n v="83"/>
    <n v="225"/>
    <n v="17"/>
    <n v="205"/>
    <n v="10"/>
    <n v="27"/>
    <n v="64"/>
    <n v="420"/>
    <n v="5"/>
    <n v="2"/>
    <n v="1"/>
    <n v="5"/>
    <n v="5"/>
    <n v="0"/>
    <n v="0"/>
    <n v="0"/>
    <n v="0"/>
    <n v="0"/>
    <n v="0"/>
    <n v="0"/>
  </r>
  <r>
    <n v="2145"/>
    <n v="140344"/>
    <n v="0"/>
    <n v="1"/>
    <x v="23"/>
    <s v="Married"/>
    <s v="PhD"/>
    <s v="3/19/2020"/>
    <s v="Texas"/>
    <n v="48"/>
    <n v="731"/>
    <n v="0"/>
    <n v="21"/>
    <n v="0"/>
    <n v="0"/>
    <n v="7"/>
    <n v="744"/>
    <n v="2"/>
    <n v="4"/>
    <n v="1"/>
    <n v="5"/>
    <n v="7"/>
    <n v="0"/>
    <n v="0"/>
    <n v="0"/>
    <n v="0"/>
    <n v="0"/>
    <n v="0"/>
    <n v="0"/>
  </r>
  <r>
    <n v="1822"/>
    <n v="140049"/>
    <n v="0"/>
    <n v="1"/>
    <x v="23"/>
    <s v="Married"/>
    <s v="Graduate"/>
    <s v="5/6/2019"/>
    <s v="Other"/>
    <n v="61"/>
    <n v="318"/>
    <n v="227"/>
    <n v="182"/>
    <n v="35"/>
    <n v="154"/>
    <n v="98"/>
    <n v="818"/>
    <n v="3"/>
    <n v="3"/>
    <n v="2"/>
    <n v="6"/>
    <n v="5"/>
    <n v="0"/>
    <n v="0"/>
    <n v="0"/>
    <n v="0"/>
    <n v="0"/>
    <n v="0"/>
    <n v="0"/>
  </r>
  <r>
    <n v="2372"/>
    <n v="139996"/>
    <n v="1"/>
    <n v="1"/>
    <x v="23"/>
    <s v="Divorced"/>
    <s v="Graduate"/>
    <s v="10/26/2020"/>
    <s v="New York"/>
    <n v="85"/>
    <n v="39"/>
    <n v="0"/>
    <n v="11"/>
    <n v="0"/>
    <n v="0"/>
    <n v="4"/>
    <n v="46"/>
    <n v="1"/>
    <n v="1"/>
    <n v="0"/>
    <n v="2"/>
    <n v="6"/>
    <n v="0"/>
    <n v="0"/>
    <n v="0"/>
    <n v="0"/>
    <n v="0"/>
    <n v="0"/>
    <n v="0"/>
  </r>
  <r>
    <n v="2072"/>
    <n v="139190"/>
    <n v="1"/>
    <n v="0"/>
    <x v="23"/>
    <s v="Single"/>
    <s v="PhD"/>
    <s v="9/30/2020"/>
    <s v="New York"/>
    <n v="91"/>
    <n v="242"/>
    <n v="28"/>
    <n v="64"/>
    <n v="67"/>
    <n v="28"/>
    <n v="43"/>
    <n v="387"/>
    <n v="2"/>
    <n v="2"/>
    <n v="1"/>
    <n v="4"/>
    <n v="5"/>
    <n v="0"/>
    <n v="0"/>
    <n v="0"/>
    <n v="0"/>
    <n v="0"/>
    <n v="0"/>
    <n v="0"/>
  </r>
  <r>
    <n v="2435"/>
    <n v="138410"/>
    <n v="0"/>
    <n v="0"/>
    <x v="23"/>
    <s v="Married"/>
    <s v="PhD"/>
    <s v="2/19/2019"/>
    <s v="California"/>
    <n v="65"/>
    <n v="551"/>
    <n v="231"/>
    <n v="443"/>
    <n v="418"/>
    <n v="231"/>
    <n v="50"/>
    <n v="1823"/>
    <n v="2"/>
    <n v="5"/>
    <n v="2"/>
    <n v="9"/>
    <n v="6"/>
    <n v="0"/>
    <n v="1"/>
    <n v="0"/>
    <n v="0"/>
    <n v="0"/>
    <n v="0"/>
    <n v="0"/>
  </r>
  <r>
    <n v="1879"/>
    <n v="137087"/>
    <n v="1"/>
    <n v="0"/>
    <x v="23"/>
    <s v="Married"/>
    <s v="PhD"/>
    <s v="1/16/2020"/>
    <s v="Illinois"/>
    <n v="50"/>
    <n v="717"/>
    <n v="203"/>
    <n v="495"/>
    <n v="55"/>
    <n v="0"/>
    <n v="11"/>
    <n v="1460"/>
    <n v="3"/>
    <n v="4"/>
    <n v="2"/>
    <n v="8"/>
    <n v="6"/>
    <n v="0"/>
    <n v="0"/>
    <n v="0"/>
    <n v="0"/>
    <n v="0"/>
    <n v="0"/>
    <n v="0"/>
  </r>
  <r>
    <n v="1949"/>
    <n v="134596"/>
    <n v="1"/>
    <n v="0"/>
    <x v="23"/>
    <s v="Married"/>
    <s v="PhD"/>
    <s v="9/18/2019"/>
    <s v="California"/>
    <n v="48"/>
    <n v="54"/>
    <n v="0"/>
    <n v="8"/>
    <n v="0"/>
    <n v="0"/>
    <n v="27"/>
    <n v="35"/>
    <n v="1"/>
    <n v="1"/>
    <n v="0"/>
    <n v="2"/>
    <n v="8"/>
    <n v="0"/>
    <n v="1"/>
    <n v="0"/>
    <n v="0"/>
    <n v="0"/>
    <n v="0"/>
    <n v="0"/>
  </r>
  <r>
    <n v="2402"/>
    <n v="134596"/>
    <n v="1"/>
    <n v="0"/>
    <x v="23"/>
    <s v="Married"/>
    <s v="PhD"/>
    <s v="9/18/2019"/>
    <s v="New York"/>
    <n v="48"/>
    <n v="54"/>
    <n v="0"/>
    <n v="8"/>
    <n v="0"/>
    <n v="0"/>
    <n v="27"/>
    <n v="35"/>
    <n v="1"/>
    <n v="1"/>
    <n v="0"/>
    <n v="2"/>
    <n v="8"/>
    <n v="0"/>
    <n v="0"/>
    <n v="0"/>
    <n v="0"/>
    <n v="0"/>
    <n v="0"/>
    <n v="0"/>
  </r>
  <r>
    <n v="1306"/>
    <n v="134421"/>
    <n v="1"/>
    <n v="0"/>
    <x v="23"/>
    <s v="Married"/>
    <s v="Graduate"/>
    <s v="12/6/2019"/>
    <s v="Other"/>
    <n v="81"/>
    <n v="12"/>
    <n v="12"/>
    <n v="27"/>
    <n v="23"/>
    <n v="8"/>
    <n v="35"/>
    <n v="47"/>
    <n v="1"/>
    <n v="1"/>
    <n v="0"/>
    <n v="2"/>
    <n v="7"/>
    <n v="0"/>
    <n v="0"/>
    <n v="0"/>
    <n v="0"/>
    <n v="0"/>
    <n v="0"/>
    <n v="0"/>
  </r>
  <r>
    <n v="3200"/>
    <n v="134421"/>
    <n v="1"/>
    <n v="0"/>
    <x v="23"/>
    <s v="Married"/>
    <s v="Graduate"/>
    <s v="12/6/2019"/>
    <s v="New York"/>
    <n v="81"/>
    <n v="12"/>
    <n v="12"/>
    <n v="27"/>
    <n v="23"/>
    <n v="8"/>
    <n v="35"/>
    <n v="47"/>
    <n v="1"/>
    <n v="1"/>
    <n v="0"/>
    <n v="2"/>
    <n v="7"/>
    <n v="0"/>
    <n v="0"/>
    <n v="0"/>
    <n v="0"/>
    <n v="0"/>
    <n v="0"/>
    <n v="0"/>
  </r>
  <r>
    <n v="3098"/>
    <n v="133590"/>
    <n v="2"/>
    <n v="1"/>
    <x v="23"/>
    <s v="Together"/>
    <s v="Graduate"/>
    <s v="4/9/2020"/>
    <s v="New York"/>
    <n v="65"/>
    <n v="16"/>
    <n v="0"/>
    <n v="8"/>
    <n v="0"/>
    <n v="0"/>
    <n v="8"/>
    <n v="16"/>
    <n v="1"/>
    <n v="1"/>
    <n v="0"/>
    <n v="2"/>
    <n v="7"/>
    <n v="0"/>
    <n v="0"/>
    <n v="0"/>
    <n v="0"/>
    <n v="0"/>
    <n v="0"/>
    <n v="0"/>
  </r>
  <r>
    <n v="1466"/>
    <n v="132233"/>
    <n v="1"/>
    <n v="0"/>
    <x v="23"/>
    <s v="Single"/>
    <s v="Graduate"/>
    <s v="1/24/2019"/>
    <s v="New York"/>
    <n v="26"/>
    <n v="566"/>
    <n v="62"/>
    <n v="144"/>
    <n v="103"/>
    <n v="45"/>
    <n v="295"/>
    <n v="624"/>
    <n v="2"/>
    <n v="6"/>
    <n v="2"/>
    <n v="2"/>
    <n v="9"/>
    <n v="0"/>
    <n v="1"/>
    <n v="0"/>
    <n v="0"/>
    <n v="1"/>
    <n v="0"/>
    <n v="0"/>
  </r>
  <r>
    <n v="3133"/>
    <n v="131560"/>
    <n v="1"/>
    <n v="0"/>
    <x v="23"/>
    <s v="Single"/>
    <s v="PhD"/>
    <s v="11/29/2019"/>
    <s v="Illinois"/>
    <n v="98"/>
    <n v="258"/>
    <n v="4"/>
    <n v="83"/>
    <n v="17"/>
    <n v="0"/>
    <n v="29"/>
    <n v="333"/>
    <n v="2"/>
    <n v="2"/>
    <n v="1"/>
    <n v="3"/>
    <n v="8"/>
    <n v="0"/>
    <n v="0"/>
    <n v="0"/>
    <n v="0"/>
    <n v="0"/>
    <n v="0"/>
    <n v="0"/>
  </r>
  <r>
    <n v="1242"/>
    <n v="130899"/>
    <n v="1"/>
    <n v="0"/>
    <x v="23"/>
    <s v="Single"/>
    <s v="PhD"/>
    <s v="3/20/2019"/>
    <s v="Florida"/>
    <n v="35"/>
    <n v="102"/>
    <n v="0"/>
    <n v="34"/>
    <n v="0"/>
    <n v="0"/>
    <n v="4"/>
    <n v="131"/>
    <n v="2"/>
    <n v="1"/>
    <n v="0"/>
    <n v="3"/>
    <n v="6"/>
    <n v="0"/>
    <n v="0"/>
    <n v="0"/>
    <n v="0"/>
    <n v="0"/>
    <n v="0"/>
    <n v="0"/>
  </r>
  <r>
    <n v="1272"/>
    <n v="130631"/>
    <n v="1"/>
    <n v="0"/>
    <x v="23"/>
    <s v="Married"/>
    <s v="Graduate"/>
    <s v="12/17/2019"/>
    <s v="Florida"/>
    <n v="75"/>
    <n v="64"/>
    <n v="26"/>
    <n v="85"/>
    <n v="17"/>
    <n v="21"/>
    <n v="85"/>
    <n v="128"/>
    <n v="1"/>
    <n v="3"/>
    <n v="1"/>
    <n v="2"/>
    <n v="7"/>
    <n v="0"/>
    <n v="0"/>
    <n v="0"/>
    <n v="0"/>
    <n v="0"/>
    <n v="0"/>
    <n v="0"/>
  </r>
  <r>
    <n v="1009"/>
    <n v="130351"/>
    <n v="1"/>
    <n v="0"/>
    <x v="23"/>
    <s v="Together"/>
    <s v="PhD"/>
    <s v="11/11/2019"/>
    <s v="Illinois"/>
    <n v="19"/>
    <n v="60"/>
    <n v="0"/>
    <n v="103"/>
    <n v="13"/>
    <n v="13"/>
    <n v="9"/>
    <n v="180"/>
    <n v="1"/>
    <n v="3"/>
    <n v="0"/>
    <n v="2"/>
    <n v="9"/>
    <n v="0"/>
    <n v="1"/>
    <n v="0"/>
    <n v="0"/>
    <n v="0"/>
    <n v="0"/>
    <n v="0"/>
  </r>
  <r>
    <n v="1392"/>
    <n v="130351"/>
    <n v="1"/>
    <n v="0"/>
    <x v="23"/>
    <s v="Together"/>
    <s v="PhD"/>
    <s v="11/11/2019"/>
    <s v="Florida"/>
    <n v="19"/>
    <n v="60"/>
    <n v="0"/>
    <n v="103"/>
    <n v="13"/>
    <n v="13"/>
    <n v="9"/>
    <n v="180"/>
    <n v="1"/>
    <n v="3"/>
    <n v="0"/>
    <n v="2"/>
    <n v="9"/>
    <n v="0"/>
    <n v="0"/>
    <n v="0"/>
    <n v="0"/>
    <n v="0"/>
    <n v="0"/>
    <n v="0"/>
  </r>
  <r>
    <n v="2002"/>
    <n v="128440"/>
    <n v="1"/>
    <n v="0"/>
    <x v="23"/>
    <s v="Together"/>
    <s v="PhD"/>
    <s v="12/12/2019"/>
    <s v="Other"/>
    <n v="87"/>
    <n v="172"/>
    <n v="5"/>
    <n v="108"/>
    <n v="0"/>
    <n v="0"/>
    <n v="0"/>
    <n v="285"/>
    <n v="1"/>
    <n v="2"/>
    <n v="0"/>
    <n v="3"/>
    <n v="8"/>
    <n v="0"/>
    <n v="0"/>
    <n v="0"/>
    <n v="0"/>
    <n v="0"/>
    <n v="0"/>
    <n v="0"/>
  </r>
  <r>
    <n v="1657"/>
    <n v="126751"/>
    <n v="2"/>
    <n v="0"/>
    <x v="23"/>
    <s v="Married"/>
    <s v="Graduate"/>
    <s v="10/26/2020"/>
    <s v="Illinois"/>
    <n v="26"/>
    <n v="5"/>
    <n v="5"/>
    <n v="24"/>
    <n v="0"/>
    <n v="14"/>
    <n v="5"/>
    <n v="43"/>
    <n v="1"/>
    <n v="1"/>
    <n v="0"/>
    <n v="2"/>
    <n v="8"/>
    <n v="0"/>
    <n v="0"/>
    <n v="0"/>
    <n v="0"/>
    <n v="0"/>
    <n v="0"/>
    <n v="0"/>
  </r>
  <r>
    <n v="3148"/>
    <n v="126067"/>
    <n v="1"/>
    <n v="0"/>
    <x v="23"/>
    <s v="Married"/>
    <s v="Graduate"/>
    <s v="4/10/2020"/>
    <s v="Other"/>
    <n v="49"/>
    <n v="106"/>
    <n v="10"/>
    <n v="87"/>
    <n v="0"/>
    <n v="10"/>
    <n v="58"/>
    <n v="155"/>
    <n v="3"/>
    <n v="3"/>
    <n v="0"/>
    <n v="3"/>
    <n v="8"/>
    <n v="0"/>
    <n v="0"/>
    <n v="0"/>
    <n v="0"/>
    <n v="0"/>
    <n v="0"/>
    <n v="0"/>
  </r>
  <r>
    <n v="2745"/>
    <n v="125509"/>
    <n v="1"/>
    <n v="0"/>
    <x v="23"/>
    <s v="Divorced"/>
    <s v="PhD"/>
    <s v="2/23/2019"/>
    <s v="Texas"/>
    <n v="15"/>
    <n v="197"/>
    <n v="15"/>
    <n v="148"/>
    <n v="49"/>
    <n v="34"/>
    <n v="54"/>
    <n v="389"/>
    <n v="3"/>
    <n v="3"/>
    <n v="0"/>
    <n v="3"/>
    <n v="9"/>
    <n v="0"/>
    <n v="1"/>
    <n v="0"/>
    <n v="0"/>
    <n v="0"/>
    <n v="0"/>
    <n v="0"/>
  </r>
  <r>
    <n v="2956"/>
    <n v="125509"/>
    <n v="1"/>
    <n v="0"/>
    <x v="23"/>
    <s v="Divorced"/>
    <s v="PhD"/>
    <s v="2/23/2019"/>
    <s v="Other"/>
    <n v="15"/>
    <n v="197"/>
    <n v="15"/>
    <n v="148"/>
    <n v="49"/>
    <n v="34"/>
    <n v="54"/>
    <n v="389"/>
    <n v="3"/>
    <n v="3"/>
    <n v="0"/>
    <n v="3"/>
    <n v="9"/>
    <n v="0"/>
    <n v="1"/>
    <n v="0"/>
    <n v="0"/>
    <n v="0"/>
    <n v="0"/>
    <n v="0"/>
  </r>
  <r>
    <n v="2126"/>
    <n v="121255"/>
    <n v="1"/>
    <n v="0"/>
    <x v="23"/>
    <s v="Together"/>
    <s v="Master"/>
    <s v="6/27/2020"/>
    <s v="New York"/>
    <n v="56"/>
    <n v="165"/>
    <n v="0"/>
    <n v="143"/>
    <n v="11"/>
    <n v="11"/>
    <n v="17"/>
    <n v="314"/>
    <n v="4"/>
    <n v="2"/>
    <n v="1"/>
    <n v="4"/>
    <n v="4"/>
    <n v="0"/>
    <n v="0"/>
    <n v="0"/>
    <n v="0"/>
    <n v="0"/>
    <n v="0"/>
    <n v="0"/>
  </r>
  <r>
    <n v="1428"/>
    <n v="120130"/>
    <n v="0"/>
    <n v="0"/>
    <x v="23"/>
    <s v="Married"/>
    <s v="Graduate"/>
    <s v="8/21/2020"/>
    <s v="Florida"/>
    <n v="99"/>
    <n v="0"/>
    <n v="36"/>
    <n v="18"/>
    <n v="42"/>
    <n v="36"/>
    <n v="72"/>
    <n v="60"/>
    <n v="1"/>
    <n v="1"/>
    <n v="0"/>
    <n v="3"/>
    <n v="8"/>
    <n v="0"/>
    <n v="0"/>
    <n v="0"/>
    <n v="0"/>
    <n v="0"/>
    <n v="0"/>
    <n v="0"/>
  </r>
  <r>
    <n v="2152"/>
    <n v="120130"/>
    <n v="0"/>
    <n v="0"/>
    <x v="23"/>
    <s v="Married"/>
    <s v="Graduate"/>
    <s v="8/21/2020"/>
    <s v="Other"/>
    <n v="99"/>
    <n v="0"/>
    <n v="36"/>
    <n v="18"/>
    <n v="42"/>
    <n v="36"/>
    <n v="72"/>
    <n v="60"/>
    <n v="1"/>
    <n v="1"/>
    <n v="0"/>
    <n v="3"/>
    <n v="8"/>
    <n v="0"/>
    <n v="0"/>
    <n v="0"/>
    <n v="0"/>
    <n v="0"/>
    <n v="0"/>
    <n v="0"/>
  </r>
  <r>
    <n v="3108"/>
    <n v="119346"/>
    <n v="1"/>
    <n v="0"/>
    <x v="23"/>
    <s v="Divorced"/>
    <s v="Graduate"/>
    <s v="7/6/2020"/>
    <s v="Florida"/>
    <n v="26"/>
    <n v="12"/>
    <n v="0"/>
    <n v="56"/>
    <n v="19"/>
    <n v="37"/>
    <n v="12"/>
    <n v="111"/>
    <n v="1"/>
    <n v="1"/>
    <n v="0"/>
    <n v="3"/>
    <n v="8"/>
    <n v="0"/>
    <n v="0"/>
    <n v="0"/>
    <n v="0"/>
    <n v="0"/>
    <n v="0"/>
    <n v="0"/>
  </r>
  <r>
    <n v="2304"/>
    <n v="118393"/>
    <n v="1"/>
    <n v="0"/>
    <x v="23"/>
    <s v="Married"/>
    <s v="Basic"/>
    <s v="9/2/2020"/>
    <s v="Florida"/>
    <n v="2"/>
    <n v="45"/>
    <n v="64"/>
    <n v="84"/>
    <n v="103"/>
    <n v="0"/>
    <n v="26"/>
    <n v="270"/>
    <n v="2"/>
    <n v="3"/>
    <n v="0"/>
    <n v="3"/>
    <n v="8"/>
    <n v="0"/>
    <n v="0"/>
    <n v="0"/>
    <n v="0"/>
    <n v="0"/>
    <n v="0"/>
    <n v="0"/>
  </r>
  <r>
    <n v="1947"/>
    <n v="192955"/>
    <n v="0"/>
    <n v="0"/>
    <x v="24"/>
    <s v="Married"/>
    <s v="Graduate"/>
    <s v="1/24/2020"/>
    <s v="Texas"/>
    <n v="35"/>
    <n v="1439"/>
    <n v="44"/>
    <n v="1920"/>
    <n v="64"/>
    <n v="50"/>
    <n v="174"/>
    <n v="3342"/>
    <n v="1"/>
    <n v="6"/>
    <n v="7"/>
    <n v="9"/>
    <n v="2"/>
    <n v="0"/>
    <n v="1"/>
    <n v="1"/>
    <n v="0"/>
    <n v="0"/>
    <n v="0"/>
    <n v="1"/>
  </r>
  <r>
    <n v="1715"/>
    <n v="189694"/>
    <n v="1"/>
    <n v="1"/>
    <x v="24"/>
    <s v="Divorced"/>
    <s v="Graduate"/>
    <s v="3/15/2020"/>
    <s v="California"/>
    <n v="22"/>
    <n v="2381"/>
    <n v="59"/>
    <n v="446"/>
    <n v="78"/>
    <n v="59"/>
    <n v="89"/>
    <n v="2935"/>
    <n v="3"/>
    <n v="4"/>
    <n v="3"/>
    <n v="4"/>
    <n v="5"/>
    <n v="0"/>
    <n v="0"/>
    <n v="1"/>
    <n v="0"/>
    <n v="0"/>
    <n v="1"/>
    <n v="1"/>
  </r>
  <r>
    <n v="2071"/>
    <n v="185844"/>
    <n v="0"/>
    <n v="0"/>
    <x v="24"/>
    <s v="Married"/>
    <s v="PhD"/>
    <s v="11/2/2020"/>
    <s v="Illinois"/>
    <n v="62"/>
    <n v="2031"/>
    <n v="41"/>
    <n v="1825"/>
    <n v="54"/>
    <n v="206"/>
    <n v="82"/>
    <n v="4074"/>
    <n v="1"/>
    <n v="6"/>
    <n v="6"/>
    <n v="7"/>
    <n v="2"/>
    <n v="0"/>
    <n v="0"/>
    <n v="0"/>
    <n v="0"/>
    <n v="0"/>
    <n v="0"/>
    <n v="1"/>
  </r>
  <r>
    <n v="1617"/>
    <n v="183917"/>
    <n v="0"/>
    <n v="0"/>
    <x v="24"/>
    <s v="Single"/>
    <s v="Graduate"/>
    <s v="9/23/2019"/>
    <s v="Texas"/>
    <n v="12"/>
    <n v="1127"/>
    <n v="48"/>
    <n v="1604"/>
    <n v="92"/>
    <n v="434"/>
    <n v="173"/>
    <n v="3132"/>
    <n v="1"/>
    <n v="6"/>
    <n v="7"/>
    <n v="7"/>
    <n v="3"/>
    <n v="0"/>
    <n v="1"/>
    <n v="0"/>
    <n v="0"/>
    <n v="0"/>
    <n v="0"/>
    <n v="0"/>
  </r>
  <r>
    <n v="1083"/>
    <n v="179593"/>
    <n v="0"/>
    <n v="0"/>
    <x v="24"/>
    <s v="Married"/>
    <s v="Graduate"/>
    <s v="10/16/2020"/>
    <s v="Texas"/>
    <n v="70"/>
    <n v="790"/>
    <n v="135"/>
    <n v="1282"/>
    <n v="248"/>
    <n v="300"/>
    <n v="327"/>
    <n v="2428"/>
    <n v="1"/>
    <n v="5"/>
    <n v="6"/>
    <n v="7"/>
    <n v="2"/>
    <n v="0"/>
    <n v="0"/>
    <n v="0"/>
    <n v="0"/>
    <n v="0"/>
    <n v="0"/>
    <n v="1"/>
  </r>
  <r>
    <n v="2015"/>
    <n v="179593"/>
    <n v="0"/>
    <n v="0"/>
    <x v="24"/>
    <s v="Married"/>
    <s v="Graduate"/>
    <s v="10/16/2020"/>
    <s v="California"/>
    <n v="70"/>
    <n v="790"/>
    <n v="135"/>
    <n v="1282"/>
    <n v="248"/>
    <n v="300"/>
    <n v="327"/>
    <n v="2428"/>
    <n v="1"/>
    <n v="5"/>
    <n v="6"/>
    <n v="7"/>
    <n v="2"/>
    <n v="0"/>
    <n v="0"/>
    <n v="0"/>
    <n v="0"/>
    <n v="0"/>
    <n v="0"/>
    <n v="1"/>
  </r>
  <r>
    <n v="1681"/>
    <n v="178901"/>
    <n v="0"/>
    <n v="1"/>
    <x v="24"/>
    <s v="Divorced"/>
    <s v="Graduate"/>
    <s v="2/22/2020"/>
    <s v="Illinois"/>
    <n v="99"/>
    <n v="728"/>
    <n v="25"/>
    <n v="701"/>
    <n v="75"/>
    <n v="59"/>
    <n v="77"/>
    <n v="1510"/>
    <n v="3"/>
    <n v="9"/>
    <n v="3"/>
    <n v="5"/>
    <n v="4"/>
    <n v="0"/>
    <n v="0"/>
    <n v="0"/>
    <n v="0"/>
    <n v="0"/>
    <n v="0"/>
    <n v="0"/>
  </r>
  <r>
    <n v="1779"/>
    <n v="173926"/>
    <n v="0"/>
    <n v="0"/>
    <x v="24"/>
    <s v="Together"/>
    <s v="Graduate"/>
    <s v="8/7/2019"/>
    <s v="Texas"/>
    <n v="54"/>
    <n v="1475"/>
    <n v="214"/>
    <n v="1405"/>
    <n v="374"/>
    <n v="214"/>
    <n v="35"/>
    <n v="3647"/>
    <n v="1"/>
    <n v="6"/>
    <n v="5"/>
    <n v="12"/>
    <n v="3"/>
    <n v="0"/>
    <n v="0"/>
    <n v="0"/>
    <n v="0"/>
    <n v="0"/>
    <n v="0"/>
    <n v="0"/>
  </r>
  <r>
    <n v="3031"/>
    <n v="171128"/>
    <n v="1"/>
    <n v="0"/>
    <x v="24"/>
    <s v="Divorced"/>
    <s v="Graduate"/>
    <s v="3/13/2019"/>
    <s v="Illinois"/>
    <n v="80"/>
    <n v="2305"/>
    <n v="383"/>
    <n v="1075"/>
    <n v="48"/>
    <n v="0"/>
    <n v="75"/>
    <n v="3736"/>
    <n v="3"/>
    <n v="2"/>
    <n v="10"/>
    <n v="12"/>
    <n v="7"/>
    <n v="0"/>
    <n v="0"/>
    <n v="0"/>
    <n v="0"/>
    <n v="0"/>
    <n v="0"/>
    <n v="0"/>
  </r>
  <r>
    <n v="2425"/>
    <n v="169401"/>
    <n v="0"/>
    <n v="1"/>
    <x v="24"/>
    <s v="Together"/>
    <s v="Graduate"/>
    <s v="8/27/2020"/>
    <s v="Illinois"/>
    <n v="41"/>
    <n v="974"/>
    <n v="66"/>
    <n v="388"/>
    <n v="142"/>
    <n v="20"/>
    <n v="95"/>
    <n v="1494"/>
    <n v="4"/>
    <n v="4"/>
    <n v="4"/>
    <n v="5"/>
    <n v="2"/>
    <n v="0"/>
    <n v="0"/>
    <n v="0"/>
    <n v="0"/>
    <n v="0"/>
    <n v="0"/>
    <n v="0"/>
  </r>
  <r>
    <n v="1717"/>
    <n v="167432"/>
    <n v="0"/>
    <n v="1"/>
    <x v="24"/>
    <s v="Married"/>
    <s v="Graduate"/>
    <s v="9/3/2019"/>
    <s v="Illinois"/>
    <n v="69"/>
    <n v="1073"/>
    <n v="196"/>
    <n v="847"/>
    <n v="439"/>
    <n v="338"/>
    <n v="422"/>
    <n v="2471"/>
    <n v="2"/>
    <n v="8"/>
    <n v="5"/>
    <n v="4"/>
    <n v="4"/>
    <n v="0"/>
    <n v="0"/>
    <n v="0"/>
    <n v="0"/>
    <n v="0"/>
    <n v="0"/>
    <n v="0"/>
  </r>
  <r>
    <n v="3112"/>
    <n v="165333"/>
    <n v="0"/>
    <n v="1"/>
    <x v="24"/>
    <s v="Single"/>
    <s v="Graduate"/>
    <s v="6/23/2020"/>
    <s v="Other"/>
    <n v="58"/>
    <n v="1655"/>
    <n v="18"/>
    <n v="233"/>
    <n v="0"/>
    <n v="38"/>
    <n v="76"/>
    <n v="1868"/>
    <n v="7"/>
    <n v="9"/>
    <n v="4"/>
    <n v="8"/>
    <n v="6"/>
    <n v="0"/>
    <n v="0"/>
    <n v="0"/>
    <n v="0"/>
    <n v="0"/>
    <n v="1"/>
    <n v="1"/>
  </r>
  <r>
    <n v="3022"/>
    <n v="165308"/>
    <n v="0"/>
    <n v="0"/>
    <x v="24"/>
    <s v="Married"/>
    <s v="Graduate"/>
    <s v="2/16/2020"/>
    <s v="Other"/>
    <n v="60"/>
    <n v="1805"/>
    <n v="0"/>
    <n v="668"/>
    <n v="304"/>
    <n v="202"/>
    <n v="86"/>
    <n v="2893"/>
    <n v="1"/>
    <n v="7"/>
    <n v="8"/>
    <n v="12"/>
    <n v="4"/>
    <n v="0"/>
    <n v="0"/>
    <n v="1"/>
    <n v="0"/>
    <n v="0"/>
    <n v="0"/>
    <n v="1"/>
  </r>
  <r>
    <n v="3116"/>
    <n v="163516"/>
    <n v="1"/>
    <n v="1"/>
    <x v="24"/>
    <s v="Together"/>
    <s v="PhD"/>
    <s v="12/11/2019"/>
    <s v="New York"/>
    <n v="30"/>
    <n v="363"/>
    <n v="28"/>
    <n v="293"/>
    <n v="39"/>
    <n v="36"/>
    <n v="13"/>
    <n v="747"/>
    <n v="4"/>
    <n v="4"/>
    <n v="1"/>
    <n v="7"/>
    <n v="5"/>
    <n v="0"/>
    <n v="0"/>
    <n v="0"/>
    <n v="0"/>
    <n v="0"/>
    <n v="0"/>
    <n v="0"/>
  </r>
  <r>
    <n v="2584"/>
    <n v="160432"/>
    <n v="0"/>
    <n v="1"/>
    <x v="24"/>
    <s v="Married"/>
    <s v="Master"/>
    <s v="8/13/2020"/>
    <s v="Other"/>
    <n v="61"/>
    <n v="969"/>
    <n v="8"/>
    <n v="40"/>
    <n v="11"/>
    <n v="8"/>
    <n v="29"/>
    <n v="1006"/>
    <n v="5"/>
    <n v="7"/>
    <n v="2"/>
    <n v="5"/>
    <n v="6"/>
    <n v="0"/>
    <n v="0"/>
    <n v="0"/>
    <n v="0"/>
    <n v="0"/>
    <n v="0"/>
    <n v="0"/>
  </r>
  <r>
    <n v="2840"/>
    <n v="160208"/>
    <n v="1"/>
    <n v="1"/>
    <x v="24"/>
    <s v="Widow"/>
    <s v="Graduate"/>
    <s v="3/14/2019"/>
    <s v="New York"/>
    <n v="13"/>
    <n v="1299"/>
    <n v="61"/>
    <n v="189"/>
    <n v="40"/>
    <n v="0"/>
    <n v="157"/>
    <n v="1432"/>
    <n v="11"/>
    <n v="8"/>
    <n v="3"/>
    <n v="7"/>
    <n v="7"/>
    <n v="0"/>
    <n v="1"/>
    <n v="0"/>
    <n v="0"/>
    <n v="0"/>
    <n v="1"/>
    <n v="0"/>
  </r>
  <r>
    <n v="1939"/>
    <n v="159041"/>
    <n v="1"/>
    <n v="1"/>
    <x v="24"/>
    <s v="Married"/>
    <s v="Graduate"/>
    <s v="10/11/2020"/>
    <s v="Illinois"/>
    <n v="25"/>
    <n v="186"/>
    <n v="5"/>
    <n v="40"/>
    <n v="5"/>
    <n v="5"/>
    <n v="16"/>
    <n v="226"/>
    <n v="2"/>
    <n v="2"/>
    <n v="0"/>
    <n v="4"/>
    <n v="5"/>
    <n v="0"/>
    <n v="0"/>
    <n v="0"/>
    <n v="0"/>
    <n v="0"/>
    <n v="0"/>
    <n v="0"/>
  </r>
  <r>
    <n v="1846"/>
    <n v="157906"/>
    <n v="0"/>
    <n v="1"/>
    <x v="24"/>
    <s v="Together"/>
    <s v="PhD"/>
    <s v="11/16/2019"/>
    <s v="Other"/>
    <n v="29"/>
    <n v="663"/>
    <n v="30"/>
    <n v="325"/>
    <n v="27"/>
    <n v="8"/>
    <n v="41"/>
    <n v="1012"/>
    <n v="3"/>
    <n v="4"/>
    <n v="2"/>
    <n v="8"/>
    <n v="4"/>
    <n v="0"/>
    <n v="0"/>
    <n v="0"/>
    <n v="0"/>
    <n v="0"/>
    <n v="0"/>
    <n v="0"/>
  </r>
  <r>
    <n v="1884"/>
    <n v="157100"/>
    <n v="0"/>
    <n v="0"/>
    <x v="24"/>
    <s v="Together"/>
    <s v="Graduate"/>
    <s v="5/10/2020"/>
    <s v="Florida"/>
    <n v="19"/>
    <n v="498"/>
    <n v="58"/>
    <n v="190"/>
    <n v="107"/>
    <n v="8"/>
    <n v="264"/>
    <n v="597"/>
    <n v="1"/>
    <n v="3"/>
    <n v="3"/>
    <n v="6"/>
    <n v="3"/>
    <n v="0"/>
    <n v="0"/>
    <n v="0"/>
    <n v="0"/>
    <n v="0"/>
    <n v="0"/>
    <n v="0"/>
  </r>
  <r>
    <n v="3165"/>
    <n v="155593"/>
    <n v="0"/>
    <n v="1"/>
    <x v="24"/>
    <s v="Together"/>
    <s v="Graduate"/>
    <s v="1/26/2020"/>
    <s v="Texas"/>
    <n v="63"/>
    <n v="820"/>
    <n v="22"/>
    <n v="347"/>
    <n v="31"/>
    <n v="11"/>
    <n v="297"/>
    <n v="935"/>
    <n v="2"/>
    <n v="6"/>
    <n v="6"/>
    <n v="3"/>
    <n v="6"/>
    <n v="0"/>
    <n v="0"/>
    <n v="0"/>
    <n v="0"/>
    <n v="1"/>
    <n v="0"/>
    <n v="0"/>
  </r>
  <r>
    <n v="2678"/>
    <n v="155012"/>
    <n v="0"/>
    <n v="1"/>
    <x v="24"/>
    <s v="Together"/>
    <s v="PhD"/>
    <s v="8/25/2020"/>
    <s v="New York"/>
    <n v="85"/>
    <n v="1640"/>
    <n v="0"/>
    <n v="183"/>
    <n v="0"/>
    <n v="0"/>
    <n v="37"/>
    <n v="1786"/>
    <n v="6"/>
    <n v="8"/>
    <n v="2"/>
    <n v="9"/>
    <n v="5"/>
    <n v="0"/>
    <n v="0"/>
    <n v="0"/>
    <n v="0"/>
    <n v="0"/>
    <n v="0"/>
    <n v="0"/>
  </r>
  <r>
    <n v="2093"/>
    <n v="154466"/>
    <n v="1"/>
    <n v="1"/>
    <x v="24"/>
    <s v="Single"/>
    <s v="PhD"/>
    <s v="7/16/2020"/>
    <s v="California"/>
    <n v="78"/>
    <n v="34"/>
    <n v="0"/>
    <n v="11"/>
    <n v="0"/>
    <n v="0"/>
    <n v="0"/>
    <n v="45"/>
    <n v="1"/>
    <n v="1"/>
    <n v="0"/>
    <n v="2"/>
    <n v="5"/>
    <n v="0"/>
    <n v="0"/>
    <n v="0"/>
    <n v="0"/>
    <n v="0"/>
    <n v="0"/>
    <n v="0"/>
  </r>
  <r>
    <n v="2684"/>
    <n v="154222"/>
    <n v="0"/>
    <n v="1"/>
    <x v="24"/>
    <s v="Married"/>
    <s v="PhD"/>
    <s v="8/5/2020"/>
    <s v="New York"/>
    <n v="98"/>
    <n v="566"/>
    <n v="34"/>
    <n v="88"/>
    <n v="9"/>
    <n v="34"/>
    <n v="20"/>
    <n v="711"/>
    <n v="1"/>
    <n v="3"/>
    <n v="3"/>
    <n v="5"/>
    <n v="3"/>
    <n v="0"/>
    <n v="0"/>
    <n v="0"/>
    <n v="0"/>
    <n v="0"/>
    <n v="0"/>
    <n v="0"/>
  </r>
  <r>
    <n v="2479"/>
    <n v="154108"/>
    <n v="1"/>
    <n v="1"/>
    <x v="24"/>
    <s v="Married"/>
    <s v="Master"/>
    <s v="4/12/2019"/>
    <s v="Illinois"/>
    <n v="74"/>
    <n v="1535"/>
    <n v="17"/>
    <n v="259"/>
    <n v="23"/>
    <n v="17"/>
    <n v="276"/>
    <n v="1575"/>
    <n v="13"/>
    <n v="8"/>
    <n v="2"/>
    <n v="9"/>
    <n v="8"/>
    <n v="0"/>
    <n v="0"/>
    <n v="0"/>
    <n v="0"/>
    <n v="0"/>
    <n v="0"/>
    <n v="0"/>
  </r>
  <r>
    <n v="1979"/>
    <n v="152845"/>
    <n v="1"/>
    <n v="0"/>
    <x v="24"/>
    <s v="Married"/>
    <s v="Graduate"/>
    <s v="1/18/2020"/>
    <s v="California"/>
    <n v="7"/>
    <n v="1111"/>
    <n v="72"/>
    <n v="845"/>
    <n v="376"/>
    <n v="119"/>
    <n v="185"/>
    <n v="2337"/>
    <n v="3"/>
    <n v="8"/>
    <n v="8"/>
    <n v="6"/>
    <n v="6"/>
    <n v="0"/>
    <n v="0"/>
    <n v="0"/>
    <n v="0"/>
    <n v="1"/>
    <n v="0"/>
    <n v="0"/>
  </r>
  <r>
    <n v="2103"/>
    <n v="152034"/>
    <n v="1"/>
    <n v="1"/>
    <x v="24"/>
    <s v="Divorced"/>
    <s v="Master"/>
    <s v="10/22/2019"/>
    <s v="Texas"/>
    <n v="67"/>
    <n v="427"/>
    <n v="0"/>
    <n v="272"/>
    <n v="20"/>
    <n v="38"/>
    <n v="213"/>
    <n v="543"/>
    <n v="5"/>
    <n v="4"/>
    <n v="2"/>
    <n v="5"/>
    <n v="7"/>
    <n v="0"/>
    <n v="0"/>
    <n v="0"/>
    <n v="0"/>
    <n v="0"/>
    <n v="0"/>
    <n v="0"/>
  </r>
  <r>
    <n v="1182"/>
    <n v="151148"/>
    <n v="1"/>
    <n v="1"/>
    <x v="24"/>
    <s v="Married"/>
    <s v="Graduate"/>
    <s v="7/26/2019"/>
    <s v="Florida"/>
    <n v="38"/>
    <n v="694"/>
    <n v="18"/>
    <n v="133"/>
    <n v="24"/>
    <n v="27"/>
    <n v="35"/>
    <n v="860"/>
    <n v="4"/>
    <n v="5"/>
    <n v="1"/>
    <n v="6"/>
    <n v="6"/>
    <n v="0"/>
    <n v="0"/>
    <n v="0"/>
    <n v="0"/>
    <n v="0"/>
    <n v="0"/>
    <n v="0"/>
  </r>
  <r>
    <n v="2761"/>
    <n v="149094"/>
    <n v="0"/>
    <n v="1"/>
    <x v="24"/>
    <s v="Married"/>
    <s v="Graduate"/>
    <s v="2/26/2019"/>
    <s v="Illinois"/>
    <n v="6"/>
    <n v="1142"/>
    <n v="0"/>
    <n v="115"/>
    <n v="33"/>
    <n v="24"/>
    <n v="210"/>
    <n v="1105"/>
    <n v="5"/>
    <n v="6"/>
    <n v="3"/>
    <n v="6"/>
    <n v="6"/>
    <n v="0"/>
    <n v="0"/>
    <n v="0"/>
    <n v="0"/>
    <n v="0"/>
    <n v="0"/>
    <n v="0"/>
  </r>
  <r>
    <n v="2571"/>
    <n v="148432"/>
    <n v="0"/>
    <n v="1"/>
    <x v="24"/>
    <s v="Single"/>
    <s v="PhD"/>
    <s v="3/25/2019"/>
    <s v="Texas"/>
    <n v="3"/>
    <n v="987"/>
    <n v="9"/>
    <n v="153"/>
    <n v="12"/>
    <n v="9"/>
    <n v="129"/>
    <n v="1042"/>
    <n v="5"/>
    <n v="7"/>
    <n v="1"/>
    <n v="6"/>
    <n v="8"/>
    <n v="0"/>
    <n v="1"/>
    <n v="0"/>
    <n v="0"/>
    <n v="0"/>
    <n v="0"/>
    <n v="0"/>
  </r>
  <r>
    <n v="3145"/>
    <n v="148432"/>
    <n v="0"/>
    <n v="1"/>
    <x v="24"/>
    <s v="Single"/>
    <s v="PhD"/>
    <s v="3/25/2019"/>
    <s v="Illinois"/>
    <n v="3"/>
    <n v="987"/>
    <n v="9"/>
    <n v="153"/>
    <n v="12"/>
    <n v="9"/>
    <n v="129"/>
    <n v="1042"/>
    <n v="5"/>
    <n v="7"/>
    <n v="1"/>
    <n v="6"/>
    <n v="8"/>
    <n v="0"/>
    <n v="0"/>
    <n v="0"/>
    <n v="0"/>
    <n v="0"/>
    <n v="0"/>
    <n v="0"/>
  </r>
  <r>
    <n v="3170"/>
    <n v="148432"/>
    <n v="0"/>
    <n v="1"/>
    <x v="24"/>
    <s v="Single"/>
    <s v="PhD"/>
    <s v="3/25/2019"/>
    <s v="New York"/>
    <n v="3"/>
    <n v="987"/>
    <n v="9"/>
    <n v="153"/>
    <n v="12"/>
    <n v="9"/>
    <n v="129"/>
    <n v="1042"/>
    <n v="5"/>
    <n v="7"/>
    <n v="1"/>
    <n v="6"/>
    <n v="8"/>
    <n v="0"/>
    <n v="1"/>
    <n v="0"/>
    <n v="0"/>
    <n v="0"/>
    <n v="0"/>
    <n v="0"/>
  </r>
  <r>
    <n v="1187"/>
    <n v="146854"/>
    <n v="1"/>
    <n v="1"/>
    <x v="24"/>
    <s v="Single"/>
    <s v="PhD"/>
    <s v="9/4/2020"/>
    <s v="California"/>
    <n v="81"/>
    <n v="301"/>
    <n v="3"/>
    <n v="248"/>
    <n v="22"/>
    <n v="3"/>
    <n v="248"/>
    <n v="329"/>
    <n v="6"/>
    <n v="5"/>
    <n v="1"/>
    <n v="3"/>
    <n v="8"/>
    <n v="0"/>
    <n v="1"/>
    <n v="0"/>
    <n v="0"/>
    <n v="1"/>
    <n v="0"/>
    <n v="0"/>
  </r>
  <r>
    <n v="2297"/>
    <n v="146094"/>
    <n v="1"/>
    <n v="1"/>
    <x v="24"/>
    <s v="Married"/>
    <s v="Graduate"/>
    <s v="11/14/2020"/>
    <s v="California"/>
    <n v="62"/>
    <n v="38"/>
    <n v="6"/>
    <n v="63"/>
    <n v="10"/>
    <n v="6"/>
    <n v="16"/>
    <n v="108"/>
    <n v="1"/>
    <n v="1"/>
    <n v="0"/>
    <n v="3"/>
    <n v="7"/>
    <n v="0"/>
    <n v="0"/>
    <n v="0"/>
    <n v="0"/>
    <n v="0"/>
    <n v="0"/>
    <n v="0"/>
  </r>
  <r>
    <n v="1933"/>
    <n v="144051"/>
    <n v="1"/>
    <n v="1"/>
    <x v="24"/>
    <s v="Divorced"/>
    <s v="Master"/>
    <s v="7/6/2019"/>
    <s v="Illinois"/>
    <n v="20"/>
    <n v="258"/>
    <n v="23"/>
    <n v="190"/>
    <n v="20"/>
    <n v="10"/>
    <n v="59"/>
    <n v="441"/>
    <n v="4"/>
    <n v="3"/>
    <n v="1"/>
    <n v="4"/>
    <n v="6"/>
    <n v="0"/>
    <n v="1"/>
    <n v="0"/>
    <n v="0"/>
    <n v="0"/>
    <n v="0"/>
    <n v="0"/>
  </r>
  <r>
    <n v="2273"/>
    <n v="143050"/>
    <n v="1"/>
    <n v="0"/>
    <x v="24"/>
    <s v="Married"/>
    <s v="Graduate"/>
    <s v="8/22/2020"/>
    <s v="California"/>
    <n v="10"/>
    <n v="100"/>
    <n v="17"/>
    <n v="80"/>
    <n v="20"/>
    <n v="10"/>
    <n v="27"/>
    <n v="199"/>
    <n v="2"/>
    <n v="2"/>
    <n v="0"/>
    <n v="4"/>
    <n v="5"/>
    <n v="0"/>
    <n v="0"/>
    <n v="0"/>
    <n v="0"/>
    <n v="0"/>
    <n v="0"/>
    <n v="0"/>
  </r>
  <r>
    <n v="1037"/>
    <n v="142429"/>
    <n v="0"/>
    <n v="1"/>
    <x v="24"/>
    <s v="Widow"/>
    <s v="Graduate"/>
    <s v="7/18/2020"/>
    <s v="California"/>
    <n v="99"/>
    <n v="185"/>
    <n v="0"/>
    <n v="20"/>
    <n v="7"/>
    <n v="0"/>
    <n v="13"/>
    <n v="198"/>
    <n v="2"/>
    <n v="1"/>
    <n v="1"/>
    <n v="3"/>
    <n v="5"/>
    <n v="0"/>
    <n v="0"/>
    <n v="0"/>
    <n v="0"/>
    <n v="0"/>
    <n v="0"/>
    <n v="0"/>
  </r>
  <r>
    <n v="1590"/>
    <n v="142429"/>
    <n v="0"/>
    <n v="1"/>
    <x v="24"/>
    <s v="Widow"/>
    <s v="Graduate"/>
    <s v="7/18/2020"/>
    <s v="Florida"/>
    <n v="99"/>
    <n v="185"/>
    <n v="0"/>
    <n v="20"/>
    <n v="7"/>
    <n v="0"/>
    <n v="13"/>
    <n v="198"/>
    <n v="2"/>
    <n v="1"/>
    <n v="1"/>
    <n v="3"/>
    <n v="5"/>
    <n v="0"/>
    <n v="0"/>
    <n v="0"/>
    <n v="0"/>
    <n v="0"/>
    <n v="0"/>
    <n v="0"/>
  </r>
  <r>
    <n v="2753"/>
    <n v="139435"/>
    <n v="1"/>
    <n v="0"/>
    <x v="24"/>
    <s v="Together"/>
    <s v="PhD"/>
    <s v="1/11/2020"/>
    <s v="California"/>
    <n v="16"/>
    <n v="251"/>
    <n v="0"/>
    <n v="64"/>
    <n v="0"/>
    <n v="0"/>
    <n v="46"/>
    <n v="269"/>
    <n v="1"/>
    <n v="3"/>
    <n v="1"/>
    <n v="2"/>
    <n v="7"/>
    <n v="0"/>
    <n v="0"/>
    <n v="0"/>
    <n v="0"/>
    <n v="0"/>
    <n v="0"/>
    <n v="0"/>
  </r>
  <r>
    <n v="1464"/>
    <n v="138961"/>
    <n v="1"/>
    <n v="0"/>
    <x v="24"/>
    <s v="Married"/>
    <s v="Master"/>
    <s v="6/5/2020"/>
    <s v="Florida"/>
    <n v="60"/>
    <n v="68"/>
    <n v="25"/>
    <n v="68"/>
    <n v="0"/>
    <n v="4"/>
    <n v="86"/>
    <n v="78"/>
    <n v="1"/>
    <n v="2"/>
    <n v="1"/>
    <n v="2"/>
    <n v="7"/>
    <n v="0"/>
    <n v="0"/>
    <n v="0"/>
    <n v="0"/>
    <n v="0"/>
    <n v="0"/>
    <n v="0"/>
  </r>
  <r>
    <n v="1837"/>
    <n v="138576"/>
    <n v="0"/>
    <n v="1"/>
    <x v="24"/>
    <s v="Married"/>
    <s v="Master"/>
    <s v="8/8/2020"/>
    <s v="Illinois"/>
    <n v="2"/>
    <n v="122"/>
    <n v="0"/>
    <n v="25"/>
    <n v="0"/>
    <n v="0"/>
    <n v="0"/>
    <n v="147"/>
    <n v="1"/>
    <n v="1"/>
    <n v="0"/>
    <n v="3"/>
    <n v="7"/>
    <n v="0"/>
    <n v="0"/>
    <n v="0"/>
    <n v="0"/>
    <n v="0"/>
    <n v="0"/>
    <n v="0"/>
  </r>
  <r>
    <n v="2347"/>
    <n v="137971"/>
    <n v="1"/>
    <n v="0"/>
    <x v="24"/>
    <s v="Married"/>
    <s v="Graduate"/>
    <s v="5/1/2020"/>
    <s v="Illinois"/>
    <n v="97"/>
    <n v="18"/>
    <n v="15"/>
    <n v="36"/>
    <n v="7"/>
    <n v="7"/>
    <n v="25"/>
    <n v="58"/>
    <n v="1"/>
    <n v="1"/>
    <n v="0"/>
    <n v="3"/>
    <n v="8"/>
    <n v="0"/>
    <n v="0"/>
    <n v="0"/>
    <n v="0"/>
    <n v="0"/>
    <n v="0"/>
    <n v="0"/>
  </r>
  <r>
    <n v="1404"/>
    <n v="137401"/>
    <n v="1"/>
    <n v="0"/>
    <x v="24"/>
    <s v="Married"/>
    <s v="PhD"/>
    <s v="10/10/2020"/>
    <s v="Florida"/>
    <n v="14"/>
    <n v="70"/>
    <n v="11"/>
    <n v="70"/>
    <n v="11"/>
    <n v="4"/>
    <n v="11"/>
    <n v="154"/>
    <n v="2"/>
    <n v="2"/>
    <n v="0"/>
    <n v="3"/>
    <n v="7"/>
    <n v="0"/>
    <n v="0"/>
    <n v="0"/>
    <n v="0"/>
    <n v="0"/>
    <n v="0"/>
    <n v="0"/>
  </r>
  <r>
    <n v="2499"/>
    <n v="137401"/>
    <n v="1"/>
    <n v="0"/>
    <x v="24"/>
    <s v="Married"/>
    <s v="PhD"/>
    <s v="10/10/2020"/>
    <s v="Texas"/>
    <n v="14"/>
    <n v="70"/>
    <n v="11"/>
    <n v="70"/>
    <n v="11"/>
    <n v="4"/>
    <n v="11"/>
    <n v="154"/>
    <n v="2"/>
    <n v="2"/>
    <n v="0"/>
    <n v="3"/>
    <n v="7"/>
    <n v="0"/>
    <n v="0"/>
    <n v="0"/>
    <n v="0"/>
    <n v="0"/>
    <n v="0"/>
    <n v="0"/>
  </r>
  <r>
    <n v="1128"/>
    <n v="135860"/>
    <n v="1"/>
    <n v="1"/>
    <x v="24"/>
    <s v="Single"/>
    <s v="PhD"/>
    <s v="10/23/2020"/>
    <s v="Florida"/>
    <n v="37"/>
    <n v="57"/>
    <n v="0"/>
    <n v="30"/>
    <n v="15"/>
    <n v="8"/>
    <n v="76"/>
    <n v="34"/>
    <n v="2"/>
    <n v="1"/>
    <n v="1"/>
    <n v="2"/>
    <n v="5"/>
    <n v="0"/>
    <n v="1"/>
    <n v="0"/>
    <n v="0"/>
    <n v="1"/>
    <n v="0"/>
    <n v="0"/>
  </r>
  <r>
    <n v="2044"/>
    <n v="135860"/>
    <n v="1"/>
    <n v="1"/>
    <x v="24"/>
    <s v="Divorced"/>
    <s v="PhD"/>
    <s v="10/23/2020"/>
    <s v="Other"/>
    <n v="37"/>
    <n v="57"/>
    <n v="0"/>
    <n v="30"/>
    <n v="15"/>
    <n v="8"/>
    <n v="76"/>
    <n v="34"/>
    <n v="2"/>
    <n v="1"/>
    <n v="1"/>
    <n v="2"/>
    <n v="5"/>
    <n v="0"/>
    <n v="0"/>
    <n v="0"/>
    <n v="0"/>
    <n v="1"/>
    <n v="0"/>
    <n v="0"/>
  </r>
  <r>
    <n v="2241"/>
    <n v="135860"/>
    <n v="1"/>
    <n v="1"/>
    <x v="24"/>
    <s v="Divorced"/>
    <s v="PhD"/>
    <s v="10/23/2020"/>
    <s v="Texas"/>
    <n v="37"/>
    <n v="57"/>
    <n v="0"/>
    <n v="30"/>
    <n v="15"/>
    <n v="8"/>
    <n v="76"/>
    <n v="34"/>
    <n v="2"/>
    <n v="1"/>
    <n v="1"/>
    <n v="2"/>
    <n v="5"/>
    <n v="0"/>
    <n v="0"/>
    <n v="0"/>
    <n v="0"/>
    <n v="1"/>
    <n v="0"/>
    <n v="0"/>
  </r>
  <r>
    <n v="2561"/>
    <n v="135860"/>
    <n v="1"/>
    <n v="1"/>
    <x v="24"/>
    <s v="Divorced"/>
    <s v="PhD"/>
    <s v="10/23/2020"/>
    <s v="California"/>
    <n v="37"/>
    <n v="57"/>
    <n v="0"/>
    <n v="30"/>
    <n v="15"/>
    <n v="8"/>
    <n v="76"/>
    <n v="34"/>
    <n v="2"/>
    <n v="1"/>
    <n v="1"/>
    <n v="2"/>
    <n v="5"/>
    <n v="0"/>
    <n v="1"/>
    <n v="0"/>
    <n v="0"/>
    <n v="1"/>
    <n v="0"/>
    <n v="0"/>
  </r>
  <r>
    <n v="1138"/>
    <n v="135688"/>
    <n v="2"/>
    <n v="1"/>
    <x v="24"/>
    <s v="Married"/>
    <s v="Graduate"/>
    <s v="1/27/2019"/>
    <s v="Other"/>
    <n v="94"/>
    <n v="278"/>
    <n v="11"/>
    <n v="342"/>
    <n v="46"/>
    <n v="4"/>
    <n v="122"/>
    <n v="559"/>
    <n v="7"/>
    <n v="4"/>
    <n v="1"/>
    <n v="4"/>
    <n v="8"/>
    <n v="0"/>
    <n v="0"/>
    <n v="0"/>
    <n v="0"/>
    <n v="0"/>
    <n v="0"/>
    <n v="0"/>
  </r>
  <r>
    <n v="1367"/>
    <n v="135688"/>
    <n v="2"/>
    <n v="1"/>
    <x v="24"/>
    <s v="Married"/>
    <s v="Graduate"/>
    <s v="1/27/2019"/>
    <s v="California"/>
    <n v="94"/>
    <n v="278"/>
    <n v="11"/>
    <n v="342"/>
    <n v="46"/>
    <n v="4"/>
    <n v="122"/>
    <n v="559"/>
    <n v="7"/>
    <n v="4"/>
    <n v="1"/>
    <n v="4"/>
    <n v="8"/>
    <n v="0"/>
    <n v="0"/>
    <n v="0"/>
    <n v="0"/>
    <n v="0"/>
    <n v="0"/>
    <n v="0"/>
  </r>
  <r>
    <n v="2001"/>
    <n v="134961"/>
    <n v="1"/>
    <n v="0"/>
    <x v="24"/>
    <s v="Married"/>
    <s v="Graduate"/>
    <s v="11/23/2020"/>
    <s v="Texas"/>
    <n v="77"/>
    <n v="174"/>
    <n v="8"/>
    <n v="100"/>
    <n v="15"/>
    <n v="4"/>
    <n v="4"/>
    <n v="297"/>
    <n v="3"/>
    <n v="3"/>
    <n v="1"/>
    <n v="3"/>
    <n v="7"/>
    <n v="0"/>
    <n v="0"/>
    <n v="0"/>
    <n v="0"/>
    <n v="0"/>
    <n v="0"/>
    <n v="0"/>
  </r>
  <r>
    <n v="2409"/>
    <n v="134853"/>
    <n v="1"/>
    <n v="1"/>
    <x v="24"/>
    <s v="Single"/>
    <s v="Graduate"/>
    <s v="5/29/2020"/>
    <s v="Texas"/>
    <n v="75"/>
    <n v="35"/>
    <n v="12"/>
    <n v="58"/>
    <n v="8"/>
    <n v="12"/>
    <n v="8"/>
    <n v="116"/>
    <n v="2"/>
    <n v="2"/>
    <n v="0"/>
    <n v="3"/>
    <n v="6"/>
    <n v="0"/>
    <n v="0"/>
    <n v="0"/>
    <n v="0"/>
    <n v="0"/>
    <n v="0"/>
    <n v="0"/>
  </r>
  <r>
    <n v="1948"/>
    <n v="133471"/>
    <n v="1"/>
    <n v="0"/>
    <x v="24"/>
    <s v="Married"/>
    <s v="Graduate"/>
    <s v="3/19/2019"/>
    <s v="Other"/>
    <n v="47"/>
    <n v="171"/>
    <n v="8"/>
    <n v="108"/>
    <n v="0"/>
    <n v="36"/>
    <n v="48"/>
    <n v="275"/>
    <n v="3"/>
    <n v="3"/>
    <n v="0"/>
    <n v="4"/>
    <n v="7"/>
    <n v="0"/>
    <n v="0"/>
    <n v="0"/>
    <n v="0"/>
    <n v="0"/>
    <n v="0"/>
    <n v="0"/>
  </r>
  <r>
    <n v="2973"/>
    <n v="132644"/>
    <n v="1"/>
    <n v="0"/>
    <x v="24"/>
    <s v="Married"/>
    <s v="PhD"/>
    <s v="6/23/2019"/>
    <s v="Texas"/>
    <n v="38"/>
    <n v="971"/>
    <n v="12"/>
    <n v="573"/>
    <n v="0"/>
    <n v="28"/>
    <n v="93"/>
    <n v="1491"/>
    <n v="4"/>
    <n v="7"/>
    <n v="1"/>
    <n v="6"/>
    <n v="8"/>
    <n v="0"/>
    <n v="0"/>
    <n v="0"/>
    <n v="0"/>
    <n v="1"/>
    <n v="0"/>
    <n v="0"/>
  </r>
  <r>
    <n v="1999"/>
    <n v="132300"/>
    <n v="1"/>
    <n v="0"/>
    <x v="24"/>
    <s v="Married"/>
    <s v="Graduate"/>
    <s v="6/10/2019"/>
    <s v="Illinois"/>
    <n v="1"/>
    <n v="53"/>
    <n v="12"/>
    <n v="25"/>
    <n v="25"/>
    <n v="20"/>
    <n v="25"/>
    <n v="111"/>
    <n v="1"/>
    <n v="1"/>
    <n v="0"/>
    <n v="3"/>
    <n v="8"/>
    <n v="0"/>
    <n v="0"/>
    <n v="0"/>
    <n v="0"/>
    <n v="0"/>
    <n v="0"/>
    <n v="0"/>
  </r>
  <r>
    <n v="1871"/>
    <n v="131814"/>
    <n v="1"/>
    <n v="0"/>
    <x v="24"/>
    <s v="Married"/>
    <s v="Graduate"/>
    <s v="7/17/2019"/>
    <s v="California"/>
    <n v="73"/>
    <n v="145"/>
    <n v="12"/>
    <n v="83"/>
    <n v="17"/>
    <n v="4"/>
    <n v="83"/>
    <n v="178"/>
    <n v="2"/>
    <n v="2"/>
    <n v="0"/>
    <n v="3"/>
    <n v="9"/>
    <n v="0"/>
    <n v="0"/>
    <n v="0"/>
    <n v="0"/>
    <n v="1"/>
    <n v="0"/>
    <n v="0"/>
  </r>
  <r>
    <n v="2407"/>
    <n v="131163"/>
    <n v="1"/>
    <n v="0"/>
    <x v="24"/>
    <s v="Divorced"/>
    <s v="Graduate"/>
    <s v="7/20/2020"/>
    <s v="Illinois"/>
    <n v="54"/>
    <n v="8"/>
    <n v="13"/>
    <n v="42"/>
    <n v="46"/>
    <n v="8"/>
    <n v="42"/>
    <n v="76"/>
    <n v="1"/>
    <n v="1"/>
    <n v="0"/>
    <n v="3"/>
    <n v="6"/>
    <n v="0"/>
    <n v="0"/>
    <n v="0"/>
    <n v="0"/>
    <n v="0"/>
    <n v="0"/>
    <n v="0"/>
  </r>
  <r>
    <n v="2477"/>
    <n v="131163"/>
    <n v="1"/>
    <n v="0"/>
    <x v="24"/>
    <s v="Divorced"/>
    <s v="Graduate"/>
    <s v="7/20/2020"/>
    <s v="California"/>
    <n v="54"/>
    <n v="8"/>
    <n v="13"/>
    <n v="42"/>
    <n v="46"/>
    <n v="8"/>
    <n v="42"/>
    <n v="76"/>
    <n v="1"/>
    <n v="1"/>
    <n v="0"/>
    <n v="3"/>
    <n v="6"/>
    <n v="0"/>
    <n v="0"/>
    <n v="0"/>
    <n v="0"/>
    <n v="0"/>
    <n v="0"/>
    <n v="0"/>
  </r>
  <r>
    <n v="3051"/>
    <n v="127803"/>
    <n v="1"/>
    <n v="0"/>
    <x v="24"/>
    <s v="Married"/>
    <s v="Graduate"/>
    <s v="1/31/2019"/>
    <s v="Texas"/>
    <n v="40"/>
    <n v="37"/>
    <n v="120"/>
    <n v="211"/>
    <n v="175"/>
    <n v="41"/>
    <n v="225"/>
    <n v="359"/>
    <n v="2"/>
    <n v="3"/>
    <n v="0"/>
    <n v="4"/>
    <n v="8"/>
    <n v="0"/>
    <n v="0"/>
    <n v="0"/>
    <n v="0"/>
    <n v="0"/>
    <n v="0"/>
    <n v="0"/>
  </r>
  <r>
    <n v="1328"/>
    <n v="127190"/>
    <n v="1"/>
    <n v="0"/>
    <x v="24"/>
    <s v="Together"/>
    <s v="Basic"/>
    <s v="1/20/2020"/>
    <s v="New York"/>
    <n v="13"/>
    <n v="5"/>
    <n v="28"/>
    <n v="33"/>
    <n v="0"/>
    <n v="5"/>
    <n v="14"/>
    <n v="56"/>
    <n v="1"/>
    <n v="1"/>
    <n v="0"/>
    <n v="2"/>
    <n v="8"/>
    <n v="0"/>
    <n v="1"/>
    <n v="0"/>
    <n v="0"/>
    <n v="1"/>
    <n v="0"/>
    <n v="0"/>
  </r>
  <r>
    <n v="1533"/>
    <n v="127159"/>
    <n v="1"/>
    <n v="1"/>
    <x v="24"/>
    <s v="Married"/>
    <s v="Master"/>
    <s v="9/2/2020"/>
    <s v="Texas"/>
    <n v="33"/>
    <n v="80"/>
    <n v="0"/>
    <n v="14"/>
    <n v="0"/>
    <n v="0"/>
    <n v="5"/>
    <n v="89"/>
    <n v="2"/>
    <n v="1"/>
    <n v="0"/>
    <n v="3"/>
    <n v="6"/>
    <n v="0"/>
    <n v="0"/>
    <n v="0"/>
    <n v="0"/>
    <n v="0"/>
    <n v="0"/>
    <n v="0"/>
  </r>
  <r>
    <n v="2202"/>
    <n v="126228"/>
    <n v="1"/>
    <n v="0"/>
    <x v="24"/>
    <s v="Married"/>
    <s v="Graduate"/>
    <s v="2/27/2020"/>
    <s v="Florida"/>
    <n v="50"/>
    <n v="10"/>
    <n v="29"/>
    <n v="19"/>
    <n v="14"/>
    <n v="5"/>
    <n v="43"/>
    <n v="34"/>
    <n v="1"/>
    <n v="1"/>
    <n v="0"/>
    <n v="2"/>
    <n v="8"/>
    <n v="0"/>
    <n v="0"/>
    <n v="0"/>
    <n v="0"/>
    <n v="0"/>
    <n v="0"/>
    <n v="0"/>
  </r>
  <r>
    <n v="2914"/>
    <n v="125410"/>
    <n v="1"/>
    <n v="0"/>
    <x v="24"/>
    <s v="Married"/>
    <s v="Graduate"/>
    <s v="2/5/2020"/>
    <s v="Other"/>
    <n v="48"/>
    <n v="10"/>
    <n v="10"/>
    <n v="20"/>
    <n v="64"/>
    <n v="64"/>
    <n v="20"/>
    <n v="148"/>
    <n v="1"/>
    <n v="1"/>
    <n v="0"/>
    <n v="4"/>
    <n v="4"/>
    <n v="0"/>
    <n v="0"/>
    <n v="0"/>
    <n v="0"/>
    <n v="0"/>
    <n v="0"/>
    <n v="0"/>
  </r>
  <r>
    <n v="2395"/>
    <n v="124639"/>
    <n v="1"/>
    <n v="1"/>
    <x v="24"/>
    <s v="Married"/>
    <s v="Graduate"/>
    <s v="7/4/2020"/>
    <s v="Illinois"/>
    <n v="3"/>
    <n v="101"/>
    <n v="15"/>
    <n v="81"/>
    <n v="0"/>
    <n v="20"/>
    <n v="5"/>
    <n v="212"/>
    <n v="3"/>
    <n v="2"/>
    <n v="0"/>
    <n v="4"/>
    <n v="6"/>
    <n v="0"/>
    <n v="0"/>
    <n v="0"/>
    <n v="0"/>
    <n v="0"/>
    <n v="0"/>
    <n v="0"/>
  </r>
  <r>
    <n v="1077"/>
    <n v="123559"/>
    <n v="1"/>
    <n v="0"/>
    <x v="24"/>
    <s v="Married"/>
    <s v="Graduate"/>
    <s v="12/8/2019"/>
    <s v="Texas"/>
    <n v="87"/>
    <n v="131"/>
    <n v="26"/>
    <n v="100"/>
    <n v="37"/>
    <n v="0"/>
    <n v="121"/>
    <n v="173"/>
    <n v="3"/>
    <n v="3"/>
    <n v="0"/>
    <n v="3"/>
    <n v="7"/>
    <n v="0"/>
    <n v="0"/>
    <n v="0"/>
    <n v="0"/>
    <n v="0"/>
    <n v="0"/>
    <n v="0"/>
  </r>
  <r>
    <n v="2367"/>
    <n v="122682"/>
    <n v="1"/>
    <n v="0"/>
    <x v="24"/>
    <s v="Together"/>
    <s v="Graduate"/>
    <s v="3/9/2020"/>
    <s v="Texas"/>
    <n v="51"/>
    <n v="54"/>
    <n v="76"/>
    <n v="157"/>
    <n v="22"/>
    <n v="11"/>
    <n v="195"/>
    <n v="124"/>
    <n v="3"/>
    <n v="2"/>
    <n v="1"/>
    <n v="4"/>
    <n v="4"/>
    <n v="0"/>
    <n v="0"/>
    <n v="0"/>
    <n v="0"/>
    <n v="0"/>
    <n v="0"/>
    <n v="0"/>
  </r>
  <r>
    <n v="2361"/>
    <n v="120895"/>
    <n v="1"/>
    <n v="0"/>
    <x v="24"/>
    <s v="Married"/>
    <s v="Graduate"/>
    <s v="3/13/2019"/>
    <s v="Texas"/>
    <n v="24"/>
    <n v="104"/>
    <n v="17"/>
    <n v="98"/>
    <n v="17"/>
    <n v="0"/>
    <n v="23"/>
    <n v="214"/>
    <n v="1"/>
    <n v="2"/>
    <n v="0"/>
    <n v="3"/>
    <n v="9"/>
    <n v="0"/>
    <n v="0"/>
    <n v="0"/>
    <n v="0"/>
    <n v="0"/>
    <n v="0"/>
    <n v="0"/>
  </r>
  <r>
    <n v="2229"/>
    <n v="120427"/>
    <n v="1"/>
    <n v="0"/>
    <x v="24"/>
    <s v="Together"/>
    <s v="PhD"/>
    <s v="8/28/2020"/>
    <s v="Texas"/>
    <n v="63"/>
    <n v="29"/>
    <n v="0"/>
    <n v="24"/>
    <n v="0"/>
    <n v="0"/>
    <n v="6"/>
    <n v="47"/>
    <n v="1"/>
    <n v="1"/>
    <n v="0"/>
    <n v="2"/>
    <n v="8"/>
    <n v="0"/>
    <n v="0"/>
    <n v="0"/>
    <n v="0"/>
    <n v="0"/>
    <n v="0"/>
    <n v="0"/>
  </r>
  <r>
    <n v="1596"/>
    <n v="118978"/>
    <n v="1"/>
    <n v="0"/>
    <x v="24"/>
    <s v="Married"/>
    <s v="Basic"/>
    <s v="5/18/2019"/>
    <s v="Florida"/>
    <n v="41"/>
    <n v="13"/>
    <n v="50"/>
    <n v="6"/>
    <n v="25"/>
    <n v="44"/>
    <n v="94"/>
    <n v="44"/>
    <n v="1"/>
    <n v="1"/>
    <n v="0"/>
    <n v="3"/>
    <n v="8"/>
    <n v="0"/>
    <n v="0"/>
    <n v="0"/>
    <n v="0"/>
    <n v="0"/>
    <n v="0"/>
    <n v="0"/>
  </r>
  <r>
    <n v="2679"/>
    <n v="109722"/>
    <n v="1"/>
    <n v="0"/>
    <x v="24"/>
    <s v="Together"/>
    <s v="Basic"/>
    <s v="3/9/2019"/>
    <s v="Texas"/>
    <n v="7"/>
    <n v="68"/>
    <n v="192"/>
    <n v="181"/>
    <n v="68"/>
    <n v="181"/>
    <n v="474"/>
    <n v="214"/>
    <n v="4"/>
    <n v="3"/>
    <n v="1"/>
    <n v="3"/>
    <n v="8"/>
    <n v="0"/>
    <n v="1"/>
    <n v="0"/>
    <n v="0"/>
    <n v="0"/>
    <n v="0"/>
    <n v="0"/>
  </r>
  <r>
    <n v="1226"/>
    <n v="107500"/>
    <n v="1"/>
    <n v="0"/>
    <x v="24"/>
    <s v="Single"/>
    <s v="Graduate"/>
    <s v="6/1/2020"/>
    <s v="New York"/>
    <n v="54"/>
    <n v="72"/>
    <n v="43"/>
    <n v="143"/>
    <n v="172"/>
    <n v="100"/>
    <n v="287"/>
    <n v="244"/>
    <n v="4"/>
    <n v="3"/>
    <n v="1"/>
    <n v="3"/>
    <n v="7"/>
    <n v="0"/>
    <n v="0"/>
    <n v="0"/>
    <n v="0"/>
    <n v="0"/>
    <n v="0"/>
    <n v="0"/>
  </r>
  <r>
    <n v="2500"/>
    <n v="103502"/>
    <n v="1"/>
    <n v="0"/>
    <x v="24"/>
    <s v="Single"/>
    <s v="Graduate"/>
    <s v="9/18/2019"/>
    <s v="Other"/>
    <n v="56"/>
    <n v="59"/>
    <n v="30"/>
    <n v="30"/>
    <n v="0"/>
    <n v="0"/>
    <n v="30"/>
    <n v="89"/>
    <n v="0"/>
    <n v="0"/>
    <n v="0"/>
    <n v="0"/>
    <n v="14"/>
    <n v="0"/>
    <n v="0"/>
    <n v="0"/>
    <n v="0"/>
    <n v="0"/>
    <n v="0"/>
    <n v="0"/>
  </r>
  <r>
    <n v="1668"/>
    <n v="186857"/>
    <n v="0"/>
    <n v="0"/>
    <x v="25"/>
    <s v="Single"/>
    <s v="PhD"/>
    <s v="2/17/2019"/>
    <s v="Florida"/>
    <n v="96"/>
    <n v="1934"/>
    <n v="219"/>
    <n v="1803"/>
    <n v="286"/>
    <n v="219"/>
    <n v="86"/>
    <n v="4376"/>
    <n v="1"/>
    <n v="5"/>
    <n v="6"/>
    <n v="10"/>
    <n v="2"/>
    <n v="0"/>
    <n v="1"/>
    <n v="0"/>
    <n v="0"/>
    <n v="0"/>
    <n v="0"/>
    <n v="0"/>
  </r>
  <r>
    <n v="1865"/>
    <n v="186857"/>
    <n v="0"/>
    <n v="0"/>
    <x v="25"/>
    <s v="Single"/>
    <s v="PhD"/>
    <s v="2/17/2019"/>
    <s v="California"/>
    <n v="96"/>
    <n v="1934"/>
    <n v="219"/>
    <n v="1803"/>
    <n v="286"/>
    <n v="219"/>
    <n v="86"/>
    <n v="4376"/>
    <n v="1"/>
    <n v="5"/>
    <n v="6"/>
    <n v="10"/>
    <n v="2"/>
    <n v="0"/>
    <n v="1"/>
    <n v="0"/>
    <n v="0"/>
    <n v="0"/>
    <n v="0"/>
    <n v="0"/>
  </r>
  <r>
    <n v="2218"/>
    <n v="184906"/>
    <n v="0"/>
    <n v="0"/>
    <x v="25"/>
    <s v="Together"/>
    <s v="Graduate"/>
    <s v="3/10/2020"/>
    <s v="Other"/>
    <n v="98"/>
    <n v="2171"/>
    <n v="33"/>
    <n v="902"/>
    <n v="216"/>
    <n v="65"/>
    <n v="166"/>
    <n v="3221"/>
    <n v="1"/>
    <n v="5"/>
    <n v="6"/>
    <n v="12"/>
    <n v="2"/>
    <n v="0"/>
    <n v="0"/>
    <n v="0"/>
    <n v="1"/>
    <n v="0"/>
    <n v="1"/>
    <n v="1"/>
  </r>
  <r>
    <n v="3094"/>
    <n v="184906"/>
    <n v="0"/>
    <n v="0"/>
    <x v="25"/>
    <s v="Together"/>
    <s v="Graduate"/>
    <s v="3/10/2020"/>
    <s v="Other"/>
    <n v="98"/>
    <n v="2171"/>
    <n v="33"/>
    <n v="902"/>
    <n v="216"/>
    <n v="65"/>
    <n v="166"/>
    <n v="3221"/>
    <n v="1"/>
    <n v="5"/>
    <n v="6"/>
    <n v="12"/>
    <n v="2"/>
    <n v="0"/>
    <n v="0"/>
    <n v="0"/>
    <n v="1"/>
    <n v="0"/>
    <n v="1"/>
    <n v="1"/>
  </r>
  <r>
    <n v="1731"/>
    <n v="183443"/>
    <n v="0"/>
    <n v="0"/>
    <x v="25"/>
    <s v="Together"/>
    <s v="PhD"/>
    <s v="6/6/2020"/>
    <s v="Texas"/>
    <n v="89"/>
    <n v="1139"/>
    <n v="92"/>
    <n v="1631"/>
    <n v="121"/>
    <n v="123"/>
    <n v="185"/>
    <n v="2922"/>
    <n v="1"/>
    <n v="6"/>
    <n v="10"/>
    <n v="5"/>
    <n v="2"/>
    <n v="0"/>
    <n v="0"/>
    <n v="0"/>
    <n v="0"/>
    <n v="0"/>
    <n v="0"/>
    <n v="0"/>
  </r>
  <r>
    <n v="2269"/>
    <n v="183151"/>
    <n v="0"/>
    <n v="0"/>
    <x v="25"/>
    <s v="Married"/>
    <s v="Master"/>
    <s v="7/18/2019"/>
    <s v="Illinois"/>
    <n v="80"/>
    <n v="2132"/>
    <n v="324"/>
    <n v="1855"/>
    <n v="302"/>
    <n v="93"/>
    <n v="463"/>
    <n v="4242"/>
    <n v="1"/>
    <n v="5"/>
    <n v="7"/>
    <n v="10"/>
    <n v="2"/>
    <n v="0"/>
    <n v="1"/>
    <n v="1"/>
    <n v="0"/>
    <n v="1"/>
    <n v="0"/>
    <n v="1"/>
  </r>
  <r>
    <n v="1233"/>
    <n v="180134"/>
    <n v="1"/>
    <n v="0"/>
    <x v="25"/>
    <s v="Married"/>
    <s v="Graduate"/>
    <s v="10/25/2019"/>
    <s v="Texas"/>
    <n v="40"/>
    <n v="2738"/>
    <n v="36"/>
    <n v="611"/>
    <n v="234"/>
    <n v="0"/>
    <n v="180"/>
    <n v="3439"/>
    <n v="2"/>
    <n v="5"/>
    <n v="3"/>
    <n v="6"/>
    <n v="6"/>
    <n v="0"/>
    <n v="1"/>
    <n v="1"/>
    <n v="0"/>
    <n v="0"/>
    <n v="1"/>
    <n v="1"/>
  </r>
  <r>
    <n v="2387"/>
    <n v="180134"/>
    <n v="1"/>
    <n v="0"/>
    <x v="25"/>
    <s v="Married"/>
    <s v="Graduate"/>
    <s v="10/25/2019"/>
    <s v="California"/>
    <n v="40"/>
    <n v="2738"/>
    <n v="36"/>
    <n v="611"/>
    <n v="234"/>
    <n v="0"/>
    <n v="180"/>
    <n v="3439"/>
    <n v="2"/>
    <n v="5"/>
    <n v="3"/>
    <n v="6"/>
    <n v="6"/>
    <n v="0"/>
    <n v="1"/>
    <n v="1"/>
    <n v="0"/>
    <n v="0"/>
    <n v="1"/>
    <n v="1"/>
  </r>
  <r>
    <n v="1216"/>
    <n v="179930"/>
    <n v="0"/>
    <n v="0"/>
    <x v="25"/>
    <s v="Married"/>
    <s v="PhD"/>
    <s v="1/13/2019"/>
    <s v="Other"/>
    <n v="72"/>
    <n v="1783"/>
    <n v="194"/>
    <n v="1666"/>
    <n v="151"/>
    <n v="115"/>
    <n v="38"/>
    <n v="3870"/>
    <n v="1"/>
    <n v="3"/>
    <n v="5"/>
    <n v="8"/>
    <n v="2"/>
    <n v="0"/>
    <n v="0"/>
    <n v="0"/>
    <n v="0"/>
    <n v="0"/>
    <n v="0"/>
    <n v="0"/>
  </r>
  <r>
    <n v="2179"/>
    <n v="178075"/>
    <n v="0"/>
    <n v="0"/>
    <x v="25"/>
    <s v="Married"/>
    <s v="PhD"/>
    <s v="9/9/2020"/>
    <s v="Illinois"/>
    <n v="72"/>
    <n v="1305"/>
    <n v="18"/>
    <n v="591"/>
    <n v="78"/>
    <n v="80"/>
    <n v="182"/>
    <n v="1889"/>
    <n v="1"/>
    <n v="3"/>
    <n v="5"/>
    <n v="5"/>
    <n v="1"/>
    <n v="0"/>
    <n v="0"/>
    <n v="0"/>
    <n v="0"/>
    <n v="0"/>
    <n v="0"/>
    <n v="0"/>
  </r>
  <r>
    <n v="2734"/>
    <n v="177981"/>
    <n v="1"/>
    <n v="0"/>
    <x v="25"/>
    <s v="Married"/>
    <s v="Graduate"/>
    <s v="10/31/2019"/>
    <s v="Other"/>
    <n v="78"/>
    <n v="315"/>
    <n v="274"/>
    <n v="466"/>
    <n v="37"/>
    <n v="288"/>
    <n v="137"/>
    <n v="1242"/>
    <n v="3"/>
    <n v="7"/>
    <n v="4"/>
    <n v="7"/>
    <n v="5"/>
    <n v="0"/>
    <n v="0"/>
    <n v="0"/>
    <n v="0"/>
    <n v="0"/>
    <n v="0"/>
    <n v="0"/>
  </r>
  <r>
    <n v="2193"/>
    <n v="177044"/>
    <n v="0"/>
    <n v="1"/>
    <x v="25"/>
    <s v="Together"/>
    <s v="Graduate"/>
    <s v="4/2/2020"/>
    <s v="Texas"/>
    <n v="12"/>
    <n v="1436"/>
    <n v="87"/>
    <n v="556"/>
    <n v="115"/>
    <n v="78"/>
    <n v="175"/>
    <n v="2098"/>
    <n v="2"/>
    <n v="7"/>
    <n v="11"/>
    <n v="11"/>
    <n v="4"/>
    <n v="0"/>
    <n v="0"/>
    <n v="0"/>
    <n v="0"/>
    <n v="1"/>
    <n v="0"/>
    <n v="0"/>
  </r>
  <r>
    <n v="3154"/>
    <n v="176234"/>
    <n v="0"/>
    <n v="1"/>
    <x v="25"/>
    <s v="Married"/>
    <s v="Master"/>
    <s v="7/13/2020"/>
    <s v="Other"/>
    <n v="21"/>
    <n v="1200"/>
    <n v="116"/>
    <n v="386"/>
    <n v="301"/>
    <n v="0"/>
    <n v="95"/>
    <n v="1907"/>
    <n v="1"/>
    <n v="8"/>
    <n v="3"/>
    <n v="11"/>
    <n v="3"/>
    <n v="0"/>
    <n v="0"/>
    <n v="0"/>
    <n v="0"/>
    <n v="0"/>
    <n v="1"/>
    <n v="0"/>
  </r>
  <r>
    <n v="1071"/>
    <n v="175251"/>
    <n v="0"/>
    <n v="0"/>
    <x v="25"/>
    <s v="Married"/>
    <s v="Master"/>
    <s v="2/1/2019"/>
    <s v="Texas"/>
    <n v="34"/>
    <n v="1679"/>
    <n v="259"/>
    <n v="2154"/>
    <n v="226"/>
    <n v="42"/>
    <n v="42"/>
    <n v="4318"/>
    <n v="1"/>
    <n v="7"/>
    <n v="6"/>
    <n v="5"/>
    <n v="5"/>
    <n v="0"/>
    <n v="1"/>
    <n v="0"/>
    <n v="0"/>
    <n v="0"/>
    <n v="0"/>
    <n v="0"/>
  </r>
  <r>
    <n v="2234"/>
    <n v="174716"/>
    <n v="0"/>
    <n v="1"/>
    <x v="25"/>
    <s v="Married"/>
    <s v="Graduate"/>
    <s v="2/17/2020"/>
    <s v="New York"/>
    <n v="92"/>
    <n v="311"/>
    <n v="63"/>
    <n v="984"/>
    <n v="30"/>
    <n v="456"/>
    <n v="166"/>
    <n v="1679"/>
    <n v="2"/>
    <n v="7"/>
    <n v="3"/>
    <n v="5"/>
    <n v="4"/>
    <n v="0"/>
    <n v="0"/>
    <n v="0"/>
    <n v="0"/>
    <n v="0"/>
    <n v="0"/>
    <n v="0"/>
  </r>
  <r>
    <n v="1790"/>
    <n v="172504"/>
    <n v="0"/>
    <n v="1"/>
    <x v="25"/>
    <s v="Single"/>
    <s v="Graduate"/>
    <s v="9/11/2019"/>
    <s v="New York"/>
    <n v="43"/>
    <n v="1437"/>
    <n v="62"/>
    <n v="1118"/>
    <n v="293"/>
    <n v="383"/>
    <n v="224"/>
    <n v="3069"/>
    <n v="2"/>
    <n v="5"/>
    <n v="9"/>
    <n v="6"/>
    <n v="2"/>
    <n v="0"/>
    <n v="0"/>
    <n v="0"/>
    <n v="0"/>
    <n v="0"/>
    <n v="0"/>
    <n v="0"/>
  </r>
  <r>
    <n v="2896"/>
    <n v="170932"/>
    <n v="0"/>
    <n v="1"/>
    <x v="25"/>
    <s v="Married"/>
    <s v="Graduate"/>
    <s v="6/25/2020"/>
    <s v="Other"/>
    <n v="57"/>
    <n v="482"/>
    <n v="465"/>
    <n v="241"/>
    <n v="111"/>
    <n v="446"/>
    <n v="446"/>
    <n v="1299"/>
    <n v="2"/>
    <n v="6"/>
    <n v="2"/>
    <n v="12"/>
    <n v="3"/>
    <n v="0"/>
    <n v="0"/>
    <n v="0"/>
    <n v="0"/>
    <n v="0"/>
    <n v="0"/>
    <n v="0"/>
  </r>
  <r>
    <n v="2833"/>
    <n v="170116"/>
    <n v="0"/>
    <n v="0"/>
    <x v="25"/>
    <s v="Married"/>
    <s v="PhD"/>
    <s v="7/3/2019"/>
    <s v="Illinois"/>
    <n v="73"/>
    <n v="1715"/>
    <n v="107"/>
    <n v="1463"/>
    <n v="230"/>
    <n v="141"/>
    <n v="70"/>
    <n v="3586"/>
    <n v="1"/>
    <n v="2"/>
    <n v="8"/>
    <n v="12"/>
    <n v="1"/>
    <n v="0"/>
    <n v="0"/>
    <n v="0"/>
    <n v="0"/>
    <n v="0"/>
    <n v="0"/>
    <n v="0"/>
  </r>
  <r>
    <n v="3119"/>
    <n v="169209"/>
    <n v="0"/>
    <n v="0"/>
    <x v="25"/>
    <s v="Married"/>
    <s v="Graduate"/>
    <s v="2/22/2019"/>
    <s v="California"/>
    <n v="4"/>
    <n v="1213"/>
    <n v="78"/>
    <n v="2076"/>
    <n v="560"/>
    <n v="117"/>
    <n v="313"/>
    <n v="3731"/>
    <n v="2"/>
    <n v="5"/>
    <n v="3"/>
    <n v="6"/>
    <n v="4"/>
    <n v="0"/>
    <n v="0"/>
    <n v="1"/>
    <n v="0"/>
    <n v="0"/>
    <n v="0"/>
    <n v="0"/>
  </r>
  <r>
    <n v="2397"/>
    <n v="165704"/>
    <n v="0"/>
    <n v="0"/>
    <x v="25"/>
    <s v="Single"/>
    <s v="Graduate"/>
    <s v="3/19/2020"/>
    <s v="Texas"/>
    <n v="18"/>
    <n v="704"/>
    <n v="434"/>
    <n v="187"/>
    <n v="96"/>
    <n v="20"/>
    <n v="620"/>
    <n v="820"/>
    <n v="1"/>
    <n v="2"/>
    <n v="10"/>
    <n v="10"/>
    <n v="1"/>
    <n v="0"/>
    <n v="0"/>
    <n v="0"/>
    <n v="0"/>
    <n v="0"/>
    <n v="0"/>
    <n v="0"/>
  </r>
  <r>
    <n v="1799"/>
    <n v="165685"/>
    <n v="0"/>
    <n v="1"/>
    <x v="25"/>
    <s v="Married"/>
    <s v="Graduate"/>
    <s v="9/2/2020"/>
    <s v="California"/>
    <n v="54"/>
    <n v="1619"/>
    <n v="35"/>
    <n v="124"/>
    <n v="0"/>
    <n v="18"/>
    <n v="144"/>
    <n v="1652"/>
    <n v="1"/>
    <n v="9"/>
    <n v="2"/>
    <n v="9"/>
    <n v="5"/>
    <n v="0"/>
    <n v="0"/>
    <n v="0"/>
    <n v="0"/>
    <n v="0"/>
    <n v="0"/>
    <n v="0"/>
  </r>
  <r>
    <n v="2377"/>
    <n v="165685"/>
    <n v="0"/>
    <n v="1"/>
    <x v="25"/>
    <s v="Married"/>
    <s v="Graduate"/>
    <s v="9/2/2020"/>
    <s v="Illinois"/>
    <n v="54"/>
    <n v="1619"/>
    <n v="35"/>
    <n v="124"/>
    <n v="0"/>
    <n v="18"/>
    <n v="144"/>
    <n v="1652"/>
    <n v="1"/>
    <n v="9"/>
    <n v="2"/>
    <n v="9"/>
    <n v="5"/>
    <n v="0"/>
    <n v="0"/>
    <n v="0"/>
    <n v="0"/>
    <n v="0"/>
    <n v="0"/>
    <n v="0"/>
  </r>
  <r>
    <n v="2941"/>
    <n v="164474"/>
    <n v="0"/>
    <n v="1"/>
    <x v="25"/>
    <s v="Together"/>
    <s v="Graduate"/>
    <s v="3/28/2020"/>
    <s v="Illinois"/>
    <n v="59"/>
    <n v="972"/>
    <n v="89"/>
    <n v="439"/>
    <n v="143"/>
    <n v="219"/>
    <n v="237"/>
    <n v="1625"/>
    <n v="2"/>
    <n v="8"/>
    <n v="2"/>
    <n v="10"/>
    <n v="5"/>
    <n v="0"/>
    <n v="0"/>
    <n v="0"/>
    <n v="0"/>
    <n v="0"/>
    <n v="0"/>
    <n v="0"/>
  </r>
  <r>
    <n v="2146"/>
    <n v="162710"/>
    <n v="0"/>
    <n v="1"/>
    <x v="25"/>
    <s v="Married"/>
    <s v="Graduate"/>
    <s v="10/28/2019"/>
    <s v="Other"/>
    <n v="53"/>
    <n v="1144"/>
    <n v="91"/>
    <n v="215"/>
    <n v="18"/>
    <n v="75"/>
    <n v="29"/>
    <n v="1515"/>
    <n v="4"/>
    <n v="4"/>
    <n v="2"/>
    <n v="12"/>
    <n v="4"/>
    <n v="0"/>
    <n v="0"/>
    <n v="0"/>
    <n v="0"/>
    <n v="0"/>
    <n v="0"/>
    <n v="0"/>
  </r>
  <r>
    <n v="1737"/>
    <n v="162220"/>
    <n v="0"/>
    <n v="1"/>
    <x v="25"/>
    <s v="Together"/>
    <s v="PhD"/>
    <s v="1/16/2019"/>
    <s v="Texas"/>
    <n v="55"/>
    <n v="2083"/>
    <n v="31"/>
    <n v="978"/>
    <n v="42"/>
    <n v="31"/>
    <n v="31"/>
    <n v="3134"/>
    <n v="5"/>
    <n v="7"/>
    <n v="6"/>
    <n v="5"/>
    <n v="6"/>
    <n v="0"/>
    <n v="1"/>
    <n v="0"/>
    <n v="0"/>
    <n v="0"/>
    <n v="0"/>
    <n v="0"/>
  </r>
  <r>
    <n v="1462"/>
    <n v="162010"/>
    <n v="0"/>
    <n v="1"/>
    <x v="25"/>
    <s v="Married"/>
    <s v="PhD"/>
    <s v="3/30/2019"/>
    <s v="Other"/>
    <n v="93"/>
    <n v="969"/>
    <n v="57"/>
    <n v="102"/>
    <n v="16"/>
    <n v="0"/>
    <n v="240"/>
    <n v="904"/>
    <n v="4"/>
    <n v="6"/>
    <n v="2"/>
    <n v="7"/>
    <n v="5"/>
    <n v="0"/>
    <n v="0"/>
    <n v="0"/>
    <n v="0"/>
    <n v="0"/>
    <n v="0"/>
    <n v="0"/>
  </r>
  <r>
    <n v="1578"/>
    <n v="159973"/>
    <n v="0"/>
    <n v="0"/>
    <x v="25"/>
    <s v="Married"/>
    <s v="PhD"/>
    <s v="2/16/2020"/>
    <s v="Florida"/>
    <n v="47"/>
    <n v="347"/>
    <n v="80"/>
    <n v="448"/>
    <n v="53"/>
    <n v="91"/>
    <n v="0"/>
    <n v="1019"/>
    <n v="1"/>
    <n v="3"/>
    <n v="4"/>
    <n v="7"/>
    <n v="1"/>
    <n v="0"/>
    <n v="0"/>
    <n v="0"/>
    <n v="0"/>
    <n v="0"/>
    <n v="0"/>
    <n v="0"/>
  </r>
  <r>
    <n v="2289"/>
    <n v="159868"/>
    <n v="0"/>
    <n v="1"/>
    <x v="25"/>
    <s v="Together"/>
    <s v="Graduate"/>
    <s v="12/27/2019"/>
    <s v="Texas"/>
    <n v="37"/>
    <n v="2059"/>
    <n v="136"/>
    <n v="411"/>
    <n v="144"/>
    <n v="27"/>
    <n v="411"/>
    <n v="2366"/>
    <n v="7"/>
    <n v="11"/>
    <n v="2"/>
    <n v="12"/>
    <n v="6"/>
    <n v="0"/>
    <n v="0"/>
    <n v="0"/>
    <n v="0"/>
    <n v="0"/>
    <n v="0"/>
    <n v="0"/>
  </r>
  <r>
    <n v="1789"/>
    <n v="159666"/>
    <n v="1"/>
    <n v="1"/>
    <x v="25"/>
    <s v="Married"/>
    <s v="Graduate"/>
    <s v="8/27/2019"/>
    <s v="Illinois"/>
    <n v="87"/>
    <n v="1667"/>
    <n v="142"/>
    <n v="476"/>
    <n v="62"/>
    <n v="45"/>
    <n v="356"/>
    <n v="2036"/>
    <n v="7"/>
    <n v="3"/>
    <n v="2"/>
    <n v="8"/>
    <n v="8"/>
    <n v="0"/>
    <n v="0"/>
    <n v="0"/>
    <n v="0"/>
    <n v="0"/>
    <n v="1"/>
    <n v="0"/>
  </r>
  <r>
    <n v="3211"/>
    <n v="159535"/>
    <n v="2"/>
    <n v="0"/>
    <x v="25"/>
    <s v="Married"/>
    <s v="Graduate"/>
    <s v="10/22/2020"/>
    <s v="Illinois"/>
    <n v="9"/>
    <n v="8"/>
    <n v="6"/>
    <n v="21"/>
    <n v="54"/>
    <n v="0"/>
    <n v="46"/>
    <n v="43"/>
    <n v="2"/>
    <n v="2"/>
    <n v="1"/>
    <n v="2"/>
    <n v="7"/>
    <n v="0"/>
    <n v="0"/>
    <n v="0"/>
    <n v="0"/>
    <n v="0"/>
    <n v="0"/>
    <n v="0"/>
  </r>
  <r>
    <n v="2482"/>
    <n v="157136"/>
    <n v="1"/>
    <n v="1"/>
    <x v="25"/>
    <s v="Married"/>
    <s v="Master"/>
    <s v="12/14/2019"/>
    <s v="Other"/>
    <n v="48"/>
    <n v="842"/>
    <n v="14"/>
    <n v="300"/>
    <n v="58"/>
    <n v="300"/>
    <n v="253"/>
    <n v="1260"/>
    <n v="9"/>
    <n v="5"/>
    <n v="2"/>
    <n v="10"/>
    <n v="6"/>
    <n v="0"/>
    <n v="0"/>
    <n v="0"/>
    <n v="0"/>
    <n v="0"/>
    <n v="0"/>
    <n v="0"/>
  </r>
  <r>
    <n v="2267"/>
    <n v="157091"/>
    <n v="0"/>
    <n v="1"/>
    <x v="25"/>
    <s v="Married"/>
    <s v="PhD"/>
    <s v="4/30/2019"/>
    <s v="California"/>
    <n v="82"/>
    <n v="1271"/>
    <n v="0"/>
    <n v="66"/>
    <n v="17"/>
    <n v="0"/>
    <n v="11"/>
    <n v="1343"/>
    <n v="2"/>
    <n v="9"/>
    <n v="2"/>
    <n v="5"/>
    <n v="7"/>
    <n v="0"/>
    <n v="1"/>
    <n v="0"/>
    <n v="0"/>
    <n v="0"/>
    <n v="1"/>
    <n v="0"/>
  </r>
  <r>
    <n v="2195"/>
    <n v="156721"/>
    <n v="1"/>
    <n v="1"/>
    <x v="25"/>
    <s v="Married"/>
    <s v="Graduate"/>
    <s v="4/7/2019"/>
    <s v="California"/>
    <n v="64"/>
    <n v="434"/>
    <n v="17"/>
    <n v="108"/>
    <n v="17"/>
    <n v="36"/>
    <n v="207"/>
    <n v="403"/>
    <n v="5"/>
    <n v="4"/>
    <n v="1"/>
    <n v="5"/>
    <n v="6"/>
    <n v="0"/>
    <n v="0"/>
    <n v="0"/>
    <n v="0"/>
    <n v="0"/>
    <n v="0"/>
    <n v="0"/>
  </r>
  <r>
    <n v="1876"/>
    <n v="155260"/>
    <n v="0"/>
    <n v="1"/>
    <x v="25"/>
    <s v="Single"/>
    <s v="PhD"/>
    <s v="5/19/2019"/>
    <s v="Other"/>
    <n v="81"/>
    <n v="2318"/>
    <n v="22"/>
    <n v="149"/>
    <n v="31"/>
    <n v="0"/>
    <n v="680"/>
    <n v="1840"/>
    <n v="2"/>
    <n v="8"/>
    <n v="10"/>
    <n v="5"/>
    <n v="6"/>
    <n v="0"/>
    <n v="0"/>
    <n v="0"/>
    <n v="0"/>
    <n v="0"/>
    <n v="0"/>
    <n v="0"/>
  </r>
  <r>
    <n v="2366"/>
    <n v="153761"/>
    <n v="1"/>
    <n v="1"/>
    <x v="25"/>
    <s v="Married"/>
    <s v="Master"/>
    <s v="3/17/2020"/>
    <s v="New York"/>
    <n v="7"/>
    <n v="452"/>
    <n v="0"/>
    <n v="217"/>
    <n v="37"/>
    <n v="20"/>
    <n v="203"/>
    <n v="523"/>
    <n v="6"/>
    <n v="4"/>
    <n v="4"/>
    <n v="3"/>
    <n v="5"/>
    <n v="0"/>
    <n v="0"/>
    <n v="0"/>
    <n v="0"/>
    <n v="0"/>
    <n v="0"/>
    <n v="0"/>
  </r>
  <r>
    <n v="1089"/>
    <n v="151813"/>
    <n v="1"/>
    <n v="1"/>
    <x v="25"/>
    <s v="Divorced"/>
    <s v="Graduate"/>
    <s v="9/16/2019"/>
    <s v="Texas"/>
    <n v="37"/>
    <n v="149"/>
    <n v="6"/>
    <n v="21"/>
    <n v="0"/>
    <n v="3"/>
    <n v="6"/>
    <n v="173"/>
    <n v="2"/>
    <n v="2"/>
    <n v="0"/>
    <n v="3"/>
    <n v="7"/>
    <n v="0"/>
    <n v="0"/>
    <n v="0"/>
    <n v="0"/>
    <n v="0"/>
    <n v="0"/>
    <n v="0"/>
  </r>
  <r>
    <n v="2633"/>
    <n v="150334"/>
    <n v="0"/>
    <n v="1"/>
    <x v="25"/>
    <s v="Together"/>
    <s v="Graduate"/>
    <s v="12/29/2019"/>
    <s v="California"/>
    <n v="24"/>
    <n v="848"/>
    <n v="48"/>
    <n v="478"/>
    <n v="251"/>
    <n v="48"/>
    <n v="400"/>
    <n v="1272"/>
    <n v="6"/>
    <n v="7"/>
    <n v="4"/>
    <n v="6"/>
    <n v="6"/>
    <n v="0"/>
    <n v="0"/>
    <n v="0"/>
    <n v="0"/>
    <n v="0"/>
    <n v="0"/>
    <n v="0"/>
  </r>
  <r>
    <n v="2465"/>
    <n v="149854"/>
    <n v="1"/>
    <n v="0"/>
    <x v="25"/>
    <s v="Together"/>
    <s v="Master"/>
    <s v="4/16/2020"/>
    <s v="California"/>
    <n v="63"/>
    <n v="370"/>
    <n v="51"/>
    <n v="514"/>
    <n v="117"/>
    <n v="0"/>
    <n v="90"/>
    <n v="962"/>
    <n v="5"/>
    <n v="6"/>
    <n v="2"/>
    <n v="5"/>
    <n v="6"/>
    <n v="0"/>
    <n v="0"/>
    <n v="0"/>
    <n v="0"/>
    <n v="0"/>
    <n v="0"/>
    <n v="0"/>
  </r>
  <r>
    <n v="1817"/>
    <n v="149494"/>
    <n v="1"/>
    <n v="0"/>
    <x v="25"/>
    <s v="Single"/>
    <s v="Master"/>
    <s v="9/30/2019"/>
    <s v="California"/>
    <n v="46"/>
    <n v="577"/>
    <n v="27"/>
    <n v="293"/>
    <n v="0"/>
    <n v="18"/>
    <n v="248"/>
    <n v="668"/>
    <n v="2"/>
    <n v="6"/>
    <n v="1"/>
    <n v="5"/>
    <n v="7"/>
    <n v="0"/>
    <n v="0"/>
    <n v="0"/>
    <n v="0"/>
    <n v="0"/>
    <n v="0"/>
    <n v="0"/>
  </r>
  <r>
    <n v="2018"/>
    <n v="146423"/>
    <n v="1"/>
    <n v="1"/>
    <x v="25"/>
    <s v="Single"/>
    <s v="Master"/>
    <s v="2/23/2020"/>
    <s v="New York"/>
    <n v="6"/>
    <n v="214"/>
    <n v="0"/>
    <n v="50"/>
    <n v="0"/>
    <n v="0"/>
    <n v="25"/>
    <n v="240"/>
    <n v="3"/>
    <n v="2"/>
    <n v="0"/>
    <n v="4"/>
    <n v="7"/>
    <n v="0"/>
    <n v="0"/>
    <n v="0"/>
    <n v="0"/>
    <n v="0"/>
    <n v="0"/>
    <n v="0"/>
  </r>
  <r>
    <n v="2979"/>
    <n v="146423"/>
    <n v="1"/>
    <n v="1"/>
    <x v="25"/>
    <s v="Single"/>
    <s v="Master"/>
    <s v="2/23/2020"/>
    <s v="Texas"/>
    <n v="6"/>
    <n v="214"/>
    <n v="0"/>
    <n v="50"/>
    <n v="0"/>
    <n v="0"/>
    <n v="25"/>
    <n v="240"/>
    <n v="3"/>
    <n v="2"/>
    <n v="0"/>
    <n v="4"/>
    <n v="7"/>
    <n v="0"/>
    <n v="0"/>
    <n v="0"/>
    <n v="0"/>
    <n v="0"/>
    <n v="0"/>
    <n v="0"/>
  </r>
  <r>
    <n v="1142"/>
    <n v="146344"/>
    <n v="0"/>
    <n v="1"/>
    <x v="25"/>
    <s v="Together"/>
    <s v="Graduate"/>
    <s v="5/21/2019"/>
    <s v="New York"/>
    <n v="28"/>
    <n v="736"/>
    <n v="63"/>
    <n v="180"/>
    <n v="25"/>
    <n v="63"/>
    <n v="287"/>
    <n v="780"/>
    <n v="4"/>
    <n v="7"/>
    <n v="1"/>
    <n v="5"/>
    <n v="7"/>
    <n v="0"/>
    <n v="0"/>
    <n v="0"/>
    <n v="0"/>
    <n v="0"/>
    <n v="0"/>
    <n v="0"/>
  </r>
  <r>
    <n v="2426"/>
    <n v="146053"/>
    <n v="1"/>
    <n v="0"/>
    <x v="25"/>
    <s v="Together"/>
    <s v="Graduate"/>
    <s v="7/25/2019"/>
    <s v="New York"/>
    <n v="46"/>
    <n v="178"/>
    <n v="32"/>
    <n v="292"/>
    <n v="60"/>
    <n v="22"/>
    <n v="79"/>
    <n v="504"/>
    <n v="3"/>
    <n v="3"/>
    <n v="2"/>
    <n v="4"/>
    <n v="5"/>
    <n v="0"/>
    <n v="0"/>
    <n v="0"/>
    <n v="0"/>
    <n v="0"/>
    <n v="0"/>
    <n v="0"/>
  </r>
  <r>
    <n v="2847"/>
    <n v="144503"/>
    <n v="1"/>
    <n v="1"/>
    <x v="25"/>
    <s v="Single"/>
    <s v="Graduate"/>
    <s v="9/20/2020"/>
    <s v="Texas"/>
    <n v="83"/>
    <n v="101"/>
    <n v="3"/>
    <n v="26"/>
    <n v="0"/>
    <n v="0"/>
    <n v="26"/>
    <n v="104"/>
    <n v="2"/>
    <n v="2"/>
    <n v="0"/>
    <n v="3"/>
    <n v="6"/>
    <n v="0"/>
    <n v="0"/>
    <n v="0"/>
    <n v="0"/>
    <n v="0"/>
    <n v="0"/>
    <n v="0"/>
  </r>
  <r>
    <n v="3149"/>
    <n v="144325"/>
    <n v="0"/>
    <n v="1"/>
    <x v="25"/>
    <s v="Married"/>
    <s v="PhD"/>
    <s v="8/12/2019"/>
    <s v="California"/>
    <n v="69"/>
    <n v="1680"/>
    <n v="0"/>
    <n v="68"/>
    <n v="0"/>
    <n v="0"/>
    <n v="16"/>
    <n v="1732"/>
    <n v="4"/>
    <n v="8"/>
    <n v="2"/>
    <n v="7"/>
    <n v="8"/>
    <n v="0"/>
    <n v="0"/>
    <n v="0"/>
    <n v="0"/>
    <n v="0"/>
    <n v="1"/>
    <n v="0"/>
  </r>
  <r>
    <n v="2403"/>
    <n v="143269"/>
    <n v="1"/>
    <n v="0"/>
    <x v="25"/>
    <s v="Married"/>
    <s v="PhD"/>
    <s v="2/21/2020"/>
    <s v="Texas"/>
    <n v="61"/>
    <n v="33"/>
    <n v="3"/>
    <n v="23"/>
    <n v="0"/>
    <n v="0"/>
    <n v="3"/>
    <n v="56"/>
    <n v="1"/>
    <n v="1"/>
    <n v="0"/>
    <n v="2"/>
    <n v="8"/>
    <n v="0"/>
    <n v="0"/>
    <n v="0"/>
    <n v="0"/>
    <n v="0"/>
    <n v="0"/>
    <n v="0"/>
  </r>
  <r>
    <n v="1430"/>
    <n v="142618"/>
    <n v="1"/>
    <n v="0"/>
    <x v="25"/>
    <s v="Divorced"/>
    <s v="Master"/>
    <s v="3/15/2020"/>
    <s v="New York"/>
    <n v="92"/>
    <n v="254"/>
    <n v="47"/>
    <n v="248"/>
    <n v="44"/>
    <n v="17"/>
    <n v="33"/>
    <n v="576"/>
    <n v="2"/>
    <n v="5"/>
    <n v="0"/>
    <n v="4"/>
    <n v="8"/>
    <n v="0"/>
    <n v="0"/>
    <n v="0"/>
    <n v="0"/>
    <n v="0"/>
    <n v="0"/>
    <n v="0"/>
  </r>
  <r>
    <n v="1085"/>
    <n v="142394"/>
    <n v="1"/>
    <n v="0"/>
    <x v="25"/>
    <s v="Single"/>
    <s v="Master"/>
    <s v="8/27/2020"/>
    <s v="California"/>
    <n v="69"/>
    <n v="50"/>
    <n v="7"/>
    <n v="34"/>
    <n v="0"/>
    <n v="3"/>
    <n v="13"/>
    <n v="81"/>
    <n v="1"/>
    <n v="1"/>
    <n v="0"/>
    <n v="3"/>
    <n v="7"/>
    <n v="0"/>
    <n v="0"/>
    <n v="0"/>
    <n v="0"/>
    <n v="0"/>
    <n v="0"/>
    <n v="0"/>
  </r>
  <r>
    <n v="1460"/>
    <n v="141644"/>
    <n v="1"/>
    <n v="1"/>
    <x v="25"/>
    <s v="Single"/>
    <s v="PhD"/>
    <s v="10/13/2020"/>
    <s v="New York"/>
    <n v="67"/>
    <n v="68"/>
    <n v="10"/>
    <n v="14"/>
    <n v="7"/>
    <n v="0"/>
    <n v="7"/>
    <n v="92"/>
    <n v="2"/>
    <n v="1"/>
    <n v="0"/>
    <n v="3"/>
    <n v="3"/>
    <n v="0"/>
    <n v="0"/>
    <n v="0"/>
    <n v="0"/>
    <n v="0"/>
    <n v="0"/>
    <n v="0"/>
  </r>
  <r>
    <n v="1302"/>
    <n v="140321"/>
    <n v="1"/>
    <n v="1"/>
    <x v="25"/>
    <s v="Married"/>
    <s v="Graduate"/>
    <s v="1/3/2020"/>
    <s v="Florida"/>
    <n v="59"/>
    <n v="153"/>
    <n v="14"/>
    <n v="73"/>
    <n v="21"/>
    <n v="0"/>
    <n v="94"/>
    <n v="167"/>
    <n v="2"/>
    <n v="3"/>
    <n v="0"/>
    <n v="3"/>
    <n v="7"/>
    <n v="0"/>
    <n v="0"/>
    <n v="0"/>
    <n v="0"/>
    <n v="0"/>
    <n v="0"/>
    <n v="0"/>
  </r>
  <r>
    <n v="2298"/>
    <n v="140321"/>
    <n v="1"/>
    <n v="1"/>
    <x v="25"/>
    <s v="Married"/>
    <s v="Graduate"/>
    <s v="1/3/2020"/>
    <s v="Florida"/>
    <n v="59"/>
    <n v="153"/>
    <n v="14"/>
    <n v="73"/>
    <n v="21"/>
    <n v="0"/>
    <n v="94"/>
    <n v="167"/>
    <n v="2"/>
    <n v="3"/>
    <n v="0"/>
    <n v="3"/>
    <n v="7"/>
    <n v="0"/>
    <n v="0"/>
    <n v="0"/>
    <n v="0"/>
    <n v="0"/>
    <n v="0"/>
    <n v="0"/>
  </r>
  <r>
    <n v="1439"/>
    <n v="138988"/>
    <n v="1"/>
    <n v="2"/>
    <x v="25"/>
    <s v="Married"/>
    <s v="Graduate"/>
    <s v="1/25/2019"/>
    <s v="California"/>
    <n v="90"/>
    <n v="585"/>
    <n v="86"/>
    <n v="367"/>
    <n v="43"/>
    <n v="11"/>
    <n v="150"/>
    <n v="941"/>
    <n v="7"/>
    <n v="5"/>
    <n v="1"/>
    <n v="6"/>
    <n v="8"/>
    <n v="0"/>
    <n v="0"/>
    <n v="0"/>
    <n v="0"/>
    <n v="0"/>
    <n v="0"/>
    <n v="0"/>
  </r>
  <r>
    <n v="2368"/>
    <n v="138887"/>
    <n v="1"/>
    <n v="0"/>
    <x v="25"/>
    <s v="Together"/>
    <s v="PhD"/>
    <s v="8/6/2020"/>
    <s v="Other"/>
    <n v="17"/>
    <n v="89"/>
    <n v="4"/>
    <n v="46"/>
    <n v="0"/>
    <n v="0"/>
    <n v="11"/>
    <n v="129"/>
    <n v="1"/>
    <n v="1"/>
    <n v="0"/>
    <n v="3"/>
    <n v="7"/>
    <n v="0"/>
    <n v="0"/>
    <n v="0"/>
    <n v="0"/>
    <n v="0"/>
    <n v="0"/>
    <n v="0"/>
  </r>
  <r>
    <n v="2253"/>
    <n v="138808"/>
    <n v="1"/>
    <n v="0"/>
    <x v="25"/>
    <s v="Single"/>
    <s v="Graduate"/>
    <s v="1/31/2019"/>
    <s v="Texas"/>
    <n v="21"/>
    <n v="447"/>
    <n v="61"/>
    <n v="186"/>
    <n v="11"/>
    <n v="68"/>
    <n v="107"/>
    <n v="665"/>
    <n v="4"/>
    <n v="5"/>
    <n v="1"/>
    <n v="4"/>
    <n v="8"/>
    <n v="0"/>
    <n v="1"/>
    <n v="0"/>
    <n v="0"/>
    <n v="1"/>
    <n v="0"/>
    <n v="0"/>
  </r>
  <r>
    <n v="1358"/>
    <n v="138578"/>
    <n v="1"/>
    <n v="1"/>
    <x v="25"/>
    <s v="Single"/>
    <s v="PhD"/>
    <s v="11/27/2019"/>
    <s v="New York"/>
    <n v="2"/>
    <n v="137"/>
    <n v="14"/>
    <n v="79"/>
    <n v="11"/>
    <n v="11"/>
    <n v="11"/>
    <n v="241"/>
    <n v="3"/>
    <n v="3"/>
    <n v="0"/>
    <n v="3"/>
    <n v="8"/>
    <n v="0"/>
    <n v="1"/>
    <n v="0"/>
    <n v="0"/>
    <n v="0"/>
    <n v="0"/>
    <n v="0"/>
  </r>
  <r>
    <n v="2074"/>
    <n v="138578"/>
    <n v="1"/>
    <n v="1"/>
    <x v="25"/>
    <s v="Single"/>
    <s v="PhD"/>
    <s v="11/27/2019"/>
    <s v="Other"/>
    <n v="2"/>
    <n v="137"/>
    <n v="14"/>
    <n v="79"/>
    <n v="11"/>
    <n v="11"/>
    <n v="11"/>
    <n v="241"/>
    <n v="3"/>
    <n v="3"/>
    <n v="0"/>
    <n v="3"/>
    <n v="8"/>
    <n v="0"/>
    <n v="0"/>
    <n v="0"/>
    <n v="0"/>
    <n v="0"/>
    <n v="0"/>
    <n v="0"/>
  </r>
  <r>
    <n v="2494"/>
    <n v="137787"/>
    <n v="1"/>
    <n v="0"/>
    <x v="25"/>
    <s v="Married"/>
    <s v="Master"/>
    <s v="2/25/2020"/>
    <s v="Other"/>
    <n v="50"/>
    <n v="146"/>
    <n v="4"/>
    <n v="146"/>
    <n v="15"/>
    <n v="11"/>
    <n v="66"/>
    <n v="255"/>
    <n v="1"/>
    <n v="3"/>
    <n v="0"/>
    <n v="3"/>
    <n v="8"/>
    <n v="0"/>
    <n v="0"/>
    <n v="0"/>
    <n v="0"/>
    <n v="0"/>
    <n v="0"/>
    <n v="0"/>
  </r>
  <r>
    <n v="1465"/>
    <n v="137760"/>
    <n v="1"/>
    <n v="0"/>
    <x v="25"/>
    <s v="Divorced"/>
    <s v="Master"/>
    <s v="1/16/2020"/>
    <s v="Illinois"/>
    <n v="54"/>
    <n v="95"/>
    <n v="11"/>
    <n v="47"/>
    <n v="7"/>
    <n v="36"/>
    <n v="0"/>
    <n v="197"/>
    <n v="1"/>
    <n v="2"/>
    <n v="0"/>
    <n v="3"/>
    <n v="6"/>
    <n v="0"/>
    <n v="0"/>
    <n v="0"/>
    <n v="0"/>
    <n v="0"/>
    <n v="0"/>
    <n v="0"/>
  </r>
  <r>
    <n v="2394"/>
    <n v="136026"/>
    <n v="2"/>
    <n v="1"/>
    <x v="25"/>
    <s v="Married"/>
    <s v="Graduate"/>
    <s v="8/20/2020"/>
    <s v="Florida"/>
    <n v="34"/>
    <n v="76"/>
    <n v="15"/>
    <n v="38"/>
    <n v="23"/>
    <n v="15"/>
    <n v="64"/>
    <n v="102"/>
    <n v="2"/>
    <n v="2"/>
    <n v="0"/>
    <n v="3"/>
    <n v="6"/>
    <n v="0"/>
    <n v="0"/>
    <n v="0"/>
    <n v="0"/>
    <n v="0"/>
    <n v="0"/>
    <n v="0"/>
  </r>
  <r>
    <n v="1894"/>
    <n v="135641"/>
    <n v="1"/>
    <n v="0"/>
    <x v="25"/>
    <s v="Married"/>
    <s v="Master"/>
    <s v="12/19/2019"/>
    <s v="Other"/>
    <n v="11"/>
    <n v="240"/>
    <n v="11"/>
    <n v="255"/>
    <n v="30"/>
    <n v="34"/>
    <n v="107"/>
    <n v="464"/>
    <n v="2"/>
    <n v="3"/>
    <n v="1"/>
    <n v="4"/>
    <n v="7"/>
    <n v="0"/>
    <n v="1"/>
    <n v="0"/>
    <n v="0"/>
    <n v="0"/>
    <n v="0"/>
    <n v="0"/>
  </r>
  <r>
    <n v="2396"/>
    <n v="134578"/>
    <n v="2"/>
    <n v="1"/>
    <x v="25"/>
    <s v="Together"/>
    <s v="PhD"/>
    <s v="9/15/2020"/>
    <s v="New York"/>
    <n v="1"/>
    <n v="27"/>
    <n v="0"/>
    <n v="4"/>
    <n v="0"/>
    <n v="0"/>
    <n v="0"/>
    <n v="31"/>
    <n v="1"/>
    <n v="1"/>
    <n v="0"/>
    <n v="2"/>
    <n v="6"/>
    <n v="0"/>
    <n v="0"/>
    <n v="0"/>
    <n v="0"/>
    <n v="0"/>
    <n v="0"/>
    <n v="0"/>
  </r>
  <r>
    <n v="1754"/>
    <n v="133622"/>
    <n v="1"/>
    <n v="1"/>
    <x v="25"/>
    <s v="Married"/>
    <s v="Graduate"/>
    <s v="9/18/2019"/>
    <s v="New York"/>
    <n v="22"/>
    <n v="155"/>
    <n v="4"/>
    <n v="87"/>
    <n v="12"/>
    <n v="16"/>
    <n v="48"/>
    <n v="227"/>
    <n v="3"/>
    <n v="2"/>
    <n v="0"/>
    <n v="4"/>
    <n v="7"/>
    <n v="0"/>
    <n v="0"/>
    <n v="0"/>
    <n v="0"/>
    <n v="0"/>
    <n v="0"/>
    <n v="0"/>
  </r>
  <r>
    <n v="2405"/>
    <n v="131907"/>
    <n v="0"/>
    <n v="0"/>
    <x v="25"/>
    <s v="Single"/>
    <s v="Graduate"/>
    <s v="8/9/2019"/>
    <s v="California"/>
    <n v="75"/>
    <n v="136"/>
    <n v="360"/>
    <n v="265"/>
    <n v="723"/>
    <n v="66"/>
    <n v="306"/>
    <n v="1244"/>
    <n v="1"/>
    <n v="6"/>
    <n v="1"/>
    <n v="6"/>
    <n v="7"/>
    <n v="0"/>
    <n v="0"/>
    <n v="0"/>
    <n v="0"/>
    <n v="0"/>
    <n v="0"/>
    <n v="0"/>
  </r>
  <r>
    <n v="1765"/>
    <n v="131590"/>
    <n v="1"/>
    <n v="0"/>
    <x v="25"/>
    <s v="Together"/>
    <s v="Graduate"/>
    <s v="11/23/2019"/>
    <s v="Illinois"/>
    <n v="40"/>
    <n v="25"/>
    <n v="8"/>
    <n v="62"/>
    <n v="25"/>
    <n v="25"/>
    <n v="12"/>
    <n v="133"/>
    <n v="1"/>
    <n v="1"/>
    <n v="0"/>
    <n v="3"/>
    <n v="8"/>
    <n v="0"/>
    <n v="0"/>
    <n v="0"/>
    <n v="0"/>
    <n v="0"/>
    <n v="0"/>
    <n v="0"/>
  </r>
  <r>
    <n v="1322"/>
    <n v="130675"/>
    <n v="1"/>
    <n v="0"/>
    <x v="25"/>
    <s v="Married"/>
    <s v="Graduate"/>
    <s v="4/19/2019"/>
    <s v="New York"/>
    <n v="14"/>
    <n v="43"/>
    <n v="9"/>
    <n v="68"/>
    <n v="47"/>
    <n v="9"/>
    <n v="89"/>
    <n v="85"/>
    <n v="1"/>
    <n v="1"/>
    <n v="0"/>
    <n v="3"/>
    <n v="8"/>
    <n v="0"/>
    <n v="0"/>
    <n v="0"/>
    <n v="0"/>
    <n v="0"/>
    <n v="0"/>
    <n v="0"/>
  </r>
  <r>
    <n v="1764"/>
    <n v="130467"/>
    <n v="1"/>
    <n v="0"/>
    <x v="25"/>
    <s v="Married"/>
    <s v="Graduate"/>
    <s v="8/23/2020"/>
    <s v="Florida"/>
    <n v="8"/>
    <n v="4"/>
    <n v="13"/>
    <n v="34"/>
    <n v="9"/>
    <n v="21"/>
    <n v="21"/>
    <n v="60"/>
    <n v="1"/>
    <n v="1"/>
    <n v="0"/>
    <n v="2"/>
    <n v="7"/>
    <n v="0"/>
    <n v="0"/>
    <n v="0"/>
    <n v="0"/>
    <n v="0"/>
    <n v="0"/>
    <n v="0"/>
  </r>
  <r>
    <n v="2994"/>
    <n v="130261"/>
    <n v="1"/>
    <n v="2"/>
    <x v="25"/>
    <s v="Together"/>
    <s v="Graduate"/>
    <s v="3/2/2019"/>
    <s v="Florida"/>
    <n v="75"/>
    <n v="34"/>
    <n v="0"/>
    <n v="22"/>
    <n v="0"/>
    <n v="13"/>
    <n v="26"/>
    <n v="43"/>
    <n v="1"/>
    <n v="0"/>
    <n v="0"/>
    <n v="3"/>
    <n v="8"/>
    <n v="0"/>
    <n v="0"/>
    <n v="0"/>
    <n v="0"/>
    <n v="0"/>
    <n v="0"/>
    <n v="0"/>
  </r>
  <r>
    <n v="2085"/>
    <n v="130023"/>
    <n v="1"/>
    <n v="0"/>
    <x v="25"/>
    <s v="Married"/>
    <s v="Graduate"/>
    <s v="8/28/2020"/>
    <s v="Texas"/>
    <n v="28"/>
    <n v="48"/>
    <n v="0"/>
    <n v="69"/>
    <n v="30"/>
    <n v="26"/>
    <n v="91"/>
    <n v="82"/>
    <n v="1"/>
    <n v="2"/>
    <n v="0"/>
    <n v="3"/>
    <n v="8"/>
    <n v="0"/>
    <n v="0"/>
    <n v="0"/>
    <n v="0"/>
    <n v="0"/>
    <n v="0"/>
    <n v="0"/>
  </r>
  <r>
    <n v="2370"/>
    <n v="129791"/>
    <n v="1"/>
    <n v="0"/>
    <x v="25"/>
    <s v="Married"/>
    <s v="PhD"/>
    <s v="10/19/2020"/>
    <s v="Florida"/>
    <n v="21"/>
    <n v="61"/>
    <n v="0"/>
    <n v="26"/>
    <n v="0"/>
    <n v="0"/>
    <n v="0"/>
    <n v="87"/>
    <n v="2"/>
    <n v="2"/>
    <n v="0"/>
    <n v="3"/>
    <n v="5"/>
    <n v="0"/>
    <n v="0"/>
    <n v="0"/>
    <n v="0"/>
    <n v="0"/>
    <n v="0"/>
    <n v="0"/>
  </r>
  <r>
    <n v="1390"/>
    <n v="127213"/>
    <n v="1"/>
    <n v="0"/>
    <x v="25"/>
    <s v="Single"/>
    <s v="PhD"/>
    <s v="2/4/2019"/>
    <s v="Other"/>
    <n v="19"/>
    <n v="89"/>
    <n v="14"/>
    <n v="122"/>
    <n v="47"/>
    <n v="42"/>
    <n v="14"/>
    <n v="299"/>
    <n v="3"/>
    <n v="2"/>
    <n v="0"/>
    <n v="4"/>
    <n v="8"/>
    <n v="0"/>
    <n v="1"/>
    <n v="0"/>
    <n v="0"/>
    <n v="0"/>
    <n v="0"/>
    <n v="0"/>
  </r>
  <r>
    <n v="2373"/>
    <n v="126759"/>
    <n v="1"/>
    <n v="0"/>
    <x v="25"/>
    <s v="Divorced"/>
    <s v="Graduate"/>
    <s v="7/14/2020"/>
    <s v="Texas"/>
    <n v="65"/>
    <n v="118"/>
    <n v="14"/>
    <n v="76"/>
    <n v="38"/>
    <n v="24"/>
    <n v="9"/>
    <n v="261"/>
    <n v="2"/>
    <n v="2"/>
    <n v="1"/>
    <n v="3"/>
    <n v="6"/>
    <n v="0"/>
    <n v="0"/>
    <n v="0"/>
    <n v="0"/>
    <n v="0"/>
    <n v="0"/>
    <n v="0"/>
  </r>
  <r>
    <n v="2433"/>
    <n v="126290"/>
    <n v="1"/>
    <n v="1"/>
    <x v="25"/>
    <s v="Together"/>
    <s v="Graduate"/>
    <s v="6/19/2019"/>
    <s v="Texas"/>
    <n v="49"/>
    <n v="72"/>
    <n v="38"/>
    <n v="77"/>
    <n v="53"/>
    <n v="24"/>
    <n v="106"/>
    <n v="159"/>
    <n v="4"/>
    <n v="2"/>
    <n v="0"/>
    <n v="4"/>
    <n v="6"/>
    <n v="0"/>
    <n v="0"/>
    <n v="0"/>
    <n v="0"/>
    <n v="0"/>
    <n v="0"/>
    <n v="0"/>
  </r>
  <r>
    <n v="3157"/>
    <n v="125224"/>
    <n v="1"/>
    <n v="0"/>
    <x v="25"/>
    <s v="Married"/>
    <s v="Basic"/>
    <s v="8/20/2020"/>
    <s v="Illinois"/>
    <n v="36"/>
    <n v="20"/>
    <n v="45"/>
    <n v="60"/>
    <n v="55"/>
    <n v="10"/>
    <n v="40"/>
    <n v="149"/>
    <n v="2"/>
    <n v="1"/>
    <n v="1"/>
    <n v="3"/>
    <n v="3"/>
    <n v="0"/>
    <n v="0"/>
    <n v="0"/>
    <n v="0"/>
    <n v="0"/>
    <n v="0"/>
    <n v="0"/>
  </r>
  <r>
    <n v="1972"/>
    <n v="124884"/>
    <n v="1"/>
    <n v="0"/>
    <x v="25"/>
    <s v="Married"/>
    <s v="Graduate"/>
    <s v="5/6/2019"/>
    <s v="Other"/>
    <n v="32"/>
    <n v="15"/>
    <n v="30"/>
    <n v="35"/>
    <n v="0"/>
    <n v="0"/>
    <n v="15"/>
    <n v="65"/>
    <n v="1"/>
    <n v="0"/>
    <n v="0"/>
    <n v="3"/>
    <n v="7"/>
    <n v="0"/>
    <n v="0"/>
    <n v="0"/>
    <n v="0"/>
    <n v="0"/>
    <n v="0"/>
    <n v="0"/>
  </r>
  <r>
    <n v="1861"/>
    <n v="124762"/>
    <n v="1"/>
    <n v="0"/>
    <x v="25"/>
    <s v="Single"/>
    <s v="Graduate"/>
    <s v="7/17/2020"/>
    <s v="Illinois"/>
    <n v="16"/>
    <n v="30"/>
    <n v="50"/>
    <n v="60"/>
    <n v="15"/>
    <n v="76"/>
    <n v="202"/>
    <n v="30"/>
    <n v="3"/>
    <n v="3"/>
    <n v="1"/>
    <n v="2"/>
    <n v="8"/>
    <n v="0"/>
    <n v="1"/>
    <n v="0"/>
    <n v="0"/>
    <n v="1"/>
    <n v="0"/>
    <n v="0"/>
  </r>
  <r>
    <n v="3196"/>
    <n v="124434"/>
    <n v="2"/>
    <n v="0"/>
    <x v="25"/>
    <s v="Married"/>
    <s v="Graduate"/>
    <s v="10/22/2020"/>
    <s v="Other"/>
    <n v="9"/>
    <n v="15"/>
    <n v="10"/>
    <n v="41"/>
    <n v="102"/>
    <n v="0"/>
    <n v="87"/>
    <n v="81"/>
    <n v="2"/>
    <n v="2"/>
    <n v="1"/>
    <n v="2"/>
    <n v="7"/>
    <n v="0"/>
    <n v="0"/>
    <n v="0"/>
    <n v="0"/>
    <n v="0"/>
    <n v="0"/>
    <n v="0"/>
  </r>
  <r>
    <n v="1802"/>
    <n v="122063"/>
    <n v="1"/>
    <n v="0"/>
    <x v="25"/>
    <s v="Married"/>
    <s v="Graduate"/>
    <s v="1/13/2020"/>
    <s v="New York"/>
    <n v="43"/>
    <n v="39"/>
    <n v="55"/>
    <n v="72"/>
    <n v="17"/>
    <n v="61"/>
    <n v="61"/>
    <n v="183"/>
    <n v="2"/>
    <n v="2"/>
    <n v="0"/>
    <n v="3"/>
    <n v="7"/>
    <n v="0"/>
    <n v="0"/>
    <n v="0"/>
    <n v="0"/>
    <n v="0"/>
    <n v="0"/>
    <n v="0"/>
  </r>
  <r>
    <n v="1792"/>
    <n v="121359"/>
    <n v="1"/>
    <n v="0"/>
    <x v="25"/>
    <s v="Single"/>
    <s v="Graduate"/>
    <s v="9/25/2019"/>
    <s v="Other"/>
    <n v="1"/>
    <n v="68"/>
    <n v="11"/>
    <n v="97"/>
    <n v="34"/>
    <n v="6"/>
    <n v="57"/>
    <n v="159"/>
    <n v="2"/>
    <n v="2"/>
    <n v="0"/>
    <n v="3"/>
    <n v="8"/>
    <n v="0"/>
    <n v="1"/>
    <n v="0"/>
    <n v="0"/>
    <n v="0"/>
    <n v="0"/>
    <n v="0"/>
  </r>
  <r>
    <n v="3073"/>
    <n v="114188"/>
    <n v="0"/>
    <n v="0"/>
    <x v="25"/>
    <s v="Married"/>
    <s v="Basic"/>
    <s v="8/5/2019"/>
    <s v="Illinois"/>
    <n v="40"/>
    <n v="16"/>
    <n v="56"/>
    <n v="89"/>
    <n v="129"/>
    <n v="97"/>
    <n v="217"/>
    <n v="169"/>
    <n v="1"/>
    <n v="2"/>
    <n v="0"/>
    <n v="4"/>
    <n v="6"/>
    <n v="0"/>
    <n v="0"/>
    <n v="0"/>
    <n v="0"/>
    <n v="0"/>
    <n v="0"/>
    <n v="0"/>
  </r>
  <r>
    <n v="2012"/>
    <n v="191700"/>
    <n v="0"/>
    <n v="0"/>
    <x v="26"/>
    <s v="Single"/>
    <s v="Graduate"/>
    <s v="6/24/2019"/>
    <s v="New York"/>
    <n v="58"/>
    <n v="1204"/>
    <n v="360"/>
    <n v="2009"/>
    <n v="261"/>
    <n v="240"/>
    <n v="40"/>
    <n v="4035"/>
    <n v="1"/>
    <n v="8"/>
    <n v="6"/>
    <n v="5"/>
    <n v="3"/>
    <n v="0"/>
    <n v="1"/>
    <n v="0"/>
    <n v="0"/>
    <n v="0"/>
    <n v="0"/>
    <n v="0"/>
  </r>
  <r>
    <n v="2862"/>
    <n v="186979"/>
    <n v="0"/>
    <n v="0"/>
    <x v="26"/>
    <s v="Divorced"/>
    <s v="PhD"/>
    <s v="4/13/2020"/>
    <s v="Florida"/>
    <n v="67"/>
    <n v="1255"/>
    <n v="215"/>
    <n v="1795"/>
    <n v="140"/>
    <n v="178"/>
    <n v="75"/>
    <n v="3508"/>
    <n v="1"/>
    <n v="5"/>
    <n v="5"/>
    <n v="5"/>
    <n v="2"/>
    <n v="0"/>
    <n v="1"/>
    <n v="0"/>
    <n v="0"/>
    <n v="1"/>
    <n v="0"/>
    <n v="0"/>
  </r>
  <r>
    <n v="1955"/>
    <n v="180573"/>
    <n v="0"/>
    <n v="0"/>
    <x v="26"/>
    <s v="Together"/>
    <s v="Master"/>
    <s v="3/21/2019"/>
    <s v="California"/>
    <n v="85"/>
    <n v="1858"/>
    <n v="309"/>
    <n v="964"/>
    <n v="134"/>
    <n v="206"/>
    <n v="34"/>
    <n v="3438"/>
    <n v="1"/>
    <n v="4"/>
    <n v="6"/>
    <n v="13"/>
    <n v="2"/>
    <n v="0"/>
    <n v="0"/>
    <n v="0"/>
    <n v="0"/>
    <n v="0"/>
    <n v="0"/>
    <n v="0"/>
  </r>
  <r>
    <n v="2887"/>
    <n v="180573"/>
    <n v="0"/>
    <n v="0"/>
    <x v="26"/>
    <s v="Together"/>
    <s v="Master"/>
    <s v="3/21/2019"/>
    <s v="Illinois"/>
    <n v="85"/>
    <n v="1858"/>
    <n v="309"/>
    <n v="964"/>
    <n v="134"/>
    <n v="206"/>
    <n v="34"/>
    <n v="3438"/>
    <n v="1"/>
    <n v="4"/>
    <n v="6"/>
    <n v="13"/>
    <n v="2"/>
    <n v="0"/>
    <n v="0"/>
    <n v="0"/>
    <n v="0"/>
    <n v="0"/>
    <n v="0"/>
    <n v="0"/>
  </r>
  <r>
    <n v="2484"/>
    <n v="178931"/>
    <n v="0"/>
    <n v="0"/>
    <x v="26"/>
    <s v="Married"/>
    <s v="PhD"/>
    <s v="3/31/2020"/>
    <s v="Florida"/>
    <n v="19"/>
    <n v="750"/>
    <n v="447"/>
    <n v="385"/>
    <n v="131"/>
    <n v="345"/>
    <n v="79"/>
    <n v="1979"/>
    <n v="1"/>
    <n v="2"/>
    <n v="8"/>
    <n v="13"/>
    <n v="1"/>
    <n v="0"/>
    <n v="0"/>
    <n v="0"/>
    <n v="0"/>
    <n v="0"/>
    <n v="0"/>
    <n v="0"/>
  </r>
  <r>
    <n v="1481"/>
    <n v="178642"/>
    <n v="0"/>
    <n v="1"/>
    <x v="26"/>
    <s v="Together"/>
    <s v="PhD"/>
    <s v="9/26/2019"/>
    <s v="California"/>
    <n v="83"/>
    <n v="3171"/>
    <n v="0"/>
    <n v="731"/>
    <n v="104"/>
    <n v="80"/>
    <n v="39"/>
    <n v="4048"/>
    <n v="1"/>
    <n v="4"/>
    <n v="9"/>
    <n v="4"/>
    <n v="6"/>
    <n v="0"/>
    <n v="0"/>
    <n v="0"/>
    <n v="0"/>
    <n v="0"/>
    <n v="0"/>
    <n v="0"/>
  </r>
  <r>
    <n v="2422"/>
    <n v="178041"/>
    <n v="0"/>
    <n v="0"/>
    <x v="26"/>
    <s v="Married"/>
    <s v="Graduate"/>
    <s v="5/23/2019"/>
    <s v="Other"/>
    <n v="93"/>
    <n v="1100"/>
    <n v="80"/>
    <n v="1262"/>
    <n v="164"/>
    <n v="365"/>
    <n v="39"/>
    <n v="2932"/>
    <n v="1"/>
    <n v="4"/>
    <n v="4"/>
    <n v="9"/>
    <n v="2"/>
    <n v="0"/>
    <n v="0"/>
    <n v="0"/>
    <n v="0"/>
    <n v="0"/>
    <n v="0"/>
    <n v="0"/>
  </r>
  <r>
    <n v="2574"/>
    <n v="176445"/>
    <n v="1"/>
    <n v="0"/>
    <x v="26"/>
    <s v="Married"/>
    <s v="Graduate"/>
    <s v="3/5/2019"/>
    <s v="Florida"/>
    <n v="2"/>
    <n v="1706"/>
    <n v="247"/>
    <n v="713"/>
    <n v="323"/>
    <n v="185"/>
    <n v="81"/>
    <n v="3093"/>
    <n v="1"/>
    <n v="2"/>
    <n v="5"/>
    <n v="13"/>
    <n v="6"/>
    <n v="0"/>
    <n v="0"/>
    <n v="0"/>
    <n v="0"/>
    <n v="0"/>
    <n v="0"/>
    <n v="0"/>
  </r>
  <r>
    <n v="2011"/>
    <n v="174538"/>
    <n v="0"/>
    <n v="0"/>
    <x v="26"/>
    <s v="Together"/>
    <s v="Graduate"/>
    <s v="12/4/2019"/>
    <s v="Illinois"/>
    <n v="21"/>
    <n v="890"/>
    <n v="229"/>
    <n v="1716"/>
    <n v="258"/>
    <n v="262"/>
    <n v="66"/>
    <n v="3290"/>
    <n v="1"/>
    <n v="8"/>
    <n v="8"/>
    <n v="5"/>
    <n v="3"/>
    <n v="0"/>
    <n v="1"/>
    <n v="0"/>
    <n v="0"/>
    <n v="0"/>
    <n v="0"/>
    <n v="1"/>
  </r>
  <r>
    <n v="2830"/>
    <n v="174290"/>
    <n v="0"/>
    <n v="1"/>
    <x v="26"/>
    <s v="Divorced"/>
    <s v="Master"/>
    <s v="1/17/2020"/>
    <s v="Other"/>
    <n v="70"/>
    <n v="2630"/>
    <n v="0"/>
    <n v="169"/>
    <n v="0"/>
    <n v="28"/>
    <n v="28"/>
    <n v="2799"/>
    <n v="4"/>
    <n v="10"/>
    <n v="8"/>
    <n v="10"/>
    <n v="6"/>
    <n v="0"/>
    <n v="0"/>
    <n v="1"/>
    <n v="0"/>
    <n v="0"/>
    <n v="1"/>
    <n v="0"/>
  </r>
  <r>
    <n v="1622"/>
    <n v="173691"/>
    <n v="0"/>
    <n v="1"/>
    <x v="26"/>
    <s v="Married"/>
    <s v="Graduate"/>
    <s v="4/12/2020"/>
    <s v="New York"/>
    <n v="58"/>
    <n v="1666"/>
    <n v="49"/>
    <n v="589"/>
    <n v="200"/>
    <n v="101"/>
    <n v="172"/>
    <n v="2435"/>
    <n v="2"/>
    <n v="6"/>
    <n v="2"/>
    <n v="8"/>
    <n v="2"/>
    <n v="0"/>
    <n v="0"/>
    <n v="0"/>
    <n v="0"/>
    <n v="1"/>
    <n v="0"/>
    <n v="0"/>
  </r>
  <r>
    <n v="1760"/>
    <n v="172258"/>
    <n v="0"/>
    <n v="1"/>
    <x v="26"/>
    <s v="Single"/>
    <s v="Graduate"/>
    <s v="2/17/2020"/>
    <s v="New York"/>
    <n v="28"/>
    <n v="1244"/>
    <n v="0"/>
    <n v="1244"/>
    <n v="541"/>
    <n v="286"/>
    <n v="319"/>
    <n v="2997"/>
    <n v="2"/>
    <n v="6"/>
    <n v="9"/>
    <n v="5"/>
    <n v="2"/>
    <n v="0"/>
    <n v="0"/>
    <n v="0"/>
    <n v="0"/>
    <n v="0"/>
    <n v="0"/>
    <n v="0"/>
  </r>
  <r>
    <n v="2514"/>
    <n v="171969"/>
    <n v="0"/>
    <n v="1"/>
    <x v="26"/>
    <s v="Married"/>
    <s v="PhD"/>
    <s v="3/23/2019"/>
    <s v="Florida"/>
    <n v="59"/>
    <n v="2389"/>
    <n v="0"/>
    <n v="182"/>
    <n v="0"/>
    <n v="0"/>
    <n v="24"/>
    <n v="2547"/>
    <n v="3"/>
    <n v="3"/>
    <n v="4"/>
    <n v="9"/>
    <n v="8"/>
    <n v="0"/>
    <n v="0"/>
    <n v="0"/>
    <n v="0"/>
    <n v="0"/>
    <n v="1"/>
    <n v="0"/>
  </r>
  <r>
    <n v="2096"/>
    <n v="171819"/>
    <n v="0"/>
    <n v="1"/>
    <x v="26"/>
    <s v="Together"/>
    <s v="Graduate"/>
    <s v="2/2/2020"/>
    <s v="New York"/>
    <n v="70"/>
    <n v="2928"/>
    <n v="67"/>
    <n v="335"/>
    <n v="0"/>
    <n v="33"/>
    <n v="402"/>
    <n v="2962"/>
    <n v="3"/>
    <n v="3"/>
    <n v="3"/>
    <n v="5"/>
    <n v="6"/>
    <n v="0"/>
    <n v="0"/>
    <n v="0"/>
    <n v="0"/>
    <n v="0"/>
    <n v="1"/>
    <n v="1"/>
  </r>
  <r>
    <n v="1917"/>
    <n v="171796"/>
    <n v="0"/>
    <n v="0"/>
    <x v="26"/>
    <s v="Together"/>
    <s v="Graduate"/>
    <s v="3/30/2020"/>
    <s v="Texas"/>
    <n v="54"/>
    <n v="847"/>
    <n v="50"/>
    <n v="744"/>
    <n v="400"/>
    <n v="179"/>
    <n v="77"/>
    <n v="2144"/>
    <n v="1"/>
    <n v="9"/>
    <n v="3"/>
    <n v="4"/>
    <n v="4"/>
    <n v="0"/>
    <n v="0"/>
    <n v="0"/>
    <n v="0"/>
    <n v="0"/>
    <n v="0"/>
    <n v="0"/>
  </r>
  <r>
    <n v="1546"/>
    <n v="171499"/>
    <n v="0"/>
    <n v="1"/>
    <x v="26"/>
    <s v="Together"/>
    <s v="Master"/>
    <s v="11/30/2019"/>
    <s v="Other"/>
    <n v="12"/>
    <n v="1115"/>
    <n v="60"/>
    <n v="317"/>
    <n v="326"/>
    <n v="0"/>
    <n v="89"/>
    <n v="1729"/>
    <n v="2"/>
    <n v="8"/>
    <n v="3"/>
    <n v="13"/>
    <n v="4"/>
    <n v="0"/>
    <n v="0"/>
    <n v="0"/>
    <n v="0"/>
    <n v="0"/>
    <n v="0"/>
    <n v="0"/>
  </r>
  <r>
    <n v="2838"/>
    <n v="170886"/>
    <n v="1"/>
    <n v="0"/>
    <x v="26"/>
    <s v="Married"/>
    <s v="Graduate"/>
    <s v="3/20/2020"/>
    <s v="Florida"/>
    <n v="65"/>
    <n v="981"/>
    <n v="169"/>
    <n v="576"/>
    <n v="248"/>
    <n v="212"/>
    <n v="128"/>
    <n v="2059"/>
    <n v="1"/>
    <n v="5"/>
    <n v="4"/>
    <n v="4"/>
    <n v="2"/>
    <n v="0"/>
    <n v="0"/>
    <n v="0"/>
    <n v="0"/>
    <n v="0"/>
    <n v="0"/>
    <n v="0"/>
  </r>
  <r>
    <n v="2497"/>
    <n v="169930"/>
    <n v="0"/>
    <n v="0"/>
    <x v="26"/>
    <s v="Together"/>
    <s v="Graduate"/>
    <s v="10/31/2019"/>
    <s v="Illinois"/>
    <n v="21"/>
    <n v="612"/>
    <n v="238"/>
    <n v="2010"/>
    <n v="532"/>
    <n v="170"/>
    <n v="476"/>
    <n v="3086"/>
    <n v="1"/>
    <n v="4"/>
    <n v="5"/>
    <n v="12"/>
    <n v="3"/>
    <n v="0"/>
    <n v="0"/>
    <n v="0"/>
    <n v="0"/>
    <n v="0"/>
    <n v="0"/>
    <n v="0"/>
  </r>
  <r>
    <n v="2256"/>
    <n v="166303"/>
    <n v="0"/>
    <n v="1"/>
    <x v="26"/>
    <s v="Married"/>
    <s v="Graduate"/>
    <s v="8/3/2019"/>
    <s v="Florida"/>
    <n v="56"/>
    <n v="2734"/>
    <n v="30"/>
    <n v="241"/>
    <n v="40"/>
    <n v="30"/>
    <n v="150"/>
    <n v="2925"/>
    <n v="4"/>
    <n v="3"/>
    <n v="4"/>
    <n v="11"/>
    <n v="8"/>
    <n v="0"/>
    <n v="0"/>
    <n v="0"/>
    <n v="0"/>
    <n v="0"/>
    <n v="1"/>
    <n v="0"/>
  </r>
  <r>
    <n v="1391"/>
    <n v="165808"/>
    <n v="1"/>
    <n v="1"/>
    <x v="26"/>
    <s v="Divorced"/>
    <s v="PhD"/>
    <s v="11/3/2020"/>
    <s v="California"/>
    <n v="1"/>
    <n v="391"/>
    <n v="18"/>
    <n v="202"/>
    <n v="33"/>
    <n v="18"/>
    <n v="25"/>
    <n v="635"/>
    <n v="3"/>
    <n v="5"/>
    <n v="1"/>
    <n v="5"/>
    <n v="6"/>
    <n v="0"/>
    <n v="0"/>
    <n v="0"/>
    <n v="0"/>
    <n v="0"/>
    <n v="0"/>
    <n v="0"/>
  </r>
  <r>
    <n v="1305"/>
    <n v="164795"/>
    <n v="0"/>
    <n v="1"/>
    <x v="26"/>
    <s v="Married"/>
    <s v="Graduate"/>
    <s v="6/24/2019"/>
    <s v="Texas"/>
    <n v="23"/>
    <n v="1048"/>
    <n v="13"/>
    <n v="303"/>
    <n v="97"/>
    <n v="74"/>
    <n v="196"/>
    <n v="1338"/>
    <n v="3"/>
    <n v="3"/>
    <n v="3"/>
    <n v="12"/>
    <n v="2"/>
    <n v="0"/>
    <n v="0"/>
    <n v="0"/>
    <n v="0"/>
    <n v="0"/>
    <n v="0"/>
    <n v="0"/>
  </r>
  <r>
    <n v="2216"/>
    <n v="164722"/>
    <n v="1"/>
    <n v="0"/>
    <x v="26"/>
    <s v="Married"/>
    <s v="Graduate"/>
    <s v="10/30/2020"/>
    <s v="New York"/>
    <n v="47"/>
    <n v="771"/>
    <n v="0"/>
    <n v="713"/>
    <n v="153"/>
    <n v="374"/>
    <n v="38"/>
    <n v="1972"/>
    <n v="4"/>
    <n v="8"/>
    <n v="2"/>
    <n v="11"/>
    <n v="6"/>
    <n v="0"/>
    <n v="0"/>
    <n v="0"/>
    <n v="0"/>
    <n v="0"/>
    <n v="0"/>
    <n v="0"/>
  </r>
  <r>
    <n v="2466"/>
    <n v="160585"/>
    <n v="1"/>
    <n v="1"/>
    <x v="26"/>
    <s v="Married"/>
    <s v="PhD"/>
    <s v="11/29/2019"/>
    <s v="Florida"/>
    <n v="17"/>
    <n v="708"/>
    <n v="111"/>
    <n v="819"/>
    <n v="146"/>
    <n v="111"/>
    <n v="56"/>
    <n v="1839"/>
    <n v="10"/>
    <n v="7"/>
    <n v="4"/>
    <n v="9"/>
    <n v="5"/>
    <n v="0"/>
    <n v="1"/>
    <n v="0"/>
    <n v="0"/>
    <n v="0"/>
    <n v="0"/>
    <n v="0"/>
  </r>
  <r>
    <n v="1536"/>
    <n v="160504"/>
    <n v="0"/>
    <n v="1"/>
    <x v="26"/>
    <s v="Single"/>
    <s v="PhD"/>
    <s v="7/14/2020"/>
    <s v="Florida"/>
    <n v="73"/>
    <n v="1215"/>
    <n v="0"/>
    <n v="64"/>
    <n v="16"/>
    <n v="11"/>
    <n v="90"/>
    <n v="1215"/>
    <n v="2"/>
    <n v="6"/>
    <n v="2"/>
    <n v="8"/>
    <n v="6"/>
    <n v="0"/>
    <n v="0"/>
    <n v="0"/>
    <n v="0"/>
    <n v="0"/>
    <n v="0"/>
    <n v="0"/>
  </r>
  <r>
    <n v="2881"/>
    <n v="160491"/>
    <n v="0"/>
    <n v="1"/>
    <x v="26"/>
    <s v="Married"/>
    <s v="PhD"/>
    <s v="2/11/2020"/>
    <s v="Illinois"/>
    <n v="81"/>
    <n v="1690"/>
    <n v="125"/>
    <n v="629"/>
    <n v="32"/>
    <n v="50"/>
    <n v="202"/>
    <n v="2324"/>
    <n v="4"/>
    <n v="6"/>
    <n v="11"/>
    <n v="7"/>
    <n v="5"/>
    <n v="0"/>
    <n v="0"/>
    <n v="0"/>
    <n v="0"/>
    <n v="0"/>
    <n v="0"/>
    <n v="0"/>
  </r>
  <r>
    <n v="2663"/>
    <n v="158350"/>
    <n v="0"/>
    <n v="1"/>
    <x v="26"/>
    <s v="Single"/>
    <s v="Graduate"/>
    <s v="6/11/2019"/>
    <s v="California"/>
    <n v="5"/>
    <n v="1338"/>
    <n v="71"/>
    <n v="559"/>
    <n v="315"/>
    <n v="217"/>
    <n v="217"/>
    <n v="2282"/>
    <n v="4"/>
    <n v="8"/>
    <n v="3"/>
    <n v="12"/>
    <n v="6"/>
    <n v="0"/>
    <n v="0"/>
    <n v="0"/>
    <n v="0"/>
    <n v="0"/>
    <n v="0"/>
    <n v="0"/>
  </r>
  <r>
    <n v="2358"/>
    <n v="157420"/>
    <n v="0"/>
    <n v="1"/>
    <x v="26"/>
    <s v="Together"/>
    <s v="Master"/>
    <s v="11/30/2019"/>
    <s v="Florida"/>
    <n v="22"/>
    <n v="768"/>
    <n v="0"/>
    <n v="49"/>
    <n v="0"/>
    <n v="0"/>
    <n v="66"/>
    <n v="751"/>
    <n v="3"/>
    <n v="5"/>
    <n v="1"/>
    <n v="6"/>
    <n v="7"/>
    <n v="0"/>
    <n v="0"/>
    <n v="0"/>
    <n v="0"/>
    <n v="0"/>
    <n v="1"/>
    <n v="0"/>
  </r>
  <r>
    <n v="1787"/>
    <n v="156850"/>
    <n v="0"/>
    <n v="1"/>
    <x v="26"/>
    <s v="Married"/>
    <s v="Master"/>
    <s v="8/27/2020"/>
    <s v="California"/>
    <n v="83"/>
    <n v="94"/>
    <n v="3"/>
    <n v="52"/>
    <n v="6"/>
    <n v="19"/>
    <n v="0"/>
    <n v="174"/>
    <n v="1"/>
    <n v="1"/>
    <n v="1"/>
    <n v="3"/>
    <n v="2"/>
    <n v="0"/>
    <n v="0"/>
    <n v="0"/>
    <n v="0"/>
    <n v="0"/>
    <n v="0"/>
    <n v="0"/>
  </r>
  <r>
    <n v="1007"/>
    <n v="155635"/>
    <n v="0"/>
    <n v="1"/>
    <x v="26"/>
    <s v="Divorced"/>
    <s v="Graduate"/>
    <s v="4/20/2019"/>
    <s v="California"/>
    <n v="34"/>
    <n v="657"/>
    <n v="182"/>
    <n v="459"/>
    <n v="140"/>
    <n v="137"/>
    <n v="76"/>
    <n v="1499"/>
    <n v="4"/>
    <n v="7"/>
    <n v="3"/>
    <n v="7"/>
    <n v="6"/>
    <n v="0"/>
    <n v="0"/>
    <n v="0"/>
    <n v="0"/>
    <n v="0"/>
    <n v="0"/>
    <n v="0"/>
  </r>
  <r>
    <n v="1919"/>
    <n v="155239"/>
    <n v="0"/>
    <n v="1"/>
    <x v="26"/>
    <s v="Single"/>
    <s v="Graduate"/>
    <s v="12/19/2019"/>
    <s v="California"/>
    <n v="59"/>
    <n v="1043"/>
    <n v="48"/>
    <n v="669"/>
    <n v="65"/>
    <n v="67"/>
    <n v="298"/>
    <n v="1593"/>
    <n v="3"/>
    <n v="7"/>
    <n v="5"/>
    <n v="11"/>
    <n v="5"/>
    <n v="0"/>
    <n v="0"/>
    <n v="0"/>
    <n v="0"/>
    <n v="0"/>
    <n v="0"/>
    <n v="0"/>
  </r>
  <r>
    <n v="1651"/>
    <n v="154690"/>
    <n v="1"/>
    <n v="1"/>
    <x v="26"/>
    <s v="Married"/>
    <s v="Graduate"/>
    <s v="4/13/2020"/>
    <s v="Illinois"/>
    <n v="76"/>
    <n v="314"/>
    <n v="45"/>
    <n v="105"/>
    <n v="20"/>
    <n v="25"/>
    <n v="51"/>
    <n v="458"/>
    <n v="3"/>
    <n v="3"/>
    <n v="1"/>
    <n v="5"/>
    <n v="3"/>
    <n v="0"/>
    <n v="0"/>
    <n v="0"/>
    <n v="0"/>
    <n v="0"/>
    <n v="0"/>
    <n v="0"/>
  </r>
  <r>
    <n v="2949"/>
    <n v="154690"/>
    <n v="1"/>
    <n v="1"/>
    <x v="26"/>
    <s v="Married"/>
    <s v="Graduate"/>
    <s v="4/13/2020"/>
    <s v="Texas"/>
    <n v="76"/>
    <n v="314"/>
    <n v="45"/>
    <n v="105"/>
    <n v="20"/>
    <n v="25"/>
    <n v="51"/>
    <n v="458"/>
    <n v="3"/>
    <n v="3"/>
    <n v="1"/>
    <n v="5"/>
    <n v="3"/>
    <n v="0"/>
    <n v="0"/>
    <n v="0"/>
    <n v="0"/>
    <n v="0"/>
    <n v="0"/>
    <n v="0"/>
  </r>
  <r>
    <n v="3146"/>
    <n v="152914"/>
    <n v="0"/>
    <n v="1"/>
    <x v="26"/>
    <s v="Married"/>
    <s v="Graduate"/>
    <s v="6/14/2019"/>
    <s v="New York"/>
    <n v="32"/>
    <n v="734"/>
    <n v="29"/>
    <n v="127"/>
    <n v="87"/>
    <n v="29"/>
    <n v="656"/>
    <n v="350"/>
    <n v="2"/>
    <n v="7"/>
    <n v="3"/>
    <n v="3"/>
    <n v="7"/>
    <n v="0"/>
    <n v="0"/>
    <n v="0"/>
    <n v="0"/>
    <n v="1"/>
    <n v="0"/>
    <n v="0"/>
  </r>
  <r>
    <n v="2270"/>
    <n v="152531"/>
    <n v="0"/>
    <n v="0"/>
    <x v="26"/>
    <s v="Married"/>
    <s v="Graduate"/>
    <s v="6/6/2019"/>
    <s v="New York"/>
    <n v="68"/>
    <n v="822"/>
    <n v="325"/>
    <n v="438"/>
    <n v="148"/>
    <n v="209"/>
    <n v="363"/>
    <n v="1580"/>
    <n v="2"/>
    <n v="7"/>
    <n v="2"/>
    <n v="10"/>
    <n v="6"/>
    <n v="0"/>
    <n v="0"/>
    <n v="0"/>
    <n v="0"/>
    <n v="0"/>
    <n v="0"/>
    <n v="0"/>
  </r>
  <r>
    <n v="1403"/>
    <n v="149505"/>
    <n v="1"/>
    <n v="1"/>
    <x v="26"/>
    <s v="Married"/>
    <s v="Master"/>
    <s v="8/10/2019"/>
    <s v="California"/>
    <n v="4"/>
    <n v="1824"/>
    <n v="0"/>
    <n v="302"/>
    <n v="57"/>
    <n v="0"/>
    <n v="85"/>
    <n v="2099"/>
    <n v="9"/>
    <n v="10"/>
    <n v="2"/>
    <n v="8"/>
    <n v="8"/>
    <n v="0"/>
    <n v="0"/>
    <n v="0"/>
    <n v="0"/>
    <n v="0"/>
    <n v="0"/>
    <n v="0"/>
  </r>
  <r>
    <n v="1453"/>
    <n v="149269"/>
    <n v="1"/>
    <n v="0"/>
    <x v="26"/>
    <s v="Together"/>
    <s v="PhD"/>
    <s v="1/20/2019"/>
    <s v="Illinois"/>
    <n v="92"/>
    <n v="1936"/>
    <n v="24"/>
    <n v="503"/>
    <n v="33"/>
    <n v="24"/>
    <n v="176"/>
    <n v="2345"/>
    <n v="3"/>
    <n v="7"/>
    <n v="3"/>
    <n v="12"/>
    <n v="7"/>
    <n v="0"/>
    <n v="0"/>
    <n v="0"/>
    <n v="0"/>
    <n v="0"/>
    <n v="0"/>
    <n v="0"/>
  </r>
  <r>
    <n v="2262"/>
    <n v="149118"/>
    <n v="0"/>
    <n v="0"/>
    <x v="26"/>
    <s v="Divorced"/>
    <s v="Graduate"/>
    <s v="1/23/2019"/>
    <s v="Florida"/>
    <n v="90"/>
    <n v="1882"/>
    <n v="164"/>
    <n v="726"/>
    <n v="301"/>
    <n v="298"/>
    <n v="361"/>
    <n v="3009"/>
    <n v="2"/>
    <n v="9"/>
    <n v="7"/>
    <n v="10"/>
    <n v="7"/>
    <n v="0"/>
    <n v="1"/>
    <n v="0"/>
    <n v="1"/>
    <n v="0"/>
    <n v="1"/>
    <n v="0"/>
  </r>
  <r>
    <n v="2602"/>
    <n v="147111"/>
    <n v="0"/>
    <n v="1"/>
    <x v="26"/>
    <s v="Widow"/>
    <s v="PhD"/>
    <s v="2/13/2019"/>
    <s v="Other"/>
    <n v="35"/>
    <n v="1858"/>
    <n v="222"/>
    <n v="478"/>
    <n v="375"/>
    <n v="350"/>
    <n v="128"/>
    <n v="3154"/>
    <n v="6"/>
    <n v="3"/>
    <n v="2"/>
    <n v="10"/>
    <n v="9"/>
    <n v="0"/>
    <n v="0"/>
    <n v="0"/>
    <n v="0"/>
    <n v="0"/>
    <n v="0"/>
    <n v="0"/>
  </r>
  <r>
    <n v="1628"/>
    <n v="146463"/>
    <n v="1"/>
    <n v="1"/>
    <x v="26"/>
    <s v="Married"/>
    <s v="PhD"/>
    <s v="1/23/2020"/>
    <s v="New York"/>
    <n v="56"/>
    <n v="514"/>
    <n v="6"/>
    <n v="126"/>
    <n v="25"/>
    <n v="35"/>
    <n v="35"/>
    <n v="671"/>
    <n v="7"/>
    <n v="3"/>
    <n v="1"/>
    <n v="6"/>
    <n v="6"/>
    <n v="0"/>
    <n v="0"/>
    <n v="0"/>
    <n v="0"/>
    <n v="0"/>
    <n v="0"/>
    <n v="0"/>
  </r>
  <r>
    <n v="1888"/>
    <n v="145684"/>
    <n v="1"/>
    <n v="0"/>
    <x v="26"/>
    <s v="Widow"/>
    <s v="Graduate"/>
    <s v="5/8/2020"/>
    <s v="Other"/>
    <n v="37"/>
    <n v="16"/>
    <n v="3"/>
    <n v="16"/>
    <n v="32"/>
    <n v="0"/>
    <n v="22"/>
    <n v="45"/>
    <n v="1"/>
    <n v="1"/>
    <n v="0"/>
    <n v="2"/>
    <n v="7"/>
    <n v="0"/>
    <n v="0"/>
    <n v="0"/>
    <n v="0"/>
    <n v="0"/>
    <n v="0"/>
    <n v="0"/>
  </r>
  <r>
    <n v="2796"/>
    <n v="144635"/>
    <n v="1"/>
    <n v="1"/>
    <x v="26"/>
    <s v="Divorced"/>
    <s v="Master"/>
    <s v="3/17/2020"/>
    <s v="Florida"/>
    <n v="25"/>
    <n v="181"/>
    <n v="0"/>
    <n v="29"/>
    <n v="0"/>
    <n v="0"/>
    <n v="10"/>
    <n v="201"/>
    <n v="2"/>
    <n v="2"/>
    <n v="0"/>
    <n v="3"/>
    <n v="7"/>
    <n v="0"/>
    <n v="0"/>
    <n v="0"/>
    <n v="0"/>
    <n v="0"/>
    <n v="0"/>
    <n v="0"/>
  </r>
  <r>
    <n v="2211"/>
    <n v="144421"/>
    <n v="1"/>
    <n v="1"/>
    <x v="26"/>
    <s v="Divorced"/>
    <s v="Graduate"/>
    <s v="7/23/2019"/>
    <s v="Texas"/>
    <n v="53"/>
    <n v="358"/>
    <n v="16"/>
    <n v="192"/>
    <n v="23"/>
    <n v="3"/>
    <n v="23"/>
    <n v="569"/>
    <n v="5"/>
    <n v="5"/>
    <n v="0"/>
    <n v="4"/>
    <n v="8"/>
    <n v="0"/>
    <n v="0"/>
    <n v="0"/>
    <n v="0"/>
    <n v="0"/>
    <n v="0"/>
    <n v="0"/>
  </r>
  <r>
    <n v="1380"/>
    <n v="143824"/>
    <n v="1"/>
    <n v="1"/>
    <x v="26"/>
    <s v="Married"/>
    <s v="Graduate"/>
    <s v="2/20/2019"/>
    <s v="Florida"/>
    <n v="18"/>
    <n v="315"/>
    <n v="3"/>
    <n v="138"/>
    <n v="39"/>
    <n v="10"/>
    <n v="105"/>
    <n v="400"/>
    <n v="4"/>
    <n v="3"/>
    <n v="1"/>
    <n v="4"/>
    <n v="8"/>
    <n v="0"/>
    <n v="0"/>
    <n v="0"/>
    <n v="0"/>
    <n v="0"/>
    <n v="0"/>
    <n v="0"/>
  </r>
  <r>
    <n v="2432"/>
    <n v="143300"/>
    <n v="0"/>
    <n v="1"/>
    <x v="26"/>
    <s v="Divorced"/>
    <s v="Graduate"/>
    <s v="3/20/2019"/>
    <s v="New York"/>
    <n v="87"/>
    <n v="301"/>
    <n v="10"/>
    <n v="172"/>
    <n v="7"/>
    <n v="3"/>
    <n v="103"/>
    <n v="391"/>
    <n v="3"/>
    <n v="4"/>
    <n v="0"/>
    <n v="4"/>
    <n v="8"/>
    <n v="0"/>
    <n v="1"/>
    <n v="0"/>
    <n v="0"/>
    <n v="0"/>
    <n v="0"/>
    <n v="0"/>
  </r>
  <r>
    <n v="1857"/>
    <n v="142835"/>
    <n v="1"/>
    <n v="1"/>
    <x v="26"/>
    <s v="Divorced"/>
    <s v="Master"/>
    <s v="12/5/2019"/>
    <s v="Texas"/>
    <n v="64"/>
    <n v="1264"/>
    <n v="13"/>
    <n v="310"/>
    <n v="40"/>
    <n v="30"/>
    <n v="327"/>
    <n v="1330"/>
    <n v="7"/>
    <n v="6"/>
    <n v="6"/>
    <n v="4"/>
    <n v="6"/>
    <n v="0"/>
    <n v="0"/>
    <n v="0"/>
    <n v="0"/>
    <n v="0"/>
    <n v="0"/>
    <n v="0"/>
  </r>
  <r>
    <n v="1934"/>
    <n v="142767"/>
    <n v="2"/>
    <n v="0"/>
    <x v="26"/>
    <s v="Single"/>
    <s v="PhD"/>
    <s v="10/16/2019"/>
    <s v="New York"/>
    <n v="53"/>
    <n v="67"/>
    <n v="20"/>
    <n v="144"/>
    <n v="63"/>
    <n v="17"/>
    <n v="127"/>
    <n v="184"/>
    <n v="1"/>
    <n v="3"/>
    <n v="1"/>
    <n v="2"/>
    <n v="8"/>
    <n v="0"/>
    <n v="0"/>
    <n v="0"/>
    <n v="0"/>
    <n v="0"/>
    <n v="0"/>
    <n v="0"/>
  </r>
  <r>
    <n v="2714"/>
    <n v="142403"/>
    <n v="1"/>
    <n v="0"/>
    <x v="26"/>
    <s v="Married"/>
    <s v="PhD"/>
    <s v="5/17/2020"/>
    <s v="New York"/>
    <n v="18"/>
    <n v="74"/>
    <n v="3"/>
    <n v="37"/>
    <n v="0"/>
    <n v="17"/>
    <n v="10"/>
    <n v="121"/>
    <n v="1"/>
    <n v="1"/>
    <n v="0"/>
    <n v="3"/>
    <n v="8"/>
    <n v="0"/>
    <n v="0"/>
    <n v="0"/>
    <n v="0"/>
    <n v="0"/>
    <n v="0"/>
    <n v="0"/>
  </r>
  <r>
    <n v="2671"/>
    <n v="142033"/>
    <n v="1"/>
    <n v="1"/>
    <x v="26"/>
    <s v="Together"/>
    <s v="Graduate"/>
    <s v="2/24/2019"/>
    <s v="Illinois"/>
    <n v="95"/>
    <n v="37"/>
    <n v="3"/>
    <n v="14"/>
    <n v="7"/>
    <n v="0"/>
    <n v="24"/>
    <n v="37"/>
    <n v="1"/>
    <n v="1"/>
    <n v="0"/>
    <n v="2"/>
    <n v="7"/>
    <n v="0"/>
    <n v="0"/>
    <n v="0"/>
    <n v="0"/>
    <n v="0"/>
    <n v="0"/>
    <n v="0"/>
  </r>
  <r>
    <n v="3159"/>
    <n v="140851"/>
    <n v="1"/>
    <n v="1"/>
    <x v="26"/>
    <s v="Divorced"/>
    <s v="Graduate"/>
    <s v="7/29/2019"/>
    <s v="Texas"/>
    <n v="63"/>
    <n v="79"/>
    <n v="3"/>
    <n v="24"/>
    <n v="0"/>
    <n v="14"/>
    <n v="83"/>
    <n v="38"/>
    <n v="1"/>
    <n v="1"/>
    <n v="1"/>
    <n v="2"/>
    <n v="7"/>
    <n v="0"/>
    <n v="0"/>
    <n v="0"/>
    <n v="0"/>
    <n v="0"/>
    <n v="0"/>
    <n v="0"/>
  </r>
  <r>
    <n v="2966"/>
    <n v="139791"/>
    <n v="0"/>
    <n v="1"/>
    <x v="26"/>
    <s v="Married"/>
    <s v="Master"/>
    <s v="9/2/2019"/>
    <s v="New York"/>
    <n v="89"/>
    <n v="299"/>
    <n v="53"/>
    <n v="95"/>
    <n v="46"/>
    <n v="46"/>
    <n v="74"/>
    <n v="464"/>
    <n v="2"/>
    <n v="3"/>
    <n v="1"/>
    <n v="4"/>
    <n v="7"/>
    <n v="0"/>
    <n v="0"/>
    <n v="0"/>
    <n v="0"/>
    <n v="0"/>
    <n v="0"/>
    <n v="0"/>
  </r>
  <r>
    <n v="2732"/>
    <n v="139763"/>
    <n v="1"/>
    <n v="0"/>
    <x v="26"/>
    <s v="Single"/>
    <s v="Master"/>
    <s v="1/9/2020"/>
    <s v="New York"/>
    <n v="9"/>
    <n v="281"/>
    <n v="4"/>
    <n v="211"/>
    <n v="14"/>
    <n v="21"/>
    <n v="56"/>
    <n v="475"/>
    <n v="2"/>
    <n v="5"/>
    <n v="1"/>
    <n v="2"/>
    <n v="9"/>
    <n v="0"/>
    <n v="1"/>
    <n v="0"/>
    <n v="0"/>
    <n v="0"/>
    <n v="0"/>
    <n v="0"/>
  </r>
  <r>
    <n v="1220"/>
    <n v="138590"/>
    <n v="1"/>
    <n v="0"/>
    <x v="26"/>
    <s v="Together"/>
    <s v="Graduate"/>
    <s v="10/20/2019"/>
    <s v="New York"/>
    <n v="65"/>
    <n v="11"/>
    <n v="4"/>
    <n v="29"/>
    <n v="14"/>
    <n v="11"/>
    <n v="11"/>
    <n v="57"/>
    <n v="1"/>
    <n v="1"/>
    <n v="0"/>
    <n v="2"/>
    <n v="8"/>
    <n v="0"/>
    <n v="0"/>
    <n v="0"/>
    <n v="0"/>
    <n v="0"/>
    <n v="0"/>
    <n v="0"/>
  </r>
  <r>
    <n v="2656"/>
    <n v="138232"/>
    <n v="1"/>
    <n v="1"/>
    <x v="26"/>
    <s v="Together"/>
    <s v="Graduate"/>
    <s v="6/23/2020"/>
    <s v="Other"/>
    <n v="84"/>
    <n v="155"/>
    <n v="18"/>
    <n v="101"/>
    <n v="25"/>
    <n v="22"/>
    <n v="119"/>
    <n v="202"/>
    <n v="4"/>
    <n v="3"/>
    <n v="1"/>
    <n v="3"/>
    <n v="5"/>
    <n v="0"/>
    <n v="0"/>
    <n v="0"/>
    <n v="0"/>
    <n v="0"/>
    <n v="0"/>
    <n v="0"/>
  </r>
  <r>
    <n v="1995"/>
    <n v="138196"/>
    <n v="1"/>
    <n v="1"/>
    <x v="26"/>
    <s v="Married"/>
    <s v="Master"/>
    <s v="9/22/2020"/>
    <s v="Texas"/>
    <n v="20"/>
    <n v="109"/>
    <n v="0"/>
    <n v="40"/>
    <n v="0"/>
    <n v="0"/>
    <n v="11"/>
    <n v="137"/>
    <n v="3"/>
    <n v="2"/>
    <n v="0"/>
    <n v="4"/>
    <n v="5"/>
    <n v="0"/>
    <n v="0"/>
    <n v="0"/>
    <n v="0"/>
    <n v="0"/>
    <n v="0"/>
    <n v="0"/>
  </r>
  <r>
    <n v="3019"/>
    <n v="137150"/>
    <n v="1"/>
    <n v="0"/>
    <x v="26"/>
    <s v="Married"/>
    <s v="Graduate"/>
    <s v="2/16/2019"/>
    <s v="Illinois"/>
    <n v="80"/>
    <n v="617"/>
    <n v="137"/>
    <n v="236"/>
    <n v="181"/>
    <n v="126"/>
    <n v="428"/>
    <n v="868"/>
    <n v="8"/>
    <n v="4"/>
    <n v="3"/>
    <n v="6"/>
    <n v="7"/>
    <n v="0"/>
    <n v="0"/>
    <n v="0"/>
    <n v="0"/>
    <n v="0"/>
    <n v="0"/>
    <n v="0"/>
  </r>
  <r>
    <n v="2019"/>
    <n v="137126"/>
    <n v="1"/>
    <n v="0"/>
    <x v="26"/>
    <s v="Married"/>
    <s v="PhD"/>
    <s v="9/3/2020"/>
    <s v="Texas"/>
    <n v="9"/>
    <n v="166"/>
    <n v="11"/>
    <n v="33"/>
    <n v="15"/>
    <n v="15"/>
    <n v="26"/>
    <n v="214"/>
    <n v="1"/>
    <n v="1"/>
    <n v="2"/>
    <n v="2"/>
    <n v="6"/>
    <n v="0"/>
    <n v="1"/>
    <n v="0"/>
    <n v="0"/>
    <n v="1"/>
    <n v="0"/>
    <n v="0"/>
  </r>
  <r>
    <n v="2062"/>
    <n v="136715"/>
    <n v="1"/>
    <n v="0"/>
    <x v="26"/>
    <s v="Married"/>
    <s v="Graduate"/>
    <s v="4/24/2019"/>
    <s v="Other"/>
    <n v="16"/>
    <n v="640"/>
    <n v="37"/>
    <n v="465"/>
    <n v="78"/>
    <n v="48"/>
    <n v="60"/>
    <n v="1210"/>
    <n v="6"/>
    <n v="7"/>
    <n v="2"/>
    <n v="4"/>
    <n v="9"/>
    <n v="0"/>
    <n v="1"/>
    <n v="0"/>
    <n v="0"/>
    <n v="0"/>
    <n v="0"/>
    <n v="0"/>
  </r>
  <r>
    <n v="1436"/>
    <n v="136230"/>
    <n v="1"/>
    <n v="0"/>
    <x v="26"/>
    <s v="Single"/>
    <s v="Master"/>
    <s v="3/23/2020"/>
    <s v="New York"/>
    <n v="17"/>
    <n v="53"/>
    <n v="8"/>
    <n v="113"/>
    <n v="30"/>
    <n v="8"/>
    <n v="11"/>
    <n v="199"/>
    <n v="1"/>
    <n v="2"/>
    <n v="0"/>
    <n v="4"/>
    <n v="5"/>
    <n v="0"/>
    <n v="0"/>
    <n v="0"/>
    <n v="0"/>
    <n v="0"/>
    <n v="0"/>
    <n v="0"/>
  </r>
  <r>
    <n v="3109"/>
    <n v="135788"/>
    <n v="1"/>
    <n v="1"/>
    <x v="26"/>
    <s v="Married"/>
    <s v="Graduate"/>
    <s v="6/29/2020"/>
    <s v="Illinois"/>
    <n v="34"/>
    <n v="87"/>
    <n v="8"/>
    <n v="42"/>
    <n v="11"/>
    <n v="4"/>
    <n v="15"/>
    <n v="137"/>
    <n v="2"/>
    <n v="2"/>
    <n v="0"/>
    <n v="3"/>
    <n v="6"/>
    <n v="0"/>
    <n v="0"/>
    <n v="0"/>
    <n v="0"/>
    <n v="0"/>
    <n v="0"/>
    <n v="0"/>
  </r>
  <r>
    <n v="1318"/>
    <n v="135178"/>
    <n v="1"/>
    <n v="0"/>
    <x v="26"/>
    <s v="Married"/>
    <s v="Master"/>
    <s v="6/17/2019"/>
    <s v="Other"/>
    <n v="10"/>
    <n v="88"/>
    <n v="4"/>
    <n v="50"/>
    <n v="8"/>
    <n v="8"/>
    <n v="69"/>
    <n v="88"/>
    <n v="1"/>
    <n v="1"/>
    <n v="1"/>
    <n v="2"/>
    <n v="7"/>
    <n v="0"/>
    <n v="1"/>
    <n v="0"/>
    <n v="0"/>
    <n v="1"/>
    <n v="0"/>
    <n v="0"/>
  </r>
  <r>
    <n v="1690"/>
    <n v="135178"/>
    <n v="1"/>
    <n v="0"/>
    <x v="26"/>
    <s v="Married"/>
    <s v="Master"/>
    <s v="6/17/2019"/>
    <s v="Other"/>
    <n v="10"/>
    <n v="88"/>
    <n v="4"/>
    <n v="50"/>
    <n v="8"/>
    <n v="8"/>
    <n v="69"/>
    <n v="88"/>
    <n v="1"/>
    <n v="1"/>
    <n v="1"/>
    <n v="2"/>
    <n v="7"/>
    <n v="0"/>
    <n v="1"/>
    <n v="0"/>
    <n v="0"/>
    <n v="1"/>
    <n v="0"/>
    <n v="0"/>
  </r>
  <r>
    <n v="2759"/>
    <n v="134600"/>
    <n v="1"/>
    <n v="1"/>
    <x v="26"/>
    <s v="Together"/>
    <s v="Graduate"/>
    <s v="6/8/2019"/>
    <s v="California"/>
    <n v="8"/>
    <n v="774"/>
    <n v="128"/>
    <n v="233"/>
    <n v="31"/>
    <n v="12"/>
    <n v="58"/>
    <n v="1120"/>
    <n v="5"/>
    <n v="5"/>
    <n v="2"/>
    <n v="5"/>
    <n v="8"/>
    <n v="0"/>
    <n v="1"/>
    <n v="0"/>
    <n v="0"/>
    <n v="0"/>
    <n v="0"/>
    <n v="0"/>
  </r>
  <r>
    <n v="2947"/>
    <n v="134600"/>
    <n v="1"/>
    <n v="1"/>
    <x v="26"/>
    <s v="Together"/>
    <s v="Graduate"/>
    <s v="6/8/2019"/>
    <s v="Illinois"/>
    <n v="8"/>
    <n v="774"/>
    <n v="128"/>
    <n v="233"/>
    <n v="31"/>
    <n v="12"/>
    <n v="58"/>
    <n v="1120"/>
    <n v="5"/>
    <n v="5"/>
    <n v="2"/>
    <n v="5"/>
    <n v="8"/>
    <n v="0"/>
    <n v="1"/>
    <n v="0"/>
    <n v="0"/>
    <n v="0"/>
    <n v="0"/>
    <n v="0"/>
  </r>
  <r>
    <n v="3058"/>
    <n v="134109"/>
    <n v="0"/>
    <n v="1"/>
    <x v="26"/>
    <s v="Married"/>
    <s v="Master"/>
    <s v="4/12/2020"/>
    <s v="Other"/>
    <n v="39"/>
    <n v="35"/>
    <n v="4"/>
    <n v="20"/>
    <n v="8"/>
    <n v="4"/>
    <n v="16"/>
    <n v="55"/>
    <n v="1"/>
    <n v="0"/>
    <n v="0"/>
    <n v="3"/>
    <n v="4"/>
    <n v="0"/>
    <n v="0"/>
    <n v="0"/>
    <n v="0"/>
    <n v="0"/>
    <n v="0"/>
    <n v="0"/>
  </r>
  <r>
    <n v="2339"/>
    <n v="133316"/>
    <n v="1"/>
    <n v="1"/>
    <x v="26"/>
    <s v="Single"/>
    <s v="Master"/>
    <s v="3/10/2020"/>
    <s v="California"/>
    <n v="34"/>
    <n v="316"/>
    <n v="4"/>
    <n v="124"/>
    <n v="16"/>
    <n v="16"/>
    <n v="48"/>
    <n v="428"/>
    <n v="3"/>
    <n v="2"/>
    <n v="1"/>
    <n v="4"/>
    <n v="6"/>
    <n v="0"/>
    <n v="0"/>
    <n v="0"/>
    <n v="0"/>
    <n v="0"/>
    <n v="0"/>
    <n v="0"/>
  </r>
  <r>
    <n v="2797"/>
    <n v="133316"/>
    <n v="1"/>
    <n v="1"/>
    <x v="26"/>
    <s v="Single"/>
    <s v="Master"/>
    <s v="3/10/2020"/>
    <s v="Illinois"/>
    <n v="34"/>
    <n v="316"/>
    <n v="4"/>
    <n v="124"/>
    <n v="16"/>
    <n v="16"/>
    <n v="48"/>
    <n v="428"/>
    <n v="3"/>
    <n v="2"/>
    <n v="1"/>
    <n v="4"/>
    <n v="6"/>
    <n v="0"/>
    <n v="0"/>
    <n v="0"/>
    <n v="0"/>
    <n v="0"/>
    <n v="0"/>
    <n v="0"/>
  </r>
  <r>
    <n v="1916"/>
    <n v="132892"/>
    <n v="1"/>
    <n v="0"/>
    <x v="26"/>
    <s v="Together"/>
    <s v="PhD"/>
    <s v="10/29/2020"/>
    <s v="New York"/>
    <n v="78"/>
    <n v="105"/>
    <n v="0"/>
    <n v="61"/>
    <n v="8"/>
    <n v="4"/>
    <n v="8"/>
    <n v="170"/>
    <n v="2"/>
    <n v="3"/>
    <n v="0"/>
    <n v="3"/>
    <n v="8"/>
    <n v="0"/>
    <n v="0"/>
    <n v="0"/>
    <n v="0"/>
    <n v="0"/>
    <n v="0"/>
    <n v="0"/>
  </r>
  <r>
    <n v="2051"/>
    <n v="132892"/>
    <n v="1"/>
    <n v="0"/>
    <x v="26"/>
    <s v="Together"/>
    <s v="PhD"/>
    <s v="10/29/2020"/>
    <s v="California"/>
    <n v="78"/>
    <n v="105"/>
    <n v="0"/>
    <n v="61"/>
    <n v="8"/>
    <n v="4"/>
    <n v="8"/>
    <n v="170"/>
    <n v="2"/>
    <n v="3"/>
    <n v="0"/>
    <n v="3"/>
    <n v="8"/>
    <n v="0"/>
    <n v="0"/>
    <n v="0"/>
    <n v="0"/>
    <n v="0"/>
    <n v="0"/>
    <n v="0"/>
  </r>
  <r>
    <n v="1422"/>
    <n v="132011"/>
    <n v="1"/>
    <n v="0"/>
    <x v="26"/>
    <s v="Married"/>
    <s v="PhD"/>
    <s v="1/27/2020"/>
    <s v="Florida"/>
    <n v="89"/>
    <n v="408"/>
    <n v="0"/>
    <n v="62"/>
    <n v="8"/>
    <n v="4"/>
    <n v="21"/>
    <n v="462"/>
    <n v="3"/>
    <n v="2"/>
    <n v="1"/>
    <n v="4"/>
    <n v="7"/>
    <n v="0"/>
    <n v="0"/>
    <n v="0"/>
    <n v="0"/>
    <n v="0"/>
    <n v="0"/>
    <n v="0"/>
  </r>
  <r>
    <n v="1604"/>
    <n v="131632"/>
    <n v="0"/>
    <n v="0"/>
    <x v="26"/>
    <s v="Single"/>
    <s v="Graduate"/>
    <s v="12/19/2019"/>
    <s v="New York"/>
    <n v="92"/>
    <n v="71"/>
    <n v="33"/>
    <n v="50"/>
    <n v="46"/>
    <n v="62"/>
    <n v="133"/>
    <n v="129"/>
    <n v="1"/>
    <n v="2"/>
    <n v="1"/>
    <n v="2"/>
    <n v="7"/>
    <n v="0"/>
    <n v="0"/>
    <n v="0"/>
    <n v="0"/>
    <n v="0"/>
    <n v="0"/>
    <n v="0"/>
  </r>
  <r>
    <n v="2843"/>
    <n v="130538"/>
    <n v="1"/>
    <n v="0"/>
    <x v="26"/>
    <s v="Together"/>
    <s v="Master"/>
    <s v="3/8/2019"/>
    <s v="California"/>
    <n v="27"/>
    <n v="1214"/>
    <n v="0"/>
    <n v="222"/>
    <n v="34"/>
    <n v="13"/>
    <n v="85"/>
    <n v="1398"/>
    <n v="4"/>
    <n v="9"/>
    <n v="0"/>
    <n v="4"/>
    <n v="10"/>
    <n v="0"/>
    <n v="0"/>
    <n v="0"/>
    <n v="0"/>
    <n v="0"/>
    <n v="0"/>
    <n v="0"/>
  </r>
  <r>
    <n v="1332"/>
    <n v="130372"/>
    <n v="1"/>
    <n v="1"/>
    <x v="26"/>
    <s v="Widow"/>
    <s v="Graduate"/>
    <s v="6/1/2019"/>
    <s v="Florida"/>
    <n v="33"/>
    <n v="64"/>
    <n v="0"/>
    <n v="52"/>
    <n v="30"/>
    <n v="13"/>
    <n v="30"/>
    <n v="129"/>
    <n v="3"/>
    <n v="2"/>
    <n v="0"/>
    <n v="3"/>
    <n v="7"/>
    <n v="0"/>
    <n v="0"/>
    <n v="0"/>
    <n v="0"/>
    <n v="0"/>
    <n v="0"/>
    <n v="0"/>
  </r>
  <r>
    <n v="2729"/>
    <n v="130372"/>
    <n v="1"/>
    <n v="1"/>
    <x v="26"/>
    <s v="Widow"/>
    <s v="Graduate"/>
    <s v="6/1/2019"/>
    <s v="California"/>
    <n v="33"/>
    <n v="64"/>
    <n v="0"/>
    <n v="52"/>
    <n v="30"/>
    <n v="13"/>
    <n v="30"/>
    <n v="129"/>
    <n v="3"/>
    <n v="2"/>
    <n v="0"/>
    <n v="3"/>
    <n v="7"/>
    <n v="0"/>
    <n v="0"/>
    <n v="0"/>
    <n v="0"/>
    <n v="0"/>
    <n v="0"/>
    <n v="0"/>
  </r>
  <r>
    <n v="2878"/>
    <n v="129819"/>
    <n v="1"/>
    <n v="0"/>
    <x v="26"/>
    <s v="Divorced"/>
    <s v="Graduate"/>
    <s v="3/30/2020"/>
    <s v="Other"/>
    <n v="77"/>
    <n v="39"/>
    <n v="4"/>
    <n v="104"/>
    <n v="9"/>
    <n v="4"/>
    <n v="9"/>
    <n v="152"/>
    <n v="3"/>
    <n v="3"/>
    <n v="0"/>
    <n v="3"/>
    <n v="6"/>
    <n v="0"/>
    <n v="0"/>
    <n v="0"/>
    <n v="0"/>
    <n v="0"/>
    <n v="0"/>
    <n v="0"/>
  </r>
  <r>
    <n v="3114"/>
    <n v="129732"/>
    <n v="1"/>
    <n v="0"/>
    <x v="26"/>
    <s v="Together"/>
    <s v="PhD"/>
    <s v="8/29/2020"/>
    <s v="Florida"/>
    <n v="23"/>
    <n v="109"/>
    <n v="0"/>
    <n v="35"/>
    <n v="0"/>
    <n v="4"/>
    <n v="17"/>
    <n v="131"/>
    <n v="1"/>
    <n v="2"/>
    <n v="0"/>
    <n v="2"/>
    <n v="9"/>
    <n v="0"/>
    <n v="0"/>
    <n v="0"/>
    <n v="0"/>
    <n v="0"/>
    <n v="0"/>
    <n v="0"/>
  </r>
  <r>
    <n v="2165"/>
    <n v="126954"/>
    <n v="1"/>
    <n v="0"/>
    <x v="26"/>
    <s v="Single"/>
    <s v="Graduate"/>
    <s v="10/12/2020"/>
    <s v="California"/>
    <n v="17"/>
    <n v="19"/>
    <n v="5"/>
    <n v="52"/>
    <n v="0"/>
    <n v="0"/>
    <n v="5"/>
    <n v="71"/>
    <n v="1"/>
    <n v="1"/>
    <n v="0"/>
    <n v="2"/>
    <n v="7"/>
    <n v="0"/>
    <n v="0"/>
    <n v="0"/>
    <n v="0"/>
    <n v="0"/>
    <n v="0"/>
    <n v="0"/>
  </r>
  <r>
    <n v="1569"/>
    <n v="126850"/>
    <n v="1"/>
    <n v="1"/>
    <x v="26"/>
    <s v="Together"/>
    <s v="Graduate"/>
    <s v="9/22/2020"/>
    <s v="Texas"/>
    <n v="10"/>
    <n v="146"/>
    <n v="5"/>
    <n v="61"/>
    <n v="33"/>
    <n v="9"/>
    <n v="43"/>
    <n v="213"/>
    <n v="4"/>
    <n v="2"/>
    <n v="1"/>
    <n v="4"/>
    <n v="4"/>
    <n v="0"/>
    <n v="0"/>
    <n v="0"/>
    <n v="0"/>
    <n v="0"/>
    <n v="0"/>
    <n v="0"/>
  </r>
  <r>
    <n v="3088"/>
    <n v="125818"/>
    <n v="1"/>
    <n v="0"/>
    <x v="26"/>
    <s v="Divorced"/>
    <s v="Graduate"/>
    <s v="3/25/2019"/>
    <s v="Other"/>
    <n v="51"/>
    <n v="24"/>
    <n v="10"/>
    <n v="39"/>
    <n v="10"/>
    <n v="10"/>
    <n v="44"/>
    <n v="49"/>
    <n v="1"/>
    <n v="0"/>
    <n v="1"/>
    <n v="2"/>
    <n v="7"/>
    <n v="0"/>
    <n v="0"/>
    <n v="0"/>
    <n v="0"/>
    <n v="0"/>
    <n v="0"/>
    <n v="0"/>
  </r>
  <r>
    <n v="1061"/>
    <n v="125721"/>
    <n v="1"/>
    <n v="0"/>
    <x v="26"/>
    <s v="Married"/>
    <s v="Graduate"/>
    <s v="10/26/2019"/>
    <s v="California"/>
    <n v="75"/>
    <n v="5"/>
    <n v="15"/>
    <n v="29"/>
    <n v="15"/>
    <n v="29"/>
    <n v="73"/>
    <n v="20"/>
    <n v="1"/>
    <n v="1"/>
    <n v="1"/>
    <n v="2"/>
    <n v="7"/>
    <n v="0"/>
    <n v="1"/>
    <n v="0"/>
    <n v="0"/>
    <n v="0"/>
    <n v="0"/>
    <n v="0"/>
  </r>
  <r>
    <n v="1229"/>
    <n v="122804"/>
    <n v="1"/>
    <n v="0"/>
    <x v="26"/>
    <s v="Single"/>
    <s v="Graduate"/>
    <s v="1/5/2020"/>
    <s v="California"/>
    <n v="75"/>
    <n v="75"/>
    <n v="5"/>
    <n v="38"/>
    <n v="11"/>
    <n v="5"/>
    <n v="5"/>
    <n v="129"/>
    <n v="1"/>
    <n v="2"/>
    <n v="0"/>
    <n v="2"/>
    <n v="9"/>
    <n v="0"/>
    <n v="0"/>
    <n v="0"/>
    <n v="0"/>
    <n v="0"/>
    <n v="0"/>
    <n v="0"/>
  </r>
  <r>
    <n v="2272"/>
    <n v="122804"/>
    <n v="1"/>
    <n v="0"/>
    <x v="26"/>
    <s v="Single"/>
    <s v="Graduate"/>
    <s v="1/5/2020"/>
    <s v="Other"/>
    <n v="75"/>
    <n v="75"/>
    <n v="5"/>
    <n v="38"/>
    <n v="11"/>
    <n v="5"/>
    <n v="5"/>
    <n v="129"/>
    <n v="1"/>
    <n v="2"/>
    <n v="0"/>
    <n v="2"/>
    <n v="9"/>
    <n v="0"/>
    <n v="0"/>
    <n v="0"/>
    <n v="0"/>
    <n v="0"/>
    <n v="0"/>
    <n v="0"/>
  </r>
  <r>
    <n v="2597"/>
    <n v="118793"/>
    <n v="1"/>
    <n v="0"/>
    <x v="26"/>
    <s v="Married"/>
    <s v="Graduate"/>
    <s v="6/19/2019"/>
    <s v="California"/>
    <n v="14"/>
    <n v="25"/>
    <n v="101"/>
    <n v="126"/>
    <n v="0"/>
    <n v="107"/>
    <n v="126"/>
    <n v="234"/>
    <n v="3"/>
    <n v="2"/>
    <n v="0"/>
    <n v="4"/>
    <n v="8"/>
    <n v="0"/>
    <n v="0"/>
    <n v="0"/>
    <n v="0"/>
    <n v="0"/>
    <n v="0"/>
    <n v="0"/>
  </r>
  <r>
    <n v="1280"/>
    <n v="116626"/>
    <n v="2"/>
    <n v="0"/>
    <x v="26"/>
    <s v="Together"/>
    <s v="Graduate"/>
    <s v="6/21/2020"/>
    <s v="New York"/>
    <n v="76"/>
    <n v="56"/>
    <n v="21"/>
    <n v="154"/>
    <n v="147"/>
    <n v="7"/>
    <n v="91"/>
    <n v="295"/>
    <n v="3"/>
    <n v="3"/>
    <n v="0"/>
    <n v="3"/>
    <n v="9"/>
    <n v="0"/>
    <n v="0"/>
    <n v="0"/>
    <n v="0"/>
    <n v="0"/>
    <n v="0"/>
    <n v="0"/>
  </r>
  <r>
    <n v="1369"/>
    <n v="110245"/>
    <n v="1"/>
    <n v="0"/>
    <x v="26"/>
    <s v="Single"/>
    <s v="Graduate"/>
    <s v="10/20/2019"/>
    <s v="Illinois"/>
    <n v="32"/>
    <n v="43"/>
    <n v="75"/>
    <n v="75"/>
    <n v="65"/>
    <n v="43"/>
    <n v="140"/>
    <n v="161"/>
    <n v="3"/>
    <n v="1"/>
    <n v="2"/>
    <n v="2"/>
    <n v="5"/>
    <n v="0"/>
    <n v="0"/>
    <n v="0"/>
    <n v="0"/>
    <n v="0"/>
    <n v="0"/>
    <n v="0"/>
  </r>
  <r>
    <n v="2226"/>
    <n v="101730"/>
    <n v="0"/>
    <n v="0"/>
    <x v="26"/>
    <s v="Divorced"/>
    <s v="Graduate"/>
    <s v="10/22/2020"/>
    <s v="Florida"/>
    <n v="65"/>
    <n v="59"/>
    <n v="59"/>
    <n v="176"/>
    <n v="59"/>
    <n v="59"/>
    <n v="59"/>
    <n v="353"/>
    <n v="15"/>
    <n v="0"/>
    <n v="0"/>
    <n v="0"/>
    <n v="20"/>
    <n v="0"/>
    <n v="0"/>
    <n v="0"/>
    <n v="0"/>
    <n v="0"/>
    <n v="0"/>
    <n v="0"/>
  </r>
  <r>
    <n v="1629"/>
    <n v="205471"/>
    <n v="0"/>
    <n v="0"/>
    <x v="0"/>
    <s v="Together"/>
    <s v="Graduate"/>
    <s v="6/28/2019"/>
    <s v="Texas"/>
    <n v="36"/>
    <n v="1966"/>
    <n v="353"/>
    <n v="203"/>
    <n v="394"/>
    <n v="41"/>
    <n v="403"/>
    <n v="2552"/>
    <n v="0"/>
    <n v="9"/>
    <n v="8"/>
    <n v="13"/>
    <n v="3"/>
    <n v="0"/>
    <n v="1"/>
    <n v="1"/>
    <n v="0"/>
    <n v="0"/>
    <n v="0"/>
    <n v="1"/>
  </r>
  <r>
    <n v="2434"/>
    <n v="193790"/>
    <n v="0"/>
    <n v="0"/>
    <x v="0"/>
    <s v="Single"/>
    <s v="Graduate"/>
    <s v="7/19/2020"/>
    <s v="Other"/>
    <n v="16"/>
    <n v="2690"/>
    <n v="141"/>
    <n v="1510"/>
    <n v="184"/>
    <n v="236"/>
    <n v="93"/>
    <n v="4668"/>
    <n v="0"/>
    <n v="6"/>
    <n v="7"/>
    <n v="12"/>
    <n v="2"/>
    <n v="0"/>
    <n v="1"/>
    <n v="1"/>
    <n v="0"/>
    <n v="0"/>
    <n v="1"/>
    <n v="1"/>
  </r>
  <r>
    <n v="1108"/>
    <n v="190765"/>
    <n v="0"/>
    <n v="0"/>
    <x v="0"/>
    <s v="Married"/>
    <s v="Graduate"/>
    <s v="6/30/2020"/>
    <s v="Other"/>
    <n v="25"/>
    <n v="1150"/>
    <n v="208"/>
    <n v="1707"/>
    <n v="317"/>
    <n v="172"/>
    <n v="69"/>
    <n v="3485"/>
    <n v="0"/>
    <n v="4"/>
    <n v="6"/>
    <n v="5"/>
    <n v="1"/>
    <n v="0"/>
    <n v="0"/>
    <n v="1"/>
    <n v="0"/>
    <n v="0"/>
    <n v="0"/>
    <n v="1"/>
  </r>
  <r>
    <n v="1331"/>
    <n v="184835"/>
    <n v="0"/>
    <n v="0"/>
    <x v="0"/>
    <s v="Divorced"/>
    <s v="Graduate"/>
    <s v="11/20/2020"/>
    <s v="California"/>
    <n v="0"/>
    <n v="412"/>
    <n v="227"/>
    <n v="826"/>
    <n v="242"/>
    <n v="412"/>
    <n v="475"/>
    <n v="1643"/>
    <n v="1"/>
    <n v="4"/>
    <n v="4"/>
    <n v="6"/>
    <n v="1"/>
    <n v="0"/>
    <n v="1"/>
    <n v="0"/>
    <n v="0"/>
    <n v="0"/>
    <n v="0"/>
    <n v="0"/>
  </r>
  <r>
    <n v="3016"/>
    <n v="183273"/>
    <n v="1"/>
    <n v="2"/>
    <x v="0"/>
    <s v="Single"/>
    <s v="Graduate"/>
    <s v="3/2/2019"/>
    <s v="Other"/>
    <n v="98"/>
    <n v="953"/>
    <n v="196"/>
    <n v="1431"/>
    <n v="35"/>
    <n v="224"/>
    <n v="224"/>
    <n v="2615"/>
    <n v="10"/>
    <n v="4"/>
    <n v="6"/>
    <n v="9"/>
    <n v="7"/>
    <n v="0"/>
    <n v="0"/>
    <n v="0"/>
    <n v="0"/>
    <n v="0"/>
    <n v="0"/>
    <n v="0"/>
  </r>
  <r>
    <n v="1866"/>
    <n v="182072"/>
    <n v="0"/>
    <n v="0"/>
    <x v="0"/>
    <s v="Together"/>
    <s v="PhD"/>
    <s v="12/7/2019"/>
    <s v="Florida"/>
    <n v="67"/>
    <n v="1972"/>
    <n v="122"/>
    <n v="1520"/>
    <n v="373"/>
    <n v="204"/>
    <n v="286"/>
    <n v="3904"/>
    <n v="1"/>
    <n v="3"/>
    <n v="2"/>
    <n v="13"/>
    <n v="1"/>
    <n v="0"/>
    <n v="0"/>
    <n v="0"/>
    <n v="0"/>
    <n v="0"/>
    <n v="0"/>
    <n v="0"/>
  </r>
  <r>
    <n v="1826"/>
    <n v="181205"/>
    <n v="0"/>
    <n v="0"/>
    <x v="0"/>
    <s v="Together"/>
    <s v="Graduate"/>
    <s v="6/19/2020"/>
    <s v="New York"/>
    <n v="43"/>
    <n v="1616"/>
    <n v="165"/>
    <n v="2073"/>
    <n v="216"/>
    <n v="123"/>
    <n v="290"/>
    <n v="3903"/>
    <n v="1"/>
    <n v="5"/>
    <n v="6"/>
    <n v="7"/>
    <n v="2"/>
    <n v="0"/>
    <n v="1"/>
    <n v="0"/>
    <n v="1"/>
    <n v="1"/>
    <n v="0"/>
    <n v="1"/>
  </r>
  <r>
    <n v="2811"/>
    <n v="180336"/>
    <n v="0"/>
    <n v="0"/>
    <x v="0"/>
    <s v="Married"/>
    <s v="PhD"/>
    <s v="2/14/2020"/>
    <s v="Texas"/>
    <n v="12"/>
    <n v="469"/>
    <n v="43"/>
    <n v="1024"/>
    <n v="359"/>
    <n v="319"/>
    <n v="148"/>
    <n v="2065"/>
    <n v="1"/>
    <n v="2"/>
    <n v="9"/>
    <n v="13"/>
    <n v="1"/>
    <n v="0"/>
    <n v="0"/>
    <n v="0"/>
    <n v="0"/>
    <n v="0"/>
    <n v="0"/>
    <n v="0"/>
  </r>
  <r>
    <n v="2462"/>
    <n v="179419"/>
    <n v="0"/>
    <n v="0"/>
    <x v="0"/>
    <s v="Together"/>
    <s v="Master"/>
    <s v="11/26/2020"/>
    <s v="New York"/>
    <n v="96"/>
    <n v="1697"/>
    <n v="287"/>
    <n v="1552"/>
    <n v="45"/>
    <n v="34"/>
    <n v="70"/>
    <n v="3545"/>
    <n v="1"/>
    <n v="4"/>
    <n v="6"/>
    <n v="4"/>
    <n v="2"/>
    <n v="0"/>
    <n v="0"/>
    <n v="0"/>
    <n v="0"/>
    <n v="0"/>
    <n v="0"/>
    <n v="0"/>
  </r>
  <r>
    <n v="2171"/>
    <n v="178579"/>
    <n v="0"/>
    <n v="0"/>
    <x v="0"/>
    <s v="Divorced"/>
    <s v="Master"/>
    <s v="5/29/2019"/>
    <s v="California"/>
    <n v="35"/>
    <n v="1854"/>
    <n v="150"/>
    <n v="1248"/>
    <n v="491"/>
    <n v="150"/>
    <n v="225"/>
    <n v="3668"/>
    <n v="1"/>
    <n v="5"/>
    <n v="6"/>
    <n v="4"/>
    <n v="3"/>
    <n v="0"/>
    <n v="1"/>
    <n v="0"/>
    <n v="0"/>
    <n v="0"/>
    <n v="0"/>
    <n v="0"/>
  </r>
  <r>
    <n v="1210"/>
    <n v="177622"/>
    <n v="0"/>
    <n v="2"/>
    <x v="0"/>
    <s v="Together"/>
    <s v="PhD"/>
    <s v="9/18/2020"/>
    <s v="Other"/>
    <n v="3"/>
    <n v="1190"/>
    <n v="16"/>
    <n v="352"/>
    <n v="43"/>
    <n v="0"/>
    <n v="32"/>
    <n v="1570"/>
    <n v="2"/>
    <n v="6"/>
    <n v="3"/>
    <n v="11"/>
    <n v="3"/>
    <n v="0"/>
    <n v="0"/>
    <n v="0"/>
    <n v="0"/>
    <n v="0"/>
    <n v="0"/>
    <n v="0"/>
  </r>
  <r>
    <n v="3023"/>
    <n v="176467"/>
    <n v="1"/>
    <n v="0"/>
    <x v="0"/>
    <s v="Single"/>
    <s v="Graduate"/>
    <s v="1/22/2019"/>
    <s v="California"/>
    <n v="44"/>
    <n v="1560"/>
    <n v="372"/>
    <n v="983"/>
    <n v="485"/>
    <n v="102"/>
    <n v="134"/>
    <n v="3367"/>
    <n v="2"/>
    <n v="2"/>
    <n v="5"/>
    <n v="5"/>
    <n v="6"/>
    <n v="0"/>
    <n v="1"/>
    <n v="0"/>
    <n v="0"/>
    <n v="0"/>
    <n v="0"/>
    <n v="0"/>
  </r>
  <r>
    <n v="2065"/>
    <n v="175345"/>
    <n v="0"/>
    <n v="0"/>
    <x v="0"/>
    <s v="Single"/>
    <s v="Master"/>
    <s v="7/10/2019"/>
    <s v="Illinois"/>
    <n v="16"/>
    <n v="2136"/>
    <n v="133"/>
    <n v="1960"/>
    <n v="230"/>
    <n v="88"/>
    <n v="310"/>
    <n v="4238"/>
    <n v="1"/>
    <n v="5"/>
    <n v="8"/>
    <n v="6"/>
    <n v="3"/>
    <n v="0"/>
    <n v="1"/>
    <n v="1"/>
    <n v="0"/>
    <n v="0"/>
    <n v="0"/>
    <n v="0"/>
  </r>
  <r>
    <n v="1065"/>
    <n v="174854"/>
    <n v="1"/>
    <n v="2"/>
    <x v="0"/>
    <s v="Together"/>
    <s v="Graduate"/>
    <s v="9/13/2019"/>
    <s v="Texas"/>
    <n v="90"/>
    <n v="2000"/>
    <n v="138"/>
    <n v="1138"/>
    <n v="135"/>
    <n v="68"/>
    <n v="171"/>
    <n v="3308"/>
    <n v="7"/>
    <n v="2"/>
    <n v="5"/>
    <n v="5"/>
    <n v="5"/>
    <n v="0"/>
    <n v="0"/>
    <n v="0"/>
    <n v="0"/>
    <n v="0"/>
    <n v="0"/>
    <n v="0"/>
  </r>
  <r>
    <n v="3076"/>
    <n v="172967"/>
    <n v="0"/>
    <n v="1"/>
    <x v="0"/>
    <s v="Divorced"/>
    <s v="Graduate"/>
    <s v="5/22/2019"/>
    <s v="Other"/>
    <n v="1"/>
    <n v="375"/>
    <n v="83"/>
    <n v="424"/>
    <n v="0"/>
    <n v="0"/>
    <n v="296"/>
    <n v="586"/>
    <n v="2"/>
    <n v="7"/>
    <n v="2"/>
    <n v="8"/>
    <n v="5"/>
    <n v="0"/>
    <n v="1"/>
    <n v="0"/>
    <n v="0"/>
    <n v="1"/>
    <n v="0"/>
    <n v="0"/>
  </r>
  <r>
    <n v="1255"/>
    <n v="172940"/>
    <n v="0"/>
    <n v="0"/>
    <x v="0"/>
    <s v="Married"/>
    <s v="Graduate"/>
    <s v="11/24/2019"/>
    <s v="Illinois"/>
    <n v="13"/>
    <n v="432"/>
    <n v="175"/>
    <n v="707"/>
    <n v="384"/>
    <n v="353"/>
    <n v="275"/>
    <n v="1776"/>
    <n v="1"/>
    <n v="3"/>
    <n v="3"/>
    <n v="6"/>
    <n v="1"/>
    <n v="0"/>
    <n v="0"/>
    <n v="0"/>
    <n v="0"/>
    <n v="0"/>
    <n v="0"/>
    <n v="0"/>
  </r>
  <r>
    <n v="2902"/>
    <n v="170617"/>
    <n v="0"/>
    <n v="0"/>
    <x v="0"/>
    <s v="Married"/>
    <s v="Graduate"/>
    <s v="11/28/2019"/>
    <s v="Other"/>
    <n v="45"/>
    <n v="853"/>
    <n v="147"/>
    <n v="1819"/>
    <n v="97"/>
    <n v="111"/>
    <n v="65"/>
    <n v="2962"/>
    <n v="1"/>
    <n v="3"/>
    <n v="3"/>
    <n v="7"/>
    <n v="2"/>
    <n v="0"/>
    <n v="0"/>
    <n v="0"/>
    <n v="0"/>
    <n v="0"/>
    <n v="0"/>
    <n v="0"/>
  </r>
  <r>
    <n v="1613"/>
    <n v="169084"/>
    <n v="1"/>
    <n v="0"/>
    <x v="0"/>
    <s v="Married"/>
    <s v="PhD"/>
    <s v="4/25/2020"/>
    <s v="California"/>
    <n v="43"/>
    <n v="2891"/>
    <n v="262"/>
    <n v="487"/>
    <n v="95"/>
    <n v="73"/>
    <n v="73"/>
    <n v="3735"/>
    <n v="2"/>
    <n v="7"/>
    <n v="3"/>
    <n v="13"/>
    <n v="8"/>
    <n v="0"/>
    <n v="0"/>
    <n v="0"/>
    <n v="0"/>
    <n v="0"/>
    <n v="0"/>
    <n v="0"/>
  </r>
  <r>
    <n v="2643"/>
    <n v="169084"/>
    <n v="1"/>
    <n v="0"/>
    <x v="0"/>
    <s v="Married"/>
    <s v="PhD"/>
    <s v="4/25/2020"/>
    <s v="Texas"/>
    <n v="43"/>
    <n v="2891"/>
    <n v="262"/>
    <n v="487"/>
    <n v="95"/>
    <n v="73"/>
    <n v="73"/>
    <n v="3735"/>
    <n v="2"/>
    <n v="7"/>
    <n v="3"/>
    <n v="13"/>
    <n v="8"/>
    <n v="0"/>
    <n v="0"/>
    <n v="0"/>
    <n v="0"/>
    <n v="0"/>
    <n v="0"/>
    <n v="0"/>
  </r>
  <r>
    <n v="2649"/>
    <n v="169016"/>
    <n v="0"/>
    <n v="1"/>
    <x v="0"/>
    <s v="Married"/>
    <s v="Graduate"/>
    <s v="4/29/2019"/>
    <s v="Texas"/>
    <n v="61"/>
    <n v="1778"/>
    <n v="130"/>
    <n v="889"/>
    <n v="301"/>
    <n v="262"/>
    <n v="394"/>
    <n v="2966"/>
    <n v="4"/>
    <n v="8"/>
    <n v="9"/>
    <n v="13"/>
    <n v="5"/>
    <n v="0"/>
    <n v="0"/>
    <n v="0"/>
    <n v="0"/>
    <n v="0"/>
    <n v="0"/>
    <n v="0"/>
  </r>
  <r>
    <n v="1918"/>
    <n v="167536"/>
    <n v="0"/>
    <n v="1"/>
    <x v="0"/>
    <s v="Married"/>
    <s v="PhD"/>
    <s v="10/27/2019"/>
    <s v="Other"/>
    <n v="45"/>
    <n v="3108"/>
    <n v="0"/>
    <n v="1109"/>
    <n v="57"/>
    <n v="176"/>
    <n v="87"/>
    <n v="4364"/>
    <n v="3"/>
    <n v="11"/>
    <n v="5"/>
    <n v="11"/>
    <n v="8"/>
    <n v="0"/>
    <n v="0"/>
    <n v="1"/>
    <n v="0"/>
    <n v="0"/>
    <n v="0"/>
    <n v="0"/>
  </r>
  <r>
    <n v="2445"/>
    <n v="167419"/>
    <n v="0"/>
    <n v="1"/>
    <x v="0"/>
    <s v="Together"/>
    <s v="Graduate"/>
    <s v="6/23/2019"/>
    <s v="Texas"/>
    <n v="29"/>
    <n v="2101"/>
    <n v="209"/>
    <n v="874"/>
    <n v="226"/>
    <n v="139"/>
    <n v="104"/>
    <n v="3444"/>
    <n v="4"/>
    <n v="9"/>
    <n v="4"/>
    <n v="8"/>
    <n v="5"/>
    <n v="0"/>
    <n v="0"/>
    <n v="0"/>
    <n v="0"/>
    <n v="0"/>
    <n v="0"/>
    <n v="0"/>
  </r>
  <r>
    <n v="2886"/>
    <n v="167384"/>
    <n v="0"/>
    <n v="1"/>
    <x v="0"/>
    <s v="Single"/>
    <s v="Graduate"/>
    <s v="4/17/2019"/>
    <s v="Florida"/>
    <n v="32"/>
    <n v="2377"/>
    <n v="99"/>
    <n v="435"/>
    <n v="392"/>
    <n v="132"/>
    <n v="266"/>
    <n v="3170"/>
    <n v="2"/>
    <n v="7"/>
    <n v="8"/>
    <n v="5"/>
    <n v="5"/>
    <n v="0"/>
    <n v="0"/>
    <n v="0"/>
    <n v="0"/>
    <n v="0"/>
    <n v="1"/>
    <n v="0"/>
  </r>
  <r>
    <n v="1035"/>
    <n v="167353"/>
    <n v="0"/>
    <n v="1"/>
    <x v="0"/>
    <s v="Married"/>
    <s v="PhD"/>
    <s v="6/6/2020"/>
    <s v="Texas"/>
    <n v="37"/>
    <n v="1744"/>
    <n v="42"/>
    <n v="375"/>
    <n v="0"/>
    <n v="20"/>
    <n v="87"/>
    <n v="2095"/>
    <n v="5"/>
    <n v="5"/>
    <n v="6"/>
    <n v="12"/>
    <n v="2"/>
    <n v="0"/>
    <n v="0"/>
    <n v="0"/>
    <n v="0"/>
    <n v="0"/>
    <n v="0"/>
    <n v="0"/>
  </r>
  <r>
    <n v="1654"/>
    <n v="166731"/>
    <n v="0"/>
    <n v="1"/>
    <x v="0"/>
    <s v="Widow"/>
    <s v="Graduate"/>
    <s v="2/17/2019"/>
    <s v="Other"/>
    <n v="33"/>
    <n v="927"/>
    <n v="397"/>
    <n v="485"/>
    <n v="145"/>
    <n v="265"/>
    <n v="352"/>
    <n v="1866"/>
    <n v="4"/>
    <n v="4"/>
    <n v="3"/>
    <n v="6"/>
    <n v="3"/>
    <n v="0"/>
    <n v="0"/>
    <n v="0"/>
    <n v="0"/>
    <n v="0"/>
    <n v="0"/>
    <n v="0"/>
  </r>
  <r>
    <n v="1796"/>
    <n v="165968"/>
    <n v="0"/>
    <n v="1"/>
    <x v="0"/>
    <s v="Together"/>
    <s v="PhD"/>
    <s v="10/16/2020"/>
    <s v="New York"/>
    <n v="12"/>
    <n v="946"/>
    <n v="23"/>
    <n v="209"/>
    <n v="48"/>
    <n v="10"/>
    <n v="10"/>
    <n v="1225"/>
    <n v="2"/>
    <n v="5"/>
    <n v="4"/>
    <n v="7"/>
    <n v="3"/>
    <n v="0"/>
    <n v="0"/>
    <n v="0"/>
    <n v="0"/>
    <n v="0"/>
    <n v="0"/>
    <n v="0"/>
  </r>
  <r>
    <n v="3139"/>
    <n v="165706"/>
    <n v="0"/>
    <n v="0"/>
    <x v="0"/>
    <s v="Divorced"/>
    <s v="Graduate"/>
    <s v="12/3/2019"/>
    <s v="Illinois"/>
    <n v="77"/>
    <n v="2315"/>
    <n v="25"/>
    <n v="325"/>
    <n v="33"/>
    <n v="0"/>
    <n v="325"/>
    <n v="2373"/>
    <n v="1"/>
    <n v="11"/>
    <n v="3"/>
    <n v="12"/>
    <n v="7"/>
    <n v="0"/>
    <n v="1"/>
    <n v="0"/>
    <n v="1"/>
    <n v="0"/>
    <n v="1"/>
    <n v="1"/>
  </r>
  <r>
    <n v="3048"/>
    <n v="164713"/>
    <n v="1"/>
    <n v="0"/>
    <x v="0"/>
    <s v="Divorced"/>
    <s v="Graduate"/>
    <s v="7/14/2020"/>
    <s v="Florida"/>
    <n v="11"/>
    <n v="458"/>
    <n v="153"/>
    <n v="613"/>
    <n v="33"/>
    <n v="137"/>
    <n v="137"/>
    <n v="1257"/>
    <n v="2"/>
    <n v="5"/>
    <n v="5"/>
    <n v="7"/>
    <n v="4"/>
    <n v="0"/>
    <n v="1"/>
    <n v="0"/>
    <n v="0"/>
    <n v="0"/>
    <n v="0"/>
    <n v="0"/>
  </r>
  <r>
    <n v="1557"/>
    <n v="164413"/>
    <n v="0"/>
    <n v="1"/>
    <x v="0"/>
    <s v="Together"/>
    <s v="PhD"/>
    <s v="1/6/2020"/>
    <s v="Texas"/>
    <n v="27"/>
    <n v="510"/>
    <n v="13"/>
    <n v="112"/>
    <n v="0"/>
    <n v="26"/>
    <n v="51"/>
    <n v="610"/>
    <n v="1"/>
    <n v="5"/>
    <n v="1"/>
    <n v="5"/>
    <n v="5"/>
    <n v="0"/>
    <n v="0"/>
    <n v="0"/>
    <n v="0"/>
    <n v="0"/>
    <n v="0"/>
    <n v="0"/>
  </r>
  <r>
    <n v="2981"/>
    <n v="163684"/>
    <n v="0"/>
    <n v="1"/>
    <x v="0"/>
    <s v="Married"/>
    <s v="Graduate"/>
    <s v="5/3/2019"/>
    <s v="California"/>
    <n v="61"/>
    <n v="1478"/>
    <n v="206"/>
    <n v="1100"/>
    <n v="535"/>
    <n v="239"/>
    <n v="206"/>
    <n v="3352"/>
    <n v="3"/>
    <n v="8"/>
    <n v="4"/>
    <n v="8"/>
    <n v="5"/>
    <n v="0"/>
    <n v="0"/>
    <n v="0"/>
    <n v="0"/>
    <n v="0"/>
    <n v="0"/>
    <n v="0"/>
  </r>
  <r>
    <n v="1547"/>
    <n v="162466"/>
    <n v="0"/>
    <n v="1"/>
    <x v="0"/>
    <s v="Married"/>
    <s v="Graduate"/>
    <s v="6/21/2020"/>
    <s v="California"/>
    <n v="13"/>
    <n v="336"/>
    <n v="336"/>
    <n v="674"/>
    <n v="437"/>
    <n v="315"/>
    <n v="216"/>
    <n v="1880"/>
    <n v="5"/>
    <n v="6"/>
    <n v="3"/>
    <n v="12"/>
    <n v="4"/>
    <n v="0"/>
    <n v="0"/>
    <n v="0"/>
    <n v="0"/>
    <n v="0"/>
    <n v="0"/>
    <n v="0"/>
  </r>
  <r>
    <n v="1615"/>
    <n v="162466"/>
    <n v="0"/>
    <n v="1"/>
    <x v="0"/>
    <s v="Married"/>
    <s v="Graduate"/>
    <s v="6/21/2020"/>
    <s v="Illinois"/>
    <n v="13"/>
    <n v="336"/>
    <n v="336"/>
    <n v="674"/>
    <n v="437"/>
    <n v="315"/>
    <n v="216"/>
    <n v="1880"/>
    <n v="5"/>
    <n v="6"/>
    <n v="3"/>
    <n v="12"/>
    <n v="4"/>
    <n v="0"/>
    <n v="0"/>
    <n v="0"/>
    <n v="0"/>
    <n v="0"/>
    <n v="0"/>
    <n v="0"/>
  </r>
  <r>
    <n v="1781"/>
    <n v="161872"/>
    <n v="0"/>
    <n v="1"/>
    <x v="0"/>
    <s v="Married"/>
    <s v="Master"/>
    <s v="5/19/2020"/>
    <s v="California"/>
    <n v="81"/>
    <n v="863"/>
    <n v="13"/>
    <n v="416"/>
    <n v="94"/>
    <n v="71"/>
    <n v="42"/>
    <n v="1415"/>
    <n v="4"/>
    <n v="4"/>
    <n v="4"/>
    <n v="9"/>
    <n v="4"/>
    <n v="0"/>
    <n v="0"/>
    <n v="0"/>
    <n v="0"/>
    <n v="0"/>
    <n v="0"/>
    <n v="0"/>
  </r>
  <r>
    <n v="3213"/>
    <n v="161757"/>
    <n v="0"/>
    <n v="0"/>
    <x v="0"/>
    <s v="Single"/>
    <s v="Master"/>
    <s v="1/26/2019"/>
    <s v="Texas"/>
    <n v="71"/>
    <n v="2234"/>
    <n v="26"/>
    <n v="375"/>
    <n v="34"/>
    <n v="26"/>
    <n v="52"/>
    <n v="2643"/>
    <n v="2"/>
    <n v="9"/>
    <n v="4"/>
    <n v="12"/>
    <n v="8"/>
    <n v="0"/>
    <n v="0"/>
    <n v="0"/>
    <n v="0"/>
    <n v="0"/>
    <n v="0"/>
    <n v="0"/>
  </r>
  <r>
    <n v="1672"/>
    <n v="161209"/>
    <n v="0"/>
    <n v="0"/>
    <x v="0"/>
    <s v="Single"/>
    <s v="Graduate"/>
    <s v="1/30/2020"/>
    <s v="Other"/>
    <n v="73"/>
    <n v="1227"/>
    <n v="0"/>
    <n v="590"/>
    <n v="313"/>
    <n v="129"/>
    <n v="261"/>
    <n v="1999"/>
    <n v="1"/>
    <n v="5"/>
    <n v="3"/>
    <n v="4"/>
    <n v="2"/>
    <n v="0"/>
    <n v="0"/>
    <n v="0"/>
    <n v="0"/>
    <n v="0"/>
    <n v="0"/>
    <n v="0"/>
  </r>
  <r>
    <n v="2453"/>
    <n v="159892"/>
    <n v="0"/>
    <n v="1"/>
    <x v="0"/>
    <s v="Married"/>
    <s v="PhD"/>
    <s v="4/8/2020"/>
    <s v="California"/>
    <n v="26"/>
    <n v="195"/>
    <n v="0"/>
    <n v="35"/>
    <n v="0"/>
    <n v="3"/>
    <n v="0"/>
    <n v="232"/>
    <n v="1"/>
    <n v="2"/>
    <n v="1"/>
    <n v="3"/>
    <n v="3"/>
    <n v="0"/>
    <n v="0"/>
    <n v="0"/>
    <n v="0"/>
    <n v="0"/>
    <n v="0"/>
    <n v="0"/>
  </r>
  <r>
    <n v="1699"/>
    <n v="158710"/>
    <n v="0"/>
    <n v="1"/>
    <x v="0"/>
    <s v="Divorced"/>
    <s v="Graduate"/>
    <s v="9/5/2019"/>
    <s v="Illinois"/>
    <n v="77"/>
    <n v="1189"/>
    <n v="219"/>
    <n v="995"/>
    <n v="0"/>
    <n v="330"/>
    <n v="470"/>
    <n v="2263"/>
    <n v="6"/>
    <n v="11"/>
    <n v="5"/>
    <n v="9"/>
    <n v="6"/>
    <n v="0"/>
    <n v="0"/>
    <n v="0"/>
    <n v="0"/>
    <n v="0"/>
    <n v="0"/>
    <n v="0"/>
  </r>
  <r>
    <n v="3192"/>
    <n v="157642"/>
    <n v="0"/>
    <n v="1"/>
    <x v="0"/>
    <s v="Single"/>
    <s v="PhD"/>
    <s v="6/15/2020"/>
    <s v="Florida"/>
    <n v="24"/>
    <n v="1586"/>
    <n v="16"/>
    <n v="159"/>
    <n v="22"/>
    <n v="0"/>
    <n v="74"/>
    <n v="1709"/>
    <n v="3"/>
    <n v="7"/>
    <n v="6"/>
    <n v="6"/>
    <n v="4"/>
    <n v="0"/>
    <n v="0"/>
    <n v="0"/>
    <n v="0"/>
    <n v="1"/>
    <n v="0"/>
    <n v="0"/>
  </r>
  <r>
    <n v="1630"/>
    <n v="155282"/>
    <n v="1"/>
    <n v="0"/>
    <x v="0"/>
    <s v="Divorced"/>
    <s v="Master"/>
    <s v="5/19/2020"/>
    <s v="Other"/>
    <n v="9"/>
    <n v="351"/>
    <n v="17"/>
    <n v="205"/>
    <n v="22"/>
    <n v="11"/>
    <n v="53"/>
    <n v="553"/>
    <n v="1"/>
    <n v="3"/>
    <n v="1"/>
    <n v="6"/>
    <n v="4"/>
    <n v="0"/>
    <n v="0"/>
    <n v="0"/>
    <n v="0"/>
    <n v="0"/>
    <n v="0"/>
    <n v="0"/>
  </r>
  <r>
    <n v="2236"/>
    <n v="155158"/>
    <n v="1"/>
    <n v="1"/>
    <x v="0"/>
    <s v="Married"/>
    <s v="PhD"/>
    <s v="1/4/2019"/>
    <s v="Other"/>
    <n v="72"/>
    <n v="824"/>
    <n v="0"/>
    <n v="245"/>
    <n v="11"/>
    <n v="31"/>
    <n v="65"/>
    <n v="1046"/>
    <n v="4"/>
    <n v="7"/>
    <n v="2"/>
    <n v="5"/>
    <n v="7"/>
    <n v="0"/>
    <n v="1"/>
    <n v="0"/>
    <n v="0"/>
    <n v="0"/>
    <n v="0"/>
    <n v="0"/>
  </r>
  <r>
    <n v="1882"/>
    <n v="154137"/>
    <n v="0"/>
    <n v="1"/>
    <x v="0"/>
    <s v="Divorced"/>
    <s v="Graduate"/>
    <s v="1/21/2020"/>
    <s v="Other"/>
    <n v="46"/>
    <n v="487"/>
    <n v="0"/>
    <n v="31"/>
    <n v="0"/>
    <n v="3"/>
    <n v="57"/>
    <n v="464"/>
    <n v="2"/>
    <n v="4"/>
    <n v="1"/>
    <n v="4"/>
    <n v="6"/>
    <n v="0"/>
    <n v="0"/>
    <n v="0"/>
    <n v="0"/>
    <n v="0"/>
    <n v="0"/>
    <n v="0"/>
  </r>
  <r>
    <n v="2084"/>
    <n v="153187"/>
    <n v="1"/>
    <n v="0"/>
    <x v="0"/>
    <s v="Together"/>
    <s v="Graduate"/>
    <s v="4/1/2020"/>
    <s v="New York"/>
    <n v="66"/>
    <n v="608"/>
    <n v="6"/>
    <n v="86"/>
    <n v="20"/>
    <n v="20"/>
    <n v="29"/>
    <n v="711"/>
    <n v="2"/>
    <n v="4"/>
    <n v="1"/>
    <n v="6"/>
    <n v="5"/>
    <n v="0"/>
    <n v="0"/>
    <n v="0"/>
    <n v="0"/>
    <n v="0"/>
    <n v="0"/>
    <n v="0"/>
  </r>
  <r>
    <n v="1161"/>
    <n v="150447"/>
    <n v="2"/>
    <n v="0"/>
    <x v="0"/>
    <s v="Married"/>
    <s v="Graduate"/>
    <s v="9/25/2020"/>
    <s v="Texas"/>
    <n v="4"/>
    <n v="253"/>
    <n v="21"/>
    <n v="72"/>
    <n v="6"/>
    <n v="9"/>
    <n v="81"/>
    <n v="280"/>
    <n v="1"/>
    <n v="3"/>
    <n v="1"/>
    <n v="3"/>
    <n v="6"/>
    <n v="0"/>
    <n v="0"/>
    <n v="0"/>
    <n v="0"/>
    <n v="0"/>
    <n v="0"/>
    <n v="0"/>
  </r>
  <r>
    <n v="3198"/>
    <n v="144802"/>
    <n v="0"/>
    <n v="0"/>
    <x v="0"/>
    <s v="Single"/>
    <s v="Master"/>
    <s v="1/26/2019"/>
    <s v="Florida"/>
    <n v="71"/>
    <n v="2757"/>
    <n v="32"/>
    <n v="462"/>
    <n v="42"/>
    <n v="32"/>
    <n v="65"/>
    <n v="3261"/>
    <n v="2"/>
    <n v="9"/>
    <n v="4"/>
    <n v="12"/>
    <n v="8"/>
    <n v="0"/>
    <n v="0"/>
    <n v="0"/>
    <n v="0"/>
    <n v="0"/>
    <n v="0"/>
    <n v="0"/>
  </r>
  <r>
    <n v="2380"/>
    <n v="144511"/>
    <n v="1"/>
    <n v="0"/>
    <x v="0"/>
    <s v="Married"/>
    <s v="Master"/>
    <s v="3/19/2019"/>
    <s v="Other"/>
    <n v="39"/>
    <n v="1666"/>
    <n v="23"/>
    <n v="432"/>
    <n v="149"/>
    <n v="45"/>
    <n v="45"/>
    <n v="2269"/>
    <n v="6"/>
    <n v="8"/>
    <n v="4"/>
    <n v="8"/>
    <n v="8"/>
    <n v="0"/>
    <n v="0"/>
    <n v="0"/>
    <n v="0"/>
    <n v="0"/>
    <n v="0"/>
    <n v="0"/>
  </r>
  <r>
    <n v="2283"/>
    <n v="144267"/>
    <n v="1"/>
    <n v="1"/>
    <x v="0"/>
    <s v="Divorced"/>
    <s v="Graduate"/>
    <s v="8/2/2019"/>
    <s v="Texas"/>
    <n v="48"/>
    <n v="596"/>
    <n v="16"/>
    <n v="212"/>
    <n v="10"/>
    <n v="16"/>
    <n v="160"/>
    <n v="691"/>
    <n v="5"/>
    <n v="5"/>
    <n v="2"/>
    <n v="4"/>
    <n v="9"/>
    <n v="0"/>
    <n v="0"/>
    <n v="0"/>
    <n v="0"/>
    <n v="0"/>
    <n v="0"/>
    <n v="0"/>
  </r>
  <r>
    <n v="1249"/>
    <n v="144159"/>
    <n v="1"/>
    <n v="0"/>
    <x v="0"/>
    <s v="Married"/>
    <s v="Master"/>
    <s v="11/21/2020"/>
    <s v="Illinois"/>
    <n v="85"/>
    <n v="545"/>
    <n v="7"/>
    <n v="202"/>
    <n v="78"/>
    <n v="42"/>
    <n v="23"/>
    <n v="852"/>
    <n v="4"/>
    <n v="4"/>
    <n v="1"/>
    <n v="6"/>
    <n v="5"/>
    <n v="0"/>
    <n v="0"/>
    <n v="0"/>
    <n v="0"/>
    <n v="0"/>
    <n v="0"/>
    <n v="0"/>
  </r>
  <r>
    <n v="3020"/>
    <n v="143020"/>
    <n v="1"/>
    <n v="0"/>
    <x v="0"/>
    <s v="Single"/>
    <s v="Graduate"/>
    <s v="5/6/2020"/>
    <s v="New York"/>
    <n v="79"/>
    <n v="150"/>
    <n v="23"/>
    <n v="329"/>
    <n v="13"/>
    <n v="83"/>
    <n v="143"/>
    <n v="455"/>
    <n v="3"/>
    <n v="4"/>
    <n v="1"/>
    <n v="4"/>
    <n v="6"/>
    <n v="0"/>
    <n v="0"/>
    <n v="0"/>
    <n v="0"/>
    <n v="0"/>
    <n v="0"/>
    <n v="0"/>
  </r>
  <r>
    <n v="1031"/>
    <n v="140548"/>
    <n v="0"/>
    <n v="1"/>
    <x v="0"/>
    <s v="Together"/>
    <s v="Graduate"/>
    <s v="3/17/2019"/>
    <s v="California"/>
    <n v="31"/>
    <n v="381"/>
    <n v="0"/>
    <n v="17"/>
    <n v="7"/>
    <n v="0"/>
    <n v="10"/>
    <n v="395"/>
    <n v="2"/>
    <n v="2"/>
    <n v="1"/>
    <n v="4"/>
    <n v="5"/>
    <n v="0"/>
    <n v="0"/>
    <n v="0"/>
    <n v="0"/>
    <n v="0"/>
    <n v="1"/>
    <n v="0"/>
  </r>
  <r>
    <n v="1166"/>
    <n v="138853"/>
    <n v="1"/>
    <n v="1"/>
    <x v="0"/>
    <s v="Married"/>
    <s v="PhD"/>
    <s v="10/27/2020"/>
    <s v="New York"/>
    <n v="90"/>
    <n v="104"/>
    <n v="0"/>
    <n v="50"/>
    <n v="0"/>
    <n v="0"/>
    <n v="7"/>
    <n v="147"/>
    <n v="2"/>
    <n v="2"/>
    <n v="0"/>
    <n v="3"/>
    <n v="7"/>
    <n v="0"/>
    <n v="0"/>
    <n v="0"/>
    <n v="0"/>
    <n v="0"/>
    <n v="0"/>
    <n v="0"/>
  </r>
  <r>
    <n v="1553"/>
    <n v="138200"/>
    <n v="1"/>
    <n v="1"/>
    <x v="0"/>
    <s v="Together"/>
    <s v="Graduate"/>
    <s v="5/14/2019"/>
    <s v="California"/>
    <n v="19"/>
    <n v="43"/>
    <n v="0"/>
    <n v="14"/>
    <n v="0"/>
    <n v="0"/>
    <n v="4"/>
    <n v="54"/>
    <n v="1"/>
    <n v="1"/>
    <n v="0"/>
    <n v="2"/>
    <n v="7"/>
    <n v="0"/>
    <n v="0"/>
    <n v="0"/>
    <n v="0"/>
    <n v="0"/>
    <n v="0"/>
    <n v="0"/>
  </r>
  <r>
    <n v="1254"/>
    <n v="138097"/>
    <n v="1"/>
    <n v="1"/>
    <x v="0"/>
    <s v="Married"/>
    <s v="PhD"/>
    <s v="3/22/2019"/>
    <s v="Florida"/>
    <n v="70"/>
    <n v="279"/>
    <n v="7"/>
    <n v="127"/>
    <n v="0"/>
    <n v="4"/>
    <n v="250"/>
    <n v="167"/>
    <n v="4"/>
    <n v="3"/>
    <n v="2"/>
    <n v="2"/>
    <n v="7"/>
    <n v="0"/>
    <n v="1"/>
    <n v="0"/>
    <n v="0"/>
    <n v="1"/>
    <n v="0"/>
    <n v="0"/>
  </r>
  <r>
    <n v="1081"/>
    <n v="136138"/>
    <n v="1"/>
    <n v="1"/>
    <x v="0"/>
    <s v="Married"/>
    <s v="Master"/>
    <s v="12/21/2019"/>
    <s v="Illinois"/>
    <n v="48"/>
    <n v="490"/>
    <n v="0"/>
    <n v="60"/>
    <n v="0"/>
    <n v="0"/>
    <n v="19"/>
    <n v="531"/>
    <n v="5"/>
    <n v="3"/>
    <n v="1"/>
    <n v="4"/>
    <n v="7"/>
    <n v="0"/>
    <n v="0"/>
    <n v="0"/>
    <n v="0"/>
    <n v="0"/>
    <n v="1"/>
    <n v="0"/>
  </r>
  <r>
    <n v="1687"/>
    <n v="135682"/>
    <n v="1"/>
    <n v="0"/>
    <x v="0"/>
    <s v="Divorced"/>
    <s v="PhD"/>
    <s v="12/1/2020"/>
    <s v="Illinois"/>
    <n v="34"/>
    <n v="87"/>
    <n v="0"/>
    <n v="30"/>
    <n v="23"/>
    <n v="8"/>
    <n v="68"/>
    <n v="80"/>
    <n v="1"/>
    <n v="1"/>
    <n v="1"/>
    <n v="3"/>
    <n v="2"/>
    <n v="0"/>
    <n v="0"/>
    <n v="0"/>
    <n v="0"/>
    <n v="0"/>
    <n v="0"/>
    <n v="0"/>
  </r>
  <r>
    <n v="2266"/>
    <n v="133986"/>
    <n v="1"/>
    <n v="0"/>
    <x v="0"/>
    <s v="Divorced"/>
    <s v="Graduate"/>
    <s v="8/19/2019"/>
    <s v="Other"/>
    <n v="43"/>
    <n v="63"/>
    <n v="8"/>
    <n v="71"/>
    <n v="8"/>
    <n v="4"/>
    <n v="20"/>
    <n v="134"/>
    <n v="1"/>
    <n v="1"/>
    <n v="0"/>
    <n v="3"/>
    <n v="7"/>
    <n v="0"/>
    <n v="0"/>
    <n v="0"/>
    <n v="0"/>
    <n v="0"/>
    <n v="0"/>
    <n v="0"/>
  </r>
  <r>
    <n v="1729"/>
    <n v="133697"/>
    <n v="1"/>
    <n v="0"/>
    <x v="0"/>
    <s v="Single"/>
    <s v="Graduate"/>
    <s v="2/20/2020"/>
    <s v="Illinois"/>
    <n v="34"/>
    <n v="16"/>
    <n v="12"/>
    <n v="28"/>
    <n v="0"/>
    <n v="12"/>
    <n v="44"/>
    <n v="24"/>
    <n v="1"/>
    <n v="1"/>
    <n v="0"/>
    <n v="2"/>
    <n v="7"/>
    <n v="0"/>
    <n v="0"/>
    <n v="0"/>
    <n v="0"/>
    <n v="1"/>
    <n v="0"/>
    <n v="0"/>
  </r>
  <r>
    <n v="1175"/>
    <n v="132303"/>
    <n v="0"/>
    <n v="1"/>
    <x v="0"/>
    <s v="Single"/>
    <s v="PhD"/>
    <s v="8/12/2020"/>
    <s v="California"/>
    <n v="63"/>
    <n v="143"/>
    <n v="0"/>
    <n v="8"/>
    <n v="0"/>
    <n v="0"/>
    <n v="8"/>
    <n v="143"/>
    <n v="2"/>
    <n v="1"/>
    <n v="0"/>
    <n v="4"/>
    <n v="5"/>
    <n v="0"/>
    <n v="0"/>
    <n v="0"/>
    <n v="0"/>
    <n v="0"/>
    <n v="0"/>
    <n v="0"/>
  </r>
  <r>
    <n v="1451"/>
    <n v="131880"/>
    <n v="1"/>
    <n v="0"/>
    <x v="0"/>
    <s v="Widow"/>
    <s v="Graduate"/>
    <s v="4/7/2019"/>
    <s v="California"/>
    <n v="13"/>
    <n v="17"/>
    <n v="4"/>
    <n v="21"/>
    <n v="8"/>
    <n v="0"/>
    <n v="12"/>
    <n v="37"/>
    <n v="1"/>
    <n v="1"/>
    <n v="0"/>
    <n v="2"/>
    <n v="8"/>
    <n v="0"/>
    <n v="0"/>
    <n v="0"/>
    <n v="0"/>
    <n v="0"/>
    <n v="0"/>
    <n v="0"/>
  </r>
  <r>
    <n v="1418"/>
    <n v="130015"/>
    <n v="1"/>
    <n v="0"/>
    <x v="0"/>
    <s v="Single"/>
    <s v="Graduate"/>
    <s v="7/9/2020"/>
    <s v="New York"/>
    <n v="28"/>
    <n v="108"/>
    <n v="0"/>
    <n v="95"/>
    <n v="9"/>
    <n v="13"/>
    <n v="22"/>
    <n v="204"/>
    <n v="2"/>
    <n v="1"/>
    <n v="0"/>
    <n v="4"/>
    <n v="5"/>
    <n v="0"/>
    <n v="0"/>
    <n v="0"/>
    <n v="0"/>
    <n v="0"/>
    <n v="0"/>
    <n v="0"/>
  </r>
  <r>
    <n v="1356"/>
    <n v="129548"/>
    <n v="1"/>
    <n v="0"/>
    <x v="0"/>
    <s v="Single"/>
    <s v="Master"/>
    <s v="2/3/2020"/>
    <s v="Florida"/>
    <n v="52"/>
    <n v="31"/>
    <n v="4"/>
    <n v="26"/>
    <n v="13"/>
    <n v="4"/>
    <n v="48"/>
    <n v="31"/>
    <n v="1"/>
    <n v="1"/>
    <n v="1"/>
    <n v="2"/>
    <n v="4"/>
    <n v="0"/>
    <n v="0"/>
    <n v="0"/>
    <n v="0"/>
    <n v="1"/>
    <n v="0"/>
    <n v="0"/>
  </r>
  <r>
    <n v="2401"/>
    <n v="128164"/>
    <n v="1"/>
    <n v="0"/>
    <x v="0"/>
    <s v="Married"/>
    <s v="Graduate"/>
    <s v="10/9/2019"/>
    <s v="Illinois"/>
    <n v="23"/>
    <n v="14"/>
    <n v="82"/>
    <n v="118"/>
    <n v="50"/>
    <n v="36"/>
    <n v="55"/>
    <n v="246"/>
    <n v="3"/>
    <n v="2"/>
    <n v="0"/>
    <n v="4"/>
    <n v="7"/>
    <n v="0"/>
    <n v="0"/>
    <n v="0"/>
    <n v="0"/>
    <n v="0"/>
    <n v="0"/>
    <n v="0"/>
  </r>
  <r>
    <n v="2495"/>
    <n v="127242"/>
    <n v="1"/>
    <n v="0"/>
    <x v="0"/>
    <s v="Single"/>
    <s v="Graduate"/>
    <s v="4/18/2019"/>
    <s v="California"/>
    <n v="2"/>
    <n v="14"/>
    <n v="79"/>
    <n v="121"/>
    <n v="93"/>
    <n v="5"/>
    <n v="182"/>
    <n v="131"/>
    <n v="2"/>
    <n v="2"/>
    <n v="0"/>
    <n v="3"/>
    <n v="9"/>
    <n v="0"/>
    <n v="1"/>
    <n v="0"/>
    <n v="0"/>
    <n v="0"/>
    <n v="0"/>
    <n v="0"/>
  </r>
  <r>
    <n v="2034"/>
    <n v="125959"/>
    <n v="1"/>
    <n v="1"/>
    <x v="0"/>
    <s v="Divorced"/>
    <s v="Graduate"/>
    <s v="7/22/2019"/>
    <s v="Florida"/>
    <n v="1"/>
    <n v="19"/>
    <n v="10"/>
    <n v="58"/>
    <n v="34"/>
    <n v="24"/>
    <n v="126"/>
    <n v="19"/>
    <n v="2"/>
    <n v="1"/>
    <n v="2"/>
    <n v="2"/>
    <n v="6"/>
    <n v="0"/>
    <n v="1"/>
    <n v="0"/>
    <n v="0"/>
    <n v="0"/>
    <n v="0"/>
    <n v="0"/>
  </r>
  <r>
    <n v="2975"/>
    <n v="124206"/>
    <n v="1"/>
    <n v="0"/>
    <x v="0"/>
    <s v="Single"/>
    <s v="Graduate"/>
    <s v="8/13/2019"/>
    <s v="California"/>
    <n v="66"/>
    <n v="36"/>
    <n v="10"/>
    <n v="41"/>
    <n v="15"/>
    <n v="10"/>
    <n v="15"/>
    <n v="97"/>
    <n v="1"/>
    <n v="1"/>
    <n v="0"/>
    <n v="3"/>
    <n v="6"/>
    <n v="0"/>
    <n v="0"/>
    <n v="0"/>
    <n v="0"/>
    <n v="0"/>
    <n v="0"/>
    <n v="0"/>
  </r>
  <r>
    <n v="2067"/>
    <n v="124163"/>
    <n v="1"/>
    <n v="1"/>
    <x v="0"/>
    <s v="Single"/>
    <s v="Graduate"/>
    <s v="3/18/2020"/>
    <s v="Texas"/>
    <n v="3"/>
    <n v="21"/>
    <n v="5"/>
    <n v="36"/>
    <n v="10"/>
    <n v="5"/>
    <n v="10"/>
    <n v="67"/>
    <n v="2"/>
    <n v="1"/>
    <n v="0"/>
    <n v="3"/>
    <n v="4"/>
    <n v="0"/>
    <n v="0"/>
    <n v="0"/>
    <n v="0"/>
    <n v="0"/>
    <n v="0"/>
    <n v="0"/>
  </r>
  <r>
    <n v="1086"/>
    <n v="123626"/>
    <n v="1"/>
    <n v="0"/>
    <x v="0"/>
    <s v="Married"/>
    <s v="PhD"/>
    <s v="10/28/2020"/>
    <s v="Florida"/>
    <n v="84"/>
    <n v="141"/>
    <n v="10"/>
    <n v="73"/>
    <n v="0"/>
    <n v="0"/>
    <n v="0"/>
    <n v="225"/>
    <n v="3"/>
    <n v="3"/>
    <n v="1"/>
    <n v="3"/>
    <n v="5"/>
    <n v="0"/>
    <n v="0"/>
    <n v="0"/>
    <n v="0"/>
    <n v="0"/>
    <n v="0"/>
    <n v="0"/>
  </r>
  <r>
    <n v="2446"/>
    <n v="123162"/>
    <n v="1"/>
    <n v="1"/>
    <x v="0"/>
    <s v="Married"/>
    <s v="Graduate"/>
    <s v="5/27/2020"/>
    <s v="Other"/>
    <n v="82"/>
    <n v="43"/>
    <n v="16"/>
    <n v="48"/>
    <n v="101"/>
    <n v="21"/>
    <n v="117"/>
    <n v="112"/>
    <n v="3"/>
    <n v="1"/>
    <n v="1"/>
    <n v="3"/>
    <n v="6"/>
    <n v="0"/>
    <n v="0"/>
    <n v="0"/>
    <n v="0"/>
    <n v="0"/>
    <n v="0"/>
    <n v="0"/>
  </r>
  <r>
    <n v="2977"/>
    <n v="122979"/>
    <n v="1"/>
    <n v="0"/>
    <x v="0"/>
    <s v="Married"/>
    <s v="Graduate"/>
    <s v="2/11/2019"/>
    <s v="Illinois"/>
    <n v="29"/>
    <n v="86"/>
    <n v="91"/>
    <n v="102"/>
    <n v="107"/>
    <n v="112"/>
    <n v="118"/>
    <n v="380"/>
    <n v="3"/>
    <n v="3"/>
    <n v="2"/>
    <n v="2"/>
    <n v="8"/>
    <n v="0"/>
    <n v="1"/>
    <n v="0"/>
    <n v="0"/>
    <n v="0"/>
    <n v="0"/>
    <n v="0"/>
  </r>
  <r>
    <n v="1360"/>
    <n v="122585"/>
    <n v="0"/>
    <n v="0"/>
    <x v="0"/>
    <s v="Single"/>
    <s v="Graduate"/>
    <s v="8/23/2019"/>
    <s v="Other"/>
    <n v="23"/>
    <n v="16"/>
    <n v="49"/>
    <n v="81"/>
    <n v="71"/>
    <n v="11"/>
    <n v="212"/>
    <n v="16"/>
    <n v="1"/>
    <n v="1"/>
    <n v="1"/>
    <n v="2"/>
    <n v="9"/>
    <n v="0"/>
    <n v="1"/>
    <n v="0"/>
    <n v="0"/>
    <n v="1"/>
    <n v="0"/>
    <n v="0"/>
  </r>
  <r>
    <n v="1256"/>
    <n v="122070"/>
    <n v="1"/>
    <n v="0"/>
    <x v="0"/>
    <s v="Together"/>
    <s v="Graduate"/>
    <s v="3/10/2020"/>
    <s v="New York"/>
    <n v="11"/>
    <n v="55"/>
    <n v="39"/>
    <n v="105"/>
    <n v="44"/>
    <n v="11"/>
    <n v="116"/>
    <n v="138"/>
    <n v="2"/>
    <n v="2"/>
    <n v="2"/>
    <n v="2"/>
    <n v="6"/>
    <n v="0"/>
    <n v="0"/>
    <n v="0"/>
    <n v="0"/>
    <n v="0"/>
    <n v="0"/>
    <n v="0"/>
  </r>
  <r>
    <n v="1763"/>
    <n v="120587"/>
    <n v="1"/>
    <n v="0"/>
    <x v="0"/>
    <s v="Single"/>
    <s v="Graduate"/>
    <s v="10/15/2020"/>
    <s v="California"/>
    <n v="39"/>
    <n v="12"/>
    <n v="18"/>
    <n v="35"/>
    <n v="23"/>
    <n v="6"/>
    <n v="53"/>
    <n v="41"/>
    <n v="1"/>
    <n v="1"/>
    <n v="1"/>
    <n v="2"/>
    <n v="7"/>
    <n v="0"/>
    <n v="0"/>
    <n v="0"/>
    <n v="0"/>
    <n v="0"/>
    <n v="0"/>
    <n v="0"/>
  </r>
  <r>
    <n v="3105"/>
    <n v="120587"/>
    <n v="1"/>
    <n v="0"/>
    <x v="0"/>
    <s v="Single"/>
    <s v="Graduate"/>
    <s v="10/15/2020"/>
    <s v="Texas"/>
    <n v="39"/>
    <n v="12"/>
    <n v="18"/>
    <n v="35"/>
    <n v="23"/>
    <n v="6"/>
    <n v="53"/>
    <n v="41"/>
    <n v="1"/>
    <n v="1"/>
    <n v="1"/>
    <n v="2"/>
    <n v="7"/>
    <n v="0"/>
    <n v="0"/>
    <n v="0"/>
    <n v="0"/>
    <n v="0"/>
    <n v="0"/>
    <n v="0"/>
  </r>
  <r>
    <n v="2248"/>
    <n v="119656"/>
    <n v="1"/>
    <n v="0"/>
    <x v="0"/>
    <s v="Together"/>
    <s v="Graduate"/>
    <s v="7/16/2019"/>
    <s v="Other"/>
    <n v="94"/>
    <n v="152"/>
    <n v="24"/>
    <n v="55"/>
    <n v="37"/>
    <n v="49"/>
    <n v="195"/>
    <n v="122"/>
    <n v="3"/>
    <n v="2"/>
    <n v="1"/>
    <n v="3"/>
    <n v="7"/>
    <n v="0"/>
    <n v="0"/>
    <n v="0"/>
    <n v="0"/>
    <n v="0"/>
    <n v="0"/>
    <n v="0"/>
  </r>
  <r>
    <n v="1542"/>
    <n v="115315"/>
    <n v="0"/>
    <n v="0"/>
    <x v="0"/>
    <s v="Married"/>
    <s v="Graduate"/>
    <s v="1/8/2020"/>
    <s v="Florida"/>
    <n v="27"/>
    <n v="53"/>
    <n v="30"/>
    <n v="98"/>
    <n v="113"/>
    <n v="60"/>
    <n v="128"/>
    <n v="226"/>
    <n v="2"/>
    <n v="2"/>
    <n v="0"/>
    <n v="4"/>
    <n v="5"/>
    <n v="0"/>
    <n v="0"/>
    <n v="0"/>
    <n v="0"/>
    <n v="0"/>
    <n v="0"/>
    <n v="0"/>
  </r>
  <r>
    <n v="2088"/>
    <n v="115315"/>
    <n v="0"/>
    <n v="0"/>
    <x v="0"/>
    <s v="Married"/>
    <s v="Graduate"/>
    <s v="1/8/2020"/>
    <s v="Florida"/>
    <n v="27"/>
    <n v="53"/>
    <n v="30"/>
    <n v="98"/>
    <n v="113"/>
    <n v="60"/>
    <n v="128"/>
    <n v="226"/>
    <n v="2"/>
    <n v="2"/>
    <n v="0"/>
    <n v="4"/>
    <n v="5"/>
    <n v="0"/>
    <n v="0"/>
    <n v="0"/>
    <n v="0"/>
    <n v="0"/>
    <n v="0"/>
    <n v="0"/>
  </r>
  <r>
    <n v="1561"/>
    <n v="113260"/>
    <n v="1"/>
    <n v="1"/>
    <x v="0"/>
    <s v="Married"/>
    <s v="Graduate"/>
    <s v="1/28/2020"/>
    <s v="Illinois"/>
    <n v="48"/>
    <n v="77"/>
    <n v="34"/>
    <n v="145"/>
    <n v="85"/>
    <n v="17"/>
    <n v="60"/>
    <n v="299"/>
    <n v="4"/>
    <n v="3"/>
    <n v="0"/>
    <n v="3"/>
    <n v="8"/>
    <n v="0"/>
    <n v="0"/>
    <n v="0"/>
    <n v="0"/>
    <n v="0"/>
    <n v="0"/>
    <n v="0"/>
  </r>
  <r>
    <n v="3218"/>
    <n v="167312"/>
    <n v="0"/>
    <n v="0"/>
    <x v="0"/>
    <s v="Divorced"/>
    <s v="Graduate"/>
    <d v="2020-01-07T00:00:00"/>
    <s v="New York"/>
    <n v="91"/>
    <n v="2257"/>
    <n v="119"/>
    <n v="539"/>
    <n v="80"/>
    <n v="30"/>
    <n v="60"/>
    <n v="2965"/>
    <n v="1"/>
    <n v="2"/>
    <n v="3"/>
    <n v="6"/>
    <n v="6"/>
    <n v="0"/>
    <n v="0"/>
    <n v="0"/>
    <n v="0"/>
    <n v="0"/>
    <n v="1"/>
    <n v="0"/>
  </r>
  <r>
    <n v="2449"/>
    <n v="194871"/>
    <n v="0"/>
    <n v="2"/>
    <x v="27"/>
    <s v="Married"/>
    <s v="PhD"/>
    <s v="2/6/2019"/>
    <s v="Illinois"/>
    <n v="99"/>
    <n v="347"/>
    <n v="49"/>
    <n v="1136"/>
    <n v="386"/>
    <n v="0"/>
    <n v="296"/>
    <n v="1623"/>
    <n v="1"/>
    <n v="8"/>
    <n v="5"/>
    <n v="4"/>
    <n v="7"/>
    <n v="0"/>
    <n v="1"/>
    <n v="0"/>
    <n v="0"/>
    <n v="0"/>
    <n v="1"/>
    <n v="1"/>
  </r>
  <r>
    <n v="2150"/>
    <n v="181657"/>
    <n v="0"/>
    <n v="0"/>
    <x v="27"/>
    <s v="Single"/>
    <s v="Graduate"/>
    <s v="6/28/2020"/>
    <s v="New York"/>
    <n v="69"/>
    <n v="810"/>
    <n v="89"/>
    <n v="945"/>
    <n v="351"/>
    <n v="133"/>
    <n v="111"/>
    <n v="2218"/>
    <n v="1"/>
    <n v="3"/>
    <n v="4"/>
    <n v="8"/>
    <n v="1"/>
    <n v="0"/>
    <n v="0"/>
    <n v="0"/>
    <n v="0"/>
    <n v="0"/>
    <n v="0"/>
    <n v="0"/>
  </r>
  <r>
    <n v="1734"/>
    <n v="180952"/>
    <n v="0"/>
    <n v="0"/>
    <x v="27"/>
    <s v="Married"/>
    <s v="Graduate"/>
    <s v="8/5/2019"/>
    <s v="Florida"/>
    <n v="20"/>
    <n v="1739"/>
    <n v="398"/>
    <n v="1540"/>
    <n v="92"/>
    <n v="60"/>
    <n v="98"/>
    <n v="3731"/>
    <n v="1"/>
    <n v="8"/>
    <n v="5"/>
    <n v="11"/>
    <n v="8"/>
    <n v="0"/>
    <n v="1"/>
    <n v="1"/>
    <n v="0"/>
    <n v="0"/>
    <n v="1"/>
    <n v="1"/>
  </r>
  <r>
    <n v="2787"/>
    <n v="179734"/>
    <n v="0"/>
    <n v="0"/>
    <x v="27"/>
    <s v="Married"/>
    <s v="Master"/>
    <s v="12/2/2020"/>
    <s v="Texas"/>
    <n v="72"/>
    <n v="1289"/>
    <n v="18"/>
    <n v="523"/>
    <n v="52"/>
    <n v="140"/>
    <n v="38"/>
    <n v="1984"/>
    <n v="1"/>
    <n v="4"/>
    <n v="3"/>
    <n v="6"/>
    <n v="1"/>
    <n v="0"/>
    <n v="0"/>
    <n v="1"/>
    <n v="0"/>
    <n v="0"/>
    <n v="0"/>
    <n v="0"/>
  </r>
  <r>
    <n v="2240"/>
    <n v="176653"/>
    <n v="0"/>
    <n v="0"/>
    <x v="27"/>
    <s v="Together"/>
    <s v="Graduate"/>
    <s v="1/21/2020"/>
    <s v="New York"/>
    <n v="91"/>
    <n v="1696"/>
    <n v="145"/>
    <n v="2180"/>
    <n v="505"/>
    <n v="436"/>
    <n v="290"/>
    <n v="4671"/>
    <n v="1"/>
    <n v="4"/>
    <n v="7"/>
    <n v="11"/>
    <n v="2"/>
    <n v="0"/>
    <n v="0"/>
    <n v="1"/>
    <n v="0"/>
    <n v="0"/>
    <n v="0"/>
    <n v="1"/>
  </r>
  <r>
    <n v="1968"/>
    <n v="175759"/>
    <n v="0"/>
    <n v="0"/>
    <x v="27"/>
    <s v="Married"/>
    <s v="Graduate"/>
    <s v="3/31/2020"/>
    <s v="Florida"/>
    <n v="46"/>
    <n v="3234"/>
    <n v="51"/>
    <n v="1643"/>
    <n v="206"/>
    <n v="211"/>
    <n v="422"/>
    <n v="4923"/>
    <n v="1"/>
    <n v="9"/>
    <n v="7"/>
    <n v="9"/>
    <n v="5"/>
    <n v="0"/>
    <n v="1"/>
    <n v="1"/>
    <n v="0"/>
    <n v="1"/>
    <n v="0"/>
    <n v="1"/>
  </r>
  <r>
    <n v="2194"/>
    <n v="174918"/>
    <n v="0"/>
    <n v="0"/>
    <x v="27"/>
    <s v="Together"/>
    <s v="Graduate"/>
    <s v="8/17/2019"/>
    <s v="Other"/>
    <n v="78"/>
    <n v="2269"/>
    <n v="138"/>
    <n v="2132"/>
    <n v="58"/>
    <n v="44"/>
    <n v="138"/>
    <n v="4504"/>
    <n v="1"/>
    <n v="5"/>
    <n v="9"/>
    <n v="6"/>
    <n v="3"/>
    <n v="0"/>
    <n v="0"/>
    <n v="0"/>
    <n v="0"/>
    <n v="0"/>
    <n v="0"/>
    <n v="1"/>
  </r>
  <r>
    <n v="1123"/>
    <n v="173448"/>
    <n v="0"/>
    <n v="0"/>
    <x v="27"/>
    <s v="Married"/>
    <s v="Graduate"/>
    <s v="7/17/2020"/>
    <s v="Illinois"/>
    <n v="10"/>
    <n v="557"/>
    <n v="250"/>
    <n v="446"/>
    <n v="54"/>
    <n v="97"/>
    <n v="307"/>
    <n v="1098"/>
    <n v="1"/>
    <n v="7"/>
    <n v="2"/>
    <n v="9"/>
    <n v="4"/>
    <n v="0"/>
    <n v="0"/>
    <n v="0"/>
    <n v="0"/>
    <n v="0"/>
    <n v="0"/>
    <n v="0"/>
  </r>
  <r>
    <n v="1515"/>
    <n v="172679"/>
    <n v="0"/>
    <n v="1"/>
    <x v="27"/>
    <s v="Single"/>
    <s v="Graduate"/>
    <s v="2/23/2020"/>
    <s v="Texas"/>
    <n v="65"/>
    <n v="1471"/>
    <n v="128"/>
    <n v="618"/>
    <n v="302"/>
    <n v="128"/>
    <n v="128"/>
    <n v="2518"/>
    <n v="1"/>
    <n v="4"/>
    <n v="7"/>
    <n v="5"/>
    <n v="1"/>
    <n v="0"/>
    <n v="0"/>
    <n v="0"/>
    <n v="0"/>
    <n v="0"/>
    <n v="0"/>
    <n v="0"/>
  </r>
  <r>
    <n v="1209"/>
    <n v="172460"/>
    <n v="0"/>
    <n v="0"/>
    <x v="27"/>
    <s v="Married"/>
    <s v="Graduate"/>
    <s v="4/20/2020"/>
    <s v="Texas"/>
    <n v="56"/>
    <n v="897"/>
    <n v="24"/>
    <n v="1285"/>
    <n v="190"/>
    <n v="71"/>
    <n v="24"/>
    <n v="2444"/>
    <n v="1"/>
    <n v="3"/>
    <n v="5"/>
    <n v="7"/>
    <n v="1"/>
    <n v="0"/>
    <n v="0"/>
    <n v="0"/>
    <n v="0"/>
    <n v="0"/>
    <n v="0"/>
    <n v="0"/>
  </r>
  <r>
    <n v="2178"/>
    <n v="170091"/>
    <n v="1"/>
    <n v="0"/>
    <x v="27"/>
    <s v="Married"/>
    <s v="Master"/>
    <s v="9/5/2019"/>
    <s v="Florida"/>
    <n v="11"/>
    <n v="2339"/>
    <n v="83"/>
    <n v="332"/>
    <n v="36"/>
    <n v="0"/>
    <n v="27"/>
    <n v="2764"/>
    <n v="2"/>
    <n v="5"/>
    <n v="2"/>
    <n v="10"/>
    <n v="8"/>
    <n v="0"/>
    <n v="0"/>
    <n v="0"/>
    <n v="0"/>
    <n v="0"/>
    <n v="1"/>
    <n v="0"/>
  </r>
  <r>
    <n v="2723"/>
    <n v="169901"/>
    <n v="0"/>
    <n v="1"/>
    <x v="27"/>
    <s v="Divorced"/>
    <s v="Graduate"/>
    <s v="11/3/2019"/>
    <s v="California"/>
    <n v="95"/>
    <n v="758"/>
    <n v="51"/>
    <n v="501"/>
    <n v="248"/>
    <n v="224"/>
    <n v="362"/>
    <n v="1419"/>
    <n v="3"/>
    <n v="7"/>
    <n v="3"/>
    <n v="10"/>
    <n v="5"/>
    <n v="0"/>
    <n v="0"/>
    <n v="0"/>
    <n v="0"/>
    <n v="0"/>
    <n v="0"/>
    <n v="0"/>
  </r>
  <r>
    <n v="3220"/>
    <n v="169534"/>
    <n v="1"/>
    <n v="1"/>
    <x v="27"/>
    <s v="Married"/>
    <s v="PhD"/>
    <s v="3/22/2019"/>
    <s v="Other"/>
    <n v="40"/>
    <n v="205"/>
    <n v="7"/>
    <n v="149"/>
    <n v="5"/>
    <n v="2"/>
    <n v="51"/>
    <n v="317"/>
    <n v="3"/>
    <n v="3"/>
    <n v="1"/>
    <n v="4"/>
    <n v="7"/>
    <n v="0"/>
    <n v="1"/>
    <n v="0"/>
    <n v="0"/>
    <n v="0"/>
    <n v="0"/>
    <n v="0"/>
  </r>
  <r>
    <n v="1670"/>
    <n v="169476"/>
    <n v="0"/>
    <n v="0"/>
    <x v="27"/>
    <s v="Together"/>
    <s v="PhD"/>
    <s v="3/6/2020"/>
    <s v="New York"/>
    <n v="3"/>
    <n v="634"/>
    <n v="210"/>
    <n v="1364"/>
    <n v="154"/>
    <n v="22"/>
    <n v="163"/>
    <n v="2220"/>
    <n v="1"/>
    <n v="4"/>
    <n v="6"/>
    <n v="4"/>
    <n v="2"/>
    <n v="0"/>
    <n v="0"/>
    <n v="0"/>
    <n v="0"/>
    <n v="0"/>
    <n v="0"/>
    <n v="0"/>
  </r>
  <r>
    <n v="2013"/>
    <n v="168695"/>
    <n v="0"/>
    <n v="0"/>
    <x v="27"/>
    <s v="Together"/>
    <s v="Graduate"/>
    <s v="11/29/2020"/>
    <s v="Texas"/>
    <n v="3"/>
    <n v="1125"/>
    <n v="199"/>
    <n v="874"/>
    <n v="260"/>
    <n v="123"/>
    <n v="98"/>
    <n v="2483"/>
    <n v="1"/>
    <n v="4"/>
    <n v="4"/>
    <n v="7"/>
    <n v="2"/>
    <n v="0"/>
    <n v="0"/>
    <n v="0"/>
    <n v="0"/>
    <n v="0"/>
    <n v="0"/>
    <n v="0"/>
  </r>
  <r>
    <n v="2431"/>
    <n v="168695"/>
    <n v="0"/>
    <n v="0"/>
    <x v="27"/>
    <s v="Together"/>
    <s v="Graduate"/>
    <s v="11/29/2020"/>
    <s v="Illinois"/>
    <n v="3"/>
    <n v="1125"/>
    <n v="199"/>
    <n v="874"/>
    <n v="260"/>
    <n v="123"/>
    <n v="98"/>
    <n v="2483"/>
    <n v="1"/>
    <n v="4"/>
    <n v="4"/>
    <n v="7"/>
    <n v="2"/>
    <n v="0"/>
    <n v="0"/>
    <n v="0"/>
    <n v="0"/>
    <n v="0"/>
    <n v="0"/>
    <n v="0"/>
  </r>
  <r>
    <n v="1341"/>
    <n v="168462"/>
    <n v="0"/>
    <n v="0"/>
    <x v="27"/>
    <s v="Married"/>
    <s v="PhD"/>
    <s v="5/19/2019"/>
    <s v="Texas"/>
    <n v="6"/>
    <n v="1380"/>
    <n v="157"/>
    <n v="1932"/>
    <n v="207"/>
    <n v="315"/>
    <n v="118"/>
    <n v="3873"/>
    <n v="1"/>
    <n v="3"/>
    <n v="3"/>
    <n v="8"/>
    <n v="1"/>
    <n v="0"/>
    <n v="0"/>
    <n v="0"/>
    <n v="0"/>
    <n v="0"/>
    <n v="0"/>
    <n v="0"/>
  </r>
  <r>
    <n v="3219"/>
    <n v="168423"/>
    <n v="0"/>
    <n v="1"/>
    <x v="27"/>
    <s v="Together"/>
    <s v="Master"/>
    <s v="6/30/2020"/>
    <s v="Texas"/>
    <n v="8"/>
    <n v="1054"/>
    <n v="74"/>
    <n v="527"/>
    <n v="197"/>
    <n v="74"/>
    <n v="150"/>
    <n v="1775"/>
    <n v="2"/>
    <n v="6"/>
    <n v="5"/>
    <n v="10"/>
    <n v="3"/>
    <n v="0"/>
    <n v="0"/>
    <n v="0"/>
    <n v="0"/>
    <n v="0"/>
    <n v="0"/>
    <n v="0"/>
  </r>
  <r>
    <n v="2172"/>
    <n v="167369"/>
    <n v="0"/>
    <n v="1"/>
    <x v="27"/>
    <s v="Widow"/>
    <s v="Master"/>
    <s v="4/24/2019"/>
    <s v="Florida"/>
    <n v="81"/>
    <n v="3225"/>
    <n v="0"/>
    <n v="174"/>
    <n v="92"/>
    <n v="35"/>
    <n v="104"/>
    <n v="3421"/>
    <n v="4"/>
    <n v="7"/>
    <n v="4"/>
    <n v="10"/>
    <n v="4"/>
    <n v="0"/>
    <n v="1"/>
    <n v="0"/>
    <n v="0"/>
    <n v="0"/>
    <n v="1"/>
    <n v="1"/>
  </r>
  <r>
    <n v="3218"/>
    <n v="167312"/>
    <n v="0"/>
    <n v="0"/>
    <x v="27"/>
    <s v="Divorced"/>
    <s v="Graduate"/>
    <s v="7/1/2020"/>
    <s v="New York"/>
    <n v="91"/>
    <n v="2257"/>
    <n v="119"/>
    <n v="539"/>
    <n v="80"/>
    <n v="30"/>
    <n v="60"/>
    <n v="2965"/>
    <n v="1"/>
    <n v="2"/>
    <n v="3"/>
    <n v="6"/>
    <n v="6"/>
    <n v="0"/>
    <n v="0"/>
    <n v="0"/>
    <n v="0"/>
    <n v="0"/>
    <n v="1"/>
    <n v="0"/>
  </r>
  <r>
    <n v="1449"/>
    <n v="166582"/>
    <n v="0"/>
    <n v="0"/>
    <x v="27"/>
    <s v="Single"/>
    <s v="PhD"/>
    <s v="8/7/2020"/>
    <s v="Texas"/>
    <n v="83"/>
    <n v="1974"/>
    <n v="63"/>
    <n v="1051"/>
    <n v="40"/>
    <n v="95"/>
    <n v="0"/>
    <n v="3222"/>
    <n v="1"/>
    <n v="2"/>
    <n v="8"/>
    <n v="9"/>
    <n v="1"/>
    <n v="0"/>
    <n v="0"/>
    <n v="0"/>
    <n v="0"/>
    <n v="0"/>
    <n v="0"/>
    <n v="0"/>
  </r>
  <r>
    <n v="3084"/>
    <n v="166476"/>
    <n v="0"/>
    <n v="1"/>
    <x v="27"/>
    <s v="Together"/>
    <s v="Master"/>
    <s v="5/10/2020"/>
    <s v="Florida"/>
    <n v="80"/>
    <n v="1858"/>
    <n v="70"/>
    <n v="381"/>
    <n v="63"/>
    <n v="23"/>
    <n v="143"/>
    <n v="2251"/>
    <n v="2"/>
    <n v="6"/>
    <n v="8"/>
    <n v="10"/>
    <n v="4"/>
    <n v="0"/>
    <n v="0"/>
    <n v="0"/>
    <n v="0"/>
    <n v="0"/>
    <n v="0"/>
    <n v="0"/>
  </r>
  <r>
    <n v="1141"/>
    <n v="165747"/>
    <n v="0"/>
    <n v="1"/>
    <x v="27"/>
    <s v="Married"/>
    <s v="Graduate"/>
    <s v="8/11/2020"/>
    <s v="Illinois"/>
    <n v="96"/>
    <n v="872"/>
    <n v="43"/>
    <n v="121"/>
    <n v="58"/>
    <n v="33"/>
    <n v="33"/>
    <n v="1094"/>
    <n v="4"/>
    <n v="8"/>
    <n v="1"/>
    <n v="6"/>
    <n v="6"/>
    <n v="0"/>
    <n v="0"/>
    <n v="0"/>
    <n v="0"/>
    <n v="0"/>
    <n v="1"/>
    <n v="0"/>
  </r>
  <r>
    <n v="1236"/>
    <n v="165176"/>
    <n v="0"/>
    <n v="1"/>
    <x v="27"/>
    <s v="Together"/>
    <s v="Master"/>
    <s v="4/5/2019"/>
    <s v="Florida"/>
    <n v="57"/>
    <n v="2433"/>
    <n v="71"/>
    <n v="464"/>
    <n v="558"/>
    <n v="177"/>
    <n v="177"/>
    <n v="3525"/>
    <n v="4"/>
    <n v="9"/>
    <n v="6"/>
    <n v="6"/>
    <n v="6"/>
    <n v="0"/>
    <n v="0"/>
    <n v="0"/>
    <n v="0"/>
    <n v="0"/>
    <n v="0"/>
    <n v="0"/>
  </r>
  <r>
    <n v="1720"/>
    <n v="162882"/>
    <n v="0"/>
    <n v="1"/>
    <x v="27"/>
    <s v="Together"/>
    <s v="Graduate"/>
    <s v="1/14/2019"/>
    <s v="Other"/>
    <n v="26"/>
    <n v="1318"/>
    <n v="345"/>
    <n v="1287"/>
    <n v="202"/>
    <n v="62"/>
    <n v="251"/>
    <n v="2963"/>
    <n v="2"/>
    <n v="7"/>
    <n v="5"/>
    <n v="6"/>
    <n v="4"/>
    <n v="0"/>
    <n v="0"/>
    <n v="0"/>
    <n v="0"/>
    <n v="0"/>
    <n v="0"/>
    <n v="0"/>
  </r>
  <r>
    <n v="2858"/>
    <n v="162772"/>
    <n v="0"/>
    <n v="1"/>
    <x v="27"/>
    <s v="Single"/>
    <s v="Master"/>
    <s v="10/24/2019"/>
    <s v="New York"/>
    <n v="74"/>
    <n v="1507"/>
    <n v="127"/>
    <n v="407"/>
    <n v="112"/>
    <n v="21"/>
    <n v="280"/>
    <n v="1893"/>
    <n v="1"/>
    <n v="5"/>
    <n v="6"/>
    <n v="11"/>
    <n v="2"/>
    <n v="0"/>
    <n v="0"/>
    <n v="0"/>
    <n v="0"/>
    <n v="0"/>
    <n v="1"/>
    <n v="0"/>
  </r>
  <r>
    <n v="1345"/>
    <n v="162187"/>
    <n v="0"/>
    <n v="1"/>
    <x v="27"/>
    <s v="Widow"/>
    <s v="PhD"/>
    <s v="8/26/2020"/>
    <s v="Illinois"/>
    <n v="38"/>
    <n v="1335"/>
    <n v="0"/>
    <n v="216"/>
    <n v="0"/>
    <n v="0"/>
    <n v="107"/>
    <n v="1445"/>
    <n v="3"/>
    <n v="6"/>
    <n v="2"/>
    <n v="10"/>
    <n v="4"/>
    <n v="0"/>
    <n v="0"/>
    <n v="0"/>
    <n v="0"/>
    <n v="0"/>
    <n v="0"/>
    <n v="0"/>
  </r>
  <r>
    <n v="1885"/>
    <n v="158917"/>
    <n v="1"/>
    <n v="2"/>
    <x v="27"/>
    <s v="Together"/>
    <s v="Graduate"/>
    <s v="8/29/2019"/>
    <s v="Illinois"/>
    <n v="10"/>
    <n v="407"/>
    <n v="19"/>
    <n v="240"/>
    <n v="0"/>
    <n v="19"/>
    <n v="76"/>
    <n v="610"/>
    <n v="5"/>
    <n v="4"/>
    <n v="1"/>
    <n v="6"/>
    <n v="5"/>
    <n v="0"/>
    <n v="0"/>
    <n v="0"/>
    <n v="0"/>
    <n v="0"/>
    <n v="0"/>
    <n v="0"/>
  </r>
  <r>
    <n v="2719"/>
    <n v="158086"/>
    <n v="0"/>
    <n v="1"/>
    <x v="27"/>
    <s v="Divorced"/>
    <s v="PhD"/>
    <s v="6/27/2019"/>
    <s v="Illinois"/>
    <n v="80"/>
    <n v="1927"/>
    <n v="19"/>
    <n v="169"/>
    <n v="0"/>
    <n v="0"/>
    <n v="41"/>
    <n v="2074"/>
    <n v="2"/>
    <n v="11"/>
    <n v="3"/>
    <n v="7"/>
    <n v="8"/>
    <n v="0"/>
    <n v="0"/>
    <n v="0"/>
    <n v="0"/>
    <n v="0"/>
    <n v="0"/>
    <n v="0"/>
  </r>
  <r>
    <n v="3169"/>
    <n v="157731"/>
    <n v="0"/>
    <n v="1"/>
    <x v="27"/>
    <s v="Single"/>
    <s v="Graduate"/>
    <s v="4/30/2019"/>
    <s v="Illinois"/>
    <n v="0"/>
    <n v="727"/>
    <n v="57"/>
    <n v="820"/>
    <n v="178"/>
    <n v="22"/>
    <n v="120"/>
    <n v="1683"/>
    <n v="4"/>
    <n v="8"/>
    <n v="8"/>
    <n v="6"/>
    <n v="6"/>
    <n v="0"/>
    <n v="0"/>
    <n v="0"/>
    <n v="0"/>
    <n v="0"/>
    <n v="0"/>
    <n v="0"/>
  </r>
  <r>
    <n v="1435"/>
    <n v="156796"/>
    <n v="0"/>
    <n v="1"/>
    <x v="27"/>
    <s v="Married"/>
    <s v="Graduate"/>
    <s v="7/24/2019"/>
    <s v="Illinois"/>
    <n v="24"/>
    <n v="1811"/>
    <n v="105"/>
    <n v="444"/>
    <n v="171"/>
    <n v="130"/>
    <n v="102"/>
    <n v="2559"/>
    <n v="3"/>
    <n v="8"/>
    <n v="9"/>
    <n v="7"/>
    <n v="7"/>
    <n v="0"/>
    <n v="0"/>
    <n v="0"/>
    <n v="0"/>
    <n v="0"/>
    <n v="0"/>
    <n v="0"/>
  </r>
  <r>
    <n v="3054"/>
    <n v="156796"/>
    <n v="0"/>
    <n v="1"/>
    <x v="27"/>
    <s v="Married"/>
    <s v="Graduate"/>
    <s v="7/24/2019"/>
    <s v="Florida"/>
    <n v="24"/>
    <n v="1811"/>
    <n v="105"/>
    <n v="444"/>
    <n v="171"/>
    <n v="130"/>
    <n v="102"/>
    <n v="2559"/>
    <n v="3"/>
    <n v="8"/>
    <n v="9"/>
    <n v="7"/>
    <n v="7"/>
    <n v="0"/>
    <n v="0"/>
    <n v="0"/>
    <n v="0"/>
    <n v="0"/>
    <n v="0"/>
    <n v="0"/>
  </r>
  <r>
    <n v="2354"/>
    <n v="156242"/>
    <n v="0"/>
    <n v="1"/>
    <x v="27"/>
    <s v="Married"/>
    <s v="PhD"/>
    <s v="8/8/2019"/>
    <s v="New York"/>
    <n v="72"/>
    <n v="1914"/>
    <n v="22"/>
    <n v="464"/>
    <n v="31"/>
    <n v="22"/>
    <n v="244"/>
    <n v="2209"/>
    <n v="5"/>
    <n v="8"/>
    <n v="4"/>
    <n v="11"/>
    <n v="6"/>
    <n v="0"/>
    <n v="0"/>
    <n v="0"/>
    <n v="0"/>
    <n v="0"/>
    <n v="0"/>
    <n v="0"/>
  </r>
  <r>
    <n v="1326"/>
    <n v="155212"/>
    <n v="0"/>
    <n v="1"/>
    <x v="27"/>
    <s v="Married"/>
    <s v="PhD"/>
    <s v="4/30/2019"/>
    <s v="Florida"/>
    <n v="65"/>
    <n v="3101"/>
    <n v="0"/>
    <n v="127"/>
    <n v="0"/>
    <n v="0"/>
    <n v="96"/>
    <n v="3132"/>
    <n v="3"/>
    <n v="4"/>
    <n v="2"/>
    <n v="11"/>
    <n v="8"/>
    <n v="0"/>
    <n v="0"/>
    <n v="0"/>
    <n v="1"/>
    <n v="0"/>
    <n v="1"/>
    <n v="0"/>
  </r>
  <r>
    <n v="2901"/>
    <n v="155212"/>
    <n v="0"/>
    <n v="1"/>
    <x v="27"/>
    <s v="Married"/>
    <s v="PhD"/>
    <s v="4/30/2019"/>
    <s v="Texas"/>
    <n v="65"/>
    <n v="3101"/>
    <n v="0"/>
    <n v="127"/>
    <n v="0"/>
    <n v="0"/>
    <n v="96"/>
    <n v="3132"/>
    <n v="3"/>
    <n v="4"/>
    <n v="2"/>
    <n v="11"/>
    <n v="8"/>
    <n v="0"/>
    <n v="0"/>
    <n v="0"/>
    <n v="1"/>
    <n v="0"/>
    <n v="1"/>
    <n v="0"/>
  </r>
  <r>
    <n v="1349"/>
    <n v="154803"/>
    <n v="0"/>
    <n v="1"/>
    <x v="27"/>
    <s v="Single"/>
    <s v="Graduate"/>
    <s v="1/26/2019"/>
    <s v="California"/>
    <n v="65"/>
    <n v="1141"/>
    <n v="0"/>
    <n v="260"/>
    <n v="79"/>
    <n v="76"/>
    <n v="401"/>
    <n v="1155"/>
    <n v="2"/>
    <n v="6"/>
    <n v="2"/>
    <n v="9"/>
    <n v="4"/>
    <n v="0"/>
    <n v="0"/>
    <n v="0"/>
    <n v="0"/>
    <n v="0"/>
    <n v="0"/>
    <n v="0"/>
  </r>
  <r>
    <n v="1998"/>
    <n v="154165"/>
    <n v="0"/>
    <n v="0"/>
    <x v="27"/>
    <s v="Together"/>
    <s v="Graduate"/>
    <s v="11/2/2019"/>
    <s v="Florida"/>
    <n v="72"/>
    <n v="361"/>
    <n v="11"/>
    <n v="208"/>
    <n v="43"/>
    <n v="17"/>
    <n v="31"/>
    <n v="609"/>
    <n v="1"/>
    <n v="2"/>
    <n v="1"/>
    <n v="7"/>
    <n v="2"/>
    <n v="0"/>
    <n v="0"/>
    <n v="0"/>
    <n v="0"/>
    <n v="0"/>
    <n v="0"/>
    <n v="0"/>
  </r>
  <r>
    <n v="2399"/>
    <n v="154132"/>
    <n v="0"/>
    <n v="1"/>
    <x v="27"/>
    <s v="Together"/>
    <s v="PhD"/>
    <s v="7/23/2020"/>
    <s v="California"/>
    <n v="81"/>
    <n v="85"/>
    <n v="3"/>
    <n v="23"/>
    <n v="0"/>
    <n v="0"/>
    <n v="9"/>
    <n v="103"/>
    <n v="1"/>
    <n v="1"/>
    <n v="0"/>
    <n v="3"/>
    <n v="7"/>
    <n v="0"/>
    <n v="0"/>
    <n v="0"/>
    <n v="0"/>
    <n v="0"/>
    <n v="0"/>
    <n v="0"/>
  </r>
  <r>
    <n v="2473"/>
    <n v="153374"/>
    <n v="0"/>
    <n v="1"/>
    <x v="27"/>
    <s v="Together"/>
    <s v="PhD"/>
    <s v="1/21/2019"/>
    <s v="Illinois"/>
    <n v="34"/>
    <n v="2575"/>
    <n v="29"/>
    <n v="290"/>
    <n v="37"/>
    <n v="29"/>
    <n v="98"/>
    <n v="2862"/>
    <n v="6"/>
    <n v="4"/>
    <n v="2"/>
    <n v="9"/>
    <n v="9"/>
    <n v="0"/>
    <n v="1"/>
    <n v="0"/>
    <n v="0"/>
    <n v="1"/>
    <n v="0"/>
    <n v="0"/>
  </r>
  <r>
    <n v="1099"/>
    <n v="152413"/>
    <n v="0"/>
    <n v="2"/>
    <x v="27"/>
    <s v="Married"/>
    <s v="Graduate"/>
    <s v="7/10/2019"/>
    <s v="Illinois"/>
    <n v="56"/>
    <n v="858"/>
    <n v="308"/>
    <n v="788"/>
    <n v="218"/>
    <n v="285"/>
    <n v="189"/>
    <n v="2268"/>
    <n v="4"/>
    <n v="6"/>
    <n v="4"/>
    <n v="12"/>
    <n v="6"/>
    <n v="0"/>
    <n v="0"/>
    <n v="0"/>
    <n v="0"/>
    <n v="0"/>
    <n v="0"/>
    <n v="0"/>
  </r>
  <r>
    <n v="2375"/>
    <n v="151039"/>
    <n v="1"/>
    <n v="1"/>
    <x v="27"/>
    <s v="Married"/>
    <s v="PhD"/>
    <s v="5/17/2019"/>
    <s v="California"/>
    <n v="11"/>
    <n v="296"/>
    <n v="189"/>
    <n v="234"/>
    <n v="192"/>
    <n v="0"/>
    <n v="323"/>
    <n v="589"/>
    <n v="2"/>
    <n v="6"/>
    <n v="2"/>
    <n v="4"/>
    <n v="7"/>
    <n v="0"/>
    <n v="0"/>
    <n v="0"/>
    <n v="0"/>
    <n v="0"/>
    <n v="0"/>
    <n v="0"/>
  </r>
  <r>
    <n v="2311"/>
    <n v="148752"/>
    <n v="1"/>
    <n v="1"/>
    <x v="27"/>
    <s v="Married"/>
    <s v="Graduate"/>
    <s v="5/19/2019"/>
    <s v="Illinois"/>
    <n v="8"/>
    <n v="223"/>
    <n v="174"/>
    <n v="305"/>
    <n v="217"/>
    <n v="46"/>
    <n v="0"/>
    <n v="964"/>
    <n v="5"/>
    <n v="6"/>
    <n v="1"/>
    <n v="5"/>
    <n v="9"/>
    <n v="0"/>
    <n v="1"/>
    <n v="0"/>
    <n v="0"/>
    <n v="0"/>
    <n v="0"/>
    <n v="0"/>
  </r>
  <r>
    <n v="1598"/>
    <n v="148240"/>
    <n v="0"/>
    <n v="0"/>
    <x v="27"/>
    <s v="Single"/>
    <s v="PhD"/>
    <s v="4/16/2019"/>
    <s v="New York"/>
    <n v="73"/>
    <n v="1195"/>
    <n v="280"/>
    <n v="762"/>
    <n v="197"/>
    <n v="151"/>
    <n v="126"/>
    <n v="2458"/>
    <n v="3"/>
    <n v="6"/>
    <n v="3"/>
    <n v="13"/>
    <n v="5"/>
    <n v="0"/>
    <n v="1"/>
    <n v="0"/>
    <n v="0"/>
    <n v="0"/>
    <n v="0"/>
    <n v="0"/>
  </r>
  <r>
    <n v="2268"/>
    <n v="146831"/>
    <n v="1"/>
    <n v="1"/>
    <x v="27"/>
    <s v="Married"/>
    <s v="Graduate"/>
    <s v="11/13/2019"/>
    <s v="Florida"/>
    <n v="84"/>
    <n v="69"/>
    <n v="6"/>
    <n v="31"/>
    <n v="19"/>
    <n v="13"/>
    <n v="107"/>
    <n v="31"/>
    <n v="2"/>
    <n v="1"/>
    <n v="2"/>
    <n v="2"/>
    <n v="4"/>
    <n v="0"/>
    <n v="0"/>
    <n v="0"/>
    <n v="0"/>
    <n v="0"/>
    <n v="0"/>
    <n v="0"/>
  </r>
  <r>
    <n v="1842"/>
    <n v="144602"/>
    <n v="1"/>
    <n v="1"/>
    <x v="27"/>
    <s v="Together"/>
    <s v="Master"/>
    <s v="7/22/2020"/>
    <s v="Florida"/>
    <n v="35"/>
    <n v="541"/>
    <n v="6"/>
    <n v="289"/>
    <n v="0"/>
    <n v="0"/>
    <n v="110"/>
    <n v="726"/>
    <n v="6"/>
    <n v="6"/>
    <n v="1"/>
    <n v="4"/>
    <n v="8"/>
    <n v="0"/>
    <n v="0"/>
    <n v="0"/>
    <n v="0"/>
    <n v="0"/>
    <n v="0"/>
    <n v="0"/>
  </r>
  <r>
    <n v="2614"/>
    <n v="144078"/>
    <n v="1"/>
    <n v="1"/>
    <x v="27"/>
    <s v="Married"/>
    <s v="Graduate"/>
    <s v="11/23/2020"/>
    <s v="Other"/>
    <n v="17"/>
    <n v="78"/>
    <n v="3"/>
    <n v="33"/>
    <n v="7"/>
    <n v="0"/>
    <n v="13"/>
    <n v="108"/>
    <n v="2"/>
    <n v="2"/>
    <n v="0"/>
    <n v="3"/>
    <n v="5"/>
    <n v="0"/>
    <n v="0"/>
    <n v="0"/>
    <n v="0"/>
    <n v="0"/>
    <n v="0"/>
    <n v="0"/>
  </r>
  <r>
    <n v="2175"/>
    <n v="143641"/>
    <n v="1"/>
    <n v="1"/>
    <x v="27"/>
    <s v="Married"/>
    <s v="Master"/>
    <s v="9/27/2019"/>
    <s v="Texas"/>
    <n v="50"/>
    <n v="188"/>
    <n v="7"/>
    <n v="168"/>
    <n v="13"/>
    <n v="7"/>
    <n v="76"/>
    <n v="306"/>
    <n v="3"/>
    <n v="2"/>
    <n v="1"/>
    <n v="4"/>
    <n v="6"/>
    <n v="0"/>
    <n v="0"/>
    <n v="0"/>
    <n v="0"/>
    <n v="0"/>
    <n v="0"/>
    <n v="0"/>
  </r>
  <r>
    <n v="1525"/>
    <n v="143638"/>
    <n v="0"/>
    <n v="1"/>
    <x v="27"/>
    <s v="Widow"/>
    <s v="Graduate"/>
    <s v="1/11/2019"/>
    <s v="Illinois"/>
    <n v="37"/>
    <n v="207"/>
    <n v="33"/>
    <n v="273"/>
    <n v="23"/>
    <n v="63"/>
    <n v="63"/>
    <n v="537"/>
    <n v="2"/>
    <n v="4"/>
    <n v="1"/>
    <n v="4"/>
    <n v="7"/>
    <n v="0"/>
    <n v="0"/>
    <n v="0"/>
    <n v="0"/>
    <n v="0"/>
    <n v="0"/>
    <n v="0"/>
  </r>
  <r>
    <n v="2388"/>
    <n v="143142"/>
    <n v="1"/>
    <n v="1"/>
    <x v="27"/>
    <s v="Married"/>
    <s v="Master"/>
    <s v="7/25/2020"/>
    <s v="Florida"/>
    <n v="84"/>
    <n v="17"/>
    <n v="3"/>
    <n v="23"/>
    <n v="7"/>
    <n v="3"/>
    <n v="13"/>
    <n v="40"/>
    <n v="1"/>
    <n v="1"/>
    <n v="0"/>
    <n v="2"/>
    <n v="7"/>
    <n v="0"/>
    <n v="0"/>
    <n v="0"/>
    <n v="0"/>
    <n v="0"/>
    <n v="0"/>
    <n v="0"/>
  </r>
  <r>
    <n v="2607"/>
    <n v="142731"/>
    <n v="1"/>
    <n v="0"/>
    <x v="27"/>
    <s v="Together"/>
    <s v="PhD"/>
    <s v="3/27/2020"/>
    <s v="Texas"/>
    <n v="64"/>
    <n v="531"/>
    <n v="7"/>
    <n v="170"/>
    <n v="20"/>
    <n v="7"/>
    <n v="80"/>
    <n v="655"/>
    <n v="3"/>
    <n v="4"/>
    <n v="1"/>
    <n v="5"/>
    <n v="5"/>
    <n v="0"/>
    <n v="0"/>
    <n v="0"/>
    <n v="0"/>
    <n v="0"/>
    <n v="0"/>
    <n v="0"/>
  </r>
  <r>
    <n v="2660"/>
    <n v="142231"/>
    <n v="1"/>
    <n v="1"/>
    <x v="27"/>
    <s v="Married"/>
    <s v="Graduate"/>
    <s v="8/29/2020"/>
    <s v="New York"/>
    <n v="99"/>
    <n v="81"/>
    <n v="0"/>
    <n v="27"/>
    <n v="0"/>
    <n v="3"/>
    <n v="13"/>
    <n v="98"/>
    <n v="1"/>
    <n v="1"/>
    <n v="0"/>
    <n v="3"/>
    <n v="5"/>
    <n v="0"/>
    <n v="0"/>
    <n v="0"/>
    <n v="0"/>
    <n v="0"/>
    <n v="0"/>
    <n v="0"/>
  </r>
  <r>
    <n v="1581"/>
    <n v="142169"/>
    <n v="1"/>
    <n v="1"/>
    <x v="27"/>
    <s v="Married"/>
    <s v="Master"/>
    <s v="3/25/2020"/>
    <s v="Texas"/>
    <n v="20"/>
    <n v="64"/>
    <n v="0"/>
    <n v="30"/>
    <n v="0"/>
    <n v="0"/>
    <n v="7"/>
    <n v="88"/>
    <n v="2"/>
    <n v="1"/>
    <n v="0"/>
    <n v="3"/>
    <n v="8"/>
    <n v="0"/>
    <n v="0"/>
    <n v="0"/>
    <n v="0"/>
    <n v="0"/>
    <n v="0"/>
    <n v="0"/>
  </r>
  <r>
    <n v="1943"/>
    <n v="141021"/>
    <n v="1"/>
    <n v="0"/>
    <x v="27"/>
    <s v="Together"/>
    <s v="Master"/>
    <s v="6/6/2019"/>
    <s v="California"/>
    <n v="12"/>
    <n v="48"/>
    <n v="24"/>
    <n v="31"/>
    <n v="21"/>
    <n v="55"/>
    <n v="41"/>
    <n v="138"/>
    <n v="2"/>
    <n v="2"/>
    <n v="0"/>
    <n v="3"/>
    <n v="6"/>
    <n v="0"/>
    <n v="1"/>
    <n v="0"/>
    <n v="0"/>
    <n v="0"/>
    <n v="0"/>
    <n v="0"/>
  </r>
  <r>
    <n v="3104"/>
    <n v="140590"/>
    <n v="1"/>
    <n v="1"/>
    <x v="27"/>
    <s v="Widow"/>
    <s v="Graduate"/>
    <s v="3/8/2020"/>
    <s v="New York"/>
    <n v="30"/>
    <n v="533"/>
    <n v="0"/>
    <n v="173"/>
    <n v="21"/>
    <n v="38"/>
    <n v="128"/>
    <n v="637"/>
    <n v="5"/>
    <n v="3"/>
    <n v="4"/>
    <n v="3"/>
    <n v="6"/>
    <n v="0"/>
    <n v="0"/>
    <n v="0"/>
    <n v="0"/>
    <n v="1"/>
    <n v="0"/>
    <n v="0"/>
  </r>
  <r>
    <n v="3121"/>
    <n v="140590"/>
    <n v="1"/>
    <n v="1"/>
    <x v="27"/>
    <s v="Widow"/>
    <s v="Graduate"/>
    <s v="3/8/2020"/>
    <s v="Illinois"/>
    <n v="30"/>
    <n v="533"/>
    <n v="0"/>
    <n v="173"/>
    <n v="21"/>
    <n v="38"/>
    <n v="128"/>
    <n v="637"/>
    <n v="5"/>
    <n v="3"/>
    <n v="4"/>
    <n v="3"/>
    <n v="6"/>
    <n v="0"/>
    <n v="0"/>
    <n v="0"/>
    <n v="0"/>
    <n v="1"/>
    <n v="0"/>
    <n v="0"/>
  </r>
  <r>
    <n v="1903"/>
    <n v="139858"/>
    <n v="1"/>
    <n v="0"/>
    <x v="27"/>
    <s v="Single"/>
    <s v="Master"/>
    <s v="7/1/2019"/>
    <s v="Illinois"/>
    <n v="67"/>
    <n v="53"/>
    <n v="70"/>
    <n v="88"/>
    <n v="7"/>
    <n v="25"/>
    <n v="91"/>
    <n v="151"/>
    <n v="1"/>
    <n v="2"/>
    <n v="0"/>
    <n v="4"/>
    <n v="6"/>
    <n v="0"/>
    <n v="1"/>
    <n v="0"/>
    <n v="0"/>
    <n v="0"/>
    <n v="0"/>
    <n v="0"/>
  </r>
  <r>
    <n v="1278"/>
    <n v="138361"/>
    <n v="1"/>
    <n v="0"/>
    <x v="27"/>
    <s v="Together"/>
    <s v="Graduate"/>
    <s v="6/2/2020"/>
    <s v="Florida"/>
    <n v="74"/>
    <n v="141"/>
    <n v="0"/>
    <n v="202"/>
    <n v="72"/>
    <n v="29"/>
    <n v="50"/>
    <n v="393"/>
    <n v="3"/>
    <n v="3"/>
    <n v="1"/>
    <n v="3"/>
    <n v="7"/>
    <n v="0"/>
    <n v="0"/>
    <n v="0"/>
    <n v="0"/>
    <n v="0"/>
    <n v="0"/>
    <n v="0"/>
  </r>
  <r>
    <n v="3034"/>
    <n v="138361"/>
    <n v="1"/>
    <n v="0"/>
    <x v="27"/>
    <s v="Together"/>
    <s v="Graduate"/>
    <s v="6/2/2020"/>
    <s v="Other"/>
    <n v="74"/>
    <n v="141"/>
    <n v="0"/>
    <n v="202"/>
    <n v="72"/>
    <n v="29"/>
    <n v="50"/>
    <n v="393"/>
    <n v="3"/>
    <n v="3"/>
    <n v="1"/>
    <n v="3"/>
    <n v="7"/>
    <n v="0"/>
    <n v="0"/>
    <n v="0"/>
    <n v="0"/>
    <n v="0"/>
    <n v="0"/>
    <n v="0"/>
  </r>
  <r>
    <n v="2616"/>
    <n v="135924"/>
    <n v="1"/>
    <n v="1"/>
    <x v="27"/>
    <s v="Together"/>
    <s v="Master"/>
    <s v="8/27/2020"/>
    <s v="Florida"/>
    <n v="56"/>
    <n v="30"/>
    <n v="0"/>
    <n v="53"/>
    <n v="8"/>
    <n v="11"/>
    <n v="26"/>
    <n v="76"/>
    <n v="1"/>
    <n v="1"/>
    <n v="0"/>
    <n v="3"/>
    <n v="5"/>
    <n v="0"/>
    <n v="0"/>
    <n v="0"/>
    <n v="0"/>
    <n v="0"/>
    <n v="0"/>
    <n v="0"/>
  </r>
  <r>
    <n v="1364"/>
    <n v="133581"/>
    <n v="2"/>
    <n v="0"/>
    <x v="27"/>
    <s v="Married"/>
    <s v="PhD"/>
    <s v="6/15/2019"/>
    <s v="New York"/>
    <n v="38"/>
    <n v="44"/>
    <n v="0"/>
    <n v="20"/>
    <n v="0"/>
    <n v="0"/>
    <n v="4"/>
    <n v="60"/>
    <n v="1"/>
    <n v="1"/>
    <n v="0"/>
    <n v="2"/>
    <n v="8"/>
    <n v="0"/>
    <n v="0"/>
    <n v="0"/>
    <n v="0"/>
    <n v="0"/>
    <n v="0"/>
    <n v="0"/>
  </r>
  <r>
    <n v="1363"/>
    <n v="130822"/>
    <n v="1"/>
    <n v="0"/>
    <x v="27"/>
    <s v="Single"/>
    <s v="Graduate"/>
    <s v="11/19/2019"/>
    <s v="Illinois"/>
    <n v="92"/>
    <n v="13"/>
    <n v="38"/>
    <n v="55"/>
    <n v="8"/>
    <n v="51"/>
    <n v="51"/>
    <n v="115"/>
    <n v="1"/>
    <n v="1"/>
    <n v="0"/>
    <n v="3"/>
    <n v="7"/>
    <n v="0"/>
    <n v="0"/>
    <n v="0"/>
    <n v="0"/>
    <n v="0"/>
    <n v="0"/>
    <n v="0"/>
  </r>
  <r>
    <n v="2856"/>
    <n v="130396"/>
    <n v="1"/>
    <n v="0"/>
    <x v="27"/>
    <s v="Married"/>
    <s v="PhD"/>
    <s v="10/4/2020"/>
    <s v="Florida"/>
    <n v="22"/>
    <n v="64"/>
    <n v="0"/>
    <n v="26"/>
    <n v="0"/>
    <n v="4"/>
    <n v="51"/>
    <n v="43"/>
    <n v="2"/>
    <n v="1"/>
    <n v="1"/>
    <n v="2"/>
    <n v="7"/>
    <n v="0"/>
    <n v="1"/>
    <n v="0"/>
    <n v="0"/>
    <n v="1"/>
    <n v="0"/>
    <n v="0"/>
  </r>
  <r>
    <n v="1594"/>
    <n v="126877"/>
    <n v="0"/>
    <n v="0"/>
    <x v="27"/>
    <s v="Single"/>
    <s v="Master"/>
    <s v="1/24/2020"/>
    <s v="Other"/>
    <n v="74"/>
    <n v="477"/>
    <n v="61"/>
    <n v="359"/>
    <n v="94"/>
    <n v="85"/>
    <n v="189"/>
    <n v="887"/>
    <n v="2"/>
    <n v="3"/>
    <n v="1"/>
    <n v="6"/>
    <n v="6"/>
    <n v="0"/>
    <n v="0"/>
    <n v="0"/>
    <n v="0"/>
    <n v="0"/>
    <n v="0"/>
    <n v="0"/>
  </r>
  <r>
    <n v="1076"/>
    <n v="126304"/>
    <n v="1"/>
    <n v="0"/>
    <x v="27"/>
    <s v="Married"/>
    <s v="Graduate"/>
    <s v="11/28/2019"/>
    <s v="New York"/>
    <n v="5"/>
    <n v="19"/>
    <n v="5"/>
    <n v="24"/>
    <n v="10"/>
    <n v="0"/>
    <n v="19"/>
    <n v="38"/>
    <n v="1"/>
    <n v="1"/>
    <n v="0"/>
    <n v="2"/>
    <n v="7"/>
    <n v="0"/>
    <n v="0"/>
    <n v="0"/>
    <n v="0"/>
    <n v="0"/>
    <n v="0"/>
    <n v="0"/>
  </r>
  <r>
    <n v="2800"/>
    <n v="125293"/>
    <n v="1"/>
    <n v="0"/>
    <x v="27"/>
    <s v="Married"/>
    <s v="Graduate"/>
    <s v="2/20/2020"/>
    <s v="Other"/>
    <n v="51"/>
    <n v="74"/>
    <n v="0"/>
    <n v="54"/>
    <n v="0"/>
    <n v="10"/>
    <n v="45"/>
    <n v="94"/>
    <n v="1"/>
    <n v="1"/>
    <n v="1"/>
    <n v="2"/>
    <n v="8"/>
    <n v="0"/>
    <n v="0"/>
    <n v="0"/>
    <n v="0"/>
    <n v="0"/>
    <n v="0"/>
    <n v="0"/>
  </r>
  <r>
    <n v="3045"/>
    <n v="125293"/>
    <n v="1"/>
    <n v="0"/>
    <x v="27"/>
    <s v="Married"/>
    <s v="Graduate"/>
    <s v="2/20/2020"/>
    <s v="Texas"/>
    <n v="51"/>
    <n v="74"/>
    <n v="0"/>
    <n v="54"/>
    <n v="0"/>
    <n v="10"/>
    <n v="45"/>
    <n v="94"/>
    <n v="1"/>
    <n v="1"/>
    <n v="1"/>
    <n v="2"/>
    <n v="8"/>
    <n v="0"/>
    <n v="0"/>
    <n v="0"/>
    <n v="0"/>
    <n v="0"/>
    <n v="0"/>
    <n v="0"/>
  </r>
  <r>
    <n v="1580"/>
    <n v="123910"/>
    <n v="1"/>
    <n v="0"/>
    <x v="27"/>
    <s v="Divorced"/>
    <s v="Graduate"/>
    <s v="4/2/2019"/>
    <s v="New York"/>
    <n v="80"/>
    <n v="83"/>
    <n v="62"/>
    <n v="93"/>
    <n v="36"/>
    <n v="5"/>
    <n v="67"/>
    <n v="212"/>
    <n v="1"/>
    <n v="2"/>
    <n v="0"/>
    <n v="3"/>
    <n v="7"/>
    <n v="0"/>
    <n v="0"/>
    <n v="0"/>
    <n v="0"/>
    <n v="0"/>
    <n v="0"/>
    <n v="0"/>
  </r>
  <r>
    <n v="1841"/>
    <n v="123228"/>
    <n v="1"/>
    <n v="0"/>
    <x v="27"/>
    <s v="Together"/>
    <s v="Graduate"/>
    <s v="7/2/2020"/>
    <s v="California"/>
    <n v="71"/>
    <n v="69"/>
    <n v="11"/>
    <n v="95"/>
    <n v="32"/>
    <n v="5"/>
    <n v="0"/>
    <n v="212"/>
    <n v="2"/>
    <n v="2"/>
    <n v="0"/>
    <n v="3"/>
    <n v="8"/>
    <n v="0"/>
    <n v="0"/>
    <n v="0"/>
    <n v="0"/>
    <n v="0"/>
    <n v="0"/>
    <n v="0"/>
  </r>
  <r>
    <n v="3060"/>
    <n v="122390"/>
    <n v="0"/>
    <n v="0"/>
    <x v="27"/>
    <s v="Together"/>
    <s v="Basic"/>
    <s v="3/27/2020"/>
    <s v="Florida"/>
    <n v="49"/>
    <n v="0"/>
    <n v="5"/>
    <n v="22"/>
    <n v="82"/>
    <n v="5"/>
    <n v="27"/>
    <n v="87"/>
    <n v="1"/>
    <n v="1"/>
    <n v="0"/>
    <n v="2"/>
    <n v="7"/>
    <n v="0"/>
    <n v="0"/>
    <n v="0"/>
    <n v="0"/>
    <n v="0"/>
    <n v="0"/>
    <n v="0"/>
  </r>
  <r>
    <n v="1111"/>
    <n v="121918"/>
    <n v="1"/>
    <n v="0"/>
    <x v="27"/>
    <s v="Together"/>
    <s v="Graduate"/>
    <s v="4/20/2020"/>
    <s v="Illinois"/>
    <n v="37"/>
    <n v="6"/>
    <n v="33"/>
    <n v="39"/>
    <n v="61"/>
    <n v="28"/>
    <n v="17"/>
    <n v="150"/>
    <n v="2"/>
    <n v="2"/>
    <n v="0"/>
    <n v="3"/>
    <n v="6"/>
    <n v="0"/>
    <n v="0"/>
    <n v="0"/>
    <n v="0"/>
    <n v="0"/>
    <n v="0"/>
    <n v="0"/>
  </r>
  <r>
    <n v="1025"/>
    <n v="118589"/>
    <n v="0"/>
    <n v="0"/>
    <x v="27"/>
    <s v="Single"/>
    <s v="Graduate"/>
    <s v="6/9/2019"/>
    <s v="California"/>
    <n v="89"/>
    <n v="38"/>
    <n v="26"/>
    <n v="159"/>
    <n v="96"/>
    <n v="77"/>
    <n v="83"/>
    <n v="313"/>
    <n v="2"/>
    <n v="2"/>
    <n v="1"/>
    <n v="3"/>
    <n v="7"/>
    <n v="0"/>
    <n v="0"/>
    <n v="0"/>
    <n v="0"/>
    <n v="0"/>
    <n v="0"/>
    <n v="0"/>
  </r>
  <r>
    <n v="1472"/>
    <n v="114045"/>
    <n v="1"/>
    <n v="0"/>
    <x v="27"/>
    <s v="Married"/>
    <s v="Graduate"/>
    <s v="7/2/2020"/>
    <s v="New York"/>
    <n v="24"/>
    <n v="89"/>
    <n v="0"/>
    <n v="41"/>
    <n v="16"/>
    <n v="8"/>
    <n v="8"/>
    <n v="146"/>
    <n v="1"/>
    <n v="1"/>
    <n v="0"/>
    <n v="3"/>
    <n v="7"/>
    <n v="0"/>
    <n v="0"/>
    <n v="0"/>
    <n v="0"/>
    <n v="0"/>
    <n v="0"/>
    <n v="0"/>
  </r>
  <r>
    <n v="2950"/>
    <n v="104428"/>
    <n v="0"/>
    <n v="1"/>
    <x v="27"/>
    <s v="Married"/>
    <s v="Graduate"/>
    <d v="2020-11-03T00:00:00"/>
    <s v="Other"/>
    <n v="0"/>
    <n v="377"/>
    <n v="94"/>
    <n v="283"/>
    <n v="47"/>
    <n v="94"/>
    <n v="7570"/>
    <n v="6674"/>
    <n v="0"/>
    <n v="25"/>
    <n v="0"/>
    <n v="0"/>
    <n v="1"/>
    <n v="0"/>
    <n v="0"/>
    <n v="0"/>
    <n v="0"/>
    <n v="0"/>
    <n v="0"/>
    <n v="0"/>
  </r>
  <r>
    <n v="1373"/>
    <n v="183664"/>
    <n v="1"/>
    <n v="1"/>
    <x v="28"/>
    <s v="Divorced"/>
    <s v="PhD"/>
    <s v="10/13/2019"/>
    <s v="California"/>
    <n v="57"/>
    <n v="1901"/>
    <n v="46"/>
    <n v="331"/>
    <n v="61"/>
    <n v="46"/>
    <n v="189"/>
    <n v="2197"/>
    <n v="3"/>
    <n v="2"/>
    <n v="2"/>
    <n v="12"/>
    <n v="5"/>
    <n v="0"/>
    <n v="0"/>
    <n v="0"/>
    <n v="0"/>
    <n v="0"/>
    <n v="0"/>
    <n v="0"/>
  </r>
  <r>
    <n v="2302"/>
    <n v="177382"/>
    <n v="0"/>
    <n v="1"/>
    <x v="28"/>
    <s v="Together"/>
    <s v="Graduate"/>
    <s v="6/13/2020"/>
    <s v="Other"/>
    <n v="36"/>
    <n v="1126"/>
    <n v="110"/>
    <n v="530"/>
    <n v="257"/>
    <n v="241"/>
    <n v="307"/>
    <n v="1955"/>
    <n v="2"/>
    <n v="5"/>
    <n v="7"/>
    <n v="12"/>
    <n v="1"/>
    <n v="0"/>
    <n v="0"/>
    <n v="0"/>
    <n v="0"/>
    <n v="0"/>
    <n v="0"/>
    <n v="1"/>
  </r>
  <r>
    <n v="1189"/>
    <n v="175922"/>
    <n v="0"/>
    <n v="0"/>
    <x v="28"/>
    <s v="Single"/>
    <s v="Graduate"/>
    <s v="5/15/2020"/>
    <s v="Illinois"/>
    <n v="60"/>
    <n v="614"/>
    <n v="320"/>
    <n v="1281"/>
    <n v="519"/>
    <n v="53"/>
    <n v="213"/>
    <n v="2574"/>
    <n v="1"/>
    <n v="4"/>
    <n v="4"/>
    <n v="9"/>
    <n v="1"/>
    <n v="0"/>
    <n v="0"/>
    <n v="0"/>
    <n v="0"/>
    <n v="0"/>
    <n v="0"/>
    <n v="0"/>
  </r>
  <r>
    <n v="1321"/>
    <n v="175693"/>
    <n v="0"/>
    <n v="0"/>
    <x v="28"/>
    <s v="Divorced"/>
    <s v="Graduate"/>
    <s v="5/13/2019"/>
    <s v="Illinois"/>
    <n v="10"/>
    <n v="1850"/>
    <n v="355"/>
    <n v="680"/>
    <n v="167"/>
    <n v="225"/>
    <n v="70"/>
    <n v="3208"/>
    <n v="1"/>
    <n v="11"/>
    <n v="4"/>
    <n v="6"/>
    <n v="4"/>
    <n v="0"/>
    <n v="1"/>
    <n v="1"/>
    <n v="0"/>
    <n v="0"/>
    <n v="1"/>
    <n v="1"/>
  </r>
  <r>
    <n v="1227"/>
    <n v="173455"/>
    <n v="0"/>
    <n v="0"/>
    <x v="28"/>
    <s v="Widow"/>
    <s v="Graduate"/>
    <s v="4/3/2020"/>
    <s v="Texas"/>
    <n v="98"/>
    <n v="2128"/>
    <n v="144"/>
    <n v="1788"/>
    <n v="439"/>
    <n v="385"/>
    <n v="47"/>
    <n v="4836"/>
    <n v="1"/>
    <n v="6"/>
    <n v="5"/>
    <n v="10"/>
    <n v="3"/>
    <n v="0"/>
    <n v="0"/>
    <n v="0"/>
    <n v="0"/>
    <n v="0"/>
    <n v="1"/>
    <n v="0"/>
  </r>
  <r>
    <n v="1378"/>
    <n v="170777"/>
    <n v="0"/>
    <n v="1"/>
    <x v="28"/>
    <s v="Married"/>
    <s v="Master"/>
    <s v="8/1/2020"/>
    <s v="Other"/>
    <n v="80"/>
    <n v="1337"/>
    <n v="84"/>
    <n v="273"/>
    <n v="0"/>
    <n v="17"/>
    <n v="188"/>
    <n v="1523"/>
    <n v="3"/>
    <n v="5"/>
    <n v="3"/>
    <n v="12"/>
    <n v="3"/>
    <n v="0"/>
    <n v="0"/>
    <n v="0"/>
    <n v="0"/>
    <n v="0"/>
    <n v="0"/>
    <n v="0"/>
  </r>
  <r>
    <n v="2101"/>
    <n v="170566"/>
    <n v="0"/>
    <n v="1"/>
    <x v="28"/>
    <s v="Single"/>
    <s v="Graduate"/>
    <s v="3/12/2020"/>
    <s v="Illinois"/>
    <n v="4"/>
    <n v="921"/>
    <n v="68"/>
    <n v="520"/>
    <n v="203"/>
    <n v="68"/>
    <n v="51"/>
    <n v="1728"/>
    <n v="2"/>
    <n v="6"/>
    <n v="5"/>
    <n v="9"/>
    <n v="3"/>
    <n v="0"/>
    <n v="0"/>
    <n v="0"/>
    <n v="0"/>
    <n v="0"/>
    <n v="0"/>
    <n v="0"/>
  </r>
  <r>
    <n v="1248"/>
    <n v="169674"/>
    <n v="0"/>
    <n v="2"/>
    <x v="28"/>
    <s v="Divorced"/>
    <s v="PhD"/>
    <s v="10/27/2019"/>
    <s v="Florida"/>
    <n v="46"/>
    <n v="1349"/>
    <n v="100"/>
    <n v="524"/>
    <n v="27"/>
    <n v="0"/>
    <n v="58"/>
    <n v="1941"/>
    <n v="3"/>
    <n v="10"/>
    <n v="2"/>
    <n v="10"/>
    <n v="5"/>
    <n v="0"/>
    <n v="0"/>
    <n v="0"/>
    <n v="0"/>
    <n v="0"/>
    <n v="0"/>
    <n v="0"/>
  </r>
  <r>
    <n v="2757"/>
    <n v="164590"/>
    <n v="0"/>
    <n v="0"/>
    <x v="28"/>
    <s v="Married"/>
    <s v="Graduate"/>
    <s v="3/21/2019"/>
    <s v="Texas"/>
    <n v="98"/>
    <n v="2344"/>
    <n v="352"/>
    <n v="428"/>
    <n v="92"/>
    <n v="117"/>
    <n v="76"/>
    <n v="3257"/>
    <n v="1"/>
    <n v="9"/>
    <n v="4"/>
    <n v="10"/>
    <n v="6"/>
    <n v="0"/>
    <n v="0"/>
    <n v="0"/>
    <n v="0"/>
    <n v="0"/>
    <n v="0"/>
    <n v="0"/>
  </r>
  <r>
    <n v="2798"/>
    <n v="163967"/>
    <n v="0"/>
    <n v="1"/>
    <x v="28"/>
    <s v="Married"/>
    <s v="Graduate"/>
    <s v="1/14/2020"/>
    <s v="New York"/>
    <n v="57"/>
    <n v="992"/>
    <n v="215"/>
    <n v="361"/>
    <n v="187"/>
    <n v="90"/>
    <n v="415"/>
    <n v="1430"/>
    <n v="3"/>
    <n v="4"/>
    <n v="4"/>
    <n v="12"/>
    <n v="2"/>
    <n v="0"/>
    <n v="0"/>
    <n v="0"/>
    <n v="0"/>
    <n v="0"/>
    <n v="0"/>
    <n v="0"/>
  </r>
  <r>
    <n v="1266"/>
    <n v="163841"/>
    <n v="0"/>
    <n v="1"/>
    <x v="28"/>
    <s v="Divorced"/>
    <s v="Master"/>
    <s v="9/26/2019"/>
    <s v="Florida"/>
    <n v="64"/>
    <n v="1630"/>
    <n v="38"/>
    <n v="257"/>
    <n v="51"/>
    <n v="18"/>
    <n v="336"/>
    <n v="1658"/>
    <n v="1"/>
    <n v="9"/>
    <n v="3"/>
    <n v="9"/>
    <n v="6"/>
    <n v="0"/>
    <n v="0"/>
    <n v="0"/>
    <n v="0"/>
    <n v="0"/>
    <n v="0"/>
    <n v="0"/>
  </r>
  <r>
    <n v="2176"/>
    <n v="163841"/>
    <n v="0"/>
    <n v="1"/>
    <x v="28"/>
    <s v="Divorced"/>
    <s v="Master"/>
    <s v="9/26/2019"/>
    <s v="Other"/>
    <n v="64"/>
    <n v="1630"/>
    <n v="38"/>
    <n v="257"/>
    <n v="51"/>
    <n v="18"/>
    <n v="336"/>
    <n v="1658"/>
    <n v="1"/>
    <n v="9"/>
    <n v="3"/>
    <n v="9"/>
    <n v="6"/>
    <n v="0"/>
    <n v="0"/>
    <n v="0"/>
    <n v="0"/>
    <n v="0"/>
    <n v="0"/>
    <n v="0"/>
  </r>
  <r>
    <n v="2374"/>
    <n v="163841"/>
    <n v="0"/>
    <n v="1"/>
    <x v="28"/>
    <s v="Divorced"/>
    <s v="Master"/>
    <s v="9/26/2019"/>
    <s v="Other"/>
    <n v="64"/>
    <n v="1630"/>
    <n v="38"/>
    <n v="257"/>
    <n v="51"/>
    <n v="18"/>
    <n v="336"/>
    <n v="1658"/>
    <n v="1"/>
    <n v="9"/>
    <n v="3"/>
    <n v="9"/>
    <n v="6"/>
    <n v="0"/>
    <n v="0"/>
    <n v="0"/>
    <n v="0"/>
    <n v="0"/>
    <n v="0"/>
    <n v="0"/>
  </r>
  <r>
    <n v="2868"/>
    <n v="161671"/>
    <n v="0"/>
    <n v="1"/>
    <x v="28"/>
    <s v="Divorced"/>
    <s v="Graduate"/>
    <s v="11/7/2020"/>
    <s v="Florida"/>
    <n v="23"/>
    <n v="1680"/>
    <n v="18"/>
    <n v="147"/>
    <n v="0"/>
    <n v="0"/>
    <n v="73"/>
    <n v="1772"/>
    <n v="8"/>
    <n v="10"/>
    <n v="4"/>
    <n v="6"/>
    <n v="8"/>
    <n v="0"/>
    <n v="0"/>
    <n v="1"/>
    <n v="0"/>
    <n v="0"/>
    <n v="1"/>
    <n v="0"/>
  </r>
  <r>
    <n v="1413"/>
    <n v="161314"/>
    <n v="0"/>
    <n v="1"/>
    <x v="28"/>
    <s v="Married"/>
    <s v="Graduate"/>
    <s v="9/30/2019"/>
    <s v="Texas"/>
    <n v="1"/>
    <n v="994"/>
    <n v="0"/>
    <n v="497"/>
    <n v="255"/>
    <n v="453"/>
    <n v="453"/>
    <n v="1747"/>
    <n v="2"/>
    <n v="5"/>
    <n v="5"/>
    <n v="12"/>
    <n v="3"/>
    <n v="0"/>
    <n v="0"/>
    <n v="0"/>
    <n v="0"/>
    <n v="0"/>
    <n v="0"/>
    <n v="0"/>
  </r>
  <r>
    <n v="2340"/>
    <n v="158554"/>
    <n v="1"/>
    <n v="1"/>
    <x v="28"/>
    <s v="Together"/>
    <s v="Graduate"/>
    <s v="3/3/2019"/>
    <s v="Florida"/>
    <n v="55"/>
    <n v="996"/>
    <n v="65"/>
    <n v="184"/>
    <n v="103"/>
    <n v="0"/>
    <n v="238"/>
    <n v="1110"/>
    <n v="6"/>
    <n v="8"/>
    <n v="2"/>
    <n v="6"/>
    <n v="7"/>
    <n v="0"/>
    <n v="0"/>
    <n v="0"/>
    <n v="0"/>
    <n v="0"/>
    <n v="0"/>
    <n v="0"/>
  </r>
  <r>
    <n v="3193"/>
    <n v="158554"/>
    <n v="1"/>
    <n v="1"/>
    <x v="28"/>
    <s v="Together"/>
    <s v="Graduate"/>
    <s v="3/3/2019"/>
    <s v="Illinois"/>
    <n v="55"/>
    <n v="996"/>
    <n v="65"/>
    <n v="184"/>
    <n v="103"/>
    <n v="0"/>
    <n v="238"/>
    <n v="1110"/>
    <n v="6"/>
    <n v="8"/>
    <n v="2"/>
    <n v="6"/>
    <n v="7"/>
    <n v="0"/>
    <n v="0"/>
    <n v="0"/>
    <n v="0"/>
    <n v="0"/>
    <n v="0"/>
    <n v="0"/>
  </r>
  <r>
    <n v="2890"/>
    <n v="157107"/>
    <n v="0"/>
    <n v="1"/>
    <x v="28"/>
    <s v="Single"/>
    <s v="Graduate"/>
    <s v="1/29/2019"/>
    <s v="Other"/>
    <n v="44"/>
    <n v="437"/>
    <n v="0"/>
    <n v="330"/>
    <n v="0"/>
    <n v="0"/>
    <n v="377"/>
    <n v="391"/>
    <n v="7"/>
    <n v="4"/>
    <n v="4"/>
    <n v="8"/>
    <n v="8"/>
    <n v="0"/>
    <n v="1"/>
    <n v="0"/>
    <n v="1"/>
    <n v="0"/>
    <n v="1"/>
    <n v="0"/>
  </r>
  <r>
    <n v="2662"/>
    <n v="156534"/>
    <n v="0"/>
    <n v="1"/>
    <x v="28"/>
    <s v="Together"/>
    <s v="Graduate"/>
    <s v="12/28/2019"/>
    <s v="Other"/>
    <n v="35"/>
    <n v="1913"/>
    <n v="19"/>
    <n v="169"/>
    <n v="28"/>
    <n v="0"/>
    <n v="127"/>
    <n v="2002"/>
    <n v="4"/>
    <n v="10"/>
    <n v="4"/>
    <n v="7"/>
    <n v="8"/>
    <n v="0"/>
    <n v="1"/>
    <n v="0"/>
    <n v="1"/>
    <n v="0"/>
    <n v="1"/>
    <n v="0"/>
  </r>
  <r>
    <n v="3208"/>
    <n v="156202"/>
    <n v="0"/>
    <n v="1"/>
    <x v="28"/>
    <s v="Together"/>
    <s v="Graduate"/>
    <s v="3/3/2019"/>
    <s v="Other"/>
    <n v="55"/>
    <n v="1023"/>
    <n v="67"/>
    <n v="189"/>
    <n v="106"/>
    <n v="0"/>
    <n v="245"/>
    <n v="1140"/>
    <n v="6"/>
    <n v="8"/>
    <n v="2"/>
    <n v="6"/>
    <n v="7"/>
    <n v="0"/>
    <n v="0"/>
    <n v="0"/>
    <n v="0"/>
    <n v="0"/>
    <n v="0"/>
    <n v="0"/>
  </r>
  <r>
    <n v="1055"/>
    <n v="155954"/>
    <n v="0"/>
    <n v="1"/>
    <x v="28"/>
    <s v="Married"/>
    <s v="PhD"/>
    <s v="8/7/2020"/>
    <s v="California"/>
    <n v="63"/>
    <n v="1246"/>
    <n v="0"/>
    <n v="78"/>
    <n v="0"/>
    <n v="0"/>
    <n v="120"/>
    <n v="1204"/>
    <n v="3"/>
    <n v="8"/>
    <n v="2"/>
    <n v="6"/>
    <n v="7"/>
    <n v="0"/>
    <n v="0"/>
    <n v="0"/>
    <n v="0"/>
    <n v="0"/>
    <n v="0"/>
    <n v="0"/>
  </r>
  <r>
    <n v="1560"/>
    <n v="151287"/>
    <n v="1"/>
    <n v="1"/>
    <x v="28"/>
    <s v="Married"/>
    <s v="Graduate"/>
    <s v="9/5/2020"/>
    <s v="Florida"/>
    <n v="10"/>
    <n v="345"/>
    <n v="0"/>
    <n v="65"/>
    <n v="38"/>
    <n v="0"/>
    <n v="88"/>
    <n v="360"/>
    <n v="3"/>
    <n v="4"/>
    <n v="1"/>
    <n v="3"/>
    <n v="7"/>
    <n v="0"/>
    <n v="0"/>
    <n v="0"/>
    <n v="0"/>
    <n v="0"/>
    <n v="0"/>
    <n v="0"/>
  </r>
  <r>
    <n v="2857"/>
    <n v="150616"/>
    <n v="0"/>
    <n v="1"/>
    <x v="28"/>
    <s v="Divorced"/>
    <s v="PhD"/>
    <s v="9/22/2020"/>
    <s v="Illinois"/>
    <n v="56"/>
    <n v="381"/>
    <n v="0"/>
    <n v="48"/>
    <n v="0"/>
    <n v="3"/>
    <n v="12"/>
    <n v="420"/>
    <n v="2"/>
    <n v="4"/>
    <n v="0"/>
    <n v="4"/>
    <n v="7"/>
    <n v="0"/>
    <n v="0"/>
    <n v="0"/>
    <n v="0"/>
    <n v="0"/>
    <n v="0"/>
    <n v="0"/>
  </r>
  <r>
    <n v="2059"/>
    <n v="150014"/>
    <n v="1"/>
    <n v="0"/>
    <x v="28"/>
    <s v="Single"/>
    <s v="Master"/>
    <s v="6/28/2020"/>
    <s v="Illinois"/>
    <n v="9"/>
    <n v="702"/>
    <n v="42"/>
    <n v="231"/>
    <n v="57"/>
    <n v="30"/>
    <n v="126"/>
    <n v="936"/>
    <n v="2"/>
    <n v="4"/>
    <n v="1"/>
    <n v="8"/>
    <n v="5"/>
    <n v="0"/>
    <n v="0"/>
    <n v="0"/>
    <n v="0"/>
    <n v="0"/>
    <n v="0"/>
    <n v="0"/>
  </r>
  <r>
    <n v="2147"/>
    <n v="148985"/>
    <n v="0"/>
    <n v="1"/>
    <x v="28"/>
    <s v="Married"/>
    <s v="Graduate"/>
    <s v="12/10/2019"/>
    <s v="California"/>
    <n v="13"/>
    <n v="58"/>
    <n v="40"/>
    <n v="55"/>
    <n v="30"/>
    <n v="21"/>
    <n v="24"/>
    <n v="179"/>
    <n v="1"/>
    <n v="1"/>
    <n v="1"/>
    <n v="3"/>
    <n v="3"/>
    <n v="0"/>
    <n v="0"/>
    <n v="0"/>
    <n v="0"/>
    <n v="0"/>
    <n v="0"/>
    <n v="0"/>
  </r>
  <r>
    <n v="2879"/>
    <n v="145688"/>
    <n v="0"/>
    <n v="1"/>
    <x v="28"/>
    <s v="Married"/>
    <s v="Graduate"/>
    <s v="7/1/2020"/>
    <s v="California"/>
    <n v="20"/>
    <n v="890"/>
    <n v="0"/>
    <n v="57"/>
    <n v="0"/>
    <n v="0"/>
    <n v="29"/>
    <n v="918"/>
    <n v="2"/>
    <n v="3"/>
    <n v="1"/>
    <n v="8"/>
    <n v="4"/>
    <n v="0"/>
    <n v="0"/>
    <n v="0"/>
    <n v="0"/>
    <n v="0"/>
    <n v="1"/>
    <n v="0"/>
  </r>
  <r>
    <n v="1200"/>
    <n v="144377"/>
    <n v="1"/>
    <n v="1"/>
    <x v="28"/>
    <s v="Married"/>
    <s v="PhD"/>
    <s v="3/12/2019"/>
    <s v="Florida"/>
    <n v="70"/>
    <n v="729"/>
    <n v="0"/>
    <n v="98"/>
    <n v="0"/>
    <n v="0"/>
    <n v="33"/>
    <n v="794"/>
    <n v="8"/>
    <n v="5"/>
    <n v="1"/>
    <n v="5"/>
    <n v="8"/>
    <n v="0"/>
    <n v="0"/>
    <n v="0"/>
    <n v="0"/>
    <n v="0"/>
    <n v="0"/>
    <n v="0"/>
  </r>
  <r>
    <n v="1370"/>
    <n v="143795"/>
    <n v="0"/>
    <n v="1"/>
    <x v="28"/>
    <s v="Together"/>
    <s v="Master"/>
    <s v="3/22/2020"/>
    <s v="New York"/>
    <n v="11"/>
    <n v="1031"/>
    <n v="36"/>
    <n v="174"/>
    <n v="13"/>
    <n v="10"/>
    <n v="351"/>
    <n v="913"/>
    <n v="3"/>
    <n v="7"/>
    <n v="3"/>
    <n v="4"/>
    <n v="7"/>
    <n v="0"/>
    <n v="1"/>
    <n v="0"/>
    <n v="0"/>
    <n v="0"/>
    <n v="1"/>
    <n v="0"/>
  </r>
  <r>
    <n v="1768"/>
    <n v="142564"/>
    <n v="0"/>
    <n v="1"/>
    <x v="28"/>
    <s v="Divorced"/>
    <s v="PhD"/>
    <s v="6/9/2019"/>
    <s v="Other"/>
    <n v="28"/>
    <n v="1085"/>
    <n v="161"/>
    <n v="623"/>
    <n v="131"/>
    <n v="60"/>
    <n v="663"/>
    <n v="1397"/>
    <n v="6"/>
    <n v="6"/>
    <n v="8"/>
    <n v="4"/>
    <n v="7"/>
    <n v="0"/>
    <n v="1"/>
    <n v="0"/>
    <n v="0"/>
    <n v="1"/>
    <n v="0"/>
    <n v="0"/>
  </r>
  <r>
    <n v="1045"/>
    <n v="141728"/>
    <n v="1"/>
    <n v="0"/>
    <x v="28"/>
    <s v="Together"/>
    <s v="Graduate"/>
    <s v="10/29/2019"/>
    <s v="Illinois"/>
    <n v="92"/>
    <n v="44"/>
    <n v="20"/>
    <n v="51"/>
    <n v="10"/>
    <n v="17"/>
    <n v="44"/>
    <n v="98"/>
    <n v="1"/>
    <n v="2"/>
    <n v="0"/>
    <n v="2"/>
    <n v="10"/>
    <n v="0"/>
    <n v="0"/>
    <n v="0"/>
    <n v="0"/>
    <n v="0"/>
    <n v="0"/>
    <n v="0"/>
  </r>
  <r>
    <n v="1685"/>
    <n v="141335"/>
    <n v="1"/>
    <n v="0"/>
    <x v="28"/>
    <s v="Divorced"/>
    <s v="Master"/>
    <s v="6/1/2020"/>
    <s v="California"/>
    <n v="24"/>
    <n v="383"/>
    <n v="65"/>
    <n v="72"/>
    <n v="55"/>
    <n v="48"/>
    <n v="17"/>
    <n v="605"/>
    <n v="3"/>
    <n v="4"/>
    <n v="1"/>
    <n v="4"/>
    <n v="7"/>
    <n v="0"/>
    <n v="0"/>
    <n v="0"/>
    <n v="0"/>
    <n v="0"/>
    <n v="0"/>
    <n v="0"/>
  </r>
  <r>
    <n v="2348"/>
    <n v="141335"/>
    <n v="1"/>
    <n v="0"/>
    <x v="28"/>
    <s v="Divorced"/>
    <s v="Master"/>
    <s v="6/1/2020"/>
    <s v="New York"/>
    <n v="24"/>
    <n v="383"/>
    <n v="65"/>
    <n v="72"/>
    <n v="55"/>
    <n v="48"/>
    <n v="17"/>
    <n v="605"/>
    <n v="3"/>
    <n v="4"/>
    <n v="1"/>
    <n v="4"/>
    <n v="7"/>
    <n v="0"/>
    <n v="0"/>
    <n v="0"/>
    <n v="0"/>
    <n v="0"/>
    <n v="0"/>
    <n v="0"/>
  </r>
  <r>
    <n v="2731"/>
    <n v="141120"/>
    <n v="1"/>
    <n v="1"/>
    <x v="28"/>
    <s v="Married"/>
    <s v="Graduate"/>
    <s v="4/12/2020"/>
    <s v="Illinois"/>
    <n v="80"/>
    <n v="82"/>
    <n v="7"/>
    <n v="79"/>
    <n v="0"/>
    <n v="27"/>
    <n v="82"/>
    <n v="113"/>
    <n v="3"/>
    <n v="2"/>
    <n v="1"/>
    <n v="3"/>
    <n v="6"/>
    <n v="0"/>
    <n v="0"/>
    <n v="0"/>
    <n v="0"/>
    <n v="0"/>
    <n v="0"/>
    <n v="0"/>
  </r>
  <r>
    <n v="1952"/>
    <n v="140706"/>
    <n v="2"/>
    <n v="1"/>
    <x v="28"/>
    <s v="Together"/>
    <s v="PhD"/>
    <s v="6/24/2019"/>
    <s v="New York"/>
    <n v="37"/>
    <n v="204"/>
    <n v="0"/>
    <n v="38"/>
    <n v="14"/>
    <n v="7"/>
    <n v="17"/>
    <n v="245"/>
    <n v="4"/>
    <n v="3"/>
    <n v="0"/>
    <n v="4"/>
    <n v="7"/>
    <n v="0"/>
    <n v="0"/>
    <n v="0"/>
    <n v="0"/>
    <n v="0"/>
    <n v="0"/>
    <n v="0"/>
  </r>
  <r>
    <n v="2228"/>
    <n v="140521"/>
    <n v="1"/>
    <n v="1"/>
    <x v="28"/>
    <s v="Together"/>
    <s v="Graduate"/>
    <s v="9/10/2019"/>
    <s v="New York"/>
    <n v="82"/>
    <n v="42"/>
    <n v="0"/>
    <n v="17"/>
    <n v="0"/>
    <n v="0"/>
    <n v="14"/>
    <n v="45"/>
    <n v="1"/>
    <n v="0"/>
    <n v="1"/>
    <n v="2"/>
    <n v="5"/>
    <n v="0"/>
    <n v="0"/>
    <n v="0"/>
    <n v="0"/>
    <n v="0"/>
    <n v="0"/>
    <n v="0"/>
  </r>
  <r>
    <n v="1555"/>
    <n v="138443"/>
    <n v="1"/>
    <n v="1"/>
    <x v="28"/>
    <s v="Married"/>
    <s v="PhD"/>
    <s v="7/3/2020"/>
    <s v="Illinois"/>
    <n v="58"/>
    <n v="115"/>
    <n v="0"/>
    <n v="18"/>
    <n v="0"/>
    <n v="0"/>
    <n v="4"/>
    <n v="130"/>
    <n v="2"/>
    <n v="1"/>
    <n v="0"/>
    <n v="3"/>
    <n v="7"/>
    <n v="0"/>
    <n v="0"/>
    <n v="0"/>
    <n v="0"/>
    <n v="0"/>
    <n v="0"/>
    <n v="0"/>
  </r>
  <r>
    <n v="2952"/>
    <n v="138236"/>
    <n v="1"/>
    <n v="1"/>
    <x v="28"/>
    <s v="Single"/>
    <s v="PhD"/>
    <s v="2/25/2020"/>
    <s v="Florida"/>
    <n v="2"/>
    <n v="210"/>
    <n v="0"/>
    <n v="65"/>
    <n v="7"/>
    <n v="0"/>
    <n v="36"/>
    <n v="246"/>
    <n v="4"/>
    <n v="3"/>
    <n v="0"/>
    <n v="4"/>
    <n v="7"/>
    <n v="0"/>
    <n v="0"/>
    <n v="0"/>
    <n v="0"/>
    <n v="0"/>
    <n v="0"/>
    <n v="0"/>
  </r>
  <r>
    <n v="3110"/>
    <n v="136997"/>
    <n v="1"/>
    <n v="1"/>
    <x v="28"/>
    <s v="Divorced"/>
    <s v="Graduate"/>
    <s v="7/9/2019"/>
    <s v="New York"/>
    <n v="72"/>
    <n v="159"/>
    <n v="15"/>
    <n v="44"/>
    <n v="30"/>
    <n v="0"/>
    <n v="100"/>
    <n v="148"/>
    <n v="5"/>
    <n v="2"/>
    <n v="1"/>
    <n v="4"/>
    <n v="5"/>
    <n v="0"/>
    <n v="0"/>
    <n v="0"/>
    <n v="0"/>
    <n v="0"/>
    <n v="0"/>
    <n v="0"/>
  </r>
  <r>
    <n v="2117"/>
    <n v="136778"/>
    <n v="1"/>
    <n v="1"/>
    <x v="28"/>
    <s v="Married"/>
    <s v="PhD"/>
    <s v="1/10/2019"/>
    <s v="California"/>
    <n v="63"/>
    <n v="108"/>
    <n v="15"/>
    <n v="126"/>
    <n v="7"/>
    <n v="15"/>
    <n v="15"/>
    <n v="257"/>
    <n v="3"/>
    <n v="3"/>
    <n v="0"/>
    <n v="3"/>
    <n v="9"/>
    <n v="0"/>
    <n v="0"/>
    <n v="0"/>
    <n v="0"/>
    <n v="0"/>
    <n v="0"/>
    <n v="0"/>
  </r>
  <r>
    <n v="2923"/>
    <n v="136065"/>
    <n v="1"/>
    <n v="1"/>
    <x v="28"/>
    <s v="Single"/>
    <s v="Graduate"/>
    <s v="9/5/2019"/>
    <s v="Illinois"/>
    <n v="54"/>
    <n v="68"/>
    <n v="26"/>
    <n v="128"/>
    <n v="38"/>
    <n v="8"/>
    <n v="11"/>
    <n v="257"/>
    <n v="3"/>
    <n v="3"/>
    <n v="0"/>
    <n v="3"/>
    <n v="8"/>
    <n v="0"/>
    <n v="0"/>
    <n v="0"/>
    <n v="0"/>
    <n v="0"/>
    <n v="0"/>
    <n v="0"/>
  </r>
  <r>
    <n v="3173"/>
    <n v="135893"/>
    <n v="1"/>
    <n v="1"/>
    <x v="28"/>
    <s v="Single"/>
    <s v="Graduate"/>
    <s v="3/22/2019"/>
    <s v="California"/>
    <n v="80"/>
    <n v="598"/>
    <n v="0"/>
    <n v="87"/>
    <n v="0"/>
    <n v="0"/>
    <n v="68"/>
    <n v="617"/>
    <n v="6"/>
    <n v="3"/>
    <n v="1"/>
    <n v="5"/>
    <n v="8"/>
    <n v="0"/>
    <n v="0"/>
    <n v="0"/>
    <n v="0"/>
    <n v="0"/>
    <n v="0"/>
    <n v="0"/>
  </r>
  <r>
    <n v="2148"/>
    <n v="135322"/>
    <n v="1"/>
    <n v="2"/>
    <x v="28"/>
    <s v="Together"/>
    <s v="Graduate"/>
    <s v="1/27/2019"/>
    <s v="Florida"/>
    <n v="34"/>
    <n v="107"/>
    <n v="34"/>
    <n v="142"/>
    <n v="46"/>
    <n v="27"/>
    <n v="50"/>
    <n v="306"/>
    <n v="3"/>
    <n v="2"/>
    <n v="0"/>
    <n v="4"/>
    <n v="8"/>
    <n v="0"/>
    <n v="0"/>
    <n v="0"/>
    <n v="0"/>
    <n v="0"/>
    <n v="0"/>
    <n v="0"/>
  </r>
  <r>
    <n v="2636"/>
    <n v="134916"/>
    <n v="2"/>
    <n v="0"/>
    <x v="28"/>
    <s v="Together"/>
    <s v="Graduate"/>
    <s v="10/20/2019"/>
    <s v="New York"/>
    <n v="89"/>
    <n v="197"/>
    <n v="89"/>
    <n v="317"/>
    <n v="128"/>
    <n v="0"/>
    <n v="162"/>
    <n v="568"/>
    <n v="4"/>
    <n v="5"/>
    <n v="1"/>
    <n v="3"/>
    <n v="9"/>
    <n v="0"/>
    <n v="0"/>
    <n v="0"/>
    <n v="0"/>
    <n v="0"/>
    <n v="0"/>
    <n v="0"/>
  </r>
  <r>
    <n v="1994"/>
    <n v="134053"/>
    <n v="0"/>
    <n v="1"/>
    <x v="28"/>
    <s v="Together"/>
    <s v="Master"/>
    <s v="2/15/2019"/>
    <s v="New York"/>
    <n v="14"/>
    <n v="248"/>
    <n v="0"/>
    <n v="83"/>
    <n v="28"/>
    <n v="0"/>
    <n v="47"/>
    <n v="311"/>
    <n v="1"/>
    <n v="3"/>
    <n v="0"/>
    <n v="3"/>
    <n v="8"/>
    <n v="0"/>
    <n v="0"/>
    <n v="0"/>
    <n v="0"/>
    <n v="0"/>
    <n v="0"/>
    <n v="0"/>
  </r>
  <r>
    <n v="2841"/>
    <n v="132889"/>
    <n v="1"/>
    <n v="1"/>
    <x v="28"/>
    <s v="Together"/>
    <s v="Master"/>
    <s v="2/11/2020"/>
    <s v="Texas"/>
    <n v="78"/>
    <n v="113"/>
    <n v="0"/>
    <n v="53"/>
    <n v="16"/>
    <n v="8"/>
    <n v="32"/>
    <n v="158"/>
    <n v="3"/>
    <n v="2"/>
    <n v="1"/>
    <n v="3"/>
    <n v="5"/>
    <n v="0"/>
    <n v="0"/>
    <n v="0"/>
    <n v="0"/>
    <n v="0"/>
    <n v="0"/>
    <n v="0"/>
  </r>
  <r>
    <n v="2908"/>
    <n v="129543"/>
    <n v="2"/>
    <n v="0"/>
    <x v="28"/>
    <s v="Married"/>
    <s v="Master"/>
    <s v="9/5/2020"/>
    <s v="Other"/>
    <n v="47"/>
    <n v="75"/>
    <n v="13"/>
    <n v="79"/>
    <n v="13"/>
    <n v="18"/>
    <n v="79"/>
    <n v="118"/>
    <n v="2"/>
    <n v="3"/>
    <n v="1"/>
    <n v="2"/>
    <n v="7"/>
    <n v="0"/>
    <n v="0"/>
    <n v="0"/>
    <n v="0"/>
    <n v="0"/>
    <n v="0"/>
    <n v="0"/>
  </r>
  <r>
    <n v="1650"/>
    <n v="129187"/>
    <n v="1"/>
    <n v="0"/>
    <x v="28"/>
    <s v="Married"/>
    <s v="PhD"/>
    <s v="10/14/2019"/>
    <s v="Florida"/>
    <n v="43"/>
    <n v="115"/>
    <n v="0"/>
    <n v="27"/>
    <n v="0"/>
    <n v="0"/>
    <n v="9"/>
    <n v="133"/>
    <n v="1"/>
    <n v="1"/>
    <n v="0"/>
    <n v="3"/>
    <n v="8"/>
    <n v="0"/>
    <n v="0"/>
    <n v="0"/>
    <n v="0"/>
    <n v="0"/>
    <n v="0"/>
    <n v="0"/>
  </r>
  <r>
    <n v="2817"/>
    <n v="127071"/>
    <n v="1"/>
    <n v="0"/>
    <x v="28"/>
    <s v="Divorced"/>
    <s v="Master"/>
    <s v="9/27/2020"/>
    <s v="Texas"/>
    <n v="90"/>
    <n v="38"/>
    <n v="14"/>
    <n v="89"/>
    <n v="0"/>
    <n v="9"/>
    <n v="14"/>
    <n v="136"/>
    <n v="2"/>
    <n v="2"/>
    <n v="0"/>
    <n v="3"/>
    <n v="6"/>
    <n v="0"/>
    <n v="0"/>
    <n v="0"/>
    <n v="0"/>
    <n v="0"/>
    <n v="0"/>
    <n v="0"/>
  </r>
  <r>
    <n v="2255"/>
    <n v="123748"/>
    <n v="1"/>
    <n v="0"/>
    <x v="28"/>
    <s v="Divorced"/>
    <s v="Master"/>
    <s v="4/28/2019"/>
    <s v="California"/>
    <n v="97"/>
    <n v="31"/>
    <n v="31"/>
    <n v="151"/>
    <n v="63"/>
    <n v="78"/>
    <n v="42"/>
    <n v="313"/>
    <n v="3"/>
    <n v="2"/>
    <n v="1"/>
    <n v="3"/>
    <n v="8"/>
    <n v="0"/>
    <n v="0"/>
    <n v="0"/>
    <n v="0"/>
    <n v="0"/>
    <n v="0"/>
    <n v="0"/>
  </r>
  <r>
    <n v="1532"/>
    <n v="119514"/>
    <n v="1"/>
    <n v="1"/>
    <x v="28"/>
    <s v="Married"/>
    <s v="Graduate"/>
    <s v="7/2/2020"/>
    <s v="New York"/>
    <n v="47"/>
    <n v="86"/>
    <n v="18"/>
    <n v="129"/>
    <n v="12"/>
    <n v="6"/>
    <n v="171"/>
    <n v="80"/>
    <n v="4"/>
    <n v="3"/>
    <n v="1"/>
    <n v="2"/>
    <n v="8"/>
    <n v="0"/>
    <n v="1"/>
    <n v="0"/>
    <n v="0"/>
    <n v="1"/>
    <n v="0"/>
    <n v="0"/>
  </r>
  <r>
    <n v="1989"/>
    <n v="119514"/>
    <n v="1"/>
    <n v="1"/>
    <x v="28"/>
    <s v="Married"/>
    <s v="Graduate"/>
    <s v="7/2/2020"/>
    <s v="Texas"/>
    <n v="47"/>
    <n v="86"/>
    <n v="18"/>
    <n v="129"/>
    <n v="12"/>
    <n v="6"/>
    <n v="171"/>
    <n v="80"/>
    <n v="4"/>
    <n v="3"/>
    <n v="1"/>
    <n v="2"/>
    <n v="8"/>
    <n v="0"/>
    <n v="0"/>
    <n v="0"/>
    <n v="0"/>
    <n v="1"/>
    <n v="0"/>
    <n v="0"/>
  </r>
  <r>
    <n v="1780"/>
    <n v="119329"/>
    <n v="1"/>
    <n v="0"/>
    <x v="28"/>
    <s v="Married"/>
    <s v="Graduate"/>
    <s v="5/20/2020"/>
    <s v="Other"/>
    <n v="39"/>
    <n v="148"/>
    <n v="6"/>
    <n v="99"/>
    <n v="74"/>
    <n v="12"/>
    <n v="31"/>
    <n v="309"/>
    <n v="3"/>
    <n v="4"/>
    <n v="0"/>
    <n v="3"/>
    <n v="8"/>
    <n v="0"/>
    <n v="0"/>
    <n v="0"/>
    <n v="0"/>
    <n v="0"/>
    <n v="0"/>
    <n v="0"/>
  </r>
  <r>
    <n v="3144"/>
    <n v="181380"/>
    <n v="0"/>
    <n v="0"/>
    <x v="29"/>
    <s v="Divorced"/>
    <s v="Master"/>
    <s v="5/29/2019"/>
    <s v="Florida"/>
    <n v="51"/>
    <n v="1652"/>
    <n v="152"/>
    <n v="1536"/>
    <n v="499"/>
    <n v="152"/>
    <n v="230"/>
    <n v="3760"/>
    <n v="1"/>
    <n v="4"/>
    <n v="2"/>
    <n v="10"/>
    <n v="2"/>
    <n v="0"/>
    <n v="0"/>
    <n v="0"/>
    <n v="0"/>
    <n v="0"/>
    <n v="0"/>
    <n v="0"/>
  </r>
  <r>
    <n v="1742"/>
    <n v="179146"/>
    <n v="1"/>
    <n v="1"/>
    <x v="29"/>
    <s v="Single"/>
    <s v="Graduate"/>
    <s v="9/28/2020"/>
    <s v="New York"/>
    <n v="33"/>
    <n v="555"/>
    <n v="36"/>
    <n v="505"/>
    <n v="48"/>
    <n v="97"/>
    <n v="36"/>
    <n v="1204"/>
    <n v="2"/>
    <n v="8"/>
    <n v="1"/>
    <n v="8"/>
    <n v="6"/>
    <n v="0"/>
    <n v="0"/>
    <n v="0"/>
    <n v="0"/>
    <n v="0"/>
    <n v="0"/>
    <n v="0"/>
  </r>
  <r>
    <n v="2711"/>
    <n v="179146"/>
    <n v="1"/>
    <n v="1"/>
    <x v="29"/>
    <s v="Single"/>
    <s v="Graduate"/>
    <s v="9/28/2020"/>
    <s v="California"/>
    <n v="33"/>
    <n v="555"/>
    <n v="36"/>
    <n v="505"/>
    <n v="48"/>
    <n v="97"/>
    <n v="36"/>
    <n v="1204"/>
    <n v="2"/>
    <n v="8"/>
    <n v="1"/>
    <n v="8"/>
    <n v="6"/>
    <n v="0"/>
    <n v="0"/>
    <n v="0"/>
    <n v="0"/>
    <n v="0"/>
    <n v="0"/>
    <n v="0"/>
  </r>
  <r>
    <n v="2888"/>
    <n v="177870"/>
    <n v="0"/>
    <n v="1"/>
    <x v="29"/>
    <s v="Married"/>
    <s v="Graduate"/>
    <s v="1/27/2019"/>
    <s v="New York"/>
    <n v="93"/>
    <n v="2323"/>
    <n v="114"/>
    <n v="1142"/>
    <n v="148"/>
    <n v="114"/>
    <n v="304"/>
    <n v="3538"/>
    <n v="3"/>
    <n v="5"/>
    <n v="5"/>
    <n v="5"/>
    <n v="8"/>
    <n v="0"/>
    <n v="1"/>
    <n v="1"/>
    <n v="0"/>
    <n v="0"/>
    <n v="1"/>
    <n v="0"/>
  </r>
  <r>
    <n v="2233"/>
    <n v="177766"/>
    <n v="0"/>
    <n v="1"/>
    <x v="29"/>
    <s v="Married"/>
    <s v="PhD"/>
    <s v="7/30/2019"/>
    <s v="Illinois"/>
    <n v="97"/>
    <n v="2295"/>
    <n v="135"/>
    <n v="606"/>
    <n v="263"/>
    <n v="135"/>
    <n v="62"/>
    <n v="3372"/>
    <n v="2"/>
    <n v="11"/>
    <n v="10"/>
    <n v="11"/>
    <n v="6"/>
    <n v="0"/>
    <n v="1"/>
    <n v="0"/>
    <n v="0"/>
    <n v="1"/>
    <n v="0"/>
    <n v="0"/>
  </r>
  <r>
    <n v="2644"/>
    <n v="177766"/>
    <n v="0"/>
    <n v="1"/>
    <x v="29"/>
    <s v="Married"/>
    <s v="PhD"/>
    <s v="7/30/2019"/>
    <s v="Other"/>
    <n v="97"/>
    <n v="2295"/>
    <n v="135"/>
    <n v="606"/>
    <n v="263"/>
    <n v="135"/>
    <n v="62"/>
    <n v="3372"/>
    <n v="2"/>
    <n v="11"/>
    <n v="10"/>
    <n v="11"/>
    <n v="6"/>
    <n v="0"/>
    <n v="1"/>
    <n v="0"/>
    <n v="0"/>
    <n v="1"/>
    <n v="0"/>
    <n v="0"/>
  </r>
  <r>
    <n v="1521"/>
    <n v="176982"/>
    <n v="0"/>
    <n v="0"/>
    <x v="29"/>
    <s v="Divorced"/>
    <s v="Graduate"/>
    <s v="7/22/2020"/>
    <s v="Texas"/>
    <n v="19"/>
    <n v="1067"/>
    <n v="347"/>
    <n v="671"/>
    <n v="149"/>
    <n v="138"/>
    <n v="69"/>
    <n v="2304"/>
    <n v="1"/>
    <n v="8"/>
    <n v="3"/>
    <n v="4"/>
    <n v="4"/>
    <n v="0"/>
    <n v="1"/>
    <n v="0"/>
    <n v="0"/>
    <n v="0"/>
    <n v="0"/>
    <n v="1"/>
  </r>
  <r>
    <n v="1241"/>
    <n v="175702"/>
    <n v="1"/>
    <n v="1"/>
    <x v="29"/>
    <s v="Together"/>
    <s v="Graduate"/>
    <s v="2/3/2019"/>
    <s v="California"/>
    <n v="77"/>
    <n v="1509"/>
    <n v="65"/>
    <n v="819"/>
    <n v="104"/>
    <n v="97"/>
    <n v="70"/>
    <n v="2525"/>
    <n v="5"/>
    <n v="4"/>
    <n v="6"/>
    <n v="11"/>
    <n v="8"/>
    <n v="0"/>
    <n v="0"/>
    <n v="0"/>
    <n v="0"/>
    <n v="0"/>
    <n v="0"/>
    <n v="0"/>
  </r>
  <r>
    <n v="2410"/>
    <n v="170844"/>
    <n v="1"/>
    <n v="1"/>
    <x v="29"/>
    <s v="Divorced"/>
    <s v="Graduate"/>
    <s v="4/5/2020"/>
    <s v="Other"/>
    <n v="16"/>
    <n v="311"/>
    <n v="63"/>
    <n v="162"/>
    <n v="7"/>
    <n v="162"/>
    <n v="5"/>
    <n v="699"/>
    <n v="5"/>
    <n v="6"/>
    <n v="1"/>
    <n v="5"/>
    <n v="7"/>
    <n v="0"/>
    <n v="0"/>
    <n v="0"/>
    <n v="0"/>
    <n v="0"/>
    <n v="0"/>
    <n v="0"/>
  </r>
  <r>
    <n v="1941"/>
    <n v="170647"/>
    <n v="0"/>
    <n v="1"/>
    <x v="29"/>
    <s v="Divorced"/>
    <s v="Graduate"/>
    <s v="2/26/2019"/>
    <s v="Texas"/>
    <n v="65"/>
    <n v="1355"/>
    <n v="205"/>
    <n v="413"/>
    <n v="60"/>
    <n v="297"/>
    <n v="275"/>
    <n v="2056"/>
    <n v="2"/>
    <n v="4"/>
    <n v="7"/>
    <n v="13"/>
    <n v="2"/>
    <n v="0"/>
    <n v="0"/>
    <n v="0"/>
    <n v="0"/>
    <n v="0"/>
    <n v="0"/>
    <n v="0"/>
  </r>
  <r>
    <n v="1663"/>
    <n v="168743"/>
    <n v="0"/>
    <n v="0"/>
    <x v="29"/>
    <s v="Divorced"/>
    <s v="Graduate"/>
    <s v="2/4/2019"/>
    <s v="Illinois"/>
    <n v="81"/>
    <n v="2779"/>
    <n v="329"/>
    <n v="943"/>
    <n v="430"/>
    <n v="329"/>
    <n v="282"/>
    <n v="4526"/>
    <n v="1"/>
    <n v="11"/>
    <n v="5"/>
    <n v="13"/>
    <n v="7"/>
    <n v="0"/>
    <n v="0"/>
    <n v="0"/>
    <n v="0"/>
    <n v="0"/>
    <n v="0"/>
    <n v="0"/>
  </r>
  <r>
    <n v="1416"/>
    <n v="167309"/>
    <n v="1"/>
    <n v="1"/>
    <x v="29"/>
    <s v="Together"/>
    <s v="Graduate"/>
    <s v="6/30/2019"/>
    <s v="Florida"/>
    <n v="76"/>
    <n v="1280"/>
    <n v="117"/>
    <n v="450"/>
    <n v="370"/>
    <n v="236"/>
    <n v="236"/>
    <n v="2217"/>
    <n v="15"/>
    <n v="9"/>
    <n v="6"/>
    <n v="9"/>
    <n v="7"/>
    <n v="0"/>
    <n v="0"/>
    <n v="0"/>
    <n v="0"/>
    <n v="0"/>
    <n v="0"/>
    <n v="0"/>
  </r>
  <r>
    <n v="1883"/>
    <n v="166825"/>
    <n v="0"/>
    <n v="0"/>
    <x v="29"/>
    <s v="Together"/>
    <s v="Graduate"/>
    <s v="12/19/2019"/>
    <s v="California"/>
    <n v="73"/>
    <n v="607"/>
    <n v="252"/>
    <n v="1011"/>
    <n v="72"/>
    <n v="100"/>
    <n v="100"/>
    <n v="1942"/>
    <n v="1"/>
    <n v="4"/>
    <n v="5"/>
    <n v="6"/>
    <n v="2"/>
    <n v="0"/>
    <n v="0"/>
    <n v="0"/>
    <n v="0"/>
    <n v="0"/>
    <n v="0"/>
    <n v="0"/>
  </r>
  <r>
    <n v="1666"/>
    <n v="165777"/>
    <n v="0"/>
    <n v="0"/>
    <x v="29"/>
    <s v="Together"/>
    <s v="Graduate"/>
    <s v="5/25/2020"/>
    <s v="Other"/>
    <n v="87"/>
    <n v="1424"/>
    <n v="81"/>
    <n v="1096"/>
    <n v="71"/>
    <n v="81"/>
    <n v="136"/>
    <n v="2616"/>
    <n v="1"/>
    <n v="2"/>
    <n v="8"/>
    <n v="6"/>
    <n v="1"/>
    <n v="0"/>
    <n v="0"/>
    <n v="0"/>
    <n v="0"/>
    <n v="0"/>
    <n v="0"/>
    <n v="0"/>
  </r>
  <r>
    <n v="3216"/>
    <n v="165090"/>
    <n v="0"/>
    <n v="1"/>
    <x v="29"/>
    <s v="Married"/>
    <s v="Graduate"/>
    <s v="11/18/2019"/>
    <s v="Florida"/>
    <n v="46"/>
    <n v="1798"/>
    <n v="109"/>
    <n v="462"/>
    <n v="107"/>
    <n v="299"/>
    <n v="626"/>
    <n v="2148"/>
    <n v="2"/>
    <n v="0"/>
    <n v="3"/>
    <n v="4"/>
    <n v="5"/>
    <n v="0"/>
    <n v="0"/>
    <n v="0"/>
    <n v="0"/>
    <n v="0"/>
    <n v="0"/>
    <n v="0"/>
  </r>
  <r>
    <n v="2641"/>
    <n v="163246"/>
    <n v="0"/>
    <n v="2"/>
    <x v="29"/>
    <s v="Married"/>
    <s v="PhD"/>
    <s v="1/25/2020"/>
    <s v="Illinois"/>
    <n v="60"/>
    <n v="1531"/>
    <n v="77"/>
    <n v="235"/>
    <n v="75"/>
    <n v="57"/>
    <n v="18"/>
    <n v="1956"/>
    <n v="1"/>
    <n v="6"/>
    <n v="3"/>
    <n v="12"/>
    <n v="4"/>
    <n v="0"/>
    <n v="0"/>
    <n v="0"/>
    <n v="0"/>
    <n v="0"/>
    <n v="0"/>
    <n v="0"/>
  </r>
  <r>
    <n v="1125"/>
    <n v="162981"/>
    <n v="0"/>
    <n v="0"/>
    <x v="29"/>
    <s v="Together"/>
    <s v="PhD"/>
    <s v="8/22/2019"/>
    <s v="Texas"/>
    <n v="21"/>
    <n v="2060"/>
    <n v="36"/>
    <n v="1527"/>
    <n v="98"/>
    <n v="114"/>
    <n v="0"/>
    <n v="3835"/>
    <n v="1"/>
    <n v="4"/>
    <n v="5"/>
    <n v="13"/>
    <n v="3"/>
    <n v="0"/>
    <n v="0"/>
    <n v="0"/>
    <n v="0"/>
    <n v="0"/>
    <n v="1"/>
    <n v="0"/>
  </r>
  <r>
    <n v="1006"/>
    <n v="162513"/>
    <n v="0"/>
    <n v="1"/>
    <x v="29"/>
    <s v="Together"/>
    <s v="Master"/>
    <s v="2/14/2020"/>
    <s v="Other"/>
    <n v="16"/>
    <n v="1352"/>
    <n v="109"/>
    <n v="255"/>
    <n v="0"/>
    <n v="109"/>
    <n v="36"/>
    <n v="1789"/>
    <n v="2"/>
    <n v="6"/>
    <n v="4"/>
    <n v="10"/>
    <n v="6"/>
    <n v="0"/>
    <n v="0"/>
    <n v="0"/>
    <n v="0"/>
    <n v="0"/>
    <n v="0"/>
    <n v="0"/>
  </r>
  <r>
    <n v="3201"/>
    <n v="161223"/>
    <n v="0"/>
    <n v="1"/>
    <x v="29"/>
    <s v="Married"/>
    <s v="Graduate"/>
    <s v="11/18/2019"/>
    <s v="Texas"/>
    <n v="46"/>
    <n v="1867"/>
    <n v="113"/>
    <n v="479"/>
    <n v="111"/>
    <n v="311"/>
    <n v="650"/>
    <n v="2230"/>
    <n v="2"/>
    <n v="9"/>
    <n v="3"/>
    <n v="4"/>
    <n v="5"/>
    <n v="0"/>
    <n v="0"/>
    <n v="0"/>
    <n v="0"/>
    <n v="0"/>
    <n v="0"/>
    <n v="0"/>
  </r>
  <r>
    <n v="2515"/>
    <n v="159235"/>
    <n v="1"/>
    <n v="0"/>
    <x v="29"/>
    <s v="Single"/>
    <s v="Master"/>
    <s v="6/19/2019"/>
    <s v="Illinois"/>
    <n v="4"/>
    <n v="1204"/>
    <n v="108"/>
    <n v="1261"/>
    <n v="215"/>
    <n v="0"/>
    <n v="245"/>
    <n v="2543"/>
    <n v="3"/>
    <n v="11"/>
    <n v="2"/>
    <n v="12"/>
    <n v="7"/>
    <n v="0"/>
    <n v="0"/>
    <n v="0"/>
    <n v="0"/>
    <n v="0"/>
    <n v="0"/>
    <n v="0"/>
  </r>
  <r>
    <n v="2222"/>
    <n v="159062"/>
    <n v="2"/>
    <n v="1"/>
    <x v="29"/>
    <s v="Married"/>
    <s v="PhD"/>
    <s v="3/9/2020"/>
    <s v="New York"/>
    <n v="74"/>
    <n v="124"/>
    <n v="3"/>
    <n v="32"/>
    <n v="8"/>
    <n v="0"/>
    <n v="24"/>
    <n v="143"/>
    <n v="2"/>
    <n v="2"/>
    <n v="0"/>
    <n v="3"/>
    <n v="4"/>
    <n v="0"/>
    <n v="0"/>
    <n v="0"/>
    <n v="0"/>
    <n v="0"/>
    <n v="0"/>
    <n v="0"/>
  </r>
  <r>
    <n v="2624"/>
    <n v="157136"/>
    <n v="0"/>
    <n v="0"/>
    <x v="29"/>
    <s v="Divorced"/>
    <s v="Graduate"/>
    <s v="10/23/2019"/>
    <s v="New York"/>
    <n v="18"/>
    <n v="734"/>
    <n v="385"/>
    <n v="1647"/>
    <n v="94"/>
    <n v="33"/>
    <n v="349"/>
    <n v="2544"/>
    <n v="1"/>
    <n v="7"/>
    <n v="5"/>
    <n v="7"/>
    <n v="6"/>
    <n v="0"/>
    <n v="1"/>
    <n v="0"/>
    <n v="0"/>
    <n v="0"/>
    <n v="0"/>
    <n v="0"/>
  </r>
  <r>
    <n v="1813"/>
    <n v="156575"/>
    <n v="0"/>
    <n v="2"/>
    <x v="29"/>
    <s v="Together"/>
    <s v="PhD"/>
    <s v="10/10/2019"/>
    <s v="Illinois"/>
    <n v="42"/>
    <n v="1165"/>
    <n v="14"/>
    <n v="249"/>
    <n v="0"/>
    <n v="44"/>
    <n v="28"/>
    <n v="1445"/>
    <n v="3"/>
    <n v="7"/>
    <n v="3"/>
    <n v="7"/>
    <n v="5"/>
    <n v="0"/>
    <n v="0"/>
    <n v="0"/>
    <n v="0"/>
    <n v="0"/>
    <n v="0"/>
    <n v="0"/>
  </r>
  <r>
    <n v="2006"/>
    <n v="156320"/>
    <n v="0"/>
    <n v="1"/>
    <x v="29"/>
    <s v="Married"/>
    <s v="PhD"/>
    <s v="9/13/2019"/>
    <s v="New York"/>
    <n v="11"/>
    <n v="558"/>
    <n v="147"/>
    <n v="477"/>
    <n v="322"/>
    <n v="214"/>
    <n v="230"/>
    <n v="1488"/>
    <n v="3"/>
    <n v="5"/>
    <n v="4"/>
    <n v="9"/>
    <n v="4"/>
    <n v="0"/>
    <n v="0"/>
    <n v="0"/>
    <n v="0"/>
    <n v="0"/>
    <n v="0"/>
    <n v="0"/>
  </r>
  <r>
    <n v="1084"/>
    <n v="154178"/>
    <n v="0"/>
    <n v="1"/>
    <x v="29"/>
    <s v="Together"/>
    <s v="Graduate"/>
    <s v="6/27/2020"/>
    <s v="Other"/>
    <n v="79"/>
    <n v="384"/>
    <n v="26"/>
    <n v="111"/>
    <n v="11"/>
    <n v="0"/>
    <n v="20"/>
    <n v="512"/>
    <n v="1"/>
    <n v="2"/>
    <n v="2"/>
    <n v="5"/>
    <n v="2"/>
    <n v="0"/>
    <n v="0"/>
    <n v="0"/>
    <n v="0"/>
    <n v="0"/>
    <n v="0"/>
    <n v="0"/>
  </r>
  <r>
    <n v="2570"/>
    <n v="152569"/>
    <n v="0"/>
    <n v="1"/>
    <x v="29"/>
    <s v="Single"/>
    <s v="PhD"/>
    <s v="9/9/2020"/>
    <s v="New York"/>
    <n v="54"/>
    <n v="247"/>
    <n v="0"/>
    <n v="9"/>
    <n v="0"/>
    <n v="0"/>
    <n v="20"/>
    <n v="235"/>
    <n v="1"/>
    <n v="2"/>
    <n v="0"/>
    <n v="4"/>
    <n v="3"/>
    <n v="0"/>
    <n v="0"/>
    <n v="0"/>
    <n v="0"/>
    <n v="0"/>
    <n v="0"/>
    <n v="0"/>
  </r>
  <r>
    <n v="1163"/>
    <n v="152074"/>
    <n v="0"/>
    <n v="1"/>
    <x v="29"/>
    <s v="Single"/>
    <s v="Graduate"/>
    <s v="9/8/2020"/>
    <s v="California"/>
    <n v="77"/>
    <n v="172"/>
    <n v="0"/>
    <n v="35"/>
    <n v="0"/>
    <n v="0"/>
    <n v="140"/>
    <n v="67"/>
    <n v="1"/>
    <n v="2"/>
    <n v="2"/>
    <n v="2"/>
    <n v="4"/>
    <n v="0"/>
    <n v="0"/>
    <n v="0"/>
    <n v="0"/>
    <n v="1"/>
    <n v="0"/>
    <n v="0"/>
  </r>
  <r>
    <n v="1348"/>
    <n v="151479"/>
    <n v="1"/>
    <n v="1"/>
    <x v="29"/>
    <s v="Married"/>
    <s v="Graduate"/>
    <s v="6/4/2019"/>
    <s v="Other"/>
    <n v="67"/>
    <n v="727"/>
    <n v="24"/>
    <n v="471"/>
    <n v="18"/>
    <n v="24"/>
    <n v="191"/>
    <n v="1071"/>
    <n v="7"/>
    <n v="6"/>
    <n v="3"/>
    <n v="6"/>
    <n v="7"/>
    <n v="0"/>
    <n v="0"/>
    <n v="0"/>
    <n v="0"/>
    <n v="0"/>
    <n v="0"/>
    <n v="0"/>
  </r>
  <r>
    <n v="1566"/>
    <n v="147821"/>
    <n v="1"/>
    <n v="1"/>
    <x v="29"/>
    <s v="Together"/>
    <s v="Graduate"/>
    <s v="3/26/2020"/>
    <s v="Florida"/>
    <n v="54"/>
    <n v="28"/>
    <n v="0"/>
    <n v="49"/>
    <n v="19"/>
    <n v="19"/>
    <n v="31"/>
    <n v="83"/>
    <n v="1"/>
    <n v="1"/>
    <n v="0"/>
    <n v="3"/>
    <n v="8"/>
    <n v="0"/>
    <n v="0"/>
    <n v="0"/>
    <n v="0"/>
    <n v="0"/>
    <n v="0"/>
    <n v="0"/>
  </r>
  <r>
    <n v="2760"/>
    <n v="146904"/>
    <n v="1"/>
    <n v="1"/>
    <x v="29"/>
    <s v="Single"/>
    <s v="Graduate"/>
    <s v="4/10/2019"/>
    <s v="Florida"/>
    <n v="20"/>
    <n v="479"/>
    <n v="13"/>
    <n v="175"/>
    <n v="0"/>
    <n v="28"/>
    <n v="97"/>
    <n v="598"/>
    <n v="4"/>
    <n v="5"/>
    <n v="1"/>
    <n v="4"/>
    <n v="8"/>
    <n v="0"/>
    <n v="0"/>
    <n v="0"/>
    <n v="0"/>
    <n v="0"/>
    <n v="0"/>
    <n v="0"/>
  </r>
  <r>
    <n v="1520"/>
    <n v="144931"/>
    <n v="0"/>
    <n v="1"/>
    <x v="29"/>
    <s v="Together"/>
    <s v="Graduate"/>
    <s v="6/24/2020"/>
    <s v="New York"/>
    <n v="0"/>
    <n v="252"/>
    <n v="0"/>
    <n v="35"/>
    <n v="0"/>
    <n v="0"/>
    <n v="23"/>
    <n v="265"/>
    <n v="1"/>
    <n v="2"/>
    <n v="1"/>
    <n v="3"/>
    <n v="5"/>
    <n v="0"/>
    <n v="0"/>
    <n v="0"/>
    <n v="0"/>
    <n v="0"/>
    <n v="0"/>
    <n v="0"/>
  </r>
  <r>
    <n v="2749"/>
    <n v="142664"/>
    <n v="0"/>
    <n v="1"/>
    <x v="29"/>
    <s v="Married"/>
    <s v="Graduate"/>
    <s v="8/22/2020"/>
    <s v="Illinois"/>
    <n v="44"/>
    <n v="70"/>
    <n v="0"/>
    <n v="10"/>
    <n v="0"/>
    <n v="0"/>
    <n v="0"/>
    <n v="80"/>
    <n v="1"/>
    <n v="1"/>
    <n v="0"/>
    <n v="3"/>
    <n v="6"/>
    <n v="0"/>
    <n v="0"/>
    <n v="0"/>
    <n v="0"/>
    <n v="0"/>
    <n v="0"/>
    <n v="0"/>
  </r>
  <r>
    <n v="2429"/>
    <n v="140304"/>
    <n v="1"/>
    <n v="0"/>
    <x v="29"/>
    <s v="Single"/>
    <s v="PhD"/>
    <s v="3/6/2020"/>
    <s v="California"/>
    <n v="82"/>
    <n v="129"/>
    <n v="0"/>
    <n v="59"/>
    <n v="0"/>
    <n v="0"/>
    <n v="10"/>
    <n v="178"/>
    <n v="1"/>
    <n v="2"/>
    <n v="0"/>
    <n v="3"/>
    <n v="7"/>
    <n v="0"/>
    <n v="0"/>
    <n v="0"/>
    <n v="0"/>
    <n v="0"/>
    <n v="0"/>
    <n v="0"/>
  </r>
  <r>
    <n v="2531"/>
    <n v="137054"/>
    <n v="1"/>
    <n v="1"/>
    <x v="29"/>
    <s v="Married"/>
    <s v="Master"/>
    <s v="2/20/2020"/>
    <s v="California"/>
    <n v="89"/>
    <n v="44"/>
    <n v="4"/>
    <n v="22"/>
    <n v="0"/>
    <n v="4"/>
    <n v="18"/>
    <n v="55"/>
    <n v="2"/>
    <n v="1"/>
    <n v="0"/>
    <n v="3"/>
    <n v="7"/>
    <n v="0"/>
    <n v="0"/>
    <n v="0"/>
    <n v="0"/>
    <n v="0"/>
    <n v="0"/>
    <n v="0"/>
  </r>
  <r>
    <n v="2381"/>
    <n v="136947"/>
    <n v="1"/>
    <n v="1"/>
    <x v="29"/>
    <s v="Married"/>
    <s v="PhD"/>
    <s v="1/12/2019"/>
    <s v="California"/>
    <n v="49"/>
    <n v="326"/>
    <n v="11"/>
    <n v="78"/>
    <n v="15"/>
    <n v="4"/>
    <n v="107"/>
    <n v="326"/>
    <n v="4"/>
    <n v="3"/>
    <n v="0"/>
    <n v="4"/>
    <n v="9"/>
    <n v="0"/>
    <n v="0"/>
    <n v="0"/>
    <n v="0"/>
    <n v="0"/>
    <n v="0"/>
    <n v="0"/>
  </r>
  <r>
    <n v="1815"/>
    <n v="135441"/>
    <n v="1"/>
    <n v="1"/>
    <x v="29"/>
    <s v="Married"/>
    <s v="Graduate"/>
    <s v="7/22/2019"/>
    <s v="Texas"/>
    <n v="94"/>
    <n v="96"/>
    <n v="4"/>
    <n v="34"/>
    <n v="8"/>
    <n v="4"/>
    <n v="4"/>
    <n v="141"/>
    <n v="2"/>
    <n v="1"/>
    <n v="0"/>
    <n v="3"/>
    <n v="8"/>
    <n v="0"/>
    <n v="0"/>
    <n v="0"/>
    <n v="0"/>
    <n v="0"/>
    <n v="0"/>
    <n v="0"/>
  </r>
  <r>
    <n v="1113"/>
    <n v="132557"/>
    <n v="1"/>
    <n v="0"/>
    <x v="29"/>
    <s v="Single"/>
    <s v="Master"/>
    <s v="7/31/2020"/>
    <s v="Texas"/>
    <n v="13"/>
    <n v="138"/>
    <n v="12"/>
    <n v="118"/>
    <n v="0"/>
    <n v="16"/>
    <n v="41"/>
    <n v="244"/>
    <n v="3"/>
    <n v="2"/>
    <n v="1"/>
    <n v="3"/>
    <n v="5"/>
    <n v="0"/>
    <n v="1"/>
    <n v="0"/>
    <n v="0"/>
    <n v="0"/>
    <n v="0"/>
    <n v="0"/>
  </r>
  <r>
    <n v="1062"/>
    <n v="132474"/>
    <n v="1"/>
    <n v="1"/>
    <x v="29"/>
    <s v="Together"/>
    <s v="Graduate"/>
    <s v="10/15/2020"/>
    <s v="Florida"/>
    <n v="0"/>
    <n v="41"/>
    <n v="0"/>
    <n v="4"/>
    <n v="0"/>
    <n v="0"/>
    <n v="0"/>
    <n v="45"/>
    <n v="1"/>
    <n v="1"/>
    <n v="0"/>
    <n v="2"/>
    <n v="7"/>
    <n v="0"/>
    <n v="0"/>
    <n v="0"/>
    <n v="0"/>
    <n v="0"/>
    <n v="0"/>
    <n v="0"/>
  </r>
  <r>
    <n v="1110"/>
    <n v="130753"/>
    <n v="1"/>
    <n v="1"/>
    <x v="29"/>
    <s v="Together"/>
    <s v="Graduate"/>
    <s v="12/16/2019"/>
    <s v="Florida"/>
    <n v="85"/>
    <n v="51"/>
    <n v="21"/>
    <n v="106"/>
    <n v="0"/>
    <n v="38"/>
    <n v="128"/>
    <n v="89"/>
    <n v="2"/>
    <n v="1"/>
    <n v="1"/>
    <n v="3"/>
    <n v="5"/>
    <n v="0"/>
    <n v="0"/>
    <n v="0"/>
    <n v="0"/>
    <n v="0"/>
    <n v="0"/>
    <n v="0"/>
  </r>
  <r>
    <n v="2976"/>
    <n v="128420"/>
    <n v="1"/>
    <n v="0"/>
    <x v="29"/>
    <s v="Divorced"/>
    <s v="PhD"/>
    <s v="5/30/2020"/>
    <s v="Florida"/>
    <n v="36"/>
    <n v="18"/>
    <n v="9"/>
    <n v="23"/>
    <n v="9"/>
    <n v="0"/>
    <n v="0"/>
    <n v="59"/>
    <n v="1"/>
    <n v="1"/>
    <n v="0"/>
    <n v="2"/>
    <n v="6"/>
    <n v="0"/>
    <n v="0"/>
    <n v="0"/>
    <n v="0"/>
    <n v="0"/>
    <n v="0"/>
    <n v="0"/>
  </r>
  <r>
    <n v="2992"/>
    <n v="127943"/>
    <n v="1"/>
    <n v="1"/>
    <x v="29"/>
    <s v="Together"/>
    <s v="Graduate"/>
    <s v="9/20/2019"/>
    <s v="Other"/>
    <n v="89"/>
    <n v="55"/>
    <n v="5"/>
    <n v="73"/>
    <n v="18"/>
    <n v="5"/>
    <n v="14"/>
    <n v="142"/>
    <n v="3"/>
    <n v="2"/>
    <n v="0"/>
    <n v="3"/>
    <n v="8"/>
    <n v="0"/>
    <n v="0"/>
    <n v="0"/>
    <n v="0"/>
    <n v="0"/>
    <n v="0"/>
    <n v="0"/>
  </r>
  <r>
    <n v="2845"/>
    <n v="126642"/>
    <n v="1"/>
    <n v="0"/>
    <x v="29"/>
    <s v="Divorced"/>
    <s v="PhD"/>
    <s v="8/5/2020"/>
    <s v="Illinois"/>
    <n v="71"/>
    <n v="62"/>
    <n v="10"/>
    <n v="71"/>
    <n v="10"/>
    <n v="10"/>
    <n v="38"/>
    <n v="124"/>
    <n v="2"/>
    <n v="2"/>
    <n v="0"/>
    <n v="3"/>
    <n v="6"/>
    <n v="0"/>
    <n v="0"/>
    <n v="0"/>
    <n v="0"/>
    <n v="0"/>
    <n v="0"/>
    <n v="0"/>
  </r>
  <r>
    <n v="2112"/>
    <n v="125930"/>
    <n v="1"/>
    <n v="1"/>
    <x v="29"/>
    <s v="Single"/>
    <s v="Graduate"/>
    <s v="3/16/2020"/>
    <s v="Florida"/>
    <n v="87"/>
    <n v="29"/>
    <n v="5"/>
    <n v="10"/>
    <n v="10"/>
    <n v="0"/>
    <n v="19"/>
    <n v="34"/>
    <n v="1"/>
    <n v="1"/>
    <n v="0"/>
    <n v="2"/>
    <n v="7"/>
    <n v="0"/>
    <n v="0"/>
    <n v="0"/>
    <n v="0"/>
    <n v="0"/>
    <n v="0"/>
    <n v="0"/>
  </r>
  <r>
    <n v="1298"/>
    <n v="122574"/>
    <n v="2"/>
    <n v="1"/>
    <x v="29"/>
    <s v="Married"/>
    <s v="Graduate"/>
    <s v="4/3/2020"/>
    <s v="New York"/>
    <n v="28"/>
    <n v="136"/>
    <n v="0"/>
    <n v="43"/>
    <n v="11"/>
    <n v="0"/>
    <n v="11"/>
    <n v="179"/>
    <n v="2"/>
    <n v="2"/>
    <n v="0"/>
    <n v="3"/>
    <n v="7"/>
    <n v="0"/>
    <n v="0"/>
    <n v="0"/>
    <n v="0"/>
    <n v="0"/>
    <n v="0"/>
    <n v="0"/>
  </r>
  <r>
    <n v="1597"/>
    <n v="122574"/>
    <n v="2"/>
    <n v="1"/>
    <x v="29"/>
    <s v="Married"/>
    <s v="Graduate"/>
    <s v="4/3/2020"/>
    <s v="Illinois"/>
    <n v="28"/>
    <n v="136"/>
    <n v="0"/>
    <n v="43"/>
    <n v="11"/>
    <n v="0"/>
    <n v="11"/>
    <n v="179"/>
    <n v="2"/>
    <n v="2"/>
    <n v="0"/>
    <n v="3"/>
    <n v="7"/>
    <n v="0"/>
    <n v="0"/>
    <n v="0"/>
    <n v="0"/>
    <n v="0"/>
    <n v="0"/>
    <n v="0"/>
  </r>
  <r>
    <n v="1440"/>
    <n v="189572"/>
    <n v="0"/>
    <n v="0"/>
    <x v="30"/>
    <s v="Single"/>
    <s v="Graduate"/>
    <s v="2/20/2019"/>
    <s v="Florida"/>
    <n v="44"/>
    <n v="1283"/>
    <n v="51"/>
    <n v="2061"/>
    <n v="417"/>
    <n v="411"/>
    <n v="135"/>
    <n v="4087"/>
    <n v="1"/>
    <n v="7"/>
    <n v="7"/>
    <n v="9"/>
    <n v="4"/>
    <n v="0"/>
    <n v="1"/>
    <n v="1"/>
    <n v="0"/>
    <n v="0"/>
    <n v="1"/>
    <n v="0"/>
  </r>
  <r>
    <n v="2107"/>
    <n v="186358"/>
    <n v="1"/>
    <n v="1"/>
    <x v="30"/>
    <s v="Single"/>
    <s v="Graduate"/>
    <s v="1/13/2019"/>
    <s v="Illinois"/>
    <n v="78"/>
    <n v="2065"/>
    <n v="101"/>
    <n v="1066"/>
    <n v="177"/>
    <n v="101"/>
    <n v="205"/>
    <n v="3306"/>
    <n v="4"/>
    <n v="5"/>
    <n v="3"/>
    <n v="6"/>
    <n v="8"/>
    <n v="0"/>
    <n v="0"/>
    <n v="0"/>
    <n v="0"/>
    <n v="0"/>
    <n v="0"/>
    <n v="0"/>
  </r>
  <r>
    <n v="2708"/>
    <n v="182427"/>
    <n v="0"/>
    <n v="0"/>
    <x v="30"/>
    <s v="Together"/>
    <s v="Graduate"/>
    <s v="8/16/2020"/>
    <s v="New York"/>
    <n v="35"/>
    <n v="1067"/>
    <n v="325"/>
    <n v="1127"/>
    <n v="230"/>
    <n v="237"/>
    <n v="237"/>
    <n v="2749"/>
    <n v="1"/>
    <n v="3"/>
    <n v="5"/>
    <n v="12"/>
    <n v="1"/>
    <n v="0"/>
    <n v="0"/>
    <n v="0"/>
    <n v="0"/>
    <n v="0"/>
    <n v="0"/>
    <n v="1"/>
  </r>
  <r>
    <n v="2688"/>
    <n v="180398"/>
    <n v="0"/>
    <n v="0"/>
    <x v="30"/>
    <s v="Married"/>
    <s v="Graduate"/>
    <s v="4/17/2019"/>
    <s v="Florida"/>
    <n v="92"/>
    <n v="767"/>
    <n v="114"/>
    <n v="2100"/>
    <n v="464"/>
    <n v="79"/>
    <n v="58"/>
    <n v="3467"/>
    <n v="1"/>
    <n v="5"/>
    <n v="8"/>
    <n v="12"/>
    <n v="3"/>
    <n v="0"/>
    <n v="0"/>
    <n v="0"/>
    <n v="0"/>
    <n v="0"/>
    <n v="0"/>
    <n v="1"/>
  </r>
  <r>
    <n v="1275"/>
    <n v="179946"/>
    <n v="0"/>
    <n v="0"/>
    <x v="30"/>
    <s v="Widow"/>
    <s v="Graduate"/>
    <s v="10/16/2020"/>
    <s v="Texas"/>
    <n v="19"/>
    <n v="889"/>
    <n v="412"/>
    <n v="1272"/>
    <n v="374"/>
    <n v="317"/>
    <n v="63"/>
    <n v="3201"/>
    <n v="1"/>
    <n v="5"/>
    <n v="11"/>
    <n v="5"/>
    <n v="3"/>
    <n v="0"/>
    <n v="0"/>
    <n v="0"/>
    <n v="0"/>
    <n v="0"/>
    <n v="0"/>
    <n v="0"/>
  </r>
  <r>
    <n v="1891"/>
    <n v="178420"/>
    <n v="0"/>
    <n v="0"/>
    <x v="30"/>
    <s v="Single"/>
    <s v="PhD"/>
    <s v="12/4/2019"/>
    <s v="Illinois"/>
    <n v="75"/>
    <n v="1374"/>
    <n v="64"/>
    <n v="1533"/>
    <n v="207"/>
    <n v="64"/>
    <n v="64"/>
    <n v="3178"/>
    <n v="1"/>
    <n v="3"/>
    <n v="10"/>
    <n v="8"/>
    <n v="1"/>
    <n v="0"/>
    <n v="0"/>
    <n v="0"/>
    <n v="0"/>
    <n v="0"/>
    <n v="0"/>
    <n v="0"/>
  </r>
  <r>
    <n v="2052"/>
    <n v="170713"/>
    <n v="0"/>
    <n v="1"/>
    <x v="30"/>
    <s v="Together"/>
    <s v="Graduate"/>
    <s v="5/10/2019"/>
    <s v="Florida"/>
    <n v="23"/>
    <n v="1777"/>
    <n v="275"/>
    <n v="674"/>
    <n v="198"/>
    <n v="183"/>
    <n v="459"/>
    <n v="2648"/>
    <n v="6"/>
    <n v="5"/>
    <n v="6"/>
    <n v="8"/>
    <n v="3"/>
    <n v="0"/>
    <n v="0"/>
    <n v="0"/>
    <n v="0"/>
    <n v="0"/>
    <n v="0"/>
    <n v="0"/>
  </r>
  <r>
    <n v="1053"/>
    <n v="170287"/>
    <n v="0"/>
    <n v="0"/>
    <x v="30"/>
    <s v="Divorced"/>
    <s v="Graduate"/>
    <s v="9/7/2019"/>
    <s v="Texas"/>
    <n v="30"/>
    <n v="715"/>
    <n v="85"/>
    <n v="1168"/>
    <n v="293"/>
    <n v="291"/>
    <n v="97"/>
    <n v="2454"/>
    <n v="1"/>
    <n v="5"/>
    <n v="5"/>
    <n v="10"/>
    <n v="3"/>
    <n v="0"/>
    <n v="1"/>
    <n v="0"/>
    <n v="0"/>
    <n v="0"/>
    <n v="0"/>
    <n v="0"/>
  </r>
  <r>
    <n v="1336"/>
    <n v="169759"/>
    <n v="0"/>
    <n v="0"/>
    <x v="30"/>
    <s v="Single"/>
    <s v="PhD"/>
    <s v="4/3/2020"/>
    <s v="Other"/>
    <n v="38"/>
    <n v="1100"/>
    <n v="49"/>
    <n v="1251"/>
    <n v="32"/>
    <n v="73"/>
    <n v="0"/>
    <n v="2504"/>
    <n v="3"/>
    <n v="4"/>
    <n v="6"/>
    <n v="5"/>
    <n v="3"/>
    <n v="0"/>
    <n v="1"/>
    <n v="0"/>
    <n v="0"/>
    <n v="0"/>
    <n v="0"/>
    <n v="0"/>
  </r>
  <r>
    <n v="2835"/>
    <n v="169063"/>
    <n v="0"/>
    <n v="1"/>
    <x v="30"/>
    <s v="Married"/>
    <s v="PhD"/>
    <s v="4/14/2019"/>
    <s v="Texas"/>
    <n v="16"/>
    <n v="1630"/>
    <n v="86"/>
    <n v="304"/>
    <n v="169"/>
    <n v="20"/>
    <n v="64"/>
    <n v="2144"/>
    <n v="1"/>
    <n v="5"/>
    <n v="3"/>
    <n v="5"/>
    <n v="3"/>
    <n v="0"/>
    <n v="0"/>
    <n v="0"/>
    <n v="0"/>
    <n v="0"/>
    <n v="0"/>
    <n v="0"/>
  </r>
  <r>
    <n v="1420"/>
    <n v="167272"/>
    <n v="0"/>
    <n v="1"/>
    <x v="30"/>
    <s v="Divorced"/>
    <s v="Graduate"/>
    <s v="5/27/2020"/>
    <s v="Other"/>
    <n v="12"/>
    <n v="888"/>
    <n v="87"/>
    <n v="674"/>
    <n v="70"/>
    <n v="70"/>
    <n v="35"/>
    <n v="1753"/>
    <n v="3"/>
    <n v="6"/>
    <n v="2"/>
    <n v="12"/>
    <n v="5"/>
    <n v="0"/>
    <n v="0"/>
    <n v="0"/>
    <n v="0"/>
    <n v="0"/>
    <n v="0"/>
    <n v="0"/>
  </r>
  <r>
    <n v="2984"/>
    <n v="165814"/>
    <n v="0"/>
    <n v="1"/>
    <x v="30"/>
    <s v="Together"/>
    <s v="PhD"/>
    <s v="8/6/2020"/>
    <s v="New York"/>
    <n v="90"/>
    <n v="1413"/>
    <n v="35"/>
    <n v="285"/>
    <n v="25"/>
    <n v="35"/>
    <n v="88"/>
    <n v="1706"/>
    <n v="3"/>
    <n v="8"/>
    <n v="2"/>
    <n v="10"/>
    <n v="5"/>
    <n v="0"/>
    <n v="0"/>
    <n v="0"/>
    <n v="0"/>
    <n v="0"/>
    <n v="0"/>
    <n v="0"/>
  </r>
  <r>
    <n v="1357"/>
    <n v="163810"/>
    <n v="0"/>
    <n v="1"/>
    <x v="30"/>
    <s v="Single"/>
    <s v="Graduate"/>
    <s v="4/18/2019"/>
    <s v="Illinois"/>
    <n v="45"/>
    <n v="2508"/>
    <n v="31"/>
    <n v="649"/>
    <n v="41"/>
    <n v="31"/>
    <n v="259"/>
    <n v="3001"/>
    <n v="4"/>
    <n v="4"/>
    <n v="3"/>
    <n v="12"/>
    <n v="8"/>
    <n v="0"/>
    <n v="0"/>
    <n v="0"/>
    <n v="0"/>
    <n v="0"/>
    <n v="1"/>
    <n v="0"/>
  </r>
  <r>
    <n v="2398"/>
    <n v="163810"/>
    <n v="0"/>
    <n v="1"/>
    <x v="30"/>
    <s v="Single"/>
    <s v="Graduate"/>
    <s v="4/18/2019"/>
    <s v="Other"/>
    <n v="45"/>
    <n v="2508"/>
    <n v="31"/>
    <n v="649"/>
    <n v="41"/>
    <n v="31"/>
    <n v="259"/>
    <n v="3001"/>
    <n v="4"/>
    <n v="4"/>
    <n v="3"/>
    <n v="12"/>
    <n v="8"/>
    <n v="0"/>
    <n v="0"/>
    <n v="0"/>
    <n v="0"/>
    <n v="0"/>
    <n v="1"/>
    <n v="0"/>
  </r>
  <r>
    <n v="1176"/>
    <n v="161286"/>
    <n v="0"/>
    <n v="1"/>
    <x v="30"/>
    <s v="Married"/>
    <s v="Graduate"/>
    <s v="1/7/2020"/>
    <s v="Florida"/>
    <n v="34"/>
    <n v="937"/>
    <n v="0"/>
    <n v="282"/>
    <n v="50"/>
    <n v="24"/>
    <n v="308"/>
    <n v="984"/>
    <n v="2"/>
    <n v="7"/>
    <n v="1"/>
    <n v="8"/>
    <n v="5"/>
    <n v="0"/>
    <n v="0"/>
    <n v="0"/>
    <n v="0"/>
    <n v="0"/>
    <n v="0"/>
    <n v="0"/>
  </r>
  <r>
    <n v="3095"/>
    <n v="161286"/>
    <n v="0"/>
    <n v="1"/>
    <x v="30"/>
    <s v="Married"/>
    <s v="Graduate"/>
    <s v="1/7/2020"/>
    <s v="California"/>
    <n v="34"/>
    <n v="937"/>
    <n v="0"/>
    <n v="282"/>
    <n v="50"/>
    <n v="24"/>
    <n v="308"/>
    <n v="984"/>
    <n v="2"/>
    <n v="7"/>
    <n v="1"/>
    <n v="8"/>
    <n v="5"/>
    <n v="0"/>
    <n v="0"/>
    <n v="0"/>
    <n v="0"/>
    <n v="0"/>
    <n v="0"/>
    <n v="0"/>
  </r>
  <r>
    <n v="2285"/>
    <n v="160894"/>
    <n v="0"/>
    <n v="1"/>
    <x v="30"/>
    <s v="Together"/>
    <s v="Graduate"/>
    <s v="12/3/2019"/>
    <s v="California"/>
    <n v="61"/>
    <n v="1601"/>
    <n v="18"/>
    <n v="410"/>
    <n v="26"/>
    <n v="0"/>
    <n v="143"/>
    <n v="1913"/>
    <n v="5"/>
    <n v="10"/>
    <n v="3"/>
    <n v="8"/>
    <n v="7"/>
    <n v="0"/>
    <n v="0"/>
    <n v="0"/>
    <n v="0"/>
    <n v="0"/>
    <n v="0"/>
    <n v="0"/>
  </r>
  <r>
    <n v="2278"/>
    <n v="157811"/>
    <n v="0"/>
    <n v="1"/>
    <x v="30"/>
    <s v="Together"/>
    <s v="Graduate"/>
    <s v="11/29/2019"/>
    <s v="Other"/>
    <n v="49"/>
    <n v="1488"/>
    <n v="19"/>
    <n v="311"/>
    <n v="101"/>
    <n v="57"/>
    <n v="213"/>
    <n v="1763"/>
    <n v="5"/>
    <n v="7"/>
    <n v="2"/>
    <n v="11"/>
    <n v="5"/>
    <n v="0"/>
    <n v="0"/>
    <n v="0"/>
    <n v="0"/>
    <n v="0"/>
    <n v="1"/>
    <n v="0"/>
  </r>
  <r>
    <n v="2823"/>
    <n v="157705"/>
    <n v="0"/>
    <n v="1"/>
    <x v="30"/>
    <s v="Married"/>
    <s v="PhD"/>
    <s v="6/17/2020"/>
    <s v="Texas"/>
    <n v="14"/>
    <n v="1047"/>
    <n v="0"/>
    <n v="145"/>
    <n v="16"/>
    <n v="11"/>
    <n v="109"/>
    <n v="1110"/>
    <n v="3"/>
    <n v="8"/>
    <n v="1"/>
    <n v="6"/>
    <n v="6"/>
    <n v="0"/>
    <n v="0"/>
    <n v="0"/>
    <n v="0"/>
    <n v="0"/>
    <n v="0"/>
    <n v="0"/>
  </r>
  <r>
    <n v="2254"/>
    <n v="157183"/>
    <n v="1"/>
    <n v="1"/>
    <x v="30"/>
    <s v="Married"/>
    <s v="Master"/>
    <s v="8/24/2019"/>
    <s v="Other"/>
    <n v="51"/>
    <n v="1275"/>
    <n v="14"/>
    <n v="176"/>
    <n v="19"/>
    <n v="0"/>
    <n v="192"/>
    <n v="1292"/>
    <n v="8"/>
    <n v="9"/>
    <n v="1"/>
    <n v="7"/>
    <n v="8"/>
    <n v="0"/>
    <n v="0"/>
    <n v="0"/>
    <n v="0"/>
    <n v="0"/>
    <n v="0"/>
    <n v="0"/>
  </r>
  <r>
    <n v="2945"/>
    <n v="155686"/>
    <n v="0"/>
    <n v="1"/>
    <x v="30"/>
    <s v="Divorced"/>
    <s v="Graduate"/>
    <s v="7/22/2019"/>
    <s v="California"/>
    <n v="27"/>
    <n v="1882"/>
    <n v="0"/>
    <n v="556"/>
    <n v="103"/>
    <n v="131"/>
    <n v="73"/>
    <n v="2600"/>
    <n v="2"/>
    <n v="6"/>
    <n v="3"/>
    <n v="5"/>
    <n v="4"/>
    <n v="0"/>
    <n v="0"/>
    <n v="0"/>
    <n v="0"/>
    <n v="1"/>
    <n v="0"/>
    <n v="0"/>
  </r>
  <r>
    <n v="1300"/>
    <n v="154198"/>
    <n v="1"/>
    <n v="1"/>
    <x v="30"/>
    <s v="Married"/>
    <s v="Graduate"/>
    <s v="5/23/2020"/>
    <s v="Other"/>
    <n v="13"/>
    <n v="526"/>
    <n v="0"/>
    <n v="80"/>
    <n v="9"/>
    <n v="6"/>
    <n v="48"/>
    <n v="572"/>
    <n v="6"/>
    <n v="3"/>
    <n v="1"/>
    <n v="6"/>
    <n v="4"/>
    <n v="0"/>
    <n v="0"/>
    <n v="0"/>
    <n v="0"/>
    <n v="0"/>
    <n v="0"/>
    <n v="0"/>
  </r>
  <r>
    <n v="1588"/>
    <n v="149618"/>
    <n v="1"/>
    <n v="1"/>
    <x v="30"/>
    <s v="Together"/>
    <s v="Master"/>
    <s v="7/3/2019"/>
    <s v="Other"/>
    <n v="77"/>
    <n v="241"/>
    <n v="9"/>
    <n v="78"/>
    <n v="12"/>
    <n v="6"/>
    <n v="42"/>
    <n v="305"/>
    <n v="4"/>
    <n v="3"/>
    <n v="1"/>
    <n v="3"/>
    <n v="7"/>
    <n v="0"/>
    <n v="0"/>
    <n v="0"/>
    <n v="0"/>
    <n v="0"/>
    <n v="0"/>
    <n v="0"/>
  </r>
  <r>
    <n v="1139"/>
    <n v="149605"/>
    <n v="0"/>
    <n v="0"/>
    <x v="30"/>
    <s v="Married"/>
    <s v="Master"/>
    <s v="11/25/2020"/>
    <s v="California"/>
    <n v="65"/>
    <n v="127"/>
    <n v="48"/>
    <n v="87"/>
    <n v="36"/>
    <n v="60"/>
    <n v="24"/>
    <n v="335"/>
    <n v="1"/>
    <n v="2"/>
    <n v="1"/>
    <n v="4"/>
    <n v="3"/>
    <n v="0"/>
    <n v="0"/>
    <n v="0"/>
    <n v="0"/>
    <n v="0"/>
    <n v="0"/>
    <n v="0"/>
  </r>
  <r>
    <n v="2939"/>
    <n v="148877"/>
    <n v="0"/>
    <n v="1"/>
    <x v="30"/>
    <s v="Divorced"/>
    <s v="Graduate"/>
    <s v="6/11/2020"/>
    <s v="California"/>
    <n v="27"/>
    <n v="311"/>
    <n v="3"/>
    <n v="46"/>
    <n v="6"/>
    <n v="0"/>
    <n v="73"/>
    <n v="292"/>
    <n v="1"/>
    <n v="3"/>
    <n v="0"/>
    <n v="4"/>
    <n v="7"/>
    <n v="0"/>
    <n v="0"/>
    <n v="0"/>
    <n v="0"/>
    <n v="0"/>
    <n v="0"/>
    <n v="0"/>
  </r>
  <r>
    <n v="1562"/>
    <n v="147472"/>
    <n v="1"/>
    <n v="1"/>
    <x v="30"/>
    <s v="Together"/>
    <s v="PhD"/>
    <s v="2/21/2020"/>
    <s v="New York"/>
    <n v="39"/>
    <n v="174"/>
    <n v="0"/>
    <n v="34"/>
    <n v="0"/>
    <n v="0"/>
    <n v="25"/>
    <n v="183"/>
    <n v="2"/>
    <n v="2"/>
    <n v="0"/>
    <n v="4"/>
    <n v="5"/>
    <n v="0"/>
    <n v="0"/>
    <n v="0"/>
    <n v="0"/>
    <n v="0"/>
    <n v="0"/>
    <n v="0"/>
  </r>
  <r>
    <n v="1641"/>
    <n v="146734"/>
    <n v="1"/>
    <n v="2"/>
    <x v="30"/>
    <s v="Single"/>
    <s v="PhD"/>
    <s v="3/27/2020"/>
    <s v="Texas"/>
    <n v="86"/>
    <n v="314"/>
    <n v="3"/>
    <n v="122"/>
    <n v="19"/>
    <n v="3"/>
    <n v="239"/>
    <n v="223"/>
    <n v="4"/>
    <n v="3"/>
    <n v="2"/>
    <n v="3"/>
    <n v="6"/>
    <n v="0"/>
    <n v="0"/>
    <n v="0"/>
    <n v="0"/>
    <n v="1"/>
    <n v="0"/>
    <n v="0"/>
  </r>
  <r>
    <n v="2559"/>
    <n v="145903"/>
    <n v="0"/>
    <n v="1"/>
    <x v="30"/>
    <s v="Together"/>
    <s v="Master"/>
    <s v="9/27/2020"/>
    <s v="Texas"/>
    <n v="80"/>
    <n v="105"/>
    <n v="25"/>
    <n v="32"/>
    <n v="6"/>
    <n v="32"/>
    <n v="10"/>
    <n v="191"/>
    <n v="2"/>
    <n v="2"/>
    <n v="1"/>
    <n v="3"/>
    <n v="4"/>
    <n v="0"/>
    <n v="0"/>
    <n v="0"/>
    <n v="0"/>
    <n v="0"/>
    <n v="0"/>
    <n v="0"/>
  </r>
  <r>
    <n v="1196"/>
    <n v="144794"/>
    <n v="0"/>
    <n v="1"/>
    <x v="30"/>
    <s v="Married"/>
    <s v="Graduate"/>
    <s v="11/12/2020"/>
    <s v="New York"/>
    <n v="99"/>
    <n v="175"/>
    <n v="0"/>
    <n v="23"/>
    <n v="0"/>
    <n v="0"/>
    <n v="13"/>
    <n v="184"/>
    <n v="1"/>
    <n v="2"/>
    <n v="0"/>
    <n v="3"/>
    <n v="6"/>
    <n v="0"/>
    <n v="0"/>
    <n v="0"/>
    <n v="0"/>
    <n v="0"/>
    <n v="0"/>
    <n v="0"/>
  </r>
  <r>
    <n v="1706"/>
    <n v="144794"/>
    <n v="0"/>
    <n v="1"/>
    <x v="30"/>
    <s v="Married"/>
    <s v="Graduate"/>
    <s v="11/12/2020"/>
    <s v="New York"/>
    <n v="99"/>
    <n v="175"/>
    <n v="0"/>
    <n v="23"/>
    <n v="0"/>
    <n v="0"/>
    <n v="13"/>
    <n v="184"/>
    <n v="1"/>
    <n v="2"/>
    <n v="0"/>
    <n v="3"/>
    <n v="6"/>
    <n v="0"/>
    <n v="0"/>
    <n v="0"/>
    <n v="0"/>
    <n v="0"/>
    <n v="0"/>
    <n v="0"/>
  </r>
  <r>
    <n v="2030"/>
    <n v="144529"/>
    <n v="0"/>
    <n v="1"/>
    <x v="30"/>
    <s v="Married"/>
    <s v="Graduate"/>
    <s v="12/10/2019"/>
    <s v="New York"/>
    <n v="98"/>
    <n v="1746"/>
    <n v="42"/>
    <n v="295"/>
    <n v="55"/>
    <n v="19"/>
    <n v="84"/>
    <n v="2074"/>
    <n v="6"/>
    <n v="6"/>
    <n v="2"/>
    <n v="11"/>
    <n v="5"/>
    <n v="0"/>
    <n v="0"/>
    <n v="0"/>
    <n v="0"/>
    <n v="0"/>
    <n v="1"/>
    <n v="0"/>
  </r>
  <r>
    <n v="2638"/>
    <n v="143602"/>
    <n v="1"/>
    <n v="1"/>
    <x v="30"/>
    <s v="Single"/>
    <s v="Graduate"/>
    <s v="6/16/2020"/>
    <s v="Other"/>
    <n v="45"/>
    <n v="63"/>
    <n v="16"/>
    <n v="40"/>
    <n v="33"/>
    <n v="10"/>
    <n v="63"/>
    <n v="99"/>
    <n v="3"/>
    <n v="3"/>
    <n v="1"/>
    <n v="2"/>
    <n v="6"/>
    <n v="0"/>
    <n v="0"/>
    <n v="0"/>
    <n v="0"/>
    <n v="0"/>
    <n v="0"/>
    <n v="0"/>
  </r>
  <r>
    <n v="1154"/>
    <n v="143482"/>
    <n v="2"/>
    <n v="1"/>
    <x v="30"/>
    <s v="Together"/>
    <s v="Graduate"/>
    <s v="4/19/2020"/>
    <s v="New York"/>
    <n v="83"/>
    <n v="59"/>
    <n v="3"/>
    <n v="106"/>
    <n v="20"/>
    <n v="10"/>
    <n v="92"/>
    <n v="106"/>
    <n v="3"/>
    <n v="2"/>
    <n v="0"/>
    <n v="4"/>
    <n v="6"/>
    <n v="0"/>
    <n v="0"/>
    <n v="0"/>
    <n v="0"/>
    <n v="0"/>
    <n v="0"/>
    <n v="0"/>
  </r>
  <r>
    <n v="1847"/>
    <n v="143456"/>
    <n v="0"/>
    <n v="1"/>
    <x v="30"/>
    <s v="Single"/>
    <s v="Master"/>
    <s v="8/31/2019"/>
    <s v="California"/>
    <n v="0"/>
    <n v="908"/>
    <n v="36"/>
    <n v="224"/>
    <n v="83"/>
    <n v="23"/>
    <n v="23"/>
    <n v="1251"/>
    <n v="3"/>
    <n v="5"/>
    <n v="1"/>
    <n v="8"/>
    <n v="5"/>
    <n v="0"/>
    <n v="0"/>
    <n v="0"/>
    <n v="0"/>
    <n v="0"/>
    <n v="0"/>
    <n v="0"/>
  </r>
  <r>
    <n v="1252"/>
    <n v="138179"/>
    <n v="1"/>
    <n v="1"/>
    <x v="30"/>
    <s v="Married"/>
    <s v="Master"/>
    <s v="8/19/2019"/>
    <s v="Other"/>
    <n v="30"/>
    <n v="138"/>
    <n v="14"/>
    <n v="80"/>
    <n v="14"/>
    <n v="7"/>
    <n v="72"/>
    <n v="181"/>
    <n v="4"/>
    <n v="3"/>
    <n v="1"/>
    <n v="3"/>
    <n v="7"/>
    <n v="0"/>
    <n v="0"/>
    <n v="0"/>
    <n v="0"/>
    <n v="0"/>
    <n v="0"/>
    <n v="0"/>
  </r>
  <r>
    <n v="1839"/>
    <n v="137758"/>
    <n v="1"/>
    <n v="1"/>
    <x v="30"/>
    <s v="Together"/>
    <s v="Graduate"/>
    <s v="3/11/2019"/>
    <s v="Texas"/>
    <n v="49"/>
    <n v="99"/>
    <n v="7"/>
    <n v="36"/>
    <n v="0"/>
    <n v="0"/>
    <n v="4"/>
    <n v="139"/>
    <n v="2"/>
    <n v="1"/>
    <n v="0"/>
    <n v="3"/>
    <n v="8"/>
    <n v="0"/>
    <n v="0"/>
    <n v="0"/>
    <n v="0"/>
    <n v="0"/>
    <n v="0"/>
    <n v="0"/>
  </r>
  <r>
    <n v="2785"/>
    <n v="137758"/>
    <n v="1"/>
    <n v="1"/>
    <x v="30"/>
    <s v="Together"/>
    <s v="Graduate"/>
    <s v="3/11/2019"/>
    <s v="Illinois"/>
    <n v="49"/>
    <n v="99"/>
    <n v="7"/>
    <n v="36"/>
    <n v="0"/>
    <n v="0"/>
    <n v="4"/>
    <n v="139"/>
    <n v="2"/>
    <n v="1"/>
    <n v="0"/>
    <n v="3"/>
    <n v="8"/>
    <n v="0"/>
    <n v="0"/>
    <n v="0"/>
    <n v="0"/>
    <n v="0"/>
    <n v="0"/>
    <n v="0"/>
  </r>
  <r>
    <n v="1218"/>
    <n v="137070"/>
    <n v="1"/>
    <n v="1"/>
    <x v="30"/>
    <s v="Single"/>
    <s v="Graduate"/>
    <s v="8/25/2019"/>
    <s v="Florida"/>
    <n v="30"/>
    <n v="854"/>
    <n v="26"/>
    <n v="507"/>
    <n v="15"/>
    <n v="55"/>
    <n v="144"/>
    <n v="1313"/>
    <n v="9"/>
    <n v="5"/>
    <n v="1"/>
    <n v="8"/>
    <n v="7"/>
    <n v="0"/>
    <n v="1"/>
    <n v="0"/>
    <n v="0"/>
    <n v="0"/>
    <n v="0"/>
    <n v="0"/>
  </r>
  <r>
    <n v="2778"/>
    <n v="137070"/>
    <n v="1"/>
    <n v="1"/>
    <x v="30"/>
    <s v="Single"/>
    <s v="Graduate"/>
    <s v="8/25/2019"/>
    <s v="Florida"/>
    <n v="30"/>
    <n v="854"/>
    <n v="26"/>
    <n v="507"/>
    <n v="15"/>
    <n v="55"/>
    <n v="144"/>
    <n v="1313"/>
    <n v="9"/>
    <n v="5"/>
    <n v="1"/>
    <n v="8"/>
    <n v="7"/>
    <n v="0"/>
    <n v="1"/>
    <n v="0"/>
    <n v="0"/>
    <n v="0"/>
    <n v="0"/>
    <n v="0"/>
  </r>
  <r>
    <n v="2448"/>
    <n v="134704"/>
    <n v="0"/>
    <n v="1"/>
    <x v="30"/>
    <s v="Single"/>
    <s v="Graduate"/>
    <s v="10/2/2019"/>
    <s v="Florida"/>
    <n v="65"/>
    <n v="113"/>
    <n v="0"/>
    <n v="19"/>
    <n v="0"/>
    <n v="4"/>
    <n v="19"/>
    <n v="116"/>
    <n v="1"/>
    <n v="1"/>
    <n v="0"/>
    <n v="3"/>
    <n v="5"/>
    <n v="0"/>
    <n v="0"/>
    <n v="0"/>
    <n v="0"/>
    <n v="0"/>
    <n v="0"/>
    <n v="0"/>
  </r>
  <r>
    <n v="2027"/>
    <n v="133585"/>
    <n v="0"/>
    <n v="1"/>
    <x v="30"/>
    <s v="Married"/>
    <s v="Master"/>
    <s v="3/1/2020"/>
    <s v="California"/>
    <n v="91"/>
    <n v="119"/>
    <n v="44"/>
    <n v="131"/>
    <n v="52"/>
    <n v="24"/>
    <n v="115"/>
    <n v="255"/>
    <n v="1"/>
    <n v="2"/>
    <n v="0"/>
    <n v="4"/>
    <n v="4"/>
    <n v="0"/>
    <n v="0"/>
    <n v="0"/>
    <n v="0"/>
    <n v="0"/>
    <n v="0"/>
    <n v="0"/>
  </r>
  <r>
    <n v="2004"/>
    <n v="133564"/>
    <n v="0"/>
    <n v="1"/>
    <x v="30"/>
    <s v="Together"/>
    <s v="Master"/>
    <s v="11/28/2020"/>
    <s v="Florida"/>
    <n v="51"/>
    <n v="243"/>
    <n v="0"/>
    <n v="12"/>
    <n v="0"/>
    <n v="0"/>
    <n v="28"/>
    <n v="227"/>
    <n v="1"/>
    <n v="1"/>
    <n v="1"/>
    <n v="3"/>
    <n v="5"/>
    <n v="0"/>
    <n v="0"/>
    <n v="0"/>
    <n v="0"/>
    <n v="0"/>
    <n v="0"/>
    <n v="0"/>
  </r>
  <r>
    <n v="2978"/>
    <n v="133279"/>
    <n v="0"/>
    <n v="0"/>
    <x v="30"/>
    <s v="Single"/>
    <s v="Graduate"/>
    <s v="11/16/2020"/>
    <s v="New York"/>
    <n v="29"/>
    <n v="40"/>
    <n v="12"/>
    <n v="12"/>
    <n v="0"/>
    <n v="0"/>
    <n v="0"/>
    <n v="64"/>
    <n v="1"/>
    <n v="0"/>
    <n v="0"/>
    <n v="3"/>
    <n v="3"/>
    <n v="0"/>
    <n v="0"/>
    <n v="0"/>
    <n v="0"/>
    <n v="0"/>
    <n v="0"/>
    <n v="0"/>
  </r>
  <r>
    <n v="1834"/>
    <n v="130843"/>
    <n v="1"/>
    <n v="1"/>
    <x v="30"/>
    <s v="Together"/>
    <s v="PhD"/>
    <s v="10/30/2020"/>
    <s v="Other"/>
    <n v="43"/>
    <n v="102"/>
    <n v="0"/>
    <n v="8"/>
    <n v="0"/>
    <n v="0"/>
    <n v="38"/>
    <n v="72"/>
    <n v="2"/>
    <n v="1"/>
    <n v="1"/>
    <n v="2"/>
    <n v="5"/>
    <n v="0"/>
    <n v="0"/>
    <n v="0"/>
    <n v="0"/>
    <n v="1"/>
    <n v="0"/>
    <n v="0"/>
  </r>
  <r>
    <n v="3107"/>
    <n v="129435"/>
    <n v="1"/>
    <n v="1"/>
    <x v="30"/>
    <s v="Divorced"/>
    <s v="Master"/>
    <s v="1/11/2019"/>
    <s v="California"/>
    <n v="11"/>
    <n v="308"/>
    <n v="13"/>
    <n v="163"/>
    <n v="18"/>
    <n v="9"/>
    <n v="281"/>
    <n v="229"/>
    <n v="4"/>
    <n v="3"/>
    <n v="2"/>
    <n v="2"/>
    <n v="9"/>
    <n v="0"/>
    <n v="1"/>
    <n v="0"/>
    <n v="0"/>
    <n v="0"/>
    <n v="0"/>
    <n v="0"/>
  </r>
  <r>
    <n v="2032"/>
    <n v="128764"/>
    <n v="1"/>
    <n v="1"/>
    <x v="30"/>
    <s v="Together"/>
    <s v="PhD"/>
    <s v="11/9/2020"/>
    <s v="Other"/>
    <n v="16"/>
    <n v="36"/>
    <n v="0"/>
    <n v="13"/>
    <n v="0"/>
    <n v="0"/>
    <n v="4"/>
    <n v="45"/>
    <n v="1"/>
    <n v="1"/>
    <n v="0"/>
    <n v="2"/>
    <n v="8"/>
    <n v="0"/>
    <n v="0"/>
    <n v="0"/>
    <n v="0"/>
    <n v="1"/>
    <n v="0"/>
    <n v="0"/>
  </r>
  <r>
    <n v="1293"/>
    <n v="127038"/>
    <n v="0"/>
    <n v="0"/>
    <x v="30"/>
    <s v="Widow"/>
    <s v="Graduate"/>
    <s v="2/23/2019"/>
    <s v="Texas"/>
    <n v="64"/>
    <n v="5"/>
    <n v="122"/>
    <n v="117"/>
    <n v="80"/>
    <n v="108"/>
    <n v="70"/>
    <n v="362"/>
    <n v="1"/>
    <n v="3"/>
    <n v="0"/>
    <n v="3"/>
    <n v="9"/>
    <n v="0"/>
    <n v="1"/>
    <n v="0"/>
    <n v="0"/>
    <n v="0"/>
    <n v="0"/>
    <n v="0"/>
  </r>
  <r>
    <n v="2099"/>
    <n v="122634"/>
    <n v="0"/>
    <n v="0"/>
    <x v="30"/>
    <s v="Together"/>
    <s v="Basic"/>
    <s v="6/23/2019"/>
    <s v="California"/>
    <n v="47"/>
    <n v="11"/>
    <n v="125"/>
    <n v="60"/>
    <n v="43"/>
    <n v="33"/>
    <n v="249"/>
    <n v="22"/>
    <n v="1"/>
    <n v="2"/>
    <n v="1"/>
    <n v="2"/>
    <n v="8"/>
    <n v="0"/>
    <n v="0"/>
    <n v="0"/>
    <n v="0"/>
    <n v="0"/>
    <n v="0"/>
    <n v="0"/>
  </r>
  <r>
    <n v="2392"/>
    <n v="122634"/>
    <n v="0"/>
    <n v="0"/>
    <x v="30"/>
    <s v="Together"/>
    <s v="Basic"/>
    <s v="6/23/2019"/>
    <s v="Other"/>
    <n v="47"/>
    <n v="11"/>
    <n v="125"/>
    <n v="60"/>
    <n v="43"/>
    <n v="33"/>
    <n v="249"/>
    <n v="22"/>
    <n v="1"/>
    <n v="2"/>
    <n v="1"/>
    <n v="2"/>
    <n v="8"/>
    <n v="0"/>
    <n v="0"/>
    <n v="0"/>
    <n v="0"/>
    <n v="0"/>
    <n v="0"/>
    <n v="0"/>
  </r>
  <r>
    <n v="2781"/>
    <n v="107144"/>
    <n v="0"/>
    <n v="2"/>
    <x v="30"/>
    <s v="Single"/>
    <s v="PhD"/>
    <s v="5/13/2020"/>
    <s v="Texas"/>
    <n v="92"/>
    <n v="1215"/>
    <n v="60"/>
    <n v="495"/>
    <n v="75"/>
    <n v="30"/>
    <n v="4364"/>
    <n v="2490"/>
    <n v="0"/>
    <n v="23"/>
    <n v="1"/>
    <n v="1"/>
    <n v="0"/>
    <n v="0"/>
    <n v="0"/>
    <n v="0"/>
    <n v="0"/>
    <n v="0"/>
    <n v="0"/>
    <n v="0"/>
  </r>
  <r>
    <n v="1028"/>
    <n v="184618"/>
    <n v="0"/>
    <n v="0"/>
    <x v="31"/>
    <s v="Married"/>
    <s v="PhD"/>
    <s v="4/28/2020"/>
    <s v="New York"/>
    <n v="96"/>
    <n v="1492"/>
    <n v="218"/>
    <n v="1748"/>
    <n v="46"/>
    <n v="144"/>
    <n v="0"/>
    <n v="3648"/>
    <n v="1"/>
    <n v="6"/>
    <n v="9"/>
    <n v="10"/>
    <n v="2"/>
    <n v="0"/>
    <n v="0"/>
    <n v="0"/>
    <n v="0"/>
    <n v="0"/>
    <n v="0"/>
    <n v="1"/>
  </r>
  <r>
    <n v="2187"/>
    <n v="184618"/>
    <n v="0"/>
    <n v="0"/>
    <x v="31"/>
    <s v="Married"/>
    <s v="PhD"/>
    <s v="4/28/2020"/>
    <s v="Texas"/>
    <n v="96"/>
    <n v="1492"/>
    <n v="218"/>
    <n v="1748"/>
    <n v="46"/>
    <n v="144"/>
    <n v="0"/>
    <n v="3648"/>
    <n v="1"/>
    <n v="6"/>
    <n v="9"/>
    <n v="10"/>
    <n v="2"/>
    <n v="0"/>
    <n v="0"/>
    <n v="0"/>
    <n v="0"/>
    <n v="0"/>
    <n v="0"/>
    <n v="1"/>
  </r>
  <r>
    <n v="1323"/>
    <n v="183003"/>
    <n v="0"/>
    <n v="0"/>
    <x v="31"/>
    <s v="Together"/>
    <s v="Graduate"/>
    <s v="8/8/2019"/>
    <s v="Texas"/>
    <n v="18"/>
    <n v="1887"/>
    <n v="134"/>
    <n v="1257"/>
    <n v="88"/>
    <n v="55"/>
    <n v="269"/>
    <n v="3153"/>
    <n v="1"/>
    <n v="7"/>
    <n v="6"/>
    <n v="8"/>
    <n v="3"/>
    <n v="0"/>
    <n v="1"/>
    <n v="0"/>
    <n v="0"/>
    <n v="0"/>
    <n v="0"/>
    <n v="1"/>
  </r>
  <r>
    <n v="1593"/>
    <n v="181168"/>
    <n v="0"/>
    <n v="0"/>
    <x v="31"/>
    <s v="Married"/>
    <s v="Graduate"/>
    <s v="10/11/2020"/>
    <s v="Texas"/>
    <n v="84"/>
    <n v="915"/>
    <n v="0"/>
    <n v="1321"/>
    <n v="328"/>
    <n v="49"/>
    <n v="49"/>
    <n v="2565"/>
    <n v="1"/>
    <n v="6"/>
    <n v="4"/>
    <n v="7"/>
    <n v="3"/>
    <n v="0"/>
    <n v="0"/>
    <n v="1"/>
    <n v="0"/>
    <n v="0"/>
    <n v="0"/>
    <n v="0"/>
  </r>
  <r>
    <n v="2287"/>
    <n v="181051"/>
    <n v="0"/>
    <n v="0"/>
    <x v="31"/>
    <s v="Married"/>
    <s v="PhD"/>
    <s v="10/27/2020"/>
    <s v="Illinois"/>
    <n v="43"/>
    <n v="2551"/>
    <n v="65"/>
    <n v="556"/>
    <n v="85"/>
    <n v="65"/>
    <n v="31"/>
    <n v="3290"/>
    <n v="1"/>
    <n v="5"/>
    <n v="5"/>
    <n v="12"/>
    <n v="2"/>
    <n v="0"/>
    <n v="0"/>
    <n v="0"/>
    <n v="0"/>
    <n v="0"/>
    <n v="1"/>
    <n v="1"/>
  </r>
  <r>
    <n v="2427"/>
    <n v="177343"/>
    <n v="0"/>
    <n v="0"/>
    <x v="31"/>
    <s v="Married"/>
    <s v="Graduate"/>
    <s v="11/13/2020"/>
    <s v="Texas"/>
    <n v="28"/>
    <n v="520"/>
    <n v="346"/>
    <n v="1314"/>
    <n v="225"/>
    <n v="124"/>
    <n v="71"/>
    <n v="2458"/>
    <n v="1"/>
    <n v="3"/>
    <n v="4"/>
    <n v="9"/>
    <n v="1"/>
    <n v="0"/>
    <n v="0"/>
    <n v="0"/>
    <n v="0"/>
    <n v="0"/>
    <n v="0"/>
    <n v="0"/>
  </r>
  <r>
    <n v="2527"/>
    <n v="176800"/>
    <n v="0"/>
    <n v="0"/>
    <x v="31"/>
    <s v="Married"/>
    <s v="Graduate"/>
    <s v="8/12/2020"/>
    <s v="Illinois"/>
    <n v="33"/>
    <n v="398"/>
    <n v="60"/>
    <n v="587"/>
    <n v="81"/>
    <n v="163"/>
    <n v="186"/>
    <n v="1103"/>
    <n v="1"/>
    <n v="4"/>
    <n v="4"/>
    <n v="7"/>
    <n v="1"/>
    <n v="0"/>
    <n v="0"/>
    <n v="0"/>
    <n v="0"/>
    <n v="0"/>
    <n v="0"/>
    <n v="0"/>
  </r>
  <r>
    <n v="1385"/>
    <n v="175276"/>
    <n v="0"/>
    <n v="0"/>
    <x v="31"/>
    <s v="Together"/>
    <s v="Graduate"/>
    <s v="3/4/2019"/>
    <s v="California"/>
    <n v="2"/>
    <n v="1420"/>
    <n v="244"/>
    <n v="291"/>
    <n v="319"/>
    <n v="98"/>
    <n v="49"/>
    <n v="2324"/>
    <n v="1"/>
    <n v="9"/>
    <n v="4"/>
    <n v="9"/>
    <n v="5"/>
    <n v="0"/>
    <n v="0"/>
    <n v="0"/>
    <n v="0"/>
    <n v="0"/>
    <n v="0"/>
    <n v="0"/>
  </r>
  <r>
    <n v="1701"/>
    <n v="174806"/>
    <n v="0"/>
    <n v="1"/>
    <x v="31"/>
    <s v="Married"/>
    <s v="Master"/>
    <s v="5/26/2019"/>
    <s v="Texas"/>
    <n v="1"/>
    <n v="1566"/>
    <n v="21"/>
    <n v="582"/>
    <n v="0"/>
    <n v="65"/>
    <n v="21"/>
    <n v="2213"/>
    <n v="2"/>
    <n v="5"/>
    <n v="4"/>
    <n v="5"/>
    <n v="4"/>
    <n v="0"/>
    <n v="0"/>
    <n v="0"/>
    <n v="0"/>
    <n v="0"/>
    <n v="0"/>
    <n v="0"/>
  </r>
  <r>
    <n v="2488"/>
    <n v="173538"/>
    <n v="0"/>
    <n v="1"/>
    <x v="31"/>
    <s v="Married"/>
    <s v="Graduate"/>
    <s v="5/2/2019"/>
    <s v="Other"/>
    <n v="92"/>
    <n v="1914"/>
    <n v="179"/>
    <n v="1010"/>
    <n v="234"/>
    <n v="323"/>
    <n v="253"/>
    <n v="3408"/>
    <n v="3"/>
    <n v="10"/>
    <n v="4"/>
    <n v="9"/>
    <n v="7"/>
    <n v="0"/>
    <n v="0"/>
    <n v="0"/>
    <n v="0"/>
    <n v="0"/>
    <n v="0"/>
    <n v="0"/>
  </r>
  <r>
    <n v="1704"/>
    <n v="172190"/>
    <n v="0"/>
    <n v="0"/>
    <x v="31"/>
    <s v="Married"/>
    <s v="Graduate"/>
    <s v="7/21/2019"/>
    <s v="Florida"/>
    <n v="79"/>
    <n v="1424"/>
    <n v="396"/>
    <n v="1424"/>
    <n v="410"/>
    <n v="396"/>
    <n v="594"/>
    <n v="3456"/>
    <n v="1"/>
    <n v="5"/>
    <n v="6"/>
    <n v="4"/>
    <n v="3"/>
    <n v="0"/>
    <n v="0"/>
    <n v="0"/>
    <n v="0"/>
    <n v="0"/>
    <n v="0"/>
    <n v="0"/>
  </r>
  <r>
    <n v="1003"/>
    <n v="171613"/>
    <n v="0"/>
    <n v="0"/>
    <x v="31"/>
    <s v="Together"/>
    <s v="Graduate"/>
    <s v="1/26/2020"/>
    <s v="Illinois"/>
    <n v="26"/>
    <n v="1021"/>
    <n v="117"/>
    <n v="304"/>
    <n v="266"/>
    <n v="50"/>
    <n v="101"/>
    <n v="1658"/>
    <n v="1"/>
    <n v="8"/>
    <n v="2"/>
    <n v="10"/>
    <n v="4"/>
    <n v="0"/>
    <n v="0"/>
    <n v="0"/>
    <n v="0"/>
    <n v="0"/>
    <n v="0"/>
    <n v="0"/>
  </r>
  <r>
    <n v="1117"/>
    <n v="171488"/>
    <n v="0"/>
    <n v="0"/>
    <x v="31"/>
    <s v="Together"/>
    <s v="Graduate"/>
    <s v="7/26/2019"/>
    <s v="Illinois"/>
    <n v="87"/>
    <n v="389"/>
    <n v="79"/>
    <n v="297"/>
    <n v="96"/>
    <n v="67"/>
    <n v="413"/>
    <n v="516"/>
    <n v="2"/>
    <n v="3"/>
    <n v="4"/>
    <n v="7"/>
    <n v="1"/>
    <n v="0"/>
    <n v="0"/>
    <n v="0"/>
    <n v="0"/>
    <n v="0"/>
    <n v="0"/>
    <n v="0"/>
  </r>
  <r>
    <n v="2999"/>
    <n v="171322"/>
    <n v="0"/>
    <n v="1"/>
    <x v="31"/>
    <s v="Married"/>
    <s v="PhD"/>
    <s v="7/24/2019"/>
    <s v="California"/>
    <n v="57"/>
    <n v="1809"/>
    <n v="103"/>
    <n v="543"/>
    <n v="166"/>
    <n v="24"/>
    <n v="490"/>
    <n v="2155"/>
    <n v="2"/>
    <n v="8"/>
    <n v="5"/>
    <n v="13"/>
    <n v="4"/>
    <n v="0"/>
    <n v="0"/>
    <n v="0"/>
    <n v="0"/>
    <n v="0"/>
    <n v="0"/>
    <n v="0"/>
  </r>
  <r>
    <n v="1997"/>
    <n v="170924"/>
    <n v="0"/>
    <n v="0"/>
    <x v="31"/>
    <s v="Married"/>
    <s v="Graduate"/>
    <s v="9/11/2020"/>
    <s v="California"/>
    <n v="41"/>
    <n v="1530"/>
    <n v="275"/>
    <n v="612"/>
    <n v="318"/>
    <n v="366"/>
    <n v="183"/>
    <n v="2918"/>
    <n v="1"/>
    <n v="6"/>
    <n v="6"/>
    <n v="7"/>
    <n v="3"/>
    <n v="0"/>
    <n v="0"/>
    <n v="0"/>
    <n v="0"/>
    <n v="0"/>
    <n v="0"/>
    <n v="1"/>
  </r>
  <r>
    <n v="2031"/>
    <n v="170924"/>
    <n v="0"/>
    <n v="0"/>
    <x v="31"/>
    <s v="Married"/>
    <s v="Graduate"/>
    <s v="9/11/2020"/>
    <s v="Texas"/>
    <n v="41"/>
    <n v="1530"/>
    <n v="275"/>
    <n v="612"/>
    <n v="318"/>
    <n v="366"/>
    <n v="183"/>
    <n v="2918"/>
    <n v="1"/>
    <n v="6"/>
    <n v="6"/>
    <n v="7"/>
    <n v="3"/>
    <n v="0"/>
    <n v="0"/>
    <n v="0"/>
    <n v="0"/>
    <n v="0"/>
    <n v="0"/>
    <n v="1"/>
  </r>
  <r>
    <n v="2935"/>
    <n v="170053"/>
    <n v="0"/>
    <n v="1"/>
    <x v="31"/>
    <s v="Married"/>
    <s v="Master"/>
    <s v="12/8/2019"/>
    <s v="Illinois"/>
    <n v="38"/>
    <n v="1243"/>
    <n v="129"/>
    <n v="238"/>
    <n v="197"/>
    <n v="435"/>
    <n v="216"/>
    <n v="2025"/>
    <n v="3"/>
    <n v="8"/>
    <n v="5"/>
    <n v="10"/>
    <n v="5"/>
    <n v="0"/>
    <n v="0"/>
    <n v="0"/>
    <n v="0"/>
    <n v="0"/>
    <n v="0"/>
    <n v="0"/>
  </r>
  <r>
    <n v="2231"/>
    <n v="169969"/>
    <n v="0"/>
    <n v="0"/>
    <x v="31"/>
    <s v="Married"/>
    <s v="PhD"/>
    <s v="2/1/2020"/>
    <s v="California"/>
    <n v="64"/>
    <n v="2143"/>
    <n v="70"/>
    <n v="1249"/>
    <n v="92"/>
    <n v="70"/>
    <n v="107"/>
    <n v="3517"/>
    <n v="1"/>
    <n v="4"/>
    <n v="2"/>
    <n v="6"/>
    <n v="3"/>
    <n v="0"/>
    <n v="1"/>
    <n v="1"/>
    <n v="0"/>
    <n v="0"/>
    <n v="0"/>
    <n v="1"/>
  </r>
  <r>
    <n v="1576"/>
    <n v="169882"/>
    <n v="0"/>
    <n v="0"/>
    <x v="31"/>
    <s v="Single"/>
    <s v="Master"/>
    <s v="4/16/2020"/>
    <s v="Other"/>
    <n v="94"/>
    <n v="710"/>
    <n v="309"/>
    <n v="1544"/>
    <n v="321"/>
    <n v="309"/>
    <n v="401"/>
    <n v="2791"/>
    <n v="1"/>
    <n v="3"/>
    <n v="7"/>
    <n v="9"/>
    <n v="1"/>
    <n v="0"/>
    <n v="0"/>
    <n v="0"/>
    <n v="0"/>
    <n v="0"/>
    <n v="0"/>
    <n v="0"/>
  </r>
  <r>
    <n v="3138"/>
    <n v="169263"/>
    <n v="0"/>
    <n v="1"/>
    <x v="31"/>
    <s v="Single"/>
    <s v="Graduate"/>
    <s v="8/9/2020"/>
    <s v="Florida"/>
    <n v="14"/>
    <n v="1202"/>
    <n v="12"/>
    <n v="78"/>
    <n v="32"/>
    <n v="12"/>
    <n v="51"/>
    <n v="1285"/>
    <n v="1"/>
    <n v="9"/>
    <n v="1"/>
    <n v="7"/>
    <n v="6"/>
    <n v="0"/>
    <n v="0"/>
    <n v="0"/>
    <n v="0"/>
    <n v="0"/>
    <n v="1"/>
    <n v="0"/>
  </r>
  <r>
    <n v="2333"/>
    <n v="169139"/>
    <n v="0"/>
    <n v="1"/>
    <x v="31"/>
    <s v="Married"/>
    <s v="Graduate"/>
    <s v="7/3/2020"/>
    <s v="California"/>
    <n v="23"/>
    <n v="210"/>
    <n v="29"/>
    <n v="183"/>
    <n v="81"/>
    <n v="37"/>
    <n v="15"/>
    <n v="526"/>
    <n v="1"/>
    <n v="4"/>
    <n v="1"/>
    <n v="5"/>
    <n v="4"/>
    <n v="0"/>
    <n v="0"/>
    <n v="0"/>
    <n v="0"/>
    <n v="0"/>
    <n v="0"/>
    <n v="0"/>
  </r>
  <r>
    <n v="2594"/>
    <n v="169139"/>
    <n v="0"/>
    <n v="1"/>
    <x v="31"/>
    <s v="Married"/>
    <s v="Graduate"/>
    <s v="7/3/2020"/>
    <s v="New York"/>
    <n v="23"/>
    <n v="210"/>
    <n v="29"/>
    <n v="183"/>
    <n v="81"/>
    <n v="37"/>
    <n v="15"/>
    <n v="526"/>
    <n v="1"/>
    <n v="4"/>
    <n v="1"/>
    <n v="5"/>
    <n v="4"/>
    <n v="0"/>
    <n v="0"/>
    <n v="0"/>
    <n v="0"/>
    <n v="0"/>
    <n v="0"/>
    <n v="0"/>
  </r>
  <r>
    <n v="2090"/>
    <n v="166480"/>
    <n v="1"/>
    <n v="1"/>
    <x v="31"/>
    <s v="Married"/>
    <s v="Graduate"/>
    <s v="11/4/2020"/>
    <s v="New York"/>
    <n v="71"/>
    <n v="498"/>
    <n v="23"/>
    <n v="143"/>
    <n v="50"/>
    <n v="53"/>
    <n v="15"/>
    <n v="751"/>
    <n v="7"/>
    <n v="4"/>
    <n v="1"/>
    <n v="7"/>
    <n v="4"/>
    <n v="0"/>
    <n v="0"/>
    <n v="0"/>
    <n v="0"/>
    <n v="0"/>
    <n v="0"/>
    <n v="0"/>
  </r>
  <r>
    <n v="2061"/>
    <n v="166294"/>
    <n v="0"/>
    <n v="0"/>
    <x v="31"/>
    <s v="Single"/>
    <s v="Graduate"/>
    <s v="8/21/2020"/>
    <s v="Texas"/>
    <n v="68"/>
    <n v="630"/>
    <n v="271"/>
    <n v="838"/>
    <n v="163"/>
    <n v="231"/>
    <n v="293"/>
    <n v="1839"/>
    <n v="1"/>
    <n v="4"/>
    <n v="3"/>
    <n v="5"/>
    <n v="2"/>
    <n v="0"/>
    <n v="0"/>
    <n v="0"/>
    <n v="0"/>
    <n v="0"/>
    <n v="0"/>
    <n v="0"/>
  </r>
  <r>
    <n v="2819"/>
    <n v="165735"/>
    <n v="1"/>
    <n v="1"/>
    <x v="31"/>
    <s v="Together"/>
    <s v="Master"/>
    <s v="5/13/2020"/>
    <s v="California"/>
    <n v="37"/>
    <n v="603"/>
    <n v="18"/>
    <n v="300"/>
    <n v="10"/>
    <n v="38"/>
    <n v="28"/>
    <n v="940"/>
    <n v="5"/>
    <n v="6"/>
    <n v="2"/>
    <n v="6"/>
    <n v="7"/>
    <n v="0"/>
    <n v="0"/>
    <n v="0"/>
    <n v="0"/>
    <n v="0"/>
    <n v="0"/>
    <n v="0"/>
  </r>
  <r>
    <n v="3097"/>
    <n v="165220"/>
    <n v="0"/>
    <n v="0"/>
    <x v="31"/>
    <s v="Together"/>
    <s v="PhD"/>
    <s v="2/8/2019"/>
    <s v="Illinois"/>
    <n v="3"/>
    <n v="2255"/>
    <n v="160"/>
    <n v="740"/>
    <n v="0"/>
    <n v="63"/>
    <n v="30"/>
    <n v="3187"/>
    <n v="4"/>
    <n v="8"/>
    <n v="4"/>
    <n v="7"/>
    <n v="6"/>
    <n v="0"/>
    <n v="1"/>
    <n v="0"/>
    <n v="0"/>
    <n v="0"/>
    <n v="0"/>
    <n v="0"/>
  </r>
  <r>
    <n v="2048"/>
    <n v="164176"/>
    <n v="0"/>
    <n v="1"/>
    <x v="31"/>
    <s v="Divorced"/>
    <s v="Graduate"/>
    <s v="1/8/2019"/>
    <s v="New York"/>
    <n v="52"/>
    <n v="3108"/>
    <n v="84"/>
    <n v="637"/>
    <n v="164"/>
    <n v="297"/>
    <n v="381"/>
    <n v="3909"/>
    <n v="8"/>
    <n v="8"/>
    <n v="9"/>
    <n v="8"/>
    <n v="6"/>
    <n v="0"/>
    <n v="0"/>
    <n v="0"/>
    <n v="0"/>
    <n v="0"/>
    <n v="0"/>
    <n v="0"/>
  </r>
  <r>
    <n v="1222"/>
    <n v="162745"/>
    <n v="0"/>
    <n v="1"/>
    <x v="31"/>
    <s v="Married"/>
    <s v="PhD"/>
    <s v="8/28/2019"/>
    <s v="Other"/>
    <n v="89"/>
    <n v="1458"/>
    <n v="54"/>
    <n v="1204"/>
    <n v="73"/>
    <n v="26"/>
    <n v="83"/>
    <n v="2731"/>
    <n v="3"/>
    <n v="7"/>
    <n v="8"/>
    <n v="11"/>
    <n v="5"/>
    <n v="0"/>
    <n v="0"/>
    <n v="0"/>
    <n v="0"/>
    <n v="0"/>
    <n v="0"/>
    <n v="0"/>
  </r>
  <r>
    <n v="2904"/>
    <n v="162694"/>
    <n v="1"/>
    <n v="1"/>
    <x v="31"/>
    <s v="Married"/>
    <s v="Master"/>
    <s v="11/22/2019"/>
    <s v="Florida"/>
    <n v="29"/>
    <n v="984"/>
    <n v="16"/>
    <n v="407"/>
    <n v="65"/>
    <n v="236"/>
    <n v="236"/>
    <n v="1471"/>
    <n v="5"/>
    <n v="9"/>
    <n v="3"/>
    <n v="7"/>
    <n v="7"/>
    <n v="0"/>
    <n v="0"/>
    <n v="0"/>
    <n v="0"/>
    <n v="0"/>
    <n v="0"/>
    <n v="0"/>
  </r>
  <r>
    <n v="2197"/>
    <n v="161559"/>
    <n v="0"/>
    <n v="1"/>
    <x v="31"/>
    <s v="Single"/>
    <s v="Graduate"/>
    <s v="12/22/2019"/>
    <s v="Illinois"/>
    <n v="8"/>
    <n v="732"/>
    <n v="218"/>
    <n v="231"/>
    <n v="84"/>
    <n v="37"/>
    <n v="89"/>
    <n v="1212"/>
    <n v="1"/>
    <n v="4"/>
    <n v="2"/>
    <n v="10"/>
    <n v="3"/>
    <n v="0"/>
    <n v="0"/>
    <n v="0"/>
    <n v="0"/>
    <n v="0"/>
    <n v="0"/>
    <n v="0"/>
  </r>
  <r>
    <n v="2563"/>
    <n v="161482"/>
    <n v="0"/>
    <n v="0"/>
    <x v="31"/>
    <s v="Married"/>
    <s v="Graduate"/>
    <s v="12/1/2020"/>
    <s v="Illinois"/>
    <n v="39"/>
    <n v="126"/>
    <n v="152"/>
    <n v="179"/>
    <n v="42"/>
    <n v="173"/>
    <n v="113"/>
    <n v="559"/>
    <n v="1"/>
    <n v="3"/>
    <n v="2"/>
    <n v="6"/>
    <n v="2"/>
    <n v="0"/>
    <n v="0"/>
    <n v="0"/>
    <n v="0"/>
    <n v="0"/>
    <n v="0"/>
    <n v="0"/>
  </r>
  <r>
    <n v="1778"/>
    <n v="160161"/>
    <n v="0"/>
    <n v="1"/>
    <x v="31"/>
    <s v="Divorced"/>
    <s v="Graduate"/>
    <s v="3/30/2019"/>
    <s v="New York"/>
    <n v="17"/>
    <n v="1555"/>
    <n v="117"/>
    <n v="564"/>
    <n v="122"/>
    <n v="21"/>
    <n v="471"/>
    <n v="1909"/>
    <n v="3"/>
    <n v="11"/>
    <n v="4"/>
    <n v="8"/>
    <n v="8"/>
    <n v="0"/>
    <n v="0"/>
    <n v="0"/>
    <n v="0"/>
    <n v="0"/>
    <n v="0"/>
    <n v="0"/>
  </r>
  <r>
    <n v="1937"/>
    <n v="159754"/>
    <n v="0"/>
    <n v="1"/>
    <x v="31"/>
    <s v="Married"/>
    <s v="Graduate"/>
    <s v="5/8/2019"/>
    <s v="California"/>
    <n v="96"/>
    <n v="307"/>
    <n v="72"/>
    <n v="118"/>
    <n v="11"/>
    <n v="390"/>
    <n v="372"/>
    <n v="527"/>
    <n v="3"/>
    <n v="5"/>
    <n v="2"/>
    <n v="6"/>
    <n v="5"/>
    <n v="0"/>
    <n v="1"/>
    <n v="0"/>
    <n v="0"/>
    <n v="0"/>
    <n v="0"/>
    <n v="0"/>
  </r>
  <r>
    <n v="3127"/>
    <n v="159686"/>
    <n v="0"/>
    <n v="1"/>
    <x v="31"/>
    <s v="Single"/>
    <s v="Graduate"/>
    <s v="7/1/2020"/>
    <s v="Illinois"/>
    <n v="78"/>
    <n v="238"/>
    <n v="40"/>
    <n v="238"/>
    <n v="91"/>
    <n v="112"/>
    <n v="13"/>
    <n v="706"/>
    <n v="1"/>
    <n v="4"/>
    <n v="1"/>
    <n v="6"/>
    <n v="4"/>
    <n v="0"/>
    <n v="0"/>
    <n v="0"/>
    <n v="0"/>
    <n v="0"/>
    <n v="0"/>
    <n v="0"/>
  </r>
  <r>
    <n v="2143"/>
    <n v="159594"/>
    <n v="0"/>
    <n v="1"/>
    <x v="31"/>
    <s v="Married"/>
    <s v="Graduate"/>
    <s v="3/27/2019"/>
    <s v="Illinois"/>
    <n v="74"/>
    <n v="1224"/>
    <n v="11"/>
    <n v="78"/>
    <n v="0"/>
    <n v="0"/>
    <n v="24"/>
    <n v="1288"/>
    <n v="1"/>
    <n v="8"/>
    <n v="1"/>
    <n v="7"/>
    <n v="7"/>
    <n v="0"/>
    <n v="0"/>
    <n v="0"/>
    <n v="0"/>
    <n v="0"/>
    <n v="1"/>
    <n v="0"/>
  </r>
  <r>
    <n v="3103"/>
    <n v="158692"/>
    <n v="0"/>
    <n v="1"/>
    <x v="31"/>
    <s v="Married"/>
    <s v="Graduate"/>
    <s v="9/10/2020"/>
    <s v="Illinois"/>
    <n v="21"/>
    <n v="814"/>
    <n v="30"/>
    <n v="165"/>
    <n v="11"/>
    <n v="19"/>
    <n v="30"/>
    <n v="1009"/>
    <n v="1"/>
    <n v="8"/>
    <n v="2"/>
    <n v="4"/>
    <n v="7"/>
    <n v="0"/>
    <n v="0"/>
    <n v="0"/>
    <n v="0"/>
    <n v="0"/>
    <n v="0"/>
    <n v="0"/>
  </r>
  <r>
    <n v="1286"/>
    <n v="157912"/>
    <n v="0"/>
    <n v="1"/>
    <x v="31"/>
    <s v="Divorced"/>
    <s v="PhD"/>
    <s v="8/21/2020"/>
    <s v="New York"/>
    <n v="34"/>
    <n v="2184"/>
    <n v="0"/>
    <n v="218"/>
    <n v="0"/>
    <n v="0"/>
    <n v="95"/>
    <n v="2307"/>
    <n v="5"/>
    <n v="8"/>
    <n v="3"/>
    <n v="12"/>
    <n v="5"/>
    <n v="0"/>
    <n v="0"/>
    <n v="0"/>
    <n v="0"/>
    <n v="0"/>
    <n v="1"/>
    <n v="0"/>
  </r>
  <r>
    <n v="2075"/>
    <n v="157236"/>
    <n v="1"/>
    <n v="1"/>
    <x v="31"/>
    <s v="Married"/>
    <s v="PhD"/>
    <s v="8/16/2020"/>
    <s v="California"/>
    <n v="22"/>
    <n v="288"/>
    <n v="0"/>
    <n v="25"/>
    <n v="5"/>
    <n v="3"/>
    <n v="11"/>
    <n v="310"/>
    <n v="3"/>
    <n v="2"/>
    <n v="1"/>
    <n v="4"/>
    <n v="3"/>
    <n v="0"/>
    <n v="0"/>
    <n v="0"/>
    <n v="0"/>
    <n v="0"/>
    <n v="0"/>
    <n v="0"/>
  </r>
  <r>
    <n v="1709"/>
    <n v="156962"/>
    <n v="2"/>
    <n v="1"/>
    <x v="31"/>
    <s v="Married"/>
    <s v="Master"/>
    <s v="3/17/2020"/>
    <s v="California"/>
    <n v="60"/>
    <n v="805"/>
    <n v="8"/>
    <n v="212"/>
    <n v="28"/>
    <n v="8"/>
    <n v="72"/>
    <n v="989"/>
    <n v="7"/>
    <n v="6"/>
    <n v="3"/>
    <n v="5"/>
    <n v="7"/>
    <n v="0"/>
    <n v="0"/>
    <n v="0"/>
    <n v="0"/>
    <n v="0"/>
    <n v="0"/>
    <n v="0"/>
  </r>
  <r>
    <n v="1958"/>
    <n v="156962"/>
    <n v="2"/>
    <n v="1"/>
    <x v="31"/>
    <s v="Married"/>
    <s v="Master"/>
    <s v="3/17/2020"/>
    <s v="New York"/>
    <n v="60"/>
    <n v="805"/>
    <n v="8"/>
    <n v="212"/>
    <n v="28"/>
    <n v="8"/>
    <n v="72"/>
    <n v="989"/>
    <n v="7"/>
    <n v="6"/>
    <n v="3"/>
    <n v="5"/>
    <n v="7"/>
    <n v="0"/>
    <n v="0"/>
    <n v="0"/>
    <n v="0"/>
    <n v="0"/>
    <n v="0"/>
    <n v="0"/>
  </r>
  <r>
    <n v="1074"/>
    <n v="156046"/>
    <n v="0"/>
    <n v="0"/>
    <x v="31"/>
    <s v="Together"/>
    <s v="Graduate"/>
    <s v="6/9/2019"/>
    <s v="Florida"/>
    <n v="9"/>
    <n v="1607"/>
    <n v="0"/>
    <n v="178"/>
    <n v="0"/>
    <n v="0"/>
    <n v="142"/>
    <n v="1643"/>
    <n v="2"/>
    <n v="10"/>
    <n v="1"/>
    <n v="8"/>
    <n v="8"/>
    <n v="0"/>
    <n v="1"/>
    <n v="0"/>
    <n v="0"/>
    <n v="1"/>
    <n v="0"/>
    <n v="0"/>
  </r>
  <r>
    <n v="1692"/>
    <n v="155250"/>
    <n v="0"/>
    <n v="1"/>
    <x v="31"/>
    <s v="Single"/>
    <s v="Master"/>
    <s v="3/28/2019"/>
    <s v="Florida"/>
    <n v="49"/>
    <n v="1866"/>
    <n v="163"/>
    <n v="233"/>
    <n v="90"/>
    <n v="0"/>
    <n v="185"/>
    <n v="2166"/>
    <n v="4"/>
    <n v="7"/>
    <n v="5"/>
    <n v="10"/>
    <n v="5"/>
    <n v="0"/>
    <n v="0"/>
    <n v="0"/>
    <n v="0"/>
    <n v="0"/>
    <n v="0"/>
    <n v="0"/>
  </r>
  <r>
    <n v="2801"/>
    <n v="154111"/>
    <n v="0"/>
    <n v="1"/>
    <x v="31"/>
    <s v="Widow"/>
    <s v="PhD"/>
    <s v="1/30/2020"/>
    <s v="California"/>
    <n v="97"/>
    <n v="760"/>
    <n v="17"/>
    <n v="154"/>
    <n v="23"/>
    <n v="9"/>
    <n v="142"/>
    <n v="820"/>
    <n v="2"/>
    <n v="5"/>
    <n v="2"/>
    <n v="6"/>
    <n v="5"/>
    <n v="0"/>
    <n v="0"/>
    <n v="0"/>
    <n v="0"/>
    <n v="0"/>
    <n v="0"/>
    <n v="0"/>
  </r>
  <r>
    <n v="2576"/>
    <n v="153843"/>
    <n v="0"/>
    <n v="1"/>
    <x v="31"/>
    <s v="Married"/>
    <s v="Master"/>
    <s v="12/2/2019"/>
    <s v="New York"/>
    <n v="64"/>
    <n v="1080"/>
    <n v="0"/>
    <n v="251"/>
    <n v="54"/>
    <n v="11"/>
    <n v="209"/>
    <n v="1189"/>
    <n v="4"/>
    <n v="8"/>
    <n v="5"/>
    <n v="3"/>
    <n v="7"/>
    <n v="0"/>
    <n v="0"/>
    <n v="0"/>
    <n v="0"/>
    <n v="0"/>
    <n v="0"/>
    <n v="0"/>
  </r>
  <r>
    <n v="2682"/>
    <n v="152117"/>
    <n v="0"/>
    <n v="1"/>
    <x v="31"/>
    <s v="Together"/>
    <s v="Graduate"/>
    <s v="1/21/2019"/>
    <s v="Florida"/>
    <n v="55"/>
    <n v="327"/>
    <n v="29"/>
    <n v="312"/>
    <n v="88"/>
    <n v="0"/>
    <n v="58"/>
    <n v="698"/>
    <n v="2"/>
    <n v="5"/>
    <n v="2"/>
    <n v="4"/>
    <n v="7"/>
    <n v="0"/>
    <n v="0"/>
    <n v="0"/>
    <n v="0"/>
    <n v="0"/>
    <n v="0"/>
    <n v="0"/>
  </r>
  <r>
    <n v="2596"/>
    <n v="151717"/>
    <n v="0"/>
    <n v="1"/>
    <x v="31"/>
    <s v="Together"/>
    <s v="PhD"/>
    <s v="1/25/2020"/>
    <s v="Other"/>
    <n v="55"/>
    <n v="287"/>
    <n v="3"/>
    <n v="50"/>
    <n v="0"/>
    <n v="3"/>
    <n v="15"/>
    <n v="329"/>
    <n v="1"/>
    <n v="3"/>
    <n v="0"/>
    <n v="4"/>
    <n v="7"/>
    <n v="0"/>
    <n v="0"/>
    <n v="0"/>
    <n v="0"/>
    <n v="0"/>
    <n v="1"/>
    <n v="0"/>
  </r>
  <r>
    <n v="1872"/>
    <n v="151390"/>
    <n v="1"/>
    <n v="1"/>
    <x v="31"/>
    <s v="Widow"/>
    <s v="Master"/>
    <s v="2/13/2019"/>
    <s v="Florida"/>
    <n v="54"/>
    <n v="604"/>
    <n v="59"/>
    <n v="138"/>
    <n v="68"/>
    <n v="6"/>
    <n v="165"/>
    <n v="710"/>
    <n v="6"/>
    <n v="5"/>
    <n v="2"/>
    <n v="5"/>
    <n v="5"/>
    <n v="0"/>
    <n v="0"/>
    <n v="0"/>
    <n v="0"/>
    <n v="0"/>
    <n v="0"/>
    <n v="0"/>
  </r>
  <r>
    <n v="1389"/>
    <n v="148006"/>
    <n v="1"/>
    <n v="1"/>
    <x v="31"/>
    <s v="Married"/>
    <s v="Graduate"/>
    <s v="11/13/2020"/>
    <s v="Texas"/>
    <n v="55"/>
    <n v="71"/>
    <n v="0"/>
    <n v="34"/>
    <n v="9"/>
    <n v="6"/>
    <n v="6"/>
    <n v="114"/>
    <n v="1"/>
    <n v="1"/>
    <n v="0"/>
    <n v="3"/>
    <n v="6"/>
    <n v="0"/>
    <n v="0"/>
    <n v="0"/>
    <n v="0"/>
    <n v="0"/>
    <n v="0"/>
    <n v="0"/>
  </r>
  <r>
    <n v="1307"/>
    <n v="147025"/>
    <n v="1"/>
    <n v="1"/>
    <x v="31"/>
    <s v="Divorced"/>
    <s v="PhD"/>
    <s v="7/16/2020"/>
    <s v="California"/>
    <n v="6"/>
    <n v="50"/>
    <n v="0"/>
    <n v="9"/>
    <n v="0"/>
    <n v="0"/>
    <n v="3"/>
    <n v="56"/>
    <n v="1"/>
    <n v="1"/>
    <n v="0"/>
    <n v="2"/>
    <n v="7"/>
    <n v="0"/>
    <n v="0"/>
    <n v="0"/>
    <n v="0"/>
    <n v="0"/>
    <n v="0"/>
    <n v="0"/>
  </r>
  <r>
    <n v="2296"/>
    <n v="147009"/>
    <n v="0"/>
    <n v="1"/>
    <x v="31"/>
    <s v="Together"/>
    <s v="Graduate"/>
    <s v="3/7/2020"/>
    <s v="Other"/>
    <n v="89"/>
    <n v="535"/>
    <n v="141"/>
    <n v="228"/>
    <n v="185"/>
    <n v="31"/>
    <n v="281"/>
    <n v="838"/>
    <n v="4"/>
    <n v="3"/>
    <n v="2"/>
    <n v="8"/>
    <n v="4"/>
    <n v="0"/>
    <n v="0"/>
    <n v="0"/>
    <n v="0"/>
    <n v="0"/>
    <n v="0"/>
    <n v="0"/>
  </r>
  <r>
    <n v="1749"/>
    <n v="146891"/>
    <n v="0"/>
    <n v="1"/>
    <x v="31"/>
    <s v="Married"/>
    <s v="Graduate"/>
    <s v="2/6/2020"/>
    <s v="Texas"/>
    <n v="91"/>
    <n v="135"/>
    <n v="38"/>
    <n v="72"/>
    <n v="91"/>
    <n v="47"/>
    <n v="191"/>
    <n v="191"/>
    <n v="1"/>
    <n v="2"/>
    <n v="1"/>
    <n v="4"/>
    <n v="4"/>
    <n v="0"/>
    <n v="0"/>
    <n v="0"/>
    <n v="0"/>
    <n v="0"/>
    <n v="0"/>
    <n v="0"/>
  </r>
  <r>
    <n v="2177"/>
    <n v="146891"/>
    <n v="0"/>
    <n v="1"/>
    <x v="31"/>
    <s v="Married"/>
    <s v="Graduate"/>
    <s v="2/6/2020"/>
    <s v="California"/>
    <n v="91"/>
    <n v="135"/>
    <n v="38"/>
    <n v="72"/>
    <n v="91"/>
    <n v="47"/>
    <n v="191"/>
    <n v="191"/>
    <n v="1"/>
    <n v="2"/>
    <n v="1"/>
    <n v="4"/>
    <n v="4"/>
    <n v="0"/>
    <n v="0"/>
    <n v="0"/>
    <n v="0"/>
    <n v="0"/>
    <n v="0"/>
    <n v="0"/>
  </r>
  <r>
    <n v="2292"/>
    <n v="145143"/>
    <n v="0"/>
    <n v="1"/>
    <x v="31"/>
    <s v="Together"/>
    <s v="Master"/>
    <s v="1/31/2020"/>
    <s v="Florida"/>
    <n v="74"/>
    <n v="649"/>
    <n v="16"/>
    <n v="238"/>
    <n v="35"/>
    <n v="16"/>
    <n v="45"/>
    <n v="910"/>
    <n v="3"/>
    <n v="6"/>
    <n v="1"/>
    <n v="5"/>
    <n v="7"/>
    <n v="0"/>
    <n v="0"/>
    <n v="0"/>
    <n v="0"/>
    <n v="0"/>
    <n v="0"/>
    <n v="0"/>
  </r>
  <r>
    <n v="2569"/>
    <n v="145143"/>
    <n v="0"/>
    <n v="1"/>
    <x v="31"/>
    <s v="Together"/>
    <s v="Master"/>
    <s v="1/31/2020"/>
    <s v="Illinois"/>
    <n v="74"/>
    <n v="649"/>
    <n v="16"/>
    <n v="238"/>
    <n v="35"/>
    <n v="16"/>
    <n v="45"/>
    <n v="910"/>
    <n v="3"/>
    <n v="6"/>
    <n v="1"/>
    <n v="5"/>
    <n v="7"/>
    <n v="0"/>
    <n v="0"/>
    <n v="0"/>
    <n v="0"/>
    <n v="0"/>
    <n v="0"/>
    <n v="0"/>
  </r>
  <r>
    <n v="2167"/>
    <n v="144393"/>
    <n v="1"/>
    <n v="1"/>
    <x v="31"/>
    <s v="Married"/>
    <s v="Graduate"/>
    <s v="1/27/2020"/>
    <s v="Illinois"/>
    <n v="86"/>
    <n v="78"/>
    <n v="7"/>
    <n v="65"/>
    <n v="7"/>
    <n v="7"/>
    <n v="33"/>
    <n v="130"/>
    <n v="2"/>
    <n v="1"/>
    <n v="0"/>
    <n v="4"/>
    <n v="4"/>
    <n v="0"/>
    <n v="0"/>
    <n v="0"/>
    <n v="0"/>
    <n v="0"/>
    <n v="0"/>
    <n v="0"/>
  </r>
  <r>
    <n v="2141"/>
    <n v="144375"/>
    <n v="0"/>
    <n v="1"/>
    <x v="31"/>
    <s v="Married"/>
    <s v="Graduate"/>
    <s v="8/27/2020"/>
    <s v="California"/>
    <n v="73"/>
    <n v="693"/>
    <n v="16"/>
    <n v="91"/>
    <n v="23"/>
    <n v="23"/>
    <n v="133"/>
    <n v="713"/>
    <n v="1"/>
    <n v="4"/>
    <n v="1"/>
    <n v="6"/>
    <n v="5"/>
    <n v="0"/>
    <n v="0"/>
    <n v="0"/>
    <n v="0"/>
    <n v="0"/>
    <n v="0"/>
    <n v="0"/>
  </r>
  <r>
    <n v="1330"/>
    <n v="144300"/>
    <n v="1"/>
    <n v="1"/>
    <x v="31"/>
    <s v="Married"/>
    <s v="Graduate"/>
    <s v="11/28/2019"/>
    <s v="Other"/>
    <n v="65"/>
    <n v="98"/>
    <n v="0"/>
    <n v="29"/>
    <n v="0"/>
    <n v="0"/>
    <n v="10"/>
    <n v="117"/>
    <n v="2"/>
    <n v="1"/>
    <n v="0"/>
    <n v="3"/>
    <n v="6"/>
    <n v="0"/>
    <n v="0"/>
    <n v="0"/>
    <n v="0"/>
    <n v="0"/>
    <n v="0"/>
    <n v="0"/>
  </r>
  <r>
    <n v="1753"/>
    <n v="142720"/>
    <n v="1"/>
    <n v="1"/>
    <x v="31"/>
    <s v="Single"/>
    <s v="Graduate"/>
    <s v="9/29/2019"/>
    <s v="Illinois"/>
    <n v="9"/>
    <n v="1310"/>
    <n v="17"/>
    <n v="304"/>
    <n v="94"/>
    <n v="87"/>
    <n v="374"/>
    <n v="1437"/>
    <n v="8"/>
    <n v="7"/>
    <n v="3"/>
    <n v="7"/>
    <n v="8"/>
    <n v="0"/>
    <n v="1"/>
    <n v="0"/>
    <n v="0"/>
    <n v="0"/>
    <n v="0"/>
    <n v="0"/>
  </r>
  <r>
    <n v="1757"/>
    <n v="140760"/>
    <n v="0"/>
    <n v="1"/>
    <x v="31"/>
    <s v="Single"/>
    <s v="PhD"/>
    <s v="2/4/2020"/>
    <s v="California"/>
    <n v="64"/>
    <n v="242"/>
    <n v="0"/>
    <n v="59"/>
    <n v="0"/>
    <n v="0"/>
    <n v="21"/>
    <n v="280"/>
    <n v="2"/>
    <n v="2"/>
    <n v="1"/>
    <n v="3"/>
    <n v="6"/>
    <n v="0"/>
    <n v="0"/>
    <n v="0"/>
    <n v="0"/>
    <n v="0"/>
    <n v="0"/>
    <n v="0"/>
  </r>
  <r>
    <n v="1192"/>
    <n v="140637"/>
    <n v="1"/>
    <n v="1"/>
    <x v="31"/>
    <s v="Single"/>
    <s v="PhD"/>
    <s v="12/22/2019"/>
    <s v="Other"/>
    <n v="72"/>
    <n v="76"/>
    <n v="0"/>
    <n v="45"/>
    <n v="0"/>
    <n v="0"/>
    <n v="10"/>
    <n v="111"/>
    <n v="2"/>
    <n v="1"/>
    <n v="0"/>
    <n v="3"/>
    <n v="7"/>
    <n v="0"/>
    <n v="0"/>
    <n v="0"/>
    <n v="0"/>
    <n v="0"/>
    <n v="0"/>
    <n v="0"/>
  </r>
  <r>
    <n v="1129"/>
    <n v="136921"/>
    <n v="1"/>
    <n v="1"/>
    <x v="31"/>
    <s v="Divorced"/>
    <s v="PhD"/>
    <s v="1/2/2020"/>
    <s v="Illinois"/>
    <n v="74"/>
    <n v="63"/>
    <n v="4"/>
    <n v="45"/>
    <n v="11"/>
    <n v="4"/>
    <n v="15"/>
    <n v="111"/>
    <n v="2"/>
    <n v="2"/>
    <n v="0"/>
    <n v="3"/>
    <n v="7"/>
    <n v="0"/>
    <n v="0"/>
    <n v="0"/>
    <n v="0"/>
    <n v="0"/>
    <n v="0"/>
    <n v="0"/>
  </r>
  <r>
    <n v="2190"/>
    <n v="136317"/>
    <n v="0"/>
    <n v="1"/>
    <x v="31"/>
    <s v="Together"/>
    <s v="Graduate"/>
    <s v="10/27/2019"/>
    <s v="Florida"/>
    <n v="53"/>
    <n v="327"/>
    <n v="11"/>
    <n v="94"/>
    <n v="11"/>
    <n v="8"/>
    <n v="49"/>
    <n v="402"/>
    <n v="2"/>
    <n v="3"/>
    <n v="0"/>
    <n v="4"/>
    <n v="7"/>
    <n v="0"/>
    <n v="0"/>
    <n v="0"/>
    <n v="0"/>
    <n v="0"/>
    <n v="0"/>
    <n v="0"/>
  </r>
  <r>
    <n v="1600"/>
    <n v="135791"/>
    <n v="2"/>
    <n v="1"/>
    <x v="31"/>
    <s v="Single"/>
    <s v="Master"/>
    <s v="10/11/2019"/>
    <s v="Other"/>
    <n v="94"/>
    <n v="102"/>
    <n v="0"/>
    <n v="19"/>
    <n v="0"/>
    <n v="0"/>
    <n v="11"/>
    <n v="110"/>
    <n v="2"/>
    <n v="1"/>
    <n v="0"/>
    <n v="3"/>
    <n v="8"/>
    <n v="0"/>
    <n v="0"/>
    <n v="0"/>
    <n v="0"/>
    <n v="0"/>
    <n v="0"/>
    <n v="0"/>
  </r>
  <r>
    <n v="2352"/>
    <n v="135791"/>
    <n v="2"/>
    <n v="1"/>
    <x v="31"/>
    <s v="Single"/>
    <s v="Master"/>
    <s v="10/11/2019"/>
    <s v="Florida"/>
    <n v="94"/>
    <n v="102"/>
    <n v="0"/>
    <n v="19"/>
    <n v="0"/>
    <n v="0"/>
    <n v="11"/>
    <n v="110"/>
    <n v="2"/>
    <n v="1"/>
    <n v="0"/>
    <n v="3"/>
    <n v="8"/>
    <n v="0"/>
    <n v="0"/>
    <n v="0"/>
    <n v="0"/>
    <n v="0"/>
    <n v="0"/>
    <n v="0"/>
  </r>
  <r>
    <n v="2894"/>
    <n v="134230"/>
    <n v="1"/>
    <n v="1"/>
    <x v="31"/>
    <s v="Together"/>
    <s v="PhD"/>
    <s v="6/2/2019"/>
    <s v="New York"/>
    <n v="72"/>
    <n v="59"/>
    <n v="0"/>
    <n v="16"/>
    <n v="0"/>
    <n v="0"/>
    <n v="8"/>
    <n v="67"/>
    <n v="1"/>
    <n v="1"/>
    <n v="0"/>
    <n v="2"/>
    <n v="7"/>
    <n v="0"/>
    <n v="0"/>
    <n v="0"/>
    <n v="0"/>
    <n v="0"/>
    <n v="0"/>
    <n v="0"/>
  </r>
  <r>
    <n v="1159"/>
    <n v="133456"/>
    <n v="1"/>
    <n v="1"/>
    <x v="31"/>
    <s v="Together"/>
    <s v="Graduate"/>
    <s v="9/25/2020"/>
    <s v="Illinois"/>
    <n v="58"/>
    <n v="28"/>
    <n v="12"/>
    <n v="40"/>
    <n v="32"/>
    <n v="4"/>
    <n v="28"/>
    <n v="88"/>
    <n v="2"/>
    <n v="1"/>
    <n v="0"/>
    <n v="3"/>
    <n v="7"/>
    <n v="0"/>
    <n v="0"/>
    <n v="0"/>
    <n v="0"/>
    <n v="0"/>
    <n v="0"/>
    <n v="0"/>
  </r>
  <r>
    <n v="2026"/>
    <n v="133168"/>
    <n v="0"/>
    <n v="1"/>
    <x v="31"/>
    <s v="Single"/>
    <s v="Master"/>
    <s v="3/20/2019"/>
    <s v="Other"/>
    <n v="0"/>
    <n v="321"/>
    <n v="4"/>
    <n v="149"/>
    <n v="0"/>
    <n v="4"/>
    <n v="12"/>
    <n v="466"/>
    <n v="3"/>
    <n v="2"/>
    <n v="1"/>
    <n v="4"/>
    <n v="7"/>
    <n v="0"/>
    <n v="0"/>
    <n v="0"/>
    <n v="0"/>
    <n v="0"/>
    <n v="0"/>
    <n v="0"/>
  </r>
  <r>
    <n v="2430"/>
    <n v="132727"/>
    <n v="0"/>
    <n v="0"/>
    <x v="31"/>
    <s v="Together"/>
    <s v="PhD"/>
    <s v="2/2/2019"/>
    <s v="Florida"/>
    <n v="38"/>
    <n v="677"/>
    <n v="53"/>
    <n v="730"/>
    <n v="349"/>
    <n v="53"/>
    <n v="284"/>
    <n v="1578"/>
    <n v="2"/>
    <n v="7"/>
    <n v="3"/>
    <n v="5"/>
    <n v="8"/>
    <n v="0"/>
    <n v="0"/>
    <n v="0"/>
    <n v="0"/>
    <n v="0"/>
    <n v="0"/>
    <n v="0"/>
  </r>
  <r>
    <n v="1504"/>
    <n v="130630"/>
    <n v="1"/>
    <n v="1"/>
    <x v="31"/>
    <s v="Divorced"/>
    <s v="Graduate"/>
    <s v="7/3/2020"/>
    <s v="Other"/>
    <n v="67"/>
    <n v="115"/>
    <n v="4"/>
    <n v="51"/>
    <n v="9"/>
    <n v="0"/>
    <n v="43"/>
    <n v="136"/>
    <n v="2"/>
    <n v="2"/>
    <n v="0"/>
    <n v="3"/>
    <n v="7"/>
    <n v="0"/>
    <n v="0"/>
    <n v="0"/>
    <n v="0"/>
    <n v="0"/>
    <n v="0"/>
    <n v="0"/>
  </r>
  <r>
    <n v="1281"/>
    <n v="129672"/>
    <n v="1"/>
    <n v="1"/>
    <x v="31"/>
    <s v="Together"/>
    <s v="Graduate"/>
    <s v="8/17/2019"/>
    <s v="Texas"/>
    <n v="6"/>
    <n v="39"/>
    <n v="4"/>
    <n v="13"/>
    <n v="0"/>
    <n v="17"/>
    <n v="35"/>
    <n v="39"/>
    <n v="1"/>
    <n v="0"/>
    <n v="0"/>
    <n v="3"/>
    <n v="6"/>
    <n v="0"/>
    <n v="0"/>
    <n v="0"/>
    <n v="0"/>
    <n v="0"/>
    <n v="0"/>
    <n v="0"/>
  </r>
  <r>
    <n v="3001"/>
    <n v="129672"/>
    <n v="1"/>
    <n v="1"/>
    <x v="31"/>
    <s v="Together"/>
    <s v="Graduate"/>
    <s v="8/17/2019"/>
    <s v="Illinois"/>
    <n v="6"/>
    <n v="39"/>
    <n v="4"/>
    <n v="13"/>
    <n v="0"/>
    <n v="17"/>
    <n v="35"/>
    <n v="39"/>
    <n v="1"/>
    <n v="0"/>
    <n v="0"/>
    <n v="3"/>
    <n v="6"/>
    <n v="0"/>
    <n v="0"/>
    <n v="0"/>
    <n v="0"/>
    <n v="0"/>
    <n v="0"/>
    <n v="0"/>
  </r>
  <r>
    <n v="2702"/>
    <n v="123529"/>
    <n v="0"/>
    <n v="1"/>
    <x v="31"/>
    <s v="Single"/>
    <s v="Basic"/>
    <s v="6/14/2019"/>
    <s v="New York"/>
    <n v="67"/>
    <n v="47"/>
    <n v="37"/>
    <n v="68"/>
    <n v="16"/>
    <n v="11"/>
    <n v="105"/>
    <n v="74"/>
    <n v="1"/>
    <n v="1"/>
    <n v="1"/>
    <n v="2"/>
    <n v="6"/>
    <n v="0"/>
    <n v="0"/>
    <n v="0"/>
    <n v="0"/>
    <n v="0"/>
    <n v="0"/>
    <n v="0"/>
  </r>
  <r>
    <n v="3030"/>
    <n v="123478"/>
    <n v="0"/>
    <n v="0"/>
    <x v="31"/>
    <s v="Single"/>
    <s v="Graduate"/>
    <s v="8/24/2019"/>
    <s v="Florida"/>
    <n v="51"/>
    <n v="147"/>
    <n v="32"/>
    <n v="142"/>
    <n v="63"/>
    <n v="89"/>
    <n v="205"/>
    <n v="268"/>
    <n v="1"/>
    <n v="3"/>
    <n v="0"/>
    <n v="3"/>
    <n v="8"/>
    <n v="0"/>
    <n v="0"/>
    <n v="0"/>
    <n v="0"/>
    <n v="0"/>
    <n v="0"/>
    <n v="0"/>
  </r>
  <r>
    <n v="1962"/>
    <n v="104861"/>
    <n v="0"/>
    <n v="0"/>
    <x v="31"/>
    <s v="Divorced"/>
    <s v="Graduate"/>
    <s v="11/26/2020"/>
    <s v="Florida"/>
    <n v="20"/>
    <n v="43"/>
    <n v="22"/>
    <n v="22"/>
    <n v="22"/>
    <n v="0"/>
    <n v="22"/>
    <n v="86"/>
    <n v="0"/>
    <n v="0"/>
    <n v="0"/>
    <n v="0"/>
    <n v="14"/>
    <n v="0"/>
    <n v="0"/>
    <n v="0"/>
    <n v="0"/>
    <n v="0"/>
    <n v="0"/>
    <n v="0"/>
  </r>
  <r>
    <n v="1530"/>
    <n v="185620"/>
    <n v="0"/>
    <n v="0"/>
    <x v="32"/>
    <s v="Widow"/>
    <s v="Graduate"/>
    <s v="6/13/2020"/>
    <s v="Florida"/>
    <n v="68"/>
    <n v="902"/>
    <n v="100"/>
    <n v="2005"/>
    <n v="130"/>
    <n v="232"/>
    <n v="100"/>
    <n v="3269"/>
    <n v="1"/>
    <n v="3"/>
    <n v="6"/>
    <n v="4"/>
    <n v="1"/>
    <n v="0"/>
    <n v="1"/>
    <n v="0"/>
    <n v="0"/>
    <n v="0"/>
    <n v="0"/>
    <n v="0"/>
  </r>
  <r>
    <n v="1725"/>
    <n v="182224"/>
    <n v="0"/>
    <n v="0"/>
    <x v="32"/>
    <s v="Married"/>
    <s v="Graduate"/>
    <s v="7/1/2020"/>
    <s v="Texas"/>
    <n v="83"/>
    <n v="680"/>
    <n v="58"/>
    <n v="798"/>
    <n v="306"/>
    <n v="69"/>
    <n v="89"/>
    <n v="1822"/>
    <n v="1"/>
    <n v="6"/>
    <n v="9"/>
    <n v="5"/>
    <n v="3"/>
    <n v="0"/>
    <n v="0"/>
    <n v="1"/>
    <n v="0"/>
    <n v="0"/>
    <n v="0"/>
    <n v="0"/>
  </r>
  <r>
    <n v="1431"/>
    <n v="181246"/>
    <n v="0"/>
    <n v="0"/>
    <x v="32"/>
    <s v="Single"/>
    <s v="Graduate"/>
    <s v="6/4/2020"/>
    <s v="Texas"/>
    <n v="87"/>
    <n v="888"/>
    <n v="424"/>
    <n v="1198"/>
    <n v="136"/>
    <n v="348"/>
    <n v="83"/>
    <n v="2911"/>
    <n v="1"/>
    <n v="4"/>
    <n v="5"/>
    <n v="7"/>
    <n v="1"/>
    <n v="0"/>
    <n v="0"/>
    <n v="1"/>
    <n v="0"/>
    <n v="1"/>
    <n v="0"/>
    <n v="0"/>
  </r>
  <r>
    <n v="1048"/>
    <n v="179143"/>
    <n v="0"/>
    <n v="0"/>
    <x v="32"/>
    <s v="Married"/>
    <s v="Master"/>
    <s v="1/16/2019"/>
    <s v="Other"/>
    <n v="2"/>
    <n v="1471"/>
    <n v="84"/>
    <n v="1766"/>
    <n v="61"/>
    <n v="378"/>
    <n v="72"/>
    <n v="3687"/>
    <n v="1"/>
    <n v="6"/>
    <n v="9"/>
    <n v="13"/>
    <n v="3"/>
    <n v="0"/>
    <n v="0"/>
    <n v="0"/>
    <n v="0"/>
    <n v="0"/>
    <n v="0"/>
    <n v="0"/>
  </r>
  <r>
    <n v="1469"/>
    <n v="178825"/>
    <n v="0"/>
    <n v="0"/>
    <x v="32"/>
    <s v="Divorced"/>
    <s v="PhD"/>
    <s v="2/19/2019"/>
    <s v="California"/>
    <n v="35"/>
    <n v="1096"/>
    <n v="168"/>
    <n v="259"/>
    <n v="383"/>
    <n v="84"/>
    <n v="41"/>
    <n v="1949"/>
    <n v="1"/>
    <n v="5"/>
    <n v="10"/>
    <n v="13"/>
    <n v="3"/>
    <n v="0"/>
    <n v="1"/>
    <n v="0"/>
    <n v="0"/>
    <n v="0"/>
    <n v="0"/>
    <n v="0"/>
  </r>
  <r>
    <n v="1417"/>
    <n v="175236"/>
    <n v="0"/>
    <n v="1"/>
    <x v="32"/>
    <s v="Married"/>
    <s v="Graduate"/>
    <s v="5/1/2020"/>
    <s v="Illinois"/>
    <n v="27"/>
    <n v="1020"/>
    <n v="154"/>
    <n v="932"/>
    <n v="28"/>
    <n v="89"/>
    <n v="266"/>
    <n v="1956"/>
    <n v="1"/>
    <n v="8"/>
    <n v="3"/>
    <n v="13"/>
    <n v="4"/>
    <n v="0"/>
    <n v="0"/>
    <n v="0"/>
    <n v="0"/>
    <n v="0"/>
    <n v="0"/>
    <n v="0"/>
  </r>
  <r>
    <n v="2846"/>
    <n v="169932"/>
    <n v="0"/>
    <n v="1"/>
    <x v="32"/>
    <s v="Divorced"/>
    <s v="Graduate"/>
    <s v="11/17/2019"/>
    <s v="New York"/>
    <n v="97"/>
    <n v="1001"/>
    <n v="418"/>
    <n v="372"/>
    <n v="364"/>
    <n v="255"/>
    <n v="139"/>
    <n v="2272"/>
    <n v="2"/>
    <n v="7"/>
    <n v="6"/>
    <n v="11"/>
    <n v="4"/>
    <n v="0"/>
    <n v="0"/>
    <n v="0"/>
    <n v="0"/>
    <n v="0"/>
    <n v="0"/>
    <n v="0"/>
  </r>
  <r>
    <n v="2010"/>
    <n v="168316"/>
    <n v="0"/>
    <n v="1"/>
    <x v="32"/>
    <s v="Together"/>
    <s v="Graduate"/>
    <s v="4/11/2019"/>
    <s v="Florida"/>
    <n v="54"/>
    <n v="1986"/>
    <n v="197"/>
    <n v="397"/>
    <n v="296"/>
    <n v="27"/>
    <n v="81"/>
    <n v="2821"/>
    <n v="5"/>
    <n v="10"/>
    <n v="7"/>
    <n v="10"/>
    <n v="6"/>
    <n v="0"/>
    <n v="0"/>
    <n v="0"/>
    <n v="0"/>
    <n v="0"/>
    <n v="0"/>
    <n v="0"/>
  </r>
  <r>
    <n v="2132"/>
    <n v="168142"/>
    <n v="0"/>
    <n v="1"/>
    <x v="32"/>
    <s v="Together"/>
    <s v="Graduate"/>
    <s v="2/3/2019"/>
    <s v="New York"/>
    <n v="96"/>
    <n v="2213"/>
    <n v="311"/>
    <n v="484"/>
    <n v="225"/>
    <n v="276"/>
    <n v="91"/>
    <n v="3418"/>
    <n v="3"/>
    <n v="10"/>
    <n v="4"/>
    <n v="7"/>
    <n v="6"/>
    <n v="0"/>
    <n v="0"/>
    <n v="0"/>
    <n v="0"/>
    <n v="0"/>
    <n v="0"/>
    <n v="0"/>
  </r>
  <r>
    <n v="2045"/>
    <n v="165526"/>
    <n v="0"/>
    <n v="1"/>
    <x v="32"/>
    <s v="Married"/>
    <s v="PhD"/>
    <s v="9/15/2020"/>
    <s v="California"/>
    <n v="22"/>
    <n v="1003"/>
    <n v="48"/>
    <n v="174"/>
    <n v="30"/>
    <n v="0"/>
    <n v="23"/>
    <n v="1233"/>
    <n v="1"/>
    <n v="4"/>
    <n v="4"/>
    <n v="8"/>
    <n v="2"/>
    <n v="0"/>
    <n v="0"/>
    <n v="0"/>
    <n v="0"/>
    <n v="0"/>
    <n v="0"/>
    <n v="0"/>
  </r>
  <r>
    <n v="2585"/>
    <n v="165526"/>
    <n v="0"/>
    <n v="1"/>
    <x v="32"/>
    <s v="Married"/>
    <s v="PhD"/>
    <s v="9/15/2020"/>
    <s v="California"/>
    <n v="22"/>
    <n v="1003"/>
    <n v="48"/>
    <n v="174"/>
    <n v="30"/>
    <n v="0"/>
    <n v="23"/>
    <n v="1233"/>
    <n v="1"/>
    <n v="4"/>
    <n v="4"/>
    <n v="8"/>
    <n v="2"/>
    <n v="0"/>
    <n v="0"/>
    <n v="0"/>
    <n v="0"/>
    <n v="0"/>
    <n v="0"/>
    <n v="0"/>
  </r>
  <r>
    <n v="2617"/>
    <n v="164140"/>
    <n v="0"/>
    <n v="2"/>
    <x v="32"/>
    <s v="Divorced"/>
    <s v="PhD"/>
    <s v="2/28/2020"/>
    <s v="Illinois"/>
    <n v="71"/>
    <n v="3734"/>
    <n v="0"/>
    <n v="156"/>
    <n v="0"/>
    <n v="38"/>
    <n v="550"/>
    <n v="3378"/>
    <n v="5"/>
    <n v="2"/>
    <n v="5"/>
    <n v="6"/>
    <n v="5"/>
    <n v="0"/>
    <n v="1"/>
    <n v="0"/>
    <n v="1"/>
    <n v="1"/>
    <n v="0"/>
    <n v="1"/>
  </r>
  <r>
    <n v="1295"/>
    <n v="164100"/>
    <n v="0"/>
    <n v="1"/>
    <x v="32"/>
    <s v="Married"/>
    <s v="Master"/>
    <s v="2/15/2020"/>
    <s v="California"/>
    <n v="93"/>
    <n v="1303"/>
    <n v="0"/>
    <n v="69"/>
    <n v="0"/>
    <n v="0"/>
    <n v="26"/>
    <n v="1347"/>
    <n v="1"/>
    <n v="8"/>
    <n v="3"/>
    <n v="6"/>
    <n v="7"/>
    <n v="0"/>
    <n v="0"/>
    <n v="0"/>
    <n v="0"/>
    <n v="0"/>
    <n v="1"/>
    <n v="0"/>
  </r>
  <r>
    <n v="2542"/>
    <n v="163972"/>
    <n v="0"/>
    <n v="1"/>
    <x v="32"/>
    <s v="Single"/>
    <s v="Master"/>
    <s v="5/9/2019"/>
    <s v="Other"/>
    <n v="93"/>
    <n v="2379"/>
    <n v="161"/>
    <n v="651"/>
    <n v="0"/>
    <n v="31"/>
    <n v="31"/>
    <n v="3191"/>
    <n v="4"/>
    <n v="5"/>
    <n v="4"/>
    <n v="10"/>
    <n v="4"/>
    <n v="0"/>
    <n v="0"/>
    <n v="0"/>
    <n v="0"/>
    <n v="0"/>
    <n v="1"/>
    <n v="0"/>
  </r>
  <r>
    <n v="2773"/>
    <n v="163404"/>
    <n v="0"/>
    <n v="2"/>
    <x v="32"/>
    <s v="Together"/>
    <s v="Graduate"/>
    <s v="11/10/2020"/>
    <s v="Illinois"/>
    <n v="97"/>
    <n v="1892"/>
    <n v="67"/>
    <n v="180"/>
    <n v="28"/>
    <n v="113"/>
    <n v="44"/>
    <n v="2237"/>
    <n v="2"/>
    <n v="6"/>
    <n v="3"/>
    <n v="4"/>
    <n v="4"/>
    <n v="0"/>
    <n v="0"/>
    <n v="1"/>
    <n v="0"/>
    <n v="0"/>
    <n v="0"/>
    <n v="0"/>
  </r>
  <r>
    <n v="2735"/>
    <n v="162905"/>
    <n v="0"/>
    <n v="1"/>
    <x v="32"/>
    <s v="Married"/>
    <s v="Graduate"/>
    <s v="2/15/2020"/>
    <s v="California"/>
    <n v="68"/>
    <n v="430"/>
    <n v="194"/>
    <n v="249"/>
    <n v="308"/>
    <n v="277"/>
    <n v="153"/>
    <n v="1305"/>
    <n v="3"/>
    <n v="7"/>
    <n v="2"/>
    <n v="8"/>
    <n v="4"/>
    <n v="0"/>
    <n v="0"/>
    <n v="0"/>
    <n v="0"/>
    <n v="0"/>
    <n v="0"/>
    <n v="0"/>
  </r>
  <r>
    <n v="1512"/>
    <n v="161839"/>
    <n v="0"/>
    <n v="0"/>
    <x v="32"/>
    <s v="Single"/>
    <s v="Graduate"/>
    <s v="1/17/2019"/>
    <s v="Florida"/>
    <n v="20"/>
    <n v="2617"/>
    <n v="406"/>
    <n v="992"/>
    <n v="586"/>
    <n v="44"/>
    <n v="314"/>
    <n v="4331"/>
    <n v="1"/>
    <n v="4"/>
    <n v="8"/>
    <n v="4"/>
    <n v="8"/>
    <n v="0"/>
    <n v="0"/>
    <n v="0"/>
    <n v="0"/>
    <n v="0"/>
    <n v="0"/>
    <n v="0"/>
  </r>
  <r>
    <n v="2929"/>
    <n v="161798"/>
    <n v="0"/>
    <n v="0"/>
    <x v="32"/>
    <s v="Single"/>
    <s v="PhD"/>
    <s v="4/29/2020"/>
    <s v="Illinois"/>
    <n v="13"/>
    <n v="885"/>
    <n v="10"/>
    <n v="233"/>
    <n v="29"/>
    <n v="21"/>
    <n v="34"/>
    <n v="1144"/>
    <n v="1"/>
    <n v="4"/>
    <n v="2"/>
    <n v="9"/>
    <n v="4"/>
    <n v="0"/>
    <n v="0"/>
    <n v="0"/>
    <n v="0"/>
    <n v="0"/>
    <n v="0"/>
    <n v="0"/>
  </r>
  <r>
    <n v="3128"/>
    <n v="160896"/>
    <n v="0"/>
    <n v="1"/>
    <x v="32"/>
    <s v="Married"/>
    <s v="PhD"/>
    <s v="3/18/2019"/>
    <s v="New York"/>
    <n v="90"/>
    <n v="2676"/>
    <n v="79"/>
    <n v="1054"/>
    <n v="159"/>
    <n v="122"/>
    <n v="404"/>
    <n v="3686"/>
    <n v="3"/>
    <n v="9"/>
    <n v="10"/>
    <n v="4"/>
    <n v="6"/>
    <n v="0"/>
    <n v="1"/>
    <n v="0"/>
    <n v="0"/>
    <n v="0"/>
    <n v="0"/>
    <n v="0"/>
  </r>
  <r>
    <n v="1444"/>
    <n v="160597"/>
    <n v="0"/>
    <n v="1"/>
    <x v="32"/>
    <s v="Married"/>
    <s v="Graduate"/>
    <s v="6/7/2020"/>
    <s v="Other"/>
    <n v="2"/>
    <n v="1383"/>
    <n v="0"/>
    <n v="681"/>
    <n v="85"/>
    <n v="42"/>
    <n v="175"/>
    <n v="2017"/>
    <n v="4"/>
    <n v="2"/>
    <n v="2"/>
    <n v="8"/>
    <n v="7"/>
    <n v="0"/>
    <n v="1"/>
    <n v="1"/>
    <n v="0"/>
    <n v="0"/>
    <n v="0"/>
    <n v="0"/>
  </r>
  <r>
    <n v="1652"/>
    <n v="159304"/>
    <n v="0"/>
    <n v="1"/>
    <x v="32"/>
    <s v="Married"/>
    <s v="PhD"/>
    <s v="1/3/2020"/>
    <s v="New York"/>
    <n v="81"/>
    <n v="1123"/>
    <n v="164"/>
    <n v="1150"/>
    <n v="215"/>
    <n v="137"/>
    <n v="27"/>
    <n v="2761"/>
    <n v="3"/>
    <n v="7"/>
    <n v="8"/>
    <n v="10"/>
    <n v="5"/>
    <n v="0"/>
    <n v="0"/>
    <n v="0"/>
    <n v="0"/>
    <n v="0"/>
    <n v="0"/>
    <n v="0"/>
  </r>
  <r>
    <n v="1738"/>
    <n v="158512"/>
    <n v="0"/>
    <n v="1"/>
    <x v="32"/>
    <s v="Married"/>
    <s v="Graduate"/>
    <s v="2/24/2020"/>
    <s v="Other"/>
    <n v="25"/>
    <n v="2425"/>
    <n v="27"/>
    <n v="274"/>
    <n v="35"/>
    <n v="0"/>
    <n v="412"/>
    <n v="2349"/>
    <n v="5"/>
    <n v="3"/>
    <n v="4"/>
    <n v="8"/>
    <n v="8"/>
    <n v="0"/>
    <n v="0"/>
    <n v="0"/>
    <n v="0"/>
    <n v="0"/>
    <n v="0"/>
    <n v="0"/>
  </r>
  <r>
    <n v="1477"/>
    <n v="158308"/>
    <n v="0"/>
    <n v="1"/>
    <x v="32"/>
    <s v="Single"/>
    <s v="Master"/>
    <s v="6/19/2019"/>
    <s v="Illinois"/>
    <n v="77"/>
    <n v="1876"/>
    <n v="0"/>
    <n v="187"/>
    <n v="27"/>
    <n v="0"/>
    <n v="353"/>
    <n v="1738"/>
    <n v="4"/>
    <n v="2"/>
    <n v="6"/>
    <n v="3"/>
    <n v="8"/>
    <n v="0"/>
    <n v="0"/>
    <n v="0"/>
    <n v="0"/>
    <n v="0"/>
    <n v="0"/>
    <n v="0"/>
  </r>
  <r>
    <n v="2715"/>
    <n v="155761"/>
    <n v="0"/>
    <n v="1"/>
    <x v="32"/>
    <s v="Together"/>
    <s v="Graduate"/>
    <s v="9/28/2020"/>
    <s v="Texas"/>
    <n v="97"/>
    <n v="380"/>
    <n v="3"/>
    <n v="34"/>
    <n v="0"/>
    <n v="8"/>
    <n v="89"/>
    <n v="335"/>
    <n v="2"/>
    <n v="4"/>
    <n v="1"/>
    <n v="3"/>
    <n v="6"/>
    <n v="0"/>
    <n v="0"/>
    <n v="0"/>
    <n v="0"/>
    <n v="0"/>
    <n v="1"/>
    <n v="0"/>
  </r>
  <r>
    <n v="2520"/>
    <n v="151983"/>
    <n v="0"/>
    <n v="1"/>
    <x v="32"/>
    <s v="Divorced"/>
    <s v="Graduate"/>
    <s v="2/5/2019"/>
    <s v="Florida"/>
    <n v="95"/>
    <n v="1845"/>
    <n v="0"/>
    <n v="336"/>
    <n v="29"/>
    <n v="20"/>
    <n v="88"/>
    <n v="2143"/>
    <n v="3"/>
    <n v="9"/>
    <n v="2"/>
    <n v="10"/>
    <n v="7"/>
    <n v="0"/>
    <n v="0"/>
    <n v="0"/>
    <n v="0"/>
    <n v="0"/>
    <n v="0"/>
    <n v="0"/>
  </r>
  <r>
    <n v="1098"/>
    <n v="149096"/>
    <n v="1"/>
    <n v="1"/>
    <x v="32"/>
    <s v="Married"/>
    <s v="Graduate"/>
    <s v="2/29/2020"/>
    <s v="Florida"/>
    <n v="15"/>
    <n v="437"/>
    <n v="3"/>
    <n v="97"/>
    <n v="6"/>
    <n v="3"/>
    <n v="21"/>
    <n v="525"/>
    <n v="4"/>
    <n v="4"/>
    <n v="1"/>
    <n v="4"/>
    <n v="7"/>
    <n v="0"/>
    <n v="0"/>
    <n v="0"/>
    <n v="0"/>
    <n v="0"/>
    <n v="0"/>
    <n v="0"/>
  </r>
  <r>
    <n v="1496"/>
    <n v="148920"/>
    <n v="0"/>
    <n v="2"/>
    <x v="32"/>
    <s v="Married"/>
    <s v="Graduate"/>
    <s v="3/26/2020"/>
    <s v="New York"/>
    <n v="93"/>
    <n v="725"/>
    <n v="52"/>
    <n v="207"/>
    <n v="24"/>
    <n v="30"/>
    <n v="18"/>
    <n v="1020"/>
    <n v="3"/>
    <n v="6"/>
    <n v="2"/>
    <n v="5"/>
    <n v="7"/>
    <n v="0"/>
    <n v="0"/>
    <n v="0"/>
    <n v="0"/>
    <n v="0"/>
    <n v="1"/>
    <n v="0"/>
  </r>
  <r>
    <n v="2705"/>
    <n v="146910"/>
    <n v="1"/>
    <n v="1"/>
    <x v="32"/>
    <s v="Together"/>
    <s v="PhD"/>
    <s v="8/27/2020"/>
    <s v="California"/>
    <n v="36"/>
    <n v="150"/>
    <n v="0"/>
    <n v="44"/>
    <n v="0"/>
    <n v="0"/>
    <n v="19"/>
    <n v="175"/>
    <n v="2"/>
    <n v="2"/>
    <n v="0"/>
    <n v="3"/>
    <n v="6"/>
    <n v="0"/>
    <n v="0"/>
    <n v="0"/>
    <n v="0"/>
    <n v="0"/>
    <n v="0"/>
    <n v="0"/>
  </r>
  <r>
    <n v="1244"/>
    <n v="145989"/>
    <n v="0"/>
    <n v="1"/>
    <x v="32"/>
    <s v="Single"/>
    <s v="Graduate"/>
    <s v="3/29/2019"/>
    <s v="New York"/>
    <n v="97"/>
    <n v="438"/>
    <n v="105"/>
    <n v="276"/>
    <n v="89"/>
    <n v="76"/>
    <n v="38"/>
    <n v="946"/>
    <n v="4"/>
    <n v="3"/>
    <n v="2"/>
    <n v="7"/>
    <n v="3"/>
    <n v="0"/>
    <n v="0"/>
    <n v="0"/>
    <n v="0"/>
    <n v="0"/>
    <n v="0"/>
    <n v="0"/>
  </r>
  <r>
    <n v="1626"/>
    <n v="145906"/>
    <n v="0"/>
    <n v="1"/>
    <x v="32"/>
    <s v="Single"/>
    <s v="Graduate"/>
    <s v="10/12/2019"/>
    <s v="Florida"/>
    <n v="20"/>
    <n v="969"/>
    <n v="10"/>
    <n v="86"/>
    <n v="13"/>
    <n v="10"/>
    <n v="458"/>
    <n v="629"/>
    <n v="2"/>
    <n v="5"/>
    <n v="4"/>
    <n v="4"/>
    <n v="5"/>
    <n v="0"/>
    <n v="0"/>
    <n v="0"/>
    <n v="0"/>
    <n v="1"/>
    <n v="0"/>
    <n v="0"/>
  </r>
  <r>
    <n v="1178"/>
    <n v="145759"/>
    <n v="1"/>
    <n v="1"/>
    <x v="32"/>
    <s v="Married"/>
    <s v="PhD"/>
    <s v="7/31/2019"/>
    <s v="New York"/>
    <n v="13"/>
    <n v="134"/>
    <n v="3"/>
    <n v="57"/>
    <n v="10"/>
    <n v="0"/>
    <n v="13"/>
    <n v="191"/>
    <n v="2"/>
    <n v="2"/>
    <n v="0"/>
    <n v="3"/>
    <n v="7"/>
    <n v="0"/>
    <n v="0"/>
    <n v="0"/>
    <n v="0"/>
    <n v="0"/>
    <n v="0"/>
    <n v="0"/>
  </r>
  <r>
    <n v="2875"/>
    <n v="145759"/>
    <n v="1"/>
    <n v="1"/>
    <x v="32"/>
    <s v="Married"/>
    <s v="PhD"/>
    <s v="7/31/2019"/>
    <s v="Illinois"/>
    <n v="13"/>
    <n v="134"/>
    <n v="3"/>
    <n v="57"/>
    <n v="10"/>
    <n v="0"/>
    <n v="13"/>
    <n v="191"/>
    <n v="2"/>
    <n v="2"/>
    <n v="0"/>
    <n v="3"/>
    <n v="7"/>
    <n v="0"/>
    <n v="0"/>
    <n v="0"/>
    <n v="0"/>
    <n v="0"/>
    <n v="0"/>
    <n v="0"/>
  </r>
  <r>
    <n v="2414"/>
    <n v="142523"/>
    <n v="0"/>
    <n v="0"/>
    <x v="32"/>
    <s v="Married"/>
    <s v="Graduate"/>
    <s v="9/27/2020"/>
    <s v="New York"/>
    <n v="96"/>
    <n v="47"/>
    <n v="121"/>
    <n v="37"/>
    <n v="10"/>
    <n v="87"/>
    <n v="117"/>
    <n v="184"/>
    <n v="1"/>
    <n v="1"/>
    <n v="1"/>
    <n v="4"/>
    <n v="2"/>
    <n v="0"/>
    <n v="0"/>
    <n v="0"/>
    <n v="0"/>
    <n v="0"/>
    <n v="0"/>
    <n v="0"/>
  </r>
  <r>
    <n v="3150"/>
    <n v="142523"/>
    <n v="0"/>
    <n v="0"/>
    <x v="32"/>
    <s v="Married"/>
    <s v="Graduate"/>
    <s v="9/27/2020"/>
    <s v="Florida"/>
    <n v="96"/>
    <n v="47"/>
    <n v="121"/>
    <n v="37"/>
    <n v="10"/>
    <n v="87"/>
    <n v="117"/>
    <n v="184"/>
    <n v="1"/>
    <n v="1"/>
    <n v="1"/>
    <n v="4"/>
    <n v="2"/>
    <n v="0"/>
    <n v="0"/>
    <n v="0"/>
    <n v="0"/>
    <n v="0"/>
    <n v="0"/>
    <n v="0"/>
  </r>
  <r>
    <n v="3124"/>
    <n v="141713"/>
    <n v="1"/>
    <n v="1"/>
    <x v="32"/>
    <s v="Divorced"/>
    <s v="Graduate"/>
    <s v="10/3/2020"/>
    <s v="Other"/>
    <n v="57"/>
    <n v="262"/>
    <n v="27"/>
    <n v="149"/>
    <n v="34"/>
    <n v="34"/>
    <n v="85"/>
    <n v="421"/>
    <n v="5"/>
    <n v="3"/>
    <n v="1"/>
    <n v="4"/>
    <n v="6"/>
    <n v="0"/>
    <n v="0"/>
    <n v="0"/>
    <n v="0"/>
    <n v="0"/>
    <n v="0"/>
    <n v="0"/>
  </r>
  <r>
    <n v="2982"/>
    <n v="141638"/>
    <n v="0"/>
    <n v="1"/>
    <x v="32"/>
    <s v="Divorced"/>
    <s v="Graduate"/>
    <s v="7/21/2019"/>
    <s v="Florida"/>
    <n v="68"/>
    <n v="1072"/>
    <n v="0"/>
    <n v="105"/>
    <n v="14"/>
    <n v="0"/>
    <n v="310"/>
    <n v="881"/>
    <n v="4"/>
    <n v="5"/>
    <n v="5"/>
    <n v="3"/>
    <n v="8"/>
    <n v="0"/>
    <n v="0"/>
    <n v="0"/>
    <n v="0"/>
    <n v="1"/>
    <n v="0"/>
    <n v="0"/>
  </r>
  <r>
    <n v="1124"/>
    <n v="141551"/>
    <n v="1"/>
    <n v="1"/>
    <x v="32"/>
    <s v="Married"/>
    <s v="PhD"/>
    <s v="1/19/2020"/>
    <s v="New York"/>
    <n v="51"/>
    <n v="749"/>
    <n v="0"/>
    <n v="112"/>
    <n v="10"/>
    <n v="0"/>
    <n v="78"/>
    <n v="794"/>
    <n v="5"/>
    <n v="5"/>
    <n v="1"/>
    <n v="5"/>
    <n v="8"/>
    <n v="0"/>
    <n v="0"/>
    <n v="0"/>
    <n v="0"/>
    <n v="0"/>
    <n v="0"/>
    <n v="0"/>
  </r>
  <r>
    <n v="2258"/>
    <n v="140800"/>
    <n v="1"/>
    <n v="2"/>
    <x v="32"/>
    <s v="Married"/>
    <s v="Graduate"/>
    <s v="6/8/2019"/>
    <s v="New York"/>
    <n v="77"/>
    <n v="83"/>
    <n v="0"/>
    <n v="93"/>
    <n v="28"/>
    <n v="104"/>
    <n v="35"/>
    <n v="273"/>
    <n v="2"/>
    <n v="3"/>
    <n v="0"/>
    <n v="3"/>
    <n v="7"/>
    <n v="1"/>
    <n v="0"/>
    <n v="0"/>
    <n v="0"/>
    <n v="0"/>
    <n v="0"/>
    <n v="0"/>
  </r>
  <r>
    <n v="1232"/>
    <n v="131686"/>
    <n v="1"/>
    <n v="1"/>
    <x v="32"/>
    <s v="Married"/>
    <s v="PhD"/>
    <s v="11/9/2020"/>
    <s v="New York"/>
    <n v="31"/>
    <n v="46"/>
    <n v="0"/>
    <n v="21"/>
    <n v="0"/>
    <n v="0"/>
    <n v="4"/>
    <n v="62"/>
    <n v="2"/>
    <n v="1"/>
    <n v="0"/>
    <n v="3"/>
    <n v="6"/>
    <n v="0"/>
    <n v="0"/>
    <n v="0"/>
    <n v="0"/>
    <n v="0"/>
    <n v="0"/>
    <n v="0"/>
  </r>
  <r>
    <n v="1245"/>
    <n v="118701"/>
    <n v="1"/>
    <n v="1"/>
    <x v="32"/>
    <s v="Single"/>
    <s v="Graduate"/>
    <s v="11/9/2019"/>
    <s v="Texas"/>
    <n v="95"/>
    <n v="76"/>
    <n v="25"/>
    <n v="13"/>
    <n v="63"/>
    <n v="38"/>
    <n v="63"/>
    <n v="152"/>
    <n v="4"/>
    <n v="2"/>
    <n v="0"/>
    <n v="4"/>
    <n v="5"/>
    <n v="0"/>
    <n v="0"/>
    <n v="0"/>
    <n v="0"/>
    <n v="0"/>
    <n v="0"/>
    <n v="0"/>
  </r>
  <r>
    <n v="2782"/>
    <n v="118701"/>
    <n v="1"/>
    <n v="1"/>
    <x v="32"/>
    <s v="Single"/>
    <s v="Graduate"/>
    <s v="11/9/2019"/>
    <s v="Other"/>
    <n v="95"/>
    <n v="76"/>
    <n v="25"/>
    <n v="13"/>
    <n v="63"/>
    <n v="38"/>
    <n v="63"/>
    <n v="152"/>
    <n v="4"/>
    <n v="2"/>
    <n v="0"/>
    <n v="4"/>
    <n v="5"/>
    <n v="0"/>
    <n v="0"/>
    <n v="0"/>
    <n v="0"/>
    <n v="0"/>
    <n v="0"/>
    <n v="0"/>
  </r>
  <r>
    <n v="1658"/>
    <n v="181300"/>
    <n v="0"/>
    <n v="1"/>
    <x v="33"/>
    <s v="Married"/>
    <s v="PhD"/>
    <s v="4/6/2019"/>
    <s v="New York"/>
    <n v="17"/>
    <n v="2239"/>
    <n v="27"/>
    <n v="323"/>
    <n v="71"/>
    <n v="27"/>
    <n v="80"/>
    <n v="2607"/>
    <n v="3"/>
    <n v="10"/>
    <n v="3"/>
    <n v="5"/>
    <n v="5"/>
    <n v="0"/>
    <n v="1"/>
    <n v="1"/>
    <n v="0"/>
    <n v="0"/>
    <n v="0"/>
    <n v="0"/>
  </r>
  <r>
    <n v="2338"/>
    <n v="180695"/>
    <n v="0"/>
    <n v="0"/>
    <x v="33"/>
    <s v="Single"/>
    <s v="Graduate"/>
    <s v="6/4/2020"/>
    <s v="Other"/>
    <n v="85"/>
    <n v="1247"/>
    <n v="289"/>
    <n v="2203"/>
    <n v="432"/>
    <n v="83"/>
    <n v="40"/>
    <n v="4214"/>
    <n v="1"/>
    <n v="5"/>
    <n v="8"/>
    <n v="5"/>
    <n v="2"/>
    <n v="0"/>
    <n v="0"/>
    <n v="0"/>
    <n v="0"/>
    <n v="0"/>
    <n v="0"/>
    <n v="0"/>
  </r>
  <r>
    <n v="1253"/>
    <n v="180124"/>
    <n v="0"/>
    <n v="0"/>
    <x v="33"/>
    <s v="Married"/>
    <s v="Graduate"/>
    <s v="11/30/2020"/>
    <s v="California"/>
    <n v="47"/>
    <n v="1086"/>
    <n v="189"/>
    <n v="895"/>
    <n v="461"/>
    <n v="189"/>
    <n v="542"/>
    <n v="2277"/>
    <n v="1"/>
    <n v="3"/>
    <n v="7"/>
    <n v="8"/>
    <n v="1"/>
    <n v="0"/>
    <n v="0"/>
    <n v="0"/>
    <n v="0"/>
    <n v="1"/>
    <n v="0"/>
    <n v="0"/>
  </r>
  <r>
    <n v="1447"/>
    <n v="180124"/>
    <n v="0"/>
    <n v="0"/>
    <x v="33"/>
    <s v="Married"/>
    <s v="Graduate"/>
    <s v="11/30/2020"/>
    <s v="Illinois"/>
    <n v="47"/>
    <n v="1086"/>
    <n v="189"/>
    <n v="895"/>
    <n v="461"/>
    <n v="189"/>
    <n v="542"/>
    <n v="2277"/>
    <n v="1"/>
    <n v="3"/>
    <n v="7"/>
    <n v="8"/>
    <n v="1"/>
    <n v="0"/>
    <n v="0"/>
    <n v="0"/>
    <n v="0"/>
    <n v="1"/>
    <n v="0"/>
    <n v="0"/>
  </r>
  <r>
    <n v="2712"/>
    <n v="177437"/>
    <n v="0"/>
    <n v="0"/>
    <x v="33"/>
    <s v="Married"/>
    <s v="Graduate"/>
    <s v="5/2/2020"/>
    <s v="Florida"/>
    <n v="70"/>
    <n v="1283"/>
    <n v="48"/>
    <n v="1013"/>
    <n v="66"/>
    <n v="101"/>
    <n v="66"/>
    <n v="2445"/>
    <n v="1"/>
    <n v="4"/>
    <n v="5"/>
    <n v="13"/>
    <n v="1"/>
    <n v="0"/>
    <n v="0"/>
    <n v="0"/>
    <n v="0"/>
    <n v="0"/>
    <n v="0"/>
    <n v="1"/>
  </r>
  <r>
    <n v="2942"/>
    <n v="177226"/>
    <n v="0"/>
    <n v="1"/>
    <x v="33"/>
    <s v="Together"/>
    <s v="Graduate"/>
    <s v="8/4/2020"/>
    <s v="New York"/>
    <n v="29"/>
    <n v="1448"/>
    <n v="99"/>
    <n v="548"/>
    <n v="294"/>
    <n v="174"/>
    <n v="48"/>
    <n v="2515"/>
    <n v="2"/>
    <n v="6"/>
    <n v="8"/>
    <n v="12"/>
    <n v="3"/>
    <n v="0"/>
    <n v="0"/>
    <n v="0"/>
    <n v="0"/>
    <n v="0"/>
    <n v="0"/>
    <n v="0"/>
  </r>
  <r>
    <n v="2965"/>
    <n v="172968"/>
    <n v="0"/>
    <n v="0"/>
    <x v="33"/>
    <s v="Divorced"/>
    <s v="PhD"/>
    <s v="5/22/2020"/>
    <s v="Illinois"/>
    <n v="8"/>
    <n v="2589"/>
    <n v="88"/>
    <n v="1403"/>
    <n v="344"/>
    <n v="88"/>
    <n v="130"/>
    <n v="4381"/>
    <n v="1"/>
    <n v="5"/>
    <n v="5"/>
    <n v="8"/>
    <n v="3"/>
    <n v="0"/>
    <n v="1"/>
    <n v="1"/>
    <n v="0"/>
    <n v="0"/>
    <n v="0"/>
    <n v="0"/>
  </r>
  <r>
    <n v="1662"/>
    <n v="168118"/>
    <n v="0"/>
    <n v="1"/>
    <x v="33"/>
    <s v="Divorced"/>
    <s v="Graduate"/>
    <s v="3/24/2020"/>
    <s v="Florida"/>
    <n v="51"/>
    <n v="1468"/>
    <n v="57"/>
    <n v="304"/>
    <n v="25"/>
    <n v="57"/>
    <n v="380"/>
    <n v="1530"/>
    <n v="2"/>
    <n v="8"/>
    <n v="9"/>
    <n v="4"/>
    <n v="6"/>
    <n v="0"/>
    <n v="0"/>
    <n v="0"/>
    <n v="0"/>
    <n v="0"/>
    <n v="0"/>
    <n v="0"/>
  </r>
  <r>
    <n v="2235"/>
    <n v="168118"/>
    <n v="0"/>
    <n v="1"/>
    <x v="33"/>
    <s v="Divorced"/>
    <s v="Graduate"/>
    <s v="3/24/2020"/>
    <s v="Texas"/>
    <n v="51"/>
    <n v="1468"/>
    <n v="57"/>
    <n v="304"/>
    <n v="25"/>
    <n v="57"/>
    <n v="380"/>
    <n v="1530"/>
    <n v="2"/>
    <n v="8"/>
    <n v="9"/>
    <n v="4"/>
    <n v="6"/>
    <n v="0"/>
    <n v="0"/>
    <n v="0"/>
    <n v="0"/>
    <n v="0"/>
    <n v="0"/>
    <n v="0"/>
  </r>
  <r>
    <n v="1262"/>
    <n v="166313"/>
    <n v="0"/>
    <n v="1"/>
    <x v="33"/>
    <s v="Together"/>
    <s v="PhD"/>
    <s v="2/21/2020"/>
    <s v="New York"/>
    <n v="86"/>
    <n v="1567"/>
    <n v="18"/>
    <n v="248"/>
    <n v="25"/>
    <n v="55"/>
    <n v="18"/>
    <n v="1896"/>
    <n v="2"/>
    <n v="6"/>
    <n v="3"/>
    <n v="12"/>
    <n v="4"/>
    <n v="0"/>
    <n v="0"/>
    <n v="0"/>
    <n v="0"/>
    <n v="0"/>
    <n v="0"/>
    <n v="0"/>
  </r>
  <r>
    <n v="2252"/>
    <n v="164191"/>
    <n v="0"/>
    <n v="1"/>
    <x v="33"/>
    <s v="Single"/>
    <s v="Master"/>
    <s v="6/29/2019"/>
    <s v="New York"/>
    <n v="30"/>
    <n v="1074"/>
    <n v="38"/>
    <n v="476"/>
    <n v="386"/>
    <n v="97"/>
    <n v="38"/>
    <n v="2033"/>
    <n v="3"/>
    <n v="5"/>
    <n v="3"/>
    <n v="13"/>
    <n v="3"/>
    <n v="0"/>
    <n v="0"/>
    <n v="0"/>
    <n v="0"/>
    <n v="0"/>
    <n v="0"/>
    <n v="0"/>
  </r>
  <r>
    <n v="1104"/>
    <n v="157288"/>
    <n v="0"/>
    <n v="1"/>
    <x v="33"/>
    <s v="Together"/>
    <s v="Master"/>
    <s v="11/29/2020"/>
    <s v="Florida"/>
    <n v="27"/>
    <n v="1447"/>
    <n v="0"/>
    <n v="58"/>
    <n v="0"/>
    <n v="0"/>
    <n v="165"/>
    <n v="1340"/>
    <n v="3"/>
    <n v="8"/>
    <n v="1"/>
    <n v="8"/>
    <n v="6"/>
    <n v="0"/>
    <n v="0"/>
    <n v="0"/>
    <n v="0"/>
    <n v="0"/>
    <n v="1"/>
    <n v="0"/>
  </r>
  <r>
    <n v="1642"/>
    <n v="156253"/>
    <n v="0"/>
    <n v="1"/>
    <x v="33"/>
    <s v="Together"/>
    <s v="Graduate"/>
    <s v="5/14/2019"/>
    <s v="Other"/>
    <n v="83"/>
    <n v="1414"/>
    <n v="0"/>
    <n v="181"/>
    <n v="19"/>
    <n v="31"/>
    <n v="14"/>
    <n v="1630"/>
    <n v="4"/>
    <n v="7"/>
    <n v="2"/>
    <n v="9"/>
    <n v="6"/>
    <n v="0"/>
    <n v="0"/>
    <n v="0"/>
    <n v="0"/>
    <n v="0"/>
    <n v="0"/>
    <n v="0"/>
  </r>
  <r>
    <n v="2600"/>
    <n v="154414"/>
    <n v="1"/>
    <n v="1"/>
    <x v="33"/>
    <s v="Together"/>
    <s v="Graduate"/>
    <s v="6/30/2019"/>
    <s v="New York"/>
    <n v="49"/>
    <n v="309"/>
    <n v="51"/>
    <n v="45"/>
    <n v="68"/>
    <n v="74"/>
    <n v="51"/>
    <n v="497"/>
    <n v="4"/>
    <n v="3"/>
    <n v="1"/>
    <n v="5"/>
    <n v="4"/>
    <n v="0"/>
    <n v="0"/>
    <n v="0"/>
    <n v="0"/>
    <n v="0"/>
    <n v="0"/>
    <n v="0"/>
  </r>
  <r>
    <n v="2581"/>
    <n v="154072"/>
    <n v="1"/>
    <n v="1"/>
    <x v="33"/>
    <s v="Married"/>
    <s v="PhD"/>
    <s v="1/1/2020"/>
    <s v="Illinois"/>
    <n v="71"/>
    <n v="100"/>
    <n v="0"/>
    <n v="11"/>
    <n v="0"/>
    <n v="0"/>
    <n v="0"/>
    <n v="111"/>
    <n v="1"/>
    <n v="2"/>
    <n v="0"/>
    <n v="2"/>
    <n v="8"/>
    <n v="0"/>
    <n v="0"/>
    <n v="0"/>
    <n v="0"/>
    <n v="0"/>
    <n v="0"/>
    <n v="0"/>
  </r>
  <r>
    <n v="2247"/>
    <n v="153378"/>
    <n v="1"/>
    <n v="1"/>
    <x v="33"/>
    <s v="Married"/>
    <s v="PhD"/>
    <s v="3/1/2019"/>
    <s v="Texas"/>
    <n v="41"/>
    <n v="1405"/>
    <n v="17"/>
    <n v="437"/>
    <n v="23"/>
    <n v="17"/>
    <n v="379"/>
    <n v="1520"/>
    <n v="10"/>
    <n v="9"/>
    <n v="4"/>
    <n v="6"/>
    <n v="8"/>
    <n v="0"/>
    <n v="1"/>
    <n v="0"/>
    <n v="0"/>
    <n v="0"/>
    <n v="0"/>
    <n v="0"/>
  </r>
  <r>
    <n v="1893"/>
    <n v="152278"/>
    <n v="0"/>
    <n v="1"/>
    <x v="33"/>
    <s v="Widow"/>
    <s v="PhD"/>
    <s v="7/2/2019"/>
    <s v="Texas"/>
    <n v="24"/>
    <n v="2776"/>
    <n v="0"/>
    <n v="207"/>
    <n v="0"/>
    <n v="0"/>
    <n v="507"/>
    <n v="2476"/>
    <n v="6"/>
    <n v="10"/>
    <n v="5"/>
    <n v="10"/>
    <n v="8"/>
    <n v="0"/>
    <n v="1"/>
    <n v="0"/>
    <n v="0"/>
    <n v="0"/>
    <n v="0"/>
    <n v="0"/>
  </r>
  <r>
    <n v="2889"/>
    <n v="152278"/>
    <n v="0"/>
    <n v="1"/>
    <x v="33"/>
    <s v="Widow"/>
    <s v="PhD"/>
    <s v="7/2/2019"/>
    <s v="Texas"/>
    <n v="24"/>
    <n v="2776"/>
    <n v="0"/>
    <n v="207"/>
    <n v="0"/>
    <n v="0"/>
    <n v="507"/>
    <n v="2476"/>
    <n v="6"/>
    <n v="10"/>
    <n v="5"/>
    <n v="10"/>
    <n v="8"/>
    <n v="0"/>
    <n v="0"/>
    <n v="0"/>
    <n v="0"/>
    <n v="0"/>
    <n v="0"/>
    <n v="0"/>
  </r>
  <r>
    <n v="1393"/>
    <n v="150437"/>
    <n v="0"/>
    <n v="2"/>
    <x v="33"/>
    <s v="Married"/>
    <s v="Graduate"/>
    <s v="3/24/2019"/>
    <s v="Illinois"/>
    <n v="28"/>
    <n v="1104"/>
    <n v="27"/>
    <n v="274"/>
    <n v="18"/>
    <n v="27"/>
    <n v="12"/>
    <n v="1438"/>
    <n v="3"/>
    <n v="7"/>
    <n v="1"/>
    <n v="8"/>
    <n v="7"/>
    <n v="0"/>
    <n v="0"/>
    <n v="0"/>
    <n v="0"/>
    <n v="0"/>
    <n v="0"/>
    <n v="0"/>
  </r>
  <r>
    <n v="1829"/>
    <n v="149980"/>
    <n v="0"/>
    <n v="1"/>
    <x v="33"/>
    <s v="Single"/>
    <s v="Graduate"/>
    <s v="3/29/2020"/>
    <s v="California"/>
    <n v="79"/>
    <n v="312"/>
    <n v="3"/>
    <n v="162"/>
    <n v="39"/>
    <n v="27"/>
    <n v="42"/>
    <n v="501"/>
    <n v="2"/>
    <n v="3"/>
    <n v="1"/>
    <n v="5"/>
    <n v="5"/>
    <n v="0"/>
    <n v="0"/>
    <n v="0"/>
    <n v="0"/>
    <n v="0"/>
    <n v="0"/>
    <n v="0"/>
  </r>
  <r>
    <n v="2441"/>
    <n v="149476"/>
    <n v="0"/>
    <n v="1"/>
    <x v="33"/>
    <s v="Divorced"/>
    <s v="Master"/>
    <s v="11/25/2019"/>
    <s v="California"/>
    <n v="29"/>
    <n v="1166"/>
    <n v="69"/>
    <n v="287"/>
    <n v="163"/>
    <n v="124"/>
    <n v="592"/>
    <n v="1218"/>
    <n v="4"/>
    <n v="2"/>
    <n v="11"/>
    <n v="5"/>
    <n v="2"/>
    <n v="0"/>
    <n v="0"/>
    <n v="0"/>
    <n v="0"/>
    <n v="0"/>
    <n v="0"/>
    <n v="0"/>
  </r>
  <r>
    <n v="2275"/>
    <n v="148918"/>
    <n v="1"/>
    <n v="1"/>
    <x v="33"/>
    <s v="Single"/>
    <s v="PhD"/>
    <s v="9/16/2020"/>
    <s v="Illinois"/>
    <n v="21"/>
    <n v="158"/>
    <n v="0"/>
    <n v="27"/>
    <n v="0"/>
    <n v="0"/>
    <n v="3"/>
    <n v="183"/>
    <n v="2"/>
    <n v="1"/>
    <n v="0"/>
    <n v="4"/>
    <n v="4"/>
    <n v="0"/>
    <n v="0"/>
    <n v="0"/>
    <n v="0"/>
    <n v="0"/>
    <n v="0"/>
    <n v="0"/>
  </r>
  <r>
    <n v="2766"/>
    <n v="148918"/>
    <n v="1"/>
    <n v="1"/>
    <x v="33"/>
    <s v="Single"/>
    <s v="PhD"/>
    <s v="9/16/2020"/>
    <s v="Florida"/>
    <n v="21"/>
    <n v="158"/>
    <n v="0"/>
    <n v="27"/>
    <n v="0"/>
    <n v="0"/>
    <n v="3"/>
    <n v="183"/>
    <n v="2"/>
    <n v="1"/>
    <n v="0"/>
    <n v="4"/>
    <n v="4"/>
    <n v="0"/>
    <n v="0"/>
    <n v="0"/>
    <n v="0"/>
    <n v="0"/>
    <n v="0"/>
    <n v="0"/>
  </r>
  <r>
    <n v="1548"/>
    <n v="148799"/>
    <n v="0"/>
    <n v="1"/>
    <x v="33"/>
    <s v="Divorced"/>
    <s v="PhD"/>
    <s v="4/11/2020"/>
    <s v="Florida"/>
    <n v="9"/>
    <n v="531"/>
    <n v="55"/>
    <n v="247"/>
    <n v="85"/>
    <n v="18"/>
    <n v="73"/>
    <n v="863"/>
    <n v="3"/>
    <n v="3"/>
    <n v="2"/>
    <n v="7"/>
    <n v="3"/>
    <n v="0"/>
    <n v="0"/>
    <n v="0"/>
    <n v="0"/>
    <n v="0"/>
    <n v="0"/>
    <n v="0"/>
  </r>
  <r>
    <n v="1195"/>
    <n v="148721"/>
    <n v="1"/>
    <n v="1"/>
    <x v="33"/>
    <s v="Divorced"/>
    <s v="Master"/>
    <s v="10/18/2019"/>
    <s v="Illinois"/>
    <n v="50"/>
    <n v="247"/>
    <n v="55"/>
    <n v="345"/>
    <n v="143"/>
    <n v="40"/>
    <n v="64"/>
    <n v="766"/>
    <n v="6"/>
    <n v="4"/>
    <n v="2"/>
    <n v="5"/>
    <n v="6"/>
    <n v="0"/>
    <n v="0"/>
    <n v="0"/>
    <n v="0"/>
    <n v="0"/>
    <n v="0"/>
    <n v="0"/>
  </r>
  <r>
    <n v="2786"/>
    <n v="146757"/>
    <n v="0"/>
    <n v="1"/>
    <x v="33"/>
    <s v="Single"/>
    <s v="PhD"/>
    <s v="4/23/2019"/>
    <s v="New York"/>
    <n v="71"/>
    <n v="2439"/>
    <n v="94"/>
    <n v="512"/>
    <n v="0"/>
    <n v="160"/>
    <n v="383"/>
    <n v="2822"/>
    <n v="6"/>
    <n v="4"/>
    <n v="4"/>
    <n v="7"/>
    <n v="9"/>
    <n v="0"/>
    <n v="0"/>
    <n v="0"/>
    <n v="0"/>
    <n v="0"/>
    <n v="0"/>
    <n v="0"/>
  </r>
  <r>
    <n v="3177"/>
    <n v="145146"/>
    <n v="1"/>
    <n v="1"/>
    <x v="33"/>
    <s v="Divorced"/>
    <s v="Graduate"/>
    <s v="12/20/2019"/>
    <s v="Texas"/>
    <n v="28"/>
    <n v="106"/>
    <n v="0"/>
    <n v="16"/>
    <n v="0"/>
    <n v="0"/>
    <n v="48"/>
    <n v="74"/>
    <n v="2"/>
    <n v="1"/>
    <n v="1"/>
    <n v="2"/>
    <n v="4"/>
    <n v="0"/>
    <n v="0"/>
    <n v="0"/>
    <n v="0"/>
    <n v="0"/>
    <n v="0"/>
    <n v="0"/>
  </r>
  <r>
    <n v="2603"/>
    <n v="141003"/>
    <n v="0"/>
    <n v="0"/>
    <x v="33"/>
    <s v="Divorced"/>
    <s v="PhD"/>
    <s v="8/22/2019"/>
    <s v="California"/>
    <n v="11"/>
    <n v="423"/>
    <n v="457"/>
    <n v="488"/>
    <n v="244"/>
    <n v="151"/>
    <n v="303"/>
    <n v="1462"/>
    <n v="1"/>
    <n v="6"/>
    <n v="2"/>
    <n v="8"/>
    <n v="6"/>
    <n v="0"/>
    <n v="0"/>
    <n v="0"/>
    <n v="0"/>
    <n v="0"/>
    <n v="0"/>
    <n v="0"/>
  </r>
  <r>
    <n v="1534"/>
    <n v="139548"/>
    <n v="1"/>
    <n v="1"/>
    <x v="33"/>
    <s v="Single"/>
    <s v="Graduate"/>
    <s v="9/4/2020"/>
    <s v="Other"/>
    <n v="87"/>
    <n v="53"/>
    <n v="14"/>
    <n v="35"/>
    <n v="11"/>
    <n v="14"/>
    <n v="64"/>
    <n v="64"/>
    <n v="2"/>
    <n v="1"/>
    <n v="1"/>
    <n v="3"/>
    <n v="3"/>
    <n v="0"/>
    <n v="0"/>
    <n v="0"/>
    <n v="0"/>
    <n v="0"/>
    <n v="0"/>
    <n v="0"/>
  </r>
  <r>
    <n v="1030"/>
    <n v="138620"/>
    <n v="0"/>
    <n v="0"/>
    <x v="33"/>
    <s v="Together"/>
    <s v="Master"/>
    <s v="10/16/2019"/>
    <s v="Other"/>
    <n v="56"/>
    <n v="402"/>
    <n v="61"/>
    <n v="158"/>
    <n v="122"/>
    <n v="79"/>
    <n v="319"/>
    <n v="503"/>
    <n v="1"/>
    <n v="2"/>
    <n v="5"/>
    <n v="3"/>
    <n v="3"/>
    <n v="0"/>
    <n v="0"/>
    <n v="0"/>
    <n v="0"/>
    <n v="0"/>
    <n v="0"/>
    <n v="0"/>
  </r>
  <r>
    <n v="1078"/>
    <n v="138620"/>
    <n v="0"/>
    <n v="0"/>
    <x v="33"/>
    <s v="Together"/>
    <s v="Master"/>
    <s v="10/16/2019"/>
    <s v="Other"/>
    <n v="56"/>
    <n v="402"/>
    <n v="61"/>
    <n v="158"/>
    <n v="122"/>
    <n v="79"/>
    <n v="319"/>
    <n v="503"/>
    <n v="1"/>
    <n v="2"/>
    <n v="5"/>
    <n v="3"/>
    <n v="3"/>
    <n v="0"/>
    <n v="0"/>
    <n v="0"/>
    <n v="0"/>
    <n v="0"/>
    <n v="0"/>
    <n v="0"/>
  </r>
  <r>
    <n v="1990"/>
    <n v="136736"/>
    <n v="1"/>
    <n v="1"/>
    <x v="33"/>
    <s v="Single"/>
    <s v="PhD"/>
    <s v="10/15/2019"/>
    <s v="Other"/>
    <n v="52"/>
    <n v="37"/>
    <n v="0"/>
    <n v="11"/>
    <n v="0"/>
    <n v="0"/>
    <n v="15"/>
    <n v="33"/>
    <n v="1"/>
    <n v="1"/>
    <n v="0"/>
    <n v="2"/>
    <n v="6"/>
    <n v="0"/>
    <n v="0"/>
    <n v="0"/>
    <n v="0"/>
    <n v="0"/>
    <n v="0"/>
    <n v="0"/>
  </r>
  <r>
    <n v="2200"/>
    <n v="134377"/>
    <n v="0"/>
    <n v="1"/>
    <x v="33"/>
    <s v="Single"/>
    <s v="Graduate"/>
    <s v="6/26/2019"/>
    <s v="Other"/>
    <n v="55"/>
    <n v="242"/>
    <n v="0"/>
    <n v="86"/>
    <n v="12"/>
    <n v="4"/>
    <n v="102"/>
    <n v="242"/>
    <n v="2"/>
    <n v="2"/>
    <n v="2"/>
    <n v="2"/>
    <n v="7"/>
    <n v="0"/>
    <n v="0"/>
    <n v="0"/>
    <n v="0"/>
    <n v="0"/>
    <n v="0"/>
    <n v="0"/>
  </r>
  <r>
    <n v="2628"/>
    <n v="134213"/>
    <n v="1"/>
    <n v="1"/>
    <x v="33"/>
    <s v="Widow"/>
    <s v="Graduate"/>
    <s v="2/12/2019"/>
    <s v="Florida"/>
    <n v="2"/>
    <n v="196"/>
    <n v="16"/>
    <n v="110"/>
    <n v="24"/>
    <n v="12"/>
    <n v="102"/>
    <n v="255"/>
    <n v="3"/>
    <n v="3"/>
    <n v="1"/>
    <n v="2"/>
    <n v="9"/>
    <n v="0"/>
    <n v="1"/>
    <n v="0"/>
    <n v="0"/>
    <n v="0"/>
    <n v="0"/>
    <n v="0"/>
  </r>
  <r>
    <n v="2198"/>
    <n v="133629"/>
    <n v="1"/>
    <n v="1"/>
    <x v="33"/>
    <s v="Together"/>
    <s v="PhD"/>
    <s v="1/13/2019"/>
    <s v="New York"/>
    <n v="49"/>
    <n v="525"/>
    <n v="0"/>
    <n v="64"/>
    <n v="0"/>
    <n v="0"/>
    <n v="16"/>
    <n v="572"/>
    <n v="5"/>
    <n v="3"/>
    <n v="1"/>
    <n v="4"/>
    <n v="9"/>
    <n v="0"/>
    <n v="0"/>
    <n v="0"/>
    <n v="0"/>
    <n v="0"/>
    <n v="0"/>
    <n v="0"/>
  </r>
  <r>
    <n v="3191"/>
    <n v="133562"/>
    <n v="1"/>
    <n v="2"/>
    <x v="33"/>
    <s v="Married"/>
    <s v="Master"/>
    <s v="11/29/2020"/>
    <s v="California"/>
    <n v="33"/>
    <n v="84"/>
    <n v="48"/>
    <n v="48"/>
    <n v="0"/>
    <n v="12"/>
    <n v="12"/>
    <n v="179"/>
    <n v="3"/>
    <n v="2"/>
    <n v="0"/>
    <n v="4"/>
    <n v="4"/>
    <n v="0"/>
    <n v="0"/>
    <n v="0"/>
    <n v="0"/>
    <n v="0"/>
    <n v="0"/>
    <n v="0"/>
  </r>
  <r>
    <n v="1261"/>
    <n v="133378"/>
    <n v="1"/>
    <n v="1"/>
    <x v="33"/>
    <s v="Divorced"/>
    <s v="Graduate"/>
    <s v="7/14/2019"/>
    <s v="Illinois"/>
    <n v="38"/>
    <n v="132"/>
    <n v="24"/>
    <n v="160"/>
    <n v="12"/>
    <n v="28"/>
    <n v="40"/>
    <n v="316"/>
    <n v="3"/>
    <n v="2"/>
    <n v="0"/>
    <n v="4"/>
    <n v="7"/>
    <n v="0"/>
    <n v="0"/>
    <n v="0"/>
    <n v="0"/>
    <n v="0"/>
    <n v="0"/>
    <n v="0"/>
  </r>
  <r>
    <n v="2951"/>
    <n v="132632"/>
    <n v="0"/>
    <n v="0"/>
    <x v="33"/>
    <s v="Married"/>
    <s v="Graduate"/>
    <s v="1/7/2019"/>
    <s v="California"/>
    <n v="32"/>
    <n v="256"/>
    <n v="614"/>
    <n v="557"/>
    <n v="622"/>
    <n v="77"/>
    <n v="215"/>
    <n v="1910"/>
    <n v="2"/>
    <n v="4"/>
    <n v="4"/>
    <n v="8"/>
    <n v="5"/>
    <n v="0"/>
    <n v="0"/>
    <n v="0"/>
    <n v="0"/>
    <n v="0"/>
    <n v="0"/>
    <n v="0"/>
  </r>
  <r>
    <n v="2523"/>
    <n v="130983"/>
    <n v="0"/>
    <n v="0"/>
    <x v="33"/>
    <s v="Single"/>
    <s v="Graduate"/>
    <s v="4/16/2019"/>
    <s v="Texas"/>
    <n v="50"/>
    <n v="216"/>
    <n v="17"/>
    <n v="211"/>
    <n v="51"/>
    <n v="4"/>
    <n v="207"/>
    <n v="292"/>
    <n v="1"/>
    <n v="4"/>
    <n v="0"/>
    <n v="3"/>
    <n v="8"/>
    <n v="0"/>
    <n v="1"/>
    <n v="0"/>
    <n v="0"/>
    <n v="0"/>
    <n v="0"/>
    <n v="0"/>
  </r>
  <r>
    <n v="2136"/>
    <n v="123091"/>
    <n v="1"/>
    <n v="1"/>
    <x v="33"/>
    <s v="Single"/>
    <s v="PhD"/>
    <s v="11/1/2020"/>
    <s v="Florida"/>
    <n v="98"/>
    <n v="187"/>
    <n v="0"/>
    <n v="59"/>
    <n v="0"/>
    <n v="0"/>
    <n v="11"/>
    <n v="235"/>
    <n v="4"/>
    <n v="2"/>
    <n v="1"/>
    <n v="3"/>
    <n v="7"/>
    <n v="0"/>
    <n v="0"/>
    <n v="0"/>
    <n v="0"/>
    <n v="0"/>
    <n v="0"/>
    <n v="0"/>
  </r>
  <r>
    <n v="1537"/>
    <n v="122419"/>
    <n v="0"/>
    <n v="0"/>
    <x v="33"/>
    <s v="Married"/>
    <s v="Graduate"/>
    <s v="9/23/2019"/>
    <s v="Illinois"/>
    <n v="74"/>
    <n v="164"/>
    <n v="16"/>
    <n v="257"/>
    <n v="104"/>
    <n v="115"/>
    <n v="229"/>
    <n v="426"/>
    <n v="1"/>
    <n v="3"/>
    <n v="2"/>
    <n v="2"/>
    <n v="8"/>
    <n v="0"/>
    <n v="0"/>
    <n v="0"/>
    <n v="0"/>
    <n v="0"/>
    <n v="0"/>
    <n v="0"/>
  </r>
  <r>
    <n v="1804"/>
    <n v="122419"/>
    <n v="0"/>
    <n v="0"/>
    <x v="33"/>
    <s v="Married"/>
    <s v="Graduate"/>
    <s v="9/23/2019"/>
    <s v="Other"/>
    <n v="74"/>
    <n v="164"/>
    <n v="16"/>
    <n v="257"/>
    <n v="104"/>
    <n v="115"/>
    <n v="229"/>
    <n v="426"/>
    <n v="1"/>
    <n v="3"/>
    <n v="2"/>
    <n v="2"/>
    <n v="8"/>
    <n v="0"/>
    <n v="0"/>
    <n v="0"/>
    <n v="0"/>
    <n v="0"/>
    <n v="0"/>
    <n v="0"/>
  </r>
  <r>
    <n v="3176"/>
    <n v="114918"/>
    <n v="0"/>
    <n v="1"/>
    <x v="33"/>
    <s v="Together"/>
    <s v="Basic"/>
    <s v="5/14/2019"/>
    <s v="New York"/>
    <n v="52"/>
    <n v="23"/>
    <n v="23"/>
    <n v="23"/>
    <n v="116"/>
    <n v="31"/>
    <n v="116"/>
    <n v="100"/>
    <n v="1"/>
    <n v="1"/>
    <n v="0"/>
    <n v="3"/>
    <n v="6"/>
    <n v="0"/>
    <n v="0"/>
    <n v="0"/>
    <n v="0"/>
    <n v="0"/>
    <n v="0"/>
    <n v="0"/>
  </r>
  <r>
    <n v="2821"/>
    <n v="104023"/>
    <n v="1"/>
    <n v="1"/>
    <x v="33"/>
    <s v="Married"/>
    <s v="PhD"/>
    <s v="11/27/2020"/>
    <s v="Illinois"/>
    <n v="29"/>
    <n v="129"/>
    <n v="0"/>
    <n v="26"/>
    <n v="26"/>
    <n v="26"/>
    <n v="26"/>
    <n v="181"/>
    <n v="15"/>
    <n v="0"/>
    <n v="0"/>
    <n v="0"/>
    <n v="19"/>
    <n v="0"/>
    <n v="0"/>
    <n v="0"/>
    <n v="0"/>
    <n v="0"/>
    <n v="0"/>
    <n v="0"/>
  </r>
  <r>
    <n v="1132"/>
    <n v="186111"/>
    <n v="0"/>
    <n v="0"/>
    <x v="34"/>
    <s v="Married"/>
    <s v="Graduate"/>
    <s v="9/24/2019"/>
    <s v="Other"/>
    <n v="73"/>
    <n v="862"/>
    <n v="61"/>
    <n v="1634"/>
    <n v="78"/>
    <n v="86"/>
    <n v="272"/>
    <n v="2449"/>
    <n v="1"/>
    <n v="5"/>
    <n v="7"/>
    <n v="10"/>
    <n v="2"/>
    <n v="0"/>
    <n v="0"/>
    <n v="0"/>
    <n v="0"/>
    <n v="0"/>
    <n v="0"/>
    <n v="0"/>
  </r>
  <r>
    <n v="2118"/>
    <n v="185696"/>
    <n v="0"/>
    <n v="0"/>
    <x v="34"/>
    <s v="Divorced"/>
    <s v="PhD"/>
    <s v="10/8/2019"/>
    <s v="Florida"/>
    <n v="88"/>
    <n v="1547"/>
    <n v="165"/>
    <n v="856"/>
    <n v="251"/>
    <n v="0"/>
    <n v="26"/>
    <n v="2793"/>
    <n v="1"/>
    <n v="4"/>
    <n v="6"/>
    <n v="9"/>
    <n v="1"/>
    <n v="0"/>
    <n v="1"/>
    <n v="0"/>
    <n v="0"/>
    <n v="0"/>
    <n v="0"/>
    <n v="0"/>
  </r>
  <r>
    <n v="2329"/>
    <n v="185696"/>
    <n v="0"/>
    <n v="0"/>
    <x v="34"/>
    <s v="Divorced"/>
    <s v="PhD"/>
    <s v="10/8/2019"/>
    <s v="Illinois"/>
    <n v="88"/>
    <n v="1547"/>
    <n v="165"/>
    <n v="856"/>
    <n v="251"/>
    <n v="0"/>
    <n v="26"/>
    <n v="2793"/>
    <n v="1"/>
    <n v="4"/>
    <n v="6"/>
    <n v="9"/>
    <n v="1"/>
    <n v="0"/>
    <n v="1"/>
    <n v="0"/>
    <n v="0"/>
    <n v="0"/>
    <n v="0"/>
    <n v="0"/>
  </r>
  <r>
    <n v="1956"/>
    <n v="183715"/>
    <n v="0"/>
    <n v="0"/>
    <x v="34"/>
    <s v="Married"/>
    <s v="Graduate"/>
    <s v="7/10/2020"/>
    <s v="Florida"/>
    <n v="2"/>
    <n v="698"/>
    <n v="18"/>
    <n v="893"/>
    <n v="329"/>
    <n v="77"/>
    <n v="18"/>
    <n v="1997"/>
    <n v="1"/>
    <n v="2"/>
    <n v="8"/>
    <n v="13"/>
    <n v="0"/>
    <n v="0"/>
    <n v="0"/>
    <n v="0"/>
    <n v="0"/>
    <n v="0"/>
    <n v="0"/>
    <n v="0"/>
  </r>
  <r>
    <n v="2698"/>
    <n v="182571"/>
    <n v="0"/>
    <n v="0"/>
    <x v="34"/>
    <s v="Widow"/>
    <s v="PhD"/>
    <s v="9/6/2020"/>
    <s v="Other"/>
    <n v="28"/>
    <n v="1904"/>
    <n v="69"/>
    <n v="1234"/>
    <n v="137"/>
    <n v="210"/>
    <n v="175"/>
    <n v="3379"/>
    <n v="0"/>
    <n v="6"/>
    <n v="5"/>
    <n v="13"/>
    <n v="2"/>
    <n v="0"/>
    <n v="0"/>
    <n v="0"/>
    <n v="0"/>
    <n v="0"/>
    <n v="0"/>
    <n v="1"/>
  </r>
  <r>
    <n v="2767"/>
    <n v="182122"/>
    <n v="0"/>
    <n v="0"/>
    <x v="34"/>
    <s v="Together"/>
    <s v="Graduate"/>
    <s v="1/20/2020"/>
    <s v="Illinois"/>
    <n v="89"/>
    <n v="1628"/>
    <n v="49"/>
    <n v="776"/>
    <n v="335"/>
    <n v="55"/>
    <n v="222"/>
    <n v="2621"/>
    <n v="1"/>
    <n v="3"/>
    <n v="9"/>
    <n v="13"/>
    <n v="1"/>
    <n v="0"/>
    <n v="0"/>
    <n v="0"/>
    <n v="0"/>
    <n v="0"/>
    <n v="0"/>
    <n v="1"/>
  </r>
  <r>
    <n v="1219"/>
    <n v="181975"/>
    <n v="0"/>
    <n v="1"/>
    <x v="34"/>
    <s v="Divorced"/>
    <s v="Graduate"/>
    <s v="6/12/2019"/>
    <s v="Illinois"/>
    <n v="2"/>
    <n v="2182"/>
    <n v="169"/>
    <n v="408"/>
    <n v="400"/>
    <n v="306"/>
    <n v="60"/>
    <n v="3405"/>
    <n v="1"/>
    <n v="6"/>
    <n v="3"/>
    <n v="4"/>
    <n v="7"/>
    <n v="0"/>
    <n v="0"/>
    <n v="0"/>
    <n v="0"/>
    <n v="0"/>
    <n v="0"/>
    <n v="1"/>
  </r>
  <r>
    <n v="2223"/>
    <n v="176624"/>
    <n v="0"/>
    <n v="1"/>
    <x v="34"/>
    <s v="Single"/>
    <s v="Graduate"/>
    <s v="10/28/2020"/>
    <s v="Texas"/>
    <n v="68"/>
    <n v="947"/>
    <n v="244"/>
    <n v="339"/>
    <n v="124"/>
    <n v="265"/>
    <n v="152"/>
    <n v="1768"/>
    <n v="1"/>
    <n v="5"/>
    <n v="10"/>
    <n v="7"/>
    <n v="1"/>
    <n v="0"/>
    <n v="0"/>
    <n v="0"/>
    <n v="0"/>
    <n v="1"/>
    <n v="0"/>
    <n v="0"/>
  </r>
  <r>
    <n v="2024"/>
    <n v="176081"/>
    <n v="0"/>
    <n v="0"/>
    <x v="34"/>
    <s v="Together"/>
    <s v="Graduate"/>
    <s v="10/27/2020"/>
    <s v="New York"/>
    <n v="85"/>
    <n v="676"/>
    <n v="69"/>
    <n v="960"/>
    <n v="146"/>
    <n v="76"/>
    <n v="463"/>
    <n v="1465"/>
    <n v="1"/>
    <n v="4"/>
    <n v="5"/>
    <n v="4"/>
    <n v="2"/>
    <n v="0"/>
    <n v="0"/>
    <n v="1"/>
    <n v="0"/>
    <n v="0"/>
    <n v="0"/>
    <n v="0"/>
  </r>
  <r>
    <n v="2529"/>
    <n v="176081"/>
    <n v="0"/>
    <n v="0"/>
    <x v="34"/>
    <s v="Together"/>
    <s v="Graduate"/>
    <s v="10/27/2020"/>
    <s v="Texas"/>
    <n v="85"/>
    <n v="676"/>
    <n v="69"/>
    <n v="960"/>
    <n v="146"/>
    <n v="76"/>
    <n v="463"/>
    <n v="1465"/>
    <n v="1"/>
    <n v="4"/>
    <n v="5"/>
    <n v="4"/>
    <n v="2"/>
    <n v="0"/>
    <n v="0"/>
    <n v="1"/>
    <n v="0"/>
    <n v="0"/>
    <n v="0"/>
    <n v="0"/>
  </r>
  <r>
    <n v="1398"/>
    <n v="175072"/>
    <n v="0"/>
    <n v="1"/>
    <x v="34"/>
    <s v="Together"/>
    <s v="Graduate"/>
    <s v="6/30/2019"/>
    <s v="Florida"/>
    <n v="83"/>
    <n v="1360"/>
    <n v="79"/>
    <n v="721"/>
    <n v="0"/>
    <n v="51"/>
    <n v="292"/>
    <n v="1919"/>
    <n v="2"/>
    <n v="5"/>
    <n v="4"/>
    <n v="8"/>
    <n v="3"/>
    <n v="0"/>
    <n v="0"/>
    <n v="0"/>
    <n v="0"/>
    <n v="0"/>
    <n v="0"/>
    <n v="0"/>
  </r>
  <r>
    <n v="2305"/>
    <n v="172828"/>
    <n v="0"/>
    <n v="1"/>
    <x v="34"/>
    <s v="Married"/>
    <s v="Master"/>
    <s v="7/22/2019"/>
    <s v="Illinois"/>
    <n v="17"/>
    <n v="2860"/>
    <n v="0"/>
    <n v="558"/>
    <n v="45"/>
    <n v="33"/>
    <n v="486"/>
    <n v="3009"/>
    <n v="6"/>
    <n v="6"/>
    <n v="3"/>
    <n v="13"/>
    <n v="7"/>
    <n v="0"/>
    <n v="0"/>
    <n v="0"/>
    <n v="0"/>
    <n v="0"/>
    <n v="0"/>
    <n v="0"/>
  </r>
  <r>
    <n v="3087"/>
    <n v="172217"/>
    <n v="0"/>
    <n v="0"/>
    <x v="34"/>
    <s v="Single"/>
    <s v="Master"/>
    <s v="9/15/2019"/>
    <s v="Texas"/>
    <n v="93"/>
    <n v="1946"/>
    <n v="100"/>
    <n v="1073"/>
    <n v="131"/>
    <n v="134"/>
    <n v="367"/>
    <n v="3017"/>
    <n v="1"/>
    <n v="3"/>
    <n v="10"/>
    <n v="8"/>
    <n v="2"/>
    <n v="0"/>
    <n v="0"/>
    <n v="0"/>
    <n v="0"/>
    <n v="0"/>
    <n v="0"/>
    <n v="0"/>
  </r>
  <r>
    <n v="1352"/>
    <n v="172025"/>
    <n v="0"/>
    <n v="0"/>
    <x v="34"/>
    <s v="Together"/>
    <s v="Graduate"/>
    <s v="4/24/2019"/>
    <s v="New York"/>
    <n v="27"/>
    <n v="1990"/>
    <n v="79"/>
    <n v="1311"/>
    <n v="361"/>
    <n v="318"/>
    <n v="556"/>
    <n v="3501"/>
    <n v="1"/>
    <n v="4"/>
    <n v="3"/>
    <n v="8"/>
    <n v="3"/>
    <n v="0"/>
    <n v="0"/>
    <n v="0"/>
    <n v="0"/>
    <n v="0"/>
    <n v="0"/>
    <n v="0"/>
  </r>
  <r>
    <n v="2936"/>
    <n v="171670"/>
    <n v="0"/>
    <n v="0"/>
    <x v="34"/>
    <s v="Widow"/>
    <s v="PhD"/>
    <s v="12/14/2019"/>
    <s v="New York"/>
    <n v="8"/>
    <n v="3502"/>
    <n v="38"/>
    <n v="307"/>
    <n v="0"/>
    <n v="0"/>
    <n v="383"/>
    <n v="3464"/>
    <n v="1"/>
    <n v="5"/>
    <n v="3"/>
    <n v="6"/>
    <n v="6"/>
    <n v="0"/>
    <n v="1"/>
    <n v="0"/>
    <n v="1"/>
    <n v="0"/>
    <n v="1"/>
    <n v="1"/>
  </r>
  <r>
    <n v="2312"/>
    <n v="171434"/>
    <n v="0"/>
    <n v="1"/>
    <x v="34"/>
    <s v="Married"/>
    <s v="Graduate"/>
    <s v="2/23/2020"/>
    <s v="New York"/>
    <n v="4"/>
    <n v="1706"/>
    <n v="86"/>
    <n v="521"/>
    <n v="413"/>
    <n v="230"/>
    <n v="403"/>
    <n v="2553"/>
    <n v="3"/>
    <n v="7"/>
    <n v="4"/>
    <n v="7"/>
    <n v="4"/>
    <n v="0"/>
    <n v="0"/>
    <n v="1"/>
    <n v="0"/>
    <n v="0"/>
    <n v="1"/>
    <n v="0"/>
  </r>
  <r>
    <n v="2335"/>
    <n v="169627"/>
    <n v="0"/>
    <n v="1"/>
    <x v="34"/>
    <s v="Single"/>
    <s v="Graduate"/>
    <s v="8/22/2019"/>
    <s v="Illinois"/>
    <n v="35"/>
    <n v="563"/>
    <n v="392"/>
    <n v="524"/>
    <n v="417"/>
    <n v="73"/>
    <n v="129"/>
    <n v="1839"/>
    <n v="2"/>
    <n v="8"/>
    <n v="2"/>
    <n v="11"/>
    <n v="5"/>
    <n v="0"/>
    <n v="0"/>
    <n v="0"/>
    <n v="0"/>
    <n v="0"/>
    <n v="0"/>
    <n v="0"/>
  </r>
  <r>
    <n v="1550"/>
    <n v="166565"/>
    <n v="0"/>
    <n v="1"/>
    <x v="34"/>
    <s v="Single"/>
    <s v="Graduate"/>
    <s v="5/12/2019"/>
    <s v="New York"/>
    <n v="80"/>
    <n v="1869"/>
    <n v="25"/>
    <n v="403"/>
    <n v="163"/>
    <n v="100"/>
    <n v="105"/>
    <n v="2455"/>
    <n v="4"/>
    <n v="4"/>
    <n v="2"/>
    <n v="9"/>
    <n v="8"/>
    <n v="0"/>
    <n v="0"/>
    <n v="0"/>
    <n v="0"/>
    <n v="0"/>
    <n v="0"/>
    <n v="0"/>
  </r>
  <r>
    <n v="1517"/>
    <n v="165316"/>
    <n v="1"/>
    <n v="1"/>
    <x v="34"/>
    <s v="Married"/>
    <s v="Graduate"/>
    <s v="9/29/2019"/>
    <s v="California"/>
    <n v="65"/>
    <n v="283"/>
    <n v="15"/>
    <n v="233"/>
    <n v="8"/>
    <n v="23"/>
    <n v="96"/>
    <n v="466"/>
    <n v="2"/>
    <n v="3"/>
    <n v="2"/>
    <n v="5"/>
    <n v="4"/>
    <n v="0"/>
    <n v="0"/>
    <n v="0"/>
    <n v="0"/>
    <n v="0"/>
    <n v="0"/>
    <n v="0"/>
  </r>
  <r>
    <n v="1212"/>
    <n v="163887"/>
    <n v="0"/>
    <n v="1"/>
    <x v="34"/>
    <s v="Divorced"/>
    <s v="Graduate"/>
    <s v="2/13/2019"/>
    <s v="Florida"/>
    <n v="38"/>
    <n v="2301"/>
    <n v="59"/>
    <n v="531"/>
    <n v="38"/>
    <n v="28"/>
    <n v="236"/>
    <n v="2722"/>
    <n v="5"/>
    <n v="9"/>
    <n v="6"/>
    <n v="12"/>
    <n v="6"/>
    <n v="0"/>
    <n v="0"/>
    <n v="0"/>
    <n v="0"/>
    <n v="0"/>
    <n v="0"/>
    <n v="0"/>
  </r>
  <r>
    <n v="2795"/>
    <n v="162568"/>
    <n v="0"/>
    <n v="1"/>
    <x v="34"/>
    <s v="Together"/>
    <s v="Graduate"/>
    <s v="9/11/2020"/>
    <s v="California"/>
    <n v="99"/>
    <n v="941"/>
    <n v="44"/>
    <n v="1034"/>
    <n v="208"/>
    <n v="91"/>
    <n v="158"/>
    <n v="2159"/>
    <n v="3"/>
    <n v="5"/>
    <n v="3"/>
    <n v="5"/>
    <n v="4"/>
    <n v="0"/>
    <n v="0"/>
    <n v="1"/>
    <n v="0"/>
    <n v="0"/>
    <n v="0"/>
    <n v="0"/>
  </r>
  <r>
    <n v="1479"/>
    <n v="159432"/>
    <n v="0"/>
    <n v="1"/>
    <x v="34"/>
    <s v="Divorced"/>
    <s v="Master"/>
    <s v="9/18/2019"/>
    <s v="Texas"/>
    <n v="88"/>
    <n v="850"/>
    <n v="67"/>
    <n v="711"/>
    <n v="67"/>
    <n v="51"/>
    <n v="32"/>
    <n v="1714"/>
    <n v="3"/>
    <n v="5"/>
    <n v="3"/>
    <n v="11"/>
    <n v="5"/>
    <n v="0"/>
    <n v="0"/>
    <n v="0"/>
    <n v="0"/>
    <n v="0"/>
    <n v="0"/>
    <n v="0"/>
  </r>
  <r>
    <n v="1653"/>
    <n v="159247"/>
    <n v="0"/>
    <n v="2"/>
    <x v="34"/>
    <s v="Single"/>
    <s v="Master"/>
    <s v="4/14/2020"/>
    <s v="Texas"/>
    <n v="87"/>
    <n v="879"/>
    <n v="24"/>
    <n v="328"/>
    <n v="51"/>
    <n v="38"/>
    <n v="223"/>
    <n v="1097"/>
    <n v="5"/>
    <n v="5"/>
    <n v="2"/>
    <n v="9"/>
    <n v="6"/>
    <n v="0"/>
    <n v="0"/>
    <n v="0"/>
    <n v="0"/>
    <n v="0"/>
    <n v="0"/>
    <n v="0"/>
  </r>
  <r>
    <n v="2958"/>
    <n v="158646"/>
    <n v="0"/>
    <n v="1"/>
    <x v="34"/>
    <s v="Married"/>
    <s v="Master"/>
    <s v="11/15/2019"/>
    <s v="Florida"/>
    <n v="3"/>
    <n v="168"/>
    <n v="3"/>
    <n v="119"/>
    <n v="16"/>
    <n v="14"/>
    <n v="60"/>
    <n v="260"/>
    <n v="1"/>
    <n v="2"/>
    <n v="1"/>
    <n v="4"/>
    <n v="4"/>
    <n v="0"/>
    <n v="0"/>
    <n v="0"/>
    <n v="0"/>
    <n v="0"/>
    <n v="0"/>
    <n v="0"/>
  </r>
  <r>
    <n v="3075"/>
    <n v="158646"/>
    <n v="0"/>
    <n v="1"/>
    <x v="34"/>
    <s v="Married"/>
    <s v="Master"/>
    <s v="11/15/2019"/>
    <s v="Texas"/>
    <n v="3"/>
    <n v="168"/>
    <n v="3"/>
    <n v="119"/>
    <n v="16"/>
    <n v="14"/>
    <n v="60"/>
    <n v="260"/>
    <n v="1"/>
    <n v="2"/>
    <n v="1"/>
    <n v="4"/>
    <n v="4"/>
    <n v="0"/>
    <n v="0"/>
    <n v="0"/>
    <n v="0"/>
    <n v="0"/>
    <n v="0"/>
    <n v="0"/>
  </r>
  <r>
    <n v="3210"/>
    <n v="158424"/>
    <n v="0"/>
    <n v="1"/>
    <x v="34"/>
    <s v="Single"/>
    <s v="Graduate"/>
    <s v="8/8/2019"/>
    <s v="Florida"/>
    <n v="39"/>
    <n v="621"/>
    <n v="19"/>
    <n v="371"/>
    <n v="11"/>
    <n v="0"/>
    <n v="247"/>
    <n v="776"/>
    <n v="5"/>
    <n v="4"/>
    <n v="2"/>
    <n v="8"/>
    <n v="5"/>
    <n v="0"/>
    <n v="0"/>
    <n v="0"/>
    <n v="0"/>
    <n v="0"/>
    <n v="0"/>
    <n v="0"/>
  </r>
  <r>
    <n v="3195"/>
    <n v="157967"/>
    <n v="0"/>
    <n v="1"/>
    <x v="34"/>
    <s v="Single"/>
    <s v="Graduate"/>
    <s v="8/8/2019"/>
    <s v="Texas"/>
    <n v="39"/>
    <n v="624"/>
    <n v="19"/>
    <n v="373"/>
    <n v="11"/>
    <n v="0"/>
    <n v="248"/>
    <n v="779"/>
    <n v="5"/>
    <n v="4"/>
    <n v="2"/>
    <n v="8"/>
    <n v="5"/>
    <n v="0"/>
    <n v="0"/>
    <n v="0"/>
    <n v="0"/>
    <n v="0"/>
    <n v="0"/>
    <n v="0"/>
  </r>
  <r>
    <n v="1620"/>
    <n v="156181"/>
    <n v="0"/>
    <n v="1"/>
    <x v="34"/>
    <s v="Married"/>
    <s v="Graduate"/>
    <s v="6/15/2019"/>
    <s v="Florida"/>
    <n v="6"/>
    <n v="336"/>
    <n v="286"/>
    <n v="192"/>
    <n v="22"/>
    <n v="122"/>
    <n v="133"/>
    <n v="826"/>
    <n v="1"/>
    <n v="4"/>
    <n v="2"/>
    <n v="7"/>
    <n v="4"/>
    <n v="0"/>
    <n v="0"/>
    <n v="0"/>
    <n v="0"/>
    <n v="0"/>
    <n v="0"/>
    <n v="0"/>
  </r>
  <r>
    <n v="1922"/>
    <n v="156067"/>
    <n v="0"/>
    <n v="1"/>
    <x v="34"/>
    <s v="Together"/>
    <s v="PhD"/>
    <s v="12/25/2019"/>
    <s v="New York"/>
    <n v="51"/>
    <n v="1439"/>
    <n v="33"/>
    <n v="150"/>
    <n v="45"/>
    <n v="17"/>
    <n v="334"/>
    <n v="1350"/>
    <n v="2"/>
    <n v="7"/>
    <n v="4"/>
    <n v="7"/>
    <n v="5"/>
    <n v="0"/>
    <n v="0"/>
    <n v="0"/>
    <n v="0"/>
    <n v="0"/>
    <n v="0"/>
    <n v="0"/>
  </r>
  <r>
    <n v="2492"/>
    <n v="155759"/>
    <n v="0"/>
    <n v="1"/>
    <x v="34"/>
    <s v="Married"/>
    <s v="Graduate"/>
    <s v="5/5/2019"/>
    <s v="New York"/>
    <n v="84"/>
    <n v="1886"/>
    <n v="0"/>
    <n v="237"/>
    <n v="28"/>
    <n v="20"/>
    <n v="215"/>
    <n v="1955"/>
    <n v="5"/>
    <n v="10"/>
    <n v="3"/>
    <n v="8"/>
    <n v="8"/>
    <n v="0"/>
    <n v="0"/>
    <n v="0"/>
    <n v="0"/>
    <n v="0"/>
    <n v="0"/>
    <n v="0"/>
  </r>
  <r>
    <n v="2807"/>
    <n v="154693"/>
    <n v="0"/>
    <n v="1"/>
    <x v="34"/>
    <s v="Married"/>
    <s v="PhD"/>
    <s v="7/25/2019"/>
    <s v="California"/>
    <n v="72"/>
    <n v="1940"/>
    <n v="48"/>
    <n v="402"/>
    <n v="65"/>
    <n v="74"/>
    <n v="99"/>
    <n v="2430"/>
    <n v="8"/>
    <n v="6"/>
    <n v="4"/>
    <n v="13"/>
    <n v="6"/>
    <n v="0"/>
    <n v="0"/>
    <n v="0"/>
    <n v="0"/>
    <n v="0"/>
    <n v="0"/>
    <n v="0"/>
  </r>
  <r>
    <n v="1942"/>
    <n v="152597"/>
    <n v="0"/>
    <n v="1"/>
    <x v="34"/>
    <s v="Single"/>
    <s v="PhD"/>
    <s v="10/11/2020"/>
    <s v="Other"/>
    <n v="69"/>
    <n v="1427"/>
    <n v="0"/>
    <n v="107"/>
    <n v="20"/>
    <n v="0"/>
    <n v="122"/>
    <n v="1433"/>
    <n v="3"/>
    <n v="6"/>
    <n v="3"/>
    <n v="8"/>
    <n v="5"/>
    <n v="0"/>
    <n v="0"/>
    <n v="0"/>
    <n v="0"/>
    <n v="0"/>
    <n v="0"/>
    <n v="0"/>
  </r>
  <r>
    <n v="1869"/>
    <n v="151195"/>
    <n v="1"/>
    <n v="1"/>
    <x v="34"/>
    <s v="Together"/>
    <s v="Graduate"/>
    <s v="9/6/2019"/>
    <s v="Texas"/>
    <n v="46"/>
    <n v="679"/>
    <n v="41"/>
    <n v="461"/>
    <n v="242"/>
    <n v="71"/>
    <n v="171"/>
    <n v="1323"/>
    <n v="8"/>
    <n v="9"/>
    <n v="2"/>
    <n v="5"/>
    <n v="8"/>
    <n v="0"/>
    <n v="0"/>
    <n v="0"/>
    <n v="0"/>
    <n v="0"/>
    <n v="0"/>
    <n v="0"/>
  </r>
  <r>
    <n v="1107"/>
    <n v="150785"/>
    <n v="1"/>
    <n v="1"/>
    <x v="34"/>
    <s v="Single"/>
    <s v="Graduate"/>
    <s v="2/15/2020"/>
    <s v="Texas"/>
    <n v="27"/>
    <n v="190"/>
    <n v="3"/>
    <n v="62"/>
    <n v="0"/>
    <n v="3"/>
    <n v="80"/>
    <n v="178"/>
    <n v="2"/>
    <n v="2"/>
    <n v="1"/>
    <n v="3"/>
    <n v="6"/>
    <n v="0"/>
    <n v="0"/>
    <n v="0"/>
    <n v="0"/>
    <n v="0"/>
    <n v="0"/>
    <n v="0"/>
  </r>
  <r>
    <n v="2320"/>
    <n v="150127"/>
    <n v="0"/>
    <n v="1"/>
    <x v="34"/>
    <s v="Together"/>
    <s v="Graduate"/>
    <s v="11/2/2020"/>
    <s v="Other"/>
    <n v="88"/>
    <n v="821"/>
    <n v="0"/>
    <n v="63"/>
    <n v="12"/>
    <n v="18"/>
    <n v="45"/>
    <n v="869"/>
    <n v="1"/>
    <n v="5"/>
    <n v="1"/>
    <n v="6"/>
    <n v="6"/>
    <n v="0"/>
    <n v="0"/>
    <n v="0"/>
    <n v="0"/>
    <n v="0"/>
    <n v="1"/>
    <n v="0"/>
  </r>
  <r>
    <n v="2532"/>
    <n v="147175"/>
    <n v="1"/>
    <n v="1"/>
    <x v="34"/>
    <s v="Together"/>
    <s v="Master"/>
    <s v="4/4/2019"/>
    <s v="Florida"/>
    <n v="81"/>
    <n v="521"/>
    <n v="6"/>
    <n v="137"/>
    <n v="19"/>
    <n v="6"/>
    <n v="59"/>
    <n v="630"/>
    <n v="7"/>
    <n v="4"/>
    <n v="2"/>
    <n v="4"/>
    <n v="8"/>
    <n v="0"/>
    <n v="1"/>
    <n v="0"/>
    <n v="0"/>
    <n v="1"/>
    <n v="0"/>
    <n v="0"/>
  </r>
  <r>
    <n v="1618"/>
    <n v="146102"/>
    <n v="2"/>
    <n v="1"/>
    <x v="34"/>
    <s v="Divorced"/>
    <s v="Graduate"/>
    <s v="8/14/2020"/>
    <s v="Other"/>
    <n v="3"/>
    <n v="44"/>
    <n v="0"/>
    <n v="3"/>
    <n v="0"/>
    <n v="0"/>
    <n v="3"/>
    <n v="44"/>
    <n v="1"/>
    <n v="1"/>
    <n v="0"/>
    <n v="2"/>
    <n v="7"/>
    <n v="0"/>
    <n v="0"/>
    <n v="0"/>
    <n v="0"/>
    <n v="0"/>
    <n v="0"/>
    <n v="0"/>
  </r>
  <r>
    <n v="1776"/>
    <n v="145183"/>
    <n v="0"/>
    <n v="0"/>
    <x v="34"/>
    <s v="Single"/>
    <s v="Master"/>
    <s v="6/27/2019"/>
    <s v="Florida"/>
    <n v="33"/>
    <n v="704"/>
    <n v="10"/>
    <n v="193"/>
    <n v="39"/>
    <n v="29"/>
    <n v="39"/>
    <n v="935"/>
    <n v="1"/>
    <n v="4"/>
    <n v="1"/>
    <n v="7"/>
    <n v="7"/>
    <n v="0"/>
    <n v="0"/>
    <n v="0"/>
    <n v="0"/>
    <n v="0"/>
    <n v="1"/>
    <n v="0"/>
  </r>
  <r>
    <n v="3117"/>
    <n v="142769"/>
    <n v="0"/>
    <n v="1"/>
    <x v="34"/>
    <s v="Married"/>
    <s v="PhD"/>
    <s v="3/18/2020"/>
    <s v="Texas"/>
    <n v="15"/>
    <n v="237"/>
    <n v="0"/>
    <n v="43"/>
    <n v="10"/>
    <n v="3"/>
    <n v="0"/>
    <n v="294"/>
    <n v="2"/>
    <n v="1"/>
    <n v="1"/>
    <n v="4"/>
    <n v="4"/>
    <n v="0"/>
    <n v="0"/>
    <n v="0"/>
    <n v="0"/>
    <n v="0"/>
    <n v="0"/>
    <n v="0"/>
  </r>
  <r>
    <n v="2106"/>
    <n v="139552"/>
    <n v="1"/>
    <n v="1"/>
    <x v="34"/>
    <s v="Divorced"/>
    <s v="Graduate"/>
    <s v="5/25/2019"/>
    <s v="Florida"/>
    <n v="54"/>
    <n v="582"/>
    <n v="11"/>
    <n v="519"/>
    <n v="14"/>
    <n v="85"/>
    <n v="145"/>
    <n v="1066"/>
    <n v="7"/>
    <n v="6"/>
    <n v="2"/>
    <n v="5"/>
    <n v="8"/>
    <n v="0"/>
    <n v="1"/>
    <n v="0"/>
    <n v="0"/>
    <n v="0"/>
    <n v="0"/>
    <n v="0"/>
  </r>
  <r>
    <n v="1808"/>
    <n v="137859"/>
    <n v="1"/>
    <n v="2"/>
    <x v="34"/>
    <s v="Divorced"/>
    <s v="Graduate"/>
    <s v="6/19/2019"/>
    <s v="New York"/>
    <n v="75"/>
    <n v="80"/>
    <n v="4"/>
    <n v="29"/>
    <n v="7"/>
    <n v="4"/>
    <n v="7"/>
    <n v="117"/>
    <n v="2"/>
    <n v="1"/>
    <n v="0"/>
    <n v="3"/>
    <n v="8"/>
    <n v="0"/>
    <n v="0"/>
    <n v="0"/>
    <n v="0"/>
    <n v="0"/>
    <n v="0"/>
    <n v="0"/>
  </r>
  <r>
    <n v="2124"/>
    <n v="133419"/>
    <n v="0"/>
    <n v="1"/>
    <x v="34"/>
    <s v="Single"/>
    <s v="PhD"/>
    <s v="1/22/2020"/>
    <s v="Florida"/>
    <n v="76"/>
    <n v="224"/>
    <n v="0"/>
    <n v="48"/>
    <n v="0"/>
    <n v="0"/>
    <n v="72"/>
    <n v="200"/>
    <n v="2"/>
    <n v="2"/>
    <n v="0"/>
    <n v="4"/>
    <n v="7"/>
    <n v="0"/>
    <n v="0"/>
    <n v="0"/>
    <n v="0"/>
    <n v="0"/>
    <n v="0"/>
    <n v="0"/>
  </r>
  <r>
    <n v="2169"/>
    <n v="131497"/>
    <n v="0"/>
    <n v="1"/>
    <x v="34"/>
    <s v="Together"/>
    <s v="PhD"/>
    <s v="5/13/2019"/>
    <s v="Texas"/>
    <n v="22"/>
    <n v="451"/>
    <n v="4"/>
    <n v="117"/>
    <n v="54"/>
    <n v="4"/>
    <n v="17"/>
    <n v="614"/>
    <n v="2"/>
    <n v="3"/>
    <n v="1"/>
    <n v="4"/>
    <n v="8"/>
    <n v="0"/>
    <n v="0"/>
    <n v="0"/>
    <n v="0"/>
    <n v="0"/>
    <n v="0"/>
    <n v="0"/>
  </r>
  <r>
    <n v="2566"/>
    <n v="131497"/>
    <n v="0"/>
    <n v="1"/>
    <x v="34"/>
    <s v="Together"/>
    <s v="PhD"/>
    <s v="5/13/2019"/>
    <s v="Other"/>
    <n v="22"/>
    <n v="451"/>
    <n v="4"/>
    <n v="117"/>
    <n v="54"/>
    <n v="4"/>
    <n v="17"/>
    <n v="614"/>
    <n v="2"/>
    <n v="3"/>
    <n v="1"/>
    <n v="4"/>
    <n v="8"/>
    <n v="0"/>
    <n v="0"/>
    <n v="0"/>
    <n v="0"/>
    <n v="0"/>
    <n v="0"/>
    <n v="0"/>
  </r>
  <r>
    <n v="2295"/>
    <n v="127238"/>
    <n v="1"/>
    <n v="1"/>
    <x v="34"/>
    <s v="Single"/>
    <s v="PhD"/>
    <s v="9/25/2019"/>
    <s v="Texas"/>
    <n v="39"/>
    <n v="173"/>
    <n v="0"/>
    <n v="79"/>
    <n v="0"/>
    <n v="0"/>
    <n v="14"/>
    <n v="238"/>
    <n v="3"/>
    <n v="3"/>
    <n v="0"/>
    <n v="3"/>
    <n v="9"/>
    <n v="0"/>
    <n v="0"/>
    <n v="0"/>
    <n v="0"/>
    <n v="0"/>
    <n v="0"/>
    <n v="0"/>
  </r>
  <r>
    <n v="2056"/>
    <n v="188347"/>
    <n v="0"/>
    <n v="0"/>
    <x v="35"/>
    <s v="Together"/>
    <s v="Graduate"/>
    <s v="12/8/2019"/>
    <s v="Other"/>
    <n v="32"/>
    <n v="2238"/>
    <n v="379"/>
    <n v="1183"/>
    <n v="164"/>
    <n v="294"/>
    <n v="252"/>
    <n v="4008"/>
    <n v="1"/>
    <n v="4"/>
    <n v="7"/>
    <n v="9"/>
    <n v="1"/>
    <n v="0"/>
    <n v="0"/>
    <n v="1"/>
    <n v="0"/>
    <n v="0"/>
    <n v="0"/>
    <n v="0"/>
  </r>
  <r>
    <n v="1887"/>
    <n v="186429"/>
    <n v="0"/>
    <n v="0"/>
    <x v="35"/>
    <s v="Single"/>
    <s v="Graduate"/>
    <s v="4/27/2020"/>
    <s v="Texas"/>
    <n v="10"/>
    <n v="1001"/>
    <n v="60"/>
    <n v="1883"/>
    <n v="63"/>
    <n v="39"/>
    <n v="80"/>
    <n v="2966"/>
    <n v="0"/>
    <n v="7"/>
    <n v="4"/>
    <n v="7"/>
    <n v="2"/>
    <n v="0"/>
    <n v="1"/>
    <n v="1"/>
    <n v="0"/>
    <n v="0"/>
    <n v="0"/>
    <n v="0"/>
  </r>
  <r>
    <n v="1414"/>
    <n v="184865"/>
    <n v="0"/>
    <n v="0"/>
    <x v="35"/>
    <s v="Single"/>
    <s v="PhD"/>
    <s v="10/14/2019"/>
    <s v="Other"/>
    <n v="1"/>
    <n v="2719"/>
    <n v="35"/>
    <n v="760"/>
    <n v="94"/>
    <n v="35"/>
    <n v="35"/>
    <n v="3607"/>
    <n v="1"/>
    <n v="2"/>
    <n v="4"/>
    <n v="9"/>
    <n v="4"/>
    <n v="0"/>
    <n v="1"/>
    <n v="1"/>
    <n v="1"/>
    <n v="0"/>
    <n v="1"/>
    <n v="1"/>
  </r>
  <r>
    <n v="3078"/>
    <n v="182332"/>
    <n v="0"/>
    <n v="0"/>
    <x v="35"/>
    <s v="Single"/>
    <s v="Graduate"/>
    <s v="2/22/2019"/>
    <s v="Florida"/>
    <n v="89"/>
    <n v="1838"/>
    <n v="131"/>
    <n v="2144"/>
    <n v="113"/>
    <n v="175"/>
    <n v="42"/>
    <n v="4358"/>
    <n v="1"/>
    <n v="5"/>
    <n v="3"/>
    <n v="12"/>
    <n v="2"/>
    <n v="0"/>
    <n v="1"/>
    <n v="0"/>
    <n v="0"/>
    <n v="0"/>
    <n v="0"/>
    <n v="1"/>
  </r>
  <r>
    <n v="2627"/>
    <n v="182014"/>
    <n v="0"/>
    <n v="0"/>
    <x v="35"/>
    <s v="Single"/>
    <s v="Graduate"/>
    <s v="1/25/2019"/>
    <s v="California"/>
    <n v="48"/>
    <n v="2175"/>
    <n v="82"/>
    <n v="588"/>
    <n v="78"/>
    <n v="362"/>
    <n v="69"/>
    <n v="3216"/>
    <n v="1"/>
    <n v="3"/>
    <n v="6"/>
    <n v="12"/>
    <n v="6"/>
    <n v="0"/>
    <n v="1"/>
    <n v="0"/>
    <n v="0"/>
    <n v="0"/>
    <n v="0"/>
    <n v="0"/>
  </r>
  <r>
    <n v="1292"/>
    <n v="180950"/>
    <n v="0"/>
    <n v="0"/>
    <x v="35"/>
    <s v="Married"/>
    <s v="Master"/>
    <s v="9/2/2019"/>
    <s v="New York"/>
    <n v="44"/>
    <n v="1174"/>
    <n v="329"/>
    <n v="250"/>
    <n v="490"/>
    <n v="329"/>
    <n v="141"/>
    <n v="2430"/>
    <n v="1"/>
    <n v="6"/>
    <n v="7"/>
    <n v="9"/>
    <n v="2"/>
    <n v="0"/>
    <n v="0"/>
    <n v="1"/>
    <n v="0"/>
    <n v="0"/>
    <n v="0"/>
    <n v="0"/>
  </r>
  <r>
    <n v="2139"/>
    <n v="179410"/>
    <n v="0"/>
    <n v="0"/>
    <x v="35"/>
    <s v="Married"/>
    <s v="Graduate"/>
    <s v="11/2/2020"/>
    <s v="Texas"/>
    <n v="19"/>
    <n v="1487"/>
    <n v="181"/>
    <n v="1091"/>
    <n v="278"/>
    <n v="29"/>
    <n v="29"/>
    <n v="3036"/>
    <n v="1"/>
    <n v="3"/>
    <n v="2"/>
    <n v="5"/>
    <n v="1"/>
    <n v="0"/>
    <n v="0"/>
    <n v="0"/>
    <n v="0"/>
    <n v="0"/>
    <n v="0"/>
    <n v="0"/>
  </r>
  <r>
    <n v="2517"/>
    <n v="174881"/>
    <n v="1"/>
    <n v="1"/>
    <x v="35"/>
    <s v="Together"/>
    <s v="Master"/>
    <s v="8/13/2019"/>
    <s v="Texas"/>
    <n v="48"/>
    <n v="1179"/>
    <n v="168"/>
    <n v="631"/>
    <n v="84"/>
    <n v="63"/>
    <n v="126"/>
    <n v="1999"/>
    <n v="4"/>
    <n v="9"/>
    <n v="2"/>
    <n v="12"/>
    <n v="5"/>
    <n v="0"/>
    <n v="0"/>
    <n v="0"/>
    <n v="0"/>
    <n v="0"/>
    <n v="0"/>
    <n v="0"/>
  </r>
  <r>
    <n v="2703"/>
    <n v="174881"/>
    <n v="1"/>
    <n v="1"/>
    <x v="35"/>
    <s v="Together"/>
    <s v="Master"/>
    <s v="8/13/2019"/>
    <s v="Texas"/>
    <n v="48"/>
    <n v="1179"/>
    <n v="168"/>
    <n v="631"/>
    <n v="84"/>
    <n v="63"/>
    <n v="126"/>
    <n v="1999"/>
    <n v="4"/>
    <n v="9"/>
    <n v="2"/>
    <n v="12"/>
    <n v="5"/>
    <n v="0"/>
    <n v="0"/>
    <n v="0"/>
    <n v="0"/>
    <n v="0"/>
    <n v="0"/>
    <n v="0"/>
  </r>
  <r>
    <n v="1362"/>
    <n v="166426"/>
    <n v="0"/>
    <n v="1"/>
    <x v="35"/>
    <s v="Together"/>
    <s v="PhD"/>
    <s v="3/8/2020"/>
    <s v="Florida"/>
    <n v="14"/>
    <n v="2613"/>
    <n v="60"/>
    <n v="243"/>
    <n v="80"/>
    <n v="60"/>
    <n v="393"/>
    <n v="2663"/>
    <n v="2"/>
    <n v="3"/>
    <n v="5"/>
    <n v="10"/>
    <n v="6"/>
    <n v="0"/>
    <n v="0"/>
    <n v="0"/>
    <n v="0"/>
    <n v="0"/>
    <n v="0"/>
    <n v="0"/>
  </r>
  <r>
    <n v="1308"/>
    <n v="164325"/>
    <n v="0"/>
    <n v="1"/>
    <x v="35"/>
    <s v="Divorced"/>
    <s v="PhD"/>
    <s v="7/15/2019"/>
    <s v="Florida"/>
    <n v="41"/>
    <n v="1867"/>
    <n v="153"/>
    <n v="902"/>
    <n v="199"/>
    <n v="31"/>
    <n v="186"/>
    <n v="2966"/>
    <n v="5"/>
    <n v="10"/>
    <n v="3"/>
    <n v="5"/>
    <n v="7"/>
    <n v="0"/>
    <n v="0"/>
    <n v="0"/>
    <n v="0"/>
    <n v="0"/>
    <n v="0"/>
    <n v="0"/>
  </r>
  <r>
    <n v="2828"/>
    <n v="164260"/>
    <n v="0"/>
    <n v="0"/>
    <x v="35"/>
    <s v="Together"/>
    <s v="Graduate"/>
    <s v="6/18/2019"/>
    <s v="New York"/>
    <n v="1"/>
    <n v="1378"/>
    <n v="432"/>
    <n v="2086"/>
    <n v="51"/>
    <n v="0"/>
    <n v="77"/>
    <n v="3870"/>
    <n v="1"/>
    <n v="4"/>
    <n v="5"/>
    <n v="4"/>
    <n v="3"/>
    <n v="0"/>
    <n v="1"/>
    <n v="0"/>
    <n v="0"/>
    <n v="0"/>
    <n v="0"/>
    <n v="0"/>
  </r>
  <r>
    <n v="1243"/>
    <n v="163342"/>
    <n v="0"/>
    <n v="1"/>
    <x v="35"/>
    <s v="Together"/>
    <s v="PhD"/>
    <s v="3/23/2019"/>
    <s v="Illinois"/>
    <n v="48"/>
    <n v="2367"/>
    <n v="54"/>
    <n v="304"/>
    <n v="34"/>
    <n v="26"/>
    <n v="54"/>
    <n v="2731"/>
    <n v="3"/>
    <n v="8"/>
    <n v="3"/>
    <n v="5"/>
    <n v="6"/>
    <n v="0"/>
    <n v="0"/>
    <n v="0"/>
    <n v="0"/>
    <n v="0"/>
    <n v="1"/>
    <n v="0"/>
  </r>
  <r>
    <n v="2725"/>
    <n v="163342"/>
    <n v="0"/>
    <n v="1"/>
    <x v="35"/>
    <s v="Together"/>
    <s v="PhD"/>
    <s v="3/23/2019"/>
    <s v="Illinois"/>
    <n v="48"/>
    <n v="2367"/>
    <n v="54"/>
    <n v="304"/>
    <n v="34"/>
    <n v="26"/>
    <n v="54"/>
    <n v="2731"/>
    <n v="3"/>
    <n v="8"/>
    <n v="3"/>
    <n v="5"/>
    <n v="6"/>
    <n v="0"/>
    <n v="1"/>
    <n v="0"/>
    <n v="0"/>
    <n v="0"/>
    <n v="1"/>
    <n v="0"/>
  </r>
  <r>
    <n v="1676"/>
    <n v="161923"/>
    <n v="0"/>
    <n v="2"/>
    <x v="35"/>
    <s v="Married"/>
    <s v="Master"/>
    <s v="12/31/2019"/>
    <s v="New York"/>
    <n v="94"/>
    <n v="241"/>
    <n v="10"/>
    <n v="47"/>
    <n v="8"/>
    <n v="8"/>
    <n v="16"/>
    <n v="298"/>
    <n v="1"/>
    <n v="2"/>
    <n v="1"/>
    <n v="4"/>
    <n v="3"/>
    <n v="0"/>
    <n v="0"/>
    <n v="0"/>
    <n v="0"/>
    <n v="0"/>
    <n v="0"/>
    <n v="0"/>
  </r>
  <r>
    <n v="1571"/>
    <n v="161794"/>
    <n v="0"/>
    <n v="1"/>
    <x v="35"/>
    <s v="Married"/>
    <s v="Master"/>
    <s v="2/19/2020"/>
    <s v="California"/>
    <n v="74"/>
    <n v="691"/>
    <n v="123"/>
    <n v="492"/>
    <n v="141"/>
    <n v="123"/>
    <n v="29"/>
    <n v="1542"/>
    <n v="2"/>
    <n v="4"/>
    <n v="4"/>
    <n v="10"/>
    <n v="2"/>
    <n v="0"/>
    <n v="0"/>
    <n v="0"/>
    <n v="0"/>
    <n v="0"/>
    <n v="0"/>
    <n v="0"/>
  </r>
  <r>
    <n v="2376"/>
    <n v="160544"/>
    <n v="1"/>
    <n v="1"/>
    <x v="35"/>
    <s v="Married"/>
    <s v="Graduate"/>
    <s v="1/30/2019"/>
    <s v="Florida"/>
    <n v="92"/>
    <n v="533"/>
    <n v="5"/>
    <n v="114"/>
    <n v="8"/>
    <n v="13"/>
    <n v="93"/>
    <n v="581"/>
    <n v="4"/>
    <n v="5"/>
    <n v="1"/>
    <n v="5"/>
    <n v="6"/>
    <n v="0"/>
    <n v="0"/>
    <n v="0"/>
    <n v="0"/>
    <n v="0"/>
    <n v="0"/>
    <n v="0"/>
  </r>
  <r>
    <n v="2412"/>
    <n v="160544"/>
    <n v="1"/>
    <n v="1"/>
    <x v="35"/>
    <s v="Married"/>
    <s v="Graduate"/>
    <s v="1/30/2019"/>
    <s v="Florida"/>
    <n v="92"/>
    <n v="533"/>
    <n v="5"/>
    <n v="114"/>
    <n v="8"/>
    <n v="13"/>
    <n v="93"/>
    <n v="581"/>
    <n v="4"/>
    <n v="5"/>
    <n v="1"/>
    <n v="5"/>
    <n v="6"/>
    <n v="0"/>
    <n v="0"/>
    <n v="0"/>
    <n v="0"/>
    <n v="0"/>
    <n v="0"/>
    <n v="0"/>
  </r>
  <r>
    <n v="2180"/>
    <n v="159184"/>
    <n v="0"/>
    <n v="1"/>
    <x v="35"/>
    <s v="Widow"/>
    <s v="Graduate"/>
    <s v="2/14/2019"/>
    <s v="New York"/>
    <n v="6"/>
    <n v="917"/>
    <n v="382"/>
    <n v="304"/>
    <n v="697"/>
    <n v="406"/>
    <n v="178"/>
    <n v="2528"/>
    <n v="3"/>
    <n v="6"/>
    <n v="6"/>
    <n v="12"/>
    <n v="5"/>
    <n v="0"/>
    <n v="0"/>
    <n v="0"/>
    <n v="0"/>
    <n v="0"/>
    <n v="0"/>
    <n v="0"/>
  </r>
  <r>
    <n v="1803"/>
    <n v="157091"/>
    <n v="0"/>
    <n v="0"/>
    <x v="35"/>
    <s v="Single"/>
    <s v="Graduate"/>
    <s v="11/19/2020"/>
    <s v="Texas"/>
    <n v="0"/>
    <n v="1277"/>
    <n v="14"/>
    <n v="176"/>
    <n v="19"/>
    <n v="0"/>
    <n v="102"/>
    <n v="1384"/>
    <n v="1"/>
    <n v="7"/>
    <n v="3"/>
    <n v="7"/>
    <n v="5"/>
    <n v="0"/>
    <n v="1"/>
    <n v="0"/>
    <n v="1"/>
    <n v="0"/>
    <n v="0"/>
    <n v="0"/>
  </r>
  <r>
    <n v="2455"/>
    <n v="157072"/>
    <n v="0"/>
    <n v="1"/>
    <x v="35"/>
    <s v="Married"/>
    <s v="PhD"/>
    <s v="6/30/2020"/>
    <s v="Illinois"/>
    <n v="79"/>
    <n v="2598"/>
    <n v="0"/>
    <n v="165"/>
    <n v="0"/>
    <n v="0"/>
    <n v="83"/>
    <n v="2681"/>
    <n v="2"/>
    <n v="7"/>
    <n v="5"/>
    <n v="13"/>
    <n v="5"/>
    <n v="0"/>
    <n v="0"/>
    <n v="0"/>
    <n v="0"/>
    <n v="1"/>
    <n v="0"/>
    <n v="0"/>
  </r>
  <r>
    <n v="2163"/>
    <n v="154959"/>
    <n v="0"/>
    <n v="1"/>
    <x v="35"/>
    <s v="Divorced"/>
    <s v="PhD"/>
    <s v="6/26/2019"/>
    <s v="Texas"/>
    <n v="55"/>
    <n v="3237"/>
    <n v="0"/>
    <n v="169"/>
    <n v="0"/>
    <n v="0"/>
    <n v="68"/>
    <n v="3338"/>
    <n v="3"/>
    <n v="9"/>
    <n v="5"/>
    <n v="4"/>
    <n v="7"/>
    <n v="0"/>
    <n v="1"/>
    <n v="0"/>
    <n v="0"/>
    <n v="0"/>
    <n v="1"/>
    <n v="0"/>
  </r>
  <r>
    <n v="1603"/>
    <n v="154456"/>
    <n v="0"/>
    <n v="1"/>
    <x v="35"/>
    <s v="Married"/>
    <s v="PhD"/>
    <s v="12/16/2019"/>
    <s v="Illinois"/>
    <n v="23"/>
    <n v="998"/>
    <n v="0"/>
    <n v="77"/>
    <n v="28"/>
    <n v="0"/>
    <n v="43"/>
    <n v="1061"/>
    <n v="3"/>
    <n v="6"/>
    <n v="1"/>
    <n v="7"/>
    <n v="6"/>
    <n v="0"/>
    <n v="0"/>
    <n v="0"/>
    <n v="0"/>
    <n v="0"/>
    <n v="0"/>
    <n v="0"/>
  </r>
  <r>
    <n v="2120"/>
    <n v="149678"/>
    <n v="0"/>
    <n v="1"/>
    <x v="35"/>
    <s v="Married"/>
    <s v="Graduate"/>
    <s v="7/10/2019"/>
    <s v="New York"/>
    <n v="81"/>
    <n v="690"/>
    <n v="15"/>
    <n v="169"/>
    <n v="9"/>
    <n v="6"/>
    <n v="60"/>
    <n v="829"/>
    <n v="2"/>
    <n v="6"/>
    <n v="2"/>
    <n v="4"/>
    <n v="7"/>
    <n v="0"/>
    <n v="0"/>
    <n v="0"/>
    <n v="0"/>
    <n v="0"/>
    <n v="0"/>
    <n v="0"/>
  </r>
  <r>
    <n v="1485"/>
    <n v="148330"/>
    <n v="0"/>
    <n v="1"/>
    <x v="35"/>
    <s v="Together"/>
    <s v="Master"/>
    <s v="4/21/2020"/>
    <s v="Texas"/>
    <n v="2"/>
    <n v="86"/>
    <n v="0"/>
    <n v="12"/>
    <n v="0"/>
    <n v="0"/>
    <n v="0"/>
    <n v="98"/>
    <n v="1"/>
    <n v="1"/>
    <n v="0"/>
    <n v="3"/>
    <n v="5"/>
    <n v="0"/>
    <n v="0"/>
    <n v="0"/>
    <n v="0"/>
    <n v="0"/>
    <n v="0"/>
    <n v="0"/>
  </r>
  <r>
    <n v="1775"/>
    <n v="146524"/>
    <n v="0"/>
    <n v="1"/>
    <x v="35"/>
    <s v="Single"/>
    <s v="Graduate"/>
    <s v="9/10/2019"/>
    <s v="California"/>
    <n v="70"/>
    <n v="98"/>
    <n v="60"/>
    <n v="110"/>
    <n v="82"/>
    <n v="44"/>
    <n v="164"/>
    <n v="230"/>
    <n v="2"/>
    <n v="1"/>
    <n v="1"/>
    <n v="5"/>
    <n v="3"/>
    <n v="0"/>
    <n v="0"/>
    <n v="0"/>
    <n v="0"/>
    <n v="0"/>
    <n v="0"/>
    <n v="0"/>
  </r>
  <r>
    <n v="1679"/>
    <n v="145938"/>
    <n v="0"/>
    <n v="0"/>
    <x v="35"/>
    <s v="Single"/>
    <s v="Graduate"/>
    <s v="4/9/2020"/>
    <s v="California"/>
    <n v="46"/>
    <n v="867"/>
    <n v="35"/>
    <n v="565"/>
    <n v="197"/>
    <n v="264"/>
    <n v="92"/>
    <n v="1836"/>
    <n v="2"/>
    <n v="8"/>
    <n v="4"/>
    <n v="6"/>
    <n v="6"/>
    <n v="0"/>
    <n v="0"/>
    <n v="0"/>
    <n v="0"/>
    <n v="0"/>
    <n v="0"/>
    <n v="0"/>
  </r>
  <r>
    <n v="1500"/>
    <n v="136443"/>
    <n v="1"/>
    <n v="1"/>
    <x v="35"/>
    <s v="Married"/>
    <s v="Graduate"/>
    <s v="7/11/2019"/>
    <s v="Florida"/>
    <n v="9"/>
    <n v="243"/>
    <n v="0"/>
    <n v="172"/>
    <n v="15"/>
    <n v="11"/>
    <n v="75"/>
    <n v="367"/>
    <n v="4"/>
    <n v="3"/>
    <n v="1"/>
    <n v="3"/>
    <n v="8"/>
    <n v="0"/>
    <n v="0"/>
    <n v="0"/>
    <n v="0"/>
    <n v="0"/>
    <n v="0"/>
    <n v="0"/>
  </r>
  <r>
    <n v="2794"/>
    <n v="132583"/>
    <n v="1"/>
    <n v="1"/>
    <x v="35"/>
    <s v="Together"/>
    <s v="PhD"/>
    <s v="11/19/2020"/>
    <s v="Other"/>
    <n v="10"/>
    <n v="20"/>
    <n v="0"/>
    <n v="12"/>
    <n v="0"/>
    <n v="0"/>
    <n v="4"/>
    <n v="28"/>
    <n v="1"/>
    <n v="1"/>
    <n v="0"/>
    <n v="2"/>
    <n v="7"/>
    <n v="0"/>
    <n v="0"/>
    <n v="0"/>
    <n v="0"/>
    <n v="0"/>
    <n v="0"/>
    <n v="0"/>
  </r>
  <r>
    <n v="1584"/>
    <n v="130081"/>
    <n v="0"/>
    <n v="1"/>
    <x v="35"/>
    <s v="Single"/>
    <s v="Graduate"/>
    <s v="7/29/2019"/>
    <s v="Florida"/>
    <n v="27"/>
    <n v="156"/>
    <n v="0"/>
    <n v="9"/>
    <n v="0"/>
    <n v="0"/>
    <n v="17"/>
    <n v="147"/>
    <n v="1"/>
    <n v="1"/>
    <n v="0"/>
    <n v="3"/>
    <n v="7"/>
    <n v="0"/>
    <n v="0"/>
    <n v="0"/>
    <n v="0"/>
    <n v="0"/>
    <n v="0"/>
    <n v="0"/>
  </r>
  <r>
    <n v="1173"/>
    <n v="128249"/>
    <n v="0"/>
    <n v="0"/>
    <x v="35"/>
    <s v="Married"/>
    <s v="Basic"/>
    <s v="11/19/2020"/>
    <s v="Texas"/>
    <n v="80"/>
    <n v="5"/>
    <n v="41"/>
    <n v="32"/>
    <n v="9"/>
    <n v="64"/>
    <n v="45"/>
    <n v="104"/>
    <n v="1"/>
    <n v="2"/>
    <n v="0"/>
    <n v="3"/>
    <n v="6"/>
    <n v="0"/>
    <n v="0"/>
    <n v="0"/>
    <n v="0"/>
    <n v="0"/>
    <n v="0"/>
    <n v="0"/>
  </r>
  <r>
    <n v="2743"/>
    <n v="128249"/>
    <n v="0"/>
    <n v="0"/>
    <x v="35"/>
    <s v="Married"/>
    <s v="Basic"/>
    <s v="11/19/2020"/>
    <s v="Illinois"/>
    <n v="80"/>
    <n v="5"/>
    <n v="41"/>
    <n v="32"/>
    <n v="9"/>
    <n v="64"/>
    <n v="45"/>
    <n v="104"/>
    <n v="1"/>
    <n v="2"/>
    <n v="0"/>
    <n v="3"/>
    <n v="6"/>
    <n v="0"/>
    <n v="0"/>
    <n v="0"/>
    <n v="0"/>
    <n v="0"/>
    <n v="0"/>
    <n v="0"/>
  </r>
  <r>
    <n v="2534"/>
    <n v="127215"/>
    <n v="2"/>
    <n v="1"/>
    <x v="35"/>
    <s v="Divorced"/>
    <s v="Graduate"/>
    <s v="6/30/2019"/>
    <s v="New York"/>
    <n v="50"/>
    <n v="140"/>
    <n v="23"/>
    <n v="103"/>
    <n v="37"/>
    <n v="42"/>
    <n v="131"/>
    <n v="215"/>
    <n v="4"/>
    <n v="2"/>
    <n v="1"/>
    <n v="4"/>
    <n v="6"/>
    <n v="0"/>
    <n v="0"/>
    <n v="0"/>
    <n v="0"/>
    <n v="0"/>
    <n v="0"/>
    <n v="0"/>
  </r>
  <r>
    <n v="2580"/>
    <n v="127116"/>
    <n v="1"/>
    <n v="1"/>
    <x v="35"/>
    <s v="Married"/>
    <s v="Graduate"/>
    <s v="8/6/2020"/>
    <s v="Florida"/>
    <n v="78"/>
    <n v="56"/>
    <n v="5"/>
    <n v="98"/>
    <n v="9"/>
    <n v="9"/>
    <n v="14"/>
    <n v="164"/>
    <n v="2"/>
    <n v="2"/>
    <n v="0"/>
    <n v="3"/>
    <n v="7"/>
    <n v="0"/>
    <n v="0"/>
    <n v="0"/>
    <n v="0"/>
    <n v="0"/>
    <n v="0"/>
    <n v="0"/>
  </r>
  <r>
    <n v="2046"/>
    <n v="116860"/>
    <n v="1"/>
    <n v="1"/>
    <x v="35"/>
    <s v="Married"/>
    <s v="Graduate"/>
    <s v="2/17/2019"/>
    <s v="Florida"/>
    <n v="19"/>
    <n v="69"/>
    <n v="28"/>
    <n v="28"/>
    <n v="21"/>
    <n v="21"/>
    <n v="97"/>
    <n v="69"/>
    <n v="3"/>
    <n v="1"/>
    <n v="1"/>
    <n v="3"/>
    <n v="7"/>
    <n v="0"/>
    <n v="0"/>
    <n v="0"/>
    <n v="0"/>
    <n v="0"/>
    <n v="0"/>
    <n v="0"/>
  </r>
  <r>
    <n v="1633"/>
    <n v="198777"/>
    <n v="0"/>
    <n v="0"/>
    <x v="36"/>
    <s v="Single"/>
    <s v="Master"/>
    <s v="7/24/2020"/>
    <s v="Illinois"/>
    <n v="23"/>
    <n v="2012"/>
    <n v="38"/>
    <n v="1431"/>
    <n v="252"/>
    <n v="231"/>
    <n v="76"/>
    <n v="3888"/>
    <n v="0"/>
    <n v="4"/>
    <n v="6"/>
    <n v="9"/>
    <n v="1"/>
    <n v="0"/>
    <n v="0"/>
    <n v="0"/>
    <n v="0"/>
    <n v="0"/>
    <n v="1"/>
    <n v="0"/>
  </r>
  <r>
    <n v="2094"/>
    <n v="198777"/>
    <n v="0"/>
    <n v="0"/>
    <x v="36"/>
    <s v="Single"/>
    <s v="Master"/>
    <s v="7/24/2020"/>
    <s v="Florida"/>
    <n v="23"/>
    <n v="2012"/>
    <n v="38"/>
    <n v="1431"/>
    <n v="252"/>
    <n v="231"/>
    <n v="76"/>
    <n v="3888"/>
    <n v="0"/>
    <n v="4"/>
    <n v="6"/>
    <n v="9"/>
    <n v="1"/>
    <n v="0"/>
    <n v="0"/>
    <n v="0"/>
    <n v="0"/>
    <n v="0"/>
    <n v="1"/>
    <n v="0"/>
  </r>
  <r>
    <n v="2885"/>
    <n v="192556"/>
    <n v="0"/>
    <n v="0"/>
    <x v="36"/>
    <s v="Together"/>
    <s v="Graduate"/>
    <s v="9/24/2020"/>
    <s v="California"/>
    <n v="32"/>
    <n v="1026"/>
    <n v="381"/>
    <n v="732"/>
    <n v="383"/>
    <n v="48"/>
    <n v="58"/>
    <n v="2511"/>
    <n v="0"/>
    <n v="3"/>
    <n v="5"/>
    <n v="13"/>
    <n v="0"/>
    <n v="0"/>
    <n v="0"/>
    <n v="0"/>
    <n v="0"/>
    <n v="0"/>
    <n v="0"/>
    <n v="0"/>
  </r>
  <r>
    <n v="1101"/>
    <n v="189058"/>
    <n v="0"/>
    <n v="0"/>
    <x v="36"/>
    <s v="Married"/>
    <s v="Master"/>
    <s v="5/14/2019"/>
    <s v="Texas"/>
    <n v="18"/>
    <n v="964"/>
    <n v="412"/>
    <n v="225"/>
    <n v="66"/>
    <n v="47"/>
    <n v="91"/>
    <n v="1622"/>
    <n v="1"/>
    <n v="5"/>
    <n v="4"/>
    <n v="4"/>
    <n v="2"/>
    <n v="0"/>
    <n v="0"/>
    <n v="0"/>
    <n v="0"/>
    <n v="0"/>
    <n v="0"/>
    <n v="0"/>
  </r>
  <r>
    <n v="1697"/>
    <n v="187305"/>
    <n v="0"/>
    <n v="0"/>
    <x v="36"/>
    <s v="Divorced"/>
    <s v="Graduate"/>
    <s v="2/28/2019"/>
    <s v="California"/>
    <n v="19"/>
    <n v="740"/>
    <n v="54"/>
    <n v="1075"/>
    <n v="135"/>
    <n v="296"/>
    <n v="172"/>
    <n v="2128"/>
    <n v="1"/>
    <n v="5"/>
    <n v="3"/>
    <n v="8"/>
    <n v="2"/>
    <n v="0"/>
    <n v="1"/>
    <n v="0"/>
    <n v="0"/>
    <n v="0"/>
    <n v="0"/>
    <n v="1"/>
  </r>
  <r>
    <n v="1468"/>
    <n v="183151"/>
    <n v="0"/>
    <n v="0"/>
    <x v="36"/>
    <s v="Together"/>
    <s v="Master"/>
    <s v="3/17/2019"/>
    <s v="Other"/>
    <n v="93"/>
    <n v="896"/>
    <n v="62"/>
    <n v="220"/>
    <n v="264"/>
    <n v="163"/>
    <n v="40"/>
    <n v="1566"/>
    <n v="1"/>
    <n v="5"/>
    <n v="9"/>
    <n v="4"/>
    <n v="3"/>
    <n v="0"/>
    <n v="0"/>
    <n v="0"/>
    <n v="0"/>
    <n v="0"/>
    <n v="0"/>
    <n v="0"/>
  </r>
  <r>
    <n v="1825"/>
    <n v="182504"/>
    <n v="0"/>
    <n v="0"/>
    <x v="36"/>
    <s v="Married"/>
    <s v="Graduate"/>
    <s v="1/1/2020"/>
    <s v="Illinois"/>
    <n v="2"/>
    <n v="801"/>
    <n v="111"/>
    <n v="953"/>
    <n v="296"/>
    <n v="77"/>
    <n v="119"/>
    <n v="2119"/>
    <n v="1"/>
    <n v="3"/>
    <n v="6"/>
    <n v="7"/>
    <n v="1"/>
    <n v="0"/>
    <n v="0"/>
    <n v="0"/>
    <n v="0"/>
    <n v="0"/>
    <n v="0"/>
    <n v="0"/>
  </r>
  <r>
    <n v="2300"/>
    <n v="181843"/>
    <n v="0"/>
    <n v="0"/>
    <x v="36"/>
    <s v="Married"/>
    <s v="Master"/>
    <s v="9/27/2019"/>
    <s v="New York"/>
    <n v="13"/>
    <n v="1731"/>
    <n v="191"/>
    <n v="1193"/>
    <n v="76"/>
    <n v="153"/>
    <n v="307"/>
    <n v="3037"/>
    <n v="1"/>
    <n v="5"/>
    <n v="9"/>
    <n v="12"/>
    <n v="3"/>
    <n v="0"/>
    <n v="0"/>
    <n v="0"/>
    <n v="0"/>
    <n v="0"/>
    <n v="0"/>
    <n v="0"/>
  </r>
  <r>
    <n v="1350"/>
    <n v="179530"/>
    <n v="0"/>
    <n v="0"/>
    <x v="36"/>
    <s v="Married"/>
    <s v="Graduate"/>
    <s v="10/22/2019"/>
    <s v="Florida"/>
    <n v="64"/>
    <n v="752"/>
    <n v="0"/>
    <n v="1840"/>
    <n v="291"/>
    <n v="95"/>
    <n v="65"/>
    <n v="2912"/>
    <n v="1"/>
    <n v="4"/>
    <n v="10"/>
    <n v="11"/>
    <n v="2"/>
    <n v="0"/>
    <n v="0"/>
    <n v="0"/>
    <n v="0"/>
    <n v="0"/>
    <n v="0"/>
    <n v="0"/>
  </r>
  <r>
    <n v="1680"/>
    <n v="178468"/>
    <n v="0"/>
    <n v="0"/>
    <x v="36"/>
    <s v="Together"/>
    <s v="Graduate"/>
    <s v="9/13/2020"/>
    <s v="Florida"/>
    <n v="29"/>
    <n v="987"/>
    <n v="50"/>
    <n v="882"/>
    <n v="237"/>
    <n v="50"/>
    <n v="77"/>
    <n v="2129"/>
    <n v="1"/>
    <n v="10"/>
    <n v="7"/>
    <n v="10"/>
    <n v="4"/>
    <n v="0"/>
    <n v="0"/>
    <n v="1"/>
    <n v="0"/>
    <n v="0"/>
    <n v="0"/>
    <n v="0"/>
  </r>
  <r>
    <n v="2028"/>
    <n v="177037"/>
    <n v="0"/>
    <n v="1"/>
    <x v="36"/>
    <s v="Married"/>
    <s v="PhD"/>
    <s v="3/19/2020"/>
    <s v="Florida"/>
    <n v="3"/>
    <n v="1064"/>
    <n v="221"/>
    <n v="765"/>
    <n v="386"/>
    <n v="122"/>
    <n v="23"/>
    <n v="2535"/>
    <n v="1"/>
    <n v="7"/>
    <n v="7"/>
    <n v="12"/>
    <n v="3"/>
    <n v="0"/>
    <n v="0"/>
    <n v="0"/>
    <n v="0"/>
    <n v="0"/>
    <n v="0"/>
    <n v="0"/>
  </r>
  <r>
    <n v="2086"/>
    <n v="176045"/>
    <n v="0"/>
    <n v="0"/>
    <x v="36"/>
    <s v="Single"/>
    <s v="PhD"/>
    <s v="4/21/2020"/>
    <s v="Other"/>
    <n v="78"/>
    <n v="1759"/>
    <n v="123"/>
    <n v="926"/>
    <n v="39"/>
    <n v="215"/>
    <n v="0"/>
    <n v="3063"/>
    <n v="1"/>
    <n v="4"/>
    <n v="5"/>
    <n v="11"/>
    <n v="2"/>
    <n v="0"/>
    <n v="0"/>
    <n v="1"/>
    <n v="0"/>
    <n v="0"/>
    <n v="0"/>
    <n v="0"/>
  </r>
  <r>
    <n v="1897"/>
    <n v="173113"/>
    <n v="0"/>
    <n v="0"/>
    <x v="36"/>
    <s v="Together"/>
    <s v="Master"/>
    <s v="6/1/2020"/>
    <s v="Illinois"/>
    <n v="86"/>
    <n v="1754"/>
    <n v="45"/>
    <n v="365"/>
    <n v="118"/>
    <n v="21"/>
    <n v="66"/>
    <n v="2238"/>
    <n v="1"/>
    <n v="3"/>
    <n v="4"/>
    <n v="7"/>
    <n v="2"/>
    <n v="0"/>
    <n v="0"/>
    <n v="0"/>
    <n v="0"/>
    <n v="0"/>
    <n v="0"/>
    <n v="0"/>
  </r>
  <r>
    <n v="1610"/>
    <n v="170971"/>
    <n v="0"/>
    <n v="1"/>
    <x v="36"/>
    <s v="Together"/>
    <s v="Graduate"/>
    <s v="2/26/2019"/>
    <s v="New York"/>
    <n v="28"/>
    <n v="2411"/>
    <n v="41"/>
    <n v="1378"/>
    <n v="224"/>
    <n v="301"/>
    <n v="41"/>
    <n v="4315"/>
    <n v="7"/>
    <n v="11"/>
    <n v="11"/>
    <n v="5"/>
    <n v="7"/>
    <n v="0"/>
    <n v="1"/>
    <n v="0"/>
    <n v="0"/>
    <n v="0"/>
    <n v="0"/>
    <n v="0"/>
  </r>
  <r>
    <n v="3153"/>
    <n v="167716"/>
    <n v="0"/>
    <n v="1"/>
    <x v="36"/>
    <s v="Married"/>
    <s v="Graduate"/>
    <s v="6/17/2019"/>
    <s v="Texas"/>
    <n v="8"/>
    <n v="1313"/>
    <n v="352"/>
    <n v="537"/>
    <n v="154"/>
    <n v="22"/>
    <n v="139"/>
    <n v="2239"/>
    <n v="4"/>
    <n v="7"/>
    <n v="4"/>
    <n v="13"/>
    <n v="5"/>
    <n v="0"/>
    <n v="0"/>
    <n v="0"/>
    <n v="0"/>
    <n v="0"/>
    <n v="1"/>
    <n v="0"/>
  </r>
  <r>
    <n v="2290"/>
    <n v="165695"/>
    <n v="0"/>
    <n v="1"/>
    <x v="36"/>
    <s v="Married"/>
    <s v="PhD"/>
    <s v="7/7/2020"/>
    <s v="Other"/>
    <n v="50"/>
    <n v="936"/>
    <n v="81"/>
    <n v="477"/>
    <n v="0"/>
    <n v="146"/>
    <n v="15"/>
    <n v="1624"/>
    <n v="2"/>
    <n v="5"/>
    <n v="4"/>
    <n v="10"/>
    <n v="4"/>
    <n v="0"/>
    <n v="0"/>
    <n v="0"/>
    <n v="0"/>
    <n v="0"/>
    <n v="0"/>
    <n v="0"/>
  </r>
  <r>
    <n v="1371"/>
    <n v="163381"/>
    <n v="0"/>
    <n v="1"/>
    <x v="36"/>
    <s v="Together"/>
    <s v="Graduate"/>
    <s v="3/12/2019"/>
    <s v="Texas"/>
    <n v="78"/>
    <n v="1472"/>
    <n v="129"/>
    <n v="366"/>
    <n v="85"/>
    <n v="129"/>
    <n v="410"/>
    <n v="1771"/>
    <n v="4"/>
    <n v="4"/>
    <n v="5"/>
    <n v="13"/>
    <n v="2"/>
    <n v="0"/>
    <n v="0"/>
    <n v="0"/>
    <n v="0"/>
    <n v="0"/>
    <n v="0"/>
    <n v="0"/>
  </r>
  <r>
    <n v="1623"/>
    <n v="163381"/>
    <n v="0"/>
    <n v="1"/>
    <x v="36"/>
    <s v="Together"/>
    <s v="Graduate"/>
    <s v="3/12/2019"/>
    <s v="Texas"/>
    <n v="78"/>
    <n v="1472"/>
    <n v="129"/>
    <n v="366"/>
    <n v="85"/>
    <n v="129"/>
    <n v="410"/>
    <n v="1771"/>
    <n v="4"/>
    <n v="4"/>
    <n v="5"/>
    <n v="13"/>
    <n v="2"/>
    <n v="0"/>
    <n v="0"/>
    <n v="0"/>
    <n v="0"/>
    <n v="0"/>
    <n v="0"/>
    <n v="0"/>
  </r>
  <r>
    <n v="1585"/>
    <n v="162807"/>
    <n v="0"/>
    <n v="1"/>
    <x v="36"/>
    <s v="Together"/>
    <s v="Graduate"/>
    <s v="2/5/2019"/>
    <s v="Illinois"/>
    <n v="83"/>
    <n v="1363"/>
    <n v="73"/>
    <n v="350"/>
    <n v="26"/>
    <n v="54"/>
    <n v="257"/>
    <n v="1610"/>
    <n v="3"/>
    <n v="5"/>
    <n v="3"/>
    <n v="12"/>
    <n v="5"/>
    <n v="0"/>
    <n v="0"/>
    <n v="0"/>
    <n v="0"/>
    <n v="0"/>
    <n v="0"/>
    <n v="0"/>
  </r>
  <r>
    <n v="2457"/>
    <n v="162807"/>
    <n v="0"/>
    <n v="1"/>
    <x v="36"/>
    <s v="Together"/>
    <s v="Graduate"/>
    <s v="2/5/2019"/>
    <s v="Texas"/>
    <n v="83"/>
    <n v="1363"/>
    <n v="73"/>
    <n v="350"/>
    <n v="26"/>
    <n v="54"/>
    <n v="257"/>
    <n v="1610"/>
    <n v="3"/>
    <n v="5"/>
    <n v="3"/>
    <n v="12"/>
    <n v="5"/>
    <n v="0"/>
    <n v="0"/>
    <n v="0"/>
    <n v="0"/>
    <n v="0"/>
    <n v="0"/>
    <n v="0"/>
  </r>
  <r>
    <n v="1320"/>
    <n v="162204"/>
    <n v="0"/>
    <n v="2"/>
    <x v="36"/>
    <s v="Divorced"/>
    <s v="Graduate"/>
    <s v="2/17/2019"/>
    <s v="Florida"/>
    <n v="38"/>
    <n v="827"/>
    <n v="120"/>
    <n v="644"/>
    <n v="394"/>
    <n v="120"/>
    <n v="362"/>
    <n v="1742"/>
    <n v="1"/>
    <n v="4"/>
    <n v="5"/>
    <n v="12"/>
    <n v="3"/>
    <n v="0"/>
    <n v="0"/>
    <n v="0"/>
    <n v="0"/>
    <n v="0"/>
    <n v="0"/>
    <n v="0"/>
  </r>
  <r>
    <n v="2173"/>
    <n v="158401"/>
    <n v="0"/>
    <n v="1"/>
    <x v="36"/>
    <s v="Divorced"/>
    <s v="Graduate"/>
    <s v="9/24/2020"/>
    <s v="Illinois"/>
    <n v="55"/>
    <n v="27"/>
    <n v="0"/>
    <n v="30"/>
    <n v="46"/>
    <n v="79"/>
    <n v="79"/>
    <n v="103"/>
    <n v="1"/>
    <n v="1"/>
    <n v="2"/>
    <n v="2"/>
    <n v="4"/>
    <n v="0"/>
    <n v="0"/>
    <n v="0"/>
    <n v="0"/>
    <n v="0"/>
    <n v="0"/>
    <n v="0"/>
  </r>
  <r>
    <n v="2135"/>
    <n v="154197"/>
    <n v="0"/>
    <n v="1"/>
    <x v="36"/>
    <s v="Married"/>
    <s v="Master"/>
    <s v="9/7/2020"/>
    <s v="California"/>
    <n v="16"/>
    <n v="461"/>
    <n v="17"/>
    <n v="105"/>
    <n v="17"/>
    <n v="37"/>
    <n v="37"/>
    <n v="600"/>
    <n v="2"/>
    <n v="1"/>
    <n v="3"/>
    <n v="6"/>
    <n v="1"/>
    <n v="0"/>
    <n v="0"/>
    <n v="0"/>
    <n v="0"/>
    <n v="0"/>
    <n v="0"/>
    <n v="0"/>
  </r>
  <r>
    <n v="3052"/>
    <n v="151651"/>
    <n v="0"/>
    <n v="1"/>
    <x v="36"/>
    <s v="Married"/>
    <s v="Graduate"/>
    <s v="4/14/2019"/>
    <s v="Other"/>
    <n v="32"/>
    <n v="860"/>
    <n v="18"/>
    <n v="68"/>
    <n v="38"/>
    <n v="18"/>
    <n v="270"/>
    <n v="731"/>
    <n v="4"/>
    <n v="6"/>
    <n v="2"/>
    <n v="5"/>
    <n v="8"/>
    <n v="0"/>
    <n v="0"/>
    <n v="0"/>
    <n v="0"/>
    <n v="0"/>
    <n v="0"/>
    <n v="0"/>
  </r>
  <r>
    <n v="1671"/>
    <n v="150611"/>
    <n v="0"/>
    <n v="1"/>
    <x v="36"/>
    <s v="Divorced"/>
    <s v="PhD"/>
    <s v="3/11/2019"/>
    <s v="Texas"/>
    <n v="98"/>
    <n v="1366"/>
    <n v="0"/>
    <n v="71"/>
    <n v="18"/>
    <n v="0"/>
    <n v="12"/>
    <n v="1443"/>
    <n v="6"/>
    <n v="4"/>
    <n v="5"/>
    <n v="7"/>
    <n v="6"/>
    <n v="0"/>
    <n v="1"/>
    <n v="0"/>
    <n v="0"/>
    <n v="0"/>
    <n v="1"/>
    <n v="0"/>
  </r>
  <r>
    <n v="2353"/>
    <n v="150611"/>
    <n v="0"/>
    <n v="1"/>
    <x v="36"/>
    <s v="Divorced"/>
    <s v="PhD"/>
    <s v="3/11/2019"/>
    <s v="Illinois"/>
    <n v="98"/>
    <n v="1366"/>
    <n v="0"/>
    <n v="71"/>
    <n v="18"/>
    <n v="0"/>
    <n v="12"/>
    <n v="1443"/>
    <n v="6"/>
    <n v="4"/>
    <n v="5"/>
    <n v="7"/>
    <n v="6"/>
    <n v="0"/>
    <n v="0"/>
    <n v="0"/>
    <n v="0"/>
    <n v="0"/>
    <n v="1"/>
    <n v="0"/>
  </r>
  <r>
    <n v="2351"/>
    <n v="150523"/>
    <n v="1"/>
    <n v="1"/>
    <x v="36"/>
    <s v="Together"/>
    <s v="Graduate"/>
    <s v="5/31/2020"/>
    <s v="California"/>
    <n v="89"/>
    <n v="152"/>
    <n v="12"/>
    <n v="72"/>
    <n v="12"/>
    <n v="21"/>
    <n v="3"/>
    <n v="265"/>
    <n v="2"/>
    <n v="2"/>
    <n v="0"/>
    <n v="4"/>
    <n v="6"/>
    <n v="0"/>
    <n v="0"/>
    <n v="0"/>
    <n v="0"/>
    <n v="0"/>
    <n v="0"/>
    <n v="0"/>
  </r>
  <r>
    <n v="1513"/>
    <n v="149154"/>
    <n v="1"/>
    <n v="1"/>
    <x v="36"/>
    <s v="Married"/>
    <s v="PhD"/>
    <s v="4/9/2020"/>
    <s v="Illinois"/>
    <n v="69"/>
    <n v="625"/>
    <n v="30"/>
    <n v="203"/>
    <n v="91"/>
    <n v="82"/>
    <n v="215"/>
    <n v="816"/>
    <n v="6"/>
    <n v="4"/>
    <n v="1"/>
    <n v="8"/>
    <n v="6"/>
    <n v="0"/>
    <n v="0"/>
    <n v="0"/>
    <n v="0"/>
    <n v="0"/>
    <n v="0"/>
    <n v="0"/>
  </r>
  <r>
    <n v="2355"/>
    <n v="148904"/>
    <n v="0"/>
    <n v="1"/>
    <x v="36"/>
    <s v="Single"/>
    <s v="Graduate"/>
    <s v="5/9/2019"/>
    <s v="Texas"/>
    <n v="1"/>
    <n v="862"/>
    <n v="30"/>
    <n v="116"/>
    <n v="0"/>
    <n v="40"/>
    <n v="82"/>
    <n v="965"/>
    <n v="4"/>
    <n v="7"/>
    <n v="2"/>
    <n v="4"/>
    <n v="8"/>
    <n v="0"/>
    <n v="0"/>
    <n v="0"/>
    <n v="0"/>
    <n v="0"/>
    <n v="0"/>
    <n v="0"/>
  </r>
  <r>
    <n v="1088"/>
    <n v="147916"/>
    <n v="0"/>
    <n v="1"/>
    <x v="36"/>
    <s v="Widow"/>
    <s v="Graduate"/>
    <s v="4/29/2019"/>
    <s v="New York"/>
    <n v="72"/>
    <n v="1559"/>
    <n v="0"/>
    <n v="80"/>
    <n v="0"/>
    <n v="0"/>
    <n v="232"/>
    <n v="1408"/>
    <n v="5"/>
    <n v="7"/>
    <n v="4"/>
    <n v="6"/>
    <n v="6"/>
    <n v="0"/>
    <n v="0"/>
    <n v="0"/>
    <n v="0"/>
    <n v="0"/>
    <n v="1"/>
    <n v="0"/>
  </r>
  <r>
    <n v="1092"/>
    <n v="147823"/>
    <n v="0"/>
    <n v="1"/>
    <x v="36"/>
    <s v="Single"/>
    <s v="Graduate"/>
    <s v="12/28/2019"/>
    <s v="Florida"/>
    <n v="0"/>
    <n v="164"/>
    <n v="3"/>
    <n v="15"/>
    <n v="6"/>
    <n v="3"/>
    <n v="31"/>
    <n v="161"/>
    <n v="2"/>
    <n v="2"/>
    <n v="0"/>
    <n v="3"/>
    <n v="8"/>
    <n v="0"/>
    <n v="0"/>
    <n v="0"/>
    <n v="0"/>
    <n v="0"/>
    <n v="0"/>
    <n v="0"/>
  </r>
  <r>
    <n v="2156"/>
    <n v="147353"/>
    <n v="0"/>
    <n v="1"/>
    <x v="36"/>
    <s v="Married"/>
    <s v="Master"/>
    <s v="4/19/2020"/>
    <s v="New York"/>
    <n v="93"/>
    <n v="573"/>
    <n v="6"/>
    <n v="59"/>
    <n v="25"/>
    <n v="25"/>
    <n v="12"/>
    <n v="675"/>
    <n v="3"/>
    <n v="2"/>
    <n v="2"/>
    <n v="6"/>
    <n v="5"/>
    <n v="0"/>
    <n v="0"/>
    <n v="0"/>
    <n v="0"/>
    <n v="0"/>
    <n v="0"/>
    <n v="0"/>
  </r>
  <r>
    <n v="1961"/>
    <n v="146779"/>
    <n v="1"/>
    <n v="1"/>
    <x v="36"/>
    <s v="Widow"/>
    <s v="Graduate"/>
    <s v="12/17/2019"/>
    <s v="California"/>
    <n v="55"/>
    <n v="38"/>
    <n v="3"/>
    <n v="9"/>
    <n v="0"/>
    <n v="0"/>
    <n v="22"/>
    <n v="28"/>
    <n v="1"/>
    <n v="0"/>
    <n v="1"/>
    <n v="2"/>
    <n v="4"/>
    <n v="0"/>
    <n v="0"/>
    <n v="0"/>
    <n v="0"/>
    <n v="0"/>
    <n v="0"/>
    <n v="0"/>
  </r>
  <r>
    <n v="2579"/>
    <n v="144512"/>
    <n v="1"/>
    <n v="1"/>
    <x v="36"/>
    <s v="Together"/>
    <s v="Graduate"/>
    <s v="2/4/2020"/>
    <s v="California"/>
    <n v="57"/>
    <n v="75"/>
    <n v="3"/>
    <n v="19"/>
    <n v="0"/>
    <n v="0"/>
    <n v="6"/>
    <n v="91"/>
    <n v="2"/>
    <n v="1"/>
    <n v="0"/>
    <n v="3"/>
    <n v="4"/>
    <n v="0"/>
    <n v="0"/>
    <n v="0"/>
    <n v="0"/>
    <n v="0"/>
    <n v="0"/>
    <n v="0"/>
  </r>
  <r>
    <n v="3115"/>
    <n v="141275"/>
    <n v="1"/>
    <n v="2"/>
    <x v="36"/>
    <s v="Together"/>
    <s v="Master"/>
    <s v="8/28/2020"/>
    <s v="Illinois"/>
    <n v="33"/>
    <n v="82"/>
    <n v="14"/>
    <n v="75"/>
    <n v="0"/>
    <n v="7"/>
    <n v="31"/>
    <n v="147"/>
    <n v="4"/>
    <n v="3"/>
    <n v="1"/>
    <n v="3"/>
    <n v="5"/>
    <n v="0"/>
    <n v="0"/>
    <n v="0"/>
    <n v="0"/>
    <n v="0"/>
    <n v="0"/>
    <n v="0"/>
  </r>
  <r>
    <n v="2621"/>
    <n v="139228"/>
    <n v="0"/>
    <n v="0"/>
    <x v="36"/>
    <s v="Divorced"/>
    <s v="Master"/>
    <s v="10/15/2019"/>
    <s v="California"/>
    <n v="1"/>
    <n v="25"/>
    <n v="4"/>
    <n v="21"/>
    <n v="0"/>
    <n v="11"/>
    <n v="11"/>
    <n v="50"/>
    <n v="1"/>
    <n v="0"/>
    <n v="0"/>
    <n v="3"/>
    <n v="4"/>
    <n v="0"/>
    <n v="0"/>
    <n v="0"/>
    <n v="0"/>
    <n v="0"/>
    <n v="0"/>
    <n v="0"/>
  </r>
  <r>
    <n v="2551"/>
    <n v="138201"/>
    <n v="0"/>
    <n v="1"/>
    <x v="36"/>
    <s v="Together"/>
    <s v="PhD"/>
    <s v="9/3/2019"/>
    <s v="Illinois"/>
    <n v="19"/>
    <n v="843"/>
    <n v="0"/>
    <n v="83"/>
    <n v="0"/>
    <n v="0"/>
    <n v="43"/>
    <n v="883"/>
    <n v="4"/>
    <n v="5"/>
    <n v="1"/>
    <n v="5"/>
    <n v="8"/>
    <n v="0"/>
    <n v="0"/>
    <n v="0"/>
    <n v="0"/>
    <n v="0"/>
    <n v="0"/>
    <n v="0"/>
  </r>
  <r>
    <n v="1616"/>
    <n v="132218"/>
    <n v="0"/>
    <n v="0"/>
    <x v="36"/>
    <s v="Single"/>
    <s v="Graduate"/>
    <s v="7/22/2020"/>
    <s v="New York"/>
    <n v="27"/>
    <n v="41"/>
    <n v="98"/>
    <n v="62"/>
    <n v="53"/>
    <n v="4"/>
    <n v="123"/>
    <n v="135"/>
    <n v="1"/>
    <n v="2"/>
    <n v="1"/>
    <n v="3"/>
    <n v="7"/>
    <n v="0"/>
    <n v="1"/>
    <n v="0"/>
    <n v="0"/>
    <n v="1"/>
    <n v="0"/>
    <n v="0"/>
  </r>
  <r>
    <n v="2244"/>
    <n v="131454"/>
    <n v="1"/>
    <n v="1"/>
    <x v="36"/>
    <s v="Married"/>
    <s v="Graduate"/>
    <s v="12/11/2019"/>
    <s v="Florida"/>
    <n v="40"/>
    <n v="117"/>
    <n v="0"/>
    <n v="46"/>
    <n v="0"/>
    <n v="0"/>
    <n v="38"/>
    <n v="125"/>
    <n v="3"/>
    <n v="2"/>
    <n v="0"/>
    <n v="3"/>
    <n v="8"/>
    <n v="0"/>
    <n v="0"/>
    <n v="0"/>
    <n v="0"/>
    <n v="0"/>
    <n v="0"/>
    <n v="0"/>
  </r>
  <r>
    <n v="1602"/>
    <n v="130522"/>
    <n v="0"/>
    <n v="1"/>
    <x v="36"/>
    <s v="Married"/>
    <s v="Master"/>
    <s v="1/22/2019"/>
    <s v="Florida"/>
    <n v="6"/>
    <n v="765"/>
    <n v="34"/>
    <n v="355"/>
    <n v="81"/>
    <n v="47"/>
    <n v="111"/>
    <n v="1172"/>
    <n v="5"/>
    <n v="1"/>
    <n v="2"/>
    <n v="9"/>
    <n v="2"/>
    <n v="0"/>
    <n v="0"/>
    <n v="0"/>
    <n v="0"/>
    <n v="0"/>
    <n v="0"/>
    <n v="0"/>
  </r>
  <r>
    <n v="1387"/>
    <n v="130507"/>
    <n v="0"/>
    <n v="0"/>
    <x v="36"/>
    <s v="Together"/>
    <s v="Graduate"/>
    <s v="8/16/2019"/>
    <s v="Illinois"/>
    <n v="29"/>
    <n v="278"/>
    <n v="154"/>
    <n v="317"/>
    <n v="163"/>
    <n v="86"/>
    <n v="471"/>
    <n v="526"/>
    <n v="1"/>
    <n v="5"/>
    <n v="1"/>
    <n v="4"/>
    <n v="7"/>
    <n v="0"/>
    <n v="0"/>
    <n v="0"/>
    <n v="0"/>
    <n v="0"/>
    <n v="0"/>
    <n v="0"/>
  </r>
  <r>
    <n v="1080"/>
    <n v="129440"/>
    <n v="1"/>
    <n v="1"/>
    <x v="36"/>
    <s v="Married"/>
    <s v="Graduate"/>
    <s v="1/16/2020"/>
    <s v="Florida"/>
    <n v="95"/>
    <n v="75"/>
    <n v="35"/>
    <n v="62"/>
    <n v="44"/>
    <n v="18"/>
    <n v="13"/>
    <n v="220"/>
    <n v="2"/>
    <n v="1"/>
    <n v="0"/>
    <n v="4"/>
    <n v="7"/>
    <n v="0"/>
    <n v="0"/>
    <n v="0"/>
    <n v="0"/>
    <n v="0"/>
    <n v="0"/>
    <n v="0"/>
  </r>
  <r>
    <n v="1260"/>
    <n v="129315"/>
    <n v="1"/>
    <n v="1"/>
    <x v="36"/>
    <s v="Married"/>
    <s v="Graduate"/>
    <s v="9/10/2020"/>
    <s v="Florida"/>
    <n v="55"/>
    <n v="57"/>
    <n v="9"/>
    <n v="62"/>
    <n v="35"/>
    <n v="31"/>
    <n v="18"/>
    <n v="176"/>
    <n v="4"/>
    <n v="2"/>
    <n v="0"/>
    <n v="4"/>
    <n v="6"/>
    <n v="0"/>
    <n v="0"/>
    <n v="0"/>
    <n v="0"/>
    <n v="0"/>
    <n v="0"/>
    <n v="0"/>
  </r>
  <r>
    <n v="2770"/>
    <n v="128520"/>
    <n v="1"/>
    <n v="1"/>
    <x v="36"/>
    <s v="Married"/>
    <s v="Master"/>
    <s v="11/19/2019"/>
    <s v="Other"/>
    <n v="55"/>
    <n v="50"/>
    <n v="0"/>
    <n v="45"/>
    <n v="0"/>
    <n v="9"/>
    <n v="90"/>
    <n v="14"/>
    <n v="1"/>
    <n v="1"/>
    <n v="1"/>
    <n v="2"/>
    <n v="6"/>
    <n v="0"/>
    <n v="0"/>
    <n v="0"/>
    <n v="0"/>
    <n v="0"/>
    <n v="0"/>
    <n v="0"/>
  </r>
  <r>
    <n v="3050"/>
    <n v="122123"/>
    <n v="0"/>
    <n v="0"/>
    <x v="36"/>
    <s v="Widow"/>
    <s v="Basic"/>
    <s v="8/31/2020"/>
    <s v="New York"/>
    <n v="77"/>
    <n v="17"/>
    <n v="17"/>
    <n v="132"/>
    <n v="188"/>
    <n v="39"/>
    <n v="171"/>
    <n v="221"/>
    <n v="1"/>
    <n v="2"/>
    <n v="1"/>
    <n v="3"/>
    <n v="5"/>
    <n v="0"/>
    <n v="0"/>
    <n v="0"/>
    <n v="0"/>
    <n v="0"/>
    <n v="0"/>
    <n v="0"/>
  </r>
  <r>
    <n v="2505"/>
    <n v="119740"/>
    <n v="0"/>
    <n v="1"/>
    <x v="36"/>
    <s v="Together"/>
    <s v="Graduate"/>
    <s v="8/29/2019"/>
    <s v="Texas"/>
    <n v="65"/>
    <n v="42"/>
    <n v="67"/>
    <n v="18"/>
    <n v="61"/>
    <n v="24"/>
    <n v="121"/>
    <n v="91"/>
    <n v="2"/>
    <n v="1"/>
    <n v="1"/>
    <n v="3"/>
    <n v="5"/>
    <n v="0"/>
    <n v="0"/>
    <n v="0"/>
    <n v="0"/>
    <n v="0"/>
    <n v="0"/>
    <n v="0"/>
  </r>
  <r>
    <n v="1767"/>
    <n v="117144"/>
    <n v="1"/>
    <n v="1"/>
    <x v="36"/>
    <s v="Together"/>
    <s v="Master"/>
    <s v="7/22/2020"/>
    <s v="Texas"/>
    <n v="96"/>
    <n v="123"/>
    <n v="14"/>
    <n v="130"/>
    <n v="0"/>
    <n v="14"/>
    <n v="41"/>
    <n v="239"/>
    <n v="5"/>
    <n v="3"/>
    <n v="0"/>
    <n v="4"/>
    <n v="7"/>
    <n v="0"/>
    <n v="0"/>
    <n v="0"/>
    <n v="0"/>
    <n v="0"/>
    <n v="0"/>
    <n v="0"/>
  </r>
  <r>
    <n v="2572"/>
    <n v="117144"/>
    <n v="1"/>
    <n v="1"/>
    <x v="36"/>
    <s v="Together"/>
    <s v="Master"/>
    <s v="7/22/2020"/>
    <s v="Other"/>
    <n v="96"/>
    <n v="123"/>
    <n v="14"/>
    <n v="130"/>
    <n v="0"/>
    <n v="14"/>
    <n v="41"/>
    <n v="239"/>
    <n v="5"/>
    <n v="3"/>
    <n v="0"/>
    <n v="4"/>
    <n v="7"/>
    <n v="0"/>
    <n v="0"/>
    <n v="0"/>
    <n v="0"/>
    <n v="0"/>
    <n v="0"/>
    <n v="0"/>
  </r>
  <r>
    <n v="2969"/>
    <n v="113672"/>
    <n v="1"/>
    <n v="1"/>
    <x v="36"/>
    <s v="Together"/>
    <s v="Graduate"/>
    <s v="9/22/2019"/>
    <s v="California"/>
    <n v="86"/>
    <n v="50"/>
    <n v="17"/>
    <n v="75"/>
    <n v="17"/>
    <n v="8"/>
    <n v="42"/>
    <n v="125"/>
    <n v="2"/>
    <n v="1"/>
    <n v="0"/>
    <n v="3"/>
    <n v="8"/>
    <n v="0"/>
    <n v="0"/>
    <n v="0"/>
    <n v="0"/>
    <n v="0"/>
    <n v="0"/>
    <n v="0"/>
  </r>
  <r>
    <n v="1497"/>
    <n v="189120"/>
    <n v="0"/>
    <n v="0"/>
    <x v="37"/>
    <s v="Together"/>
    <s v="Master"/>
    <s v="8/21/2020"/>
    <s v="Texas"/>
    <n v="78"/>
    <n v="2479"/>
    <n v="195"/>
    <n v="866"/>
    <n v="153"/>
    <n v="274"/>
    <n v="117"/>
    <n v="3849"/>
    <n v="1"/>
    <n v="5"/>
    <n v="6"/>
    <n v="7"/>
    <n v="1"/>
    <n v="0"/>
    <n v="0"/>
    <n v="0"/>
    <n v="0"/>
    <n v="0"/>
    <n v="0"/>
    <n v="1"/>
  </r>
  <r>
    <n v="1543"/>
    <n v="187771"/>
    <n v="0"/>
    <n v="1"/>
    <x v="37"/>
    <s v="Together"/>
    <s v="Graduate"/>
    <s v="10/27/2019"/>
    <s v="Illinois"/>
    <n v="61"/>
    <n v="3192"/>
    <n v="81"/>
    <n v="614"/>
    <n v="107"/>
    <n v="122"/>
    <n v="71"/>
    <n v="4045"/>
    <n v="1"/>
    <n v="5"/>
    <n v="10"/>
    <n v="4"/>
    <n v="6"/>
    <n v="0"/>
    <n v="1"/>
    <n v="1"/>
    <n v="1"/>
    <n v="0"/>
    <n v="1"/>
    <n v="1"/>
  </r>
  <r>
    <n v="1805"/>
    <n v="187771"/>
    <n v="0"/>
    <n v="1"/>
    <x v="37"/>
    <s v="Together"/>
    <s v="Graduate"/>
    <s v="10/27/2019"/>
    <s v="California"/>
    <n v="61"/>
    <n v="3192"/>
    <n v="81"/>
    <n v="614"/>
    <n v="107"/>
    <n v="122"/>
    <n v="71"/>
    <n v="4045"/>
    <n v="1"/>
    <n v="5"/>
    <n v="10"/>
    <n v="4"/>
    <n v="6"/>
    <n v="0"/>
    <n v="1"/>
    <n v="1"/>
    <n v="1"/>
    <n v="0"/>
    <n v="1"/>
    <n v="1"/>
  </r>
  <r>
    <n v="1096"/>
    <n v="187195"/>
    <n v="0"/>
    <n v="0"/>
    <x v="37"/>
    <s v="Married"/>
    <s v="Graduate"/>
    <s v="10/12/2020"/>
    <s v="Other"/>
    <n v="35"/>
    <n v="466"/>
    <n v="163"/>
    <n v="1481"/>
    <n v="107"/>
    <n v="56"/>
    <n v="82"/>
    <n v="2192"/>
    <n v="1"/>
    <n v="3"/>
    <n v="11"/>
    <n v="5"/>
    <n v="1"/>
    <n v="0"/>
    <n v="1"/>
    <n v="0"/>
    <n v="0"/>
    <n v="0"/>
    <n v="0"/>
    <n v="0"/>
  </r>
  <r>
    <n v="1957"/>
    <n v="182576"/>
    <n v="0"/>
    <n v="0"/>
    <x v="37"/>
    <s v="Together"/>
    <s v="Master"/>
    <s v="1/6/2019"/>
    <s v="Illinois"/>
    <n v="66"/>
    <n v="2666"/>
    <n v="122"/>
    <n v="984"/>
    <n v="371"/>
    <n v="40"/>
    <n v="40"/>
    <n v="4143"/>
    <n v="1"/>
    <n v="2"/>
    <n v="4"/>
    <n v="12"/>
    <n v="1"/>
    <n v="0"/>
    <n v="0"/>
    <n v="0"/>
    <n v="0"/>
    <n v="0"/>
    <n v="0"/>
    <n v="1"/>
  </r>
  <r>
    <n v="2899"/>
    <n v="180982"/>
    <n v="1"/>
    <n v="1"/>
    <x v="37"/>
    <s v="Single"/>
    <s v="Graduate"/>
    <s v="6/15/2019"/>
    <s v="Illinois"/>
    <n v="48"/>
    <n v="1129"/>
    <n v="306"/>
    <n v="896"/>
    <n v="232"/>
    <n v="49"/>
    <n v="49"/>
    <n v="2563"/>
    <n v="3"/>
    <n v="11"/>
    <n v="5"/>
    <n v="11"/>
    <n v="5"/>
    <n v="1"/>
    <n v="0"/>
    <n v="0"/>
    <n v="0"/>
    <n v="0"/>
    <n v="0"/>
    <n v="0"/>
  </r>
  <r>
    <n v="3056"/>
    <n v="179823"/>
    <n v="0"/>
    <n v="1"/>
    <x v="37"/>
    <s v="Married"/>
    <s v="Graduate"/>
    <s v="9/4/2020"/>
    <s v="New York"/>
    <n v="6"/>
    <n v="1881"/>
    <n v="164"/>
    <n v="856"/>
    <n v="257"/>
    <n v="164"/>
    <n v="97"/>
    <n v="3226"/>
    <n v="1"/>
    <n v="6"/>
    <n v="9"/>
    <n v="7"/>
    <n v="2"/>
    <n v="0"/>
    <n v="0"/>
    <n v="0"/>
    <n v="0"/>
    <n v="0"/>
    <n v="1"/>
    <n v="0"/>
  </r>
  <r>
    <n v="1806"/>
    <n v="178353"/>
    <n v="0"/>
    <n v="1"/>
    <x v="37"/>
    <s v="Divorced"/>
    <s v="Graduate"/>
    <s v="9/21/2019"/>
    <s v="Florida"/>
    <n v="51"/>
    <n v="1712"/>
    <n v="278"/>
    <n v="1084"/>
    <n v="89"/>
    <n v="348"/>
    <n v="77"/>
    <n v="3433"/>
    <n v="1"/>
    <n v="10"/>
    <n v="2"/>
    <n v="11"/>
    <n v="8"/>
    <n v="0"/>
    <n v="0"/>
    <n v="0"/>
    <n v="0"/>
    <n v="0"/>
    <n v="0"/>
    <n v="0"/>
  </r>
  <r>
    <n v="2686"/>
    <n v="177520"/>
    <n v="0"/>
    <n v="1"/>
    <x v="37"/>
    <s v="Married"/>
    <s v="Master"/>
    <s v="2/2/2020"/>
    <s v="Other"/>
    <n v="30"/>
    <n v="2153"/>
    <n v="101"/>
    <n v="907"/>
    <n v="0"/>
    <n v="202"/>
    <n v="133"/>
    <n v="3229"/>
    <n v="1"/>
    <n v="8"/>
    <n v="7"/>
    <n v="7"/>
    <n v="4"/>
    <n v="0"/>
    <n v="1"/>
    <n v="1"/>
    <n v="0"/>
    <n v="1"/>
    <n v="0"/>
    <n v="1"/>
  </r>
  <r>
    <n v="3027"/>
    <n v="176320"/>
    <n v="0"/>
    <n v="1"/>
    <x v="37"/>
    <s v="Widow"/>
    <s v="Graduate"/>
    <s v="11/26/2020"/>
    <s v="Texas"/>
    <n v="49"/>
    <n v="1215"/>
    <n v="81"/>
    <n v="494"/>
    <n v="159"/>
    <n v="122"/>
    <n v="81"/>
    <n v="1991"/>
    <n v="2"/>
    <n v="6"/>
    <n v="3"/>
    <n v="4"/>
    <n v="2"/>
    <n v="0"/>
    <n v="0"/>
    <n v="0"/>
    <n v="0"/>
    <n v="0"/>
    <n v="0"/>
    <n v="0"/>
  </r>
  <r>
    <n v="2206"/>
    <n v="175032"/>
    <n v="0"/>
    <n v="1"/>
    <x v="37"/>
    <s v="Married"/>
    <s v="PhD"/>
    <s v="10/3/2019"/>
    <s v="Other"/>
    <n v="74"/>
    <n v="2221"/>
    <n v="28"/>
    <n v="420"/>
    <n v="110"/>
    <n v="28"/>
    <n v="28"/>
    <n v="2778"/>
    <n v="2"/>
    <n v="5"/>
    <n v="4"/>
    <n v="9"/>
    <n v="3"/>
    <n v="0"/>
    <n v="0"/>
    <n v="0"/>
    <n v="0"/>
    <n v="0"/>
    <n v="0"/>
    <n v="0"/>
  </r>
  <r>
    <n v="2474"/>
    <n v="171706"/>
    <n v="0"/>
    <n v="1"/>
    <x v="37"/>
    <s v="Together"/>
    <s v="Graduate"/>
    <s v="4/20/2019"/>
    <s v="New York"/>
    <n v="16"/>
    <n v="2229"/>
    <n v="134"/>
    <n v="606"/>
    <n v="218"/>
    <n v="235"/>
    <n v="34"/>
    <n v="3388"/>
    <n v="4"/>
    <n v="9"/>
    <n v="5"/>
    <n v="7"/>
    <n v="5"/>
    <n v="0"/>
    <n v="0"/>
    <n v="0"/>
    <n v="0"/>
    <n v="0"/>
    <n v="0"/>
    <n v="0"/>
  </r>
  <r>
    <n v="1502"/>
    <n v="171367"/>
    <n v="0"/>
    <n v="0"/>
    <x v="37"/>
    <s v="Together"/>
    <s v="Graduate"/>
    <s v="1/28/2020"/>
    <s v="New York"/>
    <n v="24"/>
    <n v="545"/>
    <n v="55"/>
    <n v="934"/>
    <n v="101"/>
    <n v="50"/>
    <n v="180"/>
    <n v="1506"/>
    <n v="1"/>
    <n v="4"/>
    <n v="5"/>
    <n v="7"/>
    <n v="2"/>
    <n v="0"/>
    <n v="0"/>
    <n v="0"/>
    <n v="0"/>
    <n v="0"/>
    <n v="0"/>
    <n v="0"/>
  </r>
  <r>
    <n v="2073"/>
    <n v="171367"/>
    <n v="0"/>
    <n v="0"/>
    <x v="37"/>
    <s v="Together"/>
    <s v="Graduate"/>
    <s v="1/28/2020"/>
    <s v="Texas"/>
    <n v="24"/>
    <n v="545"/>
    <n v="55"/>
    <n v="934"/>
    <n v="101"/>
    <n v="50"/>
    <n v="180"/>
    <n v="1506"/>
    <n v="1"/>
    <n v="4"/>
    <n v="5"/>
    <n v="7"/>
    <n v="2"/>
    <n v="0"/>
    <n v="0"/>
    <n v="0"/>
    <n v="0"/>
    <n v="0"/>
    <n v="0"/>
    <n v="0"/>
  </r>
  <r>
    <n v="2758"/>
    <n v="171232"/>
    <n v="0"/>
    <n v="1"/>
    <x v="37"/>
    <s v="Together"/>
    <s v="Graduate"/>
    <s v="5/4/2020"/>
    <s v="Other"/>
    <n v="91"/>
    <n v="1570"/>
    <n v="41"/>
    <n v="409"/>
    <n v="82"/>
    <n v="63"/>
    <n v="41"/>
    <n v="2123"/>
    <n v="2"/>
    <n v="11"/>
    <n v="2"/>
    <n v="10"/>
    <n v="7"/>
    <n v="0"/>
    <n v="0"/>
    <n v="0"/>
    <n v="0"/>
    <n v="0"/>
    <n v="0"/>
    <n v="0"/>
  </r>
  <r>
    <n v="2983"/>
    <n v="168805"/>
    <n v="0"/>
    <n v="1"/>
    <x v="37"/>
    <s v="Divorced"/>
    <s v="PhD"/>
    <s v="2/22/2020"/>
    <s v="Illinois"/>
    <n v="73"/>
    <n v="447"/>
    <n v="5"/>
    <n v="120"/>
    <n v="42"/>
    <n v="32"/>
    <n v="49"/>
    <n v="596"/>
    <n v="1"/>
    <n v="3"/>
    <n v="1"/>
    <n v="7"/>
    <n v="2"/>
    <n v="0"/>
    <n v="0"/>
    <n v="0"/>
    <n v="0"/>
    <n v="0"/>
    <n v="0"/>
    <n v="0"/>
  </r>
  <r>
    <n v="2513"/>
    <n v="167786"/>
    <n v="0"/>
    <n v="0"/>
    <x v="37"/>
    <s v="Widow"/>
    <s v="PhD"/>
    <s v="5/13/2020"/>
    <s v="California"/>
    <n v="0"/>
    <n v="1067"/>
    <n v="203"/>
    <n v="1092"/>
    <n v="198"/>
    <n v="50"/>
    <n v="252"/>
    <n v="2356"/>
    <n v="1"/>
    <n v="3"/>
    <n v="6"/>
    <n v="6"/>
    <n v="1"/>
    <n v="0"/>
    <n v="1"/>
    <n v="0"/>
    <n v="0"/>
    <n v="0"/>
    <n v="0"/>
    <n v="0"/>
  </r>
  <r>
    <n v="2471"/>
    <n v="165492"/>
    <n v="0"/>
    <n v="0"/>
    <x v="37"/>
    <s v="Married"/>
    <s v="Graduate"/>
    <s v="7/2/2020"/>
    <s v="California"/>
    <n v="73"/>
    <n v="624"/>
    <n v="407"/>
    <n v="745"/>
    <n v="531"/>
    <n v="215"/>
    <n v="119"/>
    <n v="2403"/>
    <n v="2"/>
    <n v="4"/>
    <n v="7"/>
    <n v="13"/>
    <n v="2"/>
    <n v="0"/>
    <n v="0"/>
    <n v="0"/>
    <n v="0"/>
    <n v="0"/>
    <n v="0"/>
    <n v="0"/>
  </r>
  <r>
    <n v="1067"/>
    <n v="165031"/>
    <n v="0"/>
    <n v="1"/>
    <x v="37"/>
    <s v="Married"/>
    <s v="Graduate"/>
    <s v="8/22/2019"/>
    <s v="California"/>
    <n v="29"/>
    <n v="655"/>
    <n v="272"/>
    <n v="738"/>
    <n v="213"/>
    <n v="94"/>
    <n v="218"/>
    <n v="1754"/>
    <n v="4"/>
    <n v="10"/>
    <n v="3"/>
    <n v="13"/>
    <n v="7"/>
    <n v="0"/>
    <n v="0"/>
    <n v="0"/>
    <n v="0"/>
    <n v="0"/>
    <n v="0"/>
    <n v="0"/>
  </r>
  <r>
    <n v="1012"/>
    <n v="163033"/>
    <n v="0"/>
    <n v="0"/>
    <x v="37"/>
    <s v="Divorced"/>
    <s v="Graduate"/>
    <s v="4/21/2020"/>
    <s v="Other"/>
    <n v="82"/>
    <n v="502"/>
    <n v="158"/>
    <n v="1242"/>
    <n v="582"/>
    <n v="290"/>
    <n v="78"/>
    <n v="2695"/>
    <n v="1"/>
    <n v="3"/>
    <n v="4"/>
    <n v="8"/>
    <n v="2"/>
    <n v="0"/>
    <n v="0"/>
    <n v="0"/>
    <n v="0"/>
    <n v="0"/>
    <n v="0"/>
    <n v="0"/>
  </r>
  <r>
    <n v="1625"/>
    <n v="162859"/>
    <n v="0"/>
    <n v="1"/>
    <x v="37"/>
    <s v="Divorced"/>
    <s v="PhD"/>
    <s v="6/6/2019"/>
    <s v="California"/>
    <n v="37"/>
    <n v="2754"/>
    <n v="231"/>
    <n v="264"/>
    <n v="41"/>
    <n v="31"/>
    <n v="65"/>
    <n v="3257"/>
    <n v="4"/>
    <n v="9"/>
    <n v="4"/>
    <n v="6"/>
    <n v="6"/>
    <n v="0"/>
    <n v="0"/>
    <n v="0"/>
    <n v="0"/>
    <n v="0"/>
    <n v="0"/>
    <n v="0"/>
  </r>
  <r>
    <n v="1852"/>
    <n v="162450"/>
    <n v="0"/>
    <n v="1"/>
    <x v="37"/>
    <s v="Single"/>
    <s v="Graduate"/>
    <s v="6/12/2020"/>
    <s v="Other"/>
    <n v="61"/>
    <n v="1340"/>
    <n v="122"/>
    <n v="695"/>
    <n v="161"/>
    <n v="172"/>
    <n v="99"/>
    <n v="2391"/>
    <n v="2"/>
    <n v="5"/>
    <n v="5"/>
    <n v="4"/>
    <n v="3"/>
    <n v="0"/>
    <n v="0"/>
    <n v="0"/>
    <n v="0"/>
    <n v="0"/>
    <n v="1"/>
    <n v="0"/>
  </r>
  <r>
    <n v="1493"/>
    <n v="161250"/>
    <n v="0"/>
    <n v="1"/>
    <x v="37"/>
    <s v="Divorced"/>
    <s v="Graduate"/>
    <s v="5/23/2019"/>
    <s v="California"/>
    <n v="49"/>
    <n v="1006"/>
    <n v="363"/>
    <n v="171"/>
    <n v="158"/>
    <n v="68"/>
    <n v="155"/>
    <n v="1611"/>
    <n v="6"/>
    <n v="5"/>
    <n v="2"/>
    <n v="12"/>
    <n v="5"/>
    <n v="0"/>
    <n v="0"/>
    <n v="0"/>
    <n v="0"/>
    <n v="0"/>
    <n v="0"/>
    <n v="0"/>
  </r>
  <r>
    <n v="2021"/>
    <n v="161180"/>
    <n v="0"/>
    <n v="1"/>
    <x v="37"/>
    <s v="Married"/>
    <s v="Graduate"/>
    <s v="9/27/2020"/>
    <s v="California"/>
    <n v="70"/>
    <n v="1062"/>
    <n v="63"/>
    <n v="76"/>
    <n v="16"/>
    <n v="63"/>
    <n v="574"/>
    <n v="706"/>
    <n v="2"/>
    <n v="5"/>
    <n v="5"/>
    <n v="6"/>
    <n v="3"/>
    <n v="0"/>
    <n v="0"/>
    <n v="0"/>
    <n v="0"/>
    <n v="1"/>
    <n v="0"/>
    <n v="0"/>
  </r>
  <r>
    <n v="1954"/>
    <n v="159052"/>
    <n v="0"/>
    <n v="1"/>
    <x v="37"/>
    <s v="Divorced"/>
    <s v="Graduate"/>
    <s v="4/23/2020"/>
    <s v="Other"/>
    <n v="29"/>
    <n v="619"/>
    <n v="94"/>
    <n v="202"/>
    <n v="170"/>
    <n v="154"/>
    <n v="83"/>
    <n v="1155"/>
    <n v="3"/>
    <n v="7"/>
    <n v="1"/>
    <n v="7"/>
    <n v="5"/>
    <n v="0"/>
    <n v="0"/>
    <n v="0"/>
    <n v="0"/>
    <n v="0"/>
    <n v="0"/>
    <n v="0"/>
  </r>
  <r>
    <n v="2182"/>
    <n v="158113"/>
    <n v="0"/>
    <n v="1"/>
    <x v="37"/>
    <s v="Married"/>
    <s v="Graduate"/>
    <s v="7/2/2019"/>
    <s v="Other"/>
    <n v="66"/>
    <n v="601"/>
    <n v="283"/>
    <n v="460"/>
    <n v="278"/>
    <n v="212"/>
    <n v="229"/>
    <n v="1605"/>
    <n v="3"/>
    <n v="9"/>
    <n v="2"/>
    <n v="8"/>
    <n v="7"/>
    <n v="1"/>
    <n v="0"/>
    <n v="0"/>
    <n v="0"/>
    <n v="0"/>
    <n v="0"/>
    <n v="0"/>
  </r>
  <r>
    <n v="2437"/>
    <n v="157957"/>
    <n v="0"/>
    <n v="1"/>
    <x v="37"/>
    <s v="Together"/>
    <s v="Graduate"/>
    <s v="1/24/2020"/>
    <s v="Illinois"/>
    <n v="24"/>
    <n v="790"/>
    <n v="161"/>
    <n v="482"/>
    <n v="210"/>
    <n v="14"/>
    <n v="79"/>
    <n v="1578"/>
    <n v="7"/>
    <n v="4"/>
    <n v="6"/>
    <n v="8"/>
    <n v="3"/>
    <n v="1"/>
    <n v="0"/>
    <n v="0"/>
    <n v="0"/>
    <n v="0"/>
    <n v="0"/>
    <n v="0"/>
  </r>
  <r>
    <n v="2713"/>
    <n v="154984"/>
    <n v="0"/>
    <n v="1"/>
    <x v="37"/>
    <s v="Married"/>
    <s v="Graduate"/>
    <s v="10/28/2020"/>
    <s v="Illinois"/>
    <n v="51"/>
    <n v="488"/>
    <n v="37"/>
    <n v="369"/>
    <n v="90"/>
    <n v="8"/>
    <n v="17"/>
    <n v="975"/>
    <n v="4"/>
    <n v="6"/>
    <n v="1"/>
    <n v="6"/>
    <n v="7"/>
    <n v="0"/>
    <n v="0"/>
    <n v="1"/>
    <n v="0"/>
    <n v="0"/>
    <n v="0"/>
    <n v="0"/>
  </r>
  <r>
    <n v="1946"/>
    <n v="154753"/>
    <n v="0"/>
    <n v="1"/>
    <x v="37"/>
    <s v="Together"/>
    <s v="Graduate"/>
    <s v="2/17/2020"/>
    <s v="New York"/>
    <n v="87"/>
    <n v="557"/>
    <n v="302"/>
    <n v="642"/>
    <n v="20"/>
    <n v="167"/>
    <n v="370"/>
    <n v="1317"/>
    <n v="3"/>
    <n v="5"/>
    <n v="2"/>
    <n v="11"/>
    <n v="4"/>
    <n v="0"/>
    <n v="0"/>
    <n v="0"/>
    <n v="0"/>
    <n v="0"/>
    <n v="0"/>
    <n v="0"/>
  </r>
  <r>
    <n v="1162"/>
    <n v="153537"/>
    <n v="1"/>
    <n v="1"/>
    <x v="37"/>
    <s v="Together"/>
    <s v="PhD"/>
    <s v="7/6/2020"/>
    <s v="Other"/>
    <n v="17"/>
    <n v="232"/>
    <n v="0"/>
    <n v="17"/>
    <n v="0"/>
    <n v="0"/>
    <n v="17"/>
    <n v="232"/>
    <n v="2"/>
    <n v="2"/>
    <n v="1"/>
    <n v="3"/>
    <n v="5"/>
    <n v="0"/>
    <n v="0"/>
    <n v="0"/>
    <n v="0"/>
    <n v="0"/>
    <n v="0"/>
    <n v="0"/>
  </r>
  <r>
    <n v="3021"/>
    <n v="153154"/>
    <n v="0"/>
    <n v="1"/>
    <x v="37"/>
    <s v="Married"/>
    <s v="Graduate"/>
    <s v="11/13/2020"/>
    <s v="Texas"/>
    <n v="50"/>
    <n v="372"/>
    <n v="0"/>
    <n v="61"/>
    <n v="0"/>
    <n v="3"/>
    <n v="20"/>
    <n v="415"/>
    <n v="1"/>
    <n v="3"/>
    <n v="1"/>
    <n v="4"/>
    <n v="4"/>
    <n v="0"/>
    <n v="0"/>
    <n v="0"/>
    <n v="0"/>
    <n v="0"/>
    <n v="0"/>
    <n v="0"/>
  </r>
  <r>
    <n v="2608"/>
    <n v="152854"/>
    <n v="1"/>
    <n v="1"/>
    <x v="37"/>
    <s v="Married"/>
    <s v="PhD"/>
    <s v="8/28/2020"/>
    <s v="Other"/>
    <n v="43"/>
    <n v="304"/>
    <n v="0"/>
    <n v="29"/>
    <n v="0"/>
    <n v="3"/>
    <n v="0"/>
    <n v="335"/>
    <n v="2"/>
    <n v="2"/>
    <n v="1"/>
    <n v="4"/>
    <n v="5"/>
    <n v="0"/>
    <n v="0"/>
    <n v="0"/>
    <n v="0"/>
    <n v="0"/>
    <n v="0"/>
    <n v="0"/>
  </r>
  <r>
    <n v="1156"/>
    <n v="152332"/>
    <n v="0"/>
    <n v="0"/>
    <x v="37"/>
    <s v="Divorced"/>
    <s v="Graduate"/>
    <s v="2/2/2020"/>
    <s v="Other"/>
    <n v="63"/>
    <n v="617"/>
    <n v="15"/>
    <n v="96"/>
    <n v="20"/>
    <n v="0"/>
    <n v="6"/>
    <n v="742"/>
    <n v="1"/>
    <n v="3"/>
    <n v="2"/>
    <n v="6"/>
    <n v="4"/>
    <n v="0"/>
    <n v="0"/>
    <n v="0"/>
    <n v="0"/>
    <n v="0"/>
    <n v="1"/>
    <n v="0"/>
  </r>
  <r>
    <n v="2599"/>
    <n v="150664"/>
    <n v="1"/>
    <n v="1"/>
    <x v="37"/>
    <s v="Single"/>
    <s v="Graduate"/>
    <s v="6/23/2019"/>
    <s v="Illinois"/>
    <n v="64"/>
    <n v="931"/>
    <n v="24"/>
    <n v="309"/>
    <n v="18"/>
    <n v="12"/>
    <n v="375"/>
    <n v="919"/>
    <n v="9"/>
    <n v="8"/>
    <n v="1"/>
    <n v="6"/>
    <n v="9"/>
    <n v="0"/>
    <n v="0"/>
    <n v="0"/>
    <n v="0"/>
    <n v="0"/>
    <n v="0"/>
    <n v="0"/>
  </r>
  <r>
    <n v="2806"/>
    <n v="144911"/>
    <n v="0"/>
    <n v="1"/>
    <x v="37"/>
    <s v="Together"/>
    <s v="Graduate"/>
    <s v="8/20/2019"/>
    <s v="Other"/>
    <n v="11"/>
    <n v="513"/>
    <n v="0"/>
    <n v="71"/>
    <n v="6"/>
    <n v="3"/>
    <n v="100"/>
    <n v="494"/>
    <n v="3"/>
    <n v="4"/>
    <n v="1"/>
    <n v="4"/>
    <n v="7"/>
    <n v="0"/>
    <n v="0"/>
    <n v="0"/>
    <n v="0"/>
    <n v="0"/>
    <n v="0"/>
    <n v="0"/>
  </r>
  <r>
    <n v="1868"/>
    <n v="142243"/>
    <n v="1"/>
    <n v="1"/>
    <x v="37"/>
    <s v="Married"/>
    <s v="Graduate"/>
    <s v="5/17/2020"/>
    <s v="New York"/>
    <n v="34"/>
    <n v="162"/>
    <n v="0"/>
    <n v="7"/>
    <n v="0"/>
    <n v="0"/>
    <n v="17"/>
    <n v="152"/>
    <n v="2"/>
    <n v="2"/>
    <n v="0"/>
    <n v="3"/>
    <n v="7"/>
    <n v="0"/>
    <n v="0"/>
    <n v="0"/>
    <n v="0"/>
    <n v="0"/>
    <n v="0"/>
    <n v="0"/>
  </r>
  <r>
    <n v="1740"/>
    <n v="138829"/>
    <n v="0"/>
    <n v="1"/>
    <x v="37"/>
    <s v="Married"/>
    <s v="PhD"/>
    <s v="9/10/2020"/>
    <s v="Florida"/>
    <n v="86"/>
    <n v="272"/>
    <n v="0"/>
    <n v="25"/>
    <n v="0"/>
    <n v="0"/>
    <n v="57"/>
    <n v="240"/>
    <n v="1"/>
    <n v="3"/>
    <n v="2"/>
    <n v="2"/>
    <n v="5"/>
    <n v="0"/>
    <n v="0"/>
    <n v="0"/>
    <n v="0"/>
    <n v="0"/>
    <n v="0"/>
    <n v="0"/>
  </r>
  <r>
    <n v="1167"/>
    <n v="138285"/>
    <n v="2"/>
    <n v="1"/>
    <x v="37"/>
    <s v="Together"/>
    <s v="Graduate"/>
    <s v="11/28/2020"/>
    <s v="Texas"/>
    <n v="96"/>
    <n v="7"/>
    <n v="0"/>
    <n v="18"/>
    <n v="7"/>
    <n v="0"/>
    <n v="4"/>
    <n v="29"/>
    <n v="1"/>
    <n v="0"/>
    <n v="0"/>
    <n v="3"/>
    <n v="2"/>
    <n v="0"/>
    <n v="0"/>
    <n v="0"/>
    <n v="0"/>
    <n v="0"/>
    <n v="0"/>
    <n v="0"/>
  </r>
  <r>
    <n v="2642"/>
    <n v="136732"/>
    <n v="1"/>
    <n v="1"/>
    <x v="37"/>
    <s v="Married"/>
    <s v="PhD"/>
    <s v="6/4/2020"/>
    <s v="New York"/>
    <n v="71"/>
    <n v="78"/>
    <n v="19"/>
    <n v="11"/>
    <n v="37"/>
    <n v="4"/>
    <n v="26"/>
    <n v="123"/>
    <n v="3"/>
    <n v="1"/>
    <n v="1"/>
    <n v="4"/>
    <n v="2"/>
    <n v="0"/>
    <n v="0"/>
    <n v="0"/>
    <n v="0"/>
    <n v="0"/>
    <n v="0"/>
    <n v="0"/>
  </r>
  <r>
    <n v="2883"/>
    <n v="135701"/>
    <n v="0"/>
    <n v="0"/>
    <x v="37"/>
    <s v="Married"/>
    <s v="Graduate"/>
    <s v="8/24/2019"/>
    <s v="Texas"/>
    <n v="36"/>
    <n v="80"/>
    <n v="4"/>
    <n v="34"/>
    <n v="27"/>
    <n v="11"/>
    <n v="19"/>
    <n v="137"/>
    <n v="1"/>
    <n v="1"/>
    <n v="0"/>
    <n v="3"/>
    <n v="6"/>
    <n v="0"/>
    <n v="0"/>
    <n v="0"/>
    <n v="0"/>
    <n v="0"/>
    <n v="0"/>
    <n v="0"/>
  </r>
  <r>
    <n v="1093"/>
    <n v="134554"/>
    <n v="0"/>
    <n v="1"/>
    <x v="37"/>
    <s v="Single"/>
    <s v="PhD"/>
    <s v="9/3/2020"/>
    <s v="Illinois"/>
    <n v="43"/>
    <n v="160"/>
    <n v="4"/>
    <n v="23"/>
    <n v="8"/>
    <n v="0"/>
    <n v="19"/>
    <n v="175"/>
    <n v="2"/>
    <n v="2"/>
    <n v="0"/>
    <n v="3"/>
    <n v="6"/>
    <n v="0"/>
    <n v="0"/>
    <n v="0"/>
    <n v="0"/>
    <n v="0"/>
    <n v="0"/>
    <n v="0"/>
  </r>
  <r>
    <n v="2913"/>
    <n v="134242"/>
    <n v="0"/>
    <n v="1"/>
    <x v="37"/>
    <s v="Married"/>
    <s v="Master"/>
    <s v="8/27/2020"/>
    <s v="Texas"/>
    <n v="25"/>
    <n v="31"/>
    <n v="8"/>
    <n v="16"/>
    <n v="0"/>
    <n v="0"/>
    <n v="4"/>
    <n v="51"/>
    <n v="1"/>
    <n v="0"/>
    <n v="0"/>
    <n v="3"/>
    <n v="5"/>
    <n v="0"/>
    <n v="0"/>
    <n v="0"/>
    <n v="0"/>
    <n v="0"/>
    <n v="0"/>
    <n v="0"/>
  </r>
  <r>
    <n v="1127"/>
    <n v="133762"/>
    <n v="2"/>
    <n v="1"/>
    <x v="37"/>
    <s v="Married"/>
    <s v="PhD"/>
    <s v="12/12/2019"/>
    <s v="California"/>
    <n v="61"/>
    <n v="210"/>
    <n v="4"/>
    <n v="135"/>
    <n v="8"/>
    <n v="0"/>
    <n v="63"/>
    <n v="293"/>
    <n v="3"/>
    <n v="2"/>
    <n v="2"/>
    <n v="2"/>
    <n v="8"/>
    <n v="0"/>
    <n v="0"/>
    <n v="0"/>
    <n v="0"/>
    <n v="0"/>
    <n v="0"/>
    <n v="0"/>
  </r>
  <r>
    <n v="2851"/>
    <n v="133051"/>
    <n v="0"/>
    <n v="0"/>
    <x v="37"/>
    <s v="Widow"/>
    <s v="Master"/>
    <s v="1/21/2019"/>
    <s v="Illinois"/>
    <n v="15"/>
    <n v="403"/>
    <n v="286"/>
    <n v="978"/>
    <n v="435"/>
    <n v="378"/>
    <n v="882"/>
    <n v="1598"/>
    <n v="3"/>
    <n v="9"/>
    <n v="1"/>
    <n v="8"/>
    <n v="9"/>
    <n v="0"/>
    <n v="1"/>
    <n v="0"/>
    <n v="0"/>
    <n v="0"/>
    <n v="0"/>
    <n v="0"/>
  </r>
  <r>
    <n v="2326"/>
    <n v="126887"/>
    <n v="0"/>
    <n v="1"/>
    <x v="37"/>
    <s v="Married"/>
    <s v="Graduate"/>
    <s v="7/18/2019"/>
    <s v="Other"/>
    <n v="27"/>
    <n v="28"/>
    <n v="33"/>
    <n v="19"/>
    <n v="14"/>
    <n v="19"/>
    <n v="28"/>
    <n v="85"/>
    <n v="1"/>
    <n v="1"/>
    <n v="0"/>
    <n v="3"/>
    <n v="6"/>
    <n v="0"/>
    <n v="0"/>
    <n v="0"/>
    <n v="0"/>
    <n v="0"/>
    <n v="0"/>
    <n v="0"/>
  </r>
  <r>
    <n v="1573"/>
    <n v="124221"/>
    <n v="0"/>
    <n v="0"/>
    <x v="37"/>
    <s v="Together"/>
    <s v="Graduate"/>
    <s v="1/25/2020"/>
    <s v="Illinois"/>
    <n v="94"/>
    <n v="41"/>
    <n v="46"/>
    <n v="46"/>
    <n v="10"/>
    <n v="26"/>
    <n v="113"/>
    <n v="56"/>
    <n v="1"/>
    <n v="1"/>
    <n v="1"/>
    <n v="3"/>
    <n v="4"/>
    <n v="0"/>
    <n v="0"/>
    <n v="0"/>
    <n v="0"/>
    <n v="0"/>
    <n v="0"/>
    <n v="0"/>
  </r>
  <r>
    <n v="1429"/>
    <n v="123295"/>
    <n v="0"/>
    <n v="0"/>
    <x v="37"/>
    <s v="Divorced"/>
    <s v="Graduate"/>
    <s v="12/18/2019"/>
    <s v="Illinois"/>
    <n v="72"/>
    <n v="0"/>
    <n v="0"/>
    <n v="5"/>
    <n v="11"/>
    <n v="64"/>
    <n v="26"/>
    <n v="53"/>
    <n v="1"/>
    <n v="1"/>
    <n v="0"/>
    <n v="2"/>
    <n v="8"/>
    <n v="0"/>
    <n v="0"/>
    <n v="0"/>
    <n v="0"/>
    <n v="0"/>
    <n v="0"/>
    <n v="0"/>
  </r>
  <r>
    <n v="1647"/>
    <n v="118690"/>
    <n v="0"/>
    <n v="0"/>
    <x v="37"/>
    <s v="Married"/>
    <s v="Graduate"/>
    <s v="6/4/2019"/>
    <s v="Texas"/>
    <n v="77"/>
    <n v="38"/>
    <n v="6"/>
    <n v="44"/>
    <n v="146"/>
    <n v="25"/>
    <n v="121"/>
    <n v="140"/>
    <n v="1"/>
    <n v="1"/>
    <n v="1"/>
    <n v="2"/>
    <n v="8"/>
    <n v="0"/>
    <n v="0"/>
    <n v="0"/>
    <n v="0"/>
    <n v="0"/>
    <n v="0"/>
    <n v="0"/>
  </r>
  <r>
    <n v="2400"/>
    <n v="118690"/>
    <n v="0"/>
    <n v="0"/>
    <x v="37"/>
    <s v="Married"/>
    <s v="Graduate"/>
    <s v="6/4/2019"/>
    <s v="Florida"/>
    <n v="77"/>
    <n v="38"/>
    <n v="6"/>
    <n v="44"/>
    <n v="146"/>
    <n v="25"/>
    <n v="121"/>
    <n v="140"/>
    <n v="1"/>
    <n v="1"/>
    <n v="1"/>
    <n v="2"/>
    <n v="8"/>
    <n v="0"/>
    <n v="0"/>
    <n v="0"/>
    <n v="0"/>
    <n v="0"/>
    <n v="0"/>
    <n v="0"/>
  </r>
  <r>
    <n v="2706"/>
    <n v="118690"/>
    <n v="0"/>
    <n v="0"/>
    <x v="37"/>
    <s v="Married"/>
    <s v="Graduate"/>
    <s v="6/4/2019"/>
    <s v="Florida"/>
    <n v="77"/>
    <n v="38"/>
    <n v="6"/>
    <n v="44"/>
    <n v="146"/>
    <n v="25"/>
    <n v="121"/>
    <n v="140"/>
    <n v="1"/>
    <n v="1"/>
    <n v="1"/>
    <n v="2"/>
    <n v="8"/>
    <n v="0"/>
    <n v="0"/>
    <n v="0"/>
    <n v="0"/>
    <n v="0"/>
    <n v="0"/>
    <n v="0"/>
  </r>
  <r>
    <n v="2968"/>
    <n v="194472"/>
    <n v="0"/>
    <n v="1"/>
    <x v="38"/>
    <s v="Single"/>
    <s v="Graduate"/>
    <s v="9/7/2020"/>
    <s v="Other"/>
    <n v="75"/>
    <n v="2094"/>
    <n v="68"/>
    <n v="858"/>
    <n v="222"/>
    <n v="206"/>
    <n v="33"/>
    <n v="3415"/>
    <n v="1"/>
    <n v="5"/>
    <n v="5"/>
    <n v="5"/>
    <n v="5"/>
    <n v="0"/>
    <n v="0"/>
    <n v="0"/>
    <n v="0"/>
    <n v="0"/>
    <n v="1"/>
    <n v="1"/>
  </r>
  <r>
    <n v="2250"/>
    <n v="185485"/>
    <n v="0"/>
    <n v="0"/>
    <x v="38"/>
    <s v="Single"/>
    <s v="Graduate"/>
    <s v="11/25/2020"/>
    <s v="Florida"/>
    <n v="73"/>
    <n v="1367"/>
    <n v="56"/>
    <n v="1326"/>
    <n v="95"/>
    <n v="39"/>
    <n v="117"/>
    <n v="2766"/>
    <n v="1"/>
    <n v="6"/>
    <n v="6"/>
    <n v="6"/>
    <n v="2"/>
    <n v="0"/>
    <n v="0"/>
    <n v="0"/>
    <n v="0"/>
    <n v="0"/>
    <n v="0"/>
    <n v="0"/>
  </r>
  <r>
    <n v="2068"/>
    <n v="184460"/>
    <n v="0"/>
    <n v="0"/>
    <x v="38"/>
    <s v="Together"/>
    <s v="PhD"/>
    <s v="6/11/2019"/>
    <s v="Other"/>
    <n v="80"/>
    <n v="332"/>
    <n v="59"/>
    <n v="225"/>
    <n v="232"/>
    <n v="118"/>
    <n v="177"/>
    <n v="788"/>
    <n v="0"/>
    <n v="9"/>
    <n v="9"/>
    <n v="4"/>
    <n v="5"/>
    <n v="0"/>
    <n v="1"/>
    <n v="1"/>
    <n v="1"/>
    <n v="0"/>
    <n v="1"/>
    <n v="1"/>
  </r>
  <r>
    <n v="1881"/>
    <n v="181320"/>
    <n v="0"/>
    <n v="0"/>
    <x v="38"/>
    <s v="Married"/>
    <s v="Graduate"/>
    <s v="7/14/2019"/>
    <s v="Texas"/>
    <n v="61"/>
    <n v="408"/>
    <n v="74"/>
    <n v="1099"/>
    <n v="132"/>
    <n v="230"/>
    <n v="127"/>
    <n v="1815"/>
    <n v="1"/>
    <n v="4"/>
    <n v="3"/>
    <n v="10"/>
    <n v="2"/>
    <n v="0"/>
    <n v="0"/>
    <n v="0"/>
    <n v="0"/>
    <n v="0"/>
    <n v="0"/>
    <n v="0"/>
  </r>
  <r>
    <n v="1809"/>
    <n v="180995"/>
    <n v="0"/>
    <n v="1"/>
    <x v="38"/>
    <s v="Widow"/>
    <s v="PhD"/>
    <s v="10/16/2019"/>
    <s v="Texas"/>
    <n v="83"/>
    <n v="1922"/>
    <n v="63"/>
    <n v="914"/>
    <n v="163"/>
    <n v="125"/>
    <n v="125"/>
    <n v="3061"/>
    <n v="1"/>
    <n v="8"/>
    <n v="9"/>
    <n v="4"/>
    <n v="4"/>
    <n v="0"/>
    <n v="0"/>
    <n v="0"/>
    <n v="0"/>
    <n v="0"/>
    <n v="0"/>
    <n v="0"/>
  </r>
  <r>
    <n v="2803"/>
    <n v="180739"/>
    <n v="0"/>
    <n v="0"/>
    <x v="38"/>
    <s v="Married"/>
    <s v="Master"/>
    <s v="10/28/2019"/>
    <s v="Illinois"/>
    <n v="92"/>
    <n v="1509"/>
    <n v="206"/>
    <n v="1648"/>
    <n v="87"/>
    <n v="0"/>
    <n v="206"/>
    <n v="3244"/>
    <n v="1"/>
    <n v="3"/>
    <n v="11"/>
    <n v="9"/>
    <n v="1"/>
    <n v="0"/>
    <n v="0"/>
    <n v="0"/>
    <n v="0"/>
    <n v="0"/>
    <n v="0"/>
    <n v="0"/>
  </r>
  <r>
    <n v="2077"/>
    <n v="179803"/>
    <n v="0"/>
    <n v="1"/>
    <x v="38"/>
    <s v="Divorced"/>
    <s v="Graduate"/>
    <s v="11/6/2020"/>
    <s v="Illinois"/>
    <n v="54"/>
    <n v="1293"/>
    <n v="18"/>
    <n v="487"/>
    <n v="47"/>
    <n v="36"/>
    <n v="74"/>
    <n v="1807"/>
    <n v="1"/>
    <n v="4"/>
    <n v="3"/>
    <n v="5"/>
    <n v="1"/>
    <n v="0"/>
    <n v="0"/>
    <n v="0"/>
    <n v="0"/>
    <n v="0"/>
    <n v="0"/>
    <n v="0"/>
  </r>
  <r>
    <n v="1225"/>
    <n v="179761"/>
    <n v="0"/>
    <n v="1"/>
    <x v="38"/>
    <s v="Single"/>
    <s v="PhD"/>
    <s v="3/10/2020"/>
    <s v="Illinois"/>
    <n v="32"/>
    <n v="935"/>
    <n v="11"/>
    <n v="279"/>
    <n v="34"/>
    <n v="79"/>
    <n v="25"/>
    <n v="1314"/>
    <n v="1"/>
    <n v="5"/>
    <n v="2"/>
    <n v="11"/>
    <n v="3"/>
    <n v="0"/>
    <n v="0"/>
    <n v="0"/>
    <n v="0"/>
    <n v="0"/>
    <n v="0"/>
    <n v="0"/>
  </r>
  <r>
    <n v="1474"/>
    <n v="178952"/>
    <n v="0"/>
    <n v="1"/>
    <x v="38"/>
    <s v="Together"/>
    <s v="PhD"/>
    <s v="3/1/2019"/>
    <s v="Other"/>
    <n v="11"/>
    <n v="2652"/>
    <n v="43"/>
    <n v="1346"/>
    <n v="224"/>
    <n v="172"/>
    <n v="304"/>
    <n v="4134"/>
    <n v="2"/>
    <n v="2"/>
    <n v="5"/>
    <n v="12"/>
    <n v="6"/>
    <n v="0"/>
    <n v="0"/>
    <n v="0"/>
    <n v="0"/>
    <n v="0"/>
    <n v="0"/>
    <n v="0"/>
  </r>
  <r>
    <n v="1878"/>
    <n v="178331"/>
    <n v="0"/>
    <n v="1"/>
    <x v="38"/>
    <s v="Divorced"/>
    <s v="Graduate"/>
    <s v="6/29/2020"/>
    <s v="Florida"/>
    <n v="97"/>
    <n v="1721"/>
    <n v="314"/>
    <n v="806"/>
    <n v="364"/>
    <n v="385"/>
    <n v="139"/>
    <n v="3451"/>
    <n v="2"/>
    <n v="10"/>
    <n v="6"/>
    <n v="7"/>
    <n v="4"/>
    <n v="0"/>
    <n v="0"/>
    <n v="0"/>
    <n v="0"/>
    <n v="0"/>
    <n v="0"/>
    <n v="0"/>
  </r>
  <r>
    <n v="1510"/>
    <n v="177863"/>
    <n v="0"/>
    <n v="0"/>
    <x v="38"/>
    <s v="Together"/>
    <s v="PhD"/>
    <s v="5/3/2020"/>
    <s v="Other"/>
    <n v="20"/>
    <n v="2012"/>
    <n v="87"/>
    <n v="729"/>
    <n v="37"/>
    <n v="57"/>
    <n v="27"/>
    <n v="2894"/>
    <n v="1"/>
    <n v="4"/>
    <n v="5"/>
    <n v="10"/>
    <n v="2"/>
    <n v="0"/>
    <n v="0"/>
    <n v="0"/>
    <n v="0"/>
    <n v="0"/>
    <n v="0"/>
    <n v="0"/>
  </r>
  <r>
    <n v="2709"/>
    <n v="175342"/>
    <n v="0"/>
    <n v="1"/>
    <x v="38"/>
    <s v="Single"/>
    <s v="Graduate"/>
    <s v="10/11/2019"/>
    <s v="Texas"/>
    <n v="38"/>
    <n v="475"/>
    <n v="226"/>
    <n v="226"/>
    <n v="49"/>
    <n v="275"/>
    <n v="61"/>
    <n v="1189"/>
    <n v="1"/>
    <n v="5"/>
    <n v="2"/>
    <n v="10"/>
    <n v="4"/>
    <n v="0"/>
    <n v="0"/>
    <n v="0"/>
    <n v="0"/>
    <n v="0"/>
    <n v="0"/>
    <n v="0"/>
  </r>
  <r>
    <n v="2345"/>
    <n v="175154"/>
    <n v="0"/>
    <n v="1"/>
    <x v="38"/>
    <s v="Single"/>
    <s v="Master"/>
    <s v="2/9/2019"/>
    <s v="California"/>
    <n v="79"/>
    <n v="1266"/>
    <n v="23"/>
    <n v="478"/>
    <n v="373"/>
    <n v="333"/>
    <n v="191"/>
    <n v="2282"/>
    <n v="1"/>
    <n v="6"/>
    <n v="3"/>
    <n v="6"/>
    <n v="3"/>
    <n v="0"/>
    <n v="1"/>
    <n v="0"/>
    <n v="0"/>
    <n v="0"/>
    <n v="0"/>
    <n v="0"/>
  </r>
  <r>
    <n v="1758"/>
    <n v="174250"/>
    <n v="0"/>
    <n v="0"/>
    <x v="38"/>
    <s v="Together"/>
    <s v="PhD"/>
    <s v="7/2/2020"/>
    <s v="Florida"/>
    <n v="90"/>
    <n v="1596"/>
    <n v="26"/>
    <n v="920"/>
    <n v="176"/>
    <n v="0"/>
    <n v="0"/>
    <n v="2718"/>
    <n v="1"/>
    <n v="2"/>
    <n v="11"/>
    <n v="4"/>
    <n v="1"/>
    <n v="0"/>
    <n v="0"/>
    <n v="0"/>
    <n v="0"/>
    <n v="0"/>
    <n v="0"/>
    <n v="0"/>
  </r>
  <r>
    <n v="2852"/>
    <n v="172905"/>
    <n v="0"/>
    <n v="0"/>
    <x v="38"/>
    <s v="Married"/>
    <s v="Graduate"/>
    <s v="6/27/2020"/>
    <s v="New York"/>
    <n v="52"/>
    <n v="965"/>
    <n v="270"/>
    <n v="1055"/>
    <n v="429"/>
    <n v="391"/>
    <n v="481"/>
    <n v="2630"/>
    <n v="1"/>
    <n v="3"/>
    <n v="7"/>
    <n v="9"/>
    <n v="1"/>
    <n v="0"/>
    <n v="0"/>
    <n v="1"/>
    <n v="0"/>
    <n v="0"/>
    <n v="0"/>
    <n v="0"/>
  </r>
  <r>
    <n v="2985"/>
    <n v="171964"/>
    <n v="0"/>
    <n v="0"/>
    <x v="38"/>
    <s v="Divorced"/>
    <s v="Graduate"/>
    <s v="10/25/2019"/>
    <s v="Texas"/>
    <n v="81"/>
    <n v="1403"/>
    <n v="122"/>
    <n v="2227"/>
    <n v="430"/>
    <n v="81"/>
    <n v="206"/>
    <n v="4058"/>
    <n v="1"/>
    <n v="5"/>
    <n v="6"/>
    <n v="5"/>
    <n v="3"/>
    <n v="0"/>
    <n v="0"/>
    <n v="0"/>
    <n v="0"/>
    <n v="0"/>
    <n v="0"/>
    <n v="0"/>
  </r>
  <r>
    <n v="2070"/>
    <n v="171691"/>
    <n v="0"/>
    <n v="0"/>
    <x v="38"/>
    <s v="Single"/>
    <s v="PhD"/>
    <s v="8/21/2020"/>
    <s v="Florida"/>
    <n v="0"/>
    <n v="805"/>
    <n v="311"/>
    <n v="984"/>
    <n v="575"/>
    <n v="77"/>
    <n v="103"/>
    <n v="2649"/>
    <n v="1"/>
    <n v="4"/>
    <n v="7"/>
    <n v="5"/>
    <n v="2"/>
    <n v="0"/>
    <n v="1"/>
    <n v="0"/>
    <n v="0"/>
    <n v="0"/>
    <n v="0"/>
    <n v="0"/>
  </r>
  <r>
    <n v="1064"/>
    <n v="169096"/>
    <n v="0"/>
    <n v="1"/>
    <x v="38"/>
    <s v="Together"/>
    <s v="Graduate"/>
    <s v="3/3/2020"/>
    <s v="New York"/>
    <n v="4"/>
    <n v="604"/>
    <n v="120"/>
    <n v="389"/>
    <n v="17"/>
    <n v="201"/>
    <n v="267"/>
    <n v="1065"/>
    <n v="1"/>
    <n v="5"/>
    <n v="2"/>
    <n v="10"/>
    <n v="4"/>
    <n v="0"/>
    <n v="0"/>
    <n v="0"/>
    <n v="0"/>
    <n v="0"/>
    <n v="0"/>
    <n v="0"/>
  </r>
  <r>
    <n v="2989"/>
    <n v="168281"/>
    <n v="0"/>
    <n v="0"/>
    <x v="38"/>
    <s v="Single"/>
    <s v="Graduate"/>
    <s v="1/12/2019"/>
    <s v="Illinois"/>
    <n v="31"/>
    <n v="2452"/>
    <n v="276"/>
    <n v="1028"/>
    <n v="104"/>
    <n v="118"/>
    <n v="101"/>
    <n v="3877"/>
    <n v="1"/>
    <n v="2"/>
    <n v="9"/>
    <n v="13"/>
    <n v="5"/>
    <n v="0"/>
    <n v="1"/>
    <n v="0"/>
    <n v="0"/>
    <n v="0"/>
    <n v="0"/>
    <n v="0"/>
  </r>
  <r>
    <n v="2349"/>
    <n v="167267"/>
    <n v="0"/>
    <n v="1"/>
    <x v="38"/>
    <s v="Married"/>
    <s v="Graduate"/>
    <s v="10/17/2020"/>
    <s v="Texas"/>
    <n v="0"/>
    <n v="333"/>
    <n v="27"/>
    <n v="147"/>
    <n v="37"/>
    <n v="5"/>
    <n v="75"/>
    <n v="475"/>
    <n v="1"/>
    <n v="3"/>
    <n v="2"/>
    <n v="5"/>
    <n v="2"/>
    <n v="0"/>
    <n v="0"/>
    <n v="0"/>
    <n v="0"/>
    <n v="0"/>
    <n v="0"/>
    <n v="0"/>
  </r>
  <r>
    <n v="1632"/>
    <n v="166886"/>
    <n v="0"/>
    <n v="1"/>
    <x v="38"/>
    <s v="Together"/>
    <s v="Graduate"/>
    <s v="2/21/2020"/>
    <s v="Florida"/>
    <n v="28"/>
    <n v="786"/>
    <n v="10"/>
    <n v="155"/>
    <n v="102"/>
    <n v="77"/>
    <n v="364"/>
    <n v="766"/>
    <n v="2"/>
    <n v="7"/>
    <n v="1"/>
    <n v="7"/>
    <n v="5"/>
    <n v="0"/>
    <n v="0"/>
    <n v="0"/>
    <n v="0"/>
    <n v="0"/>
    <n v="0"/>
    <n v="0"/>
  </r>
  <r>
    <n v="1614"/>
    <n v="165488"/>
    <n v="0"/>
    <n v="0"/>
    <x v="38"/>
    <s v="Together"/>
    <s v="PhD"/>
    <s v="11/17/2020"/>
    <s v="Florida"/>
    <n v="46"/>
    <n v="1524"/>
    <n v="114"/>
    <n v="523"/>
    <n v="91"/>
    <n v="45"/>
    <n v="136"/>
    <n v="2161"/>
    <n v="1"/>
    <n v="3"/>
    <n v="4"/>
    <n v="6"/>
    <n v="1"/>
    <n v="0"/>
    <n v="0"/>
    <n v="0"/>
    <n v="0"/>
    <n v="0"/>
    <n v="0"/>
    <n v="0"/>
  </r>
  <r>
    <n v="2042"/>
    <n v="165196"/>
    <n v="0"/>
    <n v="2"/>
    <x v="38"/>
    <s v="Together"/>
    <s v="Graduate"/>
    <s v="12/30/2019"/>
    <s v="New York"/>
    <n v="34"/>
    <n v="1883"/>
    <n v="48"/>
    <n v="459"/>
    <n v="30"/>
    <n v="0"/>
    <n v="507"/>
    <n v="1913"/>
    <n v="2"/>
    <n v="7"/>
    <n v="6"/>
    <n v="11"/>
    <n v="5"/>
    <n v="0"/>
    <n v="0"/>
    <n v="0"/>
    <n v="0"/>
    <n v="1"/>
    <n v="0"/>
    <n v="0"/>
  </r>
  <r>
    <n v="2450"/>
    <n v="165148"/>
    <n v="0"/>
    <n v="1"/>
    <x v="38"/>
    <s v="Married"/>
    <s v="Graduate"/>
    <s v="4/23/2019"/>
    <s v="New York"/>
    <n v="9"/>
    <n v="1166"/>
    <n v="89"/>
    <n v="1070"/>
    <n v="84"/>
    <n v="30"/>
    <n v="388"/>
    <n v="2051"/>
    <n v="2"/>
    <n v="6"/>
    <n v="6"/>
    <n v="7"/>
    <n v="4"/>
    <n v="0"/>
    <n v="0"/>
    <n v="0"/>
    <n v="0"/>
    <n v="0"/>
    <n v="0"/>
    <n v="0"/>
  </r>
  <r>
    <n v="1228"/>
    <n v="164961"/>
    <n v="0"/>
    <n v="1"/>
    <x v="38"/>
    <s v="Together"/>
    <s v="Graduate"/>
    <s v="5/30/2019"/>
    <s v="Other"/>
    <n v="97"/>
    <n v="970"/>
    <n v="289"/>
    <n v="701"/>
    <n v="190"/>
    <n v="315"/>
    <n v="96"/>
    <n v="2369"/>
    <n v="2"/>
    <n v="6"/>
    <n v="4"/>
    <n v="4"/>
    <n v="3"/>
    <n v="0"/>
    <n v="0"/>
    <n v="0"/>
    <n v="0"/>
    <n v="0"/>
    <n v="0"/>
    <n v="0"/>
  </r>
  <r>
    <n v="1122"/>
    <n v="161331"/>
    <n v="1"/>
    <n v="1"/>
    <x v="38"/>
    <s v="Single"/>
    <s v="Master"/>
    <s v="8/15/2019"/>
    <s v="Florida"/>
    <n v="42"/>
    <n v="1405"/>
    <n v="13"/>
    <n v="124"/>
    <n v="0"/>
    <n v="13"/>
    <n v="108"/>
    <n v="1447"/>
    <n v="5"/>
    <n v="11"/>
    <n v="1"/>
    <n v="6"/>
    <n v="8"/>
    <n v="0"/>
    <n v="0"/>
    <n v="0"/>
    <n v="0"/>
    <n v="0"/>
    <n v="0"/>
    <n v="0"/>
  </r>
  <r>
    <n v="1231"/>
    <n v="161074"/>
    <n v="0"/>
    <n v="1"/>
    <x v="38"/>
    <s v="Married"/>
    <s v="Graduate"/>
    <s v="1/22/2019"/>
    <s v="Illinois"/>
    <n v="37"/>
    <n v="2081"/>
    <n v="0"/>
    <n v="351"/>
    <n v="0"/>
    <n v="74"/>
    <n v="401"/>
    <n v="2105"/>
    <n v="7"/>
    <n v="11"/>
    <n v="5"/>
    <n v="8"/>
    <n v="7"/>
    <n v="0"/>
    <n v="0"/>
    <n v="0"/>
    <n v="0"/>
    <n v="0"/>
    <n v="0"/>
    <n v="0"/>
  </r>
  <r>
    <n v="2485"/>
    <n v="153977"/>
    <n v="0"/>
    <n v="1"/>
    <x v="38"/>
    <s v="Together"/>
    <s v="Graduate"/>
    <s v="11/13/2019"/>
    <s v="Illinois"/>
    <n v="21"/>
    <n v="1769"/>
    <n v="46"/>
    <n v="471"/>
    <n v="0"/>
    <n v="68"/>
    <n v="234"/>
    <n v="2120"/>
    <n v="5"/>
    <n v="5"/>
    <n v="5"/>
    <n v="12"/>
    <n v="5"/>
    <n v="0"/>
    <n v="0"/>
    <n v="0"/>
    <n v="0"/>
    <n v="0"/>
    <n v="0"/>
    <n v="0"/>
  </r>
  <r>
    <n v="2780"/>
    <n v="153977"/>
    <n v="0"/>
    <n v="1"/>
    <x v="38"/>
    <s v="Together"/>
    <s v="Graduate"/>
    <s v="11/13/2019"/>
    <s v="New York"/>
    <n v="21"/>
    <n v="1769"/>
    <n v="46"/>
    <n v="471"/>
    <n v="0"/>
    <n v="68"/>
    <n v="234"/>
    <n v="2120"/>
    <n v="5"/>
    <n v="5"/>
    <n v="5"/>
    <n v="12"/>
    <n v="5"/>
    <n v="0"/>
    <n v="0"/>
    <n v="0"/>
    <n v="0"/>
    <n v="0"/>
    <n v="0"/>
    <n v="0"/>
  </r>
  <r>
    <n v="2507"/>
    <n v="153083"/>
    <n v="1"/>
    <n v="1"/>
    <x v="38"/>
    <s v="Together"/>
    <s v="Graduate"/>
    <s v="10/20/2019"/>
    <s v="California"/>
    <n v="65"/>
    <n v="620"/>
    <n v="20"/>
    <n v="95"/>
    <n v="9"/>
    <n v="0"/>
    <n v="37"/>
    <n v="707"/>
    <n v="6"/>
    <n v="5"/>
    <n v="1"/>
    <n v="5"/>
    <n v="7"/>
    <n v="0"/>
    <n v="0"/>
    <n v="0"/>
    <n v="0"/>
    <n v="0"/>
    <n v="1"/>
    <n v="0"/>
  </r>
  <r>
    <n v="2421"/>
    <n v="151876"/>
    <n v="0"/>
    <n v="0"/>
    <x v="38"/>
    <s v="Married"/>
    <s v="Graduate"/>
    <s v="3/21/2020"/>
    <s v="Texas"/>
    <n v="88"/>
    <n v="290"/>
    <n v="79"/>
    <n v="299"/>
    <n v="82"/>
    <n v="141"/>
    <n v="18"/>
    <n v="872"/>
    <n v="1"/>
    <n v="2"/>
    <n v="2"/>
    <n v="8"/>
    <n v="1"/>
    <n v="0"/>
    <n v="0"/>
    <n v="0"/>
    <n v="0"/>
    <n v="0"/>
    <n v="0"/>
    <n v="0"/>
  </r>
  <r>
    <n v="1732"/>
    <n v="151518"/>
    <n v="0"/>
    <n v="1"/>
    <x v="38"/>
    <s v="Together"/>
    <s v="PhD"/>
    <s v="3/9/2020"/>
    <s v="Other"/>
    <n v="92"/>
    <n v="1029"/>
    <n v="24"/>
    <n v="194"/>
    <n v="50"/>
    <n v="12"/>
    <n v="12"/>
    <n v="1297"/>
    <n v="2"/>
    <n v="3"/>
    <n v="2"/>
    <n v="10"/>
    <n v="3"/>
    <n v="0"/>
    <n v="0"/>
    <n v="0"/>
    <n v="0"/>
    <n v="0"/>
    <n v="0"/>
    <n v="0"/>
  </r>
  <r>
    <n v="2183"/>
    <n v="151412"/>
    <n v="0"/>
    <n v="1"/>
    <x v="38"/>
    <s v="Married"/>
    <s v="Master"/>
    <s v="6/6/2020"/>
    <s v="California"/>
    <n v="42"/>
    <n v="412"/>
    <n v="9"/>
    <n v="85"/>
    <n v="12"/>
    <n v="15"/>
    <n v="41"/>
    <n v="492"/>
    <n v="2"/>
    <n v="3"/>
    <n v="2"/>
    <n v="4"/>
    <n v="4"/>
    <n v="0"/>
    <n v="0"/>
    <n v="0"/>
    <n v="0"/>
    <n v="0"/>
    <n v="0"/>
    <n v="0"/>
  </r>
  <r>
    <n v="2635"/>
    <n v="150729"/>
    <n v="1"/>
    <n v="1"/>
    <x v="38"/>
    <s v="Single"/>
    <s v="PhD"/>
    <s v="10/7/2019"/>
    <s v="Illinois"/>
    <n v="62"/>
    <n v="710"/>
    <n v="39"/>
    <n v="425"/>
    <n v="134"/>
    <n v="12"/>
    <n v="155"/>
    <n v="1165"/>
    <n v="9"/>
    <n v="6"/>
    <n v="2"/>
    <n v="7"/>
    <n v="6"/>
    <n v="0"/>
    <n v="0"/>
    <n v="0"/>
    <n v="0"/>
    <n v="0"/>
    <n v="0"/>
    <n v="0"/>
  </r>
  <r>
    <n v="1446"/>
    <n v="150520"/>
    <n v="0"/>
    <n v="1"/>
    <x v="38"/>
    <s v="Widow"/>
    <s v="PhD"/>
    <s v="7/4/2020"/>
    <s v="Florida"/>
    <n v="25"/>
    <n v="334"/>
    <n v="0"/>
    <n v="18"/>
    <n v="6"/>
    <n v="3"/>
    <n v="42"/>
    <n v="319"/>
    <n v="2"/>
    <n v="3"/>
    <n v="1"/>
    <n v="3"/>
    <n v="6"/>
    <n v="0"/>
    <n v="0"/>
    <n v="0"/>
    <n v="0"/>
    <n v="0"/>
    <n v="0"/>
    <n v="0"/>
  </r>
  <r>
    <n v="1146"/>
    <n v="149967"/>
    <n v="0"/>
    <n v="1"/>
    <x v="38"/>
    <s v="Single"/>
    <s v="Graduate"/>
    <s v="12/13/2019"/>
    <s v="Florida"/>
    <n v="4"/>
    <n v="636"/>
    <n v="18"/>
    <n v="207"/>
    <n v="12"/>
    <n v="36"/>
    <n v="9"/>
    <n v="900"/>
    <n v="3"/>
    <n v="6"/>
    <n v="1"/>
    <n v="5"/>
    <n v="7"/>
    <n v="0"/>
    <n v="0"/>
    <n v="0"/>
    <n v="0"/>
    <n v="0"/>
    <n v="0"/>
    <n v="0"/>
  </r>
  <r>
    <n v="3118"/>
    <n v="149572"/>
    <n v="1"/>
    <n v="1"/>
    <x v="38"/>
    <s v="Married"/>
    <s v="Master"/>
    <s v="5/21/2020"/>
    <s v="Other"/>
    <n v="25"/>
    <n v="106"/>
    <n v="3"/>
    <n v="48"/>
    <n v="0"/>
    <n v="3"/>
    <n v="3"/>
    <n v="157"/>
    <n v="2"/>
    <n v="2"/>
    <n v="0"/>
    <n v="3"/>
    <n v="7"/>
    <n v="0"/>
    <n v="0"/>
    <n v="0"/>
    <n v="0"/>
    <n v="0"/>
    <n v="0"/>
    <n v="0"/>
  </r>
  <r>
    <n v="1785"/>
    <n v="148192"/>
    <n v="0"/>
    <n v="0"/>
    <x v="38"/>
    <s v="Married"/>
    <s v="Graduate"/>
    <s v="9/11/2019"/>
    <s v="Texas"/>
    <n v="76"/>
    <n v="3195"/>
    <n v="132"/>
    <n v="627"/>
    <n v="470"/>
    <n v="178"/>
    <n v="89"/>
    <n v="4514"/>
    <n v="3"/>
    <n v="2"/>
    <n v="8"/>
    <n v="12"/>
    <n v="8"/>
    <n v="0"/>
    <n v="1"/>
    <n v="1"/>
    <n v="1"/>
    <n v="0"/>
    <n v="1"/>
    <n v="0"/>
  </r>
  <r>
    <n v="2301"/>
    <n v="146692"/>
    <n v="0"/>
    <n v="1"/>
    <x v="38"/>
    <s v="Together"/>
    <s v="Master"/>
    <s v="11/11/2019"/>
    <s v="Texas"/>
    <n v="37"/>
    <n v="534"/>
    <n v="19"/>
    <n v="305"/>
    <n v="75"/>
    <n v="38"/>
    <n v="276"/>
    <n v="694"/>
    <n v="3"/>
    <n v="6"/>
    <n v="1"/>
    <n v="5"/>
    <n v="6"/>
    <n v="0"/>
    <n v="0"/>
    <n v="0"/>
    <n v="0"/>
    <n v="0"/>
    <n v="0"/>
    <n v="0"/>
  </r>
  <r>
    <n v="2055"/>
    <n v="146610"/>
    <n v="0"/>
    <n v="0"/>
    <x v="38"/>
    <s v="Together"/>
    <s v="Graduate"/>
    <s v="12/23/2019"/>
    <s v="Texas"/>
    <n v="4"/>
    <n v="906"/>
    <n v="31"/>
    <n v="94"/>
    <n v="13"/>
    <n v="31"/>
    <n v="393"/>
    <n v="683"/>
    <n v="1"/>
    <n v="6"/>
    <n v="1"/>
    <n v="6"/>
    <n v="6"/>
    <n v="0"/>
    <n v="0"/>
    <n v="0"/>
    <n v="0"/>
    <n v="0"/>
    <n v="0"/>
    <n v="0"/>
  </r>
  <r>
    <n v="1700"/>
    <n v="145160"/>
    <n v="1"/>
    <n v="1"/>
    <x v="38"/>
    <s v="Single"/>
    <s v="Graduate"/>
    <s v="9/2/2020"/>
    <s v="New York"/>
    <n v="9"/>
    <n v="26"/>
    <n v="6"/>
    <n v="16"/>
    <n v="10"/>
    <n v="0"/>
    <n v="10"/>
    <n v="48"/>
    <n v="1"/>
    <n v="1"/>
    <n v="0"/>
    <n v="2"/>
    <n v="7"/>
    <n v="0"/>
    <n v="0"/>
    <n v="0"/>
    <n v="0"/>
    <n v="0"/>
    <n v="0"/>
    <n v="0"/>
  </r>
  <r>
    <n v="1673"/>
    <n v="142315"/>
    <n v="0"/>
    <n v="1"/>
    <x v="38"/>
    <s v="Together"/>
    <s v="Master"/>
    <s v="12/17/2019"/>
    <s v="California"/>
    <n v="90"/>
    <n v="225"/>
    <n v="50"/>
    <n v="269"/>
    <n v="57"/>
    <n v="37"/>
    <n v="269"/>
    <n v="370"/>
    <n v="3"/>
    <n v="1"/>
    <n v="4"/>
    <n v="4"/>
    <n v="3"/>
    <n v="0"/>
    <n v="0"/>
    <n v="0"/>
    <n v="0"/>
    <n v="0"/>
    <n v="0"/>
    <n v="0"/>
  </r>
  <r>
    <n v="2404"/>
    <n v="138741"/>
    <n v="1"/>
    <n v="1"/>
    <x v="38"/>
    <s v="Single"/>
    <s v="Graduate"/>
    <s v="9/3/2020"/>
    <s v="Other"/>
    <n v="60"/>
    <n v="25"/>
    <n v="36"/>
    <n v="61"/>
    <n v="29"/>
    <n v="21"/>
    <n v="47"/>
    <n v="125"/>
    <n v="2"/>
    <n v="2"/>
    <n v="0"/>
    <n v="3"/>
    <n v="7"/>
    <n v="0"/>
    <n v="0"/>
    <n v="0"/>
    <n v="0"/>
    <n v="0"/>
    <n v="0"/>
    <n v="0"/>
  </r>
  <r>
    <n v="2017"/>
    <n v="137334"/>
    <n v="1"/>
    <n v="1"/>
    <x v="38"/>
    <s v="Together"/>
    <s v="PhD"/>
    <s v="8/2/2020"/>
    <s v="Illinois"/>
    <n v="44"/>
    <n v="96"/>
    <n v="4"/>
    <n v="59"/>
    <n v="7"/>
    <n v="7"/>
    <n v="55"/>
    <n v="118"/>
    <n v="4"/>
    <n v="3"/>
    <n v="0"/>
    <n v="4"/>
    <n v="4"/>
    <n v="0"/>
    <n v="0"/>
    <n v="0"/>
    <n v="0"/>
    <n v="0"/>
    <n v="0"/>
    <n v="0"/>
  </r>
  <r>
    <n v="1287"/>
    <n v="135246"/>
    <n v="1"/>
    <n v="1"/>
    <x v="38"/>
    <s v="Divorced"/>
    <s v="Graduate"/>
    <s v="9/20/2020"/>
    <s v="Texas"/>
    <n v="53"/>
    <n v="138"/>
    <n v="0"/>
    <n v="46"/>
    <n v="8"/>
    <n v="8"/>
    <n v="38"/>
    <n v="161"/>
    <n v="4"/>
    <n v="3"/>
    <n v="1"/>
    <n v="3"/>
    <n v="5"/>
    <n v="0"/>
    <n v="0"/>
    <n v="0"/>
    <n v="0"/>
    <n v="0"/>
    <n v="0"/>
    <n v="0"/>
  </r>
  <r>
    <n v="2205"/>
    <n v="133438"/>
    <n v="1"/>
    <n v="1"/>
    <x v="38"/>
    <s v="Widow"/>
    <s v="PhD"/>
    <s v="2/27/2020"/>
    <s v="Texas"/>
    <n v="81"/>
    <n v="247"/>
    <n v="4"/>
    <n v="64"/>
    <n v="12"/>
    <n v="8"/>
    <n v="24"/>
    <n v="311"/>
    <n v="4"/>
    <n v="2"/>
    <n v="1"/>
    <n v="4"/>
    <n v="5"/>
    <n v="0"/>
    <n v="0"/>
    <n v="0"/>
    <n v="0"/>
    <n v="0"/>
    <n v="0"/>
    <n v="0"/>
  </r>
  <r>
    <n v="2009"/>
    <n v="132173"/>
    <n v="0"/>
    <n v="1"/>
    <x v="38"/>
    <s v="Divorced"/>
    <s v="PhD"/>
    <s v="1/6/2020"/>
    <s v="California"/>
    <n v="0"/>
    <n v="74"/>
    <n v="0"/>
    <n v="8"/>
    <n v="0"/>
    <n v="0"/>
    <n v="8"/>
    <n v="74"/>
    <n v="1"/>
    <n v="1"/>
    <n v="0"/>
    <n v="3"/>
    <n v="4"/>
    <n v="0"/>
    <n v="0"/>
    <n v="0"/>
    <n v="0"/>
    <n v="0"/>
    <n v="0"/>
    <n v="0"/>
  </r>
  <r>
    <n v="1150"/>
    <n v="130523"/>
    <n v="2"/>
    <n v="1"/>
    <x v="38"/>
    <s v="Single"/>
    <s v="Master"/>
    <s v="12/6/2019"/>
    <s v="Other"/>
    <n v="0"/>
    <n v="21"/>
    <n v="0"/>
    <n v="13"/>
    <n v="0"/>
    <n v="0"/>
    <n v="21"/>
    <n v="13"/>
    <n v="1"/>
    <n v="1"/>
    <n v="0"/>
    <n v="2"/>
    <n v="7"/>
    <n v="0"/>
    <n v="0"/>
    <n v="0"/>
    <n v="0"/>
    <n v="0"/>
    <n v="0"/>
    <n v="0"/>
  </r>
  <r>
    <n v="2503"/>
    <n v="128087"/>
    <n v="1"/>
    <n v="1"/>
    <x v="38"/>
    <s v="Together"/>
    <s v="Graduate"/>
    <s v="5/18/2019"/>
    <s v="Illinois"/>
    <n v="77"/>
    <n v="242"/>
    <n v="36"/>
    <n v="78"/>
    <n v="59"/>
    <n v="0"/>
    <n v="96"/>
    <n v="319"/>
    <n v="3"/>
    <n v="2"/>
    <n v="2"/>
    <n v="2"/>
    <n v="7"/>
    <n v="0"/>
    <n v="0"/>
    <n v="0"/>
    <n v="0"/>
    <n v="0"/>
    <n v="0"/>
    <n v="0"/>
  </r>
  <r>
    <n v="1240"/>
    <n v="126490"/>
    <n v="0"/>
    <n v="0"/>
    <x v="38"/>
    <s v="Together"/>
    <s v="Graduate"/>
    <s v="2/27/2019"/>
    <s v="Other"/>
    <n v="92"/>
    <n v="215"/>
    <n v="224"/>
    <n v="248"/>
    <n v="100"/>
    <n v="96"/>
    <n v="119"/>
    <n v="764"/>
    <n v="2"/>
    <n v="3"/>
    <n v="1"/>
    <n v="5"/>
    <n v="6"/>
    <n v="0"/>
    <n v="0"/>
    <n v="0"/>
    <n v="0"/>
    <n v="0"/>
    <n v="0"/>
    <n v="0"/>
  </r>
  <r>
    <n v="1639"/>
    <n v="126490"/>
    <n v="0"/>
    <n v="0"/>
    <x v="38"/>
    <s v="Together"/>
    <s v="Graduate"/>
    <s v="2/27/2019"/>
    <s v="Illinois"/>
    <n v="92"/>
    <n v="215"/>
    <n v="224"/>
    <n v="248"/>
    <n v="100"/>
    <n v="96"/>
    <n v="119"/>
    <n v="764"/>
    <n v="2"/>
    <n v="3"/>
    <n v="1"/>
    <n v="5"/>
    <n v="6"/>
    <n v="0"/>
    <n v="0"/>
    <n v="0"/>
    <n v="0"/>
    <n v="0"/>
    <n v="0"/>
    <n v="0"/>
  </r>
  <r>
    <n v="2164"/>
    <n v="115056"/>
    <n v="1"/>
    <n v="1"/>
    <x v="38"/>
    <s v="Single"/>
    <s v="Basic"/>
    <s v="10/8/2019"/>
    <s v="Other"/>
    <n v="76"/>
    <n v="46"/>
    <n v="92"/>
    <n v="23"/>
    <n v="160"/>
    <n v="46"/>
    <n v="306"/>
    <n v="61"/>
    <n v="5"/>
    <n v="2"/>
    <n v="2"/>
    <n v="3"/>
    <n v="5"/>
    <n v="0"/>
    <n v="0"/>
    <n v="0"/>
    <n v="0"/>
    <n v="0"/>
    <n v="0"/>
    <n v="0"/>
  </r>
  <r>
    <n v="1833"/>
    <n v="182347"/>
    <n v="0"/>
    <n v="0"/>
    <x v="39"/>
    <s v="Married"/>
    <s v="Graduate"/>
    <s v="4/13/2019"/>
    <s v="Texas"/>
    <n v="38"/>
    <n v="1231"/>
    <n v="120"/>
    <n v="1871"/>
    <n v="447"/>
    <n v="295"/>
    <n v="140"/>
    <n v="3824"/>
    <n v="1"/>
    <n v="7"/>
    <n v="7"/>
    <n v="10"/>
    <n v="3"/>
    <n v="0"/>
    <n v="0"/>
    <n v="1"/>
    <n v="0"/>
    <n v="1"/>
    <n v="0"/>
    <n v="0"/>
  </r>
  <r>
    <n v="3161"/>
    <n v="182347"/>
    <n v="0"/>
    <n v="0"/>
    <x v="39"/>
    <s v="Married"/>
    <s v="Graduate"/>
    <s v="4/13/2019"/>
    <s v="California"/>
    <n v="38"/>
    <n v="1231"/>
    <n v="120"/>
    <n v="1871"/>
    <n v="447"/>
    <n v="295"/>
    <n v="140"/>
    <n v="3824"/>
    <n v="1"/>
    <n v="7"/>
    <n v="7"/>
    <n v="10"/>
    <n v="3"/>
    <n v="0"/>
    <n v="1"/>
    <n v="1"/>
    <n v="0"/>
    <n v="1"/>
    <n v="0"/>
    <n v="0"/>
  </r>
  <r>
    <n v="1772"/>
    <n v="182017"/>
    <n v="0"/>
    <n v="0"/>
    <x v="39"/>
    <s v="Married"/>
    <s v="PhD"/>
    <s v="4/14/2019"/>
    <s v="New York"/>
    <n v="58"/>
    <n v="408"/>
    <n v="51"/>
    <n v="990"/>
    <n v="67"/>
    <n v="51"/>
    <n v="51"/>
    <n v="1516"/>
    <n v="1"/>
    <n v="5"/>
    <n v="4"/>
    <n v="7"/>
    <n v="2"/>
    <n v="0"/>
    <n v="1"/>
    <n v="1"/>
    <n v="0"/>
    <n v="0"/>
    <n v="1"/>
    <n v="1"/>
  </r>
  <r>
    <n v="1344"/>
    <n v="178618"/>
    <n v="0"/>
    <n v="0"/>
    <x v="39"/>
    <s v="Married"/>
    <s v="Graduate"/>
    <s v="3/5/2019"/>
    <s v="Florida"/>
    <n v="87"/>
    <n v="1672"/>
    <n v="370"/>
    <n v="1858"/>
    <n v="482"/>
    <n v="370"/>
    <n v="139"/>
    <n v="4614"/>
    <n v="1"/>
    <n v="4"/>
    <n v="7"/>
    <n v="10"/>
    <n v="2"/>
    <n v="0"/>
    <n v="0"/>
    <n v="0"/>
    <n v="0"/>
    <n v="0"/>
    <n v="1"/>
    <n v="0"/>
  </r>
  <r>
    <n v="3113"/>
    <n v="178499"/>
    <n v="0"/>
    <n v="0"/>
    <x v="39"/>
    <s v="Single"/>
    <s v="Graduate"/>
    <s v="4/29/2020"/>
    <s v="California"/>
    <n v="12"/>
    <n v="2074"/>
    <n v="164"/>
    <n v="387"/>
    <n v="107"/>
    <n v="82"/>
    <n v="221"/>
    <n v="2592"/>
    <n v="1"/>
    <n v="11"/>
    <n v="3"/>
    <n v="4"/>
    <n v="4"/>
    <n v="0"/>
    <n v="1"/>
    <n v="0"/>
    <n v="0"/>
    <n v="0"/>
    <n v="0"/>
    <n v="1"/>
  </r>
  <r>
    <n v="2203"/>
    <n v="177297"/>
    <n v="0"/>
    <n v="0"/>
    <x v="39"/>
    <s v="Divorced"/>
    <s v="Graduate"/>
    <s v="7/3/2019"/>
    <s v="Illinois"/>
    <n v="84"/>
    <n v="936"/>
    <n v="140"/>
    <n v="250"/>
    <n v="110"/>
    <n v="280"/>
    <n v="94"/>
    <n v="1622"/>
    <n v="1"/>
    <n v="5"/>
    <n v="7"/>
    <n v="9"/>
    <n v="4"/>
    <n v="0"/>
    <n v="0"/>
    <n v="1"/>
    <n v="0"/>
    <n v="0"/>
    <n v="0"/>
    <n v="0"/>
  </r>
  <r>
    <n v="2545"/>
    <n v="175283"/>
    <n v="1"/>
    <n v="2"/>
    <x v="39"/>
    <s v="Married"/>
    <s v="PhD"/>
    <s v="9/1/2019"/>
    <s v="Illinois"/>
    <n v="26"/>
    <n v="1707"/>
    <n v="21"/>
    <n v="419"/>
    <n v="28"/>
    <n v="44"/>
    <n v="154"/>
    <n v="2065"/>
    <n v="11"/>
    <n v="6"/>
    <n v="3"/>
    <n v="5"/>
    <n v="4"/>
    <n v="0"/>
    <n v="0"/>
    <n v="0"/>
    <n v="0"/>
    <n v="0"/>
    <n v="0"/>
    <n v="0"/>
  </r>
  <r>
    <n v="3162"/>
    <n v="173803"/>
    <n v="0"/>
    <n v="1"/>
    <x v="39"/>
    <s v="Married"/>
    <s v="Graduate"/>
    <s v="1/6/2019"/>
    <s v="Florida"/>
    <n v="61"/>
    <n v="1962"/>
    <n v="188"/>
    <n v="855"/>
    <n v="122"/>
    <n v="61"/>
    <n v="410"/>
    <n v="2779"/>
    <n v="2"/>
    <n v="9"/>
    <n v="5"/>
    <n v="6"/>
    <n v="6"/>
    <n v="0"/>
    <n v="1"/>
    <n v="0"/>
    <n v="0"/>
    <n v="1"/>
    <n v="0"/>
    <n v="0"/>
  </r>
  <r>
    <n v="1334"/>
    <n v="171113"/>
    <n v="0"/>
    <n v="1"/>
    <x v="39"/>
    <s v="Married"/>
    <s v="Graduate"/>
    <s v="5/23/2020"/>
    <s v="New York"/>
    <n v="95"/>
    <n v="1191"/>
    <n v="79"/>
    <n v="614"/>
    <n v="26"/>
    <n v="79"/>
    <n v="19"/>
    <n v="1971"/>
    <n v="4"/>
    <n v="6"/>
    <n v="7"/>
    <n v="9"/>
    <n v="4"/>
    <n v="0"/>
    <n v="0"/>
    <n v="0"/>
    <n v="0"/>
    <n v="0"/>
    <n v="0"/>
    <n v="0"/>
  </r>
  <r>
    <n v="2818"/>
    <n v="168148"/>
    <n v="0"/>
    <n v="0"/>
    <x v="39"/>
    <s v="Together"/>
    <s v="Master"/>
    <s v="2/5/2020"/>
    <s v="Other"/>
    <n v="86"/>
    <n v="960"/>
    <n v="163"/>
    <n v="1007"/>
    <n v="91"/>
    <n v="141"/>
    <n v="210"/>
    <n v="2152"/>
    <n v="1"/>
    <n v="4"/>
    <n v="4"/>
    <n v="6"/>
    <n v="2"/>
    <n v="0"/>
    <n v="0"/>
    <n v="0"/>
    <n v="0"/>
    <n v="0"/>
    <n v="0"/>
    <n v="0"/>
  </r>
  <r>
    <n v="2154"/>
    <n v="166726"/>
    <n v="1"/>
    <n v="1"/>
    <x v="39"/>
    <s v="Married"/>
    <s v="Master"/>
    <s v="6/18/2020"/>
    <s v="Florida"/>
    <n v="61"/>
    <n v="872"/>
    <n v="17"/>
    <n v="87"/>
    <n v="0"/>
    <n v="0"/>
    <n v="117"/>
    <n v="860"/>
    <n v="3"/>
    <n v="8"/>
    <n v="2"/>
    <n v="4"/>
    <n v="7"/>
    <n v="0"/>
    <n v="0"/>
    <n v="0"/>
    <n v="0"/>
    <n v="0"/>
    <n v="1"/>
    <n v="0"/>
  </r>
  <r>
    <n v="2185"/>
    <n v="166636"/>
    <n v="0"/>
    <n v="0"/>
    <x v="39"/>
    <s v="Together"/>
    <s v="Master"/>
    <s v="1/22/2020"/>
    <s v="Illinois"/>
    <n v="64"/>
    <n v="728"/>
    <n v="25"/>
    <n v="1723"/>
    <n v="210"/>
    <n v="25"/>
    <n v="0"/>
    <n v="2711"/>
    <n v="1"/>
    <n v="3"/>
    <n v="4"/>
    <n v="9"/>
    <n v="1"/>
    <n v="0"/>
    <n v="0"/>
    <n v="0"/>
    <n v="0"/>
    <n v="0"/>
    <n v="0"/>
    <n v="0"/>
  </r>
  <r>
    <n v="2524"/>
    <n v="166033"/>
    <n v="0"/>
    <n v="1"/>
    <x v="39"/>
    <s v="Widow"/>
    <s v="Graduate"/>
    <s v="6/27/2019"/>
    <s v="Other"/>
    <n v="76"/>
    <n v="737"/>
    <n v="88"/>
    <n v="450"/>
    <n v="116"/>
    <n v="148"/>
    <n v="163"/>
    <n v="1375"/>
    <n v="2"/>
    <n v="8"/>
    <n v="3"/>
    <n v="7"/>
    <n v="7"/>
    <n v="0"/>
    <n v="0"/>
    <n v="0"/>
    <n v="0"/>
    <n v="0"/>
    <n v="0"/>
    <n v="0"/>
  </r>
  <r>
    <n v="3102"/>
    <n v="165487"/>
    <n v="0"/>
    <n v="0"/>
    <x v="39"/>
    <s v="Single"/>
    <s v="Master"/>
    <s v="6/16/2020"/>
    <s v="Florida"/>
    <n v="48"/>
    <n v="606"/>
    <n v="169"/>
    <n v="1264"/>
    <n v="503"/>
    <n v="0"/>
    <n v="412"/>
    <n v="2130"/>
    <n v="3"/>
    <n v="3"/>
    <n v="5"/>
    <n v="6"/>
    <n v="2"/>
    <n v="0"/>
    <n v="0"/>
    <n v="0"/>
    <n v="0"/>
    <n v="0"/>
    <n v="0"/>
    <n v="0"/>
  </r>
  <r>
    <n v="3156"/>
    <n v="165487"/>
    <n v="0"/>
    <n v="0"/>
    <x v="39"/>
    <s v="Together"/>
    <s v="Master"/>
    <s v="6/16/2020"/>
    <s v="Florida"/>
    <n v="48"/>
    <n v="606"/>
    <n v="169"/>
    <n v="1264"/>
    <n v="503"/>
    <n v="0"/>
    <n v="412"/>
    <n v="2130"/>
    <n v="3"/>
    <n v="3"/>
    <n v="5"/>
    <n v="6"/>
    <n v="2"/>
    <n v="0"/>
    <n v="0"/>
    <n v="0"/>
    <n v="0"/>
    <n v="0"/>
    <n v="0"/>
    <n v="0"/>
  </r>
  <r>
    <n v="1047"/>
    <n v="165486"/>
    <n v="0"/>
    <n v="1"/>
    <x v="39"/>
    <s v="Widow"/>
    <s v="Graduate"/>
    <s v="10/16/2020"/>
    <s v="Texas"/>
    <n v="29"/>
    <n v="619"/>
    <n v="48"/>
    <n v="316"/>
    <n v="94"/>
    <n v="169"/>
    <n v="35"/>
    <n v="1210"/>
    <n v="1"/>
    <n v="4"/>
    <n v="2"/>
    <n v="10"/>
    <n v="2"/>
    <n v="0"/>
    <n v="0"/>
    <n v="0"/>
    <n v="0"/>
    <n v="0"/>
    <n v="0"/>
    <n v="0"/>
  </r>
  <r>
    <n v="2903"/>
    <n v="164849"/>
    <n v="0"/>
    <n v="0"/>
    <x v="39"/>
    <s v="Single"/>
    <s v="Graduate"/>
    <s v="4/20/2019"/>
    <s v="California"/>
    <n v="42"/>
    <n v="1657"/>
    <n v="122"/>
    <n v="890"/>
    <n v="239"/>
    <n v="214"/>
    <n v="275"/>
    <n v="2847"/>
    <n v="1"/>
    <n v="9"/>
    <n v="3"/>
    <n v="6"/>
    <n v="5"/>
    <n v="0"/>
    <n v="1"/>
    <n v="0"/>
    <n v="0"/>
    <n v="0"/>
    <n v="0"/>
    <n v="0"/>
  </r>
  <r>
    <n v="1310"/>
    <n v="162187"/>
    <n v="0"/>
    <n v="0"/>
    <x v="39"/>
    <s v="Married"/>
    <s v="Graduate"/>
    <s v="12/10/2019"/>
    <s v="New York"/>
    <n v="49"/>
    <n v="2066"/>
    <n v="0"/>
    <n v="717"/>
    <n v="117"/>
    <n v="117"/>
    <n v="329"/>
    <n v="2689"/>
    <n v="1"/>
    <n v="4"/>
    <n v="8"/>
    <n v="5"/>
    <n v="3"/>
    <n v="0"/>
    <n v="0"/>
    <n v="0"/>
    <n v="0"/>
    <n v="0"/>
    <n v="0"/>
    <n v="0"/>
  </r>
  <r>
    <n v="1001"/>
    <n v="158138"/>
    <n v="0"/>
    <n v="0"/>
    <x v="39"/>
    <s v="Single"/>
    <s v="Graduate"/>
    <s v="2/9/2019"/>
    <s v="California"/>
    <n v="58"/>
    <n v="1727"/>
    <n v="239"/>
    <n v="1485"/>
    <n v="468"/>
    <n v="239"/>
    <n v="239"/>
    <n v="3920"/>
    <n v="3"/>
    <n v="8"/>
    <n v="10"/>
    <n v="4"/>
    <n v="7"/>
    <n v="0"/>
    <n v="1"/>
    <n v="0"/>
    <n v="0"/>
    <n v="0"/>
    <n v="0"/>
    <n v="0"/>
  </r>
  <r>
    <n v="1788"/>
    <n v="155267"/>
    <n v="0"/>
    <n v="1"/>
    <x v="39"/>
    <s v="Married"/>
    <s v="Graduate"/>
    <s v="3/27/2020"/>
    <s v="Florida"/>
    <n v="28"/>
    <n v="452"/>
    <n v="79"/>
    <n v="382"/>
    <n v="90"/>
    <n v="8"/>
    <n v="126"/>
    <n v="885"/>
    <n v="4"/>
    <n v="3"/>
    <n v="4"/>
    <n v="6"/>
    <n v="3"/>
    <n v="0"/>
    <n v="0"/>
    <n v="0"/>
    <n v="0"/>
    <n v="0"/>
    <n v="0"/>
    <n v="0"/>
  </r>
  <r>
    <n v="1940"/>
    <n v="154237"/>
    <n v="0"/>
    <n v="1"/>
    <x v="39"/>
    <s v="Divorced"/>
    <s v="PhD"/>
    <s v="10/2/2019"/>
    <s v="New York"/>
    <n v="48"/>
    <n v="759"/>
    <n v="9"/>
    <n v="85"/>
    <n v="11"/>
    <n v="0"/>
    <n v="162"/>
    <n v="702"/>
    <n v="4"/>
    <n v="5"/>
    <n v="2"/>
    <n v="5"/>
    <n v="6"/>
    <n v="0"/>
    <n v="0"/>
    <n v="0"/>
    <n v="0"/>
    <n v="0"/>
    <n v="0"/>
    <n v="0"/>
  </r>
  <r>
    <n v="3152"/>
    <n v="153233"/>
    <n v="0"/>
    <n v="1"/>
    <x v="39"/>
    <s v="Married"/>
    <s v="Graduate"/>
    <s v="8/22/2020"/>
    <s v="New York"/>
    <n v="18"/>
    <n v="81"/>
    <n v="0"/>
    <n v="26"/>
    <n v="9"/>
    <n v="0"/>
    <n v="0"/>
    <n v="115"/>
    <n v="1"/>
    <n v="1"/>
    <n v="0"/>
    <n v="3"/>
    <n v="4"/>
    <n v="0"/>
    <n v="0"/>
    <n v="0"/>
    <n v="0"/>
    <n v="0"/>
    <n v="0"/>
    <n v="0"/>
  </r>
  <r>
    <n v="2423"/>
    <n v="152852"/>
    <n v="0"/>
    <n v="1"/>
    <x v="39"/>
    <s v="Married"/>
    <s v="Graduate"/>
    <s v="5/8/2019"/>
    <s v="California"/>
    <n v="93"/>
    <n v="2065"/>
    <n v="23"/>
    <n v="286"/>
    <n v="32"/>
    <n v="0"/>
    <n v="136"/>
    <n v="2270"/>
    <n v="4"/>
    <n v="10"/>
    <n v="7"/>
    <n v="5"/>
    <n v="8"/>
    <n v="0"/>
    <n v="0"/>
    <n v="0"/>
    <n v="0"/>
    <n v="1"/>
    <n v="0"/>
    <n v="0"/>
  </r>
  <r>
    <n v="1082"/>
    <n v="150388"/>
    <n v="0"/>
    <n v="1"/>
    <x v="39"/>
    <s v="Single"/>
    <s v="Graduate"/>
    <s v="11/1/2020"/>
    <s v="New York"/>
    <n v="3"/>
    <n v="872"/>
    <n v="18"/>
    <n v="110"/>
    <n v="0"/>
    <n v="9"/>
    <n v="101"/>
    <n v="907"/>
    <n v="4"/>
    <n v="6"/>
    <n v="1"/>
    <n v="6"/>
    <n v="7"/>
    <n v="0"/>
    <n v="1"/>
    <n v="1"/>
    <n v="0"/>
    <n v="0"/>
    <n v="1"/>
    <n v="0"/>
  </r>
  <r>
    <n v="3093"/>
    <n v="150116"/>
    <n v="1"/>
    <n v="1"/>
    <x v="39"/>
    <s v="Together"/>
    <s v="Graduate"/>
    <s v="11/24/2020"/>
    <s v="Texas"/>
    <n v="68"/>
    <n v="162"/>
    <n v="0"/>
    <n v="30"/>
    <n v="0"/>
    <n v="0"/>
    <n v="6"/>
    <n v="186"/>
    <n v="2"/>
    <n v="1"/>
    <n v="0"/>
    <n v="4"/>
    <n v="5"/>
    <n v="0"/>
    <n v="0"/>
    <n v="0"/>
    <n v="0"/>
    <n v="0"/>
    <n v="1"/>
    <n v="0"/>
  </r>
  <r>
    <n v="2812"/>
    <n v="147743"/>
    <n v="0"/>
    <n v="1"/>
    <x v="39"/>
    <s v="Married"/>
    <s v="Graduate"/>
    <s v="8/27/2019"/>
    <s v="Other"/>
    <n v="56"/>
    <n v="613"/>
    <n v="6"/>
    <n v="133"/>
    <n v="0"/>
    <n v="37"/>
    <n v="62"/>
    <n v="727"/>
    <n v="3"/>
    <n v="4"/>
    <n v="1"/>
    <n v="6"/>
    <n v="6"/>
    <n v="0"/>
    <n v="0"/>
    <n v="0"/>
    <n v="0"/>
    <n v="0"/>
    <n v="1"/>
    <n v="0"/>
  </r>
  <r>
    <n v="3130"/>
    <n v="147320"/>
    <n v="0"/>
    <n v="1"/>
    <x v="39"/>
    <s v="Together"/>
    <s v="Graduate"/>
    <s v="1/6/2020"/>
    <s v="Other"/>
    <n v="10"/>
    <n v="623"/>
    <n v="59"/>
    <n v="346"/>
    <n v="156"/>
    <n v="47"/>
    <n v="59"/>
    <n v="1171"/>
    <n v="6"/>
    <n v="5"/>
    <n v="1"/>
    <n v="8"/>
    <n v="6"/>
    <n v="0"/>
    <n v="0"/>
    <n v="0"/>
    <n v="0"/>
    <n v="0"/>
    <n v="0"/>
    <n v="0"/>
  </r>
  <r>
    <n v="2861"/>
    <n v="144155"/>
    <n v="1"/>
    <n v="1"/>
    <x v="39"/>
    <s v="Married"/>
    <s v="PhD"/>
    <s v="6/25/2020"/>
    <s v="California"/>
    <n v="24"/>
    <n v="72"/>
    <n v="3"/>
    <n v="29"/>
    <n v="0"/>
    <n v="0"/>
    <n v="46"/>
    <n v="59"/>
    <n v="1"/>
    <n v="1"/>
    <n v="1"/>
    <n v="2"/>
    <n v="4"/>
    <n v="0"/>
    <n v="0"/>
    <n v="0"/>
    <n v="0"/>
    <n v="0"/>
    <n v="0"/>
    <n v="0"/>
  </r>
  <r>
    <n v="2162"/>
    <n v="143140"/>
    <n v="0"/>
    <n v="1"/>
    <x v="39"/>
    <s v="Married"/>
    <s v="Graduate"/>
    <s v="6/12/2019"/>
    <s v="New York"/>
    <n v="68"/>
    <n v="445"/>
    <n v="27"/>
    <n v="252"/>
    <n v="20"/>
    <n v="0"/>
    <n v="36"/>
    <n v="707"/>
    <n v="1"/>
    <n v="4"/>
    <n v="1"/>
    <n v="5"/>
    <n v="6"/>
    <n v="0"/>
    <n v="0"/>
    <n v="0"/>
    <n v="0"/>
    <n v="0"/>
    <n v="0"/>
    <n v="0"/>
  </r>
  <r>
    <n v="2191"/>
    <n v="142213"/>
    <n v="0"/>
    <n v="1"/>
    <x v="39"/>
    <s v="Together"/>
    <s v="Graduate"/>
    <s v="3/18/2020"/>
    <s v="Illinois"/>
    <n v="96"/>
    <n v="1041"/>
    <n v="10"/>
    <n v="81"/>
    <n v="13"/>
    <n v="10"/>
    <n v="67"/>
    <n v="1088"/>
    <n v="2"/>
    <n v="5"/>
    <n v="1"/>
    <n v="7"/>
    <n v="7"/>
    <n v="0"/>
    <n v="0"/>
    <n v="0"/>
    <n v="0"/>
    <n v="0"/>
    <n v="1"/>
    <n v="0"/>
  </r>
  <r>
    <n v="2673"/>
    <n v="141437"/>
    <n v="1"/>
    <n v="1"/>
    <x v="39"/>
    <s v="Divorced"/>
    <s v="PhD"/>
    <s v="2/27/2019"/>
    <s v="Texas"/>
    <n v="5"/>
    <n v="99"/>
    <n v="0"/>
    <n v="7"/>
    <n v="0"/>
    <n v="0"/>
    <n v="3"/>
    <n v="102"/>
    <n v="1"/>
    <n v="1"/>
    <n v="0"/>
    <n v="3"/>
    <n v="7"/>
    <n v="0"/>
    <n v="0"/>
    <n v="0"/>
    <n v="0"/>
    <n v="0"/>
    <n v="0"/>
    <n v="0"/>
  </r>
  <r>
    <n v="1246"/>
    <n v="140737"/>
    <n v="2"/>
    <n v="1"/>
    <x v="39"/>
    <s v="Single"/>
    <s v="PhD"/>
    <s v="5/14/2020"/>
    <s v="Other"/>
    <n v="24"/>
    <n v="38"/>
    <n v="0"/>
    <n v="14"/>
    <n v="0"/>
    <n v="0"/>
    <n v="7"/>
    <n v="45"/>
    <n v="1"/>
    <n v="1"/>
    <n v="0"/>
    <n v="2"/>
    <n v="8"/>
    <n v="0"/>
    <n v="0"/>
    <n v="0"/>
    <n v="0"/>
    <n v="0"/>
    <n v="0"/>
    <n v="0"/>
  </r>
  <r>
    <n v="2189"/>
    <n v="140451"/>
    <n v="0"/>
    <n v="2"/>
    <x v="39"/>
    <s v="Together"/>
    <s v="PhD"/>
    <s v="7/23/2020"/>
    <s v="California"/>
    <n v="54"/>
    <n v="122"/>
    <n v="0"/>
    <n v="14"/>
    <n v="0"/>
    <n v="0"/>
    <n v="35"/>
    <n v="101"/>
    <n v="1"/>
    <n v="1"/>
    <n v="1"/>
    <n v="2"/>
    <n v="5"/>
    <n v="0"/>
    <n v="0"/>
    <n v="0"/>
    <n v="0"/>
    <n v="1"/>
    <n v="0"/>
    <n v="0"/>
  </r>
  <r>
    <n v="2263"/>
    <n v="137633"/>
    <n v="1"/>
    <n v="1"/>
    <x v="39"/>
    <s v="Married"/>
    <s v="PhD"/>
    <s v="2/25/2019"/>
    <s v="Illinois"/>
    <n v="49"/>
    <n v="48"/>
    <n v="15"/>
    <n v="73"/>
    <n v="0"/>
    <n v="0"/>
    <n v="4"/>
    <n v="132"/>
    <n v="2"/>
    <n v="1"/>
    <n v="0"/>
    <n v="3"/>
    <n v="9"/>
    <n v="0"/>
    <n v="0"/>
    <n v="0"/>
    <n v="0"/>
    <n v="0"/>
    <n v="0"/>
    <n v="0"/>
  </r>
  <r>
    <n v="2379"/>
    <n v="136864"/>
    <n v="0"/>
    <n v="1"/>
    <x v="39"/>
    <s v="Single"/>
    <s v="Graduate"/>
    <s v="1/18/2019"/>
    <s v="Texas"/>
    <n v="53"/>
    <n v="757"/>
    <n v="19"/>
    <n v="145"/>
    <n v="63"/>
    <n v="0"/>
    <n v="330"/>
    <n v="653"/>
    <n v="3"/>
    <n v="5"/>
    <n v="2"/>
    <n v="4"/>
    <n v="8"/>
    <n v="0"/>
    <n v="1"/>
    <n v="0"/>
    <n v="0"/>
    <n v="0"/>
    <n v="0"/>
    <n v="0"/>
  </r>
  <r>
    <n v="1158"/>
    <n v="126091"/>
    <n v="1"/>
    <n v="1"/>
    <x v="39"/>
    <s v="Together"/>
    <s v="Graduate"/>
    <s v="8/1/2020"/>
    <s v="Florida"/>
    <n v="84"/>
    <n v="72"/>
    <n v="48"/>
    <n v="92"/>
    <n v="39"/>
    <n v="82"/>
    <n v="97"/>
    <n v="237"/>
    <n v="3"/>
    <n v="2"/>
    <n v="1"/>
    <n v="3"/>
    <n v="5"/>
    <n v="0"/>
    <n v="0"/>
    <n v="0"/>
    <n v="0"/>
    <n v="0"/>
    <n v="0"/>
    <n v="0"/>
  </r>
  <r>
    <n v="1978"/>
    <n v="126091"/>
    <n v="1"/>
    <n v="1"/>
    <x v="39"/>
    <s v="Together"/>
    <s v="Graduate"/>
    <s v="8/1/2020"/>
    <s v="Other"/>
    <n v="84"/>
    <n v="72"/>
    <n v="48"/>
    <n v="92"/>
    <n v="39"/>
    <n v="82"/>
    <n v="97"/>
    <n v="237"/>
    <n v="3"/>
    <n v="2"/>
    <n v="1"/>
    <n v="3"/>
    <n v="5"/>
    <n v="0"/>
    <n v="0"/>
    <n v="0"/>
    <n v="0"/>
    <n v="0"/>
    <n v="0"/>
    <n v="0"/>
  </r>
  <r>
    <n v="3111"/>
    <n v="123539"/>
    <n v="0"/>
    <n v="0"/>
    <x v="39"/>
    <s v="Married"/>
    <s v="Graduate"/>
    <s v="8/4/2020"/>
    <s v="Texas"/>
    <n v="13"/>
    <n v="21"/>
    <n v="126"/>
    <n v="58"/>
    <n v="84"/>
    <n v="5"/>
    <n v="131"/>
    <n v="163"/>
    <n v="1"/>
    <n v="2"/>
    <n v="0"/>
    <n v="4"/>
    <n v="6"/>
    <n v="0"/>
    <n v="0"/>
    <n v="0"/>
    <n v="0"/>
    <n v="0"/>
    <n v="0"/>
    <n v="0"/>
  </r>
  <r>
    <n v="1041"/>
    <n v="121994"/>
    <n v="0"/>
    <n v="1"/>
    <x v="39"/>
    <s v="Together"/>
    <s v="Graduate"/>
    <s v="5/31/2019"/>
    <s v="Texas"/>
    <n v="4"/>
    <n v="50"/>
    <n v="0"/>
    <n v="33"/>
    <n v="17"/>
    <n v="6"/>
    <n v="17"/>
    <n v="89"/>
    <n v="1"/>
    <n v="0"/>
    <n v="0"/>
    <n v="3"/>
    <n v="5"/>
    <n v="0"/>
    <n v="0"/>
    <n v="0"/>
    <n v="0"/>
    <n v="0"/>
    <n v="0"/>
    <n v="0"/>
  </r>
  <r>
    <n v="2960"/>
    <n v="121994"/>
    <n v="0"/>
    <n v="1"/>
    <x v="39"/>
    <s v="Together"/>
    <s v="Graduate"/>
    <s v="5/31/2019"/>
    <s v="New York"/>
    <n v="4"/>
    <n v="50"/>
    <n v="0"/>
    <n v="33"/>
    <n v="17"/>
    <n v="6"/>
    <n v="17"/>
    <n v="89"/>
    <n v="1"/>
    <n v="0"/>
    <n v="0"/>
    <n v="3"/>
    <n v="5"/>
    <n v="0"/>
    <n v="0"/>
    <n v="0"/>
    <n v="0"/>
    <n v="0"/>
    <n v="0"/>
    <n v="0"/>
  </r>
  <r>
    <n v="1755"/>
    <n v="106835"/>
    <n v="0"/>
    <n v="1"/>
    <x v="39"/>
    <s v="Together"/>
    <s v="PhD"/>
    <s v="5/15/2019"/>
    <s v="Texas"/>
    <n v="76"/>
    <n v="1672"/>
    <n v="31"/>
    <n v="188"/>
    <n v="31"/>
    <n v="31"/>
    <n v="188"/>
    <n v="1766"/>
    <n v="0"/>
    <n v="0"/>
    <n v="0"/>
    <n v="1"/>
    <n v="20"/>
    <n v="0"/>
    <n v="0"/>
    <n v="0"/>
    <n v="0"/>
    <n v="0"/>
    <n v="0"/>
    <n v="0"/>
  </r>
  <r>
    <n v="2897"/>
    <n v="191249"/>
    <n v="0"/>
    <n v="0"/>
    <x v="40"/>
    <s v="Single"/>
    <s v="Graduate"/>
    <s v="3/27/2019"/>
    <s v="California"/>
    <n v="84"/>
    <n v="2775"/>
    <n v="57"/>
    <n v="249"/>
    <n v="149"/>
    <n v="226"/>
    <n v="57"/>
    <n v="3400"/>
    <n v="0"/>
    <n v="7"/>
    <n v="9"/>
    <n v="6"/>
    <n v="4"/>
    <n v="0"/>
    <n v="1"/>
    <n v="1"/>
    <n v="1"/>
    <n v="0"/>
    <n v="1"/>
    <n v="1"/>
  </r>
  <r>
    <n v="2783"/>
    <n v="190369"/>
    <n v="0"/>
    <n v="0"/>
    <x v="40"/>
    <s v="Married"/>
    <s v="Graduate"/>
    <s v="10/2/2020"/>
    <s v="California"/>
    <n v="2"/>
    <n v="615"/>
    <n v="107"/>
    <n v="2067"/>
    <n v="472"/>
    <n v="48"/>
    <n v="36"/>
    <n v="3274"/>
    <n v="1"/>
    <n v="4"/>
    <n v="6"/>
    <n v="6"/>
    <n v="1"/>
    <n v="0"/>
    <n v="1"/>
    <n v="0"/>
    <n v="0"/>
    <n v="0"/>
    <n v="0"/>
    <n v="0"/>
  </r>
  <r>
    <n v="2577"/>
    <n v="190226"/>
    <n v="0"/>
    <n v="0"/>
    <x v="40"/>
    <s v="Married"/>
    <s v="Master"/>
    <s v="3/3/2019"/>
    <s v="Texas"/>
    <n v="26"/>
    <n v="2283"/>
    <n v="228"/>
    <n v="1368"/>
    <n v="533"/>
    <n v="318"/>
    <n v="228"/>
    <n v="4503"/>
    <n v="1"/>
    <n v="4"/>
    <n v="7"/>
    <n v="12"/>
    <n v="2"/>
    <n v="0"/>
    <n v="0"/>
    <n v="1"/>
    <n v="0"/>
    <n v="0"/>
    <n v="0"/>
    <n v="0"/>
  </r>
  <r>
    <n v="1859"/>
    <n v="186424"/>
    <n v="0"/>
    <n v="0"/>
    <x v="40"/>
    <s v="Single"/>
    <s v="Master"/>
    <s v="9/9/2020"/>
    <s v="California"/>
    <n v="12"/>
    <n v="835"/>
    <n v="147"/>
    <n v="1227"/>
    <n v="192"/>
    <n v="97"/>
    <n v="147"/>
    <n v="2351"/>
    <n v="1"/>
    <n v="6"/>
    <n v="9"/>
    <n v="12"/>
    <n v="1"/>
    <n v="0"/>
    <n v="0"/>
    <n v="0"/>
    <n v="0"/>
    <n v="0"/>
    <n v="0"/>
    <n v="0"/>
  </r>
  <r>
    <n v="3155"/>
    <n v="184117"/>
    <n v="0"/>
    <n v="0"/>
    <x v="40"/>
    <s v="Married"/>
    <s v="PhD"/>
    <s v="10/15/2020"/>
    <s v="California"/>
    <n v="60"/>
    <n v="1337"/>
    <n v="166"/>
    <n v="1639"/>
    <n v="129"/>
    <n v="98"/>
    <n v="57"/>
    <n v="3314"/>
    <n v="1"/>
    <n v="7"/>
    <n v="10"/>
    <n v="6"/>
    <n v="2"/>
    <n v="0"/>
    <n v="0"/>
    <n v="0"/>
    <n v="0"/>
    <n v="0"/>
    <n v="0"/>
    <n v="1"/>
  </r>
  <r>
    <n v="2063"/>
    <n v="179456"/>
    <n v="0"/>
    <n v="0"/>
    <x v="40"/>
    <s v="Married"/>
    <s v="Graduate"/>
    <s v="1/27/2019"/>
    <s v="California"/>
    <n v="12"/>
    <n v="1276"/>
    <n v="95"/>
    <n v="1238"/>
    <n v="145"/>
    <n v="187"/>
    <n v="224"/>
    <n v="2717"/>
    <n v="1"/>
    <n v="5"/>
    <n v="6"/>
    <n v="4"/>
    <n v="3"/>
    <n v="0"/>
    <n v="1"/>
    <n v="0"/>
    <n v="0"/>
    <n v="0"/>
    <n v="0"/>
    <n v="0"/>
  </r>
  <r>
    <n v="1981"/>
    <n v="178028"/>
    <n v="0"/>
    <n v="1"/>
    <x v="40"/>
    <s v="Widow"/>
    <s v="PhD"/>
    <s v="2/15/2019"/>
    <s v="Illinois"/>
    <n v="38"/>
    <n v="360"/>
    <n v="43"/>
    <n v="657"/>
    <n v="57"/>
    <n v="0"/>
    <n v="87"/>
    <n v="1031"/>
    <n v="1"/>
    <n v="6"/>
    <n v="4"/>
    <n v="9"/>
    <n v="7"/>
    <n v="0"/>
    <n v="1"/>
    <n v="0"/>
    <n v="0"/>
    <n v="0"/>
    <n v="1"/>
    <n v="1"/>
  </r>
  <r>
    <n v="1120"/>
    <n v="177376"/>
    <n v="1"/>
    <n v="1"/>
    <x v="40"/>
    <s v="Together"/>
    <s v="PhD"/>
    <s v="10/14/2020"/>
    <s v="Other"/>
    <n v="72"/>
    <n v="1128"/>
    <n v="44"/>
    <n v="252"/>
    <n v="37"/>
    <n v="28"/>
    <n v="28"/>
    <n v="1460"/>
    <n v="4"/>
    <n v="6"/>
    <n v="3"/>
    <n v="10"/>
    <n v="4"/>
    <n v="0"/>
    <n v="0"/>
    <n v="0"/>
    <n v="0"/>
    <n v="0"/>
    <n v="0"/>
    <n v="0"/>
  </r>
  <r>
    <n v="2330"/>
    <n v="176542"/>
    <n v="0"/>
    <n v="0"/>
    <x v="40"/>
    <s v="Together"/>
    <s v="PhD"/>
    <s v="9/4/2019"/>
    <s v="New York"/>
    <n v="91"/>
    <n v="1831"/>
    <n v="168"/>
    <n v="1322"/>
    <n v="0"/>
    <n v="67"/>
    <n v="32"/>
    <n v="3356"/>
    <n v="1"/>
    <n v="4"/>
    <n v="8"/>
    <n v="10"/>
    <n v="2"/>
    <n v="0"/>
    <n v="0"/>
    <n v="0"/>
    <n v="0"/>
    <n v="0"/>
    <n v="0"/>
    <n v="0"/>
  </r>
  <r>
    <n v="3044"/>
    <n v="171866"/>
    <n v="0"/>
    <n v="1"/>
    <x v="40"/>
    <s v="Married"/>
    <s v="Graduate"/>
    <s v="5/31/2020"/>
    <s v="New York"/>
    <n v="85"/>
    <n v="440"/>
    <n v="426"/>
    <n v="426"/>
    <n v="246"/>
    <n v="93"/>
    <n v="79"/>
    <n v="1552"/>
    <n v="1"/>
    <n v="6"/>
    <n v="3"/>
    <n v="10"/>
    <n v="3"/>
    <n v="0"/>
    <n v="0"/>
    <n v="0"/>
    <n v="0"/>
    <n v="0"/>
    <n v="0"/>
    <n v="0"/>
  </r>
  <r>
    <n v="1816"/>
    <n v="171391"/>
    <n v="0"/>
    <n v="1"/>
    <x v="40"/>
    <s v="Married"/>
    <s v="Graduate"/>
    <s v="9/3/2019"/>
    <s v="Other"/>
    <n v="50"/>
    <n v="807"/>
    <n v="295"/>
    <n v="658"/>
    <n v="110"/>
    <n v="295"/>
    <n v="339"/>
    <n v="1827"/>
    <n v="5"/>
    <n v="6"/>
    <n v="5"/>
    <n v="12"/>
    <n v="3"/>
    <n v="0"/>
    <n v="0"/>
    <n v="0"/>
    <n v="0"/>
    <n v="0"/>
    <n v="0"/>
    <n v="0"/>
  </r>
  <r>
    <n v="3204"/>
    <n v="169245"/>
    <n v="0"/>
    <n v="1"/>
    <x v="40"/>
    <s v="Together"/>
    <s v="Master"/>
    <s v="6/30/2020"/>
    <s v="Florida"/>
    <n v="8"/>
    <n v="1046"/>
    <n v="73"/>
    <n v="523"/>
    <n v="196"/>
    <n v="73"/>
    <n v="149"/>
    <n v="1762"/>
    <n v="2"/>
    <n v="6"/>
    <n v="5"/>
    <n v="10"/>
    <n v="3"/>
    <n v="0"/>
    <n v="0"/>
    <n v="0"/>
    <n v="0"/>
    <n v="0"/>
    <n v="0"/>
    <n v="0"/>
  </r>
  <r>
    <n v="2740"/>
    <n v="167131"/>
    <n v="0"/>
    <n v="1"/>
    <x v="40"/>
    <s v="Married"/>
    <s v="Graduate"/>
    <s v="8/31/2019"/>
    <s v="Other"/>
    <n v="72"/>
    <n v="1158"/>
    <n v="177"/>
    <n v="622"/>
    <n v="232"/>
    <n v="87"/>
    <n v="154"/>
    <n v="2121"/>
    <n v="3"/>
    <n v="9"/>
    <n v="2"/>
    <n v="12"/>
    <n v="6"/>
    <n v="0"/>
    <n v="0"/>
    <n v="0"/>
    <n v="0"/>
    <n v="0"/>
    <n v="0"/>
    <n v="0"/>
  </r>
  <r>
    <n v="1317"/>
    <n v="166334"/>
    <n v="0"/>
    <n v="1"/>
    <x v="40"/>
    <s v="Married"/>
    <s v="PhD"/>
    <s v="9/8/2019"/>
    <s v="Texas"/>
    <n v="82"/>
    <n v="2279"/>
    <n v="28"/>
    <n v="547"/>
    <n v="0"/>
    <n v="0"/>
    <n v="58"/>
    <n v="2796"/>
    <n v="2"/>
    <n v="9"/>
    <n v="3"/>
    <n v="5"/>
    <n v="5"/>
    <n v="0"/>
    <n v="1"/>
    <n v="0"/>
    <n v="0"/>
    <n v="0"/>
    <n v="0"/>
    <n v="0"/>
  </r>
  <r>
    <n v="2291"/>
    <n v="164857"/>
    <n v="0"/>
    <n v="0"/>
    <x v="40"/>
    <s v="Single"/>
    <s v="Master"/>
    <s v="4/30/2019"/>
    <s v="California"/>
    <n v="78"/>
    <n v="1413"/>
    <n v="36"/>
    <n v="1823"/>
    <n v="534"/>
    <n v="0"/>
    <n v="109"/>
    <n v="3696"/>
    <n v="1"/>
    <n v="7"/>
    <n v="5"/>
    <n v="10"/>
    <n v="4"/>
    <n v="0"/>
    <n v="0"/>
    <n v="0"/>
    <n v="0"/>
    <n v="0"/>
    <n v="0"/>
    <n v="0"/>
  </r>
  <r>
    <n v="2452"/>
    <n v="164857"/>
    <n v="0"/>
    <n v="0"/>
    <x v="40"/>
    <s v="Single"/>
    <s v="Master"/>
    <s v="4/30/2019"/>
    <s v="Other"/>
    <n v="78"/>
    <n v="1413"/>
    <n v="36"/>
    <n v="1823"/>
    <n v="534"/>
    <n v="0"/>
    <n v="109"/>
    <n v="3696"/>
    <n v="1"/>
    <n v="7"/>
    <n v="5"/>
    <n v="10"/>
    <n v="4"/>
    <n v="0"/>
    <n v="0"/>
    <n v="0"/>
    <n v="0"/>
    <n v="0"/>
    <n v="0"/>
    <n v="0"/>
  </r>
  <r>
    <n v="1877"/>
    <n v="164090"/>
    <n v="0"/>
    <n v="1"/>
    <x v="40"/>
    <s v="Together"/>
    <s v="Graduate"/>
    <s v="1/12/2020"/>
    <s v="California"/>
    <n v="8"/>
    <n v="809"/>
    <n v="148"/>
    <n v="412"/>
    <n v="195"/>
    <n v="131"/>
    <n v="346"/>
    <n v="1349"/>
    <n v="1"/>
    <n v="6"/>
    <n v="9"/>
    <n v="4"/>
    <n v="5"/>
    <n v="0"/>
    <n v="1"/>
    <n v="0"/>
    <n v="0"/>
    <n v="0"/>
    <n v="0"/>
    <n v="0"/>
  </r>
  <r>
    <n v="2528"/>
    <n v="163943"/>
    <n v="0"/>
    <n v="1"/>
    <x v="40"/>
    <s v="Married"/>
    <s v="Graduate"/>
    <s v="2/7/2019"/>
    <s v="New York"/>
    <n v="50"/>
    <n v="1085"/>
    <n v="472"/>
    <n v="944"/>
    <n v="33"/>
    <n v="249"/>
    <n v="54"/>
    <n v="2728"/>
    <n v="1"/>
    <n v="6"/>
    <n v="4"/>
    <n v="6"/>
    <n v="5"/>
    <n v="0"/>
    <n v="0"/>
    <n v="0"/>
    <n v="0"/>
    <n v="0"/>
    <n v="0"/>
    <n v="0"/>
  </r>
  <r>
    <n v="2371"/>
    <n v="163915"/>
    <n v="0"/>
    <n v="2"/>
    <x v="40"/>
    <s v="Married"/>
    <s v="Master"/>
    <s v="1/4/2020"/>
    <s v="Illinois"/>
    <n v="2"/>
    <n v="1595"/>
    <n v="18"/>
    <n v="295"/>
    <n v="77"/>
    <n v="0"/>
    <n v="38"/>
    <n v="1947"/>
    <n v="2"/>
    <n v="6"/>
    <n v="3"/>
    <n v="12"/>
    <n v="5"/>
    <n v="0"/>
    <n v="0"/>
    <n v="0"/>
    <n v="0"/>
    <n v="0"/>
    <n v="0"/>
    <n v="0"/>
  </r>
  <r>
    <n v="1459"/>
    <n v="162503"/>
    <n v="0"/>
    <n v="1"/>
    <x v="40"/>
    <s v="Married"/>
    <s v="Graduate"/>
    <s v="7/26/2019"/>
    <s v="Illinois"/>
    <n v="40"/>
    <n v="1243"/>
    <n v="0"/>
    <n v="502"/>
    <n v="286"/>
    <n v="195"/>
    <n v="304"/>
    <n v="1921"/>
    <n v="4"/>
    <n v="8"/>
    <n v="3"/>
    <n v="11"/>
    <n v="5"/>
    <n v="0"/>
    <n v="0"/>
    <n v="0"/>
    <n v="0"/>
    <n v="0"/>
    <n v="0"/>
    <n v="0"/>
  </r>
  <r>
    <n v="1750"/>
    <n v="162058"/>
    <n v="0"/>
    <n v="1"/>
    <x v="40"/>
    <s v="Married"/>
    <s v="Master"/>
    <s v="10/31/2019"/>
    <s v="Other"/>
    <n v="52"/>
    <n v="786"/>
    <n v="18"/>
    <n v="193"/>
    <n v="26"/>
    <n v="0"/>
    <n v="151"/>
    <n v="872"/>
    <n v="4"/>
    <n v="6"/>
    <n v="1"/>
    <n v="7"/>
    <n v="6"/>
    <n v="0"/>
    <n v="0"/>
    <n v="0"/>
    <n v="0"/>
    <n v="0"/>
    <n v="0"/>
    <n v="0"/>
  </r>
  <r>
    <n v="1263"/>
    <n v="160714"/>
    <n v="0"/>
    <n v="0"/>
    <x v="40"/>
    <s v="Single"/>
    <s v="Graduate"/>
    <s v="6/24/2019"/>
    <s v="Texas"/>
    <n v="56"/>
    <n v="572"/>
    <n v="429"/>
    <n v="593"/>
    <n v="267"/>
    <n v="244"/>
    <n v="429"/>
    <n v="1676"/>
    <n v="2"/>
    <n v="7"/>
    <n v="4"/>
    <n v="10"/>
    <n v="5"/>
    <n v="0"/>
    <n v="1"/>
    <n v="0"/>
    <n v="0"/>
    <n v="0"/>
    <n v="0"/>
    <n v="0"/>
  </r>
  <r>
    <n v="2691"/>
    <n v="160230"/>
    <n v="0"/>
    <n v="1"/>
    <x v="40"/>
    <s v="Single"/>
    <s v="Graduate"/>
    <s v="10/25/2019"/>
    <s v="Texas"/>
    <n v="78"/>
    <n v="1383"/>
    <n v="53"/>
    <n v="976"/>
    <n v="104"/>
    <n v="215"/>
    <n v="106"/>
    <n v="2626"/>
    <n v="2"/>
    <n v="6"/>
    <n v="3"/>
    <n v="6"/>
    <n v="5"/>
    <n v="0"/>
    <n v="0"/>
    <n v="0"/>
    <n v="0"/>
    <n v="0"/>
    <n v="0"/>
    <n v="0"/>
  </r>
  <r>
    <n v="1288"/>
    <n v="158821"/>
    <n v="0"/>
    <n v="1"/>
    <x v="40"/>
    <s v="Together"/>
    <s v="Graduate"/>
    <s v="3/18/2020"/>
    <s v="Other"/>
    <n v="44"/>
    <n v="1385"/>
    <n v="38"/>
    <n v="416"/>
    <n v="51"/>
    <n v="0"/>
    <n v="76"/>
    <n v="1814"/>
    <n v="1"/>
    <n v="9"/>
    <n v="2"/>
    <n v="9"/>
    <n v="6"/>
    <n v="0"/>
    <n v="0"/>
    <n v="0"/>
    <n v="0"/>
    <n v="0"/>
    <n v="0"/>
    <n v="0"/>
  </r>
  <r>
    <n v="2681"/>
    <n v="158656"/>
    <n v="0"/>
    <n v="1"/>
    <x v="40"/>
    <s v="Together"/>
    <s v="Master"/>
    <s v="2/25/2019"/>
    <s v="California"/>
    <n v="25"/>
    <n v="2602"/>
    <n v="32"/>
    <n v="525"/>
    <n v="43"/>
    <n v="65"/>
    <n v="32"/>
    <n v="3235"/>
    <n v="4"/>
    <n v="7"/>
    <n v="8"/>
    <n v="13"/>
    <n v="6"/>
    <n v="0"/>
    <n v="0"/>
    <n v="0"/>
    <n v="0"/>
    <n v="0"/>
    <n v="0"/>
    <n v="1"/>
  </r>
  <r>
    <n v="2964"/>
    <n v="158116"/>
    <n v="0"/>
    <n v="1"/>
    <x v="40"/>
    <s v="Married"/>
    <s v="Graduate"/>
    <s v="9/17/2020"/>
    <s v="Florida"/>
    <n v="38"/>
    <n v="620"/>
    <n v="52"/>
    <n v="354"/>
    <n v="11"/>
    <n v="30"/>
    <n v="139"/>
    <n v="928"/>
    <n v="2"/>
    <n v="3"/>
    <n v="3"/>
    <n v="8"/>
    <n v="2"/>
    <n v="0"/>
    <n v="0"/>
    <n v="0"/>
    <n v="0"/>
    <n v="0"/>
    <n v="0"/>
    <n v="0"/>
  </r>
  <r>
    <n v="1828"/>
    <n v="155284"/>
    <n v="0"/>
    <n v="1"/>
    <x v="40"/>
    <s v="Single"/>
    <s v="Master"/>
    <s v="5/31/2019"/>
    <s v="Other"/>
    <n v="60"/>
    <n v="1536"/>
    <n v="20"/>
    <n v="393"/>
    <n v="0"/>
    <n v="20"/>
    <n v="177"/>
    <n v="1792"/>
    <n v="3"/>
    <n v="7"/>
    <n v="5"/>
    <n v="8"/>
    <n v="5"/>
    <n v="0"/>
    <n v="0"/>
    <n v="0"/>
    <n v="0"/>
    <n v="0"/>
    <n v="0"/>
    <n v="0"/>
  </r>
  <r>
    <n v="2217"/>
    <n v="155249"/>
    <n v="0"/>
    <n v="1"/>
    <x v="40"/>
    <s v="Together"/>
    <s v="Master"/>
    <s v="9/21/2020"/>
    <s v="Texas"/>
    <n v="81"/>
    <n v="273"/>
    <n v="3"/>
    <n v="53"/>
    <n v="6"/>
    <n v="0"/>
    <n v="31"/>
    <n v="303"/>
    <n v="1"/>
    <n v="2"/>
    <n v="1"/>
    <n v="4"/>
    <n v="3"/>
    <n v="0"/>
    <n v="0"/>
    <n v="0"/>
    <n v="0"/>
    <n v="0"/>
    <n v="0"/>
    <n v="0"/>
  </r>
  <r>
    <n v="2911"/>
    <n v="154998"/>
    <n v="0"/>
    <n v="1"/>
    <x v="40"/>
    <s v="Single"/>
    <s v="PhD"/>
    <s v="8/15/2019"/>
    <s v="Illinois"/>
    <n v="3"/>
    <n v="434"/>
    <n v="62"/>
    <n v="569"/>
    <n v="110"/>
    <n v="85"/>
    <n v="23"/>
    <n v="1237"/>
    <n v="5"/>
    <n v="4"/>
    <n v="2"/>
    <n v="9"/>
    <n v="4"/>
    <n v="0"/>
    <n v="1"/>
    <n v="0"/>
    <n v="0"/>
    <n v="0"/>
    <n v="0"/>
    <n v="0"/>
  </r>
  <r>
    <n v="1563"/>
    <n v="154603"/>
    <n v="1"/>
    <n v="1"/>
    <x v="40"/>
    <s v="Together"/>
    <s v="Master"/>
    <s v="12/14/2019"/>
    <s v="Texas"/>
    <n v="85"/>
    <n v="411"/>
    <n v="37"/>
    <n v="130"/>
    <n v="48"/>
    <n v="6"/>
    <n v="11"/>
    <n v="620"/>
    <n v="6"/>
    <n v="4"/>
    <n v="2"/>
    <n v="4"/>
    <n v="7"/>
    <n v="0"/>
    <n v="0"/>
    <n v="0"/>
    <n v="0"/>
    <n v="0"/>
    <n v="0"/>
    <n v="0"/>
  </r>
  <r>
    <n v="2128"/>
    <n v="154450"/>
    <n v="1"/>
    <n v="1"/>
    <x v="40"/>
    <s v="Together"/>
    <s v="Graduate"/>
    <s v="2/19/2019"/>
    <s v="Other"/>
    <n v="0"/>
    <n v="1288"/>
    <n v="0"/>
    <n v="485"/>
    <n v="23"/>
    <n v="54"/>
    <n v="91"/>
    <n v="1759"/>
    <n v="12"/>
    <n v="9"/>
    <n v="2"/>
    <n v="8"/>
    <n v="8"/>
    <n v="0"/>
    <n v="0"/>
    <n v="0"/>
    <n v="0"/>
    <n v="0"/>
    <n v="0"/>
    <n v="0"/>
  </r>
  <r>
    <n v="2142"/>
    <n v="154450"/>
    <n v="1"/>
    <n v="1"/>
    <x v="40"/>
    <s v="Together"/>
    <s v="Graduate"/>
    <s v="2/19/2019"/>
    <s v="Florida"/>
    <n v="0"/>
    <n v="1288"/>
    <n v="0"/>
    <n v="485"/>
    <n v="23"/>
    <n v="54"/>
    <n v="91"/>
    <n v="1759"/>
    <n v="12"/>
    <n v="9"/>
    <n v="2"/>
    <n v="8"/>
    <n v="8"/>
    <n v="0"/>
    <n v="0"/>
    <n v="0"/>
    <n v="0"/>
    <n v="0"/>
    <n v="0"/>
    <n v="0"/>
  </r>
  <r>
    <n v="2360"/>
    <n v="154342"/>
    <n v="1"/>
    <n v="1"/>
    <x v="40"/>
    <s v="Together"/>
    <s v="Graduate"/>
    <s v="12/8/2019"/>
    <s v="New York"/>
    <n v="74"/>
    <n v="239"/>
    <n v="28"/>
    <n v="97"/>
    <n v="31"/>
    <n v="28"/>
    <n v="80"/>
    <n v="344"/>
    <n v="4"/>
    <n v="3"/>
    <n v="1"/>
    <n v="4"/>
    <n v="6"/>
    <n v="0"/>
    <n v="0"/>
    <n v="0"/>
    <n v="0"/>
    <n v="0"/>
    <n v="0"/>
    <n v="0"/>
  </r>
  <r>
    <n v="3066"/>
    <n v="154252"/>
    <n v="1"/>
    <n v="1"/>
    <x v="40"/>
    <s v="Single"/>
    <s v="Graduate"/>
    <s v="11/2/2019"/>
    <s v="Florida"/>
    <n v="25"/>
    <n v="506"/>
    <n v="11"/>
    <n v="74"/>
    <n v="23"/>
    <n v="11"/>
    <n v="125"/>
    <n v="500"/>
    <n v="5"/>
    <n v="4"/>
    <n v="1"/>
    <n v="5"/>
    <n v="6"/>
    <n v="0"/>
    <n v="0"/>
    <n v="0"/>
    <n v="0"/>
    <n v="0"/>
    <n v="0"/>
    <n v="0"/>
  </r>
  <r>
    <n v="3092"/>
    <n v="153230"/>
    <n v="0"/>
    <n v="1"/>
    <x v="40"/>
    <s v="Married"/>
    <s v="Graduate"/>
    <s v="1/8/2019"/>
    <s v="New York"/>
    <n v="86"/>
    <n v="507"/>
    <n v="207"/>
    <n v="282"/>
    <n v="391"/>
    <n v="60"/>
    <n v="659"/>
    <n v="789"/>
    <n v="4"/>
    <n v="5"/>
    <n v="2"/>
    <n v="12"/>
    <n v="5"/>
    <n v="0"/>
    <n v="0"/>
    <n v="0"/>
    <n v="0"/>
    <n v="0"/>
    <n v="0"/>
    <n v="0"/>
  </r>
  <r>
    <n v="2595"/>
    <n v="152973"/>
    <n v="0"/>
    <n v="1"/>
    <x v="40"/>
    <s v="Married"/>
    <s v="Master"/>
    <s v="4/15/2019"/>
    <s v="Texas"/>
    <n v="92"/>
    <n v="2472"/>
    <n v="0"/>
    <n v="219"/>
    <n v="35"/>
    <n v="26"/>
    <n v="575"/>
    <n v="2177"/>
    <n v="7"/>
    <n v="9"/>
    <n v="6"/>
    <n v="9"/>
    <n v="8"/>
    <n v="0"/>
    <n v="0"/>
    <n v="0"/>
    <n v="0"/>
    <n v="0"/>
    <n v="0"/>
    <n v="0"/>
  </r>
  <r>
    <n v="2186"/>
    <n v="150965"/>
    <n v="0"/>
    <n v="1"/>
    <x v="40"/>
    <s v="Married"/>
    <s v="Master"/>
    <s v="7/28/2019"/>
    <s v="New York"/>
    <n v="87"/>
    <n v="1611"/>
    <n v="39"/>
    <n v="252"/>
    <n v="24"/>
    <n v="18"/>
    <n v="86"/>
    <n v="1857"/>
    <n v="3"/>
    <n v="10"/>
    <n v="4"/>
    <n v="5"/>
    <n v="8"/>
    <n v="0"/>
    <n v="0"/>
    <n v="0"/>
    <n v="0"/>
    <n v="1"/>
    <n v="0"/>
    <n v="0"/>
  </r>
  <r>
    <n v="1419"/>
    <n v="150943"/>
    <n v="0"/>
    <n v="1"/>
    <x v="40"/>
    <s v="Together"/>
    <s v="Master"/>
    <s v="11/26/2019"/>
    <s v="Texas"/>
    <n v="49"/>
    <n v="92"/>
    <n v="0"/>
    <n v="21"/>
    <n v="6"/>
    <n v="0"/>
    <n v="18"/>
    <n v="101"/>
    <n v="1"/>
    <n v="1"/>
    <n v="0"/>
    <n v="3"/>
    <n v="5"/>
    <n v="0"/>
    <n v="0"/>
    <n v="0"/>
    <n v="0"/>
    <n v="0"/>
    <n v="0"/>
    <n v="0"/>
  </r>
  <r>
    <n v="1488"/>
    <n v="150943"/>
    <n v="0"/>
    <n v="1"/>
    <x v="40"/>
    <s v="Together"/>
    <s v="Master"/>
    <s v="11/26/2019"/>
    <s v="Florida"/>
    <n v="49"/>
    <n v="92"/>
    <n v="0"/>
    <n v="21"/>
    <n v="6"/>
    <n v="0"/>
    <n v="18"/>
    <n v="101"/>
    <n v="1"/>
    <n v="1"/>
    <n v="0"/>
    <n v="3"/>
    <n v="5"/>
    <n v="0"/>
    <n v="0"/>
    <n v="0"/>
    <n v="0"/>
    <n v="0"/>
    <n v="0"/>
    <n v="0"/>
  </r>
  <r>
    <n v="1274"/>
    <n v="150898"/>
    <n v="1"/>
    <n v="1"/>
    <x v="40"/>
    <s v="Together"/>
    <s v="Master"/>
    <s v="6/15/2019"/>
    <s v="New York"/>
    <n v="88"/>
    <n v="845"/>
    <n v="83"/>
    <n v="717"/>
    <n v="163"/>
    <n v="338"/>
    <n v="400"/>
    <n v="1746"/>
    <n v="13"/>
    <n v="6"/>
    <n v="2"/>
    <n v="12"/>
    <n v="5"/>
    <n v="0"/>
    <n v="0"/>
    <n v="0"/>
    <n v="0"/>
    <n v="0"/>
    <n v="0"/>
    <n v="0"/>
  </r>
  <r>
    <n v="2793"/>
    <n v="150387"/>
    <n v="0"/>
    <n v="2"/>
    <x v="40"/>
    <s v="Married"/>
    <s v="Graduate"/>
    <s v="2/5/2020"/>
    <s v="Texas"/>
    <n v="91"/>
    <n v="1101"/>
    <n v="27"/>
    <n v="260"/>
    <n v="36"/>
    <n v="42"/>
    <n v="101"/>
    <n v="1364"/>
    <n v="3"/>
    <n v="6"/>
    <n v="2"/>
    <n v="8"/>
    <n v="5"/>
    <n v="0"/>
    <n v="0"/>
    <n v="0"/>
    <n v="0"/>
    <n v="0"/>
    <n v="0"/>
    <n v="0"/>
  </r>
  <r>
    <n v="2997"/>
    <n v="148195"/>
    <n v="1"/>
    <n v="1"/>
    <x v="40"/>
    <s v="Married"/>
    <s v="Graduate"/>
    <s v="6/27/2020"/>
    <s v="Texas"/>
    <n v="53"/>
    <n v="326"/>
    <n v="83"/>
    <n v="209"/>
    <n v="160"/>
    <n v="22"/>
    <n v="15"/>
    <n v="784"/>
    <n v="6"/>
    <n v="4"/>
    <n v="2"/>
    <n v="5"/>
    <n v="6"/>
    <n v="0"/>
    <n v="0"/>
    <n v="0"/>
    <n v="0"/>
    <n v="0"/>
    <n v="0"/>
    <n v="0"/>
  </r>
  <r>
    <n v="2932"/>
    <n v="146998"/>
    <n v="0"/>
    <n v="1"/>
    <x v="40"/>
    <s v="Single"/>
    <s v="Graduate"/>
    <s v="3/29/2019"/>
    <s v="Other"/>
    <n v="55"/>
    <n v="538"/>
    <n v="128"/>
    <n v="269"/>
    <n v="141"/>
    <n v="19"/>
    <n v="84"/>
    <n v="1010"/>
    <n v="5"/>
    <n v="5"/>
    <n v="3"/>
    <n v="5"/>
    <n v="7"/>
    <n v="0"/>
    <n v="0"/>
    <n v="0"/>
    <n v="0"/>
    <n v="1"/>
    <n v="0"/>
    <n v="0"/>
  </r>
  <r>
    <n v="1782"/>
    <n v="146984"/>
    <n v="1"/>
    <n v="1"/>
    <x v="40"/>
    <s v="Widow"/>
    <s v="Graduate"/>
    <s v="8/31/2019"/>
    <s v="Florida"/>
    <n v="71"/>
    <n v="59"/>
    <n v="3"/>
    <n v="31"/>
    <n v="6"/>
    <n v="3"/>
    <n v="25"/>
    <n v="78"/>
    <n v="1"/>
    <n v="1"/>
    <n v="0"/>
    <n v="3"/>
    <n v="5"/>
    <n v="0"/>
    <n v="0"/>
    <n v="0"/>
    <n v="0"/>
    <n v="0"/>
    <n v="0"/>
    <n v="0"/>
  </r>
  <r>
    <n v="1198"/>
    <n v="146097"/>
    <n v="0"/>
    <n v="1"/>
    <x v="40"/>
    <s v="Together"/>
    <s v="Graduate"/>
    <s v="9/5/2019"/>
    <s v="Other"/>
    <n v="11"/>
    <n v="228"/>
    <n v="76"/>
    <n v="216"/>
    <n v="206"/>
    <n v="13"/>
    <n v="25"/>
    <n v="713"/>
    <n v="5"/>
    <n v="3"/>
    <n v="1"/>
    <n v="6"/>
    <n v="4"/>
    <n v="0"/>
    <n v="0"/>
    <n v="0"/>
    <n v="0"/>
    <n v="0"/>
    <n v="0"/>
    <n v="0"/>
  </r>
  <r>
    <n v="1980"/>
    <n v="146086"/>
    <n v="0"/>
    <n v="1"/>
    <x v="40"/>
    <s v="Divorced"/>
    <s v="Graduate"/>
    <s v="4/9/2020"/>
    <s v="Florida"/>
    <n v="34"/>
    <n v="773"/>
    <n v="25"/>
    <n v="101"/>
    <n v="22"/>
    <n v="6"/>
    <n v="158"/>
    <n v="770"/>
    <n v="4"/>
    <n v="3"/>
    <n v="1"/>
    <n v="8"/>
    <n v="4"/>
    <n v="0"/>
    <n v="0"/>
    <n v="0"/>
    <n v="0"/>
    <n v="0"/>
    <n v="0"/>
    <n v="0"/>
  </r>
  <r>
    <n v="1970"/>
    <n v="135340"/>
    <n v="1"/>
    <n v="1"/>
    <x v="40"/>
    <s v="Widow"/>
    <s v="PhD"/>
    <s v="12/3/2020"/>
    <s v="New York"/>
    <n v="1"/>
    <n v="103"/>
    <n v="0"/>
    <n v="46"/>
    <n v="0"/>
    <n v="4"/>
    <n v="19"/>
    <n v="134"/>
    <n v="2"/>
    <n v="2"/>
    <n v="0"/>
    <n v="3"/>
    <n v="5"/>
    <n v="0"/>
    <n v="0"/>
    <n v="0"/>
    <n v="0"/>
    <n v="0"/>
    <n v="0"/>
    <n v="0"/>
  </r>
  <r>
    <n v="1722"/>
    <n v="134941"/>
    <n v="1"/>
    <n v="1"/>
    <x v="40"/>
    <s v="Together"/>
    <s v="Master"/>
    <s v="8/11/2019"/>
    <s v="Florida"/>
    <n v="26"/>
    <n v="151"/>
    <n v="8"/>
    <n v="97"/>
    <n v="15"/>
    <n v="12"/>
    <n v="93"/>
    <n v="189"/>
    <n v="2"/>
    <n v="3"/>
    <n v="0"/>
    <n v="3"/>
    <n v="8"/>
    <n v="0"/>
    <n v="0"/>
    <n v="0"/>
    <n v="0"/>
    <n v="0"/>
    <n v="0"/>
    <n v="0"/>
  </r>
  <r>
    <n v="2556"/>
    <n v="134633"/>
    <n v="2"/>
    <n v="1"/>
    <x v="40"/>
    <s v="Together"/>
    <s v="Graduate"/>
    <s v="6/29/2020"/>
    <s v="Florida"/>
    <n v="31"/>
    <n v="31"/>
    <n v="4"/>
    <n v="19"/>
    <n v="0"/>
    <n v="0"/>
    <n v="4"/>
    <n v="51"/>
    <n v="1"/>
    <n v="1"/>
    <n v="0"/>
    <n v="2"/>
    <n v="6"/>
    <n v="0"/>
    <n v="0"/>
    <n v="0"/>
    <n v="0"/>
    <n v="0"/>
    <n v="0"/>
    <n v="0"/>
  </r>
  <r>
    <n v="1384"/>
    <n v="131395"/>
    <n v="1"/>
    <n v="1"/>
    <x v="40"/>
    <s v="Divorced"/>
    <s v="Graduate"/>
    <s v="8/28/2019"/>
    <s v="Other"/>
    <n v="80"/>
    <n v="96"/>
    <n v="4"/>
    <n v="105"/>
    <n v="0"/>
    <n v="33"/>
    <n v="29"/>
    <n v="209"/>
    <n v="4"/>
    <n v="2"/>
    <n v="1"/>
    <n v="3"/>
    <n v="6"/>
    <n v="0"/>
    <n v="0"/>
    <n v="0"/>
    <n v="0"/>
    <n v="0"/>
    <n v="0"/>
    <n v="0"/>
  </r>
  <r>
    <n v="1301"/>
    <n v="128839"/>
    <n v="1"/>
    <n v="1"/>
    <x v="40"/>
    <s v="Together"/>
    <s v="Master"/>
    <s v="8/15/2020"/>
    <s v="California"/>
    <n v="86"/>
    <n v="107"/>
    <n v="0"/>
    <n v="31"/>
    <n v="0"/>
    <n v="0"/>
    <n v="4"/>
    <n v="134"/>
    <n v="2"/>
    <n v="2"/>
    <n v="0"/>
    <n v="3"/>
    <n v="5"/>
    <n v="0"/>
    <n v="0"/>
    <n v="0"/>
    <n v="0"/>
    <n v="0"/>
    <n v="0"/>
    <n v="0"/>
  </r>
  <r>
    <n v="1591"/>
    <n v="126150"/>
    <n v="2"/>
    <n v="1"/>
    <x v="40"/>
    <s v="Divorced"/>
    <s v="Graduate"/>
    <s v="8/16/2019"/>
    <s v="Illinois"/>
    <n v="61"/>
    <n v="24"/>
    <n v="5"/>
    <n v="63"/>
    <n v="14"/>
    <n v="24"/>
    <n v="5"/>
    <n v="125"/>
    <n v="1"/>
    <n v="1"/>
    <n v="0"/>
    <n v="3"/>
    <n v="7"/>
    <n v="0"/>
    <n v="0"/>
    <n v="0"/>
    <n v="0"/>
    <n v="0"/>
    <n v="0"/>
    <n v="0"/>
  </r>
  <r>
    <n v="2049"/>
    <n v="122304"/>
    <n v="0"/>
    <n v="0"/>
    <x v="40"/>
    <s v="Divorced"/>
    <s v="Graduate"/>
    <s v="1/9/2019"/>
    <s v="Texas"/>
    <n v="91"/>
    <n v="16"/>
    <n v="11"/>
    <n v="38"/>
    <n v="0"/>
    <n v="22"/>
    <n v="11"/>
    <n v="77"/>
    <n v="1"/>
    <n v="1"/>
    <n v="0"/>
    <n v="2"/>
    <n v="8"/>
    <n v="0"/>
    <n v="0"/>
    <n v="0"/>
    <n v="0"/>
    <n v="0"/>
    <n v="0"/>
    <n v="0"/>
  </r>
  <r>
    <n v="2271"/>
    <n v="115759"/>
    <n v="0"/>
    <n v="0"/>
    <x v="40"/>
    <s v="Married"/>
    <s v="Graduate"/>
    <s v="2/10/2020"/>
    <s v="Texas"/>
    <n v="12"/>
    <n v="7"/>
    <n v="15"/>
    <n v="37"/>
    <n v="44"/>
    <n v="0"/>
    <n v="22"/>
    <n v="81"/>
    <n v="1"/>
    <n v="1"/>
    <n v="0"/>
    <n v="2"/>
    <n v="7"/>
    <n v="0"/>
    <n v="0"/>
    <n v="0"/>
    <n v="0"/>
    <n v="0"/>
    <n v="0"/>
    <n v="0"/>
  </r>
  <r>
    <n v="1646"/>
    <n v="114661"/>
    <n v="0"/>
    <n v="0"/>
    <x v="40"/>
    <s v="Together"/>
    <s v="Master"/>
    <s v="6/8/2019"/>
    <s v="New York"/>
    <n v="88"/>
    <n v="31"/>
    <n v="8"/>
    <n v="86"/>
    <n v="47"/>
    <n v="16"/>
    <n v="16"/>
    <n v="172"/>
    <n v="1"/>
    <n v="1"/>
    <n v="0"/>
    <n v="3"/>
    <n v="6"/>
    <n v="0"/>
    <n v="0"/>
    <n v="0"/>
    <n v="0"/>
    <n v="0"/>
    <n v="0"/>
    <n v="0"/>
  </r>
  <r>
    <n v="3219"/>
    <n v="168423"/>
    <n v="0"/>
    <n v="1"/>
    <x v="40"/>
    <s v="Together"/>
    <s v="Master"/>
    <s v="6/30/2020"/>
    <s v="Texas"/>
    <n v="8"/>
    <n v="1054"/>
    <n v="74"/>
    <n v="527"/>
    <n v="197"/>
    <n v="74"/>
    <n v="150"/>
    <n v="1775"/>
    <n v="2"/>
    <n v="6"/>
    <n v="5"/>
    <n v="10"/>
    <n v="3"/>
    <n v="0"/>
    <n v="0"/>
    <n v="0"/>
    <n v="0"/>
    <n v="0"/>
    <n v="0"/>
    <n v="0"/>
  </r>
  <r>
    <n v="1052"/>
    <n v="182384"/>
    <n v="0"/>
    <n v="0"/>
    <x v="41"/>
    <s v="Together"/>
    <s v="Master"/>
    <s v="4/26/2019"/>
    <s v="New York"/>
    <n v="55"/>
    <n v="2178"/>
    <n v="113"/>
    <n v="956"/>
    <n v="398"/>
    <n v="266"/>
    <n v="421"/>
    <n v="3491"/>
    <n v="1"/>
    <n v="3"/>
    <n v="10"/>
    <n v="13"/>
    <n v="1"/>
    <n v="0"/>
    <n v="1"/>
    <n v="0"/>
    <n v="0"/>
    <n v="0"/>
    <n v="0"/>
    <n v="1"/>
  </r>
  <r>
    <n v="1707"/>
    <n v="180395"/>
    <n v="0"/>
    <n v="0"/>
    <x v="41"/>
    <s v="Married"/>
    <s v="Graduate"/>
    <s v="4/29/2020"/>
    <s v="Texas"/>
    <n v="62"/>
    <n v="999"/>
    <n v="56"/>
    <n v="1584"/>
    <n v="180"/>
    <n v="171"/>
    <n v="108"/>
    <n v="2881"/>
    <n v="1"/>
    <n v="6"/>
    <n v="5"/>
    <n v="12"/>
    <n v="2"/>
    <n v="0"/>
    <n v="0"/>
    <n v="1"/>
    <n v="0"/>
    <n v="0"/>
    <n v="0"/>
    <n v="0"/>
  </r>
  <r>
    <n v="1149"/>
    <n v="180317"/>
    <n v="0"/>
    <n v="0"/>
    <x v="41"/>
    <s v="Single"/>
    <s v="Graduate"/>
    <s v="1/25/2020"/>
    <s v="Texas"/>
    <n v="64"/>
    <n v="1203"/>
    <n v="25"/>
    <n v="869"/>
    <n v="335"/>
    <n v="204"/>
    <n v="128"/>
    <n v="2508"/>
    <n v="1"/>
    <n v="3"/>
    <n v="4"/>
    <n v="10"/>
    <n v="1"/>
    <n v="0"/>
    <n v="0"/>
    <n v="0"/>
    <n v="0"/>
    <n v="0"/>
    <n v="0"/>
    <n v="0"/>
  </r>
  <r>
    <n v="1570"/>
    <n v="179800"/>
    <n v="0"/>
    <n v="0"/>
    <x v="41"/>
    <s v="Widow"/>
    <s v="Graduate"/>
    <s v="2/28/2019"/>
    <s v="Other"/>
    <n v="65"/>
    <n v="2388"/>
    <n v="47"/>
    <n v="1194"/>
    <n v="72"/>
    <n v="0"/>
    <n v="505"/>
    <n v="3197"/>
    <n v="1"/>
    <n v="5"/>
    <n v="11"/>
    <n v="5"/>
    <n v="3"/>
    <n v="0"/>
    <n v="1"/>
    <n v="1"/>
    <n v="0"/>
    <n v="1"/>
    <n v="0"/>
    <n v="1"/>
  </r>
  <r>
    <n v="2464"/>
    <n v="176998"/>
    <n v="0"/>
    <n v="1"/>
    <x v="41"/>
    <s v="Married"/>
    <s v="Graduate"/>
    <s v="6/18/2019"/>
    <s v="Other"/>
    <n v="85"/>
    <n v="3331"/>
    <n v="205"/>
    <n v="370"/>
    <n v="159"/>
    <n v="80"/>
    <n v="246"/>
    <n v="3899"/>
    <n v="2"/>
    <n v="11"/>
    <n v="8"/>
    <n v="8"/>
    <n v="6"/>
    <n v="0"/>
    <n v="0"/>
    <n v="0"/>
    <n v="0"/>
    <n v="0"/>
    <n v="0"/>
    <n v="1"/>
  </r>
  <r>
    <n v="1476"/>
    <n v="176005"/>
    <n v="0"/>
    <n v="0"/>
    <x v="41"/>
    <s v="Together"/>
    <s v="Graduate"/>
    <s v="7/30/2019"/>
    <s v="Florida"/>
    <n v="72"/>
    <n v="2276"/>
    <n v="46"/>
    <n v="901"/>
    <n v="556"/>
    <n v="116"/>
    <n v="93"/>
    <n v="3802"/>
    <n v="1"/>
    <n v="3"/>
    <n v="5"/>
    <n v="13"/>
    <n v="6"/>
    <n v="0"/>
    <n v="0"/>
    <n v="1"/>
    <n v="0"/>
    <n v="0"/>
    <n v="0"/>
    <n v="0"/>
  </r>
  <r>
    <n v="1450"/>
    <n v="175261"/>
    <n v="0"/>
    <n v="0"/>
    <x v="41"/>
    <s v="Together"/>
    <s v="PhD"/>
    <s v="9/28/2019"/>
    <s v="Other"/>
    <n v="17"/>
    <n v="2885"/>
    <n v="40"/>
    <n v="962"/>
    <n v="54"/>
    <n v="79"/>
    <n v="40"/>
    <n v="3980"/>
    <n v="1"/>
    <n v="5"/>
    <n v="6"/>
    <n v="5"/>
    <n v="2"/>
    <n v="0"/>
    <n v="1"/>
    <n v="0"/>
    <n v="0"/>
    <n v="0"/>
    <n v="1"/>
    <n v="1"/>
  </r>
  <r>
    <n v="2293"/>
    <n v="174805"/>
    <n v="0"/>
    <n v="1"/>
    <x v="41"/>
    <s v="Together"/>
    <s v="Graduate"/>
    <s v="4/12/2020"/>
    <s v="Illinois"/>
    <n v="14"/>
    <n v="488"/>
    <n v="379"/>
    <n v="488"/>
    <n v="96"/>
    <n v="379"/>
    <n v="86"/>
    <n v="1743"/>
    <n v="5"/>
    <n v="4"/>
    <n v="7"/>
    <n v="10"/>
    <n v="2"/>
    <n v="0"/>
    <n v="0"/>
    <n v="0"/>
    <n v="0"/>
    <n v="0"/>
    <n v="0"/>
    <n v="0"/>
  </r>
  <r>
    <n v="2567"/>
    <n v="174268"/>
    <n v="0"/>
    <n v="0"/>
    <x v="41"/>
    <s v="Married"/>
    <s v="Graduate"/>
    <s v="7/22/2019"/>
    <s v="California"/>
    <n v="83"/>
    <n v="467"/>
    <n v="155"/>
    <n v="739"/>
    <n v="228"/>
    <n v="408"/>
    <n v="96"/>
    <n v="1901"/>
    <n v="1"/>
    <n v="4"/>
    <n v="3"/>
    <n v="5"/>
    <n v="2"/>
    <n v="0"/>
    <n v="0"/>
    <n v="0"/>
    <n v="0"/>
    <n v="0"/>
    <n v="0"/>
    <n v="0"/>
  </r>
  <r>
    <n v="1586"/>
    <n v="172906"/>
    <n v="0"/>
    <n v="0"/>
    <x v="41"/>
    <s v="Single"/>
    <s v="Graduate"/>
    <s v="2/22/2020"/>
    <s v="New York"/>
    <n v="79"/>
    <n v="949"/>
    <n v="76"/>
    <n v="1231"/>
    <n v="168"/>
    <n v="178"/>
    <n v="128"/>
    <n v="2474"/>
    <n v="1"/>
    <n v="3"/>
    <n v="4"/>
    <n v="9"/>
    <n v="1"/>
    <n v="0"/>
    <n v="0"/>
    <n v="0"/>
    <n v="0"/>
    <n v="0"/>
    <n v="0"/>
    <n v="0"/>
  </r>
  <r>
    <n v="1607"/>
    <n v="172635"/>
    <n v="0"/>
    <n v="0"/>
    <x v="41"/>
    <s v="Married"/>
    <s v="Graduate"/>
    <s v="11/8/2019"/>
    <s v="California"/>
    <n v="54"/>
    <n v="927"/>
    <n v="52"/>
    <n v="768"/>
    <n v="247"/>
    <n v="83"/>
    <n v="254"/>
    <n v="1823"/>
    <n v="1"/>
    <n v="6"/>
    <n v="8"/>
    <n v="6"/>
    <n v="3"/>
    <n v="0"/>
    <n v="0"/>
    <n v="1"/>
    <n v="0"/>
    <n v="0"/>
    <n v="0"/>
    <n v="0"/>
  </r>
  <r>
    <n v="2648"/>
    <n v="172635"/>
    <n v="0"/>
    <n v="0"/>
    <x v="41"/>
    <s v="Married"/>
    <s v="Graduate"/>
    <s v="11/8/2019"/>
    <s v="New York"/>
    <n v="54"/>
    <n v="927"/>
    <n v="52"/>
    <n v="768"/>
    <n v="247"/>
    <n v="83"/>
    <n v="254"/>
    <n v="1823"/>
    <n v="1"/>
    <n v="6"/>
    <n v="8"/>
    <n v="6"/>
    <n v="3"/>
    <n v="0"/>
    <n v="0"/>
    <n v="1"/>
    <n v="0"/>
    <n v="0"/>
    <n v="0"/>
    <n v="0"/>
  </r>
  <r>
    <n v="2578"/>
    <n v="170638"/>
    <n v="0"/>
    <n v="0"/>
    <x v="41"/>
    <s v="Divorced"/>
    <s v="Master"/>
    <s v="11/6/2019"/>
    <s v="Other"/>
    <n v="69"/>
    <n v="2454"/>
    <n v="29"/>
    <n v="519"/>
    <n v="39"/>
    <n v="29"/>
    <n v="152"/>
    <n v="2918"/>
    <n v="1"/>
    <n v="4"/>
    <n v="5"/>
    <n v="10"/>
    <n v="3"/>
    <n v="0"/>
    <n v="0"/>
    <n v="0"/>
    <n v="0"/>
    <n v="0"/>
    <n v="1"/>
    <n v="0"/>
  </r>
  <r>
    <n v="3006"/>
    <n v="167225"/>
    <n v="0"/>
    <n v="1"/>
    <x v="41"/>
    <s v="Married"/>
    <s v="Graduate"/>
    <s v="5/2/2020"/>
    <s v="Florida"/>
    <n v="4"/>
    <n v="784"/>
    <n v="87"/>
    <n v="801"/>
    <n v="114"/>
    <n v="17"/>
    <n v="356"/>
    <n v="1448"/>
    <n v="3"/>
    <n v="7"/>
    <n v="2"/>
    <n v="11"/>
    <n v="5"/>
    <n v="0"/>
    <n v="0"/>
    <n v="0"/>
    <n v="0"/>
    <n v="0"/>
    <n v="0"/>
    <n v="0"/>
  </r>
  <r>
    <n v="1396"/>
    <n v="166465"/>
    <n v="0"/>
    <n v="1"/>
    <x v="41"/>
    <s v="Married"/>
    <s v="PhD"/>
    <s v="9/4/2019"/>
    <s v="Other"/>
    <n v="1"/>
    <n v="3005"/>
    <n v="0"/>
    <n v="511"/>
    <n v="95"/>
    <n v="73"/>
    <n v="35"/>
    <n v="3649"/>
    <n v="3"/>
    <n v="11"/>
    <n v="9"/>
    <n v="12"/>
    <n v="6"/>
    <n v="0"/>
    <n v="0"/>
    <n v="1"/>
    <n v="0"/>
    <n v="0"/>
    <n v="0"/>
    <n v="0"/>
  </r>
  <r>
    <n v="2192"/>
    <n v="165748"/>
    <n v="0"/>
    <n v="1"/>
    <x v="41"/>
    <s v="Together"/>
    <s v="Graduate"/>
    <s v="9/20/2019"/>
    <s v="New York"/>
    <n v="58"/>
    <n v="434"/>
    <n v="184"/>
    <n v="234"/>
    <n v="239"/>
    <n v="197"/>
    <n v="86"/>
    <n v="1202"/>
    <n v="2"/>
    <n v="2"/>
    <n v="4"/>
    <n v="10"/>
    <n v="1"/>
    <n v="1"/>
    <n v="0"/>
    <n v="0"/>
    <n v="0"/>
    <n v="0"/>
    <n v="0"/>
    <n v="0"/>
  </r>
  <r>
    <n v="3142"/>
    <n v="165210"/>
    <n v="0"/>
    <n v="1"/>
    <x v="41"/>
    <s v="Married"/>
    <s v="Graduate"/>
    <s v="8/14/2020"/>
    <s v="Other"/>
    <n v="25"/>
    <n v="1586"/>
    <n v="0"/>
    <n v="177"/>
    <n v="0"/>
    <n v="18"/>
    <n v="71"/>
    <n v="1710"/>
    <n v="2"/>
    <n v="9"/>
    <n v="3"/>
    <n v="8"/>
    <n v="6"/>
    <n v="0"/>
    <n v="0"/>
    <n v="1"/>
    <n v="0"/>
    <n v="0"/>
    <n v="1"/>
    <n v="0"/>
  </r>
  <r>
    <n v="2237"/>
    <n v="162972"/>
    <n v="0"/>
    <n v="1"/>
    <x v="41"/>
    <s v="Married"/>
    <s v="Graduate"/>
    <s v="1/8/2019"/>
    <s v="California"/>
    <n v="39"/>
    <n v="810"/>
    <n v="39"/>
    <n v="122"/>
    <n v="52"/>
    <n v="0"/>
    <n v="497"/>
    <n v="525"/>
    <n v="2"/>
    <n v="7"/>
    <n v="4"/>
    <n v="3"/>
    <n v="6"/>
    <n v="0"/>
    <n v="1"/>
    <n v="0"/>
    <n v="0"/>
    <n v="0"/>
    <n v="0"/>
    <n v="0"/>
  </r>
  <r>
    <n v="2813"/>
    <n v="162972"/>
    <n v="0"/>
    <n v="1"/>
    <x v="41"/>
    <s v="Married"/>
    <s v="Graduate"/>
    <s v="1/8/2019"/>
    <s v="California"/>
    <n v="39"/>
    <n v="810"/>
    <n v="39"/>
    <n v="122"/>
    <n v="52"/>
    <n v="0"/>
    <n v="497"/>
    <n v="525"/>
    <n v="2"/>
    <n v="7"/>
    <n v="4"/>
    <n v="3"/>
    <n v="6"/>
    <n v="0"/>
    <n v="0"/>
    <n v="0"/>
    <n v="0"/>
    <n v="0"/>
    <n v="0"/>
    <n v="0"/>
  </r>
  <r>
    <n v="2771"/>
    <n v="162535"/>
    <n v="0"/>
    <n v="1"/>
    <x v="41"/>
    <s v="Single"/>
    <s v="Graduate"/>
    <s v="3/9/2020"/>
    <s v="California"/>
    <n v="13"/>
    <n v="424"/>
    <n v="125"/>
    <n v="234"/>
    <n v="0"/>
    <n v="117"/>
    <n v="135"/>
    <n v="764"/>
    <n v="1"/>
    <n v="3"/>
    <n v="2"/>
    <n v="8"/>
    <n v="3"/>
    <n v="0"/>
    <n v="0"/>
    <n v="0"/>
    <n v="0"/>
    <n v="0"/>
    <n v="0"/>
    <n v="0"/>
  </r>
  <r>
    <n v="2207"/>
    <n v="161284"/>
    <n v="0"/>
    <n v="0"/>
    <x v="41"/>
    <s v="Single"/>
    <s v="PhD"/>
    <s v="3/18/2020"/>
    <s v="California"/>
    <n v="76"/>
    <n v="1626"/>
    <n v="39"/>
    <n v="279"/>
    <n v="53"/>
    <n v="18"/>
    <n v="118"/>
    <n v="1897"/>
    <n v="1"/>
    <n v="11"/>
    <n v="2"/>
    <n v="8"/>
    <n v="6"/>
    <n v="0"/>
    <n v="0"/>
    <n v="0"/>
    <n v="0"/>
    <n v="0"/>
    <n v="1"/>
    <n v="0"/>
  </r>
  <r>
    <n v="2053"/>
    <n v="159925"/>
    <n v="0"/>
    <n v="1"/>
    <x v="41"/>
    <s v="Together"/>
    <s v="Graduate"/>
    <s v="5/7/2019"/>
    <s v="Illinois"/>
    <n v="83"/>
    <n v="1262"/>
    <n v="56"/>
    <n v="470"/>
    <n v="51"/>
    <n v="56"/>
    <n v="149"/>
    <n v="1745"/>
    <n v="3"/>
    <n v="9"/>
    <n v="2"/>
    <n v="9"/>
    <n v="6"/>
    <n v="0"/>
    <n v="0"/>
    <n v="0"/>
    <n v="0"/>
    <n v="0"/>
    <n v="0"/>
    <n v="0"/>
  </r>
  <r>
    <n v="2611"/>
    <n v="159821"/>
    <n v="0"/>
    <n v="1"/>
    <x v="41"/>
    <s v="Married"/>
    <s v="PhD"/>
    <s v="9/17/2019"/>
    <s v="Illinois"/>
    <n v="11"/>
    <n v="1680"/>
    <n v="0"/>
    <n v="187"/>
    <n v="0"/>
    <n v="0"/>
    <n v="94"/>
    <n v="1774"/>
    <n v="6"/>
    <n v="11"/>
    <n v="2"/>
    <n v="7"/>
    <n v="8"/>
    <n v="0"/>
    <n v="0"/>
    <n v="0"/>
    <n v="0"/>
    <n v="0"/>
    <n v="0"/>
    <n v="0"/>
  </r>
  <r>
    <n v="3126"/>
    <n v="158482"/>
    <n v="0"/>
    <n v="1"/>
    <x v="41"/>
    <s v="Married"/>
    <s v="PhD"/>
    <s v="8/16/2020"/>
    <s v="Florida"/>
    <n v="59"/>
    <n v="1561"/>
    <n v="19"/>
    <n v="312"/>
    <n v="51"/>
    <n v="19"/>
    <n v="19"/>
    <n v="1943"/>
    <n v="2"/>
    <n v="7"/>
    <n v="4"/>
    <n v="9"/>
    <n v="6"/>
    <n v="0"/>
    <n v="0"/>
    <n v="0"/>
    <n v="0"/>
    <n v="0"/>
    <n v="1"/>
    <n v="0"/>
  </r>
  <r>
    <n v="3079"/>
    <n v="158275"/>
    <n v="1"/>
    <n v="1"/>
    <x v="41"/>
    <s v="Widow"/>
    <s v="Graduate"/>
    <s v="11/7/2019"/>
    <s v="Illinois"/>
    <n v="48"/>
    <n v="513"/>
    <n v="27"/>
    <n v="687"/>
    <n v="152"/>
    <n v="117"/>
    <n v="174"/>
    <n v="1323"/>
    <n v="6"/>
    <n v="8"/>
    <n v="2"/>
    <n v="7"/>
    <n v="7"/>
    <n v="0"/>
    <n v="0"/>
    <n v="0"/>
    <n v="0"/>
    <n v="0"/>
    <n v="0"/>
    <n v="0"/>
  </r>
  <r>
    <n v="1434"/>
    <n v="157959"/>
    <n v="0"/>
    <n v="1"/>
    <x v="41"/>
    <s v="Single"/>
    <s v="Graduate"/>
    <s v="10/7/2019"/>
    <s v="Florida"/>
    <n v="71"/>
    <n v="1172"/>
    <n v="44"/>
    <n v="878"/>
    <n v="117"/>
    <n v="65"/>
    <n v="90"/>
    <n v="2186"/>
    <n v="5"/>
    <n v="4"/>
    <n v="7"/>
    <n v="11"/>
    <n v="3"/>
    <n v="0"/>
    <n v="0"/>
    <n v="0"/>
    <n v="0"/>
    <n v="0"/>
    <n v="0"/>
    <n v="0"/>
  </r>
  <r>
    <n v="1388"/>
    <n v="155521"/>
    <n v="1"/>
    <n v="2"/>
    <x v="41"/>
    <s v="Single"/>
    <s v="PhD"/>
    <s v="3/28/2020"/>
    <s v="New York"/>
    <n v="11"/>
    <n v="1165"/>
    <n v="0"/>
    <n v="73"/>
    <n v="0"/>
    <n v="0"/>
    <n v="11"/>
    <n v="1227"/>
    <n v="9"/>
    <n v="6"/>
    <n v="3"/>
    <n v="6"/>
    <n v="7"/>
    <n v="0"/>
    <n v="1"/>
    <n v="0"/>
    <n v="0"/>
    <n v="0"/>
    <n v="1"/>
    <n v="0"/>
  </r>
  <r>
    <n v="1572"/>
    <n v="153863"/>
    <n v="0"/>
    <n v="1"/>
    <x v="41"/>
    <s v="Together"/>
    <s v="Graduate"/>
    <s v="10/21/2020"/>
    <s v="Florida"/>
    <n v="4"/>
    <n v="1140"/>
    <n v="11"/>
    <n v="86"/>
    <n v="17"/>
    <n v="11"/>
    <n v="86"/>
    <n v="1180"/>
    <n v="3"/>
    <n v="7"/>
    <n v="1"/>
    <n v="7"/>
    <n v="7"/>
    <n v="0"/>
    <n v="0"/>
    <n v="0"/>
    <n v="0"/>
    <n v="0"/>
    <n v="1"/>
    <n v="0"/>
  </r>
  <r>
    <n v="1794"/>
    <n v="152750"/>
    <n v="0"/>
    <n v="1"/>
    <x v="41"/>
    <s v="Married"/>
    <s v="Master"/>
    <s v="7/12/2019"/>
    <s v="Florida"/>
    <n v="72"/>
    <n v="1138"/>
    <n v="0"/>
    <n v="692"/>
    <n v="261"/>
    <n v="200"/>
    <n v="200"/>
    <n v="2091"/>
    <n v="6"/>
    <n v="5"/>
    <n v="7"/>
    <n v="9"/>
    <n v="4"/>
    <n v="0"/>
    <n v="0"/>
    <n v="0"/>
    <n v="0"/>
    <n v="0"/>
    <n v="0"/>
    <n v="0"/>
  </r>
  <r>
    <n v="1759"/>
    <n v="151124"/>
    <n v="1"/>
    <n v="1"/>
    <x v="41"/>
    <s v="Single"/>
    <s v="Master"/>
    <s v="5/24/2020"/>
    <s v="Illinois"/>
    <n v="79"/>
    <n v="77"/>
    <n v="3"/>
    <n v="33"/>
    <n v="0"/>
    <n v="3"/>
    <n v="12"/>
    <n v="103"/>
    <n v="2"/>
    <n v="1"/>
    <n v="0"/>
    <n v="3"/>
    <n v="3"/>
    <n v="0"/>
    <n v="0"/>
    <n v="0"/>
    <n v="0"/>
    <n v="0"/>
    <n v="0"/>
    <n v="0"/>
  </r>
  <r>
    <n v="1340"/>
    <n v="150737"/>
    <n v="0"/>
    <n v="1"/>
    <x v="41"/>
    <s v="Married"/>
    <s v="Graduate"/>
    <s v="10/16/2019"/>
    <s v="New York"/>
    <n v="61"/>
    <n v="232"/>
    <n v="0"/>
    <n v="33"/>
    <n v="0"/>
    <n v="0"/>
    <n v="30"/>
    <n v="235"/>
    <n v="1"/>
    <n v="2"/>
    <n v="0"/>
    <n v="4"/>
    <n v="6"/>
    <n v="0"/>
    <n v="0"/>
    <n v="0"/>
    <n v="0"/>
    <n v="0"/>
    <n v="1"/>
    <n v="0"/>
  </r>
  <r>
    <n v="2480"/>
    <n v="149667"/>
    <n v="0"/>
    <n v="0"/>
    <x v="41"/>
    <s v="Single"/>
    <s v="PhD"/>
    <s v="1/25/2019"/>
    <s v="New York"/>
    <n v="35"/>
    <n v="3559"/>
    <n v="78"/>
    <n v="362"/>
    <n v="51"/>
    <n v="39"/>
    <n v="118"/>
    <n v="3972"/>
    <n v="2"/>
    <n v="5"/>
    <n v="10"/>
    <n v="5"/>
    <n v="8"/>
    <n v="0"/>
    <n v="1"/>
    <n v="0"/>
    <n v="0"/>
    <n v="1"/>
    <n v="0"/>
    <n v="0"/>
  </r>
  <r>
    <n v="1637"/>
    <n v="149431"/>
    <n v="0"/>
    <n v="1"/>
    <x v="41"/>
    <s v="Divorced"/>
    <s v="Graduate"/>
    <s v="1/8/2019"/>
    <s v="California"/>
    <n v="9"/>
    <n v="662"/>
    <n v="9"/>
    <n v="302"/>
    <n v="79"/>
    <n v="0"/>
    <n v="51"/>
    <n v="1001"/>
    <n v="2"/>
    <n v="7"/>
    <n v="1"/>
    <n v="5"/>
    <n v="8"/>
    <n v="0"/>
    <n v="0"/>
    <n v="0"/>
    <n v="0"/>
    <n v="0"/>
    <n v="0"/>
    <n v="0"/>
  </r>
  <r>
    <n v="1746"/>
    <n v="148726"/>
    <n v="0"/>
    <n v="1"/>
    <x v="41"/>
    <s v="Married"/>
    <s v="Graduate"/>
    <s v="10/2/2019"/>
    <s v="Florida"/>
    <n v="90"/>
    <n v="421"/>
    <n v="9"/>
    <n v="116"/>
    <n v="12"/>
    <n v="0"/>
    <n v="180"/>
    <n v="378"/>
    <n v="3"/>
    <n v="3"/>
    <n v="2"/>
    <n v="4"/>
    <n v="6"/>
    <n v="0"/>
    <n v="0"/>
    <n v="0"/>
    <n v="0"/>
    <n v="0"/>
    <n v="0"/>
    <n v="0"/>
  </r>
  <r>
    <n v="2359"/>
    <n v="146390"/>
    <n v="0"/>
    <n v="1"/>
    <x v="41"/>
    <s v="Divorced"/>
    <s v="Master"/>
    <s v="10/9/2020"/>
    <s v="Illinois"/>
    <n v="56"/>
    <n v="300"/>
    <n v="44"/>
    <n v="202"/>
    <n v="6"/>
    <n v="28"/>
    <n v="120"/>
    <n v="461"/>
    <n v="1"/>
    <n v="4"/>
    <n v="2"/>
    <n v="3"/>
    <n v="7"/>
    <n v="0"/>
    <n v="0"/>
    <n v="0"/>
    <n v="0"/>
    <n v="0"/>
    <n v="0"/>
    <n v="0"/>
  </r>
  <r>
    <n v="1901"/>
    <n v="146015"/>
    <n v="1"/>
    <n v="1"/>
    <x v="41"/>
    <s v="Together"/>
    <s v="PhD"/>
    <s v="9/17/2020"/>
    <s v="California"/>
    <n v="25"/>
    <n v="121"/>
    <n v="0"/>
    <n v="6"/>
    <n v="0"/>
    <n v="0"/>
    <n v="19"/>
    <n v="108"/>
    <n v="1"/>
    <n v="1"/>
    <n v="0"/>
    <n v="3"/>
    <n v="7"/>
    <n v="0"/>
    <n v="0"/>
    <n v="0"/>
    <n v="1"/>
    <n v="1"/>
    <n v="0"/>
    <n v="0"/>
  </r>
  <r>
    <n v="2438"/>
    <n v="146015"/>
    <n v="1"/>
    <n v="1"/>
    <x v="41"/>
    <s v="Together"/>
    <s v="PhD"/>
    <s v="9/17/2020"/>
    <s v="New York"/>
    <n v="25"/>
    <n v="121"/>
    <n v="0"/>
    <n v="6"/>
    <n v="0"/>
    <n v="0"/>
    <n v="19"/>
    <n v="108"/>
    <n v="1"/>
    <n v="1"/>
    <n v="0"/>
    <n v="3"/>
    <n v="7"/>
    <n v="0"/>
    <n v="0"/>
    <n v="0"/>
    <n v="1"/>
    <n v="1"/>
    <n v="0"/>
    <n v="0"/>
  </r>
  <r>
    <n v="2701"/>
    <n v="142586"/>
    <n v="1"/>
    <n v="1"/>
    <x v="41"/>
    <s v="Together"/>
    <s v="Graduate"/>
    <s v="4/5/2019"/>
    <s v="Illinois"/>
    <n v="7"/>
    <n v="650"/>
    <n v="7"/>
    <n v="187"/>
    <n v="0"/>
    <n v="0"/>
    <n v="0"/>
    <n v="844"/>
    <n v="5"/>
    <n v="4"/>
    <n v="1"/>
    <n v="6"/>
    <n v="8"/>
    <n v="0"/>
    <n v="1"/>
    <n v="0"/>
    <n v="0"/>
    <n v="0"/>
    <n v="0"/>
    <n v="0"/>
  </r>
  <r>
    <n v="2750"/>
    <n v="142586"/>
    <n v="1"/>
    <n v="1"/>
    <x v="41"/>
    <s v="Together"/>
    <s v="Graduate"/>
    <s v="4/5/2019"/>
    <s v="New York"/>
    <n v="7"/>
    <n v="650"/>
    <n v="7"/>
    <n v="187"/>
    <n v="0"/>
    <n v="0"/>
    <n v="0"/>
    <n v="844"/>
    <n v="5"/>
    <n v="4"/>
    <n v="1"/>
    <n v="6"/>
    <n v="8"/>
    <n v="0"/>
    <n v="1"/>
    <n v="0"/>
    <n v="0"/>
    <n v="0"/>
    <n v="0"/>
    <n v="0"/>
  </r>
  <r>
    <n v="3178"/>
    <n v="141769"/>
    <n v="0"/>
    <n v="1"/>
    <x v="41"/>
    <s v="Divorced"/>
    <s v="Graduate"/>
    <s v="7/21/2019"/>
    <s v="Other"/>
    <n v="31"/>
    <n v="1025"/>
    <n v="98"/>
    <n v="445"/>
    <n v="109"/>
    <n v="0"/>
    <n v="92"/>
    <n v="1585"/>
    <n v="6"/>
    <n v="8"/>
    <n v="1"/>
    <n v="7"/>
    <n v="8"/>
    <n v="0"/>
    <n v="0"/>
    <n v="0"/>
    <n v="0"/>
    <n v="0"/>
    <n v="0"/>
    <n v="0"/>
  </r>
  <r>
    <n v="1665"/>
    <n v="138946"/>
    <n v="0"/>
    <n v="1"/>
    <x v="41"/>
    <s v="Together"/>
    <s v="Graduate"/>
    <s v="3/30/2020"/>
    <s v="Texas"/>
    <n v="84"/>
    <n v="414"/>
    <n v="21"/>
    <n v="293"/>
    <n v="21"/>
    <n v="21"/>
    <n v="146"/>
    <n v="624"/>
    <n v="2"/>
    <n v="3"/>
    <n v="1"/>
    <n v="6"/>
    <n v="5"/>
    <n v="0"/>
    <n v="0"/>
    <n v="0"/>
    <n v="0"/>
    <n v="0"/>
    <n v="0"/>
    <n v="0"/>
  </r>
  <r>
    <n v="3147"/>
    <n v="138946"/>
    <n v="0"/>
    <n v="1"/>
    <x v="41"/>
    <s v="Together"/>
    <s v="Graduate"/>
    <s v="3/30/2020"/>
    <s v="Texas"/>
    <n v="84"/>
    <n v="414"/>
    <n v="21"/>
    <n v="293"/>
    <n v="21"/>
    <n v="21"/>
    <n v="146"/>
    <n v="624"/>
    <n v="2"/>
    <n v="3"/>
    <n v="1"/>
    <n v="6"/>
    <n v="5"/>
    <n v="0"/>
    <n v="0"/>
    <n v="0"/>
    <n v="0"/>
    <n v="0"/>
    <n v="0"/>
    <n v="0"/>
  </r>
  <r>
    <n v="2733"/>
    <n v="138725"/>
    <n v="1"/>
    <n v="1"/>
    <x v="41"/>
    <s v="Married"/>
    <s v="PhD"/>
    <s v="10/14/2020"/>
    <s v="Texas"/>
    <n v="52"/>
    <n v="111"/>
    <n v="0"/>
    <n v="21"/>
    <n v="7"/>
    <n v="4"/>
    <n v="18"/>
    <n v="125"/>
    <n v="2"/>
    <n v="1"/>
    <n v="0"/>
    <n v="4"/>
    <n v="4"/>
    <n v="0"/>
    <n v="0"/>
    <n v="0"/>
    <n v="0"/>
    <n v="0"/>
    <n v="0"/>
    <n v="0"/>
  </r>
  <r>
    <n v="2210"/>
    <n v="138452"/>
    <n v="1"/>
    <n v="1"/>
    <x v="41"/>
    <s v="Married"/>
    <s v="Master"/>
    <s v="9/3/2020"/>
    <s v="New York"/>
    <n v="62"/>
    <n v="202"/>
    <n v="0"/>
    <n v="50"/>
    <n v="0"/>
    <n v="0"/>
    <n v="7"/>
    <n v="245"/>
    <n v="3"/>
    <n v="3"/>
    <n v="0"/>
    <n v="3"/>
    <n v="7"/>
    <n v="0"/>
    <n v="0"/>
    <n v="0"/>
    <n v="0"/>
    <n v="0"/>
    <n v="0"/>
    <n v="0"/>
  </r>
  <r>
    <n v="2676"/>
    <n v="138452"/>
    <n v="1"/>
    <n v="1"/>
    <x v="41"/>
    <s v="Married"/>
    <s v="Master"/>
    <s v="9/3/2020"/>
    <s v="Florida"/>
    <n v="62"/>
    <n v="202"/>
    <n v="0"/>
    <n v="50"/>
    <n v="0"/>
    <n v="0"/>
    <n v="7"/>
    <n v="245"/>
    <n v="3"/>
    <n v="3"/>
    <n v="0"/>
    <n v="3"/>
    <n v="7"/>
    <n v="0"/>
    <n v="0"/>
    <n v="0"/>
    <n v="0"/>
    <n v="0"/>
    <n v="0"/>
    <n v="0"/>
  </r>
  <r>
    <n v="2707"/>
    <n v="137244"/>
    <n v="1"/>
    <n v="1"/>
    <x v="41"/>
    <s v="Divorced"/>
    <s v="Graduate"/>
    <s v="10/2/2019"/>
    <s v="Illinois"/>
    <n v="90"/>
    <n v="66"/>
    <n v="7"/>
    <n v="37"/>
    <n v="0"/>
    <n v="0"/>
    <n v="92"/>
    <n v="18"/>
    <n v="1"/>
    <n v="1"/>
    <n v="1"/>
    <n v="2"/>
    <n v="7"/>
    <n v="0"/>
    <n v="0"/>
    <n v="0"/>
    <n v="0"/>
    <n v="1"/>
    <n v="0"/>
    <n v="0"/>
  </r>
  <r>
    <n v="3028"/>
    <n v="136927"/>
    <n v="1"/>
    <n v="1"/>
    <x v="41"/>
    <s v="Single"/>
    <s v="Master"/>
    <s v="11/6/2020"/>
    <s v="Other"/>
    <n v="46"/>
    <n v="189"/>
    <n v="0"/>
    <n v="59"/>
    <n v="0"/>
    <n v="0"/>
    <n v="15"/>
    <n v="234"/>
    <n v="2"/>
    <n v="3"/>
    <n v="0"/>
    <n v="3"/>
    <n v="8"/>
    <n v="0"/>
    <n v="0"/>
    <n v="0"/>
    <n v="0"/>
    <n v="0"/>
    <n v="0"/>
    <n v="0"/>
  </r>
  <r>
    <n v="2657"/>
    <n v="122554"/>
    <n v="1"/>
    <n v="1"/>
    <x v="41"/>
    <s v="Married"/>
    <s v="PhD"/>
    <s v="4/10/2019"/>
    <s v="California"/>
    <n v="38"/>
    <n v="147"/>
    <n v="0"/>
    <n v="54"/>
    <n v="0"/>
    <n v="0"/>
    <n v="22"/>
    <n v="179"/>
    <n v="4"/>
    <n v="2"/>
    <n v="0"/>
    <n v="4"/>
    <n v="5"/>
    <n v="0"/>
    <n v="0"/>
    <n v="0"/>
    <n v="0"/>
    <n v="0"/>
    <n v="0"/>
    <n v="0"/>
  </r>
  <r>
    <n v="1807"/>
    <n v="193404"/>
    <n v="1"/>
    <n v="2"/>
    <x v="42"/>
    <s v="Married"/>
    <s v="Graduate"/>
    <s v="10/12/2019"/>
    <s v="Illinois"/>
    <n v="97"/>
    <n v="2648"/>
    <n v="31"/>
    <n v="594"/>
    <n v="41"/>
    <n v="0"/>
    <n v="31"/>
    <n v="3284"/>
    <n v="3"/>
    <n v="3"/>
    <n v="4"/>
    <n v="7"/>
    <n v="5"/>
    <n v="0"/>
    <n v="0"/>
    <n v="0"/>
    <n v="0"/>
    <n v="0"/>
    <n v="1"/>
    <n v="1"/>
  </r>
  <r>
    <n v="2872"/>
    <n v="190933"/>
    <n v="0"/>
    <n v="0"/>
    <x v="42"/>
    <s v="Single"/>
    <s v="PhD"/>
    <s v="9/4/2020"/>
    <s v="Other"/>
    <n v="90"/>
    <n v="2142"/>
    <n v="65"/>
    <n v="903"/>
    <n v="130"/>
    <n v="132"/>
    <n v="166"/>
    <n v="3206"/>
    <n v="1"/>
    <n v="4"/>
    <n v="6"/>
    <n v="4"/>
    <n v="1"/>
    <n v="0"/>
    <n v="0"/>
    <n v="0"/>
    <n v="0"/>
    <n v="0"/>
    <n v="0"/>
    <n v="1"/>
  </r>
  <r>
    <n v="1186"/>
    <n v="186718"/>
    <n v="0"/>
    <n v="0"/>
    <x v="42"/>
    <s v="Married"/>
    <s v="Graduate"/>
    <s v="6/24/2019"/>
    <s v="Other"/>
    <n v="20"/>
    <n v="741"/>
    <n v="407"/>
    <n v="1038"/>
    <n v="108"/>
    <n v="71"/>
    <n v="370"/>
    <n v="1994"/>
    <n v="1"/>
    <n v="5"/>
    <n v="6"/>
    <n v="5"/>
    <n v="2"/>
    <n v="0"/>
    <n v="0"/>
    <n v="0"/>
    <n v="0"/>
    <n v="0"/>
    <n v="0"/>
    <n v="0"/>
  </r>
  <r>
    <n v="1971"/>
    <n v="185683"/>
    <n v="0"/>
    <n v="0"/>
    <x v="42"/>
    <s v="Divorced"/>
    <s v="Graduate"/>
    <s v="8/25/2020"/>
    <s v="Texas"/>
    <n v="6"/>
    <n v="2809"/>
    <n v="37"/>
    <n v="674"/>
    <n v="98"/>
    <n v="150"/>
    <n v="111"/>
    <n v="3656"/>
    <n v="1"/>
    <n v="2"/>
    <n v="4"/>
    <n v="10"/>
    <n v="1"/>
    <n v="0"/>
    <n v="1"/>
    <n v="1"/>
    <n v="1"/>
    <n v="0"/>
    <n v="1"/>
    <n v="1"/>
  </r>
  <r>
    <n v="1185"/>
    <n v="180067"/>
    <n v="0"/>
    <n v="0"/>
    <x v="42"/>
    <s v="Married"/>
    <s v="Graduate"/>
    <s v="2/24/2020"/>
    <s v="Texas"/>
    <n v="82"/>
    <n v="1167"/>
    <n v="38"/>
    <n v="1828"/>
    <n v="61"/>
    <n v="389"/>
    <n v="115"/>
    <n v="3369"/>
    <n v="1"/>
    <n v="4"/>
    <n v="6"/>
    <n v="6"/>
    <n v="2"/>
    <n v="0"/>
    <n v="0"/>
    <n v="0"/>
    <n v="0"/>
    <n v="0"/>
    <n v="0"/>
    <n v="1"/>
  </r>
  <r>
    <n v="2539"/>
    <n v="179865"/>
    <n v="0"/>
    <n v="1"/>
    <x v="42"/>
    <s v="Divorced"/>
    <s v="Graduate"/>
    <s v="11/22/2020"/>
    <s v="Illinois"/>
    <n v="12"/>
    <n v="160"/>
    <n v="223"/>
    <n v="626"/>
    <n v="417"/>
    <n v="273"/>
    <n v="86"/>
    <n v="1613"/>
    <n v="1"/>
    <n v="5"/>
    <n v="10"/>
    <n v="5"/>
    <n v="1"/>
    <n v="0"/>
    <n v="0"/>
    <n v="0"/>
    <n v="0"/>
    <n v="0"/>
    <n v="0"/>
    <n v="0"/>
  </r>
  <r>
    <n v="1199"/>
    <n v="177972"/>
    <n v="0"/>
    <n v="0"/>
    <x v="42"/>
    <s v="Together"/>
    <s v="Graduate"/>
    <s v="8/22/2020"/>
    <s v="California"/>
    <n v="18"/>
    <n v="1399"/>
    <n v="50"/>
    <n v="728"/>
    <n v="75"/>
    <n v="233"/>
    <n v="27"/>
    <n v="2458"/>
    <n v="1"/>
    <n v="4"/>
    <n v="6"/>
    <n v="9"/>
    <n v="1"/>
    <n v="0"/>
    <n v="0"/>
    <n v="0"/>
    <n v="0"/>
    <n v="0"/>
    <n v="0"/>
    <n v="0"/>
  </r>
  <r>
    <n v="2091"/>
    <n v="176773"/>
    <n v="0"/>
    <n v="0"/>
    <x v="42"/>
    <s v="Divorced"/>
    <s v="Graduate"/>
    <s v="8/2/2019"/>
    <s v="Texas"/>
    <n v="79"/>
    <n v="1188"/>
    <n v="129"/>
    <n v="1034"/>
    <n v="198"/>
    <n v="76"/>
    <n v="37"/>
    <n v="2588"/>
    <n v="1"/>
    <n v="2"/>
    <n v="2"/>
    <n v="11"/>
    <n v="1"/>
    <n v="0"/>
    <n v="0"/>
    <n v="0"/>
    <n v="0"/>
    <n v="0"/>
    <n v="0"/>
    <n v="0"/>
  </r>
  <r>
    <n v="2543"/>
    <n v="175315"/>
    <n v="0"/>
    <n v="1"/>
    <x v="42"/>
    <s v="Together"/>
    <s v="Graduate"/>
    <s v="9/19/2020"/>
    <s v="California"/>
    <n v="14"/>
    <n v="1068"/>
    <n v="35"/>
    <n v="398"/>
    <n v="331"/>
    <n v="54"/>
    <n v="72"/>
    <n v="1813"/>
    <n v="2"/>
    <n v="5"/>
    <n v="4"/>
    <n v="12"/>
    <n v="2"/>
    <n v="0"/>
    <n v="0"/>
    <n v="0"/>
    <n v="0"/>
    <n v="0"/>
    <n v="0"/>
    <n v="0"/>
  </r>
  <r>
    <n v="1900"/>
    <n v="174637"/>
    <n v="0"/>
    <n v="0"/>
    <x v="42"/>
    <s v="Single"/>
    <s v="PhD"/>
    <s v="10/23/2019"/>
    <s v="Other"/>
    <n v="73"/>
    <n v="2246"/>
    <n v="150"/>
    <n v="1086"/>
    <n v="342"/>
    <n v="0"/>
    <n v="37"/>
    <n v="3786"/>
    <n v="1"/>
    <n v="6"/>
    <n v="9"/>
    <n v="9"/>
    <n v="3"/>
    <n v="0"/>
    <n v="0"/>
    <n v="1"/>
    <n v="0"/>
    <n v="0"/>
    <n v="0"/>
    <n v="0"/>
  </r>
  <r>
    <n v="1046"/>
    <n v="172550"/>
    <n v="1"/>
    <n v="1"/>
    <x v="42"/>
    <s v="Married"/>
    <s v="PhD"/>
    <s v="4/15/2019"/>
    <s v="New York"/>
    <n v="39"/>
    <n v="1965"/>
    <n v="119"/>
    <n v="754"/>
    <n v="119"/>
    <n v="90"/>
    <n v="90"/>
    <n v="2956"/>
    <n v="9"/>
    <n v="5"/>
    <n v="2"/>
    <n v="12"/>
    <n v="8"/>
    <n v="0"/>
    <n v="0"/>
    <n v="0"/>
    <n v="0"/>
    <n v="0"/>
    <n v="0"/>
    <n v="0"/>
  </r>
  <r>
    <n v="2789"/>
    <n v="172071"/>
    <n v="0"/>
    <n v="1"/>
    <x v="42"/>
    <s v="Divorced"/>
    <s v="Graduate"/>
    <s v="7/22/2019"/>
    <s v="California"/>
    <n v="4"/>
    <n v="1268"/>
    <n v="165"/>
    <n v="716"/>
    <n v="358"/>
    <n v="329"/>
    <n v="358"/>
    <n v="2478"/>
    <n v="3"/>
    <n v="5"/>
    <n v="4"/>
    <n v="8"/>
    <n v="2"/>
    <n v="0"/>
    <n v="0"/>
    <n v="0"/>
    <n v="0"/>
    <n v="0"/>
    <n v="0"/>
    <n v="0"/>
  </r>
  <r>
    <n v="3134"/>
    <n v="172071"/>
    <n v="0"/>
    <n v="1"/>
    <x v="42"/>
    <s v="Divorced"/>
    <s v="Graduate"/>
    <s v="7/22/2019"/>
    <s v="New York"/>
    <n v="4"/>
    <n v="1268"/>
    <n v="165"/>
    <n v="716"/>
    <n v="358"/>
    <n v="329"/>
    <n v="358"/>
    <n v="2478"/>
    <n v="3"/>
    <n v="5"/>
    <n v="4"/>
    <n v="8"/>
    <n v="2"/>
    <n v="0"/>
    <n v="0"/>
    <n v="0"/>
    <n v="0"/>
    <n v="0"/>
    <n v="0"/>
    <n v="0"/>
  </r>
  <r>
    <n v="1777"/>
    <n v="170421"/>
    <n v="0"/>
    <n v="1"/>
    <x v="42"/>
    <s v="Married"/>
    <s v="PhD"/>
    <s v="12/2/2020"/>
    <s v="Illinois"/>
    <n v="98"/>
    <n v="1159"/>
    <n v="68"/>
    <n v="329"/>
    <n v="182"/>
    <n v="34"/>
    <n v="85"/>
    <n v="1687"/>
    <n v="3"/>
    <n v="10"/>
    <n v="3"/>
    <n v="7"/>
    <n v="6"/>
    <n v="0"/>
    <n v="0"/>
    <n v="0"/>
    <n v="0"/>
    <n v="0"/>
    <n v="0"/>
    <n v="0"/>
  </r>
  <r>
    <n v="2710"/>
    <n v="170044"/>
    <n v="0"/>
    <n v="1"/>
    <x v="42"/>
    <s v="Divorced"/>
    <s v="Graduate"/>
    <s v="7/26/2019"/>
    <s v="Other"/>
    <n v="46"/>
    <n v="2605"/>
    <n v="0"/>
    <n v="607"/>
    <n v="371"/>
    <n v="34"/>
    <n v="34"/>
    <n v="3583"/>
    <n v="4"/>
    <n v="7"/>
    <n v="10"/>
    <n v="5"/>
    <n v="5"/>
    <n v="0"/>
    <n v="0"/>
    <n v="0"/>
    <n v="0"/>
    <n v="0"/>
    <n v="0"/>
    <n v="0"/>
  </r>
  <r>
    <n v="1066"/>
    <n v="166991"/>
    <n v="0"/>
    <n v="0"/>
    <x v="42"/>
    <s v="Married"/>
    <s v="Master"/>
    <s v="2/16/2019"/>
    <s v="Other"/>
    <n v="1"/>
    <n v="1236"/>
    <n v="90"/>
    <n v="1147"/>
    <n v="471"/>
    <n v="150"/>
    <n v="30"/>
    <n v="3064"/>
    <n v="3"/>
    <n v="4"/>
    <n v="8"/>
    <n v="6"/>
    <n v="3"/>
    <n v="0"/>
    <n v="0"/>
    <n v="0"/>
    <n v="0"/>
    <n v="0"/>
    <n v="0"/>
    <n v="0"/>
  </r>
  <r>
    <n v="1023"/>
    <n v="165324"/>
    <n v="0"/>
    <n v="1"/>
    <x v="42"/>
    <s v="Married"/>
    <s v="PhD"/>
    <s v="6/17/2020"/>
    <s v="Texas"/>
    <n v="0"/>
    <n v="972"/>
    <n v="0"/>
    <n v="258"/>
    <n v="53"/>
    <n v="81"/>
    <n v="13"/>
    <n v="1351"/>
    <n v="3"/>
    <n v="6"/>
    <n v="2"/>
    <n v="9"/>
    <n v="4"/>
    <n v="0"/>
    <n v="0"/>
    <n v="0"/>
    <n v="0"/>
    <n v="0"/>
    <n v="0"/>
    <n v="0"/>
  </r>
  <r>
    <n v="1832"/>
    <n v="165324"/>
    <n v="0"/>
    <n v="1"/>
    <x v="42"/>
    <s v="Married"/>
    <s v="PhD"/>
    <s v="6/17/2020"/>
    <s v="New York"/>
    <n v="0"/>
    <n v="972"/>
    <n v="0"/>
    <n v="258"/>
    <n v="53"/>
    <n v="81"/>
    <n v="13"/>
    <n v="1351"/>
    <n v="3"/>
    <n v="6"/>
    <n v="2"/>
    <n v="9"/>
    <n v="4"/>
    <n v="0"/>
    <n v="0"/>
    <n v="0"/>
    <n v="0"/>
    <n v="0"/>
    <n v="0"/>
    <n v="0"/>
  </r>
  <r>
    <n v="1975"/>
    <n v="164587"/>
    <n v="1"/>
    <n v="1"/>
    <x v="42"/>
    <s v="Divorced"/>
    <s v="Graduate"/>
    <s v="11/26/2020"/>
    <s v="Illinois"/>
    <n v="49"/>
    <n v="168"/>
    <n v="0"/>
    <n v="41"/>
    <n v="0"/>
    <n v="15"/>
    <n v="51"/>
    <n v="173"/>
    <n v="2"/>
    <n v="1"/>
    <n v="1"/>
    <n v="4"/>
    <n v="3"/>
    <n v="0"/>
    <n v="0"/>
    <n v="0"/>
    <n v="0"/>
    <n v="0"/>
    <n v="0"/>
    <n v="0"/>
  </r>
  <r>
    <n v="1197"/>
    <n v="164497"/>
    <n v="0"/>
    <n v="1"/>
    <x v="42"/>
    <s v="Divorced"/>
    <s v="Graduate"/>
    <s v="2/15/2019"/>
    <s v="Texas"/>
    <n v="17"/>
    <n v="2984"/>
    <n v="122"/>
    <n v="816"/>
    <n v="107"/>
    <n v="82"/>
    <n v="490"/>
    <n v="3622"/>
    <n v="5"/>
    <n v="11"/>
    <n v="4"/>
    <n v="9"/>
    <n v="8"/>
    <n v="0"/>
    <n v="1"/>
    <n v="0"/>
    <n v="0"/>
    <n v="1"/>
    <n v="0"/>
    <n v="0"/>
  </r>
  <r>
    <n v="1730"/>
    <n v="163564"/>
    <n v="0"/>
    <n v="0"/>
    <x v="42"/>
    <s v="Married"/>
    <s v="Graduate"/>
    <s v="7/5/2020"/>
    <s v="New York"/>
    <n v="0"/>
    <n v="1979"/>
    <n v="206"/>
    <n v="648"/>
    <n v="39"/>
    <n v="87"/>
    <n v="167"/>
    <n v="2792"/>
    <n v="1"/>
    <n v="10"/>
    <n v="10"/>
    <n v="7"/>
    <n v="6"/>
    <n v="0"/>
    <n v="1"/>
    <n v="0"/>
    <n v="0"/>
    <n v="1"/>
    <n v="0"/>
    <n v="0"/>
  </r>
  <r>
    <n v="1896"/>
    <n v="162820"/>
    <n v="0"/>
    <n v="0"/>
    <x v="42"/>
    <s v="Married"/>
    <s v="Graduate"/>
    <s v="10/16/2019"/>
    <s v="Florida"/>
    <n v="51"/>
    <n v="1032"/>
    <n v="158"/>
    <n v="687"/>
    <n v="358"/>
    <n v="158"/>
    <n v="137"/>
    <n v="2255"/>
    <n v="1"/>
    <n v="3"/>
    <n v="4"/>
    <n v="6"/>
    <n v="1"/>
    <n v="0"/>
    <n v="0"/>
    <n v="0"/>
    <n v="0"/>
    <n v="0"/>
    <n v="0"/>
    <n v="0"/>
  </r>
  <r>
    <n v="2880"/>
    <n v="162820"/>
    <n v="0"/>
    <n v="0"/>
    <x v="42"/>
    <s v="Married"/>
    <s v="Graduate"/>
    <s v="10/16/2019"/>
    <s v="Florida"/>
    <n v="51"/>
    <n v="1032"/>
    <n v="158"/>
    <n v="687"/>
    <n v="358"/>
    <n v="158"/>
    <n v="137"/>
    <n v="2255"/>
    <n v="1"/>
    <n v="3"/>
    <n v="4"/>
    <n v="6"/>
    <n v="1"/>
    <n v="0"/>
    <n v="0"/>
    <n v="0"/>
    <n v="0"/>
    <n v="0"/>
    <n v="0"/>
    <n v="0"/>
  </r>
  <r>
    <n v="2632"/>
    <n v="162670"/>
    <n v="0"/>
    <n v="1"/>
    <x v="42"/>
    <s v="Married"/>
    <s v="PhD"/>
    <s v="7/9/2020"/>
    <s v="Other"/>
    <n v="57"/>
    <n v="1399"/>
    <n v="78"/>
    <n v="239"/>
    <n v="208"/>
    <n v="119"/>
    <n v="99"/>
    <n v="1944"/>
    <n v="1"/>
    <n v="5"/>
    <n v="3"/>
    <n v="13"/>
    <n v="3"/>
    <n v="0"/>
    <n v="0"/>
    <n v="0"/>
    <n v="0"/>
    <n v="0"/>
    <n v="0"/>
    <n v="0"/>
  </r>
  <r>
    <n v="3106"/>
    <n v="162637"/>
    <n v="0"/>
    <n v="1"/>
    <x v="42"/>
    <s v="Divorced"/>
    <s v="Master"/>
    <s v="8/5/2020"/>
    <s v="Other"/>
    <n v="76"/>
    <n v="270"/>
    <n v="31"/>
    <n v="125"/>
    <n v="10"/>
    <n v="31"/>
    <n v="13"/>
    <n v="454"/>
    <n v="1"/>
    <n v="2"/>
    <n v="2"/>
    <n v="5"/>
    <n v="2"/>
    <n v="0"/>
    <n v="0"/>
    <n v="0"/>
    <n v="0"/>
    <n v="0"/>
    <n v="0"/>
    <n v="0"/>
  </r>
  <r>
    <n v="2276"/>
    <n v="160033"/>
    <n v="0"/>
    <n v="1"/>
    <x v="42"/>
    <s v="Together"/>
    <s v="Master"/>
    <s v="9/2/2020"/>
    <s v="New York"/>
    <n v="28"/>
    <n v="165"/>
    <n v="3"/>
    <n v="152"/>
    <n v="51"/>
    <n v="29"/>
    <n v="128"/>
    <n v="272"/>
    <n v="2"/>
    <n v="2"/>
    <n v="1"/>
    <n v="5"/>
    <n v="2"/>
    <n v="0"/>
    <n v="0"/>
    <n v="0"/>
    <n v="0"/>
    <n v="0"/>
    <n v="0"/>
    <n v="0"/>
  </r>
  <r>
    <n v="1702"/>
    <n v="159111"/>
    <n v="0"/>
    <n v="0"/>
    <x v="42"/>
    <s v="Married"/>
    <s v="Graduate"/>
    <s v="10/7/2019"/>
    <s v="Other"/>
    <n v="90"/>
    <n v="1410"/>
    <n v="0"/>
    <n v="361"/>
    <n v="75"/>
    <n v="75"/>
    <n v="417"/>
    <n v="1505"/>
    <n v="1"/>
    <n v="11"/>
    <n v="1"/>
    <n v="8"/>
    <n v="7"/>
    <n v="0"/>
    <n v="0"/>
    <n v="0"/>
    <n v="0"/>
    <n v="0"/>
    <n v="0"/>
    <n v="0"/>
  </r>
  <r>
    <n v="2129"/>
    <n v="157744"/>
    <n v="0"/>
    <n v="1"/>
    <x v="42"/>
    <s v="Married"/>
    <s v="PhD"/>
    <s v="4/18/2020"/>
    <s v="California"/>
    <n v="91"/>
    <n v="956"/>
    <n v="8"/>
    <n v="107"/>
    <n v="0"/>
    <n v="0"/>
    <n v="52"/>
    <n v="1019"/>
    <n v="2"/>
    <n v="9"/>
    <n v="1"/>
    <n v="4"/>
    <n v="8"/>
    <n v="0"/>
    <n v="0"/>
    <n v="0"/>
    <n v="0"/>
    <n v="0"/>
    <n v="0"/>
    <n v="0"/>
  </r>
  <r>
    <n v="2814"/>
    <n v="157333"/>
    <n v="0"/>
    <n v="1"/>
    <x v="42"/>
    <s v="Divorced"/>
    <s v="PhD"/>
    <s v="2/27/2019"/>
    <s v="Florida"/>
    <n v="55"/>
    <n v="2582"/>
    <n v="38"/>
    <n v="1089"/>
    <n v="209"/>
    <n v="159"/>
    <n v="483"/>
    <n v="3595"/>
    <n v="11"/>
    <n v="8"/>
    <n v="5"/>
    <n v="9"/>
    <n v="6"/>
    <n v="0"/>
    <n v="1"/>
    <n v="0"/>
    <n v="0"/>
    <n v="0"/>
    <n v="0"/>
    <n v="0"/>
  </r>
  <r>
    <n v="1960"/>
    <n v="153103"/>
    <n v="0"/>
    <n v="1"/>
    <x v="42"/>
    <s v="Together"/>
    <s v="Graduate"/>
    <s v="2/17/2020"/>
    <s v="Other"/>
    <n v="70"/>
    <n v="2102"/>
    <n v="49"/>
    <n v="383"/>
    <n v="32"/>
    <n v="0"/>
    <n v="562"/>
    <n v="2004"/>
    <n v="5"/>
    <n v="10"/>
    <n v="6"/>
    <n v="7"/>
    <n v="7"/>
    <n v="0"/>
    <n v="0"/>
    <n v="0"/>
    <n v="0"/>
    <n v="1"/>
    <n v="0"/>
    <n v="0"/>
  </r>
  <r>
    <n v="3205"/>
    <n v="152869"/>
    <n v="1"/>
    <n v="1"/>
    <x v="42"/>
    <s v="Married"/>
    <s v="PhD"/>
    <s v="3/22/2019"/>
    <s v="Illinois"/>
    <n v="40"/>
    <n v="243"/>
    <n v="9"/>
    <n v="176"/>
    <n v="6"/>
    <n v="3"/>
    <n v="61"/>
    <n v="376"/>
    <n v="3"/>
    <n v="3"/>
    <n v="1"/>
    <n v="4"/>
    <n v="7"/>
    <n v="0"/>
    <n v="1"/>
    <n v="0"/>
    <n v="0"/>
    <n v="0"/>
    <n v="0"/>
    <n v="0"/>
  </r>
  <r>
    <n v="3166"/>
    <n v="150501"/>
    <n v="1"/>
    <n v="1"/>
    <x v="42"/>
    <s v="Married"/>
    <s v="Graduate"/>
    <s v="11/23/2019"/>
    <s v="Other"/>
    <n v="10"/>
    <n v="885"/>
    <n v="0"/>
    <n v="113"/>
    <n v="39"/>
    <n v="0"/>
    <n v="453"/>
    <n v="584"/>
    <n v="7"/>
    <n v="5"/>
    <n v="4"/>
    <n v="4"/>
    <n v="6"/>
    <n v="0"/>
    <n v="1"/>
    <n v="0"/>
    <n v="0"/>
    <n v="1"/>
    <n v="0"/>
    <n v="0"/>
  </r>
  <r>
    <n v="2612"/>
    <n v="150002"/>
    <n v="0"/>
    <n v="1"/>
    <x v="42"/>
    <s v="Divorced"/>
    <s v="Graduate"/>
    <s v="11/22/2019"/>
    <s v="New York"/>
    <n v="21"/>
    <n v="1329"/>
    <n v="15"/>
    <n v="213"/>
    <n v="63"/>
    <n v="48"/>
    <n v="246"/>
    <n v="1422"/>
    <n v="2"/>
    <n v="8"/>
    <n v="2"/>
    <n v="7"/>
    <n v="7"/>
    <n v="0"/>
    <n v="0"/>
    <n v="0"/>
    <n v="0"/>
    <n v="0"/>
    <n v="0"/>
    <n v="0"/>
  </r>
  <r>
    <n v="2105"/>
    <n v="146734"/>
    <n v="0"/>
    <n v="1"/>
    <x v="42"/>
    <s v="Married"/>
    <s v="Graduate"/>
    <s v="4/25/2019"/>
    <s v="California"/>
    <n v="40"/>
    <n v="345"/>
    <n v="16"/>
    <n v="430"/>
    <n v="82"/>
    <n v="72"/>
    <n v="91"/>
    <n v="854"/>
    <n v="2"/>
    <n v="6"/>
    <n v="1"/>
    <n v="5"/>
    <n v="7"/>
    <n v="0"/>
    <n v="0"/>
    <n v="0"/>
    <n v="0"/>
    <n v="0"/>
    <n v="0"/>
    <n v="0"/>
  </r>
  <r>
    <n v="1002"/>
    <n v="146344"/>
    <n v="1"/>
    <n v="1"/>
    <x v="42"/>
    <s v="Single"/>
    <s v="Graduate"/>
    <s v="8/12/2020"/>
    <s v="Florida"/>
    <n v="38"/>
    <n v="35"/>
    <n v="3"/>
    <n v="19"/>
    <n v="6"/>
    <n v="3"/>
    <n v="19"/>
    <n v="47"/>
    <n v="2"/>
    <n v="1"/>
    <n v="1"/>
    <n v="2"/>
    <n v="5"/>
    <n v="0"/>
    <n v="0"/>
    <n v="0"/>
    <n v="0"/>
    <n v="0"/>
    <n v="0"/>
    <n v="0"/>
  </r>
  <r>
    <n v="3083"/>
    <n v="145736"/>
    <n v="0"/>
    <n v="1"/>
    <x v="42"/>
    <s v="Married"/>
    <s v="Master"/>
    <s v="12/29/2019"/>
    <s v="California"/>
    <n v="92"/>
    <n v="599"/>
    <n v="10"/>
    <n v="574"/>
    <n v="64"/>
    <n v="10"/>
    <n v="137"/>
    <n v="1118"/>
    <n v="5"/>
    <n v="7"/>
    <n v="1"/>
    <n v="6"/>
    <n v="7"/>
    <n v="0"/>
    <n v="0"/>
    <n v="0"/>
    <n v="0"/>
    <n v="0"/>
    <n v="0"/>
    <n v="0"/>
  </r>
  <r>
    <n v="1206"/>
    <n v="144551"/>
    <n v="0"/>
    <n v="1"/>
    <x v="42"/>
    <s v="Widow"/>
    <s v="Master"/>
    <s v="2/5/2020"/>
    <s v="Florida"/>
    <n v="24"/>
    <n v="591"/>
    <n v="13"/>
    <n v="107"/>
    <n v="0"/>
    <n v="0"/>
    <n v="214"/>
    <n v="496"/>
    <n v="2"/>
    <n v="4"/>
    <n v="1"/>
    <n v="5"/>
    <n v="7"/>
    <n v="0"/>
    <n v="0"/>
    <n v="0"/>
    <n v="0"/>
    <n v="0"/>
    <n v="0"/>
    <n v="0"/>
  </r>
  <r>
    <n v="1899"/>
    <n v="142607"/>
    <n v="0"/>
    <n v="1"/>
    <x v="42"/>
    <s v="Single"/>
    <s v="Graduate"/>
    <s v="4/23/2020"/>
    <s v="Texas"/>
    <n v="30"/>
    <n v="522"/>
    <n v="97"/>
    <n v="187"/>
    <n v="100"/>
    <n v="107"/>
    <n v="157"/>
    <n v="857"/>
    <n v="2"/>
    <n v="3"/>
    <n v="2"/>
    <n v="7"/>
    <n v="3"/>
    <n v="0"/>
    <n v="0"/>
    <n v="0"/>
    <n v="0"/>
    <n v="0"/>
    <n v="0"/>
    <n v="0"/>
  </r>
  <r>
    <n v="2451"/>
    <n v="139898"/>
    <n v="0"/>
    <n v="1"/>
    <x v="42"/>
    <s v="Together"/>
    <s v="Graduate"/>
    <s v="7/20/2019"/>
    <s v="Texas"/>
    <n v="20"/>
    <n v="242"/>
    <n v="28"/>
    <n v="91"/>
    <n v="42"/>
    <n v="25"/>
    <n v="42"/>
    <n v="386"/>
    <n v="2"/>
    <n v="3"/>
    <n v="0"/>
    <n v="4"/>
    <n v="7"/>
    <n v="0"/>
    <n v="0"/>
    <n v="0"/>
    <n v="0"/>
    <n v="0"/>
    <n v="0"/>
    <n v="0"/>
  </r>
  <r>
    <n v="2924"/>
    <n v="139898"/>
    <n v="0"/>
    <n v="1"/>
    <x v="42"/>
    <s v="Together"/>
    <s v="Graduate"/>
    <s v="7/20/2019"/>
    <s v="New York"/>
    <n v="20"/>
    <n v="242"/>
    <n v="28"/>
    <n v="91"/>
    <n v="42"/>
    <n v="25"/>
    <n v="42"/>
    <n v="386"/>
    <n v="2"/>
    <n v="3"/>
    <n v="0"/>
    <n v="4"/>
    <n v="7"/>
    <n v="0"/>
    <n v="0"/>
    <n v="0"/>
    <n v="0"/>
    <n v="0"/>
    <n v="0"/>
    <n v="0"/>
  </r>
  <r>
    <n v="2022"/>
    <n v="138998"/>
    <n v="1"/>
    <n v="1"/>
    <x v="42"/>
    <s v="Married"/>
    <s v="Graduate"/>
    <s v="4/10/2019"/>
    <s v="Florida"/>
    <n v="92"/>
    <n v="121"/>
    <n v="4"/>
    <n v="50"/>
    <n v="0"/>
    <n v="0"/>
    <n v="18"/>
    <n v="157"/>
    <n v="3"/>
    <n v="2"/>
    <n v="0"/>
    <n v="3"/>
    <n v="8"/>
    <n v="1"/>
    <n v="0"/>
    <n v="0"/>
    <n v="0"/>
    <n v="0"/>
    <n v="0"/>
    <n v="0"/>
  </r>
  <r>
    <n v="2547"/>
    <n v="138998"/>
    <n v="1"/>
    <n v="1"/>
    <x v="42"/>
    <s v="Married"/>
    <s v="Graduate"/>
    <s v="4/10/2019"/>
    <s v="Texas"/>
    <n v="92"/>
    <n v="121"/>
    <n v="4"/>
    <n v="50"/>
    <n v="0"/>
    <n v="0"/>
    <n v="18"/>
    <n v="157"/>
    <n v="3"/>
    <n v="2"/>
    <n v="0"/>
    <n v="3"/>
    <n v="8"/>
    <n v="1"/>
    <n v="0"/>
    <n v="0"/>
    <n v="0"/>
    <n v="0"/>
    <n v="0"/>
    <n v="0"/>
  </r>
  <r>
    <n v="1985"/>
    <n v="136930"/>
    <n v="0"/>
    <n v="1"/>
    <x v="42"/>
    <s v="Married"/>
    <s v="PhD"/>
    <s v="10/22/2019"/>
    <s v="California"/>
    <n v="50"/>
    <n v="827"/>
    <n v="7"/>
    <n v="115"/>
    <n v="0"/>
    <n v="7"/>
    <n v="145"/>
    <n v="812"/>
    <n v="5"/>
    <n v="5"/>
    <n v="2"/>
    <n v="4"/>
    <n v="8"/>
    <n v="0"/>
    <n v="0"/>
    <n v="0"/>
    <n v="0"/>
    <n v="0"/>
    <n v="0"/>
    <n v="0"/>
  </r>
  <r>
    <n v="3183"/>
    <n v="136807"/>
    <n v="1"/>
    <n v="1"/>
    <x v="42"/>
    <s v="Together"/>
    <s v="Graduate"/>
    <s v="5/27/2019"/>
    <s v="Texas"/>
    <n v="88"/>
    <n v="15"/>
    <n v="7"/>
    <n v="19"/>
    <n v="0"/>
    <n v="0"/>
    <n v="19"/>
    <n v="22"/>
    <n v="1"/>
    <n v="1"/>
    <n v="0"/>
    <n v="2"/>
    <n v="6"/>
    <n v="0"/>
    <n v="0"/>
    <n v="0"/>
    <n v="0"/>
    <n v="0"/>
    <n v="0"/>
    <n v="0"/>
  </r>
  <r>
    <n v="2631"/>
    <n v="136634"/>
    <n v="0"/>
    <n v="1"/>
    <x v="42"/>
    <s v="Together"/>
    <s v="Master"/>
    <s v="11/2/2019"/>
    <s v="Texas"/>
    <n v="0"/>
    <n v="794"/>
    <n v="34"/>
    <n v="283"/>
    <n v="15"/>
    <n v="11"/>
    <n v="112"/>
    <n v="1026"/>
    <n v="3"/>
    <n v="5"/>
    <n v="2"/>
    <n v="5"/>
    <n v="7"/>
    <n v="0"/>
    <n v="0"/>
    <n v="0"/>
    <n v="0"/>
    <n v="0"/>
    <n v="0"/>
    <n v="0"/>
  </r>
  <r>
    <n v="1986"/>
    <n v="136130"/>
    <n v="0"/>
    <n v="1"/>
    <x v="42"/>
    <s v="Single"/>
    <s v="Graduate"/>
    <s v="7/10/2019"/>
    <s v="Florida"/>
    <n v="46"/>
    <n v="592"/>
    <n v="162"/>
    <n v="479"/>
    <n v="256"/>
    <n v="211"/>
    <n v="139"/>
    <n v="1560"/>
    <n v="6"/>
    <n v="3"/>
    <n v="8"/>
    <n v="4"/>
    <n v="4"/>
    <n v="0"/>
    <n v="1"/>
    <n v="0"/>
    <n v="0"/>
    <n v="1"/>
    <n v="0"/>
    <n v="0"/>
  </r>
  <r>
    <n v="3175"/>
    <n v="132144"/>
    <n v="1"/>
    <n v="1"/>
    <x v="42"/>
    <s v="Together"/>
    <s v="Graduate"/>
    <s v="8/27/2020"/>
    <s v="Illinois"/>
    <n v="76"/>
    <n v="169"/>
    <n v="0"/>
    <n v="41"/>
    <n v="0"/>
    <n v="0"/>
    <n v="12"/>
    <n v="197"/>
    <n v="4"/>
    <n v="2"/>
    <n v="1"/>
    <n v="3"/>
    <n v="7"/>
    <n v="0"/>
    <n v="0"/>
    <n v="0"/>
    <n v="0"/>
    <n v="0"/>
    <n v="1"/>
    <n v="0"/>
  </r>
  <r>
    <n v="1366"/>
    <n v="127421"/>
    <n v="0"/>
    <n v="0"/>
    <x v="42"/>
    <s v="Widow"/>
    <s v="Graduate"/>
    <s v="5/19/2019"/>
    <s v="Other"/>
    <n v="14"/>
    <n v="200"/>
    <n v="56"/>
    <n v="446"/>
    <n v="362"/>
    <n v="186"/>
    <n v="256"/>
    <n v="994"/>
    <n v="3"/>
    <n v="4"/>
    <n v="1"/>
    <n v="6"/>
    <n v="7"/>
    <n v="0"/>
    <n v="0"/>
    <n v="0"/>
    <n v="0"/>
    <n v="0"/>
    <n v="0"/>
    <n v="0"/>
  </r>
  <r>
    <n v="1798"/>
    <n v="122507"/>
    <n v="0"/>
    <n v="0"/>
    <x v="42"/>
    <s v="Single"/>
    <s v="Graduate"/>
    <s v="5/1/2019"/>
    <s v="Other"/>
    <n v="67"/>
    <n v="370"/>
    <n v="0"/>
    <n v="1230"/>
    <n v="278"/>
    <n v="855"/>
    <n v="370"/>
    <n v="2362"/>
    <n v="3"/>
    <n v="10"/>
    <n v="2"/>
    <n v="4"/>
    <n v="9"/>
    <n v="0"/>
    <n v="0"/>
    <n v="0"/>
    <n v="0"/>
    <n v="0"/>
    <n v="0"/>
    <n v="0"/>
  </r>
  <r>
    <n v="1924"/>
    <n v="194384"/>
    <n v="0"/>
    <n v="0"/>
    <x v="43"/>
    <s v="Together"/>
    <s v="Graduate"/>
    <s v="8/9/2019"/>
    <s v="Other"/>
    <n v="62"/>
    <n v="2288"/>
    <n v="49"/>
    <n v="1627"/>
    <n v="330"/>
    <n v="93"/>
    <n v="354"/>
    <n v="4033"/>
    <n v="0"/>
    <n v="5"/>
    <n v="8"/>
    <n v="5"/>
    <n v="2"/>
    <n v="0"/>
    <n v="1"/>
    <n v="1"/>
    <n v="0"/>
    <n v="0"/>
    <n v="1"/>
    <n v="1"/>
  </r>
  <r>
    <n v="2281"/>
    <n v="194384"/>
    <n v="0"/>
    <n v="0"/>
    <x v="43"/>
    <s v="Together"/>
    <s v="Graduate"/>
    <s v="8/9/2019"/>
    <s v="Illinois"/>
    <n v="62"/>
    <n v="2288"/>
    <n v="49"/>
    <n v="1627"/>
    <n v="330"/>
    <n v="93"/>
    <n v="354"/>
    <n v="4033"/>
    <n v="0"/>
    <n v="5"/>
    <n v="8"/>
    <n v="5"/>
    <n v="2"/>
    <n v="0"/>
    <n v="1"/>
    <n v="1"/>
    <n v="0"/>
    <n v="0"/>
    <n v="1"/>
    <n v="1"/>
  </r>
  <r>
    <n v="2816"/>
    <n v="184953"/>
    <n v="0"/>
    <n v="0"/>
    <x v="43"/>
    <s v="Widow"/>
    <s v="Master"/>
    <s v="11/8/2019"/>
    <s v="New York"/>
    <n v="73"/>
    <n v="364"/>
    <n v="105"/>
    <n v="1311"/>
    <n v="137"/>
    <n v="157"/>
    <n v="157"/>
    <n v="1916"/>
    <n v="1"/>
    <n v="3"/>
    <n v="10"/>
    <n v="4"/>
    <n v="2"/>
    <n v="0"/>
    <n v="1"/>
    <n v="1"/>
    <n v="0"/>
    <n v="0"/>
    <n v="1"/>
    <n v="1"/>
  </r>
  <r>
    <n v="1856"/>
    <n v="180812"/>
    <n v="0"/>
    <n v="0"/>
    <x v="43"/>
    <s v="Together"/>
    <s v="Graduate"/>
    <s v="2/22/2020"/>
    <s v="New York"/>
    <n v="95"/>
    <n v="1721"/>
    <n v="49"/>
    <n v="1119"/>
    <n v="470"/>
    <n v="320"/>
    <n v="74"/>
    <n v="3605"/>
    <n v="1"/>
    <n v="4"/>
    <n v="8"/>
    <n v="5"/>
    <n v="2"/>
    <n v="0"/>
    <n v="0"/>
    <n v="1"/>
    <n v="0"/>
    <n v="1"/>
    <n v="0"/>
    <n v="1"/>
  </r>
  <r>
    <n v="1234"/>
    <n v="175027"/>
    <n v="0"/>
    <n v="1"/>
    <x v="43"/>
    <s v="Married"/>
    <s v="Graduate"/>
    <s v="6/16/2019"/>
    <s v="Other"/>
    <n v="74"/>
    <n v="2158"/>
    <n v="149"/>
    <n v="418"/>
    <n v="310"/>
    <n v="28"/>
    <n v="180"/>
    <n v="2883"/>
    <n v="2"/>
    <n v="9"/>
    <n v="4"/>
    <n v="6"/>
    <n v="5"/>
    <n v="0"/>
    <n v="0"/>
    <n v="0"/>
    <n v="0"/>
    <n v="0"/>
    <n v="0"/>
    <n v="0"/>
  </r>
  <r>
    <n v="2428"/>
    <n v="173892"/>
    <n v="0"/>
    <n v="0"/>
    <x v="43"/>
    <s v="Single"/>
    <s v="Graduate"/>
    <s v="4/19/2020"/>
    <s v="Other"/>
    <n v="40"/>
    <n v="1654"/>
    <n v="240"/>
    <n v="1414"/>
    <n v="0"/>
    <n v="136"/>
    <n v="101"/>
    <n v="3344"/>
    <n v="1"/>
    <n v="3"/>
    <n v="11"/>
    <n v="8"/>
    <n v="1"/>
    <n v="0"/>
    <n v="1"/>
    <n v="0"/>
    <n v="0"/>
    <n v="0"/>
    <n v="0"/>
    <n v="0"/>
  </r>
  <r>
    <n v="1507"/>
    <n v="170503"/>
    <n v="0"/>
    <n v="0"/>
    <x v="43"/>
    <s v="Married"/>
    <s v="Graduate"/>
    <s v="3/7/2019"/>
    <s v="Illinois"/>
    <n v="73"/>
    <n v="3335"/>
    <n v="80"/>
    <n v="522"/>
    <n v="0"/>
    <n v="80"/>
    <n v="160"/>
    <n v="3857"/>
    <n v="1"/>
    <n v="2"/>
    <n v="4"/>
    <n v="9"/>
    <n v="6"/>
    <n v="0"/>
    <n v="0"/>
    <n v="0"/>
    <n v="0"/>
    <n v="0"/>
    <n v="1"/>
    <n v="1"/>
  </r>
  <r>
    <n v="1257"/>
    <n v="169267"/>
    <n v="0"/>
    <n v="0"/>
    <x v="43"/>
    <s v="Single"/>
    <s v="Graduate"/>
    <s v="2/27/2019"/>
    <s v="Texas"/>
    <n v="31"/>
    <n v="1901"/>
    <n v="108"/>
    <n v="1219"/>
    <n v="232"/>
    <n v="178"/>
    <n v="357"/>
    <n v="3282"/>
    <n v="2"/>
    <n v="3"/>
    <n v="4"/>
    <n v="5"/>
    <n v="7"/>
    <n v="0"/>
    <n v="1"/>
    <n v="0"/>
    <n v="0"/>
    <n v="0"/>
    <n v="0"/>
    <n v="0"/>
  </r>
  <r>
    <n v="2383"/>
    <n v="167087"/>
    <n v="0"/>
    <n v="1"/>
    <x v="43"/>
    <s v="Married"/>
    <s v="Master"/>
    <s v="5/23/2020"/>
    <s v="Illinois"/>
    <n v="40"/>
    <n v="819"/>
    <n v="87"/>
    <n v="553"/>
    <n v="324"/>
    <n v="87"/>
    <n v="107"/>
    <n v="1763"/>
    <n v="2"/>
    <n v="7"/>
    <n v="5"/>
    <n v="8"/>
    <n v="4"/>
    <n v="0"/>
    <n v="0"/>
    <n v="0"/>
    <n v="0"/>
    <n v="0"/>
    <n v="0"/>
    <n v="0"/>
  </r>
  <r>
    <n v="1987"/>
    <n v="165569"/>
    <n v="0"/>
    <n v="1"/>
    <x v="43"/>
    <s v="Married"/>
    <s v="Master"/>
    <s v="4/12/2019"/>
    <s v="Illinois"/>
    <n v="96"/>
    <n v="1002"/>
    <n v="116"/>
    <n v="727"/>
    <n v="51"/>
    <n v="96"/>
    <n v="177"/>
    <n v="1816"/>
    <n v="2"/>
    <n v="6"/>
    <n v="5"/>
    <n v="10"/>
    <n v="3"/>
    <n v="0"/>
    <n v="0"/>
    <n v="0"/>
    <n v="0"/>
    <n v="0"/>
    <n v="0"/>
    <n v="0"/>
  </r>
  <r>
    <n v="2003"/>
    <n v="164504"/>
    <n v="1"/>
    <n v="2"/>
    <x v="43"/>
    <s v="Together"/>
    <s v="PhD"/>
    <s v="8/9/2019"/>
    <s v="California"/>
    <n v="81"/>
    <n v="2515"/>
    <n v="92"/>
    <n v="428"/>
    <n v="41"/>
    <n v="0"/>
    <n v="275"/>
    <n v="2800"/>
    <n v="7"/>
    <n v="11"/>
    <n v="3"/>
    <n v="4"/>
    <n v="7"/>
    <n v="0"/>
    <n v="1"/>
    <n v="0"/>
    <n v="0"/>
    <n v="0"/>
    <n v="0"/>
    <n v="0"/>
  </r>
  <r>
    <n v="1721"/>
    <n v="164108"/>
    <n v="0"/>
    <n v="1"/>
    <x v="43"/>
    <s v="Single"/>
    <s v="PhD"/>
    <s v="8/28/2019"/>
    <s v="California"/>
    <n v="8"/>
    <n v="2427"/>
    <n v="26"/>
    <n v="220"/>
    <n v="33"/>
    <n v="54"/>
    <n v="54"/>
    <n v="2706"/>
    <n v="4"/>
    <n v="6"/>
    <n v="9"/>
    <n v="11"/>
    <n v="5"/>
    <n v="0"/>
    <n v="0"/>
    <n v="0"/>
    <n v="0"/>
    <n v="0"/>
    <n v="0"/>
    <n v="0"/>
  </r>
  <r>
    <n v="1155"/>
    <n v="162551"/>
    <n v="0"/>
    <n v="0"/>
    <x v="43"/>
    <s v="Divorced"/>
    <s v="Graduate"/>
    <s v="4/24/2020"/>
    <s v="Texas"/>
    <n v="27"/>
    <n v="325"/>
    <n v="42"/>
    <n v="255"/>
    <n v="348"/>
    <n v="55"/>
    <n v="70"/>
    <n v="954"/>
    <n v="1"/>
    <n v="6"/>
    <n v="7"/>
    <n v="4"/>
    <n v="3"/>
    <n v="0"/>
    <n v="0"/>
    <n v="0"/>
    <n v="0"/>
    <n v="1"/>
    <n v="0"/>
    <n v="0"/>
  </r>
  <r>
    <n v="1638"/>
    <n v="161278"/>
    <n v="0"/>
    <n v="1"/>
    <x v="43"/>
    <s v="Together"/>
    <s v="Graduate"/>
    <s v="6/10/2020"/>
    <s v="Florida"/>
    <n v="87"/>
    <n v="292"/>
    <n v="8"/>
    <n v="74"/>
    <n v="5"/>
    <n v="16"/>
    <n v="39"/>
    <n v="355"/>
    <n v="2"/>
    <n v="3"/>
    <n v="1"/>
    <n v="4"/>
    <n v="6"/>
    <n v="0"/>
    <n v="0"/>
    <n v="0"/>
    <n v="0"/>
    <n v="0"/>
    <n v="0"/>
    <n v="0"/>
  </r>
  <r>
    <n v="1140"/>
    <n v="159354"/>
    <n v="0"/>
    <n v="2"/>
    <x v="43"/>
    <s v="Married"/>
    <s v="Master"/>
    <s v="9/28/2020"/>
    <s v="Florida"/>
    <n v="59"/>
    <n v="792"/>
    <n v="56"/>
    <n v="209"/>
    <n v="105"/>
    <n v="35"/>
    <n v="35"/>
    <n v="1163"/>
    <n v="1"/>
    <n v="4"/>
    <n v="4"/>
    <n v="7"/>
    <n v="3"/>
    <n v="0"/>
    <n v="0"/>
    <n v="0"/>
    <n v="0"/>
    <n v="0"/>
    <n v="0"/>
    <n v="0"/>
  </r>
  <r>
    <n v="1694"/>
    <n v="158398"/>
    <n v="0"/>
    <n v="0"/>
    <x v="43"/>
    <s v="Together"/>
    <s v="Graduate"/>
    <s v="10/19/2019"/>
    <s v="New York"/>
    <n v="44"/>
    <n v="811"/>
    <n v="14"/>
    <n v="545"/>
    <n v="57"/>
    <n v="57"/>
    <n v="133"/>
    <n v="1351"/>
    <n v="3"/>
    <n v="5"/>
    <n v="4"/>
    <n v="8"/>
    <n v="4"/>
    <n v="0"/>
    <n v="0"/>
    <n v="0"/>
    <n v="0"/>
    <n v="0"/>
    <n v="0"/>
    <n v="0"/>
  </r>
  <r>
    <n v="1112"/>
    <n v="156129"/>
    <n v="0"/>
    <n v="1"/>
    <x v="43"/>
    <s v="Together"/>
    <s v="Master"/>
    <s v="11/25/2019"/>
    <s v="New York"/>
    <n v="65"/>
    <n v="890"/>
    <n v="134"/>
    <n v="370"/>
    <n v="108"/>
    <n v="200"/>
    <n v="134"/>
    <n v="1569"/>
    <n v="4"/>
    <n v="6"/>
    <n v="2"/>
    <n v="10"/>
    <n v="4"/>
    <n v="0"/>
    <n v="0"/>
    <n v="0"/>
    <n v="0"/>
    <n v="0"/>
    <n v="0"/>
    <n v="0"/>
  </r>
  <r>
    <n v="2121"/>
    <n v="156129"/>
    <n v="0"/>
    <n v="1"/>
    <x v="43"/>
    <s v="Together"/>
    <s v="Master"/>
    <s v="11/25/2019"/>
    <s v="Texas"/>
    <n v="65"/>
    <n v="890"/>
    <n v="134"/>
    <n v="370"/>
    <n v="108"/>
    <n v="200"/>
    <n v="134"/>
    <n v="1569"/>
    <n v="4"/>
    <n v="6"/>
    <n v="2"/>
    <n v="10"/>
    <n v="4"/>
    <n v="0"/>
    <n v="0"/>
    <n v="0"/>
    <n v="0"/>
    <n v="0"/>
    <n v="0"/>
    <n v="0"/>
  </r>
  <r>
    <n v="1433"/>
    <n v="155707"/>
    <n v="0"/>
    <n v="1"/>
    <x v="43"/>
    <s v="Married"/>
    <s v="PhD"/>
    <s v="5/28/2020"/>
    <s v="California"/>
    <n v="91"/>
    <n v="581"/>
    <n v="20"/>
    <n v="229"/>
    <n v="84"/>
    <n v="184"/>
    <n v="98"/>
    <n v="1001"/>
    <n v="2"/>
    <n v="3"/>
    <n v="2"/>
    <n v="9"/>
    <n v="3"/>
    <n v="0"/>
    <n v="0"/>
    <n v="0"/>
    <n v="0"/>
    <n v="0"/>
    <n v="0"/>
    <n v="0"/>
  </r>
  <r>
    <n v="1119"/>
    <n v="154348"/>
    <n v="1"/>
    <n v="1"/>
    <x v="43"/>
    <s v="Married"/>
    <s v="Master"/>
    <s v="11/12/2020"/>
    <s v="Texas"/>
    <n v="51"/>
    <n v="199"/>
    <n v="0"/>
    <n v="45"/>
    <n v="0"/>
    <n v="0"/>
    <n v="11"/>
    <n v="233"/>
    <n v="2"/>
    <n v="2"/>
    <n v="0"/>
    <n v="4"/>
    <n v="6"/>
    <n v="0"/>
    <n v="0"/>
    <n v="0"/>
    <n v="0"/>
    <n v="0"/>
    <n v="0"/>
    <n v="0"/>
  </r>
  <r>
    <n v="1489"/>
    <n v="153653"/>
    <n v="0"/>
    <n v="0"/>
    <x v="43"/>
    <s v="Widow"/>
    <s v="Graduate"/>
    <s v="4/14/2019"/>
    <s v="Illinois"/>
    <n v="29"/>
    <n v="2334"/>
    <n v="29"/>
    <n v="684"/>
    <n v="80"/>
    <n v="29"/>
    <n v="309"/>
    <n v="2847"/>
    <n v="2"/>
    <n v="10"/>
    <n v="4"/>
    <n v="12"/>
    <n v="6"/>
    <n v="0"/>
    <n v="0"/>
    <n v="0"/>
    <n v="0"/>
    <n v="0"/>
    <n v="0"/>
    <n v="0"/>
  </r>
  <r>
    <n v="1712"/>
    <n v="153593"/>
    <n v="1"/>
    <n v="1"/>
    <x v="43"/>
    <s v="Together"/>
    <s v="PhD"/>
    <s v="1/12/2019"/>
    <s v="New York"/>
    <n v="60"/>
    <n v="1000"/>
    <n v="11"/>
    <n v="224"/>
    <n v="17"/>
    <n v="0"/>
    <n v="123"/>
    <n v="1129"/>
    <n v="8"/>
    <n v="7"/>
    <n v="2"/>
    <n v="6"/>
    <n v="8"/>
    <n v="0"/>
    <n v="0"/>
    <n v="0"/>
    <n v="0"/>
    <n v="0"/>
    <n v="0"/>
    <n v="0"/>
  </r>
  <r>
    <n v="2519"/>
    <n v="151411"/>
    <n v="1"/>
    <n v="2"/>
    <x v="43"/>
    <s v="Single"/>
    <s v="PhD"/>
    <s v="10/31/2019"/>
    <s v="California"/>
    <n v="81"/>
    <n v="41"/>
    <n v="0"/>
    <n v="9"/>
    <n v="0"/>
    <n v="0"/>
    <n v="3"/>
    <n v="47"/>
    <n v="1"/>
    <n v="0"/>
    <n v="0"/>
    <n v="3"/>
    <n v="5"/>
    <n v="0"/>
    <n v="0"/>
    <n v="0"/>
    <n v="0"/>
    <n v="0"/>
    <n v="0"/>
    <n v="0"/>
  </r>
  <r>
    <n v="2442"/>
    <n v="150725"/>
    <n v="0"/>
    <n v="1"/>
    <x v="43"/>
    <s v="Married"/>
    <s v="Graduate"/>
    <s v="7/21/2019"/>
    <s v="Florida"/>
    <n v="45"/>
    <n v="1316"/>
    <n v="30"/>
    <n v="223"/>
    <n v="0"/>
    <n v="30"/>
    <n v="143"/>
    <n v="1456"/>
    <n v="4"/>
    <n v="8"/>
    <n v="1"/>
    <n v="8"/>
    <n v="8"/>
    <n v="0"/>
    <n v="0"/>
    <n v="0"/>
    <n v="0"/>
    <n v="0"/>
    <n v="0"/>
    <n v="0"/>
  </r>
  <r>
    <n v="3029"/>
    <n v="148794"/>
    <n v="1"/>
    <n v="1"/>
    <x v="43"/>
    <s v="Together"/>
    <s v="Graduate"/>
    <s v="11/30/2020"/>
    <s v="California"/>
    <n v="97"/>
    <n v="76"/>
    <n v="0"/>
    <n v="34"/>
    <n v="9"/>
    <n v="0"/>
    <n v="46"/>
    <n v="73"/>
    <n v="1"/>
    <n v="1"/>
    <n v="0"/>
    <n v="3"/>
    <n v="4"/>
    <n v="0"/>
    <n v="0"/>
    <n v="0"/>
    <n v="0"/>
    <n v="0"/>
    <n v="0"/>
    <n v="0"/>
  </r>
  <r>
    <n v="1409"/>
    <n v="148686"/>
    <n v="1"/>
    <n v="2"/>
    <x v="43"/>
    <s v="Married"/>
    <s v="Graduate"/>
    <s v="5/10/2020"/>
    <s v="California"/>
    <n v="8"/>
    <n v="31"/>
    <n v="0"/>
    <n v="21"/>
    <n v="6"/>
    <n v="0"/>
    <n v="3"/>
    <n v="55"/>
    <n v="1"/>
    <n v="1"/>
    <n v="0"/>
    <n v="2"/>
    <n v="8"/>
    <n v="0"/>
    <n v="0"/>
    <n v="0"/>
    <n v="0"/>
    <n v="0"/>
    <n v="0"/>
    <n v="0"/>
  </r>
  <r>
    <n v="2020"/>
    <n v="147703"/>
    <n v="0"/>
    <n v="1"/>
    <x v="43"/>
    <s v="Married"/>
    <s v="Graduate"/>
    <s v="11/3/2019"/>
    <s v="Other"/>
    <n v="95"/>
    <n v="1112"/>
    <n v="0"/>
    <n v="415"/>
    <n v="40"/>
    <n v="81"/>
    <n v="381"/>
    <n v="1266"/>
    <n v="4"/>
    <n v="6"/>
    <n v="3"/>
    <n v="8"/>
    <n v="5"/>
    <n v="0"/>
    <n v="0"/>
    <n v="0"/>
    <n v="0"/>
    <n v="0"/>
    <n v="0"/>
    <n v="0"/>
  </r>
  <r>
    <n v="1867"/>
    <n v="146231"/>
    <n v="2"/>
    <n v="1"/>
    <x v="43"/>
    <s v="Single"/>
    <s v="PhD"/>
    <s v="5/3/2019"/>
    <s v="Illinois"/>
    <n v="87"/>
    <n v="598"/>
    <n v="6"/>
    <n v="174"/>
    <n v="0"/>
    <n v="16"/>
    <n v="38"/>
    <n v="756"/>
    <n v="4"/>
    <n v="6"/>
    <n v="1"/>
    <n v="4"/>
    <n v="9"/>
    <n v="0"/>
    <n v="0"/>
    <n v="0"/>
    <n v="0"/>
    <n v="0"/>
    <n v="0"/>
    <n v="0"/>
  </r>
  <r>
    <n v="1756"/>
    <n v="141452"/>
    <n v="1"/>
    <n v="1"/>
    <x v="43"/>
    <s v="Together"/>
    <s v="Graduate"/>
    <s v="8/11/2019"/>
    <s v="Other"/>
    <n v="86"/>
    <n v="44"/>
    <n v="0"/>
    <n v="10"/>
    <n v="0"/>
    <n v="0"/>
    <n v="0"/>
    <n v="55"/>
    <n v="1"/>
    <n v="1"/>
    <n v="0"/>
    <n v="2"/>
    <n v="7"/>
    <n v="0"/>
    <n v="0"/>
    <n v="0"/>
    <n v="0"/>
    <n v="0"/>
    <n v="0"/>
    <n v="0"/>
  </r>
  <r>
    <n v="1309"/>
    <n v="140464"/>
    <n v="0"/>
    <n v="1"/>
    <x v="43"/>
    <s v="Single"/>
    <s v="Graduate"/>
    <s v="6/18/2019"/>
    <s v="Illinois"/>
    <n v="78"/>
    <n v="1472"/>
    <n v="59"/>
    <n v="410"/>
    <n v="24"/>
    <n v="80"/>
    <n v="142"/>
    <n v="1902"/>
    <n v="6"/>
    <n v="8"/>
    <n v="2"/>
    <n v="8"/>
    <n v="8"/>
    <n v="0"/>
    <n v="0"/>
    <n v="0"/>
    <n v="0"/>
    <n v="0"/>
    <n v="0"/>
    <n v="0"/>
  </r>
  <r>
    <n v="2054"/>
    <n v="139722"/>
    <n v="0"/>
    <n v="1"/>
    <x v="43"/>
    <s v="Married"/>
    <s v="Graduate"/>
    <s v="7/31/2020"/>
    <s v="New York"/>
    <n v="92"/>
    <n v="113"/>
    <n v="0"/>
    <n v="18"/>
    <n v="7"/>
    <n v="0"/>
    <n v="28"/>
    <n v="109"/>
    <n v="2"/>
    <n v="2"/>
    <n v="0"/>
    <n v="3"/>
    <n v="5"/>
    <n v="0"/>
    <n v="0"/>
    <n v="0"/>
    <n v="0"/>
    <n v="0"/>
    <n v="0"/>
    <n v="0"/>
  </r>
  <r>
    <n v="2378"/>
    <n v="137716"/>
    <n v="0"/>
    <n v="1"/>
    <x v="43"/>
    <s v="Married"/>
    <s v="Graduate"/>
    <s v="9/25/2020"/>
    <s v="New York"/>
    <n v="4"/>
    <n v="354"/>
    <n v="4"/>
    <n v="150"/>
    <n v="22"/>
    <n v="7"/>
    <n v="150"/>
    <n v="387"/>
    <n v="2"/>
    <n v="4"/>
    <n v="1"/>
    <n v="3"/>
    <n v="7"/>
    <n v="0"/>
    <n v="0"/>
    <n v="0"/>
    <n v="0"/>
    <n v="0"/>
    <n v="0"/>
    <n v="0"/>
  </r>
  <r>
    <n v="2385"/>
    <n v="136957"/>
    <n v="1"/>
    <n v="1"/>
    <x v="43"/>
    <s v="Divorced"/>
    <s v="PhD"/>
    <s v="2/11/2019"/>
    <s v="Texas"/>
    <n v="43"/>
    <n v="371"/>
    <n v="7"/>
    <n v="59"/>
    <n v="7"/>
    <n v="4"/>
    <n v="115"/>
    <n v="334"/>
    <n v="4"/>
    <n v="3"/>
    <n v="2"/>
    <n v="2"/>
    <n v="9"/>
    <n v="0"/>
    <n v="1"/>
    <n v="0"/>
    <n v="0"/>
    <n v="0"/>
    <n v="0"/>
    <n v="0"/>
  </r>
  <r>
    <n v="3081"/>
    <n v="134587"/>
    <n v="1"/>
    <n v="1"/>
    <x v="43"/>
    <s v="Together"/>
    <s v="Graduate"/>
    <s v="10/20/2020"/>
    <s v="Texas"/>
    <n v="68"/>
    <n v="27"/>
    <n v="8"/>
    <n v="35"/>
    <n v="8"/>
    <n v="0"/>
    <n v="8"/>
    <n v="70"/>
    <n v="2"/>
    <n v="1"/>
    <n v="0"/>
    <n v="3"/>
    <n v="4"/>
    <n v="0"/>
    <n v="0"/>
    <n v="0"/>
    <n v="0"/>
    <n v="0"/>
    <n v="0"/>
    <n v="0"/>
  </r>
  <r>
    <n v="3002"/>
    <n v="123272"/>
    <n v="0"/>
    <n v="0"/>
    <x v="43"/>
    <s v="Divorced"/>
    <s v="Graduate"/>
    <s v="3/23/2020"/>
    <s v="New York"/>
    <n v="29"/>
    <n v="101"/>
    <n v="16"/>
    <n v="32"/>
    <n v="21"/>
    <n v="11"/>
    <n v="64"/>
    <n v="117"/>
    <n v="1"/>
    <n v="1"/>
    <n v="0"/>
    <n v="3"/>
    <n v="4"/>
    <n v="0"/>
    <n v="0"/>
    <n v="0"/>
    <n v="0"/>
    <n v="0"/>
    <n v="0"/>
    <n v="0"/>
  </r>
  <r>
    <n v="2748"/>
    <n v="185431"/>
    <n v="0"/>
    <n v="0"/>
    <x v="44"/>
    <s v="Together"/>
    <s v="PhD"/>
    <s v="11/13/2019"/>
    <s v="Florida"/>
    <n v="54"/>
    <n v="816"/>
    <n v="115"/>
    <n v="1003"/>
    <n v="365"/>
    <n v="115"/>
    <n v="115"/>
    <n v="2299"/>
    <n v="1"/>
    <n v="2"/>
    <n v="7"/>
    <n v="7"/>
    <n v="0"/>
    <n v="0"/>
    <n v="0"/>
    <n v="0"/>
    <n v="0"/>
    <n v="0"/>
    <n v="0"/>
    <n v="0"/>
  </r>
  <r>
    <n v="1619"/>
    <n v="184574"/>
    <n v="0"/>
    <n v="0"/>
    <x v="44"/>
    <s v="Single"/>
    <s v="Graduate"/>
    <s v="11/9/2019"/>
    <s v="California"/>
    <n v="72"/>
    <n v="845"/>
    <n v="44"/>
    <n v="1556"/>
    <n v="83"/>
    <n v="118"/>
    <n v="356"/>
    <n v="2289"/>
    <n v="1"/>
    <n v="9"/>
    <n v="11"/>
    <n v="11"/>
    <n v="5"/>
    <n v="0"/>
    <n v="0"/>
    <n v="0"/>
    <n v="0"/>
    <n v="0"/>
    <n v="0"/>
    <n v="0"/>
  </r>
  <r>
    <n v="1726"/>
    <n v="183844"/>
    <n v="0"/>
    <n v="0"/>
    <x v="44"/>
    <s v="Together"/>
    <s v="Graduate"/>
    <s v="10/17/2019"/>
    <s v="Other"/>
    <n v="57"/>
    <n v="1976"/>
    <n v="68"/>
    <n v="756"/>
    <n v="164"/>
    <n v="68"/>
    <n v="419"/>
    <n v="2614"/>
    <n v="1"/>
    <n v="4"/>
    <n v="4"/>
    <n v="11"/>
    <n v="1"/>
    <n v="0"/>
    <n v="0"/>
    <n v="0"/>
    <n v="0"/>
    <n v="0"/>
    <n v="0"/>
    <n v="1"/>
  </r>
  <r>
    <n v="1988"/>
    <n v="183844"/>
    <n v="0"/>
    <n v="0"/>
    <x v="44"/>
    <s v="Together"/>
    <s v="Graduate"/>
    <s v="10/17/2019"/>
    <s v="New York"/>
    <n v="57"/>
    <n v="1976"/>
    <n v="68"/>
    <n v="756"/>
    <n v="164"/>
    <n v="68"/>
    <n v="419"/>
    <n v="2614"/>
    <n v="1"/>
    <n v="4"/>
    <n v="4"/>
    <n v="11"/>
    <n v="1"/>
    <n v="0"/>
    <n v="0"/>
    <n v="0"/>
    <n v="0"/>
    <n v="0"/>
    <n v="0"/>
    <n v="1"/>
  </r>
  <r>
    <n v="2443"/>
    <n v="183844"/>
    <n v="0"/>
    <n v="0"/>
    <x v="44"/>
    <s v="Together"/>
    <s v="Graduate"/>
    <s v="10/17/2019"/>
    <s v="Illinois"/>
    <n v="57"/>
    <n v="1976"/>
    <n v="68"/>
    <n v="756"/>
    <n v="164"/>
    <n v="68"/>
    <n v="419"/>
    <n v="2614"/>
    <n v="1"/>
    <n v="4"/>
    <n v="4"/>
    <n v="11"/>
    <n v="1"/>
    <n v="0"/>
    <n v="0"/>
    <n v="0"/>
    <n v="0"/>
    <n v="0"/>
    <n v="0"/>
    <n v="1"/>
  </r>
  <r>
    <n v="1329"/>
    <n v="182623"/>
    <n v="0"/>
    <n v="0"/>
    <x v="44"/>
    <s v="Divorced"/>
    <s v="Graduate"/>
    <s v="4/16/2020"/>
    <s v="Texas"/>
    <n v="58"/>
    <n v="451"/>
    <n v="75"/>
    <n v="451"/>
    <n v="380"/>
    <n v="338"/>
    <n v="382"/>
    <n v="1313"/>
    <n v="1"/>
    <n v="2"/>
    <n v="9"/>
    <n v="4"/>
    <n v="1"/>
    <n v="0"/>
    <n v="0"/>
    <n v="0"/>
    <n v="0"/>
    <n v="0"/>
    <n v="0"/>
    <n v="0"/>
  </r>
  <r>
    <n v="2720"/>
    <n v="181795"/>
    <n v="0"/>
    <n v="0"/>
    <x v="44"/>
    <s v="Married"/>
    <s v="Graduate"/>
    <s v="4/2/2019"/>
    <s v="New York"/>
    <n v="74"/>
    <n v="720"/>
    <n v="293"/>
    <n v="1540"/>
    <n v="60"/>
    <n v="262"/>
    <n v="196"/>
    <n v="2680"/>
    <n v="1"/>
    <n v="4"/>
    <n v="11"/>
    <n v="7"/>
    <n v="2"/>
    <n v="0"/>
    <n v="0"/>
    <n v="0"/>
    <n v="0"/>
    <n v="0"/>
    <n v="0"/>
    <n v="0"/>
  </r>
  <r>
    <n v="3040"/>
    <n v="177610"/>
    <n v="0"/>
    <n v="1"/>
    <x v="44"/>
    <s v="Married"/>
    <s v="PhD"/>
    <s v="4/5/2019"/>
    <s v="Other"/>
    <n v="70"/>
    <n v="2849"/>
    <n v="76"/>
    <n v="760"/>
    <n v="48"/>
    <n v="76"/>
    <n v="37"/>
    <n v="3771"/>
    <n v="2"/>
    <n v="4"/>
    <n v="7"/>
    <n v="4"/>
    <n v="7"/>
    <n v="0"/>
    <n v="0"/>
    <n v="0"/>
    <n v="0"/>
    <n v="0"/>
    <n v="0"/>
    <n v="0"/>
  </r>
  <r>
    <n v="2998"/>
    <n v="177027"/>
    <n v="0"/>
    <n v="1"/>
    <x v="44"/>
    <s v="Married"/>
    <s v="Master"/>
    <s v="7/12/2020"/>
    <s v="Other"/>
    <n v="23"/>
    <n v="1885"/>
    <n v="131"/>
    <n v="556"/>
    <n v="103"/>
    <n v="0"/>
    <n v="25"/>
    <n v="2650"/>
    <n v="2"/>
    <n v="8"/>
    <n v="3"/>
    <n v="6"/>
    <n v="4"/>
    <n v="0"/>
    <n v="0"/>
    <n v="0"/>
    <n v="0"/>
    <n v="0"/>
    <n v="0"/>
    <n v="0"/>
  </r>
  <r>
    <n v="1273"/>
    <n v="175278"/>
    <n v="0"/>
    <n v="0"/>
    <x v="44"/>
    <s v="Together"/>
    <s v="Graduate"/>
    <s v="7/6/2019"/>
    <s v="Illinois"/>
    <n v="17"/>
    <n v="708"/>
    <n v="228"/>
    <n v="536"/>
    <n v="349"/>
    <n v="172"/>
    <n v="172"/>
    <n v="1821"/>
    <n v="1"/>
    <n v="6"/>
    <n v="3"/>
    <n v="13"/>
    <n v="3"/>
    <n v="0"/>
    <n v="0"/>
    <n v="0"/>
    <n v="0"/>
    <n v="0"/>
    <n v="0"/>
    <n v="0"/>
  </r>
  <r>
    <n v="1745"/>
    <n v="175127"/>
    <n v="0"/>
    <n v="0"/>
    <x v="44"/>
    <s v="Single"/>
    <s v="Graduate"/>
    <s v="10/26/2020"/>
    <s v="California"/>
    <n v="92"/>
    <n v="473"/>
    <n v="82"/>
    <n v="711"/>
    <n v="107"/>
    <n v="40"/>
    <n v="529"/>
    <n v="883"/>
    <n v="1"/>
    <n v="2"/>
    <n v="11"/>
    <n v="5"/>
    <n v="1"/>
    <n v="0"/>
    <n v="0"/>
    <n v="0"/>
    <n v="0"/>
    <n v="0"/>
    <n v="0"/>
    <n v="0"/>
  </r>
  <r>
    <n v="1915"/>
    <n v="175127"/>
    <n v="0"/>
    <n v="0"/>
    <x v="44"/>
    <s v="Single"/>
    <s v="Graduate"/>
    <s v="10/26/2020"/>
    <s v="Illinois"/>
    <n v="92"/>
    <n v="473"/>
    <n v="82"/>
    <n v="711"/>
    <n v="107"/>
    <n v="40"/>
    <n v="529"/>
    <n v="883"/>
    <n v="1"/>
    <n v="2"/>
    <n v="11"/>
    <n v="5"/>
    <n v="1"/>
    <n v="0"/>
    <n v="0"/>
    <n v="0"/>
    <n v="0"/>
    <n v="0"/>
    <n v="0"/>
    <n v="0"/>
  </r>
  <r>
    <n v="2039"/>
    <n v="172228"/>
    <n v="0"/>
    <n v="0"/>
    <x v="44"/>
    <s v="Single"/>
    <s v="Graduate"/>
    <s v="5/4/2019"/>
    <s v="California"/>
    <n v="87"/>
    <n v="1505"/>
    <n v="67"/>
    <n v="1171"/>
    <n v="72"/>
    <n v="33"/>
    <n v="134"/>
    <n v="2714"/>
    <n v="1"/>
    <n v="6"/>
    <n v="7"/>
    <n v="8"/>
    <n v="3"/>
    <n v="0"/>
    <n v="0"/>
    <n v="0"/>
    <n v="0"/>
    <n v="0"/>
    <n v="0"/>
    <n v="0"/>
  </r>
  <r>
    <n v="1718"/>
    <n v="170545"/>
    <n v="0"/>
    <n v="1"/>
    <x v="44"/>
    <s v="Together"/>
    <s v="Master"/>
    <s v="11/7/2020"/>
    <s v="New York"/>
    <n v="29"/>
    <n v="334"/>
    <n v="94"/>
    <n v="152"/>
    <n v="133"/>
    <n v="44"/>
    <n v="51"/>
    <n v="706"/>
    <n v="1"/>
    <n v="4"/>
    <n v="1"/>
    <n v="7"/>
    <n v="2"/>
    <n v="0"/>
    <n v="0"/>
    <n v="0"/>
    <n v="0"/>
    <n v="0"/>
    <n v="0"/>
    <n v="0"/>
  </r>
  <r>
    <n v="3086"/>
    <n v="169805"/>
    <n v="0"/>
    <n v="1"/>
    <x v="44"/>
    <s v="Together"/>
    <s v="PhD"/>
    <s v="6/27/2020"/>
    <s v="New York"/>
    <n v="50"/>
    <n v="1824"/>
    <n v="173"/>
    <n v="423"/>
    <n v="32"/>
    <n v="24"/>
    <n v="49"/>
    <n v="2428"/>
    <n v="2"/>
    <n v="6"/>
    <n v="8"/>
    <n v="11"/>
    <n v="2"/>
    <n v="0"/>
    <n v="0"/>
    <n v="0"/>
    <n v="0"/>
    <n v="0"/>
    <n v="0"/>
    <n v="0"/>
  </r>
  <r>
    <n v="1188"/>
    <n v="169142"/>
    <n v="0"/>
    <n v="1"/>
    <x v="44"/>
    <s v="Divorced"/>
    <s v="Graduate"/>
    <s v="12/3/2020"/>
    <s v="Florida"/>
    <n v="50"/>
    <n v="1096"/>
    <n v="10"/>
    <n v="83"/>
    <n v="15"/>
    <n v="10"/>
    <n v="95"/>
    <n v="1118"/>
    <n v="3"/>
    <n v="8"/>
    <n v="1"/>
    <n v="7"/>
    <n v="5"/>
    <n v="0"/>
    <n v="0"/>
    <n v="0"/>
    <n v="0"/>
    <n v="0"/>
    <n v="1"/>
    <n v="0"/>
  </r>
  <r>
    <n v="2232"/>
    <n v="167433"/>
    <n v="0"/>
    <n v="2"/>
    <x v="44"/>
    <s v="Married"/>
    <s v="Graduate"/>
    <s v="12/21/2019"/>
    <s v="Florida"/>
    <n v="51"/>
    <n v="1527"/>
    <n v="70"/>
    <n v="643"/>
    <n v="30"/>
    <n v="119"/>
    <n v="74"/>
    <n v="2314"/>
    <n v="4"/>
    <n v="6"/>
    <n v="5"/>
    <n v="13"/>
    <n v="4"/>
    <n v="0"/>
    <n v="0"/>
    <n v="0"/>
    <n v="0"/>
    <n v="0"/>
    <n v="1"/>
    <n v="0"/>
  </r>
  <r>
    <n v="1921"/>
    <n v="164831"/>
    <n v="1"/>
    <n v="1"/>
    <x v="44"/>
    <s v="Single"/>
    <s v="Graduate"/>
    <s v="11/15/2019"/>
    <s v="Illinois"/>
    <n v="51"/>
    <n v="1220"/>
    <n v="219"/>
    <n v="633"/>
    <n v="191"/>
    <n v="219"/>
    <n v="366"/>
    <n v="2115"/>
    <n v="8"/>
    <n v="6"/>
    <n v="3"/>
    <n v="5"/>
    <n v="6"/>
    <n v="0"/>
    <n v="0"/>
    <n v="0"/>
    <n v="0"/>
    <n v="0"/>
    <n v="0"/>
    <n v="0"/>
  </r>
  <r>
    <n v="2110"/>
    <n v="163998"/>
    <n v="0"/>
    <n v="0"/>
    <x v="44"/>
    <s v="Divorced"/>
    <s v="Graduate"/>
    <s v="5/26/2020"/>
    <s v="Other"/>
    <n v="42"/>
    <n v="451"/>
    <n v="74"/>
    <n v="2096"/>
    <n v="0"/>
    <n v="85"/>
    <n v="287"/>
    <n v="2419"/>
    <n v="1"/>
    <n v="7"/>
    <n v="6"/>
    <n v="11"/>
    <n v="4"/>
    <n v="0"/>
    <n v="1"/>
    <n v="0"/>
    <n v="0"/>
    <n v="0"/>
    <n v="0"/>
    <n v="0"/>
  </r>
  <r>
    <n v="1121"/>
    <n v="162998"/>
    <n v="0"/>
    <n v="1"/>
    <x v="44"/>
    <s v="Married"/>
    <s v="Graduate"/>
    <s v="3/6/2020"/>
    <s v="California"/>
    <n v="10"/>
    <n v="310"/>
    <n v="150"/>
    <n v="189"/>
    <n v="168"/>
    <n v="230"/>
    <n v="150"/>
    <n v="898"/>
    <n v="5"/>
    <n v="5"/>
    <n v="4"/>
    <n v="5"/>
    <n v="5"/>
    <n v="0"/>
    <n v="0"/>
    <n v="0"/>
    <n v="0"/>
    <n v="0"/>
    <n v="0"/>
    <n v="0"/>
  </r>
  <r>
    <n v="2670"/>
    <n v="162335"/>
    <n v="0"/>
    <n v="1"/>
    <x v="44"/>
    <s v="Divorced"/>
    <s v="Graduate"/>
    <s v="10/28/2019"/>
    <s v="Florida"/>
    <n v="87"/>
    <n v="633"/>
    <n v="341"/>
    <n v="565"/>
    <n v="221"/>
    <n v="16"/>
    <n v="68"/>
    <n v="1708"/>
    <n v="2"/>
    <n v="3"/>
    <n v="3"/>
    <n v="13"/>
    <n v="2"/>
    <n v="0"/>
    <n v="0"/>
    <n v="0"/>
    <n v="0"/>
    <n v="0"/>
    <n v="0"/>
    <n v="0"/>
  </r>
  <r>
    <n v="2174"/>
    <n v="162307"/>
    <n v="0"/>
    <n v="1"/>
    <x v="44"/>
    <s v="Single"/>
    <s v="Graduate"/>
    <s v="7/24/2020"/>
    <s v="New York"/>
    <n v="94"/>
    <n v="227"/>
    <n v="34"/>
    <n v="89"/>
    <n v="26"/>
    <n v="16"/>
    <n v="26"/>
    <n v="365"/>
    <n v="1"/>
    <n v="4"/>
    <n v="0"/>
    <n v="4"/>
    <n v="5"/>
    <n v="0"/>
    <n v="0"/>
    <n v="0"/>
    <n v="0"/>
    <n v="0"/>
    <n v="0"/>
    <n v="0"/>
  </r>
  <r>
    <n v="2168"/>
    <n v="162000"/>
    <n v="0"/>
    <n v="1"/>
    <x v="44"/>
    <s v="Single"/>
    <s v="PhD"/>
    <s v="1/30/2020"/>
    <s v="New York"/>
    <n v="25"/>
    <n v="2349"/>
    <n v="0"/>
    <n v="264"/>
    <n v="0"/>
    <n v="0"/>
    <n v="52"/>
    <n v="2561"/>
    <n v="1"/>
    <n v="6"/>
    <n v="6"/>
    <n v="13"/>
    <n v="4"/>
    <n v="0"/>
    <n v="0"/>
    <n v="1"/>
    <n v="0"/>
    <n v="0"/>
    <n v="0"/>
    <n v="0"/>
  </r>
  <r>
    <n v="1058"/>
    <n v="161823"/>
    <n v="0"/>
    <n v="1"/>
    <x v="44"/>
    <s v="Single"/>
    <s v="Graduate"/>
    <s v="7/26/2019"/>
    <s v="New York"/>
    <n v="26"/>
    <n v="1369"/>
    <n v="18"/>
    <n v="351"/>
    <n v="97"/>
    <n v="37"/>
    <n v="442"/>
    <n v="1429"/>
    <n v="4"/>
    <n v="8"/>
    <n v="2"/>
    <n v="10"/>
    <n v="7"/>
    <n v="0"/>
    <n v="0"/>
    <n v="0"/>
    <n v="0"/>
    <n v="0"/>
    <n v="0"/>
    <n v="0"/>
  </r>
  <r>
    <n v="1144"/>
    <n v="161010"/>
    <n v="0"/>
    <n v="1"/>
    <x v="44"/>
    <s v="Together"/>
    <s v="PhD"/>
    <s v="3/16/2019"/>
    <s v="Other"/>
    <n v="57"/>
    <n v="2343"/>
    <n v="0"/>
    <n v="150"/>
    <n v="0"/>
    <n v="0"/>
    <n v="201"/>
    <n v="2293"/>
    <n v="2"/>
    <n v="8"/>
    <n v="5"/>
    <n v="11"/>
    <n v="5"/>
    <n v="0"/>
    <n v="0"/>
    <n v="0"/>
    <n v="0"/>
    <n v="0"/>
    <n v="0"/>
    <n v="0"/>
  </r>
  <r>
    <n v="1013"/>
    <n v="159354"/>
    <n v="1"/>
    <n v="1"/>
    <x v="44"/>
    <s v="Divorced"/>
    <s v="Master"/>
    <s v="4/21/2020"/>
    <s v="California"/>
    <n v="53"/>
    <n v="626"/>
    <n v="5"/>
    <n v="142"/>
    <n v="8"/>
    <n v="13"/>
    <n v="38"/>
    <n v="757"/>
    <n v="3"/>
    <n v="6"/>
    <n v="1"/>
    <n v="5"/>
    <n v="6"/>
    <n v="0"/>
    <n v="0"/>
    <n v="0"/>
    <n v="0"/>
    <n v="0"/>
    <n v="0"/>
    <n v="0"/>
  </r>
  <r>
    <n v="1522"/>
    <n v="157247"/>
    <n v="0"/>
    <n v="1"/>
    <x v="44"/>
    <s v="Together"/>
    <s v="Graduate"/>
    <s v="1/13/2020"/>
    <s v="Other"/>
    <n v="50"/>
    <n v="272"/>
    <n v="11"/>
    <n v="88"/>
    <n v="102"/>
    <n v="148"/>
    <n v="16"/>
    <n v="604"/>
    <n v="2"/>
    <n v="2"/>
    <n v="1"/>
    <n v="7"/>
    <n v="2"/>
    <n v="0"/>
    <n v="0"/>
    <n v="0"/>
    <n v="0"/>
    <n v="0"/>
    <n v="0"/>
    <n v="0"/>
  </r>
  <r>
    <n v="1282"/>
    <n v="155951"/>
    <n v="0"/>
    <n v="1"/>
    <x v="44"/>
    <s v="Together"/>
    <s v="Master"/>
    <s v="1/28/2019"/>
    <s v="Other"/>
    <n v="62"/>
    <n v="3459"/>
    <n v="0"/>
    <n v="223"/>
    <n v="0"/>
    <n v="36"/>
    <n v="111"/>
    <n v="3607"/>
    <n v="3"/>
    <n v="3"/>
    <n v="6"/>
    <n v="11"/>
    <n v="8"/>
    <n v="0"/>
    <n v="0"/>
    <n v="0"/>
    <n v="1"/>
    <n v="0"/>
    <n v="1"/>
    <n v="0"/>
  </r>
  <r>
    <n v="2601"/>
    <n v="154549"/>
    <n v="0"/>
    <n v="1"/>
    <x v="44"/>
    <s v="Married"/>
    <s v="PhD"/>
    <s v="8/7/2020"/>
    <s v="Texas"/>
    <n v="8"/>
    <n v="612"/>
    <n v="6"/>
    <n v="17"/>
    <n v="0"/>
    <n v="0"/>
    <n v="25"/>
    <n v="609"/>
    <n v="2"/>
    <n v="5"/>
    <n v="1"/>
    <n v="4"/>
    <n v="7"/>
    <n v="0"/>
    <n v="0"/>
    <n v="0"/>
    <n v="0"/>
    <n v="0"/>
    <n v="0"/>
    <n v="0"/>
  </r>
  <r>
    <n v="1938"/>
    <n v="153700"/>
    <n v="0"/>
    <n v="1"/>
    <x v="44"/>
    <s v="Single"/>
    <s v="Graduate"/>
    <s v="1/22/2019"/>
    <s v="Florida"/>
    <n v="94"/>
    <n v="753"/>
    <n v="14"/>
    <n v="667"/>
    <n v="197"/>
    <n v="117"/>
    <n v="238"/>
    <n v="1511"/>
    <n v="4"/>
    <n v="5"/>
    <n v="5"/>
    <n v="8"/>
    <n v="5"/>
    <n v="0"/>
    <n v="0"/>
    <n v="0"/>
    <n v="0"/>
    <n v="0"/>
    <n v="0"/>
    <n v="0"/>
  </r>
  <r>
    <n v="1215"/>
    <n v="151537"/>
    <n v="0"/>
    <n v="1"/>
    <x v="44"/>
    <s v="Divorced"/>
    <s v="Graduate"/>
    <s v="5/16/2019"/>
    <s v="Texas"/>
    <n v="27"/>
    <n v="2314"/>
    <n v="59"/>
    <n v="600"/>
    <n v="0"/>
    <n v="0"/>
    <n v="271"/>
    <n v="2702"/>
    <n v="3"/>
    <n v="2"/>
    <n v="2"/>
    <n v="11"/>
    <n v="8"/>
    <n v="0"/>
    <n v="0"/>
    <n v="0"/>
    <n v="0"/>
    <n v="0"/>
    <n v="0"/>
    <n v="0"/>
  </r>
  <r>
    <n v="2087"/>
    <n v="150870"/>
    <n v="0"/>
    <n v="1"/>
    <x v="44"/>
    <s v="Married"/>
    <s v="PhD"/>
    <s v="11/23/2020"/>
    <s v="California"/>
    <n v="13"/>
    <n v="157"/>
    <n v="0"/>
    <n v="24"/>
    <n v="0"/>
    <n v="0"/>
    <n v="6"/>
    <n v="175"/>
    <n v="1"/>
    <n v="2"/>
    <n v="0"/>
    <n v="3"/>
    <n v="5"/>
    <n v="0"/>
    <n v="0"/>
    <n v="0"/>
    <n v="0"/>
    <n v="0"/>
    <n v="0"/>
    <n v="0"/>
  </r>
  <r>
    <n v="1442"/>
    <n v="150300"/>
    <n v="0"/>
    <n v="1"/>
    <x v="44"/>
    <s v="Married"/>
    <s v="Graduate"/>
    <s v="10/29/2020"/>
    <s v="New York"/>
    <n v="52"/>
    <n v="427"/>
    <n v="45"/>
    <n v="179"/>
    <n v="72"/>
    <n v="69"/>
    <n v="15"/>
    <n v="777"/>
    <n v="2"/>
    <n v="2"/>
    <n v="1"/>
    <n v="8"/>
    <n v="2"/>
    <n v="0"/>
    <n v="0"/>
    <n v="0"/>
    <n v="0"/>
    <n v="0"/>
    <n v="0"/>
    <n v="0"/>
  </r>
  <r>
    <n v="2849"/>
    <n v="149638"/>
    <n v="0"/>
    <n v="1"/>
    <x v="44"/>
    <s v="Divorced"/>
    <s v="Graduate"/>
    <s v="9/23/2020"/>
    <s v="California"/>
    <n v="71"/>
    <n v="54"/>
    <n v="30"/>
    <n v="9"/>
    <n v="9"/>
    <n v="15"/>
    <n v="0"/>
    <n v="118"/>
    <n v="1"/>
    <n v="1"/>
    <n v="0"/>
    <n v="3"/>
    <n v="2"/>
    <n v="0"/>
    <n v="0"/>
    <n v="0"/>
    <n v="0"/>
    <n v="0"/>
    <n v="0"/>
    <n v="0"/>
  </r>
  <r>
    <n v="2659"/>
    <n v="149413"/>
    <n v="0"/>
    <n v="1"/>
    <x v="44"/>
    <s v="Married"/>
    <s v="Graduate"/>
    <s v="3/31/2020"/>
    <s v="Illinois"/>
    <n v="88"/>
    <n v="620"/>
    <n v="21"/>
    <n v="124"/>
    <n v="9"/>
    <n v="6"/>
    <n v="139"/>
    <n v="641"/>
    <n v="2"/>
    <n v="4"/>
    <n v="2"/>
    <n v="5"/>
    <n v="5"/>
    <n v="0"/>
    <n v="0"/>
    <n v="0"/>
    <n v="0"/>
    <n v="0"/>
    <n v="0"/>
    <n v="0"/>
  </r>
  <r>
    <n v="2541"/>
    <n v="147958"/>
    <n v="0"/>
    <n v="1"/>
    <x v="44"/>
    <s v="Single"/>
    <s v="Graduate"/>
    <s v="6/26/2019"/>
    <s v="Texas"/>
    <n v="8"/>
    <n v="827"/>
    <n v="34"/>
    <n v="271"/>
    <n v="46"/>
    <n v="9"/>
    <n v="68"/>
    <n v="1120"/>
    <n v="2"/>
    <n v="6"/>
    <n v="3"/>
    <n v="5"/>
    <n v="5"/>
    <n v="0"/>
    <n v="0"/>
    <n v="0"/>
    <n v="0"/>
    <n v="0"/>
    <n v="0"/>
    <n v="0"/>
  </r>
  <r>
    <n v="2245"/>
    <n v="147139"/>
    <n v="1"/>
    <n v="1"/>
    <x v="44"/>
    <s v="Single"/>
    <s v="Graduate"/>
    <s v="8/10/2020"/>
    <s v="Illinois"/>
    <n v="2"/>
    <n v="144"/>
    <n v="0"/>
    <n v="37"/>
    <n v="0"/>
    <n v="6"/>
    <n v="72"/>
    <n v="115"/>
    <n v="2"/>
    <n v="2"/>
    <n v="1"/>
    <n v="2"/>
    <n v="7"/>
    <n v="0"/>
    <n v="1"/>
    <n v="0"/>
    <n v="0"/>
    <n v="0"/>
    <n v="0"/>
    <n v="0"/>
  </r>
  <r>
    <n v="1032"/>
    <n v="146610"/>
    <n v="0"/>
    <n v="2"/>
    <x v="44"/>
    <s v="Divorced"/>
    <s v="PhD"/>
    <s v="4/5/2019"/>
    <s v="Florida"/>
    <n v="8"/>
    <n v="302"/>
    <n v="38"/>
    <n v="302"/>
    <n v="104"/>
    <n v="69"/>
    <n v="135"/>
    <n v="679"/>
    <n v="6"/>
    <n v="4"/>
    <n v="1"/>
    <n v="6"/>
    <n v="6"/>
    <n v="0"/>
    <n v="1"/>
    <n v="0"/>
    <n v="0"/>
    <n v="0"/>
    <n v="0"/>
    <n v="0"/>
  </r>
  <r>
    <n v="2220"/>
    <n v="144213"/>
    <n v="1"/>
    <n v="1"/>
    <x v="44"/>
    <s v="Single"/>
    <s v="Graduate"/>
    <s v="5/5/2020"/>
    <s v="Florida"/>
    <n v="48"/>
    <n v="310"/>
    <n v="36"/>
    <n v="114"/>
    <n v="0"/>
    <n v="13"/>
    <n v="23"/>
    <n v="450"/>
    <n v="4"/>
    <n v="2"/>
    <n v="1"/>
    <n v="5"/>
    <n v="6"/>
    <n v="0"/>
    <n v="0"/>
    <n v="0"/>
    <n v="0"/>
    <n v="0"/>
    <n v="0"/>
    <n v="0"/>
  </r>
  <r>
    <n v="1251"/>
    <n v="143776"/>
    <n v="1"/>
    <n v="1"/>
    <x v="44"/>
    <s v="Together"/>
    <s v="Master"/>
    <s v="7/11/2019"/>
    <s v="Texas"/>
    <n v="9"/>
    <n v="581"/>
    <n v="7"/>
    <n v="233"/>
    <n v="10"/>
    <n v="7"/>
    <n v="66"/>
    <n v="772"/>
    <n v="6"/>
    <n v="5"/>
    <n v="2"/>
    <n v="4"/>
    <n v="8"/>
    <n v="0"/>
    <n v="1"/>
    <n v="0"/>
    <n v="0"/>
    <n v="0"/>
    <n v="0"/>
    <n v="0"/>
  </r>
  <r>
    <n v="1539"/>
    <n v="143462"/>
    <n v="1"/>
    <n v="1"/>
    <x v="44"/>
    <s v="Together"/>
    <s v="Graduate"/>
    <s v="2/17/2019"/>
    <s v="Texas"/>
    <n v="50"/>
    <n v="297"/>
    <n v="56"/>
    <n v="320"/>
    <n v="50"/>
    <n v="20"/>
    <n v="50"/>
    <n v="693"/>
    <n v="6"/>
    <n v="4"/>
    <n v="1"/>
    <n v="5"/>
    <n v="8"/>
    <n v="0"/>
    <n v="0"/>
    <n v="0"/>
    <n v="0"/>
    <n v="0"/>
    <n v="0"/>
    <n v="0"/>
  </r>
  <r>
    <n v="2938"/>
    <n v="140887"/>
    <n v="1"/>
    <n v="1"/>
    <x v="44"/>
    <s v="Single"/>
    <s v="Graduate"/>
    <s v="10/11/2019"/>
    <s v="Other"/>
    <n v="32"/>
    <n v="172"/>
    <n v="14"/>
    <n v="152"/>
    <n v="34"/>
    <n v="34"/>
    <n v="148"/>
    <n v="258"/>
    <n v="3"/>
    <n v="3"/>
    <n v="1"/>
    <n v="3"/>
    <n v="9"/>
    <n v="0"/>
    <n v="1"/>
    <n v="0"/>
    <n v="0"/>
    <n v="0"/>
    <n v="0"/>
    <n v="0"/>
  </r>
  <r>
    <n v="2562"/>
    <n v="140442"/>
    <n v="1"/>
    <n v="1"/>
    <x v="44"/>
    <s v="Together"/>
    <s v="Master"/>
    <s v="1/24/2019"/>
    <s v="Florida"/>
    <n v="52"/>
    <n v="156"/>
    <n v="42"/>
    <n v="181"/>
    <n v="87"/>
    <n v="76"/>
    <n v="45"/>
    <n v="497"/>
    <n v="4"/>
    <n v="3"/>
    <n v="1"/>
    <n v="4"/>
    <n v="7"/>
    <n v="0"/>
    <n v="1"/>
    <n v="0"/>
    <n v="0"/>
    <n v="0"/>
    <n v="0"/>
    <n v="0"/>
  </r>
  <r>
    <n v="2318"/>
    <n v="140049"/>
    <n v="0"/>
    <n v="1"/>
    <x v="44"/>
    <s v="Widow"/>
    <s v="Graduate"/>
    <s v="3/22/2020"/>
    <s v="New York"/>
    <n v="23"/>
    <n v="45"/>
    <n v="21"/>
    <n v="24"/>
    <n v="0"/>
    <n v="10"/>
    <n v="10"/>
    <n v="91"/>
    <n v="1"/>
    <n v="1"/>
    <n v="0"/>
    <n v="3"/>
    <n v="6"/>
    <n v="0"/>
    <n v="0"/>
    <n v="0"/>
    <n v="0"/>
    <n v="0"/>
    <n v="0"/>
    <n v="0"/>
  </r>
  <r>
    <n v="1959"/>
    <n v="135704"/>
    <n v="1"/>
    <n v="1"/>
    <x v="44"/>
    <s v="Married"/>
    <s v="Graduate"/>
    <s v="6/9/2020"/>
    <s v="Texas"/>
    <n v="54"/>
    <n v="114"/>
    <n v="34"/>
    <n v="46"/>
    <n v="8"/>
    <n v="42"/>
    <n v="114"/>
    <n v="129"/>
    <n v="3"/>
    <n v="2"/>
    <n v="0"/>
    <n v="4"/>
    <n v="4"/>
    <n v="0"/>
    <n v="0"/>
    <n v="0"/>
    <n v="0"/>
    <n v="0"/>
    <n v="0"/>
    <n v="0"/>
  </r>
  <r>
    <n v="2769"/>
    <n v="134074"/>
    <n v="1"/>
    <n v="1"/>
    <x v="44"/>
    <s v="Together"/>
    <s v="Graduate"/>
    <s v="12/18/2019"/>
    <s v="Texas"/>
    <n v="69"/>
    <n v="531"/>
    <n v="4"/>
    <n v="161"/>
    <n v="39"/>
    <n v="4"/>
    <n v="264"/>
    <n v="476"/>
    <n v="5"/>
    <n v="3"/>
    <n v="3"/>
    <n v="3"/>
    <n v="6"/>
    <n v="0"/>
    <n v="0"/>
    <n v="0"/>
    <n v="0"/>
    <n v="1"/>
    <n v="0"/>
    <n v="0"/>
  </r>
  <r>
    <n v="2157"/>
    <n v="133444"/>
    <n v="1"/>
    <n v="1"/>
    <x v="44"/>
    <s v="Married"/>
    <s v="Master"/>
    <s v="4/10/2019"/>
    <s v="Texas"/>
    <n v="24"/>
    <n v="32"/>
    <n v="0"/>
    <n v="32"/>
    <n v="0"/>
    <n v="0"/>
    <n v="8"/>
    <n v="56"/>
    <n v="1"/>
    <n v="1"/>
    <n v="0"/>
    <n v="2"/>
    <n v="8"/>
    <n v="0"/>
    <n v="0"/>
    <n v="0"/>
    <n v="0"/>
    <n v="0"/>
    <n v="0"/>
    <n v="0"/>
  </r>
  <r>
    <n v="2416"/>
    <n v="133402"/>
    <n v="1"/>
    <n v="1"/>
    <x v="44"/>
    <s v="Together"/>
    <s v="Graduate"/>
    <s v="12/23/2019"/>
    <s v="Other"/>
    <n v="60"/>
    <n v="104"/>
    <n v="8"/>
    <n v="76"/>
    <n v="40"/>
    <n v="20"/>
    <n v="32"/>
    <n v="216"/>
    <n v="3"/>
    <n v="2"/>
    <n v="1"/>
    <n v="3"/>
    <n v="8"/>
    <n v="0"/>
    <n v="0"/>
    <n v="0"/>
    <n v="0"/>
    <n v="0"/>
    <n v="0"/>
    <n v="0"/>
  </r>
  <r>
    <n v="1473"/>
    <n v="128457"/>
    <n v="0"/>
    <n v="0"/>
    <x v="44"/>
    <s v="Widow"/>
    <s v="Graduate"/>
    <s v="4/4/2019"/>
    <s v="Texas"/>
    <n v="96"/>
    <n v="108"/>
    <n v="5"/>
    <n v="488"/>
    <n v="131"/>
    <n v="131"/>
    <n v="63"/>
    <n v="799"/>
    <n v="1"/>
    <n v="4"/>
    <n v="1"/>
    <n v="4"/>
    <n v="8"/>
    <n v="0"/>
    <n v="0"/>
    <n v="0"/>
    <n v="0"/>
    <n v="0"/>
    <n v="0"/>
    <n v="0"/>
  </r>
  <r>
    <n v="1069"/>
    <n v="128332"/>
    <n v="0"/>
    <n v="0"/>
    <x v="44"/>
    <s v="Married"/>
    <s v="Graduate"/>
    <s v="10/4/2020"/>
    <s v="Illinois"/>
    <n v="58"/>
    <n v="63"/>
    <n v="45"/>
    <n v="59"/>
    <n v="18"/>
    <n v="68"/>
    <n v="41"/>
    <n v="213"/>
    <n v="1"/>
    <n v="2"/>
    <n v="1"/>
    <n v="4"/>
    <n v="2"/>
    <n v="0"/>
    <n v="0"/>
    <n v="0"/>
    <n v="0"/>
    <n v="0"/>
    <n v="0"/>
    <n v="0"/>
  </r>
  <r>
    <n v="1674"/>
    <n v="113084"/>
    <n v="0"/>
    <n v="0"/>
    <x v="44"/>
    <s v="Together"/>
    <s v="Basic"/>
    <s v="4/8/2020"/>
    <s v="Florida"/>
    <n v="29"/>
    <n v="17"/>
    <n v="0"/>
    <n v="61"/>
    <n v="26"/>
    <n v="61"/>
    <n v="86"/>
    <n v="78"/>
    <n v="1"/>
    <n v="1"/>
    <n v="0"/>
    <n v="3"/>
    <n v="6"/>
    <n v="0"/>
    <n v="0"/>
    <n v="0"/>
    <n v="0"/>
    <n v="0"/>
    <n v="0"/>
    <n v="0"/>
  </r>
  <r>
    <n v="3163"/>
    <n v="108820"/>
    <n v="1"/>
    <n v="1"/>
    <x v="44"/>
    <s v="Single"/>
    <s v="Master"/>
    <s v="8/27/2019"/>
    <s v="Illinois"/>
    <n v="52"/>
    <n v="148"/>
    <n v="0"/>
    <n v="160"/>
    <n v="49"/>
    <n v="25"/>
    <n v="49"/>
    <n v="333"/>
    <n v="4"/>
    <n v="3"/>
    <n v="0"/>
    <n v="3"/>
    <n v="8"/>
    <n v="0"/>
    <n v="0"/>
    <n v="0"/>
    <n v="0"/>
    <n v="0"/>
    <n v="0"/>
    <n v="0"/>
  </r>
  <r>
    <n v="2957"/>
    <n v="194642"/>
    <n v="0"/>
    <n v="0"/>
    <x v="45"/>
    <s v="Married"/>
    <s v="Graduate"/>
    <s v="7/19/2020"/>
    <s v="California"/>
    <n v="35"/>
    <n v="1808"/>
    <n v="294"/>
    <n v="1639"/>
    <n v="218"/>
    <n v="294"/>
    <n v="294"/>
    <n v="3959"/>
    <n v="0"/>
    <n v="5"/>
    <n v="7"/>
    <n v="9"/>
    <n v="1"/>
    <n v="0"/>
    <n v="0"/>
    <n v="1"/>
    <n v="0"/>
    <n v="0"/>
    <n v="0"/>
    <n v="1"/>
  </r>
  <r>
    <n v="2646"/>
    <n v="186610"/>
    <n v="0"/>
    <n v="0"/>
    <x v="45"/>
    <s v="Together"/>
    <s v="Graduate"/>
    <s v="2/10/2020"/>
    <s v="Florida"/>
    <n v="66"/>
    <n v="961"/>
    <n v="231"/>
    <n v="1655"/>
    <n v="71"/>
    <n v="422"/>
    <n v="114"/>
    <n v="3225"/>
    <n v="1"/>
    <n v="5"/>
    <n v="6"/>
    <n v="6"/>
    <n v="2"/>
    <n v="0"/>
    <n v="0"/>
    <n v="0"/>
    <n v="0"/>
    <n v="0"/>
    <n v="0"/>
    <n v="0"/>
  </r>
  <r>
    <n v="2927"/>
    <n v="180872"/>
    <n v="0"/>
    <n v="0"/>
    <x v="45"/>
    <s v="Single"/>
    <s v="Graduate"/>
    <s v="10/16/2020"/>
    <s v="California"/>
    <n v="60"/>
    <n v="1080"/>
    <n v="161"/>
    <n v="1268"/>
    <n v="210"/>
    <n v="27"/>
    <n v="242"/>
    <n v="2505"/>
    <n v="1"/>
    <n v="4"/>
    <n v="4"/>
    <n v="10"/>
    <n v="1"/>
    <n v="0"/>
    <n v="0"/>
    <n v="0"/>
    <n v="0"/>
    <n v="0"/>
    <n v="0"/>
    <n v="0"/>
  </r>
  <r>
    <n v="1752"/>
    <n v="178939"/>
    <n v="0"/>
    <n v="0"/>
    <x v="45"/>
    <s v="Married"/>
    <s v="PhD"/>
    <s v="5/18/2020"/>
    <s v="Florida"/>
    <n v="57"/>
    <n v="1800"/>
    <n v="261"/>
    <n v="551"/>
    <n v="340"/>
    <n v="0"/>
    <n v="465"/>
    <n v="2487"/>
    <n v="1"/>
    <n v="8"/>
    <n v="5"/>
    <n v="6"/>
    <n v="3"/>
    <n v="0"/>
    <n v="0"/>
    <n v="0"/>
    <n v="0"/>
    <n v="0"/>
    <n v="0"/>
    <n v="0"/>
  </r>
  <r>
    <n v="1090"/>
    <n v="178497"/>
    <n v="0"/>
    <n v="0"/>
    <x v="45"/>
    <s v="Married"/>
    <s v="Graduate"/>
    <s v="5/7/2020"/>
    <s v="Other"/>
    <n v="44"/>
    <n v="471"/>
    <n v="59"/>
    <n v="1016"/>
    <n v="171"/>
    <n v="0"/>
    <n v="507"/>
    <n v="1210"/>
    <n v="1"/>
    <n v="5"/>
    <n v="7"/>
    <n v="12"/>
    <n v="2"/>
    <n v="0"/>
    <n v="0"/>
    <n v="1"/>
    <n v="0"/>
    <n v="0"/>
    <n v="0"/>
    <n v="0"/>
  </r>
  <r>
    <n v="1168"/>
    <n v="178497"/>
    <n v="0"/>
    <n v="0"/>
    <x v="45"/>
    <s v="Married"/>
    <s v="Graduate"/>
    <s v="5/7/2020"/>
    <s v="Other"/>
    <n v="44"/>
    <n v="471"/>
    <n v="59"/>
    <n v="1016"/>
    <n v="171"/>
    <n v="0"/>
    <n v="507"/>
    <n v="1210"/>
    <n v="1"/>
    <n v="5"/>
    <n v="7"/>
    <n v="12"/>
    <n v="2"/>
    <n v="0"/>
    <n v="0"/>
    <n v="1"/>
    <n v="0"/>
    <n v="0"/>
    <n v="0"/>
    <n v="0"/>
  </r>
  <r>
    <n v="2909"/>
    <n v="175903"/>
    <n v="0"/>
    <n v="1"/>
    <x v="45"/>
    <s v="Married"/>
    <s v="Graduate"/>
    <s v="9/13/2019"/>
    <s v="California"/>
    <n v="50"/>
    <n v="788"/>
    <n v="250"/>
    <n v="429"/>
    <n v="301"/>
    <n v="88"/>
    <n v="232"/>
    <n v="1625"/>
    <n v="2"/>
    <n v="6"/>
    <n v="6"/>
    <n v="9"/>
    <n v="3"/>
    <n v="0"/>
    <n v="0"/>
    <n v="0"/>
    <n v="0"/>
    <n v="0"/>
    <n v="0"/>
    <n v="0"/>
  </r>
  <r>
    <n v="2674"/>
    <n v="173705"/>
    <n v="0"/>
    <n v="2"/>
    <x v="45"/>
    <s v="Widow"/>
    <s v="Master"/>
    <s v="8/9/2020"/>
    <s v="Other"/>
    <n v="86"/>
    <n v="1442"/>
    <n v="214"/>
    <n v="1226"/>
    <n v="608"/>
    <n v="252"/>
    <n v="252"/>
    <n v="3490"/>
    <n v="2"/>
    <n v="9"/>
    <n v="6"/>
    <n v="8"/>
    <n v="5"/>
    <n v="0"/>
    <n v="0"/>
    <n v="0"/>
    <n v="0"/>
    <n v="0"/>
    <n v="0"/>
    <n v="0"/>
  </r>
  <r>
    <n v="2792"/>
    <n v="172282"/>
    <n v="0"/>
    <n v="0"/>
    <x v="45"/>
    <s v="Single"/>
    <s v="Graduate"/>
    <s v="12/24/2019"/>
    <s v="New York"/>
    <n v="70"/>
    <n v="1199"/>
    <n v="64"/>
    <n v="999"/>
    <n v="215"/>
    <n v="331"/>
    <n v="365"/>
    <n v="2443"/>
    <n v="1"/>
    <n v="5"/>
    <n v="7"/>
    <n v="9"/>
    <n v="7"/>
    <n v="0"/>
    <n v="1"/>
    <n v="0"/>
    <n v="0"/>
    <n v="0"/>
    <n v="0"/>
    <n v="0"/>
  </r>
  <r>
    <n v="3141"/>
    <n v="171965"/>
    <n v="0"/>
    <n v="1"/>
    <x v="45"/>
    <s v="Married"/>
    <s v="Graduate"/>
    <s v="1/3/2020"/>
    <s v="Texas"/>
    <n v="21"/>
    <n v="1367"/>
    <n v="45"/>
    <n v="683"/>
    <n v="119"/>
    <n v="91"/>
    <n v="593"/>
    <n v="1713"/>
    <n v="3"/>
    <n v="6"/>
    <n v="3"/>
    <n v="5"/>
    <n v="3"/>
    <n v="0"/>
    <n v="0"/>
    <n v="0"/>
    <n v="0"/>
    <n v="0"/>
    <n v="0"/>
    <n v="0"/>
  </r>
  <r>
    <n v="2704"/>
    <n v="171107"/>
    <n v="0"/>
    <n v="1"/>
    <x v="45"/>
    <s v="Married"/>
    <s v="Graduate"/>
    <s v="7/25/2019"/>
    <s v="Other"/>
    <n v="61"/>
    <n v="1283"/>
    <n v="24"/>
    <n v="522"/>
    <n v="476"/>
    <n v="419"/>
    <n v="469"/>
    <n v="2255"/>
    <n v="2"/>
    <n v="7"/>
    <n v="6"/>
    <n v="13"/>
    <n v="4"/>
    <n v="0"/>
    <n v="0"/>
    <n v="0"/>
    <n v="0"/>
    <n v="0"/>
    <n v="0"/>
    <n v="0"/>
  </r>
  <r>
    <n v="2920"/>
    <n v="170792"/>
    <n v="0"/>
    <n v="0"/>
    <x v="45"/>
    <s v="Widow"/>
    <s v="Graduate"/>
    <s v="7/14/2019"/>
    <s v="Other"/>
    <n v="82"/>
    <n v="830"/>
    <n v="109"/>
    <n v="1578"/>
    <n v="251"/>
    <n v="27"/>
    <n v="275"/>
    <n v="2519"/>
    <n v="2"/>
    <n v="3"/>
    <n v="4"/>
    <n v="10"/>
    <n v="3"/>
    <n v="0"/>
    <n v="0"/>
    <n v="0"/>
    <n v="0"/>
    <n v="0"/>
    <n v="0"/>
    <n v="0"/>
  </r>
  <r>
    <n v="2853"/>
    <n v="169702"/>
    <n v="0"/>
    <n v="1"/>
    <x v="45"/>
    <s v="Together"/>
    <s v="PhD"/>
    <s v="7/27/2019"/>
    <s v="Texas"/>
    <n v="8"/>
    <n v="1617"/>
    <n v="22"/>
    <n v="584"/>
    <n v="122"/>
    <n v="46"/>
    <n v="139"/>
    <n v="2252"/>
    <n v="2"/>
    <n v="7"/>
    <n v="7"/>
    <n v="10"/>
    <n v="4"/>
    <n v="0"/>
    <n v="0"/>
    <n v="0"/>
    <n v="0"/>
    <n v="0"/>
    <n v="0"/>
    <n v="0"/>
  </r>
  <r>
    <n v="1059"/>
    <n v="167680"/>
    <n v="0"/>
    <n v="1"/>
    <x v="45"/>
    <s v="Widow"/>
    <s v="PhD"/>
    <s v="11/16/2019"/>
    <s v="Texas"/>
    <n v="8"/>
    <n v="1353"/>
    <n v="0"/>
    <n v="119"/>
    <n v="0"/>
    <n v="15"/>
    <n v="15"/>
    <n v="1472"/>
    <n v="1"/>
    <n v="7"/>
    <n v="3"/>
    <n v="8"/>
    <n v="5"/>
    <n v="0"/>
    <n v="0"/>
    <n v="0"/>
    <n v="0"/>
    <n v="0"/>
    <n v="0"/>
    <n v="0"/>
  </r>
  <r>
    <n v="2111"/>
    <n v="167381"/>
    <n v="0"/>
    <n v="1"/>
    <x v="45"/>
    <s v="Married"/>
    <s v="Master"/>
    <s v="6/22/2019"/>
    <s v="California"/>
    <n v="67"/>
    <n v="2025"/>
    <n v="20"/>
    <n v="132"/>
    <n v="27"/>
    <n v="0"/>
    <n v="174"/>
    <n v="2030"/>
    <n v="4"/>
    <n v="2"/>
    <n v="2"/>
    <n v="9"/>
    <n v="7"/>
    <n v="0"/>
    <n v="0"/>
    <n v="0"/>
    <n v="0"/>
    <n v="0"/>
    <n v="1"/>
    <n v="0"/>
  </r>
  <r>
    <n v="3038"/>
    <n v="167046"/>
    <n v="0"/>
    <n v="1"/>
    <x v="45"/>
    <s v="Widow"/>
    <s v="Graduate"/>
    <s v="6/13/2019"/>
    <s v="New York"/>
    <n v="92"/>
    <n v="1355"/>
    <n v="87"/>
    <n v="331"/>
    <n v="57"/>
    <n v="376"/>
    <n v="267"/>
    <n v="1941"/>
    <n v="2"/>
    <n v="4"/>
    <n v="5"/>
    <n v="4"/>
    <n v="2"/>
    <n v="0"/>
    <n v="0"/>
    <n v="0"/>
    <n v="0"/>
    <n v="0"/>
    <n v="0"/>
    <n v="0"/>
  </r>
  <r>
    <n v="1913"/>
    <n v="164950"/>
    <n v="0"/>
    <n v="1"/>
    <x v="45"/>
    <s v="Single"/>
    <s v="PhD"/>
    <s v="1/17/2019"/>
    <s v="California"/>
    <n v="29"/>
    <n v="2080"/>
    <n v="0"/>
    <n v="183"/>
    <n v="30"/>
    <n v="0"/>
    <n v="160"/>
    <n v="2133"/>
    <n v="2"/>
    <n v="11"/>
    <n v="2"/>
    <n v="10"/>
    <n v="7"/>
    <n v="0"/>
    <n v="0"/>
    <n v="0"/>
    <n v="0"/>
    <n v="0"/>
    <n v="1"/>
    <n v="0"/>
  </r>
  <r>
    <n v="3012"/>
    <n v="160689"/>
    <n v="0"/>
    <n v="1"/>
    <x v="45"/>
    <s v="Single"/>
    <s v="Graduate"/>
    <s v="11/6/2019"/>
    <s v="Florida"/>
    <n v="23"/>
    <n v="635"/>
    <n v="238"/>
    <n v="572"/>
    <n v="167"/>
    <n v="16"/>
    <n v="64"/>
    <n v="1565"/>
    <n v="4"/>
    <n v="4"/>
    <n v="4"/>
    <n v="10"/>
    <n v="3"/>
    <n v="0"/>
    <n v="0"/>
    <n v="0"/>
    <n v="0"/>
    <n v="0"/>
    <n v="0"/>
    <n v="0"/>
  </r>
  <r>
    <n v="1996"/>
    <n v="159412"/>
    <n v="0"/>
    <n v="0"/>
    <x v="45"/>
    <s v="Married"/>
    <s v="Master"/>
    <s v="9/23/2020"/>
    <s v="Other"/>
    <n v="56"/>
    <n v="241"/>
    <n v="180"/>
    <n v="443"/>
    <n v="80"/>
    <n v="115"/>
    <n v="30"/>
    <n v="1030"/>
    <n v="1"/>
    <n v="4"/>
    <n v="2"/>
    <n v="8"/>
    <n v="3"/>
    <n v="0"/>
    <n v="0"/>
    <n v="0"/>
    <n v="0"/>
    <n v="0"/>
    <n v="0"/>
    <n v="0"/>
  </r>
  <r>
    <n v="2777"/>
    <n v="159385"/>
    <n v="1"/>
    <n v="1"/>
    <x v="45"/>
    <s v="Together"/>
    <s v="Master"/>
    <s v="10/3/2019"/>
    <s v="California"/>
    <n v="85"/>
    <n v="362"/>
    <n v="0"/>
    <n v="27"/>
    <n v="0"/>
    <n v="11"/>
    <n v="97"/>
    <n v="303"/>
    <n v="2"/>
    <n v="3"/>
    <n v="1"/>
    <n v="4"/>
    <n v="5"/>
    <n v="0"/>
    <n v="0"/>
    <n v="0"/>
    <n v="0"/>
    <n v="0"/>
    <n v="0"/>
    <n v="0"/>
  </r>
  <r>
    <n v="2831"/>
    <n v="158217"/>
    <n v="2"/>
    <n v="1"/>
    <x v="45"/>
    <s v="Single"/>
    <s v="Master"/>
    <s v="4/24/2019"/>
    <s v="California"/>
    <n v="84"/>
    <n v="185"/>
    <n v="3"/>
    <n v="35"/>
    <n v="8"/>
    <n v="14"/>
    <n v="35"/>
    <n v="209"/>
    <n v="1"/>
    <n v="2"/>
    <n v="0"/>
    <n v="4"/>
    <n v="6"/>
    <n v="0"/>
    <n v="0"/>
    <n v="0"/>
    <n v="0"/>
    <n v="0"/>
    <n v="0"/>
    <n v="0"/>
  </r>
  <r>
    <n v="2526"/>
    <n v="157530"/>
    <n v="0"/>
    <n v="1"/>
    <x v="45"/>
    <s v="Divorced"/>
    <s v="Master"/>
    <s v="3/18/2020"/>
    <s v="Florida"/>
    <n v="68"/>
    <n v="137"/>
    <n v="3"/>
    <n v="74"/>
    <n v="16"/>
    <n v="19"/>
    <n v="3"/>
    <n v="246"/>
    <n v="1"/>
    <n v="1"/>
    <n v="1"/>
    <n v="4"/>
    <n v="1"/>
    <n v="0"/>
    <n v="0"/>
    <n v="0"/>
    <n v="0"/>
    <n v="0"/>
    <n v="0"/>
    <n v="0"/>
  </r>
  <r>
    <n v="2140"/>
    <n v="157304"/>
    <n v="0"/>
    <n v="1"/>
    <x v="45"/>
    <s v="Married"/>
    <s v="Graduate"/>
    <s v="8/16/2019"/>
    <s v="Other"/>
    <n v="61"/>
    <n v="977"/>
    <n v="220"/>
    <n v="903"/>
    <n v="379"/>
    <n v="47"/>
    <n v="291"/>
    <n v="2234"/>
    <n v="2"/>
    <n v="7"/>
    <n v="6"/>
    <n v="10"/>
    <n v="5"/>
    <n v="0"/>
    <n v="0"/>
    <n v="0"/>
    <n v="0"/>
    <n v="0"/>
    <n v="0"/>
    <n v="0"/>
  </r>
  <r>
    <n v="1452"/>
    <n v="153790"/>
    <n v="0"/>
    <n v="2"/>
    <x v="45"/>
    <s v="Married"/>
    <s v="Graduate"/>
    <s v="8/10/2020"/>
    <s v="Florida"/>
    <n v="86"/>
    <n v="958"/>
    <n v="120"/>
    <n v="363"/>
    <n v="80"/>
    <n v="14"/>
    <n v="14"/>
    <n v="1521"/>
    <n v="3"/>
    <n v="7"/>
    <n v="2"/>
    <n v="8"/>
    <n v="6"/>
    <n v="0"/>
    <n v="0"/>
    <n v="0"/>
    <n v="0"/>
    <n v="0"/>
    <n v="0"/>
    <n v="0"/>
  </r>
  <r>
    <n v="2038"/>
    <n v="153312"/>
    <n v="0"/>
    <n v="0"/>
    <x v="45"/>
    <s v="Married"/>
    <s v="PhD"/>
    <s v="1/14/2020"/>
    <s v="Other"/>
    <n v="32"/>
    <n v="693"/>
    <n v="0"/>
    <n v="35"/>
    <n v="0"/>
    <n v="0"/>
    <n v="72"/>
    <n v="656"/>
    <n v="1"/>
    <n v="5"/>
    <n v="1"/>
    <n v="5"/>
    <n v="7"/>
    <n v="0"/>
    <n v="0"/>
    <n v="0"/>
    <n v="0"/>
    <n v="0"/>
    <n v="0"/>
    <n v="0"/>
  </r>
  <r>
    <n v="1034"/>
    <n v="149389"/>
    <n v="1"/>
    <n v="1"/>
    <x v="45"/>
    <s v="Single"/>
    <s v="Master"/>
    <s v="2/3/2020"/>
    <s v="New York"/>
    <n v="55"/>
    <n v="121"/>
    <n v="0"/>
    <n v="57"/>
    <n v="6"/>
    <n v="3"/>
    <n v="9"/>
    <n v="178"/>
    <n v="1"/>
    <n v="2"/>
    <n v="0"/>
    <n v="3"/>
    <n v="7"/>
    <n v="0"/>
    <n v="0"/>
    <n v="0"/>
    <n v="0"/>
    <n v="0"/>
    <n v="0"/>
    <n v="0"/>
  </r>
  <r>
    <n v="2665"/>
    <n v="149090"/>
    <n v="0"/>
    <n v="1"/>
    <x v="45"/>
    <s v="Single"/>
    <s v="Graduate"/>
    <s v="12/24/2019"/>
    <s v="Illinois"/>
    <n v="45"/>
    <n v="1500"/>
    <n v="15"/>
    <n v="249"/>
    <n v="21"/>
    <n v="0"/>
    <n v="304"/>
    <n v="1482"/>
    <n v="3"/>
    <n v="7"/>
    <n v="2"/>
    <n v="9"/>
    <n v="7"/>
    <n v="0"/>
    <n v="0"/>
    <n v="0"/>
    <n v="0"/>
    <n v="0"/>
    <n v="0"/>
    <n v="0"/>
  </r>
  <r>
    <n v="1519"/>
    <n v="147352"/>
    <n v="0"/>
    <n v="1"/>
    <x v="45"/>
    <s v="Together"/>
    <s v="Master"/>
    <s v="9/16/2019"/>
    <s v="Illinois"/>
    <n v="70"/>
    <n v="535"/>
    <n v="37"/>
    <n v="349"/>
    <n v="25"/>
    <n v="0"/>
    <n v="47"/>
    <n v="899"/>
    <n v="4"/>
    <n v="6"/>
    <n v="1"/>
    <n v="5"/>
    <n v="7"/>
    <n v="0"/>
    <n v="0"/>
    <n v="0"/>
    <n v="0"/>
    <n v="0"/>
    <n v="0"/>
    <n v="0"/>
  </r>
  <r>
    <n v="2382"/>
    <n v="147352"/>
    <n v="0"/>
    <n v="1"/>
    <x v="45"/>
    <s v="Together"/>
    <s v="Master"/>
    <s v="9/16/2019"/>
    <s v="Florida"/>
    <n v="70"/>
    <n v="535"/>
    <n v="37"/>
    <n v="349"/>
    <n v="25"/>
    <n v="0"/>
    <n v="47"/>
    <n v="899"/>
    <n v="4"/>
    <n v="6"/>
    <n v="1"/>
    <n v="5"/>
    <n v="7"/>
    <n v="0"/>
    <n v="0"/>
    <n v="0"/>
    <n v="0"/>
    <n v="0"/>
    <n v="0"/>
    <n v="0"/>
  </r>
  <r>
    <n v="2779"/>
    <n v="144689"/>
    <n v="1"/>
    <n v="1"/>
    <x v="45"/>
    <s v="Married"/>
    <s v="Graduate"/>
    <s v="6/16/2020"/>
    <s v="Illinois"/>
    <n v="82"/>
    <n v="58"/>
    <n v="0"/>
    <n v="16"/>
    <n v="0"/>
    <n v="0"/>
    <n v="36"/>
    <n v="39"/>
    <n v="2"/>
    <n v="1"/>
    <n v="1"/>
    <n v="2"/>
    <n v="7"/>
    <n v="0"/>
    <n v="0"/>
    <n v="0"/>
    <n v="0"/>
    <n v="1"/>
    <n v="0"/>
    <n v="0"/>
  </r>
  <r>
    <n v="1688"/>
    <n v="143185"/>
    <n v="0"/>
    <n v="1"/>
    <x v="45"/>
    <s v="Divorced"/>
    <s v="Graduate"/>
    <s v="9/15/2019"/>
    <s v="New York"/>
    <n v="88"/>
    <n v="1780"/>
    <n v="20"/>
    <n v="139"/>
    <n v="53"/>
    <n v="20"/>
    <n v="99"/>
    <n v="1913"/>
    <n v="2"/>
    <n v="9"/>
    <n v="3"/>
    <n v="6"/>
    <n v="8"/>
    <n v="0"/>
    <n v="0"/>
    <n v="0"/>
    <n v="0"/>
    <n v="0"/>
    <n v="0"/>
    <n v="0"/>
  </r>
  <r>
    <n v="1024"/>
    <n v="140689"/>
    <n v="0"/>
    <n v="1"/>
    <x v="45"/>
    <s v="Together"/>
    <s v="Graduate"/>
    <s v="8/23/2019"/>
    <s v="Other"/>
    <n v="69"/>
    <n v="934"/>
    <n v="10"/>
    <n v="93"/>
    <n v="135"/>
    <n v="21"/>
    <n v="342"/>
    <n v="851"/>
    <n v="7"/>
    <n v="7"/>
    <n v="1"/>
    <n v="5"/>
    <n v="8"/>
    <n v="0"/>
    <n v="0"/>
    <n v="0"/>
    <n v="0"/>
    <n v="0"/>
    <n v="0"/>
    <n v="0"/>
  </r>
  <r>
    <n v="1565"/>
    <n v="140689"/>
    <n v="0"/>
    <n v="1"/>
    <x v="45"/>
    <s v="Together"/>
    <s v="Graduate"/>
    <s v="8/23/2019"/>
    <s v="California"/>
    <n v="69"/>
    <n v="934"/>
    <n v="10"/>
    <n v="93"/>
    <n v="135"/>
    <n v="21"/>
    <n v="342"/>
    <n v="851"/>
    <n v="7"/>
    <n v="7"/>
    <n v="1"/>
    <n v="5"/>
    <n v="8"/>
    <n v="0"/>
    <n v="0"/>
    <n v="0"/>
    <n v="0"/>
    <n v="0"/>
    <n v="0"/>
    <n v="0"/>
  </r>
  <r>
    <n v="2264"/>
    <n v="139767"/>
    <n v="0"/>
    <n v="0"/>
    <x v="45"/>
    <s v="Together"/>
    <s v="Master"/>
    <s v="12/26/2019"/>
    <s v="New York"/>
    <n v="18"/>
    <n v="397"/>
    <n v="214"/>
    <n v="717"/>
    <n v="119"/>
    <n v="91"/>
    <n v="165"/>
    <n v="1374"/>
    <n v="2"/>
    <n v="7"/>
    <n v="1"/>
    <n v="7"/>
    <n v="8"/>
    <n v="0"/>
    <n v="0"/>
    <n v="0"/>
    <n v="0"/>
    <n v="0"/>
    <n v="0"/>
    <n v="0"/>
  </r>
  <r>
    <n v="1783"/>
    <n v="134838"/>
    <n v="1"/>
    <n v="1"/>
    <x v="45"/>
    <s v="Married"/>
    <s v="Graduate"/>
    <s v="6/26/2019"/>
    <s v="Illinois"/>
    <n v="62"/>
    <n v="108"/>
    <n v="89"/>
    <n v="112"/>
    <n v="112"/>
    <n v="54"/>
    <n v="182"/>
    <n v="294"/>
    <n v="3"/>
    <n v="2"/>
    <n v="1"/>
    <n v="4"/>
    <n v="6"/>
    <n v="0"/>
    <n v="0"/>
    <n v="0"/>
    <n v="0"/>
    <n v="0"/>
    <n v="0"/>
    <n v="0"/>
  </r>
  <r>
    <n v="3025"/>
    <n v="132871"/>
    <n v="1"/>
    <n v="1"/>
    <x v="45"/>
    <s v="Married"/>
    <s v="Graduate"/>
    <s v="8/14/2019"/>
    <s v="Illinois"/>
    <n v="28"/>
    <n v="89"/>
    <n v="8"/>
    <n v="49"/>
    <n v="0"/>
    <n v="8"/>
    <n v="20"/>
    <n v="133"/>
    <n v="1"/>
    <n v="1"/>
    <n v="0"/>
    <n v="3"/>
    <n v="4"/>
    <n v="0"/>
    <n v="0"/>
    <n v="0"/>
    <n v="0"/>
    <n v="0"/>
    <n v="0"/>
    <n v="0"/>
  </r>
  <r>
    <n v="1304"/>
    <n v="130833"/>
    <n v="1"/>
    <n v="1"/>
    <x v="45"/>
    <s v="Married"/>
    <s v="Graduate"/>
    <s v="12/21/2019"/>
    <s v="New York"/>
    <n v="33"/>
    <n v="47"/>
    <n v="0"/>
    <n v="30"/>
    <n v="13"/>
    <n v="4"/>
    <n v="25"/>
    <n v="68"/>
    <n v="2"/>
    <n v="1"/>
    <n v="0"/>
    <n v="3"/>
    <n v="5"/>
    <n v="0"/>
    <n v="0"/>
    <n v="0"/>
    <n v="0"/>
    <n v="0"/>
    <n v="0"/>
    <n v="0"/>
  </r>
  <r>
    <n v="1551"/>
    <n v="129298"/>
    <n v="1"/>
    <n v="1"/>
    <x v="45"/>
    <s v="Together"/>
    <s v="Master"/>
    <s v="2/12/2020"/>
    <s v="Texas"/>
    <n v="60"/>
    <n v="26"/>
    <n v="0"/>
    <n v="9"/>
    <n v="9"/>
    <n v="0"/>
    <n v="4"/>
    <n v="40"/>
    <n v="1"/>
    <n v="1"/>
    <n v="0"/>
    <n v="2"/>
    <n v="5"/>
    <n v="0"/>
    <n v="0"/>
    <n v="0"/>
    <n v="0"/>
    <n v="0"/>
    <n v="0"/>
    <n v="0"/>
  </r>
  <r>
    <n v="1567"/>
    <n v="127450"/>
    <n v="0"/>
    <n v="0"/>
    <x v="45"/>
    <s v="Married"/>
    <s v="Master"/>
    <s v="9/20/2019"/>
    <s v="Illinois"/>
    <n v="57"/>
    <n v="172"/>
    <n v="56"/>
    <n v="107"/>
    <n v="37"/>
    <n v="51"/>
    <n v="241"/>
    <n v="181"/>
    <n v="1"/>
    <n v="2"/>
    <n v="1"/>
    <n v="3"/>
    <n v="7"/>
    <n v="0"/>
    <n v="0"/>
    <n v="0"/>
    <n v="0"/>
    <n v="0"/>
    <n v="0"/>
    <n v="0"/>
  </r>
  <r>
    <n v="2265"/>
    <n v="126997"/>
    <n v="0"/>
    <n v="0"/>
    <x v="45"/>
    <s v="Married"/>
    <s v="Basic"/>
    <s v="4/12/2019"/>
    <s v="Texas"/>
    <n v="89"/>
    <n v="33"/>
    <n v="108"/>
    <n v="367"/>
    <n v="626"/>
    <n v="231"/>
    <n v="677"/>
    <n v="687"/>
    <n v="2"/>
    <n v="4"/>
    <n v="2"/>
    <n v="5"/>
    <n v="7"/>
    <n v="0"/>
    <n v="0"/>
    <n v="0"/>
    <n v="0"/>
    <n v="0"/>
    <n v="0"/>
    <n v="0"/>
  </r>
  <r>
    <n v="2993"/>
    <n v="122263"/>
    <n v="1"/>
    <n v="1"/>
    <x v="45"/>
    <s v="Divorced"/>
    <s v="Graduate"/>
    <s v="9/3/2020"/>
    <s v="California"/>
    <n v="31"/>
    <n v="93"/>
    <n v="0"/>
    <n v="11"/>
    <n v="0"/>
    <n v="0"/>
    <n v="11"/>
    <n v="93"/>
    <n v="2"/>
    <n v="1"/>
    <n v="0"/>
    <n v="3"/>
    <n v="6"/>
    <n v="1"/>
    <n v="0"/>
    <n v="0"/>
    <n v="0"/>
    <n v="0"/>
    <n v="0"/>
    <n v="0"/>
  </r>
  <r>
    <n v="1221"/>
    <n v="115033"/>
    <n v="0"/>
    <n v="0"/>
    <x v="45"/>
    <s v="Single"/>
    <s v="Graduate"/>
    <s v="9/20/2020"/>
    <s v="Texas"/>
    <n v="37"/>
    <n v="0"/>
    <n v="31"/>
    <n v="38"/>
    <n v="46"/>
    <n v="0"/>
    <n v="31"/>
    <n v="84"/>
    <n v="1"/>
    <n v="1"/>
    <n v="0"/>
    <n v="3"/>
    <n v="3"/>
    <n v="0"/>
    <n v="0"/>
    <n v="0"/>
    <n v="0"/>
    <n v="0"/>
    <n v="0"/>
    <n v="0"/>
  </r>
  <r>
    <n v="2558"/>
    <n v="182460"/>
    <n v="0"/>
    <n v="0"/>
    <x v="46"/>
    <s v="Divorced"/>
    <s v="Graduate"/>
    <s v="5/8/2020"/>
    <s v="New York"/>
    <n v="78"/>
    <n v="564"/>
    <n v="104"/>
    <n v="1268"/>
    <n v="115"/>
    <n v="71"/>
    <n v="33"/>
    <n v="2089"/>
    <n v="1"/>
    <n v="5"/>
    <n v="3"/>
    <n v="6"/>
    <n v="1"/>
    <n v="0"/>
    <n v="0"/>
    <n v="0"/>
    <n v="0"/>
    <n v="0"/>
    <n v="0"/>
    <n v="0"/>
  </r>
  <r>
    <n v="1965"/>
    <n v="180763"/>
    <n v="0"/>
    <n v="0"/>
    <x v="46"/>
    <s v="Married"/>
    <s v="Graduate"/>
    <s v="1/20/2020"/>
    <s v="Texas"/>
    <n v="17"/>
    <n v="1509"/>
    <n v="376"/>
    <n v="242"/>
    <n v="430"/>
    <n v="94"/>
    <n v="517"/>
    <n v="2133"/>
    <n v="1"/>
    <n v="5"/>
    <n v="11"/>
    <n v="6"/>
    <n v="3"/>
    <n v="0"/>
    <n v="1"/>
    <n v="1"/>
    <n v="0"/>
    <n v="0"/>
    <n v="0"/>
    <n v="1"/>
  </r>
  <r>
    <n v="2930"/>
    <n v="176842"/>
    <n v="0"/>
    <n v="0"/>
    <x v="46"/>
    <s v="Widow"/>
    <s v="PhD"/>
    <s v="10/7/2020"/>
    <s v="New York"/>
    <n v="37"/>
    <n v="1392"/>
    <n v="23"/>
    <n v="794"/>
    <n v="193"/>
    <n v="124"/>
    <n v="74"/>
    <n v="2453"/>
    <n v="1"/>
    <n v="1"/>
    <n v="8"/>
    <n v="7"/>
    <n v="0"/>
    <n v="0"/>
    <n v="0"/>
    <n v="0"/>
    <n v="0"/>
    <n v="0"/>
    <n v="0"/>
    <n v="0"/>
  </r>
  <r>
    <n v="2436"/>
    <n v="164866"/>
    <n v="0"/>
    <n v="1"/>
    <x v="46"/>
    <s v="Widow"/>
    <s v="Master"/>
    <s v="7/2/2020"/>
    <s v="Florida"/>
    <n v="9"/>
    <n v="1291"/>
    <n v="13"/>
    <n v="53"/>
    <n v="18"/>
    <n v="13"/>
    <n v="25"/>
    <n v="1362"/>
    <n v="4"/>
    <n v="7"/>
    <n v="3"/>
    <n v="7"/>
    <n v="5"/>
    <n v="0"/>
    <n v="0"/>
    <n v="0"/>
    <n v="0"/>
    <n v="0"/>
    <n v="1"/>
    <n v="0"/>
  </r>
  <r>
    <n v="1621"/>
    <n v="163120"/>
    <n v="0"/>
    <n v="1"/>
    <x v="46"/>
    <s v="Divorced"/>
    <s v="Master"/>
    <s v="3/5/2019"/>
    <s v="Illinois"/>
    <n v="53"/>
    <n v="2494"/>
    <n v="178"/>
    <n v="721"/>
    <n v="140"/>
    <n v="106"/>
    <n v="178"/>
    <n v="3460"/>
    <n v="5"/>
    <n v="8"/>
    <n v="4"/>
    <n v="9"/>
    <n v="7"/>
    <n v="0"/>
    <n v="1"/>
    <n v="0"/>
    <n v="0"/>
    <n v="0"/>
    <n v="0"/>
    <n v="0"/>
  </r>
  <r>
    <n v="3010"/>
    <n v="160905"/>
    <n v="0"/>
    <n v="1"/>
    <x v="46"/>
    <s v="Together"/>
    <s v="Graduate"/>
    <s v="5/11/2020"/>
    <s v="Other"/>
    <n v="27"/>
    <n v="550"/>
    <n v="45"/>
    <n v="201"/>
    <n v="95"/>
    <n v="45"/>
    <n v="100"/>
    <n v="835"/>
    <n v="2"/>
    <n v="3"/>
    <n v="3"/>
    <n v="7"/>
    <n v="2"/>
    <n v="0"/>
    <n v="0"/>
    <n v="0"/>
    <n v="0"/>
    <n v="0"/>
    <n v="0"/>
    <n v="0"/>
  </r>
  <r>
    <n v="3033"/>
    <n v="159462"/>
    <n v="0"/>
    <n v="1"/>
    <x v="46"/>
    <s v="Married"/>
    <s v="Graduate"/>
    <s v="6/12/2019"/>
    <s v="Texas"/>
    <n v="29"/>
    <n v="1942"/>
    <n v="46"/>
    <n v="383"/>
    <n v="0"/>
    <n v="21"/>
    <n v="526"/>
    <n v="1866"/>
    <n v="2"/>
    <n v="9"/>
    <n v="2"/>
    <n v="12"/>
    <n v="7"/>
    <n v="0"/>
    <n v="0"/>
    <n v="0"/>
    <n v="0"/>
    <n v="0"/>
    <n v="0"/>
    <n v="0"/>
  </r>
  <r>
    <n v="1327"/>
    <n v="159292"/>
    <n v="0"/>
    <n v="1"/>
    <x v="46"/>
    <s v="Together"/>
    <s v="PhD"/>
    <s v="11/18/2019"/>
    <s v="Illinois"/>
    <n v="71"/>
    <n v="1016"/>
    <n v="38"/>
    <n v="183"/>
    <n v="51"/>
    <n v="38"/>
    <n v="38"/>
    <n v="1287"/>
    <n v="2"/>
    <n v="3"/>
    <n v="5"/>
    <n v="8"/>
    <n v="3"/>
    <n v="0"/>
    <n v="0"/>
    <n v="0"/>
    <n v="0"/>
    <n v="0"/>
    <n v="0"/>
    <n v="0"/>
  </r>
  <r>
    <n v="2874"/>
    <n v="159292"/>
    <n v="0"/>
    <n v="1"/>
    <x v="46"/>
    <s v="Together"/>
    <s v="PhD"/>
    <s v="11/18/2019"/>
    <s v="Florida"/>
    <n v="71"/>
    <n v="1016"/>
    <n v="38"/>
    <n v="183"/>
    <n v="51"/>
    <n v="38"/>
    <n v="38"/>
    <n v="1287"/>
    <n v="2"/>
    <n v="3"/>
    <n v="5"/>
    <n v="8"/>
    <n v="3"/>
    <n v="0"/>
    <n v="0"/>
    <n v="0"/>
    <n v="0"/>
    <n v="0"/>
    <n v="0"/>
    <n v="0"/>
  </r>
  <r>
    <n v="2384"/>
    <n v="157045"/>
    <n v="0"/>
    <n v="1"/>
    <x v="46"/>
    <s v="Married"/>
    <s v="Graduate"/>
    <s v="2/13/2019"/>
    <s v="New York"/>
    <n v="40"/>
    <n v="815"/>
    <n v="36"/>
    <n v="286"/>
    <n v="30"/>
    <n v="36"/>
    <n v="47"/>
    <n v="1156"/>
    <n v="3"/>
    <n v="4"/>
    <n v="2"/>
    <n v="9"/>
    <n v="3"/>
    <n v="0"/>
    <n v="0"/>
    <n v="0"/>
    <n v="0"/>
    <n v="0"/>
    <n v="0"/>
    <n v="0"/>
  </r>
  <r>
    <n v="2625"/>
    <n v="156551"/>
    <n v="1"/>
    <n v="1"/>
    <x v="46"/>
    <s v="Widow"/>
    <s v="PhD"/>
    <s v="10/11/2020"/>
    <s v="Texas"/>
    <n v="48"/>
    <n v="185"/>
    <n v="11"/>
    <n v="89"/>
    <n v="47"/>
    <n v="6"/>
    <n v="44"/>
    <n v="293"/>
    <n v="3"/>
    <n v="2"/>
    <n v="1"/>
    <n v="4"/>
    <n v="4"/>
    <n v="0"/>
    <n v="0"/>
    <n v="0"/>
    <n v="0"/>
    <n v="0"/>
    <n v="0"/>
    <n v="0"/>
  </r>
  <r>
    <n v="2934"/>
    <n v="156551"/>
    <n v="1"/>
    <n v="1"/>
    <x v="46"/>
    <s v="Widow"/>
    <s v="PhD"/>
    <s v="10/11/2020"/>
    <s v="Florida"/>
    <n v="48"/>
    <n v="185"/>
    <n v="11"/>
    <n v="89"/>
    <n v="47"/>
    <n v="6"/>
    <n v="44"/>
    <n v="293"/>
    <n v="3"/>
    <n v="2"/>
    <n v="1"/>
    <n v="4"/>
    <n v="4"/>
    <n v="0"/>
    <n v="0"/>
    <n v="0"/>
    <n v="0"/>
    <n v="0"/>
    <n v="0"/>
    <n v="0"/>
  </r>
  <r>
    <n v="2544"/>
    <n v="155517"/>
    <n v="1"/>
    <n v="1"/>
    <x v="46"/>
    <s v="Married"/>
    <s v="PhD"/>
    <s v="3/4/2019"/>
    <s v="Florida"/>
    <n v="53"/>
    <n v="1353"/>
    <n v="0"/>
    <n v="303"/>
    <n v="0"/>
    <n v="17"/>
    <n v="101"/>
    <n v="1572"/>
    <n v="5"/>
    <n v="11"/>
    <n v="1"/>
    <n v="6"/>
    <n v="9"/>
    <n v="0"/>
    <n v="1"/>
    <n v="0"/>
    <n v="0"/>
    <n v="0"/>
    <n v="0"/>
    <n v="0"/>
  </r>
  <r>
    <n v="1313"/>
    <n v="154432"/>
    <n v="2"/>
    <n v="1"/>
    <x v="46"/>
    <s v="Married"/>
    <s v="PhD"/>
    <s v="10/14/2019"/>
    <s v="California"/>
    <n v="37"/>
    <n v="94"/>
    <n v="0"/>
    <n v="14"/>
    <n v="0"/>
    <n v="0"/>
    <n v="0"/>
    <n v="108"/>
    <n v="1"/>
    <n v="1"/>
    <n v="0"/>
    <n v="3"/>
    <n v="4"/>
    <n v="0"/>
    <n v="0"/>
    <n v="0"/>
    <n v="0"/>
    <n v="0"/>
    <n v="0"/>
    <n v="0"/>
  </r>
  <r>
    <n v="2343"/>
    <n v="152203"/>
    <n v="0"/>
    <n v="0"/>
    <x v="46"/>
    <s v="Together"/>
    <s v="Graduate"/>
    <s v="1/5/2019"/>
    <s v="Texas"/>
    <n v="36"/>
    <n v="1423"/>
    <n v="61"/>
    <n v="694"/>
    <n v="163"/>
    <n v="315"/>
    <n v="82"/>
    <n v="2574"/>
    <n v="1"/>
    <n v="8"/>
    <n v="7"/>
    <n v="11"/>
    <n v="6"/>
    <n v="0"/>
    <n v="0"/>
    <n v="0"/>
    <n v="0"/>
    <n v="0"/>
    <n v="0"/>
    <n v="0"/>
  </r>
  <r>
    <n v="1549"/>
    <n v="152157"/>
    <n v="0"/>
    <n v="1"/>
    <x v="46"/>
    <s v="Together"/>
    <s v="PhD"/>
    <s v="11/11/2020"/>
    <s v="Illinois"/>
    <n v="48"/>
    <n v="551"/>
    <n v="6"/>
    <n v="85"/>
    <n v="9"/>
    <n v="6"/>
    <n v="117"/>
    <n v="540"/>
    <n v="2"/>
    <n v="3"/>
    <n v="2"/>
    <n v="5"/>
    <n v="4"/>
    <n v="0"/>
    <n v="0"/>
    <n v="0"/>
    <n v="0"/>
    <n v="0"/>
    <n v="0"/>
    <n v="0"/>
  </r>
  <r>
    <n v="1636"/>
    <n v="150616"/>
    <n v="0"/>
    <n v="1"/>
    <x v="46"/>
    <s v="Together"/>
    <s v="PhD"/>
    <s v="9/17/2020"/>
    <s v="Other"/>
    <n v="71"/>
    <n v="89"/>
    <n v="6"/>
    <n v="74"/>
    <n v="0"/>
    <n v="3"/>
    <n v="27"/>
    <n v="146"/>
    <n v="1"/>
    <n v="1"/>
    <n v="1"/>
    <n v="4"/>
    <n v="2"/>
    <n v="0"/>
    <n v="0"/>
    <n v="0"/>
    <n v="0"/>
    <n v="0"/>
    <n v="0"/>
    <n v="0"/>
  </r>
  <r>
    <n v="1723"/>
    <n v="148767"/>
    <n v="1"/>
    <n v="2"/>
    <x v="46"/>
    <s v="Single"/>
    <s v="PhD"/>
    <s v="6/7/2020"/>
    <s v="Illinois"/>
    <n v="79"/>
    <n v="85"/>
    <n v="3"/>
    <n v="64"/>
    <n v="9"/>
    <n v="0"/>
    <n v="31"/>
    <n v="131"/>
    <n v="3"/>
    <n v="2"/>
    <n v="1"/>
    <n v="3"/>
    <n v="5"/>
    <n v="0"/>
    <n v="0"/>
    <n v="0"/>
    <n v="0"/>
    <n v="0"/>
    <n v="0"/>
    <n v="0"/>
  </r>
  <r>
    <n v="3064"/>
    <n v="148699"/>
    <n v="1"/>
    <n v="1"/>
    <x v="46"/>
    <s v="Married"/>
    <s v="PhD"/>
    <s v="10/26/2019"/>
    <s v="Other"/>
    <n v="90"/>
    <n v="79"/>
    <n v="3"/>
    <n v="31"/>
    <n v="6"/>
    <n v="0"/>
    <n v="3"/>
    <n v="116"/>
    <n v="1"/>
    <n v="1"/>
    <n v="0"/>
    <n v="3"/>
    <n v="5"/>
    <n v="0"/>
    <n v="0"/>
    <n v="0"/>
    <n v="0"/>
    <n v="0"/>
    <n v="0"/>
    <n v="0"/>
  </r>
  <r>
    <n v="2161"/>
    <n v="148070"/>
    <n v="0"/>
    <n v="1"/>
    <x v="46"/>
    <s v="Together"/>
    <s v="Graduate"/>
    <s v="6/20/2019"/>
    <s v="Illinois"/>
    <n v="33"/>
    <n v="1149"/>
    <n v="43"/>
    <n v="256"/>
    <n v="18"/>
    <n v="28"/>
    <n v="59"/>
    <n v="1435"/>
    <n v="3"/>
    <n v="8"/>
    <n v="2"/>
    <n v="6"/>
    <n v="7"/>
    <n v="1"/>
    <n v="0"/>
    <n v="0"/>
    <n v="0"/>
    <n v="0"/>
    <n v="0"/>
    <n v="0"/>
  </r>
  <r>
    <n v="2467"/>
    <n v="142873"/>
    <n v="1"/>
    <n v="1"/>
    <x v="46"/>
    <s v="Divorced"/>
    <s v="PhD"/>
    <s v="6/28/2019"/>
    <s v="Illinois"/>
    <n v="11"/>
    <n v="696"/>
    <n v="0"/>
    <n v="133"/>
    <n v="10"/>
    <n v="7"/>
    <n v="50"/>
    <n v="796"/>
    <n v="4"/>
    <n v="6"/>
    <n v="1"/>
    <n v="4"/>
    <n v="8"/>
    <n v="0"/>
    <n v="0"/>
    <n v="0"/>
    <n v="0"/>
    <n v="0"/>
    <n v="0"/>
    <n v="0"/>
  </r>
  <r>
    <n v="2444"/>
    <n v="141145"/>
    <n v="1"/>
    <n v="1"/>
    <x v="46"/>
    <s v="Married"/>
    <s v="PhD"/>
    <s v="7/15/2020"/>
    <s v="New York"/>
    <n v="20"/>
    <n v="31"/>
    <n v="0"/>
    <n v="10"/>
    <n v="0"/>
    <n v="0"/>
    <n v="3"/>
    <n v="38"/>
    <n v="1"/>
    <n v="0"/>
    <n v="0"/>
    <n v="3"/>
    <n v="3"/>
    <n v="0"/>
    <n v="0"/>
    <n v="0"/>
    <n v="0"/>
    <n v="0"/>
    <n v="0"/>
    <n v="0"/>
  </r>
  <r>
    <n v="3180"/>
    <n v="138054"/>
    <n v="1"/>
    <n v="1"/>
    <x v="46"/>
    <s v="Divorced"/>
    <s v="Master"/>
    <s v="10/5/2020"/>
    <s v="Florida"/>
    <n v="24"/>
    <n v="83"/>
    <n v="7"/>
    <n v="62"/>
    <n v="7"/>
    <n v="4"/>
    <n v="0"/>
    <n v="163"/>
    <n v="2"/>
    <n v="2"/>
    <n v="0"/>
    <n v="3"/>
    <n v="7"/>
    <n v="0"/>
    <n v="0"/>
    <n v="0"/>
    <n v="0"/>
    <n v="0"/>
    <n v="0"/>
    <n v="0"/>
  </r>
  <r>
    <n v="1821"/>
    <n v="134026"/>
    <n v="1"/>
    <n v="1"/>
    <x v="46"/>
    <s v="Together"/>
    <s v="Graduate"/>
    <s v="1/10/2020"/>
    <s v="Texas"/>
    <n v="11"/>
    <n v="71"/>
    <n v="24"/>
    <n v="59"/>
    <n v="47"/>
    <n v="32"/>
    <n v="67"/>
    <n v="165"/>
    <n v="3"/>
    <n v="2"/>
    <n v="1"/>
    <n v="3"/>
    <n v="5"/>
    <n v="0"/>
    <n v="0"/>
    <n v="0"/>
    <n v="0"/>
    <n v="0"/>
    <n v="0"/>
    <n v="0"/>
  </r>
  <r>
    <n v="2765"/>
    <n v="134026"/>
    <n v="1"/>
    <n v="1"/>
    <x v="46"/>
    <s v="Together"/>
    <s v="Graduate"/>
    <s v="1/10/2020"/>
    <s v="California"/>
    <n v="11"/>
    <n v="71"/>
    <n v="24"/>
    <n v="59"/>
    <n v="47"/>
    <n v="32"/>
    <n v="67"/>
    <n v="165"/>
    <n v="3"/>
    <n v="2"/>
    <n v="1"/>
    <n v="3"/>
    <n v="5"/>
    <n v="0"/>
    <n v="0"/>
    <n v="0"/>
    <n v="0"/>
    <n v="0"/>
    <n v="0"/>
    <n v="0"/>
  </r>
  <r>
    <n v="2916"/>
    <n v="128320"/>
    <n v="0"/>
    <n v="1"/>
    <x v="46"/>
    <s v="Together"/>
    <s v="Graduate"/>
    <s v="6/21/2019"/>
    <s v="Florida"/>
    <n v="68"/>
    <n v="86"/>
    <n v="5"/>
    <n v="63"/>
    <n v="14"/>
    <n v="9"/>
    <n v="18"/>
    <n v="159"/>
    <n v="1"/>
    <n v="1"/>
    <n v="0"/>
    <n v="3"/>
    <n v="8"/>
    <n v="0"/>
    <n v="0"/>
    <n v="0"/>
    <n v="0"/>
    <n v="0"/>
    <n v="0"/>
    <n v="0"/>
  </r>
  <r>
    <n v="1484"/>
    <n v="127203"/>
    <n v="1"/>
    <n v="1"/>
    <x v="46"/>
    <s v="Together"/>
    <s v="Graduate"/>
    <s v="1/11/2019"/>
    <s v="New York"/>
    <n v="92"/>
    <n v="61"/>
    <n v="9"/>
    <n v="98"/>
    <n v="19"/>
    <n v="0"/>
    <n v="112"/>
    <n v="75"/>
    <n v="2"/>
    <n v="1"/>
    <n v="1"/>
    <n v="2"/>
    <n v="8"/>
    <n v="0"/>
    <n v="0"/>
    <n v="0"/>
    <n v="0"/>
    <n v="0"/>
    <n v="0"/>
    <n v="0"/>
  </r>
  <r>
    <n v="1773"/>
    <n v="116813"/>
    <n v="0"/>
    <n v="0"/>
    <x v="46"/>
    <s v="Single"/>
    <s v="Graduate"/>
    <s v="12/24/2019"/>
    <s v="Texas"/>
    <n v="49"/>
    <n v="28"/>
    <n v="56"/>
    <n v="76"/>
    <n v="83"/>
    <n v="14"/>
    <n v="90"/>
    <n v="167"/>
    <n v="1"/>
    <n v="2"/>
    <n v="0"/>
    <n v="3"/>
    <n v="7"/>
    <n v="0"/>
    <n v="0"/>
    <n v="0"/>
    <n v="0"/>
    <n v="1"/>
    <n v="0"/>
    <n v="0"/>
  </r>
  <r>
    <n v="1010"/>
    <n v="105648"/>
    <n v="1"/>
    <n v="1"/>
    <x v="46"/>
    <s v="Together"/>
    <s v="PhD"/>
    <s v="8/17/2020"/>
    <s v="New York"/>
    <n v="68"/>
    <n v="524"/>
    <n v="0"/>
    <n v="112"/>
    <n v="19"/>
    <n v="19"/>
    <n v="243"/>
    <n v="430"/>
    <n v="1"/>
    <n v="1"/>
    <n v="0"/>
    <n v="0"/>
    <n v="20"/>
    <n v="0"/>
    <n v="0"/>
    <n v="0"/>
    <n v="0"/>
    <n v="1"/>
    <n v="0"/>
    <n v="0"/>
  </r>
  <r>
    <n v="1538"/>
    <n v="181698"/>
    <n v="0"/>
    <n v="0"/>
    <x v="47"/>
    <s v="Married"/>
    <s v="Master"/>
    <s v="4/12/2020"/>
    <s v="New York"/>
    <n v="4"/>
    <n v="398"/>
    <n v="62"/>
    <n v="1156"/>
    <n v="247"/>
    <n v="274"/>
    <n v="105"/>
    <n v="2033"/>
    <n v="1"/>
    <n v="3"/>
    <n v="8"/>
    <n v="13"/>
    <n v="1"/>
    <n v="0"/>
    <n v="1"/>
    <n v="0"/>
    <n v="0"/>
    <n v="0"/>
    <n v="0"/>
    <n v="0"/>
  </r>
  <r>
    <n v="2724"/>
    <n v="180360"/>
    <n v="0"/>
    <n v="0"/>
    <x v="47"/>
    <s v="Married"/>
    <s v="PhD"/>
    <s v="8/8/2019"/>
    <s v="Florida"/>
    <n v="56"/>
    <n v="3351"/>
    <n v="193"/>
    <n v="1019"/>
    <n v="251"/>
    <n v="97"/>
    <n v="97"/>
    <n v="4814"/>
    <n v="2"/>
    <n v="4"/>
    <n v="4"/>
    <n v="5"/>
    <n v="2"/>
    <n v="0"/>
    <n v="0"/>
    <n v="1"/>
    <n v="0"/>
    <n v="0"/>
    <n v="1"/>
    <n v="1"/>
  </r>
  <r>
    <n v="1018"/>
    <n v="176995"/>
    <n v="0"/>
    <n v="1"/>
    <x v="47"/>
    <s v="Married"/>
    <s v="Master"/>
    <s v="9/2/2019"/>
    <s v="Other"/>
    <n v="91"/>
    <n v="2326"/>
    <n v="184"/>
    <n v="1145"/>
    <n v="0"/>
    <n v="37"/>
    <n v="405"/>
    <n v="3287"/>
    <n v="2"/>
    <n v="11"/>
    <n v="4"/>
    <n v="9"/>
    <n v="5"/>
    <n v="0"/>
    <n v="0"/>
    <n v="1"/>
    <n v="0"/>
    <n v="0"/>
    <n v="0"/>
    <n v="0"/>
  </r>
  <r>
    <n v="3131"/>
    <n v="174859"/>
    <n v="0"/>
    <n v="0"/>
    <x v="47"/>
    <s v="Widow"/>
    <s v="Graduate"/>
    <s v="11/8/2019"/>
    <s v="California"/>
    <n v="63"/>
    <n v="1331"/>
    <n v="171"/>
    <n v="1434"/>
    <n v="311"/>
    <n v="238"/>
    <n v="171"/>
    <n v="3315"/>
    <n v="1"/>
    <n v="6"/>
    <n v="5"/>
    <n v="11"/>
    <n v="3"/>
    <n v="0"/>
    <n v="0"/>
    <n v="1"/>
    <n v="0"/>
    <n v="0"/>
    <n v="0"/>
    <n v="0"/>
  </r>
  <r>
    <n v="2943"/>
    <n v="172643"/>
    <n v="0"/>
    <n v="0"/>
    <x v="47"/>
    <s v="Widow"/>
    <s v="Graduate"/>
    <s v="8/4/2019"/>
    <s v="Texas"/>
    <n v="60"/>
    <n v="1250"/>
    <n v="190"/>
    <n v="1314"/>
    <n v="292"/>
    <n v="223"/>
    <n v="126"/>
    <n v="3144"/>
    <n v="1"/>
    <n v="3"/>
    <n v="10"/>
    <n v="7"/>
    <n v="2"/>
    <n v="0"/>
    <n v="1"/>
    <n v="1"/>
    <n v="0"/>
    <n v="0"/>
    <n v="0"/>
    <n v="0"/>
  </r>
  <r>
    <n v="1605"/>
    <n v="172298"/>
    <n v="0"/>
    <n v="0"/>
    <x v="47"/>
    <s v="Widow"/>
    <s v="Graduate"/>
    <s v="8/14/2020"/>
    <s v="Texas"/>
    <n v="52"/>
    <n v="1489"/>
    <n v="83"/>
    <n v="403"/>
    <n v="138"/>
    <n v="41"/>
    <n v="83"/>
    <n v="2071"/>
    <n v="1"/>
    <n v="4"/>
    <n v="3"/>
    <n v="6"/>
    <n v="1"/>
    <n v="0"/>
    <n v="0"/>
    <n v="0"/>
    <n v="0"/>
    <n v="0"/>
    <n v="1"/>
    <n v="1"/>
  </r>
  <r>
    <n v="1716"/>
    <n v="172025"/>
    <n v="0"/>
    <n v="0"/>
    <x v="47"/>
    <s v="Married"/>
    <s v="Graduate"/>
    <s v="10/3/2020"/>
    <s v="Florida"/>
    <n v="46"/>
    <n v="2310"/>
    <n v="0"/>
    <n v="1474"/>
    <n v="103"/>
    <n v="119"/>
    <n v="0"/>
    <n v="4005"/>
    <n v="1"/>
    <n v="4"/>
    <n v="8"/>
    <n v="13"/>
    <n v="2"/>
    <n v="0"/>
    <n v="1"/>
    <n v="1"/>
    <n v="0"/>
    <n v="0"/>
    <n v="1"/>
    <n v="1"/>
  </r>
  <r>
    <n v="1445"/>
    <n v="170165"/>
    <n v="0"/>
    <n v="0"/>
    <x v="47"/>
    <s v="Widow"/>
    <s v="Graduate"/>
    <s v="2/27/2020"/>
    <s v="California"/>
    <n v="60"/>
    <n v="390"/>
    <n v="0"/>
    <n v="614"/>
    <n v="483"/>
    <n v="463"/>
    <n v="296"/>
    <n v="1654"/>
    <n v="1"/>
    <n v="3"/>
    <n v="7"/>
    <n v="11"/>
    <n v="1"/>
    <n v="0"/>
    <n v="0"/>
    <n v="0"/>
    <n v="0"/>
    <n v="0"/>
    <n v="0"/>
    <n v="0"/>
  </r>
  <r>
    <n v="1145"/>
    <n v="169372"/>
    <n v="0"/>
    <n v="0"/>
    <x v="47"/>
    <s v="Together"/>
    <s v="Graduate"/>
    <s v="7/27/2019"/>
    <s v="California"/>
    <n v="10"/>
    <n v="2434"/>
    <n v="63"/>
    <n v="657"/>
    <n v="83"/>
    <n v="32"/>
    <n v="103"/>
    <n v="3167"/>
    <n v="1"/>
    <n v="10"/>
    <n v="4"/>
    <n v="6"/>
    <n v="4"/>
    <n v="0"/>
    <n v="1"/>
    <n v="0"/>
    <n v="0"/>
    <n v="0"/>
    <n v="1"/>
    <n v="1"/>
  </r>
  <r>
    <n v="2033"/>
    <n v="169098"/>
    <n v="0"/>
    <n v="0"/>
    <x v="47"/>
    <s v="Married"/>
    <s v="PhD"/>
    <s v="7/24/2019"/>
    <s v="California"/>
    <n v="82"/>
    <n v="3218"/>
    <n v="54"/>
    <n v="1909"/>
    <n v="355"/>
    <n v="0"/>
    <n v="436"/>
    <n v="5100"/>
    <n v="1"/>
    <n v="7"/>
    <n v="8"/>
    <n v="9"/>
    <n v="5"/>
    <n v="0"/>
    <n v="0"/>
    <n v="0"/>
    <n v="0"/>
    <n v="0"/>
    <n v="0"/>
    <n v="0"/>
  </r>
  <r>
    <n v="1482"/>
    <n v="167911"/>
    <n v="0"/>
    <n v="1"/>
    <x v="47"/>
    <s v="Together"/>
    <s v="PhD"/>
    <s v="10/26/2020"/>
    <s v="Florida"/>
    <n v="63"/>
    <n v="1308"/>
    <n v="0"/>
    <n v="880"/>
    <n v="156"/>
    <n v="69"/>
    <n v="0"/>
    <n v="2413"/>
    <n v="3"/>
    <n v="6"/>
    <n v="7"/>
    <n v="11"/>
    <n v="3"/>
    <n v="0"/>
    <n v="0"/>
    <n v="0"/>
    <n v="0"/>
    <n v="0"/>
    <n v="0"/>
    <n v="0"/>
  </r>
  <r>
    <n v="3070"/>
    <n v="167911"/>
    <n v="0"/>
    <n v="1"/>
    <x v="47"/>
    <s v="Together"/>
    <s v="PhD"/>
    <s v="10/26/2020"/>
    <s v="Other"/>
    <n v="63"/>
    <n v="1308"/>
    <n v="0"/>
    <n v="880"/>
    <n v="156"/>
    <n v="69"/>
    <n v="0"/>
    <n v="2413"/>
    <n v="3"/>
    <n v="6"/>
    <n v="7"/>
    <n v="11"/>
    <n v="3"/>
    <n v="0"/>
    <n v="0"/>
    <n v="0"/>
    <n v="0"/>
    <n v="0"/>
    <n v="0"/>
    <n v="0"/>
  </r>
  <r>
    <n v="2041"/>
    <n v="162845"/>
    <n v="1"/>
    <n v="1"/>
    <x v="47"/>
    <s v="Married"/>
    <s v="Master"/>
    <s v="3/8/2019"/>
    <s v="Illinois"/>
    <n v="3"/>
    <n v="2848"/>
    <n v="0"/>
    <n v="117"/>
    <n v="0"/>
    <n v="0"/>
    <n v="88"/>
    <n v="2876"/>
    <n v="11"/>
    <n v="3"/>
    <n v="4"/>
    <n v="10"/>
    <n v="8"/>
    <n v="0"/>
    <n v="0"/>
    <n v="0"/>
    <n v="0"/>
    <n v="0"/>
    <n v="1"/>
    <n v="0"/>
  </r>
  <r>
    <n v="2322"/>
    <n v="162845"/>
    <n v="1"/>
    <n v="1"/>
    <x v="47"/>
    <s v="Married"/>
    <s v="Master"/>
    <s v="3/8/2019"/>
    <s v="Florida"/>
    <n v="3"/>
    <n v="2848"/>
    <n v="0"/>
    <n v="117"/>
    <n v="0"/>
    <n v="0"/>
    <n v="88"/>
    <n v="2876"/>
    <n v="11"/>
    <n v="3"/>
    <n v="4"/>
    <n v="10"/>
    <n v="8"/>
    <n v="0"/>
    <n v="1"/>
    <n v="0"/>
    <n v="0"/>
    <n v="0"/>
    <n v="1"/>
    <n v="0"/>
  </r>
  <r>
    <n v="1022"/>
    <n v="158607"/>
    <n v="0"/>
    <n v="1"/>
    <x v="47"/>
    <s v="Married"/>
    <s v="PhD"/>
    <s v="5/30/2019"/>
    <s v="New York"/>
    <n v="63"/>
    <n v="2346"/>
    <n v="0"/>
    <n v="233"/>
    <n v="0"/>
    <n v="0"/>
    <n v="51"/>
    <n v="2528"/>
    <n v="3"/>
    <n v="2"/>
    <n v="3"/>
    <n v="9"/>
    <n v="8"/>
    <n v="0"/>
    <n v="0"/>
    <n v="0"/>
    <n v="0"/>
    <n v="0"/>
    <n v="1"/>
    <n v="0"/>
  </r>
  <r>
    <n v="3043"/>
    <n v="154591"/>
    <n v="0"/>
    <n v="1"/>
    <x v="47"/>
    <s v="Together"/>
    <s v="Graduate"/>
    <s v="1/10/2020"/>
    <s v="Illinois"/>
    <n v="63"/>
    <n v="1065"/>
    <n v="11"/>
    <n v="266"/>
    <n v="34"/>
    <n v="25"/>
    <n v="68"/>
    <n v="1334"/>
    <n v="3"/>
    <n v="6"/>
    <n v="2"/>
    <n v="8"/>
    <n v="5"/>
    <n v="0"/>
    <n v="0"/>
    <n v="0"/>
    <n v="0"/>
    <n v="0"/>
    <n v="0"/>
    <n v="0"/>
  </r>
  <r>
    <n v="2912"/>
    <n v="154356"/>
    <n v="0"/>
    <n v="1"/>
    <x v="47"/>
    <s v="Widow"/>
    <s v="PhD"/>
    <s v="4/26/2019"/>
    <s v="New York"/>
    <n v="62"/>
    <n v="2016"/>
    <n v="43"/>
    <n v="85"/>
    <n v="57"/>
    <n v="0"/>
    <n v="0"/>
    <n v="2201"/>
    <n v="3"/>
    <n v="11"/>
    <n v="2"/>
    <n v="8"/>
    <n v="8"/>
    <n v="0"/>
    <n v="1"/>
    <n v="0"/>
    <n v="0"/>
    <n v="0"/>
    <n v="0"/>
    <n v="0"/>
  </r>
  <r>
    <n v="2728"/>
    <n v="151569"/>
    <n v="0"/>
    <n v="1"/>
    <x v="47"/>
    <s v="Widow"/>
    <s v="PhD"/>
    <s v="7/20/2019"/>
    <s v="Other"/>
    <n v="39"/>
    <n v="1117"/>
    <n v="0"/>
    <n v="138"/>
    <n v="18"/>
    <n v="0"/>
    <n v="100"/>
    <n v="1173"/>
    <n v="4"/>
    <n v="7"/>
    <n v="1"/>
    <n v="7"/>
    <n v="8"/>
    <n v="0"/>
    <n v="1"/>
    <n v="0"/>
    <n v="0"/>
    <n v="0"/>
    <n v="1"/>
    <n v="0"/>
  </r>
  <r>
    <n v="1421"/>
    <n v="151529"/>
    <n v="0"/>
    <n v="1"/>
    <x v="47"/>
    <s v="Widow"/>
    <s v="Master"/>
    <s v="2/12/2020"/>
    <s v="California"/>
    <n v="14"/>
    <n v="1176"/>
    <n v="12"/>
    <n v="103"/>
    <n v="18"/>
    <n v="0"/>
    <n v="65"/>
    <n v="1244"/>
    <n v="2"/>
    <n v="9"/>
    <n v="1"/>
    <n v="5"/>
    <n v="8"/>
    <n v="0"/>
    <n v="0"/>
    <n v="0"/>
    <n v="0"/>
    <n v="0"/>
    <n v="0"/>
    <n v="0"/>
  </r>
  <r>
    <n v="3003"/>
    <n v="149912"/>
    <n v="0"/>
    <n v="1"/>
    <x v="47"/>
    <s v="Together"/>
    <s v="Master"/>
    <s v="2/12/2019"/>
    <s v="Texas"/>
    <n v="5"/>
    <n v="1562"/>
    <n v="24"/>
    <n v="670"/>
    <n v="96"/>
    <n v="147"/>
    <n v="126"/>
    <n v="2373"/>
    <n v="4"/>
    <n v="10"/>
    <n v="5"/>
    <n v="7"/>
    <n v="8"/>
    <n v="0"/>
    <n v="1"/>
    <n v="0"/>
    <n v="0"/>
    <n v="1"/>
    <n v="0"/>
    <n v="0"/>
  </r>
  <r>
    <n v="3063"/>
    <n v="149912"/>
    <n v="0"/>
    <n v="1"/>
    <x v="47"/>
    <s v="Together"/>
    <s v="Master"/>
    <s v="2/12/2019"/>
    <s v="Texas"/>
    <n v="5"/>
    <n v="1562"/>
    <n v="24"/>
    <n v="670"/>
    <n v="96"/>
    <n v="147"/>
    <n v="126"/>
    <n v="2373"/>
    <n v="4"/>
    <n v="10"/>
    <n v="5"/>
    <n v="7"/>
    <n v="8"/>
    <n v="0"/>
    <n v="1"/>
    <n v="0"/>
    <n v="0"/>
    <n v="1"/>
    <n v="0"/>
    <n v="0"/>
  </r>
  <r>
    <n v="2870"/>
    <n v="149160"/>
    <n v="0"/>
    <n v="1"/>
    <x v="47"/>
    <s v="Divorced"/>
    <s v="Graduate"/>
    <s v="3/26/2020"/>
    <s v="New York"/>
    <n v="29"/>
    <n v="370"/>
    <n v="64"/>
    <n v="130"/>
    <n v="76"/>
    <n v="30"/>
    <n v="46"/>
    <n v="625"/>
    <n v="2"/>
    <n v="3"/>
    <n v="1"/>
    <n v="6"/>
    <n v="6"/>
    <n v="0"/>
    <n v="0"/>
    <n v="0"/>
    <n v="0"/>
    <n v="0"/>
    <n v="0"/>
    <n v="0"/>
  </r>
  <r>
    <n v="3077"/>
    <n v="148150"/>
    <n v="0"/>
    <n v="1"/>
    <x v="47"/>
    <s v="Married"/>
    <s v="Master"/>
    <s v="11/13/2019"/>
    <s v="California"/>
    <n v="24"/>
    <n v="532"/>
    <n v="6"/>
    <n v="120"/>
    <n v="9"/>
    <n v="6"/>
    <n v="145"/>
    <n v="529"/>
    <n v="3"/>
    <n v="5"/>
    <n v="1"/>
    <n v="4"/>
    <n v="7"/>
    <n v="0"/>
    <n v="0"/>
    <n v="0"/>
    <n v="0"/>
    <n v="0"/>
    <n v="0"/>
    <n v="0"/>
  </r>
  <r>
    <n v="1675"/>
    <n v="147570"/>
    <n v="1"/>
    <n v="1"/>
    <x v="47"/>
    <s v="Widow"/>
    <s v="Master"/>
    <s v="11/3/2019"/>
    <s v="Illinois"/>
    <n v="3"/>
    <n v="208"/>
    <n v="3"/>
    <n v="62"/>
    <n v="0"/>
    <n v="6"/>
    <n v="96"/>
    <n v="183"/>
    <n v="3"/>
    <n v="2"/>
    <n v="2"/>
    <n v="2"/>
    <n v="7"/>
    <n v="0"/>
    <n v="1"/>
    <n v="0"/>
    <n v="0"/>
    <n v="0"/>
    <n v="0"/>
    <n v="0"/>
  </r>
  <r>
    <n v="1372"/>
    <n v="138823"/>
    <n v="0"/>
    <n v="1"/>
    <x v="47"/>
    <s v="Together"/>
    <s v="Graduate"/>
    <s v="2/4/2019"/>
    <s v="Other"/>
    <n v="56"/>
    <n v="250"/>
    <n v="0"/>
    <n v="39"/>
    <n v="7"/>
    <n v="29"/>
    <n v="82"/>
    <n v="243"/>
    <n v="1"/>
    <n v="2"/>
    <n v="1"/>
    <n v="3"/>
    <n v="6"/>
    <n v="0"/>
    <n v="0"/>
    <n v="0"/>
    <n v="0"/>
    <n v="0"/>
    <n v="0"/>
    <n v="0"/>
  </r>
  <r>
    <n v="2417"/>
    <n v="136408"/>
    <n v="1"/>
    <n v="1"/>
    <x v="47"/>
    <s v="Married"/>
    <s v="Master"/>
    <s v="2/26/2020"/>
    <s v="California"/>
    <n v="11"/>
    <n v="34"/>
    <n v="4"/>
    <n v="15"/>
    <n v="11"/>
    <n v="7"/>
    <n v="11"/>
    <n v="60"/>
    <n v="1"/>
    <n v="1"/>
    <n v="0"/>
    <n v="2"/>
    <n v="6"/>
    <n v="0"/>
    <n v="0"/>
    <n v="0"/>
    <n v="0"/>
    <n v="0"/>
    <n v="0"/>
    <n v="0"/>
  </r>
  <r>
    <n v="1711"/>
    <n v="135946"/>
    <n v="1"/>
    <n v="1"/>
    <x v="47"/>
    <s v="Divorced"/>
    <s v="PhD"/>
    <s v="3/3/2020"/>
    <s v="Illinois"/>
    <n v="24"/>
    <n v="30"/>
    <n v="0"/>
    <n v="11"/>
    <n v="0"/>
    <n v="0"/>
    <n v="0"/>
    <n v="42"/>
    <n v="1"/>
    <n v="0"/>
    <n v="0"/>
    <n v="3"/>
    <n v="5"/>
    <n v="0"/>
    <n v="0"/>
    <n v="0"/>
    <n v="0"/>
    <n v="0"/>
    <n v="0"/>
    <n v="0"/>
  </r>
  <r>
    <n v="1276"/>
    <n v="135416"/>
    <n v="0"/>
    <n v="0"/>
    <x v="47"/>
    <s v="Divorced"/>
    <s v="Master"/>
    <s v="11/18/2019"/>
    <s v="Other"/>
    <n v="62"/>
    <n v="948"/>
    <n v="11"/>
    <n v="310"/>
    <n v="15"/>
    <n v="11"/>
    <n v="195"/>
    <n v="1101"/>
    <n v="3"/>
    <n v="7"/>
    <n v="1"/>
    <n v="5"/>
    <n v="8"/>
    <n v="0"/>
    <n v="0"/>
    <n v="0"/>
    <n v="0"/>
    <n v="0"/>
    <n v="0"/>
    <n v="0"/>
  </r>
  <r>
    <n v="1678"/>
    <n v="126518"/>
    <n v="1"/>
    <n v="1"/>
    <x v="47"/>
    <s v="Single"/>
    <s v="PhD"/>
    <s v="9/13/2019"/>
    <s v="Other"/>
    <n v="33"/>
    <n v="95"/>
    <n v="5"/>
    <n v="134"/>
    <n v="14"/>
    <n v="14"/>
    <n v="10"/>
    <n v="253"/>
    <n v="3"/>
    <n v="2"/>
    <n v="0"/>
    <n v="3"/>
    <n v="8"/>
    <n v="0"/>
    <n v="1"/>
    <n v="0"/>
    <n v="0"/>
    <n v="0"/>
    <n v="0"/>
    <n v="0"/>
  </r>
  <r>
    <n v="2362"/>
    <n v="192344"/>
    <n v="0"/>
    <n v="0"/>
    <x v="48"/>
    <s v="Married"/>
    <s v="Graduate"/>
    <s v="6/21/2020"/>
    <s v="Other"/>
    <n v="9"/>
    <n v="2066"/>
    <n v="50"/>
    <n v="1446"/>
    <n v="106"/>
    <n v="40"/>
    <n v="248"/>
    <n v="3460"/>
    <n v="0"/>
    <n v="5"/>
    <n v="10"/>
    <n v="5"/>
    <n v="1"/>
    <n v="0"/>
    <n v="0"/>
    <n v="0"/>
    <n v="0"/>
    <n v="1"/>
    <n v="0"/>
    <n v="1"/>
  </r>
  <r>
    <n v="2313"/>
    <n v="190842"/>
    <n v="0"/>
    <n v="0"/>
    <x v="48"/>
    <s v="Single"/>
    <s v="Graduate"/>
    <s v="1/3/2020"/>
    <s v="Texas"/>
    <n v="57"/>
    <n v="1626"/>
    <n v="147"/>
    <n v="248"/>
    <n v="382"/>
    <n v="393"/>
    <n v="195"/>
    <n v="2601"/>
    <n v="1"/>
    <n v="4"/>
    <n v="9"/>
    <n v="13"/>
    <n v="1"/>
    <n v="0"/>
    <n v="0"/>
    <n v="0"/>
    <n v="0"/>
    <n v="0"/>
    <n v="0"/>
    <n v="0"/>
  </r>
  <r>
    <n v="1165"/>
    <n v="183837"/>
    <n v="0"/>
    <n v="0"/>
    <x v="48"/>
    <s v="Married"/>
    <s v="PhD"/>
    <s v="5/23/2019"/>
    <s v="Illinois"/>
    <n v="79"/>
    <n v="1857"/>
    <n v="145"/>
    <n v="261"/>
    <n v="189"/>
    <n v="195"/>
    <n v="243"/>
    <n v="2403"/>
    <n v="1"/>
    <n v="9"/>
    <n v="10"/>
    <n v="5"/>
    <n v="4"/>
    <n v="0"/>
    <n v="1"/>
    <n v="1"/>
    <n v="0"/>
    <n v="0"/>
    <n v="1"/>
    <n v="0"/>
  </r>
  <r>
    <n v="1205"/>
    <n v="183790"/>
    <n v="0"/>
    <n v="0"/>
    <x v="48"/>
    <s v="Married"/>
    <s v="Master"/>
    <s v="4/21/2020"/>
    <s v="California"/>
    <n v="81"/>
    <n v="2360"/>
    <n v="35"/>
    <n v="915"/>
    <n v="92"/>
    <n v="105"/>
    <n v="35"/>
    <n v="3472"/>
    <n v="1"/>
    <n v="8"/>
    <n v="10"/>
    <n v="6"/>
    <n v="3"/>
    <n v="0"/>
    <n v="0"/>
    <n v="0"/>
    <n v="0"/>
    <n v="0"/>
    <n v="1"/>
    <n v="1"/>
  </r>
  <r>
    <n v="2502"/>
    <n v="182032"/>
    <n v="0"/>
    <n v="0"/>
    <x v="48"/>
    <s v="Widow"/>
    <s v="PhD"/>
    <s v="9/9/2020"/>
    <s v="Florida"/>
    <n v="54"/>
    <n v="737"/>
    <n v="430"/>
    <n v="837"/>
    <n v="331"/>
    <n v="277"/>
    <n v="126"/>
    <n v="2485"/>
    <n v="0"/>
    <n v="4"/>
    <n v="6"/>
    <n v="7"/>
    <n v="1"/>
    <n v="0"/>
    <n v="0"/>
    <n v="0"/>
    <n v="0"/>
    <n v="0"/>
    <n v="0"/>
    <n v="0"/>
  </r>
  <r>
    <n v="3185"/>
    <n v="182032"/>
    <n v="0"/>
    <n v="0"/>
    <x v="48"/>
    <s v="Widow"/>
    <s v="PhD"/>
    <s v="9/9/2020"/>
    <s v="California"/>
    <n v="54"/>
    <n v="737"/>
    <n v="430"/>
    <n v="837"/>
    <n v="331"/>
    <n v="277"/>
    <n v="126"/>
    <n v="2485"/>
    <n v="0"/>
    <n v="4"/>
    <n v="6"/>
    <n v="7"/>
    <n v="1"/>
    <n v="0"/>
    <n v="0"/>
    <n v="0"/>
    <n v="0"/>
    <n v="0"/>
    <n v="0"/>
    <n v="0"/>
  </r>
  <r>
    <n v="2419"/>
    <n v="178427"/>
    <n v="0"/>
    <n v="0"/>
    <x v="48"/>
    <s v="Widow"/>
    <s v="Master"/>
    <s v="3/31/2019"/>
    <s v="Illinois"/>
    <n v="36"/>
    <n v="2211"/>
    <n v="43"/>
    <n v="1354"/>
    <n v="410"/>
    <n v="59"/>
    <n v="314"/>
    <n v="3763"/>
    <n v="3"/>
    <n v="3"/>
    <n v="7"/>
    <n v="10"/>
    <n v="3"/>
    <n v="0"/>
    <n v="1"/>
    <n v="1"/>
    <n v="0"/>
    <n v="0"/>
    <n v="0"/>
    <n v="0"/>
  </r>
  <r>
    <n v="2149"/>
    <n v="177142"/>
    <n v="0"/>
    <n v="0"/>
    <x v="48"/>
    <s v="Married"/>
    <s v="Graduate"/>
    <s v="11/3/2019"/>
    <s v="Illinois"/>
    <n v="54"/>
    <n v="1093"/>
    <n v="172"/>
    <n v="372"/>
    <n v="67"/>
    <n v="347"/>
    <n v="223"/>
    <n v="1828"/>
    <n v="1"/>
    <n v="4"/>
    <n v="4"/>
    <n v="8"/>
    <n v="2"/>
    <n v="0"/>
    <n v="0"/>
    <n v="0"/>
    <n v="0"/>
    <n v="0"/>
    <n v="0"/>
    <n v="0"/>
  </r>
  <r>
    <n v="1624"/>
    <n v="176140"/>
    <n v="0"/>
    <n v="0"/>
    <x v="48"/>
    <s v="Together"/>
    <s v="PhD"/>
    <s v="10/17/2020"/>
    <s v="Other"/>
    <n v="57"/>
    <n v="1356"/>
    <n v="153"/>
    <n v="1511"/>
    <n v="39"/>
    <n v="0"/>
    <n v="60"/>
    <n v="2998"/>
    <n v="1"/>
    <n v="5"/>
    <n v="9"/>
    <n v="6"/>
    <n v="2"/>
    <n v="0"/>
    <n v="0"/>
    <n v="0"/>
    <n v="0"/>
    <n v="0"/>
    <n v="0"/>
    <n v="0"/>
  </r>
  <r>
    <n v="1060"/>
    <n v="170666"/>
    <n v="0"/>
    <n v="0"/>
    <x v="48"/>
    <s v="Together"/>
    <s v="Graduate"/>
    <s v="5/12/2020"/>
    <s v="Other"/>
    <n v="29"/>
    <n v="961"/>
    <n v="97"/>
    <n v="886"/>
    <n v="287"/>
    <n v="295"/>
    <n v="72"/>
    <n v="2454"/>
    <n v="1"/>
    <n v="7"/>
    <n v="4"/>
    <n v="4"/>
    <n v="4"/>
    <n v="0"/>
    <n v="0"/>
    <n v="0"/>
    <n v="0"/>
    <n v="0"/>
    <n v="0"/>
    <n v="0"/>
  </r>
  <r>
    <n v="1689"/>
    <n v="166375"/>
    <n v="0"/>
    <n v="1"/>
    <x v="48"/>
    <s v="Together"/>
    <s v="PhD"/>
    <s v="4/27/2020"/>
    <s v="Texas"/>
    <n v="96"/>
    <n v="1785"/>
    <n v="0"/>
    <n v="113"/>
    <n v="0"/>
    <n v="0"/>
    <n v="479"/>
    <n v="1419"/>
    <n v="3"/>
    <n v="2"/>
    <n v="4"/>
    <n v="5"/>
    <n v="7"/>
    <n v="0"/>
    <n v="0"/>
    <n v="0"/>
    <n v="0"/>
    <n v="1"/>
    <n v="0"/>
    <n v="0"/>
  </r>
  <r>
    <n v="1587"/>
    <n v="161467"/>
    <n v="0"/>
    <n v="2"/>
    <x v="48"/>
    <s v="Married"/>
    <s v="PhD"/>
    <s v="5/16/2019"/>
    <s v="Texas"/>
    <n v="69"/>
    <n v="1077"/>
    <n v="42"/>
    <n v="299"/>
    <n v="0"/>
    <n v="13"/>
    <n v="129"/>
    <n v="1303"/>
    <n v="3"/>
    <n v="5"/>
    <n v="2"/>
    <n v="10"/>
    <n v="5"/>
    <n v="0"/>
    <n v="0"/>
    <n v="0"/>
    <n v="0"/>
    <n v="0"/>
    <n v="0"/>
    <n v="0"/>
  </r>
  <r>
    <n v="2848"/>
    <n v="160200"/>
    <n v="0"/>
    <n v="1"/>
    <x v="48"/>
    <s v="Single"/>
    <s v="PhD"/>
    <s v="6/9/2019"/>
    <s v="Other"/>
    <n v="3"/>
    <n v="1336"/>
    <n v="51"/>
    <n v="351"/>
    <n v="0"/>
    <n v="16"/>
    <n v="69"/>
    <n v="1684"/>
    <n v="6"/>
    <n v="6"/>
    <n v="2"/>
    <n v="11"/>
    <n v="6"/>
    <n v="0"/>
    <n v="0"/>
    <n v="0"/>
    <n v="0"/>
    <n v="0"/>
    <n v="0"/>
    <n v="0"/>
  </r>
  <r>
    <n v="1425"/>
    <n v="156223"/>
    <n v="0"/>
    <n v="1"/>
    <x v="48"/>
    <s v="Married"/>
    <s v="PhD"/>
    <s v="5/26/2020"/>
    <s v="Texas"/>
    <n v="72"/>
    <n v="214"/>
    <n v="78"/>
    <n v="86"/>
    <n v="44"/>
    <n v="0"/>
    <n v="11"/>
    <n v="411"/>
    <n v="2"/>
    <n v="2"/>
    <n v="1"/>
    <n v="5"/>
    <n v="4"/>
    <n v="0"/>
    <n v="0"/>
    <n v="0"/>
    <n v="0"/>
    <n v="0"/>
    <n v="0"/>
    <n v="0"/>
  </r>
  <r>
    <n v="2393"/>
    <n v="151315"/>
    <n v="0"/>
    <n v="0"/>
    <x v="48"/>
    <s v="Together"/>
    <s v="Graduate"/>
    <s v="7/30/2020"/>
    <s v="California"/>
    <n v="45"/>
    <n v="201"/>
    <n v="83"/>
    <n v="115"/>
    <n v="47"/>
    <n v="88"/>
    <n v="121"/>
    <n v="413"/>
    <n v="1"/>
    <n v="2"/>
    <n v="2"/>
    <n v="5"/>
    <n v="2"/>
    <n v="0"/>
    <n v="0"/>
    <n v="0"/>
    <n v="0"/>
    <n v="0"/>
    <n v="0"/>
    <n v="0"/>
  </r>
  <r>
    <n v="1343"/>
    <n v="146681"/>
    <n v="0"/>
    <n v="2"/>
    <x v="48"/>
    <s v="Together"/>
    <s v="PhD"/>
    <s v="3/14/2020"/>
    <s v="California"/>
    <n v="52"/>
    <n v="845"/>
    <n v="47"/>
    <n v="217"/>
    <n v="47"/>
    <n v="60"/>
    <n v="119"/>
    <n v="1097"/>
    <n v="2"/>
    <n v="4"/>
    <n v="6"/>
    <n v="4"/>
    <n v="5"/>
    <n v="0"/>
    <n v="0"/>
    <n v="0"/>
    <n v="0"/>
    <n v="0"/>
    <n v="0"/>
    <n v="0"/>
  </r>
  <r>
    <n v="2610"/>
    <n v="146681"/>
    <n v="0"/>
    <n v="2"/>
    <x v="48"/>
    <s v="Together"/>
    <s v="PhD"/>
    <s v="3/14/2020"/>
    <s v="Florida"/>
    <n v="52"/>
    <n v="845"/>
    <n v="47"/>
    <n v="217"/>
    <n v="47"/>
    <n v="60"/>
    <n v="119"/>
    <n v="1097"/>
    <n v="2"/>
    <n v="4"/>
    <n v="6"/>
    <n v="4"/>
    <n v="5"/>
    <n v="0"/>
    <n v="0"/>
    <n v="0"/>
    <n v="0"/>
    <n v="0"/>
    <n v="0"/>
    <n v="0"/>
  </r>
  <r>
    <n v="2249"/>
    <n v="145579"/>
    <n v="0"/>
    <n v="1"/>
    <x v="48"/>
    <s v="Married"/>
    <s v="PhD"/>
    <s v="1/25/2020"/>
    <s v="California"/>
    <n v="10"/>
    <n v="463"/>
    <n v="3"/>
    <n v="105"/>
    <n v="6"/>
    <n v="3"/>
    <n v="3"/>
    <n v="578"/>
    <n v="1"/>
    <n v="4"/>
    <n v="1"/>
    <n v="4"/>
    <n v="6"/>
    <n v="0"/>
    <n v="0"/>
    <n v="0"/>
    <n v="0"/>
    <n v="0"/>
    <n v="0"/>
    <n v="0"/>
  </r>
  <r>
    <n v="1714"/>
    <n v="145072"/>
    <n v="1"/>
    <n v="2"/>
    <x v="48"/>
    <s v="Divorced"/>
    <s v="PhD"/>
    <s v="3/22/2020"/>
    <s v="Other"/>
    <n v="74"/>
    <n v="463"/>
    <n v="6"/>
    <n v="319"/>
    <n v="23"/>
    <n v="6"/>
    <n v="97"/>
    <n v="721"/>
    <n v="5"/>
    <n v="6"/>
    <n v="1"/>
    <n v="4"/>
    <n v="8"/>
    <n v="0"/>
    <n v="0"/>
    <n v="0"/>
    <n v="0"/>
    <n v="0"/>
    <n v="0"/>
    <n v="0"/>
  </r>
  <r>
    <n v="3039"/>
    <n v="142192"/>
    <n v="0"/>
    <n v="0"/>
    <x v="48"/>
    <s v="Married"/>
    <s v="Graduate"/>
    <s v="2/11/2020"/>
    <s v="Texas"/>
    <n v="40"/>
    <n v="135"/>
    <n v="51"/>
    <n v="51"/>
    <n v="57"/>
    <n v="20"/>
    <n v="24"/>
    <n v="290"/>
    <n v="1"/>
    <n v="2"/>
    <n v="1"/>
    <n v="3"/>
    <n v="4"/>
    <n v="0"/>
    <n v="0"/>
    <n v="0"/>
    <n v="0"/>
    <n v="0"/>
    <n v="0"/>
    <n v="0"/>
  </r>
  <r>
    <n v="1904"/>
    <n v="134469"/>
    <n v="1"/>
    <n v="1"/>
    <x v="48"/>
    <s v="Married"/>
    <s v="PhD"/>
    <s v="10/8/2020"/>
    <s v="New York"/>
    <n v="58"/>
    <n v="74"/>
    <n v="23"/>
    <n v="78"/>
    <n v="0"/>
    <n v="20"/>
    <n v="47"/>
    <n v="148"/>
    <n v="3"/>
    <n v="1"/>
    <n v="1"/>
    <n v="4"/>
    <n v="4"/>
    <n v="0"/>
    <n v="0"/>
    <n v="0"/>
    <n v="0"/>
    <n v="0"/>
    <n v="0"/>
    <n v="0"/>
  </r>
  <r>
    <n v="2967"/>
    <n v="191712"/>
    <n v="0"/>
    <n v="0"/>
    <x v="49"/>
    <s v="Single"/>
    <s v="Master"/>
    <s v="3/23/2020"/>
    <s v="Texas"/>
    <n v="47"/>
    <n v="2667"/>
    <n v="50"/>
    <n v="1559"/>
    <n v="196"/>
    <n v="61"/>
    <n v="100"/>
    <n v="4434"/>
    <n v="0"/>
    <n v="9"/>
    <n v="7"/>
    <n v="11"/>
    <n v="3"/>
    <n v="0"/>
    <n v="1"/>
    <n v="0"/>
    <n v="0"/>
    <n v="0"/>
    <n v="0"/>
    <n v="1"/>
  </r>
  <r>
    <n v="2553"/>
    <n v="181574"/>
    <n v="0"/>
    <n v="0"/>
    <x v="49"/>
    <s v="Together"/>
    <s v="PhD"/>
    <s v="10/2/2020"/>
    <s v="Texas"/>
    <n v="89"/>
    <n v="2787"/>
    <n v="0"/>
    <n v="1035"/>
    <n v="102"/>
    <n v="78"/>
    <n v="0"/>
    <n v="4002"/>
    <n v="1"/>
    <n v="4"/>
    <n v="5"/>
    <n v="8"/>
    <n v="1"/>
    <n v="0"/>
    <n v="0"/>
    <n v="0"/>
    <n v="0"/>
    <n v="0"/>
    <n v="1"/>
    <n v="1"/>
  </r>
  <r>
    <n v="3024"/>
    <n v="181044"/>
    <n v="0"/>
    <n v="0"/>
    <x v="49"/>
    <s v="Married"/>
    <s v="Graduate"/>
    <s v="6/2/2020"/>
    <s v="Florida"/>
    <n v="0"/>
    <n v="1005"/>
    <n v="58"/>
    <n v="1195"/>
    <n v="163"/>
    <n v="219"/>
    <n v="58"/>
    <n v="2582"/>
    <n v="1"/>
    <n v="5"/>
    <n v="6"/>
    <n v="10"/>
    <n v="1"/>
    <n v="0"/>
    <n v="0"/>
    <n v="0"/>
    <n v="0"/>
    <n v="0"/>
    <n v="0"/>
    <n v="0"/>
  </r>
  <r>
    <n v="2557"/>
    <n v="178093"/>
    <n v="0"/>
    <n v="0"/>
    <x v="49"/>
    <s v="Together"/>
    <s v="Master"/>
    <s v="5/17/2020"/>
    <s v="Illinois"/>
    <n v="53"/>
    <n v="839"/>
    <n v="73"/>
    <n v="1457"/>
    <n v="30"/>
    <n v="98"/>
    <n v="23"/>
    <n v="2474"/>
    <n v="1"/>
    <n v="4"/>
    <n v="7"/>
    <n v="5"/>
    <n v="1"/>
    <n v="0"/>
    <n v="0"/>
    <n v="0"/>
    <n v="0"/>
    <n v="0"/>
    <n v="0"/>
    <n v="0"/>
  </r>
  <r>
    <n v="1627"/>
    <n v="177632"/>
    <n v="0"/>
    <n v="0"/>
    <x v="49"/>
    <s v="Together"/>
    <s v="Master"/>
    <s v="8/15/2019"/>
    <s v="Illinois"/>
    <n v="73"/>
    <n v="2746"/>
    <n v="240"/>
    <n v="1734"/>
    <n v="0"/>
    <n v="96"/>
    <n v="336"/>
    <n v="4480"/>
    <n v="1"/>
    <n v="4"/>
    <n v="2"/>
    <n v="6"/>
    <n v="2"/>
    <n v="0"/>
    <n v="1"/>
    <n v="0"/>
    <n v="0"/>
    <n v="0"/>
    <n v="1"/>
    <n v="1"/>
  </r>
  <r>
    <n v="1294"/>
    <n v="177457"/>
    <n v="0"/>
    <n v="0"/>
    <x v="49"/>
    <s v="Single"/>
    <s v="Graduate"/>
    <s v="8/9/2020"/>
    <s v="Other"/>
    <n v="85"/>
    <n v="1546"/>
    <n v="25"/>
    <n v="916"/>
    <n v="34"/>
    <n v="103"/>
    <n v="25"/>
    <n v="2600"/>
    <n v="1"/>
    <n v="2"/>
    <n v="5"/>
    <n v="10"/>
    <n v="1"/>
    <n v="0"/>
    <n v="0"/>
    <n v="0"/>
    <n v="0"/>
    <n v="0"/>
    <n v="0"/>
    <n v="1"/>
  </r>
  <r>
    <n v="2940"/>
    <n v="174485"/>
    <n v="0"/>
    <n v="0"/>
    <x v="49"/>
    <s v="Together"/>
    <s v="Graduate"/>
    <s v="1/29/2020"/>
    <s v="Florida"/>
    <n v="58"/>
    <n v="1169"/>
    <n v="349"/>
    <n v="1909"/>
    <n v="405"/>
    <n v="115"/>
    <n v="115"/>
    <n v="3832"/>
    <n v="1"/>
    <n v="6"/>
    <n v="7"/>
    <n v="12"/>
    <n v="3"/>
    <n v="0"/>
    <n v="0"/>
    <n v="0"/>
    <n v="0"/>
    <n v="0"/>
    <n v="0"/>
    <n v="0"/>
  </r>
  <r>
    <n v="1640"/>
    <n v="173059"/>
    <n v="0"/>
    <n v="1"/>
    <x v="49"/>
    <s v="Together"/>
    <s v="PhD"/>
    <s v="2/5/2020"/>
    <s v="New York"/>
    <n v="36"/>
    <n v="971"/>
    <n v="265"/>
    <n v="995"/>
    <n v="0"/>
    <n v="194"/>
    <n v="168"/>
    <n v="2257"/>
    <n v="1"/>
    <n v="9"/>
    <n v="3"/>
    <n v="13"/>
    <n v="4"/>
    <n v="0"/>
    <n v="0"/>
    <n v="0"/>
    <n v="0"/>
    <n v="0"/>
    <n v="0"/>
    <n v="0"/>
  </r>
  <r>
    <n v="2606"/>
    <n v="173059"/>
    <n v="0"/>
    <n v="1"/>
    <x v="49"/>
    <s v="Together"/>
    <s v="PhD"/>
    <s v="2/5/2020"/>
    <s v="New York"/>
    <n v="36"/>
    <n v="971"/>
    <n v="265"/>
    <n v="995"/>
    <n v="0"/>
    <n v="194"/>
    <n v="168"/>
    <n v="2257"/>
    <n v="1"/>
    <n v="9"/>
    <n v="3"/>
    <n v="13"/>
    <n v="4"/>
    <n v="0"/>
    <n v="0"/>
    <n v="0"/>
    <n v="0"/>
    <n v="0"/>
    <n v="0"/>
    <n v="0"/>
  </r>
  <r>
    <n v="2718"/>
    <n v="170321"/>
    <n v="0"/>
    <n v="0"/>
    <x v="49"/>
    <s v="Together"/>
    <s v="Graduate"/>
    <s v="6/23/2019"/>
    <s v="Florida"/>
    <n v="6"/>
    <n v="734"/>
    <n v="56"/>
    <n v="1819"/>
    <n v="199"/>
    <n v="63"/>
    <n v="463"/>
    <n v="2408"/>
    <n v="1"/>
    <n v="6"/>
    <n v="5"/>
    <n v="13"/>
    <n v="4"/>
    <n v="0"/>
    <n v="1"/>
    <n v="0"/>
    <n v="0"/>
    <n v="0"/>
    <n v="0"/>
    <n v="0"/>
  </r>
  <r>
    <n v="3005"/>
    <n v="168117"/>
    <n v="0"/>
    <n v="1"/>
    <x v="49"/>
    <s v="Widow"/>
    <s v="PhD"/>
    <s v="8/15/2019"/>
    <s v="California"/>
    <n v="80"/>
    <n v="1525"/>
    <n v="109"/>
    <n v="531"/>
    <n v="0"/>
    <n v="42"/>
    <n v="89"/>
    <n v="2118"/>
    <n v="2"/>
    <n v="11"/>
    <n v="8"/>
    <n v="4"/>
    <n v="6"/>
    <n v="0"/>
    <n v="1"/>
    <n v="0"/>
    <n v="0"/>
    <n v="1"/>
    <n v="0"/>
    <n v="0"/>
  </r>
  <r>
    <n v="2906"/>
    <n v="167472"/>
    <n v="0"/>
    <n v="1"/>
    <x v="49"/>
    <s v="Married"/>
    <s v="PhD"/>
    <s v="3/4/2020"/>
    <s v="New York"/>
    <n v="93"/>
    <n v="402"/>
    <n v="77"/>
    <n v="315"/>
    <n v="20"/>
    <n v="42"/>
    <n v="171"/>
    <n v="685"/>
    <n v="2"/>
    <n v="4"/>
    <n v="2"/>
    <n v="7"/>
    <n v="3"/>
    <n v="0"/>
    <n v="0"/>
    <n v="0"/>
    <n v="0"/>
    <n v="0"/>
    <n v="0"/>
    <n v="0"/>
  </r>
  <r>
    <n v="2224"/>
    <n v="166000"/>
    <n v="0"/>
    <n v="0"/>
    <x v="49"/>
    <s v="Together"/>
    <s v="Master"/>
    <s v="9/24/2020"/>
    <s v="Other"/>
    <n v="36"/>
    <n v="614"/>
    <n v="128"/>
    <n v="679"/>
    <n v="254"/>
    <n v="0"/>
    <n v="113"/>
    <n v="1562"/>
    <n v="1"/>
    <n v="1"/>
    <n v="3"/>
    <n v="5"/>
    <n v="1"/>
    <n v="0"/>
    <n v="0"/>
    <n v="0"/>
    <n v="0"/>
    <n v="0"/>
    <n v="0"/>
    <n v="0"/>
  </r>
  <r>
    <n v="2721"/>
    <n v="128389"/>
    <n v="0"/>
    <n v="0"/>
    <x v="49"/>
    <s v="Together"/>
    <s v="Basic"/>
    <s v="4/27/2019"/>
    <s v="Texas"/>
    <n v="49"/>
    <n v="5"/>
    <n v="23"/>
    <n v="14"/>
    <n v="32"/>
    <n v="18"/>
    <n v="36"/>
    <n v="54"/>
    <n v="1"/>
    <n v="1"/>
    <n v="0"/>
    <n v="2"/>
    <n v="7"/>
    <n v="0"/>
    <n v="0"/>
    <n v="0"/>
    <n v="0"/>
    <n v="0"/>
    <n v="0"/>
    <n v="0"/>
  </r>
  <r>
    <n v="3160"/>
    <n v="127469"/>
    <n v="0"/>
    <n v="0"/>
    <x v="49"/>
    <s v="Married"/>
    <s v="Graduate"/>
    <s v="1/7/2019"/>
    <s v="Other"/>
    <n v="2"/>
    <n v="42"/>
    <n v="5"/>
    <n v="9"/>
    <n v="14"/>
    <n v="9"/>
    <n v="0"/>
    <n v="79"/>
    <n v="1"/>
    <n v="0"/>
    <n v="0"/>
    <n v="3"/>
    <n v="6"/>
    <n v="0"/>
    <n v="0"/>
    <n v="0"/>
    <n v="0"/>
    <n v="0"/>
    <n v="0"/>
    <n v="0"/>
  </r>
  <r>
    <n v="2629"/>
    <n v="125358"/>
    <n v="0"/>
    <n v="1"/>
    <x v="49"/>
    <s v="Widow"/>
    <s v="PhD"/>
    <s v="12/27/2019"/>
    <s v="Illinois"/>
    <n v="57"/>
    <n v="94"/>
    <n v="0"/>
    <n v="25"/>
    <n v="0"/>
    <n v="0"/>
    <n v="40"/>
    <n v="79"/>
    <n v="2"/>
    <n v="1"/>
    <n v="0"/>
    <n v="3"/>
    <n v="6"/>
    <n v="0"/>
    <n v="0"/>
    <n v="0"/>
    <n v="0"/>
    <n v="0"/>
    <n v="0"/>
    <n v="0"/>
  </r>
  <r>
    <n v="1015"/>
    <n v="182800"/>
    <n v="0"/>
    <n v="0"/>
    <x v="50"/>
    <s v="Single"/>
    <s v="PhD"/>
    <s v="5/1/2019"/>
    <s v="Illinois"/>
    <n v="23"/>
    <n v="2221"/>
    <n v="49"/>
    <n v="254"/>
    <n v="130"/>
    <n v="150"/>
    <n v="99"/>
    <n v="2704"/>
    <n v="1"/>
    <n v="7"/>
    <n v="6"/>
    <n v="12"/>
    <n v="3"/>
    <n v="0"/>
    <n v="1"/>
    <n v="1"/>
    <n v="0"/>
    <n v="0"/>
    <n v="0"/>
    <n v="1"/>
  </r>
  <r>
    <n v="2546"/>
    <n v="182800"/>
    <n v="0"/>
    <n v="0"/>
    <x v="50"/>
    <s v="Single"/>
    <s v="PhD"/>
    <s v="5/1/2019"/>
    <s v="New York"/>
    <n v="23"/>
    <n v="2221"/>
    <n v="49"/>
    <n v="254"/>
    <n v="130"/>
    <n v="150"/>
    <n v="99"/>
    <n v="2704"/>
    <n v="1"/>
    <n v="7"/>
    <n v="6"/>
    <n v="12"/>
    <n v="3"/>
    <n v="0"/>
    <n v="1"/>
    <n v="1"/>
    <n v="0"/>
    <n v="0"/>
    <n v="0"/>
    <n v="1"/>
  </r>
  <r>
    <n v="2420"/>
    <n v="182657"/>
    <n v="0"/>
    <n v="0"/>
    <x v="50"/>
    <s v="Together"/>
    <s v="Graduate"/>
    <s v="3/3/2020"/>
    <s v="New York"/>
    <n v="71"/>
    <n v="2135"/>
    <n v="371"/>
    <n v="1485"/>
    <n v="544"/>
    <n v="232"/>
    <n v="278"/>
    <n v="4488"/>
    <n v="1"/>
    <n v="7"/>
    <n v="5"/>
    <n v="10"/>
    <n v="4"/>
    <n v="0"/>
    <n v="0"/>
    <n v="1"/>
    <n v="0"/>
    <n v="0"/>
    <n v="1"/>
    <n v="0"/>
  </r>
  <r>
    <n v="2279"/>
    <n v="178569"/>
    <n v="0"/>
    <n v="0"/>
    <x v="50"/>
    <s v="Married"/>
    <s v="Graduate"/>
    <s v="7/26/2020"/>
    <s v="California"/>
    <n v="14"/>
    <n v="1268"/>
    <n v="180"/>
    <n v="1414"/>
    <n v="470"/>
    <n v="398"/>
    <n v="216"/>
    <n v="3514"/>
    <n v="1"/>
    <n v="4"/>
    <n v="6"/>
    <n v="4"/>
    <n v="1"/>
    <n v="0"/>
    <n v="1"/>
    <n v="0"/>
    <n v="0"/>
    <n v="0"/>
    <n v="0"/>
    <n v="1"/>
  </r>
  <r>
    <n v="1033"/>
    <n v="168657"/>
    <n v="0"/>
    <n v="0"/>
    <x v="50"/>
    <s v="Married"/>
    <s v="Master"/>
    <s v="7/28/2019"/>
    <s v="Illinois"/>
    <n v="4"/>
    <n v="1184"/>
    <n v="84"/>
    <n v="1157"/>
    <n v="292"/>
    <n v="167"/>
    <n v="54"/>
    <n v="2830"/>
    <n v="1"/>
    <n v="3"/>
    <n v="5"/>
    <n v="9"/>
    <n v="7"/>
    <n v="0"/>
    <n v="0"/>
    <n v="0"/>
    <n v="0"/>
    <n v="0"/>
    <n v="0"/>
    <n v="0"/>
  </r>
  <r>
    <n v="1171"/>
    <n v="166835"/>
    <n v="0"/>
    <n v="0"/>
    <x v="50"/>
    <s v="Married"/>
    <s v="Master"/>
    <s v="3/4/2020"/>
    <s v="Illinois"/>
    <n v="21"/>
    <n v="1548"/>
    <n v="65"/>
    <n v="487"/>
    <n v="85"/>
    <n v="42"/>
    <n v="352"/>
    <n v="1875"/>
    <n v="1"/>
    <n v="6"/>
    <n v="4"/>
    <n v="13"/>
    <n v="2"/>
    <n v="0"/>
    <n v="0"/>
    <n v="0"/>
    <n v="0"/>
    <n v="0"/>
    <n v="0"/>
    <n v="0"/>
  </r>
  <r>
    <n v="2722"/>
    <n v="166835"/>
    <n v="0"/>
    <n v="0"/>
    <x v="50"/>
    <s v="Married"/>
    <s v="Master"/>
    <s v="3/4/2020"/>
    <s v="Other"/>
    <n v="21"/>
    <n v="1548"/>
    <n v="65"/>
    <n v="487"/>
    <n v="85"/>
    <n v="42"/>
    <n v="352"/>
    <n v="1875"/>
    <n v="1"/>
    <n v="6"/>
    <n v="4"/>
    <n v="13"/>
    <n v="2"/>
    <n v="0"/>
    <n v="0"/>
    <n v="0"/>
    <n v="0"/>
    <n v="0"/>
    <n v="0"/>
    <n v="0"/>
  </r>
  <r>
    <n v="3217"/>
    <n v="166201"/>
    <n v="2"/>
    <n v="1"/>
    <x v="50"/>
    <s v="Together"/>
    <s v="PhD"/>
    <s v="11/14/2020"/>
    <s v="Illinois"/>
    <n v="56"/>
    <n v="1019"/>
    <n v="0"/>
    <n v="75"/>
    <n v="0"/>
    <n v="0"/>
    <n v="20"/>
    <n v="1075"/>
    <n v="7"/>
    <n v="8"/>
    <n v="2"/>
    <n v="5"/>
    <n v="7"/>
    <n v="0"/>
    <n v="0"/>
    <n v="1"/>
    <n v="0"/>
    <n v="0"/>
    <n v="0"/>
    <n v="0"/>
  </r>
  <r>
    <n v="2463"/>
    <n v="164014"/>
    <n v="2"/>
    <n v="1"/>
    <x v="50"/>
    <s v="Together"/>
    <s v="PhD"/>
    <s v="11/14/2020"/>
    <s v="Texas"/>
    <n v="56"/>
    <n v="1040"/>
    <n v="0"/>
    <n v="77"/>
    <n v="0"/>
    <n v="0"/>
    <n v="20"/>
    <n v="1097"/>
    <n v="7"/>
    <n v="8"/>
    <n v="2"/>
    <n v="5"/>
    <n v="7"/>
    <n v="0"/>
    <n v="0"/>
    <n v="1"/>
    <n v="0"/>
    <n v="0"/>
    <n v="0"/>
    <n v="0"/>
  </r>
  <r>
    <n v="3202"/>
    <n v="164014"/>
    <n v="2"/>
    <n v="1"/>
    <x v="50"/>
    <s v="Together"/>
    <s v="PhD"/>
    <s v="11/14/2020"/>
    <s v="Other"/>
    <n v="56"/>
    <n v="1040"/>
    <n v="0"/>
    <n v="77"/>
    <n v="0"/>
    <n v="0"/>
    <n v="20"/>
    <n v="1097"/>
    <n v="7"/>
    <n v="8"/>
    <n v="2"/>
    <n v="5"/>
    <n v="7"/>
    <n v="0"/>
    <n v="0"/>
    <n v="1"/>
    <n v="0"/>
    <n v="0"/>
    <n v="0"/>
    <n v="0"/>
  </r>
  <r>
    <n v="2337"/>
    <n v="162159"/>
    <n v="0"/>
    <n v="0"/>
    <x v="50"/>
    <s v="Single"/>
    <s v="PhD"/>
    <s v="10/2/2020"/>
    <s v="Texas"/>
    <n v="68"/>
    <n v="475"/>
    <n v="44"/>
    <n v="676"/>
    <n v="201"/>
    <n v="183"/>
    <n v="76"/>
    <n v="1503"/>
    <n v="1"/>
    <n v="6"/>
    <n v="2"/>
    <n v="10"/>
    <n v="4"/>
    <n v="0"/>
    <n v="0"/>
    <n v="0"/>
    <n v="0"/>
    <n v="0"/>
    <n v="0"/>
    <n v="0"/>
  </r>
  <r>
    <n v="1377"/>
    <n v="151012"/>
    <n v="0"/>
    <n v="0"/>
    <x v="50"/>
    <s v="Married"/>
    <s v="PhD"/>
    <s v="9/23/2019"/>
    <s v="Texas"/>
    <n v="86"/>
    <n v="302"/>
    <n v="27"/>
    <n v="187"/>
    <n v="6"/>
    <n v="27"/>
    <n v="71"/>
    <n v="477"/>
    <n v="1"/>
    <n v="4"/>
    <n v="1"/>
    <n v="4"/>
    <n v="6"/>
    <n v="0"/>
    <n v="0"/>
    <n v="0"/>
    <n v="0"/>
    <n v="0"/>
    <n v="0"/>
    <n v="0"/>
  </r>
  <r>
    <n v="2746"/>
    <n v="151012"/>
    <n v="0"/>
    <n v="0"/>
    <x v="50"/>
    <s v="Married"/>
    <s v="PhD"/>
    <s v="9/23/2019"/>
    <s v="Other"/>
    <n v="86"/>
    <n v="302"/>
    <n v="27"/>
    <n v="187"/>
    <n v="6"/>
    <n v="27"/>
    <n v="71"/>
    <n v="477"/>
    <n v="1"/>
    <n v="4"/>
    <n v="1"/>
    <n v="4"/>
    <n v="6"/>
    <n v="0"/>
    <n v="0"/>
    <n v="0"/>
    <n v="0"/>
    <n v="0"/>
    <n v="0"/>
    <n v="0"/>
  </r>
  <r>
    <n v="1498"/>
    <n v="144124"/>
    <n v="0"/>
    <n v="1"/>
    <x v="50"/>
    <s v="Together"/>
    <s v="PhD"/>
    <s v="10/16/2019"/>
    <s v="Other"/>
    <n v="62"/>
    <n v="928"/>
    <n v="0"/>
    <n v="180"/>
    <n v="0"/>
    <n v="20"/>
    <n v="170"/>
    <n v="957"/>
    <n v="4"/>
    <n v="6"/>
    <n v="2"/>
    <n v="5"/>
    <n v="8"/>
    <n v="0"/>
    <n v="0"/>
    <n v="0"/>
    <n v="0"/>
    <n v="0"/>
    <n v="0"/>
    <n v="0"/>
  </r>
  <r>
    <n v="1017"/>
    <n v="137760"/>
    <n v="0"/>
    <n v="0"/>
    <x v="50"/>
    <s v="Together"/>
    <s v="Graduate"/>
    <s v="2/5/2019"/>
    <s v="Texas"/>
    <n v="20"/>
    <n v="306"/>
    <n v="18"/>
    <n v="139"/>
    <n v="547"/>
    <n v="44"/>
    <n v="102"/>
    <n v="952"/>
    <n v="2"/>
    <n v="4"/>
    <n v="1"/>
    <n v="6"/>
    <n v="7"/>
    <n v="0"/>
    <n v="0"/>
    <n v="0"/>
    <n v="0"/>
    <n v="0"/>
    <n v="0"/>
    <n v="0"/>
  </r>
  <r>
    <n v="1269"/>
    <n v="137760"/>
    <n v="0"/>
    <n v="0"/>
    <x v="50"/>
    <s v="Together"/>
    <s v="Graduate"/>
    <s v="2/5/2019"/>
    <s v="Texas"/>
    <n v="20"/>
    <n v="306"/>
    <n v="18"/>
    <n v="139"/>
    <n v="547"/>
    <n v="44"/>
    <n v="102"/>
    <n v="952"/>
    <n v="2"/>
    <n v="4"/>
    <n v="1"/>
    <n v="6"/>
    <n v="7"/>
    <n v="0"/>
    <n v="0"/>
    <n v="0"/>
    <n v="0"/>
    <n v="0"/>
    <n v="0"/>
    <n v="0"/>
  </r>
  <r>
    <n v="1426"/>
    <n v="118100"/>
    <n v="0"/>
    <n v="0"/>
    <x v="50"/>
    <s v="Married"/>
    <s v="Graduate"/>
    <s v="1/11/2020"/>
    <s v="Other"/>
    <n v="14"/>
    <n v="20"/>
    <n v="7"/>
    <n v="13"/>
    <n v="26"/>
    <n v="20"/>
    <n v="7"/>
    <n v="78"/>
    <n v="1"/>
    <n v="0"/>
    <n v="0"/>
    <n v="3"/>
    <n v="5"/>
    <n v="0"/>
    <n v="0"/>
    <n v="0"/>
    <n v="0"/>
    <n v="0"/>
    <n v="0"/>
    <n v="0"/>
  </r>
  <r>
    <n v="2873"/>
    <n v="213734"/>
    <n v="0"/>
    <n v="0"/>
    <x v="51"/>
    <s v="Single"/>
    <s v="PhD"/>
    <s v="11/1/2020"/>
    <s v="California"/>
    <n v="9"/>
    <n v="11"/>
    <n v="4"/>
    <n v="6"/>
    <n v="2"/>
    <n v="492"/>
    <n v="6"/>
    <n v="509"/>
    <n v="0"/>
    <n v="27"/>
    <n v="0"/>
    <n v="0"/>
    <n v="1"/>
    <n v="0"/>
    <n v="0"/>
    <n v="0"/>
    <n v="0"/>
    <n v="0"/>
    <n v="0"/>
    <n v="0"/>
  </r>
  <r>
    <n v="2309"/>
    <n v="171604"/>
    <n v="0"/>
    <n v="0"/>
    <x v="51"/>
    <s v="Together"/>
    <s v="PhD"/>
    <s v="4/23/2020"/>
    <s v="California"/>
    <n v="3"/>
    <n v="827"/>
    <n v="127"/>
    <n v="1265"/>
    <n v="235"/>
    <n v="180"/>
    <n v="232"/>
    <n v="2401"/>
    <n v="1"/>
    <n v="8"/>
    <n v="3"/>
    <n v="5"/>
    <n v="4"/>
    <n v="0"/>
    <n v="1"/>
    <n v="0"/>
    <n v="0"/>
    <n v="1"/>
    <n v="0"/>
    <n v="0"/>
  </r>
  <r>
    <n v="1151"/>
    <n v="170356"/>
    <n v="0"/>
    <n v="0"/>
    <x v="51"/>
    <s v="Married"/>
    <s v="PhD"/>
    <s v="4/12/2019"/>
    <s v="California"/>
    <n v="20"/>
    <n v="3266"/>
    <n v="39"/>
    <n v="603"/>
    <n v="104"/>
    <n v="39"/>
    <n v="80"/>
    <n v="3971"/>
    <n v="2"/>
    <n v="10"/>
    <n v="6"/>
    <n v="9"/>
    <n v="6"/>
    <n v="0"/>
    <n v="0"/>
    <n v="0"/>
    <n v="0"/>
    <n v="0"/>
    <n v="0"/>
    <n v="0"/>
  </r>
  <r>
    <n v="2613"/>
    <n v="169755"/>
    <n v="0"/>
    <n v="0"/>
    <x v="51"/>
    <s v="Married"/>
    <s v="Graduate"/>
    <s v="3/8/2020"/>
    <s v="Texas"/>
    <n v="23"/>
    <n v="528"/>
    <n v="187"/>
    <n v="908"/>
    <n v="270"/>
    <n v="56"/>
    <n v="226"/>
    <n v="1723"/>
    <n v="1"/>
    <n v="3"/>
    <n v="6"/>
    <n v="12"/>
    <n v="1"/>
    <n v="0"/>
    <n v="0"/>
    <n v="0"/>
    <n v="0"/>
    <n v="0"/>
    <n v="0"/>
    <n v="0"/>
  </r>
  <r>
    <n v="1095"/>
    <n v="165846"/>
    <n v="0"/>
    <n v="0"/>
    <x v="51"/>
    <s v="Married"/>
    <s v="PhD"/>
    <s v="10/22/2019"/>
    <s v="Texas"/>
    <n v="68"/>
    <n v="1416"/>
    <n v="204"/>
    <n v="695"/>
    <n v="201"/>
    <n v="101"/>
    <n v="204"/>
    <n v="2413"/>
    <n v="1"/>
    <n v="6"/>
    <n v="3"/>
    <n v="6"/>
    <n v="4"/>
    <n v="0"/>
    <n v="0"/>
    <n v="0"/>
    <n v="0"/>
    <n v="0"/>
    <n v="0"/>
    <n v="0"/>
  </r>
  <r>
    <n v="2125"/>
    <n v="163285"/>
    <n v="0"/>
    <n v="0"/>
    <x v="51"/>
    <s v="Widow"/>
    <s v="Graduate"/>
    <s v="4/11/2020"/>
    <s v="Illinois"/>
    <n v="84"/>
    <n v="1311"/>
    <n v="320"/>
    <n v="642"/>
    <n v="129"/>
    <n v="98"/>
    <n v="346"/>
    <n v="2154"/>
    <n v="1"/>
    <n v="6"/>
    <n v="5"/>
    <n v="13"/>
    <n v="3"/>
    <n v="0"/>
    <n v="0"/>
    <n v="0"/>
    <n v="0"/>
    <n v="0"/>
    <n v="0"/>
    <n v="0"/>
  </r>
  <r>
    <n v="1771"/>
    <n v="162847"/>
    <n v="0"/>
    <n v="0"/>
    <x v="51"/>
    <s v="Together"/>
    <s v="Master"/>
    <s v="6/22/2019"/>
    <s v="Illinois"/>
    <n v="45"/>
    <n v="1350"/>
    <n v="435"/>
    <n v="1829"/>
    <n v="207"/>
    <n v="197"/>
    <n v="158"/>
    <n v="3861"/>
    <n v="1"/>
    <n v="3"/>
    <n v="6"/>
    <n v="4"/>
    <n v="2"/>
    <n v="0"/>
    <n v="0"/>
    <n v="0"/>
    <n v="0"/>
    <n v="0"/>
    <n v="0"/>
    <n v="0"/>
  </r>
  <r>
    <n v="2717"/>
    <n v="145576"/>
    <n v="0"/>
    <n v="0"/>
    <x v="51"/>
    <s v="Single"/>
    <s v="PhD"/>
    <s v="11/1/2020"/>
    <s v="California"/>
    <n v="9"/>
    <n v="179"/>
    <n v="61"/>
    <n v="93"/>
    <n v="6"/>
    <n v="45"/>
    <n v="80"/>
    <n v="303"/>
    <n v="1"/>
    <n v="3"/>
    <n v="1"/>
    <n v="3"/>
    <n v="8"/>
    <n v="0"/>
    <n v="1"/>
    <n v="0"/>
    <n v="0"/>
    <n v="0"/>
    <n v="0"/>
    <n v="0"/>
  </r>
  <r>
    <n v="1784"/>
    <n v="182716"/>
    <n v="0"/>
    <n v="0"/>
    <x v="52"/>
    <s v="Single"/>
    <s v="PhD"/>
    <s v="4/11/2020"/>
    <s v="New York"/>
    <n v="8"/>
    <n v="1339"/>
    <n v="327"/>
    <n v="504"/>
    <n v="33"/>
    <n v="327"/>
    <n v="49"/>
    <n v="2481"/>
    <n v="1"/>
    <n v="6"/>
    <n v="8"/>
    <n v="13"/>
    <n v="2"/>
    <n v="0"/>
    <n v="0"/>
    <n v="0"/>
    <n v="0"/>
    <n v="0"/>
    <n v="0"/>
    <n v="0"/>
  </r>
  <r>
    <n v="2389"/>
    <n v="180589"/>
    <n v="0"/>
    <n v="0"/>
    <x v="52"/>
    <s v="Married"/>
    <s v="Graduate"/>
    <s v="6/28/2020"/>
    <s v="Illinois"/>
    <n v="25"/>
    <n v="1136"/>
    <n v="208"/>
    <n v="1165"/>
    <n v="542"/>
    <n v="90"/>
    <n v="58"/>
    <n v="3083"/>
    <n v="1"/>
    <n v="5"/>
    <n v="10"/>
    <n v="5"/>
    <n v="1"/>
    <n v="0"/>
    <n v="1"/>
    <n v="1"/>
    <n v="0"/>
    <n v="0"/>
    <n v="0"/>
    <n v="0"/>
  </r>
  <r>
    <n v="1503"/>
    <n v="180184"/>
    <n v="0"/>
    <n v="0"/>
    <x v="52"/>
    <s v="Married"/>
    <s v="Master"/>
    <s v="8/5/2020"/>
    <s v="Texas"/>
    <n v="19"/>
    <n v="2326"/>
    <n v="301"/>
    <n v="1506"/>
    <n v="56"/>
    <n v="85"/>
    <n v="0"/>
    <n v="4274"/>
    <n v="1"/>
    <n v="6"/>
    <n v="3"/>
    <n v="10"/>
    <n v="3"/>
    <n v="0"/>
    <n v="0"/>
    <n v="1"/>
    <n v="0"/>
    <n v="0"/>
    <n v="0"/>
    <n v="1"/>
  </r>
  <r>
    <n v="1483"/>
    <n v="165275"/>
    <n v="0"/>
    <n v="0"/>
    <x v="52"/>
    <s v="Married"/>
    <s v="Graduate"/>
    <s v="9/8/2019"/>
    <s v="Illinois"/>
    <n v="9"/>
    <n v="982"/>
    <n v="35"/>
    <n v="552"/>
    <n v="230"/>
    <n v="35"/>
    <n v="53"/>
    <n v="1783"/>
    <n v="1"/>
    <n v="4"/>
    <n v="3"/>
    <n v="13"/>
    <n v="2"/>
    <n v="0"/>
    <n v="0"/>
    <n v="0"/>
    <n v="0"/>
    <n v="0"/>
    <n v="0"/>
    <n v="0"/>
  </r>
  <r>
    <n v="2251"/>
    <n v="155956"/>
    <n v="0"/>
    <n v="0"/>
    <x v="52"/>
    <s v="Married"/>
    <s v="Graduate"/>
    <s v="9/11/2020"/>
    <s v="Illinois"/>
    <n v="22"/>
    <n v="2118"/>
    <n v="106"/>
    <n v="290"/>
    <n v="139"/>
    <n v="25"/>
    <n v="106"/>
    <n v="2573"/>
    <n v="2"/>
    <n v="7"/>
    <n v="3"/>
    <n v="4"/>
    <n v="4"/>
    <n v="0"/>
    <n v="0"/>
    <n v="0"/>
    <n v="0"/>
    <n v="0"/>
    <n v="1"/>
    <n v="0"/>
  </r>
  <r>
    <n v="1478"/>
    <n v="155614"/>
    <n v="0"/>
    <n v="0"/>
    <x v="52"/>
    <s v="Divorced"/>
    <s v="PhD"/>
    <s v="5/3/2020"/>
    <s v="New York"/>
    <n v="85"/>
    <n v="1410"/>
    <n v="36"/>
    <n v="367"/>
    <n v="22"/>
    <n v="0"/>
    <n v="73"/>
    <n v="1763"/>
    <n v="1"/>
    <n v="9"/>
    <n v="4"/>
    <n v="6"/>
    <n v="7"/>
    <n v="0"/>
    <n v="0"/>
    <n v="0"/>
    <n v="0"/>
    <n v="0"/>
    <n v="1"/>
    <n v="0"/>
  </r>
  <r>
    <n v="1595"/>
    <n v="145006"/>
    <n v="0"/>
    <n v="0"/>
    <x v="52"/>
    <s v="Widow"/>
    <s v="Master"/>
    <s v="12/23/2019"/>
    <s v="California"/>
    <n v="90"/>
    <n v="522"/>
    <n v="81"/>
    <n v="171"/>
    <n v="52"/>
    <n v="0"/>
    <n v="32"/>
    <n v="793"/>
    <n v="1"/>
    <n v="3"/>
    <n v="1"/>
    <n v="7"/>
    <n v="3"/>
    <n v="0"/>
    <n v="0"/>
    <n v="0"/>
    <n v="0"/>
    <n v="0"/>
    <n v="0"/>
    <n v="0"/>
  </r>
  <r>
    <n v="2898"/>
    <n v="177598"/>
    <n v="0"/>
    <n v="0"/>
    <x v="53"/>
    <s v="Single"/>
    <s v="Master"/>
    <s v="3/7/2020"/>
    <s v="Florida"/>
    <n v="53"/>
    <n v="2730"/>
    <n v="76"/>
    <n v="643"/>
    <n v="295"/>
    <n v="151"/>
    <n v="76"/>
    <n v="3820"/>
    <n v="1"/>
    <n v="7"/>
    <n v="5"/>
    <n v="13"/>
    <n v="3"/>
    <n v="0"/>
    <n v="0"/>
    <n v="0"/>
    <n v="0"/>
    <n v="0"/>
    <n v="0"/>
    <n v="1"/>
  </r>
  <r>
    <n v="1399"/>
    <n v="175865"/>
    <n v="0"/>
    <n v="0"/>
    <x v="53"/>
    <s v="Married"/>
    <s v="PhD"/>
    <s v="9/4/2020"/>
    <s v="Illinois"/>
    <n v="73"/>
    <n v="1120"/>
    <n v="0"/>
    <n v="1370"/>
    <n v="362"/>
    <n v="0"/>
    <n v="28"/>
    <n v="2823"/>
    <n v="1"/>
    <n v="3"/>
    <n v="5"/>
    <n v="10"/>
    <n v="1"/>
    <n v="0"/>
    <n v="0"/>
    <n v="0"/>
    <n v="0"/>
    <n v="0"/>
    <n v="0"/>
    <n v="0"/>
  </r>
  <r>
    <n v="1342"/>
    <n v="165073"/>
    <n v="0"/>
    <n v="0"/>
    <x v="53"/>
    <s v="Married"/>
    <s v="Master"/>
    <s v="1/25/2020"/>
    <s v="Other"/>
    <n v="65"/>
    <n v="1596"/>
    <n v="43"/>
    <n v="449"/>
    <n v="175"/>
    <n v="0"/>
    <n v="20"/>
    <n v="2242"/>
    <n v="1"/>
    <n v="5"/>
    <n v="3"/>
    <n v="5"/>
    <n v="2"/>
    <n v="1"/>
    <n v="0"/>
    <n v="0"/>
    <n v="0"/>
    <n v="0"/>
    <n v="0"/>
    <n v="0"/>
  </r>
  <r>
    <n v="2131"/>
    <n v="157513"/>
    <n v="0"/>
    <n v="0"/>
    <x v="53"/>
    <s v="Widow"/>
    <s v="PhD"/>
    <s v="12/11/2019"/>
    <s v="Illinois"/>
    <n v="59"/>
    <n v="2013"/>
    <n v="110"/>
    <n v="501"/>
    <n v="142"/>
    <n v="55"/>
    <n v="82"/>
    <n v="2739"/>
    <n v="2"/>
    <n v="9"/>
    <n v="3"/>
    <n v="13"/>
    <n v="6"/>
    <n v="0"/>
    <n v="0"/>
    <n v="0"/>
    <n v="0"/>
    <n v="0"/>
    <n v="0"/>
    <n v="0"/>
  </r>
  <r>
    <n v="1038"/>
    <n v="148948"/>
    <n v="0"/>
    <n v="0"/>
    <x v="53"/>
    <s v="Divorced"/>
    <s v="PhD"/>
    <s v="7/9/2019"/>
    <s v="Florida"/>
    <n v="53"/>
    <n v="1330"/>
    <n v="24"/>
    <n v="627"/>
    <n v="487"/>
    <n v="149"/>
    <n v="128"/>
    <n v="2489"/>
    <n v="2"/>
    <n v="7"/>
    <n v="10"/>
    <n v="5"/>
    <n v="6"/>
    <n v="0"/>
    <n v="1"/>
    <n v="0"/>
    <n v="0"/>
    <n v="1"/>
    <n v="0"/>
    <n v="0"/>
  </r>
  <r>
    <n v="1875"/>
    <n v="148948"/>
    <n v="0"/>
    <n v="0"/>
    <x v="53"/>
    <s v="Divorced"/>
    <s v="PhD"/>
    <s v="7/9/2019"/>
    <s v="Texas"/>
    <n v="53"/>
    <n v="1330"/>
    <n v="24"/>
    <n v="627"/>
    <n v="487"/>
    <n v="149"/>
    <n v="128"/>
    <n v="2489"/>
    <n v="2"/>
    <n v="7"/>
    <n v="10"/>
    <n v="5"/>
    <n v="6"/>
    <n v="0"/>
    <n v="1"/>
    <n v="0"/>
    <n v="0"/>
    <n v="1"/>
    <n v="0"/>
    <n v="0"/>
  </r>
  <r>
    <n v="1408"/>
    <n v="193027"/>
    <n v="0"/>
    <n v="0"/>
    <x v="54"/>
    <s v="Married"/>
    <s v="PhD"/>
    <s v="9/18/2019"/>
    <s v="Other"/>
    <n v="77"/>
    <n v="2666"/>
    <n v="87"/>
    <n v="1486"/>
    <n v="114"/>
    <n v="0"/>
    <n v="44"/>
    <n v="4310"/>
    <n v="0"/>
    <n v="7"/>
    <n v="10"/>
    <n v="5"/>
    <n v="2"/>
    <n v="0"/>
    <n v="0"/>
    <n v="0"/>
    <n v="0"/>
    <n v="0"/>
    <n v="0"/>
    <n v="1"/>
  </r>
  <r>
    <n v="2925"/>
    <n v="151141"/>
    <n v="0"/>
    <n v="0"/>
    <x v="55"/>
    <s v="Single"/>
    <s v="PhD"/>
    <s v="12/13/2019"/>
    <s v="Texas"/>
    <n v="96"/>
    <n v="426"/>
    <n v="0"/>
    <n v="21"/>
    <n v="0"/>
    <n v="0"/>
    <n v="18"/>
    <n v="429"/>
    <n v="1"/>
    <n v="3"/>
    <n v="1"/>
    <n v="4"/>
    <n v="5"/>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CCE8D3-1EC9-4DCF-A313-5CCD0415989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8:G25" firstHeaderRow="1" firstDataRow="1" firstDataCol="1"/>
  <pivotFields count="29">
    <pivotField showAll="0"/>
    <pivotField numFmtId="3" showAll="0"/>
    <pivotField numFmtId="3" showAll="0"/>
    <pivotField numFmtId="3" showAll="0"/>
    <pivotField axis="axisRow" dataField="1" numFmtId="3"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s>
  <rowFields count="1">
    <field x="4"/>
  </rowFields>
  <rowItems count="7">
    <i>
      <x v="3"/>
    </i>
    <i>
      <x v="4"/>
    </i>
    <i>
      <x v="2"/>
    </i>
    <i>
      <x v="5"/>
    </i>
    <i>
      <x v="1"/>
    </i>
    <i>
      <x v="6"/>
    </i>
    <i t="grand">
      <x/>
    </i>
  </rowItems>
  <colItems count="1">
    <i/>
  </colItems>
  <dataFields count="1">
    <dataField name="Count of Age" fld="4" subtotal="count" baseField="4" baseItem="3"/>
  </dataFields>
  <formats count="6">
    <format dxfId="11">
      <pivotArea field="4" type="button" dataOnly="0" labelOnly="1" outline="0" axis="axisRow" fieldPosition="0"/>
    </format>
    <format dxfId="10">
      <pivotArea dataOnly="0" labelOnly="1" outline="0" axis="axisValues" fieldPosition="0"/>
    </format>
    <format dxfId="9">
      <pivotArea grandRow="1" outline="0" collapsedLevelsAreSubtotals="1" fieldPosition="0"/>
    </format>
    <format dxfId="8">
      <pivotArea dataOnly="0" labelOnly="1" grandRow="1" outline="0" fieldPosition="0"/>
    </format>
    <format dxfId="7">
      <pivotArea grandRow="1"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CustomerCombined" displayName="CustomerCombined" ref="A1:AC2221" totalsRowShown="0" headerRowDxfId="132" dataDxfId="131" tableBorderDxfId="130">
  <autoFilter ref="A1:AC2221" xr:uid="{00000000-0009-0000-0100-000005000000}"/>
  <sortState xmlns:xlrd2="http://schemas.microsoft.com/office/spreadsheetml/2017/richdata2" ref="A2:AC2221">
    <sortCondition ref="E1:E2221"/>
  </sortState>
  <tableColumns count="29">
    <tableColumn id="1" xr3:uid="{00000000-0010-0000-0000-000001000000}" name="ID" dataDxfId="129" totalsRowDxfId="128"/>
    <tableColumn id="2" xr3:uid="{00000000-0010-0000-0000-000002000000}" name="Income" dataDxfId="127" totalsRowDxfId="126"/>
    <tableColumn id="3" xr3:uid="{00000000-0010-0000-0000-000003000000}" name="Kids" dataDxfId="125" totalsRowDxfId="124"/>
    <tableColumn id="4" xr3:uid="{00000000-0010-0000-0000-000004000000}" name="Teens" dataDxfId="123" totalsRowDxfId="122"/>
    <tableColumn id="5" xr3:uid="{00000000-0010-0000-0000-000005000000}" name="Age" dataDxfId="121" totalsRowDxfId="120"/>
    <tableColumn id="6" xr3:uid="{00000000-0010-0000-0000-000006000000}" name="Martial Status" dataDxfId="119" totalsRowDxfId="118"/>
    <tableColumn id="7" xr3:uid="{00000000-0010-0000-0000-000007000000}" name="Education" dataDxfId="117" totalsRowDxfId="116"/>
    <tableColumn id="10" xr3:uid="{00000000-0010-0000-0000-00000A000000}" name="Enrollment" dataDxfId="115" totalsRowDxfId="114"/>
    <tableColumn id="11" xr3:uid="{00000000-0010-0000-0000-00000B000000}" name="State" dataDxfId="113" totalsRowDxfId="112"/>
    <tableColumn id="12" xr3:uid="{07490A94-D41E-49AA-8CE9-72F76B822748}" name="Recency" dataDxfId="111" totalsRowDxfId="110">
      <calculatedColumnFormula>_xlfn.XLOOKUP(CustomerCombined[[#This Row],[ID]], Table4[ID], Table4[Recency], "Not Found", 0)</calculatedColumnFormula>
    </tableColumn>
    <tableColumn id="13" xr3:uid="{0CB07041-6079-4521-8AF3-D6627A80286D}" name="Teas" dataDxfId="109" totalsRowDxfId="108">
      <calculatedColumnFormula>_xlfn.XLOOKUP(CustomerCombined[[#This Row],[ID]], Table4[ID], Table4[Teas], "Not Found", 0)</calculatedColumnFormula>
    </tableColumn>
    <tableColumn id="14" xr3:uid="{23E37BF9-4213-4F11-9FC4-DBCE0A87ED41}" name="Fruits" dataDxfId="107" totalsRowDxfId="106">
      <calculatedColumnFormula>_xlfn.XLOOKUP(CustomerCombined[[#This Row],[ID]], Table4[ID], Table4[Fruits], "Not Found", 0)</calculatedColumnFormula>
    </tableColumn>
    <tableColumn id="15" xr3:uid="{B51EEF86-52A7-4AF5-9904-FF7FBD6BA941}" name="Meats" dataDxfId="105" totalsRowDxfId="104">
      <calculatedColumnFormula>_xlfn.XLOOKUP(CustomerCombined[[#This Row],[ID]], Table4[ID], Table4[Meats], "Not Found", 0)</calculatedColumnFormula>
    </tableColumn>
    <tableColumn id="16" xr3:uid="{11DD66F1-AE4F-4F54-825B-4D4AA1DC8CD5}" name="Seafood" dataDxfId="103" totalsRowDxfId="102">
      <calculatedColumnFormula>_xlfn.XLOOKUP(CustomerCombined[[#This Row],[ID]], Table4[ID], Table4[Seafood], "Not Found", 0)</calculatedColumnFormula>
    </tableColumn>
    <tableColumn id="17" xr3:uid="{F085E9A1-0B55-4C47-8BDE-F19F8A42082C}" name="Sweets" dataDxfId="101" totalsRowDxfId="100">
      <calculatedColumnFormula>_xlfn.XLOOKUP(CustomerCombined[[#This Row],[ID]], Table4[ID], Table4[Sweets], "Not Found", 0)</calculatedColumnFormula>
    </tableColumn>
    <tableColumn id="18" xr3:uid="{BCB9A7B2-A5CE-4677-84D9-42708141284A}" name="Premium" dataDxfId="99" totalsRowDxfId="98">
      <calculatedColumnFormula>_xlfn.XLOOKUP(CustomerCombined[[#This Row],[ID]], Table4[ID], Table4[Premium], "Not Found", 0)</calculatedColumnFormula>
    </tableColumn>
    <tableColumn id="19" xr3:uid="{1FD9E098-984A-4183-BA0F-847EF6A7D494}" name="Regular" dataDxfId="97" totalsRowDxfId="96">
      <calculatedColumnFormula>_xlfn.XLOOKUP(CustomerCombined[[#This Row],[ID]], Table4[ID], Table4[Regular], "Not Found", 0)</calculatedColumnFormula>
    </tableColumn>
    <tableColumn id="20" xr3:uid="{53E6BB83-CEBD-4F38-A2A6-BE24462ABF4A}" name="Deals" dataDxfId="95" totalsRowDxfId="94">
      <calculatedColumnFormula>_xlfn.XLOOKUP(CustomerCombined[[#This Row],[ID]], Table4[ID], Table4[Deals], "Not Found", 0)</calculatedColumnFormula>
    </tableColumn>
    <tableColumn id="21" xr3:uid="{A56E6366-F54D-4439-BBD6-AB4E7E6CCA93}" name="Website" dataDxfId="93" totalsRowDxfId="92">
      <calculatedColumnFormula>_xlfn.XLOOKUP(CustomerCombined[[#This Row],[ID]], Table4[ID], Table4[Website], "Not Found", 0)</calculatedColumnFormula>
    </tableColumn>
    <tableColumn id="22" xr3:uid="{12591AFD-4A26-4DAE-A83B-5A42A13EA988}" name="Catalog" dataDxfId="91" totalsRowDxfId="90">
      <calculatedColumnFormula>_xlfn.XLOOKUP(CustomerCombined[[#This Row],[ID]], Table4[ID], Table4[Catalog], "Not Found", 0)</calculatedColumnFormula>
    </tableColumn>
    <tableColumn id="23" xr3:uid="{B712B0E5-5E40-4319-BD8A-605770A608ED}" name="Store" dataDxfId="89" totalsRowDxfId="88">
      <calculatedColumnFormula>_xlfn.XLOOKUP(CustomerCombined[[#This Row],[ID]], Table4[ID], Table4[Store], "Not Found", 0)</calculatedColumnFormula>
    </tableColumn>
    <tableColumn id="24" xr3:uid="{5C4BA6C4-223A-47BD-8629-312B469A33BF}" name="Visits" dataDxfId="87" totalsRowDxfId="86">
      <calculatedColumnFormula>_xlfn.XLOOKUP(CustomerCombined[[#This Row],[ID]], Table4[ID], Table4[Visits], "Not Found", 0)</calculatedColumnFormula>
    </tableColumn>
    <tableColumn id="31" xr3:uid="{5FE8CD6F-FA8E-4E15-8FB6-5A886B1CC5F7}" name="Complaint" dataDxfId="85" totalsRowDxfId="84">
      <calculatedColumnFormula>_xlfn.XLOOKUP(CustomerCombined[[#This Row],[ID]], Table2[ID],Table2[Complaint], "Not Found", 0 )</calculatedColumnFormula>
    </tableColumn>
    <tableColumn id="30" xr3:uid="{366DBDBD-9C4E-45F7-8539-F0AE022526BB}" name="Pilot" dataDxfId="83" totalsRowDxfId="82">
      <calculatedColumnFormula>_xlfn.XLOOKUP(CustomerCombined[[#This Row],[ID]], Table2[ID],Table2[Pilot], "Not Found", 0 )</calculatedColumnFormula>
    </tableColumn>
    <tableColumn id="25" xr3:uid="{73621760-8DE5-4057-A324-7CDABE78080C}" name="MC1" dataDxfId="81" totalsRowDxfId="80">
      <calculatedColumnFormula>_xlfn.XLOOKUP(CustomerCombined[[#This Row],[ID]], Table2[ID],Table2[MC1], "Not Found", 0 )</calculatedColumnFormula>
    </tableColumn>
    <tableColumn id="26" xr3:uid="{B7F689F5-093A-41AB-BAF3-40562CB31BB2}" name="MC2" dataDxfId="79" totalsRowDxfId="78">
      <calculatedColumnFormula>_xlfn.XLOOKUP(CustomerCombined[[#This Row],[ID]], Table2[ID],Table2[MC2], "Not Found", 0 )</calculatedColumnFormula>
    </tableColumn>
    <tableColumn id="27" xr3:uid="{9A836373-2516-4E1A-83E9-793EEE272E45}" name="MC3" dataDxfId="77" totalsRowDxfId="76">
      <calculatedColumnFormula>_xlfn.XLOOKUP(CustomerCombined[[#This Row],[ID]], Table2[ID],Table2[MC3], "Not Found", 0 )</calculatedColumnFormula>
    </tableColumn>
    <tableColumn id="28" xr3:uid="{0CC1B010-844E-45F2-B37D-98BAB78200E1}" name="MC4" dataDxfId="75" totalsRowDxfId="74">
      <calculatedColumnFormula>_xlfn.XLOOKUP(CustomerCombined[[#This Row],[ID]], Table2[ID],Table2[MC4], "Not Found", 0 )</calculatedColumnFormula>
    </tableColumn>
    <tableColumn id="29" xr3:uid="{4EE66A20-03ED-4B5B-B556-6DBD16D61B85}" name="MC5" dataDxfId="73" totalsRowDxfId="72">
      <calculatedColumnFormula>_xlfn.XLOOKUP(CustomerCombined[[#This Row],[ID]], Table2[ID],Table2[MC5], "Not Found", 0 )</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815B25A-AE8F-4D1C-9538-BF26F092E8F9}" name="CustomerCombinedCleaned" displayName="CustomerCombinedCleaned" ref="A1:AC2222" totalsRowShown="0" headerRowDxfId="71" dataDxfId="70" tableBorderDxfId="69">
  <autoFilter ref="A1:AC2222" xr:uid="{00000000-0009-0000-0100-000005000000}"/>
  <sortState xmlns:xlrd2="http://schemas.microsoft.com/office/spreadsheetml/2017/richdata2" ref="A2:AC2222">
    <sortCondition ref="E1:E2222"/>
  </sortState>
  <tableColumns count="29">
    <tableColumn id="1" xr3:uid="{90EA575A-2BE8-4E55-821B-439042B12A2F}" name="ID" dataDxfId="68" totalsRowDxfId="67"/>
    <tableColumn id="2" xr3:uid="{CAAB1535-06CB-4066-BE2C-A94204D387D1}" name="Income" dataDxfId="66" totalsRowDxfId="65"/>
    <tableColumn id="3" xr3:uid="{1D098562-C130-4E09-8632-107BEE879954}" name="Kids" dataDxfId="64" totalsRowDxfId="63"/>
    <tableColumn id="4" xr3:uid="{1E520F3B-10FA-47F0-9263-BD7CFFD29641}" name="Teens" dataDxfId="62" totalsRowDxfId="61"/>
    <tableColumn id="5" xr3:uid="{AE13B54D-8B18-4D54-9CA5-C45AEB8B5F81}" name="Age" dataDxfId="60" totalsRowDxfId="59"/>
    <tableColumn id="6" xr3:uid="{3D5147AF-BDD6-4803-8CB4-30FA3DFA7903}" name="Martial Status" dataDxfId="58" totalsRowDxfId="57"/>
    <tableColumn id="7" xr3:uid="{4D347F96-9004-470B-95AB-0DDF229CAFBA}" name="Education" dataDxfId="56" totalsRowDxfId="55"/>
    <tableColumn id="10" xr3:uid="{385CB4E1-DE7B-49CB-AFC9-5A2B2547622A}" name="Enrollment" dataDxfId="54"/>
    <tableColumn id="11" xr3:uid="{ED40D79B-073E-4317-8BAB-C234EDE83907}" name="State" dataDxfId="53" totalsRowDxfId="52"/>
    <tableColumn id="12" xr3:uid="{C435319C-C72B-4211-AA8A-15069056F228}" name="Recency" dataDxfId="51" totalsRowDxfId="50">
      <calculatedColumnFormula>_xlfn.XLOOKUP(CustomerCombinedCleaned[[#This Row],[ID]], Table4[ID], Table4[Recency], "Not Found", 0)</calculatedColumnFormula>
    </tableColumn>
    <tableColumn id="13" xr3:uid="{C6C495FE-F350-4733-BAE9-1D39A922C2BE}" name="Teas" dataDxfId="49" totalsRowDxfId="48">
      <calculatedColumnFormula>_xlfn.XLOOKUP(CustomerCombinedCleaned[[#This Row],[ID]], Table4[ID], Table4[Teas], "Not Found", 0)</calculatedColumnFormula>
    </tableColumn>
    <tableColumn id="14" xr3:uid="{3539C15B-DD5B-44E4-9B75-4F81AA45869D}" name="Fruits" dataDxfId="47" totalsRowDxfId="46">
      <calculatedColumnFormula>_xlfn.XLOOKUP(CustomerCombinedCleaned[[#This Row],[ID]], Table4[ID], Table4[Fruits], "Not Found", 0)</calculatedColumnFormula>
    </tableColumn>
    <tableColumn id="15" xr3:uid="{2E1D2DB9-A664-418A-9F84-FAA5D1FF1930}" name="Meats" dataDxfId="45" totalsRowDxfId="44">
      <calculatedColumnFormula>_xlfn.XLOOKUP(CustomerCombinedCleaned[[#This Row],[ID]], Table4[ID], Table4[Meats], "Not Found", 0)</calculatedColumnFormula>
    </tableColumn>
    <tableColumn id="16" xr3:uid="{F7E73C91-C721-4E3A-8190-BD007CD4F599}" name="Seafood" dataDxfId="43" totalsRowDxfId="42">
      <calculatedColumnFormula>_xlfn.XLOOKUP(CustomerCombinedCleaned[[#This Row],[ID]], Table4[ID], Table4[Seafood], "Not Found", 0)</calculatedColumnFormula>
    </tableColumn>
    <tableColumn id="17" xr3:uid="{38163695-2506-47EB-A75D-C9F8242D5C80}" name="Sweets" dataDxfId="41" totalsRowDxfId="40">
      <calculatedColumnFormula>_xlfn.XLOOKUP(CustomerCombinedCleaned[[#This Row],[ID]], Table4[ID], Table4[Sweets], "Not Found", 0)</calculatedColumnFormula>
    </tableColumn>
    <tableColumn id="18" xr3:uid="{4BE9BEEF-482F-438A-A582-B4090047E9FF}" name="Premium" dataDxfId="39" totalsRowDxfId="38">
      <calculatedColumnFormula>_xlfn.XLOOKUP(CustomerCombinedCleaned[[#This Row],[ID]], Table4[ID], Table4[Premium], "Not Found", 0)</calculatedColumnFormula>
    </tableColumn>
    <tableColumn id="19" xr3:uid="{9B4A7090-CA84-44A3-8F7F-524111A72340}" name="Regular" dataDxfId="37" totalsRowDxfId="36">
      <calculatedColumnFormula>_xlfn.XLOOKUP(CustomerCombinedCleaned[[#This Row],[ID]], Table4[ID], Table4[Regular], "Not Found", 0)</calculatedColumnFormula>
    </tableColumn>
    <tableColumn id="20" xr3:uid="{EE826607-E3B6-45B6-B83B-5CA185737B1F}" name="Deals" dataDxfId="35" totalsRowDxfId="34">
      <calculatedColumnFormula>_xlfn.XLOOKUP(CustomerCombinedCleaned[[#This Row],[ID]], Table4[ID], Table4[Deals], "Not Found", 0)</calculatedColumnFormula>
    </tableColumn>
    <tableColumn id="21" xr3:uid="{56897148-25EB-43FA-8BA6-B580826F5041}" name="Website" dataDxfId="33" totalsRowDxfId="32">
      <calculatedColumnFormula>_xlfn.XLOOKUP(CustomerCombinedCleaned[[#This Row],[ID]], Table4[ID], Table4[Website], "Not Found", 0)</calculatedColumnFormula>
    </tableColumn>
    <tableColumn id="22" xr3:uid="{8560C76D-ECB3-44F1-A8A7-8098E9AC627D}" name="Catalog" dataDxfId="31" totalsRowDxfId="30">
      <calculatedColumnFormula>_xlfn.XLOOKUP(CustomerCombinedCleaned[[#This Row],[ID]], Table4[ID], Table4[Catalog], "Not Found", 0)</calculatedColumnFormula>
    </tableColumn>
    <tableColumn id="23" xr3:uid="{16ACB89E-4214-480F-9A11-A6B073B467D5}" name="Store" dataDxfId="29" totalsRowDxfId="28">
      <calculatedColumnFormula>_xlfn.XLOOKUP(CustomerCombinedCleaned[[#This Row],[ID]], Table4[ID], Table4[Store], "Not Found", 0)</calculatedColumnFormula>
    </tableColumn>
    <tableColumn id="24" xr3:uid="{03DA40EA-E40A-4743-AE7F-5B66C113653B}" name="Visits" dataDxfId="27" totalsRowDxfId="26">
      <calculatedColumnFormula>_xlfn.XLOOKUP(CustomerCombinedCleaned[[#This Row],[ID]], Table4[ID], Table4[Visits], "Not Found", 0)</calculatedColumnFormula>
    </tableColumn>
    <tableColumn id="31" xr3:uid="{DDD12BCF-1658-407F-9E2D-39197BB6CC4A}" name="Complaint" dataDxfId="25" totalsRowDxfId="24">
      <calculatedColumnFormula>_xlfn.XLOOKUP(CustomerCombinedCleaned[[#This Row],[ID]], Table2[ID],Table2[Complaint], "Not Found", 0 )</calculatedColumnFormula>
    </tableColumn>
    <tableColumn id="30" xr3:uid="{245F13C0-B293-4112-B1CA-751072522E65}" name="Pilot" dataDxfId="23" totalsRowDxfId="22">
      <calculatedColumnFormula>_xlfn.XLOOKUP(CustomerCombinedCleaned[[#This Row],[ID]], Table2[ID],Table2[Pilot], "Not Found", 0 )</calculatedColumnFormula>
    </tableColumn>
    <tableColumn id="25" xr3:uid="{F931EB86-A8FC-4047-9386-A84F86E0AC3A}" name="MC1" dataDxfId="21" totalsRowDxfId="20">
      <calculatedColumnFormula>_xlfn.XLOOKUP(CustomerCombinedCleaned[[#This Row],[ID]], Table2[ID],Table2[MC1], "Not Found", 0 )</calculatedColumnFormula>
    </tableColumn>
    <tableColumn id="26" xr3:uid="{91B3A70D-691A-4632-9AFD-6B5B1C12821C}" name="MC2" dataDxfId="19" totalsRowDxfId="18">
      <calculatedColumnFormula>_xlfn.XLOOKUP(CustomerCombinedCleaned[[#This Row],[ID]], Table2[ID],Table2[MC2], "Not Found", 0 )</calculatedColumnFormula>
    </tableColumn>
    <tableColumn id="27" xr3:uid="{66DEB206-6AAE-4ACE-8B88-A8EA4AE8576B}" name="MC3" dataDxfId="17" totalsRowDxfId="16">
      <calculatedColumnFormula>_xlfn.XLOOKUP(CustomerCombinedCleaned[[#This Row],[ID]], Table2[ID],Table2[MC3], "Not Found", 0 )</calculatedColumnFormula>
    </tableColumn>
    <tableColumn id="28" xr3:uid="{C2DFFBFD-537C-4FEF-A537-6543EAC77D75}" name="MC4" dataDxfId="15" totalsRowDxfId="14">
      <calculatedColumnFormula>_xlfn.XLOOKUP(CustomerCombinedCleaned[[#This Row],[ID]], Table2[ID],Table2[MC4], "Not Found", 0 )</calculatedColumnFormula>
    </tableColumn>
    <tableColumn id="29" xr3:uid="{0DB37E39-2515-4439-9AF9-CC1001E60159}" name="MC5" dataDxfId="13" totalsRowDxfId="12">
      <calculatedColumnFormula>_xlfn.XLOOKUP(CustomerCombinedCleaned[[#This Row],[ID]], Table2[ID],Table2[MC5], "Not Found", 0 )</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I2221" totalsRowShown="0">
  <autoFilter ref="A1:I2221" xr:uid="{00000000-0009-0000-0100-000002000000}"/>
  <tableColumns count="9">
    <tableColumn id="1" xr3:uid="{00000000-0010-0000-0100-000001000000}" name="ID"/>
    <tableColumn id="2" xr3:uid="{00000000-0010-0000-0100-000002000000}" name="MC3"/>
    <tableColumn id="3" xr3:uid="{00000000-0010-0000-0100-000003000000}" name="MC4"/>
    <tableColumn id="4" xr3:uid="{00000000-0010-0000-0100-000004000000}" name="MC5"/>
    <tableColumn id="5" xr3:uid="{00000000-0010-0000-0100-000005000000}" name="MC1"/>
    <tableColumn id="6" xr3:uid="{00000000-0010-0000-0100-000006000000}" name="MC2"/>
    <tableColumn id="7" xr3:uid="{00000000-0010-0000-0100-000007000000}" name="Complaint"/>
    <tableColumn id="8" xr3:uid="{00000000-0010-0000-0100-000008000000}" name="Pilot"/>
    <tableColumn id="9" xr3:uid="{00000000-0010-0000-0100-000009000000}" name="Enrollment" dataDxfId="5"/>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2221" totalsRowShown="0">
  <autoFilter ref="A1:N2221" xr:uid="{00000000-0009-0000-0100-000004000000}">
    <filterColumn colId="0">
      <filters>
        <filter val="2873"/>
      </filters>
    </filterColumn>
  </autoFilter>
  <tableColumns count="14">
    <tableColumn id="1" xr3:uid="{00000000-0010-0000-0200-000001000000}" name="ID"/>
    <tableColumn id="2" xr3:uid="{00000000-0010-0000-0200-000002000000}" name="Recency"/>
    <tableColumn id="3" xr3:uid="{00000000-0010-0000-0200-000003000000}" name="Teas"/>
    <tableColumn id="4" xr3:uid="{00000000-0010-0000-0200-000004000000}" name="Fruits"/>
    <tableColumn id="5" xr3:uid="{00000000-0010-0000-0200-000005000000}" name="Meats"/>
    <tableColumn id="6" xr3:uid="{00000000-0010-0000-0200-000006000000}" name="Seafood"/>
    <tableColumn id="7" xr3:uid="{00000000-0010-0000-0200-000007000000}" name="Sweets"/>
    <tableColumn id="8" xr3:uid="{00000000-0010-0000-0200-000008000000}" name="Premium"/>
    <tableColumn id="9" xr3:uid="{00000000-0010-0000-0200-000009000000}" name="Regular"/>
    <tableColumn id="10" xr3:uid="{00000000-0010-0000-0200-00000A000000}" name="Deals"/>
    <tableColumn id="11" xr3:uid="{00000000-0010-0000-0200-00000B000000}" name="Website"/>
    <tableColumn id="12" xr3:uid="{00000000-0010-0000-0200-00000C000000}" name="Catalog"/>
    <tableColumn id="13" xr3:uid="{00000000-0010-0000-0200-00000D000000}" name="Store"/>
    <tableColumn id="14" xr3:uid="{00000000-0010-0000-0200-00000E000000}" name="Visit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A1:T2221" totalsRowShown="0">
  <autoFilter ref="A1:T2221" xr:uid="{00000000-0009-0000-0100-000001000000}"/>
  <tableColumns count="20">
    <tableColumn id="1" xr3:uid="{00000000-0010-0000-0300-000001000000}" name="ID"/>
    <tableColumn id="2" xr3:uid="{00000000-0010-0000-0300-000002000000}" name="Income"/>
    <tableColumn id="3" xr3:uid="{00000000-0010-0000-0300-000003000000}" name="Kids"/>
    <tableColumn id="4" xr3:uid="{00000000-0010-0000-0300-000004000000}" name="Teens"/>
    <tableColumn id="5" xr3:uid="{00000000-0010-0000-0300-000005000000}" name="Age"/>
    <tableColumn id="6" xr3:uid="{00000000-0010-0000-0300-000006000000}" name="Divorced"/>
    <tableColumn id="7" xr3:uid="{00000000-0010-0000-0300-000007000000}" name="Married"/>
    <tableColumn id="8" xr3:uid="{00000000-0010-0000-0300-000008000000}" name="Single"/>
    <tableColumn id="9" xr3:uid="{00000000-0010-0000-0300-000009000000}" name="Together"/>
    <tableColumn id="10" xr3:uid="{00000000-0010-0000-0300-00000A000000}" name="Widow"/>
    <tableColumn id="11" xr3:uid="{00000000-0010-0000-0300-00000B000000}" name="Basic"/>
    <tableColumn id="12" xr3:uid="{00000000-0010-0000-0300-00000C000000}" name="Graduate"/>
    <tableColumn id="13" xr3:uid="{00000000-0010-0000-0300-00000D000000}" name="Master"/>
    <tableColumn id="14" xr3:uid="{00000000-0010-0000-0300-00000E000000}" name="PhD"/>
    <tableColumn id="17" xr3:uid="{00000000-0010-0000-0300-000011000000}" name="Martial Status" dataDxfId="4">
      <calculatedColumnFormula array="1">_xlfn.IFS(Table1[[#This Row],[Divorced]]=1, "Divorced", Table1[[#This Row],[Married]]=1, "Married", Table1[[#This Row],[Single]]=1, "Single", Table1[[#This Row],[Together]]=1, "Together", Table1[[#This Row],[Widow]]=1, "Widow")</calculatedColumnFormula>
    </tableColumn>
    <tableColumn id="18" xr3:uid="{00000000-0010-0000-0300-000012000000}" name="Education" dataDxfId="3">
      <calculatedColumnFormula array="1">_xlfn.IFS(Table1[[#This Row],[Basic]]=1, "Basic", Table1[[#This Row],[Graduate]]=1, "Graduate", Table1[[#This Row],[Master]]=1, "Master", Table1[[#This Row],[PhD]]=1, "PhD", AND(Table1[[#This Row],[Basic]]=0, Table1[[#This Row],[Graduate]]=0, Table1[[#This Row],[Master]]=0, Table1[[#This Row],[PhD]]=0), "NA")</calculatedColumnFormula>
    </tableColumn>
    <tableColumn id="20" xr3:uid="{00000000-0010-0000-0300-000014000000}" name="Complaint" dataDxfId="2">
      <calculatedColumnFormula>_xlfn.XLOOKUP(Table1[[#This Row],[ID]], Table2[ID],#REF!, "Not Found", 0)</calculatedColumnFormula>
    </tableColumn>
    <tableColumn id="22" xr3:uid="{00000000-0010-0000-0300-000016000000}" name="Pilot" dataDxfId="1">
      <calculatedColumnFormula>_xlfn.XLOOKUP(Table1[[#This Row],[ID]], Table2[ID],#REF!, "Not Found", 0)</calculatedColumnFormula>
    </tableColumn>
    <tableColumn id="21" xr3:uid="{00000000-0010-0000-0300-000015000000}" name="Enrollment" dataDxfId="0">
      <calculatedColumnFormula>_xlfn.XLOOKUP(Table1[[#This Row],[ID]], Table2[ID], Table2[Enrollment], "Not Found", 0)</calculatedColumnFormula>
    </tableColumn>
    <tableColumn id="16" xr3:uid="{00000000-0010-0000-0300-000010000000}" name="Stat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221"/>
  <sheetViews>
    <sheetView tabSelected="1" workbookViewId="0">
      <selection activeCell="E3" sqref="E3"/>
    </sheetView>
  </sheetViews>
  <sheetFormatPr defaultRowHeight="14.4" x14ac:dyDescent="0.3"/>
  <cols>
    <col min="1" max="1" width="8.88671875" style="5"/>
    <col min="2" max="2" width="9.21875" style="5" customWidth="1"/>
    <col min="3" max="5" width="8.88671875" style="5"/>
    <col min="6" max="6" width="14.88671875" style="5" bestFit="1" customWidth="1"/>
    <col min="7" max="7" width="11.6640625" style="5" bestFit="1" customWidth="1"/>
    <col min="8" max="8" width="14.6640625" style="3" bestFit="1" customWidth="1"/>
    <col min="9" max="9" width="8.88671875" style="5" bestFit="1" customWidth="1"/>
    <col min="10" max="10" width="12.44140625" style="5" bestFit="1" customWidth="1"/>
    <col min="11" max="22" width="8.88671875" style="5"/>
    <col min="23" max="23" width="15.109375" style="5" bestFit="1" customWidth="1"/>
    <col min="24" max="16384" width="8.88671875" style="5"/>
  </cols>
  <sheetData>
    <row r="1" spans="1:29" x14ac:dyDescent="0.3">
      <c r="A1" s="4" t="s">
        <v>0</v>
      </c>
      <c r="B1" s="4" t="s">
        <v>1</v>
      </c>
      <c r="C1" s="4" t="s">
        <v>2</v>
      </c>
      <c r="D1" s="4" t="s">
        <v>3</v>
      </c>
      <c r="E1" s="4" t="s">
        <v>4</v>
      </c>
      <c r="F1" s="5" t="s">
        <v>440</v>
      </c>
      <c r="G1" s="5" t="s">
        <v>441</v>
      </c>
      <c r="H1" s="3" t="s">
        <v>22</v>
      </c>
      <c r="I1" s="5" t="s">
        <v>14</v>
      </c>
      <c r="J1" s="5" t="s">
        <v>421</v>
      </c>
      <c r="K1" s="5" t="s">
        <v>422</v>
      </c>
      <c r="L1" s="5" t="s">
        <v>423</v>
      </c>
      <c r="M1" s="5" t="s">
        <v>424</v>
      </c>
      <c r="N1" s="5" t="s">
        <v>425</v>
      </c>
      <c r="O1" s="5" t="s">
        <v>426</v>
      </c>
      <c r="P1" s="5" t="s">
        <v>427</v>
      </c>
      <c r="Q1" s="5" t="s">
        <v>428</v>
      </c>
      <c r="R1" s="5" t="s">
        <v>429</v>
      </c>
      <c r="S1" s="5" t="s">
        <v>430</v>
      </c>
      <c r="T1" s="5" t="s">
        <v>431</v>
      </c>
      <c r="U1" s="5" t="s">
        <v>432</v>
      </c>
      <c r="V1" s="5" t="s">
        <v>433</v>
      </c>
      <c r="W1" s="5" t="s">
        <v>20</v>
      </c>
      <c r="X1" s="5" t="s">
        <v>21</v>
      </c>
      <c r="Y1" s="5" t="s">
        <v>18</v>
      </c>
      <c r="Z1" s="5" t="s">
        <v>19</v>
      </c>
      <c r="AA1" s="5" t="s">
        <v>15</v>
      </c>
      <c r="AB1" s="5" t="s">
        <v>16</v>
      </c>
      <c r="AC1" s="5" t="s">
        <v>17</v>
      </c>
    </row>
    <row r="2" spans="1:29" x14ac:dyDescent="0.3">
      <c r="A2" s="6">
        <v>3219</v>
      </c>
      <c r="B2" s="6">
        <v>168423</v>
      </c>
      <c r="C2" s="6">
        <v>0</v>
      </c>
      <c r="D2" s="6">
        <v>1</v>
      </c>
      <c r="E2" s="6">
        <v>-64</v>
      </c>
      <c r="F2" s="5" t="s">
        <v>8</v>
      </c>
      <c r="G2" s="5" t="s">
        <v>12</v>
      </c>
      <c r="H2" s="3" t="s">
        <v>108</v>
      </c>
      <c r="I2" s="5" t="s">
        <v>435</v>
      </c>
      <c r="J2" s="5">
        <f>_xlfn.XLOOKUP(CustomerCombined[[#This Row],[ID]], Table4[ID], Table4[Recency], "Not Found", 0)</f>
        <v>8</v>
      </c>
      <c r="K2" s="5">
        <f>_xlfn.XLOOKUP(CustomerCombined[[#This Row],[ID]], Table4[ID], Table4[Teas], "Not Found", 0)</f>
        <v>1054</v>
      </c>
      <c r="L2" s="5">
        <f>_xlfn.XLOOKUP(CustomerCombined[[#This Row],[ID]], Table4[ID], Table4[Fruits], "Not Found", 0)</f>
        <v>74</v>
      </c>
      <c r="M2" s="5">
        <f>_xlfn.XLOOKUP(CustomerCombined[[#This Row],[ID]], Table4[ID], Table4[Meats], "Not Found", 0)</f>
        <v>527</v>
      </c>
      <c r="N2" s="5">
        <f>_xlfn.XLOOKUP(CustomerCombined[[#This Row],[ID]], Table4[ID], Table4[Seafood], "Not Found", 0)</f>
        <v>197</v>
      </c>
      <c r="O2" s="5">
        <f>_xlfn.XLOOKUP(CustomerCombined[[#This Row],[ID]], Table4[ID], Table4[Sweets], "Not Found", 0)</f>
        <v>74</v>
      </c>
      <c r="P2" s="5">
        <f>_xlfn.XLOOKUP(CustomerCombined[[#This Row],[ID]], Table4[ID], Table4[Premium], "Not Found", 0)</f>
        <v>150</v>
      </c>
      <c r="Q2" s="5">
        <f>_xlfn.XLOOKUP(CustomerCombined[[#This Row],[ID]], Table4[ID], Table4[Regular], "Not Found", 0)</f>
        <v>1775</v>
      </c>
      <c r="R2" s="5">
        <f>_xlfn.XLOOKUP(CustomerCombined[[#This Row],[ID]], Table4[ID], Table4[Deals], "Not Found", 0)</f>
        <v>2</v>
      </c>
      <c r="S2" s="5">
        <f>_xlfn.XLOOKUP(CustomerCombined[[#This Row],[ID]], Table4[ID], Table4[Website], "Not Found", 0)</f>
        <v>6</v>
      </c>
      <c r="T2" s="5">
        <f>_xlfn.XLOOKUP(CustomerCombined[[#This Row],[ID]], Table4[ID], Table4[Catalog], "Not Found", 0)</f>
        <v>5</v>
      </c>
      <c r="U2" s="5">
        <f>_xlfn.XLOOKUP(CustomerCombined[[#This Row],[ID]], Table4[ID], Table4[Store], "Not Found", 0)</f>
        <v>10</v>
      </c>
      <c r="V2" s="5">
        <f>_xlfn.XLOOKUP(CustomerCombined[[#This Row],[ID]], Table4[ID], Table4[Visits], "Not Found", 0)</f>
        <v>3</v>
      </c>
      <c r="W2" s="8">
        <f>_xlfn.XLOOKUP(CustomerCombined[[#This Row],[ID]], Table2[ID],Table2[Complaint], "Not Found", 0 )</f>
        <v>0</v>
      </c>
      <c r="X2" s="8">
        <f>_xlfn.XLOOKUP(CustomerCombined[[#This Row],[ID]], Table2[ID],Table2[Pilot], "Not Found", 0 )</f>
        <v>0</v>
      </c>
      <c r="Y2" s="8">
        <f>_xlfn.XLOOKUP(CustomerCombined[[#This Row],[ID]], Table2[ID],Table2[MC1], "Not Found", 0 )</f>
        <v>0</v>
      </c>
      <c r="Z2" s="8">
        <f>_xlfn.XLOOKUP(CustomerCombined[[#This Row],[ID]], Table2[ID],Table2[MC2], "Not Found", 0 )</f>
        <v>0</v>
      </c>
      <c r="AA2" s="8">
        <f>_xlfn.XLOOKUP(CustomerCombined[[#This Row],[ID]], Table2[ID],Table2[MC3], "Not Found", 0 )</f>
        <v>0</v>
      </c>
      <c r="AB2" s="8">
        <f>_xlfn.XLOOKUP(CustomerCombined[[#This Row],[ID]], Table2[ID],Table2[MC4], "Not Found", 0 )</f>
        <v>0</v>
      </c>
      <c r="AC2" s="8">
        <f>_xlfn.XLOOKUP(CustomerCombined[[#This Row],[ID]], Table2[ID],Table2[MC5], "Not Found", 0 )</f>
        <v>0</v>
      </c>
    </row>
    <row r="3" spans="1:29" x14ac:dyDescent="0.3">
      <c r="A3" s="6">
        <v>3220</v>
      </c>
      <c r="B3" s="6">
        <v>169534</v>
      </c>
      <c r="C3" s="6">
        <v>1</v>
      </c>
      <c r="D3" s="6">
        <v>1</v>
      </c>
      <c r="E3" s="6">
        <v>0</v>
      </c>
      <c r="F3" s="5" t="s">
        <v>6</v>
      </c>
      <c r="G3" s="5" t="s">
        <v>13</v>
      </c>
      <c r="H3" s="3" t="s">
        <v>379</v>
      </c>
      <c r="I3" s="5" t="s">
        <v>439</v>
      </c>
      <c r="J3" s="5">
        <f>_xlfn.XLOOKUP(CustomerCombined[[#This Row],[ID]], Table4[ID], Table4[Recency], "Not Found", 0)</f>
        <v>40</v>
      </c>
      <c r="K3" s="5">
        <f>_xlfn.XLOOKUP(CustomerCombined[[#This Row],[ID]], Table4[ID], Table4[Teas], "Not Found", 0)</f>
        <v>205</v>
      </c>
      <c r="L3" s="5">
        <f>_xlfn.XLOOKUP(CustomerCombined[[#This Row],[ID]], Table4[ID], Table4[Fruits], "Not Found", 0)</f>
        <v>7</v>
      </c>
      <c r="M3" s="5">
        <f>_xlfn.XLOOKUP(CustomerCombined[[#This Row],[ID]], Table4[ID], Table4[Meats], "Not Found", 0)</f>
        <v>149</v>
      </c>
      <c r="N3" s="5">
        <f>_xlfn.XLOOKUP(CustomerCombined[[#This Row],[ID]], Table4[ID], Table4[Seafood], "Not Found", 0)</f>
        <v>5</v>
      </c>
      <c r="O3" s="5">
        <f>_xlfn.XLOOKUP(CustomerCombined[[#This Row],[ID]], Table4[ID], Table4[Sweets], "Not Found", 0)</f>
        <v>2</v>
      </c>
      <c r="P3" s="5">
        <f>_xlfn.XLOOKUP(CustomerCombined[[#This Row],[ID]], Table4[ID], Table4[Premium], "Not Found", 0)</f>
        <v>51</v>
      </c>
      <c r="Q3" s="5">
        <f>_xlfn.XLOOKUP(CustomerCombined[[#This Row],[ID]], Table4[ID], Table4[Regular], "Not Found", 0)</f>
        <v>317</v>
      </c>
      <c r="R3" s="5">
        <f>_xlfn.XLOOKUP(CustomerCombined[[#This Row],[ID]], Table4[ID], Table4[Deals], "Not Found", 0)</f>
        <v>3</v>
      </c>
      <c r="S3" s="5">
        <f>_xlfn.XLOOKUP(CustomerCombined[[#This Row],[ID]], Table4[ID], Table4[Website], "Not Found", 0)</f>
        <v>3</v>
      </c>
      <c r="T3" s="5">
        <f>_xlfn.XLOOKUP(CustomerCombined[[#This Row],[ID]], Table4[ID], Table4[Catalog], "Not Found", 0)</f>
        <v>1</v>
      </c>
      <c r="U3" s="5">
        <f>_xlfn.XLOOKUP(CustomerCombined[[#This Row],[ID]], Table4[ID], Table4[Store], "Not Found", 0)</f>
        <v>4</v>
      </c>
      <c r="V3" s="5">
        <f>_xlfn.XLOOKUP(CustomerCombined[[#This Row],[ID]], Table4[ID], Table4[Visits], "Not Found", 0)</f>
        <v>7</v>
      </c>
      <c r="W3" s="8">
        <f>_xlfn.XLOOKUP(CustomerCombined[[#This Row],[ID]], Table2[ID],Table2[Complaint], "Not Found", 0 )</f>
        <v>0</v>
      </c>
      <c r="X3" s="8">
        <f>_xlfn.XLOOKUP(CustomerCombined[[#This Row],[ID]], Table2[ID],Table2[Pilot], "Not Found", 0 )</f>
        <v>1</v>
      </c>
      <c r="Y3" s="8">
        <f>_xlfn.XLOOKUP(CustomerCombined[[#This Row],[ID]], Table2[ID],Table2[MC1], "Not Found", 0 )</f>
        <v>0</v>
      </c>
      <c r="Z3" s="8">
        <f>_xlfn.XLOOKUP(CustomerCombined[[#This Row],[ID]], Table2[ID],Table2[MC2], "Not Found", 0 )</f>
        <v>0</v>
      </c>
      <c r="AA3" s="8">
        <f>_xlfn.XLOOKUP(CustomerCombined[[#This Row],[ID]], Table2[ID],Table2[MC3], "Not Found", 0 )</f>
        <v>0</v>
      </c>
      <c r="AB3" s="8">
        <f>_xlfn.XLOOKUP(CustomerCombined[[#This Row],[ID]], Table2[ID],Table2[MC4], "Not Found", 0 )</f>
        <v>0</v>
      </c>
      <c r="AC3" s="8">
        <f>_xlfn.XLOOKUP(CustomerCombined[[#This Row],[ID]], Table2[ID],Table2[MC5], "Not Found", 0 )</f>
        <v>0</v>
      </c>
    </row>
    <row r="4" spans="1:29" x14ac:dyDescent="0.3">
      <c r="A4" s="6">
        <v>3218</v>
      </c>
      <c r="B4" s="6">
        <v>167312</v>
      </c>
      <c r="C4" s="6">
        <v>0</v>
      </c>
      <c r="D4" s="6">
        <v>0</v>
      </c>
      <c r="E4" s="6">
        <v>1</v>
      </c>
      <c r="F4" s="5" t="s">
        <v>5</v>
      </c>
      <c r="G4" s="5" t="s">
        <v>11</v>
      </c>
      <c r="H4" s="3">
        <v>43837</v>
      </c>
      <c r="I4" s="5" t="s">
        <v>438</v>
      </c>
      <c r="J4" s="5">
        <f>_xlfn.XLOOKUP(CustomerCombined[[#This Row],[ID]], Table4[ID], Table4[Recency], "Not Found", 0)</f>
        <v>91</v>
      </c>
      <c r="K4" s="5">
        <f>_xlfn.XLOOKUP(CustomerCombined[[#This Row],[ID]], Table4[ID], Table4[Teas], "Not Found", 0)</f>
        <v>2257</v>
      </c>
      <c r="L4" s="5">
        <f>_xlfn.XLOOKUP(CustomerCombined[[#This Row],[ID]], Table4[ID], Table4[Fruits], "Not Found", 0)</f>
        <v>119</v>
      </c>
      <c r="M4" s="5">
        <f>_xlfn.XLOOKUP(CustomerCombined[[#This Row],[ID]], Table4[ID], Table4[Meats], "Not Found", 0)</f>
        <v>539</v>
      </c>
      <c r="N4" s="5">
        <f>_xlfn.XLOOKUP(CustomerCombined[[#This Row],[ID]], Table4[ID], Table4[Seafood], "Not Found", 0)</f>
        <v>80</v>
      </c>
      <c r="O4" s="5">
        <f>_xlfn.XLOOKUP(CustomerCombined[[#This Row],[ID]], Table4[ID], Table4[Sweets], "Not Found", 0)</f>
        <v>30</v>
      </c>
      <c r="P4" s="5">
        <f>_xlfn.XLOOKUP(CustomerCombined[[#This Row],[ID]], Table4[ID], Table4[Premium], "Not Found", 0)</f>
        <v>60</v>
      </c>
      <c r="Q4" s="5">
        <f>_xlfn.XLOOKUP(CustomerCombined[[#This Row],[ID]], Table4[ID], Table4[Regular], "Not Found", 0)</f>
        <v>2965</v>
      </c>
      <c r="R4" s="5">
        <f>_xlfn.XLOOKUP(CustomerCombined[[#This Row],[ID]], Table4[ID], Table4[Deals], "Not Found", 0)</f>
        <v>1</v>
      </c>
      <c r="S4" s="5">
        <f>_xlfn.XLOOKUP(CustomerCombined[[#This Row],[ID]], Table4[ID], Table4[Website], "Not Found", 0)</f>
        <v>2</v>
      </c>
      <c r="T4" s="5">
        <f>_xlfn.XLOOKUP(CustomerCombined[[#This Row],[ID]], Table4[ID], Table4[Catalog], "Not Found", 0)</f>
        <v>3</v>
      </c>
      <c r="U4" s="5">
        <f>_xlfn.XLOOKUP(CustomerCombined[[#This Row],[ID]], Table4[ID], Table4[Store], "Not Found", 0)</f>
        <v>-10</v>
      </c>
      <c r="V4" s="5">
        <f>_xlfn.XLOOKUP(CustomerCombined[[#This Row],[ID]], Table4[ID], Table4[Visits], "Not Found", 0)</f>
        <v>6</v>
      </c>
      <c r="W4" s="8">
        <f>_xlfn.XLOOKUP(CustomerCombined[[#This Row],[ID]], Table2[ID],Table2[Complaint], "Not Found", 0 )</f>
        <v>0</v>
      </c>
      <c r="X4" s="8">
        <f>_xlfn.XLOOKUP(CustomerCombined[[#This Row],[ID]], Table2[ID],Table2[Pilot], "Not Found", 0 )</f>
        <v>0</v>
      </c>
      <c r="Y4" s="8">
        <f>_xlfn.XLOOKUP(CustomerCombined[[#This Row],[ID]], Table2[ID],Table2[MC1], "Not Found", 0 )</f>
        <v>0</v>
      </c>
      <c r="Z4" s="8">
        <f>_xlfn.XLOOKUP(CustomerCombined[[#This Row],[ID]], Table2[ID],Table2[MC2], "Not Found", 0 )</f>
        <v>0</v>
      </c>
      <c r="AA4" s="8">
        <f>_xlfn.XLOOKUP(CustomerCombined[[#This Row],[ID]], Table2[ID],Table2[MC3], "Not Found", 0 )</f>
        <v>0</v>
      </c>
      <c r="AB4" s="8">
        <f>_xlfn.XLOOKUP(CustomerCombined[[#This Row],[ID]], Table2[ID],Table2[MC4], "Not Found", 0 )</f>
        <v>1</v>
      </c>
      <c r="AC4" s="8">
        <f>_xlfn.XLOOKUP(CustomerCombined[[#This Row],[ID]], Table2[ID],Table2[MC5], "Not Found", 0 )</f>
        <v>0</v>
      </c>
    </row>
    <row r="5" spans="1:29" x14ac:dyDescent="0.3">
      <c r="A5" s="6">
        <v>2151</v>
      </c>
      <c r="B5" s="6">
        <v>114421</v>
      </c>
      <c r="C5" s="6">
        <v>0</v>
      </c>
      <c r="D5" s="6">
        <v>0</v>
      </c>
      <c r="E5" s="6">
        <v>24</v>
      </c>
      <c r="F5" s="5" t="s">
        <v>6</v>
      </c>
      <c r="G5" s="5" t="s">
        <v>10</v>
      </c>
      <c r="H5" s="3" t="s">
        <v>96</v>
      </c>
      <c r="I5" s="5" t="s">
        <v>435</v>
      </c>
      <c r="J5" s="5">
        <f>_xlfn.XLOOKUP(CustomerCombined[[#This Row],[ID]], Table4[ID], Table4[Recency], "Not Found", 0)</f>
        <v>81</v>
      </c>
      <c r="K5" s="5">
        <f>_xlfn.XLOOKUP(CustomerCombined[[#This Row],[ID]], Table4[ID], Table4[Teas], "Not Found", 0)</f>
        <v>0</v>
      </c>
      <c r="L5" s="5">
        <f>_xlfn.XLOOKUP(CustomerCombined[[#This Row],[ID]], Table4[ID], Table4[Fruits], "Not Found", 0)</f>
        <v>0</v>
      </c>
      <c r="M5" s="5">
        <f>_xlfn.XLOOKUP(CustomerCombined[[#This Row],[ID]], Table4[ID], Table4[Meats], "Not Found", 0)</f>
        <v>16</v>
      </c>
      <c r="N5" s="5">
        <f>_xlfn.XLOOKUP(CustomerCombined[[#This Row],[ID]], Table4[ID], Table4[Seafood], "Not Found", 0)</f>
        <v>24</v>
      </c>
      <c r="O5" s="5">
        <f>_xlfn.XLOOKUP(CustomerCombined[[#This Row],[ID]], Table4[ID], Table4[Sweets], "Not Found", 0)</f>
        <v>24</v>
      </c>
      <c r="P5" s="5">
        <f>_xlfn.XLOOKUP(CustomerCombined[[#This Row],[ID]], Table4[ID], Table4[Premium], "Not Found", 0)</f>
        <v>63</v>
      </c>
      <c r="Q5" s="5">
        <f>_xlfn.XLOOKUP(CustomerCombined[[#This Row],[ID]], Table4[ID], Table4[Regular], "Not Found", 0)</f>
        <v>0</v>
      </c>
      <c r="R5" s="5">
        <f>_xlfn.XLOOKUP(CustomerCombined[[#This Row],[ID]], Table4[ID], Table4[Deals], "Not Found", 0)</f>
        <v>1</v>
      </c>
      <c r="S5" s="5">
        <f>_xlfn.XLOOKUP(CustomerCombined[[#This Row],[ID]], Table4[ID], Table4[Website], "Not Found", 0)</f>
        <v>1</v>
      </c>
      <c r="T5" s="5">
        <f>_xlfn.XLOOKUP(CustomerCombined[[#This Row],[ID]], Table4[ID], Table4[Catalog], "Not Found", 0)</f>
        <v>0</v>
      </c>
      <c r="U5" s="5">
        <f>_xlfn.XLOOKUP(CustomerCombined[[#This Row],[ID]], Table4[ID], Table4[Store], "Not Found", 0)</f>
        <v>2</v>
      </c>
      <c r="V5" s="5">
        <f>_xlfn.XLOOKUP(CustomerCombined[[#This Row],[ID]], Table4[ID], Table4[Visits], "Not Found", 0)</f>
        <v>5</v>
      </c>
      <c r="W5" s="8">
        <f>_xlfn.XLOOKUP(CustomerCombined[[#This Row],[ID]], Table2[ID],Table2[Complaint], "Not Found", 0 )</f>
        <v>0</v>
      </c>
      <c r="X5" s="8">
        <f>_xlfn.XLOOKUP(CustomerCombined[[#This Row],[ID]], Table2[ID],Table2[Pilot], "Not Found", 0 )</f>
        <v>0</v>
      </c>
      <c r="Y5" s="8">
        <f>_xlfn.XLOOKUP(CustomerCombined[[#This Row],[ID]], Table2[ID],Table2[MC1], "Not Found", 0 )</f>
        <v>0</v>
      </c>
      <c r="Z5" s="8">
        <f>_xlfn.XLOOKUP(CustomerCombined[[#This Row],[ID]], Table2[ID],Table2[MC2], "Not Found", 0 )</f>
        <v>0</v>
      </c>
      <c r="AA5" s="8">
        <f>_xlfn.XLOOKUP(CustomerCombined[[#This Row],[ID]], Table2[ID],Table2[MC3], "Not Found", 0 )</f>
        <v>1</v>
      </c>
      <c r="AB5" s="8">
        <f>_xlfn.XLOOKUP(CustomerCombined[[#This Row],[ID]], Table2[ID],Table2[MC4], "Not Found", 0 )</f>
        <v>0</v>
      </c>
      <c r="AC5" s="8">
        <f>_xlfn.XLOOKUP(CustomerCombined[[#This Row],[ID]], Table2[ID],Table2[MC5], "Not Found", 0 )</f>
        <v>0</v>
      </c>
    </row>
    <row r="6" spans="1:29" x14ac:dyDescent="0.3">
      <c r="A6" s="6">
        <v>1044</v>
      </c>
      <c r="B6" s="6">
        <v>107500</v>
      </c>
      <c r="C6" s="6">
        <v>0</v>
      </c>
      <c r="D6" s="6">
        <v>0</v>
      </c>
      <c r="E6" s="6">
        <v>24</v>
      </c>
      <c r="F6" s="5" t="s">
        <v>6</v>
      </c>
      <c r="G6" s="5" t="s">
        <v>442</v>
      </c>
      <c r="H6" s="3" t="s">
        <v>366</v>
      </c>
      <c r="I6" s="5" t="s">
        <v>436</v>
      </c>
      <c r="J6" s="5">
        <f>_xlfn.XLOOKUP(CustomerCombined[[#This Row],[ID]], Table4[ID], Table4[Recency], "Not Found", 0)</f>
        <v>24</v>
      </c>
      <c r="K6" s="5">
        <f>_xlfn.XLOOKUP(CustomerCombined[[#This Row],[ID]], Table4[ID], Table4[Teas], "Not Found", 0)</f>
        <v>43</v>
      </c>
      <c r="L6" s="5">
        <f>_xlfn.XLOOKUP(CustomerCombined[[#This Row],[ID]], Table4[ID], Table4[Fruits], "Not Found", 0)</f>
        <v>258</v>
      </c>
      <c r="M6" s="5">
        <f>_xlfn.XLOOKUP(CustomerCombined[[#This Row],[ID]], Table4[ID], Table4[Meats], "Not Found", 0)</f>
        <v>201</v>
      </c>
      <c r="N6" s="5">
        <f>_xlfn.XLOOKUP(CustomerCombined[[#This Row],[ID]], Table4[ID], Table4[Seafood], "Not Found", 0)</f>
        <v>215</v>
      </c>
      <c r="O6" s="5">
        <f>_xlfn.XLOOKUP(CustomerCombined[[#This Row],[ID]], Table4[ID], Table4[Sweets], "Not Found", 0)</f>
        <v>315</v>
      </c>
      <c r="P6" s="5">
        <f>_xlfn.XLOOKUP(CustomerCombined[[#This Row],[ID]], Table4[ID], Table4[Premium], "Not Found", 0)</f>
        <v>717</v>
      </c>
      <c r="Q6" s="5">
        <f>_xlfn.XLOOKUP(CustomerCombined[[#This Row],[ID]], Table4[ID], Table4[Regular], "Not Found", 0)</f>
        <v>315</v>
      </c>
      <c r="R6" s="5">
        <f>_xlfn.XLOOKUP(CustomerCombined[[#This Row],[ID]], Table4[ID], Table4[Deals], "Not Found", 0)</f>
        <v>3</v>
      </c>
      <c r="S6" s="5">
        <f>_xlfn.XLOOKUP(CustomerCombined[[#This Row],[ID]], Table4[ID], Table4[Website], "Not Found", 0)</f>
        <v>3</v>
      </c>
      <c r="T6" s="5">
        <f>_xlfn.XLOOKUP(CustomerCombined[[#This Row],[ID]], Table4[ID], Table4[Catalog], "Not Found", 0)</f>
        <v>1</v>
      </c>
      <c r="U6" s="5">
        <f>_xlfn.XLOOKUP(CustomerCombined[[#This Row],[ID]], Table4[ID], Table4[Store], "Not Found", 0)</f>
        <v>3</v>
      </c>
      <c r="V6" s="5">
        <f>_xlfn.XLOOKUP(CustomerCombined[[#This Row],[ID]], Table4[ID], Table4[Visits], "Not Found", 0)</f>
        <v>9</v>
      </c>
      <c r="W6" s="8">
        <f>_xlfn.XLOOKUP(CustomerCombined[[#This Row],[ID]], Table2[ID],Table2[Complaint], "Not Found", 0 )</f>
        <v>0</v>
      </c>
      <c r="X6" s="8">
        <f>_xlfn.XLOOKUP(CustomerCombined[[#This Row],[ID]], Table2[ID],Table2[Pilot], "Not Found", 0 )</f>
        <v>1</v>
      </c>
      <c r="Y6" s="8">
        <f>_xlfn.XLOOKUP(CustomerCombined[[#This Row],[ID]], Table2[ID],Table2[MC1], "Not Found", 0 )</f>
        <v>0</v>
      </c>
      <c r="Z6" s="8">
        <f>_xlfn.XLOOKUP(CustomerCombined[[#This Row],[ID]], Table2[ID],Table2[MC2], "Not Found", 0 )</f>
        <v>0</v>
      </c>
      <c r="AA6" s="8">
        <f>_xlfn.XLOOKUP(CustomerCombined[[#This Row],[ID]], Table2[ID],Table2[MC3], "Not Found", 0 )</f>
        <v>0</v>
      </c>
      <c r="AB6" s="8">
        <f>_xlfn.XLOOKUP(CustomerCombined[[#This Row],[ID]], Table2[ID],Table2[MC4], "Not Found", 0 )</f>
        <v>0</v>
      </c>
      <c r="AC6" s="8">
        <f>_xlfn.XLOOKUP(CustomerCombined[[#This Row],[ID]], Table2[ID],Table2[MC5], "Not Found", 0 )</f>
        <v>0</v>
      </c>
    </row>
    <row r="7" spans="1:29" x14ac:dyDescent="0.3">
      <c r="A7" s="6">
        <v>2825</v>
      </c>
      <c r="B7" s="6">
        <v>183257</v>
      </c>
      <c r="C7" s="6">
        <v>0</v>
      </c>
      <c r="D7" s="6">
        <v>0</v>
      </c>
      <c r="E7" s="6">
        <v>25</v>
      </c>
      <c r="F7" s="5" t="s">
        <v>7</v>
      </c>
      <c r="G7" s="5" t="s">
        <v>442</v>
      </c>
      <c r="H7" s="3" t="s">
        <v>393</v>
      </c>
      <c r="I7" s="5" t="s">
        <v>434</v>
      </c>
      <c r="J7" s="5">
        <f>_xlfn.XLOOKUP(CustomerCombined[[#This Row],[ID]], Table4[ID], Table4[Recency], "Not Found", 0)</f>
        <v>56</v>
      </c>
      <c r="K7" s="5">
        <f>_xlfn.XLOOKUP(CustomerCombined[[#This Row],[ID]], Table4[ID], Table4[Teas], "Not Found", 0)</f>
        <v>1180</v>
      </c>
      <c r="L7" s="5">
        <f>_xlfn.XLOOKUP(CustomerCombined[[#This Row],[ID]], Table4[ID], Table4[Fruits], "Not Found", 0)</f>
        <v>59</v>
      </c>
      <c r="M7" s="5">
        <f>_xlfn.XLOOKUP(CustomerCombined[[#This Row],[ID]], Table4[ID], Table4[Meats], "Not Found", 0)</f>
        <v>1299</v>
      </c>
      <c r="N7" s="5">
        <f>_xlfn.XLOOKUP(CustomerCombined[[#This Row],[ID]], Table4[ID], Table4[Seafood], "Not Found", 0)</f>
        <v>84</v>
      </c>
      <c r="O7" s="5">
        <f>_xlfn.XLOOKUP(CustomerCombined[[#This Row],[ID]], Table4[ID], Table4[Sweets], "Not Found", 0)</f>
        <v>236</v>
      </c>
      <c r="P7" s="5">
        <f>_xlfn.XLOOKUP(CustomerCombined[[#This Row],[ID]], Table4[ID], Table4[Premium], "Not Found", 0)</f>
        <v>147</v>
      </c>
      <c r="Q7" s="5">
        <f>_xlfn.XLOOKUP(CustomerCombined[[#This Row],[ID]], Table4[ID], Table4[Regular], "Not Found", 0)</f>
        <v>2710</v>
      </c>
      <c r="R7" s="5">
        <f>_xlfn.XLOOKUP(CustomerCombined[[#This Row],[ID]], Table4[ID], Table4[Deals], "Not Found", 0)</f>
        <v>1</v>
      </c>
      <c r="S7" s="5">
        <f>_xlfn.XLOOKUP(CustomerCombined[[#This Row],[ID]], Table4[ID], Table4[Website], "Not Found", 0)</f>
        <v>5</v>
      </c>
      <c r="T7" s="5">
        <f>_xlfn.XLOOKUP(CustomerCombined[[#This Row],[ID]], Table4[ID], Table4[Catalog], "Not Found", 0)</f>
        <v>10</v>
      </c>
      <c r="U7" s="5">
        <f>_xlfn.XLOOKUP(CustomerCombined[[#This Row],[ID]], Table4[ID], Table4[Store], "Not Found", 0)</f>
        <v>12</v>
      </c>
      <c r="V7" s="5">
        <f>_xlfn.XLOOKUP(CustomerCombined[[#This Row],[ID]], Table4[ID], Table4[Visits], "Not Found", 0)</f>
        <v>6</v>
      </c>
      <c r="W7" s="8">
        <f>_xlfn.XLOOKUP(CustomerCombined[[#This Row],[ID]], Table2[ID],Table2[Complaint], "Not Found", 0 )</f>
        <v>1</v>
      </c>
      <c r="X7" s="8">
        <f>_xlfn.XLOOKUP(CustomerCombined[[#This Row],[ID]], Table2[ID],Table2[Pilot], "Not Found", 0 )</f>
        <v>1</v>
      </c>
      <c r="Y7" s="8">
        <f>_xlfn.XLOOKUP(CustomerCombined[[#This Row],[ID]], Table2[ID],Table2[MC1], "Not Found", 0 )</f>
        <v>0</v>
      </c>
      <c r="Z7" s="8">
        <f>_xlfn.XLOOKUP(CustomerCombined[[#This Row],[ID]], Table2[ID],Table2[MC2], "Not Found", 0 )</f>
        <v>0</v>
      </c>
      <c r="AA7" s="8">
        <f>_xlfn.XLOOKUP(CustomerCombined[[#This Row],[ID]], Table2[ID],Table2[MC3], "Not Found", 0 )</f>
        <v>1</v>
      </c>
      <c r="AB7" s="8">
        <f>_xlfn.XLOOKUP(CustomerCombined[[#This Row],[ID]], Table2[ID],Table2[MC4], "Not Found", 0 )</f>
        <v>0</v>
      </c>
      <c r="AC7" s="8">
        <f>_xlfn.XLOOKUP(CustomerCombined[[#This Row],[ID]], Table2[ID],Table2[MC5], "Not Found", 0 )</f>
        <v>1</v>
      </c>
    </row>
    <row r="8" spans="1:29" x14ac:dyDescent="0.3">
      <c r="A8" s="6">
        <v>3181</v>
      </c>
      <c r="B8" s="6">
        <v>180617</v>
      </c>
      <c r="C8" s="6">
        <v>0</v>
      </c>
      <c r="D8" s="6">
        <v>0</v>
      </c>
      <c r="E8" s="6">
        <v>25</v>
      </c>
      <c r="F8" s="5" t="s">
        <v>7</v>
      </c>
      <c r="G8" s="5" t="s">
        <v>442</v>
      </c>
      <c r="H8" s="3" t="s">
        <v>382</v>
      </c>
      <c r="I8" s="5" t="s">
        <v>437</v>
      </c>
      <c r="J8" s="5">
        <f>_xlfn.XLOOKUP(CustomerCombined[[#This Row],[ID]], Table4[ID], Table4[Recency], "Not Found", 0)</f>
        <v>42</v>
      </c>
      <c r="K8" s="5">
        <f>_xlfn.XLOOKUP(CustomerCombined[[#This Row],[ID]], Table4[ID], Table4[Teas], "Not Found", 0)</f>
        <v>1331</v>
      </c>
      <c r="L8" s="5">
        <f>_xlfn.XLOOKUP(CustomerCombined[[#This Row],[ID]], Table4[ID], Table4[Fruits], "Not Found", 0)</f>
        <v>114</v>
      </c>
      <c r="M8" s="5">
        <f>_xlfn.XLOOKUP(CustomerCombined[[#This Row],[ID]], Table4[ID], Table4[Meats], "Not Found", 0)</f>
        <v>1414</v>
      </c>
      <c r="N8" s="5">
        <f>_xlfn.XLOOKUP(CustomerCombined[[#This Row],[ID]], Table4[ID], Table4[Seafood], "Not Found", 0)</f>
        <v>161</v>
      </c>
      <c r="O8" s="5">
        <f>_xlfn.XLOOKUP(CustomerCombined[[#This Row],[ID]], Table4[ID], Table4[Sweets], "Not Found", 0)</f>
        <v>123</v>
      </c>
      <c r="P8" s="5">
        <f>_xlfn.XLOOKUP(CustomerCombined[[#This Row],[ID]], Table4[ID], Table4[Premium], "Not Found", 0)</f>
        <v>72</v>
      </c>
      <c r="Q8" s="5">
        <f>_xlfn.XLOOKUP(CustomerCombined[[#This Row],[ID]], Table4[ID], Table4[Regular], "Not Found", 0)</f>
        <v>3072</v>
      </c>
      <c r="R8" s="5">
        <f>_xlfn.XLOOKUP(CustomerCombined[[#This Row],[ID]], Table4[ID], Table4[Deals], "Not Found", 0)</f>
        <v>1</v>
      </c>
      <c r="S8" s="5">
        <f>_xlfn.XLOOKUP(CustomerCombined[[#This Row],[ID]], Table4[ID], Table4[Website], "Not Found", 0)</f>
        <v>4</v>
      </c>
      <c r="T8" s="5">
        <f>_xlfn.XLOOKUP(CustomerCombined[[#This Row],[ID]], Table4[ID], Table4[Catalog], "Not Found", 0)</f>
        <v>6</v>
      </c>
      <c r="U8" s="5">
        <f>_xlfn.XLOOKUP(CustomerCombined[[#This Row],[ID]], Table4[ID], Table4[Store], "Not Found", 0)</f>
        <v>8</v>
      </c>
      <c r="V8" s="5">
        <f>_xlfn.XLOOKUP(CustomerCombined[[#This Row],[ID]], Table4[ID], Table4[Visits], "Not Found", 0)</f>
        <v>2</v>
      </c>
      <c r="W8" s="8">
        <f>_xlfn.XLOOKUP(CustomerCombined[[#This Row],[ID]], Table2[ID],Table2[Complaint], "Not Found", 0 )</f>
        <v>0</v>
      </c>
      <c r="X8" s="8">
        <f>_xlfn.XLOOKUP(CustomerCombined[[#This Row],[ID]], Table2[ID],Table2[Pilot], "Not Found", 0 )</f>
        <v>0</v>
      </c>
      <c r="Y8" s="8">
        <f>_xlfn.XLOOKUP(CustomerCombined[[#This Row],[ID]], Table2[ID],Table2[MC1], "Not Found", 0 )</f>
        <v>0</v>
      </c>
      <c r="Z8" s="8">
        <f>_xlfn.XLOOKUP(CustomerCombined[[#This Row],[ID]], Table2[ID],Table2[MC2], "Not Found", 0 )</f>
        <v>0</v>
      </c>
      <c r="AA8" s="8">
        <f>_xlfn.XLOOKUP(CustomerCombined[[#This Row],[ID]], Table2[ID],Table2[MC3], "Not Found", 0 )</f>
        <v>0</v>
      </c>
      <c r="AB8" s="8">
        <f>_xlfn.XLOOKUP(CustomerCombined[[#This Row],[ID]], Table2[ID],Table2[MC4], "Not Found", 0 )</f>
        <v>0</v>
      </c>
      <c r="AC8" s="8">
        <f>_xlfn.XLOOKUP(CustomerCombined[[#This Row],[ID]], Table2[ID],Table2[MC5], "Not Found", 0 )</f>
        <v>0</v>
      </c>
    </row>
    <row r="9" spans="1:29" x14ac:dyDescent="0.3">
      <c r="A9" s="6">
        <v>1728</v>
      </c>
      <c r="B9" s="6">
        <v>171163</v>
      </c>
      <c r="C9" s="6">
        <v>0</v>
      </c>
      <c r="D9" s="6">
        <v>0</v>
      </c>
      <c r="E9" s="6">
        <v>25</v>
      </c>
      <c r="F9" s="5" t="s">
        <v>7</v>
      </c>
      <c r="G9" s="5" t="s">
        <v>11</v>
      </c>
      <c r="H9" s="3" t="s">
        <v>90</v>
      </c>
      <c r="I9" s="5" t="s">
        <v>436</v>
      </c>
      <c r="J9" s="5">
        <f>_xlfn.XLOOKUP(CustomerCombined[[#This Row],[ID]], Table4[ID], Table4[Recency], "Not Found", 0)</f>
        <v>30</v>
      </c>
      <c r="K9" s="5">
        <f>_xlfn.XLOOKUP(CustomerCombined[[#This Row],[ID]], Table4[ID], Table4[Teas], "Not Found", 0)</f>
        <v>681</v>
      </c>
      <c r="L9" s="5">
        <f>_xlfn.XLOOKUP(CustomerCombined[[#This Row],[ID]], Table4[ID], Table4[Fruits], "Not Found", 0)</f>
        <v>41</v>
      </c>
      <c r="M9" s="5">
        <f>_xlfn.XLOOKUP(CustomerCombined[[#This Row],[ID]], Table4[ID], Table4[Meats], "Not Found", 0)</f>
        <v>895</v>
      </c>
      <c r="N9" s="5">
        <f>_xlfn.XLOOKUP(CustomerCombined[[#This Row],[ID]], Table4[ID], Table4[Seafood], "Not Found", 0)</f>
        <v>332</v>
      </c>
      <c r="O9" s="5">
        <f>_xlfn.XLOOKUP(CustomerCombined[[#This Row],[ID]], Table4[ID], Table4[Sweets], "Not Found", 0)</f>
        <v>255</v>
      </c>
      <c r="P9" s="5">
        <f>_xlfn.XLOOKUP(CustomerCombined[[#This Row],[ID]], Table4[ID], Table4[Premium], "Not Found", 0)</f>
        <v>106</v>
      </c>
      <c r="Q9" s="5">
        <f>_xlfn.XLOOKUP(CustomerCombined[[#This Row],[ID]], Table4[ID], Table4[Regular], "Not Found", 0)</f>
        <v>2097</v>
      </c>
      <c r="R9" s="5">
        <f>_xlfn.XLOOKUP(CustomerCombined[[#This Row],[ID]], Table4[ID], Table4[Deals], "Not Found", 0)</f>
        <v>1</v>
      </c>
      <c r="S9" s="5">
        <f>_xlfn.XLOOKUP(CustomerCombined[[#This Row],[ID]], Table4[ID], Table4[Website], "Not Found", 0)</f>
        <v>3</v>
      </c>
      <c r="T9" s="5">
        <f>_xlfn.XLOOKUP(CustomerCombined[[#This Row],[ID]], Table4[ID], Table4[Catalog], "Not Found", 0)</f>
        <v>8</v>
      </c>
      <c r="U9" s="5">
        <f>_xlfn.XLOOKUP(CustomerCombined[[#This Row],[ID]], Table4[ID], Table4[Store], "Not Found", 0)</f>
        <v>12</v>
      </c>
      <c r="V9" s="5">
        <f>_xlfn.XLOOKUP(CustomerCombined[[#This Row],[ID]], Table4[ID], Table4[Visits], "Not Found", 0)</f>
        <v>1</v>
      </c>
      <c r="W9" s="8">
        <f>_xlfn.XLOOKUP(CustomerCombined[[#This Row],[ID]], Table2[ID],Table2[Complaint], "Not Found", 0 )</f>
        <v>0</v>
      </c>
      <c r="X9" s="8">
        <f>_xlfn.XLOOKUP(CustomerCombined[[#This Row],[ID]], Table2[ID],Table2[Pilot], "Not Found", 0 )</f>
        <v>0</v>
      </c>
      <c r="Y9" s="8">
        <f>_xlfn.XLOOKUP(CustomerCombined[[#This Row],[ID]], Table2[ID],Table2[MC1], "Not Found", 0 )</f>
        <v>0</v>
      </c>
      <c r="Z9" s="8">
        <f>_xlfn.XLOOKUP(CustomerCombined[[#This Row],[ID]], Table2[ID],Table2[MC2], "Not Found", 0 )</f>
        <v>0</v>
      </c>
      <c r="AA9" s="8">
        <f>_xlfn.XLOOKUP(CustomerCombined[[#This Row],[ID]], Table2[ID],Table2[MC3], "Not Found", 0 )</f>
        <v>0</v>
      </c>
      <c r="AB9" s="8">
        <f>_xlfn.XLOOKUP(CustomerCombined[[#This Row],[ID]], Table2[ID],Table2[MC4], "Not Found", 0 )</f>
        <v>0</v>
      </c>
      <c r="AC9" s="8">
        <f>_xlfn.XLOOKUP(CustomerCombined[[#This Row],[ID]], Table2[ID],Table2[MC5], "Not Found", 0 )</f>
        <v>0</v>
      </c>
    </row>
    <row r="10" spans="1:29" x14ac:dyDescent="0.3">
      <c r="A10" s="6">
        <v>1677</v>
      </c>
      <c r="B10" s="6">
        <v>134824</v>
      </c>
      <c r="C10" s="6">
        <v>0</v>
      </c>
      <c r="D10" s="6">
        <v>0</v>
      </c>
      <c r="E10" s="6">
        <v>25</v>
      </c>
      <c r="F10" s="5" t="s">
        <v>7</v>
      </c>
      <c r="G10" s="5" t="s">
        <v>11</v>
      </c>
      <c r="H10" s="3" t="s">
        <v>75</v>
      </c>
      <c r="I10" s="5" t="s">
        <v>435</v>
      </c>
      <c r="J10" s="5">
        <f>_xlfn.XLOOKUP(CustomerCombined[[#This Row],[ID]], Table4[ID], Table4[Recency], "Not Found", 0)</f>
        <v>65</v>
      </c>
      <c r="K10" s="5">
        <f>_xlfn.XLOOKUP(CustomerCombined[[#This Row],[ID]], Table4[ID], Table4[Teas], "Not Found", 0)</f>
        <v>15</v>
      </c>
      <c r="L10" s="5">
        <f>_xlfn.XLOOKUP(CustomerCombined[[#This Row],[ID]], Table4[ID], Table4[Fruits], "Not Found", 0)</f>
        <v>8</v>
      </c>
      <c r="M10" s="5">
        <f>_xlfn.XLOOKUP(CustomerCombined[[#This Row],[ID]], Table4[ID], Table4[Meats], "Not Found", 0)</f>
        <v>43</v>
      </c>
      <c r="N10" s="5">
        <f>_xlfn.XLOOKUP(CustomerCombined[[#This Row],[ID]], Table4[ID], Table4[Seafood], "Not Found", 0)</f>
        <v>8</v>
      </c>
      <c r="O10" s="5">
        <f>_xlfn.XLOOKUP(CustomerCombined[[#This Row],[ID]], Table4[ID], Table4[Sweets], "Not Found", 0)</f>
        <v>0</v>
      </c>
      <c r="P10" s="5">
        <f>_xlfn.XLOOKUP(CustomerCombined[[#This Row],[ID]], Table4[ID], Table4[Premium], "Not Found", 0)</f>
        <v>15</v>
      </c>
      <c r="Q10" s="5">
        <f>_xlfn.XLOOKUP(CustomerCombined[[#This Row],[ID]], Table4[ID], Table4[Regular], "Not Found", 0)</f>
        <v>58</v>
      </c>
      <c r="R10" s="5">
        <f>_xlfn.XLOOKUP(CustomerCombined[[#This Row],[ID]], Table4[ID], Table4[Deals], "Not Found", 0)</f>
        <v>1</v>
      </c>
      <c r="S10" s="5">
        <f>_xlfn.XLOOKUP(CustomerCombined[[#This Row],[ID]], Table4[ID], Table4[Website], "Not Found", 0)</f>
        <v>1</v>
      </c>
      <c r="T10" s="5">
        <f>_xlfn.XLOOKUP(CustomerCombined[[#This Row],[ID]], Table4[ID], Table4[Catalog], "Not Found", 0)</f>
        <v>0</v>
      </c>
      <c r="U10" s="5">
        <f>_xlfn.XLOOKUP(CustomerCombined[[#This Row],[ID]], Table4[ID], Table4[Store], "Not Found", 0)</f>
        <v>2</v>
      </c>
      <c r="V10" s="5">
        <f>_xlfn.XLOOKUP(CustomerCombined[[#This Row],[ID]], Table4[ID], Table4[Visits], "Not Found", 0)</f>
        <v>6</v>
      </c>
      <c r="W10" s="8">
        <f>_xlfn.XLOOKUP(CustomerCombined[[#This Row],[ID]], Table2[ID],Table2[Complaint], "Not Found", 0 )</f>
        <v>0</v>
      </c>
      <c r="X10" s="8">
        <f>_xlfn.XLOOKUP(CustomerCombined[[#This Row],[ID]], Table2[ID],Table2[Pilot], "Not Found", 0 )</f>
        <v>0</v>
      </c>
      <c r="Y10" s="8">
        <f>_xlfn.XLOOKUP(CustomerCombined[[#This Row],[ID]], Table2[ID],Table2[MC1], "Not Found", 0 )</f>
        <v>0</v>
      </c>
      <c r="Z10" s="8">
        <f>_xlfn.XLOOKUP(CustomerCombined[[#This Row],[ID]], Table2[ID],Table2[MC2], "Not Found", 0 )</f>
        <v>0</v>
      </c>
      <c r="AA10" s="8">
        <f>_xlfn.XLOOKUP(CustomerCombined[[#This Row],[ID]], Table2[ID],Table2[MC3], "Not Found", 0 )</f>
        <v>0</v>
      </c>
      <c r="AB10" s="8">
        <f>_xlfn.XLOOKUP(CustomerCombined[[#This Row],[ID]], Table2[ID],Table2[MC4], "Not Found", 0 )</f>
        <v>0</v>
      </c>
      <c r="AC10" s="8">
        <f>_xlfn.XLOOKUP(CustomerCombined[[#This Row],[ID]], Table2[ID],Table2[MC5], "Not Found", 0 )</f>
        <v>0</v>
      </c>
    </row>
    <row r="11" spans="1:29" x14ac:dyDescent="0.3">
      <c r="A11" s="6">
        <v>1976</v>
      </c>
      <c r="B11" s="6">
        <v>134824</v>
      </c>
      <c r="C11" s="6">
        <v>0</v>
      </c>
      <c r="D11" s="6">
        <v>0</v>
      </c>
      <c r="E11" s="6">
        <v>25</v>
      </c>
      <c r="F11" s="5" t="s">
        <v>7</v>
      </c>
      <c r="G11" s="5" t="s">
        <v>11</v>
      </c>
      <c r="H11" s="3" t="s">
        <v>75</v>
      </c>
      <c r="I11" s="5" t="s">
        <v>438</v>
      </c>
      <c r="J11" s="5">
        <f>_xlfn.XLOOKUP(CustomerCombined[[#This Row],[ID]], Table4[ID], Table4[Recency], "Not Found", 0)</f>
        <v>65</v>
      </c>
      <c r="K11" s="5">
        <f>_xlfn.XLOOKUP(CustomerCombined[[#This Row],[ID]], Table4[ID], Table4[Teas], "Not Found", 0)</f>
        <v>15</v>
      </c>
      <c r="L11" s="5">
        <f>_xlfn.XLOOKUP(CustomerCombined[[#This Row],[ID]], Table4[ID], Table4[Fruits], "Not Found", 0)</f>
        <v>8</v>
      </c>
      <c r="M11" s="5">
        <f>_xlfn.XLOOKUP(CustomerCombined[[#This Row],[ID]], Table4[ID], Table4[Meats], "Not Found", 0)</f>
        <v>43</v>
      </c>
      <c r="N11" s="5">
        <f>_xlfn.XLOOKUP(CustomerCombined[[#This Row],[ID]], Table4[ID], Table4[Seafood], "Not Found", 0)</f>
        <v>8</v>
      </c>
      <c r="O11" s="5">
        <f>_xlfn.XLOOKUP(CustomerCombined[[#This Row],[ID]], Table4[ID], Table4[Sweets], "Not Found", 0)</f>
        <v>0</v>
      </c>
      <c r="P11" s="5">
        <f>_xlfn.XLOOKUP(CustomerCombined[[#This Row],[ID]], Table4[ID], Table4[Premium], "Not Found", 0)</f>
        <v>15</v>
      </c>
      <c r="Q11" s="5">
        <f>_xlfn.XLOOKUP(CustomerCombined[[#This Row],[ID]], Table4[ID], Table4[Regular], "Not Found", 0)</f>
        <v>58</v>
      </c>
      <c r="R11" s="5">
        <f>_xlfn.XLOOKUP(CustomerCombined[[#This Row],[ID]], Table4[ID], Table4[Deals], "Not Found", 0)</f>
        <v>1</v>
      </c>
      <c r="S11" s="5">
        <f>_xlfn.XLOOKUP(CustomerCombined[[#This Row],[ID]], Table4[ID], Table4[Website], "Not Found", 0)</f>
        <v>1</v>
      </c>
      <c r="T11" s="5">
        <f>_xlfn.XLOOKUP(CustomerCombined[[#This Row],[ID]], Table4[ID], Table4[Catalog], "Not Found", 0)</f>
        <v>0</v>
      </c>
      <c r="U11" s="5">
        <f>_xlfn.XLOOKUP(CustomerCombined[[#This Row],[ID]], Table4[ID], Table4[Store], "Not Found", 0)</f>
        <v>2</v>
      </c>
      <c r="V11" s="5">
        <f>_xlfn.XLOOKUP(CustomerCombined[[#This Row],[ID]], Table4[ID], Table4[Visits], "Not Found", 0)</f>
        <v>6</v>
      </c>
      <c r="W11" s="8">
        <f>_xlfn.XLOOKUP(CustomerCombined[[#This Row],[ID]], Table2[ID],Table2[Complaint], "Not Found", 0 )</f>
        <v>0</v>
      </c>
      <c r="X11" s="8">
        <f>_xlfn.XLOOKUP(CustomerCombined[[#This Row],[ID]], Table2[ID],Table2[Pilot], "Not Found", 0 )</f>
        <v>0</v>
      </c>
      <c r="Y11" s="8">
        <f>_xlfn.XLOOKUP(CustomerCombined[[#This Row],[ID]], Table2[ID],Table2[MC1], "Not Found", 0 )</f>
        <v>0</v>
      </c>
      <c r="Z11" s="8">
        <f>_xlfn.XLOOKUP(CustomerCombined[[#This Row],[ID]], Table2[ID],Table2[MC2], "Not Found", 0 )</f>
        <v>0</v>
      </c>
      <c r="AA11" s="8">
        <f>_xlfn.XLOOKUP(CustomerCombined[[#This Row],[ID]], Table2[ID],Table2[MC3], "Not Found", 0 )</f>
        <v>0</v>
      </c>
      <c r="AB11" s="8">
        <f>_xlfn.XLOOKUP(CustomerCombined[[#This Row],[ID]], Table2[ID],Table2[MC4], "Not Found", 0 )</f>
        <v>0</v>
      </c>
      <c r="AC11" s="8">
        <f>_xlfn.XLOOKUP(CustomerCombined[[#This Row],[ID]], Table2[ID],Table2[MC5], "Not Found", 0 )</f>
        <v>0</v>
      </c>
    </row>
    <row r="12" spans="1:29" x14ac:dyDescent="0.3">
      <c r="A12" s="6">
        <v>1895</v>
      </c>
      <c r="B12" s="6">
        <v>195529</v>
      </c>
      <c r="C12" s="6">
        <v>0</v>
      </c>
      <c r="D12" s="6">
        <v>0</v>
      </c>
      <c r="E12" s="6">
        <v>26</v>
      </c>
      <c r="F12" s="5" t="s">
        <v>7</v>
      </c>
      <c r="G12" s="5" t="s">
        <v>11</v>
      </c>
      <c r="H12" s="3">
        <v>43743</v>
      </c>
      <c r="I12" s="5" t="s">
        <v>434</v>
      </c>
      <c r="J12" s="5">
        <f>_xlfn.XLOOKUP(CustomerCombined[[#This Row],[ID]], Table4[ID], Table4[Recency], "Not Found", 0)</f>
        <v>29</v>
      </c>
      <c r="K12" s="5">
        <f>_xlfn.XLOOKUP(CustomerCombined[[#This Row],[ID]], Table4[ID], Table4[Teas], "Not Found", 0)</f>
        <v>1576</v>
      </c>
      <c r="L12" s="5">
        <f>_xlfn.XLOOKUP(CustomerCombined[[#This Row],[ID]], Table4[ID], Table4[Fruits], "Not Found", 0)</f>
        <v>59</v>
      </c>
      <c r="M12" s="5">
        <f>_xlfn.XLOOKUP(CustomerCombined[[#This Row],[ID]], Table4[ID], Table4[Meats], "Not Found", 0)</f>
        <v>1822</v>
      </c>
      <c r="N12" s="5">
        <f>_xlfn.XLOOKUP(CustomerCombined[[#This Row],[ID]], Table4[ID], Table4[Seafood], "Not Found", 0)</f>
        <v>512</v>
      </c>
      <c r="O12" s="5">
        <f>_xlfn.XLOOKUP(CustomerCombined[[#This Row],[ID]], Table4[ID], Table4[Sweets], "Not Found", 0)</f>
        <v>55</v>
      </c>
      <c r="P12" s="5">
        <f>_xlfn.XLOOKUP(CustomerCombined[[#This Row],[ID]], Table4[ID], Table4[Premium], "Not Found", 0)</f>
        <v>49</v>
      </c>
      <c r="Q12" s="5">
        <f>_xlfn.XLOOKUP(CustomerCombined[[#This Row],[ID]], Table4[ID], Table4[Regular], "Not Found", 0)</f>
        <v>3975</v>
      </c>
      <c r="R12" s="5">
        <f>_xlfn.XLOOKUP(CustomerCombined[[#This Row],[ID]], Table4[ID], Table4[Deals], "Not Found", 0)</f>
        <v>1</v>
      </c>
      <c r="S12" s="5">
        <f>_xlfn.XLOOKUP(CustomerCombined[[#This Row],[ID]], Table4[ID], Table4[Website], "Not Found", 0)</f>
        <v>7</v>
      </c>
      <c r="T12" s="5">
        <f>_xlfn.XLOOKUP(CustomerCombined[[#This Row],[ID]], Table4[ID], Table4[Catalog], "Not Found", 0)</f>
        <v>3</v>
      </c>
      <c r="U12" s="5">
        <f>_xlfn.XLOOKUP(CustomerCombined[[#This Row],[ID]], Table4[ID], Table4[Store], "Not Found", 0)</f>
        <v>7</v>
      </c>
      <c r="V12" s="5">
        <f>_xlfn.XLOOKUP(CustomerCombined[[#This Row],[ID]], Table4[ID], Table4[Visits], "Not Found", 0)</f>
        <v>3</v>
      </c>
      <c r="W12" s="8">
        <f>_xlfn.XLOOKUP(CustomerCombined[[#This Row],[ID]], Table2[ID],Table2[Complaint], "Not Found", 0 )</f>
        <v>0</v>
      </c>
      <c r="X12" s="8">
        <f>_xlfn.XLOOKUP(CustomerCombined[[#This Row],[ID]], Table2[ID],Table2[Pilot], "Not Found", 0 )</f>
        <v>1</v>
      </c>
      <c r="Y12" s="8">
        <f>_xlfn.XLOOKUP(CustomerCombined[[#This Row],[ID]], Table2[ID],Table2[MC1], "Not Found", 0 )</f>
        <v>0</v>
      </c>
      <c r="Z12" s="8">
        <f>_xlfn.XLOOKUP(CustomerCombined[[#This Row],[ID]], Table2[ID],Table2[MC2], "Not Found", 0 )</f>
        <v>0</v>
      </c>
      <c r="AA12" s="8">
        <f>_xlfn.XLOOKUP(CustomerCombined[[#This Row],[ID]], Table2[ID],Table2[MC3], "Not Found", 0 )</f>
        <v>0</v>
      </c>
      <c r="AB12" s="8">
        <f>_xlfn.XLOOKUP(CustomerCombined[[#This Row],[ID]], Table2[ID],Table2[MC4], "Not Found", 0 )</f>
        <v>0</v>
      </c>
      <c r="AC12" s="8">
        <f>_xlfn.XLOOKUP(CustomerCombined[[#This Row],[ID]], Table2[ID],Table2[MC5], "Not Found", 0 )</f>
        <v>1</v>
      </c>
    </row>
    <row r="13" spans="1:29" x14ac:dyDescent="0.3">
      <c r="A13" s="6">
        <v>2144</v>
      </c>
      <c r="B13" s="6">
        <v>180685</v>
      </c>
      <c r="C13" s="6">
        <v>0</v>
      </c>
      <c r="D13" s="6">
        <v>0</v>
      </c>
      <c r="E13" s="6">
        <v>26</v>
      </c>
      <c r="F13" s="5" t="s">
        <v>8</v>
      </c>
      <c r="G13" s="5" t="s">
        <v>11</v>
      </c>
      <c r="H13" s="3" t="s">
        <v>406</v>
      </c>
      <c r="I13" s="5" t="s">
        <v>438</v>
      </c>
      <c r="J13" s="5">
        <f>_xlfn.XLOOKUP(CustomerCombined[[#This Row],[ID]], Table4[ID], Table4[Recency], "Not Found", 0)</f>
        <v>55</v>
      </c>
      <c r="K13" s="5">
        <f>_xlfn.XLOOKUP(CustomerCombined[[#This Row],[ID]], Table4[ID], Table4[Teas], "Not Found", 0)</f>
        <v>540</v>
      </c>
      <c r="L13" s="5">
        <f>_xlfn.XLOOKUP(CustomerCombined[[#This Row],[ID]], Table4[ID], Table4[Fruits], "Not Found", 0)</f>
        <v>101</v>
      </c>
      <c r="M13" s="5">
        <f>_xlfn.XLOOKUP(CustomerCombined[[#This Row],[ID]], Table4[ID], Table4[Meats], "Not Found", 0)</f>
        <v>1353</v>
      </c>
      <c r="N13" s="5">
        <f>_xlfn.XLOOKUP(CustomerCombined[[#This Row],[ID]], Table4[ID], Table4[Seafood], "Not Found", 0)</f>
        <v>76</v>
      </c>
      <c r="O13" s="5">
        <f>_xlfn.XLOOKUP(CustomerCombined[[#This Row],[ID]], Table4[ID], Table4[Sweets], "Not Found", 0)</f>
        <v>58</v>
      </c>
      <c r="P13" s="5">
        <f>_xlfn.XLOOKUP(CustomerCombined[[#This Row],[ID]], Table4[ID], Table4[Premium], "Not Found", 0)</f>
        <v>121</v>
      </c>
      <c r="Q13" s="5">
        <f>_xlfn.XLOOKUP(CustomerCombined[[#This Row],[ID]], Table4[ID], Table4[Regular], "Not Found", 0)</f>
        <v>2006</v>
      </c>
      <c r="R13" s="5">
        <f>_xlfn.XLOOKUP(CustomerCombined[[#This Row],[ID]], Table4[ID], Table4[Deals], "Not Found", 0)</f>
        <v>1</v>
      </c>
      <c r="S13" s="5">
        <f>_xlfn.XLOOKUP(CustomerCombined[[#This Row],[ID]], Table4[ID], Table4[Website], "Not Found", 0)</f>
        <v>6</v>
      </c>
      <c r="T13" s="5">
        <f>_xlfn.XLOOKUP(CustomerCombined[[#This Row],[ID]], Table4[ID], Table4[Catalog], "Not Found", 0)</f>
        <v>4</v>
      </c>
      <c r="U13" s="5">
        <f>_xlfn.XLOOKUP(CustomerCombined[[#This Row],[ID]], Table4[ID], Table4[Store], "Not Found", 0)</f>
        <v>10</v>
      </c>
      <c r="V13" s="5">
        <f>_xlfn.XLOOKUP(CustomerCombined[[#This Row],[ID]], Table4[ID], Table4[Visits], "Not Found", 0)</f>
        <v>2</v>
      </c>
      <c r="W13" s="8">
        <f>_xlfn.XLOOKUP(CustomerCombined[[#This Row],[ID]], Table2[ID],Table2[Complaint], "Not Found", 0 )</f>
        <v>0</v>
      </c>
      <c r="X13" s="8">
        <f>_xlfn.XLOOKUP(CustomerCombined[[#This Row],[ID]], Table2[ID],Table2[Pilot], "Not Found", 0 )</f>
        <v>0</v>
      </c>
      <c r="Y13" s="8">
        <f>_xlfn.XLOOKUP(CustomerCombined[[#This Row],[ID]], Table2[ID],Table2[MC1], "Not Found", 0 )</f>
        <v>0</v>
      </c>
      <c r="Z13" s="8">
        <f>_xlfn.XLOOKUP(CustomerCombined[[#This Row],[ID]], Table2[ID],Table2[MC2], "Not Found", 0 )</f>
        <v>0</v>
      </c>
      <c r="AA13" s="8">
        <f>_xlfn.XLOOKUP(CustomerCombined[[#This Row],[ID]], Table2[ID],Table2[MC3], "Not Found", 0 )</f>
        <v>0</v>
      </c>
      <c r="AB13" s="8">
        <f>_xlfn.XLOOKUP(CustomerCombined[[#This Row],[ID]], Table2[ID],Table2[MC4], "Not Found", 0 )</f>
        <v>0</v>
      </c>
      <c r="AC13" s="8">
        <f>_xlfn.XLOOKUP(CustomerCombined[[#This Row],[ID]], Table2[ID],Table2[MC5], "Not Found", 0 )</f>
        <v>0</v>
      </c>
    </row>
    <row r="14" spans="1:29" x14ac:dyDescent="0.3">
      <c r="A14" s="6">
        <v>1401</v>
      </c>
      <c r="B14" s="6">
        <v>180134</v>
      </c>
      <c r="C14" s="6">
        <v>0</v>
      </c>
      <c r="D14" s="6">
        <v>0</v>
      </c>
      <c r="E14" s="6">
        <v>26</v>
      </c>
      <c r="F14" s="5" t="s">
        <v>8</v>
      </c>
      <c r="G14" s="5" t="s">
        <v>11</v>
      </c>
      <c r="H14" s="3" t="s">
        <v>99</v>
      </c>
      <c r="I14" s="5" t="s">
        <v>435</v>
      </c>
      <c r="J14" s="5">
        <f>_xlfn.XLOOKUP(CustomerCombined[[#This Row],[ID]], Table4[ID], Table4[Recency], "Not Found", 0)</f>
        <v>11</v>
      </c>
      <c r="K14" s="5">
        <f>_xlfn.XLOOKUP(CustomerCombined[[#This Row],[ID]], Table4[ID], Table4[Teas], "Not Found", 0)</f>
        <v>2171</v>
      </c>
      <c r="L14" s="5">
        <f>_xlfn.XLOOKUP(CustomerCombined[[#This Row],[ID]], Table4[ID], Table4[Fruits], "Not Found", 0)</f>
        <v>58</v>
      </c>
      <c r="M14" s="5">
        <f>_xlfn.XLOOKUP(CustomerCombined[[#This Row],[ID]], Table4[ID], Table4[Meats], "Not Found", 0)</f>
        <v>634</v>
      </c>
      <c r="N14" s="5">
        <f>_xlfn.XLOOKUP(CustomerCombined[[#This Row],[ID]], Table4[ID], Table4[Seafood], "Not Found", 0)</f>
        <v>117</v>
      </c>
      <c r="O14" s="5">
        <f>_xlfn.XLOOKUP(CustomerCombined[[#This Row],[ID]], Table4[ID], Table4[Sweets], "Not Found", 0)</f>
        <v>58</v>
      </c>
      <c r="P14" s="5">
        <f>_xlfn.XLOOKUP(CustomerCombined[[#This Row],[ID]], Table4[ID], Table4[Premium], "Not Found", 0)</f>
        <v>58</v>
      </c>
      <c r="Q14" s="5">
        <f>_xlfn.XLOOKUP(CustomerCombined[[#This Row],[ID]], Table4[ID], Table4[Regular], "Not Found", 0)</f>
        <v>2981</v>
      </c>
      <c r="R14" s="5">
        <f>_xlfn.XLOOKUP(CustomerCombined[[#This Row],[ID]], Table4[ID], Table4[Deals], "Not Found", 0)</f>
        <v>1</v>
      </c>
      <c r="S14" s="5">
        <f>_xlfn.XLOOKUP(CustomerCombined[[#This Row],[ID]], Table4[ID], Table4[Website], "Not Found", 0)</f>
        <v>2</v>
      </c>
      <c r="T14" s="5">
        <f>_xlfn.XLOOKUP(CustomerCombined[[#This Row],[ID]], Table4[ID], Table4[Catalog], "Not Found", 0)</f>
        <v>7</v>
      </c>
      <c r="U14" s="5">
        <f>_xlfn.XLOOKUP(CustomerCombined[[#This Row],[ID]], Table4[ID], Table4[Store], "Not Found", 0)</f>
        <v>11</v>
      </c>
      <c r="V14" s="5">
        <f>_xlfn.XLOOKUP(CustomerCombined[[#This Row],[ID]], Table4[ID], Table4[Visits], "Not Found", 0)</f>
        <v>5</v>
      </c>
      <c r="W14" s="8">
        <f>_xlfn.XLOOKUP(CustomerCombined[[#This Row],[ID]], Table2[ID],Table2[Complaint], "Not Found", 0 )</f>
        <v>0</v>
      </c>
      <c r="X14" s="8">
        <f>_xlfn.XLOOKUP(CustomerCombined[[#This Row],[ID]], Table2[ID],Table2[Pilot], "Not Found", 0 )</f>
        <v>0</v>
      </c>
      <c r="Y14" s="8">
        <f>_xlfn.XLOOKUP(CustomerCombined[[#This Row],[ID]], Table2[ID],Table2[MC1], "Not Found", 0 )</f>
        <v>1</v>
      </c>
      <c r="Z14" s="8">
        <f>_xlfn.XLOOKUP(CustomerCombined[[#This Row],[ID]], Table2[ID],Table2[MC2], "Not Found", 0 )</f>
        <v>1</v>
      </c>
      <c r="AA14" s="8">
        <f>_xlfn.XLOOKUP(CustomerCombined[[#This Row],[ID]], Table2[ID],Table2[MC3], "Not Found", 0 )</f>
        <v>0</v>
      </c>
      <c r="AB14" s="8">
        <f>_xlfn.XLOOKUP(CustomerCombined[[#This Row],[ID]], Table2[ID],Table2[MC4], "Not Found", 0 )</f>
        <v>1</v>
      </c>
      <c r="AC14" s="8">
        <f>_xlfn.XLOOKUP(CustomerCombined[[#This Row],[ID]], Table2[ID],Table2[MC5], "Not Found", 0 )</f>
        <v>1</v>
      </c>
    </row>
    <row r="15" spans="1:29" x14ac:dyDescent="0.3">
      <c r="A15" s="6">
        <v>3062</v>
      </c>
      <c r="B15" s="6">
        <v>179244</v>
      </c>
      <c r="C15" s="6">
        <v>0</v>
      </c>
      <c r="D15" s="6">
        <v>0</v>
      </c>
      <c r="E15" s="6">
        <v>27</v>
      </c>
      <c r="F15" s="5" t="s">
        <v>7</v>
      </c>
      <c r="G15" s="5" t="s">
        <v>11</v>
      </c>
      <c r="H15" s="3" t="s">
        <v>340</v>
      </c>
      <c r="I15" s="5" t="s">
        <v>438</v>
      </c>
      <c r="J15" s="5">
        <f>_xlfn.XLOOKUP(CustomerCombined[[#This Row],[ID]], Table4[ID], Table4[Recency], "Not Found", 0)</f>
        <v>58</v>
      </c>
      <c r="K15" s="5">
        <f>_xlfn.XLOOKUP(CustomerCombined[[#This Row],[ID]], Table4[ID], Table4[Teas], "Not Found", 0)</f>
        <v>1065</v>
      </c>
      <c r="L15" s="5">
        <f>_xlfn.XLOOKUP(CustomerCombined[[#This Row],[ID]], Table4[ID], Table4[Fruits], "Not Found", 0)</f>
        <v>231</v>
      </c>
      <c r="M15" s="5">
        <f>_xlfn.XLOOKUP(CustomerCombined[[#This Row],[ID]], Table4[ID], Table4[Meats], "Not Found", 0)</f>
        <v>283</v>
      </c>
      <c r="N15" s="5">
        <f>_xlfn.XLOOKUP(CustomerCombined[[#This Row],[ID]], Table4[ID], Table4[Seafood], "Not Found", 0)</f>
        <v>480</v>
      </c>
      <c r="O15" s="5">
        <f>_xlfn.XLOOKUP(CustomerCombined[[#This Row],[ID]], Table4[ID], Table4[Sweets], "Not Found", 0)</f>
        <v>138</v>
      </c>
      <c r="P15" s="5">
        <f>_xlfn.XLOOKUP(CustomerCombined[[#This Row],[ID]], Table4[ID], Table4[Premium], "Not Found", 0)</f>
        <v>554</v>
      </c>
      <c r="Q15" s="5">
        <f>_xlfn.XLOOKUP(CustomerCombined[[#This Row],[ID]], Table4[ID], Table4[Regular], "Not Found", 0)</f>
        <v>1642</v>
      </c>
      <c r="R15" s="5">
        <f>_xlfn.XLOOKUP(CustomerCombined[[#This Row],[ID]], Table4[ID], Table4[Deals], "Not Found", 0)</f>
        <v>1</v>
      </c>
      <c r="S15" s="5">
        <f>_xlfn.XLOOKUP(CustomerCombined[[#This Row],[ID]], Table4[ID], Table4[Website], "Not Found", 0)</f>
        <v>4</v>
      </c>
      <c r="T15" s="5">
        <f>_xlfn.XLOOKUP(CustomerCombined[[#This Row],[ID]], Table4[ID], Table4[Catalog], "Not Found", 0)</f>
        <v>10</v>
      </c>
      <c r="U15" s="5">
        <f>_xlfn.XLOOKUP(CustomerCombined[[#This Row],[ID]], Table4[ID], Table4[Store], "Not Found", 0)</f>
        <v>7</v>
      </c>
      <c r="V15" s="5">
        <f>_xlfn.XLOOKUP(CustomerCombined[[#This Row],[ID]], Table4[ID], Table4[Visits], "Not Found", 0)</f>
        <v>1</v>
      </c>
      <c r="W15" s="8">
        <f>_xlfn.XLOOKUP(CustomerCombined[[#This Row],[ID]], Table2[ID],Table2[Complaint], "Not Found", 0 )</f>
        <v>0</v>
      </c>
      <c r="X15" s="8">
        <f>_xlfn.XLOOKUP(CustomerCombined[[#This Row],[ID]], Table2[ID],Table2[Pilot], "Not Found", 0 )</f>
        <v>1</v>
      </c>
      <c r="Y15" s="8">
        <f>_xlfn.XLOOKUP(CustomerCombined[[#This Row],[ID]], Table2[ID],Table2[MC1], "Not Found", 0 )</f>
        <v>1</v>
      </c>
      <c r="Z15" s="8">
        <f>_xlfn.XLOOKUP(CustomerCombined[[#This Row],[ID]], Table2[ID],Table2[MC2], "Not Found", 0 )</f>
        <v>0</v>
      </c>
      <c r="AA15" s="8">
        <f>_xlfn.XLOOKUP(CustomerCombined[[#This Row],[ID]], Table2[ID],Table2[MC3], "Not Found", 0 )</f>
        <v>0</v>
      </c>
      <c r="AB15" s="8">
        <f>_xlfn.XLOOKUP(CustomerCombined[[#This Row],[ID]], Table2[ID],Table2[MC4], "Not Found", 0 )</f>
        <v>0</v>
      </c>
      <c r="AC15" s="8">
        <f>_xlfn.XLOOKUP(CustomerCombined[[#This Row],[ID]], Table2[ID],Table2[MC5], "Not Found", 0 )</f>
        <v>1</v>
      </c>
    </row>
    <row r="16" spans="1:29" x14ac:dyDescent="0.3">
      <c r="A16" s="6">
        <v>1376</v>
      </c>
      <c r="B16" s="6">
        <v>174293</v>
      </c>
      <c r="C16" s="6">
        <v>0</v>
      </c>
      <c r="D16" s="6">
        <v>0</v>
      </c>
      <c r="E16" s="6">
        <v>27</v>
      </c>
      <c r="F16" s="5" t="s">
        <v>7</v>
      </c>
      <c r="G16" s="5" t="s">
        <v>11</v>
      </c>
      <c r="H16" s="3">
        <v>44053</v>
      </c>
      <c r="I16" s="5" t="s">
        <v>438</v>
      </c>
      <c r="J16" s="5">
        <f>_xlfn.XLOOKUP(CustomerCombined[[#This Row],[ID]], Table4[ID], Table4[Recency], "Not Found", 0)</f>
        <v>66</v>
      </c>
      <c r="K16" s="5">
        <f>_xlfn.XLOOKUP(CustomerCombined[[#This Row],[ID]], Table4[ID], Table4[Teas], "Not Found", 0)</f>
        <v>880</v>
      </c>
      <c r="L16" s="5">
        <f>_xlfn.XLOOKUP(CustomerCombined[[#This Row],[ID]], Table4[ID], Table4[Fruits], "Not Found", 0)</f>
        <v>357</v>
      </c>
      <c r="M16" s="5">
        <f>_xlfn.XLOOKUP(CustomerCombined[[#This Row],[ID]], Table4[ID], Table4[Meats], "Not Found", 0)</f>
        <v>786</v>
      </c>
      <c r="N16" s="5">
        <f>_xlfn.XLOOKUP(CustomerCombined[[#This Row],[ID]], Table4[ID], Table4[Seafood], "Not Found", 0)</f>
        <v>218</v>
      </c>
      <c r="O16" s="5">
        <f>_xlfn.XLOOKUP(CustomerCombined[[#This Row],[ID]], Table4[ID], Table4[Sweets], "Not Found", 0)</f>
        <v>213</v>
      </c>
      <c r="P16" s="5">
        <f>_xlfn.XLOOKUP(CustomerCombined[[#This Row],[ID]], Table4[ID], Table4[Premium], "Not Found", 0)</f>
        <v>190</v>
      </c>
      <c r="Q16" s="5">
        <f>_xlfn.XLOOKUP(CustomerCombined[[#This Row],[ID]], Table4[ID], Table4[Regular], "Not Found", 0)</f>
        <v>2264</v>
      </c>
      <c r="R16" s="5">
        <f>_xlfn.XLOOKUP(CustomerCombined[[#This Row],[ID]], Table4[ID], Table4[Deals], "Not Found", 0)</f>
        <v>1</v>
      </c>
      <c r="S16" s="5">
        <f>_xlfn.XLOOKUP(CustomerCombined[[#This Row],[ID]], Table4[ID], Table4[Website], "Not Found", 0)</f>
        <v>5</v>
      </c>
      <c r="T16" s="5">
        <f>_xlfn.XLOOKUP(CustomerCombined[[#This Row],[ID]], Table4[ID], Table4[Catalog], "Not Found", 0)</f>
        <v>4</v>
      </c>
      <c r="U16" s="5">
        <f>_xlfn.XLOOKUP(CustomerCombined[[#This Row],[ID]], Table4[ID], Table4[Store], "Not Found", 0)</f>
        <v>6</v>
      </c>
      <c r="V16" s="5">
        <f>_xlfn.XLOOKUP(CustomerCombined[[#This Row],[ID]], Table4[ID], Table4[Visits], "Not Found", 0)</f>
        <v>2</v>
      </c>
      <c r="W16" s="8">
        <f>_xlfn.XLOOKUP(CustomerCombined[[#This Row],[ID]], Table2[ID],Table2[Complaint], "Not Found", 0 )</f>
        <v>0</v>
      </c>
      <c r="X16" s="8">
        <f>_xlfn.XLOOKUP(CustomerCombined[[#This Row],[ID]], Table2[ID],Table2[Pilot], "Not Found", 0 )</f>
        <v>0</v>
      </c>
      <c r="Y16" s="8">
        <f>_xlfn.XLOOKUP(CustomerCombined[[#This Row],[ID]], Table2[ID],Table2[MC1], "Not Found", 0 )</f>
        <v>0</v>
      </c>
      <c r="Z16" s="8">
        <f>_xlfn.XLOOKUP(CustomerCombined[[#This Row],[ID]], Table2[ID],Table2[MC2], "Not Found", 0 )</f>
        <v>0</v>
      </c>
      <c r="AA16" s="8">
        <f>_xlfn.XLOOKUP(CustomerCombined[[#This Row],[ID]], Table2[ID],Table2[MC3], "Not Found", 0 )</f>
        <v>0</v>
      </c>
      <c r="AB16" s="8">
        <f>_xlfn.XLOOKUP(CustomerCombined[[#This Row],[ID]], Table2[ID],Table2[MC4], "Not Found", 0 )</f>
        <v>0</v>
      </c>
      <c r="AC16" s="8">
        <f>_xlfn.XLOOKUP(CustomerCombined[[#This Row],[ID]], Table2[ID],Table2[MC5], "Not Found", 0 )</f>
        <v>0</v>
      </c>
    </row>
    <row r="17" spans="1:29" x14ac:dyDescent="0.3">
      <c r="A17" s="6">
        <v>1909</v>
      </c>
      <c r="B17" s="6">
        <v>174293</v>
      </c>
      <c r="C17" s="6">
        <v>0</v>
      </c>
      <c r="D17" s="6">
        <v>0</v>
      </c>
      <c r="E17" s="6">
        <v>27</v>
      </c>
      <c r="F17" s="5" t="s">
        <v>7</v>
      </c>
      <c r="G17" s="5" t="s">
        <v>11</v>
      </c>
      <c r="H17" s="3">
        <v>44053</v>
      </c>
      <c r="I17" s="5" t="s">
        <v>437</v>
      </c>
      <c r="J17" s="5">
        <f>_xlfn.XLOOKUP(CustomerCombined[[#This Row],[ID]], Table4[ID], Table4[Recency], "Not Found", 0)</f>
        <v>66</v>
      </c>
      <c r="K17" s="5">
        <f>_xlfn.XLOOKUP(CustomerCombined[[#This Row],[ID]], Table4[ID], Table4[Teas], "Not Found", 0)</f>
        <v>880</v>
      </c>
      <c r="L17" s="5">
        <f>_xlfn.XLOOKUP(CustomerCombined[[#This Row],[ID]], Table4[ID], Table4[Fruits], "Not Found", 0)</f>
        <v>357</v>
      </c>
      <c r="M17" s="5">
        <f>_xlfn.XLOOKUP(CustomerCombined[[#This Row],[ID]], Table4[ID], Table4[Meats], "Not Found", 0)</f>
        <v>786</v>
      </c>
      <c r="N17" s="5">
        <f>_xlfn.XLOOKUP(CustomerCombined[[#This Row],[ID]], Table4[ID], Table4[Seafood], "Not Found", 0)</f>
        <v>218</v>
      </c>
      <c r="O17" s="5">
        <f>_xlfn.XLOOKUP(CustomerCombined[[#This Row],[ID]], Table4[ID], Table4[Sweets], "Not Found", 0)</f>
        <v>213</v>
      </c>
      <c r="P17" s="5">
        <f>_xlfn.XLOOKUP(CustomerCombined[[#This Row],[ID]], Table4[ID], Table4[Premium], "Not Found", 0)</f>
        <v>190</v>
      </c>
      <c r="Q17" s="5">
        <f>_xlfn.XLOOKUP(CustomerCombined[[#This Row],[ID]], Table4[ID], Table4[Regular], "Not Found", 0)</f>
        <v>2264</v>
      </c>
      <c r="R17" s="5">
        <f>_xlfn.XLOOKUP(CustomerCombined[[#This Row],[ID]], Table4[ID], Table4[Deals], "Not Found", 0)</f>
        <v>1</v>
      </c>
      <c r="S17" s="5">
        <f>_xlfn.XLOOKUP(CustomerCombined[[#This Row],[ID]], Table4[ID], Table4[Website], "Not Found", 0)</f>
        <v>5</v>
      </c>
      <c r="T17" s="5">
        <f>_xlfn.XLOOKUP(CustomerCombined[[#This Row],[ID]], Table4[ID], Table4[Catalog], "Not Found", 0)</f>
        <v>4</v>
      </c>
      <c r="U17" s="5">
        <f>_xlfn.XLOOKUP(CustomerCombined[[#This Row],[ID]], Table4[ID], Table4[Store], "Not Found", 0)</f>
        <v>6</v>
      </c>
      <c r="V17" s="5">
        <f>_xlfn.XLOOKUP(CustomerCombined[[#This Row],[ID]], Table4[ID], Table4[Visits], "Not Found", 0)</f>
        <v>2</v>
      </c>
      <c r="W17" s="8">
        <f>_xlfn.XLOOKUP(CustomerCombined[[#This Row],[ID]], Table2[ID],Table2[Complaint], "Not Found", 0 )</f>
        <v>0</v>
      </c>
      <c r="X17" s="8">
        <f>_xlfn.XLOOKUP(CustomerCombined[[#This Row],[ID]], Table2[ID],Table2[Pilot], "Not Found", 0 )</f>
        <v>0</v>
      </c>
      <c r="Y17" s="8">
        <f>_xlfn.XLOOKUP(CustomerCombined[[#This Row],[ID]], Table2[ID],Table2[MC1], "Not Found", 0 )</f>
        <v>0</v>
      </c>
      <c r="Z17" s="8">
        <f>_xlfn.XLOOKUP(CustomerCombined[[#This Row],[ID]], Table2[ID],Table2[MC2], "Not Found", 0 )</f>
        <v>0</v>
      </c>
      <c r="AA17" s="8">
        <f>_xlfn.XLOOKUP(CustomerCombined[[#This Row],[ID]], Table2[ID],Table2[MC3], "Not Found", 0 )</f>
        <v>0</v>
      </c>
      <c r="AB17" s="8">
        <f>_xlfn.XLOOKUP(CustomerCombined[[#This Row],[ID]], Table2[ID],Table2[MC4], "Not Found", 0 )</f>
        <v>0</v>
      </c>
      <c r="AC17" s="8">
        <f>_xlfn.XLOOKUP(CustomerCombined[[#This Row],[ID]], Table2[ID],Table2[MC5], "Not Found", 0 )</f>
        <v>0</v>
      </c>
    </row>
    <row r="18" spans="1:29" x14ac:dyDescent="0.3">
      <c r="A18" s="6">
        <v>1902</v>
      </c>
      <c r="B18" s="6">
        <v>172354</v>
      </c>
      <c r="C18" s="6">
        <v>0</v>
      </c>
      <c r="D18" s="6">
        <v>0</v>
      </c>
      <c r="E18" s="6">
        <v>27</v>
      </c>
      <c r="F18" s="5" t="s">
        <v>7</v>
      </c>
      <c r="G18" s="5" t="s">
        <v>11</v>
      </c>
      <c r="H18" s="3" t="s">
        <v>272</v>
      </c>
      <c r="I18" s="5" t="s">
        <v>436</v>
      </c>
      <c r="J18" s="5">
        <f>_xlfn.XLOOKUP(CustomerCombined[[#This Row],[ID]], Table4[ID], Table4[Recency], "Not Found", 0)</f>
        <v>67</v>
      </c>
      <c r="K18" s="5">
        <f>_xlfn.XLOOKUP(CustomerCombined[[#This Row],[ID]], Table4[ID], Table4[Teas], "Not Found", 0)</f>
        <v>750</v>
      </c>
      <c r="L18" s="5">
        <f>_xlfn.XLOOKUP(CustomerCombined[[#This Row],[ID]], Table4[ID], Table4[Fruits], "Not Found", 0)</f>
        <v>62</v>
      </c>
      <c r="M18" s="5">
        <f>_xlfn.XLOOKUP(CustomerCombined[[#This Row],[ID]], Table4[ID], Table4[Meats], "Not Found", 0)</f>
        <v>1127</v>
      </c>
      <c r="N18" s="5">
        <f>_xlfn.XLOOKUP(CustomerCombined[[#This Row],[ID]], Table4[ID], Table4[Seafood], "Not Found", 0)</f>
        <v>524</v>
      </c>
      <c r="O18" s="5">
        <f>_xlfn.XLOOKUP(CustomerCombined[[#This Row],[ID]], Table4[ID], Table4[Sweets], "Not Found", 0)</f>
        <v>29</v>
      </c>
      <c r="P18" s="5">
        <f>_xlfn.XLOOKUP(CustomerCombined[[#This Row],[ID]], Table4[ID], Table4[Premium], "Not Found", 0)</f>
        <v>434</v>
      </c>
      <c r="Q18" s="5">
        <f>_xlfn.XLOOKUP(CustomerCombined[[#This Row],[ID]], Table4[ID], Table4[Regular], "Not Found", 0)</f>
        <v>2058</v>
      </c>
      <c r="R18" s="5">
        <f>_xlfn.XLOOKUP(CustomerCombined[[#This Row],[ID]], Table4[ID], Table4[Deals], "Not Found", 0)</f>
        <v>1</v>
      </c>
      <c r="S18" s="5">
        <f>_xlfn.XLOOKUP(CustomerCombined[[#This Row],[ID]], Table4[ID], Table4[Website], "Not Found", 0)</f>
        <v>2</v>
      </c>
      <c r="T18" s="5">
        <f>_xlfn.XLOOKUP(CustomerCombined[[#This Row],[ID]], Table4[ID], Table4[Catalog], "Not Found", 0)</f>
        <v>10</v>
      </c>
      <c r="U18" s="5">
        <f>_xlfn.XLOOKUP(CustomerCombined[[#This Row],[ID]], Table4[ID], Table4[Store], "Not Found", 0)</f>
        <v>6</v>
      </c>
      <c r="V18" s="5">
        <f>_xlfn.XLOOKUP(CustomerCombined[[#This Row],[ID]], Table4[ID], Table4[Visits], "Not Found", 0)</f>
        <v>1</v>
      </c>
      <c r="W18" s="8">
        <f>_xlfn.XLOOKUP(CustomerCombined[[#This Row],[ID]], Table2[ID],Table2[Complaint], "Not Found", 0 )</f>
        <v>0</v>
      </c>
      <c r="X18" s="8">
        <f>_xlfn.XLOOKUP(CustomerCombined[[#This Row],[ID]], Table2[ID],Table2[Pilot], "Not Found", 0 )</f>
        <v>0</v>
      </c>
      <c r="Y18" s="8">
        <f>_xlfn.XLOOKUP(CustomerCombined[[#This Row],[ID]], Table2[ID],Table2[MC1], "Not Found", 0 )</f>
        <v>0</v>
      </c>
      <c r="Z18" s="8">
        <f>_xlfn.XLOOKUP(CustomerCombined[[#This Row],[ID]], Table2[ID],Table2[MC2], "Not Found", 0 )</f>
        <v>0</v>
      </c>
      <c r="AA18" s="8">
        <f>_xlfn.XLOOKUP(CustomerCombined[[#This Row],[ID]], Table2[ID],Table2[MC3], "Not Found", 0 )</f>
        <v>0</v>
      </c>
      <c r="AB18" s="8">
        <f>_xlfn.XLOOKUP(CustomerCombined[[#This Row],[ID]], Table2[ID],Table2[MC4], "Not Found", 0 )</f>
        <v>0</v>
      </c>
      <c r="AC18" s="8">
        <f>_xlfn.XLOOKUP(CustomerCombined[[#This Row],[ID]], Table2[ID],Table2[MC5], "Not Found", 0 )</f>
        <v>0</v>
      </c>
    </row>
    <row r="19" spans="1:29" x14ac:dyDescent="0.3">
      <c r="A19" s="6">
        <v>2331</v>
      </c>
      <c r="B19" s="6">
        <v>170515</v>
      </c>
      <c r="C19" s="6">
        <v>0</v>
      </c>
      <c r="D19" s="6">
        <v>0</v>
      </c>
      <c r="E19" s="6">
        <v>27</v>
      </c>
      <c r="F19" s="5" t="s">
        <v>7</v>
      </c>
      <c r="G19" s="5" t="s">
        <v>11</v>
      </c>
      <c r="H19" s="3" t="s">
        <v>161</v>
      </c>
      <c r="I19" s="5" t="s">
        <v>435</v>
      </c>
      <c r="J19" s="5">
        <f>_xlfn.XLOOKUP(CustomerCombined[[#This Row],[ID]], Table4[ID], Table4[Recency], "Not Found", 0)</f>
        <v>12</v>
      </c>
      <c r="K19" s="5">
        <f>_xlfn.XLOOKUP(CustomerCombined[[#This Row],[ID]], Table4[ID], Table4[Teas], "Not Found", 0)</f>
        <v>1016</v>
      </c>
      <c r="L19" s="5">
        <f>_xlfn.XLOOKUP(CustomerCombined[[#This Row],[ID]], Table4[ID], Table4[Fruits], "Not Found", 0)</f>
        <v>0</v>
      </c>
      <c r="M19" s="5">
        <f>_xlfn.XLOOKUP(CustomerCombined[[#This Row],[ID]], Table4[ID], Table4[Meats], "Not Found", 0)</f>
        <v>1093</v>
      </c>
      <c r="N19" s="5">
        <f>_xlfn.XLOOKUP(CustomerCombined[[#This Row],[ID]], Table4[ID], Table4[Seafood], "Not Found", 0)</f>
        <v>440</v>
      </c>
      <c r="O19" s="5">
        <f>_xlfn.XLOOKUP(CustomerCombined[[#This Row],[ID]], Table4[ID], Table4[Sweets], "Not Found", 0)</f>
        <v>155</v>
      </c>
      <c r="P19" s="5">
        <f>_xlfn.XLOOKUP(CustomerCombined[[#This Row],[ID]], Table4[ID], Table4[Premium], "Not Found", 0)</f>
        <v>339</v>
      </c>
      <c r="Q19" s="5">
        <f>_xlfn.XLOOKUP(CustomerCombined[[#This Row],[ID]], Table4[ID], Table4[Regular], "Not Found", 0)</f>
        <v>2365</v>
      </c>
      <c r="R19" s="5">
        <f>_xlfn.XLOOKUP(CustomerCombined[[#This Row],[ID]], Table4[ID], Table4[Deals], "Not Found", 0)</f>
        <v>1</v>
      </c>
      <c r="S19" s="5">
        <f>_xlfn.XLOOKUP(CustomerCombined[[#This Row],[ID]], Table4[ID], Table4[Website], "Not Found", 0)</f>
        <v>6</v>
      </c>
      <c r="T19" s="5">
        <f>_xlfn.XLOOKUP(CustomerCombined[[#This Row],[ID]], Table4[ID], Table4[Catalog], "Not Found", 0)</f>
        <v>6</v>
      </c>
      <c r="U19" s="5">
        <f>_xlfn.XLOOKUP(CustomerCombined[[#This Row],[ID]], Table4[ID], Table4[Store], "Not Found", 0)</f>
        <v>4</v>
      </c>
      <c r="V19" s="5">
        <f>_xlfn.XLOOKUP(CustomerCombined[[#This Row],[ID]], Table4[ID], Table4[Visits], "Not Found", 0)</f>
        <v>2</v>
      </c>
      <c r="W19" s="8">
        <f>_xlfn.XLOOKUP(CustomerCombined[[#This Row],[ID]], Table2[ID],Table2[Complaint], "Not Found", 0 )</f>
        <v>0</v>
      </c>
      <c r="X19" s="8">
        <f>_xlfn.XLOOKUP(CustomerCombined[[#This Row],[ID]], Table2[ID],Table2[Pilot], "Not Found", 0 )</f>
        <v>1</v>
      </c>
      <c r="Y19" s="8">
        <f>_xlfn.XLOOKUP(CustomerCombined[[#This Row],[ID]], Table2[ID],Table2[MC1], "Not Found", 0 )</f>
        <v>0</v>
      </c>
      <c r="Z19" s="8">
        <f>_xlfn.XLOOKUP(CustomerCombined[[#This Row],[ID]], Table2[ID],Table2[MC2], "Not Found", 0 )</f>
        <v>0</v>
      </c>
      <c r="AA19" s="8">
        <f>_xlfn.XLOOKUP(CustomerCombined[[#This Row],[ID]], Table2[ID],Table2[MC3], "Not Found", 0 )</f>
        <v>0</v>
      </c>
      <c r="AB19" s="8">
        <f>_xlfn.XLOOKUP(CustomerCombined[[#This Row],[ID]], Table2[ID],Table2[MC4], "Not Found", 0 )</f>
        <v>0</v>
      </c>
      <c r="AC19" s="8">
        <f>_xlfn.XLOOKUP(CustomerCombined[[#This Row],[ID]], Table2[ID],Table2[MC5], "Not Found", 0 )</f>
        <v>0</v>
      </c>
    </row>
    <row r="20" spans="1:29" x14ac:dyDescent="0.3">
      <c r="A20" s="6">
        <v>1130</v>
      </c>
      <c r="B20" s="6">
        <v>192859</v>
      </c>
      <c r="C20" s="6">
        <v>0</v>
      </c>
      <c r="D20" s="6">
        <v>0</v>
      </c>
      <c r="E20" s="6">
        <v>28</v>
      </c>
      <c r="F20" s="5" t="s">
        <v>7</v>
      </c>
      <c r="G20" s="5" t="s">
        <v>12</v>
      </c>
      <c r="H20" s="3" t="s">
        <v>375</v>
      </c>
      <c r="I20" s="5" t="s">
        <v>438</v>
      </c>
      <c r="J20" s="5">
        <f>_xlfn.XLOOKUP(CustomerCombined[[#This Row],[ID]], Table4[ID], Table4[Recency], "Not Found", 0)</f>
        <v>46</v>
      </c>
      <c r="K20" s="5">
        <f>_xlfn.XLOOKUP(CustomerCombined[[#This Row],[ID]], Table4[ID], Table4[Teas], "Not Found", 0)</f>
        <v>1998</v>
      </c>
      <c r="L20" s="5">
        <f>_xlfn.XLOOKUP(CustomerCombined[[#This Row],[ID]], Table4[ID], Table4[Fruits], "Not Found", 0)</f>
        <v>127</v>
      </c>
      <c r="M20" s="5">
        <f>_xlfn.XLOOKUP(CustomerCombined[[#This Row],[ID]], Table4[ID], Table4[Meats], "Not Found", 0)</f>
        <v>1913</v>
      </c>
      <c r="N20" s="5">
        <f>_xlfn.XLOOKUP(CustomerCombined[[#This Row],[ID]], Table4[ID], Table4[Seafood], "Not Found", 0)</f>
        <v>108</v>
      </c>
      <c r="O20" s="5">
        <f>_xlfn.XLOOKUP(CustomerCombined[[#This Row],[ID]], Table4[ID], Table4[Sweets], "Not Found", 0)</f>
        <v>127</v>
      </c>
      <c r="P20" s="5">
        <f>_xlfn.XLOOKUP(CustomerCombined[[#This Row],[ID]], Table4[ID], Table4[Premium], "Not Found", 0)</f>
        <v>42</v>
      </c>
      <c r="Q20" s="5">
        <f>_xlfn.XLOOKUP(CustomerCombined[[#This Row],[ID]], Table4[ID], Table4[Regular], "Not Found", 0)</f>
        <v>4231</v>
      </c>
      <c r="R20" s="5">
        <f>_xlfn.XLOOKUP(CustomerCombined[[#This Row],[ID]], Table4[ID], Table4[Deals], "Not Found", 0)</f>
        <v>1</v>
      </c>
      <c r="S20" s="5">
        <f>_xlfn.XLOOKUP(CustomerCombined[[#This Row],[ID]], Table4[ID], Table4[Website], "Not Found", 0)</f>
        <v>5</v>
      </c>
      <c r="T20" s="5">
        <f>_xlfn.XLOOKUP(CustomerCombined[[#This Row],[ID]], Table4[ID], Table4[Catalog], "Not Found", 0)</f>
        <v>4</v>
      </c>
      <c r="U20" s="5">
        <f>_xlfn.XLOOKUP(CustomerCombined[[#This Row],[ID]], Table4[ID], Table4[Store], "Not Found", 0)</f>
        <v>12</v>
      </c>
      <c r="V20" s="5">
        <f>_xlfn.XLOOKUP(CustomerCombined[[#This Row],[ID]], Table4[ID], Table4[Visits], "Not Found", 0)</f>
        <v>2</v>
      </c>
      <c r="W20" s="8">
        <f>_xlfn.XLOOKUP(CustomerCombined[[#This Row],[ID]], Table2[ID],Table2[Complaint], "Not Found", 0 )</f>
        <v>0</v>
      </c>
      <c r="X20" s="8">
        <f>_xlfn.XLOOKUP(CustomerCombined[[#This Row],[ID]], Table2[ID],Table2[Pilot], "Not Found", 0 )</f>
        <v>0</v>
      </c>
      <c r="Y20" s="8">
        <f>_xlfn.XLOOKUP(CustomerCombined[[#This Row],[ID]], Table2[ID],Table2[MC1], "Not Found", 0 )</f>
        <v>0</v>
      </c>
      <c r="Z20" s="8">
        <f>_xlfn.XLOOKUP(CustomerCombined[[#This Row],[ID]], Table2[ID],Table2[MC2], "Not Found", 0 )</f>
        <v>0</v>
      </c>
      <c r="AA20" s="8">
        <f>_xlfn.XLOOKUP(CustomerCombined[[#This Row],[ID]], Table2[ID],Table2[MC3], "Not Found", 0 )</f>
        <v>0</v>
      </c>
      <c r="AB20" s="8">
        <f>_xlfn.XLOOKUP(CustomerCombined[[#This Row],[ID]], Table2[ID],Table2[MC4], "Not Found", 0 )</f>
        <v>0</v>
      </c>
      <c r="AC20" s="8">
        <f>_xlfn.XLOOKUP(CustomerCombined[[#This Row],[ID]], Table2[ID],Table2[MC5], "Not Found", 0 )</f>
        <v>0</v>
      </c>
    </row>
    <row r="21" spans="1:29" x14ac:dyDescent="0.3">
      <c r="A21" s="6">
        <v>3055</v>
      </c>
      <c r="B21" s="6">
        <v>187000</v>
      </c>
      <c r="C21" s="6">
        <v>0</v>
      </c>
      <c r="D21" s="6">
        <v>0</v>
      </c>
      <c r="E21" s="6">
        <v>28</v>
      </c>
      <c r="F21" s="5" t="s">
        <v>6</v>
      </c>
      <c r="G21" s="5" t="s">
        <v>442</v>
      </c>
      <c r="H21" s="3" t="s">
        <v>344</v>
      </c>
      <c r="I21" s="5" t="s">
        <v>437</v>
      </c>
      <c r="J21" s="5">
        <f>_xlfn.XLOOKUP(CustomerCombined[[#This Row],[ID]], Table4[ID], Table4[Recency], "Not Found", 0)</f>
        <v>61</v>
      </c>
      <c r="K21" s="5">
        <f>_xlfn.XLOOKUP(CustomerCombined[[#This Row],[ID]], Table4[ID], Table4[Teas], "Not Found", 0)</f>
        <v>421</v>
      </c>
      <c r="L21" s="5">
        <f>_xlfn.XLOOKUP(CustomerCombined[[#This Row],[ID]], Table4[ID], Table4[Fruits], "Not Found", 0)</f>
        <v>54</v>
      </c>
      <c r="M21" s="5">
        <f>_xlfn.XLOOKUP(CustomerCombined[[#This Row],[ID]], Table4[ID], Table4[Meats], "Not Found", 0)</f>
        <v>1305</v>
      </c>
      <c r="N21" s="5">
        <f>_xlfn.XLOOKUP(CustomerCombined[[#This Row],[ID]], Table4[ID], Table4[Seafood], "Not Found", 0)</f>
        <v>144</v>
      </c>
      <c r="O21" s="5">
        <f>_xlfn.XLOOKUP(CustomerCombined[[#This Row],[ID]], Table4[ID], Table4[Sweets], "Not Found", 0)</f>
        <v>37</v>
      </c>
      <c r="P21" s="5">
        <f>_xlfn.XLOOKUP(CustomerCombined[[#This Row],[ID]], Table4[ID], Table4[Premium], "Not Found", 0)</f>
        <v>105</v>
      </c>
      <c r="Q21" s="5">
        <f>_xlfn.XLOOKUP(CustomerCombined[[#This Row],[ID]], Table4[ID], Table4[Regular], "Not Found", 0)</f>
        <v>1855</v>
      </c>
      <c r="R21" s="5">
        <f>_xlfn.XLOOKUP(CustomerCombined[[#This Row],[ID]], Table4[ID], Table4[Deals], "Not Found", 0)</f>
        <v>1</v>
      </c>
      <c r="S21" s="5">
        <f>_xlfn.XLOOKUP(CustomerCombined[[#This Row],[ID]], Table4[ID], Table4[Website], "Not Found", 0)</f>
        <v>4</v>
      </c>
      <c r="T21" s="5">
        <f>_xlfn.XLOOKUP(CustomerCombined[[#This Row],[ID]], Table4[ID], Table4[Catalog], "Not Found", 0)</f>
        <v>6</v>
      </c>
      <c r="U21" s="5">
        <f>_xlfn.XLOOKUP(CustomerCombined[[#This Row],[ID]], Table4[ID], Table4[Store], "Not Found", 0)</f>
        <v>7</v>
      </c>
      <c r="V21" s="5">
        <f>_xlfn.XLOOKUP(CustomerCombined[[#This Row],[ID]], Table4[ID], Table4[Visits], "Not Found", 0)</f>
        <v>2</v>
      </c>
      <c r="W21" s="8">
        <f>_xlfn.XLOOKUP(CustomerCombined[[#This Row],[ID]], Table2[ID],Table2[Complaint], "Not Found", 0 )</f>
        <v>0</v>
      </c>
      <c r="X21" s="8">
        <f>_xlfn.XLOOKUP(CustomerCombined[[#This Row],[ID]], Table2[ID],Table2[Pilot], "Not Found", 0 )</f>
        <v>0</v>
      </c>
      <c r="Y21" s="8">
        <f>_xlfn.XLOOKUP(CustomerCombined[[#This Row],[ID]], Table2[ID],Table2[MC1], "Not Found", 0 )</f>
        <v>0</v>
      </c>
      <c r="Z21" s="8">
        <f>_xlfn.XLOOKUP(CustomerCombined[[#This Row],[ID]], Table2[ID],Table2[MC2], "Not Found", 0 )</f>
        <v>0</v>
      </c>
      <c r="AA21" s="8">
        <f>_xlfn.XLOOKUP(CustomerCombined[[#This Row],[ID]], Table2[ID],Table2[MC3], "Not Found", 0 )</f>
        <v>0</v>
      </c>
      <c r="AB21" s="8">
        <f>_xlfn.XLOOKUP(CustomerCombined[[#This Row],[ID]], Table2[ID],Table2[MC4], "Not Found", 0 )</f>
        <v>0</v>
      </c>
      <c r="AC21" s="8">
        <f>_xlfn.XLOOKUP(CustomerCombined[[#This Row],[ID]], Table2[ID],Table2[MC5], "Not Found", 0 )</f>
        <v>0</v>
      </c>
    </row>
    <row r="22" spans="1:29" x14ac:dyDescent="0.3">
      <c r="A22" s="6">
        <v>2047</v>
      </c>
      <c r="B22" s="6">
        <v>183528</v>
      </c>
      <c r="C22" s="6">
        <v>0</v>
      </c>
      <c r="D22" s="6">
        <v>0</v>
      </c>
      <c r="E22" s="6">
        <v>28</v>
      </c>
      <c r="F22" s="5" t="s">
        <v>7</v>
      </c>
      <c r="G22" s="5" t="s">
        <v>11</v>
      </c>
      <c r="H22" s="3">
        <v>43961</v>
      </c>
      <c r="I22" s="5" t="s">
        <v>437</v>
      </c>
      <c r="J22" s="5">
        <f>_xlfn.XLOOKUP(CustomerCombined[[#This Row],[ID]], Table4[ID], Table4[Recency], "Not Found", 0)</f>
        <v>7</v>
      </c>
      <c r="K22" s="5">
        <f>_xlfn.XLOOKUP(CustomerCombined[[#This Row],[ID]], Table4[ID], Table4[Teas], "Not Found", 0)</f>
        <v>1165</v>
      </c>
      <c r="L22" s="5">
        <f>_xlfn.XLOOKUP(CustomerCombined[[#This Row],[ID]], Table4[ID], Table4[Fruits], "Not Found", 0)</f>
        <v>257</v>
      </c>
      <c r="M22" s="5">
        <f>_xlfn.XLOOKUP(CustomerCombined[[#This Row],[ID]], Table4[ID], Table4[Meats], "Not Found", 0)</f>
        <v>1490</v>
      </c>
      <c r="N22" s="5">
        <f>_xlfn.XLOOKUP(CustomerCombined[[#This Row],[ID]], Table4[ID], Table4[Seafood], "Not Found", 0)</f>
        <v>294</v>
      </c>
      <c r="O22" s="5">
        <f>_xlfn.XLOOKUP(CustomerCombined[[#This Row],[ID]], Table4[ID], Table4[Sweets], "Not Found", 0)</f>
        <v>97</v>
      </c>
      <c r="P22" s="5">
        <f>_xlfn.XLOOKUP(CustomerCombined[[#This Row],[ID]], Table4[ID], Table4[Premium], "Not Found", 0)</f>
        <v>323</v>
      </c>
      <c r="Q22" s="5">
        <f>_xlfn.XLOOKUP(CustomerCombined[[#This Row],[ID]], Table4[ID], Table4[Regular], "Not Found", 0)</f>
        <v>2979</v>
      </c>
      <c r="R22" s="5">
        <f>_xlfn.XLOOKUP(CustomerCombined[[#This Row],[ID]], Table4[ID], Table4[Deals], "Not Found", 0)</f>
        <v>1</v>
      </c>
      <c r="S22" s="5">
        <f>_xlfn.XLOOKUP(CustomerCombined[[#This Row],[ID]], Table4[ID], Table4[Website], "Not Found", 0)</f>
        <v>4</v>
      </c>
      <c r="T22" s="5">
        <f>_xlfn.XLOOKUP(CustomerCombined[[#This Row],[ID]], Table4[ID], Table4[Catalog], "Not Found", 0)</f>
        <v>10</v>
      </c>
      <c r="U22" s="5">
        <f>_xlfn.XLOOKUP(CustomerCombined[[#This Row],[ID]], Table4[ID], Table4[Store], "Not Found", 0)</f>
        <v>8</v>
      </c>
      <c r="V22" s="5">
        <f>_xlfn.XLOOKUP(CustomerCombined[[#This Row],[ID]], Table4[ID], Table4[Visits], "Not Found", 0)</f>
        <v>1</v>
      </c>
      <c r="W22" s="8">
        <f>_xlfn.XLOOKUP(CustomerCombined[[#This Row],[ID]], Table2[ID],Table2[Complaint], "Not Found", 0 )</f>
        <v>0</v>
      </c>
      <c r="X22" s="8">
        <f>_xlfn.XLOOKUP(CustomerCombined[[#This Row],[ID]], Table2[ID],Table2[Pilot], "Not Found", 0 )</f>
        <v>1</v>
      </c>
      <c r="Y22" s="8">
        <f>_xlfn.XLOOKUP(CustomerCombined[[#This Row],[ID]], Table2[ID],Table2[MC1], "Not Found", 0 )</f>
        <v>1</v>
      </c>
      <c r="Z22" s="8">
        <f>_xlfn.XLOOKUP(CustomerCombined[[#This Row],[ID]], Table2[ID],Table2[MC2], "Not Found", 0 )</f>
        <v>0</v>
      </c>
      <c r="AA22" s="8">
        <f>_xlfn.XLOOKUP(CustomerCombined[[#This Row],[ID]], Table2[ID],Table2[MC3], "Not Found", 0 )</f>
        <v>1</v>
      </c>
      <c r="AB22" s="8">
        <f>_xlfn.XLOOKUP(CustomerCombined[[#This Row],[ID]], Table2[ID],Table2[MC4], "Not Found", 0 )</f>
        <v>0</v>
      </c>
      <c r="AC22" s="8">
        <f>_xlfn.XLOOKUP(CustomerCombined[[#This Row],[ID]], Table2[ID],Table2[MC5], "Not Found", 0 )</f>
        <v>0</v>
      </c>
    </row>
    <row r="23" spans="1:29" x14ac:dyDescent="0.3">
      <c r="A23" s="6">
        <v>1892</v>
      </c>
      <c r="B23" s="6">
        <v>175114</v>
      </c>
      <c r="C23" s="6">
        <v>0</v>
      </c>
      <c r="D23" s="6">
        <v>0</v>
      </c>
      <c r="E23" s="6">
        <v>28</v>
      </c>
      <c r="F23" s="5" t="s">
        <v>8</v>
      </c>
      <c r="G23" s="5" t="s">
        <v>11</v>
      </c>
      <c r="H23" s="3" t="s">
        <v>156</v>
      </c>
      <c r="I23" s="5" t="s">
        <v>438</v>
      </c>
      <c r="J23" s="5">
        <f>_xlfn.XLOOKUP(CustomerCombined[[#This Row],[ID]], Table4[ID], Table4[Recency], "Not Found", 0)</f>
        <v>40</v>
      </c>
      <c r="K23" s="5">
        <f>_xlfn.XLOOKUP(CustomerCombined[[#This Row],[ID]], Table4[ID], Table4[Teas], "Not Found", 0)</f>
        <v>1331</v>
      </c>
      <c r="L23" s="5">
        <f>_xlfn.XLOOKUP(CustomerCombined[[#This Row],[ID]], Table4[ID], Table4[Fruits], "Not Found", 0)</f>
        <v>28</v>
      </c>
      <c r="M23" s="5">
        <f>_xlfn.XLOOKUP(CustomerCombined[[#This Row],[ID]], Table4[ID], Table4[Meats], "Not Found", 0)</f>
        <v>1219</v>
      </c>
      <c r="N23" s="5">
        <f>_xlfn.XLOOKUP(CustomerCombined[[#This Row],[ID]], Table4[ID], Table4[Seafood], "Not Found", 0)</f>
        <v>147</v>
      </c>
      <c r="O23" s="5">
        <f>_xlfn.XLOOKUP(CustomerCombined[[#This Row],[ID]], Table4[ID], Table4[Sweets], "Not Found", 0)</f>
        <v>140</v>
      </c>
      <c r="P23" s="5">
        <f>_xlfn.XLOOKUP(CustomerCombined[[#This Row],[ID]], Table4[ID], Table4[Premium], "Not Found", 0)</f>
        <v>56</v>
      </c>
      <c r="Q23" s="5">
        <f>_xlfn.XLOOKUP(CustomerCombined[[#This Row],[ID]], Table4[ID], Table4[Regular], "Not Found", 0)</f>
        <v>2809</v>
      </c>
      <c r="R23" s="5">
        <f>_xlfn.XLOOKUP(CustomerCombined[[#This Row],[ID]], Table4[ID], Table4[Deals], "Not Found", 0)</f>
        <v>1</v>
      </c>
      <c r="S23" s="5">
        <f>_xlfn.XLOOKUP(CustomerCombined[[#This Row],[ID]], Table4[ID], Table4[Website], "Not Found", 0)</f>
        <v>3</v>
      </c>
      <c r="T23" s="5">
        <f>_xlfn.XLOOKUP(CustomerCombined[[#This Row],[ID]], Table4[ID], Table4[Catalog], "Not Found", 0)</f>
        <v>10</v>
      </c>
      <c r="U23" s="5">
        <f>_xlfn.XLOOKUP(CustomerCombined[[#This Row],[ID]], Table4[ID], Table4[Store], "Not Found", 0)</f>
        <v>5</v>
      </c>
      <c r="V23" s="5">
        <f>_xlfn.XLOOKUP(CustomerCombined[[#This Row],[ID]], Table4[ID], Table4[Visits], "Not Found", 0)</f>
        <v>2</v>
      </c>
      <c r="W23" s="8">
        <f>_xlfn.XLOOKUP(CustomerCombined[[#This Row],[ID]], Table2[ID],Table2[Complaint], "Not Found", 0 )</f>
        <v>0</v>
      </c>
      <c r="X23" s="8">
        <f>_xlfn.XLOOKUP(CustomerCombined[[#This Row],[ID]], Table2[ID],Table2[Pilot], "Not Found", 0 )</f>
        <v>0</v>
      </c>
      <c r="Y23" s="8">
        <f>_xlfn.XLOOKUP(CustomerCombined[[#This Row],[ID]], Table2[ID],Table2[MC1], "Not Found", 0 )</f>
        <v>0</v>
      </c>
      <c r="Z23" s="8">
        <f>_xlfn.XLOOKUP(CustomerCombined[[#This Row],[ID]], Table2[ID],Table2[MC2], "Not Found", 0 )</f>
        <v>0</v>
      </c>
      <c r="AA23" s="8">
        <f>_xlfn.XLOOKUP(CustomerCombined[[#This Row],[ID]], Table2[ID],Table2[MC3], "Not Found", 0 )</f>
        <v>0</v>
      </c>
      <c r="AB23" s="8">
        <f>_xlfn.XLOOKUP(CustomerCombined[[#This Row],[ID]], Table2[ID],Table2[MC4], "Not Found", 0 )</f>
        <v>0</v>
      </c>
      <c r="AC23" s="8">
        <f>_xlfn.XLOOKUP(CustomerCombined[[#This Row],[ID]], Table2[ID],Table2[MC5], "Not Found", 0 )</f>
        <v>0</v>
      </c>
    </row>
    <row r="24" spans="1:29" x14ac:dyDescent="0.3">
      <c r="A24" s="6">
        <v>2788</v>
      </c>
      <c r="B24" s="6">
        <v>163207</v>
      </c>
      <c r="C24" s="6">
        <v>0</v>
      </c>
      <c r="D24" s="6">
        <v>0</v>
      </c>
      <c r="E24" s="6">
        <v>28</v>
      </c>
      <c r="F24" s="5" t="s">
        <v>8</v>
      </c>
      <c r="G24" s="5" t="s">
        <v>11</v>
      </c>
      <c r="H24" s="3" t="s">
        <v>321</v>
      </c>
      <c r="I24" s="5" t="s">
        <v>439</v>
      </c>
      <c r="J24" s="5">
        <f>_xlfn.XLOOKUP(CustomerCombined[[#This Row],[ID]], Table4[ID], Table4[Recency], "Not Found", 0)</f>
        <v>68</v>
      </c>
      <c r="K24" s="5">
        <f>_xlfn.XLOOKUP(CustomerCombined[[#This Row],[ID]], Table4[ID], Table4[Teas], "Not Found", 0)</f>
        <v>1131</v>
      </c>
      <c r="L24" s="5">
        <f>_xlfn.XLOOKUP(CustomerCombined[[#This Row],[ID]], Table4[ID], Table4[Fruits], "Not Found", 0)</f>
        <v>436</v>
      </c>
      <c r="M24" s="5">
        <f>_xlfn.XLOOKUP(CustomerCombined[[#This Row],[ID]], Table4[ID], Table4[Meats], "Not Found", 0)</f>
        <v>1459</v>
      </c>
      <c r="N24" s="5">
        <f>_xlfn.XLOOKUP(CustomerCombined[[#This Row],[ID]], Table4[ID], Table4[Seafood], "Not Found", 0)</f>
        <v>235</v>
      </c>
      <c r="O24" s="5">
        <f>_xlfn.XLOOKUP(CustomerCombined[[#This Row],[ID]], Table4[ID], Table4[Sweets], "Not Found", 0)</f>
        <v>436</v>
      </c>
      <c r="P24" s="5">
        <f>_xlfn.XLOOKUP(CustomerCombined[[#This Row],[ID]], Table4[ID], Table4[Premium], "Not Found", 0)</f>
        <v>181</v>
      </c>
      <c r="Q24" s="5">
        <f>_xlfn.XLOOKUP(CustomerCombined[[#This Row],[ID]], Table4[ID], Table4[Regular], "Not Found", 0)</f>
        <v>3517</v>
      </c>
      <c r="R24" s="5">
        <f>_xlfn.XLOOKUP(CustomerCombined[[#This Row],[ID]], Table4[ID], Table4[Deals], "Not Found", 0)</f>
        <v>1</v>
      </c>
      <c r="S24" s="5">
        <f>_xlfn.XLOOKUP(CustomerCombined[[#This Row],[ID]], Table4[ID], Table4[Website], "Not Found", 0)</f>
        <v>2</v>
      </c>
      <c r="T24" s="5">
        <f>_xlfn.XLOOKUP(CustomerCombined[[#This Row],[ID]], Table4[ID], Table4[Catalog], "Not Found", 0)</f>
        <v>3</v>
      </c>
      <c r="U24" s="5">
        <f>_xlfn.XLOOKUP(CustomerCombined[[#This Row],[ID]], Table4[ID], Table4[Store], "Not Found", 0)</f>
        <v>6</v>
      </c>
      <c r="V24" s="5">
        <f>_xlfn.XLOOKUP(CustomerCombined[[#This Row],[ID]], Table4[ID], Table4[Visits], "Not Found", 0)</f>
        <v>7</v>
      </c>
      <c r="W24" s="8">
        <f>_xlfn.XLOOKUP(CustomerCombined[[#This Row],[ID]], Table2[ID],Table2[Complaint], "Not Found", 0 )</f>
        <v>0</v>
      </c>
      <c r="X24" s="8">
        <f>_xlfn.XLOOKUP(CustomerCombined[[#This Row],[ID]], Table2[ID],Table2[Pilot], "Not Found", 0 )</f>
        <v>0</v>
      </c>
      <c r="Y24" s="8">
        <f>_xlfn.XLOOKUP(CustomerCombined[[#This Row],[ID]], Table2[ID],Table2[MC1], "Not Found", 0 )</f>
        <v>1</v>
      </c>
      <c r="Z24" s="8">
        <f>_xlfn.XLOOKUP(CustomerCombined[[#This Row],[ID]], Table2[ID],Table2[MC2], "Not Found", 0 )</f>
        <v>0</v>
      </c>
      <c r="AA24" s="8">
        <f>_xlfn.XLOOKUP(CustomerCombined[[#This Row],[ID]], Table2[ID],Table2[MC3], "Not Found", 0 )</f>
        <v>0</v>
      </c>
      <c r="AB24" s="8">
        <f>_xlfn.XLOOKUP(CustomerCombined[[#This Row],[ID]], Table2[ID],Table2[MC4], "Not Found", 0 )</f>
        <v>0</v>
      </c>
      <c r="AC24" s="8">
        <f>_xlfn.XLOOKUP(CustomerCombined[[#This Row],[ID]], Table2[ID],Table2[MC5], "Not Found", 0 )</f>
        <v>0</v>
      </c>
    </row>
    <row r="25" spans="1:29" x14ac:dyDescent="0.3">
      <c r="A25" s="6">
        <v>1812</v>
      </c>
      <c r="B25" s="6">
        <v>148789</v>
      </c>
      <c r="C25" s="6">
        <v>0</v>
      </c>
      <c r="D25" s="6">
        <v>0</v>
      </c>
      <c r="E25" s="6">
        <v>28</v>
      </c>
      <c r="F25" s="5" t="s">
        <v>7</v>
      </c>
      <c r="G25" s="5" t="s">
        <v>11</v>
      </c>
      <c r="H25" s="3" t="s">
        <v>399</v>
      </c>
      <c r="I25" s="5" t="s">
        <v>436</v>
      </c>
      <c r="J25" s="5">
        <f>_xlfn.XLOOKUP(CustomerCombined[[#This Row],[ID]], Table4[ID], Table4[Recency], "Not Found", 0)</f>
        <v>94</v>
      </c>
      <c r="K25" s="5">
        <f>_xlfn.XLOOKUP(CustomerCombined[[#This Row],[ID]], Table4[ID], Table4[Teas], "Not Found", 0)</f>
        <v>1070</v>
      </c>
      <c r="L25" s="5">
        <f>_xlfn.XLOOKUP(CustomerCombined[[#This Row],[ID]], Table4[ID], Table4[Fruits], "Not Found", 0)</f>
        <v>49</v>
      </c>
      <c r="M25" s="5">
        <f>_xlfn.XLOOKUP(CustomerCombined[[#This Row],[ID]], Table4[ID], Table4[Meats], "Not Found", 0)</f>
        <v>476</v>
      </c>
      <c r="N25" s="5">
        <f>_xlfn.XLOOKUP(CustomerCombined[[#This Row],[ID]], Table4[ID], Table4[Seafood], "Not Found", 0)</f>
        <v>21</v>
      </c>
      <c r="O25" s="5">
        <f>_xlfn.XLOOKUP(CustomerCombined[[#This Row],[ID]], Table4[ID], Table4[Sweets], "Not Found", 0)</f>
        <v>15</v>
      </c>
      <c r="P25" s="5">
        <f>_xlfn.XLOOKUP(CustomerCombined[[#This Row],[ID]], Table4[ID], Table4[Premium], "Not Found", 0)</f>
        <v>442</v>
      </c>
      <c r="Q25" s="5">
        <f>_xlfn.XLOOKUP(CustomerCombined[[#This Row],[ID]], Table4[ID], Table4[Regular], "Not Found", 0)</f>
        <v>1189</v>
      </c>
      <c r="R25" s="5">
        <f>_xlfn.XLOOKUP(CustomerCombined[[#This Row],[ID]], Table4[ID], Table4[Deals], "Not Found", 0)</f>
        <v>1</v>
      </c>
      <c r="S25" s="5">
        <f>_xlfn.XLOOKUP(CustomerCombined[[#This Row],[ID]], Table4[ID], Table4[Website], "Not Found", 0)</f>
        <v>6</v>
      </c>
      <c r="T25" s="5">
        <f>_xlfn.XLOOKUP(CustomerCombined[[#This Row],[ID]], Table4[ID], Table4[Catalog], "Not Found", 0)</f>
        <v>4</v>
      </c>
      <c r="U25" s="5">
        <f>_xlfn.XLOOKUP(CustomerCombined[[#This Row],[ID]], Table4[ID], Table4[Store], "Not Found", 0)</f>
        <v>7</v>
      </c>
      <c r="V25" s="5">
        <f>_xlfn.XLOOKUP(CustomerCombined[[#This Row],[ID]], Table4[ID], Table4[Visits], "Not Found", 0)</f>
        <v>6</v>
      </c>
      <c r="W25" s="8">
        <f>_xlfn.XLOOKUP(CustomerCombined[[#This Row],[ID]], Table2[ID],Table2[Complaint], "Not Found", 0 )</f>
        <v>0</v>
      </c>
      <c r="X25" s="8">
        <f>_xlfn.XLOOKUP(CustomerCombined[[#This Row],[ID]], Table2[ID],Table2[Pilot], "Not Found", 0 )</f>
        <v>0</v>
      </c>
      <c r="Y25" s="8">
        <f>_xlfn.XLOOKUP(CustomerCombined[[#This Row],[ID]], Table2[ID],Table2[MC1], "Not Found", 0 )</f>
        <v>0</v>
      </c>
      <c r="Z25" s="8">
        <f>_xlfn.XLOOKUP(CustomerCombined[[#This Row],[ID]], Table2[ID],Table2[MC2], "Not Found", 0 )</f>
        <v>0</v>
      </c>
      <c r="AA25" s="8">
        <f>_xlfn.XLOOKUP(CustomerCombined[[#This Row],[ID]], Table2[ID],Table2[MC3], "Not Found", 0 )</f>
        <v>0</v>
      </c>
      <c r="AB25" s="8">
        <f>_xlfn.XLOOKUP(CustomerCombined[[#This Row],[ID]], Table2[ID],Table2[MC4], "Not Found", 0 )</f>
        <v>0</v>
      </c>
      <c r="AC25" s="8">
        <f>_xlfn.XLOOKUP(CustomerCombined[[#This Row],[ID]], Table2[ID],Table2[MC5], "Not Found", 0 )</f>
        <v>0</v>
      </c>
    </row>
    <row r="26" spans="1:29" x14ac:dyDescent="0.3">
      <c r="A26" s="6">
        <v>1296</v>
      </c>
      <c r="B26" s="6">
        <v>142670</v>
      </c>
      <c r="C26" s="6">
        <v>0</v>
      </c>
      <c r="D26" s="6">
        <v>0</v>
      </c>
      <c r="E26" s="6">
        <v>28</v>
      </c>
      <c r="F26" s="5" t="s">
        <v>8</v>
      </c>
      <c r="G26" s="5" t="s">
        <v>12</v>
      </c>
      <c r="H26" s="3">
        <v>43506</v>
      </c>
      <c r="I26" s="5" t="s">
        <v>436</v>
      </c>
      <c r="J26" s="5">
        <f>_xlfn.XLOOKUP(CustomerCombined[[#This Row],[ID]], Table4[ID], Table4[Recency], "Not Found", 0)</f>
        <v>12</v>
      </c>
      <c r="K26" s="5">
        <f>_xlfn.XLOOKUP(CustomerCombined[[#This Row],[ID]], Table4[ID], Table4[Teas], "Not Found", 0)</f>
        <v>515</v>
      </c>
      <c r="L26" s="5">
        <f>_xlfn.XLOOKUP(CustomerCombined[[#This Row],[ID]], Table4[ID], Table4[Fruits], "Not Found", 0)</f>
        <v>7</v>
      </c>
      <c r="M26" s="5">
        <f>_xlfn.XLOOKUP(CustomerCombined[[#This Row],[ID]], Table4[ID], Table4[Meats], "Not Found", 0)</f>
        <v>154</v>
      </c>
      <c r="N26" s="5">
        <f>_xlfn.XLOOKUP(CustomerCombined[[#This Row],[ID]], Table4[ID], Table4[Seafood], "Not Found", 0)</f>
        <v>67</v>
      </c>
      <c r="O26" s="5">
        <f>_xlfn.XLOOKUP(CustomerCombined[[#This Row],[ID]], Table4[ID], Table4[Sweets], "Not Found", 0)</f>
        <v>13</v>
      </c>
      <c r="P26" s="5">
        <f>_xlfn.XLOOKUP(CustomerCombined[[#This Row],[ID]], Table4[ID], Table4[Premium], "Not Found", 0)</f>
        <v>50</v>
      </c>
      <c r="Q26" s="5">
        <f>_xlfn.XLOOKUP(CustomerCombined[[#This Row],[ID]], Table4[ID], Table4[Regular], "Not Found", 0)</f>
        <v>705</v>
      </c>
      <c r="R26" s="5">
        <f>_xlfn.XLOOKUP(CustomerCombined[[#This Row],[ID]], Table4[ID], Table4[Deals], "Not Found", 0)</f>
        <v>1</v>
      </c>
      <c r="S26" s="5">
        <f>_xlfn.XLOOKUP(CustomerCombined[[#This Row],[ID]], Table4[ID], Table4[Website], "Not Found", 0)</f>
        <v>4</v>
      </c>
      <c r="T26" s="5">
        <f>_xlfn.XLOOKUP(CustomerCombined[[#This Row],[ID]], Table4[ID], Table4[Catalog], "Not Found", 0)</f>
        <v>2</v>
      </c>
      <c r="U26" s="5">
        <f>_xlfn.XLOOKUP(CustomerCombined[[#This Row],[ID]], Table4[ID], Table4[Store], "Not Found", 0)</f>
        <v>4</v>
      </c>
      <c r="V26" s="5">
        <f>_xlfn.XLOOKUP(CustomerCombined[[#This Row],[ID]], Table4[ID], Table4[Visits], "Not Found", 0)</f>
        <v>4</v>
      </c>
      <c r="W26" s="8">
        <f>_xlfn.XLOOKUP(CustomerCombined[[#This Row],[ID]], Table2[ID],Table2[Complaint], "Not Found", 0 )</f>
        <v>0</v>
      </c>
      <c r="X26" s="8">
        <f>_xlfn.XLOOKUP(CustomerCombined[[#This Row],[ID]], Table2[ID],Table2[Pilot], "Not Found", 0 )</f>
        <v>0</v>
      </c>
      <c r="Y26" s="8">
        <f>_xlfn.XLOOKUP(CustomerCombined[[#This Row],[ID]], Table2[ID],Table2[MC1], "Not Found", 0 )</f>
        <v>0</v>
      </c>
      <c r="Z26" s="8">
        <f>_xlfn.XLOOKUP(CustomerCombined[[#This Row],[ID]], Table2[ID],Table2[MC2], "Not Found", 0 )</f>
        <v>0</v>
      </c>
      <c r="AA26" s="8">
        <f>_xlfn.XLOOKUP(CustomerCombined[[#This Row],[ID]], Table2[ID],Table2[MC3], "Not Found", 0 )</f>
        <v>0</v>
      </c>
      <c r="AB26" s="8">
        <f>_xlfn.XLOOKUP(CustomerCombined[[#This Row],[ID]], Table2[ID],Table2[MC4], "Not Found", 0 )</f>
        <v>0</v>
      </c>
      <c r="AC26" s="8">
        <f>_xlfn.XLOOKUP(CustomerCombined[[#This Row],[ID]], Table2[ID],Table2[MC5], "Not Found", 0 )</f>
        <v>0</v>
      </c>
    </row>
    <row r="27" spans="1:29" x14ac:dyDescent="0.3">
      <c r="A27" s="6">
        <v>1492</v>
      </c>
      <c r="B27" s="6">
        <v>134935</v>
      </c>
      <c r="C27" s="6">
        <v>0</v>
      </c>
      <c r="D27" s="6">
        <v>0</v>
      </c>
      <c r="E27" s="6">
        <v>28</v>
      </c>
      <c r="F27" s="5" t="s">
        <v>6</v>
      </c>
      <c r="G27" s="5" t="s">
        <v>11</v>
      </c>
      <c r="H27" s="3" t="s">
        <v>232</v>
      </c>
      <c r="I27" s="5" t="s">
        <v>439</v>
      </c>
      <c r="J27" s="5">
        <f>_xlfn.XLOOKUP(CustomerCombined[[#This Row],[ID]], Table4[ID], Table4[Recency], "Not Found", 0)</f>
        <v>71</v>
      </c>
      <c r="K27" s="5">
        <f>_xlfn.XLOOKUP(CustomerCombined[[#This Row],[ID]], Table4[ID], Table4[Teas], "Not Found", 0)</f>
        <v>131</v>
      </c>
      <c r="L27" s="5">
        <f>_xlfn.XLOOKUP(CustomerCombined[[#This Row],[ID]], Table4[ID], Table4[Fruits], "Not Found", 0)</f>
        <v>15</v>
      </c>
      <c r="M27" s="5">
        <f>_xlfn.XLOOKUP(CustomerCombined[[#This Row],[ID]], Table4[ID], Table4[Meats], "Not Found", 0)</f>
        <v>255</v>
      </c>
      <c r="N27" s="5">
        <f>_xlfn.XLOOKUP(CustomerCombined[[#This Row],[ID]], Table4[ID], Table4[Seafood], "Not Found", 0)</f>
        <v>12</v>
      </c>
      <c r="O27" s="5">
        <f>_xlfn.XLOOKUP(CustomerCombined[[#This Row],[ID]], Table4[ID], Table4[Sweets], "Not Found", 0)</f>
        <v>39</v>
      </c>
      <c r="P27" s="5">
        <f>_xlfn.XLOOKUP(CustomerCombined[[#This Row],[ID]], Table4[ID], Table4[Premium], "Not Found", 0)</f>
        <v>77</v>
      </c>
      <c r="Q27" s="5">
        <f>_xlfn.XLOOKUP(CustomerCombined[[#This Row],[ID]], Table4[ID], Table4[Regular], "Not Found", 0)</f>
        <v>375</v>
      </c>
      <c r="R27" s="5">
        <f>_xlfn.XLOOKUP(CustomerCombined[[#This Row],[ID]], Table4[ID], Table4[Deals], "Not Found", 0)</f>
        <v>1</v>
      </c>
      <c r="S27" s="5">
        <f>_xlfn.XLOOKUP(CustomerCombined[[#This Row],[ID]], Table4[ID], Table4[Website], "Not Found", 0)</f>
        <v>2</v>
      </c>
      <c r="T27" s="5">
        <f>_xlfn.XLOOKUP(CustomerCombined[[#This Row],[ID]], Table4[ID], Table4[Catalog], "Not Found", 0)</f>
        <v>1</v>
      </c>
      <c r="U27" s="5">
        <f>_xlfn.XLOOKUP(CustomerCombined[[#This Row],[ID]], Table4[ID], Table4[Store], "Not Found", 0)</f>
        <v>4</v>
      </c>
      <c r="V27" s="5">
        <f>_xlfn.XLOOKUP(CustomerCombined[[#This Row],[ID]], Table4[ID], Table4[Visits], "Not Found", 0)</f>
        <v>7</v>
      </c>
      <c r="W27" s="8">
        <f>_xlfn.XLOOKUP(CustomerCombined[[#This Row],[ID]], Table2[ID],Table2[Complaint], "Not Found", 0 )</f>
        <v>0</v>
      </c>
      <c r="X27" s="8">
        <f>_xlfn.XLOOKUP(CustomerCombined[[#This Row],[ID]], Table2[ID],Table2[Pilot], "Not Found", 0 )</f>
        <v>0</v>
      </c>
      <c r="Y27" s="8">
        <f>_xlfn.XLOOKUP(CustomerCombined[[#This Row],[ID]], Table2[ID],Table2[MC1], "Not Found", 0 )</f>
        <v>0</v>
      </c>
      <c r="Z27" s="8">
        <f>_xlfn.XLOOKUP(CustomerCombined[[#This Row],[ID]], Table2[ID],Table2[MC2], "Not Found", 0 )</f>
        <v>0</v>
      </c>
      <c r="AA27" s="8">
        <f>_xlfn.XLOOKUP(CustomerCombined[[#This Row],[ID]], Table2[ID],Table2[MC3], "Not Found", 0 )</f>
        <v>0</v>
      </c>
      <c r="AB27" s="8">
        <f>_xlfn.XLOOKUP(CustomerCombined[[#This Row],[ID]], Table2[ID],Table2[MC4], "Not Found", 0 )</f>
        <v>0</v>
      </c>
      <c r="AC27" s="8">
        <f>_xlfn.XLOOKUP(CustomerCombined[[#This Row],[ID]], Table2[ID],Table2[MC5], "Not Found", 0 )</f>
        <v>0</v>
      </c>
    </row>
    <row r="28" spans="1:29" x14ac:dyDescent="0.3">
      <c r="A28" s="6">
        <v>2554</v>
      </c>
      <c r="B28" s="6">
        <v>134935</v>
      </c>
      <c r="C28" s="6">
        <v>0</v>
      </c>
      <c r="D28" s="6">
        <v>0</v>
      </c>
      <c r="E28" s="6">
        <v>28</v>
      </c>
      <c r="F28" s="5" t="s">
        <v>6</v>
      </c>
      <c r="G28" s="5" t="s">
        <v>11</v>
      </c>
      <c r="H28" s="3" t="s">
        <v>232</v>
      </c>
      <c r="I28" s="5" t="s">
        <v>439</v>
      </c>
      <c r="J28" s="5">
        <f>_xlfn.XLOOKUP(CustomerCombined[[#This Row],[ID]], Table4[ID], Table4[Recency], "Not Found", 0)</f>
        <v>71</v>
      </c>
      <c r="K28" s="5">
        <f>_xlfn.XLOOKUP(CustomerCombined[[#This Row],[ID]], Table4[ID], Table4[Teas], "Not Found", 0)</f>
        <v>131</v>
      </c>
      <c r="L28" s="5">
        <f>_xlfn.XLOOKUP(CustomerCombined[[#This Row],[ID]], Table4[ID], Table4[Fruits], "Not Found", 0)</f>
        <v>15</v>
      </c>
      <c r="M28" s="5">
        <f>_xlfn.XLOOKUP(CustomerCombined[[#This Row],[ID]], Table4[ID], Table4[Meats], "Not Found", 0)</f>
        <v>255</v>
      </c>
      <c r="N28" s="5">
        <f>_xlfn.XLOOKUP(CustomerCombined[[#This Row],[ID]], Table4[ID], Table4[Seafood], "Not Found", 0)</f>
        <v>12</v>
      </c>
      <c r="O28" s="5">
        <f>_xlfn.XLOOKUP(CustomerCombined[[#This Row],[ID]], Table4[ID], Table4[Sweets], "Not Found", 0)</f>
        <v>39</v>
      </c>
      <c r="P28" s="5">
        <f>_xlfn.XLOOKUP(CustomerCombined[[#This Row],[ID]], Table4[ID], Table4[Premium], "Not Found", 0)</f>
        <v>77</v>
      </c>
      <c r="Q28" s="5">
        <f>_xlfn.XLOOKUP(CustomerCombined[[#This Row],[ID]], Table4[ID], Table4[Regular], "Not Found", 0)</f>
        <v>375</v>
      </c>
      <c r="R28" s="5">
        <f>_xlfn.XLOOKUP(CustomerCombined[[#This Row],[ID]], Table4[ID], Table4[Deals], "Not Found", 0)</f>
        <v>1</v>
      </c>
      <c r="S28" s="5">
        <f>_xlfn.XLOOKUP(CustomerCombined[[#This Row],[ID]], Table4[ID], Table4[Website], "Not Found", 0)</f>
        <v>2</v>
      </c>
      <c r="T28" s="5">
        <f>_xlfn.XLOOKUP(CustomerCombined[[#This Row],[ID]], Table4[ID], Table4[Catalog], "Not Found", 0)</f>
        <v>1</v>
      </c>
      <c r="U28" s="5">
        <f>_xlfn.XLOOKUP(CustomerCombined[[#This Row],[ID]], Table4[ID], Table4[Store], "Not Found", 0)</f>
        <v>4</v>
      </c>
      <c r="V28" s="5">
        <f>_xlfn.XLOOKUP(CustomerCombined[[#This Row],[ID]], Table4[ID], Table4[Visits], "Not Found", 0)</f>
        <v>7</v>
      </c>
      <c r="W28" s="8">
        <f>_xlfn.XLOOKUP(CustomerCombined[[#This Row],[ID]], Table2[ID],Table2[Complaint], "Not Found", 0 )</f>
        <v>0</v>
      </c>
      <c r="X28" s="8">
        <f>_xlfn.XLOOKUP(CustomerCombined[[#This Row],[ID]], Table2[ID],Table2[Pilot], "Not Found", 0 )</f>
        <v>0</v>
      </c>
      <c r="Y28" s="8">
        <f>_xlfn.XLOOKUP(CustomerCombined[[#This Row],[ID]], Table2[ID],Table2[MC1], "Not Found", 0 )</f>
        <v>0</v>
      </c>
      <c r="Z28" s="8">
        <f>_xlfn.XLOOKUP(CustomerCombined[[#This Row],[ID]], Table2[ID],Table2[MC2], "Not Found", 0 )</f>
        <v>0</v>
      </c>
      <c r="AA28" s="8">
        <f>_xlfn.XLOOKUP(CustomerCombined[[#This Row],[ID]], Table2[ID],Table2[MC3], "Not Found", 0 )</f>
        <v>0</v>
      </c>
      <c r="AB28" s="8">
        <f>_xlfn.XLOOKUP(CustomerCombined[[#This Row],[ID]], Table2[ID],Table2[MC4], "Not Found", 0 )</f>
        <v>0</v>
      </c>
      <c r="AC28" s="8">
        <f>_xlfn.XLOOKUP(CustomerCombined[[#This Row],[ID]], Table2[ID],Table2[MC5], "Not Found", 0 )</f>
        <v>0</v>
      </c>
    </row>
    <row r="29" spans="1:29" x14ac:dyDescent="0.3">
      <c r="A29" s="6">
        <v>2689</v>
      </c>
      <c r="B29" s="6">
        <v>118746</v>
      </c>
      <c r="C29" s="6">
        <v>1</v>
      </c>
      <c r="D29" s="6">
        <v>0</v>
      </c>
      <c r="E29" s="6">
        <v>28</v>
      </c>
      <c r="F29" s="5" t="s">
        <v>7</v>
      </c>
      <c r="G29" s="5" t="s">
        <v>10</v>
      </c>
      <c r="H29" s="3">
        <v>43872</v>
      </c>
      <c r="I29" s="5" t="s">
        <v>437</v>
      </c>
      <c r="J29" s="5">
        <f>_xlfn.XLOOKUP(CustomerCombined[[#This Row],[ID]], Table4[ID], Table4[Recency], "Not Found", 0)</f>
        <v>41</v>
      </c>
      <c r="K29" s="5">
        <f>_xlfn.XLOOKUP(CustomerCombined[[#This Row],[ID]], Table4[ID], Table4[Teas], "Not Found", 0)</f>
        <v>13</v>
      </c>
      <c r="L29" s="5">
        <f>_xlfn.XLOOKUP(CustomerCombined[[#This Row],[ID]], Table4[ID], Table4[Fruits], "Not Found", 0)</f>
        <v>63</v>
      </c>
      <c r="M29" s="5">
        <f>_xlfn.XLOOKUP(CustomerCombined[[#This Row],[ID]], Table4[ID], Table4[Meats], "Not Found", 0)</f>
        <v>70</v>
      </c>
      <c r="N29" s="5">
        <f>_xlfn.XLOOKUP(CustomerCombined[[#This Row],[ID]], Table4[ID], Table4[Seafood], "Not Found", 0)</f>
        <v>76</v>
      </c>
      <c r="O29" s="5">
        <f>_xlfn.XLOOKUP(CustomerCombined[[#This Row],[ID]], Table4[ID], Table4[Sweets], "Not Found", 0)</f>
        <v>57</v>
      </c>
      <c r="P29" s="5">
        <f>_xlfn.XLOOKUP(CustomerCombined[[#This Row],[ID]], Table4[ID], Table4[Premium], "Not Found", 0)</f>
        <v>127</v>
      </c>
      <c r="Q29" s="5">
        <f>_xlfn.XLOOKUP(CustomerCombined[[#This Row],[ID]], Table4[ID], Table4[Regular], "Not Found", 0)</f>
        <v>152</v>
      </c>
      <c r="R29" s="5">
        <f>_xlfn.XLOOKUP(CustomerCombined[[#This Row],[ID]], Table4[ID], Table4[Deals], "Not Found", 0)</f>
        <v>2</v>
      </c>
      <c r="S29" s="5">
        <f>_xlfn.XLOOKUP(CustomerCombined[[#This Row],[ID]], Table4[ID], Table4[Website], "Not Found", 0)</f>
        <v>3</v>
      </c>
      <c r="T29" s="5">
        <f>_xlfn.XLOOKUP(CustomerCombined[[#This Row],[ID]], Table4[ID], Table4[Catalog], "Not Found", 0)</f>
        <v>0</v>
      </c>
      <c r="U29" s="5">
        <f>_xlfn.XLOOKUP(CustomerCombined[[#This Row],[ID]], Table4[ID], Table4[Store], "Not Found", 0)</f>
        <v>3</v>
      </c>
      <c r="V29" s="5">
        <f>_xlfn.XLOOKUP(CustomerCombined[[#This Row],[ID]], Table4[ID], Table4[Visits], "Not Found", 0)</f>
        <v>6</v>
      </c>
      <c r="W29" s="8">
        <f>_xlfn.XLOOKUP(CustomerCombined[[#This Row],[ID]], Table2[ID],Table2[Complaint], "Not Found", 0 )</f>
        <v>0</v>
      </c>
      <c r="X29" s="8">
        <f>_xlfn.XLOOKUP(CustomerCombined[[#This Row],[ID]], Table2[ID],Table2[Pilot], "Not Found", 0 )</f>
        <v>0</v>
      </c>
      <c r="Y29" s="8">
        <f>_xlfn.XLOOKUP(CustomerCombined[[#This Row],[ID]], Table2[ID],Table2[MC1], "Not Found", 0 )</f>
        <v>0</v>
      </c>
      <c r="Z29" s="8">
        <f>_xlfn.XLOOKUP(CustomerCombined[[#This Row],[ID]], Table2[ID],Table2[MC2], "Not Found", 0 )</f>
        <v>0</v>
      </c>
      <c r="AA29" s="8">
        <f>_xlfn.XLOOKUP(CustomerCombined[[#This Row],[ID]], Table2[ID],Table2[MC3], "Not Found", 0 )</f>
        <v>0</v>
      </c>
      <c r="AB29" s="8">
        <f>_xlfn.XLOOKUP(CustomerCombined[[#This Row],[ID]], Table2[ID],Table2[MC4], "Not Found", 0 )</f>
        <v>0</v>
      </c>
      <c r="AC29" s="8">
        <f>_xlfn.XLOOKUP(CustomerCombined[[#This Row],[ID]], Table2[ID],Table2[MC5], "Not Found", 0 )</f>
        <v>0</v>
      </c>
    </row>
    <row r="30" spans="1:29" x14ac:dyDescent="0.3">
      <c r="A30" s="6">
        <v>2341</v>
      </c>
      <c r="B30" s="6">
        <v>117256</v>
      </c>
      <c r="C30" s="6">
        <v>1</v>
      </c>
      <c r="D30" s="6">
        <v>0</v>
      </c>
      <c r="E30" s="6">
        <v>28</v>
      </c>
      <c r="F30" s="5" t="s">
        <v>6</v>
      </c>
      <c r="G30" s="5" t="s">
        <v>10</v>
      </c>
      <c r="H30" s="3" t="s">
        <v>142</v>
      </c>
      <c r="I30" s="5" t="s">
        <v>437</v>
      </c>
      <c r="J30" s="5">
        <f>_xlfn.XLOOKUP(CustomerCombined[[#This Row],[ID]], Table4[ID], Table4[Recency], "Not Found", 0)</f>
        <v>10</v>
      </c>
      <c r="K30" s="5">
        <f>_xlfn.XLOOKUP(CustomerCombined[[#This Row],[ID]], Table4[ID], Table4[Teas], "Not Found", 0)</f>
        <v>41</v>
      </c>
      <c r="L30" s="5">
        <f>_xlfn.XLOOKUP(CustomerCombined[[#This Row],[ID]], Table4[ID], Table4[Fruits], "Not Found", 0)</f>
        <v>27</v>
      </c>
      <c r="M30" s="5">
        <f>_xlfn.XLOOKUP(CustomerCombined[[#This Row],[ID]], Table4[ID], Table4[Meats], "Not Found", 0)</f>
        <v>95</v>
      </c>
      <c r="N30" s="5">
        <f>_xlfn.XLOOKUP(CustomerCombined[[#This Row],[ID]], Table4[ID], Table4[Seafood], "Not Found", 0)</f>
        <v>54</v>
      </c>
      <c r="O30" s="5">
        <f>_xlfn.XLOOKUP(CustomerCombined[[#This Row],[ID]], Table4[ID], Table4[Sweets], "Not Found", 0)</f>
        <v>54</v>
      </c>
      <c r="P30" s="5">
        <f>_xlfn.XLOOKUP(CustomerCombined[[#This Row],[ID]], Table4[ID], Table4[Premium], "Not Found", 0)</f>
        <v>149</v>
      </c>
      <c r="Q30" s="5">
        <f>_xlfn.XLOOKUP(CustomerCombined[[#This Row],[ID]], Table4[ID], Table4[Regular], "Not Found", 0)</f>
        <v>122</v>
      </c>
      <c r="R30" s="5">
        <f>_xlfn.XLOOKUP(CustomerCombined[[#This Row],[ID]], Table4[ID], Table4[Deals], "Not Found", 0)</f>
        <v>2</v>
      </c>
      <c r="S30" s="5">
        <f>_xlfn.XLOOKUP(CustomerCombined[[#This Row],[ID]], Table4[ID], Table4[Website], "Not Found", 0)</f>
        <v>2</v>
      </c>
      <c r="T30" s="5">
        <f>_xlfn.XLOOKUP(CustomerCombined[[#This Row],[ID]], Table4[ID], Table4[Catalog], "Not Found", 0)</f>
        <v>1</v>
      </c>
      <c r="U30" s="5">
        <f>_xlfn.XLOOKUP(CustomerCombined[[#This Row],[ID]], Table4[ID], Table4[Store], "Not Found", 0)</f>
        <v>2</v>
      </c>
      <c r="V30" s="5">
        <f>_xlfn.XLOOKUP(CustomerCombined[[#This Row],[ID]], Table4[ID], Table4[Visits], "Not Found", 0)</f>
        <v>8</v>
      </c>
      <c r="W30" s="8">
        <f>_xlfn.XLOOKUP(CustomerCombined[[#This Row],[ID]], Table2[ID],Table2[Complaint], "Not Found", 0 )</f>
        <v>0</v>
      </c>
      <c r="X30" s="8">
        <f>_xlfn.XLOOKUP(CustomerCombined[[#This Row],[ID]], Table2[ID],Table2[Pilot], "Not Found", 0 )</f>
        <v>0</v>
      </c>
      <c r="Y30" s="8">
        <f>_xlfn.XLOOKUP(CustomerCombined[[#This Row],[ID]], Table2[ID],Table2[MC1], "Not Found", 0 )</f>
        <v>0</v>
      </c>
      <c r="Z30" s="8">
        <f>_xlfn.XLOOKUP(CustomerCombined[[#This Row],[ID]], Table2[ID],Table2[MC2], "Not Found", 0 )</f>
        <v>0</v>
      </c>
      <c r="AA30" s="8">
        <f>_xlfn.XLOOKUP(CustomerCombined[[#This Row],[ID]], Table2[ID],Table2[MC3], "Not Found", 0 )</f>
        <v>1</v>
      </c>
      <c r="AB30" s="8">
        <f>_xlfn.XLOOKUP(CustomerCombined[[#This Row],[ID]], Table2[ID],Table2[MC4], "Not Found", 0 )</f>
        <v>0</v>
      </c>
      <c r="AC30" s="8">
        <f>_xlfn.XLOOKUP(CustomerCombined[[#This Row],[ID]], Table2[ID],Table2[MC5], "Not Found", 0 )</f>
        <v>0</v>
      </c>
    </row>
    <row r="31" spans="1:29" x14ac:dyDescent="0.3">
      <c r="A31" s="6">
        <v>3132</v>
      </c>
      <c r="B31" s="6">
        <v>115253</v>
      </c>
      <c r="C31" s="6">
        <v>1</v>
      </c>
      <c r="D31" s="6">
        <v>0</v>
      </c>
      <c r="E31" s="6">
        <v>28</v>
      </c>
      <c r="F31" s="5" t="s">
        <v>7</v>
      </c>
      <c r="G31" s="5" t="s">
        <v>10</v>
      </c>
      <c r="H31" s="3">
        <v>43894</v>
      </c>
      <c r="I31" s="5" t="s">
        <v>436</v>
      </c>
      <c r="J31" s="5">
        <f>_xlfn.XLOOKUP(CustomerCombined[[#This Row],[ID]], Table4[ID], Table4[Recency], "Not Found", 0)</f>
        <v>13</v>
      </c>
      <c r="K31" s="5">
        <f>_xlfn.XLOOKUP(CustomerCombined[[#This Row],[ID]], Table4[ID], Table4[Teas], "Not Found", 0)</f>
        <v>8</v>
      </c>
      <c r="L31" s="5">
        <f>_xlfn.XLOOKUP(CustomerCombined[[#This Row],[ID]], Table4[ID], Table4[Fruits], "Not Found", 0)</f>
        <v>23</v>
      </c>
      <c r="M31" s="5">
        <f>_xlfn.XLOOKUP(CustomerCombined[[#This Row],[ID]], Table4[ID], Table4[Meats], "Not Found", 0)</f>
        <v>23</v>
      </c>
      <c r="N31" s="5">
        <f>_xlfn.XLOOKUP(CustomerCombined[[#This Row],[ID]], Table4[ID], Table4[Seafood], "Not Found", 0)</f>
        <v>60</v>
      </c>
      <c r="O31" s="5">
        <f>_xlfn.XLOOKUP(CustomerCombined[[#This Row],[ID]], Table4[ID], Table4[Sweets], "Not Found", 0)</f>
        <v>8</v>
      </c>
      <c r="P31" s="5">
        <f>_xlfn.XLOOKUP(CustomerCombined[[#This Row],[ID]], Table4[ID], Table4[Premium], "Not Found", 0)</f>
        <v>98</v>
      </c>
      <c r="Q31" s="5">
        <f>_xlfn.XLOOKUP(CustomerCombined[[#This Row],[ID]], Table4[ID], Table4[Regular], "Not Found", 0)</f>
        <v>23</v>
      </c>
      <c r="R31" s="5">
        <f>_xlfn.XLOOKUP(CustomerCombined[[#This Row],[ID]], Table4[ID], Table4[Deals], "Not Found", 0)</f>
        <v>2</v>
      </c>
      <c r="S31" s="5">
        <f>_xlfn.XLOOKUP(CustomerCombined[[#This Row],[ID]], Table4[ID], Table4[Website], "Not Found", 0)</f>
        <v>1</v>
      </c>
      <c r="T31" s="5">
        <f>_xlfn.XLOOKUP(CustomerCombined[[#This Row],[ID]], Table4[ID], Table4[Catalog], "Not Found", 0)</f>
        <v>0</v>
      </c>
      <c r="U31" s="5">
        <f>_xlfn.XLOOKUP(CustomerCombined[[#This Row],[ID]], Table4[ID], Table4[Store], "Not Found", 0)</f>
        <v>3</v>
      </c>
      <c r="V31" s="5">
        <f>_xlfn.XLOOKUP(CustomerCombined[[#This Row],[ID]], Table4[ID], Table4[Visits], "Not Found", 0)</f>
        <v>7</v>
      </c>
      <c r="W31" s="8">
        <f>_xlfn.XLOOKUP(CustomerCombined[[#This Row],[ID]], Table2[ID],Table2[Complaint], "Not Found", 0 )</f>
        <v>0</v>
      </c>
      <c r="X31" s="8">
        <f>_xlfn.XLOOKUP(CustomerCombined[[#This Row],[ID]], Table2[ID],Table2[Pilot], "Not Found", 0 )</f>
        <v>0</v>
      </c>
      <c r="Y31" s="8">
        <f>_xlfn.XLOOKUP(CustomerCombined[[#This Row],[ID]], Table2[ID],Table2[MC1], "Not Found", 0 )</f>
        <v>0</v>
      </c>
      <c r="Z31" s="8">
        <f>_xlfn.XLOOKUP(CustomerCombined[[#This Row],[ID]], Table2[ID],Table2[MC2], "Not Found", 0 )</f>
        <v>0</v>
      </c>
      <c r="AA31" s="8">
        <f>_xlfn.XLOOKUP(CustomerCombined[[#This Row],[ID]], Table2[ID],Table2[MC3], "Not Found", 0 )</f>
        <v>0</v>
      </c>
      <c r="AB31" s="8">
        <f>_xlfn.XLOOKUP(CustomerCombined[[#This Row],[ID]], Table2[ID],Table2[MC4], "Not Found", 0 )</f>
        <v>0</v>
      </c>
      <c r="AC31" s="8">
        <f>_xlfn.XLOOKUP(CustomerCombined[[#This Row],[ID]], Table2[ID],Table2[MC5], "Not Found", 0 )</f>
        <v>0</v>
      </c>
    </row>
    <row r="32" spans="1:29" x14ac:dyDescent="0.3">
      <c r="A32" s="6">
        <v>2227</v>
      </c>
      <c r="B32" s="6">
        <v>107500</v>
      </c>
      <c r="C32" s="6">
        <v>1</v>
      </c>
      <c r="D32" s="6">
        <v>0</v>
      </c>
      <c r="E32" s="6">
        <v>28</v>
      </c>
      <c r="F32" s="5" t="s">
        <v>7</v>
      </c>
      <c r="G32" s="5" t="s">
        <v>10</v>
      </c>
      <c r="H32" s="3">
        <v>43743</v>
      </c>
      <c r="I32" s="5" t="s">
        <v>437</v>
      </c>
      <c r="J32" s="5">
        <f>_xlfn.XLOOKUP(CustomerCombined[[#This Row],[ID]], Table4[ID], Table4[Recency], "Not Found", 0)</f>
        <v>63</v>
      </c>
      <c r="K32" s="5">
        <f>_xlfn.XLOOKUP(CustomerCombined[[#This Row],[ID]], Table4[ID], Table4[Teas], "Not Found", 0)</f>
        <v>143</v>
      </c>
      <c r="L32" s="5">
        <f>_xlfn.XLOOKUP(CustomerCombined[[#This Row],[ID]], Table4[ID], Table4[Fruits], "Not Found", 0)</f>
        <v>244</v>
      </c>
      <c r="M32" s="5">
        <f>_xlfn.XLOOKUP(CustomerCombined[[#This Row],[ID]], Table4[ID], Table4[Meats], "Not Found", 0)</f>
        <v>258</v>
      </c>
      <c r="N32" s="5">
        <f>_xlfn.XLOOKUP(CustomerCombined[[#This Row],[ID]], Table4[ID], Table4[Seafood], "Not Found", 0)</f>
        <v>115</v>
      </c>
      <c r="O32" s="5">
        <f>_xlfn.XLOOKUP(CustomerCombined[[#This Row],[ID]], Table4[ID], Table4[Sweets], "Not Found", 0)</f>
        <v>373</v>
      </c>
      <c r="P32" s="5">
        <f>_xlfn.XLOOKUP(CustomerCombined[[#This Row],[ID]], Table4[ID], Table4[Premium], "Not Found", 0)</f>
        <v>573</v>
      </c>
      <c r="Q32" s="5">
        <f>_xlfn.XLOOKUP(CustomerCombined[[#This Row],[ID]], Table4[ID], Table4[Regular], "Not Found", 0)</f>
        <v>559</v>
      </c>
      <c r="R32" s="5">
        <f>_xlfn.XLOOKUP(CustomerCombined[[#This Row],[ID]], Table4[ID], Table4[Deals], "Not Found", 0)</f>
        <v>4</v>
      </c>
      <c r="S32" s="5">
        <f>_xlfn.XLOOKUP(CustomerCombined[[#This Row],[ID]], Table4[ID], Table4[Website], "Not Found", 0)</f>
        <v>3</v>
      </c>
      <c r="T32" s="5">
        <f>_xlfn.XLOOKUP(CustomerCombined[[#This Row],[ID]], Table4[ID], Table4[Catalog], "Not Found", 0)</f>
        <v>2</v>
      </c>
      <c r="U32" s="5">
        <f>_xlfn.XLOOKUP(CustomerCombined[[#This Row],[ID]], Table4[ID], Table4[Store], "Not Found", 0)</f>
        <v>2</v>
      </c>
      <c r="V32" s="5">
        <f>_xlfn.XLOOKUP(CustomerCombined[[#This Row],[ID]], Table4[ID], Table4[Visits], "Not Found", 0)</f>
        <v>9</v>
      </c>
      <c r="W32" s="8">
        <f>_xlfn.XLOOKUP(CustomerCombined[[#This Row],[ID]], Table2[ID],Table2[Complaint], "Not Found", 0 )</f>
        <v>0</v>
      </c>
      <c r="X32" s="8">
        <f>_xlfn.XLOOKUP(CustomerCombined[[#This Row],[ID]], Table2[ID],Table2[Pilot], "Not Found", 0 )</f>
        <v>0</v>
      </c>
      <c r="Y32" s="8">
        <f>_xlfn.XLOOKUP(CustomerCombined[[#This Row],[ID]], Table2[ID],Table2[MC1], "Not Found", 0 )</f>
        <v>0</v>
      </c>
      <c r="Z32" s="8">
        <f>_xlfn.XLOOKUP(CustomerCombined[[#This Row],[ID]], Table2[ID],Table2[MC2], "Not Found", 0 )</f>
        <v>0</v>
      </c>
      <c r="AA32" s="8">
        <f>_xlfn.XLOOKUP(CustomerCombined[[#This Row],[ID]], Table2[ID],Table2[MC3], "Not Found", 0 )</f>
        <v>0</v>
      </c>
      <c r="AB32" s="8">
        <f>_xlfn.XLOOKUP(CustomerCombined[[#This Row],[ID]], Table2[ID],Table2[MC4], "Not Found", 0 )</f>
        <v>0</v>
      </c>
      <c r="AC32" s="8">
        <f>_xlfn.XLOOKUP(CustomerCombined[[#This Row],[ID]], Table2[ID],Table2[MC5], "Not Found", 0 )</f>
        <v>0</v>
      </c>
    </row>
    <row r="33" spans="1:29" x14ac:dyDescent="0.3">
      <c r="A33" s="6">
        <v>2160</v>
      </c>
      <c r="B33" s="6">
        <v>190638</v>
      </c>
      <c r="C33" s="6">
        <v>0</v>
      </c>
      <c r="D33" s="6">
        <v>0</v>
      </c>
      <c r="E33" s="6">
        <v>29</v>
      </c>
      <c r="F33" s="5" t="s">
        <v>7</v>
      </c>
      <c r="G33" s="5" t="s">
        <v>12</v>
      </c>
      <c r="H33" s="3" t="s">
        <v>100</v>
      </c>
      <c r="I33" s="5" t="s">
        <v>436</v>
      </c>
      <c r="J33" s="5">
        <f>_xlfn.XLOOKUP(CustomerCombined[[#This Row],[ID]], Table4[ID], Table4[Recency], "Not Found", 0)</f>
        <v>29</v>
      </c>
      <c r="K33" s="5">
        <f>_xlfn.XLOOKUP(CustomerCombined[[#This Row],[ID]], Table4[ID], Table4[Teas], "Not Found", 0)</f>
        <v>2431</v>
      </c>
      <c r="L33" s="5">
        <f>_xlfn.XLOOKUP(CustomerCombined[[#This Row],[ID]], Table4[ID], Table4[Fruits], "Not Found", 0)</f>
        <v>252</v>
      </c>
      <c r="M33" s="5">
        <f>_xlfn.XLOOKUP(CustomerCombined[[#This Row],[ID]], Table4[ID], Table4[Meats], "Not Found", 0)</f>
        <v>1925</v>
      </c>
      <c r="N33" s="5">
        <f>_xlfn.XLOOKUP(CustomerCombined[[#This Row],[ID]], Table4[ID], Table4[Seafood], "Not Found", 0)</f>
        <v>198</v>
      </c>
      <c r="O33" s="5">
        <f>_xlfn.XLOOKUP(CustomerCombined[[#This Row],[ID]], Table4[ID], Table4[Sweets], "Not Found", 0)</f>
        <v>303</v>
      </c>
      <c r="P33" s="5">
        <f>_xlfn.XLOOKUP(CustomerCombined[[#This Row],[ID]], Table4[ID], Table4[Premium], "Not Found", 0)</f>
        <v>202</v>
      </c>
      <c r="Q33" s="5">
        <f>_xlfn.XLOOKUP(CustomerCombined[[#This Row],[ID]], Table4[ID], Table4[Regular], "Not Found", 0)</f>
        <v>4907</v>
      </c>
      <c r="R33" s="5">
        <f>_xlfn.XLOOKUP(CustomerCombined[[#This Row],[ID]], Table4[ID], Table4[Deals], "Not Found", 0)</f>
        <v>1</v>
      </c>
      <c r="S33" s="5">
        <f>_xlfn.XLOOKUP(CustomerCombined[[#This Row],[ID]], Table4[ID], Table4[Website], "Not Found", 0)</f>
        <v>3</v>
      </c>
      <c r="T33" s="5">
        <f>_xlfn.XLOOKUP(CustomerCombined[[#This Row],[ID]], Table4[ID], Table4[Catalog], "Not Found", 0)</f>
        <v>4</v>
      </c>
      <c r="U33" s="5">
        <f>_xlfn.XLOOKUP(CustomerCombined[[#This Row],[ID]], Table4[ID], Table4[Store], "Not Found", 0)</f>
        <v>10</v>
      </c>
      <c r="V33" s="5">
        <f>_xlfn.XLOOKUP(CustomerCombined[[#This Row],[ID]], Table4[ID], Table4[Visits], "Not Found", 0)</f>
        <v>1</v>
      </c>
      <c r="W33" s="8">
        <f>_xlfn.XLOOKUP(CustomerCombined[[#This Row],[ID]], Table2[ID],Table2[Complaint], "Not Found", 0 )</f>
        <v>0</v>
      </c>
      <c r="X33" s="8">
        <f>_xlfn.XLOOKUP(CustomerCombined[[#This Row],[ID]], Table2[ID],Table2[Pilot], "Not Found", 0 )</f>
        <v>0</v>
      </c>
      <c r="Y33" s="8">
        <f>_xlfn.XLOOKUP(CustomerCombined[[#This Row],[ID]], Table2[ID],Table2[MC1], "Not Found", 0 )</f>
        <v>0</v>
      </c>
      <c r="Z33" s="8">
        <f>_xlfn.XLOOKUP(CustomerCombined[[#This Row],[ID]], Table2[ID],Table2[MC2], "Not Found", 0 )</f>
        <v>0</v>
      </c>
      <c r="AA33" s="8">
        <f>_xlfn.XLOOKUP(CustomerCombined[[#This Row],[ID]], Table2[ID],Table2[MC3], "Not Found", 0 )</f>
        <v>0</v>
      </c>
      <c r="AB33" s="8">
        <f>_xlfn.XLOOKUP(CustomerCombined[[#This Row],[ID]], Table2[ID],Table2[MC4], "Not Found", 0 )</f>
        <v>0</v>
      </c>
      <c r="AC33" s="8">
        <f>_xlfn.XLOOKUP(CustomerCombined[[#This Row],[ID]], Table2[ID],Table2[MC5], "Not Found", 0 )</f>
        <v>1</v>
      </c>
    </row>
    <row r="34" spans="1:29" x14ac:dyDescent="0.3">
      <c r="A34" s="6">
        <v>2548</v>
      </c>
      <c r="B34" s="6">
        <v>190638</v>
      </c>
      <c r="C34" s="6">
        <v>0</v>
      </c>
      <c r="D34" s="6">
        <v>0</v>
      </c>
      <c r="E34" s="6">
        <v>29</v>
      </c>
      <c r="F34" s="5" t="s">
        <v>7</v>
      </c>
      <c r="G34" s="5" t="s">
        <v>12</v>
      </c>
      <c r="H34" s="3" t="s">
        <v>100</v>
      </c>
      <c r="I34" s="5" t="s">
        <v>439</v>
      </c>
      <c r="J34" s="5">
        <f>_xlfn.XLOOKUP(CustomerCombined[[#This Row],[ID]], Table4[ID], Table4[Recency], "Not Found", 0)</f>
        <v>29</v>
      </c>
      <c r="K34" s="5">
        <f>_xlfn.XLOOKUP(CustomerCombined[[#This Row],[ID]], Table4[ID], Table4[Teas], "Not Found", 0)</f>
        <v>2431</v>
      </c>
      <c r="L34" s="5">
        <f>_xlfn.XLOOKUP(CustomerCombined[[#This Row],[ID]], Table4[ID], Table4[Fruits], "Not Found", 0)</f>
        <v>252</v>
      </c>
      <c r="M34" s="5">
        <f>_xlfn.XLOOKUP(CustomerCombined[[#This Row],[ID]], Table4[ID], Table4[Meats], "Not Found", 0)</f>
        <v>1925</v>
      </c>
      <c r="N34" s="5">
        <f>_xlfn.XLOOKUP(CustomerCombined[[#This Row],[ID]], Table4[ID], Table4[Seafood], "Not Found", 0)</f>
        <v>198</v>
      </c>
      <c r="O34" s="5">
        <f>_xlfn.XLOOKUP(CustomerCombined[[#This Row],[ID]], Table4[ID], Table4[Sweets], "Not Found", 0)</f>
        <v>303</v>
      </c>
      <c r="P34" s="5">
        <f>_xlfn.XLOOKUP(CustomerCombined[[#This Row],[ID]], Table4[ID], Table4[Premium], "Not Found", 0)</f>
        <v>202</v>
      </c>
      <c r="Q34" s="5">
        <f>_xlfn.XLOOKUP(CustomerCombined[[#This Row],[ID]], Table4[ID], Table4[Regular], "Not Found", 0)</f>
        <v>4907</v>
      </c>
      <c r="R34" s="5">
        <f>_xlfn.XLOOKUP(CustomerCombined[[#This Row],[ID]], Table4[ID], Table4[Deals], "Not Found", 0)</f>
        <v>1</v>
      </c>
      <c r="S34" s="5">
        <f>_xlfn.XLOOKUP(CustomerCombined[[#This Row],[ID]], Table4[ID], Table4[Website], "Not Found", 0)</f>
        <v>3</v>
      </c>
      <c r="T34" s="5">
        <f>_xlfn.XLOOKUP(CustomerCombined[[#This Row],[ID]], Table4[ID], Table4[Catalog], "Not Found", 0)</f>
        <v>4</v>
      </c>
      <c r="U34" s="5">
        <f>_xlfn.XLOOKUP(CustomerCombined[[#This Row],[ID]], Table4[ID], Table4[Store], "Not Found", 0)</f>
        <v>10</v>
      </c>
      <c r="V34" s="5">
        <f>_xlfn.XLOOKUP(CustomerCombined[[#This Row],[ID]], Table4[ID], Table4[Visits], "Not Found", 0)</f>
        <v>1</v>
      </c>
      <c r="W34" s="8">
        <f>_xlfn.XLOOKUP(CustomerCombined[[#This Row],[ID]], Table2[ID],Table2[Complaint], "Not Found", 0 )</f>
        <v>0</v>
      </c>
      <c r="X34" s="8">
        <f>_xlfn.XLOOKUP(CustomerCombined[[#This Row],[ID]], Table2[ID],Table2[Pilot], "Not Found", 0 )</f>
        <v>1</v>
      </c>
      <c r="Y34" s="8">
        <f>_xlfn.XLOOKUP(CustomerCombined[[#This Row],[ID]], Table2[ID],Table2[MC1], "Not Found", 0 )</f>
        <v>0</v>
      </c>
      <c r="Z34" s="8">
        <f>_xlfn.XLOOKUP(CustomerCombined[[#This Row],[ID]], Table2[ID],Table2[MC2], "Not Found", 0 )</f>
        <v>0</v>
      </c>
      <c r="AA34" s="8">
        <f>_xlfn.XLOOKUP(CustomerCombined[[#This Row],[ID]], Table2[ID],Table2[MC3], "Not Found", 0 )</f>
        <v>0</v>
      </c>
      <c r="AB34" s="8">
        <f>_xlfn.XLOOKUP(CustomerCombined[[#This Row],[ID]], Table2[ID],Table2[MC4], "Not Found", 0 )</f>
        <v>0</v>
      </c>
      <c r="AC34" s="8">
        <f>_xlfn.XLOOKUP(CustomerCombined[[#This Row],[ID]], Table2[ID],Table2[MC5], "Not Found", 0 )</f>
        <v>1</v>
      </c>
    </row>
    <row r="35" spans="1:29" x14ac:dyDescent="0.3">
      <c r="A35" s="6">
        <v>2697</v>
      </c>
      <c r="B35" s="6">
        <v>190273</v>
      </c>
      <c r="C35" s="6">
        <v>0</v>
      </c>
      <c r="D35" s="6">
        <v>0</v>
      </c>
      <c r="E35" s="6">
        <v>29</v>
      </c>
      <c r="F35" s="5" t="s">
        <v>7</v>
      </c>
      <c r="G35" s="5" t="s">
        <v>11</v>
      </c>
      <c r="H35" s="3" t="s">
        <v>134</v>
      </c>
      <c r="I35" s="5" t="s">
        <v>435</v>
      </c>
      <c r="J35" s="5">
        <f>_xlfn.XLOOKUP(CustomerCombined[[#This Row],[ID]], Table4[ID], Table4[Recency], "Not Found", 0)</f>
        <v>32</v>
      </c>
      <c r="K35" s="5">
        <f>_xlfn.XLOOKUP(CustomerCombined[[#This Row],[ID]], Table4[ID], Table4[Teas], "Not Found", 0)</f>
        <v>1484</v>
      </c>
      <c r="L35" s="5">
        <f>_xlfn.XLOOKUP(CustomerCombined[[#This Row],[ID]], Table4[ID], Table4[Fruits], "Not Found", 0)</f>
        <v>272</v>
      </c>
      <c r="M35" s="5">
        <f>_xlfn.XLOOKUP(CustomerCombined[[#This Row],[ID]], Table4[ID], Table4[Meats], "Not Found", 0)</f>
        <v>1798</v>
      </c>
      <c r="N35" s="5">
        <f>_xlfn.XLOOKUP(CustomerCombined[[#This Row],[ID]], Table4[ID], Table4[Seafood], "Not Found", 0)</f>
        <v>253</v>
      </c>
      <c r="O35" s="5">
        <f>_xlfn.XLOOKUP(CustomerCombined[[#This Row],[ID]], Table4[ID], Table4[Sweets], "Not Found", 0)</f>
        <v>156</v>
      </c>
      <c r="P35" s="5">
        <f>_xlfn.XLOOKUP(CustomerCombined[[#This Row],[ID]], Table4[ID], Table4[Premium], "Not Found", 0)</f>
        <v>234</v>
      </c>
      <c r="Q35" s="5">
        <f>_xlfn.XLOOKUP(CustomerCombined[[#This Row],[ID]], Table4[ID], Table4[Regular], "Not Found", 0)</f>
        <v>3729</v>
      </c>
      <c r="R35" s="5">
        <f>_xlfn.XLOOKUP(CustomerCombined[[#This Row],[ID]], Table4[ID], Table4[Deals], "Not Found", 0)</f>
        <v>1</v>
      </c>
      <c r="S35" s="5">
        <f>_xlfn.XLOOKUP(CustomerCombined[[#This Row],[ID]], Table4[ID], Table4[Website], "Not Found", 0)</f>
        <v>5</v>
      </c>
      <c r="T35" s="5">
        <f>_xlfn.XLOOKUP(CustomerCombined[[#This Row],[ID]], Table4[ID], Table4[Catalog], "Not Found", 0)</f>
        <v>6</v>
      </c>
      <c r="U35" s="5">
        <f>_xlfn.XLOOKUP(CustomerCombined[[#This Row],[ID]], Table4[ID], Table4[Store], "Not Found", 0)</f>
        <v>7</v>
      </c>
      <c r="V35" s="5">
        <f>_xlfn.XLOOKUP(CustomerCombined[[#This Row],[ID]], Table4[ID], Table4[Visits], "Not Found", 0)</f>
        <v>2</v>
      </c>
      <c r="W35" s="8">
        <f>_xlfn.XLOOKUP(CustomerCombined[[#This Row],[ID]], Table2[ID],Table2[Complaint], "Not Found", 0 )</f>
        <v>0</v>
      </c>
      <c r="X35" s="8">
        <f>_xlfn.XLOOKUP(CustomerCombined[[#This Row],[ID]], Table2[ID],Table2[Pilot], "Not Found", 0 )</f>
        <v>1</v>
      </c>
      <c r="Y35" s="8">
        <f>_xlfn.XLOOKUP(CustomerCombined[[#This Row],[ID]], Table2[ID],Table2[MC1], "Not Found", 0 )</f>
        <v>1</v>
      </c>
      <c r="Z35" s="8">
        <f>_xlfn.XLOOKUP(CustomerCombined[[#This Row],[ID]], Table2[ID],Table2[MC2], "Not Found", 0 )</f>
        <v>0</v>
      </c>
      <c r="AA35" s="8">
        <f>_xlfn.XLOOKUP(CustomerCombined[[#This Row],[ID]], Table2[ID],Table2[MC3], "Not Found", 0 )</f>
        <v>0</v>
      </c>
      <c r="AB35" s="8">
        <f>_xlfn.XLOOKUP(CustomerCombined[[#This Row],[ID]], Table2[ID],Table2[MC4], "Not Found", 0 )</f>
        <v>1</v>
      </c>
      <c r="AC35" s="8">
        <f>_xlfn.XLOOKUP(CustomerCombined[[#This Row],[ID]], Table2[ID],Table2[MC5], "Not Found", 0 )</f>
        <v>1</v>
      </c>
    </row>
    <row r="36" spans="1:29" x14ac:dyDescent="0.3">
      <c r="A36" s="6">
        <v>1710</v>
      </c>
      <c r="B36" s="6">
        <v>189891</v>
      </c>
      <c r="C36" s="6">
        <v>0</v>
      </c>
      <c r="D36" s="6">
        <v>0</v>
      </c>
      <c r="E36" s="6">
        <v>29</v>
      </c>
      <c r="F36" s="5" t="s">
        <v>8</v>
      </c>
      <c r="G36" s="5" t="s">
        <v>11</v>
      </c>
      <c r="H36" s="3" t="s">
        <v>274</v>
      </c>
      <c r="I36" s="5" t="s">
        <v>436</v>
      </c>
      <c r="J36" s="5">
        <f>_xlfn.XLOOKUP(CustomerCombined[[#This Row],[ID]], Table4[ID], Table4[Recency], "Not Found", 0)</f>
        <v>17</v>
      </c>
      <c r="K36" s="5">
        <f>_xlfn.XLOOKUP(CustomerCombined[[#This Row],[ID]], Table4[ID], Table4[Teas], "Not Found", 0)</f>
        <v>870</v>
      </c>
      <c r="L36" s="5">
        <f>_xlfn.XLOOKUP(CustomerCombined[[#This Row],[ID]], Table4[ID], Table4[Fruits], "Not Found", 0)</f>
        <v>46</v>
      </c>
      <c r="M36" s="5">
        <f>_xlfn.XLOOKUP(CustomerCombined[[#This Row],[ID]], Table4[ID], Table4[Meats], "Not Found", 0)</f>
        <v>279</v>
      </c>
      <c r="N36" s="5">
        <f>_xlfn.XLOOKUP(CustomerCombined[[#This Row],[ID]], Table4[ID], Table4[Seafood], "Not Found", 0)</f>
        <v>125</v>
      </c>
      <c r="O36" s="5">
        <f>_xlfn.XLOOKUP(CustomerCombined[[#This Row],[ID]], Table4[ID], Table4[Sweets], "Not Found", 0)</f>
        <v>59</v>
      </c>
      <c r="P36" s="5">
        <f>_xlfn.XLOOKUP(CustomerCombined[[#This Row],[ID]], Table4[ID], Table4[Premium], "Not Found", 0)</f>
        <v>387</v>
      </c>
      <c r="Q36" s="5">
        <f>_xlfn.XLOOKUP(CustomerCombined[[#This Row],[ID]], Table4[ID], Table4[Regular], "Not Found", 0)</f>
        <v>993</v>
      </c>
      <c r="R36" s="5">
        <f>_xlfn.XLOOKUP(CustomerCombined[[#This Row],[ID]], Table4[ID], Table4[Deals], "Not Found", 0)</f>
        <v>1</v>
      </c>
      <c r="S36" s="5">
        <f>_xlfn.XLOOKUP(CustomerCombined[[#This Row],[ID]], Table4[ID], Table4[Website], "Not Found", 0)</f>
        <v>11</v>
      </c>
      <c r="T36" s="5">
        <f>_xlfn.XLOOKUP(CustomerCombined[[#This Row],[ID]], Table4[ID], Table4[Catalog], "Not Found", 0)</f>
        <v>6</v>
      </c>
      <c r="U36" s="5">
        <f>_xlfn.XLOOKUP(CustomerCombined[[#This Row],[ID]], Table4[ID], Table4[Store], "Not Found", 0)</f>
        <v>8</v>
      </c>
      <c r="V36" s="5">
        <f>_xlfn.XLOOKUP(CustomerCombined[[#This Row],[ID]], Table4[ID], Table4[Visits], "Not Found", 0)</f>
        <v>4</v>
      </c>
      <c r="W36" s="8">
        <f>_xlfn.XLOOKUP(CustomerCombined[[#This Row],[ID]], Table2[ID],Table2[Complaint], "Not Found", 0 )</f>
        <v>0</v>
      </c>
      <c r="X36" s="8">
        <f>_xlfn.XLOOKUP(CustomerCombined[[#This Row],[ID]], Table2[ID],Table2[Pilot], "Not Found", 0 )</f>
        <v>0</v>
      </c>
      <c r="Y36" s="8">
        <f>_xlfn.XLOOKUP(CustomerCombined[[#This Row],[ID]], Table2[ID],Table2[MC1], "Not Found", 0 )</f>
        <v>0</v>
      </c>
      <c r="Z36" s="8">
        <f>_xlfn.XLOOKUP(CustomerCombined[[#This Row],[ID]], Table2[ID],Table2[MC2], "Not Found", 0 )</f>
        <v>0</v>
      </c>
      <c r="AA36" s="8">
        <f>_xlfn.XLOOKUP(CustomerCombined[[#This Row],[ID]], Table2[ID],Table2[MC3], "Not Found", 0 )</f>
        <v>0</v>
      </c>
      <c r="AB36" s="8">
        <f>_xlfn.XLOOKUP(CustomerCombined[[#This Row],[ID]], Table2[ID],Table2[MC4], "Not Found", 0 )</f>
        <v>0</v>
      </c>
      <c r="AC36" s="8">
        <f>_xlfn.XLOOKUP(CustomerCombined[[#This Row],[ID]], Table2[ID],Table2[MC5], "Not Found", 0 )</f>
        <v>1</v>
      </c>
    </row>
    <row r="37" spans="1:29" x14ac:dyDescent="0.3">
      <c r="A37" s="6">
        <v>1105</v>
      </c>
      <c r="B37" s="6">
        <v>186037</v>
      </c>
      <c r="C37" s="6">
        <v>0</v>
      </c>
      <c r="D37" s="6">
        <v>0</v>
      </c>
      <c r="E37" s="6">
        <v>29</v>
      </c>
      <c r="F37" s="5" t="s">
        <v>7</v>
      </c>
      <c r="G37" s="5" t="s">
        <v>11</v>
      </c>
      <c r="H37" s="3">
        <v>43714</v>
      </c>
      <c r="I37" s="5" t="s">
        <v>437</v>
      </c>
      <c r="J37" s="5">
        <f>_xlfn.XLOOKUP(CustomerCombined[[#This Row],[ID]], Table4[ID], Table4[Recency], "Not Found", 0)</f>
        <v>95</v>
      </c>
      <c r="K37" s="5">
        <f>_xlfn.XLOOKUP(CustomerCombined[[#This Row],[ID]], Table4[ID], Table4[Teas], "Not Found", 0)</f>
        <v>1060</v>
      </c>
      <c r="L37" s="5">
        <f>_xlfn.XLOOKUP(CustomerCombined[[#This Row],[ID]], Table4[ID], Table4[Fruits], "Not Found", 0)</f>
        <v>95</v>
      </c>
      <c r="M37" s="5">
        <f>_xlfn.XLOOKUP(CustomerCombined[[#This Row],[ID]], Table4[ID], Table4[Meats], "Not Found", 0)</f>
        <v>270</v>
      </c>
      <c r="N37" s="5">
        <f>_xlfn.XLOOKUP(CustomerCombined[[#This Row],[ID]], Table4[ID], Table4[Seafood], "Not Found", 0)</f>
        <v>63</v>
      </c>
      <c r="O37" s="5">
        <f>_xlfn.XLOOKUP(CustomerCombined[[#This Row],[ID]], Table4[ID], Table4[Sweets], "Not Found", 0)</f>
        <v>43</v>
      </c>
      <c r="P37" s="5">
        <f>_xlfn.XLOOKUP(CustomerCombined[[#This Row],[ID]], Table4[ID], Table4[Premium], "Not Found", 0)</f>
        <v>48</v>
      </c>
      <c r="Q37" s="5">
        <f>_xlfn.XLOOKUP(CustomerCombined[[#This Row],[ID]], Table4[ID], Table4[Regular], "Not Found", 0)</f>
        <v>1483</v>
      </c>
      <c r="R37" s="5">
        <f>_xlfn.XLOOKUP(CustomerCombined[[#This Row],[ID]], Table4[ID], Table4[Deals], "Not Found", 0)</f>
        <v>1</v>
      </c>
      <c r="S37" s="5">
        <f>_xlfn.XLOOKUP(CustomerCombined[[#This Row],[ID]], Table4[ID], Table4[Website], "Not Found", 0)</f>
        <v>6</v>
      </c>
      <c r="T37" s="5">
        <f>_xlfn.XLOOKUP(CustomerCombined[[#This Row],[ID]], Table4[ID], Table4[Catalog], "Not Found", 0)</f>
        <v>7</v>
      </c>
      <c r="U37" s="5">
        <f>_xlfn.XLOOKUP(CustomerCombined[[#This Row],[ID]], Table4[ID], Table4[Store], "Not Found", 0)</f>
        <v>11</v>
      </c>
      <c r="V37" s="5">
        <f>_xlfn.XLOOKUP(CustomerCombined[[#This Row],[ID]], Table4[ID], Table4[Visits], "Not Found", 0)</f>
        <v>3</v>
      </c>
      <c r="W37" s="8">
        <f>_xlfn.XLOOKUP(CustomerCombined[[#This Row],[ID]], Table2[ID],Table2[Complaint], "Not Found", 0 )</f>
        <v>0</v>
      </c>
      <c r="X37" s="8">
        <f>_xlfn.XLOOKUP(CustomerCombined[[#This Row],[ID]], Table2[ID],Table2[Pilot], "Not Found", 0 )</f>
        <v>1</v>
      </c>
      <c r="Y37" s="8">
        <f>_xlfn.XLOOKUP(CustomerCombined[[#This Row],[ID]], Table2[ID],Table2[MC1], "Not Found", 0 )</f>
        <v>0</v>
      </c>
      <c r="Z37" s="8">
        <f>_xlfn.XLOOKUP(CustomerCombined[[#This Row],[ID]], Table2[ID],Table2[MC2], "Not Found", 0 )</f>
        <v>0</v>
      </c>
      <c r="AA37" s="8">
        <f>_xlfn.XLOOKUP(CustomerCombined[[#This Row],[ID]], Table2[ID],Table2[MC3], "Not Found", 0 )</f>
        <v>0</v>
      </c>
      <c r="AB37" s="8">
        <f>_xlfn.XLOOKUP(CustomerCombined[[#This Row],[ID]], Table2[ID],Table2[MC4], "Not Found", 0 )</f>
        <v>1</v>
      </c>
      <c r="AC37" s="8">
        <f>_xlfn.XLOOKUP(CustomerCombined[[#This Row],[ID]], Table2[ID],Table2[MC5], "Not Found", 0 )</f>
        <v>1</v>
      </c>
    </row>
    <row r="38" spans="1:29" x14ac:dyDescent="0.3">
      <c r="A38" s="6">
        <v>1379</v>
      </c>
      <c r="B38" s="6">
        <v>168682</v>
      </c>
      <c r="C38" s="6">
        <v>0</v>
      </c>
      <c r="D38" s="6">
        <v>0</v>
      </c>
      <c r="E38" s="6">
        <v>29</v>
      </c>
      <c r="F38" s="5" t="s">
        <v>8</v>
      </c>
      <c r="G38" s="5" t="s">
        <v>13</v>
      </c>
      <c r="H38" s="3">
        <v>44168</v>
      </c>
      <c r="I38" s="5" t="s">
        <v>434</v>
      </c>
      <c r="J38" s="5">
        <f>_xlfn.XLOOKUP(CustomerCombined[[#This Row],[ID]], Table4[ID], Table4[Recency], "Not Found", 0)</f>
        <v>56</v>
      </c>
      <c r="K38" s="5">
        <f>_xlfn.XLOOKUP(CustomerCombined[[#This Row],[ID]], Table4[ID], Table4[Teas], "Not Found", 0)</f>
        <v>2257</v>
      </c>
      <c r="L38" s="5">
        <f>_xlfn.XLOOKUP(CustomerCombined[[#This Row],[ID]], Table4[ID], Table4[Fruits], "Not Found", 0)</f>
        <v>0</v>
      </c>
      <c r="M38" s="5">
        <f>_xlfn.XLOOKUP(CustomerCombined[[#This Row],[ID]], Table4[ID], Table4[Meats], "Not Found", 0)</f>
        <v>1240</v>
      </c>
      <c r="N38" s="5">
        <f>_xlfn.XLOOKUP(CustomerCombined[[#This Row],[ID]], Table4[ID], Table4[Seafood], "Not Found", 0)</f>
        <v>243</v>
      </c>
      <c r="O38" s="5">
        <f>_xlfn.XLOOKUP(CustomerCombined[[#This Row],[ID]], Table4[ID], Table4[Sweets], "Not Found", 0)</f>
        <v>74</v>
      </c>
      <c r="P38" s="5">
        <f>_xlfn.XLOOKUP(CustomerCombined[[#This Row],[ID]], Table4[ID], Table4[Premium], "Not Found", 0)</f>
        <v>111</v>
      </c>
      <c r="Q38" s="5">
        <f>_xlfn.XLOOKUP(CustomerCombined[[#This Row],[ID]], Table4[ID], Table4[Regular], "Not Found", 0)</f>
        <v>3704</v>
      </c>
      <c r="R38" s="5">
        <f>_xlfn.XLOOKUP(CustomerCombined[[#This Row],[ID]], Table4[ID], Table4[Deals], "Not Found", 0)</f>
        <v>1</v>
      </c>
      <c r="S38" s="5">
        <f>_xlfn.XLOOKUP(CustomerCombined[[#This Row],[ID]], Table4[ID], Table4[Website], "Not Found", 0)</f>
        <v>4</v>
      </c>
      <c r="T38" s="5">
        <f>_xlfn.XLOOKUP(CustomerCombined[[#This Row],[ID]], Table4[ID], Table4[Catalog], "Not Found", 0)</f>
        <v>9</v>
      </c>
      <c r="U38" s="5">
        <f>_xlfn.XLOOKUP(CustomerCombined[[#This Row],[ID]], Table4[ID], Table4[Store], "Not Found", 0)</f>
        <v>10</v>
      </c>
      <c r="V38" s="5">
        <f>_xlfn.XLOOKUP(CustomerCombined[[#This Row],[ID]], Table4[ID], Table4[Visits], "Not Found", 0)</f>
        <v>2</v>
      </c>
      <c r="W38" s="8">
        <f>_xlfn.XLOOKUP(CustomerCombined[[#This Row],[ID]], Table2[ID],Table2[Complaint], "Not Found", 0 )</f>
        <v>0</v>
      </c>
      <c r="X38" s="8">
        <f>_xlfn.XLOOKUP(CustomerCombined[[#This Row],[ID]], Table2[ID],Table2[Pilot], "Not Found", 0 )</f>
        <v>0</v>
      </c>
      <c r="Y38" s="8">
        <f>_xlfn.XLOOKUP(CustomerCombined[[#This Row],[ID]], Table2[ID],Table2[MC1], "Not Found", 0 )</f>
        <v>0</v>
      </c>
      <c r="Z38" s="8">
        <f>_xlfn.XLOOKUP(CustomerCombined[[#This Row],[ID]], Table2[ID],Table2[MC2], "Not Found", 0 )</f>
        <v>0</v>
      </c>
      <c r="AA38" s="8">
        <f>_xlfn.XLOOKUP(CustomerCombined[[#This Row],[ID]], Table2[ID],Table2[MC3], "Not Found", 0 )</f>
        <v>0</v>
      </c>
      <c r="AB38" s="8">
        <f>_xlfn.XLOOKUP(CustomerCombined[[#This Row],[ID]], Table2[ID],Table2[MC4], "Not Found", 0 )</f>
        <v>0</v>
      </c>
      <c r="AC38" s="8">
        <f>_xlfn.XLOOKUP(CustomerCombined[[#This Row],[ID]], Table2[ID],Table2[MC5], "Not Found", 0 )</f>
        <v>0</v>
      </c>
    </row>
    <row r="39" spans="1:29" x14ac:dyDescent="0.3">
      <c r="A39" s="6">
        <v>2199</v>
      </c>
      <c r="B39" s="6">
        <v>168682</v>
      </c>
      <c r="C39" s="6">
        <v>0</v>
      </c>
      <c r="D39" s="6">
        <v>0</v>
      </c>
      <c r="E39" s="6">
        <v>29</v>
      </c>
      <c r="F39" s="5" t="s">
        <v>8</v>
      </c>
      <c r="G39" s="5" t="s">
        <v>13</v>
      </c>
      <c r="H39" s="3">
        <v>44168</v>
      </c>
      <c r="I39" s="5" t="s">
        <v>435</v>
      </c>
      <c r="J39" s="5">
        <f>_xlfn.XLOOKUP(CustomerCombined[[#This Row],[ID]], Table4[ID], Table4[Recency], "Not Found", 0)</f>
        <v>56</v>
      </c>
      <c r="K39" s="5">
        <f>_xlfn.XLOOKUP(CustomerCombined[[#This Row],[ID]], Table4[ID], Table4[Teas], "Not Found", 0)</f>
        <v>2257</v>
      </c>
      <c r="L39" s="5">
        <f>_xlfn.XLOOKUP(CustomerCombined[[#This Row],[ID]], Table4[ID], Table4[Fruits], "Not Found", 0)</f>
        <v>0</v>
      </c>
      <c r="M39" s="5">
        <f>_xlfn.XLOOKUP(CustomerCombined[[#This Row],[ID]], Table4[ID], Table4[Meats], "Not Found", 0)</f>
        <v>1240</v>
      </c>
      <c r="N39" s="5">
        <f>_xlfn.XLOOKUP(CustomerCombined[[#This Row],[ID]], Table4[ID], Table4[Seafood], "Not Found", 0)</f>
        <v>243</v>
      </c>
      <c r="O39" s="5">
        <f>_xlfn.XLOOKUP(CustomerCombined[[#This Row],[ID]], Table4[ID], Table4[Sweets], "Not Found", 0)</f>
        <v>74</v>
      </c>
      <c r="P39" s="5">
        <f>_xlfn.XLOOKUP(CustomerCombined[[#This Row],[ID]], Table4[ID], Table4[Premium], "Not Found", 0)</f>
        <v>111</v>
      </c>
      <c r="Q39" s="5">
        <f>_xlfn.XLOOKUP(CustomerCombined[[#This Row],[ID]], Table4[ID], Table4[Regular], "Not Found", 0)</f>
        <v>3704</v>
      </c>
      <c r="R39" s="5">
        <f>_xlfn.XLOOKUP(CustomerCombined[[#This Row],[ID]], Table4[ID], Table4[Deals], "Not Found", 0)</f>
        <v>1</v>
      </c>
      <c r="S39" s="5">
        <f>_xlfn.XLOOKUP(CustomerCombined[[#This Row],[ID]], Table4[ID], Table4[Website], "Not Found", 0)</f>
        <v>4</v>
      </c>
      <c r="T39" s="5">
        <f>_xlfn.XLOOKUP(CustomerCombined[[#This Row],[ID]], Table4[ID], Table4[Catalog], "Not Found", 0)</f>
        <v>9</v>
      </c>
      <c r="U39" s="5">
        <f>_xlfn.XLOOKUP(CustomerCombined[[#This Row],[ID]], Table4[ID], Table4[Store], "Not Found", 0)</f>
        <v>10</v>
      </c>
      <c r="V39" s="5">
        <f>_xlfn.XLOOKUP(CustomerCombined[[#This Row],[ID]], Table4[ID], Table4[Visits], "Not Found", 0)</f>
        <v>2</v>
      </c>
      <c r="W39" s="8">
        <f>_xlfn.XLOOKUP(CustomerCombined[[#This Row],[ID]], Table2[ID],Table2[Complaint], "Not Found", 0 )</f>
        <v>0</v>
      </c>
      <c r="X39" s="8">
        <f>_xlfn.XLOOKUP(CustomerCombined[[#This Row],[ID]], Table2[ID],Table2[Pilot], "Not Found", 0 )</f>
        <v>0</v>
      </c>
      <c r="Y39" s="8">
        <f>_xlfn.XLOOKUP(CustomerCombined[[#This Row],[ID]], Table2[ID],Table2[MC1], "Not Found", 0 )</f>
        <v>0</v>
      </c>
      <c r="Z39" s="8">
        <f>_xlfn.XLOOKUP(CustomerCombined[[#This Row],[ID]], Table2[ID],Table2[MC2], "Not Found", 0 )</f>
        <v>0</v>
      </c>
      <c r="AA39" s="8">
        <f>_xlfn.XLOOKUP(CustomerCombined[[#This Row],[ID]], Table2[ID],Table2[MC3], "Not Found", 0 )</f>
        <v>0</v>
      </c>
      <c r="AB39" s="8">
        <f>_xlfn.XLOOKUP(CustomerCombined[[#This Row],[ID]], Table2[ID],Table2[MC4], "Not Found", 0 )</f>
        <v>0</v>
      </c>
      <c r="AC39" s="8">
        <f>_xlfn.XLOOKUP(CustomerCombined[[#This Row],[ID]], Table2[ID],Table2[MC5], "Not Found", 0 )</f>
        <v>0</v>
      </c>
    </row>
    <row r="40" spans="1:29" x14ac:dyDescent="0.3">
      <c r="A40" s="6">
        <v>1103</v>
      </c>
      <c r="B40" s="6">
        <v>168126</v>
      </c>
      <c r="C40" s="6">
        <v>0</v>
      </c>
      <c r="D40" s="6">
        <v>0</v>
      </c>
      <c r="E40" s="6">
        <v>29</v>
      </c>
      <c r="F40" s="5" t="s">
        <v>7</v>
      </c>
      <c r="G40" s="5" t="s">
        <v>13</v>
      </c>
      <c r="H40" s="3" t="s">
        <v>365</v>
      </c>
      <c r="I40" s="5" t="s">
        <v>434</v>
      </c>
      <c r="J40" s="5">
        <f>_xlfn.XLOOKUP(CustomerCombined[[#This Row],[ID]], Table4[ID], Table4[Recency], "Not Found", 0)</f>
        <v>40</v>
      </c>
      <c r="K40" s="5">
        <f>_xlfn.XLOOKUP(CustomerCombined[[#This Row],[ID]], Table4[ID], Table4[Teas], "Not Found", 0)</f>
        <v>3287</v>
      </c>
      <c r="L40" s="5">
        <f>_xlfn.XLOOKUP(CustomerCombined[[#This Row],[ID]], Table4[ID], Table4[Fruits], "Not Found", 0)</f>
        <v>42</v>
      </c>
      <c r="M40" s="5">
        <f>_xlfn.XLOOKUP(CustomerCombined[[#This Row],[ID]], Table4[ID], Table4[Meats], "Not Found", 0)</f>
        <v>768</v>
      </c>
      <c r="N40" s="5">
        <f>_xlfn.XLOOKUP(CustomerCombined[[#This Row],[ID]], Table4[ID], Table4[Seafood], "Not Found", 0)</f>
        <v>57</v>
      </c>
      <c r="O40" s="5">
        <f>_xlfn.XLOOKUP(CustomerCombined[[#This Row],[ID]], Table4[ID], Table4[Sweets], "Not Found", 0)</f>
        <v>126</v>
      </c>
      <c r="P40" s="5">
        <f>_xlfn.XLOOKUP(CustomerCombined[[#This Row],[ID]], Table4[ID], Table4[Premium], "Not Found", 0)</f>
        <v>212</v>
      </c>
      <c r="Q40" s="5">
        <f>_xlfn.XLOOKUP(CustomerCombined[[#This Row],[ID]], Table4[ID], Table4[Regular], "Not Found", 0)</f>
        <v>4067</v>
      </c>
      <c r="R40" s="5">
        <f>_xlfn.XLOOKUP(CustomerCombined[[#This Row],[ID]], Table4[ID], Table4[Deals], "Not Found", 0)</f>
        <v>1</v>
      </c>
      <c r="S40" s="5">
        <f>_xlfn.XLOOKUP(CustomerCombined[[#This Row],[ID]], Table4[ID], Table4[Website], "Not Found", 0)</f>
        <v>7</v>
      </c>
      <c r="T40" s="5">
        <f>_xlfn.XLOOKUP(CustomerCombined[[#This Row],[ID]], Table4[ID], Table4[Catalog], "Not Found", 0)</f>
        <v>4</v>
      </c>
      <c r="U40" s="5">
        <f>_xlfn.XLOOKUP(CustomerCombined[[#This Row],[ID]], Table4[ID], Table4[Store], "Not Found", 0)</f>
        <v>5</v>
      </c>
      <c r="V40" s="5">
        <f>_xlfn.XLOOKUP(CustomerCombined[[#This Row],[ID]], Table4[ID], Table4[Visits], "Not Found", 0)</f>
        <v>9</v>
      </c>
      <c r="W40" s="8">
        <f>_xlfn.XLOOKUP(CustomerCombined[[#This Row],[ID]], Table2[ID],Table2[Complaint], "Not Found", 0 )</f>
        <v>0</v>
      </c>
      <c r="X40" s="8">
        <f>_xlfn.XLOOKUP(CustomerCombined[[#This Row],[ID]], Table2[ID],Table2[Pilot], "Not Found", 0 )</f>
        <v>1</v>
      </c>
      <c r="Y40" s="8">
        <f>_xlfn.XLOOKUP(CustomerCombined[[#This Row],[ID]], Table2[ID],Table2[MC1], "Not Found", 0 )</f>
        <v>0</v>
      </c>
      <c r="Z40" s="8">
        <f>_xlfn.XLOOKUP(CustomerCombined[[#This Row],[ID]], Table2[ID],Table2[MC2], "Not Found", 0 )</f>
        <v>0</v>
      </c>
      <c r="AA40" s="8">
        <f>_xlfn.XLOOKUP(CustomerCombined[[#This Row],[ID]], Table2[ID],Table2[MC3], "Not Found", 0 )</f>
        <v>0</v>
      </c>
      <c r="AB40" s="8">
        <f>_xlfn.XLOOKUP(CustomerCombined[[#This Row],[ID]], Table2[ID],Table2[MC4], "Not Found", 0 )</f>
        <v>1</v>
      </c>
      <c r="AC40" s="8">
        <f>_xlfn.XLOOKUP(CustomerCombined[[#This Row],[ID]], Table2[ID],Table2[MC5], "Not Found", 0 )</f>
        <v>0</v>
      </c>
    </row>
    <row r="41" spans="1:29" x14ac:dyDescent="0.3">
      <c r="A41" s="6">
        <v>1827</v>
      </c>
      <c r="B41" s="6">
        <v>161618</v>
      </c>
      <c r="C41" s="6">
        <v>0</v>
      </c>
      <c r="D41" s="6">
        <v>0</v>
      </c>
      <c r="E41" s="6">
        <v>29</v>
      </c>
      <c r="F41" s="5" t="s">
        <v>7</v>
      </c>
      <c r="G41" s="5" t="s">
        <v>442</v>
      </c>
      <c r="H41" s="3">
        <v>43619</v>
      </c>
      <c r="I41" s="5" t="s">
        <v>435</v>
      </c>
      <c r="J41" s="5">
        <f>_xlfn.XLOOKUP(CustomerCombined[[#This Row],[ID]], Table4[ID], Table4[Recency], "Not Found", 0)</f>
        <v>27</v>
      </c>
      <c r="K41" s="5">
        <f>_xlfn.XLOOKUP(CustomerCombined[[#This Row],[ID]], Table4[ID], Table4[Teas], "Not Found", 0)</f>
        <v>1587</v>
      </c>
      <c r="L41" s="5">
        <f>_xlfn.XLOOKUP(CustomerCombined[[#This Row],[ID]], Table4[ID], Table4[Fruits], "Not Found", 0)</f>
        <v>239</v>
      </c>
      <c r="M41" s="5">
        <f>_xlfn.XLOOKUP(CustomerCombined[[#This Row],[ID]], Table4[ID], Table4[Meats], "Not Found", 0)</f>
        <v>1047</v>
      </c>
      <c r="N41" s="5">
        <f>_xlfn.XLOOKUP(CustomerCombined[[#This Row],[ID]], Table4[ID], Table4[Seafood], "Not Found", 0)</f>
        <v>0</v>
      </c>
      <c r="O41" s="5">
        <f>_xlfn.XLOOKUP(CustomerCombined[[#This Row],[ID]], Table4[ID], Table4[Sweets], "Not Found", 0)</f>
        <v>118</v>
      </c>
      <c r="P41" s="5">
        <f>_xlfn.XLOOKUP(CustomerCombined[[#This Row],[ID]], Table4[ID], Table4[Premium], "Not Found", 0)</f>
        <v>538</v>
      </c>
      <c r="Q41" s="5">
        <f>_xlfn.XLOOKUP(CustomerCombined[[#This Row],[ID]], Table4[ID], Table4[Regular], "Not Found", 0)</f>
        <v>2452</v>
      </c>
      <c r="R41" s="5">
        <f>_xlfn.XLOOKUP(CustomerCombined[[#This Row],[ID]], Table4[ID], Table4[Deals], "Not Found", 0)</f>
        <v>2</v>
      </c>
      <c r="S41" s="5">
        <f>_xlfn.XLOOKUP(CustomerCombined[[#This Row],[ID]], Table4[ID], Table4[Website], "Not Found", 0)</f>
        <v>3</v>
      </c>
      <c r="T41" s="5">
        <f>_xlfn.XLOOKUP(CustomerCombined[[#This Row],[ID]], Table4[ID], Table4[Catalog], "Not Found", 0)</f>
        <v>6</v>
      </c>
      <c r="U41" s="5">
        <f>_xlfn.XLOOKUP(CustomerCombined[[#This Row],[ID]], Table4[ID], Table4[Store], "Not Found", 0)</f>
        <v>8</v>
      </c>
      <c r="V41" s="5">
        <f>_xlfn.XLOOKUP(CustomerCombined[[#This Row],[ID]], Table4[ID], Table4[Visits], "Not Found", 0)</f>
        <v>3</v>
      </c>
      <c r="W41" s="8">
        <f>_xlfn.XLOOKUP(CustomerCombined[[#This Row],[ID]], Table2[ID],Table2[Complaint], "Not Found", 0 )</f>
        <v>0</v>
      </c>
      <c r="X41" s="8">
        <f>_xlfn.XLOOKUP(CustomerCombined[[#This Row],[ID]], Table2[ID],Table2[Pilot], "Not Found", 0 )</f>
        <v>0</v>
      </c>
      <c r="Y41" s="8">
        <f>_xlfn.XLOOKUP(CustomerCombined[[#This Row],[ID]], Table2[ID],Table2[MC1], "Not Found", 0 )</f>
        <v>0</v>
      </c>
      <c r="Z41" s="8">
        <f>_xlfn.XLOOKUP(CustomerCombined[[#This Row],[ID]], Table2[ID],Table2[MC2], "Not Found", 0 )</f>
        <v>0</v>
      </c>
      <c r="AA41" s="8">
        <f>_xlfn.XLOOKUP(CustomerCombined[[#This Row],[ID]], Table2[ID],Table2[MC3], "Not Found", 0 )</f>
        <v>0</v>
      </c>
      <c r="AB41" s="8">
        <f>_xlfn.XLOOKUP(CustomerCombined[[#This Row],[ID]], Table2[ID],Table2[MC4], "Not Found", 0 )</f>
        <v>0</v>
      </c>
      <c r="AC41" s="8">
        <f>_xlfn.XLOOKUP(CustomerCombined[[#This Row],[ID]], Table2[ID],Table2[MC5], "Not Found", 0 )</f>
        <v>0</v>
      </c>
    </row>
    <row r="42" spans="1:29" x14ac:dyDescent="0.3">
      <c r="A42" s="6">
        <v>2962</v>
      </c>
      <c r="B42" s="6">
        <v>151373</v>
      </c>
      <c r="C42" s="6">
        <v>0</v>
      </c>
      <c r="D42" s="6">
        <v>0</v>
      </c>
      <c r="E42" s="6">
        <v>29</v>
      </c>
      <c r="F42" s="5" t="s">
        <v>6</v>
      </c>
      <c r="G42" s="5" t="s">
        <v>11</v>
      </c>
      <c r="H42" s="3" t="s">
        <v>231</v>
      </c>
      <c r="I42" s="5" t="s">
        <v>439</v>
      </c>
      <c r="J42" s="5">
        <f>_xlfn.XLOOKUP(CustomerCombined[[#This Row],[ID]], Table4[ID], Table4[Recency], "Not Found", 0)</f>
        <v>37</v>
      </c>
      <c r="K42" s="5">
        <f>_xlfn.XLOOKUP(CustomerCombined[[#This Row],[ID]], Table4[ID], Table4[Teas], "Not Found", 0)</f>
        <v>245</v>
      </c>
      <c r="L42" s="5">
        <f>_xlfn.XLOOKUP(CustomerCombined[[#This Row],[ID]], Table4[ID], Table4[Fruits], "Not Found", 0)</f>
        <v>6</v>
      </c>
      <c r="M42" s="5">
        <f>_xlfn.XLOOKUP(CustomerCombined[[#This Row],[ID]], Table4[ID], Table4[Meats], "Not Found", 0)</f>
        <v>298</v>
      </c>
      <c r="N42" s="5">
        <f>_xlfn.XLOOKUP(CustomerCombined[[#This Row],[ID]], Table4[ID], Table4[Seafood], "Not Found", 0)</f>
        <v>189</v>
      </c>
      <c r="O42" s="5">
        <f>_xlfn.XLOOKUP(CustomerCombined[[#This Row],[ID]], Table4[ID], Table4[Sweets], "Not Found", 0)</f>
        <v>77</v>
      </c>
      <c r="P42" s="5">
        <f>_xlfn.XLOOKUP(CustomerCombined[[#This Row],[ID]], Table4[ID], Table4[Premium], "Not Found", 0)</f>
        <v>345</v>
      </c>
      <c r="Q42" s="5">
        <f>_xlfn.XLOOKUP(CustomerCombined[[#This Row],[ID]], Table4[ID], Table4[Regular], "Not Found", 0)</f>
        <v>469</v>
      </c>
      <c r="R42" s="5">
        <f>_xlfn.XLOOKUP(CustomerCombined[[#This Row],[ID]], Table4[ID], Table4[Deals], "Not Found", 0)</f>
        <v>1</v>
      </c>
      <c r="S42" s="5">
        <f>_xlfn.XLOOKUP(CustomerCombined[[#This Row],[ID]], Table4[ID], Table4[Website], "Not Found", 0)</f>
        <v>3</v>
      </c>
      <c r="T42" s="5">
        <f>_xlfn.XLOOKUP(CustomerCombined[[#This Row],[ID]], Table4[ID], Table4[Catalog], "Not Found", 0)</f>
        <v>5</v>
      </c>
      <c r="U42" s="5">
        <f>_xlfn.XLOOKUP(CustomerCombined[[#This Row],[ID]], Table4[ID], Table4[Store], "Not Found", 0)</f>
        <v>3</v>
      </c>
      <c r="V42" s="5">
        <f>_xlfn.XLOOKUP(CustomerCombined[[#This Row],[ID]], Table4[ID], Table4[Visits], "Not Found", 0)</f>
        <v>4</v>
      </c>
      <c r="W42" s="8">
        <f>_xlfn.XLOOKUP(CustomerCombined[[#This Row],[ID]], Table2[ID],Table2[Complaint], "Not Found", 0 )</f>
        <v>0</v>
      </c>
      <c r="X42" s="8">
        <f>_xlfn.XLOOKUP(CustomerCombined[[#This Row],[ID]], Table2[ID],Table2[Pilot], "Not Found", 0 )</f>
        <v>0</v>
      </c>
      <c r="Y42" s="8">
        <f>_xlfn.XLOOKUP(CustomerCombined[[#This Row],[ID]], Table2[ID],Table2[MC1], "Not Found", 0 )</f>
        <v>0</v>
      </c>
      <c r="Z42" s="8">
        <f>_xlfn.XLOOKUP(CustomerCombined[[#This Row],[ID]], Table2[ID],Table2[MC2], "Not Found", 0 )</f>
        <v>0</v>
      </c>
      <c r="AA42" s="8">
        <f>_xlfn.XLOOKUP(CustomerCombined[[#This Row],[ID]], Table2[ID],Table2[MC3], "Not Found", 0 )</f>
        <v>0</v>
      </c>
      <c r="AB42" s="8">
        <f>_xlfn.XLOOKUP(CustomerCombined[[#This Row],[ID]], Table2[ID],Table2[MC4], "Not Found", 0 )</f>
        <v>0</v>
      </c>
      <c r="AC42" s="8">
        <f>_xlfn.XLOOKUP(CustomerCombined[[#This Row],[ID]], Table2[ID],Table2[MC5], "Not Found", 0 )</f>
        <v>0</v>
      </c>
    </row>
    <row r="43" spans="1:29" x14ac:dyDescent="0.3">
      <c r="A43" s="6">
        <v>3015</v>
      </c>
      <c r="B43" s="6">
        <v>149767</v>
      </c>
      <c r="C43" s="6">
        <v>0</v>
      </c>
      <c r="D43" s="6">
        <v>0</v>
      </c>
      <c r="E43" s="6">
        <v>29</v>
      </c>
      <c r="F43" s="5" t="s">
        <v>7</v>
      </c>
      <c r="G43" s="5" t="s">
        <v>11</v>
      </c>
      <c r="H43" s="3">
        <v>43656</v>
      </c>
      <c r="I43" s="5" t="s">
        <v>435</v>
      </c>
      <c r="J43" s="5">
        <f>_xlfn.XLOOKUP(CustomerCombined[[#This Row],[ID]], Table4[ID], Table4[Recency], "Not Found", 0)</f>
        <v>92</v>
      </c>
      <c r="K43" s="5">
        <f>_xlfn.XLOOKUP(CustomerCombined[[#This Row],[ID]], Table4[ID], Table4[Teas], "Not Found", 0)</f>
        <v>608</v>
      </c>
      <c r="L43" s="5">
        <f>_xlfn.XLOOKUP(CustomerCombined[[#This Row],[ID]], Table4[ID], Table4[Fruits], "Not Found", 0)</f>
        <v>141</v>
      </c>
      <c r="M43" s="5">
        <f>_xlfn.XLOOKUP(CustomerCombined[[#This Row],[ID]], Table4[ID], Table4[Meats], "Not Found", 0)</f>
        <v>593</v>
      </c>
      <c r="N43" s="5">
        <f>_xlfn.XLOOKUP(CustomerCombined[[#This Row],[ID]], Table4[ID], Table4[Seafood], "Not Found", 0)</f>
        <v>166</v>
      </c>
      <c r="O43" s="5">
        <f>_xlfn.XLOOKUP(CustomerCombined[[#This Row],[ID]], Table4[ID], Table4[Sweets], "Not Found", 0)</f>
        <v>126</v>
      </c>
      <c r="P43" s="5">
        <f>_xlfn.XLOOKUP(CustomerCombined[[#This Row],[ID]], Table4[ID], Table4[Premium], "Not Found", 0)</f>
        <v>448</v>
      </c>
      <c r="Q43" s="5">
        <f>_xlfn.XLOOKUP(CustomerCombined[[#This Row],[ID]], Table4[ID], Table4[Regular], "Not Found", 0)</f>
        <v>1186</v>
      </c>
      <c r="R43" s="5">
        <f>_xlfn.XLOOKUP(CustomerCombined[[#This Row],[ID]], Table4[ID], Table4[Deals], "Not Found", 0)</f>
        <v>1</v>
      </c>
      <c r="S43" s="5">
        <f>_xlfn.XLOOKUP(CustomerCombined[[#This Row],[ID]], Table4[ID], Table4[Website], "Not Found", 0)</f>
        <v>5</v>
      </c>
      <c r="T43" s="5">
        <f>_xlfn.XLOOKUP(CustomerCombined[[#This Row],[ID]], Table4[ID], Table4[Catalog], "Not Found", 0)</f>
        <v>4</v>
      </c>
      <c r="U43" s="5">
        <f>_xlfn.XLOOKUP(CustomerCombined[[#This Row],[ID]], Table4[ID], Table4[Store], "Not Found", 0)</f>
        <v>8</v>
      </c>
      <c r="V43" s="5">
        <f>_xlfn.XLOOKUP(CustomerCombined[[#This Row],[ID]], Table4[ID], Table4[Visits], "Not Found", 0)</f>
        <v>4</v>
      </c>
      <c r="W43" s="8">
        <f>_xlfn.XLOOKUP(CustomerCombined[[#This Row],[ID]], Table2[ID],Table2[Complaint], "Not Found", 0 )</f>
        <v>0</v>
      </c>
      <c r="X43" s="8">
        <f>_xlfn.XLOOKUP(CustomerCombined[[#This Row],[ID]], Table2[ID],Table2[Pilot], "Not Found", 0 )</f>
        <v>0</v>
      </c>
      <c r="Y43" s="8">
        <f>_xlfn.XLOOKUP(CustomerCombined[[#This Row],[ID]], Table2[ID],Table2[MC1], "Not Found", 0 )</f>
        <v>0</v>
      </c>
      <c r="Z43" s="8">
        <f>_xlfn.XLOOKUP(CustomerCombined[[#This Row],[ID]], Table2[ID],Table2[MC2], "Not Found", 0 )</f>
        <v>0</v>
      </c>
      <c r="AA43" s="8">
        <f>_xlfn.XLOOKUP(CustomerCombined[[#This Row],[ID]], Table2[ID],Table2[MC3], "Not Found", 0 )</f>
        <v>0</v>
      </c>
      <c r="AB43" s="8">
        <f>_xlfn.XLOOKUP(CustomerCombined[[#This Row],[ID]], Table2[ID],Table2[MC4], "Not Found", 0 )</f>
        <v>0</v>
      </c>
      <c r="AC43" s="8">
        <f>_xlfn.XLOOKUP(CustomerCombined[[#This Row],[ID]], Table2[ID],Table2[MC5], "Not Found", 0 )</f>
        <v>0</v>
      </c>
    </row>
    <row r="44" spans="1:29" x14ac:dyDescent="0.3">
      <c r="A44" s="6">
        <v>1506</v>
      </c>
      <c r="B44" s="6">
        <v>142691</v>
      </c>
      <c r="C44" s="6">
        <v>0</v>
      </c>
      <c r="D44" s="6">
        <v>0</v>
      </c>
      <c r="E44" s="6">
        <v>29</v>
      </c>
      <c r="F44" s="5" t="s">
        <v>6</v>
      </c>
      <c r="G44" s="5" t="s">
        <v>11</v>
      </c>
      <c r="H44" s="3" t="s">
        <v>201</v>
      </c>
      <c r="I44" s="5" t="s">
        <v>436</v>
      </c>
      <c r="J44" s="5">
        <f>_xlfn.XLOOKUP(CustomerCombined[[#This Row],[ID]], Table4[ID], Table4[Recency], "Not Found", 0)</f>
        <v>48</v>
      </c>
      <c r="K44" s="5">
        <f>_xlfn.XLOOKUP(CustomerCombined[[#This Row],[ID]], Table4[ID], Table4[Teas], "Not Found", 0)</f>
        <v>598</v>
      </c>
      <c r="L44" s="5">
        <f>_xlfn.XLOOKUP(CustomerCombined[[#This Row],[ID]], Table4[ID], Table4[Fruits], "Not Found", 0)</f>
        <v>7</v>
      </c>
      <c r="M44" s="5">
        <f>_xlfn.XLOOKUP(CustomerCombined[[#This Row],[ID]], Table4[ID], Table4[Meats], "Not Found", 0)</f>
        <v>214</v>
      </c>
      <c r="N44" s="5">
        <f>_xlfn.XLOOKUP(CustomerCombined[[#This Row],[ID]], Table4[ID], Table4[Seafood], "Not Found", 0)</f>
        <v>127</v>
      </c>
      <c r="O44" s="5">
        <f>_xlfn.XLOOKUP(CustomerCombined[[#This Row],[ID]], Table4[ID], Table4[Sweets], "Not Found", 0)</f>
        <v>57</v>
      </c>
      <c r="P44" s="5">
        <f>_xlfn.XLOOKUP(CustomerCombined[[#This Row],[ID]], Table4[ID], Table4[Premium], "Not Found", 0)</f>
        <v>194</v>
      </c>
      <c r="Q44" s="5">
        <f>_xlfn.XLOOKUP(CustomerCombined[[#This Row],[ID]], Table4[ID], Table4[Regular], "Not Found", 0)</f>
        <v>809</v>
      </c>
      <c r="R44" s="5">
        <f>_xlfn.XLOOKUP(CustomerCombined[[#This Row],[ID]], Table4[ID], Table4[Deals], "Not Found", 0)</f>
        <v>1</v>
      </c>
      <c r="S44" s="5">
        <f>_xlfn.XLOOKUP(CustomerCombined[[#This Row],[ID]], Table4[ID], Table4[Website], "Not Found", 0)</f>
        <v>5</v>
      </c>
      <c r="T44" s="5">
        <f>_xlfn.XLOOKUP(CustomerCombined[[#This Row],[ID]], Table4[ID], Table4[Catalog], "Not Found", 0)</f>
        <v>1</v>
      </c>
      <c r="U44" s="5">
        <f>_xlfn.XLOOKUP(CustomerCombined[[#This Row],[ID]], Table4[ID], Table4[Store], "Not Found", 0)</f>
        <v>6</v>
      </c>
      <c r="V44" s="5">
        <f>_xlfn.XLOOKUP(CustomerCombined[[#This Row],[ID]], Table4[ID], Table4[Visits], "Not Found", 0)</f>
        <v>5</v>
      </c>
      <c r="W44" s="8">
        <f>_xlfn.XLOOKUP(CustomerCombined[[#This Row],[ID]], Table2[ID],Table2[Complaint], "Not Found", 0 )</f>
        <v>0</v>
      </c>
      <c r="X44" s="8">
        <f>_xlfn.XLOOKUP(CustomerCombined[[#This Row],[ID]], Table2[ID],Table2[Pilot], "Not Found", 0 )</f>
        <v>0</v>
      </c>
      <c r="Y44" s="8">
        <f>_xlfn.XLOOKUP(CustomerCombined[[#This Row],[ID]], Table2[ID],Table2[MC1], "Not Found", 0 )</f>
        <v>0</v>
      </c>
      <c r="Z44" s="8">
        <f>_xlfn.XLOOKUP(CustomerCombined[[#This Row],[ID]], Table2[ID],Table2[MC2], "Not Found", 0 )</f>
        <v>0</v>
      </c>
      <c r="AA44" s="8">
        <f>_xlfn.XLOOKUP(CustomerCombined[[#This Row],[ID]], Table2[ID],Table2[MC3], "Not Found", 0 )</f>
        <v>0</v>
      </c>
      <c r="AB44" s="8">
        <f>_xlfn.XLOOKUP(CustomerCombined[[#This Row],[ID]], Table2[ID],Table2[MC4], "Not Found", 0 )</f>
        <v>0</v>
      </c>
      <c r="AC44" s="8">
        <f>_xlfn.XLOOKUP(CustomerCombined[[#This Row],[ID]], Table2[ID],Table2[MC5], "Not Found", 0 )</f>
        <v>0</v>
      </c>
    </row>
    <row r="45" spans="1:29" x14ac:dyDescent="0.3">
      <c r="A45" s="6">
        <v>1874</v>
      </c>
      <c r="B45" s="6">
        <v>126868</v>
      </c>
      <c r="C45" s="6">
        <v>1</v>
      </c>
      <c r="D45" s="6">
        <v>0</v>
      </c>
      <c r="E45" s="6">
        <v>29</v>
      </c>
      <c r="F45" s="5" t="s">
        <v>7</v>
      </c>
      <c r="G45" s="5" t="s">
        <v>10</v>
      </c>
      <c r="H45" s="3">
        <v>43931</v>
      </c>
      <c r="I45" s="5" t="s">
        <v>438</v>
      </c>
      <c r="J45" s="5">
        <f>_xlfn.XLOOKUP(CustomerCombined[[#This Row],[ID]], Table4[ID], Table4[Recency], "Not Found", 0)</f>
        <v>52</v>
      </c>
      <c r="K45" s="5">
        <f>_xlfn.XLOOKUP(CustomerCombined[[#This Row],[ID]], Table4[ID], Table4[Teas], "Not Found", 0)</f>
        <v>0</v>
      </c>
      <c r="L45" s="5">
        <f>_xlfn.XLOOKUP(CustomerCombined[[#This Row],[ID]], Table4[ID], Table4[Fruits], "Not Found", 0)</f>
        <v>0</v>
      </c>
      <c r="M45" s="5">
        <f>_xlfn.XLOOKUP(CustomerCombined[[#This Row],[ID]], Table4[ID], Table4[Meats], "Not Found", 0)</f>
        <v>5</v>
      </c>
      <c r="N45" s="5">
        <f>_xlfn.XLOOKUP(CustomerCombined[[#This Row],[ID]], Table4[ID], Table4[Seafood], "Not Found", 0)</f>
        <v>38</v>
      </c>
      <c r="O45" s="5">
        <f>_xlfn.XLOOKUP(CustomerCombined[[#This Row],[ID]], Table4[ID], Table4[Sweets], "Not Found", 0)</f>
        <v>14</v>
      </c>
      <c r="P45" s="5">
        <f>_xlfn.XLOOKUP(CustomerCombined[[#This Row],[ID]], Table4[ID], Table4[Premium], "Not Found", 0)</f>
        <v>9</v>
      </c>
      <c r="Q45" s="5">
        <f>_xlfn.XLOOKUP(CustomerCombined[[#This Row],[ID]], Table4[ID], Table4[Regular], "Not Found", 0)</f>
        <v>47</v>
      </c>
      <c r="R45" s="5">
        <f>_xlfn.XLOOKUP(CustomerCombined[[#This Row],[ID]], Table4[ID], Table4[Deals], "Not Found", 0)</f>
        <v>1</v>
      </c>
      <c r="S45" s="5">
        <f>_xlfn.XLOOKUP(CustomerCombined[[#This Row],[ID]], Table4[ID], Table4[Website], "Not Found", 0)</f>
        <v>1</v>
      </c>
      <c r="T45" s="5">
        <f>_xlfn.XLOOKUP(CustomerCombined[[#This Row],[ID]], Table4[ID], Table4[Catalog], "Not Found", 0)</f>
        <v>0</v>
      </c>
      <c r="U45" s="5">
        <f>_xlfn.XLOOKUP(CustomerCombined[[#This Row],[ID]], Table4[ID], Table4[Store], "Not Found", 0)</f>
        <v>2</v>
      </c>
      <c r="V45" s="5">
        <f>_xlfn.XLOOKUP(CustomerCombined[[#This Row],[ID]], Table4[ID], Table4[Visits], "Not Found", 0)</f>
        <v>7</v>
      </c>
      <c r="W45" s="8">
        <f>_xlfn.XLOOKUP(CustomerCombined[[#This Row],[ID]], Table2[ID],Table2[Complaint], "Not Found", 0 )</f>
        <v>0</v>
      </c>
      <c r="X45" s="8">
        <f>_xlfn.XLOOKUP(CustomerCombined[[#This Row],[ID]], Table2[ID],Table2[Pilot], "Not Found", 0 )</f>
        <v>0</v>
      </c>
      <c r="Y45" s="8">
        <f>_xlfn.XLOOKUP(CustomerCombined[[#This Row],[ID]], Table2[ID],Table2[MC1], "Not Found", 0 )</f>
        <v>0</v>
      </c>
      <c r="Z45" s="8">
        <f>_xlfn.XLOOKUP(CustomerCombined[[#This Row],[ID]], Table2[ID],Table2[MC2], "Not Found", 0 )</f>
        <v>0</v>
      </c>
      <c r="AA45" s="8">
        <f>_xlfn.XLOOKUP(CustomerCombined[[#This Row],[ID]], Table2[ID],Table2[MC3], "Not Found", 0 )</f>
        <v>0</v>
      </c>
      <c r="AB45" s="8">
        <f>_xlfn.XLOOKUP(CustomerCombined[[#This Row],[ID]], Table2[ID],Table2[MC4], "Not Found", 0 )</f>
        <v>0</v>
      </c>
      <c r="AC45" s="8">
        <f>_xlfn.XLOOKUP(CustomerCombined[[#This Row],[ID]], Table2[ID],Table2[MC5], "Not Found", 0 )</f>
        <v>0</v>
      </c>
    </row>
    <row r="46" spans="1:29" x14ac:dyDescent="0.3">
      <c r="A46" s="6">
        <v>2650</v>
      </c>
      <c r="B46" s="6">
        <v>120193</v>
      </c>
      <c r="C46" s="6">
        <v>0</v>
      </c>
      <c r="D46" s="6">
        <v>0</v>
      </c>
      <c r="E46" s="6">
        <v>29</v>
      </c>
      <c r="F46" s="5" t="s">
        <v>8</v>
      </c>
      <c r="G46" s="5" t="s">
        <v>442</v>
      </c>
      <c r="H46" s="3">
        <v>43590</v>
      </c>
      <c r="I46" s="5" t="s">
        <v>439</v>
      </c>
      <c r="J46" s="5">
        <f>_xlfn.XLOOKUP(CustomerCombined[[#This Row],[ID]], Table4[ID], Table4[Recency], "Not Found", 0)</f>
        <v>18</v>
      </c>
      <c r="K46" s="5">
        <f>_xlfn.XLOOKUP(CustomerCombined[[#This Row],[ID]], Table4[ID], Table4[Teas], "Not Found", 0)</f>
        <v>48</v>
      </c>
      <c r="L46" s="5">
        <f>_xlfn.XLOOKUP(CustomerCombined[[#This Row],[ID]], Table4[ID], Table4[Fruits], "Not Found", 0)</f>
        <v>48</v>
      </c>
      <c r="M46" s="5">
        <f>_xlfn.XLOOKUP(CustomerCombined[[#This Row],[ID]], Table4[ID], Table4[Meats], "Not Found", 0)</f>
        <v>131</v>
      </c>
      <c r="N46" s="5">
        <f>_xlfn.XLOOKUP(CustomerCombined[[#This Row],[ID]], Table4[ID], Table4[Seafood], "Not Found", 0)</f>
        <v>143</v>
      </c>
      <c r="O46" s="5">
        <f>_xlfn.XLOOKUP(CustomerCombined[[#This Row],[ID]], Table4[ID], Table4[Sweets], "Not Found", 0)</f>
        <v>65</v>
      </c>
      <c r="P46" s="5">
        <f>_xlfn.XLOOKUP(CustomerCombined[[#This Row],[ID]], Table4[ID], Table4[Premium], "Not Found", 0)</f>
        <v>54</v>
      </c>
      <c r="Q46" s="5">
        <f>_xlfn.XLOOKUP(CustomerCombined[[#This Row],[ID]], Table4[ID], Table4[Regular], "Not Found", 0)</f>
        <v>381</v>
      </c>
      <c r="R46" s="5">
        <f>_xlfn.XLOOKUP(CustomerCombined[[#This Row],[ID]], Table4[ID], Table4[Deals], "Not Found", 0)</f>
        <v>1</v>
      </c>
      <c r="S46" s="5">
        <f>_xlfn.XLOOKUP(CustomerCombined[[#This Row],[ID]], Table4[ID], Table4[Website], "Not Found", 0)</f>
        <v>1</v>
      </c>
      <c r="T46" s="5">
        <f>_xlfn.XLOOKUP(CustomerCombined[[#This Row],[ID]], Table4[ID], Table4[Catalog], "Not Found", 0)</f>
        <v>1</v>
      </c>
      <c r="U46" s="5">
        <f>_xlfn.XLOOKUP(CustomerCombined[[#This Row],[ID]], Table4[ID], Table4[Store], "Not Found", 0)</f>
        <v>4</v>
      </c>
      <c r="V46" s="5">
        <f>_xlfn.XLOOKUP(CustomerCombined[[#This Row],[ID]], Table4[ID], Table4[Visits], "Not Found", 0)</f>
        <v>4</v>
      </c>
      <c r="W46" s="8">
        <f>_xlfn.XLOOKUP(CustomerCombined[[#This Row],[ID]], Table2[ID],Table2[Complaint], "Not Found", 0 )</f>
        <v>0</v>
      </c>
      <c r="X46" s="8">
        <f>_xlfn.XLOOKUP(CustomerCombined[[#This Row],[ID]], Table2[ID],Table2[Pilot], "Not Found", 0 )</f>
        <v>0</v>
      </c>
      <c r="Y46" s="8">
        <f>_xlfn.XLOOKUP(CustomerCombined[[#This Row],[ID]], Table2[ID],Table2[MC1], "Not Found", 0 )</f>
        <v>0</v>
      </c>
      <c r="Z46" s="8">
        <f>_xlfn.XLOOKUP(CustomerCombined[[#This Row],[ID]], Table2[ID],Table2[MC2], "Not Found", 0 )</f>
        <v>0</v>
      </c>
      <c r="AA46" s="8">
        <f>_xlfn.XLOOKUP(CustomerCombined[[#This Row],[ID]], Table2[ID],Table2[MC3], "Not Found", 0 )</f>
        <v>0</v>
      </c>
      <c r="AB46" s="8">
        <f>_xlfn.XLOOKUP(CustomerCombined[[#This Row],[ID]], Table2[ID],Table2[MC4], "Not Found", 0 )</f>
        <v>0</v>
      </c>
      <c r="AC46" s="8">
        <f>_xlfn.XLOOKUP(CustomerCombined[[#This Row],[ID]], Table2[ID],Table2[MC5], "Not Found", 0 )</f>
        <v>0</v>
      </c>
    </row>
    <row r="47" spans="1:29" x14ac:dyDescent="0.3">
      <c r="A47" s="6">
        <v>2023</v>
      </c>
      <c r="B47" s="6">
        <v>108028</v>
      </c>
      <c r="C47" s="6">
        <v>0</v>
      </c>
      <c r="D47" s="6">
        <v>0</v>
      </c>
      <c r="E47" s="6">
        <v>29</v>
      </c>
      <c r="F47" s="5" t="s">
        <v>7</v>
      </c>
      <c r="G47" s="5" t="s">
        <v>11</v>
      </c>
      <c r="H47" s="3" t="s">
        <v>393</v>
      </c>
      <c r="I47" s="5" t="s">
        <v>437</v>
      </c>
      <c r="J47" s="5">
        <f>_xlfn.XLOOKUP(CustomerCombined[[#This Row],[ID]], Table4[ID], Table4[Recency], "Not Found", 0)</f>
        <v>62</v>
      </c>
      <c r="K47" s="5">
        <f>_xlfn.XLOOKUP(CustomerCombined[[#This Row],[ID]], Table4[ID], Table4[Teas], "Not Found", 0)</f>
        <v>982</v>
      </c>
      <c r="L47" s="5">
        <f>_xlfn.XLOOKUP(CustomerCombined[[#This Row],[ID]], Table4[ID], Table4[Fruits], "Not Found", 0)</f>
        <v>242</v>
      </c>
      <c r="M47" s="5">
        <f>_xlfn.XLOOKUP(CustomerCombined[[#This Row],[ID]], Table4[ID], Table4[Meats], "Not Found", 0)</f>
        <v>888</v>
      </c>
      <c r="N47" s="5">
        <f>_xlfn.XLOOKUP(CustomerCombined[[#This Row],[ID]], Table4[ID], Table4[Seafood], "Not Found", 0)</f>
        <v>94</v>
      </c>
      <c r="O47" s="5">
        <f>_xlfn.XLOOKUP(CustomerCombined[[#This Row],[ID]], Table4[ID], Table4[Sweets], "Not Found", 0)</f>
        <v>161</v>
      </c>
      <c r="P47" s="5">
        <f>_xlfn.XLOOKUP(CustomerCombined[[#This Row],[ID]], Table4[ID], Table4[Premium], "Not Found", 0)</f>
        <v>27</v>
      </c>
      <c r="Q47" s="5">
        <f>_xlfn.XLOOKUP(CustomerCombined[[#This Row],[ID]], Table4[ID], Table4[Regular], "Not Found", 0)</f>
        <v>2341</v>
      </c>
      <c r="R47" s="5">
        <f>_xlfn.XLOOKUP(CustomerCombined[[#This Row],[ID]], Table4[ID], Table4[Deals], "Not Found", 0)</f>
        <v>15</v>
      </c>
      <c r="S47" s="5">
        <f>_xlfn.XLOOKUP(CustomerCombined[[#This Row],[ID]], Table4[ID], Table4[Website], "Not Found", 0)</f>
        <v>0</v>
      </c>
      <c r="T47" s="5">
        <f>_xlfn.XLOOKUP(CustomerCombined[[#This Row],[ID]], Table4[ID], Table4[Catalog], "Not Found", 0)</f>
        <v>1</v>
      </c>
      <c r="U47" s="5">
        <f>_xlfn.XLOOKUP(CustomerCombined[[#This Row],[ID]], Table4[ID], Table4[Store], "Not Found", 0)</f>
        <v>0</v>
      </c>
      <c r="V47" s="5">
        <f>_xlfn.XLOOKUP(CustomerCombined[[#This Row],[ID]], Table4[ID], Table4[Visits], "Not Found", 0)</f>
        <v>19</v>
      </c>
      <c r="W47" s="8">
        <f>_xlfn.XLOOKUP(CustomerCombined[[#This Row],[ID]], Table2[ID],Table2[Complaint], "Not Found", 0 )</f>
        <v>0</v>
      </c>
      <c r="X47" s="8">
        <f>_xlfn.XLOOKUP(CustomerCombined[[#This Row],[ID]], Table2[ID],Table2[Pilot], "Not Found", 0 )</f>
        <v>0</v>
      </c>
      <c r="Y47" s="8">
        <f>_xlfn.XLOOKUP(CustomerCombined[[#This Row],[ID]], Table2[ID],Table2[MC1], "Not Found", 0 )</f>
        <v>0</v>
      </c>
      <c r="Z47" s="8">
        <f>_xlfn.XLOOKUP(CustomerCombined[[#This Row],[ID]], Table2[ID],Table2[MC2], "Not Found", 0 )</f>
        <v>0</v>
      </c>
      <c r="AA47" s="8">
        <f>_xlfn.XLOOKUP(CustomerCombined[[#This Row],[ID]], Table2[ID],Table2[MC3], "Not Found", 0 )</f>
        <v>0</v>
      </c>
      <c r="AB47" s="8">
        <f>_xlfn.XLOOKUP(CustomerCombined[[#This Row],[ID]], Table2[ID],Table2[MC4], "Not Found", 0 )</f>
        <v>0</v>
      </c>
      <c r="AC47" s="8">
        <f>_xlfn.XLOOKUP(CustomerCombined[[#This Row],[ID]], Table2[ID],Table2[MC5], "Not Found", 0 )</f>
        <v>0</v>
      </c>
    </row>
    <row r="48" spans="1:29" x14ac:dyDescent="0.3">
      <c r="A48" s="6">
        <v>2933</v>
      </c>
      <c r="B48" s="6">
        <v>196843</v>
      </c>
      <c r="C48" s="6">
        <v>0</v>
      </c>
      <c r="D48" s="6">
        <v>0</v>
      </c>
      <c r="E48" s="6">
        <v>30</v>
      </c>
      <c r="F48" s="5" t="s">
        <v>7</v>
      </c>
      <c r="G48" s="5" t="s">
        <v>11</v>
      </c>
      <c r="H48" s="3" t="s">
        <v>266</v>
      </c>
      <c r="I48" s="5" t="s">
        <v>434</v>
      </c>
      <c r="J48" s="5">
        <f>_xlfn.XLOOKUP(CustomerCombined[[#This Row],[ID]], Table4[ID], Table4[Recency], "Not Found", 0)</f>
        <v>60</v>
      </c>
      <c r="K48" s="5">
        <f>_xlfn.XLOOKUP(CustomerCombined[[#This Row],[ID]], Table4[ID], Table4[Teas], "Not Found", 0)</f>
        <v>911</v>
      </c>
      <c r="L48" s="5">
        <f>_xlfn.XLOOKUP(CustomerCombined[[#This Row],[ID]], Table4[ID], Table4[Fruits], "Not Found", 0)</f>
        <v>144</v>
      </c>
      <c r="M48" s="5">
        <f>_xlfn.XLOOKUP(CustomerCombined[[#This Row],[ID]], Table4[ID], Table4[Meats], "Not Found", 0)</f>
        <v>1933</v>
      </c>
      <c r="N48" s="5">
        <f>_xlfn.XLOOKUP(CustomerCombined[[#This Row],[ID]], Table4[ID], Table4[Seafood], "Not Found", 0)</f>
        <v>81</v>
      </c>
      <c r="O48" s="5">
        <f>_xlfn.XLOOKUP(CustomerCombined[[#This Row],[ID]], Table4[ID], Table4[Sweets], "Not Found", 0)</f>
        <v>35</v>
      </c>
      <c r="P48" s="5">
        <f>_xlfn.XLOOKUP(CustomerCombined[[#This Row],[ID]], Table4[ID], Table4[Premium], "Not Found", 0)</f>
        <v>35</v>
      </c>
      <c r="Q48" s="5">
        <f>_xlfn.XLOOKUP(CustomerCombined[[#This Row],[ID]], Table4[ID], Table4[Regular], "Not Found", 0)</f>
        <v>3069</v>
      </c>
      <c r="R48" s="5">
        <f>_xlfn.XLOOKUP(CustomerCombined[[#This Row],[ID]], Table4[ID], Table4[Deals], "Not Found", 0)</f>
        <v>1</v>
      </c>
      <c r="S48" s="5">
        <f>_xlfn.XLOOKUP(CustomerCombined[[#This Row],[ID]], Table4[ID], Table4[Website], "Not Found", 0)</f>
        <v>6</v>
      </c>
      <c r="T48" s="5">
        <f>_xlfn.XLOOKUP(CustomerCombined[[#This Row],[ID]], Table4[ID], Table4[Catalog], "Not Found", 0)</f>
        <v>11</v>
      </c>
      <c r="U48" s="5">
        <f>_xlfn.XLOOKUP(CustomerCombined[[#This Row],[ID]], Table4[ID], Table4[Store], "Not Found", 0)</f>
        <v>10</v>
      </c>
      <c r="V48" s="5">
        <f>_xlfn.XLOOKUP(CustomerCombined[[#This Row],[ID]], Table4[ID], Table4[Visits], "Not Found", 0)</f>
        <v>2</v>
      </c>
      <c r="W48" s="8">
        <f>_xlfn.XLOOKUP(CustomerCombined[[#This Row],[ID]], Table2[ID],Table2[Complaint], "Not Found", 0 )</f>
        <v>0</v>
      </c>
      <c r="X48" s="8">
        <f>_xlfn.XLOOKUP(CustomerCombined[[#This Row],[ID]], Table2[ID],Table2[Pilot], "Not Found", 0 )</f>
        <v>1</v>
      </c>
      <c r="Y48" s="8">
        <f>_xlfn.XLOOKUP(CustomerCombined[[#This Row],[ID]], Table2[ID],Table2[MC1], "Not Found", 0 )</f>
        <v>0</v>
      </c>
      <c r="Z48" s="8">
        <f>_xlfn.XLOOKUP(CustomerCombined[[#This Row],[ID]], Table2[ID],Table2[MC2], "Not Found", 0 )</f>
        <v>0</v>
      </c>
      <c r="AA48" s="8">
        <f>_xlfn.XLOOKUP(CustomerCombined[[#This Row],[ID]], Table2[ID],Table2[MC3], "Not Found", 0 )</f>
        <v>0</v>
      </c>
      <c r="AB48" s="8">
        <f>_xlfn.XLOOKUP(CustomerCombined[[#This Row],[ID]], Table2[ID],Table2[MC4], "Not Found", 0 )</f>
        <v>0</v>
      </c>
      <c r="AC48" s="8">
        <f>_xlfn.XLOOKUP(CustomerCombined[[#This Row],[ID]], Table2[ID],Table2[MC5], "Not Found", 0 )</f>
        <v>1</v>
      </c>
    </row>
    <row r="49" spans="1:29" x14ac:dyDescent="0.3">
      <c r="A49" s="6">
        <v>3135</v>
      </c>
      <c r="B49" s="6">
        <v>191172</v>
      </c>
      <c r="C49" s="6">
        <v>0</v>
      </c>
      <c r="D49" s="6">
        <v>0</v>
      </c>
      <c r="E49" s="6">
        <v>30</v>
      </c>
      <c r="F49" s="5" t="s">
        <v>7</v>
      </c>
      <c r="G49" s="5" t="s">
        <v>12</v>
      </c>
      <c r="H49" s="3">
        <v>43474</v>
      </c>
      <c r="I49" s="5" t="s">
        <v>435</v>
      </c>
      <c r="J49" s="5">
        <f>_xlfn.XLOOKUP(CustomerCombined[[#This Row],[ID]], Table4[ID], Table4[Recency], "Not Found", 0)</f>
        <v>94</v>
      </c>
      <c r="K49" s="5">
        <f>_xlfn.XLOOKUP(CustomerCombined[[#This Row],[ID]], Table4[ID], Table4[Teas], "Not Found", 0)</f>
        <v>340</v>
      </c>
      <c r="L49" s="5">
        <f>_xlfn.XLOOKUP(CustomerCombined[[#This Row],[ID]], Table4[ID], Table4[Fruits], "Not Found", 0)</f>
        <v>59</v>
      </c>
      <c r="M49" s="5">
        <f>_xlfn.XLOOKUP(CustomerCombined[[#This Row],[ID]], Table4[ID], Table4[Meats], "Not Found", 0)</f>
        <v>1715</v>
      </c>
      <c r="N49" s="5">
        <f>_xlfn.XLOOKUP(CustomerCombined[[#This Row],[ID]], Table4[ID], Table4[Seafood], "Not Found", 0)</f>
        <v>0</v>
      </c>
      <c r="O49" s="5">
        <f>_xlfn.XLOOKUP(CustomerCombined[[#This Row],[ID]], Table4[ID], Table4[Sweets], "Not Found", 0)</f>
        <v>59</v>
      </c>
      <c r="P49" s="5">
        <f>_xlfn.XLOOKUP(CustomerCombined[[#This Row],[ID]], Table4[ID], Table4[Premium], "Not Found", 0)</f>
        <v>117</v>
      </c>
      <c r="Q49" s="5">
        <f>_xlfn.XLOOKUP(CustomerCombined[[#This Row],[ID]], Table4[ID], Table4[Regular], "Not Found", 0)</f>
        <v>2055</v>
      </c>
      <c r="R49" s="5">
        <f>_xlfn.XLOOKUP(CustomerCombined[[#This Row],[ID]], Table4[ID], Table4[Deals], "Not Found", 0)</f>
        <v>0</v>
      </c>
      <c r="S49" s="5">
        <f>_xlfn.XLOOKUP(CustomerCombined[[#This Row],[ID]], Table4[ID], Table4[Website], "Not Found", 0)</f>
        <v>4</v>
      </c>
      <c r="T49" s="5">
        <f>_xlfn.XLOOKUP(CustomerCombined[[#This Row],[ID]], Table4[ID], Table4[Catalog], "Not Found", 0)</f>
        <v>3</v>
      </c>
      <c r="U49" s="5">
        <f>_xlfn.XLOOKUP(CustomerCombined[[#This Row],[ID]], Table4[ID], Table4[Store], "Not Found", 0)</f>
        <v>7</v>
      </c>
      <c r="V49" s="5">
        <f>_xlfn.XLOOKUP(CustomerCombined[[#This Row],[ID]], Table4[ID], Table4[Visits], "Not Found", 0)</f>
        <v>3</v>
      </c>
      <c r="W49" s="8">
        <f>_xlfn.XLOOKUP(CustomerCombined[[#This Row],[ID]], Table2[ID],Table2[Complaint], "Not Found", 0 )</f>
        <v>0</v>
      </c>
      <c r="X49" s="8">
        <f>_xlfn.XLOOKUP(CustomerCombined[[#This Row],[ID]], Table2[ID],Table2[Pilot], "Not Found", 0 )</f>
        <v>1</v>
      </c>
      <c r="Y49" s="8">
        <f>_xlfn.XLOOKUP(CustomerCombined[[#This Row],[ID]], Table2[ID],Table2[MC1], "Not Found", 0 )</f>
        <v>1</v>
      </c>
      <c r="Z49" s="8">
        <f>_xlfn.XLOOKUP(CustomerCombined[[#This Row],[ID]], Table2[ID],Table2[MC2], "Not Found", 0 )</f>
        <v>1</v>
      </c>
      <c r="AA49" s="8">
        <f>_xlfn.XLOOKUP(CustomerCombined[[#This Row],[ID]], Table2[ID],Table2[MC3], "Not Found", 0 )</f>
        <v>1</v>
      </c>
      <c r="AB49" s="8">
        <f>_xlfn.XLOOKUP(CustomerCombined[[#This Row],[ID]], Table2[ID],Table2[MC4], "Not Found", 0 )</f>
        <v>0</v>
      </c>
      <c r="AC49" s="8">
        <f>_xlfn.XLOOKUP(CustomerCombined[[#This Row],[ID]], Table2[ID],Table2[MC5], "Not Found", 0 )</f>
        <v>1</v>
      </c>
    </row>
    <row r="50" spans="1:29" x14ac:dyDescent="0.3">
      <c r="A50" s="6">
        <v>2153</v>
      </c>
      <c r="B50" s="6">
        <v>174214</v>
      </c>
      <c r="C50" s="6">
        <v>0</v>
      </c>
      <c r="D50" s="6">
        <v>0</v>
      </c>
      <c r="E50" s="6">
        <v>30</v>
      </c>
      <c r="F50" s="5" t="s">
        <v>6</v>
      </c>
      <c r="G50" s="5" t="s">
        <v>13</v>
      </c>
      <c r="H50" s="3" t="s">
        <v>402</v>
      </c>
      <c r="I50" s="5" t="s">
        <v>434</v>
      </c>
      <c r="J50" s="5">
        <f>_xlfn.XLOOKUP(CustomerCombined[[#This Row],[ID]], Table4[ID], Table4[Recency], "Not Found", 0)</f>
        <v>3</v>
      </c>
      <c r="K50" s="5">
        <f>_xlfn.XLOOKUP(CustomerCombined[[#This Row],[ID]], Table4[ID], Table4[Teas], "Not Found", 0)</f>
        <v>2026</v>
      </c>
      <c r="L50" s="5">
        <f>_xlfn.XLOOKUP(CustomerCombined[[#This Row],[ID]], Table4[ID], Table4[Fruits], "Not Found", 0)</f>
        <v>195</v>
      </c>
      <c r="M50" s="5">
        <f>_xlfn.XLOOKUP(CustomerCombined[[#This Row],[ID]], Table4[ID], Table4[Meats], "Not Found", 0)</f>
        <v>1284</v>
      </c>
      <c r="N50" s="5">
        <f>_xlfn.XLOOKUP(CustomerCombined[[#This Row],[ID]], Table4[ID], Table4[Seafood], "Not Found", 0)</f>
        <v>202</v>
      </c>
      <c r="O50" s="5">
        <f>_xlfn.XLOOKUP(CustomerCombined[[#This Row],[ID]], Table4[ID], Table4[Sweets], "Not Found", 0)</f>
        <v>232</v>
      </c>
      <c r="P50" s="5">
        <f>_xlfn.XLOOKUP(CustomerCombined[[#This Row],[ID]], Table4[ID], Table4[Premium], "Not Found", 0)</f>
        <v>77</v>
      </c>
      <c r="Q50" s="5">
        <f>_xlfn.XLOOKUP(CustomerCombined[[#This Row],[ID]], Table4[ID], Table4[Regular], "Not Found", 0)</f>
        <v>3862</v>
      </c>
      <c r="R50" s="5">
        <f>_xlfn.XLOOKUP(CustomerCombined[[#This Row],[ID]], Table4[ID], Table4[Deals], "Not Found", 0)</f>
        <v>1</v>
      </c>
      <c r="S50" s="5">
        <f>_xlfn.XLOOKUP(CustomerCombined[[#This Row],[ID]], Table4[ID], Table4[Website], "Not Found", 0)</f>
        <v>8</v>
      </c>
      <c r="T50" s="5">
        <f>_xlfn.XLOOKUP(CustomerCombined[[#This Row],[ID]], Table4[ID], Table4[Catalog], "Not Found", 0)</f>
        <v>2</v>
      </c>
      <c r="U50" s="5">
        <f>_xlfn.XLOOKUP(CustomerCombined[[#This Row],[ID]], Table4[ID], Table4[Store], "Not Found", 0)</f>
        <v>5</v>
      </c>
      <c r="V50" s="5">
        <f>_xlfn.XLOOKUP(CustomerCombined[[#This Row],[ID]], Table4[ID], Table4[Visits], "Not Found", 0)</f>
        <v>5</v>
      </c>
      <c r="W50" s="8">
        <f>_xlfn.XLOOKUP(CustomerCombined[[#This Row],[ID]], Table2[ID],Table2[Complaint], "Not Found", 0 )</f>
        <v>0</v>
      </c>
      <c r="X50" s="8">
        <f>_xlfn.XLOOKUP(CustomerCombined[[#This Row],[ID]], Table2[ID],Table2[Pilot], "Not Found", 0 )</f>
        <v>0</v>
      </c>
      <c r="Y50" s="8">
        <f>_xlfn.XLOOKUP(CustomerCombined[[#This Row],[ID]], Table2[ID],Table2[MC1], "Not Found", 0 )</f>
        <v>0</v>
      </c>
      <c r="Z50" s="8">
        <f>_xlfn.XLOOKUP(CustomerCombined[[#This Row],[ID]], Table2[ID],Table2[MC2], "Not Found", 0 )</f>
        <v>0</v>
      </c>
      <c r="AA50" s="8">
        <f>_xlfn.XLOOKUP(CustomerCombined[[#This Row],[ID]], Table2[ID],Table2[MC3], "Not Found", 0 )</f>
        <v>0</v>
      </c>
      <c r="AB50" s="8">
        <f>_xlfn.XLOOKUP(CustomerCombined[[#This Row],[ID]], Table2[ID],Table2[MC4], "Not Found", 0 )</f>
        <v>0</v>
      </c>
      <c r="AC50" s="8">
        <f>_xlfn.XLOOKUP(CustomerCombined[[#This Row],[ID]], Table2[ID],Table2[MC5], "Not Found", 0 )</f>
        <v>0</v>
      </c>
    </row>
    <row r="51" spans="1:29" x14ac:dyDescent="0.3">
      <c r="A51" s="6">
        <v>1230</v>
      </c>
      <c r="B51" s="6">
        <v>173687</v>
      </c>
      <c r="C51" s="6">
        <v>0</v>
      </c>
      <c r="D51" s="6">
        <v>0</v>
      </c>
      <c r="E51" s="6">
        <v>30</v>
      </c>
      <c r="F51" s="5" t="s">
        <v>6</v>
      </c>
      <c r="G51" s="5" t="s">
        <v>11</v>
      </c>
      <c r="H51" s="3">
        <v>43926</v>
      </c>
      <c r="I51" s="5" t="s">
        <v>436</v>
      </c>
      <c r="J51" s="5">
        <f>_xlfn.XLOOKUP(CustomerCombined[[#This Row],[ID]], Table4[ID], Table4[Recency], "Not Found", 0)</f>
        <v>8</v>
      </c>
      <c r="K51" s="5">
        <f>_xlfn.XLOOKUP(CustomerCombined[[#This Row],[ID]], Table4[ID], Table4[Teas], "Not Found", 0)</f>
        <v>1318</v>
      </c>
      <c r="L51" s="5">
        <f>_xlfn.XLOOKUP(CustomerCombined[[#This Row],[ID]], Table4[ID], Table4[Fruits], "Not Found", 0)</f>
        <v>361</v>
      </c>
      <c r="M51" s="5">
        <f>_xlfn.XLOOKUP(CustomerCombined[[#This Row],[ID]], Table4[ID], Table4[Meats], "Not Found", 0)</f>
        <v>1186</v>
      </c>
      <c r="N51" s="5">
        <f>_xlfn.XLOOKUP(CustomerCombined[[#This Row],[ID]], Table4[ID], Table4[Seafood], "Not Found", 0)</f>
        <v>514</v>
      </c>
      <c r="O51" s="5">
        <f>_xlfn.XLOOKUP(CustomerCombined[[#This Row],[ID]], Table4[ID], Table4[Sweets], "Not Found", 0)</f>
        <v>31</v>
      </c>
      <c r="P51" s="5">
        <f>_xlfn.XLOOKUP(CustomerCombined[[#This Row],[ID]], Table4[ID], Table4[Premium], "Not Found", 0)</f>
        <v>427</v>
      </c>
      <c r="Q51" s="5">
        <f>_xlfn.XLOOKUP(CustomerCombined[[#This Row],[ID]], Table4[ID], Table4[Regular], "Not Found", 0)</f>
        <v>2982</v>
      </c>
      <c r="R51" s="5">
        <f>_xlfn.XLOOKUP(CustomerCombined[[#This Row],[ID]], Table4[ID], Table4[Deals], "Not Found", 0)</f>
        <v>1</v>
      </c>
      <c r="S51" s="5">
        <f>_xlfn.XLOOKUP(CustomerCombined[[#This Row],[ID]], Table4[ID], Table4[Website], "Not Found", 0)</f>
        <v>3</v>
      </c>
      <c r="T51" s="5">
        <f>_xlfn.XLOOKUP(CustomerCombined[[#This Row],[ID]], Table4[ID], Table4[Catalog], "Not Found", 0)</f>
        <v>9</v>
      </c>
      <c r="U51" s="5">
        <f>_xlfn.XLOOKUP(CustomerCombined[[#This Row],[ID]], Table4[ID], Table4[Store], "Not Found", 0)</f>
        <v>9</v>
      </c>
      <c r="V51" s="5">
        <f>_xlfn.XLOOKUP(CustomerCombined[[#This Row],[ID]], Table4[ID], Table4[Visits], "Not Found", 0)</f>
        <v>2</v>
      </c>
      <c r="W51" s="8">
        <f>_xlfn.XLOOKUP(CustomerCombined[[#This Row],[ID]], Table2[ID],Table2[Complaint], "Not Found", 0 )</f>
        <v>0</v>
      </c>
      <c r="X51" s="8">
        <f>_xlfn.XLOOKUP(CustomerCombined[[#This Row],[ID]], Table2[ID],Table2[Pilot], "Not Found", 0 )</f>
        <v>1</v>
      </c>
      <c r="Y51" s="8">
        <f>_xlfn.XLOOKUP(CustomerCombined[[#This Row],[ID]], Table2[ID],Table2[MC1], "Not Found", 0 )</f>
        <v>1</v>
      </c>
      <c r="Z51" s="8">
        <f>_xlfn.XLOOKUP(CustomerCombined[[#This Row],[ID]], Table2[ID],Table2[MC2], "Not Found", 0 )</f>
        <v>0</v>
      </c>
      <c r="AA51" s="8">
        <f>_xlfn.XLOOKUP(CustomerCombined[[#This Row],[ID]], Table2[ID],Table2[MC3], "Not Found", 0 )</f>
        <v>0</v>
      </c>
      <c r="AB51" s="8">
        <f>_xlfn.XLOOKUP(CustomerCombined[[#This Row],[ID]], Table2[ID],Table2[MC4], "Not Found", 0 )</f>
        <v>0</v>
      </c>
      <c r="AC51" s="8">
        <f>_xlfn.XLOOKUP(CustomerCombined[[#This Row],[ID]], Table2[ID],Table2[MC5], "Not Found", 0 )</f>
        <v>0</v>
      </c>
    </row>
    <row r="52" spans="1:29" x14ac:dyDescent="0.3">
      <c r="A52" s="6">
        <v>2588</v>
      </c>
      <c r="B52" s="6">
        <v>164509</v>
      </c>
      <c r="C52" s="6">
        <v>0</v>
      </c>
      <c r="D52" s="6">
        <v>0</v>
      </c>
      <c r="E52" s="6">
        <v>30</v>
      </c>
      <c r="F52" s="5" t="s">
        <v>7</v>
      </c>
      <c r="G52" s="5" t="s">
        <v>11</v>
      </c>
      <c r="H52" s="3" t="s">
        <v>200</v>
      </c>
      <c r="I52" s="5" t="s">
        <v>438</v>
      </c>
      <c r="J52" s="5">
        <f>_xlfn.XLOOKUP(CustomerCombined[[#This Row],[ID]], Table4[ID], Table4[Recency], "Not Found", 0)</f>
        <v>19</v>
      </c>
      <c r="K52" s="5">
        <f>_xlfn.XLOOKUP(CustomerCombined[[#This Row],[ID]], Table4[ID], Table4[Teas], "Not Found", 0)</f>
        <v>2132</v>
      </c>
      <c r="L52" s="5">
        <f>_xlfn.XLOOKUP(CustomerCombined[[#This Row],[ID]], Table4[ID], Table4[Fruits], "Not Found", 0)</f>
        <v>472</v>
      </c>
      <c r="M52" s="5">
        <f>_xlfn.XLOOKUP(CustomerCombined[[#This Row],[ID]], Table4[ID], Table4[Meats], "Not Found", 0)</f>
        <v>1466</v>
      </c>
      <c r="N52" s="5">
        <f>_xlfn.XLOOKUP(CustomerCombined[[#This Row],[ID]], Table4[ID], Table4[Seafood], "Not Found", 0)</f>
        <v>61</v>
      </c>
      <c r="O52" s="5">
        <f>_xlfn.XLOOKUP(CustomerCombined[[#This Row],[ID]], Table4[ID], Table4[Sweets], "Not Found", 0)</f>
        <v>64</v>
      </c>
      <c r="P52" s="5">
        <f>_xlfn.XLOOKUP(CustomerCombined[[#This Row],[ID]], Table4[ID], Table4[Premium], "Not Found", 0)</f>
        <v>196</v>
      </c>
      <c r="Q52" s="5">
        <f>_xlfn.XLOOKUP(CustomerCombined[[#This Row],[ID]], Table4[ID], Table4[Regular], "Not Found", 0)</f>
        <v>3999</v>
      </c>
      <c r="R52" s="5">
        <f>_xlfn.XLOOKUP(CustomerCombined[[#This Row],[ID]], Table4[ID], Table4[Deals], "Not Found", 0)</f>
        <v>1</v>
      </c>
      <c r="S52" s="5">
        <f>_xlfn.XLOOKUP(CustomerCombined[[#This Row],[ID]], Table4[ID], Table4[Website], "Not Found", 0)</f>
        <v>6</v>
      </c>
      <c r="T52" s="5">
        <f>_xlfn.XLOOKUP(CustomerCombined[[#This Row],[ID]], Table4[ID], Table4[Catalog], "Not Found", 0)</f>
        <v>3</v>
      </c>
      <c r="U52" s="5">
        <f>_xlfn.XLOOKUP(CustomerCombined[[#This Row],[ID]], Table4[ID], Table4[Store], "Not Found", 0)</f>
        <v>9</v>
      </c>
      <c r="V52" s="5">
        <f>_xlfn.XLOOKUP(CustomerCombined[[#This Row],[ID]], Table4[ID], Table4[Visits], "Not Found", 0)</f>
        <v>4</v>
      </c>
      <c r="W52" s="8">
        <f>_xlfn.XLOOKUP(CustomerCombined[[#This Row],[ID]], Table2[ID],Table2[Complaint], "Not Found", 0 )</f>
        <v>0</v>
      </c>
      <c r="X52" s="8">
        <f>_xlfn.XLOOKUP(CustomerCombined[[#This Row],[ID]], Table2[ID],Table2[Pilot], "Not Found", 0 )</f>
        <v>1</v>
      </c>
      <c r="Y52" s="8">
        <f>_xlfn.XLOOKUP(CustomerCombined[[#This Row],[ID]], Table2[ID],Table2[MC1], "Not Found", 0 )</f>
        <v>0</v>
      </c>
      <c r="Z52" s="8">
        <f>_xlfn.XLOOKUP(CustomerCombined[[#This Row],[ID]], Table2[ID],Table2[MC2], "Not Found", 0 )</f>
        <v>0</v>
      </c>
      <c r="AA52" s="8">
        <f>_xlfn.XLOOKUP(CustomerCombined[[#This Row],[ID]], Table2[ID],Table2[MC3], "Not Found", 0 )</f>
        <v>1</v>
      </c>
      <c r="AB52" s="8">
        <f>_xlfn.XLOOKUP(CustomerCombined[[#This Row],[ID]], Table2[ID],Table2[MC4], "Not Found", 0 )</f>
        <v>0</v>
      </c>
      <c r="AC52" s="8">
        <f>_xlfn.XLOOKUP(CustomerCombined[[#This Row],[ID]], Table2[ID],Table2[MC5], "Not Found", 0 )</f>
        <v>0</v>
      </c>
    </row>
    <row r="53" spans="1:29" x14ac:dyDescent="0.3">
      <c r="A53" s="6">
        <v>2583</v>
      </c>
      <c r="B53" s="6">
        <v>151250</v>
      </c>
      <c r="C53" s="6">
        <v>1</v>
      </c>
      <c r="D53" s="6">
        <v>0</v>
      </c>
      <c r="E53" s="6">
        <v>30</v>
      </c>
      <c r="F53" s="5" t="s">
        <v>7</v>
      </c>
      <c r="G53" s="5" t="s">
        <v>442</v>
      </c>
      <c r="H53" s="3">
        <v>43564</v>
      </c>
      <c r="I53" s="5" t="s">
        <v>435</v>
      </c>
      <c r="J53" s="5">
        <f>_xlfn.XLOOKUP(CustomerCombined[[#This Row],[ID]], Table4[ID], Table4[Recency], "Not Found", 0)</f>
        <v>28</v>
      </c>
      <c r="K53" s="5">
        <f>_xlfn.XLOOKUP(CustomerCombined[[#This Row],[ID]], Table4[ID], Table4[Teas], "Not Found", 0)</f>
        <v>1009</v>
      </c>
      <c r="L53" s="5">
        <f>_xlfn.XLOOKUP(CustomerCombined[[#This Row],[ID]], Table4[ID], Table4[Fruits], "Not Found", 0)</f>
        <v>94</v>
      </c>
      <c r="M53" s="5">
        <f>_xlfn.XLOOKUP(CustomerCombined[[#This Row],[ID]], Table4[ID], Table4[Meats], "Not Found", 0)</f>
        <v>679</v>
      </c>
      <c r="N53" s="5">
        <f>_xlfn.XLOOKUP(CustomerCombined[[#This Row],[ID]], Table4[ID], Table4[Seafood], "Not Found", 0)</f>
        <v>100</v>
      </c>
      <c r="O53" s="5">
        <f>_xlfn.XLOOKUP(CustomerCombined[[#This Row],[ID]], Table4[ID], Table4[Sweets], "Not Found", 0)</f>
        <v>94</v>
      </c>
      <c r="P53" s="5">
        <f>_xlfn.XLOOKUP(CustomerCombined[[#This Row],[ID]], Table4[ID], Table4[Premium], "Not Found", 0)</f>
        <v>118</v>
      </c>
      <c r="Q53" s="5">
        <f>_xlfn.XLOOKUP(CustomerCombined[[#This Row],[ID]], Table4[ID], Table4[Regular], "Not Found", 0)</f>
        <v>1859</v>
      </c>
      <c r="R53" s="5">
        <f>_xlfn.XLOOKUP(CustomerCombined[[#This Row],[ID]], Table4[ID], Table4[Deals], "Not Found", 0)</f>
        <v>5</v>
      </c>
      <c r="S53" s="5">
        <f>_xlfn.XLOOKUP(CustomerCombined[[#This Row],[ID]], Table4[ID], Table4[Website], "Not Found", 0)</f>
        <v>10</v>
      </c>
      <c r="T53" s="5">
        <f>_xlfn.XLOOKUP(CustomerCombined[[#This Row],[ID]], Table4[ID], Table4[Catalog], "Not Found", 0)</f>
        <v>5</v>
      </c>
      <c r="U53" s="5">
        <f>_xlfn.XLOOKUP(CustomerCombined[[#This Row],[ID]], Table4[ID], Table4[Store], "Not Found", 0)</f>
        <v>4</v>
      </c>
      <c r="V53" s="5">
        <f>_xlfn.XLOOKUP(CustomerCombined[[#This Row],[ID]], Table4[ID], Table4[Visits], "Not Found", 0)</f>
        <v>9</v>
      </c>
      <c r="W53" s="8">
        <f>_xlfn.XLOOKUP(CustomerCombined[[#This Row],[ID]], Table2[ID],Table2[Complaint], "Not Found", 0 )</f>
        <v>0</v>
      </c>
      <c r="X53" s="8">
        <f>_xlfn.XLOOKUP(CustomerCombined[[#This Row],[ID]], Table2[ID],Table2[Pilot], "Not Found", 0 )</f>
        <v>0</v>
      </c>
      <c r="Y53" s="8">
        <f>_xlfn.XLOOKUP(CustomerCombined[[#This Row],[ID]], Table2[ID],Table2[MC1], "Not Found", 0 )</f>
        <v>0</v>
      </c>
      <c r="Z53" s="8">
        <f>_xlfn.XLOOKUP(CustomerCombined[[#This Row],[ID]], Table2[ID],Table2[MC2], "Not Found", 0 )</f>
        <v>0</v>
      </c>
      <c r="AA53" s="8">
        <f>_xlfn.XLOOKUP(CustomerCombined[[#This Row],[ID]], Table2[ID],Table2[MC3], "Not Found", 0 )</f>
        <v>1</v>
      </c>
      <c r="AB53" s="8">
        <f>_xlfn.XLOOKUP(CustomerCombined[[#This Row],[ID]], Table2[ID],Table2[MC4], "Not Found", 0 )</f>
        <v>0</v>
      </c>
      <c r="AC53" s="8">
        <f>_xlfn.XLOOKUP(CustomerCombined[[#This Row],[ID]], Table2[ID],Table2[MC5], "Not Found", 0 )</f>
        <v>0</v>
      </c>
    </row>
    <row r="54" spans="1:29" x14ac:dyDescent="0.3">
      <c r="A54" s="6">
        <v>2470</v>
      </c>
      <c r="B54" s="6">
        <v>135765</v>
      </c>
      <c r="C54" s="6">
        <v>1</v>
      </c>
      <c r="D54" s="6">
        <v>0</v>
      </c>
      <c r="E54" s="6">
        <v>30</v>
      </c>
      <c r="F54" s="5" t="s">
        <v>6</v>
      </c>
      <c r="G54" s="5" t="s">
        <v>11</v>
      </c>
      <c r="H54" s="3" t="s">
        <v>137</v>
      </c>
      <c r="I54" s="5" t="s">
        <v>439</v>
      </c>
      <c r="J54" s="5">
        <f>_xlfn.XLOOKUP(CustomerCombined[[#This Row],[ID]], Table4[ID], Table4[Recency], "Not Found", 0)</f>
        <v>86</v>
      </c>
      <c r="K54" s="5">
        <f>_xlfn.XLOOKUP(CustomerCombined[[#This Row],[ID]], Table4[ID], Table4[Teas], "Not Found", 0)</f>
        <v>84</v>
      </c>
      <c r="L54" s="5">
        <f>_xlfn.XLOOKUP(CustomerCombined[[#This Row],[ID]], Table4[ID], Table4[Fruits], "Not Found", 0)</f>
        <v>11</v>
      </c>
      <c r="M54" s="5">
        <f>_xlfn.XLOOKUP(CustomerCombined[[#This Row],[ID]], Table4[ID], Table4[Meats], "Not Found", 0)</f>
        <v>114</v>
      </c>
      <c r="N54" s="5">
        <f>_xlfn.XLOOKUP(CustomerCombined[[#This Row],[ID]], Table4[ID], Table4[Seafood], "Not Found", 0)</f>
        <v>0</v>
      </c>
      <c r="O54" s="5">
        <f>_xlfn.XLOOKUP(CustomerCombined[[#This Row],[ID]], Table4[ID], Table4[Sweets], "Not Found", 0)</f>
        <v>19</v>
      </c>
      <c r="P54" s="5">
        <f>_xlfn.XLOOKUP(CustomerCombined[[#This Row],[ID]], Table4[ID], Table4[Premium], "Not Found", 0)</f>
        <v>57</v>
      </c>
      <c r="Q54" s="5">
        <f>_xlfn.XLOOKUP(CustomerCombined[[#This Row],[ID]], Table4[ID], Table4[Regular], "Not Found", 0)</f>
        <v>171</v>
      </c>
      <c r="R54" s="5">
        <f>_xlfn.XLOOKUP(CustomerCombined[[#This Row],[ID]], Table4[ID], Table4[Deals], "Not Found", 0)</f>
        <v>2</v>
      </c>
      <c r="S54" s="5">
        <f>_xlfn.XLOOKUP(CustomerCombined[[#This Row],[ID]], Table4[ID], Table4[Website], "Not Found", 0)</f>
        <v>2</v>
      </c>
      <c r="T54" s="5">
        <f>_xlfn.XLOOKUP(CustomerCombined[[#This Row],[ID]], Table4[ID], Table4[Catalog], "Not Found", 0)</f>
        <v>0</v>
      </c>
      <c r="U54" s="5">
        <f>_xlfn.XLOOKUP(CustomerCombined[[#This Row],[ID]], Table4[ID], Table4[Store], "Not Found", 0)</f>
        <v>4</v>
      </c>
      <c r="V54" s="5">
        <f>_xlfn.XLOOKUP(CustomerCombined[[#This Row],[ID]], Table4[ID], Table4[Visits], "Not Found", 0)</f>
        <v>6</v>
      </c>
      <c r="W54" s="8">
        <f>_xlfn.XLOOKUP(CustomerCombined[[#This Row],[ID]], Table2[ID],Table2[Complaint], "Not Found", 0 )</f>
        <v>0</v>
      </c>
      <c r="X54" s="8">
        <f>_xlfn.XLOOKUP(CustomerCombined[[#This Row],[ID]], Table2[ID],Table2[Pilot], "Not Found", 0 )</f>
        <v>0</v>
      </c>
      <c r="Y54" s="8">
        <f>_xlfn.XLOOKUP(CustomerCombined[[#This Row],[ID]], Table2[ID],Table2[MC1], "Not Found", 0 )</f>
        <v>0</v>
      </c>
      <c r="Z54" s="8">
        <f>_xlfn.XLOOKUP(CustomerCombined[[#This Row],[ID]], Table2[ID],Table2[MC2], "Not Found", 0 )</f>
        <v>0</v>
      </c>
      <c r="AA54" s="8">
        <f>_xlfn.XLOOKUP(CustomerCombined[[#This Row],[ID]], Table2[ID],Table2[MC3], "Not Found", 0 )</f>
        <v>0</v>
      </c>
      <c r="AB54" s="8">
        <f>_xlfn.XLOOKUP(CustomerCombined[[#This Row],[ID]], Table2[ID],Table2[MC4], "Not Found", 0 )</f>
        <v>0</v>
      </c>
      <c r="AC54" s="8">
        <f>_xlfn.XLOOKUP(CustomerCombined[[#This Row],[ID]], Table2[ID],Table2[MC5], "Not Found", 0 )</f>
        <v>0</v>
      </c>
    </row>
    <row r="55" spans="1:29" x14ac:dyDescent="0.3">
      <c r="A55" s="6">
        <v>2390</v>
      </c>
      <c r="B55" s="6">
        <v>134412</v>
      </c>
      <c r="C55" s="6">
        <v>1</v>
      </c>
      <c r="D55" s="6">
        <v>0</v>
      </c>
      <c r="E55" s="6">
        <v>30</v>
      </c>
      <c r="F55" s="5" t="s">
        <v>7</v>
      </c>
      <c r="G55" s="5" t="s">
        <v>11</v>
      </c>
      <c r="H55" s="3" t="s">
        <v>310</v>
      </c>
      <c r="I55" s="5" t="s">
        <v>438</v>
      </c>
      <c r="J55" s="5">
        <f>_xlfn.XLOOKUP(CustomerCombined[[#This Row],[ID]], Table4[ID], Table4[Recency], "Not Found", 0)</f>
        <v>62</v>
      </c>
      <c r="K55" s="5">
        <f>_xlfn.XLOOKUP(CustomerCombined[[#This Row],[ID]], Table4[ID], Table4[Teas], "Not Found", 0)</f>
        <v>203</v>
      </c>
      <c r="L55" s="5">
        <f>_xlfn.XLOOKUP(CustomerCombined[[#This Row],[ID]], Table4[ID], Table4[Fruits], "Not Found", 0)</f>
        <v>47</v>
      </c>
      <c r="M55" s="5">
        <f>_xlfn.XLOOKUP(CustomerCombined[[#This Row],[ID]], Table4[ID], Table4[Meats], "Not Found", 0)</f>
        <v>195</v>
      </c>
      <c r="N55" s="5">
        <f>_xlfn.XLOOKUP(CustomerCombined[[#This Row],[ID]], Table4[ID], Table4[Seafood], "Not Found", 0)</f>
        <v>16</v>
      </c>
      <c r="O55" s="5">
        <f>_xlfn.XLOOKUP(CustomerCombined[[#This Row],[ID]], Table4[ID], Table4[Sweets], "Not Found", 0)</f>
        <v>141</v>
      </c>
      <c r="P55" s="5">
        <f>_xlfn.XLOOKUP(CustomerCombined[[#This Row],[ID]], Table4[ID], Table4[Premium], "Not Found", 0)</f>
        <v>215</v>
      </c>
      <c r="Q55" s="5">
        <f>_xlfn.XLOOKUP(CustomerCombined[[#This Row],[ID]], Table4[ID], Table4[Regular], "Not Found", 0)</f>
        <v>387</v>
      </c>
      <c r="R55" s="5">
        <f>_xlfn.XLOOKUP(CustomerCombined[[#This Row],[ID]], Table4[ID], Table4[Deals], "Not Found", 0)</f>
        <v>3</v>
      </c>
      <c r="S55" s="5">
        <f>_xlfn.XLOOKUP(CustomerCombined[[#This Row],[ID]], Table4[ID], Table4[Website], "Not Found", 0)</f>
        <v>5</v>
      </c>
      <c r="T55" s="5">
        <f>_xlfn.XLOOKUP(CustomerCombined[[#This Row],[ID]], Table4[ID], Table4[Catalog], "Not Found", 0)</f>
        <v>0</v>
      </c>
      <c r="U55" s="5">
        <f>_xlfn.XLOOKUP(CustomerCombined[[#This Row],[ID]], Table4[ID], Table4[Store], "Not Found", 0)</f>
        <v>3</v>
      </c>
      <c r="V55" s="5">
        <f>_xlfn.XLOOKUP(CustomerCombined[[#This Row],[ID]], Table4[ID], Table4[Visits], "Not Found", 0)</f>
        <v>9</v>
      </c>
      <c r="W55" s="8">
        <f>_xlfn.XLOOKUP(CustomerCombined[[#This Row],[ID]], Table2[ID],Table2[Complaint], "Not Found", 0 )</f>
        <v>0</v>
      </c>
      <c r="X55" s="8">
        <f>_xlfn.XLOOKUP(CustomerCombined[[#This Row],[ID]], Table2[ID],Table2[Pilot], "Not Found", 0 )</f>
        <v>0</v>
      </c>
      <c r="Y55" s="8">
        <f>_xlfn.XLOOKUP(CustomerCombined[[#This Row],[ID]], Table2[ID],Table2[MC1], "Not Found", 0 )</f>
        <v>0</v>
      </c>
      <c r="Z55" s="8">
        <f>_xlfn.XLOOKUP(CustomerCombined[[#This Row],[ID]], Table2[ID],Table2[MC2], "Not Found", 0 )</f>
        <v>0</v>
      </c>
      <c r="AA55" s="8">
        <f>_xlfn.XLOOKUP(CustomerCombined[[#This Row],[ID]], Table2[ID],Table2[MC3], "Not Found", 0 )</f>
        <v>0</v>
      </c>
      <c r="AB55" s="8">
        <f>_xlfn.XLOOKUP(CustomerCombined[[#This Row],[ID]], Table2[ID],Table2[MC4], "Not Found", 0 )</f>
        <v>0</v>
      </c>
      <c r="AC55" s="8">
        <f>_xlfn.XLOOKUP(CustomerCombined[[#This Row],[ID]], Table2[ID],Table2[MC5], "Not Found", 0 )</f>
        <v>0</v>
      </c>
    </row>
    <row r="56" spans="1:29" x14ac:dyDescent="0.3">
      <c r="A56" s="6">
        <v>2822</v>
      </c>
      <c r="B56" s="6">
        <v>130093</v>
      </c>
      <c r="C56" s="6">
        <v>0</v>
      </c>
      <c r="D56" s="6">
        <v>0</v>
      </c>
      <c r="E56" s="6">
        <v>30</v>
      </c>
      <c r="F56" s="5" t="s">
        <v>6</v>
      </c>
      <c r="G56" s="5" t="s">
        <v>11</v>
      </c>
      <c r="H56" s="3" t="s">
        <v>227</v>
      </c>
      <c r="I56" s="5" t="s">
        <v>438</v>
      </c>
      <c r="J56" s="5">
        <f>_xlfn.XLOOKUP(CustomerCombined[[#This Row],[ID]], Table4[ID], Table4[Recency], "Not Found", 0)</f>
        <v>19</v>
      </c>
      <c r="K56" s="5">
        <f>_xlfn.XLOOKUP(CustomerCombined[[#This Row],[ID]], Table4[ID], Table4[Teas], "Not Found", 0)</f>
        <v>9</v>
      </c>
      <c r="L56" s="5">
        <f>_xlfn.XLOOKUP(CustomerCombined[[#This Row],[ID]], Table4[ID], Table4[Fruits], "Not Found", 0)</f>
        <v>26</v>
      </c>
      <c r="M56" s="5">
        <f>_xlfn.XLOOKUP(CustomerCombined[[#This Row],[ID]], Table4[ID], Table4[Meats], "Not Found", 0)</f>
        <v>121</v>
      </c>
      <c r="N56" s="5">
        <f>_xlfn.XLOOKUP(CustomerCombined[[#This Row],[ID]], Table4[ID], Table4[Seafood], "Not Found", 0)</f>
        <v>56</v>
      </c>
      <c r="O56" s="5">
        <f>_xlfn.XLOOKUP(CustomerCombined[[#This Row],[ID]], Table4[ID], Table4[Sweets], "Not Found", 0)</f>
        <v>17</v>
      </c>
      <c r="P56" s="5">
        <f>_xlfn.XLOOKUP(CustomerCombined[[#This Row],[ID]], Table4[ID], Table4[Premium], "Not Found", 0)</f>
        <v>69</v>
      </c>
      <c r="Q56" s="5">
        <f>_xlfn.XLOOKUP(CustomerCombined[[#This Row],[ID]], Table4[ID], Table4[Regular], "Not Found", 0)</f>
        <v>160</v>
      </c>
      <c r="R56" s="5">
        <f>_xlfn.XLOOKUP(CustomerCombined[[#This Row],[ID]], Table4[ID], Table4[Deals], "Not Found", 0)</f>
        <v>1</v>
      </c>
      <c r="S56" s="5">
        <f>_xlfn.XLOOKUP(CustomerCombined[[#This Row],[ID]], Table4[ID], Table4[Website], "Not Found", 0)</f>
        <v>2</v>
      </c>
      <c r="T56" s="5">
        <f>_xlfn.XLOOKUP(CustomerCombined[[#This Row],[ID]], Table4[ID], Table4[Catalog], "Not Found", 0)</f>
        <v>0</v>
      </c>
      <c r="U56" s="5">
        <f>_xlfn.XLOOKUP(CustomerCombined[[#This Row],[ID]], Table4[ID], Table4[Store], "Not Found", 0)</f>
        <v>3</v>
      </c>
      <c r="V56" s="5">
        <f>_xlfn.XLOOKUP(CustomerCombined[[#This Row],[ID]], Table4[ID], Table4[Visits], "Not Found", 0)</f>
        <v>7</v>
      </c>
      <c r="W56" s="8">
        <f>_xlfn.XLOOKUP(CustomerCombined[[#This Row],[ID]], Table2[ID],Table2[Complaint], "Not Found", 0 )</f>
        <v>0</v>
      </c>
      <c r="X56" s="8">
        <f>_xlfn.XLOOKUP(CustomerCombined[[#This Row],[ID]], Table2[ID],Table2[Pilot], "Not Found", 0 )</f>
        <v>0</v>
      </c>
      <c r="Y56" s="8">
        <f>_xlfn.XLOOKUP(CustomerCombined[[#This Row],[ID]], Table2[ID],Table2[MC1], "Not Found", 0 )</f>
        <v>0</v>
      </c>
      <c r="Z56" s="8">
        <f>_xlfn.XLOOKUP(CustomerCombined[[#This Row],[ID]], Table2[ID],Table2[MC2], "Not Found", 0 )</f>
        <v>0</v>
      </c>
      <c r="AA56" s="8">
        <f>_xlfn.XLOOKUP(CustomerCombined[[#This Row],[ID]], Table2[ID],Table2[MC3], "Not Found", 0 )</f>
        <v>0</v>
      </c>
      <c r="AB56" s="8">
        <f>_xlfn.XLOOKUP(CustomerCombined[[#This Row],[ID]], Table2[ID],Table2[MC4], "Not Found", 0 )</f>
        <v>0</v>
      </c>
      <c r="AC56" s="8">
        <f>_xlfn.XLOOKUP(CustomerCombined[[#This Row],[ID]], Table2[ID],Table2[MC5], "Not Found", 0 )</f>
        <v>0</v>
      </c>
    </row>
    <row r="57" spans="1:29" x14ac:dyDescent="0.3">
      <c r="A57" s="6">
        <v>1501</v>
      </c>
      <c r="B57" s="6">
        <v>126095</v>
      </c>
      <c r="C57" s="6">
        <v>1</v>
      </c>
      <c r="D57" s="6">
        <v>0</v>
      </c>
      <c r="E57" s="6">
        <v>30</v>
      </c>
      <c r="F57" s="5" t="s">
        <v>7</v>
      </c>
      <c r="G57" s="5" t="s">
        <v>11</v>
      </c>
      <c r="H57" s="3">
        <v>43597</v>
      </c>
      <c r="I57" s="5" t="s">
        <v>437</v>
      </c>
      <c r="J57" s="5">
        <f>_xlfn.XLOOKUP(CustomerCombined[[#This Row],[ID]], Table4[ID], Table4[Recency], "Not Found", 0)</f>
        <v>77</v>
      </c>
      <c r="K57" s="5">
        <f>_xlfn.XLOOKUP(CustomerCombined[[#This Row],[ID]], Table4[ID], Table4[Teas], "Not Found", 0)</f>
        <v>53</v>
      </c>
      <c r="L57" s="5">
        <f>_xlfn.XLOOKUP(CustomerCombined[[#This Row],[ID]], Table4[ID], Table4[Fruits], "Not Found", 0)</f>
        <v>34</v>
      </c>
      <c r="M57" s="5">
        <f>_xlfn.XLOOKUP(CustomerCombined[[#This Row],[ID]], Table4[ID], Table4[Meats], "Not Found", 0)</f>
        <v>43</v>
      </c>
      <c r="N57" s="5">
        <f>_xlfn.XLOOKUP(CustomerCombined[[#This Row],[ID]], Table4[ID], Table4[Seafood], "Not Found", 0)</f>
        <v>14</v>
      </c>
      <c r="O57" s="5">
        <f>_xlfn.XLOOKUP(CustomerCombined[[#This Row],[ID]], Table4[ID], Table4[Sweets], "Not Found", 0)</f>
        <v>5</v>
      </c>
      <c r="P57" s="5">
        <f>_xlfn.XLOOKUP(CustomerCombined[[#This Row],[ID]], Table4[ID], Table4[Premium], "Not Found", 0)</f>
        <v>53</v>
      </c>
      <c r="Q57" s="5">
        <f>_xlfn.XLOOKUP(CustomerCombined[[#This Row],[ID]], Table4[ID], Table4[Regular], "Not Found", 0)</f>
        <v>97</v>
      </c>
      <c r="R57" s="5">
        <f>_xlfn.XLOOKUP(CustomerCombined[[#This Row],[ID]], Table4[ID], Table4[Deals], "Not Found", 0)</f>
        <v>1</v>
      </c>
      <c r="S57" s="5">
        <f>_xlfn.XLOOKUP(CustomerCombined[[#This Row],[ID]], Table4[ID], Table4[Website], "Not Found", 0)</f>
        <v>1</v>
      </c>
      <c r="T57" s="5">
        <f>_xlfn.XLOOKUP(CustomerCombined[[#This Row],[ID]], Table4[ID], Table4[Catalog], "Not Found", 0)</f>
        <v>0</v>
      </c>
      <c r="U57" s="5">
        <f>_xlfn.XLOOKUP(CustomerCombined[[#This Row],[ID]], Table4[ID], Table4[Store], "Not Found", 0)</f>
        <v>3</v>
      </c>
      <c r="V57" s="5">
        <f>_xlfn.XLOOKUP(CustomerCombined[[#This Row],[ID]], Table4[ID], Table4[Visits], "Not Found", 0)</f>
        <v>7</v>
      </c>
      <c r="W57" s="8">
        <f>_xlfn.XLOOKUP(CustomerCombined[[#This Row],[ID]], Table2[ID],Table2[Complaint], "Not Found", 0 )</f>
        <v>0</v>
      </c>
      <c r="X57" s="8">
        <f>_xlfn.XLOOKUP(CustomerCombined[[#This Row],[ID]], Table2[ID],Table2[Pilot], "Not Found", 0 )</f>
        <v>0</v>
      </c>
      <c r="Y57" s="8">
        <f>_xlfn.XLOOKUP(CustomerCombined[[#This Row],[ID]], Table2[ID],Table2[MC1], "Not Found", 0 )</f>
        <v>0</v>
      </c>
      <c r="Z57" s="8">
        <f>_xlfn.XLOOKUP(CustomerCombined[[#This Row],[ID]], Table2[ID],Table2[MC2], "Not Found", 0 )</f>
        <v>0</v>
      </c>
      <c r="AA57" s="8">
        <f>_xlfn.XLOOKUP(CustomerCombined[[#This Row],[ID]], Table2[ID],Table2[MC3], "Not Found", 0 )</f>
        <v>0</v>
      </c>
      <c r="AB57" s="8">
        <f>_xlfn.XLOOKUP(CustomerCombined[[#This Row],[ID]], Table2[ID],Table2[MC4], "Not Found", 0 )</f>
        <v>0</v>
      </c>
      <c r="AC57" s="8">
        <f>_xlfn.XLOOKUP(CustomerCombined[[#This Row],[ID]], Table2[ID],Table2[MC5], "Not Found", 0 )</f>
        <v>0</v>
      </c>
    </row>
    <row r="58" spans="1:29" x14ac:dyDescent="0.3">
      <c r="A58" s="6">
        <v>1529</v>
      </c>
      <c r="B58" s="6">
        <v>124683</v>
      </c>
      <c r="C58" s="6">
        <v>1</v>
      </c>
      <c r="D58" s="6">
        <v>0</v>
      </c>
      <c r="E58" s="6">
        <v>30</v>
      </c>
      <c r="F58" s="5" t="s">
        <v>6</v>
      </c>
      <c r="G58" s="5" t="s">
        <v>442</v>
      </c>
      <c r="H58" s="3">
        <v>44173</v>
      </c>
      <c r="I58" s="5" t="s">
        <v>434</v>
      </c>
      <c r="J58" s="5">
        <f>_xlfn.XLOOKUP(CustomerCombined[[#This Row],[ID]], Table4[ID], Table4[Recency], "Not Found", 0)</f>
        <v>98</v>
      </c>
      <c r="K58" s="5">
        <f>_xlfn.XLOOKUP(CustomerCombined[[#This Row],[ID]], Table4[ID], Table4[Teas], "Not Found", 0)</f>
        <v>40</v>
      </c>
      <c r="L58" s="5">
        <f>_xlfn.XLOOKUP(CustomerCombined[[#This Row],[ID]], Table4[ID], Table4[Fruits], "Not Found", 0)</f>
        <v>20</v>
      </c>
      <c r="M58" s="5">
        <f>_xlfn.XLOOKUP(CustomerCombined[[#This Row],[ID]], Table4[ID], Table4[Meats], "Not Found", 0)</f>
        <v>51</v>
      </c>
      <c r="N58" s="5">
        <f>_xlfn.XLOOKUP(CustomerCombined[[#This Row],[ID]], Table4[ID], Table4[Seafood], "Not Found", 0)</f>
        <v>30</v>
      </c>
      <c r="O58" s="5">
        <f>_xlfn.XLOOKUP(CustomerCombined[[#This Row],[ID]], Table4[ID], Table4[Sweets], "Not Found", 0)</f>
        <v>35</v>
      </c>
      <c r="P58" s="5">
        <f>_xlfn.XLOOKUP(CustomerCombined[[#This Row],[ID]], Table4[ID], Table4[Premium], "Not Found", 0)</f>
        <v>30</v>
      </c>
      <c r="Q58" s="5">
        <f>_xlfn.XLOOKUP(CustomerCombined[[#This Row],[ID]], Table4[ID], Table4[Regular], "Not Found", 0)</f>
        <v>146</v>
      </c>
      <c r="R58" s="5">
        <f>_xlfn.XLOOKUP(CustomerCombined[[#This Row],[ID]], Table4[ID], Table4[Deals], "Not Found", 0)</f>
        <v>2</v>
      </c>
      <c r="S58" s="5">
        <f>_xlfn.XLOOKUP(CustomerCombined[[#This Row],[ID]], Table4[ID], Table4[Website], "Not Found", 0)</f>
        <v>2</v>
      </c>
      <c r="T58" s="5">
        <f>_xlfn.XLOOKUP(CustomerCombined[[#This Row],[ID]], Table4[ID], Table4[Catalog], "Not Found", 0)</f>
        <v>0</v>
      </c>
      <c r="U58" s="5">
        <f>_xlfn.XLOOKUP(CustomerCombined[[#This Row],[ID]], Table4[ID], Table4[Store], "Not Found", 0)</f>
        <v>4</v>
      </c>
      <c r="V58" s="5">
        <f>_xlfn.XLOOKUP(CustomerCombined[[#This Row],[ID]], Table4[ID], Table4[Visits], "Not Found", 0)</f>
        <v>5</v>
      </c>
      <c r="W58" s="8">
        <f>_xlfn.XLOOKUP(CustomerCombined[[#This Row],[ID]], Table2[ID],Table2[Complaint], "Not Found", 0 )</f>
        <v>0</v>
      </c>
      <c r="X58" s="8">
        <f>_xlfn.XLOOKUP(CustomerCombined[[#This Row],[ID]], Table2[ID],Table2[Pilot], "Not Found", 0 )</f>
        <v>0</v>
      </c>
      <c r="Y58" s="8">
        <f>_xlfn.XLOOKUP(CustomerCombined[[#This Row],[ID]], Table2[ID],Table2[MC1], "Not Found", 0 )</f>
        <v>0</v>
      </c>
      <c r="Z58" s="8">
        <f>_xlfn.XLOOKUP(CustomerCombined[[#This Row],[ID]], Table2[ID],Table2[MC2], "Not Found", 0 )</f>
        <v>0</v>
      </c>
      <c r="AA58" s="8">
        <f>_xlfn.XLOOKUP(CustomerCombined[[#This Row],[ID]], Table2[ID],Table2[MC3], "Not Found", 0 )</f>
        <v>0</v>
      </c>
      <c r="AB58" s="8">
        <f>_xlfn.XLOOKUP(CustomerCombined[[#This Row],[ID]], Table2[ID],Table2[MC4], "Not Found", 0 )</f>
        <v>0</v>
      </c>
      <c r="AC58" s="8">
        <f>_xlfn.XLOOKUP(CustomerCombined[[#This Row],[ID]], Table2[ID],Table2[MC5], "Not Found", 0 )</f>
        <v>0</v>
      </c>
    </row>
    <row r="59" spans="1:29" x14ac:dyDescent="0.3">
      <c r="A59" s="6">
        <v>1486</v>
      </c>
      <c r="B59" s="6">
        <v>124279</v>
      </c>
      <c r="C59" s="6">
        <v>0</v>
      </c>
      <c r="D59" s="6">
        <v>0</v>
      </c>
      <c r="E59" s="6">
        <v>30</v>
      </c>
      <c r="F59" s="5" t="s">
        <v>6</v>
      </c>
      <c r="G59" s="5" t="s">
        <v>10</v>
      </c>
      <c r="H59" s="3">
        <v>43591</v>
      </c>
      <c r="I59" s="5" t="s">
        <v>439</v>
      </c>
      <c r="J59" s="5">
        <f>_xlfn.XLOOKUP(CustomerCombined[[#This Row],[ID]], Table4[ID], Table4[Recency], "Not Found", 0)</f>
        <v>6</v>
      </c>
      <c r="K59" s="5">
        <f>_xlfn.XLOOKUP(CustomerCombined[[#This Row],[ID]], Table4[ID], Table4[Teas], "Not Found", 0)</f>
        <v>82</v>
      </c>
      <c r="L59" s="5">
        <f>_xlfn.XLOOKUP(CustomerCombined[[#This Row],[ID]], Table4[ID], Table4[Fruits], "Not Found", 0)</f>
        <v>184</v>
      </c>
      <c r="M59" s="5">
        <f>_xlfn.XLOOKUP(CustomerCombined[[#This Row],[ID]], Table4[ID], Table4[Meats], "Not Found", 0)</f>
        <v>107</v>
      </c>
      <c r="N59" s="5">
        <f>_xlfn.XLOOKUP(CustomerCombined[[#This Row],[ID]], Table4[ID], Table4[Seafood], "Not Found", 0)</f>
        <v>102</v>
      </c>
      <c r="O59" s="5">
        <f>_xlfn.XLOOKUP(CustomerCombined[[#This Row],[ID]], Table4[ID], Table4[Sweets], "Not Found", 0)</f>
        <v>317</v>
      </c>
      <c r="P59" s="5">
        <f>_xlfn.XLOOKUP(CustomerCombined[[#This Row],[ID]], Table4[ID], Table4[Premium], "Not Found", 0)</f>
        <v>553</v>
      </c>
      <c r="Q59" s="5">
        <f>_xlfn.XLOOKUP(CustomerCombined[[#This Row],[ID]], Table4[ID], Table4[Regular], "Not Found", 0)</f>
        <v>241</v>
      </c>
      <c r="R59" s="5">
        <f>_xlfn.XLOOKUP(CustomerCombined[[#This Row],[ID]], Table4[ID], Table4[Deals], "Not Found", 0)</f>
        <v>1</v>
      </c>
      <c r="S59" s="5">
        <f>_xlfn.XLOOKUP(CustomerCombined[[#This Row],[ID]], Table4[ID], Table4[Website], "Not Found", 0)</f>
        <v>4</v>
      </c>
      <c r="T59" s="5">
        <f>_xlfn.XLOOKUP(CustomerCombined[[#This Row],[ID]], Table4[ID], Table4[Catalog], "Not Found", 0)</f>
        <v>1</v>
      </c>
      <c r="U59" s="5">
        <f>_xlfn.XLOOKUP(CustomerCombined[[#This Row],[ID]], Table4[ID], Table4[Store], "Not Found", 0)</f>
        <v>3</v>
      </c>
      <c r="V59" s="5">
        <f>_xlfn.XLOOKUP(CustomerCombined[[#This Row],[ID]], Table4[ID], Table4[Visits], "Not Found", 0)</f>
        <v>8</v>
      </c>
      <c r="W59" s="8">
        <f>_xlfn.XLOOKUP(CustomerCombined[[#This Row],[ID]], Table2[ID],Table2[Complaint], "Not Found", 0 )</f>
        <v>0</v>
      </c>
      <c r="X59" s="8">
        <f>_xlfn.XLOOKUP(CustomerCombined[[#This Row],[ID]], Table2[ID],Table2[Pilot], "Not Found", 0 )</f>
        <v>0</v>
      </c>
      <c r="Y59" s="8">
        <f>_xlfn.XLOOKUP(CustomerCombined[[#This Row],[ID]], Table2[ID],Table2[MC1], "Not Found", 0 )</f>
        <v>0</v>
      </c>
      <c r="Z59" s="8">
        <f>_xlfn.XLOOKUP(CustomerCombined[[#This Row],[ID]], Table2[ID],Table2[MC2], "Not Found", 0 )</f>
        <v>0</v>
      </c>
      <c r="AA59" s="8">
        <f>_xlfn.XLOOKUP(CustomerCombined[[#This Row],[ID]], Table2[ID],Table2[MC3], "Not Found", 0 )</f>
        <v>0</v>
      </c>
      <c r="AB59" s="8">
        <f>_xlfn.XLOOKUP(CustomerCombined[[#This Row],[ID]], Table2[ID],Table2[MC4], "Not Found", 0 )</f>
        <v>0</v>
      </c>
      <c r="AC59" s="8">
        <f>_xlfn.XLOOKUP(CustomerCombined[[#This Row],[ID]], Table2[ID],Table2[MC5], "Not Found", 0 )</f>
        <v>0</v>
      </c>
    </row>
    <row r="60" spans="1:29" x14ac:dyDescent="0.3">
      <c r="A60" s="6">
        <v>2323</v>
      </c>
      <c r="B60" s="6">
        <v>118929</v>
      </c>
      <c r="C60" s="6">
        <v>0</v>
      </c>
      <c r="D60" s="6">
        <v>0</v>
      </c>
      <c r="E60" s="6">
        <v>30</v>
      </c>
      <c r="F60" s="5" t="s">
        <v>6</v>
      </c>
      <c r="G60" s="5" t="s">
        <v>11</v>
      </c>
      <c r="H60" s="3" t="s">
        <v>307</v>
      </c>
      <c r="I60" s="5" t="s">
        <v>437</v>
      </c>
      <c r="J60" s="5">
        <f>_xlfn.XLOOKUP(CustomerCombined[[#This Row],[ID]], Table4[ID], Table4[Recency], "Not Found", 0)</f>
        <v>15</v>
      </c>
      <c r="K60" s="5">
        <f>_xlfn.XLOOKUP(CustomerCombined[[#This Row],[ID]], Table4[ID], Table4[Teas], "Not Found", 0)</f>
        <v>201</v>
      </c>
      <c r="L60" s="5">
        <f>_xlfn.XLOOKUP(CustomerCombined[[#This Row],[ID]], Table4[ID], Table4[Fruits], "Not Found", 0)</f>
        <v>0</v>
      </c>
      <c r="M60" s="5">
        <f>_xlfn.XLOOKUP(CustomerCombined[[#This Row],[ID]], Table4[ID], Table4[Meats], "Not Found", 0)</f>
        <v>50</v>
      </c>
      <c r="N60" s="5">
        <f>_xlfn.XLOOKUP(CustomerCombined[[#This Row],[ID]], Table4[ID], Table4[Seafood], "Not Found", 0)</f>
        <v>145</v>
      </c>
      <c r="O60" s="5">
        <f>_xlfn.XLOOKUP(CustomerCombined[[#This Row],[ID]], Table4[ID], Table4[Sweets], "Not Found", 0)</f>
        <v>25</v>
      </c>
      <c r="P60" s="5">
        <f>_xlfn.XLOOKUP(CustomerCombined[[#This Row],[ID]], Table4[ID], Table4[Premium], "Not Found", 0)</f>
        <v>113</v>
      </c>
      <c r="Q60" s="5">
        <f>_xlfn.XLOOKUP(CustomerCombined[[#This Row],[ID]], Table4[ID], Table4[Regular], "Not Found", 0)</f>
        <v>308</v>
      </c>
      <c r="R60" s="5">
        <f>_xlfn.XLOOKUP(CustomerCombined[[#This Row],[ID]], Table4[ID], Table4[Deals], "Not Found", 0)</f>
        <v>1</v>
      </c>
      <c r="S60" s="5">
        <f>_xlfn.XLOOKUP(CustomerCombined[[#This Row],[ID]], Table4[ID], Table4[Website], "Not Found", 0)</f>
        <v>1</v>
      </c>
      <c r="T60" s="5">
        <f>_xlfn.XLOOKUP(CustomerCombined[[#This Row],[ID]], Table4[ID], Table4[Catalog], "Not Found", 0)</f>
        <v>0</v>
      </c>
      <c r="U60" s="5">
        <f>_xlfn.XLOOKUP(CustomerCombined[[#This Row],[ID]], Table4[ID], Table4[Store], "Not Found", 0)</f>
        <v>4</v>
      </c>
      <c r="V60" s="5">
        <f>_xlfn.XLOOKUP(CustomerCombined[[#This Row],[ID]], Table4[ID], Table4[Visits], "Not Found", 0)</f>
        <v>6</v>
      </c>
      <c r="W60" s="8">
        <f>_xlfn.XLOOKUP(CustomerCombined[[#This Row],[ID]], Table2[ID],Table2[Complaint], "Not Found", 0 )</f>
        <v>0</v>
      </c>
      <c r="X60" s="8">
        <f>_xlfn.XLOOKUP(CustomerCombined[[#This Row],[ID]], Table2[ID],Table2[Pilot], "Not Found", 0 )</f>
        <v>0</v>
      </c>
      <c r="Y60" s="8">
        <f>_xlfn.XLOOKUP(CustomerCombined[[#This Row],[ID]], Table2[ID],Table2[MC1], "Not Found", 0 )</f>
        <v>0</v>
      </c>
      <c r="Z60" s="8">
        <f>_xlfn.XLOOKUP(CustomerCombined[[#This Row],[ID]], Table2[ID],Table2[MC2], "Not Found", 0 )</f>
        <v>0</v>
      </c>
      <c r="AA60" s="8">
        <f>_xlfn.XLOOKUP(CustomerCombined[[#This Row],[ID]], Table2[ID],Table2[MC3], "Not Found", 0 )</f>
        <v>0</v>
      </c>
      <c r="AB60" s="8">
        <f>_xlfn.XLOOKUP(CustomerCombined[[#This Row],[ID]], Table2[ID],Table2[MC4], "Not Found", 0 )</f>
        <v>0</v>
      </c>
      <c r="AC60" s="8">
        <f>_xlfn.XLOOKUP(CustomerCombined[[#This Row],[ID]], Table2[ID],Table2[MC5], "Not Found", 0 )</f>
        <v>0</v>
      </c>
    </row>
    <row r="61" spans="1:29" x14ac:dyDescent="0.3">
      <c r="A61" s="6">
        <v>2891</v>
      </c>
      <c r="B61" s="6">
        <v>118929</v>
      </c>
      <c r="C61" s="6">
        <v>0</v>
      </c>
      <c r="D61" s="6">
        <v>0</v>
      </c>
      <c r="E61" s="6">
        <v>30</v>
      </c>
      <c r="F61" s="5" t="s">
        <v>6</v>
      </c>
      <c r="G61" s="5" t="s">
        <v>11</v>
      </c>
      <c r="H61" s="3" t="s">
        <v>307</v>
      </c>
      <c r="I61" s="5" t="s">
        <v>434</v>
      </c>
      <c r="J61" s="5">
        <f>_xlfn.XLOOKUP(CustomerCombined[[#This Row],[ID]], Table4[ID], Table4[Recency], "Not Found", 0)</f>
        <v>15</v>
      </c>
      <c r="K61" s="5">
        <f>_xlfn.XLOOKUP(CustomerCombined[[#This Row],[ID]], Table4[ID], Table4[Teas], "Not Found", 0)</f>
        <v>201</v>
      </c>
      <c r="L61" s="5">
        <f>_xlfn.XLOOKUP(CustomerCombined[[#This Row],[ID]], Table4[ID], Table4[Fruits], "Not Found", 0)</f>
        <v>0</v>
      </c>
      <c r="M61" s="5">
        <f>_xlfn.XLOOKUP(CustomerCombined[[#This Row],[ID]], Table4[ID], Table4[Meats], "Not Found", 0)</f>
        <v>50</v>
      </c>
      <c r="N61" s="5">
        <f>_xlfn.XLOOKUP(CustomerCombined[[#This Row],[ID]], Table4[ID], Table4[Seafood], "Not Found", 0)</f>
        <v>145</v>
      </c>
      <c r="O61" s="5">
        <f>_xlfn.XLOOKUP(CustomerCombined[[#This Row],[ID]], Table4[ID], Table4[Sweets], "Not Found", 0)</f>
        <v>25</v>
      </c>
      <c r="P61" s="5">
        <f>_xlfn.XLOOKUP(CustomerCombined[[#This Row],[ID]], Table4[ID], Table4[Premium], "Not Found", 0)</f>
        <v>113</v>
      </c>
      <c r="Q61" s="5">
        <f>_xlfn.XLOOKUP(CustomerCombined[[#This Row],[ID]], Table4[ID], Table4[Regular], "Not Found", 0)</f>
        <v>308</v>
      </c>
      <c r="R61" s="5">
        <f>_xlfn.XLOOKUP(CustomerCombined[[#This Row],[ID]], Table4[ID], Table4[Deals], "Not Found", 0)</f>
        <v>1</v>
      </c>
      <c r="S61" s="5">
        <f>_xlfn.XLOOKUP(CustomerCombined[[#This Row],[ID]], Table4[ID], Table4[Website], "Not Found", 0)</f>
        <v>1</v>
      </c>
      <c r="T61" s="5">
        <f>_xlfn.XLOOKUP(CustomerCombined[[#This Row],[ID]], Table4[ID], Table4[Catalog], "Not Found", 0)</f>
        <v>0</v>
      </c>
      <c r="U61" s="5">
        <f>_xlfn.XLOOKUP(CustomerCombined[[#This Row],[ID]], Table4[ID], Table4[Store], "Not Found", 0)</f>
        <v>4</v>
      </c>
      <c r="V61" s="5">
        <f>_xlfn.XLOOKUP(CustomerCombined[[#This Row],[ID]], Table4[ID], Table4[Visits], "Not Found", 0)</f>
        <v>6</v>
      </c>
      <c r="W61" s="8">
        <f>_xlfn.XLOOKUP(CustomerCombined[[#This Row],[ID]], Table2[ID],Table2[Complaint], "Not Found", 0 )</f>
        <v>0</v>
      </c>
      <c r="X61" s="8">
        <f>_xlfn.XLOOKUP(CustomerCombined[[#This Row],[ID]], Table2[ID],Table2[Pilot], "Not Found", 0 )</f>
        <v>0</v>
      </c>
      <c r="Y61" s="8">
        <f>_xlfn.XLOOKUP(CustomerCombined[[#This Row],[ID]], Table2[ID],Table2[MC1], "Not Found", 0 )</f>
        <v>0</v>
      </c>
      <c r="Z61" s="8">
        <f>_xlfn.XLOOKUP(CustomerCombined[[#This Row],[ID]], Table2[ID],Table2[MC2], "Not Found", 0 )</f>
        <v>0</v>
      </c>
      <c r="AA61" s="8">
        <f>_xlfn.XLOOKUP(CustomerCombined[[#This Row],[ID]], Table2[ID],Table2[MC3], "Not Found", 0 )</f>
        <v>0</v>
      </c>
      <c r="AB61" s="8">
        <f>_xlfn.XLOOKUP(CustomerCombined[[#This Row],[ID]], Table2[ID],Table2[MC4], "Not Found", 0 )</f>
        <v>0</v>
      </c>
      <c r="AC61" s="8">
        <f>_xlfn.XLOOKUP(CustomerCombined[[#This Row],[ID]], Table2[ID],Table2[MC5], "Not Found", 0 )</f>
        <v>0</v>
      </c>
    </row>
    <row r="62" spans="1:29" x14ac:dyDescent="0.3">
      <c r="A62" s="6">
        <v>3172</v>
      </c>
      <c r="B62" s="6">
        <v>118929</v>
      </c>
      <c r="C62" s="6">
        <v>0</v>
      </c>
      <c r="D62" s="6">
        <v>0</v>
      </c>
      <c r="E62" s="6">
        <v>30</v>
      </c>
      <c r="F62" s="5" t="s">
        <v>6</v>
      </c>
      <c r="G62" s="5" t="s">
        <v>11</v>
      </c>
      <c r="H62" s="3" t="s">
        <v>307</v>
      </c>
      <c r="I62" s="5" t="s">
        <v>439</v>
      </c>
      <c r="J62" s="5">
        <f>_xlfn.XLOOKUP(CustomerCombined[[#This Row],[ID]], Table4[ID], Table4[Recency], "Not Found", 0)</f>
        <v>15</v>
      </c>
      <c r="K62" s="5">
        <f>_xlfn.XLOOKUP(CustomerCombined[[#This Row],[ID]], Table4[ID], Table4[Teas], "Not Found", 0)</f>
        <v>201</v>
      </c>
      <c r="L62" s="5">
        <f>_xlfn.XLOOKUP(CustomerCombined[[#This Row],[ID]], Table4[ID], Table4[Fruits], "Not Found", 0)</f>
        <v>0</v>
      </c>
      <c r="M62" s="5">
        <f>_xlfn.XLOOKUP(CustomerCombined[[#This Row],[ID]], Table4[ID], Table4[Meats], "Not Found", 0)</f>
        <v>50</v>
      </c>
      <c r="N62" s="5">
        <f>_xlfn.XLOOKUP(CustomerCombined[[#This Row],[ID]], Table4[ID], Table4[Seafood], "Not Found", 0)</f>
        <v>145</v>
      </c>
      <c r="O62" s="5">
        <f>_xlfn.XLOOKUP(CustomerCombined[[#This Row],[ID]], Table4[ID], Table4[Sweets], "Not Found", 0)</f>
        <v>25</v>
      </c>
      <c r="P62" s="5">
        <f>_xlfn.XLOOKUP(CustomerCombined[[#This Row],[ID]], Table4[ID], Table4[Premium], "Not Found", 0)</f>
        <v>113</v>
      </c>
      <c r="Q62" s="5">
        <f>_xlfn.XLOOKUP(CustomerCombined[[#This Row],[ID]], Table4[ID], Table4[Regular], "Not Found", 0)</f>
        <v>308</v>
      </c>
      <c r="R62" s="5">
        <f>_xlfn.XLOOKUP(CustomerCombined[[#This Row],[ID]], Table4[ID], Table4[Deals], "Not Found", 0)</f>
        <v>1</v>
      </c>
      <c r="S62" s="5">
        <f>_xlfn.XLOOKUP(CustomerCombined[[#This Row],[ID]], Table4[ID], Table4[Website], "Not Found", 0)</f>
        <v>1</v>
      </c>
      <c r="T62" s="5">
        <f>_xlfn.XLOOKUP(CustomerCombined[[#This Row],[ID]], Table4[ID], Table4[Catalog], "Not Found", 0)</f>
        <v>0</v>
      </c>
      <c r="U62" s="5">
        <f>_xlfn.XLOOKUP(CustomerCombined[[#This Row],[ID]], Table4[ID], Table4[Store], "Not Found", 0)</f>
        <v>4</v>
      </c>
      <c r="V62" s="5">
        <f>_xlfn.XLOOKUP(CustomerCombined[[#This Row],[ID]], Table4[ID], Table4[Visits], "Not Found", 0)</f>
        <v>6</v>
      </c>
      <c r="W62" s="8">
        <f>_xlfn.XLOOKUP(CustomerCombined[[#This Row],[ID]], Table2[ID],Table2[Complaint], "Not Found", 0 )</f>
        <v>0</v>
      </c>
      <c r="X62" s="8">
        <f>_xlfn.XLOOKUP(CustomerCombined[[#This Row],[ID]], Table2[ID],Table2[Pilot], "Not Found", 0 )</f>
        <v>0</v>
      </c>
      <c r="Y62" s="8">
        <f>_xlfn.XLOOKUP(CustomerCombined[[#This Row],[ID]], Table2[ID],Table2[MC1], "Not Found", 0 )</f>
        <v>0</v>
      </c>
      <c r="Z62" s="8">
        <f>_xlfn.XLOOKUP(CustomerCombined[[#This Row],[ID]], Table2[ID],Table2[MC2], "Not Found", 0 )</f>
        <v>0</v>
      </c>
      <c r="AA62" s="8">
        <f>_xlfn.XLOOKUP(CustomerCombined[[#This Row],[ID]], Table2[ID],Table2[MC3], "Not Found", 0 )</f>
        <v>0</v>
      </c>
      <c r="AB62" s="8">
        <f>_xlfn.XLOOKUP(CustomerCombined[[#This Row],[ID]], Table2[ID],Table2[MC4], "Not Found", 0 )</f>
        <v>0</v>
      </c>
      <c r="AC62" s="8">
        <f>_xlfn.XLOOKUP(CustomerCombined[[#This Row],[ID]], Table2[ID],Table2[MC5], "Not Found", 0 )</f>
        <v>0</v>
      </c>
    </row>
    <row r="63" spans="1:29" x14ac:dyDescent="0.3">
      <c r="A63" s="6">
        <v>2188</v>
      </c>
      <c r="B63" s="6">
        <v>118351</v>
      </c>
      <c r="C63" s="6">
        <v>0</v>
      </c>
      <c r="D63" s="6">
        <v>0</v>
      </c>
      <c r="E63" s="6">
        <v>30</v>
      </c>
      <c r="F63" s="5" t="s">
        <v>6</v>
      </c>
      <c r="G63" s="5" t="s">
        <v>11</v>
      </c>
      <c r="H63" s="3">
        <v>43925</v>
      </c>
      <c r="I63" s="5" t="s">
        <v>439</v>
      </c>
      <c r="J63" s="5">
        <f>_xlfn.XLOOKUP(CustomerCombined[[#This Row],[ID]], Table4[ID], Table4[Recency], "Not Found", 0)</f>
        <v>1</v>
      </c>
      <c r="K63" s="5">
        <f>_xlfn.XLOOKUP(CustomerCombined[[#This Row],[ID]], Table4[ID], Table4[Teas], "Not Found", 0)</f>
        <v>6</v>
      </c>
      <c r="L63" s="5">
        <f>_xlfn.XLOOKUP(CustomerCombined[[#This Row],[ID]], Table4[ID], Table4[Fruits], "Not Found", 0)</f>
        <v>77</v>
      </c>
      <c r="M63" s="5">
        <f>_xlfn.XLOOKUP(CustomerCombined[[#This Row],[ID]], Table4[ID], Table4[Meats], "Not Found", 0)</f>
        <v>58</v>
      </c>
      <c r="N63" s="5">
        <f>_xlfn.XLOOKUP(CustomerCombined[[#This Row],[ID]], Table4[ID], Table4[Seafood], "Not Found", 0)</f>
        <v>0</v>
      </c>
      <c r="O63" s="5">
        <f>_xlfn.XLOOKUP(CustomerCombined[[#This Row],[ID]], Table4[ID], Table4[Sweets], "Not Found", 0)</f>
        <v>90</v>
      </c>
      <c r="P63" s="5">
        <f>_xlfn.XLOOKUP(CustomerCombined[[#This Row],[ID]], Table4[ID], Table4[Premium], "Not Found", 0)</f>
        <v>45</v>
      </c>
      <c r="Q63" s="5">
        <f>_xlfn.XLOOKUP(CustomerCombined[[#This Row],[ID]], Table4[ID], Table4[Regular], "Not Found", 0)</f>
        <v>187</v>
      </c>
      <c r="R63" s="5">
        <f>_xlfn.XLOOKUP(CustomerCombined[[#This Row],[ID]], Table4[ID], Table4[Deals], "Not Found", 0)</f>
        <v>1</v>
      </c>
      <c r="S63" s="5">
        <f>_xlfn.XLOOKUP(CustomerCombined[[#This Row],[ID]], Table4[ID], Table4[Website], "Not Found", 0)</f>
        <v>2</v>
      </c>
      <c r="T63" s="5">
        <f>_xlfn.XLOOKUP(CustomerCombined[[#This Row],[ID]], Table4[ID], Table4[Catalog], "Not Found", 0)</f>
        <v>0</v>
      </c>
      <c r="U63" s="5">
        <f>_xlfn.XLOOKUP(CustomerCombined[[#This Row],[ID]], Table4[ID], Table4[Store], "Not Found", 0)</f>
        <v>3</v>
      </c>
      <c r="V63" s="5">
        <f>_xlfn.XLOOKUP(CustomerCombined[[#This Row],[ID]], Table4[ID], Table4[Visits], "Not Found", 0)</f>
        <v>7</v>
      </c>
      <c r="W63" s="8">
        <f>_xlfn.XLOOKUP(CustomerCombined[[#This Row],[ID]], Table2[ID],Table2[Complaint], "Not Found", 0 )</f>
        <v>0</v>
      </c>
      <c r="X63" s="8">
        <f>_xlfn.XLOOKUP(CustomerCombined[[#This Row],[ID]], Table2[ID],Table2[Pilot], "Not Found", 0 )</f>
        <v>0</v>
      </c>
      <c r="Y63" s="8">
        <f>_xlfn.XLOOKUP(CustomerCombined[[#This Row],[ID]], Table2[ID],Table2[MC1], "Not Found", 0 )</f>
        <v>0</v>
      </c>
      <c r="Z63" s="8">
        <f>_xlfn.XLOOKUP(CustomerCombined[[#This Row],[ID]], Table2[ID],Table2[MC2], "Not Found", 0 )</f>
        <v>0</v>
      </c>
      <c r="AA63" s="8">
        <f>_xlfn.XLOOKUP(CustomerCombined[[#This Row],[ID]], Table2[ID],Table2[MC3], "Not Found", 0 )</f>
        <v>0</v>
      </c>
      <c r="AB63" s="8">
        <f>_xlfn.XLOOKUP(CustomerCombined[[#This Row],[ID]], Table2[ID],Table2[MC4], "Not Found", 0 )</f>
        <v>0</v>
      </c>
      <c r="AC63" s="8">
        <f>_xlfn.XLOOKUP(CustomerCombined[[#This Row],[ID]], Table2[ID],Table2[MC5], "Not Found", 0 )</f>
        <v>0</v>
      </c>
    </row>
    <row r="64" spans="1:29" x14ac:dyDescent="0.3">
      <c r="A64" s="6">
        <v>2669</v>
      </c>
      <c r="B64" s="6">
        <v>118222</v>
      </c>
      <c r="C64" s="6">
        <v>0</v>
      </c>
      <c r="D64" s="6">
        <v>0</v>
      </c>
      <c r="E64" s="6">
        <v>30</v>
      </c>
      <c r="F64" s="5" t="s">
        <v>6</v>
      </c>
      <c r="G64" s="5" t="s">
        <v>11</v>
      </c>
      <c r="H64" s="3">
        <v>43652</v>
      </c>
      <c r="I64" s="5" t="s">
        <v>434</v>
      </c>
      <c r="J64" s="5">
        <f>_xlfn.XLOOKUP(CustomerCombined[[#This Row],[ID]], Table4[ID], Table4[Recency], "Not Found", 0)</f>
        <v>70</v>
      </c>
      <c r="K64" s="5">
        <f>_xlfn.XLOOKUP(CustomerCombined[[#This Row],[ID]], Table4[ID], Table4[Teas], "Not Found", 0)</f>
        <v>78</v>
      </c>
      <c r="L64" s="5">
        <f>_xlfn.XLOOKUP(CustomerCombined[[#This Row],[ID]], Table4[ID], Table4[Fruits], "Not Found", 0)</f>
        <v>26</v>
      </c>
      <c r="M64" s="5">
        <f>_xlfn.XLOOKUP(CustomerCombined[[#This Row],[ID]], Table4[ID], Table4[Meats], "Not Found", 0)</f>
        <v>123</v>
      </c>
      <c r="N64" s="5">
        <f>_xlfn.XLOOKUP(CustomerCombined[[#This Row],[ID]], Table4[ID], Table4[Seafood], "Not Found", 0)</f>
        <v>78</v>
      </c>
      <c r="O64" s="5">
        <f>_xlfn.XLOOKUP(CustomerCombined[[#This Row],[ID]], Table4[ID], Table4[Sweets], "Not Found", 0)</f>
        <v>39</v>
      </c>
      <c r="P64" s="5">
        <f>_xlfn.XLOOKUP(CustomerCombined[[#This Row],[ID]], Table4[ID], Table4[Premium], "Not Found", 0)</f>
        <v>91</v>
      </c>
      <c r="Q64" s="5">
        <f>_xlfn.XLOOKUP(CustomerCombined[[#This Row],[ID]], Table4[ID], Table4[Regular], "Not Found", 0)</f>
        <v>253</v>
      </c>
      <c r="R64" s="5">
        <f>_xlfn.XLOOKUP(CustomerCombined[[#This Row],[ID]], Table4[ID], Table4[Deals], "Not Found", 0)</f>
        <v>1</v>
      </c>
      <c r="S64" s="5">
        <f>_xlfn.XLOOKUP(CustomerCombined[[#This Row],[ID]], Table4[ID], Table4[Website], "Not Found", 0)</f>
        <v>2</v>
      </c>
      <c r="T64" s="5">
        <f>_xlfn.XLOOKUP(CustomerCombined[[#This Row],[ID]], Table4[ID], Table4[Catalog], "Not Found", 0)</f>
        <v>0</v>
      </c>
      <c r="U64" s="5">
        <f>_xlfn.XLOOKUP(CustomerCombined[[#This Row],[ID]], Table4[ID], Table4[Store], "Not Found", 0)</f>
        <v>3</v>
      </c>
      <c r="V64" s="5">
        <f>_xlfn.XLOOKUP(CustomerCombined[[#This Row],[ID]], Table4[ID], Table4[Visits], "Not Found", 0)</f>
        <v>8</v>
      </c>
      <c r="W64" s="8">
        <f>_xlfn.XLOOKUP(CustomerCombined[[#This Row],[ID]], Table2[ID],Table2[Complaint], "Not Found", 0 )</f>
        <v>0</v>
      </c>
      <c r="X64" s="8">
        <f>_xlfn.XLOOKUP(CustomerCombined[[#This Row],[ID]], Table2[ID],Table2[Pilot], "Not Found", 0 )</f>
        <v>0</v>
      </c>
      <c r="Y64" s="8">
        <f>_xlfn.XLOOKUP(CustomerCombined[[#This Row],[ID]], Table2[ID],Table2[MC1], "Not Found", 0 )</f>
        <v>0</v>
      </c>
      <c r="Z64" s="8">
        <f>_xlfn.XLOOKUP(CustomerCombined[[#This Row],[ID]], Table2[ID],Table2[MC2], "Not Found", 0 )</f>
        <v>0</v>
      </c>
      <c r="AA64" s="8">
        <f>_xlfn.XLOOKUP(CustomerCombined[[#This Row],[ID]], Table2[ID],Table2[MC3], "Not Found", 0 )</f>
        <v>0</v>
      </c>
      <c r="AB64" s="8">
        <f>_xlfn.XLOOKUP(CustomerCombined[[#This Row],[ID]], Table2[ID],Table2[MC4], "Not Found", 0 )</f>
        <v>0</v>
      </c>
      <c r="AC64" s="8">
        <f>_xlfn.XLOOKUP(CustomerCombined[[#This Row],[ID]], Table2[ID],Table2[MC5], "Not Found", 0 )</f>
        <v>0</v>
      </c>
    </row>
    <row r="65" spans="1:29" x14ac:dyDescent="0.3">
      <c r="A65" s="6">
        <v>3168</v>
      </c>
      <c r="B65" s="6">
        <v>116185</v>
      </c>
      <c r="C65" s="6">
        <v>1</v>
      </c>
      <c r="D65" s="6">
        <v>0</v>
      </c>
      <c r="E65" s="6">
        <v>30</v>
      </c>
      <c r="F65" s="5" t="s">
        <v>7</v>
      </c>
      <c r="G65" s="5" t="s">
        <v>10</v>
      </c>
      <c r="H65" s="3">
        <v>44105</v>
      </c>
      <c r="I65" s="5" t="s">
        <v>436</v>
      </c>
      <c r="J65" s="5">
        <f>_xlfn.XLOOKUP(CustomerCombined[[#This Row],[ID]], Table4[ID], Table4[Recency], "Not Found", 0)</f>
        <v>71</v>
      </c>
      <c r="K65" s="5">
        <f>_xlfn.XLOOKUP(CustomerCombined[[#This Row],[ID]], Table4[ID], Table4[Teas], "Not Found", 0)</f>
        <v>36</v>
      </c>
      <c r="L65" s="5">
        <f>_xlfn.XLOOKUP(CustomerCombined[[#This Row],[ID]], Table4[ID], Table4[Fruits], "Not Found", 0)</f>
        <v>79</v>
      </c>
      <c r="M65" s="5">
        <f>_xlfn.XLOOKUP(CustomerCombined[[#This Row],[ID]], Table4[ID], Table4[Meats], "Not Found", 0)</f>
        <v>115</v>
      </c>
      <c r="N65" s="5">
        <f>_xlfn.XLOOKUP(CustomerCombined[[#This Row],[ID]], Table4[ID], Table4[Seafood], "Not Found", 0)</f>
        <v>151</v>
      </c>
      <c r="O65" s="5">
        <f>_xlfn.XLOOKUP(CustomerCombined[[#This Row],[ID]], Table4[ID], Table4[Sweets], "Not Found", 0)</f>
        <v>57</v>
      </c>
      <c r="P65" s="5">
        <f>_xlfn.XLOOKUP(CustomerCombined[[#This Row],[ID]], Table4[ID], Table4[Premium], "Not Found", 0)</f>
        <v>323</v>
      </c>
      <c r="Q65" s="5">
        <f>_xlfn.XLOOKUP(CustomerCombined[[#This Row],[ID]], Table4[ID], Table4[Regular], "Not Found", 0)</f>
        <v>115</v>
      </c>
      <c r="R65" s="5">
        <f>_xlfn.XLOOKUP(CustomerCombined[[#This Row],[ID]], Table4[ID], Table4[Deals], "Not Found", 0)</f>
        <v>2</v>
      </c>
      <c r="S65" s="5">
        <f>_xlfn.XLOOKUP(CustomerCombined[[#This Row],[ID]], Table4[ID], Table4[Website], "Not Found", 0)</f>
        <v>2</v>
      </c>
      <c r="T65" s="5">
        <f>_xlfn.XLOOKUP(CustomerCombined[[#This Row],[ID]], Table4[ID], Table4[Catalog], "Not Found", 0)</f>
        <v>2</v>
      </c>
      <c r="U65" s="5">
        <f>_xlfn.XLOOKUP(CustomerCombined[[#This Row],[ID]], Table4[ID], Table4[Store], "Not Found", 0)</f>
        <v>2</v>
      </c>
      <c r="V65" s="5">
        <f>_xlfn.XLOOKUP(CustomerCombined[[#This Row],[ID]], Table4[ID], Table4[Visits], "Not Found", 0)</f>
        <v>8</v>
      </c>
      <c r="W65" s="8">
        <f>_xlfn.XLOOKUP(CustomerCombined[[#This Row],[ID]], Table2[ID],Table2[Complaint], "Not Found", 0 )</f>
        <v>0</v>
      </c>
      <c r="X65" s="8">
        <f>_xlfn.XLOOKUP(CustomerCombined[[#This Row],[ID]], Table2[ID],Table2[Pilot], "Not Found", 0 )</f>
        <v>0</v>
      </c>
      <c r="Y65" s="8">
        <f>_xlfn.XLOOKUP(CustomerCombined[[#This Row],[ID]], Table2[ID],Table2[MC1], "Not Found", 0 )</f>
        <v>0</v>
      </c>
      <c r="Z65" s="8">
        <f>_xlfn.XLOOKUP(CustomerCombined[[#This Row],[ID]], Table2[ID],Table2[MC2], "Not Found", 0 )</f>
        <v>0</v>
      </c>
      <c r="AA65" s="8">
        <f>_xlfn.XLOOKUP(CustomerCombined[[#This Row],[ID]], Table2[ID],Table2[MC3], "Not Found", 0 )</f>
        <v>0</v>
      </c>
      <c r="AB65" s="8">
        <f>_xlfn.XLOOKUP(CustomerCombined[[#This Row],[ID]], Table2[ID],Table2[MC4], "Not Found", 0 )</f>
        <v>0</v>
      </c>
      <c r="AC65" s="8">
        <f>_xlfn.XLOOKUP(CustomerCombined[[#This Row],[ID]], Table2[ID],Table2[MC5], "Not Found", 0 )</f>
        <v>0</v>
      </c>
    </row>
    <row r="66" spans="1:29" x14ac:dyDescent="0.3">
      <c r="A66" s="6">
        <v>2866</v>
      </c>
      <c r="B66" s="6">
        <v>188420</v>
      </c>
      <c r="C66" s="6">
        <v>0</v>
      </c>
      <c r="D66" s="6">
        <v>0</v>
      </c>
      <c r="E66" s="6">
        <v>31</v>
      </c>
      <c r="F66" s="5" t="s">
        <v>8</v>
      </c>
      <c r="G66" s="5" t="s">
        <v>12</v>
      </c>
      <c r="H66" s="3">
        <v>43992</v>
      </c>
      <c r="I66" s="5" t="s">
        <v>439</v>
      </c>
      <c r="J66" s="5">
        <f>_xlfn.XLOOKUP(CustomerCombined[[#This Row],[ID]], Table4[ID], Table4[Recency], "Not Found", 0)</f>
        <v>87</v>
      </c>
      <c r="K66" s="5">
        <f>_xlfn.XLOOKUP(CustomerCombined[[#This Row],[ID]], Table4[ID], Table4[Teas], "Not Found", 0)</f>
        <v>2039</v>
      </c>
      <c r="L66" s="5">
        <f>_xlfn.XLOOKUP(CustomerCombined[[#This Row],[ID]], Table4[ID], Table4[Fruits], "Not Found", 0)</f>
        <v>326</v>
      </c>
      <c r="M66" s="5">
        <f>_xlfn.XLOOKUP(CustomerCombined[[#This Row],[ID]], Table4[ID], Table4[Meats], "Not Found", 0)</f>
        <v>1304</v>
      </c>
      <c r="N66" s="5">
        <f>_xlfn.XLOOKUP(CustomerCombined[[#This Row],[ID]], Table4[ID], Table4[Seafood], "Not Found", 0)</f>
        <v>211</v>
      </c>
      <c r="O66" s="5">
        <f>_xlfn.XLOOKUP(CustomerCombined[[#This Row],[ID]], Table4[ID], Table4[Sweets], "Not Found", 0)</f>
        <v>202</v>
      </c>
      <c r="P66" s="5">
        <f>_xlfn.XLOOKUP(CustomerCombined[[#This Row],[ID]], Table4[ID], Table4[Premium], "Not Found", 0)</f>
        <v>326</v>
      </c>
      <c r="Q66" s="5">
        <f>_xlfn.XLOOKUP(CustomerCombined[[#This Row],[ID]], Table4[ID], Table4[Regular], "Not Found", 0)</f>
        <v>3757</v>
      </c>
      <c r="R66" s="5">
        <f>_xlfn.XLOOKUP(CustomerCombined[[#This Row],[ID]], Table4[ID], Table4[Deals], "Not Found", 0)</f>
        <v>1</v>
      </c>
      <c r="S66" s="5">
        <f>_xlfn.XLOOKUP(CustomerCombined[[#This Row],[ID]], Table4[ID], Table4[Website], "Not Found", 0)</f>
        <v>4</v>
      </c>
      <c r="T66" s="5">
        <f>_xlfn.XLOOKUP(CustomerCombined[[#This Row],[ID]], Table4[ID], Table4[Catalog], "Not Found", 0)</f>
        <v>7</v>
      </c>
      <c r="U66" s="5">
        <f>_xlfn.XLOOKUP(CustomerCombined[[#This Row],[ID]], Table4[ID], Table4[Store], "Not Found", 0)</f>
        <v>8</v>
      </c>
      <c r="V66" s="5">
        <f>_xlfn.XLOOKUP(CustomerCombined[[#This Row],[ID]], Table4[ID], Table4[Visits], "Not Found", 0)</f>
        <v>1</v>
      </c>
      <c r="W66" s="8">
        <f>_xlfn.XLOOKUP(CustomerCombined[[#This Row],[ID]], Table2[ID],Table2[Complaint], "Not Found", 0 )</f>
        <v>0</v>
      </c>
      <c r="X66" s="8">
        <f>_xlfn.XLOOKUP(CustomerCombined[[#This Row],[ID]], Table2[ID],Table2[Pilot], "Not Found", 0 )</f>
        <v>0</v>
      </c>
      <c r="Y66" s="8">
        <f>_xlfn.XLOOKUP(CustomerCombined[[#This Row],[ID]], Table2[ID],Table2[MC1], "Not Found", 0 )</f>
        <v>1</v>
      </c>
      <c r="Z66" s="8">
        <f>_xlfn.XLOOKUP(CustomerCombined[[#This Row],[ID]], Table2[ID],Table2[MC2], "Not Found", 0 )</f>
        <v>0</v>
      </c>
      <c r="AA66" s="8">
        <f>_xlfn.XLOOKUP(CustomerCombined[[#This Row],[ID]], Table2[ID],Table2[MC3], "Not Found", 0 )</f>
        <v>1</v>
      </c>
      <c r="AB66" s="8">
        <f>_xlfn.XLOOKUP(CustomerCombined[[#This Row],[ID]], Table2[ID],Table2[MC4], "Not Found", 0 )</f>
        <v>0</v>
      </c>
      <c r="AC66" s="8">
        <f>_xlfn.XLOOKUP(CustomerCombined[[#This Row],[ID]], Table2[ID],Table2[MC5], "Not Found", 0 )</f>
        <v>1</v>
      </c>
    </row>
    <row r="67" spans="1:29" x14ac:dyDescent="0.3">
      <c r="A67" s="6">
        <v>1840</v>
      </c>
      <c r="B67" s="6">
        <v>185710</v>
      </c>
      <c r="C67" s="6">
        <v>0</v>
      </c>
      <c r="D67" s="6">
        <v>0</v>
      </c>
      <c r="E67" s="6">
        <v>31</v>
      </c>
      <c r="F67" s="5" t="s">
        <v>6</v>
      </c>
      <c r="G67" s="5" t="s">
        <v>442</v>
      </c>
      <c r="H67" s="3">
        <v>43748</v>
      </c>
      <c r="I67" s="5" t="s">
        <v>439</v>
      </c>
      <c r="J67" s="5">
        <f>_xlfn.XLOOKUP(CustomerCombined[[#This Row],[ID]], Table4[ID], Table4[Recency], "Not Found", 0)</f>
        <v>5</v>
      </c>
      <c r="K67" s="5">
        <f>_xlfn.XLOOKUP(CustomerCombined[[#This Row],[ID]], Table4[ID], Table4[Teas], "Not Found", 0)</f>
        <v>1300</v>
      </c>
      <c r="L67" s="5">
        <f>_xlfn.XLOOKUP(CustomerCombined[[#This Row],[ID]], Table4[ID], Table4[Fruits], "Not Found", 0)</f>
        <v>43</v>
      </c>
      <c r="M67" s="5">
        <f>_xlfn.XLOOKUP(CustomerCombined[[#This Row],[ID]], Table4[ID], Table4[Meats], "Not Found", 0)</f>
        <v>758</v>
      </c>
      <c r="N67" s="5">
        <f>_xlfn.XLOOKUP(CustomerCombined[[#This Row],[ID]], Table4[ID], Table4[Seafood], "Not Found", 0)</f>
        <v>63</v>
      </c>
      <c r="O67" s="5">
        <f>_xlfn.XLOOKUP(CustomerCombined[[#This Row],[ID]], Table4[ID], Table4[Sweets], "Not Found", 0)</f>
        <v>65</v>
      </c>
      <c r="P67" s="5">
        <f>_xlfn.XLOOKUP(CustomerCombined[[#This Row],[ID]], Table4[ID], Table4[Premium], "Not Found", 0)</f>
        <v>72</v>
      </c>
      <c r="Q67" s="5">
        <f>_xlfn.XLOOKUP(CustomerCombined[[#This Row],[ID]], Table4[ID], Table4[Regular], "Not Found", 0)</f>
        <v>2158</v>
      </c>
      <c r="R67" s="5">
        <f>_xlfn.XLOOKUP(CustomerCombined[[#This Row],[ID]], Table4[ID], Table4[Deals], "Not Found", 0)</f>
        <v>1</v>
      </c>
      <c r="S67" s="5">
        <f>_xlfn.XLOOKUP(CustomerCombined[[#This Row],[ID]], Table4[ID], Table4[Website], "Not Found", 0)</f>
        <v>6</v>
      </c>
      <c r="T67" s="5">
        <f>_xlfn.XLOOKUP(CustomerCombined[[#This Row],[ID]], Table4[ID], Table4[Catalog], "Not Found", 0)</f>
        <v>9</v>
      </c>
      <c r="U67" s="5">
        <f>_xlfn.XLOOKUP(CustomerCombined[[#This Row],[ID]], Table4[ID], Table4[Store], "Not Found", 0)</f>
        <v>10</v>
      </c>
      <c r="V67" s="5">
        <f>_xlfn.XLOOKUP(CustomerCombined[[#This Row],[ID]], Table4[ID], Table4[Visits], "Not Found", 0)</f>
        <v>2</v>
      </c>
      <c r="W67" s="8">
        <f>_xlfn.XLOOKUP(CustomerCombined[[#This Row],[ID]], Table2[ID],Table2[Complaint], "Not Found", 0 )</f>
        <v>0</v>
      </c>
      <c r="X67" s="8">
        <f>_xlfn.XLOOKUP(CustomerCombined[[#This Row],[ID]], Table2[ID],Table2[Pilot], "Not Found", 0 )</f>
        <v>0</v>
      </c>
      <c r="Y67" s="8">
        <f>_xlfn.XLOOKUP(CustomerCombined[[#This Row],[ID]], Table2[ID],Table2[MC1], "Not Found", 0 )</f>
        <v>0</v>
      </c>
      <c r="Z67" s="8">
        <f>_xlfn.XLOOKUP(CustomerCombined[[#This Row],[ID]], Table2[ID],Table2[MC2], "Not Found", 0 )</f>
        <v>0</v>
      </c>
      <c r="AA67" s="8">
        <f>_xlfn.XLOOKUP(CustomerCombined[[#This Row],[ID]], Table2[ID],Table2[MC3], "Not Found", 0 )</f>
        <v>0</v>
      </c>
      <c r="AB67" s="8">
        <f>_xlfn.XLOOKUP(CustomerCombined[[#This Row],[ID]], Table2[ID],Table2[MC4], "Not Found", 0 )</f>
        <v>0</v>
      </c>
      <c r="AC67" s="8">
        <f>_xlfn.XLOOKUP(CustomerCombined[[#This Row],[ID]], Table2[ID],Table2[MC5], "Not Found", 0 )</f>
        <v>1</v>
      </c>
    </row>
    <row r="68" spans="1:29" x14ac:dyDescent="0.3">
      <c r="A68" s="6">
        <v>1491</v>
      </c>
      <c r="B68" s="6">
        <v>181217</v>
      </c>
      <c r="C68" s="6">
        <v>0</v>
      </c>
      <c r="D68" s="6">
        <v>0</v>
      </c>
      <c r="E68" s="6">
        <v>31</v>
      </c>
      <c r="F68" s="5" t="s">
        <v>7</v>
      </c>
      <c r="G68" s="5" t="s">
        <v>11</v>
      </c>
      <c r="H68" s="3" t="s">
        <v>217</v>
      </c>
      <c r="I68" s="5" t="s">
        <v>435</v>
      </c>
      <c r="J68" s="5">
        <f>_xlfn.XLOOKUP(CustomerCombined[[#This Row],[ID]], Table4[ID], Table4[Recency], "Not Found", 0)</f>
        <v>77</v>
      </c>
      <c r="K68" s="5">
        <f>_xlfn.XLOOKUP(CustomerCombined[[#This Row],[ID]], Table4[ID], Table4[Teas], "Not Found", 0)</f>
        <v>1100</v>
      </c>
      <c r="L68" s="5">
        <f>_xlfn.XLOOKUP(CustomerCombined[[#This Row],[ID]], Table4[ID], Table4[Fruits], "Not Found", 0)</f>
        <v>156</v>
      </c>
      <c r="M68" s="5">
        <f>_xlfn.XLOOKUP(CustomerCombined[[#This Row],[ID]], Table4[ID], Table4[Meats], "Not Found", 0)</f>
        <v>723</v>
      </c>
      <c r="N68" s="5">
        <f>_xlfn.XLOOKUP(CustomerCombined[[#This Row],[ID]], Table4[ID], Table4[Seafood], "Not Found", 0)</f>
        <v>326</v>
      </c>
      <c r="O68" s="5">
        <f>_xlfn.XLOOKUP(CustomerCombined[[#This Row],[ID]], Table4[ID], Table4[Sweets], "Not Found", 0)</f>
        <v>89</v>
      </c>
      <c r="P68" s="5">
        <f>_xlfn.XLOOKUP(CustomerCombined[[#This Row],[ID]], Table4[ID], Table4[Premium], "Not Found", 0)</f>
        <v>187</v>
      </c>
      <c r="Q68" s="5">
        <f>_xlfn.XLOOKUP(CustomerCombined[[#This Row],[ID]], Table4[ID], Table4[Regular], "Not Found", 0)</f>
        <v>2207</v>
      </c>
      <c r="R68" s="5">
        <f>_xlfn.XLOOKUP(CustomerCombined[[#This Row],[ID]], Table4[ID], Table4[Deals], "Not Found", 0)</f>
        <v>1</v>
      </c>
      <c r="S68" s="5">
        <f>_xlfn.XLOOKUP(CustomerCombined[[#This Row],[ID]], Table4[ID], Table4[Website], "Not Found", 0)</f>
        <v>3</v>
      </c>
      <c r="T68" s="5">
        <f>_xlfn.XLOOKUP(CustomerCombined[[#This Row],[ID]], Table4[ID], Table4[Catalog], "Not Found", 0)</f>
        <v>7</v>
      </c>
      <c r="U68" s="5">
        <f>_xlfn.XLOOKUP(CustomerCombined[[#This Row],[ID]], Table4[ID], Table4[Store], "Not Found", 0)</f>
        <v>11</v>
      </c>
      <c r="V68" s="5">
        <f>_xlfn.XLOOKUP(CustomerCombined[[#This Row],[ID]], Table4[ID], Table4[Visits], "Not Found", 0)</f>
        <v>1</v>
      </c>
      <c r="W68" s="8">
        <f>_xlfn.XLOOKUP(CustomerCombined[[#This Row],[ID]], Table2[ID],Table2[Complaint], "Not Found", 0 )</f>
        <v>0</v>
      </c>
      <c r="X68" s="8">
        <f>_xlfn.XLOOKUP(CustomerCombined[[#This Row],[ID]], Table2[ID],Table2[Pilot], "Not Found", 0 )</f>
        <v>0</v>
      </c>
      <c r="Y68" s="8">
        <f>_xlfn.XLOOKUP(CustomerCombined[[#This Row],[ID]], Table2[ID],Table2[MC1], "Not Found", 0 )</f>
        <v>0</v>
      </c>
      <c r="Z68" s="8">
        <f>_xlfn.XLOOKUP(CustomerCombined[[#This Row],[ID]], Table2[ID],Table2[MC2], "Not Found", 0 )</f>
        <v>0</v>
      </c>
      <c r="AA68" s="8">
        <f>_xlfn.XLOOKUP(CustomerCombined[[#This Row],[ID]], Table2[ID],Table2[MC3], "Not Found", 0 )</f>
        <v>0</v>
      </c>
      <c r="AB68" s="8">
        <f>_xlfn.XLOOKUP(CustomerCombined[[#This Row],[ID]], Table2[ID],Table2[MC4], "Not Found", 0 )</f>
        <v>0</v>
      </c>
      <c r="AC68" s="8">
        <f>_xlfn.XLOOKUP(CustomerCombined[[#This Row],[ID]], Table2[ID],Table2[MC5], "Not Found", 0 )</f>
        <v>0</v>
      </c>
    </row>
    <row r="69" spans="1:29" x14ac:dyDescent="0.3">
      <c r="A69" s="6">
        <v>2664</v>
      </c>
      <c r="B69" s="6">
        <v>181217</v>
      </c>
      <c r="C69" s="6">
        <v>0</v>
      </c>
      <c r="D69" s="6">
        <v>0</v>
      </c>
      <c r="E69" s="6">
        <v>31</v>
      </c>
      <c r="F69" s="5" t="s">
        <v>7</v>
      </c>
      <c r="G69" s="5" t="s">
        <v>11</v>
      </c>
      <c r="H69" s="3" t="s">
        <v>217</v>
      </c>
      <c r="I69" s="5" t="s">
        <v>436</v>
      </c>
      <c r="J69" s="5">
        <f>_xlfn.XLOOKUP(CustomerCombined[[#This Row],[ID]], Table4[ID], Table4[Recency], "Not Found", 0)</f>
        <v>77</v>
      </c>
      <c r="K69" s="5">
        <f>_xlfn.XLOOKUP(CustomerCombined[[#This Row],[ID]], Table4[ID], Table4[Teas], "Not Found", 0)</f>
        <v>1100</v>
      </c>
      <c r="L69" s="5">
        <f>_xlfn.XLOOKUP(CustomerCombined[[#This Row],[ID]], Table4[ID], Table4[Fruits], "Not Found", 0)</f>
        <v>156</v>
      </c>
      <c r="M69" s="5">
        <f>_xlfn.XLOOKUP(CustomerCombined[[#This Row],[ID]], Table4[ID], Table4[Meats], "Not Found", 0)</f>
        <v>723</v>
      </c>
      <c r="N69" s="5">
        <f>_xlfn.XLOOKUP(CustomerCombined[[#This Row],[ID]], Table4[ID], Table4[Seafood], "Not Found", 0)</f>
        <v>326</v>
      </c>
      <c r="O69" s="5">
        <f>_xlfn.XLOOKUP(CustomerCombined[[#This Row],[ID]], Table4[ID], Table4[Sweets], "Not Found", 0)</f>
        <v>89</v>
      </c>
      <c r="P69" s="5">
        <f>_xlfn.XLOOKUP(CustomerCombined[[#This Row],[ID]], Table4[ID], Table4[Premium], "Not Found", 0)</f>
        <v>187</v>
      </c>
      <c r="Q69" s="5">
        <f>_xlfn.XLOOKUP(CustomerCombined[[#This Row],[ID]], Table4[ID], Table4[Regular], "Not Found", 0)</f>
        <v>2207</v>
      </c>
      <c r="R69" s="5">
        <f>_xlfn.XLOOKUP(CustomerCombined[[#This Row],[ID]], Table4[ID], Table4[Deals], "Not Found", 0)</f>
        <v>1</v>
      </c>
      <c r="S69" s="5">
        <f>_xlfn.XLOOKUP(CustomerCombined[[#This Row],[ID]], Table4[ID], Table4[Website], "Not Found", 0)</f>
        <v>3</v>
      </c>
      <c r="T69" s="5">
        <f>_xlfn.XLOOKUP(CustomerCombined[[#This Row],[ID]], Table4[ID], Table4[Catalog], "Not Found", 0)</f>
        <v>7</v>
      </c>
      <c r="U69" s="5">
        <f>_xlfn.XLOOKUP(CustomerCombined[[#This Row],[ID]], Table4[ID], Table4[Store], "Not Found", 0)</f>
        <v>11</v>
      </c>
      <c r="V69" s="5">
        <f>_xlfn.XLOOKUP(CustomerCombined[[#This Row],[ID]], Table4[ID], Table4[Visits], "Not Found", 0)</f>
        <v>1</v>
      </c>
      <c r="W69" s="8">
        <f>_xlfn.XLOOKUP(CustomerCombined[[#This Row],[ID]], Table2[ID],Table2[Complaint], "Not Found", 0 )</f>
        <v>0</v>
      </c>
      <c r="X69" s="8">
        <f>_xlfn.XLOOKUP(CustomerCombined[[#This Row],[ID]], Table2[ID],Table2[Pilot], "Not Found", 0 )</f>
        <v>0</v>
      </c>
      <c r="Y69" s="8">
        <f>_xlfn.XLOOKUP(CustomerCombined[[#This Row],[ID]], Table2[ID],Table2[MC1], "Not Found", 0 )</f>
        <v>0</v>
      </c>
      <c r="Z69" s="8">
        <f>_xlfn.XLOOKUP(CustomerCombined[[#This Row],[ID]], Table2[ID],Table2[MC2], "Not Found", 0 )</f>
        <v>0</v>
      </c>
      <c r="AA69" s="8">
        <f>_xlfn.XLOOKUP(CustomerCombined[[#This Row],[ID]], Table2[ID],Table2[MC3], "Not Found", 0 )</f>
        <v>0</v>
      </c>
      <c r="AB69" s="8">
        <f>_xlfn.XLOOKUP(CustomerCombined[[#This Row],[ID]], Table2[ID],Table2[MC4], "Not Found", 0 )</f>
        <v>0</v>
      </c>
      <c r="AC69" s="8">
        <f>_xlfn.XLOOKUP(CustomerCombined[[#This Row],[ID]], Table2[ID],Table2[MC5], "Not Found", 0 )</f>
        <v>0</v>
      </c>
    </row>
    <row r="70" spans="1:29" x14ac:dyDescent="0.3">
      <c r="A70" s="6">
        <v>1669</v>
      </c>
      <c r="B70" s="6">
        <v>177845</v>
      </c>
      <c r="C70" s="6">
        <v>0</v>
      </c>
      <c r="D70" s="6">
        <v>0</v>
      </c>
      <c r="E70" s="6">
        <v>31</v>
      </c>
      <c r="F70" s="5" t="s">
        <v>8</v>
      </c>
      <c r="G70" s="5" t="s">
        <v>13</v>
      </c>
      <c r="H70" s="3" t="s">
        <v>49</v>
      </c>
      <c r="I70" s="5" t="s">
        <v>437</v>
      </c>
      <c r="J70" s="5">
        <f>_xlfn.XLOOKUP(CustomerCombined[[#This Row],[ID]], Table4[ID], Table4[Recency], "Not Found", 0)</f>
        <v>40</v>
      </c>
      <c r="K70" s="5">
        <f>_xlfn.XLOOKUP(CustomerCombined[[#This Row],[ID]], Table4[ID], Table4[Teas], "Not Found", 0)</f>
        <v>1736</v>
      </c>
      <c r="L70" s="5">
        <f>_xlfn.XLOOKUP(CustomerCombined[[#This Row],[ID]], Table4[ID], Table4[Fruits], "Not Found", 0)</f>
        <v>91</v>
      </c>
      <c r="M70" s="5">
        <f>_xlfn.XLOOKUP(CustomerCombined[[#This Row],[ID]], Table4[ID], Table4[Meats], "Not Found", 0)</f>
        <v>1097</v>
      </c>
      <c r="N70" s="5">
        <f>_xlfn.XLOOKUP(CustomerCombined[[#This Row],[ID]], Table4[ID], Table4[Seafood], "Not Found", 0)</f>
        <v>0</v>
      </c>
      <c r="O70" s="5">
        <f>_xlfn.XLOOKUP(CustomerCombined[[#This Row],[ID]], Table4[ID], Table4[Sweets], "Not Found", 0)</f>
        <v>91</v>
      </c>
      <c r="P70" s="5">
        <f>_xlfn.XLOOKUP(CustomerCombined[[#This Row],[ID]], Table4[ID], Table4[Premium], "Not Found", 0)</f>
        <v>59</v>
      </c>
      <c r="Q70" s="5">
        <f>_xlfn.XLOOKUP(CustomerCombined[[#This Row],[ID]], Table4[ID], Table4[Regular], "Not Found", 0)</f>
        <v>2956</v>
      </c>
      <c r="R70" s="5">
        <f>_xlfn.XLOOKUP(CustomerCombined[[#This Row],[ID]], Table4[ID], Table4[Deals], "Not Found", 0)</f>
        <v>1</v>
      </c>
      <c r="S70" s="5">
        <f>_xlfn.XLOOKUP(CustomerCombined[[#This Row],[ID]], Table4[ID], Table4[Website], "Not Found", 0)</f>
        <v>3</v>
      </c>
      <c r="T70" s="5">
        <f>_xlfn.XLOOKUP(CustomerCombined[[#This Row],[ID]], Table4[ID], Table4[Catalog], "Not Found", 0)</f>
        <v>5</v>
      </c>
      <c r="U70" s="5">
        <f>_xlfn.XLOOKUP(CustomerCombined[[#This Row],[ID]], Table4[ID], Table4[Store], "Not Found", 0)</f>
        <v>12</v>
      </c>
      <c r="V70" s="5">
        <f>_xlfn.XLOOKUP(CustomerCombined[[#This Row],[ID]], Table4[ID], Table4[Visits], "Not Found", 0)</f>
        <v>1</v>
      </c>
      <c r="W70" s="8">
        <f>_xlfn.XLOOKUP(CustomerCombined[[#This Row],[ID]], Table2[ID],Table2[Complaint], "Not Found", 0 )</f>
        <v>0</v>
      </c>
      <c r="X70" s="8">
        <f>_xlfn.XLOOKUP(CustomerCombined[[#This Row],[ID]], Table2[ID],Table2[Pilot], "Not Found", 0 )</f>
        <v>0</v>
      </c>
      <c r="Y70" s="8">
        <f>_xlfn.XLOOKUP(CustomerCombined[[#This Row],[ID]], Table2[ID],Table2[MC1], "Not Found", 0 )</f>
        <v>1</v>
      </c>
      <c r="Z70" s="8">
        <f>_xlfn.XLOOKUP(CustomerCombined[[#This Row],[ID]], Table2[ID],Table2[MC2], "Not Found", 0 )</f>
        <v>0</v>
      </c>
      <c r="AA70" s="8">
        <f>_xlfn.XLOOKUP(CustomerCombined[[#This Row],[ID]], Table2[ID],Table2[MC3], "Not Found", 0 )</f>
        <v>0</v>
      </c>
      <c r="AB70" s="8">
        <f>_xlfn.XLOOKUP(CustomerCombined[[#This Row],[ID]], Table2[ID],Table2[MC4], "Not Found", 0 )</f>
        <v>0</v>
      </c>
      <c r="AC70" s="8">
        <f>_xlfn.XLOOKUP(CustomerCombined[[#This Row],[ID]], Table2[ID],Table2[MC5], "Not Found", 0 )</f>
        <v>1</v>
      </c>
    </row>
    <row r="71" spans="1:29" x14ac:dyDescent="0.3">
      <c r="A71" s="6">
        <v>1411</v>
      </c>
      <c r="B71" s="6">
        <v>175433</v>
      </c>
      <c r="C71" s="6">
        <v>1</v>
      </c>
      <c r="D71" s="6">
        <v>0</v>
      </c>
      <c r="E71" s="6">
        <v>31</v>
      </c>
      <c r="F71" s="5" t="s">
        <v>6</v>
      </c>
      <c r="G71" s="5" t="s">
        <v>11</v>
      </c>
      <c r="H71" s="3">
        <v>44083</v>
      </c>
      <c r="I71" s="5" t="s">
        <v>437</v>
      </c>
      <c r="J71" s="5">
        <f>_xlfn.XLOOKUP(CustomerCombined[[#This Row],[ID]], Table4[ID], Table4[Recency], "Not Found", 0)</f>
        <v>28</v>
      </c>
      <c r="K71" s="5">
        <f>_xlfn.XLOOKUP(CustomerCombined[[#This Row],[ID]], Table4[ID], Table4[Teas], "Not Found", 0)</f>
        <v>1861</v>
      </c>
      <c r="L71" s="5">
        <f>_xlfn.XLOOKUP(CustomerCombined[[#This Row],[ID]], Table4[ID], Table4[Fruits], "Not Found", 0)</f>
        <v>0</v>
      </c>
      <c r="M71" s="5">
        <f>_xlfn.XLOOKUP(CustomerCombined[[#This Row],[ID]], Table4[ID], Table4[Meats], "Not Found", 0)</f>
        <v>691</v>
      </c>
      <c r="N71" s="5">
        <f>_xlfn.XLOOKUP(CustomerCombined[[#This Row],[ID]], Table4[ID], Table4[Seafood], "Not Found", 0)</f>
        <v>0</v>
      </c>
      <c r="O71" s="5">
        <f>_xlfn.XLOOKUP(CustomerCombined[[#This Row],[ID]], Table4[ID], Table4[Sweets], "Not Found", 0)</f>
        <v>79</v>
      </c>
      <c r="P71" s="5">
        <f>_xlfn.XLOOKUP(CustomerCombined[[#This Row],[ID]], Table4[ID], Table4[Premium], "Not Found", 0)</f>
        <v>133</v>
      </c>
      <c r="Q71" s="5">
        <f>_xlfn.XLOOKUP(CustomerCombined[[#This Row],[ID]], Table4[ID], Table4[Regular], "Not Found", 0)</f>
        <v>2498</v>
      </c>
      <c r="R71" s="5">
        <f>_xlfn.XLOOKUP(CustomerCombined[[#This Row],[ID]], Table4[ID], Table4[Deals], "Not Found", 0)</f>
        <v>2</v>
      </c>
      <c r="S71" s="5">
        <f>_xlfn.XLOOKUP(CustomerCombined[[#This Row],[ID]], Table4[ID], Table4[Website], "Not Found", 0)</f>
        <v>2</v>
      </c>
      <c r="T71" s="5">
        <f>_xlfn.XLOOKUP(CustomerCombined[[#This Row],[ID]], Table4[ID], Table4[Catalog], "Not Found", 0)</f>
        <v>5</v>
      </c>
      <c r="U71" s="5">
        <f>_xlfn.XLOOKUP(CustomerCombined[[#This Row],[ID]], Table4[ID], Table4[Store], "Not Found", 0)</f>
        <v>10</v>
      </c>
      <c r="V71" s="5">
        <f>_xlfn.XLOOKUP(CustomerCombined[[#This Row],[ID]], Table4[ID], Table4[Visits], "Not Found", 0)</f>
        <v>6</v>
      </c>
      <c r="W71" s="8">
        <f>_xlfn.XLOOKUP(CustomerCombined[[#This Row],[ID]], Table2[ID],Table2[Complaint], "Not Found", 0 )</f>
        <v>0</v>
      </c>
      <c r="X71" s="8">
        <f>_xlfn.XLOOKUP(CustomerCombined[[#This Row],[ID]], Table2[ID],Table2[Pilot], "Not Found", 0 )</f>
        <v>0</v>
      </c>
      <c r="Y71" s="8">
        <f>_xlfn.XLOOKUP(CustomerCombined[[#This Row],[ID]], Table2[ID],Table2[MC1], "Not Found", 0 )</f>
        <v>1</v>
      </c>
      <c r="Z71" s="8">
        <f>_xlfn.XLOOKUP(CustomerCombined[[#This Row],[ID]], Table2[ID],Table2[MC2], "Not Found", 0 )</f>
        <v>0</v>
      </c>
      <c r="AA71" s="8">
        <f>_xlfn.XLOOKUP(CustomerCombined[[#This Row],[ID]], Table2[ID],Table2[MC3], "Not Found", 0 )</f>
        <v>0</v>
      </c>
      <c r="AB71" s="8">
        <f>_xlfn.XLOOKUP(CustomerCombined[[#This Row],[ID]], Table2[ID],Table2[MC4], "Not Found", 0 )</f>
        <v>1</v>
      </c>
      <c r="AC71" s="8">
        <f>_xlfn.XLOOKUP(CustomerCombined[[#This Row],[ID]], Table2[ID],Table2[MC5], "Not Found", 0 )</f>
        <v>0</v>
      </c>
    </row>
    <row r="72" spans="1:29" x14ac:dyDescent="0.3">
      <c r="A72" s="6">
        <v>1180</v>
      </c>
      <c r="B72" s="6">
        <v>166973</v>
      </c>
      <c r="C72" s="6">
        <v>0</v>
      </c>
      <c r="D72" s="6">
        <v>0</v>
      </c>
      <c r="E72" s="6">
        <v>31</v>
      </c>
      <c r="F72" s="5" t="s">
        <v>8</v>
      </c>
      <c r="G72" s="5" t="s">
        <v>13</v>
      </c>
      <c r="H72" s="3" t="s">
        <v>254</v>
      </c>
      <c r="I72" s="5" t="s">
        <v>439</v>
      </c>
      <c r="J72" s="5">
        <f>_xlfn.XLOOKUP(CustomerCombined[[#This Row],[ID]], Table4[ID], Table4[Recency], "Not Found", 0)</f>
        <v>98</v>
      </c>
      <c r="K72" s="5">
        <f>_xlfn.XLOOKUP(CustomerCombined[[#This Row],[ID]], Table4[ID], Table4[Teas], "Not Found", 0)</f>
        <v>1162</v>
      </c>
      <c r="L72" s="5">
        <f>_xlfn.XLOOKUP(CustomerCombined[[#This Row],[ID]], Table4[ID], Table4[Fruits], "Not Found", 0)</f>
        <v>55</v>
      </c>
      <c r="M72" s="5">
        <f>_xlfn.XLOOKUP(CustomerCombined[[#This Row],[ID]], Table4[ID], Table4[Meats], "Not Found", 0)</f>
        <v>1077</v>
      </c>
      <c r="N72" s="5">
        <f>_xlfn.XLOOKUP(CustomerCombined[[#This Row],[ID]], Table4[ID], Table4[Seafood], "Not Found", 0)</f>
        <v>366</v>
      </c>
      <c r="O72" s="5">
        <f>_xlfn.XLOOKUP(CustomerCombined[[#This Row],[ID]], Table4[ID], Table4[Sweets], "Not Found", 0)</f>
        <v>282</v>
      </c>
      <c r="P72" s="5">
        <f>_xlfn.XLOOKUP(CustomerCombined[[#This Row],[ID]], Table4[ID], Table4[Premium], "Not Found", 0)</f>
        <v>254</v>
      </c>
      <c r="Q72" s="5">
        <f>_xlfn.XLOOKUP(CustomerCombined[[#This Row],[ID]], Table4[ID], Table4[Regular], "Not Found", 0)</f>
        <v>2688</v>
      </c>
      <c r="R72" s="5">
        <f>_xlfn.XLOOKUP(CustomerCombined[[#This Row],[ID]], Table4[ID], Table4[Deals], "Not Found", 0)</f>
        <v>1</v>
      </c>
      <c r="S72" s="5">
        <f>_xlfn.XLOOKUP(CustomerCombined[[#This Row],[ID]], Table4[ID], Table4[Website], "Not Found", 0)</f>
        <v>8</v>
      </c>
      <c r="T72" s="5">
        <f>_xlfn.XLOOKUP(CustomerCombined[[#This Row],[ID]], Table4[ID], Table4[Catalog], "Not Found", 0)</f>
        <v>7</v>
      </c>
      <c r="U72" s="5">
        <f>_xlfn.XLOOKUP(CustomerCombined[[#This Row],[ID]], Table4[ID], Table4[Store], "Not Found", 0)</f>
        <v>12</v>
      </c>
      <c r="V72" s="5">
        <f>_xlfn.XLOOKUP(CustomerCombined[[#This Row],[ID]], Table4[ID], Table4[Visits], "Not Found", 0)</f>
        <v>3</v>
      </c>
      <c r="W72" s="8">
        <f>_xlfn.XLOOKUP(CustomerCombined[[#This Row],[ID]], Table2[ID],Table2[Complaint], "Not Found", 0 )</f>
        <v>0</v>
      </c>
      <c r="X72" s="8">
        <f>_xlfn.XLOOKUP(CustomerCombined[[#This Row],[ID]], Table2[ID],Table2[Pilot], "Not Found", 0 )</f>
        <v>0</v>
      </c>
      <c r="Y72" s="8">
        <f>_xlfn.XLOOKUP(CustomerCombined[[#This Row],[ID]], Table2[ID],Table2[MC1], "Not Found", 0 )</f>
        <v>0</v>
      </c>
      <c r="Z72" s="8">
        <f>_xlfn.XLOOKUP(CustomerCombined[[#This Row],[ID]], Table2[ID],Table2[MC2], "Not Found", 0 )</f>
        <v>0</v>
      </c>
      <c r="AA72" s="8">
        <f>_xlfn.XLOOKUP(CustomerCombined[[#This Row],[ID]], Table2[ID],Table2[MC3], "Not Found", 0 )</f>
        <v>0</v>
      </c>
      <c r="AB72" s="8">
        <f>_xlfn.XLOOKUP(CustomerCombined[[#This Row],[ID]], Table2[ID],Table2[MC4], "Not Found", 0 )</f>
        <v>0</v>
      </c>
      <c r="AC72" s="8">
        <f>_xlfn.XLOOKUP(CustomerCombined[[#This Row],[ID]], Table2[ID],Table2[MC5], "Not Found", 0 )</f>
        <v>0</v>
      </c>
    </row>
    <row r="73" spans="1:29" x14ac:dyDescent="0.3">
      <c r="A73" s="6">
        <v>1974</v>
      </c>
      <c r="B73" s="6">
        <v>164449</v>
      </c>
      <c r="C73" s="6">
        <v>1</v>
      </c>
      <c r="D73" s="6">
        <v>0</v>
      </c>
      <c r="E73" s="6">
        <v>31</v>
      </c>
      <c r="F73" s="5" t="s">
        <v>7</v>
      </c>
      <c r="G73" s="5" t="s">
        <v>11</v>
      </c>
      <c r="H73" s="3" t="s">
        <v>95</v>
      </c>
      <c r="I73" s="5" t="s">
        <v>436</v>
      </c>
      <c r="J73" s="5">
        <f>_xlfn.XLOOKUP(CustomerCombined[[#This Row],[ID]], Table4[ID], Table4[Recency], "Not Found", 0)</f>
        <v>70</v>
      </c>
      <c r="K73" s="5">
        <f>_xlfn.XLOOKUP(CustomerCombined[[#This Row],[ID]], Table4[ID], Table4[Teas], "Not Found", 0)</f>
        <v>556</v>
      </c>
      <c r="L73" s="5">
        <f>_xlfn.XLOOKUP(CustomerCombined[[#This Row],[ID]], Table4[ID], Table4[Fruits], "Not Found", 0)</f>
        <v>161</v>
      </c>
      <c r="M73" s="5">
        <f>_xlfn.XLOOKUP(CustomerCombined[[#This Row],[ID]], Table4[ID], Table4[Meats], "Not Found", 0)</f>
        <v>720</v>
      </c>
      <c r="N73" s="5">
        <f>_xlfn.XLOOKUP(CustomerCombined[[#This Row],[ID]], Table4[ID], Table4[Seafood], "Not Found", 0)</f>
        <v>350</v>
      </c>
      <c r="O73" s="5">
        <f>_xlfn.XLOOKUP(CustomerCombined[[#This Row],[ID]], Table4[ID], Table4[Sweets], "Not Found", 0)</f>
        <v>89</v>
      </c>
      <c r="P73" s="5">
        <f>_xlfn.XLOOKUP(CustomerCombined[[#This Row],[ID]], Table4[ID], Table4[Premium], "Not Found", 0)</f>
        <v>179</v>
      </c>
      <c r="Q73" s="5">
        <f>_xlfn.XLOOKUP(CustomerCombined[[#This Row],[ID]], Table4[ID], Table4[Regular], "Not Found", 0)</f>
        <v>1697</v>
      </c>
      <c r="R73" s="5">
        <f>_xlfn.XLOOKUP(CustomerCombined[[#This Row],[ID]], Table4[ID], Table4[Deals], "Not Found", 0)</f>
        <v>4</v>
      </c>
      <c r="S73" s="5">
        <f>_xlfn.XLOOKUP(CustomerCombined[[#This Row],[ID]], Table4[ID], Table4[Website], "Not Found", 0)</f>
        <v>5</v>
      </c>
      <c r="T73" s="5">
        <f>_xlfn.XLOOKUP(CustomerCombined[[#This Row],[ID]], Table4[ID], Table4[Catalog], "Not Found", 0)</f>
        <v>3</v>
      </c>
      <c r="U73" s="5">
        <f>_xlfn.XLOOKUP(CustomerCombined[[#This Row],[ID]], Table4[ID], Table4[Store], "Not Found", 0)</f>
        <v>12</v>
      </c>
      <c r="V73" s="5">
        <f>_xlfn.XLOOKUP(CustomerCombined[[#This Row],[ID]], Table4[ID], Table4[Visits], "Not Found", 0)</f>
        <v>4</v>
      </c>
      <c r="W73" s="8">
        <f>_xlfn.XLOOKUP(CustomerCombined[[#This Row],[ID]], Table2[ID],Table2[Complaint], "Not Found", 0 )</f>
        <v>0</v>
      </c>
      <c r="X73" s="8">
        <f>_xlfn.XLOOKUP(CustomerCombined[[#This Row],[ID]], Table2[ID],Table2[Pilot], "Not Found", 0 )</f>
        <v>0</v>
      </c>
      <c r="Y73" s="8">
        <f>_xlfn.XLOOKUP(CustomerCombined[[#This Row],[ID]], Table2[ID],Table2[MC1], "Not Found", 0 )</f>
        <v>0</v>
      </c>
      <c r="Z73" s="8">
        <f>_xlfn.XLOOKUP(CustomerCombined[[#This Row],[ID]], Table2[ID],Table2[MC2], "Not Found", 0 )</f>
        <v>0</v>
      </c>
      <c r="AA73" s="8">
        <f>_xlfn.XLOOKUP(CustomerCombined[[#This Row],[ID]], Table2[ID],Table2[MC3], "Not Found", 0 )</f>
        <v>0</v>
      </c>
      <c r="AB73" s="8">
        <f>_xlfn.XLOOKUP(CustomerCombined[[#This Row],[ID]], Table2[ID],Table2[MC4], "Not Found", 0 )</f>
        <v>0</v>
      </c>
      <c r="AC73" s="8">
        <f>_xlfn.XLOOKUP(CustomerCombined[[#This Row],[ID]], Table2[ID],Table2[MC5], "Not Found", 0 )</f>
        <v>0</v>
      </c>
    </row>
    <row r="74" spans="1:29" x14ac:dyDescent="0.3">
      <c r="A74" s="6">
        <v>2294</v>
      </c>
      <c r="B74" s="6">
        <v>159060</v>
      </c>
      <c r="C74" s="6">
        <v>1</v>
      </c>
      <c r="D74" s="6">
        <v>0</v>
      </c>
      <c r="E74" s="6">
        <v>31</v>
      </c>
      <c r="F74" s="5" t="s">
        <v>6</v>
      </c>
      <c r="G74" s="5" t="s">
        <v>442</v>
      </c>
      <c r="H74" s="3" t="s">
        <v>119</v>
      </c>
      <c r="I74" s="5" t="s">
        <v>438</v>
      </c>
      <c r="J74" s="5">
        <f>_xlfn.XLOOKUP(CustomerCombined[[#This Row],[ID]], Table4[ID], Table4[Recency], "Not Found", 0)</f>
        <v>77</v>
      </c>
      <c r="K74" s="5">
        <f>_xlfn.XLOOKUP(CustomerCombined[[#This Row],[ID]], Table4[ID], Table4[Teas], "Not Found", 0)</f>
        <v>94</v>
      </c>
      <c r="L74" s="5">
        <f>_xlfn.XLOOKUP(CustomerCombined[[#This Row],[ID]], Table4[ID], Table4[Fruits], "Not Found", 0)</f>
        <v>108</v>
      </c>
      <c r="M74" s="5">
        <f>_xlfn.XLOOKUP(CustomerCombined[[#This Row],[ID]], Table4[ID], Table4[Meats], "Not Found", 0)</f>
        <v>299</v>
      </c>
      <c r="N74" s="5">
        <f>_xlfn.XLOOKUP(CustomerCombined[[#This Row],[ID]], Table4[ID], Table4[Seafood], "Not Found", 0)</f>
        <v>97</v>
      </c>
      <c r="O74" s="5">
        <f>_xlfn.XLOOKUP(CustomerCombined[[#This Row],[ID]], Table4[ID], Table4[Sweets], "Not Found", 0)</f>
        <v>108</v>
      </c>
      <c r="P74" s="5">
        <f>_xlfn.XLOOKUP(CustomerCombined[[#This Row],[ID]], Table4[ID], Table4[Premium], "Not Found", 0)</f>
        <v>32</v>
      </c>
      <c r="Q74" s="5">
        <f>_xlfn.XLOOKUP(CustomerCombined[[#This Row],[ID]], Table4[ID], Table4[Regular], "Not Found", 0)</f>
        <v>673</v>
      </c>
      <c r="R74" s="5">
        <f>_xlfn.XLOOKUP(CustomerCombined[[#This Row],[ID]], Table4[ID], Table4[Deals], "Not Found", 0)</f>
        <v>3</v>
      </c>
      <c r="S74" s="5">
        <f>_xlfn.XLOOKUP(CustomerCombined[[#This Row],[ID]], Table4[ID], Table4[Website], "Not Found", 0)</f>
        <v>3</v>
      </c>
      <c r="T74" s="5">
        <f>_xlfn.XLOOKUP(CustomerCombined[[#This Row],[ID]], Table4[ID], Table4[Catalog], "Not Found", 0)</f>
        <v>1</v>
      </c>
      <c r="U74" s="5">
        <f>_xlfn.XLOOKUP(CustomerCombined[[#This Row],[ID]], Table4[ID], Table4[Store], "Not Found", 0)</f>
        <v>7</v>
      </c>
      <c r="V74" s="5">
        <f>_xlfn.XLOOKUP(CustomerCombined[[#This Row],[ID]], Table4[ID], Table4[Visits], "Not Found", 0)</f>
        <v>4</v>
      </c>
      <c r="W74" s="8">
        <f>_xlfn.XLOOKUP(CustomerCombined[[#This Row],[ID]], Table2[ID],Table2[Complaint], "Not Found", 0 )</f>
        <v>0</v>
      </c>
      <c r="X74" s="8">
        <f>_xlfn.XLOOKUP(CustomerCombined[[#This Row],[ID]], Table2[ID],Table2[Pilot], "Not Found", 0 )</f>
        <v>0</v>
      </c>
      <c r="Y74" s="8">
        <f>_xlfn.XLOOKUP(CustomerCombined[[#This Row],[ID]], Table2[ID],Table2[MC1], "Not Found", 0 )</f>
        <v>0</v>
      </c>
      <c r="Z74" s="8">
        <f>_xlfn.XLOOKUP(CustomerCombined[[#This Row],[ID]], Table2[ID],Table2[MC2], "Not Found", 0 )</f>
        <v>0</v>
      </c>
      <c r="AA74" s="8">
        <f>_xlfn.XLOOKUP(CustomerCombined[[#This Row],[ID]], Table2[ID],Table2[MC3], "Not Found", 0 )</f>
        <v>0</v>
      </c>
      <c r="AB74" s="8">
        <f>_xlfn.XLOOKUP(CustomerCombined[[#This Row],[ID]], Table2[ID],Table2[MC4], "Not Found", 0 )</f>
        <v>0</v>
      </c>
      <c r="AC74" s="8">
        <f>_xlfn.XLOOKUP(CustomerCombined[[#This Row],[ID]], Table2[ID],Table2[MC5], "Not Found", 0 )</f>
        <v>0</v>
      </c>
    </row>
    <row r="75" spans="1:29" x14ac:dyDescent="0.3">
      <c r="A75" s="6">
        <v>1912</v>
      </c>
      <c r="B75" s="6">
        <v>146107</v>
      </c>
      <c r="C75" s="6">
        <v>1</v>
      </c>
      <c r="D75" s="6">
        <v>0</v>
      </c>
      <c r="E75" s="6">
        <v>31</v>
      </c>
      <c r="F75" s="5" t="s">
        <v>7</v>
      </c>
      <c r="G75" s="5" t="s">
        <v>11</v>
      </c>
      <c r="H75" s="3" t="s">
        <v>103</v>
      </c>
      <c r="I75" s="5" t="s">
        <v>439</v>
      </c>
      <c r="J75" s="5">
        <f>_xlfn.XLOOKUP(CustomerCombined[[#This Row],[ID]], Table4[ID], Table4[Recency], "Not Found", 0)</f>
        <v>78</v>
      </c>
      <c r="K75" s="5">
        <f>_xlfn.XLOOKUP(CustomerCombined[[#This Row],[ID]], Table4[ID], Table4[Teas], "Not Found", 0)</f>
        <v>98</v>
      </c>
      <c r="L75" s="5">
        <f>_xlfn.XLOOKUP(CustomerCombined[[#This Row],[ID]], Table4[ID], Table4[Fruits], "Not Found", 0)</f>
        <v>29</v>
      </c>
      <c r="M75" s="5">
        <f>_xlfn.XLOOKUP(CustomerCombined[[#This Row],[ID]], Table4[ID], Table4[Meats], "Not Found", 0)</f>
        <v>86</v>
      </c>
      <c r="N75" s="5">
        <f>_xlfn.XLOOKUP(CustomerCombined[[#This Row],[ID]], Table4[ID], Table4[Seafood], "Not Found", 0)</f>
        <v>51</v>
      </c>
      <c r="O75" s="5">
        <f>_xlfn.XLOOKUP(CustomerCombined[[#This Row],[ID]], Table4[ID], Table4[Sweets], "Not Found", 0)</f>
        <v>29</v>
      </c>
      <c r="P75" s="5">
        <f>_xlfn.XLOOKUP(CustomerCombined[[#This Row],[ID]], Table4[ID], Table4[Premium], "Not Found", 0)</f>
        <v>105</v>
      </c>
      <c r="Q75" s="5">
        <f>_xlfn.XLOOKUP(CustomerCombined[[#This Row],[ID]], Table4[ID], Table4[Regular], "Not Found", 0)</f>
        <v>187</v>
      </c>
      <c r="R75" s="5">
        <f>_xlfn.XLOOKUP(CustomerCombined[[#This Row],[ID]], Table4[ID], Table4[Deals], "Not Found", 0)</f>
        <v>1</v>
      </c>
      <c r="S75" s="5">
        <f>_xlfn.XLOOKUP(CustomerCombined[[#This Row],[ID]], Table4[ID], Table4[Website], "Not Found", 0)</f>
        <v>1</v>
      </c>
      <c r="T75" s="5">
        <f>_xlfn.XLOOKUP(CustomerCombined[[#This Row],[ID]], Table4[ID], Table4[Catalog], "Not Found", 0)</f>
        <v>1</v>
      </c>
      <c r="U75" s="5">
        <f>_xlfn.XLOOKUP(CustomerCombined[[#This Row],[ID]], Table4[ID], Table4[Store], "Not Found", 0)</f>
        <v>4</v>
      </c>
      <c r="V75" s="5">
        <f>_xlfn.XLOOKUP(CustomerCombined[[#This Row],[ID]], Table4[ID], Table4[Visits], "Not Found", 0)</f>
        <v>3</v>
      </c>
      <c r="W75" s="8">
        <f>_xlfn.XLOOKUP(CustomerCombined[[#This Row],[ID]], Table2[ID],Table2[Complaint], "Not Found", 0 )</f>
        <v>0</v>
      </c>
      <c r="X75" s="8">
        <f>_xlfn.XLOOKUP(CustomerCombined[[#This Row],[ID]], Table2[ID],Table2[Pilot], "Not Found", 0 )</f>
        <v>0</v>
      </c>
      <c r="Y75" s="8">
        <f>_xlfn.XLOOKUP(CustomerCombined[[#This Row],[ID]], Table2[ID],Table2[MC1], "Not Found", 0 )</f>
        <v>0</v>
      </c>
      <c r="Z75" s="8">
        <f>_xlfn.XLOOKUP(CustomerCombined[[#This Row],[ID]], Table2[ID],Table2[MC2], "Not Found", 0 )</f>
        <v>0</v>
      </c>
      <c r="AA75" s="8">
        <f>_xlfn.XLOOKUP(CustomerCombined[[#This Row],[ID]], Table2[ID],Table2[MC3], "Not Found", 0 )</f>
        <v>0</v>
      </c>
      <c r="AB75" s="8">
        <f>_xlfn.XLOOKUP(CustomerCombined[[#This Row],[ID]], Table2[ID],Table2[MC4], "Not Found", 0 )</f>
        <v>0</v>
      </c>
      <c r="AC75" s="8">
        <f>_xlfn.XLOOKUP(CustomerCombined[[#This Row],[ID]], Table2[ID],Table2[MC5], "Not Found", 0 )</f>
        <v>0</v>
      </c>
    </row>
    <row r="76" spans="1:29" x14ac:dyDescent="0.3">
      <c r="A76" s="6">
        <v>1415</v>
      </c>
      <c r="B76" s="6">
        <v>142387</v>
      </c>
      <c r="C76" s="6">
        <v>1</v>
      </c>
      <c r="D76" s="6">
        <v>0</v>
      </c>
      <c r="E76" s="6">
        <v>31</v>
      </c>
      <c r="F76" s="5" t="s">
        <v>6</v>
      </c>
      <c r="G76" s="5" t="s">
        <v>11</v>
      </c>
      <c r="H76" s="3">
        <v>43589</v>
      </c>
      <c r="I76" s="5" t="s">
        <v>434</v>
      </c>
      <c r="J76" s="5">
        <f>_xlfn.XLOOKUP(CustomerCombined[[#This Row],[ID]], Table4[ID], Table4[Recency], "Not Found", 0)</f>
        <v>42</v>
      </c>
      <c r="K76" s="5">
        <f>_xlfn.XLOOKUP(CustomerCombined[[#This Row],[ID]], Table4[ID], Table4[Teas], "Not Found", 0)</f>
        <v>789</v>
      </c>
      <c r="L76" s="5">
        <f>_xlfn.XLOOKUP(CustomerCombined[[#This Row],[ID]], Table4[ID], Table4[Fruits], "Not Found", 0)</f>
        <v>0</v>
      </c>
      <c r="M76" s="5">
        <f>_xlfn.XLOOKUP(CustomerCombined[[#This Row],[ID]], Table4[ID], Table4[Meats], "Not Found", 0)</f>
        <v>789</v>
      </c>
      <c r="N76" s="5">
        <f>_xlfn.XLOOKUP(CustomerCombined[[#This Row],[ID]], Table4[ID], Table4[Seafood], "Not Found", 0)</f>
        <v>64</v>
      </c>
      <c r="O76" s="5">
        <f>_xlfn.XLOOKUP(CustomerCombined[[#This Row],[ID]], Table4[ID], Table4[Sweets], "Not Found", 0)</f>
        <v>13</v>
      </c>
      <c r="P76" s="5">
        <f>_xlfn.XLOOKUP(CustomerCombined[[#This Row],[ID]], Table4[ID], Table4[Premium], "Not Found", 0)</f>
        <v>642</v>
      </c>
      <c r="Q76" s="5">
        <f>_xlfn.XLOOKUP(CustomerCombined[[#This Row],[ID]], Table4[ID], Table4[Regular], "Not Found", 0)</f>
        <v>1014</v>
      </c>
      <c r="R76" s="5">
        <f>_xlfn.XLOOKUP(CustomerCombined[[#This Row],[ID]], Table4[ID], Table4[Deals], "Not Found", 0)</f>
        <v>5</v>
      </c>
      <c r="S76" s="5">
        <f>_xlfn.XLOOKUP(CustomerCombined[[#This Row],[ID]], Table4[ID], Table4[Website], "Not Found", 0)</f>
        <v>8</v>
      </c>
      <c r="T76" s="5">
        <f>_xlfn.XLOOKUP(CustomerCombined[[#This Row],[ID]], Table4[ID], Table4[Catalog], "Not Found", 0)</f>
        <v>1</v>
      </c>
      <c r="U76" s="5">
        <f>_xlfn.XLOOKUP(CustomerCombined[[#This Row],[ID]], Table4[ID], Table4[Store], "Not Found", 0)</f>
        <v>7</v>
      </c>
      <c r="V76" s="5">
        <f>_xlfn.XLOOKUP(CustomerCombined[[#This Row],[ID]], Table4[ID], Table4[Visits], "Not Found", 0)</f>
        <v>8</v>
      </c>
      <c r="W76" s="8">
        <f>_xlfn.XLOOKUP(CustomerCombined[[#This Row],[ID]], Table2[ID],Table2[Complaint], "Not Found", 0 )</f>
        <v>0</v>
      </c>
      <c r="X76" s="8">
        <f>_xlfn.XLOOKUP(CustomerCombined[[#This Row],[ID]], Table2[ID],Table2[Pilot], "Not Found", 0 )</f>
        <v>0</v>
      </c>
      <c r="Y76" s="8">
        <f>_xlfn.XLOOKUP(CustomerCombined[[#This Row],[ID]], Table2[ID],Table2[MC1], "Not Found", 0 )</f>
        <v>0</v>
      </c>
      <c r="Z76" s="8">
        <f>_xlfn.XLOOKUP(CustomerCombined[[#This Row],[ID]], Table2[ID],Table2[MC2], "Not Found", 0 )</f>
        <v>0</v>
      </c>
      <c r="AA76" s="8">
        <f>_xlfn.XLOOKUP(CustomerCombined[[#This Row],[ID]], Table2[ID],Table2[MC3], "Not Found", 0 )</f>
        <v>0</v>
      </c>
      <c r="AB76" s="8">
        <f>_xlfn.XLOOKUP(CustomerCombined[[#This Row],[ID]], Table2[ID],Table2[MC4], "Not Found", 0 )</f>
        <v>0</v>
      </c>
      <c r="AC76" s="8">
        <f>_xlfn.XLOOKUP(CustomerCombined[[#This Row],[ID]], Table2[ID],Table2[MC5], "Not Found", 0 )</f>
        <v>0</v>
      </c>
    </row>
    <row r="77" spans="1:29" x14ac:dyDescent="0.3">
      <c r="A77" s="6">
        <v>1844</v>
      </c>
      <c r="B77" s="6">
        <v>138683</v>
      </c>
      <c r="C77" s="6">
        <v>1</v>
      </c>
      <c r="D77" s="6">
        <v>0</v>
      </c>
      <c r="E77" s="6">
        <v>31</v>
      </c>
      <c r="F77" s="5" t="s">
        <v>8</v>
      </c>
      <c r="G77" s="5" t="s">
        <v>442</v>
      </c>
      <c r="H77" s="3">
        <v>43772</v>
      </c>
      <c r="I77" s="5" t="s">
        <v>438</v>
      </c>
      <c r="J77" s="5">
        <f>_xlfn.XLOOKUP(CustomerCombined[[#This Row],[ID]], Table4[ID], Table4[Recency], "Not Found", 0)</f>
        <v>80</v>
      </c>
      <c r="K77" s="5">
        <f>_xlfn.XLOOKUP(CustomerCombined[[#This Row],[ID]], Table4[ID], Table4[Teas], "Not Found", 0)</f>
        <v>165</v>
      </c>
      <c r="L77" s="5">
        <f>_xlfn.XLOOKUP(CustomerCombined[[#This Row],[ID]], Table4[ID], Table4[Fruits], "Not Found", 0)</f>
        <v>125</v>
      </c>
      <c r="M77" s="5">
        <f>_xlfn.XLOOKUP(CustomerCombined[[#This Row],[ID]], Table4[ID], Table4[Meats], "Not Found", 0)</f>
        <v>247</v>
      </c>
      <c r="N77" s="5">
        <f>_xlfn.XLOOKUP(CustomerCombined[[#This Row],[ID]], Table4[ID], Table4[Seafood], "Not Found", 0)</f>
        <v>301</v>
      </c>
      <c r="O77" s="5">
        <f>_xlfn.XLOOKUP(CustomerCombined[[#This Row],[ID]], Table4[ID], Table4[Sweets], "Not Found", 0)</f>
        <v>147</v>
      </c>
      <c r="P77" s="5">
        <f>_xlfn.XLOOKUP(CustomerCombined[[#This Row],[ID]], Table4[ID], Table4[Premium], "Not Found", 0)</f>
        <v>237</v>
      </c>
      <c r="Q77" s="5">
        <f>_xlfn.XLOOKUP(CustomerCombined[[#This Row],[ID]], Table4[ID], Table4[Regular], "Not Found", 0)</f>
        <v>749</v>
      </c>
      <c r="R77" s="5">
        <f>_xlfn.XLOOKUP(CustomerCombined[[#This Row],[ID]], Table4[ID], Table4[Deals], "Not Found", 0)</f>
        <v>6</v>
      </c>
      <c r="S77" s="5">
        <f>_xlfn.XLOOKUP(CustomerCombined[[#This Row],[ID]], Table4[ID], Table4[Website], "Not Found", 0)</f>
        <v>4</v>
      </c>
      <c r="T77" s="5">
        <f>_xlfn.XLOOKUP(CustomerCombined[[#This Row],[ID]], Table4[ID], Table4[Catalog], "Not Found", 0)</f>
        <v>1</v>
      </c>
      <c r="U77" s="5">
        <f>_xlfn.XLOOKUP(CustomerCombined[[#This Row],[ID]], Table4[ID], Table4[Store], "Not Found", 0)</f>
        <v>6</v>
      </c>
      <c r="V77" s="5">
        <f>_xlfn.XLOOKUP(CustomerCombined[[#This Row],[ID]], Table4[ID], Table4[Visits], "Not Found", 0)</f>
        <v>7</v>
      </c>
      <c r="W77" s="8">
        <f>_xlfn.XLOOKUP(CustomerCombined[[#This Row],[ID]], Table2[ID],Table2[Complaint], "Not Found", 0 )</f>
        <v>0</v>
      </c>
      <c r="X77" s="8">
        <f>_xlfn.XLOOKUP(CustomerCombined[[#This Row],[ID]], Table2[ID],Table2[Pilot], "Not Found", 0 )</f>
        <v>0</v>
      </c>
      <c r="Y77" s="8">
        <f>_xlfn.XLOOKUP(CustomerCombined[[#This Row],[ID]], Table2[ID],Table2[MC1], "Not Found", 0 )</f>
        <v>0</v>
      </c>
      <c r="Z77" s="8">
        <f>_xlfn.XLOOKUP(CustomerCombined[[#This Row],[ID]], Table2[ID],Table2[MC2], "Not Found", 0 )</f>
        <v>0</v>
      </c>
      <c r="AA77" s="8">
        <f>_xlfn.XLOOKUP(CustomerCombined[[#This Row],[ID]], Table2[ID],Table2[MC3], "Not Found", 0 )</f>
        <v>0</v>
      </c>
      <c r="AB77" s="8">
        <f>_xlfn.XLOOKUP(CustomerCombined[[#This Row],[ID]], Table2[ID],Table2[MC4], "Not Found", 0 )</f>
        <v>0</v>
      </c>
      <c r="AC77" s="8">
        <f>_xlfn.XLOOKUP(CustomerCombined[[#This Row],[ID]], Table2[ID],Table2[MC5], "Not Found", 0 )</f>
        <v>0</v>
      </c>
    </row>
    <row r="78" spans="1:29" x14ac:dyDescent="0.3">
      <c r="A78" s="6">
        <v>1027</v>
      </c>
      <c r="B78" s="6">
        <v>138360</v>
      </c>
      <c r="C78" s="6">
        <v>1</v>
      </c>
      <c r="D78" s="6">
        <v>0</v>
      </c>
      <c r="E78" s="6">
        <v>31</v>
      </c>
      <c r="F78" s="5" t="s">
        <v>6</v>
      </c>
      <c r="G78" s="5" t="s">
        <v>11</v>
      </c>
      <c r="H78" s="3">
        <v>43596</v>
      </c>
      <c r="I78" s="5" t="s">
        <v>437</v>
      </c>
      <c r="J78" s="5">
        <f>_xlfn.XLOOKUP(CustomerCombined[[#This Row],[ID]], Table4[ID], Table4[Recency], "Not Found", 0)</f>
        <v>26</v>
      </c>
      <c r="K78" s="5">
        <f>_xlfn.XLOOKUP(CustomerCombined[[#This Row],[ID]], Table4[ID], Table4[Teas], "Not Found", 0)</f>
        <v>130</v>
      </c>
      <c r="L78" s="5">
        <f>_xlfn.XLOOKUP(CustomerCombined[[#This Row],[ID]], Table4[ID], Table4[Fruits], "Not Found", 0)</f>
        <v>7</v>
      </c>
      <c r="M78" s="5">
        <f>_xlfn.XLOOKUP(CustomerCombined[[#This Row],[ID]], Table4[ID], Table4[Meats], "Not Found", 0)</f>
        <v>151</v>
      </c>
      <c r="N78" s="5">
        <f>_xlfn.XLOOKUP(CustomerCombined[[#This Row],[ID]], Table4[ID], Table4[Seafood], "Not Found", 0)</f>
        <v>72</v>
      </c>
      <c r="O78" s="5">
        <f>_xlfn.XLOOKUP(CustomerCombined[[#This Row],[ID]], Table4[ID], Table4[Sweets], "Not Found", 0)</f>
        <v>76</v>
      </c>
      <c r="P78" s="5">
        <f>_xlfn.XLOOKUP(CustomerCombined[[#This Row],[ID]], Table4[ID], Table4[Premium], "Not Found", 0)</f>
        <v>36</v>
      </c>
      <c r="Q78" s="5">
        <f>_xlfn.XLOOKUP(CustomerCombined[[#This Row],[ID]], Table4[ID], Table4[Regular], "Not Found", 0)</f>
        <v>400</v>
      </c>
      <c r="R78" s="5">
        <f>_xlfn.XLOOKUP(CustomerCombined[[#This Row],[ID]], Table4[ID], Table4[Deals], "Not Found", 0)</f>
        <v>2</v>
      </c>
      <c r="S78" s="5">
        <f>_xlfn.XLOOKUP(CustomerCombined[[#This Row],[ID]], Table4[ID], Table4[Website], "Not Found", 0)</f>
        <v>2</v>
      </c>
      <c r="T78" s="5">
        <f>_xlfn.XLOOKUP(CustomerCombined[[#This Row],[ID]], Table4[ID], Table4[Catalog], "Not Found", 0)</f>
        <v>1</v>
      </c>
      <c r="U78" s="5">
        <f>_xlfn.XLOOKUP(CustomerCombined[[#This Row],[ID]], Table4[ID], Table4[Store], "Not Found", 0)</f>
        <v>4</v>
      </c>
      <c r="V78" s="5">
        <f>_xlfn.XLOOKUP(CustomerCombined[[#This Row],[ID]], Table4[ID], Table4[Visits], "Not Found", 0)</f>
        <v>3</v>
      </c>
      <c r="W78" s="8">
        <f>_xlfn.XLOOKUP(CustomerCombined[[#This Row],[ID]], Table2[ID],Table2[Complaint], "Not Found", 0 )</f>
        <v>0</v>
      </c>
      <c r="X78" s="8">
        <f>_xlfn.XLOOKUP(CustomerCombined[[#This Row],[ID]], Table2[ID],Table2[Pilot], "Not Found", 0 )</f>
        <v>0</v>
      </c>
      <c r="Y78" s="8">
        <f>_xlfn.XLOOKUP(CustomerCombined[[#This Row],[ID]], Table2[ID],Table2[MC1], "Not Found", 0 )</f>
        <v>0</v>
      </c>
      <c r="Z78" s="8">
        <f>_xlfn.XLOOKUP(CustomerCombined[[#This Row],[ID]], Table2[ID],Table2[MC2], "Not Found", 0 )</f>
        <v>0</v>
      </c>
      <c r="AA78" s="8">
        <f>_xlfn.XLOOKUP(CustomerCombined[[#This Row],[ID]], Table2[ID],Table2[MC3], "Not Found", 0 )</f>
        <v>0</v>
      </c>
      <c r="AB78" s="8">
        <f>_xlfn.XLOOKUP(CustomerCombined[[#This Row],[ID]], Table2[ID],Table2[MC4], "Not Found", 0 )</f>
        <v>0</v>
      </c>
      <c r="AC78" s="8">
        <f>_xlfn.XLOOKUP(CustomerCombined[[#This Row],[ID]], Table2[ID],Table2[MC5], "Not Found", 0 )</f>
        <v>0</v>
      </c>
    </row>
    <row r="79" spans="1:29" x14ac:dyDescent="0.3">
      <c r="A79" s="6">
        <v>2122</v>
      </c>
      <c r="B79" s="6">
        <v>137155</v>
      </c>
      <c r="C79" s="6">
        <v>1</v>
      </c>
      <c r="D79" s="6">
        <v>0</v>
      </c>
      <c r="E79" s="6">
        <v>31</v>
      </c>
      <c r="F79" s="5" t="s">
        <v>6</v>
      </c>
      <c r="G79" s="5" t="s">
        <v>11</v>
      </c>
      <c r="H79" s="3">
        <v>43684</v>
      </c>
      <c r="I79" s="5" t="s">
        <v>439</v>
      </c>
      <c r="J79" s="5">
        <f>_xlfn.XLOOKUP(CustomerCombined[[#This Row],[ID]], Table4[ID], Table4[Recency], "Not Found", 0)</f>
        <v>51</v>
      </c>
      <c r="K79" s="5">
        <f>_xlfn.XLOOKUP(CustomerCombined[[#This Row],[ID]], Table4[ID], Table4[Teas], "Not Found", 0)</f>
        <v>85</v>
      </c>
      <c r="L79" s="5">
        <f>_xlfn.XLOOKUP(CustomerCombined[[#This Row],[ID]], Table4[ID], Table4[Fruits], "Not Found", 0)</f>
        <v>0</v>
      </c>
      <c r="M79" s="5">
        <f>_xlfn.XLOOKUP(CustomerCombined[[#This Row],[ID]], Table4[ID], Table4[Meats], "Not Found", 0)</f>
        <v>96</v>
      </c>
      <c r="N79" s="5">
        <f>_xlfn.XLOOKUP(CustomerCombined[[#This Row],[ID]], Table4[ID], Table4[Seafood], "Not Found", 0)</f>
        <v>26</v>
      </c>
      <c r="O79" s="5">
        <f>_xlfn.XLOOKUP(CustomerCombined[[#This Row],[ID]], Table4[ID], Table4[Sweets], "Not Found", 0)</f>
        <v>55</v>
      </c>
      <c r="P79" s="5">
        <f>_xlfn.XLOOKUP(CustomerCombined[[#This Row],[ID]], Table4[ID], Table4[Premium], "Not Found", 0)</f>
        <v>11</v>
      </c>
      <c r="Q79" s="5">
        <f>_xlfn.XLOOKUP(CustomerCombined[[#This Row],[ID]], Table4[ID], Table4[Regular], "Not Found", 0)</f>
        <v>251</v>
      </c>
      <c r="R79" s="5">
        <f>_xlfn.XLOOKUP(CustomerCombined[[#This Row],[ID]], Table4[ID], Table4[Deals], "Not Found", 0)</f>
        <v>1</v>
      </c>
      <c r="S79" s="5">
        <f>_xlfn.XLOOKUP(CustomerCombined[[#This Row],[ID]], Table4[ID], Table4[Website], "Not Found", 0)</f>
        <v>2</v>
      </c>
      <c r="T79" s="5">
        <f>_xlfn.XLOOKUP(CustomerCombined[[#This Row],[ID]], Table4[ID], Table4[Catalog], "Not Found", 0)</f>
        <v>0</v>
      </c>
      <c r="U79" s="5">
        <f>_xlfn.XLOOKUP(CustomerCombined[[#This Row],[ID]], Table4[ID], Table4[Store], "Not Found", 0)</f>
        <v>4</v>
      </c>
      <c r="V79" s="5">
        <f>_xlfn.XLOOKUP(CustomerCombined[[#This Row],[ID]], Table4[ID], Table4[Visits], "Not Found", 0)</f>
        <v>5</v>
      </c>
      <c r="W79" s="8">
        <f>_xlfn.XLOOKUP(CustomerCombined[[#This Row],[ID]], Table2[ID],Table2[Complaint], "Not Found", 0 )</f>
        <v>0</v>
      </c>
      <c r="X79" s="8">
        <f>_xlfn.XLOOKUP(CustomerCombined[[#This Row],[ID]], Table2[ID],Table2[Pilot], "Not Found", 0 )</f>
        <v>0</v>
      </c>
      <c r="Y79" s="8">
        <f>_xlfn.XLOOKUP(CustomerCombined[[#This Row],[ID]], Table2[ID],Table2[MC1], "Not Found", 0 )</f>
        <v>0</v>
      </c>
      <c r="Z79" s="8">
        <f>_xlfn.XLOOKUP(CustomerCombined[[#This Row],[ID]], Table2[ID],Table2[MC2], "Not Found", 0 )</f>
        <v>0</v>
      </c>
      <c r="AA79" s="8">
        <f>_xlfn.XLOOKUP(CustomerCombined[[#This Row],[ID]], Table2[ID],Table2[MC3], "Not Found", 0 )</f>
        <v>0</v>
      </c>
      <c r="AB79" s="8">
        <f>_xlfn.XLOOKUP(CustomerCombined[[#This Row],[ID]], Table2[ID],Table2[MC4], "Not Found", 0 )</f>
        <v>0</v>
      </c>
      <c r="AC79" s="8">
        <f>_xlfn.XLOOKUP(CustomerCombined[[#This Row],[ID]], Table2[ID],Table2[MC5], "Not Found", 0 )</f>
        <v>0</v>
      </c>
    </row>
    <row r="80" spans="1:29" x14ac:dyDescent="0.3">
      <c r="A80" s="6">
        <v>1316</v>
      </c>
      <c r="B80" s="6">
        <v>133996</v>
      </c>
      <c r="C80" s="6">
        <v>0</v>
      </c>
      <c r="D80" s="6">
        <v>0</v>
      </c>
      <c r="E80" s="6">
        <v>31</v>
      </c>
      <c r="F80" s="5" t="s">
        <v>7</v>
      </c>
      <c r="G80" s="5" t="s">
        <v>13</v>
      </c>
      <c r="H80" s="3" t="s">
        <v>188</v>
      </c>
      <c r="I80" s="5" t="s">
        <v>438</v>
      </c>
      <c r="J80" s="5">
        <f>_xlfn.XLOOKUP(CustomerCombined[[#This Row],[ID]], Table4[ID], Table4[Recency], "Not Found", 0)</f>
        <v>46</v>
      </c>
      <c r="K80" s="5">
        <f>_xlfn.XLOOKUP(CustomerCombined[[#This Row],[ID]], Table4[ID], Table4[Teas], "Not Found", 0)</f>
        <v>158</v>
      </c>
      <c r="L80" s="5">
        <f>_xlfn.XLOOKUP(CustomerCombined[[#This Row],[ID]], Table4[ID], Table4[Fruits], "Not Found", 0)</f>
        <v>8</v>
      </c>
      <c r="M80" s="5">
        <f>_xlfn.XLOOKUP(CustomerCombined[[#This Row],[ID]], Table4[ID], Table4[Meats], "Not Found", 0)</f>
        <v>59</v>
      </c>
      <c r="N80" s="5">
        <f>_xlfn.XLOOKUP(CustomerCombined[[#This Row],[ID]], Table4[ID], Table4[Seafood], "Not Found", 0)</f>
        <v>32</v>
      </c>
      <c r="O80" s="5">
        <f>_xlfn.XLOOKUP(CustomerCombined[[#This Row],[ID]], Table4[ID], Table4[Sweets], "Not Found", 0)</f>
        <v>0</v>
      </c>
      <c r="P80" s="5">
        <f>_xlfn.XLOOKUP(CustomerCombined[[#This Row],[ID]], Table4[ID], Table4[Premium], "Not Found", 0)</f>
        <v>24</v>
      </c>
      <c r="Q80" s="5">
        <f>_xlfn.XLOOKUP(CustomerCombined[[#This Row],[ID]], Table4[ID], Table4[Regular], "Not Found", 0)</f>
        <v>233</v>
      </c>
      <c r="R80" s="5">
        <f>_xlfn.XLOOKUP(CustomerCombined[[#This Row],[ID]], Table4[ID], Table4[Deals], "Not Found", 0)</f>
        <v>1</v>
      </c>
      <c r="S80" s="5">
        <f>_xlfn.XLOOKUP(CustomerCombined[[#This Row],[ID]], Table4[ID], Table4[Website], "Not Found", 0)</f>
        <v>1</v>
      </c>
      <c r="T80" s="5">
        <f>_xlfn.XLOOKUP(CustomerCombined[[#This Row],[ID]], Table4[ID], Table4[Catalog], "Not Found", 0)</f>
        <v>1</v>
      </c>
      <c r="U80" s="5">
        <f>_xlfn.XLOOKUP(CustomerCombined[[#This Row],[ID]], Table4[ID], Table4[Store], "Not Found", 0)</f>
        <v>3</v>
      </c>
      <c r="V80" s="5">
        <f>_xlfn.XLOOKUP(CustomerCombined[[#This Row],[ID]], Table4[ID], Table4[Visits], "Not Found", 0)</f>
        <v>4</v>
      </c>
      <c r="W80" s="8">
        <f>_xlfn.XLOOKUP(CustomerCombined[[#This Row],[ID]], Table2[ID],Table2[Complaint], "Not Found", 0 )</f>
        <v>0</v>
      </c>
      <c r="X80" s="8">
        <f>_xlfn.XLOOKUP(CustomerCombined[[#This Row],[ID]], Table2[ID],Table2[Pilot], "Not Found", 0 )</f>
        <v>0</v>
      </c>
      <c r="Y80" s="8">
        <f>_xlfn.XLOOKUP(CustomerCombined[[#This Row],[ID]], Table2[ID],Table2[MC1], "Not Found", 0 )</f>
        <v>0</v>
      </c>
      <c r="Z80" s="8">
        <f>_xlfn.XLOOKUP(CustomerCombined[[#This Row],[ID]], Table2[ID],Table2[MC2], "Not Found", 0 )</f>
        <v>0</v>
      </c>
      <c r="AA80" s="8">
        <f>_xlfn.XLOOKUP(CustomerCombined[[#This Row],[ID]], Table2[ID],Table2[MC3], "Not Found", 0 )</f>
        <v>0</v>
      </c>
      <c r="AB80" s="8">
        <f>_xlfn.XLOOKUP(CustomerCombined[[#This Row],[ID]], Table2[ID],Table2[MC4], "Not Found", 0 )</f>
        <v>0</v>
      </c>
      <c r="AC80" s="8">
        <f>_xlfn.XLOOKUP(CustomerCombined[[#This Row],[ID]], Table2[ID],Table2[MC5], "Not Found", 0 )</f>
        <v>0</v>
      </c>
    </row>
    <row r="81" spans="1:29" x14ac:dyDescent="0.3">
      <c r="A81" s="6">
        <v>2639</v>
      </c>
      <c r="B81" s="6">
        <v>133996</v>
      </c>
      <c r="C81" s="6">
        <v>0</v>
      </c>
      <c r="D81" s="6">
        <v>0</v>
      </c>
      <c r="E81" s="6">
        <v>31</v>
      </c>
      <c r="F81" s="5" t="s">
        <v>7</v>
      </c>
      <c r="G81" s="5" t="s">
        <v>13</v>
      </c>
      <c r="H81" s="3" t="s">
        <v>188</v>
      </c>
      <c r="I81" s="5" t="s">
        <v>434</v>
      </c>
      <c r="J81" s="5">
        <f>_xlfn.XLOOKUP(CustomerCombined[[#This Row],[ID]], Table4[ID], Table4[Recency], "Not Found", 0)</f>
        <v>46</v>
      </c>
      <c r="K81" s="5">
        <f>_xlfn.XLOOKUP(CustomerCombined[[#This Row],[ID]], Table4[ID], Table4[Teas], "Not Found", 0)</f>
        <v>158</v>
      </c>
      <c r="L81" s="5">
        <f>_xlfn.XLOOKUP(CustomerCombined[[#This Row],[ID]], Table4[ID], Table4[Fruits], "Not Found", 0)</f>
        <v>8</v>
      </c>
      <c r="M81" s="5">
        <f>_xlfn.XLOOKUP(CustomerCombined[[#This Row],[ID]], Table4[ID], Table4[Meats], "Not Found", 0)</f>
        <v>59</v>
      </c>
      <c r="N81" s="5">
        <f>_xlfn.XLOOKUP(CustomerCombined[[#This Row],[ID]], Table4[ID], Table4[Seafood], "Not Found", 0)</f>
        <v>32</v>
      </c>
      <c r="O81" s="5">
        <f>_xlfn.XLOOKUP(CustomerCombined[[#This Row],[ID]], Table4[ID], Table4[Sweets], "Not Found", 0)</f>
        <v>0</v>
      </c>
      <c r="P81" s="5">
        <f>_xlfn.XLOOKUP(CustomerCombined[[#This Row],[ID]], Table4[ID], Table4[Premium], "Not Found", 0)</f>
        <v>24</v>
      </c>
      <c r="Q81" s="5">
        <f>_xlfn.XLOOKUP(CustomerCombined[[#This Row],[ID]], Table4[ID], Table4[Regular], "Not Found", 0)</f>
        <v>233</v>
      </c>
      <c r="R81" s="5">
        <f>_xlfn.XLOOKUP(CustomerCombined[[#This Row],[ID]], Table4[ID], Table4[Deals], "Not Found", 0)</f>
        <v>1</v>
      </c>
      <c r="S81" s="5">
        <f>_xlfn.XLOOKUP(CustomerCombined[[#This Row],[ID]], Table4[ID], Table4[Website], "Not Found", 0)</f>
        <v>1</v>
      </c>
      <c r="T81" s="5">
        <f>_xlfn.XLOOKUP(CustomerCombined[[#This Row],[ID]], Table4[ID], Table4[Catalog], "Not Found", 0)</f>
        <v>1</v>
      </c>
      <c r="U81" s="5">
        <f>_xlfn.XLOOKUP(CustomerCombined[[#This Row],[ID]], Table4[ID], Table4[Store], "Not Found", 0)</f>
        <v>3</v>
      </c>
      <c r="V81" s="5">
        <f>_xlfn.XLOOKUP(CustomerCombined[[#This Row],[ID]], Table4[ID], Table4[Visits], "Not Found", 0)</f>
        <v>4</v>
      </c>
      <c r="W81" s="8">
        <f>_xlfn.XLOOKUP(CustomerCombined[[#This Row],[ID]], Table2[ID],Table2[Complaint], "Not Found", 0 )</f>
        <v>0</v>
      </c>
      <c r="X81" s="8">
        <f>_xlfn.XLOOKUP(CustomerCombined[[#This Row],[ID]], Table2[ID],Table2[Pilot], "Not Found", 0 )</f>
        <v>0</v>
      </c>
      <c r="Y81" s="8">
        <f>_xlfn.XLOOKUP(CustomerCombined[[#This Row],[ID]], Table2[ID],Table2[MC1], "Not Found", 0 )</f>
        <v>0</v>
      </c>
      <c r="Z81" s="8">
        <f>_xlfn.XLOOKUP(CustomerCombined[[#This Row],[ID]], Table2[ID],Table2[MC2], "Not Found", 0 )</f>
        <v>0</v>
      </c>
      <c r="AA81" s="8">
        <f>_xlfn.XLOOKUP(CustomerCombined[[#This Row],[ID]], Table2[ID],Table2[MC3], "Not Found", 0 )</f>
        <v>0</v>
      </c>
      <c r="AB81" s="8">
        <f>_xlfn.XLOOKUP(CustomerCombined[[#This Row],[ID]], Table2[ID],Table2[MC4], "Not Found", 0 )</f>
        <v>0</v>
      </c>
      <c r="AC81" s="8">
        <f>_xlfn.XLOOKUP(CustomerCombined[[#This Row],[ID]], Table2[ID],Table2[MC5], "Not Found", 0 )</f>
        <v>0</v>
      </c>
    </row>
    <row r="82" spans="1:29" x14ac:dyDescent="0.3">
      <c r="A82" s="6">
        <v>2516</v>
      </c>
      <c r="B82" s="6">
        <v>131928</v>
      </c>
      <c r="C82" s="6">
        <v>1</v>
      </c>
      <c r="D82" s="6">
        <v>0</v>
      </c>
      <c r="E82" s="6">
        <v>31</v>
      </c>
      <c r="F82" s="5" t="s">
        <v>8</v>
      </c>
      <c r="G82" s="5" t="s">
        <v>11</v>
      </c>
      <c r="H82" s="3">
        <v>43839</v>
      </c>
      <c r="I82" s="5" t="s">
        <v>438</v>
      </c>
      <c r="J82" s="5">
        <f>_xlfn.XLOOKUP(CustomerCombined[[#This Row],[ID]], Table4[ID], Table4[Recency], "Not Found", 0)</f>
        <v>5</v>
      </c>
      <c r="K82" s="5">
        <f>_xlfn.XLOOKUP(CustomerCombined[[#This Row],[ID]], Table4[ID], Table4[Teas], "Not Found", 0)</f>
        <v>136</v>
      </c>
      <c r="L82" s="5">
        <f>_xlfn.XLOOKUP(CustomerCombined[[#This Row],[ID]], Table4[ID], Table4[Fruits], "Not Found", 0)</f>
        <v>17</v>
      </c>
      <c r="M82" s="5">
        <f>_xlfn.XLOOKUP(CustomerCombined[[#This Row],[ID]], Table4[ID], Table4[Meats], "Not Found", 0)</f>
        <v>99</v>
      </c>
      <c r="N82" s="5">
        <f>_xlfn.XLOOKUP(CustomerCombined[[#This Row],[ID]], Table4[ID], Table4[Seafood], "Not Found", 0)</f>
        <v>17</v>
      </c>
      <c r="O82" s="5">
        <f>_xlfn.XLOOKUP(CustomerCombined[[#This Row],[ID]], Table4[ID], Table4[Sweets], "Not Found", 0)</f>
        <v>8</v>
      </c>
      <c r="P82" s="5">
        <f>_xlfn.XLOOKUP(CustomerCombined[[#This Row],[ID]], Table4[ID], Table4[Premium], "Not Found", 0)</f>
        <v>21</v>
      </c>
      <c r="Q82" s="5">
        <f>_xlfn.XLOOKUP(CustomerCombined[[#This Row],[ID]], Table4[ID], Table4[Regular], "Not Found", 0)</f>
        <v>256</v>
      </c>
      <c r="R82" s="5">
        <f>_xlfn.XLOOKUP(CustomerCombined[[#This Row],[ID]], Table4[ID], Table4[Deals], "Not Found", 0)</f>
        <v>2</v>
      </c>
      <c r="S82" s="5">
        <f>_xlfn.XLOOKUP(CustomerCombined[[#This Row],[ID]], Table4[ID], Table4[Website], "Not Found", 0)</f>
        <v>3</v>
      </c>
      <c r="T82" s="5">
        <f>_xlfn.XLOOKUP(CustomerCombined[[#This Row],[ID]], Table4[ID], Table4[Catalog], "Not Found", 0)</f>
        <v>0</v>
      </c>
      <c r="U82" s="5">
        <f>_xlfn.XLOOKUP(CustomerCombined[[#This Row],[ID]], Table4[ID], Table4[Store], "Not Found", 0)</f>
        <v>4</v>
      </c>
      <c r="V82" s="5">
        <f>_xlfn.XLOOKUP(CustomerCombined[[#This Row],[ID]], Table4[ID], Table4[Visits], "Not Found", 0)</f>
        <v>7</v>
      </c>
      <c r="W82" s="8">
        <f>_xlfn.XLOOKUP(CustomerCombined[[#This Row],[ID]], Table2[ID],Table2[Complaint], "Not Found", 0 )</f>
        <v>0</v>
      </c>
      <c r="X82" s="8">
        <f>_xlfn.XLOOKUP(CustomerCombined[[#This Row],[ID]], Table2[ID],Table2[Pilot], "Not Found", 0 )</f>
        <v>0</v>
      </c>
      <c r="Y82" s="8">
        <f>_xlfn.XLOOKUP(CustomerCombined[[#This Row],[ID]], Table2[ID],Table2[MC1], "Not Found", 0 )</f>
        <v>0</v>
      </c>
      <c r="Z82" s="8">
        <f>_xlfn.XLOOKUP(CustomerCombined[[#This Row],[ID]], Table2[ID],Table2[MC2], "Not Found", 0 )</f>
        <v>0</v>
      </c>
      <c r="AA82" s="8">
        <f>_xlfn.XLOOKUP(CustomerCombined[[#This Row],[ID]], Table2[ID],Table2[MC3], "Not Found", 0 )</f>
        <v>0</v>
      </c>
      <c r="AB82" s="8">
        <f>_xlfn.XLOOKUP(CustomerCombined[[#This Row],[ID]], Table2[ID],Table2[MC4], "Not Found", 0 )</f>
        <v>0</v>
      </c>
      <c r="AC82" s="8">
        <f>_xlfn.XLOOKUP(CustomerCombined[[#This Row],[ID]], Table2[ID],Table2[MC5], "Not Found", 0 )</f>
        <v>0</v>
      </c>
    </row>
    <row r="83" spans="1:29" x14ac:dyDescent="0.3">
      <c r="A83" s="6">
        <v>1361</v>
      </c>
      <c r="B83" s="6">
        <v>130279</v>
      </c>
      <c r="C83" s="6">
        <v>1</v>
      </c>
      <c r="D83" s="6">
        <v>0</v>
      </c>
      <c r="E83" s="6">
        <v>31</v>
      </c>
      <c r="F83" s="5" t="s">
        <v>7</v>
      </c>
      <c r="G83" s="5" t="s">
        <v>11</v>
      </c>
      <c r="H83" s="3">
        <v>43622</v>
      </c>
      <c r="I83" s="5" t="s">
        <v>434</v>
      </c>
      <c r="J83" s="5">
        <f>_xlfn.XLOOKUP(CustomerCombined[[#This Row],[ID]], Table4[ID], Table4[Recency], "Not Found", 0)</f>
        <v>13</v>
      </c>
      <c r="K83" s="5">
        <f>_xlfn.XLOOKUP(CustomerCombined[[#This Row],[ID]], Table4[ID], Table4[Teas], "Not Found", 0)</f>
        <v>43</v>
      </c>
      <c r="L83" s="5">
        <f>_xlfn.XLOOKUP(CustomerCombined[[#This Row],[ID]], Table4[ID], Table4[Fruits], "Not Found", 0)</f>
        <v>17</v>
      </c>
      <c r="M83" s="5">
        <f>_xlfn.XLOOKUP(CustomerCombined[[#This Row],[ID]], Table4[ID], Table4[Meats], "Not Found", 0)</f>
        <v>60</v>
      </c>
      <c r="N83" s="5">
        <f>_xlfn.XLOOKUP(CustomerCombined[[#This Row],[ID]], Table4[ID], Table4[Seafood], "Not Found", 0)</f>
        <v>17</v>
      </c>
      <c r="O83" s="5">
        <f>_xlfn.XLOOKUP(CustomerCombined[[#This Row],[ID]], Table4[ID], Table4[Sweets], "Not Found", 0)</f>
        <v>17</v>
      </c>
      <c r="P83" s="5">
        <f>_xlfn.XLOOKUP(CustomerCombined[[#This Row],[ID]], Table4[ID], Table4[Premium], "Not Found", 0)</f>
        <v>4</v>
      </c>
      <c r="Q83" s="5">
        <f>_xlfn.XLOOKUP(CustomerCombined[[#This Row],[ID]], Table4[ID], Table4[Regular], "Not Found", 0)</f>
        <v>151</v>
      </c>
      <c r="R83" s="5">
        <f>_xlfn.XLOOKUP(CustomerCombined[[#This Row],[ID]], Table4[ID], Table4[Deals], "Not Found", 0)</f>
        <v>1</v>
      </c>
      <c r="S83" s="5">
        <f>_xlfn.XLOOKUP(CustomerCombined[[#This Row],[ID]], Table4[ID], Table4[Website], "Not Found", 0)</f>
        <v>1</v>
      </c>
      <c r="T83" s="5">
        <f>_xlfn.XLOOKUP(CustomerCombined[[#This Row],[ID]], Table4[ID], Table4[Catalog], "Not Found", 0)</f>
        <v>0</v>
      </c>
      <c r="U83" s="5">
        <f>_xlfn.XLOOKUP(CustomerCombined[[#This Row],[ID]], Table4[ID], Table4[Store], "Not Found", 0)</f>
        <v>3</v>
      </c>
      <c r="V83" s="5">
        <f>_xlfn.XLOOKUP(CustomerCombined[[#This Row],[ID]], Table4[ID], Table4[Visits], "Not Found", 0)</f>
        <v>8</v>
      </c>
      <c r="W83" s="8">
        <f>_xlfn.XLOOKUP(CustomerCombined[[#This Row],[ID]], Table2[ID],Table2[Complaint], "Not Found", 0 )</f>
        <v>0</v>
      </c>
      <c r="X83" s="8">
        <f>_xlfn.XLOOKUP(CustomerCombined[[#This Row],[ID]], Table2[ID],Table2[Pilot], "Not Found", 0 )</f>
        <v>0</v>
      </c>
      <c r="Y83" s="8">
        <f>_xlfn.XLOOKUP(CustomerCombined[[#This Row],[ID]], Table2[ID],Table2[MC1], "Not Found", 0 )</f>
        <v>0</v>
      </c>
      <c r="Z83" s="8">
        <f>_xlfn.XLOOKUP(CustomerCombined[[#This Row],[ID]], Table2[ID],Table2[MC2], "Not Found", 0 )</f>
        <v>0</v>
      </c>
      <c r="AA83" s="8">
        <f>_xlfn.XLOOKUP(CustomerCombined[[#This Row],[ID]], Table2[ID],Table2[MC3], "Not Found", 0 )</f>
        <v>0</v>
      </c>
      <c r="AB83" s="8">
        <f>_xlfn.XLOOKUP(CustomerCombined[[#This Row],[ID]], Table2[ID],Table2[MC4], "Not Found", 0 )</f>
        <v>0</v>
      </c>
      <c r="AC83" s="8">
        <f>_xlfn.XLOOKUP(CustomerCombined[[#This Row],[ID]], Table2[ID],Table2[MC5], "Not Found", 0 )</f>
        <v>0</v>
      </c>
    </row>
    <row r="84" spans="1:29" x14ac:dyDescent="0.3">
      <c r="A84" s="6">
        <v>1427</v>
      </c>
      <c r="B84" s="6">
        <v>130279</v>
      </c>
      <c r="C84" s="6">
        <v>1</v>
      </c>
      <c r="D84" s="6">
        <v>0</v>
      </c>
      <c r="E84" s="6">
        <v>31</v>
      </c>
      <c r="F84" s="5" t="s">
        <v>7</v>
      </c>
      <c r="G84" s="5" t="s">
        <v>11</v>
      </c>
      <c r="H84" s="3">
        <v>43622</v>
      </c>
      <c r="I84" s="5" t="s">
        <v>434</v>
      </c>
      <c r="J84" s="5">
        <f>_xlfn.XLOOKUP(CustomerCombined[[#This Row],[ID]], Table4[ID], Table4[Recency], "Not Found", 0)</f>
        <v>13</v>
      </c>
      <c r="K84" s="5">
        <f>_xlfn.XLOOKUP(CustomerCombined[[#This Row],[ID]], Table4[ID], Table4[Teas], "Not Found", 0)</f>
        <v>43</v>
      </c>
      <c r="L84" s="5">
        <f>_xlfn.XLOOKUP(CustomerCombined[[#This Row],[ID]], Table4[ID], Table4[Fruits], "Not Found", 0)</f>
        <v>17</v>
      </c>
      <c r="M84" s="5">
        <f>_xlfn.XLOOKUP(CustomerCombined[[#This Row],[ID]], Table4[ID], Table4[Meats], "Not Found", 0)</f>
        <v>60</v>
      </c>
      <c r="N84" s="5">
        <f>_xlfn.XLOOKUP(CustomerCombined[[#This Row],[ID]], Table4[ID], Table4[Seafood], "Not Found", 0)</f>
        <v>17</v>
      </c>
      <c r="O84" s="5">
        <f>_xlfn.XLOOKUP(CustomerCombined[[#This Row],[ID]], Table4[ID], Table4[Sweets], "Not Found", 0)</f>
        <v>17</v>
      </c>
      <c r="P84" s="5">
        <f>_xlfn.XLOOKUP(CustomerCombined[[#This Row],[ID]], Table4[ID], Table4[Premium], "Not Found", 0)</f>
        <v>4</v>
      </c>
      <c r="Q84" s="5">
        <f>_xlfn.XLOOKUP(CustomerCombined[[#This Row],[ID]], Table4[ID], Table4[Regular], "Not Found", 0)</f>
        <v>151</v>
      </c>
      <c r="R84" s="5">
        <f>_xlfn.XLOOKUP(CustomerCombined[[#This Row],[ID]], Table4[ID], Table4[Deals], "Not Found", 0)</f>
        <v>1</v>
      </c>
      <c r="S84" s="5">
        <f>_xlfn.XLOOKUP(CustomerCombined[[#This Row],[ID]], Table4[ID], Table4[Website], "Not Found", 0)</f>
        <v>1</v>
      </c>
      <c r="T84" s="5">
        <f>_xlfn.XLOOKUP(CustomerCombined[[#This Row],[ID]], Table4[ID], Table4[Catalog], "Not Found", 0)</f>
        <v>0</v>
      </c>
      <c r="U84" s="5">
        <f>_xlfn.XLOOKUP(CustomerCombined[[#This Row],[ID]], Table4[ID], Table4[Store], "Not Found", 0)</f>
        <v>3</v>
      </c>
      <c r="V84" s="5">
        <f>_xlfn.XLOOKUP(CustomerCombined[[#This Row],[ID]], Table4[ID], Table4[Visits], "Not Found", 0)</f>
        <v>8</v>
      </c>
      <c r="W84" s="8">
        <f>_xlfn.XLOOKUP(CustomerCombined[[#This Row],[ID]], Table2[ID],Table2[Complaint], "Not Found", 0 )</f>
        <v>0</v>
      </c>
      <c r="X84" s="8">
        <f>_xlfn.XLOOKUP(CustomerCombined[[#This Row],[ID]], Table2[ID],Table2[Pilot], "Not Found", 0 )</f>
        <v>0</v>
      </c>
      <c r="Y84" s="8">
        <f>_xlfn.XLOOKUP(CustomerCombined[[#This Row],[ID]], Table2[ID],Table2[MC1], "Not Found", 0 )</f>
        <v>0</v>
      </c>
      <c r="Z84" s="8">
        <f>_xlfn.XLOOKUP(CustomerCombined[[#This Row],[ID]], Table2[ID],Table2[MC2], "Not Found", 0 )</f>
        <v>0</v>
      </c>
      <c r="AA84" s="8">
        <f>_xlfn.XLOOKUP(CustomerCombined[[#This Row],[ID]], Table2[ID],Table2[MC3], "Not Found", 0 )</f>
        <v>0</v>
      </c>
      <c r="AB84" s="8">
        <f>_xlfn.XLOOKUP(CustomerCombined[[#This Row],[ID]], Table2[ID],Table2[MC4], "Not Found", 0 )</f>
        <v>0</v>
      </c>
      <c r="AC84" s="8">
        <f>_xlfn.XLOOKUP(CustomerCombined[[#This Row],[ID]], Table2[ID],Table2[MC5], "Not Found", 0 )</f>
        <v>0</v>
      </c>
    </row>
    <row r="85" spans="1:29" x14ac:dyDescent="0.3">
      <c r="A85" s="6">
        <v>1424</v>
      </c>
      <c r="B85" s="6">
        <v>128691</v>
      </c>
      <c r="C85" s="6">
        <v>1</v>
      </c>
      <c r="D85" s="6">
        <v>0</v>
      </c>
      <c r="E85" s="6">
        <v>31</v>
      </c>
      <c r="F85" s="5" t="s">
        <v>6</v>
      </c>
      <c r="G85" s="5" t="s">
        <v>11</v>
      </c>
      <c r="H85" s="3">
        <v>43720</v>
      </c>
      <c r="I85" s="5" t="s">
        <v>438</v>
      </c>
      <c r="J85" s="5">
        <f>_xlfn.XLOOKUP(CustomerCombined[[#This Row],[ID]], Table4[ID], Table4[Recency], "Not Found", 0)</f>
        <v>56</v>
      </c>
      <c r="K85" s="5">
        <f>_xlfn.XLOOKUP(CustomerCombined[[#This Row],[ID]], Table4[ID], Table4[Teas], "Not Found", 0)</f>
        <v>22</v>
      </c>
      <c r="L85" s="5">
        <f>_xlfn.XLOOKUP(CustomerCombined[[#This Row],[ID]], Table4[ID], Table4[Fruits], "Not Found", 0)</f>
        <v>18</v>
      </c>
      <c r="M85" s="5">
        <f>_xlfn.XLOOKUP(CustomerCombined[[#This Row],[ID]], Table4[ID], Table4[Meats], "Not Found", 0)</f>
        <v>58</v>
      </c>
      <c r="N85" s="5">
        <f>_xlfn.XLOOKUP(CustomerCombined[[#This Row],[ID]], Table4[ID], Table4[Seafood], "Not Found", 0)</f>
        <v>36</v>
      </c>
      <c r="O85" s="5">
        <f>_xlfn.XLOOKUP(CustomerCombined[[#This Row],[ID]], Table4[ID], Table4[Sweets], "Not Found", 0)</f>
        <v>0</v>
      </c>
      <c r="P85" s="5">
        <f>_xlfn.XLOOKUP(CustomerCombined[[#This Row],[ID]], Table4[ID], Table4[Premium], "Not Found", 0)</f>
        <v>18</v>
      </c>
      <c r="Q85" s="5">
        <f>_xlfn.XLOOKUP(CustomerCombined[[#This Row],[ID]], Table4[ID], Table4[Regular], "Not Found", 0)</f>
        <v>117</v>
      </c>
      <c r="R85" s="5">
        <f>_xlfn.XLOOKUP(CustomerCombined[[#This Row],[ID]], Table4[ID], Table4[Deals], "Not Found", 0)</f>
        <v>1</v>
      </c>
      <c r="S85" s="5">
        <f>_xlfn.XLOOKUP(CustomerCombined[[#This Row],[ID]], Table4[ID], Table4[Website], "Not Found", 0)</f>
        <v>1</v>
      </c>
      <c r="T85" s="5">
        <f>_xlfn.XLOOKUP(CustomerCombined[[#This Row],[ID]], Table4[ID], Table4[Catalog], "Not Found", 0)</f>
        <v>0</v>
      </c>
      <c r="U85" s="5">
        <f>_xlfn.XLOOKUP(CustomerCombined[[#This Row],[ID]], Table4[ID], Table4[Store], "Not Found", 0)</f>
        <v>3</v>
      </c>
      <c r="V85" s="5">
        <f>_xlfn.XLOOKUP(CustomerCombined[[#This Row],[ID]], Table4[ID], Table4[Visits], "Not Found", 0)</f>
        <v>8</v>
      </c>
      <c r="W85" s="8">
        <f>_xlfn.XLOOKUP(CustomerCombined[[#This Row],[ID]], Table2[ID],Table2[Complaint], "Not Found", 0 )</f>
        <v>0</v>
      </c>
      <c r="X85" s="8">
        <f>_xlfn.XLOOKUP(CustomerCombined[[#This Row],[ID]], Table2[ID],Table2[Pilot], "Not Found", 0 )</f>
        <v>0</v>
      </c>
      <c r="Y85" s="8">
        <f>_xlfn.XLOOKUP(CustomerCombined[[#This Row],[ID]], Table2[ID],Table2[MC1], "Not Found", 0 )</f>
        <v>0</v>
      </c>
      <c r="Z85" s="8">
        <f>_xlfn.XLOOKUP(CustomerCombined[[#This Row],[ID]], Table2[ID],Table2[MC2], "Not Found", 0 )</f>
        <v>0</v>
      </c>
      <c r="AA85" s="8">
        <f>_xlfn.XLOOKUP(CustomerCombined[[#This Row],[ID]], Table2[ID],Table2[MC3], "Not Found", 0 )</f>
        <v>0</v>
      </c>
      <c r="AB85" s="8">
        <f>_xlfn.XLOOKUP(CustomerCombined[[#This Row],[ID]], Table2[ID],Table2[MC4], "Not Found", 0 )</f>
        <v>0</v>
      </c>
      <c r="AC85" s="8">
        <f>_xlfn.XLOOKUP(CustomerCombined[[#This Row],[ID]], Table2[ID],Table2[MC5], "Not Found", 0 )</f>
        <v>0</v>
      </c>
    </row>
    <row r="86" spans="1:29" x14ac:dyDescent="0.3">
      <c r="A86" s="6">
        <v>2219</v>
      </c>
      <c r="B86" s="6">
        <v>128691</v>
      </c>
      <c r="C86" s="6">
        <v>1</v>
      </c>
      <c r="D86" s="6">
        <v>0</v>
      </c>
      <c r="E86" s="6">
        <v>31</v>
      </c>
      <c r="F86" s="5" t="s">
        <v>6</v>
      </c>
      <c r="G86" s="5" t="s">
        <v>11</v>
      </c>
      <c r="H86" s="3">
        <v>43720</v>
      </c>
      <c r="I86" s="5" t="s">
        <v>434</v>
      </c>
      <c r="J86" s="5">
        <f>_xlfn.XLOOKUP(CustomerCombined[[#This Row],[ID]], Table4[ID], Table4[Recency], "Not Found", 0)</f>
        <v>56</v>
      </c>
      <c r="K86" s="5">
        <f>_xlfn.XLOOKUP(CustomerCombined[[#This Row],[ID]], Table4[ID], Table4[Teas], "Not Found", 0)</f>
        <v>22</v>
      </c>
      <c r="L86" s="5">
        <f>_xlfn.XLOOKUP(CustomerCombined[[#This Row],[ID]], Table4[ID], Table4[Fruits], "Not Found", 0)</f>
        <v>18</v>
      </c>
      <c r="M86" s="5">
        <f>_xlfn.XLOOKUP(CustomerCombined[[#This Row],[ID]], Table4[ID], Table4[Meats], "Not Found", 0)</f>
        <v>58</v>
      </c>
      <c r="N86" s="5">
        <f>_xlfn.XLOOKUP(CustomerCombined[[#This Row],[ID]], Table4[ID], Table4[Seafood], "Not Found", 0)</f>
        <v>36</v>
      </c>
      <c r="O86" s="5">
        <f>_xlfn.XLOOKUP(CustomerCombined[[#This Row],[ID]], Table4[ID], Table4[Sweets], "Not Found", 0)</f>
        <v>0</v>
      </c>
      <c r="P86" s="5">
        <f>_xlfn.XLOOKUP(CustomerCombined[[#This Row],[ID]], Table4[ID], Table4[Premium], "Not Found", 0)</f>
        <v>18</v>
      </c>
      <c r="Q86" s="5">
        <f>_xlfn.XLOOKUP(CustomerCombined[[#This Row],[ID]], Table4[ID], Table4[Regular], "Not Found", 0)</f>
        <v>117</v>
      </c>
      <c r="R86" s="5">
        <f>_xlfn.XLOOKUP(CustomerCombined[[#This Row],[ID]], Table4[ID], Table4[Deals], "Not Found", 0)</f>
        <v>1</v>
      </c>
      <c r="S86" s="5">
        <f>_xlfn.XLOOKUP(CustomerCombined[[#This Row],[ID]], Table4[ID], Table4[Website], "Not Found", 0)</f>
        <v>1</v>
      </c>
      <c r="T86" s="5">
        <f>_xlfn.XLOOKUP(CustomerCombined[[#This Row],[ID]], Table4[ID], Table4[Catalog], "Not Found", 0)</f>
        <v>0</v>
      </c>
      <c r="U86" s="5">
        <f>_xlfn.XLOOKUP(CustomerCombined[[#This Row],[ID]], Table4[ID], Table4[Store], "Not Found", 0)</f>
        <v>3</v>
      </c>
      <c r="V86" s="5">
        <f>_xlfn.XLOOKUP(CustomerCombined[[#This Row],[ID]], Table4[ID], Table4[Visits], "Not Found", 0)</f>
        <v>8</v>
      </c>
      <c r="W86" s="8">
        <f>_xlfn.XLOOKUP(CustomerCombined[[#This Row],[ID]], Table2[ID],Table2[Complaint], "Not Found", 0 )</f>
        <v>0</v>
      </c>
      <c r="X86" s="8">
        <f>_xlfn.XLOOKUP(CustomerCombined[[#This Row],[ID]], Table2[ID],Table2[Pilot], "Not Found", 0 )</f>
        <v>0</v>
      </c>
      <c r="Y86" s="8">
        <f>_xlfn.XLOOKUP(CustomerCombined[[#This Row],[ID]], Table2[ID],Table2[MC1], "Not Found", 0 )</f>
        <v>0</v>
      </c>
      <c r="Z86" s="8">
        <f>_xlfn.XLOOKUP(CustomerCombined[[#This Row],[ID]], Table2[ID],Table2[MC2], "Not Found", 0 )</f>
        <v>0</v>
      </c>
      <c r="AA86" s="8">
        <f>_xlfn.XLOOKUP(CustomerCombined[[#This Row],[ID]], Table2[ID],Table2[MC3], "Not Found", 0 )</f>
        <v>0</v>
      </c>
      <c r="AB86" s="8">
        <f>_xlfn.XLOOKUP(CustomerCombined[[#This Row],[ID]], Table2[ID],Table2[MC4], "Not Found", 0 )</f>
        <v>0</v>
      </c>
      <c r="AC86" s="8">
        <f>_xlfn.XLOOKUP(CustomerCombined[[#This Row],[ID]], Table2[ID],Table2[MC5], "Not Found", 0 )</f>
        <v>0</v>
      </c>
    </row>
    <row r="87" spans="1:29" x14ac:dyDescent="0.3">
      <c r="A87" s="6">
        <v>1914</v>
      </c>
      <c r="B87" s="6">
        <v>125443</v>
      </c>
      <c r="C87" s="6">
        <v>1</v>
      </c>
      <c r="D87" s="6">
        <v>0</v>
      </c>
      <c r="E87" s="6">
        <v>31</v>
      </c>
      <c r="F87" s="5" t="s">
        <v>6</v>
      </c>
      <c r="G87" s="5" t="s">
        <v>10</v>
      </c>
      <c r="H87" s="3" t="s">
        <v>337</v>
      </c>
      <c r="I87" s="5" t="s">
        <v>436</v>
      </c>
      <c r="J87" s="5">
        <f>_xlfn.XLOOKUP(CustomerCombined[[#This Row],[ID]], Table4[ID], Table4[Recency], "Not Found", 0)</f>
        <v>82</v>
      </c>
      <c r="K87" s="5">
        <f>_xlfn.XLOOKUP(CustomerCombined[[#This Row],[ID]], Table4[ID], Table4[Teas], "Not Found", 0)</f>
        <v>5</v>
      </c>
      <c r="L87" s="5">
        <f>_xlfn.XLOOKUP(CustomerCombined[[#This Row],[ID]], Table4[ID], Table4[Fruits], "Not Found", 0)</f>
        <v>20</v>
      </c>
      <c r="M87" s="5">
        <f>_xlfn.XLOOKUP(CustomerCombined[[#This Row],[ID]], Table4[ID], Table4[Meats], "Not Found", 0)</f>
        <v>15</v>
      </c>
      <c r="N87" s="5">
        <f>_xlfn.XLOOKUP(CustomerCombined[[#This Row],[ID]], Table4[ID], Table4[Seafood], "Not Found", 0)</f>
        <v>39</v>
      </c>
      <c r="O87" s="5">
        <f>_xlfn.XLOOKUP(CustomerCombined[[#This Row],[ID]], Table4[ID], Table4[Sweets], "Not Found", 0)</f>
        <v>44</v>
      </c>
      <c r="P87" s="5">
        <f>_xlfn.XLOOKUP(CustomerCombined[[#This Row],[ID]], Table4[ID], Table4[Premium], "Not Found", 0)</f>
        <v>35</v>
      </c>
      <c r="Q87" s="5">
        <f>_xlfn.XLOOKUP(CustomerCombined[[#This Row],[ID]], Table4[ID], Table4[Regular], "Not Found", 0)</f>
        <v>89</v>
      </c>
      <c r="R87" s="5">
        <f>_xlfn.XLOOKUP(CustomerCombined[[#This Row],[ID]], Table4[ID], Table4[Deals], "Not Found", 0)</f>
        <v>1</v>
      </c>
      <c r="S87" s="5">
        <f>_xlfn.XLOOKUP(CustomerCombined[[#This Row],[ID]], Table4[ID], Table4[Website], "Not Found", 0)</f>
        <v>1</v>
      </c>
      <c r="T87" s="5">
        <f>_xlfn.XLOOKUP(CustomerCombined[[#This Row],[ID]], Table4[ID], Table4[Catalog], "Not Found", 0)</f>
        <v>0</v>
      </c>
      <c r="U87" s="5">
        <f>_xlfn.XLOOKUP(CustomerCombined[[#This Row],[ID]], Table4[ID], Table4[Store], "Not Found", 0)</f>
        <v>3</v>
      </c>
      <c r="V87" s="5">
        <f>_xlfn.XLOOKUP(CustomerCombined[[#This Row],[ID]], Table4[ID], Table4[Visits], "Not Found", 0)</f>
        <v>8</v>
      </c>
      <c r="W87" s="8">
        <f>_xlfn.XLOOKUP(CustomerCombined[[#This Row],[ID]], Table2[ID],Table2[Complaint], "Not Found", 0 )</f>
        <v>0</v>
      </c>
      <c r="X87" s="8">
        <f>_xlfn.XLOOKUP(CustomerCombined[[#This Row],[ID]], Table2[ID],Table2[Pilot], "Not Found", 0 )</f>
        <v>0</v>
      </c>
      <c r="Y87" s="8">
        <f>_xlfn.XLOOKUP(CustomerCombined[[#This Row],[ID]], Table2[ID],Table2[MC1], "Not Found", 0 )</f>
        <v>0</v>
      </c>
      <c r="Z87" s="8">
        <f>_xlfn.XLOOKUP(CustomerCombined[[#This Row],[ID]], Table2[ID],Table2[MC2], "Not Found", 0 )</f>
        <v>0</v>
      </c>
      <c r="AA87" s="8">
        <f>_xlfn.XLOOKUP(CustomerCombined[[#This Row],[ID]], Table2[ID],Table2[MC3], "Not Found", 0 )</f>
        <v>0</v>
      </c>
      <c r="AB87" s="8">
        <f>_xlfn.XLOOKUP(CustomerCombined[[#This Row],[ID]], Table2[ID],Table2[MC4], "Not Found", 0 )</f>
        <v>0</v>
      </c>
      <c r="AC87" s="8">
        <f>_xlfn.XLOOKUP(CustomerCombined[[#This Row],[ID]], Table2[ID],Table2[MC5], "Not Found", 0 )</f>
        <v>0</v>
      </c>
    </row>
    <row r="88" spans="1:29" x14ac:dyDescent="0.3">
      <c r="A88" s="6">
        <v>1535</v>
      </c>
      <c r="B88" s="6">
        <v>121474</v>
      </c>
      <c r="C88" s="6">
        <v>1</v>
      </c>
      <c r="D88" s="6">
        <v>0</v>
      </c>
      <c r="E88" s="6">
        <v>31</v>
      </c>
      <c r="F88" s="5" t="s">
        <v>7</v>
      </c>
      <c r="G88" s="5" t="s">
        <v>11</v>
      </c>
      <c r="H88" s="3">
        <v>44174</v>
      </c>
      <c r="I88" s="5" t="s">
        <v>434</v>
      </c>
      <c r="J88" s="5">
        <f>_xlfn.XLOOKUP(CustomerCombined[[#This Row],[ID]], Table4[ID], Table4[Recency], "Not Found", 0)</f>
        <v>0</v>
      </c>
      <c r="K88" s="5">
        <f>_xlfn.XLOOKUP(CustomerCombined[[#This Row],[ID]], Table4[ID], Table4[Teas], "Not Found", 0)</f>
        <v>34</v>
      </c>
      <c r="L88" s="5">
        <f>_xlfn.XLOOKUP(CustomerCombined[[#This Row],[ID]], Table4[ID], Table4[Fruits], "Not Found", 0)</f>
        <v>91</v>
      </c>
      <c r="M88" s="5">
        <f>_xlfn.XLOOKUP(CustomerCombined[[#This Row],[ID]], Table4[ID], Table4[Meats], "Not Found", 0)</f>
        <v>136</v>
      </c>
      <c r="N88" s="5">
        <f>_xlfn.XLOOKUP(CustomerCombined[[#This Row],[ID]], Table4[ID], Table4[Seafood], "Not Found", 0)</f>
        <v>62</v>
      </c>
      <c r="O88" s="5">
        <f>_xlfn.XLOOKUP(CustomerCombined[[#This Row],[ID]], Table4[ID], Table4[Sweets], "Not Found", 0)</f>
        <v>0</v>
      </c>
      <c r="P88" s="5">
        <f>_xlfn.XLOOKUP(CustomerCombined[[#This Row],[ID]], Table4[ID], Table4[Premium], "Not Found", 0)</f>
        <v>192</v>
      </c>
      <c r="Q88" s="5">
        <f>_xlfn.XLOOKUP(CustomerCombined[[#This Row],[ID]], Table4[ID], Table4[Regular], "Not Found", 0)</f>
        <v>130</v>
      </c>
      <c r="R88" s="5">
        <f>_xlfn.XLOOKUP(CustomerCombined[[#This Row],[ID]], Table4[ID], Table4[Deals], "Not Found", 0)</f>
        <v>2</v>
      </c>
      <c r="S88" s="5">
        <f>_xlfn.XLOOKUP(CustomerCombined[[#This Row],[ID]], Table4[ID], Table4[Website], "Not Found", 0)</f>
        <v>3</v>
      </c>
      <c r="T88" s="5">
        <f>_xlfn.XLOOKUP(CustomerCombined[[#This Row],[ID]], Table4[ID], Table4[Catalog], "Not Found", 0)</f>
        <v>1</v>
      </c>
      <c r="U88" s="5">
        <f>_xlfn.XLOOKUP(CustomerCombined[[#This Row],[ID]], Table4[ID], Table4[Store], "Not Found", 0)</f>
        <v>2</v>
      </c>
      <c r="V88" s="5">
        <f>_xlfn.XLOOKUP(CustomerCombined[[#This Row],[ID]], Table4[ID], Table4[Visits], "Not Found", 0)</f>
        <v>7</v>
      </c>
      <c r="W88" s="8">
        <f>_xlfn.XLOOKUP(CustomerCombined[[#This Row],[ID]], Table2[ID],Table2[Complaint], "Not Found", 0 )</f>
        <v>0</v>
      </c>
      <c r="X88" s="8">
        <f>_xlfn.XLOOKUP(CustomerCombined[[#This Row],[ID]], Table2[ID],Table2[Pilot], "Not Found", 0 )</f>
        <v>1</v>
      </c>
      <c r="Y88" s="8">
        <f>_xlfn.XLOOKUP(CustomerCombined[[#This Row],[ID]], Table2[ID],Table2[MC1], "Not Found", 0 )</f>
        <v>0</v>
      </c>
      <c r="Z88" s="8">
        <f>_xlfn.XLOOKUP(CustomerCombined[[#This Row],[ID]], Table2[ID],Table2[MC2], "Not Found", 0 )</f>
        <v>0</v>
      </c>
      <c r="AA88" s="8">
        <f>_xlfn.XLOOKUP(CustomerCombined[[#This Row],[ID]], Table2[ID],Table2[MC3], "Not Found", 0 )</f>
        <v>1</v>
      </c>
      <c r="AB88" s="8">
        <f>_xlfn.XLOOKUP(CustomerCombined[[#This Row],[ID]], Table2[ID],Table2[MC4], "Not Found", 0 )</f>
        <v>0</v>
      </c>
      <c r="AC88" s="8">
        <f>_xlfn.XLOOKUP(CustomerCombined[[#This Row],[ID]], Table2[ID],Table2[MC5], "Not Found", 0 )</f>
        <v>0</v>
      </c>
    </row>
    <row r="89" spans="1:29" x14ac:dyDescent="0.3">
      <c r="A89" s="6">
        <v>2677</v>
      </c>
      <c r="B89" s="6">
        <v>118358</v>
      </c>
      <c r="C89" s="6">
        <v>1</v>
      </c>
      <c r="D89" s="6">
        <v>0</v>
      </c>
      <c r="E89" s="6">
        <v>31</v>
      </c>
      <c r="F89" s="5" t="s">
        <v>7</v>
      </c>
      <c r="G89" s="5" t="s">
        <v>11</v>
      </c>
      <c r="H89" s="3" t="s">
        <v>145</v>
      </c>
      <c r="I89" s="5" t="s">
        <v>437</v>
      </c>
      <c r="J89" s="5">
        <f>_xlfn.XLOOKUP(CustomerCombined[[#This Row],[ID]], Table4[ID], Table4[Recency], "Not Found", 0)</f>
        <v>49</v>
      </c>
      <c r="K89" s="5">
        <f>_xlfn.XLOOKUP(CustomerCombined[[#This Row],[ID]], Table4[ID], Table4[Teas], "Not Found", 0)</f>
        <v>39</v>
      </c>
      <c r="L89" s="5">
        <f>_xlfn.XLOOKUP(CustomerCombined[[#This Row],[ID]], Table4[ID], Table4[Fruits], "Not Found", 0)</f>
        <v>52</v>
      </c>
      <c r="M89" s="5">
        <f>_xlfn.XLOOKUP(CustomerCombined[[#This Row],[ID]], Table4[ID], Table4[Meats], "Not Found", 0)</f>
        <v>122</v>
      </c>
      <c r="N89" s="5">
        <f>_xlfn.XLOOKUP(CustomerCombined[[#This Row],[ID]], Table4[ID], Table4[Seafood], "Not Found", 0)</f>
        <v>103</v>
      </c>
      <c r="O89" s="5">
        <f>_xlfn.XLOOKUP(CustomerCombined[[#This Row],[ID]], Table4[ID], Table4[Sweets], "Not Found", 0)</f>
        <v>26</v>
      </c>
      <c r="P89" s="5">
        <f>_xlfn.XLOOKUP(CustomerCombined[[#This Row],[ID]], Table4[ID], Table4[Premium], "Not Found", 0)</f>
        <v>26</v>
      </c>
      <c r="Q89" s="5">
        <f>_xlfn.XLOOKUP(CustomerCombined[[#This Row],[ID]], Table4[ID], Table4[Regular], "Not Found", 0)</f>
        <v>316</v>
      </c>
      <c r="R89" s="5">
        <f>_xlfn.XLOOKUP(CustomerCombined[[#This Row],[ID]], Table4[ID], Table4[Deals], "Not Found", 0)</f>
        <v>3</v>
      </c>
      <c r="S89" s="5">
        <f>_xlfn.XLOOKUP(CustomerCombined[[#This Row],[ID]], Table4[ID], Table4[Website], "Not Found", 0)</f>
        <v>3</v>
      </c>
      <c r="T89" s="5">
        <f>_xlfn.XLOOKUP(CustomerCombined[[#This Row],[ID]], Table4[ID], Table4[Catalog], "Not Found", 0)</f>
        <v>0</v>
      </c>
      <c r="U89" s="5">
        <f>_xlfn.XLOOKUP(CustomerCombined[[#This Row],[ID]], Table4[ID], Table4[Store], "Not Found", 0)</f>
        <v>4</v>
      </c>
      <c r="V89" s="5">
        <f>_xlfn.XLOOKUP(CustomerCombined[[#This Row],[ID]], Table4[ID], Table4[Visits], "Not Found", 0)</f>
        <v>7</v>
      </c>
      <c r="W89" s="8">
        <f>_xlfn.XLOOKUP(CustomerCombined[[#This Row],[ID]], Table2[ID],Table2[Complaint], "Not Found", 0 )</f>
        <v>0</v>
      </c>
      <c r="X89" s="8">
        <f>_xlfn.XLOOKUP(CustomerCombined[[#This Row],[ID]], Table2[ID],Table2[Pilot], "Not Found", 0 )</f>
        <v>0</v>
      </c>
      <c r="Y89" s="8">
        <f>_xlfn.XLOOKUP(CustomerCombined[[#This Row],[ID]], Table2[ID],Table2[MC1], "Not Found", 0 )</f>
        <v>0</v>
      </c>
      <c r="Z89" s="8">
        <f>_xlfn.XLOOKUP(CustomerCombined[[#This Row],[ID]], Table2[ID],Table2[MC2], "Not Found", 0 )</f>
        <v>0</v>
      </c>
      <c r="AA89" s="8">
        <f>_xlfn.XLOOKUP(CustomerCombined[[#This Row],[ID]], Table2[ID],Table2[MC3], "Not Found", 0 )</f>
        <v>0</v>
      </c>
      <c r="AB89" s="8">
        <f>_xlfn.XLOOKUP(CustomerCombined[[#This Row],[ID]], Table2[ID],Table2[MC4], "Not Found", 0 )</f>
        <v>0</v>
      </c>
      <c r="AC89" s="8">
        <f>_xlfn.XLOOKUP(CustomerCombined[[#This Row],[ID]], Table2[ID],Table2[MC5], "Not Found", 0 )</f>
        <v>0</v>
      </c>
    </row>
    <row r="90" spans="1:29" x14ac:dyDescent="0.3">
      <c r="A90" s="6">
        <v>1719</v>
      </c>
      <c r="B90" s="6">
        <v>117487</v>
      </c>
      <c r="C90" s="6">
        <v>1</v>
      </c>
      <c r="D90" s="6">
        <v>0</v>
      </c>
      <c r="E90" s="6">
        <v>31</v>
      </c>
      <c r="F90" s="5" t="s">
        <v>6</v>
      </c>
      <c r="G90" s="5" t="s">
        <v>10</v>
      </c>
      <c r="H90" s="3" t="s">
        <v>290</v>
      </c>
      <c r="I90" s="5" t="s">
        <v>435</v>
      </c>
      <c r="J90" s="5">
        <f>_xlfn.XLOOKUP(CustomerCombined[[#This Row],[ID]], Table4[ID], Table4[Recency], "Not Found", 0)</f>
        <v>37</v>
      </c>
      <c r="K90" s="5">
        <f>_xlfn.XLOOKUP(CustomerCombined[[#This Row],[ID]], Table4[ID], Table4[Teas], "Not Found", 0)</f>
        <v>0</v>
      </c>
      <c r="L90" s="5">
        <f>_xlfn.XLOOKUP(CustomerCombined[[#This Row],[ID]], Table4[ID], Table4[Fruits], "Not Found", 0)</f>
        <v>0</v>
      </c>
      <c r="M90" s="5">
        <f>_xlfn.XLOOKUP(CustomerCombined[[#This Row],[ID]], Table4[ID], Table4[Meats], "Not Found", 0)</f>
        <v>7</v>
      </c>
      <c r="N90" s="5">
        <f>_xlfn.XLOOKUP(CustomerCombined[[#This Row],[ID]], Table4[ID], Table4[Seafood], "Not Found", 0)</f>
        <v>47</v>
      </c>
      <c r="O90" s="5">
        <f>_xlfn.XLOOKUP(CustomerCombined[[#This Row],[ID]], Table4[ID], Table4[Sweets], "Not Found", 0)</f>
        <v>27</v>
      </c>
      <c r="P90" s="5">
        <f>_xlfn.XLOOKUP(CustomerCombined[[#This Row],[ID]], Table4[ID], Table4[Premium], "Not Found", 0)</f>
        <v>40</v>
      </c>
      <c r="Q90" s="5">
        <f>_xlfn.XLOOKUP(CustomerCombined[[#This Row],[ID]], Table4[ID], Table4[Regular], "Not Found", 0)</f>
        <v>40</v>
      </c>
      <c r="R90" s="5">
        <f>_xlfn.XLOOKUP(CustomerCombined[[#This Row],[ID]], Table4[ID], Table4[Deals], "Not Found", 0)</f>
        <v>1</v>
      </c>
      <c r="S90" s="5">
        <f>_xlfn.XLOOKUP(CustomerCombined[[#This Row],[ID]], Table4[ID], Table4[Website], "Not Found", 0)</f>
        <v>1</v>
      </c>
      <c r="T90" s="5">
        <f>_xlfn.XLOOKUP(CustomerCombined[[#This Row],[ID]], Table4[ID], Table4[Catalog], "Not Found", 0)</f>
        <v>0</v>
      </c>
      <c r="U90" s="5">
        <f>_xlfn.XLOOKUP(CustomerCombined[[#This Row],[ID]], Table4[ID], Table4[Store], "Not Found", 0)</f>
        <v>2</v>
      </c>
      <c r="V90" s="5">
        <f>_xlfn.XLOOKUP(CustomerCombined[[#This Row],[ID]], Table4[ID], Table4[Visits], "Not Found", 0)</f>
        <v>7</v>
      </c>
      <c r="W90" s="8">
        <f>_xlfn.XLOOKUP(CustomerCombined[[#This Row],[ID]], Table2[ID],Table2[Complaint], "Not Found", 0 )</f>
        <v>0</v>
      </c>
      <c r="X90" s="8">
        <f>_xlfn.XLOOKUP(CustomerCombined[[#This Row],[ID]], Table2[ID],Table2[Pilot], "Not Found", 0 )</f>
        <v>0</v>
      </c>
      <c r="Y90" s="8">
        <f>_xlfn.XLOOKUP(CustomerCombined[[#This Row],[ID]], Table2[ID],Table2[MC1], "Not Found", 0 )</f>
        <v>0</v>
      </c>
      <c r="Z90" s="8">
        <f>_xlfn.XLOOKUP(CustomerCombined[[#This Row],[ID]], Table2[ID],Table2[MC2], "Not Found", 0 )</f>
        <v>0</v>
      </c>
      <c r="AA90" s="8">
        <f>_xlfn.XLOOKUP(CustomerCombined[[#This Row],[ID]], Table2[ID],Table2[MC3], "Not Found", 0 )</f>
        <v>0</v>
      </c>
      <c r="AB90" s="8">
        <f>_xlfn.XLOOKUP(CustomerCombined[[#This Row],[ID]], Table2[ID],Table2[MC4], "Not Found", 0 )</f>
        <v>0</v>
      </c>
      <c r="AC90" s="8">
        <f>_xlfn.XLOOKUP(CustomerCombined[[#This Row],[ID]], Table2[ID],Table2[MC5], "Not Found", 0 )</f>
        <v>0</v>
      </c>
    </row>
    <row r="91" spans="1:29" x14ac:dyDescent="0.3">
      <c r="A91" s="6">
        <v>1029</v>
      </c>
      <c r="B91" s="6">
        <v>110979</v>
      </c>
      <c r="C91" s="6">
        <v>0</v>
      </c>
      <c r="D91" s="6">
        <v>0</v>
      </c>
      <c r="E91" s="6">
        <v>31</v>
      </c>
      <c r="F91" s="5" t="s">
        <v>5</v>
      </c>
      <c r="G91" s="5" t="s">
        <v>12</v>
      </c>
      <c r="H91" s="3" t="s">
        <v>45</v>
      </c>
      <c r="I91" s="5" t="s">
        <v>435</v>
      </c>
      <c r="J91" s="5">
        <f>_xlfn.XLOOKUP(CustomerCombined[[#This Row],[ID]], Table4[ID], Table4[Recency], "Not Found", 0)</f>
        <v>34</v>
      </c>
      <c r="K91" s="5">
        <f>_xlfn.XLOOKUP(CustomerCombined[[#This Row],[ID]], Table4[ID], Table4[Teas], "Not Found", 0)</f>
        <v>81</v>
      </c>
      <c r="L91" s="5">
        <f>_xlfn.XLOOKUP(CustomerCombined[[#This Row],[ID]], Table4[ID], Table4[Fruits], "Not Found", 0)</f>
        <v>40</v>
      </c>
      <c r="M91" s="5">
        <f>_xlfn.XLOOKUP(CustomerCombined[[#This Row],[ID]], Table4[ID], Table4[Meats], "Not Found", 0)</f>
        <v>101</v>
      </c>
      <c r="N91" s="5">
        <f>_xlfn.XLOOKUP(CustomerCombined[[#This Row],[ID]], Table4[ID], Table4[Seafood], "Not Found", 0)</f>
        <v>20</v>
      </c>
      <c r="O91" s="5">
        <f>_xlfn.XLOOKUP(CustomerCombined[[#This Row],[ID]], Table4[ID], Table4[Sweets], "Not Found", 0)</f>
        <v>20</v>
      </c>
      <c r="P91" s="5">
        <f>_xlfn.XLOOKUP(CustomerCombined[[#This Row],[ID]], Table4[ID], Table4[Premium], "Not Found", 0)</f>
        <v>40</v>
      </c>
      <c r="Q91" s="5">
        <f>_xlfn.XLOOKUP(CustomerCombined[[#This Row],[ID]], Table4[ID], Table4[Regular], "Not Found", 0)</f>
        <v>222</v>
      </c>
      <c r="R91" s="5">
        <f>_xlfn.XLOOKUP(CustomerCombined[[#This Row],[ID]], Table4[ID], Table4[Deals], "Not Found", 0)</f>
        <v>2</v>
      </c>
      <c r="S91" s="5">
        <f>_xlfn.XLOOKUP(CustomerCombined[[#This Row],[ID]], Table4[ID], Table4[Website], "Not Found", 0)</f>
        <v>3</v>
      </c>
      <c r="T91" s="5">
        <f>_xlfn.XLOOKUP(CustomerCombined[[#This Row],[ID]], Table4[ID], Table4[Catalog], "Not Found", 0)</f>
        <v>0</v>
      </c>
      <c r="U91" s="5">
        <f>_xlfn.XLOOKUP(CustomerCombined[[#This Row],[ID]], Table4[ID], Table4[Store], "Not Found", 0)</f>
        <v>3</v>
      </c>
      <c r="V91" s="5">
        <f>_xlfn.XLOOKUP(CustomerCombined[[#This Row],[ID]], Table4[ID], Table4[Visits], "Not Found", 0)</f>
        <v>5</v>
      </c>
      <c r="W91" s="8">
        <f>_xlfn.XLOOKUP(CustomerCombined[[#This Row],[ID]], Table2[ID],Table2[Complaint], "Not Found", 0 )</f>
        <v>0</v>
      </c>
      <c r="X91" s="8">
        <f>_xlfn.XLOOKUP(CustomerCombined[[#This Row],[ID]], Table2[ID],Table2[Pilot], "Not Found", 0 )</f>
        <v>0</v>
      </c>
      <c r="Y91" s="8">
        <f>_xlfn.XLOOKUP(CustomerCombined[[#This Row],[ID]], Table2[ID],Table2[MC1], "Not Found", 0 )</f>
        <v>0</v>
      </c>
      <c r="Z91" s="8">
        <f>_xlfn.XLOOKUP(CustomerCombined[[#This Row],[ID]], Table2[ID],Table2[MC2], "Not Found", 0 )</f>
        <v>0</v>
      </c>
      <c r="AA91" s="8">
        <f>_xlfn.XLOOKUP(CustomerCombined[[#This Row],[ID]], Table2[ID],Table2[MC3], "Not Found", 0 )</f>
        <v>0</v>
      </c>
      <c r="AB91" s="8">
        <f>_xlfn.XLOOKUP(CustomerCombined[[#This Row],[ID]], Table2[ID],Table2[MC4], "Not Found", 0 )</f>
        <v>0</v>
      </c>
      <c r="AC91" s="8">
        <f>_xlfn.XLOOKUP(CustomerCombined[[#This Row],[ID]], Table2[ID],Table2[MC5], "Not Found", 0 )</f>
        <v>0</v>
      </c>
    </row>
    <row r="92" spans="1:29" x14ac:dyDescent="0.3">
      <c r="A92" s="6">
        <v>2119</v>
      </c>
      <c r="B92" s="6">
        <v>110979</v>
      </c>
      <c r="C92" s="6">
        <v>0</v>
      </c>
      <c r="D92" s="6">
        <v>0</v>
      </c>
      <c r="E92" s="6">
        <v>31</v>
      </c>
      <c r="F92" s="5" t="s">
        <v>5</v>
      </c>
      <c r="G92" s="5" t="s">
        <v>12</v>
      </c>
      <c r="H92" s="3" t="s">
        <v>45</v>
      </c>
      <c r="I92" s="5" t="s">
        <v>437</v>
      </c>
      <c r="J92" s="5">
        <f>_xlfn.XLOOKUP(CustomerCombined[[#This Row],[ID]], Table4[ID], Table4[Recency], "Not Found", 0)</f>
        <v>34</v>
      </c>
      <c r="K92" s="5">
        <f>_xlfn.XLOOKUP(CustomerCombined[[#This Row],[ID]], Table4[ID], Table4[Teas], "Not Found", 0)</f>
        <v>81</v>
      </c>
      <c r="L92" s="5">
        <f>_xlfn.XLOOKUP(CustomerCombined[[#This Row],[ID]], Table4[ID], Table4[Fruits], "Not Found", 0)</f>
        <v>40</v>
      </c>
      <c r="M92" s="5">
        <f>_xlfn.XLOOKUP(CustomerCombined[[#This Row],[ID]], Table4[ID], Table4[Meats], "Not Found", 0)</f>
        <v>101</v>
      </c>
      <c r="N92" s="5">
        <f>_xlfn.XLOOKUP(CustomerCombined[[#This Row],[ID]], Table4[ID], Table4[Seafood], "Not Found", 0)</f>
        <v>20</v>
      </c>
      <c r="O92" s="5">
        <f>_xlfn.XLOOKUP(CustomerCombined[[#This Row],[ID]], Table4[ID], Table4[Sweets], "Not Found", 0)</f>
        <v>20</v>
      </c>
      <c r="P92" s="5">
        <f>_xlfn.XLOOKUP(CustomerCombined[[#This Row],[ID]], Table4[ID], Table4[Premium], "Not Found", 0)</f>
        <v>40</v>
      </c>
      <c r="Q92" s="5">
        <f>_xlfn.XLOOKUP(CustomerCombined[[#This Row],[ID]], Table4[ID], Table4[Regular], "Not Found", 0)</f>
        <v>222</v>
      </c>
      <c r="R92" s="5">
        <f>_xlfn.XLOOKUP(CustomerCombined[[#This Row],[ID]], Table4[ID], Table4[Deals], "Not Found", 0)</f>
        <v>2</v>
      </c>
      <c r="S92" s="5">
        <f>_xlfn.XLOOKUP(CustomerCombined[[#This Row],[ID]], Table4[ID], Table4[Website], "Not Found", 0)</f>
        <v>3</v>
      </c>
      <c r="T92" s="5">
        <f>_xlfn.XLOOKUP(CustomerCombined[[#This Row],[ID]], Table4[ID], Table4[Catalog], "Not Found", 0)</f>
        <v>0</v>
      </c>
      <c r="U92" s="5">
        <f>_xlfn.XLOOKUP(CustomerCombined[[#This Row],[ID]], Table4[ID], Table4[Store], "Not Found", 0)</f>
        <v>3</v>
      </c>
      <c r="V92" s="5">
        <f>_xlfn.XLOOKUP(CustomerCombined[[#This Row],[ID]], Table4[ID], Table4[Visits], "Not Found", 0)</f>
        <v>5</v>
      </c>
      <c r="W92" s="8">
        <f>_xlfn.XLOOKUP(CustomerCombined[[#This Row],[ID]], Table2[ID],Table2[Complaint], "Not Found", 0 )</f>
        <v>0</v>
      </c>
      <c r="X92" s="8">
        <f>_xlfn.XLOOKUP(CustomerCombined[[#This Row],[ID]], Table2[ID],Table2[Pilot], "Not Found", 0 )</f>
        <v>0</v>
      </c>
      <c r="Y92" s="8">
        <f>_xlfn.XLOOKUP(CustomerCombined[[#This Row],[ID]], Table2[ID],Table2[MC1], "Not Found", 0 )</f>
        <v>0</v>
      </c>
      <c r="Z92" s="8">
        <f>_xlfn.XLOOKUP(CustomerCombined[[#This Row],[ID]], Table2[ID],Table2[MC2], "Not Found", 0 )</f>
        <v>0</v>
      </c>
      <c r="AA92" s="8">
        <f>_xlfn.XLOOKUP(CustomerCombined[[#This Row],[ID]], Table2[ID],Table2[MC3], "Not Found", 0 )</f>
        <v>0</v>
      </c>
      <c r="AB92" s="8">
        <f>_xlfn.XLOOKUP(CustomerCombined[[#This Row],[ID]], Table2[ID],Table2[MC4], "Not Found", 0 )</f>
        <v>0</v>
      </c>
      <c r="AC92" s="8">
        <f>_xlfn.XLOOKUP(CustomerCombined[[#This Row],[ID]], Table2[ID],Table2[MC5], "Not Found", 0 )</f>
        <v>0</v>
      </c>
    </row>
    <row r="93" spans="1:29" x14ac:dyDescent="0.3">
      <c r="A93" s="6">
        <v>1412</v>
      </c>
      <c r="B93" s="6">
        <v>110404</v>
      </c>
      <c r="C93" s="6">
        <v>1</v>
      </c>
      <c r="D93" s="6">
        <v>0</v>
      </c>
      <c r="E93" s="6">
        <v>31</v>
      </c>
      <c r="F93" s="5" t="s">
        <v>8</v>
      </c>
      <c r="G93" s="5" t="s">
        <v>442</v>
      </c>
      <c r="H93" s="3">
        <v>44053</v>
      </c>
      <c r="I93" s="5" t="s">
        <v>438</v>
      </c>
      <c r="J93" s="5">
        <f>_xlfn.XLOOKUP(CustomerCombined[[#This Row],[ID]], Table4[ID], Table4[Recency], "Not Found", 0)</f>
        <v>52</v>
      </c>
      <c r="K93" s="5">
        <f>_xlfn.XLOOKUP(CustomerCombined[[#This Row],[ID]], Table4[ID], Table4[Teas], "Not Found", 0)</f>
        <v>21</v>
      </c>
      <c r="L93" s="5">
        <f>_xlfn.XLOOKUP(CustomerCombined[[#This Row],[ID]], Table4[ID], Table4[Fruits], "Not Found", 0)</f>
        <v>21</v>
      </c>
      <c r="M93" s="5">
        <f>_xlfn.XLOOKUP(CustomerCombined[[#This Row],[ID]], Table4[ID], Table4[Meats], "Not Found", 0)</f>
        <v>117</v>
      </c>
      <c r="N93" s="5">
        <f>_xlfn.XLOOKUP(CustomerCombined[[#This Row],[ID]], Table4[ID], Table4[Seafood], "Not Found", 0)</f>
        <v>106</v>
      </c>
      <c r="O93" s="5">
        <f>_xlfn.XLOOKUP(CustomerCombined[[#This Row],[ID]], Table4[ID], Table4[Sweets], "Not Found", 0)</f>
        <v>64</v>
      </c>
      <c r="P93" s="5">
        <f>_xlfn.XLOOKUP(CustomerCombined[[#This Row],[ID]], Table4[ID], Table4[Premium], "Not Found", 0)</f>
        <v>127</v>
      </c>
      <c r="Q93" s="5">
        <f>_xlfn.XLOOKUP(CustomerCombined[[#This Row],[ID]], Table4[ID], Table4[Regular], "Not Found", 0)</f>
        <v>202</v>
      </c>
      <c r="R93" s="5">
        <f>_xlfn.XLOOKUP(CustomerCombined[[#This Row],[ID]], Table4[ID], Table4[Deals], "Not Found", 0)</f>
        <v>2</v>
      </c>
      <c r="S93" s="5">
        <f>_xlfn.XLOOKUP(CustomerCombined[[#This Row],[ID]], Table4[ID], Table4[Website], "Not Found", 0)</f>
        <v>1</v>
      </c>
      <c r="T93" s="5">
        <f>_xlfn.XLOOKUP(CustomerCombined[[#This Row],[ID]], Table4[ID], Table4[Catalog], "Not Found", 0)</f>
        <v>0</v>
      </c>
      <c r="U93" s="5">
        <f>_xlfn.XLOOKUP(CustomerCombined[[#This Row],[ID]], Table4[ID], Table4[Store], "Not Found", 0)</f>
        <v>4</v>
      </c>
      <c r="V93" s="5">
        <f>_xlfn.XLOOKUP(CustomerCombined[[#This Row],[ID]], Table4[ID], Table4[Visits], "Not Found", 0)</f>
        <v>5</v>
      </c>
      <c r="W93" s="8">
        <f>_xlfn.XLOOKUP(CustomerCombined[[#This Row],[ID]], Table2[ID],Table2[Complaint], "Not Found", 0 )</f>
        <v>0</v>
      </c>
      <c r="X93" s="8">
        <f>_xlfn.XLOOKUP(CustomerCombined[[#This Row],[ID]], Table2[ID],Table2[Pilot], "Not Found", 0 )</f>
        <v>0</v>
      </c>
      <c r="Y93" s="8">
        <f>_xlfn.XLOOKUP(CustomerCombined[[#This Row],[ID]], Table2[ID],Table2[MC1], "Not Found", 0 )</f>
        <v>0</v>
      </c>
      <c r="Z93" s="8">
        <f>_xlfn.XLOOKUP(CustomerCombined[[#This Row],[ID]], Table2[ID],Table2[MC2], "Not Found", 0 )</f>
        <v>0</v>
      </c>
      <c r="AA93" s="8">
        <f>_xlfn.XLOOKUP(CustomerCombined[[#This Row],[ID]], Table2[ID],Table2[MC3], "Not Found", 0 )</f>
        <v>0</v>
      </c>
      <c r="AB93" s="8">
        <f>_xlfn.XLOOKUP(CustomerCombined[[#This Row],[ID]], Table2[ID],Table2[MC4], "Not Found", 0 )</f>
        <v>0</v>
      </c>
      <c r="AC93" s="8">
        <f>_xlfn.XLOOKUP(CustomerCombined[[#This Row],[ID]], Table2[ID],Table2[MC5], "Not Found", 0 )</f>
        <v>0</v>
      </c>
    </row>
    <row r="94" spans="1:29" x14ac:dyDescent="0.3">
      <c r="A94" s="6">
        <v>2512</v>
      </c>
      <c r="B94" s="6">
        <v>109255</v>
      </c>
      <c r="C94" s="6">
        <v>1</v>
      </c>
      <c r="D94" s="6">
        <v>0</v>
      </c>
      <c r="E94" s="6">
        <v>31</v>
      </c>
      <c r="F94" s="5" t="s">
        <v>7</v>
      </c>
      <c r="G94" s="5" t="s">
        <v>11</v>
      </c>
      <c r="H94" s="3" t="s">
        <v>128</v>
      </c>
      <c r="I94" s="5" t="s">
        <v>439</v>
      </c>
      <c r="J94" s="5">
        <f>_xlfn.XLOOKUP(CustomerCombined[[#This Row],[ID]], Table4[ID], Table4[Recency], "Not Found", 0)</f>
        <v>91</v>
      </c>
      <c r="K94" s="5">
        <f>_xlfn.XLOOKUP(CustomerCombined[[#This Row],[ID]], Table4[ID], Table4[Teas], "Not Found", 0)</f>
        <v>106</v>
      </c>
      <c r="L94" s="5">
        <f>_xlfn.XLOOKUP(CustomerCombined[[#This Row],[ID]], Table4[ID], Table4[Fruits], "Not Found", 0)</f>
        <v>0</v>
      </c>
      <c r="M94" s="5">
        <f>_xlfn.XLOOKUP(CustomerCombined[[#This Row],[ID]], Table4[ID], Table4[Meats], "Not Found", 0)</f>
        <v>83</v>
      </c>
      <c r="N94" s="5">
        <f>_xlfn.XLOOKUP(CustomerCombined[[#This Row],[ID]], Table4[ID], Table4[Seafood], "Not Found", 0)</f>
        <v>24</v>
      </c>
      <c r="O94" s="5">
        <f>_xlfn.XLOOKUP(CustomerCombined[[#This Row],[ID]], Table4[ID], Table4[Sweets], "Not Found", 0)</f>
        <v>0</v>
      </c>
      <c r="P94" s="5">
        <f>_xlfn.XLOOKUP(CustomerCombined[[#This Row],[ID]], Table4[ID], Table4[Premium], "Not Found", 0)</f>
        <v>47</v>
      </c>
      <c r="Q94" s="5">
        <f>_xlfn.XLOOKUP(CustomerCombined[[#This Row],[ID]], Table4[ID], Table4[Regular], "Not Found", 0)</f>
        <v>165</v>
      </c>
      <c r="R94" s="5">
        <f>_xlfn.XLOOKUP(CustomerCombined[[#This Row],[ID]], Table4[ID], Table4[Deals], "Not Found", 0)</f>
        <v>1</v>
      </c>
      <c r="S94" s="5">
        <f>_xlfn.XLOOKUP(CustomerCombined[[#This Row],[ID]], Table4[ID], Table4[Website], "Not Found", 0)</f>
        <v>1</v>
      </c>
      <c r="T94" s="5">
        <f>_xlfn.XLOOKUP(CustomerCombined[[#This Row],[ID]], Table4[ID], Table4[Catalog], "Not Found", 0)</f>
        <v>1</v>
      </c>
      <c r="U94" s="5">
        <f>_xlfn.XLOOKUP(CustomerCombined[[#This Row],[ID]], Table4[ID], Table4[Store], "Not Found", 0)</f>
        <v>2</v>
      </c>
      <c r="V94" s="5">
        <f>_xlfn.XLOOKUP(CustomerCombined[[#This Row],[ID]], Table4[ID], Table4[Visits], "Not Found", 0)</f>
        <v>8</v>
      </c>
      <c r="W94" s="8">
        <f>_xlfn.XLOOKUP(CustomerCombined[[#This Row],[ID]], Table2[ID],Table2[Complaint], "Not Found", 0 )</f>
        <v>0</v>
      </c>
      <c r="X94" s="8">
        <f>_xlfn.XLOOKUP(CustomerCombined[[#This Row],[ID]], Table2[ID],Table2[Pilot], "Not Found", 0 )</f>
        <v>0</v>
      </c>
      <c r="Y94" s="8">
        <f>_xlfn.XLOOKUP(CustomerCombined[[#This Row],[ID]], Table2[ID],Table2[MC1], "Not Found", 0 )</f>
        <v>0</v>
      </c>
      <c r="Z94" s="8">
        <f>_xlfn.XLOOKUP(CustomerCombined[[#This Row],[ID]], Table2[ID],Table2[MC2], "Not Found", 0 )</f>
        <v>0</v>
      </c>
      <c r="AA94" s="8">
        <f>_xlfn.XLOOKUP(CustomerCombined[[#This Row],[ID]], Table2[ID],Table2[MC3], "Not Found", 0 )</f>
        <v>0</v>
      </c>
      <c r="AB94" s="8">
        <f>_xlfn.XLOOKUP(CustomerCombined[[#This Row],[ID]], Table2[ID],Table2[MC4], "Not Found", 0 )</f>
        <v>0</v>
      </c>
      <c r="AC94" s="8">
        <f>_xlfn.XLOOKUP(CustomerCombined[[#This Row],[ID]], Table2[ID],Table2[MC5], "Not Found", 0 )</f>
        <v>0</v>
      </c>
    </row>
    <row r="95" spans="1:29" x14ac:dyDescent="0.3">
      <c r="A95" s="6">
        <v>1684</v>
      </c>
      <c r="B95" s="6">
        <v>190247</v>
      </c>
      <c r="C95" s="6">
        <v>0</v>
      </c>
      <c r="D95" s="6">
        <v>0</v>
      </c>
      <c r="E95" s="6">
        <v>32</v>
      </c>
      <c r="F95" s="5" t="s">
        <v>7</v>
      </c>
      <c r="G95" s="5" t="s">
        <v>12</v>
      </c>
      <c r="H95" s="3">
        <v>43900</v>
      </c>
      <c r="I95" s="5" t="s">
        <v>439</v>
      </c>
      <c r="J95" s="5">
        <f>_xlfn.XLOOKUP(CustomerCombined[[#This Row],[ID]], Table4[ID], Table4[Recency], "Not Found", 0)</f>
        <v>27</v>
      </c>
      <c r="K95" s="5">
        <f>_xlfn.XLOOKUP(CustomerCombined[[#This Row],[ID]], Table4[ID], Table4[Teas], "Not Found", 0)</f>
        <v>2496</v>
      </c>
      <c r="L95" s="5">
        <f>_xlfn.XLOOKUP(CustomerCombined[[#This Row],[ID]], Table4[ID], Table4[Fruits], "Not Found", 0)</f>
        <v>67</v>
      </c>
      <c r="M95" s="5">
        <f>_xlfn.XLOOKUP(CustomerCombined[[#This Row],[ID]], Table4[ID], Table4[Meats], "Not Found", 0)</f>
        <v>742</v>
      </c>
      <c r="N95" s="5">
        <f>_xlfn.XLOOKUP(CustomerCombined[[#This Row],[ID]], Table4[ID], Table4[Seafood], "Not Found", 0)</f>
        <v>44</v>
      </c>
      <c r="O95" s="5">
        <f>_xlfn.XLOOKUP(CustomerCombined[[#This Row],[ID]], Table4[ID], Table4[Sweets], "Not Found", 0)</f>
        <v>34</v>
      </c>
      <c r="P95" s="5">
        <f>_xlfn.XLOOKUP(CustomerCombined[[#This Row],[ID]], Table4[ID], Table4[Premium], "Not Found", 0)</f>
        <v>34</v>
      </c>
      <c r="Q95" s="5">
        <f>_xlfn.XLOOKUP(CustomerCombined[[#This Row],[ID]], Table4[ID], Table4[Regular], "Not Found", 0)</f>
        <v>3350</v>
      </c>
      <c r="R95" s="5">
        <f>_xlfn.XLOOKUP(CustomerCombined[[#This Row],[ID]], Table4[ID], Table4[Deals], "Not Found", 0)</f>
        <v>1</v>
      </c>
      <c r="S95" s="5">
        <f>_xlfn.XLOOKUP(CustomerCombined[[#This Row],[ID]], Table4[ID], Table4[Website], "Not Found", 0)</f>
        <v>3</v>
      </c>
      <c r="T95" s="5">
        <f>_xlfn.XLOOKUP(CustomerCombined[[#This Row],[ID]], Table4[ID], Table4[Catalog], "Not Found", 0)</f>
        <v>4</v>
      </c>
      <c r="U95" s="5">
        <f>_xlfn.XLOOKUP(CustomerCombined[[#This Row],[ID]], Table4[ID], Table4[Store], "Not Found", 0)</f>
        <v>7</v>
      </c>
      <c r="V95" s="5">
        <f>_xlfn.XLOOKUP(CustomerCombined[[#This Row],[ID]], Table4[ID], Table4[Visits], "Not Found", 0)</f>
        <v>1</v>
      </c>
      <c r="W95" s="8">
        <f>_xlfn.XLOOKUP(CustomerCombined[[#This Row],[ID]], Table2[ID],Table2[Complaint], "Not Found", 0 )</f>
        <v>0</v>
      </c>
      <c r="X95" s="8">
        <f>_xlfn.XLOOKUP(CustomerCombined[[#This Row],[ID]], Table2[ID],Table2[Pilot], "Not Found", 0 )</f>
        <v>1</v>
      </c>
      <c r="Y95" s="8">
        <f>_xlfn.XLOOKUP(CustomerCombined[[#This Row],[ID]], Table2[ID],Table2[MC1], "Not Found", 0 )</f>
        <v>1</v>
      </c>
      <c r="Z95" s="8">
        <f>_xlfn.XLOOKUP(CustomerCombined[[#This Row],[ID]], Table2[ID],Table2[MC2], "Not Found", 0 )</f>
        <v>0</v>
      </c>
      <c r="AA95" s="8">
        <f>_xlfn.XLOOKUP(CustomerCombined[[#This Row],[ID]], Table2[ID],Table2[MC3], "Not Found", 0 )</f>
        <v>0</v>
      </c>
      <c r="AB95" s="8">
        <f>_xlfn.XLOOKUP(CustomerCombined[[#This Row],[ID]], Table2[ID],Table2[MC4], "Not Found", 0 )</f>
        <v>1</v>
      </c>
      <c r="AC95" s="8">
        <f>_xlfn.XLOOKUP(CustomerCombined[[#This Row],[ID]], Table2[ID],Table2[MC5], "Not Found", 0 )</f>
        <v>1</v>
      </c>
    </row>
    <row r="96" spans="1:29" x14ac:dyDescent="0.3">
      <c r="A96" s="6">
        <v>2468</v>
      </c>
      <c r="B96" s="6">
        <v>187679</v>
      </c>
      <c r="C96" s="6">
        <v>0</v>
      </c>
      <c r="D96" s="6">
        <v>0</v>
      </c>
      <c r="E96" s="6">
        <v>32</v>
      </c>
      <c r="F96" s="5" t="s">
        <v>8</v>
      </c>
      <c r="G96" s="5" t="s">
        <v>11</v>
      </c>
      <c r="H96" s="3">
        <v>43831</v>
      </c>
      <c r="I96" s="5" t="s">
        <v>438</v>
      </c>
      <c r="J96" s="5">
        <f>_xlfn.XLOOKUP(CustomerCombined[[#This Row],[ID]], Table4[ID], Table4[Recency], "Not Found", 0)</f>
        <v>62</v>
      </c>
      <c r="K96" s="5">
        <f>_xlfn.XLOOKUP(CustomerCombined[[#This Row],[ID]], Table4[ID], Table4[Teas], "Not Found", 0)</f>
        <v>2695</v>
      </c>
      <c r="L96" s="5">
        <f>_xlfn.XLOOKUP(CustomerCombined[[#This Row],[ID]], Table4[ID], Table4[Fruits], "Not Found", 0)</f>
        <v>368</v>
      </c>
      <c r="M96" s="5">
        <f>_xlfn.XLOOKUP(CustomerCombined[[#This Row],[ID]], Table4[ID], Table4[Meats], "Not Found", 0)</f>
        <v>1745</v>
      </c>
      <c r="N96" s="5">
        <f>_xlfn.XLOOKUP(CustomerCombined[[#This Row],[ID]], Table4[ID], Table4[Seafood], "Not Found", 0)</f>
        <v>208</v>
      </c>
      <c r="O96" s="5">
        <f>_xlfn.XLOOKUP(CustomerCombined[[#This Row],[ID]], Table4[ID], Table4[Sweets], "Not Found", 0)</f>
        <v>317</v>
      </c>
      <c r="P96" s="5">
        <f>_xlfn.XLOOKUP(CustomerCombined[[#This Row],[ID]], Table4[ID], Table4[Premium], "Not Found", 0)</f>
        <v>71</v>
      </c>
      <c r="Q96" s="5">
        <f>_xlfn.XLOOKUP(CustomerCombined[[#This Row],[ID]], Table4[ID], Table4[Regular], "Not Found", 0)</f>
        <v>5261</v>
      </c>
      <c r="R96" s="5">
        <f>_xlfn.XLOOKUP(CustomerCombined[[#This Row],[ID]], Table4[ID], Table4[Deals], "Not Found", 0)</f>
        <v>1</v>
      </c>
      <c r="S96" s="5">
        <f>_xlfn.XLOOKUP(CustomerCombined[[#This Row],[ID]], Table4[ID], Table4[Website], "Not Found", 0)</f>
        <v>7</v>
      </c>
      <c r="T96" s="5">
        <f>_xlfn.XLOOKUP(CustomerCombined[[#This Row],[ID]], Table4[ID], Table4[Catalog], "Not Found", 0)</f>
        <v>11</v>
      </c>
      <c r="U96" s="5">
        <f>_xlfn.XLOOKUP(CustomerCombined[[#This Row],[ID]], Table4[ID], Table4[Store], "Not Found", 0)</f>
        <v>10</v>
      </c>
      <c r="V96" s="5">
        <f>_xlfn.XLOOKUP(CustomerCombined[[#This Row],[ID]], Table4[ID], Table4[Visits], "Not Found", 0)</f>
        <v>4</v>
      </c>
      <c r="W96" s="8">
        <f>_xlfn.XLOOKUP(CustomerCombined[[#This Row],[ID]], Table2[ID],Table2[Complaint], "Not Found", 0 )</f>
        <v>0</v>
      </c>
      <c r="X96" s="8">
        <f>_xlfn.XLOOKUP(CustomerCombined[[#This Row],[ID]], Table2[ID],Table2[Pilot], "Not Found", 0 )</f>
        <v>1</v>
      </c>
      <c r="Y96" s="8">
        <f>_xlfn.XLOOKUP(CustomerCombined[[#This Row],[ID]], Table2[ID],Table2[MC1], "Not Found", 0 )</f>
        <v>1</v>
      </c>
      <c r="Z96" s="8">
        <f>_xlfn.XLOOKUP(CustomerCombined[[#This Row],[ID]], Table2[ID],Table2[MC2], "Not Found", 0 )</f>
        <v>0</v>
      </c>
      <c r="AA96" s="8">
        <f>_xlfn.XLOOKUP(CustomerCombined[[#This Row],[ID]], Table2[ID],Table2[MC3], "Not Found", 0 )</f>
        <v>1</v>
      </c>
      <c r="AB96" s="8">
        <f>_xlfn.XLOOKUP(CustomerCombined[[#This Row],[ID]], Table2[ID],Table2[MC4], "Not Found", 0 )</f>
        <v>0</v>
      </c>
      <c r="AC96" s="8">
        <f>_xlfn.XLOOKUP(CustomerCombined[[#This Row],[ID]], Table2[ID],Table2[MC5], "Not Found", 0 )</f>
        <v>1</v>
      </c>
    </row>
    <row r="97" spans="1:29" x14ac:dyDescent="0.3">
      <c r="A97" s="6">
        <v>1951</v>
      </c>
      <c r="B97" s="6">
        <v>184219</v>
      </c>
      <c r="C97" s="6">
        <v>0</v>
      </c>
      <c r="D97" s="6">
        <v>0</v>
      </c>
      <c r="E97" s="6">
        <v>32</v>
      </c>
      <c r="F97" s="5" t="s">
        <v>6</v>
      </c>
      <c r="G97" s="5" t="s">
        <v>11</v>
      </c>
      <c r="H97" s="3">
        <v>44081</v>
      </c>
      <c r="I97" s="5" t="s">
        <v>437</v>
      </c>
      <c r="J97" s="5">
        <f>_xlfn.XLOOKUP(CustomerCombined[[#This Row],[ID]], Table4[ID], Table4[Recency], "Not Found", 0)</f>
        <v>27</v>
      </c>
      <c r="K97" s="5">
        <f>_xlfn.XLOOKUP(CustomerCombined[[#This Row],[ID]], Table4[ID], Table4[Teas], "Not Found", 0)</f>
        <v>949</v>
      </c>
      <c r="L97" s="5">
        <f>_xlfn.XLOOKUP(CustomerCombined[[#This Row],[ID]], Table4[ID], Table4[Fruits], "Not Found", 0)</f>
        <v>300</v>
      </c>
      <c r="M97" s="5">
        <f>_xlfn.XLOOKUP(CustomerCombined[[#This Row],[ID]], Table4[ID], Table4[Meats], "Not Found", 0)</f>
        <v>875</v>
      </c>
      <c r="N97" s="5">
        <f>_xlfn.XLOOKUP(CustomerCombined[[#This Row],[ID]], Table4[ID], Table4[Seafood], "Not Found", 0)</f>
        <v>98</v>
      </c>
      <c r="O97" s="5">
        <f>_xlfn.XLOOKUP(CustomerCombined[[#This Row],[ID]], Table4[ID], Table4[Sweets], "Not Found", 0)</f>
        <v>300</v>
      </c>
      <c r="P97" s="5">
        <f>_xlfn.XLOOKUP(CustomerCombined[[#This Row],[ID]], Table4[ID], Table4[Premium], "Not Found", 0)</f>
        <v>98</v>
      </c>
      <c r="Q97" s="5">
        <f>_xlfn.XLOOKUP(CustomerCombined[[#This Row],[ID]], Table4[ID], Table4[Regular], "Not Found", 0)</f>
        <v>2424</v>
      </c>
      <c r="R97" s="5">
        <f>_xlfn.XLOOKUP(CustomerCombined[[#This Row],[ID]], Table4[ID], Table4[Deals], "Not Found", 0)</f>
        <v>1</v>
      </c>
      <c r="S97" s="5">
        <f>_xlfn.XLOOKUP(CustomerCombined[[#This Row],[ID]], Table4[ID], Table4[Website], "Not Found", 0)</f>
        <v>3</v>
      </c>
      <c r="T97" s="5">
        <f>_xlfn.XLOOKUP(CustomerCombined[[#This Row],[ID]], Table4[ID], Table4[Catalog], "Not Found", 0)</f>
        <v>4</v>
      </c>
      <c r="U97" s="5">
        <f>_xlfn.XLOOKUP(CustomerCombined[[#This Row],[ID]], Table4[ID], Table4[Store], "Not Found", 0)</f>
        <v>10</v>
      </c>
      <c r="V97" s="5">
        <f>_xlfn.XLOOKUP(CustomerCombined[[#This Row],[ID]], Table4[ID], Table4[Visits], "Not Found", 0)</f>
        <v>1</v>
      </c>
      <c r="W97" s="8">
        <f>_xlfn.XLOOKUP(CustomerCombined[[#This Row],[ID]], Table2[ID],Table2[Complaint], "Not Found", 0 )</f>
        <v>0</v>
      </c>
      <c r="X97" s="8">
        <f>_xlfn.XLOOKUP(CustomerCombined[[#This Row],[ID]], Table2[ID],Table2[Pilot], "Not Found", 0 )</f>
        <v>0</v>
      </c>
      <c r="Y97" s="8">
        <f>_xlfn.XLOOKUP(CustomerCombined[[#This Row],[ID]], Table2[ID],Table2[MC1], "Not Found", 0 )</f>
        <v>0</v>
      </c>
      <c r="Z97" s="8">
        <f>_xlfn.XLOOKUP(CustomerCombined[[#This Row],[ID]], Table2[ID],Table2[MC2], "Not Found", 0 )</f>
        <v>0</v>
      </c>
      <c r="AA97" s="8">
        <f>_xlfn.XLOOKUP(CustomerCombined[[#This Row],[ID]], Table2[ID],Table2[MC3], "Not Found", 0 )</f>
        <v>0</v>
      </c>
      <c r="AB97" s="8">
        <f>_xlfn.XLOOKUP(CustomerCombined[[#This Row],[ID]], Table2[ID],Table2[MC4], "Not Found", 0 )</f>
        <v>0</v>
      </c>
      <c r="AC97" s="8">
        <f>_xlfn.XLOOKUP(CustomerCombined[[#This Row],[ID]], Table2[ID],Table2[MC5], "Not Found", 0 )</f>
        <v>0</v>
      </c>
    </row>
    <row r="98" spans="1:29" x14ac:dyDescent="0.3">
      <c r="A98" s="6">
        <v>2486</v>
      </c>
      <c r="B98" s="6">
        <v>184219</v>
      </c>
      <c r="C98" s="6">
        <v>0</v>
      </c>
      <c r="D98" s="6">
        <v>0</v>
      </c>
      <c r="E98" s="6">
        <v>32</v>
      </c>
      <c r="F98" s="5" t="s">
        <v>6</v>
      </c>
      <c r="G98" s="5" t="s">
        <v>11</v>
      </c>
      <c r="H98" s="3">
        <v>44081</v>
      </c>
      <c r="I98" s="5" t="s">
        <v>438</v>
      </c>
      <c r="J98" s="5">
        <f>_xlfn.XLOOKUP(CustomerCombined[[#This Row],[ID]], Table4[ID], Table4[Recency], "Not Found", 0)</f>
        <v>27</v>
      </c>
      <c r="K98" s="5">
        <f>_xlfn.XLOOKUP(CustomerCombined[[#This Row],[ID]], Table4[ID], Table4[Teas], "Not Found", 0)</f>
        <v>949</v>
      </c>
      <c r="L98" s="5">
        <f>_xlfn.XLOOKUP(CustomerCombined[[#This Row],[ID]], Table4[ID], Table4[Fruits], "Not Found", 0)</f>
        <v>300</v>
      </c>
      <c r="M98" s="5">
        <f>_xlfn.XLOOKUP(CustomerCombined[[#This Row],[ID]], Table4[ID], Table4[Meats], "Not Found", 0)</f>
        <v>875</v>
      </c>
      <c r="N98" s="5">
        <f>_xlfn.XLOOKUP(CustomerCombined[[#This Row],[ID]], Table4[ID], Table4[Seafood], "Not Found", 0)</f>
        <v>98</v>
      </c>
      <c r="O98" s="5">
        <f>_xlfn.XLOOKUP(CustomerCombined[[#This Row],[ID]], Table4[ID], Table4[Sweets], "Not Found", 0)</f>
        <v>300</v>
      </c>
      <c r="P98" s="5">
        <f>_xlfn.XLOOKUP(CustomerCombined[[#This Row],[ID]], Table4[ID], Table4[Premium], "Not Found", 0)</f>
        <v>98</v>
      </c>
      <c r="Q98" s="5">
        <f>_xlfn.XLOOKUP(CustomerCombined[[#This Row],[ID]], Table4[ID], Table4[Regular], "Not Found", 0)</f>
        <v>2424</v>
      </c>
      <c r="R98" s="5">
        <f>_xlfn.XLOOKUP(CustomerCombined[[#This Row],[ID]], Table4[ID], Table4[Deals], "Not Found", 0)</f>
        <v>1</v>
      </c>
      <c r="S98" s="5">
        <f>_xlfn.XLOOKUP(CustomerCombined[[#This Row],[ID]], Table4[ID], Table4[Website], "Not Found", 0)</f>
        <v>3</v>
      </c>
      <c r="T98" s="5">
        <f>_xlfn.XLOOKUP(CustomerCombined[[#This Row],[ID]], Table4[ID], Table4[Catalog], "Not Found", 0)</f>
        <v>4</v>
      </c>
      <c r="U98" s="5">
        <f>_xlfn.XLOOKUP(CustomerCombined[[#This Row],[ID]], Table4[ID], Table4[Store], "Not Found", 0)</f>
        <v>10</v>
      </c>
      <c r="V98" s="5">
        <f>_xlfn.XLOOKUP(CustomerCombined[[#This Row],[ID]], Table4[ID], Table4[Visits], "Not Found", 0)</f>
        <v>1</v>
      </c>
      <c r="W98" s="8">
        <f>_xlfn.XLOOKUP(CustomerCombined[[#This Row],[ID]], Table2[ID],Table2[Complaint], "Not Found", 0 )</f>
        <v>0</v>
      </c>
      <c r="X98" s="8">
        <f>_xlfn.XLOOKUP(CustomerCombined[[#This Row],[ID]], Table2[ID],Table2[Pilot], "Not Found", 0 )</f>
        <v>0</v>
      </c>
      <c r="Y98" s="8">
        <f>_xlfn.XLOOKUP(CustomerCombined[[#This Row],[ID]], Table2[ID],Table2[MC1], "Not Found", 0 )</f>
        <v>0</v>
      </c>
      <c r="Z98" s="8">
        <f>_xlfn.XLOOKUP(CustomerCombined[[#This Row],[ID]], Table2[ID],Table2[MC2], "Not Found", 0 )</f>
        <v>0</v>
      </c>
      <c r="AA98" s="8">
        <f>_xlfn.XLOOKUP(CustomerCombined[[#This Row],[ID]], Table2[ID],Table2[MC3], "Not Found", 0 )</f>
        <v>0</v>
      </c>
      <c r="AB98" s="8">
        <f>_xlfn.XLOOKUP(CustomerCombined[[#This Row],[ID]], Table2[ID],Table2[MC4], "Not Found", 0 )</f>
        <v>0</v>
      </c>
      <c r="AC98" s="8">
        <f>_xlfn.XLOOKUP(CustomerCombined[[#This Row],[ID]], Table2[ID],Table2[MC5], "Not Found", 0 )</f>
        <v>0</v>
      </c>
    </row>
    <row r="99" spans="1:29" x14ac:dyDescent="0.3">
      <c r="A99" s="6">
        <v>1743</v>
      </c>
      <c r="B99" s="6">
        <v>178285</v>
      </c>
      <c r="C99" s="6">
        <v>0</v>
      </c>
      <c r="D99" s="6">
        <v>0</v>
      </c>
      <c r="E99" s="6">
        <v>32</v>
      </c>
      <c r="F99" s="5" t="s">
        <v>6</v>
      </c>
      <c r="G99" s="5" t="s">
        <v>12</v>
      </c>
      <c r="H99" s="3">
        <v>43894</v>
      </c>
      <c r="I99" s="5" t="s">
        <v>435</v>
      </c>
      <c r="J99" s="5">
        <f>_xlfn.XLOOKUP(CustomerCombined[[#This Row],[ID]], Table4[ID], Table4[Recency], "Not Found", 0)</f>
        <v>13</v>
      </c>
      <c r="K99" s="5">
        <f>_xlfn.XLOOKUP(CustomerCombined[[#This Row],[ID]], Table4[ID], Table4[Teas], "Not Found", 0)</f>
        <v>1473</v>
      </c>
      <c r="L99" s="5">
        <f>_xlfn.XLOOKUP(CustomerCombined[[#This Row],[ID]], Table4[ID], Table4[Fruits], "Not Found", 0)</f>
        <v>244</v>
      </c>
      <c r="M99" s="5">
        <f>_xlfn.XLOOKUP(CustomerCombined[[#This Row],[ID]], Table4[ID], Table4[Meats], "Not Found", 0)</f>
        <v>890</v>
      </c>
      <c r="N99" s="5">
        <f>_xlfn.XLOOKUP(CustomerCombined[[#This Row],[ID]], Table4[ID], Table4[Seafood], "Not Found", 0)</f>
        <v>399</v>
      </c>
      <c r="O99" s="5">
        <f>_xlfn.XLOOKUP(CustomerCombined[[#This Row],[ID]], Table4[ID], Table4[Sweets], "Not Found", 0)</f>
        <v>153</v>
      </c>
      <c r="P99" s="5">
        <f>_xlfn.XLOOKUP(CustomerCombined[[#This Row],[ID]], Table4[ID], Table4[Premium], "Not Found", 0)</f>
        <v>91</v>
      </c>
      <c r="Q99" s="5">
        <f>_xlfn.XLOOKUP(CustomerCombined[[#This Row],[ID]], Table4[ID], Table4[Regular], "Not Found", 0)</f>
        <v>3068</v>
      </c>
      <c r="R99" s="5">
        <f>_xlfn.XLOOKUP(CustomerCombined[[#This Row],[ID]], Table4[ID], Table4[Deals], "Not Found", 0)</f>
        <v>1</v>
      </c>
      <c r="S99" s="5">
        <f>_xlfn.XLOOKUP(CustomerCombined[[#This Row],[ID]], Table4[ID], Table4[Website], "Not Found", 0)</f>
        <v>6</v>
      </c>
      <c r="T99" s="5">
        <f>_xlfn.XLOOKUP(CustomerCombined[[#This Row],[ID]], Table4[ID], Table4[Catalog], "Not Found", 0)</f>
        <v>4</v>
      </c>
      <c r="U99" s="5">
        <f>_xlfn.XLOOKUP(CustomerCombined[[#This Row],[ID]], Table4[ID], Table4[Store], "Not Found", 0)</f>
        <v>10</v>
      </c>
      <c r="V99" s="5">
        <f>_xlfn.XLOOKUP(CustomerCombined[[#This Row],[ID]], Table4[ID], Table4[Visits], "Not Found", 0)</f>
        <v>3</v>
      </c>
      <c r="W99" s="8">
        <f>_xlfn.XLOOKUP(CustomerCombined[[#This Row],[ID]], Table2[ID],Table2[Complaint], "Not Found", 0 )</f>
        <v>0</v>
      </c>
      <c r="X99" s="8">
        <f>_xlfn.XLOOKUP(CustomerCombined[[#This Row],[ID]], Table2[ID],Table2[Pilot], "Not Found", 0 )</f>
        <v>0</v>
      </c>
      <c r="Y99" s="8">
        <f>_xlfn.XLOOKUP(CustomerCombined[[#This Row],[ID]], Table2[ID],Table2[MC1], "Not Found", 0 )</f>
        <v>0</v>
      </c>
      <c r="Z99" s="8">
        <f>_xlfn.XLOOKUP(CustomerCombined[[#This Row],[ID]], Table2[ID],Table2[MC2], "Not Found", 0 )</f>
        <v>0</v>
      </c>
      <c r="AA99" s="8">
        <f>_xlfn.XLOOKUP(CustomerCombined[[#This Row],[ID]], Table2[ID],Table2[MC3], "Not Found", 0 )</f>
        <v>0</v>
      </c>
      <c r="AB99" s="8">
        <f>_xlfn.XLOOKUP(CustomerCombined[[#This Row],[ID]], Table2[ID],Table2[MC4], "Not Found", 0 )</f>
        <v>0</v>
      </c>
      <c r="AC99" s="8">
        <f>_xlfn.XLOOKUP(CustomerCombined[[#This Row],[ID]], Table2[ID],Table2[MC5], "Not Found", 0 )</f>
        <v>0</v>
      </c>
    </row>
    <row r="100" spans="1:29" x14ac:dyDescent="0.3">
      <c r="A100" s="6">
        <v>1324</v>
      </c>
      <c r="B100" s="6">
        <v>168655</v>
      </c>
      <c r="C100" s="6">
        <v>0</v>
      </c>
      <c r="D100" s="6">
        <v>0</v>
      </c>
      <c r="E100" s="6">
        <v>32</v>
      </c>
      <c r="F100" s="5" t="s">
        <v>7</v>
      </c>
      <c r="G100" s="5" t="s">
        <v>11</v>
      </c>
      <c r="H100" s="3" t="s">
        <v>418</v>
      </c>
      <c r="I100" s="5" t="s">
        <v>439</v>
      </c>
      <c r="J100" s="5">
        <f>_xlfn.XLOOKUP(CustomerCombined[[#This Row],[ID]], Table4[ID], Table4[Recency], "Not Found", 0)</f>
        <v>95</v>
      </c>
      <c r="K100" s="5">
        <f>_xlfn.XLOOKUP(CustomerCombined[[#This Row],[ID]], Table4[ID], Table4[Teas], "Not Found", 0)</f>
        <v>1120</v>
      </c>
      <c r="L100" s="5">
        <f>_xlfn.XLOOKUP(CustomerCombined[[#This Row],[ID]], Table4[ID], Table4[Fruits], "Not Found", 0)</f>
        <v>47</v>
      </c>
      <c r="M100" s="5">
        <f>_xlfn.XLOOKUP(CustomerCombined[[#This Row],[ID]], Table4[ID], Table4[Meats], "Not Found", 0)</f>
        <v>2044</v>
      </c>
      <c r="N100" s="5">
        <f>_xlfn.XLOOKUP(CustomerCombined[[#This Row],[ID]], Table4[ID], Table4[Seafood], "Not Found", 0)</f>
        <v>184</v>
      </c>
      <c r="O100" s="5">
        <f>_xlfn.XLOOKUP(CustomerCombined[[#This Row],[ID]], Table4[ID], Table4[Sweets], "Not Found", 0)</f>
        <v>290</v>
      </c>
      <c r="P100" s="5">
        <f>_xlfn.XLOOKUP(CustomerCombined[[#This Row],[ID]], Table4[ID], Table4[Premium], "Not Found", 0)</f>
        <v>93</v>
      </c>
      <c r="Q100" s="5">
        <f>_xlfn.XLOOKUP(CustomerCombined[[#This Row],[ID]], Table4[ID], Table4[Regular], "Not Found", 0)</f>
        <v>3591</v>
      </c>
      <c r="R100" s="5">
        <f>_xlfn.XLOOKUP(CustomerCombined[[#This Row],[ID]], Table4[ID], Table4[Deals], "Not Found", 0)</f>
        <v>1</v>
      </c>
      <c r="S100" s="5">
        <f>_xlfn.XLOOKUP(CustomerCombined[[#This Row],[ID]], Table4[ID], Table4[Website], "Not Found", 0)</f>
        <v>4</v>
      </c>
      <c r="T100" s="5">
        <f>_xlfn.XLOOKUP(CustomerCombined[[#This Row],[ID]], Table4[ID], Table4[Catalog], "Not Found", 0)</f>
        <v>5</v>
      </c>
      <c r="U100" s="5">
        <f>_xlfn.XLOOKUP(CustomerCombined[[#This Row],[ID]], Table4[ID], Table4[Store], "Not Found", 0)</f>
        <v>11</v>
      </c>
      <c r="V100" s="5">
        <f>_xlfn.XLOOKUP(CustomerCombined[[#This Row],[ID]], Table4[ID], Table4[Visits], "Not Found", 0)</f>
        <v>3</v>
      </c>
      <c r="W100" s="8">
        <f>_xlfn.XLOOKUP(CustomerCombined[[#This Row],[ID]], Table2[ID],Table2[Complaint], "Not Found", 0 )</f>
        <v>0</v>
      </c>
      <c r="X100" s="8">
        <f>_xlfn.XLOOKUP(CustomerCombined[[#This Row],[ID]], Table2[ID],Table2[Pilot], "Not Found", 0 )</f>
        <v>0</v>
      </c>
      <c r="Y100" s="8">
        <f>_xlfn.XLOOKUP(CustomerCombined[[#This Row],[ID]], Table2[ID],Table2[MC1], "Not Found", 0 )</f>
        <v>0</v>
      </c>
      <c r="Z100" s="8">
        <f>_xlfn.XLOOKUP(CustomerCombined[[#This Row],[ID]], Table2[ID],Table2[MC2], "Not Found", 0 )</f>
        <v>0</v>
      </c>
      <c r="AA100" s="8">
        <f>_xlfn.XLOOKUP(CustomerCombined[[#This Row],[ID]], Table2[ID],Table2[MC3], "Not Found", 0 )</f>
        <v>0</v>
      </c>
      <c r="AB100" s="8">
        <f>_xlfn.XLOOKUP(CustomerCombined[[#This Row],[ID]], Table2[ID],Table2[MC4], "Not Found", 0 )</f>
        <v>0</v>
      </c>
      <c r="AC100" s="8">
        <f>_xlfn.XLOOKUP(CustomerCombined[[#This Row],[ID]], Table2[ID],Table2[MC5], "Not Found", 0 )</f>
        <v>0</v>
      </c>
    </row>
    <row r="101" spans="1:29" x14ac:dyDescent="0.3">
      <c r="A101" s="6">
        <v>2586</v>
      </c>
      <c r="B101" s="6">
        <v>168655</v>
      </c>
      <c r="C101" s="6">
        <v>0</v>
      </c>
      <c r="D101" s="6">
        <v>0</v>
      </c>
      <c r="E101" s="6">
        <v>32</v>
      </c>
      <c r="F101" s="5" t="s">
        <v>7</v>
      </c>
      <c r="G101" s="5" t="s">
        <v>11</v>
      </c>
      <c r="H101" s="3" t="s">
        <v>418</v>
      </c>
      <c r="I101" s="5" t="s">
        <v>436</v>
      </c>
      <c r="J101" s="5">
        <f>_xlfn.XLOOKUP(CustomerCombined[[#This Row],[ID]], Table4[ID], Table4[Recency], "Not Found", 0)</f>
        <v>95</v>
      </c>
      <c r="K101" s="5">
        <f>_xlfn.XLOOKUP(CustomerCombined[[#This Row],[ID]], Table4[ID], Table4[Teas], "Not Found", 0)</f>
        <v>1120</v>
      </c>
      <c r="L101" s="5">
        <f>_xlfn.XLOOKUP(CustomerCombined[[#This Row],[ID]], Table4[ID], Table4[Fruits], "Not Found", 0)</f>
        <v>47</v>
      </c>
      <c r="M101" s="5">
        <f>_xlfn.XLOOKUP(CustomerCombined[[#This Row],[ID]], Table4[ID], Table4[Meats], "Not Found", 0)</f>
        <v>2044</v>
      </c>
      <c r="N101" s="5">
        <f>_xlfn.XLOOKUP(CustomerCombined[[#This Row],[ID]], Table4[ID], Table4[Seafood], "Not Found", 0)</f>
        <v>184</v>
      </c>
      <c r="O101" s="5">
        <f>_xlfn.XLOOKUP(CustomerCombined[[#This Row],[ID]], Table4[ID], Table4[Sweets], "Not Found", 0)</f>
        <v>290</v>
      </c>
      <c r="P101" s="5">
        <f>_xlfn.XLOOKUP(CustomerCombined[[#This Row],[ID]], Table4[ID], Table4[Premium], "Not Found", 0)</f>
        <v>93</v>
      </c>
      <c r="Q101" s="5">
        <f>_xlfn.XLOOKUP(CustomerCombined[[#This Row],[ID]], Table4[ID], Table4[Regular], "Not Found", 0)</f>
        <v>3591</v>
      </c>
      <c r="R101" s="5">
        <f>_xlfn.XLOOKUP(CustomerCombined[[#This Row],[ID]], Table4[ID], Table4[Deals], "Not Found", 0)</f>
        <v>1</v>
      </c>
      <c r="S101" s="5">
        <f>_xlfn.XLOOKUP(CustomerCombined[[#This Row],[ID]], Table4[ID], Table4[Website], "Not Found", 0)</f>
        <v>4</v>
      </c>
      <c r="T101" s="5">
        <f>_xlfn.XLOOKUP(CustomerCombined[[#This Row],[ID]], Table4[ID], Table4[Catalog], "Not Found", 0)</f>
        <v>5</v>
      </c>
      <c r="U101" s="5">
        <f>_xlfn.XLOOKUP(CustomerCombined[[#This Row],[ID]], Table4[ID], Table4[Store], "Not Found", 0)</f>
        <v>11</v>
      </c>
      <c r="V101" s="5">
        <f>_xlfn.XLOOKUP(CustomerCombined[[#This Row],[ID]], Table4[ID], Table4[Visits], "Not Found", 0)</f>
        <v>3</v>
      </c>
      <c r="W101" s="8">
        <f>_xlfn.XLOOKUP(CustomerCombined[[#This Row],[ID]], Table2[ID],Table2[Complaint], "Not Found", 0 )</f>
        <v>0</v>
      </c>
      <c r="X101" s="8">
        <f>_xlfn.XLOOKUP(CustomerCombined[[#This Row],[ID]], Table2[ID],Table2[Pilot], "Not Found", 0 )</f>
        <v>0</v>
      </c>
      <c r="Y101" s="8">
        <f>_xlfn.XLOOKUP(CustomerCombined[[#This Row],[ID]], Table2[ID],Table2[MC1], "Not Found", 0 )</f>
        <v>0</v>
      </c>
      <c r="Z101" s="8">
        <f>_xlfn.XLOOKUP(CustomerCombined[[#This Row],[ID]], Table2[ID],Table2[MC2], "Not Found", 0 )</f>
        <v>0</v>
      </c>
      <c r="AA101" s="8">
        <f>_xlfn.XLOOKUP(CustomerCombined[[#This Row],[ID]], Table2[ID],Table2[MC3], "Not Found", 0 )</f>
        <v>0</v>
      </c>
      <c r="AB101" s="8">
        <f>_xlfn.XLOOKUP(CustomerCombined[[#This Row],[ID]], Table2[ID],Table2[MC4], "Not Found", 0 )</f>
        <v>0</v>
      </c>
      <c r="AC101" s="8">
        <f>_xlfn.XLOOKUP(CustomerCombined[[#This Row],[ID]], Table2[ID],Table2[MC5], "Not Found", 0 )</f>
        <v>0</v>
      </c>
    </row>
    <row r="102" spans="1:29" x14ac:dyDescent="0.3">
      <c r="A102" s="6">
        <v>2475</v>
      </c>
      <c r="B102" s="6">
        <v>168487</v>
      </c>
      <c r="C102" s="6">
        <v>0</v>
      </c>
      <c r="D102" s="6">
        <v>0</v>
      </c>
      <c r="E102" s="6">
        <v>32</v>
      </c>
      <c r="F102" s="5" t="s">
        <v>6</v>
      </c>
      <c r="G102" s="5" t="s">
        <v>11</v>
      </c>
      <c r="H102" s="3" t="s">
        <v>327</v>
      </c>
      <c r="I102" s="5" t="s">
        <v>435</v>
      </c>
      <c r="J102" s="5">
        <f>_xlfn.XLOOKUP(CustomerCombined[[#This Row],[ID]], Table4[ID], Table4[Recency], "Not Found", 0)</f>
        <v>48</v>
      </c>
      <c r="K102" s="5">
        <f>_xlfn.XLOOKUP(CustomerCombined[[#This Row],[ID]], Table4[ID], Table4[Teas], "Not Found", 0)</f>
        <v>1865</v>
      </c>
      <c r="L102" s="5">
        <f>_xlfn.XLOOKUP(CustomerCombined[[#This Row],[ID]], Table4[ID], Table4[Fruits], "Not Found", 0)</f>
        <v>30</v>
      </c>
      <c r="M102" s="5">
        <f>_xlfn.XLOOKUP(CustomerCombined[[#This Row],[ID]], Table4[ID], Table4[Meats], "Not Found", 0)</f>
        <v>947</v>
      </c>
      <c r="N102" s="5">
        <f>_xlfn.XLOOKUP(CustomerCombined[[#This Row],[ID]], Table4[ID], Table4[Seafood], "Not Found", 0)</f>
        <v>81</v>
      </c>
      <c r="O102" s="5">
        <f>_xlfn.XLOOKUP(CustomerCombined[[#This Row],[ID]], Table4[ID], Table4[Sweets], "Not Found", 0)</f>
        <v>219</v>
      </c>
      <c r="P102" s="5">
        <f>_xlfn.XLOOKUP(CustomerCombined[[#This Row],[ID]], Table4[ID], Table4[Premium], "Not Found", 0)</f>
        <v>219</v>
      </c>
      <c r="Q102" s="5">
        <f>_xlfn.XLOOKUP(CustomerCombined[[#This Row],[ID]], Table4[ID], Table4[Regular], "Not Found", 0)</f>
        <v>2923</v>
      </c>
      <c r="R102" s="5">
        <f>_xlfn.XLOOKUP(CustomerCombined[[#This Row],[ID]], Table4[ID], Table4[Deals], "Not Found", 0)</f>
        <v>1</v>
      </c>
      <c r="S102" s="5">
        <f>_xlfn.XLOOKUP(CustomerCombined[[#This Row],[ID]], Table4[ID], Table4[Website], "Not Found", 0)</f>
        <v>9</v>
      </c>
      <c r="T102" s="5">
        <f>_xlfn.XLOOKUP(CustomerCombined[[#This Row],[ID]], Table4[ID], Table4[Catalog], "Not Found", 0)</f>
        <v>7</v>
      </c>
      <c r="U102" s="5">
        <f>_xlfn.XLOOKUP(CustomerCombined[[#This Row],[ID]], Table4[ID], Table4[Store], "Not Found", 0)</f>
        <v>13</v>
      </c>
      <c r="V102" s="5">
        <f>_xlfn.XLOOKUP(CustomerCombined[[#This Row],[ID]], Table4[ID], Table4[Visits], "Not Found", 0)</f>
        <v>4</v>
      </c>
      <c r="W102" s="8">
        <f>_xlfn.XLOOKUP(CustomerCombined[[#This Row],[ID]], Table2[ID],Table2[Complaint], "Not Found", 0 )</f>
        <v>0</v>
      </c>
      <c r="X102" s="8">
        <f>_xlfn.XLOOKUP(CustomerCombined[[#This Row],[ID]], Table2[ID],Table2[Pilot], "Not Found", 0 )</f>
        <v>0</v>
      </c>
      <c r="Y102" s="8">
        <f>_xlfn.XLOOKUP(CustomerCombined[[#This Row],[ID]], Table2[ID],Table2[MC1], "Not Found", 0 )</f>
        <v>0</v>
      </c>
      <c r="Z102" s="8">
        <f>_xlfn.XLOOKUP(CustomerCombined[[#This Row],[ID]], Table2[ID],Table2[MC2], "Not Found", 0 )</f>
        <v>0</v>
      </c>
      <c r="AA102" s="8">
        <f>_xlfn.XLOOKUP(CustomerCombined[[#This Row],[ID]], Table2[ID],Table2[MC3], "Not Found", 0 )</f>
        <v>0</v>
      </c>
      <c r="AB102" s="8">
        <f>_xlfn.XLOOKUP(CustomerCombined[[#This Row],[ID]], Table2[ID],Table2[MC4], "Not Found", 0 )</f>
        <v>0</v>
      </c>
      <c r="AC102" s="8">
        <f>_xlfn.XLOOKUP(CustomerCombined[[#This Row],[ID]], Table2[ID],Table2[MC5], "Not Found", 0 )</f>
        <v>0</v>
      </c>
    </row>
    <row r="103" spans="1:29" x14ac:dyDescent="0.3">
      <c r="A103" s="6">
        <v>3053</v>
      </c>
      <c r="B103" s="6">
        <v>168487</v>
      </c>
      <c r="C103" s="6">
        <v>0</v>
      </c>
      <c r="D103" s="6">
        <v>0</v>
      </c>
      <c r="E103" s="6">
        <v>32</v>
      </c>
      <c r="F103" s="5" t="s">
        <v>6</v>
      </c>
      <c r="G103" s="5" t="s">
        <v>11</v>
      </c>
      <c r="H103" s="3" t="s">
        <v>327</v>
      </c>
      <c r="I103" s="5" t="s">
        <v>434</v>
      </c>
      <c r="J103" s="5">
        <f>_xlfn.XLOOKUP(CustomerCombined[[#This Row],[ID]], Table4[ID], Table4[Recency], "Not Found", 0)</f>
        <v>48</v>
      </c>
      <c r="K103" s="5">
        <f>_xlfn.XLOOKUP(CustomerCombined[[#This Row],[ID]], Table4[ID], Table4[Teas], "Not Found", 0)</f>
        <v>1865</v>
      </c>
      <c r="L103" s="5">
        <f>_xlfn.XLOOKUP(CustomerCombined[[#This Row],[ID]], Table4[ID], Table4[Fruits], "Not Found", 0)</f>
        <v>30</v>
      </c>
      <c r="M103" s="5">
        <f>_xlfn.XLOOKUP(CustomerCombined[[#This Row],[ID]], Table4[ID], Table4[Meats], "Not Found", 0)</f>
        <v>947</v>
      </c>
      <c r="N103" s="5">
        <f>_xlfn.XLOOKUP(CustomerCombined[[#This Row],[ID]], Table4[ID], Table4[Seafood], "Not Found", 0)</f>
        <v>81</v>
      </c>
      <c r="O103" s="5">
        <f>_xlfn.XLOOKUP(CustomerCombined[[#This Row],[ID]], Table4[ID], Table4[Sweets], "Not Found", 0)</f>
        <v>219</v>
      </c>
      <c r="P103" s="5">
        <f>_xlfn.XLOOKUP(CustomerCombined[[#This Row],[ID]], Table4[ID], Table4[Premium], "Not Found", 0)</f>
        <v>219</v>
      </c>
      <c r="Q103" s="5">
        <f>_xlfn.XLOOKUP(CustomerCombined[[#This Row],[ID]], Table4[ID], Table4[Regular], "Not Found", 0)</f>
        <v>2923</v>
      </c>
      <c r="R103" s="5">
        <f>_xlfn.XLOOKUP(CustomerCombined[[#This Row],[ID]], Table4[ID], Table4[Deals], "Not Found", 0)</f>
        <v>1</v>
      </c>
      <c r="S103" s="5">
        <f>_xlfn.XLOOKUP(CustomerCombined[[#This Row],[ID]], Table4[ID], Table4[Website], "Not Found", 0)</f>
        <v>9</v>
      </c>
      <c r="T103" s="5">
        <f>_xlfn.XLOOKUP(CustomerCombined[[#This Row],[ID]], Table4[ID], Table4[Catalog], "Not Found", 0)</f>
        <v>7</v>
      </c>
      <c r="U103" s="5">
        <f>_xlfn.XLOOKUP(CustomerCombined[[#This Row],[ID]], Table4[ID], Table4[Store], "Not Found", 0)</f>
        <v>13</v>
      </c>
      <c r="V103" s="5">
        <f>_xlfn.XLOOKUP(CustomerCombined[[#This Row],[ID]], Table4[ID], Table4[Visits], "Not Found", 0)</f>
        <v>4</v>
      </c>
      <c r="W103" s="8">
        <f>_xlfn.XLOOKUP(CustomerCombined[[#This Row],[ID]], Table2[ID],Table2[Complaint], "Not Found", 0 )</f>
        <v>0</v>
      </c>
      <c r="X103" s="8">
        <f>_xlfn.XLOOKUP(CustomerCombined[[#This Row],[ID]], Table2[ID],Table2[Pilot], "Not Found", 0 )</f>
        <v>0</v>
      </c>
      <c r="Y103" s="8">
        <f>_xlfn.XLOOKUP(CustomerCombined[[#This Row],[ID]], Table2[ID],Table2[MC1], "Not Found", 0 )</f>
        <v>0</v>
      </c>
      <c r="Z103" s="8">
        <f>_xlfn.XLOOKUP(CustomerCombined[[#This Row],[ID]], Table2[ID],Table2[MC2], "Not Found", 0 )</f>
        <v>0</v>
      </c>
      <c r="AA103" s="8">
        <f>_xlfn.XLOOKUP(CustomerCombined[[#This Row],[ID]], Table2[ID],Table2[MC3], "Not Found", 0 )</f>
        <v>0</v>
      </c>
      <c r="AB103" s="8">
        <f>_xlfn.XLOOKUP(CustomerCombined[[#This Row],[ID]], Table2[ID],Table2[MC4], "Not Found", 0 )</f>
        <v>0</v>
      </c>
      <c r="AC103" s="8">
        <f>_xlfn.XLOOKUP(CustomerCombined[[#This Row],[ID]], Table2[ID],Table2[MC5], "Not Found", 0 )</f>
        <v>0</v>
      </c>
    </row>
    <row r="104" spans="1:29" x14ac:dyDescent="0.3">
      <c r="A104" s="6">
        <v>1235</v>
      </c>
      <c r="B104" s="6">
        <v>167546</v>
      </c>
      <c r="C104" s="6">
        <v>0</v>
      </c>
      <c r="D104" s="6">
        <v>0</v>
      </c>
      <c r="E104" s="6">
        <v>32</v>
      </c>
      <c r="F104" s="5" t="s">
        <v>6</v>
      </c>
      <c r="G104" s="5" t="s">
        <v>13</v>
      </c>
      <c r="H104" s="3">
        <v>43587</v>
      </c>
      <c r="I104" s="5" t="s">
        <v>434</v>
      </c>
      <c r="J104" s="5">
        <f>_xlfn.XLOOKUP(CustomerCombined[[#This Row],[ID]], Table4[ID], Table4[Recency], "Not Found", 0)</f>
        <v>90</v>
      </c>
      <c r="K104" s="5">
        <f>_xlfn.XLOOKUP(CustomerCombined[[#This Row],[ID]], Table4[ID], Table4[Teas], "Not Found", 0)</f>
        <v>2143</v>
      </c>
      <c r="L104" s="5">
        <f>_xlfn.XLOOKUP(CustomerCombined[[#This Row],[ID]], Table4[ID], Table4[Fruits], "Not Found", 0)</f>
        <v>332</v>
      </c>
      <c r="M104" s="5">
        <f>_xlfn.XLOOKUP(CustomerCombined[[#This Row],[ID]], Table4[ID], Table4[Meats], "Not Found", 0)</f>
        <v>1905</v>
      </c>
      <c r="N104" s="5">
        <f>_xlfn.XLOOKUP(CustomerCombined[[#This Row],[ID]], Table4[ID], Table4[Seafood], "Not Found", 0)</f>
        <v>372</v>
      </c>
      <c r="O104" s="5">
        <f>_xlfn.XLOOKUP(CustomerCombined[[#This Row],[ID]], Table4[ID], Table4[Sweets], "Not Found", 0)</f>
        <v>94</v>
      </c>
      <c r="P104" s="5">
        <f>_xlfn.XLOOKUP(CustomerCombined[[#This Row],[ID]], Table4[ID], Table4[Premium], "Not Found", 0)</f>
        <v>427</v>
      </c>
      <c r="Q104" s="5">
        <f>_xlfn.XLOOKUP(CustomerCombined[[#This Row],[ID]], Table4[ID], Table4[Regular], "Not Found", 0)</f>
        <v>4420</v>
      </c>
      <c r="R104" s="5">
        <f>_xlfn.XLOOKUP(CustomerCombined[[#This Row],[ID]], Table4[ID], Table4[Deals], "Not Found", 0)</f>
        <v>1</v>
      </c>
      <c r="S104" s="5">
        <f>_xlfn.XLOOKUP(CustomerCombined[[#This Row],[ID]], Table4[ID], Table4[Website], "Not Found", 0)</f>
        <v>4</v>
      </c>
      <c r="T104" s="5">
        <f>_xlfn.XLOOKUP(CustomerCombined[[#This Row],[ID]], Table4[ID], Table4[Catalog], "Not Found", 0)</f>
        <v>10</v>
      </c>
      <c r="U104" s="5">
        <f>_xlfn.XLOOKUP(CustomerCombined[[#This Row],[ID]], Table4[ID], Table4[Store], "Not Found", 0)</f>
        <v>5</v>
      </c>
      <c r="V104" s="5">
        <f>_xlfn.XLOOKUP(CustomerCombined[[#This Row],[ID]], Table4[ID], Table4[Visits], "Not Found", 0)</f>
        <v>3</v>
      </c>
      <c r="W104" s="8">
        <f>_xlfn.XLOOKUP(CustomerCombined[[#This Row],[ID]], Table2[ID],Table2[Complaint], "Not Found", 0 )</f>
        <v>0</v>
      </c>
      <c r="X104" s="8">
        <f>_xlfn.XLOOKUP(CustomerCombined[[#This Row],[ID]], Table2[ID],Table2[Pilot], "Not Found", 0 )</f>
        <v>0</v>
      </c>
      <c r="Y104" s="8">
        <f>_xlfn.XLOOKUP(CustomerCombined[[#This Row],[ID]], Table2[ID],Table2[MC1], "Not Found", 0 )</f>
        <v>0</v>
      </c>
      <c r="Z104" s="8">
        <f>_xlfn.XLOOKUP(CustomerCombined[[#This Row],[ID]], Table2[ID],Table2[MC2], "Not Found", 0 )</f>
        <v>0</v>
      </c>
      <c r="AA104" s="8">
        <f>_xlfn.XLOOKUP(CustomerCombined[[#This Row],[ID]], Table2[ID],Table2[MC3], "Not Found", 0 )</f>
        <v>0</v>
      </c>
      <c r="AB104" s="8">
        <f>_xlfn.XLOOKUP(CustomerCombined[[#This Row],[ID]], Table2[ID],Table2[MC4], "Not Found", 0 )</f>
        <v>0</v>
      </c>
      <c r="AC104" s="8">
        <f>_xlfn.XLOOKUP(CustomerCombined[[#This Row],[ID]], Table2[ID],Table2[MC5], "Not Found", 0 )</f>
        <v>0</v>
      </c>
    </row>
    <row r="105" spans="1:29" x14ac:dyDescent="0.3">
      <c r="A105" s="6">
        <v>2865</v>
      </c>
      <c r="B105" s="6">
        <v>167546</v>
      </c>
      <c r="C105" s="6">
        <v>0</v>
      </c>
      <c r="D105" s="6">
        <v>0</v>
      </c>
      <c r="E105" s="6">
        <v>32</v>
      </c>
      <c r="F105" s="5" t="s">
        <v>6</v>
      </c>
      <c r="G105" s="5" t="s">
        <v>13</v>
      </c>
      <c r="H105" s="3">
        <v>43587</v>
      </c>
      <c r="I105" s="5" t="s">
        <v>435</v>
      </c>
      <c r="J105" s="5">
        <f>_xlfn.XLOOKUP(CustomerCombined[[#This Row],[ID]], Table4[ID], Table4[Recency], "Not Found", 0)</f>
        <v>90</v>
      </c>
      <c r="K105" s="5">
        <f>_xlfn.XLOOKUP(CustomerCombined[[#This Row],[ID]], Table4[ID], Table4[Teas], "Not Found", 0)</f>
        <v>2143</v>
      </c>
      <c r="L105" s="5">
        <f>_xlfn.XLOOKUP(CustomerCombined[[#This Row],[ID]], Table4[ID], Table4[Fruits], "Not Found", 0)</f>
        <v>332</v>
      </c>
      <c r="M105" s="5">
        <f>_xlfn.XLOOKUP(CustomerCombined[[#This Row],[ID]], Table4[ID], Table4[Meats], "Not Found", 0)</f>
        <v>1905</v>
      </c>
      <c r="N105" s="5">
        <f>_xlfn.XLOOKUP(CustomerCombined[[#This Row],[ID]], Table4[ID], Table4[Seafood], "Not Found", 0)</f>
        <v>372</v>
      </c>
      <c r="O105" s="5">
        <f>_xlfn.XLOOKUP(CustomerCombined[[#This Row],[ID]], Table4[ID], Table4[Sweets], "Not Found", 0)</f>
        <v>94</v>
      </c>
      <c r="P105" s="5">
        <f>_xlfn.XLOOKUP(CustomerCombined[[#This Row],[ID]], Table4[ID], Table4[Premium], "Not Found", 0)</f>
        <v>427</v>
      </c>
      <c r="Q105" s="5">
        <f>_xlfn.XLOOKUP(CustomerCombined[[#This Row],[ID]], Table4[ID], Table4[Regular], "Not Found", 0)</f>
        <v>4420</v>
      </c>
      <c r="R105" s="5">
        <f>_xlfn.XLOOKUP(CustomerCombined[[#This Row],[ID]], Table4[ID], Table4[Deals], "Not Found", 0)</f>
        <v>1</v>
      </c>
      <c r="S105" s="5">
        <f>_xlfn.XLOOKUP(CustomerCombined[[#This Row],[ID]], Table4[ID], Table4[Website], "Not Found", 0)</f>
        <v>4</v>
      </c>
      <c r="T105" s="5">
        <f>_xlfn.XLOOKUP(CustomerCombined[[#This Row],[ID]], Table4[ID], Table4[Catalog], "Not Found", 0)</f>
        <v>10</v>
      </c>
      <c r="U105" s="5">
        <f>_xlfn.XLOOKUP(CustomerCombined[[#This Row],[ID]], Table4[ID], Table4[Store], "Not Found", 0)</f>
        <v>5</v>
      </c>
      <c r="V105" s="5">
        <f>_xlfn.XLOOKUP(CustomerCombined[[#This Row],[ID]], Table4[ID], Table4[Visits], "Not Found", 0)</f>
        <v>3</v>
      </c>
      <c r="W105" s="8">
        <f>_xlfn.XLOOKUP(CustomerCombined[[#This Row],[ID]], Table2[ID],Table2[Complaint], "Not Found", 0 )</f>
        <v>0</v>
      </c>
      <c r="X105" s="8">
        <f>_xlfn.XLOOKUP(CustomerCombined[[#This Row],[ID]], Table2[ID],Table2[Pilot], "Not Found", 0 )</f>
        <v>0</v>
      </c>
      <c r="Y105" s="8">
        <f>_xlfn.XLOOKUP(CustomerCombined[[#This Row],[ID]], Table2[ID],Table2[MC1], "Not Found", 0 )</f>
        <v>0</v>
      </c>
      <c r="Z105" s="8">
        <f>_xlfn.XLOOKUP(CustomerCombined[[#This Row],[ID]], Table2[ID],Table2[MC2], "Not Found", 0 )</f>
        <v>0</v>
      </c>
      <c r="AA105" s="8">
        <f>_xlfn.XLOOKUP(CustomerCombined[[#This Row],[ID]], Table2[ID],Table2[MC3], "Not Found", 0 )</f>
        <v>0</v>
      </c>
      <c r="AB105" s="8">
        <f>_xlfn.XLOOKUP(CustomerCombined[[#This Row],[ID]], Table2[ID],Table2[MC4], "Not Found", 0 )</f>
        <v>0</v>
      </c>
      <c r="AC105" s="8">
        <f>_xlfn.XLOOKUP(CustomerCombined[[#This Row],[ID]], Table2[ID],Table2[MC5], "Not Found", 0 )</f>
        <v>0</v>
      </c>
    </row>
    <row r="106" spans="1:29" x14ac:dyDescent="0.3">
      <c r="A106" s="6">
        <v>1157</v>
      </c>
      <c r="B106" s="6">
        <v>166951</v>
      </c>
      <c r="C106" s="6">
        <v>0</v>
      </c>
      <c r="D106" s="6">
        <v>0</v>
      </c>
      <c r="E106" s="6">
        <v>32</v>
      </c>
      <c r="F106" s="5" t="s">
        <v>7</v>
      </c>
      <c r="G106" s="5" t="s">
        <v>11</v>
      </c>
      <c r="H106" s="3">
        <v>44047</v>
      </c>
      <c r="I106" s="5" t="s">
        <v>434</v>
      </c>
      <c r="J106" s="5">
        <f>_xlfn.XLOOKUP(CustomerCombined[[#This Row],[ID]], Table4[ID], Table4[Recency], "Not Found", 0)</f>
        <v>46</v>
      </c>
      <c r="K106" s="5">
        <f>_xlfn.XLOOKUP(CustomerCombined[[#This Row],[ID]], Table4[ID], Table4[Teas], "Not Found", 0)</f>
        <v>691</v>
      </c>
      <c r="L106" s="5">
        <f>_xlfn.XLOOKUP(CustomerCombined[[#This Row],[ID]], Table4[ID], Table4[Fruits], "Not Found", 0)</f>
        <v>404</v>
      </c>
      <c r="M106" s="5">
        <f>_xlfn.XLOOKUP(CustomerCombined[[#This Row],[ID]], Table4[ID], Table4[Meats], "Not Found", 0)</f>
        <v>761</v>
      </c>
      <c r="N106" s="5">
        <f>_xlfn.XLOOKUP(CustomerCombined[[#This Row],[ID]], Table4[ID], Table4[Seafood], "Not Found", 0)</f>
        <v>431</v>
      </c>
      <c r="O106" s="5">
        <f>_xlfn.XLOOKUP(CustomerCombined[[#This Row],[ID]], Table4[ID], Table4[Sweets], "Not Found", 0)</f>
        <v>190</v>
      </c>
      <c r="P106" s="5">
        <f>_xlfn.XLOOKUP(CustomerCombined[[#This Row],[ID]], Table4[ID], Table4[Premium], "Not Found", 0)</f>
        <v>309</v>
      </c>
      <c r="Q106" s="5">
        <f>_xlfn.XLOOKUP(CustomerCombined[[#This Row],[ID]], Table4[ID], Table4[Regular], "Not Found", 0)</f>
        <v>2167</v>
      </c>
      <c r="R106" s="5">
        <f>_xlfn.XLOOKUP(CustomerCombined[[#This Row],[ID]], Table4[ID], Table4[Deals], "Not Found", 0)</f>
        <v>1</v>
      </c>
      <c r="S106" s="5">
        <f>_xlfn.XLOOKUP(CustomerCombined[[#This Row],[ID]], Table4[ID], Table4[Website], "Not Found", 0)</f>
        <v>3</v>
      </c>
      <c r="T106" s="5">
        <f>_xlfn.XLOOKUP(CustomerCombined[[#This Row],[ID]], Table4[ID], Table4[Catalog], "Not Found", 0)</f>
        <v>4</v>
      </c>
      <c r="U106" s="5">
        <f>_xlfn.XLOOKUP(CustomerCombined[[#This Row],[ID]], Table4[ID], Table4[Store], "Not Found", 0)</f>
        <v>7</v>
      </c>
      <c r="V106" s="5">
        <f>_xlfn.XLOOKUP(CustomerCombined[[#This Row],[ID]], Table4[ID], Table4[Visits], "Not Found", 0)</f>
        <v>1</v>
      </c>
      <c r="W106" s="8">
        <f>_xlfn.XLOOKUP(CustomerCombined[[#This Row],[ID]], Table2[ID],Table2[Complaint], "Not Found", 0 )</f>
        <v>0</v>
      </c>
      <c r="X106" s="8">
        <f>_xlfn.XLOOKUP(CustomerCombined[[#This Row],[ID]], Table2[ID],Table2[Pilot], "Not Found", 0 )</f>
        <v>0</v>
      </c>
      <c r="Y106" s="8">
        <f>_xlfn.XLOOKUP(CustomerCombined[[#This Row],[ID]], Table2[ID],Table2[MC1], "Not Found", 0 )</f>
        <v>0</v>
      </c>
      <c r="Z106" s="8">
        <f>_xlfn.XLOOKUP(CustomerCombined[[#This Row],[ID]], Table2[ID],Table2[MC2], "Not Found", 0 )</f>
        <v>0</v>
      </c>
      <c r="AA106" s="8">
        <f>_xlfn.XLOOKUP(CustomerCombined[[#This Row],[ID]], Table2[ID],Table2[MC3], "Not Found", 0 )</f>
        <v>0</v>
      </c>
      <c r="AB106" s="8">
        <f>_xlfn.XLOOKUP(CustomerCombined[[#This Row],[ID]], Table2[ID],Table2[MC4], "Not Found", 0 )</f>
        <v>0</v>
      </c>
      <c r="AC106" s="8">
        <f>_xlfn.XLOOKUP(CustomerCombined[[#This Row],[ID]], Table2[ID],Table2[MC5], "Not Found", 0 )</f>
        <v>0</v>
      </c>
    </row>
    <row r="107" spans="1:29" x14ac:dyDescent="0.3">
      <c r="A107" s="6">
        <v>1208</v>
      </c>
      <c r="B107" s="6">
        <v>145204</v>
      </c>
      <c r="C107" s="6">
        <v>1</v>
      </c>
      <c r="D107" s="6">
        <v>0</v>
      </c>
      <c r="E107" s="6">
        <v>32</v>
      </c>
      <c r="F107" s="5" t="s">
        <v>8</v>
      </c>
      <c r="G107" s="5" t="s">
        <v>442</v>
      </c>
      <c r="H107" s="3" t="s">
        <v>71</v>
      </c>
      <c r="I107" s="5" t="s">
        <v>438</v>
      </c>
      <c r="J107" s="5">
        <f>_xlfn.XLOOKUP(CustomerCombined[[#This Row],[ID]], Table4[ID], Table4[Recency], "Not Found", 0)</f>
        <v>93</v>
      </c>
      <c r="K107" s="5">
        <f>_xlfn.XLOOKUP(CustomerCombined[[#This Row],[ID]], Table4[ID], Table4[Teas], "Not Found", 0)</f>
        <v>96</v>
      </c>
      <c r="L107" s="5">
        <f>_xlfn.XLOOKUP(CustomerCombined[[#This Row],[ID]], Table4[ID], Table4[Fruits], "Not Found", 0)</f>
        <v>35</v>
      </c>
      <c r="M107" s="5">
        <f>_xlfn.XLOOKUP(CustomerCombined[[#This Row],[ID]], Table4[ID], Table4[Meats], "Not Found", 0)</f>
        <v>80</v>
      </c>
      <c r="N107" s="5">
        <f>_xlfn.XLOOKUP(CustomerCombined[[#This Row],[ID]], Table4[ID], Table4[Seafood], "Not Found", 0)</f>
        <v>93</v>
      </c>
      <c r="O107" s="5">
        <f>_xlfn.XLOOKUP(CustomerCombined[[#This Row],[ID]], Table4[ID], Table4[Sweets], "Not Found", 0)</f>
        <v>3</v>
      </c>
      <c r="P107" s="5">
        <f>_xlfn.XLOOKUP(CustomerCombined[[#This Row],[ID]], Table4[ID], Table4[Premium], "Not Found", 0)</f>
        <v>58</v>
      </c>
      <c r="Q107" s="5">
        <f>_xlfn.XLOOKUP(CustomerCombined[[#This Row],[ID]], Table4[ID], Table4[Regular], "Not Found", 0)</f>
        <v>251</v>
      </c>
      <c r="R107" s="5">
        <f>_xlfn.XLOOKUP(CustomerCombined[[#This Row],[ID]], Table4[ID], Table4[Deals], "Not Found", 0)</f>
        <v>1</v>
      </c>
      <c r="S107" s="5">
        <f>_xlfn.XLOOKUP(CustomerCombined[[#This Row],[ID]], Table4[ID], Table4[Website], "Not Found", 0)</f>
        <v>1</v>
      </c>
      <c r="T107" s="5">
        <f>_xlfn.XLOOKUP(CustomerCombined[[#This Row],[ID]], Table4[ID], Table4[Catalog], "Not Found", 0)</f>
        <v>1</v>
      </c>
      <c r="U107" s="5">
        <f>_xlfn.XLOOKUP(CustomerCombined[[#This Row],[ID]], Table4[ID], Table4[Store], "Not Found", 0)</f>
        <v>4</v>
      </c>
      <c r="V107" s="5">
        <f>_xlfn.XLOOKUP(CustomerCombined[[#This Row],[ID]], Table4[ID], Table4[Visits], "Not Found", 0)</f>
        <v>3</v>
      </c>
      <c r="W107" s="8">
        <f>_xlfn.XLOOKUP(CustomerCombined[[#This Row],[ID]], Table2[ID],Table2[Complaint], "Not Found", 0 )</f>
        <v>0</v>
      </c>
      <c r="X107" s="8">
        <f>_xlfn.XLOOKUP(CustomerCombined[[#This Row],[ID]], Table2[ID],Table2[Pilot], "Not Found", 0 )</f>
        <v>0</v>
      </c>
      <c r="Y107" s="8">
        <f>_xlfn.XLOOKUP(CustomerCombined[[#This Row],[ID]], Table2[ID],Table2[MC1], "Not Found", 0 )</f>
        <v>0</v>
      </c>
      <c r="Z107" s="8">
        <f>_xlfn.XLOOKUP(CustomerCombined[[#This Row],[ID]], Table2[ID],Table2[MC2], "Not Found", 0 )</f>
        <v>0</v>
      </c>
      <c r="AA107" s="8">
        <f>_xlfn.XLOOKUP(CustomerCombined[[#This Row],[ID]], Table2[ID],Table2[MC3], "Not Found", 0 )</f>
        <v>0</v>
      </c>
      <c r="AB107" s="8">
        <f>_xlfn.XLOOKUP(CustomerCombined[[#This Row],[ID]], Table2[ID],Table2[MC4], "Not Found", 0 )</f>
        <v>0</v>
      </c>
      <c r="AC107" s="8">
        <f>_xlfn.XLOOKUP(CustomerCombined[[#This Row],[ID]], Table2[ID],Table2[MC5], "Not Found", 0 )</f>
        <v>0</v>
      </c>
    </row>
    <row r="108" spans="1:29" x14ac:dyDescent="0.3">
      <c r="A108" s="6">
        <v>1134</v>
      </c>
      <c r="B108" s="6">
        <v>141883</v>
      </c>
      <c r="C108" s="6">
        <v>1</v>
      </c>
      <c r="D108" s="6">
        <v>0</v>
      </c>
      <c r="E108" s="6">
        <v>32</v>
      </c>
      <c r="F108" s="5" t="s">
        <v>8</v>
      </c>
      <c r="G108" s="5" t="s">
        <v>11</v>
      </c>
      <c r="H108" s="3" t="s">
        <v>289</v>
      </c>
      <c r="I108" s="5" t="s">
        <v>436</v>
      </c>
      <c r="J108" s="5">
        <f>_xlfn.XLOOKUP(CustomerCombined[[#This Row],[ID]], Table4[ID], Table4[Recency], "Not Found", 0)</f>
        <v>13</v>
      </c>
      <c r="K108" s="5">
        <f>_xlfn.XLOOKUP(CustomerCombined[[#This Row],[ID]], Table4[ID], Table4[Teas], "Not Found", 0)</f>
        <v>108</v>
      </c>
      <c r="L108" s="5">
        <f>_xlfn.XLOOKUP(CustomerCombined[[#This Row],[ID]], Table4[ID], Table4[Fruits], "Not Found", 0)</f>
        <v>115</v>
      </c>
      <c r="M108" s="5">
        <f>_xlfn.XLOOKUP(CustomerCombined[[#This Row],[ID]], Table4[ID], Table4[Meats], "Not Found", 0)</f>
        <v>139</v>
      </c>
      <c r="N108" s="5">
        <f>_xlfn.XLOOKUP(CustomerCombined[[#This Row],[ID]], Table4[ID], Table4[Seafood], "Not Found", 0)</f>
        <v>247</v>
      </c>
      <c r="O108" s="5">
        <f>_xlfn.XLOOKUP(CustomerCombined[[#This Row],[ID]], Table4[ID], Table4[Sweets], "Not Found", 0)</f>
        <v>54</v>
      </c>
      <c r="P108" s="5">
        <f>_xlfn.XLOOKUP(CustomerCombined[[#This Row],[ID]], Table4[ID], Table4[Premium], "Not Found", 0)</f>
        <v>393</v>
      </c>
      <c r="Q108" s="5">
        <f>_xlfn.XLOOKUP(CustomerCombined[[#This Row],[ID]], Table4[ID], Table4[Regular], "Not Found", 0)</f>
        <v>271</v>
      </c>
      <c r="R108" s="5">
        <f>_xlfn.XLOOKUP(CustomerCombined[[#This Row],[ID]], Table4[ID], Table4[Deals], "Not Found", 0)</f>
        <v>3</v>
      </c>
      <c r="S108" s="5">
        <f>_xlfn.XLOOKUP(CustomerCombined[[#This Row],[ID]], Table4[ID], Table4[Website], "Not Found", 0)</f>
        <v>4</v>
      </c>
      <c r="T108" s="5">
        <f>_xlfn.XLOOKUP(CustomerCombined[[#This Row],[ID]], Table4[ID], Table4[Catalog], "Not Found", 0)</f>
        <v>2</v>
      </c>
      <c r="U108" s="5">
        <f>_xlfn.XLOOKUP(CustomerCombined[[#This Row],[ID]], Table4[ID], Table4[Store], "Not Found", 0)</f>
        <v>3</v>
      </c>
      <c r="V108" s="5">
        <f>_xlfn.XLOOKUP(CustomerCombined[[#This Row],[ID]], Table4[ID], Table4[Visits], "Not Found", 0)</f>
        <v>7</v>
      </c>
      <c r="W108" s="8">
        <f>_xlfn.XLOOKUP(CustomerCombined[[#This Row],[ID]], Table2[ID],Table2[Complaint], "Not Found", 0 )</f>
        <v>0</v>
      </c>
      <c r="X108" s="8">
        <f>_xlfn.XLOOKUP(CustomerCombined[[#This Row],[ID]], Table2[ID],Table2[Pilot], "Not Found", 0 )</f>
        <v>0</v>
      </c>
      <c r="Y108" s="8">
        <f>_xlfn.XLOOKUP(CustomerCombined[[#This Row],[ID]], Table2[ID],Table2[MC1], "Not Found", 0 )</f>
        <v>0</v>
      </c>
      <c r="Z108" s="8">
        <f>_xlfn.XLOOKUP(CustomerCombined[[#This Row],[ID]], Table2[ID],Table2[MC2], "Not Found", 0 )</f>
        <v>0</v>
      </c>
      <c r="AA108" s="8">
        <f>_xlfn.XLOOKUP(CustomerCombined[[#This Row],[ID]], Table2[ID],Table2[MC3], "Not Found", 0 )</f>
        <v>0</v>
      </c>
      <c r="AB108" s="8">
        <f>_xlfn.XLOOKUP(CustomerCombined[[#This Row],[ID]], Table2[ID],Table2[MC4], "Not Found", 0 )</f>
        <v>0</v>
      </c>
      <c r="AC108" s="8">
        <f>_xlfn.XLOOKUP(CustomerCombined[[#This Row],[ID]], Table2[ID],Table2[MC5], "Not Found", 0 )</f>
        <v>0</v>
      </c>
    </row>
    <row r="109" spans="1:29" x14ac:dyDescent="0.3">
      <c r="A109" s="6">
        <v>1290</v>
      </c>
      <c r="B109" s="6">
        <v>139747</v>
      </c>
      <c r="C109" s="6">
        <v>1</v>
      </c>
      <c r="D109" s="6">
        <v>0</v>
      </c>
      <c r="E109" s="6">
        <v>32</v>
      </c>
      <c r="F109" s="5" t="s">
        <v>7</v>
      </c>
      <c r="G109" s="5" t="s">
        <v>11</v>
      </c>
      <c r="H109" s="3" t="s">
        <v>69</v>
      </c>
      <c r="I109" s="5" t="s">
        <v>436</v>
      </c>
      <c r="J109" s="5">
        <f>_xlfn.XLOOKUP(CustomerCombined[[#This Row],[ID]], Table4[ID], Table4[Recency], "Not Found", 0)</f>
        <v>43</v>
      </c>
      <c r="K109" s="5">
        <f>_xlfn.XLOOKUP(CustomerCombined[[#This Row],[ID]], Table4[ID], Table4[Teas], "Not Found", 0)</f>
        <v>281</v>
      </c>
      <c r="L109" s="5">
        <f>_xlfn.XLOOKUP(CustomerCombined[[#This Row],[ID]], Table4[ID], Table4[Fruits], "Not Found", 0)</f>
        <v>53</v>
      </c>
      <c r="M109" s="5">
        <f>_xlfn.XLOOKUP(CustomerCombined[[#This Row],[ID]], Table4[ID], Table4[Meats], "Not Found", 0)</f>
        <v>327</v>
      </c>
      <c r="N109" s="5">
        <f>_xlfn.XLOOKUP(CustomerCombined[[#This Row],[ID]], Table4[ID], Table4[Seafood], "Not Found", 0)</f>
        <v>70</v>
      </c>
      <c r="O109" s="5">
        <f>_xlfn.XLOOKUP(CustomerCombined[[#This Row],[ID]], Table4[ID], Table4[Sweets], "Not Found", 0)</f>
        <v>46</v>
      </c>
      <c r="P109" s="5">
        <f>_xlfn.XLOOKUP(CustomerCombined[[#This Row],[ID]], Table4[ID], Table4[Premium], "Not Found", 0)</f>
        <v>183</v>
      </c>
      <c r="Q109" s="5">
        <f>_xlfn.XLOOKUP(CustomerCombined[[#This Row],[ID]], Table4[ID], Table4[Regular], "Not Found", 0)</f>
        <v>594</v>
      </c>
      <c r="R109" s="5">
        <f>_xlfn.XLOOKUP(CustomerCombined[[#This Row],[ID]], Table4[ID], Table4[Deals], "Not Found", 0)</f>
        <v>3</v>
      </c>
      <c r="S109" s="5">
        <f>_xlfn.XLOOKUP(CustomerCombined[[#This Row],[ID]], Table4[ID], Table4[Website], "Not Found", 0)</f>
        <v>5</v>
      </c>
      <c r="T109" s="5">
        <f>_xlfn.XLOOKUP(CustomerCombined[[#This Row],[ID]], Table4[ID], Table4[Catalog], "Not Found", 0)</f>
        <v>1</v>
      </c>
      <c r="U109" s="5">
        <f>_xlfn.XLOOKUP(CustomerCombined[[#This Row],[ID]], Table4[ID], Table4[Store], "Not Found", 0)</f>
        <v>4</v>
      </c>
      <c r="V109" s="5">
        <f>_xlfn.XLOOKUP(CustomerCombined[[#This Row],[ID]], Table4[ID], Table4[Visits], "Not Found", 0)</f>
        <v>8</v>
      </c>
      <c r="W109" s="8">
        <f>_xlfn.XLOOKUP(CustomerCombined[[#This Row],[ID]], Table2[ID],Table2[Complaint], "Not Found", 0 )</f>
        <v>0</v>
      </c>
      <c r="X109" s="8">
        <f>_xlfn.XLOOKUP(CustomerCombined[[#This Row],[ID]], Table2[ID],Table2[Pilot], "Not Found", 0 )</f>
        <v>0</v>
      </c>
      <c r="Y109" s="8">
        <f>_xlfn.XLOOKUP(CustomerCombined[[#This Row],[ID]], Table2[ID],Table2[MC1], "Not Found", 0 )</f>
        <v>0</v>
      </c>
      <c r="Z109" s="8">
        <f>_xlfn.XLOOKUP(CustomerCombined[[#This Row],[ID]], Table2[ID],Table2[MC2], "Not Found", 0 )</f>
        <v>0</v>
      </c>
      <c r="AA109" s="8">
        <f>_xlfn.XLOOKUP(CustomerCombined[[#This Row],[ID]], Table2[ID],Table2[MC3], "Not Found", 0 )</f>
        <v>0</v>
      </c>
      <c r="AB109" s="8">
        <f>_xlfn.XLOOKUP(CustomerCombined[[#This Row],[ID]], Table2[ID],Table2[MC4], "Not Found", 0 )</f>
        <v>0</v>
      </c>
      <c r="AC109" s="8">
        <f>_xlfn.XLOOKUP(CustomerCombined[[#This Row],[ID]], Table2[ID],Table2[MC5], "Not Found", 0 )</f>
        <v>0</v>
      </c>
    </row>
    <row r="110" spans="1:29" x14ac:dyDescent="0.3">
      <c r="A110" s="6">
        <v>1181</v>
      </c>
      <c r="B110" s="6">
        <v>138872</v>
      </c>
      <c r="C110" s="6">
        <v>1</v>
      </c>
      <c r="D110" s="6">
        <v>0</v>
      </c>
      <c r="E110" s="6">
        <v>32</v>
      </c>
      <c r="F110" s="5" t="s">
        <v>6</v>
      </c>
      <c r="G110" s="5" t="s">
        <v>11</v>
      </c>
      <c r="H110" s="3">
        <v>43566</v>
      </c>
      <c r="I110" s="5" t="s">
        <v>434</v>
      </c>
      <c r="J110" s="5">
        <f>_xlfn.XLOOKUP(CustomerCombined[[#This Row],[ID]], Table4[ID], Table4[Recency], "Not Found", 0)</f>
        <v>93</v>
      </c>
      <c r="K110" s="5">
        <f>_xlfn.XLOOKUP(CustomerCombined[[#This Row],[ID]], Table4[ID], Table4[Teas], "Not Found", 0)</f>
        <v>82</v>
      </c>
      <c r="L110" s="5">
        <f>_xlfn.XLOOKUP(CustomerCombined[[#This Row],[ID]], Table4[ID], Table4[Fruits], "Not Found", 0)</f>
        <v>11</v>
      </c>
      <c r="M110" s="5">
        <f>_xlfn.XLOOKUP(CustomerCombined[[#This Row],[ID]], Table4[ID], Table4[Meats], "Not Found", 0)</f>
        <v>75</v>
      </c>
      <c r="N110" s="5">
        <f>_xlfn.XLOOKUP(CustomerCombined[[#This Row],[ID]], Table4[ID], Table4[Seafood], "Not Found", 0)</f>
        <v>11</v>
      </c>
      <c r="O110" s="5">
        <f>_xlfn.XLOOKUP(CustomerCombined[[#This Row],[ID]], Table4[ID], Table4[Sweets], "Not Found", 0)</f>
        <v>68</v>
      </c>
      <c r="P110" s="5">
        <f>_xlfn.XLOOKUP(CustomerCombined[[#This Row],[ID]], Table4[ID], Table4[Premium], "Not Found", 0)</f>
        <v>79</v>
      </c>
      <c r="Q110" s="5">
        <f>_xlfn.XLOOKUP(CustomerCombined[[#This Row],[ID]], Table4[ID], Table4[Regular], "Not Found", 0)</f>
        <v>168</v>
      </c>
      <c r="R110" s="5">
        <f>_xlfn.XLOOKUP(CustomerCombined[[#This Row],[ID]], Table4[ID], Table4[Deals], "Not Found", 0)</f>
        <v>2</v>
      </c>
      <c r="S110" s="5">
        <f>_xlfn.XLOOKUP(CustomerCombined[[#This Row],[ID]], Table4[ID], Table4[Website], "Not Found", 0)</f>
        <v>3</v>
      </c>
      <c r="T110" s="5">
        <f>_xlfn.XLOOKUP(CustomerCombined[[#This Row],[ID]], Table4[ID], Table4[Catalog], "Not Found", 0)</f>
        <v>0</v>
      </c>
      <c r="U110" s="5">
        <f>_xlfn.XLOOKUP(CustomerCombined[[#This Row],[ID]], Table4[ID], Table4[Store], "Not Found", 0)</f>
        <v>3</v>
      </c>
      <c r="V110" s="5">
        <f>_xlfn.XLOOKUP(CustomerCombined[[#This Row],[ID]], Table4[ID], Table4[Visits], "Not Found", 0)</f>
        <v>8</v>
      </c>
      <c r="W110" s="8">
        <f>_xlfn.XLOOKUP(CustomerCombined[[#This Row],[ID]], Table2[ID],Table2[Complaint], "Not Found", 0 )</f>
        <v>0</v>
      </c>
      <c r="X110" s="8">
        <f>_xlfn.XLOOKUP(CustomerCombined[[#This Row],[ID]], Table2[ID],Table2[Pilot], "Not Found", 0 )</f>
        <v>0</v>
      </c>
      <c r="Y110" s="8">
        <f>_xlfn.XLOOKUP(CustomerCombined[[#This Row],[ID]], Table2[ID],Table2[MC1], "Not Found", 0 )</f>
        <v>0</v>
      </c>
      <c r="Z110" s="8">
        <f>_xlfn.XLOOKUP(CustomerCombined[[#This Row],[ID]], Table2[ID],Table2[MC2], "Not Found", 0 )</f>
        <v>0</v>
      </c>
      <c r="AA110" s="8">
        <f>_xlfn.XLOOKUP(CustomerCombined[[#This Row],[ID]], Table2[ID],Table2[MC3], "Not Found", 0 )</f>
        <v>0</v>
      </c>
      <c r="AB110" s="8">
        <f>_xlfn.XLOOKUP(CustomerCombined[[#This Row],[ID]], Table2[ID],Table2[MC4], "Not Found", 0 )</f>
        <v>0</v>
      </c>
      <c r="AC110" s="8">
        <f>_xlfn.XLOOKUP(CustomerCombined[[#This Row],[ID]], Table2[ID],Table2[MC5], "Not Found", 0 )</f>
        <v>0</v>
      </c>
    </row>
    <row r="111" spans="1:29" x14ac:dyDescent="0.3">
      <c r="A111" s="6">
        <v>1283</v>
      </c>
      <c r="B111" s="6">
        <v>135388</v>
      </c>
      <c r="C111" s="6">
        <v>1</v>
      </c>
      <c r="D111" s="6">
        <v>0</v>
      </c>
      <c r="E111" s="6">
        <v>32</v>
      </c>
      <c r="F111" s="5" t="s">
        <v>5</v>
      </c>
      <c r="G111" s="5" t="s">
        <v>442</v>
      </c>
      <c r="H111" s="3">
        <v>43807</v>
      </c>
      <c r="I111" s="5" t="s">
        <v>434</v>
      </c>
      <c r="J111" s="5">
        <f>_xlfn.XLOOKUP(CustomerCombined[[#This Row],[ID]], Table4[ID], Table4[Recency], "Not Found", 0)</f>
        <v>20</v>
      </c>
      <c r="K111" s="5">
        <f>_xlfn.XLOOKUP(CustomerCombined[[#This Row],[ID]], Table4[ID], Table4[Teas], "Not Found", 0)</f>
        <v>23</v>
      </c>
      <c r="L111" s="5">
        <f>_xlfn.XLOOKUP(CustomerCombined[[#This Row],[ID]], Table4[ID], Table4[Fruits], "Not Found", 0)</f>
        <v>15</v>
      </c>
      <c r="M111" s="5">
        <f>_xlfn.XLOOKUP(CustomerCombined[[#This Row],[ID]], Table4[ID], Table4[Meats], "Not Found", 0)</f>
        <v>27</v>
      </c>
      <c r="N111" s="5">
        <f>_xlfn.XLOOKUP(CustomerCombined[[#This Row],[ID]], Table4[ID], Table4[Seafood], "Not Found", 0)</f>
        <v>15</v>
      </c>
      <c r="O111" s="5">
        <f>_xlfn.XLOOKUP(CustomerCombined[[#This Row],[ID]], Table4[ID], Table4[Sweets], "Not Found", 0)</f>
        <v>11</v>
      </c>
      <c r="P111" s="5">
        <f>_xlfn.XLOOKUP(CustomerCombined[[#This Row],[ID]], Table4[ID], Table4[Premium], "Not Found", 0)</f>
        <v>31</v>
      </c>
      <c r="Q111" s="5">
        <f>_xlfn.XLOOKUP(CustomerCombined[[#This Row],[ID]], Table4[ID], Table4[Regular], "Not Found", 0)</f>
        <v>61</v>
      </c>
      <c r="R111" s="5">
        <f>_xlfn.XLOOKUP(CustomerCombined[[#This Row],[ID]], Table4[ID], Table4[Deals], "Not Found", 0)</f>
        <v>1</v>
      </c>
      <c r="S111" s="5">
        <f>_xlfn.XLOOKUP(CustomerCombined[[#This Row],[ID]], Table4[ID], Table4[Website], "Not Found", 0)</f>
        <v>1</v>
      </c>
      <c r="T111" s="5">
        <f>_xlfn.XLOOKUP(CustomerCombined[[#This Row],[ID]], Table4[ID], Table4[Catalog], "Not Found", 0)</f>
        <v>0</v>
      </c>
      <c r="U111" s="5">
        <f>_xlfn.XLOOKUP(CustomerCombined[[#This Row],[ID]], Table4[ID], Table4[Store], "Not Found", 0)</f>
        <v>3</v>
      </c>
      <c r="V111" s="5">
        <f>_xlfn.XLOOKUP(CustomerCombined[[#This Row],[ID]], Table4[ID], Table4[Visits], "Not Found", 0)</f>
        <v>7</v>
      </c>
      <c r="W111" s="8">
        <f>_xlfn.XLOOKUP(CustomerCombined[[#This Row],[ID]], Table2[ID],Table2[Complaint], "Not Found", 0 )</f>
        <v>0</v>
      </c>
      <c r="X111" s="8">
        <f>_xlfn.XLOOKUP(CustomerCombined[[#This Row],[ID]], Table2[ID],Table2[Pilot], "Not Found", 0 )</f>
        <v>0</v>
      </c>
      <c r="Y111" s="8">
        <f>_xlfn.XLOOKUP(CustomerCombined[[#This Row],[ID]], Table2[ID],Table2[MC1], "Not Found", 0 )</f>
        <v>0</v>
      </c>
      <c r="Z111" s="8">
        <f>_xlfn.XLOOKUP(CustomerCombined[[#This Row],[ID]], Table2[ID],Table2[MC2], "Not Found", 0 )</f>
        <v>0</v>
      </c>
      <c r="AA111" s="8">
        <f>_xlfn.XLOOKUP(CustomerCombined[[#This Row],[ID]], Table2[ID],Table2[MC3], "Not Found", 0 )</f>
        <v>0</v>
      </c>
      <c r="AB111" s="8">
        <f>_xlfn.XLOOKUP(CustomerCombined[[#This Row],[ID]], Table2[ID],Table2[MC4], "Not Found", 0 )</f>
        <v>0</v>
      </c>
      <c r="AC111" s="8">
        <f>_xlfn.XLOOKUP(CustomerCombined[[#This Row],[ID]], Table2[ID],Table2[MC5], "Not Found", 0 )</f>
        <v>0</v>
      </c>
    </row>
    <row r="112" spans="1:29" x14ac:dyDescent="0.3">
      <c r="A112" s="6">
        <v>1143</v>
      </c>
      <c r="B112" s="6">
        <v>134176</v>
      </c>
      <c r="C112" s="6">
        <v>1</v>
      </c>
      <c r="D112" s="6">
        <v>0</v>
      </c>
      <c r="E112" s="6">
        <v>32</v>
      </c>
      <c r="F112" s="5" t="s">
        <v>7</v>
      </c>
      <c r="G112" s="5" t="s">
        <v>11</v>
      </c>
      <c r="H112" s="3" t="s">
        <v>52</v>
      </c>
      <c r="I112" s="5" t="s">
        <v>435</v>
      </c>
      <c r="J112" s="5">
        <f>_xlfn.XLOOKUP(CustomerCombined[[#This Row],[ID]], Table4[ID], Table4[Recency], "Not Found", 0)</f>
        <v>12</v>
      </c>
      <c r="K112" s="5">
        <f>_xlfn.XLOOKUP(CustomerCombined[[#This Row],[ID]], Table4[ID], Table4[Teas], "Not Found", 0)</f>
        <v>20</v>
      </c>
      <c r="L112" s="5">
        <f>_xlfn.XLOOKUP(CustomerCombined[[#This Row],[ID]], Table4[ID], Table4[Fruits], "Not Found", 0)</f>
        <v>27</v>
      </c>
      <c r="M112" s="5">
        <f>_xlfn.XLOOKUP(CustomerCombined[[#This Row],[ID]], Table4[ID], Table4[Meats], "Not Found", 0)</f>
        <v>94</v>
      </c>
      <c r="N112" s="5">
        <f>_xlfn.XLOOKUP(CustomerCombined[[#This Row],[ID]], Table4[ID], Table4[Seafood], "Not Found", 0)</f>
        <v>75</v>
      </c>
      <c r="O112" s="5">
        <f>_xlfn.XLOOKUP(CustomerCombined[[#This Row],[ID]], Table4[ID], Table4[Sweets], "Not Found", 0)</f>
        <v>55</v>
      </c>
      <c r="P112" s="5">
        <f>_xlfn.XLOOKUP(CustomerCombined[[#This Row],[ID]], Table4[ID], Table4[Premium], "Not Found", 0)</f>
        <v>79</v>
      </c>
      <c r="Q112" s="5">
        <f>_xlfn.XLOOKUP(CustomerCombined[[#This Row],[ID]], Table4[ID], Table4[Regular], "Not Found", 0)</f>
        <v>192</v>
      </c>
      <c r="R112" s="5">
        <f>_xlfn.XLOOKUP(CustomerCombined[[#This Row],[ID]], Table4[ID], Table4[Deals], "Not Found", 0)</f>
        <v>4</v>
      </c>
      <c r="S112" s="5">
        <f>_xlfn.XLOOKUP(CustomerCombined[[#This Row],[ID]], Table4[ID], Table4[Website], "Not Found", 0)</f>
        <v>3</v>
      </c>
      <c r="T112" s="5">
        <f>_xlfn.XLOOKUP(CustomerCombined[[#This Row],[ID]], Table4[ID], Table4[Catalog], "Not Found", 0)</f>
        <v>0</v>
      </c>
      <c r="U112" s="5">
        <f>_xlfn.XLOOKUP(CustomerCombined[[#This Row],[ID]], Table4[ID], Table4[Store], "Not Found", 0)</f>
        <v>4</v>
      </c>
      <c r="V112" s="5">
        <f>_xlfn.XLOOKUP(CustomerCombined[[#This Row],[ID]], Table4[ID], Table4[Visits], "Not Found", 0)</f>
        <v>6</v>
      </c>
      <c r="W112" s="8">
        <f>_xlfn.XLOOKUP(CustomerCombined[[#This Row],[ID]], Table2[ID],Table2[Complaint], "Not Found", 0 )</f>
        <v>0</v>
      </c>
      <c r="X112" s="8">
        <f>_xlfn.XLOOKUP(CustomerCombined[[#This Row],[ID]], Table2[ID],Table2[Pilot], "Not Found", 0 )</f>
        <v>0</v>
      </c>
      <c r="Y112" s="8">
        <f>_xlfn.XLOOKUP(CustomerCombined[[#This Row],[ID]], Table2[ID],Table2[MC1], "Not Found", 0 )</f>
        <v>0</v>
      </c>
      <c r="Z112" s="8">
        <f>_xlfn.XLOOKUP(CustomerCombined[[#This Row],[ID]], Table2[ID],Table2[MC2], "Not Found", 0 )</f>
        <v>0</v>
      </c>
      <c r="AA112" s="8">
        <f>_xlfn.XLOOKUP(CustomerCombined[[#This Row],[ID]], Table2[ID],Table2[MC3], "Not Found", 0 )</f>
        <v>0</v>
      </c>
      <c r="AB112" s="8">
        <f>_xlfn.XLOOKUP(CustomerCombined[[#This Row],[ID]], Table2[ID],Table2[MC4], "Not Found", 0 )</f>
        <v>0</v>
      </c>
      <c r="AC112" s="8">
        <f>_xlfn.XLOOKUP(CustomerCombined[[#This Row],[ID]], Table2[ID],Table2[MC5], "Not Found", 0 )</f>
        <v>0</v>
      </c>
    </row>
    <row r="113" spans="1:29" x14ac:dyDescent="0.3">
      <c r="A113" s="6">
        <v>1823</v>
      </c>
      <c r="B113" s="6">
        <v>134176</v>
      </c>
      <c r="C113" s="6">
        <v>1</v>
      </c>
      <c r="D113" s="6">
        <v>0</v>
      </c>
      <c r="E113" s="6">
        <v>32</v>
      </c>
      <c r="F113" s="5" t="s">
        <v>7</v>
      </c>
      <c r="G113" s="5" t="s">
        <v>11</v>
      </c>
      <c r="H113" s="3" t="s">
        <v>52</v>
      </c>
      <c r="I113" s="5" t="s">
        <v>434</v>
      </c>
      <c r="J113" s="5">
        <f>_xlfn.XLOOKUP(CustomerCombined[[#This Row],[ID]], Table4[ID], Table4[Recency], "Not Found", 0)</f>
        <v>12</v>
      </c>
      <c r="K113" s="5">
        <f>_xlfn.XLOOKUP(CustomerCombined[[#This Row],[ID]], Table4[ID], Table4[Teas], "Not Found", 0)</f>
        <v>20</v>
      </c>
      <c r="L113" s="5">
        <f>_xlfn.XLOOKUP(CustomerCombined[[#This Row],[ID]], Table4[ID], Table4[Fruits], "Not Found", 0)</f>
        <v>27</v>
      </c>
      <c r="M113" s="5">
        <f>_xlfn.XLOOKUP(CustomerCombined[[#This Row],[ID]], Table4[ID], Table4[Meats], "Not Found", 0)</f>
        <v>94</v>
      </c>
      <c r="N113" s="5">
        <f>_xlfn.XLOOKUP(CustomerCombined[[#This Row],[ID]], Table4[ID], Table4[Seafood], "Not Found", 0)</f>
        <v>75</v>
      </c>
      <c r="O113" s="5">
        <f>_xlfn.XLOOKUP(CustomerCombined[[#This Row],[ID]], Table4[ID], Table4[Sweets], "Not Found", 0)</f>
        <v>55</v>
      </c>
      <c r="P113" s="5">
        <f>_xlfn.XLOOKUP(CustomerCombined[[#This Row],[ID]], Table4[ID], Table4[Premium], "Not Found", 0)</f>
        <v>79</v>
      </c>
      <c r="Q113" s="5">
        <f>_xlfn.XLOOKUP(CustomerCombined[[#This Row],[ID]], Table4[ID], Table4[Regular], "Not Found", 0)</f>
        <v>192</v>
      </c>
      <c r="R113" s="5">
        <f>_xlfn.XLOOKUP(CustomerCombined[[#This Row],[ID]], Table4[ID], Table4[Deals], "Not Found", 0)</f>
        <v>4</v>
      </c>
      <c r="S113" s="5">
        <f>_xlfn.XLOOKUP(CustomerCombined[[#This Row],[ID]], Table4[ID], Table4[Website], "Not Found", 0)</f>
        <v>3</v>
      </c>
      <c r="T113" s="5">
        <f>_xlfn.XLOOKUP(CustomerCombined[[#This Row],[ID]], Table4[ID], Table4[Catalog], "Not Found", 0)</f>
        <v>0</v>
      </c>
      <c r="U113" s="5">
        <f>_xlfn.XLOOKUP(CustomerCombined[[#This Row],[ID]], Table4[ID], Table4[Store], "Not Found", 0)</f>
        <v>4</v>
      </c>
      <c r="V113" s="5">
        <f>_xlfn.XLOOKUP(CustomerCombined[[#This Row],[ID]], Table4[ID], Table4[Visits], "Not Found", 0)</f>
        <v>6</v>
      </c>
      <c r="W113" s="8">
        <f>_xlfn.XLOOKUP(CustomerCombined[[#This Row],[ID]], Table2[ID],Table2[Complaint], "Not Found", 0 )</f>
        <v>0</v>
      </c>
      <c r="X113" s="8">
        <f>_xlfn.XLOOKUP(CustomerCombined[[#This Row],[ID]], Table2[ID],Table2[Pilot], "Not Found", 0 )</f>
        <v>0</v>
      </c>
      <c r="Y113" s="8">
        <f>_xlfn.XLOOKUP(CustomerCombined[[#This Row],[ID]], Table2[ID],Table2[MC1], "Not Found", 0 )</f>
        <v>0</v>
      </c>
      <c r="Z113" s="8">
        <f>_xlfn.XLOOKUP(CustomerCombined[[#This Row],[ID]], Table2[ID],Table2[MC2], "Not Found", 0 )</f>
        <v>0</v>
      </c>
      <c r="AA113" s="8">
        <f>_xlfn.XLOOKUP(CustomerCombined[[#This Row],[ID]], Table2[ID],Table2[MC3], "Not Found", 0 )</f>
        <v>0</v>
      </c>
      <c r="AB113" s="8">
        <f>_xlfn.XLOOKUP(CustomerCombined[[#This Row],[ID]], Table2[ID],Table2[MC4], "Not Found", 0 )</f>
        <v>0</v>
      </c>
      <c r="AC113" s="8">
        <f>_xlfn.XLOOKUP(CustomerCombined[[#This Row],[ID]], Table2[ID],Table2[MC5], "Not Found", 0 )</f>
        <v>0</v>
      </c>
    </row>
    <row r="114" spans="1:29" x14ac:dyDescent="0.3">
      <c r="A114" s="6">
        <v>1194</v>
      </c>
      <c r="B114" s="6">
        <v>129604</v>
      </c>
      <c r="C114" s="6">
        <v>1</v>
      </c>
      <c r="D114" s="6">
        <v>0</v>
      </c>
      <c r="E114" s="6">
        <v>32</v>
      </c>
      <c r="F114" s="5" t="s">
        <v>8</v>
      </c>
      <c r="G114" s="5" t="s">
        <v>11</v>
      </c>
      <c r="H114" s="3" t="s">
        <v>140</v>
      </c>
      <c r="I114" s="5" t="s">
        <v>436</v>
      </c>
      <c r="J114" s="5">
        <f>_xlfn.XLOOKUP(CustomerCombined[[#This Row],[ID]], Table4[ID], Table4[Recency], "Not Found", 0)</f>
        <v>88</v>
      </c>
      <c r="K114" s="5">
        <f>_xlfn.XLOOKUP(CustomerCombined[[#This Row],[ID]], Table4[ID], Table4[Teas], "Not Found", 0)</f>
        <v>31</v>
      </c>
      <c r="L114" s="5">
        <f>_xlfn.XLOOKUP(CustomerCombined[[#This Row],[ID]], Table4[ID], Table4[Fruits], "Not Found", 0)</f>
        <v>26</v>
      </c>
      <c r="M114" s="5">
        <f>_xlfn.XLOOKUP(CustomerCombined[[#This Row],[ID]], Table4[ID], Table4[Meats], "Not Found", 0)</f>
        <v>57</v>
      </c>
      <c r="N114" s="5">
        <f>_xlfn.XLOOKUP(CustomerCombined[[#This Row],[ID]], Table4[ID], Table4[Seafood], "Not Found", 0)</f>
        <v>31</v>
      </c>
      <c r="O114" s="5">
        <f>_xlfn.XLOOKUP(CustomerCombined[[#This Row],[ID]], Table4[ID], Table4[Sweets], "Not Found", 0)</f>
        <v>26</v>
      </c>
      <c r="P114" s="5">
        <f>_xlfn.XLOOKUP(CustomerCombined[[#This Row],[ID]], Table4[ID], Table4[Premium], "Not Found", 0)</f>
        <v>61</v>
      </c>
      <c r="Q114" s="5">
        <f>_xlfn.XLOOKUP(CustomerCombined[[#This Row],[ID]], Table4[ID], Table4[Regular], "Not Found", 0)</f>
        <v>109</v>
      </c>
      <c r="R114" s="5">
        <f>_xlfn.XLOOKUP(CustomerCombined[[#This Row],[ID]], Table4[ID], Table4[Deals], "Not Found", 0)</f>
        <v>1</v>
      </c>
      <c r="S114" s="5">
        <f>_xlfn.XLOOKUP(CustomerCombined[[#This Row],[ID]], Table4[ID], Table4[Website], "Not Found", 0)</f>
        <v>1</v>
      </c>
      <c r="T114" s="5">
        <f>_xlfn.XLOOKUP(CustomerCombined[[#This Row],[ID]], Table4[ID], Table4[Catalog], "Not Found", 0)</f>
        <v>0</v>
      </c>
      <c r="U114" s="5">
        <f>_xlfn.XLOOKUP(CustomerCombined[[#This Row],[ID]], Table4[ID], Table4[Store], "Not Found", 0)</f>
        <v>3</v>
      </c>
      <c r="V114" s="5">
        <f>_xlfn.XLOOKUP(CustomerCombined[[#This Row],[ID]], Table4[ID], Table4[Visits], "Not Found", 0)</f>
        <v>9</v>
      </c>
      <c r="W114" s="8">
        <f>_xlfn.XLOOKUP(CustomerCombined[[#This Row],[ID]], Table2[ID],Table2[Complaint], "Not Found", 0 )</f>
        <v>0</v>
      </c>
      <c r="X114" s="8">
        <f>_xlfn.XLOOKUP(CustomerCombined[[#This Row],[ID]], Table2[ID],Table2[Pilot], "Not Found", 0 )</f>
        <v>0</v>
      </c>
      <c r="Y114" s="8">
        <f>_xlfn.XLOOKUP(CustomerCombined[[#This Row],[ID]], Table2[ID],Table2[MC1], "Not Found", 0 )</f>
        <v>0</v>
      </c>
      <c r="Z114" s="8">
        <f>_xlfn.XLOOKUP(CustomerCombined[[#This Row],[ID]], Table2[ID],Table2[MC2], "Not Found", 0 )</f>
        <v>0</v>
      </c>
      <c r="AA114" s="8">
        <f>_xlfn.XLOOKUP(CustomerCombined[[#This Row],[ID]], Table2[ID],Table2[MC3], "Not Found", 0 )</f>
        <v>1</v>
      </c>
      <c r="AB114" s="8">
        <f>_xlfn.XLOOKUP(CustomerCombined[[#This Row],[ID]], Table2[ID],Table2[MC4], "Not Found", 0 )</f>
        <v>0</v>
      </c>
      <c r="AC114" s="8">
        <f>_xlfn.XLOOKUP(CustomerCombined[[#This Row],[ID]], Table2[ID],Table2[MC5], "Not Found", 0 )</f>
        <v>0</v>
      </c>
    </row>
    <row r="115" spans="1:29" x14ac:dyDescent="0.3">
      <c r="A115" s="6">
        <v>1054</v>
      </c>
      <c r="B115" s="6">
        <v>127938</v>
      </c>
      <c r="C115" s="6">
        <v>1</v>
      </c>
      <c r="D115" s="6">
        <v>0</v>
      </c>
      <c r="E115" s="6">
        <v>32</v>
      </c>
      <c r="F115" s="5" t="s">
        <v>7</v>
      </c>
      <c r="G115" s="5" t="s">
        <v>11</v>
      </c>
      <c r="H115" s="3">
        <v>43871</v>
      </c>
      <c r="I115" s="5" t="s">
        <v>439</v>
      </c>
      <c r="J115" s="5">
        <f>_xlfn.XLOOKUP(CustomerCombined[[#This Row],[ID]], Table4[ID], Table4[Recency], "Not Found", 0)</f>
        <v>31</v>
      </c>
      <c r="K115" s="5">
        <f>_xlfn.XLOOKUP(CustomerCombined[[#This Row],[ID]], Table4[ID], Table4[Teas], "Not Found", 0)</f>
        <v>60</v>
      </c>
      <c r="L115" s="5">
        <f>_xlfn.XLOOKUP(CustomerCombined[[#This Row],[ID]], Table4[ID], Table4[Fruits], "Not Found", 0)</f>
        <v>0</v>
      </c>
      <c r="M115" s="5">
        <f>_xlfn.XLOOKUP(CustomerCombined[[#This Row],[ID]], Table4[ID], Table4[Meats], "Not Found", 0)</f>
        <v>37</v>
      </c>
      <c r="N115" s="5">
        <f>_xlfn.XLOOKUP(CustomerCombined[[#This Row],[ID]], Table4[ID], Table4[Seafood], "Not Found", 0)</f>
        <v>9</v>
      </c>
      <c r="O115" s="5">
        <f>_xlfn.XLOOKUP(CustomerCombined[[#This Row],[ID]], Table4[ID], Table4[Sweets], "Not Found", 0)</f>
        <v>5</v>
      </c>
      <c r="P115" s="5">
        <f>_xlfn.XLOOKUP(CustomerCombined[[#This Row],[ID]], Table4[ID], Table4[Premium], "Not Found", 0)</f>
        <v>23</v>
      </c>
      <c r="Q115" s="5">
        <f>_xlfn.XLOOKUP(CustomerCombined[[#This Row],[ID]], Table4[ID], Table4[Regular], "Not Found", 0)</f>
        <v>87</v>
      </c>
      <c r="R115" s="5">
        <f>_xlfn.XLOOKUP(CustomerCombined[[#This Row],[ID]], Table4[ID], Table4[Deals], "Not Found", 0)</f>
        <v>1</v>
      </c>
      <c r="S115" s="5">
        <f>_xlfn.XLOOKUP(CustomerCombined[[#This Row],[ID]], Table4[ID], Table4[Website], "Not Found", 0)</f>
        <v>1</v>
      </c>
      <c r="T115" s="5">
        <f>_xlfn.XLOOKUP(CustomerCombined[[#This Row],[ID]], Table4[ID], Table4[Catalog], "Not Found", 0)</f>
        <v>0</v>
      </c>
      <c r="U115" s="5">
        <f>_xlfn.XLOOKUP(CustomerCombined[[#This Row],[ID]], Table4[ID], Table4[Store], "Not Found", 0)</f>
        <v>4</v>
      </c>
      <c r="V115" s="5">
        <f>_xlfn.XLOOKUP(CustomerCombined[[#This Row],[ID]], Table4[ID], Table4[Visits], "Not Found", 0)</f>
        <v>3</v>
      </c>
      <c r="W115" s="8">
        <f>_xlfn.XLOOKUP(CustomerCombined[[#This Row],[ID]], Table2[ID],Table2[Complaint], "Not Found", 0 )</f>
        <v>0</v>
      </c>
      <c r="X115" s="8">
        <f>_xlfn.XLOOKUP(CustomerCombined[[#This Row],[ID]], Table2[ID],Table2[Pilot], "Not Found", 0 )</f>
        <v>0</v>
      </c>
      <c r="Y115" s="8">
        <f>_xlfn.XLOOKUP(CustomerCombined[[#This Row],[ID]], Table2[ID],Table2[MC1], "Not Found", 0 )</f>
        <v>0</v>
      </c>
      <c r="Z115" s="8">
        <f>_xlfn.XLOOKUP(CustomerCombined[[#This Row],[ID]], Table2[ID],Table2[MC2], "Not Found", 0 )</f>
        <v>0</v>
      </c>
      <c r="AA115" s="8">
        <f>_xlfn.XLOOKUP(CustomerCombined[[#This Row],[ID]], Table2[ID],Table2[MC3], "Not Found", 0 )</f>
        <v>0</v>
      </c>
      <c r="AB115" s="8">
        <f>_xlfn.XLOOKUP(CustomerCombined[[#This Row],[ID]], Table2[ID],Table2[MC4], "Not Found", 0 )</f>
        <v>0</v>
      </c>
      <c r="AC115" s="8">
        <f>_xlfn.XLOOKUP(CustomerCombined[[#This Row],[ID]], Table2[ID],Table2[MC5], "Not Found", 0 )</f>
        <v>0</v>
      </c>
    </row>
    <row r="116" spans="1:29" x14ac:dyDescent="0.3">
      <c r="A116" s="6">
        <v>2824</v>
      </c>
      <c r="B116" s="6">
        <v>125008</v>
      </c>
      <c r="C116" s="6">
        <v>1</v>
      </c>
      <c r="D116" s="6">
        <v>0</v>
      </c>
      <c r="E116" s="6">
        <v>32</v>
      </c>
      <c r="F116" s="5" t="s">
        <v>7</v>
      </c>
      <c r="G116" s="5" t="s">
        <v>11</v>
      </c>
      <c r="H116" s="3">
        <v>44081</v>
      </c>
      <c r="I116" s="5" t="s">
        <v>439</v>
      </c>
      <c r="J116" s="5">
        <f>_xlfn.XLOOKUP(CustomerCombined[[#This Row],[ID]], Table4[ID], Table4[Recency], "Not Found", 0)</f>
        <v>72</v>
      </c>
      <c r="K116" s="5">
        <f>_xlfn.XLOOKUP(CustomerCombined[[#This Row],[ID]], Table4[ID], Table4[Teas], "Not Found", 0)</f>
        <v>10</v>
      </c>
      <c r="L116" s="5">
        <f>_xlfn.XLOOKUP(CustomerCombined[[#This Row],[ID]], Table4[ID], Table4[Fruits], "Not Found", 0)</f>
        <v>40</v>
      </c>
      <c r="M116" s="5">
        <f>_xlfn.XLOOKUP(CustomerCombined[[#This Row],[ID]], Table4[ID], Table4[Meats], "Not Found", 0)</f>
        <v>40</v>
      </c>
      <c r="N116" s="5">
        <f>_xlfn.XLOOKUP(CustomerCombined[[#This Row],[ID]], Table4[ID], Table4[Seafood], "Not Found", 0)</f>
        <v>30</v>
      </c>
      <c r="O116" s="5">
        <f>_xlfn.XLOOKUP(CustomerCombined[[#This Row],[ID]], Table4[ID], Table4[Sweets], "Not Found", 0)</f>
        <v>5</v>
      </c>
      <c r="P116" s="5">
        <f>_xlfn.XLOOKUP(CustomerCombined[[#This Row],[ID]], Table4[ID], Table4[Premium], "Not Found", 0)</f>
        <v>45</v>
      </c>
      <c r="Q116" s="5">
        <f>_xlfn.XLOOKUP(CustomerCombined[[#This Row],[ID]], Table4[ID], Table4[Regular], "Not Found", 0)</f>
        <v>80</v>
      </c>
      <c r="R116" s="5">
        <f>_xlfn.XLOOKUP(CustomerCombined[[#This Row],[ID]], Table4[ID], Table4[Deals], "Not Found", 0)</f>
        <v>2</v>
      </c>
      <c r="S116" s="5">
        <f>_xlfn.XLOOKUP(CustomerCombined[[#This Row],[ID]], Table4[ID], Table4[Website], "Not Found", 0)</f>
        <v>1</v>
      </c>
      <c r="T116" s="5">
        <f>_xlfn.XLOOKUP(CustomerCombined[[#This Row],[ID]], Table4[ID], Table4[Catalog], "Not Found", 0)</f>
        <v>0</v>
      </c>
      <c r="U116" s="5">
        <f>_xlfn.XLOOKUP(CustomerCombined[[#This Row],[ID]], Table4[ID], Table4[Store], "Not Found", 0)</f>
        <v>3</v>
      </c>
      <c r="V116" s="5">
        <f>_xlfn.XLOOKUP(CustomerCombined[[#This Row],[ID]], Table4[ID], Table4[Visits], "Not Found", 0)</f>
        <v>8</v>
      </c>
      <c r="W116" s="8">
        <f>_xlfn.XLOOKUP(CustomerCombined[[#This Row],[ID]], Table2[ID],Table2[Complaint], "Not Found", 0 )</f>
        <v>0</v>
      </c>
      <c r="X116" s="8">
        <f>_xlfn.XLOOKUP(CustomerCombined[[#This Row],[ID]], Table2[ID],Table2[Pilot], "Not Found", 0 )</f>
        <v>0</v>
      </c>
      <c r="Y116" s="8">
        <f>_xlfn.XLOOKUP(CustomerCombined[[#This Row],[ID]], Table2[ID],Table2[MC1], "Not Found", 0 )</f>
        <v>0</v>
      </c>
      <c r="Z116" s="8">
        <f>_xlfn.XLOOKUP(CustomerCombined[[#This Row],[ID]], Table2[ID],Table2[MC2], "Not Found", 0 )</f>
        <v>0</v>
      </c>
      <c r="AA116" s="8">
        <f>_xlfn.XLOOKUP(CustomerCombined[[#This Row],[ID]], Table2[ID],Table2[MC3], "Not Found", 0 )</f>
        <v>0</v>
      </c>
      <c r="AB116" s="8">
        <f>_xlfn.XLOOKUP(CustomerCombined[[#This Row],[ID]], Table2[ID],Table2[MC4], "Not Found", 0 )</f>
        <v>0</v>
      </c>
      <c r="AC116" s="8">
        <f>_xlfn.XLOOKUP(CustomerCombined[[#This Row],[ID]], Table2[ID],Table2[MC5], "Not Found", 0 )</f>
        <v>0</v>
      </c>
    </row>
    <row r="117" spans="1:29" x14ac:dyDescent="0.3">
      <c r="A117" s="6">
        <v>2538</v>
      </c>
      <c r="B117" s="6">
        <v>124645</v>
      </c>
      <c r="C117" s="6">
        <v>1</v>
      </c>
      <c r="D117" s="6">
        <v>0</v>
      </c>
      <c r="E117" s="6">
        <v>32</v>
      </c>
      <c r="F117" s="5" t="s">
        <v>6</v>
      </c>
      <c r="G117" s="5" t="s">
        <v>11</v>
      </c>
      <c r="H117" s="3">
        <v>43681</v>
      </c>
      <c r="I117" s="5" t="s">
        <v>436</v>
      </c>
      <c r="J117" s="5">
        <f>_xlfn.XLOOKUP(CustomerCombined[[#This Row],[ID]], Table4[ID], Table4[Recency], "Not Found", 0)</f>
        <v>16</v>
      </c>
      <c r="K117" s="5">
        <f>_xlfn.XLOOKUP(CustomerCombined[[#This Row],[ID]], Table4[ID], Table4[Teas], "Not Found", 0)</f>
        <v>25</v>
      </c>
      <c r="L117" s="5">
        <f>_xlfn.XLOOKUP(CustomerCombined[[#This Row],[ID]], Table4[ID], Table4[Fruits], "Not Found", 0)</f>
        <v>15</v>
      </c>
      <c r="M117" s="5">
        <f>_xlfn.XLOOKUP(CustomerCombined[[#This Row],[ID]], Table4[ID], Table4[Meats], "Not Found", 0)</f>
        <v>20</v>
      </c>
      <c r="N117" s="5">
        <f>_xlfn.XLOOKUP(CustomerCombined[[#This Row],[ID]], Table4[ID], Table4[Seafood], "Not Found", 0)</f>
        <v>20</v>
      </c>
      <c r="O117" s="5">
        <f>_xlfn.XLOOKUP(CustomerCombined[[#This Row],[ID]], Table4[ID], Table4[Sweets], "Not Found", 0)</f>
        <v>5</v>
      </c>
      <c r="P117" s="5">
        <f>_xlfn.XLOOKUP(CustomerCombined[[#This Row],[ID]], Table4[ID], Table4[Premium], "Not Found", 0)</f>
        <v>0</v>
      </c>
      <c r="Q117" s="5">
        <f>_xlfn.XLOOKUP(CustomerCombined[[#This Row],[ID]], Table4[ID], Table4[Regular], "Not Found", 0)</f>
        <v>86</v>
      </c>
      <c r="R117" s="5">
        <f>_xlfn.XLOOKUP(CustomerCombined[[#This Row],[ID]], Table4[ID], Table4[Deals], "Not Found", 0)</f>
        <v>1</v>
      </c>
      <c r="S117" s="5">
        <f>_xlfn.XLOOKUP(CustomerCombined[[#This Row],[ID]], Table4[ID], Table4[Website], "Not Found", 0)</f>
        <v>1</v>
      </c>
      <c r="T117" s="5">
        <f>_xlfn.XLOOKUP(CustomerCombined[[#This Row],[ID]], Table4[ID], Table4[Catalog], "Not Found", 0)</f>
        <v>0</v>
      </c>
      <c r="U117" s="5">
        <f>_xlfn.XLOOKUP(CustomerCombined[[#This Row],[ID]], Table4[ID], Table4[Store], "Not Found", 0)</f>
        <v>2</v>
      </c>
      <c r="V117" s="5">
        <f>_xlfn.XLOOKUP(CustomerCombined[[#This Row],[ID]], Table4[ID], Table4[Visits], "Not Found", 0)</f>
        <v>8</v>
      </c>
      <c r="W117" s="8">
        <f>_xlfn.XLOOKUP(CustomerCombined[[#This Row],[ID]], Table2[ID],Table2[Complaint], "Not Found", 0 )</f>
        <v>0</v>
      </c>
      <c r="X117" s="8">
        <f>_xlfn.XLOOKUP(CustomerCombined[[#This Row],[ID]], Table2[ID],Table2[Pilot], "Not Found", 0 )</f>
        <v>0</v>
      </c>
      <c r="Y117" s="8">
        <f>_xlfn.XLOOKUP(CustomerCombined[[#This Row],[ID]], Table2[ID],Table2[MC1], "Not Found", 0 )</f>
        <v>0</v>
      </c>
      <c r="Z117" s="8">
        <f>_xlfn.XLOOKUP(CustomerCombined[[#This Row],[ID]], Table2[ID],Table2[MC2], "Not Found", 0 )</f>
        <v>0</v>
      </c>
      <c r="AA117" s="8">
        <f>_xlfn.XLOOKUP(CustomerCombined[[#This Row],[ID]], Table2[ID],Table2[MC3], "Not Found", 0 )</f>
        <v>0</v>
      </c>
      <c r="AB117" s="8">
        <f>_xlfn.XLOOKUP(CustomerCombined[[#This Row],[ID]], Table2[ID],Table2[MC4], "Not Found", 0 )</f>
        <v>0</v>
      </c>
      <c r="AC117" s="8">
        <f>_xlfn.XLOOKUP(CustomerCombined[[#This Row],[ID]], Table2[ID],Table2[MC5], "Not Found", 0 )</f>
        <v>0</v>
      </c>
    </row>
    <row r="118" spans="1:29" x14ac:dyDescent="0.3">
      <c r="A118" s="6">
        <v>2510</v>
      </c>
      <c r="B118" s="6">
        <v>123331</v>
      </c>
      <c r="C118" s="6">
        <v>1</v>
      </c>
      <c r="D118" s="6">
        <v>0</v>
      </c>
      <c r="E118" s="6">
        <v>32</v>
      </c>
      <c r="F118" s="5" t="s">
        <v>6</v>
      </c>
      <c r="G118" s="5" t="s">
        <v>442</v>
      </c>
      <c r="H118" s="3">
        <v>43710</v>
      </c>
      <c r="I118" s="5" t="s">
        <v>438</v>
      </c>
      <c r="J118" s="5">
        <f>_xlfn.XLOOKUP(CustomerCombined[[#This Row],[ID]], Table4[ID], Table4[Recency], "Not Found", 0)</f>
        <v>92</v>
      </c>
      <c r="K118" s="5">
        <f>_xlfn.XLOOKUP(CustomerCombined[[#This Row],[ID]], Table4[ID], Table4[Teas], "Not Found", 0)</f>
        <v>26</v>
      </c>
      <c r="L118" s="5">
        <f>_xlfn.XLOOKUP(CustomerCombined[[#This Row],[ID]], Table4[ID], Table4[Fruits], "Not Found", 0)</f>
        <v>190</v>
      </c>
      <c r="M118" s="5">
        <f>_xlfn.XLOOKUP(CustomerCombined[[#This Row],[ID]], Table4[ID], Table4[Meats], "Not Found", 0)</f>
        <v>37</v>
      </c>
      <c r="N118" s="5">
        <f>_xlfn.XLOOKUP(CustomerCombined[[#This Row],[ID]], Table4[ID], Table4[Seafood], "Not Found", 0)</f>
        <v>0</v>
      </c>
      <c r="O118" s="5">
        <f>_xlfn.XLOOKUP(CustomerCombined[[#This Row],[ID]], Table4[ID], Table4[Sweets], "Not Found", 0)</f>
        <v>53</v>
      </c>
      <c r="P118" s="5">
        <f>_xlfn.XLOOKUP(CustomerCombined[[#This Row],[ID]], Table4[ID], Table4[Premium], "Not Found", 0)</f>
        <v>238</v>
      </c>
      <c r="Q118" s="5">
        <f>_xlfn.XLOOKUP(CustomerCombined[[#This Row],[ID]], Table4[ID], Table4[Regular], "Not Found", 0)</f>
        <v>69</v>
      </c>
      <c r="R118" s="5">
        <f>_xlfn.XLOOKUP(CustomerCombined[[#This Row],[ID]], Table4[ID], Table4[Deals], "Not Found", 0)</f>
        <v>2</v>
      </c>
      <c r="S118" s="5">
        <f>_xlfn.XLOOKUP(CustomerCombined[[#This Row],[ID]], Table4[ID], Table4[Website], "Not Found", 0)</f>
        <v>3</v>
      </c>
      <c r="T118" s="5">
        <f>_xlfn.XLOOKUP(CustomerCombined[[#This Row],[ID]], Table4[ID], Table4[Catalog], "Not Found", 0)</f>
        <v>0</v>
      </c>
      <c r="U118" s="5">
        <f>_xlfn.XLOOKUP(CustomerCombined[[#This Row],[ID]], Table4[ID], Table4[Store], "Not Found", 0)</f>
        <v>3</v>
      </c>
      <c r="V118" s="5">
        <f>_xlfn.XLOOKUP(CustomerCombined[[#This Row],[ID]], Table4[ID], Table4[Visits], "Not Found", 0)</f>
        <v>8</v>
      </c>
      <c r="W118" s="8">
        <f>_xlfn.XLOOKUP(CustomerCombined[[#This Row],[ID]], Table2[ID],Table2[Complaint], "Not Found", 0 )</f>
        <v>0</v>
      </c>
      <c r="X118" s="8">
        <f>_xlfn.XLOOKUP(CustomerCombined[[#This Row],[ID]], Table2[ID],Table2[Pilot], "Not Found", 0 )</f>
        <v>0</v>
      </c>
      <c r="Y118" s="8">
        <f>_xlfn.XLOOKUP(CustomerCombined[[#This Row],[ID]], Table2[ID],Table2[MC1], "Not Found", 0 )</f>
        <v>0</v>
      </c>
      <c r="Z118" s="8">
        <f>_xlfn.XLOOKUP(CustomerCombined[[#This Row],[ID]], Table2[ID],Table2[MC2], "Not Found", 0 )</f>
        <v>0</v>
      </c>
      <c r="AA118" s="8">
        <f>_xlfn.XLOOKUP(CustomerCombined[[#This Row],[ID]], Table2[ID],Table2[MC3], "Not Found", 0 )</f>
        <v>0</v>
      </c>
      <c r="AB118" s="8">
        <f>_xlfn.XLOOKUP(CustomerCombined[[#This Row],[ID]], Table2[ID],Table2[MC4], "Not Found", 0 )</f>
        <v>0</v>
      </c>
      <c r="AC118" s="8">
        <f>_xlfn.XLOOKUP(CustomerCombined[[#This Row],[ID]], Table2[ID],Table2[MC5], "Not Found", 0 )</f>
        <v>0</v>
      </c>
    </row>
    <row r="119" spans="1:29" x14ac:dyDescent="0.3">
      <c r="A119" s="6">
        <v>2511</v>
      </c>
      <c r="B119" s="6">
        <v>123331</v>
      </c>
      <c r="C119" s="6">
        <v>1</v>
      </c>
      <c r="D119" s="6">
        <v>0</v>
      </c>
      <c r="E119" s="6">
        <v>32</v>
      </c>
      <c r="F119" s="5" t="s">
        <v>7</v>
      </c>
      <c r="G119" s="5" t="s">
        <v>442</v>
      </c>
      <c r="H119" s="3">
        <v>43802</v>
      </c>
      <c r="I119" s="5" t="s">
        <v>435</v>
      </c>
      <c r="J119" s="5">
        <f>_xlfn.XLOOKUP(CustomerCombined[[#This Row],[ID]], Table4[ID], Table4[Recency], "Not Found", 0)</f>
        <v>97</v>
      </c>
      <c r="K119" s="5">
        <f>_xlfn.XLOOKUP(CustomerCombined[[#This Row],[ID]], Table4[ID], Table4[Teas], "Not Found", 0)</f>
        <v>550</v>
      </c>
      <c r="L119" s="5">
        <f>_xlfn.XLOOKUP(CustomerCombined[[#This Row],[ID]], Table4[ID], Table4[Fruits], "Not Found", 0)</f>
        <v>106</v>
      </c>
      <c r="M119" s="5">
        <f>_xlfn.XLOOKUP(CustomerCombined[[#This Row],[ID]], Table4[ID], Table4[Meats], "Not Found", 0)</f>
        <v>534</v>
      </c>
      <c r="N119" s="5">
        <f>_xlfn.XLOOKUP(CustomerCombined[[#This Row],[ID]], Table4[ID], Table4[Seafood], "Not Found", 0)</f>
        <v>127</v>
      </c>
      <c r="O119" s="5">
        <f>_xlfn.XLOOKUP(CustomerCombined[[#This Row],[ID]], Table4[ID], Table4[Sweets], "Not Found", 0)</f>
        <v>79</v>
      </c>
      <c r="P119" s="5">
        <f>_xlfn.XLOOKUP(CustomerCombined[[#This Row],[ID]], Table4[ID], Table4[Premium], "Not Found", 0)</f>
        <v>26</v>
      </c>
      <c r="Q119" s="5">
        <f>_xlfn.XLOOKUP(CustomerCombined[[#This Row],[ID]], Table4[ID], Table4[Regular], "Not Found", 0)</f>
        <v>1369</v>
      </c>
      <c r="R119" s="5">
        <f>_xlfn.XLOOKUP(CustomerCombined[[#This Row],[ID]], Table4[ID], Table4[Deals], "Not Found", 0)</f>
        <v>6</v>
      </c>
      <c r="S119" s="5">
        <f>_xlfn.XLOOKUP(CustomerCombined[[#This Row],[ID]], Table4[ID], Table4[Website], "Not Found", 0)</f>
        <v>5</v>
      </c>
      <c r="T119" s="5">
        <f>_xlfn.XLOOKUP(CustomerCombined[[#This Row],[ID]], Table4[ID], Table4[Catalog], "Not Found", 0)</f>
        <v>1</v>
      </c>
      <c r="U119" s="5">
        <f>_xlfn.XLOOKUP(CustomerCombined[[#This Row],[ID]], Table4[ID], Table4[Store], "Not Found", 0)</f>
        <v>5</v>
      </c>
      <c r="V119" s="5">
        <f>_xlfn.XLOOKUP(CustomerCombined[[#This Row],[ID]], Table4[ID], Table4[Visits], "Not Found", 0)</f>
        <v>9</v>
      </c>
      <c r="W119" s="8">
        <f>_xlfn.XLOOKUP(CustomerCombined[[#This Row],[ID]], Table2[ID],Table2[Complaint], "Not Found", 0 )</f>
        <v>0</v>
      </c>
      <c r="X119" s="8">
        <f>_xlfn.XLOOKUP(CustomerCombined[[#This Row],[ID]], Table2[ID],Table2[Pilot], "Not Found", 0 )</f>
        <v>0</v>
      </c>
      <c r="Y119" s="8">
        <f>_xlfn.XLOOKUP(CustomerCombined[[#This Row],[ID]], Table2[ID],Table2[MC1], "Not Found", 0 )</f>
        <v>0</v>
      </c>
      <c r="Z119" s="8">
        <f>_xlfn.XLOOKUP(CustomerCombined[[#This Row],[ID]], Table2[ID],Table2[MC2], "Not Found", 0 )</f>
        <v>0</v>
      </c>
      <c r="AA119" s="8">
        <f>_xlfn.XLOOKUP(CustomerCombined[[#This Row],[ID]], Table2[ID],Table2[MC3], "Not Found", 0 )</f>
        <v>0</v>
      </c>
      <c r="AB119" s="8">
        <f>_xlfn.XLOOKUP(CustomerCombined[[#This Row],[ID]], Table2[ID],Table2[MC4], "Not Found", 0 )</f>
        <v>0</v>
      </c>
      <c r="AC119" s="8">
        <f>_xlfn.XLOOKUP(CustomerCombined[[#This Row],[ID]], Table2[ID],Table2[MC5], "Not Found", 0 )</f>
        <v>0</v>
      </c>
    </row>
    <row r="120" spans="1:29" x14ac:dyDescent="0.3">
      <c r="A120" s="6">
        <v>1458</v>
      </c>
      <c r="B120" s="6">
        <v>120518</v>
      </c>
      <c r="C120" s="6">
        <v>1</v>
      </c>
      <c r="D120" s="6">
        <v>0</v>
      </c>
      <c r="E120" s="6">
        <v>32</v>
      </c>
      <c r="F120" s="5" t="s">
        <v>7</v>
      </c>
      <c r="G120" s="5" t="s">
        <v>11</v>
      </c>
      <c r="H120" s="3" t="s">
        <v>47</v>
      </c>
      <c r="I120" s="5" t="s">
        <v>436</v>
      </c>
      <c r="J120" s="5">
        <f>_xlfn.XLOOKUP(CustomerCombined[[#This Row],[ID]], Table4[ID], Table4[Recency], "Not Found", 0)</f>
        <v>58</v>
      </c>
      <c r="K120" s="5">
        <f>_xlfn.XLOOKUP(CustomerCombined[[#This Row],[ID]], Table4[ID], Table4[Teas], "Not Found", 0)</f>
        <v>23</v>
      </c>
      <c r="L120" s="5">
        <f>_xlfn.XLOOKUP(CustomerCombined[[#This Row],[ID]], Table4[ID], Table4[Fruits], "Not Found", 0)</f>
        <v>6</v>
      </c>
      <c r="M120" s="5">
        <f>_xlfn.XLOOKUP(CustomerCombined[[#This Row],[ID]], Table4[ID], Table4[Meats], "Not Found", 0)</f>
        <v>35</v>
      </c>
      <c r="N120" s="5">
        <f>_xlfn.XLOOKUP(CustomerCombined[[#This Row],[ID]], Table4[ID], Table4[Seafood], "Not Found", 0)</f>
        <v>23</v>
      </c>
      <c r="O120" s="5">
        <f>_xlfn.XLOOKUP(CustomerCombined[[#This Row],[ID]], Table4[ID], Table4[Sweets], "Not Found", 0)</f>
        <v>6</v>
      </c>
      <c r="P120" s="5">
        <f>_xlfn.XLOOKUP(CustomerCombined[[#This Row],[ID]], Table4[ID], Table4[Premium], "Not Found", 0)</f>
        <v>53</v>
      </c>
      <c r="Q120" s="5">
        <f>_xlfn.XLOOKUP(CustomerCombined[[#This Row],[ID]], Table4[ID], Table4[Regular], "Not Found", 0)</f>
        <v>41</v>
      </c>
      <c r="R120" s="5">
        <f>_xlfn.XLOOKUP(CustomerCombined[[#This Row],[ID]], Table4[ID], Table4[Deals], "Not Found", 0)</f>
        <v>1</v>
      </c>
      <c r="S120" s="5">
        <f>_xlfn.XLOOKUP(CustomerCombined[[#This Row],[ID]], Table4[ID], Table4[Website], "Not Found", 0)</f>
        <v>1</v>
      </c>
      <c r="T120" s="5">
        <f>_xlfn.XLOOKUP(CustomerCombined[[#This Row],[ID]], Table4[ID], Table4[Catalog], "Not Found", 0)</f>
        <v>1</v>
      </c>
      <c r="U120" s="5">
        <f>_xlfn.XLOOKUP(CustomerCombined[[#This Row],[ID]], Table4[ID], Table4[Store], "Not Found", 0)</f>
        <v>2</v>
      </c>
      <c r="V120" s="5">
        <f>_xlfn.XLOOKUP(CustomerCombined[[#This Row],[ID]], Table4[ID], Table4[Visits], "Not Found", 0)</f>
        <v>5</v>
      </c>
      <c r="W120" s="8">
        <f>_xlfn.XLOOKUP(CustomerCombined[[#This Row],[ID]], Table2[ID],Table2[Complaint], "Not Found", 0 )</f>
        <v>0</v>
      </c>
      <c r="X120" s="8">
        <f>_xlfn.XLOOKUP(CustomerCombined[[#This Row],[ID]], Table2[ID],Table2[Pilot], "Not Found", 0 )</f>
        <v>0</v>
      </c>
      <c r="Y120" s="8">
        <f>_xlfn.XLOOKUP(CustomerCombined[[#This Row],[ID]], Table2[ID],Table2[MC1], "Not Found", 0 )</f>
        <v>0</v>
      </c>
      <c r="Z120" s="8">
        <f>_xlfn.XLOOKUP(CustomerCombined[[#This Row],[ID]], Table2[ID],Table2[MC2], "Not Found", 0 )</f>
        <v>0</v>
      </c>
      <c r="AA120" s="8">
        <f>_xlfn.XLOOKUP(CustomerCombined[[#This Row],[ID]], Table2[ID],Table2[MC3], "Not Found", 0 )</f>
        <v>0</v>
      </c>
      <c r="AB120" s="8">
        <f>_xlfn.XLOOKUP(CustomerCombined[[#This Row],[ID]], Table2[ID],Table2[MC4], "Not Found", 0 )</f>
        <v>0</v>
      </c>
      <c r="AC120" s="8">
        <f>_xlfn.XLOOKUP(CustomerCombined[[#This Row],[ID]], Table2[ID],Table2[MC5], "Not Found", 0 )</f>
        <v>0</v>
      </c>
    </row>
    <row r="121" spans="1:29" x14ac:dyDescent="0.3">
      <c r="A121" s="6">
        <v>1170</v>
      </c>
      <c r="B121" s="6">
        <v>116248</v>
      </c>
      <c r="C121" s="6">
        <v>1</v>
      </c>
      <c r="D121" s="6">
        <v>0</v>
      </c>
      <c r="E121" s="6">
        <v>32</v>
      </c>
      <c r="F121" s="5" t="s">
        <v>6</v>
      </c>
      <c r="G121" s="5" t="s">
        <v>442</v>
      </c>
      <c r="H121" s="3" t="s">
        <v>54</v>
      </c>
      <c r="I121" s="5" t="s">
        <v>436</v>
      </c>
      <c r="J121" s="5">
        <f>_xlfn.XLOOKUP(CustomerCombined[[#This Row],[ID]], Table4[ID], Table4[Recency], "Not Found", 0)</f>
        <v>77</v>
      </c>
      <c r="K121" s="5">
        <f>_xlfn.XLOOKUP(CustomerCombined[[#This Row],[ID]], Table4[ID], Table4[Teas], "Not Found", 0)</f>
        <v>86</v>
      </c>
      <c r="L121" s="5">
        <f>_xlfn.XLOOKUP(CustomerCombined[[#This Row],[ID]], Table4[ID], Table4[Fruits], "Not Found", 0)</f>
        <v>79</v>
      </c>
      <c r="M121" s="5">
        <f>_xlfn.XLOOKUP(CustomerCombined[[#This Row],[ID]], Table4[ID], Table4[Meats], "Not Found", 0)</f>
        <v>72</v>
      </c>
      <c r="N121" s="5">
        <f>_xlfn.XLOOKUP(CustomerCombined[[#This Row],[ID]], Table4[ID], Table4[Seafood], "Not Found", 0)</f>
        <v>21</v>
      </c>
      <c r="O121" s="5">
        <f>_xlfn.XLOOKUP(CustomerCombined[[#This Row],[ID]], Table4[ID], Table4[Sweets], "Not Found", 0)</f>
        <v>86</v>
      </c>
      <c r="P121" s="5">
        <f>_xlfn.XLOOKUP(CustomerCombined[[#This Row],[ID]], Table4[ID], Table4[Premium], "Not Found", 0)</f>
        <v>64</v>
      </c>
      <c r="Q121" s="5">
        <f>_xlfn.XLOOKUP(CustomerCombined[[#This Row],[ID]], Table4[ID], Table4[Regular], "Not Found", 0)</f>
        <v>279</v>
      </c>
      <c r="R121" s="5">
        <f>_xlfn.XLOOKUP(CustomerCombined[[#This Row],[ID]], Table4[ID], Table4[Deals], "Not Found", 0)</f>
        <v>3</v>
      </c>
      <c r="S121" s="5">
        <f>_xlfn.XLOOKUP(CustomerCombined[[#This Row],[ID]], Table4[ID], Table4[Website], "Not Found", 0)</f>
        <v>2</v>
      </c>
      <c r="T121" s="5">
        <f>_xlfn.XLOOKUP(CustomerCombined[[#This Row],[ID]], Table4[ID], Table4[Catalog], "Not Found", 0)</f>
        <v>1</v>
      </c>
      <c r="U121" s="5">
        <f>_xlfn.XLOOKUP(CustomerCombined[[#This Row],[ID]], Table4[ID], Table4[Store], "Not Found", 0)</f>
        <v>3</v>
      </c>
      <c r="V121" s="5">
        <f>_xlfn.XLOOKUP(CustomerCombined[[#This Row],[ID]], Table4[ID], Table4[Visits], "Not Found", 0)</f>
        <v>6</v>
      </c>
      <c r="W121" s="8">
        <f>_xlfn.XLOOKUP(CustomerCombined[[#This Row],[ID]], Table2[ID],Table2[Complaint], "Not Found", 0 )</f>
        <v>0</v>
      </c>
      <c r="X121" s="8">
        <f>_xlfn.XLOOKUP(CustomerCombined[[#This Row],[ID]], Table2[ID],Table2[Pilot], "Not Found", 0 )</f>
        <v>0</v>
      </c>
      <c r="Y121" s="8">
        <f>_xlfn.XLOOKUP(CustomerCombined[[#This Row],[ID]], Table2[ID],Table2[MC1], "Not Found", 0 )</f>
        <v>0</v>
      </c>
      <c r="Z121" s="8">
        <f>_xlfn.XLOOKUP(CustomerCombined[[#This Row],[ID]], Table2[ID],Table2[MC2], "Not Found", 0 )</f>
        <v>0</v>
      </c>
      <c r="AA121" s="8">
        <f>_xlfn.XLOOKUP(CustomerCombined[[#This Row],[ID]], Table2[ID],Table2[MC3], "Not Found", 0 )</f>
        <v>0</v>
      </c>
      <c r="AB121" s="8">
        <f>_xlfn.XLOOKUP(CustomerCombined[[#This Row],[ID]], Table2[ID],Table2[MC4], "Not Found", 0 )</f>
        <v>0</v>
      </c>
      <c r="AC121" s="8">
        <f>_xlfn.XLOOKUP(CustomerCombined[[#This Row],[ID]], Table2[ID],Table2[MC5], "Not Found", 0 )</f>
        <v>0</v>
      </c>
    </row>
    <row r="122" spans="1:29" x14ac:dyDescent="0.3">
      <c r="A122" s="6">
        <v>1953</v>
      </c>
      <c r="B122" s="6">
        <v>115716</v>
      </c>
      <c r="C122" s="6">
        <v>1</v>
      </c>
      <c r="D122" s="6">
        <v>0</v>
      </c>
      <c r="E122" s="6">
        <v>32</v>
      </c>
      <c r="F122" s="5" t="s">
        <v>6</v>
      </c>
      <c r="G122" s="5" t="s">
        <v>442</v>
      </c>
      <c r="H122" s="3" t="s">
        <v>363</v>
      </c>
      <c r="I122" s="5" t="s">
        <v>435</v>
      </c>
      <c r="J122" s="5">
        <f>_xlfn.XLOOKUP(CustomerCombined[[#This Row],[ID]], Table4[ID], Table4[Recency], "Not Found", 0)</f>
        <v>8</v>
      </c>
      <c r="K122" s="5">
        <f>_xlfn.XLOOKUP(CustomerCombined[[#This Row],[ID]], Table4[ID], Table4[Teas], "Not Found", 0)</f>
        <v>118</v>
      </c>
      <c r="L122" s="5">
        <f>_xlfn.XLOOKUP(CustomerCombined[[#This Row],[ID]], Table4[ID], Table4[Fruits], "Not Found", 0)</f>
        <v>37</v>
      </c>
      <c r="M122" s="5">
        <f>_xlfn.XLOOKUP(CustomerCombined[[#This Row],[ID]], Table4[ID], Table4[Meats], "Not Found", 0)</f>
        <v>221</v>
      </c>
      <c r="N122" s="5">
        <f>_xlfn.XLOOKUP(CustomerCombined[[#This Row],[ID]], Table4[ID], Table4[Seafood], "Not Found", 0)</f>
        <v>59</v>
      </c>
      <c r="O122" s="5">
        <f>_xlfn.XLOOKUP(CustomerCombined[[#This Row],[ID]], Table4[ID], Table4[Sweets], "Not Found", 0)</f>
        <v>52</v>
      </c>
      <c r="P122" s="5">
        <f>_xlfn.XLOOKUP(CustomerCombined[[#This Row],[ID]], Table4[ID], Table4[Premium], "Not Found", 0)</f>
        <v>191</v>
      </c>
      <c r="Q122" s="5">
        <f>_xlfn.XLOOKUP(CustomerCombined[[#This Row],[ID]], Table4[ID], Table4[Regular], "Not Found", 0)</f>
        <v>295</v>
      </c>
      <c r="R122" s="5">
        <f>_xlfn.XLOOKUP(CustomerCombined[[#This Row],[ID]], Table4[ID], Table4[Deals], "Not Found", 0)</f>
        <v>3</v>
      </c>
      <c r="S122" s="5">
        <f>_xlfn.XLOOKUP(CustomerCombined[[#This Row],[ID]], Table4[ID], Table4[Website], "Not Found", 0)</f>
        <v>3</v>
      </c>
      <c r="T122" s="5">
        <f>_xlfn.XLOOKUP(CustomerCombined[[#This Row],[ID]], Table4[ID], Table4[Catalog], "Not Found", 0)</f>
        <v>0</v>
      </c>
      <c r="U122" s="5">
        <f>_xlfn.XLOOKUP(CustomerCombined[[#This Row],[ID]], Table4[ID], Table4[Store], "Not Found", 0)</f>
        <v>4</v>
      </c>
      <c r="V122" s="5">
        <f>_xlfn.XLOOKUP(CustomerCombined[[#This Row],[ID]], Table4[ID], Table4[Visits], "Not Found", 0)</f>
        <v>8</v>
      </c>
      <c r="W122" s="8">
        <f>_xlfn.XLOOKUP(CustomerCombined[[#This Row],[ID]], Table2[ID],Table2[Complaint], "Not Found", 0 )</f>
        <v>1</v>
      </c>
      <c r="X122" s="8">
        <f>_xlfn.XLOOKUP(CustomerCombined[[#This Row],[ID]], Table2[ID],Table2[Pilot], "Not Found", 0 )</f>
        <v>0</v>
      </c>
      <c r="Y122" s="8">
        <f>_xlfn.XLOOKUP(CustomerCombined[[#This Row],[ID]], Table2[ID],Table2[MC1], "Not Found", 0 )</f>
        <v>0</v>
      </c>
      <c r="Z122" s="8">
        <f>_xlfn.XLOOKUP(CustomerCombined[[#This Row],[ID]], Table2[ID],Table2[MC2], "Not Found", 0 )</f>
        <v>0</v>
      </c>
      <c r="AA122" s="8">
        <f>_xlfn.XLOOKUP(CustomerCombined[[#This Row],[ID]], Table2[ID],Table2[MC3], "Not Found", 0 )</f>
        <v>0</v>
      </c>
      <c r="AB122" s="8">
        <f>_xlfn.XLOOKUP(CustomerCombined[[#This Row],[ID]], Table2[ID],Table2[MC4], "Not Found", 0 )</f>
        <v>0</v>
      </c>
      <c r="AC122" s="8">
        <f>_xlfn.XLOOKUP(CustomerCombined[[#This Row],[ID]], Table2[ID],Table2[MC5], "Not Found", 0 )</f>
        <v>0</v>
      </c>
    </row>
    <row r="123" spans="1:29" x14ac:dyDescent="0.3">
      <c r="A123" s="6">
        <v>2568</v>
      </c>
      <c r="B123" s="6">
        <v>113724</v>
      </c>
      <c r="C123" s="6">
        <v>1</v>
      </c>
      <c r="D123" s="6">
        <v>0</v>
      </c>
      <c r="E123" s="6">
        <v>32</v>
      </c>
      <c r="F123" s="5" t="s">
        <v>8</v>
      </c>
      <c r="G123" s="5" t="s">
        <v>10</v>
      </c>
      <c r="H123" s="3">
        <v>43587</v>
      </c>
      <c r="I123" s="5" t="s">
        <v>436</v>
      </c>
      <c r="J123" s="5">
        <f>_xlfn.XLOOKUP(CustomerCombined[[#This Row],[ID]], Table4[ID], Table4[Recency], "Not Found", 0)</f>
        <v>43</v>
      </c>
      <c r="K123" s="5">
        <f>_xlfn.XLOOKUP(CustomerCombined[[#This Row],[ID]], Table4[ID], Table4[Teas], "Not Found", 0)</f>
        <v>17</v>
      </c>
      <c r="L123" s="5">
        <f>_xlfn.XLOOKUP(CustomerCombined[[#This Row],[ID]], Table4[ID], Table4[Fruits], "Not Found", 0)</f>
        <v>58</v>
      </c>
      <c r="M123" s="5">
        <f>_xlfn.XLOOKUP(CustomerCombined[[#This Row],[ID]], Table4[ID], Table4[Meats], "Not Found", 0)</f>
        <v>41</v>
      </c>
      <c r="N123" s="5">
        <f>_xlfn.XLOOKUP(CustomerCombined[[#This Row],[ID]], Table4[ID], Table4[Seafood], "Not Found", 0)</f>
        <v>17</v>
      </c>
      <c r="O123" s="5">
        <f>_xlfn.XLOOKUP(CustomerCombined[[#This Row],[ID]], Table4[ID], Table4[Sweets], "Not Found", 0)</f>
        <v>124</v>
      </c>
      <c r="P123" s="5">
        <f>_xlfn.XLOOKUP(CustomerCombined[[#This Row],[ID]], Table4[ID], Table4[Premium], "Not Found", 0)</f>
        <v>224</v>
      </c>
      <c r="Q123" s="5">
        <f>_xlfn.XLOOKUP(CustomerCombined[[#This Row],[ID]], Table4[ID], Table4[Regular], "Not Found", 0)</f>
        <v>33</v>
      </c>
      <c r="R123" s="5">
        <f>_xlfn.XLOOKUP(CustomerCombined[[#This Row],[ID]], Table4[ID], Table4[Deals], "Not Found", 0)</f>
        <v>1</v>
      </c>
      <c r="S123" s="5">
        <f>_xlfn.XLOOKUP(CustomerCombined[[#This Row],[ID]], Table4[ID], Table4[Website], "Not Found", 0)</f>
        <v>2</v>
      </c>
      <c r="T123" s="5">
        <f>_xlfn.XLOOKUP(CustomerCombined[[#This Row],[ID]], Table4[ID], Table4[Catalog], "Not Found", 0)</f>
        <v>0</v>
      </c>
      <c r="U123" s="5">
        <f>_xlfn.XLOOKUP(CustomerCombined[[#This Row],[ID]], Table4[ID], Table4[Store], "Not Found", 0)</f>
        <v>2</v>
      </c>
      <c r="V123" s="5">
        <f>_xlfn.XLOOKUP(CustomerCombined[[#This Row],[ID]], Table4[ID], Table4[Visits], "Not Found", 0)</f>
        <v>9</v>
      </c>
      <c r="W123" s="8">
        <f>_xlfn.XLOOKUP(CustomerCombined[[#This Row],[ID]], Table2[ID],Table2[Complaint], "Not Found", 0 )</f>
        <v>0</v>
      </c>
      <c r="X123" s="8">
        <f>_xlfn.XLOOKUP(CustomerCombined[[#This Row],[ID]], Table2[ID],Table2[Pilot], "Not Found", 0 )</f>
        <v>0</v>
      </c>
      <c r="Y123" s="8">
        <f>_xlfn.XLOOKUP(CustomerCombined[[#This Row],[ID]], Table2[ID],Table2[MC1], "Not Found", 0 )</f>
        <v>0</v>
      </c>
      <c r="Z123" s="8">
        <f>_xlfn.XLOOKUP(CustomerCombined[[#This Row],[ID]], Table2[ID],Table2[MC2], "Not Found", 0 )</f>
        <v>0</v>
      </c>
      <c r="AA123" s="8">
        <f>_xlfn.XLOOKUP(CustomerCombined[[#This Row],[ID]], Table2[ID],Table2[MC3], "Not Found", 0 )</f>
        <v>1</v>
      </c>
      <c r="AB123" s="8">
        <f>_xlfn.XLOOKUP(CustomerCombined[[#This Row],[ID]], Table2[ID],Table2[MC4], "Not Found", 0 )</f>
        <v>0</v>
      </c>
      <c r="AC123" s="8">
        <f>_xlfn.XLOOKUP(CustomerCombined[[#This Row],[ID]], Table2[ID],Table2[MC5], "Not Found", 0 )</f>
        <v>0</v>
      </c>
    </row>
    <row r="124" spans="1:29" x14ac:dyDescent="0.3">
      <c r="A124" s="6">
        <v>1982</v>
      </c>
      <c r="B124" s="6">
        <v>195169</v>
      </c>
      <c r="C124" s="6">
        <v>0</v>
      </c>
      <c r="D124" s="6">
        <v>0</v>
      </c>
      <c r="E124" s="6">
        <v>33</v>
      </c>
      <c r="F124" s="5" t="s">
        <v>7</v>
      </c>
      <c r="G124" s="5" t="s">
        <v>13</v>
      </c>
      <c r="H124" s="3" t="s">
        <v>173</v>
      </c>
      <c r="I124" s="5" t="s">
        <v>438</v>
      </c>
      <c r="J124" s="5">
        <f>_xlfn.XLOOKUP(CustomerCombined[[#This Row],[ID]], Table4[ID], Table4[Recency], "Not Found", 0)</f>
        <v>1</v>
      </c>
      <c r="K124" s="5">
        <f>_xlfn.XLOOKUP(CustomerCombined[[#This Row],[ID]], Table4[ID], Table4[Teas], "Not Found", 0)</f>
        <v>2635</v>
      </c>
      <c r="L124" s="5">
        <f>_xlfn.XLOOKUP(CustomerCombined[[#This Row],[ID]], Table4[ID], Table4[Fruits], "Not Found", 0)</f>
        <v>43</v>
      </c>
      <c r="M124" s="5">
        <f>_xlfn.XLOOKUP(CustomerCombined[[#This Row],[ID]], Table4[ID], Table4[Meats], "Not Found", 0)</f>
        <v>921</v>
      </c>
      <c r="N124" s="5">
        <f>_xlfn.XLOOKUP(CustomerCombined[[#This Row],[ID]], Table4[ID], Table4[Seafood], "Not Found", 0)</f>
        <v>217</v>
      </c>
      <c r="O124" s="5">
        <f>_xlfn.XLOOKUP(CustomerCombined[[#This Row],[ID]], Table4[ID], Table4[Sweets], "Not Found", 0)</f>
        <v>41</v>
      </c>
      <c r="P124" s="5">
        <f>_xlfn.XLOOKUP(CustomerCombined[[#This Row],[ID]], Table4[ID], Table4[Premium], "Not Found", 0)</f>
        <v>41</v>
      </c>
      <c r="Q124" s="5">
        <f>_xlfn.XLOOKUP(CustomerCombined[[#This Row],[ID]], Table4[ID], Table4[Regular], "Not Found", 0)</f>
        <v>3816</v>
      </c>
      <c r="R124" s="5">
        <f>_xlfn.XLOOKUP(CustomerCombined[[#This Row],[ID]], Table4[ID], Table4[Deals], "Not Found", 0)</f>
        <v>1</v>
      </c>
      <c r="S124" s="5">
        <f>_xlfn.XLOOKUP(CustomerCombined[[#This Row],[ID]], Table4[ID], Table4[Website], "Not Found", 0)</f>
        <v>4</v>
      </c>
      <c r="T124" s="5">
        <f>_xlfn.XLOOKUP(CustomerCombined[[#This Row],[ID]], Table4[ID], Table4[Catalog], "Not Found", 0)</f>
        <v>3</v>
      </c>
      <c r="U124" s="5">
        <f>_xlfn.XLOOKUP(CustomerCombined[[#This Row],[ID]], Table4[ID], Table4[Store], "Not Found", 0)</f>
        <v>4</v>
      </c>
      <c r="V124" s="5">
        <f>_xlfn.XLOOKUP(CustomerCombined[[#This Row],[ID]], Table4[ID], Table4[Visits], "Not Found", 0)</f>
        <v>1</v>
      </c>
      <c r="W124" s="8">
        <f>_xlfn.XLOOKUP(CustomerCombined[[#This Row],[ID]], Table2[ID],Table2[Complaint], "Not Found", 0 )</f>
        <v>0</v>
      </c>
      <c r="X124" s="8">
        <f>_xlfn.XLOOKUP(CustomerCombined[[#This Row],[ID]], Table2[ID],Table2[Pilot], "Not Found", 0 )</f>
        <v>1</v>
      </c>
      <c r="Y124" s="8">
        <f>_xlfn.XLOOKUP(CustomerCombined[[#This Row],[ID]], Table2[ID],Table2[MC1], "Not Found", 0 )</f>
        <v>1</v>
      </c>
      <c r="Z124" s="8">
        <f>_xlfn.XLOOKUP(CustomerCombined[[#This Row],[ID]], Table2[ID],Table2[MC2], "Not Found", 0 )</f>
        <v>0</v>
      </c>
      <c r="AA124" s="8">
        <f>_xlfn.XLOOKUP(CustomerCombined[[#This Row],[ID]], Table2[ID],Table2[MC3], "Not Found", 0 )</f>
        <v>0</v>
      </c>
      <c r="AB124" s="8">
        <f>_xlfn.XLOOKUP(CustomerCombined[[#This Row],[ID]], Table2[ID],Table2[MC4], "Not Found", 0 )</f>
        <v>0</v>
      </c>
      <c r="AC124" s="8">
        <f>_xlfn.XLOOKUP(CustomerCombined[[#This Row],[ID]], Table2[ID],Table2[MC5], "Not Found", 0 )</f>
        <v>1</v>
      </c>
    </row>
    <row r="125" spans="1:29" x14ac:dyDescent="0.3">
      <c r="A125" s="6">
        <v>1079</v>
      </c>
      <c r="B125" s="6">
        <v>181361</v>
      </c>
      <c r="C125" s="6">
        <v>0</v>
      </c>
      <c r="D125" s="6">
        <v>0</v>
      </c>
      <c r="E125" s="6">
        <v>33</v>
      </c>
      <c r="F125" s="5" t="s">
        <v>5</v>
      </c>
      <c r="G125" s="5" t="s">
        <v>11</v>
      </c>
      <c r="H125" s="3">
        <v>43838</v>
      </c>
      <c r="I125" s="5" t="s">
        <v>434</v>
      </c>
      <c r="J125" s="5">
        <f>_xlfn.XLOOKUP(CustomerCombined[[#This Row],[ID]], Table4[ID], Table4[Recency], "Not Found", 0)</f>
        <v>18</v>
      </c>
      <c r="K125" s="5">
        <f>_xlfn.XLOOKUP(CustomerCombined[[#This Row],[ID]], Table4[ID], Table4[Teas], "Not Found", 0)</f>
        <v>363</v>
      </c>
      <c r="L125" s="5">
        <f>_xlfn.XLOOKUP(CustomerCombined[[#This Row],[ID]], Table4[ID], Table4[Fruits], "Not Found", 0)</f>
        <v>51</v>
      </c>
      <c r="M125" s="5">
        <f>_xlfn.XLOOKUP(CustomerCombined[[#This Row],[ID]], Table4[ID], Table4[Meats], "Not Found", 0)</f>
        <v>945</v>
      </c>
      <c r="N125" s="5">
        <f>_xlfn.XLOOKUP(CustomerCombined[[#This Row],[ID]], Table4[ID], Table4[Seafood], "Not Found", 0)</f>
        <v>60</v>
      </c>
      <c r="O125" s="5">
        <f>_xlfn.XLOOKUP(CustomerCombined[[#This Row],[ID]], Table4[ID], Table4[Sweets], "Not Found", 0)</f>
        <v>145</v>
      </c>
      <c r="P125" s="5">
        <f>_xlfn.XLOOKUP(CustomerCombined[[#This Row],[ID]], Table4[ID], Table4[Premium], "Not Found", 0)</f>
        <v>169</v>
      </c>
      <c r="Q125" s="5">
        <f>_xlfn.XLOOKUP(CustomerCombined[[#This Row],[ID]], Table4[ID], Table4[Regular], "Not Found", 0)</f>
        <v>1395</v>
      </c>
      <c r="R125" s="5">
        <f>_xlfn.XLOOKUP(CustomerCombined[[#This Row],[ID]], Table4[ID], Table4[Deals], "Not Found", 0)</f>
        <v>1</v>
      </c>
      <c r="S125" s="5">
        <f>_xlfn.XLOOKUP(CustomerCombined[[#This Row],[ID]], Table4[ID], Table4[Website], "Not Found", 0)</f>
        <v>3</v>
      </c>
      <c r="T125" s="5">
        <f>_xlfn.XLOOKUP(CustomerCombined[[#This Row],[ID]], Table4[ID], Table4[Catalog], "Not Found", 0)</f>
        <v>10</v>
      </c>
      <c r="U125" s="5">
        <f>_xlfn.XLOOKUP(CustomerCombined[[#This Row],[ID]], Table4[ID], Table4[Store], "Not Found", 0)</f>
        <v>13</v>
      </c>
      <c r="V125" s="5">
        <f>_xlfn.XLOOKUP(CustomerCombined[[#This Row],[ID]], Table4[ID], Table4[Visits], "Not Found", 0)</f>
        <v>1</v>
      </c>
      <c r="W125" s="8">
        <f>_xlfn.XLOOKUP(CustomerCombined[[#This Row],[ID]], Table2[ID],Table2[Complaint], "Not Found", 0 )</f>
        <v>0</v>
      </c>
      <c r="X125" s="8">
        <f>_xlfn.XLOOKUP(CustomerCombined[[#This Row],[ID]], Table2[ID],Table2[Pilot], "Not Found", 0 )</f>
        <v>0</v>
      </c>
      <c r="Y125" s="8">
        <f>_xlfn.XLOOKUP(CustomerCombined[[#This Row],[ID]], Table2[ID],Table2[MC1], "Not Found", 0 )</f>
        <v>0</v>
      </c>
      <c r="Z125" s="8">
        <f>_xlfn.XLOOKUP(CustomerCombined[[#This Row],[ID]], Table2[ID],Table2[MC2], "Not Found", 0 )</f>
        <v>0</v>
      </c>
      <c r="AA125" s="8">
        <f>_xlfn.XLOOKUP(CustomerCombined[[#This Row],[ID]], Table2[ID],Table2[MC3], "Not Found", 0 )</f>
        <v>0</v>
      </c>
      <c r="AB125" s="8">
        <f>_xlfn.XLOOKUP(CustomerCombined[[#This Row],[ID]], Table2[ID],Table2[MC4], "Not Found", 0 )</f>
        <v>0</v>
      </c>
      <c r="AC125" s="8">
        <f>_xlfn.XLOOKUP(CustomerCombined[[#This Row],[ID]], Table2[ID],Table2[MC5], "Not Found", 0 )</f>
        <v>0</v>
      </c>
    </row>
    <row r="126" spans="1:29" x14ac:dyDescent="0.3">
      <c r="A126" s="6">
        <v>2560</v>
      </c>
      <c r="B126" s="6">
        <v>181361</v>
      </c>
      <c r="C126" s="6">
        <v>0</v>
      </c>
      <c r="D126" s="6">
        <v>0</v>
      </c>
      <c r="E126" s="6">
        <v>33</v>
      </c>
      <c r="F126" s="5" t="s">
        <v>5</v>
      </c>
      <c r="G126" s="5" t="s">
        <v>11</v>
      </c>
      <c r="H126" s="3">
        <v>43838</v>
      </c>
      <c r="I126" s="5" t="s">
        <v>439</v>
      </c>
      <c r="J126" s="5">
        <f>_xlfn.XLOOKUP(CustomerCombined[[#This Row],[ID]], Table4[ID], Table4[Recency], "Not Found", 0)</f>
        <v>18</v>
      </c>
      <c r="K126" s="5">
        <f>_xlfn.XLOOKUP(CustomerCombined[[#This Row],[ID]], Table4[ID], Table4[Teas], "Not Found", 0)</f>
        <v>363</v>
      </c>
      <c r="L126" s="5">
        <f>_xlfn.XLOOKUP(CustomerCombined[[#This Row],[ID]], Table4[ID], Table4[Fruits], "Not Found", 0)</f>
        <v>51</v>
      </c>
      <c r="M126" s="5">
        <f>_xlfn.XLOOKUP(CustomerCombined[[#This Row],[ID]], Table4[ID], Table4[Meats], "Not Found", 0)</f>
        <v>945</v>
      </c>
      <c r="N126" s="5">
        <f>_xlfn.XLOOKUP(CustomerCombined[[#This Row],[ID]], Table4[ID], Table4[Seafood], "Not Found", 0)</f>
        <v>60</v>
      </c>
      <c r="O126" s="5">
        <f>_xlfn.XLOOKUP(CustomerCombined[[#This Row],[ID]], Table4[ID], Table4[Sweets], "Not Found", 0)</f>
        <v>145</v>
      </c>
      <c r="P126" s="5">
        <f>_xlfn.XLOOKUP(CustomerCombined[[#This Row],[ID]], Table4[ID], Table4[Premium], "Not Found", 0)</f>
        <v>169</v>
      </c>
      <c r="Q126" s="5">
        <f>_xlfn.XLOOKUP(CustomerCombined[[#This Row],[ID]], Table4[ID], Table4[Regular], "Not Found", 0)</f>
        <v>1395</v>
      </c>
      <c r="R126" s="5">
        <f>_xlfn.XLOOKUP(CustomerCombined[[#This Row],[ID]], Table4[ID], Table4[Deals], "Not Found", 0)</f>
        <v>1</v>
      </c>
      <c r="S126" s="5">
        <f>_xlfn.XLOOKUP(CustomerCombined[[#This Row],[ID]], Table4[ID], Table4[Website], "Not Found", 0)</f>
        <v>3</v>
      </c>
      <c r="T126" s="5">
        <f>_xlfn.XLOOKUP(CustomerCombined[[#This Row],[ID]], Table4[ID], Table4[Catalog], "Not Found", 0)</f>
        <v>10</v>
      </c>
      <c r="U126" s="5">
        <f>_xlfn.XLOOKUP(CustomerCombined[[#This Row],[ID]], Table4[ID], Table4[Store], "Not Found", 0)</f>
        <v>13</v>
      </c>
      <c r="V126" s="5">
        <f>_xlfn.XLOOKUP(CustomerCombined[[#This Row],[ID]], Table4[ID], Table4[Visits], "Not Found", 0)</f>
        <v>1</v>
      </c>
      <c r="W126" s="8">
        <f>_xlfn.XLOOKUP(CustomerCombined[[#This Row],[ID]], Table2[ID],Table2[Complaint], "Not Found", 0 )</f>
        <v>0</v>
      </c>
      <c r="X126" s="8">
        <f>_xlfn.XLOOKUP(CustomerCombined[[#This Row],[ID]], Table2[ID],Table2[Pilot], "Not Found", 0 )</f>
        <v>1</v>
      </c>
      <c r="Y126" s="8">
        <f>_xlfn.XLOOKUP(CustomerCombined[[#This Row],[ID]], Table2[ID],Table2[MC1], "Not Found", 0 )</f>
        <v>0</v>
      </c>
      <c r="Z126" s="8">
        <f>_xlfn.XLOOKUP(CustomerCombined[[#This Row],[ID]], Table2[ID],Table2[MC2], "Not Found", 0 )</f>
        <v>0</v>
      </c>
      <c r="AA126" s="8">
        <f>_xlfn.XLOOKUP(CustomerCombined[[#This Row],[ID]], Table2[ID],Table2[MC3], "Not Found", 0 )</f>
        <v>0</v>
      </c>
      <c r="AB126" s="8">
        <f>_xlfn.XLOOKUP(CustomerCombined[[#This Row],[ID]], Table2[ID],Table2[MC4], "Not Found", 0 )</f>
        <v>0</v>
      </c>
      <c r="AC126" s="8">
        <f>_xlfn.XLOOKUP(CustomerCombined[[#This Row],[ID]], Table2[ID],Table2[MC5], "Not Found", 0 )</f>
        <v>0</v>
      </c>
    </row>
    <row r="127" spans="1:29" x14ac:dyDescent="0.3">
      <c r="A127" s="6">
        <v>2565</v>
      </c>
      <c r="B127" s="6">
        <v>175794</v>
      </c>
      <c r="C127" s="6">
        <v>0</v>
      </c>
      <c r="D127" s="6">
        <v>0</v>
      </c>
      <c r="E127" s="6">
        <v>33</v>
      </c>
      <c r="F127" s="5" t="s">
        <v>6</v>
      </c>
      <c r="G127" s="5" t="s">
        <v>11</v>
      </c>
      <c r="H127" s="3" t="s">
        <v>124</v>
      </c>
      <c r="I127" s="5" t="s">
        <v>435</v>
      </c>
      <c r="J127" s="5">
        <f>_xlfn.XLOOKUP(CustomerCombined[[#This Row],[ID]], Table4[ID], Table4[Recency], "Not Found", 0)</f>
        <v>33</v>
      </c>
      <c r="K127" s="5">
        <f>_xlfn.XLOOKUP(CustomerCombined[[#This Row],[ID]], Table4[ID], Table4[Teas], "Not Found", 0)</f>
        <v>1749</v>
      </c>
      <c r="L127" s="5">
        <f>_xlfn.XLOOKUP(CustomerCombined[[#This Row],[ID]], Table4[ID], Table4[Fruits], "Not Found", 0)</f>
        <v>371</v>
      </c>
      <c r="M127" s="5">
        <f>_xlfn.XLOOKUP(CustomerCombined[[#This Row],[ID]], Table4[ID], Table4[Meats], "Not Found", 0)</f>
        <v>1450</v>
      </c>
      <c r="N127" s="5">
        <f>_xlfn.XLOOKUP(CustomerCombined[[#This Row],[ID]], Table4[ID], Table4[Seafood], "Not Found", 0)</f>
        <v>146</v>
      </c>
      <c r="O127" s="5">
        <f>_xlfn.XLOOKUP(CustomerCombined[[#This Row],[ID]], Table4[ID], Table4[Sweets], "Not Found", 0)</f>
        <v>74</v>
      </c>
      <c r="P127" s="5">
        <f>_xlfn.XLOOKUP(CustomerCombined[[#This Row],[ID]], Table4[ID], Table4[Premium], "Not Found", 0)</f>
        <v>111</v>
      </c>
      <c r="Q127" s="5">
        <f>_xlfn.XLOOKUP(CustomerCombined[[#This Row],[ID]], Table4[ID], Table4[Regular], "Not Found", 0)</f>
        <v>3679</v>
      </c>
      <c r="R127" s="5">
        <f>_xlfn.XLOOKUP(CustomerCombined[[#This Row],[ID]], Table4[ID], Table4[Deals], "Not Found", 0)</f>
        <v>1</v>
      </c>
      <c r="S127" s="5">
        <f>_xlfn.XLOOKUP(CustomerCombined[[#This Row],[ID]], Table4[ID], Table4[Website], "Not Found", 0)</f>
        <v>7</v>
      </c>
      <c r="T127" s="5">
        <f>_xlfn.XLOOKUP(CustomerCombined[[#This Row],[ID]], Table4[ID], Table4[Catalog], "Not Found", 0)</f>
        <v>5</v>
      </c>
      <c r="U127" s="5">
        <f>_xlfn.XLOOKUP(CustomerCombined[[#This Row],[ID]], Table4[ID], Table4[Store], "Not Found", 0)</f>
        <v>12</v>
      </c>
      <c r="V127" s="5">
        <f>_xlfn.XLOOKUP(CustomerCombined[[#This Row],[ID]], Table4[ID], Table4[Visits], "Not Found", 0)</f>
        <v>3</v>
      </c>
      <c r="W127" s="8">
        <f>_xlfn.XLOOKUP(CustomerCombined[[#This Row],[ID]], Table2[ID],Table2[Complaint], "Not Found", 0 )</f>
        <v>0</v>
      </c>
      <c r="X127" s="8">
        <f>_xlfn.XLOOKUP(CustomerCombined[[#This Row],[ID]], Table2[ID],Table2[Pilot], "Not Found", 0 )</f>
        <v>0</v>
      </c>
      <c r="Y127" s="8">
        <f>_xlfn.XLOOKUP(CustomerCombined[[#This Row],[ID]], Table2[ID],Table2[MC1], "Not Found", 0 )</f>
        <v>1</v>
      </c>
      <c r="Z127" s="8">
        <f>_xlfn.XLOOKUP(CustomerCombined[[#This Row],[ID]], Table2[ID],Table2[MC2], "Not Found", 0 )</f>
        <v>0</v>
      </c>
      <c r="AA127" s="8">
        <f>_xlfn.XLOOKUP(CustomerCombined[[#This Row],[ID]], Table2[ID],Table2[MC3], "Not Found", 0 )</f>
        <v>0</v>
      </c>
      <c r="AB127" s="8">
        <f>_xlfn.XLOOKUP(CustomerCombined[[#This Row],[ID]], Table2[ID],Table2[MC4], "Not Found", 0 )</f>
        <v>0</v>
      </c>
      <c r="AC127" s="8">
        <f>_xlfn.XLOOKUP(CustomerCombined[[#This Row],[ID]], Table2[ID],Table2[MC5], "Not Found", 0 )</f>
        <v>0</v>
      </c>
    </row>
    <row r="128" spans="1:29" x14ac:dyDescent="0.3">
      <c r="A128" s="6">
        <v>2504</v>
      </c>
      <c r="B128" s="6">
        <v>174004</v>
      </c>
      <c r="C128" s="6">
        <v>0</v>
      </c>
      <c r="D128" s="6">
        <v>0</v>
      </c>
      <c r="E128" s="6">
        <v>33</v>
      </c>
      <c r="F128" s="5" t="s">
        <v>7</v>
      </c>
      <c r="G128" s="5" t="s">
        <v>13</v>
      </c>
      <c r="H128" s="3" t="s">
        <v>91</v>
      </c>
      <c r="I128" s="5" t="s">
        <v>438</v>
      </c>
      <c r="J128" s="5">
        <f>_xlfn.XLOOKUP(CustomerCombined[[#This Row],[ID]], Table4[ID], Table4[Recency], "Not Found", 0)</f>
        <v>5</v>
      </c>
      <c r="K128" s="5">
        <f>_xlfn.XLOOKUP(CustomerCombined[[#This Row],[ID]], Table4[ID], Table4[Teas], "Not Found", 0)</f>
        <v>1843</v>
      </c>
      <c r="L128" s="5">
        <f>_xlfn.XLOOKUP(CustomerCombined[[#This Row],[ID]], Table4[ID], Table4[Fruits], "Not Found", 0)</f>
        <v>113</v>
      </c>
      <c r="M128" s="5">
        <f>_xlfn.XLOOKUP(CustomerCombined[[#This Row],[ID]], Table4[ID], Table4[Meats], "Not Found", 0)</f>
        <v>1317</v>
      </c>
      <c r="N128" s="5">
        <f>_xlfn.XLOOKUP(CustomerCombined[[#This Row],[ID]], Table4[ID], Table4[Seafood], "Not Found", 0)</f>
        <v>99</v>
      </c>
      <c r="O128" s="5">
        <f>_xlfn.XLOOKUP(CustomerCombined[[#This Row],[ID]], Table4[ID], Table4[Sweets], "Not Found", 0)</f>
        <v>414</v>
      </c>
      <c r="P128" s="5">
        <f>_xlfn.XLOOKUP(CustomerCombined[[#This Row],[ID]], Table4[ID], Table4[Premium], "Not Found", 0)</f>
        <v>113</v>
      </c>
      <c r="Q128" s="5">
        <f>_xlfn.XLOOKUP(CustomerCombined[[#This Row],[ID]], Table4[ID], Table4[Regular], "Not Found", 0)</f>
        <v>3673</v>
      </c>
      <c r="R128" s="5">
        <f>_xlfn.XLOOKUP(CustomerCombined[[#This Row],[ID]], Table4[ID], Table4[Deals], "Not Found", 0)</f>
        <v>1</v>
      </c>
      <c r="S128" s="5">
        <f>_xlfn.XLOOKUP(CustomerCombined[[#This Row],[ID]], Table4[ID], Table4[Website], "Not Found", 0)</f>
        <v>4</v>
      </c>
      <c r="T128" s="5">
        <f>_xlfn.XLOOKUP(CustomerCombined[[#This Row],[ID]], Table4[ID], Table4[Catalog], "Not Found", 0)</f>
        <v>6</v>
      </c>
      <c r="U128" s="5">
        <f>_xlfn.XLOOKUP(CustomerCombined[[#This Row],[ID]], Table4[ID], Table4[Store], "Not Found", 0)</f>
        <v>4</v>
      </c>
      <c r="V128" s="5">
        <f>_xlfn.XLOOKUP(CustomerCombined[[#This Row],[ID]], Table4[ID], Table4[Visits], "Not Found", 0)</f>
        <v>3</v>
      </c>
      <c r="W128" s="8">
        <f>_xlfn.XLOOKUP(CustomerCombined[[#This Row],[ID]], Table2[ID],Table2[Complaint], "Not Found", 0 )</f>
        <v>0</v>
      </c>
      <c r="X128" s="8">
        <f>_xlfn.XLOOKUP(CustomerCombined[[#This Row],[ID]], Table2[ID],Table2[Pilot], "Not Found", 0 )</f>
        <v>1</v>
      </c>
      <c r="Y128" s="8">
        <f>_xlfn.XLOOKUP(CustomerCombined[[#This Row],[ID]], Table2[ID],Table2[MC1], "Not Found", 0 )</f>
        <v>1</v>
      </c>
      <c r="Z128" s="8">
        <f>_xlfn.XLOOKUP(CustomerCombined[[#This Row],[ID]], Table2[ID],Table2[MC2], "Not Found", 0 )</f>
        <v>0</v>
      </c>
      <c r="AA128" s="8">
        <f>_xlfn.XLOOKUP(CustomerCombined[[#This Row],[ID]], Table2[ID],Table2[MC3], "Not Found", 0 )</f>
        <v>0</v>
      </c>
      <c r="AB128" s="8">
        <f>_xlfn.XLOOKUP(CustomerCombined[[#This Row],[ID]], Table2[ID],Table2[MC4], "Not Found", 0 )</f>
        <v>0</v>
      </c>
      <c r="AC128" s="8">
        <f>_xlfn.XLOOKUP(CustomerCombined[[#This Row],[ID]], Table2[ID],Table2[MC5], "Not Found", 0 )</f>
        <v>1</v>
      </c>
    </row>
    <row r="129" spans="1:29" x14ac:dyDescent="0.3">
      <c r="A129" s="6">
        <v>1505</v>
      </c>
      <c r="B129" s="6">
        <v>173454</v>
      </c>
      <c r="C129" s="6">
        <v>0</v>
      </c>
      <c r="D129" s="6">
        <v>0</v>
      </c>
      <c r="E129" s="6">
        <v>33</v>
      </c>
      <c r="F129" s="5" t="s">
        <v>7</v>
      </c>
      <c r="G129" s="5" t="s">
        <v>12</v>
      </c>
      <c r="H129" s="3">
        <v>43959</v>
      </c>
      <c r="I129" s="5" t="s">
        <v>434</v>
      </c>
      <c r="J129" s="5">
        <f>_xlfn.XLOOKUP(CustomerCombined[[#This Row],[ID]], Table4[ID], Table4[Recency], "Not Found", 0)</f>
        <v>95</v>
      </c>
      <c r="K129" s="5">
        <f>_xlfn.XLOOKUP(CustomerCombined[[#This Row],[ID]], Table4[ID], Table4[Teas], "Not Found", 0)</f>
        <v>2319</v>
      </c>
      <c r="L129" s="5">
        <f>_xlfn.XLOOKUP(CustomerCombined[[#This Row],[ID]], Table4[ID], Table4[Fruits], "Not Found", 0)</f>
        <v>172</v>
      </c>
      <c r="M129" s="5">
        <f>_xlfn.XLOOKUP(CustomerCombined[[#This Row],[ID]], Table4[ID], Table4[Meats], "Not Found", 0)</f>
        <v>829</v>
      </c>
      <c r="N129" s="5">
        <f>_xlfn.XLOOKUP(CustomerCombined[[#This Row],[ID]], Table4[ID], Table4[Seafood], "Not Found", 0)</f>
        <v>132</v>
      </c>
      <c r="O129" s="5">
        <f>_xlfn.XLOOKUP(CustomerCombined[[#This Row],[ID]], Table4[ID], Table4[Sweets], "Not Found", 0)</f>
        <v>33</v>
      </c>
      <c r="P129" s="5">
        <f>_xlfn.XLOOKUP(CustomerCombined[[#This Row],[ID]], Table4[ID], Table4[Premium], "Not Found", 0)</f>
        <v>413</v>
      </c>
      <c r="Q129" s="5">
        <f>_xlfn.XLOOKUP(CustomerCombined[[#This Row],[ID]], Table4[ID], Table4[Regular], "Not Found", 0)</f>
        <v>3072</v>
      </c>
      <c r="R129" s="5">
        <f>_xlfn.XLOOKUP(CustomerCombined[[#This Row],[ID]], Table4[ID], Table4[Deals], "Not Found", 0)</f>
        <v>1</v>
      </c>
      <c r="S129" s="5">
        <f>_xlfn.XLOOKUP(CustomerCombined[[#This Row],[ID]], Table4[ID], Table4[Website], "Not Found", 0)</f>
        <v>2</v>
      </c>
      <c r="T129" s="5">
        <f>_xlfn.XLOOKUP(CustomerCombined[[#This Row],[ID]], Table4[ID], Table4[Catalog], "Not Found", 0)</f>
        <v>4</v>
      </c>
      <c r="U129" s="5">
        <f>_xlfn.XLOOKUP(CustomerCombined[[#This Row],[ID]], Table4[ID], Table4[Store], "Not Found", 0)</f>
        <v>6</v>
      </c>
      <c r="V129" s="5">
        <f>_xlfn.XLOOKUP(CustomerCombined[[#This Row],[ID]], Table4[ID], Table4[Visits], "Not Found", 0)</f>
        <v>5</v>
      </c>
      <c r="W129" s="8">
        <f>_xlfn.XLOOKUP(CustomerCombined[[#This Row],[ID]], Table2[ID],Table2[Complaint], "Not Found", 0 )</f>
        <v>0</v>
      </c>
      <c r="X129" s="8">
        <f>_xlfn.XLOOKUP(CustomerCombined[[#This Row],[ID]], Table2[ID],Table2[Pilot], "Not Found", 0 )</f>
        <v>0</v>
      </c>
      <c r="Y129" s="8">
        <f>_xlfn.XLOOKUP(CustomerCombined[[#This Row],[ID]], Table2[ID],Table2[MC1], "Not Found", 0 )</f>
        <v>0</v>
      </c>
      <c r="Z129" s="8">
        <f>_xlfn.XLOOKUP(CustomerCombined[[#This Row],[ID]], Table2[ID],Table2[MC2], "Not Found", 0 )</f>
        <v>0</v>
      </c>
      <c r="AA129" s="8">
        <f>_xlfn.XLOOKUP(CustomerCombined[[#This Row],[ID]], Table2[ID],Table2[MC3], "Not Found", 0 )</f>
        <v>1</v>
      </c>
      <c r="AB129" s="8">
        <f>_xlfn.XLOOKUP(CustomerCombined[[#This Row],[ID]], Table2[ID],Table2[MC4], "Not Found", 0 )</f>
        <v>0</v>
      </c>
      <c r="AC129" s="8">
        <f>_xlfn.XLOOKUP(CustomerCombined[[#This Row],[ID]], Table2[ID],Table2[MC5], "Not Found", 0 )</f>
        <v>0</v>
      </c>
    </row>
    <row r="130" spans="1:29" x14ac:dyDescent="0.3">
      <c r="A130" s="6">
        <v>2877</v>
      </c>
      <c r="B130" s="6">
        <v>173395</v>
      </c>
      <c r="C130" s="6">
        <v>0</v>
      </c>
      <c r="D130" s="6">
        <v>0</v>
      </c>
      <c r="E130" s="6">
        <v>33</v>
      </c>
      <c r="F130" s="5" t="s">
        <v>6</v>
      </c>
      <c r="G130" s="5" t="s">
        <v>12</v>
      </c>
      <c r="H130" s="3" t="s">
        <v>83</v>
      </c>
      <c r="I130" s="5" t="s">
        <v>435</v>
      </c>
      <c r="J130" s="5">
        <f>_xlfn.XLOOKUP(CustomerCombined[[#This Row],[ID]], Table4[ID], Table4[Recency], "Not Found", 0)</f>
        <v>94</v>
      </c>
      <c r="K130" s="5">
        <f>_xlfn.XLOOKUP(CustomerCombined[[#This Row],[ID]], Table4[ID], Table4[Teas], "Not Found", 0)</f>
        <v>643</v>
      </c>
      <c r="L130" s="5">
        <f>_xlfn.XLOOKUP(CustomerCombined[[#This Row],[ID]], Table4[ID], Table4[Fruits], "Not Found", 0)</f>
        <v>17</v>
      </c>
      <c r="M130" s="5">
        <f>_xlfn.XLOOKUP(CustomerCombined[[#This Row],[ID]], Table4[ID], Table4[Meats], "Not Found", 0)</f>
        <v>189</v>
      </c>
      <c r="N130" s="5">
        <f>_xlfn.XLOOKUP(CustomerCombined[[#This Row],[ID]], Table4[ID], Table4[Seafood], "Not Found", 0)</f>
        <v>47</v>
      </c>
      <c r="O130" s="5">
        <f>_xlfn.XLOOKUP(CustomerCombined[[#This Row],[ID]], Table4[ID], Table4[Sweets], "Not Found", 0)</f>
        <v>17</v>
      </c>
      <c r="P130" s="5">
        <f>_xlfn.XLOOKUP(CustomerCombined[[#This Row],[ID]], Table4[ID], Table4[Premium], "Not Found", 0)</f>
        <v>26</v>
      </c>
      <c r="Q130" s="5">
        <f>_xlfn.XLOOKUP(CustomerCombined[[#This Row],[ID]], Table4[ID], Table4[Regular], "Not Found", 0)</f>
        <v>886</v>
      </c>
      <c r="R130" s="5">
        <f>_xlfn.XLOOKUP(CustomerCombined[[#This Row],[ID]], Table4[ID], Table4[Deals], "Not Found", 0)</f>
        <v>1</v>
      </c>
      <c r="S130" s="5">
        <f>_xlfn.XLOOKUP(CustomerCombined[[#This Row],[ID]], Table4[ID], Table4[Website], "Not Found", 0)</f>
        <v>4</v>
      </c>
      <c r="T130" s="5">
        <f>_xlfn.XLOOKUP(CustomerCombined[[#This Row],[ID]], Table4[ID], Table4[Catalog], "Not Found", 0)</f>
        <v>4</v>
      </c>
      <c r="U130" s="5">
        <f>_xlfn.XLOOKUP(CustomerCombined[[#This Row],[ID]], Table4[ID], Table4[Store], "Not Found", 0)</f>
        <v>6</v>
      </c>
      <c r="V130" s="5">
        <f>_xlfn.XLOOKUP(CustomerCombined[[#This Row],[ID]], Table4[ID], Table4[Visits], "Not Found", 0)</f>
        <v>2</v>
      </c>
      <c r="W130" s="8">
        <f>_xlfn.XLOOKUP(CustomerCombined[[#This Row],[ID]], Table2[ID],Table2[Complaint], "Not Found", 0 )</f>
        <v>0</v>
      </c>
      <c r="X130" s="8">
        <f>_xlfn.XLOOKUP(CustomerCombined[[#This Row],[ID]], Table2[ID],Table2[Pilot], "Not Found", 0 )</f>
        <v>0</v>
      </c>
      <c r="Y130" s="8">
        <f>_xlfn.XLOOKUP(CustomerCombined[[#This Row],[ID]], Table2[ID],Table2[MC1], "Not Found", 0 )</f>
        <v>0</v>
      </c>
      <c r="Z130" s="8">
        <f>_xlfn.XLOOKUP(CustomerCombined[[#This Row],[ID]], Table2[ID],Table2[MC2], "Not Found", 0 )</f>
        <v>0</v>
      </c>
      <c r="AA130" s="8">
        <f>_xlfn.XLOOKUP(CustomerCombined[[#This Row],[ID]], Table2[ID],Table2[MC3], "Not Found", 0 )</f>
        <v>0</v>
      </c>
      <c r="AB130" s="8">
        <f>_xlfn.XLOOKUP(CustomerCombined[[#This Row],[ID]], Table2[ID],Table2[MC4], "Not Found", 0 )</f>
        <v>0</v>
      </c>
      <c r="AC130" s="8">
        <f>_xlfn.XLOOKUP(CustomerCombined[[#This Row],[ID]], Table2[ID],Table2[MC5], "Not Found", 0 )</f>
        <v>0</v>
      </c>
    </row>
    <row r="131" spans="1:29" x14ac:dyDescent="0.3">
      <c r="A131" s="6">
        <v>2040</v>
      </c>
      <c r="B131" s="6">
        <v>167605</v>
      </c>
      <c r="C131" s="6">
        <v>0</v>
      </c>
      <c r="D131" s="6">
        <v>0</v>
      </c>
      <c r="E131" s="6">
        <v>33</v>
      </c>
      <c r="F131" s="5" t="s">
        <v>8</v>
      </c>
      <c r="G131" s="5" t="s">
        <v>11</v>
      </c>
      <c r="H131" s="3">
        <v>43594</v>
      </c>
      <c r="I131" s="5" t="s">
        <v>436</v>
      </c>
      <c r="J131" s="5">
        <f>_xlfn.XLOOKUP(CustomerCombined[[#This Row],[ID]], Table4[ID], Table4[Recency], "Not Found", 0)</f>
        <v>84</v>
      </c>
      <c r="K131" s="5">
        <f>_xlfn.XLOOKUP(CustomerCombined[[#This Row],[ID]], Table4[ID], Table4[Teas], "Not Found", 0)</f>
        <v>833</v>
      </c>
      <c r="L131" s="5">
        <f>_xlfn.XLOOKUP(CustomerCombined[[#This Row],[ID]], Table4[ID], Table4[Fruits], "Not Found", 0)</f>
        <v>69</v>
      </c>
      <c r="M131" s="5">
        <f>_xlfn.XLOOKUP(CustomerCombined[[#This Row],[ID]], Table4[ID], Table4[Meats], "Not Found", 0)</f>
        <v>699</v>
      </c>
      <c r="N131" s="5">
        <f>_xlfn.XLOOKUP(CustomerCombined[[#This Row],[ID]], Table4[ID], Table4[Seafood], "Not Found", 0)</f>
        <v>456</v>
      </c>
      <c r="O131" s="5">
        <f>_xlfn.XLOOKUP(CustomerCombined[[#This Row],[ID]], Table4[ID], Table4[Sweets], "Not Found", 0)</f>
        <v>134</v>
      </c>
      <c r="P131" s="5">
        <f>_xlfn.XLOOKUP(CustomerCombined[[#This Row],[ID]], Table4[ID], Table4[Premium], "Not Found", 0)</f>
        <v>134</v>
      </c>
      <c r="Q131" s="5">
        <f>_xlfn.XLOOKUP(CustomerCombined[[#This Row],[ID]], Table4[ID], Table4[Regular], "Not Found", 0)</f>
        <v>2058</v>
      </c>
      <c r="R131" s="5">
        <f>_xlfn.XLOOKUP(CustomerCombined[[#This Row],[ID]], Table4[ID], Table4[Deals], "Not Found", 0)</f>
        <v>1</v>
      </c>
      <c r="S131" s="5">
        <f>_xlfn.XLOOKUP(CustomerCombined[[#This Row],[ID]], Table4[ID], Table4[Website], "Not Found", 0)</f>
        <v>2</v>
      </c>
      <c r="T131" s="5">
        <f>_xlfn.XLOOKUP(CustomerCombined[[#This Row],[ID]], Table4[ID], Table4[Catalog], "Not Found", 0)</f>
        <v>8</v>
      </c>
      <c r="U131" s="5">
        <f>_xlfn.XLOOKUP(CustomerCombined[[#This Row],[ID]], Table4[ID], Table4[Store], "Not Found", 0)</f>
        <v>6</v>
      </c>
      <c r="V131" s="5">
        <f>_xlfn.XLOOKUP(CustomerCombined[[#This Row],[ID]], Table4[ID], Table4[Visits], "Not Found", 0)</f>
        <v>1</v>
      </c>
      <c r="W131" s="8">
        <f>_xlfn.XLOOKUP(CustomerCombined[[#This Row],[ID]], Table2[ID],Table2[Complaint], "Not Found", 0 )</f>
        <v>0</v>
      </c>
      <c r="X131" s="8">
        <f>_xlfn.XLOOKUP(CustomerCombined[[#This Row],[ID]], Table2[ID],Table2[Pilot], "Not Found", 0 )</f>
        <v>0</v>
      </c>
      <c r="Y131" s="8">
        <f>_xlfn.XLOOKUP(CustomerCombined[[#This Row],[ID]], Table2[ID],Table2[MC1], "Not Found", 0 )</f>
        <v>0</v>
      </c>
      <c r="Z131" s="8">
        <f>_xlfn.XLOOKUP(CustomerCombined[[#This Row],[ID]], Table2[ID],Table2[MC2], "Not Found", 0 )</f>
        <v>0</v>
      </c>
      <c r="AA131" s="8">
        <f>_xlfn.XLOOKUP(CustomerCombined[[#This Row],[ID]], Table2[ID],Table2[MC3], "Not Found", 0 )</f>
        <v>0</v>
      </c>
      <c r="AB131" s="8">
        <f>_xlfn.XLOOKUP(CustomerCombined[[#This Row],[ID]], Table2[ID],Table2[MC4], "Not Found", 0 )</f>
        <v>0</v>
      </c>
      <c r="AC131" s="8">
        <f>_xlfn.XLOOKUP(CustomerCombined[[#This Row],[ID]], Table2[ID],Table2[MC5], "Not Found", 0 )</f>
        <v>0</v>
      </c>
    </row>
    <row r="132" spans="1:29" x14ac:dyDescent="0.3">
      <c r="A132" s="6">
        <v>1748</v>
      </c>
      <c r="B132" s="6">
        <v>167430</v>
      </c>
      <c r="C132" s="6">
        <v>0</v>
      </c>
      <c r="D132" s="6">
        <v>0</v>
      </c>
      <c r="E132" s="6">
        <v>33</v>
      </c>
      <c r="F132" s="5" t="s">
        <v>8</v>
      </c>
      <c r="G132" s="5" t="s">
        <v>11</v>
      </c>
      <c r="H132" s="3">
        <v>43740</v>
      </c>
      <c r="I132" s="5" t="s">
        <v>438</v>
      </c>
      <c r="J132" s="5">
        <f>_xlfn.XLOOKUP(CustomerCombined[[#This Row],[ID]], Table4[ID], Table4[Recency], "Not Found", 0)</f>
        <v>6</v>
      </c>
      <c r="K132" s="5">
        <f>_xlfn.XLOOKUP(CustomerCombined[[#This Row],[ID]], Table4[ID], Table4[Teas], "Not Found", 0)</f>
        <v>1477</v>
      </c>
      <c r="L132" s="5">
        <f>_xlfn.XLOOKUP(CustomerCombined[[#This Row],[ID]], Table4[ID], Table4[Fruits], "Not Found", 0)</f>
        <v>241</v>
      </c>
      <c r="M132" s="5">
        <f>_xlfn.XLOOKUP(CustomerCombined[[#This Row],[ID]], Table4[ID], Table4[Meats], "Not Found", 0)</f>
        <v>723</v>
      </c>
      <c r="N132" s="5">
        <f>_xlfn.XLOOKUP(CustomerCombined[[#This Row],[ID]], Table4[ID], Table4[Seafood], "Not Found", 0)</f>
        <v>315</v>
      </c>
      <c r="O132" s="5">
        <f>_xlfn.XLOOKUP(CustomerCombined[[#This Row],[ID]], Table4[ID], Table4[Sweets], "Not Found", 0)</f>
        <v>330</v>
      </c>
      <c r="P132" s="5">
        <f>_xlfn.XLOOKUP(CustomerCombined[[#This Row],[ID]], Table4[ID], Table4[Premium], "Not Found", 0)</f>
        <v>300</v>
      </c>
      <c r="Q132" s="5">
        <f>_xlfn.XLOOKUP(CustomerCombined[[#This Row],[ID]], Table4[ID], Table4[Regular], "Not Found", 0)</f>
        <v>2786</v>
      </c>
      <c r="R132" s="5">
        <f>_xlfn.XLOOKUP(CustomerCombined[[#This Row],[ID]], Table4[ID], Table4[Deals], "Not Found", 0)</f>
        <v>1</v>
      </c>
      <c r="S132" s="5">
        <f>_xlfn.XLOOKUP(CustomerCombined[[#This Row],[ID]], Table4[ID], Table4[Website], "Not Found", 0)</f>
        <v>11</v>
      </c>
      <c r="T132" s="5">
        <f>_xlfn.XLOOKUP(CustomerCombined[[#This Row],[ID]], Table4[ID], Table4[Catalog], "Not Found", 0)</f>
        <v>5</v>
      </c>
      <c r="U132" s="5">
        <f>_xlfn.XLOOKUP(CustomerCombined[[#This Row],[ID]], Table4[ID], Table4[Store], "Not Found", 0)</f>
        <v>12</v>
      </c>
      <c r="V132" s="5">
        <f>_xlfn.XLOOKUP(CustomerCombined[[#This Row],[ID]], Table4[ID], Table4[Visits], "Not Found", 0)</f>
        <v>6</v>
      </c>
      <c r="W132" s="8">
        <f>_xlfn.XLOOKUP(CustomerCombined[[#This Row],[ID]], Table2[ID],Table2[Complaint], "Not Found", 0 )</f>
        <v>0</v>
      </c>
      <c r="X132" s="8">
        <f>_xlfn.XLOOKUP(CustomerCombined[[#This Row],[ID]], Table2[ID],Table2[Pilot], "Not Found", 0 )</f>
        <v>0</v>
      </c>
      <c r="Y132" s="8">
        <f>_xlfn.XLOOKUP(CustomerCombined[[#This Row],[ID]], Table2[ID],Table2[MC1], "Not Found", 0 )</f>
        <v>0</v>
      </c>
      <c r="Z132" s="8">
        <f>_xlfn.XLOOKUP(CustomerCombined[[#This Row],[ID]], Table2[ID],Table2[MC2], "Not Found", 0 )</f>
        <v>0</v>
      </c>
      <c r="AA132" s="8">
        <f>_xlfn.XLOOKUP(CustomerCombined[[#This Row],[ID]], Table2[ID],Table2[MC3], "Not Found", 0 )</f>
        <v>0</v>
      </c>
      <c r="AB132" s="8">
        <f>_xlfn.XLOOKUP(CustomerCombined[[#This Row],[ID]], Table2[ID],Table2[MC4], "Not Found", 0 )</f>
        <v>0</v>
      </c>
      <c r="AC132" s="8">
        <f>_xlfn.XLOOKUP(CustomerCombined[[#This Row],[ID]], Table2[ID],Table2[MC5], "Not Found", 0 )</f>
        <v>0</v>
      </c>
    </row>
    <row r="133" spans="1:29" x14ac:dyDescent="0.3">
      <c r="A133" s="6">
        <v>2666</v>
      </c>
      <c r="B133" s="6">
        <v>161787</v>
      </c>
      <c r="C133" s="6">
        <v>0</v>
      </c>
      <c r="D133" s="6">
        <v>0</v>
      </c>
      <c r="E133" s="6">
        <v>33</v>
      </c>
      <c r="F133" s="5" t="s">
        <v>5</v>
      </c>
      <c r="G133" s="5" t="s">
        <v>12</v>
      </c>
      <c r="H133" s="3">
        <v>43781</v>
      </c>
      <c r="I133" s="5" t="s">
        <v>438</v>
      </c>
      <c r="J133" s="5">
        <f>_xlfn.XLOOKUP(CustomerCombined[[#This Row],[ID]], Table4[ID], Table4[Recency], "Not Found", 0)</f>
        <v>71</v>
      </c>
      <c r="K133" s="5">
        <f>_xlfn.XLOOKUP(CustomerCombined[[#This Row],[ID]], Table4[ID], Table4[Teas], "Not Found", 0)</f>
        <v>1626</v>
      </c>
      <c r="L133" s="5">
        <f>_xlfn.XLOOKUP(CustomerCombined[[#This Row],[ID]], Table4[ID], Table4[Fruits], "Not Found", 0)</f>
        <v>191</v>
      </c>
      <c r="M133" s="5">
        <f>_xlfn.XLOOKUP(CustomerCombined[[#This Row],[ID]], Table4[ID], Table4[Meats], "Not Found", 0)</f>
        <v>1084</v>
      </c>
      <c r="N133" s="5">
        <f>_xlfn.XLOOKUP(CustomerCombined[[#This Row],[ID]], Table4[ID], Table4[Seafood], "Not Found", 0)</f>
        <v>204</v>
      </c>
      <c r="O133" s="5">
        <f>_xlfn.XLOOKUP(CustomerCombined[[#This Row],[ID]], Table4[ID], Table4[Sweets], "Not Found", 0)</f>
        <v>126</v>
      </c>
      <c r="P133" s="5">
        <f>_xlfn.XLOOKUP(CustomerCombined[[#This Row],[ID]], Table4[ID], Table4[Premium], "Not Found", 0)</f>
        <v>223</v>
      </c>
      <c r="Q133" s="5">
        <f>_xlfn.XLOOKUP(CustomerCombined[[#This Row],[ID]], Table4[ID], Table4[Regular], "Not Found", 0)</f>
        <v>3009</v>
      </c>
      <c r="R133" s="5">
        <f>_xlfn.XLOOKUP(CustomerCombined[[#This Row],[ID]], Table4[ID], Table4[Deals], "Not Found", 0)</f>
        <v>1</v>
      </c>
      <c r="S133" s="5">
        <f>_xlfn.XLOOKUP(CustomerCombined[[#This Row],[ID]], Table4[ID], Table4[Website], "Not Found", 0)</f>
        <v>8</v>
      </c>
      <c r="T133" s="5">
        <f>_xlfn.XLOOKUP(CustomerCombined[[#This Row],[ID]], Table4[ID], Table4[Catalog], "Not Found", 0)</f>
        <v>4</v>
      </c>
      <c r="U133" s="5">
        <f>_xlfn.XLOOKUP(CustomerCombined[[#This Row],[ID]], Table4[ID], Table4[Store], "Not Found", 0)</f>
        <v>6</v>
      </c>
      <c r="V133" s="5">
        <f>_xlfn.XLOOKUP(CustomerCombined[[#This Row],[ID]], Table4[ID], Table4[Visits], "Not Found", 0)</f>
        <v>5</v>
      </c>
      <c r="W133" s="8">
        <f>_xlfn.XLOOKUP(CustomerCombined[[#This Row],[ID]], Table2[ID],Table2[Complaint], "Not Found", 0 )</f>
        <v>0</v>
      </c>
      <c r="X133" s="8">
        <f>_xlfn.XLOOKUP(CustomerCombined[[#This Row],[ID]], Table2[ID],Table2[Pilot], "Not Found", 0 )</f>
        <v>0</v>
      </c>
      <c r="Y133" s="8">
        <f>_xlfn.XLOOKUP(CustomerCombined[[#This Row],[ID]], Table2[ID],Table2[MC1], "Not Found", 0 )</f>
        <v>0</v>
      </c>
      <c r="Z133" s="8">
        <f>_xlfn.XLOOKUP(CustomerCombined[[#This Row],[ID]], Table2[ID],Table2[MC2], "Not Found", 0 )</f>
        <v>0</v>
      </c>
      <c r="AA133" s="8">
        <f>_xlfn.XLOOKUP(CustomerCombined[[#This Row],[ID]], Table2[ID],Table2[MC3], "Not Found", 0 )</f>
        <v>0</v>
      </c>
      <c r="AB133" s="8">
        <f>_xlfn.XLOOKUP(CustomerCombined[[#This Row],[ID]], Table2[ID],Table2[MC4], "Not Found", 0 )</f>
        <v>0</v>
      </c>
      <c r="AC133" s="8">
        <f>_xlfn.XLOOKUP(CustomerCombined[[#This Row],[ID]], Table2[ID],Table2[MC5], "Not Found", 0 )</f>
        <v>0</v>
      </c>
    </row>
    <row r="134" spans="1:29" x14ac:dyDescent="0.3">
      <c r="A134" s="6">
        <v>2593</v>
      </c>
      <c r="B134" s="6">
        <v>157100</v>
      </c>
      <c r="C134" s="6">
        <v>1</v>
      </c>
      <c r="D134" s="6">
        <v>0</v>
      </c>
      <c r="E134" s="6">
        <v>33</v>
      </c>
      <c r="F134" s="5" t="s">
        <v>7</v>
      </c>
      <c r="G134" s="5" t="s">
        <v>11</v>
      </c>
      <c r="H134" s="3" t="s">
        <v>47</v>
      </c>
      <c r="I134" s="5" t="s">
        <v>437</v>
      </c>
      <c r="J134" s="5">
        <f>_xlfn.XLOOKUP(CustomerCombined[[#This Row],[ID]], Table4[ID], Table4[Recency], "Not Found", 0)</f>
        <v>9</v>
      </c>
      <c r="K134" s="5">
        <f>_xlfn.XLOOKUP(CustomerCombined[[#This Row],[ID]], Table4[ID], Table4[Teas], "Not Found", 0)</f>
        <v>435</v>
      </c>
      <c r="L134" s="5">
        <f>_xlfn.XLOOKUP(CustomerCombined[[#This Row],[ID]], Table4[ID], Table4[Fruits], "Not Found", 0)</f>
        <v>30</v>
      </c>
      <c r="M134" s="5">
        <f>_xlfn.XLOOKUP(CustomerCombined[[#This Row],[ID]], Table4[ID], Table4[Meats], "Not Found", 0)</f>
        <v>272</v>
      </c>
      <c r="N134" s="5">
        <f>_xlfn.XLOOKUP(CustomerCombined[[#This Row],[ID]], Table4[ID], Table4[Seafood], "Not Found", 0)</f>
        <v>41</v>
      </c>
      <c r="O134" s="5">
        <f>_xlfn.XLOOKUP(CustomerCombined[[#This Row],[ID]], Table4[ID], Table4[Sweets], "Not Found", 0)</f>
        <v>30</v>
      </c>
      <c r="P134" s="5">
        <f>_xlfn.XLOOKUP(CustomerCombined[[#This Row],[ID]], Table4[ID], Table4[Premium], "Not Found", 0)</f>
        <v>47</v>
      </c>
      <c r="Q134" s="5">
        <f>_xlfn.XLOOKUP(CustomerCombined[[#This Row],[ID]], Table4[ID], Table4[Regular], "Not Found", 0)</f>
        <v>762</v>
      </c>
      <c r="R134" s="5">
        <f>_xlfn.XLOOKUP(CustomerCombined[[#This Row],[ID]], Table4[ID], Table4[Deals], "Not Found", 0)</f>
        <v>2</v>
      </c>
      <c r="S134" s="5">
        <f>_xlfn.XLOOKUP(CustomerCombined[[#This Row],[ID]], Table4[ID], Table4[Website], "Not Found", 0)</f>
        <v>3</v>
      </c>
      <c r="T134" s="5">
        <f>_xlfn.XLOOKUP(CustomerCombined[[#This Row],[ID]], Table4[ID], Table4[Catalog], "Not Found", 0)</f>
        <v>2</v>
      </c>
      <c r="U134" s="5">
        <f>_xlfn.XLOOKUP(CustomerCombined[[#This Row],[ID]], Table4[ID], Table4[Store], "Not Found", 0)</f>
        <v>7</v>
      </c>
      <c r="V134" s="5">
        <f>_xlfn.XLOOKUP(CustomerCombined[[#This Row],[ID]], Table4[ID], Table4[Visits], "Not Found", 0)</f>
        <v>3</v>
      </c>
      <c r="W134" s="8">
        <f>_xlfn.XLOOKUP(CustomerCombined[[#This Row],[ID]], Table2[ID],Table2[Complaint], "Not Found", 0 )</f>
        <v>0</v>
      </c>
      <c r="X134" s="8">
        <f>_xlfn.XLOOKUP(CustomerCombined[[#This Row],[ID]], Table2[ID],Table2[Pilot], "Not Found", 0 )</f>
        <v>0</v>
      </c>
      <c r="Y134" s="8">
        <f>_xlfn.XLOOKUP(CustomerCombined[[#This Row],[ID]], Table2[ID],Table2[MC1], "Not Found", 0 )</f>
        <v>0</v>
      </c>
      <c r="Z134" s="8">
        <f>_xlfn.XLOOKUP(CustomerCombined[[#This Row],[ID]], Table2[ID],Table2[MC2], "Not Found", 0 )</f>
        <v>0</v>
      </c>
      <c r="AA134" s="8">
        <f>_xlfn.XLOOKUP(CustomerCombined[[#This Row],[ID]], Table2[ID],Table2[MC3], "Not Found", 0 )</f>
        <v>0</v>
      </c>
      <c r="AB134" s="8">
        <f>_xlfn.XLOOKUP(CustomerCombined[[#This Row],[ID]], Table2[ID],Table2[MC4], "Not Found", 0 )</f>
        <v>0</v>
      </c>
      <c r="AC134" s="8">
        <f>_xlfn.XLOOKUP(CustomerCombined[[#This Row],[ID]], Table2[ID],Table2[MC5], "Not Found", 0 )</f>
        <v>0</v>
      </c>
    </row>
    <row r="135" spans="1:29" x14ac:dyDescent="0.3">
      <c r="A135" s="6">
        <v>1926</v>
      </c>
      <c r="B135" s="6">
        <v>151563</v>
      </c>
      <c r="C135" s="6">
        <v>0</v>
      </c>
      <c r="D135" s="6">
        <v>0</v>
      </c>
      <c r="E135" s="6">
        <v>33</v>
      </c>
      <c r="F135" s="5" t="s">
        <v>6</v>
      </c>
      <c r="G135" s="5" t="s">
        <v>13</v>
      </c>
      <c r="H135" s="3">
        <v>43680</v>
      </c>
      <c r="I135" s="5" t="s">
        <v>436</v>
      </c>
      <c r="J135" s="5">
        <f>_xlfn.XLOOKUP(CustomerCombined[[#This Row],[ID]], Table4[ID], Table4[Recency], "Not Found", 0)</f>
        <v>60</v>
      </c>
      <c r="K135" s="5">
        <f>_xlfn.XLOOKUP(CustomerCombined[[#This Row],[ID]], Table4[ID], Table4[Teas], "Not Found", 0)</f>
        <v>3427</v>
      </c>
      <c r="L135" s="5">
        <f>_xlfn.XLOOKUP(CustomerCombined[[#This Row],[ID]], Table4[ID], Table4[Fruits], "Not Found", 0)</f>
        <v>0</v>
      </c>
      <c r="M135" s="5">
        <f>_xlfn.XLOOKUP(CustomerCombined[[#This Row],[ID]], Table4[ID], Table4[Meats], "Not Found", 0)</f>
        <v>141</v>
      </c>
      <c r="N135" s="5">
        <f>_xlfn.XLOOKUP(CustomerCombined[[#This Row],[ID]], Table4[ID], Table4[Seafood], "Not Found", 0)</f>
        <v>0</v>
      </c>
      <c r="O135" s="5">
        <f>_xlfn.XLOOKUP(CustomerCombined[[#This Row],[ID]], Table4[ID], Table4[Sweets], "Not Found", 0)</f>
        <v>0</v>
      </c>
      <c r="P135" s="5">
        <f>_xlfn.XLOOKUP(CustomerCombined[[#This Row],[ID]], Table4[ID], Table4[Premium], "Not Found", 0)</f>
        <v>106</v>
      </c>
      <c r="Q135" s="5">
        <f>_xlfn.XLOOKUP(CustomerCombined[[#This Row],[ID]], Table4[ID], Table4[Regular], "Not Found", 0)</f>
        <v>3463</v>
      </c>
      <c r="R135" s="5">
        <f>_xlfn.XLOOKUP(CustomerCombined[[#This Row],[ID]], Table4[ID], Table4[Deals], "Not Found", 0)</f>
        <v>1</v>
      </c>
      <c r="S135" s="5">
        <f>_xlfn.XLOOKUP(CustomerCombined[[#This Row],[ID]], Table4[ID], Table4[Website], "Not Found", 0)</f>
        <v>4</v>
      </c>
      <c r="T135" s="5">
        <f>_xlfn.XLOOKUP(CustomerCombined[[#This Row],[ID]], Table4[ID], Table4[Catalog], "Not Found", 0)</f>
        <v>4</v>
      </c>
      <c r="U135" s="5">
        <f>_xlfn.XLOOKUP(CustomerCombined[[#This Row],[ID]], Table4[ID], Table4[Store], "Not Found", 0)</f>
        <v>10</v>
      </c>
      <c r="V135" s="5">
        <f>_xlfn.XLOOKUP(CustomerCombined[[#This Row],[ID]], Table4[ID], Table4[Visits], "Not Found", 0)</f>
        <v>8</v>
      </c>
      <c r="W135" s="8">
        <f>_xlfn.XLOOKUP(CustomerCombined[[#This Row],[ID]], Table2[ID],Table2[Complaint], "Not Found", 0 )</f>
        <v>0</v>
      </c>
      <c r="X135" s="8">
        <f>_xlfn.XLOOKUP(CustomerCombined[[#This Row],[ID]], Table2[ID],Table2[Pilot], "Not Found", 0 )</f>
        <v>0</v>
      </c>
      <c r="Y135" s="8">
        <f>_xlfn.XLOOKUP(CustomerCombined[[#This Row],[ID]], Table2[ID],Table2[MC1], "Not Found", 0 )</f>
        <v>0</v>
      </c>
      <c r="Z135" s="8">
        <f>_xlfn.XLOOKUP(CustomerCombined[[#This Row],[ID]], Table2[ID],Table2[MC2], "Not Found", 0 )</f>
        <v>0</v>
      </c>
      <c r="AA135" s="8">
        <f>_xlfn.XLOOKUP(CustomerCombined[[#This Row],[ID]], Table2[ID],Table2[MC3], "Not Found", 0 )</f>
        <v>0</v>
      </c>
      <c r="AB135" s="8">
        <f>_xlfn.XLOOKUP(CustomerCombined[[#This Row],[ID]], Table2[ID],Table2[MC4], "Not Found", 0 )</f>
        <v>1</v>
      </c>
      <c r="AC135" s="8">
        <f>_xlfn.XLOOKUP(CustomerCombined[[#This Row],[ID]], Table2[ID],Table2[MC5], "Not Found", 0 )</f>
        <v>1</v>
      </c>
    </row>
    <row r="136" spans="1:29" x14ac:dyDescent="0.3">
      <c r="A136" s="6">
        <v>1397</v>
      </c>
      <c r="B136" s="6">
        <v>146923</v>
      </c>
      <c r="C136" s="6">
        <v>1</v>
      </c>
      <c r="D136" s="6">
        <v>0</v>
      </c>
      <c r="E136" s="6">
        <v>33</v>
      </c>
      <c r="F136" s="5" t="s">
        <v>7</v>
      </c>
      <c r="G136" s="5" t="s">
        <v>11</v>
      </c>
      <c r="H136" s="3" t="s">
        <v>406</v>
      </c>
      <c r="I136" s="5" t="s">
        <v>434</v>
      </c>
      <c r="J136" s="5">
        <f>_xlfn.XLOOKUP(CustomerCombined[[#This Row],[ID]], Table4[ID], Table4[Recency], "Not Found", 0)</f>
        <v>90</v>
      </c>
      <c r="K136" s="5">
        <f>_xlfn.XLOOKUP(CustomerCombined[[#This Row],[ID]], Table4[ID], Table4[Teas], "Not Found", 0)</f>
        <v>266</v>
      </c>
      <c r="L136" s="5">
        <f>_xlfn.XLOOKUP(CustomerCombined[[#This Row],[ID]], Table4[ID], Table4[Fruits], "Not Found", 0)</f>
        <v>138</v>
      </c>
      <c r="M136" s="5">
        <f>_xlfn.XLOOKUP(CustomerCombined[[#This Row],[ID]], Table4[ID], Table4[Meats], "Not Found", 0)</f>
        <v>169</v>
      </c>
      <c r="N136" s="5">
        <f>_xlfn.XLOOKUP(CustomerCombined[[#This Row],[ID]], Table4[ID], Table4[Seafood], "Not Found", 0)</f>
        <v>319</v>
      </c>
      <c r="O136" s="5">
        <f>_xlfn.XLOOKUP(CustomerCombined[[#This Row],[ID]], Table4[ID], Table4[Sweets], "Not Found", 0)</f>
        <v>244</v>
      </c>
      <c r="P136" s="5">
        <f>_xlfn.XLOOKUP(CustomerCombined[[#This Row],[ID]], Table4[ID], Table4[Premium], "Not Found", 0)</f>
        <v>19</v>
      </c>
      <c r="Q136" s="5">
        <f>_xlfn.XLOOKUP(CustomerCombined[[#This Row],[ID]], Table4[ID], Table4[Regular], "Not Found", 0)</f>
        <v>1118</v>
      </c>
      <c r="R136" s="5">
        <f>_xlfn.XLOOKUP(CustomerCombined[[#This Row],[ID]], Table4[ID], Table4[Deals], "Not Found", 0)</f>
        <v>3</v>
      </c>
      <c r="S136" s="5">
        <f>_xlfn.XLOOKUP(CustomerCombined[[#This Row],[ID]], Table4[ID], Table4[Website], "Not Found", 0)</f>
        <v>5</v>
      </c>
      <c r="T136" s="5">
        <f>_xlfn.XLOOKUP(CustomerCombined[[#This Row],[ID]], Table4[ID], Table4[Catalog], "Not Found", 0)</f>
        <v>1</v>
      </c>
      <c r="U136" s="5">
        <f>_xlfn.XLOOKUP(CustomerCombined[[#This Row],[ID]], Table4[ID], Table4[Store], "Not Found", 0)</f>
        <v>7</v>
      </c>
      <c r="V136" s="5">
        <f>_xlfn.XLOOKUP(CustomerCombined[[#This Row],[ID]], Table4[ID], Table4[Visits], "Not Found", 0)</f>
        <v>7</v>
      </c>
      <c r="W136" s="8">
        <f>_xlfn.XLOOKUP(CustomerCombined[[#This Row],[ID]], Table2[ID],Table2[Complaint], "Not Found", 0 )</f>
        <v>0</v>
      </c>
      <c r="X136" s="8">
        <f>_xlfn.XLOOKUP(CustomerCombined[[#This Row],[ID]], Table2[ID],Table2[Pilot], "Not Found", 0 )</f>
        <v>0</v>
      </c>
      <c r="Y136" s="8">
        <f>_xlfn.XLOOKUP(CustomerCombined[[#This Row],[ID]], Table2[ID],Table2[MC1], "Not Found", 0 )</f>
        <v>0</v>
      </c>
      <c r="Z136" s="8">
        <f>_xlfn.XLOOKUP(CustomerCombined[[#This Row],[ID]], Table2[ID],Table2[MC2], "Not Found", 0 )</f>
        <v>0</v>
      </c>
      <c r="AA136" s="8">
        <f>_xlfn.XLOOKUP(CustomerCombined[[#This Row],[ID]], Table2[ID],Table2[MC3], "Not Found", 0 )</f>
        <v>0</v>
      </c>
      <c r="AB136" s="8">
        <f>_xlfn.XLOOKUP(CustomerCombined[[#This Row],[ID]], Table2[ID],Table2[MC4], "Not Found", 0 )</f>
        <v>0</v>
      </c>
      <c r="AC136" s="8">
        <f>_xlfn.XLOOKUP(CustomerCombined[[#This Row],[ID]], Table2[ID],Table2[MC5], "Not Found", 0 )</f>
        <v>0</v>
      </c>
    </row>
    <row r="137" spans="1:29" x14ac:dyDescent="0.3">
      <c r="A137" s="6">
        <v>2043</v>
      </c>
      <c r="B137" s="6">
        <v>142000</v>
      </c>
      <c r="C137" s="6">
        <v>0</v>
      </c>
      <c r="D137" s="6">
        <v>0</v>
      </c>
      <c r="E137" s="6">
        <v>33</v>
      </c>
      <c r="F137" s="5" t="s">
        <v>7</v>
      </c>
      <c r="G137" s="5" t="s">
        <v>13</v>
      </c>
      <c r="H137" s="3" t="s">
        <v>330</v>
      </c>
      <c r="I137" s="5" t="s">
        <v>435</v>
      </c>
      <c r="J137" s="5">
        <f>_xlfn.XLOOKUP(CustomerCombined[[#This Row],[ID]], Table4[ID], Table4[Recency], "Not Found", 0)</f>
        <v>23</v>
      </c>
      <c r="K137" s="5">
        <f>_xlfn.XLOOKUP(CustomerCombined[[#This Row],[ID]], Table4[ID], Table4[Teas], "Not Found", 0)</f>
        <v>419</v>
      </c>
      <c r="L137" s="5">
        <f>_xlfn.XLOOKUP(CustomerCombined[[#This Row],[ID]], Table4[ID], Table4[Fruits], "Not Found", 0)</f>
        <v>281</v>
      </c>
      <c r="M137" s="5">
        <f>_xlfn.XLOOKUP(CustomerCombined[[#This Row],[ID]], Table4[ID], Table4[Meats], "Not Found", 0)</f>
        <v>903</v>
      </c>
      <c r="N137" s="5">
        <f>_xlfn.XLOOKUP(CustomerCombined[[#This Row],[ID]], Table4[ID], Table4[Seafood], "Not Found", 0)</f>
        <v>287</v>
      </c>
      <c r="O137" s="5">
        <f>_xlfn.XLOOKUP(CustomerCombined[[#This Row],[ID]], Table4[ID], Table4[Sweets], "Not Found", 0)</f>
        <v>199</v>
      </c>
      <c r="P137" s="5">
        <f>_xlfn.XLOOKUP(CustomerCombined[[#This Row],[ID]], Table4[ID], Table4[Premium], "Not Found", 0)</f>
        <v>118</v>
      </c>
      <c r="Q137" s="5">
        <f>_xlfn.XLOOKUP(CustomerCombined[[#This Row],[ID]], Table4[ID], Table4[Regular], "Not Found", 0)</f>
        <v>1971</v>
      </c>
      <c r="R137" s="5">
        <f>_xlfn.XLOOKUP(CustomerCombined[[#This Row],[ID]], Table4[ID], Table4[Deals], "Not Found", 0)</f>
        <v>2</v>
      </c>
      <c r="S137" s="5">
        <f>_xlfn.XLOOKUP(CustomerCombined[[#This Row],[ID]], Table4[ID], Table4[Website], "Not Found", 0)</f>
        <v>5</v>
      </c>
      <c r="T137" s="5">
        <f>_xlfn.XLOOKUP(CustomerCombined[[#This Row],[ID]], Table4[ID], Table4[Catalog], "Not Found", 0)</f>
        <v>2</v>
      </c>
      <c r="U137" s="5">
        <f>_xlfn.XLOOKUP(CustomerCombined[[#This Row],[ID]], Table4[ID], Table4[Store], "Not Found", 0)</f>
        <v>11</v>
      </c>
      <c r="V137" s="5">
        <f>_xlfn.XLOOKUP(CustomerCombined[[#This Row],[ID]], Table4[ID], Table4[Visits], "Not Found", 0)</f>
        <v>5</v>
      </c>
      <c r="W137" s="8">
        <f>_xlfn.XLOOKUP(CustomerCombined[[#This Row],[ID]], Table2[ID],Table2[Complaint], "Not Found", 0 )</f>
        <v>0</v>
      </c>
      <c r="X137" s="8">
        <f>_xlfn.XLOOKUP(CustomerCombined[[#This Row],[ID]], Table2[ID],Table2[Pilot], "Not Found", 0 )</f>
        <v>1</v>
      </c>
      <c r="Y137" s="8">
        <f>_xlfn.XLOOKUP(CustomerCombined[[#This Row],[ID]], Table2[ID],Table2[MC1], "Not Found", 0 )</f>
        <v>0</v>
      </c>
      <c r="Z137" s="8">
        <f>_xlfn.XLOOKUP(CustomerCombined[[#This Row],[ID]], Table2[ID],Table2[MC2], "Not Found", 0 )</f>
        <v>0</v>
      </c>
      <c r="AA137" s="8">
        <f>_xlfn.XLOOKUP(CustomerCombined[[#This Row],[ID]], Table2[ID],Table2[MC3], "Not Found", 0 )</f>
        <v>0</v>
      </c>
      <c r="AB137" s="8">
        <f>_xlfn.XLOOKUP(CustomerCombined[[#This Row],[ID]], Table2[ID],Table2[MC4], "Not Found", 0 )</f>
        <v>0</v>
      </c>
      <c r="AC137" s="8">
        <f>_xlfn.XLOOKUP(CustomerCombined[[#This Row],[ID]], Table2[ID],Table2[MC5], "Not Found", 0 )</f>
        <v>0</v>
      </c>
    </row>
    <row r="138" spans="1:29" x14ac:dyDescent="0.3">
      <c r="A138" s="6">
        <v>3046</v>
      </c>
      <c r="B138" s="6">
        <v>142000</v>
      </c>
      <c r="C138" s="6">
        <v>0</v>
      </c>
      <c r="D138" s="6">
        <v>0</v>
      </c>
      <c r="E138" s="6">
        <v>33</v>
      </c>
      <c r="F138" s="5" t="s">
        <v>7</v>
      </c>
      <c r="G138" s="5" t="s">
        <v>13</v>
      </c>
      <c r="H138" s="3" t="s">
        <v>330</v>
      </c>
      <c r="I138" s="5" t="s">
        <v>439</v>
      </c>
      <c r="J138" s="5">
        <f>_xlfn.XLOOKUP(CustomerCombined[[#This Row],[ID]], Table4[ID], Table4[Recency], "Not Found", 0)</f>
        <v>23</v>
      </c>
      <c r="K138" s="5">
        <f>_xlfn.XLOOKUP(CustomerCombined[[#This Row],[ID]], Table4[ID], Table4[Teas], "Not Found", 0)</f>
        <v>419</v>
      </c>
      <c r="L138" s="5">
        <f>_xlfn.XLOOKUP(CustomerCombined[[#This Row],[ID]], Table4[ID], Table4[Fruits], "Not Found", 0)</f>
        <v>281</v>
      </c>
      <c r="M138" s="5">
        <f>_xlfn.XLOOKUP(CustomerCombined[[#This Row],[ID]], Table4[ID], Table4[Meats], "Not Found", 0)</f>
        <v>903</v>
      </c>
      <c r="N138" s="5">
        <f>_xlfn.XLOOKUP(CustomerCombined[[#This Row],[ID]], Table4[ID], Table4[Seafood], "Not Found", 0)</f>
        <v>287</v>
      </c>
      <c r="O138" s="5">
        <f>_xlfn.XLOOKUP(CustomerCombined[[#This Row],[ID]], Table4[ID], Table4[Sweets], "Not Found", 0)</f>
        <v>199</v>
      </c>
      <c r="P138" s="5">
        <f>_xlfn.XLOOKUP(CustomerCombined[[#This Row],[ID]], Table4[ID], Table4[Premium], "Not Found", 0)</f>
        <v>118</v>
      </c>
      <c r="Q138" s="5">
        <f>_xlfn.XLOOKUP(CustomerCombined[[#This Row],[ID]], Table4[ID], Table4[Regular], "Not Found", 0)</f>
        <v>1971</v>
      </c>
      <c r="R138" s="5">
        <f>_xlfn.XLOOKUP(CustomerCombined[[#This Row],[ID]], Table4[ID], Table4[Deals], "Not Found", 0)</f>
        <v>2</v>
      </c>
      <c r="S138" s="5">
        <f>_xlfn.XLOOKUP(CustomerCombined[[#This Row],[ID]], Table4[ID], Table4[Website], "Not Found", 0)</f>
        <v>5</v>
      </c>
      <c r="T138" s="5">
        <f>_xlfn.XLOOKUP(CustomerCombined[[#This Row],[ID]], Table4[ID], Table4[Catalog], "Not Found", 0)</f>
        <v>2</v>
      </c>
      <c r="U138" s="5">
        <f>_xlfn.XLOOKUP(CustomerCombined[[#This Row],[ID]], Table4[ID], Table4[Store], "Not Found", 0)</f>
        <v>11</v>
      </c>
      <c r="V138" s="5">
        <f>_xlfn.XLOOKUP(CustomerCombined[[#This Row],[ID]], Table4[ID], Table4[Visits], "Not Found", 0)</f>
        <v>5</v>
      </c>
      <c r="W138" s="8">
        <f>_xlfn.XLOOKUP(CustomerCombined[[#This Row],[ID]], Table2[ID],Table2[Complaint], "Not Found", 0 )</f>
        <v>0</v>
      </c>
      <c r="X138" s="8">
        <f>_xlfn.XLOOKUP(CustomerCombined[[#This Row],[ID]], Table2[ID],Table2[Pilot], "Not Found", 0 )</f>
        <v>1</v>
      </c>
      <c r="Y138" s="8">
        <f>_xlfn.XLOOKUP(CustomerCombined[[#This Row],[ID]], Table2[ID],Table2[MC1], "Not Found", 0 )</f>
        <v>0</v>
      </c>
      <c r="Z138" s="8">
        <f>_xlfn.XLOOKUP(CustomerCombined[[#This Row],[ID]], Table2[ID],Table2[MC2], "Not Found", 0 )</f>
        <v>0</v>
      </c>
      <c r="AA138" s="8">
        <f>_xlfn.XLOOKUP(CustomerCombined[[#This Row],[ID]], Table2[ID],Table2[MC3], "Not Found", 0 )</f>
        <v>0</v>
      </c>
      <c r="AB138" s="8">
        <f>_xlfn.XLOOKUP(CustomerCombined[[#This Row],[ID]], Table2[ID],Table2[MC4], "Not Found", 0 )</f>
        <v>0</v>
      </c>
      <c r="AC138" s="8">
        <f>_xlfn.XLOOKUP(CustomerCombined[[#This Row],[ID]], Table2[ID],Table2[MC5], "Not Found", 0 )</f>
        <v>0</v>
      </c>
    </row>
    <row r="139" spans="1:29" x14ac:dyDescent="0.3">
      <c r="A139" s="6">
        <v>2454</v>
      </c>
      <c r="B139" s="6">
        <v>141020</v>
      </c>
      <c r="C139" s="6">
        <v>0</v>
      </c>
      <c r="D139" s="6">
        <v>0</v>
      </c>
      <c r="E139" s="6">
        <v>33</v>
      </c>
      <c r="F139" s="5" t="s">
        <v>7</v>
      </c>
      <c r="G139" s="5" t="s">
        <v>12</v>
      </c>
      <c r="H139" s="3">
        <v>43894</v>
      </c>
      <c r="I139" s="5" t="s">
        <v>436</v>
      </c>
      <c r="J139" s="5">
        <f>_xlfn.XLOOKUP(CustomerCombined[[#This Row],[ID]], Table4[ID], Table4[Recency], "Not Found", 0)</f>
        <v>68</v>
      </c>
      <c r="K139" s="5">
        <f>_xlfn.XLOOKUP(CustomerCombined[[#This Row],[ID]], Table4[ID], Table4[Teas], "Not Found", 0)</f>
        <v>385</v>
      </c>
      <c r="L139" s="5">
        <f>_xlfn.XLOOKUP(CustomerCombined[[#This Row],[ID]], Table4[ID], Table4[Fruits], "Not Found", 0)</f>
        <v>3</v>
      </c>
      <c r="M139" s="5">
        <f>_xlfn.XLOOKUP(CustomerCombined[[#This Row],[ID]], Table4[ID], Table4[Meats], "Not Found", 0)</f>
        <v>186</v>
      </c>
      <c r="N139" s="5">
        <f>_xlfn.XLOOKUP(CustomerCombined[[#This Row],[ID]], Table4[ID], Table4[Seafood], "Not Found", 0)</f>
        <v>24</v>
      </c>
      <c r="O139" s="5">
        <f>_xlfn.XLOOKUP(CustomerCombined[[#This Row],[ID]], Table4[ID], Table4[Sweets], "Not Found", 0)</f>
        <v>24</v>
      </c>
      <c r="P139" s="5">
        <f>_xlfn.XLOOKUP(CustomerCombined[[#This Row],[ID]], Table4[ID], Table4[Premium], "Not Found", 0)</f>
        <v>124</v>
      </c>
      <c r="Q139" s="5">
        <f>_xlfn.XLOOKUP(CustomerCombined[[#This Row],[ID]], Table4[ID], Table4[Regular], "Not Found", 0)</f>
        <v>498</v>
      </c>
      <c r="R139" s="5">
        <f>_xlfn.XLOOKUP(CustomerCombined[[#This Row],[ID]], Table4[ID], Table4[Deals], "Not Found", 0)</f>
        <v>1</v>
      </c>
      <c r="S139" s="5">
        <f>_xlfn.XLOOKUP(CustomerCombined[[#This Row],[ID]], Table4[ID], Table4[Website], "Not Found", 0)</f>
        <v>3</v>
      </c>
      <c r="T139" s="5">
        <f>_xlfn.XLOOKUP(CustomerCombined[[#This Row],[ID]], Table4[ID], Table4[Catalog], "Not Found", 0)</f>
        <v>2</v>
      </c>
      <c r="U139" s="5">
        <f>_xlfn.XLOOKUP(CustomerCombined[[#This Row],[ID]], Table4[ID], Table4[Store], "Not Found", 0)</f>
        <v>4</v>
      </c>
      <c r="V139" s="5">
        <f>_xlfn.XLOOKUP(CustomerCombined[[#This Row],[ID]], Table4[ID], Table4[Visits], "Not Found", 0)</f>
        <v>3</v>
      </c>
      <c r="W139" s="8">
        <f>_xlfn.XLOOKUP(CustomerCombined[[#This Row],[ID]], Table2[ID],Table2[Complaint], "Not Found", 0 )</f>
        <v>0</v>
      </c>
      <c r="X139" s="8">
        <f>_xlfn.XLOOKUP(CustomerCombined[[#This Row],[ID]], Table2[ID],Table2[Pilot], "Not Found", 0 )</f>
        <v>0</v>
      </c>
      <c r="Y139" s="8">
        <f>_xlfn.XLOOKUP(CustomerCombined[[#This Row],[ID]], Table2[ID],Table2[MC1], "Not Found", 0 )</f>
        <v>0</v>
      </c>
      <c r="Z139" s="8">
        <f>_xlfn.XLOOKUP(CustomerCombined[[#This Row],[ID]], Table2[ID],Table2[MC2], "Not Found", 0 )</f>
        <v>0</v>
      </c>
      <c r="AA139" s="8">
        <f>_xlfn.XLOOKUP(CustomerCombined[[#This Row],[ID]], Table2[ID],Table2[MC3], "Not Found", 0 )</f>
        <v>0</v>
      </c>
      <c r="AB139" s="8">
        <f>_xlfn.XLOOKUP(CustomerCombined[[#This Row],[ID]], Table2[ID],Table2[MC4], "Not Found", 0 )</f>
        <v>0</v>
      </c>
      <c r="AC139" s="8">
        <f>_xlfn.XLOOKUP(CustomerCombined[[#This Row],[ID]], Table2[ID],Table2[MC5], "Not Found", 0 )</f>
        <v>0</v>
      </c>
    </row>
    <row r="140" spans="1:29" x14ac:dyDescent="0.3">
      <c r="A140" s="6">
        <v>2522</v>
      </c>
      <c r="B140" s="6">
        <v>130390</v>
      </c>
      <c r="C140" s="6">
        <v>0</v>
      </c>
      <c r="D140" s="6">
        <v>0</v>
      </c>
      <c r="E140" s="6">
        <v>33</v>
      </c>
      <c r="F140" s="5" t="s">
        <v>6</v>
      </c>
      <c r="G140" s="5" t="s">
        <v>442</v>
      </c>
      <c r="H140" s="3">
        <v>44014</v>
      </c>
      <c r="I140" s="5" t="s">
        <v>438</v>
      </c>
      <c r="J140" s="5">
        <f>_xlfn.XLOOKUP(CustomerCombined[[#This Row],[ID]], Table4[ID], Table4[Recency], "Not Found", 0)</f>
        <v>5</v>
      </c>
      <c r="K140" s="5">
        <f>_xlfn.XLOOKUP(CustomerCombined[[#This Row],[ID]], Table4[ID], Table4[Teas], "Not Found", 0)</f>
        <v>43</v>
      </c>
      <c r="L140" s="5">
        <f>_xlfn.XLOOKUP(CustomerCombined[[#This Row],[ID]], Table4[ID], Table4[Fruits], "Not Found", 0)</f>
        <v>51</v>
      </c>
      <c r="M140" s="5">
        <f>_xlfn.XLOOKUP(CustomerCombined[[#This Row],[ID]], Table4[ID], Table4[Meats], "Not Found", 0)</f>
        <v>51</v>
      </c>
      <c r="N140" s="5">
        <f>_xlfn.XLOOKUP(CustomerCombined[[#This Row],[ID]], Table4[ID], Table4[Seafood], "Not Found", 0)</f>
        <v>107</v>
      </c>
      <c r="O140" s="5">
        <f>_xlfn.XLOOKUP(CustomerCombined[[#This Row],[ID]], Table4[ID], Table4[Sweets], "Not Found", 0)</f>
        <v>4</v>
      </c>
      <c r="P140" s="5">
        <f>_xlfn.XLOOKUP(CustomerCombined[[#This Row],[ID]], Table4[ID], Table4[Premium], "Not Found", 0)</f>
        <v>86</v>
      </c>
      <c r="Q140" s="5">
        <f>_xlfn.XLOOKUP(CustomerCombined[[#This Row],[ID]], Table4[ID], Table4[Regular], "Not Found", 0)</f>
        <v>172</v>
      </c>
      <c r="R140" s="5">
        <f>_xlfn.XLOOKUP(CustomerCombined[[#This Row],[ID]], Table4[ID], Table4[Deals], "Not Found", 0)</f>
        <v>1</v>
      </c>
      <c r="S140" s="5">
        <f>_xlfn.XLOOKUP(CustomerCombined[[#This Row],[ID]], Table4[ID], Table4[Website], "Not Found", 0)</f>
        <v>2</v>
      </c>
      <c r="T140" s="5">
        <f>_xlfn.XLOOKUP(CustomerCombined[[#This Row],[ID]], Table4[ID], Table4[Catalog], "Not Found", 0)</f>
        <v>0</v>
      </c>
      <c r="U140" s="5">
        <f>_xlfn.XLOOKUP(CustomerCombined[[#This Row],[ID]], Table4[ID], Table4[Store], "Not Found", 0)</f>
        <v>3</v>
      </c>
      <c r="V140" s="5">
        <f>_xlfn.XLOOKUP(CustomerCombined[[#This Row],[ID]], Table4[ID], Table4[Visits], "Not Found", 0)</f>
        <v>6</v>
      </c>
      <c r="W140" s="8">
        <f>_xlfn.XLOOKUP(CustomerCombined[[#This Row],[ID]], Table2[ID],Table2[Complaint], "Not Found", 0 )</f>
        <v>0</v>
      </c>
      <c r="X140" s="8">
        <f>_xlfn.XLOOKUP(CustomerCombined[[#This Row],[ID]], Table2[ID],Table2[Pilot], "Not Found", 0 )</f>
        <v>0</v>
      </c>
      <c r="Y140" s="8">
        <f>_xlfn.XLOOKUP(CustomerCombined[[#This Row],[ID]], Table2[ID],Table2[MC1], "Not Found", 0 )</f>
        <v>0</v>
      </c>
      <c r="Z140" s="8">
        <f>_xlfn.XLOOKUP(CustomerCombined[[#This Row],[ID]], Table2[ID],Table2[MC2], "Not Found", 0 )</f>
        <v>0</v>
      </c>
      <c r="AA140" s="8">
        <f>_xlfn.XLOOKUP(CustomerCombined[[#This Row],[ID]], Table2[ID],Table2[MC3], "Not Found", 0 )</f>
        <v>0</v>
      </c>
      <c r="AB140" s="8">
        <f>_xlfn.XLOOKUP(CustomerCombined[[#This Row],[ID]], Table2[ID],Table2[MC4], "Not Found", 0 )</f>
        <v>0</v>
      </c>
      <c r="AC140" s="8">
        <f>_xlfn.XLOOKUP(CustomerCombined[[#This Row],[ID]], Table2[ID],Table2[MC5], "Not Found", 0 )</f>
        <v>0</v>
      </c>
    </row>
    <row r="141" spans="1:29" x14ac:dyDescent="0.3">
      <c r="A141" s="6">
        <v>2805</v>
      </c>
      <c r="B141" s="6">
        <v>129236</v>
      </c>
      <c r="C141" s="6">
        <v>1</v>
      </c>
      <c r="D141" s="6">
        <v>0</v>
      </c>
      <c r="E141" s="6">
        <v>33</v>
      </c>
      <c r="F141" s="5" t="s">
        <v>7</v>
      </c>
      <c r="G141" s="5" t="s">
        <v>11</v>
      </c>
      <c r="H141" s="3" t="s">
        <v>174</v>
      </c>
      <c r="I141" s="5" t="s">
        <v>435</v>
      </c>
      <c r="J141" s="5">
        <f>_xlfn.XLOOKUP(CustomerCombined[[#This Row],[ID]], Table4[ID], Table4[Recency], "Not Found", 0)</f>
        <v>30</v>
      </c>
      <c r="K141" s="5">
        <f>_xlfn.XLOOKUP(CustomerCombined[[#This Row],[ID]], Table4[ID], Table4[Teas], "Not Found", 0)</f>
        <v>164</v>
      </c>
      <c r="L141" s="5">
        <f>_xlfn.XLOOKUP(CustomerCombined[[#This Row],[ID]], Table4[ID], Table4[Fruits], "Not Found", 0)</f>
        <v>18</v>
      </c>
      <c r="M141" s="5">
        <f>_xlfn.XLOOKUP(CustomerCombined[[#This Row],[ID]], Table4[ID], Table4[Meats], "Not Found", 0)</f>
        <v>106</v>
      </c>
      <c r="N141" s="5">
        <f>_xlfn.XLOOKUP(CustomerCombined[[#This Row],[ID]], Table4[ID], Table4[Seafood], "Not Found", 0)</f>
        <v>71</v>
      </c>
      <c r="O141" s="5">
        <f>_xlfn.XLOOKUP(CustomerCombined[[#This Row],[ID]], Table4[ID], Table4[Sweets], "Not Found", 0)</f>
        <v>40</v>
      </c>
      <c r="P141" s="5">
        <f>_xlfn.XLOOKUP(CustomerCombined[[#This Row],[ID]], Table4[ID], Table4[Premium], "Not Found", 0)</f>
        <v>40</v>
      </c>
      <c r="Q141" s="5">
        <f>_xlfn.XLOOKUP(CustomerCombined[[#This Row],[ID]], Table4[ID], Table4[Regular], "Not Found", 0)</f>
        <v>358</v>
      </c>
      <c r="R141" s="5">
        <f>_xlfn.XLOOKUP(CustomerCombined[[#This Row],[ID]], Table4[ID], Table4[Deals], "Not Found", 0)</f>
        <v>2</v>
      </c>
      <c r="S141" s="5">
        <f>_xlfn.XLOOKUP(CustomerCombined[[#This Row],[ID]], Table4[ID], Table4[Website], "Not Found", 0)</f>
        <v>4</v>
      </c>
      <c r="T141" s="5">
        <f>_xlfn.XLOOKUP(CustomerCombined[[#This Row],[ID]], Table4[ID], Table4[Catalog], "Not Found", 0)</f>
        <v>0</v>
      </c>
      <c r="U141" s="5">
        <f>_xlfn.XLOOKUP(CustomerCombined[[#This Row],[ID]], Table4[ID], Table4[Store], "Not Found", 0)</f>
        <v>3</v>
      </c>
      <c r="V141" s="5">
        <f>_xlfn.XLOOKUP(CustomerCombined[[#This Row],[ID]], Table4[ID], Table4[Visits], "Not Found", 0)</f>
        <v>9</v>
      </c>
      <c r="W141" s="8">
        <f>_xlfn.XLOOKUP(CustomerCombined[[#This Row],[ID]], Table2[ID],Table2[Complaint], "Not Found", 0 )</f>
        <v>0</v>
      </c>
      <c r="X141" s="8">
        <f>_xlfn.XLOOKUP(CustomerCombined[[#This Row],[ID]], Table2[ID],Table2[Pilot], "Not Found", 0 )</f>
        <v>0</v>
      </c>
      <c r="Y141" s="8">
        <f>_xlfn.XLOOKUP(CustomerCombined[[#This Row],[ID]], Table2[ID],Table2[MC1], "Not Found", 0 )</f>
        <v>0</v>
      </c>
      <c r="Z141" s="8">
        <f>_xlfn.XLOOKUP(CustomerCombined[[#This Row],[ID]], Table2[ID],Table2[MC2], "Not Found", 0 )</f>
        <v>0</v>
      </c>
      <c r="AA141" s="8">
        <f>_xlfn.XLOOKUP(CustomerCombined[[#This Row],[ID]], Table2[ID],Table2[MC3], "Not Found", 0 )</f>
        <v>0</v>
      </c>
      <c r="AB141" s="8">
        <f>_xlfn.XLOOKUP(CustomerCombined[[#This Row],[ID]], Table2[ID],Table2[MC4], "Not Found", 0 )</f>
        <v>0</v>
      </c>
      <c r="AC141" s="8">
        <f>_xlfn.XLOOKUP(CustomerCombined[[#This Row],[ID]], Table2[ID],Table2[MC5], "Not Found", 0 )</f>
        <v>0</v>
      </c>
    </row>
    <row r="142" spans="1:29" x14ac:dyDescent="0.3">
      <c r="A142" s="6">
        <v>1508</v>
      </c>
      <c r="B142" s="6">
        <v>125545</v>
      </c>
      <c r="C142" s="6">
        <v>1</v>
      </c>
      <c r="D142" s="6">
        <v>0</v>
      </c>
      <c r="E142" s="6">
        <v>33</v>
      </c>
      <c r="F142" s="5" t="s">
        <v>6</v>
      </c>
      <c r="G142" s="5" t="s">
        <v>11</v>
      </c>
      <c r="H142" s="3" t="s">
        <v>401</v>
      </c>
      <c r="I142" s="5" t="s">
        <v>438</v>
      </c>
      <c r="J142" s="5">
        <f>_xlfn.XLOOKUP(CustomerCombined[[#This Row],[ID]], Table4[ID], Table4[Recency], "Not Found", 0)</f>
        <v>35</v>
      </c>
      <c r="K142" s="5">
        <f>_xlfn.XLOOKUP(CustomerCombined[[#This Row],[ID]], Table4[ID], Table4[Teas], "Not Found", 0)</f>
        <v>157</v>
      </c>
      <c r="L142" s="5">
        <f>_xlfn.XLOOKUP(CustomerCombined[[#This Row],[ID]], Table4[ID], Table4[Fruits], "Not Found", 0)</f>
        <v>5</v>
      </c>
      <c r="M142" s="5">
        <f>_xlfn.XLOOKUP(CustomerCombined[[#This Row],[ID]], Table4[ID], Table4[Meats], "Not Found", 0)</f>
        <v>315</v>
      </c>
      <c r="N142" s="5">
        <f>_xlfn.XLOOKUP(CustomerCombined[[#This Row],[ID]], Table4[ID], Table4[Seafood], "Not Found", 0)</f>
        <v>79</v>
      </c>
      <c r="O142" s="5">
        <f>_xlfn.XLOOKUP(CustomerCombined[[#This Row],[ID]], Table4[ID], Table4[Sweets], "Not Found", 0)</f>
        <v>59</v>
      </c>
      <c r="P142" s="5">
        <f>_xlfn.XLOOKUP(CustomerCombined[[#This Row],[ID]], Table4[ID], Table4[Premium], "Not Found", 0)</f>
        <v>418</v>
      </c>
      <c r="Q142" s="5">
        <f>_xlfn.XLOOKUP(CustomerCombined[[#This Row],[ID]], Table4[ID], Table4[Regular], "Not Found", 0)</f>
        <v>197</v>
      </c>
      <c r="R142" s="5">
        <f>_xlfn.XLOOKUP(CustomerCombined[[#This Row],[ID]], Table4[ID], Table4[Deals], "Not Found", 0)</f>
        <v>3</v>
      </c>
      <c r="S142" s="5">
        <f>_xlfn.XLOOKUP(CustomerCombined[[#This Row],[ID]], Table4[ID], Table4[Website], "Not Found", 0)</f>
        <v>2</v>
      </c>
      <c r="T142" s="5">
        <f>_xlfn.XLOOKUP(CustomerCombined[[#This Row],[ID]], Table4[ID], Table4[Catalog], "Not Found", 0)</f>
        <v>2</v>
      </c>
      <c r="U142" s="5">
        <f>_xlfn.XLOOKUP(CustomerCombined[[#This Row],[ID]], Table4[ID], Table4[Store], "Not Found", 0)</f>
        <v>3</v>
      </c>
      <c r="V142" s="5">
        <f>_xlfn.XLOOKUP(CustomerCombined[[#This Row],[ID]], Table4[ID], Table4[Visits], "Not Found", 0)</f>
        <v>6</v>
      </c>
      <c r="W142" s="8">
        <f>_xlfn.XLOOKUP(CustomerCombined[[#This Row],[ID]], Table2[ID],Table2[Complaint], "Not Found", 0 )</f>
        <v>0</v>
      </c>
      <c r="X142" s="8">
        <f>_xlfn.XLOOKUP(CustomerCombined[[#This Row],[ID]], Table2[ID],Table2[Pilot], "Not Found", 0 )</f>
        <v>1</v>
      </c>
      <c r="Y142" s="8">
        <f>_xlfn.XLOOKUP(CustomerCombined[[#This Row],[ID]], Table2[ID],Table2[MC1], "Not Found", 0 )</f>
        <v>0</v>
      </c>
      <c r="Z142" s="8">
        <f>_xlfn.XLOOKUP(CustomerCombined[[#This Row],[ID]], Table2[ID],Table2[MC2], "Not Found", 0 )</f>
        <v>0</v>
      </c>
      <c r="AA142" s="8">
        <f>_xlfn.XLOOKUP(CustomerCombined[[#This Row],[ID]], Table2[ID],Table2[MC3], "Not Found", 0 )</f>
        <v>0</v>
      </c>
      <c r="AB142" s="8">
        <f>_xlfn.XLOOKUP(CustomerCombined[[#This Row],[ID]], Table2[ID],Table2[MC4], "Not Found", 0 )</f>
        <v>0</v>
      </c>
      <c r="AC142" s="8">
        <f>_xlfn.XLOOKUP(CustomerCombined[[#This Row],[ID]], Table2[ID],Table2[MC5], "Not Found", 0 )</f>
        <v>0</v>
      </c>
    </row>
    <row r="143" spans="1:29" x14ac:dyDescent="0.3">
      <c r="A143" s="6">
        <v>2850</v>
      </c>
      <c r="B143" s="6">
        <v>123830</v>
      </c>
      <c r="C143" s="6">
        <v>0</v>
      </c>
      <c r="D143" s="6">
        <v>0</v>
      </c>
      <c r="E143" s="6">
        <v>33</v>
      </c>
      <c r="F143" s="5" t="s">
        <v>7</v>
      </c>
      <c r="G143" s="5" t="s">
        <v>442</v>
      </c>
      <c r="H143" s="3" t="s">
        <v>106</v>
      </c>
      <c r="I143" s="5" t="s">
        <v>436</v>
      </c>
      <c r="J143" s="5">
        <f>_xlfn.XLOOKUP(CustomerCombined[[#This Row],[ID]], Table4[ID], Table4[Recency], "Not Found", 0)</f>
        <v>3</v>
      </c>
      <c r="K143" s="5">
        <f>_xlfn.XLOOKUP(CustomerCombined[[#This Row],[ID]], Table4[ID], Table4[Teas], "Not Found", 0)</f>
        <v>5</v>
      </c>
      <c r="L143" s="5">
        <f>_xlfn.XLOOKUP(CustomerCombined[[#This Row],[ID]], Table4[ID], Table4[Fruits], "Not Found", 0)</f>
        <v>42</v>
      </c>
      <c r="M143" s="5">
        <f>_xlfn.XLOOKUP(CustomerCombined[[#This Row],[ID]], Table4[ID], Table4[Meats], "Not Found", 0)</f>
        <v>31</v>
      </c>
      <c r="N143" s="5">
        <f>_xlfn.XLOOKUP(CustomerCombined[[#This Row],[ID]], Table4[ID], Table4[Seafood], "Not Found", 0)</f>
        <v>21</v>
      </c>
      <c r="O143" s="5">
        <f>_xlfn.XLOOKUP(CustomerCombined[[#This Row],[ID]], Table4[ID], Table4[Sweets], "Not Found", 0)</f>
        <v>42</v>
      </c>
      <c r="P143" s="5">
        <f>_xlfn.XLOOKUP(CustomerCombined[[#This Row],[ID]], Table4[ID], Table4[Premium], "Not Found", 0)</f>
        <v>83</v>
      </c>
      <c r="Q143" s="5">
        <f>_xlfn.XLOOKUP(CustomerCombined[[#This Row],[ID]], Table4[ID], Table4[Regular], "Not Found", 0)</f>
        <v>57</v>
      </c>
      <c r="R143" s="5">
        <f>_xlfn.XLOOKUP(CustomerCombined[[#This Row],[ID]], Table4[ID], Table4[Deals], "Not Found", 0)</f>
        <v>1</v>
      </c>
      <c r="S143" s="5">
        <f>_xlfn.XLOOKUP(CustomerCombined[[#This Row],[ID]], Table4[ID], Table4[Website], "Not Found", 0)</f>
        <v>1</v>
      </c>
      <c r="T143" s="5">
        <f>_xlfn.XLOOKUP(CustomerCombined[[#This Row],[ID]], Table4[ID], Table4[Catalog], "Not Found", 0)</f>
        <v>0</v>
      </c>
      <c r="U143" s="5">
        <f>_xlfn.XLOOKUP(CustomerCombined[[#This Row],[ID]], Table4[ID], Table4[Store], "Not Found", 0)</f>
        <v>3</v>
      </c>
      <c r="V143" s="5">
        <f>_xlfn.XLOOKUP(CustomerCombined[[#This Row],[ID]], Table4[ID], Table4[Visits], "Not Found", 0)</f>
        <v>7</v>
      </c>
      <c r="W143" s="8">
        <f>_xlfn.XLOOKUP(CustomerCombined[[#This Row],[ID]], Table2[ID],Table2[Complaint], "Not Found", 0 )</f>
        <v>0</v>
      </c>
      <c r="X143" s="8">
        <f>_xlfn.XLOOKUP(CustomerCombined[[#This Row],[ID]], Table2[ID],Table2[Pilot], "Not Found", 0 )</f>
        <v>0</v>
      </c>
      <c r="Y143" s="8">
        <f>_xlfn.XLOOKUP(CustomerCombined[[#This Row],[ID]], Table2[ID],Table2[MC1], "Not Found", 0 )</f>
        <v>0</v>
      </c>
      <c r="Z143" s="8">
        <f>_xlfn.XLOOKUP(CustomerCombined[[#This Row],[ID]], Table2[ID],Table2[MC2], "Not Found", 0 )</f>
        <v>0</v>
      </c>
      <c r="AA143" s="8">
        <f>_xlfn.XLOOKUP(CustomerCombined[[#This Row],[ID]], Table2[ID],Table2[MC3], "Not Found", 0 )</f>
        <v>0</v>
      </c>
      <c r="AB143" s="8">
        <f>_xlfn.XLOOKUP(CustomerCombined[[#This Row],[ID]], Table2[ID],Table2[MC4], "Not Found", 0 )</f>
        <v>0</v>
      </c>
      <c r="AC143" s="8">
        <f>_xlfn.XLOOKUP(CustomerCombined[[#This Row],[ID]], Table2[ID],Table2[MC5], "Not Found", 0 )</f>
        <v>0</v>
      </c>
    </row>
    <row r="144" spans="1:29" x14ac:dyDescent="0.3">
      <c r="A144" s="6">
        <v>1382</v>
      </c>
      <c r="B144" s="6">
        <v>123442</v>
      </c>
      <c r="C144" s="6">
        <v>1</v>
      </c>
      <c r="D144" s="6">
        <v>0</v>
      </c>
      <c r="E144" s="6">
        <v>33</v>
      </c>
      <c r="F144" s="5" t="s">
        <v>7</v>
      </c>
      <c r="G144" s="5" t="s">
        <v>11</v>
      </c>
      <c r="H144" s="3" t="s">
        <v>335</v>
      </c>
      <c r="I144" s="5" t="s">
        <v>438</v>
      </c>
      <c r="J144" s="5">
        <f>_xlfn.XLOOKUP(CustomerCombined[[#This Row],[ID]], Table4[ID], Table4[Recency], "Not Found", 0)</f>
        <v>71</v>
      </c>
      <c r="K144" s="5">
        <f>_xlfn.XLOOKUP(CustomerCombined[[#This Row],[ID]], Table4[ID], Table4[Teas], "Not Found", 0)</f>
        <v>11</v>
      </c>
      <c r="L144" s="5">
        <f>_xlfn.XLOOKUP(CustomerCombined[[#This Row],[ID]], Table4[ID], Table4[Fruits], "Not Found", 0)</f>
        <v>0</v>
      </c>
      <c r="M144" s="5">
        <f>_xlfn.XLOOKUP(CustomerCombined[[#This Row],[ID]], Table4[ID], Table4[Meats], "Not Found", 0)</f>
        <v>32</v>
      </c>
      <c r="N144" s="5">
        <f>_xlfn.XLOOKUP(CustomerCombined[[#This Row],[ID]], Table4[ID], Table4[Seafood], "Not Found", 0)</f>
        <v>42</v>
      </c>
      <c r="O144" s="5">
        <f>_xlfn.XLOOKUP(CustomerCombined[[#This Row],[ID]], Table4[ID], Table4[Sweets], "Not Found", 0)</f>
        <v>32</v>
      </c>
      <c r="P144" s="5">
        <f>_xlfn.XLOOKUP(CustomerCombined[[#This Row],[ID]], Table4[ID], Table4[Premium], "Not Found", 0)</f>
        <v>26</v>
      </c>
      <c r="Q144" s="5">
        <f>_xlfn.XLOOKUP(CustomerCombined[[#This Row],[ID]], Table4[ID], Table4[Regular], "Not Found", 0)</f>
        <v>90</v>
      </c>
      <c r="R144" s="5">
        <f>_xlfn.XLOOKUP(CustomerCombined[[#This Row],[ID]], Table4[ID], Table4[Deals], "Not Found", 0)</f>
        <v>1</v>
      </c>
      <c r="S144" s="5">
        <f>_xlfn.XLOOKUP(CustomerCombined[[#This Row],[ID]], Table4[ID], Table4[Website], "Not Found", 0)</f>
        <v>1</v>
      </c>
      <c r="T144" s="5">
        <f>_xlfn.XLOOKUP(CustomerCombined[[#This Row],[ID]], Table4[ID], Table4[Catalog], "Not Found", 0)</f>
        <v>0</v>
      </c>
      <c r="U144" s="5">
        <f>_xlfn.XLOOKUP(CustomerCombined[[#This Row],[ID]], Table4[ID], Table4[Store], "Not Found", 0)</f>
        <v>3</v>
      </c>
      <c r="V144" s="5">
        <f>_xlfn.XLOOKUP(CustomerCombined[[#This Row],[ID]], Table4[ID], Table4[Visits], "Not Found", 0)</f>
        <v>7</v>
      </c>
      <c r="W144" s="8">
        <f>_xlfn.XLOOKUP(CustomerCombined[[#This Row],[ID]], Table2[ID],Table2[Complaint], "Not Found", 0 )</f>
        <v>0</v>
      </c>
      <c r="X144" s="8">
        <f>_xlfn.XLOOKUP(CustomerCombined[[#This Row],[ID]], Table2[ID],Table2[Pilot], "Not Found", 0 )</f>
        <v>0</v>
      </c>
      <c r="Y144" s="8">
        <f>_xlfn.XLOOKUP(CustomerCombined[[#This Row],[ID]], Table2[ID],Table2[MC1], "Not Found", 0 )</f>
        <v>0</v>
      </c>
      <c r="Z144" s="8">
        <f>_xlfn.XLOOKUP(CustomerCombined[[#This Row],[ID]], Table2[ID],Table2[MC2], "Not Found", 0 )</f>
        <v>0</v>
      </c>
      <c r="AA144" s="8">
        <f>_xlfn.XLOOKUP(CustomerCombined[[#This Row],[ID]], Table2[ID],Table2[MC3], "Not Found", 0 )</f>
        <v>0</v>
      </c>
      <c r="AB144" s="8">
        <f>_xlfn.XLOOKUP(CustomerCombined[[#This Row],[ID]], Table2[ID],Table2[MC4], "Not Found", 0 )</f>
        <v>0</v>
      </c>
      <c r="AC144" s="8">
        <f>_xlfn.XLOOKUP(CustomerCombined[[#This Row],[ID]], Table2[ID],Table2[MC5], "Not Found", 0 )</f>
        <v>0</v>
      </c>
    </row>
    <row r="145" spans="1:29" x14ac:dyDescent="0.3">
      <c r="A145" s="6">
        <v>1984</v>
      </c>
      <c r="B145" s="6">
        <v>122434</v>
      </c>
      <c r="C145" s="6">
        <v>1</v>
      </c>
      <c r="D145" s="6">
        <v>0</v>
      </c>
      <c r="E145" s="6">
        <v>33</v>
      </c>
      <c r="F145" s="5" t="s">
        <v>8</v>
      </c>
      <c r="G145" s="5" t="s">
        <v>11</v>
      </c>
      <c r="H145" s="3" t="s">
        <v>310</v>
      </c>
      <c r="I145" s="5" t="s">
        <v>439</v>
      </c>
      <c r="J145" s="5">
        <f>_xlfn.XLOOKUP(CustomerCombined[[#This Row],[ID]], Table4[ID], Table4[Recency], "Not Found", 0)</f>
        <v>25</v>
      </c>
      <c r="K145" s="5">
        <f>_xlfn.XLOOKUP(CustomerCombined[[#This Row],[ID]], Table4[ID], Table4[Teas], "Not Found", 0)</f>
        <v>22</v>
      </c>
      <c r="L145" s="5">
        <f>_xlfn.XLOOKUP(CustomerCombined[[#This Row],[ID]], Table4[ID], Table4[Fruits], "Not Found", 0)</f>
        <v>65</v>
      </c>
      <c r="M145" s="5">
        <f>_xlfn.XLOOKUP(CustomerCombined[[#This Row],[ID]], Table4[ID], Table4[Meats], "Not Found", 0)</f>
        <v>60</v>
      </c>
      <c r="N145" s="5">
        <f>_xlfn.XLOOKUP(CustomerCombined[[#This Row],[ID]], Table4[ID], Table4[Seafood], "Not Found", 0)</f>
        <v>16</v>
      </c>
      <c r="O145" s="5">
        <f>_xlfn.XLOOKUP(CustomerCombined[[#This Row],[ID]], Table4[ID], Table4[Sweets], "Not Found", 0)</f>
        <v>71</v>
      </c>
      <c r="P145" s="5">
        <f>_xlfn.XLOOKUP(CustomerCombined[[#This Row],[ID]], Table4[ID], Table4[Premium], "Not Found", 0)</f>
        <v>82</v>
      </c>
      <c r="Q145" s="5">
        <f>_xlfn.XLOOKUP(CustomerCombined[[#This Row],[ID]], Table4[ID], Table4[Regular], "Not Found", 0)</f>
        <v>153</v>
      </c>
      <c r="R145" s="5">
        <f>_xlfn.XLOOKUP(CustomerCombined[[#This Row],[ID]], Table4[ID], Table4[Deals], "Not Found", 0)</f>
        <v>2</v>
      </c>
      <c r="S145" s="5">
        <f>_xlfn.XLOOKUP(CustomerCombined[[#This Row],[ID]], Table4[ID], Table4[Website], "Not Found", 0)</f>
        <v>2</v>
      </c>
      <c r="T145" s="5">
        <f>_xlfn.XLOOKUP(CustomerCombined[[#This Row],[ID]], Table4[ID], Table4[Catalog], "Not Found", 0)</f>
        <v>0</v>
      </c>
      <c r="U145" s="5">
        <f>_xlfn.XLOOKUP(CustomerCombined[[#This Row],[ID]], Table4[ID], Table4[Store], "Not Found", 0)</f>
        <v>3</v>
      </c>
      <c r="V145" s="5">
        <f>_xlfn.XLOOKUP(CustomerCombined[[#This Row],[ID]], Table4[ID], Table4[Visits], "Not Found", 0)</f>
        <v>8</v>
      </c>
      <c r="W145" s="8">
        <f>_xlfn.XLOOKUP(CustomerCombined[[#This Row],[ID]], Table2[ID],Table2[Complaint], "Not Found", 0 )</f>
        <v>0</v>
      </c>
      <c r="X145" s="8">
        <f>_xlfn.XLOOKUP(CustomerCombined[[#This Row],[ID]], Table2[ID],Table2[Pilot], "Not Found", 0 )</f>
        <v>0</v>
      </c>
      <c r="Y145" s="8">
        <f>_xlfn.XLOOKUP(CustomerCombined[[#This Row],[ID]], Table2[ID],Table2[MC1], "Not Found", 0 )</f>
        <v>0</v>
      </c>
      <c r="Z145" s="8">
        <f>_xlfn.XLOOKUP(CustomerCombined[[#This Row],[ID]], Table2[ID],Table2[MC2], "Not Found", 0 )</f>
        <v>0</v>
      </c>
      <c r="AA145" s="8">
        <f>_xlfn.XLOOKUP(CustomerCombined[[#This Row],[ID]], Table2[ID],Table2[MC3], "Not Found", 0 )</f>
        <v>0</v>
      </c>
      <c r="AB145" s="8">
        <f>_xlfn.XLOOKUP(CustomerCombined[[#This Row],[ID]], Table2[ID],Table2[MC4], "Not Found", 0 )</f>
        <v>0</v>
      </c>
      <c r="AC145" s="8">
        <f>_xlfn.XLOOKUP(CustomerCombined[[#This Row],[ID]], Table2[ID],Table2[MC5], "Not Found", 0 )</f>
        <v>0</v>
      </c>
    </row>
    <row r="146" spans="1:29" x14ac:dyDescent="0.3">
      <c r="A146" s="6">
        <v>1649</v>
      </c>
      <c r="B146" s="6">
        <v>121063</v>
      </c>
      <c r="C146" s="6">
        <v>1</v>
      </c>
      <c r="D146" s="6">
        <v>0</v>
      </c>
      <c r="E146" s="6">
        <v>33</v>
      </c>
      <c r="F146" s="5" t="s">
        <v>7</v>
      </c>
      <c r="G146" s="5" t="s">
        <v>10</v>
      </c>
      <c r="H146" s="3">
        <v>43833</v>
      </c>
      <c r="I146" s="5" t="s">
        <v>434</v>
      </c>
      <c r="J146" s="5">
        <f>_xlfn.XLOOKUP(CustomerCombined[[#This Row],[ID]], Table4[ID], Table4[Recency], "Not Found", 0)</f>
        <v>34</v>
      </c>
      <c r="K146" s="5">
        <f>_xlfn.XLOOKUP(CustomerCombined[[#This Row],[ID]], Table4[ID], Table4[Teas], "Not Found", 0)</f>
        <v>6</v>
      </c>
      <c r="L146" s="5">
        <f>_xlfn.XLOOKUP(CustomerCombined[[#This Row],[ID]], Table4[ID], Table4[Fruits], "Not Found", 0)</f>
        <v>57</v>
      </c>
      <c r="M146" s="5">
        <f>_xlfn.XLOOKUP(CustomerCombined[[#This Row],[ID]], Table4[ID], Table4[Meats], "Not Found", 0)</f>
        <v>63</v>
      </c>
      <c r="N146" s="5">
        <f>_xlfn.XLOOKUP(CustomerCombined[[#This Row],[ID]], Table4[ID], Table4[Seafood], "Not Found", 0)</f>
        <v>109</v>
      </c>
      <c r="O146" s="5">
        <f>_xlfn.XLOOKUP(CustomerCombined[[#This Row],[ID]], Table4[ID], Table4[Sweets], "Not Found", 0)</f>
        <v>17</v>
      </c>
      <c r="P146" s="5">
        <f>_xlfn.XLOOKUP(CustomerCombined[[#This Row],[ID]], Table4[ID], Table4[Premium], "Not Found", 0)</f>
        <v>86</v>
      </c>
      <c r="Q146" s="5">
        <f>_xlfn.XLOOKUP(CustomerCombined[[#This Row],[ID]], Table4[ID], Table4[Regular], "Not Found", 0)</f>
        <v>167</v>
      </c>
      <c r="R146" s="5">
        <f>_xlfn.XLOOKUP(CustomerCombined[[#This Row],[ID]], Table4[ID], Table4[Deals], "Not Found", 0)</f>
        <v>2</v>
      </c>
      <c r="S146" s="5">
        <f>_xlfn.XLOOKUP(CustomerCombined[[#This Row],[ID]], Table4[ID], Table4[Website], "Not Found", 0)</f>
        <v>2</v>
      </c>
      <c r="T146" s="5">
        <f>_xlfn.XLOOKUP(CustomerCombined[[#This Row],[ID]], Table4[ID], Table4[Catalog], "Not Found", 0)</f>
        <v>0</v>
      </c>
      <c r="U146" s="5">
        <f>_xlfn.XLOOKUP(CustomerCombined[[#This Row],[ID]], Table4[ID], Table4[Store], "Not Found", 0)</f>
        <v>3</v>
      </c>
      <c r="V146" s="5">
        <f>_xlfn.XLOOKUP(CustomerCombined[[#This Row],[ID]], Table4[ID], Table4[Visits], "Not Found", 0)</f>
        <v>6</v>
      </c>
      <c r="W146" s="8">
        <f>_xlfn.XLOOKUP(CustomerCombined[[#This Row],[ID]], Table2[ID],Table2[Complaint], "Not Found", 0 )</f>
        <v>0</v>
      </c>
      <c r="X146" s="8">
        <f>_xlfn.XLOOKUP(CustomerCombined[[#This Row],[ID]], Table2[ID],Table2[Pilot], "Not Found", 0 )</f>
        <v>0</v>
      </c>
      <c r="Y146" s="8">
        <f>_xlfn.XLOOKUP(CustomerCombined[[#This Row],[ID]], Table2[ID],Table2[MC1], "Not Found", 0 )</f>
        <v>0</v>
      </c>
      <c r="Z146" s="8">
        <f>_xlfn.XLOOKUP(CustomerCombined[[#This Row],[ID]], Table2[ID],Table2[MC2], "Not Found", 0 )</f>
        <v>0</v>
      </c>
      <c r="AA146" s="8">
        <f>_xlfn.XLOOKUP(CustomerCombined[[#This Row],[ID]], Table2[ID],Table2[MC3], "Not Found", 0 )</f>
        <v>0</v>
      </c>
      <c r="AB146" s="8">
        <f>_xlfn.XLOOKUP(CustomerCombined[[#This Row],[ID]], Table2[ID],Table2[MC4], "Not Found", 0 )</f>
        <v>0</v>
      </c>
      <c r="AC146" s="8">
        <f>_xlfn.XLOOKUP(CustomerCombined[[#This Row],[ID]], Table2[ID],Table2[MC5], "Not Found", 0 )</f>
        <v>0</v>
      </c>
    </row>
    <row r="147" spans="1:29" x14ac:dyDescent="0.3">
      <c r="A147" s="6">
        <v>2332</v>
      </c>
      <c r="B147" s="6">
        <v>118227</v>
      </c>
      <c r="C147" s="6">
        <v>1</v>
      </c>
      <c r="D147" s="6">
        <v>0</v>
      </c>
      <c r="E147" s="6">
        <v>33</v>
      </c>
      <c r="F147" s="5" t="s">
        <v>8</v>
      </c>
      <c r="G147" s="5" t="s">
        <v>11</v>
      </c>
      <c r="H147" s="3" t="s">
        <v>367</v>
      </c>
      <c r="I147" s="5" t="s">
        <v>439</v>
      </c>
      <c r="J147" s="5">
        <f>_xlfn.XLOOKUP(CustomerCombined[[#This Row],[ID]], Table4[ID], Table4[Recency], "Not Found", 0)</f>
        <v>21</v>
      </c>
      <c r="K147" s="5">
        <f>_xlfn.XLOOKUP(CustomerCombined[[#This Row],[ID]], Table4[ID], Table4[Teas], "Not Found", 0)</f>
        <v>6</v>
      </c>
      <c r="L147" s="5">
        <f>_xlfn.XLOOKUP(CustomerCombined[[#This Row],[ID]], Table4[ID], Table4[Fruits], "Not Found", 0)</f>
        <v>13</v>
      </c>
      <c r="M147" s="5">
        <f>_xlfn.XLOOKUP(CustomerCombined[[#This Row],[ID]], Table4[ID], Table4[Meats], "Not Found", 0)</f>
        <v>45</v>
      </c>
      <c r="N147" s="5">
        <f>_xlfn.XLOOKUP(CustomerCombined[[#This Row],[ID]], Table4[ID], Table4[Seafood], "Not Found", 0)</f>
        <v>26</v>
      </c>
      <c r="O147" s="5">
        <f>_xlfn.XLOOKUP(CustomerCombined[[#This Row],[ID]], Table4[ID], Table4[Sweets], "Not Found", 0)</f>
        <v>19</v>
      </c>
      <c r="P147" s="5">
        <f>_xlfn.XLOOKUP(CustomerCombined[[#This Row],[ID]], Table4[ID], Table4[Premium], "Not Found", 0)</f>
        <v>71</v>
      </c>
      <c r="Q147" s="5">
        <f>_xlfn.XLOOKUP(CustomerCombined[[#This Row],[ID]], Table4[ID], Table4[Regular], "Not Found", 0)</f>
        <v>39</v>
      </c>
      <c r="R147" s="5">
        <f>_xlfn.XLOOKUP(CustomerCombined[[#This Row],[ID]], Table4[ID], Table4[Deals], "Not Found", 0)</f>
        <v>1</v>
      </c>
      <c r="S147" s="5">
        <f>_xlfn.XLOOKUP(CustomerCombined[[#This Row],[ID]], Table4[ID], Table4[Website], "Not Found", 0)</f>
        <v>0</v>
      </c>
      <c r="T147" s="5">
        <f>_xlfn.XLOOKUP(CustomerCombined[[#This Row],[ID]], Table4[ID], Table4[Catalog], "Not Found", 0)</f>
        <v>1</v>
      </c>
      <c r="U147" s="5">
        <f>_xlfn.XLOOKUP(CustomerCombined[[#This Row],[ID]], Table4[ID], Table4[Store], "Not Found", 0)</f>
        <v>2</v>
      </c>
      <c r="V147" s="5">
        <f>_xlfn.XLOOKUP(CustomerCombined[[#This Row],[ID]], Table4[ID], Table4[Visits], "Not Found", 0)</f>
        <v>8</v>
      </c>
      <c r="W147" s="8">
        <f>_xlfn.XLOOKUP(CustomerCombined[[#This Row],[ID]], Table2[ID],Table2[Complaint], "Not Found", 0 )</f>
        <v>0</v>
      </c>
      <c r="X147" s="8">
        <f>_xlfn.XLOOKUP(CustomerCombined[[#This Row],[ID]], Table2[ID],Table2[Pilot], "Not Found", 0 )</f>
        <v>0</v>
      </c>
      <c r="Y147" s="8">
        <f>_xlfn.XLOOKUP(CustomerCombined[[#This Row],[ID]], Table2[ID],Table2[MC1], "Not Found", 0 )</f>
        <v>0</v>
      </c>
      <c r="Z147" s="8">
        <f>_xlfn.XLOOKUP(CustomerCombined[[#This Row],[ID]], Table2[ID],Table2[MC2], "Not Found", 0 )</f>
        <v>0</v>
      </c>
      <c r="AA147" s="8">
        <f>_xlfn.XLOOKUP(CustomerCombined[[#This Row],[ID]], Table2[ID],Table2[MC3], "Not Found", 0 )</f>
        <v>0</v>
      </c>
      <c r="AB147" s="8">
        <f>_xlfn.XLOOKUP(CustomerCombined[[#This Row],[ID]], Table2[ID],Table2[MC4], "Not Found", 0 )</f>
        <v>0</v>
      </c>
      <c r="AC147" s="8">
        <f>_xlfn.XLOOKUP(CustomerCombined[[#This Row],[ID]], Table2[ID],Table2[MC5], "Not Found", 0 )</f>
        <v>0</v>
      </c>
    </row>
    <row r="148" spans="1:29" x14ac:dyDescent="0.3">
      <c r="A148" s="6">
        <v>1014</v>
      </c>
      <c r="B148" s="6">
        <v>117323</v>
      </c>
      <c r="C148" s="6">
        <v>0</v>
      </c>
      <c r="D148" s="6">
        <v>0</v>
      </c>
      <c r="E148" s="6">
        <v>33</v>
      </c>
      <c r="F148" s="5" t="s">
        <v>6</v>
      </c>
      <c r="G148" s="5" t="s">
        <v>11</v>
      </c>
      <c r="H148" s="3" t="s">
        <v>384</v>
      </c>
      <c r="I148" s="5" t="s">
        <v>436</v>
      </c>
      <c r="J148" s="5">
        <f>_xlfn.XLOOKUP(CustomerCombined[[#This Row],[ID]], Table4[ID], Table4[Recency], "Not Found", 0)</f>
        <v>38</v>
      </c>
      <c r="K148" s="5">
        <f>_xlfn.XLOOKUP(CustomerCombined[[#This Row],[ID]], Table4[ID], Table4[Teas], "Not Found", 0)</f>
        <v>20</v>
      </c>
      <c r="L148" s="5">
        <f>_xlfn.XLOOKUP(CustomerCombined[[#This Row],[ID]], Table4[ID], Table4[Fruits], "Not Found", 0)</f>
        <v>95</v>
      </c>
      <c r="M148" s="5">
        <f>_xlfn.XLOOKUP(CustomerCombined[[#This Row],[ID]], Table4[ID], Table4[Meats], "Not Found", 0)</f>
        <v>115</v>
      </c>
      <c r="N148" s="5">
        <f>_xlfn.XLOOKUP(CustomerCombined[[#This Row],[ID]], Table4[ID], Table4[Seafood], "Not Found", 0)</f>
        <v>41</v>
      </c>
      <c r="O148" s="5">
        <f>_xlfn.XLOOKUP(CustomerCombined[[#This Row],[ID]], Table4[ID], Table4[Sweets], "Not Found", 0)</f>
        <v>7</v>
      </c>
      <c r="P148" s="5">
        <f>_xlfn.XLOOKUP(CustomerCombined[[#This Row],[ID]], Table4[ID], Table4[Premium], "Not Found", 0)</f>
        <v>34</v>
      </c>
      <c r="Q148" s="5">
        <f>_xlfn.XLOOKUP(CustomerCombined[[#This Row],[ID]], Table4[ID], Table4[Regular], "Not Found", 0)</f>
        <v>244</v>
      </c>
      <c r="R148" s="5">
        <f>_xlfn.XLOOKUP(CustomerCombined[[#This Row],[ID]], Table4[ID], Table4[Deals], "Not Found", 0)</f>
        <v>1</v>
      </c>
      <c r="S148" s="5">
        <f>_xlfn.XLOOKUP(CustomerCombined[[#This Row],[ID]], Table4[ID], Table4[Website], "Not Found", 0)</f>
        <v>1</v>
      </c>
      <c r="T148" s="5">
        <f>_xlfn.XLOOKUP(CustomerCombined[[#This Row],[ID]], Table4[ID], Table4[Catalog], "Not Found", 0)</f>
        <v>0</v>
      </c>
      <c r="U148" s="5">
        <f>_xlfn.XLOOKUP(CustomerCombined[[#This Row],[ID]], Table4[ID], Table4[Store], "Not Found", 0)</f>
        <v>3</v>
      </c>
      <c r="V148" s="5">
        <f>_xlfn.XLOOKUP(CustomerCombined[[#This Row],[ID]], Table4[ID], Table4[Visits], "Not Found", 0)</f>
        <v>8</v>
      </c>
      <c r="W148" s="8">
        <f>_xlfn.XLOOKUP(CustomerCombined[[#This Row],[ID]], Table2[ID],Table2[Complaint], "Not Found", 0 )</f>
        <v>0</v>
      </c>
      <c r="X148" s="8">
        <f>_xlfn.XLOOKUP(CustomerCombined[[#This Row],[ID]], Table2[ID],Table2[Pilot], "Not Found", 0 )</f>
        <v>0</v>
      </c>
      <c r="Y148" s="8">
        <f>_xlfn.XLOOKUP(CustomerCombined[[#This Row],[ID]], Table2[ID],Table2[MC1], "Not Found", 0 )</f>
        <v>0</v>
      </c>
      <c r="Z148" s="8">
        <f>_xlfn.XLOOKUP(CustomerCombined[[#This Row],[ID]], Table2[ID],Table2[MC2], "Not Found", 0 )</f>
        <v>0</v>
      </c>
      <c r="AA148" s="8">
        <f>_xlfn.XLOOKUP(CustomerCombined[[#This Row],[ID]], Table2[ID],Table2[MC3], "Not Found", 0 )</f>
        <v>0</v>
      </c>
      <c r="AB148" s="8">
        <f>_xlfn.XLOOKUP(CustomerCombined[[#This Row],[ID]], Table2[ID],Table2[MC4], "Not Found", 0 )</f>
        <v>0</v>
      </c>
      <c r="AC148" s="8">
        <f>_xlfn.XLOOKUP(CustomerCombined[[#This Row],[ID]], Table2[ID],Table2[MC5], "Not Found", 0 )</f>
        <v>0</v>
      </c>
    </row>
    <row r="149" spans="1:29" x14ac:dyDescent="0.3">
      <c r="A149" s="6">
        <v>2008</v>
      </c>
      <c r="B149" s="6">
        <v>115038</v>
      </c>
      <c r="C149" s="6">
        <v>1</v>
      </c>
      <c r="D149" s="6">
        <v>0</v>
      </c>
      <c r="E149" s="6">
        <v>33</v>
      </c>
      <c r="F149" s="5" t="s">
        <v>7</v>
      </c>
      <c r="G149" s="5" t="s">
        <v>10</v>
      </c>
      <c r="H149" s="3">
        <v>43623</v>
      </c>
      <c r="I149" s="5" t="s">
        <v>439</v>
      </c>
      <c r="J149" s="5">
        <f>_xlfn.XLOOKUP(CustomerCombined[[#This Row],[ID]], Table4[ID], Table4[Recency], "Not Found", 0)</f>
        <v>93</v>
      </c>
      <c r="K149" s="5">
        <f>_xlfn.XLOOKUP(CustomerCombined[[#This Row],[ID]], Table4[ID], Table4[Teas], "Not Found", 0)</f>
        <v>31</v>
      </c>
      <c r="L149" s="5">
        <f>_xlfn.XLOOKUP(CustomerCombined[[#This Row],[ID]], Table4[ID], Table4[Fruits], "Not Found", 0)</f>
        <v>61</v>
      </c>
      <c r="M149" s="5">
        <f>_xlfn.XLOOKUP(CustomerCombined[[#This Row],[ID]], Table4[ID], Table4[Meats], "Not Found", 0)</f>
        <v>84</v>
      </c>
      <c r="N149" s="5">
        <f>_xlfn.XLOOKUP(CustomerCombined[[#This Row],[ID]], Table4[ID], Table4[Seafood], "Not Found", 0)</f>
        <v>145</v>
      </c>
      <c r="O149" s="5">
        <f>_xlfn.XLOOKUP(CustomerCombined[[#This Row],[ID]], Table4[ID], Table4[Sweets], "Not Found", 0)</f>
        <v>92</v>
      </c>
      <c r="P149" s="5">
        <f>_xlfn.XLOOKUP(CustomerCombined[[#This Row],[ID]], Table4[ID], Table4[Premium], "Not Found", 0)</f>
        <v>199</v>
      </c>
      <c r="Q149" s="5">
        <f>_xlfn.XLOOKUP(CustomerCombined[[#This Row],[ID]], Table4[ID], Table4[Regular], "Not Found", 0)</f>
        <v>214</v>
      </c>
      <c r="R149" s="5">
        <f>_xlfn.XLOOKUP(CustomerCombined[[#This Row],[ID]], Table4[ID], Table4[Deals], "Not Found", 0)</f>
        <v>2</v>
      </c>
      <c r="S149" s="5">
        <f>_xlfn.XLOOKUP(CustomerCombined[[#This Row],[ID]], Table4[ID], Table4[Website], "Not Found", 0)</f>
        <v>2</v>
      </c>
      <c r="T149" s="5">
        <f>_xlfn.XLOOKUP(CustomerCombined[[#This Row],[ID]], Table4[ID], Table4[Catalog], "Not Found", 0)</f>
        <v>1</v>
      </c>
      <c r="U149" s="5">
        <f>_xlfn.XLOOKUP(CustomerCombined[[#This Row],[ID]], Table4[ID], Table4[Store], "Not Found", 0)</f>
        <v>2</v>
      </c>
      <c r="V149" s="5">
        <f>_xlfn.XLOOKUP(CustomerCombined[[#This Row],[ID]], Table4[ID], Table4[Visits], "Not Found", 0)</f>
        <v>9</v>
      </c>
      <c r="W149" s="8">
        <f>_xlfn.XLOOKUP(CustomerCombined[[#This Row],[ID]], Table2[ID],Table2[Complaint], "Not Found", 0 )</f>
        <v>0</v>
      </c>
      <c r="X149" s="8">
        <f>_xlfn.XLOOKUP(CustomerCombined[[#This Row],[ID]], Table2[ID],Table2[Pilot], "Not Found", 0 )</f>
        <v>0</v>
      </c>
      <c r="Y149" s="8">
        <f>_xlfn.XLOOKUP(CustomerCombined[[#This Row],[ID]], Table2[ID],Table2[MC1], "Not Found", 0 )</f>
        <v>0</v>
      </c>
      <c r="Z149" s="8">
        <f>_xlfn.XLOOKUP(CustomerCombined[[#This Row],[ID]], Table2[ID],Table2[MC2], "Not Found", 0 )</f>
        <v>0</v>
      </c>
      <c r="AA149" s="8">
        <f>_xlfn.XLOOKUP(CustomerCombined[[#This Row],[ID]], Table2[ID],Table2[MC3], "Not Found", 0 )</f>
        <v>0</v>
      </c>
      <c r="AB149" s="8">
        <f>_xlfn.XLOOKUP(CustomerCombined[[#This Row],[ID]], Table2[ID],Table2[MC4], "Not Found", 0 )</f>
        <v>0</v>
      </c>
      <c r="AC149" s="8">
        <f>_xlfn.XLOOKUP(CustomerCombined[[#This Row],[ID]], Table2[ID],Table2[MC5], "Not Found", 0 )</f>
        <v>0</v>
      </c>
    </row>
    <row r="150" spans="1:29" x14ac:dyDescent="0.3">
      <c r="A150" s="6">
        <v>1843</v>
      </c>
      <c r="B150" s="6">
        <v>107500</v>
      </c>
      <c r="C150" s="6">
        <v>0</v>
      </c>
      <c r="D150" s="6">
        <v>0</v>
      </c>
      <c r="E150" s="6">
        <v>33</v>
      </c>
      <c r="F150" s="5" t="s">
        <v>6</v>
      </c>
      <c r="G150" s="5" t="s">
        <v>11</v>
      </c>
      <c r="H150" s="3" t="s">
        <v>331</v>
      </c>
      <c r="I150" s="5" t="s">
        <v>437</v>
      </c>
      <c r="J150" s="5">
        <f>_xlfn.XLOOKUP(CustomerCombined[[#This Row],[ID]], Table4[ID], Table4[Recency], "Not Found", 0)</f>
        <v>94</v>
      </c>
      <c r="K150" s="5">
        <f>_xlfn.XLOOKUP(CustomerCombined[[#This Row],[ID]], Table4[ID], Table4[Teas], "Not Found", 0)</f>
        <v>0</v>
      </c>
      <c r="L150" s="5">
        <f>_xlfn.XLOOKUP(CustomerCombined[[#This Row],[ID]], Table4[ID], Table4[Fruits], "Not Found", 0)</f>
        <v>29</v>
      </c>
      <c r="M150" s="5">
        <f>_xlfn.XLOOKUP(CustomerCombined[[#This Row],[ID]], Table4[ID], Table4[Meats], "Not Found", 0)</f>
        <v>43</v>
      </c>
      <c r="N150" s="5">
        <f>_xlfn.XLOOKUP(CustomerCombined[[#This Row],[ID]], Table4[ID], Table4[Seafood], "Not Found", 0)</f>
        <v>57</v>
      </c>
      <c r="O150" s="5">
        <f>_xlfn.XLOOKUP(CustomerCombined[[#This Row],[ID]], Table4[ID], Table4[Sweets], "Not Found", 0)</f>
        <v>14</v>
      </c>
      <c r="P150" s="5">
        <f>_xlfn.XLOOKUP(CustomerCombined[[#This Row],[ID]], Table4[ID], Table4[Premium], "Not Found", 0)</f>
        <v>72</v>
      </c>
      <c r="Q150" s="5">
        <f>_xlfn.XLOOKUP(CustomerCombined[[#This Row],[ID]], Table4[ID], Table4[Regular], "Not Found", 0)</f>
        <v>72</v>
      </c>
      <c r="R150" s="5">
        <f>_xlfn.XLOOKUP(CustomerCombined[[#This Row],[ID]], Table4[ID], Table4[Deals], "Not Found", 0)</f>
        <v>1</v>
      </c>
      <c r="S150" s="5">
        <f>_xlfn.XLOOKUP(CustomerCombined[[#This Row],[ID]], Table4[ID], Table4[Website], "Not Found", 0)</f>
        <v>0</v>
      </c>
      <c r="T150" s="5">
        <f>_xlfn.XLOOKUP(CustomerCombined[[#This Row],[ID]], Table4[ID], Table4[Catalog], "Not Found", 0)</f>
        <v>0</v>
      </c>
      <c r="U150" s="5">
        <f>_xlfn.XLOOKUP(CustomerCombined[[#This Row],[ID]], Table4[ID], Table4[Store], "Not Found", 0)</f>
        <v>3</v>
      </c>
      <c r="V150" s="5">
        <f>_xlfn.XLOOKUP(CustomerCombined[[#This Row],[ID]], Table4[ID], Table4[Visits], "Not Found", 0)</f>
        <v>6</v>
      </c>
      <c r="W150" s="8">
        <f>_xlfn.XLOOKUP(CustomerCombined[[#This Row],[ID]], Table2[ID],Table2[Complaint], "Not Found", 0 )</f>
        <v>0</v>
      </c>
      <c r="X150" s="8">
        <f>_xlfn.XLOOKUP(CustomerCombined[[#This Row],[ID]], Table2[ID],Table2[Pilot], "Not Found", 0 )</f>
        <v>0</v>
      </c>
      <c r="Y150" s="8">
        <f>_xlfn.XLOOKUP(CustomerCombined[[#This Row],[ID]], Table2[ID],Table2[MC1], "Not Found", 0 )</f>
        <v>0</v>
      </c>
      <c r="Z150" s="8">
        <f>_xlfn.XLOOKUP(CustomerCombined[[#This Row],[ID]], Table2[ID],Table2[MC2], "Not Found", 0 )</f>
        <v>0</v>
      </c>
      <c r="AA150" s="8">
        <f>_xlfn.XLOOKUP(CustomerCombined[[#This Row],[ID]], Table2[ID],Table2[MC3], "Not Found", 0 )</f>
        <v>0</v>
      </c>
      <c r="AB150" s="8">
        <f>_xlfn.XLOOKUP(CustomerCombined[[#This Row],[ID]], Table2[ID],Table2[MC4], "Not Found", 0 )</f>
        <v>0</v>
      </c>
      <c r="AC150" s="8">
        <f>_xlfn.XLOOKUP(CustomerCombined[[#This Row],[ID]], Table2[ID],Table2[MC5], "Not Found", 0 )</f>
        <v>0</v>
      </c>
    </row>
    <row r="151" spans="1:29" x14ac:dyDescent="0.3">
      <c r="A151" s="6">
        <v>1410</v>
      </c>
      <c r="B151" s="6">
        <v>192910</v>
      </c>
      <c r="C151" s="6">
        <v>0</v>
      </c>
      <c r="D151" s="6">
        <v>0</v>
      </c>
      <c r="E151" s="6">
        <v>34</v>
      </c>
      <c r="F151" s="5" t="s">
        <v>6</v>
      </c>
      <c r="G151" s="5" t="s">
        <v>11</v>
      </c>
      <c r="H151" s="3" t="s">
        <v>58</v>
      </c>
      <c r="I151" s="5" t="s">
        <v>436</v>
      </c>
      <c r="J151" s="5">
        <f>_xlfn.XLOOKUP(CustomerCombined[[#This Row],[ID]], Table4[ID], Table4[Recency], "Not Found", 0)</f>
        <v>42</v>
      </c>
      <c r="K151" s="5">
        <f>_xlfn.XLOOKUP(CustomerCombined[[#This Row],[ID]], Table4[ID], Table4[Teas], "Not Found", 0)</f>
        <v>1144</v>
      </c>
      <c r="L151" s="5">
        <f>_xlfn.XLOOKUP(CustomerCombined[[#This Row],[ID]], Table4[ID], Table4[Fruits], "Not Found", 0)</f>
        <v>284</v>
      </c>
      <c r="M151" s="5">
        <f>_xlfn.XLOOKUP(CustomerCombined[[#This Row],[ID]], Table4[ID], Table4[Meats], "Not Found", 0)</f>
        <v>1644</v>
      </c>
      <c r="N151" s="5">
        <f>_xlfn.XLOOKUP(CustomerCombined[[#This Row],[ID]], Table4[ID], Table4[Seafood], "Not Found", 0)</f>
        <v>372</v>
      </c>
      <c r="O151" s="5">
        <f>_xlfn.XLOOKUP(CustomerCombined[[#This Row],[ID]], Table4[ID], Table4[Sweets], "Not Found", 0)</f>
        <v>214</v>
      </c>
      <c r="P151" s="5">
        <f>_xlfn.XLOOKUP(CustomerCombined[[#This Row],[ID]], Table4[ID], Table4[Premium], "Not Found", 0)</f>
        <v>69</v>
      </c>
      <c r="Q151" s="5">
        <f>_xlfn.XLOOKUP(CustomerCombined[[#This Row],[ID]], Table4[ID], Table4[Regular], "Not Found", 0)</f>
        <v>3590</v>
      </c>
      <c r="R151" s="5">
        <f>_xlfn.XLOOKUP(CustomerCombined[[#This Row],[ID]], Table4[ID], Table4[Deals], "Not Found", 0)</f>
        <v>1</v>
      </c>
      <c r="S151" s="5">
        <f>_xlfn.XLOOKUP(CustomerCombined[[#This Row],[ID]], Table4[ID], Table4[Website], "Not Found", 0)</f>
        <v>6</v>
      </c>
      <c r="T151" s="5">
        <f>_xlfn.XLOOKUP(CustomerCombined[[#This Row],[ID]], Table4[ID], Table4[Catalog], "Not Found", 0)</f>
        <v>7</v>
      </c>
      <c r="U151" s="5">
        <f>_xlfn.XLOOKUP(CustomerCombined[[#This Row],[ID]], Table4[ID], Table4[Store], "Not Found", 0)</f>
        <v>13</v>
      </c>
      <c r="V151" s="5">
        <f>_xlfn.XLOOKUP(CustomerCombined[[#This Row],[ID]], Table4[ID], Table4[Visits], "Not Found", 0)</f>
        <v>1</v>
      </c>
      <c r="W151" s="8">
        <f>_xlfn.XLOOKUP(CustomerCombined[[#This Row],[ID]], Table2[ID],Table2[Complaint], "Not Found", 0 )</f>
        <v>0</v>
      </c>
      <c r="X151" s="8">
        <f>_xlfn.XLOOKUP(CustomerCombined[[#This Row],[ID]], Table2[ID],Table2[Pilot], "Not Found", 0 )</f>
        <v>0</v>
      </c>
      <c r="Y151" s="8">
        <f>_xlfn.XLOOKUP(CustomerCombined[[#This Row],[ID]], Table2[ID],Table2[MC1], "Not Found", 0 )</f>
        <v>1</v>
      </c>
      <c r="Z151" s="8">
        <f>_xlfn.XLOOKUP(CustomerCombined[[#This Row],[ID]], Table2[ID],Table2[MC2], "Not Found", 0 )</f>
        <v>0</v>
      </c>
      <c r="AA151" s="8">
        <f>_xlfn.XLOOKUP(CustomerCombined[[#This Row],[ID]], Table2[ID],Table2[MC3], "Not Found", 0 )</f>
        <v>0</v>
      </c>
      <c r="AB151" s="8">
        <f>_xlfn.XLOOKUP(CustomerCombined[[#This Row],[ID]], Table2[ID],Table2[MC4], "Not Found", 0 )</f>
        <v>1</v>
      </c>
      <c r="AC151" s="8">
        <f>_xlfn.XLOOKUP(CustomerCombined[[#This Row],[ID]], Table2[ID],Table2[MC5], "Not Found", 0 )</f>
        <v>1</v>
      </c>
    </row>
    <row r="152" spans="1:29" x14ac:dyDescent="0.3">
      <c r="A152" s="6">
        <v>1795</v>
      </c>
      <c r="B152" s="6">
        <v>191820</v>
      </c>
      <c r="C152" s="6">
        <v>0</v>
      </c>
      <c r="D152" s="6">
        <v>0</v>
      </c>
      <c r="E152" s="6">
        <v>34</v>
      </c>
      <c r="F152" s="5" t="s">
        <v>8</v>
      </c>
      <c r="G152" s="5" t="s">
        <v>13</v>
      </c>
      <c r="H152" s="3" t="s">
        <v>142</v>
      </c>
      <c r="I152" s="5" t="s">
        <v>437</v>
      </c>
      <c r="J152" s="5">
        <f>_xlfn.XLOOKUP(CustomerCombined[[#This Row],[ID]], Table4[ID], Table4[Recency], "Not Found", 0)</f>
        <v>72</v>
      </c>
      <c r="K152" s="5">
        <f>_xlfn.XLOOKUP(CustomerCombined[[#This Row],[ID]], Table4[ID], Table4[Teas], "Not Found", 0)</f>
        <v>857</v>
      </c>
      <c r="L152" s="5">
        <f>_xlfn.XLOOKUP(CustomerCombined[[#This Row],[ID]], Table4[ID], Table4[Fruits], "Not Found", 0)</f>
        <v>153</v>
      </c>
      <c r="M152" s="5">
        <f>_xlfn.XLOOKUP(CustomerCombined[[#This Row],[ID]], Table4[ID], Table4[Meats], "Not Found", 0)</f>
        <v>1561</v>
      </c>
      <c r="N152" s="5">
        <f>_xlfn.XLOOKUP(CustomerCombined[[#This Row],[ID]], Table4[ID], Table4[Seafood], "Not Found", 0)</f>
        <v>159</v>
      </c>
      <c r="O152" s="5">
        <f>_xlfn.XLOOKUP(CustomerCombined[[#This Row],[ID]], Table4[ID], Table4[Sweets], "Not Found", 0)</f>
        <v>336</v>
      </c>
      <c r="P152" s="5">
        <f>_xlfn.XLOOKUP(CustomerCombined[[#This Row],[ID]], Table4[ID], Table4[Premium], "Not Found", 0)</f>
        <v>63</v>
      </c>
      <c r="Q152" s="5">
        <f>_xlfn.XLOOKUP(CustomerCombined[[#This Row],[ID]], Table4[ID], Table4[Regular], "Not Found", 0)</f>
        <v>3002</v>
      </c>
      <c r="R152" s="5">
        <f>_xlfn.XLOOKUP(CustomerCombined[[#This Row],[ID]], Table4[ID], Table4[Deals], "Not Found", 0)</f>
        <v>0</v>
      </c>
      <c r="S152" s="5">
        <f>_xlfn.XLOOKUP(CustomerCombined[[#This Row],[ID]], Table4[ID], Table4[Website], "Not Found", 0)</f>
        <v>5</v>
      </c>
      <c r="T152" s="5">
        <f>_xlfn.XLOOKUP(CustomerCombined[[#This Row],[ID]], Table4[ID], Table4[Catalog], "Not Found", 0)</f>
        <v>5</v>
      </c>
      <c r="U152" s="5">
        <f>_xlfn.XLOOKUP(CustomerCombined[[#This Row],[ID]], Table4[ID], Table4[Store], "Not Found", 0)</f>
        <v>12</v>
      </c>
      <c r="V152" s="5">
        <f>_xlfn.XLOOKUP(CustomerCombined[[#This Row],[ID]], Table4[ID], Table4[Visits], "Not Found", 0)</f>
        <v>1</v>
      </c>
      <c r="W152" s="8">
        <f>_xlfn.XLOOKUP(CustomerCombined[[#This Row],[ID]], Table2[ID],Table2[Complaint], "Not Found", 0 )</f>
        <v>0</v>
      </c>
      <c r="X152" s="8">
        <f>_xlfn.XLOOKUP(CustomerCombined[[#This Row],[ID]], Table2[ID],Table2[Pilot], "Not Found", 0 )</f>
        <v>0</v>
      </c>
      <c r="Y152" s="8">
        <f>_xlfn.XLOOKUP(CustomerCombined[[#This Row],[ID]], Table2[ID],Table2[MC1], "Not Found", 0 )</f>
        <v>0</v>
      </c>
      <c r="Z152" s="8">
        <f>_xlfn.XLOOKUP(CustomerCombined[[#This Row],[ID]], Table2[ID],Table2[MC2], "Not Found", 0 )</f>
        <v>0</v>
      </c>
      <c r="AA152" s="8">
        <f>_xlfn.XLOOKUP(CustomerCombined[[#This Row],[ID]], Table2[ID],Table2[MC3], "Not Found", 0 )</f>
        <v>0</v>
      </c>
      <c r="AB152" s="8">
        <f>_xlfn.XLOOKUP(CustomerCombined[[#This Row],[ID]], Table2[ID],Table2[MC4], "Not Found", 0 )</f>
        <v>0</v>
      </c>
      <c r="AC152" s="8">
        <f>_xlfn.XLOOKUP(CustomerCombined[[#This Row],[ID]], Table2[ID],Table2[MC5], "Not Found", 0 )</f>
        <v>0</v>
      </c>
    </row>
    <row r="153" spans="1:29" x14ac:dyDescent="0.3">
      <c r="A153" s="6">
        <v>2685</v>
      </c>
      <c r="B153" s="6">
        <v>183512</v>
      </c>
      <c r="C153" s="6">
        <v>0</v>
      </c>
      <c r="D153" s="6">
        <v>0</v>
      </c>
      <c r="E153" s="6">
        <v>34</v>
      </c>
      <c r="F153" s="5" t="s">
        <v>6</v>
      </c>
      <c r="G153" s="5" t="s">
        <v>11</v>
      </c>
      <c r="H153" s="3" t="s">
        <v>32</v>
      </c>
      <c r="I153" s="5" t="s">
        <v>435</v>
      </c>
      <c r="J153" s="5">
        <f>_xlfn.XLOOKUP(CustomerCombined[[#This Row],[ID]], Table4[ID], Table4[Recency], "Not Found", 0)</f>
        <v>31</v>
      </c>
      <c r="K153" s="5">
        <f>_xlfn.XLOOKUP(CustomerCombined[[#This Row],[ID]], Table4[ID], Table4[Teas], "Not Found", 0)</f>
        <v>2329</v>
      </c>
      <c r="L153" s="5">
        <f>_xlfn.XLOOKUP(CustomerCombined[[#This Row],[ID]], Table4[ID], Table4[Fruits], "Not Found", 0)</f>
        <v>134</v>
      </c>
      <c r="M153" s="5">
        <f>_xlfn.XLOOKUP(CustomerCombined[[#This Row],[ID]], Table4[ID], Table4[Meats], "Not Found", 0)</f>
        <v>1835</v>
      </c>
      <c r="N153" s="5">
        <f>_xlfn.XLOOKUP(CustomerCombined[[#This Row],[ID]], Table4[ID], Table4[Seafood], "Not Found", 0)</f>
        <v>176</v>
      </c>
      <c r="O153" s="5">
        <f>_xlfn.XLOOKUP(CustomerCombined[[#This Row],[ID]], Table4[ID], Table4[Sweets], "Not Found", 0)</f>
        <v>44</v>
      </c>
      <c r="P153" s="5">
        <f>_xlfn.XLOOKUP(CustomerCombined[[#This Row],[ID]], Table4[ID], Table4[Premium], "Not Found", 0)</f>
        <v>222</v>
      </c>
      <c r="Q153" s="5">
        <f>_xlfn.XLOOKUP(CustomerCombined[[#This Row],[ID]], Table4[ID], Table4[Regular], "Not Found", 0)</f>
        <v>4296</v>
      </c>
      <c r="R153" s="5">
        <f>_xlfn.XLOOKUP(CustomerCombined[[#This Row],[ID]], Table4[ID], Table4[Deals], "Not Found", 0)</f>
        <v>1</v>
      </c>
      <c r="S153" s="5">
        <f>_xlfn.XLOOKUP(CustomerCombined[[#This Row],[ID]], Table4[ID], Table4[Website], "Not Found", 0)</f>
        <v>4</v>
      </c>
      <c r="T153" s="5">
        <f>_xlfn.XLOOKUP(CustomerCombined[[#This Row],[ID]], Table4[ID], Table4[Catalog], "Not Found", 0)</f>
        <v>7</v>
      </c>
      <c r="U153" s="5">
        <f>_xlfn.XLOOKUP(CustomerCombined[[#This Row],[ID]], Table4[ID], Table4[Store], "Not Found", 0)</f>
        <v>10</v>
      </c>
      <c r="V153" s="5">
        <f>_xlfn.XLOOKUP(CustomerCombined[[#This Row],[ID]], Table4[ID], Table4[Visits], "Not Found", 0)</f>
        <v>1</v>
      </c>
      <c r="W153" s="8">
        <f>_xlfn.XLOOKUP(CustomerCombined[[#This Row],[ID]], Table2[ID],Table2[Complaint], "Not Found", 0 )</f>
        <v>0</v>
      </c>
      <c r="X153" s="8">
        <f>_xlfn.XLOOKUP(CustomerCombined[[#This Row],[ID]], Table2[ID],Table2[Pilot], "Not Found", 0 )</f>
        <v>1</v>
      </c>
      <c r="Y153" s="8">
        <f>_xlfn.XLOOKUP(CustomerCombined[[#This Row],[ID]], Table2[ID],Table2[MC1], "Not Found", 0 )</f>
        <v>1</v>
      </c>
      <c r="Z153" s="8">
        <f>_xlfn.XLOOKUP(CustomerCombined[[#This Row],[ID]], Table2[ID],Table2[MC2], "Not Found", 0 )</f>
        <v>1</v>
      </c>
      <c r="AA153" s="8">
        <f>_xlfn.XLOOKUP(CustomerCombined[[#This Row],[ID]], Table2[ID],Table2[MC3], "Not Found", 0 )</f>
        <v>1</v>
      </c>
      <c r="AB153" s="8">
        <f>_xlfn.XLOOKUP(CustomerCombined[[#This Row],[ID]], Table2[ID],Table2[MC4], "Not Found", 0 )</f>
        <v>0</v>
      </c>
      <c r="AC153" s="8">
        <f>_xlfn.XLOOKUP(CustomerCombined[[#This Row],[ID]], Table2[ID],Table2[MC5], "Not Found", 0 )</f>
        <v>1</v>
      </c>
    </row>
    <row r="154" spans="1:29" x14ac:dyDescent="0.3">
      <c r="A154" s="6">
        <v>1905</v>
      </c>
      <c r="B154" s="6">
        <v>183033</v>
      </c>
      <c r="C154" s="6">
        <v>1</v>
      </c>
      <c r="D154" s="6">
        <v>0</v>
      </c>
      <c r="E154" s="6">
        <v>34</v>
      </c>
      <c r="F154" s="5" t="s">
        <v>8</v>
      </c>
      <c r="G154" s="5" t="s">
        <v>11</v>
      </c>
      <c r="H154" s="3" t="s">
        <v>47</v>
      </c>
      <c r="I154" s="5" t="s">
        <v>435</v>
      </c>
      <c r="J154" s="5">
        <f>_xlfn.XLOOKUP(CustomerCombined[[#This Row],[ID]], Table4[ID], Table4[Recency], "Not Found", 0)</f>
        <v>82</v>
      </c>
      <c r="K154" s="5">
        <f>_xlfn.XLOOKUP(CustomerCombined[[#This Row],[ID]], Table4[ID], Table4[Teas], "Not Found", 0)</f>
        <v>1790</v>
      </c>
      <c r="L154" s="5">
        <f>_xlfn.XLOOKUP(CustomerCombined[[#This Row],[ID]], Table4[ID], Table4[Fruits], "Not Found", 0)</f>
        <v>218</v>
      </c>
      <c r="M154" s="5">
        <f>_xlfn.XLOOKUP(CustomerCombined[[#This Row],[ID]], Table4[ID], Table4[Meats], "Not Found", 0)</f>
        <v>950</v>
      </c>
      <c r="N154" s="5">
        <f>_xlfn.XLOOKUP(CustomerCombined[[#This Row],[ID]], Table4[ID], Table4[Seafood], "Not Found", 0)</f>
        <v>522</v>
      </c>
      <c r="O154" s="5">
        <f>_xlfn.XLOOKUP(CustomerCombined[[#This Row],[ID]], Table4[ID], Table4[Sweets], "Not Found", 0)</f>
        <v>328</v>
      </c>
      <c r="P154" s="5">
        <f>_xlfn.XLOOKUP(CustomerCombined[[#This Row],[ID]], Table4[ID], Table4[Premium], "Not Found", 0)</f>
        <v>73</v>
      </c>
      <c r="Q154" s="5">
        <f>_xlfn.XLOOKUP(CustomerCombined[[#This Row],[ID]], Table4[ID], Table4[Regular], "Not Found", 0)</f>
        <v>3736</v>
      </c>
      <c r="R154" s="5">
        <f>_xlfn.XLOOKUP(CustomerCombined[[#This Row],[ID]], Table4[ID], Table4[Deals], "Not Found", 0)</f>
        <v>1</v>
      </c>
      <c r="S154" s="5">
        <f>_xlfn.XLOOKUP(CustomerCombined[[#This Row],[ID]], Table4[ID], Table4[Website], "Not Found", 0)</f>
        <v>11</v>
      </c>
      <c r="T154" s="5">
        <f>_xlfn.XLOOKUP(CustomerCombined[[#This Row],[ID]], Table4[ID], Table4[Catalog], "Not Found", 0)</f>
        <v>4</v>
      </c>
      <c r="U154" s="5">
        <f>_xlfn.XLOOKUP(CustomerCombined[[#This Row],[ID]], Table4[ID], Table4[Store], "Not Found", 0)</f>
        <v>10</v>
      </c>
      <c r="V154" s="5">
        <f>_xlfn.XLOOKUP(CustomerCombined[[#This Row],[ID]], Table4[ID], Table4[Visits], "Not Found", 0)</f>
        <v>5</v>
      </c>
      <c r="W154" s="8">
        <f>_xlfn.XLOOKUP(CustomerCombined[[#This Row],[ID]], Table2[ID],Table2[Complaint], "Not Found", 0 )</f>
        <v>0</v>
      </c>
      <c r="X154" s="8">
        <f>_xlfn.XLOOKUP(CustomerCombined[[#This Row],[ID]], Table2[ID],Table2[Pilot], "Not Found", 0 )</f>
        <v>0</v>
      </c>
      <c r="Y154" s="8">
        <f>_xlfn.XLOOKUP(CustomerCombined[[#This Row],[ID]], Table2[ID],Table2[MC1], "Not Found", 0 )</f>
        <v>1</v>
      </c>
      <c r="Z154" s="8">
        <f>_xlfn.XLOOKUP(CustomerCombined[[#This Row],[ID]], Table2[ID],Table2[MC2], "Not Found", 0 )</f>
        <v>0</v>
      </c>
      <c r="AA154" s="8">
        <f>_xlfn.XLOOKUP(CustomerCombined[[#This Row],[ID]], Table2[ID],Table2[MC3], "Not Found", 0 )</f>
        <v>0</v>
      </c>
      <c r="AB154" s="8">
        <f>_xlfn.XLOOKUP(CustomerCombined[[#This Row],[ID]], Table2[ID],Table2[MC4], "Not Found", 0 )</f>
        <v>0</v>
      </c>
      <c r="AC154" s="8">
        <f>_xlfn.XLOOKUP(CustomerCombined[[#This Row],[ID]], Table2[ID],Table2[MC5], "Not Found", 0 )</f>
        <v>0</v>
      </c>
    </row>
    <row r="155" spans="1:29" x14ac:dyDescent="0.3">
      <c r="A155" s="6">
        <v>3096</v>
      </c>
      <c r="B155" s="6">
        <v>182333</v>
      </c>
      <c r="C155" s="6">
        <v>0</v>
      </c>
      <c r="D155" s="6">
        <v>0</v>
      </c>
      <c r="E155" s="6">
        <v>34</v>
      </c>
      <c r="F155" s="5" t="s">
        <v>6</v>
      </c>
      <c r="G155" s="5" t="s">
        <v>13</v>
      </c>
      <c r="H155" s="3">
        <v>43564</v>
      </c>
      <c r="I155" s="5" t="s">
        <v>436</v>
      </c>
      <c r="J155" s="5">
        <f>_xlfn.XLOOKUP(CustomerCombined[[#This Row],[ID]], Table4[ID], Table4[Recency], "Not Found", 0)</f>
        <v>60</v>
      </c>
      <c r="K155" s="5">
        <f>_xlfn.XLOOKUP(CustomerCombined[[#This Row],[ID]], Table4[ID], Table4[Teas], "Not Found", 0)</f>
        <v>2903</v>
      </c>
      <c r="L155" s="5">
        <f>_xlfn.XLOOKUP(CustomerCombined[[#This Row],[ID]], Table4[ID], Table4[Fruits], "Not Found", 0)</f>
        <v>0</v>
      </c>
      <c r="M155" s="5">
        <f>_xlfn.XLOOKUP(CustomerCombined[[#This Row],[ID]], Table4[ID], Table4[Meats], "Not Found", 0)</f>
        <v>795</v>
      </c>
      <c r="N155" s="5">
        <f>_xlfn.XLOOKUP(CustomerCombined[[#This Row],[ID]], Table4[ID], Table4[Seafood], "Not Found", 0)</f>
        <v>102</v>
      </c>
      <c r="O155" s="5">
        <f>_xlfn.XLOOKUP(CustomerCombined[[#This Row],[ID]], Table4[ID], Table4[Sweets], "Not Found", 0)</f>
        <v>197</v>
      </c>
      <c r="P155" s="5">
        <f>_xlfn.XLOOKUP(CustomerCombined[[#This Row],[ID]], Table4[ID], Table4[Premium], "Not Found", 0)</f>
        <v>38</v>
      </c>
      <c r="Q155" s="5">
        <f>_xlfn.XLOOKUP(CustomerCombined[[#This Row],[ID]], Table4[ID], Table4[Regular], "Not Found", 0)</f>
        <v>3960</v>
      </c>
      <c r="R155" s="5">
        <f>_xlfn.XLOOKUP(CustomerCombined[[#This Row],[ID]], Table4[ID], Table4[Deals], "Not Found", 0)</f>
        <v>1</v>
      </c>
      <c r="S155" s="5">
        <f>_xlfn.XLOOKUP(CustomerCombined[[#This Row],[ID]], Table4[ID], Table4[Website], "Not Found", 0)</f>
        <v>4</v>
      </c>
      <c r="T155" s="5">
        <f>_xlfn.XLOOKUP(CustomerCombined[[#This Row],[ID]], Table4[ID], Table4[Catalog], "Not Found", 0)</f>
        <v>3</v>
      </c>
      <c r="U155" s="5">
        <f>_xlfn.XLOOKUP(CustomerCombined[[#This Row],[ID]], Table4[ID], Table4[Store], "Not Found", 0)</f>
        <v>10</v>
      </c>
      <c r="V155" s="5">
        <f>_xlfn.XLOOKUP(CustomerCombined[[#This Row],[ID]], Table4[ID], Table4[Visits], "Not Found", 0)</f>
        <v>2</v>
      </c>
      <c r="W155" s="8">
        <f>_xlfn.XLOOKUP(CustomerCombined[[#This Row],[ID]], Table2[ID],Table2[Complaint], "Not Found", 0 )</f>
        <v>0</v>
      </c>
      <c r="X155" s="8">
        <f>_xlfn.XLOOKUP(CustomerCombined[[#This Row],[ID]], Table2[ID],Table2[Pilot], "Not Found", 0 )</f>
        <v>1</v>
      </c>
      <c r="Y155" s="8">
        <f>_xlfn.XLOOKUP(CustomerCombined[[#This Row],[ID]], Table2[ID],Table2[MC1], "Not Found", 0 )</f>
        <v>0</v>
      </c>
      <c r="Z155" s="8">
        <f>_xlfn.XLOOKUP(CustomerCombined[[#This Row],[ID]], Table2[ID],Table2[MC2], "Not Found", 0 )</f>
        <v>0</v>
      </c>
      <c r="AA155" s="8">
        <f>_xlfn.XLOOKUP(CustomerCombined[[#This Row],[ID]], Table2[ID],Table2[MC3], "Not Found", 0 )</f>
        <v>0</v>
      </c>
      <c r="AB155" s="8">
        <f>_xlfn.XLOOKUP(CustomerCombined[[#This Row],[ID]], Table2[ID],Table2[MC4], "Not Found", 0 )</f>
        <v>0</v>
      </c>
      <c r="AC155" s="8">
        <f>_xlfn.XLOOKUP(CustomerCombined[[#This Row],[ID]], Table2[ID],Table2[MC5], "Not Found", 0 )</f>
        <v>1</v>
      </c>
    </row>
    <row r="156" spans="1:29" x14ac:dyDescent="0.3">
      <c r="A156" s="6">
        <v>2078</v>
      </c>
      <c r="B156" s="6">
        <v>180910</v>
      </c>
      <c r="C156" s="6">
        <v>0</v>
      </c>
      <c r="D156" s="6">
        <v>0</v>
      </c>
      <c r="E156" s="6">
        <v>34</v>
      </c>
      <c r="F156" s="5" t="s">
        <v>7</v>
      </c>
      <c r="G156" s="5" t="s">
        <v>442</v>
      </c>
      <c r="H156" s="3">
        <v>43650</v>
      </c>
      <c r="I156" s="5" t="s">
        <v>438</v>
      </c>
      <c r="J156" s="5">
        <f>_xlfn.XLOOKUP(CustomerCombined[[#This Row],[ID]], Table4[ID], Table4[Recency], "Not Found", 0)</f>
        <v>71</v>
      </c>
      <c r="K156" s="5">
        <f>_xlfn.XLOOKUP(CustomerCombined[[#This Row],[ID]], Table4[ID], Table4[Teas], "Not Found", 0)</f>
        <v>358</v>
      </c>
      <c r="L156" s="5">
        <f>_xlfn.XLOOKUP(CustomerCombined[[#This Row],[ID]], Table4[ID], Table4[Fruits], "Not Found", 0)</f>
        <v>179</v>
      </c>
      <c r="M156" s="5">
        <f>_xlfn.XLOOKUP(CustomerCombined[[#This Row],[ID]], Table4[ID], Table4[Meats], "Not Found", 0)</f>
        <v>825</v>
      </c>
      <c r="N156" s="5">
        <f>_xlfn.XLOOKUP(CustomerCombined[[#This Row],[ID]], Table4[ID], Table4[Seafood], "Not Found", 0)</f>
        <v>150</v>
      </c>
      <c r="O156" s="5">
        <f>_xlfn.XLOOKUP(CustomerCombined[[#This Row],[ID]], Table4[ID], Table4[Sweets], "Not Found", 0)</f>
        <v>87</v>
      </c>
      <c r="P156" s="5">
        <f>_xlfn.XLOOKUP(CustomerCombined[[#This Row],[ID]], Table4[ID], Table4[Premium], "Not Found", 0)</f>
        <v>92</v>
      </c>
      <c r="Q156" s="5">
        <f>_xlfn.XLOOKUP(CustomerCombined[[#This Row],[ID]], Table4[ID], Table4[Regular], "Not Found", 0)</f>
        <v>1507</v>
      </c>
      <c r="R156" s="5">
        <f>_xlfn.XLOOKUP(CustomerCombined[[#This Row],[ID]], Table4[ID], Table4[Deals], "Not Found", 0)</f>
        <v>1</v>
      </c>
      <c r="S156" s="5">
        <f>_xlfn.XLOOKUP(CustomerCombined[[#This Row],[ID]], Table4[ID], Table4[Website], "Not Found", 0)</f>
        <v>3</v>
      </c>
      <c r="T156" s="5">
        <f>_xlfn.XLOOKUP(CustomerCombined[[#This Row],[ID]], Table4[ID], Table4[Catalog], "Not Found", 0)</f>
        <v>3</v>
      </c>
      <c r="U156" s="5">
        <f>_xlfn.XLOOKUP(CustomerCombined[[#This Row],[ID]], Table4[ID], Table4[Store], "Not Found", 0)</f>
        <v>8</v>
      </c>
      <c r="V156" s="5">
        <f>_xlfn.XLOOKUP(CustomerCombined[[#This Row],[ID]], Table4[ID], Table4[Visits], "Not Found", 0)</f>
        <v>1</v>
      </c>
      <c r="W156" s="8">
        <f>_xlfn.XLOOKUP(CustomerCombined[[#This Row],[ID]], Table2[ID],Table2[Complaint], "Not Found", 0 )</f>
        <v>0</v>
      </c>
      <c r="X156" s="8">
        <f>_xlfn.XLOOKUP(CustomerCombined[[#This Row],[ID]], Table2[ID],Table2[Pilot], "Not Found", 0 )</f>
        <v>0</v>
      </c>
      <c r="Y156" s="8">
        <f>_xlfn.XLOOKUP(CustomerCombined[[#This Row],[ID]], Table2[ID],Table2[MC1], "Not Found", 0 )</f>
        <v>0</v>
      </c>
      <c r="Z156" s="8">
        <f>_xlfn.XLOOKUP(CustomerCombined[[#This Row],[ID]], Table2[ID],Table2[MC2], "Not Found", 0 )</f>
        <v>0</v>
      </c>
      <c r="AA156" s="8">
        <f>_xlfn.XLOOKUP(CustomerCombined[[#This Row],[ID]], Table2[ID],Table2[MC3], "Not Found", 0 )</f>
        <v>0</v>
      </c>
      <c r="AB156" s="8">
        <f>_xlfn.XLOOKUP(CustomerCombined[[#This Row],[ID]], Table2[ID],Table2[MC4], "Not Found", 0 )</f>
        <v>0</v>
      </c>
      <c r="AC156" s="8">
        <f>_xlfn.XLOOKUP(CustomerCombined[[#This Row],[ID]], Table2[ID],Table2[MC5], "Not Found", 0 )</f>
        <v>0</v>
      </c>
    </row>
    <row r="157" spans="1:29" x14ac:dyDescent="0.3">
      <c r="A157" s="6">
        <v>2647</v>
      </c>
      <c r="B157" s="6">
        <v>180141</v>
      </c>
      <c r="C157" s="6">
        <v>0</v>
      </c>
      <c r="D157" s="6">
        <v>0</v>
      </c>
      <c r="E157" s="6">
        <v>34</v>
      </c>
      <c r="F157" s="5" t="s">
        <v>6</v>
      </c>
      <c r="G157" s="5" t="s">
        <v>12</v>
      </c>
      <c r="H157" s="3" t="s">
        <v>329</v>
      </c>
      <c r="I157" s="5" t="s">
        <v>437</v>
      </c>
      <c r="J157" s="5">
        <f>_xlfn.XLOOKUP(CustomerCombined[[#This Row],[ID]], Table4[ID], Table4[Recency], "Not Found", 0)</f>
        <v>20</v>
      </c>
      <c r="K157" s="5">
        <f>_xlfn.XLOOKUP(CustomerCombined[[#This Row],[ID]], Table4[ID], Table4[Teas], "Not Found", 0)</f>
        <v>2661</v>
      </c>
      <c r="L157" s="5">
        <f>_xlfn.XLOOKUP(CustomerCombined[[#This Row],[ID]], Table4[ID], Table4[Fruits], "Not Found", 0)</f>
        <v>229</v>
      </c>
      <c r="M157" s="5">
        <f>_xlfn.XLOOKUP(CustomerCombined[[#This Row],[ID]], Table4[ID], Table4[Meats], "Not Found", 0)</f>
        <v>1513</v>
      </c>
      <c r="N157" s="5">
        <f>_xlfn.XLOOKUP(CustomerCombined[[#This Row],[ID]], Table4[ID], Table4[Seafood], "Not Found", 0)</f>
        <v>117</v>
      </c>
      <c r="O157" s="5">
        <f>_xlfn.XLOOKUP(CustomerCombined[[#This Row],[ID]], Table4[ID], Table4[Sweets], "Not Found", 0)</f>
        <v>90</v>
      </c>
      <c r="P157" s="5">
        <f>_xlfn.XLOOKUP(CustomerCombined[[#This Row],[ID]], Table4[ID], Table4[Premium], "Not Found", 0)</f>
        <v>90</v>
      </c>
      <c r="Q157" s="5">
        <f>_xlfn.XLOOKUP(CustomerCombined[[#This Row],[ID]], Table4[ID], Table4[Regular], "Not Found", 0)</f>
        <v>4520</v>
      </c>
      <c r="R157" s="5">
        <f>_xlfn.XLOOKUP(CustomerCombined[[#This Row],[ID]], Table4[ID], Table4[Deals], "Not Found", 0)</f>
        <v>1</v>
      </c>
      <c r="S157" s="5">
        <f>_xlfn.XLOOKUP(CustomerCombined[[#This Row],[ID]], Table4[ID], Table4[Website], "Not Found", 0)</f>
        <v>7</v>
      </c>
      <c r="T157" s="5">
        <f>_xlfn.XLOOKUP(CustomerCombined[[#This Row],[ID]], Table4[ID], Table4[Catalog], "Not Found", 0)</f>
        <v>4</v>
      </c>
      <c r="U157" s="5">
        <f>_xlfn.XLOOKUP(CustomerCombined[[#This Row],[ID]], Table4[ID], Table4[Store], "Not Found", 0)</f>
        <v>10</v>
      </c>
      <c r="V157" s="5">
        <f>_xlfn.XLOOKUP(CustomerCombined[[#This Row],[ID]], Table4[ID], Table4[Visits], "Not Found", 0)</f>
        <v>6</v>
      </c>
      <c r="W157" s="8">
        <f>_xlfn.XLOOKUP(CustomerCombined[[#This Row],[ID]], Table2[ID],Table2[Complaint], "Not Found", 0 )</f>
        <v>0</v>
      </c>
      <c r="X157" s="8">
        <f>_xlfn.XLOOKUP(CustomerCombined[[#This Row],[ID]], Table2[ID],Table2[Pilot], "Not Found", 0 )</f>
        <v>1</v>
      </c>
      <c r="Y157" s="8">
        <f>_xlfn.XLOOKUP(CustomerCombined[[#This Row],[ID]], Table2[ID],Table2[MC1], "Not Found", 0 )</f>
        <v>0</v>
      </c>
      <c r="Z157" s="8">
        <f>_xlfn.XLOOKUP(CustomerCombined[[#This Row],[ID]], Table2[ID],Table2[MC2], "Not Found", 0 )</f>
        <v>0</v>
      </c>
      <c r="AA157" s="8">
        <f>_xlfn.XLOOKUP(CustomerCombined[[#This Row],[ID]], Table2[ID],Table2[MC3], "Not Found", 0 )</f>
        <v>0</v>
      </c>
      <c r="AB157" s="8">
        <f>_xlfn.XLOOKUP(CustomerCombined[[#This Row],[ID]], Table2[ID],Table2[MC4], "Not Found", 0 )</f>
        <v>0</v>
      </c>
      <c r="AC157" s="8">
        <f>_xlfn.XLOOKUP(CustomerCombined[[#This Row],[ID]], Table2[ID],Table2[MC5], "Not Found", 0 )</f>
        <v>1</v>
      </c>
    </row>
    <row r="158" spans="1:29" x14ac:dyDescent="0.3">
      <c r="A158" s="6">
        <v>2489</v>
      </c>
      <c r="B158" s="6">
        <v>179529</v>
      </c>
      <c r="C158" s="6">
        <v>0</v>
      </c>
      <c r="D158" s="6">
        <v>0</v>
      </c>
      <c r="E158" s="6">
        <v>34</v>
      </c>
      <c r="F158" s="5" t="s">
        <v>6</v>
      </c>
      <c r="G158" s="5" t="s">
        <v>11</v>
      </c>
      <c r="H158" s="3">
        <v>43840</v>
      </c>
      <c r="I158" s="5" t="s">
        <v>434</v>
      </c>
      <c r="J158" s="5">
        <f>_xlfn.XLOOKUP(CustomerCombined[[#This Row],[ID]], Table4[ID], Table4[Recency], "Not Found", 0)</f>
        <v>1</v>
      </c>
      <c r="K158" s="5">
        <f>_xlfn.XLOOKUP(CustomerCombined[[#This Row],[ID]], Table4[ID], Table4[Teas], "Not Found", 0)</f>
        <v>955</v>
      </c>
      <c r="L158" s="5">
        <f>_xlfn.XLOOKUP(CustomerCombined[[#This Row],[ID]], Table4[ID], Table4[Fruits], "Not Found", 0)</f>
        <v>95</v>
      </c>
      <c r="M158" s="5">
        <f>_xlfn.XLOOKUP(CustomerCombined[[#This Row],[ID]], Table4[ID], Table4[Meats], "Not Found", 0)</f>
        <v>1594</v>
      </c>
      <c r="N158" s="5">
        <f>_xlfn.XLOOKUP(CustomerCombined[[#This Row],[ID]], Table4[ID], Table4[Seafood], "Not Found", 0)</f>
        <v>165</v>
      </c>
      <c r="O158" s="5">
        <f>_xlfn.XLOOKUP(CustomerCombined[[#This Row],[ID]], Table4[ID], Table4[Sweets], "Not Found", 0)</f>
        <v>445</v>
      </c>
      <c r="P158" s="5">
        <f>_xlfn.XLOOKUP(CustomerCombined[[#This Row],[ID]], Table4[ID], Table4[Premium], "Not Found", 0)</f>
        <v>445</v>
      </c>
      <c r="Q158" s="5">
        <f>_xlfn.XLOOKUP(CustomerCombined[[#This Row],[ID]], Table4[ID], Table4[Regular], "Not Found", 0)</f>
        <v>2808</v>
      </c>
      <c r="R158" s="5">
        <f>_xlfn.XLOOKUP(CustomerCombined[[#This Row],[ID]], Table4[ID], Table4[Deals], "Not Found", 0)</f>
        <v>1</v>
      </c>
      <c r="S158" s="5">
        <f>_xlfn.XLOOKUP(CustomerCombined[[#This Row],[ID]], Table4[ID], Table4[Website], "Not Found", 0)</f>
        <v>4</v>
      </c>
      <c r="T158" s="5">
        <f>_xlfn.XLOOKUP(CustomerCombined[[#This Row],[ID]], Table4[ID], Table4[Catalog], "Not Found", 0)</f>
        <v>8</v>
      </c>
      <c r="U158" s="5">
        <f>_xlfn.XLOOKUP(CustomerCombined[[#This Row],[ID]], Table4[ID], Table4[Store], "Not Found", 0)</f>
        <v>9</v>
      </c>
      <c r="V158" s="5">
        <f>_xlfn.XLOOKUP(CustomerCombined[[#This Row],[ID]], Table4[ID], Table4[Visits], "Not Found", 0)</f>
        <v>2</v>
      </c>
      <c r="W158" s="8">
        <f>_xlfn.XLOOKUP(CustomerCombined[[#This Row],[ID]], Table2[ID],Table2[Complaint], "Not Found", 0 )</f>
        <v>0</v>
      </c>
      <c r="X158" s="8">
        <f>_xlfn.XLOOKUP(CustomerCombined[[#This Row],[ID]], Table2[ID],Table2[Pilot], "Not Found", 0 )</f>
        <v>0</v>
      </c>
      <c r="Y158" s="8">
        <f>_xlfn.XLOOKUP(CustomerCombined[[#This Row],[ID]], Table2[ID],Table2[MC1], "Not Found", 0 )</f>
        <v>0</v>
      </c>
      <c r="Z158" s="8">
        <f>_xlfn.XLOOKUP(CustomerCombined[[#This Row],[ID]], Table2[ID],Table2[MC2], "Not Found", 0 )</f>
        <v>0</v>
      </c>
      <c r="AA158" s="8">
        <f>_xlfn.XLOOKUP(CustomerCombined[[#This Row],[ID]], Table2[ID],Table2[MC3], "Not Found", 0 )</f>
        <v>0</v>
      </c>
      <c r="AB158" s="8">
        <f>_xlfn.XLOOKUP(CustomerCombined[[#This Row],[ID]], Table2[ID],Table2[MC4], "Not Found", 0 )</f>
        <v>0</v>
      </c>
      <c r="AC158" s="8">
        <f>_xlfn.XLOOKUP(CustomerCombined[[#This Row],[ID]], Table2[ID],Table2[MC5], "Not Found", 0 )</f>
        <v>0</v>
      </c>
    </row>
    <row r="159" spans="1:29" x14ac:dyDescent="0.3">
      <c r="A159" s="6">
        <v>2802</v>
      </c>
      <c r="B159" s="6">
        <v>178394</v>
      </c>
      <c r="C159" s="6">
        <v>0</v>
      </c>
      <c r="D159" s="6">
        <v>0</v>
      </c>
      <c r="E159" s="6">
        <v>34</v>
      </c>
      <c r="F159" s="5" t="s">
        <v>8</v>
      </c>
      <c r="G159" s="5" t="s">
        <v>11</v>
      </c>
      <c r="H159" s="3" t="s">
        <v>308</v>
      </c>
      <c r="I159" s="5" t="s">
        <v>436</v>
      </c>
      <c r="J159" s="5">
        <f>_xlfn.XLOOKUP(CustomerCombined[[#This Row],[ID]], Table4[ID], Table4[Recency], "Not Found", 0)</f>
        <v>13</v>
      </c>
      <c r="K159" s="5">
        <f>_xlfn.XLOOKUP(CustomerCombined[[#This Row],[ID]], Table4[ID], Table4[Teas], "Not Found", 0)</f>
        <v>678</v>
      </c>
      <c r="L159" s="5">
        <f>_xlfn.XLOOKUP(CustomerCombined[[#This Row],[ID]], Table4[ID], Table4[Fruits], "Not Found", 0)</f>
        <v>61</v>
      </c>
      <c r="M159" s="5">
        <f>_xlfn.XLOOKUP(CustomerCombined[[#This Row],[ID]], Table4[ID], Table4[Meats], "Not Found", 0)</f>
        <v>1586</v>
      </c>
      <c r="N159" s="5">
        <f>_xlfn.XLOOKUP(CustomerCombined[[#This Row],[ID]], Table4[ID], Table4[Seafood], "Not Found", 0)</f>
        <v>492</v>
      </c>
      <c r="O159" s="5">
        <f>_xlfn.XLOOKUP(CustomerCombined[[#This Row],[ID]], Table4[ID], Table4[Sweets], "Not Found", 0)</f>
        <v>55</v>
      </c>
      <c r="P159" s="5">
        <f>_xlfn.XLOOKUP(CustomerCombined[[#This Row],[ID]], Table4[ID], Table4[Premium], "Not Found", 0)</f>
        <v>378</v>
      </c>
      <c r="Q159" s="5">
        <f>_xlfn.XLOOKUP(CustomerCombined[[#This Row],[ID]], Table4[ID], Table4[Regular], "Not Found", 0)</f>
        <v>2494</v>
      </c>
      <c r="R159" s="5">
        <f>_xlfn.XLOOKUP(CustomerCombined[[#This Row],[ID]], Table4[ID], Table4[Deals], "Not Found", 0)</f>
        <v>1</v>
      </c>
      <c r="S159" s="5">
        <f>_xlfn.XLOOKUP(CustomerCombined[[#This Row],[ID]], Table4[ID], Table4[Website], "Not Found", 0)</f>
        <v>4</v>
      </c>
      <c r="T159" s="5">
        <f>_xlfn.XLOOKUP(CustomerCombined[[#This Row],[ID]], Table4[ID], Table4[Catalog], "Not Found", 0)</f>
        <v>6</v>
      </c>
      <c r="U159" s="5">
        <f>_xlfn.XLOOKUP(CustomerCombined[[#This Row],[ID]], Table4[ID], Table4[Store], "Not Found", 0)</f>
        <v>5</v>
      </c>
      <c r="V159" s="5">
        <f>_xlfn.XLOOKUP(CustomerCombined[[#This Row],[ID]], Table4[ID], Table4[Visits], "Not Found", 0)</f>
        <v>2</v>
      </c>
      <c r="W159" s="8">
        <f>_xlfn.XLOOKUP(CustomerCombined[[#This Row],[ID]], Table2[ID],Table2[Complaint], "Not Found", 0 )</f>
        <v>0</v>
      </c>
      <c r="X159" s="8">
        <f>_xlfn.XLOOKUP(CustomerCombined[[#This Row],[ID]], Table2[ID],Table2[Pilot], "Not Found", 0 )</f>
        <v>1</v>
      </c>
      <c r="Y159" s="8">
        <f>_xlfn.XLOOKUP(CustomerCombined[[#This Row],[ID]], Table2[ID],Table2[MC1], "Not Found", 0 )</f>
        <v>0</v>
      </c>
      <c r="Z159" s="8">
        <f>_xlfn.XLOOKUP(CustomerCombined[[#This Row],[ID]], Table2[ID],Table2[MC2], "Not Found", 0 )</f>
        <v>0</v>
      </c>
      <c r="AA159" s="8">
        <f>_xlfn.XLOOKUP(CustomerCombined[[#This Row],[ID]], Table2[ID],Table2[MC3], "Not Found", 0 )</f>
        <v>0</v>
      </c>
      <c r="AB159" s="8">
        <f>_xlfn.XLOOKUP(CustomerCombined[[#This Row],[ID]], Table2[ID],Table2[MC4], "Not Found", 0 )</f>
        <v>0</v>
      </c>
      <c r="AC159" s="8">
        <f>_xlfn.XLOOKUP(CustomerCombined[[#This Row],[ID]], Table2[ID],Table2[MC5], "Not Found", 0 )</f>
        <v>0</v>
      </c>
    </row>
    <row r="160" spans="1:29" x14ac:dyDescent="0.3">
      <c r="A160" s="6">
        <v>1335</v>
      </c>
      <c r="B160" s="6">
        <v>171952</v>
      </c>
      <c r="C160" s="6">
        <v>1</v>
      </c>
      <c r="D160" s="6">
        <v>0</v>
      </c>
      <c r="E160" s="6">
        <v>34</v>
      </c>
      <c r="F160" s="5" t="s">
        <v>6</v>
      </c>
      <c r="G160" s="5" t="s">
        <v>11</v>
      </c>
      <c r="H160" s="3" t="s">
        <v>330</v>
      </c>
      <c r="I160" s="5" t="s">
        <v>435</v>
      </c>
      <c r="J160" s="5">
        <f>_xlfn.XLOOKUP(CustomerCombined[[#This Row],[ID]], Table4[ID], Table4[Recency], "Not Found", 0)</f>
        <v>93</v>
      </c>
      <c r="K160" s="5">
        <f>_xlfn.XLOOKUP(CustomerCombined[[#This Row],[ID]], Table4[ID], Table4[Teas], "Not Found", 0)</f>
        <v>1568</v>
      </c>
      <c r="L160" s="5">
        <f>_xlfn.XLOOKUP(CustomerCombined[[#This Row],[ID]], Table4[ID], Table4[Fruits], "Not Found", 0)</f>
        <v>191</v>
      </c>
      <c r="M160" s="5">
        <f>_xlfn.XLOOKUP(CustomerCombined[[#This Row],[ID]], Table4[ID], Table4[Meats], "Not Found", 0)</f>
        <v>1087</v>
      </c>
      <c r="N160" s="5">
        <f>_xlfn.XLOOKUP(CustomerCombined[[#This Row],[ID]], Table4[ID], Table4[Seafood], "Not Found", 0)</f>
        <v>124</v>
      </c>
      <c r="O160" s="5">
        <f>_xlfn.XLOOKUP(CustomerCombined[[#This Row],[ID]], Table4[ID], Table4[Sweets], "Not Found", 0)</f>
        <v>256</v>
      </c>
      <c r="P160" s="5">
        <f>_xlfn.XLOOKUP(CustomerCombined[[#This Row],[ID]], Table4[ID], Table4[Premium], "Not Found", 0)</f>
        <v>222</v>
      </c>
      <c r="Q160" s="5">
        <f>_xlfn.XLOOKUP(CustomerCombined[[#This Row],[ID]], Table4[ID], Table4[Regular], "Not Found", 0)</f>
        <v>3004</v>
      </c>
      <c r="R160" s="5">
        <f>_xlfn.XLOOKUP(CustomerCombined[[#This Row],[ID]], Table4[ID], Table4[Deals], "Not Found", 0)</f>
        <v>2</v>
      </c>
      <c r="S160" s="5">
        <f>_xlfn.XLOOKUP(CustomerCombined[[#This Row],[ID]], Table4[ID], Table4[Website], "Not Found", 0)</f>
        <v>8</v>
      </c>
      <c r="T160" s="5">
        <f>_xlfn.XLOOKUP(CustomerCombined[[#This Row],[ID]], Table4[ID], Table4[Catalog], "Not Found", 0)</f>
        <v>4</v>
      </c>
      <c r="U160" s="5">
        <f>_xlfn.XLOOKUP(CustomerCombined[[#This Row],[ID]], Table4[ID], Table4[Store], "Not Found", 0)</f>
        <v>8</v>
      </c>
      <c r="V160" s="5">
        <f>_xlfn.XLOOKUP(CustomerCombined[[#This Row],[ID]], Table4[ID], Table4[Visits], "Not Found", 0)</f>
        <v>4</v>
      </c>
      <c r="W160" s="8">
        <f>_xlfn.XLOOKUP(CustomerCombined[[#This Row],[ID]], Table2[ID],Table2[Complaint], "Not Found", 0 )</f>
        <v>0</v>
      </c>
      <c r="X160" s="8">
        <f>_xlfn.XLOOKUP(CustomerCombined[[#This Row],[ID]], Table2[ID],Table2[Pilot], "Not Found", 0 )</f>
        <v>0</v>
      </c>
      <c r="Y160" s="8">
        <f>_xlfn.XLOOKUP(CustomerCombined[[#This Row],[ID]], Table2[ID],Table2[MC1], "Not Found", 0 )</f>
        <v>0</v>
      </c>
      <c r="Z160" s="8">
        <f>_xlfn.XLOOKUP(CustomerCombined[[#This Row],[ID]], Table2[ID],Table2[MC2], "Not Found", 0 )</f>
        <v>0</v>
      </c>
      <c r="AA160" s="8">
        <f>_xlfn.XLOOKUP(CustomerCombined[[#This Row],[ID]], Table2[ID],Table2[MC3], "Not Found", 0 )</f>
        <v>1</v>
      </c>
      <c r="AB160" s="8">
        <f>_xlfn.XLOOKUP(CustomerCombined[[#This Row],[ID]], Table2[ID],Table2[MC4], "Not Found", 0 )</f>
        <v>0</v>
      </c>
      <c r="AC160" s="8">
        <f>_xlfn.XLOOKUP(CustomerCombined[[#This Row],[ID]], Table2[ID],Table2[MC5], "Not Found", 0 )</f>
        <v>1</v>
      </c>
    </row>
    <row r="161" spans="1:29" x14ac:dyDescent="0.3">
      <c r="A161" s="6">
        <v>1686</v>
      </c>
      <c r="B161" s="6">
        <v>171952</v>
      </c>
      <c r="C161" s="6">
        <v>1</v>
      </c>
      <c r="D161" s="6">
        <v>0</v>
      </c>
      <c r="E161" s="6">
        <v>34</v>
      </c>
      <c r="F161" s="5" t="s">
        <v>6</v>
      </c>
      <c r="G161" s="5" t="s">
        <v>11</v>
      </c>
      <c r="H161" s="3" t="s">
        <v>330</v>
      </c>
      <c r="I161" s="5" t="s">
        <v>436</v>
      </c>
      <c r="J161" s="5">
        <f>_xlfn.XLOOKUP(CustomerCombined[[#This Row],[ID]], Table4[ID], Table4[Recency], "Not Found", 0)</f>
        <v>93</v>
      </c>
      <c r="K161" s="5">
        <f>_xlfn.XLOOKUP(CustomerCombined[[#This Row],[ID]], Table4[ID], Table4[Teas], "Not Found", 0)</f>
        <v>1568</v>
      </c>
      <c r="L161" s="5">
        <f>_xlfn.XLOOKUP(CustomerCombined[[#This Row],[ID]], Table4[ID], Table4[Fruits], "Not Found", 0)</f>
        <v>191</v>
      </c>
      <c r="M161" s="5">
        <f>_xlfn.XLOOKUP(CustomerCombined[[#This Row],[ID]], Table4[ID], Table4[Meats], "Not Found", 0)</f>
        <v>1087</v>
      </c>
      <c r="N161" s="5">
        <f>_xlfn.XLOOKUP(CustomerCombined[[#This Row],[ID]], Table4[ID], Table4[Seafood], "Not Found", 0)</f>
        <v>124</v>
      </c>
      <c r="O161" s="5">
        <f>_xlfn.XLOOKUP(CustomerCombined[[#This Row],[ID]], Table4[ID], Table4[Sweets], "Not Found", 0)</f>
        <v>256</v>
      </c>
      <c r="P161" s="5">
        <f>_xlfn.XLOOKUP(CustomerCombined[[#This Row],[ID]], Table4[ID], Table4[Premium], "Not Found", 0)</f>
        <v>222</v>
      </c>
      <c r="Q161" s="5">
        <f>_xlfn.XLOOKUP(CustomerCombined[[#This Row],[ID]], Table4[ID], Table4[Regular], "Not Found", 0)</f>
        <v>3004</v>
      </c>
      <c r="R161" s="5">
        <f>_xlfn.XLOOKUP(CustomerCombined[[#This Row],[ID]], Table4[ID], Table4[Deals], "Not Found", 0)</f>
        <v>2</v>
      </c>
      <c r="S161" s="5">
        <f>_xlfn.XLOOKUP(CustomerCombined[[#This Row],[ID]], Table4[ID], Table4[Website], "Not Found", 0)</f>
        <v>8</v>
      </c>
      <c r="T161" s="5">
        <f>_xlfn.XLOOKUP(CustomerCombined[[#This Row],[ID]], Table4[ID], Table4[Catalog], "Not Found", 0)</f>
        <v>4</v>
      </c>
      <c r="U161" s="5">
        <f>_xlfn.XLOOKUP(CustomerCombined[[#This Row],[ID]], Table4[ID], Table4[Store], "Not Found", 0)</f>
        <v>8</v>
      </c>
      <c r="V161" s="5">
        <f>_xlfn.XLOOKUP(CustomerCombined[[#This Row],[ID]], Table4[ID], Table4[Visits], "Not Found", 0)</f>
        <v>4</v>
      </c>
      <c r="W161" s="8">
        <f>_xlfn.XLOOKUP(CustomerCombined[[#This Row],[ID]], Table2[ID],Table2[Complaint], "Not Found", 0 )</f>
        <v>0</v>
      </c>
      <c r="X161" s="8">
        <f>_xlfn.XLOOKUP(CustomerCombined[[#This Row],[ID]], Table2[ID],Table2[Pilot], "Not Found", 0 )</f>
        <v>0</v>
      </c>
      <c r="Y161" s="8">
        <f>_xlfn.XLOOKUP(CustomerCombined[[#This Row],[ID]], Table2[ID],Table2[MC1], "Not Found", 0 )</f>
        <v>0</v>
      </c>
      <c r="Z161" s="8">
        <f>_xlfn.XLOOKUP(CustomerCombined[[#This Row],[ID]], Table2[ID],Table2[MC2], "Not Found", 0 )</f>
        <v>0</v>
      </c>
      <c r="AA161" s="8">
        <f>_xlfn.XLOOKUP(CustomerCombined[[#This Row],[ID]], Table2[ID],Table2[MC3], "Not Found", 0 )</f>
        <v>1</v>
      </c>
      <c r="AB161" s="8">
        <f>_xlfn.XLOOKUP(CustomerCombined[[#This Row],[ID]], Table2[ID],Table2[MC4], "Not Found", 0 )</f>
        <v>0</v>
      </c>
      <c r="AC161" s="8">
        <f>_xlfn.XLOOKUP(CustomerCombined[[#This Row],[ID]], Table2[ID],Table2[MC5], "Not Found", 0 )</f>
        <v>1</v>
      </c>
    </row>
    <row r="162" spans="1:29" x14ac:dyDescent="0.3">
      <c r="A162" s="6">
        <v>1265</v>
      </c>
      <c r="B162" s="6">
        <v>169867</v>
      </c>
      <c r="C162" s="6">
        <v>0</v>
      </c>
      <c r="D162" s="6">
        <v>0</v>
      </c>
      <c r="E162" s="6">
        <v>34</v>
      </c>
      <c r="F162" s="5" t="s">
        <v>7</v>
      </c>
      <c r="G162" s="5" t="s">
        <v>13</v>
      </c>
      <c r="H162" s="3">
        <v>43655</v>
      </c>
      <c r="I162" s="5" t="s">
        <v>434</v>
      </c>
      <c r="J162" s="5">
        <f>_xlfn.XLOOKUP(CustomerCombined[[#This Row],[ID]], Table4[ID], Table4[Recency], "Not Found", 0)</f>
        <v>30</v>
      </c>
      <c r="K162" s="5">
        <f>_xlfn.XLOOKUP(CustomerCombined[[#This Row],[ID]], Table4[ID], Table4[Teas], "Not Found", 0)</f>
        <v>477</v>
      </c>
      <c r="L162" s="5">
        <f>_xlfn.XLOOKUP(CustomerCombined[[#This Row],[ID]], Table4[ID], Table4[Fruits], "Not Found", 0)</f>
        <v>0</v>
      </c>
      <c r="M162" s="5">
        <f>_xlfn.XLOOKUP(CustomerCombined[[#This Row],[ID]], Table4[ID], Table4[Meats], "Not Found", 0)</f>
        <v>1245</v>
      </c>
      <c r="N162" s="5">
        <f>_xlfn.XLOOKUP(CustomerCombined[[#This Row],[ID]], Table4[ID], Table4[Seafood], "Not Found", 0)</f>
        <v>80</v>
      </c>
      <c r="O162" s="5">
        <f>_xlfn.XLOOKUP(CustomerCombined[[#This Row],[ID]], Table4[ID], Table4[Sweets], "Not Found", 0)</f>
        <v>316</v>
      </c>
      <c r="P162" s="5">
        <f>_xlfn.XLOOKUP(CustomerCombined[[#This Row],[ID]], Table4[ID], Table4[Premium], "Not Found", 0)</f>
        <v>131</v>
      </c>
      <c r="Q162" s="5">
        <f>_xlfn.XLOOKUP(CustomerCombined[[#This Row],[ID]], Table4[ID], Table4[Regular], "Not Found", 0)</f>
        <v>1986</v>
      </c>
      <c r="R162" s="5">
        <f>_xlfn.XLOOKUP(CustomerCombined[[#This Row],[ID]], Table4[ID], Table4[Deals], "Not Found", 0)</f>
        <v>1</v>
      </c>
      <c r="S162" s="5">
        <f>_xlfn.XLOOKUP(CustomerCombined[[#This Row],[ID]], Table4[ID], Table4[Website], "Not Found", 0)</f>
        <v>3</v>
      </c>
      <c r="T162" s="5">
        <f>_xlfn.XLOOKUP(CustomerCombined[[#This Row],[ID]], Table4[ID], Table4[Catalog], "Not Found", 0)</f>
        <v>5</v>
      </c>
      <c r="U162" s="5">
        <f>_xlfn.XLOOKUP(CustomerCombined[[#This Row],[ID]], Table4[ID], Table4[Store], "Not Found", 0)</f>
        <v>8</v>
      </c>
      <c r="V162" s="5">
        <f>_xlfn.XLOOKUP(CustomerCombined[[#This Row],[ID]], Table4[ID], Table4[Visits], "Not Found", 0)</f>
        <v>1</v>
      </c>
      <c r="W162" s="8">
        <f>_xlfn.XLOOKUP(CustomerCombined[[#This Row],[ID]], Table2[ID],Table2[Complaint], "Not Found", 0 )</f>
        <v>0</v>
      </c>
      <c r="X162" s="8">
        <f>_xlfn.XLOOKUP(CustomerCombined[[#This Row],[ID]], Table2[ID],Table2[Pilot], "Not Found", 0 )</f>
        <v>1</v>
      </c>
      <c r="Y162" s="8">
        <f>_xlfn.XLOOKUP(CustomerCombined[[#This Row],[ID]], Table2[ID],Table2[MC1], "Not Found", 0 )</f>
        <v>1</v>
      </c>
      <c r="Z162" s="8">
        <f>_xlfn.XLOOKUP(CustomerCombined[[#This Row],[ID]], Table2[ID],Table2[MC2], "Not Found", 0 )</f>
        <v>0</v>
      </c>
      <c r="AA162" s="8">
        <f>_xlfn.XLOOKUP(CustomerCombined[[#This Row],[ID]], Table2[ID],Table2[MC3], "Not Found", 0 )</f>
        <v>0</v>
      </c>
      <c r="AB162" s="8">
        <f>_xlfn.XLOOKUP(CustomerCombined[[#This Row],[ID]], Table2[ID],Table2[MC4], "Not Found", 0 )</f>
        <v>0</v>
      </c>
      <c r="AC162" s="8">
        <f>_xlfn.XLOOKUP(CustomerCombined[[#This Row],[ID]], Table2[ID],Table2[MC5], "Not Found", 0 )</f>
        <v>0</v>
      </c>
    </row>
    <row r="163" spans="1:29" x14ac:dyDescent="0.3">
      <c r="A163" s="6">
        <v>3214</v>
      </c>
      <c r="B163" s="6">
        <v>162868</v>
      </c>
      <c r="C163" s="6">
        <v>0</v>
      </c>
      <c r="D163" s="6">
        <v>0</v>
      </c>
      <c r="E163" s="6">
        <v>34</v>
      </c>
      <c r="F163" s="5" t="s">
        <v>7</v>
      </c>
      <c r="G163" s="5" t="s">
        <v>11</v>
      </c>
      <c r="H163" s="3" t="s">
        <v>411</v>
      </c>
      <c r="I163" s="5" t="s">
        <v>439</v>
      </c>
      <c r="J163" s="5">
        <f>_xlfn.XLOOKUP(CustomerCombined[[#This Row],[ID]], Table4[ID], Table4[Recency], "Not Found", 0)</f>
        <v>50</v>
      </c>
      <c r="K163" s="5">
        <f>_xlfn.XLOOKUP(CustomerCombined[[#This Row],[ID]], Table4[ID], Table4[Teas], "Not Found", 0)</f>
        <v>13</v>
      </c>
      <c r="L163" s="5">
        <f>_xlfn.XLOOKUP(CustomerCombined[[#This Row],[ID]], Table4[ID], Table4[Fruits], "Not Found", 0)</f>
        <v>3</v>
      </c>
      <c r="M163" s="5">
        <f>_xlfn.XLOOKUP(CustomerCombined[[#This Row],[ID]], Table4[ID], Table4[Meats], "Not Found", 0)</f>
        <v>16</v>
      </c>
      <c r="N163" s="5">
        <f>_xlfn.XLOOKUP(CustomerCombined[[#This Row],[ID]], Table4[ID], Table4[Seafood], "Not Found", 0)</f>
        <v>8</v>
      </c>
      <c r="O163" s="5">
        <f>_xlfn.XLOOKUP(CustomerCombined[[#This Row],[ID]], Table4[ID], Table4[Sweets], "Not Found", 0)</f>
        <v>-10</v>
      </c>
      <c r="P163" s="5">
        <f>_xlfn.XLOOKUP(CustomerCombined[[#This Row],[ID]], Table4[ID], Table4[Premium], "Not Found", 0)</f>
        <v>8</v>
      </c>
      <c r="Q163" s="5">
        <f>_xlfn.XLOOKUP(CustomerCombined[[#This Row],[ID]], Table4[ID], Table4[Regular], "Not Found", 0)</f>
        <v>41</v>
      </c>
      <c r="R163" s="5">
        <f>_xlfn.XLOOKUP(CustomerCombined[[#This Row],[ID]], Table4[ID], Table4[Deals], "Not Found", 0)</f>
        <v>1</v>
      </c>
      <c r="S163" s="5">
        <f>_xlfn.XLOOKUP(CustomerCombined[[#This Row],[ID]], Table4[ID], Table4[Website], "Not Found", 0)</f>
        <v>0</v>
      </c>
      <c r="T163" s="5">
        <f>_xlfn.XLOOKUP(CustomerCombined[[#This Row],[ID]], Table4[ID], Table4[Catalog], "Not Found", 0)</f>
        <v>0</v>
      </c>
      <c r="U163" s="5">
        <f>_xlfn.XLOOKUP(CustomerCombined[[#This Row],[ID]], Table4[ID], Table4[Store], "Not Found", 0)</f>
        <v>3</v>
      </c>
      <c r="V163" s="5">
        <f>_xlfn.XLOOKUP(CustomerCombined[[#This Row],[ID]], Table4[ID], Table4[Visits], "Not Found", 0)</f>
        <v>4</v>
      </c>
      <c r="W163" s="8">
        <f>_xlfn.XLOOKUP(CustomerCombined[[#This Row],[ID]], Table2[ID],Table2[Complaint], "Not Found", 0 )</f>
        <v>0</v>
      </c>
      <c r="X163" s="8">
        <f>_xlfn.XLOOKUP(CustomerCombined[[#This Row],[ID]], Table2[ID],Table2[Pilot], "Not Found", 0 )</f>
        <v>0</v>
      </c>
      <c r="Y163" s="8">
        <f>_xlfn.XLOOKUP(CustomerCombined[[#This Row],[ID]], Table2[ID],Table2[MC1], "Not Found", 0 )</f>
        <v>0</v>
      </c>
      <c r="Z163" s="8">
        <f>_xlfn.XLOOKUP(CustomerCombined[[#This Row],[ID]], Table2[ID],Table2[MC2], "Not Found", 0 )</f>
        <v>0</v>
      </c>
      <c r="AA163" s="8">
        <f>_xlfn.XLOOKUP(CustomerCombined[[#This Row],[ID]], Table2[ID],Table2[MC3], "Not Found", 0 )</f>
        <v>0</v>
      </c>
      <c r="AB163" s="8">
        <f>_xlfn.XLOOKUP(CustomerCombined[[#This Row],[ID]], Table2[ID],Table2[MC4], "Not Found", 0 )</f>
        <v>0</v>
      </c>
      <c r="AC163" s="8">
        <f>_xlfn.XLOOKUP(CustomerCombined[[#This Row],[ID]], Table2[ID],Table2[MC5], "Not Found", 0 )</f>
        <v>0</v>
      </c>
    </row>
    <row r="164" spans="1:29" x14ac:dyDescent="0.3">
      <c r="A164" s="6">
        <v>1890</v>
      </c>
      <c r="B164" s="6">
        <v>145921</v>
      </c>
      <c r="C164" s="6">
        <v>0</v>
      </c>
      <c r="D164" s="6">
        <v>0</v>
      </c>
      <c r="E164" s="6">
        <v>34</v>
      </c>
      <c r="F164" s="5" t="s">
        <v>6</v>
      </c>
      <c r="G164" s="5" t="s">
        <v>13</v>
      </c>
      <c r="H164" s="3" t="s">
        <v>89</v>
      </c>
      <c r="I164" s="5" t="s">
        <v>436</v>
      </c>
      <c r="J164" s="5">
        <f>_xlfn.XLOOKUP(CustomerCombined[[#This Row],[ID]], Table4[ID], Table4[Recency], "Not Found", 0)</f>
        <v>23</v>
      </c>
      <c r="K164" s="5">
        <f>_xlfn.XLOOKUP(CustomerCombined[[#This Row],[ID]], Table4[ID], Table4[Teas], "Not Found", 0)</f>
        <v>324</v>
      </c>
      <c r="L164" s="5">
        <f>_xlfn.XLOOKUP(CustomerCombined[[#This Row],[ID]], Table4[ID], Table4[Fruits], "Not Found", 0)</f>
        <v>29</v>
      </c>
      <c r="M164" s="5">
        <f>_xlfn.XLOOKUP(CustomerCombined[[#This Row],[ID]], Table4[ID], Table4[Meats], "Not Found", 0)</f>
        <v>156</v>
      </c>
      <c r="N164" s="5">
        <f>_xlfn.XLOOKUP(CustomerCombined[[#This Row],[ID]], Table4[ID], Table4[Seafood], "Not Found", 0)</f>
        <v>76</v>
      </c>
      <c r="O164" s="5">
        <f>_xlfn.XLOOKUP(CustomerCombined[[#This Row],[ID]], Table4[ID], Table4[Sweets], "Not Found", 0)</f>
        <v>10</v>
      </c>
      <c r="P164" s="5">
        <f>_xlfn.XLOOKUP(CustomerCombined[[#This Row],[ID]], Table4[ID], Table4[Premium], "Not Found", 0)</f>
        <v>38</v>
      </c>
      <c r="Q164" s="5">
        <f>_xlfn.XLOOKUP(CustomerCombined[[#This Row],[ID]], Table4[ID], Table4[Regular], "Not Found", 0)</f>
        <v>556</v>
      </c>
      <c r="R164" s="5">
        <f>_xlfn.XLOOKUP(CustomerCombined[[#This Row],[ID]], Table4[ID], Table4[Deals], "Not Found", 0)</f>
        <v>1</v>
      </c>
      <c r="S164" s="5">
        <f>_xlfn.XLOOKUP(CustomerCombined[[#This Row],[ID]], Table4[ID], Table4[Website], "Not Found", 0)</f>
        <v>2</v>
      </c>
      <c r="T164" s="5">
        <f>_xlfn.XLOOKUP(CustomerCombined[[#This Row],[ID]], Table4[ID], Table4[Catalog], "Not Found", 0)</f>
        <v>1</v>
      </c>
      <c r="U164" s="5">
        <f>_xlfn.XLOOKUP(CustomerCombined[[#This Row],[ID]], Table4[ID], Table4[Store], "Not Found", 0)</f>
        <v>6</v>
      </c>
      <c r="V164" s="5">
        <f>_xlfn.XLOOKUP(CustomerCombined[[#This Row],[ID]], Table4[ID], Table4[Visits], "Not Found", 0)</f>
        <v>4</v>
      </c>
      <c r="W164" s="8">
        <f>_xlfn.XLOOKUP(CustomerCombined[[#This Row],[ID]], Table2[ID],Table2[Complaint], "Not Found", 0 )</f>
        <v>0</v>
      </c>
      <c r="X164" s="8">
        <f>_xlfn.XLOOKUP(CustomerCombined[[#This Row],[ID]], Table2[ID],Table2[Pilot], "Not Found", 0 )</f>
        <v>0</v>
      </c>
      <c r="Y164" s="8">
        <f>_xlfn.XLOOKUP(CustomerCombined[[#This Row],[ID]], Table2[ID],Table2[MC1], "Not Found", 0 )</f>
        <v>0</v>
      </c>
      <c r="Z164" s="8">
        <f>_xlfn.XLOOKUP(CustomerCombined[[#This Row],[ID]], Table2[ID],Table2[MC2], "Not Found", 0 )</f>
        <v>0</v>
      </c>
      <c r="AA164" s="8">
        <f>_xlfn.XLOOKUP(CustomerCombined[[#This Row],[ID]], Table2[ID],Table2[MC3], "Not Found", 0 )</f>
        <v>0</v>
      </c>
      <c r="AB164" s="8">
        <f>_xlfn.XLOOKUP(CustomerCombined[[#This Row],[ID]], Table2[ID],Table2[MC4], "Not Found", 0 )</f>
        <v>0</v>
      </c>
      <c r="AC164" s="8">
        <f>_xlfn.XLOOKUP(CustomerCombined[[#This Row],[ID]], Table2[ID],Table2[MC5], "Not Found", 0 )</f>
        <v>0</v>
      </c>
    </row>
    <row r="165" spans="1:29" x14ac:dyDescent="0.3">
      <c r="A165" s="6">
        <v>1284</v>
      </c>
      <c r="B165" s="6">
        <v>142386</v>
      </c>
      <c r="C165" s="6">
        <v>1</v>
      </c>
      <c r="D165" s="6">
        <v>0</v>
      </c>
      <c r="E165" s="6">
        <v>34</v>
      </c>
      <c r="F165" s="5" t="s">
        <v>8</v>
      </c>
      <c r="G165" s="5" t="s">
        <v>12</v>
      </c>
      <c r="H165" s="3" t="s">
        <v>327</v>
      </c>
      <c r="I165" s="5" t="s">
        <v>436</v>
      </c>
      <c r="J165" s="5">
        <f>_xlfn.XLOOKUP(CustomerCombined[[#This Row],[ID]], Table4[ID], Table4[Recency], "Not Found", 0)</f>
        <v>43</v>
      </c>
      <c r="K165" s="5">
        <f>_xlfn.XLOOKUP(CustomerCombined[[#This Row],[ID]], Table4[ID], Table4[Teas], "Not Found", 0)</f>
        <v>218</v>
      </c>
      <c r="L165" s="5">
        <f>_xlfn.XLOOKUP(CustomerCombined[[#This Row],[ID]], Table4[ID], Table4[Fruits], "Not Found", 0)</f>
        <v>13</v>
      </c>
      <c r="M165" s="5">
        <f>_xlfn.XLOOKUP(CustomerCombined[[#This Row],[ID]], Table4[ID], Table4[Meats], "Not Found", 0)</f>
        <v>54</v>
      </c>
      <c r="N165" s="5">
        <f>_xlfn.XLOOKUP(CustomerCombined[[#This Row],[ID]], Table4[ID], Table4[Seafood], "Not Found", 0)</f>
        <v>0</v>
      </c>
      <c r="O165" s="5">
        <f>_xlfn.XLOOKUP(CustomerCombined[[#This Row],[ID]], Table4[ID], Table4[Sweets], "Not Found", 0)</f>
        <v>13</v>
      </c>
      <c r="P165" s="5">
        <f>_xlfn.XLOOKUP(CustomerCombined[[#This Row],[ID]], Table4[ID], Table4[Premium], "Not Found", 0)</f>
        <v>37</v>
      </c>
      <c r="Q165" s="5">
        <f>_xlfn.XLOOKUP(CustomerCombined[[#This Row],[ID]], Table4[ID], Table4[Regular], "Not Found", 0)</f>
        <v>262</v>
      </c>
      <c r="R165" s="5">
        <f>_xlfn.XLOOKUP(CustomerCombined[[#This Row],[ID]], Table4[ID], Table4[Deals], "Not Found", 0)</f>
        <v>1</v>
      </c>
      <c r="S165" s="5">
        <f>_xlfn.XLOOKUP(CustomerCombined[[#This Row],[ID]], Table4[ID], Table4[Website], "Not Found", 0)</f>
        <v>3</v>
      </c>
      <c r="T165" s="5">
        <f>_xlfn.XLOOKUP(CustomerCombined[[#This Row],[ID]], Table4[ID], Table4[Catalog], "Not Found", 0)</f>
        <v>0</v>
      </c>
      <c r="U165" s="5">
        <f>_xlfn.XLOOKUP(CustomerCombined[[#This Row],[ID]], Table4[ID], Table4[Store], "Not Found", 0)</f>
        <v>3</v>
      </c>
      <c r="V165" s="5">
        <f>_xlfn.XLOOKUP(CustomerCombined[[#This Row],[ID]], Table4[ID], Table4[Visits], "Not Found", 0)</f>
        <v>8</v>
      </c>
      <c r="W165" s="8">
        <f>_xlfn.XLOOKUP(CustomerCombined[[#This Row],[ID]], Table2[ID],Table2[Complaint], "Not Found", 0 )</f>
        <v>0</v>
      </c>
      <c r="X165" s="8">
        <f>_xlfn.XLOOKUP(CustomerCombined[[#This Row],[ID]], Table2[ID],Table2[Pilot], "Not Found", 0 )</f>
        <v>0</v>
      </c>
      <c r="Y165" s="8">
        <f>_xlfn.XLOOKUP(CustomerCombined[[#This Row],[ID]], Table2[ID],Table2[MC1], "Not Found", 0 )</f>
        <v>0</v>
      </c>
      <c r="Z165" s="8">
        <f>_xlfn.XLOOKUP(CustomerCombined[[#This Row],[ID]], Table2[ID],Table2[MC2], "Not Found", 0 )</f>
        <v>0</v>
      </c>
      <c r="AA165" s="8">
        <f>_xlfn.XLOOKUP(CustomerCombined[[#This Row],[ID]], Table2[ID],Table2[MC3], "Not Found", 0 )</f>
        <v>0</v>
      </c>
      <c r="AB165" s="8">
        <f>_xlfn.XLOOKUP(CustomerCombined[[#This Row],[ID]], Table2[ID],Table2[MC4], "Not Found", 0 )</f>
        <v>0</v>
      </c>
      <c r="AC165" s="8">
        <f>_xlfn.XLOOKUP(CustomerCombined[[#This Row],[ID]], Table2[ID],Table2[MC5], "Not Found", 0 )</f>
        <v>0</v>
      </c>
    </row>
    <row r="166" spans="1:29" x14ac:dyDescent="0.3">
      <c r="A166" s="6">
        <v>2521</v>
      </c>
      <c r="B166" s="6">
        <v>142386</v>
      </c>
      <c r="C166" s="6">
        <v>1</v>
      </c>
      <c r="D166" s="6">
        <v>0</v>
      </c>
      <c r="E166" s="6">
        <v>34</v>
      </c>
      <c r="F166" s="5" t="s">
        <v>8</v>
      </c>
      <c r="G166" s="5" t="s">
        <v>12</v>
      </c>
      <c r="H166" s="3" t="s">
        <v>327</v>
      </c>
      <c r="I166" s="5" t="s">
        <v>437</v>
      </c>
      <c r="J166" s="5">
        <f>_xlfn.XLOOKUP(CustomerCombined[[#This Row],[ID]], Table4[ID], Table4[Recency], "Not Found", 0)</f>
        <v>43</v>
      </c>
      <c r="K166" s="5">
        <f>_xlfn.XLOOKUP(CustomerCombined[[#This Row],[ID]], Table4[ID], Table4[Teas], "Not Found", 0)</f>
        <v>218</v>
      </c>
      <c r="L166" s="5">
        <f>_xlfn.XLOOKUP(CustomerCombined[[#This Row],[ID]], Table4[ID], Table4[Fruits], "Not Found", 0)</f>
        <v>13</v>
      </c>
      <c r="M166" s="5">
        <f>_xlfn.XLOOKUP(CustomerCombined[[#This Row],[ID]], Table4[ID], Table4[Meats], "Not Found", 0)</f>
        <v>54</v>
      </c>
      <c r="N166" s="5">
        <f>_xlfn.XLOOKUP(CustomerCombined[[#This Row],[ID]], Table4[ID], Table4[Seafood], "Not Found", 0)</f>
        <v>0</v>
      </c>
      <c r="O166" s="5">
        <f>_xlfn.XLOOKUP(CustomerCombined[[#This Row],[ID]], Table4[ID], Table4[Sweets], "Not Found", 0)</f>
        <v>13</v>
      </c>
      <c r="P166" s="5">
        <f>_xlfn.XLOOKUP(CustomerCombined[[#This Row],[ID]], Table4[ID], Table4[Premium], "Not Found", 0)</f>
        <v>37</v>
      </c>
      <c r="Q166" s="5">
        <f>_xlfn.XLOOKUP(CustomerCombined[[#This Row],[ID]], Table4[ID], Table4[Regular], "Not Found", 0)</f>
        <v>262</v>
      </c>
      <c r="R166" s="5">
        <f>_xlfn.XLOOKUP(CustomerCombined[[#This Row],[ID]], Table4[ID], Table4[Deals], "Not Found", 0)</f>
        <v>1</v>
      </c>
      <c r="S166" s="5">
        <f>_xlfn.XLOOKUP(CustomerCombined[[#This Row],[ID]], Table4[ID], Table4[Website], "Not Found", 0)</f>
        <v>3</v>
      </c>
      <c r="T166" s="5">
        <f>_xlfn.XLOOKUP(CustomerCombined[[#This Row],[ID]], Table4[ID], Table4[Catalog], "Not Found", 0)</f>
        <v>0</v>
      </c>
      <c r="U166" s="5">
        <f>_xlfn.XLOOKUP(CustomerCombined[[#This Row],[ID]], Table4[ID], Table4[Store], "Not Found", 0)</f>
        <v>3</v>
      </c>
      <c r="V166" s="5">
        <f>_xlfn.XLOOKUP(CustomerCombined[[#This Row],[ID]], Table4[ID], Table4[Visits], "Not Found", 0)</f>
        <v>8</v>
      </c>
      <c r="W166" s="8">
        <f>_xlfn.XLOOKUP(CustomerCombined[[#This Row],[ID]], Table2[ID],Table2[Complaint], "Not Found", 0 )</f>
        <v>0</v>
      </c>
      <c r="X166" s="8">
        <f>_xlfn.XLOOKUP(CustomerCombined[[#This Row],[ID]], Table2[ID],Table2[Pilot], "Not Found", 0 )</f>
        <v>0</v>
      </c>
      <c r="Y166" s="8">
        <f>_xlfn.XLOOKUP(CustomerCombined[[#This Row],[ID]], Table2[ID],Table2[MC1], "Not Found", 0 )</f>
        <v>0</v>
      </c>
      <c r="Z166" s="8">
        <f>_xlfn.XLOOKUP(CustomerCombined[[#This Row],[ID]], Table2[ID],Table2[MC2], "Not Found", 0 )</f>
        <v>0</v>
      </c>
      <c r="AA166" s="8">
        <f>_xlfn.XLOOKUP(CustomerCombined[[#This Row],[ID]], Table2[ID],Table2[MC3], "Not Found", 0 )</f>
        <v>0</v>
      </c>
      <c r="AB166" s="8">
        <f>_xlfn.XLOOKUP(CustomerCombined[[#This Row],[ID]], Table2[ID],Table2[MC4], "Not Found", 0 )</f>
        <v>0</v>
      </c>
      <c r="AC166" s="8">
        <f>_xlfn.XLOOKUP(CustomerCombined[[#This Row],[ID]], Table2[ID],Table2[MC5], "Not Found", 0 )</f>
        <v>0</v>
      </c>
    </row>
    <row r="167" spans="1:29" x14ac:dyDescent="0.3">
      <c r="A167" s="6">
        <v>1325</v>
      </c>
      <c r="B167" s="6">
        <v>141411</v>
      </c>
      <c r="C167" s="6">
        <v>0</v>
      </c>
      <c r="D167" s="6">
        <v>0</v>
      </c>
      <c r="E167" s="6">
        <v>34</v>
      </c>
      <c r="F167" s="5" t="s">
        <v>5</v>
      </c>
      <c r="G167" s="5" t="s">
        <v>11</v>
      </c>
      <c r="H167" s="3" t="s">
        <v>141</v>
      </c>
      <c r="I167" s="5" t="s">
        <v>434</v>
      </c>
      <c r="J167" s="5">
        <f>_xlfn.XLOOKUP(CustomerCombined[[#This Row],[ID]], Table4[ID], Table4[Recency], "Not Found", 0)</f>
        <v>11</v>
      </c>
      <c r="K167" s="5">
        <f>_xlfn.XLOOKUP(CustomerCombined[[#This Row],[ID]], Table4[ID], Table4[Teas], "Not Found", 0)</f>
        <v>126</v>
      </c>
      <c r="L167" s="5">
        <f>_xlfn.XLOOKUP(CustomerCombined[[#This Row],[ID]], Table4[ID], Table4[Fruits], "Not Found", 0)</f>
        <v>109</v>
      </c>
      <c r="M167" s="5">
        <f>_xlfn.XLOOKUP(CustomerCombined[[#This Row],[ID]], Table4[ID], Table4[Meats], "Not Found", 0)</f>
        <v>130</v>
      </c>
      <c r="N167" s="5">
        <f>_xlfn.XLOOKUP(CustomerCombined[[#This Row],[ID]], Table4[ID], Table4[Seafood], "Not Found", 0)</f>
        <v>38</v>
      </c>
      <c r="O167" s="5">
        <f>_xlfn.XLOOKUP(CustomerCombined[[#This Row],[ID]], Table4[ID], Table4[Sweets], "Not Found", 0)</f>
        <v>10</v>
      </c>
      <c r="P167" s="5">
        <f>_xlfn.XLOOKUP(CustomerCombined[[#This Row],[ID]], Table4[ID], Table4[Premium], "Not Found", 0)</f>
        <v>61</v>
      </c>
      <c r="Q167" s="5">
        <f>_xlfn.XLOOKUP(CustomerCombined[[#This Row],[ID]], Table4[ID], Table4[Regular], "Not Found", 0)</f>
        <v>352</v>
      </c>
      <c r="R167" s="5">
        <f>_xlfn.XLOOKUP(CustomerCombined[[#This Row],[ID]], Table4[ID], Table4[Deals], "Not Found", 0)</f>
        <v>1</v>
      </c>
      <c r="S167" s="5">
        <f>_xlfn.XLOOKUP(CustomerCombined[[#This Row],[ID]], Table4[ID], Table4[Website], "Not Found", 0)</f>
        <v>2</v>
      </c>
      <c r="T167" s="5">
        <f>_xlfn.XLOOKUP(CustomerCombined[[#This Row],[ID]], Table4[ID], Table4[Catalog], "Not Found", 0)</f>
        <v>1</v>
      </c>
      <c r="U167" s="5">
        <f>_xlfn.XLOOKUP(CustomerCombined[[#This Row],[ID]], Table4[ID], Table4[Store], "Not Found", 0)</f>
        <v>4</v>
      </c>
      <c r="V167" s="5">
        <f>_xlfn.XLOOKUP(CustomerCombined[[#This Row],[ID]], Table4[ID], Table4[Visits], "Not Found", 0)</f>
        <v>6</v>
      </c>
      <c r="W167" s="8">
        <f>_xlfn.XLOOKUP(CustomerCombined[[#This Row],[ID]], Table2[ID],Table2[Complaint], "Not Found", 0 )</f>
        <v>0</v>
      </c>
      <c r="X167" s="8">
        <f>_xlfn.XLOOKUP(CustomerCombined[[#This Row],[ID]], Table2[ID],Table2[Pilot], "Not Found", 0 )</f>
        <v>0</v>
      </c>
      <c r="Y167" s="8">
        <f>_xlfn.XLOOKUP(CustomerCombined[[#This Row],[ID]], Table2[ID],Table2[MC1], "Not Found", 0 )</f>
        <v>0</v>
      </c>
      <c r="Z167" s="8">
        <f>_xlfn.XLOOKUP(CustomerCombined[[#This Row],[ID]], Table2[ID],Table2[MC2], "Not Found", 0 )</f>
        <v>0</v>
      </c>
      <c r="AA167" s="8">
        <f>_xlfn.XLOOKUP(CustomerCombined[[#This Row],[ID]], Table2[ID],Table2[MC3], "Not Found", 0 )</f>
        <v>0</v>
      </c>
      <c r="AB167" s="8">
        <f>_xlfn.XLOOKUP(CustomerCombined[[#This Row],[ID]], Table2[ID],Table2[MC4], "Not Found", 0 )</f>
        <v>0</v>
      </c>
      <c r="AC167" s="8">
        <f>_xlfn.XLOOKUP(CustomerCombined[[#This Row],[ID]], Table2[ID],Table2[MC5], "Not Found", 0 )</f>
        <v>0</v>
      </c>
    </row>
    <row r="168" spans="1:29" x14ac:dyDescent="0.3">
      <c r="A168" s="6">
        <v>2986</v>
      </c>
      <c r="B168" s="6">
        <v>139146</v>
      </c>
      <c r="C168" s="6">
        <v>1</v>
      </c>
      <c r="D168" s="6">
        <v>0</v>
      </c>
      <c r="E168" s="6">
        <v>34</v>
      </c>
      <c r="F168" s="5" t="s">
        <v>7</v>
      </c>
      <c r="G168" s="5" t="s">
        <v>11</v>
      </c>
      <c r="H168" s="3" t="s">
        <v>309</v>
      </c>
      <c r="I168" s="5" t="s">
        <v>439</v>
      </c>
      <c r="J168" s="5">
        <f>_xlfn.XLOOKUP(CustomerCombined[[#This Row],[ID]], Table4[ID], Table4[Recency], "Not Found", 0)</f>
        <v>1</v>
      </c>
      <c r="K168" s="5">
        <f>_xlfn.XLOOKUP(CustomerCombined[[#This Row],[ID]], Table4[ID], Table4[Teas], "Not Found", 0)</f>
        <v>334</v>
      </c>
      <c r="L168" s="5">
        <f>_xlfn.XLOOKUP(CustomerCombined[[#This Row],[ID]], Table4[ID], Table4[Fruits], "Not Found", 0)</f>
        <v>4</v>
      </c>
      <c r="M168" s="5">
        <f>_xlfn.XLOOKUP(CustomerCombined[[#This Row],[ID]], Table4[ID], Table4[Meats], "Not Found", 0)</f>
        <v>117</v>
      </c>
      <c r="N168" s="5">
        <f>_xlfn.XLOOKUP(CustomerCombined[[#This Row],[ID]], Table4[ID], Table4[Seafood], "Not Found", 0)</f>
        <v>46</v>
      </c>
      <c r="O168" s="5">
        <f>_xlfn.XLOOKUP(CustomerCombined[[#This Row],[ID]], Table4[ID], Table4[Sweets], "Not Found", 0)</f>
        <v>43</v>
      </c>
      <c r="P168" s="5">
        <f>_xlfn.XLOOKUP(CustomerCombined[[#This Row],[ID]], Table4[ID], Table4[Premium], "Not Found", 0)</f>
        <v>43</v>
      </c>
      <c r="Q168" s="5">
        <f>_xlfn.XLOOKUP(CustomerCombined[[#This Row],[ID]], Table4[ID], Table4[Regular], "Not Found", 0)</f>
        <v>501</v>
      </c>
      <c r="R168" s="5">
        <f>_xlfn.XLOOKUP(CustomerCombined[[#This Row],[ID]], Table4[ID], Table4[Deals], "Not Found", 0)</f>
        <v>3</v>
      </c>
      <c r="S168" s="5">
        <f>_xlfn.XLOOKUP(CustomerCombined[[#This Row],[ID]], Table4[ID], Table4[Website], "Not Found", 0)</f>
        <v>4</v>
      </c>
      <c r="T168" s="5">
        <f>_xlfn.XLOOKUP(CustomerCombined[[#This Row],[ID]], Table4[ID], Table4[Catalog], "Not Found", 0)</f>
        <v>0</v>
      </c>
      <c r="U168" s="5">
        <f>_xlfn.XLOOKUP(CustomerCombined[[#This Row],[ID]], Table4[ID], Table4[Store], "Not Found", 0)</f>
        <v>4</v>
      </c>
      <c r="V168" s="5">
        <f>_xlfn.XLOOKUP(CustomerCombined[[#This Row],[ID]], Table4[ID], Table4[Visits], "Not Found", 0)</f>
        <v>8</v>
      </c>
      <c r="W168" s="8">
        <f>_xlfn.XLOOKUP(CustomerCombined[[#This Row],[ID]], Table2[ID],Table2[Complaint], "Not Found", 0 )</f>
        <v>0</v>
      </c>
      <c r="X168" s="8">
        <f>_xlfn.XLOOKUP(CustomerCombined[[#This Row],[ID]], Table2[ID],Table2[Pilot], "Not Found", 0 )</f>
        <v>0</v>
      </c>
      <c r="Y168" s="8">
        <f>_xlfn.XLOOKUP(CustomerCombined[[#This Row],[ID]], Table2[ID],Table2[MC1], "Not Found", 0 )</f>
        <v>0</v>
      </c>
      <c r="Z168" s="8">
        <f>_xlfn.XLOOKUP(CustomerCombined[[#This Row],[ID]], Table2[ID],Table2[MC2], "Not Found", 0 )</f>
        <v>0</v>
      </c>
      <c r="AA168" s="8">
        <f>_xlfn.XLOOKUP(CustomerCombined[[#This Row],[ID]], Table2[ID],Table2[MC3], "Not Found", 0 )</f>
        <v>0</v>
      </c>
      <c r="AB168" s="8">
        <f>_xlfn.XLOOKUP(CustomerCombined[[#This Row],[ID]], Table2[ID],Table2[MC4], "Not Found", 0 )</f>
        <v>0</v>
      </c>
      <c r="AC168" s="8">
        <f>_xlfn.XLOOKUP(CustomerCombined[[#This Row],[ID]], Table2[ID],Table2[MC5], "Not Found", 0 )</f>
        <v>0</v>
      </c>
    </row>
    <row r="169" spans="1:29" x14ac:dyDescent="0.3">
      <c r="A169" s="6">
        <v>2083</v>
      </c>
      <c r="B169" s="6">
        <v>138508</v>
      </c>
      <c r="C169" s="6">
        <v>1</v>
      </c>
      <c r="D169" s="6">
        <v>0</v>
      </c>
      <c r="E169" s="6">
        <v>34</v>
      </c>
      <c r="F169" s="5" t="s">
        <v>6</v>
      </c>
      <c r="G169" s="5" t="s">
        <v>11</v>
      </c>
      <c r="H169" s="3">
        <v>44013</v>
      </c>
      <c r="I169" s="5" t="s">
        <v>437</v>
      </c>
      <c r="J169" s="5">
        <f>_xlfn.XLOOKUP(CustomerCombined[[#This Row],[ID]], Table4[ID], Table4[Recency], "Not Found", 0)</f>
        <v>95</v>
      </c>
      <c r="K169" s="5">
        <f>_xlfn.XLOOKUP(CustomerCombined[[#This Row],[ID]], Table4[ID], Table4[Teas], "Not Found", 0)</f>
        <v>432</v>
      </c>
      <c r="L169" s="5">
        <f>_xlfn.XLOOKUP(CustomerCombined[[#This Row],[ID]], Table4[ID], Table4[Fruits], "Not Found", 0)</f>
        <v>68</v>
      </c>
      <c r="M169" s="5">
        <f>_xlfn.XLOOKUP(CustomerCombined[[#This Row],[ID]], Table4[ID], Table4[Meats], "Not Found", 0)</f>
        <v>741</v>
      </c>
      <c r="N169" s="5">
        <f>_xlfn.XLOOKUP(CustomerCombined[[#This Row],[ID]], Table4[ID], Table4[Seafood], "Not Found", 0)</f>
        <v>90</v>
      </c>
      <c r="O169" s="5">
        <f>_xlfn.XLOOKUP(CustomerCombined[[#This Row],[ID]], Table4[ID], Table4[Sweets], "Not Found", 0)</f>
        <v>68</v>
      </c>
      <c r="P169" s="5">
        <f>_xlfn.XLOOKUP(CustomerCombined[[#This Row],[ID]], Table4[ID], Table4[Premium], "Not Found", 0)</f>
        <v>194</v>
      </c>
      <c r="Q169" s="5">
        <f>_xlfn.XLOOKUP(CustomerCombined[[#This Row],[ID]], Table4[ID], Table4[Regular], "Not Found", 0)</f>
        <v>1205</v>
      </c>
      <c r="R169" s="5">
        <f>_xlfn.XLOOKUP(CustomerCombined[[#This Row],[ID]], Table4[ID], Table4[Deals], "Not Found", 0)</f>
        <v>6</v>
      </c>
      <c r="S169" s="5">
        <f>_xlfn.XLOOKUP(CustomerCombined[[#This Row],[ID]], Table4[ID], Table4[Website], "Not Found", 0)</f>
        <v>7</v>
      </c>
      <c r="T169" s="5">
        <f>_xlfn.XLOOKUP(CustomerCombined[[#This Row],[ID]], Table4[ID], Table4[Catalog], "Not Found", 0)</f>
        <v>2</v>
      </c>
      <c r="U169" s="5">
        <f>_xlfn.XLOOKUP(CustomerCombined[[#This Row],[ID]], Table4[ID], Table4[Store], "Not Found", 0)</f>
        <v>5</v>
      </c>
      <c r="V169" s="5">
        <f>_xlfn.XLOOKUP(CustomerCombined[[#This Row],[ID]], Table4[ID], Table4[Visits], "Not Found", 0)</f>
        <v>8</v>
      </c>
      <c r="W169" s="8">
        <f>_xlfn.XLOOKUP(CustomerCombined[[#This Row],[ID]], Table2[ID],Table2[Complaint], "Not Found", 0 )</f>
        <v>0</v>
      </c>
      <c r="X169" s="8">
        <f>_xlfn.XLOOKUP(CustomerCombined[[#This Row],[ID]], Table2[ID],Table2[Pilot], "Not Found", 0 )</f>
        <v>0</v>
      </c>
      <c r="Y169" s="8">
        <f>_xlfn.XLOOKUP(CustomerCombined[[#This Row],[ID]], Table2[ID],Table2[MC1], "Not Found", 0 )</f>
        <v>0</v>
      </c>
      <c r="Z169" s="8">
        <f>_xlfn.XLOOKUP(CustomerCombined[[#This Row],[ID]], Table2[ID],Table2[MC2], "Not Found", 0 )</f>
        <v>0</v>
      </c>
      <c r="AA169" s="8">
        <f>_xlfn.XLOOKUP(CustomerCombined[[#This Row],[ID]], Table2[ID],Table2[MC3], "Not Found", 0 )</f>
        <v>0</v>
      </c>
      <c r="AB169" s="8">
        <f>_xlfn.XLOOKUP(CustomerCombined[[#This Row],[ID]], Table2[ID],Table2[MC4], "Not Found", 0 )</f>
        <v>0</v>
      </c>
      <c r="AC169" s="8">
        <f>_xlfn.XLOOKUP(CustomerCombined[[#This Row],[ID]], Table2[ID],Table2[MC5], "Not Found", 0 )</f>
        <v>0</v>
      </c>
    </row>
    <row r="170" spans="1:29" x14ac:dyDescent="0.3">
      <c r="A170" s="6">
        <v>2212</v>
      </c>
      <c r="B170" s="6">
        <v>138197</v>
      </c>
      <c r="C170" s="6">
        <v>1</v>
      </c>
      <c r="D170" s="6">
        <v>0</v>
      </c>
      <c r="E170" s="6">
        <v>34</v>
      </c>
      <c r="F170" s="5" t="s">
        <v>8</v>
      </c>
      <c r="G170" s="5" t="s">
        <v>13</v>
      </c>
      <c r="H170" s="3">
        <v>43567</v>
      </c>
      <c r="I170" s="5" t="s">
        <v>439</v>
      </c>
      <c r="J170" s="5">
        <f>_xlfn.XLOOKUP(CustomerCombined[[#This Row],[ID]], Table4[ID], Table4[Recency], "Not Found", 0)</f>
        <v>86</v>
      </c>
      <c r="K170" s="5">
        <f>_xlfn.XLOOKUP(CustomerCombined[[#This Row],[ID]], Table4[ID], Table4[Teas], "Not Found", 0)</f>
        <v>83</v>
      </c>
      <c r="L170" s="5">
        <f>_xlfn.XLOOKUP(CustomerCombined[[#This Row],[ID]], Table4[ID], Table4[Fruits], "Not Found", 0)</f>
        <v>0</v>
      </c>
      <c r="M170" s="5">
        <f>_xlfn.XLOOKUP(CustomerCombined[[#This Row],[ID]], Table4[ID], Table4[Meats], "Not Found", 0)</f>
        <v>40</v>
      </c>
      <c r="N170" s="5">
        <f>_xlfn.XLOOKUP(CustomerCombined[[#This Row],[ID]], Table4[ID], Table4[Seafood], "Not Found", 0)</f>
        <v>7</v>
      </c>
      <c r="O170" s="5">
        <f>_xlfn.XLOOKUP(CustomerCombined[[#This Row],[ID]], Table4[ID], Table4[Sweets], "Not Found", 0)</f>
        <v>4</v>
      </c>
      <c r="P170" s="5">
        <f>_xlfn.XLOOKUP(CustomerCombined[[#This Row],[ID]], Table4[ID], Table4[Premium], "Not Found", 0)</f>
        <v>11</v>
      </c>
      <c r="Q170" s="5">
        <f>_xlfn.XLOOKUP(CustomerCombined[[#This Row],[ID]], Table4[ID], Table4[Regular], "Not Found", 0)</f>
        <v>123</v>
      </c>
      <c r="R170" s="5">
        <f>_xlfn.XLOOKUP(CustomerCombined[[#This Row],[ID]], Table4[ID], Table4[Deals], "Not Found", 0)</f>
        <v>1</v>
      </c>
      <c r="S170" s="5">
        <f>_xlfn.XLOOKUP(CustomerCombined[[#This Row],[ID]], Table4[ID], Table4[Website], "Not Found", 0)</f>
        <v>1</v>
      </c>
      <c r="T170" s="5">
        <f>_xlfn.XLOOKUP(CustomerCombined[[#This Row],[ID]], Table4[ID], Table4[Catalog], "Not Found", 0)</f>
        <v>0</v>
      </c>
      <c r="U170" s="5">
        <f>_xlfn.XLOOKUP(CustomerCombined[[#This Row],[ID]], Table4[ID], Table4[Store], "Not Found", 0)</f>
        <v>3</v>
      </c>
      <c r="V170" s="5">
        <f>_xlfn.XLOOKUP(CustomerCombined[[#This Row],[ID]], Table4[ID], Table4[Visits], "Not Found", 0)</f>
        <v>5</v>
      </c>
      <c r="W170" s="8">
        <f>_xlfn.XLOOKUP(CustomerCombined[[#This Row],[ID]], Table2[ID],Table2[Complaint], "Not Found", 0 )</f>
        <v>0</v>
      </c>
      <c r="X170" s="8">
        <f>_xlfn.XLOOKUP(CustomerCombined[[#This Row],[ID]], Table2[ID],Table2[Pilot], "Not Found", 0 )</f>
        <v>0</v>
      </c>
      <c r="Y170" s="8">
        <f>_xlfn.XLOOKUP(CustomerCombined[[#This Row],[ID]], Table2[ID],Table2[MC1], "Not Found", 0 )</f>
        <v>0</v>
      </c>
      <c r="Z170" s="8">
        <f>_xlfn.XLOOKUP(CustomerCombined[[#This Row],[ID]], Table2[ID],Table2[MC2], "Not Found", 0 )</f>
        <v>0</v>
      </c>
      <c r="AA170" s="8">
        <f>_xlfn.XLOOKUP(CustomerCombined[[#This Row],[ID]], Table2[ID],Table2[MC3], "Not Found", 0 )</f>
        <v>0</v>
      </c>
      <c r="AB170" s="8">
        <f>_xlfn.XLOOKUP(CustomerCombined[[#This Row],[ID]], Table2[ID],Table2[MC4], "Not Found", 0 )</f>
        <v>0</v>
      </c>
      <c r="AC170" s="8">
        <f>_xlfn.XLOOKUP(CustomerCombined[[#This Row],[ID]], Table2[ID],Table2[MC5], "Not Found", 0 )</f>
        <v>0</v>
      </c>
    </row>
    <row r="171" spans="1:29" x14ac:dyDescent="0.3">
      <c r="A171" s="6">
        <v>2025</v>
      </c>
      <c r="B171" s="6">
        <v>134728</v>
      </c>
      <c r="C171" s="6">
        <v>1</v>
      </c>
      <c r="D171" s="6">
        <v>0</v>
      </c>
      <c r="E171" s="6">
        <v>34</v>
      </c>
      <c r="F171" s="5" t="s">
        <v>8</v>
      </c>
      <c r="G171" s="5" t="s">
        <v>11</v>
      </c>
      <c r="H171" s="3">
        <v>43922</v>
      </c>
      <c r="I171" s="5" t="s">
        <v>435</v>
      </c>
      <c r="J171" s="5">
        <f>_xlfn.XLOOKUP(CustomerCombined[[#This Row],[ID]], Table4[ID], Table4[Recency], "Not Found", 0)</f>
        <v>2</v>
      </c>
      <c r="K171" s="5">
        <f>_xlfn.XLOOKUP(CustomerCombined[[#This Row],[ID]], Table4[ID], Table4[Teas], "Not Found", 0)</f>
        <v>54</v>
      </c>
      <c r="L171" s="5">
        <f>_xlfn.XLOOKUP(CustomerCombined[[#This Row],[ID]], Table4[ID], Table4[Fruits], "Not Found", 0)</f>
        <v>0</v>
      </c>
      <c r="M171" s="5">
        <f>_xlfn.XLOOKUP(CustomerCombined[[#This Row],[ID]], Table4[ID], Table4[Meats], "Not Found", 0)</f>
        <v>62</v>
      </c>
      <c r="N171" s="5">
        <f>_xlfn.XLOOKUP(CustomerCombined[[#This Row],[ID]], Table4[ID], Table4[Seafood], "Not Found", 0)</f>
        <v>0</v>
      </c>
      <c r="O171" s="5">
        <f>_xlfn.XLOOKUP(CustomerCombined[[#This Row],[ID]], Table4[ID], Table4[Sweets], "Not Found", 0)</f>
        <v>0</v>
      </c>
      <c r="P171" s="5">
        <f>_xlfn.XLOOKUP(CustomerCombined[[#This Row],[ID]], Table4[ID], Table4[Premium], "Not Found", 0)</f>
        <v>23</v>
      </c>
      <c r="Q171" s="5">
        <f>_xlfn.XLOOKUP(CustomerCombined[[#This Row],[ID]], Table4[ID], Table4[Regular], "Not Found", 0)</f>
        <v>93</v>
      </c>
      <c r="R171" s="5">
        <f>_xlfn.XLOOKUP(CustomerCombined[[#This Row],[ID]], Table4[ID], Table4[Deals], "Not Found", 0)</f>
        <v>1</v>
      </c>
      <c r="S171" s="5">
        <f>_xlfn.XLOOKUP(CustomerCombined[[#This Row],[ID]], Table4[ID], Table4[Website], "Not Found", 0)</f>
        <v>1</v>
      </c>
      <c r="T171" s="5">
        <f>_xlfn.XLOOKUP(CustomerCombined[[#This Row],[ID]], Table4[ID], Table4[Catalog], "Not Found", 0)</f>
        <v>1</v>
      </c>
      <c r="U171" s="5">
        <f>_xlfn.XLOOKUP(CustomerCombined[[#This Row],[ID]], Table4[ID], Table4[Store], "Not Found", 0)</f>
        <v>2</v>
      </c>
      <c r="V171" s="5">
        <f>_xlfn.XLOOKUP(CustomerCombined[[#This Row],[ID]], Table4[ID], Table4[Visits], "Not Found", 0)</f>
        <v>6</v>
      </c>
      <c r="W171" s="8">
        <f>_xlfn.XLOOKUP(CustomerCombined[[#This Row],[ID]], Table2[ID],Table2[Complaint], "Not Found", 0 )</f>
        <v>0</v>
      </c>
      <c r="X171" s="8">
        <f>_xlfn.XLOOKUP(CustomerCombined[[#This Row],[ID]], Table2[ID],Table2[Pilot], "Not Found", 0 )</f>
        <v>1</v>
      </c>
      <c r="Y171" s="8">
        <f>_xlfn.XLOOKUP(CustomerCombined[[#This Row],[ID]], Table2[ID],Table2[MC1], "Not Found", 0 )</f>
        <v>0</v>
      </c>
      <c r="Z171" s="8">
        <f>_xlfn.XLOOKUP(CustomerCombined[[#This Row],[ID]], Table2[ID],Table2[MC2], "Not Found", 0 )</f>
        <v>0</v>
      </c>
      <c r="AA171" s="8">
        <f>_xlfn.XLOOKUP(CustomerCombined[[#This Row],[ID]], Table2[ID],Table2[MC3], "Not Found", 0 )</f>
        <v>0</v>
      </c>
      <c r="AB171" s="8">
        <f>_xlfn.XLOOKUP(CustomerCombined[[#This Row],[ID]], Table2[ID],Table2[MC4], "Not Found", 0 )</f>
        <v>0</v>
      </c>
      <c r="AC171" s="8">
        <f>_xlfn.XLOOKUP(CustomerCombined[[#This Row],[ID]], Table2[ID],Table2[MC5], "Not Found", 0 )</f>
        <v>0</v>
      </c>
    </row>
    <row r="172" spans="1:29" x14ac:dyDescent="0.3">
      <c r="A172" s="6">
        <v>1217</v>
      </c>
      <c r="B172" s="6">
        <v>134320</v>
      </c>
      <c r="C172" s="6">
        <v>1</v>
      </c>
      <c r="D172" s="6">
        <v>0</v>
      </c>
      <c r="E172" s="6">
        <v>34</v>
      </c>
      <c r="F172" s="5" t="s">
        <v>8</v>
      </c>
      <c r="G172" s="5" t="s">
        <v>13</v>
      </c>
      <c r="H172" s="3" t="s">
        <v>97</v>
      </c>
      <c r="I172" s="5" t="s">
        <v>434</v>
      </c>
      <c r="J172" s="5">
        <f>_xlfn.XLOOKUP(CustomerCombined[[#This Row],[ID]], Table4[ID], Table4[Recency], "Not Found", 0)</f>
        <v>66</v>
      </c>
      <c r="K172" s="5">
        <f>_xlfn.XLOOKUP(CustomerCombined[[#This Row],[ID]], Table4[ID], Table4[Teas], "Not Found", 0)</f>
        <v>16</v>
      </c>
      <c r="L172" s="5">
        <f>_xlfn.XLOOKUP(CustomerCombined[[#This Row],[ID]], Table4[ID], Table4[Fruits], "Not Found", 0)</f>
        <v>4</v>
      </c>
      <c r="M172" s="5">
        <f>_xlfn.XLOOKUP(CustomerCombined[[#This Row],[ID]], Table4[ID], Table4[Meats], "Not Found", 0)</f>
        <v>35</v>
      </c>
      <c r="N172" s="5">
        <f>_xlfn.XLOOKUP(CustomerCombined[[#This Row],[ID]], Table4[ID], Table4[Seafood], "Not Found", 0)</f>
        <v>12</v>
      </c>
      <c r="O172" s="5">
        <f>_xlfn.XLOOKUP(CustomerCombined[[#This Row],[ID]], Table4[ID], Table4[Sweets], "Not Found", 0)</f>
        <v>0</v>
      </c>
      <c r="P172" s="5">
        <f>_xlfn.XLOOKUP(CustomerCombined[[#This Row],[ID]], Table4[ID], Table4[Premium], "Not Found", 0)</f>
        <v>0</v>
      </c>
      <c r="Q172" s="5">
        <f>_xlfn.XLOOKUP(CustomerCombined[[#This Row],[ID]], Table4[ID], Table4[Regular], "Not Found", 0)</f>
        <v>67</v>
      </c>
      <c r="R172" s="5">
        <f>_xlfn.XLOOKUP(CustomerCombined[[#This Row],[ID]], Table4[ID], Table4[Deals], "Not Found", 0)</f>
        <v>1</v>
      </c>
      <c r="S172" s="5">
        <f>_xlfn.XLOOKUP(CustomerCombined[[#This Row],[ID]], Table4[ID], Table4[Website], "Not Found", 0)</f>
        <v>1</v>
      </c>
      <c r="T172" s="5">
        <f>_xlfn.XLOOKUP(CustomerCombined[[#This Row],[ID]], Table4[ID], Table4[Catalog], "Not Found", 0)</f>
        <v>0</v>
      </c>
      <c r="U172" s="5">
        <f>_xlfn.XLOOKUP(CustomerCombined[[#This Row],[ID]], Table4[ID], Table4[Store], "Not Found", 0)</f>
        <v>2</v>
      </c>
      <c r="V172" s="5">
        <f>_xlfn.XLOOKUP(CustomerCombined[[#This Row],[ID]], Table4[ID], Table4[Visits], "Not Found", 0)</f>
        <v>8</v>
      </c>
      <c r="W172" s="8">
        <f>_xlfn.XLOOKUP(CustomerCombined[[#This Row],[ID]], Table2[ID],Table2[Complaint], "Not Found", 0 )</f>
        <v>0</v>
      </c>
      <c r="X172" s="8">
        <f>_xlfn.XLOOKUP(CustomerCombined[[#This Row],[ID]], Table2[ID],Table2[Pilot], "Not Found", 0 )</f>
        <v>0</v>
      </c>
      <c r="Y172" s="8">
        <f>_xlfn.XLOOKUP(CustomerCombined[[#This Row],[ID]], Table2[ID],Table2[MC1], "Not Found", 0 )</f>
        <v>0</v>
      </c>
      <c r="Z172" s="8">
        <f>_xlfn.XLOOKUP(CustomerCombined[[#This Row],[ID]], Table2[ID],Table2[MC2], "Not Found", 0 )</f>
        <v>0</v>
      </c>
      <c r="AA172" s="8">
        <f>_xlfn.XLOOKUP(CustomerCombined[[#This Row],[ID]], Table2[ID],Table2[MC3], "Not Found", 0 )</f>
        <v>0</v>
      </c>
      <c r="AB172" s="8">
        <f>_xlfn.XLOOKUP(CustomerCombined[[#This Row],[ID]], Table2[ID],Table2[MC4], "Not Found", 0 )</f>
        <v>0</v>
      </c>
      <c r="AC172" s="8">
        <f>_xlfn.XLOOKUP(CustomerCombined[[#This Row],[ID]], Table2[ID],Table2[MC5], "Not Found", 0 )</f>
        <v>0</v>
      </c>
    </row>
    <row r="173" spans="1:29" x14ac:dyDescent="0.3">
      <c r="A173" s="6">
        <v>2882</v>
      </c>
      <c r="B173" s="6">
        <v>133235</v>
      </c>
      <c r="C173" s="6">
        <v>1</v>
      </c>
      <c r="D173" s="6">
        <v>0</v>
      </c>
      <c r="E173" s="6">
        <v>34</v>
      </c>
      <c r="F173" s="5" t="s">
        <v>8</v>
      </c>
      <c r="G173" s="5" t="s">
        <v>11</v>
      </c>
      <c r="H173" s="3">
        <v>44172</v>
      </c>
      <c r="I173" s="5" t="s">
        <v>438</v>
      </c>
      <c r="J173" s="5">
        <f>_xlfn.XLOOKUP(CustomerCombined[[#This Row],[ID]], Table4[ID], Table4[Recency], "Not Found", 0)</f>
        <v>71</v>
      </c>
      <c r="K173" s="5">
        <f>_xlfn.XLOOKUP(CustomerCombined[[#This Row],[ID]], Table4[ID], Table4[Teas], "Not Found", 0)</f>
        <v>180</v>
      </c>
      <c r="L173" s="5">
        <f>_xlfn.XLOOKUP(CustomerCombined[[#This Row],[ID]], Table4[ID], Table4[Fruits], "Not Found", 0)</f>
        <v>0</v>
      </c>
      <c r="M173" s="5">
        <f>_xlfn.XLOOKUP(CustomerCombined[[#This Row],[ID]], Table4[ID], Table4[Meats], "Not Found", 0)</f>
        <v>64</v>
      </c>
      <c r="N173" s="5">
        <f>_xlfn.XLOOKUP(CustomerCombined[[#This Row],[ID]], Table4[ID], Table4[Seafood], "Not Found", 0)</f>
        <v>8</v>
      </c>
      <c r="O173" s="5">
        <f>_xlfn.XLOOKUP(CustomerCombined[[#This Row],[ID]], Table4[ID], Table4[Sweets], "Not Found", 0)</f>
        <v>4</v>
      </c>
      <c r="P173" s="5">
        <f>_xlfn.XLOOKUP(CustomerCombined[[#This Row],[ID]], Table4[ID], Table4[Premium], "Not Found", 0)</f>
        <v>24</v>
      </c>
      <c r="Q173" s="5">
        <f>_xlfn.XLOOKUP(CustomerCombined[[#This Row],[ID]], Table4[ID], Table4[Regular], "Not Found", 0)</f>
        <v>233</v>
      </c>
      <c r="R173" s="5">
        <f>_xlfn.XLOOKUP(CustomerCombined[[#This Row],[ID]], Table4[ID], Table4[Deals], "Not Found", 0)</f>
        <v>1</v>
      </c>
      <c r="S173" s="5">
        <f>_xlfn.XLOOKUP(CustomerCombined[[#This Row],[ID]], Table4[ID], Table4[Website], "Not Found", 0)</f>
        <v>3</v>
      </c>
      <c r="T173" s="5">
        <f>_xlfn.XLOOKUP(CustomerCombined[[#This Row],[ID]], Table4[ID], Table4[Catalog], "Not Found", 0)</f>
        <v>0</v>
      </c>
      <c r="U173" s="5">
        <f>_xlfn.XLOOKUP(CustomerCombined[[#This Row],[ID]], Table4[ID], Table4[Store], "Not Found", 0)</f>
        <v>3</v>
      </c>
      <c r="V173" s="5">
        <f>_xlfn.XLOOKUP(CustomerCombined[[#This Row],[ID]], Table4[ID], Table4[Visits], "Not Found", 0)</f>
        <v>7</v>
      </c>
      <c r="W173" s="8">
        <f>_xlfn.XLOOKUP(CustomerCombined[[#This Row],[ID]], Table2[ID],Table2[Complaint], "Not Found", 0 )</f>
        <v>0</v>
      </c>
      <c r="X173" s="8">
        <f>_xlfn.XLOOKUP(CustomerCombined[[#This Row],[ID]], Table2[ID],Table2[Pilot], "Not Found", 0 )</f>
        <v>0</v>
      </c>
      <c r="Y173" s="8">
        <f>_xlfn.XLOOKUP(CustomerCombined[[#This Row],[ID]], Table2[ID],Table2[MC1], "Not Found", 0 )</f>
        <v>0</v>
      </c>
      <c r="Z173" s="8">
        <f>_xlfn.XLOOKUP(CustomerCombined[[#This Row],[ID]], Table2[ID],Table2[MC2], "Not Found", 0 )</f>
        <v>0</v>
      </c>
      <c r="AA173" s="8">
        <f>_xlfn.XLOOKUP(CustomerCombined[[#This Row],[ID]], Table2[ID],Table2[MC3], "Not Found", 0 )</f>
        <v>0</v>
      </c>
      <c r="AB173" s="8">
        <f>_xlfn.XLOOKUP(CustomerCombined[[#This Row],[ID]], Table2[ID],Table2[MC4], "Not Found", 0 )</f>
        <v>0</v>
      </c>
      <c r="AC173" s="8">
        <f>_xlfn.XLOOKUP(CustomerCombined[[#This Row],[ID]], Table2[ID],Table2[MC5], "Not Found", 0 )</f>
        <v>0</v>
      </c>
    </row>
    <row r="174" spans="1:29" x14ac:dyDescent="0.3">
      <c r="A174" s="6">
        <v>1509</v>
      </c>
      <c r="B174" s="6">
        <v>132880</v>
      </c>
      <c r="C174" s="6">
        <v>1</v>
      </c>
      <c r="D174" s="6">
        <v>0</v>
      </c>
      <c r="E174" s="6">
        <v>34</v>
      </c>
      <c r="F174" s="5" t="s">
        <v>6</v>
      </c>
      <c r="G174" s="5" t="s">
        <v>11</v>
      </c>
      <c r="H174" s="3">
        <v>43774</v>
      </c>
      <c r="I174" s="5" t="s">
        <v>435</v>
      </c>
      <c r="J174" s="5">
        <f>_xlfn.XLOOKUP(CustomerCombined[[#This Row],[ID]], Table4[ID], Table4[Recency], "Not Found", 0)</f>
        <v>76</v>
      </c>
      <c r="K174" s="5">
        <f>_xlfn.XLOOKUP(CustomerCombined[[#This Row],[ID]], Table4[ID], Table4[Teas], "Not Found", 0)</f>
        <v>32</v>
      </c>
      <c r="L174" s="5">
        <f>_xlfn.XLOOKUP(CustomerCombined[[#This Row],[ID]], Table4[ID], Table4[Fruits], "Not Found", 0)</f>
        <v>16</v>
      </c>
      <c r="M174" s="5">
        <f>_xlfn.XLOOKUP(CustomerCombined[[#This Row],[ID]], Table4[ID], Table4[Meats], "Not Found", 0)</f>
        <v>61</v>
      </c>
      <c r="N174" s="5">
        <f>_xlfn.XLOOKUP(CustomerCombined[[#This Row],[ID]], Table4[ID], Table4[Seafood], "Not Found", 0)</f>
        <v>28</v>
      </c>
      <c r="O174" s="5">
        <f>_xlfn.XLOOKUP(CustomerCombined[[#This Row],[ID]], Table4[ID], Table4[Sweets], "Not Found", 0)</f>
        <v>24</v>
      </c>
      <c r="P174" s="5">
        <f>_xlfn.XLOOKUP(CustomerCombined[[#This Row],[ID]], Table4[ID], Table4[Premium], "Not Found", 0)</f>
        <v>8</v>
      </c>
      <c r="Q174" s="5">
        <f>_xlfn.XLOOKUP(CustomerCombined[[#This Row],[ID]], Table4[ID], Table4[Regular], "Not Found", 0)</f>
        <v>154</v>
      </c>
      <c r="R174" s="5">
        <f>_xlfn.XLOOKUP(CustomerCombined[[#This Row],[ID]], Table4[ID], Table4[Deals], "Not Found", 0)</f>
        <v>1</v>
      </c>
      <c r="S174" s="5">
        <f>_xlfn.XLOOKUP(CustomerCombined[[#This Row],[ID]], Table4[ID], Table4[Website], "Not Found", 0)</f>
        <v>1</v>
      </c>
      <c r="T174" s="5">
        <f>_xlfn.XLOOKUP(CustomerCombined[[#This Row],[ID]], Table4[ID], Table4[Catalog], "Not Found", 0)</f>
        <v>0</v>
      </c>
      <c r="U174" s="5">
        <f>_xlfn.XLOOKUP(CustomerCombined[[#This Row],[ID]], Table4[ID], Table4[Store], "Not Found", 0)</f>
        <v>3</v>
      </c>
      <c r="V174" s="5">
        <f>_xlfn.XLOOKUP(CustomerCombined[[#This Row],[ID]], Table4[ID], Table4[Visits], "Not Found", 0)</f>
        <v>8</v>
      </c>
      <c r="W174" s="8">
        <f>_xlfn.XLOOKUP(CustomerCombined[[#This Row],[ID]], Table2[ID],Table2[Complaint], "Not Found", 0 )</f>
        <v>0</v>
      </c>
      <c r="X174" s="8">
        <f>_xlfn.XLOOKUP(CustomerCombined[[#This Row],[ID]], Table2[ID],Table2[Pilot], "Not Found", 0 )</f>
        <v>0</v>
      </c>
      <c r="Y174" s="8">
        <f>_xlfn.XLOOKUP(CustomerCombined[[#This Row],[ID]], Table2[ID],Table2[MC1], "Not Found", 0 )</f>
        <v>0</v>
      </c>
      <c r="Z174" s="8">
        <f>_xlfn.XLOOKUP(CustomerCombined[[#This Row],[ID]], Table2[ID],Table2[MC2], "Not Found", 0 )</f>
        <v>0</v>
      </c>
      <c r="AA174" s="8">
        <f>_xlfn.XLOOKUP(CustomerCombined[[#This Row],[ID]], Table2[ID],Table2[MC3], "Not Found", 0 )</f>
        <v>0</v>
      </c>
      <c r="AB174" s="8">
        <f>_xlfn.XLOOKUP(CustomerCombined[[#This Row],[ID]], Table2[ID],Table2[MC4], "Not Found", 0 )</f>
        <v>0</v>
      </c>
      <c r="AC174" s="8">
        <f>_xlfn.XLOOKUP(CustomerCombined[[#This Row],[ID]], Table2[ID],Table2[MC5], "Not Found", 0 )</f>
        <v>0</v>
      </c>
    </row>
    <row r="175" spans="1:29" x14ac:dyDescent="0.3">
      <c r="A175" s="6">
        <v>1314</v>
      </c>
      <c r="B175" s="6">
        <v>129999</v>
      </c>
      <c r="C175" s="6">
        <v>1</v>
      </c>
      <c r="D175" s="6">
        <v>0</v>
      </c>
      <c r="E175" s="6">
        <v>34</v>
      </c>
      <c r="F175" s="5" t="s">
        <v>7</v>
      </c>
      <c r="G175" s="5" t="s">
        <v>13</v>
      </c>
      <c r="H175" s="3" t="s">
        <v>310</v>
      </c>
      <c r="I175" s="5" t="s">
        <v>436</v>
      </c>
      <c r="J175" s="5">
        <f>_xlfn.XLOOKUP(CustomerCombined[[#This Row],[ID]], Table4[ID], Table4[Recency], "Not Found", 0)</f>
        <v>22</v>
      </c>
      <c r="K175" s="5">
        <f>_xlfn.XLOOKUP(CustomerCombined[[#This Row],[ID]], Table4[ID], Table4[Teas], "Not Found", 0)</f>
        <v>295</v>
      </c>
      <c r="L175" s="5">
        <f>_xlfn.XLOOKUP(CustomerCombined[[#This Row],[ID]], Table4[ID], Table4[Fruits], "Not Found", 0)</f>
        <v>30</v>
      </c>
      <c r="M175" s="5">
        <f>_xlfn.XLOOKUP(CustomerCombined[[#This Row],[ID]], Table4[ID], Table4[Meats], "Not Found", 0)</f>
        <v>256</v>
      </c>
      <c r="N175" s="5">
        <f>_xlfn.XLOOKUP(CustomerCombined[[#This Row],[ID]], Table4[ID], Table4[Seafood], "Not Found", 0)</f>
        <v>43</v>
      </c>
      <c r="O175" s="5">
        <f>_xlfn.XLOOKUP(CustomerCombined[[#This Row],[ID]], Table4[ID], Table4[Sweets], "Not Found", 0)</f>
        <v>22</v>
      </c>
      <c r="P175" s="5">
        <f>_xlfn.XLOOKUP(CustomerCombined[[#This Row],[ID]], Table4[ID], Table4[Premium], "Not Found", 0)</f>
        <v>48</v>
      </c>
      <c r="Q175" s="5">
        <f>_xlfn.XLOOKUP(CustomerCombined[[#This Row],[ID]], Table4[ID], Table4[Regular], "Not Found", 0)</f>
        <v>598</v>
      </c>
      <c r="R175" s="5">
        <f>_xlfn.XLOOKUP(CustomerCombined[[#This Row],[ID]], Table4[ID], Table4[Deals], "Not Found", 0)</f>
        <v>4</v>
      </c>
      <c r="S175" s="5">
        <f>_xlfn.XLOOKUP(CustomerCombined[[#This Row],[ID]], Table4[ID], Table4[Website], "Not Found", 0)</f>
        <v>3</v>
      </c>
      <c r="T175" s="5">
        <f>_xlfn.XLOOKUP(CustomerCombined[[#This Row],[ID]], Table4[ID], Table4[Catalog], "Not Found", 0)</f>
        <v>1</v>
      </c>
      <c r="U175" s="5">
        <f>_xlfn.XLOOKUP(CustomerCombined[[#This Row],[ID]], Table4[ID], Table4[Store], "Not Found", 0)</f>
        <v>4</v>
      </c>
      <c r="V175" s="5">
        <f>_xlfn.XLOOKUP(CustomerCombined[[#This Row],[ID]], Table4[ID], Table4[Visits], "Not Found", 0)</f>
        <v>8</v>
      </c>
      <c r="W175" s="8">
        <f>_xlfn.XLOOKUP(CustomerCombined[[#This Row],[ID]], Table2[ID],Table2[Complaint], "Not Found", 0 )</f>
        <v>0</v>
      </c>
      <c r="X175" s="8">
        <f>_xlfn.XLOOKUP(CustomerCombined[[#This Row],[ID]], Table2[ID],Table2[Pilot], "Not Found", 0 )</f>
        <v>0</v>
      </c>
      <c r="Y175" s="8">
        <f>_xlfn.XLOOKUP(CustomerCombined[[#This Row],[ID]], Table2[ID],Table2[MC1], "Not Found", 0 )</f>
        <v>0</v>
      </c>
      <c r="Z175" s="8">
        <f>_xlfn.XLOOKUP(CustomerCombined[[#This Row],[ID]], Table2[ID],Table2[MC2], "Not Found", 0 )</f>
        <v>0</v>
      </c>
      <c r="AA175" s="8">
        <f>_xlfn.XLOOKUP(CustomerCombined[[#This Row],[ID]], Table2[ID],Table2[MC3], "Not Found", 0 )</f>
        <v>0</v>
      </c>
      <c r="AB175" s="8">
        <f>_xlfn.XLOOKUP(CustomerCombined[[#This Row],[ID]], Table2[ID],Table2[MC4], "Not Found", 0 )</f>
        <v>0</v>
      </c>
      <c r="AC175" s="8">
        <f>_xlfn.XLOOKUP(CustomerCombined[[#This Row],[ID]], Table2[ID],Table2[MC5], "Not Found", 0 )</f>
        <v>0</v>
      </c>
    </row>
    <row r="176" spans="1:29" x14ac:dyDescent="0.3">
      <c r="A176" s="6">
        <v>2440</v>
      </c>
      <c r="B176" s="6">
        <v>128072</v>
      </c>
      <c r="C176" s="6">
        <v>1</v>
      </c>
      <c r="D176" s="6">
        <v>0</v>
      </c>
      <c r="E176" s="6">
        <v>34</v>
      </c>
      <c r="F176" s="5" t="s">
        <v>6</v>
      </c>
      <c r="G176" s="5" t="s">
        <v>12</v>
      </c>
      <c r="H176" s="3" t="s">
        <v>227</v>
      </c>
      <c r="I176" s="5" t="s">
        <v>439</v>
      </c>
      <c r="J176" s="5">
        <f>_xlfn.XLOOKUP(CustomerCombined[[#This Row],[ID]], Table4[ID], Table4[Recency], "Not Found", 0)</f>
        <v>10</v>
      </c>
      <c r="K176" s="5">
        <f>_xlfn.XLOOKUP(CustomerCombined[[#This Row],[ID]], Table4[ID], Table4[Teas], "Not Found", 0)</f>
        <v>137</v>
      </c>
      <c r="L176" s="5">
        <f>_xlfn.XLOOKUP(CustomerCombined[[#This Row],[ID]], Table4[ID], Table4[Fruits], "Not Found", 0)</f>
        <v>0</v>
      </c>
      <c r="M176" s="5">
        <f>_xlfn.XLOOKUP(CustomerCombined[[#This Row],[ID]], Table4[ID], Table4[Meats], "Not Found", 0)</f>
        <v>46</v>
      </c>
      <c r="N176" s="5">
        <f>_xlfn.XLOOKUP(CustomerCombined[[#This Row],[ID]], Table4[ID], Table4[Seafood], "Not Found", 0)</f>
        <v>9</v>
      </c>
      <c r="O176" s="5">
        <f>_xlfn.XLOOKUP(CustomerCombined[[#This Row],[ID]], Table4[ID], Table4[Sweets], "Not Found", 0)</f>
        <v>0</v>
      </c>
      <c r="P176" s="5">
        <f>_xlfn.XLOOKUP(CustomerCombined[[#This Row],[ID]], Table4[ID], Table4[Premium], "Not Found", 0)</f>
        <v>23</v>
      </c>
      <c r="Q176" s="5">
        <f>_xlfn.XLOOKUP(CustomerCombined[[#This Row],[ID]], Table4[ID], Table4[Regular], "Not Found", 0)</f>
        <v>169</v>
      </c>
      <c r="R176" s="5">
        <f>_xlfn.XLOOKUP(CustomerCombined[[#This Row],[ID]], Table4[ID], Table4[Deals], "Not Found", 0)</f>
        <v>1</v>
      </c>
      <c r="S176" s="5">
        <f>_xlfn.XLOOKUP(CustomerCombined[[#This Row],[ID]], Table4[ID], Table4[Website], "Not Found", 0)</f>
        <v>1</v>
      </c>
      <c r="T176" s="5">
        <f>_xlfn.XLOOKUP(CustomerCombined[[#This Row],[ID]], Table4[ID], Table4[Catalog], "Not Found", 0)</f>
        <v>0</v>
      </c>
      <c r="U176" s="5">
        <f>_xlfn.XLOOKUP(CustomerCombined[[#This Row],[ID]], Table4[ID], Table4[Store], "Not Found", 0)</f>
        <v>3</v>
      </c>
      <c r="V176" s="5">
        <f>_xlfn.XLOOKUP(CustomerCombined[[#This Row],[ID]], Table4[ID], Table4[Visits], "Not Found", 0)</f>
        <v>7</v>
      </c>
      <c r="W176" s="8">
        <f>_xlfn.XLOOKUP(CustomerCombined[[#This Row],[ID]], Table2[ID],Table2[Complaint], "Not Found", 0 )</f>
        <v>0</v>
      </c>
      <c r="X176" s="8">
        <f>_xlfn.XLOOKUP(CustomerCombined[[#This Row],[ID]], Table2[ID],Table2[Pilot], "Not Found", 0 )</f>
        <v>0</v>
      </c>
      <c r="Y176" s="8">
        <f>_xlfn.XLOOKUP(CustomerCombined[[#This Row],[ID]], Table2[ID],Table2[MC1], "Not Found", 0 )</f>
        <v>0</v>
      </c>
      <c r="Z176" s="8">
        <f>_xlfn.XLOOKUP(CustomerCombined[[#This Row],[ID]], Table2[ID],Table2[MC2], "Not Found", 0 )</f>
        <v>0</v>
      </c>
      <c r="AA176" s="8">
        <f>_xlfn.XLOOKUP(CustomerCombined[[#This Row],[ID]], Table2[ID],Table2[MC3], "Not Found", 0 )</f>
        <v>0</v>
      </c>
      <c r="AB176" s="8">
        <f>_xlfn.XLOOKUP(CustomerCombined[[#This Row],[ID]], Table2[ID],Table2[MC4], "Not Found", 0 )</f>
        <v>0</v>
      </c>
      <c r="AC176" s="8">
        <f>_xlfn.XLOOKUP(CustomerCombined[[#This Row],[ID]], Table2[ID],Table2[MC5], "Not Found", 0 )</f>
        <v>0</v>
      </c>
    </row>
    <row r="177" spans="1:29" x14ac:dyDescent="0.3">
      <c r="A177" s="6">
        <v>2549</v>
      </c>
      <c r="B177" s="6">
        <v>127161</v>
      </c>
      <c r="C177" s="6">
        <v>1</v>
      </c>
      <c r="D177" s="6">
        <v>0</v>
      </c>
      <c r="E177" s="6">
        <v>34</v>
      </c>
      <c r="F177" s="5" t="s">
        <v>6</v>
      </c>
      <c r="G177" s="5" t="s">
        <v>12</v>
      </c>
      <c r="H177" s="3">
        <v>43894</v>
      </c>
      <c r="I177" s="5" t="s">
        <v>434</v>
      </c>
      <c r="J177" s="5">
        <f>_xlfn.XLOOKUP(CustomerCombined[[#This Row],[ID]], Table4[ID], Table4[Recency], "Not Found", 0)</f>
        <v>41</v>
      </c>
      <c r="K177" s="5">
        <f>_xlfn.XLOOKUP(CustomerCombined[[#This Row],[ID]], Table4[ID], Table4[Teas], "Not Found", 0)</f>
        <v>33</v>
      </c>
      <c r="L177" s="5">
        <f>_xlfn.XLOOKUP(CustomerCombined[[#This Row],[ID]], Table4[ID], Table4[Fruits], "Not Found", 0)</f>
        <v>19</v>
      </c>
      <c r="M177" s="5">
        <f>_xlfn.XLOOKUP(CustomerCombined[[#This Row],[ID]], Table4[ID], Table4[Meats], "Not Found", 0)</f>
        <v>108</v>
      </c>
      <c r="N177" s="5">
        <f>_xlfn.XLOOKUP(CustomerCombined[[#This Row],[ID]], Table4[ID], Table4[Seafood], "Not Found", 0)</f>
        <v>33</v>
      </c>
      <c r="O177" s="5">
        <f>_xlfn.XLOOKUP(CustomerCombined[[#This Row],[ID]], Table4[ID], Table4[Sweets], "Not Found", 0)</f>
        <v>0</v>
      </c>
      <c r="P177" s="5">
        <f>_xlfn.XLOOKUP(CustomerCombined[[#This Row],[ID]], Table4[ID], Table4[Premium], "Not Found", 0)</f>
        <v>51</v>
      </c>
      <c r="Q177" s="5">
        <f>_xlfn.XLOOKUP(CustomerCombined[[#This Row],[ID]], Table4[ID], Table4[Regular], "Not Found", 0)</f>
        <v>140</v>
      </c>
      <c r="R177" s="5">
        <f>_xlfn.XLOOKUP(CustomerCombined[[#This Row],[ID]], Table4[ID], Table4[Deals], "Not Found", 0)</f>
        <v>1</v>
      </c>
      <c r="S177" s="5">
        <f>_xlfn.XLOOKUP(CustomerCombined[[#This Row],[ID]], Table4[ID], Table4[Website], "Not Found", 0)</f>
        <v>1</v>
      </c>
      <c r="T177" s="5">
        <f>_xlfn.XLOOKUP(CustomerCombined[[#This Row],[ID]], Table4[ID], Table4[Catalog], "Not Found", 0)</f>
        <v>0</v>
      </c>
      <c r="U177" s="5">
        <f>_xlfn.XLOOKUP(CustomerCombined[[#This Row],[ID]], Table4[ID], Table4[Store], "Not Found", 0)</f>
        <v>3</v>
      </c>
      <c r="V177" s="5">
        <f>_xlfn.XLOOKUP(CustomerCombined[[#This Row],[ID]], Table4[ID], Table4[Visits], "Not Found", 0)</f>
        <v>7</v>
      </c>
      <c r="W177" s="8">
        <f>_xlfn.XLOOKUP(CustomerCombined[[#This Row],[ID]], Table2[ID],Table2[Complaint], "Not Found", 0 )</f>
        <v>0</v>
      </c>
      <c r="X177" s="8">
        <f>_xlfn.XLOOKUP(CustomerCombined[[#This Row],[ID]], Table2[ID],Table2[Pilot], "Not Found", 0 )</f>
        <v>0</v>
      </c>
      <c r="Y177" s="8">
        <f>_xlfn.XLOOKUP(CustomerCombined[[#This Row],[ID]], Table2[ID],Table2[MC1], "Not Found", 0 )</f>
        <v>0</v>
      </c>
      <c r="Z177" s="8">
        <f>_xlfn.XLOOKUP(CustomerCombined[[#This Row],[ID]], Table2[ID],Table2[MC2], "Not Found", 0 )</f>
        <v>0</v>
      </c>
      <c r="AA177" s="8">
        <f>_xlfn.XLOOKUP(CustomerCombined[[#This Row],[ID]], Table2[ID],Table2[MC3], "Not Found", 0 )</f>
        <v>0</v>
      </c>
      <c r="AB177" s="8">
        <f>_xlfn.XLOOKUP(CustomerCombined[[#This Row],[ID]], Table2[ID],Table2[MC4], "Not Found", 0 )</f>
        <v>0</v>
      </c>
      <c r="AC177" s="8">
        <f>_xlfn.XLOOKUP(CustomerCombined[[#This Row],[ID]], Table2[ID],Table2[MC5], "Not Found", 0 )</f>
        <v>0</v>
      </c>
    </row>
    <row r="178" spans="1:29" x14ac:dyDescent="0.3">
      <c r="A178" s="6">
        <v>3199</v>
      </c>
      <c r="B178" s="6">
        <v>126816</v>
      </c>
      <c r="C178" s="6">
        <v>0</v>
      </c>
      <c r="D178" s="6">
        <v>0</v>
      </c>
      <c r="E178" s="6">
        <v>34</v>
      </c>
      <c r="F178" s="5" t="s">
        <v>7</v>
      </c>
      <c r="G178" s="5" t="s">
        <v>11</v>
      </c>
      <c r="H178" s="3" t="s">
        <v>411</v>
      </c>
      <c r="I178" s="5" t="s">
        <v>437</v>
      </c>
      <c r="J178" s="5">
        <f>_xlfn.XLOOKUP(CustomerCombined[[#This Row],[ID]], Table4[ID], Table4[Recency], "Not Found", 0)</f>
        <v>50</v>
      </c>
      <c r="K178" s="5">
        <f>_xlfn.XLOOKUP(CustomerCombined[[#This Row],[ID]], Table4[ID], Table4[Teas], "Not Found", 0)</f>
        <v>24</v>
      </c>
      <c r="L178" s="5">
        <f>_xlfn.XLOOKUP(CustomerCombined[[#This Row],[ID]], Table4[ID], Table4[Fruits], "Not Found", 0)</f>
        <v>5</v>
      </c>
      <c r="M178" s="5">
        <f>_xlfn.XLOOKUP(CustomerCombined[[#This Row],[ID]], Table4[ID], Table4[Meats], "Not Found", 0)</f>
        <v>28</v>
      </c>
      <c r="N178" s="5">
        <f>_xlfn.XLOOKUP(CustomerCombined[[#This Row],[ID]], Table4[ID], Table4[Seafood], "Not Found", 0)</f>
        <v>14</v>
      </c>
      <c r="O178" s="5">
        <f>_xlfn.XLOOKUP(CustomerCombined[[#This Row],[ID]], Table4[ID], Table4[Sweets], "Not Found", 0)</f>
        <v>19</v>
      </c>
      <c r="P178" s="5">
        <f>_xlfn.XLOOKUP(CustomerCombined[[#This Row],[ID]], Table4[ID], Table4[Premium], "Not Found", 0)</f>
        <v>14</v>
      </c>
      <c r="Q178" s="5">
        <f>_xlfn.XLOOKUP(CustomerCombined[[#This Row],[ID]], Table4[ID], Table4[Regular], "Not Found", 0)</f>
        <v>76</v>
      </c>
      <c r="R178" s="5">
        <f>_xlfn.XLOOKUP(CustomerCombined[[#This Row],[ID]], Table4[ID], Table4[Deals], "Not Found", 0)</f>
        <v>1</v>
      </c>
      <c r="S178" s="5">
        <f>_xlfn.XLOOKUP(CustomerCombined[[#This Row],[ID]], Table4[ID], Table4[Website], "Not Found", 0)</f>
        <v>0</v>
      </c>
      <c r="T178" s="5">
        <f>_xlfn.XLOOKUP(CustomerCombined[[#This Row],[ID]], Table4[ID], Table4[Catalog], "Not Found", 0)</f>
        <v>0</v>
      </c>
      <c r="U178" s="5">
        <f>_xlfn.XLOOKUP(CustomerCombined[[#This Row],[ID]], Table4[ID], Table4[Store], "Not Found", 0)</f>
        <v>3</v>
      </c>
      <c r="V178" s="5">
        <f>_xlfn.XLOOKUP(CustomerCombined[[#This Row],[ID]], Table4[ID], Table4[Visits], "Not Found", 0)</f>
        <v>4</v>
      </c>
      <c r="W178" s="8">
        <f>_xlfn.XLOOKUP(CustomerCombined[[#This Row],[ID]], Table2[ID],Table2[Complaint], "Not Found", 0 )</f>
        <v>0</v>
      </c>
      <c r="X178" s="8">
        <f>_xlfn.XLOOKUP(CustomerCombined[[#This Row],[ID]], Table2[ID],Table2[Pilot], "Not Found", 0 )</f>
        <v>0</v>
      </c>
      <c r="Y178" s="8">
        <f>_xlfn.XLOOKUP(CustomerCombined[[#This Row],[ID]], Table2[ID],Table2[MC1], "Not Found", 0 )</f>
        <v>0</v>
      </c>
      <c r="Z178" s="8">
        <f>_xlfn.XLOOKUP(CustomerCombined[[#This Row],[ID]], Table2[ID],Table2[MC2], "Not Found", 0 )</f>
        <v>0</v>
      </c>
      <c r="AA178" s="8">
        <f>_xlfn.XLOOKUP(CustomerCombined[[#This Row],[ID]], Table2[ID],Table2[MC3], "Not Found", 0 )</f>
        <v>0</v>
      </c>
      <c r="AB178" s="8">
        <f>_xlfn.XLOOKUP(CustomerCombined[[#This Row],[ID]], Table2[ID],Table2[MC4], "Not Found", 0 )</f>
        <v>0</v>
      </c>
      <c r="AC178" s="8">
        <f>_xlfn.XLOOKUP(CustomerCombined[[#This Row],[ID]], Table2[ID],Table2[MC5], "Not Found", 0 )</f>
        <v>0</v>
      </c>
    </row>
    <row r="179" spans="1:29" x14ac:dyDescent="0.3">
      <c r="A179" s="6">
        <v>2130</v>
      </c>
      <c r="B179" s="6">
        <v>126576</v>
      </c>
      <c r="C179" s="6">
        <v>1</v>
      </c>
      <c r="D179" s="6">
        <v>0</v>
      </c>
      <c r="E179" s="6">
        <v>34</v>
      </c>
      <c r="F179" s="5" t="s">
        <v>7</v>
      </c>
      <c r="G179" s="5" t="s">
        <v>11</v>
      </c>
      <c r="H179" s="3" t="s">
        <v>381</v>
      </c>
      <c r="I179" s="5" t="s">
        <v>436</v>
      </c>
      <c r="J179" s="5">
        <f>_xlfn.XLOOKUP(CustomerCombined[[#This Row],[ID]], Table4[ID], Table4[Recency], "Not Found", 0)</f>
        <v>40</v>
      </c>
      <c r="K179" s="5">
        <f>_xlfn.XLOOKUP(CustomerCombined[[#This Row],[ID]], Table4[ID], Table4[Teas], "Not Found", 0)</f>
        <v>48</v>
      </c>
      <c r="L179" s="5">
        <f>_xlfn.XLOOKUP(CustomerCombined[[#This Row],[ID]], Table4[ID], Table4[Fruits], "Not Found", 0)</f>
        <v>0</v>
      </c>
      <c r="M179" s="5">
        <f>_xlfn.XLOOKUP(CustomerCombined[[#This Row],[ID]], Table4[ID], Table4[Meats], "Not Found", 0)</f>
        <v>38</v>
      </c>
      <c r="N179" s="5">
        <f>_xlfn.XLOOKUP(CustomerCombined[[#This Row],[ID]], Table4[ID], Table4[Seafood], "Not Found", 0)</f>
        <v>0</v>
      </c>
      <c r="O179" s="5">
        <f>_xlfn.XLOOKUP(CustomerCombined[[#This Row],[ID]], Table4[ID], Table4[Sweets], "Not Found", 0)</f>
        <v>0</v>
      </c>
      <c r="P179" s="5">
        <f>_xlfn.XLOOKUP(CustomerCombined[[#This Row],[ID]], Table4[ID], Table4[Premium], "Not Found", 0)</f>
        <v>43</v>
      </c>
      <c r="Q179" s="5">
        <f>_xlfn.XLOOKUP(CustomerCombined[[#This Row],[ID]], Table4[ID], Table4[Regular], "Not Found", 0)</f>
        <v>43</v>
      </c>
      <c r="R179" s="5">
        <f>_xlfn.XLOOKUP(CustomerCombined[[#This Row],[ID]], Table4[ID], Table4[Deals], "Not Found", 0)</f>
        <v>1</v>
      </c>
      <c r="S179" s="5">
        <f>_xlfn.XLOOKUP(CustomerCombined[[#This Row],[ID]], Table4[ID], Table4[Website], "Not Found", 0)</f>
        <v>1</v>
      </c>
      <c r="T179" s="5">
        <f>_xlfn.XLOOKUP(CustomerCombined[[#This Row],[ID]], Table4[ID], Table4[Catalog], "Not Found", 0)</f>
        <v>0</v>
      </c>
      <c r="U179" s="5">
        <f>_xlfn.XLOOKUP(CustomerCombined[[#This Row],[ID]], Table4[ID], Table4[Store], "Not Found", 0)</f>
        <v>2</v>
      </c>
      <c r="V179" s="5">
        <f>_xlfn.XLOOKUP(CustomerCombined[[#This Row],[ID]], Table4[ID], Table4[Visits], "Not Found", 0)</f>
        <v>9</v>
      </c>
      <c r="W179" s="8">
        <f>_xlfn.XLOOKUP(CustomerCombined[[#This Row],[ID]], Table2[ID],Table2[Complaint], "Not Found", 0 )</f>
        <v>0</v>
      </c>
      <c r="X179" s="8">
        <f>_xlfn.XLOOKUP(CustomerCombined[[#This Row],[ID]], Table2[ID],Table2[Pilot], "Not Found", 0 )</f>
        <v>1</v>
      </c>
      <c r="Y179" s="8">
        <f>_xlfn.XLOOKUP(CustomerCombined[[#This Row],[ID]], Table2[ID],Table2[MC1], "Not Found", 0 )</f>
        <v>0</v>
      </c>
      <c r="Z179" s="8">
        <f>_xlfn.XLOOKUP(CustomerCombined[[#This Row],[ID]], Table2[ID],Table2[MC2], "Not Found", 0 )</f>
        <v>0</v>
      </c>
      <c r="AA179" s="8">
        <f>_xlfn.XLOOKUP(CustomerCombined[[#This Row],[ID]], Table2[ID],Table2[MC3], "Not Found", 0 )</f>
        <v>1</v>
      </c>
      <c r="AB179" s="8">
        <f>_xlfn.XLOOKUP(CustomerCombined[[#This Row],[ID]], Table2[ID],Table2[MC4], "Not Found", 0 )</f>
        <v>0</v>
      </c>
      <c r="AC179" s="8">
        <f>_xlfn.XLOOKUP(CustomerCombined[[#This Row],[ID]], Table2[ID],Table2[MC5], "Not Found", 0 )</f>
        <v>0</v>
      </c>
    </row>
    <row r="180" spans="1:29" x14ac:dyDescent="0.3">
      <c r="A180" s="6">
        <v>1691</v>
      </c>
      <c r="B180" s="6">
        <v>125252</v>
      </c>
      <c r="C180" s="6">
        <v>1</v>
      </c>
      <c r="D180" s="6">
        <v>0</v>
      </c>
      <c r="E180" s="6">
        <v>34</v>
      </c>
      <c r="F180" s="5" t="s">
        <v>6</v>
      </c>
      <c r="G180" s="5" t="s">
        <v>11</v>
      </c>
      <c r="H180" s="3" t="s">
        <v>224</v>
      </c>
      <c r="I180" s="5" t="s">
        <v>434</v>
      </c>
      <c r="J180" s="5">
        <f>_xlfn.XLOOKUP(CustomerCombined[[#This Row],[ID]], Table4[ID], Table4[Recency], "Not Found", 0)</f>
        <v>26</v>
      </c>
      <c r="K180" s="5">
        <f>_xlfn.XLOOKUP(CustomerCombined[[#This Row],[ID]], Table4[ID], Table4[Teas], "Not Found", 0)</f>
        <v>5</v>
      </c>
      <c r="L180" s="5">
        <f>_xlfn.XLOOKUP(CustomerCombined[[#This Row],[ID]], Table4[ID], Table4[Fruits], "Not Found", 0)</f>
        <v>15</v>
      </c>
      <c r="M180" s="5">
        <f>_xlfn.XLOOKUP(CustomerCombined[[#This Row],[ID]], Table4[ID], Table4[Meats], "Not Found", 0)</f>
        <v>20</v>
      </c>
      <c r="N180" s="5">
        <f>_xlfn.XLOOKUP(CustomerCombined[[#This Row],[ID]], Table4[ID], Table4[Seafood], "Not Found", 0)</f>
        <v>10</v>
      </c>
      <c r="O180" s="5">
        <f>_xlfn.XLOOKUP(CustomerCombined[[#This Row],[ID]], Table4[ID], Table4[Sweets], "Not Found", 0)</f>
        <v>10</v>
      </c>
      <c r="P180" s="5">
        <f>_xlfn.XLOOKUP(CustomerCombined[[#This Row],[ID]], Table4[ID], Table4[Premium], "Not Found", 0)</f>
        <v>30</v>
      </c>
      <c r="Q180" s="5">
        <f>_xlfn.XLOOKUP(CustomerCombined[[#This Row],[ID]], Table4[ID], Table4[Regular], "Not Found", 0)</f>
        <v>30</v>
      </c>
      <c r="R180" s="5">
        <f>_xlfn.XLOOKUP(CustomerCombined[[#This Row],[ID]], Table4[ID], Table4[Deals], "Not Found", 0)</f>
        <v>1</v>
      </c>
      <c r="S180" s="5">
        <f>_xlfn.XLOOKUP(CustomerCombined[[#This Row],[ID]], Table4[ID], Table4[Website], "Not Found", 0)</f>
        <v>1</v>
      </c>
      <c r="T180" s="5">
        <f>_xlfn.XLOOKUP(CustomerCombined[[#This Row],[ID]], Table4[ID], Table4[Catalog], "Not Found", 0)</f>
        <v>0</v>
      </c>
      <c r="U180" s="5">
        <f>_xlfn.XLOOKUP(CustomerCombined[[#This Row],[ID]], Table4[ID], Table4[Store], "Not Found", 0)</f>
        <v>2</v>
      </c>
      <c r="V180" s="5">
        <f>_xlfn.XLOOKUP(CustomerCombined[[#This Row],[ID]], Table4[ID], Table4[Visits], "Not Found", 0)</f>
        <v>8</v>
      </c>
      <c r="W180" s="8">
        <f>_xlfn.XLOOKUP(CustomerCombined[[#This Row],[ID]], Table2[ID],Table2[Complaint], "Not Found", 0 )</f>
        <v>0</v>
      </c>
      <c r="X180" s="8">
        <f>_xlfn.XLOOKUP(CustomerCombined[[#This Row],[ID]], Table2[ID],Table2[Pilot], "Not Found", 0 )</f>
        <v>0</v>
      </c>
      <c r="Y180" s="8">
        <f>_xlfn.XLOOKUP(CustomerCombined[[#This Row],[ID]], Table2[ID],Table2[MC1], "Not Found", 0 )</f>
        <v>0</v>
      </c>
      <c r="Z180" s="8">
        <f>_xlfn.XLOOKUP(CustomerCombined[[#This Row],[ID]], Table2[ID],Table2[MC2], "Not Found", 0 )</f>
        <v>0</v>
      </c>
      <c r="AA180" s="8">
        <f>_xlfn.XLOOKUP(CustomerCombined[[#This Row],[ID]], Table2[ID],Table2[MC3], "Not Found", 0 )</f>
        <v>0</v>
      </c>
      <c r="AB180" s="8">
        <f>_xlfn.XLOOKUP(CustomerCombined[[#This Row],[ID]], Table2[ID],Table2[MC4], "Not Found", 0 )</f>
        <v>0</v>
      </c>
      <c r="AC180" s="8">
        <f>_xlfn.XLOOKUP(CustomerCombined[[#This Row],[ID]], Table2[ID],Table2[MC5], "Not Found", 0 )</f>
        <v>0</v>
      </c>
    </row>
    <row r="181" spans="1:29" x14ac:dyDescent="0.3">
      <c r="A181" s="6">
        <v>2963</v>
      </c>
      <c r="B181" s="6">
        <v>123477</v>
      </c>
      <c r="C181" s="6">
        <v>1</v>
      </c>
      <c r="D181" s="6">
        <v>0</v>
      </c>
      <c r="E181" s="6">
        <v>34</v>
      </c>
      <c r="F181" s="5" t="s">
        <v>6</v>
      </c>
      <c r="G181" s="5" t="s">
        <v>11</v>
      </c>
      <c r="H181" s="3" t="s">
        <v>161</v>
      </c>
      <c r="I181" s="5" t="s">
        <v>434</v>
      </c>
      <c r="J181" s="5">
        <f>_xlfn.XLOOKUP(CustomerCombined[[#This Row],[ID]], Table4[ID], Table4[Recency], "Not Found", 0)</f>
        <v>39</v>
      </c>
      <c r="K181" s="5">
        <f>_xlfn.XLOOKUP(CustomerCombined[[#This Row],[ID]], Table4[ID], Table4[Teas], "Not Found", 0)</f>
        <v>200</v>
      </c>
      <c r="L181" s="5">
        <f>_xlfn.XLOOKUP(CustomerCombined[[#This Row],[ID]], Table4[ID], Table4[Fruits], "Not Found", 0)</f>
        <v>79</v>
      </c>
      <c r="M181" s="5">
        <f>_xlfn.XLOOKUP(CustomerCombined[[#This Row],[ID]], Table4[ID], Table4[Meats], "Not Found", 0)</f>
        <v>284</v>
      </c>
      <c r="N181" s="5">
        <f>_xlfn.XLOOKUP(CustomerCombined[[#This Row],[ID]], Table4[ID], Table4[Seafood], "Not Found", 0)</f>
        <v>16</v>
      </c>
      <c r="O181" s="5">
        <f>_xlfn.XLOOKUP(CustomerCombined[[#This Row],[ID]], Table4[ID], Table4[Sweets], "Not Found", 0)</f>
        <v>42</v>
      </c>
      <c r="P181" s="5">
        <f>_xlfn.XLOOKUP(CustomerCombined[[#This Row],[ID]], Table4[ID], Table4[Premium], "Not Found", 0)</f>
        <v>153</v>
      </c>
      <c r="Q181" s="5">
        <f>_xlfn.XLOOKUP(CustomerCombined[[#This Row],[ID]], Table4[ID], Table4[Regular], "Not Found", 0)</f>
        <v>468</v>
      </c>
      <c r="R181" s="5">
        <f>_xlfn.XLOOKUP(CustomerCombined[[#This Row],[ID]], Table4[ID], Table4[Deals], "Not Found", 0)</f>
        <v>3</v>
      </c>
      <c r="S181" s="5">
        <f>_xlfn.XLOOKUP(CustomerCombined[[#This Row],[ID]], Table4[ID], Table4[Website], "Not Found", 0)</f>
        <v>3</v>
      </c>
      <c r="T181" s="5">
        <f>_xlfn.XLOOKUP(CustomerCombined[[#This Row],[ID]], Table4[ID], Table4[Catalog], "Not Found", 0)</f>
        <v>0</v>
      </c>
      <c r="U181" s="5">
        <f>_xlfn.XLOOKUP(CustomerCombined[[#This Row],[ID]], Table4[ID], Table4[Store], "Not Found", 0)</f>
        <v>4</v>
      </c>
      <c r="V181" s="5">
        <f>_xlfn.XLOOKUP(CustomerCombined[[#This Row],[ID]], Table4[ID], Table4[Visits], "Not Found", 0)</f>
        <v>8</v>
      </c>
      <c r="W181" s="8">
        <f>_xlfn.XLOOKUP(CustomerCombined[[#This Row],[ID]], Table2[ID],Table2[Complaint], "Not Found", 0 )</f>
        <v>0</v>
      </c>
      <c r="X181" s="8">
        <f>_xlfn.XLOOKUP(CustomerCombined[[#This Row],[ID]], Table2[ID],Table2[Pilot], "Not Found", 0 )</f>
        <v>0</v>
      </c>
      <c r="Y181" s="8">
        <f>_xlfn.XLOOKUP(CustomerCombined[[#This Row],[ID]], Table2[ID],Table2[MC1], "Not Found", 0 )</f>
        <v>0</v>
      </c>
      <c r="Z181" s="8">
        <f>_xlfn.XLOOKUP(CustomerCombined[[#This Row],[ID]], Table2[ID],Table2[MC2], "Not Found", 0 )</f>
        <v>0</v>
      </c>
      <c r="AA181" s="8">
        <f>_xlfn.XLOOKUP(CustomerCombined[[#This Row],[ID]], Table2[ID],Table2[MC3], "Not Found", 0 )</f>
        <v>0</v>
      </c>
      <c r="AB181" s="8">
        <f>_xlfn.XLOOKUP(CustomerCombined[[#This Row],[ID]], Table2[ID],Table2[MC4], "Not Found", 0 )</f>
        <v>0</v>
      </c>
      <c r="AC181" s="8">
        <f>_xlfn.XLOOKUP(CustomerCombined[[#This Row],[ID]], Table2[ID],Table2[MC5], "Not Found", 0 )</f>
        <v>0</v>
      </c>
    </row>
    <row r="182" spans="1:29" x14ac:dyDescent="0.3">
      <c r="A182" s="6">
        <v>2208</v>
      </c>
      <c r="B182" s="6">
        <v>122518</v>
      </c>
      <c r="C182" s="6">
        <v>1</v>
      </c>
      <c r="D182" s="6">
        <v>0</v>
      </c>
      <c r="E182" s="6">
        <v>34</v>
      </c>
      <c r="F182" s="5" t="s">
        <v>6</v>
      </c>
      <c r="G182" s="5" t="s">
        <v>11</v>
      </c>
      <c r="H182" s="3" t="s">
        <v>372</v>
      </c>
      <c r="I182" s="5" t="s">
        <v>436</v>
      </c>
      <c r="J182" s="5">
        <f>_xlfn.XLOOKUP(CustomerCombined[[#This Row],[ID]], Table4[ID], Table4[Recency], "Not Found", 0)</f>
        <v>36</v>
      </c>
      <c r="K182" s="5">
        <f>_xlfn.XLOOKUP(CustomerCombined[[#This Row],[ID]], Table4[ID], Table4[Teas], "Not Found", 0)</f>
        <v>60</v>
      </c>
      <c r="L182" s="5">
        <f>_xlfn.XLOOKUP(CustomerCombined[[#This Row],[ID]], Table4[ID], Table4[Fruits], "Not Found", 0)</f>
        <v>38</v>
      </c>
      <c r="M182" s="5">
        <f>_xlfn.XLOOKUP(CustomerCombined[[#This Row],[ID]], Table4[ID], Table4[Meats], "Not Found", 0)</f>
        <v>65</v>
      </c>
      <c r="N182" s="5">
        <f>_xlfn.XLOOKUP(CustomerCombined[[#This Row],[ID]], Table4[ID], Table4[Seafood], "Not Found", 0)</f>
        <v>11</v>
      </c>
      <c r="O182" s="5">
        <f>_xlfn.XLOOKUP(CustomerCombined[[#This Row],[ID]], Table4[ID], Table4[Sweets], "Not Found", 0)</f>
        <v>11</v>
      </c>
      <c r="P182" s="5">
        <f>_xlfn.XLOOKUP(CustomerCombined[[#This Row],[ID]], Table4[ID], Table4[Premium], "Not Found", 0)</f>
        <v>147</v>
      </c>
      <c r="Q182" s="5">
        <f>_xlfn.XLOOKUP(CustomerCombined[[#This Row],[ID]], Table4[ID], Table4[Regular], "Not Found", 0)</f>
        <v>38</v>
      </c>
      <c r="R182" s="5">
        <f>_xlfn.XLOOKUP(CustomerCombined[[#This Row],[ID]], Table4[ID], Table4[Deals], "Not Found", 0)</f>
        <v>2</v>
      </c>
      <c r="S182" s="5">
        <f>_xlfn.XLOOKUP(CustomerCombined[[#This Row],[ID]], Table4[ID], Table4[Website], "Not Found", 0)</f>
        <v>2</v>
      </c>
      <c r="T182" s="5">
        <f>_xlfn.XLOOKUP(CustomerCombined[[#This Row],[ID]], Table4[ID], Table4[Catalog], "Not Found", 0)</f>
        <v>1</v>
      </c>
      <c r="U182" s="5">
        <f>_xlfn.XLOOKUP(CustomerCombined[[#This Row],[ID]], Table4[ID], Table4[Store], "Not Found", 0)</f>
        <v>2</v>
      </c>
      <c r="V182" s="5">
        <f>_xlfn.XLOOKUP(CustomerCombined[[#This Row],[ID]], Table4[ID], Table4[Visits], "Not Found", 0)</f>
        <v>5</v>
      </c>
      <c r="W182" s="8">
        <f>_xlfn.XLOOKUP(CustomerCombined[[#This Row],[ID]], Table2[ID],Table2[Complaint], "Not Found", 0 )</f>
        <v>0</v>
      </c>
      <c r="X182" s="8">
        <f>_xlfn.XLOOKUP(CustomerCombined[[#This Row],[ID]], Table2[ID],Table2[Pilot], "Not Found", 0 )</f>
        <v>1</v>
      </c>
      <c r="Y182" s="8">
        <f>_xlfn.XLOOKUP(CustomerCombined[[#This Row],[ID]], Table2[ID],Table2[MC1], "Not Found", 0 )</f>
        <v>0</v>
      </c>
      <c r="Z182" s="8">
        <f>_xlfn.XLOOKUP(CustomerCombined[[#This Row],[ID]], Table2[ID],Table2[MC2], "Not Found", 0 )</f>
        <v>0</v>
      </c>
      <c r="AA182" s="8">
        <f>_xlfn.XLOOKUP(CustomerCombined[[#This Row],[ID]], Table2[ID],Table2[MC3], "Not Found", 0 )</f>
        <v>1</v>
      </c>
      <c r="AB182" s="8">
        <f>_xlfn.XLOOKUP(CustomerCombined[[#This Row],[ID]], Table2[ID],Table2[MC4], "Not Found", 0 )</f>
        <v>0</v>
      </c>
      <c r="AC182" s="8">
        <f>_xlfn.XLOOKUP(CustomerCombined[[#This Row],[ID]], Table2[ID],Table2[MC5], "Not Found", 0 )</f>
        <v>0</v>
      </c>
    </row>
    <row r="183" spans="1:29" x14ac:dyDescent="0.3">
      <c r="A183" s="6">
        <v>2739</v>
      </c>
      <c r="B183" s="6">
        <v>121955</v>
      </c>
      <c r="C183" s="6">
        <v>1</v>
      </c>
      <c r="D183" s="6">
        <v>0</v>
      </c>
      <c r="E183" s="6">
        <v>34</v>
      </c>
      <c r="F183" s="5" t="s">
        <v>6</v>
      </c>
      <c r="G183" s="5" t="s">
        <v>442</v>
      </c>
      <c r="H183" s="3">
        <v>44167</v>
      </c>
      <c r="I183" s="5" t="s">
        <v>435</v>
      </c>
      <c r="J183" s="5">
        <f>_xlfn.XLOOKUP(CustomerCombined[[#This Row],[ID]], Table4[ID], Table4[Recency], "Not Found", 0)</f>
        <v>81</v>
      </c>
      <c r="K183" s="5">
        <f>_xlfn.XLOOKUP(CustomerCombined[[#This Row],[ID]], Table4[ID], Table4[Teas], "Not Found", 0)</f>
        <v>28</v>
      </c>
      <c r="L183" s="5">
        <f>_xlfn.XLOOKUP(CustomerCombined[[#This Row],[ID]], Table4[ID], Table4[Fruits], "Not Found", 0)</f>
        <v>6</v>
      </c>
      <c r="M183" s="5">
        <f>_xlfn.XLOOKUP(CustomerCombined[[#This Row],[ID]], Table4[ID], Table4[Meats], "Not Found", 0)</f>
        <v>39</v>
      </c>
      <c r="N183" s="5">
        <f>_xlfn.XLOOKUP(CustomerCombined[[#This Row],[ID]], Table4[ID], Table4[Seafood], "Not Found", 0)</f>
        <v>94</v>
      </c>
      <c r="O183" s="5">
        <f>_xlfn.XLOOKUP(CustomerCombined[[#This Row],[ID]], Table4[ID], Table4[Sweets], "Not Found", 0)</f>
        <v>78</v>
      </c>
      <c r="P183" s="5">
        <f>_xlfn.XLOOKUP(CustomerCombined[[#This Row],[ID]], Table4[ID], Table4[Premium], "Not Found", 0)</f>
        <v>61</v>
      </c>
      <c r="Q183" s="5">
        <f>_xlfn.XLOOKUP(CustomerCombined[[#This Row],[ID]], Table4[ID], Table4[Regular], "Not Found", 0)</f>
        <v>183</v>
      </c>
      <c r="R183" s="5">
        <f>_xlfn.XLOOKUP(CustomerCombined[[#This Row],[ID]], Table4[ID], Table4[Deals], "Not Found", 0)</f>
        <v>2</v>
      </c>
      <c r="S183" s="5">
        <f>_xlfn.XLOOKUP(CustomerCombined[[#This Row],[ID]], Table4[ID], Table4[Website], "Not Found", 0)</f>
        <v>2</v>
      </c>
      <c r="T183" s="5">
        <f>_xlfn.XLOOKUP(CustomerCombined[[#This Row],[ID]], Table4[ID], Table4[Catalog], "Not Found", 0)</f>
        <v>1</v>
      </c>
      <c r="U183" s="5">
        <f>_xlfn.XLOOKUP(CustomerCombined[[#This Row],[ID]], Table4[ID], Table4[Store], "Not Found", 0)</f>
        <v>3</v>
      </c>
      <c r="V183" s="5">
        <f>_xlfn.XLOOKUP(CustomerCombined[[#This Row],[ID]], Table4[ID], Table4[Visits], "Not Found", 0)</f>
        <v>6</v>
      </c>
      <c r="W183" s="8">
        <f>_xlfn.XLOOKUP(CustomerCombined[[#This Row],[ID]], Table2[ID],Table2[Complaint], "Not Found", 0 )</f>
        <v>0</v>
      </c>
      <c r="X183" s="8">
        <f>_xlfn.XLOOKUP(CustomerCombined[[#This Row],[ID]], Table2[ID],Table2[Pilot], "Not Found", 0 )</f>
        <v>0</v>
      </c>
      <c r="Y183" s="8">
        <f>_xlfn.XLOOKUP(CustomerCombined[[#This Row],[ID]], Table2[ID],Table2[MC1], "Not Found", 0 )</f>
        <v>0</v>
      </c>
      <c r="Z183" s="8">
        <f>_xlfn.XLOOKUP(CustomerCombined[[#This Row],[ID]], Table2[ID],Table2[MC2], "Not Found", 0 )</f>
        <v>0</v>
      </c>
      <c r="AA183" s="8">
        <f>_xlfn.XLOOKUP(CustomerCombined[[#This Row],[ID]], Table2[ID],Table2[MC3], "Not Found", 0 )</f>
        <v>0</v>
      </c>
      <c r="AB183" s="8">
        <f>_xlfn.XLOOKUP(CustomerCombined[[#This Row],[ID]], Table2[ID],Table2[MC4], "Not Found", 0 )</f>
        <v>0</v>
      </c>
      <c r="AC183" s="8">
        <f>_xlfn.XLOOKUP(CustomerCombined[[#This Row],[ID]], Table2[ID],Table2[MC5], "Not Found", 0 )</f>
        <v>0</v>
      </c>
    </row>
    <row r="184" spans="1:29" x14ac:dyDescent="0.3">
      <c r="A184" s="6">
        <v>1589</v>
      </c>
      <c r="B184" s="6">
        <v>121888</v>
      </c>
      <c r="C184" s="6">
        <v>1</v>
      </c>
      <c r="D184" s="6">
        <v>0</v>
      </c>
      <c r="E184" s="6">
        <v>34</v>
      </c>
      <c r="F184" s="5" t="s">
        <v>7</v>
      </c>
      <c r="G184" s="5" t="s">
        <v>12</v>
      </c>
      <c r="H184" s="3">
        <v>43591</v>
      </c>
      <c r="I184" s="5" t="s">
        <v>434</v>
      </c>
      <c r="J184" s="5">
        <f>_xlfn.XLOOKUP(CustomerCombined[[#This Row],[ID]], Table4[ID], Table4[Recency], "Not Found", 0)</f>
        <v>15</v>
      </c>
      <c r="K184" s="5">
        <f>_xlfn.XLOOKUP(CustomerCombined[[#This Row],[ID]], Table4[ID], Table4[Teas], "Not Found", 0)</f>
        <v>490</v>
      </c>
      <c r="L184" s="5">
        <f>_xlfn.XLOOKUP(CustomerCombined[[#This Row],[ID]], Table4[ID], Table4[Fruits], "Not Found", 0)</f>
        <v>56</v>
      </c>
      <c r="M184" s="5">
        <f>_xlfn.XLOOKUP(CustomerCombined[[#This Row],[ID]], Table4[ID], Table4[Meats], "Not Found", 0)</f>
        <v>256</v>
      </c>
      <c r="N184" s="5">
        <f>_xlfn.XLOOKUP(CustomerCombined[[#This Row],[ID]], Table4[ID], Table4[Seafood], "Not Found", 0)</f>
        <v>11</v>
      </c>
      <c r="O184" s="5">
        <f>_xlfn.XLOOKUP(CustomerCombined[[#This Row],[ID]], Table4[ID], Table4[Sweets], "Not Found", 0)</f>
        <v>17</v>
      </c>
      <c r="P184" s="5">
        <f>_xlfn.XLOOKUP(CustomerCombined[[#This Row],[ID]], Table4[ID], Table4[Premium], "Not Found", 0)</f>
        <v>356</v>
      </c>
      <c r="Q184" s="5">
        <f>_xlfn.XLOOKUP(CustomerCombined[[#This Row],[ID]], Table4[ID], Table4[Regular], "Not Found", 0)</f>
        <v>473</v>
      </c>
      <c r="R184" s="5">
        <f>_xlfn.XLOOKUP(CustomerCombined[[#This Row],[ID]], Table4[ID], Table4[Deals], "Not Found", 0)</f>
        <v>4</v>
      </c>
      <c r="S184" s="5">
        <f>_xlfn.XLOOKUP(CustomerCombined[[#This Row],[ID]], Table4[ID], Table4[Website], "Not Found", 0)</f>
        <v>5</v>
      </c>
      <c r="T184" s="5">
        <f>_xlfn.XLOOKUP(CustomerCombined[[#This Row],[ID]], Table4[ID], Table4[Catalog], "Not Found", 0)</f>
        <v>1</v>
      </c>
      <c r="U184" s="5">
        <f>_xlfn.XLOOKUP(CustomerCombined[[#This Row],[ID]], Table4[ID], Table4[Store], "Not Found", 0)</f>
        <v>2</v>
      </c>
      <c r="V184" s="5">
        <f>_xlfn.XLOOKUP(CustomerCombined[[#This Row],[ID]], Table4[ID], Table4[Visits], "Not Found", 0)</f>
        <v>10</v>
      </c>
      <c r="W184" s="8">
        <f>_xlfn.XLOOKUP(CustomerCombined[[#This Row],[ID]], Table2[ID],Table2[Complaint], "Not Found", 0 )</f>
        <v>0</v>
      </c>
      <c r="X184" s="8">
        <f>_xlfn.XLOOKUP(CustomerCombined[[#This Row],[ID]], Table2[ID],Table2[Pilot], "Not Found", 0 )</f>
        <v>1</v>
      </c>
      <c r="Y184" s="8">
        <f>_xlfn.XLOOKUP(CustomerCombined[[#This Row],[ID]], Table2[ID],Table2[MC1], "Not Found", 0 )</f>
        <v>0</v>
      </c>
      <c r="Z184" s="8">
        <f>_xlfn.XLOOKUP(CustomerCombined[[#This Row],[ID]], Table2[ID],Table2[MC2], "Not Found", 0 )</f>
        <v>0</v>
      </c>
      <c r="AA184" s="8">
        <f>_xlfn.XLOOKUP(CustomerCombined[[#This Row],[ID]], Table2[ID],Table2[MC3], "Not Found", 0 )</f>
        <v>0</v>
      </c>
      <c r="AB184" s="8">
        <f>_xlfn.XLOOKUP(CustomerCombined[[#This Row],[ID]], Table2[ID],Table2[MC4], "Not Found", 0 )</f>
        <v>0</v>
      </c>
      <c r="AC184" s="8">
        <f>_xlfn.XLOOKUP(CustomerCombined[[#This Row],[ID]], Table2[ID],Table2[MC5], "Not Found", 0 )</f>
        <v>0</v>
      </c>
    </row>
    <row r="185" spans="1:29" x14ac:dyDescent="0.3">
      <c r="A185" s="6">
        <v>1880</v>
      </c>
      <c r="B185" s="6">
        <v>121846</v>
      </c>
      <c r="C185" s="6">
        <v>1</v>
      </c>
      <c r="D185" s="6">
        <v>0</v>
      </c>
      <c r="E185" s="6">
        <v>34</v>
      </c>
      <c r="F185" s="5" t="s">
        <v>5</v>
      </c>
      <c r="G185" s="5" t="s">
        <v>11</v>
      </c>
      <c r="H185" s="3" t="s">
        <v>160</v>
      </c>
      <c r="I185" s="5" t="s">
        <v>438</v>
      </c>
      <c r="J185" s="5">
        <f>_xlfn.XLOOKUP(CustomerCombined[[#This Row],[ID]], Table4[ID], Table4[Recency], "Not Found", 0)</f>
        <v>38</v>
      </c>
      <c r="K185" s="5">
        <f>_xlfn.XLOOKUP(CustomerCombined[[#This Row],[ID]], Table4[ID], Table4[Teas], "Not Found", 0)</f>
        <v>39</v>
      </c>
      <c r="L185" s="5">
        <f>_xlfn.XLOOKUP(CustomerCombined[[#This Row],[ID]], Table4[ID], Table4[Fruits], "Not Found", 0)</f>
        <v>95</v>
      </c>
      <c r="M185" s="5">
        <f>_xlfn.XLOOKUP(CustomerCombined[[#This Row],[ID]], Table4[ID], Table4[Meats], "Not Found", 0)</f>
        <v>100</v>
      </c>
      <c r="N185" s="5">
        <f>_xlfn.XLOOKUP(CustomerCombined[[#This Row],[ID]], Table4[ID], Table4[Seafood], "Not Found", 0)</f>
        <v>33</v>
      </c>
      <c r="O185" s="5">
        <f>_xlfn.XLOOKUP(CustomerCombined[[#This Row],[ID]], Table4[ID], Table4[Sweets], "Not Found", 0)</f>
        <v>56</v>
      </c>
      <c r="P185" s="5">
        <f>_xlfn.XLOOKUP(CustomerCombined[[#This Row],[ID]], Table4[ID], Table4[Premium], "Not Found", 0)</f>
        <v>145</v>
      </c>
      <c r="Q185" s="5">
        <f>_xlfn.XLOOKUP(CustomerCombined[[#This Row],[ID]], Table4[ID], Table4[Regular], "Not Found", 0)</f>
        <v>178</v>
      </c>
      <c r="R185" s="5">
        <f>_xlfn.XLOOKUP(CustomerCombined[[#This Row],[ID]], Table4[ID], Table4[Deals], "Not Found", 0)</f>
        <v>4</v>
      </c>
      <c r="S185" s="5">
        <f>_xlfn.XLOOKUP(CustomerCombined[[#This Row],[ID]], Table4[ID], Table4[Website], "Not Found", 0)</f>
        <v>4</v>
      </c>
      <c r="T185" s="5">
        <f>_xlfn.XLOOKUP(CustomerCombined[[#This Row],[ID]], Table4[ID], Table4[Catalog], "Not Found", 0)</f>
        <v>0</v>
      </c>
      <c r="U185" s="5">
        <f>_xlfn.XLOOKUP(CustomerCombined[[#This Row],[ID]], Table4[ID], Table4[Store], "Not Found", 0)</f>
        <v>3</v>
      </c>
      <c r="V185" s="5">
        <f>_xlfn.XLOOKUP(CustomerCombined[[#This Row],[ID]], Table4[ID], Table4[Visits], "Not Found", 0)</f>
        <v>8</v>
      </c>
      <c r="W185" s="8">
        <f>_xlfn.XLOOKUP(CustomerCombined[[#This Row],[ID]], Table2[ID],Table2[Complaint], "Not Found", 0 )</f>
        <v>0</v>
      </c>
      <c r="X185" s="8">
        <f>_xlfn.XLOOKUP(CustomerCombined[[#This Row],[ID]], Table2[ID],Table2[Pilot], "Not Found", 0 )</f>
        <v>0</v>
      </c>
      <c r="Y185" s="8">
        <f>_xlfn.XLOOKUP(CustomerCombined[[#This Row],[ID]], Table2[ID],Table2[MC1], "Not Found", 0 )</f>
        <v>0</v>
      </c>
      <c r="Z185" s="8">
        <f>_xlfn.XLOOKUP(CustomerCombined[[#This Row],[ID]], Table2[ID],Table2[MC2], "Not Found", 0 )</f>
        <v>0</v>
      </c>
      <c r="AA185" s="8">
        <f>_xlfn.XLOOKUP(CustomerCombined[[#This Row],[ID]], Table2[ID],Table2[MC3], "Not Found", 0 )</f>
        <v>0</v>
      </c>
      <c r="AB185" s="8">
        <f>_xlfn.XLOOKUP(CustomerCombined[[#This Row],[ID]], Table2[ID],Table2[MC4], "Not Found", 0 )</f>
        <v>0</v>
      </c>
      <c r="AC185" s="8">
        <f>_xlfn.XLOOKUP(CustomerCombined[[#This Row],[ID]], Table2[ID],Table2[MC5], "Not Found", 0 )</f>
        <v>0</v>
      </c>
    </row>
    <row r="186" spans="1:29" x14ac:dyDescent="0.3">
      <c r="A186" s="6">
        <v>2413</v>
      </c>
      <c r="B186" s="6">
        <v>120491</v>
      </c>
      <c r="C186" s="6">
        <v>0</v>
      </c>
      <c r="D186" s="6">
        <v>0</v>
      </c>
      <c r="E186" s="6">
        <v>34</v>
      </c>
      <c r="F186" s="5" t="s">
        <v>8</v>
      </c>
      <c r="G186" s="5" t="s">
        <v>442</v>
      </c>
      <c r="H186" s="3">
        <v>43503</v>
      </c>
      <c r="I186" s="5" t="s">
        <v>437</v>
      </c>
      <c r="J186" s="5">
        <f>_xlfn.XLOOKUP(CustomerCombined[[#This Row],[ID]], Table4[ID], Table4[Recency], "Not Found", 0)</f>
        <v>16</v>
      </c>
      <c r="K186" s="5">
        <f>_xlfn.XLOOKUP(CustomerCombined[[#This Row],[ID]], Table4[ID], Table4[Teas], "Not Found", 0)</f>
        <v>29</v>
      </c>
      <c r="L186" s="5">
        <f>_xlfn.XLOOKUP(CustomerCombined[[#This Row],[ID]], Table4[ID], Table4[Fruits], "Not Found", 0)</f>
        <v>24</v>
      </c>
      <c r="M186" s="5">
        <f>_xlfn.XLOOKUP(CustomerCombined[[#This Row],[ID]], Table4[ID], Table4[Meats], "Not Found", 0)</f>
        <v>29</v>
      </c>
      <c r="N186" s="5">
        <f>_xlfn.XLOOKUP(CustomerCombined[[#This Row],[ID]], Table4[ID], Table4[Seafood], "Not Found", 0)</f>
        <v>24</v>
      </c>
      <c r="O186" s="5">
        <f>_xlfn.XLOOKUP(CustomerCombined[[#This Row],[ID]], Table4[ID], Table4[Sweets], "Not Found", 0)</f>
        <v>12</v>
      </c>
      <c r="P186" s="5">
        <f>_xlfn.XLOOKUP(CustomerCombined[[#This Row],[ID]], Table4[ID], Table4[Premium], "Not Found", 0)</f>
        <v>59</v>
      </c>
      <c r="Q186" s="5">
        <f>_xlfn.XLOOKUP(CustomerCombined[[#This Row],[ID]], Table4[ID], Table4[Regular], "Not Found", 0)</f>
        <v>59</v>
      </c>
      <c r="R186" s="5">
        <f>_xlfn.XLOOKUP(CustomerCombined[[#This Row],[ID]], Table4[ID], Table4[Deals], "Not Found", 0)</f>
        <v>1</v>
      </c>
      <c r="S186" s="5">
        <f>_xlfn.XLOOKUP(CustomerCombined[[#This Row],[ID]], Table4[ID], Table4[Website], "Not Found", 0)</f>
        <v>0</v>
      </c>
      <c r="T186" s="5">
        <f>_xlfn.XLOOKUP(CustomerCombined[[#This Row],[ID]], Table4[ID], Table4[Catalog], "Not Found", 0)</f>
        <v>1</v>
      </c>
      <c r="U186" s="5">
        <f>_xlfn.XLOOKUP(CustomerCombined[[#This Row],[ID]], Table4[ID], Table4[Store], "Not Found", 0)</f>
        <v>2</v>
      </c>
      <c r="V186" s="5">
        <f>_xlfn.XLOOKUP(CustomerCombined[[#This Row],[ID]], Table4[ID], Table4[Visits], "Not Found", 0)</f>
        <v>7</v>
      </c>
      <c r="W186" s="8">
        <f>_xlfn.XLOOKUP(CustomerCombined[[#This Row],[ID]], Table2[ID],Table2[Complaint], "Not Found", 0 )</f>
        <v>0</v>
      </c>
      <c r="X186" s="8">
        <f>_xlfn.XLOOKUP(CustomerCombined[[#This Row],[ID]], Table2[ID],Table2[Pilot], "Not Found", 0 )</f>
        <v>0</v>
      </c>
      <c r="Y186" s="8">
        <f>_xlfn.XLOOKUP(CustomerCombined[[#This Row],[ID]], Table2[ID],Table2[MC1], "Not Found", 0 )</f>
        <v>0</v>
      </c>
      <c r="Z186" s="8">
        <f>_xlfn.XLOOKUP(CustomerCombined[[#This Row],[ID]], Table2[ID],Table2[MC2], "Not Found", 0 )</f>
        <v>0</v>
      </c>
      <c r="AA186" s="8">
        <f>_xlfn.XLOOKUP(CustomerCombined[[#This Row],[ID]], Table2[ID],Table2[MC3], "Not Found", 0 )</f>
        <v>0</v>
      </c>
      <c r="AB186" s="8">
        <f>_xlfn.XLOOKUP(CustomerCombined[[#This Row],[ID]], Table2[ID],Table2[MC4], "Not Found", 0 )</f>
        <v>0</v>
      </c>
      <c r="AC186" s="8">
        <f>_xlfn.XLOOKUP(CustomerCombined[[#This Row],[ID]], Table2[ID],Table2[MC5], "Not Found", 0 )</f>
        <v>0</v>
      </c>
    </row>
    <row r="187" spans="1:29" x14ac:dyDescent="0.3">
      <c r="A187" s="6">
        <v>1766</v>
      </c>
      <c r="B187" s="6">
        <v>120425</v>
      </c>
      <c r="C187" s="6">
        <v>1</v>
      </c>
      <c r="D187" s="6">
        <v>0</v>
      </c>
      <c r="E187" s="6">
        <v>34</v>
      </c>
      <c r="F187" s="5" t="s">
        <v>6</v>
      </c>
      <c r="G187" s="5" t="s">
        <v>10</v>
      </c>
      <c r="H187" s="3">
        <v>43589</v>
      </c>
      <c r="I187" s="5" t="s">
        <v>438</v>
      </c>
      <c r="J187" s="5">
        <f>_xlfn.XLOOKUP(CustomerCombined[[#This Row],[ID]], Table4[ID], Table4[Recency], "Not Found", 0)</f>
        <v>5</v>
      </c>
      <c r="K187" s="5">
        <f>_xlfn.XLOOKUP(CustomerCombined[[#This Row],[ID]], Table4[ID], Table4[Teas], "Not Found", 0)</f>
        <v>24</v>
      </c>
      <c r="L187" s="5">
        <f>_xlfn.XLOOKUP(CustomerCombined[[#This Row],[ID]], Table4[ID], Table4[Fruits], "Not Found", 0)</f>
        <v>71</v>
      </c>
      <c r="M187" s="5">
        <f>_xlfn.XLOOKUP(CustomerCombined[[#This Row],[ID]], Table4[ID], Table4[Meats], "Not Found", 0)</f>
        <v>29</v>
      </c>
      <c r="N187" s="5">
        <f>_xlfn.XLOOKUP(CustomerCombined[[#This Row],[ID]], Table4[ID], Table4[Seafood], "Not Found", 0)</f>
        <v>18</v>
      </c>
      <c r="O187" s="5">
        <f>_xlfn.XLOOKUP(CustomerCombined[[#This Row],[ID]], Table4[ID], Table4[Sweets], "Not Found", 0)</f>
        <v>94</v>
      </c>
      <c r="P187" s="5">
        <f>_xlfn.XLOOKUP(CustomerCombined[[#This Row],[ID]], Table4[ID], Table4[Premium], "Not Found", 0)</f>
        <v>100</v>
      </c>
      <c r="Q187" s="5">
        <f>_xlfn.XLOOKUP(CustomerCombined[[#This Row],[ID]], Table4[ID], Table4[Regular], "Not Found", 0)</f>
        <v>136</v>
      </c>
      <c r="R187" s="5">
        <f>_xlfn.XLOOKUP(CustomerCombined[[#This Row],[ID]], Table4[ID], Table4[Deals], "Not Found", 0)</f>
        <v>2</v>
      </c>
      <c r="S187" s="5">
        <f>_xlfn.XLOOKUP(CustomerCombined[[#This Row],[ID]], Table4[ID], Table4[Website], "Not Found", 0)</f>
        <v>2</v>
      </c>
      <c r="T187" s="5">
        <f>_xlfn.XLOOKUP(CustomerCombined[[#This Row],[ID]], Table4[ID], Table4[Catalog], "Not Found", 0)</f>
        <v>0</v>
      </c>
      <c r="U187" s="5">
        <f>_xlfn.XLOOKUP(CustomerCombined[[#This Row],[ID]], Table4[ID], Table4[Store], "Not Found", 0)</f>
        <v>3</v>
      </c>
      <c r="V187" s="5">
        <f>_xlfn.XLOOKUP(CustomerCombined[[#This Row],[ID]], Table4[ID], Table4[Visits], "Not Found", 0)</f>
        <v>7</v>
      </c>
      <c r="W187" s="8">
        <f>_xlfn.XLOOKUP(CustomerCombined[[#This Row],[ID]], Table2[ID],Table2[Complaint], "Not Found", 0 )</f>
        <v>0</v>
      </c>
      <c r="X187" s="8">
        <f>_xlfn.XLOOKUP(CustomerCombined[[#This Row],[ID]], Table2[ID],Table2[Pilot], "Not Found", 0 )</f>
        <v>0</v>
      </c>
      <c r="Y187" s="8">
        <f>_xlfn.XLOOKUP(CustomerCombined[[#This Row],[ID]], Table2[ID],Table2[MC1], "Not Found", 0 )</f>
        <v>0</v>
      </c>
      <c r="Z187" s="8">
        <f>_xlfn.XLOOKUP(CustomerCombined[[#This Row],[ID]], Table2[ID],Table2[MC2], "Not Found", 0 )</f>
        <v>0</v>
      </c>
      <c r="AA187" s="8">
        <f>_xlfn.XLOOKUP(CustomerCombined[[#This Row],[ID]], Table2[ID],Table2[MC3], "Not Found", 0 )</f>
        <v>0</v>
      </c>
      <c r="AB187" s="8">
        <f>_xlfn.XLOOKUP(CustomerCombined[[#This Row],[ID]], Table2[ID],Table2[MC4], "Not Found", 0 )</f>
        <v>0</v>
      </c>
      <c r="AC187" s="8">
        <f>_xlfn.XLOOKUP(CustomerCombined[[#This Row],[ID]], Table2[ID],Table2[MC5], "Not Found", 0 )</f>
        <v>0</v>
      </c>
    </row>
    <row r="188" spans="1:29" x14ac:dyDescent="0.3">
      <c r="A188" s="6">
        <v>3074</v>
      </c>
      <c r="B188" s="6">
        <v>120425</v>
      </c>
      <c r="C188" s="6">
        <v>1</v>
      </c>
      <c r="D188" s="6">
        <v>0</v>
      </c>
      <c r="E188" s="6">
        <v>34</v>
      </c>
      <c r="F188" s="5" t="s">
        <v>6</v>
      </c>
      <c r="G188" s="5" t="s">
        <v>10</v>
      </c>
      <c r="H188" s="3">
        <v>43589</v>
      </c>
      <c r="I188" s="5" t="s">
        <v>438</v>
      </c>
      <c r="J188" s="5">
        <f>_xlfn.XLOOKUP(CustomerCombined[[#This Row],[ID]], Table4[ID], Table4[Recency], "Not Found", 0)</f>
        <v>5</v>
      </c>
      <c r="K188" s="5">
        <f>_xlfn.XLOOKUP(CustomerCombined[[#This Row],[ID]], Table4[ID], Table4[Teas], "Not Found", 0)</f>
        <v>24</v>
      </c>
      <c r="L188" s="5">
        <f>_xlfn.XLOOKUP(CustomerCombined[[#This Row],[ID]], Table4[ID], Table4[Fruits], "Not Found", 0)</f>
        <v>71</v>
      </c>
      <c r="M188" s="5">
        <f>_xlfn.XLOOKUP(CustomerCombined[[#This Row],[ID]], Table4[ID], Table4[Meats], "Not Found", 0)</f>
        <v>29</v>
      </c>
      <c r="N188" s="5">
        <f>_xlfn.XLOOKUP(CustomerCombined[[#This Row],[ID]], Table4[ID], Table4[Seafood], "Not Found", 0)</f>
        <v>18</v>
      </c>
      <c r="O188" s="5">
        <f>_xlfn.XLOOKUP(CustomerCombined[[#This Row],[ID]], Table4[ID], Table4[Sweets], "Not Found", 0)</f>
        <v>94</v>
      </c>
      <c r="P188" s="5">
        <f>_xlfn.XLOOKUP(CustomerCombined[[#This Row],[ID]], Table4[ID], Table4[Premium], "Not Found", 0)</f>
        <v>100</v>
      </c>
      <c r="Q188" s="5">
        <f>_xlfn.XLOOKUP(CustomerCombined[[#This Row],[ID]], Table4[ID], Table4[Regular], "Not Found", 0)</f>
        <v>136</v>
      </c>
      <c r="R188" s="5">
        <f>_xlfn.XLOOKUP(CustomerCombined[[#This Row],[ID]], Table4[ID], Table4[Deals], "Not Found", 0)</f>
        <v>2</v>
      </c>
      <c r="S188" s="5">
        <f>_xlfn.XLOOKUP(CustomerCombined[[#This Row],[ID]], Table4[ID], Table4[Website], "Not Found", 0)</f>
        <v>2</v>
      </c>
      <c r="T188" s="5">
        <f>_xlfn.XLOOKUP(CustomerCombined[[#This Row],[ID]], Table4[ID], Table4[Catalog], "Not Found", 0)</f>
        <v>0</v>
      </c>
      <c r="U188" s="5">
        <f>_xlfn.XLOOKUP(CustomerCombined[[#This Row],[ID]], Table4[ID], Table4[Store], "Not Found", 0)</f>
        <v>3</v>
      </c>
      <c r="V188" s="5">
        <f>_xlfn.XLOOKUP(CustomerCombined[[#This Row],[ID]], Table4[ID], Table4[Visits], "Not Found", 0)</f>
        <v>7</v>
      </c>
      <c r="W188" s="8">
        <f>_xlfn.XLOOKUP(CustomerCombined[[#This Row],[ID]], Table2[ID],Table2[Complaint], "Not Found", 0 )</f>
        <v>0</v>
      </c>
      <c r="X188" s="8">
        <f>_xlfn.XLOOKUP(CustomerCombined[[#This Row],[ID]], Table2[ID],Table2[Pilot], "Not Found", 0 )</f>
        <v>0</v>
      </c>
      <c r="Y188" s="8">
        <f>_xlfn.XLOOKUP(CustomerCombined[[#This Row],[ID]], Table2[ID],Table2[MC1], "Not Found", 0 )</f>
        <v>0</v>
      </c>
      <c r="Z188" s="8">
        <f>_xlfn.XLOOKUP(CustomerCombined[[#This Row],[ID]], Table2[ID],Table2[MC2], "Not Found", 0 )</f>
        <v>0</v>
      </c>
      <c r="AA188" s="8">
        <f>_xlfn.XLOOKUP(CustomerCombined[[#This Row],[ID]], Table2[ID],Table2[MC3], "Not Found", 0 )</f>
        <v>0</v>
      </c>
      <c r="AB188" s="8">
        <f>_xlfn.XLOOKUP(CustomerCombined[[#This Row],[ID]], Table2[ID],Table2[MC4], "Not Found", 0 )</f>
        <v>0</v>
      </c>
      <c r="AC188" s="8">
        <f>_xlfn.XLOOKUP(CustomerCombined[[#This Row],[ID]], Table2[ID],Table2[MC5], "Not Found", 0 )</f>
        <v>0</v>
      </c>
    </row>
    <row r="189" spans="1:29" x14ac:dyDescent="0.3">
      <c r="A189" s="6">
        <v>1848</v>
      </c>
      <c r="B189" s="6">
        <v>119485</v>
      </c>
      <c r="C189" s="6">
        <v>2</v>
      </c>
      <c r="D189" s="6">
        <v>0</v>
      </c>
      <c r="E189" s="6">
        <v>34</v>
      </c>
      <c r="F189" s="5" t="s">
        <v>7</v>
      </c>
      <c r="G189" s="5" t="s">
        <v>12</v>
      </c>
      <c r="H189" s="3" t="s">
        <v>175</v>
      </c>
      <c r="I189" s="5" t="s">
        <v>436</v>
      </c>
      <c r="J189" s="5">
        <f>_xlfn.XLOOKUP(CustomerCombined[[#This Row],[ID]], Table4[ID], Table4[Recency], "Not Found", 0)</f>
        <v>80</v>
      </c>
      <c r="K189" s="5">
        <f>_xlfn.XLOOKUP(CustomerCombined[[#This Row],[ID]], Table4[ID], Table4[Teas], "Not Found", 0)</f>
        <v>37</v>
      </c>
      <c r="L189" s="5">
        <f>_xlfn.XLOOKUP(CustomerCombined[[#This Row],[ID]], Table4[ID], Table4[Fruits], "Not Found", 0)</f>
        <v>0</v>
      </c>
      <c r="M189" s="5">
        <f>_xlfn.XLOOKUP(CustomerCombined[[#This Row],[ID]], Table4[ID], Table4[Meats], "Not Found", 0)</f>
        <v>25</v>
      </c>
      <c r="N189" s="5">
        <f>_xlfn.XLOOKUP(CustomerCombined[[#This Row],[ID]], Table4[ID], Table4[Seafood], "Not Found", 0)</f>
        <v>0</v>
      </c>
      <c r="O189" s="5">
        <f>_xlfn.XLOOKUP(CustomerCombined[[#This Row],[ID]], Table4[ID], Table4[Sweets], "Not Found", 0)</f>
        <v>0</v>
      </c>
      <c r="P189" s="5">
        <f>_xlfn.XLOOKUP(CustomerCombined[[#This Row],[ID]], Table4[ID], Table4[Premium], "Not Found", 0)</f>
        <v>0</v>
      </c>
      <c r="Q189" s="5">
        <f>_xlfn.XLOOKUP(CustomerCombined[[#This Row],[ID]], Table4[ID], Table4[Regular], "Not Found", 0)</f>
        <v>61</v>
      </c>
      <c r="R189" s="5">
        <f>_xlfn.XLOOKUP(CustomerCombined[[#This Row],[ID]], Table4[ID], Table4[Deals], "Not Found", 0)</f>
        <v>1</v>
      </c>
      <c r="S189" s="5">
        <f>_xlfn.XLOOKUP(CustomerCombined[[#This Row],[ID]], Table4[ID], Table4[Website], "Not Found", 0)</f>
        <v>1</v>
      </c>
      <c r="T189" s="5">
        <f>_xlfn.XLOOKUP(CustomerCombined[[#This Row],[ID]], Table4[ID], Table4[Catalog], "Not Found", 0)</f>
        <v>0</v>
      </c>
      <c r="U189" s="5">
        <f>_xlfn.XLOOKUP(CustomerCombined[[#This Row],[ID]], Table4[ID], Table4[Store], "Not Found", 0)</f>
        <v>2</v>
      </c>
      <c r="V189" s="5">
        <f>_xlfn.XLOOKUP(CustomerCombined[[#This Row],[ID]], Table4[ID], Table4[Visits], "Not Found", 0)</f>
        <v>7</v>
      </c>
      <c r="W189" s="8">
        <f>_xlfn.XLOOKUP(CustomerCombined[[#This Row],[ID]], Table2[ID],Table2[Complaint], "Not Found", 0 )</f>
        <v>0</v>
      </c>
      <c r="X189" s="8">
        <f>_xlfn.XLOOKUP(CustomerCombined[[#This Row],[ID]], Table2[ID],Table2[Pilot], "Not Found", 0 )</f>
        <v>0</v>
      </c>
      <c r="Y189" s="8">
        <f>_xlfn.XLOOKUP(CustomerCombined[[#This Row],[ID]], Table2[ID],Table2[MC1], "Not Found", 0 )</f>
        <v>0</v>
      </c>
      <c r="Z189" s="8">
        <f>_xlfn.XLOOKUP(CustomerCombined[[#This Row],[ID]], Table2[ID],Table2[MC2], "Not Found", 0 )</f>
        <v>0</v>
      </c>
      <c r="AA189" s="8">
        <f>_xlfn.XLOOKUP(CustomerCombined[[#This Row],[ID]], Table2[ID],Table2[MC3], "Not Found", 0 )</f>
        <v>0</v>
      </c>
      <c r="AB189" s="8">
        <f>_xlfn.XLOOKUP(CustomerCombined[[#This Row],[ID]], Table2[ID],Table2[MC4], "Not Found", 0 )</f>
        <v>0</v>
      </c>
      <c r="AC189" s="8">
        <f>_xlfn.XLOOKUP(CustomerCombined[[#This Row],[ID]], Table2[ID],Table2[MC5], "Not Found", 0 )</f>
        <v>0</v>
      </c>
    </row>
    <row r="190" spans="1:29" x14ac:dyDescent="0.3">
      <c r="A190" s="6">
        <v>1925</v>
      </c>
      <c r="B190" s="6">
        <v>114906</v>
      </c>
      <c r="C190" s="6">
        <v>0</v>
      </c>
      <c r="D190" s="6">
        <v>0</v>
      </c>
      <c r="E190" s="6">
        <v>34</v>
      </c>
      <c r="F190" s="5" t="s">
        <v>7</v>
      </c>
      <c r="G190" s="5" t="s">
        <v>10</v>
      </c>
      <c r="H190" s="3" t="s">
        <v>337</v>
      </c>
      <c r="I190" s="5" t="s">
        <v>434</v>
      </c>
      <c r="J190" s="5">
        <f>_xlfn.XLOOKUP(CustomerCombined[[#This Row],[ID]], Table4[ID], Table4[Recency], "Not Found", 0)</f>
        <v>86</v>
      </c>
      <c r="K190" s="5">
        <f>_xlfn.XLOOKUP(CustomerCombined[[#This Row],[ID]], Table4[ID], Table4[Teas], "Not Found", 0)</f>
        <v>54</v>
      </c>
      <c r="L190" s="5">
        <f>_xlfn.XLOOKUP(CustomerCombined[[#This Row],[ID]], Table4[ID], Table4[Fruits], "Not Found", 0)</f>
        <v>54</v>
      </c>
      <c r="M190" s="5">
        <f>_xlfn.XLOOKUP(CustomerCombined[[#This Row],[ID]], Table4[ID], Table4[Meats], "Not Found", 0)</f>
        <v>108</v>
      </c>
      <c r="N190" s="5">
        <f>_xlfn.XLOOKUP(CustomerCombined[[#This Row],[ID]], Table4[ID], Table4[Seafood], "Not Found", 0)</f>
        <v>54</v>
      </c>
      <c r="O190" s="5">
        <f>_xlfn.XLOOKUP(CustomerCombined[[#This Row],[ID]], Table4[ID], Table4[Sweets], "Not Found", 0)</f>
        <v>123</v>
      </c>
      <c r="P190" s="5">
        <f>_xlfn.XLOOKUP(CustomerCombined[[#This Row],[ID]], Table4[ID], Table4[Premium], "Not Found", 0)</f>
        <v>116</v>
      </c>
      <c r="Q190" s="5">
        <f>_xlfn.XLOOKUP(CustomerCombined[[#This Row],[ID]], Table4[ID], Table4[Regular], "Not Found", 0)</f>
        <v>278</v>
      </c>
      <c r="R190" s="5">
        <f>_xlfn.XLOOKUP(CustomerCombined[[#This Row],[ID]], Table4[ID], Table4[Deals], "Not Found", 0)</f>
        <v>3</v>
      </c>
      <c r="S190" s="5">
        <f>_xlfn.XLOOKUP(CustomerCombined[[#This Row],[ID]], Table4[ID], Table4[Website], "Not Found", 0)</f>
        <v>2</v>
      </c>
      <c r="T190" s="5">
        <f>_xlfn.XLOOKUP(CustomerCombined[[#This Row],[ID]], Table4[ID], Table4[Catalog], "Not Found", 0)</f>
        <v>1</v>
      </c>
      <c r="U190" s="5">
        <f>_xlfn.XLOOKUP(CustomerCombined[[#This Row],[ID]], Table4[ID], Table4[Store], "Not Found", 0)</f>
        <v>3</v>
      </c>
      <c r="V190" s="5">
        <f>_xlfn.XLOOKUP(CustomerCombined[[#This Row],[ID]], Table4[ID], Table4[Visits], "Not Found", 0)</f>
        <v>7</v>
      </c>
      <c r="W190" s="8">
        <f>_xlfn.XLOOKUP(CustomerCombined[[#This Row],[ID]], Table2[ID],Table2[Complaint], "Not Found", 0 )</f>
        <v>0</v>
      </c>
      <c r="X190" s="8">
        <f>_xlfn.XLOOKUP(CustomerCombined[[#This Row],[ID]], Table2[ID],Table2[Pilot], "Not Found", 0 )</f>
        <v>0</v>
      </c>
      <c r="Y190" s="8">
        <f>_xlfn.XLOOKUP(CustomerCombined[[#This Row],[ID]], Table2[ID],Table2[MC1], "Not Found", 0 )</f>
        <v>0</v>
      </c>
      <c r="Z190" s="8">
        <f>_xlfn.XLOOKUP(CustomerCombined[[#This Row],[ID]], Table2[ID],Table2[MC2], "Not Found", 0 )</f>
        <v>0</v>
      </c>
      <c r="AA190" s="8">
        <f>_xlfn.XLOOKUP(CustomerCombined[[#This Row],[ID]], Table2[ID],Table2[MC3], "Not Found", 0 )</f>
        <v>0</v>
      </c>
      <c r="AB190" s="8">
        <f>_xlfn.XLOOKUP(CustomerCombined[[#This Row],[ID]], Table2[ID],Table2[MC4], "Not Found", 0 )</f>
        <v>0</v>
      </c>
      <c r="AC190" s="8">
        <f>_xlfn.XLOOKUP(CustomerCombined[[#This Row],[ID]], Table2[ID],Table2[MC5], "Not Found", 0 )</f>
        <v>0</v>
      </c>
    </row>
    <row r="191" spans="1:29" x14ac:dyDescent="0.3">
      <c r="A191" s="6">
        <v>2201</v>
      </c>
      <c r="B191" s="6">
        <v>108940</v>
      </c>
      <c r="C191" s="6">
        <v>1</v>
      </c>
      <c r="D191" s="6">
        <v>0</v>
      </c>
      <c r="E191" s="6">
        <v>34</v>
      </c>
      <c r="F191" s="5" t="s">
        <v>7</v>
      </c>
      <c r="G191" s="5" t="s">
        <v>10</v>
      </c>
      <c r="H191" s="3" t="s">
        <v>406</v>
      </c>
      <c r="I191" s="5" t="s">
        <v>434</v>
      </c>
      <c r="J191" s="5">
        <f>_xlfn.XLOOKUP(CustomerCombined[[#This Row],[ID]], Table4[ID], Table4[Recency], "Not Found", 0)</f>
        <v>25</v>
      </c>
      <c r="K191" s="5">
        <f>_xlfn.XLOOKUP(CustomerCombined[[#This Row],[ID]], Table4[ID], Table4[Teas], "Not Found", 0)</f>
        <v>12</v>
      </c>
      <c r="L191" s="5">
        <f>_xlfn.XLOOKUP(CustomerCombined[[#This Row],[ID]], Table4[ID], Table4[Fruits], "Not Found", 0)</f>
        <v>548</v>
      </c>
      <c r="M191" s="5">
        <f>_xlfn.XLOOKUP(CustomerCombined[[#This Row],[ID]], Table4[ID], Table4[Meats], "Not Found", 0)</f>
        <v>37</v>
      </c>
      <c r="N191" s="5">
        <f>_xlfn.XLOOKUP(CustomerCombined[[#This Row],[ID]], Table4[ID], Table4[Seafood], "Not Found", 0)</f>
        <v>49</v>
      </c>
      <c r="O191" s="5">
        <f>_xlfn.XLOOKUP(CustomerCombined[[#This Row],[ID]], Table4[ID], Table4[Sweets], "Not Found", 0)</f>
        <v>73</v>
      </c>
      <c r="P191" s="5">
        <f>_xlfn.XLOOKUP(CustomerCombined[[#This Row],[ID]], Table4[ID], Table4[Premium], "Not Found", 0)</f>
        <v>512</v>
      </c>
      <c r="Q191" s="5">
        <f>_xlfn.XLOOKUP(CustomerCombined[[#This Row],[ID]], Table4[ID], Table4[Regular], "Not Found", 0)</f>
        <v>207</v>
      </c>
      <c r="R191" s="5">
        <f>_xlfn.XLOOKUP(CustomerCombined[[#This Row],[ID]], Table4[ID], Table4[Deals], "Not Found", 0)</f>
        <v>3</v>
      </c>
      <c r="S191" s="5">
        <f>_xlfn.XLOOKUP(CustomerCombined[[#This Row],[ID]], Table4[ID], Table4[Website], "Not Found", 0)</f>
        <v>3</v>
      </c>
      <c r="T191" s="5">
        <f>_xlfn.XLOOKUP(CustomerCombined[[#This Row],[ID]], Table4[ID], Table4[Catalog], "Not Found", 0)</f>
        <v>1</v>
      </c>
      <c r="U191" s="5">
        <f>_xlfn.XLOOKUP(CustomerCombined[[#This Row],[ID]], Table4[ID], Table4[Store], "Not Found", 0)</f>
        <v>3</v>
      </c>
      <c r="V191" s="5">
        <f>_xlfn.XLOOKUP(CustomerCombined[[#This Row],[ID]], Table4[ID], Table4[Visits], "Not Found", 0)</f>
        <v>8</v>
      </c>
      <c r="W191" s="8">
        <f>_xlfn.XLOOKUP(CustomerCombined[[#This Row],[ID]], Table2[ID],Table2[Complaint], "Not Found", 0 )</f>
        <v>0</v>
      </c>
      <c r="X191" s="8">
        <f>_xlfn.XLOOKUP(CustomerCombined[[#This Row],[ID]], Table2[ID],Table2[Pilot], "Not Found", 0 )</f>
        <v>0</v>
      </c>
      <c r="Y191" s="8">
        <f>_xlfn.XLOOKUP(CustomerCombined[[#This Row],[ID]], Table2[ID],Table2[MC1], "Not Found", 0 )</f>
        <v>0</v>
      </c>
      <c r="Z191" s="8">
        <f>_xlfn.XLOOKUP(CustomerCombined[[#This Row],[ID]], Table2[ID],Table2[MC2], "Not Found", 0 )</f>
        <v>0</v>
      </c>
      <c r="AA191" s="8">
        <f>_xlfn.XLOOKUP(CustomerCombined[[#This Row],[ID]], Table2[ID],Table2[MC3], "Not Found", 0 )</f>
        <v>0</v>
      </c>
      <c r="AB191" s="8">
        <f>_xlfn.XLOOKUP(CustomerCombined[[#This Row],[ID]], Table2[ID],Table2[MC4], "Not Found", 0 )</f>
        <v>0</v>
      </c>
      <c r="AC191" s="8">
        <f>_xlfn.XLOOKUP(CustomerCombined[[#This Row],[ID]], Table2[ID],Table2[MC5], "Not Found", 0 )</f>
        <v>0</v>
      </c>
    </row>
    <row r="192" spans="1:29" x14ac:dyDescent="0.3">
      <c r="A192" s="6">
        <v>1423</v>
      </c>
      <c r="B192" s="6">
        <v>107500</v>
      </c>
      <c r="C192" s="6">
        <v>1</v>
      </c>
      <c r="D192" s="6">
        <v>0</v>
      </c>
      <c r="E192" s="6">
        <v>34</v>
      </c>
      <c r="F192" s="5" t="s">
        <v>6</v>
      </c>
      <c r="G192" s="5" t="s">
        <v>442</v>
      </c>
      <c r="H192" s="3" t="s">
        <v>316</v>
      </c>
      <c r="I192" s="5" t="s">
        <v>437</v>
      </c>
      <c r="J192" s="5">
        <f>_xlfn.XLOOKUP(CustomerCombined[[#This Row],[ID]], Table4[ID], Table4[Recency], "Not Found", 0)</f>
        <v>96</v>
      </c>
      <c r="K192" s="5">
        <f>_xlfn.XLOOKUP(CustomerCombined[[#This Row],[ID]], Table4[ID], Table4[Teas], "Not Found", 0)</f>
        <v>14</v>
      </c>
      <c r="L192" s="5">
        <f>_xlfn.XLOOKUP(CustomerCombined[[#This Row],[ID]], Table4[ID], Table4[Fruits], "Not Found", 0)</f>
        <v>158</v>
      </c>
      <c r="M192" s="5">
        <f>_xlfn.XLOOKUP(CustomerCombined[[#This Row],[ID]], Table4[ID], Table4[Meats], "Not Found", 0)</f>
        <v>72</v>
      </c>
      <c r="N192" s="5">
        <f>_xlfn.XLOOKUP(CustomerCombined[[#This Row],[ID]], Table4[ID], Table4[Seafood], "Not Found", 0)</f>
        <v>57</v>
      </c>
      <c r="O192" s="5">
        <f>_xlfn.XLOOKUP(CustomerCombined[[#This Row],[ID]], Table4[ID], Table4[Sweets], "Not Found", 0)</f>
        <v>86</v>
      </c>
      <c r="P192" s="5">
        <f>_xlfn.XLOOKUP(CustomerCombined[[#This Row],[ID]], Table4[ID], Table4[Premium], "Not Found", 0)</f>
        <v>129</v>
      </c>
      <c r="Q192" s="5">
        <f>_xlfn.XLOOKUP(CustomerCombined[[#This Row],[ID]], Table4[ID], Table4[Regular], "Not Found", 0)</f>
        <v>258</v>
      </c>
      <c r="R192" s="5">
        <f>_xlfn.XLOOKUP(CustomerCombined[[#This Row],[ID]], Table4[ID], Table4[Deals], "Not Found", 0)</f>
        <v>2</v>
      </c>
      <c r="S192" s="5">
        <f>_xlfn.XLOOKUP(CustomerCombined[[#This Row],[ID]], Table4[ID], Table4[Website], "Not Found", 0)</f>
        <v>2</v>
      </c>
      <c r="T192" s="5">
        <f>_xlfn.XLOOKUP(CustomerCombined[[#This Row],[ID]], Table4[ID], Table4[Catalog], "Not Found", 0)</f>
        <v>0</v>
      </c>
      <c r="U192" s="5">
        <f>_xlfn.XLOOKUP(CustomerCombined[[#This Row],[ID]], Table4[ID], Table4[Store], "Not Found", 0)</f>
        <v>3</v>
      </c>
      <c r="V192" s="5">
        <f>_xlfn.XLOOKUP(CustomerCombined[[#This Row],[ID]], Table4[ID], Table4[Visits], "Not Found", 0)</f>
        <v>8</v>
      </c>
      <c r="W192" s="8">
        <f>_xlfn.XLOOKUP(CustomerCombined[[#This Row],[ID]], Table2[ID],Table2[Complaint], "Not Found", 0 )</f>
        <v>0</v>
      </c>
      <c r="X192" s="8">
        <f>_xlfn.XLOOKUP(CustomerCombined[[#This Row],[ID]], Table2[ID],Table2[Pilot], "Not Found", 0 )</f>
        <v>0</v>
      </c>
      <c r="Y192" s="8">
        <f>_xlfn.XLOOKUP(CustomerCombined[[#This Row],[ID]], Table2[ID],Table2[MC1], "Not Found", 0 )</f>
        <v>0</v>
      </c>
      <c r="Z192" s="8">
        <f>_xlfn.XLOOKUP(CustomerCombined[[#This Row],[ID]], Table2[ID],Table2[MC2], "Not Found", 0 )</f>
        <v>0</v>
      </c>
      <c r="AA192" s="8">
        <f>_xlfn.XLOOKUP(CustomerCombined[[#This Row],[ID]], Table2[ID],Table2[MC3], "Not Found", 0 )</f>
        <v>0</v>
      </c>
      <c r="AB192" s="8">
        <f>_xlfn.XLOOKUP(CustomerCombined[[#This Row],[ID]], Table2[ID],Table2[MC4], "Not Found", 0 )</f>
        <v>0</v>
      </c>
      <c r="AC192" s="8">
        <f>_xlfn.XLOOKUP(CustomerCombined[[#This Row],[ID]], Table2[ID],Table2[MC5], "Not Found", 0 )</f>
        <v>0</v>
      </c>
    </row>
    <row r="193" spans="1:29" x14ac:dyDescent="0.3">
      <c r="A193" s="6">
        <v>2408</v>
      </c>
      <c r="B193" s="6">
        <v>192533</v>
      </c>
      <c r="C193" s="6">
        <v>0</v>
      </c>
      <c r="D193" s="6">
        <v>0</v>
      </c>
      <c r="E193" s="6">
        <v>35</v>
      </c>
      <c r="F193" s="5" t="s">
        <v>6</v>
      </c>
      <c r="G193" s="5" t="s">
        <v>11</v>
      </c>
      <c r="H193" s="3" t="s">
        <v>129</v>
      </c>
      <c r="I193" s="5" t="s">
        <v>438</v>
      </c>
      <c r="J193" s="5">
        <f>_xlfn.XLOOKUP(CustomerCombined[[#This Row],[ID]], Table4[ID], Table4[Recency], "Not Found", 0)</f>
        <v>84</v>
      </c>
      <c r="K193" s="5">
        <f>_xlfn.XLOOKUP(CustomerCombined[[#This Row],[ID]], Table4[ID], Table4[Teas], "Not Found", 0)</f>
        <v>1442</v>
      </c>
      <c r="L193" s="5">
        <f>_xlfn.XLOOKUP(CustomerCombined[[#This Row],[ID]], Table4[ID], Table4[Fruits], "Not Found", 0)</f>
        <v>44</v>
      </c>
      <c r="M193" s="5">
        <f>_xlfn.XLOOKUP(CustomerCombined[[#This Row],[ID]], Table4[ID], Table4[Meats], "Not Found", 0)</f>
        <v>246</v>
      </c>
      <c r="N193" s="5">
        <f>_xlfn.XLOOKUP(CustomerCombined[[#This Row],[ID]], Table4[ID], Table4[Seafood], "Not Found", 0)</f>
        <v>229</v>
      </c>
      <c r="O193" s="5">
        <f>_xlfn.XLOOKUP(CustomerCombined[[#This Row],[ID]], Table4[ID], Table4[Sweets], "Not Found", 0)</f>
        <v>306</v>
      </c>
      <c r="P193" s="5">
        <f>_xlfn.XLOOKUP(CustomerCombined[[#This Row],[ID]], Table4[ID], Table4[Premium], "Not Found", 0)</f>
        <v>87</v>
      </c>
      <c r="Q193" s="5">
        <f>_xlfn.XLOOKUP(CustomerCombined[[#This Row],[ID]], Table4[ID], Table4[Regular], "Not Found", 0)</f>
        <v>2178</v>
      </c>
      <c r="R193" s="5">
        <f>_xlfn.XLOOKUP(CustomerCombined[[#This Row],[ID]], Table4[ID], Table4[Deals], "Not Found", 0)</f>
        <v>1</v>
      </c>
      <c r="S193" s="5">
        <f>_xlfn.XLOOKUP(CustomerCombined[[#This Row],[ID]], Table4[ID], Table4[Website], "Not Found", 0)</f>
        <v>6</v>
      </c>
      <c r="T193" s="5">
        <f>_xlfn.XLOOKUP(CustomerCombined[[#This Row],[ID]], Table4[ID], Table4[Catalog], "Not Found", 0)</f>
        <v>5</v>
      </c>
      <c r="U193" s="5">
        <f>_xlfn.XLOOKUP(CustomerCombined[[#This Row],[ID]], Table4[ID], Table4[Store], "Not Found", 0)</f>
        <v>11</v>
      </c>
      <c r="V193" s="5">
        <f>_xlfn.XLOOKUP(CustomerCombined[[#This Row],[ID]], Table4[ID], Table4[Visits], "Not Found", 0)</f>
        <v>2</v>
      </c>
      <c r="W193" s="8">
        <f>_xlfn.XLOOKUP(CustomerCombined[[#This Row],[ID]], Table2[ID],Table2[Complaint], "Not Found", 0 )</f>
        <v>0</v>
      </c>
      <c r="X193" s="8">
        <f>_xlfn.XLOOKUP(CustomerCombined[[#This Row],[ID]], Table2[ID],Table2[Pilot], "Not Found", 0 )</f>
        <v>0</v>
      </c>
      <c r="Y193" s="8">
        <f>_xlfn.XLOOKUP(CustomerCombined[[#This Row],[ID]], Table2[ID],Table2[MC1], "Not Found", 0 )</f>
        <v>1</v>
      </c>
      <c r="Z193" s="8">
        <f>_xlfn.XLOOKUP(CustomerCombined[[#This Row],[ID]], Table2[ID],Table2[MC2], "Not Found", 0 )</f>
        <v>0</v>
      </c>
      <c r="AA193" s="8">
        <f>_xlfn.XLOOKUP(CustomerCombined[[#This Row],[ID]], Table2[ID],Table2[MC3], "Not Found", 0 )</f>
        <v>0</v>
      </c>
      <c r="AB193" s="8">
        <f>_xlfn.XLOOKUP(CustomerCombined[[#This Row],[ID]], Table2[ID],Table2[MC4], "Not Found", 0 )</f>
        <v>0</v>
      </c>
      <c r="AC193" s="8">
        <f>_xlfn.XLOOKUP(CustomerCombined[[#This Row],[ID]], Table2[ID],Table2[MC5], "Not Found", 0 )</f>
        <v>1</v>
      </c>
    </row>
    <row r="194" spans="1:29" x14ac:dyDescent="0.3">
      <c r="A194" s="6">
        <v>2115</v>
      </c>
      <c r="B194" s="6">
        <v>172903</v>
      </c>
      <c r="C194" s="6">
        <v>0</v>
      </c>
      <c r="D194" s="6">
        <v>0</v>
      </c>
      <c r="E194" s="6">
        <v>35</v>
      </c>
      <c r="F194" s="5" t="s">
        <v>7</v>
      </c>
      <c r="G194" s="5" t="s">
        <v>11</v>
      </c>
      <c r="H194" s="3">
        <v>43925</v>
      </c>
      <c r="I194" s="5" t="s">
        <v>435</v>
      </c>
      <c r="J194" s="5">
        <f>_xlfn.XLOOKUP(CustomerCombined[[#This Row],[ID]], Table4[ID], Table4[Recency], "Not Found", 0)</f>
        <v>74</v>
      </c>
      <c r="K194" s="5">
        <f>_xlfn.XLOOKUP(CustomerCombined[[#This Row],[ID]], Table4[ID], Table4[Teas], "Not Found", 0)</f>
        <v>2531</v>
      </c>
      <c r="L194" s="5">
        <f>_xlfn.XLOOKUP(CustomerCombined[[#This Row],[ID]], Table4[ID], Table4[Fruits], "Not Found", 0)</f>
        <v>327</v>
      </c>
      <c r="M194" s="5">
        <f>_xlfn.XLOOKUP(CustomerCombined[[#This Row],[ID]], Table4[ID], Table4[Meats], "Not Found", 0)</f>
        <v>1779</v>
      </c>
      <c r="N194" s="5">
        <f>_xlfn.XLOOKUP(CustomerCombined[[#This Row],[ID]], Table4[ID], Table4[Seafood], "Not Found", 0)</f>
        <v>0</v>
      </c>
      <c r="O194" s="5">
        <f>_xlfn.XLOOKUP(CustomerCombined[[#This Row],[ID]], Table4[ID], Table4[Sweets], "Not Found", 0)</f>
        <v>45</v>
      </c>
      <c r="P194" s="5">
        <f>_xlfn.XLOOKUP(CustomerCombined[[#This Row],[ID]], Table4[ID], Table4[Premium], "Not Found", 0)</f>
        <v>92</v>
      </c>
      <c r="Q194" s="5">
        <f>_xlfn.XLOOKUP(CustomerCombined[[#This Row],[ID]], Table4[ID], Table4[Regular], "Not Found", 0)</f>
        <v>4589</v>
      </c>
      <c r="R194" s="5">
        <f>_xlfn.XLOOKUP(CustomerCombined[[#This Row],[ID]], Table4[ID], Table4[Deals], "Not Found", 0)</f>
        <v>1</v>
      </c>
      <c r="S194" s="5">
        <f>_xlfn.XLOOKUP(CustomerCombined[[#This Row],[ID]], Table4[ID], Table4[Website], "Not Found", 0)</f>
        <v>7</v>
      </c>
      <c r="T194" s="5">
        <f>_xlfn.XLOOKUP(CustomerCombined[[#This Row],[ID]], Table4[ID], Table4[Catalog], "Not Found", 0)</f>
        <v>5</v>
      </c>
      <c r="U194" s="5">
        <f>_xlfn.XLOOKUP(CustomerCombined[[#This Row],[ID]], Table4[ID], Table4[Store], "Not Found", 0)</f>
        <v>8</v>
      </c>
      <c r="V194" s="5">
        <f>_xlfn.XLOOKUP(CustomerCombined[[#This Row],[ID]], Table4[ID], Table4[Visits], "Not Found", 0)</f>
        <v>4</v>
      </c>
      <c r="W194" s="8">
        <f>_xlfn.XLOOKUP(CustomerCombined[[#This Row],[ID]], Table2[ID],Table2[Complaint], "Not Found", 0 )</f>
        <v>0</v>
      </c>
      <c r="X194" s="8">
        <f>_xlfn.XLOOKUP(CustomerCombined[[#This Row],[ID]], Table2[ID],Table2[Pilot], "Not Found", 0 )</f>
        <v>1</v>
      </c>
      <c r="Y194" s="8">
        <f>_xlfn.XLOOKUP(CustomerCombined[[#This Row],[ID]], Table2[ID],Table2[MC1], "Not Found", 0 )</f>
        <v>1</v>
      </c>
      <c r="Z194" s="8">
        <f>_xlfn.XLOOKUP(CustomerCombined[[#This Row],[ID]], Table2[ID],Table2[MC2], "Not Found", 0 )</f>
        <v>0</v>
      </c>
      <c r="AA194" s="8">
        <f>_xlfn.XLOOKUP(CustomerCombined[[#This Row],[ID]], Table2[ID],Table2[MC3], "Not Found", 0 )</f>
        <v>0</v>
      </c>
      <c r="AB194" s="8">
        <f>_xlfn.XLOOKUP(CustomerCombined[[#This Row],[ID]], Table2[ID],Table2[MC4], "Not Found", 0 )</f>
        <v>1</v>
      </c>
      <c r="AC194" s="8">
        <f>_xlfn.XLOOKUP(CustomerCombined[[#This Row],[ID]], Table2[ID],Table2[MC5], "Not Found", 0 )</f>
        <v>1</v>
      </c>
    </row>
    <row r="195" spans="1:29" x14ac:dyDescent="0.3">
      <c r="A195" s="6">
        <v>1202</v>
      </c>
      <c r="B195" s="6">
        <v>170951</v>
      </c>
      <c r="C195" s="6">
        <v>0</v>
      </c>
      <c r="D195" s="6">
        <v>0</v>
      </c>
      <c r="E195" s="6">
        <v>35</v>
      </c>
      <c r="F195" s="5" t="s">
        <v>6</v>
      </c>
      <c r="G195" s="5" t="s">
        <v>11</v>
      </c>
      <c r="H195" s="3">
        <v>43718</v>
      </c>
      <c r="I195" s="5" t="s">
        <v>438</v>
      </c>
      <c r="J195" s="5">
        <f>_xlfn.XLOOKUP(CustomerCombined[[#This Row],[ID]], Table4[ID], Table4[Recency], "Not Found", 0)</f>
        <v>66</v>
      </c>
      <c r="K195" s="5">
        <f>_xlfn.XLOOKUP(CustomerCombined[[#This Row],[ID]], Table4[ID], Table4[Teas], "Not Found", 0)</f>
        <v>576</v>
      </c>
      <c r="L195" s="5">
        <f>_xlfn.XLOOKUP(CustomerCombined[[#This Row],[ID]], Table4[ID], Table4[Fruits], "Not Found", 0)</f>
        <v>24</v>
      </c>
      <c r="M195" s="5">
        <f>_xlfn.XLOOKUP(CustomerCombined[[#This Row],[ID]], Table4[ID], Table4[Meats], "Not Found", 0)</f>
        <v>1335</v>
      </c>
      <c r="N195" s="5">
        <f>_xlfn.XLOOKUP(CustomerCombined[[#This Row],[ID]], Table4[ID], Table4[Seafood], "Not Found", 0)</f>
        <v>612</v>
      </c>
      <c r="O195" s="5">
        <f>_xlfn.XLOOKUP(CustomerCombined[[#This Row],[ID]], Table4[ID], Table4[Sweets], "Not Found", 0)</f>
        <v>210</v>
      </c>
      <c r="P195" s="5">
        <f>_xlfn.XLOOKUP(CustomerCombined[[#This Row],[ID]], Table4[ID], Table4[Premium], "Not Found", 0)</f>
        <v>130</v>
      </c>
      <c r="Q195" s="5">
        <f>_xlfn.XLOOKUP(CustomerCombined[[#This Row],[ID]], Table4[ID], Table4[Regular], "Not Found", 0)</f>
        <v>2626</v>
      </c>
      <c r="R195" s="5">
        <f>_xlfn.XLOOKUP(CustomerCombined[[#This Row],[ID]], Table4[ID], Table4[Deals], "Not Found", 0)</f>
        <v>1</v>
      </c>
      <c r="S195" s="5">
        <f>_xlfn.XLOOKUP(CustomerCombined[[#This Row],[ID]], Table4[ID], Table4[Website], "Not Found", 0)</f>
        <v>3</v>
      </c>
      <c r="T195" s="5">
        <f>_xlfn.XLOOKUP(CustomerCombined[[#This Row],[ID]], Table4[ID], Table4[Catalog], "Not Found", 0)</f>
        <v>4</v>
      </c>
      <c r="U195" s="5">
        <f>_xlfn.XLOOKUP(CustomerCombined[[#This Row],[ID]], Table4[ID], Table4[Store], "Not Found", 0)</f>
        <v>9</v>
      </c>
      <c r="V195" s="5">
        <f>_xlfn.XLOOKUP(CustomerCombined[[#This Row],[ID]], Table4[ID], Table4[Visits], "Not Found", 0)</f>
        <v>1</v>
      </c>
      <c r="W195" s="8">
        <f>_xlfn.XLOOKUP(CustomerCombined[[#This Row],[ID]], Table2[ID],Table2[Complaint], "Not Found", 0 )</f>
        <v>0</v>
      </c>
      <c r="X195" s="8">
        <f>_xlfn.XLOOKUP(CustomerCombined[[#This Row],[ID]], Table2[ID],Table2[Pilot], "Not Found", 0 )</f>
        <v>0</v>
      </c>
      <c r="Y195" s="8">
        <f>_xlfn.XLOOKUP(CustomerCombined[[#This Row],[ID]], Table2[ID],Table2[MC1], "Not Found", 0 )</f>
        <v>0</v>
      </c>
      <c r="Z195" s="8">
        <f>_xlfn.XLOOKUP(CustomerCombined[[#This Row],[ID]], Table2[ID],Table2[MC2], "Not Found", 0 )</f>
        <v>0</v>
      </c>
      <c r="AA195" s="8">
        <f>_xlfn.XLOOKUP(CustomerCombined[[#This Row],[ID]], Table2[ID],Table2[MC3], "Not Found", 0 )</f>
        <v>0</v>
      </c>
      <c r="AB195" s="8">
        <f>_xlfn.XLOOKUP(CustomerCombined[[#This Row],[ID]], Table2[ID],Table2[MC4], "Not Found", 0 )</f>
        <v>0</v>
      </c>
      <c r="AC195" s="8">
        <f>_xlfn.XLOOKUP(CustomerCombined[[#This Row],[ID]], Table2[ID],Table2[MC5], "Not Found", 0 )</f>
        <v>0</v>
      </c>
    </row>
    <row r="196" spans="1:29" x14ac:dyDescent="0.3">
      <c r="A196" s="6">
        <v>2036</v>
      </c>
      <c r="B196" s="6">
        <v>170596</v>
      </c>
      <c r="C196" s="6">
        <v>0</v>
      </c>
      <c r="D196" s="6">
        <v>0</v>
      </c>
      <c r="E196" s="6">
        <v>35</v>
      </c>
      <c r="F196" s="5" t="s">
        <v>7</v>
      </c>
      <c r="G196" s="5" t="s">
        <v>11</v>
      </c>
      <c r="H196" s="3">
        <v>43802</v>
      </c>
      <c r="I196" s="5" t="s">
        <v>438</v>
      </c>
      <c r="J196" s="5">
        <f>_xlfn.XLOOKUP(CustomerCombined[[#This Row],[ID]], Table4[ID], Table4[Recency], "Not Found", 0)</f>
        <v>68</v>
      </c>
      <c r="K196" s="5">
        <f>_xlfn.XLOOKUP(CustomerCombined[[#This Row],[ID]], Table4[ID], Table4[Teas], "Not Found", 0)</f>
        <v>839</v>
      </c>
      <c r="L196" s="5">
        <f>_xlfn.XLOOKUP(CustomerCombined[[#This Row],[ID]], Table4[ID], Table4[Fruits], "Not Found", 0)</f>
        <v>106</v>
      </c>
      <c r="M196" s="5">
        <f>_xlfn.XLOOKUP(CustomerCombined[[#This Row],[ID]], Table4[ID], Table4[Meats], "Not Found", 0)</f>
        <v>1290</v>
      </c>
      <c r="N196" s="5">
        <f>_xlfn.XLOOKUP(CustomerCombined[[#This Row],[ID]], Table4[ID], Table4[Seafood], "Not Found", 0)</f>
        <v>41</v>
      </c>
      <c r="O196" s="5">
        <f>_xlfn.XLOOKUP(CustomerCombined[[#This Row],[ID]], Table4[ID], Table4[Sweets], "Not Found", 0)</f>
        <v>0</v>
      </c>
      <c r="P196" s="5">
        <f>_xlfn.XLOOKUP(CustomerCombined[[#This Row],[ID]], Table4[ID], Table4[Premium], "Not Found", 0)</f>
        <v>63</v>
      </c>
      <c r="Q196" s="5">
        <f>_xlfn.XLOOKUP(CustomerCombined[[#This Row],[ID]], Table4[ID], Table4[Regular], "Not Found", 0)</f>
        <v>2214</v>
      </c>
      <c r="R196" s="5">
        <f>_xlfn.XLOOKUP(CustomerCombined[[#This Row],[ID]], Table4[ID], Table4[Deals], "Not Found", 0)</f>
        <v>1</v>
      </c>
      <c r="S196" s="5">
        <f>_xlfn.XLOOKUP(CustomerCombined[[#This Row],[ID]], Table4[ID], Table4[Website], "Not Found", 0)</f>
        <v>3</v>
      </c>
      <c r="T196" s="5">
        <f>_xlfn.XLOOKUP(CustomerCombined[[#This Row],[ID]], Table4[ID], Table4[Catalog], "Not Found", 0)</f>
        <v>5</v>
      </c>
      <c r="U196" s="5">
        <f>_xlfn.XLOOKUP(CustomerCombined[[#This Row],[ID]], Table4[ID], Table4[Store], "Not Found", 0)</f>
        <v>12</v>
      </c>
      <c r="V196" s="5">
        <f>_xlfn.XLOOKUP(CustomerCombined[[#This Row],[ID]], Table4[ID], Table4[Visits], "Not Found", 0)</f>
        <v>2</v>
      </c>
      <c r="W196" s="8">
        <f>_xlfn.XLOOKUP(CustomerCombined[[#This Row],[ID]], Table2[ID],Table2[Complaint], "Not Found", 0 )</f>
        <v>0</v>
      </c>
      <c r="X196" s="8">
        <f>_xlfn.XLOOKUP(CustomerCombined[[#This Row],[ID]], Table2[ID],Table2[Pilot], "Not Found", 0 )</f>
        <v>0</v>
      </c>
      <c r="Y196" s="8">
        <f>_xlfn.XLOOKUP(CustomerCombined[[#This Row],[ID]], Table2[ID],Table2[MC1], "Not Found", 0 )</f>
        <v>0</v>
      </c>
      <c r="Z196" s="8">
        <f>_xlfn.XLOOKUP(CustomerCombined[[#This Row],[ID]], Table2[ID],Table2[MC2], "Not Found", 0 )</f>
        <v>0</v>
      </c>
      <c r="AA196" s="8">
        <f>_xlfn.XLOOKUP(CustomerCombined[[#This Row],[ID]], Table2[ID],Table2[MC3], "Not Found", 0 )</f>
        <v>0</v>
      </c>
      <c r="AB196" s="8">
        <f>_xlfn.XLOOKUP(CustomerCombined[[#This Row],[ID]], Table2[ID],Table2[MC4], "Not Found", 0 )</f>
        <v>0</v>
      </c>
      <c r="AC196" s="8">
        <f>_xlfn.XLOOKUP(CustomerCombined[[#This Row],[ID]], Table2[ID],Table2[MC5], "Not Found", 0 )</f>
        <v>0</v>
      </c>
    </row>
    <row r="197" spans="1:29" x14ac:dyDescent="0.3">
      <c r="A197" s="6">
        <v>2747</v>
      </c>
      <c r="B197" s="6">
        <v>170596</v>
      </c>
      <c r="C197" s="6">
        <v>0</v>
      </c>
      <c r="D197" s="6">
        <v>0</v>
      </c>
      <c r="E197" s="6">
        <v>35</v>
      </c>
      <c r="F197" s="5" t="s">
        <v>7</v>
      </c>
      <c r="G197" s="5" t="s">
        <v>11</v>
      </c>
      <c r="H197" s="3">
        <v>43802</v>
      </c>
      <c r="I197" s="5" t="s">
        <v>434</v>
      </c>
      <c r="J197" s="5">
        <f>_xlfn.XLOOKUP(CustomerCombined[[#This Row],[ID]], Table4[ID], Table4[Recency], "Not Found", 0)</f>
        <v>68</v>
      </c>
      <c r="K197" s="5">
        <f>_xlfn.XLOOKUP(CustomerCombined[[#This Row],[ID]], Table4[ID], Table4[Teas], "Not Found", 0)</f>
        <v>839</v>
      </c>
      <c r="L197" s="5">
        <f>_xlfn.XLOOKUP(CustomerCombined[[#This Row],[ID]], Table4[ID], Table4[Fruits], "Not Found", 0)</f>
        <v>106</v>
      </c>
      <c r="M197" s="5">
        <f>_xlfn.XLOOKUP(CustomerCombined[[#This Row],[ID]], Table4[ID], Table4[Meats], "Not Found", 0)</f>
        <v>1290</v>
      </c>
      <c r="N197" s="5">
        <f>_xlfn.XLOOKUP(CustomerCombined[[#This Row],[ID]], Table4[ID], Table4[Seafood], "Not Found", 0)</f>
        <v>41</v>
      </c>
      <c r="O197" s="5">
        <f>_xlfn.XLOOKUP(CustomerCombined[[#This Row],[ID]], Table4[ID], Table4[Sweets], "Not Found", 0)</f>
        <v>0</v>
      </c>
      <c r="P197" s="5">
        <f>_xlfn.XLOOKUP(CustomerCombined[[#This Row],[ID]], Table4[ID], Table4[Premium], "Not Found", 0)</f>
        <v>63</v>
      </c>
      <c r="Q197" s="5">
        <f>_xlfn.XLOOKUP(CustomerCombined[[#This Row],[ID]], Table4[ID], Table4[Regular], "Not Found", 0)</f>
        <v>2214</v>
      </c>
      <c r="R197" s="5">
        <f>_xlfn.XLOOKUP(CustomerCombined[[#This Row],[ID]], Table4[ID], Table4[Deals], "Not Found", 0)</f>
        <v>1</v>
      </c>
      <c r="S197" s="5">
        <f>_xlfn.XLOOKUP(CustomerCombined[[#This Row],[ID]], Table4[ID], Table4[Website], "Not Found", 0)</f>
        <v>3</v>
      </c>
      <c r="T197" s="5">
        <f>_xlfn.XLOOKUP(CustomerCombined[[#This Row],[ID]], Table4[ID], Table4[Catalog], "Not Found", 0)</f>
        <v>5</v>
      </c>
      <c r="U197" s="5">
        <f>_xlfn.XLOOKUP(CustomerCombined[[#This Row],[ID]], Table4[ID], Table4[Store], "Not Found", 0)</f>
        <v>12</v>
      </c>
      <c r="V197" s="5">
        <f>_xlfn.XLOOKUP(CustomerCombined[[#This Row],[ID]], Table4[ID], Table4[Visits], "Not Found", 0)</f>
        <v>2</v>
      </c>
      <c r="W197" s="8">
        <f>_xlfn.XLOOKUP(CustomerCombined[[#This Row],[ID]], Table2[ID],Table2[Complaint], "Not Found", 0 )</f>
        <v>0</v>
      </c>
      <c r="X197" s="8">
        <f>_xlfn.XLOOKUP(CustomerCombined[[#This Row],[ID]], Table2[ID],Table2[Pilot], "Not Found", 0 )</f>
        <v>0</v>
      </c>
      <c r="Y197" s="8">
        <f>_xlfn.XLOOKUP(CustomerCombined[[#This Row],[ID]], Table2[ID],Table2[MC1], "Not Found", 0 )</f>
        <v>0</v>
      </c>
      <c r="Z197" s="8">
        <f>_xlfn.XLOOKUP(CustomerCombined[[#This Row],[ID]], Table2[ID],Table2[MC2], "Not Found", 0 )</f>
        <v>0</v>
      </c>
      <c r="AA197" s="8">
        <f>_xlfn.XLOOKUP(CustomerCombined[[#This Row],[ID]], Table2[ID],Table2[MC3], "Not Found", 0 )</f>
        <v>0</v>
      </c>
      <c r="AB197" s="8">
        <f>_xlfn.XLOOKUP(CustomerCombined[[#This Row],[ID]], Table2[ID],Table2[MC4], "Not Found", 0 )</f>
        <v>0</v>
      </c>
      <c r="AC197" s="8">
        <f>_xlfn.XLOOKUP(CustomerCombined[[#This Row],[ID]], Table2[ID],Table2[MC5], "Not Found", 0 )</f>
        <v>0</v>
      </c>
    </row>
    <row r="198" spans="1:29" x14ac:dyDescent="0.3">
      <c r="A198" s="6">
        <v>1303</v>
      </c>
      <c r="B198" s="6">
        <v>166503</v>
      </c>
      <c r="C198" s="6">
        <v>1</v>
      </c>
      <c r="D198" s="6">
        <v>0</v>
      </c>
      <c r="E198" s="6">
        <v>35</v>
      </c>
      <c r="F198" s="5" t="s">
        <v>7</v>
      </c>
      <c r="G198" s="5" t="s">
        <v>11</v>
      </c>
      <c r="H198" s="3" t="s">
        <v>414</v>
      </c>
      <c r="I198" s="5" t="s">
        <v>437</v>
      </c>
      <c r="J198" s="5">
        <f>_xlfn.XLOOKUP(CustomerCombined[[#This Row],[ID]], Table4[ID], Table4[Recency], "Not Found", 0)</f>
        <v>30</v>
      </c>
      <c r="K198" s="5">
        <f>_xlfn.XLOOKUP(CustomerCombined[[#This Row],[ID]], Table4[ID], Table4[Teas], "Not Found", 0)</f>
        <v>228</v>
      </c>
      <c r="L198" s="5">
        <f>_xlfn.XLOOKUP(CustomerCombined[[#This Row],[ID]], Table4[ID], Table4[Fruits], "Not Found", 0)</f>
        <v>160</v>
      </c>
      <c r="M198" s="5">
        <f>_xlfn.XLOOKUP(CustomerCombined[[#This Row],[ID]], Table4[ID], Table4[Meats], "Not Found", 0)</f>
        <v>320</v>
      </c>
      <c r="N198" s="5">
        <f>_xlfn.XLOOKUP(CustomerCombined[[#This Row],[ID]], Table4[ID], Table4[Seafood], "Not Found", 0)</f>
        <v>163</v>
      </c>
      <c r="O198" s="5">
        <f>_xlfn.XLOOKUP(CustomerCombined[[#This Row],[ID]], Table4[ID], Table4[Sweets], "Not Found", 0)</f>
        <v>8</v>
      </c>
      <c r="P198" s="5">
        <f>_xlfn.XLOOKUP(CustomerCombined[[#This Row],[ID]], Table4[ID], Table4[Premium], "Not Found", 0)</f>
        <v>125</v>
      </c>
      <c r="Q198" s="5">
        <f>_xlfn.XLOOKUP(CustomerCombined[[#This Row],[ID]], Table4[ID], Table4[Regular], "Not Found", 0)</f>
        <v>754</v>
      </c>
      <c r="R198" s="5">
        <f>_xlfn.XLOOKUP(CustomerCombined[[#This Row],[ID]], Table4[ID], Table4[Deals], "Not Found", 0)</f>
        <v>2</v>
      </c>
      <c r="S198" s="5">
        <f>_xlfn.XLOOKUP(CustomerCombined[[#This Row],[ID]], Table4[ID], Table4[Website], "Not Found", 0)</f>
        <v>4</v>
      </c>
      <c r="T198" s="5">
        <f>_xlfn.XLOOKUP(CustomerCombined[[#This Row],[ID]], Table4[ID], Table4[Catalog], "Not Found", 0)</f>
        <v>3</v>
      </c>
      <c r="U198" s="5">
        <f>_xlfn.XLOOKUP(CustomerCombined[[#This Row],[ID]], Table4[ID], Table4[Store], "Not Found", 0)</f>
        <v>6</v>
      </c>
      <c r="V198" s="5">
        <f>_xlfn.XLOOKUP(CustomerCombined[[#This Row],[ID]], Table4[ID], Table4[Visits], "Not Found", 0)</f>
        <v>3</v>
      </c>
      <c r="W198" s="8">
        <f>_xlfn.XLOOKUP(CustomerCombined[[#This Row],[ID]], Table2[ID],Table2[Complaint], "Not Found", 0 )</f>
        <v>0</v>
      </c>
      <c r="X198" s="8">
        <f>_xlfn.XLOOKUP(CustomerCombined[[#This Row],[ID]], Table2[ID],Table2[Pilot], "Not Found", 0 )</f>
        <v>0</v>
      </c>
      <c r="Y198" s="8">
        <f>_xlfn.XLOOKUP(CustomerCombined[[#This Row],[ID]], Table2[ID],Table2[MC1], "Not Found", 0 )</f>
        <v>0</v>
      </c>
      <c r="Z198" s="8">
        <f>_xlfn.XLOOKUP(CustomerCombined[[#This Row],[ID]], Table2[ID],Table2[MC2], "Not Found", 0 )</f>
        <v>0</v>
      </c>
      <c r="AA198" s="8">
        <f>_xlfn.XLOOKUP(CustomerCombined[[#This Row],[ID]], Table2[ID],Table2[MC3], "Not Found", 0 )</f>
        <v>0</v>
      </c>
      <c r="AB198" s="8">
        <f>_xlfn.XLOOKUP(CustomerCombined[[#This Row],[ID]], Table2[ID],Table2[MC4], "Not Found", 0 )</f>
        <v>0</v>
      </c>
      <c r="AC198" s="8">
        <f>_xlfn.XLOOKUP(CustomerCombined[[#This Row],[ID]], Table2[ID],Table2[MC5], "Not Found", 0 )</f>
        <v>0</v>
      </c>
    </row>
    <row r="199" spans="1:29" x14ac:dyDescent="0.3">
      <c r="A199" s="6">
        <v>1487</v>
      </c>
      <c r="B199" s="6">
        <v>164355</v>
      </c>
      <c r="C199" s="6">
        <v>1</v>
      </c>
      <c r="D199" s="6">
        <v>0</v>
      </c>
      <c r="E199" s="6">
        <v>35</v>
      </c>
      <c r="F199" s="5" t="s">
        <v>6</v>
      </c>
      <c r="G199" s="5" t="s">
        <v>13</v>
      </c>
      <c r="H199" s="3" t="s">
        <v>404</v>
      </c>
      <c r="I199" s="5" t="s">
        <v>434</v>
      </c>
      <c r="J199" s="5">
        <f>_xlfn.XLOOKUP(CustomerCombined[[#This Row],[ID]], Table4[ID], Table4[Recency], "Not Found", 0)</f>
        <v>66</v>
      </c>
      <c r="K199" s="5">
        <f>_xlfn.XLOOKUP(CustomerCombined[[#This Row],[ID]], Table4[ID], Table4[Teas], "Not Found", 0)</f>
        <v>2674</v>
      </c>
      <c r="L199" s="5">
        <f>_xlfn.XLOOKUP(CustomerCombined[[#This Row],[ID]], Table4[ID], Table4[Fruits], "Not Found", 0)</f>
        <v>0</v>
      </c>
      <c r="M199" s="5">
        <f>_xlfn.XLOOKUP(CustomerCombined[[#This Row],[ID]], Table4[ID], Table4[Meats], "Not Found", 0)</f>
        <v>358</v>
      </c>
      <c r="N199" s="5">
        <f>_xlfn.XLOOKUP(CustomerCombined[[#This Row],[ID]], Table4[ID], Table4[Seafood], "Not Found", 0)</f>
        <v>171</v>
      </c>
      <c r="O199" s="5">
        <f>_xlfn.XLOOKUP(CustomerCombined[[#This Row],[ID]], Table4[ID], Table4[Sweets], "Not Found", 0)</f>
        <v>97</v>
      </c>
      <c r="P199" s="5">
        <f>_xlfn.XLOOKUP(CustomerCombined[[#This Row],[ID]], Table4[ID], Table4[Premium], "Not Found", 0)</f>
        <v>391</v>
      </c>
      <c r="Q199" s="5">
        <f>_xlfn.XLOOKUP(CustomerCombined[[#This Row],[ID]], Table4[ID], Table4[Regular], "Not Found", 0)</f>
        <v>2909</v>
      </c>
      <c r="R199" s="5">
        <f>_xlfn.XLOOKUP(CustomerCombined[[#This Row],[ID]], Table4[ID], Table4[Deals], "Not Found", 0)</f>
        <v>2</v>
      </c>
      <c r="S199" s="5">
        <f>_xlfn.XLOOKUP(CustomerCombined[[#This Row],[ID]], Table4[ID], Table4[Website], "Not Found", 0)</f>
        <v>4</v>
      </c>
      <c r="T199" s="5">
        <f>_xlfn.XLOOKUP(CustomerCombined[[#This Row],[ID]], Table4[ID], Table4[Catalog], "Not Found", 0)</f>
        <v>3</v>
      </c>
      <c r="U199" s="5">
        <f>_xlfn.XLOOKUP(CustomerCombined[[#This Row],[ID]], Table4[ID], Table4[Store], "Not Found", 0)</f>
        <v>12</v>
      </c>
      <c r="V199" s="5">
        <f>_xlfn.XLOOKUP(CustomerCombined[[#This Row],[ID]], Table4[ID], Table4[Visits], "Not Found", 0)</f>
        <v>8</v>
      </c>
      <c r="W199" s="8">
        <f>_xlfn.XLOOKUP(CustomerCombined[[#This Row],[ID]], Table2[ID],Table2[Complaint], "Not Found", 0 )</f>
        <v>0</v>
      </c>
      <c r="X199" s="8">
        <f>_xlfn.XLOOKUP(CustomerCombined[[#This Row],[ID]], Table2[ID],Table2[Pilot], "Not Found", 0 )</f>
        <v>0</v>
      </c>
      <c r="Y199" s="8">
        <f>_xlfn.XLOOKUP(CustomerCombined[[#This Row],[ID]], Table2[ID],Table2[MC1], "Not Found", 0 )</f>
        <v>0</v>
      </c>
      <c r="Z199" s="8">
        <f>_xlfn.XLOOKUP(CustomerCombined[[#This Row],[ID]], Table2[ID],Table2[MC2], "Not Found", 0 )</f>
        <v>0</v>
      </c>
      <c r="AA199" s="8">
        <f>_xlfn.XLOOKUP(CustomerCombined[[#This Row],[ID]], Table2[ID],Table2[MC3], "Not Found", 0 )</f>
        <v>0</v>
      </c>
      <c r="AB199" s="8">
        <f>_xlfn.XLOOKUP(CustomerCombined[[#This Row],[ID]], Table2[ID],Table2[MC4], "Not Found", 0 )</f>
        <v>0</v>
      </c>
      <c r="AC199" s="8">
        <f>_xlfn.XLOOKUP(CustomerCombined[[#This Row],[ID]], Table2[ID],Table2[MC5], "Not Found", 0 )</f>
        <v>0</v>
      </c>
    </row>
    <row r="200" spans="1:29" x14ac:dyDescent="0.3">
      <c r="A200" s="6">
        <v>1838</v>
      </c>
      <c r="B200" s="6">
        <v>155357</v>
      </c>
      <c r="C200" s="6">
        <v>2</v>
      </c>
      <c r="D200" s="6">
        <v>0</v>
      </c>
      <c r="E200" s="6">
        <v>35</v>
      </c>
      <c r="F200" s="5" t="s">
        <v>6</v>
      </c>
      <c r="G200" s="5" t="s">
        <v>11</v>
      </c>
      <c r="H200" s="3" t="s">
        <v>304</v>
      </c>
      <c r="I200" s="5" t="s">
        <v>438</v>
      </c>
      <c r="J200" s="5">
        <f>_xlfn.XLOOKUP(CustomerCombined[[#This Row],[ID]], Table4[ID], Table4[Recency], "Not Found", 0)</f>
        <v>66</v>
      </c>
      <c r="K200" s="5">
        <f>_xlfn.XLOOKUP(CustomerCombined[[#This Row],[ID]], Table4[ID], Table4[Teas], "Not Found", 0)</f>
        <v>1050</v>
      </c>
      <c r="L200" s="5">
        <f>_xlfn.XLOOKUP(CustomerCombined[[#This Row],[ID]], Table4[ID], Table4[Fruits], "Not Found", 0)</f>
        <v>180</v>
      </c>
      <c r="M200" s="5">
        <f>_xlfn.XLOOKUP(CustomerCombined[[#This Row],[ID]], Table4[ID], Table4[Meats], "Not Found", 0)</f>
        <v>326</v>
      </c>
      <c r="N200" s="5">
        <f>_xlfn.XLOOKUP(CustomerCombined[[#This Row],[ID]], Table4[ID], Table4[Seafood], "Not Found", 0)</f>
        <v>236</v>
      </c>
      <c r="O200" s="5">
        <f>_xlfn.XLOOKUP(CustomerCombined[[#This Row],[ID]], Table4[ID], Table4[Sweets], "Not Found", 0)</f>
        <v>70</v>
      </c>
      <c r="P200" s="5">
        <f>_xlfn.XLOOKUP(CustomerCombined[[#This Row],[ID]], Table4[ID], Table4[Premium], "Not Found", 0)</f>
        <v>180</v>
      </c>
      <c r="Q200" s="5">
        <f>_xlfn.XLOOKUP(CustomerCombined[[#This Row],[ID]], Table4[ID], Table4[Regular], "Not Found", 0)</f>
        <v>1681</v>
      </c>
      <c r="R200" s="5">
        <f>_xlfn.XLOOKUP(CustomerCombined[[#This Row],[ID]], Table4[ID], Table4[Deals], "Not Found", 0)</f>
        <v>3</v>
      </c>
      <c r="S200" s="5">
        <f>_xlfn.XLOOKUP(CustomerCombined[[#This Row],[ID]], Table4[ID], Table4[Website], "Not Found", 0)</f>
        <v>6</v>
      </c>
      <c r="T200" s="5">
        <f>_xlfn.XLOOKUP(CustomerCombined[[#This Row],[ID]], Table4[ID], Table4[Catalog], "Not Found", 0)</f>
        <v>2</v>
      </c>
      <c r="U200" s="5">
        <f>_xlfn.XLOOKUP(CustomerCombined[[#This Row],[ID]], Table4[ID], Table4[Store], "Not Found", 0)</f>
        <v>11</v>
      </c>
      <c r="V200" s="5">
        <f>_xlfn.XLOOKUP(CustomerCombined[[#This Row],[ID]], Table4[ID], Table4[Visits], "Not Found", 0)</f>
        <v>5</v>
      </c>
      <c r="W200" s="8">
        <f>_xlfn.XLOOKUP(CustomerCombined[[#This Row],[ID]], Table2[ID],Table2[Complaint], "Not Found", 0 )</f>
        <v>0</v>
      </c>
      <c r="X200" s="8">
        <f>_xlfn.XLOOKUP(CustomerCombined[[#This Row],[ID]], Table2[ID],Table2[Pilot], "Not Found", 0 )</f>
        <v>0</v>
      </c>
      <c r="Y200" s="8">
        <f>_xlfn.XLOOKUP(CustomerCombined[[#This Row],[ID]], Table2[ID],Table2[MC1], "Not Found", 0 )</f>
        <v>0</v>
      </c>
      <c r="Z200" s="8">
        <f>_xlfn.XLOOKUP(CustomerCombined[[#This Row],[ID]], Table2[ID],Table2[MC2], "Not Found", 0 )</f>
        <v>0</v>
      </c>
      <c r="AA200" s="8">
        <f>_xlfn.XLOOKUP(CustomerCombined[[#This Row],[ID]], Table2[ID],Table2[MC3], "Not Found", 0 )</f>
        <v>0</v>
      </c>
      <c r="AB200" s="8">
        <f>_xlfn.XLOOKUP(CustomerCombined[[#This Row],[ID]], Table2[ID],Table2[MC4], "Not Found", 0 )</f>
        <v>0</v>
      </c>
      <c r="AC200" s="8">
        <f>_xlfn.XLOOKUP(CustomerCombined[[#This Row],[ID]], Table2[ID],Table2[MC5], "Not Found", 0 )</f>
        <v>0</v>
      </c>
    </row>
    <row r="201" spans="1:29" x14ac:dyDescent="0.3">
      <c r="A201" s="6">
        <v>2834</v>
      </c>
      <c r="B201" s="6">
        <v>154006</v>
      </c>
      <c r="C201" s="6">
        <v>1</v>
      </c>
      <c r="D201" s="6">
        <v>0</v>
      </c>
      <c r="E201" s="6">
        <v>35</v>
      </c>
      <c r="F201" s="5" t="s">
        <v>8</v>
      </c>
      <c r="G201" s="5" t="s">
        <v>11</v>
      </c>
      <c r="H201" s="3" t="s">
        <v>393</v>
      </c>
      <c r="I201" s="5" t="s">
        <v>438</v>
      </c>
      <c r="J201" s="5">
        <f>_xlfn.XLOOKUP(CustomerCombined[[#This Row],[ID]], Table4[ID], Table4[Recency], "Not Found", 0)</f>
        <v>42</v>
      </c>
      <c r="K201" s="5">
        <f>_xlfn.XLOOKUP(CustomerCombined[[#This Row],[ID]], Table4[ID], Table4[Teas], "Not Found", 0)</f>
        <v>496</v>
      </c>
      <c r="L201" s="5">
        <f>_xlfn.XLOOKUP(CustomerCombined[[#This Row],[ID]], Table4[ID], Table4[Fruits], "Not Found", 0)</f>
        <v>220</v>
      </c>
      <c r="M201" s="5">
        <f>_xlfn.XLOOKUP(CustomerCombined[[#This Row],[ID]], Table4[ID], Table4[Meats], "Not Found", 0)</f>
        <v>579</v>
      </c>
      <c r="N201" s="5">
        <f>_xlfn.XLOOKUP(CustomerCombined[[#This Row],[ID]], Table4[ID], Table4[Seafood], "Not Found", 0)</f>
        <v>17</v>
      </c>
      <c r="O201" s="5">
        <f>_xlfn.XLOOKUP(CustomerCombined[[#This Row],[ID]], Table4[ID], Table4[Sweets], "Not Found", 0)</f>
        <v>68</v>
      </c>
      <c r="P201" s="5">
        <f>_xlfn.XLOOKUP(CustomerCombined[[#This Row],[ID]], Table4[ID], Table4[Premium], "Not Found", 0)</f>
        <v>277</v>
      </c>
      <c r="Q201" s="5">
        <f>_xlfn.XLOOKUP(CustomerCombined[[#This Row],[ID]], Table4[ID], Table4[Regular], "Not Found", 0)</f>
        <v>1104</v>
      </c>
      <c r="R201" s="5">
        <f>_xlfn.XLOOKUP(CustomerCombined[[#This Row],[ID]], Table4[ID], Table4[Deals], "Not Found", 0)</f>
        <v>2</v>
      </c>
      <c r="S201" s="5">
        <f>_xlfn.XLOOKUP(CustomerCombined[[#This Row],[ID]], Table4[ID], Table4[Website], "Not Found", 0)</f>
        <v>8</v>
      </c>
      <c r="T201" s="5">
        <f>_xlfn.XLOOKUP(CustomerCombined[[#This Row],[ID]], Table4[ID], Table4[Catalog], "Not Found", 0)</f>
        <v>1</v>
      </c>
      <c r="U201" s="5">
        <f>_xlfn.XLOOKUP(CustomerCombined[[#This Row],[ID]], Table4[ID], Table4[Store], "Not Found", 0)</f>
        <v>7</v>
      </c>
      <c r="V201" s="5">
        <f>_xlfn.XLOOKUP(CustomerCombined[[#This Row],[ID]], Table4[ID], Table4[Visits], "Not Found", 0)</f>
        <v>7</v>
      </c>
      <c r="W201" s="8">
        <f>_xlfn.XLOOKUP(CustomerCombined[[#This Row],[ID]], Table2[ID],Table2[Complaint], "Not Found", 0 )</f>
        <v>0</v>
      </c>
      <c r="X201" s="8">
        <f>_xlfn.XLOOKUP(CustomerCombined[[#This Row],[ID]], Table2[ID],Table2[Pilot], "Not Found", 0 )</f>
        <v>0</v>
      </c>
      <c r="Y201" s="8">
        <f>_xlfn.XLOOKUP(CustomerCombined[[#This Row],[ID]], Table2[ID],Table2[MC1], "Not Found", 0 )</f>
        <v>0</v>
      </c>
      <c r="Z201" s="8">
        <f>_xlfn.XLOOKUP(CustomerCombined[[#This Row],[ID]], Table2[ID],Table2[MC2], "Not Found", 0 )</f>
        <v>0</v>
      </c>
      <c r="AA201" s="8">
        <f>_xlfn.XLOOKUP(CustomerCombined[[#This Row],[ID]], Table2[ID],Table2[MC3], "Not Found", 0 )</f>
        <v>0</v>
      </c>
      <c r="AB201" s="8">
        <f>_xlfn.XLOOKUP(CustomerCombined[[#This Row],[ID]], Table2[ID],Table2[MC4], "Not Found", 0 )</f>
        <v>0</v>
      </c>
      <c r="AC201" s="8">
        <f>_xlfn.XLOOKUP(CustomerCombined[[#This Row],[ID]], Table2[ID],Table2[MC5], "Not Found", 0 )</f>
        <v>0</v>
      </c>
    </row>
    <row r="202" spans="1:29" x14ac:dyDescent="0.3">
      <c r="A202" s="6">
        <v>2540</v>
      </c>
      <c r="B202" s="6">
        <v>144322</v>
      </c>
      <c r="C202" s="6">
        <v>1</v>
      </c>
      <c r="D202" s="6">
        <v>0</v>
      </c>
      <c r="E202" s="6">
        <v>35</v>
      </c>
      <c r="F202" s="5" t="s">
        <v>6</v>
      </c>
      <c r="G202" s="5" t="s">
        <v>11</v>
      </c>
      <c r="H202" s="3" t="s">
        <v>33</v>
      </c>
      <c r="I202" s="5" t="s">
        <v>438</v>
      </c>
      <c r="J202" s="5">
        <f>_xlfn.XLOOKUP(CustomerCombined[[#This Row],[ID]], Table4[ID], Table4[Recency], "Not Found", 0)</f>
        <v>30</v>
      </c>
      <c r="K202" s="5">
        <f>_xlfn.XLOOKUP(CustomerCombined[[#This Row],[ID]], Table4[ID], Table4[Teas], "Not Found", 0)</f>
        <v>150</v>
      </c>
      <c r="L202" s="5">
        <f>_xlfn.XLOOKUP(CustomerCombined[[#This Row],[ID]], Table4[ID], Table4[Fruits], "Not Found", 0)</f>
        <v>0</v>
      </c>
      <c r="M202" s="5">
        <f>_xlfn.XLOOKUP(CustomerCombined[[#This Row],[ID]], Table4[ID], Table4[Meats], "Not Found", 0)</f>
        <v>130</v>
      </c>
      <c r="N202" s="5">
        <f>_xlfn.XLOOKUP(CustomerCombined[[#This Row],[ID]], Table4[ID], Table4[Seafood], "Not Found", 0)</f>
        <v>10</v>
      </c>
      <c r="O202" s="5">
        <f>_xlfn.XLOOKUP(CustomerCombined[[#This Row],[ID]], Table4[ID], Table4[Sweets], "Not Found", 0)</f>
        <v>0</v>
      </c>
      <c r="P202" s="5">
        <f>_xlfn.XLOOKUP(CustomerCombined[[#This Row],[ID]], Table4[ID], Table4[Premium], "Not Found", 0)</f>
        <v>10</v>
      </c>
      <c r="Q202" s="5">
        <f>_xlfn.XLOOKUP(CustomerCombined[[#This Row],[ID]], Table4[ID], Table4[Regular], "Not Found", 0)</f>
        <v>280</v>
      </c>
      <c r="R202" s="5">
        <f>_xlfn.XLOOKUP(CustomerCombined[[#This Row],[ID]], Table4[ID], Table4[Deals], "Not Found", 0)</f>
        <v>2</v>
      </c>
      <c r="S202" s="5">
        <f>_xlfn.XLOOKUP(CustomerCombined[[#This Row],[ID]], Table4[ID], Table4[Website], "Not Found", 0)</f>
        <v>3</v>
      </c>
      <c r="T202" s="5">
        <f>_xlfn.XLOOKUP(CustomerCombined[[#This Row],[ID]], Table4[ID], Table4[Catalog], "Not Found", 0)</f>
        <v>0</v>
      </c>
      <c r="U202" s="5">
        <f>_xlfn.XLOOKUP(CustomerCombined[[#This Row],[ID]], Table4[ID], Table4[Store], "Not Found", 0)</f>
        <v>3</v>
      </c>
      <c r="V202" s="5">
        <f>_xlfn.XLOOKUP(CustomerCombined[[#This Row],[ID]], Table4[ID], Table4[Visits], "Not Found", 0)</f>
        <v>8</v>
      </c>
      <c r="W202" s="8">
        <f>_xlfn.XLOOKUP(CustomerCombined[[#This Row],[ID]], Table2[ID],Table2[Complaint], "Not Found", 0 )</f>
        <v>0</v>
      </c>
      <c r="X202" s="8">
        <f>_xlfn.XLOOKUP(CustomerCombined[[#This Row],[ID]], Table2[ID],Table2[Pilot], "Not Found", 0 )</f>
        <v>0</v>
      </c>
      <c r="Y202" s="8">
        <f>_xlfn.XLOOKUP(CustomerCombined[[#This Row],[ID]], Table2[ID],Table2[MC1], "Not Found", 0 )</f>
        <v>0</v>
      </c>
      <c r="Z202" s="8">
        <f>_xlfn.XLOOKUP(CustomerCombined[[#This Row],[ID]], Table2[ID],Table2[MC2], "Not Found", 0 )</f>
        <v>0</v>
      </c>
      <c r="AA202" s="8">
        <f>_xlfn.XLOOKUP(CustomerCombined[[#This Row],[ID]], Table2[ID],Table2[MC3], "Not Found", 0 )</f>
        <v>0</v>
      </c>
      <c r="AB202" s="8">
        <f>_xlfn.XLOOKUP(CustomerCombined[[#This Row],[ID]], Table2[ID],Table2[MC4], "Not Found", 0 )</f>
        <v>0</v>
      </c>
      <c r="AC202" s="8">
        <f>_xlfn.XLOOKUP(CustomerCombined[[#This Row],[ID]], Table2[ID],Table2[MC5], "Not Found", 0 )</f>
        <v>0</v>
      </c>
    </row>
    <row r="203" spans="1:29" x14ac:dyDescent="0.3">
      <c r="A203" s="6">
        <v>2640</v>
      </c>
      <c r="B203" s="6">
        <v>141473</v>
      </c>
      <c r="C203" s="6">
        <v>1</v>
      </c>
      <c r="D203" s="6">
        <v>0</v>
      </c>
      <c r="E203" s="6">
        <v>35</v>
      </c>
      <c r="F203" s="5" t="s">
        <v>7</v>
      </c>
      <c r="G203" s="5" t="s">
        <v>442</v>
      </c>
      <c r="H203" s="3" t="s">
        <v>234</v>
      </c>
      <c r="I203" s="5" t="s">
        <v>436</v>
      </c>
      <c r="J203" s="5">
        <f>_xlfn.XLOOKUP(CustomerCombined[[#This Row],[ID]], Table4[ID], Table4[Recency], "Not Found", 0)</f>
        <v>80</v>
      </c>
      <c r="K203" s="5">
        <f>_xlfn.XLOOKUP(CustomerCombined[[#This Row],[ID]], Table4[ID], Table4[Teas], "Not Found", 0)</f>
        <v>72</v>
      </c>
      <c r="L203" s="5">
        <f>_xlfn.XLOOKUP(CustomerCombined[[#This Row],[ID]], Table4[ID], Table4[Fruits], "Not Found", 0)</f>
        <v>27</v>
      </c>
      <c r="M203" s="5">
        <f>_xlfn.XLOOKUP(CustomerCombined[[#This Row],[ID]], Table4[ID], Table4[Meats], "Not Found", 0)</f>
        <v>68</v>
      </c>
      <c r="N203" s="5">
        <f>_xlfn.XLOOKUP(CustomerCombined[[#This Row],[ID]], Table4[ID], Table4[Seafood], "Not Found", 0)</f>
        <v>51</v>
      </c>
      <c r="O203" s="5">
        <f>_xlfn.XLOOKUP(CustomerCombined[[#This Row],[ID]], Table4[ID], Table4[Sweets], "Not Found", 0)</f>
        <v>10</v>
      </c>
      <c r="P203" s="5">
        <f>_xlfn.XLOOKUP(CustomerCombined[[#This Row],[ID]], Table4[ID], Table4[Premium], "Not Found", 0)</f>
        <v>31</v>
      </c>
      <c r="Q203" s="5">
        <f>_xlfn.XLOOKUP(CustomerCombined[[#This Row],[ID]], Table4[ID], Table4[Regular], "Not Found", 0)</f>
        <v>198</v>
      </c>
      <c r="R203" s="5">
        <f>_xlfn.XLOOKUP(CustomerCombined[[#This Row],[ID]], Table4[ID], Table4[Deals], "Not Found", 0)</f>
        <v>1</v>
      </c>
      <c r="S203" s="5">
        <f>_xlfn.XLOOKUP(CustomerCombined[[#This Row],[ID]], Table4[ID], Table4[Website], "Not Found", 0)</f>
        <v>2</v>
      </c>
      <c r="T203" s="5">
        <f>_xlfn.XLOOKUP(CustomerCombined[[#This Row],[ID]], Table4[ID], Table4[Catalog], "Not Found", 0)</f>
        <v>0</v>
      </c>
      <c r="U203" s="5">
        <f>_xlfn.XLOOKUP(CustomerCombined[[#This Row],[ID]], Table4[ID], Table4[Store], "Not Found", 0)</f>
        <v>3</v>
      </c>
      <c r="V203" s="5">
        <f>_xlfn.XLOOKUP(CustomerCombined[[#This Row],[ID]], Table4[ID], Table4[Visits], "Not Found", 0)</f>
        <v>7</v>
      </c>
      <c r="W203" s="8">
        <f>_xlfn.XLOOKUP(CustomerCombined[[#This Row],[ID]], Table2[ID],Table2[Complaint], "Not Found", 0 )</f>
        <v>0</v>
      </c>
      <c r="X203" s="8">
        <f>_xlfn.XLOOKUP(CustomerCombined[[#This Row],[ID]], Table2[ID],Table2[Pilot], "Not Found", 0 )</f>
        <v>0</v>
      </c>
      <c r="Y203" s="8">
        <f>_xlfn.XLOOKUP(CustomerCombined[[#This Row],[ID]], Table2[ID],Table2[MC1], "Not Found", 0 )</f>
        <v>0</v>
      </c>
      <c r="Z203" s="8">
        <f>_xlfn.XLOOKUP(CustomerCombined[[#This Row],[ID]], Table2[ID],Table2[MC2], "Not Found", 0 )</f>
        <v>0</v>
      </c>
      <c r="AA203" s="8">
        <f>_xlfn.XLOOKUP(CustomerCombined[[#This Row],[ID]], Table2[ID],Table2[MC3], "Not Found", 0 )</f>
        <v>0</v>
      </c>
      <c r="AB203" s="8">
        <f>_xlfn.XLOOKUP(CustomerCombined[[#This Row],[ID]], Table2[ID],Table2[MC4], "Not Found", 0 )</f>
        <v>0</v>
      </c>
      <c r="AC203" s="8">
        <f>_xlfn.XLOOKUP(CustomerCombined[[#This Row],[ID]], Table2[ID],Table2[MC5], "Not Found", 0 )</f>
        <v>0</v>
      </c>
    </row>
    <row r="204" spans="1:29" x14ac:dyDescent="0.3">
      <c r="A204" s="6">
        <v>3187</v>
      </c>
      <c r="B204" s="6">
        <v>140101</v>
      </c>
      <c r="C204" s="6">
        <v>1</v>
      </c>
      <c r="D204" s="6">
        <v>0</v>
      </c>
      <c r="E204" s="6">
        <v>35</v>
      </c>
      <c r="F204" s="5" t="s">
        <v>8</v>
      </c>
      <c r="G204" s="5" t="s">
        <v>12</v>
      </c>
      <c r="H204" s="3" t="s">
        <v>380</v>
      </c>
      <c r="I204" s="5" t="s">
        <v>437</v>
      </c>
      <c r="J204" s="5">
        <f>_xlfn.XLOOKUP(CustomerCombined[[#This Row],[ID]], Table4[ID], Table4[Recency], "Not Found", 0)</f>
        <v>73</v>
      </c>
      <c r="K204" s="5">
        <f>_xlfn.XLOOKUP(CustomerCombined[[#This Row],[ID]], Table4[ID], Table4[Teas], "Not Found", 0)</f>
        <v>597</v>
      </c>
      <c r="L204" s="5">
        <f>_xlfn.XLOOKUP(CustomerCombined[[#This Row],[ID]], Table4[ID], Table4[Fruits], "Not Found", 0)</f>
        <v>10</v>
      </c>
      <c r="M204" s="5">
        <f>_xlfn.XLOOKUP(CustomerCombined[[#This Row],[ID]], Table4[ID], Table4[Meats], "Not Found", 0)</f>
        <v>451</v>
      </c>
      <c r="N204" s="5">
        <f>_xlfn.XLOOKUP(CustomerCombined[[#This Row],[ID]], Table4[ID], Table4[Seafood], "Not Found", 0)</f>
        <v>91</v>
      </c>
      <c r="O204" s="5">
        <f>_xlfn.XLOOKUP(CustomerCombined[[#This Row],[ID]], Table4[ID], Table4[Sweets], "Not Found", 0)</f>
        <v>84</v>
      </c>
      <c r="P204" s="5">
        <f>_xlfn.XLOOKUP(CustomerCombined[[#This Row],[ID]], Table4[ID], Table4[Premium], "Not Found", 0)</f>
        <v>217</v>
      </c>
      <c r="Q204" s="5">
        <f>_xlfn.XLOOKUP(CustomerCombined[[#This Row],[ID]], Table4[ID], Table4[Regular], "Not Found", 0)</f>
        <v>1017</v>
      </c>
      <c r="R204" s="5">
        <f>_xlfn.XLOOKUP(CustomerCombined[[#This Row],[ID]], Table4[ID], Table4[Deals], "Not Found", 0)</f>
        <v>4</v>
      </c>
      <c r="S204" s="5">
        <f>_xlfn.XLOOKUP(CustomerCombined[[#This Row],[ID]], Table4[ID], Table4[Website], "Not Found", 0)</f>
        <v>6</v>
      </c>
      <c r="T204" s="5">
        <f>_xlfn.XLOOKUP(CustomerCombined[[#This Row],[ID]], Table4[ID], Table4[Catalog], "Not Found", 0)</f>
        <v>1</v>
      </c>
      <c r="U204" s="5">
        <f>_xlfn.XLOOKUP(CustomerCombined[[#This Row],[ID]], Table4[ID], Table4[Store], "Not Found", 0)</f>
        <v>6</v>
      </c>
      <c r="V204" s="5">
        <f>_xlfn.XLOOKUP(CustomerCombined[[#This Row],[ID]], Table4[ID], Table4[Visits], "Not Found", 0)</f>
        <v>7</v>
      </c>
      <c r="W204" s="8">
        <f>_xlfn.XLOOKUP(CustomerCombined[[#This Row],[ID]], Table2[ID],Table2[Complaint], "Not Found", 0 )</f>
        <v>0</v>
      </c>
      <c r="X204" s="8">
        <f>_xlfn.XLOOKUP(CustomerCombined[[#This Row],[ID]], Table2[ID],Table2[Pilot], "Not Found", 0 )</f>
        <v>0</v>
      </c>
      <c r="Y204" s="8">
        <f>_xlfn.XLOOKUP(CustomerCombined[[#This Row],[ID]], Table2[ID],Table2[MC1], "Not Found", 0 )</f>
        <v>0</v>
      </c>
      <c r="Z204" s="8">
        <f>_xlfn.XLOOKUP(CustomerCombined[[#This Row],[ID]], Table2[ID],Table2[MC2], "Not Found", 0 )</f>
        <v>0</v>
      </c>
      <c r="AA204" s="8">
        <f>_xlfn.XLOOKUP(CustomerCombined[[#This Row],[ID]], Table2[ID],Table2[MC3], "Not Found", 0 )</f>
        <v>0</v>
      </c>
      <c r="AB204" s="8">
        <f>_xlfn.XLOOKUP(CustomerCombined[[#This Row],[ID]], Table2[ID],Table2[MC4], "Not Found", 0 )</f>
        <v>0</v>
      </c>
      <c r="AC204" s="8">
        <f>_xlfn.XLOOKUP(CustomerCombined[[#This Row],[ID]], Table2[ID],Table2[MC5], "Not Found", 0 )</f>
        <v>0</v>
      </c>
    </row>
    <row r="205" spans="1:29" x14ac:dyDescent="0.3">
      <c r="A205" s="6">
        <v>2645</v>
      </c>
      <c r="B205" s="6">
        <v>137929</v>
      </c>
      <c r="C205" s="6">
        <v>0</v>
      </c>
      <c r="D205" s="6">
        <v>0</v>
      </c>
      <c r="E205" s="6">
        <v>35</v>
      </c>
      <c r="F205" s="5" t="s">
        <v>7</v>
      </c>
      <c r="G205" s="5" t="s">
        <v>13</v>
      </c>
      <c r="H205" s="3">
        <v>43922</v>
      </c>
      <c r="I205" s="5" t="s">
        <v>434</v>
      </c>
      <c r="J205" s="5">
        <f>_xlfn.XLOOKUP(CustomerCombined[[#This Row],[ID]], Table4[ID], Table4[Recency], "Not Found", 0)</f>
        <v>49</v>
      </c>
      <c r="K205" s="5">
        <f>_xlfn.XLOOKUP(CustomerCombined[[#This Row],[ID]], Table4[ID], Table4[Teas], "Not Found", 0)</f>
        <v>735</v>
      </c>
      <c r="L205" s="5">
        <f>_xlfn.XLOOKUP(CustomerCombined[[#This Row],[ID]], Table4[ID], Table4[Fruits], "Not Found", 0)</f>
        <v>7</v>
      </c>
      <c r="M205" s="5">
        <f>_xlfn.XLOOKUP(CustomerCombined[[#This Row],[ID]], Table4[ID], Table4[Meats], "Not Found", 0)</f>
        <v>167</v>
      </c>
      <c r="N205" s="5">
        <f>_xlfn.XLOOKUP(CustomerCombined[[#This Row],[ID]], Table4[ID], Table4[Seafood], "Not Found", 0)</f>
        <v>11</v>
      </c>
      <c r="O205" s="5">
        <f>_xlfn.XLOOKUP(CustomerCombined[[#This Row],[ID]], Table4[ID], Table4[Sweets], "Not Found", 0)</f>
        <v>7</v>
      </c>
      <c r="P205" s="5">
        <f>_xlfn.XLOOKUP(CustomerCombined[[#This Row],[ID]], Table4[ID], Table4[Premium], "Not Found", 0)</f>
        <v>36</v>
      </c>
      <c r="Q205" s="5">
        <f>_xlfn.XLOOKUP(CustomerCombined[[#This Row],[ID]], Table4[ID], Table4[Regular], "Not Found", 0)</f>
        <v>891</v>
      </c>
      <c r="R205" s="5">
        <f>_xlfn.XLOOKUP(CustomerCombined[[#This Row],[ID]], Table4[ID], Table4[Deals], "Not Found", 0)</f>
        <v>2</v>
      </c>
      <c r="S205" s="5">
        <f>_xlfn.XLOOKUP(CustomerCombined[[#This Row],[ID]], Table4[ID], Table4[Website], "Not Found", 0)</f>
        <v>4</v>
      </c>
      <c r="T205" s="5">
        <f>_xlfn.XLOOKUP(CustomerCombined[[#This Row],[ID]], Table4[ID], Table4[Catalog], "Not Found", 0)</f>
        <v>2</v>
      </c>
      <c r="U205" s="5">
        <f>_xlfn.XLOOKUP(CustomerCombined[[#This Row],[ID]], Table4[ID], Table4[Store], "Not Found", 0)</f>
        <v>5</v>
      </c>
      <c r="V205" s="5">
        <f>_xlfn.XLOOKUP(CustomerCombined[[#This Row],[ID]], Table4[ID], Table4[Visits], "Not Found", 0)</f>
        <v>7</v>
      </c>
      <c r="W205" s="8">
        <f>_xlfn.XLOOKUP(CustomerCombined[[#This Row],[ID]], Table2[ID],Table2[Complaint], "Not Found", 0 )</f>
        <v>0</v>
      </c>
      <c r="X205" s="8">
        <f>_xlfn.XLOOKUP(CustomerCombined[[#This Row],[ID]], Table2[ID],Table2[Pilot], "Not Found", 0 )</f>
        <v>1</v>
      </c>
      <c r="Y205" s="8">
        <f>_xlfn.XLOOKUP(CustomerCombined[[#This Row],[ID]], Table2[ID],Table2[MC1], "Not Found", 0 )</f>
        <v>1</v>
      </c>
      <c r="Z205" s="8">
        <f>_xlfn.XLOOKUP(CustomerCombined[[#This Row],[ID]], Table2[ID],Table2[MC2], "Not Found", 0 )</f>
        <v>0</v>
      </c>
      <c r="AA205" s="8">
        <f>_xlfn.XLOOKUP(CustomerCombined[[#This Row],[ID]], Table2[ID],Table2[MC3], "Not Found", 0 )</f>
        <v>0</v>
      </c>
      <c r="AB205" s="8">
        <f>_xlfn.XLOOKUP(CustomerCombined[[#This Row],[ID]], Table2[ID],Table2[MC4], "Not Found", 0 )</f>
        <v>1</v>
      </c>
      <c r="AC205" s="8">
        <f>_xlfn.XLOOKUP(CustomerCombined[[#This Row],[ID]], Table2[ID],Table2[MC5], "Not Found", 0 )</f>
        <v>0</v>
      </c>
    </row>
    <row r="206" spans="1:29" x14ac:dyDescent="0.3">
      <c r="A206" s="6">
        <v>1660</v>
      </c>
      <c r="B206" s="6">
        <v>136145</v>
      </c>
      <c r="C206" s="6">
        <v>1</v>
      </c>
      <c r="D206" s="6">
        <v>0</v>
      </c>
      <c r="E206" s="6">
        <v>35</v>
      </c>
      <c r="F206" s="5" t="s">
        <v>6</v>
      </c>
      <c r="G206" s="5" t="s">
        <v>442</v>
      </c>
      <c r="H206" s="3" t="s">
        <v>237</v>
      </c>
      <c r="I206" s="5" t="s">
        <v>439</v>
      </c>
      <c r="J206" s="5">
        <f>_xlfn.XLOOKUP(CustomerCombined[[#This Row],[ID]], Table4[ID], Table4[Recency], "Not Found", 0)</f>
        <v>13</v>
      </c>
      <c r="K206" s="5">
        <f>_xlfn.XLOOKUP(CustomerCombined[[#This Row],[ID]], Table4[ID], Table4[Teas], "Not Found", 0)</f>
        <v>211</v>
      </c>
      <c r="L206" s="5">
        <f>_xlfn.XLOOKUP(CustomerCombined[[#This Row],[ID]], Table4[ID], Table4[Fruits], "Not Found", 0)</f>
        <v>15</v>
      </c>
      <c r="M206" s="5">
        <f>_xlfn.XLOOKUP(CustomerCombined[[#This Row],[ID]], Table4[ID], Table4[Meats], "Not Found", 0)</f>
        <v>286</v>
      </c>
      <c r="N206" s="5">
        <f>_xlfn.XLOOKUP(CustomerCombined[[#This Row],[ID]], Table4[ID], Table4[Seafood], "Not Found", 0)</f>
        <v>64</v>
      </c>
      <c r="O206" s="5">
        <f>_xlfn.XLOOKUP(CustomerCombined[[#This Row],[ID]], Table4[ID], Table4[Sweets], "Not Found", 0)</f>
        <v>4</v>
      </c>
      <c r="P206" s="5">
        <f>_xlfn.XLOOKUP(CustomerCombined[[#This Row],[ID]], Table4[ID], Table4[Premium], "Not Found", 0)</f>
        <v>68</v>
      </c>
      <c r="Q206" s="5">
        <f>_xlfn.XLOOKUP(CustomerCombined[[#This Row],[ID]], Table4[ID], Table4[Regular], "Not Found", 0)</f>
        <v>512</v>
      </c>
      <c r="R206" s="5">
        <f>_xlfn.XLOOKUP(CustomerCombined[[#This Row],[ID]], Table4[ID], Table4[Deals], "Not Found", 0)</f>
        <v>4</v>
      </c>
      <c r="S206" s="5">
        <f>_xlfn.XLOOKUP(CustomerCombined[[#This Row],[ID]], Table4[ID], Table4[Website], "Not Found", 0)</f>
        <v>4</v>
      </c>
      <c r="T206" s="5">
        <f>_xlfn.XLOOKUP(CustomerCombined[[#This Row],[ID]], Table4[ID], Table4[Catalog], "Not Found", 0)</f>
        <v>1</v>
      </c>
      <c r="U206" s="5">
        <f>_xlfn.XLOOKUP(CustomerCombined[[#This Row],[ID]], Table4[ID], Table4[Store], "Not Found", 0)</f>
        <v>3</v>
      </c>
      <c r="V206" s="5">
        <f>_xlfn.XLOOKUP(CustomerCombined[[#This Row],[ID]], Table4[ID], Table4[Visits], "Not Found", 0)</f>
        <v>9</v>
      </c>
      <c r="W206" s="8">
        <f>_xlfn.XLOOKUP(CustomerCombined[[#This Row],[ID]], Table2[ID],Table2[Complaint], "Not Found", 0 )</f>
        <v>0</v>
      </c>
      <c r="X206" s="8">
        <f>_xlfn.XLOOKUP(CustomerCombined[[#This Row],[ID]], Table2[ID],Table2[Pilot], "Not Found", 0 )</f>
        <v>1</v>
      </c>
      <c r="Y206" s="8">
        <f>_xlfn.XLOOKUP(CustomerCombined[[#This Row],[ID]], Table2[ID],Table2[MC1], "Not Found", 0 )</f>
        <v>0</v>
      </c>
      <c r="Z206" s="8">
        <f>_xlfn.XLOOKUP(CustomerCombined[[#This Row],[ID]], Table2[ID],Table2[MC2], "Not Found", 0 )</f>
        <v>0</v>
      </c>
      <c r="AA206" s="8">
        <f>_xlfn.XLOOKUP(CustomerCombined[[#This Row],[ID]], Table2[ID],Table2[MC3], "Not Found", 0 )</f>
        <v>1</v>
      </c>
      <c r="AB206" s="8">
        <f>_xlfn.XLOOKUP(CustomerCombined[[#This Row],[ID]], Table2[ID],Table2[MC4], "Not Found", 0 )</f>
        <v>0</v>
      </c>
      <c r="AC206" s="8">
        <f>_xlfn.XLOOKUP(CustomerCombined[[#This Row],[ID]], Table2[ID],Table2[MC5], "Not Found", 0 )</f>
        <v>0</v>
      </c>
    </row>
    <row r="207" spans="1:29" x14ac:dyDescent="0.3">
      <c r="A207" s="6">
        <v>1019</v>
      </c>
      <c r="B207" s="6">
        <v>133812</v>
      </c>
      <c r="C207" s="6">
        <v>1</v>
      </c>
      <c r="D207" s="6">
        <v>0</v>
      </c>
      <c r="E207" s="6">
        <v>35</v>
      </c>
      <c r="F207" s="5" t="s">
        <v>7</v>
      </c>
      <c r="G207" s="5" t="s">
        <v>442</v>
      </c>
      <c r="H207" s="3">
        <v>43742</v>
      </c>
      <c r="I207" s="5" t="s">
        <v>434</v>
      </c>
      <c r="J207" s="5">
        <f>_xlfn.XLOOKUP(CustomerCombined[[#This Row],[ID]], Table4[ID], Table4[Recency], "Not Found", 0)</f>
        <v>86</v>
      </c>
      <c r="K207" s="5">
        <f>_xlfn.XLOOKUP(CustomerCombined[[#This Row],[ID]], Table4[ID], Table4[Teas], "Not Found", 0)</f>
        <v>16</v>
      </c>
      <c r="L207" s="5">
        <f>_xlfn.XLOOKUP(CustomerCombined[[#This Row],[ID]], Table4[ID], Table4[Fruits], "Not Found", 0)</f>
        <v>67</v>
      </c>
      <c r="M207" s="5">
        <f>_xlfn.XLOOKUP(CustomerCombined[[#This Row],[ID]], Table4[ID], Table4[Meats], "Not Found", 0)</f>
        <v>75</v>
      </c>
      <c r="N207" s="5">
        <f>_xlfn.XLOOKUP(CustomerCombined[[#This Row],[ID]], Table4[ID], Table4[Seafood], "Not Found", 0)</f>
        <v>119</v>
      </c>
      <c r="O207" s="5">
        <f>_xlfn.XLOOKUP(CustomerCombined[[#This Row],[ID]], Table4[ID], Table4[Sweets], "Not Found", 0)</f>
        <v>95</v>
      </c>
      <c r="P207" s="5">
        <f>_xlfn.XLOOKUP(CustomerCombined[[#This Row],[ID]], Table4[ID], Table4[Premium], "Not Found", 0)</f>
        <v>154</v>
      </c>
      <c r="Q207" s="5">
        <f>_xlfn.XLOOKUP(CustomerCombined[[#This Row],[ID]], Table4[ID], Table4[Regular], "Not Found", 0)</f>
        <v>218</v>
      </c>
      <c r="R207" s="5">
        <f>_xlfn.XLOOKUP(CustomerCombined[[#This Row],[ID]], Table4[ID], Table4[Deals], "Not Found", 0)</f>
        <v>2</v>
      </c>
      <c r="S207" s="5">
        <f>_xlfn.XLOOKUP(CustomerCombined[[#This Row],[ID]], Table4[ID], Table4[Website], "Not Found", 0)</f>
        <v>2</v>
      </c>
      <c r="T207" s="5">
        <f>_xlfn.XLOOKUP(CustomerCombined[[#This Row],[ID]], Table4[ID], Table4[Catalog], "Not Found", 0)</f>
        <v>1</v>
      </c>
      <c r="U207" s="5">
        <f>_xlfn.XLOOKUP(CustomerCombined[[#This Row],[ID]], Table4[ID], Table4[Store], "Not Found", 0)</f>
        <v>3</v>
      </c>
      <c r="V207" s="5">
        <f>_xlfn.XLOOKUP(CustomerCombined[[#This Row],[ID]], Table4[ID], Table4[Visits], "Not Found", 0)</f>
        <v>6</v>
      </c>
      <c r="W207" s="8">
        <f>_xlfn.XLOOKUP(CustomerCombined[[#This Row],[ID]], Table2[ID],Table2[Complaint], "Not Found", 0 )</f>
        <v>0</v>
      </c>
      <c r="X207" s="8">
        <f>_xlfn.XLOOKUP(CustomerCombined[[#This Row],[ID]], Table2[ID],Table2[Pilot], "Not Found", 0 )</f>
        <v>0</v>
      </c>
      <c r="Y207" s="8">
        <f>_xlfn.XLOOKUP(CustomerCombined[[#This Row],[ID]], Table2[ID],Table2[MC1], "Not Found", 0 )</f>
        <v>0</v>
      </c>
      <c r="Z207" s="8">
        <f>_xlfn.XLOOKUP(CustomerCombined[[#This Row],[ID]], Table2[ID],Table2[MC2], "Not Found", 0 )</f>
        <v>0</v>
      </c>
      <c r="AA207" s="8">
        <f>_xlfn.XLOOKUP(CustomerCombined[[#This Row],[ID]], Table2[ID],Table2[MC3], "Not Found", 0 )</f>
        <v>0</v>
      </c>
      <c r="AB207" s="8">
        <f>_xlfn.XLOOKUP(CustomerCombined[[#This Row],[ID]], Table2[ID],Table2[MC4], "Not Found", 0 )</f>
        <v>0</v>
      </c>
      <c r="AC207" s="8">
        <f>_xlfn.XLOOKUP(CustomerCombined[[#This Row],[ID]], Table2[ID],Table2[MC5], "Not Found", 0 )</f>
        <v>0</v>
      </c>
    </row>
    <row r="208" spans="1:29" x14ac:dyDescent="0.3">
      <c r="A208" s="6">
        <v>1008</v>
      </c>
      <c r="B208" s="6">
        <v>133454</v>
      </c>
      <c r="C208" s="6">
        <v>1</v>
      </c>
      <c r="D208" s="6">
        <v>0</v>
      </c>
      <c r="E208" s="6">
        <v>35</v>
      </c>
      <c r="F208" s="5" t="s">
        <v>6</v>
      </c>
      <c r="G208" s="5" t="s">
        <v>13</v>
      </c>
      <c r="H208" s="3" t="s">
        <v>263</v>
      </c>
      <c r="I208" s="5" t="s">
        <v>436</v>
      </c>
      <c r="J208" s="5">
        <f>_xlfn.XLOOKUP(CustomerCombined[[#This Row],[ID]], Table4[ID], Table4[Recency], "Not Found", 0)</f>
        <v>32</v>
      </c>
      <c r="K208" s="5">
        <f>_xlfn.XLOOKUP(CustomerCombined[[#This Row],[ID]], Table4[ID], Table4[Teas], "Not Found", 0)</f>
        <v>303</v>
      </c>
      <c r="L208" s="5">
        <f>_xlfn.XLOOKUP(CustomerCombined[[#This Row],[ID]], Table4[ID], Table4[Fruits], "Not Found", 0)</f>
        <v>40</v>
      </c>
      <c r="M208" s="5">
        <f>_xlfn.XLOOKUP(CustomerCombined[[#This Row],[ID]], Table4[ID], Table4[Meats], "Not Found", 0)</f>
        <v>223</v>
      </c>
      <c r="N208" s="5">
        <f>_xlfn.XLOOKUP(CustomerCombined[[#This Row],[ID]], Table4[ID], Table4[Seafood], "Not Found", 0)</f>
        <v>12</v>
      </c>
      <c r="O208" s="5">
        <f>_xlfn.XLOOKUP(CustomerCombined[[#This Row],[ID]], Table4[ID], Table4[Sweets], "Not Found", 0)</f>
        <v>4</v>
      </c>
      <c r="P208" s="5">
        <f>_xlfn.XLOOKUP(CustomerCombined[[#This Row],[ID]], Table4[ID], Table4[Premium], "Not Found", 0)</f>
        <v>92</v>
      </c>
      <c r="Q208" s="5">
        <f>_xlfn.XLOOKUP(CustomerCombined[[#This Row],[ID]], Table4[ID], Table4[Regular], "Not Found", 0)</f>
        <v>491</v>
      </c>
      <c r="R208" s="5">
        <f>_xlfn.XLOOKUP(CustomerCombined[[#This Row],[ID]], Table4[ID], Table4[Deals], "Not Found", 0)</f>
        <v>2</v>
      </c>
      <c r="S208" s="5">
        <f>_xlfn.XLOOKUP(CustomerCombined[[#This Row],[ID]], Table4[ID], Table4[Website], "Not Found", 0)</f>
        <v>4</v>
      </c>
      <c r="T208" s="5">
        <f>_xlfn.XLOOKUP(CustomerCombined[[#This Row],[ID]], Table4[ID], Table4[Catalog], "Not Found", 0)</f>
        <v>0</v>
      </c>
      <c r="U208" s="5">
        <f>_xlfn.XLOOKUP(CustomerCombined[[#This Row],[ID]], Table4[ID], Table4[Store], "Not Found", 0)</f>
        <v>4</v>
      </c>
      <c r="V208" s="5">
        <f>_xlfn.XLOOKUP(CustomerCombined[[#This Row],[ID]], Table4[ID], Table4[Visits], "Not Found", 0)</f>
        <v>8</v>
      </c>
      <c r="W208" s="8">
        <f>_xlfn.XLOOKUP(CustomerCombined[[#This Row],[ID]], Table2[ID],Table2[Complaint], "Not Found", 0 )</f>
        <v>0</v>
      </c>
      <c r="X208" s="8">
        <f>_xlfn.XLOOKUP(CustomerCombined[[#This Row],[ID]], Table2[ID],Table2[Pilot], "Not Found", 0 )</f>
        <v>0</v>
      </c>
      <c r="Y208" s="8">
        <f>_xlfn.XLOOKUP(CustomerCombined[[#This Row],[ID]], Table2[ID],Table2[MC1], "Not Found", 0 )</f>
        <v>0</v>
      </c>
      <c r="Z208" s="8">
        <f>_xlfn.XLOOKUP(CustomerCombined[[#This Row],[ID]], Table2[ID],Table2[MC2], "Not Found", 0 )</f>
        <v>0</v>
      </c>
      <c r="AA208" s="8">
        <f>_xlfn.XLOOKUP(CustomerCombined[[#This Row],[ID]], Table2[ID],Table2[MC3], "Not Found", 0 )</f>
        <v>0</v>
      </c>
      <c r="AB208" s="8">
        <f>_xlfn.XLOOKUP(CustomerCombined[[#This Row],[ID]], Table2[ID],Table2[MC4], "Not Found", 0 )</f>
        <v>0</v>
      </c>
      <c r="AC208" s="8">
        <f>_xlfn.XLOOKUP(CustomerCombined[[#This Row],[ID]], Table2[ID],Table2[MC5], "Not Found", 0 )</f>
        <v>0</v>
      </c>
    </row>
    <row r="209" spans="1:29" x14ac:dyDescent="0.3">
      <c r="A209" s="6">
        <v>2867</v>
      </c>
      <c r="B209" s="6">
        <v>131158</v>
      </c>
      <c r="C209" s="6">
        <v>1</v>
      </c>
      <c r="D209" s="6">
        <v>0</v>
      </c>
      <c r="E209" s="6">
        <v>35</v>
      </c>
      <c r="F209" s="5" t="s">
        <v>6</v>
      </c>
      <c r="G209" s="5" t="s">
        <v>11</v>
      </c>
      <c r="H209" s="3">
        <v>43562</v>
      </c>
      <c r="I209" s="5" t="s">
        <v>434</v>
      </c>
      <c r="J209" s="5">
        <f>_xlfn.XLOOKUP(CustomerCombined[[#This Row],[ID]], Table4[ID], Table4[Recency], "Not Found", 0)</f>
        <v>62</v>
      </c>
      <c r="K209" s="5">
        <f>_xlfn.XLOOKUP(CustomerCombined[[#This Row],[ID]], Table4[ID], Table4[Teas], "Not Found", 0)</f>
        <v>105</v>
      </c>
      <c r="L209" s="5">
        <f>_xlfn.XLOOKUP(CustomerCombined[[#This Row],[ID]], Table4[ID], Table4[Fruits], "Not Found", 0)</f>
        <v>25</v>
      </c>
      <c r="M209" s="5">
        <f>_xlfn.XLOOKUP(CustomerCombined[[#This Row],[ID]], Table4[ID], Table4[Meats], "Not Found", 0)</f>
        <v>67</v>
      </c>
      <c r="N209" s="5">
        <f>_xlfn.XLOOKUP(CustomerCombined[[#This Row],[ID]], Table4[ID], Table4[Seafood], "Not Found", 0)</f>
        <v>84</v>
      </c>
      <c r="O209" s="5">
        <f>_xlfn.XLOOKUP(CustomerCombined[[#This Row],[ID]], Table4[ID], Table4[Sweets], "Not Found", 0)</f>
        <v>0</v>
      </c>
      <c r="P209" s="5">
        <f>_xlfn.XLOOKUP(CustomerCombined[[#This Row],[ID]], Table4[ID], Table4[Premium], "Not Found", 0)</f>
        <v>21</v>
      </c>
      <c r="Q209" s="5">
        <f>_xlfn.XLOOKUP(CustomerCombined[[#This Row],[ID]], Table4[ID], Table4[Regular], "Not Found", 0)</f>
        <v>261</v>
      </c>
      <c r="R209" s="5">
        <f>_xlfn.XLOOKUP(CustomerCombined[[#This Row],[ID]], Table4[ID], Table4[Deals], "Not Found", 0)</f>
        <v>2</v>
      </c>
      <c r="S209" s="5">
        <f>_xlfn.XLOOKUP(CustomerCombined[[#This Row],[ID]], Table4[ID], Table4[Website], "Not Found", 0)</f>
        <v>2</v>
      </c>
      <c r="T209" s="5">
        <f>_xlfn.XLOOKUP(CustomerCombined[[#This Row],[ID]], Table4[ID], Table4[Catalog], "Not Found", 0)</f>
        <v>0</v>
      </c>
      <c r="U209" s="5">
        <f>_xlfn.XLOOKUP(CustomerCombined[[#This Row],[ID]], Table4[ID], Table4[Store], "Not Found", 0)</f>
        <v>3</v>
      </c>
      <c r="V209" s="5">
        <f>_xlfn.XLOOKUP(CustomerCombined[[#This Row],[ID]], Table4[ID], Table4[Visits], "Not Found", 0)</f>
        <v>8</v>
      </c>
      <c r="W209" s="8">
        <f>_xlfn.XLOOKUP(CustomerCombined[[#This Row],[ID]], Table2[ID],Table2[Complaint], "Not Found", 0 )</f>
        <v>0</v>
      </c>
      <c r="X209" s="8">
        <f>_xlfn.XLOOKUP(CustomerCombined[[#This Row],[ID]], Table2[ID],Table2[Pilot], "Not Found", 0 )</f>
        <v>0</v>
      </c>
      <c r="Y209" s="8">
        <f>_xlfn.XLOOKUP(CustomerCombined[[#This Row],[ID]], Table2[ID],Table2[MC1], "Not Found", 0 )</f>
        <v>0</v>
      </c>
      <c r="Z209" s="8">
        <f>_xlfn.XLOOKUP(CustomerCombined[[#This Row],[ID]], Table2[ID],Table2[MC2], "Not Found", 0 )</f>
        <v>0</v>
      </c>
      <c r="AA209" s="8">
        <f>_xlfn.XLOOKUP(CustomerCombined[[#This Row],[ID]], Table2[ID],Table2[MC3], "Not Found", 0 )</f>
        <v>0</v>
      </c>
      <c r="AB209" s="8">
        <f>_xlfn.XLOOKUP(CustomerCombined[[#This Row],[ID]], Table2[ID],Table2[MC4], "Not Found", 0 )</f>
        <v>0</v>
      </c>
      <c r="AC209" s="8">
        <f>_xlfn.XLOOKUP(CustomerCombined[[#This Row],[ID]], Table2[ID],Table2[MC5], "Not Found", 0 )</f>
        <v>0</v>
      </c>
    </row>
    <row r="210" spans="1:29" x14ac:dyDescent="0.3">
      <c r="A210" s="6">
        <v>2859</v>
      </c>
      <c r="B210" s="6">
        <v>130298</v>
      </c>
      <c r="C210" s="6">
        <v>0</v>
      </c>
      <c r="D210" s="6">
        <v>0</v>
      </c>
      <c r="E210" s="6">
        <v>35</v>
      </c>
      <c r="F210" s="5" t="s">
        <v>7</v>
      </c>
      <c r="G210" s="5" t="s">
        <v>13</v>
      </c>
      <c r="H210" s="3" t="s">
        <v>46</v>
      </c>
      <c r="I210" s="5" t="s">
        <v>435</v>
      </c>
      <c r="J210" s="5">
        <f>_xlfn.XLOOKUP(CustomerCombined[[#This Row],[ID]], Table4[ID], Table4[Recency], "Not Found", 0)</f>
        <v>48</v>
      </c>
      <c r="K210" s="5">
        <f>_xlfn.XLOOKUP(CustomerCombined[[#This Row],[ID]], Table4[ID], Table4[Teas], "Not Found", 0)</f>
        <v>26</v>
      </c>
      <c r="L210" s="5">
        <f>_xlfn.XLOOKUP(CustomerCombined[[#This Row],[ID]], Table4[ID], Table4[Fruits], "Not Found", 0)</f>
        <v>13</v>
      </c>
      <c r="M210" s="5">
        <f>_xlfn.XLOOKUP(CustomerCombined[[#This Row],[ID]], Table4[ID], Table4[Meats], "Not Found", 0)</f>
        <v>52</v>
      </c>
      <c r="N210" s="5">
        <f>_xlfn.XLOOKUP(CustomerCombined[[#This Row],[ID]], Table4[ID], Table4[Seafood], "Not Found", 0)</f>
        <v>26</v>
      </c>
      <c r="O210" s="5">
        <f>_xlfn.XLOOKUP(CustomerCombined[[#This Row],[ID]], Table4[ID], Table4[Sweets], "Not Found", 0)</f>
        <v>4</v>
      </c>
      <c r="P210" s="5">
        <f>_xlfn.XLOOKUP(CustomerCombined[[#This Row],[ID]], Table4[ID], Table4[Premium], "Not Found", 0)</f>
        <v>0</v>
      </c>
      <c r="Q210" s="5">
        <f>_xlfn.XLOOKUP(CustomerCombined[[#This Row],[ID]], Table4[ID], Table4[Regular], "Not Found", 0)</f>
        <v>120</v>
      </c>
      <c r="R210" s="5">
        <f>_xlfn.XLOOKUP(CustomerCombined[[#This Row],[ID]], Table4[ID], Table4[Deals], "Not Found", 0)</f>
        <v>1</v>
      </c>
      <c r="S210" s="5">
        <f>_xlfn.XLOOKUP(CustomerCombined[[#This Row],[ID]], Table4[ID], Table4[Website], "Not Found", 0)</f>
        <v>1</v>
      </c>
      <c r="T210" s="5">
        <f>_xlfn.XLOOKUP(CustomerCombined[[#This Row],[ID]], Table4[ID], Table4[Catalog], "Not Found", 0)</f>
        <v>1</v>
      </c>
      <c r="U210" s="5">
        <f>_xlfn.XLOOKUP(CustomerCombined[[#This Row],[ID]], Table4[ID], Table4[Store], "Not Found", 0)</f>
        <v>3</v>
      </c>
      <c r="V210" s="5">
        <f>_xlfn.XLOOKUP(CustomerCombined[[#This Row],[ID]], Table4[ID], Table4[Visits], "Not Found", 0)</f>
        <v>3</v>
      </c>
      <c r="W210" s="8">
        <f>_xlfn.XLOOKUP(CustomerCombined[[#This Row],[ID]], Table2[ID],Table2[Complaint], "Not Found", 0 )</f>
        <v>0</v>
      </c>
      <c r="X210" s="8">
        <f>_xlfn.XLOOKUP(CustomerCombined[[#This Row],[ID]], Table2[ID],Table2[Pilot], "Not Found", 0 )</f>
        <v>0</v>
      </c>
      <c r="Y210" s="8">
        <f>_xlfn.XLOOKUP(CustomerCombined[[#This Row],[ID]], Table2[ID],Table2[MC1], "Not Found", 0 )</f>
        <v>0</v>
      </c>
      <c r="Z210" s="8">
        <f>_xlfn.XLOOKUP(CustomerCombined[[#This Row],[ID]], Table2[ID],Table2[MC2], "Not Found", 0 )</f>
        <v>0</v>
      </c>
      <c r="AA210" s="8">
        <f>_xlfn.XLOOKUP(CustomerCombined[[#This Row],[ID]], Table2[ID],Table2[MC3], "Not Found", 0 )</f>
        <v>0</v>
      </c>
      <c r="AB210" s="8">
        <f>_xlfn.XLOOKUP(CustomerCombined[[#This Row],[ID]], Table2[ID],Table2[MC4], "Not Found", 0 )</f>
        <v>0</v>
      </c>
      <c r="AC210" s="8">
        <f>_xlfn.XLOOKUP(CustomerCombined[[#This Row],[ID]], Table2[ID],Table2[MC5], "Not Found", 0 )</f>
        <v>0</v>
      </c>
    </row>
    <row r="211" spans="1:29" x14ac:dyDescent="0.3">
      <c r="A211" s="6">
        <v>1238</v>
      </c>
      <c r="B211" s="6">
        <v>129938</v>
      </c>
      <c r="C211" s="6">
        <v>1</v>
      </c>
      <c r="D211" s="6">
        <v>0</v>
      </c>
      <c r="E211" s="6">
        <v>35</v>
      </c>
      <c r="F211" s="5" t="s">
        <v>7</v>
      </c>
      <c r="G211" s="5" t="s">
        <v>11</v>
      </c>
      <c r="H211" s="3">
        <v>43865</v>
      </c>
      <c r="I211" s="5" t="s">
        <v>438</v>
      </c>
      <c r="J211" s="5">
        <f>_xlfn.XLOOKUP(CustomerCombined[[#This Row],[ID]], Table4[ID], Table4[Recency], "Not Found", 0)</f>
        <v>52</v>
      </c>
      <c r="K211" s="5">
        <f>_xlfn.XLOOKUP(CustomerCombined[[#This Row],[ID]], Table4[ID], Table4[Teas], "Not Found", 0)</f>
        <v>13</v>
      </c>
      <c r="L211" s="5">
        <f>_xlfn.XLOOKUP(CustomerCombined[[#This Row],[ID]], Table4[ID], Table4[Fruits], "Not Found", 0)</f>
        <v>13</v>
      </c>
      <c r="M211" s="5">
        <f>_xlfn.XLOOKUP(CustomerCombined[[#This Row],[ID]], Table4[ID], Table4[Meats], "Not Found", 0)</f>
        <v>30</v>
      </c>
      <c r="N211" s="5">
        <f>_xlfn.XLOOKUP(CustomerCombined[[#This Row],[ID]], Table4[ID], Table4[Seafood], "Not Found", 0)</f>
        <v>0</v>
      </c>
      <c r="O211" s="5">
        <f>_xlfn.XLOOKUP(CustomerCombined[[#This Row],[ID]], Table4[ID], Table4[Sweets], "Not Found", 0)</f>
        <v>9</v>
      </c>
      <c r="P211" s="5">
        <f>_xlfn.XLOOKUP(CustomerCombined[[#This Row],[ID]], Table4[ID], Table4[Premium], "Not Found", 0)</f>
        <v>48</v>
      </c>
      <c r="Q211" s="5">
        <f>_xlfn.XLOOKUP(CustomerCombined[[#This Row],[ID]], Table4[ID], Table4[Regular], "Not Found", 0)</f>
        <v>17</v>
      </c>
      <c r="R211" s="5">
        <f>_xlfn.XLOOKUP(CustomerCombined[[#This Row],[ID]], Table4[ID], Table4[Deals], "Not Found", 0)</f>
        <v>2</v>
      </c>
      <c r="S211" s="5">
        <f>_xlfn.XLOOKUP(CustomerCombined[[#This Row],[ID]], Table4[ID], Table4[Website], "Not Found", 0)</f>
        <v>1</v>
      </c>
      <c r="T211" s="5">
        <f>_xlfn.XLOOKUP(CustomerCombined[[#This Row],[ID]], Table4[ID], Table4[Catalog], "Not Found", 0)</f>
        <v>0</v>
      </c>
      <c r="U211" s="5">
        <f>_xlfn.XLOOKUP(CustomerCombined[[#This Row],[ID]], Table4[ID], Table4[Store], "Not Found", 0)</f>
        <v>3</v>
      </c>
      <c r="V211" s="5">
        <f>_xlfn.XLOOKUP(CustomerCombined[[#This Row],[ID]], Table4[ID], Table4[Visits], "Not Found", 0)</f>
        <v>6</v>
      </c>
      <c r="W211" s="8">
        <f>_xlfn.XLOOKUP(CustomerCombined[[#This Row],[ID]], Table2[ID],Table2[Complaint], "Not Found", 0 )</f>
        <v>0</v>
      </c>
      <c r="X211" s="8">
        <f>_xlfn.XLOOKUP(CustomerCombined[[#This Row],[ID]], Table2[ID],Table2[Pilot], "Not Found", 0 )</f>
        <v>0</v>
      </c>
      <c r="Y211" s="8">
        <f>_xlfn.XLOOKUP(CustomerCombined[[#This Row],[ID]], Table2[ID],Table2[MC1], "Not Found", 0 )</f>
        <v>0</v>
      </c>
      <c r="Z211" s="8">
        <f>_xlfn.XLOOKUP(CustomerCombined[[#This Row],[ID]], Table2[ID],Table2[MC2], "Not Found", 0 )</f>
        <v>0</v>
      </c>
      <c r="AA211" s="8">
        <f>_xlfn.XLOOKUP(CustomerCombined[[#This Row],[ID]], Table2[ID],Table2[MC3], "Not Found", 0 )</f>
        <v>0</v>
      </c>
      <c r="AB211" s="8">
        <f>_xlfn.XLOOKUP(CustomerCombined[[#This Row],[ID]], Table2[ID],Table2[MC4], "Not Found", 0 )</f>
        <v>0</v>
      </c>
      <c r="AC211" s="8">
        <f>_xlfn.XLOOKUP(CustomerCombined[[#This Row],[ID]], Table2[ID],Table2[MC5], "Not Found", 0 )</f>
        <v>0</v>
      </c>
    </row>
    <row r="212" spans="1:29" x14ac:dyDescent="0.3">
      <c r="A212" s="6">
        <v>1075</v>
      </c>
      <c r="B212" s="6">
        <v>129760</v>
      </c>
      <c r="C212" s="6">
        <v>1</v>
      </c>
      <c r="D212" s="6">
        <v>0</v>
      </c>
      <c r="E212" s="6">
        <v>35</v>
      </c>
      <c r="F212" s="5" t="s">
        <v>7</v>
      </c>
      <c r="G212" s="5" t="s">
        <v>11</v>
      </c>
      <c r="H212" s="3">
        <v>43526</v>
      </c>
      <c r="I212" s="5" t="s">
        <v>437</v>
      </c>
      <c r="J212" s="5">
        <f>_xlfn.XLOOKUP(CustomerCombined[[#This Row],[ID]], Table4[ID], Table4[Recency], "Not Found", 0)</f>
        <v>87</v>
      </c>
      <c r="K212" s="5">
        <f>_xlfn.XLOOKUP(CustomerCombined[[#This Row],[ID]], Table4[ID], Table4[Teas], "Not Found", 0)</f>
        <v>279</v>
      </c>
      <c r="L212" s="5">
        <f>_xlfn.XLOOKUP(CustomerCombined[[#This Row],[ID]], Table4[ID], Table4[Fruits], "Not Found", 0)</f>
        <v>17</v>
      </c>
      <c r="M212" s="5">
        <f>_xlfn.XLOOKUP(CustomerCombined[[#This Row],[ID]], Table4[ID], Table4[Meats], "Not Found", 0)</f>
        <v>296</v>
      </c>
      <c r="N212" s="5">
        <f>_xlfn.XLOOKUP(CustomerCombined[[#This Row],[ID]], Table4[ID], Table4[Seafood], "Not Found", 0)</f>
        <v>31</v>
      </c>
      <c r="O212" s="5">
        <f>_xlfn.XLOOKUP(CustomerCombined[[#This Row],[ID]], Table4[ID], Table4[Sweets], "Not Found", 0)</f>
        <v>22</v>
      </c>
      <c r="P212" s="5">
        <f>_xlfn.XLOOKUP(CustomerCombined[[#This Row],[ID]], Table4[ID], Table4[Premium], "Not Found", 0)</f>
        <v>74</v>
      </c>
      <c r="Q212" s="5">
        <f>_xlfn.XLOOKUP(CustomerCombined[[#This Row],[ID]], Table4[ID], Table4[Regular], "Not Found", 0)</f>
        <v>571</v>
      </c>
      <c r="R212" s="5">
        <f>_xlfn.XLOOKUP(CustomerCombined[[#This Row],[ID]], Table4[ID], Table4[Deals], "Not Found", 0)</f>
        <v>4</v>
      </c>
      <c r="S212" s="5">
        <f>_xlfn.XLOOKUP(CustomerCombined[[#This Row],[ID]], Table4[ID], Table4[Website], "Not Found", 0)</f>
        <v>3</v>
      </c>
      <c r="T212" s="5">
        <f>_xlfn.XLOOKUP(CustomerCombined[[#This Row],[ID]], Table4[ID], Table4[Catalog], "Not Found", 0)</f>
        <v>1</v>
      </c>
      <c r="U212" s="5">
        <f>_xlfn.XLOOKUP(CustomerCombined[[#This Row],[ID]], Table4[ID], Table4[Store], "Not Found", 0)</f>
        <v>4</v>
      </c>
      <c r="V212" s="5">
        <f>_xlfn.XLOOKUP(CustomerCombined[[#This Row],[ID]], Table4[ID], Table4[Visits], "Not Found", 0)</f>
        <v>8</v>
      </c>
      <c r="W212" s="8">
        <f>_xlfn.XLOOKUP(CustomerCombined[[#This Row],[ID]], Table2[ID],Table2[Complaint], "Not Found", 0 )</f>
        <v>0</v>
      </c>
      <c r="X212" s="8">
        <f>_xlfn.XLOOKUP(CustomerCombined[[#This Row],[ID]], Table2[ID],Table2[Pilot], "Not Found", 0 )</f>
        <v>0</v>
      </c>
      <c r="Y212" s="8">
        <f>_xlfn.XLOOKUP(CustomerCombined[[#This Row],[ID]], Table2[ID],Table2[MC1], "Not Found", 0 )</f>
        <v>0</v>
      </c>
      <c r="Z212" s="8">
        <f>_xlfn.XLOOKUP(CustomerCombined[[#This Row],[ID]], Table2[ID],Table2[MC2], "Not Found", 0 )</f>
        <v>0</v>
      </c>
      <c r="AA212" s="8">
        <f>_xlfn.XLOOKUP(CustomerCombined[[#This Row],[ID]], Table2[ID],Table2[MC3], "Not Found", 0 )</f>
        <v>0</v>
      </c>
      <c r="AB212" s="8">
        <f>_xlfn.XLOOKUP(CustomerCombined[[#This Row],[ID]], Table2[ID],Table2[MC4], "Not Found", 0 )</f>
        <v>0</v>
      </c>
      <c r="AC212" s="8">
        <f>_xlfn.XLOOKUP(CustomerCombined[[#This Row],[ID]], Table2[ID],Table2[MC5], "Not Found", 0 )</f>
        <v>0</v>
      </c>
    </row>
    <row r="213" spans="1:29" x14ac:dyDescent="0.3">
      <c r="A213" s="6">
        <v>2751</v>
      </c>
      <c r="B213" s="6">
        <v>129760</v>
      </c>
      <c r="C213" s="6">
        <v>1</v>
      </c>
      <c r="D213" s="6">
        <v>0</v>
      </c>
      <c r="E213" s="6">
        <v>35</v>
      </c>
      <c r="F213" s="5" t="s">
        <v>7</v>
      </c>
      <c r="G213" s="5" t="s">
        <v>11</v>
      </c>
      <c r="H213" s="3">
        <v>43526</v>
      </c>
      <c r="I213" s="5" t="s">
        <v>435</v>
      </c>
      <c r="J213" s="5">
        <f>_xlfn.XLOOKUP(CustomerCombined[[#This Row],[ID]], Table4[ID], Table4[Recency], "Not Found", 0)</f>
        <v>87</v>
      </c>
      <c r="K213" s="5">
        <f>_xlfn.XLOOKUP(CustomerCombined[[#This Row],[ID]], Table4[ID], Table4[Teas], "Not Found", 0)</f>
        <v>279</v>
      </c>
      <c r="L213" s="5">
        <f>_xlfn.XLOOKUP(CustomerCombined[[#This Row],[ID]], Table4[ID], Table4[Fruits], "Not Found", 0)</f>
        <v>17</v>
      </c>
      <c r="M213" s="5">
        <f>_xlfn.XLOOKUP(CustomerCombined[[#This Row],[ID]], Table4[ID], Table4[Meats], "Not Found", 0)</f>
        <v>296</v>
      </c>
      <c r="N213" s="5">
        <f>_xlfn.XLOOKUP(CustomerCombined[[#This Row],[ID]], Table4[ID], Table4[Seafood], "Not Found", 0)</f>
        <v>31</v>
      </c>
      <c r="O213" s="5">
        <f>_xlfn.XLOOKUP(CustomerCombined[[#This Row],[ID]], Table4[ID], Table4[Sweets], "Not Found", 0)</f>
        <v>22</v>
      </c>
      <c r="P213" s="5">
        <f>_xlfn.XLOOKUP(CustomerCombined[[#This Row],[ID]], Table4[ID], Table4[Premium], "Not Found", 0)</f>
        <v>74</v>
      </c>
      <c r="Q213" s="5">
        <f>_xlfn.XLOOKUP(CustomerCombined[[#This Row],[ID]], Table4[ID], Table4[Regular], "Not Found", 0)</f>
        <v>571</v>
      </c>
      <c r="R213" s="5">
        <f>_xlfn.XLOOKUP(CustomerCombined[[#This Row],[ID]], Table4[ID], Table4[Deals], "Not Found", 0)</f>
        <v>4</v>
      </c>
      <c r="S213" s="5">
        <f>_xlfn.XLOOKUP(CustomerCombined[[#This Row],[ID]], Table4[ID], Table4[Website], "Not Found", 0)</f>
        <v>3</v>
      </c>
      <c r="T213" s="5">
        <f>_xlfn.XLOOKUP(CustomerCombined[[#This Row],[ID]], Table4[ID], Table4[Catalog], "Not Found", 0)</f>
        <v>1</v>
      </c>
      <c r="U213" s="5">
        <f>_xlfn.XLOOKUP(CustomerCombined[[#This Row],[ID]], Table4[ID], Table4[Store], "Not Found", 0)</f>
        <v>4</v>
      </c>
      <c r="V213" s="5">
        <f>_xlfn.XLOOKUP(CustomerCombined[[#This Row],[ID]], Table4[ID], Table4[Visits], "Not Found", 0)</f>
        <v>8</v>
      </c>
      <c r="W213" s="8">
        <f>_xlfn.XLOOKUP(CustomerCombined[[#This Row],[ID]], Table2[ID],Table2[Complaint], "Not Found", 0 )</f>
        <v>0</v>
      </c>
      <c r="X213" s="8">
        <f>_xlfn.XLOOKUP(CustomerCombined[[#This Row],[ID]], Table2[ID],Table2[Pilot], "Not Found", 0 )</f>
        <v>0</v>
      </c>
      <c r="Y213" s="8">
        <f>_xlfn.XLOOKUP(CustomerCombined[[#This Row],[ID]], Table2[ID],Table2[MC1], "Not Found", 0 )</f>
        <v>0</v>
      </c>
      <c r="Z213" s="8">
        <f>_xlfn.XLOOKUP(CustomerCombined[[#This Row],[ID]], Table2[ID],Table2[MC2], "Not Found", 0 )</f>
        <v>0</v>
      </c>
      <c r="AA213" s="8">
        <f>_xlfn.XLOOKUP(CustomerCombined[[#This Row],[ID]], Table2[ID],Table2[MC3], "Not Found", 0 )</f>
        <v>0</v>
      </c>
      <c r="AB213" s="8">
        <f>_xlfn.XLOOKUP(CustomerCombined[[#This Row],[ID]], Table2[ID],Table2[MC4], "Not Found", 0 )</f>
        <v>0</v>
      </c>
      <c r="AC213" s="8">
        <f>_xlfn.XLOOKUP(CustomerCombined[[#This Row],[ID]], Table2[ID],Table2[MC5], "Not Found", 0 )</f>
        <v>0</v>
      </c>
    </row>
    <row r="214" spans="1:29" x14ac:dyDescent="0.3">
      <c r="A214" s="6">
        <v>1634</v>
      </c>
      <c r="B214" s="6">
        <v>129103</v>
      </c>
      <c r="C214" s="6">
        <v>1</v>
      </c>
      <c r="D214" s="6">
        <v>0</v>
      </c>
      <c r="E214" s="6">
        <v>35</v>
      </c>
      <c r="F214" s="5" t="s">
        <v>8</v>
      </c>
      <c r="G214" s="5" t="s">
        <v>11</v>
      </c>
      <c r="H214" s="3">
        <v>43467</v>
      </c>
      <c r="I214" s="5" t="s">
        <v>438</v>
      </c>
      <c r="J214" s="5">
        <f>_xlfn.XLOOKUP(CustomerCombined[[#This Row],[ID]], Table4[ID], Table4[Recency], "Not Found", 0)</f>
        <v>38</v>
      </c>
      <c r="K214" s="5">
        <f>_xlfn.XLOOKUP(CustomerCombined[[#This Row],[ID]], Table4[ID], Table4[Teas], "Not Found", 0)</f>
        <v>71</v>
      </c>
      <c r="L214" s="5">
        <f>_xlfn.XLOOKUP(CustomerCombined[[#This Row],[ID]], Table4[ID], Table4[Fruits], "Not Found", 0)</f>
        <v>0</v>
      </c>
      <c r="M214" s="5">
        <f>_xlfn.XLOOKUP(CustomerCombined[[#This Row],[ID]], Table4[ID], Table4[Meats], "Not Found", 0)</f>
        <v>75</v>
      </c>
      <c r="N214" s="5">
        <f>_xlfn.XLOOKUP(CustomerCombined[[#This Row],[ID]], Table4[ID], Table4[Seafood], "Not Found", 0)</f>
        <v>27</v>
      </c>
      <c r="O214" s="5">
        <f>_xlfn.XLOOKUP(CustomerCombined[[#This Row],[ID]], Table4[ID], Table4[Sweets], "Not Found", 0)</f>
        <v>13</v>
      </c>
      <c r="P214" s="5">
        <f>_xlfn.XLOOKUP(CustomerCombined[[#This Row],[ID]], Table4[ID], Table4[Premium], "Not Found", 0)</f>
        <v>27</v>
      </c>
      <c r="Q214" s="5">
        <f>_xlfn.XLOOKUP(CustomerCombined[[#This Row],[ID]], Table4[ID], Table4[Regular], "Not Found", 0)</f>
        <v>160</v>
      </c>
      <c r="R214" s="5">
        <f>_xlfn.XLOOKUP(CustomerCombined[[#This Row],[ID]], Table4[ID], Table4[Deals], "Not Found", 0)</f>
        <v>2</v>
      </c>
      <c r="S214" s="5">
        <f>_xlfn.XLOOKUP(CustomerCombined[[#This Row],[ID]], Table4[ID], Table4[Website], "Not Found", 0)</f>
        <v>1</v>
      </c>
      <c r="T214" s="5">
        <f>_xlfn.XLOOKUP(CustomerCombined[[#This Row],[ID]], Table4[ID], Table4[Catalog], "Not Found", 0)</f>
        <v>0</v>
      </c>
      <c r="U214" s="5">
        <f>_xlfn.XLOOKUP(CustomerCombined[[#This Row],[ID]], Table4[ID], Table4[Store], "Not Found", 0)</f>
        <v>3</v>
      </c>
      <c r="V214" s="5">
        <f>_xlfn.XLOOKUP(CustomerCombined[[#This Row],[ID]], Table4[ID], Table4[Visits], "Not Found", 0)</f>
        <v>9</v>
      </c>
      <c r="W214" s="8">
        <f>_xlfn.XLOOKUP(CustomerCombined[[#This Row],[ID]], Table2[ID],Table2[Complaint], "Not Found", 0 )</f>
        <v>0</v>
      </c>
      <c r="X214" s="8">
        <f>_xlfn.XLOOKUP(CustomerCombined[[#This Row],[ID]], Table2[ID],Table2[Pilot], "Not Found", 0 )</f>
        <v>0</v>
      </c>
      <c r="Y214" s="8">
        <f>_xlfn.XLOOKUP(CustomerCombined[[#This Row],[ID]], Table2[ID],Table2[MC1], "Not Found", 0 )</f>
        <v>0</v>
      </c>
      <c r="Z214" s="8">
        <f>_xlfn.XLOOKUP(CustomerCombined[[#This Row],[ID]], Table2[ID],Table2[MC2], "Not Found", 0 )</f>
        <v>0</v>
      </c>
      <c r="AA214" s="8">
        <f>_xlfn.XLOOKUP(CustomerCombined[[#This Row],[ID]], Table2[ID],Table2[MC3], "Not Found", 0 )</f>
        <v>0</v>
      </c>
      <c r="AB214" s="8">
        <f>_xlfn.XLOOKUP(CustomerCombined[[#This Row],[ID]], Table2[ID],Table2[MC4], "Not Found", 0 )</f>
        <v>0</v>
      </c>
      <c r="AC214" s="8">
        <f>_xlfn.XLOOKUP(CustomerCombined[[#This Row],[ID]], Table2[ID],Table2[MC5], "Not Found", 0 )</f>
        <v>0</v>
      </c>
    </row>
    <row r="215" spans="1:29" x14ac:dyDescent="0.3">
      <c r="A215" s="6">
        <v>2282</v>
      </c>
      <c r="B215" s="6">
        <v>123148</v>
      </c>
      <c r="C215" s="6">
        <v>0</v>
      </c>
      <c r="D215" s="6">
        <v>0</v>
      </c>
      <c r="E215" s="6">
        <v>35</v>
      </c>
      <c r="F215" s="5" t="s">
        <v>6</v>
      </c>
      <c r="G215" s="5" t="s">
        <v>442</v>
      </c>
      <c r="H215" s="3" t="s">
        <v>95</v>
      </c>
      <c r="I215" s="5" t="s">
        <v>438</v>
      </c>
      <c r="J215" s="5">
        <f>_xlfn.XLOOKUP(CustomerCombined[[#This Row],[ID]], Table4[ID], Table4[Recency], "Not Found", 0)</f>
        <v>83</v>
      </c>
      <c r="K215" s="5">
        <f>_xlfn.XLOOKUP(CustomerCombined[[#This Row],[ID]], Table4[ID], Table4[Teas], "Not Found", 0)</f>
        <v>21</v>
      </c>
      <c r="L215" s="5">
        <f>_xlfn.XLOOKUP(CustomerCombined[[#This Row],[ID]], Table4[ID], Table4[Fruits], "Not Found", 0)</f>
        <v>32</v>
      </c>
      <c r="M215" s="5">
        <f>_xlfn.XLOOKUP(CustomerCombined[[#This Row],[ID]], Table4[ID], Table4[Meats], "Not Found", 0)</f>
        <v>43</v>
      </c>
      <c r="N215" s="5">
        <f>_xlfn.XLOOKUP(CustomerCombined[[#This Row],[ID]], Table4[ID], Table4[Seafood], "Not Found", 0)</f>
        <v>32</v>
      </c>
      <c r="O215" s="5">
        <f>_xlfn.XLOOKUP(CustomerCombined[[#This Row],[ID]], Table4[ID], Table4[Sweets], "Not Found", 0)</f>
        <v>16</v>
      </c>
      <c r="P215" s="5">
        <f>_xlfn.XLOOKUP(CustomerCombined[[#This Row],[ID]], Table4[ID], Table4[Premium], "Not Found", 0)</f>
        <v>53</v>
      </c>
      <c r="Q215" s="5">
        <f>_xlfn.XLOOKUP(CustomerCombined[[#This Row],[ID]], Table4[ID], Table4[Regular], "Not Found", 0)</f>
        <v>90</v>
      </c>
      <c r="R215" s="5">
        <f>_xlfn.XLOOKUP(CustomerCombined[[#This Row],[ID]], Table4[ID], Table4[Deals], "Not Found", 0)</f>
        <v>1</v>
      </c>
      <c r="S215" s="5">
        <f>_xlfn.XLOOKUP(CustomerCombined[[#This Row],[ID]], Table4[ID], Table4[Website], "Not Found", 0)</f>
        <v>2</v>
      </c>
      <c r="T215" s="5">
        <f>_xlfn.XLOOKUP(CustomerCombined[[#This Row],[ID]], Table4[ID], Table4[Catalog], "Not Found", 0)</f>
        <v>0</v>
      </c>
      <c r="U215" s="5">
        <f>_xlfn.XLOOKUP(CustomerCombined[[#This Row],[ID]], Table4[ID], Table4[Store], "Not Found", 0)</f>
        <v>3</v>
      </c>
      <c r="V215" s="5">
        <f>_xlfn.XLOOKUP(CustomerCombined[[#This Row],[ID]], Table4[ID], Table4[Visits], "Not Found", 0)</f>
        <v>7</v>
      </c>
      <c r="W215" s="8">
        <f>_xlfn.XLOOKUP(CustomerCombined[[#This Row],[ID]], Table2[ID],Table2[Complaint], "Not Found", 0 )</f>
        <v>0</v>
      </c>
      <c r="X215" s="8">
        <f>_xlfn.XLOOKUP(CustomerCombined[[#This Row],[ID]], Table2[ID],Table2[Pilot], "Not Found", 0 )</f>
        <v>0</v>
      </c>
      <c r="Y215" s="8">
        <f>_xlfn.XLOOKUP(CustomerCombined[[#This Row],[ID]], Table2[ID],Table2[MC1], "Not Found", 0 )</f>
        <v>0</v>
      </c>
      <c r="Z215" s="8">
        <f>_xlfn.XLOOKUP(CustomerCombined[[#This Row],[ID]], Table2[ID],Table2[MC2], "Not Found", 0 )</f>
        <v>0</v>
      </c>
      <c r="AA215" s="8">
        <f>_xlfn.XLOOKUP(CustomerCombined[[#This Row],[ID]], Table2[ID],Table2[MC3], "Not Found", 0 )</f>
        <v>0</v>
      </c>
      <c r="AB215" s="8">
        <f>_xlfn.XLOOKUP(CustomerCombined[[#This Row],[ID]], Table2[ID],Table2[MC4], "Not Found", 0 )</f>
        <v>0</v>
      </c>
      <c r="AC215" s="8">
        <f>_xlfn.XLOOKUP(CustomerCombined[[#This Row],[ID]], Table2[ID],Table2[MC5], "Not Found", 0 )</f>
        <v>0</v>
      </c>
    </row>
    <row r="216" spans="1:29" x14ac:dyDescent="0.3">
      <c r="A216" s="6">
        <v>2166</v>
      </c>
      <c r="B216" s="6">
        <v>122327</v>
      </c>
      <c r="C216" s="6">
        <v>1</v>
      </c>
      <c r="D216" s="6">
        <v>0</v>
      </c>
      <c r="E216" s="6">
        <v>35</v>
      </c>
      <c r="F216" s="5" t="s">
        <v>7</v>
      </c>
      <c r="G216" s="5" t="s">
        <v>11</v>
      </c>
      <c r="H216" s="3">
        <v>44013</v>
      </c>
      <c r="I216" s="5" t="s">
        <v>436</v>
      </c>
      <c r="J216" s="5">
        <f>_xlfn.XLOOKUP(CustomerCombined[[#This Row],[ID]], Table4[ID], Table4[Recency], "Not Found", 0)</f>
        <v>94</v>
      </c>
      <c r="K216" s="5">
        <f>_xlfn.XLOOKUP(CustomerCombined[[#This Row],[ID]], Table4[ID], Table4[Teas], "Not Found", 0)</f>
        <v>27</v>
      </c>
      <c r="L216" s="5">
        <f>_xlfn.XLOOKUP(CustomerCombined[[#This Row],[ID]], Table4[ID], Table4[Fruits], "Not Found", 0)</f>
        <v>22</v>
      </c>
      <c r="M216" s="5">
        <f>_xlfn.XLOOKUP(CustomerCombined[[#This Row],[ID]], Table4[ID], Table4[Meats], "Not Found", 0)</f>
        <v>44</v>
      </c>
      <c r="N216" s="5">
        <f>_xlfn.XLOOKUP(CustomerCombined[[#This Row],[ID]], Table4[ID], Table4[Seafood], "Not Found", 0)</f>
        <v>11</v>
      </c>
      <c r="O216" s="5">
        <f>_xlfn.XLOOKUP(CustomerCombined[[#This Row],[ID]], Table4[ID], Table4[Sweets], "Not Found", 0)</f>
        <v>0</v>
      </c>
      <c r="P216" s="5">
        <f>_xlfn.XLOOKUP(CustomerCombined[[#This Row],[ID]], Table4[ID], Table4[Premium], "Not Found", 0)</f>
        <v>27</v>
      </c>
      <c r="Q216" s="5">
        <f>_xlfn.XLOOKUP(CustomerCombined[[#This Row],[ID]], Table4[ID], Table4[Regular], "Not Found", 0)</f>
        <v>77</v>
      </c>
      <c r="R216" s="5">
        <f>_xlfn.XLOOKUP(CustomerCombined[[#This Row],[ID]], Table4[ID], Table4[Deals], "Not Found", 0)</f>
        <v>1</v>
      </c>
      <c r="S216" s="5">
        <f>_xlfn.XLOOKUP(CustomerCombined[[#This Row],[ID]], Table4[ID], Table4[Website], "Not Found", 0)</f>
        <v>1</v>
      </c>
      <c r="T216" s="5">
        <f>_xlfn.XLOOKUP(CustomerCombined[[#This Row],[ID]], Table4[ID], Table4[Catalog], "Not Found", 0)</f>
        <v>0</v>
      </c>
      <c r="U216" s="5">
        <f>_xlfn.XLOOKUP(CustomerCombined[[#This Row],[ID]], Table4[ID], Table4[Store], "Not Found", 0)</f>
        <v>3</v>
      </c>
      <c r="V216" s="5">
        <f>_xlfn.XLOOKUP(CustomerCombined[[#This Row],[ID]], Table4[ID], Table4[Visits], "Not Found", 0)</f>
        <v>5</v>
      </c>
      <c r="W216" s="8">
        <f>_xlfn.XLOOKUP(CustomerCombined[[#This Row],[ID]], Table2[ID],Table2[Complaint], "Not Found", 0 )</f>
        <v>0</v>
      </c>
      <c r="X216" s="8">
        <f>_xlfn.XLOOKUP(CustomerCombined[[#This Row],[ID]], Table2[ID],Table2[Pilot], "Not Found", 0 )</f>
        <v>0</v>
      </c>
      <c r="Y216" s="8">
        <f>_xlfn.XLOOKUP(CustomerCombined[[#This Row],[ID]], Table2[ID],Table2[MC1], "Not Found", 0 )</f>
        <v>0</v>
      </c>
      <c r="Z216" s="8">
        <f>_xlfn.XLOOKUP(CustomerCombined[[#This Row],[ID]], Table2[ID],Table2[MC2], "Not Found", 0 )</f>
        <v>0</v>
      </c>
      <c r="AA216" s="8">
        <f>_xlfn.XLOOKUP(CustomerCombined[[#This Row],[ID]], Table2[ID],Table2[MC3], "Not Found", 0 )</f>
        <v>0</v>
      </c>
      <c r="AB216" s="8">
        <f>_xlfn.XLOOKUP(CustomerCombined[[#This Row],[ID]], Table2[ID],Table2[MC4], "Not Found", 0 )</f>
        <v>0</v>
      </c>
      <c r="AC216" s="8">
        <f>_xlfn.XLOOKUP(CustomerCombined[[#This Row],[ID]], Table2[ID],Table2[MC5], "Not Found", 0 )</f>
        <v>0</v>
      </c>
    </row>
    <row r="217" spans="1:29" x14ac:dyDescent="0.3">
      <c r="A217" s="6">
        <v>2357</v>
      </c>
      <c r="B217" s="6">
        <v>121355</v>
      </c>
      <c r="C217" s="6">
        <v>1</v>
      </c>
      <c r="D217" s="6">
        <v>0</v>
      </c>
      <c r="E217" s="6">
        <v>35</v>
      </c>
      <c r="F217" s="5" t="s">
        <v>6</v>
      </c>
      <c r="G217" s="5" t="s">
        <v>11</v>
      </c>
      <c r="H217" s="3" t="s">
        <v>197</v>
      </c>
      <c r="I217" s="5" t="s">
        <v>434</v>
      </c>
      <c r="J217" s="5">
        <f>_xlfn.XLOOKUP(CustomerCombined[[#This Row],[ID]], Table4[ID], Table4[Recency], "Not Found", 0)</f>
        <v>5</v>
      </c>
      <c r="K217" s="5">
        <f>_xlfn.XLOOKUP(CustomerCombined[[#This Row],[ID]], Table4[ID], Table4[Teas], "Not Found", 0)</f>
        <v>28</v>
      </c>
      <c r="L217" s="5">
        <f>_xlfn.XLOOKUP(CustomerCombined[[#This Row],[ID]], Table4[ID], Table4[Fruits], "Not Found", 0)</f>
        <v>74</v>
      </c>
      <c r="M217" s="5">
        <f>_xlfn.XLOOKUP(CustomerCombined[[#This Row],[ID]], Table4[ID], Table4[Meats], "Not Found", 0)</f>
        <v>80</v>
      </c>
      <c r="N217" s="5">
        <f>_xlfn.XLOOKUP(CustomerCombined[[#This Row],[ID]], Table4[ID], Table4[Seafood], "Not Found", 0)</f>
        <v>0</v>
      </c>
      <c r="O217" s="5">
        <f>_xlfn.XLOOKUP(CustomerCombined[[#This Row],[ID]], Table4[ID], Table4[Sweets], "Not Found", 0)</f>
        <v>28</v>
      </c>
      <c r="P217" s="5">
        <f>_xlfn.XLOOKUP(CustomerCombined[[#This Row],[ID]], Table4[ID], Table4[Premium], "Not Found", 0)</f>
        <v>176</v>
      </c>
      <c r="Q217" s="5">
        <f>_xlfn.XLOOKUP(CustomerCombined[[#This Row],[ID]], Table4[ID], Table4[Regular], "Not Found", 0)</f>
        <v>34</v>
      </c>
      <c r="R217" s="5">
        <f>_xlfn.XLOOKUP(CustomerCombined[[#This Row],[ID]], Table4[ID], Table4[Deals], "Not Found", 0)</f>
        <v>2</v>
      </c>
      <c r="S217" s="5">
        <f>_xlfn.XLOOKUP(CustomerCombined[[#This Row],[ID]], Table4[ID], Table4[Website], "Not Found", 0)</f>
        <v>2</v>
      </c>
      <c r="T217" s="5">
        <f>_xlfn.XLOOKUP(CustomerCombined[[#This Row],[ID]], Table4[ID], Table4[Catalog], "Not Found", 0)</f>
        <v>1</v>
      </c>
      <c r="U217" s="5">
        <f>_xlfn.XLOOKUP(CustomerCombined[[#This Row],[ID]], Table4[ID], Table4[Store], "Not Found", 0)</f>
        <v>2</v>
      </c>
      <c r="V217" s="5">
        <f>_xlfn.XLOOKUP(CustomerCombined[[#This Row],[ID]], Table4[ID], Table4[Visits], "Not Found", 0)</f>
        <v>6</v>
      </c>
      <c r="W217" s="8">
        <f>_xlfn.XLOOKUP(CustomerCombined[[#This Row],[ID]], Table2[ID],Table2[Complaint], "Not Found", 0 )</f>
        <v>0</v>
      </c>
      <c r="X217" s="8">
        <f>_xlfn.XLOOKUP(CustomerCombined[[#This Row],[ID]], Table2[ID],Table2[Pilot], "Not Found", 0 )</f>
        <v>1</v>
      </c>
      <c r="Y217" s="8">
        <f>_xlfn.XLOOKUP(CustomerCombined[[#This Row],[ID]], Table2[ID],Table2[MC1], "Not Found", 0 )</f>
        <v>0</v>
      </c>
      <c r="Z217" s="8">
        <f>_xlfn.XLOOKUP(CustomerCombined[[#This Row],[ID]], Table2[ID],Table2[MC2], "Not Found", 0 )</f>
        <v>0</v>
      </c>
      <c r="AA217" s="8">
        <f>_xlfn.XLOOKUP(CustomerCombined[[#This Row],[ID]], Table2[ID],Table2[MC3], "Not Found", 0 )</f>
        <v>1</v>
      </c>
      <c r="AB217" s="8">
        <f>_xlfn.XLOOKUP(CustomerCombined[[#This Row],[ID]], Table2[ID],Table2[MC4], "Not Found", 0 )</f>
        <v>0</v>
      </c>
      <c r="AC217" s="8">
        <f>_xlfn.XLOOKUP(CustomerCombined[[#This Row],[ID]], Table2[ID],Table2[MC5], "Not Found", 0 )</f>
        <v>0</v>
      </c>
    </row>
    <row r="218" spans="1:29" x14ac:dyDescent="0.3">
      <c r="A218" s="6">
        <v>1040</v>
      </c>
      <c r="B218" s="6">
        <v>120559</v>
      </c>
      <c r="C218" s="6">
        <v>1</v>
      </c>
      <c r="D218" s="6">
        <v>0</v>
      </c>
      <c r="E218" s="6">
        <v>35</v>
      </c>
      <c r="F218" s="5" t="s">
        <v>6</v>
      </c>
      <c r="G218" s="5" t="s">
        <v>12</v>
      </c>
      <c r="H218" s="3" t="s">
        <v>295</v>
      </c>
      <c r="I218" s="5" t="s">
        <v>438</v>
      </c>
      <c r="J218" s="5">
        <f>_xlfn.XLOOKUP(CustomerCombined[[#This Row],[ID]], Table4[ID], Table4[Recency], "Not Found", 0)</f>
        <v>88</v>
      </c>
      <c r="K218" s="5">
        <f>_xlfn.XLOOKUP(CustomerCombined[[#This Row],[ID]], Table4[ID], Table4[Teas], "Not Found", 0)</f>
        <v>76</v>
      </c>
      <c r="L218" s="5">
        <f>_xlfn.XLOOKUP(CustomerCombined[[#This Row],[ID]], Table4[ID], Table4[Fruits], "Not Found", 0)</f>
        <v>6</v>
      </c>
      <c r="M218" s="5">
        <f>_xlfn.XLOOKUP(CustomerCombined[[#This Row],[ID]], Table4[ID], Table4[Meats], "Not Found", 0)</f>
        <v>170</v>
      </c>
      <c r="N218" s="5">
        <f>_xlfn.XLOOKUP(CustomerCombined[[#This Row],[ID]], Table4[ID], Table4[Seafood], "Not Found", 0)</f>
        <v>18</v>
      </c>
      <c r="O218" s="5">
        <f>_xlfn.XLOOKUP(CustomerCombined[[#This Row],[ID]], Table4[ID], Table4[Sweets], "Not Found", 0)</f>
        <v>0</v>
      </c>
      <c r="P218" s="5">
        <f>_xlfn.XLOOKUP(CustomerCombined[[#This Row],[ID]], Table4[ID], Table4[Premium], "Not Found", 0)</f>
        <v>41</v>
      </c>
      <c r="Q218" s="5">
        <f>_xlfn.XLOOKUP(CustomerCombined[[#This Row],[ID]], Table4[ID], Table4[Regular], "Not Found", 0)</f>
        <v>229</v>
      </c>
      <c r="R218" s="5">
        <f>_xlfn.XLOOKUP(CustomerCombined[[#This Row],[ID]], Table4[ID], Table4[Deals], "Not Found", 0)</f>
        <v>2</v>
      </c>
      <c r="S218" s="5">
        <f>_xlfn.XLOOKUP(CustomerCombined[[#This Row],[ID]], Table4[ID], Table4[Website], "Not Found", 0)</f>
        <v>2</v>
      </c>
      <c r="T218" s="5">
        <f>_xlfn.XLOOKUP(CustomerCombined[[#This Row],[ID]], Table4[ID], Table4[Catalog], "Not Found", 0)</f>
        <v>0</v>
      </c>
      <c r="U218" s="5">
        <f>_xlfn.XLOOKUP(CustomerCombined[[#This Row],[ID]], Table4[ID], Table4[Store], "Not Found", 0)</f>
        <v>3</v>
      </c>
      <c r="V218" s="5">
        <f>_xlfn.XLOOKUP(CustomerCombined[[#This Row],[ID]], Table4[ID], Table4[Visits], "Not Found", 0)</f>
        <v>8</v>
      </c>
      <c r="W218" s="8">
        <f>_xlfn.XLOOKUP(CustomerCombined[[#This Row],[ID]], Table2[ID],Table2[Complaint], "Not Found", 0 )</f>
        <v>0</v>
      </c>
      <c r="X218" s="8">
        <f>_xlfn.XLOOKUP(CustomerCombined[[#This Row],[ID]], Table2[ID],Table2[Pilot], "Not Found", 0 )</f>
        <v>0</v>
      </c>
      <c r="Y218" s="8">
        <f>_xlfn.XLOOKUP(CustomerCombined[[#This Row],[ID]], Table2[ID],Table2[MC1], "Not Found", 0 )</f>
        <v>0</v>
      </c>
      <c r="Z218" s="8">
        <f>_xlfn.XLOOKUP(CustomerCombined[[#This Row],[ID]], Table2[ID],Table2[MC2], "Not Found", 0 )</f>
        <v>0</v>
      </c>
      <c r="AA218" s="8">
        <f>_xlfn.XLOOKUP(CustomerCombined[[#This Row],[ID]], Table2[ID],Table2[MC3], "Not Found", 0 )</f>
        <v>0</v>
      </c>
      <c r="AB218" s="8">
        <f>_xlfn.XLOOKUP(CustomerCombined[[#This Row],[ID]], Table2[ID],Table2[MC4], "Not Found", 0 )</f>
        <v>0</v>
      </c>
      <c r="AC218" s="8">
        <f>_xlfn.XLOOKUP(CustomerCombined[[#This Row],[ID]], Table2[ID],Table2[MC5], "Not Found", 0 )</f>
        <v>0</v>
      </c>
    </row>
    <row r="219" spans="1:29" x14ac:dyDescent="0.3">
      <c r="A219" s="6">
        <v>1365</v>
      </c>
      <c r="B219" s="6">
        <v>119986</v>
      </c>
      <c r="C219" s="6">
        <v>1</v>
      </c>
      <c r="D219" s="6">
        <v>0</v>
      </c>
      <c r="E219" s="6">
        <v>35</v>
      </c>
      <c r="F219" s="5" t="s">
        <v>6</v>
      </c>
      <c r="G219" s="5" t="s">
        <v>11</v>
      </c>
      <c r="H219" s="3" t="s">
        <v>150</v>
      </c>
      <c r="I219" s="5" t="s">
        <v>435</v>
      </c>
      <c r="J219" s="5">
        <f>_xlfn.XLOOKUP(CustomerCombined[[#This Row],[ID]], Table4[ID], Table4[Recency], "Not Found", 0)</f>
        <v>74</v>
      </c>
      <c r="K219" s="5">
        <f>_xlfn.XLOOKUP(CustomerCombined[[#This Row],[ID]], Table4[ID], Table4[Teas], "Not Found", 0)</f>
        <v>18</v>
      </c>
      <c r="L219" s="5">
        <f>_xlfn.XLOOKUP(CustomerCombined[[#This Row],[ID]], Table4[ID], Table4[Fruits], "Not Found", 0)</f>
        <v>36</v>
      </c>
      <c r="M219" s="5">
        <f>_xlfn.XLOOKUP(CustomerCombined[[#This Row],[ID]], Table4[ID], Table4[Meats], "Not Found", 0)</f>
        <v>30</v>
      </c>
      <c r="N219" s="5">
        <f>_xlfn.XLOOKUP(CustomerCombined[[#This Row],[ID]], Table4[ID], Table4[Seafood], "Not Found", 0)</f>
        <v>0</v>
      </c>
      <c r="O219" s="5">
        <f>_xlfn.XLOOKUP(CustomerCombined[[#This Row],[ID]], Table4[ID], Table4[Sweets], "Not Found", 0)</f>
        <v>12</v>
      </c>
      <c r="P219" s="5">
        <f>_xlfn.XLOOKUP(CustomerCombined[[#This Row],[ID]], Table4[ID], Table4[Premium], "Not Found", 0)</f>
        <v>36</v>
      </c>
      <c r="Q219" s="5">
        <f>_xlfn.XLOOKUP(CustomerCombined[[#This Row],[ID]], Table4[ID], Table4[Regular], "Not Found", 0)</f>
        <v>60</v>
      </c>
      <c r="R219" s="5">
        <f>_xlfn.XLOOKUP(CustomerCombined[[#This Row],[ID]], Table4[ID], Table4[Deals], "Not Found", 0)</f>
        <v>1</v>
      </c>
      <c r="S219" s="5">
        <f>_xlfn.XLOOKUP(CustomerCombined[[#This Row],[ID]], Table4[ID], Table4[Website], "Not Found", 0)</f>
        <v>0</v>
      </c>
      <c r="T219" s="5">
        <f>_xlfn.XLOOKUP(CustomerCombined[[#This Row],[ID]], Table4[ID], Table4[Catalog], "Not Found", 0)</f>
        <v>0</v>
      </c>
      <c r="U219" s="5">
        <f>_xlfn.XLOOKUP(CustomerCombined[[#This Row],[ID]], Table4[ID], Table4[Store], "Not Found", 0)</f>
        <v>3</v>
      </c>
      <c r="V219" s="5">
        <f>_xlfn.XLOOKUP(CustomerCombined[[#This Row],[ID]], Table4[ID], Table4[Visits], "Not Found", 0)</f>
        <v>7</v>
      </c>
      <c r="W219" s="8">
        <f>_xlfn.XLOOKUP(CustomerCombined[[#This Row],[ID]], Table2[ID],Table2[Complaint], "Not Found", 0 )</f>
        <v>0</v>
      </c>
      <c r="X219" s="8">
        <f>_xlfn.XLOOKUP(CustomerCombined[[#This Row],[ID]], Table2[ID],Table2[Pilot], "Not Found", 0 )</f>
        <v>0</v>
      </c>
      <c r="Y219" s="8">
        <f>_xlfn.XLOOKUP(CustomerCombined[[#This Row],[ID]], Table2[ID],Table2[MC1], "Not Found", 0 )</f>
        <v>0</v>
      </c>
      <c r="Z219" s="8">
        <f>_xlfn.XLOOKUP(CustomerCombined[[#This Row],[ID]], Table2[ID],Table2[MC2], "Not Found", 0 )</f>
        <v>0</v>
      </c>
      <c r="AA219" s="8">
        <f>_xlfn.XLOOKUP(CustomerCombined[[#This Row],[ID]], Table2[ID],Table2[MC3], "Not Found", 0 )</f>
        <v>0</v>
      </c>
      <c r="AB219" s="8">
        <f>_xlfn.XLOOKUP(CustomerCombined[[#This Row],[ID]], Table2[ID],Table2[MC4], "Not Found", 0 )</f>
        <v>0</v>
      </c>
      <c r="AC219" s="8">
        <f>_xlfn.XLOOKUP(CustomerCombined[[#This Row],[ID]], Table2[ID],Table2[MC5], "Not Found", 0 )</f>
        <v>0</v>
      </c>
    </row>
    <row r="220" spans="1:29" x14ac:dyDescent="0.3">
      <c r="A220" s="6">
        <v>1643</v>
      </c>
      <c r="B220" s="6">
        <v>119986</v>
      </c>
      <c r="C220" s="6">
        <v>1</v>
      </c>
      <c r="D220" s="6">
        <v>0</v>
      </c>
      <c r="E220" s="6">
        <v>35</v>
      </c>
      <c r="F220" s="5" t="s">
        <v>6</v>
      </c>
      <c r="G220" s="5" t="s">
        <v>11</v>
      </c>
      <c r="H220" s="3" t="s">
        <v>150</v>
      </c>
      <c r="I220" s="5" t="s">
        <v>434</v>
      </c>
      <c r="J220" s="5">
        <f>_xlfn.XLOOKUP(CustomerCombined[[#This Row],[ID]], Table4[ID], Table4[Recency], "Not Found", 0)</f>
        <v>74</v>
      </c>
      <c r="K220" s="5">
        <f>_xlfn.XLOOKUP(CustomerCombined[[#This Row],[ID]], Table4[ID], Table4[Teas], "Not Found", 0)</f>
        <v>18</v>
      </c>
      <c r="L220" s="5">
        <f>_xlfn.XLOOKUP(CustomerCombined[[#This Row],[ID]], Table4[ID], Table4[Fruits], "Not Found", 0)</f>
        <v>36</v>
      </c>
      <c r="M220" s="5">
        <f>_xlfn.XLOOKUP(CustomerCombined[[#This Row],[ID]], Table4[ID], Table4[Meats], "Not Found", 0)</f>
        <v>30</v>
      </c>
      <c r="N220" s="5">
        <f>_xlfn.XLOOKUP(CustomerCombined[[#This Row],[ID]], Table4[ID], Table4[Seafood], "Not Found", 0)</f>
        <v>0</v>
      </c>
      <c r="O220" s="5">
        <f>_xlfn.XLOOKUP(CustomerCombined[[#This Row],[ID]], Table4[ID], Table4[Sweets], "Not Found", 0)</f>
        <v>12</v>
      </c>
      <c r="P220" s="5">
        <f>_xlfn.XLOOKUP(CustomerCombined[[#This Row],[ID]], Table4[ID], Table4[Premium], "Not Found", 0)</f>
        <v>36</v>
      </c>
      <c r="Q220" s="5">
        <f>_xlfn.XLOOKUP(CustomerCombined[[#This Row],[ID]], Table4[ID], Table4[Regular], "Not Found", 0)</f>
        <v>60</v>
      </c>
      <c r="R220" s="5">
        <f>_xlfn.XLOOKUP(CustomerCombined[[#This Row],[ID]], Table4[ID], Table4[Deals], "Not Found", 0)</f>
        <v>1</v>
      </c>
      <c r="S220" s="5">
        <f>_xlfn.XLOOKUP(CustomerCombined[[#This Row],[ID]], Table4[ID], Table4[Website], "Not Found", 0)</f>
        <v>0</v>
      </c>
      <c r="T220" s="5">
        <f>_xlfn.XLOOKUP(CustomerCombined[[#This Row],[ID]], Table4[ID], Table4[Catalog], "Not Found", 0)</f>
        <v>0</v>
      </c>
      <c r="U220" s="5">
        <f>_xlfn.XLOOKUP(CustomerCombined[[#This Row],[ID]], Table4[ID], Table4[Store], "Not Found", 0)</f>
        <v>3</v>
      </c>
      <c r="V220" s="5">
        <f>_xlfn.XLOOKUP(CustomerCombined[[#This Row],[ID]], Table4[ID], Table4[Visits], "Not Found", 0)</f>
        <v>7</v>
      </c>
      <c r="W220" s="8">
        <f>_xlfn.XLOOKUP(CustomerCombined[[#This Row],[ID]], Table2[ID],Table2[Complaint], "Not Found", 0 )</f>
        <v>0</v>
      </c>
      <c r="X220" s="8">
        <f>_xlfn.XLOOKUP(CustomerCombined[[#This Row],[ID]], Table2[ID],Table2[Pilot], "Not Found", 0 )</f>
        <v>0</v>
      </c>
      <c r="Y220" s="8">
        <f>_xlfn.XLOOKUP(CustomerCombined[[#This Row],[ID]], Table2[ID],Table2[MC1], "Not Found", 0 )</f>
        <v>0</v>
      </c>
      <c r="Z220" s="8">
        <f>_xlfn.XLOOKUP(CustomerCombined[[#This Row],[ID]], Table2[ID],Table2[MC2], "Not Found", 0 )</f>
        <v>0</v>
      </c>
      <c r="AA220" s="8">
        <f>_xlfn.XLOOKUP(CustomerCombined[[#This Row],[ID]], Table2[ID],Table2[MC3], "Not Found", 0 )</f>
        <v>0</v>
      </c>
      <c r="AB220" s="8">
        <f>_xlfn.XLOOKUP(CustomerCombined[[#This Row],[ID]], Table2[ID],Table2[MC4], "Not Found", 0 )</f>
        <v>0</v>
      </c>
      <c r="AC220" s="8">
        <f>_xlfn.XLOOKUP(CustomerCombined[[#This Row],[ID]], Table2[ID],Table2[MC5], "Not Found", 0 )</f>
        <v>0</v>
      </c>
    </row>
    <row r="221" spans="1:29" x14ac:dyDescent="0.3">
      <c r="A221" s="6">
        <v>1114</v>
      </c>
      <c r="B221" s="6">
        <v>119510</v>
      </c>
      <c r="C221" s="6">
        <v>2</v>
      </c>
      <c r="D221" s="6">
        <v>0</v>
      </c>
      <c r="E221" s="6">
        <v>35</v>
      </c>
      <c r="F221" s="5" t="s">
        <v>6</v>
      </c>
      <c r="G221" s="5" t="s">
        <v>12</v>
      </c>
      <c r="H221" s="3">
        <v>44076</v>
      </c>
      <c r="I221" s="5" t="s">
        <v>439</v>
      </c>
      <c r="J221" s="5">
        <f>_xlfn.XLOOKUP(CustomerCombined[[#This Row],[ID]], Table4[ID], Table4[Recency], "Not Found", 0)</f>
        <v>63</v>
      </c>
      <c r="K221" s="5">
        <f>_xlfn.XLOOKUP(CustomerCombined[[#This Row],[ID]], Table4[ID], Table4[Teas], "Not Found", 0)</f>
        <v>55</v>
      </c>
      <c r="L221" s="5">
        <f>_xlfn.XLOOKUP(CustomerCombined[[#This Row],[ID]], Table4[ID], Table4[Fruits], "Not Found", 0)</f>
        <v>0</v>
      </c>
      <c r="M221" s="5">
        <f>_xlfn.XLOOKUP(CustomerCombined[[#This Row],[ID]], Table4[ID], Table4[Meats], "Not Found", 0)</f>
        <v>43</v>
      </c>
      <c r="N221" s="5">
        <f>_xlfn.XLOOKUP(CustomerCombined[[#This Row],[ID]], Table4[ID], Table4[Seafood], "Not Found", 0)</f>
        <v>18</v>
      </c>
      <c r="O221" s="5">
        <f>_xlfn.XLOOKUP(CustomerCombined[[#This Row],[ID]], Table4[ID], Table4[Sweets], "Not Found", 0)</f>
        <v>25</v>
      </c>
      <c r="P221" s="5">
        <f>_xlfn.XLOOKUP(CustomerCombined[[#This Row],[ID]], Table4[ID], Table4[Premium], "Not Found", 0)</f>
        <v>43</v>
      </c>
      <c r="Q221" s="5">
        <f>_xlfn.XLOOKUP(CustomerCombined[[#This Row],[ID]], Table4[ID], Table4[Regular], "Not Found", 0)</f>
        <v>98</v>
      </c>
      <c r="R221" s="5">
        <f>_xlfn.XLOOKUP(CustomerCombined[[#This Row],[ID]], Table4[ID], Table4[Deals], "Not Found", 0)</f>
        <v>2</v>
      </c>
      <c r="S221" s="5">
        <f>_xlfn.XLOOKUP(CustomerCombined[[#This Row],[ID]], Table4[ID], Table4[Website], "Not Found", 0)</f>
        <v>1</v>
      </c>
      <c r="T221" s="5">
        <f>_xlfn.XLOOKUP(CustomerCombined[[#This Row],[ID]], Table4[ID], Table4[Catalog], "Not Found", 0)</f>
        <v>0</v>
      </c>
      <c r="U221" s="5">
        <f>_xlfn.XLOOKUP(CustomerCombined[[#This Row],[ID]], Table4[ID], Table4[Store], "Not Found", 0)</f>
        <v>3</v>
      </c>
      <c r="V221" s="5">
        <f>_xlfn.XLOOKUP(CustomerCombined[[#This Row],[ID]], Table4[ID], Table4[Visits], "Not Found", 0)</f>
        <v>7</v>
      </c>
      <c r="W221" s="8">
        <f>_xlfn.XLOOKUP(CustomerCombined[[#This Row],[ID]], Table2[ID],Table2[Complaint], "Not Found", 0 )</f>
        <v>0</v>
      </c>
      <c r="X221" s="8">
        <f>_xlfn.XLOOKUP(CustomerCombined[[#This Row],[ID]], Table2[ID],Table2[Pilot], "Not Found", 0 )</f>
        <v>0</v>
      </c>
      <c r="Y221" s="8">
        <f>_xlfn.XLOOKUP(CustomerCombined[[#This Row],[ID]], Table2[ID],Table2[MC1], "Not Found", 0 )</f>
        <v>0</v>
      </c>
      <c r="Z221" s="8">
        <f>_xlfn.XLOOKUP(CustomerCombined[[#This Row],[ID]], Table2[ID],Table2[MC2], "Not Found", 0 )</f>
        <v>0</v>
      </c>
      <c r="AA221" s="8">
        <f>_xlfn.XLOOKUP(CustomerCombined[[#This Row],[ID]], Table2[ID],Table2[MC3], "Not Found", 0 )</f>
        <v>0</v>
      </c>
      <c r="AB221" s="8">
        <f>_xlfn.XLOOKUP(CustomerCombined[[#This Row],[ID]], Table2[ID],Table2[MC4], "Not Found", 0 )</f>
        <v>0</v>
      </c>
      <c r="AC221" s="8">
        <f>_xlfn.XLOOKUP(CustomerCombined[[#This Row],[ID]], Table2[ID],Table2[MC5], "Not Found", 0 )</f>
        <v>0</v>
      </c>
    </row>
    <row r="222" spans="1:29" x14ac:dyDescent="0.3">
      <c r="A222" s="6">
        <v>2667</v>
      </c>
      <c r="B222" s="6">
        <v>118169</v>
      </c>
      <c r="C222" s="6">
        <v>1</v>
      </c>
      <c r="D222" s="6">
        <v>0</v>
      </c>
      <c r="E222" s="6">
        <v>35</v>
      </c>
      <c r="F222" s="5" t="s">
        <v>6</v>
      </c>
      <c r="G222" s="5" t="s">
        <v>13</v>
      </c>
      <c r="H222" s="3" t="s">
        <v>304</v>
      </c>
      <c r="I222" s="5" t="s">
        <v>435</v>
      </c>
      <c r="J222" s="5">
        <f>_xlfn.XLOOKUP(CustomerCombined[[#This Row],[ID]], Table4[ID], Table4[Recency], "Not Found", 0)</f>
        <v>40</v>
      </c>
      <c r="K222" s="5">
        <f>_xlfn.XLOOKUP(CustomerCombined[[#This Row],[ID]], Table4[ID], Table4[Teas], "Not Found", 0)</f>
        <v>59</v>
      </c>
      <c r="L222" s="5">
        <f>_xlfn.XLOOKUP(CustomerCombined[[#This Row],[ID]], Table4[ID], Table4[Fruits], "Not Found", 0)</f>
        <v>0</v>
      </c>
      <c r="M222" s="5">
        <f>_xlfn.XLOOKUP(CustomerCombined[[#This Row],[ID]], Table4[ID], Table4[Meats], "Not Found", 0)</f>
        <v>33</v>
      </c>
      <c r="N222" s="5">
        <f>_xlfn.XLOOKUP(CustomerCombined[[#This Row],[ID]], Table4[ID], Table4[Seafood], "Not Found", 0)</f>
        <v>0</v>
      </c>
      <c r="O222" s="5">
        <f>_xlfn.XLOOKUP(CustomerCombined[[#This Row],[ID]], Table4[ID], Table4[Sweets], "Not Found", 0)</f>
        <v>0</v>
      </c>
      <c r="P222" s="5">
        <f>_xlfn.XLOOKUP(CustomerCombined[[#This Row],[ID]], Table4[ID], Table4[Premium], "Not Found", 0)</f>
        <v>46</v>
      </c>
      <c r="Q222" s="5">
        <f>_xlfn.XLOOKUP(CustomerCombined[[#This Row],[ID]], Table4[ID], Table4[Regular], "Not Found", 0)</f>
        <v>46</v>
      </c>
      <c r="R222" s="5">
        <f>_xlfn.XLOOKUP(CustomerCombined[[#This Row],[ID]], Table4[ID], Table4[Deals], "Not Found", 0)</f>
        <v>1</v>
      </c>
      <c r="S222" s="5">
        <f>_xlfn.XLOOKUP(CustomerCombined[[#This Row],[ID]], Table4[ID], Table4[Website], "Not Found", 0)</f>
        <v>1</v>
      </c>
      <c r="T222" s="5">
        <f>_xlfn.XLOOKUP(CustomerCombined[[#This Row],[ID]], Table4[ID], Table4[Catalog], "Not Found", 0)</f>
        <v>0</v>
      </c>
      <c r="U222" s="5">
        <f>_xlfn.XLOOKUP(CustomerCombined[[#This Row],[ID]], Table4[ID], Table4[Store], "Not Found", 0)</f>
        <v>2</v>
      </c>
      <c r="V222" s="5">
        <f>_xlfn.XLOOKUP(CustomerCombined[[#This Row],[ID]], Table4[ID], Table4[Visits], "Not Found", 0)</f>
        <v>8</v>
      </c>
      <c r="W222" s="8">
        <f>_xlfn.XLOOKUP(CustomerCombined[[#This Row],[ID]], Table2[ID],Table2[Complaint], "Not Found", 0 )</f>
        <v>0</v>
      </c>
      <c r="X222" s="8">
        <f>_xlfn.XLOOKUP(CustomerCombined[[#This Row],[ID]], Table2[ID],Table2[Pilot], "Not Found", 0 )</f>
        <v>0</v>
      </c>
      <c r="Y222" s="8">
        <f>_xlfn.XLOOKUP(CustomerCombined[[#This Row],[ID]], Table2[ID],Table2[MC1], "Not Found", 0 )</f>
        <v>0</v>
      </c>
      <c r="Z222" s="8">
        <f>_xlfn.XLOOKUP(CustomerCombined[[#This Row],[ID]], Table2[ID],Table2[MC2], "Not Found", 0 )</f>
        <v>0</v>
      </c>
      <c r="AA222" s="8">
        <f>_xlfn.XLOOKUP(CustomerCombined[[#This Row],[ID]], Table2[ID],Table2[MC3], "Not Found", 0 )</f>
        <v>0</v>
      </c>
      <c r="AB222" s="8">
        <f>_xlfn.XLOOKUP(CustomerCombined[[#This Row],[ID]], Table2[ID],Table2[MC4], "Not Found", 0 )</f>
        <v>0</v>
      </c>
      <c r="AC222" s="8">
        <f>_xlfn.XLOOKUP(CustomerCombined[[#This Row],[ID]], Table2[ID],Table2[MC5], "Not Found", 0 )</f>
        <v>0</v>
      </c>
    </row>
    <row r="223" spans="1:29" x14ac:dyDescent="0.3">
      <c r="A223" s="6">
        <v>2109</v>
      </c>
      <c r="B223" s="6">
        <v>116581</v>
      </c>
      <c r="C223" s="6">
        <v>0</v>
      </c>
      <c r="D223" s="6">
        <v>0</v>
      </c>
      <c r="E223" s="6">
        <v>35</v>
      </c>
      <c r="F223" s="5" t="s">
        <v>7</v>
      </c>
      <c r="G223" s="5" t="s">
        <v>10</v>
      </c>
      <c r="H223" s="3" t="s">
        <v>328</v>
      </c>
      <c r="I223" s="5" t="s">
        <v>435</v>
      </c>
      <c r="J223" s="5">
        <f>_xlfn.XLOOKUP(CustomerCombined[[#This Row],[ID]], Table4[ID], Table4[Recency], "Not Found", 0)</f>
        <v>51</v>
      </c>
      <c r="K223" s="5">
        <f>_xlfn.XLOOKUP(CustomerCombined[[#This Row],[ID]], Table4[ID], Table4[Teas], "Not Found", 0)</f>
        <v>7</v>
      </c>
      <c r="L223" s="5">
        <f>_xlfn.XLOOKUP(CustomerCombined[[#This Row],[ID]], Table4[ID], Table4[Fruits], "Not Found", 0)</f>
        <v>21</v>
      </c>
      <c r="M223" s="5">
        <f>_xlfn.XLOOKUP(CustomerCombined[[#This Row],[ID]], Table4[ID], Table4[Meats], "Not Found", 0)</f>
        <v>28</v>
      </c>
      <c r="N223" s="5">
        <f>_xlfn.XLOOKUP(CustomerCombined[[#This Row],[ID]], Table4[ID], Table4[Seafood], "Not Found", 0)</f>
        <v>14</v>
      </c>
      <c r="O223" s="5">
        <f>_xlfn.XLOOKUP(CustomerCombined[[#This Row],[ID]], Table4[ID], Table4[Sweets], "Not Found", 0)</f>
        <v>21</v>
      </c>
      <c r="P223" s="5">
        <f>_xlfn.XLOOKUP(CustomerCombined[[#This Row],[ID]], Table4[ID], Table4[Premium], "Not Found", 0)</f>
        <v>77</v>
      </c>
      <c r="Q223" s="5">
        <f>_xlfn.XLOOKUP(CustomerCombined[[#This Row],[ID]], Table4[ID], Table4[Regular], "Not Found", 0)</f>
        <v>14</v>
      </c>
      <c r="R223" s="5">
        <f>_xlfn.XLOOKUP(CustomerCombined[[#This Row],[ID]], Table4[ID], Table4[Deals], "Not Found", 0)</f>
        <v>1</v>
      </c>
      <c r="S223" s="5">
        <f>_xlfn.XLOOKUP(CustomerCombined[[#This Row],[ID]], Table4[ID], Table4[Website], "Not Found", 0)</f>
        <v>0</v>
      </c>
      <c r="T223" s="5">
        <f>_xlfn.XLOOKUP(CustomerCombined[[#This Row],[ID]], Table4[ID], Table4[Catalog], "Not Found", 0)</f>
        <v>0</v>
      </c>
      <c r="U223" s="5">
        <f>_xlfn.XLOOKUP(CustomerCombined[[#This Row],[ID]], Table4[ID], Table4[Store], "Not Found", 0)</f>
        <v>3</v>
      </c>
      <c r="V223" s="5">
        <f>_xlfn.XLOOKUP(CustomerCombined[[#This Row],[ID]], Table4[ID], Table4[Visits], "Not Found", 0)</f>
        <v>4</v>
      </c>
      <c r="W223" s="8">
        <f>_xlfn.XLOOKUP(CustomerCombined[[#This Row],[ID]], Table2[ID],Table2[Complaint], "Not Found", 0 )</f>
        <v>0</v>
      </c>
      <c r="X223" s="8">
        <f>_xlfn.XLOOKUP(CustomerCombined[[#This Row],[ID]], Table2[ID],Table2[Pilot], "Not Found", 0 )</f>
        <v>0</v>
      </c>
      <c r="Y223" s="8">
        <f>_xlfn.XLOOKUP(CustomerCombined[[#This Row],[ID]], Table2[ID],Table2[MC1], "Not Found", 0 )</f>
        <v>0</v>
      </c>
      <c r="Z223" s="8">
        <f>_xlfn.XLOOKUP(CustomerCombined[[#This Row],[ID]], Table2[ID],Table2[MC2], "Not Found", 0 )</f>
        <v>0</v>
      </c>
      <c r="AA223" s="8">
        <f>_xlfn.XLOOKUP(CustomerCombined[[#This Row],[ID]], Table2[ID],Table2[MC3], "Not Found", 0 )</f>
        <v>0</v>
      </c>
      <c r="AB223" s="8">
        <f>_xlfn.XLOOKUP(CustomerCombined[[#This Row],[ID]], Table2[ID],Table2[MC4], "Not Found", 0 )</f>
        <v>0</v>
      </c>
      <c r="AC223" s="8">
        <f>_xlfn.XLOOKUP(CustomerCombined[[#This Row],[ID]], Table2[ID],Table2[MC5], "Not Found", 0 )</f>
        <v>0</v>
      </c>
    </row>
    <row r="224" spans="1:29" x14ac:dyDescent="0.3">
      <c r="A224" s="6">
        <v>3004</v>
      </c>
      <c r="B224" s="6">
        <v>107500</v>
      </c>
      <c r="C224" s="6">
        <v>1</v>
      </c>
      <c r="D224" s="6">
        <v>0</v>
      </c>
      <c r="E224" s="6">
        <v>35</v>
      </c>
      <c r="F224" s="5" t="s">
        <v>8</v>
      </c>
      <c r="G224" s="5" t="s">
        <v>442</v>
      </c>
      <c r="H224" s="3">
        <v>43617</v>
      </c>
      <c r="I224" s="5" t="s">
        <v>439</v>
      </c>
      <c r="J224" s="5">
        <f>_xlfn.XLOOKUP(CustomerCombined[[#This Row],[ID]], Table4[ID], Table4[Recency], "Not Found", 0)</f>
        <v>98</v>
      </c>
      <c r="K224" s="5">
        <f>_xlfn.XLOOKUP(CustomerCombined[[#This Row],[ID]], Table4[ID], Table4[Teas], "Not Found", 0)</f>
        <v>72</v>
      </c>
      <c r="L224" s="5">
        <f>_xlfn.XLOOKUP(CustomerCombined[[#This Row],[ID]], Table4[ID], Table4[Fruits], "Not Found", 0)</f>
        <v>244</v>
      </c>
      <c r="M224" s="5">
        <f>_xlfn.XLOOKUP(CustomerCombined[[#This Row],[ID]], Table4[ID], Table4[Meats], "Not Found", 0)</f>
        <v>244</v>
      </c>
      <c r="N224" s="5">
        <f>_xlfn.XLOOKUP(CustomerCombined[[#This Row],[ID]], Table4[ID], Table4[Seafood], "Not Found", 0)</f>
        <v>186</v>
      </c>
      <c r="O224" s="5">
        <f>_xlfn.XLOOKUP(CustomerCombined[[#This Row],[ID]], Table4[ID], Table4[Sweets], "Not Found", 0)</f>
        <v>201</v>
      </c>
      <c r="P224" s="5">
        <f>_xlfn.XLOOKUP(CustomerCombined[[#This Row],[ID]], Table4[ID], Table4[Premium], "Not Found", 0)</f>
        <v>487</v>
      </c>
      <c r="Q224" s="5">
        <f>_xlfn.XLOOKUP(CustomerCombined[[#This Row],[ID]], Table4[ID], Table4[Regular], "Not Found", 0)</f>
        <v>459</v>
      </c>
      <c r="R224" s="5">
        <f>_xlfn.XLOOKUP(CustomerCombined[[#This Row],[ID]], Table4[ID], Table4[Deals], "Not Found", 0)</f>
        <v>4</v>
      </c>
      <c r="S224" s="5">
        <f>_xlfn.XLOOKUP(CustomerCombined[[#This Row],[ID]], Table4[ID], Table4[Website], "Not Found", 0)</f>
        <v>2</v>
      </c>
      <c r="T224" s="5">
        <f>_xlfn.XLOOKUP(CustomerCombined[[#This Row],[ID]], Table4[ID], Table4[Catalog], "Not Found", 0)</f>
        <v>1</v>
      </c>
      <c r="U224" s="5">
        <f>_xlfn.XLOOKUP(CustomerCombined[[#This Row],[ID]], Table4[ID], Table4[Store], "Not Found", 0)</f>
        <v>3</v>
      </c>
      <c r="V224" s="5">
        <f>_xlfn.XLOOKUP(CustomerCombined[[#This Row],[ID]], Table4[ID], Table4[Visits], "Not Found", 0)</f>
        <v>9</v>
      </c>
      <c r="W224" s="8">
        <f>_xlfn.XLOOKUP(CustomerCombined[[#This Row],[ID]], Table2[ID],Table2[Complaint], "Not Found", 0 )</f>
        <v>0</v>
      </c>
      <c r="X224" s="8">
        <f>_xlfn.XLOOKUP(CustomerCombined[[#This Row],[ID]], Table2[ID],Table2[Pilot], "Not Found", 0 )</f>
        <v>0</v>
      </c>
      <c r="Y224" s="8">
        <f>_xlfn.XLOOKUP(CustomerCombined[[#This Row],[ID]], Table2[ID],Table2[MC1], "Not Found", 0 )</f>
        <v>0</v>
      </c>
      <c r="Z224" s="8">
        <f>_xlfn.XLOOKUP(CustomerCombined[[#This Row],[ID]], Table2[ID],Table2[MC2], "Not Found", 0 )</f>
        <v>0</v>
      </c>
      <c r="AA224" s="8">
        <f>_xlfn.XLOOKUP(CustomerCombined[[#This Row],[ID]], Table2[ID],Table2[MC3], "Not Found", 0 )</f>
        <v>0</v>
      </c>
      <c r="AB224" s="8">
        <f>_xlfn.XLOOKUP(CustomerCombined[[#This Row],[ID]], Table2[ID],Table2[MC4], "Not Found", 0 )</f>
        <v>0</v>
      </c>
      <c r="AC224" s="8">
        <f>_xlfn.XLOOKUP(CustomerCombined[[#This Row],[ID]], Table2[ID],Table2[MC5], "Not Found", 0 )</f>
        <v>0</v>
      </c>
    </row>
    <row r="225" spans="1:29" x14ac:dyDescent="0.3">
      <c r="A225" s="6">
        <v>3136</v>
      </c>
      <c r="B225" s="6">
        <v>190000</v>
      </c>
      <c r="C225" s="6">
        <v>0</v>
      </c>
      <c r="D225" s="6">
        <v>0</v>
      </c>
      <c r="E225" s="6">
        <v>36</v>
      </c>
      <c r="F225" s="5" t="s">
        <v>6</v>
      </c>
      <c r="G225" s="5" t="s">
        <v>11</v>
      </c>
      <c r="H225" s="3" t="s">
        <v>125</v>
      </c>
      <c r="I225" s="5" t="s">
        <v>439</v>
      </c>
      <c r="J225" s="5">
        <f>_xlfn.XLOOKUP(CustomerCombined[[#This Row],[ID]], Table4[ID], Table4[Recency], "Not Found", 0)</f>
        <v>91</v>
      </c>
      <c r="K225" s="5">
        <f>_xlfn.XLOOKUP(CustomerCombined[[#This Row],[ID]], Table4[ID], Table4[Teas], "Not Found", 0)</f>
        <v>1425</v>
      </c>
      <c r="L225" s="5">
        <f>_xlfn.XLOOKUP(CustomerCombined[[#This Row],[ID]], Table4[ID], Table4[Fruits], "Not Found", 0)</f>
        <v>304</v>
      </c>
      <c r="M225" s="5">
        <f>_xlfn.XLOOKUP(CustomerCombined[[#This Row],[ID]], Table4[ID], Table4[Meats], "Not Found", 0)</f>
        <v>281</v>
      </c>
      <c r="N225" s="5">
        <f>_xlfn.XLOOKUP(CustomerCombined[[#This Row],[ID]], Table4[ID], Table4[Seafood], "Not Found", 0)</f>
        <v>198</v>
      </c>
      <c r="O225" s="5">
        <f>_xlfn.XLOOKUP(CustomerCombined[[#This Row],[ID]], Table4[ID], Table4[Sweets], "Not Found", 0)</f>
        <v>405</v>
      </c>
      <c r="P225" s="5">
        <f>_xlfn.XLOOKUP(CustomerCombined[[#This Row],[ID]], Table4[ID], Table4[Premium], "Not Found", 0)</f>
        <v>509</v>
      </c>
      <c r="Q225" s="5">
        <f>_xlfn.XLOOKUP(CustomerCombined[[#This Row],[ID]], Table4[ID], Table4[Regular], "Not Found", 0)</f>
        <v>2105</v>
      </c>
      <c r="R225" s="5">
        <f>_xlfn.XLOOKUP(CustomerCombined[[#This Row],[ID]], Table4[ID], Table4[Deals], "Not Found", 0)</f>
        <v>1</v>
      </c>
      <c r="S225" s="5">
        <f>_xlfn.XLOOKUP(CustomerCombined[[#This Row],[ID]], Table4[ID], Table4[Website], "Not Found", 0)</f>
        <v>4</v>
      </c>
      <c r="T225" s="5">
        <f>_xlfn.XLOOKUP(CustomerCombined[[#This Row],[ID]], Table4[ID], Table4[Catalog], "Not Found", 0)</f>
        <v>8</v>
      </c>
      <c r="U225" s="5">
        <f>_xlfn.XLOOKUP(CustomerCombined[[#This Row],[ID]], Table4[ID], Table4[Store], "Not Found", 0)</f>
        <v>5</v>
      </c>
      <c r="V225" s="5">
        <f>_xlfn.XLOOKUP(CustomerCombined[[#This Row],[ID]], Table4[ID], Table4[Visits], "Not Found", 0)</f>
        <v>1</v>
      </c>
      <c r="W225" s="8">
        <f>_xlfn.XLOOKUP(CustomerCombined[[#This Row],[ID]], Table2[ID],Table2[Complaint], "Not Found", 0 )</f>
        <v>0</v>
      </c>
      <c r="X225" s="8">
        <f>_xlfn.XLOOKUP(CustomerCombined[[#This Row],[ID]], Table2[ID],Table2[Pilot], "Not Found", 0 )</f>
        <v>0</v>
      </c>
      <c r="Y225" s="8">
        <f>_xlfn.XLOOKUP(CustomerCombined[[#This Row],[ID]], Table2[ID],Table2[MC1], "Not Found", 0 )</f>
        <v>1</v>
      </c>
      <c r="Z225" s="8">
        <f>_xlfn.XLOOKUP(CustomerCombined[[#This Row],[ID]], Table2[ID],Table2[MC2], "Not Found", 0 )</f>
        <v>0</v>
      </c>
      <c r="AA225" s="8">
        <f>_xlfn.XLOOKUP(CustomerCombined[[#This Row],[ID]], Table2[ID],Table2[MC3], "Not Found", 0 )</f>
        <v>1</v>
      </c>
      <c r="AB225" s="8">
        <f>_xlfn.XLOOKUP(CustomerCombined[[#This Row],[ID]], Table2[ID],Table2[MC4], "Not Found", 0 )</f>
        <v>0</v>
      </c>
      <c r="AC225" s="8">
        <f>_xlfn.XLOOKUP(CustomerCombined[[#This Row],[ID]], Table2[ID],Table2[MC5], "Not Found", 0 )</f>
        <v>1</v>
      </c>
    </row>
    <row r="226" spans="1:29" x14ac:dyDescent="0.3">
      <c r="A226" s="6">
        <v>2829</v>
      </c>
      <c r="B226" s="6">
        <v>182733</v>
      </c>
      <c r="C226" s="6">
        <v>0</v>
      </c>
      <c r="D226" s="6">
        <v>0</v>
      </c>
      <c r="E226" s="6">
        <v>36</v>
      </c>
      <c r="F226" s="5" t="s">
        <v>7</v>
      </c>
      <c r="G226" s="5" t="s">
        <v>13</v>
      </c>
      <c r="H226" s="3" t="s">
        <v>189</v>
      </c>
      <c r="I226" s="5" t="s">
        <v>435</v>
      </c>
      <c r="J226" s="5">
        <f>_xlfn.XLOOKUP(CustomerCombined[[#This Row],[ID]], Table4[ID], Table4[Recency], "Not Found", 0)</f>
        <v>28</v>
      </c>
      <c r="K226" s="5">
        <f>_xlfn.XLOOKUP(CustomerCombined[[#This Row],[ID]], Table4[ID], Table4[Teas], "Not Found", 0)</f>
        <v>1573</v>
      </c>
      <c r="L226" s="5">
        <f>_xlfn.XLOOKUP(CustomerCombined[[#This Row],[ID]], Table4[ID], Table4[Fruits], "Not Found", 0)</f>
        <v>110</v>
      </c>
      <c r="M226" s="5">
        <f>_xlfn.XLOOKUP(CustomerCombined[[#This Row],[ID]], Table4[ID], Table4[Meats], "Not Found", 0)</f>
        <v>928</v>
      </c>
      <c r="N226" s="5">
        <f>_xlfn.XLOOKUP(CustomerCombined[[#This Row],[ID]], Table4[ID], Table4[Seafood], "Not Found", 0)</f>
        <v>144</v>
      </c>
      <c r="O226" s="5">
        <f>_xlfn.XLOOKUP(CustomerCombined[[#This Row],[ID]], Table4[ID], Table4[Sweets], "Not Found", 0)</f>
        <v>84</v>
      </c>
      <c r="P226" s="5">
        <f>_xlfn.XLOOKUP(CustomerCombined[[#This Row],[ID]], Table4[ID], Table4[Premium], "Not Found", 0)</f>
        <v>84</v>
      </c>
      <c r="Q226" s="5">
        <f>_xlfn.XLOOKUP(CustomerCombined[[#This Row],[ID]], Table4[ID], Table4[Regular], "Not Found", 0)</f>
        <v>2754</v>
      </c>
      <c r="R226" s="5">
        <f>_xlfn.XLOOKUP(CustomerCombined[[#This Row],[ID]], Table4[ID], Table4[Deals], "Not Found", 0)</f>
        <v>1</v>
      </c>
      <c r="S226" s="5">
        <f>_xlfn.XLOOKUP(CustomerCombined[[#This Row],[ID]], Table4[ID], Table4[Website], "Not Found", 0)</f>
        <v>8</v>
      </c>
      <c r="T226" s="5">
        <f>_xlfn.XLOOKUP(CustomerCombined[[#This Row],[ID]], Table4[ID], Table4[Catalog], "Not Found", 0)</f>
        <v>4</v>
      </c>
      <c r="U226" s="5">
        <f>_xlfn.XLOOKUP(CustomerCombined[[#This Row],[ID]], Table4[ID], Table4[Store], "Not Found", 0)</f>
        <v>7</v>
      </c>
      <c r="V226" s="5">
        <f>_xlfn.XLOOKUP(CustomerCombined[[#This Row],[ID]], Table4[ID], Table4[Visits], "Not Found", 0)</f>
        <v>4</v>
      </c>
      <c r="W226" s="8">
        <f>_xlfn.XLOOKUP(CustomerCombined[[#This Row],[ID]], Table2[ID],Table2[Complaint], "Not Found", 0 )</f>
        <v>0</v>
      </c>
      <c r="X226" s="8">
        <f>_xlfn.XLOOKUP(CustomerCombined[[#This Row],[ID]], Table2[ID],Table2[Pilot], "Not Found", 0 )</f>
        <v>1</v>
      </c>
      <c r="Y226" s="8">
        <f>_xlfn.XLOOKUP(CustomerCombined[[#This Row],[ID]], Table2[ID],Table2[MC1], "Not Found", 0 )</f>
        <v>0</v>
      </c>
      <c r="Z226" s="8">
        <f>_xlfn.XLOOKUP(CustomerCombined[[#This Row],[ID]], Table2[ID],Table2[MC2], "Not Found", 0 )</f>
        <v>0</v>
      </c>
      <c r="AA226" s="8">
        <f>_xlfn.XLOOKUP(CustomerCombined[[#This Row],[ID]], Table2[ID],Table2[MC3], "Not Found", 0 )</f>
        <v>0</v>
      </c>
      <c r="AB226" s="8">
        <f>_xlfn.XLOOKUP(CustomerCombined[[#This Row],[ID]], Table2[ID],Table2[MC4], "Not Found", 0 )</f>
        <v>0</v>
      </c>
      <c r="AC226" s="8">
        <f>_xlfn.XLOOKUP(CustomerCombined[[#This Row],[ID]], Table2[ID],Table2[MC5], "Not Found", 0 )</f>
        <v>0</v>
      </c>
    </row>
    <row r="227" spans="1:29" x14ac:dyDescent="0.3">
      <c r="A227" s="6">
        <v>1118</v>
      </c>
      <c r="B227" s="6">
        <v>179607</v>
      </c>
      <c r="C227" s="6">
        <v>0</v>
      </c>
      <c r="D227" s="6">
        <v>0</v>
      </c>
      <c r="E227" s="6">
        <v>36</v>
      </c>
      <c r="F227" s="5" t="s">
        <v>7</v>
      </c>
      <c r="G227" s="5" t="s">
        <v>11</v>
      </c>
      <c r="H227" s="3" t="s">
        <v>268</v>
      </c>
      <c r="I227" s="5" t="s">
        <v>438</v>
      </c>
      <c r="J227" s="5">
        <f>_xlfn.XLOOKUP(CustomerCombined[[#This Row],[ID]], Table4[ID], Table4[Recency], "Not Found", 0)</f>
        <v>37</v>
      </c>
      <c r="K227" s="5">
        <f>_xlfn.XLOOKUP(CustomerCombined[[#This Row],[ID]], Table4[ID], Table4[Teas], "Not Found", 0)</f>
        <v>1015</v>
      </c>
      <c r="L227" s="5">
        <f>_xlfn.XLOOKUP(CustomerCombined[[#This Row],[ID]], Table4[ID], Table4[Fruits], "Not Found", 0)</f>
        <v>300</v>
      </c>
      <c r="M227" s="5">
        <f>_xlfn.XLOOKUP(CustomerCombined[[#This Row],[ID]], Table4[ID], Table4[Meats], "Not Found", 0)</f>
        <v>2146</v>
      </c>
      <c r="N227" s="5">
        <f>_xlfn.XLOOKUP(CustomerCombined[[#This Row],[ID]], Table4[ID], Table4[Seafood], "Not Found", 0)</f>
        <v>390</v>
      </c>
      <c r="O227" s="5">
        <f>_xlfn.XLOOKUP(CustomerCombined[[#This Row],[ID]], Table4[ID], Table4[Sweets], "Not Found", 0)</f>
        <v>0</v>
      </c>
      <c r="P227" s="5">
        <f>_xlfn.XLOOKUP(CustomerCombined[[#This Row],[ID]], Table4[ID], Table4[Premium], "Not Found", 0)</f>
        <v>487</v>
      </c>
      <c r="Q227" s="5">
        <f>_xlfn.XLOOKUP(CustomerCombined[[#This Row],[ID]], Table4[ID], Table4[Regular], "Not Found", 0)</f>
        <v>3364</v>
      </c>
      <c r="R227" s="5">
        <f>_xlfn.XLOOKUP(CustomerCombined[[#This Row],[ID]], Table4[ID], Table4[Deals], "Not Found", 0)</f>
        <v>1</v>
      </c>
      <c r="S227" s="5">
        <f>_xlfn.XLOOKUP(CustomerCombined[[#This Row],[ID]], Table4[ID], Table4[Website], "Not Found", 0)</f>
        <v>3</v>
      </c>
      <c r="T227" s="5">
        <f>_xlfn.XLOOKUP(CustomerCombined[[#This Row],[ID]], Table4[ID], Table4[Catalog], "Not Found", 0)</f>
        <v>6</v>
      </c>
      <c r="U227" s="5">
        <f>_xlfn.XLOOKUP(CustomerCombined[[#This Row],[ID]], Table4[ID], Table4[Store], "Not Found", 0)</f>
        <v>6</v>
      </c>
      <c r="V227" s="5">
        <f>_xlfn.XLOOKUP(CustomerCombined[[#This Row],[ID]], Table4[ID], Table4[Visits], "Not Found", 0)</f>
        <v>1</v>
      </c>
      <c r="W227" s="8">
        <f>_xlfn.XLOOKUP(CustomerCombined[[#This Row],[ID]], Table2[ID],Table2[Complaint], "Not Found", 0 )</f>
        <v>0</v>
      </c>
      <c r="X227" s="8">
        <f>_xlfn.XLOOKUP(CustomerCombined[[#This Row],[ID]], Table2[ID],Table2[Pilot], "Not Found", 0 )</f>
        <v>1</v>
      </c>
      <c r="Y227" s="8">
        <f>_xlfn.XLOOKUP(CustomerCombined[[#This Row],[ID]], Table2[ID],Table2[MC1], "Not Found", 0 )</f>
        <v>0</v>
      </c>
      <c r="Z227" s="8">
        <f>_xlfn.XLOOKUP(CustomerCombined[[#This Row],[ID]], Table2[ID],Table2[MC2], "Not Found", 0 )</f>
        <v>0</v>
      </c>
      <c r="AA227" s="8">
        <f>_xlfn.XLOOKUP(CustomerCombined[[#This Row],[ID]], Table2[ID],Table2[MC3], "Not Found", 0 )</f>
        <v>0</v>
      </c>
      <c r="AB227" s="8">
        <f>_xlfn.XLOOKUP(CustomerCombined[[#This Row],[ID]], Table2[ID],Table2[MC4], "Not Found", 0 )</f>
        <v>0</v>
      </c>
      <c r="AC227" s="8">
        <f>_xlfn.XLOOKUP(CustomerCombined[[#This Row],[ID]], Table2[ID],Table2[MC5], "Not Found", 0 )</f>
        <v>0</v>
      </c>
    </row>
    <row r="228" spans="1:29" x14ac:dyDescent="0.3">
      <c r="A228" s="6">
        <v>2915</v>
      </c>
      <c r="B228" s="6">
        <v>173356</v>
      </c>
      <c r="C228" s="6">
        <v>0</v>
      </c>
      <c r="D228" s="6">
        <v>0</v>
      </c>
      <c r="E228" s="6">
        <v>36</v>
      </c>
      <c r="F228" s="5" t="s">
        <v>6</v>
      </c>
      <c r="G228" s="5" t="s">
        <v>13</v>
      </c>
      <c r="H228" s="3" t="s">
        <v>107</v>
      </c>
      <c r="I228" s="5" t="s">
        <v>434</v>
      </c>
      <c r="J228" s="5">
        <f>_xlfn.XLOOKUP(CustomerCombined[[#This Row],[ID]], Table4[ID], Table4[Recency], "Not Found", 0)</f>
        <v>56</v>
      </c>
      <c r="K228" s="5">
        <f>_xlfn.XLOOKUP(CustomerCombined[[#This Row],[ID]], Table4[ID], Table4[Teas], "Not Found", 0)</f>
        <v>2481</v>
      </c>
      <c r="L228" s="5">
        <f>_xlfn.XLOOKUP(CustomerCombined[[#This Row],[ID]], Table4[ID], Table4[Fruits], "Not Found", 0)</f>
        <v>33</v>
      </c>
      <c r="M228" s="5">
        <f>_xlfn.XLOOKUP(CustomerCombined[[#This Row],[ID]], Table4[ID], Table4[Meats], "Not Found", 0)</f>
        <v>761</v>
      </c>
      <c r="N228" s="5">
        <f>_xlfn.XLOOKUP(CustomerCombined[[#This Row],[ID]], Table4[ID], Table4[Seafood], "Not Found", 0)</f>
        <v>0</v>
      </c>
      <c r="O228" s="5">
        <f>_xlfn.XLOOKUP(CustomerCombined[[#This Row],[ID]], Table4[ID], Table4[Sweets], "Not Found", 0)</f>
        <v>33</v>
      </c>
      <c r="P228" s="5">
        <f>_xlfn.XLOOKUP(CustomerCombined[[#This Row],[ID]], Table4[ID], Table4[Premium], "Not Found", 0)</f>
        <v>265</v>
      </c>
      <c r="Q228" s="5">
        <f>_xlfn.XLOOKUP(CustomerCombined[[#This Row],[ID]], Table4[ID], Table4[Regular], "Not Found", 0)</f>
        <v>3044</v>
      </c>
      <c r="R228" s="5">
        <f>_xlfn.XLOOKUP(CustomerCombined[[#This Row],[ID]], Table4[ID], Table4[Deals], "Not Found", 0)</f>
        <v>1</v>
      </c>
      <c r="S228" s="5">
        <f>_xlfn.XLOOKUP(CustomerCombined[[#This Row],[ID]], Table4[ID], Table4[Website], "Not Found", 0)</f>
        <v>5</v>
      </c>
      <c r="T228" s="5">
        <f>_xlfn.XLOOKUP(CustomerCombined[[#This Row],[ID]], Table4[ID], Table4[Catalog], "Not Found", 0)</f>
        <v>11</v>
      </c>
      <c r="U228" s="5">
        <f>_xlfn.XLOOKUP(CustomerCombined[[#This Row],[ID]], Table4[ID], Table4[Store], "Not Found", 0)</f>
        <v>5</v>
      </c>
      <c r="V228" s="5">
        <f>_xlfn.XLOOKUP(CustomerCombined[[#This Row],[ID]], Table4[ID], Table4[Visits], "Not Found", 0)</f>
        <v>2</v>
      </c>
      <c r="W228" s="8">
        <f>_xlfn.XLOOKUP(CustomerCombined[[#This Row],[ID]], Table2[ID],Table2[Complaint], "Not Found", 0 )</f>
        <v>0</v>
      </c>
      <c r="X228" s="8">
        <f>_xlfn.XLOOKUP(CustomerCombined[[#This Row],[ID]], Table2[ID],Table2[Pilot], "Not Found", 0 )</f>
        <v>1</v>
      </c>
      <c r="Y228" s="8">
        <f>_xlfn.XLOOKUP(CustomerCombined[[#This Row],[ID]], Table2[ID],Table2[MC1], "Not Found", 0 )</f>
        <v>1</v>
      </c>
      <c r="Z228" s="8">
        <f>_xlfn.XLOOKUP(CustomerCombined[[#This Row],[ID]], Table2[ID],Table2[MC2], "Not Found", 0 )</f>
        <v>0</v>
      </c>
      <c r="AA228" s="8">
        <f>_xlfn.XLOOKUP(CustomerCombined[[#This Row],[ID]], Table2[ID],Table2[MC3], "Not Found", 0 )</f>
        <v>1</v>
      </c>
      <c r="AB228" s="8">
        <f>_xlfn.XLOOKUP(CustomerCombined[[#This Row],[ID]], Table2[ID],Table2[MC4], "Not Found", 0 )</f>
        <v>0</v>
      </c>
      <c r="AC228" s="8">
        <f>_xlfn.XLOOKUP(CustomerCombined[[#This Row],[ID]], Table2[ID],Table2[MC5], "Not Found", 0 )</f>
        <v>1</v>
      </c>
    </row>
    <row r="229" spans="1:29" x14ac:dyDescent="0.3">
      <c r="A229" s="6">
        <v>2918</v>
      </c>
      <c r="B229" s="6">
        <v>172570</v>
      </c>
      <c r="C229" s="6">
        <v>0</v>
      </c>
      <c r="D229" s="6">
        <v>0</v>
      </c>
      <c r="E229" s="6">
        <v>36</v>
      </c>
      <c r="F229" s="5" t="s">
        <v>6</v>
      </c>
      <c r="G229" s="5" t="s">
        <v>11</v>
      </c>
      <c r="H229" s="3" t="s">
        <v>57</v>
      </c>
      <c r="I229" s="5" t="s">
        <v>438</v>
      </c>
      <c r="J229" s="5">
        <f>_xlfn.XLOOKUP(CustomerCombined[[#This Row],[ID]], Table4[ID], Table4[Recency], "Not Found", 0)</f>
        <v>67</v>
      </c>
      <c r="K229" s="5">
        <f>_xlfn.XLOOKUP(CustomerCombined[[#This Row],[ID]], Table4[ID], Table4[Teas], "Not Found", 0)</f>
        <v>652</v>
      </c>
      <c r="L229" s="5">
        <f>_xlfn.XLOOKUP(CustomerCombined[[#This Row],[ID]], Table4[ID], Table4[Fruits], "Not Found", 0)</f>
        <v>197</v>
      </c>
      <c r="M229" s="5">
        <f>_xlfn.XLOOKUP(CustomerCombined[[#This Row],[ID]], Table4[ID], Table4[Meats], "Not Found", 0)</f>
        <v>514</v>
      </c>
      <c r="N229" s="5">
        <f>_xlfn.XLOOKUP(CustomerCombined[[#This Row],[ID]], Table4[ID], Table4[Seafood], "Not Found", 0)</f>
        <v>359</v>
      </c>
      <c r="O229" s="5">
        <f>_xlfn.XLOOKUP(CustomerCombined[[#This Row],[ID]], Table4[ID], Table4[Sweets], "Not Found", 0)</f>
        <v>335</v>
      </c>
      <c r="P229" s="5">
        <f>_xlfn.XLOOKUP(CustomerCombined[[#This Row],[ID]], Table4[ID], Table4[Premium], "Not Found", 0)</f>
        <v>533</v>
      </c>
      <c r="Q229" s="5">
        <f>_xlfn.XLOOKUP(CustomerCombined[[#This Row],[ID]], Table4[ID], Table4[Regular], "Not Found", 0)</f>
        <v>1524</v>
      </c>
      <c r="R229" s="5">
        <f>_xlfn.XLOOKUP(CustomerCombined[[#This Row],[ID]], Table4[ID], Table4[Deals], "Not Found", 0)</f>
        <v>1</v>
      </c>
      <c r="S229" s="5">
        <f>_xlfn.XLOOKUP(CustomerCombined[[#This Row],[ID]], Table4[ID], Table4[Website], "Not Found", 0)</f>
        <v>4</v>
      </c>
      <c r="T229" s="5">
        <f>_xlfn.XLOOKUP(CustomerCombined[[#This Row],[ID]], Table4[ID], Table4[Catalog], "Not Found", 0)</f>
        <v>6</v>
      </c>
      <c r="U229" s="5">
        <f>_xlfn.XLOOKUP(CustomerCombined[[#This Row],[ID]], Table4[ID], Table4[Store], "Not Found", 0)</f>
        <v>12</v>
      </c>
      <c r="V229" s="5">
        <f>_xlfn.XLOOKUP(CustomerCombined[[#This Row],[ID]], Table4[ID], Table4[Visits], "Not Found", 0)</f>
        <v>1</v>
      </c>
      <c r="W229" s="8">
        <f>_xlfn.XLOOKUP(CustomerCombined[[#This Row],[ID]], Table2[ID],Table2[Complaint], "Not Found", 0 )</f>
        <v>0</v>
      </c>
      <c r="X229" s="8">
        <f>_xlfn.XLOOKUP(CustomerCombined[[#This Row],[ID]], Table2[ID],Table2[Pilot], "Not Found", 0 )</f>
        <v>0</v>
      </c>
      <c r="Y229" s="8">
        <f>_xlfn.XLOOKUP(CustomerCombined[[#This Row],[ID]], Table2[ID],Table2[MC1], "Not Found", 0 )</f>
        <v>0</v>
      </c>
      <c r="Z229" s="8">
        <f>_xlfn.XLOOKUP(CustomerCombined[[#This Row],[ID]], Table2[ID],Table2[MC2], "Not Found", 0 )</f>
        <v>0</v>
      </c>
      <c r="AA229" s="8">
        <f>_xlfn.XLOOKUP(CustomerCombined[[#This Row],[ID]], Table2[ID],Table2[MC3], "Not Found", 0 )</f>
        <v>0</v>
      </c>
      <c r="AB229" s="8">
        <f>_xlfn.XLOOKUP(CustomerCombined[[#This Row],[ID]], Table2[ID],Table2[MC4], "Not Found", 0 )</f>
        <v>0</v>
      </c>
      <c r="AC229" s="8">
        <f>_xlfn.XLOOKUP(CustomerCombined[[#This Row],[ID]], Table2[ID],Table2[MC5], "Not Found", 0 )</f>
        <v>0</v>
      </c>
    </row>
    <row r="230" spans="1:29" x14ac:dyDescent="0.3">
      <c r="A230" s="6">
        <v>2855</v>
      </c>
      <c r="B230" s="6">
        <v>170643</v>
      </c>
      <c r="C230" s="6">
        <v>0</v>
      </c>
      <c r="D230" s="6">
        <v>0</v>
      </c>
      <c r="E230" s="6">
        <v>36</v>
      </c>
      <c r="F230" s="5" t="s">
        <v>6</v>
      </c>
      <c r="G230" s="5" t="s">
        <v>13</v>
      </c>
      <c r="H230" s="3" t="s">
        <v>379</v>
      </c>
      <c r="I230" s="5" t="s">
        <v>434</v>
      </c>
      <c r="J230" s="5">
        <f>_xlfn.XLOOKUP(CustomerCombined[[#This Row],[ID]], Table4[ID], Table4[Recency], "Not Found", 0)</f>
        <v>66</v>
      </c>
      <c r="K230" s="5">
        <f>_xlfn.XLOOKUP(CustomerCombined[[#This Row],[ID]], Table4[ID], Table4[Teas], "Not Found", 0)</f>
        <v>2942</v>
      </c>
      <c r="L230" s="5">
        <f>_xlfn.XLOOKUP(CustomerCombined[[#This Row],[ID]], Table4[ID], Table4[Fruits], "Not Found", 0)</f>
        <v>258</v>
      </c>
      <c r="M230" s="5">
        <f>_xlfn.XLOOKUP(CustomerCombined[[#This Row],[ID]], Table4[ID], Table4[Meats], "Not Found", 0)</f>
        <v>734</v>
      </c>
      <c r="N230" s="5">
        <f>_xlfn.XLOOKUP(CustomerCombined[[#This Row],[ID]], Table4[ID], Table4[Seafood], "Not Found", 0)</f>
        <v>56</v>
      </c>
      <c r="O230" s="5">
        <f>_xlfn.XLOOKUP(CustomerCombined[[#This Row],[ID]], Table4[ID], Table4[Sweets], "Not Found", 0)</f>
        <v>345</v>
      </c>
      <c r="P230" s="5">
        <f>_xlfn.XLOOKUP(CustomerCombined[[#This Row],[ID]], Table4[ID], Table4[Premium], "Not Found", 0)</f>
        <v>80</v>
      </c>
      <c r="Q230" s="5">
        <f>_xlfn.XLOOKUP(CustomerCombined[[#This Row],[ID]], Table4[ID], Table4[Regular], "Not Found", 0)</f>
        <v>4256</v>
      </c>
      <c r="R230" s="5">
        <f>_xlfn.XLOOKUP(CustomerCombined[[#This Row],[ID]], Table4[ID], Table4[Deals], "Not Found", 0)</f>
        <v>1</v>
      </c>
      <c r="S230" s="5">
        <f>_xlfn.XLOOKUP(CustomerCombined[[#This Row],[ID]], Table4[ID], Table4[Website], "Not Found", 0)</f>
        <v>5</v>
      </c>
      <c r="T230" s="5">
        <f>_xlfn.XLOOKUP(CustomerCombined[[#This Row],[ID]], Table4[ID], Table4[Catalog], "Not Found", 0)</f>
        <v>8</v>
      </c>
      <c r="U230" s="5">
        <f>_xlfn.XLOOKUP(CustomerCombined[[#This Row],[ID]], Table4[ID], Table4[Store], "Not Found", 0)</f>
        <v>4</v>
      </c>
      <c r="V230" s="5">
        <f>_xlfn.XLOOKUP(CustomerCombined[[#This Row],[ID]], Table4[ID], Table4[Visits], "Not Found", 0)</f>
        <v>6</v>
      </c>
      <c r="W230" s="8">
        <f>_xlfn.XLOOKUP(CustomerCombined[[#This Row],[ID]], Table2[ID],Table2[Complaint], "Not Found", 0 )</f>
        <v>0</v>
      </c>
      <c r="X230" s="8">
        <f>_xlfn.XLOOKUP(CustomerCombined[[#This Row],[ID]], Table2[ID],Table2[Pilot], "Not Found", 0 )</f>
        <v>1</v>
      </c>
      <c r="Y230" s="8">
        <f>_xlfn.XLOOKUP(CustomerCombined[[#This Row],[ID]], Table2[ID],Table2[MC1], "Not Found", 0 )</f>
        <v>0</v>
      </c>
      <c r="Z230" s="8">
        <f>_xlfn.XLOOKUP(CustomerCombined[[#This Row],[ID]], Table2[ID],Table2[MC2], "Not Found", 0 )</f>
        <v>0</v>
      </c>
      <c r="AA230" s="8">
        <f>_xlfn.XLOOKUP(CustomerCombined[[#This Row],[ID]], Table2[ID],Table2[MC3], "Not Found", 0 )</f>
        <v>0</v>
      </c>
      <c r="AB230" s="8">
        <f>_xlfn.XLOOKUP(CustomerCombined[[#This Row],[ID]], Table2[ID],Table2[MC4], "Not Found", 0 )</f>
        <v>0</v>
      </c>
      <c r="AC230" s="8">
        <f>_xlfn.XLOOKUP(CustomerCombined[[#This Row],[ID]], Table2[ID],Table2[MC5], "Not Found", 0 )</f>
        <v>0</v>
      </c>
    </row>
    <row r="231" spans="1:29" x14ac:dyDescent="0.3">
      <c r="A231" s="6">
        <v>2754</v>
      </c>
      <c r="B231" s="6">
        <v>165370</v>
      </c>
      <c r="C231" s="6">
        <v>0</v>
      </c>
      <c r="D231" s="6">
        <v>0</v>
      </c>
      <c r="E231" s="6">
        <v>36</v>
      </c>
      <c r="F231" s="5" t="s">
        <v>6</v>
      </c>
      <c r="G231" s="5" t="s">
        <v>442</v>
      </c>
      <c r="H231" s="3">
        <v>43983</v>
      </c>
      <c r="I231" s="5" t="s">
        <v>436</v>
      </c>
      <c r="J231" s="5">
        <f>_xlfn.XLOOKUP(CustomerCombined[[#This Row],[ID]], Table4[ID], Table4[Recency], "Not Found", 0)</f>
        <v>1</v>
      </c>
      <c r="K231" s="5">
        <f>_xlfn.XLOOKUP(CustomerCombined[[#This Row],[ID]], Table4[ID], Table4[Teas], "Not Found", 0)</f>
        <v>180</v>
      </c>
      <c r="L231" s="5">
        <f>_xlfn.XLOOKUP(CustomerCombined[[#This Row],[ID]], Table4[ID], Table4[Fruits], "Not Found", 0)</f>
        <v>56</v>
      </c>
      <c r="M231" s="5">
        <f>_xlfn.XLOOKUP(CustomerCombined[[#This Row],[ID]], Table4[ID], Table4[Meats], "Not Found", 0)</f>
        <v>283</v>
      </c>
      <c r="N231" s="5">
        <f>_xlfn.XLOOKUP(CustomerCombined[[#This Row],[ID]], Table4[ID], Table4[Seafood], "Not Found", 0)</f>
        <v>349</v>
      </c>
      <c r="O231" s="5">
        <f>_xlfn.XLOOKUP(CustomerCombined[[#This Row],[ID]], Table4[ID], Table4[Sweets], "Not Found", 0)</f>
        <v>225</v>
      </c>
      <c r="P231" s="5">
        <f>_xlfn.XLOOKUP(CustomerCombined[[#This Row],[ID]], Table4[ID], Table4[Premium], "Not Found", 0)</f>
        <v>73</v>
      </c>
      <c r="Q231" s="5">
        <f>_xlfn.XLOOKUP(CustomerCombined[[#This Row],[ID]], Table4[ID], Table4[Regular], "Not Found", 0)</f>
        <v>1019</v>
      </c>
      <c r="R231" s="5">
        <f>_xlfn.XLOOKUP(CustomerCombined[[#This Row],[ID]], Table4[ID], Table4[Deals], "Not Found", 0)</f>
        <v>1</v>
      </c>
      <c r="S231" s="5">
        <f>_xlfn.XLOOKUP(CustomerCombined[[#This Row],[ID]], Table4[ID], Table4[Website], "Not Found", 0)</f>
        <v>2</v>
      </c>
      <c r="T231" s="5">
        <f>_xlfn.XLOOKUP(CustomerCombined[[#This Row],[ID]], Table4[ID], Table4[Catalog], "Not Found", 0)</f>
        <v>3</v>
      </c>
      <c r="U231" s="5">
        <f>_xlfn.XLOOKUP(CustomerCombined[[#This Row],[ID]], Table4[ID], Table4[Store], "Not Found", 0)</f>
        <v>13</v>
      </c>
      <c r="V231" s="5">
        <f>_xlfn.XLOOKUP(CustomerCombined[[#This Row],[ID]], Table4[ID], Table4[Visits], "Not Found", 0)</f>
        <v>1</v>
      </c>
      <c r="W231" s="8">
        <f>_xlfn.XLOOKUP(CustomerCombined[[#This Row],[ID]], Table2[ID],Table2[Complaint], "Not Found", 0 )</f>
        <v>0</v>
      </c>
      <c r="X231" s="8">
        <f>_xlfn.XLOOKUP(CustomerCombined[[#This Row],[ID]], Table2[ID],Table2[Pilot], "Not Found", 0 )</f>
        <v>0</v>
      </c>
      <c r="Y231" s="8">
        <f>_xlfn.XLOOKUP(CustomerCombined[[#This Row],[ID]], Table2[ID],Table2[MC1], "Not Found", 0 )</f>
        <v>0</v>
      </c>
      <c r="Z231" s="8">
        <f>_xlfn.XLOOKUP(CustomerCombined[[#This Row],[ID]], Table2[ID],Table2[MC2], "Not Found", 0 )</f>
        <v>0</v>
      </c>
      <c r="AA231" s="8">
        <f>_xlfn.XLOOKUP(CustomerCombined[[#This Row],[ID]], Table2[ID],Table2[MC3], "Not Found", 0 )</f>
        <v>0</v>
      </c>
      <c r="AB231" s="8">
        <f>_xlfn.XLOOKUP(CustomerCombined[[#This Row],[ID]], Table2[ID],Table2[MC4], "Not Found", 0 )</f>
        <v>0</v>
      </c>
      <c r="AC231" s="8">
        <f>_xlfn.XLOOKUP(CustomerCombined[[#This Row],[ID]], Table2[ID],Table2[MC5], "Not Found", 0 )</f>
        <v>0</v>
      </c>
    </row>
    <row r="232" spans="1:29" x14ac:dyDescent="0.3">
      <c r="A232" s="6">
        <v>3212</v>
      </c>
      <c r="B232" s="6">
        <v>160646</v>
      </c>
      <c r="C232" s="6">
        <v>1</v>
      </c>
      <c r="D232" s="6">
        <v>0</v>
      </c>
      <c r="E232" s="6">
        <v>36</v>
      </c>
      <c r="F232" s="5" t="s">
        <v>7</v>
      </c>
      <c r="G232" s="5" t="s">
        <v>11</v>
      </c>
      <c r="H232" s="3" t="s">
        <v>292</v>
      </c>
      <c r="I232" s="5" t="s">
        <v>438</v>
      </c>
      <c r="J232" s="5">
        <f>_xlfn.XLOOKUP(CustomerCombined[[#This Row],[ID]], Table4[ID], Table4[Recency], "Not Found", 0)</f>
        <v>82</v>
      </c>
      <c r="K232" s="5">
        <f>_xlfn.XLOOKUP(CustomerCombined[[#This Row],[ID]], Table4[ID], Table4[Teas], "Not Found", 0)</f>
        <v>64</v>
      </c>
      <c r="L232" s="5">
        <f>_xlfn.XLOOKUP(CustomerCombined[[#This Row],[ID]], Table4[ID], Table4[Fruits], "Not Found", 0)</f>
        <v>8</v>
      </c>
      <c r="M232" s="5">
        <f>_xlfn.XLOOKUP(CustomerCombined[[#This Row],[ID]], Table4[ID], Table4[Meats], "Not Found", 0)</f>
        <v>-69</v>
      </c>
      <c r="N232" s="5">
        <f>_xlfn.XLOOKUP(CustomerCombined[[#This Row],[ID]], Table4[ID], Table4[Seafood], "Not Found", 0)</f>
        <v>19</v>
      </c>
      <c r="O232" s="5">
        <f>_xlfn.XLOOKUP(CustomerCombined[[#This Row],[ID]], Table4[ID], Table4[Sweets], "Not Found", 0)</f>
        <v>3</v>
      </c>
      <c r="P232" s="5">
        <f>_xlfn.XLOOKUP(CustomerCombined[[#This Row],[ID]], Table4[ID], Table4[Premium], "Not Found", 0)</f>
        <v>61</v>
      </c>
      <c r="Q232" s="5">
        <f>_xlfn.XLOOKUP(CustomerCombined[[#This Row],[ID]], Table4[ID], Table4[Regular], "Not Found", 0)</f>
        <v>101</v>
      </c>
      <c r="R232" s="5">
        <f>_xlfn.XLOOKUP(CustomerCombined[[#This Row],[ID]], Table4[ID], Table4[Deals], "Not Found", 0)</f>
        <v>3</v>
      </c>
      <c r="S232" s="5">
        <f>_xlfn.XLOOKUP(CustomerCombined[[#This Row],[ID]], Table4[ID], Table4[Website], "Not Found", 0)</f>
        <v>3</v>
      </c>
      <c r="T232" s="5">
        <f>_xlfn.XLOOKUP(CustomerCombined[[#This Row],[ID]], Table4[ID], Table4[Catalog], "Not Found", 0)</f>
        <v>1</v>
      </c>
      <c r="U232" s="5">
        <f>_xlfn.XLOOKUP(CustomerCombined[[#This Row],[ID]], Table4[ID], Table4[Store], "Not Found", 0)</f>
        <v>2</v>
      </c>
      <c r="V232" s="5">
        <f>_xlfn.XLOOKUP(CustomerCombined[[#This Row],[ID]], Table4[ID], Table4[Visits], "Not Found", 0)</f>
        <v>9</v>
      </c>
      <c r="W232" s="8">
        <f>_xlfn.XLOOKUP(CustomerCombined[[#This Row],[ID]], Table2[ID],Table2[Complaint], "Not Found", 0 )</f>
        <v>0</v>
      </c>
      <c r="X232" s="8">
        <f>_xlfn.XLOOKUP(CustomerCombined[[#This Row],[ID]], Table2[ID],Table2[Pilot], "Not Found", 0 )</f>
        <v>0</v>
      </c>
      <c r="Y232" s="8">
        <f>_xlfn.XLOOKUP(CustomerCombined[[#This Row],[ID]], Table2[ID],Table2[MC1], "Not Found", 0 )</f>
        <v>0</v>
      </c>
      <c r="Z232" s="8">
        <f>_xlfn.XLOOKUP(CustomerCombined[[#This Row],[ID]], Table2[ID],Table2[MC2], "Not Found", 0 )</f>
        <v>0</v>
      </c>
      <c r="AA232" s="8">
        <f>_xlfn.XLOOKUP(CustomerCombined[[#This Row],[ID]], Table2[ID],Table2[MC3], "Not Found", 0 )</f>
        <v>1</v>
      </c>
      <c r="AB232" s="8">
        <f>_xlfn.XLOOKUP(CustomerCombined[[#This Row],[ID]], Table2[ID],Table2[MC4], "Not Found", 0 )</f>
        <v>0</v>
      </c>
      <c r="AC232" s="8">
        <f>_xlfn.XLOOKUP(CustomerCombined[[#This Row],[ID]], Table2[ID],Table2[MC5], "Not Found", 0 )</f>
        <v>0</v>
      </c>
    </row>
    <row r="233" spans="1:29" x14ac:dyDescent="0.3">
      <c r="A233" s="6">
        <v>2591</v>
      </c>
      <c r="B233" s="6">
        <v>155434</v>
      </c>
      <c r="C233" s="6">
        <v>1</v>
      </c>
      <c r="D233" s="6">
        <v>0</v>
      </c>
      <c r="E233" s="6">
        <v>36</v>
      </c>
      <c r="F233" s="5" t="s">
        <v>6</v>
      </c>
      <c r="G233" s="5" t="s">
        <v>11</v>
      </c>
      <c r="H233" s="3">
        <v>44138</v>
      </c>
      <c r="I233" s="5" t="s">
        <v>434</v>
      </c>
      <c r="J233" s="5">
        <f>_xlfn.XLOOKUP(CustomerCombined[[#This Row],[ID]], Table4[ID], Table4[Recency], "Not Found", 0)</f>
        <v>21</v>
      </c>
      <c r="K233" s="5">
        <f>_xlfn.XLOOKUP(CustomerCombined[[#This Row],[ID]], Table4[ID], Table4[Teas], "Not Found", 0)</f>
        <v>667</v>
      </c>
      <c r="L233" s="5">
        <f>_xlfn.XLOOKUP(CustomerCombined[[#This Row],[ID]], Table4[ID], Table4[Fruits], "Not Found", 0)</f>
        <v>322</v>
      </c>
      <c r="M233" s="5">
        <f>_xlfn.XLOOKUP(CustomerCombined[[#This Row],[ID]], Table4[ID], Table4[Meats], "Not Found", 0)</f>
        <v>603</v>
      </c>
      <c r="N233" s="5">
        <f>_xlfn.XLOOKUP(CustomerCombined[[#This Row],[ID]], Table4[ID], Table4[Seafood], "Not Found", 0)</f>
        <v>474</v>
      </c>
      <c r="O233" s="5">
        <f>_xlfn.XLOOKUP(CustomerCombined[[#This Row],[ID]], Table4[ID], Table4[Sweets], "Not Found", 0)</f>
        <v>193</v>
      </c>
      <c r="P233" s="5">
        <f>_xlfn.XLOOKUP(CustomerCombined[[#This Row],[ID]], Table4[ID], Table4[Premium], "Not Found", 0)</f>
        <v>213</v>
      </c>
      <c r="Q233" s="5">
        <f>_xlfn.XLOOKUP(CustomerCombined[[#This Row],[ID]], Table4[ID], Table4[Regular], "Not Found", 0)</f>
        <v>2047</v>
      </c>
      <c r="R233" s="5">
        <f>_xlfn.XLOOKUP(CustomerCombined[[#This Row],[ID]], Table4[ID], Table4[Deals], "Not Found", 0)</f>
        <v>3</v>
      </c>
      <c r="S233" s="5">
        <f>_xlfn.XLOOKUP(CustomerCombined[[#This Row],[ID]], Table4[ID], Table4[Website], "Not Found", 0)</f>
        <v>5</v>
      </c>
      <c r="T233" s="5">
        <f>_xlfn.XLOOKUP(CustomerCombined[[#This Row],[ID]], Table4[ID], Table4[Catalog], "Not Found", 0)</f>
        <v>3</v>
      </c>
      <c r="U233" s="5">
        <f>_xlfn.XLOOKUP(CustomerCombined[[#This Row],[ID]], Table4[ID], Table4[Store], "Not Found", 0)</f>
        <v>13</v>
      </c>
      <c r="V233" s="5">
        <f>_xlfn.XLOOKUP(CustomerCombined[[#This Row],[ID]], Table4[ID], Table4[Visits], "Not Found", 0)</f>
        <v>4</v>
      </c>
      <c r="W233" s="8">
        <f>_xlfn.XLOOKUP(CustomerCombined[[#This Row],[ID]], Table2[ID],Table2[Complaint], "Not Found", 0 )</f>
        <v>0</v>
      </c>
      <c r="X233" s="8">
        <f>_xlfn.XLOOKUP(CustomerCombined[[#This Row],[ID]], Table2[ID],Table2[Pilot], "Not Found", 0 )</f>
        <v>0</v>
      </c>
      <c r="Y233" s="8">
        <f>_xlfn.XLOOKUP(CustomerCombined[[#This Row],[ID]], Table2[ID],Table2[MC1], "Not Found", 0 )</f>
        <v>0</v>
      </c>
      <c r="Z233" s="8">
        <f>_xlfn.XLOOKUP(CustomerCombined[[#This Row],[ID]], Table2[ID],Table2[MC2], "Not Found", 0 )</f>
        <v>0</v>
      </c>
      <c r="AA233" s="8">
        <f>_xlfn.XLOOKUP(CustomerCombined[[#This Row],[ID]], Table2[ID],Table2[MC3], "Not Found", 0 )</f>
        <v>0</v>
      </c>
      <c r="AB233" s="8">
        <f>_xlfn.XLOOKUP(CustomerCombined[[#This Row],[ID]], Table2[ID],Table2[MC4], "Not Found", 0 )</f>
        <v>0</v>
      </c>
      <c r="AC233" s="8">
        <f>_xlfn.XLOOKUP(CustomerCombined[[#This Row],[ID]], Table2[ID],Table2[MC5], "Not Found", 0 )</f>
        <v>0</v>
      </c>
    </row>
    <row r="234" spans="1:29" x14ac:dyDescent="0.3">
      <c r="A234" s="6">
        <v>2860</v>
      </c>
      <c r="B234" s="6">
        <v>152413</v>
      </c>
      <c r="C234" s="6">
        <v>1</v>
      </c>
      <c r="D234" s="6">
        <v>0</v>
      </c>
      <c r="E234" s="6">
        <v>36</v>
      </c>
      <c r="F234" s="5" t="s">
        <v>7</v>
      </c>
      <c r="G234" s="5" t="s">
        <v>11</v>
      </c>
      <c r="H234" s="3">
        <v>43742</v>
      </c>
      <c r="I234" s="5" t="s">
        <v>439</v>
      </c>
      <c r="J234" s="5">
        <f>_xlfn.XLOOKUP(CustomerCombined[[#This Row],[ID]], Table4[ID], Table4[Recency], "Not Found", 0)</f>
        <v>67</v>
      </c>
      <c r="K234" s="5">
        <f>_xlfn.XLOOKUP(CustomerCombined[[#This Row],[ID]], Table4[ID], Table4[Teas], "Not Found", 0)</f>
        <v>538</v>
      </c>
      <c r="L234" s="5">
        <f>_xlfn.XLOOKUP(CustomerCombined[[#This Row],[ID]], Table4[ID], Table4[Fruits], "Not Found", 0)</f>
        <v>23</v>
      </c>
      <c r="M234" s="5">
        <f>_xlfn.XLOOKUP(CustomerCombined[[#This Row],[ID]], Table4[ID], Table4[Meats], "Not Found", 0)</f>
        <v>387</v>
      </c>
      <c r="N234" s="5">
        <f>_xlfn.XLOOKUP(CustomerCombined[[#This Row],[ID]], Table4[ID], Table4[Seafood], "Not Found", 0)</f>
        <v>163</v>
      </c>
      <c r="O234" s="5">
        <f>_xlfn.XLOOKUP(CustomerCombined[[#This Row],[ID]], Table4[ID], Table4[Sweets], "Not Found", 0)</f>
        <v>163</v>
      </c>
      <c r="P234" s="5">
        <f>_xlfn.XLOOKUP(CustomerCombined[[#This Row],[ID]], Table4[ID], Table4[Premium], "Not Found", 0)</f>
        <v>35</v>
      </c>
      <c r="Q234" s="5">
        <f>_xlfn.XLOOKUP(CustomerCombined[[#This Row],[ID]], Table4[ID], Table4[Regular], "Not Found", 0)</f>
        <v>1239</v>
      </c>
      <c r="R234" s="5">
        <f>_xlfn.XLOOKUP(CustomerCombined[[#This Row],[ID]], Table4[ID], Table4[Deals], "Not Found", 0)</f>
        <v>2</v>
      </c>
      <c r="S234" s="5">
        <f>_xlfn.XLOOKUP(CustomerCombined[[#This Row],[ID]], Table4[ID], Table4[Website], "Not Found", 0)</f>
        <v>7</v>
      </c>
      <c r="T234" s="5">
        <f>_xlfn.XLOOKUP(CustomerCombined[[#This Row],[ID]], Table4[ID], Table4[Catalog], "Not Found", 0)</f>
        <v>1</v>
      </c>
      <c r="U234" s="5">
        <f>_xlfn.XLOOKUP(CustomerCombined[[#This Row],[ID]], Table4[ID], Table4[Store], "Not Found", 0)</f>
        <v>7</v>
      </c>
      <c r="V234" s="5">
        <f>_xlfn.XLOOKUP(CustomerCombined[[#This Row],[ID]], Table4[ID], Table4[Visits], "Not Found", 0)</f>
        <v>7</v>
      </c>
      <c r="W234" s="8">
        <f>_xlfn.XLOOKUP(CustomerCombined[[#This Row],[ID]], Table2[ID],Table2[Complaint], "Not Found", 0 )</f>
        <v>0</v>
      </c>
      <c r="X234" s="8">
        <f>_xlfn.XLOOKUP(CustomerCombined[[#This Row],[ID]], Table2[ID],Table2[Pilot], "Not Found", 0 )</f>
        <v>0</v>
      </c>
      <c r="Y234" s="8">
        <f>_xlfn.XLOOKUP(CustomerCombined[[#This Row],[ID]], Table2[ID],Table2[MC1], "Not Found", 0 )</f>
        <v>0</v>
      </c>
      <c r="Z234" s="8">
        <f>_xlfn.XLOOKUP(CustomerCombined[[#This Row],[ID]], Table2[ID],Table2[MC2], "Not Found", 0 )</f>
        <v>0</v>
      </c>
      <c r="AA234" s="8">
        <f>_xlfn.XLOOKUP(CustomerCombined[[#This Row],[ID]], Table2[ID],Table2[MC3], "Not Found", 0 )</f>
        <v>0</v>
      </c>
      <c r="AB234" s="8">
        <f>_xlfn.XLOOKUP(CustomerCombined[[#This Row],[ID]], Table2[ID],Table2[MC4], "Not Found", 0 )</f>
        <v>0</v>
      </c>
      <c r="AC234" s="8">
        <f>_xlfn.XLOOKUP(CustomerCombined[[#This Row],[ID]], Table2[ID],Table2[MC5], "Not Found", 0 )</f>
        <v>0</v>
      </c>
    </row>
    <row r="235" spans="1:29" x14ac:dyDescent="0.3">
      <c r="A235" s="6">
        <v>1526</v>
      </c>
      <c r="B235" s="6">
        <v>142710</v>
      </c>
      <c r="C235" s="6">
        <v>1</v>
      </c>
      <c r="D235" s="6">
        <v>0</v>
      </c>
      <c r="E235" s="6">
        <v>36</v>
      </c>
      <c r="F235" s="5" t="s">
        <v>7</v>
      </c>
      <c r="G235" s="5" t="s">
        <v>13</v>
      </c>
      <c r="H235" s="3">
        <v>43590</v>
      </c>
      <c r="I235" s="5" t="s">
        <v>438</v>
      </c>
      <c r="J235" s="5">
        <f>_xlfn.XLOOKUP(CustomerCombined[[#This Row],[ID]], Table4[ID], Table4[Recency], "Not Found", 0)</f>
        <v>38</v>
      </c>
      <c r="K235" s="5">
        <f>_xlfn.XLOOKUP(CustomerCombined[[#This Row],[ID]], Table4[ID], Table4[Teas], "Not Found", 0)</f>
        <v>842</v>
      </c>
      <c r="L235" s="5">
        <f>_xlfn.XLOOKUP(CustomerCombined[[#This Row],[ID]], Table4[ID], Table4[Fruits], "Not Found", 0)</f>
        <v>10</v>
      </c>
      <c r="M235" s="5">
        <f>_xlfn.XLOOKUP(CustomerCombined[[#This Row],[ID]], Table4[ID], Table4[Meats], "Not Found", 0)</f>
        <v>140</v>
      </c>
      <c r="N235" s="5">
        <f>_xlfn.XLOOKUP(CustomerCombined[[#This Row],[ID]], Table4[ID], Table4[Seafood], "Not Found", 0)</f>
        <v>13</v>
      </c>
      <c r="O235" s="5">
        <f>_xlfn.XLOOKUP(CustomerCombined[[#This Row],[ID]], Table4[ID], Table4[Sweets], "Not Found", 0)</f>
        <v>10</v>
      </c>
      <c r="P235" s="5">
        <f>_xlfn.XLOOKUP(CustomerCombined[[#This Row],[ID]], Table4[ID], Table4[Premium], "Not Found", 0)</f>
        <v>341</v>
      </c>
      <c r="Q235" s="5">
        <f>_xlfn.XLOOKUP(CustomerCombined[[#This Row],[ID]], Table4[ID], Table4[Regular], "Not Found", 0)</f>
        <v>675</v>
      </c>
      <c r="R235" s="5">
        <f>_xlfn.XLOOKUP(CustomerCombined[[#This Row],[ID]], Table4[ID], Table4[Deals], "Not Found", 0)</f>
        <v>2</v>
      </c>
      <c r="S235" s="5">
        <f>_xlfn.XLOOKUP(CustomerCombined[[#This Row],[ID]], Table4[ID], Table4[Website], "Not Found", 0)</f>
        <v>4</v>
      </c>
      <c r="T235" s="5">
        <f>_xlfn.XLOOKUP(CustomerCombined[[#This Row],[ID]], Table4[ID], Table4[Catalog], "Not Found", 0)</f>
        <v>5</v>
      </c>
      <c r="U235" s="5">
        <f>_xlfn.XLOOKUP(CustomerCombined[[#This Row],[ID]], Table4[ID], Table4[Store], "Not Found", 0)</f>
        <v>3</v>
      </c>
      <c r="V235" s="5">
        <f>_xlfn.XLOOKUP(CustomerCombined[[#This Row],[ID]], Table4[ID], Table4[Visits], "Not Found", 0)</f>
        <v>6</v>
      </c>
      <c r="W235" s="8">
        <f>_xlfn.XLOOKUP(CustomerCombined[[#This Row],[ID]], Table2[ID],Table2[Complaint], "Not Found", 0 )</f>
        <v>0</v>
      </c>
      <c r="X235" s="8">
        <f>_xlfn.XLOOKUP(CustomerCombined[[#This Row],[ID]], Table2[ID],Table2[Pilot], "Not Found", 0 )</f>
        <v>0</v>
      </c>
      <c r="Y235" s="8">
        <f>_xlfn.XLOOKUP(CustomerCombined[[#This Row],[ID]], Table2[ID],Table2[MC1], "Not Found", 0 )</f>
        <v>0</v>
      </c>
      <c r="Z235" s="8">
        <f>_xlfn.XLOOKUP(CustomerCombined[[#This Row],[ID]], Table2[ID],Table2[MC2], "Not Found", 0 )</f>
        <v>0</v>
      </c>
      <c r="AA235" s="8">
        <f>_xlfn.XLOOKUP(CustomerCombined[[#This Row],[ID]], Table2[ID],Table2[MC3], "Not Found", 0 )</f>
        <v>0</v>
      </c>
      <c r="AB235" s="8">
        <f>_xlfn.XLOOKUP(CustomerCombined[[#This Row],[ID]], Table2[ID],Table2[MC4], "Not Found", 0 )</f>
        <v>0</v>
      </c>
      <c r="AC235" s="8">
        <f>_xlfn.XLOOKUP(CustomerCombined[[#This Row],[ID]], Table2[ID],Table2[MC5], "Not Found", 0 )</f>
        <v>0</v>
      </c>
    </row>
    <row r="236" spans="1:29" x14ac:dyDescent="0.3">
      <c r="A236" s="6">
        <v>1441</v>
      </c>
      <c r="B236" s="6">
        <v>142207</v>
      </c>
      <c r="C236" s="6">
        <v>1</v>
      </c>
      <c r="D236" s="6">
        <v>0</v>
      </c>
      <c r="E236" s="6">
        <v>36</v>
      </c>
      <c r="F236" s="5" t="s">
        <v>6</v>
      </c>
      <c r="G236" s="5" t="s">
        <v>12</v>
      </c>
      <c r="H236" s="3">
        <v>43625</v>
      </c>
      <c r="I236" s="5" t="s">
        <v>437</v>
      </c>
      <c r="J236" s="5">
        <f>_xlfn.XLOOKUP(CustomerCombined[[#This Row],[ID]], Table4[ID], Table4[Recency], "Not Found", 0)</f>
        <v>71</v>
      </c>
      <c r="K236" s="5">
        <f>_xlfn.XLOOKUP(CustomerCombined[[#This Row],[ID]], Table4[ID], Table4[Teas], "Not Found", 0)</f>
        <v>391</v>
      </c>
      <c r="L236" s="5">
        <f>_xlfn.XLOOKUP(CustomerCombined[[#This Row],[ID]], Table4[ID], Table4[Fruits], "Not Found", 0)</f>
        <v>37</v>
      </c>
      <c r="M236" s="5">
        <f>_xlfn.XLOOKUP(CustomerCombined[[#This Row],[ID]], Table4[ID], Table4[Meats], "Not Found", 0)</f>
        <v>243</v>
      </c>
      <c r="N236" s="5">
        <f>_xlfn.XLOOKUP(CustomerCombined[[#This Row],[ID]], Table4[ID], Table4[Seafood], "Not Found", 0)</f>
        <v>10</v>
      </c>
      <c r="O236" s="5">
        <f>_xlfn.XLOOKUP(CustomerCombined[[#This Row],[ID]], Table4[ID], Table4[Sweets], "Not Found", 0)</f>
        <v>57</v>
      </c>
      <c r="P236" s="5">
        <f>_xlfn.XLOOKUP(CustomerCombined[[#This Row],[ID]], Table4[ID], Table4[Premium], "Not Found", 0)</f>
        <v>155</v>
      </c>
      <c r="Q236" s="5">
        <f>_xlfn.XLOOKUP(CustomerCombined[[#This Row],[ID]], Table4[ID], Table4[Regular], "Not Found", 0)</f>
        <v>583</v>
      </c>
      <c r="R236" s="5">
        <f>_xlfn.XLOOKUP(CustomerCombined[[#This Row],[ID]], Table4[ID], Table4[Deals], "Not Found", 0)</f>
        <v>4</v>
      </c>
      <c r="S236" s="5">
        <f>_xlfn.XLOOKUP(CustomerCombined[[#This Row],[ID]], Table4[ID], Table4[Website], "Not Found", 0)</f>
        <v>4</v>
      </c>
      <c r="T236" s="5">
        <f>_xlfn.XLOOKUP(CustomerCombined[[#This Row],[ID]], Table4[ID], Table4[Catalog], "Not Found", 0)</f>
        <v>1</v>
      </c>
      <c r="U236" s="5">
        <f>_xlfn.XLOOKUP(CustomerCombined[[#This Row],[ID]], Table4[ID], Table4[Store], "Not Found", 0)</f>
        <v>5</v>
      </c>
      <c r="V236" s="5">
        <f>_xlfn.XLOOKUP(CustomerCombined[[#This Row],[ID]], Table4[ID], Table4[Visits], "Not Found", 0)</f>
        <v>6</v>
      </c>
      <c r="W236" s="8">
        <f>_xlfn.XLOOKUP(CustomerCombined[[#This Row],[ID]], Table2[ID],Table2[Complaint], "Not Found", 0 )</f>
        <v>0</v>
      </c>
      <c r="X236" s="8">
        <f>_xlfn.XLOOKUP(CustomerCombined[[#This Row],[ID]], Table2[ID],Table2[Pilot], "Not Found", 0 )</f>
        <v>1</v>
      </c>
      <c r="Y236" s="8">
        <f>_xlfn.XLOOKUP(CustomerCombined[[#This Row],[ID]], Table2[ID],Table2[MC1], "Not Found", 0 )</f>
        <v>0</v>
      </c>
      <c r="Z236" s="8">
        <f>_xlfn.XLOOKUP(CustomerCombined[[#This Row],[ID]], Table2[ID],Table2[MC2], "Not Found", 0 )</f>
        <v>0</v>
      </c>
      <c r="AA236" s="8">
        <f>_xlfn.XLOOKUP(CustomerCombined[[#This Row],[ID]], Table2[ID],Table2[MC3], "Not Found", 0 )</f>
        <v>1</v>
      </c>
      <c r="AB236" s="8">
        <f>_xlfn.XLOOKUP(CustomerCombined[[#This Row],[ID]], Table2[ID],Table2[MC4], "Not Found", 0 )</f>
        <v>0</v>
      </c>
      <c r="AC236" s="8">
        <f>_xlfn.XLOOKUP(CustomerCombined[[#This Row],[ID]], Table2[ID],Table2[MC5], "Not Found", 0 )</f>
        <v>0</v>
      </c>
    </row>
    <row r="237" spans="1:29" x14ac:dyDescent="0.3">
      <c r="A237" s="6">
        <v>3009</v>
      </c>
      <c r="B237" s="6">
        <v>140059</v>
      </c>
      <c r="C237" s="6">
        <v>1</v>
      </c>
      <c r="D237" s="6">
        <v>0</v>
      </c>
      <c r="E237" s="6">
        <v>36</v>
      </c>
      <c r="F237" s="5" t="s">
        <v>6</v>
      </c>
      <c r="G237" s="5" t="s">
        <v>11</v>
      </c>
      <c r="H237" s="3">
        <v>43924</v>
      </c>
      <c r="I237" s="5" t="s">
        <v>435</v>
      </c>
      <c r="J237" s="5">
        <f>_xlfn.XLOOKUP(CustomerCombined[[#This Row],[ID]], Table4[ID], Table4[Recency], "Not Found", 0)</f>
        <v>82</v>
      </c>
      <c r="K237" s="5">
        <f>_xlfn.XLOOKUP(CustomerCombined[[#This Row],[ID]], Table4[ID], Table4[Teas], "Not Found", 0)</f>
        <v>385</v>
      </c>
      <c r="L237" s="5">
        <f>_xlfn.XLOOKUP(CustomerCombined[[#This Row],[ID]], Table4[ID], Table4[Fruits], "Not Found", 0)</f>
        <v>101</v>
      </c>
      <c r="M237" s="5">
        <f>_xlfn.XLOOKUP(CustomerCombined[[#This Row],[ID]], Table4[ID], Table4[Meats], "Not Found", 0)</f>
        <v>322</v>
      </c>
      <c r="N237" s="5">
        <f>_xlfn.XLOOKUP(CustomerCombined[[#This Row],[ID]], Table4[ID], Table4[Seafood], "Not Found", 0)</f>
        <v>98</v>
      </c>
      <c r="O237" s="5">
        <f>_xlfn.XLOOKUP(CustomerCombined[[#This Row],[ID]], Table4[ID], Table4[Sweets], "Not Found", 0)</f>
        <v>35</v>
      </c>
      <c r="P237" s="5">
        <f>_xlfn.XLOOKUP(CustomerCombined[[#This Row],[ID]], Table4[ID], Table4[Premium], "Not Found", 0)</f>
        <v>507</v>
      </c>
      <c r="Q237" s="5">
        <f>_xlfn.XLOOKUP(CustomerCombined[[#This Row],[ID]], Table4[ID], Table4[Regular], "Not Found", 0)</f>
        <v>434</v>
      </c>
      <c r="R237" s="5">
        <f>_xlfn.XLOOKUP(CustomerCombined[[#This Row],[ID]], Table4[ID], Table4[Deals], "Not Found", 0)</f>
        <v>1</v>
      </c>
      <c r="S237" s="5">
        <f>_xlfn.XLOOKUP(CustomerCombined[[#This Row],[ID]], Table4[ID], Table4[Website], "Not Found", 0)</f>
        <v>6</v>
      </c>
      <c r="T237" s="5">
        <f>_xlfn.XLOOKUP(CustomerCombined[[#This Row],[ID]], Table4[ID], Table4[Catalog], "Not Found", 0)</f>
        <v>2</v>
      </c>
      <c r="U237" s="5">
        <f>_xlfn.XLOOKUP(CustomerCombined[[#This Row],[ID]], Table4[ID], Table4[Store], "Not Found", 0)</f>
        <v>3</v>
      </c>
      <c r="V237" s="5">
        <f>_xlfn.XLOOKUP(CustomerCombined[[#This Row],[ID]], Table4[ID], Table4[Visits], "Not Found", 0)</f>
        <v>8</v>
      </c>
      <c r="W237" s="8">
        <f>_xlfn.XLOOKUP(CustomerCombined[[#This Row],[ID]], Table2[ID],Table2[Complaint], "Not Found", 0 )</f>
        <v>0</v>
      </c>
      <c r="X237" s="8">
        <f>_xlfn.XLOOKUP(CustomerCombined[[#This Row],[ID]], Table2[ID],Table2[Pilot], "Not Found", 0 )</f>
        <v>0</v>
      </c>
      <c r="Y237" s="8">
        <f>_xlfn.XLOOKUP(CustomerCombined[[#This Row],[ID]], Table2[ID],Table2[MC1], "Not Found", 0 )</f>
        <v>0</v>
      </c>
      <c r="Z237" s="8">
        <f>_xlfn.XLOOKUP(CustomerCombined[[#This Row],[ID]], Table2[ID],Table2[MC2], "Not Found", 0 )</f>
        <v>0</v>
      </c>
      <c r="AA237" s="8">
        <f>_xlfn.XLOOKUP(CustomerCombined[[#This Row],[ID]], Table2[ID],Table2[MC3], "Not Found", 0 )</f>
        <v>1</v>
      </c>
      <c r="AB237" s="8">
        <f>_xlfn.XLOOKUP(CustomerCombined[[#This Row],[ID]], Table2[ID],Table2[MC4], "Not Found", 0 )</f>
        <v>0</v>
      </c>
      <c r="AC237" s="8">
        <f>_xlfn.XLOOKUP(CustomerCombined[[#This Row],[ID]], Table2[ID],Table2[MC5], "Not Found", 0 )</f>
        <v>0</v>
      </c>
    </row>
    <row r="238" spans="1:29" x14ac:dyDescent="0.3">
      <c r="A238" s="6">
        <v>1574</v>
      </c>
      <c r="B238" s="6">
        <v>139684</v>
      </c>
      <c r="C238" s="6">
        <v>1</v>
      </c>
      <c r="D238" s="6">
        <v>0</v>
      </c>
      <c r="E238" s="6">
        <v>36</v>
      </c>
      <c r="F238" s="5" t="s">
        <v>7</v>
      </c>
      <c r="G238" s="5" t="s">
        <v>13</v>
      </c>
      <c r="H238" s="3" t="s">
        <v>382</v>
      </c>
      <c r="I238" s="5" t="s">
        <v>438</v>
      </c>
      <c r="J238" s="5">
        <f>_xlfn.XLOOKUP(CustomerCombined[[#This Row],[ID]], Table4[ID], Table4[Recency], "Not Found", 0)</f>
        <v>41</v>
      </c>
      <c r="K238" s="5">
        <f>_xlfn.XLOOKUP(CustomerCombined[[#This Row],[ID]], Table4[ID], Table4[Teas], "Not Found", 0)</f>
        <v>67</v>
      </c>
      <c r="L238" s="5">
        <f>_xlfn.XLOOKUP(CustomerCombined[[#This Row],[ID]], Table4[ID], Table4[Fruits], "Not Found", 0)</f>
        <v>0</v>
      </c>
      <c r="M238" s="5">
        <f>_xlfn.XLOOKUP(CustomerCombined[[#This Row],[ID]], Table4[ID], Table4[Meats], "Not Found", 0)</f>
        <v>123</v>
      </c>
      <c r="N238" s="5">
        <f>_xlfn.XLOOKUP(CustomerCombined[[#This Row],[ID]], Table4[ID], Table4[Seafood], "Not Found", 0)</f>
        <v>21</v>
      </c>
      <c r="O238" s="5">
        <f>_xlfn.XLOOKUP(CustomerCombined[[#This Row],[ID]], Table4[ID], Table4[Sweets], "Not Found", 0)</f>
        <v>14</v>
      </c>
      <c r="P238" s="5">
        <f>_xlfn.XLOOKUP(CustomerCombined[[#This Row],[ID]], Table4[ID], Table4[Premium], "Not Found", 0)</f>
        <v>60</v>
      </c>
      <c r="Q238" s="5">
        <f>_xlfn.XLOOKUP(CustomerCombined[[#This Row],[ID]], Table4[ID], Table4[Regular], "Not Found", 0)</f>
        <v>165</v>
      </c>
      <c r="R238" s="5">
        <f>_xlfn.XLOOKUP(CustomerCombined[[#This Row],[ID]], Table4[ID], Table4[Deals], "Not Found", 0)</f>
        <v>2</v>
      </c>
      <c r="S238" s="5">
        <f>_xlfn.XLOOKUP(CustomerCombined[[#This Row],[ID]], Table4[ID], Table4[Website], "Not Found", 0)</f>
        <v>2</v>
      </c>
      <c r="T238" s="5">
        <f>_xlfn.XLOOKUP(CustomerCombined[[#This Row],[ID]], Table4[ID], Table4[Catalog], "Not Found", 0)</f>
        <v>1</v>
      </c>
      <c r="U238" s="5">
        <f>_xlfn.XLOOKUP(CustomerCombined[[#This Row],[ID]], Table4[ID], Table4[Store], "Not Found", 0)</f>
        <v>2</v>
      </c>
      <c r="V238" s="5">
        <f>_xlfn.XLOOKUP(CustomerCombined[[#This Row],[ID]], Table4[ID], Table4[Visits], "Not Found", 0)</f>
        <v>7</v>
      </c>
      <c r="W238" s="8">
        <f>_xlfn.XLOOKUP(CustomerCombined[[#This Row],[ID]], Table2[ID],Table2[Complaint], "Not Found", 0 )</f>
        <v>1</v>
      </c>
      <c r="X238" s="8">
        <f>_xlfn.XLOOKUP(CustomerCombined[[#This Row],[ID]], Table2[ID],Table2[Pilot], "Not Found", 0 )</f>
        <v>1</v>
      </c>
      <c r="Y238" s="8">
        <f>_xlfn.XLOOKUP(CustomerCombined[[#This Row],[ID]], Table2[ID],Table2[MC1], "Not Found", 0 )</f>
        <v>0</v>
      </c>
      <c r="Z238" s="8">
        <f>_xlfn.XLOOKUP(CustomerCombined[[#This Row],[ID]], Table2[ID],Table2[MC2], "Not Found", 0 )</f>
        <v>0</v>
      </c>
      <c r="AA238" s="8">
        <f>_xlfn.XLOOKUP(CustomerCombined[[#This Row],[ID]], Table2[ID],Table2[MC3], "Not Found", 0 )</f>
        <v>0</v>
      </c>
      <c r="AB238" s="8">
        <f>_xlfn.XLOOKUP(CustomerCombined[[#This Row],[ID]], Table2[ID],Table2[MC4], "Not Found", 0 )</f>
        <v>0</v>
      </c>
      <c r="AC238" s="8">
        <f>_xlfn.XLOOKUP(CustomerCombined[[#This Row],[ID]], Table2[ID],Table2[MC5], "Not Found", 0 )</f>
        <v>0</v>
      </c>
    </row>
    <row r="239" spans="1:29" x14ac:dyDescent="0.3">
      <c r="A239" s="6">
        <v>3013</v>
      </c>
      <c r="B239" s="6">
        <v>138680</v>
      </c>
      <c r="C239" s="6">
        <v>1</v>
      </c>
      <c r="D239" s="6">
        <v>0</v>
      </c>
      <c r="E239" s="6">
        <v>36</v>
      </c>
      <c r="F239" s="5" t="s">
        <v>6</v>
      </c>
      <c r="G239" s="5" t="s">
        <v>11</v>
      </c>
      <c r="H239" s="3">
        <v>43505</v>
      </c>
      <c r="I239" s="5" t="s">
        <v>437</v>
      </c>
      <c r="J239" s="5">
        <f>_xlfn.XLOOKUP(CustomerCombined[[#This Row],[ID]], Table4[ID], Table4[Recency], "Not Found", 0)</f>
        <v>97</v>
      </c>
      <c r="K239" s="5">
        <f>_xlfn.XLOOKUP(CustomerCombined[[#This Row],[ID]], Table4[ID], Table4[Teas], "Not Found", 0)</f>
        <v>39</v>
      </c>
      <c r="L239" s="5">
        <f>_xlfn.XLOOKUP(CustomerCombined[[#This Row],[ID]], Table4[ID], Table4[Fruits], "Not Found", 0)</f>
        <v>0</v>
      </c>
      <c r="M239" s="5">
        <f>_xlfn.XLOOKUP(CustomerCombined[[#This Row],[ID]], Table4[ID], Table4[Meats], "Not Found", 0)</f>
        <v>129</v>
      </c>
      <c r="N239" s="5">
        <f>_xlfn.XLOOKUP(CustomerCombined[[#This Row],[ID]], Table4[ID], Table4[Seafood], "Not Found", 0)</f>
        <v>54</v>
      </c>
      <c r="O239" s="5">
        <f>_xlfn.XLOOKUP(CustomerCombined[[#This Row],[ID]], Table4[ID], Table4[Sweets], "Not Found", 0)</f>
        <v>18</v>
      </c>
      <c r="P239" s="5">
        <f>_xlfn.XLOOKUP(CustomerCombined[[#This Row],[ID]], Table4[ID], Table4[Premium], "Not Found", 0)</f>
        <v>43</v>
      </c>
      <c r="Q239" s="5">
        <f>_xlfn.XLOOKUP(CustomerCombined[[#This Row],[ID]], Table4[ID], Table4[Regular], "Not Found", 0)</f>
        <v>197</v>
      </c>
      <c r="R239" s="5">
        <f>_xlfn.XLOOKUP(CustomerCombined[[#This Row],[ID]], Table4[ID], Table4[Deals], "Not Found", 0)</f>
        <v>1</v>
      </c>
      <c r="S239" s="5">
        <f>_xlfn.XLOOKUP(CustomerCombined[[#This Row],[ID]], Table4[ID], Table4[Website], "Not Found", 0)</f>
        <v>2</v>
      </c>
      <c r="T239" s="5">
        <f>_xlfn.XLOOKUP(CustomerCombined[[#This Row],[ID]], Table4[ID], Table4[Catalog], "Not Found", 0)</f>
        <v>0</v>
      </c>
      <c r="U239" s="5">
        <f>_xlfn.XLOOKUP(CustomerCombined[[#This Row],[ID]], Table4[ID], Table4[Store], "Not Found", 0)</f>
        <v>3</v>
      </c>
      <c r="V239" s="5">
        <f>_xlfn.XLOOKUP(CustomerCombined[[#This Row],[ID]], Table4[ID], Table4[Visits], "Not Found", 0)</f>
        <v>7</v>
      </c>
      <c r="W239" s="8">
        <f>_xlfn.XLOOKUP(CustomerCombined[[#This Row],[ID]], Table2[ID],Table2[Complaint], "Not Found", 0 )</f>
        <v>0</v>
      </c>
      <c r="X239" s="8">
        <f>_xlfn.XLOOKUP(CustomerCombined[[#This Row],[ID]], Table2[ID],Table2[Pilot], "Not Found", 0 )</f>
        <v>0</v>
      </c>
      <c r="Y239" s="8">
        <f>_xlfn.XLOOKUP(CustomerCombined[[#This Row],[ID]], Table2[ID],Table2[MC1], "Not Found", 0 )</f>
        <v>0</v>
      </c>
      <c r="Z239" s="8">
        <f>_xlfn.XLOOKUP(CustomerCombined[[#This Row],[ID]], Table2[ID],Table2[MC2], "Not Found", 0 )</f>
        <v>0</v>
      </c>
      <c r="AA239" s="8">
        <f>_xlfn.XLOOKUP(CustomerCombined[[#This Row],[ID]], Table2[ID],Table2[MC3], "Not Found", 0 )</f>
        <v>0</v>
      </c>
      <c r="AB239" s="8">
        <f>_xlfn.XLOOKUP(CustomerCombined[[#This Row],[ID]], Table2[ID],Table2[MC4], "Not Found", 0 )</f>
        <v>0</v>
      </c>
      <c r="AC239" s="8">
        <f>_xlfn.XLOOKUP(CustomerCombined[[#This Row],[ID]], Table2[ID],Table2[MC5], "Not Found", 0 )</f>
        <v>0</v>
      </c>
    </row>
    <row r="240" spans="1:29" x14ac:dyDescent="0.3">
      <c r="A240" s="6">
        <v>2680</v>
      </c>
      <c r="B240" s="6">
        <v>138175</v>
      </c>
      <c r="C240" s="6">
        <v>1</v>
      </c>
      <c r="D240" s="6">
        <v>0</v>
      </c>
      <c r="E240" s="6">
        <v>36</v>
      </c>
      <c r="F240" s="5" t="s">
        <v>6</v>
      </c>
      <c r="G240" s="5" t="s">
        <v>13</v>
      </c>
      <c r="H240" s="3" t="s">
        <v>176</v>
      </c>
      <c r="I240" s="5" t="s">
        <v>439</v>
      </c>
      <c r="J240" s="5">
        <f>_xlfn.XLOOKUP(CustomerCombined[[#This Row],[ID]], Table4[ID], Table4[Recency], "Not Found", 0)</f>
        <v>6</v>
      </c>
      <c r="K240" s="5">
        <f>_xlfn.XLOOKUP(CustomerCombined[[#This Row],[ID]], Table4[ID], Table4[Teas], "Not Found", 0)</f>
        <v>253</v>
      </c>
      <c r="L240" s="5">
        <f>_xlfn.XLOOKUP(CustomerCombined[[#This Row],[ID]], Table4[ID], Table4[Fruits], "Not Found", 0)</f>
        <v>22</v>
      </c>
      <c r="M240" s="5">
        <f>_xlfn.XLOOKUP(CustomerCombined[[#This Row],[ID]], Table4[ID], Table4[Meats], "Not Found", 0)</f>
        <v>250</v>
      </c>
      <c r="N240" s="5">
        <f>_xlfn.XLOOKUP(CustomerCombined[[#This Row],[ID]], Table4[ID], Table4[Seafood], "Not Found", 0)</f>
        <v>7</v>
      </c>
      <c r="O240" s="5">
        <f>_xlfn.XLOOKUP(CustomerCombined[[#This Row],[ID]], Table4[ID], Table4[Sweets], "Not Found", 0)</f>
        <v>11</v>
      </c>
      <c r="P240" s="5">
        <f>_xlfn.XLOOKUP(CustomerCombined[[#This Row],[ID]], Table4[ID], Table4[Premium], "Not Found", 0)</f>
        <v>11</v>
      </c>
      <c r="Q240" s="5">
        <f>_xlfn.XLOOKUP(CustomerCombined[[#This Row],[ID]], Table4[ID], Table4[Regular], "Not Found", 0)</f>
        <v>532</v>
      </c>
      <c r="R240" s="5">
        <f>_xlfn.XLOOKUP(CustomerCombined[[#This Row],[ID]], Table4[ID], Table4[Deals], "Not Found", 0)</f>
        <v>3</v>
      </c>
      <c r="S240" s="5">
        <f>_xlfn.XLOOKUP(CustomerCombined[[#This Row],[ID]], Table4[ID], Table4[Website], "Not Found", 0)</f>
        <v>3</v>
      </c>
      <c r="T240" s="5">
        <f>_xlfn.XLOOKUP(CustomerCombined[[#This Row],[ID]], Table4[ID], Table4[Catalog], "Not Found", 0)</f>
        <v>1</v>
      </c>
      <c r="U240" s="5">
        <f>_xlfn.XLOOKUP(CustomerCombined[[#This Row],[ID]], Table4[ID], Table4[Store], "Not Found", 0)</f>
        <v>4</v>
      </c>
      <c r="V240" s="5">
        <f>_xlfn.XLOOKUP(CustomerCombined[[#This Row],[ID]], Table4[ID], Table4[Visits], "Not Found", 0)</f>
        <v>7</v>
      </c>
      <c r="W240" s="8">
        <f>_xlfn.XLOOKUP(CustomerCombined[[#This Row],[ID]], Table2[ID],Table2[Complaint], "Not Found", 0 )</f>
        <v>0</v>
      </c>
      <c r="X240" s="8">
        <f>_xlfn.XLOOKUP(CustomerCombined[[#This Row],[ID]], Table2[ID],Table2[Pilot], "Not Found", 0 )</f>
        <v>0</v>
      </c>
      <c r="Y240" s="8">
        <f>_xlfn.XLOOKUP(CustomerCombined[[#This Row],[ID]], Table2[ID],Table2[MC1], "Not Found", 0 )</f>
        <v>0</v>
      </c>
      <c r="Z240" s="8">
        <f>_xlfn.XLOOKUP(CustomerCombined[[#This Row],[ID]], Table2[ID],Table2[MC2], "Not Found", 0 )</f>
        <v>0</v>
      </c>
      <c r="AA240" s="8">
        <f>_xlfn.XLOOKUP(CustomerCombined[[#This Row],[ID]], Table2[ID],Table2[MC3], "Not Found", 0 )</f>
        <v>0</v>
      </c>
      <c r="AB240" s="8">
        <f>_xlfn.XLOOKUP(CustomerCombined[[#This Row],[ID]], Table2[ID],Table2[MC4], "Not Found", 0 )</f>
        <v>0</v>
      </c>
      <c r="AC240" s="8">
        <f>_xlfn.XLOOKUP(CustomerCombined[[#This Row],[ID]], Table2[ID],Table2[MC5], "Not Found", 0 )</f>
        <v>0</v>
      </c>
    </row>
    <row r="241" spans="1:29" x14ac:dyDescent="0.3">
      <c r="A241" s="6">
        <v>2299</v>
      </c>
      <c r="B241" s="6">
        <v>137235</v>
      </c>
      <c r="C241" s="6">
        <v>1</v>
      </c>
      <c r="D241" s="6">
        <v>0</v>
      </c>
      <c r="E241" s="6">
        <v>36</v>
      </c>
      <c r="F241" s="5" t="s">
        <v>8</v>
      </c>
      <c r="G241" s="5" t="s">
        <v>11</v>
      </c>
      <c r="H241" s="3">
        <v>44050</v>
      </c>
      <c r="I241" s="5" t="s">
        <v>437</v>
      </c>
      <c r="J241" s="5">
        <f>_xlfn.XLOOKUP(CustomerCombined[[#This Row],[ID]], Table4[ID], Table4[Recency], "Not Found", 0)</f>
        <v>68</v>
      </c>
      <c r="K241" s="5">
        <f>_xlfn.XLOOKUP(CustomerCombined[[#This Row],[ID]], Table4[ID], Table4[Teas], "Not Found", 0)</f>
        <v>74</v>
      </c>
      <c r="L241" s="5">
        <f>_xlfn.XLOOKUP(CustomerCombined[[#This Row],[ID]], Table4[ID], Table4[Fruits], "Not Found", 0)</f>
        <v>7</v>
      </c>
      <c r="M241" s="5">
        <f>_xlfn.XLOOKUP(CustomerCombined[[#This Row],[ID]], Table4[ID], Table4[Meats], "Not Found", 0)</f>
        <v>33</v>
      </c>
      <c r="N241" s="5">
        <f>_xlfn.XLOOKUP(CustomerCombined[[#This Row],[ID]], Table4[ID], Table4[Seafood], "Not Found", 0)</f>
        <v>15</v>
      </c>
      <c r="O241" s="5">
        <f>_xlfn.XLOOKUP(CustomerCombined[[#This Row],[ID]], Table4[ID], Table4[Sweets], "Not Found", 0)</f>
        <v>22</v>
      </c>
      <c r="P241" s="5">
        <f>_xlfn.XLOOKUP(CustomerCombined[[#This Row],[ID]], Table4[ID], Table4[Premium], "Not Found", 0)</f>
        <v>74</v>
      </c>
      <c r="Q241" s="5">
        <f>_xlfn.XLOOKUP(CustomerCombined[[#This Row],[ID]], Table4[ID], Table4[Regular], "Not Found", 0)</f>
        <v>77</v>
      </c>
      <c r="R241" s="5">
        <f>_xlfn.XLOOKUP(CustomerCombined[[#This Row],[ID]], Table4[ID], Table4[Deals], "Not Found", 0)</f>
        <v>1</v>
      </c>
      <c r="S241" s="5">
        <f>_xlfn.XLOOKUP(CustomerCombined[[#This Row],[ID]], Table4[ID], Table4[Website], "Not Found", 0)</f>
        <v>1</v>
      </c>
      <c r="T241" s="5">
        <f>_xlfn.XLOOKUP(CustomerCombined[[#This Row],[ID]], Table4[ID], Table4[Catalog], "Not Found", 0)</f>
        <v>1</v>
      </c>
      <c r="U241" s="5">
        <f>_xlfn.XLOOKUP(CustomerCombined[[#This Row],[ID]], Table4[ID], Table4[Store], "Not Found", 0)</f>
        <v>2</v>
      </c>
      <c r="V241" s="5">
        <f>_xlfn.XLOOKUP(CustomerCombined[[#This Row],[ID]], Table4[ID], Table4[Visits], "Not Found", 0)</f>
        <v>4</v>
      </c>
      <c r="W241" s="8">
        <f>_xlfn.XLOOKUP(CustomerCombined[[#This Row],[ID]], Table2[ID],Table2[Complaint], "Not Found", 0 )</f>
        <v>0</v>
      </c>
      <c r="X241" s="8">
        <f>_xlfn.XLOOKUP(CustomerCombined[[#This Row],[ID]], Table2[ID],Table2[Pilot], "Not Found", 0 )</f>
        <v>0</v>
      </c>
      <c r="Y241" s="8">
        <f>_xlfn.XLOOKUP(CustomerCombined[[#This Row],[ID]], Table2[ID],Table2[MC1], "Not Found", 0 )</f>
        <v>0</v>
      </c>
      <c r="Z241" s="8">
        <f>_xlfn.XLOOKUP(CustomerCombined[[#This Row],[ID]], Table2[ID],Table2[MC2], "Not Found", 0 )</f>
        <v>0</v>
      </c>
      <c r="AA241" s="8">
        <f>_xlfn.XLOOKUP(CustomerCombined[[#This Row],[ID]], Table2[ID],Table2[MC3], "Not Found", 0 )</f>
        <v>0</v>
      </c>
      <c r="AB241" s="8">
        <f>_xlfn.XLOOKUP(CustomerCombined[[#This Row],[ID]], Table2[ID],Table2[MC4], "Not Found", 0 )</f>
        <v>0</v>
      </c>
      <c r="AC241" s="8">
        <f>_xlfn.XLOOKUP(CustomerCombined[[#This Row],[ID]], Table2[ID],Table2[MC5], "Not Found", 0 )</f>
        <v>0</v>
      </c>
    </row>
    <row r="242" spans="1:29" x14ac:dyDescent="0.3">
      <c r="A242" s="6">
        <v>2573</v>
      </c>
      <c r="B242" s="6">
        <v>136108</v>
      </c>
      <c r="C242" s="6">
        <v>1</v>
      </c>
      <c r="D242" s="6">
        <v>0</v>
      </c>
      <c r="E242" s="6">
        <v>36</v>
      </c>
      <c r="F242" s="5" t="s">
        <v>7</v>
      </c>
      <c r="G242" s="5" t="s">
        <v>11</v>
      </c>
      <c r="H242" s="3" t="s">
        <v>167</v>
      </c>
      <c r="I242" s="5" t="s">
        <v>434</v>
      </c>
      <c r="J242" s="5">
        <f>_xlfn.XLOOKUP(CustomerCombined[[#This Row],[ID]], Table4[ID], Table4[Recency], "Not Found", 0)</f>
        <v>68</v>
      </c>
      <c r="K242" s="5">
        <f>_xlfn.XLOOKUP(CustomerCombined[[#This Row],[ID]], Table4[ID], Table4[Teas], "Not Found", 0)</f>
        <v>531</v>
      </c>
      <c r="L242" s="5">
        <f>_xlfn.XLOOKUP(CustomerCombined[[#This Row],[ID]], Table4[ID], Table4[Fruits], "Not Found", 0)</f>
        <v>30</v>
      </c>
      <c r="M242" s="5">
        <f>_xlfn.XLOOKUP(CustomerCombined[[#This Row],[ID]], Table4[ID], Table4[Meats], "Not Found", 0)</f>
        <v>486</v>
      </c>
      <c r="N242" s="5">
        <f>_xlfn.XLOOKUP(CustomerCombined[[#This Row],[ID]], Table4[ID], Table4[Seafood], "Not Found", 0)</f>
        <v>11</v>
      </c>
      <c r="O242" s="5">
        <f>_xlfn.XLOOKUP(CustomerCombined[[#This Row],[ID]], Table4[ID], Table4[Sweets], "Not Found", 0)</f>
        <v>41</v>
      </c>
      <c r="P242" s="5">
        <f>_xlfn.XLOOKUP(CustomerCombined[[#This Row],[ID]], Table4[ID], Table4[Premium], "Not Found", 0)</f>
        <v>177</v>
      </c>
      <c r="Q242" s="5">
        <f>_xlfn.XLOOKUP(CustomerCombined[[#This Row],[ID]], Table4[ID], Table4[Regular], "Not Found", 0)</f>
        <v>924</v>
      </c>
      <c r="R242" s="5">
        <f>_xlfn.XLOOKUP(CustomerCombined[[#This Row],[ID]], Table4[ID], Table4[Deals], "Not Found", 0)</f>
        <v>3</v>
      </c>
      <c r="S242" s="5">
        <f>_xlfn.XLOOKUP(CustomerCombined[[#This Row],[ID]], Table4[ID], Table4[Website], "Not Found", 0)</f>
        <v>7</v>
      </c>
      <c r="T242" s="5">
        <f>_xlfn.XLOOKUP(CustomerCombined[[#This Row],[ID]], Table4[ID], Table4[Catalog], "Not Found", 0)</f>
        <v>1</v>
      </c>
      <c r="U242" s="5">
        <f>_xlfn.XLOOKUP(CustomerCombined[[#This Row],[ID]], Table4[ID], Table4[Store], "Not Found", 0)</f>
        <v>4</v>
      </c>
      <c r="V242" s="5">
        <f>_xlfn.XLOOKUP(CustomerCombined[[#This Row],[ID]], Table4[ID], Table4[Visits], "Not Found", 0)</f>
        <v>9</v>
      </c>
      <c r="W242" s="8">
        <f>_xlfn.XLOOKUP(CustomerCombined[[#This Row],[ID]], Table2[ID],Table2[Complaint], "Not Found", 0 )</f>
        <v>0</v>
      </c>
      <c r="X242" s="8">
        <f>_xlfn.XLOOKUP(CustomerCombined[[#This Row],[ID]], Table2[ID],Table2[Pilot], "Not Found", 0 )</f>
        <v>0</v>
      </c>
      <c r="Y242" s="8">
        <f>_xlfn.XLOOKUP(CustomerCombined[[#This Row],[ID]], Table2[ID],Table2[MC1], "Not Found", 0 )</f>
        <v>0</v>
      </c>
      <c r="Z242" s="8">
        <f>_xlfn.XLOOKUP(CustomerCombined[[#This Row],[ID]], Table2[ID],Table2[MC2], "Not Found", 0 )</f>
        <v>0</v>
      </c>
      <c r="AA242" s="8">
        <f>_xlfn.XLOOKUP(CustomerCombined[[#This Row],[ID]], Table2[ID],Table2[MC3], "Not Found", 0 )</f>
        <v>1</v>
      </c>
      <c r="AB242" s="8">
        <f>_xlfn.XLOOKUP(CustomerCombined[[#This Row],[ID]], Table2[ID],Table2[MC4], "Not Found", 0 )</f>
        <v>0</v>
      </c>
      <c r="AC242" s="8">
        <f>_xlfn.XLOOKUP(CustomerCombined[[#This Row],[ID]], Table2[ID],Table2[MC5], "Not Found", 0 )</f>
        <v>0</v>
      </c>
    </row>
    <row r="243" spans="1:29" x14ac:dyDescent="0.3">
      <c r="A243" s="6">
        <v>1354</v>
      </c>
      <c r="B243" s="6">
        <v>135684</v>
      </c>
      <c r="C243" s="6">
        <v>1</v>
      </c>
      <c r="D243" s="6">
        <v>0</v>
      </c>
      <c r="E243" s="6">
        <v>36</v>
      </c>
      <c r="F243" s="5" t="s">
        <v>6</v>
      </c>
      <c r="G243" s="5" t="s">
        <v>442</v>
      </c>
      <c r="H243" s="3" t="s">
        <v>60</v>
      </c>
      <c r="I243" s="5" t="s">
        <v>439</v>
      </c>
      <c r="J243" s="5">
        <f>_xlfn.XLOOKUP(CustomerCombined[[#This Row],[ID]], Table4[ID], Table4[Recency], "Not Found", 0)</f>
        <v>66</v>
      </c>
      <c r="K243" s="5">
        <f>_xlfn.XLOOKUP(CustomerCombined[[#This Row],[ID]], Table4[ID], Table4[Teas], "Not Found", 0)</f>
        <v>38</v>
      </c>
      <c r="L243" s="5">
        <f>_xlfn.XLOOKUP(CustomerCombined[[#This Row],[ID]], Table4[ID], Table4[Fruits], "Not Found", 0)</f>
        <v>15</v>
      </c>
      <c r="M243" s="5">
        <f>_xlfn.XLOOKUP(CustomerCombined[[#This Row],[ID]], Table4[ID], Table4[Meats], "Not Found", 0)</f>
        <v>27</v>
      </c>
      <c r="N243" s="5">
        <f>_xlfn.XLOOKUP(CustomerCombined[[#This Row],[ID]], Table4[ID], Table4[Seafood], "Not Found", 0)</f>
        <v>0</v>
      </c>
      <c r="O243" s="5">
        <f>_xlfn.XLOOKUP(CustomerCombined[[#This Row],[ID]], Table4[ID], Table4[Sweets], "Not Found", 0)</f>
        <v>23</v>
      </c>
      <c r="P243" s="5">
        <f>_xlfn.XLOOKUP(CustomerCombined[[#This Row],[ID]], Table4[ID], Table4[Premium], "Not Found", 0)</f>
        <v>11</v>
      </c>
      <c r="Q243" s="5">
        <f>_xlfn.XLOOKUP(CustomerCombined[[#This Row],[ID]], Table4[ID], Table4[Regular], "Not Found", 0)</f>
        <v>91</v>
      </c>
      <c r="R243" s="5">
        <f>_xlfn.XLOOKUP(CustomerCombined[[#This Row],[ID]], Table4[ID], Table4[Deals], "Not Found", 0)</f>
        <v>1</v>
      </c>
      <c r="S243" s="5">
        <f>_xlfn.XLOOKUP(CustomerCombined[[#This Row],[ID]], Table4[ID], Table4[Website], "Not Found", 0)</f>
        <v>1</v>
      </c>
      <c r="T243" s="5">
        <f>_xlfn.XLOOKUP(CustomerCombined[[#This Row],[ID]], Table4[ID], Table4[Catalog], "Not Found", 0)</f>
        <v>0</v>
      </c>
      <c r="U243" s="5">
        <f>_xlfn.XLOOKUP(CustomerCombined[[#This Row],[ID]], Table4[ID], Table4[Store], "Not Found", 0)</f>
        <v>3</v>
      </c>
      <c r="V243" s="5">
        <f>_xlfn.XLOOKUP(CustomerCombined[[#This Row],[ID]], Table4[ID], Table4[Visits], "Not Found", 0)</f>
        <v>6</v>
      </c>
      <c r="W243" s="8">
        <f>_xlfn.XLOOKUP(CustomerCombined[[#This Row],[ID]], Table2[ID],Table2[Complaint], "Not Found", 0 )</f>
        <v>0</v>
      </c>
      <c r="X243" s="8">
        <f>_xlfn.XLOOKUP(CustomerCombined[[#This Row],[ID]], Table2[ID],Table2[Pilot], "Not Found", 0 )</f>
        <v>0</v>
      </c>
      <c r="Y243" s="8">
        <f>_xlfn.XLOOKUP(CustomerCombined[[#This Row],[ID]], Table2[ID],Table2[MC1], "Not Found", 0 )</f>
        <v>0</v>
      </c>
      <c r="Z243" s="8">
        <f>_xlfn.XLOOKUP(CustomerCombined[[#This Row],[ID]], Table2[ID],Table2[MC2], "Not Found", 0 )</f>
        <v>0</v>
      </c>
      <c r="AA243" s="8">
        <f>_xlfn.XLOOKUP(CustomerCombined[[#This Row],[ID]], Table2[ID],Table2[MC3], "Not Found", 0 )</f>
        <v>0</v>
      </c>
      <c r="AB243" s="8">
        <f>_xlfn.XLOOKUP(CustomerCombined[[#This Row],[ID]], Table2[ID],Table2[MC4], "Not Found", 0 )</f>
        <v>0</v>
      </c>
      <c r="AC243" s="8">
        <f>_xlfn.XLOOKUP(CustomerCombined[[#This Row],[ID]], Table2[ID],Table2[MC5], "Not Found", 0 )</f>
        <v>0</v>
      </c>
    </row>
    <row r="244" spans="1:29" x14ac:dyDescent="0.3">
      <c r="A244" s="6">
        <v>2029</v>
      </c>
      <c r="B244" s="6">
        <v>135196</v>
      </c>
      <c r="C244" s="6">
        <v>1</v>
      </c>
      <c r="D244" s="6">
        <v>0</v>
      </c>
      <c r="E244" s="6">
        <v>36</v>
      </c>
      <c r="F244" s="5" t="s">
        <v>8</v>
      </c>
      <c r="G244" s="5" t="s">
        <v>11</v>
      </c>
      <c r="H244" s="3" t="s">
        <v>362</v>
      </c>
      <c r="I244" s="5" t="s">
        <v>437</v>
      </c>
      <c r="J244" s="5">
        <f>_xlfn.XLOOKUP(CustomerCombined[[#This Row],[ID]], Table4[ID], Table4[Recency], "Not Found", 0)</f>
        <v>68</v>
      </c>
      <c r="K244" s="5">
        <f>_xlfn.XLOOKUP(CustomerCombined[[#This Row],[ID]], Table4[ID], Table4[Teas], "Not Found", 0)</f>
        <v>288</v>
      </c>
      <c r="L244" s="5">
        <f>_xlfn.XLOOKUP(CustomerCombined[[#This Row],[ID]], Table4[ID], Table4[Fruits], "Not Found", 0)</f>
        <v>46</v>
      </c>
      <c r="M244" s="5">
        <f>_xlfn.XLOOKUP(CustomerCombined[[#This Row],[ID]], Table4[ID], Table4[Meats], "Not Found", 0)</f>
        <v>542</v>
      </c>
      <c r="N244" s="5">
        <f>_xlfn.XLOOKUP(CustomerCombined[[#This Row],[ID]], Table4[ID], Table4[Seafood], "Not Found", 0)</f>
        <v>165</v>
      </c>
      <c r="O244" s="5">
        <f>_xlfn.XLOOKUP(CustomerCombined[[#This Row],[ID]], Table4[ID], Table4[Sweets], "Not Found", 0)</f>
        <v>150</v>
      </c>
      <c r="P244" s="5">
        <f>_xlfn.XLOOKUP(CustomerCombined[[#This Row],[ID]], Table4[ID], Table4[Premium], "Not Found", 0)</f>
        <v>718</v>
      </c>
      <c r="Q244" s="5">
        <f>_xlfn.XLOOKUP(CustomerCombined[[#This Row],[ID]], Table4[ID], Table4[Regular], "Not Found", 0)</f>
        <v>472</v>
      </c>
      <c r="R244" s="5">
        <f>_xlfn.XLOOKUP(CustomerCombined[[#This Row],[ID]], Table4[ID], Table4[Deals], "Not Found", 0)</f>
        <v>6</v>
      </c>
      <c r="S244" s="5">
        <f>_xlfn.XLOOKUP(CustomerCombined[[#This Row],[ID]], Table4[ID], Table4[Website], "Not Found", 0)</f>
        <v>6</v>
      </c>
      <c r="T244" s="5">
        <f>_xlfn.XLOOKUP(CustomerCombined[[#This Row],[ID]], Table4[ID], Table4[Catalog], "Not Found", 0)</f>
        <v>1</v>
      </c>
      <c r="U244" s="5">
        <f>_xlfn.XLOOKUP(CustomerCombined[[#This Row],[ID]], Table4[ID], Table4[Store], "Not Found", 0)</f>
        <v>5</v>
      </c>
      <c r="V244" s="5">
        <f>_xlfn.XLOOKUP(CustomerCombined[[#This Row],[ID]], Table4[ID], Table4[Visits], "Not Found", 0)</f>
        <v>8</v>
      </c>
      <c r="W244" s="8">
        <f>_xlfn.XLOOKUP(CustomerCombined[[#This Row],[ID]], Table2[ID],Table2[Complaint], "Not Found", 0 )</f>
        <v>0</v>
      </c>
      <c r="X244" s="8">
        <f>_xlfn.XLOOKUP(CustomerCombined[[#This Row],[ID]], Table2[ID],Table2[Pilot], "Not Found", 0 )</f>
        <v>1</v>
      </c>
      <c r="Y244" s="8">
        <f>_xlfn.XLOOKUP(CustomerCombined[[#This Row],[ID]], Table2[ID],Table2[MC1], "Not Found", 0 )</f>
        <v>0</v>
      </c>
      <c r="Z244" s="8">
        <f>_xlfn.XLOOKUP(CustomerCombined[[#This Row],[ID]], Table2[ID],Table2[MC2], "Not Found", 0 )</f>
        <v>0</v>
      </c>
      <c r="AA244" s="8">
        <f>_xlfn.XLOOKUP(CustomerCombined[[#This Row],[ID]], Table2[ID],Table2[MC3], "Not Found", 0 )</f>
        <v>0</v>
      </c>
      <c r="AB244" s="8">
        <f>_xlfn.XLOOKUP(CustomerCombined[[#This Row],[ID]], Table2[ID],Table2[MC4], "Not Found", 0 )</f>
        <v>0</v>
      </c>
      <c r="AC244" s="8">
        <f>_xlfn.XLOOKUP(CustomerCombined[[#This Row],[ID]], Table2[ID],Table2[MC5], "Not Found", 0 )</f>
        <v>0</v>
      </c>
    </row>
    <row r="245" spans="1:29" x14ac:dyDescent="0.3">
      <c r="A245" s="6">
        <v>2690</v>
      </c>
      <c r="B245" s="6">
        <v>135196</v>
      </c>
      <c r="C245" s="6">
        <v>1</v>
      </c>
      <c r="D245" s="6">
        <v>0</v>
      </c>
      <c r="E245" s="6">
        <v>36</v>
      </c>
      <c r="F245" s="5" t="s">
        <v>8</v>
      </c>
      <c r="G245" s="5" t="s">
        <v>11</v>
      </c>
      <c r="H245" s="3" t="s">
        <v>362</v>
      </c>
      <c r="I245" s="5" t="s">
        <v>438</v>
      </c>
      <c r="J245" s="5">
        <f>_xlfn.XLOOKUP(CustomerCombined[[#This Row],[ID]], Table4[ID], Table4[Recency], "Not Found", 0)</f>
        <v>68</v>
      </c>
      <c r="K245" s="5">
        <f>_xlfn.XLOOKUP(CustomerCombined[[#This Row],[ID]], Table4[ID], Table4[Teas], "Not Found", 0)</f>
        <v>288</v>
      </c>
      <c r="L245" s="5">
        <f>_xlfn.XLOOKUP(CustomerCombined[[#This Row],[ID]], Table4[ID], Table4[Fruits], "Not Found", 0)</f>
        <v>46</v>
      </c>
      <c r="M245" s="5">
        <f>_xlfn.XLOOKUP(CustomerCombined[[#This Row],[ID]], Table4[ID], Table4[Meats], "Not Found", 0)</f>
        <v>542</v>
      </c>
      <c r="N245" s="5">
        <f>_xlfn.XLOOKUP(CustomerCombined[[#This Row],[ID]], Table4[ID], Table4[Seafood], "Not Found", 0)</f>
        <v>165</v>
      </c>
      <c r="O245" s="5">
        <f>_xlfn.XLOOKUP(CustomerCombined[[#This Row],[ID]], Table4[ID], Table4[Sweets], "Not Found", 0)</f>
        <v>150</v>
      </c>
      <c r="P245" s="5">
        <f>_xlfn.XLOOKUP(CustomerCombined[[#This Row],[ID]], Table4[ID], Table4[Premium], "Not Found", 0)</f>
        <v>718</v>
      </c>
      <c r="Q245" s="5">
        <f>_xlfn.XLOOKUP(CustomerCombined[[#This Row],[ID]], Table4[ID], Table4[Regular], "Not Found", 0)</f>
        <v>472</v>
      </c>
      <c r="R245" s="5">
        <f>_xlfn.XLOOKUP(CustomerCombined[[#This Row],[ID]], Table4[ID], Table4[Deals], "Not Found", 0)</f>
        <v>6</v>
      </c>
      <c r="S245" s="5">
        <f>_xlfn.XLOOKUP(CustomerCombined[[#This Row],[ID]], Table4[ID], Table4[Website], "Not Found", 0)</f>
        <v>6</v>
      </c>
      <c r="T245" s="5">
        <f>_xlfn.XLOOKUP(CustomerCombined[[#This Row],[ID]], Table4[ID], Table4[Catalog], "Not Found", 0)</f>
        <v>1</v>
      </c>
      <c r="U245" s="5">
        <f>_xlfn.XLOOKUP(CustomerCombined[[#This Row],[ID]], Table4[ID], Table4[Store], "Not Found", 0)</f>
        <v>5</v>
      </c>
      <c r="V245" s="5">
        <f>_xlfn.XLOOKUP(CustomerCombined[[#This Row],[ID]], Table4[ID], Table4[Visits], "Not Found", 0)</f>
        <v>8</v>
      </c>
      <c r="W245" s="8">
        <f>_xlfn.XLOOKUP(CustomerCombined[[#This Row],[ID]], Table2[ID],Table2[Complaint], "Not Found", 0 )</f>
        <v>0</v>
      </c>
      <c r="X245" s="8">
        <f>_xlfn.XLOOKUP(CustomerCombined[[#This Row],[ID]], Table2[ID],Table2[Pilot], "Not Found", 0 )</f>
        <v>0</v>
      </c>
      <c r="Y245" s="8">
        <f>_xlfn.XLOOKUP(CustomerCombined[[#This Row],[ID]], Table2[ID],Table2[MC1], "Not Found", 0 )</f>
        <v>0</v>
      </c>
      <c r="Z245" s="8">
        <f>_xlfn.XLOOKUP(CustomerCombined[[#This Row],[ID]], Table2[ID],Table2[MC2], "Not Found", 0 )</f>
        <v>0</v>
      </c>
      <c r="AA245" s="8">
        <f>_xlfn.XLOOKUP(CustomerCombined[[#This Row],[ID]], Table2[ID],Table2[MC3], "Not Found", 0 )</f>
        <v>0</v>
      </c>
      <c r="AB245" s="8">
        <f>_xlfn.XLOOKUP(CustomerCombined[[#This Row],[ID]], Table2[ID],Table2[MC4], "Not Found", 0 )</f>
        <v>0</v>
      </c>
      <c r="AC245" s="8">
        <f>_xlfn.XLOOKUP(CustomerCombined[[#This Row],[ID]], Table2[ID],Table2[MC5], "Not Found", 0 )</f>
        <v>0</v>
      </c>
    </row>
    <row r="246" spans="1:29" x14ac:dyDescent="0.3">
      <c r="A246" s="6">
        <v>2842</v>
      </c>
      <c r="B246" s="6">
        <v>134738</v>
      </c>
      <c r="C246" s="6">
        <v>1</v>
      </c>
      <c r="D246" s="6">
        <v>0</v>
      </c>
      <c r="E246" s="6">
        <v>36</v>
      </c>
      <c r="F246" s="5" t="s">
        <v>7</v>
      </c>
      <c r="G246" s="5" t="s">
        <v>11</v>
      </c>
      <c r="H246" s="3" t="s">
        <v>53</v>
      </c>
      <c r="I246" s="5" t="s">
        <v>439</v>
      </c>
      <c r="J246" s="5">
        <f>_xlfn.XLOOKUP(CustomerCombined[[#This Row],[ID]], Table4[ID], Table4[Recency], "Not Found", 0)</f>
        <v>51</v>
      </c>
      <c r="K246" s="5">
        <f>_xlfn.XLOOKUP(CustomerCombined[[#This Row],[ID]], Table4[ID], Table4[Teas], "Not Found", 0)</f>
        <v>12</v>
      </c>
      <c r="L246" s="5">
        <f>_xlfn.XLOOKUP(CustomerCombined[[#This Row],[ID]], Table4[ID], Table4[Fruits], "Not Found", 0)</f>
        <v>8</v>
      </c>
      <c r="M246" s="5">
        <f>_xlfn.XLOOKUP(CustomerCombined[[#This Row],[ID]], Table4[ID], Table4[Meats], "Not Found", 0)</f>
        <v>39</v>
      </c>
      <c r="N246" s="5">
        <f>_xlfn.XLOOKUP(CustomerCombined[[#This Row],[ID]], Table4[ID], Table4[Seafood], "Not Found", 0)</f>
        <v>12</v>
      </c>
      <c r="O246" s="5">
        <f>_xlfn.XLOOKUP(CustomerCombined[[#This Row],[ID]], Table4[ID], Table4[Sweets], "Not Found", 0)</f>
        <v>0</v>
      </c>
      <c r="P246" s="5">
        <f>_xlfn.XLOOKUP(CustomerCombined[[#This Row],[ID]], Table4[ID], Table4[Premium], "Not Found", 0)</f>
        <v>8</v>
      </c>
      <c r="Q246" s="5">
        <f>_xlfn.XLOOKUP(CustomerCombined[[#This Row],[ID]], Table4[ID], Table4[Regular], "Not Found", 0)</f>
        <v>62</v>
      </c>
      <c r="R246" s="5">
        <f>_xlfn.XLOOKUP(CustomerCombined[[#This Row],[ID]], Table4[ID], Table4[Deals], "Not Found", 0)</f>
        <v>1</v>
      </c>
      <c r="S246" s="5">
        <f>_xlfn.XLOOKUP(CustomerCombined[[#This Row],[ID]], Table4[ID], Table4[Website], "Not Found", 0)</f>
        <v>1</v>
      </c>
      <c r="T246" s="5">
        <f>_xlfn.XLOOKUP(CustomerCombined[[#This Row],[ID]], Table4[ID], Table4[Catalog], "Not Found", 0)</f>
        <v>0</v>
      </c>
      <c r="U246" s="5">
        <f>_xlfn.XLOOKUP(CustomerCombined[[#This Row],[ID]], Table4[ID], Table4[Store], "Not Found", 0)</f>
        <v>3</v>
      </c>
      <c r="V246" s="5">
        <f>_xlfn.XLOOKUP(CustomerCombined[[#This Row],[ID]], Table4[ID], Table4[Visits], "Not Found", 0)</f>
        <v>6</v>
      </c>
      <c r="W246" s="8">
        <f>_xlfn.XLOOKUP(CustomerCombined[[#This Row],[ID]], Table2[ID],Table2[Complaint], "Not Found", 0 )</f>
        <v>0</v>
      </c>
      <c r="X246" s="8">
        <f>_xlfn.XLOOKUP(CustomerCombined[[#This Row],[ID]], Table2[ID],Table2[Pilot], "Not Found", 0 )</f>
        <v>0</v>
      </c>
      <c r="Y246" s="8">
        <f>_xlfn.XLOOKUP(CustomerCombined[[#This Row],[ID]], Table2[ID],Table2[MC1], "Not Found", 0 )</f>
        <v>0</v>
      </c>
      <c r="Z246" s="8">
        <f>_xlfn.XLOOKUP(CustomerCombined[[#This Row],[ID]], Table2[ID],Table2[MC2], "Not Found", 0 )</f>
        <v>0</v>
      </c>
      <c r="AA246" s="8">
        <f>_xlfn.XLOOKUP(CustomerCombined[[#This Row],[ID]], Table2[ID],Table2[MC3], "Not Found", 0 )</f>
        <v>0</v>
      </c>
      <c r="AB246" s="8">
        <f>_xlfn.XLOOKUP(CustomerCombined[[#This Row],[ID]], Table2[ID],Table2[MC4], "Not Found", 0 )</f>
        <v>0</v>
      </c>
      <c r="AC246" s="8">
        <f>_xlfn.XLOOKUP(CustomerCombined[[#This Row],[ID]], Table2[ID],Table2[MC5], "Not Found", 0 )</f>
        <v>0</v>
      </c>
    </row>
    <row r="247" spans="1:29" x14ac:dyDescent="0.3">
      <c r="A247" s="6">
        <v>1277</v>
      </c>
      <c r="B247" s="6">
        <v>132414</v>
      </c>
      <c r="C247" s="6">
        <v>0</v>
      </c>
      <c r="D247" s="6">
        <v>0</v>
      </c>
      <c r="E247" s="6">
        <v>36</v>
      </c>
      <c r="F247" s="5" t="s">
        <v>8</v>
      </c>
      <c r="G247" s="5" t="s">
        <v>442</v>
      </c>
      <c r="H247" s="3">
        <v>43720</v>
      </c>
      <c r="I247" s="5" t="s">
        <v>434</v>
      </c>
      <c r="J247" s="5">
        <f>_xlfn.XLOOKUP(CustomerCombined[[#This Row],[ID]], Table4[ID], Table4[Recency], "Not Found", 0)</f>
        <v>11</v>
      </c>
      <c r="K247" s="5">
        <f>_xlfn.XLOOKUP(CustomerCombined[[#This Row],[ID]], Table4[ID], Table4[Teas], "Not Found", 0)</f>
        <v>82</v>
      </c>
      <c r="L247" s="5">
        <f>_xlfn.XLOOKUP(CustomerCombined[[#This Row],[ID]], Table4[ID], Table4[Fruits], "Not Found", 0)</f>
        <v>25</v>
      </c>
      <c r="M247" s="5">
        <f>_xlfn.XLOOKUP(CustomerCombined[[#This Row],[ID]], Table4[ID], Table4[Meats], "Not Found", 0)</f>
        <v>20</v>
      </c>
      <c r="N247" s="5">
        <f>_xlfn.XLOOKUP(CustomerCombined[[#This Row],[ID]], Table4[ID], Table4[Seafood], "Not Found", 0)</f>
        <v>0</v>
      </c>
      <c r="O247" s="5">
        <f>_xlfn.XLOOKUP(CustomerCombined[[#This Row],[ID]], Table4[ID], Table4[Sweets], "Not Found", 0)</f>
        <v>37</v>
      </c>
      <c r="P247" s="5">
        <f>_xlfn.XLOOKUP(CustomerCombined[[#This Row],[ID]], Table4[ID], Table4[Premium], "Not Found", 0)</f>
        <v>49</v>
      </c>
      <c r="Q247" s="5">
        <f>_xlfn.XLOOKUP(CustomerCombined[[#This Row],[ID]], Table4[ID], Table4[Regular], "Not Found", 0)</f>
        <v>114</v>
      </c>
      <c r="R247" s="5">
        <f>_xlfn.XLOOKUP(CustomerCombined[[#This Row],[ID]], Table4[ID], Table4[Deals], "Not Found", 0)</f>
        <v>1</v>
      </c>
      <c r="S247" s="5">
        <f>_xlfn.XLOOKUP(CustomerCombined[[#This Row],[ID]], Table4[ID], Table4[Website], "Not Found", 0)</f>
        <v>1</v>
      </c>
      <c r="T247" s="5">
        <f>_xlfn.XLOOKUP(CustomerCombined[[#This Row],[ID]], Table4[ID], Table4[Catalog], "Not Found", 0)</f>
        <v>0</v>
      </c>
      <c r="U247" s="5">
        <f>_xlfn.XLOOKUP(CustomerCombined[[#This Row],[ID]], Table4[ID], Table4[Store], "Not Found", 0)</f>
        <v>3</v>
      </c>
      <c r="V247" s="5">
        <f>_xlfn.XLOOKUP(CustomerCombined[[#This Row],[ID]], Table4[ID], Table4[Visits], "Not Found", 0)</f>
        <v>7</v>
      </c>
      <c r="W247" s="8">
        <f>_xlfn.XLOOKUP(CustomerCombined[[#This Row],[ID]], Table2[ID],Table2[Complaint], "Not Found", 0 )</f>
        <v>0</v>
      </c>
      <c r="X247" s="8">
        <f>_xlfn.XLOOKUP(CustomerCombined[[#This Row],[ID]], Table2[ID],Table2[Pilot], "Not Found", 0 )</f>
        <v>0</v>
      </c>
      <c r="Y247" s="8">
        <f>_xlfn.XLOOKUP(CustomerCombined[[#This Row],[ID]], Table2[ID],Table2[MC1], "Not Found", 0 )</f>
        <v>0</v>
      </c>
      <c r="Z247" s="8">
        <f>_xlfn.XLOOKUP(CustomerCombined[[#This Row],[ID]], Table2[ID],Table2[MC2], "Not Found", 0 )</f>
        <v>0</v>
      </c>
      <c r="AA247" s="8">
        <f>_xlfn.XLOOKUP(CustomerCombined[[#This Row],[ID]], Table2[ID],Table2[MC3], "Not Found", 0 )</f>
        <v>1</v>
      </c>
      <c r="AB247" s="8">
        <f>_xlfn.XLOOKUP(CustomerCombined[[#This Row],[ID]], Table2[ID],Table2[MC4], "Not Found", 0 )</f>
        <v>0</v>
      </c>
      <c r="AC247" s="8">
        <f>_xlfn.XLOOKUP(CustomerCombined[[#This Row],[ID]], Table2[ID],Table2[MC5], "Not Found", 0 )</f>
        <v>0</v>
      </c>
    </row>
    <row r="248" spans="1:29" x14ac:dyDescent="0.3">
      <c r="A248" s="6">
        <v>3041</v>
      </c>
      <c r="B248" s="6">
        <v>131761</v>
      </c>
      <c r="C248" s="6">
        <v>1</v>
      </c>
      <c r="D248" s="6">
        <v>0</v>
      </c>
      <c r="E248" s="6">
        <v>36</v>
      </c>
      <c r="F248" s="5" t="s">
        <v>6</v>
      </c>
      <c r="G248" s="5" t="s">
        <v>11</v>
      </c>
      <c r="H248" s="3">
        <v>44083</v>
      </c>
      <c r="I248" s="5" t="s">
        <v>434</v>
      </c>
      <c r="J248" s="5">
        <f>_xlfn.XLOOKUP(CustomerCombined[[#This Row],[ID]], Table4[ID], Table4[Recency], "Not Found", 0)</f>
        <v>96</v>
      </c>
      <c r="K248" s="5">
        <f>_xlfn.XLOOKUP(CustomerCombined[[#This Row],[ID]], Table4[ID], Table4[Teas], "Not Found", 0)</f>
        <v>79</v>
      </c>
      <c r="L248" s="5">
        <f>_xlfn.XLOOKUP(CustomerCombined[[#This Row],[ID]], Table4[ID], Table4[Fruits], "Not Found", 0)</f>
        <v>4</v>
      </c>
      <c r="M248" s="5">
        <f>_xlfn.XLOOKUP(CustomerCombined[[#This Row],[ID]], Table4[ID], Table4[Meats], "Not Found", 0)</f>
        <v>83</v>
      </c>
      <c r="N248" s="5">
        <f>_xlfn.XLOOKUP(CustomerCombined[[#This Row],[ID]], Table4[ID], Table4[Seafood], "Not Found", 0)</f>
        <v>66</v>
      </c>
      <c r="O248" s="5">
        <f>_xlfn.XLOOKUP(CustomerCombined[[#This Row],[ID]], Table4[ID], Table4[Sweets], "Not Found", 0)</f>
        <v>58</v>
      </c>
      <c r="P248" s="5">
        <f>_xlfn.XLOOKUP(CustomerCombined[[#This Row],[ID]], Table4[ID], Table4[Premium], "Not Found", 0)</f>
        <v>116</v>
      </c>
      <c r="Q248" s="5">
        <f>_xlfn.XLOOKUP(CustomerCombined[[#This Row],[ID]], Table4[ID], Table4[Regular], "Not Found", 0)</f>
        <v>174</v>
      </c>
      <c r="R248" s="5">
        <f>_xlfn.XLOOKUP(CustomerCombined[[#This Row],[ID]], Table4[ID], Table4[Deals], "Not Found", 0)</f>
        <v>2</v>
      </c>
      <c r="S248" s="5">
        <f>_xlfn.XLOOKUP(CustomerCombined[[#This Row],[ID]], Table4[ID], Table4[Website], "Not Found", 0)</f>
        <v>3</v>
      </c>
      <c r="T248" s="5">
        <f>_xlfn.XLOOKUP(CustomerCombined[[#This Row],[ID]], Table4[ID], Table4[Catalog], "Not Found", 0)</f>
        <v>0</v>
      </c>
      <c r="U248" s="5">
        <f>_xlfn.XLOOKUP(CustomerCombined[[#This Row],[ID]], Table4[ID], Table4[Store], "Not Found", 0)</f>
        <v>4</v>
      </c>
      <c r="V248" s="5">
        <f>_xlfn.XLOOKUP(CustomerCombined[[#This Row],[ID]], Table4[ID], Table4[Visits], "Not Found", 0)</f>
        <v>5</v>
      </c>
      <c r="W248" s="8">
        <f>_xlfn.XLOOKUP(CustomerCombined[[#This Row],[ID]], Table2[ID],Table2[Complaint], "Not Found", 0 )</f>
        <v>0</v>
      </c>
      <c r="X248" s="8">
        <f>_xlfn.XLOOKUP(CustomerCombined[[#This Row],[ID]], Table2[ID],Table2[Pilot], "Not Found", 0 )</f>
        <v>0</v>
      </c>
      <c r="Y248" s="8">
        <f>_xlfn.XLOOKUP(CustomerCombined[[#This Row],[ID]], Table2[ID],Table2[MC1], "Not Found", 0 )</f>
        <v>0</v>
      </c>
      <c r="Z248" s="8">
        <f>_xlfn.XLOOKUP(CustomerCombined[[#This Row],[ID]], Table2[ID],Table2[MC2], "Not Found", 0 )</f>
        <v>0</v>
      </c>
      <c r="AA248" s="8">
        <f>_xlfn.XLOOKUP(CustomerCombined[[#This Row],[ID]], Table2[ID],Table2[MC3], "Not Found", 0 )</f>
        <v>0</v>
      </c>
      <c r="AB248" s="8">
        <f>_xlfn.XLOOKUP(CustomerCombined[[#This Row],[ID]], Table2[ID],Table2[MC4], "Not Found", 0 )</f>
        <v>0</v>
      </c>
      <c r="AC248" s="8">
        <f>_xlfn.XLOOKUP(CustomerCombined[[#This Row],[ID]], Table2[ID],Table2[MC5], "Not Found", 0 )</f>
        <v>0</v>
      </c>
    </row>
    <row r="249" spans="1:29" x14ac:dyDescent="0.3">
      <c r="A249" s="6">
        <v>2954</v>
      </c>
      <c r="B249" s="6">
        <v>131385</v>
      </c>
      <c r="C249" s="6">
        <v>1</v>
      </c>
      <c r="D249" s="6">
        <v>0</v>
      </c>
      <c r="E249" s="6">
        <v>36</v>
      </c>
      <c r="F249" s="5" t="s">
        <v>7</v>
      </c>
      <c r="G249" s="5" t="s">
        <v>12</v>
      </c>
      <c r="H249" s="3">
        <v>43804</v>
      </c>
      <c r="I249" s="5" t="s">
        <v>438</v>
      </c>
      <c r="J249" s="5">
        <f>_xlfn.XLOOKUP(CustomerCombined[[#This Row],[ID]], Table4[ID], Table4[Recency], "Not Found", 0)</f>
        <v>56</v>
      </c>
      <c r="K249" s="5">
        <f>_xlfn.XLOOKUP(CustomerCombined[[#This Row],[ID]], Table4[ID], Table4[Teas], "Not Found", 0)</f>
        <v>13</v>
      </c>
      <c r="L249" s="5">
        <f>_xlfn.XLOOKUP(CustomerCombined[[#This Row],[ID]], Table4[ID], Table4[Fruits], "Not Found", 0)</f>
        <v>8</v>
      </c>
      <c r="M249" s="5">
        <f>_xlfn.XLOOKUP(CustomerCombined[[#This Row],[ID]], Table4[ID], Table4[Meats], "Not Found", 0)</f>
        <v>50</v>
      </c>
      <c r="N249" s="5">
        <f>_xlfn.XLOOKUP(CustomerCombined[[#This Row],[ID]], Table4[ID], Table4[Seafood], "Not Found", 0)</f>
        <v>0</v>
      </c>
      <c r="O249" s="5">
        <f>_xlfn.XLOOKUP(CustomerCombined[[#This Row],[ID]], Table4[ID], Table4[Sweets], "Not Found", 0)</f>
        <v>4</v>
      </c>
      <c r="P249" s="5">
        <f>_xlfn.XLOOKUP(CustomerCombined[[#This Row],[ID]], Table4[ID], Table4[Premium], "Not Found", 0)</f>
        <v>38</v>
      </c>
      <c r="Q249" s="5">
        <f>_xlfn.XLOOKUP(CustomerCombined[[#This Row],[ID]], Table4[ID], Table4[Regular], "Not Found", 0)</f>
        <v>38</v>
      </c>
      <c r="R249" s="5">
        <f>_xlfn.XLOOKUP(CustomerCombined[[#This Row],[ID]], Table4[ID], Table4[Deals], "Not Found", 0)</f>
        <v>1</v>
      </c>
      <c r="S249" s="5">
        <f>_xlfn.XLOOKUP(CustomerCombined[[#This Row],[ID]], Table4[ID], Table4[Website], "Not Found", 0)</f>
        <v>1</v>
      </c>
      <c r="T249" s="5">
        <f>_xlfn.XLOOKUP(CustomerCombined[[#This Row],[ID]], Table4[ID], Table4[Catalog], "Not Found", 0)</f>
        <v>0</v>
      </c>
      <c r="U249" s="5">
        <f>_xlfn.XLOOKUP(CustomerCombined[[#This Row],[ID]], Table4[ID], Table4[Store], "Not Found", 0)</f>
        <v>2</v>
      </c>
      <c r="V249" s="5">
        <f>_xlfn.XLOOKUP(CustomerCombined[[#This Row],[ID]], Table4[ID], Table4[Visits], "Not Found", 0)</f>
        <v>8</v>
      </c>
      <c r="W249" s="8">
        <f>_xlfn.XLOOKUP(CustomerCombined[[#This Row],[ID]], Table2[ID],Table2[Complaint], "Not Found", 0 )</f>
        <v>0</v>
      </c>
      <c r="X249" s="8">
        <f>_xlfn.XLOOKUP(CustomerCombined[[#This Row],[ID]], Table2[ID],Table2[Pilot], "Not Found", 0 )</f>
        <v>1</v>
      </c>
      <c r="Y249" s="8">
        <f>_xlfn.XLOOKUP(CustomerCombined[[#This Row],[ID]], Table2[ID],Table2[MC1], "Not Found", 0 )</f>
        <v>0</v>
      </c>
      <c r="Z249" s="8">
        <f>_xlfn.XLOOKUP(CustomerCombined[[#This Row],[ID]], Table2[ID],Table2[MC2], "Not Found", 0 )</f>
        <v>0</v>
      </c>
      <c r="AA249" s="8">
        <f>_xlfn.XLOOKUP(CustomerCombined[[#This Row],[ID]], Table2[ID],Table2[MC3], "Not Found", 0 )</f>
        <v>1</v>
      </c>
      <c r="AB249" s="8">
        <f>_xlfn.XLOOKUP(CustomerCombined[[#This Row],[ID]], Table2[ID],Table2[MC4], "Not Found", 0 )</f>
        <v>0</v>
      </c>
      <c r="AC249" s="8">
        <f>_xlfn.XLOOKUP(CustomerCombined[[#This Row],[ID]], Table2[ID],Table2[MC5], "Not Found", 0 )</f>
        <v>0</v>
      </c>
    </row>
    <row r="250" spans="1:29" x14ac:dyDescent="0.3">
      <c r="A250" s="6">
        <v>1172</v>
      </c>
      <c r="B250" s="6">
        <v>130477</v>
      </c>
      <c r="C250" s="6">
        <v>1</v>
      </c>
      <c r="D250" s="6">
        <v>0</v>
      </c>
      <c r="E250" s="6">
        <v>36</v>
      </c>
      <c r="F250" s="5" t="s">
        <v>6</v>
      </c>
      <c r="G250" s="5" t="s">
        <v>12</v>
      </c>
      <c r="H250" s="3" t="s">
        <v>110</v>
      </c>
      <c r="I250" s="5" t="s">
        <v>438</v>
      </c>
      <c r="J250" s="5">
        <f>_xlfn.XLOOKUP(CustomerCombined[[#This Row],[ID]], Table4[ID], Table4[Recency], "Not Found", 0)</f>
        <v>16</v>
      </c>
      <c r="K250" s="5">
        <f>_xlfn.XLOOKUP(CustomerCombined[[#This Row],[ID]], Table4[ID], Table4[Teas], "Not Found", 0)</f>
        <v>201</v>
      </c>
      <c r="L250" s="5">
        <f>_xlfn.XLOOKUP(CustomerCombined[[#This Row],[ID]], Table4[ID], Table4[Fruits], "Not Found", 0)</f>
        <v>4</v>
      </c>
      <c r="M250" s="5">
        <f>_xlfn.XLOOKUP(CustomerCombined[[#This Row],[ID]], Table4[ID], Table4[Meats], "Not Found", 0)</f>
        <v>26</v>
      </c>
      <c r="N250" s="5">
        <f>_xlfn.XLOOKUP(CustomerCombined[[#This Row],[ID]], Table4[ID], Table4[Seafood], "Not Found", 0)</f>
        <v>0</v>
      </c>
      <c r="O250" s="5">
        <f>_xlfn.XLOOKUP(CustomerCombined[[#This Row],[ID]], Table4[ID], Table4[Sweets], "Not Found", 0)</f>
        <v>0</v>
      </c>
      <c r="P250" s="5">
        <f>_xlfn.XLOOKUP(CustomerCombined[[#This Row],[ID]], Table4[ID], Table4[Premium], "Not Found", 0)</f>
        <v>51</v>
      </c>
      <c r="Q250" s="5">
        <f>_xlfn.XLOOKUP(CustomerCombined[[#This Row],[ID]], Table4[ID], Table4[Regular], "Not Found", 0)</f>
        <v>180</v>
      </c>
      <c r="R250" s="5">
        <f>_xlfn.XLOOKUP(CustomerCombined[[#This Row],[ID]], Table4[ID], Table4[Deals], "Not Found", 0)</f>
        <v>1</v>
      </c>
      <c r="S250" s="5">
        <f>_xlfn.XLOOKUP(CustomerCombined[[#This Row],[ID]], Table4[ID], Table4[Website], "Not Found", 0)</f>
        <v>1</v>
      </c>
      <c r="T250" s="5">
        <f>_xlfn.XLOOKUP(CustomerCombined[[#This Row],[ID]], Table4[ID], Table4[Catalog], "Not Found", 0)</f>
        <v>1</v>
      </c>
      <c r="U250" s="5">
        <f>_xlfn.XLOOKUP(CustomerCombined[[#This Row],[ID]], Table4[ID], Table4[Store], "Not Found", 0)</f>
        <v>3</v>
      </c>
      <c r="V250" s="5">
        <f>_xlfn.XLOOKUP(CustomerCombined[[#This Row],[ID]], Table4[ID], Table4[Visits], "Not Found", 0)</f>
        <v>6</v>
      </c>
      <c r="W250" s="8">
        <f>_xlfn.XLOOKUP(CustomerCombined[[#This Row],[ID]], Table2[ID],Table2[Complaint], "Not Found", 0 )</f>
        <v>0</v>
      </c>
      <c r="X250" s="8">
        <f>_xlfn.XLOOKUP(CustomerCombined[[#This Row],[ID]], Table2[ID],Table2[Pilot], "Not Found", 0 )</f>
        <v>0</v>
      </c>
      <c r="Y250" s="8">
        <f>_xlfn.XLOOKUP(CustomerCombined[[#This Row],[ID]], Table2[ID],Table2[MC1], "Not Found", 0 )</f>
        <v>0</v>
      </c>
      <c r="Z250" s="8">
        <f>_xlfn.XLOOKUP(CustomerCombined[[#This Row],[ID]], Table2[ID],Table2[MC2], "Not Found", 0 )</f>
        <v>0</v>
      </c>
      <c r="AA250" s="8">
        <f>_xlfn.XLOOKUP(CustomerCombined[[#This Row],[ID]], Table2[ID],Table2[MC3], "Not Found", 0 )</f>
        <v>0</v>
      </c>
      <c r="AB250" s="8">
        <f>_xlfn.XLOOKUP(CustomerCombined[[#This Row],[ID]], Table2[ID],Table2[MC4], "Not Found", 0 )</f>
        <v>0</v>
      </c>
      <c r="AC250" s="8">
        <f>_xlfn.XLOOKUP(CustomerCombined[[#This Row],[ID]], Table2[ID],Table2[MC5], "Not Found", 0 )</f>
        <v>0</v>
      </c>
    </row>
    <row r="251" spans="1:29" x14ac:dyDescent="0.3">
      <c r="A251" s="6">
        <v>1312</v>
      </c>
      <c r="B251" s="6">
        <v>127255</v>
      </c>
      <c r="C251" s="6">
        <v>1</v>
      </c>
      <c r="D251" s="6">
        <v>0</v>
      </c>
      <c r="E251" s="6">
        <v>36</v>
      </c>
      <c r="F251" s="5" t="s">
        <v>6</v>
      </c>
      <c r="G251" s="5" t="s">
        <v>11</v>
      </c>
      <c r="H251" s="3" t="s">
        <v>156</v>
      </c>
      <c r="I251" s="5" t="s">
        <v>439</v>
      </c>
      <c r="J251" s="5">
        <f>_xlfn.XLOOKUP(CustomerCombined[[#This Row],[ID]], Table4[ID], Table4[Recency], "Not Found", 0)</f>
        <v>3</v>
      </c>
      <c r="K251" s="5">
        <f>_xlfn.XLOOKUP(CustomerCombined[[#This Row],[ID]], Table4[ID], Table4[Teas], "Not Found", 0)</f>
        <v>103</v>
      </c>
      <c r="L251" s="5">
        <f>_xlfn.XLOOKUP(CustomerCombined[[#This Row],[ID]], Table4[ID], Table4[Fruits], "Not Found", 0)</f>
        <v>5</v>
      </c>
      <c r="M251" s="5">
        <f>_xlfn.XLOOKUP(CustomerCombined[[#This Row],[ID]], Table4[ID], Table4[Meats], "Not Found", 0)</f>
        <v>51</v>
      </c>
      <c r="N251" s="5">
        <f>_xlfn.XLOOKUP(CustomerCombined[[#This Row],[ID]], Table4[ID], Table4[Seafood], "Not Found", 0)</f>
        <v>0</v>
      </c>
      <c r="O251" s="5">
        <f>_xlfn.XLOOKUP(CustomerCombined[[#This Row],[ID]], Table4[ID], Table4[Sweets], "Not Found", 0)</f>
        <v>5</v>
      </c>
      <c r="P251" s="5">
        <f>_xlfn.XLOOKUP(CustomerCombined[[#This Row],[ID]], Table4[ID], Table4[Premium], "Not Found", 0)</f>
        <v>9</v>
      </c>
      <c r="Q251" s="5">
        <f>_xlfn.XLOOKUP(CustomerCombined[[#This Row],[ID]], Table4[ID], Table4[Regular], "Not Found", 0)</f>
        <v>154</v>
      </c>
      <c r="R251" s="5">
        <f>_xlfn.XLOOKUP(CustomerCombined[[#This Row],[ID]], Table4[ID], Table4[Deals], "Not Found", 0)</f>
        <v>1</v>
      </c>
      <c r="S251" s="5">
        <f>_xlfn.XLOOKUP(CustomerCombined[[#This Row],[ID]], Table4[ID], Table4[Website], "Not Found", 0)</f>
        <v>1</v>
      </c>
      <c r="T251" s="5">
        <f>_xlfn.XLOOKUP(CustomerCombined[[#This Row],[ID]], Table4[ID], Table4[Catalog], "Not Found", 0)</f>
        <v>0</v>
      </c>
      <c r="U251" s="5">
        <f>_xlfn.XLOOKUP(CustomerCombined[[#This Row],[ID]], Table4[ID], Table4[Store], "Not Found", 0)</f>
        <v>3</v>
      </c>
      <c r="V251" s="5">
        <f>_xlfn.XLOOKUP(CustomerCombined[[#This Row],[ID]], Table4[ID], Table4[Visits], "Not Found", 0)</f>
        <v>7</v>
      </c>
      <c r="W251" s="8">
        <f>_xlfn.XLOOKUP(CustomerCombined[[#This Row],[ID]], Table2[ID],Table2[Complaint], "Not Found", 0 )</f>
        <v>0</v>
      </c>
      <c r="X251" s="8">
        <f>_xlfn.XLOOKUP(CustomerCombined[[#This Row],[ID]], Table2[ID],Table2[Pilot], "Not Found", 0 )</f>
        <v>0</v>
      </c>
      <c r="Y251" s="8">
        <f>_xlfn.XLOOKUP(CustomerCombined[[#This Row],[ID]], Table2[ID],Table2[MC1], "Not Found", 0 )</f>
        <v>0</v>
      </c>
      <c r="Z251" s="8">
        <f>_xlfn.XLOOKUP(CustomerCombined[[#This Row],[ID]], Table2[ID],Table2[MC2], "Not Found", 0 )</f>
        <v>0</v>
      </c>
      <c r="AA251" s="8">
        <f>_xlfn.XLOOKUP(CustomerCombined[[#This Row],[ID]], Table2[ID],Table2[MC3], "Not Found", 0 )</f>
        <v>0</v>
      </c>
      <c r="AB251" s="8">
        <f>_xlfn.XLOOKUP(CustomerCombined[[#This Row],[ID]], Table2[ID],Table2[MC4], "Not Found", 0 )</f>
        <v>0</v>
      </c>
      <c r="AC251" s="8">
        <f>_xlfn.XLOOKUP(CustomerCombined[[#This Row],[ID]], Table2[ID],Table2[MC5], "Not Found", 0 )</f>
        <v>0</v>
      </c>
    </row>
    <row r="252" spans="1:29" x14ac:dyDescent="0.3">
      <c r="A252" s="6">
        <v>1004</v>
      </c>
      <c r="B252" s="6">
        <v>126646</v>
      </c>
      <c r="C252" s="6">
        <v>1</v>
      </c>
      <c r="D252" s="6">
        <v>0</v>
      </c>
      <c r="E252" s="6">
        <v>36</v>
      </c>
      <c r="F252" s="5" t="s">
        <v>8</v>
      </c>
      <c r="G252" s="5" t="s">
        <v>11</v>
      </c>
      <c r="H252" s="3" t="s">
        <v>103</v>
      </c>
      <c r="I252" s="5" t="s">
        <v>438</v>
      </c>
      <c r="J252" s="5">
        <f>_xlfn.XLOOKUP(CustomerCombined[[#This Row],[ID]], Table4[ID], Table4[Recency], "Not Found", 0)</f>
        <v>26</v>
      </c>
      <c r="K252" s="5">
        <f>_xlfn.XLOOKUP(CustomerCombined[[#This Row],[ID]], Table4[ID], Table4[Teas], "Not Found", 0)</f>
        <v>52</v>
      </c>
      <c r="L252" s="5">
        <f>_xlfn.XLOOKUP(CustomerCombined[[#This Row],[ID]], Table4[ID], Table4[Fruits], "Not Found", 0)</f>
        <v>19</v>
      </c>
      <c r="M252" s="5">
        <f>_xlfn.XLOOKUP(CustomerCombined[[#This Row],[ID]], Table4[ID], Table4[Meats], "Not Found", 0)</f>
        <v>95</v>
      </c>
      <c r="N252" s="5">
        <f>_xlfn.XLOOKUP(CustomerCombined[[#This Row],[ID]], Table4[ID], Table4[Seafood], "Not Found", 0)</f>
        <v>48</v>
      </c>
      <c r="O252" s="5">
        <f>_xlfn.XLOOKUP(CustomerCombined[[#This Row],[ID]], Table4[ID], Table4[Sweets], "Not Found", 0)</f>
        <v>14</v>
      </c>
      <c r="P252" s="5">
        <f>_xlfn.XLOOKUP(CustomerCombined[[#This Row],[ID]], Table4[ID], Table4[Premium], "Not Found", 0)</f>
        <v>24</v>
      </c>
      <c r="Q252" s="5">
        <f>_xlfn.XLOOKUP(CustomerCombined[[#This Row],[ID]], Table4[ID], Table4[Regular], "Not Found", 0)</f>
        <v>204</v>
      </c>
      <c r="R252" s="5">
        <f>_xlfn.XLOOKUP(CustomerCombined[[#This Row],[ID]], Table4[ID], Table4[Deals], "Not Found", 0)</f>
        <v>2</v>
      </c>
      <c r="S252" s="5">
        <f>_xlfn.XLOOKUP(CustomerCombined[[#This Row],[ID]], Table4[ID], Table4[Website], "Not Found", 0)</f>
        <v>2</v>
      </c>
      <c r="T252" s="5">
        <f>_xlfn.XLOOKUP(CustomerCombined[[#This Row],[ID]], Table4[ID], Table4[Catalog], "Not Found", 0)</f>
        <v>0</v>
      </c>
      <c r="U252" s="5">
        <f>_xlfn.XLOOKUP(CustomerCombined[[#This Row],[ID]], Table4[ID], Table4[Store], "Not Found", 0)</f>
        <v>4</v>
      </c>
      <c r="V252" s="5">
        <f>_xlfn.XLOOKUP(CustomerCombined[[#This Row],[ID]], Table4[ID], Table4[Visits], "Not Found", 0)</f>
        <v>6</v>
      </c>
      <c r="W252" s="8">
        <f>_xlfn.XLOOKUP(CustomerCombined[[#This Row],[ID]], Table2[ID],Table2[Complaint], "Not Found", 0 )</f>
        <v>0</v>
      </c>
      <c r="X252" s="8">
        <f>_xlfn.XLOOKUP(CustomerCombined[[#This Row],[ID]], Table2[ID],Table2[Pilot], "Not Found", 0 )</f>
        <v>0</v>
      </c>
      <c r="Y252" s="8">
        <f>_xlfn.XLOOKUP(CustomerCombined[[#This Row],[ID]], Table2[ID],Table2[MC1], "Not Found", 0 )</f>
        <v>0</v>
      </c>
      <c r="Z252" s="8">
        <f>_xlfn.XLOOKUP(CustomerCombined[[#This Row],[ID]], Table2[ID],Table2[MC2], "Not Found", 0 )</f>
        <v>0</v>
      </c>
      <c r="AA252" s="8">
        <f>_xlfn.XLOOKUP(CustomerCombined[[#This Row],[ID]], Table2[ID],Table2[MC3], "Not Found", 0 )</f>
        <v>0</v>
      </c>
      <c r="AB252" s="8">
        <f>_xlfn.XLOOKUP(CustomerCombined[[#This Row],[ID]], Table2[ID],Table2[MC4], "Not Found", 0 )</f>
        <v>0</v>
      </c>
      <c r="AC252" s="8">
        <f>_xlfn.XLOOKUP(CustomerCombined[[#This Row],[ID]], Table2[ID],Table2[MC5], "Not Found", 0 )</f>
        <v>0</v>
      </c>
    </row>
    <row r="253" spans="1:29" x14ac:dyDescent="0.3">
      <c r="A253" s="6">
        <v>2221</v>
      </c>
      <c r="B253" s="6">
        <v>125707</v>
      </c>
      <c r="C253" s="6">
        <v>1</v>
      </c>
      <c r="D253" s="6">
        <v>0</v>
      </c>
      <c r="E253" s="6">
        <v>36</v>
      </c>
      <c r="F253" s="5" t="s">
        <v>7</v>
      </c>
      <c r="G253" s="5" t="s">
        <v>10</v>
      </c>
      <c r="H253" s="3" t="s">
        <v>113</v>
      </c>
      <c r="I253" s="5" t="s">
        <v>437</v>
      </c>
      <c r="J253" s="5">
        <f>_xlfn.XLOOKUP(CustomerCombined[[#This Row],[ID]], Table4[ID], Table4[Recency], "Not Found", 0)</f>
        <v>18</v>
      </c>
      <c r="K253" s="5">
        <f>_xlfn.XLOOKUP(CustomerCombined[[#This Row],[ID]], Table4[ID], Table4[Teas], "Not Found", 0)</f>
        <v>5</v>
      </c>
      <c r="L253" s="5">
        <f>_xlfn.XLOOKUP(CustomerCombined[[#This Row],[ID]], Table4[ID], Table4[Fruits], "Not Found", 0)</f>
        <v>29</v>
      </c>
      <c r="M253" s="5">
        <f>_xlfn.XLOOKUP(CustomerCombined[[#This Row],[ID]], Table4[ID], Table4[Meats], "Not Found", 0)</f>
        <v>10</v>
      </c>
      <c r="N253" s="5">
        <f>_xlfn.XLOOKUP(CustomerCombined[[#This Row],[ID]], Table4[ID], Table4[Seafood], "Not Found", 0)</f>
        <v>15</v>
      </c>
      <c r="O253" s="5">
        <f>_xlfn.XLOOKUP(CustomerCombined[[#This Row],[ID]], Table4[ID], Table4[Sweets], "Not Found", 0)</f>
        <v>29</v>
      </c>
      <c r="P253" s="5">
        <f>_xlfn.XLOOKUP(CustomerCombined[[#This Row],[ID]], Table4[ID], Table4[Premium], "Not Found", 0)</f>
        <v>15</v>
      </c>
      <c r="Q253" s="5">
        <f>_xlfn.XLOOKUP(CustomerCombined[[#This Row],[ID]], Table4[ID], Table4[Regular], "Not Found", 0)</f>
        <v>73</v>
      </c>
      <c r="R253" s="5">
        <f>_xlfn.XLOOKUP(CustomerCombined[[#This Row],[ID]], Table4[ID], Table4[Deals], "Not Found", 0)</f>
        <v>1</v>
      </c>
      <c r="S253" s="5">
        <f>_xlfn.XLOOKUP(CustomerCombined[[#This Row],[ID]], Table4[ID], Table4[Website], "Not Found", 0)</f>
        <v>1</v>
      </c>
      <c r="T253" s="5">
        <f>_xlfn.XLOOKUP(CustomerCombined[[#This Row],[ID]], Table4[ID], Table4[Catalog], "Not Found", 0)</f>
        <v>0</v>
      </c>
      <c r="U253" s="5">
        <f>_xlfn.XLOOKUP(CustomerCombined[[#This Row],[ID]], Table4[ID], Table4[Store], "Not Found", 0)</f>
        <v>3</v>
      </c>
      <c r="V253" s="5">
        <f>_xlfn.XLOOKUP(CustomerCombined[[#This Row],[ID]], Table4[ID], Table4[Visits], "Not Found", 0)</f>
        <v>7</v>
      </c>
      <c r="W253" s="8">
        <f>_xlfn.XLOOKUP(CustomerCombined[[#This Row],[ID]], Table2[ID],Table2[Complaint], "Not Found", 0 )</f>
        <v>0</v>
      </c>
      <c r="X253" s="8">
        <f>_xlfn.XLOOKUP(CustomerCombined[[#This Row],[ID]], Table2[ID],Table2[Pilot], "Not Found", 0 )</f>
        <v>0</v>
      </c>
      <c r="Y253" s="8">
        <f>_xlfn.XLOOKUP(CustomerCombined[[#This Row],[ID]], Table2[ID],Table2[MC1], "Not Found", 0 )</f>
        <v>0</v>
      </c>
      <c r="Z253" s="8">
        <f>_xlfn.XLOOKUP(CustomerCombined[[#This Row],[ID]], Table2[ID],Table2[MC2], "Not Found", 0 )</f>
        <v>0</v>
      </c>
      <c r="AA253" s="8">
        <f>_xlfn.XLOOKUP(CustomerCombined[[#This Row],[ID]], Table2[ID],Table2[MC3], "Not Found", 0 )</f>
        <v>0</v>
      </c>
      <c r="AB253" s="8">
        <f>_xlfn.XLOOKUP(CustomerCombined[[#This Row],[ID]], Table2[ID],Table2[MC4], "Not Found", 0 )</f>
        <v>0</v>
      </c>
      <c r="AC253" s="8">
        <f>_xlfn.XLOOKUP(CustomerCombined[[#This Row],[ID]], Table2[ID],Table2[MC5], "Not Found", 0 )</f>
        <v>0</v>
      </c>
    </row>
    <row r="254" spans="1:29" x14ac:dyDescent="0.3">
      <c r="A254" s="6">
        <v>2955</v>
      </c>
      <c r="B254" s="6">
        <v>124570</v>
      </c>
      <c r="C254" s="6">
        <v>1</v>
      </c>
      <c r="D254" s="6">
        <v>0</v>
      </c>
      <c r="E254" s="6">
        <v>36</v>
      </c>
      <c r="F254" s="5" t="s">
        <v>6</v>
      </c>
      <c r="G254" s="5" t="s">
        <v>11</v>
      </c>
      <c r="H254" s="3">
        <v>43563</v>
      </c>
      <c r="I254" s="5" t="s">
        <v>435</v>
      </c>
      <c r="J254" s="5">
        <f>_xlfn.XLOOKUP(CustomerCombined[[#This Row],[ID]], Table4[ID], Table4[Recency], "Not Found", 0)</f>
        <v>97</v>
      </c>
      <c r="K254" s="5">
        <f>_xlfn.XLOOKUP(CustomerCombined[[#This Row],[ID]], Table4[ID], Table4[Teas], "Not Found", 0)</f>
        <v>142</v>
      </c>
      <c r="L254" s="5">
        <f>_xlfn.XLOOKUP(CustomerCombined[[#This Row],[ID]], Table4[ID], Table4[Fruits], "Not Found", 0)</f>
        <v>172</v>
      </c>
      <c r="M254" s="5">
        <f>_xlfn.XLOOKUP(CustomerCombined[[#This Row],[ID]], Table4[ID], Table4[Meats], "Not Found", 0)</f>
        <v>314</v>
      </c>
      <c r="N254" s="5">
        <f>_xlfn.XLOOKUP(CustomerCombined[[#This Row],[ID]], Table4[ID], Table4[Seafood], "Not Found", 0)</f>
        <v>56</v>
      </c>
      <c r="O254" s="5">
        <f>_xlfn.XLOOKUP(CustomerCombined[[#This Row],[ID]], Table4[ID], Table4[Sweets], "Not Found", 0)</f>
        <v>71</v>
      </c>
      <c r="P254" s="5">
        <f>_xlfn.XLOOKUP(CustomerCombined[[#This Row],[ID]], Table4[ID], Table4[Premium], "Not Found", 0)</f>
        <v>223</v>
      </c>
      <c r="Q254" s="5">
        <f>_xlfn.XLOOKUP(CustomerCombined[[#This Row],[ID]], Table4[ID], Table4[Regular], "Not Found", 0)</f>
        <v>532</v>
      </c>
      <c r="R254" s="5">
        <f>_xlfn.XLOOKUP(CustomerCombined[[#This Row],[ID]], Table4[ID], Table4[Deals], "Not Found", 0)</f>
        <v>3</v>
      </c>
      <c r="S254" s="5">
        <f>_xlfn.XLOOKUP(CustomerCombined[[#This Row],[ID]], Table4[ID], Table4[Website], "Not Found", 0)</f>
        <v>4</v>
      </c>
      <c r="T254" s="5">
        <f>_xlfn.XLOOKUP(CustomerCombined[[#This Row],[ID]], Table4[ID], Table4[Catalog], "Not Found", 0)</f>
        <v>0</v>
      </c>
      <c r="U254" s="5">
        <f>_xlfn.XLOOKUP(CustomerCombined[[#This Row],[ID]], Table4[ID], Table4[Store], "Not Found", 0)</f>
        <v>4</v>
      </c>
      <c r="V254" s="5">
        <f>_xlfn.XLOOKUP(CustomerCombined[[#This Row],[ID]], Table4[ID], Table4[Visits], "Not Found", 0)</f>
        <v>9</v>
      </c>
      <c r="W254" s="8">
        <f>_xlfn.XLOOKUP(CustomerCombined[[#This Row],[ID]], Table2[ID],Table2[Complaint], "Not Found", 0 )</f>
        <v>0</v>
      </c>
      <c r="X254" s="8">
        <f>_xlfn.XLOOKUP(CustomerCombined[[#This Row],[ID]], Table2[ID],Table2[Pilot], "Not Found", 0 )</f>
        <v>0</v>
      </c>
      <c r="Y254" s="8">
        <f>_xlfn.XLOOKUP(CustomerCombined[[#This Row],[ID]], Table2[ID],Table2[MC1], "Not Found", 0 )</f>
        <v>0</v>
      </c>
      <c r="Z254" s="8">
        <f>_xlfn.XLOOKUP(CustomerCombined[[#This Row],[ID]], Table2[ID],Table2[MC2], "Not Found", 0 )</f>
        <v>0</v>
      </c>
      <c r="AA254" s="8">
        <f>_xlfn.XLOOKUP(CustomerCombined[[#This Row],[ID]], Table2[ID],Table2[MC3], "Not Found", 0 )</f>
        <v>0</v>
      </c>
      <c r="AB254" s="8">
        <f>_xlfn.XLOOKUP(CustomerCombined[[#This Row],[ID]], Table2[ID],Table2[MC4], "Not Found", 0 )</f>
        <v>0</v>
      </c>
      <c r="AC254" s="8">
        <f>_xlfn.XLOOKUP(CustomerCombined[[#This Row],[ID]], Table2[ID],Table2[MC5], "Not Found", 0 )</f>
        <v>0</v>
      </c>
    </row>
    <row r="255" spans="1:29" x14ac:dyDescent="0.3">
      <c r="A255" s="6">
        <v>1291</v>
      </c>
      <c r="B255" s="6">
        <v>123976</v>
      </c>
      <c r="C255" s="6">
        <v>1</v>
      </c>
      <c r="D255" s="6">
        <v>0</v>
      </c>
      <c r="E255" s="6">
        <v>36</v>
      </c>
      <c r="F255" s="5" t="s">
        <v>8</v>
      </c>
      <c r="G255" s="5" t="s">
        <v>11</v>
      </c>
      <c r="H255" s="3">
        <v>43867</v>
      </c>
      <c r="I255" s="5" t="s">
        <v>437</v>
      </c>
      <c r="J255" s="5">
        <f>_xlfn.XLOOKUP(CustomerCombined[[#This Row],[ID]], Table4[ID], Table4[Recency], "Not Found", 0)</f>
        <v>68</v>
      </c>
      <c r="K255" s="5">
        <f>_xlfn.XLOOKUP(CustomerCombined[[#This Row],[ID]], Table4[ID], Table4[Teas], "Not Found", 0)</f>
        <v>72</v>
      </c>
      <c r="L255" s="5">
        <f>_xlfn.XLOOKUP(CustomerCombined[[#This Row],[ID]], Table4[ID], Table4[Fruits], "Not Found", 0)</f>
        <v>5</v>
      </c>
      <c r="M255" s="5">
        <f>_xlfn.XLOOKUP(CustomerCombined[[#This Row],[ID]], Table4[ID], Table4[Meats], "Not Found", 0)</f>
        <v>109</v>
      </c>
      <c r="N255" s="5">
        <f>_xlfn.XLOOKUP(CustomerCombined[[#This Row],[ID]], Table4[ID], Table4[Seafood], "Not Found", 0)</f>
        <v>10</v>
      </c>
      <c r="O255" s="5">
        <f>_xlfn.XLOOKUP(CustomerCombined[[#This Row],[ID]], Table4[ID], Table4[Sweets], "Not Found", 0)</f>
        <v>16</v>
      </c>
      <c r="P255" s="5">
        <f>_xlfn.XLOOKUP(CustomerCombined[[#This Row],[ID]], Table4[ID], Table4[Premium], "Not Found", 0)</f>
        <v>129</v>
      </c>
      <c r="Q255" s="5">
        <f>_xlfn.XLOOKUP(CustomerCombined[[#This Row],[ID]], Table4[ID], Table4[Regular], "Not Found", 0)</f>
        <v>83</v>
      </c>
      <c r="R255" s="5">
        <f>_xlfn.XLOOKUP(CustomerCombined[[#This Row],[ID]], Table4[ID], Table4[Deals], "Not Found", 0)</f>
        <v>3</v>
      </c>
      <c r="S255" s="5">
        <f>_xlfn.XLOOKUP(CustomerCombined[[#This Row],[ID]], Table4[ID], Table4[Website], "Not Found", 0)</f>
        <v>3</v>
      </c>
      <c r="T255" s="5">
        <f>_xlfn.XLOOKUP(CustomerCombined[[#This Row],[ID]], Table4[ID], Table4[Catalog], "Not Found", 0)</f>
        <v>1</v>
      </c>
      <c r="U255" s="5">
        <f>_xlfn.XLOOKUP(CustomerCombined[[#This Row],[ID]], Table4[ID], Table4[Store], "Not Found", 0)</f>
        <v>3</v>
      </c>
      <c r="V255" s="5">
        <f>_xlfn.XLOOKUP(CustomerCombined[[#This Row],[ID]], Table4[ID], Table4[Visits], "Not Found", 0)</f>
        <v>7</v>
      </c>
      <c r="W255" s="8">
        <f>_xlfn.XLOOKUP(CustomerCombined[[#This Row],[ID]], Table2[ID],Table2[Complaint], "Not Found", 0 )</f>
        <v>0</v>
      </c>
      <c r="X255" s="8">
        <f>_xlfn.XLOOKUP(CustomerCombined[[#This Row],[ID]], Table2[ID],Table2[Pilot], "Not Found", 0 )</f>
        <v>0</v>
      </c>
      <c r="Y255" s="8">
        <f>_xlfn.XLOOKUP(CustomerCombined[[#This Row],[ID]], Table2[ID],Table2[MC1], "Not Found", 0 )</f>
        <v>0</v>
      </c>
      <c r="Z255" s="8">
        <f>_xlfn.XLOOKUP(CustomerCombined[[#This Row],[ID]], Table2[ID],Table2[MC2], "Not Found", 0 )</f>
        <v>0</v>
      </c>
      <c r="AA255" s="8">
        <f>_xlfn.XLOOKUP(CustomerCombined[[#This Row],[ID]], Table2[ID],Table2[MC3], "Not Found", 0 )</f>
        <v>0</v>
      </c>
      <c r="AB255" s="8">
        <f>_xlfn.XLOOKUP(CustomerCombined[[#This Row],[ID]], Table2[ID],Table2[MC4], "Not Found", 0 )</f>
        <v>0</v>
      </c>
      <c r="AC255" s="8">
        <f>_xlfn.XLOOKUP(CustomerCombined[[#This Row],[ID]], Table2[ID],Table2[MC5], "Not Found", 0 )</f>
        <v>0</v>
      </c>
    </row>
    <row r="256" spans="1:29" x14ac:dyDescent="0.3">
      <c r="A256" s="6">
        <v>1152</v>
      </c>
      <c r="B256" s="6">
        <v>123228</v>
      </c>
      <c r="C256" s="6">
        <v>1</v>
      </c>
      <c r="D256" s="6">
        <v>0</v>
      </c>
      <c r="E256" s="6">
        <v>36</v>
      </c>
      <c r="F256" s="5" t="s">
        <v>6</v>
      </c>
      <c r="G256" s="5" t="s">
        <v>11</v>
      </c>
      <c r="H256" s="3">
        <v>44141</v>
      </c>
      <c r="I256" s="5" t="s">
        <v>436</v>
      </c>
      <c r="J256" s="5">
        <f>_xlfn.XLOOKUP(CustomerCombined[[#This Row],[ID]], Table4[ID], Table4[Recency], "Not Found", 0)</f>
        <v>91</v>
      </c>
      <c r="K256" s="5">
        <f>_xlfn.XLOOKUP(CustomerCombined[[#This Row],[ID]], Table4[ID], Table4[Teas], "Not Found", 0)</f>
        <v>281</v>
      </c>
      <c r="L256" s="5">
        <f>_xlfn.XLOOKUP(CustomerCombined[[#This Row],[ID]], Table4[ID], Table4[Fruits], "Not Found", 0)</f>
        <v>16</v>
      </c>
      <c r="M256" s="5">
        <f>_xlfn.XLOOKUP(CustomerCombined[[#This Row],[ID]], Table4[ID], Table4[Meats], "Not Found", 0)</f>
        <v>260</v>
      </c>
      <c r="N256" s="5">
        <f>_xlfn.XLOOKUP(CustomerCombined[[#This Row],[ID]], Table4[ID], Table4[Seafood], "Not Found", 0)</f>
        <v>37</v>
      </c>
      <c r="O256" s="5">
        <f>_xlfn.XLOOKUP(CustomerCombined[[#This Row],[ID]], Table4[ID], Table4[Sweets], "Not Found", 0)</f>
        <v>21</v>
      </c>
      <c r="P256" s="5">
        <f>_xlfn.XLOOKUP(CustomerCombined[[#This Row],[ID]], Table4[ID], Table4[Premium], "Not Found", 0)</f>
        <v>27</v>
      </c>
      <c r="Q256" s="5">
        <f>_xlfn.XLOOKUP(CustomerCombined[[#This Row],[ID]], Table4[ID], Table4[Regular], "Not Found", 0)</f>
        <v>589</v>
      </c>
      <c r="R256" s="5">
        <f>_xlfn.XLOOKUP(CustomerCombined[[#This Row],[ID]], Table4[ID], Table4[Deals], "Not Found", 0)</f>
        <v>4</v>
      </c>
      <c r="S256" s="5">
        <f>_xlfn.XLOOKUP(CustomerCombined[[#This Row],[ID]], Table4[ID], Table4[Website], "Not Found", 0)</f>
        <v>3</v>
      </c>
      <c r="T256" s="5">
        <f>_xlfn.XLOOKUP(CustomerCombined[[#This Row],[ID]], Table4[ID], Table4[Catalog], "Not Found", 0)</f>
        <v>0</v>
      </c>
      <c r="U256" s="5">
        <f>_xlfn.XLOOKUP(CustomerCombined[[#This Row],[ID]], Table4[ID], Table4[Store], "Not Found", 0)</f>
        <v>4</v>
      </c>
      <c r="V256" s="5">
        <f>_xlfn.XLOOKUP(CustomerCombined[[#This Row],[ID]], Table4[ID], Table4[Visits], "Not Found", 0)</f>
        <v>8</v>
      </c>
      <c r="W256" s="8">
        <f>_xlfn.XLOOKUP(CustomerCombined[[#This Row],[ID]], Table2[ID],Table2[Complaint], "Not Found", 0 )</f>
        <v>0</v>
      </c>
      <c r="X256" s="8">
        <f>_xlfn.XLOOKUP(CustomerCombined[[#This Row],[ID]], Table2[ID],Table2[Pilot], "Not Found", 0 )</f>
        <v>0</v>
      </c>
      <c r="Y256" s="8">
        <f>_xlfn.XLOOKUP(CustomerCombined[[#This Row],[ID]], Table2[ID],Table2[MC1], "Not Found", 0 )</f>
        <v>0</v>
      </c>
      <c r="Z256" s="8">
        <f>_xlfn.XLOOKUP(CustomerCombined[[#This Row],[ID]], Table2[ID],Table2[MC2], "Not Found", 0 )</f>
        <v>0</v>
      </c>
      <c r="AA256" s="8">
        <f>_xlfn.XLOOKUP(CustomerCombined[[#This Row],[ID]], Table2[ID],Table2[MC3], "Not Found", 0 )</f>
        <v>0</v>
      </c>
      <c r="AB256" s="8">
        <f>_xlfn.XLOOKUP(CustomerCombined[[#This Row],[ID]], Table2[ID],Table2[MC4], "Not Found", 0 )</f>
        <v>0</v>
      </c>
      <c r="AC256" s="8">
        <f>_xlfn.XLOOKUP(CustomerCombined[[#This Row],[ID]], Table2[ID],Table2[MC5], "Not Found", 0 )</f>
        <v>0</v>
      </c>
    </row>
    <row r="257" spans="1:29" x14ac:dyDescent="0.3">
      <c r="A257" s="6">
        <v>1703</v>
      </c>
      <c r="B257" s="6">
        <v>118988</v>
      </c>
      <c r="C257" s="6">
        <v>1</v>
      </c>
      <c r="D257" s="6">
        <v>0</v>
      </c>
      <c r="E257" s="6">
        <v>36</v>
      </c>
      <c r="F257" s="5" t="s">
        <v>6</v>
      </c>
      <c r="G257" s="5" t="s">
        <v>13</v>
      </c>
      <c r="H257" s="3" t="s">
        <v>44</v>
      </c>
      <c r="I257" s="5" t="s">
        <v>434</v>
      </c>
      <c r="J257" s="5">
        <f>_xlfn.XLOOKUP(CustomerCombined[[#This Row],[ID]], Table4[ID], Table4[Recency], "Not Found", 0)</f>
        <v>43</v>
      </c>
      <c r="K257" s="5">
        <f>_xlfn.XLOOKUP(CustomerCombined[[#This Row],[ID]], Table4[ID], Table4[Teas], "Not Found", 0)</f>
        <v>38</v>
      </c>
      <c r="L257" s="5">
        <f>_xlfn.XLOOKUP(CustomerCombined[[#This Row],[ID]], Table4[ID], Table4[Fruits], "Not Found", 0)</f>
        <v>0</v>
      </c>
      <c r="M257" s="5">
        <f>_xlfn.XLOOKUP(CustomerCombined[[#This Row],[ID]], Table4[ID], Table4[Meats], "Not Found", 0)</f>
        <v>38</v>
      </c>
      <c r="N257" s="5">
        <f>_xlfn.XLOOKUP(CustomerCombined[[#This Row],[ID]], Table4[ID], Table4[Seafood], "Not Found", 0)</f>
        <v>13</v>
      </c>
      <c r="O257" s="5">
        <f>_xlfn.XLOOKUP(CustomerCombined[[#This Row],[ID]], Table4[ID], Table4[Sweets], "Not Found", 0)</f>
        <v>6</v>
      </c>
      <c r="P257" s="5">
        <f>_xlfn.XLOOKUP(CustomerCombined[[#This Row],[ID]], Table4[ID], Table4[Premium], "Not Found", 0)</f>
        <v>6</v>
      </c>
      <c r="Q257" s="5">
        <f>_xlfn.XLOOKUP(CustomerCombined[[#This Row],[ID]], Table4[ID], Table4[Regular], "Not Found", 0)</f>
        <v>88</v>
      </c>
      <c r="R257" s="5">
        <f>_xlfn.XLOOKUP(CustomerCombined[[#This Row],[ID]], Table4[ID], Table4[Deals], "Not Found", 0)</f>
        <v>2</v>
      </c>
      <c r="S257" s="5">
        <f>_xlfn.XLOOKUP(CustomerCombined[[#This Row],[ID]], Table4[ID], Table4[Website], "Not Found", 0)</f>
        <v>1</v>
      </c>
      <c r="T257" s="5">
        <f>_xlfn.XLOOKUP(CustomerCombined[[#This Row],[ID]], Table4[ID], Table4[Catalog], "Not Found", 0)</f>
        <v>0</v>
      </c>
      <c r="U257" s="5">
        <f>_xlfn.XLOOKUP(CustomerCombined[[#This Row],[ID]], Table4[ID], Table4[Store], "Not Found", 0)</f>
        <v>3</v>
      </c>
      <c r="V257" s="5">
        <f>_xlfn.XLOOKUP(CustomerCombined[[#This Row],[ID]], Table4[ID], Table4[Visits], "Not Found", 0)</f>
        <v>7</v>
      </c>
      <c r="W257" s="8">
        <f>_xlfn.XLOOKUP(CustomerCombined[[#This Row],[ID]], Table2[ID],Table2[Complaint], "Not Found", 0 )</f>
        <v>0</v>
      </c>
      <c r="X257" s="8">
        <f>_xlfn.XLOOKUP(CustomerCombined[[#This Row],[ID]], Table2[ID],Table2[Pilot], "Not Found", 0 )</f>
        <v>0</v>
      </c>
      <c r="Y257" s="8">
        <f>_xlfn.XLOOKUP(CustomerCombined[[#This Row],[ID]], Table2[ID],Table2[MC1], "Not Found", 0 )</f>
        <v>0</v>
      </c>
      <c r="Z257" s="8">
        <f>_xlfn.XLOOKUP(CustomerCombined[[#This Row],[ID]], Table2[ID],Table2[MC2], "Not Found", 0 )</f>
        <v>0</v>
      </c>
      <c r="AA257" s="8">
        <f>_xlfn.XLOOKUP(CustomerCombined[[#This Row],[ID]], Table2[ID],Table2[MC3], "Not Found", 0 )</f>
        <v>0</v>
      </c>
      <c r="AB257" s="8">
        <f>_xlfn.XLOOKUP(CustomerCombined[[#This Row],[ID]], Table2[ID],Table2[MC4], "Not Found", 0 )</f>
        <v>0</v>
      </c>
      <c r="AC257" s="8">
        <f>_xlfn.XLOOKUP(CustomerCombined[[#This Row],[ID]], Table2[ID],Table2[MC5], "Not Found", 0 )</f>
        <v>0</v>
      </c>
    </row>
    <row r="258" spans="1:29" x14ac:dyDescent="0.3">
      <c r="A258" s="6">
        <v>1193</v>
      </c>
      <c r="B258" s="6">
        <v>118890</v>
      </c>
      <c r="C258" s="6">
        <v>0</v>
      </c>
      <c r="D258" s="6">
        <v>0</v>
      </c>
      <c r="E258" s="6">
        <v>36</v>
      </c>
      <c r="F258" s="5" t="s">
        <v>7</v>
      </c>
      <c r="G258" s="5" t="s">
        <v>12</v>
      </c>
      <c r="H258" s="3" t="s">
        <v>365</v>
      </c>
      <c r="I258" s="5" t="s">
        <v>434</v>
      </c>
      <c r="J258" s="5">
        <f>_xlfn.XLOOKUP(CustomerCombined[[#This Row],[ID]], Table4[ID], Table4[Recency], "Not Found", 0)</f>
        <v>5</v>
      </c>
      <c r="K258" s="5">
        <f>_xlfn.XLOOKUP(CustomerCombined[[#This Row],[ID]], Table4[ID], Table4[Teas], "Not Found", 0)</f>
        <v>38</v>
      </c>
      <c r="L258" s="5">
        <f>_xlfn.XLOOKUP(CustomerCombined[[#This Row],[ID]], Table4[ID], Table4[Fruits], "Not Found", 0)</f>
        <v>25</v>
      </c>
      <c r="M258" s="5">
        <f>_xlfn.XLOOKUP(CustomerCombined[[#This Row],[ID]], Table4[ID], Table4[Meats], "Not Found", 0)</f>
        <v>6</v>
      </c>
      <c r="N258" s="5">
        <f>_xlfn.XLOOKUP(CustomerCombined[[#This Row],[ID]], Table4[ID], Table4[Seafood], "Not Found", 0)</f>
        <v>44</v>
      </c>
      <c r="O258" s="5">
        <f>_xlfn.XLOOKUP(CustomerCombined[[#This Row],[ID]], Table4[ID], Table4[Sweets], "Not Found", 0)</f>
        <v>13</v>
      </c>
      <c r="P258" s="5">
        <f>_xlfn.XLOOKUP(CustomerCombined[[#This Row],[ID]], Table4[ID], Table4[Premium], "Not Found", 0)</f>
        <v>94</v>
      </c>
      <c r="Q258" s="5">
        <f>_xlfn.XLOOKUP(CustomerCombined[[#This Row],[ID]], Table4[ID], Table4[Regular], "Not Found", 0)</f>
        <v>31</v>
      </c>
      <c r="R258" s="5">
        <f>_xlfn.XLOOKUP(CustomerCombined[[#This Row],[ID]], Table4[ID], Table4[Deals], "Not Found", 0)</f>
        <v>1</v>
      </c>
      <c r="S258" s="5">
        <f>_xlfn.XLOOKUP(CustomerCombined[[#This Row],[ID]], Table4[ID], Table4[Website], "Not Found", 0)</f>
        <v>0</v>
      </c>
      <c r="T258" s="5">
        <f>_xlfn.XLOOKUP(CustomerCombined[[#This Row],[ID]], Table4[ID], Table4[Catalog], "Not Found", 0)</f>
        <v>1</v>
      </c>
      <c r="U258" s="5">
        <f>_xlfn.XLOOKUP(CustomerCombined[[#This Row],[ID]], Table4[ID], Table4[Store], "Not Found", 0)</f>
        <v>2</v>
      </c>
      <c r="V258" s="5">
        <f>_xlfn.XLOOKUP(CustomerCombined[[#This Row],[ID]], Table4[ID], Table4[Visits], "Not Found", 0)</f>
        <v>6</v>
      </c>
      <c r="W258" s="8">
        <f>_xlfn.XLOOKUP(CustomerCombined[[#This Row],[ID]], Table2[ID],Table2[Complaint], "Not Found", 0 )</f>
        <v>0</v>
      </c>
      <c r="X258" s="8">
        <f>_xlfn.XLOOKUP(CustomerCombined[[#This Row],[ID]], Table2[ID],Table2[Pilot], "Not Found", 0 )</f>
        <v>1</v>
      </c>
      <c r="Y258" s="8">
        <f>_xlfn.XLOOKUP(CustomerCombined[[#This Row],[ID]], Table2[ID],Table2[MC1], "Not Found", 0 )</f>
        <v>0</v>
      </c>
      <c r="Z258" s="8">
        <f>_xlfn.XLOOKUP(CustomerCombined[[#This Row],[ID]], Table2[ID],Table2[MC2], "Not Found", 0 )</f>
        <v>0</v>
      </c>
      <c r="AA258" s="8">
        <f>_xlfn.XLOOKUP(CustomerCombined[[#This Row],[ID]], Table2[ID],Table2[MC3], "Not Found", 0 )</f>
        <v>1</v>
      </c>
      <c r="AB258" s="8">
        <f>_xlfn.XLOOKUP(CustomerCombined[[#This Row],[ID]], Table2[ID],Table2[MC4], "Not Found", 0 )</f>
        <v>0</v>
      </c>
      <c r="AC258" s="8">
        <f>_xlfn.XLOOKUP(CustomerCombined[[#This Row],[ID]], Table2[ID],Table2[MC5], "Not Found", 0 )</f>
        <v>0</v>
      </c>
    </row>
    <row r="259" spans="1:29" x14ac:dyDescent="0.3">
      <c r="A259" s="6">
        <v>1810</v>
      </c>
      <c r="B259" s="6">
        <v>116529</v>
      </c>
      <c r="C259" s="6">
        <v>1</v>
      </c>
      <c r="D259" s="6">
        <v>0</v>
      </c>
      <c r="E259" s="6">
        <v>36</v>
      </c>
      <c r="F259" s="5" t="s">
        <v>8</v>
      </c>
      <c r="G259" s="5" t="s">
        <v>11</v>
      </c>
      <c r="H259" s="3">
        <v>43959</v>
      </c>
      <c r="I259" s="5" t="s">
        <v>439</v>
      </c>
      <c r="J259" s="5">
        <f>_xlfn.XLOOKUP(CustomerCombined[[#This Row],[ID]], Table4[ID], Table4[Recency], "Not Found", 0)</f>
        <v>23</v>
      </c>
      <c r="K259" s="5">
        <f>_xlfn.XLOOKUP(CustomerCombined[[#This Row],[ID]], Table4[ID], Table4[Teas], "Not Found", 0)</f>
        <v>21</v>
      </c>
      <c r="L259" s="5">
        <f>_xlfn.XLOOKUP(CustomerCombined[[#This Row],[ID]], Table4[ID], Table4[Fruits], "Not Found", 0)</f>
        <v>0</v>
      </c>
      <c r="M259" s="5">
        <f>_xlfn.XLOOKUP(CustomerCombined[[#This Row],[ID]], Table4[ID], Table4[Meats], "Not Found", 0)</f>
        <v>35</v>
      </c>
      <c r="N259" s="5">
        <f>_xlfn.XLOOKUP(CustomerCombined[[#This Row],[ID]], Table4[ID], Table4[Seafood], "Not Found", 0)</f>
        <v>92</v>
      </c>
      <c r="O259" s="5">
        <f>_xlfn.XLOOKUP(CustomerCombined[[#This Row],[ID]], Table4[ID], Table4[Sweets], "Not Found", 0)</f>
        <v>0</v>
      </c>
      <c r="P259" s="5">
        <f>_xlfn.XLOOKUP(CustomerCombined[[#This Row],[ID]], Table4[ID], Table4[Premium], "Not Found", 0)</f>
        <v>7</v>
      </c>
      <c r="Q259" s="5">
        <f>_xlfn.XLOOKUP(CustomerCombined[[#This Row],[ID]], Table4[ID], Table4[Regular], "Not Found", 0)</f>
        <v>141</v>
      </c>
      <c r="R259" s="5">
        <f>_xlfn.XLOOKUP(CustomerCombined[[#This Row],[ID]], Table4[ID], Table4[Deals], "Not Found", 0)</f>
        <v>1</v>
      </c>
      <c r="S259" s="5">
        <f>_xlfn.XLOOKUP(CustomerCombined[[#This Row],[ID]], Table4[ID], Table4[Website], "Not Found", 0)</f>
        <v>1</v>
      </c>
      <c r="T259" s="5">
        <f>_xlfn.XLOOKUP(CustomerCombined[[#This Row],[ID]], Table4[ID], Table4[Catalog], "Not Found", 0)</f>
        <v>0</v>
      </c>
      <c r="U259" s="5">
        <f>_xlfn.XLOOKUP(CustomerCombined[[#This Row],[ID]], Table4[ID], Table4[Store], "Not Found", 0)</f>
        <v>3</v>
      </c>
      <c r="V259" s="5">
        <f>_xlfn.XLOOKUP(CustomerCombined[[#This Row],[ID]], Table4[ID], Table4[Visits], "Not Found", 0)</f>
        <v>6</v>
      </c>
      <c r="W259" s="8">
        <f>_xlfn.XLOOKUP(CustomerCombined[[#This Row],[ID]], Table2[ID],Table2[Complaint], "Not Found", 0 )</f>
        <v>0</v>
      </c>
      <c r="X259" s="8">
        <f>_xlfn.XLOOKUP(CustomerCombined[[#This Row],[ID]], Table2[ID],Table2[Pilot], "Not Found", 0 )</f>
        <v>0</v>
      </c>
      <c r="Y259" s="8">
        <f>_xlfn.XLOOKUP(CustomerCombined[[#This Row],[ID]], Table2[ID],Table2[MC1], "Not Found", 0 )</f>
        <v>0</v>
      </c>
      <c r="Z259" s="8">
        <f>_xlfn.XLOOKUP(CustomerCombined[[#This Row],[ID]], Table2[ID],Table2[MC2], "Not Found", 0 )</f>
        <v>0</v>
      </c>
      <c r="AA259" s="8">
        <f>_xlfn.XLOOKUP(CustomerCombined[[#This Row],[ID]], Table2[ID],Table2[MC3], "Not Found", 0 )</f>
        <v>0</v>
      </c>
      <c r="AB259" s="8">
        <f>_xlfn.XLOOKUP(CustomerCombined[[#This Row],[ID]], Table2[ID],Table2[MC4], "Not Found", 0 )</f>
        <v>0</v>
      </c>
      <c r="AC259" s="8">
        <f>_xlfn.XLOOKUP(CustomerCombined[[#This Row],[ID]], Table2[ID],Table2[MC5], "Not Found", 0 )</f>
        <v>0</v>
      </c>
    </row>
    <row r="260" spans="1:29" x14ac:dyDescent="0.3">
      <c r="A260" s="6">
        <v>2095</v>
      </c>
      <c r="B260" s="6">
        <v>116269</v>
      </c>
      <c r="C260" s="6">
        <v>1</v>
      </c>
      <c r="D260" s="6">
        <v>0</v>
      </c>
      <c r="E260" s="6">
        <v>36</v>
      </c>
      <c r="F260" s="5" t="s">
        <v>7</v>
      </c>
      <c r="G260" s="5" t="s">
        <v>13</v>
      </c>
      <c r="H260" s="3">
        <v>43923</v>
      </c>
      <c r="I260" s="5" t="s">
        <v>437</v>
      </c>
      <c r="J260" s="5">
        <f>_xlfn.XLOOKUP(CustomerCombined[[#This Row],[ID]], Table4[ID], Table4[Recency], "Not Found", 0)</f>
        <v>75</v>
      </c>
      <c r="K260" s="5">
        <f>_xlfn.XLOOKUP(CustomerCombined[[#This Row],[ID]], Table4[ID], Table4[Teas], "Not Found", 0)</f>
        <v>136</v>
      </c>
      <c r="L260" s="5">
        <f>_xlfn.XLOOKUP(CustomerCombined[[#This Row],[ID]], Table4[ID], Table4[Fruits], "Not Found", 0)</f>
        <v>21</v>
      </c>
      <c r="M260" s="5">
        <f>_xlfn.XLOOKUP(CustomerCombined[[#This Row],[ID]], Table4[ID], Table4[Meats], "Not Found", 0)</f>
        <v>129</v>
      </c>
      <c r="N260" s="5">
        <f>_xlfn.XLOOKUP(CustomerCombined[[#This Row],[ID]], Table4[ID], Table4[Seafood], "Not Found", 0)</f>
        <v>21</v>
      </c>
      <c r="O260" s="5">
        <f>_xlfn.XLOOKUP(CustomerCombined[[#This Row],[ID]], Table4[ID], Table4[Sweets], "Not Found", 0)</f>
        <v>7</v>
      </c>
      <c r="P260" s="5">
        <f>_xlfn.XLOOKUP(CustomerCombined[[#This Row],[ID]], Table4[ID], Table4[Premium], "Not Found", 0)</f>
        <v>0</v>
      </c>
      <c r="Q260" s="5">
        <f>_xlfn.XLOOKUP(CustomerCombined[[#This Row],[ID]], Table4[ID], Table4[Regular], "Not Found", 0)</f>
        <v>314</v>
      </c>
      <c r="R260" s="5">
        <f>_xlfn.XLOOKUP(CustomerCombined[[#This Row],[ID]], Table4[ID], Table4[Deals], "Not Found", 0)</f>
        <v>3</v>
      </c>
      <c r="S260" s="5">
        <f>_xlfn.XLOOKUP(CustomerCombined[[#This Row],[ID]], Table4[ID], Table4[Website], "Not Found", 0)</f>
        <v>3</v>
      </c>
      <c r="T260" s="5">
        <f>_xlfn.XLOOKUP(CustomerCombined[[#This Row],[ID]], Table4[ID], Table4[Catalog], "Not Found", 0)</f>
        <v>0</v>
      </c>
      <c r="U260" s="5">
        <f>_xlfn.XLOOKUP(CustomerCombined[[#This Row],[ID]], Table4[ID], Table4[Store], "Not Found", 0)</f>
        <v>3</v>
      </c>
      <c r="V260" s="5">
        <f>_xlfn.XLOOKUP(CustomerCombined[[#This Row],[ID]], Table4[ID], Table4[Visits], "Not Found", 0)</f>
        <v>8</v>
      </c>
      <c r="W260" s="8">
        <f>_xlfn.XLOOKUP(CustomerCombined[[#This Row],[ID]], Table2[ID],Table2[Complaint], "Not Found", 0 )</f>
        <v>0</v>
      </c>
      <c r="X260" s="8">
        <f>_xlfn.XLOOKUP(CustomerCombined[[#This Row],[ID]], Table2[ID],Table2[Pilot], "Not Found", 0 )</f>
        <v>0</v>
      </c>
      <c r="Y260" s="8">
        <f>_xlfn.XLOOKUP(CustomerCombined[[#This Row],[ID]], Table2[ID],Table2[MC1], "Not Found", 0 )</f>
        <v>0</v>
      </c>
      <c r="Z260" s="8">
        <f>_xlfn.XLOOKUP(CustomerCombined[[#This Row],[ID]], Table2[ID],Table2[MC2], "Not Found", 0 )</f>
        <v>0</v>
      </c>
      <c r="AA260" s="8">
        <f>_xlfn.XLOOKUP(CustomerCombined[[#This Row],[ID]], Table2[ID],Table2[MC3], "Not Found", 0 )</f>
        <v>0</v>
      </c>
      <c r="AB260" s="8">
        <f>_xlfn.XLOOKUP(CustomerCombined[[#This Row],[ID]], Table2[ID],Table2[MC4], "Not Found", 0 )</f>
        <v>0</v>
      </c>
      <c r="AC260" s="8">
        <f>_xlfn.XLOOKUP(CustomerCombined[[#This Row],[ID]], Table2[ID],Table2[MC5], "Not Found", 0 )</f>
        <v>0</v>
      </c>
    </row>
    <row r="261" spans="1:29" x14ac:dyDescent="0.3">
      <c r="A261" s="6">
        <v>1381</v>
      </c>
      <c r="B261" s="6">
        <v>115345</v>
      </c>
      <c r="C261" s="6">
        <v>1</v>
      </c>
      <c r="D261" s="6">
        <v>0</v>
      </c>
      <c r="E261" s="6">
        <v>36</v>
      </c>
      <c r="F261" s="5" t="s">
        <v>8</v>
      </c>
      <c r="G261" s="5" t="s">
        <v>11</v>
      </c>
      <c r="H261" s="3">
        <v>43587</v>
      </c>
      <c r="I261" s="5" t="s">
        <v>437</v>
      </c>
      <c r="J261" s="5">
        <f>_xlfn.XLOOKUP(CustomerCombined[[#This Row],[ID]], Table4[ID], Table4[Recency], "Not Found", 0)</f>
        <v>51</v>
      </c>
      <c r="K261" s="5">
        <f>_xlfn.XLOOKUP(CustomerCombined[[#This Row],[ID]], Table4[ID], Table4[Teas], "Not Found", 0)</f>
        <v>38</v>
      </c>
      <c r="L261" s="5">
        <f>_xlfn.XLOOKUP(CustomerCombined[[#This Row],[ID]], Table4[ID], Table4[Fruits], "Not Found", 0)</f>
        <v>15</v>
      </c>
      <c r="M261" s="5">
        <f>_xlfn.XLOOKUP(CustomerCombined[[#This Row],[ID]], Table4[ID], Table4[Meats], "Not Found", 0)</f>
        <v>120</v>
      </c>
      <c r="N261" s="5">
        <f>_xlfn.XLOOKUP(CustomerCombined[[#This Row],[ID]], Table4[ID], Table4[Seafood], "Not Found", 0)</f>
        <v>23</v>
      </c>
      <c r="O261" s="5">
        <f>_xlfn.XLOOKUP(CustomerCombined[[#This Row],[ID]], Table4[ID], Table4[Sweets], "Not Found", 0)</f>
        <v>15</v>
      </c>
      <c r="P261" s="5">
        <f>_xlfn.XLOOKUP(CustomerCombined[[#This Row],[ID]], Table4[ID], Table4[Premium], "Not Found", 0)</f>
        <v>143</v>
      </c>
      <c r="Q261" s="5">
        <f>_xlfn.XLOOKUP(CustomerCombined[[#This Row],[ID]], Table4[ID], Table4[Regular], "Not Found", 0)</f>
        <v>68</v>
      </c>
      <c r="R261" s="5">
        <f>_xlfn.XLOOKUP(CustomerCombined[[#This Row],[ID]], Table4[ID], Table4[Deals], "Not Found", 0)</f>
        <v>2</v>
      </c>
      <c r="S261" s="5">
        <f>_xlfn.XLOOKUP(CustomerCombined[[#This Row],[ID]], Table4[ID], Table4[Website], "Not Found", 0)</f>
        <v>1</v>
      </c>
      <c r="T261" s="5">
        <f>_xlfn.XLOOKUP(CustomerCombined[[#This Row],[ID]], Table4[ID], Table4[Catalog], "Not Found", 0)</f>
        <v>1</v>
      </c>
      <c r="U261" s="5">
        <f>_xlfn.XLOOKUP(CustomerCombined[[#This Row],[ID]], Table4[ID], Table4[Store], "Not Found", 0)</f>
        <v>2</v>
      </c>
      <c r="V261" s="5">
        <f>_xlfn.XLOOKUP(CustomerCombined[[#This Row],[ID]], Table4[ID], Table4[Visits], "Not Found", 0)</f>
        <v>8</v>
      </c>
      <c r="W261" s="8">
        <f>_xlfn.XLOOKUP(CustomerCombined[[#This Row],[ID]], Table2[ID],Table2[Complaint], "Not Found", 0 )</f>
        <v>0</v>
      </c>
      <c r="X261" s="8">
        <f>_xlfn.XLOOKUP(CustomerCombined[[#This Row],[ID]], Table2[ID],Table2[Pilot], "Not Found", 0 )</f>
        <v>1</v>
      </c>
      <c r="Y261" s="8">
        <f>_xlfn.XLOOKUP(CustomerCombined[[#This Row],[ID]], Table2[ID],Table2[MC1], "Not Found", 0 )</f>
        <v>0</v>
      </c>
      <c r="Z261" s="8">
        <f>_xlfn.XLOOKUP(CustomerCombined[[#This Row],[ID]], Table2[ID],Table2[MC2], "Not Found", 0 )</f>
        <v>0</v>
      </c>
      <c r="AA261" s="8">
        <f>_xlfn.XLOOKUP(CustomerCombined[[#This Row],[ID]], Table2[ID],Table2[MC3], "Not Found", 0 )</f>
        <v>0</v>
      </c>
      <c r="AB261" s="8">
        <f>_xlfn.XLOOKUP(CustomerCombined[[#This Row],[ID]], Table2[ID],Table2[MC4], "Not Found", 0 )</f>
        <v>0</v>
      </c>
      <c r="AC261" s="8">
        <f>_xlfn.XLOOKUP(CustomerCombined[[#This Row],[ID]], Table2[ID],Table2[MC5], "Not Found", 0 )</f>
        <v>0</v>
      </c>
    </row>
    <row r="262" spans="1:29" x14ac:dyDescent="0.3">
      <c r="A262" s="6">
        <v>3071</v>
      </c>
      <c r="B262" s="6">
        <v>114796</v>
      </c>
      <c r="C262" s="6">
        <v>1</v>
      </c>
      <c r="D262" s="6">
        <v>0</v>
      </c>
      <c r="E262" s="6">
        <v>36</v>
      </c>
      <c r="F262" s="5" t="s">
        <v>6</v>
      </c>
      <c r="G262" s="5" t="s">
        <v>442</v>
      </c>
      <c r="H262" s="3" t="s">
        <v>394</v>
      </c>
      <c r="I262" s="5" t="s">
        <v>434</v>
      </c>
      <c r="J262" s="5">
        <f>_xlfn.XLOOKUP(CustomerCombined[[#This Row],[ID]], Table4[ID], Table4[Recency], "Not Found", 0)</f>
        <v>1</v>
      </c>
      <c r="K262" s="5">
        <f>_xlfn.XLOOKUP(CustomerCombined[[#This Row],[ID]], Table4[ID], Table4[Teas], "Not Found", 0)</f>
        <v>101</v>
      </c>
      <c r="L262" s="5">
        <f>_xlfn.XLOOKUP(CustomerCombined[[#This Row],[ID]], Table4[ID], Table4[Fruits], "Not Found", 0)</f>
        <v>23</v>
      </c>
      <c r="M262" s="5">
        <f>_xlfn.XLOOKUP(CustomerCombined[[#This Row],[ID]], Table4[ID], Table4[Meats], "Not Found", 0)</f>
        <v>62</v>
      </c>
      <c r="N262" s="5">
        <f>_xlfn.XLOOKUP(CustomerCombined[[#This Row],[ID]], Table4[ID], Table4[Seafood], "Not Found", 0)</f>
        <v>54</v>
      </c>
      <c r="O262" s="5">
        <f>_xlfn.XLOOKUP(CustomerCombined[[#This Row],[ID]], Table4[ID], Table4[Sweets], "Not Found", 0)</f>
        <v>31</v>
      </c>
      <c r="P262" s="5">
        <f>_xlfn.XLOOKUP(CustomerCombined[[#This Row],[ID]], Table4[ID], Table4[Premium], "Not Found", 0)</f>
        <v>124</v>
      </c>
      <c r="Q262" s="5">
        <f>_xlfn.XLOOKUP(CustomerCombined[[#This Row],[ID]], Table4[ID], Table4[Regular], "Not Found", 0)</f>
        <v>147</v>
      </c>
      <c r="R262" s="5">
        <f>_xlfn.XLOOKUP(CustomerCombined[[#This Row],[ID]], Table4[ID], Table4[Deals], "Not Found", 0)</f>
        <v>2</v>
      </c>
      <c r="S262" s="5">
        <f>_xlfn.XLOOKUP(CustomerCombined[[#This Row],[ID]], Table4[ID], Table4[Website], "Not Found", 0)</f>
        <v>1</v>
      </c>
      <c r="T262" s="5">
        <f>_xlfn.XLOOKUP(CustomerCombined[[#This Row],[ID]], Table4[ID], Table4[Catalog], "Not Found", 0)</f>
        <v>0</v>
      </c>
      <c r="U262" s="5">
        <f>_xlfn.XLOOKUP(CustomerCombined[[#This Row],[ID]], Table4[ID], Table4[Store], "Not Found", 0)</f>
        <v>3</v>
      </c>
      <c r="V262" s="5">
        <f>_xlfn.XLOOKUP(CustomerCombined[[#This Row],[ID]], Table4[ID], Table4[Visits], "Not Found", 0)</f>
        <v>9</v>
      </c>
      <c r="W262" s="8">
        <f>_xlfn.XLOOKUP(CustomerCombined[[#This Row],[ID]], Table2[ID],Table2[Complaint], "Not Found", 0 )</f>
        <v>0</v>
      </c>
      <c r="X262" s="8">
        <f>_xlfn.XLOOKUP(CustomerCombined[[#This Row],[ID]], Table2[ID],Table2[Pilot], "Not Found", 0 )</f>
        <v>1</v>
      </c>
      <c r="Y262" s="8">
        <f>_xlfn.XLOOKUP(CustomerCombined[[#This Row],[ID]], Table2[ID],Table2[MC1], "Not Found", 0 )</f>
        <v>0</v>
      </c>
      <c r="Z262" s="8">
        <f>_xlfn.XLOOKUP(CustomerCombined[[#This Row],[ID]], Table2[ID],Table2[MC2], "Not Found", 0 )</f>
        <v>0</v>
      </c>
      <c r="AA262" s="8">
        <f>_xlfn.XLOOKUP(CustomerCombined[[#This Row],[ID]], Table2[ID],Table2[MC3], "Not Found", 0 )</f>
        <v>0</v>
      </c>
      <c r="AB262" s="8">
        <f>_xlfn.XLOOKUP(CustomerCombined[[#This Row],[ID]], Table2[ID],Table2[MC4], "Not Found", 0 )</f>
        <v>0</v>
      </c>
      <c r="AC262" s="8">
        <f>_xlfn.XLOOKUP(CustomerCombined[[#This Row],[ID]], Table2[ID],Table2[MC5], "Not Found", 0 )</f>
        <v>0</v>
      </c>
    </row>
    <row r="263" spans="1:29" x14ac:dyDescent="0.3">
      <c r="A263" s="6">
        <v>3197</v>
      </c>
      <c r="B263" s="6">
        <v>111012</v>
      </c>
      <c r="C263" s="6">
        <v>1</v>
      </c>
      <c r="D263" s="6">
        <v>0</v>
      </c>
      <c r="E263" s="6">
        <v>36</v>
      </c>
      <c r="F263" s="5" t="s">
        <v>7</v>
      </c>
      <c r="G263" s="5" t="s">
        <v>11</v>
      </c>
      <c r="H263" s="3" t="s">
        <v>292</v>
      </c>
      <c r="I263" s="5" t="s">
        <v>434</v>
      </c>
      <c r="J263" s="5">
        <f>_xlfn.XLOOKUP(CustomerCombined[[#This Row],[ID]], Table4[ID], Table4[Recency], "Not Found", 0)</f>
        <v>82</v>
      </c>
      <c r="K263" s="5">
        <f>_xlfn.XLOOKUP(CustomerCombined[[#This Row],[ID]], Table4[ID], Table4[Teas], "Not Found", 0)</f>
        <v>242</v>
      </c>
      <c r="L263" s="5">
        <f>_xlfn.XLOOKUP(CustomerCombined[[#This Row],[ID]], Table4[ID], Table4[Fruits], "Not Found", 0)</f>
        <v>30</v>
      </c>
      <c r="M263" s="5">
        <f>_xlfn.XLOOKUP(CustomerCombined[[#This Row],[ID]], Table4[ID], Table4[Meats], "Not Found", 0)</f>
        <v>262</v>
      </c>
      <c r="N263" s="5">
        <f>_xlfn.XLOOKUP(CustomerCombined[[#This Row],[ID]], Table4[ID], Table4[Seafood], "Not Found", 0)</f>
        <v>71</v>
      </c>
      <c r="O263" s="5">
        <f>_xlfn.XLOOKUP(CustomerCombined[[#This Row],[ID]], Table4[ID], Table4[Sweets], "Not Found", 0)</f>
        <v>10</v>
      </c>
      <c r="P263" s="5">
        <f>_xlfn.XLOOKUP(CustomerCombined[[#This Row],[ID]], Table4[ID], Table4[Premium], "Not Found", 0)</f>
        <v>232</v>
      </c>
      <c r="Q263" s="5">
        <f>_xlfn.XLOOKUP(CustomerCombined[[#This Row],[ID]], Table4[ID], Table4[Regular], "Not Found", 0)</f>
        <v>383</v>
      </c>
      <c r="R263" s="5">
        <f>_xlfn.XLOOKUP(CustomerCombined[[#This Row],[ID]], Table4[ID], Table4[Deals], "Not Found", 0)</f>
        <v>3</v>
      </c>
      <c r="S263" s="5">
        <f>_xlfn.XLOOKUP(CustomerCombined[[#This Row],[ID]], Table4[ID], Table4[Website], "Not Found", 0)</f>
        <v>3</v>
      </c>
      <c r="T263" s="5">
        <f>_xlfn.XLOOKUP(CustomerCombined[[#This Row],[ID]], Table4[ID], Table4[Catalog], "Not Found", 0)</f>
        <v>1</v>
      </c>
      <c r="U263" s="5">
        <f>_xlfn.XLOOKUP(CustomerCombined[[#This Row],[ID]], Table4[ID], Table4[Store], "Not Found", 0)</f>
        <v>2</v>
      </c>
      <c r="V263" s="5">
        <f>_xlfn.XLOOKUP(CustomerCombined[[#This Row],[ID]], Table4[ID], Table4[Visits], "Not Found", 0)</f>
        <v>9</v>
      </c>
      <c r="W263" s="8">
        <f>_xlfn.XLOOKUP(CustomerCombined[[#This Row],[ID]], Table2[ID],Table2[Complaint], "Not Found", 0 )</f>
        <v>0</v>
      </c>
      <c r="X263" s="8">
        <f>_xlfn.XLOOKUP(CustomerCombined[[#This Row],[ID]], Table2[ID],Table2[Pilot], "Not Found", 0 )</f>
        <v>0</v>
      </c>
      <c r="Y263" s="8">
        <f>_xlfn.XLOOKUP(CustomerCombined[[#This Row],[ID]], Table2[ID],Table2[MC1], "Not Found", 0 )</f>
        <v>0</v>
      </c>
      <c r="Z263" s="8">
        <f>_xlfn.XLOOKUP(CustomerCombined[[#This Row],[ID]], Table2[ID],Table2[MC2], "Not Found", 0 )</f>
        <v>0</v>
      </c>
      <c r="AA263" s="8">
        <f>_xlfn.XLOOKUP(CustomerCombined[[#This Row],[ID]], Table2[ID],Table2[MC3], "Not Found", 0 )</f>
        <v>1</v>
      </c>
      <c r="AB263" s="8">
        <f>_xlfn.XLOOKUP(CustomerCombined[[#This Row],[ID]], Table2[ID],Table2[MC4], "Not Found", 0 )</f>
        <v>0</v>
      </c>
      <c r="AC263" s="8">
        <f>_xlfn.XLOOKUP(CustomerCombined[[#This Row],[ID]], Table2[ID],Table2[MC5], "Not Found", 0 )</f>
        <v>0</v>
      </c>
    </row>
    <row r="264" spans="1:29" x14ac:dyDescent="0.3">
      <c r="A264" s="6">
        <v>1116</v>
      </c>
      <c r="B264" s="6">
        <v>201970</v>
      </c>
      <c r="C264" s="6">
        <v>0</v>
      </c>
      <c r="D264" s="6">
        <v>0</v>
      </c>
      <c r="E264" s="6">
        <v>37</v>
      </c>
      <c r="F264" s="5" t="s">
        <v>7</v>
      </c>
      <c r="G264" s="5" t="s">
        <v>11</v>
      </c>
      <c r="H264" s="3" t="s">
        <v>295</v>
      </c>
      <c r="I264" s="5" t="s">
        <v>436</v>
      </c>
      <c r="J264" s="5">
        <f>_xlfn.XLOOKUP(CustomerCombined[[#This Row],[ID]], Table4[ID], Table4[Recency], "Not Found", 0)</f>
        <v>69</v>
      </c>
      <c r="K264" s="5">
        <f>_xlfn.XLOOKUP(CustomerCombined[[#This Row],[ID]], Table4[ID], Table4[Teas], "Not Found", 0)</f>
        <v>1430</v>
      </c>
      <c r="L264" s="5">
        <f>_xlfn.XLOOKUP(CustomerCombined[[#This Row],[ID]], Table4[ID], Table4[Fruits], "Not Found", 0)</f>
        <v>53</v>
      </c>
      <c r="M264" s="5">
        <f>_xlfn.XLOOKUP(CustomerCombined[[#This Row],[ID]], Table4[ID], Table4[Meats], "Not Found", 0)</f>
        <v>202</v>
      </c>
      <c r="N264" s="5">
        <f>_xlfn.XLOOKUP(CustomerCombined[[#This Row],[ID]], Table4[ID], Table4[Seafood], "Not Found", 0)</f>
        <v>87</v>
      </c>
      <c r="O264" s="5">
        <f>_xlfn.XLOOKUP(CustomerCombined[[#This Row],[ID]], Table4[ID], Table4[Sweets], "Not Found", 0)</f>
        <v>143</v>
      </c>
      <c r="P264" s="5">
        <f>_xlfn.XLOOKUP(CustomerCombined[[#This Row],[ID]], Table4[ID], Table4[Premium], "Not Found", 0)</f>
        <v>333</v>
      </c>
      <c r="Q264" s="5">
        <f>_xlfn.XLOOKUP(CustomerCombined[[#This Row],[ID]], Table4[ID], Table4[Regular], "Not Found", 0)</f>
        <v>1583</v>
      </c>
      <c r="R264" s="5">
        <f>_xlfn.XLOOKUP(CustomerCombined[[#This Row],[ID]], Table4[ID], Table4[Deals], "Not Found", 0)</f>
        <v>0</v>
      </c>
      <c r="S264" s="5">
        <f>_xlfn.XLOOKUP(CustomerCombined[[#This Row],[ID]], Table4[ID], Table4[Website], "Not Found", 0)</f>
        <v>6</v>
      </c>
      <c r="T264" s="5">
        <f>_xlfn.XLOOKUP(CustomerCombined[[#This Row],[ID]], Table4[ID], Table4[Catalog], "Not Found", 0)</f>
        <v>8</v>
      </c>
      <c r="U264" s="5">
        <f>_xlfn.XLOOKUP(CustomerCombined[[#This Row],[ID]], Table4[ID], Table4[Store], "Not Found", 0)</f>
        <v>13</v>
      </c>
      <c r="V264" s="5">
        <f>_xlfn.XLOOKUP(CustomerCombined[[#This Row],[ID]], Table4[ID], Table4[Visits], "Not Found", 0)</f>
        <v>2</v>
      </c>
      <c r="W264" s="8">
        <f>_xlfn.XLOOKUP(CustomerCombined[[#This Row],[ID]], Table2[ID],Table2[Complaint], "Not Found", 0 )</f>
        <v>0</v>
      </c>
      <c r="X264" s="8">
        <f>_xlfn.XLOOKUP(CustomerCombined[[#This Row],[ID]], Table2[ID],Table2[Pilot], "Not Found", 0 )</f>
        <v>1</v>
      </c>
      <c r="Y264" s="8">
        <f>_xlfn.XLOOKUP(CustomerCombined[[#This Row],[ID]], Table2[ID],Table2[MC1], "Not Found", 0 )</f>
        <v>1</v>
      </c>
      <c r="Z264" s="8">
        <f>_xlfn.XLOOKUP(CustomerCombined[[#This Row],[ID]], Table2[ID],Table2[MC2], "Not Found", 0 )</f>
        <v>0</v>
      </c>
      <c r="AA264" s="8">
        <f>_xlfn.XLOOKUP(CustomerCombined[[#This Row],[ID]], Table2[ID],Table2[MC3], "Not Found", 0 )</f>
        <v>0</v>
      </c>
      <c r="AB264" s="8">
        <f>_xlfn.XLOOKUP(CustomerCombined[[#This Row],[ID]], Table2[ID],Table2[MC4], "Not Found", 0 )</f>
        <v>1</v>
      </c>
      <c r="AC264" s="8">
        <f>_xlfn.XLOOKUP(CustomerCombined[[#This Row],[ID]], Table2[ID],Table2[MC5], "Not Found", 0 )</f>
        <v>1</v>
      </c>
    </row>
    <row r="265" spans="1:29" x14ac:dyDescent="0.3">
      <c r="A265" s="6">
        <v>2696</v>
      </c>
      <c r="B265" s="6">
        <v>192491</v>
      </c>
      <c r="C265" s="6">
        <v>0</v>
      </c>
      <c r="D265" s="6">
        <v>0</v>
      </c>
      <c r="E265" s="6">
        <v>37</v>
      </c>
      <c r="F265" s="5" t="s">
        <v>6</v>
      </c>
      <c r="G265" s="5" t="s">
        <v>13</v>
      </c>
      <c r="H265" s="3">
        <v>43626</v>
      </c>
      <c r="I265" s="5" t="s">
        <v>438</v>
      </c>
      <c r="J265" s="5">
        <f>_xlfn.XLOOKUP(CustomerCombined[[#This Row],[ID]], Table4[ID], Table4[Recency], "Not Found", 0)</f>
        <v>71</v>
      </c>
      <c r="K265" s="5">
        <f>_xlfn.XLOOKUP(CustomerCombined[[#This Row],[ID]], Table4[ID], Table4[Teas], "Not Found", 0)</f>
        <v>2037</v>
      </c>
      <c r="L265" s="5">
        <f>_xlfn.XLOOKUP(CustomerCombined[[#This Row],[ID]], Table4[ID], Table4[Fruits], "Not Found", 0)</f>
        <v>92</v>
      </c>
      <c r="M265" s="5">
        <f>_xlfn.XLOOKUP(CustomerCombined[[#This Row],[ID]], Table4[ID], Table4[Meats], "Not Found", 0)</f>
        <v>1946</v>
      </c>
      <c r="N265" s="5">
        <f>_xlfn.XLOOKUP(CustomerCombined[[#This Row],[ID]], Table4[ID], Table4[Seafood], "Not Found", 0)</f>
        <v>60</v>
      </c>
      <c r="O265" s="5">
        <f>_xlfn.XLOOKUP(CustomerCombined[[#This Row],[ID]], Table4[ID], Table4[Sweets], "Not Found", 0)</f>
        <v>52</v>
      </c>
      <c r="P265" s="5">
        <f>_xlfn.XLOOKUP(CustomerCombined[[#This Row],[ID]], Table4[ID], Table4[Premium], "Not Found", 0)</f>
        <v>46</v>
      </c>
      <c r="Q265" s="5">
        <f>_xlfn.XLOOKUP(CustomerCombined[[#This Row],[ID]], Table4[ID], Table4[Regular], "Not Found", 0)</f>
        <v>4142</v>
      </c>
      <c r="R265" s="5">
        <f>_xlfn.XLOOKUP(CustomerCombined[[#This Row],[ID]], Table4[ID], Table4[Deals], "Not Found", 0)</f>
        <v>1</v>
      </c>
      <c r="S265" s="5">
        <f>_xlfn.XLOOKUP(CustomerCombined[[#This Row],[ID]], Table4[ID], Table4[Website], "Not Found", 0)</f>
        <v>7</v>
      </c>
      <c r="T265" s="5">
        <f>_xlfn.XLOOKUP(CustomerCombined[[#This Row],[ID]], Table4[ID], Table4[Catalog], "Not Found", 0)</f>
        <v>5</v>
      </c>
      <c r="U265" s="5">
        <f>_xlfn.XLOOKUP(CustomerCombined[[#This Row],[ID]], Table4[ID], Table4[Store], "Not Found", 0)</f>
        <v>12</v>
      </c>
      <c r="V265" s="5">
        <f>_xlfn.XLOOKUP(CustomerCombined[[#This Row],[ID]], Table4[ID], Table4[Visits], "Not Found", 0)</f>
        <v>3</v>
      </c>
      <c r="W265" s="8">
        <f>_xlfn.XLOOKUP(CustomerCombined[[#This Row],[ID]], Table2[ID],Table2[Complaint], "Not Found", 0 )</f>
        <v>0</v>
      </c>
      <c r="X265" s="8">
        <f>_xlfn.XLOOKUP(CustomerCombined[[#This Row],[ID]], Table2[ID],Table2[Pilot], "Not Found", 0 )</f>
        <v>1</v>
      </c>
      <c r="Y265" s="8">
        <f>_xlfn.XLOOKUP(CustomerCombined[[#This Row],[ID]], Table2[ID],Table2[MC1], "Not Found", 0 )</f>
        <v>1</v>
      </c>
      <c r="Z265" s="8">
        <f>_xlfn.XLOOKUP(CustomerCombined[[#This Row],[ID]], Table2[ID],Table2[MC2], "Not Found", 0 )</f>
        <v>0</v>
      </c>
      <c r="AA265" s="8">
        <f>_xlfn.XLOOKUP(CustomerCombined[[#This Row],[ID]], Table2[ID],Table2[MC3], "Not Found", 0 )</f>
        <v>0</v>
      </c>
      <c r="AB265" s="8">
        <f>_xlfn.XLOOKUP(CustomerCombined[[#This Row],[ID]], Table2[ID],Table2[MC4], "Not Found", 0 )</f>
        <v>1</v>
      </c>
      <c r="AC265" s="8">
        <f>_xlfn.XLOOKUP(CustomerCombined[[#This Row],[ID]], Table2[ID],Table2[MC5], "Not Found", 0 )</f>
        <v>1</v>
      </c>
    </row>
    <row r="266" spans="1:29" x14ac:dyDescent="0.3">
      <c r="A266" s="6">
        <v>2242</v>
      </c>
      <c r="B266" s="6">
        <v>190687</v>
      </c>
      <c r="C266" s="6">
        <v>0</v>
      </c>
      <c r="D266" s="6">
        <v>0</v>
      </c>
      <c r="E266" s="6">
        <v>37</v>
      </c>
      <c r="F266" s="5" t="s">
        <v>5</v>
      </c>
      <c r="G266" s="5" t="s">
        <v>13</v>
      </c>
      <c r="H266" s="3" t="s">
        <v>249</v>
      </c>
      <c r="I266" s="5" t="s">
        <v>439</v>
      </c>
      <c r="J266" s="5">
        <f>_xlfn.XLOOKUP(CustomerCombined[[#This Row],[ID]], Table4[ID], Table4[Recency], "Not Found", 0)</f>
        <v>98</v>
      </c>
      <c r="K266" s="5">
        <f>_xlfn.XLOOKUP(CustomerCombined[[#This Row],[ID]], Table4[ID], Table4[Teas], "Not Found", 0)</f>
        <v>2065</v>
      </c>
      <c r="L266" s="5">
        <f>_xlfn.XLOOKUP(CustomerCombined[[#This Row],[ID]], Table4[ID], Table4[Fruits], "Not Found", 0)</f>
        <v>36</v>
      </c>
      <c r="M266" s="5">
        <f>_xlfn.XLOOKUP(CustomerCombined[[#This Row],[ID]], Table4[ID], Table4[Meats], "Not Found", 0)</f>
        <v>1413</v>
      </c>
      <c r="N266" s="5">
        <f>_xlfn.XLOOKUP(CustomerCombined[[#This Row],[ID]], Table4[ID], Table4[Seafood], "Not Found", 0)</f>
        <v>48</v>
      </c>
      <c r="O266" s="5">
        <f>_xlfn.XLOOKUP(CustomerCombined[[#This Row],[ID]], Table4[ID], Table4[Sweets], "Not Found", 0)</f>
        <v>71</v>
      </c>
      <c r="P266" s="5">
        <f>_xlfn.XLOOKUP(CustomerCombined[[#This Row],[ID]], Table4[ID], Table4[Premium], "Not Found", 0)</f>
        <v>107</v>
      </c>
      <c r="Q266" s="5">
        <f>_xlfn.XLOOKUP(CustomerCombined[[#This Row],[ID]], Table4[ID], Table4[Regular], "Not Found", 0)</f>
        <v>3526</v>
      </c>
      <c r="R266" s="5">
        <f>_xlfn.XLOOKUP(CustomerCombined[[#This Row],[ID]], Table4[ID], Table4[Deals], "Not Found", 0)</f>
        <v>1</v>
      </c>
      <c r="S266" s="5">
        <f>_xlfn.XLOOKUP(CustomerCombined[[#This Row],[ID]], Table4[ID], Table4[Website], "Not Found", 0)</f>
        <v>6</v>
      </c>
      <c r="T266" s="5">
        <f>_xlfn.XLOOKUP(CustomerCombined[[#This Row],[ID]], Table4[ID], Table4[Catalog], "Not Found", 0)</f>
        <v>2</v>
      </c>
      <c r="U266" s="5">
        <f>_xlfn.XLOOKUP(CustomerCombined[[#This Row],[ID]], Table4[ID], Table4[Store], "Not Found", 0)</f>
        <v>8</v>
      </c>
      <c r="V266" s="5">
        <f>_xlfn.XLOOKUP(CustomerCombined[[#This Row],[ID]], Table4[ID], Table4[Visits], "Not Found", 0)</f>
        <v>2</v>
      </c>
      <c r="W266" s="8">
        <f>_xlfn.XLOOKUP(CustomerCombined[[#This Row],[ID]], Table2[ID],Table2[Complaint], "Not Found", 0 )</f>
        <v>0</v>
      </c>
      <c r="X266" s="8">
        <f>_xlfn.XLOOKUP(CustomerCombined[[#This Row],[ID]], Table2[ID],Table2[Pilot], "Not Found", 0 )</f>
        <v>1</v>
      </c>
      <c r="Y266" s="8">
        <f>_xlfn.XLOOKUP(CustomerCombined[[#This Row],[ID]], Table2[ID],Table2[MC1], "Not Found", 0 )</f>
        <v>0</v>
      </c>
      <c r="Z266" s="8">
        <f>_xlfn.XLOOKUP(CustomerCombined[[#This Row],[ID]], Table2[ID],Table2[MC2], "Not Found", 0 )</f>
        <v>0</v>
      </c>
      <c r="AA266" s="8">
        <f>_xlfn.XLOOKUP(CustomerCombined[[#This Row],[ID]], Table2[ID],Table2[MC3], "Not Found", 0 )</f>
        <v>0</v>
      </c>
      <c r="AB266" s="8">
        <f>_xlfn.XLOOKUP(CustomerCombined[[#This Row],[ID]], Table2[ID],Table2[MC4], "Not Found", 0 )</f>
        <v>0</v>
      </c>
      <c r="AC266" s="8">
        <f>_xlfn.XLOOKUP(CustomerCombined[[#This Row],[ID]], Table2[ID],Table2[MC5], "Not Found", 0 )</f>
        <v>1</v>
      </c>
    </row>
    <row r="267" spans="1:29" x14ac:dyDescent="0.3">
      <c r="A267" s="6">
        <v>3158</v>
      </c>
      <c r="B267" s="6">
        <v>189616</v>
      </c>
      <c r="C267" s="6">
        <v>0</v>
      </c>
      <c r="D267" s="6">
        <v>0</v>
      </c>
      <c r="E267" s="6">
        <v>37</v>
      </c>
      <c r="F267" s="5" t="s">
        <v>7</v>
      </c>
      <c r="G267" s="5" t="s">
        <v>12</v>
      </c>
      <c r="H267" s="3">
        <v>43504</v>
      </c>
      <c r="I267" s="5" t="s">
        <v>438</v>
      </c>
      <c r="J267" s="5">
        <f>_xlfn.XLOOKUP(CustomerCombined[[#This Row],[ID]], Table4[ID], Table4[Recency], "Not Found", 0)</f>
        <v>36</v>
      </c>
      <c r="K267" s="5">
        <f>_xlfn.XLOOKUP(CustomerCombined[[#This Row],[ID]], Table4[ID], Table4[Teas], "Not Found", 0)</f>
        <v>1420</v>
      </c>
      <c r="L267" s="5">
        <f>_xlfn.XLOOKUP(CustomerCombined[[#This Row],[ID]], Table4[ID], Table4[Fruits], "Not Found", 0)</f>
        <v>99</v>
      </c>
      <c r="M267" s="5">
        <f>_xlfn.XLOOKUP(CustomerCombined[[#This Row],[ID]], Table4[ID], Table4[Meats], "Not Found", 0)</f>
        <v>1386</v>
      </c>
      <c r="N267" s="5">
        <f>_xlfn.XLOOKUP(CustomerCombined[[#This Row],[ID]], Table4[ID], Table4[Seafood], "Not Found", 0)</f>
        <v>307</v>
      </c>
      <c r="O267" s="5">
        <f>_xlfn.XLOOKUP(CustomerCombined[[#This Row],[ID]], Table4[ID], Table4[Sweets], "Not Found", 0)</f>
        <v>235</v>
      </c>
      <c r="P267" s="5">
        <f>_xlfn.XLOOKUP(CustomerCombined[[#This Row],[ID]], Table4[ID], Table4[Premium], "Not Found", 0)</f>
        <v>32</v>
      </c>
      <c r="Q267" s="5">
        <f>_xlfn.XLOOKUP(CustomerCombined[[#This Row],[ID]], Table4[ID], Table4[Regular], "Not Found", 0)</f>
        <v>3415</v>
      </c>
      <c r="R267" s="5">
        <f>_xlfn.XLOOKUP(CustomerCombined[[#This Row],[ID]], Table4[ID], Table4[Deals], "Not Found", 0)</f>
        <v>1</v>
      </c>
      <c r="S267" s="5">
        <f>_xlfn.XLOOKUP(CustomerCombined[[#This Row],[ID]], Table4[ID], Table4[Website], "Not Found", 0)</f>
        <v>7</v>
      </c>
      <c r="T267" s="5">
        <f>_xlfn.XLOOKUP(CustomerCombined[[#This Row],[ID]], Table4[ID], Table4[Catalog], "Not Found", 0)</f>
        <v>5</v>
      </c>
      <c r="U267" s="5">
        <f>_xlfn.XLOOKUP(CustomerCombined[[#This Row],[ID]], Table4[ID], Table4[Store], "Not Found", 0)</f>
        <v>12</v>
      </c>
      <c r="V267" s="5">
        <f>_xlfn.XLOOKUP(CustomerCombined[[#This Row],[ID]], Table4[ID], Table4[Visits], "Not Found", 0)</f>
        <v>2</v>
      </c>
      <c r="W267" s="8">
        <f>_xlfn.XLOOKUP(CustomerCombined[[#This Row],[ID]], Table2[ID],Table2[Complaint], "Not Found", 0 )</f>
        <v>0</v>
      </c>
      <c r="X267" s="8">
        <f>_xlfn.XLOOKUP(CustomerCombined[[#This Row],[ID]], Table2[ID],Table2[Pilot], "Not Found", 0 )</f>
        <v>1</v>
      </c>
      <c r="Y267" s="8">
        <f>_xlfn.XLOOKUP(CustomerCombined[[#This Row],[ID]], Table2[ID],Table2[MC1], "Not Found", 0 )</f>
        <v>0</v>
      </c>
      <c r="Z267" s="8">
        <f>_xlfn.XLOOKUP(CustomerCombined[[#This Row],[ID]], Table2[ID],Table2[MC2], "Not Found", 0 )</f>
        <v>0</v>
      </c>
      <c r="AA267" s="8">
        <f>_xlfn.XLOOKUP(CustomerCombined[[#This Row],[ID]], Table2[ID],Table2[MC3], "Not Found", 0 )</f>
        <v>0</v>
      </c>
      <c r="AB267" s="8">
        <f>_xlfn.XLOOKUP(CustomerCombined[[#This Row],[ID]], Table2[ID],Table2[MC4], "Not Found", 0 )</f>
        <v>0</v>
      </c>
      <c r="AC267" s="8">
        <f>_xlfn.XLOOKUP(CustomerCombined[[#This Row],[ID]], Table2[ID],Table2[MC5], "Not Found", 0 )</f>
        <v>0</v>
      </c>
    </row>
    <row r="268" spans="1:29" x14ac:dyDescent="0.3">
      <c r="A268" s="6">
        <v>2496</v>
      </c>
      <c r="B268" s="6">
        <v>187188</v>
      </c>
      <c r="C268" s="6">
        <v>0</v>
      </c>
      <c r="D268" s="6">
        <v>0</v>
      </c>
      <c r="E268" s="6">
        <v>37</v>
      </c>
      <c r="F268" s="5" t="s">
        <v>7</v>
      </c>
      <c r="G268" s="5" t="s">
        <v>13</v>
      </c>
      <c r="H268" s="3">
        <v>43688</v>
      </c>
      <c r="I268" s="5" t="s">
        <v>436</v>
      </c>
      <c r="J268" s="5">
        <f>_xlfn.XLOOKUP(CustomerCombined[[#This Row],[ID]], Table4[ID], Table4[Recency], "Not Found", 0)</f>
        <v>73</v>
      </c>
      <c r="K268" s="5">
        <f>_xlfn.XLOOKUP(CustomerCombined[[#This Row],[ID]], Table4[ID], Table4[Teas], "Not Found", 0)</f>
        <v>1954</v>
      </c>
      <c r="L268" s="5">
        <f>_xlfn.XLOOKUP(CustomerCombined[[#This Row],[ID]], Table4[ID], Table4[Fruits], "Not Found", 0)</f>
        <v>238</v>
      </c>
      <c r="M268" s="5">
        <f>_xlfn.XLOOKUP(CustomerCombined[[#This Row],[ID]], Table4[ID], Table4[Meats], "Not Found", 0)</f>
        <v>1554</v>
      </c>
      <c r="N268" s="5">
        <f>_xlfn.XLOOKUP(CustomerCombined[[#This Row],[ID]], Table4[ID], Table4[Seafood], "Not Found", 0)</f>
        <v>105</v>
      </c>
      <c r="O268" s="5">
        <f>_xlfn.XLOOKUP(CustomerCombined[[#This Row],[ID]], Table4[ID], Table4[Sweets], "Not Found", 0)</f>
        <v>159</v>
      </c>
      <c r="P268" s="5">
        <f>_xlfn.XLOOKUP(CustomerCombined[[#This Row],[ID]], Table4[ID], Table4[Premium], "Not Found", 0)</f>
        <v>118</v>
      </c>
      <c r="Q268" s="5">
        <f>_xlfn.XLOOKUP(CustomerCombined[[#This Row],[ID]], Table4[ID], Table4[Regular], "Not Found", 0)</f>
        <v>3892</v>
      </c>
      <c r="R268" s="5">
        <f>_xlfn.XLOOKUP(CustomerCombined[[#This Row],[ID]], Table4[ID], Table4[Deals], "Not Found", 0)</f>
        <v>1</v>
      </c>
      <c r="S268" s="5">
        <f>_xlfn.XLOOKUP(CustomerCombined[[#This Row],[ID]], Table4[ID], Table4[Website], "Not Found", 0)</f>
        <v>10</v>
      </c>
      <c r="T268" s="5">
        <f>_xlfn.XLOOKUP(CustomerCombined[[#This Row],[ID]], Table4[ID], Table4[Catalog], "Not Found", 0)</f>
        <v>2</v>
      </c>
      <c r="U268" s="5">
        <f>_xlfn.XLOOKUP(CustomerCombined[[#This Row],[ID]], Table4[ID], Table4[Store], "Not Found", 0)</f>
        <v>6</v>
      </c>
      <c r="V268" s="5">
        <f>_xlfn.XLOOKUP(CustomerCombined[[#This Row],[ID]], Table4[ID], Table4[Visits], "Not Found", 0)</f>
        <v>3</v>
      </c>
      <c r="W268" s="8">
        <f>_xlfn.XLOOKUP(CustomerCombined[[#This Row],[ID]], Table2[ID],Table2[Complaint], "Not Found", 0 )</f>
        <v>0</v>
      </c>
      <c r="X268" s="8">
        <f>_xlfn.XLOOKUP(CustomerCombined[[#This Row],[ID]], Table2[ID],Table2[Pilot], "Not Found", 0 )</f>
        <v>1</v>
      </c>
      <c r="Y268" s="8">
        <f>_xlfn.XLOOKUP(CustomerCombined[[#This Row],[ID]], Table2[ID],Table2[MC1], "Not Found", 0 )</f>
        <v>0</v>
      </c>
      <c r="Z268" s="8">
        <f>_xlfn.XLOOKUP(CustomerCombined[[#This Row],[ID]], Table2[ID],Table2[MC2], "Not Found", 0 )</f>
        <v>0</v>
      </c>
      <c r="AA268" s="8">
        <f>_xlfn.XLOOKUP(CustomerCombined[[#This Row],[ID]], Table2[ID],Table2[MC3], "Not Found", 0 )</f>
        <v>0</v>
      </c>
      <c r="AB268" s="8">
        <f>_xlfn.XLOOKUP(CustomerCombined[[#This Row],[ID]], Table2[ID],Table2[MC4], "Not Found", 0 )</f>
        <v>0</v>
      </c>
      <c r="AC268" s="8">
        <f>_xlfn.XLOOKUP(CustomerCombined[[#This Row],[ID]], Table2[ID],Table2[MC5], "Not Found", 0 )</f>
        <v>0</v>
      </c>
    </row>
    <row r="269" spans="1:29" x14ac:dyDescent="0.3">
      <c r="A269" s="6">
        <v>2672</v>
      </c>
      <c r="B269" s="6">
        <v>186580</v>
      </c>
      <c r="C269" s="6">
        <v>0</v>
      </c>
      <c r="D269" s="6">
        <v>0</v>
      </c>
      <c r="E269" s="6">
        <v>37</v>
      </c>
      <c r="F269" s="5" t="s">
        <v>6</v>
      </c>
      <c r="G269" s="5" t="s">
        <v>13</v>
      </c>
      <c r="H269" s="3">
        <v>43563</v>
      </c>
      <c r="I269" s="5" t="s">
        <v>438</v>
      </c>
      <c r="J269" s="5">
        <f>_xlfn.XLOOKUP(CustomerCombined[[#This Row],[ID]], Table4[ID], Table4[Recency], "Not Found", 0)</f>
        <v>72</v>
      </c>
      <c r="K269" s="5">
        <f>_xlfn.XLOOKUP(CustomerCombined[[#This Row],[ID]], Table4[ID], Table4[Teas], "Not Found", 0)</f>
        <v>1146</v>
      </c>
      <c r="L269" s="5">
        <f>_xlfn.XLOOKUP(CustomerCombined[[#This Row],[ID]], Table4[ID], Table4[Fruits], "Not Found", 0)</f>
        <v>45</v>
      </c>
      <c r="M269" s="5">
        <f>_xlfn.XLOOKUP(CustomerCombined[[#This Row],[ID]], Table4[ID], Table4[Meats], "Not Found", 0)</f>
        <v>274</v>
      </c>
      <c r="N269" s="5">
        <f>_xlfn.XLOOKUP(CustomerCombined[[#This Row],[ID]], Table4[ID], Table4[Seafood], "Not Found", 0)</f>
        <v>56</v>
      </c>
      <c r="O269" s="5">
        <f>_xlfn.XLOOKUP(CustomerCombined[[#This Row],[ID]], Table4[ID], Table4[Sweets], "Not Found", 0)</f>
        <v>43</v>
      </c>
      <c r="P269" s="5">
        <f>_xlfn.XLOOKUP(CustomerCombined[[#This Row],[ID]], Table4[ID], Table4[Premium], "Not Found", 0)</f>
        <v>43</v>
      </c>
      <c r="Q269" s="5">
        <f>_xlfn.XLOOKUP(CustomerCombined[[#This Row],[ID]], Table4[ID], Table4[Regular], "Not Found", 0)</f>
        <v>1521</v>
      </c>
      <c r="R269" s="5">
        <f>_xlfn.XLOOKUP(CustomerCombined[[#This Row],[ID]], Table4[ID], Table4[Deals], "Not Found", 0)</f>
        <v>0</v>
      </c>
      <c r="S269" s="5">
        <f>_xlfn.XLOOKUP(CustomerCombined[[#This Row],[ID]], Table4[ID], Table4[Website], "Not Found", 0)</f>
        <v>4</v>
      </c>
      <c r="T269" s="5">
        <f>_xlfn.XLOOKUP(CustomerCombined[[#This Row],[ID]], Table4[ID], Table4[Catalog], "Not Found", 0)</f>
        <v>2</v>
      </c>
      <c r="U269" s="5">
        <f>_xlfn.XLOOKUP(CustomerCombined[[#This Row],[ID]], Table4[ID], Table4[Store], "Not Found", 0)</f>
        <v>5</v>
      </c>
      <c r="V269" s="5">
        <f>_xlfn.XLOOKUP(CustomerCombined[[#This Row],[ID]], Table4[ID], Table4[Visits], "Not Found", 0)</f>
        <v>1</v>
      </c>
      <c r="W269" s="8">
        <f>_xlfn.XLOOKUP(CustomerCombined[[#This Row],[ID]], Table2[ID],Table2[Complaint], "Not Found", 0 )</f>
        <v>0</v>
      </c>
      <c r="X269" s="8">
        <f>_xlfn.XLOOKUP(CustomerCombined[[#This Row],[ID]], Table2[ID],Table2[Pilot], "Not Found", 0 )</f>
        <v>0</v>
      </c>
      <c r="Y269" s="8">
        <f>_xlfn.XLOOKUP(CustomerCombined[[#This Row],[ID]], Table2[ID],Table2[MC1], "Not Found", 0 )</f>
        <v>0</v>
      </c>
      <c r="Z269" s="8">
        <f>_xlfn.XLOOKUP(CustomerCombined[[#This Row],[ID]], Table2[ID],Table2[MC2], "Not Found", 0 )</f>
        <v>0</v>
      </c>
      <c r="AA269" s="8">
        <f>_xlfn.XLOOKUP(CustomerCombined[[#This Row],[ID]], Table2[ID],Table2[MC3], "Not Found", 0 )</f>
        <v>0</v>
      </c>
      <c r="AB269" s="8">
        <f>_xlfn.XLOOKUP(CustomerCombined[[#This Row],[ID]], Table2[ID],Table2[MC4], "Not Found", 0 )</f>
        <v>0</v>
      </c>
      <c r="AC269" s="8">
        <f>_xlfn.XLOOKUP(CustomerCombined[[#This Row],[ID]], Table2[ID],Table2[MC5], "Not Found", 0 )</f>
        <v>1</v>
      </c>
    </row>
    <row r="270" spans="1:29" x14ac:dyDescent="0.3">
      <c r="A270" s="6">
        <v>1923</v>
      </c>
      <c r="B270" s="6">
        <v>182025</v>
      </c>
      <c r="C270" s="6">
        <v>0</v>
      </c>
      <c r="D270" s="6">
        <v>0</v>
      </c>
      <c r="E270" s="6">
        <v>37</v>
      </c>
      <c r="F270" s="5" t="s">
        <v>5</v>
      </c>
      <c r="G270" s="5" t="s">
        <v>11</v>
      </c>
      <c r="H270" s="3">
        <v>43507</v>
      </c>
      <c r="I270" s="5" t="s">
        <v>435</v>
      </c>
      <c r="J270" s="5">
        <f>_xlfn.XLOOKUP(CustomerCombined[[#This Row],[ID]], Table4[ID], Table4[Recency], "Not Found", 0)</f>
        <v>76</v>
      </c>
      <c r="K270" s="5">
        <f>_xlfn.XLOOKUP(CustomerCombined[[#This Row],[ID]], Table4[ID], Table4[Teas], "Not Found", 0)</f>
        <v>593</v>
      </c>
      <c r="L270" s="5">
        <f>_xlfn.XLOOKUP(CustomerCombined[[#This Row],[ID]], Table4[ID], Table4[Fruits], "Not Found", 0)</f>
        <v>217</v>
      </c>
      <c r="M270" s="5">
        <f>_xlfn.XLOOKUP(CustomerCombined[[#This Row],[ID]], Table4[ID], Table4[Meats], "Not Found", 0)</f>
        <v>1345</v>
      </c>
      <c r="N270" s="5">
        <f>_xlfn.XLOOKUP(CustomerCombined[[#This Row],[ID]], Table4[ID], Table4[Seafood], "Not Found", 0)</f>
        <v>107</v>
      </c>
      <c r="O270" s="5">
        <f>_xlfn.XLOOKUP(CustomerCombined[[#This Row],[ID]], Table4[ID], Table4[Sweets], "Not Found", 0)</f>
        <v>155</v>
      </c>
      <c r="P270" s="5">
        <f>_xlfn.XLOOKUP(CustomerCombined[[#This Row],[ID]], Table4[ID], Table4[Premium], "Not Found", 0)</f>
        <v>217</v>
      </c>
      <c r="Q270" s="5">
        <f>_xlfn.XLOOKUP(CustomerCombined[[#This Row],[ID]], Table4[ID], Table4[Regular], "Not Found", 0)</f>
        <v>2199</v>
      </c>
      <c r="R270" s="5">
        <f>_xlfn.XLOOKUP(CustomerCombined[[#This Row],[ID]], Table4[ID], Table4[Deals], "Not Found", 0)</f>
        <v>1</v>
      </c>
      <c r="S270" s="5">
        <f>_xlfn.XLOOKUP(CustomerCombined[[#This Row],[ID]], Table4[ID], Table4[Website], "Not Found", 0)</f>
        <v>3</v>
      </c>
      <c r="T270" s="5">
        <f>_xlfn.XLOOKUP(CustomerCombined[[#This Row],[ID]], Table4[ID], Table4[Catalog], "Not Found", 0)</f>
        <v>2</v>
      </c>
      <c r="U270" s="5">
        <f>_xlfn.XLOOKUP(CustomerCombined[[#This Row],[ID]], Table4[ID], Table4[Store], "Not Found", 0)</f>
        <v>6</v>
      </c>
      <c r="V270" s="5">
        <f>_xlfn.XLOOKUP(CustomerCombined[[#This Row],[ID]], Table4[ID], Table4[Visits], "Not Found", 0)</f>
        <v>1</v>
      </c>
      <c r="W270" s="8">
        <f>_xlfn.XLOOKUP(CustomerCombined[[#This Row],[ID]], Table2[ID],Table2[Complaint], "Not Found", 0 )</f>
        <v>0</v>
      </c>
      <c r="X270" s="8">
        <f>_xlfn.XLOOKUP(CustomerCombined[[#This Row],[ID]], Table2[ID],Table2[Pilot], "Not Found", 0 )</f>
        <v>1</v>
      </c>
      <c r="Y270" s="8">
        <f>_xlfn.XLOOKUP(CustomerCombined[[#This Row],[ID]], Table2[ID],Table2[MC1], "Not Found", 0 )</f>
        <v>0</v>
      </c>
      <c r="Z270" s="8">
        <f>_xlfn.XLOOKUP(CustomerCombined[[#This Row],[ID]], Table2[ID],Table2[MC2], "Not Found", 0 )</f>
        <v>0</v>
      </c>
      <c r="AA270" s="8">
        <f>_xlfn.XLOOKUP(CustomerCombined[[#This Row],[ID]], Table2[ID],Table2[MC3], "Not Found", 0 )</f>
        <v>0</v>
      </c>
      <c r="AB270" s="8">
        <f>_xlfn.XLOOKUP(CustomerCombined[[#This Row],[ID]], Table2[ID],Table2[MC4], "Not Found", 0 )</f>
        <v>0</v>
      </c>
      <c r="AC270" s="8">
        <f>_xlfn.XLOOKUP(CustomerCombined[[#This Row],[ID]], Table2[ID],Table2[MC5], "Not Found", 0 )</f>
        <v>1</v>
      </c>
    </row>
    <row r="271" spans="1:29" x14ac:dyDescent="0.3">
      <c r="A271" s="6">
        <v>2092</v>
      </c>
      <c r="B271" s="6">
        <v>181698</v>
      </c>
      <c r="C271" s="6">
        <v>0</v>
      </c>
      <c r="D271" s="6">
        <v>0</v>
      </c>
      <c r="E271" s="6">
        <v>37</v>
      </c>
      <c r="F271" s="5" t="s">
        <v>7</v>
      </c>
      <c r="G271" s="5" t="s">
        <v>442</v>
      </c>
      <c r="H271" s="3">
        <v>43624</v>
      </c>
      <c r="I271" s="5" t="s">
        <v>439</v>
      </c>
      <c r="J271" s="5">
        <f>_xlfn.XLOOKUP(CustomerCombined[[#This Row],[ID]], Table4[ID], Table4[Recency], "Not Found", 0)</f>
        <v>1</v>
      </c>
      <c r="K271" s="5">
        <f>_xlfn.XLOOKUP(CustomerCombined[[#This Row],[ID]], Table4[ID], Table4[Teas], "Not Found", 0)</f>
        <v>1577</v>
      </c>
      <c r="L271" s="5">
        <f>_xlfn.XLOOKUP(CustomerCombined[[#This Row],[ID]], Table4[ID], Table4[Fruits], "Not Found", 0)</f>
        <v>100</v>
      </c>
      <c r="M271" s="5">
        <f>_xlfn.XLOOKUP(CustomerCombined[[#This Row],[ID]], Table4[ID], Table4[Meats], "Not Found", 0)</f>
        <v>256</v>
      </c>
      <c r="N271" s="5">
        <f>_xlfn.XLOOKUP(CustomerCombined[[#This Row],[ID]], Table4[ID], Table4[Seafood], "Not Found", 0)</f>
        <v>67</v>
      </c>
      <c r="O271" s="5">
        <f>_xlfn.XLOOKUP(CustomerCombined[[#This Row],[ID]], Table4[ID], Table4[Sweets], "Not Found", 0)</f>
        <v>356</v>
      </c>
      <c r="P271" s="5">
        <f>_xlfn.XLOOKUP(CustomerCombined[[#This Row],[ID]], Table4[ID], Table4[Premium], "Not Found", 0)</f>
        <v>100</v>
      </c>
      <c r="Q271" s="5">
        <f>_xlfn.XLOOKUP(CustomerCombined[[#This Row],[ID]], Table4[ID], Table4[Regular], "Not Found", 0)</f>
        <v>2255</v>
      </c>
      <c r="R271" s="5">
        <f>_xlfn.XLOOKUP(CustomerCombined[[#This Row],[ID]], Table4[ID], Table4[Deals], "Not Found", 0)</f>
        <v>1</v>
      </c>
      <c r="S271" s="5">
        <f>_xlfn.XLOOKUP(CustomerCombined[[#This Row],[ID]], Table4[ID], Table4[Website], "Not Found", 0)</f>
        <v>8</v>
      </c>
      <c r="T271" s="5">
        <f>_xlfn.XLOOKUP(CustomerCombined[[#This Row],[ID]], Table4[ID], Table4[Catalog], "Not Found", 0)</f>
        <v>2</v>
      </c>
      <c r="U271" s="5">
        <f>_xlfn.XLOOKUP(CustomerCombined[[#This Row],[ID]], Table4[ID], Table4[Store], "Not Found", 0)</f>
        <v>5</v>
      </c>
      <c r="V271" s="5">
        <f>_xlfn.XLOOKUP(CustomerCombined[[#This Row],[ID]], Table4[ID], Table4[Visits], "Not Found", 0)</f>
        <v>5</v>
      </c>
      <c r="W271" s="8">
        <f>_xlfn.XLOOKUP(CustomerCombined[[#This Row],[ID]], Table2[ID],Table2[Complaint], "Not Found", 0 )</f>
        <v>0</v>
      </c>
      <c r="X271" s="8">
        <f>_xlfn.XLOOKUP(CustomerCombined[[#This Row],[ID]], Table2[ID],Table2[Pilot], "Not Found", 0 )</f>
        <v>1</v>
      </c>
      <c r="Y271" s="8">
        <f>_xlfn.XLOOKUP(CustomerCombined[[#This Row],[ID]], Table2[ID],Table2[MC1], "Not Found", 0 )</f>
        <v>1</v>
      </c>
      <c r="Z271" s="8">
        <f>_xlfn.XLOOKUP(CustomerCombined[[#This Row],[ID]], Table2[ID],Table2[MC2], "Not Found", 0 )</f>
        <v>0</v>
      </c>
      <c r="AA271" s="8">
        <f>_xlfn.XLOOKUP(CustomerCombined[[#This Row],[ID]], Table2[ID],Table2[MC3], "Not Found", 0 )</f>
        <v>0</v>
      </c>
      <c r="AB271" s="8">
        <f>_xlfn.XLOOKUP(CustomerCombined[[#This Row],[ID]], Table2[ID],Table2[MC4], "Not Found", 0 )</f>
        <v>0</v>
      </c>
      <c r="AC271" s="8">
        <f>_xlfn.XLOOKUP(CustomerCombined[[#This Row],[ID]], Table2[ID],Table2[MC5], "Not Found", 0 )</f>
        <v>0</v>
      </c>
    </row>
    <row r="272" spans="1:29" x14ac:dyDescent="0.3">
      <c r="A272" s="6">
        <v>2261</v>
      </c>
      <c r="B272" s="6">
        <v>178687</v>
      </c>
      <c r="C272" s="6">
        <v>0</v>
      </c>
      <c r="D272" s="6">
        <v>0</v>
      </c>
      <c r="E272" s="6">
        <v>37</v>
      </c>
      <c r="F272" s="5" t="s">
        <v>8</v>
      </c>
      <c r="G272" s="5" t="s">
        <v>11</v>
      </c>
      <c r="H272" s="3" t="s">
        <v>419</v>
      </c>
      <c r="I272" s="5" t="s">
        <v>434</v>
      </c>
      <c r="J272" s="5">
        <f>_xlfn.XLOOKUP(CustomerCombined[[#This Row],[ID]], Table4[ID], Table4[Recency], "Not Found", 0)</f>
        <v>13</v>
      </c>
      <c r="K272" s="5">
        <f>_xlfn.XLOOKUP(CustomerCombined[[#This Row],[ID]], Table4[ID], Table4[Teas], "Not Found", 0)</f>
        <v>1855</v>
      </c>
      <c r="L272" s="5">
        <f>_xlfn.XLOOKUP(CustomerCombined[[#This Row],[ID]], Table4[ID], Table4[Fruits], "Not Found", 0)</f>
        <v>420</v>
      </c>
      <c r="M272" s="5">
        <f>_xlfn.XLOOKUP(CustomerCombined[[#This Row],[ID]], Table4[ID], Table4[Meats], "Not Found", 0)</f>
        <v>1560</v>
      </c>
      <c r="N272" s="5">
        <f>_xlfn.XLOOKUP(CustomerCombined[[#This Row],[ID]], Table4[ID], Table4[Seafood], "Not Found", 0)</f>
        <v>329</v>
      </c>
      <c r="O272" s="5">
        <f>_xlfn.XLOOKUP(CustomerCombined[[#This Row],[ID]], Table4[ID], Table4[Sweets], "Not Found", 0)</f>
        <v>125</v>
      </c>
      <c r="P272" s="5">
        <f>_xlfn.XLOOKUP(CustomerCombined[[#This Row],[ID]], Table4[ID], Table4[Premium], "Not Found", 0)</f>
        <v>547</v>
      </c>
      <c r="Q272" s="5">
        <f>_xlfn.XLOOKUP(CustomerCombined[[#This Row],[ID]], Table4[ID], Table4[Regular], "Not Found", 0)</f>
        <v>3742</v>
      </c>
      <c r="R272" s="5">
        <f>_xlfn.XLOOKUP(CustomerCombined[[#This Row],[ID]], Table4[ID], Table4[Deals], "Not Found", 0)</f>
        <v>1</v>
      </c>
      <c r="S272" s="5">
        <f>_xlfn.XLOOKUP(CustomerCombined[[#This Row],[ID]], Table4[ID], Table4[Website], "Not Found", 0)</f>
        <v>4</v>
      </c>
      <c r="T272" s="5">
        <f>_xlfn.XLOOKUP(CustomerCombined[[#This Row],[ID]], Table4[ID], Table4[Catalog], "Not Found", 0)</f>
        <v>6</v>
      </c>
      <c r="U272" s="5">
        <f>_xlfn.XLOOKUP(CustomerCombined[[#This Row],[ID]], Table4[ID], Table4[Store], "Not Found", 0)</f>
        <v>8</v>
      </c>
      <c r="V272" s="5">
        <f>_xlfn.XLOOKUP(CustomerCombined[[#This Row],[ID]], Table4[ID], Table4[Visits], "Not Found", 0)</f>
        <v>2</v>
      </c>
      <c r="W272" s="8">
        <f>_xlfn.XLOOKUP(CustomerCombined[[#This Row],[ID]], Table2[ID],Table2[Complaint], "Not Found", 0 )</f>
        <v>0</v>
      </c>
      <c r="X272" s="8">
        <f>_xlfn.XLOOKUP(CustomerCombined[[#This Row],[ID]], Table2[ID],Table2[Pilot], "Not Found", 0 )</f>
        <v>1</v>
      </c>
      <c r="Y272" s="8">
        <f>_xlfn.XLOOKUP(CustomerCombined[[#This Row],[ID]], Table2[ID],Table2[MC1], "Not Found", 0 )</f>
        <v>0</v>
      </c>
      <c r="Z272" s="8">
        <f>_xlfn.XLOOKUP(CustomerCombined[[#This Row],[ID]], Table2[ID],Table2[MC2], "Not Found", 0 )</f>
        <v>0</v>
      </c>
      <c r="AA272" s="8">
        <f>_xlfn.XLOOKUP(CustomerCombined[[#This Row],[ID]], Table2[ID],Table2[MC3], "Not Found", 0 )</f>
        <v>0</v>
      </c>
      <c r="AB272" s="8">
        <f>_xlfn.XLOOKUP(CustomerCombined[[#This Row],[ID]], Table2[ID],Table2[MC4], "Not Found", 0 )</f>
        <v>0</v>
      </c>
      <c r="AC272" s="8">
        <f>_xlfn.XLOOKUP(CustomerCombined[[#This Row],[ID]], Table2[ID],Table2[MC5], "Not Found", 0 )</f>
        <v>1</v>
      </c>
    </row>
    <row r="273" spans="1:29" x14ac:dyDescent="0.3">
      <c r="A273" s="6">
        <v>1873</v>
      </c>
      <c r="B273" s="6">
        <v>176630</v>
      </c>
      <c r="C273" s="6">
        <v>0</v>
      </c>
      <c r="D273" s="6">
        <v>0</v>
      </c>
      <c r="E273" s="6">
        <v>37</v>
      </c>
      <c r="F273" s="5" t="s">
        <v>6</v>
      </c>
      <c r="G273" s="5" t="s">
        <v>11</v>
      </c>
      <c r="H273" s="3" t="s">
        <v>116</v>
      </c>
      <c r="I273" s="5" t="s">
        <v>437</v>
      </c>
      <c r="J273" s="5">
        <f>_xlfn.XLOOKUP(CustomerCombined[[#This Row],[ID]], Table4[ID], Table4[Recency], "Not Found", 0)</f>
        <v>93</v>
      </c>
      <c r="K273" s="5">
        <f>_xlfn.XLOOKUP(CustomerCombined[[#This Row],[ID]], Table4[ID], Table4[Teas], "Not Found", 0)</f>
        <v>588</v>
      </c>
      <c r="L273" s="5">
        <f>_xlfn.XLOOKUP(CustomerCombined[[#This Row],[ID]], Table4[ID], Table4[Fruits], "Not Found", 0)</f>
        <v>71</v>
      </c>
      <c r="M273" s="5">
        <f>_xlfn.XLOOKUP(CustomerCombined[[#This Row],[ID]], Table4[ID], Table4[Meats], "Not Found", 0)</f>
        <v>1028</v>
      </c>
      <c r="N273" s="5">
        <f>_xlfn.XLOOKUP(CustomerCombined[[#This Row],[ID]], Table4[ID], Table4[Seafood], "Not Found", 0)</f>
        <v>92</v>
      </c>
      <c r="O273" s="5">
        <f>_xlfn.XLOOKUP(CustomerCombined[[#This Row],[ID]], Table4[ID], Table4[Sweets], "Not Found", 0)</f>
        <v>129</v>
      </c>
      <c r="P273" s="5">
        <f>_xlfn.XLOOKUP(CustomerCombined[[#This Row],[ID]], Table4[ID], Table4[Premium], "Not Found", 0)</f>
        <v>403</v>
      </c>
      <c r="Q273" s="5">
        <f>_xlfn.XLOOKUP(CustomerCombined[[#This Row],[ID]], Table4[ID], Table4[Regular], "Not Found", 0)</f>
        <v>1505</v>
      </c>
      <c r="R273" s="5">
        <f>_xlfn.XLOOKUP(CustomerCombined[[#This Row],[ID]], Table4[ID], Table4[Deals], "Not Found", 0)</f>
        <v>1</v>
      </c>
      <c r="S273" s="5">
        <f>_xlfn.XLOOKUP(CustomerCombined[[#This Row],[ID]], Table4[ID], Table4[Website], "Not Found", 0)</f>
        <v>3</v>
      </c>
      <c r="T273" s="5">
        <f>_xlfn.XLOOKUP(CustomerCombined[[#This Row],[ID]], Table4[ID], Table4[Catalog], "Not Found", 0)</f>
        <v>10</v>
      </c>
      <c r="U273" s="5">
        <f>_xlfn.XLOOKUP(CustomerCombined[[#This Row],[ID]], Table4[ID], Table4[Store], "Not Found", 0)</f>
        <v>11</v>
      </c>
      <c r="V273" s="5">
        <f>_xlfn.XLOOKUP(CustomerCombined[[#This Row],[ID]], Table4[ID], Table4[Visits], "Not Found", 0)</f>
        <v>1</v>
      </c>
      <c r="W273" s="8">
        <f>_xlfn.XLOOKUP(CustomerCombined[[#This Row],[ID]], Table2[ID],Table2[Complaint], "Not Found", 0 )</f>
        <v>0</v>
      </c>
      <c r="X273" s="8">
        <f>_xlfn.XLOOKUP(CustomerCombined[[#This Row],[ID]], Table2[ID],Table2[Pilot], "Not Found", 0 )</f>
        <v>0</v>
      </c>
      <c r="Y273" s="8">
        <f>_xlfn.XLOOKUP(CustomerCombined[[#This Row],[ID]], Table2[ID],Table2[MC1], "Not Found", 0 )</f>
        <v>0</v>
      </c>
      <c r="Z273" s="8">
        <f>_xlfn.XLOOKUP(CustomerCombined[[#This Row],[ID]], Table2[ID],Table2[MC2], "Not Found", 0 )</f>
        <v>0</v>
      </c>
      <c r="AA273" s="8">
        <f>_xlfn.XLOOKUP(CustomerCombined[[#This Row],[ID]], Table2[ID],Table2[MC3], "Not Found", 0 )</f>
        <v>0</v>
      </c>
      <c r="AB273" s="8">
        <f>_xlfn.XLOOKUP(CustomerCombined[[#This Row],[ID]], Table2[ID],Table2[MC4], "Not Found", 0 )</f>
        <v>0</v>
      </c>
      <c r="AC273" s="8">
        <f>_xlfn.XLOOKUP(CustomerCombined[[#This Row],[ID]], Table2[ID],Table2[MC5], "Not Found", 0 )</f>
        <v>0</v>
      </c>
    </row>
    <row r="274" spans="1:29" x14ac:dyDescent="0.3">
      <c r="A274" s="6">
        <v>1851</v>
      </c>
      <c r="B274" s="6">
        <v>170123</v>
      </c>
      <c r="C274" s="6">
        <v>0</v>
      </c>
      <c r="D274" s="6">
        <v>0</v>
      </c>
      <c r="E274" s="6">
        <v>37</v>
      </c>
      <c r="F274" s="5" t="s">
        <v>8</v>
      </c>
      <c r="G274" s="5" t="s">
        <v>13</v>
      </c>
      <c r="H274" s="3">
        <v>43924</v>
      </c>
      <c r="I274" s="5" t="s">
        <v>435</v>
      </c>
      <c r="J274" s="5">
        <f>_xlfn.XLOOKUP(CustomerCombined[[#This Row],[ID]], Table4[ID], Table4[Recency], "Not Found", 0)</f>
        <v>27</v>
      </c>
      <c r="K274" s="5">
        <f>_xlfn.XLOOKUP(CustomerCombined[[#This Row],[ID]], Table4[ID], Table4[Teas], "Not Found", 0)</f>
        <v>3173</v>
      </c>
      <c r="L274" s="5">
        <f>_xlfn.XLOOKUP(CustomerCombined[[#This Row],[ID]], Table4[ID], Table4[Fruits], "Not Found", 0)</f>
        <v>0</v>
      </c>
      <c r="M274" s="5">
        <f>_xlfn.XLOOKUP(CustomerCombined[[#This Row],[ID]], Table4[ID], Table4[Meats], "Not Found", 0)</f>
        <v>961</v>
      </c>
      <c r="N274" s="5">
        <f>_xlfn.XLOOKUP(CustomerCombined[[#This Row],[ID]], Table4[ID], Table4[Seafood], "Not Found", 0)</f>
        <v>56</v>
      </c>
      <c r="O274" s="5">
        <f>_xlfn.XLOOKUP(CustomerCombined[[#This Row],[ID]], Table4[ID], Table4[Sweets], "Not Found", 0)</f>
        <v>0</v>
      </c>
      <c r="P274" s="5">
        <f>_xlfn.XLOOKUP(CustomerCombined[[#This Row],[ID]], Table4[ID], Table4[Premium], "Not Found", 0)</f>
        <v>0</v>
      </c>
      <c r="Q274" s="5">
        <f>_xlfn.XLOOKUP(CustomerCombined[[#This Row],[ID]], Table4[ID], Table4[Regular], "Not Found", 0)</f>
        <v>4190</v>
      </c>
      <c r="R274" s="5">
        <f>_xlfn.XLOOKUP(CustomerCombined[[#This Row],[ID]], Table4[ID], Table4[Deals], "Not Found", 0)</f>
        <v>1</v>
      </c>
      <c r="S274" s="5">
        <f>_xlfn.XLOOKUP(CustomerCombined[[#This Row],[ID]], Table4[ID], Table4[Website], "Not Found", 0)</f>
        <v>5</v>
      </c>
      <c r="T274" s="5">
        <f>_xlfn.XLOOKUP(CustomerCombined[[#This Row],[ID]], Table4[ID], Table4[Catalog], "Not Found", 0)</f>
        <v>7</v>
      </c>
      <c r="U274" s="5">
        <f>_xlfn.XLOOKUP(CustomerCombined[[#This Row],[ID]], Table4[ID], Table4[Store], "Not Found", 0)</f>
        <v>4</v>
      </c>
      <c r="V274" s="5">
        <f>_xlfn.XLOOKUP(CustomerCombined[[#This Row],[ID]], Table4[ID], Table4[Visits], "Not Found", 0)</f>
        <v>3</v>
      </c>
      <c r="W274" s="8">
        <f>_xlfn.XLOOKUP(CustomerCombined[[#This Row],[ID]], Table2[ID],Table2[Complaint], "Not Found", 0 )</f>
        <v>0</v>
      </c>
      <c r="X274" s="8">
        <f>_xlfn.XLOOKUP(CustomerCombined[[#This Row],[ID]], Table2[ID],Table2[Pilot], "Not Found", 0 )</f>
        <v>0</v>
      </c>
      <c r="Y274" s="8">
        <f>_xlfn.XLOOKUP(CustomerCombined[[#This Row],[ID]], Table2[ID],Table2[MC1], "Not Found", 0 )</f>
        <v>0</v>
      </c>
      <c r="Z274" s="8">
        <f>_xlfn.XLOOKUP(CustomerCombined[[#This Row],[ID]], Table2[ID],Table2[MC2], "Not Found", 0 )</f>
        <v>1</v>
      </c>
      <c r="AA274" s="8">
        <f>_xlfn.XLOOKUP(CustomerCombined[[#This Row],[ID]], Table2[ID],Table2[MC3], "Not Found", 0 )</f>
        <v>0</v>
      </c>
      <c r="AB274" s="8">
        <f>_xlfn.XLOOKUP(CustomerCombined[[#This Row],[ID]], Table2[ID],Table2[MC4], "Not Found", 0 )</f>
        <v>1</v>
      </c>
      <c r="AC274" s="8">
        <f>_xlfn.XLOOKUP(CustomerCombined[[#This Row],[ID]], Table2[ID],Table2[MC5], "Not Found", 0 )</f>
        <v>0</v>
      </c>
    </row>
    <row r="275" spans="1:29" x14ac:dyDescent="0.3">
      <c r="A275" s="6">
        <v>3047</v>
      </c>
      <c r="B275" s="6">
        <v>169520</v>
      </c>
      <c r="C275" s="6">
        <v>0</v>
      </c>
      <c r="D275" s="6">
        <v>0</v>
      </c>
      <c r="E275" s="6">
        <v>37</v>
      </c>
      <c r="F275" s="5" t="s">
        <v>6</v>
      </c>
      <c r="G275" s="5" t="s">
        <v>11</v>
      </c>
      <c r="H275" s="3">
        <v>43811</v>
      </c>
      <c r="I275" s="5" t="s">
        <v>434</v>
      </c>
      <c r="J275" s="5">
        <f>_xlfn.XLOOKUP(CustomerCombined[[#This Row],[ID]], Table4[ID], Table4[Recency], "Not Found", 0)</f>
        <v>95</v>
      </c>
      <c r="K275" s="5">
        <f>_xlfn.XLOOKUP(CustomerCombined[[#This Row],[ID]], Table4[ID], Table4[Teas], "Not Found", 0)</f>
        <v>1529</v>
      </c>
      <c r="L275" s="5">
        <f>_xlfn.XLOOKUP(CustomerCombined[[#This Row],[ID]], Table4[ID], Table4[Fruits], "Not Found", 0)</f>
        <v>293</v>
      </c>
      <c r="M275" s="5">
        <f>_xlfn.XLOOKUP(CustomerCombined[[#This Row],[ID]], Table4[ID], Table4[Meats], "Not Found", 0)</f>
        <v>1010</v>
      </c>
      <c r="N275" s="5">
        <f>_xlfn.XLOOKUP(CustomerCombined[[#This Row],[ID]], Table4[ID], Table4[Seafood], "Not Found", 0)</f>
        <v>295</v>
      </c>
      <c r="O275" s="5">
        <f>_xlfn.XLOOKUP(CustomerCombined[[#This Row],[ID]], Table4[ID], Table4[Sweets], "Not Found", 0)</f>
        <v>195</v>
      </c>
      <c r="P275" s="5">
        <f>_xlfn.XLOOKUP(CustomerCombined[[#This Row],[ID]], Table4[ID], Table4[Premium], "Not Found", 0)</f>
        <v>227</v>
      </c>
      <c r="Q275" s="5">
        <f>_xlfn.XLOOKUP(CustomerCombined[[#This Row],[ID]], Table4[ID], Table4[Regular], "Not Found", 0)</f>
        <v>3094</v>
      </c>
      <c r="R275" s="5">
        <f>_xlfn.XLOOKUP(CustomerCombined[[#This Row],[ID]], Table4[ID], Table4[Deals], "Not Found", 0)</f>
        <v>1</v>
      </c>
      <c r="S275" s="5">
        <f>_xlfn.XLOOKUP(CustomerCombined[[#This Row],[ID]], Table4[ID], Table4[Website], "Not Found", 0)</f>
        <v>9</v>
      </c>
      <c r="T275" s="5">
        <f>_xlfn.XLOOKUP(CustomerCombined[[#This Row],[ID]], Table4[ID], Table4[Catalog], "Not Found", 0)</f>
        <v>6</v>
      </c>
      <c r="U275" s="5">
        <f>_xlfn.XLOOKUP(CustomerCombined[[#This Row],[ID]], Table4[ID], Table4[Store], "Not Found", 0)</f>
        <v>5</v>
      </c>
      <c r="V275" s="5">
        <f>_xlfn.XLOOKUP(CustomerCombined[[#This Row],[ID]], Table4[ID], Table4[Visits], "Not Found", 0)</f>
        <v>5</v>
      </c>
      <c r="W275" s="8">
        <f>_xlfn.XLOOKUP(CustomerCombined[[#This Row],[ID]], Table2[ID],Table2[Complaint], "Not Found", 0 )</f>
        <v>0</v>
      </c>
      <c r="X275" s="8">
        <f>_xlfn.XLOOKUP(CustomerCombined[[#This Row],[ID]], Table2[ID],Table2[Pilot], "Not Found", 0 )</f>
        <v>0</v>
      </c>
      <c r="Y275" s="8">
        <f>_xlfn.XLOOKUP(CustomerCombined[[#This Row],[ID]], Table2[ID],Table2[MC1], "Not Found", 0 )</f>
        <v>0</v>
      </c>
      <c r="Z275" s="8">
        <f>_xlfn.XLOOKUP(CustomerCombined[[#This Row],[ID]], Table2[ID],Table2[MC2], "Not Found", 0 )</f>
        <v>0</v>
      </c>
      <c r="AA275" s="8">
        <f>_xlfn.XLOOKUP(CustomerCombined[[#This Row],[ID]], Table2[ID],Table2[MC3], "Not Found", 0 )</f>
        <v>0</v>
      </c>
      <c r="AB275" s="8">
        <f>_xlfn.XLOOKUP(CustomerCombined[[#This Row],[ID]], Table2[ID],Table2[MC4], "Not Found", 0 )</f>
        <v>0</v>
      </c>
      <c r="AC275" s="8">
        <f>_xlfn.XLOOKUP(CustomerCombined[[#This Row],[ID]], Table2[ID],Table2[MC5], "Not Found", 0 )</f>
        <v>0</v>
      </c>
    </row>
    <row r="276" spans="1:29" x14ac:dyDescent="0.3">
      <c r="A276" s="6">
        <v>1091</v>
      </c>
      <c r="B276" s="6">
        <v>150150</v>
      </c>
      <c r="C276" s="6">
        <v>0</v>
      </c>
      <c r="D276" s="6">
        <v>0</v>
      </c>
      <c r="E276" s="6">
        <v>37</v>
      </c>
      <c r="F276" s="5" t="s">
        <v>6</v>
      </c>
      <c r="G276" s="5" t="s">
        <v>13</v>
      </c>
      <c r="H276" s="3" t="s">
        <v>233</v>
      </c>
      <c r="I276" s="5" t="s">
        <v>434</v>
      </c>
      <c r="J276" s="5">
        <f>_xlfn.XLOOKUP(CustomerCombined[[#This Row],[ID]], Table4[ID], Table4[Recency], "Not Found", 0)</f>
        <v>32</v>
      </c>
      <c r="K276" s="5">
        <f>_xlfn.XLOOKUP(CustomerCombined[[#This Row],[ID]], Table4[ID], Table4[Teas], "Not Found", 0)</f>
        <v>404</v>
      </c>
      <c r="L276" s="5">
        <f>_xlfn.XLOOKUP(CustomerCombined[[#This Row],[ID]], Table4[ID], Table4[Fruits], "Not Found", 0)</f>
        <v>138</v>
      </c>
      <c r="M276" s="5">
        <f>_xlfn.XLOOKUP(CustomerCombined[[#This Row],[ID]], Table4[ID], Table4[Meats], "Not Found", 0)</f>
        <v>275</v>
      </c>
      <c r="N276" s="5">
        <f>_xlfn.XLOOKUP(CustomerCombined[[#This Row],[ID]], Table4[ID], Table4[Seafood], "Not Found", 0)</f>
        <v>195</v>
      </c>
      <c r="O276" s="5">
        <f>_xlfn.XLOOKUP(CustomerCombined[[#This Row],[ID]], Table4[ID], Table4[Sweets], "Not Found", 0)</f>
        <v>183</v>
      </c>
      <c r="P276" s="5">
        <f>_xlfn.XLOOKUP(CustomerCombined[[#This Row],[ID]], Table4[ID], Table4[Premium], "Not Found", 0)</f>
        <v>33</v>
      </c>
      <c r="Q276" s="5">
        <f>_xlfn.XLOOKUP(CustomerCombined[[#This Row],[ID]], Table4[ID], Table4[Regular], "Not Found", 0)</f>
        <v>1162</v>
      </c>
      <c r="R276" s="5">
        <f>_xlfn.XLOOKUP(CustomerCombined[[#This Row],[ID]], Table4[ID], Table4[Deals], "Not Found", 0)</f>
        <v>2</v>
      </c>
      <c r="S276" s="5">
        <f>_xlfn.XLOOKUP(CustomerCombined[[#This Row],[ID]], Table4[ID], Table4[Website], "Not Found", 0)</f>
        <v>5</v>
      </c>
      <c r="T276" s="5">
        <f>_xlfn.XLOOKUP(CustomerCombined[[#This Row],[ID]], Table4[ID], Table4[Catalog], "Not Found", 0)</f>
        <v>2</v>
      </c>
      <c r="U276" s="5">
        <f>_xlfn.XLOOKUP(CustomerCombined[[#This Row],[ID]], Table4[ID], Table4[Store], "Not Found", 0)</f>
        <v>7</v>
      </c>
      <c r="V276" s="5">
        <f>_xlfn.XLOOKUP(CustomerCombined[[#This Row],[ID]], Table4[ID], Table4[Visits], "Not Found", 0)</f>
        <v>5</v>
      </c>
      <c r="W276" s="8">
        <f>_xlfn.XLOOKUP(CustomerCombined[[#This Row],[ID]], Table2[ID],Table2[Complaint], "Not Found", 0 )</f>
        <v>0</v>
      </c>
      <c r="X276" s="8">
        <f>_xlfn.XLOOKUP(CustomerCombined[[#This Row],[ID]], Table2[ID],Table2[Pilot], "Not Found", 0 )</f>
        <v>0</v>
      </c>
      <c r="Y276" s="8">
        <f>_xlfn.XLOOKUP(CustomerCombined[[#This Row],[ID]], Table2[ID],Table2[MC1], "Not Found", 0 )</f>
        <v>0</v>
      </c>
      <c r="Z276" s="8">
        <f>_xlfn.XLOOKUP(CustomerCombined[[#This Row],[ID]], Table2[ID],Table2[MC2], "Not Found", 0 )</f>
        <v>0</v>
      </c>
      <c r="AA276" s="8">
        <f>_xlfn.XLOOKUP(CustomerCombined[[#This Row],[ID]], Table2[ID],Table2[MC3], "Not Found", 0 )</f>
        <v>0</v>
      </c>
      <c r="AB276" s="8">
        <f>_xlfn.XLOOKUP(CustomerCombined[[#This Row],[ID]], Table2[ID],Table2[MC4], "Not Found", 0 )</f>
        <v>0</v>
      </c>
      <c r="AC276" s="8">
        <f>_xlfn.XLOOKUP(CustomerCombined[[#This Row],[ID]], Table2[ID],Table2[MC5], "Not Found", 0 )</f>
        <v>0</v>
      </c>
    </row>
    <row r="277" spans="1:29" x14ac:dyDescent="0.3">
      <c r="A277" s="6">
        <v>2327</v>
      </c>
      <c r="B277" s="6">
        <v>150150</v>
      </c>
      <c r="C277" s="6">
        <v>0</v>
      </c>
      <c r="D277" s="6">
        <v>0</v>
      </c>
      <c r="E277" s="6">
        <v>37</v>
      </c>
      <c r="F277" s="5" t="s">
        <v>6</v>
      </c>
      <c r="G277" s="5" t="s">
        <v>13</v>
      </c>
      <c r="H277" s="3" t="s">
        <v>233</v>
      </c>
      <c r="I277" s="5" t="s">
        <v>434</v>
      </c>
      <c r="J277" s="5">
        <f>_xlfn.XLOOKUP(CustomerCombined[[#This Row],[ID]], Table4[ID], Table4[Recency], "Not Found", 0)</f>
        <v>32</v>
      </c>
      <c r="K277" s="5">
        <f>_xlfn.XLOOKUP(CustomerCombined[[#This Row],[ID]], Table4[ID], Table4[Teas], "Not Found", 0)</f>
        <v>404</v>
      </c>
      <c r="L277" s="5">
        <f>_xlfn.XLOOKUP(CustomerCombined[[#This Row],[ID]], Table4[ID], Table4[Fruits], "Not Found", 0)</f>
        <v>138</v>
      </c>
      <c r="M277" s="5">
        <f>_xlfn.XLOOKUP(CustomerCombined[[#This Row],[ID]], Table4[ID], Table4[Meats], "Not Found", 0)</f>
        <v>275</v>
      </c>
      <c r="N277" s="5">
        <f>_xlfn.XLOOKUP(CustomerCombined[[#This Row],[ID]], Table4[ID], Table4[Seafood], "Not Found", 0)</f>
        <v>195</v>
      </c>
      <c r="O277" s="5">
        <f>_xlfn.XLOOKUP(CustomerCombined[[#This Row],[ID]], Table4[ID], Table4[Sweets], "Not Found", 0)</f>
        <v>183</v>
      </c>
      <c r="P277" s="5">
        <f>_xlfn.XLOOKUP(CustomerCombined[[#This Row],[ID]], Table4[ID], Table4[Premium], "Not Found", 0)</f>
        <v>33</v>
      </c>
      <c r="Q277" s="5">
        <f>_xlfn.XLOOKUP(CustomerCombined[[#This Row],[ID]], Table4[ID], Table4[Regular], "Not Found", 0)</f>
        <v>1162</v>
      </c>
      <c r="R277" s="5">
        <f>_xlfn.XLOOKUP(CustomerCombined[[#This Row],[ID]], Table4[ID], Table4[Deals], "Not Found", 0)</f>
        <v>2</v>
      </c>
      <c r="S277" s="5">
        <f>_xlfn.XLOOKUP(CustomerCombined[[#This Row],[ID]], Table4[ID], Table4[Website], "Not Found", 0)</f>
        <v>5</v>
      </c>
      <c r="T277" s="5">
        <f>_xlfn.XLOOKUP(CustomerCombined[[#This Row],[ID]], Table4[ID], Table4[Catalog], "Not Found", 0)</f>
        <v>2</v>
      </c>
      <c r="U277" s="5">
        <f>_xlfn.XLOOKUP(CustomerCombined[[#This Row],[ID]], Table4[ID], Table4[Store], "Not Found", 0)</f>
        <v>7</v>
      </c>
      <c r="V277" s="5">
        <f>_xlfn.XLOOKUP(CustomerCombined[[#This Row],[ID]], Table4[ID], Table4[Visits], "Not Found", 0)</f>
        <v>5</v>
      </c>
      <c r="W277" s="8">
        <f>_xlfn.XLOOKUP(CustomerCombined[[#This Row],[ID]], Table2[ID],Table2[Complaint], "Not Found", 0 )</f>
        <v>0</v>
      </c>
      <c r="X277" s="8">
        <f>_xlfn.XLOOKUP(CustomerCombined[[#This Row],[ID]], Table2[ID],Table2[Pilot], "Not Found", 0 )</f>
        <v>0</v>
      </c>
      <c r="Y277" s="8">
        <f>_xlfn.XLOOKUP(CustomerCombined[[#This Row],[ID]], Table2[ID],Table2[MC1], "Not Found", 0 )</f>
        <v>0</v>
      </c>
      <c r="Z277" s="8">
        <f>_xlfn.XLOOKUP(CustomerCombined[[#This Row],[ID]], Table2[ID],Table2[MC2], "Not Found", 0 )</f>
        <v>0</v>
      </c>
      <c r="AA277" s="8">
        <f>_xlfn.XLOOKUP(CustomerCombined[[#This Row],[ID]], Table2[ID],Table2[MC3], "Not Found", 0 )</f>
        <v>0</v>
      </c>
      <c r="AB277" s="8">
        <f>_xlfn.XLOOKUP(CustomerCombined[[#This Row],[ID]], Table2[ID],Table2[MC4], "Not Found", 0 )</f>
        <v>0</v>
      </c>
      <c r="AC277" s="8">
        <f>_xlfn.XLOOKUP(CustomerCombined[[#This Row],[ID]], Table2[ID],Table2[MC5], "Not Found", 0 )</f>
        <v>0</v>
      </c>
    </row>
    <row r="278" spans="1:29" x14ac:dyDescent="0.3">
      <c r="A278" s="6">
        <v>2069</v>
      </c>
      <c r="B278" s="6">
        <v>143776</v>
      </c>
      <c r="C278" s="6">
        <v>1</v>
      </c>
      <c r="D278" s="6">
        <v>0</v>
      </c>
      <c r="E278" s="6">
        <v>37</v>
      </c>
      <c r="F278" s="5" t="s">
        <v>8</v>
      </c>
      <c r="G278" s="5" t="s">
        <v>11</v>
      </c>
      <c r="H278" s="3">
        <v>44022</v>
      </c>
      <c r="I278" s="5" t="s">
        <v>434</v>
      </c>
      <c r="J278" s="5">
        <f>_xlfn.XLOOKUP(CustomerCombined[[#This Row],[ID]], Table4[ID], Table4[Recency], "Not Found", 0)</f>
        <v>77</v>
      </c>
      <c r="K278" s="5">
        <f>_xlfn.XLOOKUP(CustomerCombined[[#This Row],[ID]], Table4[ID], Table4[Teas], "Not Found", 0)</f>
        <v>26</v>
      </c>
      <c r="L278" s="5">
        <f>_xlfn.XLOOKUP(CustomerCombined[[#This Row],[ID]], Table4[ID], Table4[Fruits], "Not Found", 0)</f>
        <v>0</v>
      </c>
      <c r="M278" s="5">
        <f>_xlfn.XLOOKUP(CustomerCombined[[#This Row],[ID]], Table4[ID], Table4[Meats], "Not Found", 0)</f>
        <v>30</v>
      </c>
      <c r="N278" s="5">
        <f>_xlfn.XLOOKUP(CustomerCombined[[#This Row],[ID]], Table4[ID], Table4[Seafood], "Not Found", 0)</f>
        <v>7</v>
      </c>
      <c r="O278" s="5">
        <f>_xlfn.XLOOKUP(CustomerCombined[[#This Row],[ID]], Table4[ID], Table4[Sweets], "Not Found", 0)</f>
        <v>3</v>
      </c>
      <c r="P278" s="5">
        <f>_xlfn.XLOOKUP(CustomerCombined[[#This Row],[ID]], Table4[ID], Table4[Premium], "Not Found", 0)</f>
        <v>10</v>
      </c>
      <c r="Q278" s="5">
        <f>_xlfn.XLOOKUP(CustomerCombined[[#This Row],[ID]], Table4[ID], Table4[Regular], "Not Found", 0)</f>
        <v>56</v>
      </c>
      <c r="R278" s="5">
        <f>_xlfn.XLOOKUP(CustomerCombined[[#This Row],[ID]], Table4[ID], Table4[Deals], "Not Found", 0)</f>
        <v>1</v>
      </c>
      <c r="S278" s="5">
        <f>_xlfn.XLOOKUP(CustomerCombined[[#This Row],[ID]], Table4[ID], Table4[Website], "Not Found", 0)</f>
        <v>1</v>
      </c>
      <c r="T278" s="5">
        <f>_xlfn.XLOOKUP(CustomerCombined[[#This Row],[ID]], Table4[ID], Table4[Catalog], "Not Found", 0)</f>
        <v>0</v>
      </c>
      <c r="U278" s="5">
        <f>_xlfn.XLOOKUP(CustomerCombined[[#This Row],[ID]], Table4[ID], Table4[Store], "Not Found", 0)</f>
        <v>2</v>
      </c>
      <c r="V278" s="5">
        <f>_xlfn.XLOOKUP(CustomerCombined[[#This Row],[ID]], Table4[ID], Table4[Visits], "Not Found", 0)</f>
        <v>6</v>
      </c>
      <c r="W278" s="8">
        <f>_xlfn.XLOOKUP(CustomerCombined[[#This Row],[ID]], Table2[ID],Table2[Complaint], "Not Found", 0 )</f>
        <v>0</v>
      </c>
      <c r="X278" s="8">
        <f>_xlfn.XLOOKUP(CustomerCombined[[#This Row],[ID]], Table2[ID],Table2[Pilot], "Not Found", 0 )</f>
        <v>0</v>
      </c>
      <c r="Y278" s="8">
        <f>_xlfn.XLOOKUP(CustomerCombined[[#This Row],[ID]], Table2[ID],Table2[MC1], "Not Found", 0 )</f>
        <v>0</v>
      </c>
      <c r="Z278" s="8">
        <f>_xlfn.XLOOKUP(CustomerCombined[[#This Row],[ID]], Table2[ID],Table2[MC2], "Not Found", 0 )</f>
        <v>0</v>
      </c>
      <c r="AA278" s="8">
        <f>_xlfn.XLOOKUP(CustomerCombined[[#This Row],[ID]], Table2[ID],Table2[MC3], "Not Found", 0 )</f>
        <v>0</v>
      </c>
      <c r="AB278" s="8">
        <f>_xlfn.XLOOKUP(CustomerCombined[[#This Row],[ID]], Table2[ID],Table2[MC4], "Not Found", 0 )</f>
        <v>0</v>
      </c>
      <c r="AC278" s="8">
        <f>_xlfn.XLOOKUP(CustomerCombined[[#This Row],[ID]], Table2[ID],Table2[MC5], "Not Found", 0 )</f>
        <v>0</v>
      </c>
    </row>
    <row r="279" spans="1:29" x14ac:dyDescent="0.3">
      <c r="A279" s="6">
        <v>1858</v>
      </c>
      <c r="B279" s="6">
        <v>139922</v>
      </c>
      <c r="C279" s="6">
        <v>1</v>
      </c>
      <c r="D279" s="6">
        <v>0</v>
      </c>
      <c r="E279" s="6">
        <v>37</v>
      </c>
      <c r="F279" s="5" t="s">
        <v>6</v>
      </c>
      <c r="G279" s="5" t="s">
        <v>11</v>
      </c>
      <c r="H279" s="3" t="s">
        <v>309</v>
      </c>
      <c r="I279" s="5" t="s">
        <v>439</v>
      </c>
      <c r="J279" s="5">
        <f>_xlfn.XLOOKUP(CustomerCombined[[#This Row],[ID]], Table4[ID], Table4[Recency], "Not Found", 0)</f>
        <v>30</v>
      </c>
      <c r="K279" s="5">
        <f>_xlfn.XLOOKUP(CustomerCombined[[#This Row],[ID]], Table4[ID], Table4[Teas], "Not Found", 0)</f>
        <v>102</v>
      </c>
      <c r="L279" s="5">
        <f>_xlfn.XLOOKUP(CustomerCombined[[#This Row],[ID]], Table4[ID], Table4[Fruits], "Not Found", 0)</f>
        <v>42</v>
      </c>
      <c r="M279" s="5">
        <f>_xlfn.XLOOKUP(CustomerCombined[[#This Row],[ID]], Table4[ID], Table4[Meats], "Not Found", 0)</f>
        <v>207</v>
      </c>
      <c r="N279" s="5">
        <f>_xlfn.XLOOKUP(CustomerCombined[[#This Row],[ID]], Table4[ID], Table4[Seafood], "Not Found", 0)</f>
        <v>67</v>
      </c>
      <c r="O279" s="5">
        <f>_xlfn.XLOOKUP(CustomerCombined[[#This Row],[ID]], Table4[ID], Table4[Sweets], "Not Found", 0)</f>
        <v>4</v>
      </c>
      <c r="P279" s="5">
        <f>_xlfn.XLOOKUP(CustomerCombined[[#This Row],[ID]], Table4[ID], Table4[Premium], "Not Found", 0)</f>
        <v>126</v>
      </c>
      <c r="Q279" s="5">
        <f>_xlfn.XLOOKUP(CustomerCombined[[#This Row],[ID]], Table4[ID], Table4[Regular], "Not Found", 0)</f>
        <v>294</v>
      </c>
      <c r="R279" s="5">
        <f>_xlfn.XLOOKUP(CustomerCombined[[#This Row],[ID]], Table4[ID], Table4[Deals], "Not Found", 0)</f>
        <v>2</v>
      </c>
      <c r="S279" s="5">
        <f>_xlfn.XLOOKUP(CustomerCombined[[#This Row],[ID]], Table4[ID], Table4[Website], "Not Found", 0)</f>
        <v>3</v>
      </c>
      <c r="T279" s="5">
        <f>_xlfn.XLOOKUP(CustomerCombined[[#This Row],[ID]], Table4[ID], Table4[Catalog], "Not Found", 0)</f>
        <v>0</v>
      </c>
      <c r="U279" s="5">
        <f>_xlfn.XLOOKUP(CustomerCombined[[#This Row],[ID]], Table4[ID], Table4[Store], "Not Found", 0)</f>
        <v>4</v>
      </c>
      <c r="V279" s="5">
        <f>_xlfn.XLOOKUP(CustomerCombined[[#This Row],[ID]], Table4[ID], Table4[Visits], "Not Found", 0)</f>
        <v>8</v>
      </c>
      <c r="W279" s="8">
        <f>_xlfn.XLOOKUP(CustomerCombined[[#This Row],[ID]], Table2[ID],Table2[Complaint], "Not Found", 0 )</f>
        <v>0</v>
      </c>
      <c r="X279" s="8">
        <f>_xlfn.XLOOKUP(CustomerCombined[[#This Row],[ID]], Table2[ID],Table2[Pilot], "Not Found", 0 )</f>
        <v>0</v>
      </c>
      <c r="Y279" s="8">
        <f>_xlfn.XLOOKUP(CustomerCombined[[#This Row],[ID]], Table2[ID],Table2[MC1], "Not Found", 0 )</f>
        <v>0</v>
      </c>
      <c r="Z279" s="8">
        <f>_xlfn.XLOOKUP(CustomerCombined[[#This Row],[ID]], Table2[ID],Table2[MC2], "Not Found", 0 )</f>
        <v>0</v>
      </c>
      <c r="AA279" s="8">
        <f>_xlfn.XLOOKUP(CustomerCombined[[#This Row],[ID]], Table2[ID],Table2[MC3], "Not Found", 0 )</f>
        <v>0</v>
      </c>
      <c r="AB279" s="8">
        <f>_xlfn.XLOOKUP(CustomerCombined[[#This Row],[ID]], Table2[ID],Table2[MC4], "Not Found", 0 )</f>
        <v>0</v>
      </c>
      <c r="AC279" s="8">
        <f>_xlfn.XLOOKUP(CustomerCombined[[#This Row],[ID]], Table2[ID],Table2[MC5], "Not Found", 0 )</f>
        <v>0</v>
      </c>
    </row>
    <row r="280" spans="1:29" x14ac:dyDescent="0.3">
      <c r="A280" s="6">
        <v>2415</v>
      </c>
      <c r="B280" s="6">
        <v>139922</v>
      </c>
      <c r="C280" s="6">
        <v>1</v>
      </c>
      <c r="D280" s="6">
        <v>0</v>
      </c>
      <c r="E280" s="6">
        <v>37</v>
      </c>
      <c r="F280" s="5" t="s">
        <v>6</v>
      </c>
      <c r="G280" s="5" t="s">
        <v>11</v>
      </c>
      <c r="H280" s="3" t="s">
        <v>309</v>
      </c>
      <c r="I280" s="5" t="s">
        <v>435</v>
      </c>
      <c r="J280" s="5">
        <f>_xlfn.XLOOKUP(CustomerCombined[[#This Row],[ID]], Table4[ID], Table4[Recency], "Not Found", 0)</f>
        <v>30</v>
      </c>
      <c r="K280" s="5">
        <f>_xlfn.XLOOKUP(CustomerCombined[[#This Row],[ID]], Table4[ID], Table4[Teas], "Not Found", 0)</f>
        <v>102</v>
      </c>
      <c r="L280" s="5">
        <f>_xlfn.XLOOKUP(CustomerCombined[[#This Row],[ID]], Table4[ID], Table4[Fruits], "Not Found", 0)</f>
        <v>42</v>
      </c>
      <c r="M280" s="5">
        <f>_xlfn.XLOOKUP(CustomerCombined[[#This Row],[ID]], Table4[ID], Table4[Meats], "Not Found", 0)</f>
        <v>207</v>
      </c>
      <c r="N280" s="5">
        <f>_xlfn.XLOOKUP(CustomerCombined[[#This Row],[ID]], Table4[ID], Table4[Seafood], "Not Found", 0)</f>
        <v>67</v>
      </c>
      <c r="O280" s="5">
        <f>_xlfn.XLOOKUP(CustomerCombined[[#This Row],[ID]], Table4[ID], Table4[Sweets], "Not Found", 0)</f>
        <v>4</v>
      </c>
      <c r="P280" s="5">
        <f>_xlfn.XLOOKUP(CustomerCombined[[#This Row],[ID]], Table4[ID], Table4[Premium], "Not Found", 0)</f>
        <v>126</v>
      </c>
      <c r="Q280" s="5">
        <f>_xlfn.XLOOKUP(CustomerCombined[[#This Row],[ID]], Table4[ID], Table4[Regular], "Not Found", 0)</f>
        <v>294</v>
      </c>
      <c r="R280" s="5">
        <f>_xlfn.XLOOKUP(CustomerCombined[[#This Row],[ID]], Table4[ID], Table4[Deals], "Not Found", 0)</f>
        <v>2</v>
      </c>
      <c r="S280" s="5">
        <f>_xlfn.XLOOKUP(CustomerCombined[[#This Row],[ID]], Table4[ID], Table4[Website], "Not Found", 0)</f>
        <v>3</v>
      </c>
      <c r="T280" s="5">
        <f>_xlfn.XLOOKUP(CustomerCombined[[#This Row],[ID]], Table4[ID], Table4[Catalog], "Not Found", 0)</f>
        <v>0</v>
      </c>
      <c r="U280" s="5">
        <f>_xlfn.XLOOKUP(CustomerCombined[[#This Row],[ID]], Table4[ID], Table4[Store], "Not Found", 0)</f>
        <v>4</v>
      </c>
      <c r="V280" s="5">
        <f>_xlfn.XLOOKUP(CustomerCombined[[#This Row],[ID]], Table4[ID], Table4[Visits], "Not Found", 0)</f>
        <v>8</v>
      </c>
      <c r="W280" s="8">
        <f>_xlfn.XLOOKUP(CustomerCombined[[#This Row],[ID]], Table2[ID],Table2[Complaint], "Not Found", 0 )</f>
        <v>0</v>
      </c>
      <c r="X280" s="8">
        <f>_xlfn.XLOOKUP(CustomerCombined[[#This Row],[ID]], Table2[ID],Table2[Pilot], "Not Found", 0 )</f>
        <v>0</v>
      </c>
      <c r="Y280" s="8">
        <f>_xlfn.XLOOKUP(CustomerCombined[[#This Row],[ID]], Table2[ID],Table2[MC1], "Not Found", 0 )</f>
        <v>0</v>
      </c>
      <c r="Z280" s="8">
        <f>_xlfn.XLOOKUP(CustomerCombined[[#This Row],[ID]], Table2[ID],Table2[MC2], "Not Found", 0 )</f>
        <v>0</v>
      </c>
      <c r="AA280" s="8">
        <f>_xlfn.XLOOKUP(CustomerCombined[[#This Row],[ID]], Table2[ID],Table2[MC3], "Not Found", 0 )</f>
        <v>0</v>
      </c>
      <c r="AB280" s="8">
        <f>_xlfn.XLOOKUP(CustomerCombined[[#This Row],[ID]], Table2[ID],Table2[MC4], "Not Found", 0 )</f>
        <v>0</v>
      </c>
      <c r="AC280" s="8">
        <f>_xlfn.XLOOKUP(CustomerCombined[[#This Row],[ID]], Table2[ID],Table2[MC5], "Not Found", 0 )</f>
        <v>0</v>
      </c>
    </row>
    <row r="281" spans="1:29" x14ac:dyDescent="0.3">
      <c r="A281" s="6">
        <v>2536</v>
      </c>
      <c r="B281" s="6">
        <v>139922</v>
      </c>
      <c r="C281" s="6">
        <v>1</v>
      </c>
      <c r="D281" s="6">
        <v>0</v>
      </c>
      <c r="E281" s="6">
        <v>37</v>
      </c>
      <c r="F281" s="5" t="s">
        <v>6</v>
      </c>
      <c r="G281" s="5" t="s">
        <v>11</v>
      </c>
      <c r="H281" s="3" t="s">
        <v>309</v>
      </c>
      <c r="I281" s="5" t="s">
        <v>439</v>
      </c>
      <c r="J281" s="5">
        <f>_xlfn.XLOOKUP(CustomerCombined[[#This Row],[ID]], Table4[ID], Table4[Recency], "Not Found", 0)</f>
        <v>30</v>
      </c>
      <c r="K281" s="5">
        <f>_xlfn.XLOOKUP(CustomerCombined[[#This Row],[ID]], Table4[ID], Table4[Teas], "Not Found", 0)</f>
        <v>102</v>
      </c>
      <c r="L281" s="5">
        <f>_xlfn.XLOOKUP(CustomerCombined[[#This Row],[ID]], Table4[ID], Table4[Fruits], "Not Found", 0)</f>
        <v>42</v>
      </c>
      <c r="M281" s="5">
        <f>_xlfn.XLOOKUP(CustomerCombined[[#This Row],[ID]], Table4[ID], Table4[Meats], "Not Found", 0)</f>
        <v>207</v>
      </c>
      <c r="N281" s="5">
        <f>_xlfn.XLOOKUP(CustomerCombined[[#This Row],[ID]], Table4[ID], Table4[Seafood], "Not Found", 0)</f>
        <v>67</v>
      </c>
      <c r="O281" s="5">
        <f>_xlfn.XLOOKUP(CustomerCombined[[#This Row],[ID]], Table4[ID], Table4[Sweets], "Not Found", 0)</f>
        <v>4</v>
      </c>
      <c r="P281" s="5">
        <f>_xlfn.XLOOKUP(CustomerCombined[[#This Row],[ID]], Table4[ID], Table4[Premium], "Not Found", 0)</f>
        <v>126</v>
      </c>
      <c r="Q281" s="5">
        <f>_xlfn.XLOOKUP(CustomerCombined[[#This Row],[ID]], Table4[ID], Table4[Regular], "Not Found", 0)</f>
        <v>294</v>
      </c>
      <c r="R281" s="5">
        <f>_xlfn.XLOOKUP(CustomerCombined[[#This Row],[ID]], Table4[ID], Table4[Deals], "Not Found", 0)</f>
        <v>2</v>
      </c>
      <c r="S281" s="5">
        <f>_xlfn.XLOOKUP(CustomerCombined[[#This Row],[ID]], Table4[ID], Table4[Website], "Not Found", 0)</f>
        <v>3</v>
      </c>
      <c r="T281" s="5">
        <f>_xlfn.XLOOKUP(CustomerCombined[[#This Row],[ID]], Table4[ID], Table4[Catalog], "Not Found", 0)</f>
        <v>0</v>
      </c>
      <c r="U281" s="5">
        <f>_xlfn.XLOOKUP(CustomerCombined[[#This Row],[ID]], Table4[ID], Table4[Store], "Not Found", 0)</f>
        <v>4</v>
      </c>
      <c r="V281" s="5">
        <f>_xlfn.XLOOKUP(CustomerCombined[[#This Row],[ID]], Table4[ID], Table4[Visits], "Not Found", 0)</f>
        <v>8</v>
      </c>
      <c r="W281" s="8">
        <f>_xlfn.XLOOKUP(CustomerCombined[[#This Row],[ID]], Table2[ID],Table2[Complaint], "Not Found", 0 )</f>
        <v>0</v>
      </c>
      <c r="X281" s="8">
        <f>_xlfn.XLOOKUP(CustomerCombined[[#This Row],[ID]], Table2[ID],Table2[Pilot], "Not Found", 0 )</f>
        <v>0</v>
      </c>
      <c r="Y281" s="8">
        <f>_xlfn.XLOOKUP(CustomerCombined[[#This Row],[ID]], Table2[ID],Table2[MC1], "Not Found", 0 )</f>
        <v>0</v>
      </c>
      <c r="Z281" s="8">
        <f>_xlfn.XLOOKUP(CustomerCombined[[#This Row],[ID]], Table2[ID],Table2[MC2], "Not Found", 0 )</f>
        <v>0</v>
      </c>
      <c r="AA281" s="8">
        <f>_xlfn.XLOOKUP(CustomerCombined[[#This Row],[ID]], Table2[ID],Table2[MC3], "Not Found", 0 )</f>
        <v>0</v>
      </c>
      <c r="AB281" s="8">
        <f>_xlfn.XLOOKUP(CustomerCombined[[#This Row],[ID]], Table2[ID],Table2[MC4], "Not Found", 0 )</f>
        <v>0</v>
      </c>
      <c r="AC281" s="8">
        <f>_xlfn.XLOOKUP(CustomerCombined[[#This Row],[ID]], Table2[ID],Table2[MC5], "Not Found", 0 )</f>
        <v>0</v>
      </c>
    </row>
    <row r="282" spans="1:29" x14ac:dyDescent="0.3">
      <c r="A282" s="6">
        <v>1568</v>
      </c>
      <c r="B282" s="6">
        <v>139453</v>
      </c>
      <c r="C282" s="6">
        <v>1</v>
      </c>
      <c r="D282" s="6">
        <v>0</v>
      </c>
      <c r="E282" s="6">
        <v>37</v>
      </c>
      <c r="F282" s="5" t="s">
        <v>8</v>
      </c>
      <c r="G282" s="5" t="s">
        <v>11</v>
      </c>
      <c r="H282" s="3">
        <v>44021</v>
      </c>
      <c r="I282" s="5" t="s">
        <v>438</v>
      </c>
      <c r="J282" s="5">
        <f>_xlfn.XLOOKUP(CustomerCombined[[#This Row],[ID]], Table4[ID], Table4[Recency], "Not Found", 0)</f>
        <v>64</v>
      </c>
      <c r="K282" s="5">
        <f>_xlfn.XLOOKUP(CustomerCombined[[#This Row],[ID]], Table4[ID], Table4[Teas], "Not Found", 0)</f>
        <v>163</v>
      </c>
      <c r="L282" s="5">
        <f>_xlfn.XLOOKUP(CustomerCombined[[#This Row],[ID]], Table4[ID], Table4[Fruits], "Not Found", 0)</f>
        <v>0</v>
      </c>
      <c r="M282" s="5">
        <f>_xlfn.XLOOKUP(CustomerCombined[[#This Row],[ID]], Table4[ID], Table4[Meats], "Not Found", 0)</f>
        <v>25</v>
      </c>
      <c r="N282" s="5">
        <f>_xlfn.XLOOKUP(CustomerCombined[[#This Row],[ID]], Table4[ID], Table4[Seafood], "Not Found", 0)</f>
        <v>0</v>
      </c>
      <c r="O282" s="5">
        <f>_xlfn.XLOOKUP(CustomerCombined[[#This Row],[ID]], Table4[ID], Table4[Sweets], "Not Found", 0)</f>
        <v>0</v>
      </c>
      <c r="P282" s="5">
        <f>_xlfn.XLOOKUP(CustomerCombined[[#This Row],[ID]], Table4[ID], Table4[Premium], "Not Found", 0)</f>
        <v>7</v>
      </c>
      <c r="Q282" s="5">
        <f>_xlfn.XLOOKUP(CustomerCombined[[#This Row],[ID]], Table4[ID], Table4[Regular], "Not Found", 0)</f>
        <v>180</v>
      </c>
      <c r="R282" s="5">
        <f>_xlfn.XLOOKUP(CustomerCombined[[#This Row],[ID]], Table4[ID], Table4[Deals], "Not Found", 0)</f>
        <v>2</v>
      </c>
      <c r="S282" s="5">
        <f>_xlfn.XLOOKUP(CustomerCombined[[#This Row],[ID]], Table4[ID], Table4[Website], "Not Found", 0)</f>
        <v>2</v>
      </c>
      <c r="T282" s="5">
        <f>_xlfn.XLOOKUP(CustomerCombined[[#This Row],[ID]], Table4[ID], Table4[Catalog], "Not Found", 0)</f>
        <v>0</v>
      </c>
      <c r="U282" s="5">
        <f>_xlfn.XLOOKUP(CustomerCombined[[#This Row],[ID]], Table4[ID], Table4[Store], "Not Found", 0)</f>
        <v>3</v>
      </c>
      <c r="V282" s="5">
        <f>_xlfn.XLOOKUP(CustomerCombined[[#This Row],[ID]], Table4[ID], Table4[Visits], "Not Found", 0)</f>
        <v>6</v>
      </c>
      <c r="W282" s="8">
        <f>_xlfn.XLOOKUP(CustomerCombined[[#This Row],[ID]], Table2[ID],Table2[Complaint], "Not Found", 0 )</f>
        <v>0</v>
      </c>
      <c r="X282" s="8">
        <f>_xlfn.XLOOKUP(CustomerCombined[[#This Row],[ID]], Table2[ID],Table2[Pilot], "Not Found", 0 )</f>
        <v>0</v>
      </c>
      <c r="Y282" s="8">
        <f>_xlfn.XLOOKUP(CustomerCombined[[#This Row],[ID]], Table2[ID],Table2[MC1], "Not Found", 0 )</f>
        <v>0</v>
      </c>
      <c r="Z282" s="8">
        <f>_xlfn.XLOOKUP(CustomerCombined[[#This Row],[ID]], Table2[ID],Table2[MC2], "Not Found", 0 )</f>
        <v>0</v>
      </c>
      <c r="AA282" s="8">
        <f>_xlfn.XLOOKUP(CustomerCombined[[#This Row],[ID]], Table2[ID],Table2[MC3], "Not Found", 0 )</f>
        <v>0</v>
      </c>
      <c r="AB282" s="8">
        <f>_xlfn.XLOOKUP(CustomerCombined[[#This Row],[ID]], Table2[ID],Table2[MC4], "Not Found", 0 )</f>
        <v>0</v>
      </c>
      <c r="AC282" s="8">
        <f>_xlfn.XLOOKUP(CustomerCombined[[#This Row],[ID]], Table2[ID],Table2[MC5], "Not Found", 0 )</f>
        <v>0</v>
      </c>
    </row>
    <row r="283" spans="1:29" x14ac:dyDescent="0.3">
      <c r="A283" s="6">
        <v>2946</v>
      </c>
      <c r="B283" s="6">
        <v>139062</v>
      </c>
      <c r="C283" s="6">
        <v>1</v>
      </c>
      <c r="D283" s="6">
        <v>0</v>
      </c>
      <c r="E283" s="6">
        <v>37</v>
      </c>
      <c r="F283" s="5" t="s">
        <v>7</v>
      </c>
      <c r="G283" s="5" t="s">
        <v>11</v>
      </c>
      <c r="H283" s="3" t="s">
        <v>76</v>
      </c>
      <c r="I283" s="5" t="s">
        <v>436</v>
      </c>
      <c r="J283" s="5">
        <f>_xlfn.XLOOKUP(CustomerCombined[[#This Row],[ID]], Table4[ID], Table4[Recency], "Not Found", 0)</f>
        <v>28</v>
      </c>
      <c r="K283" s="5">
        <f>_xlfn.XLOOKUP(CustomerCombined[[#This Row],[ID]], Table4[ID], Table4[Teas], "Not Found", 0)</f>
        <v>82</v>
      </c>
      <c r="L283" s="5">
        <f>_xlfn.XLOOKUP(CustomerCombined[[#This Row],[ID]], Table4[ID], Table4[Fruits], "Not Found", 0)</f>
        <v>0</v>
      </c>
      <c r="M283" s="5">
        <f>_xlfn.XLOOKUP(CustomerCombined[[#This Row],[ID]], Table4[ID], Table4[Meats], "Not Found", 0)</f>
        <v>32</v>
      </c>
      <c r="N283" s="5">
        <f>_xlfn.XLOOKUP(CustomerCombined[[#This Row],[ID]], Table4[ID], Table4[Seafood], "Not Found", 0)</f>
        <v>0</v>
      </c>
      <c r="O283" s="5">
        <f>_xlfn.XLOOKUP(CustomerCombined[[#This Row],[ID]], Table4[ID], Table4[Sweets], "Not Found", 0)</f>
        <v>0</v>
      </c>
      <c r="P283" s="5">
        <f>_xlfn.XLOOKUP(CustomerCombined[[#This Row],[ID]], Table4[ID], Table4[Premium], "Not Found", 0)</f>
        <v>43</v>
      </c>
      <c r="Q283" s="5">
        <f>_xlfn.XLOOKUP(CustomerCombined[[#This Row],[ID]], Table4[ID], Table4[Regular], "Not Found", 0)</f>
        <v>71</v>
      </c>
      <c r="R283" s="5">
        <f>_xlfn.XLOOKUP(CustomerCombined[[#This Row],[ID]], Table4[ID], Table4[Deals], "Not Found", 0)</f>
        <v>1</v>
      </c>
      <c r="S283" s="5">
        <f>_xlfn.XLOOKUP(CustomerCombined[[#This Row],[ID]], Table4[ID], Table4[Website], "Not Found", 0)</f>
        <v>1</v>
      </c>
      <c r="T283" s="5">
        <f>_xlfn.XLOOKUP(CustomerCombined[[#This Row],[ID]], Table4[ID], Table4[Catalog], "Not Found", 0)</f>
        <v>0</v>
      </c>
      <c r="U283" s="5">
        <f>_xlfn.XLOOKUP(CustomerCombined[[#This Row],[ID]], Table4[ID], Table4[Store], "Not Found", 0)</f>
        <v>3</v>
      </c>
      <c r="V283" s="5">
        <f>_xlfn.XLOOKUP(CustomerCombined[[#This Row],[ID]], Table4[ID], Table4[Visits], "Not Found", 0)</f>
        <v>4</v>
      </c>
      <c r="W283" s="8">
        <f>_xlfn.XLOOKUP(CustomerCombined[[#This Row],[ID]], Table2[ID],Table2[Complaint], "Not Found", 0 )</f>
        <v>0</v>
      </c>
      <c r="X283" s="8">
        <f>_xlfn.XLOOKUP(CustomerCombined[[#This Row],[ID]], Table2[ID],Table2[Pilot], "Not Found", 0 )</f>
        <v>0</v>
      </c>
      <c r="Y283" s="8">
        <f>_xlfn.XLOOKUP(CustomerCombined[[#This Row],[ID]], Table2[ID],Table2[MC1], "Not Found", 0 )</f>
        <v>0</v>
      </c>
      <c r="Z283" s="8">
        <f>_xlfn.XLOOKUP(CustomerCombined[[#This Row],[ID]], Table2[ID],Table2[MC2], "Not Found", 0 )</f>
        <v>0</v>
      </c>
      <c r="AA283" s="8">
        <f>_xlfn.XLOOKUP(CustomerCombined[[#This Row],[ID]], Table2[ID],Table2[MC3], "Not Found", 0 )</f>
        <v>1</v>
      </c>
      <c r="AB283" s="8">
        <f>_xlfn.XLOOKUP(CustomerCombined[[#This Row],[ID]], Table2[ID],Table2[MC4], "Not Found", 0 )</f>
        <v>0</v>
      </c>
      <c r="AC283" s="8">
        <f>_xlfn.XLOOKUP(CustomerCombined[[#This Row],[ID]], Table2[ID],Table2[MC5], "Not Found", 0 )</f>
        <v>0</v>
      </c>
    </row>
    <row r="284" spans="1:29" x14ac:dyDescent="0.3">
      <c r="A284" s="6">
        <v>2716</v>
      </c>
      <c r="B284" s="6">
        <v>137292</v>
      </c>
      <c r="C284" s="6">
        <v>1</v>
      </c>
      <c r="D284" s="6">
        <v>0</v>
      </c>
      <c r="E284" s="6">
        <v>37</v>
      </c>
      <c r="F284" s="5" t="s">
        <v>8</v>
      </c>
      <c r="G284" s="5" t="s">
        <v>11</v>
      </c>
      <c r="H284" s="3" t="s">
        <v>271</v>
      </c>
      <c r="I284" s="5" t="s">
        <v>439</v>
      </c>
      <c r="J284" s="5">
        <f>_xlfn.XLOOKUP(CustomerCombined[[#This Row],[ID]], Table4[ID], Table4[Recency], "Not Found", 0)</f>
        <v>32</v>
      </c>
      <c r="K284" s="5">
        <f>_xlfn.XLOOKUP(CustomerCombined[[#This Row],[ID]], Table4[ID], Table4[Teas], "Not Found", 0)</f>
        <v>1012</v>
      </c>
      <c r="L284" s="5">
        <f>_xlfn.XLOOKUP(CustomerCombined[[#This Row],[ID]], Table4[ID], Table4[Fruits], "Not Found", 0)</f>
        <v>0</v>
      </c>
      <c r="M284" s="5">
        <f>_xlfn.XLOOKUP(CustomerCombined[[#This Row],[ID]], Table4[ID], Table4[Meats], "Not Found", 0)</f>
        <v>317</v>
      </c>
      <c r="N284" s="5">
        <f>_xlfn.XLOOKUP(CustomerCombined[[#This Row],[ID]], Table4[ID], Table4[Seafood], "Not Found", 0)</f>
        <v>37</v>
      </c>
      <c r="O284" s="5">
        <f>_xlfn.XLOOKUP(CustomerCombined[[#This Row],[ID]], Table4[ID], Table4[Sweets], "Not Found", 0)</f>
        <v>85</v>
      </c>
      <c r="P284" s="5">
        <f>_xlfn.XLOOKUP(CustomerCombined[[#This Row],[ID]], Table4[ID], Table4[Premium], "Not Found", 0)</f>
        <v>243</v>
      </c>
      <c r="Q284" s="5">
        <f>_xlfn.XLOOKUP(CustomerCombined[[#This Row],[ID]], Table4[ID], Table4[Regular], "Not Found", 0)</f>
        <v>1208</v>
      </c>
      <c r="R284" s="5">
        <f>_xlfn.XLOOKUP(CustomerCombined[[#This Row],[ID]], Table4[ID], Table4[Deals], "Not Found", 0)</f>
        <v>5</v>
      </c>
      <c r="S284" s="5">
        <f>_xlfn.XLOOKUP(CustomerCombined[[#This Row],[ID]], Table4[ID], Table4[Website], "Not Found", 0)</f>
        <v>6</v>
      </c>
      <c r="T284" s="5">
        <f>_xlfn.XLOOKUP(CustomerCombined[[#This Row],[ID]], Table4[ID], Table4[Catalog], "Not Found", 0)</f>
        <v>3</v>
      </c>
      <c r="U284" s="5">
        <f>_xlfn.XLOOKUP(CustomerCombined[[#This Row],[ID]], Table4[ID], Table4[Store], "Not Found", 0)</f>
        <v>5</v>
      </c>
      <c r="V284" s="5">
        <f>_xlfn.XLOOKUP(CustomerCombined[[#This Row],[ID]], Table4[ID], Table4[Visits], "Not Found", 0)</f>
        <v>8</v>
      </c>
      <c r="W284" s="8">
        <f>_xlfn.XLOOKUP(CustomerCombined[[#This Row],[ID]], Table2[ID],Table2[Complaint], "Not Found", 0 )</f>
        <v>0</v>
      </c>
      <c r="X284" s="8">
        <f>_xlfn.XLOOKUP(CustomerCombined[[#This Row],[ID]], Table2[ID],Table2[Pilot], "Not Found", 0 )</f>
        <v>0</v>
      </c>
      <c r="Y284" s="8">
        <f>_xlfn.XLOOKUP(CustomerCombined[[#This Row],[ID]], Table2[ID],Table2[MC1], "Not Found", 0 )</f>
        <v>0</v>
      </c>
      <c r="Z284" s="8">
        <f>_xlfn.XLOOKUP(CustomerCombined[[#This Row],[ID]], Table2[ID],Table2[MC2], "Not Found", 0 )</f>
        <v>0</v>
      </c>
      <c r="AA284" s="8">
        <f>_xlfn.XLOOKUP(CustomerCombined[[#This Row],[ID]], Table2[ID],Table2[MC3], "Not Found", 0 )</f>
        <v>0</v>
      </c>
      <c r="AB284" s="8">
        <f>_xlfn.XLOOKUP(CustomerCombined[[#This Row],[ID]], Table2[ID],Table2[MC4], "Not Found", 0 )</f>
        <v>0</v>
      </c>
      <c r="AC284" s="8">
        <f>_xlfn.XLOOKUP(CustomerCombined[[#This Row],[ID]], Table2[ID],Table2[MC5], "Not Found", 0 )</f>
        <v>0</v>
      </c>
    </row>
    <row r="285" spans="1:29" x14ac:dyDescent="0.3">
      <c r="A285" s="6">
        <v>2991</v>
      </c>
      <c r="B285" s="6">
        <v>136790</v>
      </c>
      <c r="C285" s="6">
        <v>0</v>
      </c>
      <c r="D285" s="6">
        <v>0</v>
      </c>
      <c r="E285" s="6">
        <v>37</v>
      </c>
      <c r="F285" s="5" t="s">
        <v>6</v>
      </c>
      <c r="G285" s="5" t="s">
        <v>11</v>
      </c>
      <c r="H285" s="3">
        <v>43624</v>
      </c>
      <c r="I285" s="5" t="s">
        <v>435</v>
      </c>
      <c r="J285" s="5">
        <f>_xlfn.XLOOKUP(CustomerCombined[[#This Row],[ID]], Table4[ID], Table4[Recency], "Not Found", 0)</f>
        <v>14</v>
      </c>
      <c r="K285" s="5">
        <f>_xlfn.XLOOKUP(CustomerCombined[[#This Row],[ID]], Table4[ID], Table4[Teas], "Not Found", 0)</f>
        <v>11</v>
      </c>
      <c r="L285" s="5">
        <f>_xlfn.XLOOKUP(CustomerCombined[[#This Row],[ID]], Table4[ID], Table4[Fruits], "Not Found", 0)</f>
        <v>11</v>
      </c>
      <c r="M285" s="5">
        <f>_xlfn.XLOOKUP(CustomerCombined[[#This Row],[ID]], Table4[ID], Table4[Meats], "Not Found", 0)</f>
        <v>52</v>
      </c>
      <c r="N285" s="5">
        <f>_xlfn.XLOOKUP(CustomerCombined[[#This Row],[ID]], Table4[ID], Table4[Seafood], "Not Found", 0)</f>
        <v>56</v>
      </c>
      <c r="O285" s="5">
        <f>_xlfn.XLOOKUP(CustomerCombined[[#This Row],[ID]], Table4[ID], Table4[Sweets], "Not Found", 0)</f>
        <v>78</v>
      </c>
      <c r="P285" s="5">
        <f>_xlfn.XLOOKUP(CustomerCombined[[#This Row],[ID]], Table4[ID], Table4[Premium], "Not Found", 0)</f>
        <v>37</v>
      </c>
      <c r="Q285" s="5">
        <f>_xlfn.XLOOKUP(CustomerCombined[[#This Row],[ID]], Table4[ID], Table4[Regular], "Not Found", 0)</f>
        <v>171</v>
      </c>
      <c r="R285" s="5">
        <f>_xlfn.XLOOKUP(CustomerCombined[[#This Row],[ID]], Table4[ID], Table4[Deals], "Not Found", 0)</f>
        <v>1</v>
      </c>
      <c r="S285" s="5">
        <f>_xlfn.XLOOKUP(CustomerCombined[[#This Row],[ID]], Table4[ID], Table4[Website], "Not Found", 0)</f>
        <v>2</v>
      </c>
      <c r="T285" s="5">
        <f>_xlfn.XLOOKUP(CustomerCombined[[#This Row],[ID]], Table4[ID], Table4[Catalog], "Not Found", 0)</f>
        <v>1</v>
      </c>
      <c r="U285" s="5">
        <f>_xlfn.XLOOKUP(CustomerCombined[[#This Row],[ID]], Table4[ID], Table4[Store], "Not Found", 0)</f>
        <v>2</v>
      </c>
      <c r="V285" s="5">
        <f>_xlfn.XLOOKUP(CustomerCombined[[#This Row],[ID]], Table4[ID], Table4[Visits], "Not Found", 0)</f>
        <v>9</v>
      </c>
      <c r="W285" s="8">
        <f>_xlfn.XLOOKUP(CustomerCombined[[#This Row],[ID]], Table2[ID],Table2[Complaint], "Not Found", 0 )</f>
        <v>0</v>
      </c>
      <c r="X285" s="8">
        <f>_xlfn.XLOOKUP(CustomerCombined[[#This Row],[ID]], Table2[ID],Table2[Pilot], "Not Found", 0 )</f>
        <v>1</v>
      </c>
      <c r="Y285" s="8">
        <f>_xlfn.XLOOKUP(CustomerCombined[[#This Row],[ID]], Table2[ID],Table2[MC1], "Not Found", 0 )</f>
        <v>0</v>
      </c>
      <c r="Z285" s="8">
        <f>_xlfn.XLOOKUP(CustomerCombined[[#This Row],[ID]], Table2[ID],Table2[MC2], "Not Found", 0 )</f>
        <v>0</v>
      </c>
      <c r="AA285" s="8">
        <f>_xlfn.XLOOKUP(CustomerCombined[[#This Row],[ID]], Table2[ID],Table2[MC3], "Not Found", 0 )</f>
        <v>0</v>
      </c>
      <c r="AB285" s="8">
        <f>_xlfn.XLOOKUP(CustomerCombined[[#This Row],[ID]], Table2[ID],Table2[MC4], "Not Found", 0 )</f>
        <v>0</v>
      </c>
      <c r="AC285" s="8">
        <f>_xlfn.XLOOKUP(CustomerCombined[[#This Row],[ID]], Table2[ID],Table2[MC5], "Not Found", 0 )</f>
        <v>0</v>
      </c>
    </row>
    <row r="286" spans="1:29" x14ac:dyDescent="0.3">
      <c r="A286" s="6">
        <v>2098</v>
      </c>
      <c r="B286" s="6">
        <v>136262</v>
      </c>
      <c r="C286" s="6">
        <v>0</v>
      </c>
      <c r="D286" s="6">
        <v>0</v>
      </c>
      <c r="E286" s="6">
        <v>37</v>
      </c>
      <c r="F286" s="5" t="s">
        <v>6</v>
      </c>
      <c r="G286" s="5" t="s">
        <v>12</v>
      </c>
      <c r="H286" s="3" t="s">
        <v>179</v>
      </c>
      <c r="I286" s="5" t="s">
        <v>439</v>
      </c>
      <c r="J286" s="5">
        <f>_xlfn.XLOOKUP(CustomerCombined[[#This Row],[ID]], Table4[ID], Table4[Recency], "Not Found", 0)</f>
        <v>24</v>
      </c>
      <c r="K286" s="5">
        <f>_xlfn.XLOOKUP(CustomerCombined[[#This Row],[ID]], Table4[ID], Table4[Teas], "Not Found", 0)</f>
        <v>331</v>
      </c>
      <c r="L286" s="5">
        <f>_xlfn.XLOOKUP(CustomerCombined[[#This Row],[ID]], Table4[ID], Table4[Fruits], "Not Found", 0)</f>
        <v>147</v>
      </c>
      <c r="M286" s="5">
        <f>_xlfn.XLOOKUP(CustomerCombined[[#This Row],[ID]], Table4[ID], Table4[Meats], "Not Found", 0)</f>
        <v>203</v>
      </c>
      <c r="N286" s="5">
        <f>_xlfn.XLOOKUP(CustomerCombined[[#This Row],[ID]], Table4[ID], Table4[Seafood], "Not Found", 0)</f>
        <v>240</v>
      </c>
      <c r="O286" s="5">
        <f>_xlfn.XLOOKUP(CustomerCombined[[#This Row],[ID]], Table4[ID], Table4[Sweets], "Not Found", 0)</f>
        <v>105</v>
      </c>
      <c r="P286" s="5">
        <f>_xlfn.XLOOKUP(CustomerCombined[[#This Row],[ID]], Table4[ID], Table4[Premium], "Not Found", 0)</f>
        <v>575</v>
      </c>
      <c r="Q286" s="5">
        <f>_xlfn.XLOOKUP(CustomerCombined[[#This Row],[ID]], Table4[ID], Table4[Regular], "Not Found", 0)</f>
        <v>451</v>
      </c>
      <c r="R286" s="5">
        <f>_xlfn.XLOOKUP(CustomerCombined[[#This Row],[ID]], Table4[ID], Table4[Deals], "Not Found", 0)</f>
        <v>1</v>
      </c>
      <c r="S286" s="5">
        <f>_xlfn.XLOOKUP(CustomerCombined[[#This Row],[ID]], Table4[ID], Table4[Website], "Not Found", 0)</f>
        <v>3</v>
      </c>
      <c r="T286" s="5">
        <f>_xlfn.XLOOKUP(CustomerCombined[[#This Row],[ID]], Table4[ID], Table4[Catalog], "Not Found", 0)</f>
        <v>5</v>
      </c>
      <c r="U286" s="5">
        <f>_xlfn.XLOOKUP(CustomerCombined[[#This Row],[ID]], Table4[ID], Table4[Store], "Not Found", 0)</f>
        <v>3</v>
      </c>
      <c r="V286" s="5">
        <f>_xlfn.XLOOKUP(CustomerCombined[[#This Row],[ID]], Table4[ID], Table4[Visits], "Not Found", 0)</f>
        <v>6</v>
      </c>
      <c r="W286" s="8">
        <f>_xlfn.XLOOKUP(CustomerCombined[[#This Row],[ID]], Table2[ID],Table2[Complaint], "Not Found", 0 )</f>
        <v>0</v>
      </c>
      <c r="X286" s="8">
        <f>_xlfn.XLOOKUP(CustomerCombined[[#This Row],[ID]], Table2[ID],Table2[Pilot], "Not Found", 0 )</f>
        <v>1</v>
      </c>
      <c r="Y286" s="8">
        <f>_xlfn.XLOOKUP(CustomerCombined[[#This Row],[ID]], Table2[ID],Table2[MC1], "Not Found", 0 )</f>
        <v>0</v>
      </c>
      <c r="Z286" s="8">
        <f>_xlfn.XLOOKUP(CustomerCombined[[#This Row],[ID]], Table2[ID],Table2[MC2], "Not Found", 0 )</f>
        <v>0</v>
      </c>
      <c r="AA286" s="8">
        <f>_xlfn.XLOOKUP(CustomerCombined[[#This Row],[ID]], Table2[ID],Table2[MC3], "Not Found", 0 )</f>
        <v>1</v>
      </c>
      <c r="AB286" s="8">
        <f>_xlfn.XLOOKUP(CustomerCombined[[#This Row],[ID]], Table2[ID],Table2[MC4], "Not Found", 0 )</f>
        <v>0</v>
      </c>
      <c r="AC286" s="8">
        <f>_xlfn.XLOOKUP(CustomerCombined[[#This Row],[ID]], Table2[ID],Table2[MC5], "Not Found", 0 )</f>
        <v>0</v>
      </c>
    </row>
    <row r="287" spans="1:29" x14ac:dyDescent="0.3">
      <c r="A287" s="6">
        <v>2762</v>
      </c>
      <c r="B287" s="6">
        <v>136075</v>
      </c>
      <c r="C287" s="6">
        <v>1</v>
      </c>
      <c r="D287" s="6">
        <v>0</v>
      </c>
      <c r="E287" s="6">
        <v>37</v>
      </c>
      <c r="F287" s="5" t="s">
        <v>8</v>
      </c>
      <c r="G287" s="5" t="s">
        <v>11</v>
      </c>
      <c r="H287" s="3" t="s">
        <v>139</v>
      </c>
      <c r="I287" s="5" t="s">
        <v>438</v>
      </c>
      <c r="J287" s="5">
        <f>_xlfn.XLOOKUP(CustomerCombined[[#This Row],[ID]], Table4[ID], Table4[Recency], "Not Found", 0)</f>
        <v>54</v>
      </c>
      <c r="K287" s="5">
        <f>_xlfn.XLOOKUP(CustomerCombined[[#This Row],[ID]], Table4[ID], Table4[Teas], "Not Found", 0)</f>
        <v>174</v>
      </c>
      <c r="L287" s="5">
        <f>_xlfn.XLOOKUP(CustomerCombined[[#This Row],[ID]], Table4[ID], Table4[Fruits], "Not Found", 0)</f>
        <v>0</v>
      </c>
      <c r="M287" s="5">
        <f>_xlfn.XLOOKUP(CustomerCombined[[#This Row],[ID]], Table4[ID], Table4[Meats], "Not Found", 0)</f>
        <v>113</v>
      </c>
      <c r="N287" s="5">
        <f>_xlfn.XLOOKUP(CustomerCombined[[#This Row],[ID]], Table4[ID], Table4[Seafood], "Not Found", 0)</f>
        <v>45</v>
      </c>
      <c r="O287" s="5">
        <f>_xlfn.XLOOKUP(CustomerCombined[[#This Row],[ID]], Table4[ID], Table4[Sweets], "Not Found", 0)</f>
        <v>4</v>
      </c>
      <c r="P287" s="5">
        <f>_xlfn.XLOOKUP(CustomerCombined[[#This Row],[ID]], Table4[ID], Table4[Premium], "Not Found", 0)</f>
        <v>113</v>
      </c>
      <c r="Q287" s="5">
        <f>_xlfn.XLOOKUP(CustomerCombined[[#This Row],[ID]], Table4[ID], Table4[Regular], "Not Found", 0)</f>
        <v>223</v>
      </c>
      <c r="R287" s="5">
        <f>_xlfn.XLOOKUP(CustomerCombined[[#This Row],[ID]], Table4[ID], Table4[Deals], "Not Found", 0)</f>
        <v>1</v>
      </c>
      <c r="S287" s="5">
        <f>_xlfn.XLOOKUP(CustomerCombined[[#This Row],[ID]], Table4[ID], Table4[Website], "Not Found", 0)</f>
        <v>2</v>
      </c>
      <c r="T287" s="5">
        <f>_xlfn.XLOOKUP(CustomerCombined[[#This Row],[ID]], Table4[ID], Table4[Catalog], "Not Found", 0)</f>
        <v>0</v>
      </c>
      <c r="U287" s="5">
        <f>_xlfn.XLOOKUP(CustomerCombined[[#This Row],[ID]], Table4[ID], Table4[Store], "Not Found", 0)</f>
        <v>4</v>
      </c>
      <c r="V287" s="5">
        <f>_xlfn.XLOOKUP(CustomerCombined[[#This Row],[ID]], Table4[ID], Table4[Visits], "Not Found", 0)</f>
        <v>6</v>
      </c>
      <c r="W287" s="8">
        <f>_xlfn.XLOOKUP(CustomerCombined[[#This Row],[ID]], Table2[ID],Table2[Complaint], "Not Found", 0 )</f>
        <v>0</v>
      </c>
      <c r="X287" s="8">
        <f>_xlfn.XLOOKUP(CustomerCombined[[#This Row],[ID]], Table2[ID],Table2[Pilot], "Not Found", 0 )</f>
        <v>0</v>
      </c>
      <c r="Y287" s="8">
        <f>_xlfn.XLOOKUP(CustomerCombined[[#This Row],[ID]], Table2[ID],Table2[MC1], "Not Found", 0 )</f>
        <v>0</v>
      </c>
      <c r="Z287" s="8">
        <f>_xlfn.XLOOKUP(CustomerCombined[[#This Row],[ID]], Table2[ID],Table2[MC2], "Not Found", 0 )</f>
        <v>0</v>
      </c>
      <c r="AA287" s="8">
        <f>_xlfn.XLOOKUP(CustomerCombined[[#This Row],[ID]], Table2[ID],Table2[MC3], "Not Found", 0 )</f>
        <v>0</v>
      </c>
      <c r="AB287" s="8">
        <f>_xlfn.XLOOKUP(CustomerCombined[[#This Row],[ID]], Table2[ID],Table2[MC4], "Not Found", 0 )</f>
        <v>0</v>
      </c>
      <c r="AC287" s="8">
        <f>_xlfn.XLOOKUP(CustomerCombined[[#This Row],[ID]], Table2[ID],Table2[MC5], "Not Found", 0 )</f>
        <v>0</v>
      </c>
    </row>
    <row r="288" spans="1:29" x14ac:dyDescent="0.3">
      <c r="A288" s="6">
        <v>2317</v>
      </c>
      <c r="B288" s="6">
        <v>135876</v>
      </c>
      <c r="C288" s="6">
        <v>0</v>
      </c>
      <c r="D288" s="6">
        <v>0</v>
      </c>
      <c r="E288" s="6">
        <v>37</v>
      </c>
      <c r="F288" s="5" t="s">
        <v>6</v>
      </c>
      <c r="G288" s="5" t="s">
        <v>12</v>
      </c>
      <c r="H288" s="3" t="s">
        <v>62</v>
      </c>
      <c r="I288" s="5" t="s">
        <v>437</v>
      </c>
      <c r="J288" s="5">
        <f>_xlfn.XLOOKUP(CustomerCombined[[#This Row],[ID]], Table4[ID], Table4[Recency], "Not Found", 0)</f>
        <v>13</v>
      </c>
      <c r="K288" s="5">
        <f>_xlfn.XLOOKUP(CustomerCombined[[#This Row],[ID]], Table4[ID], Table4[Teas], "Not Found", 0)</f>
        <v>250</v>
      </c>
      <c r="L288" s="5">
        <f>_xlfn.XLOOKUP(CustomerCombined[[#This Row],[ID]], Table4[ID], Table4[Fruits], "Not Found", 0)</f>
        <v>8</v>
      </c>
      <c r="M288" s="5">
        <f>_xlfn.XLOOKUP(CustomerCombined[[#This Row],[ID]], Table4[ID], Table4[Meats], "Not Found", 0)</f>
        <v>151</v>
      </c>
      <c r="N288" s="5">
        <f>_xlfn.XLOOKUP(CustomerCombined[[#This Row],[ID]], Table4[ID], Table4[Seafood], "Not Found", 0)</f>
        <v>15</v>
      </c>
      <c r="O288" s="5">
        <f>_xlfn.XLOOKUP(CustomerCombined[[#This Row],[ID]], Table4[ID], Table4[Sweets], "Not Found", 0)</f>
        <v>11</v>
      </c>
      <c r="P288" s="5">
        <f>_xlfn.XLOOKUP(CustomerCombined[[#This Row],[ID]], Table4[ID], Table4[Premium], "Not Found", 0)</f>
        <v>53</v>
      </c>
      <c r="Q288" s="5">
        <f>_xlfn.XLOOKUP(CustomerCombined[[#This Row],[ID]], Table4[ID], Table4[Regular], "Not Found", 0)</f>
        <v>383</v>
      </c>
      <c r="R288" s="5">
        <f>_xlfn.XLOOKUP(CustomerCombined[[#This Row],[ID]], Table4[ID], Table4[Deals], "Not Found", 0)</f>
        <v>1</v>
      </c>
      <c r="S288" s="5">
        <f>_xlfn.XLOOKUP(CustomerCombined[[#This Row],[ID]], Table4[ID], Table4[Website], "Not Found", 0)</f>
        <v>3</v>
      </c>
      <c r="T288" s="5">
        <f>_xlfn.XLOOKUP(CustomerCombined[[#This Row],[ID]], Table4[ID], Table4[Catalog], "Not Found", 0)</f>
        <v>1</v>
      </c>
      <c r="U288" s="5">
        <f>_xlfn.XLOOKUP(CustomerCombined[[#This Row],[ID]], Table4[ID], Table4[Store], "Not Found", 0)</f>
        <v>3</v>
      </c>
      <c r="V288" s="5">
        <f>_xlfn.XLOOKUP(CustomerCombined[[#This Row],[ID]], Table4[ID], Table4[Visits], "Not Found", 0)</f>
        <v>6</v>
      </c>
      <c r="W288" s="8">
        <f>_xlfn.XLOOKUP(CustomerCombined[[#This Row],[ID]], Table2[ID],Table2[Complaint], "Not Found", 0 )</f>
        <v>0</v>
      </c>
      <c r="X288" s="8">
        <f>_xlfn.XLOOKUP(CustomerCombined[[#This Row],[ID]], Table2[ID],Table2[Pilot], "Not Found", 0 )</f>
        <v>0</v>
      </c>
      <c r="Y288" s="8">
        <f>_xlfn.XLOOKUP(CustomerCombined[[#This Row],[ID]], Table2[ID],Table2[MC1], "Not Found", 0 )</f>
        <v>0</v>
      </c>
      <c r="Z288" s="8">
        <f>_xlfn.XLOOKUP(CustomerCombined[[#This Row],[ID]], Table2[ID],Table2[MC2], "Not Found", 0 )</f>
        <v>0</v>
      </c>
      <c r="AA288" s="8">
        <f>_xlfn.XLOOKUP(CustomerCombined[[#This Row],[ID]], Table2[ID],Table2[MC3], "Not Found", 0 )</f>
        <v>0</v>
      </c>
      <c r="AB288" s="8">
        <f>_xlfn.XLOOKUP(CustomerCombined[[#This Row],[ID]], Table2[ID],Table2[MC4], "Not Found", 0 )</f>
        <v>0</v>
      </c>
      <c r="AC288" s="8">
        <f>_xlfn.XLOOKUP(CustomerCombined[[#This Row],[ID]], Table2[ID],Table2[MC5], "Not Found", 0 )</f>
        <v>0</v>
      </c>
    </row>
    <row r="289" spans="1:29" x14ac:dyDescent="0.3">
      <c r="A289" s="6">
        <v>2097</v>
      </c>
      <c r="B289" s="6">
        <v>133569</v>
      </c>
      <c r="C289" s="6">
        <v>1</v>
      </c>
      <c r="D289" s="6">
        <v>0</v>
      </c>
      <c r="E289" s="6">
        <v>37</v>
      </c>
      <c r="F289" s="5" t="s">
        <v>6</v>
      </c>
      <c r="G289" s="5" t="s">
        <v>13</v>
      </c>
      <c r="H289" s="3" t="s">
        <v>166</v>
      </c>
      <c r="I289" s="5" t="s">
        <v>435</v>
      </c>
      <c r="J289" s="5">
        <f>_xlfn.XLOOKUP(CustomerCombined[[#This Row],[ID]], Table4[ID], Table4[Recency], "Not Found", 0)</f>
        <v>10</v>
      </c>
      <c r="K289" s="5">
        <f>_xlfn.XLOOKUP(CustomerCombined[[#This Row],[ID]], Table4[ID], Table4[Teas], "Not Found", 0)</f>
        <v>64</v>
      </c>
      <c r="L289" s="5">
        <f>_xlfn.XLOOKUP(CustomerCombined[[#This Row],[ID]], Table4[ID], Table4[Fruits], "Not Found", 0)</f>
        <v>8</v>
      </c>
      <c r="M289" s="5">
        <f>_xlfn.XLOOKUP(CustomerCombined[[#This Row],[ID]], Table4[ID], Table4[Meats], "Not Found", 0)</f>
        <v>72</v>
      </c>
      <c r="N289" s="5">
        <f>_xlfn.XLOOKUP(CustomerCombined[[#This Row],[ID]], Table4[ID], Table4[Seafood], "Not Found", 0)</f>
        <v>12</v>
      </c>
      <c r="O289" s="5">
        <f>_xlfn.XLOOKUP(CustomerCombined[[#This Row],[ID]], Table4[ID], Table4[Sweets], "Not Found", 0)</f>
        <v>0</v>
      </c>
      <c r="P289" s="5">
        <f>_xlfn.XLOOKUP(CustomerCombined[[#This Row],[ID]], Table4[ID], Table4[Premium], "Not Found", 0)</f>
        <v>95</v>
      </c>
      <c r="Q289" s="5">
        <f>_xlfn.XLOOKUP(CustomerCombined[[#This Row],[ID]], Table4[ID], Table4[Regular], "Not Found", 0)</f>
        <v>60</v>
      </c>
      <c r="R289" s="5">
        <f>_xlfn.XLOOKUP(CustomerCombined[[#This Row],[ID]], Table4[ID], Table4[Deals], "Not Found", 0)</f>
        <v>1</v>
      </c>
      <c r="S289" s="5">
        <f>_xlfn.XLOOKUP(CustomerCombined[[#This Row],[ID]], Table4[ID], Table4[Website], "Not Found", 0)</f>
        <v>1</v>
      </c>
      <c r="T289" s="5">
        <f>_xlfn.XLOOKUP(CustomerCombined[[#This Row],[ID]], Table4[ID], Table4[Catalog], "Not Found", 0)</f>
        <v>1</v>
      </c>
      <c r="U289" s="5">
        <f>_xlfn.XLOOKUP(CustomerCombined[[#This Row],[ID]], Table4[ID], Table4[Store], "Not Found", 0)</f>
        <v>2</v>
      </c>
      <c r="V289" s="5">
        <f>_xlfn.XLOOKUP(CustomerCombined[[#This Row],[ID]], Table4[ID], Table4[Visits], "Not Found", 0)</f>
        <v>8</v>
      </c>
      <c r="W289" s="8">
        <f>_xlfn.XLOOKUP(CustomerCombined[[#This Row],[ID]], Table2[ID],Table2[Complaint], "Not Found", 0 )</f>
        <v>0</v>
      </c>
      <c r="X289" s="8">
        <f>_xlfn.XLOOKUP(CustomerCombined[[#This Row],[ID]], Table2[ID],Table2[Pilot], "Not Found", 0 )</f>
        <v>1</v>
      </c>
      <c r="Y289" s="8">
        <f>_xlfn.XLOOKUP(CustomerCombined[[#This Row],[ID]], Table2[ID],Table2[MC1], "Not Found", 0 )</f>
        <v>0</v>
      </c>
      <c r="Z289" s="8">
        <f>_xlfn.XLOOKUP(CustomerCombined[[#This Row],[ID]], Table2[ID],Table2[MC2], "Not Found", 0 )</f>
        <v>0</v>
      </c>
      <c r="AA289" s="8">
        <f>_xlfn.XLOOKUP(CustomerCombined[[#This Row],[ID]], Table2[ID],Table2[MC3], "Not Found", 0 )</f>
        <v>1</v>
      </c>
      <c r="AB289" s="8">
        <f>_xlfn.XLOOKUP(CustomerCombined[[#This Row],[ID]], Table2[ID],Table2[MC4], "Not Found", 0 )</f>
        <v>0</v>
      </c>
      <c r="AC289" s="8">
        <f>_xlfn.XLOOKUP(CustomerCombined[[#This Row],[ID]], Table2[ID],Table2[MC5], "Not Found", 0 )</f>
        <v>0</v>
      </c>
    </row>
    <row r="290" spans="1:29" x14ac:dyDescent="0.3">
      <c r="A290" s="6">
        <v>3123</v>
      </c>
      <c r="B290" s="6">
        <v>132146</v>
      </c>
      <c r="C290" s="6">
        <v>1</v>
      </c>
      <c r="D290" s="6">
        <v>0</v>
      </c>
      <c r="E290" s="6">
        <v>37</v>
      </c>
      <c r="F290" s="5" t="s">
        <v>6</v>
      </c>
      <c r="G290" s="5" t="s">
        <v>442</v>
      </c>
      <c r="H290" s="3" t="s">
        <v>52</v>
      </c>
      <c r="I290" s="5" t="s">
        <v>435</v>
      </c>
      <c r="J290" s="5">
        <f>_xlfn.XLOOKUP(CustomerCombined[[#This Row],[ID]], Table4[ID], Table4[Recency], "Not Found", 0)</f>
        <v>16</v>
      </c>
      <c r="K290" s="5">
        <f>_xlfn.XLOOKUP(CustomerCombined[[#This Row],[ID]], Table4[ID], Table4[Teas], "Not Found", 0)</f>
        <v>107</v>
      </c>
      <c r="L290" s="5">
        <f>_xlfn.XLOOKUP(CustomerCombined[[#This Row],[ID]], Table4[ID], Table4[Fruits], "Not Found", 0)</f>
        <v>12</v>
      </c>
      <c r="M290" s="5">
        <f>_xlfn.XLOOKUP(CustomerCombined[[#This Row],[ID]], Table4[ID], Table4[Meats], "Not Found", 0)</f>
        <v>95</v>
      </c>
      <c r="N290" s="5">
        <f>_xlfn.XLOOKUP(CustomerCombined[[#This Row],[ID]], Table4[ID], Table4[Seafood], "Not Found", 0)</f>
        <v>16</v>
      </c>
      <c r="O290" s="5">
        <f>_xlfn.XLOOKUP(CustomerCombined[[#This Row],[ID]], Table4[ID], Table4[Sweets], "Not Found", 0)</f>
        <v>29</v>
      </c>
      <c r="P290" s="5">
        <f>_xlfn.XLOOKUP(CustomerCombined[[#This Row],[ID]], Table4[ID], Table4[Premium], "Not Found", 0)</f>
        <v>12</v>
      </c>
      <c r="Q290" s="5">
        <f>_xlfn.XLOOKUP(CustomerCombined[[#This Row],[ID]], Table4[ID], Table4[Regular], "Not Found", 0)</f>
        <v>247</v>
      </c>
      <c r="R290" s="5">
        <f>_xlfn.XLOOKUP(CustomerCombined[[#This Row],[ID]], Table4[ID], Table4[Deals], "Not Found", 0)</f>
        <v>2</v>
      </c>
      <c r="S290" s="5">
        <f>_xlfn.XLOOKUP(CustomerCombined[[#This Row],[ID]], Table4[ID], Table4[Website], "Not Found", 0)</f>
        <v>2</v>
      </c>
      <c r="T290" s="5">
        <f>_xlfn.XLOOKUP(CustomerCombined[[#This Row],[ID]], Table4[ID], Table4[Catalog], "Not Found", 0)</f>
        <v>0</v>
      </c>
      <c r="U290" s="5">
        <f>_xlfn.XLOOKUP(CustomerCombined[[#This Row],[ID]], Table4[ID], Table4[Store], "Not Found", 0)</f>
        <v>4</v>
      </c>
      <c r="V290" s="5">
        <f>_xlfn.XLOOKUP(CustomerCombined[[#This Row],[ID]], Table4[ID], Table4[Visits], "Not Found", 0)</f>
        <v>6</v>
      </c>
      <c r="W290" s="8">
        <f>_xlfn.XLOOKUP(CustomerCombined[[#This Row],[ID]], Table2[ID],Table2[Complaint], "Not Found", 0 )</f>
        <v>0</v>
      </c>
      <c r="X290" s="8">
        <f>_xlfn.XLOOKUP(CustomerCombined[[#This Row],[ID]], Table2[ID],Table2[Pilot], "Not Found", 0 )</f>
        <v>0</v>
      </c>
      <c r="Y290" s="8">
        <f>_xlfn.XLOOKUP(CustomerCombined[[#This Row],[ID]], Table2[ID],Table2[MC1], "Not Found", 0 )</f>
        <v>0</v>
      </c>
      <c r="Z290" s="8">
        <f>_xlfn.XLOOKUP(CustomerCombined[[#This Row],[ID]], Table2[ID],Table2[MC2], "Not Found", 0 )</f>
        <v>0</v>
      </c>
      <c r="AA290" s="8">
        <f>_xlfn.XLOOKUP(CustomerCombined[[#This Row],[ID]], Table2[ID],Table2[MC3], "Not Found", 0 )</f>
        <v>0</v>
      </c>
      <c r="AB290" s="8">
        <f>_xlfn.XLOOKUP(CustomerCombined[[#This Row],[ID]], Table2[ID],Table2[MC4], "Not Found", 0 )</f>
        <v>0</v>
      </c>
      <c r="AC290" s="8">
        <f>_xlfn.XLOOKUP(CustomerCombined[[#This Row],[ID]], Table2[ID],Table2[MC5], "Not Found", 0 )</f>
        <v>0</v>
      </c>
    </row>
    <row r="291" spans="1:29" x14ac:dyDescent="0.3">
      <c r="A291" s="6">
        <v>1258</v>
      </c>
      <c r="B291" s="6">
        <v>131788</v>
      </c>
      <c r="C291" s="6">
        <v>1</v>
      </c>
      <c r="D291" s="6">
        <v>0</v>
      </c>
      <c r="E291" s="6">
        <v>37</v>
      </c>
      <c r="F291" s="5" t="s">
        <v>7</v>
      </c>
      <c r="G291" s="5" t="s">
        <v>12</v>
      </c>
      <c r="H291" s="3" t="s">
        <v>81</v>
      </c>
      <c r="I291" s="5" t="s">
        <v>439</v>
      </c>
      <c r="J291" s="5">
        <f>_xlfn.XLOOKUP(CustomerCombined[[#This Row],[ID]], Table4[ID], Table4[Recency], "Not Found", 0)</f>
        <v>15</v>
      </c>
      <c r="K291" s="5">
        <f>_xlfn.XLOOKUP(CustomerCombined[[#This Row],[ID]], Table4[ID], Table4[Teas], "Not Found", 0)</f>
        <v>66</v>
      </c>
      <c r="L291" s="5">
        <f>_xlfn.XLOOKUP(CustomerCombined[[#This Row],[ID]], Table4[ID], Table4[Fruits], "Not Found", 0)</f>
        <v>29</v>
      </c>
      <c r="M291" s="5">
        <f>_xlfn.XLOOKUP(CustomerCombined[[#This Row],[ID]], Table4[ID], Table4[Meats], "Not Found", 0)</f>
        <v>95</v>
      </c>
      <c r="N291" s="5">
        <f>_xlfn.XLOOKUP(CustomerCombined[[#This Row],[ID]], Table4[ID], Table4[Seafood], "Not Found", 0)</f>
        <v>0</v>
      </c>
      <c r="O291" s="5">
        <f>_xlfn.XLOOKUP(CustomerCombined[[#This Row],[ID]], Table4[ID], Table4[Sweets], "Not Found", 0)</f>
        <v>33</v>
      </c>
      <c r="P291" s="5">
        <f>_xlfn.XLOOKUP(CustomerCombined[[#This Row],[ID]], Table4[ID], Table4[Premium], "Not Found", 0)</f>
        <v>25</v>
      </c>
      <c r="Q291" s="5">
        <f>_xlfn.XLOOKUP(CustomerCombined[[#This Row],[ID]], Table4[ID], Table4[Regular], "Not Found", 0)</f>
        <v>199</v>
      </c>
      <c r="R291" s="5">
        <f>_xlfn.XLOOKUP(CustomerCombined[[#This Row],[ID]], Table4[ID], Table4[Deals], "Not Found", 0)</f>
        <v>3</v>
      </c>
      <c r="S291" s="5">
        <f>_xlfn.XLOOKUP(CustomerCombined[[#This Row],[ID]], Table4[ID], Table4[Website], "Not Found", 0)</f>
        <v>3</v>
      </c>
      <c r="T291" s="5">
        <f>_xlfn.XLOOKUP(CustomerCombined[[#This Row],[ID]], Table4[ID], Table4[Catalog], "Not Found", 0)</f>
        <v>0</v>
      </c>
      <c r="U291" s="5">
        <f>_xlfn.XLOOKUP(CustomerCombined[[#This Row],[ID]], Table4[ID], Table4[Store], "Not Found", 0)</f>
        <v>4</v>
      </c>
      <c r="V291" s="5">
        <f>_xlfn.XLOOKUP(CustomerCombined[[#This Row],[ID]], Table4[ID], Table4[Visits], "Not Found", 0)</f>
        <v>5</v>
      </c>
      <c r="W291" s="8">
        <f>_xlfn.XLOOKUP(CustomerCombined[[#This Row],[ID]], Table2[ID],Table2[Complaint], "Not Found", 0 )</f>
        <v>1</v>
      </c>
      <c r="X291" s="8">
        <f>_xlfn.XLOOKUP(CustomerCombined[[#This Row],[ID]], Table2[ID],Table2[Pilot], "Not Found", 0 )</f>
        <v>0</v>
      </c>
      <c r="Y291" s="8">
        <f>_xlfn.XLOOKUP(CustomerCombined[[#This Row],[ID]], Table2[ID],Table2[MC1], "Not Found", 0 )</f>
        <v>0</v>
      </c>
      <c r="Z291" s="8">
        <f>_xlfn.XLOOKUP(CustomerCombined[[#This Row],[ID]], Table2[ID],Table2[MC2], "Not Found", 0 )</f>
        <v>0</v>
      </c>
      <c r="AA291" s="8">
        <f>_xlfn.XLOOKUP(CustomerCombined[[#This Row],[ID]], Table2[ID],Table2[MC3], "Not Found", 0 )</f>
        <v>0</v>
      </c>
      <c r="AB291" s="8">
        <f>_xlfn.XLOOKUP(CustomerCombined[[#This Row],[ID]], Table2[ID],Table2[MC4], "Not Found", 0 )</f>
        <v>0</v>
      </c>
      <c r="AC291" s="8">
        <f>_xlfn.XLOOKUP(CustomerCombined[[#This Row],[ID]], Table2[ID],Table2[MC5], "Not Found", 0 )</f>
        <v>0</v>
      </c>
    </row>
    <row r="292" spans="1:29" x14ac:dyDescent="0.3">
      <c r="A292" s="6">
        <v>1087</v>
      </c>
      <c r="B292" s="6">
        <v>130096</v>
      </c>
      <c r="C292" s="6">
        <v>1</v>
      </c>
      <c r="D292" s="6">
        <v>0</v>
      </c>
      <c r="E292" s="6">
        <v>37</v>
      </c>
      <c r="F292" s="5" t="s">
        <v>6</v>
      </c>
      <c r="G292" s="5" t="s">
        <v>11</v>
      </c>
      <c r="H292" s="3" t="s">
        <v>45</v>
      </c>
      <c r="I292" s="5" t="s">
        <v>437</v>
      </c>
      <c r="J292" s="5">
        <f>_xlfn.XLOOKUP(CustomerCombined[[#This Row],[ID]], Table4[ID], Table4[Recency], "Not Found", 0)</f>
        <v>30</v>
      </c>
      <c r="K292" s="5">
        <f>_xlfn.XLOOKUP(CustomerCombined[[#This Row],[ID]], Table4[ID], Table4[Teas], "Not Found", 0)</f>
        <v>22</v>
      </c>
      <c r="L292" s="5">
        <f>_xlfn.XLOOKUP(CustomerCombined[[#This Row],[ID]], Table4[ID], Table4[Fruits], "Not Found", 0)</f>
        <v>13</v>
      </c>
      <c r="M292" s="5">
        <f>_xlfn.XLOOKUP(CustomerCombined[[#This Row],[ID]], Table4[ID], Table4[Meats], "Not Found", 0)</f>
        <v>48</v>
      </c>
      <c r="N292" s="5">
        <f>_xlfn.XLOOKUP(CustomerCombined[[#This Row],[ID]], Table4[ID], Table4[Seafood], "Not Found", 0)</f>
        <v>52</v>
      </c>
      <c r="O292" s="5">
        <f>_xlfn.XLOOKUP(CustomerCombined[[#This Row],[ID]], Table4[ID], Table4[Sweets], "Not Found", 0)</f>
        <v>22</v>
      </c>
      <c r="P292" s="5">
        <f>_xlfn.XLOOKUP(CustomerCombined[[#This Row],[ID]], Table4[ID], Table4[Premium], "Not Found", 0)</f>
        <v>39</v>
      </c>
      <c r="Q292" s="5">
        <f>_xlfn.XLOOKUP(CustomerCombined[[#This Row],[ID]], Table4[ID], Table4[Regular], "Not Found", 0)</f>
        <v>117</v>
      </c>
      <c r="R292" s="5">
        <f>_xlfn.XLOOKUP(CustomerCombined[[#This Row],[ID]], Table4[ID], Table4[Deals], "Not Found", 0)</f>
        <v>1</v>
      </c>
      <c r="S292" s="5">
        <f>_xlfn.XLOOKUP(CustomerCombined[[#This Row],[ID]], Table4[ID], Table4[Website], "Not Found", 0)</f>
        <v>2</v>
      </c>
      <c r="T292" s="5">
        <f>_xlfn.XLOOKUP(CustomerCombined[[#This Row],[ID]], Table4[ID], Table4[Catalog], "Not Found", 0)</f>
        <v>0</v>
      </c>
      <c r="U292" s="5">
        <f>_xlfn.XLOOKUP(CustomerCombined[[#This Row],[ID]], Table4[ID], Table4[Store], "Not Found", 0)</f>
        <v>3</v>
      </c>
      <c r="V292" s="5">
        <f>_xlfn.XLOOKUP(CustomerCombined[[#This Row],[ID]], Table4[ID], Table4[Visits], "Not Found", 0)</f>
        <v>6</v>
      </c>
      <c r="W292" s="8">
        <f>_xlfn.XLOOKUP(CustomerCombined[[#This Row],[ID]], Table2[ID],Table2[Complaint], "Not Found", 0 )</f>
        <v>0</v>
      </c>
      <c r="X292" s="8">
        <f>_xlfn.XLOOKUP(CustomerCombined[[#This Row],[ID]], Table2[ID],Table2[Pilot], "Not Found", 0 )</f>
        <v>0</v>
      </c>
      <c r="Y292" s="8">
        <f>_xlfn.XLOOKUP(CustomerCombined[[#This Row],[ID]], Table2[ID],Table2[MC1], "Not Found", 0 )</f>
        <v>0</v>
      </c>
      <c r="Z292" s="8">
        <f>_xlfn.XLOOKUP(CustomerCombined[[#This Row],[ID]], Table2[ID],Table2[MC2], "Not Found", 0 )</f>
        <v>0</v>
      </c>
      <c r="AA292" s="8">
        <f>_xlfn.XLOOKUP(CustomerCombined[[#This Row],[ID]], Table2[ID],Table2[MC3], "Not Found", 0 )</f>
        <v>0</v>
      </c>
      <c r="AB292" s="8">
        <f>_xlfn.XLOOKUP(CustomerCombined[[#This Row],[ID]], Table2[ID],Table2[MC4], "Not Found", 0 )</f>
        <v>0</v>
      </c>
      <c r="AC292" s="8">
        <f>_xlfn.XLOOKUP(CustomerCombined[[#This Row],[ID]], Table2[ID],Table2[MC5], "Not Found", 0 )</f>
        <v>0</v>
      </c>
    </row>
    <row r="293" spans="1:29" x14ac:dyDescent="0.3">
      <c r="A293" s="6">
        <v>1405</v>
      </c>
      <c r="B293" s="6">
        <v>130096</v>
      </c>
      <c r="C293" s="6">
        <v>1</v>
      </c>
      <c r="D293" s="6">
        <v>0</v>
      </c>
      <c r="E293" s="6">
        <v>37</v>
      </c>
      <c r="F293" s="5" t="s">
        <v>6</v>
      </c>
      <c r="G293" s="5" t="s">
        <v>11</v>
      </c>
      <c r="H293" s="3" t="s">
        <v>45</v>
      </c>
      <c r="I293" s="5" t="s">
        <v>437</v>
      </c>
      <c r="J293" s="5">
        <f>_xlfn.XLOOKUP(CustomerCombined[[#This Row],[ID]], Table4[ID], Table4[Recency], "Not Found", 0)</f>
        <v>30</v>
      </c>
      <c r="K293" s="5">
        <f>_xlfn.XLOOKUP(CustomerCombined[[#This Row],[ID]], Table4[ID], Table4[Teas], "Not Found", 0)</f>
        <v>22</v>
      </c>
      <c r="L293" s="5">
        <f>_xlfn.XLOOKUP(CustomerCombined[[#This Row],[ID]], Table4[ID], Table4[Fruits], "Not Found", 0)</f>
        <v>13</v>
      </c>
      <c r="M293" s="5">
        <f>_xlfn.XLOOKUP(CustomerCombined[[#This Row],[ID]], Table4[ID], Table4[Meats], "Not Found", 0)</f>
        <v>48</v>
      </c>
      <c r="N293" s="5">
        <f>_xlfn.XLOOKUP(CustomerCombined[[#This Row],[ID]], Table4[ID], Table4[Seafood], "Not Found", 0)</f>
        <v>52</v>
      </c>
      <c r="O293" s="5">
        <f>_xlfn.XLOOKUP(CustomerCombined[[#This Row],[ID]], Table4[ID], Table4[Sweets], "Not Found", 0)</f>
        <v>22</v>
      </c>
      <c r="P293" s="5">
        <f>_xlfn.XLOOKUP(CustomerCombined[[#This Row],[ID]], Table4[ID], Table4[Premium], "Not Found", 0)</f>
        <v>39</v>
      </c>
      <c r="Q293" s="5">
        <f>_xlfn.XLOOKUP(CustomerCombined[[#This Row],[ID]], Table4[ID], Table4[Regular], "Not Found", 0)</f>
        <v>117</v>
      </c>
      <c r="R293" s="5">
        <f>_xlfn.XLOOKUP(CustomerCombined[[#This Row],[ID]], Table4[ID], Table4[Deals], "Not Found", 0)</f>
        <v>1</v>
      </c>
      <c r="S293" s="5">
        <f>_xlfn.XLOOKUP(CustomerCombined[[#This Row],[ID]], Table4[ID], Table4[Website], "Not Found", 0)</f>
        <v>2</v>
      </c>
      <c r="T293" s="5">
        <f>_xlfn.XLOOKUP(CustomerCombined[[#This Row],[ID]], Table4[ID], Table4[Catalog], "Not Found", 0)</f>
        <v>0</v>
      </c>
      <c r="U293" s="5">
        <f>_xlfn.XLOOKUP(CustomerCombined[[#This Row],[ID]], Table4[ID], Table4[Store], "Not Found", 0)</f>
        <v>3</v>
      </c>
      <c r="V293" s="5">
        <f>_xlfn.XLOOKUP(CustomerCombined[[#This Row],[ID]], Table4[ID], Table4[Visits], "Not Found", 0)</f>
        <v>6</v>
      </c>
      <c r="W293" s="8">
        <f>_xlfn.XLOOKUP(CustomerCombined[[#This Row],[ID]], Table2[ID],Table2[Complaint], "Not Found", 0 )</f>
        <v>0</v>
      </c>
      <c r="X293" s="8">
        <f>_xlfn.XLOOKUP(CustomerCombined[[#This Row],[ID]], Table2[ID],Table2[Pilot], "Not Found", 0 )</f>
        <v>0</v>
      </c>
      <c r="Y293" s="8">
        <f>_xlfn.XLOOKUP(CustomerCombined[[#This Row],[ID]], Table2[ID],Table2[MC1], "Not Found", 0 )</f>
        <v>0</v>
      </c>
      <c r="Z293" s="8">
        <f>_xlfn.XLOOKUP(CustomerCombined[[#This Row],[ID]], Table2[ID],Table2[MC2], "Not Found", 0 )</f>
        <v>0</v>
      </c>
      <c r="AA293" s="8">
        <f>_xlfn.XLOOKUP(CustomerCombined[[#This Row],[ID]], Table2[ID],Table2[MC3], "Not Found", 0 )</f>
        <v>0</v>
      </c>
      <c r="AB293" s="8">
        <f>_xlfn.XLOOKUP(CustomerCombined[[#This Row],[ID]], Table2[ID],Table2[MC4], "Not Found", 0 )</f>
        <v>0</v>
      </c>
      <c r="AC293" s="8">
        <f>_xlfn.XLOOKUP(CustomerCombined[[#This Row],[ID]], Table2[ID],Table2[MC5], "Not Found", 0 )</f>
        <v>0</v>
      </c>
    </row>
    <row r="294" spans="1:29" x14ac:dyDescent="0.3">
      <c r="A294" s="6">
        <v>2214</v>
      </c>
      <c r="B294" s="6">
        <v>128427</v>
      </c>
      <c r="C294" s="6">
        <v>1</v>
      </c>
      <c r="D294" s="6">
        <v>0</v>
      </c>
      <c r="E294" s="6">
        <v>37</v>
      </c>
      <c r="F294" s="5" t="s">
        <v>8</v>
      </c>
      <c r="G294" s="5" t="s">
        <v>11</v>
      </c>
      <c r="H294" s="3" t="s">
        <v>287</v>
      </c>
      <c r="I294" s="5" t="s">
        <v>436</v>
      </c>
      <c r="J294" s="5">
        <f>_xlfn.XLOOKUP(CustomerCombined[[#This Row],[ID]], Table4[ID], Table4[Recency], "Not Found", 0)</f>
        <v>67</v>
      </c>
      <c r="K294" s="5">
        <f>_xlfn.XLOOKUP(CustomerCombined[[#This Row],[ID]], Table4[ID], Table4[Teas], "Not Found", 0)</f>
        <v>81</v>
      </c>
      <c r="L294" s="5">
        <f>_xlfn.XLOOKUP(CustomerCombined[[#This Row],[ID]], Table4[ID], Table4[Fruits], "Not Found", 0)</f>
        <v>14</v>
      </c>
      <c r="M294" s="5">
        <f>_xlfn.XLOOKUP(CustomerCombined[[#This Row],[ID]], Table4[ID], Table4[Meats], "Not Found", 0)</f>
        <v>86</v>
      </c>
      <c r="N294" s="5">
        <f>_xlfn.XLOOKUP(CustomerCombined[[#This Row],[ID]], Table4[ID], Table4[Seafood], "Not Found", 0)</f>
        <v>14</v>
      </c>
      <c r="O294" s="5">
        <f>_xlfn.XLOOKUP(CustomerCombined[[#This Row],[ID]], Table4[ID], Table4[Sweets], "Not Found", 0)</f>
        <v>14</v>
      </c>
      <c r="P294" s="5">
        <f>_xlfn.XLOOKUP(CustomerCombined[[#This Row],[ID]], Table4[ID], Table4[Premium], "Not Found", 0)</f>
        <v>27</v>
      </c>
      <c r="Q294" s="5">
        <f>_xlfn.XLOOKUP(CustomerCombined[[#This Row],[ID]], Table4[ID], Table4[Regular], "Not Found", 0)</f>
        <v>181</v>
      </c>
      <c r="R294" s="5">
        <f>_xlfn.XLOOKUP(CustomerCombined[[#This Row],[ID]], Table4[ID], Table4[Deals], "Not Found", 0)</f>
        <v>2</v>
      </c>
      <c r="S294" s="5">
        <f>_xlfn.XLOOKUP(CustomerCombined[[#This Row],[ID]], Table4[ID], Table4[Website], "Not Found", 0)</f>
        <v>2</v>
      </c>
      <c r="T294" s="5">
        <f>_xlfn.XLOOKUP(CustomerCombined[[#This Row],[ID]], Table4[ID], Table4[Catalog], "Not Found", 0)</f>
        <v>0</v>
      </c>
      <c r="U294" s="5">
        <f>_xlfn.XLOOKUP(CustomerCombined[[#This Row],[ID]], Table4[ID], Table4[Store], "Not Found", 0)</f>
        <v>3</v>
      </c>
      <c r="V294" s="5">
        <f>_xlfn.XLOOKUP(CustomerCombined[[#This Row],[ID]], Table4[ID], Table4[Visits], "Not Found", 0)</f>
        <v>8</v>
      </c>
      <c r="W294" s="8">
        <f>_xlfn.XLOOKUP(CustomerCombined[[#This Row],[ID]], Table2[ID],Table2[Complaint], "Not Found", 0 )</f>
        <v>0</v>
      </c>
      <c r="X294" s="8">
        <f>_xlfn.XLOOKUP(CustomerCombined[[#This Row],[ID]], Table2[ID],Table2[Pilot], "Not Found", 0 )</f>
        <v>0</v>
      </c>
      <c r="Y294" s="8">
        <f>_xlfn.XLOOKUP(CustomerCombined[[#This Row],[ID]], Table2[ID],Table2[MC1], "Not Found", 0 )</f>
        <v>0</v>
      </c>
      <c r="Z294" s="8">
        <f>_xlfn.XLOOKUP(CustomerCombined[[#This Row],[ID]], Table2[ID],Table2[MC2], "Not Found", 0 )</f>
        <v>0</v>
      </c>
      <c r="AA294" s="8">
        <f>_xlfn.XLOOKUP(CustomerCombined[[#This Row],[ID]], Table2[ID],Table2[MC3], "Not Found", 0 )</f>
        <v>0</v>
      </c>
      <c r="AB294" s="8">
        <f>_xlfn.XLOOKUP(CustomerCombined[[#This Row],[ID]], Table2[ID],Table2[MC4], "Not Found", 0 )</f>
        <v>0</v>
      </c>
      <c r="AC294" s="8">
        <f>_xlfn.XLOOKUP(CustomerCombined[[#This Row],[ID]], Table2[ID],Table2[MC5], "Not Found", 0 )</f>
        <v>0</v>
      </c>
    </row>
    <row r="295" spans="1:29" x14ac:dyDescent="0.3">
      <c r="A295" s="6">
        <v>3184</v>
      </c>
      <c r="B295" s="6">
        <v>128427</v>
      </c>
      <c r="C295" s="6">
        <v>1</v>
      </c>
      <c r="D295" s="6">
        <v>0</v>
      </c>
      <c r="E295" s="6">
        <v>37</v>
      </c>
      <c r="F295" s="5" t="s">
        <v>8</v>
      </c>
      <c r="G295" s="5" t="s">
        <v>11</v>
      </c>
      <c r="H295" s="3" t="s">
        <v>287</v>
      </c>
      <c r="I295" s="5" t="s">
        <v>439</v>
      </c>
      <c r="J295" s="5">
        <f>_xlfn.XLOOKUP(CustomerCombined[[#This Row],[ID]], Table4[ID], Table4[Recency], "Not Found", 0)</f>
        <v>67</v>
      </c>
      <c r="K295" s="5">
        <f>_xlfn.XLOOKUP(CustomerCombined[[#This Row],[ID]], Table4[ID], Table4[Teas], "Not Found", 0)</f>
        <v>81</v>
      </c>
      <c r="L295" s="5">
        <f>_xlfn.XLOOKUP(CustomerCombined[[#This Row],[ID]], Table4[ID], Table4[Fruits], "Not Found", 0)</f>
        <v>14</v>
      </c>
      <c r="M295" s="5">
        <f>_xlfn.XLOOKUP(CustomerCombined[[#This Row],[ID]], Table4[ID], Table4[Meats], "Not Found", 0)</f>
        <v>86</v>
      </c>
      <c r="N295" s="5">
        <f>_xlfn.XLOOKUP(CustomerCombined[[#This Row],[ID]], Table4[ID], Table4[Seafood], "Not Found", 0)</f>
        <v>14</v>
      </c>
      <c r="O295" s="5">
        <f>_xlfn.XLOOKUP(CustomerCombined[[#This Row],[ID]], Table4[ID], Table4[Sweets], "Not Found", 0)</f>
        <v>14</v>
      </c>
      <c r="P295" s="5">
        <f>_xlfn.XLOOKUP(CustomerCombined[[#This Row],[ID]], Table4[ID], Table4[Premium], "Not Found", 0)</f>
        <v>27</v>
      </c>
      <c r="Q295" s="5">
        <f>_xlfn.XLOOKUP(CustomerCombined[[#This Row],[ID]], Table4[ID], Table4[Regular], "Not Found", 0)</f>
        <v>181</v>
      </c>
      <c r="R295" s="5">
        <f>_xlfn.XLOOKUP(CustomerCombined[[#This Row],[ID]], Table4[ID], Table4[Deals], "Not Found", 0)</f>
        <v>2</v>
      </c>
      <c r="S295" s="5">
        <f>_xlfn.XLOOKUP(CustomerCombined[[#This Row],[ID]], Table4[ID], Table4[Website], "Not Found", 0)</f>
        <v>2</v>
      </c>
      <c r="T295" s="5">
        <f>_xlfn.XLOOKUP(CustomerCombined[[#This Row],[ID]], Table4[ID], Table4[Catalog], "Not Found", 0)</f>
        <v>0</v>
      </c>
      <c r="U295" s="5">
        <f>_xlfn.XLOOKUP(CustomerCombined[[#This Row],[ID]], Table4[ID], Table4[Store], "Not Found", 0)</f>
        <v>3</v>
      </c>
      <c r="V295" s="5">
        <f>_xlfn.XLOOKUP(CustomerCombined[[#This Row],[ID]], Table4[ID], Table4[Visits], "Not Found", 0)</f>
        <v>8</v>
      </c>
      <c r="W295" s="8">
        <f>_xlfn.XLOOKUP(CustomerCombined[[#This Row],[ID]], Table2[ID],Table2[Complaint], "Not Found", 0 )</f>
        <v>0</v>
      </c>
      <c r="X295" s="8">
        <f>_xlfn.XLOOKUP(CustomerCombined[[#This Row],[ID]], Table2[ID],Table2[Pilot], "Not Found", 0 )</f>
        <v>0</v>
      </c>
      <c r="Y295" s="8">
        <f>_xlfn.XLOOKUP(CustomerCombined[[#This Row],[ID]], Table2[ID],Table2[MC1], "Not Found", 0 )</f>
        <v>0</v>
      </c>
      <c r="Z295" s="8">
        <f>_xlfn.XLOOKUP(CustomerCombined[[#This Row],[ID]], Table2[ID],Table2[MC2], "Not Found", 0 )</f>
        <v>0</v>
      </c>
      <c r="AA295" s="8">
        <f>_xlfn.XLOOKUP(CustomerCombined[[#This Row],[ID]], Table2[ID],Table2[MC3], "Not Found", 0 )</f>
        <v>0</v>
      </c>
      <c r="AB295" s="8">
        <f>_xlfn.XLOOKUP(CustomerCombined[[#This Row],[ID]], Table2[ID],Table2[MC4], "Not Found", 0 )</f>
        <v>0</v>
      </c>
      <c r="AC295" s="8">
        <f>_xlfn.XLOOKUP(CustomerCombined[[#This Row],[ID]], Table2[ID],Table2[MC5], "Not Found", 0 )</f>
        <v>0</v>
      </c>
    </row>
    <row r="296" spans="1:29" x14ac:dyDescent="0.3">
      <c r="A296" s="6">
        <v>2592</v>
      </c>
      <c r="B296" s="6">
        <v>128359</v>
      </c>
      <c r="C296" s="6">
        <v>1</v>
      </c>
      <c r="D296" s="6">
        <v>0</v>
      </c>
      <c r="E296" s="6">
        <v>37</v>
      </c>
      <c r="F296" s="5" t="s">
        <v>8</v>
      </c>
      <c r="G296" s="5" t="s">
        <v>11</v>
      </c>
      <c r="H296" s="3">
        <v>43865</v>
      </c>
      <c r="I296" s="5" t="s">
        <v>436</v>
      </c>
      <c r="J296" s="5">
        <f>_xlfn.XLOOKUP(CustomerCombined[[#This Row],[ID]], Table4[ID], Table4[Recency], "Not Found", 0)</f>
        <v>35</v>
      </c>
      <c r="K296" s="5">
        <f>_xlfn.XLOOKUP(CustomerCombined[[#This Row],[ID]], Table4[ID], Table4[Teas], "Not Found", 0)</f>
        <v>27</v>
      </c>
      <c r="L296" s="5">
        <f>_xlfn.XLOOKUP(CustomerCombined[[#This Row],[ID]], Table4[ID], Table4[Fruits], "Not Found", 0)</f>
        <v>0</v>
      </c>
      <c r="M296" s="5">
        <f>_xlfn.XLOOKUP(CustomerCombined[[#This Row],[ID]], Table4[ID], Table4[Meats], "Not Found", 0)</f>
        <v>23</v>
      </c>
      <c r="N296" s="5">
        <f>_xlfn.XLOOKUP(CustomerCombined[[#This Row],[ID]], Table4[ID], Table4[Seafood], "Not Found", 0)</f>
        <v>9</v>
      </c>
      <c r="O296" s="5">
        <f>_xlfn.XLOOKUP(CustomerCombined[[#This Row],[ID]], Table4[ID], Table4[Sweets], "Not Found", 0)</f>
        <v>5</v>
      </c>
      <c r="P296" s="5">
        <f>_xlfn.XLOOKUP(CustomerCombined[[#This Row],[ID]], Table4[ID], Table4[Premium], "Not Found", 0)</f>
        <v>9</v>
      </c>
      <c r="Q296" s="5">
        <f>_xlfn.XLOOKUP(CustomerCombined[[#This Row],[ID]], Table4[ID], Table4[Regular], "Not Found", 0)</f>
        <v>54</v>
      </c>
      <c r="R296" s="5">
        <f>_xlfn.XLOOKUP(CustomerCombined[[#This Row],[ID]], Table4[ID], Table4[Deals], "Not Found", 0)</f>
        <v>1</v>
      </c>
      <c r="S296" s="5">
        <f>_xlfn.XLOOKUP(CustomerCombined[[#This Row],[ID]], Table4[ID], Table4[Website], "Not Found", 0)</f>
        <v>1</v>
      </c>
      <c r="T296" s="5">
        <f>_xlfn.XLOOKUP(CustomerCombined[[#This Row],[ID]], Table4[ID], Table4[Catalog], "Not Found", 0)</f>
        <v>0</v>
      </c>
      <c r="U296" s="5">
        <f>_xlfn.XLOOKUP(CustomerCombined[[#This Row],[ID]], Table4[ID], Table4[Store], "Not Found", 0)</f>
        <v>2</v>
      </c>
      <c r="V296" s="5">
        <f>_xlfn.XLOOKUP(CustomerCombined[[#This Row],[ID]], Table4[ID], Table4[Visits], "Not Found", 0)</f>
        <v>7</v>
      </c>
      <c r="W296" s="8">
        <f>_xlfn.XLOOKUP(CustomerCombined[[#This Row],[ID]], Table2[ID],Table2[Complaint], "Not Found", 0 )</f>
        <v>0</v>
      </c>
      <c r="X296" s="8">
        <f>_xlfn.XLOOKUP(CustomerCombined[[#This Row],[ID]], Table2[ID],Table2[Pilot], "Not Found", 0 )</f>
        <v>0</v>
      </c>
      <c r="Y296" s="8">
        <f>_xlfn.XLOOKUP(CustomerCombined[[#This Row],[ID]], Table2[ID],Table2[MC1], "Not Found", 0 )</f>
        <v>0</v>
      </c>
      <c r="Z296" s="8">
        <f>_xlfn.XLOOKUP(CustomerCombined[[#This Row],[ID]], Table2[ID],Table2[MC2], "Not Found", 0 )</f>
        <v>0</v>
      </c>
      <c r="AA296" s="8">
        <f>_xlfn.XLOOKUP(CustomerCombined[[#This Row],[ID]], Table2[ID],Table2[MC3], "Not Found", 0 )</f>
        <v>0</v>
      </c>
      <c r="AB296" s="8">
        <f>_xlfn.XLOOKUP(CustomerCombined[[#This Row],[ID]], Table2[ID],Table2[MC4], "Not Found", 0 )</f>
        <v>0</v>
      </c>
      <c r="AC296" s="8">
        <f>_xlfn.XLOOKUP(CustomerCombined[[#This Row],[ID]], Table2[ID],Table2[MC5], "Not Found", 0 )</f>
        <v>0</v>
      </c>
    </row>
    <row r="297" spans="1:29" x14ac:dyDescent="0.3">
      <c r="A297" s="6">
        <v>2035</v>
      </c>
      <c r="B297" s="6">
        <v>127100</v>
      </c>
      <c r="C297" s="6">
        <v>1</v>
      </c>
      <c r="D297" s="6">
        <v>0</v>
      </c>
      <c r="E297" s="6">
        <v>37</v>
      </c>
      <c r="F297" s="5" t="s">
        <v>6</v>
      </c>
      <c r="G297" s="5" t="s">
        <v>12</v>
      </c>
      <c r="H297" s="3">
        <v>43747</v>
      </c>
      <c r="I297" s="5" t="s">
        <v>437</v>
      </c>
      <c r="J297" s="5">
        <f>_xlfn.XLOOKUP(CustomerCombined[[#This Row],[ID]], Table4[ID], Table4[Recency], "Not Found", 0)</f>
        <v>64</v>
      </c>
      <c r="K297" s="5">
        <f>_xlfn.XLOOKUP(CustomerCombined[[#This Row],[ID]], Table4[ID], Table4[Teas], "Not Found", 0)</f>
        <v>56</v>
      </c>
      <c r="L297" s="5">
        <f>_xlfn.XLOOKUP(CustomerCombined[[#This Row],[ID]], Table4[ID], Table4[Fruits], "Not Found", 0)</f>
        <v>0</v>
      </c>
      <c r="M297" s="5">
        <f>_xlfn.XLOOKUP(CustomerCombined[[#This Row],[ID]], Table4[ID], Table4[Meats], "Not Found", 0)</f>
        <v>61</v>
      </c>
      <c r="N297" s="5">
        <f>_xlfn.XLOOKUP(CustomerCombined[[#This Row],[ID]], Table4[ID], Table4[Seafood], "Not Found", 0)</f>
        <v>9</v>
      </c>
      <c r="O297" s="5">
        <f>_xlfn.XLOOKUP(CustomerCombined[[#This Row],[ID]], Table4[ID], Table4[Sweets], "Not Found", 0)</f>
        <v>0</v>
      </c>
      <c r="P297" s="5">
        <f>_xlfn.XLOOKUP(CustomerCombined[[#This Row],[ID]], Table4[ID], Table4[Premium], "Not Found", 0)</f>
        <v>47</v>
      </c>
      <c r="Q297" s="5">
        <f>_xlfn.XLOOKUP(CustomerCombined[[#This Row],[ID]], Table4[ID], Table4[Regular], "Not Found", 0)</f>
        <v>80</v>
      </c>
      <c r="R297" s="5">
        <f>_xlfn.XLOOKUP(CustomerCombined[[#This Row],[ID]], Table4[ID], Table4[Deals], "Not Found", 0)</f>
        <v>1</v>
      </c>
      <c r="S297" s="5">
        <f>_xlfn.XLOOKUP(CustomerCombined[[#This Row],[ID]], Table4[ID], Table4[Website], "Not Found", 0)</f>
        <v>1</v>
      </c>
      <c r="T297" s="5">
        <f>_xlfn.XLOOKUP(CustomerCombined[[#This Row],[ID]], Table4[ID], Table4[Catalog], "Not Found", 0)</f>
        <v>0</v>
      </c>
      <c r="U297" s="5">
        <f>_xlfn.XLOOKUP(CustomerCombined[[#This Row],[ID]], Table4[ID], Table4[Store], "Not Found", 0)</f>
        <v>3</v>
      </c>
      <c r="V297" s="5">
        <f>_xlfn.XLOOKUP(CustomerCombined[[#This Row],[ID]], Table4[ID], Table4[Visits], "Not Found", 0)</f>
        <v>7</v>
      </c>
      <c r="W297" s="8">
        <f>_xlfn.XLOOKUP(CustomerCombined[[#This Row],[ID]], Table2[ID],Table2[Complaint], "Not Found", 0 )</f>
        <v>0</v>
      </c>
      <c r="X297" s="8">
        <f>_xlfn.XLOOKUP(CustomerCombined[[#This Row],[ID]], Table2[ID],Table2[Pilot], "Not Found", 0 )</f>
        <v>0</v>
      </c>
      <c r="Y297" s="8">
        <f>_xlfn.XLOOKUP(CustomerCombined[[#This Row],[ID]], Table2[ID],Table2[MC1], "Not Found", 0 )</f>
        <v>0</v>
      </c>
      <c r="Z297" s="8">
        <f>_xlfn.XLOOKUP(CustomerCombined[[#This Row],[ID]], Table2[ID],Table2[MC2], "Not Found", 0 )</f>
        <v>0</v>
      </c>
      <c r="AA297" s="8">
        <f>_xlfn.XLOOKUP(CustomerCombined[[#This Row],[ID]], Table2[ID],Table2[MC3], "Not Found", 0 )</f>
        <v>0</v>
      </c>
      <c r="AB297" s="8">
        <f>_xlfn.XLOOKUP(CustomerCombined[[#This Row],[ID]], Table2[ID],Table2[MC4], "Not Found", 0 )</f>
        <v>0</v>
      </c>
      <c r="AC297" s="8">
        <f>_xlfn.XLOOKUP(CustomerCombined[[#This Row],[ID]], Table2[ID],Table2[MC5], "Not Found", 0 )</f>
        <v>0</v>
      </c>
    </row>
    <row r="298" spans="1:29" x14ac:dyDescent="0.3">
      <c r="A298" s="6">
        <v>2406</v>
      </c>
      <c r="B298" s="6">
        <v>127100</v>
      </c>
      <c r="C298" s="6">
        <v>1</v>
      </c>
      <c r="D298" s="6">
        <v>0</v>
      </c>
      <c r="E298" s="6">
        <v>37</v>
      </c>
      <c r="F298" s="5" t="s">
        <v>6</v>
      </c>
      <c r="G298" s="5" t="s">
        <v>12</v>
      </c>
      <c r="H298" s="3">
        <v>43747</v>
      </c>
      <c r="I298" s="5" t="s">
        <v>436</v>
      </c>
      <c r="J298" s="5">
        <f>_xlfn.XLOOKUP(CustomerCombined[[#This Row],[ID]], Table4[ID], Table4[Recency], "Not Found", 0)</f>
        <v>64</v>
      </c>
      <c r="K298" s="5">
        <f>_xlfn.XLOOKUP(CustomerCombined[[#This Row],[ID]], Table4[ID], Table4[Teas], "Not Found", 0)</f>
        <v>56</v>
      </c>
      <c r="L298" s="5">
        <f>_xlfn.XLOOKUP(CustomerCombined[[#This Row],[ID]], Table4[ID], Table4[Fruits], "Not Found", 0)</f>
        <v>0</v>
      </c>
      <c r="M298" s="5">
        <f>_xlfn.XLOOKUP(CustomerCombined[[#This Row],[ID]], Table4[ID], Table4[Meats], "Not Found", 0)</f>
        <v>61</v>
      </c>
      <c r="N298" s="5">
        <f>_xlfn.XLOOKUP(CustomerCombined[[#This Row],[ID]], Table4[ID], Table4[Seafood], "Not Found", 0)</f>
        <v>9</v>
      </c>
      <c r="O298" s="5">
        <f>_xlfn.XLOOKUP(CustomerCombined[[#This Row],[ID]], Table4[ID], Table4[Sweets], "Not Found", 0)</f>
        <v>0</v>
      </c>
      <c r="P298" s="5">
        <f>_xlfn.XLOOKUP(CustomerCombined[[#This Row],[ID]], Table4[ID], Table4[Premium], "Not Found", 0)</f>
        <v>47</v>
      </c>
      <c r="Q298" s="5">
        <f>_xlfn.XLOOKUP(CustomerCombined[[#This Row],[ID]], Table4[ID], Table4[Regular], "Not Found", 0)</f>
        <v>80</v>
      </c>
      <c r="R298" s="5">
        <f>_xlfn.XLOOKUP(CustomerCombined[[#This Row],[ID]], Table4[ID], Table4[Deals], "Not Found", 0)</f>
        <v>1</v>
      </c>
      <c r="S298" s="5">
        <f>_xlfn.XLOOKUP(CustomerCombined[[#This Row],[ID]], Table4[ID], Table4[Website], "Not Found", 0)</f>
        <v>1</v>
      </c>
      <c r="T298" s="5">
        <f>_xlfn.XLOOKUP(CustomerCombined[[#This Row],[ID]], Table4[ID], Table4[Catalog], "Not Found", 0)</f>
        <v>0</v>
      </c>
      <c r="U298" s="5">
        <f>_xlfn.XLOOKUP(CustomerCombined[[#This Row],[ID]], Table4[ID], Table4[Store], "Not Found", 0)</f>
        <v>3</v>
      </c>
      <c r="V298" s="5">
        <f>_xlfn.XLOOKUP(CustomerCombined[[#This Row],[ID]], Table4[ID], Table4[Visits], "Not Found", 0)</f>
        <v>7</v>
      </c>
      <c r="W298" s="8">
        <f>_xlfn.XLOOKUP(CustomerCombined[[#This Row],[ID]], Table2[ID],Table2[Complaint], "Not Found", 0 )</f>
        <v>0</v>
      </c>
      <c r="X298" s="8">
        <f>_xlfn.XLOOKUP(CustomerCombined[[#This Row],[ID]], Table2[ID],Table2[Pilot], "Not Found", 0 )</f>
        <v>0</v>
      </c>
      <c r="Y298" s="8">
        <f>_xlfn.XLOOKUP(CustomerCombined[[#This Row],[ID]], Table2[ID],Table2[MC1], "Not Found", 0 )</f>
        <v>0</v>
      </c>
      <c r="Z298" s="8">
        <f>_xlfn.XLOOKUP(CustomerCombined[[#This Row],[ID]], Table2[ID],Table2[MC2], "Not Found", 0 )</f>
        <v>0</v>
      </c>
      <c r="AA298" s="8">
        <f>_xlfn.XLOOKUP(CustomerCombined[[#This Row],[ID]], Table2[ID],Table2[MC3], "Not Found", 0 )</f>
        <v>0</v>
      </c>
      <c r="AB298" s="8">
        <f>_xlfn.XLOOKUP(CustomerCombined[[#This Row],[ID]], Table2[ID],Table2[MC4], "Not Found", 0 )</f>
        <v>0</v>
      </c>
      <c r="AC298" s="8">
        <f>_xlfn.XLOOKUP(CustomerCombined[[#This Row],[ID]], Table2[ID],Table2[MC5], "Not Found", 0 )</f>
        <v>0</v>
      </c>
    </row>
    <row r="299" spans="1:29" x14ac:dyDescent="0.3">
      <c r="A299" s="6">
        <v>1174</v>
      </c>
      <c r="B299" s="6">
        <v>125271</v>
      </c>
      <c r="C299" s="6">
        <v>1</v>
      </c>
      <c r="D299" s="6">
        <v>0</v>
      </c>
      <c r="E299" s="6">
        <v>37</v>
      </c>
      <c r="F299" s="5" t="s">
        <v>6</v>
      </c>
      <c r="G299" s="5" t="s">
        <v>11</v>
      </c>
      <c r="H299" s="3">
        <v>43804</v>
      </c>
      <c r="I299" s="5" t="s">
        <v>439</v>
      </c>
      <c r="J299" s="5">
        <f>_xlfn.XLOOKUP(CustomerCombined[[#This Row],[ID]], Table4[ID], Table4[Recency], "Not Found", 0)</f>
        <v>45</v>
      </c>
      <c r="K299" s="5">
        <f>_xlfn.XLOOKUP(CustomerCombined[[#This Row],[ID]], Table4[ID], Table4[Teas], "Not Found", 0)</f>
        <v>50</v>
      </c>
      <c r="L299" s="5">
        <f>_xlfn.XLOOKUP(CustomerCombined[[#This Row],[ID]], Table4[ID], Table4[Fruits], "Not Found", 0)</f>
        <v>5</v>
      </c>
      <c r="M299" s="5">
        <f>_xlfn.XLOOKUP(CustomerCombined[[#This Row],[ID]], Table4[ID], Table4[Meats], "Not Found", 0)</f>
        <v>89</v>
      </c>
      <c r="N299" s="5">
        <f>_xlfn.XLOOKUP(CustomerCombined[[#This Row],[ID]], Table4[ID], Table4[Seafood], "Not Found", 0)</f>
        <v>50</v>
      </c>
      <c r="O299" s="5">
        <f>_xlfn.XLOOKUP(CustomerCombined[[#This Row],[ID]], Table4[ID], Table4[Sweets], "Not Found", 0)</f>
        <v>20</v>
      </c>
      <c r="P299" s="5">
        <f>_xlfn.XLOOKUP(CustomerCombined[[#This Row],[ID]], Table4[ID], Table4[Premium], "Not Found", 0)</f>
        <v>35</v>
      </c>
      <c r="Q299" s="5">
        <f>_xlfn.XLOOKUP(CustomerCombined[[#This Row],[ID]], Table4[ID], Table4[Regular], "Not Found", 0)</f>
        <v>178</v>
      </c>
      <c r="R299" s="5">
        <f>_xlfn.XLOOKUP(CustomerCombined[[#This Row],[ID]], Table4[ID], Table4[Deals], "Not Found", 0)</f>
        <v>1</v>
      </c>
      <c r="S299" s="5">
        <f>_xlfn.XLOOKUP(CustomerCombined[[#This Row],[ID]], Table4[ID], Table4[Website], "Not Found", 0)</f>
        <v>1</v>
      </c>
      <c r="T299" s="5">
        <f>_xlfn.XLOOKUP(CustomerCombined[[#This Row],[ID]], Table4[ID], Table4[Catalog], "Not Found", 0)</f>
        <v>1</v>
      </c>
      <c r="U299" s="5">
        <f>_xlfn.XLOOKUP(CustomerCombined[[#This Row],[ID]], Table4[ID], Table4[Store], "Not Found", 0)</f>
        <v>2</v>
      </c>
      <c r="V299" s="5">
        <f>_xlfn.XLOOKUP(CustomerCombined[[#This Row],[ID]], Table4[ID], Table4[Visits], "Not Found", 0)</f>
        <v>9</v>
      </c>
      <c r="W299" s="8">
        <f>_xlfn.XLOOKUP(CustomerCombined[[#This Row],[ID]], Table2[ID],Table2[Complaint], "Not Found", 0 )</f>
        <v>0</v>
      </c>
      <c r="X299" s="8">
        <f>_xlfn.XLOOKUP(CustomerCombined[[#This Row],[ID]], Table2[ID],Table2[Pilot], "Not Found", 0 )</f>
        <v>0</v>
      </c>
      <c r="Y299" s="8">
        <f>_xlfn.XLOOKUP(CustomerCombined[[#This Row],[ID]], Table2[ID],Table2[MC1], "Not Found", 0 )</f>
        <v>0</v>
      </c>
      <c r="Z299" s="8">
        <f>_xlfn.XLOOKUP(CustomerCombined[[#This Row],[ID]], Table2[ID],Table2[MC2], "Not Found", 0 )</f>
        <v>0</v>
      </c>
      <c r="AA299" s="8">
        <f>_xlfn.XLOOKUP(CustomerCombined[[#This Row],[ID]], Table2[ID],Table2[MC3], "Not Found", 0 )</f>
        <v>0</v>
      </c>
      <c r="AB299" s="8">
        <f>_xlfn.XLOOKUP(CustomerCombined[[#This Row],[ID]], Table2[ID],Table2[MC4], "Not Found", 0 )</f>
        <v>0</v>
      </c>
      <c r="AC299" s="8">
        <f>_xlfn.XLOOKUP(CustomerCombined[[#This Row],[ID]], Table2[ID],Table2[MC5], "Not Found", 0 )</f>
        <v>0</v>
      </c>
    </row>
    <row r="300" spans="1:29" x14ac:dyDescent="0.3">
      <c r="A300" s="6">
        <v>1315</v>
      </c>
      <c r="B300" s="6">
        <v>124072</v>
      </c>
      <c r="C300" s="6">
        <v>1</v>
      </c>
      <c r="D300" s="6">
        <v>0</v>
      </c>
      <c r="E300" s="6">
        <v>37</v>
      </c>
      <c r="F300" s="5" t="s">
        <v>7</v>
      </c>
      <c r="G300" s="5" t="s">
        <v>11</v>
      </c>
      <c r="H300" s="3" t="s">
        <v>273</v>
      </c>
      <c r="I300" s="5" t="s">
        <v>437</v>
      </c>
      <c r="J300" s="5">
        <f>_xlfn.XLOOKUP(CustomerCombined[[#This Row],[ID]], Table4[ID], Table4[Recency], "Not Found", 0)</f>
        <v>79</v>
      </c>
      <c r="K300" s="5">
        <f>_xlfn.XLOOKUP(CustomerCombined[[#This Row],[ID]], Table4[ID], Table4[Teas], "Not Found", 0)</f>
        <v>46</v>
      </c>
      <c r="L300" s="5">
        <f>_xlfn.XLOOKUP(CustomerCombined[[#This Row],[ID]], Table4[ID], Table4[Fruits], "Not Found", 0)</f>
        <v>5</v>
      </c>
      <c r="M300" s="5">
        <f>_xlfn.XLOOKUP(CustomerCombined[[#This Row],[ID]], Table4[ID], Table4[Meats], "Not Found", 0)</f>
        <v>31</v>
      </c>
      <c r="N300" s="5">
        <f>_xlfn.XLOOKUP(CustomerCombined[[#This Row],[ID]], Table4[ID], Table4[Seafood], "Not Found", 0)</f>
        <v>15</v>
      </c>
      <c r="O300" s="5">
        <f>_xlfn.XLOOKUP(CustomerCombined[[#This Row],[ID]], Table4[ID], Table4[Sweets], "Not Found", 0)</f>
        <v>0</v>
      </c>
      <c r="P300" s="5">
        <f>_xlfn.XLOOKUP(CustomerCombined[[#This Row],[ID]], Table4[ID], Table4[Premium], "Not Found", 0)</f>
        <v>21</v>
      </c>
      <c r="Q300" s="5">
        <f>_xlfn.XLOOKUP(CustomerCombined[[#This Row],[ID]], Table4[ID], Table4[Regular], "Not Found", 0)</f>
        <v>77</v>
      </c>
      <c r="R300" s="5">
        <f>_xlfn.XLOOKUP(CustomerCombined[[#This Row],[ID]], Table4[ID], Table4[Deals], "Not Found", 0)</f>
        <v>1</v>
      </c>
      <c r="S300" s="5">
        <f>_xlfn.XLOOKUP(CustomerCombined[[#This Row],[ID]], Table4[ID], Table4[Website], "Not Found", 0)</f>
        <v>1</v>
      </c>
      <c r="T300" s="5">
        <f>_xlfn.XLOOKUP(CustomerCombined[[#This Row],[ID]], Table4[ID], Table4[Catalog], "Not Found", 0)</f>
        <v>0</v>
      </c>
      <c r="U300" s="5">
        <f>_xlfn.XLOOKUP(CustomerCombined[[#This Row],[ID]], Table4[ID], Table4[Store], "Not Found", 0)</f>
        <v>2</v>
      </c>
      <c r="V300" s="5">
        <f>_xlfn.XLOOKUP(CustomerCombined[[#This Row],[ID]], Table4[ID], Table4[Visits], "Not Found", 0)</f>
        <v>8</v>
      </c>
      <c r="W300" s="8">
        <f>_xlfn.XLOOKUP(CustomerCombined[[#This Row],[ID]], Table2[ID],Table2[Complaint], "Not Found", 0 )</f>
        <v>0</v>
      </c>
      <c r="X300" s="8">
        <f>_xlfn.XLOOKUP(CustomerCombined[[#This Row],[ID]], Table2[ID],Table2[Pilot], "Not Found", 0 )</f>
        <v>0</v>
      </c>
      <c r="Y300" s="8">
        <f>_xlfn.XLOOKUP(CustomerCombined[[#This Row],[ID]], Table2[ID],Table2[MC1], "Not Found", 0 )</f>
        <v>0</v>
      </c>
      <c r="Z300" s="8">
        <f>_xlfn.XLOOKUP(CustomerCombined[[#This Row],[ID]], Table2[ID],Table2[MC2], "Not Found", 0 )</f>
        <v>0</v>
      </c>
      <c r="AA300" s="8">
        <f>_xlfn.XLOOKUP(CustomerCombined[[#This Row],[ID]], Table2[ID],Table2[MC3], "Not Found", 0 )</f>
        <v>0</v>
      </c>
      <c r="AB300" s="8">
        <f>_xlfn.XLOOKUP(CustomerCombined[[#This Row],[ID]], Table2[ID],Table2[MC4], "Not Found", 0 )</f>
        <v>0</v>
      </c>
      <c r="AC300" s="8">
        <f>_xlfn.XLOOKUP(CustomerCombined[[#This Row],[ID]], Table2[ID],Table2[MC5], "Not Found", 0 )</f>
        <v>0</v>
      </c>
    </row>
    <row r="301" spans="1:29" x14ac:dyDescent="0.3">
      <c r="A301" s="6">
        <v>2658</v>
      </c>
      <c r="B301" s="6">
        <v>123536</v>
      </c>
      <c r="C301" s="6">
        <v>1</v>
      </c>
      <c r="D301" s="6">
        <v>0</v>
      </c>
      <c r="E301" s="6">
        <v>37</v>
      </c>
      <c r="F301" s="5" t="s">
        <v>6</v>
      </c>
      <c r="G301" s="5" t="s">
        <v>13</v>
      </c>
      <c r="H301" s="3">
        <v>44054</v>
      </c>
      <c r="I301" s="5" t="s">
        <v>436</v>
      </c>
      <c r="J301" s="5">
        <f>_xlfn.XLOOKUP(CustomerCombined[[#This Row],[ID]], Table4[ID], Table4[Recency], "Not Found", 0)</f>
        <v>53</v>
      </c>
      <c r="K301" s="5">
        <f>_xlfn.XLOOKUP(CustomerCombined[[#This Row],[ID]], Table4[ID], Table4[Teas], "Not Found", 0)</f>
        <v>31</v>
      </c>
      <c r="L301" s="5">
        <f>_xlfn.XLOOKUP(CustomerCombined[[#This Row],[ID]], Table4[ID], Table4[Fruits], "Not Found", 0)</f>
        <v>0</v>
      </c>
      <c r="M301" s="5">
        <f>_xlfn.XLOOKUP(CustomerCombined[[#This Row],[ID]], Table4[ID], Table4[Meats], "Not Found", 0)</f>
        <v>16</v>
      </c>
      <c r="N301" s="5">
        <f>_xlfn.XLOOKUP(CustomerCombined[[#This Row],[ID]], Table4[ID], Table4[Seafood], "Not Found", 0)</f>
        <v>0</v>
      </c>
      <c r="O301" s="5">
        <f>_xlfn.XLOOKUP(CustomerCombined[[#This Row],[ID]], Table4[ID], Table4[Sweets], "Not Found", 0)</f>
        <v>0</v>
      </c>
      <c r="P301" s="5">
        <f>_xlfn.XLOOKUP(CustomerCombined[[#This Row],[ID]], Table4[ID], Table4[Premium], "Not Found", 0)</f>
        <v>5</v>
      </c>
      <c r="Q301" s="5">
        <f>_xlfn.XLOOKUP(CustomerCombined[[#This Row],[ID]], Table4[ID], Table4[Regular], "Not Found", 0)</f>
        <v>42</v>
      </c>
      <c r="R301" s="5">
        <f>_xlfn.XLOOKUP(CustomerCombined[[#This Row],[ID]], Table4[ID], Table4[Deals], "Not Found", 0)</f>
        <v>1</v>
      </c>
      <c r="S301" s="5">
        <f>_xlfn.XLOOKUP(CustomerCombined[[#This Row],[ID]], Table4[ID], Table4[Website], "Not Found", 0)</f>
        <v>0</v>
      </c>
      <c r="T301" s="5">
        <f>_xlfn.XLOOKUP(CustomerCombined[[#This Row],[ID]], Table4[ID], Table4[Catalog], "Not Found", 0)</f>
        <v>0</v>
      </c>
      <c r="U301" s="5">
        <f>_xlfn.XLOOKUP(CustomerCombined[[#This Row],[ID]], Table4[ID], Table4[Store], "Not Found", 0)</f>
        <v>3</v>
      </c>
      <c r="V301" s="5">
        <f>_xlfn.XLOOKUP(CustomerCombined[[#This Row],[ID]], Table4[ID], Table4[Visits], "Not Found", 0)</f>
        <v>3</v>
      </c>
      <c r="W301" s="8">
        <f>_xlfn.XLOOKUP(CustomerCombined[[#This Row],[ID]], Table2[ID],Table2[Complaint], "Not Found", 0 )</f>
        <v>0</v>
      </c>
      <c r="X301" s="8">
        <f>_xlfn.XLOOKUP(CustomerCombined[[#This Row],[ID]], Table2[ID],Table2[Pilot], "Not Found", 0 )</f>
        <v>0</v>
      </c>
      <c r="Y301" s="8">
        <f>_xlfn.XLOOKUP(CustomerCombined[[#This Row],[ID]], Table2[ID],Table2[MC1], "Not Found", 0 )</f>
        <v>0</v>
      </c>
      <c r="Z301" s="8">
        <f>_xlfn.XLOOKUP(CustomerCombined[[#This Row],[ID]], Table2[ID],Table2[MC2], "Not Found", 0 )</f>
        <v>0</v>
      </c>
      <c r="AA301" s="8">
        <f>_xlfn.XLOOKUP(CustomerCombined[[#This Row],[ID]], Table2[ID],Table2[MC3], "Not Found", 0 )</f>
        <v>0</v>
      </c>
      <c r="AB301" s="8">
        <f>_xlfn.XLOOKUP(CustomerCombined[[#This Row],[ID]], Table2[ID],Table2[MC4], "Not Found", 0 )</f>
        <v>0</v>
      </c>
      <c r="AC301" s="8">
        <f>_xlfn.XLOOKUP(CustomerCombined[[#This Row],[ID]], Table2[ID],Table2[MC5], "Not Found", 0 )</f>
        <v>0</v>
      </c>
    </row>
    <row r="302" spans="1:29" x14ac:dyDescent="0.3">
      <c r="A302" s="6">
        <v>2876</v>
      </c>
      <c r="B302" s="6">
        <v>122148</v>
      </c>
      <c r="C302" s="6">
        <v>0</v>
      </c>
      <c r="D302" s="6">
        <v>0</v>
      </c>
      <c r="E302" s="6">
        <v>37</v>
      </c>
      <c r="F302" s="5" t="s">
        <v>7</v>
      </c>
      <c r="G302" s="5" t="s">
        <v>11</v>
      </c>
      <c r="H302" s="3" t="s">
        <v>69</v>
      </c>
      <c r="I302" s="5" t="s">
        <v>438</v>
      </c>
      <c r="J302" s="5">
        <f>_xlfn.XLOOKUP(CustomerCombined[[#This Row],[ID]], Table4[ID], Table4[Recency], "Not Found", 0)</f>
        <v>16</v>
      </c>
      <c r="K302" s="5">
        <f>_xlfn.XLOOKUP(CustomerCombined[[#This Row],[ID]], Table4[ID], Table4[Teas], "Not Found", 0)</f>
        <v>83</v>
      </c>
      <c r="L302" s="5">
        <f>_xlfn.XLOOKUP(CustomerCombined[[#This Row],[ID]], Table4[ID], Table4[Fruits], "Not Found", 0)</f>
        <v>28</v>
      </c>
      <c r="M302" s="5">
        <f>_xlfn.XLOOKUP(CustomerCombined[[#This Row],[ID]], Table4[ID], Table4[Meats], "Not Found", 0)</f>
        <v>77</v>
      </c>
      <c r="N302" s="5">
        <f>_xlfn.XLOOKUP(CustomerCombined[[#This Row],[ID]], Table4[ID], Table4[Seafood], "Not Found", 0)</f>
        <v>0</v>
      </c>
      <c r="O302" s="5">
        <f>_xlfn.XLOOKUP(CustomerCombined[[#This Row],[ID]], Table4[ID], Table4[Sweets], "Not Found", 0)</f>
        <v>22</v>
      </c>
      <c r="P302" s="5">
        <f>_xlfn.XLOOKUP(CustomerCombined[[#This Row],[ID]], Table4[ID], Table4[Premium], "Not Found", 0)</f>
        <v>61</v>
      </c>
      <c r="Q302" s="5">
        <f>_xlfn.XLOOKUP(CustomerCombined[[#This Row],[ID]], Table4[ID], Table4[Regular], "Not Found", 0)</f>
        <v>149</v>
      </c>
      <c r="R302" s="5">
        <f>_xlfn.XLOOKUP(CustomerCombined[[#This Row],[ID]], Table4[ID], Table4[Deals], "Not Found", 0)</f>
        <v>1</v>
      </c>
      <c r="S302" s="5">
        <f>_xlfn.XLOOKUP(CustomerCombined[[#This Row],[ID]], Table4[ID], Table4[Website], "Not Found", 0)</f>
        <v>1</v>
      </c>
      <c r="T302" s="5">
        <f>_xlfn.XLOOKUP(CustomerCombined[[#This Row],[ID]], Table4[ID], Table4[Catalog], "Not Found", 0)</f>
        <v>0</v>
      </c>
      <c r="U302" s="5">
        <f>_xlfn.XLOOKUP(CustomerCombined[[#This Row],[ID]], Table4[ID], Table4[Store], "Not Found", 0)</f>
        <v>3</v>
      </c>
      <c r="V302" s="5">
        <f>_xlfn.XLOOKUP(CustomerCombined[[#This Row],[ID]], Table4[ID], Table4[Visits], "Not Found", 0)</f>
        <v>7</v>
      </c>
      <c r="W302" s="8">
        <f>_xlfn.XLOOKUP(CustomerCombined[[#This Row],[ID]], Table2[ID],Table2[Complaint], "Not Found", 0 )</f>
        <v>0</v>
      </c>
      <c r="X302" s="8">
        <f>_xlfn.XLOOKUP(CustomerCombined[[#This Row],[ID]], Table2[ID],Table2[Pilot], "Not Found", 0 )</f>
        <v>0</v>
      </c>
      <c r="Y302" s="8">
        <f>_xlfn.XLOOKUP(CustomerCombined[[#This Row],[ID]], Table2[ID],Table2[MC1], "Not Found", 0 )</f>
        <v>0</v>
      </c>
      <c r="Z302" s="8">
        <f>_xlfn.XLOOKUP(CustomerCombined[[#This Row],[ID]], Table2[ID],Table2[MC2], "Not Found", 0 )</f>
        <v>0</v>
      </c>
      <c r="AA302" s="8">
        <f>_xlfn.XLOOKUP(CustomerCombined[[#This Row],[ID]], Table2[ID],Table2[MC3], "Not Found", 0 )</f>
        <v>0</v>
      </c>
      <c r="AB302" s="8">
        <f>_xlfn.XLOOKUP(CustomerCombined[[#This Row],[ID]], Table2[ID],Table2[MC4], "Not Found", 0 )</f>
        <v>0</v>
      </c>
      <c r="AC302" s="8">
        <f>_xlfn.XLOOKUP(CustomerCombined[[#This Row],[ID]], Table2[ID],Table2[MC5], "Not Found", 0 )</f>
        <v>0</v>
      </c>
    </row>
    <row r="303" spans="1:29" x14ac:dyDescent="0.3">
      <c r="A303" s="6">
        <v>1319</v>
      </c>
      <c r="B303" s="6">
        <v>122010</v>
      </c>
      <c r="C303" s="6">
        <v>1</v>
      </c>
      <c r="D303" s="6">
        <v>0</v>
      </c>
      <c r="E303" s="6">
        <v>37</v>
      </c>
      <c r="F303" s="5" t="s">
        <v>8</v>
      </c>
      <c r="G303" s="5" t="s">
        <v>11</v>
      </c>
      <c r="H303" s="3">
        <v>43597</v>
      </c>
      <c r="I303" s="5" t="s">
        <v>434</v>
      </c>
      <c r="J303" s="5">
        <f>_xlfn.XLOOKUP(CustomerCombined[[#This Row],[ID]], Table4[ID], Table4[Recency], "Not Found", 0)</f>
        <v>51</v>
      </c>
      <c r="K303" s="5">
        <f>_xlfn.XLOOKUP(CustomerCombined[[#This Row],[ID]], Table4[ID], Table4[Teas], "Not Found", 0)</f>
        <v>61</v>
      </c>
      <c r="L303" s="5">
        <f>_xlfn.XLOOKUP(CustomerCombined[[#This Row],[ID]], Table4[ID], Table4[Fruits], "Not Found", 0)</f>
        <v>11</v>
      </c>
      <c r="M303" s="5">
        <f>_xlfn.XLOOKUP(CustomerCombined[[#This Row],[ID]], Table4[ID], Table4[Meats], "Not Found", 0)</f>
        <v>50</v>
      </c>
      <c r="N303" s="5">
        <f>_xlfn.XLOOKUP(CustomerCombined[[#This Row],[ID]], Table4[ID], Table4[Seafood], "Not Found", 0)</f>
        <v>17</v>
      </c>
      <c r="O303" s="5">
        <f>_xlfn.XLOOKUP(CustomerCombined[[#This Row],[ID]], Table4[ID], Table4[Sweets], "Not Found", 0)</f>
        <v>0</v>
      </c>
      <c r="P303" s="5">
        <f>_xlfn.XLOOKUP(CustomerCombined[[#This Row],[ID]], Table4[ID], Table4[Premium], "Not Found", 0)</f>
        <v>44</v>
      </c>
      <c r="Q303" s="5">
        <f>_xlfn.XLOOKUP(CustomerCombined[[#This Row],[ID]], Table4[ID], Table4[Regular], "Not Found", 0)</f>
        <v>94</v>
      </c>
      <c r="R303" s="5">
        <f>_xlfn.XLOOKUP(CustomerCombined[[#This Row],[ID]], Table4[ID], Table4[Deals], "Not Found", 0)</f>
        <v>2</v>
      </c>
      <c r="S303" s="5">
        <f>_xlfn.XLOOKUP(CustomerCombined[[#This Row],[ID]], Table4[ID], Table4[Website], "Not Found", 0)</f>
        <v>2</v>
      </c>
      <c r="T303" s="5">
        <f>_xlfn.XLOOKUP(CustomerCombined[[#This Row],[ID]], Table4[ID], Table4[Catalog], "Not Found", 0)</f>
        <v>0</v>
      </c>
      <c r="U303" s="5">
        <f>_xlfn.XLOOKUP(CustomerCombined[[#This Row],[ID]], Table4[ID], Table4[Store], "Not Found", 0)</f>
        <v>3</v>
      </c>
      <c r="V303" s="5">
        <f>_xlfn.XLOOKUP(CustomerCombined[[#This Row],[ID]], Table4[ID], Table4[Visits], "Not Found", 0)</f>
        <v>8</v>
      </c>
      <c r="W303" s="8">
        <f>_xlfn.XLOOKUP(CustomerCombined[[#This Row],[ID]], Table2[ID],Table2[Complaint], "Not Found", 0 )</f>
        <v>0</v>
      </c>
      <c r="X303" s="8">
        <f>_xlfn.XLOOKUP(CustomerCombined[[#This Row],[ID]], Table2[ID],Table2[Pilot], "Not Found", 0 )</f>
        <v>0</v>
      </c>
      <c r="Y303" s="8">
        <f>_xlfn.XLOOKUP(CustomerCombined[[#This Row],[ID]], Table2[ID],Table2[MC1], "Not Found", 0 )</f>
        <v>0</v>
      </c>
      <c r="Z303" s="8">
        <f>_xlfn.XLOOKUP(CustomerCombined[[#This Row],[ID]], Table2[ID],Table2[MC2], "Not Found", 0 )</f>
        <v>0</v>
      </c>
      <c r="AA303" s="8">
        <f>_xlfn.XLOOKUP(CustomerCombined[[#This Row],[ID]], Table2[ID],Table2[MC3], "Not Found", 0 )</f>
        <v>0</v>
      </c>
      <c r="AB303" s="8">
        <f>_xlfn.XLOOKUP(CustomerCombined[[#This Row],[ID]], Table2[ID],Table2[MC4], "Not Found", 0 )</f>
        <v>0</v>
      </c>
      <c r="AC303" s="8">
        <f>_xlfn.XLOOKUP(CustomerCombined[[#This Row],[ID]], Table2[ID],Table2[MC5], "Not Found", 0 )</f>
        <v>0</v>
      </c>
    </row>
    <row r="304" spans="1:29" x14ac:dyDescent="0.3">
      <c r="A304" s="6">
        <v>2790</v>
      </c>
      <c r="B304" s="6">
        <v>121840</v>
      </c>
      <c r="C304" s="6">
        <v>1</v>
      </c>
      <c r="D304" s="6">
        <v>0</v>
      </c>
      <c r="E304" s="6">
        <v>37</v>
      </c>
      <c r="F304" s="5" t="s">
        <v>8</v>
      </c>
      <c r="G304" s="5" t="s">
        <v>13</v>
      </c>
      <c r="H304" s="3" t="s">
        <v>215</v>
      </c>
      <c r="I304" s="5" t="s">
        <v>436</v>
      </c>
      <c r="J304" s="5">
        <f>_xlfn.XLOOKUP(CustomerCombined[[#This Row],[ID]], Table4[ID], Table4[Recency], "Not Found", 0)</f>
        <v>80</v>
      </c>
      <c r="K304" s="5">
        <f>_xlfn.XLOOKUP(CustomerCombined[[#This Row],[ID]], Table4[ID], Table4[Teas], "Not Found", 0)</f>
        <v>95</v>
      </c>
      <c r="L304" s="5">
        <f>_xlfn.XLOOKUP(CustomerCombined[[#This Row],[ID]], Table4[ID], Table4[Fruits], "Not Found", 0)</f>
        <v>0</v>
      </c>
      <c r="M304" s="5">
        <f>_xlfn.XLOOKUP(CustomerCombined[[#This Row],[ID]], Table4[ID], Table4[Meats], "Not Found", 0)</f>
        <v>50</v>
      </c>
      <c r="N304" s="5">
        <f>_xlfn.XLOOKUP(CustomerCombined[[#This Row],[ID]], Table4[ID], Table4[Seafood], "Not Found", 0)</f>
        <v>0</v>
      </c>
      <c r="O304" s="5">
        <f>_xlfn.XLOOKUP(CustomerCombined[[#This Row],[ID]], Table4[ID], Table4[Sweets], "Not Found", 0)</f>
        <v>0</v>
      </c>
      <c r="P304" s="5">
        <f>_xlfn.XLOOKUP(CustomerCombined[[#This Row],[ID]], Table4[ID], Table4[Premium], "Not Found", 0)</f>
        <v>6</v>
      </c>
      <c r="Q304" s="5">
        <f>_xlfn.XLOOKUP(CustomerCombined[[#This Row],[ID]], Table4[ID], Table4[Regular], "Not Found", 0)</f>
        <v>139</v>
      </c>
      <c r="R304" s="5">
        <f>_xlfn.XLOOKUP(CustomerCombined[[#This Row],[ID]], Table4[ID], Table4[Deals], "Not Found", 0)</f>
        <v>1</v>
      </c>
      <c r="S304" s="5">
        <f>_xlfn.XLOOKUP(CustomerCombined[[#This Row],[ID]], Table4[ID], Table4[Website], "Not Found", 0)</f>
        <v>1</v>
      </c>
      <c r="T304" s="5">
        <f>_xlfn.XLOOKUP(CustomerCombined[[#This Row],[ID]], Table4[ID], Table4[Catalog], "Not Found", 0)</f>
        <v>0</v>
      </c>
      <c r="U304" s="5">
        <f>_xlfn.XLOOKUP(CustomerCombined[[#This Row],[ID]], Table4[ID], Table4[Store], "Not Found", 0)</f>
        <v>3</v>
      </c>
      <c r="V304" s="5">
        <f>_xlfn.XLOOKUP(CustomerCombined[[#This Row],[ID]], Table4[ID], Table4[Visits], "Not Found", 0)</f>
        <v>9</v>
      </c>
      <c r="W304" s="8">
        <f>_xlfn.XLOOKUP(CustomerCombined[[#This Row],[ID]], Table2[ID],Table2[Complaint], "Not Found", 0 )</f>
        <v>0</v>
      </c>
      <c r="X304" s="8">
        <f>_xlfn.XLOOKUP(CustomerCombined[[#This Row],[ID]], Table2[ID],Table2[Pilot], "Not Found", 0 )</f>
        <v>0</v>
      </c>
      <c r="Y304" s="8">
        <f>_xlfn.XLOOKUP(CustomerCombined[[#This Row],[ID]], Table2[ID],Table2[MC1], "Not Found", 0 )</f>
        <v>0</v>
      </c>
      <c r="Z304" s="8">
        <f>_xlfn.XLOOKUP(CustomerCombined[[#This Row],[ID]], Table2[ID],Table2[MC2], "Not Found", 0 )</f>
        <v>0</v>
      </c>
      <c r="AA304" s="8">
        <f>_xlfn.XLOOKUP(CustomerCombined[[#This Row],[ID]], Table2[ID],Table2[MC3], "Not Found", 0 )</f>
        <v>0</v>
      </c>
      <c r="AB304" s="8">
        <f>_xlfn.XLOOKUP(CustomerCombined[[#This Row],[ID]], Table2[ID],Table2[MC4], "Not Found", 0 )</f>
        <v>0</v>
      </c>
      <c r="AC304" s="8">
        <f>_xlfn.XLOOKUP(CustomerCombined[[#This Row],[ID]], Table2[ID],Table2[MC5], "Not Found", 0 )</f>
        <v>0</v>
      </c>
    </row>
    <row r="305" spans="1:29" x14ac:dyDescent="0.3">
      <c r="A305" s="6">
        <v>1527</v>
      </c>
      <c r="B305" s="6">
        <v>184169</v>
      </c>
      <c r="C305" s="6">
        <v>0</v>
      </c>
      <c r="D305" s="6">
        <v>0</v>
      </c>
      <c r="E305" s="6">
        <v>38</v>
      </c>
      <c r="F305" s="5" t="s">
        <v>6</v>
      </c>
      <c r="G305" s="5" t="s">
        <v>13</v>
      </c>
      <c r="H305" s="3">
        <v>44166</v>
      </c>
      <c r="I305" s="5" t="s">
        <v>435</v>
      </c>
      <c r="J305" s="5">
        <f>_xlfn.XLOOKUP(CustomerCombined[[#This Row],[ID]], Table4[ID], Table4[Recency], "Not Found", 0)</f>
        <v>9</v>
      </c>
      <c r="K305" s="5">
        <f>_xlfn.XLOOKUP(CustomerCombined[[#This Row],[ID]], Table4[ID], Table4[Teas], "Not Found", 0)</f>
        <v>3234</v>
      </c>
      <c r="L305" s="5">
        <f>_xlfn.XLOOKUP(CustomerCombined[[#This Row],[ID]], Table4[ID], Table4[Fruits], "Not Found", 0)</f>
        <v>42</v>
      </c>
      <c r="M305" s="5">
        <f>_xlfn.XLOOKUP(CustomerCombined[[#This Row],[ID]], Table4[ID], Table4[Meats], "Not Found", 0)</f>
        <v>882</v>
      </c>
      <c r="N305" s="5">
        <f>_xlfn.XLOOKUP(CustomerCombined[[#This Row],[ID]], Table4[ID], Table4[Seafood], "Not Found", 0)</f>
        <v>0</v>
      </c>
      <c r="O305" s="5">
        <f>_xlfn.XLOOKUP(CustomerCombined[[#This Row],[ID]], Table4[ID], Table4[Sweets], "Not Found", 0)</f>
        <v>42</v>
      </c>
      <c r="P305" s="5">
        <f>_xlfn.XLOOKUP(CustomerCombined[[#This Row],[ID]], Table4[ID], Table4[Premium], "Not Found", 0)</f>
        <v>0</v>
      </c>
      <c r="Q305" s="5">
        <f>_xlfn.XLOOKUP(CustomerCombined[[#This Row],[ID]], Table4[ID], Table4[Regular], "Not Found", 0)</f>
        <v>4199</v>
      </c>
      <c r="R305" s="5">
        <f>_xlfn.XLOOKUP(CustomerCombined[[#This Row],[ID]], Table4[ID], Table4[Deals], "Not Found", 0)</f>
        <v>1</v>
      </c>
      <c r="S305" s="5">
        <f>_xlfn.XLOOKUP(CustomerCombined[[#This Row],[ID]], Table4[ID], Table4[Website], "Not Found", 0)</f>
        <v>7</v>
      </c>
      <c r="T305" s="5">
        <f>_xlfn.XLOOKUP(CustomerCombined[[#This Row],[ID]], Table4[ID], Table4[Catalog], "Not Found", 0)</f>
        <v>6</v>
      </c>
      <c r="U305" s="5">
        <f>_xlfn.XLOOKUP(CustomerCombined[[#This Row],[ID]], Table4[ID], Table4[Store], "Not Found", 0)</f>
        <v>6</v>
      </c>
      <c r="V305" s="5">
        <f>_xlfn.XLOOKUP(CustomerCombined[[#This Row],[ID]], Table4[ID], Table4[Visits], "Not Found", 0)</f>
        <v>3</v>
      </c>
      <c r="W305" s="8">
        <f>_xlfn.XLOOKUP(CustomerCombined[[#This Row],[ID]], Table2[ID],Table2[Complaint], "Not Found", 0 )</f>
        <v>0</v>
      </c>
      <c r="X305" s="8">
        <f>_xlfn.XLOOKUP(CustomerCombined[[#This Row],[ID]], Table2[ID],Table2[Pilot], "Not Found", 0 )</f>
        <v>1</v>
      </c>
      <c r="Y305" s="8">
        <f>_xlfn.XLOOKUP(CustomerCombined[[#This Row],[ID]], Table2[ID],Table2[MC1], "Not Found", 0 )</f>
        <v>0</v>
      </c>
      <c r="Z305" s="8">
        <f>_xlfn.XLOOKUP(CustomerCombined[[#This Row],[ID]], Table2[ID],Table2[MC2], "Not Found", 0 )</f>
        <v>0</v>
      </c>
      <c r="AA305" s="8">
        <f>_xlfn.XLOOKUP(CustomerCombined[[#This Row],[ID]], Table2[ID],Table2[MC3], "Not Found", 0 )</f>
        <v>0</v>
      </c>
      <c r="AB305" s="8">
        <f>_xlfn.XLOOKUP(CustomerCombined[[#This Row],[ID]], Table2[ID],Table2[MC4], "Not Found", 0 )</f>
        <v>1</v>
      </c>
      <c r="AC305" s="8">
        <f>_xlfn.XLOOKUP(CustomerCombined[[#This Row],[ID]], Table2[ID],Table2[MC5], "Not Found", 0 )</f>
        <v>1</v>
      </c>
    </row>
    <row r="306" spans="1:29" x14ac:dyDescent="0.3">
      <c r="A306" s="6">
        <v>1898</v>
      </c>
      <c r="B306" s="6">
        <v>184169</v>
      </c>
      <c r="C306" s="6">
        <v>0</v>
      </c>
      <c r="D306" s="6">
        <v>0</v>
      </c>
      <c r="E306" s="6">
        <v>38</v>
      </c>
      <c r="F306" s="5" t="s">
        <v>6</v>
      </c>
      <c r="G306" s="5" t="s">
        <v>13</v>
      </c>
      <c r="H306" s="3">
        <v>44166</v>
      </c>
      <c r="I306" s="5" t="s">
        <v>438</v>
      </c>
      <c r="J306" s="5">
        <f>_xlfn.XLOOKUP(CustomerCombined[[#This Row],[ID]], Table4[ID], Table4[Recency], "Not Found", 0)</f>
        <v>9</v>
      </c>
      <c r="K306" s="5">
        <f>_xlfn.XLOOKUP(CustomerCombined[[#This Row],[ID]], Table4[ID], Table4[Teas], "Not Found", 0)</f>
        <v>3234</v>
      </c>
      <c r="L306" s="5">
        <f>_xlfn.XLOOKUP(CustomerCombined[[#This Row],[ID]], Table4[ID], Table4[Fruits], "Not Found", 0)</f>
        <v>42</v>
      </c>
      <c r="M306" s="5">
        <f>_xlfn.XLOOKUP(CustomerCombined[[#This Row],[ID]], Table4[ID], Table4[Meats], "Not Found", 0)</f>
        <v>882</v>
      </c>
      <c r="N306" s="5">
        <f>_xlfn.XLOOKUP(CustomerCombined[[#This Row],[ID]], Table4[ID], Table4[Seafood], "Not Found", 0)</f>
        <v>0</v>
      </c>
      <c r="O306" s="5">
        <f>_xlfn.XLOOKUP(CustomerCombined[[#This Row],[ID]], Table4[ID], Table4[Sweets], "Not Found", 0)</f>
        <v>42</v>
      </c>
      <c r="P306" s="5">
        <f>_xlfn.XLOOKUP(CustomerCombined[[#This Row],[ID]], Table4[ID], Table4[Premium], "Not Found", 0)</f>
        <v>0</v>
      </c>
      <c r="Q306" s="5">
        <f>_xlfn.XLOOKUP(CustomerCombined[[#This Row],[ID]], Table4[ID], Table4[Regular], "Not Found", 0)</f>
        <v>4199</v>
      </c>
      <c r="R306" s="5">
        <f>_xlfn.XLOOKUP(CustomerCombined[[#This Row],[ID]], Table4[ID], Table4[Deals], "Not Found", 0)</f>
        <v>1</v>
      </c>
      <c r="S306" s="5">
        <f>_xlfn.XLOOKUP(CustomerCombined[[#This Row],[ID]], Table4[ID], Table4[Website], "Not Found", 0)</f>
        <v>7</v>
      </c>
      <c r="T306" s="5">
        <f>_xlfn.XLOOKUP(CustomerCombined[[#This Row],[ID]], Table4[ID], Table4[Catalog], "Not Found", 0)</f>
        <v>6</v>
      </c>
      <c r="U306" s="5">
        <f>_xlfn.XLOOKUP(CustomerCombined[[#This Row],[ID]], Table4[ID], Table4[Store], "Not Found", 0)</f>
        <v>6</v>
      </c>
      <c r="V306" s="5">
        <f>_xlfn.XLOOKUP(CustomerCombined[[#This Row],[ID]], Table4[ID], Table4[Visits], "Not Found", 0)</f>
        <v>3</v>
      </c>
      <c r="W306" s="8">
        <f>_xlfn.XLOOKUP(CustomerCombined[[#This Row],[ID]], Table2[ID],Table2[Complaint], "Not Found", 0 )</f>
        <v>0</v>
      </c>
      <c r="X306" s="8">
        <f>_xlfn.XLOOKUP(CustomerCombined[[#This Row],[ID]], Table2[ID],Table2[Pilot], "Not Found", 0 )</f>
        <v>1</v>
      </c>
      <c r="Y306" s="8">
        <f>_xlfn.XLOOKUP(CustomerCombined[[#This Row],[ID]], Table2[ID],Table2[MC1], "Not Found", 0 )</f>
        <v>0</v>
      </c>
      <c r="Z306" s="8">
        <f>_xlfn.XLOOKUP(CustomerCombined[[#This Row],[ID]], Table2[ID],Table2[MC2], "Not Found", 0 )</f>
        <v>0</v>
      </c>
      <c r="AA306" s="8">
        <f>_xlfn.XLOOKUP(CustomerCombined[[#This Row],[ID]], Table2[ID],Table2[MC3], "Not Found", 0 )</f>
        <v>0</v>
      </c>
      <c r="AB306" s="8">
        <f>_xlfn.XLOOKUP(CustomerCombined[[#This Row],[ID]], Table2[ID],Table2[MC4], "Not Found", 0 )</f>
        <v>1</v>
      </c>
      <c r="AC306" s="8">
        <f>_xlfn.XLOOKUP(CustomerCombined[[#This Row],[ID]], Table2[ID],Table2[MC5], "Not Found", 0 )</f>
        <v>1</v>
      </c>
    </row>
    <row r="307" spans="1:29" x14ac:dyDescent="0.3">
      <c r="A307" s="6">
        <v>1541</v>
      </c>
      <c r="B307" s="6">
        <v>179908</v>
      </c>
      <c r="C307" s="6">
        <v>0</v>
      </c>
      <c r="D307" s="6">
        <v>0</v>
      </c>
      <c r="E307" s="6">
        <v>38</v>
      </c>
      <c r="F307" s="5" t="s">
        <v>6</v>
      </c>
      <c r="G307" s="5" t="s">
        <v>11</v>
      </c>
      <c r="H307" s="3">
        <v>43747</v>
      </c>
      <c r="I307" s="5" t="s">
        <v>434</v>
      </c>
      <c r="J307" s="5">
        <f>_xlfn.XLOOKUP(CustomerCombined[[#This Row],[ID]], Table4[ID], Table4[Recency], "Not Found", 0)</f>
        <v>30</v>
      </c>
      <c r="K307" s="5">
        <f>_xlfn.XLOOKUP(CustomerCombined[[#This Row],[ID]], Table4[ID], Table4[Teas], "Not Found", 0)</f>
        <v>1254</v>
      </c>
      <c r="L307" s="5">
        <f>_xlfn.XLOOKUP(CustomerCombined[[#This Row],[ID]], Table4[ID], Table4[Fruits], "Not Found", 0)</f>
        <v>290</v>
      </c>
      <c r="M307" s="5">
        <f>_xlfn.XLOOKUP(CustomerCombined[[#This Row],[ID]], Table4[ID], Table4[Meats], "Not Found", 0)</f>
        <v>1713</v>
      </c>
      <c r="N307" s="5">
        <f>_xlfn.XLOOKUP(CustomerCombined[[#This Row],[ID]], Table4[ID], Table4[Seafood], "Not Found", 0)</f>
        <v>65</v>
      </c>
      <c r="O307" s="5">
        <f>_xlfn.XLOOKUP(CustomerCombined[[#This Row],[ID]], Table4[ID], Table4[Sweets], "Not Found", 0)</f>
        <v>417</v>
      </c>
      <c r="P307" s="5">
        <f>_xlfn.XLOOKUP(CustomerCombined[[#This Row],[ID]], Table4[ID], Table4[Premium], "Not Found", 0)</f>
        <v>250</v>
      </c>
      <c r="Q307" s="5">
        <f>_xlfn.XLOOKUP(CustomerCombined[[#This Row],[ID]], Table4[ID], Table4[Regular], "Not Found", 0)</f>
        <v>3490</v>
      </c>
      <c r="R307" s="5">
        <f>_xlfn.XLOOKUP(CustomerCombined[[#This Row],[ID]], Table4[ID], Table4[Deals], "Not Found", 0)</f>
        <v>1</v>
      </c>
      <c r="S307" s="5">
        <f>_xlfn.XLOOKUP(CustomerCombined[[#This Row],[ID]], Table4[ID], Table4[Website], "Not Found", 0)</f>
        <v>5</v>
      </c>
      <c r="T307" s="5">
        <f>_xlfn.XLOOKUP(CustomerCombined[[#This Row],[ID]], Table4[ID], Table4[Catalog], "Not Found", 0)</f>
        <v>6</v>
      </c>
      <c r="U307" s="5">
        <f>_xlfn.XLOOKUP(CustomerCombined[[#This Row],[ID]], Table4[ID], Table4[Store], "Not Found", 0)</f>
        <v>7</v>
      </c>
      <c r="V307" s="5">
        <f>_xlfn.XLOOKUP(CustomerCombined[[#This Row],[ID]], Table4[ID], Table4[Visits], "Not Found", 0)</f>
        <v>2</v>
      </c>
      <c r="W307" s="8">
        <f>_xlfn.XLOOKUP(CustomerCombined[[#This Row],[ID]], Table2[ID],Table2[Complaint], "Not Found", 0 )</f>
        <v>0</v>
      </c>
      <c r="X307" s="8">
        <f>_xlfn.XLOOKUP(CustomerCombined[[#This Row],[ID]], Table2[ID],Table2[Pilot], "Not Found", 0 )</f>
        <v>0</v>
      </c>
      <c r="Y307" s="8">
        <f>_xlfn.XLOOKUP(CustomerCombined[[#This Row],[ID]], Table2[ID],Table2[MC1], "Not Found", 0 )</f>
        <v>0</v>
      </c>
      <c r="Z307" s="8">
        <f>_xlfn.XLOOKUP(CustomerCombined[[#This Row],[ID]], Table2[ID],Table2[MC2], "Not Found", 0 )</f>
        <v>0</v>
      </c>
      <c r="AA307" s="8">
        <f>_xlfn.XLOOKUP(CustomerCombined[[#This Row],[ID]], Table2[ID],Table2[MC3], "Not Found", 0 )</f>
        <v>0</v>
      </c>
      <c r="AB307" s="8">
        <f>_xlfn.XLOOKUP(CustomerCombined[[#This Row],[ID]], Table2[ID],Table2[MC4], "Not Found", 0 )</f>
        <v>0</v>
      </c>
      <c r="AC307" s="8">
        <f>_xlfn.XLOOKUP(CustomerCombined[[#This Row],[ID]], Table2[ID],Table2[MC5], "Not Found", 0 )</f>
        <v>1</v>
      </c>
    </row>
    <row r="308" spans="1:29" x14ac:dyDescent="0.3">
      <c r="A308" s="6">
        <v>1056</v>
      </c>
      <c r="B308" s="6">
        <v>175777</v>
      </c>
      <c r="C308" s="6">
        <v>0</v>
      </c>
      <c r="D308" s="6">
        <v>0</v>
      </c>
      <c r="E308" s="6">
        <v>38</v>
      </c>
      <c r="F308" s="5" t="s">
        <v>7</v>
      </c>
      <c r="G308" s="5" t="s">
        <v>12</v>
      </c>
      <c r="H308" s="3">
        <v>43720</v>
      </c>
      <c r="I308" s="5" t="s">
        <v>436</v>
      </c>
      <c r="J308" s="5">
        <f>_xlfn.XLOOKUP(CustomerCombined[[#This Row],[ID]], Table4[ID], Table4[Recency], "Not Found", 0)</f>
        <v>12</v>
      </c>
      <c r="K308" s="5">
        <f>_xlfn.XLOOKUP(CustomerCombined[[#This Row],[ID]], Table4[ID], Table4[Teas], "Not Found", 0)</f>
        <v>1652</v>
      </c>
      <c r="L308" s="5">
        <f>_xlfn.XLOOKUP(CustomerCombined[[#This Row],[ID]], Table4[ID], Table4[Fruits], "Not Found", 0)</f>
        <v>60</v>
      </c>
      <c r="M308" s="5">
        <f>_xlfn.XLOOKUP(CustomerCombined[[#This Row],[ID]], Table4[ID], Table4[Meats], "Not Found", 0)</f>
        <v>1248</v>
      </c>
      <c r="N308" s="5">
        <f>_xlfn.XLOOKUP(CustomerCombined[[#This Row],[ID]], Table4[ID], Table4[Seafood], "Not Found", 0)</f>
        <v>160</v>
      </c>
      <c r="O308" s="5">
        <f>_xlfn.XLOOKUP(CustomerCombined[[#This Row],[ID]], Table4[ID], Table4[Sweets], "Not Found", 0)</f>
        <v>30</v>
      </c>
      <c r="P308" s="5">
        <f>_xlfn.XLOOKUP(CustomerCombined[[#This Row],[ID]], Table4[ID], Table4[Premium], "Not Found", 0)</f>
        <v>186</v>
      </c>
      <c r="Q308" s="5">
        <f>_xlfn.XLOOKUP(CustomerCombined[[#This Row],[ID]], Table4[ID], Table4[Regular], "Not Found", 0)</f>
        <v>2965</v>
      </c>
      <c r="R308" s="5">
        <f>_xlfn.XLOOKUP(CustomerCombined[[#This Row],[ID]], Table4[ID], Table4[Deals], "Not Found", 0)</f>
        <v>1</v>
      </c>
      <c r="S308" s="5">
        <f>_xlfn.XLOOKUP(CustomerCombined[[#This Row],[ID]], Table4[ID], Table4[Website], "Not Found", 0)</f>
        <v>3</v>
      </c>
      <c r="T308" s="5">
        <f>_xlfn.XLOOKUP(CustomerCombined[[#This Row],[ID]], Table4[ID], Table4[Catalog], "Not Found", 0)</f>
        <v>6</v>
      </c>
      <c r="U308" s="5">
        <f>_xlfn.XLOOKUP(CustomerCombined[[#This Row],[ID]], Table4[ID], Table4[Store], "Not Found", 0)</f>
        <v>11</v>
      </c>
      <c r="V308" s="5">
        <f>_xlfn.XLOOKUP(CustomerCombined[[#This Row],[ID]], Table4[ID], Table4[Visits], "Not Found", 0)</f>
        <v>1</v>
      </c>
      <c r="W308" s="8">
        <f>_xlfn.XLOOKUP(CustomerCombined[[#This Row],[ID]], Table2[ID],Table2[Complaint], "Not Found", 0 )</f>
        <v>0</v>
      </c>
      <c r="X308" s="8">
        <f>_xlfn.XLOOKUP(CustomerCombined[[#This Row],[ID]], Table2[ID],Table2[Pilot], "Not Found", 0 )</f>
        <v>1</v>
      </c>
      <c r="Y308" s="8">
        <f>_xlfn.XLOOKUP(CustomerCombined[[#This Row],[ID]], Table2[ID],Table2[MC1], "Not Found", 0 )</f>
        <v>0</v>
      </c>
      <c r="Z308" s="8">
        <f>_xlfn.XLOOKUP(CustomerCombined[[#This Row],[ID]], Table2[ID],Table2[MC2], "Not Found", 0 )</f>
        <v>0</v>
      </c>
      <c r="AA308" s="8">
        <f>_xlfn.XLOOKUP(CustomerCombined[[#This Row],[ID]], Table2[ID],Table2[MC3], "Not Found", 0 )</f>
        <v>0</v>
      </c>
      <c r="AB308" s="8">
        <f>_xlfn.XLOOKUP(CustomerCombined[[#This Row],[ID]], Table2[ID],Table2[MC4], "Not Found", 0 )</f>
        <v>1</v>
      </c>
      <c r="AC308" s="8">
        <f>_xlfn.XLOOKUP(CustomerCombined[[#This Row],[ID]], Table2[ID],Table2[MC5], "Not Found", 0 )</f>
        <v>1</v>
      </c>
    </row>
    <row r="309" spans="1:29" x14ac:dyDescent="0.3">
      <c r="A309" s="6">
        <v>3189</v>
      </c>
      <c r="B309" s="6">
        <v>175777</v>
      </c>
      <c r="C309" s="6">
        <v>0</v>
      </c>
      <c r="D309" s="6">
        <v>0</v>
      </c>
      <c r="E309" s="6">
        <v>38</v>
      </c>
      <c r="F309" s="5" t="s">
        <v>7</v>
      </c>
      <c r="G309" s="5" t="s">
        <v>12</v>
      </c>
      <c r="H309" s="3">
        <v>43720</v>
      </c>
      <c r="I309" s="5" t="s">
        <v>435</v>
      </c>
      <c r="J309" s="5">
        <f>_xlfn.XLOOKUP(CustomerCombined[[#This Row],[ID]], Table4[ID], Table4[Recency], "Not Found", 0)</f>
        <v>12</v>
      </c>
      <c r="K309" s="5">
        <f>_xlfn.XLOOKUP(CustomerCombined[[#This Row],[ID]], Table4[ID], Table4[Teas], "Not Found", 0)</f>
        <v>1652</v>
      </c>
      <c r="L309" s="5">
        <f>_xlfn.XLOOKUP(CustomerCombined[[#This Row],[ID]], Table4[ID], Table4[Fruits], "Not Found", 0)</f>
        <v>60</v>
      </c>
      <c r="M309" s="5">
        <f>_xlfn.XLOOKUP(CustomerCombined[[#This Row],[ID]], Table4[ID], Table4[Meats], "Not Found", 0)</f>
        <v>1248</v>
      </c>
      <c r="N309" s="5">
        <f>_xlfn.XLOOKUP(CustomerCombined[[#This Row],[ID]], Table4[ID], Table4[Seafood], "Not Found", 0)</f>
        <v>160</v>
      </c>
      <c r="O309" s="5">
        <f>_xlfn.XLOOKUP(CustomerCombined[[#This Row],[ID]], Table4[ID], Table4[Sweets], "Not Found", 0)</f>
        <v>30</v>
      </c>
      <c r="P309" s="5">
        <f>_xlfn.XLOOKUP(CustomerCombined[[#This Row],[ID]], Table4[ID], Table4[Premium], "Not Found", 0)</f>
        <v>186</v>
      </c>
      <c r="Q309" s="5">
        <f>_xlfn.XLOOKUP(CustomerCombined[[#This Row],[ID]], Table4[ID], Table4[Regular], "Not Found", 0)</f>
        <v>2965</v>
      </c>
      <c r="R309" s="5">
        <f>_xlfn.XLOOKUP(CustomerCombined[[#This Row],[ID]], Table4[ID], Table4[Deals], "Not Found", 0)</f>
        <v>1</v>
      </c>
      <c r="S309" s="5">
        <f>_xlfn.XLOOKUP(CustomerCombined[[#This Row],[ID]], Table4[ID], Table4[Website], "Not Found", 0)</f>
        <v>3</v>
      </c>
      <c r="T309" s="5">
        <f>_xlfn.XLOOKUP(CustomerCombined[[#This Row],[ID]], Table4[ID], Table4[Catalog], "Not Found", 0)</f>
        <v>6</v>
      </c>
      <c r="U309" s="5">
        <f>_xlfn.XLOOKUP(CustomerCombined[[#This Row],[ID]], Table4[ID], Table4[Store], "Not Found", 0)</f>
        <v>11</v>
      </c>
      <c r="V309" s="5">
        <f>_xlfn.XLOOKUP(CustomerCombined[[#This Row],[ID]], Table4[ID], Table4[Visits], "Not Found", 0)</f>
        <v>1</v>
      </c>
      <c r="W309" s="8">
        <f>_xlfn.XLOOKUP(CustomerCombined[[#This Row],[ID]], Table2[ID],Table2[Complaint], "Not Found", 0 )</f>
        <v>0</v>
      </c>
      <c r="X309" s="8">
        <f>_xlfn.XLOOKUP(CustomerCombined[[#This Row],[ID]], Table2[ID],Table2[Pilot], "Not Found", 0 )</f>
        <v>1</v>
      </c>
      <c r="Y309" s="8">
        <f>_xlfn.XLOOKUP(CustomerCombined[[#This Row],[ID]], Table2[ID],Table2[MC1], "Not Found", 0 )</f>
        <v>0</v>
      </c>
      <c r="Z309" s="8">
        <f>_xlfn.XLOOKUP(CustomerCombined[[#This Row],[ID]], Table2[ID],Table2[MC2], "Not Found", 0 )</f>
        <v>0</v>
      </c>
      <c r="AA309" s="8">
        <f>_xlfn.XLOOKUP(CustomerCombined[[#This Row],[ID]], Table2[ID],Table2[MC3], "Not Found", 0 )</f>
        <v>0</v>
      </c>
      <c r="AB309" s="8">
        <f>_xlfn.XLOOKUP(CustomerCombined[[#This Row],[ID]], Table2[ID],Table2[MC4], "Not Found", 0 )</f>
        <v>1</v>
      </c>
      <c r="AC309" s="8">
        <f>_xlfn.XLOOKUP(CustomerCombined[[#This Row],[ID]], Table2[ID],Table2[MC5], "Not Found", 0 )</f>
        <v>1</v>
      </c>
    </row>
    <row r="310" spans="1:29" x14ac:dyDescent="0.3">
      <c r="A310" s="6">
        <v>1908</v>
      </c>
      <c r="B310" s="6">
        <v>174116</v>
      </c>
      <c r="C310" s="6">
        <v>0</v>
      </c>
      <c r="D310" s="6">
        <v>0</v>
      </c>
      <c r="E310" s="6">
        <v>38</v>
      </c>
      <c r="F310" s="5" t="s">
        <v>7</v>
      </c>
      <c r="G310" s="5" t="s">
        <v>442</v>
      </c>
      <c r="H310" s="3">
        <v>43957</v>
      </c>
      <c r="I310" s="5" t="s">
        <v>436</v>
      </c>
      <c r="J310" s="5">
        <f>_xlfn.XLOOKUP(CustomerCombined[[#This Row],[ID]], Table4[ID], Table4[Recency], "Not Found", 0)</f>
        <v>53</v>
      </c>
      <c r="K310" s="5">
        <f>_xlfn.XLOOKUP(CustomerCombined[[#This Row],[ID]], Table4[ID], Table4[Teas], "Not Found", 0)</f>
        <v>2046</v>
      </c>
      <c r="L310" s="5">
        <f>_xlfn.XLOOKUP(CustomerCombined[[#This Row],[ID]], Table4[ID], Table4[Fruits], "Not Found", 0)</f>
        <v>261</v>
      </c>
      <c r="M310" s="5">
        <f>_xlfn.XLOOKUP(CustomerCombined[[#This Row],[ID]], Table4[ID], Table4[Meats], "Not Found", 0)</f>
        <v>1654</v>
      </c>
      <c r="N310" s="5">
        <f>_xlfn.XLOOKUP(CustomerCombined[[#This Row],[ID]], Table4[ID], Table4[Seafood], "Not Found", 0)</f>
        <v>341</v>
      </c>
      <c r="O310" s="5">
        <f>_xlfn.XLOOKUP(CustomerCombined[[#This Row],[ID]], Table4[ID], Table4[Sweets], "Not Found", 0)</f>
        <v>129</v>
      </c>
      <c r="P310" s="5">
        <f>_xlfn.XLOOKUP(CustomerCombined[[#This Row],[ID]], Table4[ID], Table4[Premium], "Not Found", 0)</f>
        <v>390</v>
      </c>
      <c r="Q310" s="5">
        <f>_xlfn.XLOOKUP(CustomerCombined[[#This Row],[ID]], Table4[ID], Table4[Regular], "Not Found", 0)</f>
        <v>4041</v>
      </c>
      <c r="R310" s="5">
        <f>_xlfn.XLOOKUP(CustomerCombined[[#This Row],[ID]], Table4[ID], Table4[Deals], "Not Found", 0)</f>
        <v>1</v>
      </c>
      <c r="S310" s="5">
        <f>_xlfn.XLOOKUP(CustomerCombined[[#This Row],[ID]], Table4[ID], Table4[Website], "Not Found", 0)</f>
        <v>4</v>
      </c>
      <c r="T310" s="5">
        <f>_xlfn.XLOOKUP(CustomerCombined[[#This Row],[ID]], Table4[ID], Table4[Catalog], "Not Found", 0)</f>
        <v>4</v>
      </c>
      <c r="U310" s="5">
        <f>_xlfn.XLOOKUP(CustomerCombined[[#This Row],[ID]], Table4[ID], Table4[Store], "Not Found", 0)</f>
        <v>10</v>
      </c>
      <c r="V310" s="5">
        <f>_xlfn.XLOOKUP(CustomerCombined[[#This Row],[ID]], Table4[ID], Table4[Visits], "Not Found", 0)</f>
        <v>2</v>
      </c>
      <c r="W310" s="8">
        <f>_xlfn.XLOOKUP(CustomerCombined[[#This Row],[ID]], Table2[ID],Table2[Complaint], "Not Found", 0 )</f>
        <v>0</v>
      </c>
      <c r="X310" s="8">
        <f>_xlfn.XLOOKUP(CustomerCombined[[#This Row],[ID]], Table2[ID],Table2[Pilot], "Not Found", 0 )</f>
        <v>0</v>
      </c>
      <c r="Y310" s="8">
        <f>_xlfn.XLOOKUP(CustomerCombined[[#This Row],[ID]], Table2[ID],Table2[MC1], "Not Found", 0 )</f>
        <v>0</v>
      </c>
      <c r="Z310" s="8">
        <f>_xlfn.XLOOKUP(CustomerCombined[[#This Row],[ID]], Table2[ID],Table2[MC2], "Not Found", 0 )</f>
        <v>0</v>
      </c>
      <c r="AA310" s="8">
        <f>_xlfn.XLOOKUP(CustomerCombined[[#This Row],[ID]], Table2[ID],Table2[MC3], "Not Found", 0 )</f>
        <v>0</v>
      </c>
      <c r="AB310" s="8">
        <f>_xlfn.XLOOKUP(CustomerCombined[[#This Row],[ID]], Table2[ID],Table2[MC4], "Not Found", 0 )</f>
        <v>1</v>
      </c>
      <c r="AC310" s="8">
        <f>_xlfn.XLOOKUP(CustomerCombined[[#This Row],[ID]], Table2[ID],Table2[MC5], "Not Found", 0 )</f>
        <v>0</v>
      </c>
    </row>
    <row r="311" spans="1:29" x14ac:dyDescent="0.3">
      <c r="A311" s="6">
        <v>2243</v>
      </c>
      <c r="B311" s="6">
        <v>173450</v>
      </c>
      <c r="C311" s="6">
        <v>0</v>
      </c>
      <c r="D311" s="6">
        <v>0</v>
      </c>
      <c r="E311" s="6">
        <v>38</v>
      </c>
      <c r="F311" s="5" t="s">
        <v>8</v>
      </c>
      <c r="G311" s="5" t="s">
        <v>12</v>
      </c>
      <c r="H311" s="3">
        <v>44140</v>
      </c>
      <c r="I311" s="5" t="s">
        <v>434</v>
      </c>
      <c r="J311" s="5">
        <f>_xlfn.XLOOKUP(CustomerCombined[[#This Row],[ID]], Table4[ID], Table4[Recency], "Not Found", 0)</f>
        <v>85</v>
      </c>
      <c r="K311" s="5">
        <f>_xlfn.XLOOKUP(CustomerCombined[[#This Row],[ID]], Table4[ID], Table4[Teas], "Not Found", 0)</f>
        <v>2697</v>
      </c>
      <c r="L311" s="5">
        <f>_xlfn.XLOOKUP(CustomerCombined[[#This Row],[ID]], Table4[ID], Table4[Fruits], "Not Found", 0)</f>
        <v>120</v>
      </c>
      <c r="M311" s="5">
        <f>_xlfn.XLOOKUP(CustomerCombined[[#This Row],[ID]], Table4[ID], Table4[Meats], "Not Found", 0)</f>
        <v>980</v>
      </c>
      <c r="N311" s="5">
        <f>_xlfn.XLOOKUP(CustomerCombined[[#This Row],[ID]], Table4[ID], Table4[Seafood], "Not Found", 0)</f>
        <v>213</v>
      </c>
      <c r="O311" s="5">
        <f>_xlfn.XLOOKUP(CustomerCombined[[#This Row],[ID]], Table4[ID], Table4[Sweets], "Not Found", 0)</f>
        <v>163</v>
      </c>
      <c r="P311" s="5">
        <f>_xlfn.XLOOKUP(CustomerCombined[[#This Row],[ID]], Table4[ID], Table4[Premium], "Not Found", 0)</f>
        <v>87</v>
      </c>
      <c r="Q311" s="5">
        <f>_xlfn.XLOOKUP(CustomerCombined[[#This Row],[ID]], Table4[ID], Table4[Regular], "Not Found", 0)</f>
        <v>4085</v>
      </c>
      <c r="R311" s="5">
        <f>_xlfn.XLOOKUP(CustomerCombined[[#This Row],[ID]], Table4[ID], Table4[Deals], "Not Found", 0)</f>
        <v>1</v>
      </c>
      <c r="S311" s="5">
        <f>_xlfn.XLOOKUP(CustomerCombined[[#This Row],[ID]], Table4[ID], Table4[Website], "Not Found", 0)</f>
        <v>7</v>
      </c>
      <c r="T311" s="5">
        <f>_xlfn.XLOOKUP(CustomerCombined[[#This Row],[ID]], Table4[ID], Table4[Catalog], "Not Found", 0)</f>
        <v>8</v>
      </c>
      <c r="U311" s="5">
        <f>_xlfn.XLOOKUP(CustomerCombined[[#This Row],[ID]], Table4[ID], Table4[Store], "Not Found", 0)</f>
        <v>11</v>
      </c>
      <c r="V311" s="5">
        <f>_xlfn.XLOOKUP(CustomerCombined[[#This Row],[ID]], Table4[ID], Table4[Visits], "Not Found", 0)</f>
        <v>3</v>
      </c>
      <c r="W311" s="8">
        <f>_xlfn.XLOOKUP(CustomerCombined[[#This Row],[ID]], Table2[ID],Table2[Complaint], "Not Found", 0 )</f>
        <v>0</v>
      </c>
      <c r="X311" s="8">
        <f>_xlfn.XLOOKUP(CustomerCombined[[#This Row],[ID]], Table2[ID],Table2[Pilot], "Not Found", 0 )</f>
        <v>0</v>
      </c>
      <c r="Y311" s="8">
        <f>_xlfn.XLOOKUP(CustomerCombined[[#This Row],[ID]], Table2[ID],Table2[MC1], "Not Found", 0 )</f>
        <v>1</v>
      </c>
      <c r="Z311" s="8">
        <f>_xlfn.XLOOKUP(CustomerCombined[[#This Row],[ID]], Table2[ID],Table2[MC2], "Not Found", 0 )</f>
        <v>0</v>
      </c>
      <c r="AA311" s="8">
        <f>_xlfn.XLOOKUP(CustomerCombined[[#This Row],[ID]], Table2[ID],Table2[MC3], "Not Found", 0 )</f>
        <v>1</v>
      </c>
      <c r="AB311" s="8">
        <f>_xlfn.XLOOKUP(CustomerCombined[[#This Row],[ID]], Table2[ID],Table2[MC4], "Not Found", 0 )</f>
        <v>0</v>
      </c>
      <c r="AC311" s="8">
        <f>_xlfn.XLOOKUP(CustomerCombined[[#This Row],[ID]], Table2[ID],Table2[MC5], "Not Found", 0 )</f>
        <v>0</v>
      </c>
    </row>
    <row r="312" spans="1:29" x14ac:dyDescent="0.3">
      <c r="A312" s="6">
        <v>2316</v>
      </c>
      <c r="B312" s="6">
        <v>171853</v>
      </c>
      <c r="C312" s="6">
        <v>0</v>
      </c>
      <c r="D312" s="6">
        <v>0</v>
      </c>
      <c r="E312" s="6">
        <v>38</v>
      </c>
      <c r="F312" s="5" t="s">
        <v>8</v>
      </c>
      <c r="G312" s="5" t="s">
        <v>11</v>
      </c>
      <c r="H312" s="3" t="s">
        <v>263</v>
      </c>
      <c r="I312" s="5" t="s">
        <v>436</v>
      </c>
      <c r="J312" s="5">
        <f>_xlfn.XLOOKUP(CustomerCombined[[#This Row],[ID]], Table4[ID], Table4[Recency], "Not Found", 0)</f>
        <v>29</v>
      </c>
      <c r="K312" s="5">
        <f>_xlfn.XLOOKUP(CustomerCombined[[#This Row],[ID]], Table4[ID], Table4[Teas], "Not Found", 0)</f>
        <v>856</v>
      </c>
      <c r="L312" s="5">
        <f>_xlfn.XLOOKUP(CustomerCombined[[#This Row],[ID]], Table4[ID], Table4[Fruits], "Not Found", 0)</f>
        <v>258</v>
      </c>
      <c r="M312" s="5">
        <f>_xlfn.XLOOKUP(CustomerCombined[[#This Row],[ID]], Table4[ID], Table4[Meats], "Not Found", 0)</f>
        <v>988</v>
      </c>
      <c r="N312" s="5">
        <f>_xlfn.XLOOKUP(CustomerCombined[[#This Row],[ID]], Table4[ID], Table4[Seafood], "Not Found", 0)</f>
        <v>337</v>
      </c>
      <c r="O312" s="5">
        <f>_xlfn.XLOOKUP(CustomerCombined[[#This Row],[ID]], Table4[ID], Table4[Sweets], "Not Found", 0)</f>
        <v>232</v>
      </c>
      <c r="P312" s="5">
        <f>_xlfn.XLOOKUP(CustomerCombined[[#This Row],[ID]], Table4[ID], Table4[Premium], "Not Found", 0)</f>
        <v>77</v>
      </c>
      <c r="Q312" s="5">
        <f>_xlfn.XLOOKUP(CustomerCombined[[#This Row],[ID]], Table4[ID], Table4[Regular], "Not Found", 0)</f>
        <v>2595</v>
      </c>
      <c r="R312" s="5">
        <f>_xlfn.XLOOKUP(CustomerCombined[[#This Row],[ID]], Table4[ID], Table4[Deals], "Not Found", 0)</f>
        <v>1</v>
      </c>
      <c r="S312" s="5">
        <f>_xlfn.XLOOKUP(CustomerCombined[[#This Row],[ID]], Table4[ID], Table4[Website], "Not Found", 0)</f>
        <v>2</v>
      </c>
      <c r="T312" s="5">
        <f>_xlfn.XLOOKUP(CustomerCombined[[#This Row],[ID]], Table4[ID], Table4[Catalog], "Not Found", 0)</f>
        <v>8</v>
      </c>
      <c r="U312" s="5">
        <f>_xlfn.XLOOKUP(CustomerCombined[[#This Row],[ID]], Table4[ID], Table4[Store], "Not Found", 0)</f>
        <v>6</v>
      </c>
      <c r="V312" s="5">
        <f>_xlfn.XLOOKUP(CustomerCombined[[#This Row],[ID]], Table4[ID], Table4[Visits], "Not Found", 0)</f>
        <v>1</v>
      </c>
      <c r="W312" s="8">
        <f>_xlfn.XLOOKUP(CustomerCombined[[#This Row],[ID]], Table2[ID],Table2[Complaint], "Not Found", 0 )</f>
        <v>0</v>
      </c>
      <c r="X312" s="8">
        <f>_xlfn.XLOOKUP(CustomerCombined[[#This Row],[ID]], Table2[ID],Table2[Pilot], "Not Found", 0 )</f>
        <v>0</v>
      </c>
      <c r="Y312" s="8">
        <f>_xlfn.XLOOKUP(CustomerCombined[[#This Row],[ID]], Table2[ID],Table2[MC1], "Not Found", 0 )</f>
        <v>0</v>
      </c>
      <c r="Z312" s="8">
        <f>_xlfn.XLOOKUP(CustomerCombined[[#This Row],[ID]], Table2[ID],Table2[MC2], "Not Found", 0 )</f>
        <v>0</v>
      </c>
      <c r="AA312" s="8">
        <f>_xlfn.XLOOKUP(CustomerCombined[[#This Row],[ID]], Table2[ID],Table2[MC3], "Not Found", 0 )</f>
        <v>0</v>
      </c>
      <c r="AB312" s="8">
        <f>_xlfn.XLOOKUP(CustomerCombined[[#This Row],[ID]], Table2[ID],Table2[MC4], "Not Found", 0 )</f>
        <v>0</v>
      </c>
      <c r="AC312" s="8">
        <f>_xlfn.XLOOKUP(CustomerCombined[[#This Row],[ID]], Table2[ID],Table2[MC5], "Not Found", 0 )</f>
        <v>0</v>
      </c>
    </row>
    <row r="313" spans="1:29" x14ac:dyDescent="0.3">
      <c r="A313" s="6">
        <v>2742</v>
      </c>
      <c r="B313" s="6">
        <v>171853</v>
      </c>
      <c r="C313" s="6">
        <v>0</v>
      </c>
      <c r="D313" s="6">
        <v>0</v>
      </c>
      <c r="E313" s="6">
        <v>38</v>
      </c>
      <c r="F313" s="5" t="s">
        <v>8</v>
      </c>
      <c r="G313" s="5" t="s">
        <v>11</v>
      </c>
      <c r="H313" s="3" t="s">
        <v>263</v>
      </c>
      <c r="I313" s="5" t="s">
        <v>436</v>
      </c>
      <c r="J313" s="5">
        <f>_xlfn.XLOOKUP(CustomerCombined[[#This Row],[ID]], Table4[ID], Table4[Recency], "Not Found", 0)</f>
        <v>29</v>
      </c>
      <c r="K313" s="5">
        <f>_xlfn.XLOOKUP(CustomerCombined[[#This Row],[ID]], Table4[ID], Table4[Teas], "Not Found", 0)</f>
        <v>856</v>
      </c>
      <c r="L313" s="5">
        <f>_xlfn.XLOOKUP(CustomerCombined[[#This Row],[ID]], Table4[ID], Table4[Fruits], "Not Found", 0)</f>
        <v>258</v>
      </c>
      <c r="M313" s="5">
        <f>_xlfn.XLOOKUP(CustomerCombined[[#This Row],[ID]], Table4[ID], Table4[Meats], "Not Found", 0)</f>
        <v>988</v>
      </c>
      <c r="N313" s="5">
        <f>_xlfn.XLOOKUP(CustomerCombined[[#This Row],[ID]], Table4[ID], Table4[Seafood], "Not Found", 0)</f>
        <v>337</v>
      </c>
      <c r="O313" s="5">
        <f>_xlfn.XLOOKUP(CustomerCombined[[#This Row],[ID]], Table4[ID], Table4[Sweets], "Not Found", 0)</f>
        <v>232</v>
      </c>
      <c r="P313" s="5">
        <f>_xlfn.XLOOKUP(CustomerCombined[[#This Row],[ID]], Table4[ID], Table4[Premium], "Not Found", 0)</f>
        <v>77</v>
      </c>
      <c r="Q313" s="5">
        <f>_xlfn.XLOOKUP(CustomerCombined[[#This Row],[ID]], Table4[ID], Table4[Regular], "Not Found", 0)</f>
        <v>2595</v>
      </c>
      <c r="R313" s="5">
        <f>_xlfn.XLOOKUP(CustomerCombined[[#This Row],[ID]], Table4[ID], Table4[Deals], "Not Found", 0)</f>
        <v>1</v>
      </c>
      <c r="S313" s="5">
        <f>_xlfn.XLOOKUP(CustomerCombined[[#This Row],[ID]], Table4[ID], Table4[Website], "Not Found", 0)</f>
        <v>2</v>
      </c>
      <c r="T313" s="5">
        <f>_xlfn.XLOOKUP(CustomerCombined[[#This Row],[ID]], Table4[ID], Table4[Catalog], "Not Found", 0)</f>
        <v>8</v>
      </c>
      <c r="U313" s="5">
        <f>_xlfn.XLOOKUP(CustomerCombined[[#This Row],[ID]], Table4[ID], Table4[Store], "Not Found", 0)</f>
        <v>6</v>
      </c>
      <c r="V313" s="5">
        <f>_xlfn.XLOOKUP(CustomerCombined[[#This Row],[ID]], Table4[ID], Table4[Visits], "Not Found", 0)</f>
        <v>1</v>
      </c>
      <c r="W313" s="8">
        <f>_xlfn.XLOOKUP(CustomerCombined[[#This Row],[ID]], Table2[ID],Table2[Complaint], "Not Found", 0 )</f>
        <v>0</v>
      </c>
      <c r="X313" s="8">
        <f>_xlfn.XLOOKUP(CustomerCombined[[#This Row],[ID]], Table2[ID],Table2[Pilot], "Not Found", 0 )</f>
        <v>0</v>
      </c>
      <c r="Y313" s="8">
        <f>_xlfn.XLOOKUP(CustomerCombined[[#This Row],[ID]], Table2[ID],Table2[MC1], "Not Found", 0 )</f>
        <v>0</v>
      </c>
      <c r="Z313" s="8">
        <f>_xlfn.XLOOKUP(CustomerCombined[[#This Row],[ID]], Table2[ID],Table2[MC2], "Not Found", 0 )</f>
        <v>0</v>
      </c>
      <c r="AA313" s="8">
        <f>_xlfn.XLOOKUP(CustomerCombined[[#This Row],[ID]], Table2[ID],Table2[MC3], "Not Found", 0 )</f>
        <v>0</v>
      </c>
      <c r="AB313" s="8">
        <f>_xlfn.XLOOKUP(CustomerCombined[[#This Row],[ID]], Table2[ID],Table2[MC4], "Not Found", 0 )</f>
        <v>0</v>
      </c>
      <c r="AC313" s="8">
        <f>_xlfn.XLOOKUP(CustomerCombined[[#This Row],[ID]], Table2[ID],Table2[MC5], "Not Found", 0 )</f>
        <v>0</v>
      </c>
    </row>
    <row r="314" spans="1:29" x14ac:dyDescent="0.3">
      <c r="A314" s="6">
        <v>2424</v>
      </c>
      <c r="B314" s="6">
        <v>170038</v>
      </c>
      <c r="C314" s="6">
        <v>0</v>
      </c>
      <c r="D314" s="6">
        <v>0</v>
      </c>
      <c r="E314" s="6">
        <v>38</v>
      </c>
      <c r="F314" s="5" t="s">
        <v>8</v>
      </c>
      <c r="G314" s="5" t="s">
        <v>13</v>
      </c>
      <c r="H314" s="3" t="s">
        <v>157</v>
      </c>
      <c r="I314" s="5" t="s">
        <v>436</v>
      </c>
      <c r="J314" s="5">
        <f>_xlfn.XLOOKUP(CustomerCombined[[#This Row],[ID]], Table4[ID], Table4[Recency], "Not Found", 0)</f>
        <v>54</v>
      </c>
      <c r="K314" s="5">
        <f>_xlfn.XLOOKUP(CustomerCombined[[#This Row],[ID]], Table4[ID], Table4[Teas], "Not Found", 0)</f>
        <v>1425</v>
      </c>
      <c r="L314" s="5">
        <f>_xlfn.XLOOKUP(CustomerCombined[[#This Row],[ID]], Table4[ID], Table4[Fruits], "Not Found", 0)</f>
        <v>131</v>
      </c>
      <c r="M314" s="5">
        <f>_xlfn.XLOOKUP(CustomerCombined[[#This Row],[ID]], Table4[ID], Table4[Meats], "Not Found", 0)</f>
        <v>845</v>
      </c>
      <c r="N314" s="5">
        <f>_xlfn.XLOOKUP(CustomerCombined[[#This Row],[ID]], Table4[ID], Table4[Seafood], "Not Found", 0)</f>
        <v>172</v>
      </c>
      <c r="O314" s="5">
        <f>_xlfn.XLOOKUP(CustomerCombined[[#This Row],[ID]], Table4[ID], Table4[Sweets], "Not Found", 0)</f>
        <v>131</v>
      </c>
      <c r="P314" s="5">
        <f>_xlfn.XLOOKUP(CustomerCombined[[#This Row],[ID]], Table4[ID], Table4[Premium], "Not Found", 0)</f>
        <v>316</v>
      </c>
      <c r="Q314" s="5">
        <f>_xlfn.XLOOKUP(CustomerCombined[[#This Row],[ID]], Table4[ID], Table4[Regular], "Not Found", 0)</f>
        <v>2389</v>
      </c>
      <c r="R314" s="5">
        <f>_xlfn.XLOOKUP(CustomerCombined[[#This Row],[ID]], Table4[ID], Table4[Deals], "Not Found", 0)</f>
        <v>1</v>
      </c>
      <c r="S314" s="5">
        <f>_xlfn.XLOOKUP(CustomerCombined[[#This Row],[ID]], Table4[ID], Table4[Website], "Not Found", 0)</f>
        <v>4</v>
      </c>
      <c r="T314" s="5">
        <f>_xlfn.XLOOKUP(CustomerCombined[[#This Row],[ID]], Table4[ID], Table4[Catalog], "Not Found", 0)</f>
        <v>4</v>
      </c>
      <c r="U314" s="5">
        <f>_xlfn.XLOOKUP(CustomerCombined[[#This Row],[ID]], Table4[ID], Table4[Store], "Not Found", 0)</f>
        <v>8</v>
      </c>
      <c r="V314" s="5">
        <f>_xlfn.XLOOKUP(CustomerCombined[[#This Row],[ID]], Table4[ID], Table4[Visits], "Not Found", 0)</f>
        <v>2</v>
      </c>
      <c r="W314" s="8">
        <f>_xlfn.XLOOKUP(CustomerCombined[[#This Row],[ID]], Table2[ID],Table2[Complaint], "Not Found", 0 )</f>
        <v>0</v>
      </c>
      <c r="X314" s="8">
        <f>_xlfn.XLOOKUP(CustomerCombined[[#This Row],[ID]], Table2[ID],Table2[Pilot], "Not Found", 0 )</f>
        <v>0</v>
      </c>
      <c r="Y314" s="8">
        <f>_xlfn.XLOOKUP(CustomerCombined[[#This Row],[ID]], Table2[ID],Table2[MC1], "Not Found", 0 )</f>
        <v>0</v>
      </c>
      <c r="Z314" s="8">
        <f>_xlfn.XLOOKUP(CustomerCombined[[#This Row],[ID]], Table2[ID],Table2[MC2], "Not Found", 0 )</f>
        <v>0</v>
      </c>
      <c r="AA314" s="8">
        <f>_xlfn.XLOOKUP(CustomerCombined[[#This Row],[ID]], Table2[ID],Table2[MC3], "Not Found", 0 )</f>
        <v>0</v>
      </c>
      <c r="AB314" s="8">
        <f>_xlfn.XLOOKUP(CustomerCombined[[#This Row],[ID]], Table2[ID],Table2[MC4], "Not Found", 0 )</f>
        <v>0</v>
      </c>
      <c r="AC314" s="8">
        <f>_xlfn.XLOOKUP(CustomerCombined[[#This Row],[ID]], Table2[ID],Table2[MC5], "Not Found", 0 )</f>
        <v>0</v>
      </c>
    </row>
    <row r="315" spans="1:29" x14ac:dyDescent="0.3">
      <c r="A315" s="6">
        <v>3035</v>
      </c>
      <c r="B315" s="6">
        <v>170038</v>
      </c>
      <c r="C315" s="6">
        <v>0</v>
      </c>
      <c r="D315" s="6">
        <v>0</v>
      </c>
      <c r="E315" s="6">
        <v>38</v>
      </c>
      <c r="F315" s="5" t="s">
        <v>8</v>
      </c>
      <c r="G315" s="5" t="s">
        <v>13</v>
      </c>
      <c r="H315" s="3" t="s">
        <v>157</v>
      </c>
      <c r="I315" s="5" t="s">
        <v>434</v>
      </c>
      <c r="J315" s="5">
        <f>_xlfn.XLOOKUP(CustomerCombined[[#This Row],[ID]], Table4[ID], Table4[Recency], "Not Found", 0)</f>
        <v>54</v>
      </c>
      <c r="K315" s="5">
        <f>_xlfn.XLOOKUP(CustomerCombined[[#This Row],[ID]], Table4[ID], Table4[Teas], "Not Found", 0)</f>
        <v>1425</v>
      </c>
      <c r="L315" s="5">
        <f>_xlfn.XLOOKUP(CustomerCombined[[#This Row],[ID]], Table4[ID], Table4[Fruits], "Not Found", 0)</f>
        <v>131</v>
      </c>
      <c r="M315" s="5">
        <f>_xlfn.XLOOKUP(CustomerCombined[[#This Row],[ID]], Table4[ID], Table4[Meats], "Not Found", 0)</f>
        <v>845</v>
      </c>
      <c r="N315" s="5">
        <f>_xlfn.XLOOKUP(CustomerCombined[[#This Row],[ID]], Table4[ID], Table4[Seafood], "Not Found", 0)</f>
        <v>172</v>
      </c>
      <c r="O315" s="5">
        <f>_xlfn.XLOOKUP(CustomerCombined[[#This Row],[ID]], Table4[ID], Table4[Sweets], "Not Found", 0)</f>
        <v>131</v>
      </c>
      <c r="P315" s="5">
        <f>_xlfn.XLOOKUP(CustomerCombined[[#This Row],[ID]], Table4[ID], Table4[Premium], "Not Found", 0)</f>
        <v>316</v>
      </c>
      <c r="Q315" s="5">
        <f>_xlfn.XLOOKUP(CustomerCombined[[#This Row],[ID]], Table4[ID], Table4[Regular], "Not Found", 0)</f>
        <v>2389</v>
      </c>
      <c r="R315" s="5">
        <f>_xlfn.XLOOKUP(CustomerCombined[[#This Row],[ID]], Table4[ID], Table4[Deals], "Not Found", 0)</f>
        <v>1</v>
      </c>
      <c r="S315" s="5">
        <f>_xlfn.XLOOKUP(CustomerCombined[[#This Row],[ID]], Table4[ID], Table4[Website], "Not Found", 0)</f>
        <v>4</v>
      </c>
      <c r="T315" s="5">
        <f>_xlfn.XLOOKUP(CustomerCombined[[#This Row],[ID]], Table4[ID], Table4[Catalog], "Not Found", 0)</f>
        <v>4</v>
      </c>
      <c r="U315" s="5">
        <f>_xlfn.XLOOKUP(CustomerCombined[[#This Row],[ID]], Table4[ID], Table4[Store], "Not Found", 0)</f>
        <v>8</v>
      </c>
      <c r="V315" s="5">
        <f>_xlfn.XLOOKUP(CustomerCombined[[#This Row],[ID]], Table4[ID], Table4[Visits], "Not Found", 0)</f>
        <v>2</v>
      </c>
      <c r="W315" s="8">
        <f>_xlfn.XLOOKUP(CustomerCombined[[#This Row],[ID]], Table2[ID],Table2[Complaint], "Not Found", 0 )</f>
        <v>0</v>
      </c>
      <c r="X315" s="8">
        <f>_xlfn.XLOOKUP(CustomerCombined[[#This Row],[ID]], Table2[ID],Table2[Pilot], "Not Found", 0 )</f>
        <v>0</v>
      </c>
      <c r="Y315" s="8">
        <f>_xlfn.XLOOKUP(CustomerCombined[[#This Row],[ID]], Table2[ID],Table2[MC1], "Not Found", 0 )</f>
        <v>0</v>
      </c>
      <c r="Z315" s="8">
        <f>_xlfn.XLOOKUP(CustomerCombined[[#This Row],[ID]], Table2[ID],Table2[MC2], "Not Found", 0 )</f>
        <v>0</v>
      </c>
      <c r="AA315" s="8">
        <f>_xlfn.XLOOKUP(CustomerCombined[[#This Row],[ID]], Table2[ID],Table2[MC3], "Not Found", 0 )</f>
        <v>0</v>
      </c>
      <c r="AB315" s="8">
        <f>_xlfn.XLOOKUP(CustomerCombined[[#This Row],[ID]], Table2[ID],Table2[MC4], "Not Found", 0 )</f>
        <v>0</v>
      </c>
      <c r="AC315" s="8">
        <f>_xlfn.XLOOKUP(CustomerCombined[[#This Row],[ID]], Table2[ID],Table2[MC5], "Not Found", 0 )</f>
        <v>0</v>
      </c>
    </row>
    <row r="316" spans="1:29" x14ac:dyDescent="0.3">
      <c r="A316" s="6">
        <v>2334</v>
      </c>
      <c r="B316" s="6">
        <v>169109</v>
      </c>
      <c r="C316" s="6">
        <v>0</v>
      </c>
      <c r="D316" s="6">
        <v>0</v>
      </c>
      <c r="E316" s="6">
        <v>38</v>
      </c>
      <c r="F316" s="5" t="s">
        <v>6</v>
      </c>
      <c r="G316" s="5" t="s">
        <v>11</v>
      </c>
      <c r="H316" s="3" t="s">
        <v>366</v>
      </c>
      <c r="I316" s="5" t="s">
        <v>436</v>
      </c>
      <c r="J316" s="5">
        <f>_xlfn.XLOOKUP(CustomerCombined[[#This Row],[ID]], Table4[ID], Table4[Recency], "Not Found", 0)</f>
        <v>10</v>
      </c>
      <c r="K316" s="5">
        <f>_xlfn.XLOOKUP(CustomerCombined[[#This Row],[ID]], Table4[ID], Table4[Teas], "Not Found", 0)</f>
        <v>2014</v>
      </c>
      <c r="L316" s="5">
        <f>_xlfn.XLOOKUP(CustomerCombined[[#This Row],[ID]], Table4[ID], Table4[Fruits], "Not Found", 0)</f>
        <v>61</v>
      </c>
      <c r="M316" s="5">
        <f>_xlfn.XLOOKUP(CustomerCombined[[#This Row],[ID]], Table4[ID], Table4[Meats], "Not Found", 0)</f>
        <v>1123</v>
      </c>
      <c r="N316" s="5">
        <f>_xlfn.XLOOKUP(CustomerCombined[[#This Row],[ID]], Table4[ID], Table4[Seafood], "Not Found", 0)</f>
        <v>303</v>
      </c>
      <c r="O316" s="5">
        <f>_xlfn.XLOOKUP(CustomerCombined[[#This Row],[ID]], Table4[ID], Table4[Sweets], "Not Found", 0)</f>
        <v>71</v>
      </c>
      <c r="P316" s="5">
        <f>_xlfn.XLOOKUP(CustomerCombined[[#This Row],[ID]], Table4[ID], Table4[Premium], "Not Found", 0)</f>
        <v>232</v>
      </c>
      <c r="Q316" s="5">
        <f>_xlfn.XLOOKUP(CustomerCombined[[#This Row],[ID]], Table4[ID], Table4[Regular], "Not Found", 0)</f>
        <v>3340</v>
      </c>
      <c r="R316" s="5">
        <f>_xlfn.XLOOKUP(CustomerCombined[[#This Row],[ID]], Table4[ID], Table4[Deals], "Not Found", 0)</f>
        <v>1</v>
      </c>
      <c r="S316" s="5">
        <f>_xlfn.XLOOKUP(CustomerCombined[[#This Row],[ID]], Table4[ID], Table4[Website], "Not Found", 0)</f>
        <v>6</v>
      </c>
      <c r="T316" s="5">
        <f>_xlfn.XLOOKUP(CustomerCombined[[#This Row],[ID]], Table4[ID], Table4[Catalog], "Not Found", 0)</f>
        <v>6</v>
      </c>
      <c r="U316" s="5">
        <f>_xlfn.XLOOKUP(CustomerCombined[[#This Row],[ID]], Table4[ID], Table4[Store], "Not Found", 0)</f>
        <v>7</v>
      </c>
      <c r="V316" s="5">
        <f>_xlfn.XLOOKUP(CustomerCombined[[#This Row],[ID]], Table4[ID], Table4[Visits], "Not Found", 0)</f>
        <v>4</v>
      </c>
      <c r="W316" s="8">
        <f>_xlfn.XLOOKUP(CustomerCombined[[#This Row],[ID]], Table2[ID],Table2[Complaint], "Not Found", 0 )</f>
        <v>0</v>
      </c>
      <c r="X316" s="8">
        <f>_xlfn.XLOOKUP(CustomerCombined[[#This Row],[ID]], Table2[ID],Table2[Pilot], "Not Found", 0 )</f>
        <v>1</v>
      </c>
      <c r="Y316" s="8">
        <f>_xlfn.XLOOKUP(CustomerCombined[[#This Row],[ID]], Table2[ID],Table2[MC1], "Not Found", 0 )</f>
        <v>0</v>
      </c>
      <c r="Z316" s="8">
        <f>_xlfn.XLOOKUP(CustomerCombined[[#This Row],[ID]], Table2[ID],Table2[MC2], "Not Found", 0 )</f>
        <v>0</v>
      </c>
      <c r="AA316" s="8">
        <f>_xlfn.XLOOKUP(CustomerCombined[[#This Row],[ID]], Table2[ID],Table2[MC3], "Not Found", 0 )</f>
        <v>0</v>
      </c>
      <c r="AB316" s="8">
        <f>_xlfn.XLOOKUP(CustomerCombined[[#This Row],[ID]], Table2[ID],Table2[MC4], "Not Found", 0 )</f>
        <v>0</v>
      </c>
      <c r="AC316" s="8">
        <f>_xlfn.XLOOKUP(CustomerCombined[[#This Row],[ID]], Table2[ID],Table2[MC5], "Not Found", 0 )</f>
        <v>1</v>
      </c>
    </row>
    <row r="317" spans="1:29" x14ac:dyDescent="0.3">
      <c r="A317" s="6">
        <v>2839</v>
      </c>
      <c r="B317" s="6">
        <v>169109</v>
      </c>
      <c r="C317" s="6">
        <v>0</v>
      </c>
      <c r="D317" s="6">
        <v>0</v>
      </c>
      <c r="E317" s="6">
        <v>38</v>
      </c>
      <c r="F317" s="5" t="s">
        <v>6</v>
      </c>
      <c r="G317" s="5" t="s">
        <v>11</v>
      </c>
      <c r="H317" s="3" t="s">
        <v>366</v>
      </c>
      <c r="I317" s="5" t="s">
        <v>437</v>
      </c>
      <c r="J317" s="5">
        <f>_xlfn.XLOOKUP(CustomerCombined[[#This Row],[ID]], Table4[ID], Table4[Recency], "Not Found", 0)</f>
        <v>10</v>
      </c>
      <c r="K317" s="5">
        <f>_xlfn.XLOOKUP(CustomerCombined[[#This Row],[ID]], Table4[ID], Table4[Teas], "Not Found", 0)</f>
        <v>2014</v>
      </c>
      <c r="L317" s="5">
        <f>_xlfn.XLOOKUP(CustomerCombined[[#This Row],[ID]], Table4[ID], Table4[Fruits], "Not Found", 0)</f>
        <v>61</v>
      </c>
      <c r="M317" s="5">
        <f>_xlfn.XLOOKUP(CustomerCombined[[#This Row],[ID]], Table4[ID], Table4[Meats], "Not Found", 0)</f>
        <v>1123</v>
      </c>
      <c r="N317" s="5">
        <f>_xlfn.XLOOKUP(CustomerCombined[[#This Row],[ID]], Table4[ID], Table4[Seafood], "Not Found", 0)</f>
        <v>303</v>
      </c>
      <c r="O317" s="5">
        <f>_xlfn.XLOOKUP(CustomerCombined[[#This Row],[ID]], Table4[ID], Table4[Sweets], "Not Found", 0)</f>
        <v>71</v>
      </c>
      <c r="P317" s="5">
        <f>_xlfn.XLOOKUP(CustomerCombined[[#This Row],[ID]], Table4[ID], Table4[Premium], "Not Found", 0)</f>
        <v>232</v>
      </c>
      <c r="Q317" s="5">
        <f>_xlfn.XLOOKUP(CustomerCombined[[#This Row],[ID]], Table4[ID], Table4[Regular], "Not Found", 0)</f>
        <v>3340</v>
      </c>
      <c r="R317" s="5">
        <f>_xlfn.XLOOKUP(CustomerCombined[[#This Row],[ID]], Table4[ID], Table4[Deals], "Not Found", 0)</f>
        <v>1</v>
      </c>
      <c r="S317" s="5">
        <f>_xlfn.XLOOKUP(CustomerCombined[[#This Row],[ID]], Table4[ID], Table4[Website], "Not Found", 0)</f>
        <v>6</v>
      </c>
      <c r="T317" s="5">
        <f>_xlfn.XLOOKUP(CustomerCombined[[#This Row],[ID]], Table4[ID], Table4[Catalog], "Not Found", 0)</f>
        <v>6</v>
      </c>
      <c r="U317" s="5">
        <f>_xlfn.XLOOKUP(CustomerCombined[[#This Row],[ID]], Table4[ID], Table4[Store], "Not Found", 0)</f>
        <v>7</v>
      </c>
      <c r="V317" s="5">
        <f>_xlfn.XLOOKUP(CustomerCombined[[#This Row],[ID]], Table4[ID], Table4[Visits], "Not Found", 0)</f>
        <v>4</v>
      </c>
      <c r="W317" s="8">
        <f>_xlfn.XLOOKUP(CustomerCombined[[#This Row],[ID]], Table2[ID],Table2[Complaint], "Not Found", 0 )</f>
        <v>0</v>
      </c>
      <c r="X317" s="8">
        <f>_xlfn.XLOOKUP(CustomerCombined[[#This Row],[ID]], Table2[ID],Table2[Pilot], "Not Found", 0 )</f>
        <v>1</v>
      </c>
      <c r="Y317" s="8">
        <f>_xlfn.XLOOKUP(CustomerCombined[[#This Row],[ID]], Table2[ID],Table2[MC1], "Not Found", 0 )</f>
        <v>0</v>
      </c>
      <c r="Z317" s="8">
        <f>_xlfn.XLOOKUP(CustomerCombined[[#This Row],[ID]], Table2[ID],Table2[MC2], "Not Found", 0 )</f>
        <v>0</v>
      </c>
      <c r="AA317" s="8">
        <f>_xlfn.XLOOKUP(CustomerCombined[[#This Row],[ID]], Table2[ID],Table2[MC3], "Not Found", 0 )</f>
        <v>0</v>
      </c>
      <c r="AB317" s="8">
        <f>_xlfn.XLOOKUP(CustomerCombined[[#This Row],[ID]], Table2[ID],Table2[MC4], "Not Found", 0 )</f>
        <v>0</v>
      </c>
      <c r="AC317" s="8">
        <f>_xlfn.XLOOKUP(CustomerCombined[[#This Row],[ID]], Table2[ID],Table2[MC5], "Not Found", 0 )</f>
        <v>1</v>
      </c>
    </row>
    <row r="318" spans="1:29" x14ac:dyDescent="0.3">
      <c r="A318" s="6">
        <v>1285</v>
      </c>
      <c r="B318" s="6">
        <v>168627</v>
      </c>
      <c r="C318" s="6">
        <v>0</v>
      </c>
      <c r="D318" s="6">
        <v>0</v>
      </c>
      <c r="E318" s="6">
        <v>38</v>
      </c>
      <c r="F318" s="5" t="s">
        <v>7</v>
      </c>
      <c r="G318" s="5" t="s">
        <v>11</v>
      </c>
      <c r="H318" s="3" t="s">
        <v>328</v>
      </c>
      <c r="I318" s="5" t="s">
        <v>437</v>
      </c>
      <c r="J318" s="5">
        <f>_xlfn.XLOOKUP(CustomerCombined[[#This Row],[ID]], Table4[ID], Table4[Recency], "Not Found", 0)</f>
        <v>45</v>
      </c>
      <c r="K318" s="5">
        <f>_xlfn.XLOOKUP(CustomerCombined[[#This Row],[ID]], Table4[ID], Table4[Teas], "Not Found", 0)</f>
        <v>971</v>
      </c>
      <c r="L318" s="5">
        <f>_xlfn.XLOOKUP(CustomerCombined[[#This Row],[ID]], Table4[ID], Table4[Fruits], "Not Found", 0)</f>
        <v>37</v>
      </c>
      <c r="M318" s="5">
        <f>_xlfn.XLOOKUP(CustomerCombined[[#This Row],[ID]], Table4[ID], Table4[Meats], "Not Found", 0)</f>
        <v>646</v>
      </c>
      <c r="N318" s="5">
        <f>_xlfn.XLOOKUP(CustomerCombined[[#This Row],[ID]], Table4[ID], Table4[Seafood], "Not Found", 0)</f>
        <v>147</v>
      </c>
      <c r="O318" s="5">
        <f>_xlfn.XLOOKUP(CustomerCombined[[#This Row],[ID]], Table4[ID], Table4[Sweets], "Not Found", 0)</f>
        <v>133</v>
      </c>
      <c r="P318" s="5">
        <f>_xlfn.XLOOKUP(CustomerCombined[[#This Row],[ID]], Table4[ID], Table4[Premium], "Not Found", 0)</f>
        <v>93</v>
      </c>
      <c r="Q318" s="5">
        <f>_xlfn.XLOOKUP(CustomerCombined[[#This Row],[ID]], Table4[ID], Table4[Regular], "Not Found", 0)</f>
        <v>1840</v>
      </c>
      <c r="R318" s="5">
        <f>_xlfn.XLOOKUP(CustomerCombined[[#This Row],[ID]], Table4[ID], Table4[Deals], "Not Found", 0)</f>
        <v>1</v>
      </c>
      <c r="S318" s="5">
        <f>_xlfn.XLOOKUP(CustomerCombined[[#This Row],[ID]], Table4[ID], Table4[Website], "Not Found", 0)</f>
        <v>2</v>
      </c>
      <c r="T318" s="5">
        <f>_xlfn.XLOOKUP(CustomerCombined[[#This Row],[ID]], Table4[ID], Table4[Catalog], "Not Found", 0)</f>
        <v>3</v>
      </c>
      <c r="U318" s="5">
        <f>_xlfn.XLOOKUP(CustomerCombined[[#This Row],[ID]], Table4[ID], Table4[Store], "Not Found", 0)</f>
        <v>6</v>
      </c>
      <c r="V318" s="5">
        <f>_xlfn.XLOOKUP(CustomerCombined[[#This Row],[ID]], Table4[ID], Table4[Visits], "Not Found", 0)</f>
        <v>1</v>
      </c>
      <c r="W318" s="8">
        <f>_xlfn.XLOOKUP(CustomerCombined[[#This Row],[ID]], Table2[ID],Table2[Complaint], "Not Found", 0 )</f>
        <v>0</v>
      </c>
      <c r="X318" s="8">
        <f>_xlfn.XLOOKUP(CustomerCombined[[#This Row],[ID]], Table2[ID],Table2[Pilot], "Not Found", 0 )</f>
        <v>0</v>
      </c>
      <c r="Y318" s="8">
        <f>_xlfn.XLOOKUP(CustomerCombined[[#This Row],[ID]], Table2[ID],Table2[MC1], "Not Found", 0 )</f>
        <v>0</v>
      </c>
      <c r="Z318" s="8">
        <f>_xlfn.XLOOKUP(CustomerCombined[[#This Row],[ID]], Table2[ID],Table2[MC2], "Not Found", 0 )</f>
        <v>0</v>
      </c>
      <c r="AA318" s="8">
        <f>_xlfn.XLOOKUP(CustomerCombined[[#This Row],[ID]], Table2[ID],Table2[MC3], "Not Found", 0 )</f>
        <v>0</v>
      </c>
      <c r="AB318" s="8">
        <f>_xlfn.XLOOKUP(CustomerCombined[[#This Row],[ID]], Table2[ID],Table2[MC4], "Not Found", 0 )</f>
        <v>0</v>
      </c>
      <c r="AC318" s="8">
        <f>_xlfn.XLOOKUP(CustomerCombined[[#This Row],[ID]], Table2[ID],Table2[MC5], "Not Found", 0 )</f>
        <v>0</v>
      </c>
    </row>
    <row r="319" spans="1:29" x14ac:dyDescent="0.3">
      <c r="A319" s="6">
        <v>1443</v>
      </c>
      <c r="B319" s="6">
        <v>166664</v>
      </c>
      <c r="C319" s="6">
        <v>0</v>
      </c>
      <c r="D319" s="6">
        <v>0</v>
      </c>
      <c r="E319" s="6">
        <v>38</v>
      </c>
      <c r="F319" s="5" t="s">
        <v>8</v>
      </c>
      <c r="G319" s="5" t="s">
        <v>442</v>
      </c>
      <c r="H319" s="3">
        <v>43499</v>
      </c>
      <c r="I319" s="5" t="s">
        <v>435</v>
      </c>
      <c r="J319" s="5">
        <f>_xlfn.XLOOKUP(CustomerCombined[[#This Row],[ID]], Table4[ID], Table4[Recency], "Not Found", 0)</f>
        <v>78</v>
      </c>
      <c r="K319" s="5">
        <f>_xlfn.XLOOKUP(CustomerCombined[[#This Row],[ID]], Table4[ID], Table4[Teas], "Not Found", 0)</f>
        <v>995</v>
      </c>
      <c r="L319" s="5">
        <f>_xlfn.XLOOKUP(CustomerCombined[[#This Row],[ID]], Table4[ID], Table4[Fruits], "Not Found", 0)</f>
        <v>240</v>
      </c>
      <c r="M319" s="5">
        <f>_xlfn.XLOOKUP(CustomerCombined[[#This Row],[ID]], Table4[ID], Table4[Meats], "Not Found", 0)</f>
        <v>1118</v>
      </c>
      <c r="N319" s="5">
        <f>_xlfn.XLOOKUP(CustomerCombined[[#This Row],[ID]], Table4[ID], Table4[Seafood], "Not Found", 0)</f>
        <v>550</v>
      </c>
      <c r="O319" s="5">
        <f>_xlfn.XLOOKUP(CustomerCombined[[#This Row],[ID]], Table4[ID], Table4[Sweets], "Not Found", 0)</f>
        <v>240</v>
      </c>
      <c r="P319" s="5">
        <f>_xlfn.XLOOKUP(CustomerCombined[[#This Row],[ID]], Table4[ID], Table4[Premium], "Not Found", 0)</f>
        <v>80</v>
      </c>
      <c r="Q319" s="5">
        <f>_xlfn.XLOOKUP(CustomerCombined[[#This Row],[ID]], Table4[ID], Table4[Regular], "Not Found", 0)</f>
        <v>3063</v>
      </c>
      <c r="R319" s="5">
        <f>_xlfn.XLOOKUP(CustomerCombined[[#This Row],[ID]], Table4[ID], Table4[Deals], "Not Found", 0)</f>
        <v>1</v>
      </c>
      <c r="S319" s="5">
        <f>_xlfn.XLOOKUP(CustomerCombined[[#This Row],[ID]], Table4[ID], Table4[Website], "Not Found", 0)</f>
        <v>5</v>
      </c>
      <c r="T319" s="5">
        <f>_xlfn.XLOOKUP(CustomerCombined[[#This Row],[ID]], Table4[ID], Table4[Catalog], "Not Found", 0)</f>
        <v>7</v>
      </c>
      <c r="U319" s="5">
        <f>_xlfn.XLOOKUP(CustomerCombined[[#This Row],[ID]], Table4[ID], Table4[Store], "Not Found", 0)</f>
        <v>6</v>
      </c>
      <c r="V319" s="5">
        <f>_xlfn.XLOOKUP(CustomerCombined[[#This Row],[ID]], Table4[ID], Table4[Visits], "Not Found", 0)</f>
        <v>3</v>
      </c>
      <c r="W319" s="8">
        <f>_xlfn.XLOOKUP(CustomerCombined[[#This Row],[ID]], Table2[ID],Table2[Complaint], "Not Found", 0 )</f>
        <v>0</v>
      </c>
      <c r="X319" s="8">
        <f>_xlfn.XLOOKUP(CustomerCombined[[#This Row],[ID]], Table2[ID],Table2[Pilot], "Not Found", 0 )</f>
        <v>0</v>
      </c>
      <c r="Y319" s="8">
        <f>_xlfn.XLOOKUP(CustomerCombined[[#This Row],[ID]], Table2[ID],Table2[MC1], "Not Found", 0 )</f>
        <v>0</v>
      </c>
      <c r="Z319" s="8">
        <f>_xlfn.XLOOKUP(CustomerCombined[[#This Row],[ID]], Table2[ID],Table2[MC2], "Not Found", 0 )</f>
        <v>0</v>
      </c>
      <c r="AA319" s="8">
        <f>_xlfn.XLOOKUP(CustomerCombined[[#This Row],[ID]], Table2[ID],Table2[MC3], "Not Found", 0 )</f>
        <v>0</v>
      </c>
      <c r="AB319" s="8">
        <f>_xlfn.XLOOKUP(CustomerCombined[[#This Row],[ID]], Table2[ID],Table2[MC4], "Not Found", 0 )</f>
        <v>0</v>
      </c>
      <c r="AC319" s="8">
        <f>_xlfn.XLOOKUP(CustomerCombined[[#This Row],[ID]], Table2[ID],Table2[MC5], "Not Found", 0 )</f>
        <v>0</v>
      </c>
    </row>
    <row r="320" spans="1:29" x14ac:dyDescent="0.3">
      <c r="A320" s="6">
        <v>2598</v>
      </c>
      <c r="B320" s="6">
        <v>166664</v>
      </c>
      <c r="C320" s="6">
        <v>0</v>
      </c>
      <c r="D320" s="6">
        <v>0</v>
      </c>
      <c r="E320" s="6">
        <v>38</v>
      </c>
      <c r="F320" s="5" t="s">
        <v>8</v>
      </c>
      <c r="G320" s="5" t="s">
        <v>442</v>
      </c>
      <c r="H320" s="3">
        <v>43499</v>
      </c>
      <c r="I320" s="5" t="s">
        <v>436</v>
      </c>
      <c r="J320" s="5">
        <f>_xlfn.XLOOKUP(CustomerCombined[[#This Row],[ID]], Table4[ID], Table4[Recency], "Not Found", 0)</f>
        <v>78</v>
      </c>
      <c r="K320" s="5">
        <f>_xlfn.XLOOKUP(CustomerCombined[[#This Row],[ID]], Table4[ID], Table4[Teas], "Not Found", 0)</f>
        <v>995</v>
      </c>
      <c r="L320" s="5">
        <f>_xlfn.XLOOKUP(CustomerCombined[[#This Row],[ID]], Table4[ID], Table4[Fruits], "Not Found", 0)</f>
        <v>240</v>
      </c>
      <c r="M320" s="5">
        <f>_xlfn.XLOOKUP(CustomerCombined[[#This Row],[ID]], Table4[ID], Table4[Meats], "Not Found", 0)</f>
        <v>1118</v>
      </c>
      <c r="N320" s="5">
        <f>_xlfn.XLOOKUP(CustomerCombined[[#This Row],[ID]], Table4[ID], Table4[Seafood], "Not Found", 0)</f>
        <v>550</v>
      </c>
      <c r="O320" s="5">
        <f>_xlfn.XLOOKUP(CustomerCombined[[#This Row],[ID]], Table4[ID], Table4[Sweets], "Not Found", 0)</f>
        <v>240</v>
      </c>
      <c r="P320" s="5">
        <f>_xlfn.XLOOKUP(CustomerCombined[[#This Row],[ID]], Table4[ID], Table4[Premium], "Not Found", 0)</f>
        <v>80</v>
      </c>
      <c r="Q320" s="5">
        <f>_xlfn.XLOOKUP(CustomerCombined[[#This Row],[ID]], Table4[ID], Table4[Regular], "Not Found", 0)</f>
        <v>3063</v>
      </c>
      <c r="R320" s="5">
        <f>_xlfn.XLOOKUP(CustomerCombined[[#This Row],[ID]], Table4[ID], Table4[Deals], "Not Found", 0)</f>
        <v>1</v>
      </c>
      <c r="S320" s="5">
        <f>_xlfn.XLOOKUP(CustomerCombined[[#This Row],[ID]], Table4[ID], Table4[Website], "Not Found", 0)</f>
        <v>5</v>
      </c>
      <c r="T320" s="5">
        <f>_xlfn.XLOOKUP(CustomerCombined[[#This Row],[ID]], Table4[ID], Table4[Catalog], "Not Found", 0)</f>
        <v>7</v>
      </c>
      <c r="U320" s="5">
        <f>_xlfn.XLOOKUP(CustomerCombined[[#This Row],[ID]], Table4[ID], Table4[Store], "Not Found", 0)</f>
        <v>6</v>
      </c>
      <c r="V320" s="5">
        <f>_xlfn.XLOOKUP(CustomerCombined[[#This Row],[ID]], Table4[ID], Table4[Visits], "Not Found", 0)</f>
        <v>3</v>
      </c>
      <c r="W320" s="8">
        <f>_xlfn.XLOOKUP(CustomerCombined[[#This Row],[ID]], Table2[ID],Table2[Complaint], "Not Found", 0 )</f>
        <v>0</v>
      </c>
      <c r="X320" s="8">
        <f>_xlfn.XLOOKUP(CustomerCombined[[#This Row],[ID]], Table2[ID],Table2[Pilot], "Not Found", 0 )</f>
        <v>0</v>
      </c>
      <c r="Y320" s="8">
        <f>_xlfn.XLOOKUP(CustomerCombined[[#This Row],[ID]], Table2[ID],Table2[MC1], "Not Found", 0 )</f>
        <v>0</v>
      </c>
      <c r="Z320" s="8">
        <f>_xlfn.XLOOKUP(CustomerCombined[[#This Row],[ID]], Table2[ID],Table2[MC2], "Not Found", 0 )</f>
        <v>0</v>
      </c>
      <c r="AA320" s="8">
        <f>_xlfn.XLOOKUP(CustomerCombined[[#This Row],[ID]], Table2[ID],Table2[MC3], "Not Found", 0 )</f>
        <v>0</v>
      </c>
      <c r="AB320" s="8">
        <f>_xlfn.XLOOKUP(CustomerCombined[[#This Row],[ID]], Table2[ID],Table2[MC4], "Not Found", 0 )</f>
        <v>0</v>
      </c>
      <c r="AC320" s="8">
        <f>_xlfn.XLOOKUP(CustomerCombined[[#This Row],[ID]], Table2[ID],Table2[MC5], "Not Found", 0 )</f>
        <v>0</v>
      </c>
    </row>
    <row r="321" spans="1:29" x14ac:dyDescent="0.3">
      <c r="A321" s="6">
        <v>2288</v>
      </c>
      <c r="B321" s="6">
        <v>165169</v>
      </c>
      <c r="C321" s="6">
        <v>0</v>
      </c>
      <c r="D321" s="6">
        <v>0</v>
      </c>
      <c r="E321" s="6">
        <v>38</v>
      </c>
      <c r="F321" s="5" t="s">
        <v>6</v>
      </c>
      <c r="G321" s="5" t="s">
        <v>11</v>
      </c>
      <c r="H321" s="3" t="s">
        <v>116</v>
      </c>
      <c r="I321" s="5" t="s">
        <v>438</v>
      </c>
      <c r="J321" s="5">
        <f>_xlfn.XLOOKUP(CustomerCombined[[#This Row],[ID]], Table4[ID], Table4[Recency], "Not Found", 0)</f>
        <v>23</v>
      </c>
      <c r="K321" s="5">
        <f>_xlfn.XLOOKUP(CustomerCombined[[#This Row],[ID]], Table4[ID], Table4[Teas], "Not Found", 0)</f>
        <v>2722</v>
      </c>
      <c r="L321" s="5">
        <f>_xlfn.XLOOKUP(CustomerCombined[[#This Row],[ID]], Table4[ID], Table4[Fruits], "Not Found", 0)</f>
        <v>0</v>
      </c>
      <c r="M321" s="5">
        <f>_xlfn.XLOOKUP(CustomerCombined[[#This Row],[ID]], Table4[ID], Table4[Meats], "Not Found", 0)</f>
        <v>175</v>
      </c>
      <c r="N321" s="5">
        <f>_xlfn.XLOOKUP(CustomerCombined[[#This Row],[ID]], Table4[ID], Table4[Seafood], "Not Found", 0)</f>
        <v>0</v>
      </c>
      <c r="O321" s="5">
        <f>_xlfn.XLOOKUP(CustomerCombined[[#This Row],[ID]], Table4[ID], Table4[Sweets], "Not Found", 0)</f>
        <v>0</v>
      </c>
      <c r="P321" s="5">
        <f>_xlfn.XLOOKUP(CustomerCombined[[#This Row],[ID]], Table4[ID], Table4[Premium], "Not Found", 0)</f>
        <v>117</v>
      </c>
      <c r="Q321" s="5">
        <f>_xlfn.XLOOKUP(CustomerCombined[[#This Row],[ID]], Table4[ID], Table4[Regular], "Not Found", 0)</f>
        <v>2780</v>
      </c>
      <c r="R321" s="5">
        <f>_xlfn.XLOOKUP(CustomerCombined[[#This Row],[ID]], Table4[ID], Table4[Deals], "Not Found", 0)</f>
        <v>1</v>
      </c>
      <c r="S321" s="5">
        <f>_xlfn.XLOOKUP(CustomerCombined[[#This Row],[ID]], Table4[ID], Table4[Website], "Not Found", 0)</f>
        <v>10</v>
      </c>
      <c r="T321" s="5">
        <f>_xlfn.XLOOKUP(CustomerCombined[[#This Row],[ID]], Table4[ID], Table4[Catalog], "Not Found", 0)</f>
        <v>4</v>
      </c>
      <c r="U321" s="5">
        <f>_xlfn.XLOOKUP(CustomerCombined[[#This Row],[ID]], Table4[ID], Table4[Store], "Not Found", 0)</f>
        <v>13</v>
      </c>
      <c r="V321" s="5">
        <f>_xlfn.XLOOKUP(CustomerCombined[[#This Row],[ID]], Table4[ID], Table4[Visits], "Not Found", 0)</f>
        <v>6</v>
      </c>
      <c r="W321" s="8">
        <f>_xlfn.XLOOKUP(CustomerCombined[[#This Row],[ID]], Table2[ID],Table2[Complaint], "Not Found", 0 )</f>
        <v>0</v>
      </c>
      <c r="X321" s="8">
        <f>_xlfn.XLOOKUP(CustomerCombined[[#This Row],[ID]], Table2[ID],Table2[Pilot], "Not Found", 0 )</f>
        <v>1</v>
      </c>
      <c r="Y321" s="8">
        <f>_xlfn.XLOOKUP(CustomerCombined[[#This Row],[ID]], Table2[ID],Table2[MC1], "Not Found", 0 )</f>
        <v>1</v>
      </c>
      <c r="Z321" s="8">
        <f>_xlfn.XLOOKUP(CustomerCombined[[#This Row],[ID]], Table2[ID],Table2[MC2], "Not Found", 0 )</f>
        <v>1</v>
      </c>
      <c r="AA321" s="8">
        <f>_xlfn.XLOOKUP(CustomerCombined[[#This Row],[ID]], Table2[ID],Table2[MC3], "Not Found", 0 )</f>
        <v>1</v>
      </c>
      <c r="AB321" s="8">
        <f>_xlfn.XLOOKUP(CustomerCombined[[#This Row],[ID]], Table2[ID],Table2[MC4], "Not Found", 0 )</f>
        <v>0</v>
      </c>
      <c r="AC321" s="8">
        <f>_xlfn.XLOOKUP(CustomerCombined[[#This Row],[ID]], Table2[ID],Table2[MC5], "Not Found", 0 )</f>
        <v>1</v>
      </c>
    </row>
    <row r="322" spans="1:29" x14ac:dyDescent="0.3">
      <c r="A322" s="6">
        <v>2921</v>
      </c>
      <c r="B322" s="6">
        <v>163211</v>
      </c>
      <c r="C322" s="6">
        <v>0</v>
      </c>
      <c r="D322" s="6">
        <v>0</v>
      </c>
      <c r="E322" s="6">
        <v>38</v>
      </c>
      <c r="F322" s="5" t="s">
        <v>6</v>
      </c>
      <c r="G322" s="5" t="s">
        <v>11</v>
      </c>
      <c r="H322" s="3">
        <v>43712</v>
      </c>
      <c r="I322" s="5" t="s">
        <v>434</v>
      </c>
      <c r="J322" s="5">
        <f>_xlfn.XLOOKUP(CustomerCombined[[#This Row],[ID]], Table4[ID], Table4[Recency], "Not Found", 0)</f>
        <v>3</v>
      </c>
      <c r="K322" s="5">
        <f>_xlfn.XLOOKUP(CustomerCombined[[#This Row],[ID]], Table4[ID], Table4[Teas], "Not Found", 0)</f>
        <v>374</v>
      </c>
      <c r="L322" s="5">
        <f>_xlfn.XLOOKUP(CustomerCombined[[#This Row],[ID]], Table4[ID], Table4[Fruits], "Not Found", 0)</f>
        <v>498</v>
      </c>
      <c r="M322" s="5">
        <f>_xlfn.XLOOKUP(CustomerCombined[[#This Row],[ID]], Table4[ID], Table4[Meats], "Not Found", 0)</f>
        <v>1185</v>
      </c>
      <c r="N322" s="5">
        <f>_xlfn.XLOOKUP(CustomerCombined[[#This Row],[ID]], Table4[ID], Table4[Seafood], "Not Found", 0)</f>
        <v>529</v>
      </c>
      <c r="O322" s="5">
        <f>_xlfn.XLOOKUP(CustomerCombined[[#This Row],[ID]], Table4[ID], Table4[Sweets], "Not Found", 0)</f>
        <v>67</v>
      </c>
      <c r="P322" s="5">
        <f>_xlfn.XLOOKUP(CustomerCombined[[#This Row],[ID]], Table4[ID], Table4[Premium], "Not Found", 0)</f>
        <v>374</v>
      </c>
      <c r="Q322" s="5">
        <f>_xlfn.XLOOKUP(CustomerCombined[[#This Row],[ID]], Table4[ID], Table4[Regular], "Not Found", 0)</f>
        <v>2280</v>
      </c>
      <c r="R322" s="5">
        <f>_xlfn.XLOOKUP(CustomerCombined[[#This Row],[ID]], Table4[ID], Table4[Deals], "Not Found", 0)</f>
        <v>2</v>
      </c>
      <c r="S322" s="5">
        <f>_xlfn.XLOOKUP(CustomerCombined[[#This Row],[ID]], Table4[ID], Table4[Website], "Not Found", 0)</f>
        <v>3</v>
      </c>
      <c r="T322" s="5">
        <f>_xlfn.XLOOKUP(CustomerCombined[[#This Row],[ID]], Table4[ID], Table4[Catalog], "Not Found", 0)</f>
        <v>8</v>
      </c>
      <c r="U322" s="5">
        <f>_xlfn.XLOOKUP(CustomerCombined[[#This Row],[ID]], Table4[ID], Table4[Store], "Not Found", 0)</f>
        <v>7</v>
      </c>
      <c r="V322" s="5">
        <f>_xlfn.XLOOKUP(CustomerCombined[[#This Row],[ID]], Table4[ID], Table4[Visits], "Not Found", 0)</f>
        <v>2</v>
      </c>
      <c r="W322" s="8">
        <f>_xlfn.XLOOKUP(CustomerCombined[[#This Row],[ID]], Table2[ID],Table2[Complaint], "Not Found", 0 )</f>
        <v>0</v>
      </c>
      <c r="X322" s="8">
        <f>_xlfn.XLOOKUP(CustomerCombined[[#This Row],[ID]], Table2[ID],Table2[Pilot], "Not Found", 0 )</f>
        <v>1</v>
      </c>
      <c r="Y322" s="8">
        <f>_xlfn.XLOOKUP(CustomerCombined[[#This Row],[ID]], Table2[ID],Table2[MC1], "Not Found", 0 )</f>
        <v>0</v>
      </c>
      <c r="Z322" s="8">
        <f>_xlfn.XLOOKUP(CustomerCombined[[#This Row],[ID]], Table2[ID],Table2[MC2], "Not Found", 0 )</f>
        <v>0</v>
      </c>
      <c r="AA322" s="8">
        <f>_xlfn.XLOOKUP(CustomerCombined[[#This Row],[ID]], Table2[ID],Table2[MC3], "Not Found", 0 )</f>
        <v>0</v>
      </c>
      <c r="AB322" s="8">
        <f>_xlfn.XLOOKUP(CustomerCombined[[#This Row],[ID]], Table2[ID],Table2[MC4], "Not Found", 0 )</f>
        <v>0</v>
      </c>
      <c r="AC322" s="8">
        <f>_xlfn.XLOOKUP(CustomerCombined[[#This Row],[ID]], Table2[ID],Table2[MC5], "Not Found", 0 )</f>
        <v>0</v>
      </c>
    </row>
    <row r="323" spans="1:29" x14ac:dyDescent="0.3">
      <c r="A323" s="6">
        <v>3014</v>
      </c>
      <c r="B323" s="6">
        <v>161416</v>
      </c>
      <c r="C323" s="6">
        <v>0</v>
      </c>
      <c r="D323" s="6">
        <v>0</v>
      </c>
      <c r="E323" s="6">
        <v>38</v>
      </c>
      <c r="F323" s="5" t="s">
        <v>8</v>
      </c>
      <c r="G323" s="5" t="s">
        <v>11</v>
      </c>
      <c r="H323" s="3" t="s">
        <v>315</v>
      </c>
      <c r="I323" s="5" t="s">
        <v>438</v>
      </c>
      <c r="J323" s="5">
        <f>_xlfn.XLOOKUP(CustomerCombined[[#This Row],[ID]], Table4[ID], Table4[Recency], "Not Found", 0)</f>
        <v>25</v>
      </c>
      <c r="K323" s="5">
        <f>_xlfn.XLOOKUP(CustomerCombined[[#This Row],[ID]], Table4[ID], Table4[Teas], "Not Found", 0)</f>
        <v>2229</v>
      </c>
      <c r="L323" s="5">
        <f>_xlfn.XLOOKUP(CustomerCombined[[#This Row],[ID]], Table4[ID], Table4[Fruits], "Not Found", 0)</f>
        <v>405</v>
      </c>
      <c r="M323" s="5">
        <f>_xlfn.XLOOKUP(CustomerCombined[[#This Row],[ID]], Table4[ID], Table4[Meats], "Not Found", 0)</f>
        <v>849</v>
      </c>
      <c r="N323" s="5">
        <f>_xlfn.XLOOKUP(CustomerCombined[[#This Row],[ID]], Table4[ID], Table4[Seafood], "Not Found", 0)</f>
        <v>528</v>
      </c>
      <c r="O323" s="5">
        <f>_xlfn.XLOOKUP(CustomerCombined[[#This Row],[ID]], Table4[ID], Table4[Sweets], "Not Found", 0)</f>
        <v>160</v>
      </c>
      <c r="P323" s="5">
        <f>_xlfn.XLOOKUP(CustomerCombined[[#This Row],[ID]], Table4[ID], Table4[Premium], "Not Found", 0)</f>
        <v>205</v>
      </c>
      <c r="Q323" s="5">
        <f>_xlfn.XLOOKUP(CustomerCombined[[#This Row],[ID]], Table4[ID], Table4[Regular], "Not Found", 0)</f>
        <v>3966</v>
      </c>
      <c r="R323" s="5">
        <f>_xlfn.XLOOKUP(CustomerCombined[[#This Row],[ID]], Table4[ID], Table4[Deals], "Not Found", 0)</f>
        <v>1</v>
      </c>
      <c r="S323" s="5">
        <f>_xlfn.XLOOKUP(CustomerCombined[[#This Row],[ID]], Table4[ID], Table4[Website], "Not Found", 0)</f>
        <v>10</v>
      </c>
      <c r="T323" s="5">
        <f>_xlfn.XLOOKUP(CustomerCombined[[#This Row],[ID]], Table4[ID], Table4[Catalog], "Not Found", 0)</f>
        <v>3</v>
      </c>
      <c r="U323" s="5">
        <f>_xlfn.XLOOKUP(CustomerCombined[[#This Row],[ID]], Table4[ID], Table4[Store], "Not Found", 0)</f>
        <v>10</v>
      </c>
      <c r="V323" s="5">
        <f>_xlfn.XLOOKUP(CustomerCombined[[#This Row],[ID]], Table4[ID], Table4[Visits], "Not Found", 0)</f>
        <v>6</v>
      </c>
      <c r="W323" s="8">
        <f>_xlfn.XLOOKUP(CustomerCombined[[#This Row],[ID]], Table2[ID],Table2[Complaint], "Not Found", 0 )</f>
        <v>0</v>
      </c>
      <c r="X323" s="8">
        <f>_xlfn.XLOOKUP(CustomerCombined[[#This Row],[ID]], Table2[ID],Table2[Pilot], "Not Found", 0 )</f>
        <v>0</v>
      </c>
      <c r="Y323" s="8">
        <f>_xlfn.XLOOKUP(CustomerCombined[[#This Row],[ID]], Table2[ID],Table2[MC1], "Not Found", 0 )</f>
        <v>0</v>
      </c>
      <c r="Z323" s="8">
        <f>_xlfn.XLOOKUP(CustomerCombined[[#This Row],[ID]], Table2[ID],Table2[MC2], "Not Found", 0 )</f>
        <v>0</v>
      </c>
      <c r="AA323" s="8">
        <f>_xlfn.XLOOKUP(CustomerCombined[[#This Row],[ID]], Table2[ID],Table2[MC3], "Not Found", 0 )</f>
        <v>1</v>
      </c>
      <c r="AB323" s="8">
        <f>_xlfn.XLOOKUP(CustomerCombined[[#This Row],[ID]], Table2[ID],Table2[MC4], "Not Found", 0 )</f>
        <v>0</v>
      </c>
      <c r="AC323" s="8">
        <f>_xlfn.XLOOKUP(CustomerCombined[[#This Row],[ID]], Table2[ID],Table2[MC5], "Not Found", 0 )</f>
        <v>0</v>
      </c>
    </row>
    <row r="324" spans="1:29" x14ac:dyDescent="0.3">
      <c r="A324" s="6">
        <v>2791</v>
      </c>
      <c r="B324" s="6">
        <v>158582</v>
      </c>
      <c r="C324" s="6">
        <v>0</v>
      </c>
      <c r="D324" s="6">
        <v>1</v>
      </c>
      <c r="E324" s="6">
        <v>38</v>
      </c>
      <c r="F324" s="5" t="s">
        <v>8</v>
      </c>
      <c r="G324" s="5" t="s">
        <v>442</v>
      </c>
      <c r="H324" s="3">
        <v>43924</v>
      </c>
      <c r="I324" s="5" t="s">
        <v>437</v>
      </c>
      <c r="J324" s="5">
        <f>_xlfn.XLOOKUP(CustomerCombined[[#This Row],[ID]], Table4[ID], Table4[Recency], "Not Found", 0)</f>
        <v>15</v>
      </c>
      <c r="K324" s="5">
        <f>_xlfn.XLOOKUP(CustomerCombined[[#This Row],[ID]], Table4[ID], Table4[Teas], "Not Found", 0)</f>
        <v>1088</v>
      </c>
      <c r="L324" s="5">
        <f>_xlfn.XLOOKUP(CustomerCombined[[#This Row],[ID]], Table4[ID], Table4[Fruits], "Not Found", 0)</f>
        <v>95</v>
      </c>
      <c r="M324" s="5">
        <f>_xlfn.XLOOKUP(CustomerCombined[[#This Row],[ID]], Table4[ID], Table4[Meats], "Not Found", 0)</f>
        <v>287</v>
      </c>
      <c r="N324" s="5">
        <f>_xlfn.XLOOKUP(CustomerCombined[[#This Row],[ID]], Table4[ID], Table4[Seafood], "Not Found", 0)</f>
        <v>273</v>
      </c>
      <c r="O324" s="5">
        <f>_xlfn.XLOOKUP(CustomerCombined[[#This Row],[ID]], Table4[ID], Table4[Sweets], "Not Found", 0)</f>
        <v>208</v>
      </c>
      <c r="P324" s="5">
        <f>_xlfn.XLOOKUP(CustomerCombined[[#This Row],[ID]], Table4[ID], Table4[Premium], "Not Found", 0)</f>
        <v>114</v>
      </c>
      <c r="Q324" s="5">
        <f>_xlfn.XLOOKUP(CustomerCombined[[#This Row],[ID]], Table4[ID], Table4[Regular], "Not Found", 0)</f>
        <v>1838</v>
      </c>
      <c r="R324" s="5">
        <f>_xlfn.XLOOKUP(CustomerCombined[[#This Row],[ID]], Table4[ID], Table4[Deals], "Not Found", 0)</f>
        <v>2</v>
      </c>
      <c r="S324" s="5">
        <f>_xlfn.XLOOKUP(CustomerCombined[[#This Row],[ID]], Table4[ID], Table4[Website], "Not Found", 0)</f>
        <v>9</v>
      </c>
      <c r="T324" s="5">
        <f>_xlfn.XLOOKUP(CustomerCombined[[#This Row],[ID]], Table4[ID], Table4[Catalog], "Not Found", 0)</f>
        <v>2</v>
      </c>
      <c r="U324" s="5">
        <f>_xlfn.XLOOKUP(CustomerCombined[[#This Row],[ID]], Table4[ID], Table4[Store], "Not Found", 0)</f>
        <v>9</v>
      </c>
      <c r="V324" s="5">
        <f>_xlfn.XLOOKUP(CustomerCombined[[#This Row],[ID]], Table4[ID], Table4[Visits], "Not Found", 0)</f>
        <v>5</v>
      </c>
      <c r="W324" s="8">
        <f>_xlfn.XLOOKUP(CustomerCombined[[#This Row],[ID]], Table2[ID],Table2[Complaint], "Not Found", 0 )</f>
        <v>0</v>
      </c>
      <c r="X324" s="8">
        <f>_xlfn.XLOOKUP(CustomerCombined[[#This Row],[ID]], Table2[ID],Table2[Pilot], "Not Found", 0 )</f>
        <v>0</v>
      </c>
      <c r="Y324" s="8">
        <f>_xlfn.XLOOKUP(CustomerCombined[[#This Row],[ID]], Table2[ID],Table2[MC1], "Not Found", 0 )</f>
        <v>0</v>
      </c>
      <c r="Z324" s="8">
        <f>_xlfn.XLOOKUP(CustomerCombined[[#This Row],[ID]], Table2[ID],Table2[MC2], "Not Found", 0 )</f>
        <v>0</v>
      </c>
      <c r="AA324" s="8">
        <f>_xlfn.XLOOKUP(CustomerCombined[[#This Row],[ID]], Table2[ID],Table2[MC3], "Not Found", 0 )</f>
        <v>0</v>
      </c>
      <c r="AB324" s="8">
        <f>_xlfn.XLOOKUP(CustomerCombined[[#This Row],[ID]], Table2[ID],Table2[MC4], "Not Found", 0 )</f>
        <v>1</v>
      </c>
      <c r="AC324" s="8">
        <f>_xlfn.XLOOKUP(CustomerCombined[[#This Row],[ID]], Table2[ID],Table2[MC5], "Not Found", 0 )</f>
        <v>0</v>
      </c>
    </row>
    <row r="325" spans="1:29" x14ac:dyDescent="0.3">
      <c r="A325" s="6">
        <v>1927</v>
      </c>
      <c r="B325" s="6">
        <v>157937</v>
      </c>
      <c r="C325" s="6">
        <v>0</v>
      </c>
      <c r="D325" s="6">
        <v>1</v>
      </c>
      <c r="E325" s="6">
        <v>38</v>
      </c>
      <c r="F325" s="5" t="s">
        <v>6</v>
      </c>
      <c r="G325" s="5" t="s">
        <v>442</v>
      </c>
      <c r="H325" s="3" t="s">
        <v>97</v>
      </c>
      <c r="I325" s="5" t="s">
        <v>437</v>
      </c>
      <c r="J325" s="5">
        <f>_xlfn.XLOOKUP(CustomerCombined[[#This Row],[ID]], Table4[ID], Table4[Recency], "Not Found", 0)</f>
        <v>56</v>
      </c>
      <c r="K325" s="5">
        <f>_xlfn.XLOOKUP(CustomerCombined[[#This Row],[ID]], Table4[ID], Table4[Teas], "Not Found", 0)</f>
        <v>711</v>
      </c>
      <c r="L325" s="5">
        <f>_xlfn.XLOOKUP(CustomerCombined[[#This Row],[ID]], Table4[ID], Table4[Fruits], "Not Found", 0)</f>
        <v>114</v>
      </c>
      <c r="M325" s="5">
        <f>_xlfn.XLOOKUP(CustomerCombined[[#This Row],[ID]], Table4[ID], Table4[Meats], "Not Found", 0)</f>
        <v>393</v>
      </c>
      <c r="N325" s="5">
        <f>_xlfn.XLOOKUP(CustomerCombined[[#This Row],[ID]], Table4[ID], Table4[Seafood], "Not Found", 0)</f>
        <v>150</v>
      </c>
      <c r="O325" s="5">
        <f>_xlfn.XLOOKUP(CustomerCombined[[#This Row],[ID]], Table4[ID], Table4[Sweets], "Not Found", 0)</f>
        <v>131</v>
      </c>
      <c r="P325" s="5">
        <f>_xlfn.XLOOKUP(CustomerCombined[[#This Row],[ID]], Table4[ID], Table4[Premium], "Not Found", 0)</f>
        <v>363</v>
      </c>
      <c r="Q325" s="5">
        <f>_xlfn.XLOOKUP(CustomerCombined[[#This Row],[ID]], Table4[ID], Table4[Regular], "Not Found", 0)</f>
        <v>1137</v>
      </c>
      <c r="R325" s="5">
        <f>_xlfn.XLOOKUP(CustomerCombined[[#This Row],[ID]], Table4[ID], Table4[Deals], "Not Found", 0)</f>
        <v>3</v>
      </c>
      <c r="S325" s="5">
        <f>_xlfn.XLOOKUP(CustomerCombined[[#This Row],[ID]], Table4[ID], Table4[Website], "Not Found", 0)</f>
        <v>4</v>
      </c>
      <c r="T325" s="5">
        <f>_xlfn.XLOOKUP(CustomerCombined[[#This Row],[ID]], Table4[ID], Table4[Catalog], "Not Found", 0)</f>
        <v>4</v>
      </c>
      <c r="U325" s="5">
        <f>_xlfn.XLOOKUP(CustomerCombined[[#This Row],[ID]], Table4[ID], Table4[Store], "Not Found", 0)</f>
        <v>9</v>
      </c>
      <c r="V325" s="5">
        <f>_xlfn.XLOOKUP(CustomerCombined[[#This Row],[ID]], Table4[ID], Table4[Visits], "Not Found", 0)</f>
        <v>3</v>
      </c>
      <c r="W325" s="8">
        <f>_xlfn.XLOOKUP(CustomerCombined[[#This Row],[ID]], Table2[ID],Table2[Complaint], "Not Found", 0 )</f>
        <v>0</v>
      </c>
      <c r="X325" s="8">
        <f>_xlfn.XLOOKUP(CustomerCombined[[#This Row],[ID]], Table2[ID],Table2[Pilot], "Not Found", 0 )</f>
        <v>0</v>
      </c>
      <c r="Y325" s="8">
        <f>_xlfn.XLOOKUP(CustomerCombined[[#This Row],[ID]], Table2[ID],Table2[MC1], "Not Found", 0 )</f>
        <v>0</v>
      </c>
      <c r="Z325" s="8">
        <f>_xlfn.XLOOKUP(CustomerCombined[[#This Row],[ID]], Table2[ID],Table2[MC2], "Not Found", 0 )</f>
        <v>0</v>
      </c>
      <c r="AA325" s="8">
        <f>_xlfn.XLOOKUP(CustomerCombined[[#This Row],[ID]], Table2[ID],Table2[MC3], "Not Found", 0 )</f>
        <v>0</v>
      </c>
      <c r="AB325" s="8">
        <f>_xlfn.XLOOKUP(CustomerCombined[[#This Row],[ID]], Table2[ID],Table2[MC4], "Not Found", 0 )</f>
        <v>0</v>
      </c>
      <c r="AC325" s="8">
        <f>_xlfn.XLOOKUP(CustomerCombined[[#This Row],[ID]], Table2[ID],Table2[MC5], "Not Found", 0 )</f>
        <v>0</v>
      </c>
    </row>
    <row r="326" spans="1:29" x14ac:dyDescent="0.3">
      <c r="A326" s="6">
        <v>1695</v>
      </c>
      <c r="B326" s="6">
        <v>150272</v>
      </c>
      <c r="C326" s="6">
        <v>1</v>
      </c>
      <c r="D326" s="6">
        <v>0</v>
      </c>
      <c r="E326" s="6">
        <v>38</v>
      </c>
      <c r="F326" s="5" t="s">
        <v>8</v>
      </c>
      <c r="G326" s="5" t="s">
        <v>11</v>
      </c>
      <c r="H326" s="3">
        <v>44166</v>
      </c>
      <c r="I326" s="5" t="s">
        <v>435</v>
      </c>
      <c r="J326" s="5">
        <f>_xlfn.XLOOKUP(CustomerCombined[[#This Row],[ID]], Table4[ID], Table4[Recency], "Not Found", 0)</f>
        <v>75</v>
      </c>
      <c r="K326" s="5">
        <f>_xlfn.XLOOKUP(CustomerCombined[[#This Row],[ID]], Table4[ID], Table4[Teas], "Not Found", 0)</f>
        <v>296</v>
      </c>
      <c r="L326" s="5">
        <f>_xlfn.XLOOKUP(CustomerCombined[[#This Row],[ID]], Table4[ID], Table4[Fruits], "Not Found", 0)</f>
        <v>39</v>
      </c>
      <c r="M326" s="5">
        <f>_xlfn.XLOOKUP(CustomerCombined[[#This Row],[ID]], Table4[ID], Table4[Meats], "Not Found", 0)</f>
        <v>197</v>
      </c>
      <c r="N326" s="5">
        <f>_xlfn.XLOOKUP(CustomerCombined[[#This Row],[ID]], Table4[ID], Table4[Seafood], "Not Found", 0)</f>
        <v>129</v>
      </c>
      <c r="O326" s="5">
        <f>_xlfn.XLOOKUP(CustomerCombined[[#This Row],[ID]], Table4[ID], Table4[Sweets], "Not Found", 0)</f>
        <v>24</v>
      </c>
      <c r="P326" s="5">
        <f>_xlfn.XLOOKUP(CustomerCombined[[#This Row],[ID]], Table4[ID], Table4[Premium], "Not Found", 0)</f>
        <v>12</v>
      </c>
      <c r="Q326" s="5">
        <f>_xlfn.XLOOKUP(CustomerCombined[[#This Row],[ID]], Table4[ID], Table4[Regular], "Not Found", 0)</f>
        <v>673</v>
      </c>
      <c r="R326" s="5">
        <f>_xlfn.XLOOKUP(CustomerCombined[[#This Row],[ID]], Table4[ID], Table4[Deals], "Not Found", 0)</f>
        <v>3</v>
      </c>
      <c r="S326" s="5">
        <f>_xlfn.XLOOKUP(CustomerCombined[[#This Row],[ID]], Table4[ID], Table4[Website], "Not Found", 0)</f>
        <v>4</v>
      </c>
      <c r="T326" s="5">
        <f>_xlfn.XLOOKUP(CustomerCombined[[#This Row],[ID]], Table4[ID], Table4[Catalog], "Not Found", 0)</f>
        <v>1</v>
      </c>
      <c r="U326" s="5">
        <f>_xlfn.XLOOKUP(CustomerCombined[[#This Row],[ID]], Table4[ID], Table4[Store], "Not Found", 0)</f>
        <v>5</v>
      </c>
      <c r="V326" s="5">
        <f>_xlfn.XLOOKUP(CustomerCombined[[#This Row],[ID]], Table4[ID], Table4[Visits], "Not Found", 0)</f>
        <v>7</v>
      </c>
      <c r="W326" s="8">
        <f>_xlfn.XLOOKUP(CustomerCombined[[#This Row],[ID]], Table2[ID],Table2[Complaint], "Not Found", 0 )</f>
        <v>0</v>
      </c>
      <c r="X326" s="8">
        <f>_xlfn.XLOOKUP(CustomerCombined[[#This Row],[ID]], Table2[ID],Table2[Pilot], "Not Found", 0 )</f>
        <v>0</v>
      </c>
      <c r="Y326" s="8">
        <f>_xlfn.XLOOKUP(CustomerCombined[[#This Row],[ID]], Table2[ID],Table2[MC1], "Not Found", 0 )</f>
        <v>0</v>
      </c>
      <c r="Z326" s="8">
        <f>_xlfn.XLOOKUP(CustomerCombined[[#This Row],[ID]], Table2[ID],Table2[MC2], "Not Found", 0 )</f>
        <v>0</v>
      </c>
      <c r="AA326" s="8">
        <f>_xlfn.XLOOKUP(CustomerCombined[[#This Row],[ID]], Table2[ID],Table2[MC3], "Not Found", 0 )</f>
        <v>0</v>
      </c>
      <c r="AB326" s="8">
        <f>_xlfn.XLOOKUP(CustomerCombined[[#This Row],[ID]], Table2[ID],Table2[MC4], "Not Found", 0 )</f>
        <v>0</v>
      </c>
      <c r="AC326" s="8">
        <f>_xlfn.XLOOKUP(CustomerCombined[[#This Row],[ID]], Table2[ID],Table2[MC5], "Not Found", 0 )</f>
        <v>0</v>
      </c>
    </row>
    <row r="327" spans="1:29" x14ac:dyDescent="0.3">
      <c r="A327" s="6">
        <v>2552</v>
      </c>
      <c r="B327" s="6">
        <v>145203</v>
      </c>
      <c r="C327" s="6">
        <v>2</v>
      </c>
      <c r="D327" s="6">
        <v>0</v>
      </c>
      <c r="E327" s="6">
        <v>38</v>
      </c>
      <c r="F327" s="5" t="s">
        <v>8</v>
      </c>
      <c r="G327" s="5" t="s">
        <v>11</v>
      </c>
      <c r="H327" s="3" t="s">
        <v>78</v>
      </c>
      <c r="I327" s="5" t="s">
        <v>438</v>
      </c>
      <c r="J327" s="5">
        <f>_xlfn.XLOOKUP(CustomerCombined[[#This Row],[ID]], Table4[ID], Table4[Recency], "Not Found", 0)</f>
        <v>4</v>
      </c>
      <c r="K327" s="5">
        <f>_xlfn.XLOOKUP(CustomerCombined[[#This Row],[ID]], Table4[ID], Table4[Teas], "Not Found", 0)</f>
        <v>112</v>
      </c>
      <c r="L327" s="5">
        <f>_xlfn.XLOOKUP(CustomerCombined[[#This Row],[ID]], Table4[ID], Table4[Fruits], "Not Found", 0)</f>
        <v>10</v>
      </c>
      <c r="M327" s="5">
        <f>_xlfn.XLOOKUP(CustomerCombined[[#This Row],[ID]], Table4[ID], Table4[Meats], "Not Found", 0)</f>
        <v>215</v>
      </c>
      <c r="N327" s="5">
        <f>_xlfn.XLOOKUP(CustomerCombined[[#This Row],[ID]], Table4[ID], Table4[Seafood], "Not Found", 0)</f>
        <v>32</v>
      </c>
      <c r="O327" s="5">
        <f>_xlfn.XLOOKUP(CustomerCombined[[#This Row],[ID]], Table4[ID], Table4[Sweets], "Not Found", 0)</f>
        <v>26</v>
      </c>
      <c r="P327" s="5">
        <f>_xlfn.XLOOKUP(CustomerCombined[[#This Row],[ID]], Table4[ID], Table4[Premium], "Not Found", 0)</f>
        <v>77</v>
      </c>
      <c r="Q327" s="5">
        <f>_xlfn.XLOOKUP(CustomerCombined[[#This Row],[ID]], Table4[ID], Table4[Regular], "Not Found", 0)</f>
        <v>318</v>
      </c>
      <c r="R327" s="5">
        <f>_xlfn.XLOOKUP(CustomerCombined[[#This Row],[ID]], Table4[ID], Table4[Deals], "Not Found", 0)</f>
        <v>1</v>
      </c>
      <c r="S327" s="5">
        <f>_xlfn.XLOOKUP(CustomerCombined[[#This Row],[ID]], Table4[ID], Table4[Website], "Not Found", 0)</f>
        <v>3</v>
      </c>
      <c r="T327" s="5">
        <f>_xlfn.XLOOKUP(CustomerCombined[[#This Row],[ID]], Table4[ID], Table4[Catalog], "Not Found", 0)</f>
        <v>1</v>
      </c>
      <c r="U327" s="5">
        <f>_xlfn.XLOOKUP(CustomerCombined[[#This Row],[ID]], Table4[ID], Table4[Store], "Not Found", 0)</f>
        <v>3</v>
      </c>
      <c r="V327" s="5">
        <f>_xlfn.XLOOKUP(CustomerCombined[[#This Row],[ID]], Table4[ID], Table4[Visits], "Not Found", 0)</f>
        <v>6</v>
      </c>
      <c r="W327" s="8">
        <f>_xlfn.XLOOKUP(CustomerCombined[[#This Row],[ID]], Table2[ID],Table2[Complaint], "Not Found", 0 )</f>
        <v>0</v>
      </c>
      <c r="X327" s="8">
        <f>_xlfn.XLOOKUP(CustomerCombined[[#This Row],[ID]], Table2[ID],Table2[Pilot], "Not Found", 0 )</f>
        <v>1</v>
      </c>
      <c r="Y327" s="8">
        <f>_xlfn.XLOOKUP(CustomerCombined[[#This Row],[ID]], Table2[ID],Table2[MC1], "Not Found", 0 )</f>
        <v>0</v>
      </c>
      <c r="Z327" s="8">
        <f>_xlfn.XLOOKUP(CustomerCombined[[#This Row],[ID]], Table2[ID],Table2[MC2], "Not Found", 0 )</f>
        <v>0</v>
      </c>
      <c r="AA327" s="8">
        <f>_xlfn.XLOOKUP(CustomerCombined[[#This Row],[ID]], Table2[ID],Table2[MC3], "Not Found", 0 )</f>
        <v>0</v>
      </c>
      <c r="AB327" s="8">
        <f>_xlfn.XLOOKUP(CustomerCombined[[#This Row],[ID]], Table2[ID],Table2[MC4], "Not Found", 0 )</f>
        <v>0</v>
      </c>
      <c r="AC327" s="8">
        <f>_xlfn.XLOOKUP(CustomerCombined[[#This Row],[ID]], Table2[ID],Table2[MC5], "Not Found", 0 )</f>
        <v>0</v>
      </c>
    </row>
    <row r="328" spans="1:29" x14ac:dyDescent="0.3">
      <c r="A328" s="6">
        <v>2996</v>
      </c>
      <c r="B328" s="6">
        <v>143815</v>
      </c>
      <c r="C328" s="6">
        <v>1</v>
      </c>
      <c r="D328" s="6">
        <v>0</v>
      </c>
      <c r="E328" s="6">
        <v>38</v>
      </c>
      <c r="F328" s="5" t="s">
        <v>6</v>
      </c>
      <c r="G328" s="5" t="s">
        <v>12</v>
      </c>
      <c r="H328" s="3">
        <v>43747</v>
      </c>
      <c r="I328" s="5" t="s">
        <v>438</v>
      </c>
      <c r="J328" s="5">
        <f>_xlfn.XLOOKUP(CustomerCombined[[#This Row],[ID]], Table4[ID], Table4[Recency], "Not Found", 0)</f>
        <v>53</v>
      </c>
      <c r="K328" s="5">
        <f>_xlfn.XLOOKUP(CustomerCombined[[#This Row],[ID]], Table4[ID], Table4[Teas], "Not Found", 0)</f>
        <v>46</v>
      </c>
      <c r="L328" s="5">
        <f>_xlfn.XLOOKUP(CustomerCombined[[#This Row],[ID]], Table4[ID], Table4[Fruits], "Not Found", 0)</f>
        <v>33</v>
      </c>
      <c r="M328" s="5">
        <f>_xlfn.XLOOKUP(CustomerCombined[[#This Row],[ID]], Table4[ID], Table4[Meats], "Not Found", 0)</f>
        <v>95</v>
      </c>
      <c r="N328" s="5">
        <f>_xlfn.XLOOKUP(CustomerCombined[[#This Row],[ID]], Table4[ID], Table4[Seafood], "Not Found", 0)</f>
        <v>13</v>
      </c>
      <c r="O328" s="5">
        <f>_xlfn.XLOOKUP(CustomerCombined[[#This Row],[ID]], Table4[ID], Table4[Sweets], "Not Found", 0)</f>
        <v>23</v>
      </c>
      <c r="P328" s="5">
        <f>_xlfn.XLOOKUP(CustomerCombined[[#This Row],[ID]], Table4[ID], Table4[Premium], "Not Found", 0)</f>
        <v>49</v>
      </c>
      <c r="Q328" s="5">
        <f>_xlfn.XLOOKUP(CustomerCombined[[#This Row],[ID]], Table4[ID], Table4[Regular], "Not Found", 0)</f>
        <v>161</v>
      </c>
      <c r="R328" s="5">
        <f>_xlfn.XLOOKUP(CustomerCombined[[#This Row],[ID]], Table4[ID], Table4[Deals], "Not Found", 0)</f>
        <v>1</v>
      </c>
      <c r="S328" s="5">
        <f>_xlfn.XLOOKUP(CustomerCombined[[#This Row],[ID]], Table4[ID], Table4[Website], "Not Found", 0)</f>
        <v>2</v>
      </c>
      <c r="T328" s="5">
        <f>_xlfn.XLOOKUP(CustomerCombined[[#This Row],[ID]], Table4[ID], Table4[Catalog], "Not Found", 0)</f>
        <v>0</v>
      </c>
      <c r="U328" s="5">
        <f>_xlfn.XLOOKUP(CustomerCombined[[#This Row],[ID]], Table4[ID], Table4[Store], "Not Found", 0)</f>
        <v>3</v>
      </c>
      <c r="V328" s="5">
        <f>_xlfn.XLOOKUP(CustomerCombined[[#This Row],[ID]], Table4[ID], Table4[Visits], "Not Found", 0)</f>
        <v>6</v>
      </c>
      <c r="W328" s="8">
        <f>_xlfn.XLOOKUP(CustomerCombined[[#This Row],[ID]], Table2[ID],Table2[Complaint], "Not Found", 0 )</f>
        <v>0</v>
      </c>
      <c r="X328" s="8">
        <f>_xlfn.XLOOKUP(CustomerCombined[[#This Row],[ID]], Table2[ID],Table2[Pilot], "Not Found", 0 )</f>
        <v>0</v>
      </c>
      <c r="Y328" s="8">
        <f>_xlfn.XLOOKUP(CustomerCombined[[#This Row],[ID]], Table2[ID],Table2[MC1], "Not Found", 0 )</f>
        <v>0</v>
      </c>
      <c r="Z328" s="8">
        <f>_xlfn.XLOOKUP(CustomerCombined[[#This Row],[ID]], Table2[ID],Table2[MC2], "Not Found", 0 )</f>
        <v>0</v>
      </c>
      <c r="AA328" s="8">
        <f>_xlfn.XLOOKUP(CustomerCombined[[#This Row],[ID]], Table2[ID],Table2[MC3], "Not Found", 0 )</f>
        <v>0</v>
      </c>
      <c r="AB328" s="8">
        <f>_xlfn.XLOOKUP(CustomerCombined[[#This Row],[ID]], Table2[ID],Table2[MC4], "Not Found", 0 )</f>
        <v>0</v>
      </c>
      <c r="AC328" s="8">
        <f>_xlfn.XLOOKUP(CustomerCombined[[#This Row],[ID]], Table2[ID],Table2[MC5], "Not Found", 0 )</f>
        <v>0</v>
      </c>
    </row>
    <row r="329" spans="1:29" x14ac:dyDescent="0.3">
      <c r="A329" s="6">
        <v>2864</v>
      </c>
      <c r="B329" s="6">
        <v>142081</v>
      </c>
      <c r="C329" s="6">
        <v>1</v>
      </c>
      <c r="D329" s="6">
        <v>0</v>
      </c>
      <c r="E329" s="6">
        <v>38</v>
      </c>
      <c r="F329" s="5" t="s">
        <v>6</v>
      </c>
      <c r="G329" s="5" t="s">
        <v>11</v>
      </c>
      <c r="H329" s="3">
        <v>43532</v>
      </c>
      <c r="I329" s="5" t="s">
        <v>438</v>
      </c>
      <c r="J329" s="5">
        <f>_xlfn.XLOOKUP(CustomerCombined[[#This Row],[ID]], Table4[ID], Table4[Recency], "Not Found", 0)</f>
        <v>86</v>
      </c>
      <c r="K329" s="5">
        <f>_xlfn.XLOOKUP(CustomerCombined[[#This Row],[ID]], Table4[ID], Table4[Teas], "Not Found", 0)</f>
        <v>591</v>
      </c>
      <c r="L329" s="5">
        <f>_xlfn.XLOOKUP(CustomerCombined[[#This Row],[ID]], Table4[ID], Table4[Fruits], "Not Found", 0)</f>
        <v>34</v>
      </c>
      <c r="M329" s="5">
        <f>_xlfn.XLOOKUP(CustomerCombined[[#This Row],[ID]], Table4[ID], Table4[Meats], "Not Found", 0)</f>
        <v>371</v>
      </c>
      <c r="N329" s="5">
        <f>_xlfn.XLOOKUP(CustomerCombined[[#This Row],[ID]], Table4[ID], Table4[Seafood], "Not Found", 0)</f>
        <v>182</v>
      </c>
      <c r="O329" s="5">
        <f>_xlfn.XLOOKUP(CustomerCombined[[#This Row],[ID]], Table4[ID], Table4[Sweets], "Not Found", 0)</f>
        <v>20</v>
      </c>
      <c r="P329" s="5">
        <f>_xlfn.XLOOKUP(CustomerCombined[[#This Row],[ID]], Table4[ID], Table4[Premium], "Not Found", 0)</f>
        <v>91</v>
      </c>
      <c r="Q329" s="5">
        <f>_xlfn.XLOOKUP(CustomerCombined[[#This Row],[ID]], Table4[ID], Table4[Regular], "Not Found", 0)</f>
        <v>1107</v>
      </c>
      <c r="R329" s="5">
        <f>_xlfn.XLOOKUP(CustomerCombined[[#This Row],[ID]], Table4[ID], Table4[Deals], "Not Found", 0)</f>
        <v>2</v>
      </c>
      <c r="S329" s="5">
        <f>_xlfn.XLOOKUP(CustomerCombined[[#This Row],[ID]], Table4[ID], Table4[Website], "Not Found", 0)</f>
        <v>6</v>
      </c>
      <c r="T329" s="5">
        <f>_xlfn.XLOOKUP(CustomerCombined[[#This Row],[ID]], Table4[ID], Table4[Catalog], "Not Found", 0)</f>
        <v>3</v>
      </c>
      <c r="U329" s="5">
        <f>_xlfn.XLOOKUP(CustomerCombined[[#This Row],[ID]], Table4[ID], Table4[Store], "Not Found", 0)</f>
        <v>4</v>
      </c>
      <c r="V329" s="5">
        <f>_xlfn.XLOOKUP(CustomerCombined[[#This Row],[ID]], Table4[ID], Table4[Visits], "Not Found", 0)</f>
        <v>6</v>
      </c>
      <c r="W329" s="8">
        <f>_xlfn.XLOOKUP(CustomerCombined[[#This Row],[ID]], Table2[ID],Table2[Complaint], "Not Found", 0 )</f>
        <v>0</v>
      </c>
      <c r="X329" s="8">
        <f>_xlfn.XLOOKUP(CustomerCombined[[#This Row],[ID]], Table2[ID],Table2[Pilot], "Not Found", 0 )</f>
        <v>0</v>
      </c>
      <c r="Y329" s="8">
        <f>_xlfn.XLOOKUP(CustomerCombined[[#This Row],[ID]], Table2[ID],Table2[MC1], "Not Found", 0 )</f>
        <v>0</v>
      </c>
      <c r="Z329" s="8">
        <f>_xlfn.XLOOKUP(CustomerCombined[[#This Row],[ID]], Table2[ID],Table2[MC2], "Not Found", 0 )</f>
        <v>0</v>
      </c>
      <c r="AA329" s="8">
        <f>_xlfn.XLOOKUP(CustomerCombined[[#This Row],[ID]], Table2[ID],Table2[MC3], "Not Found", 0 )</f>
        <v>1</v>
      </c>
      <c r="AB329" s="8">
        <f>_xlfn.XLOOKUP(CustomerCombined[[#This Row],[ID]], Table2[ID],Table2[MC4], "Not Found", 0 )</f>
        <v>0</v>
      </c>
      <c r="AC329" s="8">
        <f>_xlfn.XLOOKUP(CustomerCombined[[#This Row],[ID]], Table2[ID],Table2[MC5], "Not Found", 0 )</f>
        <v>0</v>
      </c>
    </row>
    <row r="330" spans="1:29" x14ac:dyDescent="0.3">
      <c r="A330" s="6">
        <v>1664</v>
      </c>
      <c r="B330" s="6">
        <v>141039</v>
      </c>
      <c r="C330" s="6">
        <v>0</v>
      </c>
      <c r="D330" s="6">
        <v>0</v>
      </c>
      <c r="E330" s="6">
        <v>38</v>
      </c>
      <c r="F330" s="5" t="s">
        <v>8</v>
      </c>
      <c r="G330" s="5" t="s">
        <v>442</v>
      </c>
      <c r="H330" s="3" t="s">
        <v>211</v>
      </c>
      <c r="I330" s="5" t="s">
        <v>438</v>
      </c>
      <c r="J330" s="5">
        <f>_xlfn.XLOOKUP(CustomerCombined[[#This Row],[ID]], Table4[ID], Table4[Recency], "Not Found", 0)</f>
        <v>32</v>
      </c>
      <c r="K330" s="5">
        <f>_xlfn.XLOOKUP(CustomerCombined[[#This Row],[ID]], Table4[ID], Table4[Teas], "Not Found", 0)</f>
        <v>117</v>
      </c>
      <c r="L330" s="5">
        <f>_xlfn.XLOOKUP(CustomerCombined[[#This Row],[ID]], Table4[ID], Table4[Fruits], "Not Found", 0)</f>
        <v>38</v>
      </c>
      <c r="M330" s="5">
        <f>_xlfn.XLOOKUP(CustomerCombined[[#This Row],[ID]], Table4[ID], Table4[Meats], "Not Found", 0)</f>
        <v>471</v>
      </c>
      <c r="N330" s="5">
        <f>_xlfn.XLOOKUP(CustomerCombined[[#This Row],[ID]], Table4[ID], Table4[Seafood], "Not Found", 0)</f>
        <v>615</v>
      </c>
      <c r="O330" s="5">
        <f>_xlfn.XLOOKUP(CustomerCombined[[#This Row],[ID]], Table4[ID], Table4[Sweets], "Not Found", 0)</f>
        <v>210</v>
      </c>
      <c r="P330" s="5">
        <f>_xlfn.XLOOKUP(CustomerCombined[[#This Row],[ID]], Table4[ID], Table4[Premium], "Not Found", 0)</f>
        <v>155</v>
      </c>
      <c r="Q330" s="5">
        <f>_xlfn.XLOOKUP(CustomerCombined[[#This Row],[ID]], Table4[ID], Table4[Regular], "Not Found", 0)</f>
        <v>1296</v>
      </c>
      <c r="R330" s="5">
        <f>_xlfn.XLOOKUP(CustomerCombined[[#This Row],[ID]], Table4[ID], Table4[Deals], "Not Found", 0)</f>
        <v>1</v>
      </c>
      <c r="S330" s="5">
        <f>_xlfn.XLOOKUP(CustomerCombined[[#This Row],[ID]], Table4[ID], Table4[Website], "Not Found", 0)</f>
        <v>8</v>
      </c>
      <c r="T330" s="5">
        <f>_xlfn.XLOOKUP(CustomerCombined[[#This Row],[ID]], Table4[ID], Table4[Catalog], "Not Found", 0)</f>
        <v>1</v>
      </c>
      <c r="U330" s="5">
        <f>_xlfn.XLOOKUP(CustomerCombined[[#This Row],[ID]], Table4[ID], Table4[Store], "Not Found", 0)</f>
        <v>5</v>
      </c>
      <c r="V330" s="5">
        <f>_xlfn.XLOOKUP(CustomerCombined[[#This Row],[ID]], Table4[ID], Table4[Visits], "Not Found", 0)</f>
        <v>8</v>
      </c>
      <c r="W330" s="8">
        <f>_xlfn.XLOOKUP(CustomerCombined[[#This Row],[ID]], Table2[ID],Table2[Complaint], "Not Found", 0 )</f>
        <v>0</v>
      </c>
      <c r="X330" s="8">
        <f>_xlfn.XLOOKUP(CustomerCombined[[#This Row],[ID]], Table2[ID],Table2[Pilot], "Not Found", 0 )</f>
        <v>0</v>
      </c>
      <c r="Y330" s="8">
        <f>_xlfn.XLOOKUP(CustomerCombined[[#This Row],[ID]], Table2[ID],Table2[MC1], "Not Found", 0 )</f>
        <v>0</v>
      </c>
      <c r="Z330" s="8">
        <f>_xlfn.XLOOKUP(CustomerCombined[[#This Row],[ID]], Table2[ID],Table2[MC2], "Not Found", 0 )</f>
        <v>0</v>
      </c>
      <c r="AA330" s="8">
        <f>_xlfn.XLOOKUP(CustomerCombined[[#This Row],[ID]], Table2[ID],Table2[MC3], "Not Found", 0 )</f>
        <v>0</v>
      </c>
      <c r="AB330" s="8">
        <f>_xlfn.XLOOKUP(CustomerCombined[[#This Row],[ID]], Table2[ID],Table2[MC4], "Not Found", 0 )</f>
        <v>0</v>
      </c>
      <c r="AC330" s="8">
        <f>_xlfn.XLOOKUP(CustomerCombined[[#This Row],[ID]], Table2[ID],Table2[MC5], "Not Found", 0 )</f>
        <v>0</v>
      </c>
    </row>
    <row r="331" spans="1:29" x14ac:dyDescent="0.3">
      <c r="A331" s="6">
        <v>2064</v>
      </c>
      <c r="B331" s="6">
        <v>140479</v>
      </c>
      <c r="C331" s="6">
        <v>1</v>
      </c>
      <c r="D331" s="6">
        <v>0</v>
      </c>
      <c r="E331" s="6">
        <v>38</v>
      </c>
      <c r="F331" s="5" t="s">
        <v>8</v>
      </c>
      <c r="G331" s="5" t="s">
        <v>11</v>
      </c>
      <c r="H331" s="3" t="s">
        <v>200</v>
      </c>
      <c r="I331" s="5" t="s">
        <v>436</v>
      </c>
      <c r="J331" s="5">
        <f>_xlfn.XLOOKUP(CustomerCombined[[#This Row],[ID]], Table4[ID], Table4[Recency], "Not Found", 0)</f>
        <v>95</v>
      </c>
      <c r="K331" s="5">
        <f>_xlfn.XLOOKUP(CustomerCombined[[#This Row],[ID]], Table4[ID], Table4[Teas], "Not Found", 0)</f>
        <v>17</v>
      </c>
      <c r="L331" s="5">
        <f>_xlfn.XLOOKUP(CustomerCombined[[#This Row],[ID]], Table4[ID], Table4[Fruits], "Not Found", 0)</f>
        <v>0</v>
      </c>
      <c r="M331" s="5">
        <f>_xlfn.XLOOKUP(CustomerCombined[[#This Row],[ID]], Table4[ID], Table4[Meats], "Not Found", 0)</f>
        <v>28</v>
      </c>
      <c r="N331" s="5">
        <f>_xlfn.XLOOKUP(CustomerCombined[[#This Row],[ID]], Table4[ID], Table4[Seafood], "Not Found", 0)</f>
        <v>7</v>
      </c>
      <c r="O331" s="5">
        <f>_xlfn.XLOOKUP(CustomerCombined[[#This Row],[ID]], Table4[ID], Table4[Sweets], "Not Found", 0)</f>
        <v>0</v>
      </c>
      <c r="P331" s="5">
        <f>_xlfn.XLOOKUP(CustomerCombined[[#This Row],[ID]], Table4[ID], Table4[Premium], "Not Found", 0)</f>
        <v>0</v>
      </c>
      <c r="Q331" s="5">
        <f>_xlfn.XLOOKUP(CustomerCombined[[#This Row],[ID]], Table4[ID], Table4[Regular], "Not Found", 0)</f>
        <v>52</v>
      </c>
      <c r="R331" s="5">
        <f>_xlfn.XLOOKUP(CustomerCombined[[#This Row],[ID]], Table4[ID], Table4[Deals], "Not Found", 0)</f>
        <v>1</v>
      </c>
      <c r="S331" s="5">
        <f>_xlfn.XLOOKUP(CustomerCombined[[#This Row],[ID]], Table4[ID], Table4[Website], "Not Found", 0)</f>
        <v>0</v>
      </c>
      <c r="T331" s="5">
        <f>_xlfn.XLOOKUP(CustomerCombined[[#This Row],[ID]], Table4[ID], Table4[Catalog], "Not Found", 0)</f>
        <v>0</v>
      </c>
      <c r="U331" s="5">
        <f>_xlfn.XLOOKUP(CustomerCombined[[#This Row],[ID]], Table4[ID], Table4[Store], "Not Found", 0)</f>
        <v>3</v>
      </c>
      <c r="V331" s="5">
        <f>_xlfn.XLOOKUP(CustomerCombined[[#This Row],[ID]], Table4[ID], Table4[Visits], "Not Found", 0)</f>
        <v>4</v>
      </c>
      <c r="W331" s="8">
        <f>_xlfn.XLOOKUP(CustomerCombined[[#This Row],[ID]], Table2[ID],Table2[Complaint], "Not Found", 0 )</f>
        <v>0</v>
      </c>
      <c r="X331" s="8">
        <f>_xlfn.XLOOKUP(CustomerCombined[[#This Row],[ID]], Table2[ID],Table2[Pilot], "Not Found", 0 )</f>
        <v>0</v>
      </c>
      <c r="Y331" s="8">
        <f>_xlfn.XLOOKUP(CustomerCombined[[#This Row],[ID]], Table2[ID],Table2[MC1], "Not Found", 0 )</f>
        <v>0</v>
      </c>
      <c r="Z331" s="8">
        <f>_xlfn.XLOOKUP(CustomerCombined[[#This Row],[ID]], Table2[ID],Table2[MC2], "Not Found", 0 )</f>
        <v>0</v>
      </c>
      <c r="AA331" s="8">
        <f>_xlfn.XLOOKUP(CustomerCombined[[#This Row],[ID]], Table2[ID],Table2[MC3], "Not Found", 0 )</f>
        <v>0</v>
      </c>
      <c r="AB331" s="8">
        <f>_xlfn.XLOOKUP(CustomerCombined[[#This Row],[ID]], Table2[ID],Table2[MC4], "Not Found", 0 )</f>
        <v>0</v>
      </c>
      <c r="AC331" s="8">
        <f>_xlfn.XLOOKUP(CustomerCombined[[#This Row],[ID]], Table2[ID],Table2[MC5], "Not Found", 0 )</f>
        <v>0</v>
      </c>
    </row>
    <row r="332" spans="1:29" x14ac:dyDescent="0.3">
      <c r="A332" s="6">
        <v>2319</v>
      </c>
      <c r="B332" s="6">
        <v>139660</v>
      </c>
      <c r="C332" s="6">
        <v>1</v>
      </c>
      <c r="D332" s="6">
        <v>0</v>
      </c>
      <c r="E332" s="6">
        <v>38</v>
      </c>
      <c r="F332" s="5" t="s">
        <v>7</v>
      </c>
      <c r="G332" s="5" t="s">
        <v>11</v>
      </c>
      <c r="H332" s="3" t="s">
        <v>420</v>
      </c>
      <c r="I332" s="5" t="s">
        <v>435</v>
      </c>
      <c r="J332" s="5">
        <f>_xlfn.XLOOKUP(CustomerCombined[[#This Row],[ID]], Table4[ID], Table4[Recency], "Not Found", 0)</f>
        <v>36</v>
      </c>
      <c r="K332" s="5">
        <f>_xlfn.XLOOKUP(CustomerCombined[[#This Row],[ID]], Table4[ID], Table4[Teas], "Not Found", 0)</f>
        <v>489</v>
      </c>
      <c r="L332" s="5">
        <f>_xlfn.XLOOKUP(CustomerCombined[[#This Row],[ID]], Table4[ID], Table4[Fruits], "Not Found", 0)</f>
        <v>46</v>
      </c>
      <c r="M332" s="5">
        <f>_xlfn.XLOOKUP(CustomerCombined[[#This Row],[ID]], Table4[ID], Table4[Meats], "Not Found", 0)</f>
        <v>275</v>
      </c>
      <c r="N332" s="5">
        <f>_xlfn.XLOOKUP(CustomerCombined[[#This Row],[ID]], Table4[ID], Table4[Seafood], "Not Found", 0)</f>
        <v>70</v>
      </c>
      <c r="O332" s="5">
        <f>_xlfn.XLOOKUP(CustomerCombined[[#This Row],[ID]], Table4[ID], Table4[Sweets], "Not Found", 0)</f>
        <v>46</v>
      </c>
      <c r="P332" s="5">
        <f>_xlfn.XLOOKUP(CustomerCombined[[#This Row],[ID]], Table4[ID], Table4[Premium], "Not Found", 0)</f>
        <v>127</v>
      </c>
      <c r="Q332" s="5">
        <f>_xlfn.XLOOKUP(CustomerCombined[[#This Row],[ID]], Table4[ID], Table4[Regular], "Not Found", 0)</f>
        <v>799</v>
      </c>
      <c r="R332" s="5">
        <f>_xlfn.XLOOKUP(CustomerCombined[[#This Row],[ID]], Table4[ID], Table4[Deals], "Not Found", 0)</f>
        <v>3</v>
      </c>
      <c r="S332" s="5">
        <f>_xlfn.XLOOKUP(CustomerCombined[[#This Row],[ID]], Table4[ID], Table4[Website], "Not Found", 0)</f>
        <v>7</v>
      </c>
      <c r="T332" s="5">
        <f>_xlfn.XLOOKUP(CustomerCombined[[#This Row],[ID]], Table4[ID], Table4[Catalog], "Not Found", 0)</f>
        <v>1</v>
      </c>
      <c r="U332" s="5">
        <f>_xlfn.XLOOKUP(CustomerCombined[[#This Row],[ID]], Table4[ID], Table4[Store], "Not Found", 0)</f>
        <v>3</v>
      </c>
      <c r="V332" s="5">
        <f>_xlfn.XLOOKUP(CustomerCombined[[#This Row],[ID]], Table4[ID], Table4[Visits], "Not Found", 0)</f>
        <v>9</v>
      </c>
      <c r="W332" s="8">
        <f>_xlfn.XLOOKUP(CustomerCombined[[#This Row],[ID]], Table2[ID],Table2[Complaint], "Not Found", 0 )</f>
        <v>0</v>
      </c>
      <c r="X332" s="8">
        <f>_xlfn.XLOOKUP(CustomerCombined[[#This Row],[ID]], Table2[ID],Table2[Pilot], "Not Found", 0 )</f>
        <v>1</v>
      </c>
      <c r="Y332" s="8">
        <f>_xlfn.XLOOKUP(CustomerCombined[[#This Row],[ID]], Table2[ID],Table2[MC1], "Not Found", 0 )</f>
        <v>0</v>
      </c>
      <c r="Z332" s="8">
        <f>_xlfn.XLOOKUP(CustomerCombined[[#This Row],[ID]], Table2[ID],Table2[MC2], "Not Found", 0 )</f>
        <v>0</v>
      </c>
      <c r="AA332" s="8">
        <f>_xlfn.XLOOKUP(CustomerCombined[[#This Row],[ID]], Table2[ID],Table2[MC3], "Not Found", 0 )</f>
        <v>0</v>
      </c>
      <c r="AB332" s="8">
        <f>_xlfn.XLOOKUP(CustomerCombined[[#This Row],[ID]], Table2[ID],Table2[MC4], "Not Found", 0 )</f>
        <v>0</v>
      </c>
      <c r="AC332" s="8">
        <f>_xlfn.XLOOKUP(CustomerCombined[[#This Row],[ID]], Table2[ID],Table2[MC5], "Not Found", 0 )</f>
        <v>0</v>
      </c>
    </row>
    <row r="333" spans="1:29" x14ac:dyDescent="0.3">
      <c r="A333" s="6">
        <v>2699</v>
      </c>
      <c r="B333" s="6">
        <v>138513</v>
      </c>
      <c r="C333" s="6">
        <v>1</v>
      </c>
      <c r="D333" s="6">
        <v>0</v>
      </c>
      <c r="E333" s="6">
        <v>38</v>
      </c>
      <c r="F333" s="5" t="s">
        <v>7</v>
      </c>
      <c r="G333" s="5" t="s">
        <v>13</v>
      </c>
      <c r="H333" s="3">
        <v>43928</v>
      </c>
      <c r="I333" s="5" t="s">
        <v>434</v>
      </c>
      <c r="J333" s="5">
        <f>_xlfn.XLOOKUP(CustomerCombined[[#This Row],[ID]], Table4[ID], Table4[Recency], "Not Found", 0)</f>
        <v>20</v>
      </c>
      <c r="K333" s="5">
        <f>_xlfn.XLOOKUP(CustomerCombined[[#This Row],[ID]], Table4[ID], Table4[Teas], "Not Found", 0)</f>
        <v>619</v>
      </c>
      <c r="L333" s="5">
        <f>_xlfn.XLOOKUP(CustomerCombined[[#This Row],[ID]], Table4[ID], Table4[Fruits], "Not Found", 0)</f>
        <v>11</v>
      </c>
      <c r="M333" s="5">
        <f>_xlfn.XLOOKUP(CustomerCombined[[#This Row],[ID]], Table4[ID], Table4[Meats], "Not Found", 0)</f>
        <v>414</v>
      </c>
      <c r="N333" s="5">
        <f>_xlfn.XLOOKUP(CustomerCombined[[#This Row],[ID]], Table4[ID], Table4[Seafood], "Not Found", 0)</f>
        <v>58</v>
      </c>
      <c r="O333" s="5">
        <f>_xlfn.XLOOKUP(CustomerCombined[[#This Row],[ID]], Table4[ID], Table4[Sweets], "Not Found", 0)</f>
        <v>0</v>
      </c>
      <c r="P333" s="5">
        <f>_xlfn.XLOOKUP(CustomerCombined[[#This Row],[ID]], Table4[ID], Table4[Premium], "Not Found", 0)</f>
        <v>65</v>
      </c>
      <c r="Q333" s="5">
        <f>_xlfn.XLOOKUP(CustomerCombined[[#This Row],[ID]], Table4[ID], Table4[Regular], "Not Found", 0)</f>
        <v>1036</v>
      </c>
      <c r="R333" s="5">
        <f>_xlfn.XLOOKUP(CustomerCombined[[#This Row],[ID]], Table4[ID], Table4[Deals], "Not Found", 0)</f>
        <v>5</v>
      </c>
      <c r="S333" s="5">
        <f>_xlfn.XLOOKUP(CustomerCombined[[#This Row],[ID]], Table4[ID], Table4[Website], "Not Found", 0)</f>
        <v>6</v>
      </c>
      <c r="T333" s="5">
        <f>_xlfn.XLOOKUP(CustomerCombined[[#This Row],[ID]], Table4[ID], Table4[Catalog], "Not Found", 0)</f>
        <v>1</v>
      </c>
      <c r="U333" s="5">
        <f>_xlfn.XLOOKUP(CustomerCombined[[#This Row],[ID]], Table4[ID], Table4[Store], "Not Found", 0)</f>
        <v>5</v>
      </c>
      <c r="V333" s="5">
        <f>_xlfn.XLOOKUP(CustomerCombined[[#This Row],[ID]], Table4[ID], Table4[Visits], "Not Found", 0)</f>
        <v>8</v>
      </c>
      <c r="W333" s="8">
        <f>_xlfn.XLOOKUP(CustomerCombined[[#This Row],[ID]], Table2[ID],Table2[Complaint], "Not Found", 0 )</f>
        <v>0</v>
      </c>
      <c r="X333" s="8">
        <f>_xlfn.XLOOKUP(CustomerCombined[[#This Row],[ID]], Table2[ID],Table2[Pilot], "Not Found", 0 )</f>
        <v>1</v>
      </c>
      <c r="Y333" s="8">
        <f>_xlfn.XLOOKUP(CustomerCombined[[#This Row],[ID]], Table2[ID],Table2[MC1], "Not Found", 0 )</f>
        <v>0</v>
      </c>
      <c r="Z333" s="8">
        <f>_xlfn.XLOOKUP(CustomerCombined[[#This Row],[ID]], Table2[ID],Table2[MC2], "Not Found", 0 )</f>
        <v>0</v>
      </c>
      <c r="AA333" s="8">
        <f>_xlfn.XLOOKUP(CustomerCombined[[#This Row],[ID]], Table2[ID],Table2[MC3], "Not Found", 0 )</f>
        <v>0</v>
      </c>
      <c r="AB333" s="8">
        <f>_xlfn.XLOOKUP(CustomerCombined[[#This Row],[ID]], Table2[ID],Table2[MC4], "Not Found", 0 )</f>
        <v>0</v>
      </c>
      <c r="AC333" s="8">
        <f>_xlfn.XLOOKUP(CustomerCombined[[#This Row],[ID]], Table2[ID],Table2[MC5], "Not Found", 0 )</f>
        <v>0</v>
      </c>
    </row>
    <row r="334" spans="1:29" x14ac:dyDescent="0.3">
      <c r="A334" s="6">
        <v>1020</v>
      </c>
      <c r="B334" s="6">
        <v>137040</v>
      </c>
      <c r="C334" s="6">
        <v>0</v>
      </c>
      <c r="D334" s="6">
        <v>0</v>
      </c>
      <c r="E334" s="6">
        <v>38</v>
      </c>
      <c r="F334" s="5" t="s">
        <v>6</v>
      </c>
      <c r="G334" s="5" t="s">
        <v>11</v>
      </c>
      <c r="H334" s="3" t="s">
        <v>420</v>
      </c>
      <c r="I334" s="5" t="s">
        <v>436</v>
      </c>
      <c r="J334" s="5">
        <f>_xlfn.XLOOKUP(CustomerCombined[[#This Row],[ID]], Table4[ID], Table4[Recency], "Not Found", 0)</f>
        <v>41</v>
      </c>
      <c r="K334" s="5">
        <f>_xlfn.XLOOKUP(CustomerCombined[[#This Row],[ID]], Table4[ID], Table4[Teas], "Not Found", 0)</f>
        <v>318</v>
      </c>
      <c r="L334" s="5">
        <f>_xlfn.XLOOKUP(CustomerCombined[[#This Row],[ID]], Table4[ID], Table4[Fruits], "Not Found", 0)</f>
        <v>7</v>
      </c>
      <c r="M334" s="5">
        <f>_xlfn.XLOOKUP(CustomerCombined[[#This Row],[ID]], Table4[ID], Table4[Meats], "Not Found", 0)</f>
        <v>270</v>
      </c>
      <c r="N334" s="5">
        <f>_xlfn.XLOOKUP(CustomerCombined[[#This Row],[ID]], Table4[ID], Table4[Seafood], "Not Found", 0)</f>
        <v>255</v>
      </c>
      <c r="O334" s="5">
        <f>_xlfn.XLOOKUP(CustomerCombined[[#This Row],[ID]], Table4[ID], Table4[Sweets], "Not Found", 0)</f>
        <v>141</v>
      </c>
      <c r="P334" s="5">
        <f>_xlfn.XLOOKUP(CustomerCombined[[#This Row],[ID]], Table4[ID], Table4[Premium], "Not Found", 0)</f>
        <v>178</v>
      </c>
      <c r="Q334" s="5">
        <f>_xlfn.XLOOKUP(CustomerCombined[[#This Row],[ID]], Table4[ID], Table4[Regular], "Not Found", 0)</f>
        <v>814</v>
      </c>
      <c r="R334" s="5">
        <f>_xlfn.XLOOKUP(CustomerCombined[[#This Row],[ID]], Table4[ID], Table4[Deals], "Not Found", 0)</f>
        <v>1</v>
      </c>
      <c r="S334" s="5">
        <f>_xlfn.XLOOKUP(CustomerCombined[[#This Row],[ID]], Table4[ID], Table4[Website], "Not Found", 0)</f>
        <v>4</v>
      </c>
      <c r="T334" s="5">
        <f>_xlfn.XLOOKUP(CustomerCombined[[#This Row],[ID]], Table4[ID], Table4[Catalog], "Not Found", 0)</f>
        <v>2</v>
      </c>
      <c r="U334" s="5">
        <f>_xlfn.XLOOKUP(CustomerCombined[[#This Row],[ID]], Table4[ID], Table4[Store], "Not Found", 0)</f>
        <v>5</v>
      </c>
      <c r="V334" s="5">
        <f>_xlfn.XLOOKUP(CustomerCombined[[#This Row],[ID]], Table4[ID], Table4[Visits], "Not Found", 0)</f>
        <v>8</v>
      </c>
      <c r="W334" s="8">
        <f>_xlfn.XLOOKUP(CustomerCombined[[#This Row],[ID]], Table2[ID],Table2[Complaint], "Not Found", 0 )</f>
        <v>0</v>
      </c>
      <c r="X334" s="8">
        <f>_xlfn.XLOOKUP(CustomerCombined[[#This Row],[ID]], Table2[ID],Table2[Pilot], "Not Found", 0 )</f>
        <v>0</v>
      </c>
      <c r="Y334" s="8">
        <f>_xlfn.XLOOKUP(CustomerCombined[[#This Row],[ID]], Table2[ID],Table2[MC1], "Not Found", 0 )</f>
        <v>0</v>
      </c>
      <c r="Z334" s="8">
        <f>_xlfn.XLOOKUP(CustomerCombined[[#This Row],[ID]], Table2[ID],Table2[MC2], "Not Found", 0 )</f>
        <v>0</v>
      </c>
      <c r="AA334" s="8">
        <f>_xlfn.XLOOKUP(CustomerCombined[[#This Row],[ID]], Table2[ID],Table2[MC3], "Not Found", 0 )</f>
        <v>0</v>
      </c>
      <c r="AB334" s="8">
        <f>_xlfn.XLOOKUP(CustomerCombined[[#This Row],[ID]], Table2[ID],Table2[MC4], "Not Found", 0 )</f>
        <v>0</v>
      </c>
      <c r="AC334" s="8">
        <f>_xlfn.XLOOKUP(CustomerCombined[[#This Row],[ID]], Table2[ID],Table2[MC5], "Not Found", 0 )</f>
        <v>0</v>
      </c>
    </row>
    <row r="335" spans="1:29" x14ac:dyDescent="0.3">
      <c r="A335" s="6">
        <v>2815</v>
      </c>
      <c r="B335" s="6">
        <v>132313</v>
      </c>
      <c r="C335" s="6">
        <v>1</v>
      </c>
      <c r="D335" s="6">
        <v>0</v>
      </c>
      <c r="E335" s="6">
        <v>38</v>
      </c>
      <c r="F335" s="5" t="s">
        <v>8</v>
      </c>
      <c r="G335" s="5" t="s">
        <v>13</v>
      </c>
      <c r="H335" s="3" t="s">
        <v>312</v>
      </c>
      <c r="I335" s="5" t="s">
        <v>437</v>
      </c>
      <c r="J335" s="5">
        <f>_xlfn.XLOOKUP(CustomerCombined[[#This Row],[ID]], Table4[ID], Table4[Recency], "Not Found", 0)</f>
        <v>60</v>
      </c>
      <c r="K335" s="5">
        <f>_xlfn.XLOOKUP(CustomerCombined[[#This Row],[ID]], Table4[ID], Table4[Teas], "Not Found", 0)</f>
        <v>352</v>
      </c>
      <c r="L335" s="5">
        <f>_xlfn.XLOOKUP(CustomerCombined[[#This Row],[ID]], Table4[ID], Table4[Fruits], "Not Found", 0)</f>
        <v>16</v>
      </c>
      <c r="M335" s="5">
        <f>_xlfn.XLOOKUP(CustomerCombined[[#This Row],[ID]], Table4[ID], Table4[Meats], "Not Found", 0)</f>
        <v>229</v>
      </c>
      <c r="N335" s="5">
        <f>_xlfn.XLOOKUP(CustomerCombined[[#This Row],[ID]], Table4[ID], Table4[Seafood], "Not Found", 0)</f>
        <v>8</v>
      </c>
      <c r="O335" s="5">
        <f>_xlfn.XLOOKUP(CustomerCombined[[#This Row],[ID]], Table4[ID], Table4[Sweets], "Not Found", 0)</f>
        <v>16</v>
      </c>
      <c r="P335" s="5">
        <f>_xlfn.XLOOKUP(CustomerCombined[[#This Row],[ID]], Table4[ID], Table4[Premium], "Not Found", 0)</f>
        <v>29</v>
      </c>
      <c r="Q335" s="5">
        <f>_xlfn.XLOOKUP(CustomerCombined[[#This Row],[ID]], Table4[ID], Table4[Regular], "Not Found", 0)</f>
        <v>594</v>
      </c>
      <c r="R335" s="5">
        <f>_xlfn.XLOOKUP(CustomerCombined[[#This Row],[ID]], Table4[ID], Table4[Deals], "Not Found", 0)</f>
        <v>3</v>
      </c>
      <c r="S335" s="5">
        <f>_xlfn.XLOOKUP(CustomerCombined[[#This Row],[ID]], Table4[ID], Table4[Website], "Not Found", 0)</f>
        <v>4</v>
      </c>
      <c r="T335" s="5">
        <f>_xlfn.XLOOKUP(CustomerCombined[[#This Row],[ID]], Table4[ID], Table4[Catalog], "Not Found", 0)</f>
        <v>0</v>
      </c>
      <c r="U335" s="5">
        <f>_xlfn.XLOOKUP(CustomerCombined[[#This Row],[ID]], Table4[ID], Table4[Store], "Not Found", 0)</f>
        <v>4</v>
      </c>
      <c r="V335" s="5">
        <f>_xlfn.XLOOKUP(CustomerCombined[[#This Row],[ID]], Table4[ID], Table4[Visits], "Not Found", 0)</f>
        <v>9</v>
      </c>
      <c r="W335" s="8">
        <f>_xlfn.XLOOKUP(CustomerCombined[[#This Row],[ID]], Table2[ID],Table2[Complaint], "Not Found", 0 )</f>
        <v>0</v>
      </c>
      <c r="X335" s="8">
        <f>_xlfn.XLOOKUP(CustomerCombined[[#This Row],[ID]], Table2[ID],Table2[Pilot], "Not Found", 0 )</f>
        <v>0</v>
      </c>
      <c r="Y335" s="8">
        <f>_xlfn.XLOOKUP(CustomerCombined[[#This Row],[ID]], Table2[ID],Table2[MC1], "Not Found", 0 )</f>
        <v>0</v>
      </c>
      <c r="Z335" s="8">
        <f>_xlfn.XLOOKUP(CustomerCombined[[#This Row],[ID]], Table2[ID],Table2[MC2], "Not Found", 0 )</f>
        <v>0</v>
      </c>
      <c r="AA335" s="8">
        <f>_xlfn.XLOOKUP(CustomerCombined[[#This Row],[ID]], Table2[ID],Table2[MC3], "Not Found", 0 )</f>
        <v>0</v>
      </c>
      <c r="AB335" s="8">
        <f>_xlfn.XLOOKUP(CustomerCombined[[#This Row],[ID]], Table2[ID],Table2[MC4], "Not Found", 0 )</f>
        <v>0</v>
      </c>
      <c r="AC335" s="8">
        <f>_xlfn.XLOOKUP(CustomerCombined[[#This Row],[ID]], Table2[ID],Table2[MC5], "Not Found", 0 )</f>
        <v>0</v>
      </c>
    </row>
    <row r="336" spans="1:29" x14ac:dyDescent="0.3">
      <c r="A336" s="6">
        <v>1160</v>
      </c>
      <c r="B336" s="6">
        <v>128718</v>
      </c>
      <c r="C336" s="6">
        <v>1</v>
      </c>
      <c r="D336" s="6">
        <v>0</v>
      </c>
      <c r="E336" s="6">
        <v>38</v>
      </c>
      <c r="F336" s="5" t="s">
        <v>6</v>
      </c>
      <c r="G336" s="5" t="s">
        <v>11</v>
      </c>
      <c r="H336" s="3" t="s">
        <v>223</v>
      </c>
      <c r="I336" s="5" t="s">
        <v>438</v>
      </c>
      <c r="J336" s="5">
        <f>_xlfn.XLOOKUP(CustomerCombined[[#This Row],[ID]], Table4[ID], Table4[Recency], "Not Found", 0)</f>
        <v>78</v>
      </c>
      <c r="K336" s="5">
        <f>_xlfn.XLOOKUP(CustomerCombined[[#This Row],[ID]], Table4[ID], Table4[Teas], "Not Found", 0)</f>
        <v>54</v>
      </c>
      <c r="L336" s="5">
        <f>_xlfn.XLOOKUP(CustomerCombined[[#This Row],[ID]], Table4[ID], Table4[Fruits], "Not Found", 0)</f>
        <v>18</v>
      </c>
      <c r="M336" s="5">
        <f>_xlfn.XLOOKUP(CustomerCombined[[#This Row],[ID]], Table4[ID], Table4[Meats], "Not Found", 0)</f>
        <v>27</v>
      </c>
      <c r="N336" s="5">
        <f>_xlfn.XLOOKUP(CustomerCombined[[#This Row],[ID]], Table4[ID], Table4[Seafood], "Not Found", 0)</f>
        <v>49</v>
      </c>
      <c r="O336" s="5">
        <f>_xlfn.XLOOKUP(CustomerCombined[[#This Row],[ID]], Table4[ID], Table4[Sweets], "Not Found", 0)</f>
        <v>36</v>
      </c>
      <c r="P336" s="5">
        <f>_xlfn.XLOOKUP(CustomerCombined[[#This Row],[ID]], Table4[ID], Table4[Premium], "Not Found", 0)</f>
        <v>72</v>
      </c>
      <c r="Q336" s="5">
        <f>_xlfn.XLOOKUP(CustomerCombined[[#This Row],[ID]], Table4[ID], Table4[Regular], "Not Found", 0)</f>
        <v>112</v>
      </c>
      <c r="R336" s="5">
        <f>_xlfn.XLOOKUP(CustomerCombined[[#This Row],[ID]], Table4[ID], Table4[Deals], "Not Found", 0)</f>
        <v>2</v>
      </c>
      <c r="S336" s="5">
        <f>_xlfn.XLOOKUP(CustomerCombined[[#This Row],[ID]], Table4[ID], Table4[Website], "Not Found", 0)</f>
        <v>2</v>
      </c>
      <c r="T336" s="5">
        <f>_xlfn.XLOOKUP(CustomerCombined[[#This Row],[ID]], Table4[ID], Table4[Catalog], "Not Found", 0)</f>
        <v>0</v>
      </c>
      <c r="U336" s="5">
        <f>_xlfn.XLOOKUP(CustomerCombined[[#This Row],[ID]], Table4[ID], Table4[Store], "Not Found", 0)</f>
        <v>3</v>
      </c>
      <c r="V336" s="5">
        <f>_xlfn.XLOOKUP(CustomerCombined[[#This Row],[ID]], Table4[ID], Table4[Visits], "Not Found", 0)</f>
        <v>8</v>
      </c>
      <c r="W336" s="8">
        <f>_xlfn.XLOOKUP(CustomerCombined[[#This Row],[ID]], Table2[ID],Table2[Complaint], "Not Found", 0 )</f>
        <v>0</v>
      </c>
      <c r="X336" s="8">
        <f>_xlfn.XLOOKUP(CustomerCombined[[#This Row],[ID]], Table2[ID],Table2[Pilot], "Not Found", 0 )</f>
        <v>0</v>
      </c>
      <c r="Y336" s="8">
        <f>_xlfn.XLOOKUP(CustomerCombined[[#This Row],[ID]], Table2[ID],Table2[MC1], "Not Found", 0 )</f>
        <v>0</v>
      </c>
      <c r="Z336" s="8">
        <f>_xlfn.XLOOKUP(CustomerCombined[[#This Row],[ID]], Table2[ID],Table2[MC2], "Not Found", 0 )</f>
        <v>0</v>
      </c>
      <c r="AA336" s="8">
        <f>_xlfn.XLOOKUP(CustomerCombined[[#This Row],[ID]], Table2[ID],Table2[MC3], "Not Found", 0 )</f>
        <v>0</v>
      </c>
      <c r="AB336" s="8">
        <f>_xlfn.XLOOKUP(CustomerCombined[[#This Row],[ID]], Table2[ID],Table2[MC4], "Not Found", 0 )</f>
        <v>0</v>
      </c>
      <c r="AC336" s="8">
        <f>_xlfn.XLOOKUP(CustomerCombined[[#This Row],[ID]], Table2[ID],Table2[MC5], "Not Found", 0 )</f>
        <v>0</v>
      </c>
    </row>
    <row r="337" spans="1:29" x14ac:dyDescent="0.3">
      <c r="A337" s="6">
        <v>1518</v>
      </c>
      <c r="B337" s="6">
        <v>128567</v>
      </c>
      <c r="C337" s="6">
        <v>1</v>
      </c>
      <c r="D337" s="6">
        <v>0</v>
      </c>
      <c r="E337" s="6">
        <v>38</v>
      </c>
      <c r="F337" s="5" t="s">
        <v>7</v>
      </c>
      <c r="G337" s="5" t="s">
        <v>11</v>
      </c>
      <c r="H337" s="3" t="s">
        <v>236</v>
      </c>
      <c r="I337" s="5" t="s">
        <v>436</v>
      </c>
      <c r="J337" s="5">
        <f>_xlfn.XLOOKUP(CustomerCombined[[#This Row],[ID]], Table4[ID], Table4[Recency], "Not Found", 0)</f>
        <v>57</v>
      </c>
      <c r="K337" s="5">
        <f>_xlfn.XLOOKUP(CustomerCombined[[#This Row],[ID]], Table4[ID], Table4[Teas], "Not Found", 0)</f>
        <v>50</v>
      </c>
      <c r="L337" s="5">
        <f>_xlfn.XLOOKUP(CustomerCombined[[#This Row],[ID]], Table4[ID], Table4[Fruits], "Not Found", 0)</f>
        <v>14</v>
      </c>
      <c r="M337" s="5">
        <f>_xlfn.XLOOKUP(CustomerCombined[[#This Row],[ID]], Table4[ID], Table4[Meats], "Not Found", 0)</f>
        <v>99</v>
      </c>
      <c r="N337" s="5">
        <f>_xlfn.XLOOKUP(CustomerCombined[[#This Row],[ID]], Table4[ID], Table4[Seafood], "Not Found", 0)</f>
        <v>9</v>
      </c>
      <c r="O337" s="5">
        <f>_xlfn.XLOOKUP(CustomerCombined[[#This Row],[ID]], Table4[ID], Table4[Sweets], "Not Found", 0)</f>
        <v>9</v>
      </c>
      <c r="P337" s="5">
        <f>_xlfn.XLOOKUP(CustomerCombined[[#This Row],[ID]], Table4[ID], Table4[Premium], "Not Found", 0)</f>
        <v>27</v>
      </c>
      <c r="Q337" s="5">
        <f>_xlfn.XLOOKUP(CustomerCombined[[#This Row],[ID]], Table4[ID], Table4[Regular], "Not Found", 0)</f>
        <v>153</v>
      </c>
      <c r="R337" s="5">
        <f>_xlfn.XLOOKUP(CustomerCombined[[#This Row],[ID]], Table4[ID], Table4[Deals], "Not Found", 0)</f>
        <v>2</v>
      </c>
      <c r="S337" s="5">
        <f>_xlfn.XLOOKUP(CustomerCombined[[#This Row],[ID]], Table4[ID], Table4[Website], "Not Found", 0)</f>
        <v>2</v>
      </c>
      <c r="T337" s="5">
        <f>_xlfn.XLOOKUP(CustomerCombined[[#This Row],[ID]], Table4[ID], Table4[Catalog], "Not Found", 0)</f>
        <v>0</v>
      </c>
      <c r="U337" s="5">
        <f>_xlfn.XLOOKUP(CustomerCombined[[#This Row],[ID]], Table4[ID], Table4[Store], "Not Found", 0)</f>
        <v>3</v>
      </c>
      <c r="V337" s="5">
        <f>_xlfn.XLOOKUP(CustomerCombined[[#This Row],[ID]], Table4[ID], Table4[Visits], "Not Found", 0)</f>
        <v>6</v>
      </c>
      <c r="W337" s="8">
        <f>_xlfn.XLOOKUP(CustomerCombined[[#This Row],[ID]], Table2[ID],Table2[Complaint], "Not Found", 0 )</f>
        <v>0</v>
      </c>
      <c r="X337" s="8">
        <f>_xlfn.XLOOKUP(CustomerCombined[[#This Row],[ID]], Table2[ID],Table2[Pilot], "Not Found", 0 )</f>
        <v>0</v>
      </c>
      <c r="Y337" s="8">
        <f>_xlfn.XLOOKUP(CustomerCombined[[#This Row],[ID]], Table2[ID],Table2[MC1], "Not Found", 0 )</f>
        <v>0</v>
      </c>
      <c r="Z337" s="8">
        <f>_xlfn.XLOOKUP(CustomerCombined[[#This Row],[ID]], Table2[ID],Table2[MC2], "Not Found", 0 )</f>
        <v>0</v>
      </c>
      <c r="AA337" s="8">
        <f>_xlfn.XLOOKUP(CustomerCombined[[#This Row],[ID]], Table2[ID],Table2[MC3], "Not Found", 0 )</f>
        <v>0</v>
      </c>
      <c r="AB337" s="8">
        <f>_xlfn.XLOOKUP(CustomerCombined[[#This Row],[ID]], Table2[ID],Table2[MC4], "Not Found", 0 )</f>
        <v>0</v>
      </c>
      <c r="AC337" s="8">
        <f>_xlfn.XLOOKUP(CustomerCombined[[#This Row],[ID]], Table2[ID],Table2[MC5], "Not Found", 0 )</f>
        <v>0</v>
      </c>
    </row>
    <row r="338" spans="1:29" x14ac:dyDescent="0.3">
      <c r="A338" s="6">
        <v>2079</v>
      </c>
      <c r="B338" s="6">
        <v>127590</v>
      </c>
      <c r="C338" s="6">
        <v>1</v>
      </c>
      <c r="D338" s="6">
        <v>0</v>
      </c>
      <c r="E338" s="6">
        <v>38</v>
      </c>
      <c r="F338" s="5" t="s">
        <v>8</v>
      </c>
      <c r="G338" s="5" t="s">
        <v>12</v>
      </c>
      <c r="H338" s="3" t="s">
        <v>266</v>
      </c>
      <c r="I338" s="5" t="s">
        <v>435</v>
      </c>
      <c r="J338" s="5">
        <f>_xlfn.XLOOKUP(CustomerCombined[[#This Row],[ID]], Table4[ID], Table4[Recency], "Not Found", 0)</f>
        <v>38</v>
      </c>
      <c r="K338" s="5">
        <f>_xlfn.XLOOKUP(CustomerCombined[[#This Row],[ID]], Table4[ID], Table4[Teas], "Not Found", 0)</f>
        <v>28</v>
      </c>
      <c r="L338" s="5">
        <f>_xlfn.XLOOKUP(CustomerCombined[[#This Row],[ID]], Table4[ID], Table4[Fruits], "Not Found", 0)</f>
        <v>0</v>
      </c>
      <c r="M338" s="5">
        <f>_xlfn.XLOOKUP(CustomerCombined[[#This Row],[ID]], Table4[ID], Table4[Meats], "Not Found", 0)</f>
        <v>23</v>
      </c>
      <c r="N338" s="5">
        <f>_xlfn.XLOOKUP(CustomerCombined[[#This Row],[ID]], Table4[ID], Table4[Seafood], "Not Found", 0)</f>
        <v>0</v>
      </c>
      <c r="O338" s="5">
        <f>_xlfn.XLOOKUP(CustomerCombined[[#This Row],[ID]], Table4[ID], Table4[Sweets], "Not Found", 0)</f>
        <v>0</v>
      </c>
      <c r="P338" s="5">
        <f>_xlfn.XLOOKUP(CustomerCombined[[#This Row],[ID]], Table4[ID], Table4[Premium], "Not Found", 0)</f>
        <v>5</v>
      </c>
      <c r="Q338" s="5">
        <f>_xlfn.XLOOKUP(CustomerCombined[[#This Row],[ID]], Table4[ID], Table4[Regular], "Not Found", 0)</f>
        <v>46</v>
      </c>
      <c r="R338" s="5">
        <f>_xlfn.XLOOKUP(CustomerCombined[[#This Row],[ID]], Table4[ID], Table4[Deals], "Not Found", 0)</f>
        <v>1</v>
      </c>
      <c r="S338" s="5">
        <f>_xlfn.XLOOKUP(CustomerCombined[[#This Row],[ID]], Table4[ID], Table4[Website], "Not Found", 0)</f>
        <v>1</v>
      </c>
      <c r="T338" s="5">
        <f>_xlfn.XLOOKUP(CustomerCombined[[#This Row],[ID]], Table4[ID], Table4[Catalog], "Not Found", 0)</f>
        <v>0</v>
      </c>
      <c r="U338" s="5">
        <f>_xlfn.XLOOKUP(CustomerCombined[[#This Row],[ID]], Table4[ID], Table4[Store], "Not Found", 0)</f>
        <v>2</v>
      </c>
      <c r="V338" s="5">
        <f>_xlfn.XLOOKUP(CustomerCombined[[#This Row],[ID]], Table4[ID], Table4[Visits], "Not Found", 0)</f>
        <v>7</v>
      </c>
      <c r="W338" s="8">
        <f>_xlfn.XLOOKUP(CustomerCombined[[#This Row],[ID]], Table2[ID],Table2[Complaint], "Not Found", 0 )</f>
        <v>0</v>
      </c>
      <c r="X338" s="8">
        <f>_xlfn.XLOOKUP(CustomerCombined[[#This Row],[ID]], Table2[ID],Table2[Pilot], "Not Found", 0 )</f>
        <v>0</v>
      </c>
      <c r="Y338" s="8">
        <f>_xlfn.XLOOKUP(CustomerCombined[[#This Row],[ID]], Table2[ID],Table2[MC1], "Not Found", 0 )</f>
        <v>0</v>
      </c>
      <c r="Z338" s="8">
        <f>_xlfn.XLOOKUP(CustomerCombined[[#This Row],[ID]], Table2[ID],Table2[MC2], "Not Found", 0 )</f>
        <v>0</v>
      </c>
      <c r="AA338" s="8">
        <f>_xlfn.XLOOKUP(CustomerCombined[[#This Row],[ID]], Table2[ID],Table2[MC3], "Not Found", 0 )</f>
        <v>0</v>
      </c>
      <c r="AB338" s="8">
        <f>_xlfn.XLOOKUP(CustomerCombined[[#This Row],[ID]], Table2[ID],Table2[MC4], "Not Found", 0 )</f>
        <v>0</v>
      </c>
      <c r="AC338" s="8">
        <f>_xlfn.XLOOKUP(CustomerCombined[[#This Row],[ID]], Table2[ID],Table2[MC5], "Not Found", 0 )</f>
        <v>0</v>
      </c>
    </row>
    <row r="339" spans="1:29" x14ac:dyDescent="0.3">
      <c r="A339" s="6">
        <v>2306</v>
      </c>
      <c r="B339" s="6">
        <v>124711</v>
      </c>
      <c r="C339" s="6">
        <v>0</v>
      </c>
      <c r="D339" s="6">
        <v>0</v>
      </c>
      <c r="E339" s="6">
        <v>38</v>
      </c>
      <c r="F339" s="5" t="s">
        <v>6</v>
      </c>
      <c r="G339" s="5" t="s">
        <v>11</v>
      </c>
      <c r="H339" s="3" t="s">
        <v>64</v>
      </c>
      <c r="I339" s="5" t="s">
        <v>438</v>
      </c>
      <c r="J339" s="5">
        <f>_xlfn.XLOOKUP(CustomerCombined[[#This Row],[ID]], Table4[ID], Table4[Recency], "Not Found", 0)</f>
        <v>86</v>
      </c>
      <c r="K339" s="5">
        <f>_xlfn.XLOOKUP(CustomerCombined[[#This Row],[ID]], Table4[ID], Table4[Teas], "Not Found", 0)</f>
        <v>50</v>
      </c>
      <c r="L339" s="5">
        <f>_xlfn.XLOOKUP(CustomerCombined[[#This Row],[ID]], Table4[ID], Table4[Fruits], "Not Found", 0)</f>
        <v>35</v>
      </c>
      <c r="M339" s="5">
        <f>_xlfn.XLOOKUP(CustomerCombined[[#This Row],[ID]], Table4[ID], Table4[Meats], "Not Found", 0)</f>
        <v>126</v>
      </c>
      <c r="N339" s="5">
        <f>_xlfn.XLOOKUP(CustomerCombined[[#This Row],[ID]], Table4[ID], Table4[Seafood], "Not Found", 0)</f>
        <v>30</v>
      </c>
      <c r="O339" s="5">
        <f>_xlfn.XLOOKUP(CustomerCombined[[#This Row],[ID]], Table4[ID], Table4[Sweets], "Not Found", 0)</f>
        <v>15</v>
      </c>
      <c r="P339" s="5">
        <f>_xlfn.XLOOKUP(CustomerCombined[[#This Row],[ID]], Table4[ID], Table4[Premium], "Not Found", 0)</f>
        <v>35</v>
      </c>
      <c r="Q339" s="5">
        <f>_xlfn.XLOOKUP(CustomerCombined[[#This Row],[ID]], Table4[ID], Table4[Regular], "Not Found", 0)</f>
        <v>222</v>
      </c>
      <c r="R339" s="5">
        <f>_xlfn.XLOOKUP(CustomerCombined[[#This Row],[ID]], Table4[ID], Table4[Deals], "Not Found", 0)</f>
        <v>1</v>
      </c>
      <c r="S339" s="5">
        <f>_xlfn.XLOOKUP(CustomerCombined[[#This Row],[ID]], Table4[ID], Table4[Website], "Not Found", 0)</f>
        <v>3</v>
      </c>
      <c r="T339" s="5">
        <f>_xlfn.XLOOKUP(CustomerCombined[[#This Row],[ID]], Table4[ID], Table4[Catalog], "Not Found", 0)</f>
        <v>0</v>
      </c>
      <c r="U339" s="5">
        <f>_xlfn.XLOOKUP(CustomerCombined[[#This Row],[ID]], Table4[ID], Table4[Store], "Not Found", 0)</f>
        <v>3</v>
      </c>
      <c r="V339" s="5">
        <f>_xlfn.XLOOKUP(CustomerCombined[[#This Row],[ID]], Table4[ID], Table4[Visits], "Not Found", 0)</f>
        <v>7</v>
      </c>
      <c r="W339" s="8">
        <f>_xlfn.XLOOKUP(CustomerCombined[[#This Row],[ID]], Table2[ID],Table2[Complaint], "Not Found", 0 )</f>
        <v>0</v>
      </c>
      <c r="X339" s="8">
        <f>_xlfn.XLOOKUP(CustomerCombined[[#This Row],[ID]], Table2[ID],Table2[Pilot], "Not Found", 0 )</f>
        <v>0</v>
      </c>
      <c r="Y339" s="8">
        <f>_xlfn.XLOOKUP(CustomerCombined[[#This Row],[ID]], Table2[ID],Table2[MC1], "Not Found", 0 )</f>
        <v>0</v>
      </c>
      <c r="Z339" s="8">
        <f>_xlfn.XLOOKUP(CustomerCombined[[#This Row],[ID]], Table2[ID],Table2[MC2], "Not Found", 0 )</f>
        <v>0</v>
      </c>
      <c r="AA339" s="8">
        <f>_xlfn.XLOOKUP(CustomerCombined[[#This Row],[ID]], Table2[ID],Table2[MC3], "Not Found", 0 )</f>
        <v>0</v>
      </c>
      <c r="AB339" s="8">
        <f>_xlfn.XLOOKUP(CustomerCombined[[#This Row],[ID]], Table2[ID],Table2[MC4], "Not Found", 0 )</f>
        <v>0</v>
      </c>
      <c r="AC339" s="8">
        <f>_xlfn.XLOOKUP(CustomerCombined[[#This Row],[ID]], Table2[ID],Table2[MC5], "Not Found", 0 )</f>
        <v>0</v>
      </c>
    </row>
    <row r="340" spans="1:29" x14ac:dyDescent="0.3">
      <c r="A340" s="6">
        <v>2324</v>
      </c>
      <c r="B340" s="6">
        <v>124367</v>
      </c>
      <c r="C340" s="6">
        <v>1</v>
      </c>
      <c r="D340" s="6">
        <v>0</v>
      </c>
      <c r="E340" s="6">
        <v>38</v>
      </c>
      <c r="F340" s="5" t="s">
        <v>7</v>
      </c>
      <c r="G340" s="5" t="s">
        <v>10</v>
      </c>
      <c r="H340" s="3" t="s">
        <v>288</v>
      </c>
      <c r="I340" s="5" t="s">
        <v>438</v>
      </c>
      <c r="J340" s="5">
        <f>_xlfn.XLOOKUP(CustomerCombined[[#This Row],[ID]], Table4[ID], Table4[Recency], "Not Found", 0)</f>
        <v>58</v>
      </c>
      <c r="K340" s="5">
        <f>_xlfn.XLOOKUP(CustomerCombined[[#This Row],[ID]], Table4[ID], Table4[Teas], "Not Found", 0)</f>
        <v>10</v>
      </c>
      <c r="L340" s="5">
        <f>_xlfn.XLOOKUP(CustomerCombined[[#This Row],[ID]], Table4[ID], Table4[Fruits], "Not Found", 0)</f>
        <v>20</v>
      </c>
      <c r="M340" s="5">
        <f>_xlfn.XLOOKUP(CustomerCombined[[#This Row],[ID]], Table4[ID], Table4[Meats], "Not Found", 0)</f>
        <v>10</v>
      </c>
      <c r="N340" s="5">
        <f>_xlfn.XLOOKUP(CustomerCombined[[#This Row],[ID]], Table4[ID], Table4[Seafood], "Not Found", 0)</f>
        <v>0</v>
      </c>
      <c r="O340" s="5">
        <f>_xlfn.XLOOKUP(CustomerCombined[[#This Row],[ID]], Table4[ID], Table4[Sweets], "Not Found", 0)</f>
        <v>56</v>
      </c>
      <c r="P340" s="5">
        <f>_xlfn.XLOOKUP(CustomerCombined[[#This Row],[ID]], Table4[ID], Table4[Premium], "Not Found", 0)</f>
        <v>26</v>
      </c>
      <c r="Q340" s="5">
        <f>_xlfn.XLOOKUP(CustomerCombined[[#This Row],[ID]], Table4[ID], Table4[Regular], "Not Found", 0)</f>
        <v>71</v>
      </c>
      <c r="R340" s="5">
        <f>_xlfn.XLOOKUP(CustomerCombined[[#This Row],[ID]], Table4[ID], Table4[Deals], "Not Found", 0)</f>
        <v>1</v>
      </c>
      <c r="S340" s="5">
        <f>_xlfn.XLOOKUP(CustomerCombined[[#This Row],[ID]], Table4[ID], Table4[Website], "Not Found", 0)</f>
        <v>1</v>
      </c>
      <c r="T340" s="5">
        <f>_xlfn.XLOOKUP(CustomerCombined[[#This Row],[ID]], Table4[ID], Table4[Catalog], "Not Found", 0)</f>
        <v>0</v>
      </c>
      <c r="U340" s="5">
        <f>_xlfn.XLOOKUP(CustomerCombined[[#This Row],[ID]], Table4[ID], Table4[Store], "Not Found", 0)</f>
        <v>2</v>
      </c>
      <c r="V340" s="5">
        <f>_xlfn.XLOOKUP(CustomerCombined[[#This Row],[ID]], Table4[ID], Table4[Visits], "Not Found", 0)</f>
        <v>9</v>
      </c>
      <c r="W340" s="8">
        <f>_xlfn.XLOOKUP(CustomerCombined[[#This Row],[ID]], Table2[ID],Table2[Complaint], "Not Found", 0 )</f>
        <v>0</v>
      </c>
      <c r="X340" s="8">
        <f>_xlfn.XLOOKUP(CustomerCombined[[#This Row],[ID]], Table2[ID],Table2[Pilot], "Not Found", 0 )</f>
        <v>0</v>
      </c>
      <c r="Y340" s="8">
        <f>_xlfn.XLOOKUP(CustomerCombined[[#This Row],[ID]], Table2[ID],Table2[MC1], "Not Found", 0 )</f>
        <v>0</v>
      </c>
      <c r="Z340" s="8">
        <f>_xlfn.XLOOKUP(CustomerCombined[[#This Row],[ID]], Table2[ID],Table2[MC2], "Not Found", 0 )</f>
        <v>0</v>
      </c>
      <c r="AA340" s="8">
        <f>_xlfn.XLOOKUP(CustomerCombined[[#This Row],[ID]], Table2[ID],Table2[MC3], "Not Found", 0 )</f>
        <v>0</v>
      </c>
      <c r="AB340" s="8">
        <f>_xlfn.XLOOKUP(CustomerCombined[[#This Row],[ID]], Table2[ID],Table2[MC4], "Not Found", 0 )</f>
        <v>0</v>
      </c>
      <c r="AC340" s="8">
        <f>_xlfn.XLOOKUP(CustomerCombined[[#This Row],[ID]], Table2[ID],Table2[MC5], "Not Found", 0 )</f>
        <v>0</v>
      </c>
    </row>
    <row r="341" spans="1:29" x14ac:dyDescent="0.3">
      <c r="A341" s="6">
        <v>1224</v>
      </c>
      <c r="B341" s="6">
        <v>123661</v>
      </c>
      <c r="C341" s="6">
        <v>1</v>
      </c>
      <c r="D341" s="6">
        <v>0</v>
      </c>
      <c r="E341" s="6">
        <v>38</v>
      </c>
      <c r="F341" s="5" t="s">
        <v>8</v>
      </c>
      <c r="G341" s="5" t="s">
        <v>12</v>
      </c>
      <c r="H341" s="3">
        <v>44109</v>
      </c>
      <c r="I341" s="5" t="s">
        <v>436</v>
      </c>
      <c r="J341" s="5">
        <f>_xlfn.XLOOKUP(CustomerCombined[[#This Row],[ID]], Table4[ID], Table4[Recency], "Not Found", 0)</f>
        <v>46</v>
      </c>
      <c r="K341" s="5">
        <f>_xlfn.XLOOKUP(CustomerCombined[[#This Row],[ID]], Table4[ID], Table4[Teas], "Not Found", 0)</f>
        <v>94</v>
      </c>
      <c r="L341" s="5">
        <f>_xlfn.XLOOKUP(CustomerCombined[[#This Row],[ID]], Table4[ID], Table4[Fruits], "Not Found", 0)</f>
        <v>0</v>
      </c>
      <c r="M341" s="5">
        <f>_xlfn.XLOOKUP(CustomerCombined[[#This Row],[ID]], Table4[ID], Table4[Meats], "Not Found", 0)</f>
        <v>21</v>
      </c>
      <c r="N341" s="5">
        <f>_xlfn.XLOOKUP(CustomerCombined[[#This Row],[ID]], Table4[ID], Table4[Seafood], "Not Found", 0)</f>
        <v>0</v>
      </c>
      <c r="O341" s="5">
        <f>_xlfn.XLOOKUP(CustomerCombined[[#This Row],[ID]], Table4[ID], Table4[Sweets], "Not Found", 0)</f>
        <v>0</v>
      </c>
      <c r="P341" s="5">
        <f>_xlfn.XLOOKUP(CustomerCombined[[#This Row],[ID]], Table4[ID], Table4[Premium], "Not Found", 0)</f>
        <v>5</v>
      </c>
      <c r="Q341" s="5">
        <f>_xlfn.XLOOKUP(CustomerCombined[[#This Row],[ID]], Table4[ID], Table4[Regular], "Not Found", 0)</f>
        <v>110</v>
      </c>
      <c r="R341" s="5">
        <f>_xlfn.XLOOKUP(CustomerCombined[[#This Row],[ID]], Table4[ID], Table4[Deals], "Not Found", 0)</f>
        <v>1</v>
      </c>
      <c r="S341" s="5">
        <f>_xlfn.XLOOKUP(CustomerCombined[[#This Row],[ID]], Table4[ID], Table4[Website], "Not Found", 0)</f>
        <v>1</v>
      </c>
      <c r="T341" s="5">
        <f>_xlfn.XLOOKUP(CustomerCombined[[#This Row],[ID]], Table4[ID], Table4[Catalog], "Not Found", 0)</f>
        <v>0</v>
      </c>
      <c r="U341" s="5">
        <f>_xlfn.XLOOKUP(CustomerCombined[[#This Row],[ID]], Table4[ID], Table4[Store], "Not Found", 0)</f>
        <v>3</v>
      </c>
      <c r="V341" s="5">
        <f>_xlfn.XLOOKUP(CustomerCombined[[#This Row],[ID]], Table4[ID], Table4[Visits], "Not Found", 0)</f>
        <v>7</v>
      </c>
      <c r="W341" s="8">
        <f>_xlfn.XLOOKUP(CustomerCombined[[#This Row],[ID]], Table2[ID],Table2[Complaint], "Not Found", 0 )</f>
        <v>0</v>
      </c>
      <c r="X341" s="8">
        <f>_xlfn.XLOOKUP(CustomerCombined[[#This Row],[ID]], Table2[ID],Table2[Pilot], "Not Found", 0 )</f>
        <v>0</v>
      </c>
      <c r="Y341" s="8">
        <f>_xlfn.XLOOKUP(CustomerCombined[[#This Row],[ID]], Table2[ID],Table2[MC1], "Not Found", 0 )</f>
        <v>0</v>
      </c>
      <c r="Z341" s="8">
        <f>_xlfn.XLOOKUP(CustomerCombined[[#This Row],[ID]], Table2[ID],Table2[MC2], "Not Found", 0 )</f>
        <v>0</v>
      </c>
      <c r="AA341" s="8">
        <f>_xlfn.XLOOKUP(CustomerCombined[[#This Row],[ID]], Table2[ID],Table2[MC3], "Not Found", 0 )</f>
        <v>0</v>
      </c>
      <c r="AB341" s="8">
        <f>_xlfn.XLOOKUP(CustomerCombined[[#This Row],[ID]], Table2[ID],Table2[MC4], "Not Found", 0 )</f>
        <v>0</v>
      </c>
      <c r="AC341" s="8">
        <f>_xlfn.XLOOKUP(CustomerCombined[[#This Row],[ID]], Table2[ID],Table2[MC5], "Not Found", 0 )</f>
        <v>0</v>
      </c>
    </row>
    <row r="342" spans="1:29" x14ac:dyDescent="0.3">
      <c r="A342" s="6">
        <v>1394</v>
      </c>
      <c r="B342" s="6">
        <v>123616</v>
      </c>
      <c r="C342" s="6">
        <v>1</v>
      </c>
      <c r="D342" s="6">
        <v>0</v>
      </c>
      <c r="E342" s="6">
        <v>38</v>
      </c>
      <c r="F342" s="5" t="s">
        <v>7</v>
      </c>
      <c r="G342" s="5" t="s">
        <v>442</v>
      </c>
      <c r="H342" s="3" t="s">
        <v>359</v>
      </c>
      <c r="I342" s="5" t="s">
        <v>438</v>
      </c>
      <c r="J342" s="5">
        <f>_xlfn.XLOOKUP(CustomerCombined[[#This Row],[ID]], Table4[ID], Table4[Recency], "Not Found", 0)</f>
        <v>76</v>
      </c>
      <c r="K342" s="5">
        <f>_xlfn.XLOOKUP(CustomerCombined[[#This Row],[ID]], Table4[ID], Table4[Teas], "Not Found", 0)</f>
        <v>21</v>
      </c>
      <c r="L342" s="5">
        <f>_xlfn.XLOOKUP(CustomerCombined[[#This Row],[ID]], Table4[ID], Table4[Fruits], "Not Found", 0)</f>
        <v>115</v>
      </c>
      <c r="M342" s="5">
        <f>_xlfn.XLOOKUP(CustomerCombined[[#This Row],[ID]], Table4[ID], Table4[Meats], "Not Found", 0)</f>
        <v>58</v>
      </c>
      <c r="N342" s="5">
        <f>_xlfn.XLOOKUP(CustomerCombined[[#This Row],[ID]], Table4[ID], Table4[Seafood], "Not Found", 0)</f>
        <v>16</v>
      </c>
      <c r="O342" s="5">
        <f>_xlfn.XLOOKUP(CustomerCombined[[#This Row],[ID]], Table4[ID], Table4[Sweets], "Not Found", 0)</f>
        <v>37</v>
      </c>
      <c r="P342" s="5">
        <f>_xlfn.XLOOKUP(CustomerCombined[[#This Row],[ID]], Table4[ID], Table4[Premium], "Not Found", 0)</f>
        <v>168</v>
      </c>
      <c r="Q342" s="5">
        <f>_xlfn.XLOOKUP(CustomerCombined[[#This Row],[ID]], Table4[ID], Table4[Regular], "Not Found", 0)</f>
        <v>79</v>
      </c>
      <c r="R342" s="5">
        <f>_xlfn.XLOOKUP(CustomerCombined[[#This Row],[ID]], Table4[ID], Table4[Deals], "Not Found", 0)</f>
        <v>2</v>
      </c>
      <c r="S342" s="5">
        <f>_xlfn.XLOOKUP(CustomerCombined[[#This Row],[ID]], Table4[ID], Table4[Website], "Not Found", 0)</f>
        <v>3</v>
      </c>
      <c r="T342" s="5">
        <f>_xlfn.XLOOKUP(CustomerCombined[[#This Row],[ID]], Table4[ID], Table4[Catalog], "Not Found", 0)</f>
        <v>0</v>
      </c>
      <c r="U342" s="5">
        <f>_xlfn.XLOOKUP(CustomerCombined[[#This Row],[ID]], Table4[ID], Table4[Store], "Not Found", 0)</f>
        <v>3</v>
      </c>
      <c r="V342" s="5">
        <f>_xlfn.XLOOKUP(CustomerCombined[[#This Row],[ID]], Table4[ID], Table4[Visits], "Not Found", 0)</f>
        <v>8</v>
      </c>
      <c r="W342" s="8">
        <f>_xlfn.XLOOKUP(CustomerCombined[[#This Row],[ID]], Table2[ID],Table2[Complaint], "Not Found", 0 )</f>
        <v>0</v>
      </c>
      <c r="X342" s="8">
        <f>_xlfn.XLOOKUP(CustomerCombined[[#This Row],[ID]], Table2[ID],Table2[Pilot], "Not Found", 0 )</f>
        <v>1</v>
      </c>
      <c r="Y342" s="8">
        <f>_xlfn.XLOOKUP(CustomerCombined[[#This Row],[ID]], Table2[ID],Table2[MC1], "Not Found", 0 )</f>
        <v>0</v>
      </c>
      <c r="Z342" s="8">
        <f>_xlfn.XLOOKUP(CustomerCombined[[#This Row],[ID]], Table2[ID],Table2[MC2], "Not Found", 0 )</f>
        <v>0</v>
      </c>
      <c r="AA342" s="8">
        <f>_xlfn.XLOOKUP(CustomerCombined[[#This Row],[ID]], Table2[ID],Table2[MC3], "Not Found", 0 )</f>
        <v>0</v>
      </c>
      <c r="AB342" s="8">
        <f>_xlfn.XLOOKUP(CustomerCombined[[#This Row],[ID]], Table2[ID],Table2[MC4], "Not Found", 0 )</f>
        <v>0</v>
      </c>
      <c r="AC342" s="8">
        <f>_xlfn.XLOOKUP(CustomerCombined[[#This Row],[ID]], Table2[ID],Table2[MC5], "Not Found", 0 )</f>
        <v>0</v>
      </c>
    </row>
    <row r="343" spans="1:29" x14ac:dyDescent="0.3">
      <c r="A343" s="6">
        <v>2626</v>
      </c>
      <c r="B343" s="6">
        <v>122448</v>
      </c>
      <c r="C343" s="6">
        <v>1</v>
      </c>
      <c r="D343" s="6">
        <v>0</v>
      </c>
      <c r="E343" s="6">
        <v>38</v>
      </c>
      <c r="F343" s="5" t="s">
        <v>6</v>
      </c>
      <c r="G343" s="5" t="s">
        <v>11</v>
      </c>
      <c r="H343" s="3">
        <v>43869</v>
      </c>
      <c r="I343" s="5" t="s">
        <v>439</v>
      </c>
      <c r="J343" s="5">
        <f>_xlfn.XLOOKUP(CustomerCombined[[#This Row],[ID]], Table4[ID], Table4[Recency], "Not Found", 0)</f>
        <v>86</v>
      </c>
      <c r="K343" s="5">
        <f>_xlfn.XLOOKUP(CustomerCombined[[#This Row],[ID]], Table4[ID], Table4[Teas], "Not Found", 0)</f>
        <v>16</v>
      </c>
      <c r="L343" s="5">
        <f>_xlfn.XLOOKUP(CustomerCombined[[#This Row],[ID]], Table4[ID], Table4[Fruits], "Not Found", 0)</f>
        <v>5</v>
      </c>
      <c r="M343" s="5">
        <f>_xlfn.XLOOKUP(CustomerCombined[[#This Row],[ID]], Table4[ID], Table4[Meats], "Not Found", 0)</f>
        <v>44</v>
      </c>
      <c r="N343" s="5">
        <f>_xlfn.XLOOKUP(CustomerCombined[[#This Row],[ID]], Table4[ID], Table4[Seafood], "Not Found", 0)</f>
        <v>125</v>
      </c>
      <c r="O343" s="5">
        <f>_xlfn.XLOOKUP(CustomerCombined[[#This Row],[ID]], Table4[ID], Table4[Sweets], "Not Found", 0)</f>
        <v>11</v>
      </c>
      <c r="P343" s="5">
        <f>_xlfn.XLOOKUP(CustomerCombined[[#This Row],[ID]], Table4[ID], Table4[Premium], "Not Found", 0)</f>
        <v>98</v>
      </c>
      <c r="Q343" s="5">
        <f>_xlfn.XLOOKUP(CustomerCombined[[#This Row],[ID]], Table4[ID], Table4[Regular], "Not Found", 0)</f>
        <v>104</v>
      </c>
      <c r="R343" s="5">
        <f>_xlfn.XLOOKUP(CustomerCombined[[#This Row],[ID]], Table4[ID], Table4[Deals], "Not Found", 0)</f>
        <v>3</v>
      </c>
      <c r="S343" s="5">
        <f>_xlfn.XLOOKUP(CustomerCombined[[#This Row],[ID]], Table4[ID], Table4[Website], "Not Found", 0)</f>
        <v>2</v>
      </c>
      <c r="T343" s="5">
        <f>_xlfn.XLOOKUP(CustomerCombined[[#This Row],[ID]], Table4[ID], Table4[Catalog], "Not Found", 0)</f>
        <v>1</v>
      </c>
      <c r="U343" s="5">
        <f>_xlfn.XLOOKUP(CustomerCombined[[#This Row],[ID]], Table4[ID], Table4[Store], "Not Found", 0)</f>
        <v>3</v>
      </c>
      <c r="V343" s="5">
        <f>_xlfn.XLOOKUP(CustomerCombined[[#This Row],[ID]], Table4[ID], Table4[Visits], "Not Found", 0)</f>
        <v>3</v>
      </c>
      <c r="W343" s="8">
        <f>_xlfn.XLOOKUP(CustomerCombined[[#This Row],[ID]], Table2[ID],Table2[Complaint], "Not Found", 0 )</f>
        <v>0</v>
      </c>
      <c r="X343" s="8">
        <f>_xlfn.XLOOKUP(CustomerCombined[[#This Row],[ID]], Table2[ID],Table2[Pilot], "Not Found", 0 )</f>
        <v>0</v>
      </c>
      <c r="Y343" s="8">
        <f>_xlfn.XLOOKUP(CustomerCombined[[#This Row],[ID]], Table2[ID],Table2[MC1], "Not Found", 0 )</f>
        <v>0</v>
      </c>
      <c r="Z343" s="8">
        <f>_xlfn.XLOOKUP(CustomerCombined[[#This Row],[ID]], Table2[ID],Table2[MC2], "Not Found", 0 )</f>
        <v>0</v>
      </c>
      <c r="AA343" s="8">
        <f>_xlfn.XLOOKUP(CustomerCombined[[#This Row],[ID]], Table2[ID],Table2[MC3], "Not Found", 0 )</f>
        <v>0</v>
      </c>
      <c r="AB343" s="8">
        <f>_xlfn.XLOOKUP(CustomerCombined[[#This Row],[ID]], Table2[ID],Table2[MC4], "Not Found", 0 )</f>
        <v>0</v>
      </c>
      <c r="AC343" s="8">
        <f>_xlfn.XLOOKUP(CustomerCombined[[#This Row],[ID]], Table2[ID],Table2[MC5], "Not Found", 0 )</f>
        <v>0</v>
      </c>
    </row>
    <row r="344" spans="1:29" x14ac:dyDescent="0.3">
      <c r="A344" s="6">
        <v>2907</v>
      </c>
      <c r="B344" s="6">
        <v>121059</v>
      </c>
      <c r="C344" s="6">
        <v>1</v>
      </c>
      <c r="D344" s="6">
        <v>0</v>
      </c>
      <c r="E344" s="6">
        <v>38</v>
      </c>
      <c r="F344" s="5" t="s">
        <v>6</v>
      </c>
      <c r="G344" s="5" t="s">
        <v>12</v>
      </c>
      <c r="H344" s="3" t="s">
        <v>122</v>
      </c>
      <c r="I344" s="5" t="s">
        <v>435</v>
      </c>
      <c r="J344" s="5">
        <f>_xlfn.XLOOKUP(CustomerCombined[[#This Row],[ID]], Table4[ID], Table4[Recency], "Not Found", 0)</f>
        <v>40</v>
      </c>
      <c r="K344" s="5">
        <f>_xlfn.XLOOKUP(CustomerCombined[[#This Row],[ID]], Table4[ID], Table4[Teas], "Not Found", 0)</f>
        <v>46</v>
      </c>
      <c r="L344" s="5">
        <f>_xlfn.XLOOKUP(CustomerCombined[[#This Row],[ID]], Table4[ID], Table4[Fruits], "Not Found", 0)</f>
        <v>17</v>
      </c>
      <c r="M344" s="5">
        <f>_xlfn.XLOOKUP(CustomerCombined[[#This Row],[ID]], Table4[ID], Table4[Meats], "Not Found", 0)</f>
        <v>109</v>
      </c>
      <c r="N344" s="5">
        <f>_xlfn.XLOOKUP(CustomerCombined[[#This Row],[ID]], Table4[ID], Table4[Seafood], "Not Found", 0)</f>
        <v>17</v>
      </c>
      <c r="O344" s="5">
        <f>_xlfn.XLOOKUP(CustomerCombined[[#This Row],[ID]], Table4[ID], Table4[Sweets], "Not Found", 0)</f>
        <v>17</v>
      </c>
      <c r="P344" s="5">
        <f>_xlfn.XLOOKUP(CustomerCombined[[#This Row],[ID]], Table4[ID], Table4[Premium], "Not Found", 0)</f>
        <v>46</v>
      </c>
      <c r="Q344" s="5">
        <f>_xlfn.XLOOKUP(CustomerCombined[[#This Row],[ID]], Table4[ID], Table4[Regular], "Not Found", 0)</f>
        <v>161</v>
      </c>
      <c r="R344" s="5">
        <f>_xlfn.XLOOKUP(CustomerCombined[[#This Row],[ID]], Table4[ID], Table4[Deals], "Not Found", 0)</f>
        <v>3</v>
      </c>
      <c r="S344" s="5">
        <f>_xlfn.XLOOKUP(CustomerCombined[[#This Row],[ID]], Table4[ID], Table4[Website], "Not Found", 0)</f>
        <v>3</v>
      </c>
      <c r="T344" s="5">
        <f>_xlfn.XLOOKUP(CustomerCombined[[#This Row],[ID]], Table4[ID], Table4[Catalog], "Not Found", 0)</f>
        <v>0</v>
      </c>
      <c r="U344" s="5">
        <f>_xlfn.XLOOKUP(CustomerCombined[[#This Row],[ID]], Table4[ID], Table4[Store], "Not Found", 0)</f>
        <v>3</v>
      </c>
      <c r="V344" s="5">
        <f>_xlfn.XLOOKUP(CustomerCombined[[#This Row],[ID]], Table4[ID], Table4[Visits], "Not Found", 0)</f>
        <v>6</v>
      </c>
      <c r="W344" s="8">
        <f>_xlfn.XLOOKUP(CustomerCombined[[#This Row],[ID]], Table2[ID],Table2[Complaint], "Not Found", 0 )</f>
        <v>0</v>
      </c>
      <c r="X344" s="8">
        <f>_xlfn.XLOOKUP(CustomerCombined[[#This Row],[ID]], Table2[ID],Table2[Pilot], "Not Found", 0 )</f>
        <v>0</v>
      </c>
      <c r="Y344" s="8">
        <f>_xlfn.XLOOKUP(CustomerCombined[[#This Row],[ID]], Table2[ID],Table2[MC1], "Not Found", 0 )</f>
        <v>0</v>
      </c>
      <c r="Z344" s="8">
        <f>_xlfn.XLOOKUP(CustomerCombined[[#This Row],[ID]], Table2[ID],Table2[MC2], "Not Found", 0 )</f>
        <v>0</v>
      </c>
      <c r="AA344" s="8">
        <f>_xlfn.XLOOKUP(CustomerCombined[[#This Row],[ID]], Table2[ID],Table2[MC3], "Not Found", 0 )</f>
        <v>0</v>
      </c>
      <c r="AB344" s="8">
        <f>_xlfn.XLOOKUP(CustomerCombined[[#This Row],[ID]], Table2[ID],Table2[MC4], "Not Found", 0 )</f>
        <v>0</v>
      </c>
      <c r="AC344" s="8">
        <f>_xlfn.XLOOKUP(CustomerCombined[[#This Row],[ID]], Table2[ID],Table2[MC5], "Not Found", 0 )</f>
        <v>0</v>
      </c>
    </row>
    <row r="345" spans="1:29" x14ac:dyDescent="0.3">
      <c r="A345" s="6">
        <v>2604</v>
      </c>
      <c r="B345" s="6">
        <v>119444</v>
      </c>
      <c r="C345" s="6">
        <v>1</v>
      </c>
      <c r="D345" s="6">
        <v>0</v>
      </c>
      <c r="E345" s="6">
        <v>38</v>
      </c>
      <c r="F345" s="5" t="s">
        <v>8</v>
      </c>
      <c r="G345" s="5" t="s">
        <v>11</v>
      </c>
      <c r="H345" s="3" t="s">
        <v>93</v>
      </c>
      <c r="I345" s="5" t="s">
        <v>436</v>
      </c>
      <c r="J345" s="5">
        <f>_xlfn.XLOOKUP(CustomerCombined[[#This Row],[ID]], Table4[ID], Table4[Recency], "Not Found", 0)</f>
        <v>8</v>
      </c>
      <c r="K345" s="5">
        <f>_xlfn.XLOOKUP(CustomerCombined[[#This Row],[ID]], Table4[ID], Table4[Teas], "Not Found", 0)</f>
        <v>98</v>
      </c>
      <c r="L345" s="5">
        <f>_xlfn.XLOOKUP(CustomerCombined[[#This Row],[ID]], Table4[ID], Table4[Fruits], "Not Found", 0)</f>
        <v>0</v>
      </c>
      <c r="M345" s="5">
        <f>_xlfn.XLOOKUP(CustomerCombined[[#This Row],[ID]], Table4[ID], Table4[Meats], "Not Found", 0)</f>
        <v>141</v>
      </c>
      <c r="N345" s="5">
        <f>_xlfn.XLOOKUP(CustomerCombined[[#This Row],[ID]], Table4[ID], Table4[Seafood], "Not Found", 0)</f>
        <v>18</v>
      </c>
      <c r="O345" s="5">
        <f>_xlfn.XLOOKUP(CustomerCombined[[#This Row],[ID]], Table4[ID], Table4[Sweets], "Not Found", 0)</f>
        <v>12</v>
      </c>
      <c r="P345" s="5">
        <f>_xlfn.XLOOKUP(CustomerCombined[[#This Row],[ID]], Table4[ID], Table4[Premium], "Not Found", 0)</f>
        <v>61</v>
      </c>
      <c r="Q345" s="5">
        <f>_xlfn.XLOOKUP(CustomerCombined[[#This Row],[ID]], Table4[ID], Table4[Regular], "Not Found", 0)</f>
        <v>209</v>
      </c>
      <c r="R345" s="5">
        <f>_xlfn.XLOOKUP(CustomerCombined[[#This Row],[ID]], Table4[ID], Table4[Deals], "Not Found", 0)</f>
        <v>3</v>
      </c>
      <c r="S345" s="5">
        <f>_xlfn.XLOOKUP(CustomerCombined[[#This Row],[ID]], Table4[ID], Table4[Website], "Not Found", 0)</f>
        <v>4</v>
      </c>
      <c r="T345" s="5">
        <f>_xlfn.XLOOKUP(CustomerCombined[[#This Row],[ID]], Table4[ID], Table4[Catalog], "Not Found", 0)</f>
        <v>1</v>
      </c>
      <c r="U345" s="5">
        <f>_xlfn.XLOOKUP(CustomerCombined[[#This Row],[ID]], Table4[ID], Table4[Store], "Not Found", 0)</f>
        <v>2</v>
      </c>
      <c r="V345" s="5">
        <f>_xlfn.XLOOKUP(CustomerCombined[[#This Row],[ID]], Table4[ID], Table4[Visits], "Not Found", 0)</f>
        <v>7</v>
      </c>
      <c r="W345" s="8">
        <f>_xlfn.XLOOKUP(CustomerCombined[[#This Row],[ID]], Table2[ID],Table2[Complaint], "Not Found", 0 )</f>
        <v>0</v>
      </c>
      <c r="X345" s="8">
        <f>_xlfn.XLOOKUP(CustomerCombined[[#This Row],[ID]], Table2[ID],Table2[Pilot], "Not Found", 0 )</f>
        <v>1</v>
      </c>
      <c r="Y345" s="8">
        <f>_xlfn.XLOOKUP(CustomerCombined[[#This Row],[ID]], Table2[ID],Table2[MC1], "Not Found", 0 )</f>
        <v>0</v>
      </c>
      <c r="Z345" s="8">
        <f>_xlfn.XLOOKUP(CustomerCombined[[#This Row],[ID]], Table2[ID],Table2[MC2], "Not Found", 0 )</f>
        <v>0</v>
      </c>
      <c r="AA345" s="8">
        <f>_xlfn.XLOOKUP(CustomerCombined[[#This Row],[ID]], Table2[ID],Table2[MC3], "Not Found", 0 )</f>
        <v>0</v>
      </c>
      <c r="AB345" s="8">
        <f>_xlfn.XLOOKUP(CustomerCombined[[#This Row],[ID]], Table2[ID],Table2[MC4], "Not Found", 0 )</f>
        <v>0</v>
      </c>
      <c r="AC345" s="8">
        <f>_xlfn.XLOOKUP(CustomerCombined[[#This Row],[ID]], Table2[ID],Table2[MC5], "Not Found", 0 )</f>
        <v>0</v>
      </c>
    </row>
    <row r="346" spans="1:29" x14ac:dyDescent="0.3">
      <c r="A346" s="6">
        <v>1406</v>
      </c>
      <c r="B346" s="6">
        <v>118492</v>
      </c>
      <c r="C346" s="6">
        <v>1</v>
      </c>
      <c r="D346" s="6">
        <v>0</v>
      </c>
      <c r="E346" s="6">
        <v>38</v>
      </c>
      <c r="F346" s="5" t="s">
        <v>8</v>
      </c>
      <c r="G346" s="5" t="s">
        <v>12</v>
      </c>
      <c r="H346" s="3">
        <v>44085</v>
      </c>
      <c r="I346" s="5" t="s">
        <v>438</v>
      </c>
      <c r="J346" s="5">
        <f>_xlfn.XLOOKUP(CustomerCombined[[#This Row],[ID]], Table4[ID], Table4[Recency], "Not Found", 0)</f>
        <v>75</v>
      </c>
      <c r="K346" s="5">
        <f>_xlfn.XLOOKUP(CustomerCombined[[#This Row],[ID]], Table4[ID], Table4[Teas], "Not Found", 0)</f>
        <v>13</v>
      </c>
      <c r="L346" s="5">
        <f>_xlfn.XLOOKUP(CustomerCombined[[#This Row],[ID]], Table4[ID], Table4[Fruits], "Not Found", 0)</f>
        <v>13</v>
      </c>
      <c r="M346" s="5">
        <f>_xlfn.XLOOKUP(CustomerCombined[[#This Row],[ID]], Table4[ID], Table4[Meats], "Not Found", 0)</f>
        <v>13</v>
      </c>
      <c r="N346" s="5">
        <f>_xlfn.XLOOKUP(CustomerCombined[[#This Row],[ID]], Table4[ID], Table4[Seafood], "Not Found", 0)</f>
        <v>13</v>
      </c>
      <c r="O346" s="5">
        <f>_xlfn.XLOOKUP(CustomerCombined[[#This Row],[ID]], Table4[ID], Table4[Sweets], "Not Found", 0)</f>
        <v>6</v>
      </c>
      <c r="P346" s="5">
        <f>_xlfn.XLOOKUP(CustomerCombined[[#This Row],[ID]], Table4[ID], Table4[Premium], "Not Found", 0)</f>
        <v>6</v>
      </c>
      <c r="Q346" s="5">
        <f>_xlfn.XLOOKUP(CustomerCombined[[#This Row],[ID]], Table4[ID], Table4[Regular], "Not Found", 0)</f>
        <v>51</v>
      </c>
      <c r="R346" s="5">
        <f>_xlfn.XLOOKUP(CustomerCombined[[#This Row],[ID]], Table4[ID], Table4[Deals], "Not Found", 0)</f>
        <v>1</v>
      </c>
      <c r="S346" s="5">
        <f>_xlfn.XLOOKUP(CustomerCombined[[#This Row],[ID]], Table4[ID], Table4[Website], "Not Found", 0)</f>
        <v>1</v>
      </c>
      <c r="T346" s="5">
        <f>_xlfn.XLOOKUP(CustomerCombined[[#This Row],[ID]], Table4[ID], Table4[Catalog], "Not Found", 0)</f>
        <v>0</v>
      </c>
      <c r="U346" s="5">
        <f>_xlfn.XLOOKUP(CustomerCombined[[#This Row],[ID]], Table4[ID], Table4[Store], "Not Found", 0)</f>
        <v>2</v>
      </c>
      <c r="V346" s="5">
        <f>_xlfn.XLOOKUP(CustomerCombined[[#This Row],[ID]], Table4[ID], Table4[Visits], "Not Found", 0)</f>
        <v>8</v>
      </c>
      <c r="W346" s="8">
        <f>_xlfn.XLOOKUP(CustomerCombined[[#This Row],[ID]], Table2[ID],Table2[Complaint], "Not Found", 0 )</f>
        <v>0</v>
      </c>
      <c r="X346" s="8">
        <f>_xlfn.XLOOKUP(CustomerCombined[[#This Row],[ID]], Table2[ID],Table2[Pilot], "Not Found", 0 )</f>
        <v>0</v>
      </c>
      <c r="Y346" s="8">
        <f>_xlfn.XLOOKUP(CustomerCombined[[#This Row],[ID]], Table2[ID],Table2[MC1], "Not Found", 0 )</f>
        <v>0</v>
      </c>
      <c r="Z346" s="8">
        <f>_xlfn.XLOOKUP(CustomerCombined[[#This Row],[ID]], Table2[ID],Table2[MC2], "Not Found", 0 )</f>
        <v>0</v>
      </c>
      <c r="AA346" s="8">
        <f>_xlfn.XLOOKUP(CustomerCombined[[#This Row],[ID]], Table2[ID],Table2[MC3], "Not Found", 0 )</f>
        <v>0</v>
      </c>
      <c r="AB346" s="8">
        <f>_xlfn.XLOOKUP(CustomerCombined[[#This Row],[ID]], Table2[ID],Table2[MC4], "Not Found", 0 )</f>
        <v>0</v>
      </c>
      <c r="AC346" s="8">
        <f>_xlfn.XLOOKUP(CustomerCombined[[#This Row],[ID]], Table2[ID],Table2[MC5], "Not Found", 0 )</f>
        <v>0</v>
      </c>
    </row>
    <row r="347" spans="1:29" x14ac:dyDescent="0.3">
      <c r="A347" s="6">
        <v>2308</v>
      </c>
      <c r="B347" s="6">
        <v>106560</v>
      </c>
      <c r="C347" s="6">
        <v>0</v>
      </c>
      <c r="D347" s="6">
        <v>0</v>
      </c>
      <c r="E347" s="6">
        <v>38</v>
      </c>
      <c r="F347" s="5" t="s">
        <v>7</v>
      </c>
      <c r="G347" s="5" t="s">
        <v>12</v>
      </c>
      <c r="H347" s="3" t="s">
        <v>136</v>
      </c>
      <c r="I347" s="5" t="s">
        <v>439</v>
      </c>
      <c r="J347" s="5">
        <f>_xlfn.XLOOKUP(CustomerCombined[[#This Row],[ID]], Table4[ID], Table4[Recency], "Not Found", 0)</f>
        <v>2</v>
      </c>
      <c r="K347" s="5">
        <f>_xlfn.XLOOKUP(CustomerCombined[[#This Row],[ID]], Table4[ID], Table4[Teas], "Not Found", 0)</f>
        <v>1088</v>
      </c>
      <c r="L347" s="5">
        <f>_xlfn.XLOOKUP(CustomerCombined[[#This Row],[ID]], Table4[ID], Table4[Fruits], "Not Found", 0)</f>
        <v>179</v>
      </c>
      <c r="M347" s="5">
        <f>_xlfn.XLOOKUP(CustomerCombined[[#This Row],[ID]], Table4[ID], Table4[Meats], "Not Found", 0)</f>
        <v>422</v>
      </c>
      <c r="N347" s="5">
        <f>_xlfn.XLOOKUP(CustomerCombined[[#This Row],[ID]], Table4[ID], Table4[Seafood], "Not Found", 0)</f>
        <v>65</v>
      </c>
      <c r="O347" s="5">
        <f>_xlfn.XLOOKUP(CustomerCombined[[#This Row],[ID]], Table4[ID], Table4[Sweets], "Not Found", 0)</f>
        <v>49</v>
      </c>
      <c r="P347" s="5">
        <f>_xlfn.XLOOKUP(CustomerCombined[[#This Row],[ID]], Table4[ID], Table4[Premium], "Not Found", 0)</f>
        <v>4256</v>
      </c>
      <c r="Q347" s="5">
        <f>_xlfn.XLOOKUP(CustomerCombined[[#This Row],[ID]], Table4[ID], Table4[Regular], "Not Found", 0)</f>
        <v>-2453</v>
      </c>
      <c r="R347" s="5">
        <f>_xlfn.XLOOKUP(CustomerCombined[[#This Row],[ID]], Table4[ID], Table4[Deals], "Not Found", 0)</f>
        <v>0</v>
      </c>
      <c r="S347" s="5">
        <f>_xlfn.XLOOKUP(CustomerCombined[[#This Row],[ID]], Table4[ID], Table4[Website], "Not Found", 0)</f>
        <v>1</v>
      </c>
      <c r="T347" s="5">
        <f>_xlfn.XLOOKUP(CustomerCombined[[#This Row],[ID]], Table4[ID], Table4[Catalog], "Not Found", 0)</f>
        <v>0</v>
      </c>
      <c r="U347" s="5">
        <f>_xlfn.XLOOKUP(CustomerCombined[[#This Row],[ID]], Table4[ID], Table4[Store], "Not Found", 0)</f>
        <v>1</v>
      </c>
      <c r="V347" s="5">
        <f>_xlfn.XLOOKUP(CustomerCombined[[#This Row],[ID]], Table4[ID], Table4[Visits], "Not Found", 0)</f>
        <v>17</v>
      </c>
      <c r="W347" s="8">
        <f>_xlfn.XLOOKUP(CustomerCombined[[#This Row],[ID]], Table2[ID],Table2[Complaint], "Not Found", 0 )</f>
        <v>0</v>
      </c>
      <c r="X347" s="8">
        <f>_xlfn.XLOOKUP(CustomerCombined[[#This Row],[ID]], Table2[ID],Table2[Pilot], "Not Found", 0 )</f>
        <v>0</v>
      </c>
      <c r="Y347" s="8">
        <f>_xlfn.XLOOKUP(CustomerCombined[[#This Row],[ID]], Table2[ID],Table2[MC1], "Not Found", 0 )</f>
        <v>0</v>
      </c>
      <c r="Z347" s="8">
        <f>_xlfn.XLOOKUP(CustomerCombined[[#This Row],[ID]], Table2[ID],Table2[MC2], "Not Found", 0 )</f>
        <v>0</v>
      </c>
      <c r="AA347" s="8">
        <f>_xlfn.XLOOKUP(CustomerCombined[[#This Row],[ID]], Table2[ID],Table2[MC3], "Not Found", 0 )</f>
        <v>0</v>
      </c>
      <c r="AB347" s="8">
        <f>_xlfn.XLOOKUP(CustomerCombined[[#This Row],[ID]], Table2[ID],Table2[MC4], "Not Found", 0 )</f>
        <v>0</v>
      </c>
      <c r="AC347" s="8">
        <f>_xlfn.XLOOKUP(CustomerCombined[[#This Row],[ID]], Table2[ID],Table2[MC5], "Not Found", 0 )</f>
        <v>0</v>
      </c>
    </row>
    <row r="348" spans="1:29" x14ac:dyDescent="0.3">
      <c r="A348" s="6">
        <v>1402</v>
      </c>
      <c r="B348" s="6">
        <v>191065</v>
      </c>
      <c r="C348" s="6">
        <v>0</v>
      </c>
      <c r="D348" s="6">
        <v>0</v>
      </c>
      <c r="E348" s="6">
        <v>39</v>
      </c>
      <c r="F348" s="5" t="s">
        <v>7</v>
      </c>
      <c r="G348" s="5" t="s">
        <v>11</v>
      </c>
      <c r="H348" s="3" t="s">
        <v>301</v>
      </c>
      <c r="I348" s="5" t="s">
        <v>439</v>
      </c>
      <c r="J348" s="5">
        <f>_xlfn.XLOOKUP(CustomerCombined[[#This Row],[ID]], Table4[ID], Table4[Recency], "Not Found", 0)</f>
        <v>33</v>
      </c>
      <c r="K348" s="5">
        <f>_xlfn.XLOOKUP(CustomerCombined[[#This Row],[ID]], Table4[ID], Table4[Teas], "Not Found", 0)</f>
        <v>1725</v>
      </c>
      <c r="L348" s="5">
        <f>_xlfn.XLOOKUP(CustomerCombined[[#This Row],[ID]], Table4[ID], Table4[Fruits], "Not Found", 0)</f>
        <v>239</v>
      </c>
      <c r="M348" s="5">
        <f>_xlfn.XLOOKUP(CustomerCombined[[#This Row],[ID]], Table4[ID], Table4[Meats], "Not Found", 0)</f>
        <v>227</v>
      </c>
      <c r="N348" s="5">
        <f>_xlfn.XLOOKUP(CustomerCombined[[#This Row],[ID]], Table4[ID], Table4[Seafood], "Not Found", 0)</f>
        <v>376</v>
      </c>
      <c r="O348" s="5">
        <f>_xlfn.XLOOKUP(CustomerCombined[[#This Row],[ID]], Table4[ID], Table4[Sweets], "Not Found", 0)</f>
        <v>287</v>
      </c>
      <c r="P348" s="5">
        <f>_xlfn.XLOOKUP(CustomerCombined[[#This Row],[ID]], Table4[ID], Table4[Premium], "Not Found", 0)</f>
        <v>239</v>
      </c>
      <c r="Q348" s="5">
        <f>_xlfn.XLOOKUP(CustomerCombined[[#This Row],[ID]], Table4[ID], Table4[Regular], "Not Found", 0)</f>
        <v>2614</v>
      </c>
      <c r="R348" s="5">
        <f>_xlfn.XLOOKUP(CustomerCombined[[#This Row],[ID]], Table4[ID], Table4[Deals], "Not Found", 0)</f>
        <v>1</v>
      </c>
      <c r="S348" s="5">
        <f>_xlfn.XLOOKUP(CustomerCombined[[#This Row],[ID]], Table4[ID], Table4[Website], "Not Found", 0)</f>
        <v>7</v>
      </c>
      <c r="T348" s="5">
        <f>_xlfn.XLOOKUP(CustomerCombined[[#This Row],[ID]], Table4[ID], Table4[Catalog], "Not Found", 0)</f>
        <v>9</v>
      </c>
      <c r="U348" s="5">
        <f>_xlfn.XLOOKUP(CustomerCombined[[#This Row],[ID]], Table4[ID], Table4[Store], "Not Found", 0)</f>
        <v>9</v>
      </c>
      <c r="V348" s="5">
        <f>_xlfn.XLOOKUP(CustomerCombined[[#This Row],[ID]], Table4[ID], Table4[Visits], "Not Found", 0)</f>
        <v>3</v>
      </c>
      <c r="W348" s="8">
        <f>_xlfn.XLOOKUP(CustomerCombined[[#This Row],[ID]], Table2[ID],Table2[Complaint], "Not Found", 0 )</f>
        <v>0</v>
      </c>
      <c r="X348" s="8">
        <f>_xlfn.XLOOKUP(CustomerCombined[[#This Row],[ID]], Table2[ID],Table2[Pilot], "Not Found", 0 )</f>
        <v>1</v>
      </c>
      <c r="Y348" s="8">
        <f>_xlfn.XLOOKUP(CustomerCombined[[#This Row],[ID]], Table2[ID],Table2[MC1], "Not Found", 0 )</f>
        <v>1</v>
      </c>
      <c r="Z348" s="8">
        <f>_xlfn.XLOOKUP(CustomerCombined[[#This Row],[ID]], Table2[ID],Table2[MC2], "Not Found", 0 )</f>
        <v>0</v>
      </c>
      <c r="AA348" s="8">
        <f>_xlfn.XLOOKUP(CustomerCombined[[#This Row],[ID]], Table2[ID],Table2[MC3], "Not Found", 0 )</f>
        <v>0</v>
      </c>
      <c r="AB348" s="8">
        <f>_xlfn.XLOOKUP(CustomerCombined[[#This Row],[ID]], Table2[ID],Table2[MC4], "Not Found", 0 )</f>
        <v>0</v>
      </c>
      <c r="AC348" s="8">
        <f>_xlfn.XLOOKUP(CustomerCombined[[#This Row],[ID]], Table2[ID],Table2[MC5], "Not Found", 0 )</f>
        <v>1</v>
      </c>
    </row>
    <row r="349" spans="1:29" x14ac:dyDescent="0.3">
      <c r="A349" s="6">
        <v>3179</v>
      </c>
      <c r="B349" s="6">
        <v>188325</v>
      </c>
      <c r="C349" s="6">
        <v>0</v>
      </c>
      <c r="D349" s="6">
        <v>0</v>
      </c>
      <c r="E349" s="6">
        <v>39</v>
      </c>
      <c r="F349" s="5" t="s">
        <v>8</v>
      </c>
      <c r="G349" s="5" t="s">
        <v>11</v>
      </c>
      <c r="H349" s="3">
        <v>44172</v>
      </c>
      <c r="I349" s="5" t="s">
        <v>434</v>
      </c>
      <c r="J349" s="5">
        <f>_xlfn.XLOOKUP(CustomerCombined[[#This Row],[ID]], Table4[ID], Table4[Recency], "Not Found", 0)</f>
        <v>42</v>
      </c>
      <c r="K349" s="5">
        <f>_xlfn.XLOOKUP(CustomerCombined[[#This Row],[ID]], Table4[ID], Table4[Teas], "Not Found", 0)</f>
        <v>1107</v>
      </c>
      <c r="L349" s="5">
        <f>_xlfn.XLOOKUP(CustomerCombined[[#This Row],[ID]], Table4[ID], Table4[Fruits], "Not Found", 0)</f>
        <v>151</v>
      </c>
      <c r="M349" s="5">
        <f>_xlfn.XLOOKUP(CustomerCombined[[#This Row],[ID]], Table4[ID], Table4[Meats], "Not Found", 0)</f>
        <v>1834</v>
      </c>
      <c r="N349" s="5">
        <f>_xlfn.XLOOKUP(CustomerCombined[[#This Row],[ID]], Table4[ID], Table4[Seafood], "Not Found", 0)</f>
        <v>198</v>
      </c>
      <c r="O349" s="5">
        <f>_xlfn.XLOOKUP(CustomerCombined[[#This Row],[ID]], Table4[ID], Table4[Sweets], "Not Found", 0)</f>
        <v>58</v>
      </c>
      <c r="P349" s="5">
        <f>_xlfn.XLOOKUP(CustomerCombined[[#This Row],[ID]], Table4[ID], Table4[Premium], "Not Found", 0)</f>
        <v>113</v>
      </c>
      <c r="Q349" s="5">
        <f>_xlfn.XLOOKUP(CustomerCombined[[#This Row],[ID]], Table4[ID], Table4[Regular], "Not Found", 0)</f>
        <v>3235</v>
      </c>
      <c r="R349" s="5">
        <f>_xlfn.XLOOKUP(CustomerCombined[[#This Row],[ID]], Table4[ID], Table4[Deals], "Not Found", 0)</f>
        <v>1</v>
      </c>
      <c r="S349" s="5">
        <f>_xlfn.XLOOKUP(CustomerCombined[[#This Row],[ID]], Table4[ID], Table4[Website], "Not Found", 0)</f>
        <v>6</v>
      </c>
      <c r="T349" s="5">
        <f>_xlfn.XLOOKUP(CustomerCombined[[#This Row],[ID]], Table4[ID], Table4[Catalog], "Not Found", 0)</f>
        <v>2</v>
      </c>
      <c r="U349" s="5">
        <f>_xlfn.XLOOKUP(CustomerCombined[[#This Row],[ID]], Table4[ID], Table4[Store], "Not Found", 0)</f>
        <v>9</v>
      </c>
      <c r="V349" s="5">
        <f>_xlfn.XLOOKUP(CustomerCombined[[#This Row],[ID]], Table4[ID], Table4[Visits], "Not Found", 0)</f>
        <v>2</v>
      </c>
      <c r="W349" s="8">
        <f>_xlfn.XLOOKUP(CustomerCombined[[#This Row],[ID]], Table2[ID],Table2[Complaint], "Not Found", 0 )</f>
        <v>0</v>
      </c>
      <c r="X349" s="8">
        <f>_xlfn.XLOOKUP(CustomerCombined[[#This Row],[ID]], Table2[ID],Table2[Pilot], "Not Found", 0 )</f>
        <v>0</v>
      </c>
      <c r="Y349" s="8">
        <f>_xlfn.XLOOKUP(CustomerCombined[[#This Row],[ID]], Table2[ID],Table2[MC1], "Not Found", 0 )</f>
        <v>0</v>
      </c>
      <c r="Z349" s="8">
        <f>_xlfn.XLOOKUP(CustomerCombined[[#This Row],[ID]], Table2[ID],Table2[MC2], "Not Found", 0 )</f>
        <v>0</v>
      </c>
      <c r="AA349" s="8">
        <f>_xlfn.XLOOKUP(CustomerCombined[[#This Row],[ID]], Table2[ID],Table2[MC3], "Not Found", 0 )</f>
        <v>0</v>
      </c>
      <c r="AB349" s="8">
        <f>_xlfn.XLOOKUP(CustomerCombined[[#This Row],[ID]], Table2[ID],Table2[MC4], "Not Found", 0 )</f>
        <v>0</v>
      </c>
      <c r="AC349" s="8">
        <f>_xlfn.XLOOKUP(CustomerCombined[[#This Row],[ID]], Table2[ID],Table2[MC5], "Not Found", 0 )</f>
        <v>0</v>
      </c>
    </row>
    <row r="350" spans="1:29" x14ac:dyDescent="0.3">
      <c r="A350" s="6">
        <v>2057</v>
      </c>
      <c r="B350" s="6">
        <v>187171</v>
      </c>
      <c r="C350" s="6">
        <v>0</v>
      </c>
      <c r="D350" s="6">
        <v>0</v>
      </c>
      <c r="E350" s="6">
        <v>39</v>
      </c>
      <c r="F350" s="5" t="s">
        <v>6</v>
      </c>
      <c r="G350" s="5" t="s">
        <v>13</v>
      </c>
      <c r="H350" s="3">
        <v>43626</v>
      </c>
      <c r="I350" s="5" t="s">
        <v>434</v>
      </c>
      <c r="J350" s="5">
        <f>_xlfn.XLOOKUP(CustomerCombined[[#This Row],[ID]], Table4[ID], Table4[Recency], "Not Found", 0)</f>
        <v>27</v>
      </c>
      <c r="K350" s="5">
        <f>_xlfn.XLOOKUP(CustomerCombined[[#This Row],[ID]], Table4[ID], Table4[Teas], "Not Found", 0)</f>
        <v>2149</v>
      </c>
      <c r="L350" s="5">
        <f>_xlfn.XLOOKUP(CustomerCombined[[#This Row],[ID]], Table4[ID], Table4[Fruits], "Not Found", 0)</f>
        <v>94</v>
      </c>
      <c r="M350" s="5">
        <f>_xlfn.XLOOKUP(CustomerCombined[[#This Row],[ID]], Table4[ID], Table4[Meats], "Not Found", 0)</f>
        <v>230</v>
      </c>
      <c r="N350" s="5">
        <f>_xlfn.XLOOKUP(CustomerCombined[[#This Row],[ID]], Table4[ID], Table4[Seafood], "Not Found", 0)</f>
        <v>125</v>
      </c>
      <c r="O350" s="5">
        <f>_xlfn.XLOOKUP(CustomerCombined[[#This Row],[ID]], Table4[ID], Table4[Sweets], "Not Found", 0)</f>
        <v>94</v>
      </c>
      <c r="P350" s="5">
        <f>_xlfn.XLOOKUP(CustomerCombined[[#This Row],[ID]], Table4[ID], Table4[Premium], "Not Found", 0)</f>
        <v>94</v>
      </c>
      <c r="Q350" s="5">
        <f>_xlfn.XLOOKUP(CustomerCombined[[#This Row],[ID]], Table4[ID], Table4[Regular], "Not Found", 0)</f>
        <v>2598</v>
      </c>
      <c r="R350" s="5">
        <f>_xlfn.XLOOKUP(CustomerCombined[[#This Row],[ID]], Table4[ID], Table4[Deals], "Not Found", 0)</f>
        <v>1</v>
      </c>
      <c r="S350" s="5">
        <f>_xlfn.XLOOKUP(CustomerCombined[[#This Row],[ID]], Table4[ID], Table4[Website], "Not Found", 0)</f>
        <v>6</v>
      </c>
      <c r="T350" s="5">
        <f>_xlfn.XLOOKUP(CustomerCombined[[#This Row],[ID]], Table4[ID], Table4[Catalog], "Not Found", 0)</f>
        <v>7</v>
      </c>
      <c r="U350" s="5">
        <f>_xlfn.XLOOKUP(CustomerCombined[[#This Row],[ID]], Table4[ID], Table4[Store], "Not Found", 0)</f>
        <v>11</v>
      </c>
      <c r="V350" s="5">
        <f>_xlfn.XLOOKUP(CustomerCombined[[#This Row],[ID]], Table4[ID], Table4[Visits], "Not Found", 0)</f>
        <v>2</v>
      </c>
      <c r="W350" s="8">
        <f>_xlfn.XLOOKUP(CustomerCombined[[#This Row],[ID]], Table2[ID],Table2[Complaint], "Not Found", 0 )</f>
        <v>0</v>
      </c>
      <c r="X350" s="8">
        <f>_xlfn.XLOOKUP(CustomerCombined[[#This Row],[ID]], Table2[ID],Table2[Pilot], "Not Found", 0 )</f>
        <v>0</v>
      </c>
      <c r="Y350" s="8">
        <f>_xlfn.XLOOKUP(CustomerCombined[[#This Row],[ID]], Table2[ID],Table2[MC1], "Not Found", 0 )</f>
        <v>0</v>
      </c>
      <c r="Z350" s="8">
        <f>_xlfn.XLOOKUP(CustomerCombined[[#This Row],[ID]], Table2[ID],Table2[MC2], "Not Found", 0 )</f>
        <v>0</v>
      </c>
      <c r="AA350" s="8">
        <f>_xlfn.XLOOKUP(CustomerCombined[[#This Row],[ID]], Table2[ID],Table2[MC3], "Not Found", 0 )</f>
        <v>1</v>
      </c>
      <c r="AB350" s="8">
        <f>_xlfn.XLOOKUP(CustomerCombined[[#This Row],[ID]], Table2[ID],Table2[MC4], "Not Found", 0 )</f>
        <v>0</v>
      </c>
      <c r="AC350" s="8">
        <f>_xlfn.XLOOKUP(CustomerCombined[[#This Row],[ID]], Table2[ID],Table2[MC5], "Not Found", 0 )</f>
        <v>1</v>
      </c>
    </row>
    <row r="351" spans="1:29" x14ac:dyDescent="0.3">
      <c r="A351" s="6">
        <v>1264</v>
      </c>
      <c r="B351" s="6">
        <v>177882</v>
      </c>
      <c r="C351" s="6">
        <v>0</v>
      </c>
      <c r="D351" s="6">
        <v>0</v>
      </c>
      <c r="E351" s="6">
        <v>39</v>
      </c>
      <c r="F351" s="5" t="s">
        <v>8</v>
      </c>
      <c r="G351" s="5" t="s">
        <v>12</v>
      </c>
      <c r="H351" s="3">
        <v>43931</v>
      </c>
      <c r="I351" s="5" t="s">
        <v>439</v>
      </c>
      <c r="J351" s="5">
        <f>_xlfn.XLOOKUP(CustomerCombined[[#This Row],[ID]], Table4[ID], Table4[Recency], "Not Found", 0)</f>
        <v>29</v>
      </c>
      <c r="K351" s="5">
        <f>_xlfn.XLOOKUP(CustomerCombined[[#This Row],[ID]], Table4[ID], Table4[Teas], "Not Found", 0)</f>
        <v>155</v>
      </c>
      <c r="L351" s="5">
        <f>_xlfn.XLOOKUP(CustomerCombined[[#This Row],[ID]], Table4[ID], Table4[Fruits], "Not Found", 0)</f>
        <v>295</v>
      </c>
      <c r="M351" s="5">
        <f>_xlfn.XLOOKUP(CustomerCombined[[#This Row],[ID]], Table4[ID], Table4[Meats], "Not Found", 0)</f>
        <v>904</v>
      </c>
      <c r="N351" s="5">
        <f>_xlfn.XLOOKUP(CustomerCombined[[#This Row],[ID]], Table4[ID], Table4[Seafood], "Not Found", 0)</f>
        <v>429</v>
      </c>
      <c r="O351" s="5">
        <f>_xlfn.XLOOKUP(CustomerCombined[[#This Row],[ID]], Table4[ID], Table4[Sweets], "Not Found", 0)</f>
        <v>50</v>
      </c>
      <c r="P351" s="5">
        <f>_xlfn.XLOOKUP(CustomerCombined[[#This Row],[ID]], Table4[ID], Table4[Premium], "Not Found", 0)</f>
        <v>34</v>
      </c>
      <c r="Q351" s="5">
        <f>_xlfn.XLOOKUP(CustomerCombined[[#This Row],[ID]], Table4[ID], Table4[Regular], "Not Found", 0)</f>
        <v>1800</v>
      </c>
      <c r="R351" s="5">
        <f>_xlfn.XLOOKUP(CustomerCombined[[#This Row],[ID]], Table4[ID], Table4[Deals], "Not Found", 0)</f>
        <v>1</v>
      </c>
      <c r="S351" s="5">
        <f>_xlfn.XLOOKUP(CustomerCombined[[#This Row],[ID]], Table4[ID], Table4[Website], "Not Found", 0)</f>
        <v>3</v>
      </c>
      <c r="T351" s="5">
        <f>_xlfn.XLOOKUP(CustomerCombined[[#This Row],[ID]], Table4[ID], Table4[Catalog], "Not Found", 0)</f>
        <v>3</v>
      </c>
      <c r="U351" s="5">
        <f>_xlfn.XLOOKUP(CustomerCombined[[#This Row],[ID]], Table4[ID], Table4[Store], "Not Found", 0)</f>
        <v>5</v>
      </c>
      <c r="V351" s="5">
        <f>_xlfn.XLOOKUP(CustomerCombined[[#This Row],[ID]], Table4[ID], Table4[Visits], "Not Found", 0)</f>
        <v>1</v>
      </c>
      <c r="W351" s="8">
        <f>_xlfn.XLOOKUP(CustomerCombined[[#This Row],[ID]], Table2[ID],Table2[Complaint], "Not Found", 0 )</f>
        <v>0</v>
      </c>
      <c r="X351" s="8">
        <f>_xlfn.XLOOKUP(CustomerCombined[[#This Row],[ID]], Table2[ID],Table2[Pilot], "Not Found", 0 )</f>
        <v>0</v>
      </c>
      <c r="Y351" s="8">
        <f>_xlfn.XLOOKUP(CustomerCombined[[#This Row],[ID]], Table2[ID],Table2[MC1], "Not Found", 0 )</f>
        <v>0</v>
      </c>
      <c r="Z351" s="8">
        <f>_xlfn.XLOOKUP(CustomerCombined[[#This Row],[ID]], Table2[ID],Table2[MC2], "Not Found", 0 )</f>
        <v>0</v>
      </c>
      <c r="AA351" s="8">
        <f>_xlfn.XLOOKUP(CustomerCombined[[#This Row],[ID]], Table2[ID],Table2[MC3], "Not Found", 0 )</f>
        <v>0</v>
      </c>
      <c r="AB351" s="8">
        <f>_xlfn.XLOOKUP(CustomerCombined[[#This Row],[ID]], Table2[ID],Table2[MC4], "Not Found", 0 )</f>
        <v>0</v>
      </c>
      <c r="AC351" s="8">
        <f>_xlfn.XLOOKUP(CustomerCombined[[#This Row],[ID]], Table2[ID],Table2[MC5], "Not Found", 0 )</f>
        <v>0</v>
      </c>
    </row>
    <row r="352" spans="1:29" x14ac:dyDescent="0.3">
      <c r="A352" s="6">
        <v>2620</v>
      </c>
      <c r="B352" s="6">
        <v>175774</v>
      </c>
      <c r="C352" s="6">
        <v>1</v>
      </c>
      <c r="D352" s="6">
        <v>0</v>
      </c>
      <c r="E352" s="6">
        <v>39</v>
      </c>
      <c r="F352" s="5" t="s">
        <v>8</v>
      </c>
      <c r="G352" s="5" t="s">
        <v>442</v>
      </c>
      <c r="H352" s="3">
        <v>43992</v>
      </c>
      <c r="I352" s="5" t="s">
        <v>439</v>
      </c>
      <c r="J352" s="5">
        <f>_xlfn.XLOOKUP(CustomerCombined[[#This Row],[ID]], Table4[ID], Table4[Recency], "Not Found", 0)</f>
        <v>27</v>
      </c>
      <c r="K352" s="5">
        <f>_xlfn.XLOOKUP(CustomerCombined[[#This Row],[ID]], Table4[ID], Table4[Teas], "Not Found", 0)</f>
        <v>789</v>
      </c>
      <c r="L352" s="5">
        <f>_xlfn.XLOOKUP(CustomerCombined[[#This Row],[ID]], Table4[ID], Table4[Fruits], "Not Found", 0)</f>
        <v>49</v>
      </c>
      <c r="M352" s="5">
        <f>_xlfn.XLOOKUP(CustomerCombined[[#This Row],[ID]], Table4[ID], Table4[Meats], "Not Found", 0)</f>
        <v>311</v>
      </c>
      <c r="N352" s="5">
        <f>_xlfn.XLOOKUP(CustomerCombined[[#This Row],[ID]], Table4[ID], Table4[Seafood], "Not Found", 0)</f>
        <v>598</v>
      </c>
      <c r="O352" s="5">
        <f>_xlfn.XLOOKUP(CustomerCombined[[#This Row],[ID]], Table4[ID], Table4[Sweets], "Not Found", 0)</f>
        <v>32</v>
      </c>
      <c r="P352" s="5">
        <f>_xlfn.XLOOKUP(CustomerCombined[[#This Row],[ID]], Table4[ID], Table4[Premium], "Not Found", 0)</f>
        <v>130</v>
      </c>
      <c r="Q352" s="5">
        <f>_xlfn.XLOOKUP(CustomerCombined[[#This Row],[ID]], Table4[ID], Table4[Regular], "Not Found", 0)</f>
        <v>1649</v>
      </c>
      <c r="R352" s="5">
        <f>_xlfn.XLOOKUP(CustomerCombined[[#This Row],[ID]], Table4[ID], Table4[Deals], "Not Found", 0)</f>
        <v>1</v>
      </c>
      <c r="S352" s="5">
        <f>_xlfn.XLOOKUP(CustomerCombined[[#This Row],[ID]], Table4[ID], Table4[Website], "Not Found", 0)</f>
        <v>7</v>
      </c>
      <c r="T352" s="5">
        <f>_xlfn.XLOOKUP(CustomerCombined[[#This Row],[ID]], Table4[ID], Table4[Catalog], "Not Found", 0)</f>
        <v>5</v>
      </c>
      <c r="U352" s="5">
        <f>_xlfn.XLOOKUP(CustomerCombined[[#This Row],[ID]], Table4[ID], Table4[Store], "Not Found", 0)</f>
        <v>8</v>
      </c>
      <c r="V352" s="5">
        <f>_xlfn.XLOOKUP(CustomerCombined[[#This Row],[ID]], Table4[ID], Table4[Visits], "Not Found", 0)</f>
        <v>4</v>
      </c>
      <c r="W352" s="8">
        <f>_xlfn.XLOOKUP(CustomerCombined[[#This Row],[ID]], Table2[ID],Table2[Complaint], "Not Found", 0 )</f>
        <v>0</v>
      </c>
      <c r="X352" s="8">
        <f>_xlfn.XLOOKUP(CustomerCombined[[#This Row],[ID]], Table2[ID],Table2[Pilot], "Not Found", 0 )</f>
        <v>0</v>
      </c>
      <c r="Y352" s="8">
        <f>_xlfn.XLOOKUP(CustomerCombined[[#This Row],[ID]], Table2[ID],Table2[MC1], "Not Found", 0 )</f>
        <v>0</v>
      </c>
      <c r="Z352" s="8">
        <f>_xlfn.XLOOKUP(CustomerCombined[[#This Row],[ID]], Table2[ID],Table2[MC2], "Not Found", 0 )</f>
        <v>0</v>
      </c>
      <c r="AA352" s="8">
        <f>_xlfn.XLOOKUP(CustomerCombined[[#This Row],[ID]], Table2[ID],Table2[MC3], "Not Found", 0 )</f>
        <v>0</v>
      </c>
      <c r="AB352" s="8">
        <f>_xlfn.XLOOKUP(CustomerCombined[[#This Row],[ID]], Table2[ID],Table2[MC4], "Not Found", 0 )</f>
        <v>0</v>
      </c>
      <c r="AC352" s="8">
        <f>_xlfn.XLOOKUP(CustomerCombined[[#This Row],[ID]], Table2[ID],Table2[MC5], "Not Found", 0 )</f>
        <v>0</v>
      </c>
    </row>
    <row r="353" spans="1:29" x14ac:dyDescent="0.3">
      <c r="A353" s="6">
        <v>2774</v>
      </c>
      <c r="B353" s="6">
        <v>175774</v>
      </c>
      <c r="C353" s="6">
        <v>1</v>
      </c>
      <c r="D353" s="6">
        <v>0</v>
      </c>
      <c r="E353" s="6">
        <v>39</v>
      </c>
      <c r="F353" s="5" t="s">
        <v>8</v>
      </c>
      <c r="G353" s="5" t="s">
        <v>442</v>
      </c>
      <c r="H353" s="3">
        <v>43992</v>
      </c>
      <c r="I353" s="5" t="s">
        <v>438</v>
      </c>
      <c r="J353" s="5">
        <f>_xlfn.XLOOKUP(CustomerCombined[[#This Row],[ID]], Table4[ID], Table4[Recency], "Not Found", 0)</f>
        <v>27</v>
      </c>
      <c r="K353" s="5">
        <f>_xlfn.XLOOKUP(CustomerCombined[[#This Row],[ID]], Table4[ID], Table4[Teas], "Not Found", 0)</f>
        <v>789</v>
      </c>
      <c r="L353" s="5">
        <f>_xlfn.XLOOKUP(CustomerCombined[[#This Row],[ID]], Table4[ID], Table4[Fruits], "Not Found", 0)</f>
        <v>49</v>
      </c>
      <c r="M353" s="5">
        <f>_xlfn.XLOOKUP(CustomerCombined[[#This Row],[ID]], Table4[ID], Table4[Meats], "Not Found", 0)</f>
        <v>311</v>
      </c>
      <c r="N353" s="5">
        <f>_xlfn.XLOOKUP(CustomerCombined[[#This Row],[ID]], Table4[ID], Table4[Seafood], "Not Found", 0)</f>
        <v>598</v>
      </c>
      <c r="O353" s="5">
        <f>_xlfn.XLOOKUP(CustomerCombined[[#This Row],[ID]], Table4[ID], Table4[Sweets], "Not Found", 0)</f>
        <v>32</v>
      </c>
      <c r="P353" s="5">
        <f>_xlfn.XLOOKUP(CustomerCombined[[#This Row],[ID]], Table4[ID], Table4[Premium], "Not Found", 0)</f>
        <v>130</v>
      </c>
      <c r="Q353" s="5">
        <f>_xlfn.XLOOKUP(CustomerCombined[[#This Row],[ID]], Table4[ID], Table4[Regular], "Not Found", 0)</f>
        <v>1649</v>
      </c>
      <c r="R353" s="5">
        <f>_xlfn.XLOOKUP(CustomerCombined[[#This Row],[ID]], Table4[ID], Table4[Deals], "Not Found", 0)</f>
        <v>1</v>
      </c>
      <c r="S353" s="5">
        <f>_xlfn.XLOOKUP(CustomerCombined[[#This Row],[ID]], Table4[ID], Table4[Website], "Not Found", 0)</f>
        <v>7</v>
      </c>
      <c r="T353" s="5">
        <f>_xlfn.XLOOKUP(CustomerCombined[[#This Row],[ID]], Table4[ID], Table4[Catalog], "Not Found", 0)</f>
        <v>5</v>
      </c>
      <c r="U353" s="5">
        <f>_xlfn.XLOOKUP(CustomerCombined[[#This Row],[ID]], Table4[ID], Table4[Store], "Not Found", 0)</f>
        <v>8</v>
      </c>
      <c r="V353" s="5">
        <f>_xlfn.XLOOKUP(CustomerCombined[[#This Row],[ID]], Table4[ID], Table4[Visits], "Not Found", 0)</f>
        <v>4</v>
      </c>
      <c r="W353" s="8">
        <f>_xlfn.XLOOKUP(CustomerCombined[[#This Row],[ID]], Table2[ID],Table2[Complaint], "Not Found", 0 )</f>
        <v>0</v>
      </c>
      <c r="X353" s="8">
        <f>_xlfn.XLOOKUP(CustomerCombined[[#This Row],[ID]], Table2[ID],Table2[Pilot], "Not Found", 0 )</f>
        <v>0</v>
      </c>
      <c r="Y353" s="8">
        <f>_xlfn.XLOOKUP(CustomerCombined[[#This Row],[ID]], Table2[ID],Table2[MC1], "Not Found", 0 )</f>
        <v>0</v>
      </c>
      <c r="Z353" s="8">
        <f>_xlfn.XLOOKUP(CustomerCombined[[#This Row],[ID]], Table2[ID],Table2[MC2], "Not Found", 0 )</f>
        <v>0</v>
      </c>
      <c r="AA353" s="8">
        <f>_xlfn.XLOOKUP(CustomerCombined[[#This Row],[ID]], Table2[ID],Table2[MC3], "Not Found", 0 )</f>
        <v>0</v>
      </c>
      <c r="AB353" s="8">
        <f>_xlfn.XLOOKUP(CustomerCombined[[#This Row],[ID]], Table2[ID],Table2[MC4], "Not Found", 0 )</f>
        <v>0</v>
      </c>
      <c r="AC353" s="8">
        <f>_xlfn.XLOOKUP(CustomerCombined[[#This Row],[ID]], Table2[ID],Table2[MC5], "Not Found", 0 )</f>
        <v>0</v>
      </c>
    </row>
    <row r="354" spans="1:29" x14ac:dyDescent="0.3">
      <c r="A354" s="6">
        <v>2634</v>
      </c>
      <c r="B354" s="6">
        <v>172066</v>
      </c>
      <c r="C354" s="6">
        <v>0</v>
      </c>
      <c r="D354" s="6">
        <v>0</v>
      </c>
      <c r="E354" s="6">
        <v>39</v>
      </c>
      <c r="F354" s="5" t="s">
        <v>7</v>
      </c>
      <c r="G354" s="5" t="s">
        <v>11</v>
      </c>
      <c r="H354" s="3" t="s">
        <v>26</v>
      </c>
      <c r="I354" s="5" t="s">
        <v>436</v>
      </c>
      <c r="J354" s="5">
        <f>_xlfn.XLOOKUP(CustomerCombined[[#This Row],[ID]], Table4[ID], Table4[Recency], "Not Found", 0)</f>
        <v>55</v>
      </c>
      <c r="K354" s="5">
        <f>_xlfn.XLOOKUP(CustomerCombined[[#This Row],[ID]], Table4[ID], Table4[Teas], "Not Found", 0)</f>
        <v>2395</v>
      </c>
      <c r="L354" s="5">
        <f>_xlfn.XLOOKUP(CustomerCombined[[#This Row],[ID]], Table4[ID], Table4[Fruits], "Not Found", 0)</f>
        <v>81</v>
      </c>
      <c r="M354" s="5">
        <f>_xlfn.XLOOKUP(CustomerCombined[[#This Row],[ID]], Table4[ID], Table4[Meats], "Not Found", 0)</f>
        <v>1280</v>
      </c>
      <c r="N354" s="5">
        <f>_xlfn.XLOOKUP(CustomerCombined[[#This Row],[ID]], Table4[ID], Table4[Seafood], "Not Found", 0)</f>
        <v>320</v>
      </c>
      <c r="O354" s="5">
        <f>_xlfn.XLOOKUP(CustomerCombined[[#This Row],[ID]], Table4[ID], Table4[Sweets], "Not Found", 0)</f>
        <v>122</v>
      </c>
      <c r="P354" s="5">
        <f>_xlfn.XLOOKUP(CustomerCombined[[#This Row],[ID]], Table4[ID], Table4[Premium], "Not Found", 0)</f>
        <v>81</v>
      </c>
      <c r="Q354" s="5">
        <f>_xlfn.XLOOKUP(CustomerCombined[[#This Row],[ID]], Table4[ID], Table4[Regular], "Not Found", 0)</f>
        <v>4116</v>
      </c>
      <c r="R354" s="5">
        <f>_xlfn.XLOOKUP(CustomerCombined[[#This Row],[ID]], Table4[ID], Table4[Deals], "Not Found", 0)</f>
        <v>1</v>
      </c>
      <c r="S354" s="5">
        <f>_xlfn.XLOOKUP(CustomerCombined[[#This Row],[ID]], Table4[ID], Table4[Website], "Not Found", 0)</f>
        <v>4</v>
      </c>
      <c r="T354" s="5">
        <f>_xlfn.XLOOKUP(CustomerCombined[[#This Row],[ID]], Table4[ID], Table4[Catalog], "Not Found", 0)</f>
        <v>6</v>
      </c>
      <c r="U354" s="5">
        <f>_xlfn.XLOOKUP(CustomerCombined[[#This Row],[ID]], Table4[ID], Table4[Store], "Not Found", 0)</f>
        <v>6</v>
      </c>
      <c r="V354" s="5">
        <f>_xlfn.XLOOKUP(CustomerCombined[[#This Row],[ID]], Table4[ID], Table4[Visits], "Not Found", 0)</f>
        <v>2</v>
      </c>
      <c r="W354" s="8">
        <f>_xlfn.XLOOKUP(CustomerCombined[[#This Row],[ID]], Table2[ID],Table2[Complaint], "Not Found", 0 )</f>
        <v>0</v>
      </c>
      <c r="X354" s="8">
        <f>_xlfn.XLOOKUP(CustomerCombined[[#This Row],[ID]], Table2[ID],Table2[Pilot], "Not Found", 0 )</f>
        <v>1</v>
      </c>
      <c r="Y354" s="8">
        <f>_xlfn.XLOOKUP(CustomerCombined[[#This Row],[ID]], Table2[ID],Table2[MC1], "Not Found", 0 )</f>
        <v>1</v>
      </c>
      <c r="Z354" s="8">
        <f>_xlfn.XLOOKUP(CustomerCombined[[#This Row],[ID]], Table2[ID],Table2[MC2], "Not Found", 0 )</f>
        <v>0</v>
      </c>
      <c r="AA354" s="8">
        <f>_xlfn.XLOOKUP(CustomerCombined[[#This Row],[ID]], Table2[ID],Table2[MC3], "Not Found", 0 )</f>
        <v>0</v>
      </c>
      <c r="AB354" s="8">
        <f>_xlfn.XLOOKUP(CustomerCombined[[#This Row],[ID]], Table2[ID],Table2[MC4], "Not Found", 0 )</f>
        <v>0</v>
      </c>
      <c r="AC354" s="8">
        <f>_xlfn.XLOOKUP(CustomerCombined[[#This Row],[ID]], Table2[ID],Table2[MC5], "Not Found", 0 )</f>
        <v>1</v>
      </c>
    </row>
    <row r="355" spans="1:29" x14ac:dyDescent="0.3">
      <c r="A355" s="6">
        <v>2623</v>
      </c>
      <c r="B355" s="6">
        <v>158684</v>
      </c>
      <c r="C355" s="6">
        <v>0</v>
      </c>
      <c r="D355" s="6">
        <v>0</v>
      </c>
      <c r="E355" s="6">
        <v>39</v>
      </c>
      <c r="F355" s="5" t="s">
        <v>7</v>
      </c>
      <c r="G355" s="5" t="s">
        <v>11</v>
      </c>
      <c r="H355" s="3" t="s">
        <v>33</v>
      </c>
      <c r="I355" s="5" t="s">
        <v>437</v>
      </c>
      <c r="J355" s="5">
        <f>_xlfn.XLOOKUP(CustomerCombined[[#This Row],[ID]], Table4[ID], Table4[Recency], "Not Found", 0)</f>
        <v>71</v>
      </c>
      <c r="K355" s="5">
        <f>_xlfn.XLOOKUP(CustomerCombined[[#This Row],[ID]], Table4[ID], Table4[Teas], "Not Found", 0)</f>
        <v>1295</v>
      </c>
      <c r="L355" s="5">
        <f>_xlfn.XLOOKUP(CustomerCombined[[#This Row],[ID]], Table4[ID], Table4[Fruits], "Not Found", 0)</f>
        <v>95</v>
      </c>
      <c r="M355" s="5">
        <f>_xlfn.XLOOKUP(CustomerCombined[[#This Row],[ID]], Table4[ID], Table4[Meats], "Not Found", 0)</f>
        <v>484</v>
      </c>
      <c r="N355" s="5">
        <f>_xlfn.XLOOKUP(CustomerCombined[[#This Row],[ID]], Table4[ID], Table4[Seafood], "Not Found", 0)</f>
        <v>76</v>
      </c>
      <c r="O355" s="5">
        <f>_xlfn.XLOOKUP(CustomerCombined[[#This Row],[ID]], Table4[ID], Table4[Sweets], "Not Found", 0)</f>
        <v>19</v>
      </c>
      <c r="P355" s="5">
        <f>_xlfn.XLOOKUP(CustomerCombined[[#This Row],[ID]], Table4[ID], Table4[Premium], "Not Found", 0)</f>
        <v>230</v>
      </c>
      <c r="Q355" s="5">
        <f>_xlfn.XLOOKUP(CustomerCombined[[#This Row],[ID]], Table4[ID], Table4[Regular], "Not Found", 0)</f>
        <v>1739</v>
      </c>
      <c r="R355" s="5">
        <f>_xlfn.XLOOKUP(CustomerCombined[[#This Row],[ID]], Table4[ID], Table4[Deals], "Not Found", 0)</f>
        <v>1</v>
      </c>
      <c r="S355" s="5">
        <f>_xlfn.XLOOKUP(CustomerCombined[[#This Row],[ID]], Table4[ID], Table4[Website], "Not Found", 0)</f>
        <v>5</v>
      </c>
      <c r="T355" s="5">
        <f>_xlfn.XLOOKUP(CustomerCombined[[#This Row],[ID]], Table4[ID], Table4[Catalog], "Not Found", 0)</f>
        <v>3</v>
      </c>
      <c r="U355" s="5">
        <f>_xlfn.XLOOKUP(CustomerCombined[[#This Row],[ID]], Table4[ID], Table4[Store], "Not Found", 0)</f>
        <v>12</v>
      </c>
      <c r="V355" s="5">
        <f>_xlfn.XLOOKUP(CustomerCombined[[#This Row],[ID]], Table4[ID], Table4[Visits], "Not Found", 0)</f>
        <v>2</v>
      </c>
      <c r="W355" s="8">
        <f>_xlfn.XLOOKUP(CustomerCombined[[#This Row],[ID]], Table2[ID],Table2[Complaint], "Not Found", 0 )</f>
        <v>0</v>
      </c>
      <c r="X355" s="8">
        <f>_xlfn.XLOOKUP(CustomerCombined[[#This Row],[ID]], Table2[ID],Table2[Pilot], "Not Found", 0 )</f>
        <v>0</v>
      </c>
      <c r="Y355" s="8">
        <f>_xlfn.XLOOKUP(CustomerCombined[[#This Row],[ID]], Table2[ID],Table2[MC1], "Not Found", 0 )</f>
        <v>0</v>
      </c>
      <c r="Z355" s="8">
        <f>_xlfn.XLOOKUP(CustomerCombined[[#This Row],[ID]], Table2[ID],Table2[MC2], "Not Found", 0 )</f>
        <v>0</v>
      </c>
      <c r="AA355" s="8">
        <f>_xlfn.XLOOKUP(CustomerCombined[[#This Row],[ID]], Table2[ID],Table2[MC3], "Not Found", 0 )</f>
        <v>0</v>
      </c>
      <c r="AB355" s="8">
        <f>_xlfn.XLOOKUP(CustomerCombined[[#This Row],[ID]], Table2[ID],Table2[MC4], "Not Found", 0 )</f>
        <v>1</v>
      </c>
      <c r="AC355" s="8">
        <f>_xlfn.XLOOKUP(CustomerCombined[[#This Row],[ID]], Table2[ID],Table2[MC5], "Not Found", 0 )</f>
        <v>0</v>
      </c>
    </row>
    <row r="356" spans="1:29" x14ac:dyDescent="0.3">
      <c r="A356" s="6">
        <v>1005</v>
      </c>
      <c r="B356" s="6">
        <v>158293</v>
      </c>
      <c r="C356" s="6">
        <v>1</v>
      </c>
      <c r="D356" s="6">
        <v>0</v>
      </c>
      <c r="E356" s="6">
        <v>39</v>
      </c>
      <c r="F356" s="5" t="s">
        <v>6</v>
      </c>
      <c r="G356" s="5" t="s">
        <v>13</v>
      </c>
      <c r="H356" s="3" t="s">
        <v>112</v>
      </c>
      <c r="I356" s="5" t="s">
        <v>435</v>
      </c>
      <c r="J356" s="5">
        <f>_xlfn.XLOOKUP(CustomerCombined[[#This Row],[ID]], Table4[ID], Table4[Recency], "Not Found", 0)</f>
        <v>94</v>
      </c>
      <c r="K356" s="5">
        <f>_xlfn.XLOOKUP(CustomerCombined[[#This Row],[ID]], Table4[ID], Table4[Teas], "Not Found", 0)</f>
        <v>470</v>
      </c>
      <c r="L356" s="5">
        <f>_xlfn.XLOOKUP(CustomerCombined[[#This Row],[ID]], Table4[ID], Table4[Fruits], "Not Found", 0)</f>
        <v>117</v>
      </c>
      <c r="M356" s="5">
        <f>_xlfn.XLOOKUP(CustomerCombined[[#This Row],[ID]], Table4[ID], Table4[Meats], "Not Found", 0)</f>
        <v>320</v>
      </c>
      <c r="N356" s="5">
        <f>_xlfn.XLOOKUP(CustomerCombined[[#This Row],[ID]], Table4[ID], Table4[Seafood], "Not Found", 0)</f>
        <v>125</v>
      </c>
      <c r="O356" s="5">
        <f>_xlfn.XLOOKUP(CustomerCombined[[#This Row],[ID]], Table4[ID], Table4[Sweets], "Not Found", 0)</f>
        <v>73</v>
      </c>
      <c r="P356" s="5">
        <f>_xlfn.XLOOKUP(CustomerCombined[[#This Row],[ID]], Table4[ID], Table4[Premium], "Not Found", 0)</f>
        <v>41</v>
      </c>
      <c r="Q356" s="5">
        <f>_xlfn.XLOOKUP(CustomerCombined[[#This Row],[ID]], Table4[ID], Table4[Regular], "Not Found", 0)</f>
        <v>1064</v>
      </c>
      <c r="R356" s="5">
        <f>_xlfn.XLOOKUP(CustomerCombined[[#This Row],[ID]], Table4[ID], Table4[Deals], "Not Found", 0)</f>
        <v>5</v>
      </c>
      <c r="S356" s="5">
        <f>_xlfn.XLOOKUP(CustomerCombined[[#This Row],[ID]], Table4[ID], Table4[Website], "Not Found", 0)</f>
        <v>5</v>
      </c>
      <c r="T356" s="5">
        <f>_xlfn.XLOOKUP(CustomerCombined[[#This Row],[ID]], Table4[ID], Table4[Catalog], "Not Found", 0)</f>
        <v>3</v>
      </c>
      <c r="U356" s="5">
        <f>_xlfn.XLOOKUP(CustomerCombined[[#This Row],[ID]], Table4[ID], Table4[Store], "Not Found", 0)</f>
        <v>6</v>
      </c>
      <c r="V356" s="5">
        <f>_xlfn.XLOOKUP(CustomerCombined[[#This Row],[ID]], Table4[ID], Table4[Visits], "Not Found", 0)</f>
        <v>5</v>
      </c>
      <c r="W356" s="8">
        <f>_xlfn.XLOOKUP(CustomerCombined[[#This Row],[ID]], Table2[ID],Table2[Complaint], "Not Found", 0 )</f>
        <v>0</v>
      </c>
      <c r="X356" s="8">
        <f>_xlfn.XLOOKUP(CustomerCombined[[#This Row],[ID]], Table2[ID],Table2[Pilot], "Not Found", 0 )</f>
        <v>0</v>
      </c>
      <c r="Y356" s="8">
        <f>_xlfn.XLOOKUP(CustomerCombined[[#This Row],[ID]], Table2[ID],Table2[MC1], "Not Found", 0 )</f>
        <v>0</v>
      </c>
      <c r="Z356" s="8">
        <f>_xlfn.XLOOKUP(CustomerCombined[[#This Row],[ID]], Table2[ID],Table2[MC2], "Not Found", 0 )</f>
        <v>0</v>
      </c>
      <c r="AA356" s="8">
        <f>_xlfn.XLOOKUP(CustomerCombined[[#This Row],[ID]], Table2[ID],Table2[MC3], "Not Found", 0 )</f>
        <v>0</v>
      </c>
      <c r="AB356" s="8">
        <f>_xlfn.XLOOKUP(CustomerCombined[[#This Row],[ID]], Table2[ID],Table2[MC4], "Not Found", 0 )</f>
        <v>0</v>
      </c>
      <c r="AC356" s="8">
        <f>_xlfn.XLOOKUP(CustomerCombined[[#This Row],[ID]], Table2[ID],Table2[MC5], "Not Found", 0 )</f>
        <v>0</v>
      </c>
    </row>
    <row r="357" spans="1:29" x14ac:dyDescent="0.3">
      <c r="A357" s="6">
        <v>3203</v>
      </c>
      <c r="B357" s="6">
        <v>156981</v>
      </c>
      <c r="C357" s="6">
        <v>0</v>
      </c>
      <c r="D357" s="6">
        <v>0</v>
      </c>
      <c r="E357" s="6">
        <v>39</v>
      </c>
      <c r="F357" s="5" t="s">
        <v>5</v>
      </c>
      <c r="G357" s="5" t="s">
        <v>11</v>
      </c>
      <c r="H357" s="3">
        <v>43837</v>
      </c>
      <c r="I357" s="5" t="s">
        <v>434</v>
      </c>
      <c r="J357" s="5">
        <f>_xlfn.XLOOKUP(CustomerCombined[[#This Row],[ID]], Table4[ID], Table4[Recency], "Not Found", 0)</f>
        <v>91</v>
      </c>
      <c r="K357" s="5">
        <f>_xlfn.XLOOKUP(CustomerCombined[[#This Row],[ID]], Table4[ID], Table4[Teas], "Not Found", 0)</f>
        <v>2502</v>
      </c>
      <c r="L357" s="5">
        <f>_xlfn.XLOOKUP(CustomerCombined[[#This Row],[ID]], Table4[ID], Table4[Fruits], "Not Found", 0)</f>
        <v>132</v>
      </c>
      <c r="M357" s="5">
        <f>_xlfn.XLOOKUP(CustomerCombined[[#This Row],[ID]], Table4[ID], Table4[Meats], "Not Found", 0)</f>
        <v>598</v>
      </c>
      <c r="N357" s="5">
        <f>_xlfn.XLOOKUP(CustomerCombined[[#This Row],[ID]], Table4[ID], Table4[Seafood], "Not Found", 0)</f>
        <v>88</v>
      </c>
      <c r="O357" s="5">
        <f>_xlfn.XLOOKUP(CustomerCombined[[#This Row],[ID]], Table4[ID], Table4[Sweets], "Not Found", 0)</f>
        <v>33</v>
      </c>
      <c r="P357" s="5">
        <f>_xlfn.XLOOKUP(CustomerCombined[[#This Row],[ID]], Table4[ID], Table4[Premium], "Not Found", 0)</f>
        <v>66</v>
      </c>
      <c r="Q357" s="5">
        <f>_xlfn.XLOOKUP(CustomerCombined[[#This Row],[ID]], Table4[ID], Table4[Regular], "Not Found", 0)</f>
        <v>3287</v>
      </c>
      <c r="R357" s="5">
        <f>_xlfn.XLOOKUP(CustomerCombined[[#This Row],[ID]], Table4[ID], Table4[Deals], "Not Found", 0)</f>
        <v>1</v>
      </c>
      <c r="S357" s="5">
        <f>_xlfn.XLOOKUP(CustomerCombined[[#This Row],[ID]], Table4[ID], Table4[Website], "Not Found", 0)</f>
        <v>2</v>
      </c>
      <c r="T357" s="5">
        <f>_xlfn.XLOOKUP(CustomerCombined[[#This Row],[ID]], Table4[ID], Table4[Catalog], "Not Found", 0)</f>
        <v>3</v>
      </c>
      <c r="U357" s="5">
        <f>_xlfn.XLOOKUP(CustomerCombined[[#This Row],[ID]], Table4[ID], Table4[Store], "Not Found", 0)</f>
        <v>13</v>
      </c>
      <c r="V357" s="5">
        <f>_xlfn.XLOOKUP(CustomerCombined[[#This Row],[ID]], Table4[ID], Table4[Visits], "Not Found", 0)</f>
        <v>6</v>
      </c>
      <c r="W357" s="8">
        <f>_xlfn.XLOOKUP(CustomerCombined[[#This Row],[ID]], Table2[ID],Table2[Complaint], "Not Found", 0 )</f>
        <v>0</v>
      </c>
      <c r="X357" s="8">
        <f>_xlfn.XLOOKUP(CustomerCombined[[#This Row],[ID]], Table2[ID],Table2[Pilot], "Not Found", 0 )</f>
        <v>0</v>
      </c>
      <c r="Y357" s="8">
        <f>_xlfn.XLOOKUP(CustomerCombined[[#This Row],[ID]], Table2[ID],Table2[MC1], "Not Found", 0 )</f>
        <v>0</v>
      </c>
      <c r="Z357" s="8">
        <f>_xlfn.XLOOKUP(CustomerCombined[[#This Row],[ID]], Table2[ID],Table2[MC2], "Not Found", 0 )</f>
        <v>0</v>
      </c>
      <c r="AA357" s="8">
        <f>_xlfn.XLOOKUP(CustomerCombined[[#This Row],[ID]], Table2[ID],Table2[MC3], "Not Found", 0 )</f>
        <v>0</v>
      </c>
      <c r="AB357" s="8">
        <f>_xlfn.XLOOKUP(CustomerCombined[[#This Row],[ID]], Table2[ID],Table2[MC4], "Not Found", 0 )</f>
        <v>1</v>
      </c>
      <c r="AC357" s="8">
        <f>_xlfn.XLOOKUP(CustomerCombined[[#This Row],[ID]], Table2[ID],Table2[MC5], "Not Found", 0 )</f>
        <v>0</v>
      </c>
    </row>
    <row r="358" spans="1:29" x14ac:dyDescent="0.3">
      <c r="A358" s="6">
        <v>1456</v>
      </c>
      <c r="B358" s="6">
        <v>156937</v>
      </c>
      <c r="C358" s="6">
        <v>1</v>
      </c>
      <c r="D358" s="6">
        <v>0</v>
      </c>
      <c r="E358" s="6">
        <v>39</v>
      </c>
      <c r="F358" s="5" t="s">
        <v>8</v>
      </c>
      <c r="G358" s="5" t="s">
        <v>13</v>
      </c>
      <c r="H358" s="3">
        <v>43709</v>
      </c>
      <c r="I358" s="5" t="s">
        <v>439</v>
      </c>
      <c r="J358" s="5">
        <f>_xlfn.XLOOKUP(CustomerCombined[[#This Row],[ID]], Table4[ID], Table4[Recency], "Not Found", 0)</f>
        <v>81</v>
      </c>
      <c r="K358" s="5">
        <f>_xlfn.XLOOKUP(CustomerCombined[[#This Row],[ID]], Table4[ID], Table4[Teas], "Not Found", 0)</f>
        <v>2056</v>
      </c>
      <c r="L358" s="5">
        <f>_xlfn.XLOOKUP(CustomerCombined[[#This Row],[ID]], Table4[ID], Table4[Fruits], "Not Found", 0)</f>
        <v>22</v>
      </c>
      <c r="M358" s="5">
        <f>_xlfn.XLOOKUP(CustomerCombined[[#This Row],[ID]], Table4[ID], Table4[Meats], "Not Found", 0)</f>
        <v>345</v>
      </c>
      <c r="N358" s="5">
        <f>_xlfn.XLOOKUP(CustomerCombined[[#This Row],[ID]], Table4[ID], Table4[Seafood], "Not Found", 0)</f>
        <v>30</v>
      </c>
      <c r="O358" s="5">
        <f>_xlfn.XLOOKUP(CustomerCombined[[#This Row],[ID]], Table4[ID], Table4[Sweets], "Not Found", 0)</f>
        <v>22</v>
      </c>
      <c r="P358" s="5">
        <f>_xlfn.XLOOKUP(CustomerCombined[[#This Row],[ID]], Table4[ID], Table4[Premium], "Not Found", 0)</f>
        <v>22</v>
      </c>
      <c r="Q358" s="5">
        <f>_xlfn.XLOOKUP(CustomerCombined[[#This Row],[ID]], Table4[ID], Table4[Regular], "Not Found", 0)</f>
        <v>2453</v>
      </c>
      <c r="R358" s="5">
        <f>_xlfn.XLOOKUP(CustomerCombined[[#This Row],[ID]], Table4[ID], Table4[Deals], "Not Found", 0)</f>
        <v>7</v>
      </c>
      <c r="S358" s="5">
        <f>_xlfn.XLOOKUP(CustomerCombined[[#This Row],[ID]], Table4[ID], Table4[Website], "Not Found", 0)</f>
        <v>8</v>
      </c>
      <c r="T358" s="5">
        <f>_xlfn.XLOOKUP(CustomerCombined[[#This Row],[ID]], Table4[ID], Table4[Catalog], "Not Found", 0)</f>
        <v>6</v>
      </c>
      <c r="U358" s="5">
        <f>_xlfn.XLOOKUP(CustomerCombined[[#This Row],[ID]], Table4[ID], Table4[Store], "Not Found", 0)</f>
        <v>9</v>
      </c>
      <c r="V358" s="5">
        <f>_xlfn.XLOOKUP(CustomerCombined[[#This Row],[ID]], Table4[ID], Table4[Visits], "Not Found", 0)</f>
        <v>6</v>
      </c>
      <c r="W358" s="8">
        <f>_xlfn.XLOOKUP(CustomerCombined[[#This Row],[ID]], Table2[ID],Table2[Complaint], "Not Found", 0 )</f>
        <v>0</v>
      </c>
      <c r="X358" s="8">
        <f>_xlfn.XLOOKUP(CustomerCombined[[#This Row],[ID]], Table2[ID],Table2[Pilot], "Not Found", 0 )</f>
        <v>1</v>
      </c>
      <c r="Y358" s="8">
        <f>_xlfn.XLOOKUP(CustomerCombined[[#This Row],[ID]], Table2[ID],Table2[MC1], "Not Found", 0 )</f>
        <v>0</v>
      </c>
      <c r="Z358" s="8">
        <f>_xlfn.XLOOKUP(CustomerCombined[[#This Row],[ID]], Table2[ID],Table2[MC2], "Not Found", 0 )</f>
        <v>0</v>
      </c>
      <c r="AA358" s="8">
        <f>_xlfn.XLOOKUP(CustomerCombined[[#This Row],[ID]], Table2[ID],Table2[MC3], "Not Found", 0 )</f>
        <v>0</v>
      </c>
      <c r="AB358" s="8">
        <f>_xlfn.XLOOKUP(CustomerCombined[[#This Row],[ID]], Table2[ID],Table2[MC4], "Not Found", 0 )</f>
        <v>1</v>
      </c>
      <c r="AC358" s="8">
        <f>_xlfn.XLOOKUP(CustomerCombined[[#This Row],[ID]], Table2[ID],Table2[MC5], "Not Found", 0 )</f>
        <v>0</v>
      </c>
    </row>
    <row r="359" spans="1:29" x14ac:dyDescent="0.3">
      <c r="A359" s="6">
        <v>2618</v>
      </c>
      <c r="B359" s="6">
        <v>156386</v>
      </c>
      <c r="C359" s="6">
        <v>1</v>
      </c>
      <c r="D359" s="6">
        <v>1</v>
      </c>
      <c r="E359" s="6">
        <v>39</v>
      </c>
      <c r="F359" s="5" t="s">
        <v>8</v>
      </c>
      <c r="G359" s="5" t="s">
        <v>11</v>
      </c>
      <c r="H359" s="3">
        <v>43528</v>
      </c>
      <c r="I359" s="5" t="s">
        <v>438</v>
      </c>
      <c r="J359" s="5">
        <f>_xlfn.XLOOKUP(CustomerCombined[[#This Row],[ID]], Table4[ID], Table4[Recency], "Not Found", 0)</f>
        <v>51</v>
      </c>
      <c r="K359" s="5">
        <f>_xlfn.XLOOKUP(CustomerCombined[[#This Row],[ID]], Table4[ID], Table4[Teas], "Not Found", 0)</f>
        <v>638</v>
      </c>
      <c r="L359" s="5">
        <f>_xlfn.XLOOKUP(CustomerCombined[[#This Row],[ID]], Table4[ID], Table4[Fruits], "Not Found", 0)</f>
        <v>133</v>
      </c>
      <c r="M359" s="5">
        <f>_xlfn.XLOOKUP(CustomerCombined[[#This Row],[ID]], Table4[ID], Table4[Meats], "Not Found", 0)</f>
        <v>594</v>
      </c>
      <c r="N359" s="5">
        <f>_xlfn.XLOOKUP(CustomerCombined[[#This Row],[ID]], Table4[ID], Table4[Seafood], "Not Found", 0)</f>
        <v>36</v>
      </c>
      <c r="O359" s="5">
        <f>_xlfn.XLOOKUP(CustomerCombined[[#This Row],[ID]], Table4[ID], Table4[Sweets], "Not Found", 0)</f>
        <v>89</v>
      </c>
      <c r="P359" s="5">
        <f>_xlfn.XLOOKUP(CustomerCombined[[#This Row],[ID]], Table4[ID], Table4[Premium], "Not Found", 0)</f>
        <v>208</v>
      </c>
      <c r="Q359" s="5">
        <f>_xlfn.XLOOKUP(CustomerCombined[[#This Row],[ID]], Table4[ID], Table4[Regular], "Not Found", 0)</f>
        <v>1281</v>
      </c>
      <c r="R359" s="5">
        <f>_xlfn.XLOOKUP(CustomerCombined[[#This Row],[ID]], Table4[ID], Table4[Deals], "Not Found", 0)</f>
        <v>8</v>
      </c>
      <c r="S359" s="5">
        <f>_xlfn.XLOOKUP(CustomerCombined[[#This Row],[ID]], Table4[ID], Table4[Website], "Not Found", 0)</f>
        <v>9</v>
      </c>
      <c r="T359" s="5">
        <f>_xlfn.XLOOKUP(CustomerCombined[[#This Row],[ID]], Table4[ID], Table4[Catalog], "Not Found", 0)</f>
        <v>1</v>
      </c>
      <c r="U359" s="5">
        <f>_xlfn.XLOOKUP(CustomerCombined[[#This Row],[ID]], Table4[ID], Table4[Store], "Not Found", 0)</f>
        <v>7</v>
      </c>
      <c r="V359" s="5">
        <f>_xlfn.XLOOKUP(CustomerCombined[[#This Row],[ID]], Table4[ID], Table4[Visits], "Not Found", 0)</f>
        <v>9</v>
      </c>
      <c r="W359" s="8">
        <f>_xlfn.XLOOKUP(CustomerCombined[[#This Row],[ID]], Table2[ID],Table2[Complaint], "Not Found", 0 )</f>
        <v>0</v>
      </c>
      <c r="X359" s="8">
        <f>_xlfn.XLOOKUP(CustomerCombined[[#This Row],[ID]], Table2[ID],Table2[Pilot], "Not Found", 0 )</f>
        <v>0</v>
      </c>
      <c r="Y359" s="8">
        <f>_xlfn.XLOOKUP(CustomerCombined[[#This Row],[ID]], Table2[ID],Table2[MC1], "Not Found", 0 )</f>
        <v>0</v>
      </c>
      <c r="Z359" s="8">
        <f>_xlfn.XLOOKUP(CustomerCombined[[#This Row],[ID]], Table2[ID],Table2[MC2], "Not Found", 0 )</f>
        <v>0</v>
      </c>
      <c r="AA359" s="8">
        <f>_xlfn.XLOOKUP(CustomerCombined[[#This Row],[ID]], Table2[ID],Table2[MC3], "Not Found", 0 )</f>
        <v>0</v>
      </c>
      <c r="AB359" s="8">
        <f>_xlfn.XLOOKUP(CustomerCombined[[#This Row],[ID]], Table2[ID],Table2[MC4], "Not Found", 0 )</f>
        <v>0</v>
      </c>
      <c r="AC359" s="8">
        <f>_xlfn.XLOOKUP(CustomerCombined[[#This Row],[ID]], Table2[ID],Table2[MC5], "Not Found", 0 )</f>
        <v>0</v>
      </c>
    </row>
    <row r="360" spans="1:29" x14ac:dyDescent="0.3">
      <c r="A360" s="6">
        <v>1983</v>
      </c>
      <c r="B360" s="6">
        <v>156337</v>
      </c>
      <c r="C360" s="6">
        <v>1</v>
      </c>
      <c r="D360" s="6">
        <v>1</v>
      </c>
      <c r="E360" s="6">
        <v>39</v>
      </c>
      <c r="F360" s="5" t="s">
        <v>6</v>
      </c>
      <c r="G360" s="5" t="s">
        <v>442</v>
      </c>
      <c r="H360" s="3">
        <v>43474</v>
      </c>
      <c r="I360" s="5" t="s">
        <v>435</v>
      </c>
      <c r="J360" s="5">
        <f>_xlfn.XLOOKUP(CustomerCombined[[#This Row],[ID]], Table4[ID], Table4[Recency], "Not Found", 0)</f>
        <v>25</v>
      </c>
      <c r="K360" s="5">
        <f>_xlfn.XLOOKUP(CustomerCombined[[#This Row],[ID]], Table4[ID], Table4[Teas], "Not Found", 0)</f>
        <v>968</v>
      </c>
      <c r="L360" s="5">
        <f>_xlfn.XLOOKUP(CustomerCombined[[#This Row],[ID]], Table4[ID], Table4[Fruits], "Not Found", 0)</f>
        <v>44</v>
      </c>
      <c r="M360" s="5">
        <f>_xlfn.XLOOKUP(CustomerCombined[[#This Row],[ID]], Table4[ID], Table4[Meats], "Not Found", 0)</f>
        <v>400</v>
      </c>
      <c r="N360" s="5">
        <f>_xlfn.XLOOKUP(CustomerCombined[[#This Row],[ID]], Table4[ID], Table4[Seafood], "Not Found", 0)</f>
        <v>78</v>
      </c>
      <c r="O360" s="5">
        <f>_xlfn.XLOOKUP(CustomerCombined[[#This Row],[ID]], Table4[ID], Table4[Sweets], "Not Found", 0)</f>
        <v>14</v>
      </c>
      <c r="P360" s="5">
        <f>_xlfn.XLOOKUP(CustomerCombined[[#This Row],[ID]], Table4[ID], Table4[Premium], "Not Found", 0)</f>
        <v>505</v>
      </c>
      <c r="Q360" s="5">
        <f>_xlfn.XLOOKUP(CustomerCombined[[#This Row],[ID]], Table4[ID], Table4[Regular], "Not Found", 0)</f>
        <v>999</v>
      </c>
      <c r="R360" s="5">
        <f>_xlfn.XLOOKUP(CustomerCombined[[#This Row],[ID]], Table4[ID], Table4[Deals], "Not Found", 0)</f>
        <v>5</v>
      </c>
      <c r="S360" s="5">
        <f>_xlfn.XLOOKUP(CustomerCombined[[#This Row],[ID]], Table4[ID], Table4[Website], "Not Found", 0)</f>
        <v>8</v>
      </c>
      <c r="T360" s="5">
        <f>_xlfn.XLOOKUP(CustomerCombined[[#This Row],[ID]], Table4[ID], Table4[Catalog], "Not Found", 0)</f>
        <v>5</v>
      </c>
      <c r="U360" s="5">
        <f>_xlfn.XLOOKUP(CustomerCombined[[#This Row],[ID]], Table4[ID], Table4[Store], "Not Found", 0)</f>
        <v>4</v>
      </c>
      <c r="V360" s="5">
        <f>_xlfn.XLOOKUP(CustomerCombined[[#This Row],[ID]], Table4[ID], Table4[Visits], "Not Found", 0)</f>
        <v>8</v>
      </c>
      <c r="W360" s="8">
        <f>_xlfn.XLOOKUP(CustomerCombined[[#This Row],[ID]], Table2[ID],Table2[Complaint], "Not Found", 0 )</f>
        <v>0</v>
      </c>
      <c r="X360" s="8">
        <f>_xlfn.XLOOKUP(CustomerCombined[[#This Row],[ID]], Table2[ID],Table2[Pilot], "Not Found", 0 )</f>
        <v>1</v>
      </c>
      <c r="Y360" s="8">
        <f>_xlfn.XLOOKUP(CustomerCombined[[#This Row],[ID]], Table2[ID],Table2[MC1], "Not Found", 0 )</f>
        <v>1</v>
      </c>
      <c r="Z360" s="8">
        <f>_xlfn.XLOOKUP(CustomerCombined[[#This Row],[ID]], Table2[ID],Table2[MC2], "Not Found", 0 )</f>
        <v>0</v>
      </c>
      <c r="AA360" s="8">
        <f>_xlfn.XLOOKUP(CustomerCombined[[#This Row],[ID]], Table2[ID],Table2[MC3], "Not Found", 0 )</f>
        <v>1</v>
      </c>
      <c r="AB360" s="8">
        <f>_xlfn.XLOOKUP(CustomerCombined[[#This Row],[ID]], Table2[ID],Table2[MC4], "Not Found", 0 )</f>
        <v>0</v>
      </c>
      <c r="AC360" s="8">
        <f>_xlfn.XLOOKUP(CustomerCombined[[#This Row],[ID]], Table2[ID],Table2[MC5], "Not Found", 0 )</f>
        <v>0</v>
      </c>
    </row>
    <row r="361" spans="1:29" x14ac:dyDescent="0.3">
      <c r="A361" s="6">
        <v>2158</v>
      </c>
      <c r="B361" s="6">
        <v>154386</v>
      </c>
      <c r="C361" s="6">
        <v>0</v>
      </c>
      <c r="D361" s="6">
        <v>1</v>
      </c>
      <c r="E361" s="6">
        <v>39</v>
      </c>
      <c r="F361" s="5" t="s">
        <v>6</v>
      </c>
      <c r="G361" s="5" t="s">
        <v>11</v>
      </c>
      <c r="H361" s="3" t="s">
        <v>254</v>
      </c>
      <c r="I361" s="5" t="s">
        <v>439</v>
      </c>
      <c r="J361" s="5">
        <f>_xlfn.XLOOKUP(CustomerCombined[[#This Row],[ID]], Table4[ID], Table4[Recency], "Not Found", 0)</f>
        <v>8</v>
      </c>
      <c r="K361" s="5">
        <f>_xlfn.XLOOKUP(CustomerCombined[[#This Row],[ID]], Table4[ID], Table4[Teas], "Not Found", 0)</f>
        <v>786</v>
      </c>
      <c r="L361" s="5">
        <f>_xlfn.XLOOKUP(CustomerCombined[[#This Row],[ID]], Table4[ID], Table4[Fruits], "Not Found", 0)</f>
        <v>60</v>
      </c>
      <c r="M361" s="5">
        <f>_xlfn.XLOOKUP(CustomerCombined[[#This Row],[ID]], Table4[ID], Table4[Meats], "Not Found", 0)</f>
        <v>182</v>
      </c>
      <c r="N361" s="5">
        <f>_xlfn.XLOOKUP(CustomerCombined[[#This Row],[ID]], Table4[ID], Table4[Seafood], "Not Found", 0)</f>
        <v>176</v>
      </c>
      <c r="O361" s="5">
        <f>_xlfn.XLOOKUP(CustomerCombined[[#This Row],[ID]], Table4[ID], Table4[Sweets], "Not Found", 0)</f>
        <v>60</v>
      </c>
      <c r="P361" s="5">
        <f>_xlfn.XLOOKUP(CustomerCombined[[#This Row],[ID]], Table4[ID], Table4[Premium], "Not Found", 0)</f>
        <v>71</v>
      </c>
      <c r="Q361" s="5">
        <f>_xlfn.XLOOKUP(CustomerCombined[[#This Row],[ID]], Table4[ID], Table4[Regular], "Not Found", 0)</f>
        <v>1192</v>
      </c>
      <c r="R361" s="5">
        <f>_xlfn.XLOOKUP(CustomerCombined[[#This Row],[ID]], Table4[ID], Table4[Deals], "Not Found", 0)</f>
        <v>2</v>
      </c>
      <c r="S361" s="5">
        <f>_xlfn.XLOOKUP(CustomerCombined[[#This Row],[ID]], Table4[ID], Table4[Website], "Not Found", 0)</f>
        <v>3</v>
      </c>
      <c r="T361" s="5">
        <f>_xlfn.XLOOKUP(CustomerCombined[[#This Row],[ID]], Table4[ID], Table4[Catalog], "Not Found", 0)</f>
        <v>2</v>
      </c>
      <c r="U361" s="5">
        <f>_xlfn.XLOOKUP(CustomerCombined[[#This Row],[ID]], Table4[ID], Table4[Store], "Not Found", 0)</f>
        <v>10</v>
      </c>
      <c r="V361" s="5">
        <f>_xlfn.XLOOKUP(CustomerCombined[[#This Row],[ID]], Table4[ID], Table4[Visits], "Not Found", 0)</f>
        <v>3</v>
      </c>
      <c r="W361" s="8">
        <f>_xlfn.XLOOKUP(CustomerCombined[[#This Row],[ID]], Table2[ID],Table2[Complaint], "Not Found", 0 )</f>
        <v>0</v>
      </c>
      <c r="X361" s="8">
        <f>_xlfn.XLOOKUP(CustomerCombined[[#This Row],[ID]], Table2[ID],Table2[Pilot], "Not Found", 0 )</f>
        <v>0</v>
      </c>
      <c r="Y361" s="8">
        <f>_xlfn.XLOOKUP(CustomerCombined[[#This Row],[ID]], Table2[ID],Table2[MC1], "Not Found", 0 )</f>
        <v>0</v>
      </c>
      <c r="Z361" s="8">
        <f>_xlfn.XLOOKUP(CustomerCombined[[#This Row],[ID]], Table2[ID],Table2[MC2], "Not Found", 0 )</f>
        <v>0</v>
      </c>
      <c r="AA361" s="8">
        <f>_xlfn.XLOOKUP(CustomerCombined[[#This Row],[ID]], Table2[ID],Table2[MC3], "Not Found", 0 )</f>
        <v>0</v>
      </c>
      <c r="AB361" s="8">
        <f>_xlfn.XLOOKUP(CustomerCombined[[#This Row],[ID]], Table2[ID],Table2[MC4], "Not Found", 0 )</f>
        <v>0</v>
      </c>
      <c r="AC361" s="8">
        <f>_xlfn.XLOOKUP(CustomerCombined[[#This Row],[ID]], Table2[ID],Table2[MC5], "Not Found", 0 )</f>
        <v>0</v>
      </c>
    </row>
    <row r="362" spans="1:29" x14ac:dyDescent="0.3">
      <c r="A362" s="6">
        <v>1864</v>
      </c>
      <c r="B362" s="6">
        <v>151111</v>
      </c>
      <c r="C362" s="6">
        <v>1</v>
      </c>
      <c r="D362" s="6">
        <v>1</v>
      </c>
      <c r="E362" s="6">
        <v>39</v>
      </c>
      <c r="F362" s="5" t="s">
        <v>6</v>
      </c>
      <c r="G362" s="5" t="s">
        <v>442</v>
      </c>
      <c r="H362" s="3" t="s">
        <v>30</v>
      </c>
      <c r="I362" s="5" t="s">
        <v>439</v>
      </c>
      <c r="J362" s="5">
        <f>_xlfn.XLOOKUP(CustomerCombined[[#This Row],[ID]], Table4[ID], Table4[Recency], "Not Found", 0)</f>
        <v>83</v>
      </c>
      <c r="K362" s="5">
        <f>_xlfn.XLOOKUP(CustomerCombined[[#This Row],[ID]], Table4[ID], Table4[Teas], "Not Found", 0)</f>
        <v>65</v>
      </c>
      <c r="L362" s="5">
        <f>_xlfn.XLOOKUP(CustomerCombined[[#This Row],[ID]], Table4[ID], Table4[Fruits], "Not Found", 0)</f>
        <v>0</v>
      </c>
      <c r="M362" s="5">
        <f>_xlfn.XLOOKUP(CustomerCombined[[#This Row],[ID]], Table4[ID], Table4[Meats], "Not Found", 0)</f>
        <v>56</v>
      </c>
      <c r="N362" s="5">
        <f>_xlfn.XLOOKUP(CustomerCombined[[#This Row],[ID]], Table4[ID], Table4[Seafood], "Not Found", 0)</f>
        <v>18</v>
      </c>
      <c r="O362" s="5">
        <f>_xlfn.XLOOKUP(CustomerCombined[[#This Row],[ID]], Table4[ID], Table4[Sweets], "Not Found", 0)</f>
        <v>15</v>
      </c>
      <c r="P362" s="5">
        <f>_xlfn.XLOOKUP(CustomerCombined[[#This Row],[ID]], Table4[ID], Table4[Premium], "Not Found", 0)</f>
        <v>9</v>
      </c>
      <c r="Q362" s="5">
        <f>_xlfn.XLOOKUP(CustomerCombined[[#This Row],[ID]], Table4[ID], Table4[Regular], "Not Found", 0)</f>
        <v>145</v>
      </c>
      <c r="R362" s="5">
        <f>_xlfn.XLOOKUP(CustomerCombined[[#This Row],[ID]], Table4[ID], Table4[Deals], "Not Found", 0)</f>
        <v>2</v>
      </c>
      <c r="S362" s="5">
        <f>_xlfn.XLOOKUP(CustomerCombined[[#This Row],[ID]], Table4[ID], Table4[Website], "Not Found", 0)</f>
        <v>2</v>
      </c>
      <c r="T362" s="5">
        <f>_xlfn.XLOOKUP(CustomerCombined[[#This Row],[ID]], Table4[ID], Table4[Catalog], "Not Found", 0)</f>
        <v>0</v>
      </c>
      <c r="U362" s="5">
        <f>_xlfn.XLOOKUP(CustomerCombined[[#This Row],[ID]], Table4[ID], Table4[Store], "Not Found", 0)</f>
        <v>3</v>
      </c>
      <c r="V362" s="5">
        <f>_xlfn.XLOOKUP(CustomerCombined[[#This Row],[ID]], Table4[ID], Table4[Visits], "Not Found", 0)</f>
        <v>6</v>
      </c>
      <c r="W362" s="8">
        <f>_xlfn.XLOOKUP(CustomerCombined[[#This Row],[ID]], Table2[ID],Table2[Complaint], "Not Found", 0 )</f>
        <v>0</v>
      </c>
      <c r="X362" s="8">
        <f>_xlfn.XLOOKUP(CustomerCombined[[#This Row],[ID]], Table2[ID],Table2[Pilot], "Not Found", 0 )</f>
        <v>0</v>
      </c>
      <c r="Y362" s="8">
        <f>_xlfn.XLOOKUP(CustomerCombined[[#This Row],[ID]], Table2[ID],Table2[MC1], "Not Found", 0 )</f>
        <v>0</v>
      </c>
      <c r="Z362" s="8">
        <f>_xlfn.XLOOKUP(CustomerCombined[[#This Row],[ID]], Table2[ID],Table2[MC2], "Not Found", 0 )</f>
        <v>0</v>
      </c>
      <c r="AA362" s="8">
        <f>_xlfn.XLOOKUP(CustomerCombined[[#This Row],[ID]], Table2[ID],Table2[MC3], "Not Found", 0 )</f>
        <v>0</v>
      </c>
      <c r="AB362" s="8">
        <f>_xlfn.XLOOKUP(CustomerCombined[[#This Row],[ID]], Table2[ID],Table2[MC4], "Not Found", 0 )</f>
        <v>0</v>
      </c>
      <c r="AC362" s="8">
        <f>_xlfn.XLOOKUP(CustomerCombined[[#This Row],[ID]], Table2[ID],Table2[MC5], "Not Found", 0 )</f>
        <v>0</v>
      </c>
    </row>
    <row r="363" spans="1:29" x14ac:dyDescent="0.3">
      <c r="A363" s="6">
        <v>3080</v>
      </c>
      <c r="B363" s="6">
        <v>144953</v>
      </c>
      <c r="C363" s="6">
        <v>0</v>
      </c>
      <c r="D363" s="6">
        <v>0</v>
      </c>
      <c r="E363" s="6">
        <v>39</v>
      </c>
      <c r="F363" s="5" t="s">
        <v>8</v>
      </c>
      <c r="G363" s="5" t="s">
        <v>13</v>
      </c>
      <c r="H363" s="3" t="s">
        <v>338</v>
      </c>
      <c r="I363" s="5" t="s">
        <v>438</v>
      </c>
      <c r="J363" s="5">
        <f>_xlfn.XLOOKUP(CustomerCombined[[#This Row],[ID]], Table4[ID], Table4[Recency], "Not Found", 0)</f>
        <v>31</v>
      </c>
      <c r="K363" s="5">
        <f>_xlfn.XLOOKUP(CustomerCombined[[#This Row],[ID]], Table4[ID], Table4[Teas], "Not Found", 0)</f>
        <v>2347</v>
      </c>
      <c r="L363" s="5">
        <f>_xlfn.XLOOKUP(CustomerCombined[[#This Row],[ID]], Table4[ID], Table4[Fruits], "Not Found", 0)</f>
        <v>55</v>
      </c>
      <c r="M363" s="5">
        <f>_xlfn.XLOOKUP(CustomerCombined[[#This Row],[ID]], Table4[ID], Table4[Meats], "Not Found", 0)</f>
        <v>429</v>
      </c>
      <c r="N363" s="5">
        <f>_xlfn.XLOOKUP(CustomerCombined[[#This Row],[ID]], Table4[ID], Table4[Seafood], "Not Found", 0)</f>
        <v>35</v>
      </c>
      <c r="O363" s="5">
        <f>_xlfn.XLOOKUP(CustomerCombined[[#This Row],[ID]], Table4[ID], Table4[Sweets], "Not Found", 0)</f>
        <v>26</v>
      </c>
      <c r="P363" s="5">
        <f>_xlfn.XLOOKUP(CustomerCombined[[#This Row],[ID]], Table4[ID], Table4[Premium], "Not Found", 0)</f>
        <v>400</v>
      </c>
      <c r="Q363" s="5">
        <f>_xlfn.XLOOKUP(CustomerCombined[[#This Row],[ID]], Table4[ID], Table4[Regular], "Not Found", 0)</f>
        <v>2493</v>
      </c>
      <c r="R363" s="5">
        <f>_xlfn.XLOOKUP(CustomerCombined[[#This Row],[ID]], Table4[ID], Table4[Deals], "Not Found", 0)</f>
        <v>1</v>
      </c>
      <c r="S363" s="5">
        <f>_xlfn.XLOOKUP(CustomerCombined[[#This Row],[ID]], Table4[ID], Table4[Website], "Not Found", 0)</f>
        <v>7</v>
      </c>
      <c r="T363" s="5">
        <f>_xlfn.XLOOKUP(CustomerCombined[[#This Row],[ID]], Table4[ID], Table4[Catalog], "Not Found", 0)</f>
        <v>3</v>
      </c>
      <c r="U363" s="5">
        <f>_xlfn.XLOOKUP(CustomerCombined[[#This Row],[ID]], Table4[ID], Table4[Store], "Not Found", 0)</f>
        <v>13</v>
      </c>
      <c r="V363" s="5">
        <f>_xlfn.XLOOKUP(CustomerCombined[[#This Row],[ID]], Table4[ID], Table4[Visits], "Not Found", 0)</f>
        <v>6</v>
      </c>
      <c r="W363" s="8">
        <f>_xlfn.XLOOKUP(CustomerCombined[[#This Row],[ID]], Table2[ID],Table2[Complaint], "Not Found", 0 )</f>
        <v>0</v>
      </c>
      <c r="X363" s="8">
        <f>_xlfn.XLOOKUP(CustomerCombined[[#This Row],[ID]], Table2[ID],Table2[Pilot], "Not Found", 0 )</f>
        <v>0</v>
      </c>
      <c r="Y363" s="8">
        <f>_xlfn.XLOOKUP(CustomerCombined[[#This Row],[ID]], Table2[ID],Table2[MC1], "Not Found", 0 )</f>
        <v>0</v>
      </c>
      <c r="Z363" s="8">
        <f>_xlfn.XLOOKUP(CustomerCombined[[#This Row],[ID]], Table2[ID],Table2[MC2], "Not Found", 0 )</f>
        <v>0</v>
      </c>
      <c r="AA363" s="8">
        <f>_xlfn.XLOOKUP(CustomerCombined[[#This Row],[ID]], Table2[ID],Table2[MC3], "Not Found", 0 )</f>
        <v>1</v>
      </c>
      <c r="AB363" s="8">
        <f>_xlfn.XLOOKUP(CustomerCombined[[#This Row],[ID]], Table2[ID],Table2[MC4], "Not Found", 0 )</f>
        <v>0</v>
      </c>
      <c r="AC363" s="8">
        <f>_xlfn.XLOOKUP(CustomerCombined[[#This Row],[ID]], Table2[ID],Table2[MC5], "Not Found", 0 )</f>
        <v>0</v>
      </c>
    </row>
    <row r="364" spans="1:29" x14ac:dyDescent="0.3">
      <c r="A364" s="6">
        <v>1854</v>
      </c>
      <c r="B364" s="6">
        <v>142395</v>
      </c>
      <c r="C364" s="6">
        <v>1</v>
      </c>
      <c r="D364" s="6">
        <v>1</v>
      </c>
      <c r="E364" s="6">
        <v>39</v>
      </c>
      <c r="F364" s="5" t="s">
        <v>7</v>
      </c>
      <c r="G364" s="5" t="s">
        <v>442</v>
      </c>
      <c r="H364" s="3">
        <v>44052</v>
      </c>
      <c r="I364" s="5" t="s">
        <v>436</v>
      </c>
      <c r="J364" s="5">
        <f>_xlfn.XLOOKUP(CustomerCombined[[#This Row],[ID]], Table4[ID], Table4[Recency], "Not Found", 0)</f>
        <v>35</v>
      </c>
      <c r="K364" s="5">
        <f>_xlfn.XLOOKUP(CustomerCombined[[#This Row],[ID]], Table4[ID], Table4[Teas], "Not Found", 0)</f>
        <v>161</v>
      </c>
      <c r="L364" s="5">
        <f>_xlfn.XLOOKUP(CustomerCombined[[#This Row],[ID]], Table4[ID], Table4[Fruits], "Not Found", 0)</f>
        <v>44</v>
      </c>
      <c r="M364" s="5">
        <f>_xlfn.XLOOKUP(CustomerCombined[[#This Row],[ID]], Table4[ID], Table4[Meats], "Not Found", 0)</f>
        <v>191</v>
      </c>
      <c r="N364" s="5">
        <f>_xlfn.XLOOKUP(CustomerCombined[[#This Row],[ID]], Table4[ID], Table4[Seafood], "Not Found", 0)</f>
        <v>81</v>
      </c>
      <c r="O364" s="5">
        <f>_xlfn.XLOOKUP(CustomerCombined[[#This Row],[ID]], Table4[ID], Table4[Sweets], "Not Found", 0)</f>
        <v>50</v>
      </c>
      <c r="P364" s="5">
        <f>_xlfn.XLOOKUP(CustomerCombined[[#This Row],[ID]], Table4[ID], Table4[Premium], "Not Found", 0)</f>
        <v>84</v>
      </c>
      <c r="Q364" s="5">
        <f>_xlfn.XLOOKUP(CustomerCombined[[#This Row],[ID]], Table4[ID], Table4[Regular], "Not Found", 0)</f>
        <v>443</v>
      </c>
      <c r="R364" s="5">
        <f>_xlfn.XLOOKUP(CustomerCombined[[#This Row],[ID]], Table4[ID], Table4[Deals], "Not Found", 0)</f>
        <v>4</v>
      </c>
      <c r="S364" s="5">
        <f>_xlfn.XLOOKUP(CustomerCombined[[#This Row],[ID]], Table4[ID], Table4[Website], "Not Found", 0)</f>
        <v>3</v>
      </c>
      <c r="T364" s="5">
        <f>_xlfn.XLOOKUP(CustomerCombined[[#This Row],[ID]], Table4[ID], Table4[Catalog], "Not Found", 0)</f>
        <v>1</v>
      </c>
      <c r="U364" s="5">
        <f>_xlfn.XLOOKUP(CustomerCombined[[#This Row],[ID]], Table4[ID], Table4[Store], "Not Found", 0)</f>
        <v>4</v>
      </c>
      <c r="V364" s="5">
        <f>_xlfn.XLOOKUP(CustomerCombined[[#This Row],[ID]], Table4[ID], Table4[Visits], "Not Found", 0)</f>
        <v>7</v>
      </c>
      <c r="W364" s="8">
        <f>_xlfn.XLOOKUP(CustomerCombined[[#This Row],[ID]], Table2[ID],Table2[Complaint], "Not Found", 0 )</f>
        <v>0</v>
      </c>
      <c r="X364" s="8">
        <f>_xlfn.XLOOKUP(CustomerCombined[[#This Row],[ID]], Table2[ID],Table2[Pilot], "Not Found", 0 )</f>
        <v>0</v>
      </c>
      <c r="Y364" s="8">
        <f>_xlfn.XLOOKUP(CustomerCombined[[#This Row],[ID]], Table2[ID],Table2[MC1], "Not Found", 0 )</f>
        <v>0</v>
      </c>
      <c r="Z364" s="8">
        <f>_xlfn.XLOOKUP(CustomerCombined[[#This Row],[ID]], Table2[ID],Table2[MC2], "Not Found", 0 )</f>
        <v>0</v>
      </c>
      <c r="AA364" s="8">
        <f>_xlfn.XLOOKUP(CustomerCombined[[#This Row],[ID]], Table2[ID],Table2[MC3], "Not Found", 0 )</f>
        <v>0</v>
      </c>
      <c r="AB364" s="8">
        <f>_xlfn.XLOOKUP(CustomerCombined[[#This Row],[ID]], Table2[ID],Table2[MC4], "Not Found", 0 )</f>
        <v>0</v>
      </c>
      <c r="AC364" s="8">
        <f>_xlfn.XLOOKUP(CustomerCombined[[#This Row],[ID]], Table2[ID],Table2[MC5], "Not Found", 0 )</f>
        <v>0</v>
      </c>
    </row>
    <row r="365" spans="1:29" x14ac:dyDescent="0.3">
      <c r="A365" s="6">
        <v>2127</v>
      </c>
      <c r="B365" s="6">
        <v>142162</v>
      </c>
      <c r="C365" s="6">
        <v>1</v>
      </c>
      <c r="D365" s="6">
        <v>0</v>
      </c>
      <c r="E365" s="6">
        <v>39</v>
      </c>
      <c r="F365" s="5" t="s">
        <v>8</v>
      </c>
      <c r="G365" s="5" t="s">
        <v>11</v>
      </c>
      <c r="H365" s="3" t="s">
        <v>146</v>
      </c>
      <c r="I365" s="5" t="s">
        <v>435</v>
      </c>
      <c r="J365" s="5">
        <f>_xlfn.XLOOKUP(CustomerCombined[[#This Row],[ID]], Table4[ID], Table4[Recency], "Not Found", 0)</f>
        <v>31</v>
      </c>
      <c r="K365" s="5">
        <f>_xlfn.XLOOKUP(CustomerCombined[[#This Row],[ID]], Table4[ID], Table4[Teas], "Not Found", 0)</f>
        <v>155</v>
      </c>
      <c r="L365" s="5">
        <f>_xlfn.XLOOKUP(CustomerCombined[[#This Row],[ID]], Table4[ID], Table4[Fruits], "Not Found", 0)</f>
        <v>24</v>
      </c>
      <c r="M365" s="5">
        <f>_xlfn.XLOOKUP(CustomerCombined[[#This Row],[ID]], Table4[ID], Table4[Meats], "Not Found", 0)</f>
        <v>199</v>
      </c>
      <c r="N365" s="5">
        <f>_xlfn.XLOOKUP(CustomerCombined[[#This Row],[ID]], Table4[ID], Table4[Seafood], "Not Found", 0)</f>
        <v>7</v>
      </c>
      <c r="O365" s="5">
        <f>_xlfn.XLOOKUP(CustomerCombined[[#This Row],[ID]], Table4[ID], Table4[Sweets], "Not Found", 0)</f>
        <v>13</v>
      </c>
      <c r="P365" s="5">
        <f>_xlfn.XLOOKUP(CustomerCombined[[#This Row],[ID]], Table4[ID], Table4[Premium], "Not Found", 0)</f>
        <v>91</v>
      </c>
      <c r="Q365" s="5">
        <f>_xlfn.XLOOKUP(CustomerCombined[[#This Row],[ID]], Table4[ID], Table4[Regular], "Not Found", 0)</f>
        <v>307</v>
      </c>
      <c r="R365" s="5">
        <f>_xlfn.XLOOKUP(CustomerCombined[[#This Row],[ID]], Table4[ID], Table4[Deals], "Not Found", 0)</f>
        <v>2</v>
      </c>
      <c r="S365" s="5">
        <f>_xlfn.XLOOKUP(CustomerCombined[[#This Row],[ID]], Table4[ID], Table4[Website], "Not Found", 0)</f>
        <v>3</v>
      </c>
      <c r="T365" s="5">
        <f>_xlfn.XLOOKUP(CustomerCombined[[#This Row],[ID]], Table4[ID], Table4[Catalog], "Not Found", 0)</f>
        <v>1</v>
      </c>
      <c r="U365" s="5">
        <f>_xlfn.XLOOKUP(CustomerCombined[[#This Row],[ID]], Table4[ID], Table4[Store], "Not Found", 0)</f>
        <v>3</v>
      </c>
      <c r="V365" s="5">
        <f>_xlfn.XLOOKUP(CustomerCombined[[#This Row],[ID]], Table4[ID], Table4[Visits], "Not Found", 0)</f>
        <v>6</v>
      </c>
      <c r="W365" s="8">
        <f>_xlfn.XLOOKUP(CustomerCombined[[#This Row],[ID]], Table2[ID],Table2[Complaint], "Not Found", 0 )</f>
        <v>0</v>
      </c>
      <c r="X365" s="8">
        <f>_xlfn.XLOOKUP(CustomerCombined[[#This Row],[ID]], Table2[ID],Table2[Pilot], "Not Found", 0 )</f>
        <v>1</v>
      </c>
      <c r="Y365" s="8">
        <f>_xlfn.XLOOKUP(CustomerCombined[[#This Row],[ID]], Table2[ID],Table2[MC1], "Not Found", 0 )</f>
        <v>0</v>
      </c>
      <c r="Z365" s="8">
        <f>_xlfn.XLOOKUP(CustomerCombined[[#This Row],[ID]], Table2[ID],Table2[MC2], "Not Found", 0 )</f>
        <v>0</v>
      </c>
      <c r="AA365" s="8">
        <f>_xlfn.XLOOKUP(CustomerCombined[[#This Row],[ID]], Table2[ID],Table2[MC3], "Not Found", 0 )</f>
        <v>1</v>
      </c>
      <c r="AB365" s="8">
        <f>_xlfn.XLOOKUP(CustomerCombined[[#This Row],[ID]], Table2[ID],Table2[MC4], "Not Found", 0 )</f>
        <v>0</v>
      </c>
      <c r="AC365" s="8">
        <f>_xlfn.XLOOKUP(CustomerCombined[[#This Row],[ID]], Table2[ID],Table2[MC5], "Not Found", 0 )</f>
        <v>0</v>
      </c>
    </row>
    <row r="366" spans="1:29" x14ac:dyDescent="0.3">
      <c r="A366" s="6">
        <v>1973</v>
      </c>
      <c r="B366" s="6">
        <v>142021</v>
      </c>
      <c r="C366" s="6">
        <v>1</v>
      </c>
      <c r="D366" s="6">
        <v>0</v>
      </c>
      <c r="E366" s="6">
        <v>39</v>
      </c>
      <c r="F366" s="5" t="s">
        <v>8</v>
      </c>
      <c r="G366" s="5" t="s">
        <v>12</v>
      </c>
      <c r="H366" s="3">
        <v>43587</v>
      </c>
      <c r="I366" s="5" t="s">
        <v>434</v>
      </c>
      <c r="J366" s="5">
        <f>_xlfn.XLOOKUP(CustomerCombined[[#This Row],[ID]], Table4[ID], Table4[Recency], "Not Found", 0)</f>
        <v>34</v>
      </c>
      <c r="K366" s="5">
        <f>_xlfn.XLOOKUP(CustomerCombined[[#This Row],[ID]], Table4[ID], Table4[Teas], "Not Found", 0)</f>
        <v>1328</v>
      </c>
      <c r="L366" s="5">
        <f>_xlfn.XLOOKUP(CustomerCombined[[#This Row],[ID]], Table4[ID], Table4[Fruits], "Not Found", 0)</f>
        <v>17</v>
      </c>
      <c r="M366" s="5">
        <f>_xlfn.XLOOKUP(CustomerCombined[[#This Row],[ID]], Table4[ID], Table4[Meats], "Not Found", 0)</f>
        <v>460</v>
      </c>
      <c r="N366" s="5">
        <f>_xlfn.XLOOKUP(CustomerCombined[[#This Row],[ID]], Table4[ID], Table4[Seafood], "Not Found", 0)</f>
        <v>24</v>
      </c>
      <c r="O366" s="5">
        <f>_xlfn.XLOOKUP(CustomerCombined[[#This Row],[ID]], Table4[ID], Table4[Sweets], "Not Found", 0)</f>
        <v>17</v>
      </c>
      <c r="P366" s="5">
        <f>_xlfn.XLOOKUP(CustomerCombined[[#This Row],[ID]], Table4[ID], Table4[Premium], "Not Found", 0)</f>
        <v>91</v>
      </c>
      <c r="Q366" s="5">
        <f>_xlfn.XLOOKUP(CustomerCombined[[#This Row],[ID]], Table4[ID], Table4[Regular], "Not Found", 0)</f>
        <v>1754</v>
      </c>
      <c r="R366" s="5">
        <f>_xlfn.XLOOKUP(CustomerCombined[[#This Row],[ID]], Table4[ID], Table4[Deals], "Not Found", 0)</f>
        <v>5</v>
      </c>
      <c r="S366" s="5">
        <f>_xlfn.XLOOKUP(CustomerCombined[[#This Row],[ID]], Table4[ID], Table4[Website], "Not Found", 0)</f>
        <v>10</v>
      </c>
      <c r="T366" s="5">
        <f>_xlfn.XLOOKUP(CustomerCombined[[#This Row],[ID]], Table4[ID], Table4[Catalog], "Not Found", 0)</f>
        <v>1</v>
      </c>
      <c r="U366" s="5">
        <f>_xlfn.XLOOKUP(CustomerCombined[[#This Row],[ID]], Table4[ID], Table4[Store], "Not Found", 0)</f>
        <v>6</v>
      </c>
      <c r="V366" s="5">
        <f>_xlfn.XLOOKUP(CustomerCombined[[#This Row],[ID]], Table4[ID], Table4[Visits], "Not Found", 0)</f>
        <v>9</v>
      </c>
      <c r="W366" s="8">
        <f>_xlfn.XLOOKUP(CustomerCombined[[#This Row],[ID]], Table2[ID],Table2[Complaint], "Not Found", 0 )</f>
        <v>0</v>
      </c>
      <c r="X366" s="8">
        <f>_xlfn.XLOOKUP(CustomerCombined[[#This Row],[ID]], Table2[ID],Table2[Pilot], "Not Found", 0 )</f>
        <v>0</v>
      </c>
      <c r="Y366" s="8">
        <f>_xlfn.XLOOKUP(CustomerCombined[[#This Row],[ID]], Table2[ID],Table2[MC1], "Not Found", 0 )</f>
        <v>0</v>
      </c>
      <c r="Z366" s="8">
        <f>_xlfn.XLOOKUP(CustomerCombined[[#This Row],[ID]], Table2[ID],Table2[MC2], "Not Found", 0 )</f>
        <v>0</v>
      </c>
      <c r="AA366" s="8">
        <f>_xlfn.XLOOKUP(CustomerCombined[[#This Row],[ID]], Table2[ID],Table2[MC3], "Not Found", 0 )</f>
        <v>1</v>
      </c>
      <c r="AB366" s="8">
        <f>_xlfn.XLOOKUP(CustomerCombined[[#This Row],[ID]], Table2[ID],Table2[MC4], "Not Found", 0 )</f>
        <v>0</v>
      </c>
      <c r="AC366" s="8">
        <f>_xlfn.XLOOKUP(CustomerCombined[[#This Row],[ID]], Table2[ID],Table2[MC5], "Not Found", 0 )</f>
        <v>0</v>
      </c>
    </row>
    <row r="367" spans="1:29" x14ac:dyDescent="0.3">
      <c r="A367" s="6">
        <v>3137</v>
      </c>
      <c r="B367" s="6">
        <v>141967</v>
      </c>
      <c r="C367" s="6">
        <v>1</v>
      </c>
      <c r="D367" s="6">
        <v>1</v>
      </c>
      <c r="E367" s="6">
        <v>39</v>
      </c>
      <c r="F367" s="5" t="s">
        <v>7</v>
      </c>
      <c r="G367" s="5" t="s">
        <v>11</v>
      </c>
      <c r="H367" s="3" t="s">
        <v>142</v>
      </c>
      <c r="I367" s="5" t="s">
        <v>434</v>
      </c>
      <c r="J367" s="5">
        <f>_xlfn.XLOOKUP(CustomerCombined[[#This Row],[ID]], Table4[ID], Table4[Recency], "Not Found", 0)</f>
        <v>66</v>
      </c>
      <c r="K367" s="5">
        <f>_xlfn.XLOOKUP(CustomerCombined[[#This Row],[ID]], Table4[ID], Table4[Teas], "Not Found", 0)</f>
        <v>78</v>
      </c>
      <c r="L367" s="5">
        <f>_xlfn.XLOOKUP(CustomerCombined[[#This Row],[ID]], Table4[ID], Table4[Fruits], "Not Found", 0)</f>
        <v>14</v>
      </c>
      <c r="M367" s="5">
        <f>_xlfn.XLOOKUP(CustomerCombined[[#This Row],[ID]], Table4[ID], Table4[Meats], "Not Found", 0)</f>
        <v>34</v>
      </c>
      <c r="N367" s="5">
        <f>_xlfn.XLOOKUP(CustomerCombined[[#This Row],[ID]], Table4[ID], Table4[Seafood], "Not Found", 0)</f>
        <v>0</v>
      </c>
      <c r="O367" s="5">
        <f>_xlfn.XLOOKUP(CustomerCombined[[#This Row],[ID]], Table4[ID], Table4[Sweets], "Not Found", 0)</f>
        <v>7</v>
      </c>
      <c r="P367" s="5">
        <f>_xlfn.XLOOKUP(CustomerCombined[[#This Row],[ID]], Table4[ID], Table4[Premium], "Not Found", 0)</f>
        <v>51</v>
      </c>
      <c r="Q367" s="5">
        <f>_xlfn.XLOOKUP(CustomerCombined[[#This Row],[ID]], Table4[ID], Table4[Regular], "Not Found", 0)</f>
        <v>81</v>
      </c>
      <c r="R367" s="5">
        <f>_xlfn.XLOOKUP(CustomerCombined[[#This Row],[ID]], Table4[ID], Table4[Deals], "Not Found", 0)</f>
        <v>1</v>
      </c>
      <c r="S367" s="5">
        <f>_xlfn.XLOOKUP(CustomerCombined[[#This Row],[ID]], Table4[ID], Table4[Website], "Not Found", 0)</f>
        <v>1</v>
      </c>
      <c r="T367" s="5">
        <f>_xlfn.XLOOKUP(CustomerCombined[[#This Row],[ID]], Table4[ID], Table4[Catalog], "Not Found", 0)</f>
        <v>0</v>
      </c>
      <c r="U367" s="5">
        <f>_xlfn.XLOOKUP(CustomerCombined[[#This Row],[ID]], Table4[ID], Table4[Store], "Not Found", 0)</f>
        <v>3</v>
      </c>
      <c r="V367" s="5">
        <f>_xlfn.XLOOKUP(CustomerCombined[[#This Row],[ID]], Table4[ID], Table4[Visits], "Not Found", 0)</f>
        <v>4</v>
      </c>
      <c r="W367" s="8">
        <f>_xlfn.XLOOKUP(CustomerCombined[[#This Row],[ID]], Table2[ID],Table2[Complaint], "Not Found", 0 )</f>
        <v>0</v>
      </c>
      <c r="X367" s="8">
        <f>_xlfn.XLOOKUP(CustomerCombined[[#This Row],[ID]], Table2[ID],Table2[Pilot], "Not Found", 0 )</f>
        <v>0</v>
      </c>
      <c r="Y367" s="8">
        <f>_xlfn.XLOOKUP(CustomerCombined[[#This Row],[ID]], Table2[ID],Table2[MC1], "Not Found", 0 )</f>
        <v>0</v>
      </c>
      <c r="Z367" s="8">
        <f>_xlfn.XLOOKUP(CustomerCombined[[#This Row],[ID]], Table2[ID],Table2[MC2], "Not Found", 0 )</f>
        <v>0</v>
      </c>
      <c r="AA367" s="8">
        <f>_xlfn.XLOOKUP(CustomerCombined[[#This Row],[ID]], Table2[ID],Table2[MC3], "Not Found", 0 )</f>
        <v>0</v>
      </c>
      <c r="AB367" s="8">
        <f>_xlfn.XLOOKUP(CustomerCombined[[#This Row],[ID]], Table2[ID],Table2[MC4], "Not Found", 0 )</f>
        <v>0</v>
      </c>
      <c r="AC367" s="8">
        <f>_xlfn.XLOOKUP(CustomerCombined[[#This Row],[ID]], Table2[ID],Table2[MC5], "Not Found", 0 )</f>
        <v>0</v>
      </c>
    </row>
    <row r="368" spans="1:29" x14ac:dyDescent="0.3">
      <c r="A368" s="6">
        <v>2204</v>
      </c>
      <c r="B368" s="6">
        <v>140211</v>
      </c>
      <c r="C368" s="6">
        <v>1</v>
      </c>
      <c r="D368" s="6">
        <v>1</v>
      </c>
      <c r="E368" s="6">
        <v>39</v>
      </c>
      <c r="F368" s="5" t="s">
        <v>6</v>
      </c>
      <c r="G368" s="5" t="s">
        <v>11</v>
      </c>
      <c r="H368" s="3">
        <v>43922</v>
      </c>
      <c r="I368" s="5" t="s">
        <v>438</v>
      </c>
      <c r="J368" s="5">
        <f>_xlfn.XLOOKUP(CustomerCombined[[#This Row],[ID]], Table4[ID], Table4[Recency], "Not Found", 0)</f>
        <v>30</v>
      </c>
      <c r="K368" s="5">
        <f>_xlfn.XLOOKUP(CustomerCombined[[#This Row],[ID]], Table4[ID], Table4[Teas], "Not Found", 0)</f>
        <v>178</v>
      </c>
      <c r="L368" s="5">
        <f>_xlfn.XLOOKUP(CustomerCombined[[#This Row],[ID]], Table4[ID], Table4[Fruits], "Not Found", 0)</f>
        <v>3</v>
      </c>
      <c r="M368" s="5">
        <f>_xlfn.XLOOKUP(CustomerCombined[[#This Row],[ID]], Table4[ID], Table4[Meats], "Not Found", 0)</f>
        <v>24</v>
      </c>
      <c r="N368" s="5">
        <f>_xlfn.XLOOKUP(CustomerCombined[[#This Row],[ID]], Table4[ID], Table4[Seafood], "Not Found", 0)</f>
        <v>7</v>
      </c>
      <c r="O368" s="5">
        <f>_xlfn.XLOOKUP(CustomerCombined[[#This Row],[ID]], Table4[ID], Table4[Sweets], "Not Found", 0)</f>
        <v>3</v>
      </c>
      <c r="P368" s="5">
        <f>_xlfn.XLOOKUP(CustomerCombined[[#This Row],[ID]], Table4[ID], Table4[Premium], "Not Found", 0)</f>
        <v>87</v>
      </c>
      <c r="Q368" s="5">
        <f>_xlfn.XLOOKUP(CustomerCombined[[#This Row],[ID]], Table4[ID], Table4[Regular], "Not Found", 0)</f>
        <v>129</v>
      </c>
      <c r="R368" s="5">
        <f>_xlfn.XLOOKUP(CustomerCombined[[#This Row],[ID]], Table4[ID], Table4[Deals], "Not Found", 0)</f>
        <v>2</v>
      </c>
      <c r="S368" s="5">
        <f>_xlfn.XLOOKUP(CustomerCombined[[#This Row],[ID]], Table4[ID], Table4[Website], "Not Found", 0)</f>
        <v>2</v>
      </c>
      <c r="T368" s="5">
        <f>_xlfn.XLOOKUP(CustomerCombined[[#This Row],[ID]], Table4[ID], Table4[Catalog], "Not Found", 0)</f>
        <v>1</v>
      </c>
      <c r="U368" s="5">
        <f>_xlfn.XLOOKUP(CustomerCombined[[#This Row],[ID]], Table4[ID], Table4[Store], "Not Found", 0)</f>
        <v>2</v>
      </c>
      <c r="V368" s="5">
        <f>_xlfn.XLOOKUP(CustomerCombined[[#This Row],[ID]], Table4[ID], Table4[Visits], "Not Found", 0)</f>
        <v>8</v>
      </c>
      <c r="W368" s="8">
        <f>_xlfn.XLOOKUP(CustomerCombined[[#This Row],[ID]], Table2[ID],Table2[Complaint], "Not Found", 0 )</f>
        <v>0</v>
      </c>
      <c r="X368" s="8">
        <f>_xlfn.XLOOKUP(CustomerCombined[[#This Row],[ID]], Table2[ID],Table2[Pilot], "Not Found", 0 )</f>
        <v>0</v>
      </c>
      <c r="Y368" s="8">
        <f>_xlfn.XLOOKUP(CustomerCombined[[#This Row],[ID]], Table2[ID],Table2[MC1], "Not Found", 0 )</f>
        <v>0</v>
      </c>
      <c r="Z368" s="8">
        <f>_xlfn.XLOOKUP(CustomerCombined[[#This Row],[ID]], Table2[ID],Table2[MC2], "Not Found", 0 )</f>
        <v>0</v>
      </c>
      <c r="AA368" s="8">
        <f>_xlfn.XLOOKUP(CustomerCombined[[#This Row],[ID]], Table2[ID],Table2[MC3], "Not Found", 0 )</f>
        <v>1</v>
      </c>
      <c r="AB368" s="8">
        <f>_xlfn.XLOOKUP(CustomerCombined[[#This Row],[ID]], Table2[ID],Table2[MC4], "Not Found", 0 )</f>
        <v>0</v>
      </c>
      <c r="AC368" s="8">
        <f>_xlfn.XLOOKUP(CustomerCombined[[#This Row],[ID]], Table2[ID],Table2[MC5], "Not Found", 0 )</f>
        <v>0</v>
      </c>
    </row>
    <row r="369" spans="1:29" x14ac:dyDescent="0.3">
      <c r="A369" s="6">
        <v>1494</v>
      </c>
      <c r="B369" s="6">
        <v>139665</v>
      </c>
      <c r="C369" s="6">
        <v>1</v>
      </c>
      <c r="D369" s="6">
        <v>0</v>
      </c>
      <c r="E369" s="6">
        <v>39</v>
      </c>
      <c r="F369" s="5" t="s">
        <v>8</v>
      </c>
      <c r="G369" s="5" t="s">
        <v>13</v>
      </c>
      <c r="H369" s="3" t="s">
        <v>246</v>
      </c>
      <c r="I369" s="5" t="s">
        <v>436</v>
      </c>
      <c r="J369" s="5">
        <f>_xlfn.XLOOKUP(CustomerCombined[[#This Row],[ID]], Table4[ID], Table4[Recency], "Not Found", 0)</f>
        <v>97</v>
      </c>
      <c r="K369" s="5">
        <f>_xlfn.XLOOKUP(CustomerCombined[[#This Row],[ID]], Table4[ID], Table4[Teas], "Not Found", 0)</f>
        <v>447</v>
      </c>
      <c r="L369" s="5">
        <f>_xlfn.XLOOKUP(CustomerCombined[[#This Row],[ID]], Table4[ID], Table4[Fruits], "Not Found", 0)</f>
        <v>4</v>
      </c>
      <c r="M369" s="5">
        <f>_xlfn.XLOOKUP(CustomerCombined[[#This Row],[ID]], Table4[ID], Table4[Meats], "Not Found", 0)</f>
        <v>197</v>
      </c>
      <c r="N369" s="5">
        <f>_xlfn.XLOOKUP(CustomerCombined[[#This Row],[ID]], Table4[ID], Table4[Seafood], "Not Found", 0)</f>
        <v>0</v>
      </c>
      <c r="O369" s="5">
        <f>_xlfn.XLOOKUP(CustomerCombined[[#This Row],[ID]], Table4[ID], Table4[Sweets], "Not Found", 0)</f>
        <v>4</v>
      </c>
      <c r="P369" s="5">
        <f>_xlfn.XLOOKUP(CustomerCombined[[#This Row],[ID]], Table4[ID], Table4[Premium], "Not Found", 0)</f>
        <v>109</v>
      </c>
      <c r="Q369" s="5">
        <f>_xlfn.XLOOKUP(CustomerCombined[[#This Row],[ID]], Table4[ID], Table4[Regular], "Not Found", 0)</f>
        <v>542</v>
      </c>
      <c r="R369" s="5">
        <f>_xlfn.XLOOKUP(CustomerCombined[[#This Row],[ID]], Table4[ID], Table4[Deals], "Not Found", 0)</f>
        <v>3</v>
      </c>
      <c r="S369" s="5">
        <f>_xlfn.XLOOKUP(CustomerCombined[[#This Row],[ID]], Table4[ID], Table4[Website], "Not Found", 0)</f>
        <v>4</v>
      </c>
      <c r="T369" s="5">
        <f>_xlfn.XLOOKUP(CustomerCombined[[#This Row],[ID]], Table4[ID], Table4[Catalog], "Not Found", 0)</f>
        <v>2</v>
      </c>
      <c r="U369" s="5">
        <f>_xlfn.XLOOKUP(CustomerCombined[[#This Row],[ID]], Table4[ID], Table4[Store], "Not Found", 0)</f>
        <v>3</v>
      </c>
      <c r="V369" s="5">
        <f>_xlfn.XLOOKUP(CustomerCombined[[#This Row],[ID]], Table4[ID], Table4[Visits], "Not Found", 0)</f>
        <v>7</v>
      </c>
      <c r="W369" s="8">
        <f>_xlfn.XLOOKUP(CustomerCombined[[#This Row],[ID]], Table2[ID],Table2[Complaint], "Not Found", 0 )</f>
        <v>0</v>
      </c>
      <c r="X369" s="8">
        <f>_xlfn.XLOOKUP(CustomerCombined[[#This Row],[ID]], Table2[ID],Table2[Pilot], "Not Found", 0 )</f>
        <v>0</v>
      </c>
      <c r="Y369" s="8">
        <f>_xlfn.XLOOKUP(CustomerCombined[[#This Row],[ID]], Table2[ID],Table2[MC1], "Not Found", 0 )</f>
        <v>0</v>
      </c>
      <c r="Z369" s="8">
        <f>_xlfn.XLOOKUP(CustomerCombined[[#This Row],[ID]], Table2[ID],Table2[MC2], "Not Found", 0 )</f>
        <v>0</v>
      </c>
      <c r="AA369" s="8">
        <f>_xlfn.XLOOKUP(CustomerCombined[[#This Row],[ID]], Table2[ID],Table2[MC3], "Not Found", 0 )</f>
        <v>1</v>
      </c>
      <c r="AB369" s="8">
        <f>_xlfn.XLOOKUP(CustomerCombined[[#This Row],[ID]], Table2[ID],Table2[MC4], "Not Found", 0 )</f>
        <v>0</v>
      </c>
      <c r="AC369" s="8">
        <f>_xlfn.XLOOKUP(CustomerCombined[[#This Row],[ID]], Table2[ID],Table2[MC5], "Not Found", 0 )</f>
        <v>0</v>
      </c>
    </row>
    <row r="370" spans="1:29" x14ac:dyDescent="0.3">
      <c r="A370" s="6">
        <v>1137</v>
      </c>
      <c r="B370" s="6">
        <v>138547</v>
      </c>
      <c r="C370" s="6">
        <v>1</v>
      </c>
      <c r="D370" s="6">
        <v>0</v>
      </c>
      <c r="E370" s="6">
        <v>39</v>
      </c>
      <c r="F370" s="5" t="s">
        <v>8</v>
      </c>
      <c r="G370" s="5" t="s">
        <v>11</v>
      </c>
      <c r="H370" s="3">
        <v>43863</v>
      </c>
      <c r="I370" s="5" t="s">
        <v>435</v>
      </c>
      <c r="J370" s="5">
        <f>_xlfn.XLOOKUP(CustomerCombined[[#This Row],[ID]], Table4[ID], Table4[Recency], "Not Found", 0)</f>
        <v>49</v>
      </c>
      <c r="K370" s="5">
        <f>_xlfn.XLOOKUP(CustomerCombined[[#This Row],[ID]], Table4[ID], Table4[Teas], "Not Found", 0)</f>
        <v>22</v>
      </c>
      <c r="L370" s="5">
        <f>_xlfn.XLOOKUP(CustomerCombined[[#This Row],[ID]], Table4[ID], Table4[Fruits], "Not Found", 0)</f>
        <v>4</v>
      </c>
      <c r="M370" s="5">
        <f>_xlfn.XLOOKUP(CustomerCombined[[#This Row],[ID]], Table4[ID], Table4[Meats], "Not Found", 0)</f>
        <v>36</v>
      </c>
      <c r="N370" s="5">
        <f>_xlfn.XLOOKUP(CustomerCombined[[#This Row],[ID]], Table4[ID], Table4[Seafood], "Not Found", 0)</f>
        <v>0</v>
      </c>
      <c r="O370" s="5">
        <f>_xlfn.XLOOKUP(CustomerCombined[[#This Row],[ID]], Table4[ID], Table4[Sweets], "Not Found", 0)</f>
        <v>4</v>
      </c>
      <c r="P370" s="5">
        <f>_xlfn.XLOOKUP(CustomerCombined[[#This Row],[ID]], Table4[ID], Table4[Premium], "Not Found", 0)</f>
        <v>14</v>
      </c>
      <c r="Q370" s="5">
        <f>_xlfn.XLOOKUP(CustomerCombined[[#This Row],[ID]], Table4[ID], Table4[Regular], "Not Found", 0)</f>
        <v>50</v>
      </c>
      <c r="R370" s="5">
        <f>_xlfn.XLOOKUP(CustomerCombined[[#This Row],[ID]], Table4[ID], Table4[Deals], "Not Found", 0)</f>
        <v>1</v>
      </c>
      <c r="S370" s="5">
        <f>_xlfn.XLOOKUP(CustomerCombined[[#This Row],[ID]], Table4[ID], Table4[Website], "Not Found", 0)</f>
        <v>1</v>
      </c>
      <c r="T370" s="5">
        <f>_xlfn.XLOOKUP(CustomerCombined[[#This Row],[ID]], Table4[ID], Table4[Catalog], "Not Found", 0)</f>
        <v>0</v>
      </c>
      <c r="U370" s="5">
        <f>_xlfn.XLOOKUP(CustomerCombined[[#This Row],[ID]], Table4[ID], Table4[Store], "Not Found", 0)</f>
        <v>2</v>
      </c>
      <c r="V370" s="5">
        <f>_xlfn.XLOOKUP(CustomerCombined[[#This Row],[ID]], Table4[ID], Table4[Visits], "Not Found", 0)</f>
        <v>8</v>
      </c>
      <c r="W370" s="8">
        <f>_xlfn.XLOOKUP(CustomerCombined[[#This Row],[ID]], Table2[ID],Table2[Complaint], "Not Found", 0 )</f>
        <v>1</v>
      </c>
      <c r="X370" s="8">
        <f>_xlfn.XLOOKUP(CustomerCombined[[#This Row],[ID]], Table2[ID],Table2[Pilot], "Not Found", 0 )</f>
        <v>0</v>
      </c>
      <c r="Y370" s="8">
        <f>_xlfn.XLOOKUP(CustomerCombined[[#This Row],[ID]], Table2[ID],Table2[MC1], "Not Found", 0 )</f>
        <v>0</v>
      </c>
      <c r="Z370" s="8">
        <f>_xlfn.XLOOKUP(CustomerCombined[[#This Row],[ID]], Table2[ID],Table2[MC2], "Not Found", 0 )</f>
        <v>0</v>
      </c>
      <c r="AA370" s="8">
        <f>_xlfn.XLOOKUP(CustomerCombined[[#This Row],[ID]], Table2[ID],Table2[MC3], "Not Found", 0 )</f>
        <v>0</v>
      </c>
      <c r="AB370" s="8">
        <f>_xlfn.XLOOKUP(CustomerCombined[[#This Row],[ID]], Table2[ID],Table2[MC4], "Not Found", 0 )</f>
        <v>0</v>
      </c>
      <c r="AC370" s="8">
        <f>_xlfn.XLOOKUP(CustomerCombined[[#This Row],[ID]], Table2[ID],Table2[MC5], "Not Found", 0 )</f>
        <v>0</v>
      </c>
    </row>
    <row r="371" spans="1:29" x14ac:dyDescent="0.3">
      <c r="A371" s="6">
        <v>1558</v>
      </c>
      <c r="B371" s="6">
        <v>136959</v>
      </c>
      <c r="C371" s="6">
        <v>1</v>
      </c>
      <c r="D371" s="6">
        <v>0</v>
      </c>
      <c r="E371" s="6">
        <v>39</v>
      </c>
      <c r="F371" s="5" t="s">
        <v>6</v>
      </c>
      <c r="G371" s="5" t="s">
        <v>12</v>
      </c>
      <c r="H371" s="3">
        <v>44046</v>
      </c>
      <c r="I371" s="5" t="s">
        <v>439</v>
      </c>
      <c r="J371" s="5">
        <f>_xlfn.XLOOKUP(CustomerCombined[[#This Row],[ID]], Table4[ID], Table4[Recency], "Not Found", 0)</f>
        <v>56</v>
      </c>
      <c r="K371" s="5">
        <f>_xlfn.XLOOKUP(CustomerCombined[[#This Row],[ID]], Table4[ID], Table4[Teas], "Not Found", 0)</f>
        <v>93</v>
      </c>
      <c r="L371" s="5">
        <f>_xlfn.XLOOKUP(CustomerCombined[[#This Row],[ID]], Table4[ID], Table4[Fruits], "Not Found", 0)</f>
        <v>22</v>
      </c>
      <c r="M371" s="5">
        <f>_xlfn.XLOOKUP(CustomerCombined[[#This Row],[ID]], Table4[ID], Table4[Meats], "Not Found", 0)</f>
        <v>93</v>
      </c>
      <c r="N371" s="5">
        <f>_xlfn.XLOOKUP(CustomerCombined[[#This Row],[ID]], Table4[ID], Table4[Seafood], "Not Found", 0)</f>
        <v>22</v>
      </c>
      <c r="O371" s="5">
        <f>_xlfn.XLOOKUP(CustomerCombined[[#This Row],[ID]], Table4[ID], Table4[Sweets], "Not Found", 0)</f>
        <v>0</v>
      </c>
      <c r="P371" s="5">
        <f>_xlfn.XLOOKUP(CustomerCombined[[#This Row],[ID]], Table4[ID], Table4[Premium], "Not Found", 0)</f>
        <v>0</v>
      </c>
      <c r="Q371" s="5">
        <f>_xlfn.XLOOKUP(CustomerCombined[[#This Row],[ID]], Table4[ID], Table4[Regular], "Not Found", 0)</f>
        <v>230</v>
      </c>
      <c r="R371" s="5">
        <f>_xlfn.XLOOKUP(CustomerCombined[[#This Row],[ID]], Table4[ID], Table4[Deals], "Not Found", 0)</f>
        <v>2</v>
      </c>
      <c r="S371" s="5">
        <f>_xlfn.XLOOKUP(CustomerCombined[[#This Row],[ID]], Table4[ID], Table4[Website], "Not Found", 0)</f>
        <v>2</v>
      </c>
      <c r="T371" s="5">
        <f>_xlfn.XLOOKUP(CustomerCombined[[#This Row],[ID]], Table4[ID], Table4[Catalog], "Not Found", 0)</f>
        <v>0</v>
      </c>
      <c r="U371" s="5">
        <f>_xlfn.XLOOKUP(CustomerCombined[[#This Row],[ID]], Table4[ID], Table4[Store], "Not Found", 0)</f>
        <v>3</v>
      </c>
      <c r="V371" s="5">
        <f>_xlfn.XLOOKUP(CustomerCombined[[#This Row],[ID]], Table4[ID], Table4[Visits], "Not Found", 0)</f>
        <v>8</v>
      </c>
      <c r="W371" s="8">
        <f>_xlfn.XLOOKUP(CustomerCombined[[#This Row],[ID]], Table2[ID],Table2[Complaint], "Not Found", 0 )</f>
        <v>0</v>
      </c>
      <c r="X371" s="8">
        <f>_xlfn.XLOOKUP(CustomerCombined[[#This Row],[ID]], Table2[ID],Table2[Pilot], "Not Found", 0 )</f>
        <v>0</v>
      </c>
      <c r="Y371" s="8">
        <f>_xlfn.XLOOKUP(CustomerCombined[[#This Row],[ID]], Table2[ID],Table2[MC1], "Not Found", 0 )</f>
        <v>0</v>
      </c>
      <c r="Z371" s="8">
        <f>_xlfn.XLOOKUP(CustomerCombined[[#This Row],[ID]], Table2[ID],Table2[MC2], "Not Found", 0 )</f>
        <v>0</v>
      </c>
      <c r="AA371" s="8">
        <f>_xlfn.XLOOKUP(CustomerCombined[[#This Row],[ID]], Table2[ID],Table2[MC3], "Not Found", 0 )</f>
        <v>0</v>
      </c>
      <c r="AB371" s="8">
        <f>_xlfn.XLOOKUP(CustomerCombined[[#This Row],[ID]], Table2[ID],Table2[MC4], "Not Found", 0 )</f>
        <v>0</v>
      </c>
      <c r="AC371" s="8">
        <f>_xlfn.XLOOKUP(CustomerCombined[[#This Row],[ID]], Table2[ID],Table2[MC5], "Not Found", 0 )</f>
        <v>0</v>
      </c>
    </row>
    <row r="372" spans="1:29" x14ac:dyDescent="0.3">
      <c r="A372" s="6">
        <v>1368</v>
      </c>
      <c r="B372" s="6">
        <v>136143</v>
      </c>
      <c r="C372" s="6">
        <v>1</v>
      </c>
      <c r="D372" s="6">
        <v>0</v>
      </c>
      <c r="E372" s="6">
        <v>39</v>
      </c>
      <c r="F372" s="5" t="s">
        <v>7</v>
      </c>
      <c r="G372" s="5" t="s">
        <v>12</v>
      </c>
      <c r="H372" s="3">
        <v>43899</v>
      </c>
      <c r="I372" s="5" t="s">
        <v>436</v>
      </c>
      <c r="J372" s="5">
        <f>_xlfn.XLOOKUP(CustomerCombined[[#This Row],[ID]], Table4[ID], Table4[Recency], "Not Found", 0)</f>
        <v>33</v>
      </c>
      <c r="K372" s="5">
        <f>_xlfn.XLOOKUP(CustomerCombined[[#This Row],[ID]], Table4[ID], Table4[Teas], "Not Found", 0)</f>
        <v>45</v>
      </c>
      <c r="L372" s="5">
        <f>_xlfn.XLOOKUP(CustomerCombined[[#This Row],[ID]], Table4[ID], Table4[Fruits], "Not Found", 0)</f>
        <v>0</v>
      </c>
      <c r="M372" s="5">
        <f>_xlfn.XLOOKUP(CustomerCombined[[#This Row],[ID]], Table4[ID], Table4[Meats], "Not Found", 0)</f>
        <v>4</v>
      </c>
      <c r="N372" s="5">
        <f>_xlfn.XLOOKUP(CustomerCombined[[#This Row],[ID]], Table4[ID], Table4[Seafood], "Not Found", 0)</f>
        <v>0</v>
      </c>
      <c r="O372" s="5">
        <f>_xlfn.XLOOKUP(CustomerCombined[[#This Row],[ID]], Table4[ID], Table4[Sweets], "Not Found", 0)</f>
        <v>0</v>
      </c>
      <c r="P372" s="5">
        <f>_xlfn.XLOOKUP(CustomerCombined[[#This Row],[ID]], Table4[ID], Table4[Premium], "Not Found", 0)</f>
        <v>23</v>
      </c>
      <c r="Q372" s="5">
        <f>_xlfn.XLOOKUP(CustomerCombined[[#This Row],[ID]], Table4[ID], Table4[Regular], "Not Found", 0)</f>
        <v>26</v>
      </c>
      <c r="R372" s="5">
        <f>_xlfn.XLOOKUP(CustomerCombined[[#This Row],[ID]], Table4[ID], Table4[Deals], "Not Found", 0)</f>
        <v>1</v>
      </c>
      <c r="S372" s="5">
        <f>_xlfn.XLOOKUP(CustomerCombined[[#This Row],[ID]], Table4[ID], Table4[Website], "Not Found", 0)</f>
        <v>0</v>
      </c>
      <c r="T372" s="5">
        <f>_xlfn.XLOOKUP(CustomerCombined[[#This Row],[ID]], Table4[ID], Table4[Catalog], "Not Found", 0)</f>
        <v>1</v>
      </c>
      <c r="U372" s="5">
        <f>_xlfn.XLOOKUP(CustomerCombined[[#This Row],[ID]], Table4[ID], Table4[Store], "Not Found", 0)</f>
        <v>2</v>
      </c>
      <c r="V372" s="5">
        <f>_xlfn.XLOOKUP(CustomerCombined[[#This Row],[ID]], Table4[ID], Table4[Visits], "Not Found", 0)</f>
        <v>3</v>
      </c>
      <c r="W372" s="8">
        <f>_xlfn.XLOOKUP(CustomerCombined[[#This Row],[ID]], Table2[ID],Table2[Complaint], "Not Found", 0 )</f>
        <v>0</v>
      </c>
      <c r="X372" s="8">
        <f>_xlfn.XLOOKUP(CustomerCombined[[#This Row],[ID]], Table2[ID],Table2[Pilot], "Not Found", 0 )</f>
        <v>0</v>
      </c>
      <c r="Y372" s="8">
        <f>_xlfn.XLOOKUP(CustomerCombined[[#This Row],[ID]], Table2[ID],Table2[MC1], "Not Found", 0 )</f>
        <v>0</v>
      </c>
      <c r="Z372" s="8">
        <f>_xlfn.XLOOKUP(CustomerCombined[[#This Row],[ID]], Table2[ID],Table2[MC2], "Not Found", 0 )</f>
        <v>0</v>
      </c>
      <c r="AA372" s="8">
        <f>_xlfn.XLOOKUP(CustomerCombined[[#This Row],[ID]], Table2[ID],Table2[MC3], "Not Found", 0 )</f>
        <v>0</v>
      </c>
      <c r="AB372" s="8">
        <f>_xlfn.XLOOKUP(CustomerCombined[[#This Row],[ID]], Table2[ID],Table2[MC4], "Not Found", 0 )</f>
        <v>0</v>
      </c>
      <c r="AC372" s="8">
        <f>_xlfn.XLOOKUP(CustomerCombined[[#This Row],[ID]], Table2[ID],Table2[MC5], "Not Found", 0 )</f>
        <v>0</v>
      </c>
    </row>
    <row r="373" spans="1:29" x14ac:dyDescent="0.3">
      <c r="A373" s="6">
        <v>2892</v>
      </c>
      <c r="B373" s="6">
        <v>136038</v>
      </c>
      <c r="C373" s="6">
        <v>1</v>
      </c>
      <c r="D373" s="6">
        <v>0</v>
      </c>
      <c r="E373" s="6">
        <v>39</v>
      </c>
      <c r="F373" s="5" t="s">
        <v>7</v>
      </c>
      <c r="G373" s="5" t="s">
        <v>13</v>
      </c>
      <c r="H373" s="3">
        <v>43596</v>
      </c>
      <c r="I373" s="5" t="s">
        <v>436</v>
      </c>
      <c r="J373" s="5">
        <f>_xlfn.XLOOKUP(CustomerCombined[[#This Row],[ID]], Table4[ID], Table4[Recency], "Not Found", 0)</f>
        <v>82</v>
      </c>
      <c r="K373" s="5">
        <f>_xlfn.XLOOKUP(CustomerCombined[[#This Row],[ID]], Table4[ID], Table4[Teas], "Not Found", 0)</f>
        <v>87</v>
      </c>
      <c r="L373" s="5">
        <f>_xlfn.XLOOKUP(CustomerCombined[[#This Row],[ID]], Table4[ID], Table4[Fruits], "Not Found", 0)</f>
        <v>0</v>
      </c>
      <c r="M373" s="5">
        <f>_xlfn.XLOOKUP(CustomerCombined[[#This Row],[ID]], Table4[ID], Table4[Meats], "Not Found", 0)</f>
        <v>57</v>
      </c>
      <c r="N373" s="5">
        <f>_xlfn.XLOOKUP(CustomerCombined[[#This Row],[ID]], Table4[ID], Table4[Seafood], "Not Found", 0)</f>
        <v>0</v>
      </c>
      <c r="O373" s="5">
        <f>_xlfn.XLOOKUP(CustomerCombined[[#This Row],[ID]], Table4[ID], Table4[Sweets], "Not Found", 0)</f>
        <v>8</v>
      </c>
      <c r="P373" s="5">
        <f>_xlfn.XLOOKUP(CustomerCombined[[#This Row],[ID]], Table4[ID], Table4[Premium], "Not Found", 0)</f>
        <v>26</v>
      </c>
      <c r="Q373" s="5">
        <f>_xlfn.XLOOKUP(CustomerCombined[[#This Row],[ID]], Table4[ID], Table4[Regular], "Not Found", 0)</f>
        <v>125</v>
      </c>
      <c r="R373" s="5">
        <f>_xlfn.XLOOKUP(CustomerCombined[[#This Row],[ID]], Table4[ID], Table4[Deals], "Not Found", 0)</f>
        <v>2</v>
      </c>
      <c r="S373" s="5">
        <f>_xlfn.XLOOKUP(CustomerCombined[[#This Row],[ID]], Table4[ID], Table4[Website], "Not Found", 0)</f>
        <v>3</v>
      </c>
      <c r="T373" s="5">
        <f>_xlfn.XLOOKUP(CustomerCombined[[#This Row],[ID]], Table4[ID], Table4[Catalog], "Not Found", 0)</f>
        <v>0</v>
      </c>
      <c r="U373" s="5">
        <f>_xlfn.XLOOKUP(CustomerCombined[[#This Row],[ID]], Table4[ID], Table4[Store], "Not Found", 0)</f>
        <v>3</v>
      </c>
      <c r="V373" s="5">
        <f>_xlfn.XLOOKUP(CustomerCombined[[#This Row],[ID]], Table4[ID], Table4[Visits], "Not Found", 0)</f>
        <v>6</v>
      </c>
      <c r="W373" s="8">
        <f>_xlfn.XLOOKUP(CustomerCombined[[#This Row],[ID]], Table2[ID],Table2[Complaint], "Not Found", 0 )</f>
        <v>0</v>
      </c>
      <c r="X373" s="8">
        <f>_xlfn.XLOOKUP(CustomerCombined[[#This Row],[ID]], Table2[ID],Table2[Pilot], "Not Found", 0 )</f>
        <v>0</v>
      </c>
      <c r="Y373" s="8">
        <f>_xlfn.XLOOKUP(CustomerCombined[[#This Row],[ID]], Table2[ID],Table2[MC1], "Not Found", 0 )</f>
        <v>0</v>
      </c>
      <c r="Z373" s="8">
        <f>_xlfn.XLOOKUP(CustomerCombined[[#This Row],[ID]], Table2[ID],Table2[MC2], "Not Found", 0 )</f>
        <v>0</v>
      </c>
      <c r="AA373" s="8">
        <f>_xlfn.XLOOKUP(CustomerCombined[[#This Row],[ID]], Table2[ID],Table2[MC3], "Not Found", 0 )</f>
        <v>0</v>
      </c>
      <c r="AB373" s="8">
        <f>_xlfn.XLOOKUP(CustomerCombined[[#This Row],[ID]], Table2[ID],Table2[MC4], "Not Found", 0 )</f>
        <v>0</v>
      </c>
      <c r="AC373" s="8">
        <f>_xlfn.XLOOKUP(CustomerCombined[[#This Row],[ID]], Table2[ID],Table2[MC5], "Not Found", 0 )</f>
        <v>0</v>
      </c>
    </row>
    <row r="374" spans="1:29" x14ac:dyDescent="0.3">
      <c r="A374" s="6">
        <v>1741</v>
      </c>
      <c r="B374" s="6">
        <v>135523</v>
      </c>
      <c r="C374" s="6">
        <v>1</v>
      </c>
      <c r="D374" s="6">
        <v>0</v>
      </c>
      <c r="E374" s="6">
        <v>39</v>
      </c>
      <c r="F374" s="5" t="s">
        <v>6</v>
      </c>
      <c r="G374" s="5" t="s">
        <v>442</v>
      </c>
      <c r="H374" s="3">
        <v>44077</v>
      </c>
      <c r="I374" s="5" t="s">
        <v>437</v>
      </c>
      <c r="J374" s="5">
        <f>_xlfn.XLOOKUP(CustomerCombined[[#This Row],[ID]], Table4[ID], Table4[Recency], "Not Found", 0)</f>
        <v>8</v>
      </c>
      <c r="K374" s="5">
        <f>_xlfn.XLOOKUP(CustomerCombined[[#This Row],[ID]], Table4[ID], Table4[Teas], "Not Found", 0)</f>
        <v>42</v>
      </c>
      <c r="L374" s="5">
        <f>_xlfn.XLOOKUP(CustomerCombined[[#This Row],[ID]], Table4[ID], Table4[Fruits], "Not Found", 0)</f>
        <v>19</v>
      </c>
      <c r="M374" s="5">
        <f>_xlfn.XLOOKUP(CustomerCombined[[#This Row],[ID]], Table4[ID], Table4[Meats], "Not Found", 0)</f>
        <v>84</v>
      </c>
      <c r="N374" s="5">
        <f>_xlfn.XLOOKUP(CustomerCombined[[#This Row],[ID]], Table4[ID], Table4[Seafood], "Not Found", 0)</f>
        <v>46</v>
      </c>
      <c r="O374" s="5">
        <f>_xlfn.XLOOKUP(CustomerCombined[[#This Row],[ID]], Table4[ID], Table4[Sweets], "Not Found", 0)</f>
        <v>19</v>
      </c>
      <c r="P374" s="5">
        <f>_xlfn.XLOOKUP(CustomerCombined[[#This Row],[ID]], Table4[ID], Table4[Premium], "Not Found", 0)</f>
        <v>42</v>
      </c>
      <c r="Q374" s="5">
        <f>_xlfn.XLOOKUP(CustomerCombined[[#This Row],[ID]], Table4[ID], Table4[Regular], "Not Found", 0)</f>
        <v>168</v>
      </c>
      <c r="R374" s="5">
        <f>_xlfn.XLOOKUP(CustomerCombined[[#This Row],[ID]], Table4[ID], Table4[Deals], "Not Found", 0)</f>
        <v>2</v>
      </c>
      <c r="S374" s="5">
        <f>_xlfn.XLOOKUP(CustomerCombined[[#This Row],[ID]], Table4[ID], Table4[Website], "Not Found", 0)</f>
        <v>3</v>
      </c>
      <c r="T374" s="5">
        <f>_xlfn.XLOOKUP(CustomerCombined[[#This Row],[ID]], Table4[ID], Table4[Catalog], "Not Found", 0)</f>
        <v>0</v>
      </c>
      <c r="U374" s="5">
        <f>_xlfn.XLOOKUP(CustomerCombined[[#This Row],[ID]], Table4[ID], Table4[Store], "Not Found", 0)</f>
        <v>3</v>
      </c>
      <c r="V374" s="5">
        <f>_xlfn.XLOOKUP(CustomerCombined[[#This Row],[ID]], Table4[ID], Table4[Visits], "Not Found", 0)</f>
        <v>7</v>
      </c>
      <c r="W374" s="8">
        <f>_xlfn.XLOOKUP(CustomerCombined[[#This Row],[ID]], Table2[ID],Table2[Complaint], "Not Found", 0 )</f>
        <v>0</v>
      </c>
      <c r="X374" s="8">
        <f>_xlfn.XLOOKUP(CustomerCombined[[#This Row],[ID]], Table2[ID],Table2[Pilot], "Not Found", 0 )</f>
        <v>0</v>
      </c>
      <c r="Y374" s="8">
        <f>_xlfn.XLOOKUP(CustomerCombined[[#This Row],[ID]], Table2[ID],Table2[MC1], "Not Found", 0 )</f>
        <v>0</v>
      </c>
      <c r="Z374" s="8">
        <f>_xlfn.XLOOKUP(CustomerCombined[[#This Row],[ID]], Table2[ID],Table2[MC2], "Not Found", 0 )</f>
        <v>0</v>
      </c>
      <c r="AA374" s="8">
        <f>_xlfn.XLOOKUP(CustomerCombined[[#This Row],[ID]], Table2[ID],Table2[MC3], "Not Found", 0 )</f>
        <v>0</v>
      </c>
      <c r="AB374" s="8">
        <f>_xlfn.XLOOKUP(CustomerCombined[[#This Row],[ID]], Table2[ID],Table2[MC4], "Not Found", 0 )</f>
        <v>0</v>
      </c>
      <c r="AC374" s="8">
        <f>_xlfn.XLOOKUP(CustomerCombined[[#This Row],[ID]], Table2[ID],Table2[MC5], "Not Found", 0 )</f>
        <v>0</v>
      </c>
    </row>
    <row r="375" spans="1:29" x14ac:dyDescent="0.3">
      <c r="A375" s="6">
        <v>2988</v>
      </c>
      <c r="B375" s="6">
        <v>134445</v>
      </c>
      <c r="C375" s="6">
        <v>0</v>
      </c>
      <c r="D375" s="6">
        <v>0</v>
      </c>
      <c r="E375" s="6">
        <v>39</v>
      </c>
      <c r="F375" s="5" t="s">
        <v>6</v>
      </c>
      <c r="G375" s="5" t="s">
        <v>10</v>
      </c>
      <c r="H375" s="3">
        <v>43562</v>
      </c>
      <c r="I375" s="5" t="s">
        <v>436</v>
      </c>
      <c r="J375" s="5">
        <f>_xlfn.XLOOKUP(CustomerCombined[[#This Row],[ID]], Table4[ID], Table4[Recency], "Not Found", 0)</f>
        <v>92</v>
      </c>
      <c r="K375" s="5">
        <f>_xlfn.XLOOKUP(CustomerCombined[[#This Row],[ID]], Table4[ID], Table4[Teas], "Not Found", 0)</f>
        <v>890</v>
      </c>
      <c r="L375" s="5">
        <f>_xlfn.XLOOKUP(CustomerCombined[[#This Row],[ID]], Table4[ID], Table4[Fruits], "Not Found", 0)</f>
        <v>476</v>
      </c>
      <c r="M375" s="5">
        <f>_xlfn.XLOOKUP(CustomerCombined[[#This Row],[ID]], Table4[ID], Table4[Meats], "Not Found", 0)</f>
        <v>476</v>
      </c>
      <c r="N375" s="5">
        <f>_xlfn.XLOOKUP(CustomerCombined[[#This Row],[ID]], Table4[ID], Table4[Seafood], "Not Found", 0)</f>
        <v>812</v>
      </c>
      <c r="O375" s="5">
        <f>_xlfn.XLOOKUP(CustomerCombined[[#This Row],[ID]], Table4[ID], Table4[Sweets], "Not Found", 0)</f>
        <v>504</v>
      </c>
      <c r="P375" s="5">
        <f>_xlfn.XLOOKUP(CustomerCombined[[#This Row],[ID]], Table4[ID], Table4[Premium], "Not Found", 0)</f>
        <v>117</v>
      </c>
      <c r="Q375" s="5">
        <f>_xlfn.XLOOKUP(CustomerCombined[[#This Row],[ID]], Table4[ID], Table4[Regular], "Not Found", 0)</f>
        <v>3041</v>
      </c>
      <c r="R375" s="5">
        <f>_xlfn.XLOOKUP(CustomerCombined[[#This Row],[ID]], Table4[ID], Table4[Deals], "Not Found", 0)</f>
        <v>6</v>
      </c>
      <c r="S375" s="5">
        <f>_xlfn.XLOOKUP(CustomerCombined[[#This Row],[ID]], Table4[ID], Table4[Website], "Not Found", 0)</f>
        <v>11</v>
      </c>
      <c r="T375" s="5">
        <f>_xlfn.XLOOKUP(CustomerCombined[[#This Row],[ID]], Table4[ID], Table4[Catalog], "Not Found", 0)</f>
        <v>2</v>
      </c>
      <c r="U375" s="5">
        <f>_xlfn.XLOOKUP(CustomerCombined[[#This Row],[ID]], Table4[ID], Table4[Store], "Not Found", 0)</f>
        <v>8</v>
      </c>
      <c r="V375" s="5">
        <f>_xlfn.XLOOKUP(CustomerCombined[[#This Row],[ID]], Table4[ID], Table4[Visits], "Not Found", 0)</f>
        <v>9</v>
      </c>
      <c r="W375" s="8">
        <f>_xlfn.XLOOKUP(CustomerCombined[[#This Row],[ID]], Table2[ID],Table2[Complaint], "Not Found", 0 )</f>
        <v>0</v>
      </c>
      <c r="X375" s="8">
        <f>_xlfn.XLOOKUP(CustomerCombined[[#This Row],[ID]], Table2[ID],Table2[Pilot], "Not Found", 0 )</f>
        <v>0</v>
      </c>
      <c r="Y375" s="8">
        <f>_xlfn.XLOOKUP(CustomerCombined[[#This Row],[ID]], Table2[ID],Table2[MC1], "Not Found", 0 )</f>
        <v>0</v>
      </c>
      <c r="Z375" s="8">
        <f>_xlfn.XLOOKUP(CustomerCombined[[#This Row],[ID]], Table2[ID],Table2[MC2], "Not Found", 0 )</f>
        <v>0</v>
      </c>
      <c r="AA375" s="8">
        <f>_xlfn.XLOOKUP(CustomerCombined[[#This Row],[ID]], Table2[ID],Table2[MC3], "Not Found", 0 )</f>
        <v>0</v>
      </c>
      <c r="AB375" s="8">
        <f>_xlfn.XLOOKUP(CustomerCombined[[#This Row],[ID]], Table2[ID],Table2[MC4], "Not Found", 0 )</f>
        <v>0</v>
      </c>
      <c r="AC375" s="8">
        <f>_xlfn.XLOOKUP(CustomerCombined[[#This Row],[ID]], Table2[ID],Table2[MC5], "Not Found", 0 )</f>
        <v>0</v>
      </c>
    </row>
    <row r="376" spans="1:29" x14ac:dyDescent="0.3">
      <c r="A376" s="6">
        <v>1583</v>
      </c>
      <c r="B376" s="6">
        <v>131089</v>
      </c>
      <c r="C376" s="6">
        <v>1</v>
      </c>
      <c r="D376" s="6">
        <v>0</v>
      </c>
      <c r="E376" s="6">
        <v>39</v>
      </c>
      <c r="F376" s="5" t="s">
        <v>8</v>
      </c>
      <c r="G376" s="5" t="s">
        <v>11</v>
      </c>
      <c r="H376" s="3" t="s">
        <v>411</v>
      </c>
      <c r="I376" s="5" t="s">
        <v>434</v>
      </c>
      <c r="J376" s="5">
        <f>_xlfn.XLOOKUP(CustomerCombined[[#This Row],[ID]], Table4[ID], Table4[Recency], "Not Found", 0)</f>
        <v>57</v>
      </c>
      <c r="K376" s="5">
        <f>_xlfn.XLOOKUP(CustomerCombined[[#This Row],[ID]], Table4[ID], Table4[Teas], "Not Found", 0)</f>
        <v>131</v>
      </c>
      <c r="L376" s="5">
        <f>_xlfn.XLOOKUP(CustomerCombined[[#This Row],[ID]], Table4[ID], Table4[Fruits], "Not Found", 0)</f>
        <v>13</v>
      </c>
      <c r="M376" s="5">
        <f>_xlfn.XLOOKUP(CustomerCombined[[#This Row],[ID]], Table4[ID], Table4[Meats], "Not Found", 0)</f>
        <v>131</v>
      </c>
      <c r="N376" s="5">
        <f>_xlfn.XLOOKUP(CustomerCombined[[#This Row],[ID]], Table4[ID], Table4[Seafood], "Not Found", 0)</f>
        <v>8</v>
      </c>
      <c r="O376" s="5">
        <f>_xlfn.XLOOKUP(CustomerCombined[[#This Row],[ID]], Table4[ID], Table4[Sweets], "Not Found", 0)</f>
        <v>34</v>
      </c>
      <c r="P376" s="5">
        <f>_xlfn.XLOOKUP(CustomerCombined[[#This Row],[ID]], Table4[ID], Table4[Premium], "Not Found", 0)</f>
        <v>17</v>
      </c>
      <c r="Q376" s="5">
        <f>_xlfn.XLOOKUP(CustomerCombined[[#This Row],[ID]], Table4[ID], Table4[Regular], "Not Found", 0)</f>
        <v>299</v>
      </c>
      <c r="R376" s="5">
        <f>_xlfn.XLOOKUP(CustomerCombined[[#This Row],[ID]], Table4[ID], Table4[Deals], "Not Found", 0)</f>
        <v>3</v>
      </c>
      <c r="S376" s="5">
        <f>_xlfn.XLOOKUP(CustomerCombined[[#This Row],[ID]], Table4[ID], Table4[Website], "Not Found", 0)</f>
        <v>3</v>
      </c>
      <c r="T376" s="5">
        <f>_xlfn.XLOOKUP(CustomerCombined[[#This Row],[ID]], Table4[ID], Table4[Catalog], "Not Found", 0)</f>
        <v>0</v>
      </c>
      <c r="U376" s="5">
        <f>_xlfn.XLOOKUP(CustomerCombined[[#This Row],[ID]], Table4[ID], Table4[Store], "Not Found", 0)</f>
        <v>4</v>
      </c>
      <c r="V376" s="5">
        <f>_xlfn.XLOOKUP(CustomerCombined[[#This Row],[ID]], Table4[ID], Table4[Visits], "Not Found", 0)</f>
        <v>8</v>
      </c>
      <c r="W376" s="8">
        <f>_xlfn.XLOOKUP(CustomerCombined[[#This Row],[ID]], Table2[ID],Table2[Complaint], "Not Found", 0 )</f>
        <v>0</v>
      </c>
      <c r="X376" s="8">
        <f>_xlfn.XLOOKUP(CustomerCombined[[#This Row],[ID]], Table2[ID],Table2[Pilot], "Not Found", 0 )</f>
        <v>0</v>
      </c>
      <c r="Y376" s="8">
        <f>_xlfn.XLOOKUP(CustomerCombined[[#This Row],[ID]], Table2[ID],Table2[MC1], "Not Found", 0 )</f>
        <v>0</v>
      </c>
      <c r="Z376" s="8">
        <f>_xlfn.XLOOKUP(CustomerCombined[[#This Row],[ID]], Table2[ID],Table2[MC2], "Not Found", 0 )</f>
        <v>0</v>
      </c>
      <c r="AA376" s="8">
        <f>_xlfn.XLOOKUP(CustomerCombined[[#This Row],[ID]], Table2[ID],Table2[MC3], "Not Found", 0 )</f>
        <v>0</v>
      </c>
      <c r="AB376" s="8">
        <f>_xlfn.XLOOKUP(CustomerCombined[[#This Row],[ID]], Table2[ID],Table2[MC4], "Not Found", 0 )</f>
        <v>0</v>
      </c>
      <c r="AC376" s="8">
        <f>_xlfn.XLOOKUP(CustomerCombined[[#This Row],[ID]], Table2[ID],Table2[MC5], "Not Found", 0 )</f>
        <v>0</v>
      </c>
    </row>
    <row r="377" spans="1:29" x14ac:dyDescent="0.3">
      <c r="A377" s="6">
        <v>3017</v>
      </c>
      <c r="B377" s="6">
        <v>129009</v>
      </c>
      <c r="C377" s="6">
        <v>1</v>
      </c>
      <c r="D377" s="6">
        <v>0</v>
      </c>
      <c r="E377" s="6">
        <v>39</v>
      </c>
      <c r="F377" s="5" t="s">
        <v>6</v>
      </c>
      <c r="G377" s="5" t="s">
        <v>11</v>
      </c>
      <c r="H377" s="3">
        <v>43956</v>
      </c>
      <c r="I377" s="5" t="s">
        <v>434</v>
      </c>
      <c r="J377" s="5">
        <f>_xlfn.XLOOKUP(CustomerCombined[[#This Row],[ID]], Table4[ID], Table4[Recency], "Not Found", 0)</f>
        <v>19</v>
      </c>
      <c r="K377" s="5">
        <f>_xlfn.XLOOKUP(CustomerCombined[[#This Row],[ID]], Table4[ID], Table4[Teas], "Not Found", 0)</f>
        <v>27</v>
      </c>
      <c r="L377" s="5">
        <f>_xlfn.XLOOKUP(CustomerCombined[[#This Row],[ID]], Table4[ID], Table4[Fruits], "Not Found", 0)</f>
        <v>27</v>
      </c>
      <c r="M377" s="5">
        <f>_xlfn.XLOOKUP(CustomerCombined[[#This Row],[ID]], Table4[ID], Table4[Meats], "Not Found", 0)</f>
        <v>67</v>
      </c>
      <c r="N377" s="5">
        <f>_xlfn.XLOOKUP(CustomerCombined[[#This Row],[ID]], Table4[ID], Table4[Seafood], "Not Found", 0)</f>
        <v>44</v>
      </c>
      <c r="O377" s="5">
        <f>_xlfn.XLOOKUP(CustomerCombined[[#This Row],[ID]], Table4[ID], Table4[Sweets], "Not Found", 0)</f>
        <v>22</v>
      </c>
      <c r="P377" s="5">
        <f>_xlfn.XLOOKUP(CustomerCombined[[#This Row],[ID]], Table4[ID], Table4[Premium], "Not Found", 0)</f>
        <v>9</v>
      </c>
      <c r="Q377" s="5">
        <f>_xlfn.XLOOKUP(CustomerCombined[[#This Row],[ID]], Table4[ID], Table4[Regular], "Not Found", 0)</f>
        <v>178</v>
      </c>
      <c r="R377" s="5">
        <f>_xlfn.XLOOKUP(CustomerCombined[[#This Row],[ID]], Table4[ID], Table4[Deals], "Not Found", 0)</f>
        <v>2</v>
      </c>
      <c r="S377" s="5">
        <f>_xlfn.XLOOKUP(CustomerCombined[[#This Row],[ID]], Table4[ID], Table4[Website], "Not Found", 0)</f>
        <v>2</v>
      </c>
      <c r="T377" s="5">
        <f>_xlfn.XLOOKUP(CustomerCombined[[#This Row],[ID]], Table4[ID], Table4[Catalog], "Not Found", 0)</f>
        <v>0</v>
      </c>
      <c r="U377" s="5">
        <f>_xlfn.XLOOKUP(CustomerCombined[[#This Row],[ID]], Table4[ID], Table4[Store], "Not Found", 0)</f>
        <v>3</v>
      </c>
      <c r="V377" s="5">
        <f>_xlfn.XLOOKUP(CustomerCombined[[#This Row],[ID]], Table4[ID], Table4[Visits], "Not Found", 0)</f>
        <v>6</v>
      </c>
      <c r="W377" s="8">
        <f>_xlfn.XLOOKUP(CustomerCombined[[#This Row],[ID]], Table2[ID],Table2[Complaint], "Not Found", 0 )</f>
        <v>0</v>
      </c>
      <c r="X377" s="8">
        <f>_xlfn.XLOOKUP(CustomerCombined[[#This Row],[ID]], Table2[ID],Table2[Pilot], "Not Found", 0 )</f>
        <v>0</v>
      </c>
      <c r="Y377" s="8">
        <f>_xlfn.XLOOKUP(CustomerCombined[[#This Row],[ID]], Table2[ID],Table2[MC1], "Not Found", 0 )</f>
        <v>0</v>
      </c>
      <c r="Z377" s="8">
        <f>_xlfn.XLOOKUP(CustomerCombined[[#This Row],[ID]], Table2[ID],Table2[MC2], "Not Found", 0 )</f>
        <v>0</v>
      </c>
      <c r="AA377" s="8">
        <f>_xlfn.XLOOKUP(CustomerCombined[[#This Row],[ID]], Table2[ID],Table2[MC3], "Not Found", 0 )</f>
        <v>0</v>
      </c>
      <c r="AB377" s="8">
        <f>_xlfn.XLOOKUP(CustomerCombined[[#This Row],[ID]], Table2[ID],Table2[MC4], "Not Found", 0 )</f>
        <v>0</v>
      </c>
      <c r="AC377" s="8">
        <f>_xlfn.XLOOKUP(CustomerCombined[[#This Row],[ID]], Table2[ID],Table2[MC5], "Not Found", 0 )</f>
        <v>0</v>
      </c>
    </row>
    <row r="378" spans="1:29" x14ac:dyDescent="0.3">
      <c r="A378" s="6">
        <v>2159</v>
      </c>
      <c r="B378" s="6">
        <v>128510</v>
      </c>
      <c r="C378" s="6">
        <v>1</v>
      </c>
      <c r="D378" s="6">
        <v>1</v>
      </c>
      <c r="E378" s="6">
        <v>39</v>
      </c>
      <c r="F378" s="5" t="s">
        <v>5</v>
      </c>
      <c r="G378" s="5" t="s">
        <v>11</v>
      </c>
      <c r="H378" s="3" t="s">
        <v>276</v>
      </c>
      <c r="I378" s="5" t="s">
        <v>434</v>
      </c>
      <c r="J378" s="5">
        <f>_xlfn.XLOOKUP(CustomerCombined[[#This Row],[ID]], Table4[ID], Table4[Recency], "Not Found", 0)</f>
        <v>72</v>
      </c>
      <c r="K378" s="5">
        <f>_xlfn.XLOOKUP(CustomerCombined[[#This Row],[ID]], Table4[ID], Table4[Teas], "Not Found", 0)</f>
        <v>198</v>
      </c>
      <c r="L378" s="5">
        <f>_xlfn.XLOOKUP(CustomerCombined[[#This Row],[ID]], Table4[ID], Table4[Fruits], "Not Found", 0)</f>
        <v>23</v>
      </c>
      <c r="M378" s="5">
        <f>_xlfn.XLOOKUP(CustomerCombined[[#This Row],[ID]], Table4[ID], Table4[Meats], "Not Found", 0)</f>
        <v>86</v>
      </c>
      <c r="N378" s="5">
        <f>_xlfn.XLOOKUP(CustomerCombined[[#This Row],[ID]], Table4[ID], Table4[Seafood], "Not Found", 0)</f>
        <v>0</v>
      </c>
      <c r="O378" s="5">
        <f>_xlfn.XLOOKUP(CustomerCombined[[#This Row],[ID]], Table4[ID], Table4[Sweets], "Not Found", 0)</f>
        <v>18</v>
      </c>
      <c r="P378" s="5">
        <f>_xlfn.XLOOKUP(CustomerCombined[[#This Row],[ID]], Table4[ID], Table4[Premium], "Not Found", 0)</f>
        <v>86</v>
      </c>
      <c r="Q378" s="5">
        <f>_xlfn.XLOOKUP(CustomerCombined[[#This Row],[ID]], Table4[ID], Table4[Regular], "Not Found", 0)</f>
        <v>239</v>
      </c>
      <c r="R378" s="5">
        <f>_xlfn.XLOOKUP(CustomerCombined[[#This Row],[ID]], Table4[ID], Table4[Deals], "Not Found", 0)</f>
        <v>3</v>
      </c>
      <c r="S378" s="5">
        <f>_xlfn.XLOOKUP(CustomerCombined[[#This Row],[ID]], Table4[ID], Table4[Website], "Not Found", 0)</f>
        <v>2</v>
      </c>
      <c r="T378" s="5">
        <f>_xlfn.XLOOKUP(CustomerCombined[[#This Row],[ID]], Table4[ID], Table4[Catalog], "Not Found", 0)</f>
        <v>0</v>
      </c>
      <c r="U378" s="5">
        <f>_xlfn.XLOOKUP(CustomerCombined[[#This Row],[ID]], Table4[ID], Table4[Store], "Not Found", 0)</f>
        <v>4</v>
      </c>
      <c r="V378" s="5">
        <f>_xlfn.XLOOKUP(CustomerCombined[[#This Row],[ID]], Table4[ID], Table4[Visits], "Not Found", 0)</f>
        <v>5</v>
      </c>
      <c r="W378" s="8">
        <f>_xlfn.XLOOKUP(CustomerCombined[[#This Row],[ID]], Table2[ID],Table2[Complaint], "Not Found", 0 )</f>
        <v>0</v>
      </c>
      <c r="X378" s="8">
        <f>_xlfn.XLOOKUP(CustomerCombined[[#This Row],[ID]], Table2[ID],Table2[Pilot], "Not Found", 0 )</f>
        <v>0</v>
      </c>
      <c r="Y378" s="8">
        <f>_xlfn.XLOOKUP(CustomerCombined[[#This Row],[ID]], Table2[ID],Table2[MC1], "Not Found", 0 )</f>
        <v>0</v>
      </c>
      <c r="Z378" s="8">
        <f>_xlfn.XLOOKUP(CustomerCombined[[#This Row],[ID]], Table2[ID],Table2[MC2], "Not Found", 0 )</f>
        <v>0</v>
      </c>
      <c r="AA378" s="8">
        <f>_xlfn.XLOOKUP(CustomerCombined[[#This Row],[ID]], Table2[ID],Table2[MC3], "Not Found", 0 )</f>
        <v>0</v>
      </c>
      <c r="AB378" s="8">
        <f>_xlfn.XLOOKUP(CustomerCombined[[#This Row],[ID]], Table2[ID],Table2[MC4], "Not Found", 0 )</f>
        <v>0</v>
      </c>
      <c r="AC378" s="8">
        <f>_xlfn.XLOOKUP(CustomerCombined[[#This Row],[ID]], Table2[ID],Table2[MC5], "Not Found", 0 )</f>
        <v>0</v>
      </c>
    </row>
    <row r="379" spans="1:29" x14ac:dyDescent="0.3">
      <c r="A379" s="6">
        <v>3085</v>
      </c>
      <c r="B379" s="6">
        <v>127733</v>
      </c>
      <c r="C379" s="6">
        <v>1</v>
      </c>
      <c r="D379" s="6">
        <v>0</v>
      </c>
      <c r="E379" s="6">
        <v>39</v>
      </c>
      <c r="F379" s="5" t="s">
        <v>6</v>
      </c>
      <c r="G379" s="5" t="s">
        <v>442</v>
      </c>
      <c r="H379" s="3" t="s">
        <v>191</v>
      </c>
      <c r="I379" s="5" t="s">
        <v>437</v>
      </c>
      <c r="J379" s="5">
        <f>_xlfn.XLOOKUP(CustomerCombined[[#This Row],[ID]], Table4[ID], Table4[Recency], "Not Found", 0)</f>
        <v>16</v>
      </c>
      <c r="K379" s="5">
        <f>_xlfn.XLOOKUP(CustomerCombined[[#This Row],[ID]], Table4[ID], Table4[Teas], "Not Found", 0)</f>
        <v>0</v>
      </c>
      <c r="L379" s="5">
        <f>_xlfn.XLOOKUP(CustomerCombined[[#This Row],[ID]], Table4[ID], Table4[Fruits], "Not Found", 0)</f>
        <v>32</v>
      </c>
      <c r="M379" s="5">
        <f>_xlfn.XLOOKUP(CustomerCombined[[#This Row],[ID]], Table4[ID], Table4[Meats], "Not Found", 0)</f>
        <v>23</v>
      </c>
      <c r="N379" s="5">
        <f>_xlfn.XLOOKUP(CustomerCombined[[#This Row],[ID]], Table4[ID], Table4[Seafood], "Not Found", 0)</f>
        <v>120</v>
      </c>
      <c r="O379" s="5">
        <f>_xlfn.XLOOKUP(CustomerCombined[[#This Row],[ID]], Table4[ID], Table4[Sweets], "Not Found", 0)</f>
        <v>9</v>
      </c>
      <c r="P379" s="5">
        <f>_xlfn.XLOOKUP(CustomerCombined[[#This Row],[ID]], Table4[ID], Table4[Premium], "Not Found", 0)</f>
        <v>78</v>
      </c>
      <c r="Q379" s="5">
        <f>_xlfn.XLOOKUP(CustomerCombined[[#This Row],[ID]], Table4[ID], Table4[Regular], "Not Found", 0)</f>
        <v>106</v>
      </c>
      <c r="R379" s="5">
        <f>_xlfn.XLOOKUP(CustomerCombined[[#This Row],[ID]], Table4[ID], Table4[Deals], "Not Found", 0)</f>
        <v>2</v>
      </c>
      <c r="S379" s="5">
        <f>_xlfn.XLOOKUP(CustomerCombined[[#This Row],[ID]], Table4[ID], Table4[Website], "Not Found", 0)</f>
        <v>2</v>
      </c>
      <c r="T379" s="5">
        <f>_xlfn.XLOOKUP(CustomerCombined[[#This Row],[ID]], Table4[ID], Table4[Catalog], "Not Found", 0)</f>
        <v>0</v>
      </c>
      <c r="U379" s="5">
        <f>_xlfn.XLOOKUP(CustomerCombined[[#This Row],[ID]], Table4[ID], Table4[Store], "Not Found", 0)</f>
        <v>3</v>
      </c>
      <c r="V379" s="5">
        <f>_xlfn.XLOOKUP(CustomerCombined[[#This Row],[ID]], Table4[ID], Table4[Visits], "Not Found", 0)</f>
        <v>7</v>
      </c>
      <c r="W379" s="8">
        <f>_xlfn.XLOOKUP(CustomerCombined[[#This Row],[ID]], Table2[ID],Table2[Complaint], "Not Found", 0 )</f>
        <v>0</v>
      </c>
      <c r="X379" s="8">
        <f>_xlfn.XLOOKUP(CustomerCombined[[#This Row],[ID]], Table2[ID],Table2[Pilot], "Not Found", 0 )</f>
        <v>0</v>
      </c>
      <c r="Y379" s="8">
        <f>_xlfn.XLOOKUP(CustomerCombined[[#This Row],[ID]], Table2[ID],Table2[MC1], "Not Found", 0 )</f>
        <v>0</v>
      </c>
      <c r="Z379" s="8">
        <f>_xlfn.XLOOKUP(CustomerCombined[[#This Row],[ID]], Table2[ID],Table2[MC2], "Not Found", 0 )</f>
        <v>0</v>
      </c>
      <c r="AA379" s="8">
        <f>_xlfn.XLOOKUP(CustomerCombined[[#This Row],[ID]], Table2[ID],Table2[MC3], "Not Found", 0 )</f>
        <v>0</v>
      </c>
      <c r="AB379" s="8">
        <f>_xlfn.XLOOKUP(CustomerCombined[[#This Row],[ID]], Table2[ID],Table2[MC4], "Not Found", 0 )</f>
        <v>0</v>
      </c>
      <c r="AC379" s="8">
        <f>_xlfn.XLOOKUP(CustomerCombined[[#This Row],[ID]], Table2[ID],Table2[MC5], "Not Found", 0 )</f>
        <v>0</v>
      </c>
    </row>
    <row r="380" spans="1:29" x14ac:dyDescent="0.3">
      <c r="A380" s="6">
        <v>1791</v>
      </c>
      <c r="B380" s="6">
        <v>126872</v>
      </c>
      <c r="C380" s="6">
        <v>0</v>
      </c>
      <c r="D380" s="6">
        <v>0</v>
      </c>
      <c r="E380" s="6">
        <v>39</v>
      </c>
      <c r="F380" s="5" t="s">
        <v>6</v>
      </c>
      <c r="G380" s="5" t="s">
        <v>11</v>
      </c>
      <c r="H380" s="3" t="s">
        <v>166</v>
      </c>
      <c r="I380" s="5" t="s">
        <v>435</v>
      </c>
      <c r="J380" s="5">
        <f>_xlfn.XLOOKUP(CustomerCombined[[#This Row],[ID]], Table4[ID], Table4[Recency], "Not Found", 0)</f>
        <v>0</v>
      </c>
      <c r="K380" s="5">
        <f>_xlfn.XLOOKUP(CustomerCombined[[#This Row],[ID]], Table4[ID], Table4[Teas], "Not Found", 0)</f>
        <v>14</v>
      </c>
      <c r="L380" s="5">
        <f>_xlfn.XLOOKUP(CustomerCombined[[#This Row],[ID]], Table4[ID], Table4[Fruits], "Not Found", 0)</f>
        <v>47</v>
      </c>
      <c r="M380" s="5">
        <f>_xlfn.XLOOKUP(CustomerCombined[[#This Row],[ID]], Table4[ID], Table4[Meats], "Not Found", 0)</f>
        <v>38</v>
      </c>
      <c r="N380" s="5">
        <f>_xlfn.XLOOKUP(CustomerCombined[[#This Row],[ID]], Table4[ID], Table4[Seafood], "Not Found", 0)</f>
        <v>14</v>
      </c>
      <c r="O380" s="5">
        <f>_xlfn.XLOOKUP(CustomerCombined[[#This Row],[ID]], Table4[ID], Table4[Sweets], "Not Found", 0)</f>
        <v>76</v>
      </c>
      <c r="P380" s="5">
        <f>_xlfn.XLOOKUP(CustomerCombined[[#This Row],[ID]], Table4[ID], Table4[Premium], "Not Found", 0)</f>
        <v>151</v>
      </c>
      <c r="Q380" s="5">
        <f>_xlfn.XLOOKUP(CustomerCombined[[#This Row],[ID]], Table4[ID], Table4[Regular], "Not Found", 0)</f>
        <v>38</v>
      </c>
      <c r="R380" s="5">
        <f>_xlfn.XLOOKUP(CustomerCombined[[#This Row],[ID]], Table4[ID], Table4[Deals], "Not Found", 0)</f>
        <v>1</v>
      </c>
      <c r="S380" s="5">
        <f>_xlfn.XLOOKUP(CustomerCombined[[#This Row],[ID]], Table4[ID], Table4[Website], "Not Found", 0)</f>
        <v>1</v>
      </c>
      <c r="T380" s="5">
        <f>_xlfn.XLOOKUP(CustomerCombined[[#This Row],[ID]], Table4[ID], Table4[Catalog], "Not Found", 0)</f>
        <v>1</v>
      </c>
      <c r="U380" s="5">
        <f>_xlfn.XLOOKUP(CustomerCombined[[#This Row],[ID]], Table4[ID], Table4[Store], "Not Found", 0)</f>
        <v>2</v>
      </c>
      <c r="V380" s="5">
        <f>_xlfn.XLOOKUP(CustomerCombined[[#This Row],[ID]], Table4[ID], Table4[Visits], "Not Found", 0)</f>
        <v>6</v>
      </c>
      <c r="W380" s="8">
        <f>_xlfn.XLOOKUP(CustomerCombined[[#This Row],[ID]], Table2[ID],Table2[Complaint], "Not Found", 0 )</f>
        <v>0</v>
      </c>
      <c r="X380" s="8">
        <f>_xlfn.XLOOKUP(CustomerCombined[[#This Row],[ID]], Table2[ID],Table2[Pilot], "Not Found", 0 )</f>
        <v>0</v>
      </c>
      <c r="Y380" s="8">
        <f>_xlfn.XLOOKUP(CustomerCombined[[#This Row],[ID]], Table2[ID],Table2[MC1], "Not Found", 0 )</f>
        <v>0</v>
      </c>
      <c r="Z380" s="8">
        <f>_xlfn.XLOOKUP(CustomerCombined[[#This Row],[ID]], Table2[ID],Table2[MC2], "Not Found", 0 )</f>
        <v>0</v>
      </c>
      <c r="AA380" s="8">
        <f>_xlfn.XLOOKUP(CustomerCombined[[#This Row],[ID]], Table2[ID],Table2[MC3], "Not Found", 0 )</f>
        <v>0</v>
      </c>
      <c r="AB380" s="8">
        <f>_xlfn.XLOOKUP(CustomerCombined[[#This Row],[ID]], Table2[ID],Table2[MC4], "Not Found", 0 )</f>
        <v>0</v>
      </c>
      <c r="AC380" s="8">
        <f>_xlfn.XLOOKUP(CustomerCombined[[#This Row],[ID]], Table2[ID],Table2[MC5], "Not Found", 0 )</f>
        <v>0</v>
      </c>
    </row>
    <row r="381" spans="1:29" x14ac:dyDescent="0.3">
      <c r="A381" s="6">
        <v>1267</v>
      </c>
      <c r="B381" s="6">
        <v>124480</v>
      </c>
      <c r="C381" s="6">
        <v>1</v>
      </c>
      <c r="D381" s="6">
        <v>0</v>
      </c>
      <c r="E381" s="6">
        <v>39</v>
      </c>
      <c r="F381" s="5" t="s">
        <v>6</v>
      </c>
      <c r="G381" s="5" t="s">
        <v>10</v>
      </c>
      <c r="H381" s="3" t="s">
        <v>312</v>
      </c>
      <c r="I381" s="5" t="s">
        <v>437</v>
      </c>
      <c r="J381" s="5">
        <f>_xlfn.XLOOKUP(CustomerCombined[[#This Row],[ID]], Table4[ID], Table4[Recency], "Not Found", 0)</f>
        <v>46</v>
      </c>
      <c r="K381" s="5">
        <f>_xlfn.XLOOKUP(CustomerCombined[[#This Row],[ID]], Table4[ID], Table4[Teas], "Not Found", 0)</f>
        <v>20</v>
      </c>
      <c r="L381" s="5">
        <f>_xlfn.XLOOKUP(CustomerCombined[[#This Row],[ID]], Table4[ID], Table4[Fruits], "Not Found", 0)</f>
        <v>97</v>
      </c>
      <c r="M381" s="5">
        <f>_xlfn.XLOOKUP(CustomerCombined[[#This Row],[ID]], Table4[ID], Table4[Meats], "Not Found", 0)</f>
        <v>46</v>
      </c>
      <c r="N381" s="5">
        <f>_xlfn.XLOOKUP(CustomerCombined[[#This Row],[ID]], Table4[ID], Table4[Seafood], "Not Found", 0)</f>
        <v>142</v>
      </c>
      <c r="O381" s="5">
        <f>_xlfn.XLOOKUP(CustomerCombined[[#This Row],[ID]], Table4[ID], Table4[Sweets], "Not Found", 0)</f>
        <v>127</v>
      </c>
      <c r="P381" s="5">
        <f>_xlfn.XLOOKUP(CustomerCombined[[#This Row],[ID]], Table4[ID], Table4[Premium], "Not Found", 0)</f>
        <v>86</v>
      </c>
      <c r="Q381" s="5">
        <f>_xlfn.XLOOKUP(CustomerCombined[[#This Row],[ID]], Table4[ID], Table4[Regular], "Not Found", 0)</f>
        <v>346</v>
      </c>
      <c r="R381" s="5">
        <f>_xlfn.XLOOKUP(CustomerCombined[[#This Row],[ID]], Table4[ID], Table4[Deals], "Not Found", 0)</f>
        <v>3</v>
      </c>
      <c r="S381" s="5">
        <f>_xlfn.XLOOKUP(CustomerCombined[[#This Row],[ID]], Table4[ID], Table4[Website], "Not Found", 0)</f>
        <v>3</v>
      </c>
      <c r="T381" s="5">
        <f>_xlfn.XLOOKUP(CustomerCombined[[#This Row],[ID]], Table4[ID], Table4[Catalog], "Not Found", 0)</f>
        <v>0</v>
      </c>
      <c r="U381" s="5">
        <f>_xlfn.XLOOKUP(CustomerCombined[[#This Row],[ID]], Table4[ID], Table4[Store], "Not Found", 0)</f>
        <v>4</v>
      </c>
      <c r="V381" s="5">
        <f>_xlfn.XLOOKUP(CustomerCombined[[#This Row],[ID]], Table4[ID], Table4[Visits], "Not Found", 0)</f>
        <v>7</v>
      </c>
      <c r="W381" s="8">
        <f>_xlfn.XLOOKUP(CustomerCombined[[#This Row],[ID]], Table2[ID],Table2[Complaint], "Not Found", 0 )</f>
        <v>0</v>
      </c>
      <c r="X381" s="8">
        <f>_xlfn.XLOOKUP(CustomerCombined[[#This Row],[ID]], Table2[ID],Table2[Pilot], "Not Found", 0 )</f>
        <v>0</v>
      </c>
      <c r="Y381" s="8">
        <f>_xlfn.XLOOKUP(CustomerCombined[[#This Row],[ID]], Table2[ID],Table2[MC1], "Not Found", 0 )</f>
        <v>0</v>
      </c>
      <c r="Z381" s="8">
        <f>_xlfn.XLOOKUP(CustomerCombined[[#This Row],[ID]], Table2[ID],Table2[MC2], "Not Found", 0 )</f>
        <v>0</v>
      </c>
      <c r="AA381" s="8">
        <f>_xlfn.XLOOKUP(CustomerCombined[[#This Row],[ID]], Table2[ID],Table2[MC3], "Not Found", 0 )</f>
        <v>0</v>
      </c>
      <c r="AB381" s="8">
        <f>_xlfn.XLOOKUP(CustomerCombined[[#This Row],[ID]], Table2[ID],Table2[MC4], "Not Found", 0 )</f>
        <v>0</v>
      </c>
      <c r="AC381" s="8">
        <f>_xlfn.XLOOKUP(CustomerCombined[[#This Row],[ID]], Table2[ID],Table2[MC5], "Not Found", 0 )</f>
        <v>0</v>
      </c>
    </row>
    <row r="382" spans="1:29" x14ac:dyDescent="0.3">
      <c r="A382" s="6">
        <v>2668</v>
      </c>
      <c r="B382" s="6">
        <v>124336</v>
      </c>
      <c r="C382" s="6">
        <v>1</v>
      </c>
      <c r="D382" s="6">
        <v>0</v>
      </c>
      <c r="E382" s="6">
        <v>39</v>
      </c>
      <c r="F382" s="5" t="s">
        <v>7</v>
      </c>
      <c r="G382" s="5" t="s">
        <v>442</v>
      </c>
      <c r="H382" s="3">
        <v>43467</v>
      </c>
      <c r="I382" s="5" t="s">
        <v>439</v>
      </c>
      <c r="J382" s="5">
        <f>_xlfn.XLOOKUP(CustomerCombined[[#This Row],[ID]], Table4[ID], Table4[Recency], "Not Found", 0)</f>
        <v>82</v>
      </c>
      <c r="K382" s="5">
        <f>_xlfn.XLOOKUP(CustomerCombined[[#This Row],[ID]], Table4[ID], Table4[Teas], "Not Found", 0)</f>
        <v>5</v>
      </c>
      <c r="L382" s="5">
        <f>_xlfn.XLOOKUP(CustomerCombined[[#This Row],[ID]], Table4[ID], Table4[Fruits], "Not Found", 0)</f>
        <v>31</v>
      </c>
      <c r="M382" s="5">
        <f>_xlfn.XLOOKUP(CustomerCombined[[#This Row],[ID]], Table4[ID], Table4[Meats], "Not Found", 0)</f>
        <v>10</v>
      </c>
      <c r="N382" s="5">
        <f>_xlfn.XLOOKUP(CustomerCombined[[#This Row],[ID]], Table4[ID], Table4[Seafood], "Not Found", 0)</f>
        <v>41</v>
      </c>
      <c r="O382" s="5">
        <f>_xlfn.XLOOKUP(CustomerCombined[[#This Row],[ID]], Table4[ID], Table4[Sweets], "Not Found", 0)</f>
        <v>10</v>
      </c>
      <c r="P382" s="5">
        <f>_xlfn.XLOOKUP(CustomerCombined[[#This Row],[ID]], Table4[ID], Table4[Premium], "Not Found", 0)</f>
        <v>61</v>
      </c>
      <c r="Q382" s="5">
        <f>_xlfn.XLOOKUP(CustomerCombined[[#This Row],[ID]], Table4[ID], Table4[Regular], "Not Found", 0)</f>
        <v>36</v>
      </c>
      <c r="R382" s="5">
        <f>_xlfn.XLOOKUP(CustomerCombined[[#This Row],[ID]], Table4[ID], Table4[Deals], "Not Found", 0)</f>
        <v>1</v>
      </c>
      <c r="S382" s="5">
        <f>_xlfn.XLOOKUP(CustomerCombined[[#This Row],[ID]], Table4[ID], Table4[Website], "Not Found", 0)</f>
        <v>1</v>
      </c>
      <c r="T382" s="5">
        <f>_xlfn.XLOOKUP(CustomerCombined[[#This Row],[ID]], Table4[ID], Table4[Catalog], "Not Found", 0)</f>
        <v>0</v>
      </c>
      <c r="U382" s="5">
        <f>_xlfn.XLOOKUP(CustomerCombined[[#This Row],[ID]], Table4[ID], Table4[Store], "Not Found", 0)</f>
        <v>2</v>
      </c>
      <c r="V382" s="5">
        <f>_xlfn.XLOOKUP(CustomerCombined[[#This Row],[ID]], Table4[ID], Table4[Visits], "Not Found", 0)</f>
        <v>7</v>
      </c>
      <c r="W382" s="8">
        <f>_xlfn.XLOOKUP(CustomerCombined[[#This Row],[ID]], Table2[ID],Table2[Complaint], "Not Found", 0 )</f>
        <v>0</v>
      </c>
      <c r="X382" s="8">
        <f>_xlfn.XLOOKUP(CustomerCombined[[#This Row],[ID]], Table2[ID],Table2[Pilot], "Not Found", 0 )</f>
        <v>0</v>
      </c>
      <c r="Y382" s="8">
        <f>_xlfn.XLOOKUP(CustomerCombined[[#This Row],[ID]], Table2[ID],Table2[MC1], "Not Found", 0 )</f>
        <v>0</v>
      </c>
      <c r="Z382" s="8">
        <f>_xlfn.XLOOKUP(CustomerCombined[[#This Row],[ID]], Table2[ID],Table2[MC2], "Not Found", 0 )</f>
        <v>0</v>
      </c>
      <c r="AA382" s="8">
        <f>_xlfn.XLOOKUP(CustomerCombined[[#This Row],[ID]], Table2[ID],Table2[MC3], "Not Found", 0 )</f>
        <v>0</v>
      </c>
      <c r="AB382" s="8">
        <f>_xlfn.XLOOKUP(CustomerCombined[[#This Row],[ID]], Table2[ID],Table2[MC4], "Not Found", 0 )</f>
        <v>0</v>
      </c>
      <c r="AC382" s="8">
        <f>_xlfn.XLOOKUP(CustomerCombined[[#This Row],[ID]], Table2[ID],Table2[MC5], "Not Found", 0 )</f>
        <v>0</v>
      </c>
    </row>
    <row r="383" spans="1:29" x14ac:dyDescent="0.3">
      <c r="A383" s="6">
        <v>1523</v>
      </c>
      <c r="B383" s="6">
        <v>122944</v>
      </c>
      <c r="C383" s="6">
        <v>1</v>
      </c>
      <c r="D383" s="6">
        <v>0</v>
      </c>
      <c r="E383" s="6">
        <v>39</v>
      </c>
      <c r="F383" s="5" t="s">
        <v>7</v>
      </c>
      <c r="G383" s="5" t="s">
        <v>12</v>
      </c>
      <c r="H383" s="3" t="s">
        <v>125</v>
      </c>
      <c r="I383" s="5" t="s">
        <v>434</v>
      </c>
      <c r="J383" s="5">
        <f>_xlfn.XLOOKUP(CustomerCombined[[#This Row],[ID]], Table4[ID], Table4[Recency], "Not Found", 0)</f>
        <v>67</v>
      </c>
      <c r="K383" s="5">
        <f>_xlfn.XLOOKUP(CustomerCombined[[#This Row],[ID]], Table4[ID], Table4[Teas], "Not Found", 0)</f>
        <v>102</v>
      </c>
      <c r="L383" s="5">
        <f>_xlfn.XLOOKUP(CustomerCombined[[#This Row],[ID]], Table4[ID], Table4[Fruits], "Not Found", 0)</f>
        <v>16</v>
      </c>
      <c r="M383" s="5">
        <f>_xlfn.XLOOKUP(CustomerCombined[[#This Row],[ID]], Table4[ID], Table4[Meats], "Not Found", 0)</f>
        <v>102</v>
      </c>
      <c r="N383" s="5">
        <f>_xlfn.XLOOKUP(CustomerCombined[[#This Row],[ID]], Table4[ID], Table4[Seafood], "Not Found", 0)</f>
        <v>21</v>
      </c>
      <c r="O383" s="5">
        <f>_xlfn.XLOOKUP(CustomerCombined[[#This Row],[ID]], Table4[ID], Table4[Sweets], "Not Found", 0)</f>
        <v>27</v>
      </c>
      <c r="P383" s="5">
        <f>_xlfn.XLOOKUP(CustomerCombined[[#This Row],[ID]], Table4[ID], Table4[Premium], "Not Found", 0)</f>
        <v>139</v>
      </c>
      <c r="Q383" s="5">
        <f>_xlfn.XLOOKUP(CustomerCombined[[#This Row],[ID]], Table4[ID], Table4[Regular], "Not Found", 0)</f>
        <v>129</v>
      </c>
      <c r="R383" s="5">
        <f>_xlfn.XLOOKUP(CustomerCombined[[#This Row],[ID]], Table4[ID], Table4[Deals], "Not Found", 0)</f>
        <v>3</v>
      </c>
      <c r="S383" s="5">
        <f>_xlfn.XLOOKUP(CustomerCombined[[#This Row],[ID]], Table4[ID], Table4[Website], "Not Found", 0)</f>
        <v>3</v>
      </c>
      <c r="T383" s="5">
        <f>_xlfn.XLOOKUP(CustomerCombined[[#This Row],[ID]], Table4[ID], Table4[Catalog], "Not Found", 0)</f>
        <v>0</v>
      </c>
      <c r="U383" s="5">
        <f>_xlfn.XLOOKUP(CustomerCombined[[#This Row],[ID]], Table4[ID], Table4[Store], "Not Found", 0)</f>
        <v>3</v>
      </c>
      <c r="V383" s="5">
        <f>_xlfn.XLOOKUP(CustomerCombined[[#This Row],[ID]], Table4[ID], Table4[Visits], "Not Found", 0)</f>
        <v>7</v>
      </c>
      <c r="W383" s="8">
        <f>_xlfn.XLOOKUP(CustomerCombined[[#This Row],[ID]], Table2[ID],Table2[Complaint], "Not Found", 0 )</f>
        <v>0</v>
      </c>
      <c r="X383" s="8">
        <f>_xlfn.XLOOKUP(CustomerCombined[[#This Row],[ID]], Table2[ID],Table2[Pilot], "Not Found", 0 )</f>
        <v>0</v>
      </c>
      <c r="Y383" s="8">
        <f>_xlfn.XLOOKUP(CustomerCombined[[#This Row],[ID]], Table2[ID],Table2[MC1], "Not Found", 0 )</f>
        <v>0</v>
      </c>
      <c r="Z383" s="8">
        <f>_xlfn.XLOOKUP(CustomerCombined[[#This Row],[ID]], Table2[ID],Table2[MC2], "Not Found", 0 )</f>
        <v>0</v>
      </c>
      <c r="AA383" s="8">
        <f>_xlfn.XLOOKUP(CustomerCombined[[#This Row],[ID]], Table2[ID],Table2[MC3], "Not Found", 0 )</f>
        <v>0</v>
      </c>
      <c r="AB383" s="8">
        <f>_xlfn.XLOOKUP(CustomerCombined[[#This Row],[ID]], Table2[ID],Table2[MC4], "Not Found", 0 )</f>
        <v>0</v>
      </c>
      <c r="AC383" s="8">
        <f>_xlfn.XLOOKUP(CustomerCombined[[#This Row],[ID]], Table2[ID],Table2[MC5], "Not Found", 0 )</f>
        <v>0</v>
      </c>
    </row>
    <row r="384" spans="1:29" x14ac:dyDescent="0.3">
      <c r="A384" s="6">
        <v>1824</v>
      </c>
      <c r="B384" s="6">
        <v>119419</v>
      </c>
      <c r="C384" s="6">
        <v>1</v>
      </c>
      <c r="D384" s="6">
        <v>0</v>
      </c>
      <c r="E384" s="6">
        <v>39</v>
      </c>
      <c r="F384" s="5" t="s">
        <v>6</v>
      </c>
      <c r="G384" s="5" t="s">
        <v>11</v>
      </c>
      <c r="H384" s="3" t="s">
        <v>365</v>
      </c>
      <c r="I384" s="5" t="s">
        <v>436</v>
      </c>
      <c r="J384" s="5">
        <f>_xlfn.XLOOKUP(CustomerCombined[[#This Row],[ID]], Table4[ID], Table4[Recency], "Not Found", 0)</f>
        <v>76</v>
      </c>
      <c r="K384" s="5">
        <f>_xlfn.XLOOKUP(CustomerCombined[[#This Row],[ID]], Table4[ID], Table4[Teas], "Not Found", 0)</f>
        <v>12</v>
      </c>
      <c r="L384" s="5">
        <f>_xlfn.XLOOKUP(CustomerCombined[[#This Row],[ID]], Table4[ID], Table4[Fruits], "Not Found", 0)</f>
        <v>86</v>
      </c>
      <c r="M384" s="5">
        <f>_xlfn.XLOOKUP(CustomerCombined[[#This Row],[ID]], Table4[ID], Table4[Meats], "Not Found", 0)</f>
        <v>172</v>
      </c>
      <c r="N384" s="5">
        <f>_xlfn.XLOOKUP(CustomerCombined[[#This Row],[ID]], Table4[ID], Table4[Seafood], "Not Found", 0)</f>
        <v>98</v>
      </c>
      <c r="O384" s="5">
        <f>_xlfn.XLOOKUP(CustomerCombined[[#This Row],[ID]], Table4[ID], Table4[Sweets], "Not Found", 0)</f>
        <v>18</v>
      </c>
      <c r="P384" s="5">
        <f>_xlfn.XLOOKUP(CustomerCombined[[#This Row],[ID]], Table4[ID], Table4[Premium], "Not Found", 0)</f>
        <v>43</v>
      </c>
      <c r="Q384" s="5">
        <f>_xlfn.XLOOKUP(CustomerCombined[[#This Row],[ID]], Table4[ID], Table4[Regular], "Not Found", 0)</f>
        <v>344</v>
      </c>
      <c r="R384" s="5">
        <f>_xlfn.XLOOKUP(CustomerCombined[[#This Row],[ID]], Table4[ID], Table4[Deals], "Not Found", 0)</f>
        <v>4</v>
      </c>
      <c r="S384" s="5">
        <f>_xlfn.XLOOKUP(CustomerCombined[[#This Row],[ID]], Table4[ID], Table4[Website], "Not Found", 0)</f>
        <v>4</v>
      </c>
      <c r="T384" s="5">
        <f>_xlfn.XLOOKUP(CustomerCombined[[#This Row],[ID]], Table4[ID], Table4[Catalog], "Not Found", 0)</f>
        <v>0</v>
      </c>
      <c r="U384" s="5">
        <f>_xlfn.XLOOKUP(CustomerCombined[[#This Row],[ID]], Table4[ID], Table4[Store], "Not Found", 0)</f>
        <v>3</v>
      </c>
      <c r="V384" s="5">
        <f>_xlfn.XLOOKUP(CustomerCombined[[#This Row],[ID]], Table4[ID], Table4[Visits], "Not Found", 0)</f>
        <v>9</v>
      </c>
      <c r="W384" s="8">
        <f>_xlfn.XLOOKUP(CustomerCombined[[#This Row],[ID]], Table2[ID],Table2[Complaint], "Not Found", 0 )</f>
        <v>0</v>
      </c>
      <c r="X384" s="8">
        <f>_xlfn.XLOOKUP(CustomerCombined[[#This Row],[ID]], Table2[ID],Table2[Pilot], "Not Found", 0 )</f>
        <v>0</v>
      </c>
      <c r="Y384" s="8">
        <f>_xlfn.XLOOKUP(CustomerCombined[[#This Row],[ID]], Table2[ID],Table2[MC1], "Not Found", 0 )</f>
        <v>0</v>
      </c>
      <c r="Z384" s="8">
        <f>_xlfn.XLOOKUP(CustomerCombined[[#This Row],[ID]], Table2[ID],Table2[MC2], "Not Found", 0 )</f>
        <v>0</v>
      </c>
      <c r="AA384" s="8">
        <f>_xlfn.XLOOKUP(CustomerCombined[[#This Row],[ID]], Table2[ID],Table2[MC3], "Not Found", 0 )</f>
        <v>0</v>
      </c>
      <c r="AB384" s="8">
        <f>_xlfn.XLOOKUP(CustomerCombined[[#This Row],[ID]], Table2[ID],Table2[MC4], "Not Found", 0 )</f>
        <v>0</v>
      </c>
      <c r="AC384" s="8">
        <f>_xlfn.XLOOKUP(CustomerCombined[[#This Row],[ID]], Table2[ID],Table2[MC5], "Not Found", 0 )</f>
        <v>0</v>
      </c>
    </row>
    <row r="385" spans="1:29" x14ac:dyDescent="0.3">
      <c r="A385" s="6">
        <v>2458</v>
      </c>
      <c r="B385" s="6">
        <v>119414</v>
      </c>
      <c r="C385" s="6">
        <v>1</v>
      </c>
      <c r="D385" s="6">
        <v>0</v>
      </c>
      <c r="E385" s="6">
        <v>39</v>
      </c>
      <c r="F385" s="5" t="s">
        <v>8</v>
      </c>
      <c r="G385" s="5" t="s">
        <v>442</v>
      </c>
      <c r="H385" s="3" t="s">
        <v>166</v>
      </c>
      <c r="I385" s="5" t="s">
        <v>439</v>
      </c>
      <c r="J385" s="5">
        <f>_xlfn.XLOOKUP(CustomerCombined[[#This Row],[ID]], Table4[ID], Table4[Recency], "Not Found", 0)</f>
        <v>32</v>
      </c>
      <c r="K385" s="5">
        <f>_xlfn.XLOOKUP(CustomerCombined[[#This Row],[ID]], Table4[ID], Table4[Teas], "Not Found", 0)</f>
        <v>12</v>
      </c>
      <c r="L385" s="5">
        <f>_xlfn.XLOOKUP(CustomerCombined[[#This Row],[ID]], Table4[ID], Table4[Fruits], "Not Found", 0)</f>
        <v>18</v>
      </c>
      <c r="M385" s="5">
        <f>_xlfn.XLOOKUP(CustomerCombined[[#This Row],[ID]], Table4[ID], Table4[Meats], "Not Found", 0)</f>
        <v>74</v>
      </c>
      <c r="N385" s="5">
        <f>_xlfn.XLOOKUP(CustomerCombined[[#This Row],[ID]], Table4[ID], Table4[Seafood], "Not Found", 0)</f>
        <v>18</v>
      </c>
      <c r="O385" s="5">
        <f>_xlfn.XLOOKUP(CustomerCombined[[#This Row],[ID]], Table4[ID], Table4[Sweets], "Not Found", 0)</f>
        <v>31</v>
      </c>
      <c r="P385" s="5">
        <f>_xlfn.XLOOKUP(CustomerCombined[[#This Row],[ID]], Table4[ID], Table4[Premium], "Not Found", 0)</f>
        <v>43</v>
      </c>
      <c r="Q385" s="5">
        <f>_xlfn.XLOOKUP(CustomerCombined[[#This Row],[ID]], Table4[ID], Table4[Regular], "Not Found", 0)</f>
        <v>111</v>
      </c>
      <c r="R385" s="5">
        <f>_xlfn.XLOOKUP(CustomerCombined[[#This Row],[ID]], Table4[ID], Table4[Deals], "Not Found", 0)</f>
        <v>1</v>
      </c>
      <c r="S385" s="5">
        <f>_xlfn.XLOOKUP(CustomerCombined[[#This Row],[ID]], Table4[ID], Table4[Website], "Not Found", 0)</f>
        <v>1</v>
      </c>
      <c r="T385" s="5">
        <f>_xlfn.XLOOKUP(CustomerCombined[[#This Row],[ID]], Table4[ID], Table4[Catalog], "Not Found", 0)</f>
        <v>0</v>
      </c>
      <c r="U385" s="5">
        <f>_xlfn.XLOOKUP(CustomerCombined[[#This Row],[ID]], Table4[ID], Table4[Store], "Not Found", 0)</f>
        <v>3</v>
      </c>
      <c r="V385" s="5">
        <f>_xlfn.XLOOKUP(CustomerCombined[[#This Row],[ID]], Table4[ID], Table4[Visits], "Not Found", 0)</f>
        <v>8</v>
      </c>
      <c r="W385" s="8">
        <f>_xlfn.XLOOKUP(CustomerCombined[[#This Row],[ID]], Table2[ID],Table2[Complaint], "Not Found", 0 )</f>
        <v>0</v>
      </c>
      <c r="X385" s="8">
        <f>_xlfn.XLOOKUP(CustomerCombined[[#This Row],[ID]], Table2[ID],Table2[Pilot], "Not Found", 0 )</f>
        <v>0</v>
      </c>
      <c r="Y385" s="8">
        <f>_xlfn.XLOOKUP(CustomerCombined[[#This Row],[ID]], Table2[ID],Table2[MC1], "Not Found", 0 )</f>
        <v>0</v>
      </c>
      <c r="Z385" s="8">
        <f>_xlfn.XLOOKUP(CustomerCombined[[#This Row],[ID]], Table2[ID],Table2[MC2], "Not Found", 0 )</f>
        <v>0</v>
      </c>
      <c r="AA385" s="8">
        <f>_xlfn.XLOOKUP(CustomerCombined[[#This Row],[ID]], Table2[ID],Table2[MC3], "Not Found", 0 )</f>
        <v>0</v>
      </c>
      <c r="AB385" s="8">
        <f>_xlfn.XLOOKUP(CustomerCombined[[#This Row],[ID]], Table2[ID],Table2[MC4], "Not Found", 0 )</f>
        <v>0</v>
      </c>
      <c r="AC385" s="8">
        <f>_xlfn.XLOOKUP(CustomerCombined[[#This Row],[ID]], Table2[ID],Table2[MC5], "Not Found", 0 )</f>
        <v>0</v>
      </c>
    </row>
    <row r="386" spans="1:29" x14ac:dyDescent="0.3">
      <c r="A386" s="6">
        <v>2970</v>
      </c>
      <c r="B386" s="6">
        <v>196547</v>
      </c>
      <c r="C386" s="6">
        <v>0</v>
      </c>
      <c r="D386" s="6">
        <v>0</v>
      </c>
      <c r="E386" s="6">
        <v>40</v>
      </c>
      <c r="F386" s="5" t="s">
        <v>6</v>
      </c>
      <c r="G386" s="5" t="s">
        <v>442</v>
      </c>
      <c r="H386" s="3" t="s">
        <v>44</v>
      </c>
      <c r="I386" s="5" t="s">
        <v>436</v>
      </c>
      <c r="J386" s="5">
        <f>_xlfn.XLOOKUP(CustomerCombined[[#This Row],[ID]], Table4[ID], Table4[Recency], "Not Found", 0)</f>
        <v>4</v>
      </c>
      <c r="K386" s="5">
        <f>_xlfn.XLOOKUP(CustomerCombined[[#This Row],[ID]], Table4[ID], Table4[Teas], "Not Found", 0)</f>
        <v>912</v>
      </c>
      <c r="L386" s="5">
        <f>_xlfn.XLOOKUP(CustomerCombined[[#This Row],[ID]], Table4[ID], Table4[Fruits], "Not Found", 0)</f>
        <v>43</v>
      </c>
      <c r="M386" s="5">
        <f>_xlfn.XLOOKUP(CustomerCombined[[#This Row],[ID]], Table4[ID], Table4[Meats], "Not Found", 0)</f>
        <v>254</v>
      </c>
      <c r="N386" s="5">
        <f>_xlfn.XLOOKUP(CustomerCombined[[#This Row],[ID]], Table4[ID], Table4[Seafood], "Not Found", 0)</f>
        <v>106</v>
      </c>
      <c r="O386" s="5">
        <f>_xlfn.XLOOKUP(CustomerCombined[[#This Row],[ID]], Table4[ID], Table4[Sweets], "Not Found", 0)</f>
        <v>206</v>
      </c>
      <c r="P386" s="5">
        <f>_xlfn.XLOOKUP(CustomerCombined[[#This Row],[ID]], Table4[ID], Table4[Premium], "Not Found", 0)</f>
        <v>126</v>
      </c>
      <c r="Q386" s="5">
        <f>_xlfn.XLOOKUP(CustomerCombined[[#This Row],[ID]], Table4[ID], Table4[Regular], "Not Found", 0)</f>
        <v>1394</v>
      </c>
      <c r="R386" s="5">
        <f>_xlfn.XLOOKUP(CustomerCombined[[#This Row],[ID]], Table4[ID], Table4[Deals], "Not Found", 0)</f>
        <v>0</v>
      </c>
      <c r="S386" s="5">
        <f>_xlfn.XLOOKUP(CustomerCombined[[#This Row],[ID]], Table4[ID], Table4[Website], "Not Found", 0)</f>
        <v>7</v>
      </c>
      <c r="T386" s="5">
        <f>_xlfn.XLOOKUP(CustomerCombined[[#This Row],[ID]], Table4[ID], Table4[Catalog], "Not Found", 0)</f>
        <v>6</v>
      </c>
      <c r="U386" s="5">
        <f>_xlfn.XLOOKUP(CustomerCombined[[#This Row],[ID]], Table4[ID], Table4[Store], "Not Found", 0)</f>
        <v>8</v>
      </c>
      <c r="V386" s="5">
        <f>_xlfn.XLOOKUP(CustomerCombined[[#This Row],[ID]], Table4[ID], Table4[Visits], "Not Found", 0)</f>
        <v>2</v>
      </c>
      <c r="W386" s="8">
        <f>_xlfn.XLOOKUP(CustomerCombined[[#This Row],[ID]], Table2[ID],Table2[Complaint], "Not Found", 0 )</f>
        <v>0</v>
      </c>
      <c r="X386" s="8">
        <f>_xlfn.XLOOKUP(CustomerCombined[[#This Row],[ID]], Table2[ID],Table2[Pilot], "Not Found", 0 )</f>
        <v>1</v>
      </c>
      <c r="Y386" s="8">
        <f>_xlfn.XLOOKUP(CustomerCombined[[#This Row],[ID]], Table2[ID],Table2[MC1], "Not Found", 0 )</f>
        <v>1</v>
      </c>
      <c r="Z386" s="8">
        <f>_xlfn.XLOOKUP(CustomerCombined[[#This Row],[ID]], Table2[ID],Table2[MC2], "Not Found", 0 )</f>
        <v>0</v>
      </c>
      <c r="AA386" s="8">
        <f>_xlfn.XLOOKUP(CustomerCombined[[#This Row],[ID]], Table2[ID],Table2[MC3], "Not Found", 0 )</f>
        <v>1</v>
      </c>
      <c r="AB386" s="8">
        <f>_xlfn.XLOOKUP(CustomerCombined[[#This Row],[ID]], Table2[ID],Table2[MC4], "Not Found", 0 )</f>
        <v>0</v>
      </c>
      <c r="AC386" s="8">
        <f>_xlfn.XLOOKUP(CustomerCombined[[#This Row],[ID]], Table2[ID],Table2[MC5], "Not Found", 0 )</f>
        <v>1</v>
      </c>
    </row>
    <row r="387" spans="1:29" x14ac:dyDescent="0.3">
      <c r="A387" s="6">
        <v>1279</v>
      </c>
      <c r="B387" s="6">
        <v>182497</v>
      </c>
      <c r="C387" s="6">
        <v>0</v>
      </c>
      <c r="D387" s="6">
        <v>0</v>
      </c>
      <c r="E387" s="6">
        <v>40</v>
      </c>
      <c r="F387" s="5" t="s">
        <v>6</v>
      </c>
      <c r="G387" s="5" t="s">
        <v>11</v>
      </c>
      <c r="H387" s="3">
        <v>43650</v>
      </c>
      <c r="I387" s="5" t="s">
        <v>437</v>
      </c>
      <c r="J387" s="5">
        <f>_xlfn.XLOOKUP(CustomerCombined[[#This Row],[ID]], Table4[ID], Table4[Recency], "Not Found", 0)</f>
        <v>32</v>
      </c>
      <c r="K387" s="5">
        <f>_xlfn.XLOOKUP(CustomerCombined[[#This Row],[ID]], Table4[ID], Table4[Teas], "Not Found", 0)</f>
        <v>1719</v>
      </c>
      <c r="L387" s="5">
        <f>_xlfn.XLOOKUP(CustomerCombined[[#This Row],[ID]], Table4[ID], Table4[Fruits], "Not Found", 0)</f>
        <v>285</v>
      </c>
      <c r="M387" s="5">
        <f>_xlfn.XLOOKUP(CustomerCombined[[#This Row],[ID]], Table4[ID], Table4[Meats], "Not Found", 0)</f>
        <v>1268</v>
      </c>
      <c r="N387" s="5">
        <f>_xlfn.XLOOKUP(CustomerCombined[[#This Row],[ID]], Table4[ID], Table4[Seafood], "Not Found", 0)</f>
        <v>478</v>
      </c>
      <c r="O387" s="5">
        <f>_xlfn.XLOOKUP(CustomerCombined[[#This Row],[ID]], Table4[ID], Table4[Sweets], "Not Found", 0)</f>
        <v>46</v>
      </c>
      <c r="P387" s="5">
        <f>_xlfn.XLOOKUP(CustomerCombined[[#This Row],[ID]], Table4[ID], Table4[Premium], "Not Found", 0)</f>
        <v>449</v>
      </c>
      <c r="Q387" s="5">
        <f>_xlfn.XLOOKUP(CustomerCombined[[#This Row],[ID]], Table4[ID], Table4[Regular], "Not Found", 0)</f>
        <v>3347</v>
      </c>
      <c r="R387" s="5">
        <f>_xlfn.XLOOKUP(CustomerCombined[[#This Row],[ID]], Table4[ID], Table4[Deals], "Not Found", 0)</f>
        <v>1</v>
      </c>
      <c r="S387" s="5">
        <f>_xlfn.XLOOKUP(CustomerCombined[[#This Row],[ID]], Table4[ID], Table4[Website], "Not Found", 0)</f>
        <v>2</v>
      </c>
      <c r="T387" s="5">
        <f>_xlfn.XLOOKUP(CustomerCombined[[#This Row],[ID]], Table4[ID], Table4[Catalog], "Not Found", 0)</f>
        <v>7</v>
      </c>
      <c r="U387" s="5">
        <f>_xlfn.XLOOKUP(CustomerCombined[[#This Row],[ID]], Table4[ID], Table4[Store], "Not Found", 0)</f>
        <v>9</v>
      </c>
      <c r="V387" s="5">
        <f>_xlfn.XLOOKUP(CustomerCombined[[#This Row],[ID]], Table4[ID], Table4[Visits], "Not Found", 0)</f>
        <v>4</v>
      </c>
      <c r="W387" s="8">
        <f>_xlfn.XLOOKUP(CustomerCombined[[#This Row],[ID]], Table2[ID],Table2[Complaint], "Not Found", 0 )</f>
        <v>0</v>
      </c>
      <c r="X387" s="8">
        <f>_xlfn.XLOOKUP(CustomerCombined[[#This Row],[ID]], Table2[ID],Table2[Pilot], "Not Found", 0 )</f>
        <v>0</v>
      </c>
      <c r="Y387" s="8">
        <f>_xlfn.XLOOKUP(CustomerCombined[[#This Row],[ID]], Table2[ID],Table2[MC1], "Not Found", 0 )</f>
        <v>0</v>
      </c>
      <c r="Z387" s="8">
        <f>_xlfn.XLOOKUP(CustomerCombined[[#This Row],[ID]], Table2[ID],Table2[MC2], "Not Found", 0 )</f>
        <v>0</v>
      </c>
      <c r="AA387" s="8">
        <f>_xlfn.XLOOKUP(CustomerCombined[[#This Row],[ID]], Table2[ID],Table2[MC3], "Not Found", 0 )</f>
        <v>0</v>
      </c>
      <c r="AB387" s="8">
        <f>_xlfn.XLOOKUP(CustomerCombined[[#This Row],[ID]], Table2[ID],Table2[MC4], "Not Found", 0 )</f>
        <v>0</v>
      </c>
      <c r="AC387" s="8">
        <f>_xlfn.XLOOKUP(CustomerCombined[[#This Row],[ID]], Table2[ID],Table2[MC5], "Not Found", 0 )</f>
        <v>1</v>
      </c>
    </row>
    <row r="388" spans="1:29" x14ac:dyDescent="0.3">
      <c r="A388" s="6">
        <v>1545</v>
      </c>
      <c r="B388" s="6">
        <v>181741</v>
      </c>
      <c r="C388" s="6">
        <v>0</v>
      </c>
      <c r="D388" s="6">
        <v>0</v>
      </c>
      <c r="E388" s="6">
        <v>40</v>
      </c>
      <c r="F388" s="5" t="s">
        <v>7</v>
      </c>
      <c r="G388" s="5" t="s">
        <v>11</v>
      </c>
      <c r="H388" s="3" t="s">
        <v>237</v>
      </c>
      <c r="I388" s="5" t="s">
        <v>435</v>
      </c>
      <c r="J388" s="5">
        <f>_xlfn.XLOOKUP(CustomerCombined[[#This Row],[ID]], Table4[ID], Table4[Recency], "Not Found", 0)</f>
        <v>75</v>
      </c>
      <c r="K388" s="5">
        <f>_xlfn.XLOOKUP(CustomerCombined[[#This Row],[ID]], Table4[ID], Table4[Teas], "Not Found", 0)</f>
        <v>554</v>
      </c>
      <c r="L388" s="5">
        <f>_xlfn.XLOOKUP(CustomerCombined[[#This Row],[ID]], Table4[ID], Table4[Fruits], "Not Found", 0)</f>
        <v>340</v>
      </c>
      <c r="M388" s="5">
        <f>_xlfn.XLOOKUP(CustomerCombined[[#This Row],[ID]], Table4[ID], Table4[Meats], "Not Found", 0)</f>
        <v>2090</v>
      </c>
      <c r="N388" s="5">
        <f>_xlfn.XLOOKUP(CustomerCombined[[#This Row],[ID]], Table4[ID], Table4[Seafood], "Not Found", 0)</f>
        <v>129</v>
      </c>
      <c r="O388" s="5">
        <f>_xlfn.XLOOKUP(CustomerCombined[[#This Row],[ID]], Table4[ID], Table4[Sweets], "Not Found", 0)</f>
        <v>298</v>
      </c>
      <c r="P388" s="5">
        <f>_xlfn.XLOOKUP(CustomerCombined[[#This Row],[ID]], Table4[ID], Table4[Premium], "Not Found", 0)</f>
        <v>84</v>
      </c>
      <c r="Q388" s="5">
        <f>_xlfn.XLOOKUP(CustomerCombined[[#This Row],[ID]], Table4[ID], Table4[Regular], "Not Found", 0)</f>
        <v>3326</v>
      </c>
      <c r="R388" s="5">
        <f>_xlfn.XLOOKUP(CustomerCombined[[#This Row],[ID]], Table4[ID], Table4[Deals], "Not Found", 0)</f>
        <v>0</v>
      </c>
      <c r="S388" s="5">
        <f>_xlfn.XLOOKUP(CustomerCombined[[#This Row],[ID]], Table4[ID], Table4[Website], "Not Found", 0)</f>
        <v>6</v>
      </c>
      <c r="T388" s="5">
        <f>_xlfn.XLOOKUP(CustomerCombined[[#This Row],[ID]], Table4[ID], Table4[Catalog], "Not Found", 0)</f>
        <v>6</v>
      </c>
      <c r="U388" s="5">
        <f>_xlfn.XLOOKUP(CustomerCombined[[#This Row],[ID]], Table4[ID], Table4[Store], "Not Found", 0)</f>
        <v>7</v>
      </c>
      <c r="V388" s="5">
        <f>_xlfn.XLOOKUP(CustomerCombined[[#This Row],[ID]], Table4[ID], Table4[Visits], "Not Found", 0)</f>
        <v>2</v>
      </c>
      <c r="W388" s="8">
        <f>_xlfn.XLOOKUP(CustomerCombined[[#This Row],[ID]], Table2[ID],Table2[Complaint], "Not Found", 0 )</f>
        <v>0</v>
      </c>
      <c r="X388" s="8">
        <f>_xlfn.XLOOKUP(CustomerCombined[[#This Row],[ID]], Table2[ID],Table2[Pilot], "Not Found", 0 )</f>
        <v>0</v>
      </c>
      <c r="Y388" s="8">
        <f>_xlfn.XLOOKUP(CustomerCombined[[#This Row],[ID]], Table2[ID],Table2[MC1], "Not Found", 0 )</f>
        <v>0</v>
      </c>
      <c r="Z388" s="8">
        <f>_xlfn.XLOOKUP(CustomerCombined[[#This Row],[ID]], Table2[ID],Table2[MC2], "Not Found", 0 )</f>
        <v>0</v>
      </c>
      <c r="AA388" s="8">
        <f>_xlfn.XLOOKUP(CustomerCombined[[#This Row],[ID]], Table2[ID],Table2[MC3], "Not Found", 0 )</f>
        <v>0</v>
      </c>
      <c r="AB388" s="8">
        <f>_xlfn.XLOOKUP(CustomerCombined[[#This Row],[ID]], Table2[ID],Table2[MC4], "Not Found", 0 )</f>
        <v>0</v>
      </c>
      <c r="AC388" s="8">
        <f>_xlfn.XLOOKUP(CustomerCombined[[#This Row],[ID]], Table2[ID],Table2[MC5], "Not Found", 0 )</f>
        <v>0</v>
      </c>
    </row>
    <row r="389" spans="1:29" x14ac:dyDescent="0.3">
      <c r="A389" s="6">
        <v>1818</v>
      </c>
      <c r="B389" s="6">
        <v>181702</v>
      </c>
      <c r="C389" s="6">
        <v>0</v>
      </c>
      <c r="D389" s="6">
        <v>0</v>
      </c>
      <c r="E389" s="6">
        <v>40</v>
      </c>
      <c r="F389" s="5" t="s">
        <v>5</v>
      </c>
      <c r="G389" s="5" t="s">
        <v>11</v>
      </c>
      <c r="H389" s="3" t="s">
        <v>388</v>
      </c>
      <c r="I389" s="5" t="s">
        <v>436</v>
      </c>
      <c r="J389" s="5">
        <f>_xlfn.XLOOKUP(CustomerCombined[[#This Row],[ID]], Table4[ID], Table4[Recency], "Not Found", 0)</f>
        <v>98</v>
      </c>
      <c r="K389" s="5">
        <f>_xlfn.XLOOKUP(CustomerCombined[[#This Row],[ID]], Table4[ID], Table4[Teas], "Not Found", 0)</f>
        <v>1252</v>
      </c>
      <c r="L389" s="5">
        <f>_xlfn.XLOOKUP(CustomerCombined[[#This Row],[ID]], Table4[ID], Table4[Fruits], "Not Found", 0)</f>
        <v>111</v>
      </c>
      <c r="M389" s="5">
        <f>_xlfn.XLOOKUP(CustomerCombined[[#This Row],[ID]], Table4[ID], Table4[Meats], "Not Found", 0)</f>
        <v>1721</v>
      </c>
      <c r="N389" s="5">
        <f>_xlfn.XLOOKUP(CustomerCombined[[#This Row],[ID]], Table4[ID], Table4[Seafood], "Not Found", 0)</f>
        <v>62</v>
      </c>
      <c r="O389" s="5">
        <f>_xlfn.XLOOKUP(CustomerCombined[[#This Row],[ID]], Table4[ID], Table4[Sweets], "Not Found", 0)</f>
        <v>69</v>
      </c>
      <c r="P389" s="5">
        <f>_xlfn.XLOOKUP(CustomerCombined[[#This Row],[ID]], Table4[ID], Table4[Premium], "Not Found", 0)</f>
        <v>416</v>
      </c>
      <c r="Q389" s="5">
        <f>_xlfn.XLOOKUP(CustomerCombined[[#This Row],[ID]], Table4[ID], Table4[Regular], "Not Found", 0)</f>
        <v>2800</v>
      </c>
      <c r="R389" s="5">
        <f>_xlfn.XLOOKUP(CustomerCombined[[#This Row],[ID]], Table4[ID], Table4[Deals], "Not Found", 0)</f>
        <v>1</v>
      </c>
      <c r="S389" s="5">
        <f>_xlfn.XLOOKUP(CustomerCombined[[#This Row],[ID]], Table4[ID], Table4[Website], "Not Found", 0)</f>
        <v>7</v>
      </c>
      <c r="T389" s="5">
        <f>_xlfn.XLOOKUP(CustomerCombined[[#This Row],[ID]], Table4[ID], Table4[Catalog], "Not Found", 0)</f>
        <v>7</v>
      </c>
      <c r="U389" s="5">
        <f>_xlfn.XLOOKUP(CustomerCombined[[#This Row],[ID]], Table4[ID], Table4[Store], "Not Found", 0)</f>
        <v>12</v>
      </c>
      <c r="V389" s="5">
        <f>_xlfn.XLOOKUP(CustomerCombined[[#This Row],[ID]], Table4[ID], Table4[Visits], "Not Found", 0)</f>
        <v>3</v>
      </c>
      <c r="W389" s="8">
        <f>_xlfn.XLOOKUP(CustomerCombined[[#This Row],[ID]], Table2[ID],Table2[Complaint], "Not Found", 0 )</f>
        <v>0</v>
      </c>
      <c r="X389" s="8">
        <f>_xlfn.XLOOKUP(CustomerCombined[[#This Row],[ID]], Table2[ID],Table2[Pilot], "Not Found", 0 )</f>
        <v>0</v>
      </c>
      <c r="Y389" s="8">
        <f>_xlfn.XLOOKUP(CustomerCombined[[#This Row],[ID]], Table2[ID],Table2[MC1], "Not Found", 0 )</f>
        <v>0</v>
      </c>
      <c r="Z389" s="8">
        <f>_xlfn.XLOOKUP(CustomerCombined[[#This Row],[ID]], Table2[ID],Table2[MC2], "Not Found", 0 )</f>
        <v>0</v>
      </c>
      <c r="AA389" s="8">
        <f>_xlfn.XLOOKUP(CustomerCombined[[#This Row],[ID]], Table2[ID],Table2[MC3], "Not Found", 0 )</f>
        <v>0</v>
      </c>
      <c r="AB389" s="8">
        <f>_xlfn.XLOOKUP(CustomerCombined[[#This Row],[ID]], Table2[ID],Table2[MC4], "Not Found", 0 )</f>
        <v>0</v>
      </c>
      <c r="AC389" s="8">
        <f>_xlfn.XLOOKUP(CustomerCombined[[#This Row],[ID]], Table2[ID],Table2[MC5], "Not Found", 0 )</f>
        <v>0</v>
      </c>
    </row>
    <row r="390" spans="1:29" x14ac:dyDescent="0.3">
      <c r="A390" s="6">
        <v>1039</v>
      </c>
      <c r="B390" s="6">
        <v>180011</v>
      </c>
      <c r="C390" s="6">
        <v>0</v>
      </c>
      <c r="D390" s="6">
        <v>1</v>
      </c>
      <c r="E390" s="6">
        <v>40</v>
      </c>
      <c r="F390" s="5" t="s">
        <v>6</v>
      </c>
      <c r="G390" s="5" t="s">
        <v>11</v>
      </c>
      <c r="H390" s="3">
        <v>43565</v>
      </c>
      <c r="I390" s="5" t="s">
        <v>437</v>
      </c>
      <c r="J390" s="5">
        <f>_xlfn.XLOOKUP(CustomerCombined[[#This Row],[ID]], Table4[ID], Table4[Recency], "Not Found", 0)</f>
        <v>3</v>
      </c>
      <c r="K390" s="5">
        <f>_xlfn.XLOOKUP(CustomerCombined[[#This Row],[ID]], Table4[ID], Table4[Teas], "Not Found", 0)</f>
        <v>947</v>
      </c>
      <c r="L390" s="5">
        <f>_xlfn.XLOOKUP(CustomerCombined[[#This Row],[ID]], Table4[ID], Table4[Fruits], "Not Found", 0)</f>
        <v>171</v>
      </c>
      <c r="M390" s="5">
        <f>_xlfn.XLOOKUP(CustomerCombined[[#This Row],[ID]], Table4[ID], Table4[Meats], "Not Found", 0)</f>
        <v>1206</v>
      </c>
      <c r="N390" s="5">
        <f>_xlfn.XLOOKUP(CustomerCombined[[#This Row],[ID]], Table4[ID], Table4[Seafood], "Not Found", 0)</f>
        <v>184</v>
      </c>
      <c r="O390" s="5">
        <f>_xlfn.XLOOKUP(CustomerCombined[[#This Row],[ID]], Table4[ID], Table4[Sweets], "Not Found", 0)</f>
        <v>400</v>
      </c>
      <c r="P390" s="5">
        <f>_xlfn.XLOOKUP(CustomerCombined[[#This Row],[ID]], Table4[ID], Table4[Premium], "Not Found", 0)</f>
        <v>229</v>
      </c>
      <c r="Q390" s="5">
        <f>_xlfn.XLOOKUP(CustomerCombined[[#This Row],[ID]], Table4[ID], Table4[Regular], "Not Found", 0)</f>
        <v>2680</v>
      </c>
      <c r="R390" s="5">
        <f>_xlfn.XLOOKUP(CustomerCombined[[#This Row],[ID]], Table4[ID], Table4[Deals], "Not Found", 0)</f>
        <v>2</v>
      </c>
      <c r="S390" s="5">
        <f>_xlfn.XLOOKUP(CustomerCombined[[#This Row],[ID]], Table4[ID], Table4[Website], "Not Found", 0)</f>
        <v>8</v>
      </c>
      <c r="T390" s="5">
        <f>_xlfn.XLOOKUP(CustomerCombined[[#This Row],[ID]], Table4[ID], Table4[Catalog], "Not Found", 0)</f>
        <v>6</v>
      </c>
      <c r="U390" s="5">
        <f>_xlfn.XLOOKUP(CustomerCombined[[#This Row],[ID]], Table4[ID], Table4[Store], "Not Found", 0)</f>
        <v>5</v>
      </c>
      <c r="V390" s="5">
        <f>_xlfn.XLOOKUP(CustomerCombined[[#This Row],[ID]], Table4[ID], Table4[Visits], "Not Found", 0)</f>
        <v>4</v>
      </c>
      <c r="W390" s="8">
        <f>_xlfn.XLOOKUP(CustomerCombined[[#This Row],[ID]], Table2[ID],Table2[Complaint], "Not Found", 0 )</f>
        <v>0</v>
      </c>
      <c r="X390" s="8">
        <f>_xlfn.XLOOKUP(CustomerCombined[[#This Row],[ID]], Table2[ID],Table2[Pilot], "Not Found", 0 )</f>
        <v>0</v>
      </c>
      <c r="Y390" s="8">
        <f>_xlfn.XLOOKUP(CustomerCombined[[#This Row],[ID]], Table2[ID],Table2[MC1], "Not Found", 0 )</f>
        <v>0</v>
      </c>
      <c r="Z390" s="8">
        <f>_xlfn.XLOOKUP(CustomerCombined[[#This Row],[ID]], Table2[ID],Table2[MC2], "Not Found", 0 )</f>
        <v>0</v>
      </c>
      <c r="AA390" s="8">
        <f>_xlfn.XLOOKUP(CustomerCombined[[#This Row],[ID]], Table2[ID],Table2[MC3], "Not Found", 0 )</f>
        <v>0</v>
      </c>
      <c r="AB390" s="8">
        <f>_xlfn.XLOOKUP(CustomerCombined[[#This Row],[ID]], Table2[ID],Table2[MC4], "Not Found", 0 )</f>
        <v>0</v>
      </c>
      <c r="AC390" s="8">
        <f>_xlfn.XLOOKUP(CustomerCombined[[#This Row],[ID]], Table2[ID],Table2[MC5], "Not Found", 0 )</f>
        <v>0</v>
      </c>
    </row>
    <row r="391" spans="1:29" x14ac:dyDescent="0.3">
      <c r="A391" s="6">
        <v>2661</v>
      </c>
      <c r="B391" s="6">
        <v>178789</v>
      </c>
      <c r="C391" s="6">
        <v>0</v>
      </c>
      <c r="D391" s="6">
        <v>0</v>
      </c>
      <c r="E391" s="6">
        <v>40</v>
      </c>
      <c r="F391" s="5" t="s">
        <v>5</v>
      </c>
      <c r="G391" s="5" t="s">
        <v>12</v>
      </c>
      <c r="H391" s="3" t="s">
        <v>420</v>
      </c>
      <c r="I391" s="5" t="s">
        <v>435</v>
      </c>
      <c r="J391" s="5">
        <f>_xlfn.XLOOKUP(CustomerCombined[[#This Row],[ID]], Table4[ID], Table4[Recency], "Not Found", 0)</f>
        <v>12</v>
      </c>
      <c r="K391" s="5">
        <f>_xlfn.XLOOKUP(CustomerCombined[[#This Row],[ID]], Table4[ID], Table4[Teas], "Not Found", 0)</f>
        <v>1514</v>
      </c>
      <c r="L391" s="5">
        <f>_xlfn.XLOOKUP(CustomerCombined[[#This Row],[ID]], Table4[ID], Table4[Fruits], "Not Found", 0)</f>
        <v>113</v>
      </c>
      <c r="M391" s="5">
        <f>_xlfn.XLOOKUP(CustomerCombined[[#This Row],[ID]], Table4[ID], Table4[Meats], "Not Found", 0)</f>
        <v>1929</v>
      </c>
      <c r="N391" s="5">
        <f>_xlfn.XLOOKUP(CustomerCombined[[#This Row],[ID]], Table4[ID], Table4[Seafood], "Not Found", 0)</f>
        <v>48</v>
      </c>
      <c r="O391" s="5">
        <f>_xlfn.XLOOKUP(CustomerCombined[[#This Row],[ID]], Table4[ID], Table4[Sweets], "Not Found", 0)</f>
        <v>188</v>
      </c>
      <c r="P391" s="5">
        <f>_xlfn.XLOOKUP(CustomerCombined[[#This Row],[ID]], Table4[ID], Table4[Premium], "Not Found", 0)</f>
        <v>188</v>
      </c>
      <c r="Q391" s="5">
        <f>_xlfn.XLOOKUP(CustomerCombined[[#This Row],[ID]], Table4[ID], Table4[Regular], "Not Found", 0)</f>
        <v>3604</v>
      </c>
      <c r="R391" s="5">
        <f>_xlfn.XLOOKUP(CustomerCombined[[#This Row],[ID]], Table4[ID], Table4[Deals], "Not Found", 0)</f>
        <v>1</v>
      </c>
      <c r="S391" s="5">
        <f>_xlfn.XLOOKUP(CustomerCombined[[#This Row],[ID]], Table4[ID], Table4[Website], "Not Found", 0)</f>
        <v>4</v>
      </c>
      <c r="T391" s="5">
        <f>_xlfn.XLOOKUP(CustomerCombined[[#This Row],[ID]], Table4[ID], Table4[Catalog], "Not Found", 0)</f>
        <v>6</v>
      </c>
      <c r="U391" s="5">
        <f>_xlfn.XLOOKUP(CustomerCombined[[#This Row],[ID]], Table4[ID], Table4[Store], "Not Found", 0)</f>
        <v>5</v>
      </c>
      <c r="V391" s="5">
        <f>_xlfn.XLOOKUP(CustomerCombined[[#This Row],[ID]], Table4[ID], Table4[Visits], "Not Found", 0)</f>
        <v>2</v>
      </c>
      <c r="W391" s="8">
        <f>_xlfn.XLOOKUP(CustomerCombined[[#This Row],[ID]], Table2[ID],Table2[Complaint], "Not Found", 0 )</f>
        <v>0</v>
      </c>
      <c r="X391" s="8">
        <f>_xlfn.XLOOKUP(CustomerCombined[[#This Row],[ID]], Table2[ID],Table2[Pilot], "Not Found", 0 )</f>
        <v>1</v>
      </c>
      <c r="Y391" s="8">
        <f>_xlfn.XLOOKUP(CustomerCombined[[#This Row],[ID]], Table2[ID],Table2[MC1], "Not Found", 0 )</f>
        <v>0</v>
      </c>
      <c r="Z391" s="8">
        <f>_xlfn.XLOOKUP(CustomerCombined[[#This Row],[ID]], Table2[ID],Table2[MC2], "Not Found", 0 )</f>
        <v>0</v>
      </c>
      <c r="AA391" s="8">
        <f>_xlfn.XLOOKUP(CustomerCombined[[#This Row],[ID]], Table2[ID],Table2[MC3], "Not Found", 0 )</f>
        <v>0</v>
      </c>
      <c r="AB391" s="8">
        <f>_xlfn.XLOOKUP(CustomerCombined[[#This Row],[ID]], Table2[ID],Table2[MC4], "Not Found", 0 )</f>
        <v>0</v>
      </c>
      <c r="AC391" s="8">
        <f>_xlfn.XLOOKUP(CustomerCombined[[#This Row],[ID]], Table2[ID],Table2[MC5], "Not Found", 0 )</f>
        <v>0</v>
      </c>
    </row>
    <row r="392" spans="1:29" x14ac:dyDescent="0.3">
      <c r="A392" s="6">
        <v>1655</v>
      </c>
      <c r="B392" s="6">
        <v>177353</v>
      </c>
      <c r="C392" s="6">
        <v>0</v>
      </c>
      <c r="D392" s="6">
        <v>1</v>
      </c>
      <c r="E392" s="6">
        <v>40</v>
      </c>
      <c r="F392" s="5" t="s">
        <v>6</v>
      </c>
      <c r="G392" s="5" t="s">
        <v>11</v>
      </c>
      <c r="H392" s="3" t="s">
        <v>132</v>
      </c>
      <c r="I392" s="5" t="s">
        <v>434</v>
      </c>
      <c r="J392" s="5">
        <f>_xlfn.XLOOKUP(CustomerCombined[[#This Row],[ID]], Table4[ID], Table4[Recency], "Not Found", 0)</f>
        <v>38</v>
      </c>
      <c r="K392" s="5">
        <f>_xlfn.XLOOKUP(CustomerCombined[[#This Row],[ID]], Table4[ID], Table4[Teas], "Not Found", 0)</f>
        <v>631</v>
      </c>
      <c r="L392" s="5">
        <f>_xlfn.XLOOKUP(CustomerCombined[[#This Row],[ID]], Table4[ID], Table4[Fruits], "Not Found", 0)</f>
        <v>135</v>
      </c>
      <c r="M392" s="5">
        <f>_xlfn.XLOOKUP(CustomerCombined[[#This Row],[ID]], Table4[ID], Table4[Meats], "Not Found", 0)</f>
        <v>245</v>
      </c>
      <c r="N392" s="5">
        <f>_xlfn.XLOOKUP(CustomerCombined[[#This Row],[ID]], Table4[ID], Table4[Seafood], "Not Found", 0)</f>
        <v>158</v>
      </c>
      <c r="O392" s="5">
        <f>_xlfn.XLOOKUP(CustomerCombined[[#This Row],[ID]], Table4[ID], Table4[Sweets], "Not Found", 0)</f>
        <v>232</v>
      </c>
      <c r="P392" s="5">
        <f>_xlfn.XLOOKUP(CustomerCombined[[#This Row],[ID]], Table4[ID], Table4[Premium], "Not Found", 0)</f>
        <v>135</v>
      </c>
      <c r="Q392" s="5">
        <f>_xlfn.XLOOKUP(CustomerCombined[[#This Row],[ID]], Table4[ID], Table4[Regular], "Not Found", 0)</f>
        <v>1266</v>
      </c>
      <c r="R392" s="5">
        <f>_xlfn.XLOOKUP(CustomerCombined[[#This Row],[ID]], Table4[ID], Table4[Deals], "Not Found", 0)</f>
        <v>2</v>
      </c>
      <c r="S392" s="5">
        <f>_xlfn.XLOOKUP(CustomerCombined[[#This Row],[ID]], Table4[ID], Table4[Website], "Not Found", 0)</f>
        <v>6</v>
      </c>
      <c r="T392" s="5">
        <f>_xlfn.XLOOKUP(CustomerCombined[[#This Row],[ID]], Table4[ID], Table4[Catalog], "Not Found", 0)</f>
        <v>4</v>
      </c>
      <c r="U392" s="5">
        <f>_xlfn.XLOOKUP(CustomerCombined[[#This Row],[ID]], Table4[ID], Table4[Store], "Not Found", 0)</f>
        <v>8</v>
      </c>
      <c r="V392" s="5">
        <f>_xlfn.XLOOKUP(CustomerCombined[[#This Row],[ID]], Table4[ID], Table4[Visits], "Not Found", 0)</f>
        <v>4</v>
      </c>
      <c r="W392" s="8">
        <f>_xlfn.XLOOKUP(CustomerCombined[[#This Row],[ID]], Table2[ID],Table2[Complaint], "Not Found", 0 )</f>
        <v>0</v>
      </c>
      <c r="X392" s="8">
        <f>_xlfn.XLOOKUP(CustomerCombined[[#This Row],[ID]], Table2[ID],Table2[Pilot], "Not Found", 0 )</f>
        <v>0</v>
      </c>
      <c r="Y392" s="8">
        <f>_xlfn.XLOOKUP(CustomerCombined[[#This Row],[ID]], Table2[ID],Table2[MC1], "Not Found", 0 )</f>
        <v>0</v>
      </c>
      <c r="Z392" s="8">
        <f>_xlfn.XLOOKUP(CustomerCombined[[#This Row],[ID]], Table2[ID],Table2[MC2], "Not Found", 0 )</f>
        <v>0</v>
      </c>
      <c r="AA392" s="8">
        <f>_xlfn.XLOOKUP(CustomerCombined[[#This Row],[ID]], Table2[ID],Table2[MC3], "Not Found", 0 )</f>
        <v>0</v>
      </c>
      <c r="AB392" s="8">
        <f>_xlfn.XLOOKUP(CustomerCombined[[#This Row],[ID]], Table2[ID],Table2[MC4], "Not Found", 0 )</f>
        <v>0</v>
      </c>
      <c r="AC392" s="8">
        <f>_xlfn.XLOOKUP(CustomerCombined[[#This Row],[ID]], Table2[ID],Table2[MC5], "Not Found", 0 )</f>
        <v>0</v>
      </c>
    </row>
    <row r="393" spans="1:29" x14ac:dyDescent="0.3">
      <c r="A393" s="6">
        <v>1801</v>
      </c>
      <c r="B393" s="6">
        <v>176412</v>
      </c>
      <c r="C393" s="6">
        <v>0</v>
      </c>
      <c r="D393" s="6">
        <v>0</v>
      </c>
      <c r="E393" s="6">
        <v>40</v>
      </c>
      <c r="F393" s="5" t="s">
        <v>7</v>
      </c>
      <c r="G393" s="5" t="s">
        <v>13</v>
      </c>
      <c r="H393" s="3">
        <v>43748</v>
      </c>
      <c r="I393" s="5" t="s">
        <v>437</v>
      </c>
      <c r="J393" s="5">
        <f>_xlfn.XLOOKUP(CustomerCombined[[#This Row],[ID]], Table4[ID], Table4[Recency], "Not Found", 0)</f>
        <v>15</v>
      </c>
      <c r="K393" s="5">
        <f>_xlfn.XLOOKUP(CustomerCombined[[#This Row],[ID]], Table4[ID], Table4[Teas], "Not Found", 0)</f>
        <v>1939</v>
      </c>
      <c r="L393" s="5">
        <f>_xlfn.XLOOKUP(CustomerCombined[[#This Row],[ID]], Table4[ID], Table4[Fruits], "Not Found", 0)</f>
        <v>122</v>
      </c>
      <c r="M393" s="5">
        <f>_xlfn.XLOOKUP(CustomerCombined[[#This Row],[ID]], Table4[ID], Table4[Meats], "Not Found", 0)</f>
        <v>1856</v>
      </c>
      <c r="N393" s="5">
        <f>_xlfn.XLOOKUP(CustomerCombined[[#This Row],[ID]], Table4[ID], Table4[Seafood], "Not Found", 0)</f>
        <v>53</v>
      </c>
      <c r="O393" s="5">
        <f>_xlfn.XLOOKUP(CustomerCombined[[#This Row],[ID]], Table4[ID], Table4[Sweets], "Not Found", 0)</f>
        <v>164</v>
      </c>
      <c r="P393" s="5">
        <f>_xlfn.XLOOKUP(CustomerCombined[[#This Row],[ID]], Table4[ID], Table4[Premium], "Not Found", 0)</f>
        <v>39</v>
      </c>
      <c r="Q393" s="5">
        <f>_xlfn.XLOOKUP(CustomerCombined[[#This Row],[ID]], Table4[ID], Table4[Regular], "Not Found", 0)</f>
        <v>4096</v>
      </c>
      <c r="R393" s="5">
        <f>_xlfn.XLOOKUP(CustomerCombined[[#This Row],[ID]], Table4[ID], Table4[Deals], "Not Found", 0)</f>
        <v>1</v>
      </c>
      <c r="S393" s="5">
        <f>_xlfn.XLOOKUP(CustomerCombined[[#This Row],[ID]], Table4[ID], Table4[Website], "Not Found", 0)</f>
        <v>5</v>
      </c>
      <c r="T393" s="5">
        <f>_xlfn.XLOOKUP(CustomerCombined[[#This Row],[ID]], Table4[ID], Table4[Catalog], "Not Found", 0)</f>
        <v>4</v>
      </c>
      <c r="U393" s="5">
        <f>_xlfn.XLOOKUP(CustomerCombined[[#This Row],[ID]], Table4[ID], Table4[Store], "Not Found", 0)</f>
        <v>8</v>
      </c>
      <c r="V393" s="5">
        <f>_xlfn.XLOOKUP(CustomerCombined[[#This Row],[ID]], Table4[ID], Table4[Visits], "Not Found", 0)</f>
        <v>3</v>
      </c>
      <c r="W393" s="8">
        <f>_xlfn.XLOOKUP(CustomerCombined[[#This Row],[ID]], Table2[ID],Table2[Complaint], "Not Found", 0 )</f>
        <v>0</v>
      </c>
      <c r="X393" s="8">
        <f>_xlfn.XLOOKUP(CustomerCombined[[#This Row],[ID]], Table2[ID],Table2[Pilot], "Not Found", 0 )</f>
        <v>1</v>
      </c>
      <c r="Y393" s="8">
        <f>_xlfn.XLOOKUP(CustomerCombined[[#This Row],[ID]], Table2[ID],Table2[MC1], "Not Found", 0 )</f>
        <v>1</v>
      </c>
      <c r="Z393" s="8">
        <f>_xlfn.XLOOKUP(CustomerCombined[[#This Row],[ID]], Table2[ID],Table2[MC2], "Not Found", 0 )</f>
        <v>0</v>
      </c>
      <c r="AA393" s="8">
        <f>_xlfn.XLOOKUP(CustomerCombined[[#This Row],[ID]], Table2[ID],Table2[MC3], "Not Found", 0 )</f>
        <v>0</v>
      </c>
      <c r="AB393" s="8">
        <f>_xlfn.XLOOKUP(CustomerCombined[[#This Row],[ID]], Table2[ID],Table2[MC4], "Not Found", 0 )</f>
        <v>0</v>
      </c>
      <c r="AC393" s="8">
        <f>_xlfn.XLOOKUP(CustomerCombined[[#This Row],[ID]], Table2[ID],Table2[MC5], "Not Found", 0 )</f>
        <v>1</v>
      </c>
    </row>
    <row r="394" spans="1:29" x14ac:dyDescent="0.3">
      <c r="A394" s="6">
        <v>1437</v>
      </c>
      <c r="B394" s="6">
        <v>170829</v>
      </c>
      <c r="C394" s="6">
        <v>1</v>
      </c>
      <c r="D394" s="6">
        <v>1</v>
      </c>
      <c r="E394" s="6">
        <v>40</v>
      </c>
      <c r="F394" s="5" t="s">
        <v>6</v>
      </c>
      <c r="G394" s="5" t="s">
        <v>442</v>
      </c>
      <c r="H394" s="3">
        <v>44017</v>
      </c>
      <c r="I394" s="5" t="s">
        <v>435</v>
      </c>
      <c r="J394" s="5">
        <f>_xlfn.XLOOKUP(CustomerCombined[[#This Row],[ID]], Table4[ID], Table4[Recency], "Not Found", 0)</f>
        <v>87</v>
      </c>
      <c r="K394" s="5">
        <f>_xlfn.XLOOKUP(CustomerCombined[[#This Row],[ID]], Table4[ID], Table4[Teas], "Not Found", 0)</f>
        <v>340</v>
      </c>
      <c r="L394" s="5">
        <f>_xlfn.XLOOKUP(CustomerCombined[[#This Row],[ID]], Table4[ID], Table4[Fruits], "Not Found", 0)</f>
        <v>169</v>
      </c>
      <c r="M394" s="5">
        <f>_xlfn.XLOOKUP(CustomerCombined[[#This Row],[ID]], Table4[ID], Table4[Meats], "Not Found", 0)</f>
        <v>256</v>
      </c>
      <c r="N394" s="5">
        <f>_xlfn.XLOOKUP(CustomerCombined[[#This Row],[ID]], Table4[ID], Table4[Seafood], "Not Found", 0)</f>
        <v>174</v>
      </c>
      <c r="O394" s="5">
        <f>_xlfn.XLOOKUP(CustomerCombined[[#This Row],[ID]], Table4[ID], Table4[Sweets], "Not Found", 0)</f>
        <v>46</v>
      </c>
      <c r="P394" s="5">
        <f>_xlfn.XLOOKUP(CustomerCombined[[#This Row],[ID]], Table4[ID], Table4[Premium], "Not Found", 0)</f>
        <v>55</v>
      </c>
      <c r="Q394" s="5">
        <f>_xlfn.XLOOKUP(CustomerCombined[[#This Row],[ID]], Table4[ID], Table4[Regular], "Not Found", 0)</f>
        <v>929</v>
      </c>
      <c r="R394" s="5">
        <f>_xlfn.XLOOKUP(CustomerCombined[[#This Row],[ID]], Table4[ID], Table4[Deals], "Not Found", 0)</f>
        <v>2</v>
      </c>
      <c r="S394" s="5">
        <f>_xlfn.XLOOKUP(CustomerCombined[[#This Row],[ID]], Table4[ID], Table4[Website], "Not Found", 0)</f>
        <v>4</v>
      </c>
      <c r="T394" s="5">
        <f>_xlfn.XLOOKUP(CustomerCombined[[#This Row],[ID]], Table4[ID], Table4[Catalog], "Not Found", 0)</f>
        <v>2</v>
      </c>
      <c r="U394" s="5">
        <f>_xlfn.XLOOKUP(CustomerCombined[[#This Row],[ID]], Table4[ID], Table4[Store], "Not Found", 0)</f>
        <v>8</v>
      </c>
      <c r="V394" s="5">
        <f>_xlfn.XLOOKUP(CustomerCombined[[#This Row],[ID]], Table4[ID], Table4[Visits], "Not Found", 0)</f>
        <v>3</v>
      </c>
      <c r="W394" s="8">
        <f>_xlfn.XLOOKUP(CustomerCombined[[#This Row],[ID]], Table2[ID],Table2[Complaint], "Not Found", 0 )</f>
        <v>0</v>
      </c>
      <c r="X394" s="8">
        <f>_xlfn.XLOOKUP(CustomerCombined[[#This Row],[ID]], Table2[ID],Table2[Pilot], "Not Found", 0 )</f>
        <v>0</v>
      </c>
      <c r="Y394" s="8">
        <f>_xlfn.XLOOKUP(CustomerCombined[[#This Row],[ID]], Table2[ID],Table2[MC1], "Not Found", 0 )</f>
        <v>0</v>
      </c>
      <c r="Z394" s="8">
        <f>_xlfn.XLOOKUP(CustomerCombined[[#This Row],[ID]], Table2[ID],Table2[MC2], "Not Found", 0 )</f>
        <v>0</v>
      </c>
      <c r="AA394" s="8">
        <f>_xlfn.XLOOKUP(CustomerCombined[[#This Row],[ID]], Table2[ID],Table2[MC3], "Not Found", 0 )</f>
        <v>0</v>
      </c>
      <c r="AB394" s="8">
        <f>_xlfn.XLOOKUP(CustomerCombined[[#This Row],[ID]], Table2[ID],Table2[MC4], "Not Found", 0 )</f>
        <v>0</v>
      </c>
      <c r="AC394" s="8">
        <f>_xlfn.XLOOKUP(CustomerCombined[[#This Row],[ID]], Table2[ID],Table2[MC5], "Not Found", 0 )</f>
        <v>0</v>
      </c>
    </row>
    <row r="395" spans="1:29" x14ac:dyDescent="0.3">
      <c r="A395" s="6">
        <v>1184</v>
      </c>
      <c r="B395" s="6">
        <v>169661</v>
      </c>
      <c r="C395" s="6">
        <v>0</v>
      </c>
      <c r="D395" s="6">
        <v>0</v>
      </c>
      <c r="E395" s="6">
        <v>40</v>
      </c>
      <c r="F395" s="5" t="s">
        <v>6</v>
      </c>
      <c r="G395" s="5" t="s">
        <v>12</v>
      </c>
      <c r="H395" s="3" t="s">
        <v>51</v>
      </c>
      <c r="I395" s="5" t="s">
        <v>438</v>
      </c>
      <c r="J395" s="5">
        <f>_xlfn.XLOOKUP(CustomerCombined[[#This Row],[ID]], Table4[ID], Table4[Recency], "Not Found", 0)</f>
        <v>80</v>
      </c>
      <c r="K395" s="5">
        <f>_xlfn.XLOOKUP(CustomerCombined[[#This Row],[ID]], Table4[ID], Table4[Teas], "Not Found", 0)</f>
        <v>1598</v>
      </c>
      <c r="L395" s="5">
        <f>_xlfn.XLOOKUP(CustomerCombined[[#This Row],[ID]], Table4[ID], Table4[Fruits], "Not Found", 0)</f>
        <v>39</v>
      </c>
      <c r="M395" s="5">
        <f>_xlfn.XLOOKUP(CustomerCombined[[#This Row],[ID]], Table4[ID], Table4[Meats], "Not Found", 0)</f>
        <v>258</v>
      </c>
      <c r="N395" s="5">
        <f>_xlfn.XLOOKUP(CustomerCombined[[#This Row],[ID]], Table4[ID], Table4[Seafood], "Not Found", 0)</f>
        <v>78</v>
      </c>
      <c r="O395" s="5">
        <f>_xlfn.XLOOKUP(CustomerCombined[[#This Row],[ID]], Table4[ID], Table4[Sweets], "Not Found", 0)</f>
        <v>39</v>
      </c>
      <c r="P395" s="5">
        <f>_xlfn.XLOOKUP(CustomerCombined[[#This Row],[ID]], Table4[ID], Table4[Premium], "Not Found", 0)</f>
        <v>19</v>
      </c>
      <c r="Q395" s="5">
        <f>_xlfn.XLOOKUP(CustomerCombined[[#This Row],[ID]], Table4[ID], Table4[Regular], "Not Found", 0)</f>
        <v>1992</v>
      </c>
      <c r="R395" s="5">
        <f>_xlfn.XLOOKUP(CustomerCombined[[#This Row],[ID]], Table4[ID], Table4[Deals], "Not Found", 0)</f>
        <v>1</v>
      </c>
      <c r="S395" s="5">
        <f>_xlfn.XLOOKUP(CustomerCombined[[#This Row],[ID]], Table4[ID], Table4[Website], "Not Found", 0)</f>
        <v>7</v>
      </c>
      <c r="T395" s="5">
        <f>_xlfn.XLOOKUP(CustomerCombined[[#This Row],[ID]], Table4[ID], Table4[Catalog], "Not Found", 0)</f>
        <v>3</v>
      </c>
      <c r="U395" s="5">
        <f>_xlfn.XLOOKUP(CustomerCombined[[#This Row],[ID]], Table4[ID], Table4[Store], "Not Found", 0)</f>
        <v>12</v>
      </c>
      <c r="V395" s="5">
        <f>_xlfn.XLOOKUP(CustomerCombined[[#This Row],[ID]], Table4[ID], Table4[Visits], "Not Found", 0)</f>
        <v>3</v>
      </c>
      <c r="W395" s="8">
        <f>_xlfn.XLOOKUP(CustomerCombined[[#This Row],[ID]], Table2[ID],Table2[Complaint], "Not Found", 0 )</f>
        <v>0</v>
      </c>
      <c r="X395" s="8">
        <f>_xlfn.XLOOKUP(CustomerCombined[[#This Row],[ID]], Table2[ID],Table2[Pilot], "Not Found", 0 )</f>
        <v>0</v>
      </c>
      <c r="Y395" s="8">
        <f>_xlfn.XLOOKUP(CustomerCombined[[#This Row],[ID]], Table2[ID],Table2[MC1], "Not Found", 0 )</f>
        <v>0</v>
      </c>
      <c r="Z395" s="8">
        <f>_xlfn.XLOOKUP(CustomerCombined[[#This Row],[ID]], Table2[ID],Table2[MC2], "Not Found", 0 )</f>
        <v>0</v>
      </c>
      <c r="AA395" s="8">
        <f>_xlfn.XLOOKUP(CustomerCombined[[#This Row],[ID]], Table2[ID],Table2[MC3], "Not Found", 0 )</f>
        <v>0</v>
      </c>
      <c r="AB395" s="8">
        <f>_xlfn.XLOOKUP(CustomerCombined[[#This Row],[ID]], Table2[ID],Table2[MC4], "Not Found", 0 )</f>
        <v>0</v>
      </c>
      <c r="AC395" s="8">
        <f>_xlfn.XLOOKUP(CustomerCombined[[#This Row],[ID]], Table2[ID],Table2[MC5], "Not Found", 0 )</f>
        <v>0</v>
      </c>
    </row>
    <row r="396" spans="1:29" x14ac:dyDescent="0.3">
      <c r="A396" s="6">
        <v>1207</v>
      </c>
      <c r="B396" s="6">
        <v>169508</v>
      </c>
      <c r="C396" s="6">
        <v>1</v>
      </c>
      <c r="D396" s="6">
        <v>0</v>
      </c>
      <c r="E396" s="6">
        <v>40</v>
      </c>
      <c r="F396" s="5" t="s">
        <v>8</v>
      </c>
      <c r="G396" s="5" t="s">
        <v>11</v>
      </c>
      <c r="H396" s="3" t="s">
        <v>361</v>
      </c>
      <c r="I396" s="5" t="s">
        <v>437</v>
      </c>
      <c r="J396" s="5">
        <f>_xlfn.XLOOKUP(CustomerCombined[[#This Row],[ID]], Table4[ID], Table4[Recency], "Not Found", 0)</f>
        <v>48</v>
      </c>
      <c r="K396" s="5">
        <f>_xlfn.XLOOKUP(CustomerCombined[[#This Row],[ID]], Table4[ID], Table4[Teas], "Not Found", 0)</f>
        <v>2009</v>
      </c>
      <c r="L396" s="5">
        <f>_xlfn.XLOOKUP(CustomerCombined[[#This Row],[ID]], Table4[ID], Table4[Fruits], "Not Found", 0)</f>
        <v>78</v>
      </c>
      <c r="M396" s="5">
        <f>_xlfn.XLOOKUP(CustomerCombined[[#This Row],[ID]], Table4[ID], Table4[Meats], "Not Found", 0)</f>
        <v>395</v>
      </c>
      <c r="N396" s="5">
        <f>_xlfn.XLOOKUP(CustomerCombined[[#This Row],[ID]], Table4[ID], Table4[Seafood], "Not Found", 0)</f>
        <v>102</v>
      </c>
      <c r="O396" s="5">
        <f>_xlfn.XLOOKUP(CustomerCombined[[#This Row],[ID]], Table4[ID], Table4[Sweets], "Not Found", 0)</f>
        <v>78</v>
      </c>
      <c r="P396" s="5">
        <f>_xlfn.XLOOKUP(CustomerCombined[[#This Row],[ID]], Table4[ID], Table4[Premium], "Not Found", 0)</f>
        <v>105</v>
      </c>
      <c r="Q396" s="5">
        <f>_xlfn.XLOOKUP(CustomerCombined[[#This Row],[ID]], Table4[ID], Table4[Regular], "Not Found", 0)</f>
        <v>2558</v>
      </c>
      <c r="R396" s="5">
        <f>_xlfn.XLOOKUP(CustomerCombined[[#This Row],[ID]], Table4[ID], Table4[Deals], "Not Found", 0)</f>
        <v>2</v>
      </c>
      <c r="S396" s="5">
        <f>_xlfn.XLOOKUP(CustomerCombined[[#This Row],[ID]], Table4[ID], Table4[Website], "Not Found", 0)</f>
        <v>11</v>
      </c>
      <c r="T396" s="5">
        <f>_xlfn.XLOOKUP(CustomerCombined[[#This Row],[ID]], Table4[ID], Table4[Catalog], "Not Found", 0)</f>
        <v>4</v>
      </c>
      <c r="U396" s="5">
        <f>_xlfn.XLOOKUP(CustomerCombined[[#This Row],[ID]], Table4[ID], Table4[Store], "Not Found", 0)</f>
        <v>11</v>
      </c>
      <c r="V396" s="5">
        <f>_xlfn.XLOOKUP(CustomerCombined[[#This Row],[ID]], Table4[ID], Table4[Visits], "Not Found", 0)</f>
        <v>6</v>
      </c>
      <c r="W396" s="8">
        <f>_xlfn.XLOOKUP(CustomerCombined[[#This Row],[ID]], Table2[ID],Table2[Complaint], "Not Found", 0 )</f>
        <v>0</v>
      </c>
      <c r="X396" s="8">
        <f>_xlfn.XLOOKUP(CustomerCombined[[#This Row],[ID]], Table2[ID],Table2[Pilot], "Not Found", 0 )</f>
        <v>0</v>
      </c>
      <c r="Y396" s="8">
        <f>_xlfn.XLOOKUP(CustomerCombined[[#This Row],[ID]], Table2[ID],Table2[MC1], "Not Found", 0 )</f>
        <v>0</v>
      </c>
      <c r="Z396" s="8">
        <f>_xlfn.XLOOKUP(CustomerCombined[[#This Row],[ID]], Table2[ID],Table2[MC2], "Not Found", 0 )</f>
        <v>0</v>
      </c>
      <c r="AA396" s="8">
        <f>_xlfn.XLOOKUP(CustomerCombined[[#This Row],[ID]], Table2[ID],Table2[MC3], "Not Found", 0 )</f>
        <v>0</v>
      </c>
      <c r="AB396" s="8">
        <f>_xlfn.XLOOKUP(CustomerCombined[[#This Row],[ID]], Table2[ID],Table2[MC4], "Not Found", 0 )</f>
        <v>0</v>
      </c>
      <c r="AC396" s="8">
        <f>_xlfn.XLOOKUP(CustomerCombined[[#This Row],[ID]], Table2[ID],Table2[MC5], "Not Found", 0 )</f>
        <v>0</v>
      </c>
    </row>
    <row r="397" spans="1:29" x14ac:dyDescent="0.3">
      <c r="A397" s="6">
        <v>2974</v>
      </c>
      <c r="B397" s="6">
        <v>167506</v>
      </c>
      <c r="C397" s="6">
        <v>0</v>
      </c>
      <c r="D397" s="6">
        <v>1</v>
      </c>
      <c r="E397" s="6">
        <v>40</v>
      </c>
      <c r="F397" s="5" t="s">
        <v>7</v>
      </c>
      <c r="G397" s="5" t="s">
        <v>442</v>
      </c>
      <c r="H397" s="3">
        <v>44049</v>
      </c>
      <c r="I397" s="5" t="s">
        <v>439</v>
      </c>
      <c r="J397" s="5">
        <f>_xlfn.XLOOKUP(CustomerCombined[[#This Row],[ID]], Table4[ID], Table4[Recency], "Not Found", 0)</f>
        <v>73</v>
      </c>
      <c r="K397" s="5">
        <f>_xlfn.XLOOKUP(CustomerCombined[[#This Row],[ID]], Table4[ID], Table4[Teas], "Not Found", 0)</f>
        <v>223</v>
      </c>
      <c r="L397" s="5">
        <f>_xlfn.XLOOKUP(CustomerCombined[[#This Row],[ID]], Table4[ID], Table4[Fruits], "Not Found", 0)</f>
        <v>94</v>
      </c>
      <c r="M397" s="5">
        <f>_xlfn.XLOOKUP(CustomerCombined[[#This Row],[ID]], Table4[ID], Table4[Meats], "Not Found", 0)</f>
        <v>166</v>
      </c>
      <c r="N397" s="5">
        <f>_xlfn.XLOOKUP(CustomerCombined[[#This Row],[ID]], Table4[ID], Table4[Seafood], "Not Found", 0)</f>
        <v>82</v>
      </c>
      <c r="O397" s="5">
        <f>_xlfn.XLOOKUP(CustomerCombined[[#This Row],[ID]], Table4[ID], Table4[Sweets], "Not Found", 0)</f>
        <v>89</v>
      </c>
      <c r="P397" s="5">
        <f>_xlfn.XLOOKUP(CustomerCombined[[#This Row],[ID]], Table4[ID], Table4[Premium], "Not Found", 0)</f>
        <v>166</v>
      </c>
      <c r="Q397" s="5">
        <f>_xlfn.XLOOKUP(CustomerCombined[[#This Row],[ID]], Table4[ID], Table4[Regular], "Not Found", 0)</f>
        <v>489</v>
      </c>
      <c r="R397" s="5">
        <f>_xlfn.XLOOKUP(CustomerCombined[[#This Row],[ID]], Table4[ID], Table4[Deals], "Not Found", 0)</f>
        <v>1</v>
      </c>
      <c r="S397" s="5">
        <f>_xlfn.XLOOKUP(CustomerCombined[[#This Row],[ID]], Table4[ID], Table4[Website], "Not Found", 0)</f>
        <v>4</v>
      </c>
      <c r="T397" s="5">
        <f>_xlfn.XLOOKUP(CustomerCombined[[#This Row],[ID]], Table4[ID], Table4[Catalog], "Not Found", 0)</f>
        <v>1</v>
      </c>
      <c r="U397" s="5">
        <f>_xlfn.XLOOKUP(CustomerCombined[[#This Row],[ID]], Table4[ID], Table4[Store], "Not Found", 0)</f>
        <v>6</v>
      </c>
      <c r="V397" s="5">
        <f>_xlfn.XLOOKUP(CustomerCombined[[#This Row],[ID]], Table4[ID], Table4[Visits], "Not Found", 0)</f>
        <v>3</v>
      </c>
      <c r="W397" s="8">
        <f>_xlfn.XLOOKUP(CustomerCombined[[#This Row],[ID]], Table2[ID],Table2[Complaint], "Not Found", 0 )</f>
        <v>0</v>
      </c>
      <c r="X397" s="8">
        <f>_xlfn.XLOOKUP(CustomerCombined[[#This Row],[ID]], Table2[ID],Table2[Pilot], "Not Found", 0 )</f>
        <v>0</v>
      </c>
      <c r="Y397" s="8">
        <f>_xlfn.XLOOKUP(CustomerCombined[[#This Row],[ID]], Table2[ID],Table2[MC1], "Not Found", 0 )</f>
        <v>0</v>
      </c>
      <c r="Z397" s="8">
        <f>_xlfn.XLOOKUP(CustomerCombined[[#This Row],[ID]], Table2[ID],Table2[MC2], "Not Found", 0 )</f>
        <v>0</v>
      </c>
      <c r="AA397" s="8">
        <f>_xlfn.XLOOKUP(CustomerCombined[[#This Row],[ID]], Table2[ID],Table2[MC3], "Not Found", 0 )</f>
        <v>0</v>
      </c>
      <c r="AB397" s="8">
        <f>_xlfn.XLOOKUP(CustomerCombined[[#This Row],[ID]], Table2[ID],Table2[MC4], "Not Found", 0 )</f>
        <v>0</v>
      </c>
      <c r="AC397" s="8">
        <f>_xlfn.XLOOKUP(CustomerCombined[[#This Row],[ID]], Table2[ID],Table2[MC5], "Not Found", 0 )</f>
        <v>0</v>
      </c>
    </row>
    <row r="398" spans="1:29" x14ac:dyDescent="0.3">
      <c r="A398" s="6">
        <v>1661</v>
      </c>
      <c r="B398" s="6">
        <v>165295</v>
      </c>
      <c r="C398" s="6">
        <v>0</v>
      </c>
      <c r="D398" s="6">
        <v>0</v>
      </c>
      <c r="E398" s="6">
        <v>40</v>
      </c>
      <c r="F398" s="5" t="s">
        <v>7</v>
      </c>
      <c r="G398" s="5" t="s">
        <v>13</v>
      </c>
      <c r="H398" s="3" t="s">
        <v>125</v>
      </c>
      <c r="I398" s="5" t="s">
        <v>434</v>
      </c>
      <c r="J398" s="5">
        <f>_xlfn.XLOOKUP(CustomerCombined[[#This Row],[ID]], Table4[ID], Table4[Recency], "Not Found", 0)</f>
        <v>19</v>
      </c>
      <c r="K398" s="5">
        <f>_xlfn.XLOOKUP(CustomerCombined[[#This Row],[ID]], Table4[ID], Table4[Teas], "Not Found", 0)</f>
        <v>924</v>
      </c>
      <c r="L398" s="5">
        <f>_xlfn.XLOOKUP(CustomerCombined[[#This Row],[ID]], Table4[ID], Table4[Fruits], "Not Found", 0)</f>
        <v>81</v>
      </c>
      <c r="M398" s="5">
        <f>_xlfn.XLOOKUP(CustomerCombined[[#This Row],[ID]], Table4[ID], Table4[Meats], "Not Found", 0)</f>
        <v>296</v>
      </c>
      <c r="N398" s="5">
        <f>_xlfn.XLOOKUP(CustomerCombined[[#This Row],[ID]], Table4[ID], Table4[Seafood], "Not Found", 0)</f>
        <v>86</v>
      </c>
      <c r="O398" s="5">
        <f>_xlfn.XLOOKUP(CustomerCombined[[#This Row],[ID]], Table4[ID], Table4[Sweets], "Not Found", 0)</f>
        <v>278</v>
      </c>
      <c r="P398" s="5">
        <f>_xlfn.XLOOKUP(CustomerCombined[[#This Row],[ID]], Table4[ID], Table4[Premium], "Not Found", 0)</f>
        <v>15</v>
      </c>
      <c r="Q398" s="5">
        <f>_xlfn.XLOOKUP(CustomerCombined[[#This Row],[ID]], Table4[ID], Table4[Regular], "Not Found", 0)</f>
        <v>1651</v>
      </c>
      <c r="R398" s="5">
        <f>_xlfn.XLOOKUP(CustomerCombined[[#This Row],[ID]], Table4[ID], Table4[Deals], "Not Found", 0)</f>
        <v>1</v>
      </c>
      <c r="S398" s="5">
        <f>_xlfn.XLOOKUP(CustomerCombined[[#This Row],[ID]], Table4[ID], Table4[Website], "Not Found", 0)</f>
        <v>3</v>
      </c>
      <c r="T398" s="5">
        <f>_xlfn.XLOOKUP(CustomerCombined[[#This Row],[ID]], Table4[ID], Table4[Catalog], "Not Found", 0)</f>
        <v>3</v>
      </c>
      <c r="U398" s="5">
        <f>_xlfn.XLOOKUP(CustomerCombined[[#This Row],[ID]], Table4[ID], Table4[Store], "Not Found", 0)</f>
        <v>13</v>
      </c>
      <c r="V398" s="5">
        <f>_xlfn.XLOOKUP(CustomerCombined[[#This Row],[ID]], Table4[ID], Table4[Visits], "Not Found", 0)</f>
        <v>2</v>
      </c>
      <c r="W398" s="8">
        <f>_xlfn.XLOOKUP(CustomerCombined[[#This Row],[ID]], Table2[ID],Table2[Complaint], "Not Found", 0 )</f>
        <v>0</v>
      </c>
      <c r="X398" s="8">
        <f>_xlfn.XLOOKUP(CustomerCombined[[#This Row],[ID]], Table2[ID],Table2[Pilot], "Not Found", 0 )</f>
        <v>0</v>
      </c>
      <c r="Y398" s="8">
        <f>_xlfn.XLOOKUP(CustomerCombined[[#This Row],[ID]], Table2[ID],Table2[MC1], "Not Found", 0 )</f>
        <v>0</v>
      </c>
      <c r="Z398" s="8">
        <f>_xlfn.XLOOKUP(CustomerCombined[[#This Row],[ID]], Table2[ID],Table2[MC2], "Not Found", 0 )</f>
        <v>0</v>
      </c>
      <c r="AA398" s="8">
        <f>_xlfn.XLOOKUP(CustomerCombined[[#This Row],[ID]], Table2[ID],Table2[MC3], "Not Found", 0 )</f>
        <v>0</v>
      </c>
      <c r="AB398" s="8">
        <f>_xlfn.XLOOKUP(CustomerCombined[[#This Row],[ID]], Table2[ID],Table2[MC4], "Not Found", 0 )</f>
        <v>0</v>
      </c>
      <c r="AC398" s="8">
        <f>_xlfn.XLOOKUP(CustomerCombined[[#This Row],[ID]], Table2[ID],Table2[MC5], "Not Found", 0 )</f>
        <v>0</v>
      </c>
    </row>
    <row r="399" spans="1:29" x14ac:dyDescent="0.3">
      <c r="A399" s="6">
        <v>3129</v>
      </c>
      <c r="B399" s="6">
        <v>162994</v>
      </c>
      <c r="C399" s="6">
        <v>1</v>
      </c>
      <c r="D399" s="6">
        <v>0</v>
      </c>
      <c r="E399" s="6">
        <v>40</v>
      </c>
      <c r="F399" s="5" t="s">
        <v>8</v>
      </c>
      <c r="G399" s="5" t="s">
        <v>11</v>
      </c>
      <c r="H399" s="3">
        <v>44051</v>
      </c>
      <c r="I399" s="5" t="s">
        <v>435</v>
      </c>
      <c r="J399" s="5">
        <f>_xlfn.XLOOKUP(CustomerCombined[[#This Row],[ID]], Table4[ID], Table4[Recency], "Not Found", 0)</f>
        <v>74</v>
      </c>
      <c r="K399" s="5">
        <f>_xlfn.XLOOKUP(CustomerCombined[[#This Row],[ID]], Table4[ID], Table4[Teas], "Not Found", 0)</f>
        <v>580</v>
      </c>
      <c r="L399" s="5">
        <f>_xlfn.XLOOKUP(CustomerCombined[[#This Row],[ID]], Table4[ID], Table4[Fruits], "Not Found", 0)</f>
        <v>31</v>
      </c>
      <c r="M399" s="5">
        <f>_xlfn.XLOOKUP(CustomerCombined[[#This Row],[ID]], Table4[ID], Table4[Meats], "Not Found", 0)</f>
        <v>124</v>
      </c>
      <c r="N399" s="5">
        <f>_xlfn.XLOOKUP(CustomerCombined[[#This Row],[ID]], Table4[ID], Table4[Seafood], "Not Found", 0)</f>
        <v>10</v>
      </c>
      <c r="O399" s="5">
        <f>_xlfn.XLOOKUP(CustomerCombined[[#This Row],[ID]], Table4[ID], Table4[Sweets], "Not Found", 0)</f>
        <v>31</v>
      </c>
      <c r="P399" s="5">
        <f>_xlfn.XLOOKUP(CustomerCombined[[#This Row],[ID]], Table4[ID], Table4[Premium], "Not Found", 0)</f>
        <v>31</v>
      </c>
      <c r="Q399" s="5">
        <f>_xlfn.XLOOKUP(CustomerCombined[[#This Row],[ID]], Table4[ID], Table4[Regular], "Not Found", 0)</f>
        <v>745</v>
      </c>
      <c r="R399" s="5">
        <f>_xlfn.XLOOKUP(CustomerCombined[[#This Row],[ID]], Table4[ID], Table4[Deals], "Not Found", 0)</f>
        <v>1</v>
      </c>
      <c r="S399" s="5">
        <f>_xlfn.XLOOKUP(CustomerCombined[[#This Row],[ID]], Table4[ID], Table4[Website], "Not Found", 0)</f>
        <v>6</v>
      </c>
      <c r="T399" s="5">
        <f>_xlfn.XLOOKUP(CustomerCombined[[#This Row],[ID]], Table4[ID], Table4[Catalog], "Not Found", 0)</f>
        <v>2</v>
      </c>
      <c r="U399" s="5">
        <f>_xlfn.XLOOKUP(CustomerCombined[[#This Row],[ID]], Table4[ID], Table4[Store], "Not Found", 0)</f>
        <v>4</v>
      </c>
      <c r="V399" s="5">
        <f>_xlfn.XLOOKUP(CustomerCombined[[#This Row],[ID]], Table4[ID], Table4[Visits], "Not Found", 0)</f>
        <v>6</v>
      </c>
      <c r="W399" s="8">
        <f>_xlfn.XLOOKUP(CustomerCombined[[#This Row],[ID]], Table2[ID],Table2[Complaint], "Not Found", 0 )</f>
        <v>0</v>
      </c>
      <c r="X399" s="8">
        <f>_xlfn.XLOOKUP(CustomerCombined[[#This Row],[ID]], Table2[ID],Table2[Pilot], "Not Found", 0 )</f>
        <v>0</v>
      </c>
      <c r="Y399" s="8">
        <f>_xlfn.XLOOKUP(CustomerCombined[[#This Row],[ID]], Table2[ID],Table2[MC1], "Not Found", 0 )</f>
        <v>0</v>
      </c>
      <c r="Z399" s="8">
        <f>_xlfn.XLOOKUP(CustomerCombined[[#This Row],[ID]], Table2[ID],Table2[MC2], "Not Found", 0 )</f>
        <v>0</v>
      </c>
      <c r="AA399" s="8">
        <f>_xlfn.XLOOKUP(CustomerCombined[[#This Row],[ID]], Table2[ID],Table2[MC3], "Not Found", 0 )</f>
        <v>0</v>
      </c>
      <c r="AB399" s="8">
        <f>_xlfn.XLOOKUP(CustomerCombined[[#This Row],[ID]], Table2[ID],Table2[MC4], "Not Found", 0 )</f>
        <v>0</v>
      </c>
      <c r="AC399" s="8">
        <f>_xlfn.XLOOKUP(CustomerCombined[[#This Row],[ID]], Table2[ID],Table2[MC5], "Not Found", 0 )</f>
        <v>0</v>
      </c>
    </row>
    <row r="400" spans="1:29" x14ac:dyDescent="0.3">
      <c r="A400" s="6">
        <v>3174</v>
      </c>
      <c r="B400" s="6">
        <v>161014</v>
      </c>
      <c r="C400" s="6">
        <v>0</v>
      </c>
      <c r="D400" s="6">
        <v>1</v>
      </c>
      <c r="E400" s="6">
        <v>40</v>
      </c>
      <c r="F400" s="5" t="s">
        <v>6</v>
      </c>
      <c r="G400" s="5" t="s">
        <v>11</v>
      </c>
      <c r="H400" s="3" t="s">
        <v>417</v>
      </c>
      <c r="I400" s="5" t="s">
        <v>436</v>
      </c>
      <c r="J400" s="5">
        <f>_xlfn.XLOOKUP(CustomerCombined[[#This Row],[ID]], Table4[ID], Table4[Recency], "Not Found", 0)</f>
        <v>17</v>
      </c>
      <c r="K400" s="5">
        <f>_xlfn.XLOOKUP(CustomerCombined[[#This Row],[ID]], Table4[ID], Table4[Teas], "Not Found", 0)</f>
        <v>710</v>
      </c>
      <c r="L400" s="5">
        <f>_xlfn.XLOOKUP(CustomerCombined[[#This Row],[ID]], Table4[ID], Table4[Fruits], "Not Found", 0)</f>
        <v>340</v>
      </c>
      <c r="M400" s="5">
        <f>_xlfn.XLOOKUP(CustomerCombined[[#This Row],[ID]], Table4[ID], Table4[Meats], "Not Found", 0)</f>
        <v>1306</v>
      </c>
      <c r="N400" s="5">
        <f>_xlfn.XLOOKUP(CustomerCombined[[#This Row],[ID]], Table4[ID], Table4[Seafood], "Not Found", 0)</f>
        <v>480</v>
      </c>
      <c r="O400" s="5">
        <f>_xlfn.XLOOKUP(CustomerCombined[[#This Row],[ID]], Table4[ID], Table4[Sweets], "Not Found", 0)</f>
        <v>113</v>
      </c>
      <c r="P400" s="5">
        <f>_xlfn.XLOOKUP(CustomerCombined[[#This Row],[ID]], Table4[ID], Table4[Premium], "Not Found", 0)</f>
        <v>77</v>
      </c>
      <c r="Q400" s="5">
        <f>_xlfn.XLOOKUP(CustomerCombined[[#This Row],[ID]], Table4[ID], Table4[Regular], "Not Found", 0)</f>
        <v>2874</v>
      </c>
      <c r="R400" s="5">
        <f>_xlfn.XLOOKUP(CustomerCombined[[#This Row],[ID]], Table4[ID], Table4[Deals], "Not Found", 0)</f>
        <v>4</v>
      </c>
      <c r="S400" s="5">
        <f>_xlfn.XLOOKUP(CustomerCombined[[#This Row],[ID]], Table4[ID], Table4[Website], "Not Found", 0)</f>
        <v>9</v>
      </c>
      <c r="T400" s="5">
        <f>_xlfn.XLOOKUP(CustomerCombined[[#This Row],[ID]], Table4[ID], Table4[Catalog], "Not Found", 0)</f>
        <v>3</v>
      </c>
      <c r="U400" s="5">
        <f>_xlfn.XLOOKUP(CustomerCombined[[#This Row],[ID]], Table4[ID], Table4[Store], "Not Found", 0)</f>
        <v>4</v>
      </c>
      <c r="V400" s="5">
        <f>_xlfn.XLOOKUP(CustomerCombined[[#This Row],[ID]], Table4[ID], Table4[Visits], "Not Found", 0)</f>
        <v>7</v>
      </c>
      <c r="W400" s="8">
        <f>_xlfn.XLOOKUP(CustomerCombined[[#This Row],[ID]], Table2[ID],Table2[Complaint], "Not Found", 0 )</f>
        <v>0</v>
      </c>
      <c r="X400" s="8">
        <f>_xlfn.XLOOKUP(CustomerCombined[[#This Row],[ID]], Table2[ID],Table2[Pilot], "Not Found", 0 )</f>
        <v>0</v>
      </c>
      <c r="Y400" s="8">
        <f>_xlfn.XLOOKUP(CustomerCombined[[#This Row],[ID]], Table2[ID],Table2[MC1], "Not Found", 0 )</f>
        <v>0</v>
      </c>
      <c r="Z400" s="8">
        <f>_xlfn.XLOOKUP(CustomerCombined[[#This Row],[ID]], Table2[ID],Table2[MC2], "Not Found", 0 )</f>
        <v>0</v>
      </c>
      <c r="AA400" s="8">
        <f>_xlfn.XLOOKUP(CustomerCombined[[#This Row],[ID]], Table2[ID],Table2[MC3], "Not Found", 0 )</f>
        <v>0</v>
      </c>
      <c r="AB400" s="8">
        <f>_xlfn.XLOOKUP(CustomerCombined[[#This Row],[ID]], Table2[ID],Table2[MC4], "Not Found", 0 )</f>
        <v>0</v>
      </c>
      <c r="AC400" s="8">
        <f>_xlfn.XLOOKUP(CustomerCombined[[#This Row],[ID]], Table2[ID],Table2[MC5], "Not Found", 0 )</f>
        <v>0</v>
      </c>
    </row>
    <row r="401" spans="1:29" x14ac:dyDescent="0.3">
      <c r="A401" s="6">
        <v>2491</v>
      </c>
      <c r="B401" s="6">
        <v>151766</v>
      </c>
      <c r="C401" s="6">
        <v>1</v>
      </c>
      <c r="D401" s="6">
        <v>0</v>
      </c>
      <c r="E401" s="6">
        <v>40</v>
      </c>
      <c r="F401" s="5" t="s">
        <v>7</v>
      </c>
      <c r="G401" s="5" t="s">
        <v>11</v>
      </c>
      <c r="H401" s="3" t="s">
        <v>88</v>
      </c>
      <c r="I401" s="5" t="s">
        <v>437</v>
      </c>
      <c r="J401" s="5">
        <f>_xlfn.XLOOKUP(CustomerCombined[[#This Row],[ID]], Table4[ID], Table4[Recency], "Not Found", 0)</f>
        <v>74</v>
      </c>
      <c r="K401" s="5">
        <f>_xlfn.XLOOKUP(CustomerCombined[[#This Row],[ID]], Table4[ID], Table4[Teas], "Not Found", 0)</f>
        <v>176</v>
      </c>
      <c r="L401" s="5">
        <f>_xlfn.XLOOKUP(CustomerCombined[[#This Row],[ID]], Table4[ID], Table4[Fruits], "Not Found", 0)</f>
        <v>150</v>
      </c>
      <c r="M401" s="5">
        <f>_xlfn.XLOOKUP(CustomerCombined[[#This Row],[ID]], Table4[ID], Table4[Meats], "Not Found", 0)</f>
        <v>255</v>
      </c>
      <c r="N401" s="5">
        <f>_xlfn.XLOOKUP(CustomerCombined[[#This Row],[ID]], Table4[ID], Table4[Seafood], "Not Found", 0)</f>
        <v>18</v>
      </c>
      <c r="O401" s="5">
        <f>_xlfn.XLOOKUP(CustomerCombined[[#This Row],[ID]], Table4[ID], Table4[Sweets], "Not Found", 0)</f>
        <v>59</v>
      </c>
      <c r="P401" s="5">
        <f>_xlfn.XLOOKUP(CustomerCombined[[#This Row],[ID]], Table4[ID], Table4[Premium], "Not Found", 0)</f>
        <v>150</v>
      </c>
      <c r="Q401" s="5">
        <f>_xlfn.XLOOKUP(CustomerCombined[[#This Row],[ID]], Table4[ID], Table4[Regular], "Not Found", 0)</f>
        <v>507</v>
      </c>
      <c r="R401" s="5">
        <f>_xlfn.XLOOKUP(CustomerCombined[[#This Row],[ID]], Table4[ID], Table4[Deals], "Not Found", 0)</f>
        <v>2</v>
      </c>
      <c r="S401" s="5">
        <f>_xlfn.XLOOKUP(CustomerCombined[[#This Row],[ID]], Table4[ID], Table4[Website], "Not Found", 0)</f>
        <v>4</v>
      </c>
      <c r="T401" s="5">
        <f>_xlfn.XLOOKUP(CustomerCombined[[#This Row],[ID]], Table4[ID], Table4[Catalog], "Not Found", 0)</f>
        <v>2</v>
      </c>
      <c r="U401" s="5">
        <f>_xlfn.XLOOKUP(CustomerCombined[[#This Row],[ID]], Table4[ID], Table4[Store], "Not Found", 0)</f>
        <v>4</v>
      </c>
      <c r="V401" s="5">
        <f>_xlfn.XLOOKUP(CustomerCombined[[#This Row],[ID]], Table4[ID], Table4[Visits], "Not Found", 0)</f>
        <v>5</v>
      </c>
      <c r="W401" s="8">
        <f>_xlfn.XLOOKUP(CustomerCombined[[#This Row],[ID]], Table2[ID],Table2[Complaint], "Not Found", 0 )</f>
        <v>0</v>
      </c>
      <c r="X401" s="8">
        <f>_xlfn.XLOOKUP(CustomerCombined[[#This Row],[ID]], Table2[ID],Table2[Pilot], "Not Found", 0 )</f>
        <v>0</v>
      </c>
      <c r="Y401" s="8">
        <f>_xlfn.XLOOKUP(CustomerCombined[[#This Row],[ID]], Table2[ID],Table2[MC1], "Not Found", 0 )</f>
        <v>0</v>
      </c>
      <c r="Z401" s="8">
        <f>_xlfn.XLOOKUP(CustomerCombined[[#This Row],[ID]], Table2[ID],Table2[MC2], "Not Found", 0 )</f>
        <v>0</v>
      </c>
      <c r="AA401" s="8">
        <f>_xlfn.XLOOKUP(CustomerCombined[[#This Row],[ID]], Table2[ID],Table2[MC3], "Not Found", 0 )</f>
        <v>0</v>
      </c>
      <c r="AB401" s="8">
        <f>_xlfn.XLOOKUP(CustomerCombined[[#This Row],[ID]], Table2[ID],Table2[MC4], "Not Found", 0 )</f>
        <v>0</v>
      </c>
      <c r="AC401" s="8">
        <f>_xlfn.XLOOKUP(CustomerCombined[[#This Row],[ID]], Table2[ID],Table2[MC5], "Not Found", 0 )</f>
        <v>0</v>
      </c>
    </row>
    <row r="402" spans="1:29" x14ac:dyDescent="0.3">
      <c r="A402" s="6">
        <v>1945</v>
      </c>
      <c r="B402" s="6">
        <v>150183</v>
      </c>
      <c r="C402" s="6">
        <v>1</v>
      </c>
      <c r="D402" s="6">
        <v>1</v>
      </c>
      <c r="E402" s="6">
        <v>40</v>
      </c>
      <c r="F402" s="5" t="s">
        <v>6</v>
      </c>
      <c r="G402" s="5" t="s">
        <v>11</v>
      </c>
      <c r="H402" s="3" t="s">
        <v>24</v>
      </c>
      <c r="I402" s="5" t="s">
        <v>437</v>
      </c>
      <c r="J402" s="5">
        <f>_xlfn.XLOOKUP(CustomerCombined[[#This Row],[ID]], Table4[ID], Table4[Recency], "Not Found", 0)</f>
        <v>47</v>
      </c>
      <c r="K402" s="5">
        <f>_xlfn.XLOOKUP(CustomerCombined[[#This Row],[ID]], Table4[ID], Table4[Teas], "Not Found", 0)</f>
        <v>290</v>
      </c>
      <c r="L402" s="5">
        <f>_xlfn.XLOOKUP(CustomerCombined[[#This Row],[ID]], Table4[ID], Table4[Fruits], "Not Found", 0)</f>
        <v>36</v>
      </c>
      <c r="M402" s="5">
        <f>_xlfn.XLOOKUP(CustomerCombined[[#This Row],[ID]], Table4[ID], Table4[Meats], "Not Found", 0)</f>
        <v>251</v>
      </c>
      <c r="N402" s="5">
        <f>_xlfn.XLOOKUP(CustomerCombined[[#This Row],[ID]], Table4[ID], Table4[Seafood], "Not Found", 0)</f>
        <v>39</v>
      </c>
      <c r="O402" s="5">
        <f>_xlfn.XLOOKUP(CustomerCombined[[#This Row],[ID]], Table4[ID], Table4[Sweets], "Not Found", 0)</f>
        <v>30</v>
      </c>
      <c r="P402" s="5">
        <f>_xlfn.XLOOKUP(CustomerCombined[[#This Row],[ID]], Table4[ID], Table4[Premium], "Not Found", 0)</f>
        <v>45</v>
      </c>
      <c r="Q402" s="5">
        <f>_xlfn.XLOOKUP(CustomerCombined[[#This Row],[ID]], Table4[ID], Table4[Regular], "Not Found", 0)</f>
        <v>602</v>
      </c>
      <c r="R402" s="5">
        <f>_xlfn.XLOOKUP(CustomerCombined[[#This Row],[ID]], Table4[ID], Table4[Deals], "Not Found", 0)</f>
        <v>7</v>
      </c>
      <c r="S402" s="5">
        <f>_xlfn.XLOOKUP(CustomerCombined[[#This Row],[ID]], Table4[ID], Table4[Website], "Not Found", 0)</f>
        <v>3</v>
      </c>
      <c r="T402" s="5">
        <f>_xlfn.XLOOKUP(CustomerCombined[[#This Row],[ID]], Table4[ID], Table4[Catalog], "Not Found", 0)</f>
        <v>1</v>
      </c>
      <c r="U402" s="5">
        <f>_xlfn.XLOOKUP(CustomerCombined[[#This Row],[ID]], Table4[ID], Table4[Store], "Not Found", 0)</f>
        <v>6</v>
      </c>
      <c r="V402" s="5">
        <f>_xlfn.XLOOKUP(CustomerCombined[[#This Row],[ID]], Table4[ID], Table4[Visits], "Not Found", 0)</f>
        <v>5</v>
      </c>
      <c r="W402" s="8">
        <f>_xlfn.XLOOKUP(CustomerCombined[[#This Row],[ID]], Table2[ID],Table2[Complaint], "Not Found", 0 )</f>
        <v>0</v>
      </c>
      <c r="X402" s="8">
        <f>_xlfn.XLOOKUP(CustomerCombined[[#This Row],[ID]], Table2[ID],Table2[Pilot], "Not Found", 0 )</f>
        <v>0</v>
      </c>
      <c r="Y402" s="8">
        <f>_xlfn.XLOOKUP(CustomerCombined[[#This Row],[ID]], Table2[ID],Table2[MC1], "Not Found", 0 )</f>
        <v>0</v>
      </c>
      <c r="Z402" s="8">
        <f>_xlfn.XLOOKUP(CustomerCombined[[#This Row],[ID]], Table2[ID],Table2[MC2], "Not Found", 0 )</f>
        <v>0</v>
      </c>
      <c r="AA402" s="8">
        <f>_xlfn.XLOOKUP(CustomerCombined[[#This Row],[ID]], Table2[ID],Table2[MC3], "Not Found", 0 )</f>
        <v>0</v>
      </c>
      <c r="AB402" s="8">
        <f>_xlfn.XLOOKUP(CustomerCombined[[#This Row],[ID]], Table2[ID],Table2[MC4], "Not Found", 0 )</f>
        <v>0</v>
      </c>
      <c r="AC402" s="8">
        <f>_xlfn.XLOOKUP(CustomerCombined[[#This Row],[ID]], Table2[ID],Table2[MC5], "Not Found", 0 )</f>
        <v>0</v>
      </c>
    </row>
    <row r="403" spans="1:29" x14ac:dyDescent="0.3">
      <c r="A403" s="6">
        <v>1531</v>
      </c>
      <c r="B403" s="6">
        <v>147850</v>
      </c>
      <c r="C403" s="6">
        <v>1</v>
      </c>
      <c r="D403" s="6">
        <v>0</v>
      </c>
      <c r="E403" s="6">
        <v>40</v>
      </c>
      <c r="F403" s="5" t="s">
        <v>6</v>
      </c>
      <c r="G403" s="5" t="s">
        <v>11</v>
      </c>
      <c r="H403" s="3">
        <v>44079</v>
      </c>
      <c r="I403" s="5" t="s">
        <v>437</v>
      </c>
      <c r="J403" s="5">
        <f>_xlfn.XLOOKUP(CustomerCombined[[#This Row],[ID]], Table4[ID], Table4[Recency], "Not Found", 0)</f>
        <v>72</v>
      </c>
      <c r="K403" s="5">
        <f>_xlfn.XLOOKUP(CustomerCombined[[#This Row],[ID]], Table4[ID], Table4[Teas], "Not Found", 0)</f>
        <v>130</v>
      </c>
      <c r="L403" s="5">
        <f>_xlfn.XLOOKUP(CustomerCombined[[#This Row],[ID]], Table4[ID], Table4[Fruits], "Not Found", 0)</f>
        <v>22</v>
      </c>
      <c r="M403" s="5">
        <f>_xlfn.XLOOKUP(CustomerCombined[[#This Row],[ID]], Table4[ID], Table4[Meats], "Not Found", 0)</f>
        <v>133</v>
      </c>
      <c r="N403" s="5">
        <f>_xlfn.XLOOKUP(CustomerCombined[[#This Row],[ID]], Table4[ID], Table4[Seafood], "Not Found", 0)</f>
        <v>62</v>
      </c>
      <c r="O403" s="5">
        <f>_xlfn.XLOOKUP(CustomerCombined[[#This Row],[ID]], Table4[ID], Table4[Sweets], "Not Found", 0)</f>
        <v>37</v>
      </c>
      <c r="P403" s="5">
        <f>_xlfn.XLOOKUP(CustomerCombined[[#This Row],[ID]], Table4[ID], Table4[Premium], "Not Found", 0)</f>
        <v>31</v>
      </c>
      <c r="Q403" s="5">
        <f>_xlfn.XLOOKUP(CustomerCombined[[#This Row],[ID]], Table4[ID], Table4[Regular], "Not Found", 0)</f>
        <v>352</v>
      </c>
      <c r="R403" s="5">
        <f>_xlfn.XLOOKUP(CustomerCombined[[#This Row],[ID]], Table4[ID], Table4[Deals], "Not Found", 0)</f>
        <v>1</v>
      </c>
      <c r="S403" s="5">
        <f>_xlfn.XLOOKUP(CustomerCombined[[#This Row],[ID]], Table4[ID], Table4[Website], "Not Found", 0)</f>
        <v>3</v>
      </c>
      <c r="T403" s="5">
        <f>_xlfn.XLOOKUP(CustomerCombined[[#This Row],[ID]], Table4[ID], Table4[Catalog], "Not Found", 0)</f>
        <v>0</v>
      </c>
      <c r="U403" s="5">
        <f>_xlfn.XLOOKUP(CustomerCombined[[#This Row],[ID]], Table4[ID], Table4[Store], "Not Found", 0)</f>
        <v>4</v>
      </c>
      <c r="V403" s="5">
        <f>_xlfn.XLOOKUP(CustomerCombined[[#This Row],[ID]], Table4[ID], Table4[Visits], "Not Found", 0)</f>
        <v>6</v>
      </c>
      <c r="W403" s="8">
        <f>_xlfn.XLOOKUP(CustomerCombined[[#This Row],[ID]], Table2[ID],Table2[Complaint], "Not Found", 0 )</f>
        <v>0</v>
      </c>
      <c r="X403" s="8">
        <f>_xlfn.XLOOKUP(CustomerCombined[[#This Row],[ID]], Table2[ID],Table2[Pilot], "Not Found", 0 )</f>
        <v>0</v>
      </c>
      <c r="Y403" s="8">
        <f>_xlfn.XLOOKUP(CustomerCombined[[#This Row],[ID]], Table2[ID],Table2[MC1], "Not Found", 0 )</f>
        <v>0</v>
      </c>
      <c r="Z403" s="8">
        <f>_xlfn.XLOOKUP(CustomerCombined[[#This Row],[ID]], Table2[ID],Table2[MC2], "Not Found", 0 )</f>
        <v>0</v>
      </c>
      <c r="AA403" s="8">
        <f>_xlfn.XLOOKUP(CustomerCombined[[#This Row],[ID]], Table2[ID],Table2[MC3], "Not Found", 0 )</f>
        <v>0</v>
      </c>
      <c r="AB403" s="8">
        <f>_xlfn.XLOOKUP(CustomerCombined[[#This Row],[ID]], Table2[ID],Table2[MC4], "Not Found", 0 )</f>
        <v>0</v>
      </c>
      <c r="AC403" s="8">
        <f>_xlfn.XLOOKUP(CustomerCombined[[#This Row],[ID]], Table2[ID],Table2[MC5], "Not Found", 0 )</f>
        <v>0</v>
      </c>
    </row>
    <row r="404" spans="1:29" x14ac:dyDescent="0.3">
      <c r="A404" s="6">
        <v>1819</v>
      </c>
      <c r="B404" s="6">
        <v>145889</v>
      </c>
      <c r="C404" s="6">
        <v>0</v>
      </c>
      <c r="D404" s="6">
        <v>1</v>
      </c>
      <c r="E404" s="6">
        <v>40</v>
      </c>
      <c r="F404" s="5" t="s">
        <v>7</v>
      </c>
      <c r="G404" s="5" t="s">
        <v>442</v>
      </c>
      <c r="H404" s="3">
        <v>43658</v>
      </c>
      <c r="I404" s="5" t="s">
        <v>437</v>
      </c>
      <c r="J404" s="5">
        <f>_xlfn.XLOOKUP(CustomerCombined[[#This Row],[ID]], Table4[ID], Table4[Recency], "Not Found", 0)</f>
        <v>42</v>
      </c>
      <c r="K404" s="5">
        <f>_xlfn.XLOOKUP(CustomerCombined[[#This Row],[ID]], Table4[ID], Table4[Teas], "Not Found", 0)</f>
        <v>99</v>
      </c>
      <c r="L404" s="5">
        <f>_xlfn.XLOOKUP(CustomerCombined[[#This Row],[ID]], Table4[ID], Table4[Fruits], "Not Found", 0)</f>
        <v>0</v>
      </c>
      <c r="M404" s="5">
        <f>_xlfn.XLOOKUP(CustomerCombined[[#This Row],[ID]], Table4[ID], Table4[Meats], "Not Found", 0)</f>
        <v>19</v>
      </c>
      <c r="N404" s="5">
        <f>_xlfn.XLOOKUP(CustomerCombined[[#This Row],[ID]], Table4[ID], Table4[Seafood], "Not Found", 0)</f>
        <v>0</v>
      </c>
      <c r="O404" s="5">
        <f>_xlfn.XLOOKUP(CustomerCombined[[#This Row],[ID]], Table4[ID], Table4[Sweets], "Not Found", 0)</f>
        <v>3</v>
      </c>
      <c r="P404" s="5">
        <f>_xlfn.XLOOKUP(CustomerCombined[[#This Row],[ID]], Table4[ID], Table4[Premium], "Not Found", 0)</f>
        <v>25</v>
      </c>
      <c r="Q404" s="5">
        <f>_xlfn.XLOOKUP(CustomerCombined[[#This Row],[ID]], Table4[ID], Table4[Regular], "Not Found", 0)</f>
        <v>95</v>
      </c>
      <c r="R404" s="5">
        <f>_xlfn.XLOOKUP(CustomerCombined[[#This Row],[ID]], Table4[ID], Table4[Deals], "Not Found", 0)</f>
        <v>1</v>
      </c>
      <c r="S404" s="5">
        <f>_xlfn.XLOOKUP(CustomerCombined[[#This Row],[ID]], Table4[ID], Table4[Website], "Not Found", 0)</f>
        <v>1</v>
      </c>
      <c r="T404" s="5">
        <f>_xlfn.XLOOKUP(CustomerCombined[[#This Row],[ID]], Table4[ID], Table4[Catalog], "Not Found", 0)</f>
        <v>0</v>
      </c>
      <c r="U404" s="5">
        <f>_xlfn.XLOOKUP(CustomerCombined[[#This Row],[ID]], Table4[ID], Table4[Store], "Not Found", 0)</f>
        <v>3</v>
      </c>
      <c r="V404" s="5">
        <f>_xlfn.XLOOKUP(CustomerCombined[[#This Row],[ID]], Table4[ID], Table4[Visits], "Not Found", 0)</f>
        <v>6</v>
      </c>
      <c r="W404" s="8">
        <f>_xlfn.XLOOKUP(CustomerCombined[[#This Row],[ID]], Table2[ID],Table2[Complaint], "Not Found", 0 )</f>
        <v>0</v>
      </c>
      <c r="X404" s="8">
        <f>_xlfn.XLOOKUP(CustomerCombined[[#This Row],[ID]], Table2[ID],Table2[Pilot], "Not Found", 0 )</f>
        <v>0</v>
      </c>
      <c r="Y404" s="8">
        <f>_xlfn.XLOOKUP(CustomerCombined[[#This Row],[ID]], Table2[ID],Table2[MC1], "Not Found", 0 )</f>
        <v>0</v>
      </c>
      <c r="Z404" s="8">
        <f>_xlfn.XLOOKUP(CustomerCombined[[#This Row],[ID]], Table2[ID],Table2[MC2], "Not Found", 0 )</f>
        <v>0</v>
      </c>
      <c r="AA404" s="8">
        <f>_xlfn.XLOOKUP(CustomerCombined[[#This Row],[ID]], Table2[ID],Table2[MC3], "Not Found", 0 )</f>
        <v>0</v>
      </c>
      <c r="AB404" s="8">
        <f>_xlfn.XLOOKUP(CustomerCombined[[#This Row],[ID]], Table2[ID],Table2[MC4], "Not Found", 0 )</f>
        <v>0</v>
      </c>
      <c r="AC404" s="8">
        <f>_xlfn.XLOOKUP(CustomerCombined[[#This Row],[ID]], Table2[ID],Table2[MC5], "Not Found", 0 )</f>
        <v>0</v>
      </c>
    </row>
    <row r="405" spans="1:29" x14ac:dyDescent="0.3">
      <c r="A405" s="6">
        <v>2364</v>
      </c>
      <c r="B405" s="6">
        <v>144964</v>
      </c>
      <c r="C405" s="6">
        <v>1</v>
      </c>
      <c r="D405" s="6">
        <v>1</v>
      </c>
      <c r="E405" s="6">
        <v>40</v>
      </c>
      <c r="F405" s="5" t="s">
        <v>8</v>
      </c>
      <c r="G405" s="5" t="s">
        <v>11</v>
      </c>
      <c r="H405" s="3" t="s">
        <v>343</v>
      </c>
      <c r="I405" s="5" t="s">
        <v>436</v>
      </c>
      <c r="J405" s="5">
        <f>_xlfn.XLOOKUP(CustomerCombined[[#This Row],[ID]], Table4[ID], Table4[Recency], "Not Found", 0)</f>
        <v>35</v>
      </c>
      <c r="K405" s="5">
        <f>_xlfn.XLOOKUP(CustomerCombined[[#This Row],[ID]], Table4[ID], Table4[Teas], "Not Found", 0)</f>
        <v>61</v>
      </c>
      <c r="L405" s="5">
        <f>_xlfn.XLOOKUP(CustomerCombined[[#This Row],[ID]], Table4[ID], Table4[Fruits], "Not Found", 0)</f>
        <v>3</v>
      </c>
      <c r="M405" s="5">
        <f>_xlfn.XLOOKUP(CustomerCombined[[#This Row],[ID]], Table4[ID], Table4[Meats], "Not Found", 0)</f>
        <v>55</v>
      </c>
      <c r="N405" s="5">
        <f>_xlfn.XLOOKUP(CustomerCombined[[#This Row],[ID]], Table4[ID], Table4[Seafood], "Not Found", 0)</f>
        <v>6</v>
      </c>
      <c r="O405" s="5">
        <f>_xlfn.XLOOKUP(CustomerCombined[[#This Row],[ID]], Table4[ID], Table4[Sweets], "Not Found", 0)</f>
        <v>0</v>
      </c>
      <c r="P405" s="5">
        <f>_xlfn.XLOOKUP(CustomerCombined[[#This Row],[ID]], Table4[ID], Table4[Premium], "Not Found", 0)</f>
        <v>6</v>
      </c>
      <c r="Q405" s="5">
        <f>_xlfn.XLOOKUP(CustomerCombined[[#This Row],[ID]], Table4[ID], Table4[Regular], "Not Found", 0)</f>
        <v>119</v>
      </c>
      <c r="R405" s="5">
        <f>_xlfn.XLOOKUP(CustomerCombined[[#This Row],[ID]], Table4[ID], Table4[Deals], "Not Found", 0)</f>
        <v>1</v>
      </c>
      <c r="S405" s="5">
        <f>_xlfn.XLOOKUP(CustomerCombined[[#This Row],[ID]], Table4[ID], Table4[Website], "Not Found", 0)</f>
        <v>1</v>
      </c>
      <c r="T405" s="5">
        <f>_xlfn.XLOOKUP(CustomerCombined[[#This Row],[ID]], Table4[ID], Table4[Catalog], "Not Found", 0)</f>
        <v>0</v>
      </c>
      <c r="U405" s="5">
        <f>_xlfn.XLOOKUP(CustomerCombined[[#This Row],[ID]], Table4[ID], Table4[Store], "Not Found", 0)</f>
        <v>3</v>
      </c>
      <c r="V405" s="5">
        <f>_xlfn.XLOOKUP(CustomerCombined[[#This Row],[ID]], Table4[ID], Table4[Visits], "Not Found", 0)</f>
        <v>8</v>
      </c>
      <c r="W405" s="8">
        <f>_xlfn.XLOOKUP(CustomerCombined[[#This Row],[ID]], Table2[ID],Table2[Complaint], "Not Found", 0 )</f>
        <v>0</v>
      </c>
      <c r="X405" s="8">
        <f>_xlfn.XLOOKUP(CustomerCombined[[#This Row],[ID]], Table2[ID],Table2[Pilot], "Not Found", 0 )</f>
        <v>0</v>
      </c>
      <c r="Y405" s="8">
        <f>_xlfn.XLOOKUP(CustomerCombined[[#This Row],[ID]], Table2[ID],Table2[MC1], "Not Found", 0 )</f>
        <v>0</v>
      </c>
      <c r="Z405" s="8">
        <f>_xlfn.XLOOKUP(CustomerCombined[[#This Row],[ID]], Table2[ID],Table2[MC2], "Not Found", 0 )</f>
        <v>0</v>
      </c>
      <c r="AA405" s="8">
        <f>_xlfn.XLOOKUP(CustomerCombined[[#This Row],[ID]], Table2[ID],Table2[MC3], "Not Found", 0 )</f>
        <v>0</v>
      </c>
      <c r="AB405" s="8">
        <f>_xlfn.XLOOKUP(CustomerCombined[[#This Row],[ID]], Table2[ID],Table2[MC4], "Not Found", 0 )</f>
        <v>0</v>
      </c>
      <c r="AC405" s="8">
        <f>_xlfn.XLOOKUP(CustomerCombined[[#This Row],[ID]], Table2[ID],Table2[MC5], "Not Found", 0 )</f>
        <v>0</v>
      </c>
    </row>
    <row r="406" spans="1:29" x14ac:dyDescent="0.3">
      <c r="A406" s="6">
        <v>1950</v>
      </c>
      <c r="B406" s="6">
        <v>144010</v>
      </c>
      <c r="C406" s="6">
        <v>1</v>
      </c>
      <c r="D406" s="6">
        <v>0</v>
      </c>
      <c r="E406" s="6">
        <v>40</v>
      </c>
      <c r="F406" s="5" t="s">
        <v>8</v>
      </c>
      <c r="G406" s="5" t="s">
        <v>11</v>
      </c>
      <c r="H406" s="3" t="s">
        <v>381</v>
      </c>
      <c r="I406" s="5" t="s">
        <v>436</v>
      </c>
      <c r="J406" s="5">
        <f>_xlfn.XLOOKUP(CustomerCombined[[#This Row],[ID]], Table4[ID], Table4[Recency], "Not Found", 0)</f>
        <v>46</v>
      </c>
      <c r="K406" s="5">
        <f>_xlfn.XLOOKUP(CustomerCombined[[#This Row],[ID]], Table4[ID], Table4[Teas], "Not Found", 0)</f>
        <v>609</v>
      </c>
      <c r="L406" s="5">
        <f>_xlfn.XLOOKUP(CustomerCombined[[#This Row],[ID]], Table4[ID], Table4[Fruits], "Not Found", 0)</f>
        <v>118</v>
      </c>
      <c r="M406" s="5">
        <f>_xlfn.XLOOKUP(CustomerCombined[[#This Row],[ID]], Table4[ID], Table4[Meats], "Not Found", 0)</f>
        <v>766</v>
      </c>
      <c r="N406" s="5">
        <f>_xlfn.XLOOKUP(CustomerCombined[[#This Row],[ID]], Table4[ID], Table4[Seafood], "Not Found", 0)</f>
        <v>281</v>
      </c>
      <c r="O406" s="5">
        <f>_xlfn.XLOOKUP(CustomerCombined[[#This Row],[ID]], Table4[ID], Table4[Sweets], "Not Found", 0)</f>
        <v>236</v>
      </c>
      <c r="P406" s="5">
        <f>_xlfn.XLOOKUP(CustomerCombined[[#This Row],[ID]], Table4[ID], Table4[Premium], "Not Found", 0)</f>
        <v>157</v>
      </c>
      <c r="Q406" s="5">
        <f>_xlfn.XLOOKUP(CustomerCombined[[#This Row],[ID]], Table4[ID], Table4[Regular], "Not Found", 0)</f>
        <v>1852</v>
      </c>
      <c r="R406" s="5">
        <f>_xlfn.XLOOKUP(CustomerCombined[[#This Row],[ID]], Table4[ID], Table4[Deals], "Not Found", 0)</f>
        <v>6</v>
      </c>
      <c r="S406" s="5">
        <f>_xlfn.XLOOKUP(CustomerCombined[[#This Row],[ID]], Table4[ID], Table4[Website], "Not Found", 0)</f>
        <v>10</v>
      </c>
      <c r="T406" s="5">
        <f>_xlfn.XLOOKUP(CustomerCombined[[#This Row],[ID]], Table4[ID], Table4[Catalog], "Not Found", 0)</f>
        <v>2</v>
      </c>
      <c r="U406" s="5">
        <f>_xlfn.XLOOKUP(CustomerCombined[[#This Row],[ID]], Table4[ID], Table4[Store], "Not Found", 0)</f>
        <v>6</v>
      </c>
      <c r="V406" s="5">
        <f>_xlfn.XLOOKUP(CustomerCombined[[#This Row],[ID]], Table4[ID], Table4[Visits], "Not Found", 0)</f>
        <v>9</v>
      </c>
      <c r="W406" s="8">
        <f>_xlfn.XLOOKUP(CustomerCombined[[#This Row],[ID]], Table2[ID],Table2[Complaint], "Not Found", 0 )</f>
        <v>0</v>
      </c>
      <c r="X406" s="8">
        <f>_xlfn.XLOOKUP(CustomerCombined[[#This Row],[ID]], Table2[ID],Table2[Pilot], "Not Found", 0 )</f>
        <v>0</v>
      </c>
      <c r="Y406" s="8">
        <f>_xlfn.XLOOKUP(CustomerCombined[[#This Row],[ID]], Table2[ID],Table2[MC1], "Not Found", 0 )</f>
        <v>0</v>
      </c>
      <c r="Z406" s="8">
        <f>_xlfn.XLOOKUP(CustomerCombined[[#This Row],[ID]], Table2[ID],Table2[MC2], "Not Found", 0 )</f>
        <v>0</v>
      </c>
      <c r="AA406" s="8">
        <f>_xlfn.XLOOKUP(CustomerCombined[[#This Row],[ID]], Table2[ID],Table2[MC3], "Not Found", 0 )</f>
        <v>0</v>
      </c>
      <c r="AB406" s="8">
        <f>_xlfn.XLOOKUP(CustomerCombined[[#This Row],[ID]], Table2[ID],Table2[MC4], "Not Found", 0 )</f>
        <v>0</v>
      </c>
      <c r="AC406" s="8">
        <f>_xlfn.XLOOKUP(CustomerCombined[[#This Row],[ID]], Table2[ID],Table2[MC5], "Not Found", 0 )</f>
        <v>0</v>
      </c>
    </row>
    <row r="407" spans="1:29" x14ac:dyDescent="0.3">
      <c r="A407" s="6">
        <v>1106</v>
      </c>
      <c r="B407" s="6">
        <v>143974</v>
      </c>
      <c r="C407" s="6">
        <v>1</v>
      </c>
      <c r="D407" s="6">
        <v>0</v>
      </c>
      <c r="E407" s="6">
        <v>40</v>
      </c>
      <c r="F407" s="5" t="s">
        <v>6</v>
      </c>
      <c r="G407" s="5" t="s">
        <v>13</v>
      </c>
      <c r="H407" s="3" t="s">
        <v>346</v>
      </c>
      <c r="I407" s="5" t="s">
        <v>438</v>
      </c>
      <c r="J407" s="5">
        <f>_xlfn.XLOOKUP(CustomerCombined[[#This Row],[ID]], Table4[ID], Table4[Recency], "Not Found", 0)</f>
        <v>19</v>
      </c>
      <c r="K407" s="5">
        <f>_xlfn.XLOOKUP(CustomerCombined[[#This Row],[ID]], Table4[ID], Table4[Teas], "Not Found", 0)</f>
        <v>1238</v>
      </c>
      <c r="L407" s="5">
        <f>_xlfn.XLOOKUP(CustomerCombined[[#This Row],[ID]], Table4[ID], Table4[Fruits], "Not Found", 0)</f>
        <v>0</v>
      </c>
      <c r="M407" s="5">
        <f>_xlfn.XLOOKUP(CustomerCombined[[#This Row],[ID]], Table4[ID], Table4[Meats], "Not Found", 0)</f>
        <v>331</v>
      </c>
      <c r="N407" s="5">
        <f>_xlfn.XLOOKUP(CustomerCombined[[#This Row],[ID]], Table4[ID], Table4[Seafood], "Not Found", 0)</f>
        <v>0</v>
      </c>
      <c r="O407" s="5">
        <f>_xlfn.XLOOKUP(CustomerCombined[[#This Row],[ID]], Table4[ID], Table4[Sweets], "Not Found", 0)</f>
        <v>0</v>
      </c>
      <c r="P407" s="5">
        <f>_xlfn.XLOOKUP(CustomerCombined[[#This Row],[ID]], Table4[ID], Table4[Premium], "Not Found", 0)</f>
        <v>236</v>
      </c>
      <c r="Q407" s="5">
        <f>_xlfn.XLOOKUP(CustomerCombined[[#This Row],[ID]], Table4[ID], Table4[Regular], "Not Found", 0)</f>
        <v>1333</v>
      </c>
      <c r="R407" s="5">
        <f>_xlfn.XLOOKUP(CustomerCombined[[#This Row],[ID]], Table4[ID], Table4[Deals], "Not Found", 0)</f>
        <v>5</v>
      </c>
      <c r="S407" s="5">
        <f>_xlfn.XLOOKUP(CustomerCombined[[#This Row],[ID]], Table4[ID], Table4[Website], "Not Found", 0)</f>
        <v>6</v>
      </c>
      <c r="T407" s="5">
        <f>_xlfn.XLOOKUP(CustomerCombined[[#This Row],[ID]], Table4[ID], Table4[Catalog], "Not Found", 0)</f>
        <v>4</v>
      </c>
      <c r="U407" s="5">
        <f>_xlfn.XLOOKUP(CustomerCombined[[#This Row],[ID]], Table4[ID], Table4[Store], "Not Found", 0)</f>
        <v>6</v>
      </c>
      <c r="V407" s="5">
        <f>_xlfn.XLOOKUP(CustomerCombined[[#This Row],[ID]], Table4[ID], Table4[Visits], "Not Found", 0)</f>
        <v>7</v>
      </c>
      <c r="W407" s="8">
        <f>_xlfn.XLOOKUP(CustomerCombined[[#This Row],[ID]], Table2[ID],Table2[Complaint], "Not Found", 0 )</f>
        <v>0</v>
      </c>
      <c r="X407" s="8">
        <f>_xlfn.XLOOKUP(CustomerCombined[[#This Row],[ID]], Table2[ID],Table2[Pilot], "Not Found", 0 )</f>
        <v>0</v>
      </c>
      <c r="Y407" s="8">
        <f>_xlfn.XLOOKUP(CustomerCombined[[#This Row],[ID]], Table2[ID],Table2[MC1], "Not Found", 0 )</f>
        <v>0</v>
      </c>
      <c r="Z407" s="8">
        <f>_xlfn.XLOOKUP(CustomerCombined[[#This Row],[ID]], Table2[ID],Table2[MC2], "Not Found", 0 )</f>
        <v>0</v>
      </c>
      <c r="AA407" s="8">
        <f>_xlfn.XLOOKUP(CustomerCombined[[#This Row],[ID]], Table2[ID],Table2[MC3], "Not Found", 0 )</f>
        <v>0</v>
      </c>
      <c r="AB407" s="8">
        <f>_xlfn.XLOOKUP(CustomerCombined[[#This Row],[ID]], Table2[ID],Table2[MC4], "Not Found", 0 )</f>
        <v>0</v>
      </c>
      <c r="AC407" s="8">
        <f>_xlfn.XLOOKUP(CustomerCombined[[#This Row],[ID]], Table2[ID],Table2[MC5], "Not Found", 0 )</f>
        <v>0</v>
      </c>
    </row>
    <row r="408" spans="1:29" x14ac:dyDescent="0.3">
      <c r="A408" s="6">
        <v>3091</v>
      </c>
      <c r="B408" s="6">
        <v>143586</v>
      </c>
      <c r="C408" s="6">
        <v>0</v>
      </c>
      <c r="D408" s="6">
        <v>1</v>
      </c>
      <c r="E408" s="6">
        <v>40</v>
      </c>
      <c r="F408" s="5" t="s">
        <v>6</v>
      </c>
      <c r="G408" s="5" t="s">
        <v>11</v>
      </c>
      <c r="H408" s="3">
        <v>43557</v>
      </c>
      <c r="I408" s="5" t="s">
        <v>437</v>
      </c>
      <c r="J408" s="5">
        <f>_xlfn.XLOOKUP(CustomerCombined[[#This Row],[ID]], Table4[ID], Table4[Recency], "Not Found", 0)</f>
        <v>26</v>
      </c>
      <c r="K408" s="5">
        <f>_xlfn.XLOOKUP(CustomerCombined[[#This Row],[ID]], Table4[ID], Table4[Teas], "Not Found", 0)</f>
        <v>326</v>
      </c>
      <c r="L408" s="5">
        <f>_xlfn.XLOOKUP(CustomerCombined[[#This Row],[ID]], Table4[ID], Table4[Fruits], "Not Found", 0)</f>
        <v>7</v>
      </c>
      <c r="M408" s="5">
        <f>_xlfn.XLOOKUP(CustomerCombined[[#This Row],[ID]], Table4[ID], Table4[Meats], "Not Found", 0)</f>
        <v>36</v>
      </c>
      <c r="N408" s="5">
        <f>_xlfn.XLOOKUP(CustomerCombined[[#This Row],[ID]], Table4[ID], Table4[Seafood], "Not Found", 0)</f>
        <v>13</v>
      </c>
      <c r="O408" s="5">
        <f>_xlfn.XLOOKUP(CustomerCombined[[#This Row],[ID]], Table4[ID], Table4[Sweets], "Not Found", 0)</f>
        <v>0</v>
      </c>
      <c r="P408" s="5">
        <f>_xlfn.XLOOKUP(CustomerCombined[[#This Row],[ID]], Table4[ID], Table4[Premium], "Not Found", 0)</f>
        <v>53</v>
      </c>
      <c r="Q408" s="5">
        <f>_xlfn.XLOOKUP(CustomerCombined[[#This Row],[ID]], Table4[ID], Table4[Regular], "Not Found", 0)</f>
        <v>329</v>
      </c>
      <c r="R408" s="5">
        <f>_xlfn.XLOOKUP(CustomerCombined[[#This Row],[ID]], Table4[ID], Table4[Deals], "Not Found", 0)</f>
        <v>3</v>
      </c>
      <c r="S408" s="5">
        <f>_xlfn.XLOOKUP(CustomerCombined[[#This Row],[ID]], Table4[ID], Table4[Website], "Not Found", 0)</f>
        <v>3</v>
      </c>
      <c r="T408" s="5">
        <f>_xlfn.XLOOKUP(CustomerCombined[[#This Row],[ID]], Table4[ID], Table4[Catalog], "Not Found", 0)</f>
        <v>0</v>
      </c>
      <c r="U408" s="5">
        <f>_xlfn.XLOOKUP(CustomerCombined[[#This Row],[ID]], Table4[ID], Table4[Store], "Not Found", 0)</f>
        <v>4</v>
      </c>
      <c r="V408" s="5">
        <f>_xlfn.XLOOKUP(CustomerCombined[[#This Row],[ID]], Table4[ID], Table4[Visits], "Not Found", 0)</f>
        <v>8</v>
      </c>
      <c r="W408" s="8">
        <f>_xlfn.XLOOKUP(CustomerCombined[[#This Row],[ID]], Table2[ID],Table2[Complaint], "Not Found", 0 )</f>
        <v>0</v>
      </c>
      <c r="X408" s="8">
        <f>_xlfn.XLOOKUP(CustomerCombined[[#This Row],[ID]], Table2[ID],Table2[Pilot], "Not Found", 0 )</f>
        <v>0</v>
      </c>
      <c r="Y408" s="8">
        <f>_xlfn.XLOOKUP(CustomerCombined[[#This Row],[ID]], Table2[ID],Table2[MC1], "Not Found", 0 )</f>
        <v>0</v>
      </c>
      <c r="Z408" s="8">
        <f>_xlfn.XLOOKUP(CustomerCombined[[#This Row],[ID]], Table2[ID],Table2[MC2], "Not Found", 0 )</f>
        <v>0</v>
      </c>
      <c r="AA408" s="8">
        <f>_xlfn.XLOOKUP(CustomerCombined[[#This Row],[ID]], Table2[ID],Table2[MC3], "Not Found", 0 )</f>
        <v>0</v>
      </c>
      <c r="AB408" s="8">
        <f>_xlfn.XLOOKUP(CustomerCombined[[#This Row],[ID]], Table2[ID],Table2[MC4], "Not Found", 0 )</f>
        <v>0</v>
      </c>
      <c r="AC408" s="8">
        <f>_xlfn.XLOOKUP(CustomerCombined[[#This Row],[ID]], Table2[ID],Table2[MC5], "Not Found", 0 )</f>
        <v>0</v>
      </c>
    </row>
    <row r="409" spans="1:29" x14ac:dyDescent="0.3">
      <c r="A409" s="6">
        <v>1016</v>
      </c>
      <c r="B409" s="6">
        <v>141850</v>
      </c>
      <c r="C409" s="6">
        <v>1</v>
      </c>
      <c r="D409" s="6">
        <v>1</v>
      </c>
      <c r="E409" s="6">
        <v>40</v>
      </c>
      <c r="F409" s="5" t="s">
        <v>6</v>
      </c>
      <c r="G409" s="5" t="s">
        <v>11</v>
      </c>
      <c r="H409" s="3" t="s">
        <v>335</v>
      </c>
      <c r="I409" s="5" t="s">
        <v>438</v>
      </c>
      <c r="J409" s="5">
        <f>_xlfn.XLOOKUP(CustomerCombined[[#This Row],[ID]], Table4[ID], Table4[Recency], "Not Found", 0)</f>
        <v>51</v>
      </c>
      <c r="K409" s="5">
        <f>_xlfn.XLOOKUP(CustomerCombined[[#This Row],[ID]], Table4[ID], Table4[Teas], "Not Found", 0)</f>
        <v>180</v>
      </c>
      <c r="L409" s="5">
        <f>_xlfn.XLOOKUP(CustomerCombined[[#This Row],[ID]], Table4[ID], Table4[Fruits], "Not Found", 0)</f>
        <v>17</v>
      </c>
      <c r="M409" s="5">
        <f>_xlfn.XLOOKUP(CustomerCombined[[#This Row],[ID]], Table4[ID], Table4[Meats], "Not Found", 0)</f>
        <v>64</v>
      </c>
      <c r="N409" s="5">
        <f>_xlfn.XLOOKUP(CustomerCombined[[#This Row],[ID]], Table4[ID], Table4[Seafood], "Not Found", 0)</f>
        <v>7</v>
      </c>
      <c r="O409" s="5">
        <f>_xlfn.XLOOKUP(CustomerCombined[[#This Row],[ID]], Table4[ID], Table4[Sweets], "Not Found", 0)</f>
        <v>44</v>
      </c>
      <c r="P409" s="5">
        <f>_xlfn.XLOOKUP(CustomerCombined[[#This Row],[ID]], Table4[ID], Table4[Premium], "Not Found", 0)</f>
        <v>14</v>
      </c>
      <c r="Q409" s="5">
        <f>_xlfn.XLOOKUP(CustomerCombined[[#This Row],[ID]], Table4[ID], Table4[Regular], "Not Found", 0)</f>
        <v>298</v>
      </c>
      <c r="R409" s="5">
        <f>_xlfn.XLOOKUP(CustomerCombined[[#This Row],[ID]], Table4[ID], Table4[Deals], "Not Found", 0)</f>
        <v>3</v>
      </c>
      <c r="S409" s="5">
        <f>_xlfn.XLOOKUP(CustomerCombined[[#This Row],[ID]], Table4[ID], Table4[Website], "Not Found", 0)</f>
        <v>3</v>
      </c>
      <c r="T409" s="5">
        <f>_xlfn.XLOOKUP(CustomerCombined[[#This Row],[ID]], Table4[ID], Table4[Catalog], "Not Found", 0)</f>
        <v>0</v>
      </c>
      <c r="U409" s="5">
        <f>_xlfn.XLOOKUP(CustomerCombined[[#This Row],[ID]], Table4[ID], Table4[Store], "Not Found", 0)</f>
        <v>3</v>
      </c>
      <c r="V409" s="5">
        <f>_xlfn.XLOOKUP(CustomerCombined[[#This Row],[ID]], Table4[ID], Table4[Visits], "Not Found", 0)</f>
        <v>8</v>
      </c>
      <c r="W409" s="8">
        <f>_xlfn.XLOOKUP(CustomerCombined[[#This Row],[ID]], Table2[ID],Table2[Complaint], "Not Found", 0 )</f>
        <v>0</v>
      </c>
      <c r="X409" s="8">
        <f>_xlfn.XLOOKUP(CustomerCombined[[#This Row],[ID]], Table2[ID],Table2[Pilot], "Not Found", 0 )</f>
        <v>0</v>
      </c>
      <c r="Y409" s="8">
        <f>_xlfn.XLOOKUP(CustomerCombined[[#This Row],[ID]], Table2[ID],Table2[MC1], "Not Found", 0 )</f>
        <v>0</v>
      </c>
      <c r="Z409" s="8">
        <f>_xlfn.XLOOKUP(CustomerCombined[[#This Row],[ID]], Table2[ID],Table2[MC2], "Not Found", 0 )</f>
        <v>0</v>
      </c>
      <c r="AA409" s="8">
        <f>_xlfn.XLOOKUP(CustomerCombined[[#This Row],[ID]], Table2[ID],Table2[MC3], "Not Found", 0 )</f>
        <v>0</v>
      </c>
      <c r="AB409" s="8">
        <f>_xlfn.XLOOKUP(CustomerCombined[[#This Row],[ID]], Table2[ID],Table2[MC4], "Not Found", 0 )</f>
        <v>0</v>
      </c>
      <c r="AC409" s="8">
        <f>_xlfn.XLOOKUP(CustomerCombined[[#This Row],[ID]], Table2[ID],Table2[MC5], "Not Found", 0 )</f>
        <v>0</v>
      </c>
    </row>
    <row r="410" spans="1:29" x14ac:dyDescent="0.3">
      <c r="A410" s="6">
        <v>1455</v>
      </c>
      <c r="B410" s="6">
        <v>137406</v>
      </c>
      <c r="C410" s="6">
        <v>1</v>
      </c>
      <c r="D410" s="6">
        <v>0</v>
      </c>
      <c r="E410" s="6">
        <v>40</v>
      </c>
      <c r="F410" s="5" t="s">
        <v>6</v>
      </c>
      <c r="G410" s="5" t="s">
        <v>11</v>
      </c>
      <c r="H410" s="3" t="s">
        <v>172</v>
      </c>
      <c r="I410" s="5" t="s">
        <v>435</v>
      </c>
      <c r="J410" s="5">
        <f>_xlfn.XLOOKUP(CustomerCombined[[#This Row],[ID]], Table4[ID], Table4[Recency], "Not Found", 0)</f>
        <v>18</v>
      </c>
      <c r="K410" s="5">
        <f>_xlfn.XLOOKUP(CustomerCombined[[#This Row],[ID]], Table4[ID], Table4[Teas], "Not Found", 0)</f>
        <v>7</v>
      </c>
      <c r="L410" s="5">
        <f>_xlfn.XLOOKUP(CustomerCombined[[#This Row],[ID]], Table4[ID], Table4[Fruits], "Not Found", 0)</f>
        <v>0</v>
      </c>
      <c r="M410" s="5">
        <f>_xlfn.XLOOKUP(CustomerCombined[[#This Row],[ID]], Table4[ID], Table4[Meats], "Not Found", 0)</f>
        <v>29</v>
      </c>
      <c r="N410" s="5">
        <f>_xlfn.XLOOKUP(CustomerCombined[[#This Row],[ID]], Table4[ID], Table4[Seafood], "Not Found", 0)</f>
        <v>7</v>
      </c>
      <c r="O410" s="5">
        <f>_xlfn.XLOOKUP(CustomerCombined[[#This Row],[ID]], Table4[ID], Table4[Sweets], "Not Found", 0)</f>
        <v>7</v>
      </c>
      <c r="P410" s="5">
        <f>_xlfn.XLOOKUP(CustomerCombined[[#This Row],[ID]], Table4[ID], Table4[Premium], "Not Found", 0)</f>
        <v>11</v>
      </c>
      <c r="Q410" s="5">
        <f>_xlfn.XLOOKUP(CustomerCombined[[#This Row],[ID]], Table4[ID], Table4[Regular], "Not Found", 0)</f>
        <v>40</v>
      </c>
      <c r="R410" s="5">
        <f>_xlfn.XLOOKUP(CustomerCombined[[#This Row],[ID]], Table4[ID], Table4[Deals], "Not Found", 0)</f>
        <v>1</v>
      </c>
      <c r="S410" s="5">
        <f>_xlfn.XLOOKUP(CustomerCombined[[#This Row],[ID]], Table4[ID], Table4[Website], "Not Found", 0)</f>
        <v>1</v>
      </c>
      <c r="T410" s="5">
        <f>_xlfn.XLOOKUP(CustomerCombined[[#This Row],[ID]], Table4[ID], Table4[Catalog], "Not Found", 0)</f>
        <v>0</v>
      </c>
      <c r="U410" s="5">
        <f>_xlfn.XLOOKUP(CustomerCombined[[#This Row],[ID]], Table4[ID], Table4[Store], "Not Found", 0)</f>
        <v>2</v>
      </c>
      <c r="V410" s="5">
        <f>_xlfn.XLOOKUP(CustomerCombined[[#This Row],[ID]], Table4[ID], Table4[Visits], "Not Found", 0)</f>
        <v>8</v>
      </c>
      <c r="W410" s="8">
        <f>_xlfn.XLOOKUP(CustomerCombined[[#This Row],[ID]], Table2[ID],Table2[Complaint], "Not Found", 0 )</f>
        <v>0</v>
      </c>
      <c r="X410" s="8">
        <f>_xlfn.XLOOKUP(CustomerCombined[[#This Row],[ID]], Table2[ID],Table2[Pilot], "Not Found", 0 )</f>
        <v>1</v>
      </c>
      <c r="Y410" s="8">
        <f>_xlfn.XLOOKUP(CustomerCombined[[#This Row],[ID]], Table2[ID],Table2[MC1], "Not Found", 0 )</f>
        <v>0</v>
      </c>
      <c r="Z410" s="8">
        <f>_xlfn.XLOOKUP(CustomerCombined[[#This Row],[ID]], Table2[ID],Table2[MC2], "Not Found", 0 )</f>
        <v>0</v>
      </c>
      <c r="AA410" s="8">
        <f>_xlfn.XLOOKUP(CustomerCombined[[#This Row],[ID]], Table2[ID],Table2[MC3], "Not Found", 0 )</f>
        <v>0</v>
      </c>
      <c r="AB410" s="8">
        <f>_xlfn.XLOOKUP(CustomerCombined[[#This Row],[ID]], Table2[ID],Table2[MC4], "Not Found", 0 )</f>
        <v>0</v>
      </c>
      <c r="AC410" s="8">
        <f>_xlfn.XLOOKUP(CustomerCombined[[#This Row],[ID]], Table2[ID],Table2[MC5], "Not Found", 0 )</f>
        <v>0</v>
      </c>
    </row>
    <row r="411" spans="1:29" x14ac:dyDescent="0.3">
      <c r="A411" s="6">
        <v>2741</v>
      </c>
      <c r="B411" s="6">
        <v>136802</v>
      </c>
      <c r="C411" s="6">
        <v>1</v>
      </c>
      <c r="D411" s="6">
        <v>0</v>
      </c>
      <c r="E411" s="6">
        <v>40</v>
      </c>
      <c r="F411" s="5" t="s">
        <v>7</v>
      </c>
      <c r="G411" s="5" t="s">
        <v>13</v>
      </c>
      <c r="H411" s="3" t="s">
        <v>33</v>
      </c>
      <c r="I411" s="5" t="s">
        <v>434</v>
      </c>
      <c r="J411" s="5">
        <f>_xlfn.XLOOKUP(CustomerCombined[[#This Row],[ID]], Table4[ID], Table4[Recency], "Not Found", 0)</f>
        <v>23</v>
      </c>
      <c r="K411" s="5">
        <f>_xlfn.XLOOKUP(CustomerCombined[[#This Row],[ID]], Table4[ID], Table4[Teas], "Not Found", 0)</f>
        <v>59</v>
      </c>
      <c r="L411" s="5">
        <f>_xlfn.XLOOKUP(CustomerCombined[[#This Row],[ID]], Table4[ID], Table4[Fruits], "Not Found", 0)</f>
        <v>4</v>
      </c>
      <c r="M411" s="5">
        <f>_xlfn.XLOOKUP(CustomerCombined[[#This Row],[ID]], Table4[ID], Table4[Meats], "Not Found", 0)</f>
        <v>7</v>
      </c>
      <c r="N411" s="5">
        <f>_xlfn.XLOOKUP(CustomerCombined[[#This Row],[ID]], Table4[ID], Table4[Seafood], "Not Found", 0)</f>
        <v>0</v>
      </c>
      <c r="O411" s="5">
        <f>_xlfn.XLOOKUP(CustomerCombined[[#This Row],[ID]], Table4[ID], Table4[Sweets], "Not Found", 0)</f>
        <v>0</v>
      </c>
      <c r="P411" s="5">
        <f>_xlfn.XLOOKUP(CustomerCombined[[#This Row],[ID]], Table4[ID], Table4[Premium], "Not Found", 0)</f>
        <v>4</v>
      </c>
      <c r="Q411" s="5">
        <f>_xlfn.XLOOKUP(CustomerCombined[[#This Row],[ID]], Table4[ID], Table4[Regular], "Not Found", 0)</f>
        <v>67</v>
      </c>
      <c r="R411" s="5">
        <f>_xlfn.XLOOKUP(CustomerCombined[[#This Row],[ID]], Table4[ID], Table4[Deals], "Not Found", 0)</f>
        <v>1</v>
      </c>
      <c r="S411" s="5">
        <f>_xlfn.XLOOKUP(CustomerCombined[[#This Row],[ID]], Table4[ID], Table4[Website], "Not Found", 0)</f>
        <v>1</v>
      </c>
      <c r="T411" s="5">
        <f>_xlfn.XLOOKUP(CustomerCombined[[#This Row],[ID]], Table4[ID], Table4[Catalog], "Not Found", 0)</f>
        <v>0</v>
      </c>
      <c r="U411" s="5">
        <f>_xlfn.XLOOKUP(CustomerCombined[[#This Row],[ID]], Table4[ID], Table4[Store], "Not Found", 0)</f>
        <v>3</v>
      </c>
      <c r="V411" s="5">
        <f>_xlfn.XLOOKUP(CustomerCombined[[#This Row],[ID]], Table4[ID], Table4[Visits], "Not Found", 0)</f>
        <v>5</v>
      </c>
      <c r="W411" s="8">
        <f>_xlfn.XLOOKUP(CustomerCombined[[#This Row],[ID]], Table2[ID],Table2[Complaint], "Not Found", 0 )</f>
        <v>0</v>
      </c>
      <c r="X411" s="8">
        <f>_xlfn.XLOOKUP(CustomerCombined[[#This Row],[ID]], Table2[ID],Table2[Pilot], "Not Found", 0 )</f>
        <v>0</v>
      </c>
      <c r="Y411" s="8">
        <f>_xlfn.XLOOKUP(CustomerCombined[[#This Row],[ID]], Table2[ID],Table2[MC1], "Not Found", 0 )</f>
        <v>0</v>
      </c>
      <c r="Z411" s="8">
        <f>_xlfn.XLOOKUP(CustomerCombined[[#This Row],[ID]], Table2[ID],Table2[MC2], "Not Found", 0 )</f>
        <v>0</v>
      </c>
      <c r="AA411" s="8">
        <f>_xlfn.XLOOKUP(CustomerCombined[[#This Row],[ID]], Table2[ID],Table2[MC3], "Not Found", 0 )</f>
        <v>0</v>
      </c>
      <c r="AB411" s="8">
        <f>_xlfn.XLOOKUP(CustomerCombined[[#This Row],[ID]], Table2[ID],Table2[MC4], "Not Found", 0 )</f>
        <v>0</v>
      </c>
      <c r="AC411" s="8">
        <f>_xlfn.XLOOKUP(CustomerCombined[[#This Row],[ID]], Table2[ID],Table2[MC5], "Not Found", 0 )</f>
        <v>0</v>
      </c>
    </row>
    <row r="412" spans="1:29" x14ac:dyDescent="0.3">
      <c r="A412" s="6">
        <v>2564</v>
      </c>
      <c r="B412" s="6">
        <v>134968</v>
      </c>
      <c r="C412" s="6">
        <v>1</v>
      </c>
      <c r="D412" s="6">
        <v>0</v>
      </c>
      <c r="E412" s="6">
        <v>40</v>
      </c>
      <c r="F412" s="5" t="s">
        <v>6</v>
      </c>
      <c r="G412" s="5" t="s">
        <v>11</v>
      </c>
      <c r="H412" s="3" t="s">
        <v>279</v>
      </c>
      <c r="I412" s="5" t="s">
        <v>438</v>
      </c>
      <c r="J412" s="5">
        <f>_xlfn.XLOOKUP(CustomerCombined[[#This Row],[ID]], Table4[ID], Table4[Recency], "Not Found", 0)</f>
        <v>11</v>
      </c>
      <c r="K412" s="5">
        <f>_xlfn.XLOOKUP(CustomerCombined[[#This Row],[ID]], Table4[ID], Table4[Teas], "Not Found", 0)</f>
        <v>610</v>
      </c>
      <c r="L412" s="5">
        <f>_xlfn.XLOOKUP(CustomerCombined[[#This Row],[ID]], Table4[ID], Table4[Fruits], "Not Found", 0)</f>
        <v>23</v>
      </c>
      <c r="M412" s="5">
        <f>_xlfn.XLOOKUP(CustomerCombined[[#This Row],[ID]], Table4[ID], Table4[Meats], "Not Found", 0)</f>
        <v>174</v>
      </c>
      <c r="N412" s="5">
        <f>_xlfn.XLOOKUP(CustomerCombined[[#This Row],[ID]], Table4[ID], Table4[Seafood], "Not Found", 0)</f>
        <v>31</v>
      </c>
      <c r="O412" s="5">
        <f>_xlfn.XLOOKUP(CustomerCombined[[#This Row],[ID]], Table4[ID], Table4[Sweets], "Not Found", 0)</f>
        <v>8</v>
      </c>
      <c r="P412" s="5">
        <f>_xlfn.XLOOKUP(CustomerCombined[[#This Row],[ID]], Table4[ID], Table4[Premium], "Not Found", 0)</f>
        <v>8</v>
      </c>
      <c r="Q412" s="5">
        <f>_xlfn.XLOOKUP(CustomerCombined[[#This Row],[ID]], Table4[ID], Table4[Regular], "Not Found", 0)</f>
        <v>838</v>
      </c>
      <c r="R412" s="5">
        <f>_xlfn.XLOOKUP(CustomerCombined[[#This Row],[ID]], Table4[ID], Table4[Deals], "Not Found", 0)</f>
        <v>7</v>
      </c>
      <c r="S412" s="5">
        <f>_xlfn.XLOOKUP(CustomerCombined[[#This Row],[ID]], Table4[ID], Table4[Website], "Not Found", 0)</f>
        <v>3</v>
      </c>
      <c r="T412" s="5">
        <f>_xlfn.XLOOKUP(CustomerCombined[[#This Row],[ID]], Table4[ID], Table4[Catalog], "Not Found", 0)</f>
        <v>2</v>
      </c>
      <c r="U412" s="5">
        <f>_xlfn.XLOOKUP(CustomerCombined[[#This Row],[ID]], Table4[ID], Table4[Store], "Not Found", 0)</f>
        <v>5</v>
      </c>
      <c r="V412" s="5">
        <f>_xlfn.XLOOKUP(CustomerCombined[[#This Row],[ID]], Table4[ID], Table4[Visits], "Not Found", 0)</f>
        <v>7</v>
      </c>
      <c r="W412" s="8">
        <f>_xlfn.XLOOKUP(CustomerCombined[[#This Row],[ID]], Table2[ID],Table2[Complaint], "Not Found", 0 )</f>
        <v>0</v>
      </c>
      <c r="X412" s="8">
        <f>_xlfn.XLOOKUP(CustomerCombined[[#This Row],[ID]], Table2[ID],Table2[Pilot], "Not Found", 0 )</f>
        <v>0</v>
      </c>
      <c r="Y412" s="8">
        <f>_xlfn.XLOOKUP(CustomerCombined[[#This Row],[ID]], Table2[ID],Table2[MC1], "Not Found", 0 )</f>
        <v>0</v>
      </c>
      <c r="Z412" s="8">
        <f>_xlfn.XLOOKUP(CustomerCombined[[#This Row],[ID]], Table2[ID],Table2[MC2], "Not Found", 0 )</f>
        <v>0</v>
      </c>
      <c r="AA412" s="8">
        <f>_xlfn.XLOOKUP(CustomerCombined[[#This Row],[ID]], Table2[ID],Table2[MC3], "Not Found", 0 )</f>
        <v>0</v>
      </c>
      <c r="AB412" s="8">
        <f>_xlfn.XLOOKUP(CustomerCombined[[#This Row],[ID]], Table2[ID],Table2[MC4], "Not Found", 0 )</f>
        <v>0</v>
      </c>
      <c r="AC412" s="8">
        <f>_xlfn.XLOOKUP(CustomerCombined[[#This Row],[ID]], Table2[ID],Table2[MC5], "Not Found", 0 )</f>
        <v>0</v>
      </c>
    </row>
    <row r="413" spans="1:29" x14ac:dyDescent="0.3">
      <c r="A413" s="6">
        <v>2654</v>
      </c>
      <c r="B413" s="6">
        <v>133228</v>
      </c>
      <c r="C413" s="6">
        <v>1</v>
      </c>
      <c r="D413" s="6">
        <v>0</v>
      </c>
      <c r="E413" s="6">
        <v>40</v>
      </c>
      <c r="F413" s="5" t="s">
        <v>6</v>
      </c>
      <c r="G413" s="5" t="s">
        <v>11</v>
      </c>
      <c r="H413" s="3" t="s">
        <v>109</v>
      </c>
      <c r="I413" s="5" t="s">
        <v>438</v>
      </c>
      <c r="J413" s="5">
        <f>_xlfn.XLOOKUP(CustomerCombined[[#This Row],[ID]], Table4[ID], Table4[Recency], "Not Found", 0)</f>
        <v>28</v>
      </c>
      <c r="K413" s="5">
        <f>_xlfn.XLOOKUP(CustomerCombined[[#This Row],[ID]], Table4[ID], Table4[Teas], "Not Found", 0)</f>
        <v>88</v>
      </c>
      <c r="L413" s="5">
        <f>_xlfn.XLOOKUP(CustomerCombined[[#This Row],[ID]], Table4[ID], Table4[Fruits], "Not Found", 0)</f>
        <v>8</v>
      </c>
      <c r="M413" s="5">
        <f>_xlfn.XLOOKUP(CustomerCombined[[#This Row],[ID]], Table4[ID], Table4[Meats], "Not Found", 0)</f>
        <v>124</v>
      </c>
      <c r="N413" s="5">
        <f>_xlfn.XLOOKUP(CustomerCombined[[#This Row],[ID]], Table4[ID], Table4[Seafood], "Not Found", 0)</f>
        <v>28</v>
      </c>
      <c r="O413" s="5">
        <f>_xlfn.XLOOKUP(CustomerCombined[[#This Row],[ID]], Table4[ID], Table4[Sweets], "Not Found", 0)</f>
        <v>16</v>
      </c>
      <c r="P413" s="5">
        <f>_xlfn.XLOOKUP(CustomerCombined[[#This Row],[ID]], Table4[ID], Table4[Premium], "Not Found", 0)</f>
        <v>20</v>
      </c>
      <c r="Q413" s="5">
        <f>_xlfn.XLOOKUP(CustomerCombined[[#This Row],[ID]], Table4[ID], Table4[Regular], "Not Found", 0)</f>
        <v>245</v>
      </c>
      <c r="R413" s="5">
        <f>_xlfn.XLOOKUP(CustomerCombined[[#This Row],[ID]], Table4[ID], Table4[Deals], "Not Found", 0)</f>
        <v>1</v>
      </c>
      <c r="S413" s="5">
        <f>_xlfn.XLOOKUP(CustomerCombined[[#This Row],[ID]], Table4[ID], Table4[Website], "Not Found", 0)</f>
        <v>2</v>
      </c>
      <c r="T413" s="5">
        <f>_xlfn.XLOOKUP(CustomerCombined[[#This Row],[ID]], Table4[ID], Table4[Catalog], "Not Found", 0)</f>
        <v>0</v>
      </c>
      <c r="U413" s="5">
        <f>_xlfn.XLOOKUP(CustomerCombined[[#This Row],[ID]], Table4[ID], Table4[Store], "Not Found", 0)</f>
        <v>3</v>
      </c>
      <c r="V413" s="5">
        <f>_xlfn.XLOOKUP(CustomerCombined[[#This Row],[ID]], Table4[ID], Table4[Visits], "Not Found", 0)</f>
        <v>7</v>
      </c>
      <c r="W413" s="8">
        <f>_xlfn.XLOOKUP(CustomerCombined[[#This Row],[ID]], Table2[ID],Table2[Complaint], "Not Found", 0 )</f>
        <v>0</v>
      </c>
      <c r="X413" s="8">
        <f>_xlfn.XLOOKUP(CustomerCombined[[#This Row],[ID]], Table2[ID],Table2[Pilot], "Not Found", 0 )</f>
        <v>0</v>
      </c>
      <c r="Y413" s="8">
        <f>_xlfn.XLOOKUP(CustomerCombined[[#This Row],[ID]], Table2[ID],Table2[MC1], "Not Found", 0 )</f>
        <v>0</v>
      </c>
      <c r="Z413" s="8">
        <f>_xlfn.XLOOKUP(CustomerCombined[[#This Row],[ID]], Table2[ID],Table2[MC2], "Not Found", 0 )</f>
        <v>0</v>
      </c>
      <c r="AA413" s="8">
        <f>_xlfn.XLOOKUP(CustomerCombined[[#This Row],[ID]], Table2[ID],Table2[MC3], "Not Found", 0 )</f>
        <v>0</v>
      </c>
      <c r="AB413" s="8">
        <f>_xlfn.XLOOKUP(CustomerCombined[[#This Row],[ID]], Table2[ID],Table2[MC4], "Not Found", 0 )</f>
        <v>0</v>
      </c>
      <c r="AC413" s="8">
        <f>_xlfn.XLOOKUP(CustomerCombined[[#This Row],[ID]], Table2[ID],Table2[MC5], "Not Found", 0 )</f>
        <v>0</v>
      </c>
    </row>
    <row r="414" spans="1:29" x14ac:dyDescent="0.3">
      <c r="A414" s="6">
        <v>2727</v>
      </c>
      <c r="B414" s="6">
        <v>131859</v>
      </c>
      <c r="C414" s="6">
        <v>1</v>
      </c>
      <c r="D414" s="6">
        <v>0</v>
      </c>
      <c r="E414" s="6">
        <v>40</v>
      </c>
      <c r="F414" s="5" t="s">
        <v>7</v>
      </c>
      <c r="G414" s="5" t="s">
        <v>442</v>
      </c>
      <c r="H414" s="3">
        <v>43898</v>
      </c>
      <c r="I414" s="5" t="s">
        <v>435</v>
      </c>
      <c r="J414" s="5">
        <f>_xlfn.XLOOKUP(CustomerCombined[[#This Row],[ID]], Table4[ID], Table4[Recency], "Not Found", 0)</f>
        <v>3</v>
      </c>
      <c r="K414" s="5">
        <f>_xlfn.XLOOKUP(CustomerCombined[[#This Row],[ID]], Table4[ID], Table4[Teas], "Not Found", 0)</f>
        <v>12</v>
      </c>
      <c r="L414" s="5">
        <f>_xlfn.XLOOKUP(CustomerCombined[[#This Row],[ID]], Table4[ID], Table4[Fruits], "Not Found", 0)</f>
        <v>17</v>
      </c>
      <c r="M414" s="5">
        <f>_xlfn.XLOOKUP(CustomerCombined[[#This Row],[ID]], Table4[ID], Table4[Meats], "Not Found", 0)</f>
        <v>29</v>
      </c>
      <c r="N414" s="5">
        <f>_xlfn.XLOOKUP(CustomerCombined[[#This Row],[ID]], Table4[ID], Table4[Seafood], "Not Found", 0)</f>
        <v>62</v>
      </c>
      <c r="O414" s="5">
        <f>_xlfn.XLOOKUP(CustomerCombined[[#This Row],[ID]], Table4[ID], Table4[Sweets], "Not Found", 0)</f>
        <v>33</v>
      </c>
      <c r="P414" s="5">
        <f>_xlfn.XLOOKUP(CustomerCombined[[#This Row],[ID]], Table4[ID], Table4[Premium], "Not Found", 0)</f>
        <v>46</v>
      </c>
      <c r="Q414" s="5">
        <f>_xlfn.XLOOKUP(CustomerCombined[[#This Row],[ID]], Table4[ID], Table4[Regular], "Not Found", 0)</f>
        <v>108</v>
      </c>
      <c r="R414" s="5">
        <f>_xlfn.XLOOKUP(CustomerCombined[[#This Row],[ID]], Table4[ID], Table4[Deals], "Not Found", 0)</f>
        <v>1</v>
      </c>
      <c r="S414" s="5">
        <f>_xlfn.XLOOKUP(CustomerCombined[[#This Row],[ID]], Table4[ID], Table4[Website], "Not Found", 0)</f>
        <v>1</v>
      </c>
      <c r="T414" s="5">
        <f>_xlfn.XLOOKUP(CustomerCombined[[#This Row],[ID]], Table4[ID], Table4[Catalog], "Not Found", 0)</f>
        <v>0</v>
      </c>
      <c r="U414" s="5">
        <f>_xlfn.XLOOKUP(CustomerCombined[[#This Row],[ID]], Table4[ID], Table4[Store], "Not Found", 0)</f>
        <v>3</v>
      </c>
      <c r="V414" s="5">
        <f>_xlfn.XLOOKUP(CustomerCombined[[#This Row],[ID]], Table4[ID], Table4[Visits], "Not Found", 0)</f>
        <v>7</v>
      </c>
      <c r="W414" s="8">
        <f>_xlfn.XLOOKUP(CustomerCombined[[#This Row],[ID]], Table2[ID],Table2[Complaint], "Not Found", 0 )</f>
        <v>0</v>
      </c>
      <c r="X414" s="8">
        <f>_xlfn.XLOOKUP(CustomerCombined[[#This Row],[ID]], Table2[ID],Table2[Pilot], "Not Found", 0 )</f>
        <v>0</v>
      </c>
      <c r="Y414" s="8">
        <f>_xlfn.XLOOKUP(CustomerCombined[[#This Row],[ID]], Table2[ID],Table2[MC1], "Not Found", 0 )</f>
        <v>0</v>
      </c>
      <c r="Z414" s="8">
        <f>_xlfn.XLOOKUP(CustomerCombined[[#This Row],[ID]], Table2[ID],Table2[MC2], "Not Found", 0 )</f>
        <v>0</v>
      </c>
      <c r="AA414" s="8">
        <f>_xlfn.XLOOKUP(CustomerCombined[[#This Row],[ID]], Table2[ID],Table2[MC3], "Not Found", 0 )</f>
        <v>0</v>
      </c>
      <c r="AB414" s="8">
        <f>_xlfn.XLOOKUP(CustomerCombined[[#This Row],[ID]], Table2[ID],Table2[MC4], "Not Found", 0 )</f>
        <v>0</v>
      </c>
      <c r="AC414" s="8">
        <f>_xlfn.XLOOKUP(CustomerCombined[[#This Row],[ID]], Table2[ID],Table2[MC5], "Not Found", 0 )</f>
        <v>0</v>
      </c>
    </row>
    <row r="415" spans="1:29" x14ac:dyDescent="0.3">
      <c r="A415" s="6">
        <v>2884</v>
      </c>
      <c r="B415" s="6">
        <v>131535</v>
      </c>
      <c r="C415" s="6">
        <v>1</v>
      </c>
      <c r="D415" s="6">
        <v>0</v>
      </c>
      <c r="E415" s="6">
        <v>40</v>
      </c>
      <c r="F415" s="5" t="s">
        <v>6</v>
      </c>
      <c r="G415" s="5" t="s">
        <v>12</v>
      </c>
      <c r="H415" s="3">
        <v>43864</v>
      </c>
      <c r="I415" s="5" t="s">
        <v>439</v>
      </c>
      <c r="J415" s="5">
        <f>_xlfn.XLOOKUP(CustomerCombined[[#This Row],[ID]], Table4[ID], Table4[Recency], "Not Found", 0)</f>
        <v>95</v>
      </c>
      <c r="K415" s="5">
        <f>_xlfn.XLOOKUP(CustomerCombined[[#This Row],[ID]], Table4[ID], Table4[Teas], "Not Found", 0)</f>
        <v>63</v>
      </c>
      <c r="L415" s="5">
        <f>_xlfn.XLOOKUP(CustomerCombined[[#This Row],[ID]], Table4[ID], Table4[Fruits], "Not Found", 0)</f>
        <v>17</v>
      </c>
      <c r="M415" s="5">
        <f>_xlfn.XLOOKUP(CustomerCombined[[#This Row],[ID]], Table4[ID], Table4[Meats], "Not Found", 0)</f>
        <v>54</v>
      </c>
      <c r="N415" s="5">
        <f>_xlfn.XLOOKUP(CustomerCombined[[#This Row],[ID]], Table4[ID], Table4[Seafood], "Not Found", 0)</f>
        <v>0</v>
      </c>
      <c r="O415" s="5">
        <f>_xlfn.XLOOKUP(CustomerCombined[[#This Row],[ID]], Table4[ID], Table4[Sweets], "Not Found", 0)</f>
        <v>0</v>
      </c>
      <c r="P415" s="5">
        <f>_xlfn.XLOOKUP(CustomerCombined[[#This Row],[ID]], Table4[ID], Table4[Premium], "Not Found", 0)</f>
        <v>79</v>
      </c>
      <c r="Q415" s="5">
        <f>_xlfn.XLOOKUP(CustomerCombined[[#This Row],[ID]], Table4[ID], Table4[Regular], "Not Found", 0)</f>
        <v>54</v>
      </c>
      <c r="R415" s="5">
        <f>_xlfn.XLOOKUP(CustomerCombined[[#This Row],[ID]], Table4[ID], Table4[Deals], "Not Found", 0)</f>
        <v>1</v>
      </c>
      <c r="S415" s="5">
        <f>_xlfn.XLOOKUP(CustomerCombined[[#This Row],[ID]], Table4[ID], Table4[Website], "Not Found", 0)</f>
        <v>1</v>
      </c>
      <c r="T415" s="5">
        <f>_xlfn.XLOOKUP(CustomerCombined[[#This Row],[ID]], Table4[ID], Table4[Catalog], "Not Found", 0)</f>
        <v>1</v>
      </c>
      <c r="U415" s="5">
        <f>_xlfn.XLOOKUP(CustomerCombined[[#This Row],[ID]], Table4[ID], Table4[Store], "Not Found", 0)</f>
        <v>2</v>
      </c>
      <c r="V415" s="5">
        <f>_xlfn.XLOOKUP(CustomerCombined[[#This Row],[ID]], Table4[ID], Table4[Visits], "Not Found", 0)</f>
        <v>7</v>
      </c>
      <c r="W415" s="8">
        <f>_xlfn.XLOOKUP(CustomerCombined[[#This Row],[ID]], Table2[ID],Table2[Complaint], "Not Found", 0 )</f>
        <v>0</v>
      </c>
      <c r="X415" s="8">
        <f>_xlfn.XLOOKUP(CustomerCombined[[#This Row],[ID]], Table2[ID],Table2[Pilot], "Not Found", 0 )</f>
        <v>0</v>
      </c>
      <c r="Y415" s="8">
        <f>_xlfn.XLOOKUP(CustomerCombined[[#This Row],[ID]], Table2[ID],Table2[MC1], "Not Found", 0 )</f>
        <v>0</v>
      </c>
      <c r="Z415" s="8">
        <f>_xlfn.XLOOKUP(CustomerCombined[[#This Row],[ID]], Table2[ID],Table2[MC2], "Not Found", 0 )</f>
        <v>0</v>
      </c>
      <c r="AA415" s="8">
        <f>_xlfn.XLOOKUP(CustomerCombined[[#This Row],[ID]], Table2[ID],Table2[MC3], "Not Found", 0 )</f>
        <v>1</v>
      </c>
      <c r="AB415" s="8">
        <f>_xlfn.XLOOKUP(CustomerCombined[[#This Row],[ID]], Table2[ID],Table2[MC4], "Not Found", 0 )</f>
        <v>0</v>
      </c>
      <c r="AC415" s="8">
        <f>_xlfn.XLOOKUP(CustomerCombined[[#This Row],[ID]], Table2[ID],Table2[MC5], "Not Found", 0 )</f>
        <v>0</v>
      </c>
    </row>
    <row r="416" spans="1:29" x14ac:dyDescent="0.3">
      <c r="A416" s="6">
        <v>3057</v>
      </c>
      <c r="B416" s="6">
        <v>130828</v>
      </c>
      <c r="C416" s="6">
        <v>1</v>
      </c>
      <c r="D416" s="6">
        <v>0</v>
      </c>
      <c r="E416" s="6">
        <v>40</v>
      </c>
      <c r="F416" s="5" t="s">
        <v>7</v>
      </c>
      <c r="G416" s="5" t="s">
        <v>11</v>
      </c>
      <c r="H416" s="3">
        <v>44107</v>
      </c>
      <c r="I416" s="5" t="s">
        <v>435</v>
      </c>
      <c r="J416" s="5">
        <f>_xlfn.XLOOKUP(CustomerCombined[[#This Row],[ID]], Table4[ID], Table4[Recency], "Not Found", 0)</f>
        <v>16</v>
      </c>
      <c r="K416" s="5">
        <f>_xlfn.XLOOKUP(CustomerCombined[[#This Row],[ID]], Table4[ID], Table4[Teas], "Not Found", 0)</f>
        <v>68</v>
      </c>
      <c r="L416" s="5">
        <f>_xlfn.XLOOKUP(CustomerCombined[[#This Row],[ID]], Table4[ID], Table4[Fruits], "Not Found", 0)</f>
        <v>47</v>
      </c>
      <c r="M416" s="5">
        <f>_xlfn.XLOOKUP(CustomerCombined[[#This Row],[ID]], Table4[ID], Table4[Meats], "Not Found", 0)</f>
        <v>64</v>
      </c>
      <c r="N416" s="5">
        <f>_xlfn.XLOOKUP(CustomerCombined[[#This Row],[ID]], Table4[ID], Table4[Seafood], "Not Found", 0)</f>
        <v>8</v>
      </c>
      <c r="O416" s="5">
        <f>_xlfn.XLOOKUP(CustomerCombined[[#This Row],[ID]], Table4[ID], Table4[Sweets], "Not Found", 0)</f>
        <v>0</v>
      </c>
      <c r="P416" s="5">
        <f>_xlfn.XLOOKUP(CustomerCombined[[#This Row],[ID]], Table4[ID], Table4[Premium], "Not Found", 0)</f>
        <v>51</v>
      </c>
      <c r="Q416" s="5">
        <f>_xlfn.XLOOKUP(CustomerCombined[[#This Row],[ID]], Table4[ID], Table4[Regular], "Not Found", 0)</f>
        <v>136</v>
      </c>
      <c r="R416" s="5">
        <f>_xlfn.XLOOKUP(CustomerCombined[[#This Row],[ID]], Table4[ID], Table4[Deals], "Not Found", 0)</f>
        <v>2</v>
      </c>
      <c r="S416" s="5">
        <f>_xlfn.XLOOKUP(CustomerCombined[[#This Row],[ID]], Table4[ID], Table4[Website], "Not Found", 0)</f>
        <v>1</v>
      </c>
      <c r="T416" s="5">
        <f>_xlfn.XLOOKUP(CustomerCombined[[#This Row],[ID]], Table4[ID], Table4[Catalog], "Not Found", 0)</f>
        <v>1</v>
      </c>
      <c r="U416" s="5">
        <f>_xlfn.XLOOKUP(CustomerCombined[[#This Row],[ID]], Table4[ID], Table4[Store], "Not Found", 0)</f>
        <v>4</v>
      </c>
      <c r="V416" s="5">
        <f>_xlfn.XLOOKUP(CustomerCombined[[#This Row],[ID]], Table4[ID], Table4[Visits], "Not Found", 0)</f>
        <v>3</v>
      </c>
      <c r="W416" s="8">
        <f>_xlfn.XLOOKUP(CustomerCombined[[#This Row],[ID]], Table2[ID],Table2[Complaint], "Not Found", 0 )</f>
        <v>0</v>
      </c>
      <c r="X416" s="8">
        <f>_xlfn.XLOOKUP(CustomerCombined[[#This Row],[ID]], Table2[ID],Table2[Pilot], "Not Found", 0 )</f>
        <v>0</v>
      </c>
      <c r="Y416" s="8">
        <f>_xlfn.XLOOKUP(CustomerCombined[[#This Row],[ID]], Table2[ID],Table2[MC1], "Not Found", 0 )</f>
        <v>0</v>
      </c>
      <c r="Z416" s="8">
        <f>_xlfn.XLOOKUP(CustomerCombined[[#This Row],[ID]], Table2[ID],Table2[MC2], "Not Found", 0 )</f>
        <v>0</v>
      </c>
      <c r="AA416" s="8">
        <f>_xlfn.XLOOKUP(CustomerCombined[[#This Row],[ID]], Table2[ID],Table2[MC3], "Not Found", 0 )</f>
        <v>0</v>
      </c>
      <c r="AB416" s="8">
        <f>_xlfn.XLOOKUP(CustomerCombined[[#This Row],[ID]], Table2[ID],Table2[MC4], "Not Found", 0 )</f>
        <v>0</v>
      </c>
      <c r="AC416" s="8">
        <f>_xlfn.XLOOKUP(CustomerCombined[[#This Row],[ID]], Table2[ID],Table2[MC5], "Not Found", 0 )</f>
        <v>0</v>
      </c>
    </row>
    <row r="417" spans="1:29" x14ac:dyDescent="0.3">
      <c r="A417" s="6">
        <v>1211</v>
      </c>
      <c r="B417" s="6">
        <v>130732</v>
      </c>
      <c r="C417" s="6">
        <v>1</v>
      </c>
      <c r="D417" s="6">
        <v>0</v>
      </c>
      <c r="E417" s="6">
        <v>40</v>
      </c>
      <c r="F417" s="5" t="s">
        <v>6</v>
      </c>
      <c r="G417" s="5" t="s">
        <v>13</v>
      </c>
      <c r="H417" s="3">
        <v>43805</v>
      </c>
      <c r="I417" s="5" t="s">
        <v>434</v>
      </c>
      <c r="J417" s="5">
        <f>_xlfn.XLOOKUP(CustomerCombined[[#This Row],[ID]], Table4[ID], Table4[Recency], "Not Found", 0)</f>
        <v>44</v>
      </c>
      <c r="K417" s="5">
        <f>_xlfn.XLOOKUP(CustomerCombined[[#This Row],[ID]], Table4[ID], Table4[Teas], "Not Found", 0)</f>
        <v>659</v>
      </c>
      <c r="L417" s="5">
        <f>_xlfn.XLOOKUP(CustomerCombined[[#This Row],[ID]], Table4[ID], Table4[Fruits], "Not Found", 0)</f>
        <v>4</v>
      </c>
      <c r="M417" s="5">
        <f>_xlfn.XLOOKUP(CustomerCombined[[#This Row],[ID]], Table4[ID], Table4[Meats], "Not Found", 0)</f>
        <v>106</v>
      </c>
      <c r="N417" s="5">
        <f>_xlfn.XLOOKUP(CustomerCombined[[#This Row],[ID]], Table4[ID], Table4[Seafood], "Not Found", 0)</f>
        <v>0</v>
      </c>
      <c r="O417" s="5">
        <f>_xlfn.XLOOKUP(CustomerCombined[[#This Row],[ID]], Table4[ID], Table4[Sweets], "Not Found", 0)</f>
        <v>4</v>
      </c>
      <c r="P417" s="5">
        <f>_xlfn.XLOOKUP(CustomerCombined[[#This Row],[ID]], Table4[ID], Table4[Premium], "Not Found", 0)</f>
        <v>13</v>
      </c>
      <c r="Q417" s="5">
        <f>_xlfn.XLOOKUP(CustomerCombined[[#This Row],[ID]], Table4[ID], Table4[Regular], "Not Found", 0)</f>
        <v>761</v>
      </c>
      <c r="R417" s="5">
        <f>_xlfn.XLOOKUP(CustomerCombined[[#This Row],[ID]], Table4[ID], Table4[Deals], "Not Found", 0)</f>
        <v>4</v>
      </c>
      <c r="S417" s="5">
        <f>_xlfn.XLOOKUP(CustomerCombined[[#This Row],[ID]], Table4[ID], Table4[Website], "Not Found", 0)</f>
        <v>4</v>
      </c>
      <c r="T417" s="5">
        <f>_xlfn.XLOOKUP(CustomerCombined[[#This Row],[ID]], Table4[ID], Table4[Catalog], "Not Found", 0)</f>
        <v>1</v>
      </c>
      <c r="U417" s="5">
        <f>_xlfn.XLOOKUP(CustomerCombined[[#This Row],[ID]], Table4[ID], Table4[Store], "Not Found", 0)</f>
        <v>4</v>
      </c>
      <c r="V417" s="5">
        <f>_xlfn.XLOOKUP(CustomerCombined[[#This Row],[ID]], Table4[ID], Table4[Visits], "Not Found", 0)</f>
        <v>8</v>
      </c>
      <c r="W417" s="8">
        <f>_xlfn.XLOOKUP(CustomerCombined[[#This Row],[ID]], Table2[ID],Table2[Complaint], "Not Found", 0 )</f>
        <v>0</v>
      </c>
      <c r="X417" s="8">
        <f>_xlfn.XLOOKUP(CustomerCombined[[#This Row],[ID]], Table2[ID],Table2[Pilot], "Not Found", 0 )</f>
        <v>0</v>
      </c>
      <c r="Y417" s="8">
        <f>_xlfn.XLOOKUP(CustomerCombined[[#This Row],[ID]], Table2[ID],Table2[MC1], "Not Found", 0 )</f>
        <v>0</v>
      </c>
      <c r="Z417" s="8">
        <f>_xlfn.XLOOKUP(CustomerCombined[[#This Row],[ID]], Table2[ID],Table2[MC2], "Not Found", 0 )</f>
        <v>0</v>
      </c>
      <c r="AA417" s="8">
        <f>_xlfn.XLOOKUP(CustomerCombined[[#This Row],[ID]], Table2[ID],Table2[MC3], "Not Found", 0 )</f>
        <v>0</v>
      </c>
      <c r="AB417" s="8">
        <f>_xlfn.XLOOKUP(CustomerCombined[[#This Row],[ID]], Table2[ID],Table2[MC4], "Not Found", 0 )</f>
        <v>0</v>
      </c>
      <c r="AC417" s="8">
        <f>_xlfn.XLOOKUP(CustomerCombined[[#This Row],[ID]], Table2[ID],Table2[MC5], "Not Found", 0 )</f>
        <v>0</v>
      </c>
    </row>
    <row r="418" spans="1:29" x14ac:dyDescent="0.3">
      <c r="A418" s="6">
        <v>2016</v>
      </c>
      <c r="B418" s="6">
        <v>128071</v>
      </c>
      <c r="C418" s="6">
        <v>0</v>
      </c>
      <c r="D418" s="6">
        <v>0</v>
      </c>
      <c r="E418" s="6">
        <v>40</v>
      </c>
      <c r="F418" s="5" t="s">
        <v>7</v>
      </c>
      <c r="G418" s="5" t="s">
        <v>11</v>
      </c>
      <c r="H418" s="3">
        <v>43526</v>
      </c>
      <c r="I418" s="5" t="s">
        <v>436</v>
      </c>
      <c r="J418" s="5">
        <f>_xlfn.XLOOKUP(CustomerCombined[[#This Row],[ID]], Table4[ID], Table4[Recency], "Not Found", 0)</f>
        <v>65</v>
      </c>
      <c r="K418" s="5">
        <f>_xlfn.XLOOKUP(CustomerCombined[[#This Row],[ID]], Table4[ID], Table4[Teas], "Not Found", 0)</f>
        <v>178</v>
      </c>
      <c r="L418" s="5">
        <f>_xlfn.XLOOKUP(CustomerCombined[[#This Row],[ID]], Table4[ID], Table4[Fruits], "Not Found", 0)</f>
        <v>151</v>
      </c>
      <c r="M418" s="5">
        <f>_xlfn.XLOOKUP(CustomerCombined[[#This Row],[ID]], Table4[ID], Table4[Meats], "Not Found", 0)</f>
        <v>593</v>
      </c>
      <c r="N418" s="5">
        <f>_xlfn.XLOOKUP(CustomerCombined[[#This Row],[ID]], Table4[ID], Table4[Seafood], "Not Found", 0)</f>
        <v>187</v>
      </c>
      <c r="O418" s="5">
        <f>_xlfn.XLOOKUP(CustomerCombined[[#This Row],[ID]], Table4[ID], Table4[Sweets], "Not Found", 0)</f>
        <v>119</v>
      </c>
      <c r="P418" s="5">
        <f>_xlfn.XLOOKUP(CustomerCombined[[#This Row],[ID]], Table4[ID], Table4[Premium], "Not Found", 0)</f>
        <v>201</v>
      </c>
      <c r="Q418" s="5">
        <f>_xlfn.XLOOKUP(CustomerCombined[[#This Row],[ID]], Table4[ID], Table4[Regular], "Not Found", 0)</f>
        <v>1027</v>
      </c>
      <c r="R418" s="5">
        <f>_xlfn.XLOOKUP(CustomerCombined[[#This Row],[ID]], Table4[ID], Table4[Deals], "Not Found", 0)</f>
        <v>2</v>
      </c>
      <c r="S418" s="5">
        <f>_xlfn.XLOOKUP(CustomerCombined[[#This Row],[ID]], Table4[ID], Table4[Website], "Not Found", 0)</f>
        <v>5</v>
      </c>
      <c r="T418" s="5">
        <f>_xlfn.XLOOKUP(CustomerCombined[[#This Row],[ID]], Table4[ID], Table4[Catalog], "Not Found", 0)</f>
        <v>1</v>
      </c>
      <c r="U418" s="5">
        <f>_xlfn.XLOOKUP(CustomerCombined[[#This Row],[ID]], Table4[ID], Table4[Store], "Not Found", 0)</f>
        <v>5</v>
      </c>
      <c r="V418" s="5">
        <f>_xlfn.XLOOKUP(CustomerCombined[[#This Row],[ID]], Table4[ID], Table4[Visits], "Not Found", 0)</f>
        <v>8</v>
      </c>
      <c r="W418" s="8">
        <f>_xlfn.XLOOKUP(CustomerCombined[[#This Row],[ID]], Table2[ID],Table2[Complaint], "Not Found", 0 )</f>
        <v>0</v>
      </c>
      <c r="X418" s="8">
        <f>_xlfn.XLOOKUP(CustomerCombined[[#This Row],[ID]], Table2[ID],Table2[Pilot], "Not Found", 0 )</f>
        <v>0</v>
      </c>
      <c r="Y418" s="8">
        <f>_xlfn.XLOOKUP(CustomerCombined[[#This Row],[ID]], Table2[ID],Table2[MC1], "Not Found", 0 )</f>
        <v>0</v>
      </c>
      <c r="Z418" s="8">
        <f>_xlfn.XLOOKUP(CustomerCombined[[#This Row],[ID]], Table2[ID],Table2[MC2], "Not Found", 0 )</f>
        <v>0</v>
      </c>
      <c r="AA418" s="8">
        <f>_xlfn.XLOOKUP(CustomerCombined[[#This Row],[ID]], Table2[ID],Table2[MC3], "Not Found", 0 )</f>
        <v>0</v>
      </c>
      <c r="AB418" s="8">
        <f>_xlfn.XLOOKUP(CustomerCombined[[#This Row],[ID]], Table2[ID],Table2[MC4], "Not Found", 0 )</f>
        <v>0</v>
      </c>
      <c r="AC418" s="8">
        <f>_xlfn.XLOOKUP(CustomerCombined[[#This Row],[ID]], Table2[ID],Table2[MC5], "Not Found", 0 )</f>
        <v>0</v>
      </c>
    </row>
    <row r="419" spans="1:29" x14ac:dyDescent="0.3">
      <c r="A419" s="6">
        <v>1645</v>
      </c>
      <c r="B419" s="6">
        <v>125965</v>
      </c>
      <c r="C419" s="6">
        <v>0</v>
      </c>
      <c r="D419" s="6">
        <v>0</v>
      </c>
      <c r="E419" s="6">
        <v>40</v>
      </c>
      <c r="F419" s="5" t="s">
        <v>6</v>
      </c>
      <c r="G419" s="5" t="s">
        <v>10</v>
      </c>
      <c r="H419" s="3">
        <v>43801</v>
      </c>
      <c r="I419" s="5" t="s">
        <v>437</v>
      </c>
      <c r="J419" s="5">
        <f>_xlfn.XLOOKUP(CustomerCombined[[#This Row],[ID]], Table4[ID], Table4[Recency], "Not Found", 0)</f>
        <v>29</v>
      </c>
      <c r="K419" s="5">
        <f>_xlfn.XLOOKUP(CustomerCombined[[#This Row],[ID]], Table4[ID], Table4[Teas], "Not Found", 0)</f>
        <v>10</v>
      </c>
      <c r="L419" s="5">
        <f>_xlfn.XLOOKUP(CustomerCombined[[#This Row],[ID]], Table4[ID], Table4[Fruits], "Not Found", 0)</f>
        <v>10</v>
      </c>
      <c r="M419" s="5">
        <f>_xlfn.XLOOKUP(CustomerCombined[[#This Row],[ID]], Table4[ID], Table4[Meats], "Not Found", 0)</f>
        <v>53</v>
      </c>
      <c r="N419" s="5">
        <f>_xlfn.XLOOKUP(CustomerCombined[[#This Row],[ID]], Table4[ID], Table4[Seafood], "Not Found", 0)</f>
        <v>199</v>
      </c>
      <c r="O419" s="5">
        <f>_xlfn.XLOOKUP(CustomerCombined[[#This Row],[ID]], Table4[ID], Table4[Sweets], "Not Found", 0)</f>
        <v>34</v>
      </c>
      <c r="P419" s="5">
        <f>_xlfn.XLOOKUP(CustomerCombined[[#This Row],[ID]], Table4[ID], Table4[Premium], "Not Found", 0)</f>
        <v>53</v>
      </c>
      <c r="Q419" s="5">
        <f>_xlfn.XLOOKUP(CustomerCombined[[#This Row],[ID]], Table4[ID], Table4[Regular], "Not Found", 0)</f>
        <v>252</v>
      </c>
      <c r="R419" s="5">
        <f>_xlfn.XLOOKUP(CustomerCombined[[#This Row],[ID]], Table4[ID], Table4[Deals], "Not Found", 0)</f>
        <v>1</v>
      </c>
      <c r="S419" s="5">
        <f>_xlfn.XLOOKUP(CustomerCombined[[#This Row],[ID]], Table4[ID], Table4[Website], "Not Found", 0)</f>
        <v>2</v>
      </c>
      <c r="T419" s="5">
        <f>_xlfn.XLOOKUP(CustomerCombined[[#This Row],[ID]], Table4[ID], Table4[Catalog], "Not Found", 0)</f>
        <v>0</v>
      </c>
      <c r="U419" s="5">
        <f>_xlfn.XLOOKUP(CustomerCombined[[#This Row],[ID]], Table4[ID], Table4[Store], "Not Found", 0)</f>
        <v>3</v>
      </c>
      <c r="V419" s="5">
        <f>_xlfn.XLOOKUP(CustomerCombined[[#This Row],[ID]], Table4[ID], Table4[Visits], "Not Found", 0)</f>
        <v>8</v>
      </c>
      <c r="W419" s="8">
        <f>_xlfn.XLOOKUP(CustomerCombined[[#This Row],[ID]], Table2[ID],Table2[Complaint], "Not Found", 0 )</f>
        <v>0</v>
      </c>
      <c r="X419" s="8">
        <f>_xlfn.XLOOKUP(CustomerCombined[[#This Row],[ID]], Table2[ID],Table2[Pilot], "Not Found", 0 )</f>
        <v>0</v>
      </c>
      <c r="Y419" s="8">
        <f>_xlfn.XLOOKUP(CustomerCombined[[#This Row],[ID]], Table2[ID],Table2[MC1], "Not Found", 0 )</f>
        <v>0</v>
      </c>
      <c r="Z419" s="8">
        <f>_xlfn.XLOOKUP(CustomerCombined[[#This Row],[ID]], Table2[ID],Table2[MC2], "Not Found", 0 )</f>
        <v>0</v>
      </c>
      <c r="AA419" s="8">
        <f>_xlfn.XLOOKUP(CustomerCombined[[#This Row],[ID]], Table2[ID],Table2[MC3], "Not Found", 0 )</f>
        <v>0</v>
      </c>
      <c r="AB419" s="8">
        <f>_xlfn.XLOOKUP(CustomerCombined[[#This Row],[ID]], Table2[ID],Table2[MC4], "Not Found", 0 )</f>
        <v>0</v>
      </c>
      <c r="AC419" s="8">
        <f>_xlfn.XLOOKUP(CustomerCombined[[#This Row],[ID]], Table2[ID],Table2[MC5], "Not Found", 0 )</f>
        <v>0</v>
      </c>
    </row>
    <row r="420" spans="1:29" x14ac:dyDescent="0.3">
      <c r="A420" s="6">
        <v>1814</v>
      </c>
      <c r="B420" s="6">
        <v>125130</v>
      </c>
      <c r="C420" s="6">
        <v>1</v>
      </c>
      <c r="D420" s="6">
        <v>0</v>
      </c>
      <c r="E420" s="6">
        <v>40</v>
      </c>
      <c r="F420" s="5" t="s">
        <v>8</v>
      </c>
      <c r="G420" s="5" t="s">
        <v>442</v>
      </c>
      <c r="H420" s="3">
        <v>44046</v>
      </c>
      <c r="I420" s="5" t="s">
        <v>438</v>
      </c>
      <c r="J420" s="5">
        <f>_xlfn.XLOOKUP(CustomerCombined[[#This Row],[ID]], Table4[ID], Table4[Recency], "Not Found", 0)</f>
        <v>10</v>
      </c>
      <c r="K420" s="5">
        <f>_xlfn.XLOOKUP(CustomerCombined[[#This Row],[ID]], Table4[ID], Table4[Teas], "Not Found", 0)</f>
        <v>10</v>
      </c>
      <c r="L420" s="5">
        <f>_xlfn.XLOOKUP(CustomerCombined[[#This Row],[ID]], Table4[ID], Table4[Fruits], "Not Found", 0)</f>
        <v>25</v>
      </c>
      <c r="M420" s="5">
        <f>_xlfn.XLOOKUP(CustomerCombined[[#This Row],[ID]], Table4[ID], Table4[Meats], "Not Found", 0)</f>
        <v>35</v>
      </c>
      <c r="N420" s="5">
        <f>_xlfn.XLOOKUP(CustomerCombined[[#This Row],[ID]], Table4[ID], Table4[Seafood], "Not Found", 0)</f>
        <v>0</v>
      </c>
      <c r="O420" s="5">
        <f>_xlfn.XLOOKUP(CustomerCombined[[#This Row],[ID]], Table4[ID], Table4[Sweets], "Not Found", 0)</f>
        <v>90</v>
      </c>
      <c r="P420" s="5">
        <f>_xlfn.XLOOKUP(CustomerCombined[[#This Row],[ID]], Table4[ID], Table4[Premium], "Not Found", 0)</f>
        <v>90</v>
      </c>
      <c r="Q420" s="5">
        <f>_xlfn.XLOOKUP(CustomerCombined[[#This Row],[ID]], Table4[ID], Table4[Regular], "Not Found", 0)</f>
        <v>70</v>
      </c>
      <c r="R420" s="5">
        <f>_xlfn.XLOOKUP(CustomerCombined[[#This Row],[ID]], Table4[ID], Table4[Deals], "Not Found", 0)</f>
        <v>2</v>
      </c>
      <c r="S420" s="5">
        <f>_xlfn.XLOOKUP(CustomerCombined[[#This Row],[ID]], Table4[ID], Table4[Website], "Not Found", 0)</f>
        <v>2</v>
      </c>
      <c r="T420" s="5">
        <f>_xlfn.XLOOKUP(CustomerCombined[[#This Row],[ID]], Table4[ID], Table4[Catalog], "Not Found", 0)</f>
        <v>0</v>
      </c>
      <c r="U420" s="5">
        <f>_xlfn.XLOOKUP(CustomerCombined[[#This Row],[ID]], Table4[ID], Table4[Store], "Not Found", 0)</f>
        <v>3</v>
      </c>
      <c r="V420" s="5">
        <f>_xlfn.XLOOKUP(CustomerCombined[[#This Row],[ID]], Table4[ID], Table4[Visits], "Not Found", 0)</f>
        <v>7</v>
      </c>
      <c r="W420" s="8">
        <f>_xlfn.XLOOKUP(CustomerCombined[[#This Row],[ID]], Table2[ID],Table2[Complaint], "Not Found", 0 )</f>
        <v>0</v>
      </c>
      <c r="X420" s="8">
        <f>_xlfn.XLOOKUP(CustomerCombined[[#This Row],[ID]], Table2[ID],Table2[Pilot], "Not Found", 0 )</f>
        <v>0</v>
      </c>
      <c r="Y420" s="8">
        <f>_xlfn.XLOOKUP(CustomerCombined[[#This Row],[ID]], Table2[ID],Table2[MC1], "Not Found", 0 )</f>
        <v>0</v>
      </c>
      <c r="Z420" s="8">
        <f>_xlfn.XLOOKUP(CustomerCombined[[#This Row],[ID]], Table2[ID],Table2[MC2], "Not Found", 0 )</f>
        <v>0</v>
      </c>
      <c r="AA420" s="8">
        <f>_xlfn.XLOOKUP(CustomerCombined[[#This Row],[ID]], Table2[ID],Table2[MC3], "Not Found", 0 )</f>
        <v>0</v>
      </c>
      <c r="AB420" s="8">
        <f>_xlfn.XLOOKUP(CustomerCombined[[#This Row],[ID]], Table2[ID],Table2[MC4], "Not Found", 0 )</f>
        <v>0</v>
      </c>
      <c r="AC420" s="8">
        <f>_xlfn.XLOOKUP(CustomerCombined[[#This Row],[ID]], Table2[ID],Table2[MC5], "Not Found", 0 )</f>
        <v>0</v>
      </c>
    </row>
    <row r="421" spans="1:29" x14ac:dyDescent="0.3">
      <c r="A421" s="6">
        <v>2459</v>
      </c>
      <c r="B421" s="6">
        <v>119107</v>
      </c>
      <c r="C421" s="6">
        <v>1</v>
      </c>
      <c r="D421" s="6">
        <v>0</v>
      </c>
      <c r="E421" s="6">
        <v>40</v>
      </c>
      <c r="F421" s="5" t="s">
        <v>6</v>
      </c>
      <c r="G421" s="5" t="s">
        <v>11</v>
      </c>
      <c r="H421" s="3" t="s">
        <v>195</v>
      </c>
      <c r="I421" s="5" t="s">
        <v>434</v>
      </c>
      <c r="J421" s="5">
        <f>_xlfn.XLOOKUP(CustomerCombined[[#This Row],[ID]], Table4[ID], Table4[Recency], "Not Found", 0)</f>
        <v>49</v>
      </c>
      <c r="K421" s="5">
        <f>_xlfn.XLOOKUP(CustomerCombined[[#This Row],[ID]], Table4[ID], Table4[Teas], "Not Found", 0)</f>
        <v>12</v>
      </c>
      <c r="L421" s="5">
        <f>_xlfn.XLOOKUP(CustomerCombined[[#This Row],[ID]], Table4[ID], Table4[Fruits], "Not Found", 0)</f>
        <v>25</v>
      </c>
      <c r="M421" s="5">
        <f>_xlfn.XLOOKUP(CustomerCombined[[#This Row],[ID]], Table4[ID], Table4[Meats], "Not Found", 0)</f>
        <v>56</v>
      </c>
      <c r="N421" s="5">
        <f>_xlfn.XLOOKUP(CustomerCombined[[#This Row],[ID]], Table4[ID], Table4[Seafood], "Not Found", 0)</f>
        <v>62</v>
      </c>
      <c r="O421" s="5">
        <f>_xlfn.XLOOKUP(CustomerCombined[[#This Row],[ID]], Table4[ID], Table4[Sweets], "Not Found", 0)</f>
        <v>31</v>
      </c>
      <c r="P421" s="5">
        <f>_xlfn.XLOOKUP(CustomerCombined[[#This Row],[ID]], Table4[ID], Table4[Premium], "Not Found", 0)</f>
        <v>100</v>
      </c>
      <c r="Q421" s="5">
        <f>_xlfn.XLOOKUP(CustomerCombined[[#This Row],[ID]], Table4[ID], Table4[Regular], "Not Found", 0)</f>
        <v>87</v>
      </c>
      <c r="R421" s="5">
        <f>_xlfn.XLOOKUP(CustomerCombined[[#This Row],[ID]], Table4[ID], Table4[Deals], "Not Found", 0)</f>
        <v>2</v>
      </c>
      <c r="S421" s="5">
        <f>_xlfn.XLOOKUP(CustomerCombined[[#This Row],[ID]], Table4[ID], Table4[Website], "Not Found", 0)</f>
        <v>1</v>
      </c>
      <c r="T421" s="5">
        <f>_xlfn.XLOOKUP(CustomerCombined[[#This Row],[ID]], Table4[ID], Table4[Catalog], "Not Found", 0)</f>
        <v>0</v>
      </c>
      <c r="U421" s="5">
        <f>_xlfn.XLOOKUP(CustomerCombined[[#This Row],[ID]], Table4[ID], Table4[Store], "Not Found", 0)</f>
        <v>3</v>
      </c>
      <c r="V421" s="5">
        <f>_xlfn.XLOOKUP(CustomerCombined[[#This Row],[ID]], Table4[ID], Table4[Visits], "Not Found", 0)</f>
        <v>7</v>
      </c>
      <c r="W421" s="8">
        <f>_xlfn.XLOOKUP(CustomerCombined[[#This Row],[ID]], Table2[ID],Table2[Complaint], "Not Found", 0 )</f>
        <v>0</v>
      </c>
      <c r="X421" s="8">
        <f>_xlfn.XLOOKUP(CustomerCombined[[#This Row],[ID]], Table2[ID],Table2[Pilot], "Not Found", 0 )</f>
        <v>0</v>
      </c>
      <c r="Y421" s="8">
        <f>_xlfn.XLOOKUP(CustomerCombined[[#This Row],[ID]], Table2[ID],Table2[MC1], "Not Found", 0 )</f>
        <v>0</v>
      </c>
      <c r="Z421" s="8">
        <f>_xlfn.XLOOKUP(CustomerCombined[[#This Row],[ID]], Table2[ID],Table2[MC2], "Not Found", 0 )</f>
        <v>0</v>
      </c>
      <c r="AA421" s="8">
        <f>_xlfn.XLOOKUP(CustomerCombined[[#This Row],[ID]], Table2[ID],Table2[MC3], "Not Found", 0 )</f>
        <v>0</v>
      </c>
      <c r="AB421" s="8">
        <f>_xlfn.XLOOKUP(CustomerCombined[[#This Row],[ID]], Table2[ID],Table2[MC4], "Not Found", 0 )</f>
        <v>0</v>
      </c>
      <c r="AC421" s="8">
        <f>_xlfn.XLOOKUP(CustomerCombined[[#This Row],[ID]], Table2[ID],Table2[MC5], "Not Found", 0 )</f>
        <v>0</v>
      </c>
    </row>
    <row r="422" spans="1:29" x14ac:dyDescent="0.3">
      <c r="A422" s="6">
        <v>3101</v>
      </c>
      <c r="B422" s="6">
        <v>116005</v>
      </c>
      <c r="C422" s="6">
        <v>1</v>
      </c>
      <c r="D422" s="6">
        <v>0</v>
      </c>
      <c r="E422" s="6">
        <v>40</v>
      </c>
      <c r="F422" s="5" t="s">
        <v>6</v>
      </c>
      <c r="G422" s="5" t="s">
        <v>10</v>
      </c>
      <c r="H422" s="3" t="s">
        <v>414</v>
      </c>
      <c r="I422" s="5" t="s">
        <v>434</v>
      </c>
      <c r="J422" s="5">
        <f>_xlfn.XLOOKUP(CustomerCombined[[#This Row],[ID]], Table4[ID], Table4[Recency], "Not Found", 0)</f>
        <v>69</v>
      </c>
      <c r="K422" s="5">
        <f>_xlfn.XLOOKUP(CustomerCombined[[#This Row],[ID]], Table4[ID], Table4[Teas], "Not Found", 0)</f>
        <v>7</v>
      </c>
      <c r="L422" s="5">
        <f>_xlfn.XLOOKUP(CustomerCombined[[#This Row],[ID]], Table4[ID], Table4[Fruits], "Not Found", 0)</f>
        <v>22</v>
      </c>
      <c r="M422" s="5">
        <f>_xlfn.XLOOKUP(CustomerCombined[[#This Row],[ID]], Table4[ID], Table4[Meats], "Not Found", 0)</f>
        <v>14</v>
      </c>
      <c r="N422" s="5">
        <f>_xlfn.XLOOKUP(CustomerCombined[[#This Row],[ID]], Table4[ID], Table4[Seafood], "Not Found", 0)</f>
        <v>145</v>
      </c>
      <c r="O422" s="5">
        <f>_xlfn.XLOOKUP(CustomerCombined[[#This Row],[ID]], Table4[ID], Table4[Sweets], "Not Found", 0)</f>
        <v>217</v>
      </c>
      <c r="P422" s="5">
        <f>_xlfn.XLOOKUP(CustomerCombined[[#This Row],[ID]], Table4[ID], Table4[Premium], "Not Found", 0)</f>
        <v>341</v>
      </c>
      <c r="Q422" s="5">
        <f>_xlfn.XLOOKUP(CustomerCombined[[#This Row],[ID]], Table4[ID], Table4[Regular], "Not Found", 0)</f>
        <v>65</v>
      </c>
      <c r="R422" s="5">
        <f>_xlfn.XLOOKUP(CustomerCombined[[#This Row],[ID]], Table4[ID], Table4[Deals], "Not Found", 0)</f>
        <v>3</v>
      </c>
      <c r="S422" s="5">
        <f>_xlfn.XLOOKUP(CustomerCombined[[#This Row],[ID]], Table4[ID], Table4[Website], "Not Found", 0)</f>
        <v>2</v>
      </c>
      <c r="T422" s="5">
        <f>_xlfn.XLOOKUP(CustomerCombined[[#This Row],[ID]], Table4[ID], Table4[Catalog], "Not Found", 0)</f>
        <v>1</v>
      </c>
      <c r="U422" s="5">
        <f>_xlfn.XLOOKUP(CustomerCombined[[#This Row],[ID]], Table4[ID], Table4[Store], "Not Found", 0)</f>
        <v>2</v>
      </c>
      <c r="V422" s="5">
        <f>_xlfn.XLOOKUP(CustomerCombined[[#This Row],[ID]], Table4[ID], Table4[Visits], "Not Found", 0)</f>
        <v>8</v>
      </c>
      <c r="W422" s="8">
        <f>_xlfn.XLOOKUP(CustomerCombined[[#This Row],[ID]], Table2[ID],Table2[Complaint], "Not Found", 0 )</f>
        <v>0</v>
      </c>
      <c r="X422" s="8">
        <f>_xlfn.XLOOKUP(CustomerCombined[[#This Row],[ID]], Table2[ID],Table2[Pilot], "Not Found", 0 )</f>
        <v>0</v>
      </c>
      <c r="Y422" s="8">
        <f>_xlfn.XLOOKUP(CustomerCombined[[#This Row],[ID]], Table2[ID],Table2[MC1], "Not Found", 0 )</f>
        <v>0</v>
      </c>
      <c r="Z422" s="8">
        <f>_xlfn.XLOOKUP(CustomerCombined[[#This Row],[ID]], Table2[ID],Table2[MC2], "Not Found", 0 )</f>
        <v>0</v>
      </c>
      <c r="AA422" s="8">
        <f>_xlfn.XLOOKUP(CustomerCombined[[#This Row],[ID]], Table2[ID],Table2[MC3], "Not Found", 0 )</f>
        <v>0</v>
      </c>
      <c r="AB422" s="8">
        <f>_xlfn.XLOOKUP(CustomerCombined[[#This Row],[ID]], Table2[ID],Table2[MC4], "Not Found", 0 )</f>
        <v>0</v>
      </c>
      <c r="AC422" s="8">
        <f>_xlfn.XLOOKUP(CustomerCombined[[#This Row],[ID]], Table2[ID],Table2[MC5], "Not Found", 0 )</f>
        <v>0</v>
      </c>
    </row>
    <row r="423" spans="1:29" x14ac:dyDescent="0.3">
      <c r="A423" s="6">
        <v>1830</v>
      </c>
      <c r="B423" s="6">
        <v>115072</v>
      </c>
      <c r="C423" s="6">
        <v>2</v>
      </c>
      <c r="D423" s="6">
        <v>0</v>
      </c>
      <c r="E423" s="6">
        <v>40</v>
      </c>
      <c r="F423" s="5" t="s">
        <v>6</v>
      </c>
      <c r="G423" s="5" t="s">
        <v>11</v>
      </c>
      <c r="H423" s="3" t="s">
        <v>261</v>
      </c>
      <c r="I423" s="5" t="s">
        <v>436</v>
      </c>
      <c r="J423" s="5">
        <f>_xlfn.XLOOKUP(CustomerCombined[[#This Row],[ID]], Table4[ID], Table4[Recency], "Not Found", 0)</f>
        <v>96</v>
      </c>
      <c r="K423" s="5">
        <f>_xlfn.XLOOKUP(CustomerCombined[[#This Row],[ID]], Table4[ID], Table4[Teas], "Not Found", 0)</f>
        <v>61</v>
      </c>
      <c r="L423" s="5">
        <f>_xlfn.XLOOKUP(CustomerCombined[[#This Row],[ID]], Table4[ID], Table4[Fruits], "Not Found", 0)</f>
        <v>15</v>
      </c>
      <c r="M423" s="5">
        <f>_xlfn.XLOOKUP(CustomerCombined[[#This Row],[ID]], Table4[ID], Table4[Meats], "Not Found", 0)</f>
        <v>115</v>
      </c>
      <c r="N423" s="5">
        <f>_xlfn.XLOOKUP(CustomerCombined[[#This Row],[ID]], Table4[ID], Table4[Seafood], "Not Found", 0)</f>
        <v>0</v>
      </c>
      <c r="O423" s="5">
        <f>_xlfn.XLOOKUP(CustomerCombined[[#This Row],[ID]], Table4[ID], Table4[Sweets], "Not Found", 0)</f>
        <v>76</v>
      </c>
      <c r="P423" s="5">
        <f>_xlfn.XLOOKUP(CustomerCombined[[#This Row],[ID]], Table4[ID], Table4[Premium], "Not Found", 0)</f>
        <v>137</v>
      </c>
      <c r="Q423" s="5">
        <f>_xlfn.XLOOKUP(CustomerCombined[[#This Row],[ID]], Table4[ID], Table4[Regular], "Not Found", 0)</f>
        <v>130</v>
      </c>
      <c r="R423" s="5">
        <f>_xlfn.XLOOKUP(CustomerCombined[[#This Row],[ID]], Table4[ID], Table4[Deals], "Not Found", 0)</f>
        <v>4</v>
      </c>
      <c r="S423" s="5">
        <f>_xlfn.XLOOKUP(CustomerCombined[[#This Row],[ID]], Table4[ID], Table4[Website], "Not Found", 0)</f>
        <v>3</v>
      </c>
      <c r="T423" s="5">
        <f>_xlfn.XLOOKUP(CustomerCombined[[#This Row],[ID]], Table4[ID], Table4[Catalog], "Not Found", 0)</f>
        <v>1</v>
      </c>
      <c r="U423" s="5">
        <f>_xlfn.XLOOKUP(CustomerCombined[[#This Row],[ID]], Table4[ID], Table4[Store], "Not Found", 0)</f>
        <v>3</v>
      </c>
      <c r="V423" s="5">
        <f>_xlfn.XLOOKUP(CustomerCombined[[#This Row],[ID]], Table4[ID], Table4[Visits], "Not Found", 0)</f>
        <v>5</v>
      </c>
      <c r="W423" s="8">
        <f>_xlfn.XLOOKUP(CustomerCombined[[#This Row],[ID]], Table2[ID],Table2[Complaint], "Not Found", 0 )</f>
        <v>0</v>
      </c>
      <c r="X423" s="8">
        <f>_xlfn.XLOOKUP(CustomerCombined[[#This Row],[ID]], Table2[ID],Table2[Pilot], "Not Found", 0 )</f>
        <v>0</v>
      </c>
      <c r="Y423" s="8">
        <f>_xlfn.XLOOKUP(CustomerCombined[[#This Row],[ID]], Table2[ID],Table2[MC1], "Not Found", 0 )</f>
        <v>0</v>
      </c>
      <c r="Z423" s="8">
        <f>_xlfn.XLOOKUP(CustomerCombined[[#This Row],[ID]], Table2[ID],Table2[MC2], "Not Found", 0 )</f>
        <v>0</v>
      </c>
      <c r="AA423" s="8">
        <f>_xlfn.XLOOKUP(CustomerCombined[[#This Row],[ID]], Table2[ID],Table2[MC3], "Not Found", 0 )</f>
        <v>0</v>
      </c>
      <c r="AB423" s="8">
        <f>_xlfn.XLOOKUP(CustomerCombined[[#This Row],[ID]], Table2[ID],Table2[MC4], "Not Found", 0 )</f>
        <v>0</v>
      </c>
      <c r="AC423" s="8">
        <f>_xlfn.XLOOKUP(CustomerCombined[[#This Row],[ID]], Table2[ID],Table2[MC5], "Not Found", 0 )</f>
        <v>0</v>
      </c>
    </row>
    <row r="424" spans="1:29" x14ac:dyDescent="0.3">
      <c r="A424" s="6">
        <v>1383</v>
      </c>
      <c r="B424" s="6">
        <v>114515</v>
      </c>
      <c r="C424" s="6">
        <v>1</v>
      </c>
      <c r="D424" s="6">
        <v>0</v>
      </c>
      <c r="E424" s="6">
        <v>40</v>
      </c>
      <c r="F424" s="5" t="s">
        <v>8</v>
      </c>
      <c r="G424" s="5" t="s">
        <v>442</v>
      </c>
      <c r="H424" s="3" t="s">
        <v>366</v>
      </c>
      <c r="I424" s="5" t="s">
        <v>435</v>
      </c>
      <c r="J424" s="5">
        <f>_xlfn.XLOOKUP(CustomerCombined[[#This Row],[ID]], Table4[ID], Table4[Recency], "Not Found", 0)</f>
        <v>71</v>
      </c>
      <c r="K424" s="5">
        <f>_xlfn.XLOOKUP(CustomerCombined[[#This Row],[ID]], Table4[ID], Table4[Teas], "Not Found", 0)</f>
        <v>47</v>
      </c>
      <c r="L424" s="5">
        <f>_xlfn.XLOOKUP(CustomerCombined[[#This Row],[ID]], Table4[ID], Table4[Fruits], "Not Found", 0)</f>
        <v>32</v>
      </c>
      <c r="M424" s="5">
        <f>_xlfn.XLOOKUP(CustomerCombined[[#This Row],[ID]], Table4[ID], Table4[Meats], "Not Found", 0)</f>
        <v>71</v>
      </c>
      <c r="N424" s="5">
        <f>_xlfn.XLOOKUP(CustomerCombined[[#This Row],[ID]], Table4[ID], Table4[Seafood], "Not Found", 0)</f>
        <v>47</v>
      </c>
      <c r="O424" s="5">
        <f>_xlfn.XLOOKUP(CustomerCombined[[#This Row],[ID]], Table4[ID], Table4[Sweets], "Not Found", 0)</f>
        <v>284</v>
      </c>
      <c r="P424" s="5">
        <f>_xlfn.XLOOKUP(CustomerCombined[[#This Row],[ID]], Table4[ID], Table4[Premium], "Not Found", 0)</f>
        <v>276</v>
      </c>
      <c r="Q424" s="5">
        <f>_xlfn.XLOOKUP(CustomerCombined[[#This Row],[ID]], Table4[ID], Table4[Regular], "Not Found", 0)</f>
        <v>205</v>
      </c>
      <c r="R424" s="5">
        <f>_xlfn.XLOOKUP(CustomerCombined[[#This Row],[ID]], Table4[ID], Table4[Deals], "Not Found", 0)</f>
        <v>4</v>
      </c>
      <c r="S424" s="5">
        <f>_xlfn.XLOOKUP(CustomerCombined[[#This Row],[ID]], Table4[ID], Table4[Website], "Not Found", 0)</f>
        <v>2</v>
      </c>
      <c r="T424" s="5">
        <f>_xlfn.XLOOKUP(CustomerCombined[[#This Row],[ID]], Table4[ID], Table4[Catalog], "Not Found", 0)</f>
        <v>2</v>
      </c>
      <c r="U424" s="5">
        <f>_xlfn.XLOOKUP(CustomerCombined[[#This Row],[ID]], Table4[ID], Table4[Store], "Not Found", 0)</f>
        <v>3</v>
      </c>
      <c r="V424" s="5">
        <f>_xlfn.XLOOKUP(CustomerCombined[[#This Row],[ID]], Table4[ID], Table4[Visits], "Not Found", 0)</f>
        <v>7</v>
      </c>
      <c r="W424" s="8">
        <f>_xlfn.XLOOKUP(CustomerCombined[[#This Row],[ID]], Table2[ID],Table2[Complaint], "Not Found", 0 )</f>
        <v>0</v>
      </c>
      <c r="X424" s="8">
        <f>_xlfn.XLOOKUP(CustomerCombined[[#This Row],[ID]], Table2[ID],Table2[Pilot], "Not Found", 0 )</f>
        <v>1</v>
      </c>
      <c r="Y424" s="8">
        <f>_xlfn.XLOOKUP(CustomerCombined[[#This Row],[ID]], Table2[ID],Table2[MC1], "Not Found", 0 )</f>
        <v>0</v>
      </c>
      <c r="Z424" s="8">
        <f>_xlfn.XLOOKUP(CustomerCombined[[#This Row],[ID]], Table2[ID],Table2[MC2], "Not Found", 0 )</f>
        <v>0</v>
      </c>
      <c r="AA424" s="8">
        <f>_xlfn.XLOOKUP(CustomerCombined[[#This Row],[ID]], Table2[ID],Table2[MC3], "Not Found", 0 )</f>
        <v>0</v>
      </c>
      <c r="AB424" s="8">
        <f>_xlfn.XLOOKUP(CustomerCombined[[#This Row],[ID]], Table2[ID],Table2[MC4], "Not Found", 0 )</f>
        <v>0</v>
      </c>
      <c r="AC424" s="8">
        <f>_xlfn.XLOOKUP(CustomerCombined[[#This Row],[ID]], Table2[ID],Table2[MC5], "Not Found", 0 )</f>
        <v>0</v>
      </c>
    </row>
    <row r="425" spans="1:29" x14ac:dyDescent="0.3">
      <c r="A425" s="6">
        <v>1374</v>
      </c>
      <c r="B425" s="6">
        <v>190300</v>
      </c>
      <c r="C425" s="6">
        <v>0</v>
      </c>
      <c r="D425" s="6">
        <v>0</v>
      </c>
      <c r="E425" s="6">
        <v>41</v>
      </c>
      <c r="F425" s="5" t="s">
        <v>8</v>
      </c>
      <c r="G425" s="5" t="s">
        <v>11</v>
      </c>
      <c r="H425" s="3">
        <v>44080</v>
      </c>
      <c r="I425" s="5" t="s">
        <v>436</v>
      </c>
      <c r="J425" s="5">
        <f>_xlfn.XLOOKUP(CustomerCombined[[#This Row],[ID]], Table4[ID], Table4[Recency], "Not Found", 0)</f>
        <v>7</v>
      </c>
      <c r="K425" s="5">
        <f>_xlfn.XLOOKUP(CustomerCombined[[#This Row],[ID]], Table4[ID], Table4[Teas], "Not Found", 0)</f>
        <v>1252</v>
      </c>
      <c r="L425" s="5">
        <f>_xlfn.XLOOKUP(CustomerCombined[[#This Row],[ID]], Table4[ID], Table4[Fruits], "Not Found", 0)</f>
        <v>282</v>
      </c>
      <c r="M425" s="5">
        <f>_xlfn.XLOOKUP(CustomerCombined[[#This Row],[ID]], Table4[ID], Table4[Meats], "Not Found", 0)</f>
        <v>1656</v>
      </c>
      <c r="N425" s="5">
        <f>_xlfn.XLOOKUP(CustomerCombined[[#This Row],[ID]], Table4[ID], Table4[Seafood], "Not Found", 0)</f>
        <v>70</v>
      </c>
      <c r="O425" s="5">
        <f>_xlfn.XLOOKUP(CustomerCombined[[#This Row],[ID]], Table4[ID], Table4[Sweets], "Not Found", 0)</f>
        <v>282</v>
      </c>
      <c r="P425" s="5">
        <f>_xlfn.XLOOKUP(CustomerCombined[[#This Row],[ID]], Table4[ID], Table4[Premium], "Not Found", 0)</f>
        <v>120</v>
      </c>
      <c r="Q425" s="5">
        <f>_xlfn.XLOOKUP(CustomerCombined[[#This Row],[ID]], Table4[ID], Table4[Regular], "Not Found", 0)</f>
        <v>3422</v>
      </c>
      <c r="R425" s="5">
        <f>_xlfn.XLOOKUP(CustomerCombined[[#This Row],[ID]], Table4[ID], Table4[Deals], "Not Found", 0)</f>
        <v>0</v>
      </c>
      <c r="S425" s="5">
        <f>_xlfn.XLOOKUP(CustomerCombined[[#This Row],[ID]], Table4[ID], Table4[Website], "Not Found", 0)</f>
        <v>5</v>
      </c>
      <c r="T425" s="5">
        <f>_xlfn.XLOOKUP(CustomerCombined[[#This Row],[ID]], Table4[ID], Table4[Catalog], "Not Found", 0)</f>
        <v>6</v>
      </c>
      <c r="U425" s="5">
        <f>_xlfn.XLOOKUP(CustomerCombined[[#This Row],[ID]], Table4[ID], Table4[Store], "Not Found", 0)</f>
        <v>8</v>
      </c>
      <c r="V425" s="5">
        <f>_xlfn.XLOOKUP(CustomerCombined[[#This Row],[ID]], Table4[ID], Table4[Visits], "Not Found", 0)</f>
        <v>1</v>
      </c>
      <c r="W425" s="8">
        <f>_xlfn.XLOOKUP(CustomerCombined[[#This Row],[ID]], Table2[ID],Table2[Complaint], "Not Found", 0 )</f>
        <v>0</v>
      </c>
      <c r="X425" s="8">
        <f>_xlfn.XLOOKUP(CustomerCombined[[#This Row],[ID]], Table2[ID],Table2[Pilot], "Not Found", 0 )</f>
        <v>0</v>
      </c>
      <c r="Y425" s="8">
        <f>_xlfn.XLOOKUP(CustomerCombined[[#This Row],[ID]], Table2[ID],Table2[MC1], "Not Found", 0 )</f>
        <v>0</v>
      </c>
      <c r="Z425" s="8">
        <f>_xlfn.XLOOKUP(CustomerCombined[[#This Row],[ID]], Table2[ID],Table2[MC2], "Not Found", 0 )</f>
        <v>0</v>
      </c>
      <c r="AA425" s="8">
        <f>_xlfn.XLOOKUP(CustomerCombined[[#This Row],[ID]], Table2[ID],Table2[MC3], "Not Found", 0 )</f>
        <v>0</v>
      </c>
      <c r="AB425" s="8">
        <f>_xlfn.XLOOKUP(CustomerCombined[[#This Row],[ID]], Table2[ID],Table2[MC4], "Not Found", 0 )</f>
        <v>0</v>
      </c>
      <c r="AC425" s="8">
        <f>_xlfn.XLOOKUP(CustomerCombined[[#This Row],[ID]], Table2[ID],Table2[MC5], "Not Found", 0 )</f>
        <v>1</v>
      </c>
    </row>
    <row r="426" spans="1:29" x14ac:dyDescent="0.3">
      <c r="A426" s="6">
        <v>1063</v>
      </c>
      <c r="B426" s="6">
        <v>188194</v>
      </c>
      <c r="C426" s="6">
        <v>0</v>
      </c>
      <c r="D426" s="6">
        <v>1</v>
      </c>
      <c r="E426" s="6">
        <v>41</v>
      </c>
      <c r="F426" s="5" t="s">
        <v>7</v>
      </c>
      <c r="G426" s="5" t="s">
        <v>442</v>
      </c>
      <c r="H426" s="3" t="s">
        <v>82</v>
      </c>
      <c r="I426" s="5" t="s">
        <v>437</v>
      </c>
      <c r="J426" s="5">
        <f>_xlfn.XLOOKUP(CustomerCombined[[#This Row],[ID]], Table4[ID], Table4[Recency], "Not Found", 0)</f>
        <v>19</v>
      </c>
      <c r="K426" s="5">
        <f>_xlfn.XLOOKUP(CustomerCombined[[#This Row],[ID]], Table4[ID], Table4[Teas], "Not Found", 0)</f>
        <v>1468</v>
      </c>
      <c r="L426" s="5">
        <f>_xlfn.XLOOKUP(CustomerCombined[[#This Row],[ID]], Table4[ID], Table4[Fruits], "Not Found", 0)</f>
        <v>30</v>
      </c>
      <c r="M426" s="5">
        <f>_xlfn.XLOOKUP(CustomerCombined[[#This Row],[ID]], Table4[ID], Table4[Meats], "Not Found", 0)</f>
        <v>659</v>
      </c>
      <c r="N426" s="5">
        <f>_xlfn.XLOOKUP(CustomerCombined[[#This Row],[ID]], Table4[ID], Table4[Seafood], "Not Found", 0)</f>
        <v>429</v>
      </c>
      <c r="O426" s="5">
        <f>_xlfn.XLOOKUP(CustomerCombined[[#This Row],[ID]], Table4[ID], Table4[Sweets], "Not Found", 0)</f>
        <v>51</v>
      </c>
      <c r="P426" s="5">
        <f>_xlfn.XLOOKUP(CustomerCombined[[#This Row],[ID]], Table4[ID], Table4[Premium], "Not Found", 0)</f>
        <v>81</v>
      </c>
      <c r="Q426" s="5">
        <f>_xlfn.XLOOKUP(CustomerCombined[[#This Row],[ID]], Table4[ID], Table4[Regular], "Not Found", 0)</f>
        <v>2556</v>
      </c>
      <c r="R426" s="5">
        <f>_xlfn.XLOOKUP(CustomerCombined[[#This Row],[ID]], Table4[ID], Table4[Deals], "Not Found", 0)</f>
        <v>1</v>
      </c>
      <c r="S426" s="5">
        <f>_xlfn.XLOOKUP(CustomerCombined[[#This Row],[ID]], Table4[ID], Table4[Website], "Not Found", 0)</f>
        <v>11</v>
      </c>
      <c r="T426" s="5">
        <f>_xlfn.XLOOKUP(CustomerCombined[[#This Row],[ID]], Table4[ID], Table4[Catalog], "Not Found", 0)</f>
        <v>10</v>
      </c>
      <c r="U426" s="5">
        <f>_xlfn.XLOOKUP(CustomerCombined[[#This Row],[ID]], Table4[ID], Table4[Store], "Not Found", 0)</f>
        <v>10</v>
      </c>
      <c r="V426" s="5">
        <f>_xlfn.XLOOKUP(CustomerCombined[[#This Row],[ID]], Table4[ID], Table4[Visits], "Not Found", 0)</f>
        <v>5</v>
      </c>
      <c r="W426" s="8">
        <f>_xlfn.XLOOKUP(CustomerCombined[[#This Row],[ID]], Table2[ID],Table2[Complaint], "Not Found", 0 )</f>
        <v>0</v>
      </c>
      <c r="X426" s="8">
        <f>_xlfn.XLOOKUP(CustomerCombined[[#This Row],[ID]], Table2[ID],Table2[Pilot], "Not Found", 0 )</f>
        <v>1</v>
      </c>
      <c r="Y426" s="8">
        <f>_xlfn.XLOOKUP(CustomerCombined[[#This Row],[ID]], Table2[ID],Table2[MC1], "Not Found", 0 )</f>
        <v>1</v>
      </c>
      <c r="Z426" s="8">
        <f>_xlfn.XLOOKUP(CustomerCombined[[#This Row],[ID]], Table2[ID],Table2[MC2], "Not Found", 0 )</f>
        <v>0</v>
      </c>
      <c r="AA426" s="8">
        <f>_xlfn.XLOOKUP(CustomerCombined[[#This Row],[ID]], Table2[ID],Table2[MC3], "Not Found", 0 )</f>
        <v>1</v>
      </c>
      <c r="AB426" s="8">
        <f>_xlfn.XLOOKUP(CustomerCombined[[#This Row],[ID]], Table2[ID],Table2[MC4], "Not Found", 0 )</f>
        <v>0</v>
      </c>
      <c r="AC426" s="8">
        <f>_xlfn.XLOOKUP(CustomerCombined[[#This Row],[ID]], Table2[ID],Table2[MC5], "Not Found", 0 )</f>
        <v>0</v>
      </c>
    </row>
    <row r="427" spans="1:29" x14ac:dyDescent="0.3">
      <c r="A427" s="6">
        <v>1094</v>
      </c>
      <c r="B427" s="6">
        <v>185693</v>
      </c>
      <c r="C427" s="6">
        <v>0</v>
      </c>
      <c r="D427" s="6">
        <v>1</v>
      </c>
      <c r="E427" s="6">
        <v>41</v>
      </c>
      <c r="F427" s="5" t="s">
        <v>8</v>
      </c>
      <c r="G427" s="5" t="s">
        <v>11</v>
      </c>
      <c r="H427" s="3" t="s">
        <v>269</v>
      </c>
      <c r="I427" s="5" t="s">
        <v>438</v>
      </c>
      <c r="J427" s="5">
        <f>_xlfn.XLOOKUP(CustomerCombined[[#This Row],[ID]], Table4[ID], Table4[Recency], "Not Found", 0)</f>
        <v>59</v>
      </c>
      <c r="K427" s="5">
        <f>_xlfn.XLOOKUP(CustomerCombined[[#This Row],[ID]], Table4[ID], Table4[Teas], "Not Found", 0)</f>
        <v>836</v>
      </c>
      <c r="L427" s="5">
        <f>_xlfn.XLOOKUP(CustomerCombined[[#This Row],[ID]], Table4[ID], Table4[Fruits], "Not Found", 0)</f>
        <v>373</v>
      </c>
      <c r="M427" s="5">
        <f>_xlfn.XLOOKUP(CustomerCombined[[#This Row],[ID]], Table4[ID], Table4[Meats], "Not Found", 0)</f>
        <v>397</v>
      </c>
      <c r="N427" s="5">
        <f>_xlfn.XLOOKUP(CustomerCombined[[#This Row],[ID]], Table4[ID], Table4[Seafood], "Not Found", 0)</f>
        <v>401</v>
      </c>
      <c r="O427" s="5">
        <f>_xlfn.XLOOKUP(CustomerCombined[[#This Row],[ID]], Table4[ID], Table4[Sweets], "Not Found", 0)</f>
        <v>286</v>
      </c>
      <c r="P427" s="5">
        <f>_xlfn.XLOOKUP(CustomerCombined[[#This Row],[ID]], Table4[ID], Table4[Premium], "Not Found", 0)</f>
        <v>241</v>
      </c>
      <c r="Q427" s="5">
        <f>_xlfn.XLOOKUP(CustomerCombined[[#This Row],[ID]], Table4[ID], Table4[Regular], "Not Found", 0)</f>
        <v>2052</v>
      </c>
      <c r="R427" s="5">
        <f>_xlfn.XLOOKUP(CustomerCombined[[#This Row],[ID]], Table4[ID], Table4[Deals], "Not Found", 0)</f>
        <v>2</v>
      </c>
      <c r="S427" s="5">
        <f>_xlfn.XLOOKUP(CustomerCombined[[#This Row],[ID]], Table4[ID], Table4[Website], "Not Found", 0)</f>
        <v>9</v>
      </c>
      <c r="T427" s="5">
        <f>_xlfn.XLOOKUP(CustomerCombined[[#This Row],[ID]], Table4[ID], Table4[Catalog], "Not Found", 0)</f>
        <v>5</v>
      </c>
      <c r="U427" s="5">
        <f>_xlfn.XLOOKUP(CustomerCombined[[#This Row],[ID]], Table4[ID], Table4[Store], "Not Found", 0)</f>
        <v>11</v>
      </c>
      <c r="V427" s="5">
        <f>_xlfn.XLOOKUP(CustomerCombined[[#This Row],[ID]], Table4[ID], Table4[Visits], "Not Found", 0)</f>
        <v>5</v>
      </c>
      <c r="W427" s="8">
        <f>_xlfn.XLOOKUP(CustomerCombined[[#This Row],[ID]], Table2[ID],Table2[Complaint], "Not Found", 0 )</f>
        <v>0</v>
      </c>
      <c r="X427" s="8">
        <f>_xlfn.XLOOKUP(CustomerCombined[[#This Row],[ID]], Table2[ID],Table2[Pilot], "Not Found", 0 )</f>
        <v>0</v>
      </c>
      <c r="Y427" s="8">
        <f>_xlfn.XLOOKUP(CustomerCombined[[#This Row],[ID]], Table2[ID],Table2[MC1], "Not Found", 0 )</f>
        <v>0</v>
      </c>
      <c r="Z427" s="8">
        <f>_xlfn.XLOOKUP(CustomerCombined[[#This Row],[ID]], Table2[ID],Table2[MC2], "Not Found", 0 )</f>
        <v>0</v>
      </c>
      <c r="AA427" s="8">
        <f>_xlfn.XLOOKUP(CustomerCombined[[#This Row],[ID]], Table2[ID],Table2[MC3], "Not Found", 0 )</f>
        <v>0</v>
      </c>
      <c r="AB427" s="8">
        <f>_xlfn.XLOOKUP(CustomerCombined[[#This Row],[ID]], Table2[ID],Table2[MC4], "Not Found", 0 )</f>
        <v>0</v>
      </c>
      <c r="AC427" s="8">
        <f>_xlfn.XLOOKUP(CustomerCombined[[#This Row],[ID]], Table2[ID],Table2[MC5], "Not Found", 0 )</f>
        <v>0</v>
      </c>
    </row>
    <row r="428" spans="1:29" x14ac:dyDescent="0.3">
      <c r="A428" s="6">
        <v>1991</v>
      </c>
      <c r="B428" s="6">
        <v>177568</v>
      </c>
      <c r="C428" s="6">
        <v>0</v>
      </c>
      <c r="D428" s="6">
        <v>1</v>
      </c>
      <c r="E428" s="6">
        <v>41</v>
      </c>
      <c r="F428" s="5" t="s">
        <v>8</v>
      </c>
      <c r="G428" s="5" t="s">
        <v>11</v>
      </c>
      <c r="H428" s="3" t="s">
        <v>403</v>
      </c>
      <c r="I428" s="5" t="s">
        <v>434</v>
      </c>
      <c r="J428" s="5">
        <f>_xlfn.XLOOKUP(CustomerCombined[[#This Row],[ID]], Table4[ID], Table4[Recency], "Not Found", 0)</f>
        <v>30</v>
      </c>
      <c r="K428" s="5">
        <f>_xlfn.XLOOKUP(CustomerCombined[[#This Row],[ID]], Table4[ID], Table4[Teas], "Not Found", 0)</f>
        <v>2816</v>
      </c>
      <c r="L428" s="5">
        <f>_xlfn.XLOOKUP(CustomerCombined[[#This Row],[ID]], Table4[ID], Table4[Fruits], "Not Found", 0)</f>
        <v>0</v>
      </c>
      <c r="M428" s="5">
        <f>_xlfn.XLOOKUP(CustomerCombined[[#This Row],[ID]], Table4[ID], Table4[Meats], "Not Found", 0)</f>
        <v>907</v>
      </c>
      <c r="N428" s="5">
        <f>_xlfn.XLOOKUP(CustomerCombined[[#This Row],[ID]], Table4[ID], Table4[Seafood], "Not Found", 0)</f>
        <v>531</v>
      </c>
      <c r="O428" s="5">
        <f>_xlfn.XLOOKUP(CustomerCombined[[#This Row],[ID]], Table4[ID], Table4[Sweets], "Not Found", 0)</f>
        <v>407</v>
      </c>
      <c r="P428" s="5">
        <f>_xlfn.XLOOKUP(CustomerCombined[[#This Row],[ID]], Table4[ID], Table4[Premium], "Not Found", 0)</f>
        <v>362</v>
      </c>
      <c r="Q428" s="5">
        <f>_xlfn.XLOOKUP(CustomerCombined[[#This Row],[ID]], Table4[ID], Table4[Regular], "Not Found", 0)</f>
        <v>4299</v>
      </c>
      <c r="R428" s="5">
        <f>_xlfn.XLOOKUP(CustomerCombined[[#This Row],[ID]], Table4[ID], Table4[Deals], "Not Found", 0)</f>
        <v>1</v>
      </c>
      <c r="S428" s="5">
        <f>_xlfn.XLOOKUP(CustomerCombined[[#This Row],[ID]], Table4[ID], Table4[Website], "Not Found", 0)</f>
        <v>10</v>
      </c>
      <c r="T428" s="5">
        <f>_xlfn.XLOOKUP(CustomerCombined[[#This Row],[ID]], Table4[ID], Table4[Catalog], "Not Found", 0)</f>
        <v>2</v>
      </c>
      <c r="U428" s="5">
        <f>_xlfn.XLOOKUP(CustomerCombined[[#This Row],[ID]], Table4[ID], Table4[Store], "Not Found", 0)</f>
        <v>8</v>
      </c>
      <c r="V428" s="5">
        <f>_xlfn.XLOOKUP(CustomerCombined[[#This Row],[ID]], Table4[ID], Table4[Visits], "Not Found", 0)</f>
        <v>5</v>
      </c>
      <c r="W428" s="8">
        <f>_xlfn.XLOOKUP(CustomerCombined[[#This Row],[ID]], Table2[ID],Table2[Complaint], "Not Found", 0 )</f>
        <v>0</v>
      </c>
      <c r="X428" s="8">
        <f>_xlfn.XLOOKUP(CustomerCombined[[#This Row],[ID]], Table2[ID],Table2[Pilot], "Not Found", 0 )</f>
        <v>0</v>
      </c>
      <c r="Y428" s="8">
        <f>_xlfn.XLOOKUP(CustomerCombined[[#This Row],[ID]], Table2[ID],Table2[MC1], "Not Found", 0 )</f>
        <v>1</v>
      </c>
      <c r="Z428" s="8">
        <f>_xlfn.XLOOKUP(CustomerCombined[[#This Row],[ID]], Table2[ID],Table2[MC2], "Not Found", 0 )</f>
        <v>0</v>
      </c>
      <c r="AA428" s="8">
        <f>_xlfn.XLOOKUP(CustomerCombined[[#This Row],[ID]], Table2[ID],Table2[MC3], "Not Found", 0 )</f>
        <v>0</v>
      </c>
      <c r="AB428" s="8">
        <f>_xlfn.XLOOKUP(CustomerCombined[[#This Row],[ID]], Table2[ID],Table2[MC4], "Not Found", 0 )</f>
        <v>1</v>
      </c>
      <c r="AC428" s="8">
        <f>_xlfn.XLOOKUP(CustomerCombined[[#This Row],[ID]], Table2[ID],Table2[MC5], "Not Found", 0 )</f>
        <v>1</v>
      </c>
    </row>
    <row r="429" spans="1:29" x14ac:dyDescent="0.3">
      <c r="A429" s="6">
        <v>1102</v>
      </c>
      <c r="B429" s="6">
        <v>177298</v>
      </c>
      <c r="C429" s="6">
        <v>0</v>
      </c>
      <c r="D429" s="6">
        <v>1</v>
      </c>
      <c r="E429" s="6">
        <v>41</v>
      </c>
      <c r="F429" s="5" t="s">
        <v>8</v>
      </c>
      <c r="G429" s="5" t="s">
        <v>11</v>
      </c>
      <c r="H429" s="3">
        <v>44047</v>
      </c>
      <c r="I429" s="5" t="s">
        <v>439</v>
      </c>
      <c r="J429" s="5">
        <f>_xlfn.XLOOKUP(CustomerCombined[[#This Row],[ID]], Table4[ID], Table4[Recency], "Not Found", 0)</f>
        <v>46</v>
      </c>
      <c r="K429" s="5">
        <f>_xlfn.XLOOKUP(CustomerCombined[[#This Row],[ID]], Table4[ID], Table4[Teas], "Not Found", 0)</f>
        <v>975</v>
      </c>
      <c r="L429" s="5">
        <f>_xlfn.XLOOKUP(CustomerCombined[[#This Row],[ID]], Table4[ID], Table4[Fruits], "Not Found", 0)</f>
        <v>264</v>
      </c>
      <c r="M429" s="5">
        <f>_xlfn.XLOOKUP(CustomerCombined[[#This Row],[ID]], Table4[ID], Table4[Meats], "Not Found", 0)</f>
        <v>670</v>
      </c>
      <c r="N429" s="5">
        <f>_xlfn.XLOOKUP(CustomerCombined[[#This Row],[ID]], Table4[ID], Table4[Seafood], "Not Found", 0)</f>
        <v>53</v>
      </c>
      <c r="O429" s="5">
        <f>_xlfn.XLOOKUP(CustomerCombined[[#This Row],[ID]], Table4[ID], Table4[Sweets], "Not Found", 0)</f>
        <v>80</v>
      </c>
      <c r="P429" s="5">
        <f>_xlfn.XLOOKUP(CustomerCombined[[#This Row],[ID]], Table4[ID], Table4[Premium], "Not Found", 0)</f>
        <v>181</v>
      </c>
      <c r="Q429" s="5">
        <f>_xlfn.XLOOKUP(CustomerCombined[[#This Row],[ID]], Table4[ID], Table4[Regular], "Not Found", 0)</f>
        <v>1860</v>
      </c>
      <c r="R429" s="5">
        <f>_xlfn.XLOOKUP(CustomerCombined[[#This Row],[ID]], Table4[ID], Table4[Deals], "Not Found", 0)</f>
        <v>1</v>
      </c>
      <c r="S429" s="5">
        <f>_xlfn.XLOOKUP(CustomerCombined[[#This Row],[ID]], Table4[ID], Table4[Website], "Not Found", 0)</f>
        <v>6</v>
      </c>
      <c r="T429" s="5">
        <f>_xlfn.XLOOKUP(CustomerCombined[[#This Row],[ID]], Table4[ID], Table4[Catalog], "Not Found", 0)</f>
        <v>6</v>
      </c>
      <c r="U429" s="5">
        <f>_xlfn.XLOOKUP(CustomerCombined[[#This Row],[ID]], Table4[ID], Table4[Store], "Not Found", 0)</f>
        <v>11</v>
      </c>
      <c r="V429" s="5">
        <f>_xlfn.XLOOKUP(CustomerCombined[[#This Row],[ID]], Table4[ID], Table4[Visits], "Not Found", 0)</f>
        <v>3</v>
      </c>
      <c r="W429" s="8">
        <f>_xlfn.XLOOKUP(CustomerCombined[[#This Row],[ID]], Table2[ID],Table2[Complaint], "Not Found", 0 )</f>
        <v>0</v>
      </c>
      <c r="X429" s="8">
        <f>_xlfn.XLOOKUP(CustomerCombined[[#This Row],[ID]], Table2[ID],Table2[Pilot], "Not Found", 0 )</f>
        <v>0</v>
      </c>
      <c r="Y429" s="8">
        <f>_xlfn.XLOOKUP(CustomerCombined[[#This Row],[ID]], Table2[ID],Table2[MC1], "Not Found", 0 )</f>
        <v>0</v>
      </c>
      <c r="Z429" s="8">
        <f>_xlfn.XLOOKUP(CustomerCombined[[#This Row],[ID]], Table2[ID],Table2[MC2], "Not Found", 0 )</f>
        <v>0</v>
      </c>
      <c r="AA429" s="8">
        <f>_xlfn.XLOOKUP(CustomerCombined[[#This Row],[ID]], Table2[ID],Table2[MC3], "Not Found", 0 )</f>
        <v>0</v>
      </c>
      <c r="AB429" s="8">
        <f>_xlfn.XLOOKUP(CustomerCombined[[#This Row],[ID]], Table2[ID],Table2[MC4], "Not Found", 0 )</f>
        <v>0</v>
      </c>
      <c r="AC429" s="8">
        <f>_xlfn.XLOOKUP(CustomerCombined[[#This Row],[ID]], Table2[ID],Table2[MC5], "Not Found", 0 )</f>
        <v>0</v>
      </c>
    </row>
    <row r="430" spans="1:29" x14ac:dyDescent="0.3">
      <c r="A430" s="6">
        <v>2764</v>
      </c>
      <c r="B430" s="6">
        <v>177298</v>
      </c>
      <c r="C430" s="6">
        <v>0</v>
      </c>
      <c r="D430" s="6">
        <v>1</v>
      </c>
      <c r="E430" s="6">
        <v>41</v>
      </c>
      <c r="F430" s="5" t="s">
        <v>8</v>
      </c>
      <c r="G430" s="5" t="s">
        <v>11</v>
      </c>
      <c r="H430" s="3">
        <v>44047</v>
      </c>
      <c r="I430" s="5" t="s">
        <v>439</v>
      </c>
      <c r="J430" s="5">
        <f>_xlfn.XLOOKUP(CustomerCombined[[#This Row],[ID]], Table4[ID], Table4[Recency], "Not Found", 0)</f>
        <v>46</v>
      </c>
      <c r="K430" s="5">
        <f>_xlfn.XLOOKUP(CustomerCombined[[#This Row],[ID]], Table4[ID], Table4[Teas], "Not Found", 0)</f>
        <v>975</v>
      </c>
      <c r="L430" s="5">
        <f>_xlfn.XLOOKUP(CustomerCombined[[#This Row],[ID]], Table4[ID], Table4[Fruits], "Not Found", 0)</f>
        <v>264</v>
      </c>
      <c r="M430" s="5">
        <f>_xlfn.XLOOKUP(CustomerCombined[[#This Row],[ID]], Table4[ID], Table4[Meats], "Not Found", 0)</f>
        <v>670</v>
      </c>
      <c r="N430" s="5">
        <f>_xlfn.XLOOKUP(CustomerCombined[[#This Row],[ID]], Table4[ID], Table4[Seafood], "Not Found", 0)</f>
        <v>53</v>
      </c>
      <c r="O430" s="5">
        <f>_xlfn.XLOOKUP(CustomerCombined[[#This Row],[ID]], Table4[ID], Table4[Sweets], "Not Found", 0)</f>
        <v>80</v>
      </c>
      <c r="P430" s="5">
        <f>_xlfn.XLOOKUP(CustomerCombined[[#This Row],[ID]], Table4[ID], Table4[Premium], "Not Found", 0)</f>
        <v>181</v>
      </c>
      <c r="Q430" s="5">
        <f>_xlfn.XLOOKUP(CustomerCombined[[#This Row],[ID]], Table4[ID], Table4[Regular], "Not Found", 0)</f>
        <v>1860</v>
      </c>
      <c r="R430" s="5">
        <f>_xlfn.XLOOKUP(CustomerCombined[[#This Row],[ID]], Table4[ID], Table4[Deals], "Not Found", 0)</f>
        <v>1</v>
      </c>
      <c r="S430" s="5">
        <f>_xlfn.XLOOKUP(CustomerCombined[[#This Row],[ID]], Table4[ID], Table4[Website], "Not Found", 0)</f>
        <v>6</v>
      </c>
      <c r="T430" s="5">
        <f>_xlfn.XLOOKUP(CustomerCombined[[#This Row],[ID]], Table4[ID], Table4[Catalog], "Not Found", 0)</f>
        <v>6</v>
      </c>
      <c r="U430" s="5">
        <f>_xlfn.XLOOKUP(CustomerCombined[[#This Row],[ID]], Table4[ID], Table4[Store], "Not Found", 0)</f>
        <v>11</v>
      </c>
      <c r="V430" s="5">
        <f>_xlfn.XLOOKUP(CustomerCombined[[#This Row],[ID]], Table4[ID], Table4[Visits], "Not Found", 0)</f>
        <v>3</v>
      </c>
      <c r="W430" s="8">
        <f>_xlfn.XLOOKUP(CustomerCombined[[#This Row],[ID]], Table2[ID],Table2[Complaint], "Not Found", 0 )</f>
        <v>0</v>
      </c>
      <c r="X430" s="8">
        <f>_xlfn.XLOOKUP(CustomerCombined[[#This Row],[ID]], Table2[ID],Table2[Pilot], "Not Found", 0 )</f>
        <v>0</v>
      </c>
      <c r="Y430" s="8">
        <f>_xlfn.XLOOKUP(CustomerCombined[[#This Row],[ID]], Table2[ID],Table2[MC1], "Not Found", 0 )</f>
        <v>0</v>
      </c>
      <c r="Z430" s="8">
        <f>_xlfn.XLOOKUP(CustomerCombined[[#This Row],[ID]], Table2[ID],Table2[MC2], "Not Found", 0 )</f>
        <v>0</v>
      </c>
      <c r="AA430" s="8">
        <f>_xlfn.XLOOKUP(CustomerCombined[[#This Row],[ID]], Table2[ID],Table2[MC3], "Not Found", 0 )</f>
        <v>0</v>
      </c>
      <c r="AB430" s="8">
        <f>_xlfn.XLOOKUP(CustomerCombined[[#This Row],[ID]], Table2[ID],Table2[MC4], "Not Found", 0 )</f>
        <v>0</v>
      </c>
      <c r="AC430" s="8">
        <f>_xlfn.XLOOKUP(CustomerCombined[[#This Row],[ID]], Table2[ID],Table2[MC5], "Not Found", 0 )</f>
        <v>0</v>
      </c>
    </row>
    <row r="431" spans="1:29" x14ac:dyDescent="0.3">
      <c r="A431" s="6">
        <v>1735</v>
      </c>
      <c r="B431" s="6">
        <v>175507</v>
      </c>
      <c r="C431" s="6">
        <v>0</v>
      </c>
      <c r="D431" s="6">
        <v>0</v>
      </c>
      <c r="E431" s="6">
        <v>41</v>
      </c>
      <c r="F431" s="5" t="s">
        <v>8</v>
      </c>
      <c r="G431" s="5" t="s">
        <v>11</v>
      </c>
      <c r="H431" s="3">
        <v>43992</v>
      </c>
      <c r="I431" s="5" t="s">
        <v>437</v>
      </c>
      <c r="J431" s="5">
        <f>_xlfn.XLOOKUP(CustomerCombined[[#This Row],[ID]], Table4[ID], Table4[Recency], "Not Found", 0)</f>
        <v>56</v>
      </c>
      <c r="K431" s="5">
        <f>_xlfn.XLOOKUP(CustomerCombined[[#This Row],[ID]], Table4[ID], Table4[Teas], "Not Found", 0)</f>
        <v>1648</v>
      </c>
      <c r="L431" s="5">
        <f>_xlfn.XLOOKUP(CustomerCombined[[#This Row],[ID]], Table4[ID], Table4[Fruits], "Not Found", 0)</f>
        <v>216</v>
      </c>
      <c r="M431" s="5">
        <f>_xlfn.XLOOKUP(CustomerCombined[[#This Row],[ID]], Table4[ID], Table4[Meats], "Not Found", 0)</f>
        <v>869</v>
      </c>
      <c r="N431" s="5">
        <f>_xlfn.XLOOKUP(CustomerCombined[[#This Row],[ID]], Table4[ID], Table4[Seafood], "Not Found", 0)</f>
        <v>242</v>
      </c>
      <c r="O431" s="5">
        <f>_xlfn.XLOOKUP(CustomerCombined[[#This Row],[ID]], Table4[ID], Table4[Sweets], "Not Found", 0)</f>
        <v>186</v>
      </c>
      <c r="P431" s="5">
        <f>_xlfn.XLOOKUP(CustomerCombined[[#This Row],[ID]], Table4[ID], Table4[Premium], "Not Found", 0)</f>
        <v>186</v>
      </c>
      <c r="Q431" s="5">
        <f>_xlfn.XLOOKUP(CustomerCombined[[#This Row],[ID]], Table4[ID], Table4[Regular], "Not Found", 0)</f>
        <v>2975</v>
      </c>
      <c r="R431" s="5">
        <f>_xlfn.XLOOKUP(CustomerCombined[[#This Row],[ID]], Table4[ID], Table4[Deals], "Not Found", 0)</f>
        <v>1</v>
      </c>
      <c r="S431" s="5">
        <f>_xlfn.XLOOKUP(CustomerCombined[[#This Row],[ID]], Table4[ID], Table4[Website], "Not Found", 0)</f>
        <v>8</v>
      </c>
      <c r="T431" s="5">
        <f>_xlfn.XLOOKUP(CustomerCombined[[#This Row],[ID]], Table4[ID], Table4[Catalog], "Not Found", 0)</f>
        <v>6</v>
      </c>
      <c r="U431" s="5">
        <f>_xlfn.XLOOKUP(CustomerCombined[[#This Row],[ID]], Table4[ID], Table4[Store], "Not Found", 0)</f>
        <v>6</v>
      </c>
      <c r="V431" s="5">
        <f>_xlfn.XLOOKUP(CustomerCombined[[#This Row],[ID]], Table4[ID], Table4[Visits], "Not Found", 0)</f>
        <v>3</v>
      </c>
      <c r="W431" s="8">
        <f>_xlfn.XLOOKUP(CustomerCombined[[#This Row],[ID]], Table2[ID],Table2[Complaint], "Not Found", 0 )</f>
        <v>0</v>
      </c>
      <c r="X431" s="8">
        <f>_xlfn.XLOOKUP(CustomerCombined[[#This Row],[ID]], Table2[ID],Table2[Pilot], "Not Found", 0 )</f>
        <v>0</v>
      </c>
      <c r="Y431" s="8">
        <f>_xlfn.XLOOKUP(CustomerCombined[[#This Row],[ID]], Table2[ID],Table2[MC1], "Not Found", 0 )</f>
        <v>0</v>
      </c>
      <c r="Z431" s="8">
        <f>_xlfn.XLOOKUP(CustomerCombined[[#This Row],[ID]], Table2[ID],Table2[MC2], "Not Found", 0 )</f>
        <v>0</v>
      </c>
      <c r="AA431" s="8">
        <f>_xlfn.XLOOKUP(CustomerCombined[[#This Row],[ID]], Table2[ID],Table2[MC3], "Not Found", 0 )</f>
        <v>0</v>
      </c>
      <c r="AB431" s="8">
        <f>_xlfn.XLOOKUP(CustomerCombined[[#This Row],[ID]], Table2[ID],Table2[MC4], "Not Found", 0 )</f>
        <v>0</v>
      </c>
      <c r="AC431" s="8">
        <f>_xlfn.XLOOKUP(CustomerCombined[[#This Row],[ID]], Table2[ID],Table2[MC5], "Not Found", 0 )</f>
        <v>0</v>
      </c>
    </row>
    <row r="432" spans="1:29" x14ac:dyDescent="0.3">
      <c r="A432" s="6">
        <v>2365</v>
      </c>
      <c r="B432" s="6">
        <v>175507</v>
      </c>
      <c r="C432" s="6">
        <v>0</v>
      </c>
      <c r="D432" s="6">
        <v>0</v>
      </c>
      <c r="E432" s="6">
        <v>41</v>
      </c>
      <c r="F432" s="5" t="s">
        <v>8</v>
      </c>
      <c r="G432" s="5" t="s">
        <v>11</v>
      </c>
      <c r="H432" s="3">
        <v>43992</v>
      </c>
      <c r="I432" s="5" t="s">
        <v>437</v>
      </c>
      <c r="J432" s="5">
        <f>_xlfn.XLOOKUP(CustomerCombined[[#This Row],[ID]], Table4[ID], Table4[Recency], "Not Found", 0)</f>
        <v>56</v>
      </c>
      <c r="K432" s="5">
        <f>_xlfn.XLOOKUP(CustomerCombined[[#This Row],[ID]], Table4[ID], Table4[Teas], "Not Found", 0)</f>
        <v>1648</v>
      </c>
      <c r="L432" s="5">
        <f>_xlfn.XLOOKUP(CustomerCombined[[#This Row],[ID]], Table4[ID], Table4[Fruits], "Not Found", 0)</f>
        <v>216</v>
      </c>
      <c r="M432" s="5">
        <f>_xlfn.XLOOKUP(CustomerCombined[[#This Row],[ID]], Table4[ID], Table4[Meats], "Not Found", 0)</f>
        <v>869</v>
      </c>
      <c r="N432" s="5">
        <f>_xlfn.XLOOKUP(CustomerCombined[[#This Row],[ID]], Table4[ID], Table4[Seafood], "Not Found", 0)</f>
        <v>242</v>
      </c>
      <c r="O432" s="5">
        <f>_xlfn.XLOOKUP(CustomerCombined[[#This Row],[ID]], Table4[ID], Table4[Sweets], "Not Found", 0)</f>
        <v>186</v>
      </c>
      <c r="P432" s="5">
        <f>_xlfn.XLOOKUP(CustomerCombined[[#This Row],[ID]], Table4[ID], Table4[Premium], "Not Found", 0)</f>
        <v>186</v>
      </c>
      <c r="Q432" s="5">
        <f>_xlfn.XLOOKUP(CustomerCombined[[#This Row],[ID]], Table4[ID], Table4[Regular], "Not Found", 0)</f>
        <v>2975</v>
      </c>
      <c r="R432" s="5">
        <f>_xlfn.XLOOKUP(CustomerCombined[[#This Row],[ID]], Table4[ID], Table4[Deals], "Not Found", 0)</f>
        <v>1</v>
      </c>
      <c r="S432" s="5">
        <f>_xlfn.XLOOKUP(CustomerCombined[[#This Row],[ID]], Table4[ID], Table4[Website], "Not Found", 0)</f>
        <v>8</v>
      </c>
      <c r="T432" s="5">
        <f>_xlfn.XLOOKUP(CustomerCombined[[#This Row],[ID]], Table4[ID], Table4[Catalog], "Not Found", 0)</f>
        <v>6</v>
      </c>
      <c r="U432" s="5">
        <f>_xlfn.XLOOKUP(CustomerCombined[[#This Row],[ID]], Table4[ID], Table4[Store], "Not Found", 0)</f>
        <v>6</v>
      </c>
      <c r="V432" s="5">
        <f>_xlfn.XLOOKUP(CustomerCombined[[#This Row],[ID]], Table4[ID], Table4[Visits], "Not Found", 0)</f>
        <v>3</v>
      </c>
      <c r="W432" s="8">
        <f>_xlfn.XLOOKUP(CustomerCombined[[#This Row],[ID]], Table2[ID],Table2[Complaint], "Not Found", 0 )</f>
        <v>0</v>
      </c>
      <c r="X432" s="8">
        <f>_xlfn.XLOOKUP(CustomerCombined[[#This Row],[ID]], Table2[ID],Table2[Pilot], "Not Found", 0 )</f>
        <v>0</v>
      </c>
      <c r="Y432" s="8">
        <f>_xlfn.XLOOKUP(CustomerCombined[[#This Row],[ID]], Table2[ID],Table2[MC1], "Not Found", 0 )</f>
        <v>0</v>
      </c>
      <c r="Z432" s="8">
        <f>_xlfn.XLOOKUP(CustomerCombined[[#This Row],[ID]], Table2[ID],Table2[MC2], "Not Found", 0 )</f>
        <v>0</v>
      </c>
      <c r="AA432" s="8">
        <f>_xlfn.XLOOKUP(CustomerCombined[[#This Row],[ID]], Table2[ID],Table2[MC3], "Not Found", 0 )</f>
        <v>0</v>
      </c>
      <c r="AB432" s="8">
        <f>_xlfn.XLOOKUP(CustomerCombined[[#This Row],[ID]], Table2[ID],Table2[MC4], "Not Found", 0 )</f>
        <v>0</v>
      </c>
      <c r="AC432" s="8">
        <f>_xlfn.XLOOKUP(CustomerCombined[[#This Row],[ID]], Table2[ID],Table2[MC5], "Not Found", 0 )</f>
        <v>0</v>
      </c>
    </row>
    <row r="433" spans="1:29" x14ac:dyDescent="0.3">
      <c r="A433" s="6">
        <v>1751</v>
      </c>
      <c r="B433" s="6">
        <v>172063</v>
      </c>
      <c r="C433" s="6">
        <v>0</v>
      </c>
      <c r="D433" s="6">
        <v>1</v>
      </c>
      <c r="E433" s="6">
        <v>41</v>
      </c>
      <c r="F433" s="5" t="s">
        <v>6</v>
      </c>
      <c r="G433" s="5" t="s">
        <v>11</v>
      </c>
      <c r="H433" s="3">
        <v>43689</v>
      </c>
      <c r="I433" s="5" t="s">
        <v>434</v>
      </c>
      <c r="J433" s="5">
        <f>_xlfn.XLOOKUP(CustomerCombined[[#This Row],[ID]], Table4[ID], Table4[Recency], "Not Found", 0)</f>
        <v>3</v>
      </c>
      <c r="K433" s="5">
        <f>_xlfn.XLOOKUP(CustomerCombined[[#This Row],[ID]], Table4[ID], Table4[Teas], "Not Found", 0)</f>
        <v>430</v>
      </c>
      <c r="L433" s="5">
        <f>_xlfn.XLOOKUP(CustomerCombined[[#This Row],[ID]], Table4[ID], Table4[Fruits], "Not Found", 0)</f>
        <v>76</v>
      </c>
      <c r="M433" s="5">
        <f>_xlfn.XLOOKUP(CustomerCombined[[#This Row],[ID]], Table4[ID], Table4[Meats], "Not Found", 0)</f>
        <v>831</v>
      </c>
      <c r="N433" s="5">
        <f>_xlfn.XLOOKUP(CustomerCombined[[#This Row],[ID]], Table4[ID], Table4[Seafood], "Not Found", 0)</f>
        <v>181</v>
      </c>
      <c r="O433" s="5">
        <f>_xlfn.XLOOKUP(CustomerCombined[[#This Row],[ID]], Table4[ID], Table4[Sweets], "Not Found", 0)</f>
        <v>76</v>
      </c>
      <c r="P433" s="5">
        <f>_xlfn.XLOOKUP(CustomerCombined[[#This Row],[ID]], Table4[ID], Table4[Premium], "Not Found", 0)</f>
        <v>215</v>
      </c>
      <c r="Q433" s="5">
        <f>_xlfn.XLOOKUP(CustomerCombined[[#This Row],[ID]], Table4[ID], Table4[Regular], "Not Found", 0)</f>
        <v>1380</v>
      </c>
      <c r="R433" s="5">
        <f>_xlfn.XLOOKUP(CustomerCombined[[#This Row],[ID]], Table4[ID], Table4[Deals], "Not Found", 0)</f>
        <v>2</v>
      </c>
      <c r="S433" s="5">
        <f>_xlfn.XLOOKUP(CustomerCombined[[#This Row],[ID]], Table4[ID], Table4[Website], "Not Found", 0)</f>
        <v>5</v>
      </c>
      <c r="T433" s="5">
        <f>_xlfn.XLOOKUP(CustomerCombined[[#This Row],[ID]], Table4[ID], Table4[Catalog], "Not Found", 0)</f>
        <v>2</v>
      </c>
      <c r="U433" s="5">
        <f>_xlfn.XLOOKUP(CustomerCombined[[#This Row],[ID]], Table4[ID], Table4[Store], "Not Found", 0)</f>
        <v>12</v>
      </c>
      <c r="V433" s="5">
        <f>_xlfn.XLOOKUP(CustomerCombined[[#This Row],[ID]], Table4[ID], Table4[Visits], "Not Found", 0)</f>
        <v>2</v>
      </c>
      <c r="W433" s="8">
        <f>_xlfn.XLOOKUP(CustomerCombined[[#This Row],[ID]], Table2[ID],Table2[Complaint], "Not Found", 0 )</f>
        <v>0</v>
      </c>
      <c r="X433" s="8">
        <f>_xlfn.XLOOKUP(CustomerCombined[[#This Row],[ID]], Table2[ID],Table2[Pilot], "Not Found", 0 )</f>
        <v>0</v>
      </c>
      <c r="Y433" s="8">
        <f>_xlfn.XLOOKUP(CustomerCombined[[#This Row],[ID]], Table2[ID],Table2[MC1], "Not Found", 0 )</f>
        <v>0</v>
      </c>
      <c r="Z433" s="8">
        <f>_xlfn.XLOOKUP(CustomerCombined[[#This Row],[ID]], Table2[ID],Table2[MC2], "Not Found", 0 )</f>
        <v>0</v>
      </c>
      <c r="AA433" s="8">
        <f>_xlfn.XLOOKUP(CustomerCombined[[#This Row],[ID]], Table2[ID],Table2[MC3], "Not Found", 0 )</f>
        <v>0</v>
      </c>
      <c r="AB433" s="8">
        <f>_xlfn.XLOOKUP(CustomerCombined[[#This Row],[ID]], Table2[ID],Table2[MC4], "Not Found", 0 )</f>
        <v>0</v>
      </c>
      <c r="AC433" s="8">
        <f>_xlfn.XLOOKUP(CustomerCombined[[#This Row],[ID]], Table2[ID],Table2[MC5], "Not Found", 0 )</f>
        <v>0</v>
      </c>
    </row>
    <row r="434" spans="1:29" x14ac:dyDescent="0.3">
      <c r="A434" s="6">
        <v>2284</v>
      </c>
      <c r="B434" s="6">
        <v>171626</v>
      </c>
      <c r="C434" s="6">
        <v>0</v>
      </c>
      <c r="D434" s="6">
        <v>0</v>
      </c>
      <c r="E434" s="6">
        <v>41</v>
      </c>
      <c r="F434" s="5" t="s">
        <v>6</v>
      </c>
      <c r="G434" s="5" t="s">
        <v>11</v>
      </c>
      <c r="H434" s="3">
        <v>43681</v>
      </c>
      <c r="I434" s="5" t="s">
        <v>439</v>
      </c>
      <c r="J434" s="5">
        <f>_xlfn.XLOOKUP(CustomerCombined[[#This Row],[ID]], Table4[ID], Table4[Recency], "Not Found", 0)</f>
        <v>94</v>
      </c>
      <c r="K434" s="5">
        <f>_xlfn.XLOOKUP(CustomerCombined[[#This Row],[ID]], Table4[ID], Table4[Teas], "Not Found", 0)</f>
        <v>1308</v>
      </c>
      <c r="L434" s="5">
        <f>_xlfn.XLOOKUP(CustomerCombined[[#This Row],[ID]], Table4[ID], Table4[Fruits], "Not Found", 0)</f>
        <v>173</v>
      </c>
      <c r="M434" s="5">
        <f>_xlfn.XLOOKUP(CustomerCombined[[#This Row],[ID]], Table4[ID], Table4[Meats], "Not Found", 0)</f>
        <v>901</v>
      </c>
      <c r="N434" s="5">
        <f>_xlfn.XLOOKUP(CustomerCombined[[#This Row],[ID]], Table4[ID], Table4[Seafood], "Not Found", 0)</f>
        <v>225</v>
      </c>
      <c r="O434" s="5">
        <f>_xlfn.XLOOKUP(CustomerCombined[[#This Row],[ID]], Table4[ID], Table4[Sweets], "Not Found", 0)</f>
        <v>347</v>
      </c>
      <c r="P434" s="5">
        <f>_xlfn.XLOOKUP(CustomerCombined[[#This Row],[ID]], Table4[ID], Table4[Premium], "Not Found", 0)</f>
        <v>173</v>
      </c>
      <c r="Q434" s="5">
        <f>_xlfn.XLOOKUP(CustomerCombined[[#This Row],[ID]], Table4[ID], Table4[Regular], "Not Found", 0)</f>
        <v>2782</v>
      </c>
      <c r="R434" s="5">
        <f>_xlfn.XLOOKUP(CustomerCombined[[#This Row],[ID]], Table4[ID], Table4[Deals], "Not Found", 0)</f>
        <v>1</v>
      </c>
      <c r="S434" s="5">
        <f>_xlfn.XLOOKUP(CustomerCombined[[#This Row],[ID]], Table4[ID], Table4[Website], "Not Found", 0)</f>
        <v>5</v>
      </c>
      <c r="T434" s="5">
        <f>_xlfn.XLOOKUP(CustomerCombined[[#This Row],[ID]], Table4[ID], Table4[Catalog], "Not Found", 0)</f>
        <v>5</v>
      </c>
      <c r="U434" s="5">
        <f>_xlfn.XLOOKUP(CustomerCombined[[#This Row],[ID]], Table4[ID], Table4[Store], "Not Found", 0)</f>
        <v>8</v>
      </c>
      <c r="V434" s="5">
        <f>_xlfn.XLOOKUP(CustomerCombined[[#This Row],[ID]], Table4[ID], Table4[Visits], "Not Found", 0)</f>
        <v>3</v>
      </c>
      <c r="W434" s="8">
        <f>_xlfn.XLOOKUP(CustomerCombined[[#This Row],[ID]], Table2[ID],Table2[Complaint], "Not Found", 0 )</f>
        <v>0</v>
      </c>
      <c r="X434" s="8">
        <f>_xlfn.XLOOKUP(CustomerCombined[[#This Row],[ID]], Table2[ID],Table2[Pilot], "Not Found", 0 )</f>
        <v>0</v>
      </c>
      <c r="Y434" s="8">
        <f>_xlfn.XLOOKUP(CustomerCombined[[#This Row],[ID]], Table2[ID],Table2[MC1], "Not Found", 0 )</f>
        <v>0</v>
      </c>
      <c r="Z434" s="8">
        <f>_xlfn.XLOOKUP(CustomerCombined[[#This Row],[ID]], Table2[ID],Table2[MC2], "Not Found", 0 )</f>
        <v>0</v>
      </c>
      <c r="AA434" s="8">
        <f>_xlfn.XLOOKUP(CustomerCombined[[#This Row],[ID]], Table2[ID],Table2[MC3], "Not Found", 0 )</f>
        <v>0</v>
      </c>
      <c r="AB434" s="8">
        <f>_xlfn.XLOOKUP(CustomerCombined[[#This Row],[ID]], Table2[ID],Table2[MC4], "Not Found", 0 )</f>
        <v>1</v>
      </c>
      <c r="AC434" s="8">
        <f>_xlfn.XLOOKUP(CustomerCombined[[#This Row],[ID]], Table2[ID],Table2[MC5], "Not Found", 0 )</f>
        <v>0</v>
      </c>
    </row>
    <row r="435" spans="1:29" x14ac:dyDescent="0.3">
      <c r="A435" s="6">
        <v>1659</v>
      </c>
      <c r="B435" s="6">
        <v>170337</v>
      </c>
      <c r="C435" s="6">
        <v>0</v>
      </c>
      <c r="D435" s="6">
        <v>0</v>
      </c>
      <c r="E435" s="6">
        <v>41</v>
      </c>
      <c r="F435" s="5" t="s">
        <v>7</v>
      </c>
      <c r="G435" s="5" t="s">
        <v>11</v>
      </c>
      <c r="H435" s="3">
        <v>44049</v>
      </c>
      <c r="I435" s="5" t="s">
        <v>435</v>
      </c>
      <c r="J435" s="5">
        <f>_xlfn.XLOOKUP(CustomerCombined[[#This Row],[ID]], Table4[ID], Table4[Recency], "Not Found", 0)</f>
        <v>75</v>
      </c>
      <c r="K435" s="5">
        <f>_xlfn.XLOOKUP(CustomerCombined[[#This Row],[ID]], Table4[ID], Table4[Teas], "Not Found", 0)</f>
        <v>453</v>
      </c>
      <c r="L435" s="5">
        <f>_xlfn.XLOOKUP(CustomerCombined[[#This Row],[ID]], Table4[ID], Table4[Fruits], "Not Found", 0)</f>
        <v>196</v>
      </c>
      <c r="M435" s="5">
        <f>_xlfn.XLOOKUP(CustomerCombined[[#This Row],[ID]], Table4[ID], Table4[Meats], "Not Found", 0)</f>
        <v>361</v>
      </c>
      <c r="N435" s="5">
        <f>_xlfn.XLOOKUP(CustomerCombined[[#This Row],[ID]], Table4[ID], Table4[Seafood], "Not Found", 0)</f>
        <v>61</v>
      </c>
      <c r="O435" s="5">
        <f>_xlfn.XLOOKUP(CustomerCombined[[#This Row],[ID]], Table4[ID], Table4[Sweets], "Not Found", 0)</f>
        <v>104</v>
      </c>
      <c r="P435" s="5">
        <f>_xlfn.XLOOKUP(CustomerCombined[[#This Row],[ID]], Table4[ID], Table4[Premium], "Not Found", 0)</f>
        <v>220</v>
      </c>
      <c r="Q435" s="5">
        <f>_xlfn.XLOOKUP(CustomerCombined[[#This Row],[ID]], Table4[ID], Table4[Regular], "Not Found", 0)</f>
        <v>954</v>
      </c>
      <c r="R435" s="5">
        <f>_xlfn.XLOOKUP(CustomerCombined[[#This Row],[ID]], Table4[ID], Table4[Deals], "Not Found", 0)</f>
        <v>1</v>
      </c>
      <c r="S435" s="5">
        <f>_xlfn.XLOOKUP(CustomerCombined[[#This Row],[ID]], Table4[ID], Table4[Website], "Not Found", 0)</f>
        <v>2</v>
      </c>
      <c r="T435" s="5">
        <f>_xlfn.XLOOKUP(CustomerCombined[[#This Row],[ID]], Table4[ID], Table4[Catalog], "Not Found", 0)</f>
        <v>2</v>
      </c>
      <c r="U435" s="5">
        <f>_xlfn.XLOOKUP(CustomerCombined[[#This Row],[ID]], Table4[ID], Table4[Store], "Not Found", 0)</f>
        <v>12</v>
      </c>
      <c r="V435" s="5">
        <f>_xlfn.XLOOKUP(CustomerCombined[[#This Row],[ID]], Table4[ID], Table4[Visits], "Not Found", 0)</f>
        <v>1</v>
      </c>
      <c r="W435" s="8">
        <f>_xlfn.XLOOKUP(CustomerCombined[[#This Row],[ID]], Table2[ID],Table2[Complaint], "Not Found", 0 )</f>
        <v>0</v>
      </c>
      <c r="X435" s="8">
        <f>_xlfn.XLOOKUP(CustomerCombined[[#This Row],[ID]], Table2[ID],Table2[Pilot], "Not Found", 0 )</f>
        <v>0</v>
      </c>
      <c r="Y435" s="8">
        <f>_xlfn.XLOOKUP(CustomerCombined[[#This Row],[ID]], Table2[ID],Table2[MC1], "Not Found", 0 )</f>
        <v>0</v>
      </c>
      <c r="Z435" s="8">
        <f>_xlfn.XLOOKUP(CustomerCombined[[#This Row],[ID]], Table2[ID],Table2[MC2], "Not Found", 0 )</f>
        <v>0</v>
      </c>
      <c r="AA435" s="8">
        <f>_xlfn.XLOOKUP(CustomerCombined[[#This Row],[ID]], Table2[ID],Table2[MC3], "Not Found", 0 )</f>
        <v>0</v>
      </c>
      <c r="AB435" s="8">
        <f>_xlfn.XLOOKUP(CustomerCombined[[#This Row],[ID]], Table2[ID],Table2[MC4], "Not Found", 0 )</f>
        <v>0</v>
      </c>
      <c r="AC435" s="8">
        <f>_xlfn.XLOOKUP(CustomerCombined[[#This Row],[ID]], Table2[ID],Table2[MC5], "Not Found", 0 )</f>
        <v>0</v>
      </c>
    </row>
    <row r="436" spans="1:29" x14ac:dyDescent="0.3">
      <c r="A436" s="6">
        <v>1928</v>
      </c>
      <c r="B436" s="6">
        <v>168274</v>
      </c>
      <c r="C436" s="6">
        <v>1</v>
      </c>
      <c r="D436" s="6">
        <v>1</v>
      </c>
      <c r="E436" s="6">
        <v>41</v>
      </c>
      <c r="F436" s="5" t="s">
        <v>5</v>
      </c>
      <c r="G436" s="5" t="s">
        <v>11</v>
      </c>
      <c r="H436" s="3">
        <v>43985</v>
      </c>
      <c r="I436" s="5" t="s">
        <v>438</v>
      </c>
      <c r="J436" s="5">
        <f>_xlfn.XLOOKUP(CustomerCombined[[#This Row],[ID]], Table4[ID], Table4[Recency], "Not Found", 0)</f>
        <v>83</v>
      </c>
      <c r="K436" s="5">
        <f>_xlfn.XLOOKUP(CustomerCombined[[#This Row],[ID]], Table4[ID], Table4[Teas], "Not Found", 0)</f>
        <v>333</v>
      </c>
      <c r="L436" s="5">
        <f>_xlfn.XLOOKUP(CustomerCombined[[#This Row],[ID]], Table4[ID], Table4[Fruits], "Not Found", 0)</f>
        <v>62</v>
      </c>
      <c r="M436" s="5">
        <f>_xlfn.XLOOKUP(CustomerCombined[[#This Row],[ID]], Table4[ID], Table4[Meats], "Not Found", 0)</f>
        <v>126</v>
      </c>
      <c r="N436" s="5">
        <f>_xlfn.XLOOKUP(CustomerCombined[[#This Row],[ID]], Table4[ID], Table4[Seafood], "Not Found", 0)</f>
        <v>57</v>
      </c>
      <c r="O436" s="5">
        <f>_xlfn.XLOOKUP(CustomerCombined[[#This Row],[ID]], Table4[ID], Table4[Sweets], "Not Found", 0)</f>
        <v>62</v>
      </c>
      <c r="P436" s="5">
        <f>_xlfn.XLOOKUP(CustomerCombined[[#This Row],[ID]], Table4[ID], Table4[Premium], "Not Found", 0)</f>
        <v>113</v>
      </c>
      <c r="Q436" s="5">
        <f>_xlfn.XLOOKUP(CustomerCombined[[#This Row],[ID]], Table4[ID], Table4[Regular], "Not Found", 0)</f>
        <v>525</v>
      </c>
      <c r="R436" s="5">
        <f>_xlfn.XLOOKUP(CustomerCombined[[#This Row],[ID]], Table4[ID], Table4[Deals], "Not Found", 0)</f>
        <v>2</v>
      </c>
      <c r="S436" s="5">
        <f>_xlfn.XLOOKUP(CustomerCombined[[#This Row],[ID]], Table4[ID], Table4[Website], "Not Found", 0)</f>
        <v>4</v>
      </c>
      <c r="T436" s="5">
        <f>_xlfn.XLOOKUP(CustomerCombined[[#This Row],[ID]], Table4[ID], Table4[Catalog], "Not Found", 0)</f>
        <v>2</v>
      </c>
      <c r="U436" s="5">
        <f>_xlfn.XLOOKUP(CustomerCombined[[#This Row],[ID]], Table4[ID], Table4[Store], "Not Found", 0)</f>
        <v>5</v>
      </c>
      <c r="V436" s="5">
        <f>_xlfn.XLOOKUP(CustomerCombined[[#This Row],[ID]], Table4[ID], Table4[Visits], "Not Found", 0)</f>
        <v>3</v>
      </c>
      <c r="W436" s="8">
        <f>_xlfn.XLOOKUP(CustomerCombined[[#This Row],[ID]], Table2[ID],Table2[Complaint], "Not Found", 0 )</f>
        <v>0</v>
      </c>
      <c r="X436" s="8">
        <f>_xlfn.XLOOKUP(CustomerCombined[[#This Row],[ID]], Table2[ID],Table2[Pilot], "Not Found", 0 )</f>
        <v>0</v>
      </c>
      <c r="Y436" s="8">
        <f>_xlfn.XLOOKUP(CustomerCombined[[#This Row],[ID]], Table2[ID],Table2[MC1], "Not Found", 0 )</f>
        <v>0</v>
      </c>
      <c r="Z436" s="8">
        <f>_xlfn.XLOOKUP(CustomerCombined[[#This Row],[ID]], Table2[ID],Table2[MC2], "Not Found", 0 )</f>
        <v>0</v>
      </c>
      <c r="AA436" s="8">
        <f>_xlfn.XLOOKUP(CustomerCombined[[#This Row],[ID]], Table2[ID],Table2[MC3], "Not Found", 0 )</f>
        <v>0</v>
      </c>
      <c r="AB436" s="8">
        <f>_xlfn.XLOOKUP(CustomerCombined[[#This Row],[ID]], Table2[ID],Table2[MC4], "Not Found", 0 )</f>
        <v>0</v>
      </c>
      <c r="AC436" s="8">
        <f>_xlfn.XLOOKUP(CustomerCombined[[#This Row],[ID]], Table2[ID],Table2[MC5], "Not Found", 0 )</f>
        <v>0</v>
      </c>
    </row>
    <row r="437" spans="1:29" x14ac:dyDescent="0.3">
      <c r="A437" s="6">
        <v>3194</v>
      </c>
      <c r="B437" s="6">
        <v>163777</v>
      </c>
      <c r="C437" s="6">
        <v>1</v>
      </c>
      <c r="D437" s="6">
        <v>1</v>
      </c>
      <c r="E437" s="6">
        <v>41</v>
      </c>
      <c r="F437" s="5" t="s">
        <v>6</v>
      </c>
      <c r="G437" s="5" t="s">
        <v>11</v>
      </c>
      <c r="H437" s="3" t="s">
        <v>284</v>
      </c>
      <c r="I437" s="5" t="s">
        <v>438</v>
      </c>
      <c r="J437" s="5">
        <f>_xlfn.XLOOKUP(CustomerCombined[[#This Row],[ID]], Table4[ID], Table4[Recency], "Not Found", 0)</f>
        <v>87</v>
      </c>
      <c r="K437" s="5">
        <f>_xlfn.XLOOKUP(CustomerCombined[[#This Row],[ID]], Table4[ID], Table4[Teas], "Not Found", 0)</f>
        <v>1174</v>
      </c>
      <c r="L437" s="5">
        <f>_xlfn.XLOOKUP(CustomerCombined[[#This Row],[ID]], Table4[ID], Table4[Fruits], "Not Found", 0)</f>
        <v>13</v>
      </c>
      <c r="M437" s="5">
        <f>_xlfn.XLOOKUP(CustomerCombined[[#This Row],[ID]], Table4[ID], Table4[Meats], "Not Found", 0)</f>
        <v>272</v>
      </c>
      <c r="N437" s="5">
        <f>_xlfn.XLOOKUP(CustomerCombined[[#This Row],[ID]], Table4[ID], Table4[Seafood], "Not Found", 0)</f>
        <v>39</v>
      </c>
      <c r="O437" s="5">
        <f>_xlfn.XLOOKUP(CustomerCombined[[#This Row],[ID]], Table4[ID], Table4[Sweets], "Not Found", 0)</f>
        <v>44</v>
      </c>
      <c r="P437" s="5">
        <f>_xlfn.XLOOKUP(CustomerCombined[[#This Row],[ID]], Table4[ID], Table4[Premium], "Not Found", 0)</f>
        <v>136</v>
      </c>
      <c r="Q437" s="5">
        <f>_xlfn.XLOOKUP(CustomerCombined[[#This Row],[ID]], Table4[ID], Table4[Regular], "Not Found", 0)</f>
        <v>1405</v>
      </c>
      <c r="R437" s="5">
        <f>_xlfn.XLOOKUP(CustomerCombined[[#This Row],[ID]], Table4[ID], Table4[Deals], "Not Found", 0)</f>
        <v>8</v>
      </c>
      <c r="S437" s="5">
        <f>_xlfn.XLOOKUP(CustomerCombined[[#This Row],[ID]], Table4[ID], Table4[Website], "Not Found", 0)</f>
        <v>11</v>
      </c>
      <c r="T437" s="5">
        <f>_xlfn.XLOOKUP(CustomerCombined[[#This Row],[ID]], Table4[ID], Table4[Catalog], "Not Found", 0)</f>
        <v>1</v>
      </c>
      <c r="U437" s="5">
        <f>_xlfn.XLOOKUP(CustomerCombined[[#This Row],[ID]], Table4[ID], Table4[Store], "Not Found", 0)</f>
        <v>6</v>
      </c>
      <c r="V437" s="5">
        <f>_xlfn.XLOOKUP(CustomerCombined[[#This Row],[ID]], Table4[ID], Table4[Visits], "Not Found", 0)</f>
        <v>8</v>
      </c>
      <c r="W437" s="8">
        <f>_xlfn.XLOOKUP(CustomerCombined[[#This Row],[ID]], Table2[ID],Table2[Complaint], "Not Found", 0 )</f>
        <v>0</v>
      </c>
      <c r="X437" s="8">
        <f>_xlfn.XLOOKUP(CustomerCombined[[#This Row],[ID]], Table2[ID],Table2[Pilot], "Not Found", 0 )</f>
        <v>0</v>
      </c>
      <c r="Y437" s="8">
        <f>_xlfn.XLOOKUP(CustomerCombined[[#This Row],[ID]], Table2[ID],Table2[MC1], "Not Found", 0 )</f>
        <v>0</v>
      </c>
      <c r="Z437" s="8">
        <f>_xlfn.XLOOKUP(CustomerCombined[[#This Row],[ID]], Table2[ID],Table2[MC2], "Not Found", 0 )</f>
        <v>0</v>
      </c>
      <c r="AA437" s="8">
        <f>_xlfn.XLOOKUP(CustomerCombined[[#This Row],[ID]], Table2[ID],Table2[MC3], "Not Found", 0 )</f>
        <v>0</v>
      </c>
      <c r="AB437" s="8">
        <f>_xlfn.XLOOKUP(CustomerCombined[[#This Row],[ID]], Table2[ID],Table2[MC4], "Not Found", 0 )</f>
        <v>0</v>
      </c>
      <c r="AC437" s="8">
        <f>_xlfn.XLOOKUP(CustomerCombined[[#This Row],[ID]], Table2[ID],Table2[MC5], "Not Found", 0 )</f>
        <v>0</v>
      </c>
    </row>
    <row r="438" spans="1:29" x14ac:dyDescent="0.3">
      <c r="A438" s="6">
        <v>1375</v>
      </c>
      <c r="B438" s="6">
        <v>162499</v>
      </c>
      <c r="C438" s="6">
        <v>1</v>
      </c>
      <c r="D438" s="6">
        <v>0</v>
      </c>
      <c r="E438" s="6">
        <v>41</v>
      </c>
      <c r="F438" s="5" t="s">
        <v>8</v>
      </c>
      <c r="G438" s="5" t="s">
        <v>12</v>
      </c>
      <c r="H438" s="3" t="s">
        <v>139</v>
      </c>
      <c r="I438" s="5" t="s">
        <v>437</v>
      </c>
      <c r="J438" s="5">
        <f>_xlfn.XLOOKUP(CustomerCombined[[#This Row],[ID]], Table4[ID], Table4[Recency], "Not Found", 0)</f>
        <v>0</v>
      </c>
      <c r="K438" s="5">
        <f>_xlfn.XLOOKUP(CustomerCombined[[#This Row],[ID]], Table4[ID], Table4[Teas], "Not Found", 0)</f>
        <v>364</v>
      </c>
      <c r="L438" s="5">
        <f>_xlfn.XLOOKUP(CustomerCombined[[#This Row],[ID]], Table4[ID], Table4[Fruits], "Not Found", 0)</f>
        <v>10</v>
      </c>
      <c r="M438" s="5">
        <f>_xlfn.XLOOKUP(CustomerCombined[[#This Row],[ID]], Table4[ID], Table4[Meats], "Not Found", 0)</f>
        <v>159</v>
      </c>
      <c r="N438" s="5">
        <f>_xlfn.XLOOKUP(CustomerCombined[[#This Row],[ID]], Table4[ID], Table4[Seafood], "Not Found", 0)</f>
        <v>0</v>
      </c>
      <c r="O438" s="5">
        <f>_xlfn.XLOOKUP(CustomerCombined[[#This Row],[ID]], Table4[ID], Table4[Sweets], "Not Found", 0)</f>
        <v>34</v>
      </c>
      <c r="P438" s="5">
        <f>_xlfn.XLOOKUP(CustomerCombined[[#This Row],[ID]], Table4[ID], Table4[Premium], "Not Found", 0)</f>
        <v>10</v>
      </c>
      <c r="Q438" s="5">
        <f>_xlfn.XLOOKUP(CustomerCombined[[#This Row],[ID]], Table4[ID], Table4[Regular], "Not Found", 0)</f>
        <v>556</v>
      </c>
      <c r="R438" s="5">
        <f>_xlfn.XLOOKUP(CustomerCombined[[#This Row],[ID]], Table4[ID], Table4[Deals], "Not Found", 0)</f>
        <v>2</v>
      </c>
      <c r="S438" s="5">
        <f>_xlfn.XLOOKUP(CustomerCombined[[#This Row],[ID]], Table4[ID], Table4[Website], "Not Found", 0)</f>
        <v>3</v>
      </c>
      <c r="T438" s="5">
        <f>_xlfn.XLOOKUP(CustomerCombined[[#This Row],[ID]], Table4[ID], Table4[Catalog], "Not Found", 0)</f>
        <v>1</v>
      </c>
      <c r="U438" s="5">
        <f>_xlfn.XLOOKUP(CustomerCombined[[#This Row],[ID]], Table4[ID], Table4[Store], "Not Found", 0)</f>
        <v>6</v>
      </c>
      <c r="V438" s="5">
        <f>_xlfn.XLOOKUP(CustomerCombined[[#This Row],[ID]], Table4[ID], Table4[Visits], "Not Found", 0)</f>
        <v>4</v>
      </c>
      <c r="W438" s="8">
        <f>_xlfn.XLOOKUP(CustomerCombined[[#This Row],[ID]], Table2[ID],Table2[Complaint], "Not Found", 0 )</f>
        <v>0</v>
      </c>
      <c r="X438" s="8">
        <f>_xlfn.XLOOKUP(CustomerCombined[[#This Row],[ID]], Table2[ID],Table2[Pilot], "Not Found", 0 )</f>
        <v>0</v>
      </c>
      <c r="Y438" s="8">
        <f>_xlfn.XLOOKUP(CustomerCombined[[#This Row],[ID]], Table2[ID],Table2[MC1], "Not Found", 0 )</f>
        <v>0</v>
      </c>
      <c r="Z438" s="8">
        <f>_xlfn.XLOOKUP(CustomerCombined[[#This Row],[ID]], Table2[ID],Table2[MC2], "Not Found", 0 )</f>
        <v>0</v>
      </c>
      <c r="AA438" s="8">
        <f>_xlfn.XLOOKUP(CustomerCombined[[#This Row],[ID]], Table2[ID],Table2[MC3], "Not Found", 0 )</f>
        <v>0</v>
      </c>
      <c r="AB438" s="8">
        <f>_xlfn.XLOOKUP(CustomerCombined[[#This Row],[ID]], Table2[ID],Table2[MC4], "Not Found", 0 )</f>
        <v>0</v>
      </c>
      <c r="AC438" s="8">
        <f>_xlfn.XLOOKUP(CustomerCombined[[#This Row],[ID]], Table2[ID],Table2[MC5], "Not Found", 0 )</f>
        <v>0</v>
      </c>
    </row>
    <row r="439" spans="1:29" x14ac:dyDescent="0.3">
      <c r="A439" s="6">
        <v>2076</v>
      </c>
      <c r="B439" s="6">
        <v>161825</v>
      </c>
      <c r="C439" s="6">
        <v>0</v>
      </c>
      <c r="D439" s="6">
        <v>1</v>
      </c>
      <c r="E439" s="6">
        <v>41</v>
      </c>
      <c r="F439" s="5" t="s">
        <v>7</v>
      </c>
      <c r="G439" s="5" t="s">
        <v>11</v>
      </c>
      <c r="H439" s="3">
        <v>44166</v>
      </c>
      <c r="I439" s="5" t="s">
        <v>436</v>
      </c>
      <c r="J439" s="5">
        <f>_xlfn.XLOOKUP(CustomerCombined[[#This Row],[ID]], Table4[ID], Table4[Recency], "Not Found", 0)</f>
        <v>56</v>
      </c>
      <c r="K439" s="5">
        <f>_xlfn.XLOOKUP(CustomerCombined[[#This Row],[ID]], Table4[ID], Table4[Teas], "Not Found", 0)</f>
        <v>424</v>
      </c>
      <c r="L439" s="5">
        <f>_xlfn.XLOOKUP(CustomerCombined[[#This Row],[ID]], Table4[ID], Table4[Fruits], "Not Found", 0)</f>
        <v>131</v>
      </c>
      <c r="M439" s="5">
        <f>_xlfn.XLOOKUP(CustomerCombined[[#This Row],[ID]], Table4[ID], Table4[Meats], "Not Found", 0)</f>
        <v>262</v>
      </c>
      <c r="N439" s="5">
        <f>_xlfn.XLOOKUP(CustomerCombined[[#This Row],[ID]], Table4[ID], Table4[Seafood], "Not Found", 0)</f>
        <v>144</v>
      </c>
      <c r="O439" s="5">
        <f>_xlfn.XLOOKUP(CustomerCombined[[#This Row],[ID]], Table4[ID], Table4[Sweets], "Not Found", 0)</f>
        <v>79</v>
      </c>
      <c r="P439" s="5">
        <f>_xlfn.XLOOKUP(CustomerCombined[[#This Row],[ID]], Table4[ID], Table4[Premium], "Not Found", 0)</f>
        <v>71</v>
      </c>
      <c r="Q439" s="5">
        <f>_xlfn.XLOOKUP(CustomerCombined[[#This Row],[ID]], Table4[ID], Table4[Regular], "Not Found", 0)</f>
        <v>968</v>
      </c>
      <c r="R439" s="5">
        <f>_xlfn.XLOOKUP(CustomerCombined[[#This Row],[ID]], Table4[ID], Table4[Deals], "Not Found", 0)</f>
        <v>1</v>
      </c>
      <c r="S439" s="5">
        <f>_xlfn.XLOOKUP(CustomerCombined[[#This Row],[ID]], Table4[ID], Table4[Website], "Not Found", 0)</f>
        <v>4</v>
      </c>
      <c r="T439" s="5">
        <f>_xlfn.XLOOKUP(CustomerCombined[[#This Row],[ID]], Table4[ID], Table4[Catalog], "Not Found", 0)</f>
        <v>2</v>
      </c>
      <c r="U439" s="5">
        <f>_xlfn.XLOOKUP(CustomerCombined[[#This Row],[ID]], Table4[ID], Table4[Store], "Not Found", 0)</f>
        <v>8</v>
      </c>
      <c r="V439" s="5">
        <f>_xlfn.XLOOKUP(CustomerCombined[[#This Row],[ID]], Table4[ID], Table4[Visits], "Not Found", 0)</f>
        <v>4</v>
      </c>
      <c r="W439" s="8">
        <f>_xlfn.XLOOKUP(CustomerCombined[[#This Row],[ID]], Table2[ID],Table2[Complaint], "Not Found", 0 )</f>
        <v>0</v>
      </c>
      <c r="X439" s="8">
        <f>_xlfn.XLOOKUP(CustomerCombined[[#This Row],[ID]], Table2[ID],Table2[Pilot], "Not Found", 0 )</f>
        <v>0</v>
      </c>
      <c r="Y439" s="8">
        <f>_xlfn.XLOOKUP(CustomerCombined[[#This Row],[ID]], Table2[ID],Table2[MC1], "Not Found", 0 )</f>
        <v>0</v>
      </c>
      <c r="Z439" s="8">
        <f>_xlfn.XLOOKUP(CustomerCombined[[#This Row],[ID]], Table2[ID],Table2[MC2], "Not Found", 0 )</f>
        <v>0</v>
      </c>
      <c r="AA439" s="8">
        <f>_xlfn.XLOOKUP(CustomerCombined[[#This Row],[ID]], Table2[ID],Table2[MC3], "Not Found", 0 )</f>
        <v>0</v>
      </c>
      <c r="AB439" s="8">
        <f>_xlfn.XLOOKUP(CustomerCombined[[#This Row],[ID]], Table2[ID],Table2[MC4], "Not Found", 0 )</f>
        <v>0</v>
      </c>
      <c r="AC439" s="8">
        <f>_xlfn.XLOOKUP(CustomerCombined[[#This Row],[ID]], Table2[ID],Table2[MC5], "Not Found", 0 )</f>
        <v>0</v>
      </c>
    </row>
    <row r="440" spans="1:29" x14ac:dyDescent="0.3">
      <c r="A440" s="6">
        <v>2837</v>
      </c>
      <c r="B440" s="6">
        <v>161825</v>
      </c>
      <c r="C440" s="6">
        <v>0</v>
      </c>
      <c r="D440" s="6">
        <v>1</v>
      </c>
      <c r="E440" s="6">
        <v>41</v>
      </c>
      <c r="F440" s="5" t="s">
        <v>7</v>
      </c>
      <c r="G440" s="5" t="s">
        <v>11</v>
      </c>
      <c r="H440" s="3">
        <v>44166</v>
      </c>
      <c r="I440" s="5" t="s">
        <v>434</v>
      </c>
      <c r="J440" s="5">
        <f>_xlfn.XLOOKUP(CustomerCombined[[#This Row],[ID]], Table4[ID], Table4[Recency], "Not Found", 0)</f>
        <v>56</v>
      </c>
      <c r="K440" s="5">
        <f>_xlfn.XLOOKUP(CustomerCombined[[#This Row],[ID]], Table4[ID], Table4[Teas], "Not Found", 0)</f>
        <v>424</v>
      </c>
      <c r="L440" s="5">
        <f>_xlfn.XLOOKUP(CustomerCombined[[#This Row],[ID]], Table4[ID], Table4[Fruits], "Not Found", 0)</f>
        <v>131</v>
      </c>
      <c r="M440" s="5">
        <f>_xlfn.XLOOKUP(CustomerCombined[[#This Row],[ID]], Table4[ID], Table4[Meats], "Not Found", 0)</f>
        <v>262</v>
      </c>
      <c r="N440" s="5">
        <f>_xlfn.XLOOKUP(CustomerCombined[[#This Row],[ID]], Table4[ID], Table4[Seafood], "Not Found", 0)</f>
        <v>144</v>
      </c>
      <c r="O440" s="5">
        <f>_xlfn.XLOOKUP(CustomerCombined[[#This Row],[ID]], Table4[ID], Table4[Sweets], "Not Found", 0)</f>
        <v>79</v>
      </c>
      <c r="P440" s="5">
        <f>_xlfn.XLOOKUP(CustomerCombined[[#This Row],[ID]], Table4[ID], Table4[Premium], "Not Found", 0)</f>
        <v>71</v>
      </c>
      <c r="Q440" s="5">
        <f>_xlfn.XLOOKUP(CustomerCombined[[#This Row],[ID]], Table4[ID], Table4[Regular], "Not Found", 0)</f>
        <v>968</v>
      </c>
      <c r="R440" s="5">
        <f>_xlfn.XLOOKUP(CustomerCombined[[#This Row],[ID]], Table4[ID], Table4[Deals], "Not Found", 0)</f>
        <v>1</v>
      </c>
      <c r="S440" s="5">
        <f>_xlfn.XLOOKUP(CustomerCombined[[#This Row],[ID]], Table4[ID], Table4[Website], "Not Found", 0)</f>
        <v>4</v>
      </c>
      <c r="T440" s="5">
        <f>_xlfn.XLOOKUP(CustomerCombined[[#This Row],[ID]], Table4[ID], Table4[Catalog], "Not Found", 0)</f>
        <v>2</v>
      </c>
      <c r="U440" s="5">
        <f>_xlfn.XLOOKUP(CustomerCombined[[#This Row],[ID]], Table4[ID], Table4[Store], "Not Found", 0)</f>
        <v>8</v>
      </c>
      <c r="V440" s="5">
        <f>_xlfn.XLOOKUP(CustomerCombined[[#This Row],[ID]], Table4[ID], Table4[Visits], "Not Found", 0)</f>
        <v>4</v>
      </c>
      <c r="W440" s="8">
        <f>_xlfn.XLOOKUP(CustomerCombined[[#This Row],[ID]], Table2[ID],Table2[Complaint], "Not Found", 0 )</f>
        <v>0</v>
      </c>
      <c r="X440" s="8">
        <f>_xlfn.XLOOKUP(CustomerCombined[[#This Row],[ID]], Table2[ID],Table2[Pilot], "Not Found", 0 )</f>
        <v>0</v>
      </c>
      <c r="Y440" s="8">
        <f>_xlfn.XLOOKUP(CustomerCombined[[#This Row],[ID]], Table2[ID],Table2[MC1], "Not Found", 0 )</f>
        <v>0</v>
      </c>
      <c r="Z440" s="8">
        <f>_xlfn.XLOOKUP(CustomerCombined[[#This Row],[ID]], Table2[ID],Table2[MC2], "Not Found", 0 )</f>
        <v>0</v>
      </c>
      <c r="AA440" s="8">
        <f>_xlfn.XLOOKUP(CustomerCombined[[#This Row],[ID]], Table2[ID],Table2[MC3], "Not Found", 0 )</f>
        <v>0</v>
      </c>
      <c r="AB440" s="8">
        <f>_xlfn.XLOOKUP(CustomerCombined[[#This Row],[ID]], Table2[ID],Table2[MC4], "Not Found", 0 )</f>
        <v>0</v>
      </c>
      <c r="AC440" s="8">
        <f>_xlfn.XLOOKUP(CustomerCombined[[#This Row],[ID]], Table2[ID],Table2[MC5], "Not Found", 0 )</f>
        <v>0</v>
      </c>
    </row>
    <row r="441" spans="1:29" x14ac:dyDescent="0.3">
      <c r="A441" s="6">
        <v>2763</v>
      </c>
      <c r="B441" s="6">
        <v>160839</v>
      </c>
      <c r="C441" s="6">
        <v>1</v>
      </c>
      <c r="D441" s="6">
        <v>1</v>
      </c>
      <c r="E441" s="6">
        <v>41</v>
      </c>
      <c r="F441" s="5" t="s">
        <v>8</v>
      </c>
      <c r="G441" s="5" t="s">
        <v>442</v>
      </c>
      <c r="H441" s="3">
        <v>43498</v>
      </c>
      <c r="I441" s="5" t="s">
        <v>435</v>
      </c>
      <c r="J441" s="5">
        <f>_xlfn.XLOOKUP(CustomerCombined[[#This Row],[ID]], Table4[ID], Table4[Recency], "Not Found", 0)</f>
        <v>72</v>
      </c>
      <c r="K441" s="5">
        <f>_xlfn.XLOOKUP(CustomerCombined[[#This Row],[ID]], Table4[ID], Table4[Teas], "Not Found", 0)</f>
        <v>1586</v>
      </c>
      <c r="L441" s="5">
        <f>_xlfn.XLOOKUP(CustomerCombined[[#This Row],[ID]], Table4[ID], Table4[Fruits], "Not Found", 0)</f>
        <v>56</v>
      </c>
      <c r="M441" s="5">
        <f>_xlfn.XLOOKUP(CustomerCombined[[#This Row],[ID]], Table4[ID], Table4[Meats], "Not Found", 0)</f>
        <v>338</v>
      </c>
      <c r="N441" s="5">
        <f>_xlfn.XLOOKUP(CustomerCombined[[#This Row],[ID]], Table4[ID], Table4[Seafood], "Not Found", 0)</f>
        <v>590</v>
      </c>
      <c r="O441" s="5">
        <f>_xlfn.XLOOKUP(CustomerCombined[[#This Row],[ID]], Table4[ID], Table4[Sweets], "Not Found", 0)</f>
        <v>397</v>
      </c>
      <c r="P441" s="5">
        <f>_xlfn.XLOOKUP(CustomerCombined[[#This Row],[ID]], Table4[ID], Table4[Premium], "Not Found", 0)</f>
        <v>338</v>
      </c>
      <c r="Q441" s="5">
        <f>_xlfn.XLOOKUP(CustomerCombined[[#This Row],[ID]], Table4[ID], Table4[Regular], "Not Found", 0)</f>
        <v>2628</v>
      </c>
      <c r="R441" s="5">
        <f>_xlfn.XLOOKUP(CustomerCombined[[#This Row],[ID]], Table4[ID], Table4[Deals], "Not Found", 0)</f>
        <v>13</v>
      </c>
      <c r="S441" s="5">
        <f>_xlfn.XLOOKUP(CustomerCombined[[#This Row],[ID]], Table4[ID], Table4[Website], "Not Found", 0)</f>
        <v>2</v>
      </c>
      <c r="T441" s="5">
        <f>_xlfn.XLOOKUP(CustomerCombined[[#This Row],[ID]], Table4[ID], Table4[Catalog], "Not Found", 0)</f>
        <v>2</v>
      </c>
      <c r="U441" s="5">
        <f>_xlfn.XLOOKUP(CustomerCombined[[#This Row],[ID]], Table4[ID], Table4[Store], "Not Found", 0)</f>
        <v>12</v>
      </c>
      <c r="V441" s="5">
        <f>_xlfn.XLOOKUP(CustomerCombined[[#This Row],[ID]], Table4[ID], Table4[Visits], "Not Found", 0)</f>
        <v>8</v>
      </c>
      <c r="W441" s="8">
        <f>_xlfn.XLOOKUP(CustomerCombined[[#This Row],[ID]], Table2[ID],Table2[Complaint], "Not Found", 0 )</f>
        <v>0</v>
      </c>
      <c r="X441" s="8">
        <f>_xlfn.XLOOKUP(CustomerCombined[[#This Row],[ID]], Table2[ID],Table2[Pilot], "Not Found", 0 )</f>
        <v>0</v>
      </c>
      <c r="Y441" s="8">
        <f>_xlfn.XLOOKUP(CustomerCombined[[#This Row],[ID]], Table2[ID],Table2[MC1], "Not Found", 0 )</f>
        <v>0</v>
      </c>
      <c r="Z441" s="8">
        <f>_xlfn.XLOOKUP(CustomerCombined[[#This Row],[ID]], Table2[ID],Table2[MC2], "Not Found", 0 )</f>
        <v>0</v>
      </c>
      <c r="AA441" s="8">
        <f>_xlfn.XLOOKUP(CustomerCombined[[#This Row],[ID]], Table2[ID],Table2[MC3], "Not Found", 0 )</f>
        <v>0</v>
      </c>
      <c r="AB441" s="8">
        <f>_xlfn.XLOOKUP(CustomerCombined[[#This Row],[ID]], Table2[ID],Table2[MC4], "Not Found", 0 )</f>
        <v>0</v>
      </c>
      <c r="AC441" s="8">
        <f>_xlfn.XLOOKUP(CustomerCombined[[#This Row],[ID]], Table2[ID],Table2[MC5], "Not Found", 0 )</f>
        <v>0</v>
      </c>
    </row>
    <row r="442" spans="1:29" x14ac:dyDescent="0.3">
      <c r="A442" s="6">
        <v>1836</v>
      </c>
      <c r="B442" s="6">
        <v>160474</v>
      </c>
      <c r="C442" s="6">
        <v>0</v>
      </c>
      <c r="D442" s="6">
        <v>1</v>
      </c>
      <c r="E442" s="6">
        <v>41</v>
      </c>
      <c r="F442" s="5" t="s">
        <v>7</v>
      </c>
      <c r="G442" s="5" t="s">
        <v>11</v>
      </c>
      <c r="H442" s="3">
        <v>43625</v>
      </c>
      <c r="I442" s="5" t="s">
        <v>436</v>
      </c>
      <c r="J442" s="5">
        <f>_xlfn.XLOOKUP(CustomerCombined[[#This Row],[ID]], Table4[ID], Table4[Recency], "Not Found", 0)</f>
        <v>25</v>
      </c>
      <c r="K442" s="5">
        <f>_xlfn.XLOOKUP(CustomerCombined[[#This Row],[ID]], Table4[ID], Table4[Teas], "Not Found", 0)</f>
        <v>703</v>
      </c>
      <c r="L442" s="5">
        <f>_xlfn.XLOOKUP(CustomerCombined[[#This Row],[ID]], Table4[ID], Table4[Fruits], "Not Found", 0)</f>
        <v>528</v>
      </c>
      <c r="M442" s="5">
        <f>_xlfn.XLOOKUP(CustomerCombined[[#This Row],[ID]], Table4[ID], Table4[Meats], "Not Found", 0)</f>
        <v>804</v>
      </c>
      <c r="N442" s="5">
        <f>_xlfn.XLOOKUP(CustomerCombined[[#This Row],[ID]], Table4[ID], Table4[Seafood], "Not Found", 0)</f>
        <v>621</v>
      </c>
      <c r="O442" s="5">
        <f>_xlfn.XLOOKUP(CustomerCombined[[#This Row],[ID]], Table4[ID], Table4[Sweets], "Not Found", 0)</f>
        <v>24</v>
      </c>
      <c r="P442" s="5">
        <f>_xlfn.XLOOKUP(CustomerCombined[[#This Row],[ID]], Table4[ID], Table4[Premium], "Not Found", 0)</f>
        <v>451</v>
      </c>
      <c r="Q442" s="5">
        <f>_xlfn.XLOOKUP(CustomerCombined[[#This Row],[ID]], Table4[ID], Table4[Regular], "Not Found", 0)</f>
        <v>2229</v>
      </c>
      <c r="R442" s="5">
        <f>_xlfn.XLOOKUP(CustomerCombined[[#This Row],[ID]], Table4[ID], Table4[Deals], "Not Found", 0)</f>
        <v>7</v>
      </c>
      <c r="S442" s="5">
        <f>_xlfn.XLOOKUP(CustomerCombined[[#This Row],[ID]], Table4[ID], Table4[Website], "Not Found", 0)</f>
        <v>10</v>
      </c>
      <c r="T442" s="5">
        <f>_xlfn.XLOOKUP(CustomerCombined[[#This Row],[ID]], Table4[ID], Table4[Catalog], "Not Found", 0)</f>
        <v>2</v>
      </c>
      <c r="U442" s="5">
        <f>_xlfn.XLOOKUP(CustomerCombined[[#This Row],[ID]], Table4[ID], Table4[Store], "Not Found", 0)</f>
        <v>12</v>
      </c>
      <c r="V442" s="5">
        <f>_xlfn.XLOOKUP(CustomerCombined[[#This Row],[ID]], Table4[ID], Table4[Visits], "Not Found", 0)</f>
        <v>7</v>
      </c>
      <c r="W442" s="8">
        <f>_xlfn.XLOOKUP(CustomerCombined[[#This Row],[ID]], Table2[ID],Table2[Complaint], "Not Found", 0 )</f>
        <v>0</v>
      </c>
      <c r="X442" s="8">
        <f>_xlfn.XLOOKUP(CustomerCombined[[#This Row],[ID]], Table2[ID],Table2[Pilot], "Not Found", 0 )</f>
        <v>0</v>
      </c>
      <c r="Y442" s="8">
        <f>_xlfn.XLOOKUP(CustomerCombined[[#This Row],[ID]], Table2[ID],Table2[MC1], "Not Found", 0 )</f>
        <v>0</v>
      </c>
      <c r="Z442" s="8">
        <f>_xlfn.XLOOKUP(CustomerCombined[[#This Row],[ID]], Table2[ID],Table2[MC2], "Not Found", 0 )</f>
        <v>0</v>
      </c>
      <c r="AA442" s="8">
        <f>_xlfn.XLOOKUP(CustomerCombined[[#This Row],[ID]], Table2[ID],Table2[MC3], "Not Found", 0 )</f>
        <v>0</v>
      </c>
      <c r="AB442" s="8">
        <f>_xlfn.XLOOKUP(CustomerCombined[[#This Row],[ID]], Table2[ID],Table2[MC4], "Not Found", 0 )</f>
        <v>0</v>
      </c>
      <c r="AC442" s="8">
        <f>_xlfn.XLOOKUP(CustomerCombined[[#This Row],[ID]], Table2[ID],Table2[MC5], "Not Found", 0 )</f>
        <v>0</v>
      </c>
    </row>
    <row r="443" spans="1:29" x14ac:dyDescent="0.3">
      <c r="A443" s="6">
        <v>2456</v>
      </c>
      <c r="B443" s="6">
        <v>160474</v>
      </c>
      <c r="C443" s="6">
        <v>0</v>
      </c>
      <c r="D443" s="6">
        <v>1</v>
      </c>
      <c r="E443" s="6">
        <v>41</v>
      </c>
      <c r="F443" s="5" t="s">
        <v>7</v>
      </c>
      <c r="G443" s="5" t="s">
        <v>11</v>
      </c>
      <c r="H443" s="3">
        <v>43625</v>
      </c>
      <c r="I443" s="5" t="s">
        <v>438</v>
      </c>
      <c r="J443" s="5">
        <f>_xlfn.XLOOKUP(CustomerCombined[[#This Row],[ID]], Table4[ID], Table4[Recency], "Not Found", 0)</f>
        <v>25</v>
      </c>
      <c r="K443" s="5">
        <f>_xlfn.XLOOKUP(CustomerCombined[[#This Row],[ID]], Table4[ID], Table4[Teas], "Not Found", 0)</f>
        <v>703</v>
      </c>
      <c r="L443" s="5">
        <f>_xlfn.XLOOKUP(CustomerCombined[[#This Row],[ID]], Table4[ID], Table4[Fruits], "Not Found", 0)</f>
        <v>528</v>
      </c>
      <c r="M443" s="5">
        <f>_xlfn.XLOOKUP(CustomerCombined[[#This Row],[ID]], Table4[ID], Table4[Meats], "Not Found", 0)</f>
        <v>804</v>
      </c>
      <c r="N443" s="5">
        <f>_xlfn.XLOOKUP(CustomerCombined[[#This Row],[ID]], Table4[ID], Table4[Seafood], "Not Found", 0)</f>
        <v>621</v>
      </c>
      <c r="O443" s="5">
        <f>_xlfn.XLOOKUP(CustomerCombined[[#This Row],[ID]], Table4[ID], Table4[Sweets], "Not Found", 0)</f>
        <v>24</v>
      </c>
      <c r="P443" s="5">
        <f>_xlfn.XLOOKUP(CustomerCombined[[#This Row],[ID]], Table4[ID], Table4[Premium], "Not Found", 0)</f>
        <v>451</v>
      </c>
      <c r="Q443" s="5">
        <f>_xlfn.XLOOKUP(CustomerCombined[[#This Row],[ID]], Table4[ID], Table4[Regular], "Not Found", 0)</f>
        <v>2229</v>
      </c>
      <c r="R443" s="5">
        <f>_xlfn.XLOOKUP(CustomerCombined[[#This Row],[ID]], Table4[ID], Table4[Deals], "Not Found", 0)</f>
        <v>7</v>
      </c>
      <c r="S443" s="5">
        <f>_xlfn.XLOOKUP(CustomerCombined[[#This Row],[ID]], Table4[ID], Table4[Website], "Not Found", 0)</f>
        <v>10</v>
      </c>
      <c r="T443" s="5">
        <f>_xlfn.XLOOKUP(CustomerCombined[[#This Row],[ID]], Table4[ID], Table4[Catalog], "Not Found", 0)</f>
        <v>2</v>
      </c>
      <c r="U443" s="5">
        <f>_xlfn.XLOOKUP(CustomerCombined[[#This Row],[ID]], Table4[ID], Table4[Store], "Not Found", 0)</f>
        <v>12</v>
      </c>
      <c r="V443" s="5">
        <f>_xlfn.XLOOKUP(CustomerCombined[[#This Row],[ID]], Table4[ID], Table4[Visits], "Not Found", 0)</f>
        <v>7</v>
      </c>
      <c r="W443" s="8">
        <f>_xlfn.XLOOKUP(CustomerCombined[[#This Row],[ID]], Table2[ID],Table2[Complaint], "Not Found", 0 )</f>
        <v>0</v>
      </c>
      <c r="X443" s="8">
        <f>_xlfn.XLOOKUP(CustomerCombined[[#This Row],[ID]], Table2[ID],Table2[Pilot], "Not Found", 0 )</f>
        <v>0</v>
      </c>
      <c r="Y443" s="8">
        <f>_xlfn.XLOOKUP(CustomerCombined[[#This Row],[ID]], Table2[ID],Table2[MC1], "Not Found", 0 )</f>
        <v>0</v>
      </c>
      <c r="Z443" s="8">
        <f>_xlfn.XLOOKUP(CustomerCombined[[#This Row],[ID]], Table2[ID],Table2[MC2], "Not Found", 0 )</f>
        <v>0</v>
      </c>
      <c r="AA443" s="8">
        <f>_xlfn.XLOOKUP(CustomerCombined[[#This Row],[ID]], Table2[ID],Table2[MC3], "Not Found", 0 )</f>
        <v>0</v>
      </c>
      <c r="AB443" s="8">
        <f>_xlfn.XLOOKUP(CustomerCombined[[#This Row],[ID]], Table2[ID],Table2[MC4], "Not Found", 0 )</f>
        <v>0</v>
      </c>
      <c r="AC443" s="8">
        <f>_xlfn.XLOOKUP(CustomerCombined[[#This Row],[ID]], Table2[ID],Table2[MC5], "Not Found", 0 )</f>
        <v>0</v>
      </c>
    </row>
    <row r="444" spans="1:29" x14ac:dyDescent="0.3">
      <c r="A444" s="6">
        <v>1495</v>
      </c>
      <c r="B444" s="6">
        <v>160152</v>
      </c>
      <c r="C444" s="6">
        <v>0</v>
      </c>
      <c r="D444" s="6">
        <v>1</v>
      </c>
      <c r="E444" s="6">
        <v>41</v>
      </c>
      <c r="F444" s="5" t="s">
        <v>7</v>
      </c>
      <c r="G444" s="5" t="s">
        <v>11</v>
      </c>
      <c r="H444" s="3">
        <v>43505</v>
      </c>
      <c r="I444" s="5" t="s">
        <v>437</v>
      </c>
      <c r="J444" s="5">
        <f>_xlfn.XLOOKUP(CustomerCombined[[#This Row],[ID]], Table4[ID], Table4[Recency], "Not Found", 0)</f>
        <v>6</v>
      </c>
      <c r="K444" s="5">
        <f>_xlfn.XLOOKUP(CustomerCombined[[#This Row],[ID]], Table4[ID], Table4[Teas], "Not Found", 0)</f>
        <v>865</v>
      </c>
      <c r="L444" s="5">
        <f>_xlfn.XLOOKUP(CustomerCombined[[#This Row],[ID]], Table4[ID], Table4[Fruits], "Not Found", 0)</f>
        <v>221</v>
      </c>
      <c r="M444" s="5">
        <f>_xlfn.XLOOKUP(CustomerCombined[[#This Row],[ID]], Table4[ID], Table4[Meats], "Not Found", 0)</f>
        <v>799</v>
      </c>
      <c r="N444" s="5">
        <f>_xlfn.XLOOKUP(CustomerCombined[[#This Row],[ID]], Table4[ID], Table4[Seafood], "Not Found", 0)</f>
        <v>229</v>
      </c>
      <c r="O444" s="5">
        <f>_xlfn.XLOOKUP(CustomerCombined[[#This Row],[ID]], Table4[ID], Table4[Sweets], "Not Found", 0)</f>
        <v>154</v>
      </c>
      <c r="P444" s="5">
        <f>_xlfn.XLOOKUP(CustomerCombined[[#This Row],[ID]], Table4[ID], Table4[Premium], "Not Found", 0)</f>
        <v>242</v>
      </c>
      <c r="Q444" s="5">
        <f>_xlfn.XLOOKUP(CustomerCombined[[#This Row],[ID]], Table4[ID], Table4[Regular], "Not Found", 0)</f>
        <v>2026</v>
      </c>
      <c r="R444" s="5">
        <f>_xlfn.XLOOKUP(CustomerCombined[[#This Row],[ID]], Table4[ID], Table4[Deals], "Not Found", 0)</f>
        <v>1</v>
      </c>
      <c r="S444" s="5">
        <f>_xlfn.XLOOKUP(CustomerCombined[[#This Row],[ID]], Table4[ID], Table4[Website], "Not Found", 0)</f>
        <v>6</v>
      </c>
      <c r="T444" s="5">
        <f>_xlfn.XLOOKUP(CustomerCombined[[#This Row],[ID]], Table4[ID], Table4[Catalog], "Not Found", 0)</f>
        <v>4</v>
      </c>
      <c r="U444" s="5">
        <f>_xlfn.XLOOKUP(CustomerCombined[[#This Row],[ID]], Table4[ID], Table4[Store], "Not Found", 0)</f>
        <v>12</v>
      </c>
      <c r="V444" s="5">
        <f>_xlfn.XLOOKUP(CustomerCombined[[#This Row],[ID]], Table4[ID], Table4[Visits], "Not Found", 0)</f>
        <v>3</v>
      </c>
      <c r="W444" s="8">
        <f>_xlfn.XLOOKUP(CustomerCombined[[#This Row],[ID]], Table2[ID],Table2[Complaint], "Not Found", 0 )</f>
        <v>0</v>
      </c>
      <c r="X444" s="8">
        <f>_xlfn.XLOOKUP(CustomerCombined[[#This Row],[ID]], Table2[ID],Table2[Pilot], "Not Found", 0 )</f>
        <v>0</v>
      </c>
      <c r="Y444" s="8">
        <f>_xlfn.XLOOKUP(CustomerCombined[[#This Row],[ID]], Table2[ID],Table2[MC1], "Not Found", 0 )</f>
        <v>0</v>
      </c>
      <c r="Z444" s="8">
        <f>_xlfn.XLOOKUP(CustomerCombined[[#This Row],[ID]], Table2[ID],Table2[MC2], "Not Found", 0 )</f>
        <v>0</v>
      </c>
      <c r="AA444" s="8">
        <f>_xlfn.XLOOKUP(CustomerCombined[[#This Row],[ID]], Table2[ID],Table2[MC3], "Not Found", 0 )</f>
        <v>0</v>
      </c>
      <c r="AB444" s="8">
        <f>_xlfn.XLOOKUP(CustomerCombined[[#This Row],[ID]], Table2[ID],Table2[MC4], "Not Found", 0 )</f>
        <v>0</v>
      </c>
      <c r="AC444" s="8">
        <f>_xlfn.XLOOKUP(CustomerCombined[[#This Row],[ID]], Table2[ID],Table2[MC5], "Not Found", 0 )</f>
        <v>0</v>
      </c>
    </row>
    <row r="445" spans="1:29" x14ac:dyDescent="0.3">
      <c r="A445" s="6">
        <v>3188</v>
      </c>
      <c r="B445" s="6">
        <v>158025</v>
      </c>
      <c r="C445" s="6">
        <v>0</v>
      </c>
      <c r="D445" s="6">
        <v>1</v>
      </c>
      <c r="E445" s="6">
        <v>41</v>
      </c>
      <c r="F445" s="5" t="s">
        <v>6</v>
      </c>
      <c r="G445" s="5" t="s">
        <v>11</v>
      </c>
      <c r="H445" s="3">
        <v>43866</v>
      </c>
      <c r="I445" s="5" t="s">
        <v>438</v>
      </c>
      <c r="J445" s="5">
        <f>_xlfn.XLOOKUP(CustomerCombined[[#This Row],[ID]], Table4[ID], Table4[Recency], "Not Found", 0)</f>
        <v>81</v>
      </c>
      <c r="K445" s="5">
        <f>_xlfn.XLOOKUP(CustomerCombined[[#This Row],[ID]], Table4[ID], Table4[Teas], "Not Found", 0)</f>
        <v>735</v>
      </c>
      <c r="L445" s="5">
        <f>_xlfn.XLOOKUP(CustomerCombined[[#This Row],[ID]], Table4[ID], Table4[Fruits], "Not Found", 0)</f>
        <v>84</v>
      </c>
      <c r="M445" s="5">
        <f>_xlfn.XLOOKUP(CustomerCombined[[#This Row],[ID]], Table4[ID], Table4[Meats], "Not Found", 0)</f>
        <v>240</v>
      </c>
      <c r="N445" s="5">
        <f>_xlfn.XLOOKUP(CustomerCombined[[#This Row],[ID]], Table4[ID], Table4[Seafood], "Not Found", 0)</f>
        <v>30</v>
      </c>
      <c r="O445" s="5">
        <f>_xlfn.XLOOKUP(CustomerCombined[[#This Row],[ID]], Table4[ID], Table4[Sweets], "Not Found", 0)</f>
        <v>131</v>
      </c>
      <c r="P445" s="5">
        <f>_xlfn.XLOOKUP(CustomerCombined[[#This Row],[ID]], Table4[ID], Table4[Premium], "Not Found", 0)</f>
        <v>60</v>
      </c>
      <c r="Q445" s="5">
        <f>_xlfn.XLOOKUP(CustomerCombined[[#This Row],[ID]], Table4[ID], Table4[Regular], "Not Found", 0)</f>
        <v>1160</v>
      </c>
      <c r="R445" s="5">
        <f>_xlfn.XLOOKUP(CustomerCombined[[#This Row],[ID]], Table4[ID], Table4[Deals], "Not Found", 0)</f>
        <v>3</v>
      </c>
      <c r="S445" s="5">
        <f>_xlfn.XLOOKUP(CustomerCombined[[#This Row],[ID]], Table4[ID], Table4[Website], "Not Found", 0)</f>
        <v>3</v>
      </c>
      <c r="T445" s="5">
        <f>_xlfn.XLOOKUP(CustomerCombined[[#This Row],[ID]], Table4[ID], Table4[Catalog], "Not Found", 0)</f>
        <v>2</v>
      </c>
      <c r="U445" s="5">
        <f>_xlfn.XLOOKUP(CustomerCombined[[#This Row],[ID]], Table4[ID], Table4[Store], "Not Found", 0)</f>
        <v>10</v>
      </c>
      <c r="V445" s="5">
        <f>_xlfn.XLOOKUP(CustomerCombined[[#This Row],[ID]], Table4[ID], Table4[Visits], "Not Found", 0)</f>
        <v>4</v>
      </c>
      <c r="W445" s="8">
        <f>_xlfn.XLOOKUP(CustomerCombined[[#This Row],[ID]], Table2[ID],Table2[Complaint], "Not Found", 0 )</f>
        <v>0</v>
      </c>
      <c r="X445" s="8">
        <f>_xlfn.XLOOKUP(CustomerCombined[[#This Row],[ID]], Table2[ID],Table2[Pilot], "Not Found", 0 )</f>
        <v>0</v>
      </c>
      <c r="Y445" s="8">
        <f>_xlfn.XLOOKUP(CustomerCombined[[#This Row],[ID]], Table2[ID],Table2[MC1], "Not Found", 0 )</f>
        <v>0</v>
      </c>
      <c r="Z445" s="8">
        <f>_xlfn.XLOOKUP(CustomerCombined[[#This Row],[ID]], Table2[ID],Table2[MC2], "Not Found", 0 )</f>
        <v>0</v>
      </c>
      <c r="AA445" s="8">
        <f>_xlfn.XLOOKUP(CustomerCombined[[#This Row],[ID]], Table2[ID],Table2[MC3], "Not Found", 0 )</f>
        <v>0</v>
      </c>
      <c r="AB445" s="8">
        <f>_xlfn.XLOOKUP(CustomerCombined[[#This Row],[ID]], Table2[ID],Table2[MC4], "Not Found", 0 )</f>
        <v>0</v>
      </c>
      <c r="AC445" s="8">
        <f>_xlfn.XLOOKUP(CustomerCombined[[#This Row],[ID]], Table2[ID],Table2[MC5], "Not Found", 0 )</f>
        <v>0</v>
      </c>
    </row>
    <row r="446" spans="1:29" x14ac:dyDescent="0.3">
      <c r="A446" s="6">
        <v>2391</v>
      </c>
      <c r="B446" s="6">
        <v>157537</v>
      </c>
      <c r="C446" s="6">
        <v>1</v>
      </c>
      <c r="D446" s="6">
        <v>0</v>
      </c>
      <c r="E446" s="6">
        <v>41</v>
      </c>
      <c r="F446" s="5" t="s">
        <v>7</v>
      </c>
      <c r="G446" s="5" t="s">
        <v>11</v>
      </c>
      <c r="H446" s="3" t="s">
        <v>242</v>
      </c>
      <c r="I446" s="5" t="s">
        <v>435</v>
      </c>
      <c r="J446" s="5">
        <f>_xlfn.XLOOKUP(CustomerCombined[[#This Row],[ID]], Table4[ID], Table4[Recency], "Not Found", 0)</f>
        <v>83</v>
      </c>
      <c r="K446" s="5">
        <f>_xlfn.XLOOKUP(CustomerCombined[[#This Row],[ID]], Table4[ID], Table4[Teas], "Not Found", 0)</f>
        <v>523</v>
      </c>
      <c r="L446" s="5">
        <f>_xlfn.XLOOKUP(CustomerCombined[[#This Row],[ID]], Table4[ID], Table4[Fruits], "Not Found", 0)</f>
        <v>153</v>
      </c>
      <c r="M446" s="5">
        <f>_xlfn.XLOOKUP(CustomerCombined[[#This Row],[ID]], Table4[ID], Table4[Meats], "Not Found", 0)</f>
        <v>381</v>
      </c>
      <c r="N446" s="5">
        <f>_xlfn.XLOOKUP(CustomerCombined[[#This Row],[ID]], Table4[ID], Table4[Seafood], "Not Found", 0)</f>
        <v>140</v>
      </c>
      <c r="O446" s="5">
        <f>_xlfn.XLOOKUP(CustomerCombined[[#This Row],[ID]], Table4[ID], Table4[Sweets], "Not Found", 0)</f>
        <v>22</v>
      </c>
      <c r="P446" s="5">
        <f>_xlfn.XLOOKUP(CustomerCombined[[#This Row],[ID]], Table4[ID], Table4[Premium], "Not Found", 0)</f>
        <v>274</v>
      </c>
      <c r="Q446" s="5">
        <f>_xlfn.XLOOKUP(CustomerCombined[[#This Row],[ID]], Table4[ID], Table4[Regular], "Not Found", 0)</f>
        <v>945</v>
      </c>
      <c r="R446" s="5">
        <f>_xlfn.XLOOKUP(CustomerCombined[[#This Row],[ID]], Table4[ID], Table4[Deals], "Not Found", 0)</f>
        <v>4</v>
      </c>
      <c r="S446" s="5">
        <f>_xlfn.XLOOKUP(CustomerCombined[[#This Row],[ID]], Table4[ID], Table4[Website], "Not Found", 0)</f>
        <v>4</v>
      </c>
      <c r="T446" s="5">
        <f>_xlfn.XLOOKUP(CustomerCombined[[#This Row],[ID]], Table4[ID], Table4[Catalog], "Not Found", 0)</f>
        <v>3</v>
      </c>
      <c r="U446" s="5">
        <f>_xlfn.XLOOKUP(CustomerCombined[[#This Row],[ID]], Table4[ID], Table4[Store], "Not Found", 0)</f>
        <v>8</v>
      </c>
      <c r="V446" s="5">
        <f>_xlfn.XLOOKUP(CustomerCombined[[#This Row],[ID]], Table4[ID], Table4[Visits], "Not Found", 0)</f>
        <v>4</v>
      </c>
      <c r="W446" s="8">
        <f>_xlfn.XLOOKUP(CustomerCombined[[#This Row],[ID]], Table2[ID],Table2[Complaint], "Not Found", 0 )</f>
        <v>0</v>
      </c>
      <c r="X446" s="8">
        <f>_xlfn.XLOOKUP(CustomerCombined[[#This Row],[ID]], Table2[ID],Table2[Pilot], "Not Found", 0 )</f>
        <v>0</v>
      </c>
      <c r="Y446" s="8">
        <f>_xlfn.XLOOKUP(CustomerCombined[[#This Row],[ID]], Table2[ID],Table2[MC1], "Not Found", 0 )</f>
        <v>0</v>
      </c>
      <c r="Z446" s="8">
        <f>_xlfn.XLOOKUP(CustomerCombined[[#This Row],[ID]], Table2[ID],Table2[MC2], "Not Found", 0 )</f>
        <v>0</v>
      </c>
      <c r="AA446" s="8">
        <f>_xlfn.XLOOKUP(CustomerCombined[[#This Row],[ID]], Table2[ID],Table2[MC3], "Not Found", 0 )</f>
        <v>0</v>
      </c>
      <c r="AB446" s="8">
        <f>_xlfn.XLOOKUP(CustomerCombined[[#This Row],[ID]], Table2[ID],Table2[MC4], "Not Found", 0 )</f>
        <v>0</v>
      </c>
      <c r="AC446" s="8">
        <f>_xlfn.XLOOKUP(CustomerCombined[[#This Row],[ID]], Table2[ID],Table2[MC5], "Not Found", 0 )</f>
        <v>0</v>
      </c>
    </row>
    <row r="447" spans="1:29" x14ac:dyDescent="0.3">
      <c r="A447" s="6">
        <v>3209</v>
      </c>
      <c r="B447" s="6">
        <v>157313</v>
      </c>
      <c r="C447" s="6">
        <v>1</v>
      </c>
      <c r="D447" s="6">
        <v>1.5</v>
      </c>
      <c r="E447" s="6">
        <v>41</v>
      </c>
      <c r="F447" s="5" t="s">
        <v>6</v>
      </c>
      <c r="G447" s="5" t="s">
        <v>11</v>
      </c>
      <c r="H447" s="3" t="s">
        <v>284</v>
      </c>
      <c r="I447" s="5" t="s">
        <v>434</v>
      </c>
      <c r="J447" s="5">
        <f>_xlfn.XLOOKUP(CustomerCombined[[#This Row],[ID]], Table4[ID], Table4[Recency], "Not Found", 0)</f>
        <v>87</v>
      </c>
      <c r="K447" s="5">
        <f>_xlfn.XLOOKUP(CustomerCombined[[#This Row],[ID]], Table4[ID], Table4[Teas], "Not Found", 0)</f>
        <v>1254</v>
      </c>
      <c r="L447" s="5">
        <f>_xlfn.XLOOKUP(CustomerCombined[[#This Row],[ID]], Table4[ID], Table4[Fruits], "Not Found", 0)</f>
        <v>14</v>
      </c>
      <c r="M447" s="5">
        <f>_xlfn.XLOOKUP(CustomerCombined[[#This Row],[ID]], Table4[ID], Table4[Meats], "Not Found", 0)</f>
        <v>291</v>
      </c>
      <c r="N447" s="5">
        <f>_xlfn.XLOOKUP(CustomerCombined[[#This Row],[ID]], Table4[ID], Table4[Seafood], "Not Found", 0)</f>
        <v>41</v>
      </c>
      <c r="O447" s="5">
        <f>_xlfn.XLOOKUP(CustomerCombined[[#This Row],[ID]], Table4[ID], Table4[Sweets], "Not Found", 0)</f>
        <v>47</v>
      </c>
      <c r="P447" s="5">
        <f>_xlfn.XLOOKUP(CustomerCombined[[#This Row],[ID]], Table4[ID], Table4[Premium], "Not Found", 0)</f>
        <v>145</v>
      </c>
      <c r="Q447" s="5">
        <f>_xlfn.XLOOKUP(CustomerCombined[[#This Row],[ID]], Table4[ID], Table4[Regular], "Not Found", 0)</f>
        <v>1501</v>
      </c>
      <c r="R447" s="5">
        <f>_xlfn.XLOOKUP(CustomerCombined[[#This Row],[ID]], Table4[ID], Table4[Deals], "Not Found", 0)</f>
        <v>8</v>
      </c>
      <c r="S447" s="5">
        <f>_xlfn.XLOOKUP(CustomerCombined[[#This Row],[ID]], Table4[ID], Table4[Website], "Not Found", 0)</f>
        <v>11</v>
      </c>
      <c r="T447" s="5">
        <f>_xlfn.XLOOKUP(CustomerCombined[[#This Row],[ID]], Table4[ID], Table4[Catalog], "Not Found", 0)</f>
        <v>1</v>
      </c>
      <c r="U447" s="5">
        <f>_xlfn.XLOOKUP(CustomerCombined[[#This Row],[ID]], Table4[ID], Table4[Store], "Not Found", 0)</f>
        <v>6</v>
      </c>
      <c r="V447" s="5">
        <f>_xlfn.XLOOKUP(CustomerCombined[[#This Row],[ID]], Table4[ID], Table4[Visits], "Not Found", 0)</f>
        <v>8</v>
      </c>
      <c r="W447" s="8">
        <f>_xlfn.XLOOKUP(CustomerCombined[[#This Row],[ID]], Table2[ID],Table2[Complaint], "Not Found", 0 )</f>
        <v>0</v>
      </c>
      <c r="X447" s="8">
        <f>_xlfn.XLOOKUP(CustomerCombined[[#This Row],[ID]], Table2[ID],Table2[Pilot], "Not Found", 0 )</f>
        <v>0</v>
      </c>
      <c r="Y447" s="8">
        <f>_xlfn.XLOOKUP(CustomerCombined[[#This Row],[ID]], Table2[ID],Table2[MC1], "Not Found", 0 )</f>
        <v>0</v>
      </c>
      <c r="Z447" s="8">
        <f>_xlfn.XLOOKUP(CustomerCombined[[#This Row],[ID]], Table2[ID],Table2[MC2], "Not Found", 0 )</f>
        <v>0</v>
      </c>
      <c r="AA447" s="8">
        <f>_xlfn.XLOOKUP(CustomerCombined[[#This Row],[ID]], Table2[ID],Table2[MC3], "Not Found", 0 )</f>
        <v>0</v>
      </c>
      <c r="AB447" s="8">
        <f>_xlfn.XLOOKUP(CustomerCombined[[#This Row],[ID]], Table2[ID],Table2[MC4], "Not Found", 0 )</f>
        <v>0</v>
      </c>
      <c r="AC447" s="8">
        <f>_xlfn.XLOOKUP(CustomerCombined[[#This Row],[ID]], Table2[ID],Table2[MC5], "Not Found", 0 )</f>
        <v>0</v>
      </c>
    </row>
    <row r="448" spans="1:29" x14ac:dyDescent="0.3">
      <c r="A448" s="6">
        <v>2080</v>
      </c>
      <c r="B448" s="6">
        <v>156775</v>
      </c>
      <c r="C448" s="6">
        <v>0</v>
      </c>
      <c r="D448" s="6">
        <v>1</v>
      </c>
      <c r="E448" s="6">
        <v>41</v>
      </c>
      <c r="F448" s="5" t="s">
        <v>6</v>
      </c>
      <c r="G448" s="5" t="s">
        <v>11</v>
      </c>
      <c r="H448" s="3">
        <v>43714</v>
      </c>
      <c r="I448" s="5" t="s">
        <v>439</v>
      </c>
      <c r="J448" s="5">
        <f>_xlfn.XLOOKUP(CustomerCombined[[#This Row],[ID]], Table4[ID], Table4[Recency], "Not Found", 0)</f>
        <v>62</v>
      </c>
      <c r="K448" s="5">
        <f>_xlfn.XLOOKUP(CustomerCombined[[#This Row],[ID]], Table4[ID], Table4[Teas], "Not Found", 0)</f>
        <v>1695</v>
      </c>
      <c r="L448" s="5">
        <f>_xlfn.XLOOKUP(CustomerCombined[[#This Row],[ID]], Table4[ID], Table4[Fruits], "Not Found", 0)</f>
        <v>97</v>
      </c>
      <c r="M448" s="5">
        <f>_xlfn.XLOOKUP(CustomerCombined[[#This Row],[ID]], Table4[ID], Table4[Meats], "Not Found", 0)</f>
        <v>442</v>
      </c>
      <c r="N448" s="5">
        <f>_xlfn.XLOOKUP(CustomerCombined[[#This Row],[ID]], Table4[ID], Table4[Seafood], "Not Found", 0)</f>
        <v>160</v>
      </c>
      <c r="O448" s="5">
        <f>_xlfn.XLOOKUP(CustomerCombined[[#This Row],[ID]], Table4[ID], Table4[Sweets], "Not Found", 0)</f>
        <v>97</v>
      </c>
      <c r="P448" s="5">
        <f>_xlfn.XLOOKUP(CustomerCombined[[#This Row],[ID]], Table4[ID], Table4[Premium], "Not Found", 0)</f>
        <v>97</v>
      </c>
      <c r="Q448" s="5">
        <f>_xlfn.XLOOKUP(CustomerCombined[[#This Row],[ID]], Table4[ID], Table4[Regular], "Not Found", 0)</f>
        <v>2394</v>
      </c>
      <c r="R448" s="5">
        <f>_xlfn.XLOOKUP(CustomerCombined[[#This Row],[ID]], Table4[ID], Table4[Deals], "Not Found", 0)</f>
        <v>2</v>
      </c>
      <c r="S448" s="5">
        <f>_xlfn.XLOOKUP(CustomerCombined[[#This Row],[ID]], Table4[ID], Table4[Website], "Not Found", 0)</f>
        <v>5</v>
      </c>
      <c r="T448" s="5">
        <f>_xlfn.XLOOKUP(CustomerCombined[[#This Row],[ID]], Table4[ID], Table4[Catalog], "Not Found", 0)</f>
        <v>8</v>
      </c>
      <c r="U448" s="5">
        <f>_xlfn.XLOOKUP(CustomerCombined[[#This Row],[ID]], Table4[ID], Table4[Store], "Not Found", 0)</f>
        <v>10</v>
      </c>
      <c r="V448" s="5">
        <f>_xlfn.XLOOKUP(CustomerCombined[[#This Row],[ID]], Table4[ID], Table4[Visits], "Not Found", 0)</f>
        <v>5</v>
      </c>
      <c r="W448" s="8">
        <f>_xlfn.XLOOKUP(CustomerCombined[[#This Row],[ID]], Table2[ID],Table2[Complaint], "Not Found", 0 )</f>
        <v>0</v>
      </c>
      <c r="X448" s="8">
        <f>_xlfn.XLOOKUP(CustomerCombined[[#This Row],[ID]], Table2[ID],Table2[Pilot], "Not Found", 0 )</f>
        <v>0</v>
      </c>
      <c r="Y448" s="8">
        <f>_xlfn.XLOOKUP(CustomerCombined[[#This Row],[ID]], Table2[ID],Table2[MC1], "Not Found", 0 )</f>
        <v>0</v>
      </c>
      <c r="Z448" s="8">
        <f>_xlfn.XLOOKUP(CustomerCombined[[#This Row],[ID]], Table2[ID],Table2[MC2], "Not Found", 0 )</f>
        <v>0</v>
      </c>
      <c r="AA448" s="8">
        <f>_xlfn.XLOOKUP(CustomerCombined[[#This Row],[ID]], Table2[ID],Table2[MC3], "Not Found", 0 )</f>
        <v>0</v>
      </c>
      <c r="AB448" s="8">
        <f>_xlfn.XLOOKUP(CustomerCombined[[#This Row],[ID]], Table2[ID],Table2[MC4], "Not Found", 0 )</f>
        <v>0</v>
      </c>
      <c r="AC448" s="8">
        <f>_xlfn.XLOOKUP(CustomerCombined[[#This Row],[ID]], Table2[ID],Table2[MC5], "Not Found", 0 )</f>
        <v>0</v>
      </c>
    </row>
    <row r="449" spans="1:29" x14ac:dyDescent="0.3">
      <c r="A449" s="6">
        <v>2082</v>
      </c>
      <c r="B449" s="6">
        <v>154210</v>
      </c>
      <c r="C449" s="6">
        <v>0</v>
      </c>
      <c r="D449" s="6">
        <v>1</v>
      </c>
      <c r="E449" s="6">
        <v>41</v>
      </c>
      <c r="F449" s="5" t="s">
        <v>6</v>
      </c>
      <c r="G449" s="5" t="s">
        <v>442</v>
      </c>
      <c r="H449" s="3" t="s">
        <v>251</v>
      </c>
      <c r="I449" s="5" t="s">
        <v>436</v>
      </c>
      <c r="J449" s="5">
        <f>_xlfn.XLOOKUP(CustomerCombined[[#This Row],[ID]], Table4[ID], Table4[Recency], "Not Found", 0)</f>
        <v>18</v>
      </c>
      <c r="K449" s="5">
        <f>_xlfn.XLOOKUP(CustomerCombined[[#This Row],[ID]], Table4[ID], Table4[Teas], "Not Found", 0)</f>
        <v>199</v>
      </c>
      <c r="L449" s="5">
        <f>_xlfn.XLOOKUP(CustomerCombined[[#This Row],[ID]], Table4[ID], Table4[Fruits], "Not Found", 0)</f>
        <v>154</v>
      </c>
      <c r="M449" s="5">
        <f>_xlfn.XLOOKUP(CustomerCombined[[#This Row],[ID]], Table4[ID], Table4[Meats], "Not Found", 0)</f>
        <v>310</v>
      </c>
      <c r="N449" s="5">
        <f>_xlfn.XLOOKUP(CustomerCombined[[#This Row],[ID]], Table4[ID], Table4[Seafood], "Not Found", 0)</f>
        <v>228</v>
      </c>
      <c r="O449" s="5">
        <f>_xlfn.XLOOKUP(CustomerCombined[[#This Row],[ID]], Table4[ID], Table4[Sweets], "Not Found", 0)</f>
        <v>26</v>
      </c>
      <c r="P449" s="5">
        <f>_xlfn.XLOOKUP(CustomerCombined[[#This Row],[ID]], Table4[ID], Table4[Premium], "Not Found", 0)</f>
        <v>128</v>
      </c>
      <c r="Q449" s="5">
        <f>_xlfn.XLOOKUP(CustomerCombined[[#This Row],[ID]], Table4[ID], Table4[Regular], "Not Found", 0)</f>
        <v>788</v>
      </c>
      <c r="R449" s="5">
        <f>_xlfn.XLOOKUP(CustomerCombined[[#This Row],[ID]], Table4[ID], Table4[Deals], "Not Found", 0)</f>
        <v>2</v>
      </c>
      <c r="S449" s="5">
        <f>_xlfn.XLOOKUP(CustomerCombined[[#This Row],[ID]], Table4[ID], Table4[Website], "Not Found", 0)</f>
        <v>4</v>
      </c>
      <c r="T449" s="5">
        <f>_xlfn.XLOOKUP(CustomerCombined[[#This Row],[ID]], Table4[ID], Table4[Catalog], "Not Found", 0)</f>
        <v>1</v>
      </c>
      <c r="U449" s="5">
        <f>_xlfn.XLOOKUP(CustomerCombined[[#This Row],[ID]], Table4[ID], Table4[Store], "Not Found", 0)</f>
        <v>7</v>
      </c>
      <c r="V449" s="5">
        <f>_xlfn.XLOOKUP(CustomerCombined[[#This Row],[ID]], Table4[ID], Table4[Visits], "Not Found", 0)</f>
        <v>5</v>
      </c>
      <c r="W449" s="8">
        <f>_xlfn.XLOOKUP(CustomerCombined[[#This Row],[ID]], Table2[ID],Table2[Complaint], "Not Found", 0 )</f>
        <v>0</v>
      </c>
      <c r="X449" s="8">
        <f>_xlfn.XLOOKUP(CustomerCombined[[#This Row],[ID]], Table2[ID],Table2[Pilot], "Not Found", 0 )</f>
        <v>0</v>
      </c>
      <c r="Y449" s="8">
        <f>_xlfn.XLOOKUP(CustomerCombined[[#This Row],[ID]], Table2[ID],Table2[MC1], "Not Found", 0 )</f>
        <v>0</v>
      </c>
      <c r="Z449" s="8">
        <f>_xlfn.XLOOKUP(CustomerCombined[[#This Row],[ID]], Table2[ID],Table2[MC2], "Not Found", 0 )</f>
        <v>0</v>
      </c>
      <c r="AA449" s="8">
        <f>_xlfn.XLOOKUP(CustomerCombined[[#This Row],[ID]], Table2[ID],Table2[MC3], "Not Found", 0 )</f>
        <v>0</v>
      </c>
      <c r="AB449" s="8">
        <f>_xlfn.XLOOKUP(CustomerCombined[[#This Row],[ID]], Table2[ID],Table2[MC4], "Not Found", 0 )</f>
        <v>0</v>
      </c>
      <c r="AC449" s="8">
        <f>_xlfn.XLOOKUP(CustomerCombined[[#This Row],[ID]], Table2[ID],Table2[MC5], "Not Found", 0 )</f>
        <v>0</v>
      </c>
    </row>
    <row r="450" spans="1:29" x14ac:dyDescent="0.3">
      <c r="A450" s="6">
        <v>2104</v>
      </c>
      <c r="B450" s="6">
        <v>148526</v>
      </c>
      <c r="C450" s="6">
        <v>1</v>
      </c>
      <c r="D450" s="6">
        <v>0</v>
      </c>
      <c r="E450" s="6">
        <v>41</v>
      </c>
      <c r="F450" s="5" t="s">
        <v>7</v>
      </c>
      <c r="G450" s="5" t="s">
        <v>11</v>
      </c>
      <c r="H450" s="3" t="s">
        <v>124</v>
      </c>
      <c r="I450" s="5" t="s">
        <v>439</v>
      </c>
      <c r="J450" s="5">
        <f>_xlfn.XLOOKUP(CustomerCombined[[#This Row],[ID]], Table4[ID], Table4[Recency], "Not Found", 0)</f>
        <v>32</v>
      </c>
      <c r="K450" s="5">
        <f>_xlfn.XLOOKUP(CustomerCombined[[#This Row],[ID]], Table4[ID], Table4[Teas], "Not Found", 0)</f>
        <v>70</v>
      </c>
      <c r="L450" s="5">
        <f>_xlfn.XLOOKUP(CustomerCombined[[#This Row],[ID]], Table4[ID], Table4[Fruits], "Not Found", 0)</f>
        <v>52</v>
      </c>
      <c r="M450" s="5">
        <f>_xlfn.XLOOKUP(CustomerCombined[[#This Row],[ID]], Table4[ID], Table4[Meats], "Not Found", 0)</f>
        <v>70</v>
      </c>
      <c r="N450" s="5">
        <f>_xlfn.XLOOKUP(CustomerCombined[[#This Row],[ID]], Table4[ID], Table4[Seafood], "Not Found", 0)</f>
        <v>132</v>
      </c>
      <c r="O450" s="5">
        <f>_xlfn.XLOOKUP(CustomerCombined[[#This Row],[ID]], Table4[ID], Table4[Sweets], "Not Found", 0)</f>
        <v>61</v>
      </c>
      <c r="P450" s="5">
        <f>_xlfn.XLOOKUP(CustomerCombined[[#This Row],[ID]], Table4[ID], Table4[Premium], "Not Found", 0)</f>
        <v>28</v>
      </c>
      <c r="Q450" s="5">
        <f>_xlfn.XLOOKUP(CustomerCombined[[#This Row],[ID]], Table4[ID], Table4[Regular], "Not Found", 0)</f>
        <v>358</v>
      </c>
      <c r="R450" s="5">
        <f>_xlfn.XLOOKUP(CustomerCombined[[#This Row],[ID]], Table4[ID], Table4[Deals], "Not Found", 0)</f>
        <v>1</v>
      </c>
      <c r="S450" s="5">
        <f>_xlfn.XLOOKUP(CustomerCombined[[#This Row],[ID]], Table4[ID], Table4[Website], "Not Found", 0)</f>
        <v>2</v>
      </c>
      <c r="T450" s="5">
        <f>_xlfn.XLOOKUP(CustomerCombined[[#This Row],[ID]], Table4[ID], Table4[Catalog], "Not Found", 0)</f>
        <v>1</v>
      </c>
      <c r="U450" s="5">
        <f>_xlfn.XLOOKUP(CustomerCombined[[#This Row],[ID]], Table4[ID], Table4[Store], "Not Found", 0)</f>
        <v>4</v>
      </c>
      <c r="V450" s="5">
        <f>_xlfn.XLOOKUP(CustomerCombined[[#This Row],[ID]], Table4[ID], Table4[Visits], "Not Found", 0)</f>
        <v>3</v>
      </c>
      <c r="W450" s="8">
        <f>_xlfn.XLOOKUP(CustomerCombined[[#This Row],[ID]], Table2[ID],Table2[Complaint], "Not Found", 0 )</f>
        <v>0</v>
      </c>
      <c r="X450" s="8">
        <f>_xlfn.XLOOKUP(CustomerCombined[[#This Row],[ID]], Table2[ID],Table2[Pilot], "Not Found", 0 )</f>
        <v>0</v>
      </c>
      <c r="Y450" s="8">
        <f>_xlfn.XLOOKUP(CustomerCombined[[#This Row],[ID]], Table2[ID],Table2[MC1], "Not Found", 0 )</f>
        <v>0</v>
      </c>
      <c r="Z450" s="8">
        <f>_xlfn.XLOOKUP(CustomerCombined[[#This Row],[ID]], Table2[ID],Table2[MC2], "Not Found", 0 )</f>
        <v>0</v>
      </c>
      <c r="AA450" s="8">
        <f>_xlfn.XLOOKUP(CustomerCombined[[#This Row],[ID]], Table2[ID],Table2[MC3], "Not Found", 0 )</f>
        <v>0</v>
      </c>
      <c r="AB450" s="8">
        <f>_xlfn.XLOOKUP(CustomerCombined[[#This Row],[ID]], Table2[ID],Table2[MC4], "Not Found", 0 )</f>
        <v>0</v>
      </c>
      <c r="AC450" s="8">
        <f>_xlfn.XLOOKUP(CustomerCombined[[#This Row],[ID]], Table2[ID],Table2[MC5], "Not Found", 0 )</f>
        <v>0</v>
      </c>
    </row>
    <row r="451" spans="1:29" x14ac:dyDescent="0.3">
      <c r="A451" s="6">
        <v>1552</v>
      </c>
      <c r="B451" s="6">
        <v>147691</v>
      </c>
      <c r="C451" s="6">
        <v>0</v>
      </c>
      <c r="D451" s="6">
        <v>1</v>
      </c>
      <c r="E451" s="6">
        <v>41</v>
      </c>
      <c r="F451" s="5" t="s">
        <v>7</v>
      </c>
      <c r="G451" s="5" t="s">
        <v>11</v>
      </c>
      <c r="H451" s="3">
        <v>43750</v>
      </c>
      <c r="I451" s="5" t="s">
        <v>439</v>
      </c>
      <c r="J451" s="5">
        <f>_xlfn.XLOOKUP(CustomerCombined[[#This Row],[ID]], Table4[ID], Table4[Recency], "Not Found", 0)</f>
        <v>43</v>
      </c>
      <c r="K451" s="5">
        <f>_xlfn.XLOOKUP(CustomerCombined[[#This Row],[ID]], Table4[ID], Table4[Teas], "Not Found", 0)</f>
        <v>43</v>
      </c>
      <c r="L451" s="5">
        <f>_xlfn.XLOOKUP(CustomerCombined[[#This Row],[ID]], Table4[ID], Table4[Fruits], "Not Found", 0)</f>
        <v>0</v>
      </c>
      <c r="M451" s="5">
        <f>_xlfn.XLOOKUP(CustomerCombined[[#This Row],[ID]], Table4[ID], Table4[Meats], "Not Found", 0)</f>
        <v>9</v>
      </c>
      <c r="N451" s="5">
        <f>_xlfn.XLOOKUP(CustomerCombined[[#This Row],[ID]], Table4[ID], Table4[Seafood], "Not Found", 0)</f>
        <v>0</v>
      </c>
      <c r="O451" s="5">
        <f>_xlfn.XLOOKUP(CustomerCombined[[#This Row],[ID]], Table4[ID], Table4[Sweets], "Not Found", 0)</f>
        <v>0</v>
      </c>
      <c r="P451" s="5">
        <f>_xlfn.XLOOKUP(CustomerCombined[[#This Row],[ID]], Table4[ID], Table4[Premium], "Not Found", 0)</f>
        <v>12</v>
      </c>
      <c r="Q451" s="5">
        <f>_xlfn.XLOOKUP(CustomerCombined[[#This Row],[ID]], Table4[ID], Table4[Regular], "Not Found", 0)</f>
        <v>40</v>
      </c>
      <c r="R451" s="5">
        <f>_xlfn.XLOOKUP(CustomerCombined[[#This Row],[ID]], Table4[ID], Table4[Deals], "Not Found", 0)</f>
        <v>1</v>
      </c>
      <c r="S451" s="5">
        <f>_xlfn.XLOOKUP(CustomerCombined[[#This Row],[ID]], Table4[ID], Table4[Website], "Not Found", 0)</f>
        <v>1</v>
      </c>
      <c r="T451" s="5">
        <f>_xlfn.XLOOKUP(CustomerCombined[[#This Row],[ID]], Table4[ID], Table4[Catalog], "Not Found", 0)</f>
        <v>0</v>
      </c>
      <c r="U451" s="5">
        <f>_xlfn.XLOOKUP(CustomerCombined[[#This Row],[ID]], Table4[ID], Table4[Store], "Not Found", 0)</f>
        <v>2</v>
      </c>
      <c r="V451" s="5">
        <f>_xlfn.XLOOKUP(CustomerCombined[[#This Row],[ID]], Table4[ID], Table4[Visits], "Not Found", 0)</f>
        <v>6</v>
      </c>
      <c r="W451" s="8">
        <f>_xlfn.XLOOKUP(CustomerCombined[[#This Row],[ID]], Table2[ID],Table2[Complaint], "Not Found", 0 )</f>
        <v>0</v>
      </c>
      <c r="X451" s="8">
        <f>_xlfn.XLOOKUP(CustomerCombined[[#This Row],[ID]], Table2[ID],Table2[Pilot], "Not Found", 0 )</f>
        <v>0</v>
      </c>
      <c r="Y451" s="8">
        <f>_xlfn.XLOOKUP(CustomerCombined[[#This Row],[ID]], Table2[ID],Table2[MC1], "Not Found", 0 )</f>
        <v>0</v>
      </c>
      <c r="Z451" s="8">
        <f>_xlfn.XLOOKUP(CustomerCombined[[#This Row],[ID]], Table2[ID],Table2[MC2], "Not Found", 0 )</f>
        <v>0</v>
      </c>
      <c r="AA451" s="8">
        <f>_xlfn.XLOOKUP(CustomerCombined[[#This Row],[ID]], Table2[ID],Table2[MC3], "Not Found", 0 )</f>
        <v>0</v>
      </c>
      <c r="AB451" s="8">
        <f>_xlfn.XLOOKUP(CustomerCombined[[#This Row],[ID]], Table2[ID],Table2[MC4], "Not Found", 0 )</f>
        <v>0</v>
      </c>
      <c r="AC451" s="8">
        <f>_xlfn.XLOOKUP(CustomerCombined[[#This Row],[ID]], Table2[ID],Table2[MC5], "Not Found", 0 )</f>
        <v>0</v>
      </c>
    </row>
    <row r="452" spans="1:29" x14ac:dyDescent="0.3">
      <c r="A452" s="6">
        <v>3018</v>
      </c>
      <c r="B452" s="6">
        <v>145057</v>
      </c>
      <c r="C452" s="6">
        <v>1</v>
      </c>
      <c r="D452" s="6">
        <v>0</v>
      </c>
      <c r="E452" s="6">
        <v>41</v>
      </c>
      <c r="F452" s="5" t="s">
        <v>6</v>
      </c>
      <c r="G452" s="5" t="s">
        <v>12</v>
      </c>
      <c r="H452" s="3">
        <v>44017</v>
      </c>
      <c r="I452" s="5" t="s">
        <v>436</v>
      </c>
      <c r="J452" s="5">
        <f>_xlfn.XLOOKUP(CustomerCombined[[#This Row],[ID]], Table4[ID], Table4[Recency], "Not Found", 0)</f>
        <v>80</v>
      </c>
      <c r="K452" s="5">
        <f>_xlfn.XLOOKUP(CustomerCombined[[#This Row],[ID]], Table4[ID], Table4[Teas], "Not Found", 0)</f>
        <v>119</v>
      </c>
      <c r="L452" s="5">
        <f>_xlfn.XLOOKUP(CustomerCombined[[#This Row],[ID]], Table4[ID], Table4[Fruits], "Not Found", 0)</f>
        <v>0</v>
      </c>
      <c r="M452" s="5">
        <f>_xlfn.XLOOKUP(CustomerCombined[[#This Row],[ID]], Table4[ID], Table4[Meats], "Not Found", 0)</f>
        <v>23</v>
      </c>
      <c r="N452" s="5">
        <f>_xlfn.XLOOKUP(CustomerCombined[[#This Row],[ID]], Table4[ID], Table4[Seafood], "Not Found", 0)</f>
        <v>10</v>
      </c>
      <c r="O452" s="5">
        <f>_xlfn.XLOOKUP(CustomerCombined[[#This Row],[ID]], Table4[ID], Table4[Sweets], "Not Found", 0)</f>
        <v>0</v>
      </c>
      <c r="P452" s="5">
        <f>_xlfn.XLOOKUP(CustomerCombined[[#This Row],[ID]], Table4[ID], Table4[Premium], "Not Found", 0)</f>
        <v>10</v>
      </c>
      <c r="Q452" s="5">
        <f>_xlfn.XLOOKUP(CustomerCombined[[#This Row],[ID]], Table4[ID], Table4[Regular], "Not Found", 0)</f>
        <v>142</v>
      </c>
      <c r="R452" s="5">
        <f>_xlfn.XLOOKUP(CustomerCombined[[#This Row],[ID]], Table4[ID], Table4[Deals], "Not Found", 0)</f>
        <v>1</v>
      </c>
      <c r="S452" s="5">
        <f>_xlfn.XLOOKUP(CustomerCombined[[#This Row],[ID]], Table4[ID], Table4[Website], "Not Found", 0)</f>
        <v>2</v>
      </c>
      <c r="T452" s="5">
        <f>_xlfn.XLOOKUP(CustomerCombined[[#This Row],[ID]], Table4[ID], Table4[Catalog], "Not Found", 0)</f>
        <v>0</v>
      </c>
      <c r="U452" s="5">
        <f>_xlfn.XLOOKUP(CustomerCombined[[#This Row],[ID]], Table4[ID], Table4[Store], "Not Found", 0)</f>
        <v>3</v>
      </c>
      <c r="V452" s="5">
        <f>_xlfn.XLOOKUP(CustomerCombined[[#This Row],[ID]], Table4[ID], Table4[Visits], "Not Found", 0)</f>
        <v>5</v>
      </c>
      <c r="W452" s="8">
        <f>_xlfn.XLOOKUP(CustomerCombined[[#This Row],[ID]], Table2[ID],Table2[Complaint], "Not Found", 0 )</f>
        <v>0</v>
      </c>
      <c r="X452" s="8">
        <f>_xlfn.XLOOKUP(CustomerCombined[[#This Row],[ID]], Table2[ID],Table2[Pilot], "Not Found", 0 )</f>
        <v>0</v>
      </c>
      <c r="Y452" s="8">
        <f>_xlfn.XLOOKUP(CustomerCombined[[#This Row],[ID]], Table2[ID],Table2[MC1], "Not Found", 0 )</f>
        <v>0</v>
      </c>
      <c r="Z452" s="8">
        <f>_xlfn.XLOOKUP(CustomerCombined[[#This Row],[ID]], Table2[ID],Table2[MC2], "Not Found", 0 )</f>
        <v>0</v>
      </c>
      <c r="AA452" s="8">
        <f>_xlfn.XLOOKUP(CustomerCombined[[#This Row],[ID]], Table2[ID],Table2[MC3], "Not Found", 0 )</f>
        <v>0</v>
      </c>
      <c r="AB452" s="8">
        <f>_xlfn.XLOOKUP(CustomerCombined[[#This Row],[ID]], Table2[ID],Table2[MC4], "Not Found", 0 )</f>
        <v>0</v>
      </c>
      <c r="AC452" s="8">
        <f>_xlfn.XLOOKUP(CustomerCombined[[#This Row],[ID]], Table2[ID],Table2[MC5], "Not Found", 0 )</f>
        <v>0</v>
      </c>
    </row>
    <row r="453" spans="1:29" x14ac:dyDescent="0.3">
      <c r="A453" s="6">
        <v>1739</v>
      </c>
      <c r="B453" s="6">
        <v>140662</v>
      </c>
      <c r="C453" s="6">
        <v>1</v>
      </c>
      <c r="D453" s="6">
        <v>0</v>
      </c>
      <c r="E453" s="6">
        <v>41</v>
      </c>
      <c r="F453" s="5" t="s">
        <v>6</v>
      </c>
      <c r="G453" s="5" t="s">
        <v>12</v>
      </c>
      <c r="H453" s="3" t="s">
        <v>293</v>
      </c>
      <c r="I453" s="5" t="s">
        <v>434</v>
      </c>
      <c r="J453" s="5">
        <f>_xlfn.XLOOKUP(CustomerCombined[[#This Row],[ID]], Table4[ID], Table4[Recency], "Not Found", 0)</f>
        <v>0</v>
      </c>
      <c r="K453" s="5">
        <f>_xlfn.XLOOKUP(CustomerCombined[[#This Row],[ID]], Table4[ID], Table4[Teas], "Not Found", 0)</f>
        <v>138</v>
      </c>
      <c r="L453" s="5">
        <f>_xlfn.XLOOKUP(CustomerCombined[[#This Row],[ID]], Table4[ID], Table4[Fruits], "Not Found", 0)</f>
        <v>7</v>
      </c>
      <c r="M453" s="5">
        <f>_xlfn.XLOOKUP(CustomerCombined[[#This Row],[ID]], Table4[ID], Table4[Meats], "Not Found", 0)</f>
        <v>80</v>
      </c>
      <c r="N453" s="5">
        <f>_xlfn.XLOOKUP(CustomerCombined[[#This Row],[ID]], Table4[ID], Table4[Seafood], "Not Found", 0)</f>
        <v>0</v>
      </c>
      <c r="O453" s="5">
        <f>_xlfn.XLOOKUP(CustomerCombined[[#This Row],[ID]], Table4[ID], Table4[Sweets], "Not Found", 0)</f>
        <v>14</v>
      </c>
      <c r="P453" s="5">
        <f>_xlfn.XLOOKUP(CustomerCombined[[#This Row],[ID]], Table4[ID], Table4[Premium], "Not Found", 0)</f>
        <v>80</v>
      </c>
      <c r="Q453" s="5">
        <f>_xlfn.XLOOKUP(CustomerCombined[[#This Row],[ID]], Table4[ID], Table4[Regular], "Not Found", 0)</f>
        <v>159</v>
      </c>
      <c r="R453" s="5">
        <f>_xlfn.XLOOKUP(CustomerCombined[[#This Row],[ID]], Table4[ID], Table4[Deals], "Not Found", 0)</f>
        <v>2</v>
      </c>
      <c r="S453" s="5">
        <f>_xlfn.XLOOKUP(CustomerCombined[[#This Row],[ID]], Table4[ID], Table4[Website], "Not Found", 0)</f>
        <v>2</v>
      </c>
      <c r="T453" s="5">
        <f>_xlfn.XLOOKUP(CustomerCombined[[#This Row],[ID]], Table4[ID], Table4[Catalog], "Not Found", 0)</f>
        <v>1</v>
      </c>
      <c r="U453" s="5">
        <f>_xlfn.XLOOKUP(CustomerCombined[[#This Row],[ID]], Table4[ID], Table4[Store], "Not Found", 0)</f>
        <v>3</v>
      </c>
      <c r="V453" s="5">
        <f>_xlfn.XLOOKUP(CustomerCombined[[#This Row],[ID]], Table4[ID], Table4[Visits], "Not Found", 0)</f>
        <v>4</v>
      </c>
      <c r="W453" s="8">
        <f>_xlfn.XLOOKUP(CustomerCombined[[#This Row],[ID]], Table2[ID],Table2[Complaint], "Not Found", 0 )</f>
        <v>0</v>
      </c>
      <c r="X453" s="8">
        <f>_xlfn.XLOOKUP(CustomerCombined[[#This Row],[ID]], Table2[ID],Table2[Pilot], "Not Found", 0 )</f>
        <v>0</v>
      </c>
      <c r="Y453" s="8">
        <f>_xlfn.XLOOKUP(CustomerCombined[[#This Row],[ID]], Table2[ID],Table2[MC1], "Not Found", 0 )</f>
        <v>0</v>
      </c>
      <c r="Z453" s="8">
        <f>_xlfn.XLOOKUP(CustomerCombined[[#This Row],[ID]], Table2[ID],Table2[MC2], "Not Found", 0 )</f>
        <v>0</v>
      </c>
      <c r="AA453" s="8">
        <f>_xlfn.XLOOKUP(CustomerCombined[[#This Row],[ID]], Table2[ID],Table2[MC3], "Not Found", 0 )</f>
        <v>0</v>
      </c>
      <c r="AB453" s="8">
        <f>_xlfn.XLOOKUP(CustomerCombined[[#This Row],[ID]], Table2[ID],Table2[MC4], "Not Found", 0 )</f>
        <v>0</v>
      </c>
      <c r="AC453" s="8">
        <f>_xlfn.XLOOKUP(CustomerCombined[[#This Row],[ID]], Table2[ID],Table2[MC5], "Not Found", 0 )</f>
        <v>0</v>
      </c>
    </row>
    <row r="454" spans="1:29" x14ac:dyDescent="0.3">
      <c r="A454" s="6">
        <v>2953</v>
      </c>
      <c r="B454" s="6">
        <v>136781</v>
      </c>
      <c r="C454" s="6">
        <v>1</v>
      </c>
      <c r="D454" s="6">
        <v>0</v>
      </c>
      <c r="E454" s="6">
        <v>41</v>
      </c>
      <c r="F454" s="5" t="s">
        <v>6</v>
      </c>
      <c r="G454" s="5" t="s">
        <v>11</v>
      </c>
      <c r="H454" s="3" t="s">
        <v>72</v>
      </c>
      <c r="I454" s="5" t="s">
        <v>437</v>
      </c>
      <c r="J454" s="5">
        <f>_xlfn.XLOOKUP(CustomerCombined[[#This Row],[ID]], Table4[ID], Table4[Recency], "Not Found", 0)</f>
        <v>16</v>
      </c>
      <c r="K454" s="5">
        <f>_xlfn.XLOOKUP(CustomerCombined[[#This Row],[ID]], Table4[ID], Table4[Teas], "Not Found", 0)</f>
        <v>108</v>
      </c>
      <c r="L454" s="5">
        <f>_xlfn.XLOOKUP(CustomerCombined[[#This Row],[ID]], Table4[ID], Table4[Fruits], "Not Found", 0)</f>
        <v>4</v>
      </c>
      <c r="M454" s="5">
        <f>_xlfn.XLOOKUP(CustomerCombined[[#This Row],[ID]], Table4[ID], Table4[Meats], "Not Found", 0)</f>
        <v>63</v>
      </c>
      <c r="N454" s="5">
        <f>_xlfn.XLOOKUP(CustomerCombined[[#This Row],[ID]], Table4[ID], Table4[Seafood], "Not Found", 0)</f>
        <v>0</v>
      </c>
      <c r="O454" s="5">
        <f>_xlfn.XLOOKUP(CustomerCombined[[#This Row],[ID]], Table4[ID], Table4[Sweets], "Not Found", 0)</f>
        <v>11</v>
      </c>
      <c r="P454" s="5">
        <f>_xlfn.XLOOKUP(CustomerCombined[[#This Row],[ID]], Table4[ID], Table4[Premium], "Not Found", 0)</f>
        <v>48</v>
      </c>
      <c r="Q454" s="5">
        <f>_xlfn.XLOOKUP(CustomerCombined[[#This Row],[ID]], Table4[ID], Table4[Regular], "Not Found", 0)</f>
        <v>138</v>
      </c>
      <c r="R454" s="5">
        <f>_xlfn.XLOOKUP(CustomerCombined[[#This Row],[ID]], Table4[ID], Table4[Deals], "Not Found", 0)</f>
        <v>1</v>
      </c>
      <c r="S454" s="5">
        <f>_xlfn.XLOOKUP(CustomerCombined[[#This Row],[ID]], Table4[ID], Table4[Website], "Not Found", 0)</f>
        <v>2</v>
      </c>
      <c r="T454" s="5">
        <f>_xlfn.XLOOKUP(CustomerCombined[[#This Row],[ID]], Table4[ID], Table4[Catalog], "Not Found", 0)</f>
        <v>1</v>
      </c>
      <c r="U454" s="5">
        <f>_xlfn.XLOOKUP(CustomerCombined[[#This Row],[ID]], Table4[ID], Table4[Store], "Not Found", 0)</f>
        <v>2</v>
      </c>
      <c r="V454" s="5">
        <f>_xlfn.XLOOKUP(CustomerCombined[[#This Row],[ID]], Table4[ID], Table4[Visits], "Not Found", 0)</f>
        <v>8</v>
      </c>
      <c r="W454" s="8">
        <f>_xlfn.XLOOKUP(CustomerCombined[[#This Row],[ID]], Table2[ID],Table2[Complaint], "Not Found", 0 )</f>
        <v>0</v>
      </c>
      <c r="X454" s="8">
        <f>_xlfn.XLOOKUP(CustomerCombined[[#This Row],[ID]], Table2[ID],Table2[Pilot], "Not Found", 0 )</f>
        <v>1</v>
      </c>
      <c r="Y454" s="8">
        <f>_xlfn.XLOOKUP(CustomerCombined[[#This Row],[ID]], Table2[ID],Table2[MC1], "Not Found", 0 )</f>
        <v>0</v>
      </c>
      <c r="Z454" s="8">
        <f>_xlfn.XLOOKUP(CustomerCombined[[#This Row],[ID]], Table2[ID],Table2[MC2], "Not Found", 0 )</f>
        <v>0</v>
      </c>
      <c r="AA454" s="8">
        <f>_xlfn.XLOOKUP(CustomerCombined[[#This Row],[ID]], Table2[ID],Table2[MC3], "Not Found", 0 )</f>
        <v>0</v>
      </c>
      <c r="AB454" s="8">
        <f>_xlfn.XLOOKUP(CustomerCombined[[#This Row],[ID]], Table2[ID],Table2[MC4], "Not Found", 0 )</f>
        <v>0</v>
      </c>
      <c r="AC454" s="8">
        <f>_xlfn.XLOOKUP(CustomerCombined[[#This Row],[ID]], Table2[ID],Table2[MC5], "Not Found", 0 )</f>
        <v>0</v>
      </c>
    </row>
    <row r="455" spans="1:29" x14ac:dyDescent="0.3">
      <c r="A455" s="6">
        <v>3042</v>
      </c>
      <c r="B455" s="6">
        <v>134350</v>
      </c>
      <c r="C455" s="6">
        <v>1</v>
      </c>
      <c r="D455" s="6">
        <v>0</v>
      </c>
      <c r="E455" s="6">
        <v>41</v>
      </c>
      <c r="F455" s="5" t="s">
        <v>8</v>
      </c>
      <c r="G455" s="5" t="s">
        <v>11</v>
      </c>
      <c r="H455" s="3" t="s">
        <v>163</v>
      </c>
      <c r="I455" s="5" t="s">
        <v>436</v>
      </c>
      <c r="J455" s="5">
        <f>_xlfn.XLOOKUP(CustomerCombined[[#This Row],[ID]], Table4[ID], Table4[Recency], "Not Found", 0)</f>
        <v>81</v>
      </c>
      <c r="K455" s="5">
        <f>_xlfn.XLOOKUP(CustomerCombined[[#This Row],[ID]], Table4[ID], Table4[Teas], "Not Found", 0)</f>
        <v>63</v>
      </c>
      <c r="L455" s="5">
        <f>_xlfn.XLOOKUP(CustomerCombined[[#This Row],[ID]], Table4[ID], Table4[Fruits], "Not Found", 0)</f>
        <v>12</v>
      </c>
      <c r="M455" s="5">
        <f>_xlfn.XLOOKUP(CustomerCombined[[#This Row],[ID]], Table4[ID], Table4[Meats], "Not Found", 0)</f>
        <v>59</v>
      </c>
      <c r="N455" s="5">
        <f>_xlfn.XLOOKUP(CustomerCombined[[#This Row],[ID]], Table4[ID], Table4[Seafood], "Not Found", 0)</f>
        <v>8</v>
      </c>
      <c r="O455" s="5">
        <f>_xlfn.XLOOKUP(CustomerCombined[[#This Row],[ID]], Table4[ID], Table4[Sweets], "Not Found", 0)</f>
        <v>4</v>
      </c>
      <c r="P455" s="5">
        <f>_xlfn.XLOOKUP(CustomerCombined[[#This Row],[ID]], Table4[ID], Table4[Premium], "Not Found", 0)</f>
        <v>43</v>
      </c>
      <c r="Q455" s="5">
        <f>_xlfn.XLOOKUP(CustomerCombined[[#This Row],[ID]], Table4[ID], Table4[Regular], "Not Found", 0)</f>
        <v>102</v>
      </c>
      <c r="R455" s="5">
        <f>_xlfn.XLOOKUP(CustomerCombined[[#This Row],[ID]], Table4[ID], Table4[Deals], "Not Found", 0)</f>
        <v>1</v>
      </c>
      <c r="S455" s="5">
        <f>_xlfn.XLOOKUP(CustomerCombined[[#This Row],[ID]], Table4[ID], Table4[Website], "Not Found", 0)</f>
        <v>1</v>
      </c>
      <c r="T455" s="5">
        <f>_xlfn.XLOOKUP(CustomerCombined[[#This Row],[ID]], Table4[ID], Table4[Catalog], "Not Found", 0)</f>
        <v>0</v>
      </c>
      <c r="U455" s="5">
        <f>_xlfn.XLOOKUP(CustomerCombined[[#This Row],[ID]], Table4[ID], Table4[Store], "Not Found", 0)</f>
        <v>3</v>
      </c>
      <c r="V455" s="5">
        <f>_xlfn.XLOOKUP(CustomerCombined[[#This Row],[ID]], Table4[ID], Table4[Visits], "Not Found", 0)</f>
        <v>7</v>
      </c>
      <c r="W455" s="8">
        <f>_xlfn.XLOOKUP(CustomerCombined[[#This Row],[ID]], Table2[ID],Table2[Complaint], "Not Found", 0 )</f>
        <v>0</v>
      </c>
      <c r="X455" s="8">
        <f>_xlfn.XLOOKUP(CustomerCombined[[#This Row],[ID]], Table2[ID],Table2[Pilot], "Not Found", 0 )</f>
        <v>0</v>
      </c>
      <c r="Y455" s="8">
        <f>_xlfn.XLOOKUP(CustomerCombined[[#This Row],[ID]], Table2[ID],Table2[MC1], "Not Found", 0 )</f>
        <v>0</v>
      </c>
      <c r="Z455" s="8">
        <f>_xlfn.XLOOKUP(CustomerCombined[[#This Row],[ID]], Table2[ID],Table2[MC2], "Not Found", 0 )</f>
        <v>0</v>
      </c>
      <c r="AA455" s="8">
        <f>_xlfn.XLOOKUP(CustomerCombined[[#This Row],[ID]], Table2[ID],Table2[MC3], "Not Found", 0 )</f>
        <v>0</v>
      </c>
      <c r="AB455" s="8">
        <f>_xlfn.XLOOKUP(CustomerCombined[[#This Row],[ID]], Table2[ID],Table2[MC4], "Not Found", 0 )</f>
        <v>0</v>
      </c>
      <c r="AC455" s="8">
        <f>_xlfn.XLOOKUP(CustomerCombined[[#This Row],[ID]], Table2[ID],Table2[MC5], "Not Found", 0 )</f>
        <v>0</v>
      </c>
    </row>
    <row r="456" spans="1:29" x14ac:dyDescent="0.3">
      <c r="A456" s="6">
        <v>1963</v>
      </c>
      <c r="B456" s="6">
        <v>133462</v>
      </c>
      <c r="C456" s="6">
        <v>1</v>
      </c>
      <c r="D456" s="6">
        <v>0</v>
      </c>
      <c r="E456" s="6">
        <v>41</v>
      </c>
      <c r="F456" s="5" t="s">
        <v>5</v>
      </c>
      <c r="G456" s="5" t="s">
        <v>12</v>
      </c>
      <c r="H456" s="3">
        <v>44166</v>
      </c>
      <c r="I456" s="5" t="s">
        <v>437</v>
      </c>
      <c r="J456" s="5">
        <f>_xlfn.XLOOKUP(CustomerCombined[[#This Row],[ID]], Table4[ID], Table4[Recency], "Not Found", 0)</f>
        <v>78</v>
      </c>
      <c r="K456" s="5">
        <f>_xlfn.XLOOKUP(CustomerCombined[[#This Row],[ID]], Table4[ID], Table4[Teas], "Not Found", 0)</f>
        <v>88</v>
      </c>
      <c r="L456" s="5">
        <f>_xlfn.XLOOKUP(CustomerCombined[[#This Row],[ID]], Table4[ID], Table4[Fruits], "Not Found", 0)</f>
        <v>12</v>
      </c>
      <c r="M456" s="5">
        <f>_xlfn.XLOOKUP(CustomerCombined[[#This Row],[ID]], Table4[ID], Table4[Meats], "Not Found", 0)</f>
        <v>72</v>
      </c>
      <c r="N456" s="5">
        <f>_xlfn.XLOOKUP(CustomerCombined[[#This Row],[ID]], Table4[ID], Table4[Seafood], "Not Found", 0)</f>
        <v>0</v>
      </c>
      <c r="O456" s="5">
        <f>_xlfn.XLOOKUP(CustomerCombined[[#This Row],[ID]], Table4[ID], Table4[Sweets], "Not Found", 0)</f>
        <v>0</v>
      </c>
      <c r="P456" s="5">
        <f>_xlfn.XLOOKUP(CustomerCombined[[#This Row],[ID]], Table4[ID], Table4[Premium], "Not Found", 0)</f>
        <v>44</v>
      </c>
      <c r="Q456" s="5">
        <f>_xlfn.XLOOKUP(CustomerCombined[[#This Row],[ID]], Table4[ID], Table4[Regular], "Not Found", 0)</f>
        <v>128</v>
      </c>
      <c r="R456" s="5">
        <f>_xlfn.XLOOKUP(CustomerCombined[[#This Row],[ID]], Table4[ID], Table4[Deals], "Not Found", 0)</f>
        <v>1</v>
      </c>
      <c r="S456" s="5">
        <f>_xlfn.XLOOKUP(CustomerCombined[[#This Row],[ID]], Table4[ID], Table4[Website], "Not Found", 0)</f>
        <v>2</v>
      </c>
      <c r="T456" s="5">
        <f>_xlfn.XLOOKUP(CustomerCombined[[#This Row],[ID]], Table4[ID], Table4[Catalog], "Not Found", 0)</f>
        <v>0</v>
      </c>
      <c r="U456" s="5">
        <f>_xlfn.XLOOKUP(CustomerCombined[[#This Row],[ID]], Table4[ID], Table4[Store], "Not Found", 0)</f>
        <v>3</v>
      </c>
      <c r="V456" s="5">
        <f>_xlfn.XLOOKUP(CustomerCombined[[#This Row],[ID]], Table4[ID], Table4[Visits], "Not Found", 0)</f>
        <v>7</v>
      </c>
      <c r="W456" s="8">
        <f>_xlfn.XLOOKUP(CustomerCombined[[#This Row],[ID]], Table2[ID],Table2[Complaint], "Not Found", 0 )</f>
        <v>0</v>
      </c>
      <c r="X456" s="8">
        <f>_xlfn.XLOOKUP(CustomerCombined[[#This Row],[ID]], Table2[ID],Table2[Pilot], "Not Found", 0 )</f>
        <v>0</v>
      </c>
      <c r="Y456" s="8">
        <f>_xlfn.XLOOKUP(CustomerCombined[[#This Row],[ID]], Table2[ID],Table2[MC1], "Not Found", 0 )</f>
        <v>0</v>
      </c>
      <c r="Z456" s="8">
        <f>_xlfn.XLOOKUP(CustomerCombined[[#This Row],[ID]], Table2[ID],Table2[MC2], "Not Found", 0 )</f>
        <v>0</v>
      </c>
      <c r="AA456" s="8">
        <f>_xlfn.XLOOKUP(CustomerCombined[[#This Row],[ID]], Table2[ID],Table2[MC3], "Not Found", 0 )</f>
        <v>0</v>
      </c>
      <c r="AB456" s="8">
        <f>_xlfn.XLOOKUP(CustomerCombined[[#This Row],[ID]], Table2[ID],Table2[MC4], "Not Found", 0 )</f>
        <v>0</v>
      </c>
      <c r="AC456" s="8">
        <f>_xlfn.XLOOKUP(CustomerCombined[[#This Row],[ID]], Table2[ID],Table2[MC5], "Not Found", 0 )</f>
        <v>0</v>
      </c>
    </row>
    <row r="457" spans="1:29" x14ac:dyDescent="0.3">
      <c r="A457" s="6">
        <v>3000</v>
      </c>
      <c r="B457" s="6">
        <v>132765</v>
      </c>
      <c r="C457" s="6">
        <v>1</v>
      </c>
      <c r="D457" s="6">
        <v>0</v>
      </c>
      <c r="E457" s="6">
        <v>41</v>
      </c>
      <c r="F457" s="5" t="s">
        <v>6</v>
      </c>
      <c r="G457" s="5" t="s">
        <v>12</v>
      </c>
      <c r="H457" s="3" t="s">
        <v>92</v>
      </c>
      <c r="I457" s="5" t="s">
        <v>436</v>
      </c>
      <c r="J457" s="5">
        <f>_xlfn.XLOOKUP(CustomerCombined[[#This Row],[ID]], Table4[ID], Table4[Recency], "Not Found", 0)</f>
        <v>49</v>
      </c>
      <c r="K457" s="5">
        <f>_xlfn.XLOOKUP(CustomerCombined[[#This Row],[ID]], Table4[ID], Table4[Teas], "Not Found", 0)</f>
        <v>53</v>
      </c>
      <c r="L457" s="5">
        <f>_xlfn.XLOOKUP(CustomerCombined[[#This Row],[ID]], Table4[ID], Table4[Fruits], "Not Found", 0)</f>
        <v>12</v>
      </c>
      <c r="M457" s="5">
        <f>_xlfn.XLOOKUP(CustomerCombined[[#This Row],[ID]], Table4[ID], Table4[Meats], "Not Found", 0)</f>
        <v>69</v>
      </c>
      <c r="N457" s="5">
        <f>_xlfn.XLOOKUP(CustomerCombined[[#This Row],[ID]], Table4[ID], Table4[Seafood], "Not Found", 0)</f>
        <v>28</v>
      </c>
      <c r="O457" s="5">
        <f>_xlfn.XLOOKUP(CustomerCombined[[#This Row],[ID]], Table4[ID], Table4[Sweets], "Not Found", 0)</f>
        <v>12</v>
      </c>
      <c r="P457" s="5">
        <f>_xlfn.XLOOKUP(CustomerCombined[[#This Row],[ID]], Table4[ID], Table4[Premium], "Not Found", 0)</f>
        <v>12</v>
      </c>
      <c r="Q457" s="5">
        <f>_xlfn.XLOOKUP(CustomerCombined[[#This Row],[ID]], Table4[ID], Table4[Regular], "Not Found", 0)</f>
        <v>162</v>
      </c>
      <c r="R457" s="5">
        <f>_xlfn.XLOOKUP(CustomerCombined[[#This Row],[ID]], Table4[ID], Table4[Deals], "Not Found", 0)</f>
        <v>2</v>
      </c>
      <c r="S457" s="5">
        <f>_xlfn.XLOOKUP(CustomerCombined[[#This Row],[ID]], Table4[ID], Table4[Website], "Not Found", 0)</f>
        <v>2</v>
      </c>
      <c r="T457" s="5">
        <f>_xlfn.XLOOKUP(CustomerCombined[[#This Row],[ID]], Table4[ID], Table4[Catalog], "Not Found", 0)</f>
        <v>0</v>
      </c>
      <c r="U457" s="5">
        <f>_xlfn.XLOOKUP(CustomerCombined[[#This Row],[ID]], Table4[ID], Table4[Store], "Not Found", 0)</f>
        <v>4</v>
      </c>
      <c r="V457" s="5">
        <f>_xlfn.XLOOKUP(CustomerCombined[[#This Row],[ID]], Table4[ID], Table4[Visits], "Not Found", 0)</f>
        <v>5</v>
      </c>
      <c r="W457" s="8">
        <f>_xlfn.XLOOKUP(CustomerCombined[[#This Row],[ID]], Table2[ID],Table2[Complaint], "Not Found", 0 )</f>
        <v>0</v>
      </c>
      <c r="X457" s="8">
        <f>_xlfn.XLOOKUP(CustomerCombined[[#This Row],[ID]], Table2[ID],Table2[Pilot], "Not Found", 0 )</f>
        <v>0</v>
      </c>
      <c r="Y457" s="8">
        <f>_xlfn.XLOOKUP(CustomerCombined[[#This Row],[ID]], Table2[ID],Table2[MC1], "Not Found", 0 )</f>
        <v>0</v>
      </c>
      <c r="Z457" s="8">
        <f>_xlfn.XLOOKUP(CustomerCombined[[#This Row],[ID]], Table2[ID],Table2[MC2], "Not Found", 0 )</f>
        <v>0</v>
      </c>
      <c r="AA457" s="8">
        <f>_xlfn.XLOOKUP(CustomerCombined[[#This Row],[ID]], Table2[ID],Table2[MC3], "Not Found", 0 )</f>
        <v>0</v>
      </c>
      <c r="AB457" s="8">
        <f>_xlfn.XLOOKUP(CustomerCombined[[#This Row],[ID]], Table2[ID],Table2[MC4], "Not Found", 0 )</f>
        <v>0</v>
      </c>
      <c r="AC457" s="8">
        <f>_xlfn.XLOOKUP(CustomerCombined[[#This Row],[ID]], Table2[ID],Table2[MC5], "Not Found", 0 )</f>
        <v>0</v>
      </c>
    </row>
    <row r="458" spans="1:29" x14ac:dyDescent="0.3">
      <c r="A458" s="6">
        <v>2102</v>
      </c>
      <c r="B458" s="6">
        <v>131605</v>
      </c>
      <c r="C458" s="6">
        <v>1</v>
      </c>
      <c r="D458" s="6">
        <v>0</v>
      </c>
      <c r="E458" s="6">
        <v>41</v>
      </c>
      <c r="F458" s="5" t="s">
        <v>6</v>
      </c>
      <c r="G458" s="5" t="s">
        <v>13</v>
      </c>
      <c r="H458" s="3" t="s">
        <v>354</v>
      </c>
      <c r="I458" s="5" t="s">
        <v>438</v>
      </c>
      <c r="J458" s="5">
        <f>_xlfn.XLOOKUP(CustomerCombined[[#This Row],[ID]], Table4[ID], Table4[Recency], "Not Found", 0)</f>
        <v>15</v>
      </c>
      <c r="K458" s="5">
        <f>_xlfn.XLOOKUP(CustomerCombined[[#This Row],[ID]], Table4[ID], Table4[Teas], "Not Found", 0)</f>
        <v>308</v>
      </c>
      <c r="L458" s="5">
        <f>_xlfn.XLOOKUP(CustomerCombined[[#This Row],[ID]], Table4[ID], Table4[Fruits], "Not Found", 0)</f>
        <v>0</v>
      </c>
      <c r="M458" s="5">
        <f>_xlfn.XLOOKUP(CustomerCombined[[#This Row],[ID]], Table4[ID], Table4[Meats], "Not Found", 0)</f>
        <v>175</v>
      </c>
      <c r="N458" s="5">
        <f>_xlfn.XLOOKUP(CustomerCombined[[#This Row],[ID]], Table4[ID], Table4[Seafood], "Not Found", 0)</f>
        <v>8</v>
      </c>
      <c r="O458" s="5">
        <f>_xlfn.XLOOKUP(CustomerCombined[[#This Row],[ID]], Table4[ID], Table4[Sweets], "Not Found", 0)</f>
        <v>4</v>
      </c>
      <c r="P458" s="5">
        <f>_xlfn.XLOOKUP(CustomerCombined[[#This Row],[ID]], Table4[ID], Table4[Premium], "Not Found", 0)</f>
        <v>25</v>
      </c>
      <c r="Q458" s="5">
        <f>_xlfn.XLOOKUP(CustomerCombined[[#This Row],[ID]], Table4[ID], Table4[Regular], "Not Found", 0)</f>
        <v>471</v>
      </c>
      <c r="R458" s="5">
        <f>_xlfn.XLOOKUP(CustomerCombined[[#This Row],[ID]], Table4[ID], Table4[Deals], "Not Found", 0)</f>
        <v>2</v>
      </c>
      <c r="S458" s="5">
        <f>_xlfn.XLOOKUP(CustomerCombined[[#This Row],[ID]], Table4[ID], Table4[Website], "Not Found", 0)</f>
        <v>2</v>
      </c>
      <c r="T458" s="5">
        <f>_xlfn.XLOOKUP(CustomerCombined[[#This Row],[ID]], Table4[ID], Table4[Catalog], "Not Found", 0)</f>
        <v>1</v>
      </c>
      <c r="U458" s="5">
        <f>_xlfn.XLOOKUP(CustomerCombined[[#This Row],[ID]], Table4[ID], Table4[Store], "Not Found", 0)</f>
        <v>4</v>
      </c>
      <c r="V458" s="5">
        <f>_xlfn.XLOOKUP(CustomerCombined[[#This Row],[ID]], Table4[ID], Table4[Visits], "Not Found", 0)</f>
        <v>7</v>
      </c>
      <c r="W458" s="8">
        <f>_xlfn.XLOOKUP(CustomerCombined[[#This Row],[ID]], Table2[ID],Table2[Complaint], "Not Found", 0 )</f>
        <v>0</v>
      </c>
      <c r="X458" s="8">
        <f>_xlfn.XLOOKUP(CustomerCombined[[#This Row],[ID]], Table2[ID],Table2[Pilot], "Not Found", 0 )</f>
        <v>0</v>
      </c>
      <c r="Y458" s="8">
        <f>_xlfn.XLOOKUP(CustomerCombined[[#This Row],[ID]], Table2[ID],Table2[MC1], "Not Found", 0 )</f>
        <v>0</v>
      </c>
      <c r="Z458" s="8">
        <f>_xlfn.XLOOKUP(CustomerCombined[[#This Row],[ID]], Table2[ID],Table2[MC2], "Not Found", 0 )</f>
        <v>0</v>
      </c>
      <c r="AA458" s="8">
        <f>_xlfn.XLOOKUP(CustomerCombined[[#This Row],[ID]], Table2[ID],Table2[MC3], "Not Found", 0 )</f>
        <v>0</v>
      </c>
      <c r="AB458" s="8">
        <f>_xlfn.XLOOKUP(CustomerCombined[[#This Row],[ID]], Table2[ID],Table2[MC4], "Not Found", 0 )</f>
        <v>0</v>
      </c>
      <c r="AC458" s="8">
        <f>_xlfn.XLOOKUP(CustomerCombined[[#This Row],[ID]], Table2[ID],Table2[MC5], "Not Found", 0 )</f>
        <v>0</v>
      </c>
    </row>
    <row r="459" spans="1:29" x14ac:dyDescent="0.3">
      <c r="A459" s="6">
        <v>2411</v>
      </c>
      <c r="B459" s="6">
        <v>131086</v>
      </c>
      <c r="C459" s="6">
        <v>1</v>
      </c>
      <c r="D459" s="6">
        <v>1</v>
      </c>
      <c r="E459" s="6">
        <v>41</v>
      </c>
      <c r="F459" s="5" t="s">
        <v>6</v>
      </c>
      <c r="G459" s="5" t="s">
        <v>442</v>
      </c>
      <c r="H459" s="3">
        <v>43718</v>
      </c>
      <c r="I459" s="5" t="s">
        <v>434</v>
      </c>
      <c r="J459" s="5">
        <f>_xlfn.XLOOKUP(CustomerCombined[[#This Row],[ID]], Table4[ID], Table4[Recency], "Not Found", 0)</f>
        <v>79</v>
      </c>
      <c r="K459" s="5">
        <f>_xlfn.XLOOKUP(CustomerCombined[[#This Row],[ID]], Table4[ID], Table4[Teas], "Not Found", 0)</f>
        <v>67</v>
      </c>
      <c r="L459" s="5">
        <f>_xlfn.XLOOKUP(CustomerCombined[[#This Row],[ID]], Table4[ID], Table4[Fruits], "Not Found", 0)</f>
        <v>8</v>
      </c>
      <c r="M459" s="5">
        <f>_xlfn.XLOOKUP(CustomerCombined[[#This Row],[ID]], Table4[ID], Table4[Meats], "Not Found", 0)</f>
        <v>46</v>
      </c>
      <c r="N459" s="5">
        <f>_xlfn.XLOOKUP(CustomerCombined[[#This Row],[ID]], Table4[ID], Table4[Seafood], "Not Found", 0)</f>
        <v>13</v>
      </c>
      <c r="O459" s="5">
        <f>_xlfn.XLOOKUP(CustomerCombined[[#This Row],[ID]], Table4[ID], Table4[Sweets], "Not Found", 0)</f>
        <v>0</v>
      </c>
      <c r="P459" s="5">
        <f>_xlfn.XLOOKUP(CustomerCombined[[#This Row],[ID]], Table4[ID], Table4[Premium], "Not Found", 0)</f>
        <v>67</v>
      </c>
      <c r="Q459" s="5">
        <f>_xlfn.XLOOKUP(CustomerCombined[[#This Row],[ID]], Table4[ID], Table4[Regular], "Not Found", 0)</f>
        <v>67</v>
      </c>
      <c r="R459" s="5">
        <f>_xlfn.XLOOKUP(CustomerCombined[[#This Row],[ID]], Table4[ID], Table4[Deals], "Not Found", 0)</f>
        <v>2</v>
      </c>
      <c r="S459" s="5">
        <f>_xlfn.XLOOKUP(CustomerCombined[[#This Row],[ID]], Table4[ID], Table4[Website], "Not Found", 0)</f>
        <v>1</v>
      </c>
      <c r="T459" s="5">
        <f>_xlfn.XLOOKUP(CustomerCombined[[#This Row],[ID]], Table4[ID], Table4[Catalog], "Not Found", 0)</f>
        <v>1</v>
      </c>
      <c r="U459" s="5">
        <f>_xlfn.XLOOKUP(CustomerCombined[[#This Row],[ID]], Table4[ID], Table4[Store], "Not Found", 0)</f>
        <v>2</v>
      </c>
      <c r="V459" s="5">
        <f>_xlfn.XLOOKUP(CustomerCombined[[#This Row],[ID]], Table4[ID], Table4[Visits], "Not Found", 0)</f>
        <v>8</v>
      </c>
      <c r="W459" s="8">
        <f>_xlfn.XLOOKUP(CustomerCombined[[#This Row],[ID]], Table2[ID],Table2[Complaint], "Not Found", 0 )</f>
        <v>0</v>
      </c>
      <c r="X459" s="8">
        <f>_xlfn.XLOOKUP(CustomerCombined[[#This Row],[ID]], Table2[ID],Table2[Pilot], "Not Found", 0 )</f>
        <v>0</v>
      </c>
      <c r="Y459" s="8">
        <f>_xlfn.XLOOKUP(CustomerCombined[[#This Row],[ID]], Table2[ID],Table2[MC1], "Not Found", 0 )</f>
        <v>0</v>
      </c>
      <c r="Z459" s="8">
        <f>_xlfn.XLOOKUP(CustomerCombined[[#This Row],[ID]], Table2[ID],Table2[MC2], "Not Found", 0 )</f>
        <v>0</v>
      </c>
      <c r="AA459" s="8">
        <f>_xlfn.XLOOKUP(CustomerCombined[[#This Row],[ID]], Table2[ID],Table2[MC3], "Not Found", 0 )</f>
        <v>1</v>
      </c>
      <c r="AB459" s="8">
        <f>_xlfn.XLOOKUP(CustomerCombined[[#This Row],[ID]], Table2[ID],Table2[MC4], "Not Found", 0 )</f>
        <v>0</v>
      </c>
      <c r="AC459" s="8">
        <f>_xlfn.XLOOKUP(CustomerCombined[[#This Row],[ID]], Table2[ID],Table2[MC5], "Not Found", 0 )</f>
        <v>0</v>
      </c>
    </row>
    <row r="460" spans="1:29" x14ac:dyDescent="0.3">
      <c r="A460" s="6">
        <v>1850</v>
      </c>
      <c r="B460" s="6">
        <v>130545</v>
      </c>
      <c r="C460" s="6">
        <v>1</v>
      </c>
      <c r="D460" s="6">
        <v>0</v>
      </c>
      <c r="E460" s="6">
        <v>41</v>
      </c>
      <c r="F460" s="5" t="s">
        <v>8</v>
      </c>
      <c r="G460" s="5" t="s">
        <v>11</v>
      </c>
      <c r="H460" s="3" t="s">
        <v>377</v>
      </c>
      <c r="I460" s="5" t="s">
        <v>438</v>
      </c>
      <c r="J460" s="5">
        <f>_xlfn.XLOOKUP(CustomerCombined[[#This Row],[ID]], Table4[ID], Table4[Recency], "Not Found", 0)</f>
        <v>71</v>
      </c>
      <c r="K460" s="5">
        <f>_xlfn.XLOOKUP(CustomerCombined[[#This Row],[ID]], Table4[ID], Table4[Teas], "Not Found", 0)</f>
        <v>17</v>
      </c>
      <c r="L460" s="5">
        <f>_xlfn.XLOOKUP(CustomerCombined[[#This Row],[ID]], Table4[ID], Table4[Fruits], "Not Found", 0)</f>
        <v>51</v>
      </c>
      <c r="M460" s="5">
        <f>_xlfn.XLOOKUP(CustomerCombined[[#This Row],[ID]], Table4[ID], Table4[Meats], "Not Found", 0)</f>
        <v>64</v>
      </c>
      <c r="N460" s="5">
        <f>_xlfn.XLOOKUP(CustomerCombined[[#This Row],[ID]], Table4[ID], Table4[Seafood], "Not Found", 0)</f>
        <v>81</v>
      </c>
      <c r="O460" s="5">
        <f>_xlfn.XLOOKUP(CustomerCombined[[#This Row],[ID]], Table4[ID], Table4[Sweets], "Not Found", 0)</f>
        <v>30</v>
      </c>
      <c r="P460" s="5">
        <f>_xlfn.XLOOKUP(CustomerCombined[[#This Row],[ID]], Table4[ID], Table4[Premium], "Not Found", 0)</f>
        <v>51</v>
      </c>
      <c r="Q460" s="5">
        <f>_xlfn.XLOOKUP(CustomerCombined[[#This Row],[ID]], Table4[ID], Table4[Regular], "Not Found", 0)</f>
        <v>192</v>
      </c>
      <c r="R460" s="5">
        <f>_xlfn.XLOOKUP(CustomerCombined[[#This Row],[ID]], Table4[ID], Table4[Deals], "Not Found", 0)</f>
        <v>2</v>
      </c>
      <c r="S460" s="5">
        <f>_xlfn.XLOOKUP(CustomerCombined[[#This Row],[ID]], Table4[ID], Table4[Website], "Not Found", 0)</f>
        <v>2</v>
      </c>
      <c r="T460" s="5">
        <f>_xlfn.XLOOKUP(CustomerCombined[[#This Row],[ID]], Table4[ID], Table4[Catalog], "Not Found", 0)</f>
        <v>0</v>
      </c>
      <c r="U460" s="5">
        <f>_xlfn.XLOOKUP(CustomerCombined[[#This Row],[ID]], Table4[ID], Table4[Store], "Not Found", 0)</f>
        <v>3</v>
      </c>
      <c r="V460" s="5">
        <f>_xlfn.XLOOKUP(CustomerCombined[[#This Row],[ID]], Table4[ID], Table4[Visits], "Not Found", 0)</f>
        <v>7</v>
      </c>
      <c r="W460" s="8">
        <f>_xlfn.XLOOKUP(CustomerCombined[[#This Row],[ID]], Table2[ID],Table2[Complaint], "Not Found", 0 )</f>
        <v>0</v>
      </c>
      <c r="X460" s="8">
        <f>_xlfn.XLOOKUP(CustomerCombined[[#This Row],[ID]], Table2[ID],Table2[Pilot], "Not Found", 0 )</f>
        <v>0</v>
      </c>
      <c r="Y460" s="8">
        <f>_xlfn.XLOOKUP(CustomerCombined[[#This Row],[ID]], Table2[ID],Table2[MC1], "Not Found", 0 )</f>
        <v>0</v>
      </c>
      <c r="Z460" s="8">
        <f>_xlfn.XLOOKUP(CustomerCombined[[#This Row],[ID]], Table2[ID],Table2[MC2], "Not Found", 0 )</f>
        <v>0</v>
      </c>
      <c r="AA460" s="8">
        <f>_xlfn.XLOOKUP(CustomerCombined[[#This Row],[ID]], Table2[ID],Table2[MC3], "Not Found", 0 )</f>
        <v>0</v>
      </c>
      <c r="AB460" s="8">
        <f>_xlfn.XLOOKUP(CustomerCombined[[#This Row],[ID]], Table2[ID],Table2[MC4], "Not Found", 0 )</f>
        <v>0</v>
      </c>
      <c r="AC460" s="8">
        <f>_xlfn.XLOOKUP(CustomerCombined[[#This Row],[ID]], Table2[ID],Table2[MC5], "Not Found", 0 )</f>
        <v>0</v>
      </c>
    </row>
    <row r="461" spans="1:29" x14ac:dyDescent="0.3">
      <c r="A461" s="6">
        <v>1931</v>
      </c>
      <c r="B461" s="6">
        <v>127922</v>
      </c>
      <c r="C461" s="6">
        <v>1</v>
      </c>
      <c r="D461" s="6">
        <v>0</v>
      </c>
      <c r="E461" s="6">
        <v>41</v>
      </c>
      <c r="F461" s="5" t="s">
        <v>8</v>
      </c>
      <c r="G461" s="5" t="s">
        <v>13</v>
      </c>
      <c r="H461" s="3" t="s">
        <v>54</v>
      </c>
      <c r="I461" s="5" t="s">
        <v>434</v>
      </c>
      <c r="J461" s="5">
        <f>_xlfn.XLOOKUP(CustomerCombined[[#This Row],[ID]], Table4[ID], Table4[Recency], "Not Found", 0)</f>
        <v>80</v>
      </c>
      <c r="K461" s="5">
        <f>_xlfn.XLOOKUP(CustomerCombined[[#This Row],[ID]], Table4[ID], Table4[Teas], "Not Found", 0)</f>
        <v>50</v>
      </c>
      <c r="L461" s="5">
        <f>_xlfn.XLOOKUP(CustomerCombined[[#This Row],[ID]], Table4[ID], Table4[Fruits], "Not Found", 0)</f>
        <v>0</v>
      </c>
      <c r="M461" s="5">
        <f>_xlfn.XLOOKUP(CustomerCombined[[#This Row],[ID]], Table4[ID], Table4[Meats], "Not Found", 0)</f>
        <v>60</v>
      </c>
      <c r="N461" s="5">
        <f>_xlfn.XLOOKUP(CustomerCombined[[#This Row],[ID]], Table4[ID], Table4[Seafood], "Not Found", 0)</f>
        <v>9</v>
      </c>
      <c r="O461" s="5">
        <f>_xlfn.XLOOKUP(CustomerCombined[[#This Row],[ID]], Table4[ID], Table4[Sweets], "Not Found", 0)</f>
        <v>18</v>
      </c>
      <c r="P461" s="5">
        <f>_xlfn.XLOOKUP(CustomerCombined[[#This Row],[ID]], Table4[ID], Table4[Premium], "Not Found", 0)</f>
        <v>50</v>
      </c>
      <c r="Q461" s="5">
        <f>_xlfn.XLOOKUP(CustomerCombined[[#This Row],[ID]], Table4[ID], Table4[Regular], "Not Found", 0)</f>
        <v>87</v>
      </c>
      <c r="R461" s="5">
        <f>_xlfn.XLOOKUP(CustomerCombined[[#This Row],[ID]], Table4[ID], Table4[Deals], "Not Found", 0)</f>
        <v>1</v>
      </c>
      <c r="S461" s="5">
        <f>_xlfn.XLOOKUP(CustomerCombined[[#This Row],[ID]], Table4[ID], Table4[Website], "Not Found", 0)</f>
        <v>2</v>
      </c>
      <c r="T461" s="5">
        <f>_xlfn.XLOOKUP(CustomerCombined[[#This Row],[ID]], Table4[ID], Table4[Catalog], "Not Found", 0)</f>
        <v>0</v>
      </c>
      <c r="U461" s="5">
        <f>_xlfn.XLOOKUP(CustomerCombined[[#This Row],[ID]], Table4[ID], Table4[Store], "Not Found", 0)</f>
        <v>3</v>
      </c>
      <c r="V461" s="5">
        <f>_xlfn.XLOOKUP(CustomerCombined[[#This Row],[ID]], Table4[ID], Table4[Visits], "Not Found", 0)</f>
        <v>4</v>
      </c>
      <c r="W461" s="8">
        <f>_xlfn.XLOOKUP(CustomerCombined[[#This Row],[ID]], Table2[ID],Table2[Complaint], "Not Found", 0 )</f>
        <v>0</v>
      </c>
      <c r="X461" s="8">
        <f>_xlfn.XLOOKUP(CustomerCombined[[#This Row],[ID]], Table2[ID],Table2[Pilot], "Not Found", 0 )</f>
        <v>0</v>
      </c>
      <c r="Y461" s="8">
        <f>_xlfn.XLOOKUP(CustomerCombined[[#This Row],[ID]], Table2[ID],Table2[MC1], "Not Found", 0 )</f>
        <v>0</v>
      </c>
      <c r="Z461" s="8">
        <f>_xlfn.XLOOKUP(CustomerCombined[[#This Row],[ID]], Table2[ID],Table2[MC2], "Not Found", 0 )</f>
        <v>0</v>
      </c>
      <c r="AA461" s="8">
        <f>_xlfn.XLOOKUP(CustomerCombined[[#This Row],[ID]], Table2[ID],Table2[MC3], "Not Found", 0 )</f>
        <v>0</v>
      </c>
      <c r="AB461" s="8">
        <f>_xlfn.XLOOKUP(CustomerCombined[[#This Row],[ID]], Table2[ID],Table2[MC4], "Not Found", 0 )</f>
        <v>0</v>
      </c>
      <c r="AC461" s="8">
        <f>_xlfn.XLOOKUP(CustomerCombined[[#This Row],[ID]], Table2[ID],Table2[MC5], "Not Found", 0 )</f>
        <v>0</v>
      </c>
    </row>
    <row r="462" spans="1:29" x14ac:dyDescent="0.3">
      <c r="A462" s="6">
        <v>2310</v>
      </c>
      <c r="B462" s="6">
        <v>127244</v>
      </c>
      <c r="C462" s="6">
        <v>1</v>
      </c>
      <c r="D462" s="6">
        <v>0</v>
      </c>
      <c r="E462" s="6">
        <v>41</v>
      </c>
      <c r="F462" s="5" t="s">
        <v>6</v>
      </c>
      <c r="G462" s="5" t="s">
        <v>11</v>
      </c>
      <c r="H462" s="3">
        <v>44143</v>
      </c>
      <c r="I462" s="5" t="s">
        <v>436</v>
      </c>
      <c r="J462" s="5">
        <f>_xlfn.XLOOKUP(CustomerCombined[[#This Row],[ID]], Table4[ID], Table4[Recency], "Not Found", 0)</f>
        <v>84</v>
      </c>
      <c r="K462" s="5">
        <f>_xlfn.XLOOKUP(CustomerCombined[[#This Row],[ID]], Table4[ID], Table4[Teas], "Not Found", 0)</f>
        <v>28</v>
      </c>
      <c r="L462" s="5">
        <f>_xlfn.XLOOKUP(CustomerCombined[[#This Row],[ID]], Table4[ID], Table4[Fruits], "Not Found", 0)</f>
        <v>23</v>
      </c>
      <c r="M462" s="5">
        <f>_xlfn.XLOOKUP(CustomerCombined[[#This Row],[ID]], Table4[ID], Table4[Meats], "Not Found", 0)</f>
        <v>79</v>
      </c>
      <c r="N462" s="5">
        <f>_xlfn.XLOOKUP(CustomerCombined[[#This Row],[ID]], Table4[ID], Table4[Seafood], "Not Found", 0)</f>
        <v>14</v>
      </c>
      <c r="O462" s="5">
        <f>_xlfn.XLOOKUP(CustomerCombined[[#This Row],[ID]], Table4[ID], Table4[Sweets], "Not Found", 0)</f>
        <v>112</v>
      </c>
      <c r="P462" s="5">
        <f>_xlfn.XLOOKUP(CustomerCombined[[#This Row],[ID]], Table4[ID], Table4[Premium], "Not Found", 0)</f>
        <v>215</v>
      </c>
      <c r="Q462" s="5">
        <f>_xlfn.XLOOKUP(CustomerCombined[[#This Row],[ID]], Table4[ID], Table4[Regular], "Not Found", 0)</f>
        <v>42</v>
      </c>
      <c r="R462" s="5">
        <f>_xlfn.XLOOKUP(CustomerCombined[[#This Row],[ID]], Table4[ID], Table4[Deals], "Not Found", 0)</f>
        <v>2</v>
      </c>
      <c r="S462" s="5">
        <f>_xlfn.XLOOKUP(CustomerCombined[[#This Row],[ID]], Table4[ID], Table4[Website], "Not Found", 0)</f>
        <v>2</v>
      </c>
      <c r="T462" s="5">
        <f>_xlfn.XLOOKUP(CustomerCombined[[#This Row],[ID]], Table4[ID], Table4[Catalog], "Not Found", 0)</f>
        <v>2</v>
      </c>
      <c r="U462" s="5">
        <f>_xlfn.XLOOKUP(CustomerCombined[[#This Row],[ID]], Table4[ID], Table4[Store], "Not Found", 0)</f>
        <v>2</v>
      </c>
      <c r="V462" s="5">
        <f>_xlfn.XLOOKUP(CustomerCombined[[#This Row],[ID]], Table4[ID], Table4[Visits], "Not Found", 0)</f>
        <v>7</v>
      </c>
      <c r="W462" s="8">
        <f>_xlfn.XLOOKUP(CustomerCombined[[#This Row],[ID]], Table2[ID],Table2[Complaint], "Not Found", 0 )</f>
        <v>0</v>
      </c>
      <c r="X462" s="8">
        <f>_xlfn.XLOOKUP(CustomerCombined[[#This Row],[ID]], Table2[ID],Table2[Pilot], "Not Found", 0 )</f>
        <v>0</v>
      </c>
      <c r="Y462" s="8">
        <f>_xlfn.XLOOKUP(CustomerCombined[[#This Row],[ID]], Table2[ID],Table2[MC1], "Not Found", 0 )</f>
        <v>0</v>
      </c>
      <c r="Z462" s="8">
        <f>_xlfn.XLOOKUP(CustomerCombined[[#This Row],[ID]], Table2[ID],Table2[MC2], "Not Found", 0 )</f>
        <v>0</v>
      </c>
      <c r="AA462" s="8">
        <f>_xlfn.XLOOKUP(CustomerCombined[[#This Row],[ID]], Table2[ID],Table2[MC3], "Not Found", 0 )</f>
        <v>0</v>
      </c>
      <c r="AB462" s="8">
        <f>_xlfn.XLOOKUP(CustomerCombined[[#This Row],[ID]], Table2[ID],Table2[MC4], "Not Found", 0 )</f>
        <v>0</v>
      </c>
      <c r="AC462" s="8">
        <f>_xlfn.XLOOKUP(CustomerCombined[[#This Row],[ID]], Table2[ID],Table2[MC5], "Not Found", 0 )</f>
        <v>0</v>
      </c>
    </row>
    <row r="463" spans="1:29" x14ac:dyDescent="0.3">
      <c r="A463" s="6">
        <v>1097</v>
      </c>
      <c r="B463" s="6">
        <v>124594</v>
      </c>
      <c r="C463" s="6">
        <v>1</v>
      </c>
      <c r="D463" s="6">
        <v>0</v>
      </c>
      <c r="E463" s="6">
        <v>41</v>
      </c>
      <c r="F463" s="5" t="s">
        <v>8</v>
      </c>
      <c r="G463" s="5" t="s">
        <v>10</v>
      </c>
      <c r="H463" s="3" t="s">
        <v>138</v>
      </c>
      <c r="I463" s="5" t="s">
        <v>434</v>
      </c>
      <c r="J463" s="5">
        <f>_xlfn.XLOOKUP(CustomerCombined[[#This Row],[ID]], Table4[ID], Table4[Recency], "Not Found", 0)</f>
        <v>94</v>
      </c>
      <c r="K463" s="5">
        <f>_xlfn.XLOOKUP(CustomerCombined[[#This Row],[ID]], Table4[ID], Table4[Teas], "Not Found", 0)</f>
        <v>5</v>
      </c>
      <c r="L463" s="5">
        <f>_xlfn.XLOOKUP(CustomerCombined[[#This Row],[ID]], Table4[ID], Table4[Fruits], "Not Found", 0)</f>
        <v>15</v>
      </c>
      <c r="M463" s="5">
        <f>_xlfn.XLOOKUP(CustomerCombined[[#This Row],[ID]], Table4[ID], Table4[Meats], "Not Found", 0)</f>
        <v>30</v>
      </c>
      <c r="N463" s="5">
        <f>_xlfn.XLOOKUP(CustomerCombined[[#This Row],[ID]], Table4[ID], Table4[Seafood], "Not Found", 0)</f>
        <v>51</v>
      </c>
      <c r="O463" s="5">
        <f>_xlfn.XLOOKUP(CustomerCombined[[#This Row],[ID]], Table4[ID], Table4[Sweets], "Not Found", 0)</f>
        <v>0</v>
      </c>
      <c r="P463" s="5">
        <f>_xlfn.XLOOKUP(CustomerCombined[[#This Row],[ID]], Table4[ID], Table4[Premium], "Not Found", 0)</f>
        <v>46</v>
      </c>
      <c r="Q463" s="5">
        <f>_xlfn.XLOOKUP(CustomerCombined[[#This Row],[ID]], Table4[ID], Table4[Regular], "Not Found", 0)</f>
        <v>56</v>
      </c>
      <c r="R463" s="5">
        <f>_xlfn.XLOOKUP(CustomerCombined[[#This Row],[ID]], Table4[ID], Table4[Deals], "Not Found", 0)</f>
        <v>1</v>
      </c>
      <c r="S463" s="5">
        <f>_xlfn.XLOOKUP(CustomerCombined[[#This Row],[ID]], Table4[ID], Table4[Website], "Not Found", 0)</f>
        <v>1</v>
      </c>
      <c r="T463" s="5">
        <f>_xlfn.XLOOKUP(CustomerCombined[[#This Row],[ID]], Table4[ID], Table4[Catalog], "Not Found", 0)</f>
        <v>0</v>
      </c>
      <c r="U463" s="5">
        <f>_xlfn.XLOOKUP(CustomerCombined[[#This Row],[ID]], Table4[ID], Table4[Store], "Not Found", 0)</f>
        <v>3</v>
      </c>
      <c r="V463" s="5">
        <f>_xlfn.XLOOKUP(CustomerCombined[[#This Row],[ID]], Table4[ID], Table4[Visits], "Not Found", 0)</f>
        <v>5</v>
      </c>
      <c r="W463" s="8">
        <f>_xlfn.XLOOKUP(CustomerCombined[[#This Row],[ID]], Table2[ID],Table2[Complaint], "Not Found", 0 )</f>
        <v>0</v>
      </c>
      <c r="X463" s="8">
        <f>_xlfn.XLOOKUP(CustomerCombined[[#This Row],[ID]], Table2[ID],Table2[Pilot], "Not Found", 0 )</f>
        <v>0</v>
      </c>
      <c r="Y463" s="8">
        <f>_xlfn.XLOOKUP(CustomerCombined[[#This Row],[ID]], Table2[ID],Table2[MC1], "Not Found", 0 )</f>
        <v>0</v>
      </c>
      <c r="Z463" s="8">
        <f>_xlfn.XLOOKUP(CustomerCombined[[#This Row],[ID]], Table2[ID],Table2[MC2], "Not Found", 0 )</f>
        <v>0</v>
      </c>
      <c r="AA463" s="8">
        <f>_xlfn.XLOOKUP(CustomerCombined[[#This Row],[ID]], Table2[ID],Table2[MC3], "Not Found", 0 )</f>
        <v>0</v>
      </c>
      <c r="AB463" s="8">
        <f>_xlfn.XLOOKUP(CustomerCombined[[#This Row],[ID]], Table2[ID],Table2[MC4], "Not Found", 0 )</f>
        <v>0</v>
      </c>
      <c r="AC463" s="8">
        <f>_xlfn.XLOOKUP(CustomerCombined[[#This Row],[ID]], Table2[ID],Table2[MC5], "Not Found", 0 )</f>
        <v>0</v>
      </c>
    </row>
    <row r="464" spans="1:29" x14ac:dyDescent="0.3">
      <c r="A464" s="6">
        <v>2619</v>
      </c>
      <c r="B464" s="6">
        <v>124594</v>
      </c>
      <c r="C464" s="6">
        <v>1</v>
      </c>
      <c r="D464" s="6">
        <v>0</v>
      </c>
      <c r="E464" s="6">
        <v>41</v>
      </c>
      <c r="F464" s="5" t="s">
        <v>8</v>
      </c>
      <c r="G464" s="5" t="s">
        <v>10</v>
      </c>
      <c r="H464" s="3" t="s">
        <v>138</v>
      </c>
      <c r="I464" s="5" t="s">
        <v>435</v>
      </c>
      <c r="J464" s="5">
        <f>_xlfn.XLOOKUP(CustomerCombined[[#This Row],[ID]], Table4[ID], Table4[Recency], "Not Found", 0)</f>
        <v>94</v>
      </c>
      <c r="K464" s="5">
        <f>_xlfn.XLOOKUP(CustomerCombined[[#This Row],[ID]], Table4[ID], Table4[Teas], "Not Found", 0)</f>
        <v>5</v>
      </c>
      <c r="L464" s="5">
        <f>_xlfn.XLOOKUP(CustomerCombined[[#This Row],[ID]], Table4[ID], Table4[Fruits], "Not Found", 0)</f>
        <v>15</v>
      </c>
      <c r="M464" s="5">
        <f>_xlfn.XLOOKUP(CustomerCombined[[#This Row],[ID]], Table4[ID], Table4[Meats], "Not Found", 0)</f>
        <v>30</v>
      </c>
      <c r="N464" s="5">
        <f>_xlfn.XLOOKUP(CustomerCombined[[#This Row],[ID]], Table4[ID], Table4[Seafood], "Not Found", 0)</f>
        <v>51</v>
      </c>
      <c r="O464" s="5">
        <f>_xlfn.XLOOKUP(CustomerCombined[[#This Row],[ID]], Table4[ID], Table4[Sweets], "Not Found", 0)</f>
        <v>0</v>
      </c>
      <c r="P464" s="5">
        <f>_xlfn.XLOOKUP(CustomerCombined[[#This Row],[ID]], Table4[ID], Table4[Premium], "Not Found", 0)</f>
        <v>46</v>
      </c>
      <c r="Q464" s="5">
        <f>_xlfn.XLOOKUP(CustomerCombined[[#This Row],[ID]], Table4[ID], Table4[Regular], "Not Found", 0)</f>
        <v>56</v>
      </c>
      <c r="R464" s="5">
        <f>_xlfn.XLOOKUP(CustomerCombined[[#This Row],[ID]], Table4[ID], Table4[Deals], "Not Found", 0)</f>
        <v>1</v>
      </c>
      <c r="S464" s="5">
        <f>_xlfn.XLOOKUP(CustomerCombined[[#This Row],[ID]], Table4[ID], Table4[Website], "Not Found", 0)</f>
        <v>1</v>
      </c>
      <c r="T464" s="5">
        <f>_xlfn.XLOOKUP(CustomerCombined[[#This Row],[ID]], Table4[ID], Table4[Catalog], "Not Found", 0)</f>
        <v>0</v>
      </c>
      <c r="U464" s="5">
        <f>_xlfn.XLOOKUP(CustomerCombined[[#This Row],[ID]], Table4[ID], Table4[Store], "Not Found", 0)</f>
        <v>3</v>
      </c>
      <c r="V464" s="5">
        <f>_xlfn.XLOOKUP(CustomerCombined[[#This Row],[ID]], Table4[ID], Table4[Visits], "Not Found", 0)</f>
        <v>5</v>
      </c>
      <c r="W464" s="8">
        <f>_xlfn.XLOOKUP(CustomerCombined[[#This Row],[ID]], Table2[ID],Table2[Complaint], "Not Found", 0 )</f>
        <v>0</v>
      </c>
      <c r="X464" s="8">
        <f>_xlfn.XLOOKUP(CustomerCombined[[#This Row],[ID]], Table2[ID],Table2[Pilot], "Not Found", 0 )</f>
        <v>0</v>
      </c>
      <c r="Y464" s="8">
        <f>_xlfn.XLOOKUP(CustomerCombined[[#This Row],[ID]], Table2[ID],Table2[MC1], "Not Found", 0 )</f>
        <v>0</v>
      </c>
      <c r="Z464" s="8">
        <f>_xlfn.XLOOKUP(CustomerCombined[[#This Row],[ID]], Table2[ID],Table2[MC2], "Not Found", 0 )</f>
        <v>0</v>
      </c>
      <c r="AA464" s="8">
        <f>_xlfn.XLOOKUP(CustomerCombined[[#This Row],[ID]], Table2[ID],Table2[MC3], "Not Found", 0 )</f>
        <v>0</v>
      </c>
      <c r="AB464" s="8">
        <f>_xlfn.XLOOKUP(CustomerCombined[[#This Row],[ID]], Table2[ID],Table2[MC4], "Not Found", 0 )</f>
        <v>0</v>
      </c>
      <c r="AC464" s="8">
        <f>_xlfn.XLOOKUP(CustomerCombined[[#This Row],[ID]], Table2[ID],Table2[MC5], "Not Found", 0 )</f>
        <v>0</v>
      </c>
    </row>
    <row r="465" spans="1:29" x14ac:dyDescent="0.3">
      <c r="A465" s="6">
        <v>1906</v>
      </c>
      <c r="B465" s="6">
        <v>124401</v>
      </c>
      <c r="C465" s="6">
        <v>0</v>
      </c>
      <c r="D465" s="6">
        <v>0</v>
      </c>
      <c r="E465" s="6">
        <v>41</v>
      </c>
      <c r="F465" s="5" t="s">
        <v>8</v>
      </c>
      <c r="G465" s="5" t="s">
        <v>12</v>
      </c>
      <c r="H465" s="3">
        <v>43587</v>
      </c>
      <c r="I465" s="5" t="s">
        <v>439</v>
      </c>
      <c r="J465" s="5">
        <f>_xlfn.XLOOKUP(CustomerCombined[[#This Row],[ID]], Table4[ID], Table4[Recency], "Not Found", 0)</f>
        <v>98</v>
      </c>
      <c r="K465" s="5">
        <f>_xlfn.XLOOKUP(CustomerCombined[[#This Row],[ID]], Table4[ID], Table4[Teas], "Not Found", 0)</f>
        <v>372</v>
      </c>
      <c r="L465" s="5">
        <f>_xlfn.XLOOKUP(CustomerCombined[[#This Row],[ID]], Table4[ID], Table4[Fruits], "Not Found", 0)</f>
        <v>143</v>
      </c>
      <c r="M465" s="5">
        <f>_xlfn.XLOOKUP(CustomerCombined[[#This Row],[ID]], Table4[ID], Table4[Meats], "Not Found", 0)</f>
        <v>1106</v>
      </c>
      <c r="N465" s="5">
        <f>_xlfn.XLOOKUP(CustomerCombined[[#This Row],[ID]], Table4[ID], Table4[Seafood], "Not Found", 0)</f>
        <v>51</v>
      </c>
      <c r="O465" s="5">
        <f>_xlfn.XLOOKUP(CustomerCombined[[#This Row],[ID]], Table4[ID], Table4[Sweets], "Not Found", 0)</f>
        <v>122</v>
      </c>
      <c r="P465" s="5">
        <f>_xlfn.XLOOKUP(CustomerCombined[[#This Row],[ID]], Table4[ID], Table4[Premium], "Not Found", 0)</f>
        <v>586</v>
      </c>
      <c r="Q465" s="5">
        <f>_xlfn.XLOOKUP(CustomerCombined[[#This Row],[ID]], Table4[ID], Table4[Regular], "Not Found", 0)</f>
        <v>1208</v>
      </c>
      <c r="R465" s="5">
        <f>_xlfn.XLOOKUP(CustomerCombined[[#This Row],[ID]], Table4[ID], Table4[Deals], "Not Found", 0)</f>
        <v>3</v>
      </c>
      <c r="S465" s="5">
        <f>_xlfn.XLOOKUP(CustomerCombined[[#This Row],[ID]], Table4[ID], Table4[Website], "Not Found", 0)</f>
        <v>6</v>
      </c>
      <c r="T465" s="5">
        <f>_xlfn.XLOOKUP(CustomerCombined[[#This Row],[ID]], Table4[ID], Table4[Catalog], "Not Found", 0)</f>
        <v>1</v>
      </c>
      <c r="U465" s="5">
        <f>_xlfn.XLOOKUP(CustomerCombined[[#This Row],[ID]], Table4[ID], Table4[Store], "Not Found", 0)</f>
        <v>6</v>
      </c>
      <c r="V465" s="5">
        <f>_xlfn.XLOOKUP(CustomerCombined[[#This Row],[ID]], Table4[ID], Table4[Visits], "Not Found", 0)</f>
        <v>8</v>
      </c>
      <c r="W465" s="8">
        <f>_xlfn.XLOOKUP(CustomerCombined[[#This Row],[ID]], Table2[ID],Table2[Complaint], "Not Found", 0 )</f>
        <v>0</v>
      </c>
      <c r="X465" s="8">
        <f>_xlfn.XLOOKUP(CustomerCombined[[#This Row],[ID]], Table2[ID],Table2[Pilot], "Not Found", 0 )</f>
        <v>0</v>
      </c>
      <c r="Y465" s="8">
        <f>_xlfn.XLOOKUP(CustomerCombined[[#This Row],[ID]], Table2[ID],Table2[MC1], "Not Found", 0 )</f>
        <v>0</v>
      </c>
      <c r="Z465" s="8">
        <f>_xlfn.XLOOKUP(CustomerCombined[[#This Row],[ID]], Table2[ID],Table2[MC2], "Not Found", 0 )</f>
        <v>0</v>
      </c>
      <c r="AA465" s="8">
        <f>_xlfn.XLOOKUP(CustomerCombined[[#This Row],[ID]], Table2[ID],Table2[MC3], "Not Found", 0 )</f>
        <v>0</v>
      </c>
      <c r="AB465" s="8">
        <f>_xlfn.XLOOKUP(CustomerCombined[[#This Row],[ID]], Table2[ID],Table2[MC4], "Not Found", 0 )</f>
        <v>0</v>
      </c>
      <c r="AC465" s="8">
        <f>_xlfn.XLOOKUP(CustomerCombined[[#This Row],[ID]], Table2[ID],Table2[MC5], "Not Found", 0 )</f>
        <v>0</v>
      </c>
    </row>
    <row r="466" spans="1:29" x14ac:dyDescent="0.3">
      <c r="A466" s="6">
        <v>2155</v>
      </c>
      <c r="B466" s="6">
        <v>123724</v>
      </c>
      <c r="C466" s="6">
        <v>1</v>
      </c>
      <c r="D466" s="6">
        <v>0</v>
      </c>
      <c r="E466" s="6">
        <v>41</v>
      </c>
      <c r="F466" s="5" t="s">
        <v>8</v>
      </c>
      <c r="G466" s="5" t="s">
        <v>10</v>
      </c>
      <c r="H466" s="3" t="s">
        <v>332</v>
      </c>
      <c r="I466" s="5" t="s">
        <v>437</v>
      </c>
      <c r="J466" s="5">
        <f>_xlfn.XLOOKUP(CustomerCombined[[#This Row],[ID]], Table4[ID], Table4[Recency], "Not Found", 0)</f>
        <v>65</v>
      </c>
      <c r="K466" s="5">
        <f>_xlfn.XLOOKUP(CustomerCombined[[#This Row],[ID]], Table4[ID], Table4[Teas], "Not Found", 0)</f>
        <v>26</v>
      </c>
      <c r="L466" s="5">
        <f>_xlfn.XLOOKUP(CustomerCombined[[#This Row],[ID]], Table4[ID], Table4[Fruits], "Not Found", 0)</f>
        <v>120</v>
      </c>
      <c r="M466" s="5">
        <f>_xlfn.XLOOKUP(CustomerCombined[[#This Row],[ID]], Table4[ID], Table4[Meats], "Not Found", 0)</f>
        <v>78</v>
      </c>
      <c r="N466" s="5">
        <f>_xlfn.XLOOKUP(CustomerCombined[[#This Row],[ID]], Table4[ID], Table4[Seafood], "Not Found", 0)</f>
        <v>0</v>
      </c>
      <c r="O466" s="5">
        <f>_xlfn.XLOOKUP(CustomerCombined[[#This Row],[ID]], Table4[ID], Table4[Sweets], "Not Found", 0)</f>
        <v>94</v>
      </c>
      <c r="P466" s="5">
        <f>_xlfn.XLOOKUP(CustomerCombined[[#This Row],[ID]], Table4[ID], Table4[Premium], "Not Found", 0)</f>
        <v>73</v>
      </c>
      <c r="Q466" s="5">
        <f>_xlfn.XLOOKUP(CustomerCombined[[#This Row],[ID]], Table4[ID], Table4[Regular], "Not Found", 0)</f>
        <v>245</v>
      </c>
      <c r="R466" s="5">
        <f>_xlfn.XLOOKUP(CustomerCombined[[#This Row],[ID]], Table4[ID], Table4[Deals], "Not Found", 0)</f>
        <v>2</v>
      </c>
      <c r="S466" s="5">
        <f>_xlfn.XLOOKUP(CustomerCombined[[#This Row],[ID]], Table4[ID], Table4[Website], "Not Found", 0)</f>
        <v>2</v>
      </c>
      <c r="T466" s="5">
        <f>_xlfn.XLOOKUP(CustomerCombined[[#This Row],[ID]], Table4[ID], Table4[Catalog], "Not Found", 0)</f>
        <v>0</v>
      </c>
      <c r="U466" s="5">
        <f>_xlfn.XLOOKUP(CustomerCombined[[#This Row],[ID]], Table4[ID], Table4[Store], "Not Found", 0)</f>
        <v>3</v>
      </c>
      <c r="V466" s="5">
        <f>_xlfn.XLOOKUP(CustomerCombined[[#This Row],[ID]], Table4[ID], Table4[Visits], "Not Found", 0)</f>
        <v>8</v>
      </c>
      <c r="W466" s="8">
        <f>_xlfn.XLOOKUP(CustomerCombined[[#This Row],[ID]], Table2[ID],Table2[Complaint], "Not Found", 0 )</f>
        <v>0</v>
      </c>
      <c r="X466" s="8">
        <f>_xlfn.XLOOKUP(CustomerCombined[[#This Row],[ID]], Table2[ID],Table2[Pilot], "Not Found", 0 )</f>
        <v>0</v>
      </c>
      <c r="Y466" s="8">
        <f>_xlfn.XLOOKUP(CustomerCombined[[#This Row],[ID]], Table2[ID],Table2[MC1], "Not Found", 0 )</f>
        <v>0</v>
      </c>
      <c r="Z466" s="8">
        <f>_xlfn.XLOOKUP(CustomerCombined[[#This Row],[ID]], Table2[ID],Table2[MC2], "Not Found", 0 )</f>
        <v>0</v>
      </c>
      <c r="AA466" s="8">
        <f>_xlfn.XLOOKUP(CustomerCombined[[#This Row],[ID]], Table2[ID],Table2[MC3], "Not Found", 0 )</f>
        <v>0</v>
      </c>
      <c r="AB466" s="8">
        <f>_xlfn.XLOOKUP(CustomerCombined[[#This Row],[ID]], Table2[ID],Table2[MC4], "Not Found", 0 )</f>
        <v>0</v>
      </c>
      <c r="AC466" s="8">
        <f>_xlfn.XLOOKUP(CustomerCombined[[#This Row],[ID]], Table2[ID],Table2[MC5], "Not Found", 0 )</f>
        <v>0</v>
      </c>
    </row>
    <row r="467" spans="1:29" x14ac:dyDescent="0.3">
      <c r="A467" s="6">
        <v>2418</v>
      </c>
      <c r="B467" s="6">
        <v>121645</v>
      </c>
      <c r="C467" s="6">
        <v>1</v>
      </c>
      <c r="D467" s="6">
        <v>0</v>
      </c>
      <c r="E467" s="6">
        <v>41</v>
      </c>
      <c r="F467" s="5" t="s">
        <v>8</v>
      </c>
      <c r="G467" s="5" t="s">
        <v>11</v>
      </c>
      <c r="H467" s="3">
        <v>43679</v>
      </c>
      <c r="I467" s="5" t="s">
        <v>436</v>
      </c>
      <c r="J467" s="5">
        <f>_xlfn.XLOOKUP(CustomerCombined[[#This Row],[ID]], Table4[ID], Table4[Recency], "Not Found", 0)</f>
        <v>75</v>
      </c>
      <c r="K467" s="5">
        <f>_xlfn.XLOOKUP(CustomerCombined[[#This Row],[ID]], Table4[ID], Table4[Teas], "Not Found", 0)</f>
        <v>79</v>
      </c>
      <c r="L467" s="5">
        <f>_xlfn.XLOOKUP(CustomerCombined[[#This Row],[ID]], Table4[ID], Table4[Fruits], "Not Found", 0)</f>
        <v>0</v>
      </c>
      <c r="M467" s="5">
        <f>_xlfn.XLOOKUP(CustomerCombined[[#This Row],[ID]], Table4[ID], Table4[Meats], "Not Found", 0)</f>
        <v>129</v>
      </c>
      <c r="N467" s="5">
        <f>_xlfn.XLOOKUP(CustomerCombined[[#This Row],[ID]], Table4[ID], Table4[Seafood], "Not Found", 0)</f>
        <v>22</v>
      </c>
      <c r="O467" s="5">
        <f>_xlfn.XLOOKUP(CustomerCombined[[#This Row],[ID]], Table4[ID], Table4[Sweets], "Not Found", 0)</f>
        <v>28</v>
      </c>
      <c r="P467" s="5">
        <f>_xlfn.XLOOKUP(CustomerCombined[[#This Row],[ID]], Table4[ID], Table4[Premium], "Not Found", 0)</f>
        <v>107</v>
      </c>
      <c r="Q467" s="5">
        <f>_xlfn.XLOOKUP(CustomerCombined[[#This Row],[ID]], Table4[ID], Table4[Regular], "Not Found", 0)</f>
        <v>152</v>
      </c>
      <c r="R467" s="5">
        <f>_xlfn.XLOOKUP(CustomerCombined[[#This Row],[ID]], Table4[ID], Table4[Deals], "Not Found", 0)</f>
        <v>3</v>
      </c>
      <c r="S467" s="5">
        <f>_xlfn.XLOOKUP(CustomerCombined[[#This Row],[ID]], Table4[ID], Table4[Website], "Not Found", 0)</f>
        <v>3</v>
      </c>
      <c r="T467" s="5">
        <f>_xlfn.XLOOKUP(CustomerCombined[[#This Row],[ID]], Table4[ID], Table4[Catalog], "Not Found", 0)</f>
        <v>0</v>
      </c>
      <c r="U467" s="5">
        <f>_xlfn.XLOOKUP(CustomerCombined[[#This Row],[ID]], Table4[ID], Table4[Store], "Not Found", 0)</f>
        <v>3</v>
      </c>
      <c r="V467" s="5">
        <f>_xlfn.XLOOKUP(CustomerCombined[[#This Row],[ID]], Table4[ID], Table4[Visits], "Not Found", 0)</f>
        <v>9</v>
      </c>
      <c r="W467" s="8">
        <f>_xlfn.XLOOKUP(CustomerCombined[[#This Row],[ID]], Table2[ID],Table2[Complaint], "Not Found", 0 )</f>
        <v>0</v>
      </c>
      <c r="X467" s="8">
        <f>_xlfn.XLOOKUP(CustomerCombined[[#This Row],[ID]], Table2[ID],Table2[Pilot], "Not Found", 0 )</f>
        <v>1</v>
      </c>
      <c r="Y467" s="8">
        <f>_xlfn.XLOOKUP(CustomerCombined[[#This Row],[ID]], Table2[ID],Table2[MC1], "Not Found", 0 )</f>
        <v>0</v>
      </c>
      <c r="Z467" s="8">
        <f>_xlfn.XLOOKUP(CustomerCombined[[#This Row],[ID]], Table2[ID],Table2[MC2], "Not Found", 0 )</f>
        <v>0</v>
      </c>
      <c r="AA467" s="8">
        <f>_xlfn.XLOOKUP(CustomerCombined[[#This Row],[ID]], Table2[ID],Table2[MC3], "Not Found", 0 )</f>
        <v>0</v>
      </c>
      <c r="AB467" s="8">
        <f>_xlfn.XLOOKUP(CustomerCombined[[#This Row],[ID]], Table2[ID],Table2[MC4], "Not Found", 0 )</f>
        <v>0</v>
      </c>
      <c r="AC467" s="8">
        <f>_xlfn.XLOOKUP(CustomerCombined[[#This Row],[ID]], Table2[ID],Table2[MC5], "Not Found", 0 )</f>
        <v>0</v>
      </c>
    </row>
    <row r="468" spans="1:29" x14ac:dyDescent="0.3">
      <c r="A468" s="6">
        <v>2755</v>
      </c>
      <c r="B468" s="6">
        <v>120194</v>
      </c>
      <c r="C468" s="6">
        <v>1</v>
      </c>
      <c r="D468" s="6">
        <v>0</v>
      </c>
      <c r="E468" s="6">
        <v>41</v>
      </c>
      <c r="F468" s="5" t="s">
        <v>7</v>
      </c>
      <c r="G468" s="5" t="s">
        <v>10</v>
      </c>
      <c r="H468" s="3" t="s">
        <v>342</v>
      </c>
      <c r="I468" s="5" t="s">
        <v>437</v>
      </c>
      <c r="J468" s="5">
        <f>_xlfn.XLOOKUP(CustomerCombined[[#This Row],[ID]], Table4[ID], Table4[Recency], "Not Found", 0)</f>
        <v>64</v>
      </c>
      <c r="K468" s="5">
        <f>_xlfn.XLOOKUP(CustomerCombined[[#This Row],[ID]], Table4[ID], Table4[Teas], "Not Found", 0)</f>
        <v>0</v>
      </c>
      <c r="L468" s="5">
        <f>_xlfn.XLOOKUP(CustomerCombined[[#This Row],[ID]], Table4[ID], Table4[Fruits], "Not Found", 0)</f>
        <v>24</v>
      </c>
      <c r="M468" s="5">
        <f>_xlfn.XLOOKUP(CustomerCombined[[#This Row],[ID]], Table4[ID], Table4[Meats], "Not Found", 0)</f>
        <v>42</v>
      </c>
      <c r="N468" s="5">
        <f>_xlfn.XLOOKUP(CustomerCombined[[#This Row],[ID]], Table4[ID], Table4[Seafood], "Not Found", 0)</f>
        <v>65</v>
      </c>
      <c r="O468" s="5">
        <f>_xlfn.XLOOKUP(CustomerCombined[[#This Row],[ID]], Table4[ID], Table4[Sweets], "Not Found", 0)</f>
        <v>60</v>
      </c>
      <c r="P468" s="5">
        <f>_xlfn.XLOOKUP(CustomerCombined[[#This Row],[ID]], Table4[ID], Table4[Premium], "Not Found", 0)</f>
        <v>89</v>
      </c>
      <c r="Q468" s="5">
        <f>_xlfn.XLOOKUP(CustomerCombined[[#This Row],[ID]], Table4[ID], Table4[Regular], "Not Found", 0)</f>
        <v>101</v>
      </c>
      <c r="R468" s="5">
        <f>_xlfn.XLOOKUP(CustomerCombined[[#This Row],[ID]], Table4[ID], Table4[Deals], "Not Found", 0)</f>
        <v>2</v>
      </c>
      <c r="S468" s="5">
        <f>_xlfn.XLOOKUP(CustomerCombined[[#This Row],[ID]], Table4[ID], Table4[Website], "Not Found", 0)</f>
        <v>2</v>
      </c>
      <c r="T468" s="5">
        <f>_xlfn.XLOOKUP(CustomerCombined[[#This Row],[ID]], Table4[ID], Table4[Catalog], "Not Found", 0)</f>
        <v>0</v>
      </c>
      <c r="U468" s="5">
        <f>_xlfn.XLOOKUP(CustomerCombined[[#This Row],[ID]], Table4[ID], Table4[Store], "Not Found", 0)</f>
        <v>3</v>
      </c>
      <c r="V468" s="5">
        <f>_xlfn.XLOOKUP(CustomerCombined[[#This Row],[ID]], Table4[ID], Table4[Visits], "Not Found", 0)</f>
        <v>6</v>
      </c>
      <c r="W468" s="8">
        <f>_xlfn.XLOOKUP(CustomerCombined[[#This Row],[ID]], Table2[ID],Table2[Complaint], "Not Found", 0 )</f>
        <v>0</v>
      </c>
      <c r="X468" s="8">
        <f>_xlfn.XLOOKUP(CustomerCombined[[#This Row],[ID]], Table2[ID],Table2[Pilot], "Not Found", 0 )</f>
        <v>0</v>
      </c>
      <c r="Y468" s="8">
        <f>_xlfn.XLOOKUP(CustomerCombined[[#This Row],[ID]], Table2[ID],Table2[MC1], "Not Found", 0 )</f>
        <v>0</v>
      </c>
      <c r="Z468" s="8">
        <f>_xlfn.XLOOKUP(CustomerCombined[[#This Row],[ID]], Table2[ID],Table2[MC2], "Not Found", 0 )</f>
        <v>0</v>
      </c>
      <c r="AA468" s="8">
        <f>_xlfn.XLOOKUP(CustomerCombined[[#This Row],[ID]], Table2[ID],Table2[MC3], "Not Found", 0 )</f>
        <v>0</v>
      </c>
      <c r="AB468" s="8">
        <f>_xlfn.XLOOKUP(CustomerCombined[[#This Row],[ID]], Table2[ID],Table2[MC4], "Not Found", 0 )</f>
        <v>0</v>
      </c>
      <c r="AC468" s="8">
        <f>_xlfn.XLOOKUP(CustomerCombined[[#This Row],[ID]], Table2[ID],Table2[MC5], "Not Found", 0 )</f>
        <v>0</v>
      </c>
    </row>
    <row r="469" spans="1:29" x14ac:dyDescent="0.3">
      <c r="A469" s="6">
        <v>2695</v>
      </c>
      <c r="B469" s="6">
        <v>117688</v>
      </c>
      <c r="C469" s="6">
        <v>1</v>
      </c>
      <c r="D469" s="6">
        <v>0</v>
      </c>
      <c r="E469" s="6">
        <v>41</v>
      </c>
      <c r="F469" s="5" t="s">
        <v>6</v>
      </c>
      <c r="G469" s="5" t="s">
        <v>11</v>
      </c>
      <c r="H469" s="3" t="s">
        <v>327</v>
      </c>
      <c r="I469" s="5" t="s">
        <v>437</v>
      </c>
      <c r="J469" s="5">
        <f>_xlfn.XLOOKUP(CustomerCombined[[#This Row],[ID]], Table4[ID], Table4[Recency], "Not Found", 0)</f>
        <v>82</v>
      </c>
      <c r="K469" s="5">
        <f>_xlfn.XLOOKUP(CustomerCombined[[#This Row],[ID]], Table4[ID], Table4[Teas], "Not Found", 0)</f>
        <v>13</v>
      </c>
      <c r="L469" s="5">
        <f>_xlfn.XLOOKUP(CustomerCombined[[#This Row],[ID]], Table4[ID], Table4[Fruits], "Not Found", 0)</f>
        <v>13</v>
      </c>
      <c r="M469" s="5">
        <f>_xlfn.XLOOKUP(CustomerCombined[[#This Row],[ID]], Table4[ID], Table4[Meats], "Not Found", 0)</f>
        <v>7</v>
      </c>
      <c r="N469" s="5">
        <f>_xlfn.XLOOKUP(CustomerCombined[[#This Row],[ID]], Table4[ID], Table4[Seafood], "Not Found", 0)</f>
        <v>20</v>
      </c>
      <c r="O469" s="5">
        <f>_xlfn.XLOOKUP(CustomerCombined[[#This Row],[ID]], Table4[ID], Table4[Sweets], "Not Found", 0)</f>
        <v>7</v>
      </c>
      <c r="P469" s="5">
        <f>_xlfn.XLOOKUP(CustomerCombined[[#This Row],[ID]], Table4[ID], Table4[Premium], "Not Found", 0)</f>
        <v>13</v>
      </c>
      <c r="Q469" s="5">
        <f>_xlfn.XLOOKUP(CustomerCombined[[#This Row],[ID]], Table4[ID], Table4[Regular], "Not Found", 0)</f>
        <v>47</v>
      </c>
      <c r="R469" s="5">
        <f>_xlfn.XLOOKUP(CustomerCombined[[#This Row],[ID]], Table4[ID], Table4[Deals], "Not Found", 0)</f>
        <v>1</v>
      </c>
      <c r="S469" s="5">
        <f>_xlfn.XLOOKUP(CustomerCombined[[#This Row],[ID]], Table4[ID], Table4[Website], "Not Found", 0)</f>
        <v>1</v>
      </c>
      <c r="T469" s="5">
        <f>_xlfn.XLOOKUP(CustomerCombined[[#This Row],[ID]], Table4[ID], Table4[Catalog], "Not Found", 0)</f>
        <v>0</v>
      </c>
      <c r="U469" s="5">
        <f>_xlfn.XLOOKUP(CustomerCombined[[#This Row],[ID]], Table4[ID], Table4[Store], "Not Found", 0)</f>
        <v>2</v>
      </c>
      <c r="V469" s="5">
        <f>_xlfn.XLOOKUP(CustomerCombined[[#This Row],[ID]], Table4[ID], Table4[Visits], "Not Found", 0)</f>
        <v>8</v>
      </c>
      <c r="W469" s="8">
        <f>_xlfn.XLOOKUP(CustomerCombined[[#This Row],[ID]], Table2[ID],Table2[Complaint], "Not Found", 0 )</f>
        <v>1</v>
      </c>
      <c r="X469" s="8">
        <f>_xlfn.XLOOKUP(CustomerCombined[[#This Row],[ID]], Table2[ID],Table2[Pilot], "Not Found", 0 )</f>
        <v>0</v>
      </c>
      <c r="Y469" s="8">
        <f>_xlfn.XLOOKUP(CustomerCombined[[#This Row],[ID]], Table2[ID],Table2[MC1], "Not Found", 0 )</f>
        <v>0</v>
      </c>
      <c r="Z469" s="8">
        <f>_xlfn.XLOOKUP(CustomerCombined[[#This Row],[ID]], Table2[ID],Table2[MC2], "Not Found", 0 )</f>
        <v>0</v>
      </c>
      <c r="AA469" s="8">
        <f>_xlfn.XLOOKUP(CustomerCombined[[#This Row],[ID]], Table2[ID],Table2[MC3], "Not Found", 0 )</f>
        <v>0</v>
      </c>
      <c r="AB469" s="8">
        <f>_xlfn.XLOOKUP(CustomerCombined[[#This Row],[ID]], Table2[ID],Table2[MC4], "Not Found", 0 )</f>
        <v>0</v>
      </c>
      <c r="AC469" s="8">
        <f>_xlfn.XLOOKUP(CustomerCombined[[#This Row],[ID]], Table2[ID],Table2[MC5], "Not Found", 0 )</f>
        <v>0</v>
      </c>
    </row>
    <row r="470" spans="1:29" x14ac:dyDescent="0.3">
      <c r="A470" s="6">
        <v>2700</v>
      </c>
      <c r="B470" s="6">
        <v>116653</v>
      </c>
      <c r="C470" s="6">
        <v>1</v>
      </c>
      <c r="D470" s="6">
        <v>0</v>
      </c>
      <c r="E470" s="6">
        <v>41</v>
      </c>
      <c r="F470" s="5" t="s">
        <v>7</v>
      </c>
      <c r="G470" s="5" t="s">
        <v>12</v>
      </c>
      <c r="H470" s="3" t="s">
        <v>64</v>
      </c>
      <c r="I470" s="5" t="s">
        <v>436</v>
      </c>
      <c r="J470" s="5">
        <f>_xlfn.XLOOKUP(CustomerCombined[[#This Row],[ID]], Table4[ID], Table4[Recency], "Not Found", 0)</f>
        <v>10</v>
      </c>
      <c r="K470" s="5">
        <f>_xlfn.XLOOKUP(CustomerCombined[[#This Row],[ID]], Table4[ID], Table4[Teas], "Not Found", 0)</f>
        <v>35</v>
      </c>
      <c r="L470" s="5">
        <f>_xlfn.XLOOKUP(CustomerCombined[[#This Row],[ID]], Table4[ID], Table4[Fruits], "Not Found", 0)</f>
        <v>49</v>
      </c>
      <c r="M470" s="5">
        <f>_xlfn.XLOOKUP(CustomerCombined[[#This Row],[ID]], Table4[ID], Table4[Meats], "Not Found", 0)</f>
        <v>217</v>
      </c>
      <c r="N470" s="5">
        <f>_xlfn.XLOOKUP(CustomerCombined[[#This Row],[ID]], Table4[ID], Table4[Seafood], "Not Found", 0)</f>
        <v>105</v>
      </c>
      <c r="O470" s="5">
        <f>_xlfn.XLOOKUP(CustomerCombined[[#This Row],[ID]], Table4[ID], Table4[Sweets], "Not Found", 0)</f>
        <v>28</v>
      </c>
      <c r="P470" s="5">
        <f>_xlfn.XLOOKUP(CustomerCombined[[#This Row],[ID]], Table4[ID], Table4[Premium], "Not Found", 0)</f>
        <v>49</v>
      </c>
      <c r="Q470" s="5">
        <f>_xlfn.XLOOKUP(CustomerCombined[[#This Row],[ID]], Table4[ID], Table4[Regular], "Not Found", 0)</f>
        <v>385</v>
      </c>
      <c r="R470" s="5">
        <f>_xlfn.XLOOKUP(CustomerCombined[[#This Row],[ID]], Table4[ID], Table4[Deals], "Not Found", 0)</f>
        <v>3</v>
      </c>
      <c r="S470" s="5">
        <f>_xlfn.XLOOKUP(CustomerCombined[[#This Row],[ID]], Table4[ID], Table4[Website], "Not Found", 0)</f>
        <v>2</v>
      </c>
      <c r="T470" s="5">
        <f>_xlfn.XLOOKUP(CustomerCombined[[#This Row],[ID]], Table4[ID], Table4[Catalog], "Not Found", 0)</f>
        <v>1</v>
      </c>
      <c r="U470" s="5">
        <f>_xlfn.XLOOKUP(CustomerCombined[[#This Row],[ID]], Table4[ID], Table4[Store], "Not Found", 0)</f>
        <v>3</v>
      </c>
      <c r="V470" s="5">
        <f>_xlfn.XLOOKUP(CustomerCombined[[#This Row],[ID]], Table4[ID], Table4[Visits], "Not Found", 0)</f>
        <v>6</v>
      </c>
      <c r="W470" s="8">
        <f>_xlfn.XLOOKUP(CustomerCombined[[#This Row],[ID]], Table2[ID],Table2[Complaint], "Not Found", 0 )</f>
        <v>0</v>
      </c>
      <c r="X470" s="8">
        <f>_xlfn.XLOOKUP(CustomerCombined[[#This Row],[ID]], Table2[ID],Table2[Pilot], "Not Found", 0 )</f>
        <v>1</v>
      </c>
      <c r="Y470" s="8">
        <f>_xlfn.XLOOKUP(CustomerCombined[[#This Row],[ID]], Table2[ID],Table2[MC1], "Not Found", 0 )</f>
        <v>0</v>
      </c>
      <c r="Z470" s="8">
        <f>_xlfn.XLOOKUP(CustomerCombined[[#This Row],[ID]], Table2[ID],Table2[MC2], "Not Found", 0 )</f>
        <v>0</v>
      </c>
      <c r="AA470" s="8">
        <f>_xlfn.XLOOKUP(CustomerCombined[[#This Row],[ID]], Table2[ID],Table2[MC3], "Not Found", 0 )</f>
        <v>0</v>
      </c>
      <c r="AB470" s="8">
        <f>_xlfn.XLOOKUP(CustomerCombined[[#This Row],[ID]], Table2[ID],Table2[MC4], "Not Found", 0 )</f>
        <v>0</v>
      </c>
      <c r="AC470" s="8">
        <f>_xlfn.XLOOKUP(CustomerCombined[[#This Row],[ID]], Table2[ID],Table2[MC5], "Not Found", 0 )</f>
        <v>0</v>
      </c>
    </row>
    <row r="471" spans="1:29" x14ac:dyDescent="0.3">
      <c r="A471" s="6">
        <v>2730</v>
      </c>
      <c r="B471" s="6">
        <v>116014</v>
      </c>
      <c r="C471" s="6">
        <v>1</v>
      </c>
      <c r="D471" s="6">
        <v>1</v>
      </c>
      <c r="E471" s="6">
        <v>41</v>
      </c>
      <c r="F471" s="5" t="s">
        <v>7</v>
      </c>
      <c r="G471" s="5" t="s">
        <v>10</v>
      </c>
      <c r="H471" s="3" t="s">
        <v>291</v>
      </c>
      <c r="I471" s="5" t="s">
        <v>436</v>
      </c>
      <c r="J471" s="5">
        <f>_xlfn.XLOOKUP(CustomerCombined[[#This Row],[ID]], Table4[ID], Table4[Recency], "Not Found", 0)</f>
        <v>42</v>
      </c>
      <c r="K471" s="5">
        <f>_xlfn.XLOOKUP(CustomerCombined[[#This Row],[ID]], Table4[ID], Table4[Teas], "Not Found", 0)</f>
        <v>22</v>
      </c>
      <c r="L471" s="5">
        <f>_xlfn.XLOOKUP(CustomerCombined[[#This Row],[ID]], Table4[ID], Table4[Fruits], "Not Found", 0)</f>
        <v>65</v>
      </c>
      <c r="M471" s="5">
        <f>_xlfn.XLOOKUP(CustomerCombined[[#This Row],[ID]], Table4[ID], Table4[Meats], "Not Found", 0)</f>
        <v>29</v>
      </c>
      <c r="N471" s="5">
        <f>_xlfn.XLOOKUP(CustomerCombined[[#This Row],[ID]], Table4[ID], Table4[Seafood], "Not Found", 0)</f>
        <v>51</v>
      </c>
      <c r="O471" s="5">
        <f>_xlfn.XLOOKUP(CustomerCombined[[#This Row],[ID]], Table4[ID], Table4[Sweets], "Not Found", 0)</f>
        <v>58</v>
      </c>
      <c r="P471" s="5">
        <f>_xlfn.XLOOKUP(CustomerCombined[[#This Row],[ID]], Table4[ID], Table4[Premium], "Not Found", 0)</f>
        <v>51</v>
      </c>
      <c r="Q471" s="5">
        <f>_xlfn.XLOOKUP(CustomerCombined[[#This Row],[ID]], Table4[ID], Table4[Regular], "Not Found", 0)</f>
        <v>174</v>
      </c>
      <c r="R471" s="5">
        <f>_xlfn.XLOOKUP(CustomerCombined[[#This Row],[ID]], Table4[ID], Table4[Deals], "Not Found", 0)</f>
        <v>4</v>
      </c>
      <c r="S471" s="5">
        <f>_xlfn.XLOOKUP(CustomerCombined[[#This Row],[ID]], Table4[ID], Table4[Website], "Not Found", 0)</f>
        <v>1</v>
      </c>
      <c r="T471" s="5">
        <f>_xlfn.XLOOKUP(CustomerCombined[[#This Row],[ID]], Table4[ID], Table4[Catalog], "Not Found", 0)</f>
        <v>1</v>
      </c>
      <c r="U471" s="5">
        <f>_xlfn.XLOOKUP(CustomerCombined[[#This Row],[ID]], Table4[ID], Table4[Store], "Not Found", 0)</f>
        <v>4</v>
      </c>
      <c r="V471" s="5">
        <f>_xlfn.XLOOKUP(CustomerCombined[[#This Row],[ID]], Table4[ID], Table4[Visits], "Not Found", 0)</f>
        <v>3</v>
      </c>
      <c r="W471" s="8">
        <f>_xlfn.XLOOKUP(CustomerCombined[[#This Row],[ID]], Table2[ID],Table2[Complaint], "Not Found", 0 )</f>
        <v>0</v>
      </c>
      <c r="X471" s="8">
        <f>_xlfn.XLOOKUP(CustomerCombined[[#This Row],[ID]], Table2[ID],Table2[Pilot], "Not Found", 0 )</f>
        <v>0</v>
      </c>
      <c r="Y471" s="8">
        <f>_xlfn.XLOOKUP(CustomerCombined[[#This Row],[ID]], Table2[ID],Table2[MC1], "Not Found", 0 )</f>
        <v>0</v>
      </c>
      <c r="Z471" s="8">
        <f>_xlfn.XLOOKUP(CustomerCombined[[#This Row],[ID]], Table2[ID],Table2[MC2], "Not Found", 0 )</f>
        <v>0</v>
      </c>
      <c r="AA471" s="8">
        <f>_xlfn.XLOOKUP(CustomerCombined[[#This Row],[ID]], Table2[ID],Table2[MC3], "Not Found", 0 )</f>
        <v>0</v>
      </c>
      <c r="AB471" s="8">
        <f>_xlfn.XLOOKUP(CustomerCombined[[#This Row],[ID]], Table2[ID],Table2[MC4], "Not Found", 0 )</f>
        <v>0</v>
      </c>
      <c r="AC471" s="8">
        <f>_xlfn.XLOOKUP(CustomerCombined[[#This Row],[ID]], Table2[ID],Table2[MC5], "Not Found", 0 )</f>
        <v>0</v>
      </c>
    </row>
    <row r="472" spans="1:29" x14ac:dyDescent="0.3">
      <c r="A472" s="6">
        <v>2652</v>
      </c>
      <c r="B472" s="6">
        <v>115862</v>
      </c>
      <c r="C472" s="6">
        <v>1</v>
      </c>
      <c r="D472" s="6">
        <v>0</v>
      </c>
      <c r="E472" s="6">
        <v>41</v>
      </c>
      <c r="F472" s="5" t="s">
        <v>7</v>
      </c>
      <c r="G472" s="5" t="s">
        <v>10</v>
      </c>
      <c r="H472" s="3">
        <v>43508</v>
      </c>
      <c r="I472" s="5" t="s">
        <v>436</v>
      </c>
      <c r="J472" s="5">
        <f>_xlfn.XLOOKUP(CustomerCombined[[#This Row],[ID]], Table4[ID], Table4[Recency], "Not Found", 0)</f>
        <v>26</v>
      </c>
      <c r="K472" s="5">
        <f>_xlfn.XLOOKUP(CustomerCombined[[#This Row],[ID]], Table4[ID], Table4[Teas], "Not Found", 0)</f>
        <v>7</v>
      </c>
      <c r="L472" s="5">
        <f>_xlfn.XLOOKUP(CustomerCombined[[#This Row],[ID]], Table4[ID], Table4[Fruits], "Not Found", 0)</f>
        <v>7</v>
      </c>
      <c r="M472" s="5">
        <f>_xlfn.XLOOKUP(CustomerCombined[[#This Row],[ID]], Table4[ID], Table4[Meats], "Not Found", 0)</f>
        <v>29</v>
      </c>
      <c r="N472" s="5">
        <f>_xlfn.XLOOKUP(CustomerCombined[[#This Row],[ID]], Table4[ID], Table4[Seafood], "Not Found", 0)</f>
        <v>80</v>
      </c>
      <c r="O472" s="5">
        <f>_xlfn.XLOOKUP(CustomerCombined[[#This Row],[ID]], Table4[ID], Table4[Sweets], "Not Found", 0)</f>
        <v>66</v>
      </c>
      <c r="P472" s="5">
        <f>_xlfn.XLOOKUP(CustomerCombined[[#This Row],[ID]], Table4[ID], Table4[Premium], "Not Found", 0)</f>
        <v>73</v>
      </c>
      <c r="Q472" s="5">
        <f>_xlfn.XLOOKUP(CustomerCombined[[#This Row],[ID]], Table4[ID], Table4[Regular], "Not Found", 0)</f>
        <v>117</v>
      </c>
      <c r="R472" s="5">
        <f>_xlfn.XLOOKUP(CustomerCombined[[#This Row],[ID]], Table4[ID], Table4[Deals], "Not Found", 0)</f>
        <v>1</v>
      </c>
      <c r="S472" s="5">
        <f>_xlfn.XLOOKUP(CustomerCombined[[#This Row],[ID]], Table4[ID], Table4[Website], "Not Found", 0)</f>
        <v>1</v>
      </c>
      <c r="T472" s="5">
        <f>_xlfn.XLOOKUP(CustomerCombined[[#This Row],[ID]], Table4[ID], Table4[Catalog], "Not Found", 0)</f>
        <v>0</v>
      </c>
      <c r="U472" s="5">
        <f>_xlfn.XLOOKUP(CustomerCombined[[#This Row],[ID]], Table4[ID], Table4[Store], "Not Found", 0)</f>
        <v>3</v>
      </c>
      <c r="V472" s="5">
        <f>_xlfn.XLOOKUP(CustomerCombined[[#This Row],[ID]], Table4[ID], Table4[Visits], "Not Found", 0)</f>
        <v>8</v>
      </c>
      <c r="W472" s="8">
        <f>_xlfn.XLOOKUP(CustomerCombined[[#This Row],[ID]], Table2[ID],Table2[Complaint], "Not Found", 0 )</f>
        <v>0</v>
      </c>
      <c r="X472" s="8">
        <f>_xlfn.XLOOKUP(CustomerCombined[[#This Row],[ID]], Table2[ID],Table2[Pilot], "Not Found", 0 )</f>
        <v>0</v>
      </c>
      <c r="Y472" s="8">
        <f>_xlfn.XLOOKUP(CustomerCombined[[#This Row],[ID]], Table2[ID],Table2[MC1], "Not Found", 0 )</f>
        <v>0</v>
      </c>
      <c r="Z472" s="8">
        <f>_xlfn.XLOOKUP(CustomerCombined[[#This Row],[ID]], Table2[ID],Table2[MC2], "Not Found", 0 )</f>
        <v>0</v>
      </c>
      <c r="AA472" s="8">
        <f>_xlfn.XLOOKUP(CustomerCombined[[#This Row],[ID]], Table2[ID],Table2[MC3], "Not Found", 0 )</f>
        <v>0</v>
      </c>
      <c r="AB472" s="8">
        <f>_xlfn.XLOOKUP(CustomerCombined[[#This Row],[ID]], Table2[ID],Table2[MC4], "Not Found", 0 )</f>
        <v>0</v>
      </c>
      <c r="AC472" s="8">
        <f>_xlfn.XLOOKUP(CustomerCombined[[#This Row],[ID]], Table2[ID],Table2[MC5], "Not Found", 0 )</f>
        <v>0</v>
      </c>
    </row>
    <row r="473" spans="1:29" x14ac:dyDescent="0.3">
      <c r="A473" s="6">
        <v>1247</v>
      </c>
      <c r="B473" s="6">
        <v>115287</v>
      </c>
      <c r="C473" s="6">
        <v>1</v>
      </c>
      <c r="D473" s="6">
        <v>0</v>
      </c>
      <c r="E473" s="6">
        <v>41</v>
      </c>
      <c r="F473" s="5" t="s">
        <v>5</v>
      </c>
      <c r="G473" s="5" t="s">
        <v>11</v>
      </c>
      <c r="H473" s="3" t="s">
        <v>384</v>
      </c>
      <c r="I473" s="5" t="s">
        <v>434</v>
      </c>
      <c r="J473" s="5">
        <f>_xlfn.XLOOKUP(CustomerCombined[[#This Row],[ID]], Table4[ID], Table4[Recency], "Not Found", 0)</f>
        <v>60</v>
      </c>
      <c r="K473" s="5">
        <f>_xlfn.XLOOKUP(CustomerCombined[[#This Row],[ID]], Table4[ID], Table4[Teas], "Not Found", 0)</f>
        <v>8</v>
      </c>
      <c r="L473" s="5">
        <f>_xlfn.XLOOKUP(CustomerCombined[[#This Row],[ID]], Table4[ID], Table4[Fruits], "Not Found", 0)</f>
        <v>15</v>
      </c>
      <c r="M473" s="5">
        <f>_xlfn.XLOOKUP(CustomerCombined[[#This Row],[ID]], Table4[ID], Table4[Meats], "Not Found", 0)</f>
        <v>60</v>
      </c>
      <c r="N473" s="5">
        <f>_xlfn.XLOOKUP(CustomerCombined[[#This Row],[ID]], Table4[ID], Table4[Seafood], "Not Found", 0)</f>
        <v>30</v>
      </c>
      <c r="O473" s="5">
        <f>_xlfn.XLOOKUP(CustomerCombined[[#This Row],[ID]], Table4[ID], Table4[Sweets], "Not Found", 0)</f>
        <v>23</v>
      </c>
      <c r="P473" s="5">
        <f>_xlfn.XLOOKUP(CustomerCombined[[#This Row],[ID]], Table4[ID], Table4[Premium], "Not Found", 0)</f>
        <v>98</v>
      </c>
      <c r="Q473" s="5">
        <f>_xlfn.XLOOKUP(CustomerCombined[[#This Row],[ID]], Table4[ID], Table4[Regular], "Not Found", 0)</f>
        <v>38</v>
      </c>
      <c r="R473" s="5">
        <f>_xlfn.XLOOKUP(CustomerCombined[[#This Row],[ID]], Table4[ID], Table4[Deals], "Not Found", 0)</f>
        <v>2</v>
      </c>
      <c r="S473" s="5">
        <f>_xlfn.XLOOKUP(CustomerCombined[[#This Row],[ID]], Table4[ID], Table4[Website], "Not Found", 0)</f>
        <v>1</v>
      </c>
      <c r="T473" s="5">
        <f>_xlfn.XLOOKUP(CustomerCombined[[#This Row],[ID]], Table4[ID], Table4[Catalog], "Not Found", 0)</f>
        <v>1</v>
      </c>
      <c r="U473" s="5">
        <f>_xlfn.XLOOKUP(CustomerCombined[[#This Row],[ID]], Table4[ID], Table4[Store], "Not Found", 0)</f>
        <v>2</v>
      </c>
      <c r="V473" s="5">
        <f>_xlfn.XLOOKUP(CustomerCombined[[#This Row],[ID]], Table4[ID], Table4[Visits], "Not Found", 0)</f>
        <v>7</v>
      </c>
      <c r="W473" s="8">
        <f>_xlfn.XLOOKUP(CustomerCombined[[#This Row],[ID]], Table2[ID],Table2[Complaint], "Not Found", 0 )</f>
        <v>0</v>
      </c>
      <c r="X473" s="8">
        <f>_xlfn.XLOOKUP(CustomerCombined[[#This Row],[ID]], Table2[ID],Table2[Pilot], "Not Found", 0 )</f>
        <v>1</v>
      </c>
      <c r="Y473" s="8">
        <f>_xlfn.XLOOKUP(CustomerCombined[[#This Row],[ID]], Table2[ID],Table2[MC1], "Not Found", 0 )</f>
        <v>0</v>
      </c>
      <c r="Z473" s="8">
        <f>_xlfn.XLOOKUP(CustomerCombined[[#This Row],[ID]], Table2[ID],Table2[MC2], "Not Found", 0 )</f>
        <v>0</v>
      </c>
      <c r="AA473" s="8">
        <f>_xlfn.XLOOKUP(CustomerCombined[[#This Row],[ID]], Table2[ID],Table2[MC3], "Not Found", 0 )</f>
        <v>1</v>
      </c>
      <c r="AB473" s="8">
        <f>_xlfn.XLOOKUP(CustomerCombined[[#This Row],[ID]], Table2[ID],Table2[MC4], "Not Found", 0 )</f>
        <v>0</v>
      </c>
      <c r="AC473" s="8">
        <f>_xlfn.XLOOKUP(CustomerCombined[[#This Row],[ID]], Table2[ID],Table2[MC5], "Not Found", 0 )</f>
        <v>0</v>
      </c>
    </row>
    <row r="474" spans="1:29" x14ac:dyDescent="0.3">
      <c r="A474" s="6">
        <v>2184</v>
      </c>
      <c r="B474" s="6">
        <v>115287</v>
      </c>
      <c r="C474" s="6">
        <v>1</v>
      </c>
      <c r="D474" s="6">
        <v>0</v>
      </c>
      <c r="E474" s="6">
        <v>41</v>
      </c>
      <c r="F474" s="5" t="s">
        <v>5</v>
      </c>
      <c r="G474" s="5" t="s">
        <v>11</v>
      </c>
      <c r="H474" s="3" t="s">
        <v>384</v>
      </c>
      <c r="I474" s="5" t="s">
        <v>436</v>
      </c>
      <c r="J474" s="5">
        <f>_xlfn.XLOOKUP(CustomerCombined[[#This Row],[ID]], Table4[ID], Table4[Recency], "Not Found", 0)</f>
        <v>60</v>
      </c>
      <c r="K474" s="5">
        <f>_xlfn.XLOOKUP(CustomerCombined[[#This Row],[ID]], Table4[ID], Table4[Teas], "Not Found", 0)</f>
        <v>8</v>
      </c>
      <c r="L474" s="5">
        <f>_xlfn.XLOOKUP(CustomerCombined[[#This Row],[ID]], Table4[ID], Table4[Fruits], "Not Found", 0)</f>
        <v>15</v>
      </c>
      <c r="M474" s="5">
        <f>_xlfn.XLOOKUP(CustomerCombined[[#This Row],[ID]], Table4[ID], Table4[Meats], "Not Found", 0)</f>
        <v>60</v>
      </c>
      <c r="N474" s="5">
        <f>_xlfn.XLOOKUP(CustomerCombined[[#This Row],[ID]], Table4[ID], Table4[Seafood], "Not Found", 0)</f>
        <v>30</v>
      </c>
      <c r="O474" s="5">
        <f>_xlfn.XLOOKUP(CustomerCombined[[#This Row],[ID]], Table4[ID], Table4[Sweets], "Not Found", 0)</f>
        <v>23</v>
      </c>
      <c r="P474" s="5">
        <f>_xlfn.XLOOKUP(CustomerCombined[[#This Row],[ID]], Table4[ID], Table4[Premium], "Not Found", 0)</f>
        <v>98</v>
      </c>
      <c r="Q474" s="5">
        <f>_xlfn.XLOOKUP(CustomerCombined[[#This Row],[ID]], Table4[ID], Table4[Regular], "Not Found", 0)</f>
        <v>38</v>
      </c>
      <c r="R474" s="5">
        <f>_xlfn.XLOOKUP(CustomerCombined[[#This Row],[ID]], Table4[ID], Table4[Deals], "Not Found", 0)</f>
        <v>2</v>
      </c>
      <c r="S474" s="5">
        <f>_xlfn.XLOOKUP(CustomerCombined[[#This Row],[ID]], Table4[ID], Table4[Website], "Not Found", 0)</f>
        <v>1</v>
      </c>
      <c r="T474" s="5">
        <f>_xlfn.XLOOKUP(CustomerCombined[[#This Row],[ID]], Table4[ID], Table4[Catalog], "Not Found", 0)</f>
        <v>1</v>
      </c>
      <c r="U474" s="5">
        <f>_xlfn.XLOOKUP(CustomerCombined[[#This Row],[ID]], Table4[ID], Table4[Store], "Not Found", 0)</f>
        <v>2</v>
      </c>
      <c r="V474" s="5">
        <f>_xlfn.XLOOKUP(CustomerCombined[[#This Row],[ID]], Table4[ID], Table4[Visits], "Not Found", 0)</f>
        <v>7</v>
      </c>
      <c r="W474" s="8">
        <f>_xlfn.XLOOKUP(CustomerCombined[[#This Row],[ID]], Table2[ID],Table2[Complaint], "Not Found", 0 )</f>
        <v>0</v>
      </c>
      <c r="X474" s="8">
        <f>_xlfn.XLOOKUP(CustomerCombined[[#This Row],[ID]], Table2[ID],Table2[Pilot], "Not Found", 0 )</f>
        <v>1</v>
      </c>
      <c r="Y474" s="8">
        <f>_xlfn.XLOOKUP(CustomerCombined[[#This Row],[ID]], Table2[ID],Table2[MC1], "Not Found", 0 )</f>
        <v>0</v>
      </c>
      <c r="Z474" s="8">
        <f>_xlfn.XLOOKUP(CustomerCombined[[#This Row],[ID]], Table2[ID],Table2[MC2], "Not Found", 0 )</f>
        <v>0</v>
      </c>
      <c r="AA474" s="8">
        <f>_xlfn.XLOOKUP(CustomerCombined[[#This Row],[ID]], Table2[ID],Table2[MC3], "Not Found", 0 )</f>
        <v>1</v>
      </c>
      <c r="AB474" s="8">
        <f>_xlfn.XLOOKUP(CustomerCombined[[#This Row],[ID]], Table2[ID],Table2[MC4], "Not Found", 0 )</f>
        <v>0</v>
      </c>
      <c r="AC474" s="8">
        <f>_xlfn.XLOOKUP(CustomerCombined[[#This Row],[ID]], Table2[ID],Table2[MC5], "Not Found", 0 )</f>
        <v>0</v>
      </c>
    </row>
    <row r="475" spans="1:29" x14ac:dyDescent="0.3">
      <c r="A475" s="6">
        <v>2736</v>
      </c>
      <c r="B475" s="6">
        <v>113533</v>
      </c>
      <c r="C475" s="6">
        <v>1</v>
      </c>
      <c r="D475" s="6">
        <v>0</v>
      </c>
      <c r="E475" s="6">
        <v>41</v>
      </c>
      <c r="F475" s="5" t="s">
        <v>5</v>
      </c>
      <c r="G475" s="5" t="s">
        <v>442</v>
      </c>
      <c r="H475" s="3" t="s">
        <v>297</v>
      </c>
      <c r="I475" s="5" t="s">
        <v>436</v>
      </c>
      <c r="J475" s="5">
        <f>_xlfn.XLOOKUP(CustomerCombined[[#This Row],[ID]], Table4[ID], Table4[Recency], "Not Found", 0)</f>
        <v>45</v>
      </c>
      <c r="K475" s="5">
        <f>_xlfn.XLOOKUP(CustomerCombined[[#This Row],[ID]], Table4[ID], Table4[Teas], "Not Found", 0)</f>
        <v>101</v>
      </c>
      <c r="L475" s="5">
        <f>_xlfn.XLOOKUP(CustomerCombined[[#This Row],[ID]], Table4[ID], Table4[Fruits], "Not Found", 0)</f>
        <v>25</v>
      </c>
      <c r="M475" s="5">
        <f>_xlfn.XLOOKUP(CustomerCombined[[#This Row],[ID]], Table4[ID], Table4[Meats], "Not Found", 0)</f>
        <v>67</v>
      </c>
      <c r="N475" s="5">
        <f>_xlfn.XLOOKUP(CustomerCombined[[#This Row],[ID]], Table4[ID], Table4[Seafood], "Not Found", 0)</f>
        <v>67</v>
      </c>
      <c r="O475" s="5">
        <f>_xlfn.XLOOKUP(CustomerCombined[[#This Row],[ID]], Table4[ID], Table4[Sweets], "Not Found", 0)</f>
        <v>0</v>
      </c>
      <c r="P475" s="5">
        <f>_xlfn.XLOOKUP(CustomerCombined[[#This Row],[ID]], Table4[ID], Table4[Premium], "Not Found", 0)</f>
        <v>143</v>
      </c>
      <c r="Q475" s="5">
        <f>_xlfn.XLOOKUP(CustomerCombined[[#This Row],[ID]], Table4[ID], Table4[Regular], "Not Found", 0)</f>
        <v>117</v>
      </c>
      <c r="R475" s="5">
        <f>_xlfn.XLOOKUP(CustomerCombined[[#This Row],[ID]], Table4[ID], Table4[Deals], "Not Found", 0)</f>
        <v>2</v>
      </c>
      <c r="S475" s="5">
        <f>_xlfn.XLOOKUP(CustomerCombined[[#This Row],[ID]], Table4[ID], Table4[Website], "Not Found", 0)</f>
        <v>2</v>
      </c>
      <c r="T475" s="5">
        <f>_xlfn.XLOOKUP(CustomerCombined[[#This Row],[ID]], Table4[ID], Table4[Catalog], "Not Found", 0)</f>
        <v>0</v>
      </c>
      <c r="U475" s="5">
        <f>_xlfn.XLOOKUP(CustomerCombined[[#This Row],[ID]], Table4[ID], Table4[Store], "Not Found", 0)</f>
        <v>3</v>
      </c>
      <c r="V475" s="5">
        <f>_xlfn.XLOOKUP(CustomerCombined[[#This Row],[ID]], Table4[ID], Table4[Visits], "Not Found", 0)</f>
        <v>7</v>
      </c>
      <c r="W475" s="8">
        <f>_xlfn.XLOOKUP(CustomerCombined[[#This Row],[ID]], Table2[ID],Table2[Complaint], "Not Found", 0 )</f>
        <v>0</v>
      </c>
      <c r="X475" s="8">
        <f>_xlfn.XLOOKUP(CustomerCombined[[#This Row],[ID]], Table2[ID],Table2[Pilot], "Not Found", 0 )</f>
        <v>0</v>
      </c>
      <c r="Y475" s="8">
        <f>_xlfn.XLOOKUP(CustomerCombined[[#This Row],[ID]], Table2[ID],Table2[MC1], "Not Found", 0 )</f>
        <v>0</v>
      </c>
      <c r="Z475" s="8">
        <f>_xlfn.XLOOKUP(CustomerCombined[[#This Row],[ID]], Table2[ID],Table2[MC2], "Not Found", 0 )</f>
        <v>0</v>
      </c>
      <c r="AA475" s="8">
        <f>_xlfn.XLOOKUP(CustomerCombined[[#This Row],[ID]], Table2[ID],Table2[MC3], "Not Found", 0 )</f>
        <v>0</v>
      </c>
      <c r="AB475" s="8">
        <f>_xlfn.XLOOKUP(CustomerCombined[[#This Row],[ID]], Table2[ID],Table2[MC4], "Not Found", 0 )</f>
        <v>0</v>
      </c>
      <c r="AC475" s="8">
        <f>_xlfn.XLOOKUP(CustomerCombined[[#This Row],[ID]], Table2[ID],Table2[MC5], "Not Found", 0 )</f>
        <v>0</v>
      </c>
    </row>
    <row r="476" spans="1:29" x14ac:dyDescent="0.3">
      <c r="A476" s="6">
        <v>2133</v>
      </c>
      <c r="B476" s="6">
        <v>107500</v>
      </c>
      <c r="C476" s="6">
        <v>0</v>
      </c>
      <c r="D476" s="6">
        <v>1</v>
      </c>
      <c r="E476" s="6">
        <v>41</v>
      </c>
      <c r="F476" s="5" t="s">
        <v>6</v>
      </c>
      <c r="G476" s="5" t="s">
        <v>11</v>
      </c>
      <c r="H476" s="3">
        <v>43526</v>
      </c>
      <c r="I476" s="5" t="s">
        <v>435</v>
      </c>
      <c r="J476" s="5">
        <f>_xlfn.XLOOKUP(CustomerCombined[[#This Row],[ID]], Table4[ID], Table4[Recency], "Not Found", 0)</f>
        <v>61</v>
      </c>
      <c r="K476" s="5">
        <f>_xlfn.XLOOKUP(CustomerCombined[[#This Row],[ID]], Table4[ID], Table4[Teas], "Not Found", 0)</f>
        <v>72</v>
      </c>
      <c r="L476" s="5">
        <f>_xlfn.XLOOKUP(CustomerCombined[[#This Row],[ID]], Table4[ID], Table4[Fruits], "Not Found", 0)</f>
        <v>29</v>
      </c>
      <c r="M476" s="5">
        <f>_xlfn.XLOOKUP(CustomerCombined[[#This Row],[ID]], Table4[ID], Table4[Meats], "Not Found", 0)</f>
        <v>43</v>
      </c>
      <c r="N476" s="5">
        <f>_xlfn.XLOOKUP(CustomerCombined[[#This Row],[ID]], Table4[ID], Table4[Seafood], "Not Found", 0)</f>
        <v>43</v>
      </c>
      <c r="O476" s="5">
        <f>_xlfn.XLOOKUP(CustomerCombined[[#This Row],[ID]], Table4[ID], Table4[Sweets], "Not Found", 0)</f>
        <v>0</v>
      </c>
      <c r="P476" s="5">
        <f>_xlfn.XLOOKUP(CustomerCombined[[#This Row],[ID]], Table4[ID], Table4[Premium], "Not Found", 0)</f>
        <v>72</v>
      </c>
      <c r="Q476" s="5">
        <f>_xlfn.XLOOKUP(CustomerCombined[[#This Row],[ID]], Table4[ID], Table4[Regular], "Not Found", 0)</f>
        <v>115</v>
      </c>
      <c r="R476" s="5">
        <f>_xlfn.XLOOKUP(CustomerCombined[[#This Row],[ID]], Table4[ID], Table4[Deals], "Not Found", 0)</f>
        <v>1</v>
      </c>
      <c r="S476" s="5">
        <f>_xlfn.XLOOKUP(CustomerCombined[[#This Row],[ID]], Table4[ID], Table4[Website], "Not Found", 0)</f>
        <v>1</v>
      </c>
      <c r="T476" s="5">
        <f>_xlfn.XLOOKUP(CustomerCombined[[#This Row],[ID]], Table4[ID], Table4[Catalog], "Not Found", 0)</f>
        <v>0</v>
      </c>
      <c r="U476" s="5">
        <f>_xlfn.XLOOKUP(CustomerCombined[[#This Row],[ID]], Table4[ID], Table4[Store], "Not Found", 0)</f>
        <v>2</v>
      </c>
      <c r="V476" s="5">
        <f>_xlfn.XLOOKUP(CustomerCombined[[#This Row],[ID]], Table4[ID], Table4[Visits], "Not Found", 0)</f>
        <v>8</v>
      </c>
      <c r="W476" s="8">
        <f>_xlfn.XLOOKUP(CustomerCombined[[#This Row],[ID]], Table2[ID],Table2[Complaint], "Not Found", 0 )</f>
        <v>0</v>
      </c>
      <c r="X476" s="8">
        <f>_xlfn.XLOOKUP(CustomerCombined[[#This Row],[ID]], Table2[ID],Table2[Pilot], "Not Found", 0 )</f>
        <v>0</v>
      </c>
      <c r="Y476" s="8">
        <f>_xlfn.XLOOKUP(CustomerCombined[[#This Row],[ID]], Table2[ID],Table2[MC1], "Not Found", 0 )</f>
        <v>0</v>
      </c>
      <c r="Z476" s="8">
        <f>_xlfn.XLOOKUP(CustomerCombined[[#This Row],[ID]], Table2[ID],Table2[MC2], "Not Found", 0 )</f>
        <v>0</v>
      </c>
      <c r="AA476" s="8">
        <f>_xlfn.XLOOKUP(CustomerCombined[[#This Row],[ID]], Table2[ID],Table2[MC3], "Not Found", 0 )</f>
        <v>0</v>
      </c>
      <c r="AB476" s="8">
        <f>_xlfn.XLOOKUP(CustomerCombined[[#This Row],[ID]], Table2[ID],Table2[MC4], "Not Found", 0 )</f>
        <v>0</v>
      </c>
      <c r="AC476" s="8">
        <f>_xlfn.XLOOKUP(CustomerCombined[[#This Row],[ID]], Table2[ID],Table2[MC5], "Not Found", 0 )</f>
        <v>0</v>
      </c>
    </row>
    <row r="477" spans="1:29" x14ac:dyDescent="0.3">
      <c r="A477" s="6">
        <v>3190</v>
      </c>
      <c r="B477" s="6">
        <v>107500</v>
      </c>
      <c r="C477" s="6">
        <v>1</v>
      </c>
      <c r="D477" s="6">
        <v>0</v>
      </c>
      <c r="E477" s="6">
        <v>41</v>
      </c>
      <c r="F477" s="5" t="s">
        <v>8</v>
      </c>
      <c r="G477" s="5" t="s">
        <v>442</v>
      </c>
      <c r="H477" s="3">
        <v>43809</v>
      </c>
      <c r="I477" s="5" t="s">
        <v>439</v>
      </c>
      <c r="J477" s="5">
        <f>_xlfn.XLOOKUP(CustomerCombined[[#This Row],[ID]], Table4[ID], Table4[Recency], "Not Found", 0)</f>
        <v>7</v>
      </c>
      <c r="K477" s="5">
        <f>_xlfn.XLOOKUP(CustomerCombined[[#This Row],[ID]], Table4[ID], Table4[Teas], "Not Found", 0)</f>
        <v>29</v>
      </c>
      <c r="L477" s="5">
        <f>_xlfn.XLOOKUP(CustomerCombined[[#This Row],[ID]], Table4[ID], Table4[Fruits], "Not Found", 0)</f>
        <v>115</v>
      </c>
      <c r="M477" s="5">
        <f>_xlfn.XLOOKUP(CustomerCombined[[#This Row],[ID]], Table4[ID], Table4[Meats], "Not Found", 0)</f>
        <v>158</v>
      </c>
      <c r="N477" s="5">
        <f>_xlfn.XLOOKUP(CustomerCombined[[#This Row],[ID]], Table4[ID], Table4[Seafood], "Not Found", 0)</f>
        <v>43</v>
      </c>
      <c r="O477" s="5">
        <f>_xlfn.XLOOKUP(CustomerCombined[[#This Row],[ID]], Table4[ID], Table4[Sweets], "Not Found", 0)</f>
        <v>115</v>
      </c>
      <c r="P477" s="5">
        <f>_xlfn.XLOOKUP(CustomerCombined[[#This Row],[ID]], Table4[ID], Table4[Premium], "Not Found", 0)</f>
        <v>301</v>
      </c>
      <c r="Q477" s="5">
        <f>_xlfn.XLOOKUP(CustomerCombined[[#This Row],[ID]], Table4[ID], Table4[Regular], "Not Found", 0)</f>
        <v>158</v>
      </c>
      <c r="R477" s="5">
        <f>_xlfn.XLOOKUP(CustomerCombined[[#This Row],[ID]], Table4[ID], Table4[Deals], "Not Found", 0)</f>
        <v>4</v>
      </c>
      <c r="S477" s="5">
        <f>_xlfn.XLOOKUP(CustomerCombined[[#This Row],[ID]], Table4[ID], Table4[Website], "Not Found", 0)</f>
        <v>3</v>
      </c>
      <c r="T477" s="5">
        <f>_xlfn.XLOOKUP(CustomerCombined[[#This Row],[ID]], Table4[ID], Table4[Catalog], "Not Found", 0)</f>
        <v>2</v>
      </c>
      <c r="U477" s="5">
        <f>_xlfn.XLOOKUP(CustomerCombined[[#This Row],[ID]], Table4[ID], Table4[Store], "Not Found", 0)</f>
        <v>2</v>
      </c>
      <c r="V477" s="5">
        <f>_xlfn.XLOOKUP(CustomerCombined[[#This Row],[ID]], Table4[ID], Table4[Visits], "Not Found", 0)</f>
        <v>7</v>
      </c>
      <c r="W477" s="8">
        <f>_xlfn.XLOOKUP(CustomerCombined[[#This Row],[ID]], Table2[ID],Table2[Complaint], "Not Found", 0 )</f>
        <v>0</v>
      </c>
      <c r="X477" s="8">
        <f>_xlfn.XLOOKUP(CustomerCombined[[#This Row],[ID]], Table2[ID],Table2[Pilot], "Not Found", 0 )</f>
        <v>0</v>
      </c>
      <c r="Y477" s="8">
        <f>_xlfn.XLOOKUP(CustomerCombined[[#This Row],[ID]], Table2[ID],Table2[MC1], "Not Found", 0 )</f>
        <v>0</v>
      </c>
      <c r="Z477" s="8">
        <f>_xlfn.XLOOKUP(CustomerCombined[[#This Row],[ID]], Table2[ID],Table2[MC2], "Not Found", 0 )</f>
        <v>0</v>
      </c>
      <c r="AA477" s="8">
        <f>_xlfn.XLOOKUP(CustomerCombined[[#This Row],[ID]], Table2[ID],Table2[MC3], "Not Found", 0 )</f>
        <v>0</v>
      </c>
      <c r="AB477" s="8">
        <f>_xlfn.XLOOKUP(CustomerCombined[[#This Row],[ID]], Table2[ID],Table2[MC4], "Not Found", 0 )</f>
        <v>0</v>
      </c>
      <c r="AC477" s="8">
        <f>_xlfn.XLOOKUP(CustomerCombined[[#This Row],[ID]], Table2[ID],Table2[MC5], "Not Found", 0 )</f>
        <v>0</v>
      </c>
    </row>
    <row r="478" spans="1:29" x14ac:dyDescent="0.3">
      <c r="A478" s="6">
        <v>1021</v>
      </c>
      <c r="B478" s="6">
        <v>102447</v>
      </c>
      <c r="C478" s="6">
        <v>1</v>
      </c>
      <c r="D478" s="6">
        <v>0</v>
      </c>
      <c r="E478" s="6">
        <v>41</v>
      </c>
      <c r="F478" s="5" t="s">
        <v>6</v>
      </c>
      <c r="G478" s="5" t="s">
        <v>11</v>
      </c>
      <c r="H478" s="3" t="s">
        <v>334</v>
      </c>
      <c r="I478" s="5" t="s">
        <v>437</v>
      </c>
      <c r="J478" s="5">
        <f>_xlfn.XLOOKUP(CustomerCombined[[#This Row],[ID]], Table4[ID], Table4[Recency], "Not Found", 0)</f>
        <v>42</v>
      </c>
      <c r="K478" s="5">
        <f>_xlfn.XLOOKUP(CustomerCombined[[#This Row],[ID]], Table4[ID], Table4[Teas], "Not Found", 0)</f>
        <v>42</v>
      </c>
      <c r="L478" s="5">
        <f>_xlfn.XLOOKUP(CustomerCombined[[#This Row],[ID]], Table4[ID], Table4[Fruits], "Not Found", 0)</f>
        <v>42</v>
      </c>
      <c r="M478" s="5">
        <f>_xlfn.XLOOKUP(CustomerCombined[[#This Row],[ID]], Table4[ID], Table4[Meats], "Not Found", 0)</f>
        <v>72219</v>
      </c>
      <c r="N478" s="5">
        <f>_xlfn.XLOOKUP(CustomerCombined[[#This Row],[ID]], Table4[ID], Table4[Seafood], "Not Found", 0)</f>
        <v>42</v>
      </c>
      <c r="O478" s="5">
        <f>_xlfn.XLOOKUP(CustomerCombined[[#This Row],[ID]], Table4[ID], Table4[Sweets], "Not Found", 0)</f>
        <v>42</v>
      </c>
      <c r="P478" s="5">
        <f>_xlfn.XLOOKUP(CustomerCombined[[#This Row],[ID]], Table4[ID], Table4[Premium], "Not Found", 0)</f>
        <v>42</v>
      </c>
      <c r="Q478" s="5">
        <f>_xlfn.XLOOKUP(CustomerCombined[[#This Row],[ID]], Table4[ID], Table4[Regular], "Not Found", 0)</f>
        <v>72345</v>
      </c>
      <c r="R478" s="5">
        <f>_xlfn.XLOOKUP(CustomerCombined[[#This Row],[ID]], Table4[ID], Table4[Deals], "Not Found", 0)</f>
        <v>15</v>
      </c>
      <c r="S478" s="5">
        <f>_xlfn.XLOOKUP(CustomerCombined[[#This Row],[ID]], Table4[ID], Table4[Website], "Not Found", 0)</f>
        <v>0</v>
      </c>
      <c r="T478" s="5">
        <f>_xlfn.XLOOKUP(CustomerCombined[[#This Row],[ID]], Table4[ID], Table4[Catalog], "Not Found", 0)</f>
        <v>28</v>
      </c>
      <c r="U478" s="5">
        <f>_xlfn.XLOOKUP(CustomerCombined[[#This Row],[ID]], Table4[ID], Table4[Store], "Not Found", 0)</f>
        <v>0</v>
      </c>
      <c r="V478" s="5">
        <f>_xlfn.XLOOKUP(CustomerCombined[[#This Row],[ID]], Table4[ID], Table4[Visits], "Not Found", 0)</f>
        <v>1</v>
      </c>
      <c r="W478" s="8">
        <f>_xlfn.XLOOKUP(CustomerCombined[[#This Row],[ID]], Table2[ID],Table2[Complaint], "Not Found", 0 )</f>
        <v>0</v>
      </c>
      <c r="X478" s="8">
        <f>_xlfn.XLOOKUP(CustomerCombined[[#This Row],[ID]], Table2[ID],Table2[Pilot], "Not Found", 0 )</f>
        <v>0</v>
      </c>
      <c r="Y478" s="8">
        <f>_xlfn.XLOOKUP(CustomerCombined[[#This Row],[ID]], Table2[ID],Table2[MC1], "Not Found", 0 )</f>
        <v>0</v>
      </c>
      <c r="Z478" s="8">
        <f>_xlfn.XLOOKUP(CustomerCombined[[#This Row],[ID]], Table2[ID],Table2[MC2], "Not Found", 0 )</f>
        <v>0</v>
      </c>
      <c r="AA478" s="8">
        <f>_xlfn.XLOOKUP(CustomerCombined[[#This Row],[ID]], Table2[ID],Table2[MC3], "Not Found", 0 )</f>
        <v>0</v>
      </c>
      <c r="AB478" s="8">
        <f>_xlfn.XLOOKUP(CustomerCombined[[#This Row],[ID]], Table2[ID],Table2[MC4], "Not Found", 0 )</f>
        <v>0</v>
      </c>
      <c r="AC478" s="8">
        <f>_xlfn.XLOOKUP(CustomerCombined[[#This Row],[ID]], Table2[ID],Table2[MC5], "Not Found", 0 )</f>
        <v>0</v>
      </c>
    </row>
    <row r="479" spans="1:29" x14ac:dyDescent="0.3">
      <c r="A479" s="6">
        <v>2314</v>
      </c>
      <c r="B479" s="6">
        <v>188097</v>
      </c>
      <c r="C479" s="6">
        <v>1</v>
      </c>
      <c r="D479" s="6">
        <v>0</v>
      </c>
      <c r="E479" s="6">
        <v>42</v>
      </c>
      <c r="F479" s="5" t="s">
        <v>6</v>
      </c>
      <c r="G479" s="5" t="s">
        <v>12</v>
      </c>
      <c r="H479" s="3" t="s">
        <v>410</v>
      </c>
      <c r="I479" s="5" t="s">
        <v>439</v>
      </c>
      <c r="J479" s="5">
        <f>_xlfn.XLOOKUP(CustomerCombined[[#This Row],[ID]], Table4[ID], Table4[Recency], "Not Found", 0)</f>
        <v>24</v>
      </c>
      <c r="K479" s="5">
        <f>_xlfn.XLOOKUP(CustomerCombined[[#This Row],[ID]], Table4[ID], Table4[Teas], "Not Found", 0)</f>
        <v>348</v>
      </c>
      <c r="L479" s="5">
        <f>_xlfn.XLOOKUP(CustomerCombined[[#This Row],[ID]], Table4[ID], Table4[Fruits], "Not Found", 0)</f>
        <v>0</v>
      </c>
      <c r="M479" s="5">
        <f>_xlfn.XLOOKUP(CustomerCombined[[#This Row],[ID]], Table4[ID], Table4[Meats], "Not Found", 0)</f>
        <v>1025</v>
      </c>
      <c r="N479" s="5">
        <f>_xlfn.XLOOKUP(CustomerCombined[[#This Row],[ID]], Table4[ID], Table4[Seafood], "Not Found", 0)</f>
        <v>0</v>
      </c>
      <c r="O479" s="5">
        <f>_xlfn.XLOOKUP(CustomerCombined[[#This Row],[ID]], Table4[ID], Table4[Sweets], "Not Found", 0)</f>
        <v>269</v>
      </c>
      <c r="P479" s="5">
        <f>_xlfn.XLOOKUP(CustomerCombined[[#This Row],[ID]], Table4[ID], Table4[Premium], "Not Found", 0)</f>
        <v>160</v>
      </c>
      <c r="Q479" s="5">
        <f>_xlfn.XLOOKUP(CustomerCombined[[#This Row],[ID]], Table4[ID], Table4[Regular], "Not Found", 0)</f>
        <v>1482</v>
      </c>
      <c r="R479" s="5">
        <f>_xlfn.XLOOKUP(CustomerCombined[[#This Row],[ID]], Table4[ID], Table4[Deals], "Not Found", 0)</f>
        <v>1</v>
      </c>
      <c r="S479" s="5">
        <f>_xlfn.XLOOKUP(CustomerCombined[[#This Row],[ID]], Table4[ID], Table4[Website], "Not Found", 0)</f>
        <v>6</v>
      </c>
      <c r="T479" s="5">
        <f>_xlfn.XLOOKUP(CustomerCombined[[#This Row],[ID]], Table4[ID], Table4[Catalog], "Not Found", 0)</f>
        <v>5</v>
      </c>
      <c r="U479" s="5">
        <f>_xlfn.XLOOKUP(CustomerCombined[[#This Row],[ID]], Table4[ID], Table4[Store], "Not Found", 0)</f>
        <v>8</v>
      </c>
      <c r="V479" s="5">
        <f>_xlfn.XLOOKUP(CustomerCombined[[#This Row],[ID]], Table4[ID], Table4[Visits], "Not Found", 0)</f>
        <v>9</v>
      </c>
      <c r="W479" s="8">
        <f>_xlfn.XLOOKUP(CustomerCombined[[#This Row],[ID]], Table2[ID],Table2[Complaint], "Not Found", 0 )</f>
        <v>0</v>
      </c>
      <c r="X479" s="8">
        <f>_xlfn.XLOOKUP(CustomerCombined[[#This Row],[ID]], Table2[ID],Table2[Pilot], "Not Found", 0 )</f>
        <v>1</v>
      </c>
      <c r="Y479" s="8">
        <f>_xlfn.XLOOKUP(CustomerCombined[[#This Row],[ID]], Table2[ID],Table2[MC1], "Not Found", 0 )</f>
        <v>1</v>
      </c>
      <c r="Z479" s="8">
        <f>_xlfn.XLOOKUP(CustomerCombined[[#This Row],[ID]], Table2[ID],Table2[MC2], "Not Found", 0 )</f>
        <v>0</v>
      </c>
      <c r="AA479" s="8">
        <f>_xlfn.XLOOKUP(CustomerCombined[[#This Row],[ID]], Table2[ID],Table2[MC3], "Not Found", 0 )</f>
        <v>0</v>
      </c>
      <c r="AB479" s="8">
        <f>_xlfn.XLOOKUP(CustomerCombined[[#This Row],[ID]], Table2[ID],Table2[MC4], "Not Found", 0 )</f>
        <v>1</v>
      </c>
      <c r="AC479" s="8">
        <f>_xlfn.XLOOKUP(CustomerCombined[[#This Row],[ID]], Table2[ID],Table2[MC5], "Not Found", 0 )</f>
        <v>1</v>
      </c>
    </row>
    <row r="480" spans="1:29" x14ac:dyDescent="0.3">
      <c r="A480" s="6">
        <v>2944</v>
      </c>
      <c r="B480" s="6">
        <v>185738</v>
      </c>
      <c r="C480" s="6">
        <v>0</v>
      </c>
      <c r="D480" s="6">
        <v>0</v>
      </c>
      <c r="E480" s="6">
        <v>42</v>
      </c>
      <c r="F480" s="5" t="s">
        <v>8</v>
      </c>
      <c r="G480" s="5" t="s">
        <v>12</v>
      </c>
      <c r="H480" s="3" t="s">
        <v>109</v>
      </c>
      <c r="I480" s="5" t="s">
        <v>439</v>
      </c>
      <c r="J480" s="5">
        <f>_xlfn.XLOOKUP(CustomerCombined[[#This Row],[ID]], Table4[ID], Table4[Recency], "Not Found", 0)</f>
        <v>41</v>
      </c>
      <c r="K480" s="5">
        <f>_xlfn.XLOOKUP(CustomerCombined[[#This Row],[ID]], Table4[ID], Table4[Teas], "Not Found", 0)</f>
        <v>1978</v>
      </c>
      <c r="L480" s="5">
        <f>_xlfn.XLOOKUP(CustomerCombined[[#This Row],[ID]], Table4[ID], Table4[Fruits], "Not Found", 0)</f>
        <v>56</v>
      </c>
      <c r="M480" s="5">
        <f>_xlfn.XLOOKUP(CustomerCombined[[#This Row],[ID]], Table4[ID], Table4[Meats], "Not Found", 0)</f>
        <v>815</v>
      </c>
      <c r="N480" s="5">
        <f>_xlfn.XLOOKUP(CustomerCombined[[#This Row],[ID]], Table4[ID], Table4[Seafood], "Not Found", 0)</f>
        <v>37</v>
      </c>
      <c r="O480" s="5">
        <f>_xlfn.XLOOKUP(CustomerCombined[[#This Row],[ID]], Table4[ID], Table4[Sweets], "Not Found", 0)</f>
        <v>56</v>
      </c>
      <c r="P480" s="5">
        <f>_xlfn.XLOOKUP(CustomerCombined[[#This Row],[ID]], Table4[ID], Table4[Premium], "Not Found", 0)</f>
        <v>28</v>
      </c>
      <c r="Q480" s="5">
        <f>_xlfn.XLOOKUP(CustomerCombined[[#This Row],[ID]], Table4[ID], Table4[Regular], "Not Found", 0)</f>
        <v>2914</v>
      </c>
      <c r="R480" s="5">
        <f>_xlfn.XLOOKUP(CustomerCombined[[#This Row],[ID]], Table4[ID], Table4[Deals], "Not Found", 0)</f>
        <v>1</v>
      </c>
      <c r="S480" s="5">
        <f>_xlfn.XLOOKUP(CustomerCombined[[#This Row],[ID]], Table4[ID], Table4[Website], "Not Found", 0)</f>
        <v>3</v>
      </c>
      <c r="T480" s="5">
        <f>_xlfn.XLOOKUP(CustomerCombined[[#This Row],[ID]], Table4[ID], Table4[Catalog], "Not Found", 0)</f>
        <v>6</v>
      </c>
      <c r="U480" s="5">
        <f>_xlfn.XLOOKUP(CustomerCombined[[#This Row],[ID]], Table4[ID], Table4[Store], "Not Found", 0)</f>
        <v>11</v>
      </c>
      <c r="V480" s="5">
        <f>_xlfn.XLOOKUP(CustomerCombined[[#This Row],[ID]], Table4[ID], Table4[Visits], "Not Found", 0)</f>
        <v>1</v>
      </c>
      <c r="W480" s="8">
        <f>_xlfn.XLOOKUP(CustomerCombined[[#This Row],[ID]], Table2[ID],Table2[Complaint], "Not Found", 0 )</f>
        <v>0</v>
      </c>
      <c r="X480" s="8">
        <f>_xlfn.XLOOKUP(CustomerCombined[[#This Row],[ID]], Table2[ID],Table2[Pilot], "Not Found", 0 )</f>
        <v>0</v>
      </c>
      <c r="Y480" s="8">
        <f>_xlfn.XLOOKUP(CustomerCombined[[#This Row],[ID]], Table2[ID],Table2[MC1], "Not Found", 0 )</f>
        <v>0</v>
      </c>
      <c r="Z480" s="8">
        <f>_xlfn.XLOOKUP(CustomerCombined[[#This Row],[ID]], Table2[ID],Table2[MC2], "Not Found", 0 )</f>
        <v>0</v>
      </c>
      <c r="AA480" s="8">
        <f>_xlfn.XLOOKUP(CustomerCombined[[#This Row],[ID]], Table2[ID],Table2[MC3], "Not Found", 0 )</f>
        <v>0</v>
      </c>
      <c r="AB480" s="8">
        <f>_xlfn.XLOOKUP(CustomerCombined[[#This Row],[ID]], Table2[ID],Table2[MC4], "Not Found", 0 )</f>
        <v>1</v>
      </c>
      <c r="AC480" s="8">
        <f>_xlfn.XLOOKUP(CustomerCombined[[#This Row],[ID]], Table2[ID],Table2[MC5], "Not Found", 0 )</f>
        <v>1</v>
      </c>
    </row>
    <row r="481" spans="1:29" x14ac:dyDescent="0.3">
      <c r="A481" s="6">
        <v>1967</v>
      </c>
      <c r="B481" s="6">
        <v>182170</v>
      </c>
      <c r="C481" s="6">
        <v>0</v>
      </c>
      <c r="D481" s="6">
        <v>0</v>
      </c>
      <c r="E481" s="6">
        <v>42</v>
      </c>
      <c r="F481" s="5" t="s">
        <v>6</v>
      </c>
      <c r="G481" s="5" t="s">
        <v>13</v>
      </c>
      <c r="H481" s="3">
        <v>43835</v>
      </c>
      <c r="I481" s="5" t="s">
        <v>434</v>
      </c>
      <c r="J481" s="5">
        <f>_xlfn.XLOOKUP(CustomerCombined[[#This Row],[ID]], Table4[ID], Table4[Recency], "Not Found", 0)</f>
        <v>13</v>
      </c>
      <c r="K481" s="5">
        <f>_xlfn.XLOOKUP(CustomerCombined[[#This Row],[ID]], Table4[ID], Table4[Teas], "Not Found", 0)</f>
        <v>2268</v>
      </c>
      <c r="L481" s="5">
        <f>_xlfn.XLOOKUP(CustomerCombined[[#This Row],[ID]], Table4[ID], Table4[Fruits], "Not Found", 0)</f>
        <v>206</v>
      </c>
      <c r="M481" s="5">
        <f>_xlfn.XLOOKUP(CustomerCombined[[#This Row],[ID]], Table4[ID], Table4[Meats], "Not Found", 0)</f>
        <v>1443</v>
      </c>
      <c r="N481" s="5">
        <f>_xlfn.XLOOKUP(CustomerCombined[[#This Row],[ID]], Table4[ID], Table4[Seafood], "Not Found", 0)</f>
        <v>109</v>
      </c>
      <c r="O481" s="5">
        <f>_xlfn.XLOOKUP(CustomerCombined[[#This Row],[ID]], Table4[ID], Table4[Sweets], "Not Found", 0)</f>
        <v>122</v>
      </c>
      <c r="P481" s="5">
        <f>_xlfn.XLOOKUP(CustomerCombined[[#This Row],[ID]], Table4[ID], Table4[Premium], "Not Found", 0)</f>
        <v>82</v>
      </c>
      <c r="Q481" s="5">
        <f>_xlfn.XLOOKUP(CustomerCombined[[#This Row],[ID]], Table4[ID], Table4[Regular], "Not Found", 0)</f>
        <v>4066</v>
      </c>
      <c r="R481" s="5">
        <f>_xlfn.XLOOKUP(CustomerCombined[[#This Row],[ID]], Table4[ID], Table4[Deals], "Not Found", 0)</f>
        <v>1</v>
      </c>
      <c r="S481" s="5">
        <f>_xlfn.XLOOKUP(CustomerCombined[[#This Row],[ID]], Table4[ID], Table4[Website], "Not Found", 0)</f>
        <v>5</v>
      </c>
      <c r="T481" s="5">
        <f>_xlfn.XLOOKUP(CustomerCombined[[#This Row],[ID]], Table4[ID], Table4[Catalog], "Not Found", 0)</f>
        <v>6</v>
      </c>
      <c r="U481" s="5">
        <f>_xlfn.XLOOKUP(CustomerCombined[[#This Row],[ID]], Table4[ID], Table4[Store], "Not Found", 0)</f>
        <v>7</v>
      </c>
      <c r="V481" s="5">
        <f>_xlfn.XLOOKUP(CustomerCombined[[#This Row],[ID]], Table4[ID], Table4[Visits], "Not Found", 0)</f>
        <v>2</v>
      </c>
      <c r="W481" s="8">
        <f>_xlfn.XLOOKUP(CustomerCombined[[#This Row],[ID]], Table2[ID],Table2[Complaint], "Not Found", 0 )</f>
        <v>0</v>
      </c>
      <c r="X481" s="8">
        <f>_xlfn.XLOOKUP(CustomerCombined[[#This Row],[ID]], Table2[ID],Table2[Pilot], "Not Found", 0 )</f>
        <v>0</v>
      </c>
      <c r="Y481" s="8">
        <f>_xlfn.XLOOKUP(CustomerCombined[[#This Row],[ID]], Table2[ID],Table2[MC1], "Not Found", 0 )</f>
        <v>0</v>
      </c>
      <c r="Z481" s="8">
        <f>_xlfn.XLOOKUP(CustomerCombined[[#This Row],[ID]], Table2[ID],Table2[MC2], "Not Found", 0 )</f>
        <v>0</v>
      </c>
      <c r="AA481" s="8">
        <f>_xlfn.XLOOKUP(CustomerCombined[[#This Row],[ID]], Table2[ID],Table2[MC3], "Not Found", 0 )</f>
        <v>0</v>
      </c>
      <c r="AB481" s="8">
        <f>_xlfn.XLOOKUP(CustomerCombined[[#This Row],[ID]], Table2[ID],Table2[MC4], "Not Found", 0 )</f>
        <v>0</v>
      </c>
      <c r="AC481" s="8">
        <f>_xlfn.XLOOKUP(CustomerCombined[[#This Row],[ID]], Table2[ID],Table2[MC5], "Not Found", 0 )</f>
        <v>0</v>
      </c>
    </row>
    <row r="482" spans="1:29" x14ac:dyDescent="0.3">
      <c r="A482" s="6">
        <v>1907</v>
      </c>
      <c r="B482" s="6">
        <v>177583</v>
      </c>
      <c r="C482" s="6">
        <v>0</v>
      </c>
      <c r="D482" s="6">
        <v>0</v>
      </c>
      <c r="E482" s="6">
        <v>42</v>
      </c>
      <c r="F482" s="5" t="s">
        <v>6</v>
      </c>
      <c r="G482" s="5" t="s">
        <v>11</v>
      </c>
      <c r="H482" s="3" t="s">
        <v>103</v>
      </c>
      <c r="I482" s="5" t="s">
        <v>434</v>
      </c>
      <c r="J482" s="5">
        <f>_xlfn.XLOOKUP(CustomerCombined[[#This Row],[ID]], Table4[ID], Table4[Recency], "Not Found", 0)</f>
        <v>93</v>
      </c>
      <c r="K482" s="5">
        <f>_xlfn.XLOOKUP(CustomerCombined[[#This Row],[ID]], Table4[ID], Table4[Teas], "Not Found", 0)</f>
        <v>851</v>
      </c>
      <c r="L482" s="5">
        <f>_xlfn.XLOOKUP(CustomerCombined[[#This Row],[ID]], Table4[ID], Table4[Fruits], "Not Found", 0)</f>
        <v>53</v>
      </c>
      <c r="M482" s="5">
        <f>_xlfn.XLOOKUP(CustomerCombined[[#This Row],[ID]], Table4[ID], Table4[Meats], "Not Found", 0)</f>
        <v>879</v>
      </c>
      <c r="N482" s="5">
        <f>_xlfn.XLOOKUP(CustomerCombined[[#This Row],[ID]], Table4[ID], Table4[Seafood], "Not Found", 0)</f>
        <v>572</v>
      </c>
      <c r="O482" s="5">
        <f>_xlfn.XLOOKUP(CustomerCombined[[#This Row],[ID]], Table4[ID], Table4[Sweets], "Not Found", 0)</f>
        <v>27</v>
      </c>
      <c r="P482" s="5">
        <f>_xlfn.XLOOKUP(CustomerCombined[[#This Row],[ID]], Table4[ID], Table4[Premium], "Not Found", 0)</f>
        <v>247</v>
      </c>
      <c r="Q482" s="5">
        <f>_xlfn.XLOOKUP(CustomerCombined[[#This Row],[ID]], Table4[ID], Table4[Regular], "Not Found", 0)</f>
        <v>2136</v>
      </c>
      <c r="R482" s="5">
        <f>_xlfn.XLOOKUP(CustomerCombined[[#This Row],[ID]], Table4[ID], Table4[Deals], "Not Found", 0)</f>
        <v>1</v>
      </c>
      <c r="S482" s="5">
        <f>_xlfn.XLOOKUP(CustomerCombined[[#This Row],[ID]], Table4[ID], Table4[Website], "Not Found", 0)</f>
        <v>4</v>
      </c>
      <c r="T482" s="5">
        <f>_xlfn.XLOOKUP(CustomerCombined[[#This Row],[ID]], Table4[ID], Table4[Catalog], "Not Found", 0)</f>
        <v>5</v>
      </c>
      <c r="U482" s="5">
        <f>_xlfn.XLOOKUP(CustomerCombined[[#This Row],[ID]], Table4[ID], Table4[Store], "Not Found", 0)</f>
        <v>9</v>
      </c>
      <c r="V482" s="5">
        <f>_xlfn.XLOOKUP(CustomerCombined[[#This Row],[ID]], Table4[ID], Table4[Visits], "Not Found", 0)</f>
        <v>2</v>
      </c>
      <c r="W482" s="8">
        <f>_xlfn.XLOOKUP(CustomerCombined[[#This Row],[ID]], Table2[ID],Table2[Complaint], "Not Found", 0 )</f>
        <v>0</v>
      </c>
      <c r="X482" s="8">
        <f>_xlfn.XLOOKUP(CustomerCombined[[#This Row],[ID]], Table2[ID],Table2[Pilot], "Not Found", 0 )</f>
        <v>0</v>
      </c>
      <c r="Y482" s="8">
        <f>_xlfn.XLOOKUP(CustomerCombined[[#This Row],[ID]], Table2[ID],Table2[MC1], "Not Found", 0 )</f>
        <v>1</v>
      </c>
      <c r="Z482" s="8">
        <f>_xlfn.XLOOKUP(CustomerCombined[[#This Row],[ID]], Table2[ID],Table2[MC2], "Not Found", 0 )</f>
        <v>0</v>
      </c>
      <c r="AA482" s="8">
        <f>_xlfn.XLOOKUP(CustomerCombined[[#This Row],[ID]], Table2[ID],Table2[MC3], "Not Found", 0 )</f>
        <v>0</v>
      </c>
      <c r="AB482" s="8">
        <f>_xlfn.XLOOKUP(CustomerCombined[[#This Row],[ID]], Table2[ID],Table2[MC4], "Not Found", 0 )</f>
        <v>0</v>
      </c>
      <c r="AC482" s="8">
        <f>_xlfn.XLOOKUP(CustomerCombined[[#This Row],[ID]], Table2[ID],Table2[MC5], "Not Found", 0 )</f>
        <v>0</v>
      </c>
    </row>
    <row r="483" spans="1:29" x14ac:dyDescent="0.3">
      <c r="A483" s="6">
        <v>1977</v>
      </c>
      <c r="B483" s="6">
        <v>175437</v>
      </c>
      <c r="C483" s="6">
        <v>0</v>
      </c>
      <c r="D483" s="6">
        <v>0</v>
      </c>
      <c r="E483" s="6">
        <v>42</v>
      </c>
      <c r="F483" s="5" t="s">
        <v>8</v>
      </c>
      <c r="G483" s="5" t="s">
        <v>11</v>
      </c>
      <c r="H483" s="3" t="s">
        <v>154</v>
      </c>
      <c r="I483" s="5" t="s">
        <v>435</v>
      </c>
      <c r="J483" s="5">
        <f>_xlfn.XLOOKUP(CustomerCombined[[#This Row],[ID]], Table4[ID], Table4[Recency], "Not Found", 0)</f>
        <v>25</v>
      </c>
      <c r="K483" s="5">
        <f>_xlfn.XLOOKUP(CustomerCombined[[#This Row],[ID]], Table4[ID], Table4[Teas], "Not Found", 0)</f>
        <v>1849</v>
      </c>
      <c r="L483" s="5">
        <f>_xlfn.XLOOKUP(CustomerCombined[[#This Row],[ID]], Table4[ID], Table4[Fruits], "Not Found", 0)</f>
        <v>0</v>
      </c>
      <c r="M483" s="5">
        <f>_xlfn.XLOOKUP(CustomerCombined[[#This Row],[ID]], Table4[ID], Table4[Meats], "Not Found", 0)</f>
        <v>1267</v>
      </c>
      <c r="N483" s="5">
        <f>_xlfn.XLOOKUP(CustomerCombined[[#This Row],[ID]], Table4[ID], Table4[Seafood], "Not Found", 0)</f>
        <v>221</v>
      </c>
      <c r="O483" s="5">
        <f>_xlfn.XLOOKUP(CustomerCombined[[#This Row],[ID]], Table4[ID], Table4[Sweets], "Not Found", 0)</f>
        <v>135</v>
      </c>
      <c r="P483" s="5">
        <f>_xlfn.XLOOKUP(CustomerCombined[[#This Row],[ID]], Table4[ID], Table4[Premium], "Not Found", 0)</f>
        <v>0</v>
      </c>
      <c r="Q483" s="5">
        <f>_xlfn.XLOOKUP(CustomerCombined[[#This Row],[ID]], Table4[ID], Table4[Regular], "Not Found", 0)</f>
        <v>3472</v>
      </c>
      <c r="R483" s="5">
        <f>_xlfn.XLOOKUP(CustomerCombined[[#This Row],[ID]], Table4[ID], Table4[Deals], "Not Found", 0)</f>
        <v>1</v>
      </c>
      <c r="S483" s="5">
        <f>_xlfn.XLOOKUP(CustomerCombined[[#This Row],[ID]], Table4[ID], Table4[Website], "Not Found", 0)</f>
        <v>8</v>
      </c>
      <c r="T483" s="5">
        <f>_xlfn.XLOOKUP(CustomerCombined[[#This Row],[ID]], Table4[ID], Table4[Catalog], "Not Found", 0)</f>
        <v>4</v>
      </c>
      <c r="U483" s="5">
        <f>_xlfn.XLOOKUP(CustomerCombined[[#This Row],[ID]], Table4[ID], Table4[Store], "Not Found", 0)</f>
        <v>10</v>
      </c>
      <c r="V483" s="5">
        <f>_xlfn.XLOOKUP(CustomerCombined[[#This Row],[ID]], Table4[ID], Table4[Visits], "Not Found", 0)</f>
        <v>6</v>
      </c>
      <c r="W483" s="8">
        <f>_xlfn.XLOOKUP(CustomerCombined[[#This Row],[ID]], Table2[ID],Table2[Complaint], "Not Found", 0 )</f>
        <v>0</v>
      </c>
      <c r="X483" s="8">
        <f>_xlfn.XLOOKUP(CustomerCombined[[#This Row],[ID]], Table2[ID],Table2[Pilot], "Not Found", 0 )</f>
        <v>0</v>
      </c>
      <c r="Y483" s="8">
        <f>_xlfn.XLOOKUP(CustomerCombined[[#This Row],[ID]], Table2[ID],Table2[MC1], "Not Found", 0 )</f>
        <v>1</v>
      </c>
      <c r="Z483" s="8">
        <f>_xlfn.XLOOKUP(CustomerCombined[[#This Row],[ID]], Table2[ID],Table2[MC2], "Not Found", 0 )</f>
        <v>0</v>
      </c>
      <c r="AA483" s="8">
        <f>_xlfn.XLOOKUP(CustomerCombined[[#This Row],[ID]], Table2[ID],Table2[MC3], "Not Found", 0 )</f>
        <v>0</v>
      </c>
      <c r="AB483" s="8">
        <f>_xlfn.XLOOKUP(CustomerCombined[[#This Row],[ID]], Table2[ID],Table2[MC4], "Not Found", 0 )</f>
        <v>0</v>
      </c>
      <c r="AC483" s="8">
        <f>_xlfn.XLOOKUP(CustomerCombined[[#This Row],[ID]], Table2[ID],Table2[MC5], "Not Found", 0 )</f>
        <v>0</v>
      </c>
    </row>
    <row r="484" spans="1:29" x14ac:dyDescent="0.3">
      <c r="A484" s="6">
        <v>3171</v>
      </c>
      <c r="B484" s="6">
        <v>173807</v>
      </c>
      <c r="C484" s="6">
        <v>0</v>
      </c>
      <c r="D484" s="6">
        <v>1</v>
      </c>
      <c r="E484" s="6">
        <v>42</v>
      </c>
      <c r="F484" s="5" t="s">
        <v>6</v>
      </c>
      <c r="G484" s="5" t="s">
        <v>11</v>
      </c>
      <c r="H484" s="3">
        <v>43714</v>
      </c>
      <c r="I484" s="5" t="s">
        <v>435</v>
      </c>
      <c r="J484" s="5">
        <f>_xlfn.XLOOKUP(CustomerCombined[[#This Row],[ID]], Table4[ID], Table4[Recency], "Not Found", 0)</f>
        <v>88</v>
      </c>
      <c r="K484" s="5">
        <f>_xlfn.XLOOKUP(CustomerCombined[[#This Row],[ID]], Table4[ID], Table4[Teas], "Not Found", 0)</f>
        <v>862</v>
      </c>
      <c r="L484" s="5">
        <f>_xlfn.XLOOKUP(CustomerCombined[[#This Row],[ID]], Table4[ID], Table4[Fruits], "Not Found", 0)</f>
        <v>292</v>
      </c>
      <c r="M484" s="5">
        <f>_xlfn.XLOOKUP(CustomerCombined[[#This Row],[ID]], Table4[ID], Table4[Meats], "Not Found", 0)</f>
        <v>367</v>
      </c>
      <c r="N484" s="5">
        <f>_xlfn.XLOOKUP(CustomerCombined[[#This Row],[ID]], Table4[ID], Table4[Seafood], "Not Found", 0)</f>
        <v>167</v>
      </c>
      <c r="O484" s="5">
        <f>_xlfn.XLOOKUP(CustomerCombined[[#This Row],[ID]], Table4[ID], Table4[Sweets], "Not Found", 0)</f>
        <v>184</v>
      </c>
      <c r="P484" s="5">
        <f>_xlfn.XLOOKUP(CustomerCombined[[#This Row],[ID]], Table4[ID], Table4[Premium], "Not Found", 0)</f>
        <v>127</v>
      </c>
      <c r="Q484" s="5">
        <f>_xlfn.XLOOKUP(CustomerCombined[[#This Row],[ID]], Table4[ID], Table4[Regular], "Not Found", 0)</f>
        <v>1745</v>
      </c>
      <c r="R484" s="5">
        <f>_xlfn.XLOOKUP(CustomerCombined[[#This Row],[ID]], Table4[ID], Table4[Deals], "Not Found", 0)</f>
        <v>2</v>
      </c>
      <c r="S484" s="5">
        <f>_xlfn.XLOOKUP(CustomerCombined[[#This Row],[ID]], Table4[ID], Table4[Website], "Not Found", 0)</f>
        <v>5</v>
      </c>
      <c r="T484" s="5">
        <f>_xlfn.XLOOKUP(CustomerCombined[[#This Row],[ID]], Table4[ID], Table4[Catalog], "Not Found", 0)</f>
        <v>5</v>
      </c>
      <c r="U484" s="5">
        <f>_xlfn.XLOOKUP(CustomerCombined[[#This Row],[ID]], Table4[ID], Table4[Store], "Not Found", 0)</f>
        <v>11</v>
      </c>
      <c r="V484" s="5">
        <f>_xlfn.XLOOKUP(CustomerCombined[[#This Row],[ID]], Table4[ID], Table4[Visits], "Not Found", 0)</f>
        <v>2</v>
      </c>
      <c r="W484" s="8">
        <f>_xlfn.XLOOKUP(CustomerCombined[[#This Row],[ID]], Table2[ID],Table2[Complaint], "Not Found", 0 )</f>
        <v>0</v>
      </c>
      <c r="X484" s="8">
        <f>_xlfn.XLOOKUP(CustomerCombined[[#This Row],[ID]], Table2[ID],Table2[Pilot], "Not Found", 0 )</f>
        <v>0</v>
      </c>
      <c r="Y484" s="8">
        <f>_xlfn.XLOOKUP(CustomerCombined[[#This Row],[ID]], Table2[ID],Table2[MC1], "Not Found", 0 )</f>
        <v>0</v>
      </c>
      <c r="Z484" s="8">
        <f>_xlfn.XLOOKUP(CustomerCombined[[#This Row],[ID]], Table2[ID],Table2[MC2], "Not Found", 0 )</f>
        <v>0</v>
      </c>
      <c r="AA484" s="8">
        <f>_xlfn.XLOOKUP(CustomerCombined[[#This Row],[ID]], Table2[ID],Table2[MC3], "Not Found", 0 )</f>
        <v>0</v>
      </c>
      <c r="AB484" s="8">
        <f>_xlfn.XLOOKUP(CustomerCombined[[#This Row],[ID]], Table2[ID],Table2[MC4], "Not Found", 0 )</f>
        <v>0</v>
      </c>
      <c r="AC484" s="8">
        <f>_xlfn.XLOOKUP(CustomerCombined[[#This Row],[ID]], Table2[ID],Table2[MC5], "Not Found", 0 )</f>
        <v>0</v>
      </c>
    </row>
    <row r="485" spans="1:29" x14ac:dyDescent="0.3">
      <c r="A485" s="6">
        <v>2827</v>
      </c>
      <c r="B485" s="6">
        <v>172159</v>
      </c>
      <c r="C485" s="6">
        <v>0</v>
      </c>
      <c r="D485" s="6">
        <v>0</v>
      </c>
      <c r="E485" s="6">
        <v>42</v>
      </c>
      <c r="F485" s="5" t="s">
        <v>6</v>
      </c>
      <c r="G485" s="5" t="s">
        <v>13</v>
      </c>
      <c r="H485" s="3">
        <v>43589</v>
      </c>
      <c r="I485" s="5" t="s">
        <v>437</v>
      </c>
      <c r="J485" s="5">
        <f>_xlfn.XLOOKUP(CustomerCombined[[#This Row],[ID]], Table4[ID], Table4[Recency], "Not Found", 0)</f>
        <v>62</v>
      </c>
      <c r="K485" s="5">
        <f>_xlfn.XLOOKUP(CustomerCombined[[#This Row],[ID]], Table4[ID], Table4[Teas], "Not Found", 0)</f>
        <v>768</v>
      </c>
      <c r="L485" s="5">
        <f>_xlfn.XLOOKUP(CustomerCombined[[#This Row],[ID]], Table4[ID], Table4[Fruits], "Not Found", 0)</f>
        <v>126</v>
      </c>
      <c r="M485" s="5">
        <f>_xlfn.XLOOKUP(CustomerCombined[[#This Row],[ID]], Table4[ID], Table4[Meats], "Not Found", 0)</f>
        <v>2145</v>
      </c>
      <c r="N485" s="5">
        <f>_xlfn.XLOOKUP(CustomerCombined[[#This Row],[ID]], Table4[ID], Table4[Seafood], "Not Found", 0)</f>
        <v>81</v>
      </c>
      <c r="O485" s="5">
        <f>_xlfn.XLOOKUP(CustomerCombined[[#This Row],[ID]], Table4[ID], Table4[Sweets], "Not Found", 0)</f>
        <v>95</v>
      </c>
      <c r="P485" s="5">
        <f>_xlfn.XLOOKUP(CustomerCombined[[#This Row],[ID]], Table4[ID], Table4[Premium], "Not Found", 0)</f>
        <v>126</v>
      </c>
      <c r="Q485" s="5">
        <f>_xlfn.XLOOKUP(CustomerCombined[[#This Row],[ID]], Table4[ID], Table4[Regular], "Not Found", 0)</f>
        <v>3090</v>
      </c>
      <c r="R485" s="5">
        <f>_xlfn.XLOOKUP(CustomerCombined[[#This Row],[ID]], Table4[ID], Table4[Deals], "Not Found", 0)</f>
        <v>1</v>
      </c>
      <c r="S485" s="5">
        <f>_xlfn.XLOOKUP(CustomerCombined[[#This Row],[ID]], Table4[ID], Table4[Website], "Not Found", 0)</f>
        <v>4</v>
      </c>
      <c r="T485" s="5">
        <f>_xlfn.XLOOKUP(CustomerCombined[[#This Row],[ID]], Table4[ID], Table4[Catalog], "Not Found", 0)</f>
        <v>6</v>
      </c>
      <c r="U485" s="5">
        <f>_xlfn.XLOOKUP(CustomerCombined[[#This Row],[ID]], Table4[ID], Table4[Store], "Not Found", 0)</f>
        <v>10</v>
      </c>
      <c r="V485" s="5">
        <f>_xlfn.XLOOKUP(CustomerCombined[[#This Row],[ID]], Table4[ID], Table4[Visits], "Not Found", 0)</f>
        <v>2</v>
      </c>
      <c r="W485" s="8">
        <f>_xlfn.XLOOKUP(CustomerCombined[[#This Row],[ID]], Table2[ID],Table2[Complaint], "Not Found", 0 )</f>
        <v>0</v>
      </c>
      <c r="X485" s="8">
        <f>_xlfn.XLOOKUP(CustomerCombined[[#This Row],[ID]], Table2[ID],Table2[Pilot], "Not Found", 0 )</f>
        <v>0</v>
      </c>
      <c r="Y485" s="8">
        <f>_xlfn.XLOOKUP(CustomerCombined[[#This Row],[ID]], Table2[ID],Table2[MC1], "Not Found", 0 )</f>
        <v>0</v>
      </c>
      <c r="Z485" s="8">
        <f>_xlfn.XLOOKUP(CustomerCombined[[#This Row],[ID]], Table2[ID],Table2[MC2], "Not Found", 0 )</f>
        <v>0</v>
      </c>
      <c r="AA485" s="8">
        <f>_xlfn.XLOOKUP(CustomerCombined[[#This Row],[ID]], Table2[ID],Table2[MC3], "Not Found", 0 )</f>
        <v>0</v>
      </c>
      <c r="AB485" s="8">
        <f>_xlfn.XLOOKUP(CustomerCombined[[#This Row],[ID]], Table2[ID],Table2[MC4], "Not Found", 0 )</f>
        <v>0</v>
      </c>
      <c r="AC485" s="8">
        <f>_xlfn.XLOOKUP(CustomerCombined[[#This Row],[ID]], Table2[ID],Table2[MC5], "Not Found", 0 )</f>
        <v>0</v>
      </c>
    </row>
    <row r="486" spans="1:29" x14ac:dyDescent="0.3">
      <c r="A486" s="6">
        <v>2259</v>
      </c>
      <c r="B486" s="6">
        <v>171847</v>
      </c>
      <c r="C486" s="6">
        <v>0</v>
      </c>
      <c r="D486" s="6">
        <v>0</v>
      </c>
      <c r="E486" s="6">
        <v>42</v>
      </c>
      <c r="F486" s="5" t="s">
        <v>5</v>
      </c>
      <c r="G486" s="5" t="s">
        <v>11</v>
      </c>
      <c r="H486" s="3" t="s">
        <v>390</v>
      </c>
      <c r="I486" s="5" t="s">
        <v>435</v>
      </c>
      <c r="J486" s="5">
        <f>_xlfn.XLOOKUP(CustomerCombined[[#This Row],[ID]], Table4[ID], Table4[Recency], "Not Found", 0)</f>
        <v>95</v>
      </c>
      <c r="K486" s="5">
        <f>_xlfn.XLOOKUP(CustomerCombined[[#This Row],[ID]], Table4[ID], Table4[Teas], "Not Found", 0)</f>
        <v>1763</v>
      </c>
      <c r="L486" s="5">
        <f>_xlfn.XLOOKUP(CustomerCombined[[#This Row],[ID]], Table4[ID], Table4[Fruits], "Not Found", 0)</f>
        <v>50</v>
      </c>
      <c r="M486" s="5">
        <f>_xlfn.XLOOKUP(CustomerCombined[[#This Row],[ID]], Table4[ID], Table4[Meats], "Not Found", 0)</f>
        <v>254</v>
      </c>
      <c r="N486" s="5">
        <f>_xlfn.XLOOKUP(CustomerCombined[[#This Row],[ID]], Table4[ID], Table4[Seafood], "Not Found", 0)</f>
        <v>132</v>
      </c>
      <c r="O486" s="5">
        <f>_xlfn.XLOOKUP(CustomerCombined[[#This Row],[ID]], Table4[ID], Table4[Sweets], "Not Found", 0)</f>
        <v>151</v>
      </c>
      <c r="P486" s="5">
        <f>_xlfn.XLOOKUP(CustomerCombined[[#This Row],[ID]], Table4[ID], Table4[Premium], "Not Found", 0)</f>
        <v>502</v>
      </c>
      <c r="Q486" s="5">
        <f>_xlfn.XLOOKUP(CustomerCombined[[#This Row],[ID]], Table4[ID], Table4[Regular], "Not Found", 0)</f>
        <v>1847</v>
      </c>
      <c r="R486" s="5">
        <f>_xlfn.XLOOKUP(CustomerCombined[[#This Row],[ID]], Table4[ID], Table4[Deals], "Not Found", 0)</f>
        <v>0</v>
      </c>
      <c r="S486" s="5">
        <f>_xlfn.XLOOKUP(CustomerCombined[[#This Row],[ID]], Table4[ID], Table4[Website], "Not Found", 0)</f>
        <v>6</v>
      </c>
      <c r="T486" s="5">
        <f>_xlfn.XLOOKUP(CustomerCombined[[#This Row],[ID]], Table4[ID], Table4[Catalog], "Not Found", 0)</f>
        <v>7</v>
      </c>
      <c r="U486" s="5">
        <f>_xlfn.XLOOKUP(CustomerCombined[[#This Row],[ID]], Table4[ID], Table4[Store], "Not Found", 0)</f>
        <v>9</v>
      </c>
      <c r="V486" s="5">
        <f>_xlfn.XLOOKUP(CustomerCombined[[#This Row],[ID]], Table4[ID], Table4[Visits], "Not Found", 0)</f>
        <v>3</v>
      </c>
      <c r="W486" s="8">
        <f>_xlfn.XLOOKUP(CustomerCombined[[#This Row],[ID]], Table2[ID],Table2[Complaint], "Not Found", 0 )</f>
        <v>0</v>
      </c>
      <c r="X486" s="8">
        <f>_xlfn.XLOOKUP(CustomerCombined[[#This Row],[ID]], Table2[ID],Table2[Pilot], "Not Found", 0 )</f>
        <v>0</v>
      </c>
      <c r="Y486" s="8">
        <f>_xlfn.XLOOKUP(CustomerCombined[[#This Row],[ID]], Table2[ID],Table2[MC1], "Not Found", 0 )</f>
        <v>1</v>
      </c>
      <c r="Z486" s="8">
        <f>_xlfn.XLOOKUP(CustomerCombined[[#This Row],[ID]], Table2[ID],Table2[MC2], "Not Found", 0 )</f>
        <v>0</v>
      </c>
      <c r="AA486" s="8">
        <f>_xlfn.XLOOKUP(CustomerCombined[[#This Row],[ID]], Table2[ID],Table2[MC3], "Not Found", 0 )</f>
        <v>0</v>
      </c>
      <c r="AB486" s="8">
        <f>_xlfn.XLOOKUP(CustomerCombined[[#This Row],[ID]], Table2[ID],Table2[MC4], "Not Found", 0 )</f>
        <v>0</v>
      </c>
      <c r="AC486" s="8">
        <f>_xlfn.XLOOKUP(CustomerCombined[[#This Row],[ID]], Table2[ID],Table2[MC5], "Not Found", 0 )</f>
        <v>0</v>
      </c>
    </row>
    <row r="487" spans="1:29" x14ac:dyDescent="0.3">
      <c r="A487" s="6">
        <v>1682</v>
      </c>
      <c r="B487" s="6">
        <v>171427</v>
      </c>
      <c r="C487" s="6">
        <v>2</v>
      </c>
      <c r="D487" s="6">
        <v>0</v>
      </c>
      <c r="E487" s="6">
        <v>42</v>
      </c>
      <c r="F487" s="5" t="s">
        <v>6</v>
      </c>
      <c r="G487" s="5" t="s">
        <v>11</v>
      </c>
      <c r="H487" s="3" t="s">
        <v>87</v>
      </c>
      <c r="I487" s="5" t="s">
        <v>438</v>
      </c>
      <c r="J487" s="5">
        <f>_xlfn.XLOOKUP(CustomerCombined[[#This Row],[ID]], Table4[ID], Table4[Recency], "Not Found", 0)</f>
        <v>26</v>
      </c>
      <c r="K487" s="5">
        <f>_xlfn.XLOOKUP(CustomerCombined[[#This Row],[ID]], Table4[ID], Table4[Teas], "Not Found", 0)</f>
        <v>509</v>
      </c>
      <c r="L487" s="5">
        <f>_xlfn.XLOOKUP(CustomerCombined[[#This Row],[ID]], Table4[ID], Table4[Fruits], "Not Found", 0)</f>
        <v>295</v>
      </c>
      <c r="M487" s="5">
        <f>_xlfn.XLOOKUP(CustomerCombined[[#This Row],[ID]], Table4[ID], Table4[Meats], "Not Found", 0)</f>
        <v>425</v>
      </c>
      <c r="N487" s="5">
        <f>_xlfn.XLOOKUP(CustomerCombined[[#This Row],[ID]], Table4[ID], Table4[Seafood], "Not Found", 0)</f>
        <v>36</v>
      </c>
      <c r="O487" s="5">
        <f>_xlfn.XLOOKUP(CustomerCombined[[#This Row],[ID]], Table4[ID], Table4[Sweets], "Not Found", 0)</f>
        <v>154</v>
      </c>
      <c r="P487" s="5">
        <f>_xlfn.XLOOKUP(CustomerCombined[[#This Row],[ID]], Table4[ID], Table4[Premium], "Not Found", 0)</f>
        <v>55</v>
      </c>
      <c r="Q487" s="5">
        <f>_xlfn.XLOOKUP(CustomerCombined[[#This Row],[ID]], Table4[ID], Table4[Regular], "Not Found", 0)</f>
        <v>1363</v>
      </c>
      <c r="R487" s="5">
        <f>_xlfn.XLOOKUP(CustomerCombined[[#This Row],[ID]], Table4[ID], Table4[Deals], "Not Found", 0)</f>
        <v>2</v>
      </c>
      <c r="S487" s="5">
        <f>_xlfn.XLOOKUP(CustomerCombined[[#This Row],[ID]], Table4[ID], Table4[Website], "Not Found", 0)</f>
        <v>8</v>
      </c>
      <c r="T487" s="5">
        <f>_xlfn.XLOOKUP(CustomerCombined[[#This Row],[ID]], Table4[ID], Table4[Catalog], "Not Found", 0)</f>
        <v>2</v>
      </c>
      <c r="U487" s="5">
        <f>_xlfn.XLOOKUP(CustomerCombined[[#This Row],[ID]], Table4[ID], Table4[Store], "Not Found", 0)</f>
        <v>8</v>
      </c>
      <c r="V487" s="5">
        <f>_xlfn.XLOOKUP(CustomerCombined[[#This Row],[ID]], Table4[ID], Table4[Visits], "Not Found", 0)</f>
        <v>4</v>
      </c>
      <c r="W487" s="8">
        <f>_xlfn.XLOOKUP(CustomerCombined[[#This Row],[ID]], Table2[ID],Table2[Complaint], "Not Found", 0 )</f>
        <v>0</v>
      </c>
      <c r="X487" s="8">
        <f>_xlfn.XLOOKUP(CustomerCombined[[#This Row],[ID]], Table2[ID],Table2[Pilot], "Not Found", 0 )</f>
        <v>0</v>
      </c>
      <c r="Y487" s="8">
        <f>_xlfn.XLOOKUP(CustomerCombined[[#This Row],[ID]], Table2[ID],Table2[MC1], "Not Found", 0 )</f>
        <v>0</v>
      </c>
      <c r="Z487" s="8">
        <f>_xlfn.XLOOKUP(CustomerCombined[[#This Row],[ID]], Table2[ID],Table2[MC2], "Not Found", 0 )</f>
        <v>0</v>
      </c>
      <c r="AA487" s="8">
        <f>_xlfn.XLOOKUP(CustomerCombined[[#This Row],[ID]], Table2[ID],Table2[MC3], "Not Found", 0 )</f>
        <v>0</v>
      </c>
      <c r="AB487" s="8">
        <f>_xlfn.XLOOKUP(CustomerCombined[[#This Row],[ID]], Table2[ID],Table2[MC4], "Not Found", 0 )</f>
        <v>0</v>
      </c>
      <c r="AC487" s="8">
        <f>_xlfn.XLOOKUP(CustomerCombined[[#This Row],[ID]], Table2[ID],Table2[MC5], "Not Found", 0 )</f>
        <v>0</v>
      </c>
    </row>
    <row r="488" spans="1:29" x14ac:dyDescent="0.3">
      <c r="A488" s="6">
        <v>1683</v>
      </c>
      <c r="B488" s="6">
        <v>171022</v>
      </c>
      <c r="C488" s="6">
        <v>0</v>
      </c>
      <c r="D488" s="6">
        <v>1</v>
      </c>
      <c r="E488" s="6">
        <v>42</v>
      </c>
      <c r="F488" s="5" t="s">
        <v>5</v>
      </c>
      <c r="G488" s="5" t="s">
        <v>11</v>
      </c>
      <c r="H488" s="3" t="s">
        <v>102</v>
      </c>
      <c r="I488" s="5" t="s">
        <v>435</v>
      </c>
      <c r="J488" s="5">
        <f>_xlfn.XLOOKUP(CustomerCombined[[#This Row],[ID]], Table4[ID], Table4[Recency], "Not Found", 0)</f>
        <v>30</v>
      </c>
      <c r="K488" s="5">
        <f>_xlfn.XLOOKUP(CustomerCombined[[#This Row],[ID]], Table4[ID], Table4[Teas], "Not Found", 0)</f>
        <v>2189</v>
      </c>
      <c r="L488" s="5">
        <f>_xlfn.XLOOKUP(CustomerCombined[[#This Row],[ID]], Table4[ID], Table4[Fruits], "Not Found", 0)</f>
        <v>29</v>
      </c>
      <c r="M488" s="5">
        <f>_xlfn.XLOOKUP(CustomerCombined[[#This Row],[ID]], Table4[ID], Table4[Meats], "Not Found", 0)</f>
        <v>669</v>
      </c>
      <c r="N488" s="5">
        <f>_xlfn.XLOOKUP(CustomerCombined[[#This Row],[ID]], Table4[ID], Table4[Seafood], "Not Found", 0)</f>
        <v>0</v>
      </c>
      <c r="O488" s="5">
        <f>_xlfn.XLOOKUP(CustomerCombined[[#This Row],[ID]], Table4[ID], Table4[Sweets], "Not Found", 0)</f>
        <v>29</v>
      </c>
      <c r="P488" s="5">
        <f>_xlfn.XLOOKUP(CustomerCombined[[#This Row],[ID]], Table4[ID], Table4[Premium], "Not Found", 0)</f>
        <v>583</v>
      </c>
      <c r="Q488" s="5">
        <f>_xlfn.XLOOKUP(CustomerCombined[[#This Row],[ID]], Table4[ID], Table4[Regular], "Not Found", 0)</f>
        <v>2333</v>
      </c>
      <c r="R488" s="5">
        <f>_xlfn.XLOOKUP(CustomerCombined[[#This Row],[ID]], Table4[ID], Table4[Deals], "Not Found", 0)</f>
        <v>3</v>
      </c>
      <c r="S488" s="5">
        <f>_xlfn.XLOOKUP(CustomerCombined[[#This Row],[ID]], Table4[ID], Table4[Website], "Not Found", 0)</f>
        <v>5</v>
      </c>
      <c r="T488" s="5">
        <f>_xlfn.XLOOKUP(CustomerCombined[[#This Row],[ID]], Table4[ID], Table4[Catalog], "Not Found", 0)</f>
        <v>2</v>
      </c>
      <c r="U488" s="5">
        <f>_xlfn.XLOOKUP(CustomerCombined[[#This Row],[ID]], Table4[ID], Table4[Store], "Not Found", 0)</f>
        <v>11</v>
      </c>
      <c r="V488" s="5">
        <f>_xlfn.XLOOKUP(CustomerCombined[[#This Row],[ID]], Table4[ID], Table4[Visits], "Not Found", 0)</f>
        <v>8</v>
      </c>
      <c r="W488" s="8">
        <f>_xlfn.XLOOKUP(CustomerCombined[[#This Row],[ID]], Table2[ID],Table2[Complaint], "Not Found", 0 )</f>
        <v>0</v>
      </c>
      <c r="X488" s="8">
        <f>_xlfn.XLOOKUP(CustomerCombined[[#This Row],[ID]], Table2[ID],Table2[Pilot], "Not Found", 0 )</f>
        <v>0</v>
      </c>
      <c r="Y488" s="8">
        <f>_xlfn.XLOOKUP(CustomerCombined[[#This Row],[ID]], Table2[ID],Table2[MC1], "Not Found", 0 )</f>
        <v>0</v>
      </c>
      <c r="Z488" s="8">
        <f>_xlfn.XLOOKUP(CustomerCombined[[#This Row],[ID]], Table2[ID],Table2[MC2], "Not Found", 0 )</f>
        <v>0</v>
      </c>
      <c r="AA488" s="8">
        <f>_xlfn.XLOOKUP(CustomerCombined[[#This Row],[ID]], Table2[ID],Table2[MC3], "Not Found", 0 )</f>
        <v>1</v>
      </c>
      <c r="AB488" s="8">
        <f>_xlfn.XLOOKUP(CustomerCombined[[#This Row],[ID]], Table2[ID],Table2[MC4], "Not Found", 0 )</f>
        <v>0</v>
      </c>
      <c r="AC488" s="8">
        <f>_xlfn.XLOOKUP(CustomerCombined[[#This Row],[ID]], Table2[ID],Table2[MC5], "Not Found", 0 )</f>
        <v>0</v>
      </c>
    </row>
    <row r="489" spans="1:29" x14ac:dyDescent="0.3">
      <c r="A489" s="6">
        <v>2655</v>
      </c>
      <c r="B489" s="6">
        <v>170440</v>
      </c>
      <c r="C489" s="6">
        <v>0</v>
      </c>
      <c r="D489" s="6">
        <v>0</v>
      </c>
      <c r="E489" s="6">
        <v>42</v>
      </c>
      <c r="F489" s="5" t="s">
        <v>8</v>
      </c>
      <c r="G489" s="5" t="s">
        <v>11</v>
      </c>
      <c r="H489" s="3" t="s">
        <v>174</v>
      </c>
      <c r="I489" s="5" t="s">
        <v>435</v>
      </c>
      <c r="J489" s="5">
        <f>_xlfn.XLOOKUP(CustomerCombined[[#This Row],[ID]], Table4[ID], Table4[Recency], "Not Found", 0)</f>
        <v>49</v>
      </c>
      <c r="K489" s="5">
        <f>_xlfn.XLOOKUP(CustomerCombined[[#This Row],[ID]], Table4[ID], Table4[Teas], "Not Found", 0)</f>
        <v>1670</v>
      </c>
      <c r="L489" s="5">
        <f>_xlfn.XLOOKUP(CustomerCombined[[#This Row],[ID]], Table4[ID], Table4[Fruits], "Not Found", 0)</f>
        <v>283</v>
      </c>
      <c r="M489" s="5">
        <f>_xlfn.XLOOKUP(CustomerCombined[[#This Row],[ID]], Table4[ID], Table4[Meats], "Not Found", 0)</f>
        <v>1207</v>
      </c>
      <c r="N489" s="5">
        <f>_xlfn.XLOOKUP(CustomerCombined[[#This Row],[ID]], Table4[ID], Table4[Seafood], "Not Found", 0)</f>
        <v>184</v>
      </c>
      <c r="O489" s="5">
        <f>_xlfn.XLOOKUP(CustomerCombined[[#This Row],[ID]], Table4[ID], Table4[Sweets], "Not Found", 0)</f>
        <v>247</v>
      </c>
      <c r="P489" s="5">
        <f>_xlfn.XLOOKUP(CustomerCombined[[#This Row],[ID]], Table4[ID], Table4[Premium], "Not Found", 0)</f>
        <v>213</v>
      </c>
      <c r="Q489" s="5">
        <f>_xlfn.XLOOKUP(CustomerCombined[[#This Row],[ID]], Table4[ID], Table4[Regular], "Not Found", 0)</f>
        <v>3378</v>
      </c>
      <c r="R489" s="5">
        <f>_xlfn.XLOOKUP(CustomerCombined[[#This Row],[ID]], Table4[ID], Table4[Deals], "Not Found", 0)</f>
        <v>1</v>
      </c>
      <c r="S489" s="5">
        <f>_xlfn.XLOOKUP(CustomerCombined[[#This Row],[ID]], Table4[ID], Table4[Website], "Not Found", 0)</f>
        <v>5</v>
      </c>
      <c r="T489" s="5">
        <f>_xlfn.XLOOKUP(CustomerCombined[[#This Row],[ID]], Table4[ID], Table4[Catalog], "Not Found", 0)</f>
        <v>10</v>
      </c>
      <c r="U489" s="5">
        <f>_xlfn.XLOOKUP(CustomerCombined[[#This Row],[ID]], Table4[ID], Table4[Store], "Not Found", 0)</f>
        <v>7</v>
      </c>
      <c r="V489" s="5">
        <f>_xlfn.XLOOKUP(CustomerCombined[[#This Row],[ID]], Table4[ID], Table4[Visits], "Not Found", 0)</f>
        <v>3</v>
      </c>
      <c r="W489" s="8">
        <f>_xlfn.XLOOKUP(CustomerCombined[[#This Row],[ID]], Table2[ID],Table2[Complaint], "Not Found", 0 )</f>
        <v>0</v>
      </c>
      <c r="X489" s="8">
        <f>_xlfn.XLOOKUP(CustomerCombined[[#This Row],[ID]], Table2[ID],Table2[Pilot], "Not Found", 0 )</f>
        <v>0</v>
      </c>
      <c r="Y489" s="8">
        <f>_xlfn.XLOOKUP(CustomerCombined[[#This Row],[ID]], Table2[ID],Table2[MC1], "Not Found", 0 )</f>
        <v>1</v>
      </c>
      <c r="Z489" s="8">
        <f>_xlfn.XLOOKUP(CustomerCombined[[#This Row],[ID]], Table2[ID],Table2[MC2], "Not Found", 0 )</f>
        <v>0</v>
      </c>
      <c r="AA489" s="8">
        <f>_xlfn.XLOOKUP(CustomerCombined[[#This Row],[ID]], Table2[ID],Table2[MC3], "Not Found", 0 )</f>
        <v>0</v>
      </c>
      <c r="AB489" s="8">
        <f>_xlfn.XLOOKUP(CustomerCombined[[#This Row],[ID]], Table2[ID],Table2[MC4], "Not Found", 0 )</f>
        <v>0</v>
      </c>
      <c r="AC489" s="8">
        <f>_xlfn.XLOOKUP(CustomerCombined[[#This Row],[ID]], Table2[ID],Table2[MC5], "Not Found", 0 )</f>
        <v>0</v>
      </c>
    </row>
    <row r="490" spans="1:29" x14ac:dyDescent="0.3">
      <c r="A490" s="6">
        <v>1870</v>
      </c>
      <c r="B490" s="6">
        <v>168092</v>
      </c>
      <c r="C490" s="6">
        <v>0</v>
      </c>
      <c r="D490" s="6">
        <v>0</v>
      </c>
      <c r="E490" s="6">
        <v>42</v>
      </c>
      <c r="F490" s="5" t="s">
        <v>7</v>
      </c>
      <c r="G490" s="5" t="s">
        <v>12</v>
      </c>
      <c r="H490" s="3" t="s">
        <v>132</v>
      </c>
      <c r="I490" s="5" t="s">
        <v>439</v>
      </c>
      <c r="J490" s="5">
        <f>_xlfn.XLOOKUP(CustomerCombined[[#This Row],[ID]], Table4[ID], Table4[Recency], "Not Found", 0)</f>
        <v>7</v>
      </c>
      <c r="K490" s="5">
        <f>_xlfn.XLOOKUP(CustomerCombined[[#This Row],[ID]], Table4[ID], Table4[Teas], "Not Found", 0)</f>
        <v>2103</v>
      </c>
      <c r="L490" s="5">
        <f>_xlfn.XLOOKUP(CustomerCombined[[#This Row],[ID]], Table4[ID], Table4[Fruits], "Not Found", 0)</f>
        <v>148</v>
      </c>
      <c r="M490" s="5">
        <f>_xlfn.XLOOKUP(CustomerCombined[[#This Row],[ID]], Table4[ID], Table4[Meats], "Not Found", 0)</f>
        <v>511</v>
      </c>
      <c r="N490" s="5">
        <f>_xlfn.XLOOKUP(CustomerCombined[[#This Row],[ID]], Table4[ID], Table4[Seafood], "Not Found", 0)</f>
        <v>193</v>
      </c>
      <c r="O490" s="5">
        <f>_xlfn.XLOOKUP(CustomerCombined[[#This Row],[ID]], Table4[ID], Table4[Sweets], "Not Found", 0)</f>
        <v>89</v>
      </c>
      <c r="P490" s="5">
        <f>_xlfn.XLOOKUP(CustomerCombined[[#This Row],[ID]], Table4[ID], Table4[Premium], "Not Found", 0)</f>
        <v>118</v>
      </c>
      <c r="Q490" s="5">
        <f>_xlfn.XLOOKUP(CustomerCombined[[#This Row],[ID]], Table4[ID], Table4[Regular], "Not Found", 0)</f>
        <v>2925</v>
      </c>
      <c r="R490" s="5">
        <f>_xlfn.XLOOKUP(CustomerCombined[[#This Row],[ID]], Table4[ID], Table4[Deals], "Not Found", 0)</f>
        <v>2</v>
      </c>
      <c r="S490" s="5">
        <f>_xlfn.XLOOKUP(CustomerCombined[[#This Row],[ID]], Table4[ID], Table4[Website], "Not Found", 0)</f>
        <v>2</v>
      </c>
      <c r="T490" s="5">
        <f>_xlfn.XLOOKUP(CustomerCombined[[#This Row],[ID]], Table4[ID], Table4[Catalog], "Not Found", 0)</f>
        <v>6</v>
      </c>
      <c r="U490" s="5">
        <f>_xlfn.XLOOKUP(CustomerCombined[[#This Row],[ID]], Table4[ID], Table4[Store], "Not Found", 0)</f>
        <v>10</v>
      </c>
      <c r="V490" s="5">
        <f>_xlfn.XLOOKUP(CustomerCombined[[#This Row],[ID]], Table4[ID], Table4[Visits], "Not Found", 0)</f>
        <v>5</v>
      </c>
      <c r="W490" s="8">
        <f>_xlfn.XLOOKUP(CustomerCombined[[#This Row],[ID]], Table2[ID],Table2[Complaint], "Not Found", 0 )</f>
        <v>0</v>
      </c>
      <c r="X490" s="8">
        <f>_xlfn.XLOOKUP(CustomerCombined[[#This Row],[ID]], Table2[ID],Table2[Pilot], "Not Found", 0 )</f>
        <v>0</v>
      </c>
      <c r="Y490" s="8">
        <f>_xlfn.XLOOKUP(CustomerCombined[[#This Row],[ID]], Table2[ID],Table2[MC1], "Not Found", 0 )</f>
        <v>0</v>
      </c>
      <c r="Z490" s="8">
        <f>_xlfn.XLOOKUP(CustomerCombined[[#This Row],[ID]], Table2[ID],Table2[MC2], "Not Found", 0 )</f>
        <v>0</v>
      </c>
      <c r="AA490" s="8">
        <f>_xlfn.XLOOKUP(CustomerCombined[[#This Row],[ID]], Table2[ID],Table2[MC3], "Not Found", 0 )</f>
        <v>0</v>
      </c>
      <c r="AB490" s="8">
        <f>_xlfn.XLOOKUP(CustomerCombined[[#This Row],[ID]], Table2[ID],Table2[MC4], "Not Found", 0 )</f>
        <v>0</v>
      </c>
      <c r="AC490" s="8">
        <f>_xlfn.XLOOKUP(CustomerCombined[[#This Row],[ID]], Table2[ID],Table2[MC5], "Not Found", 0 )</f>
        <v>0</v>
      </c>
    </row>
    <row r="491" spans="1:29" x14ac:dyDescent="0.3">
      <c r="A491" s="6">
        <v>2050</v>
      </c>
      <c r="B491" s="6">
        <v>167023</v>
      </c>
      <c r="C491" s="6">
        <v>0</v>
      </c>
      <c r="D491" s="6">
        <v>0</v>
      </c>
      <c r="E491" s="6">
        <v>42</v>
      </c>
      <c r="F491" s="5" t="s">
        <v>6</v>
      </c>
      <c r="G491" s="5" t="s">
        <v>11</v>
      </c>
      <c r="H491" s="3">
        <v>44051</v>
      </c>
      <c r="I491" s="5" t="s">
        <v>439</v>
      </c>
      <c r="J491" s="5">
        <f>_xlfn.XLOOKUP(CustomerCombined[[#This Row],[ID]], Table4[ID], Table4[Recency], "Not Found", 0)</f>
        <v>93</v>
      </c>
      <c r="K491" s="5">
        <f>_xlfn.XLOOKUP(CustomerCombined[[#This Row],[ID]], Table4[ID], Table4[Teas], "Not Found", 0)</f>
        <v>1106</v>
      </c>
      <c r="L491" s="5">
        <f>_xlfn.XLOOKUP(CustomerCombined[[#This Row],[ID]], Table4[ID], Table4[Fruits], "Not Found", 0)</f>
        <v>110</v>
      </c>
      <c r="M491" s="5">
        <f>_xlfn.XLOOKUP(CustomerCombined[[#This Row],[ID]], Table4[ID], Table4[Meats], "Not Found", 0)</f>
        <v>952</v>
      </c>
      <c r="N491" s="5">
        <f>_xlfn.XLOOKUP(CustomerCombined[[#This Row],[ID]], Table4[ID], Table4[Seafood], "Not Found", 0)</f>
        <v>27</v>
      </c>
      <c r="O491" s="5">
        <f>_xlfn.XLOOKUP(CustomerCombined[[#This Row],[ID]], Table4[ID], Table4[Sweets], "Not Found", 0)</f>
        <v>20</v>
      </c>
      <c r="P491" s="5">
        <f>_xlfn.XLOOKUP(CustomerCombined[[#This Row],[ID]], Table4[ID], Table4[Premium], "Not Found", 0)</f>
        <v>42</v>
      </c>
      <c r="Q491" s="5">
        <f>_xlfn.XLOOKUP(CustomerCombined[[#This Row],[ID]], Table4[ID], Table4[Regular], "Not Found", 0)</f>
        <v>2173</v>
      </c>
      <c r="R491" s="5">
        <f>_xlfn.XLOOKUP(CustomerCombined[[#This Row],[ID]], Table4[ID], Table4[Deals], "Not Found", 0)</f>
        <v>1</v>
      </c>
      <c r="S491" s="5">
        <f>_xlfn.XLOOKUP(CustomerCombined[[#This Row],[ID]], Table4[ID], Table4[Website], "Not Found", 0)</f>
        <v>3</v>
      </c>
      <c r="T491" s="5">
        <f>_xlfn.XLOOKUP(CustomerCombined[[#This Row],[ID]], Table4[ID], Table4[Catalog], "Not Found", 0)</f>
        <v>7</v>
      </c>
      <c r="U491" s="5">
        <f>_xlfn.XLOOKUP(CustomerCombined[[#This Row],[ID]], Table4[ID], Table4[Store], "Not Found", 0)</f>
        <v>13</v>
      </c>
      <c r="V491" s="5">
        <f>_xlfn.XLOOKUP(CustomerCombined[[#This Row],[ID]], Table4[ID], Table4[Visits], "Not Found", 0)</f>
        <v>2</v>
      </c>
      <c r="W491" s="8">
        <f>_xlfn.XLOOKUP(CustomerCombined[[#This Row],[ID]], Table2[ID],Table2[Complaint], "Not Found", 0 )</f>
        <v>1</v>
      </c>
      <c r="X491" s="8">
        <f>_xlfn.XLOOKUP(CustomerCombined[[#This Row],[ID]], Table2[ID],Table2[Pilot], "Not Found", 0 )</f>
        <v>0</v>
      </c>
      <c r="Y491" s="8">
        <f>_xlfn.XLOOKUP(CustomerCombined[[#This Row],[ID]], Table2[ID],Table2[MC1], "Not Found", 0 )</f>
        <v>0</v>
      </c>
      <c r="Z491" s="8">
        <f>_xlfn.XLOOKUP(CustomerCombined[[#This Row],[ID]], Table2[ID],Table2[MC2], "Not Found", 0 )</f>
        <v>0</v>
      </c>
      <c r="AA491" s="8">
        <f>_xlfn.XLOOKUP(CustomerCombined[[#This Row],[ID]], Table2[ID],Table2[MC3], "Not Found", 0 )</f>
        <v>0</v>
      </c>
      <c r="AB491" s="8">
        <f>_xlfn.XLOOKUP(CustomerCombined[[#This Row],[ID]], Table2[ID],Table2[MC4], "Not Found", 0 )</f>
        <v>0</v>
      </c>
      <c r="AC491" s="8">
        <f>_xlfn.XLOOKUP(CustomerCombined[[#This Row],[ID]], Table2[ID],Table2[MC5], "Not Found", 0 )</f>
        <v>0</v>
      </c>
    </row>
    <row r="492" spans="1:29" x14ac:dyDescent="0.3">
      <c r="A492" s="6">
        <v>1051</v>
      </c>
      <c r="B492" s="6">
        <v>166373</v>
      </c>
      <c r="C492" s="6">
        <v>1</v>
      </c>
      <c r="D492" s="6">
        <v>1</v>
      </c>
      <c r="E492" s="6">
        <v>42</v>
      </c>
      <c r="F492" s="5" t="s">
        <v>6</v>
      </c>
      <c r="G492" s="5" t="s">
        <v>11</v>
      </c>
      <c r="H492" s="3" t="s">
        <v>240</v>
      </c>
      <c r="I492" s="5" t="s">
        <v>437</v>
      </c>
      <c r="J492" s="5">
        <f>_xlfn.XLOOKUP(CustomerCombined[[#This Row],[ID]], Table4[ID], Table4[Recency], "Not Found", 0)</f>
        <v>57</v>
      </c>
      <c r="K492" s="5">
        <f>_xlfn.XLOOKUP(CustomerCombined[[#This Row],[ID]], Table4[ID], Table4[Teas], "Not Found", 0)</f>
        <v>822</v>
      </c>
      <c r="L492" s="5">
        <f>_xlfn.XLOOKUP(CustomerCombined[[#This Row],[ID]], Table4[ID], Table4[Fruits], "Not Found", 0)</f>
        <v>23</v>
      </c>
      <c r="M492" s="5">
        <f>_xlfn.XLOOKUP(CustomerCombined[[#This Row],[ID]], Table4[ID], Table4[Meats], "Not Found", 0)</f>
        <v>311</v>
      </c>
      <c r="N492" s="5">
        <f>_xlfn.XLOOKUP(CustomerCombined[[#This Row],[ID]], Table4[ID], Table4[Seafood], "Not Found", 0)</f>
        <v>30</v>
      </c>
      <c r="O492" s="5">
        <f>_xlfn.XLOOKUP(CustomerCombined[[#This Row],[ID]], Table4[ID], Table4[Sweets], "Not Found", 0)</f>
        <v>60</v>
      </c>
      <c r="P492" s="5">
        <f>_xlfn.XLOOKUP(CustomerCombined[[#This Row],[ID]], Table4[ID], Table4[Premium], "Not Found", 0)</f>
        <v>273</v>
      </c>
      <c r="Q492" s="5">
        <f>_xlfn.XLOOKUP(CustomerCombined[[#This Row],[ID]], Table4[ID], Table4[Regular], "Not Found", 0)</f>
        <v>973</v>
      </c>
      <c r="R492" s="5">
        <f>_xlfn.XLOOKUP(CustomerCombined[[#This Row],[ID]], Table4[ID], Table4[Deals], "Not Found", 0)</f>
        <v>7</v>
      </c>
      <c r="S492" s="5">
        <f>_xlfn.XLOOKUP(CustomerCombined[[#This Row],[ID]], Table4[ID], Table4[Website], "Not Found", 0)</f>
        <v>4</v>
      </c>
      <c r="T492" s="5">
        <f>_xlfn.XLOOKUP(CustomerCombined[[#This Row],[ID]], Table4[ID], Table4[Catalog], "Not Found", 0)</f>
        <v>2</v>
      </c>
      <c r="U492" s="5">
        <f>_xlfn.XLOOKUP(CustomerCombined[[#This Row],[ID]], Table4[ID], Table4[Store], "Not Found", 0)</f>
        <v>10</v>
      </c>
      <c r="V492" s="5">
        <f>_xlfn.XLOOKUP(CustomerCombined[[#This Row],[ID]], Table4[ID], Table4[Visits], "Not Found", 0)</f>
        <v>3</v>
      </c>
      <c r="W492" s="8">
        <f>_xlfn.XLOOKUP(CustomerCombined[[#This Row],[ID]], Table2[ID],Table2[Complaint], "Not Found", 0 )</f>
        <v>0</v>
      </c>
      <c r="X492" s="8">
        <f>_xlfn.XLOOKUP(CustomerCombined[[#This Row],[ID]], Table2[ID],Table2[Pilot], "Not Found", 0 )</f>
        <v>0</v>
      </c>
      <c r="Y492" s="8">
        <f>_xlfn.XLOOKUP(CustomerCombined[[#This Row],[ID]], Table2[ID],Table2[MC1], "Not Found", 0 )</f>
        <v>0</v>
      </c>
      <c r="Z492" s="8">
        <f>_xlfn.XLOOKUP(CustomerCombined[[#This Row],[ID]], Table2[ID],Table2[MC2], "Not Found", 0 )</f>
        <v>0</v>
      </c>
      <c r="AA492" s="8">
        <f>_xlfn.XLOOKUP(CustomerCombined[[#This Row],[ID]], Table2[ID],Table2[MC3], "Not Found", 0 )</f>
        <v>0</v>
      </c>
      <c r="AB492" s="8">
        <f>_xlfn.XLOOKUP(CustomerCombined[[#This Row],[ID]], Table2[ID],Table2[MC4], "Not Found", 0 )</f>
        <v>0</v>
      </c>
      <c r="AC492" s="8">
        <f>_xlfn.XLOOKUP(CustomerCombined[[#This Row],[ID]], Table2[ID],Table2[MC5], "Not Found", 0 )</f>
        <v>0</v>
      </c>
    </row>
    <row r="493" spans="1:29" x14ac:dyDescent="0.3">
      <c r="A493" s="6">
        <v>1713</v>
      </c>
      <c r="B493" s="6">
        <v>166373</v>
      </c>
      <c r="C493" s="6">
        <v>1</v>
      </c>
      <c r="D493" s="6">
        <v>1</v>
      </c>
      <c r="E493" s="6">
        <v>42</v>
      </c>
      <c r="F493" s="5" t="s">
        <v>6</v>
      </c>
      <c r="G493" s="5" t="s">
        <v>11</v>
      </c>
      <c r="H493" s="3" t="s">
        <v>240</v>
      </c>
      <c r="I493" s="5" t="s">
        <v>435</v>
      </c>
      <c r="J493" s="5">
        <f>_xlfn.XLOOKUP(CustomerCombined[[#This Row],[ID]], Table4[ID], Table4[Recency], "Not Found", 0)</f>
        <v>57</v>
      </c>
      <c r="K493" s="5">
        <f>_xlfn.XLOOKUP(CustomerCombined[[#This Row],[ID]], Table4[ID], Table4[Teas], "Not Found", 0)</f>
        <v>822</v>
      </c>
      <c r="L493" s="5">
        <f>_xlfn.XLOOKUP(CustomerCombined[[#This Row],[ID]], Table4[ID], Table4[Fruits], "Not Found", 0)</f>
        <v>23</v>
      </c>
      <c r="M493" s="5">
        <f>_xlfn.XLOOKUP(CustomerCombined[[#This Row],[ID]], Table4[ID], Table4[Meats], "Not Found", 0)</f>
        <v>311</v>
      </c>
      <c r="N493" s="5">
        <f>_xlfn.XLOOKUP(CustomerCombined[[#This Row],[ID]], Table4[ID], Table4[Seafood], "Not Found", 0)</f>
        <v>30</v>
      </c>
      <c r="O493" s="5">
        <f>_xlfn.XLOOKUP(CustomerCombined[[#This Row],[ID]], Table4[ID], Table4[Sweets], "Not Found", 0)</f>
        <v>60</v>
      </c>
      <c r="P493" s="5">
        <f>_xlfn.XLOOKUP(CustomerCombined[[#This Row],[ID]], Table4[ID], Table4[Premium], "Not Found", 0)</f>
        <v>273</v>
      </c>
      <c r="Q493" s="5">
        <f>_xlfn.XLOOKUP(CustomerCombined[[#This Row],[ID]], Table4[ID], Table4[Regular], "Not Found", 0)</f>
        <v>973</v>
      </c>
      <c r="R493" s="5">
        <f>_xlfn.XLOOKUP(CustomerCombined[[#This Row],[ID]], Table4[ID], Table4[Deals], "Not Found", 0)</f>
        <v>7</v>
      </c>
      <c r="S493" s="5">
        <f>_xlfn.XLOOKUP(CustomerCombined[[#This Row],[ID]], Table4[ID], Table4[Website], "Not Found", 0)</f>
        <v>4</v>
      </c>
      <c r="T493" s="5">
        <f>_xlfn.XLOOKUP(CustomerCombined[[#This Row],[ID]], Table4[ID], Table4[Catalog], "Not Found", 0)</f>
        <v>2</v>
      </c>
      <c r="U493" s="5">
        <f>_xlfn.XLOOKUP(CustomerCombined[[#This Row],[ID]], Table4[ID], Table4[Store], "Not Found", 0)</f>
        <v>10</v>
      </c>
      <c r="V493" s="5">
        <f>_xlfn.XLOOKUP(CustomerCombined[[#This Row],[ID]], Table4[ID], Table4[Visits], "Not Found", 0)</f>
        <v>3</v>
      </c>
      <c r="W493" s="8">
        <f>_xlfn.XLOOKUP(CustomerCombined[[#This Row],[ID]], Table2[ID],Table2[Complaint], "Not Found", 0 )</f>
        <v>0</v>
      </c>
      <c r="X493" s="8">
        <f>_xlfn.XLOOKUP(CustomerCombined[[#This Row],[ID]], Table2[ID],Table2[Pilot], "Not Found", 0 )</f>
        <v>0</v>
      </c>
      <c r="Y493" s="8">
        <f>_xlfn.XLOOKUP(CustomerCombined[[#This Row],[ID]], Table2[ID],Table2[MC1], "Not Found", 0 )</f>
        <v>0</v>
      </c>
      <c r="Z493" s="8">
        <f>_xlfn.XLOOKUP(CustomerCombined[[#This Row],[ID]], Table2[ID],Table2[MC2], "Not Found", 0 )</f>
        <v>0</v>
      </c>
      <c r="AA493" s="8">
        <f>_xlfn.XLOOKUP(CustomerCombined[[#This Row],[ID]], Table2[ID],Table2[MC3], "Not Found", 0 )</f>
        <v>0</v>
      </c>
      <c r="AB493" s="8">
        <f>_xlfn.XLOOKUP(CustomerCombined[[#This Row],[ID]], Table2[ID],Table2[MC4], "Not Found", 0 )</f>
        <v>0</v>
      </c>
      <c r="AC493" s="8">
        <f>_xlfn.XLOOKUP(CustomerCombined[[#This Row],[ID]], Table2[ID],Table2[MC5], "Not Found", 0 )</f>
        <v>0</v>
      </c>
    </row>
    <row r="494" spans="1:29" x14ac:dyDescent="0.3">
      <c r="A494" s="6">
        <v>2518</v>
      </c>
      <c r="B494" s="6">
        <v>165819</v>
      </c>
      <c r="C494" s="6">
        <v>0</v>
      </c>
      <c r="D494" s="6">
        <v>0</v>
      </c>
      <c r="E494" s="6">
        <v>42</v>
      </c>
      <c r="F494" s="5" t="s">
        <v>6</v>
      </c>
      <c r="G494" s="5" t="s">
        <v>11</v>
      </c>
      <c r="H494" s="3">
        <v>43621</v>
      </c>
      <c r="I494" s="5" t="s">
        <v>439</v>
      </c>
      <c r="J494" s="5">
        <f>_xlfn.XLOOKUP(CustomerCombined[[#This Row],[ID]], Table4[ID], Table4[Recency], "Not Found", 0)</f>
        <v>99</v>
      </c>
      <c r="K494" s="5">
        <f>_xlfn.XLOOKUP(CustomerCombined[[#This Row],[ID]], Table4[ID], Table4[Teas], "Not Found", 0)</f>
        <v>673</v>
      </c>
      <c r="L494" s="5">
        <f>_xlfn.XLOOKUP(CustomerCombined[[#This Row],[ID]], Table4[ID], Table4[Fruits], "Not Found", 0)</f>
        <v>96</v>
      </c>
      <c r="M494" s="5">
        <f>_xlfn.XLOOKUP(CustomerCombined[[#This Row],[ID]], Table4[ID], Table4[Meats], "Not Found", 0)</f>
        <v>1766</v>
      </c>
      <c r="N494" s="5">
        <f>_xlfn.XLOOKUP(CustomerCombined[[#This Row],[ID]], Table4[ID], Table4[Seafood], "Not Found", 0)</f>
        <v>375</v>
      </c>
      <c r="O494" s="5">
        <f>_xlfn.XLOOKUP(CustomerCombined[[#This Row],[ID]], Table4[ID], Table4[Sweets], "Not Found", 0)</f>
        <v>416</v>
      </c>
      <c r="P494" s="5">
        <f>_xlfn.XLOOKUP(CustomerCombined[[#This Row],[ID]], Table4[ID], Table4[Premium], "Not Found", 0)</f>
        <v>159</v>
      </c>
      <c r="Q494" s="5">
        <f>_xlfn.XLOOKUP(CustomerCombined[[#This Row],[ID]], Table4[ID], Table4[Regular], "Not Found", 0)</f>
        <v>3167</v>
      </c>
      <c r="R494" s="5">
        <f>_xlfn.XLOOKUP(CustomerCombined[[#This Row],[ID]], Table4[ID], Table4[Deals], "Not Found", 0)</f>
        <v>1</v>
      </c>
      <c r="S494" s="5">
        <f>_xlfn.XLOOKUP(CustomerCombined[[#This Row],[ID]], Table4[ID], Table4[Website], "Not Found", 0)</f>
        <v>5</v>
      </c>
      <c r="T494" s="5">
        <f>_xlfn.XLOOKUP(CustomerCombined[[#This Row],[ID]], Table4[ID], Table4[Catalog], "Not Found", 0)</f>
        <v>4</v>
      </c>
      <c r="U494" s="5">
        <f>_xlfn.XLOOKUP(CustomerCombined[[#This Row],[ID]], Table4[ID], Table4[Store], "Not Found", 0)</f>
        <v>10</v>
      </c>
      <c r="V494" s="5">
        <f>_xlfn.XLOOKUP(CustomerCombined[[#This Row],[ID]], Table4[ID], Table4[Visits], "Not Found", 0)</f>
        <v>3</v>
      </c>
      <c r="W494" s="8">
        <f>_xlfn.XLOOKUP(CustomerCombined[[#This Row],[ID]], Table2[ID],Table2[Complaint], "Not Found", 0 )</f>
        <v>0</v>
      </c>
      <c r="X494" s="8">
        <f>_xlfn.XLOOKUP(CustomerCombined[[#This Row],[ID]], Table2[ID],Table2[Pilot], "Not Found", 0 )</f>
        <v>0</v>
      </c>
      <c r="Y494" s="8">
        <f>_xlfn.XLOOKUP(CustomerCombined[[#This Row],[ID]], Table2[ID],Table2[MC1], "Not Found", 0 )</f>
        <v>0</v>
      </c>
      <c r="Z494" s="8">
        <f>_xlfn.XLOOKUP(CustomerCombined[[#This Row],[ID]], Table2[ID],Table2[MC2], "Not Found", 0 )</f>
        <v>0</v>
      </c>
      <c r="AA494" s="8">
        <f>_xlfn.XLOOKUP(CustomerCombined[[#This Row],[ID]], Table2[ID],Table2[MC3], "Not Found", 0 )</f>
        <v>0</v>
      </c>
      <c r="AB494" s="8">
        <f>_xlfn.XLOOKUP(CustomerCombined[[#This Row],[ID]], Table2[ID],Table2[MC4], "Not Found", 0 )</f>
        <v>0</v>
      </c>
      <c r="AC494" s="8">
        <f>_xlfn.XLOOKUP(CustomerCombined[[#This Row],[ID]], Table2[ID],Table2[MC5], "Not Found", 0 )</f>
        <v>0</v>
      </c>
    </row>
    <row r="495" spans="1:29" x14ac:dyDescent="0.3">
      <c r="A495" s="6">
        <v>2683</v>
      </c>
      <c r="B495" s="6">
        <v>164813</v>
      </c>
      <c r="C495" s="6">
        <v>1</v>
      </c>
      <c r="D495" s="6">
        <v>0</v>
      </c>
      <c r="E495" s="6">
        <v>42</v>
      </c>
      <c r="F495" s="5" t="s">
        <v>6</v>
      </c>
      <c r="G495" s="5" t="s">
        <v>11</v>
      </c>
      <c r="H495" s="3">
        <v>44049</v>
      </c>
      <c r="I495" s="5" t="s">
        <v>437</v>
      </c>
      <c r="J495" s="5">
        <f>_xlfn.XLOOKUP(CustomerCombined[[#This Row],[ID]], Table4[ID], Table4[Recency], "Not Found", 0)</f>
        <v>81</v>
      </c>
      <c r="K495" s="5">
        <f>_xlfn.XLOOKUP(CustomerCombined[[#This Row],[ID]], Table4[ID], Table4[Teas], "Not Found", 0)</f>
        <v>745</v>
      </c>
      <c r="L495" s="5">
        <f>_xlfn.XLOOKUP(CustomerCombined[[#This Row],[ID]], Table4[ID], Table4[Fruits], "Not Found", 0)</f>
        <v>0</v>
      </c>
      <c r="M495" s="5">
        <f>_xlfn.XLOOKUP(CustomerCombined[[#This Row],[ID]], Table4[ID], Table4[Meats], "Not Found", 0)</f>
        <v>315</v>
      </c>
      <c r="N495" s="5">
        <f>_xlfn.XLOOKUP(CustomerCombined[[#This Row],[ID]], Table4[ID], Table4[Seafood], "Not Found", 0)</f>
        <v>455</v>
      </c>
      <c r="O495" s="5">
        <f>_xlfn.XLOOKUP(CustomerCombined[[#This Row],[ID]], Table4[ID], Table4[Sweets], "Not Found", 0)</f>
        <v>247</v>
      </c>
      <c r="P495" s="5">
        <f>_xlfn.XLOOKUP(CustomerCombined[[#This Row],[ID]], Table4[ID], Table4[Premium], "Not Found", 0)</f>
        <v>132</v>
      </c>
      <c r="Q495" s="5">
        <f>_xlfn.XLOOKUP(CustomerCombined[[#This Row],[ID]], Table4[ID], Table4[Regular], "Not Found", 0)</f>
        <v>1630</v>
      </c>
      <c r="R495" s="5">
        <f>_xlfn.XLOOKUP(CustomerCombined[[#This Row],[ID]], Table4[ID], Table4[Deals], "Not Found", 0)</f>
        <v>1</v>
      </c>
      <c r="S495" s="5">
        <f>_xlfn.XLOOKUP(CustomerCombined[[#This Row],[ID]], Table4[ID], Table4[Website], "Not Found", 0)</f>
        <v>7</v>
      </c>
      <c r="T495" s="5">
        <f>_xlfn.XLOOKUP(CustomerCombined[[#This Row],[ID]], Table4[ID], Table4[Catalog], "Not Found", 0)</f>
        <v>2</v>
      </c>
      <c r="U495" s="5">
        <f>_xlfn.XLOOKUP(CustomerCombined[[#This Row],[ID]], Table4[ID], Table4[Store], "Not Found", 0)</f>
        <v>10</v>
      </c>
      <c r="V495" s="5">
        <f>_xlfn.XLOOKUP(CustomerCombined[[#This Row],[ID]], Table4[ID], Table4[Visits], "Not Found", 0)</f>
        <v>5</v>
      </c>
      <c r="W495" s="8">
        <f>_xlfn.XLOOKUP(CustomerCombined[[#This Row],[ID]], Table2[ID],Table2[Complaint], "Not Found", 0 )</f>
        <v>0</v>
      </c>
      <c r="X495" s="8">
        <f>_xlfn.XLOOKUP(CustomerCombined[[#This Row],[ID]], Table2[ID],Table2[Pilot], "Not Found", 0 )</f>
        <v>0</v>
      </c>
      <c r="Y495" s="8">
        <f>_xlfn.XLOOKUP(CustomerCombined[[#This Row],[ID]], Table2[ID],Table2[MC1], "Not Found", 0 )</f>
        <v>0</v>
      </c>
      <c r="Z495" s="8">
        <f>_xlfn.XLOOKUP(CustomerCombined[[#This Row],[ID]], Table2[ID],Table2[MC2], "Not Found", 0 )</f>
        <v>0</v>
      </c>
      <c r="AA495" s="8">
        <f>_xlfn.XLOOKUP(CustomerCombined[[#This Row],[ID]], Table2[ID],Table2[MC3], "Not Found", 0 )</f>
        <v>0</v>
      </c>
      <c r="AB495" s="8">
        <f>_xlfn.XLOOKUP(CustomerCombined[[#This Row],[ID]], Table2[ID],Table2[MC4], "Not Found", 0 )</f>
        <v>0</v>
      </c>
      <c r="AC495" s="8">
        <f>_xlfn.XLOOKUP(CustomerCombined[[#This Row],[ID]], Table2[ID],Table2[MC5], "Not Found", 0 )</f>
        <v>0</v>
      </c>
    </row>
    <row r="496" spans="1:29" x14ac:dyDescent="0.3">
      <c r="A496" s="6">
        <v>1736</v>
      </c>
      <c r="B496" s="6">
        <v>163855</v>
      </c>
      <c r="C496" s="6">
        <v>0</v>
      </c>
      <c r="D496" s="6">
        <v>0</v>
      </c>
      <c r="E496" s="6">
        <v>42</v>
      </c>
      <c r="F496" s="5" t="s">
        <v>8</v>
      </c>
      <c r="G496" s="5" t="s">
        <v>442</v>
      </c>
      <c r="H496" s="3" t="s">
        <v>314</v>
      </c>
      <c r="I496" s="5" t="s">
        <v>438</v>
      </c>
      <c r="J496" s="5">
        <f>_xlfn.XLOOKUP(CustomerCombined[[#This Row],[ID]], Table4[ID], Table4[Recency], "Not Found", 0)</f>
        <v>28</v>
      </c>
      <c r="K496" s="5">
        <f>_xlfn.XLOOKUP(CustomerCombined[[#This Row],[ID]], Table4[ID], Table4[Teas], "Not Found", 0)</f>
        <v>921</v>
      </c>
      <c r="L496" s="5">
        <f>_xlfn.XLOOKUP(CustomerCombined[[#This Row],[ID]], Table4[ID], Table4[Fruits], "Not Found", 0)</f>
        <v>90</v>
      </c>
      <c r="M496" s="5">
        <f>_xlfn.XLOOKUP(CustomerCombined[[#This Row],[ID]], Table4[ID], Table4[Meats], "Not Found", 0)</f>
        <v>806</v>
      </c>
      <c r="N496" s="5">
        <f>_xlfn.XLOOKUP(CustomerCombined[[#This Row],[ID]], Table4[ID], Table4[Seafood], "Not Found", 0)</f>
        <v>239</v>
      </c>
      <c r="O496" s="5">
        <f>_xlfn.XLOOKUP(CustomerCombined[[#This Row],[ID]], Table4[ID], Table4[Sweets], "Not Found", 0)</f>
        <v>298</v>
      </c>
      <c r="P496" s="5">
        <f>_xlfn.XLOOKUP(CustomerCombined[[#This Row],[ID]], Table4[ID], Table4[Premium], "Not Found", 0)</f>
        <v>228</v>
      </c>
      <c r="Q496" s="5">
        <f>_xlfn.XLOOKUP(CustomerCombined[[#This Row],[ID]], Table4[ID], Table4[Regular], "Not Found", 0)</f>
        <v>2125</v>
      </c>
      <c r="R496" s="5">
        <f>_xlfn.XLOOKUP(CustomerCombined[[#This Row],[ID]], Table4[ID], Table4[Deals], "Not Found", 0)</f>
        <v>1</v>
      </c>
      <c r="S496" s="5">
        <f>_xlfn.XLOOKUP(CustomerCombined[[#This Row],[ID]], Table4[ID], Table4[Website], "Not Found", 0)</f>
        <v>7</v>
      </c>
      <c r="T496" s="5">
        <f>_xlfn.XLOOKUP(CustomerCombined[[#This Row],[ID]], Table4[ID], Table4[Catalog], "Not Found", 0)</f>
        <v>3</v>
      </c>
      <c r="U496" s="5">
        <f>_xlfn.XLOOKUP(CustomerCombined[[#This Row],[ID]], Table4[ID], Table4[Store], "Not Found", 0)</f>
        <v>13</v>
      </c>
      <c r="V496" s="5">
        <f>_xlfn.XLOOKUP(CustomerCombined[[#This Row],[ID]], Table4[ID], Table4[Visits], "Not Found", 0)</f>
        <v>4</v>
      </c>
      <c r="W496" s="8">
        <f>_xlfn.XLOOKUP(CustomerCombined[[#This Row],[ID]], Table2[ID],Table2[Complaint], "Not Found", 0 )</f>
        <v>0</v>
      </c>
      <c r="X496" s="8">
        <f>_xlfn.XLOOKUP(CustomerCombined[[#This Row],[ID]], Table2[ID],Table2[Pilot], "Not Found", 0 )</f>
        <v>0</v>
      </c>
      <c r="Y496" s="8">
        <f>_xlfn.XLOOKUP(CustomerCombined[[#This Row],[ID]], Table2[ID],Table2[MC1], "Not Found", 0 )</f>
        <v>0</v>
      </c>
      <c r="Z496" s="8">
        <f>_xlfn.XLOOKUP(CustomerCombined[[#This Row],[ID]], Table2[ID],Table2[MC2], "Not Found", 0 )</f>
        <v>0</v>
      </c>
      <c r="AA496" s="8">
        <f>_xlfn.XLOOKUP(CustomerCombined[[#This Row],[ID]], Table2[ID],Table2[MC3], "Not Found", 0 )</f>
        <v>0</v>
      </c>
      <c r="AB496" s="8">
        <f>_xlfn.XLOOKUP(CustomerCombined[[#This Row],[ID]], Table2[ID],Table2[MC4], "Not Found", 0 )</f>
        <v>0</v>
      </c>
      <c r="AC496" s="8">
        <f>_xlfn.XLOOKUP(CustomerCombined[[#This Row],[ID]], Table2[ID],Table2[MC5], "Not Found", 0 )</f>
        <v>0</v>
      </c>
    </row>
    <row r="497" spans="1:29" x14ac:dyDescent="0.3">
      <c r="A497" s="6">
        <v>1190</v>
      </c>
      <c r="B497" s="6">
        <v>163693</v>
      </c>
      <c r="C497" s="6">
        <v>0</v>
      </c>
      <c r="D497" s="6">
        <v>1</v>
      </c>
      <c r="E497" s="6">
        <v>42</v>
      </c>
      <c r="F497" s="5" t="s">
        <v>5</v>
      </c>
      <c r="G497" s="5" t="s">
        <v>11</v>
      </c>
      <c r="H497" s="3" t="s">
        <v>168</v>
      </c>
      <c r="I497" s="5" t="s">
        <v>438</v>
      </c>
      <c r="J497" s="5">
        <f>_xlfn.XLOOKUP(CustomerCombined[[#This Row],[ID]], Table4[ID], Table4[Recency], "Not Found", 0)</f>
        <v>63</v>
      </c>
      <c r="K497" s="5">
        <f>_xlfn.XLOOKUP(CustomerCombined[[#This Row],[ID]], Table4[ID], Table4[Teas], "Not Found", 0)</f>
        <v>1509</v>
      </c>
      <c r="L497" s="5">
        <f>_xlfn.XLOOKUP(CustomerCombined[[#This Row],[ID]], Table4[ID], Table4[Fruits], "Not Found", 0)</f>
        <v>111</v>
      </c>
      <c r="M497" s="5">
        <f>_xlfn.XLOOKUP(CustomerCombined[[#This Row],[ID]], Table4[ID], Table4[Meats], "Not Found", 0)</f>
        <v>866</v>
      </c>
      <c r="N497" s="5">
        <f>_xlfn.XLOOKUP(CustomerCombined[[#This Row],[ID]], Table4[ID], Table4[Seafood], "Not Found", 0)</f>
        <v>108</v>
      </c>
      <c r="O497" s="5">
        <f>_xlfn.XLOOKUP(CustomerCombined[[#This Row],[ID]], Table4[ID], Table4[Sweets], "Not Found", 0)</f>
        <v>224</v>
      </c>
      <c r="P497" s="5">
        <f>_xlfn.XLOOKUP(CustomerCombined[[#This Row],[ID]], Table4[ID], Table4[Premium], "Not Found", 0)</f>
        <v>139</v>
      </c>
      <c r="Q497" s="5">
        <f>_xlfn.XLOOKUP(CustomerCombined[[#This Row],[ID]], Table4[ID], Table4[Regular], "Not Found", 0)</f>
        <v>2678</v>
      </c>
      <c r="R497" s="5">
        <f>_xlfn.XLOOKUP(CustomerCombined[[#This Row],[ID]], Table4[ID], Table4[Deals], "Not Found", 0)</f>
        <v>3</v>
      </c>
      <c r="S497" s="5">
        <f>_xlfn.XLOOKUP(CustomerCombined[[#This Row],[ID]], Table4[ID], Table4[Website], "Not Found", 0)</f>
        <v>11</v>
      </c>
      <c r="T497" s="5">
        <f>_xlfn.XLOOKUP(CustomerCombined[[#This Row],[ID]], Table4[ID], Table4[Catalog], "Not Found", 0)</f>
        <v>6</v>
      </c>
      <c r="U497" s="5">
        <f>_xlfn.XLOOKUP(CustomerCombined[[#This Row],[ID]], Table4[ID], Table4[Store], "Not Found", 0)</f>
        <v>9</v>
      </c>
      <c r="V497" s="5">
        <f>_xlfn.XLOOKUP(CustomerCombined[[#This Row],[ID]], Table4[ID], Table4[Visits], "Not Found", 0)</f>
        <v>6</v>
      </c>
      <c r="W497" s="8">
        <f>_xlfn.XLOOKUP(CustomerCombined[[#This Row],[ID]], Table2[ID],Table2[Complaint], "Not Found", 0 )</f>
        <v>0</v>
      </c>
      <c r="X497" s="8">
        <f>_xlfn.XLOOKUP(CustomerCombined[[#This Row],[ID]], Table2[ID],Table2[Pilot], "Not Found", 0 )</f>
        <v>0</v>
      </c>
      <c r="Y497" s="8">
        <f>_xlfn.XLOOKUP(CustomerCombined[[#This Row],[ID]], Table2[ID],Table2[MC1], "Not Found", 0 )</f>
        <v>0</v>
      </c>
      <c r="Z497" s="8">
        <f>_xlfn.XLOOKUP(CustomerCombined[[#This Row],[ID]], Table2[ID],Table2[MC2], "Not Found", 0 )</f>
        <v>0</v>
      </c>
      <c r="AA497" s="8">
        <f>_xlfn.XLOOKUP(CustomerCombined[[#This Row],[ID]], Table2[ID],Table2[MC3], "Not Found", 0 )</f>
        <v>0</v>
      </c>
      <c r="AB497" s="8">
        <f>_xlfn.XLOOKUP(CustomerCombined[[#This Row],[ID]], Table2[ID],Table2[MC4], "Not Found", 0 )</f>
        <v>0</v>
      </c>
      <c r="AC497" s="8">
        <f>_xlfn.XLOOKUP(CustomerCombined[[#This Row],[ID]], Table2[ID],Table2[MC5], "Not Found", 0 )</f>
        <v>0</v>
      </c>
    </row>
    <row r="498" spans="1:29" x14ac:dyDescent="0.3">
      <c r="A498" s="6">
        <v>1964</v>
      </c>
      <c r="B498" s="6">
        <v>163693</v>
      </c>
      <c r="C498" s="6">
        <v>0</v>
      </c>
      <c r="D498" s="6">
        <v>1</v>
      </c>
      <c r="E498" s="6">
        <v>42</v>
      </c>
      <c r="F498" s="5" t="s">
        <v>5</v>
      </c>
      <c r="G498" s="5" t="s">
        <v>11</v>
      </c>
      <c r="H498" s="3" t="s">
        <v>168</v>
      </c>
      <c r="I498" s="5" t="s">
        <v>438</v>
      </c>
      <c r="J498" s="5">
        <f>_xlfn.XLOOKUP(CustomerCombined[[#This Row],[ID]], Table4[ID], Table4[Recency], "Not Found", 0)</f>
        <v>63</v>
      </c>
      <c r="K498" s="5">
        <f>_xlfn.XLOOKUP(CustomerCombined[[#This Row],[ID]], Table4[ID], Table4[Teas], "Not Found", 0)</f>
        <v>1509</v>
      </c>
      <c r="L498" s="5">
        <f>_xlfn.XLOOKUP(CustomerCombined[[#This Row],[ID]], Table4[ID], Table4[Fruits], "Not Found", 0)</f>
        <v>111</v>
      </c>
      <c r="M498" s="5">
        <f>_xlfn.XLOOKUP(CustomerCombined[[#This Row],[ID]], Table4[ID], Table4[Meats], "Not Found", 0)</f>
        <v>866</v>
      </c>
      <c r="N498" s="5">
        <f>_xlfn.XLOOKUP(CustomerCombined[[#This Row],[ID]], Table4[ID], Table4[Seafood], "Not Found", 0)</f>
        <v>108</v>
      </c>
      <c r="O498" s="5">
        <f>_xlfn.XLOOKUP(CustomerCombined[[#This Row],[ID]], Table4[ID], Table4[Sweets], "Not Found", 0)</f>
        <v>224</v>
      </c>
      <c r="P498" s="5">
        <f>_xlfn.XLOOKUP(CustomerCombined[[#This Row],[ID]], Table4[ID], Table4[Premium], "Not Found", 0)</f>
        <v>139</v>
      </c>
      <c r="Q498" s="5">
        <f>_xlfn.XLOOKUP(CustomerCombined[[#This Row],[ID]], Table4[ID], Table4[Regular], "Not Found", 0)</f>
        <v>2678</v>
      </c>
      <c r="R498" s="5">
        <f>_xlfn.XLOOKUP(CustomerCombined[[#This Row],[ID]], Table4[ID], Table4[Deals], "Not Found", 0)</f>
        <v>3</v>
      </c>
      <c r="S498" s="5">
        <f>_xlfn.XLOOKUP(CustomerCombined[[#This Row],[ID]], Table4[ID], Table4[Website], "Not Found", 0)</f>
        <v>11</v>
      </c>
      <c r="T498" s="5">
        <f>_xlfn.XLOOKUP(CustomerCombined[[#This Row],[ID]], Table4[ID], Table4[Catalog], "Not Found", 0)</f>
        <v>6</v>
      </c>
      <c r="U498" s="5">
        <f>_xlfn.XLOOKUP(CustomerCombined[[#This Row],[ID]], Table4[ID], Table4[Store], "Not Found", 0)</f>
        <v>9</v>
      </c>
      <c r="V498" s="5">
        <f>_xlfn.XLOOKUP(CustomerCombined[[#This Row],[ID]], Table4[ID], Table4[Visits], "Not Found", 0)</f>
        <v>6</v>
      </c>
      <c r="W498" s="8">
        <f>_xlfn.XLOOKUP(CustomerCombined[[#This Row],[ID]], Table2[ID],Table2[Complaint], "Not Found", 0 )</f>
        <v>0</v>
      </c>
      <c r="X498" s="8">
        <f>_xlfn.XLOOKUP(CustomerCombined[[#This Row],[ID]], Table2[ID],Table2[Pilot], "Not Found", 0 )</f>
        <v>0</v>
      </c>
      <c r="Y498" s="8">
        <f>_xlfn.XLOOKUP(CustomerCombined[[#This Row],[ID]], Table2[ID],Table2[MC1], "Not Found", 0 )</f>
        <v>0</v>
      </c>
      <c r="Z498" s="8">
        <f>_xlfn.XLOOKUP(CustomerCombined[[#This Row],[ID]], Table2[ID],Table2[MC2], "Not Found", 0 )</f>
        <v>0</v>
      </c>
      <c r="AA498" s="8">
        <f>_xlfn.XLOOKUP(CustomerCombined[[#This Row],[ID]], Table2[ID],Table2[MC3], "Not Found", 0 )</f>
        <v>0</v>
      </c>
      <c r="AB498" s="8">
        <f>_xlfn.XLOOKUP(CustomerCombined[[#This Row],[ID]], Table2[ID],Table2[MC4], "Not Found", 0 )</f>
        <v>0</v>
      </c>
      <c r="AC498" s="8">
        <f>_xlfn.XLOOKUP(CustomerCombined[[#This Row],[ID]], Table2[ID],Table2[MC5], "Not Found", 0 )</f>
        <v>0</v>
      </c>
    </row>
    <row r="499" spans="1:29" x14ac:dyDescent="0.3">
      <c r="A499" s="6">
        <v>1855</v>
      </c>
      <c r="B499" s="6">
        <v>161346</v>
      </c>
      <c r="C499" s="6">
        <v>1</v>
      </c>
      <c r="D499" s="6">
        <v>0</v>
      </c>
      <c r="E499" s="6">
        <v>42</v>
      </c>
      <c r="F499" s="5" t="s">
        <v>8</v>
      </c>
      <c r="G499" s="5" t="s">
        <v>12</v>
      </c>
      <c r="H499" s="3">
        <v>44168</v>
      </c>
      <c r="I499" s="5" t="s">
        <v>437</v>
      </c>
      <c r="J499" s="5">
        <f>_xlfn.XLOOKUP(CustomerCombined[[#This Row],[ID]], Table4[ID], Table4[Recency], "Not Found", 0)</f>
        <v>34</v>
      </c>
      <c r="K499" s="5">
        <f>_xlfn.XLOOKUP(CustomerCombined[[#This Row],[ID]], Table4[ID], Table4[Teas], "Not Found", 0)</f>
        <v>1478</v>
      </c>
      <c r="L499" s="5">
        <f>_xlfn.XLOOKUP(CustomerCombined[[#This Row],[ID]], Table4[ID], Table4[Fruits], "Not Found", 0)</f>
        <v>153</v>
      </c>
      <c r="M499" s="5">
        <f>_xlfn.XLOOKUP(CustomerCombined[[#This Row],[ID]], Table4[ID], Table4[Meats], "Not Found", 0)</f>
        <v>442</v>
      </c>
      <c r="N499" s="5">
        <f>_xlfn.XLOOKUP(CustomerCombined[[#This Row],[ID]], Table4[ID], Table4[Seafood], "Not Found", 0)</f>
        <v>113</v>
      </c>
      <c r="O499" s="5">
        <f>_xlfn.XLOOKUP(CustomerCombined[[#This Row],[ID]], Table4[ID], Table4[Sweets], "Not Found", 0)</f>
        <v>42</v>
      </c>
      <c r="P499" s="5">
        <f>_xlfn.XLOOKUP(CustomerCombined[[#This Row],[ID]], Table4[ID], Table4[Premium], "Not Found", 0)</f>
        <v>373</v>
      </c>
      <c r="Q499" s="5">
        <f>_xlfn.XLOOKUP(CustomerCombined[[#This Row],[ID]], Table4[ID], Table4[Regular], "Not Found", 0)</f>
        <v>1854</v>
      </c>
      <c r="R499" s="5">
        <f>_xlfn.XLOOKUP(CustomerCombined[[#This Row],[ID]], Table4[ID], Table4[Deals], "Not Found", 0)</f>
        <v>1</v>
      </c>
      <c r="S499" s="5">
        <f>_xlfn.XLOOKUP(CustomerCombined[[#This Row],[ID]], Table4[ID], Table4[Website], "Not Found", 0)</f>
        <v>5</v>
      </c>
      <c r="T499" s="5">
        <f>_xlfn.XLOOKUP(CustomerCombined[[#This Row],[ID]], Table4[ID], Table4[Catalog], "Not Found", 0)</f>
        <v>7</v>
      </c>
      <c r="U499" s="5">
        <f>_xlfn.XLOOKUP(CustomerCombined[[#This Row],[ID]], Table4[ID], Table4[Store], "Not Found", 0)</f>
        <v>10</v>
      </c>
      <c r="V499" s="5">
        <f>_xlfn.XLOOKUP(CustomerCombined[[#This Row],[ID]], Table4[ID], Table4[Visits], "Not Found", 0)</f>
        <v>3</v>
      </c>
      <c r="W499" s="8">
        <f>_xlfn.XLOOKUP(CustomerCombined[[#This Row],[ID]], Table2[ID],Table2[Complaint], "Not Found", 0 )</f>
        <v>0</v>
      </c>
      <c r="X499" s="8">
        <f>_xlfn.XLOOKUP(CustomerCombined[[#This Row],[ID]], Table2[ID],Table2[Pilot], "Not Found", 0 )</f>
        <v>0</v>
      </c>
      <c r="Y499" s="8">
        <f>_xlfn.XLOOKUP(CustomerCombined[[#This Row],[ID]], Table2[ID],Table2[MC1], "Not Found", 0 )</f>
        <v>0</v>
      </c>
      <c r="Z499" s="8">
        <f>_xlfn.XLOOKUP(CustomerCombined[[#This Row],[ID]], Table2[ID],Table2[MC2], "Not Found", 0 )</f>
        <v>0</v>
      </c>
      <c r="AA499" s="8">
        <f>_xlfn.XLOOKUP(CustomerCombined[[#This Row],[ID]], Table2[ID],Table2[MC3], "Not Found", 0 )</f>
        <v>0</v>
      </c>
      <c r="AB499" s="8">
        <f>_xlfn.XLOOKUP(CustomerCombined[[#This Row],[ID]], Table2[ID],Table2[MC4], "Not Found", 0 )</f>
        <v>0</v>
      </c>
      <c r="AC499" s="8">
        <f>_xlfn.XLOOKUP(CustomerCombined[[#This Row],[ID]], Table2[ID],Table2[MC5], "Not Found", 0 )</f>
        <v>0</v>
      </c>
    </row>
    <row r="500" spans="1:29" x14ac:dyDescent="0.3">
      <c r="A500" s="6">
        <v>1147</v>
      </c>
      <c r="B500" s="6">
        <v>160199</v>
      </c>
      <c r="C500" s="6">
        <v>1</v>
      </c>
      <c r="D500" s="6">
        <v>2</v>
      </c>
      <c r="E500" s="6">
        <v>42</v>
      </c>
      <c r="F500" s="5" t="s">
        <v>7</v>
      </c>
      <c r="G500" s="5" t="s">
        <v>11</v>
      </c>
      <c r="H500" s="3" t="s">
        <v>187</v>
      </c>
      <c r="I500" s="5" t="s">
        <v>437</v>
      </c>
      <c r="J500" s="5">
        <f>_xlfn.XLOOKUP(CustomerCombined[[#This Row],[ID]], Table4[ID], Table4[Recency], "Not Found", 0)</f>
        <v>49</v>
      </c>
      <c r="K500" s="5">
        <f>_xlfn.XLOOKUP(CustomerCombined[[#This Row],[ID]], Table4[ID], Table4[Teas], "Not Found", 0)</f>
        <v>21</v>
      </c>
      <c r="L500" s="5">
        <f>_xlfn.XLOOKUP(CustomerCombined[[#This Row],[ID]], Table4[ID], Table4[Fruits], "Not Found", 0)</f>
        <v>3</v>
      </c>
      <c r="M500" s="5">
        <f>_xlfn.XLOOKUP(CustomerCombined[[#This Row],[ID]], Table4[ID], Table4[Meats], "Not Found", 0)</f>
        <v>19</v>
      </c>
      <c r="N500" s="5">
        <f>_xlfn.XLOOKUP(CustomerCombined[[#This Row],[ID]], Table4[ID], Table4[Seafood], "Not Found", 0)</f>
        <v>5</v>
      </c>
      <c r="O500" s="5">
        <f>_xlfn.XLOOKUP(CustomerCombined[[#This Row],[ID]], Table4[ID], Table4[Sweets], "Not Found", 0)</f>
        <v>0</v>
      </c>
      <c r="P500" s="5">
        <f>_xlfn.XLOOKUP(CustomerCombined[[#This Row],[ID]], Table4[ID], Table4[Premium], "Not Found", 0)</f>
        <v>0</v>
      </c>
      <c r="Q500" s="5">
        <f>_xlfn.XLOOKUP(CustomerCombined[[#This Row],[ID]], Table4[ID], Table4[Regular], "Not Found", 0)</f>
        <v>48</v>
      </c>
      <c r="R500" s="5">
        <f>_xlfn.XLOOKUP(CustomerCombined[[#This Row],[ID]], Table4[ID], Table4[Deals], "Not Found", 0)</f>
        <v>1</v>
      </c>
      <c r="S500" s="5">
        <f>_xlfn.XLOOKUP(CustomerCombined[[#This Row],[ID]], Table4[ID], Table4[Website], "Not Found", 0)</f>
        <v>0</v>
      </c>
      <c r="T500" s="5">
        <f>_xlfn.XLOOKUP(CustomerCombined[[#This Row],[ID]], Table4[ID], Table4[Catalog], "Not Found", 0)</f>
        <v>0</v>
      </c>
      <c r="U500" s="5">
        <f>_xlfn.XLOOKUP(CustomerCombined[[#This Row],[ID]], Table4[ID], Table4[Store], "Not Found", 0)</f>
        <v>3</v>
      </c>
      <c r="V500" s="5">
        <f>_xlfn.XLOOKUP(CustomerCombined[[#This Row],[ID]], Table4[ID], Table4[Visits], "Not Found", 0)</f>
        <v>4</v>
      </c>
      <c r="W500" s="8">
        <f>_xlfn.XLOOKUP(CustomerCombined[[#This Row],[ID]], Table2[ID],Table2[Complaint], "Not Found", 0 )</f>
        <v>0</v>
      </c>
      <c r="X500" s="8">
        <f>_xlfn.XLOOKUP(CustomerCombined[[#This Row],[ID]], Table2[ID],Table2[Pilot], "Not Found", 0 )</f>
        <v>0</v>
      </c>
      <c r="Y500" s="8">
        <f>_xlfn.XLOOKUP(CustomerCombined[[#This Row],[ID]], Table2[ID],Table2[MC1], "Not Found", 0 )</f>
        <v>0</v>
      </c>
      <c r="Z500" s="8">
        <f>_xlfn.XLOOKUP(CustomerCombined[[#This Row],[ID]], Table2[ID],Table2[MC2], "Not Found", 0 )</f>
        <v>0</v>
      </c>
      <c r="AA500" s="8">
        <f>_xlfn.XLOOKUP(CustomerCombined[[#This Row],[ID]], Table2[ID],Table2[MC3], "Not Found", 0 )</f>
        <v>0</v>
      </c>
      <c r="AB500" s="8">
        <f>_xlfn.XLOOKUP(CustomerCombined[[#This Row],[ID]], Table2[ID],Table2[MC4], "Not Found", 0 )</f>
        <v>0</v>
      </c>
      <c r="AC500" s="8">
        <f>_xlfn.XLOOKUP(CustomerCombined[[#This Row],[ID]], Table2[ID],Table2[MC5], "Not Found", 0 )</f>
        <v>0</v>
      </c>
    </row>
    <row r="501" spans="1:29" x14ac:dyDescent="0.3">
      <c r="A501" s="6">
        <v>2469</v>
      </c>
      <c r="B501" s="6">
        <v>157867</v>
      </c>
      <c r="C501" s="6">
        <v>1</v>
      </c>
      <c r="D501" s="6">
        <v>0</v>
      </c>
      <c r="E501" s="6">
        <v>42</v>
      </c>
      <c r="F501" s="5" t="s">
        <v>8</v>
      </c>
      <c r="G501" s="5" t="s">
        <v>11</v>
      </c>
      <c r="H501" s="3">
        <v>44015</v>
      </c>
      <c r="I501" s="5" t="s">
        <v>435</v>
      </c>
      <c r="J501" s="5">
        <f>_xlfn.XLOOKUP(CustomerCombined[[#This Row],[ID]], Table4[ID], Table4[Recency], "Not Found", 0)</f>
        <v>48</v>
      </c>
      <c r="K501" s="5">
        <f>_xlfn.XLOOKUP(CustomerCombined[[#This Row],[ID]], Table4[ID], Table4[Teas], "Not Found", 0)</f>
        <v>938</v>
      </c>
      <c r="L501" s="5">
        <f>_xlfn.XLOOKUP(CustomerCombined[[#This Row],[ID]], Table4[ID], Table4[Fruits], "Not Found", 0)</f>
        <v>95</v>
      </c>
      <c r="M501" s="5">
        <f>_xlfn.XLOOKUP(CustomerCombined[[#This Row],[ID]], Table4[ID], Table4[Meats], "Not Found", 0)</f>
        <v>486</v>
      </c>
      <c r="N501" s="5">
        <f>_xlfn.XLOOKUP(CustomerCombined[[#This Row],[ID]], Table4[ID], Table4[Seafood], "Not Found", 0)</f>
        <v>41</v>
      </c>
      <c r="O501" s="5">
        <f>_xlfn.XLOOKUP(CustomerCombined[[#This Row],[ID]], Table4[ID], Table4[Sweets], "Not Found", 0)</f>
        <v>63</v>
      </c>
      <c r="P501" s="5">
        <f>_xlfn.XLOOKUP(CustomerCombined[[#This Row],[ID]], Table4[ID], Table4[Premium], "Not Found", 0)</f>
        <v>46</v>
      </c>
      <c r="Q501" s="5">
        <f>_xlfn.XLOOKUP(CustomerCombined[[#This Row],[ID]], Table4[ID], Table4[Regular], "Not Found", 0)</f>
        <v>1577</v>
      </c>
      <c r="R501" s="5">
        <f>_xlfn.XLOOKUP(CustomerCombined[[#This Row],[ID]], Table4[ID], Table4[Deals], "Not Found", 0)</f>
        <v>7</v>
      </c>
      <c r="S501" s="5">
        <f>_xlfn.XLOOKUP(CustomerCombined[[#This Row],[ID]], Table4[ID], Table4[Website], "Not Found", 0)</f>
        <v>7</v>
      </c>
      <c r="T501" s="5">
        <f>_xlfn.XLOOKUP(CustomerCombined[[#This Row],[ID]], Table4[ID], Table4[Catalog], "Not Found", 0)</f>
        <v>2</v>
      </c>
      <c r="U501" s="5">
        <f>_xlfn.XLOOKUP(CustomerCombined[[#This Row],[ID]], Table4[ID], Table4[Store], "Not Found", 0)</f>
        <v>9</v>
      </c>
      <c r="V501" s="5">
        <f>_xlfn.XLOOKUP(CustomerCombined[[#This Row],[ID]], Table4[ID], Table4[Visits], "Not Found", 0)</f>
        <v>6</v>
      </c>
      <c r="W501" s="8">
        <f>_xlfn.XLOOKUP(CustomerCombined[[#This Row],[ID]], Table2[ID],Table2[Complaint], "Not Found", 0 )</f>
        <v>0</v>
      </c>
      <c r="X501" s="8">
        <f>_xlfn.XLOOKUP(CustomerCombined[[#This Row],[ID]], Table2[ID],Table2[Pilot], "Not Found", 0 )</f>
        <v>0</v>
      </c>
      <c r="Y501" s="8">
        <f>_xlfn.XLOOKUP(CustomerCombined[[#This Row],[ID]], Table2[ID],Table2[MC1], "Not Found", 0 )</f>
        <v>0</v>
      </c>
      <c r="Z501" s="8">
        <f>_xlfn.XLOOKUP(CustomerCombined[[#This Row],[ID]], Table2[ID],Table2[MC2], "Not Found", 0 )</f>
        <v>0</v>
      </c>
      <c r="AA501" s="8">
        <f>_xlfn.XLOOKUP(CustomerCombined[[#This Row],[ID]], Table2[ID],Table2[MC3], "Not Found", 0 )</f>
        <v>0</v>
      </c>
      <c r="AB501" s="8">
        <f>_xlfn.XLOOKUP(CustomerCombined[[#This Row],[ID]], Table2[ID],Table2[MC4], "Not Found", 0 )</f>
        <v>0</v>
      </c>
      <c r="AC501" s="8">
        <f>_xlfn.XLOOKUP(CustomerCombined[[#This Row],[ID]], Table2[ID],Table2[MC5], "Not Found", 0 )</f>
        <v>0</v>
      </c>
    </row>
    <row r="502" spans="1:29" x14ac:dyDescent="0.3">
      <c r="A502" s="6">
        <v>2961</v>
      </c>
      <c r="B502" s="6">
        <v>157113</v>
      </c>
      <c r="C502" s="6">
        <v>1</v>
      </c>
      <c r="D502" s="6">
        <v>1</v>
      </c>
      <c r="E502" s="6">
        <v>42</v>
      </c>
      <c r="F502" s="5" t="s">
        <v>6</v>
      </c>
      <c r="G502" s="5" t="s">
        <v>11</v>
      </c>
      <c r="H502" s="3" t="s">
        <v>317</v>
      </c>
      <c r="I502" s="5" t="s">
        <v>435</v>
      </c>
      <c r="J502" s="5">
        <f>_xlfn.XLOOKUP(CustomerCombined[[#This Row],[ID]], Table4[ID], Table4[Recency], "Not Found", 0)</f>
        <v>45</v>
      </c>
      <c r="K502" s="5">
        <f>_xlfn.XLOOKUP(CustomerCombined[[#This Row],[ID]], Table4[ID], Table4[Teas], "Not Found", 0)</f>
        <v>501</v>
      </c>
      <c r="L502" s="5">
        <f>_xlfn.XLOOKUP(CustomerCombined[[#This Row],[ID]], Table4[ID], Table4[Fruits], "Not Found", 0)</f>
        <v>11</v>
      </c>
      <c r="M502" s="5">
        <f>_xlfn.XLOOKUP(CustomerCombined[[#This Row],[ID]], Table4[ID], Table4[Meats], "Not Found", 0)</f>
        <v>91</v>
      </c>
      <c r="N502" s="5">
        <f>_xlfn.XLOOKUP(CustomerCombined[[#This Row],[ID]], Table4[ID], Table4[Seafood], "Not Found", 0)</f>
        <v>0</v>
      </c>
      <c r="O502" s="5">
        <f>_xlfn.XLOOKUP(CustomerCombined[[#This Row],[ID]], Table4[ID], Table4[Sweets], "Not Found", 0)</f>
        <v>6</v>
      </c>
      <c r="P502" s="5">
        <f>_xlfn.XLOOKUP(CustomerCombined[[#This Row],[ID]], Table4[ID], Table4[Premium], "Not Found", 0)</f>
        <v>116</v>
      </c>
      <c r="Q502" s="5">
        <f>_xlfn.XLOOKUP(CustomerCombined[[#This Row],[ID]], Table4[ID], Table4[Regular], "Not Found", 0)</f>
        <v>492</v>
      </c>
      <c r="R502" s="5">
        <f>_xlfn.XLOOKUP(CustomerCombined[[#This Row],[ID]], Table4[ID], Table4[Deals], "Not Found", 0)</f>
        <v>6</v>
      </c>
      <c r="S502" s="5">
        <f>_xlfn.XLOOKUP(CustomerCombined[[#This Row],[ID]], Table4[ID], Table4[Website], "Not Found", 0)</f>
        <v>4</v>
      </c>
      <c r="T502" s="5">
        <f>_xlfn.XLOOKUP(CustomerCombined[[#This Row],[ID]], Table4[ID], Table4[Catalog], "Not Found", 0)</f>
        <v>1</v>
      </c>
      <c r="U502" s="5">
        <f>_xlfn.XLOOKUP(CustomerCombined[[#This Row],[ID]], Table4[ID], Table4[Store], "Not Found", 0)</f>
        <v>5</v>
      </c>
      <c r="V502" s="5">
        <f>_xlfn.XLOOKUP(CustomerCombined[[#This Row],[ID]], Table4[ID], Table4[Visits], "Not Found", 0)</f>
        <v>7</v>
      </c>
      <c r="W502" s="8">
        <f>_xlfn.XLOOKUP(CustomerCombined[[#This Row],[ID]], Table2[ID],Table2[Complaint], "Not Found", 0 )</f>
        <v>0</v>
      </c>
      <c r="X502" s="8">
        <f>_xlfn.XLOOKUP(CustomerCombined[[#This Row],[ID]], Table2[ID],Table2[Pilot], "Not Found", 0 )</f>
        <v>0</v>
      </c>
      <c r="Y502" s="8">
        <f>_xlfn.XLOOKUP(CustomerCombined[[#This Row],[ID]], Table2[ID],Table2[MC1], "Not Found", 0 )</f>
        <v>0</v>
      </c>
      <c r="Z502" s="8">
        <f>_xlfn.XLOOKUP(CustomerCombined[[#This Row],[ID]], Table2[ID],Table2[MC2], "Not Found", 0 )</f>
        <v>0</v>
      </c>
      <c r="AA502" s="8">
        <f>_xlfn.XLOOKUP(CustomerCombined[[#This Row],[ID]], Table2[ID],Table2[MC3], "Not Found", 0 )</f>
        <v>0</v>
      </c>
      <c r="AB502" s="8">
        <f>_xlfn.XLOOKUP(CustomerCombined[[#This Row],[ID]], Table2[ID],Table2[MC4], "Not Found", 0 )</f>
        <v>0</v>
      </c>
      <c r="AC502" s="8">
        <f>_xlfn.XLOOKUP(CustomerCombined[[#This Row],[ID]], Table2[ID],Table2[MC5], "Not Found", 0 )</f>
        <v>0</v>
      </c>
    </row>
    <row r="503" spans="1:29" x14ac:dyDescent="0.3">
      <c r="A503" s="6">
        <v>1480</v>
      </c>
      <c r="B503" s="6">
        <v>155563</v>
      </c>
      <c r="C503" s="6">
        <v>0</v>
      </c>
      <c r="D503" s="6">
        <v>1</v>
      </c>
      <c r="E503" s="6">
        <v>42</v>
      </c>
      <c r="F503" s="5" t="s">
        <v>5</v>
      </c>
      <c r="G503" s="5" t="s">
        <v>11</v>
      </c>
      <c r="H503" s="3">
        <v>44083</v>
      </c>
      <c r="I503" s="5" t="s">
        <v>439</v>
      </c>
      <c r="J503" s="5">
        <f>_xlfn.XLOOKUP(CustomerCombined[[#This Row],[ID]], Table4[ID], Table4[Recency], "Not Found", 0)</f>
        <v>22</v>
      </c>
      <c r="K503" s="5">
        <f>_xlfn.XLOOKUP(CustomerCombined[[#This Row],[ID]], Table4[ID], Table4[Teas], "Not Found", 0)</f>
        <v>81</v>
      </c>
      <c r="L503" s="5">
        <f>_xlfn.XLOOKUP(CustomerCombined[[#This Row],[ID]], Table4[ID], Table4[Fruits], "Not Found", 0)</f>
        <v>3</v>
      </c>
      <c r="M503" s="5">
        <f>_xlfn.XLOOKUP(CustomerCombined[[#This Row],[ID]], Table4[ID], Table4[Meats], "Not Found", 0)</f>
        <v>25</v>
      </c>
      <c r="N503" s="5">
        <f>_xlfn.XLOOKUP(CustomerCombined[[#This Row],[ID]], Table4[ID], Table4[Seafood], "Not Found", 0)</f>
        <v>6</v>
      </c>
      <c r="O503" s="5">
        <f>_xlfn.XLOOKUP(CustomerCombined[[#This Row],[ID]], Table4[ID], Table4[Sweets], "Not Found", 0)</f>
        <v>0</v>
      </c>
      <c r="P503" s="5">
        <f>_xlfn.XLOOKUP(CustomerCombined[[#This Row],[ID]], Table4[ID], Table4[Premium], "Not Found", 0)</f>
        <v>6</v>
      </c>
      <c r="Q503" s="5">
        <f>_xlfn.XLOOKUP(CustomerCombined[[#This Row],[ID]], Table4[ID], Table4[Regular], "Not Found", 0)</f>
        <v>109</v>
      </c>
      <c r="R503" s="5">
        <f>_xlfn.XLOOKUP(CustomerCombined[[#This Row],[ID]], Table4[ID], Table4[Deals], "Not Found", 0)</f>
        <v>1</v>
      </c>
      <c r="S503" s="5">
        <f>_xlfn.XLOOKUP(CustomerCombined[[#This Row],[ID]], Table4[ID], Table4[Website], "Not Found", 0)</f>
        <v>2</v>
      </c>
      <c r="T503" s="5">
        <f>_xlfn.XLOOKUP(CustomerCombined[[#This Row],[ID]], Table4[ID], Table4[Catalog], "Not Found", 0)</f>
        <v>0</v>
      </c>
      <c r="U503" s="5">
        <f>_xlfn.XLOOKUP(CustomerCombined[[#This Row],[ID]], Table4[ID], Table4[Store], "Not Found", 0)</f>
        <v>3</v>
      </c>
      <c r="V503" s="5">
        <f>_xlfn.XLOOKUP(CustomerCombined[[#This Row],[ID]], Table4[ID], Table4[Visits], "Not Found", 0)</f>
        <v>3</v>
      </c>
      <c r="W503" s="8">
        <f>_xlfn.XLOOKUP(CustomerCombined[[#This Row],[ID]], Table2[ID],Table2[Complaint], "Not Found", 0 )</f>
        <v>0</v>
      </c>
      <c r="X503" s="8">
        <f>_xlfn.XLOOKUP(CustomerCombined[[#This Row],[ID]], Table2[ID],Table2[Pilot], "Not Found", 0 )</f>
        <v>0</v>
      </c>
      <c r="Y503" s="8">
        <f>_xlfn.XLOOKUP(CustomerCombined[[#This Row],[ID]], Table2[ID],Table2[MC1], "Not Found", 0 )</f>
        <v>0</v>
      </c>
      <c r="Z503" s="8">
        <f>_xlfn.XLOOKUP(CustomerCombined[[#This Row],[ID]], Table2[ID],Table2[MC2], "Not Found", 0 )</f>
        <v>0</v>
      </c>
      <c r="AA503" s="8">
        <f>_xlfn.XLOOKUP(CustomerCombined[[#This Row],[ID]], Table2[ID],Table2[MC3], "Not Found", 0 )</f>
        <v>0</v>
      </c>
      <c r="AB503" s="8">
        <f>_xlfn.XLOOKUP(CustomerCombined[[#This Row],[ID]], Table2[ID],Table2[MC4], "Not Found", 0 )</f>
        <v>0</v>
      </c>
      <c r="AC503" s="8">
        <f>_xlfn.XLOOKUP(CustomerCombined[[#This Row],[ID]], Table2[ID],Table2[MC5], "Not Found", 0 )</f>
        <v>0</v>
      </c>
    </row>
    <row r="504" spans="1:29" x14ac:dyDescent="0.3">
      <c r="A504" s="6">
        <v>1540</v>
      </c>
      <c r="B504" s="6">
        <v>154880</v>
      </c>
      <c r="C504" s="6">
        <v>1</v>
      </c>
      <c r="D504" s="6">
        <v>0</v>
      </c>
      <c r="E504" s="6">
        <v>42</v>
      </c>
      <c r="F504" s="5" t="s">
        <v>7</v>
      </c>
      <c r="G504" s="5" t="s">
        <v>13</v>
      </c>
      <c r="H504" s="3">
        <v>43624</v>
      </c>
      <c r="I504" s="5" t="s">
        <v>439</v>
      </c>
      <c r="J504" s="5">
        <f>_xlfn.XLOOKUP(CustomerCombined[[#This Row],[ID]], Table4[ID], Table4[Recency], "Not Found", 0)</f>
        <v>57</v>
      </c>
      <c r="K504" s="5">
        <f>_xlfn.XLOOKUP(CustomerCombined[[#This Row],[ID]], Table4[ID], Table4[Teas], "Not Found", 0)</f>
        <v>869</v>
      </c>
      <c r="L504" s="5">
        <f>_xlfn.XLOOKUP(CustomerCombined[[#This Row],[ID]], Table4[ID], Table4[Fruits], "Not Found", 0)</f>
        <v>240</v>
      </c>
      <c r="M504" s="5">
        <f>_xlfn.XLOOKUP(CustomerCombined[[#This Row],[ID]], Table4[ID], Table4[Meats], "Not Found", 0)</f>
        <v>387</v>
      </c>
      <c r="N504" s="5">
        <f>_xlfn.XLOOKUP(CustomerCombined[[#This Row],[ID]], Table4[ID], Table4[Seafood], "Not Found", 0)</f>
        <v>288</v>
      </c>
      <c r="O504" s="5">
        <f>_xlfn.XLOOKUP(CustomerCombined[[#This Row],[ID]], Table4[ID], Table4[Sweets], "Not Found", 0)</f>
        <v>127</v>
      </c>
      <c r="P504" s="5">
        <f>_xlfn.XLOOKUP(CustomerCombined[[#This Row],[ID]], Table4[ID], Table4[Premium], "Not Found", 0)</f>
        <v>333</v>
      </c>
      <c r="Q504" s="5">
        <f>_xlfn.XLOOKUP(CustomerCombined[[#This Row],[ID]], Table4[ID], Table4[Regular], "Not Found", 0)</f>
        <v>1578</v>
      </c>
      <c r="R504" s="5">
        <f>_xlfn.XLOOKUP(CustomerCombined[[#This Row],[ID]], Table4[ID], Table4[Deals], "Not Found", 0)</f>
        <v>2</v>
      </c>
      <c r="S504" s="5">
        <f>_xlfn.XLOOKUP(CustomerCombined[[#This Row],[ID]], Table4[ID], Table4[Website], "Not Found", 0)</f>
        <v>6</v>
      </c>
      <c r="T504" s="5">
        <f>_xlfn.XLOOKUP(CustomerCombined[[#This Row],[ID]], Table4[ID], Table4[Catalog], "Not Found", 0)</f>
        <v>2</v>
      </c>
      <c r="U504" s="5">
        <f>_xlfn.XLOOKUP(CustomerCombined[[#This Row],[ID]], Table4[ID], Table4[Store], "Not Found", 0)</f>
        <v>11</v>
      </c>
      <c r="V504" s="5">
        <f>_xlfn.XLOOKUP(CustomerCombined[[#This Row],[ID]], Table4[ID], Table4[Visits], "Not Found", 0)</f>
        <v>5</v>
      </c>
      <c r="W504" s="8">
        <f>_xlfn.XLOOKUP(CustomerCombined[[#This Row],[ID]], Table2[ID],Table2[Complaint], "Not Found", 0 )</f>
        <v>0</v>
      </c>
      <c r="X504" s="8">
        <f>_xlfn.XLOOKUP(CustomerCombined[[#This Row],[ID]], Table2[ID],Table2[Pilot], "Not Found", 0 )</f>
        <v>0</v>
      </c>
      <c r="Y504" s="8">
        <f>_xlfn.XLOOKUP(CustomerCombined[[#This Row],[ID]], Table2[ID],Table2[MC1], "Not Found", 0 )</f>
        <v>0</v>
      </c>
      <c r="Z504" s="8">
        <f>_xlfn.XLOOKUP(CustomerCombined[[#This Row],[ID]], Table2[ID],Table2[MC2], "Not Found", 0 )</f>
        <v>0</v>
      </c>
      <c r="AA504" s="8">
        <f>_xlfn.XLOOKUP(CustomerCombined[[#This Row],[ID]], Table2[ID],Table2[MC3], "Not Found", 0 )</f>
        <v>0</v>
      </c>
      <c r="AB504" s="8">
        <f>_xlfn.XLOOKUP(CustomerCombined[[#This Row],[ID]], Table2[ID],Table2[MC4], "Not Found", 0 )</f>
        <v>0</v>
      </c>
      <c r="AC504" s="8">
        <f>_xlfn.XLOOKUP(CustomerCombined[[#This Row],[ID]], Table2[ID],Table2[MC5], "Not Found", 0 )</f>
        <v>0</v>
      </c>
    </row>
    <row r="505" spans="1:29" x14ac:dyDescent="0.3">
      <c r="A505" s="6">
        <v>1601</v>
      </c>
      <c r="B505" s="6">
        <v>154162</v>
      </c>
      <c r="C505" s="6">
        <v>1</v>
      </c>
      <c r="D505" s="6">
        <v>1</v>
      </c>
      <c r="E505" s="6">
        <v>42</v>
      </c>
      <c r="F505" s="5" t="s">
        <v>9</v>
      </c>
      <c r="G505" s="5" t="s">
        <v>11</v>
      </c>
      <c r="H505" s="3" t="s">
        <v>290</v>
      </c>
      <c r="I505" s="5" t="s">
        <v>434</v>
      </c>
      <c r="J505" s="5">
        <f>_xlfn.XLOOKUP(CustomerCombined[[#This Row],[ID]], Table4[ID], Table4[Recency], "Not Found", 0)</f>
        <v>31</v>
      </c>
      <c r="K505" s="5">
        <f>_xlfn.XLOOKUP(CustomerCombined[[#This Row],[ID]], Table4[ID], Table4[Teas], "Not Found", 0)</f>
        <v>14</v>
      </c>
      <c r="L505" s="5">
        <f>_xlfn.XLOOKUP(CustomerCombined[[#This Row],[ID]], Table4[ID], Table4[Fruits], "Not Found", 0)</f>
        <v>17</v>
      </c>
      <c r="M505" s="5">
        <f>_xlfn.XLOOKUP(CustomerCombined[[#This Row],[ID]], Table4[ID], Table4[Meats], "Not Found", 0)</f>
        <v>28</v>
      </c>
      <c r="N505" s="5">
        <f>_xlfn.XLOOKUP(CustomerCombined[[#This Row],[ID]], Table4[ID], Table4[Seafood], "Not Found", 0)</f>
        <v>17</v>
      </c>
      <c r="O505" s="5">
        <f>_xlfn.XLOOKUP(CustomerCombined[[#This Row],[ID]], Table4[ID], Table4[Sweets], "Not Found", 0)</f>
        <v>14</v>
      </c>
      <c r="P505" s="5">
        <f>_xlfn.XLOOKUP(CustomerCombined[[#This Row],[ID]], Table4[ID], Table4[Premium], "Not Found", 0)</f>
        <v>28</v>
      </c>
      <c r="Q505" s="5">
        <f>_xlfn.XLOOKUP(CustomerCombined[[#This Row],[ID]], Table4[ID], Table4[Regular], "Not Found", 0)</f>
        <v>63</v>
      </c>
      <c r="R505" s="5">
        <f>_xlfn.XLOOKUP(CustomerCombined[[#This Row],[ID]], Table4[ID], Table4[Deals], "Not Found", 0)</f>
        <v>1</v>
      </c>
      <c r="S505" s="5">
        <f>_xlfn.XLOOKUP(CustomerCombined[[#This Row],[ID]], Table4[ID], Table4[Website], "Not Found", 0)</f>
        <v>1</v>
      </c>
      <c r="T505" s="5">
        <f>_xlfn.XLOOKUP(CustomerCombined[[#This Row],[ID]], Table4[ID], Table4[Catalog], "Not Found", 0)</f>
        <v>0</v>
      </c>
      <c r="U505" s="5">
        <f>_xlfn.XLOOKUP(CustomerCombined[[#This Row],[ID]], Table4[ID], Table4[Store], "Not Found", 0)</f>
        <v>3</v>
      </c>
      <c r="V505" s="5">
        <f>_xlfn.XLOOKUP(CustomerCombined[[#This Row],[ID]], Table4[ID], Table4[Visits], "Not Found", 0)</f>
        <v>4</v>
      </c>
      <c r="W505" s="8">
        <f>_xlfn.XLOOKUP(CustomerCombined[[#This Row],[ID]], Table2[ID],Table2[Complaint], "Not Found", 0 )</f>
        <v>0</v>
      </c>
      <c r="X505" s="8">
        <f>_xlfn.XLOOKUP(CustomerCombined[[#This Row],[ID]], Table2[ID],Table2[Pilot], "Not Found", 0 )</f>
        <v>0</v>
      </c>
      <c r="Y505" s="8">
        <f>_xlfn.XLOOKUP(CustomerCombined[[#This Row],[ID]], Table2[ID],Table2[MC1], "Not Found", 0 )</f>
        <v>0</v>
      </c>
      <c r="Z505" s="8">
        <f>_xlfn.XLOOKUP(CustomerCombined[[#This Row],[ID]], Table2[ID],Table2[MC2], "Not Found", 0 )</f>
        <v>0</v>
      </c>
      <c r="AA505" s="8">
        <f>_xlfn.XLOOKUP(CustomerCombined[[#This Row],[ID]], Table2[ID],Table2[MC3], "Not Found", 0 )</f>
        <v>0</v>
      </c>
      <c r="AB505" s="8">
        <f>_xlfn.XLOOKUP(CustomerCombined[[#This Row],[ID]], Table2[ID],Table2[MC4], "Not Found", 0 )</f>
        <v>0</v>
      </c>
      <c r="AC505" s="8">
        <f>_xlfn.XLOOKUP(CustomerCombined[[#This Row],[ID]], Table2[ID],Table2[MC5], "Not Found", 0 )</f>
        <v>0</v>
      </c>
    </row>
    <row r="506" spans="1:29" x14ac:dyDescent="0.3">
      <c r="A506" s="6">
        <v>1849</v>
      </c>
      <c r="B506" s="6">
        <v>153172</v>
      </c>
      <c r="C506" s="6">
        <v>0</v>
      </c>
      <c r="D506" s="6">
        <v>1</v>
      </c>
      <c r="E506" s="6">
        <v>42</v>
      </c>
      <c r="F506" s="5" t="s">
        <v>8</v>
      </c>
      <c r="G506" s="5" t="s">
        <v>11</v>
      </c>
      <c r="H506" s="3">
        <v>43779</v>
      </c>
      <c r="I506" s="5" t="s">
        <v>437</v>
      </c>
      <c r="J506" s="5">
        <f>_xlfn.XLOOKUP(CustomerCombined[[#This Row],[ID]], Table4[ID], Table4[Recency], "Not Found", 0)</f>
        <v>54</v>
      </c>
      <c r="K506" s="5">
        <f>_xlfn.XLOOKUP(CustomerCombined[[#This Row],[ID]], Table4[ID], Table4[Teas], "Not Found", 0)</f>
        <v>349</v>
      </c>
      <c r="L506" s="5">
        <f>_xlfn.XLOOKUP(CustomerCombined[[#This Row],[ID]], Table4[ID], Table4[Fruits], "Not Found", 0)</f>
        <v>179</v>
      </c>
      <c r="M506" s="5">
        <f>_xlfn.XLOOKUP(CustomerCombined[[#This Row],[ID]], Table4[ID], Table4[Meats], "Not Found", 0)</f>
        <v>259</v>
      </c>
      <c r="N506" s="5">
        <f>_xlfn.XLOOKUP(CustomerCombined[[#This Row],[ID]], Table4[ID], Table4[Seafood], "Not Found", 0)</f>
        <v>196</v>
      </c>
      <c r="O506" s="5">
        <f>_xlfn.XLOOKUP(CustomerCombined[[#This Row],[ID]], Table4[ID], Table4[Sweets], "Not Found", 0)</f>
        <v>58</v>
      </c>
      <c r="P506" s="5">
        <f>_xlfn.XLOOKUP(CustomerCombined[[#This Row],[ID]], Table4[ID], Table4[Premium], "Not Found", 0)</f>
        <v>360</v>
      </c>
      <c r="Q506" s="5">
        <f>_xlfn.XLOOKUP(CustomerCombined[[#This Row],[ID]], Table4[ID], Table4[Regular], "Not Found", 0)</f>
        <v>680</v>
      </c>
      <c r="R506" s="5">
        <f>_xlfn.XLOOKUP(CustomerCombined[[#This Row],[ID]], Table4[ID], Table4[Deals], "Not Found", 0)</f>
        <v>3</v>
      </c>
      <c r="S506" s="5">
        <f>_xlfn.XLOOKUP(CustomerCombined[[#This Row],[ID]], Table4[ID], Table4[Website], "Not Found", 0)</f>
        <v>2</v>
      </c>
      <c r="T506" s="5">
        <f>_xlfn.XLOOKUP(CustomerCombined[[#This Row],[ID]], Table4[ID], Table4[Catalog], "Not Found", 0)</f>
        <v>3</v>
      </c>
      <c r="U506" s="5">
        <f>_xlfn.XLOOKUP(CustomerCombined[[#This Row],[ID]], Table4[ID], Table4[Store], "Not Found", 0)</f>
        <v>8</v>
      </c>
      <c r="V506" s="5">
        <f>_xlfn.XLOOKUP(CustomerCombined[[#This Row],[ID]], Table4[ID], Table4[Visits], "Not Found", 0)</f>
        <v>3</v>
      </c>
      <c r="W506" s="8">
        <f>_xlfn.XLOOKUP(CustomerCombined[[#This Row],[ID]], Table2[ID],Table2[Complaint], "Not Found", 0 )</f>
        <v>0</v>
      </c>
      <c r="X506" s="8">
        <f>_xlfn.XLOOKUP(CustomerCombined[[#This Row],[ID]], Table2[ID],Table2[Pilot], "Not Found", 0 )</f>
        <v>0</v>
      </c>
      <c r="Y506" s="8">
        <f>_xlfn.XLOOKUP(CustomerCombined[[#This Row],[ID]], Table2[ID],Table2[MC1], "Not Found", 0 )</f>
        <v>0</v>
      </c>
      <c r="Z506" s="8">
        <f>_xlfn.XLOOKUP(CustomerCombined[[#This Row],[ID]], Table2[ID],Table2[MC2], "Not Found", 0 )</f>
        <v>0</v>
      </c>
      <c r="AA506" s="8">
        <f>_xlfn.XLOOKUP(CustomerCombined[[#This Row],[ID]], Table2[ID],Table2[MC3], "Not Found", 0 )</f>
        <v>0</v>
      </c>
      <c r="AB506" s="8">
        <f>_xlfn.XLOOKUP(CustomerCombined[[#This Row],[ID]], Table2[ID],Table2[MC4], "Not Found", 0 )</f>
        <v>0</v>
      </c>
      <c r="AC506" s="8">
        <f>_xlfn.XLOOKUP(CustomerCombined[[#This Row],[ID]], Table2[ID],Table2[MC5], "Not Found", 0 )</f>
        <v>0</v>
      </c>
    </row>
    <row r="507" spans="1:29" x14ac:dyDescent="0.3">
      <c r="A507" s="6">
        <v>2799</v>
      </c>
      <c r="B507" s="6">
        <v>152513</v>
      </c>
      <c r="C507" s="6">
        <v>0</v>
      </c>
      <c r="D507" s="6">
        <v>0</v>
      </c>
      <c r="E507" s="6">
        <v>42</v>
      </c>
      <c r="F507" s="5" t="s">
        <v>8</v>
      </c>
      <c r="G507" s="5" t="s">
        <v>442</v>
      </c>
      <c r="H507" s="3">
        <v>43710</v>
      </c>
      <c r="I507" s="5" t="s">
        <v>435</v>
      </c>
      <c r="J507" s="5">
        <f>_xlfn.XLOOKUP(CustomerCombined[[#This Row],[ID]], Table4[ID], Table4[Recency], "Not Found", 0)</f>
        <v>84</v>
      </c>
      <c r="K507" s="5">
        <f>_xlfn.XLOOKUP(CustomerCombined[[#This Row],[ID]], Table4[ID], Table4[Teas], "Not Found", 0)</f>
        <v>1066</v>
      </c>
      <c r="L507" s="5">
        <f>_xlfn.XLOOKUP(CustomerCombined[[#This Row],[ID]], Table4[ID], Table4[Fruits], "Not Found", 0)</f>
        <v>49</v>
      </c>
      <c r="M507" s="5">
        <f>_xlfn.XLOOKUP(CustomerCombined[[#This Row],[ID]], Table4[ID], Table4[Meats], "Not Found", 0)</f>
        <v>700</v>
      </c>
      <c r="N507" s="5">
        <f>_xlfn.XLOOKUP(CustomerCombined[[#This Row],[ID]], Table4[ID], Table4[Seafood], "Not Found", 0)</f>
        <v>302</v>
      </c>
      <c r="O507" s="5">
        <f>_xlfn.XLOOKUP(CustomerCombined[[#This Row],[ID]], Table4[ID], Table4[Sweets], "Not Found", 0)</f>
        <v>546</v>
      </c>
      <c r="P507" s="5">
        <f>_xlfn.XLOOKUP(CustomerCombined[[#This Row],[ID]], Table4[ID], Table4[Premium], "Not Found", 0)</f>
        <v>674</v>
      </c>
      <c r="Q507" s="5">
        <f>_xlfn.XLOOKUP(CustomerCombined[[#This Row],[ID]], Table4[ID], Table4[Regular], "Not Found", 0)</f>
        <v>1989</v>
      </c>
      <c r="R507" s="5">
        <f>_xlfn.XLOOKUP(CustomerCombined[[#This Row],[ID]], Table4[ID], Table4[Deals], "Not Found", 0)</f>
        <v>2</v>
      </c>
      <c r="S507" s="5">
        <f>_xlfn.XLOOKUP(CustomerCombined[[#This Row],[ID]], Table4[ID], Table4[Website], "Not Found", 0)</f>
        <v>9</v>
      </c>
      <c r="T507" s="5">
        <f>_xlfn.XLOOKUP(CustomerCombined[[#This Row],[ID]], Table4[ID], Table4[Catalog], "Not Found", 0)</f>
        <v>5</v>
      </c>
      <c r="U507" s="5">
        <f>_xlfn.XLOOKUP(CustomerCombined[[#This Row],[ID]], Table4[ID], Table4[Store], "Not Found", 0)</f>
        <v>9</v>
      </c>
      <c r="V507" s="5">
        <f>_xlfn.XLOOKUP(CustomerCombined[[#This Row],[ID]], Table4[ID], Table4[Visits], "Not Found", 0)</f>
        <v>7</v>
      </c>
      <c r="W507" s="8">
        <f>_xlfn.XLOOKUP(CustomerCombined[[#This Row],[ID]], Table2[ID],Table2[Complaint], "Not Found", 0 )</f>
        <v>0</v>
      </c>
      <c r="X507" s="8">
        <f>_xlfn.XLOOKUP(CustomerCombined[[#This Row],[ID]], Table2[ID],Table2[Pilot], "Not Found", 0 )</f>
        <v>0</v>
      </c>
      <c r="Y507" s="8">
        <f>_xlfn.XLOOKUP(CustomerCombined[[#This Row],[ID]], Table2[ID],Table2[MC1], "Not Found", 0 )</f>
        <v>0</v>
      </c>
      <c r="Z507" s="8">
        <f>_xlfn.XLOOKUP(CustomerCombined[[#This Row],[ID]], Table2[ID],Table2[MC2], "Not Found", 0 )</f>
        <v>0</v>
      </c>
      <c r="AA507" s="8">
        <f>_xlfn.XLOOKUP(CustomerCombined[[#This Row],[ID]], Table2[ID],Table2[MC3], "Not Found", 0 )</f>
        <v>0</v>
      </c>
      <c r="AB507" s="8">
        <f>_xlfn.XLOOKUP(CustomerCombined[[#This Row],[ID]], Table2[ID],Table2[MC4], "Not Found", 0 )</f>
        <v>0</v>
      </c>
      <c r="AC507" s="8">
        <f>_xlfn.XLOOKUP(CustomerCombined[[#This Row],[ID]], Table2[ID],Table2[MC5], "Not Found", 0 )</f>
        <v>0</v>
      </c>
    </row>
    <row r="508" spans="1:29" x14ac:dyDescent="0.3">
      <c r="A508" s="6">
        <v>1204</v>
      </c>
      <c r="B508" s="6">
        <v>152195</v>
      </c>
      <c r="C508" s="6">
        <v>2</v>
      </c>
      <c r="D508" s="6">
        <v>1</v>
      </c>
      <c r="E508" s="6">
        <v>42</v>
      </c>
      <c r="F508" s="5" t="s">
        <v>7</v>
      </c>
      <c r="G508" s="5" t="s">
        <v>442</v>
      </c>
      <c r="H508" s="3" t="s">
        <v>52</v>
      </c>
      <c r="I508" s="5" t="s">
        <v>439</v>
      </c>
      <c r="J508" s="5">
        <f>_xlfn.XLOOKUP(CustomerCombined[[#This Row],[ID]], Table4[ID], Table4[Recency], "Not Found", 0)</f>
        <v>2</v>
      </c>
      <c r="K508" s="5">
        <f>_xlfn.XLOOKUP(CustomerCombined[[#This Row],[ID]], Table4[ID], Table4[Teas], "Not Found", 0)</f>
        <v>35</v>
      </c>
      <c r="L508" s="5">
        <f>_xlfn.XLOOKUP(CustomerCombined[[#This Row],[ID]], Table4[ID], Table4[Fruits], "Not Found", 0)</f>
        <v>0</v>
      </c>
      <c r="M508" s="5">
        <f>_xlfn.XLOOKUP(CustomerCombined[[#This Row],[ID]], Table4[ID], Table4[Meats], "Not Found", 0)</f>
        <v>12</v>
      </c>
      <c r="N508" s="5">
        <f>_xlfn.XLOOKUP(CustomerCombined[[#This Row],[ID]], Table4[ID], Table4[Seafood], "Not Found", 0)</f>
        <v>0</v>
      </c>
      <c r="O508" s="5">
        <f>_xlfn.XLOOKUP(CustomerCombined[[#This Row],[ID]], Table4[ID], Table4[Sweets], "Not Found", 0)</f>
        <v>0</v>
      </c>
      <c r="P508" s="5">
        <f>_xlfn.XLOOKUP(CustomerCombined[[#This Row],[ID]], Table4[ID], Table4[Premium], "Not Found", 0)</f>
        <v>3</v>
      </c>
      <c r="Q508" s="5">
        <f>_xlfn.XLOOKUP(CustomerCombined[[#This Row],[ID]], Table4[ID], Table4[Regular], "Not Found", 0)</f>
        <v>44</v>
      </c>
      <c r="R508" s="5">
        <f>_xlfn.XLOOKUP(CustomerCombined[[#This Row],[ID]], Table4[ID], Table4[Deals], "Not Found", 0)</f>
        <v>1</v>
      </c>
      <c r="S508" s="5">
        <f>_xlfn.XLOOKUP(CustomerCombined[[#This Row],[ID]], Table4[ID], Table4[Website], "Not Found", 0)</f>
        <v>1</v>
      </c>
      <c r="T508" s="5">
        <f>_xlfn.XLOOKUP(CustomerCombined[[#This Row],[ID]], Table4[ID], Table4[Catalog], "Not Found", 0)</f>
        <v>0</v>
      </c>
      <c r="U508" s="5">
        <f>_xlfn.XLOOKUP(CustomerCombined[[#This Row],[ID]], Table4[ID], Table4[Store], "Not Found", 0)</f>
        <v>2</v>
      </c>
      <c r="V508" s="5">
        <f>_xlfn.XLOOKUP(CustomerCombined[[#This Row],[ID]], Table4[ID], Table4[Visits], "Not Found", 0)</f>
        <v>8</v>
      </c>
      <c r="W508" s="8">
        <f>_xlfn.XLOOKUP(CustomerCombined[[#This Row],[ID]], Table2[ID],Table2[Complaint], "Not Found", 0 )</f>
        <v>0</v>
      </c>
      <c r="X508" s="8">
        <f>_xlfn.XLOOKUP(CustomerCombined[[#This Row],[ID]], Table2[ID],Table2[Pilot], "Not Found", 0 )</f>
        <v>0</v>
      </c>
      <c r="Y508" s="8">
        <f>_xlfn.XLOOKUP(CustomerCombined[[#This Row],[ID]], Table2[ID],Table2[MC1], "Not Found", 0 )</f>
        <v>0</v>
      </c>
      <c r="Z508" s="8">
        <f>_xlfn.XLOOKUP(CustomerCombined[[#This Row],[ID]], Table2[ID],Table2[MC2], "Not Found", 0 )</f>
        <v>0</v>
      </c>
      <c r="AA508" s="8">
        <f>_xlfn.XLOOKUP(CustomerCombined[[#This Row],[ID]], Table2[ID],Table2[MC3], "Not Found", 0 )</f>
        <v>0</v>
      </c>
      <c r="AB508" s="8">
        <f>_xlfn.XLOOKUP(CustomerCombined[[#This Row],[ID]], Table2[ID],Table2[MC4], "Not Found", 0 )</f>
        <v>0</v>
      </c>
      <c r="AC508" s="8">
        <f>_xlfn.XLOOKUP(CustomerCombined[[#This Row],[ID]], Table2[ID],Table2[MC5], "Not Found", 0 )</f>
        <v>0</v>
      </c>
    </row>
    <row r="509" spans="1:29" x14ac:dyDescent="0.3">
      <c r="A509" s="6">
        <v>1774</v>
      </c>
      <c r="B509" s="6">
        <v>151267</v>
      </c>
      <c r="C509" s="6">
        <v>1</v>
      </c>
      <c r="D509" s="6">
        <v>1</v>
      </c>
      <c r="E509" s="6">
        <v>42</v>
      </c>
      <c r="F509" s="5" t="s">
        <v>6</v>
      </c>
      <c r="G509" s="5" t="s">
        <v>11</v>
      </c>
      <c r="H509" s="3">
        <v>43925</v>
      </c>
      <c r="I509" s="5" t="s">
        <v>439</v>
      </c>
      <c r="J509" s="5">
        <f>_xlfn.XLOOKUP(CustomerCombined[[#This Row],[ID]], Table4[ID], Table4[Recency], "Not Found", 0)</f>
        <v>37</v>
      </c>
      <c r="K509" s="5">
        <f>_xlfn.XLOOKUP(CustomerCombined[[#This Row],[ID]], Table4[ID], Table4[Teas], "Not Found", 0)</f>
        <v>540</v>
      </c>
      <c r="L509" s="5">
        <f>_xlfn.XLOOKUP(CustomerCombined[[#This Row],[ID]], Table4[ID], Table4[Fruits], "Not Found", 0)</f>
        <v>6</v>
      </c>
      <c r="M509" s="5">
        <f>_xlfn.XLOOKUP(CustomerCombined[[#This Row],[ID]], Table4[ID], Table4[Meats], "Not Found", 0)</f>
        <v>189</v>
      </c>
      <c r="N509" s="5">
        <f>_xlfn.XLOOKUP(CustomerCombined[[#This Row],[ID]], Table4[ID], Table4[Seafood], "Not Found", 0)</f>
        <v>21</v>
      </c>
      <c r="O509" s="5">
        <f>_xlfn.XLOOKUP(CustomerCombined[[#This Row],[ID]], Table4[ID], Table4[Sweets], "Not Found", 0)</f>
        <v>6</v>
      </c>
      <c r="P509" s="5">
        <f>_xlfn.XLOOKUP(CustomerCombined[[#This Row],[ID]], Table4[ID], Table4[Premium], "Not Found", 0)</f>
        <v>35</v>
      </c>
      <c r="Q509" s="5">
        <f>_xlfn.XLOOKUP(CustomerCombined[[#This Row],[ID]], Table4[ID], Table4[Regular], "Not Found", 0)</f>
        <v>726</v>
      </c>
      <c r="R509" s="5">
        <f>_xlfn.XLOOKUP(CustomerCombined[[#This Row],[ID]], Table4[ID], Table4[Deals], "Not Found", 0)</f>
        <v>4</v>
      </c>
      <c r="S509" s="5">
        <f>_xlfn.XLOOKUP(CustomerCombined[[#This Row],[ID]], Table4[ID], Table4[Website], "Not Found", 0)</f>
        <v>3</v>
      </c>
      <c r="T509" s="5">
        <f>_xlfn.XLOOKUP(CustomerCombined[[#This Row],[ID]], Table4[ID], Table4[Catalog], "Not Found", 0)</f>
        <v>3</v>
      </c>
      <c r="U509" s="5">
        <f>_xlfn.XLOOKUP(CustomerCombined[[#This Row],[ID]], Table4[ID], Table4[Store], "Not Found", 0)</f>
        <v>5</v>
      </c>
      <c r="V509" s="5">
        <f>_xlfn.XLOOKUP(CustomerCombined[[#This Row],[ID]], Table4[ID], Table4[Visits], "Not Found", 0)</f>
        <v>4</v>
      </c>
      <c r="W509" s="8">
        <f>_xlfn.XLOOKUP(CustomerCombined[[#This Row],[ID]], Table2[ID],Table2[Complaint], "Not Found", 0 )</f>
        <v>0</v>
      </c>
      <c r="X509" s="8">
        <f>_xlfn.XLOOKUP(CustomerCombined[[#This Row],[ID]], Table2[ID],Table2[Pilot], "Not Found", 0 )</f>
        <v>0</v>
      </c>
      <c r="Y509" s="8">
        <f>_xlfn.XLOOKUP(CustomerCombined[[#This Row],[ID]], Table2[ID],Table2[MC1], "Not Found", 0 )</f>
        <v>0</v>
      </c>
      <c r="Z509" s="8">
        <f>_xlfn.XLOOKUP(CustomerCombined[[#This Row],[ID]], Table2[ID],Table2[MC2], "Not Found", 0 )</f>
        <v>0</v>
      </c>
      <c r="AA509" s="8">
        <f>_xlfn.XLOOKUP(CustomerCombined[[#This Row],[ID]], Table2[ID],Table2[MC3], "Not Found", 0 )</f>
        <v>0</v>
      </c>
      <c r="AB509" s="8">
        <f>_xlfn.XLOOKUP(CustomerCombined[[#This Row],[ID]], Table2[ID],Table2[MC4], "Not Found", 0 )</f>
        <v>0</v>
      </c>
      <c r="AC509" s="8">
        <f>_xlfn.XLOOKUP(CustomerCombined[[#This Row],[ID]], Table2[ID],Table2[MC5], "Not Found", 0 )</f>
        <v>0</v>
      </c>
    </row>
    <row r="510" spans="1:29" x14ac:dyDescent="0.3">
      <c r="A510" s="6">
        <v>2100</v>
      </c>
      <c r="B510" s="6">
        <v>147025</v>
      </c>
      <c r="C510" s="6">
        <v>0</v>
      </c>
      <c r="D510" s="6">
        <v>1</v>
      </c>
      <c r="E510" s="6">
        <v>42</v>
      </c>
      <c r="F510" s="5" t="s">
        <v>6</v>
      </c>
      <c r="G510" s="5" t="s">
        <v>442</v>
      </c>
      <c r="H510" s="3" t="s">
        <v>187</v>
      </c>
      <c r="I510" s="5" t="s">
        <v>436</v>
      </c>
      <c r="J510" s="5">
        <f>_xlfn.XLOOKUP(CustomerCombined[[#This Row],[ID]], Table4[ID], Table4[Recency], "Not Found", 0)</f>
        <v>98</v>
      </c>
      <c r="K510" s="5">
        <f>_xlfn.XLOOKUP(CustomerCombined[[#This Row],[ID]], Table4[ID], Table4[Teas], "Not Found", 0)</f>
        <v>1588</v>
      </c>
      <c r="L510" s="5">
        <f>_xlfn.XLOOKUP(CustomerCombined[[#This Row],[ID]], Table4[ID], Table4[Fruits], "Not Found", 0)</f>
        <v>34</v>
      </c>
      <c r="M510" s="5">
        <f>_xlfn.XLOOKUP(CustomerCombined[[#This Row],[ID]], Table4[ID], Table4[Meats], "Not Found", 0)</f>
        <v>184</v>
      </c>
      <c r="N510" s="5">
        <f>_xlfn.XLOOKUP(CustomerCombined[[#This Row],[ID]], Table4[ID], Table4[Seafood], "Not Found", 0)</f>
        <v>72</v>
      </c>
      <c r="O510" s="5">
        <f>_xlfn.XLOOKUP(CustomerCombined[[#This Row],[ID]], Table4[ID], Table4[Sweets], "Not Found", 0)</f>
        <v>16</v>
      </c>
      <c r="P510" s="5">
        <f>_xlfn.XLOOKUP(CustomerCombined[[#This Row],[ID]], Table4[ID], Table4[Premium], "Not Found", 0)</f>
        <v>91</v>
      </c>
      <c r="Q510" s="5">
        <f>_xlfn.XLOOKUP(CustomerCombined[[#This Row],[ID]], Table4[ID], Table4[Regular], "Not Found", 0)</f>
        <v>1804</v>
      </c>
      <c r="R510" s="5">
        <f>_xlfn.XLOOKUP(CustomerCombined[[#This Row],[ID]], Table4[ID], Table4[Deals], "Not Found", 0)</f>
        <v>5</v>
      </c>
      <c r="S510" s="5">
        <f>_xlfn.XLOOKUP(CustomerCombined[[#This Row],[ID]], Table4[ID], Table4[Website], "Not Found", 0)</f>
        <v>11</v>
      </c>
      <c r="T510" s="5">
        <f>_xlfn.XLOOKUP(CustomerCombined[[#This Row],[ID]], Table4[ID], Table4[Catalog], "Not Found", 0)</f>
        <v>1</v>
      </c>
      <c r="U510" s="5">
        <f>_xlfn.XLOOKUP(CustomerCombined[[#This Row],[ID]], Table4[ID], Table4[Store], "Not Found", 0)</f>
        <v>6</v>
      </c>
      <c r="V510" s="5">
        <f>_xlfn.XLOOKUP(CustomerCombined[[#This Row],[ID]], Table4[ID], Table4[Visits], "Not Found", 0)</f>
        <v>9</v>
      </c>
      <c r="W510" s="8">
        <f>_xlfn.XLOOKUP(CustomerCombined[[#This Row],[ID]], Table2[ID],Table2[Complaint], "Not Found", 0 )</f>
        <v>0</v>
      </c>
      <c r="X510" s="8">
        <f>_xlfn.XLOOKUP(CustomerCombined[[#This Row],[ID]], Table2[ID],Table2[Pilot], "Not Found", 0 )</f>
        <v>0</v>
      </c>
      <c r="Y510" s="8">
        <f>_xlfn.XLOOKUP(CustomerCombined[[#This Row],[ID]], Table2[ID],Table2[MC1], "Not Found", 0 )</f>
        <v>0</v>
      </c>
      <c r="Z510" s="8">
        <f>_xlfn.XLOOKUP(CustomerCombined[[#This Row],[ID]], Table2[ID],Table2[MC2], "Not Found", 0 )</f>
        <v>0</v>
      </c>
      <c r="AA510" s="8">
        <f>_xlfn.XLOOKUP(CustomerCombined[[#This Row],[ID]], Table2[ID],Table2[MC3], "Not Found", 0 )</f>
        <v>0</v>
      </c>
      <c r="AB510" s="8">
        <f>_xlfn.XLOOKUP(CustomerCombined[[#This Row],[ID]], Table2[ID],Table2[MC4], "Not Found", 0 )</f>
        <v>0</v>
      </c>
      <c r="AC510" s="8">
        <f>_xlfn.XLOOKUP(CustomerCombined[[#This Row],[ID]], Table2[ID],Table2[MC5], "Not Found", 0 )</f>
        <v>0</v>
      </c>
    </row>
    <row r="511" spans="1:29" x14ac:dyDescent="0.3">
      <c r="A511" s="6">
        <v>1289</v>
      </c>
      <c r="B511" s="6">
        <v>146377</v>
      </c>
      <c r="C511" s="6">
        <v>1</v>
      </c>
      <c r="D511" s="6">
        <v>0</v>
      </c>
      <c r="E511" s="6">
        <v>42</v>
      </c>
      <c r="F511" s="5" t="s">
        <v>6</v>
      </c>
      <c r="G511" s="5" t="s">
        <v>13</v>
      </c>
      <c r="H511" s="3">
        <v>43959</v>
      </c>
      <c r="I511" s="5" t="s">
        <v>434</v>
      </c>
      <c r="J511" s="5">
        <f>_xlfn.XLOOKUP(CustomerCombined[[#This Row],[ID]], Table4[ID], Table4[Recency], "Not Found", 0)</f>
        <v>89</v>
      </c>
      <c r="K511" s="5">
        <f>_xlfn.XLOOKUP(CustomerCombined[[#This Row],[ID]], Table4[ID], Table4[Teas], "Not Found", 0)</f>
        <v>117</v>
      </c>
      <c r="L511" s="5">
        <f>_xlfn.XLOOKUP(CustomerCombined[[#This Row],[ID]], Table4[ID], Table4[Fruits], "Not Found", 0)</f>
        <v>0</v>
      </c>
      <c r="M511" s="5">
        <f>_xlfn.XLOOKUP(CustomerCombined[[#This Row],[ID]], Table4[ID], Table4[Meats], "Not Found", 0)</f>
        <v>145</v>
      </c>
      <c r="N511" s="5">
        <f>_xlfn.XLOOKUP(CustomerCombined[[#This Row],[ID]], Table4[ID], Table4[Seafood], "Not Found", 0)</f>
        <v>13</v>
      </c>
      <c r="O511" s="5">
        <f>_xlfn.XLOOKUP(CustomerCombined[[#This Row],[ID]], Table4[ID], Table4[Sweets], "Not Found", 0)</f>
        <v>9</v>
      </c>
      <c r="P511" s="5">
        <f>_xlfn.XLOOKUP(CustomerCombined[[#This Row],[ID]], Table4[ID], Table4[Premium], "Not Found", 0)</f>
        <v>0</v>
      </c>
      <c r="Q511" s="5">
        <f>_xlfn.XLOOKUP(CustomerCombined[[#This Row],[ID]], Table4[ID], Table4[Regular], "Not Found", 0)</f>
        <v>284</v>
      </c>
      <c r="R511" s="5">
        <f>_xlfn.XLOOKUP(CustomerCombined[[#This Row],[ID]], Table4[ID], Table4[Deals], "Not Found", 0)</f>
        <v>1</v>
      </c>
      <c r="S511" s="5">
        <f>_xlfn.XLOOKUP(CustomerCombined[[#This Row],[ID]], Table4[ID], Table4[Website], "Not Found", 0)</f>
        <v>2</v>
      </c>
      <c r="T511" s="5">
        <f>_xlfn.XLOOKUP(CustomerCombined[[#This Row],[ID]], Table4[ID], Table4[Catalog], "Not Found", 0)</f>
        <v>1</v>
      </c>
      <c r="U511" s="5">
        <f>_xlfn.XLOOKUP(CustomerCombined[[#This Row],[ID]], Table4[ID], Table4[Store], "Not Found", 0)</f>
        <v>3</v>
      </c>
      <c r="V511" s="5">
        <f>_xlfn.XLOOKUP(CustomerCombined[[#This Row],[ID]], Table4[ID], Table4[Visits], "Not Found", 0)</f>
        <v>4</v>
      </c>
      <c r="W511" s="8">
        <f>_xlfn.XLOOKUP(CustomerCombined[[#This Row],[ID]], Table2[ID],Table2[Complaint], "Not Found", 0 )</f>
        <v>0</v>
      </c>
      <c r="X511" s="8">
        <f>_xlfn.XLOOKUP(CustomerCombined[[#This Row],[ID]], Table2[ID],Table2[Pilot], "Not Found", 0 )</f>
        <v>0</v>
      </c>
      <c r="Y511" s="8">
        <f>_xlfn.XLOOKUP(CustomerCombined[[#This Row],[ID]], Table2[ID],Table2[MC1], "Not Found", 0 )</f>
        <v>0</v>
      </c>
      <c r="Z511" s="8">
        <f>_xlfn.XLOOKUP(CustomerCombined[[#This Row],[ID]], Table2[ID],Table2[MC2], "Not Found", 0 )</f>
        <v>0</v>
      </c>
      <c r="AA511" s="8">
        <f>_xlfn.XLOOKUP(CustomerCombined[[#This Row],[ID]], Table2[ID],Table2[MC3], "Not Found", 0 )</f>
        <v>0</v>
      </c>
      <c r="AB511" s="8">
        <f>_xlfn.XLOOKUP(CustomerCombined[[#This Row],[ID]], Table2[ID],Table2[MC4], "Not Found", 0 )</f>
        <v>0</v>
      </c>
      <c r="AC511" s="8">
        <f>_xlfn.XLOOKUP(CustomerCombined[[#This Row],[ID]], Table2[ID],Table2[MC5], "Not Found", 0 )</f>
        <v>0</v>
      </c>
    </row>
    <row r="512" spans="1:29" x14ac:dyDescent="0.3">
      <c r="A512" s="6">
        <v>2937</v>
      </c>
      <c r="B512" s="6">
        <v>144359</v>
      </c>
      <c r="C512" s="6">
        <v>1</v>
      </c>
      <c r="D512" s="6">
        <v>1</v>
      </c>
      <c r="E512" s="6">
        <v>42</v>
      </c>
      <c r="F512" s="5" t="s">
        <v>6</v>
      </c>
      <c r="G512" s="5" t="s">
        <v>11</v>
      </c>
      <c r="H512" s="3" t="s">
        <v>32</v>
      </c>
      <c r="I512" s="5" t="s">
        <v>435</v>
      </c>
      <c r="J512" s="5">
        <f>_xlfn.XLOOKUP(CustomerCombined[[#This Row],[ID]], Table4[ID], Table4[Recency], "Not Found", 0)</f>
        <v>19</v>
      </c>
      <c r="K512" s="5">
        <f>_xlfn.XLOOKUP(CustomerCombined[[#This Row],[ID]], Table4[ID], Table4[Teas], "Not Found", 0)</f>
        <v>65</v>
      </c>
      <c r="L512" s="5">
        <f>_xlfn.XLOOKUP(CustomerCombined[[#This Row],[ID]], Table4[ID], Table4[Fruits], "Not Found", 0)</f>
        <v>0</v>
      </c>
      <c r="M512" s="5">
        <f>_xlfn.XLOOKUP(CustomerCombined[[#This Row],[ID]], Table4[ID], Table4[Meats], "Not Found", 0)</f>
        <v>46</v>
      </c>
      <c r="N512" s="5">
        <f>_xlfn.XLOOKUP(CustomerCombined[[#This Row],[ID]], Table4[ID], Table4[Seafood], "Not Found", 0)</f>
        <v>23</v>
      </c>
      <c r="O512" s="5">
        <f>_xlfn.XLOOKUP(CustomerCombined[[#This Row],[ID]], Table4[ID], Table4[Sweets], "Not Found", 0)</f>
        <v>10</v>
      </c>
      <c r="P512" s="5">
        <f>_xlfn.XLOOKUP(CustomerCombined[[#This Row],[ID]], Table4[ID], Table4[Premium], "Not Found", 0)</f>
        <v>3</v>
      </c>
      <c r="Q512" s="5">
        <f>_xlfn.XLOOKUP(CustomerCombined[[#This Row],[ID]], Table4[ID], Table4[Regular], "Not Found", 0)</f>
        <v>140</v>
      </c>
      <c r="R512" s="5">
        <f>_xlfn.XLOOKUP(CustomerCombined[[#This Row],[ID]], Table4[ID], Table4[Deals], "Not Found", 0)</f>
        <v>3</v>
      </c>
      <c r="S512" s="5">
        <f>_xlfn.XLOOKUP(CustomerCombined[[#This Row],[ID]], Table4[ID], Table4[Website], "Not Found", 0)</f>
        <v>2</v>
      </c>
      <c r="T512" s="5">
        <f>_xlfn.XLOOKUP(CustomerCombined[[#This Row],[ID]], Table4[ID], Table4[Catalog], "Not Found", 0)</f>
        <v>0</v>
      </c>
      <c r="U512" s="5">
        <f>_xlfn.XLOOKUP(CustomerCombined[[#This Row],[ID]], Table4[ID], Table4[Store], "Not Found", 0)</f>
        <v>4</v>
      </c>
      <c r="V512" s="5">
        <f>_xlfn.XLOOKUP(CustomerCombined[[#This Row],[ID]], Table4[ID], Table4[Visits], "Not Found", 0)</f>
        <v>3</v>
      </c>
      <c r="W512" s="8">
        <f>_xlfn.XLOOKUP(CustomerCombined[[#This Row],[ID]], Table2[ID],Table2[Complaint], "Not Found", 0 )</f>
        <v>0</v>
      </c>
      <c r="X512" s="8">
        <f>_xlfn.XLOOKUP(CustomerCombined[[#This Row],[ID]], Table2[ID],Table2[Pilot], "Not Found", 0 )</f>
        <v>0</v>
      </c>
      <c r="Y512" s="8">
        <f>_xlfn.XLOOKUP(CustomerCombined[[#This Row],[ID]], Table2[ID],Table2[MC1], "Not Found", 0 )</f>
        <v>0</v>
      </c>
      <c r="Z512" s="8">
        <f>_xlfn.XLOOKUP(CustomerCombined[[#This Row],[ID]], Table2[ID],Table2[MC2], "Not Found", 0 )</f>
        <v>0</v>
      </c>
      <c r="AA512" s="8">
        <f>_xlfn.XLOOKUP(CustomerCombined[[#This Row],[ID]], Table2[ID],Table2[MC3], "Not Found", 0 )</f>
        <v>0</v>
      </c>
      <c r="AB512" s="8">
        <f>_xlfn.XLOOKUP(CustomerCombined[[#This Row],[ID]], Table2[ID],Table2[MC4], "Not Found", 0 )</f>
        <v>0</v>
      </c>
      <c r="AC512" s="8">
        <f>_xlfn.XLOOKUP(CustomerCombined[[#This Row],[ID]], Table2[ID],Table2[MC5], "Not Found", 0 )</f>
        <v>0</v>
      </c>
    </row>
    <row r="513" spans="1:29" x14ac:dyDescent="0.3">
      <c r="A513" s="6">
        <v>1769</v>
      </c>
      <c r="B513" s="6">
        <v>143783</v>
      </c>
      <c r="C513" s="6">
        <v>1</v>
      </c>
      <c r="D513" s="6">
        <v>0</v>
      </c>
      <c r="E513" s="6">
        <v>42</v>
      </c>
      <c r="F513" s="5" t="s">
        <v>6</v>
      </c>
      <c r="G513" s="5" t="s">
        <v>12</v>
      </c>
      <c r="H513" s="3">
        <v>43872</v>
      </c>
      <c r="I513" s="5" t="s">
        <v>434</v>
      </c>
      <c r="J513" s="5">
        <f>_xlfn.XLOOKUP(CustomerCombined[[#This Row],[ID]], Table4[ID], Table4[Recency], "Not Found", 0)</f>
        <v>22</v>
      </c>
      <c r="K513" s="5">
        <f>_xlfn.XLOOKUP(CustomerCombined[[#This Row],[ID]], Table4[ID], Table4[Teas], "Not Found", 0)</f>
        <v>1074</v>
      </c>
      <c r="L513" s="5">
        <f>_xlfn.XLOOKUP(CustomerCombined[[#This Row],[ID]], Table4[ID], Table4[Fruits], "Not Found", 0)</f>
        <v>30</v>
      </c>
      <c r="M513" s="5">
        <f>_xlfn.XLOOKUP(CustomerCombined[[#This Row],[ID]], Table4[ID], Table4[Meats], "Not Found", 0)</f>
        <v>410</v>
      </c>
      <c r="N513" s="5">
        <f>_xlfn.XLOOKUP(CustomerCombined[[#This Row],[ID]], Table4[ID], Table4[Seafood], "Not Found", 0)</f>
        <v>82</v>
      </c>
      <c r="O513" s="5">
        <f>_xlfn.XLOOKUP(CustomerCombined[[#This Row],[ID]], Table4[ID], Table4[Sweets], "Not Found", 0)</f>
        <v>13</v>
      </c>
      <c r="P513" s="5">
        <f>_xlfn.XLOOKUP(CustomerCombined[[#This Row],[ID]], Table4[ID], Table4[Premium], "Not Found", 0)</f>
        <v>456</v>
      </c>
      <c r="Q513" s="5">
        <f>_xlfn.XLOOKUP(CustomerCombined[[#This Row],[ID]], Table4[ID], Table4[Regular], "Not Found", 0)</f>
        <v>1153</v>
      </c>
      <c r="R513" s="5">
        <f>_xlfn.XLOOKUP(CustomerCombined[[#This Row],[ID]], Table4[ID], Table4[Deals], "Not Found", 0)</f>
        <v>6</v>
      </c>
      <c r="S513" s="5">
        <f>_xlfn.XLOOKUP(CustomerCombined[[#This Row],[ID]], Table4[ID], Table4[Website], "Not Found", 0)</f>
        <v>7</v>
      </c>
      <c r="T513" s="5">
        <f>_xlfn.XLOOKUP(CustomerCombined[[#This Row],[ID]], Table4[ID], Table4[Catalog], "Not Found", 0)</f>
        <v>1</v>
      </c>
      <c r="U513" s="5">
        <f>_xlfn.XLOOKUP(CustomerCombined[[#This Row],[ID]], Table4[ID], Table4[Store], "Not Found", 0)</f>
        <v>8</v>
      </c>
      <c r="V513" s="5">
        <f>_xlfn.XLOOKUP(CustomerCombined[[#This Row],[ID]], Table4[ID], Table4[Visits], "Not Found", 0)</f>
        <v>7</v>
      </c>
      <c r="W513" s="8">
        <f>_xlfn.XLOOKUP(CustomerCombined[[#This Row],[ID]], Table2[ID],Table2[Complaint], "Not Found", 0 )</f>
        <v>0</v>
      </c>
      <c r="X513" s="8">
        <f>_xlfn.XLOOKUP(CustomerCombined[[#This Row],[ID]], Table2[ID],Table2[Pilot], "Not Found", 0 )</f>
        <v>0</v>
      </c>
      <c r="Y513" s="8">
        <f>_xlfn.XLOOKUP(CustomerCombined[[#This Row],[ID]], Table2[ID],Table2[MC1], "Not Found", 0 )</f>
        <v>0</v>
      </c>
      <c r="Z513" s="8">
        <f>_xlfn.XLOOKUP(CustomerCombined[[#This Row],[ID]], Table2[ID],Table2[MC2], "Not Found", 0 )</f>
        <v>0</v>
      </c>
      <c r="AA513" s="8">
        <f>_xlfn.XLOOKUP(CustomerCombined[[#This Row],[ID]], Table2[ID],Table2[MC3], "Not Found", 0 )</f>
        <v>1</v>
      </c>
      <c r="AB513" s="8">
        <f>_xlfn.XLOOKUP(CustomerCombined[[#This Row],[ID]], Table2[ID],Table2[MC4], "Not Found", 0 )</f>
        <v>0</v>
      </c>
      <c r="AC513" s="8">
        <f>_xlfn.XLOOKUP(CustomerCombined[[#This Row],[ID]], Table2[ID],Table2[MC5], "Not Found", 0 )</f>
        <v>0</v>
      </c>
    </row>
    <row r="514" spans="1:29" x14ac:dyDescent="0.3">
      <c r="A514" s="6">
        <v>2113</v>
      </c>
      <c r="B514" s="6">
        <v>142693</v>
      </c>
      <c r="C514" s="6">
        <v>1</v>
      </c>
      <c r="D514" s="6">
        <v>0</v>
      </c>
      <c r="E514" s="6">
        <v>42</v>
      </c>
      <c r="F514" s="5" t="s">
        <v>6</v>
      </c>
      <c r="G514" s="5" t="s">
        <v>11</v>
      </c>
      <c r="H514" s="3">
        <v>44146</v>
      </c>
      <c r="I514" s="5" t="s">
        <v>437</v>
      </c>
      <c r="J514" s="5">
        <f>_xlfn.XLOOKUP(CustomerCombined[[#This Row],[ID]], Table4[ID], Table4[Recency], "Not Found", 0)</f>
        <v>29</v>
      </c>
      <c r="K514" s="5">
        <f>_xlfn.XLOOKUP(CustomerCombined[[#This Row],[ID]], Table4[ID], Table4[Teas], "Not Found", 0)</f>
        <v>27</v>
      </c>
      <c r="L514" s="5">
        <f>_xlfn.XLOOKUP(CustomerCombined[[#This Row],[ID]], Table4[ID], Table4[Fruits], "Not Found", 0)</f>
        <v>13</v>
      </c>
      <c r="M514" s="5">
        <f>_xlfn.XLOOKUP(CustomerCombined[[#This Row],[ID]], Table4[ID], Table4[Meats], "Not Found", 0)</f>
        <v>67</v>
      </c>
      <c r="N514" s="5">
        <f>_xlfn.XLOOKUP(CustomerCombined[[#This Row],[ID]], Table4[ID], Table4[Seafood], "Not Found", 0)</f>
        <v>20</v>
      </c>
      <c r="O514" s="5">
        <f>_xlfn.XLOOKUP(CustomerCombined[[#This Row],[ID]], Table4[ID], Table4[Sweets], "Not Found", 0)</f>
        <v>10</v>
      </c>
      <c r="P514" s="5">
        <f>_xlfn.XLOOKUP(CustomerCombined[[#This Row],[ID]], Table4[ID], Table4[Premium], "Not Found", 0)</f>
        <v>53</v>
      </c>
      <c r="Q514" s="5">
        <f>_xlfn.XLOOKUP(CustomerCombined[[#This Row],[ID]], Table4[ID], Table4[Regular], "Not Found", 0)</f>
        <v>84</v>
      </c>
      <c r="R514" s="5">
        <f>_xlfn.XLOOKUP(CustomerCombined[[#This Row],[ID]], Table4[ID], Table4[Deals], "Not Found", 0)</f>
        <v>1</v>
      </c>
      <c r="S514" s="5">
        <f>_xlfn.XLOOKUP(CustomerCombined[[#This Row],[ID]], Table4[ID], Table4[Website], "Not Found", 0)</f>
        <v>1</v>
      </c>
      <c r="T514" s="5">
        <f>_xlfn.XLOOKUP(CustomerCombined[[#This Row],[ID]], Table4[ID], Table4[Catalog], "Not Found", 0)</f>
        <v>0</v>
      </c>
      <c r="U514" s="5">
        <f>_xlfn.XLOOKUP(CustomerCombined[[#This Row],[ID]], Table4[ID], Table4[Store], "Not Found", 0)</f>
        <v>3</v>
      </c>
      <c r="V514" s="5">
        <f>_xlfn.XLOOKUP(CustomerCombined[[#This Row],[ID]], Table4[ID], Table4[Visits], "Not Found", 0)</f>
        <v>5</v>
      </c>
      <c r="W514" s="8">
        <f>_xlfn.XLOOKUP(CustomerCombined[[#This Row],[ID]], Table2[ID],Table2[Complaint], "Not Found", 0 )</f>
        <v>0</v>
      </c>
      <c r="X514" s="8">
        <f>_xlfn.XLOOKUP(CustomerCombined[[#This Row],[ID]], Table2[ID],Table2[Pilot], "Not Found", 0 )</f>
        <v>0</v>
      </c>
      <c r="Y514" s="8">
        <f>_xlfn.XLOOKUP(CustomerCombined[[#This Row],[ID]], Table2[ID],Table2[MC1], "Not Found", 0 )</f>
        <v>0</v>
      </c>
      <c r="Z514" s="8">
        <f>_xlfn.XLOOKUP(CustomerCombined[[#This Row],[ID]], Table2[ID],Table2[MC2], "Not Found", 0 )</f>
        <v>0</v>
      </c>
      <c r="AA514" s="8">
        <f>_xlfn.XLOOKUP(CustomerCombined[[#This Row],[ID]], Table2[ID],Table2[MC3], "Not Found", 0 )</f>
        <v>0</v>
      </c>
      <c r="AB514" s="8">
        <f>_xlfn.XLOOKUP(CustomerCombined[[#This Row],[ID]], Table2[ID],Table2[MC4], "Not Found", 0 )</f>
        <v>0</v>
      </c>
      <c r="AC514" s="8">
        <f>_xlfn.XLOOKUP(CustomerCombined[[#This Row],[ID]], Table2[ID],Table2[MC5], "Not Found", 0 )</f>
        <v>0</v>
      </c>
    </row>
    <row r="515" spans="1:29" x14ac:dyDescent="0.3">
      <c r="A515" s="6">
        <v>3036</v>
      </c>
      <c r="B515" s="6">
        <v>142554</v>
      </c>
      <c r="C515" s="6">
        <v>1</v>
      </c>
      <c r="D515" s="6">
        <v>1</v>
      </c>
      <c r="E515" s="6">
        <v>42</v>
      </c>
      <c r="F515" s="5" t="s">
        <v>8</v>
      </c>
      <c r="G515" s="5" t="s">
        <v>11</v>
      </c>
      <c r="H515" s="3" t="s">
        <v>328</v>
      </c>
      <c r="I515" s="5" t="s">
        <v>436</v>
      </c>
      <c r="J515" s="5">
        <f>_xlfn.XLOOKUP(CustomerCombined[[#This Row],[ID]], Table4[ID], Table4[Recency], "Not Found", 0)</f>
        <v>93</v>
      </c>
      <c r="K515" s="5">
        <f>_xlfn.XLOOKUP(CustomerCombined[[#This Row],[ID]], Table4[ID], Table4[Teas], "Not Found", 0)</f>
        <v>97</v>
      </c>
      <c r="L515" s="5">
        <f>_xlfn.XLOOKUP(CustomerCombined[[#This Row],[ID]], Table4[ID], Table4[Fruits], "Not Found", 0)</f>
        <v>3</v>
      </c>
      <c r="M515" s="5">
        <f>_xlfn.XLOOKUP(CustomerCombined[[#This Row],[ID]], Table4[ID], Table4[Meats], "Not Found", 0)</f>
        <v>37</v>
      </c>
      <c r="N515" s="5">
        <f>_xlfn.XLOOKUP(CustomerCombined[[#This Row],[ID]], Table4[ID], Table4[Seafood], "Not Found", 0)</f>
        <v>0</v>
      </c>
      <c r="O515" s="5">
        <f>_xlfn.XLOOKUP(CustomerCombined[[#This Row],[ID]], Table4[ID], Table4[Sweets], "Not Found", 0)</f>
        <v>0</v>
      </c>
      <c r="P515" s="5">
        <f>_xlfn.XLOOKUP(CustomerCombined[[#This Row],[ID]], Table4[ID], Table4[Premium], "Not Found", 0)</f>
        <v>0</v>
      </c>
      <c r="Q515" s="5">
        <f>_xlfn.XLOOKUP(CustomerCombined[[#This Row],[ID]], Table4[ID], Table4[Regular], "Not Found", 0)</f>
        <v>137</v>
      </c>
      <c r="R515" s="5">
        <f>_xlfn.XLOOKUP(CustomerCombined[[#This Row],[ID]], Table4[ID], Table4[Deals], "Not Found", 0)</f>
        <v>2</v>
      </c>
      <c r="S515" s="5">
        <f>_xlfn.XLOOKUP(CustomerCombined[[#This Row],[ID]], Table4[ID], Table4[Website], "Not Found", 0)</f>
        <v>2</v>
      </c>
      <c r="T515" s="5">
        <f>_xlfn.XLOOKUP(CustomerCombined[[#This Row],[ID]], Table4[ID], Table4[Catalog], "Not Found", 0)</f>
        <v>0</v>
      </c>
      <c r="U515" s="5">
        <f>_xlfn.XLOOKUP(CustomerCombined[[#This Row],[ID]], Table4[ID], Table4[Store], "Not Found", 0)</f>
        <v>3</v>
      </c>
      <c r="V515" s="5">
        <f>_xlfn.XLOOKUP(CustomerCombined[[#This Row],[ID]], Table4[ID], Table4[Visits], "Not Found", 0)</f>
        <v>4</v>
      </c>
      <c r="W515" s="8">
        <f>_xlfn.XLOOKUP(CustomerCombined[[#This Row],[ID]], Table2[ID],Table2[Complaint], "Not Found", 0 )</f>
        <v>0</v>
      </c>
      <c r="X515" s="8">
        <f>_xlfn.XLOOKUP(CustomerCombined[[#This Row],[ID]], Table2[ID],Table2[Pilot], "Not Found", 0 )</f>
        <v>0</v>
      </c>
      <c r="Y515" s="8">
        <f>_xlfn.XLOOKUP(CustomerCombined[[#This Row],[ID]], Table2[ID],Table2[MC1], "Not Found", 0 )</f>
        <v>0</v>
      </c>
      <c r="Z515" s="8">
        <f>_xlfn.XLOOKUP(CustomerCombined[[#This Row],[ID]], Table2[ID],Table2[MC2], "Not Found", 0 )</f>
        <v>0</v>
      </c>
      <c r="AA515" s="8">
        <f>_xlfn.XLOOKUP(CustomerCombined[[#This Row],[ID]], Table2[ID],Table2[MC3], "Not Found", 0 )</f>
        <v>0</v>
      </c>
      <c r="AB515" s="8">
        <f>_xlfn.XLOOKUP(CustomerCombined[[#This Row],[ID]], Table2[ID],Table2[MC4], "Not Found", 0 )</f>
        <v>0</v>
      </c>
      <c r="AC515" s="8">
        <f>_xlfn.XLOOKUP(CustomerCombined[[#This Row],[ID]], Table2[ID],Table2[MC5], "Not Found", 0 )</f>
        <v>0</v>
      </c>
    </row>
    <row r="516" spans="1:29" x14ac:dyDescent="0.3">
      <c r="A516" s="6">
        <v>1213</v>
      </c>
      <c r="B516" s="6">
        <v>142011</v>
      </c>
      <c r="C516" s="6">
        <v>1</v>
      </c>
      <c r="D516" s="6">
        <v>0</v>
      </c>
      <c r="E516" s="6">
        <v>42</v>
      </c>
      <c r="F516" s="5" t="s">
        <v>8</v>
      </c>
      <c r="G516" s="5" t="s">
        <v>11</v>
      </c>
      <c r="H516" s="3" t="s">
        <v>282</v>
      </c>
      <c r="I516" s="5" t="s">
        <v>437</v>
      </c>
      <c r="J516" s="5">
        <f>_xlfn.XLOOKUP(CustomerCombined[[#This Row],[ID]], Table4[ID], Table4[Recency], "Not Found", 0)</f>
        <v>46</v>
      </c>
      <c r="K516" s="5">
        <f>_xlfn.XLOOKUP(CustomerCombined[[#This Row],[ID]], Table4[ID], Table4[Teas], "Not Found", 0)</f>
        <v>443</v>
      </c>
      <c r="L516" s="5">
        <f>_xlfn.XLOOKUP(CustomerCombined[[#This Row],[ID]], Table4[ID], Table4[Fruits], "Not Found", 0)</f>
        <v>0</v>
      </c>
      <c r="M516" s="5">
        <f>_xlfn.XLOOKUP(CustomerCombined[[#This Row],[ID]], Table4[ID], Table4[Meats], "Not Found", 0)</f>
        <v>54</v>
      </c>
      <c r="N516" s="5">
        <f>_xlfn.XLOOKUP(CustomerCombined[[#This Row],[ID]], Table4[ID], Table4[Seafood], "Not Found", 0)</f>
        <v>7</v>
      </c>
      <c r="O516" s="5">
        <f>_xlfn.XLOOKUP(CustomerCombined[[#This Row],[ID]], Table4[ID], Table4[Sweets], "Not Found", 0)</f>
        <v>3</v>
      </c>
      <c r="P516" s="5">
        <f>_xlfn.XLOOKUP(CustomerCombined[[#This Row],[ID]], Table4[ID], Table4[Premium], "Not Found", 0)</f>
        <v>132</v>
      </c>
      <c r="Q516" s="5">
        <f>_xlfn.XLOOKUP(CustomerCombined[[#This Row],[ID]], Table4[ID], Table4[Regular], "Not Found", 0)</f>
        <v>375</v>
      </c>
      <c r="R516" s="5">
        <f>_xlfn.XLOOKUP(CustomerCombined[[#This Row],[ID]], Table4[ID], Table4[Deals], "Not Found", 0)</f>
        <v>4</v>
      </c>
      <c r="S516" s="5">
        <f>_xlfn.XLOOKUP(CustomerCombined[[#This Row],[ID]], Table4[ID], Table4[Website], "Not Found", 0)</f>
        <v>3</v>
      </c>
      <c r="T516" s="5">
        <f>_xlfn.XLOOKUP(CustomerCombined[[#This Row],[ID]], Table4[ID], Table4[Catalog], "Not Found", 0)</f>
        <v>1</v>
      </c>
      <c r="U516" s="5">
        <f>_xlfn.XLOOKUP(CustomerCombined[[#This Row],[ID]], Table4[ID], Table4[Store], "Not Found", 0)</f>
        <v>4</v>
      </c>
      <c r="V516" s="5">
        <f>_xlfn.XLOOKUP(CustomerCombined[[#This Row],[ID]], Table4[ID], Table4[Visits], "Not Found", 0)</f>
        <v>8</v>
      </c>
      <c r="W516" s="8">
        <f>_xlfn.XLOOKUP(CustomerCombined[[#This Row],[ID]], Table2[ID],Table2[Complaint], "Not Found", 0 )</f>
        <v>0</v>
      </c>
      <c r="X516" s="8">
        <f>_xlfn.XLOOKUP(CustomerCombined[[#This Row],[ID]], Table2[ID],Table2[Pilot], "Not Found", 0 )</f>
        <v>0</v>
      </c>
      <c r="Y516" s="8">
        <f>_xlfn.XLOOKUP(CustomerCombined[[#This Row],[ID]], Table2[ID],Table2[MC1], "Not Found", 0 )</f>
        <v>0</v>
      </c>
      <c r="Z516" s="8">
        <f>_xlfn.XLOOKUP(CustomerCombined[[#This Row],[ID]], Table2[ID],Table2[MC2], "Not Found", 0 )</f>
        <v>0</v>
      </c>
      <c r="AA516" s="8">
        <f>_xlfn.XLOOKUP(CustomerCombined[[#This Row],[ID]], Table2[ID],Table2[MC3], "Not Found", 0 )</f>
        <v>0</v>
      </c>
      <c r="AB516" s="8">
        <f>_xlfn.XLOOKUP(CustomerCombined[[#This Row],[ID]], Table2[ID],Table2[MC4], "Not Found", 0 )</f>
        <v>0</v>
      </c>
      <c r="AC516" s="8">
        <f>_xlfn.XLOOKUP(CustomerCombined[[#This Row],[ID]], Table2[ID],Table2[MC5], "Not Found", 0 )</f>
        <v>0</v>
      </c>
    </row>
    <row r="517" spans="1:29" x14ac:dyDescent="0.3">
      <c r="A517" s="6">
        <v>2213</v>
      </c>
      <c r="B517" s="6">
        <v>141986</v>
      </c>
      <c r="C517" s="6">
        <v>0</v>
      </c>
      <c r="D517" s="6">
        <v>1</v>
      </c>
      <c r="E517" s="6">
        <v>42</v>
      </c>
      <c r="F517" s="5" t="s">
        <v>5</v>
      </c>
      <c r="G517" s="5" t="s">
        <v>11</v>
      </c>
      <c r="H517" s="3" t="s">
        <v>104</v>
      </c>
      <c r="I517" s="5" t="s">
        <v>434</v>
      </c>
      <c r="J517" s="5">
        <f>_xlfn.XLOOKUP(CustomerCombined[[#This Row],[ID]], Table4[ID], Table4[Recency], "Not Found", 0)</f>
        <v>15</v>
      </c>
      <c r="K517" s="5">
        <f>_xlfn.XLOOKUP(CustomerCombined[[#This Row],[ID]], Table4[ID], Table4[Teas], "Not Found", 0)</f>
        <v>91</v>
      </c>
      <c r="L517" s="5">
        <f>_xlfn.XLOOKUP(CustomerCombined[[#This Row],[ID]], Table4[ID], Table4[Fruits], "Not Found", 0)</f>
        <v>17</v>
      </c>
      <c r="M517" s="5">
        <f>_xlfn.XLOOKUP(CustomerCombined[[#This Row],[ID]], Table4[ID], Table4[Meats], "Not Found", 0)</f>
        <v>27</v>
      </c>
      <c r="N517" s="5">
        <f>_xlfn.XLOOKUP(CustomerCombined[[#This Row],[ID]], Table4[ID], Table4[Seafood], "Not Found", 0)</f>
        <v>27</v>
      </c>
      <c r="O517" s="5">
        <f>_xlfn.XLOOKUP(CustomerCombined[[#This Row],[ID]], Table4[ID], Table4[Sweets], "Not Found", 0)</f>
        <v>10</v>
      </c>
      <c r="P517" s="5">
        <f>_xlfn.XLOOKUP(CustomerCombined[[#This Row],[ID]], Table4[ID], Table4[Premium], "Not Found", 0)</f>
        <v>41</v>
      </c>
      <c r="Q517" s="5">
        <f>_xlfn.XLOOKUP(CustomerCombined[[#This Row],[ID]], Table4[ID], Table4[Regular], "Not Found", 0)</f>
        <v>132</v>
      </c>
      <c r="R517" s="5">
        <f>_xlfn.XLOOKUP(CustomerCombined[[#This Row],[ID]], Table4[ID], Table4[Deals], "Not Found", 0)</f>
        <v>3</v>
      </c>
      <c r="S517" s="5">
        <f>_xlfn.XLOOKUP(CustomerCombined[[#This Row],[ID]], Table4[ID], Table4[Website], "Not Found", 0)</f>
        <v>3</v>
      </c>
      <c r="T517" s="5">
        <f>_xlfn.XLOOKUP(CustomerCombined[[#This Row],[ID]], Table4[ID], Table4[Catalog], "Not Found", 0)</f>
        <v>0</v>
      </c>
      <c r="U517" s="5">
        <f>_xlfn.XLOOKUP(CustomerCombined[[#This Row],[ID]], Table4[ID], Table4[Store], "Not Found", 0)</f>
        <v>4</v>
      </c>
      <c r="V517" s="5">
        <f>_xlfn.XLOOKUP(CustomerCombined[[#This Row],[ID]], Table4[ID], Table4[Visits], "Not Found", 0)</f>
        <v>4</v>
      </c>
      <c r="W517" s="8">
        <f>_xlfn.XLOOKUP(CustomerCombined[[#This Row],[ID]], Table2[ID],Table2[Complaint], "Not Found", 0 )</f>
        <v>0</v>
      </c>
      <c r="X517" s="8">
        <f>_xlfn.XLOOKUP(CustomerCombined[[#This Row],[ID]], Table2[ID],Table2[Pilot], "Not Found", 0 )</f>
        <v>0</v>
      </c>
      <c r="Y517" s="8">
        <f>_xlfn.XLOOKUP(CustomerCombined[[#This Row],[ID]], Table2[ID],Table2[MC1], "Not Found", 0 )</f>
        <v>0</v>
      </c>
      <c r="Z517" s="8">
        <f>_xlfn.XLOOKUP(CustomerCombined[[#This Row],[ID]], Table2[ID],Table2[MC2], "Not Found", 0 )</f>
        <v>0</v>
      </c>
      <c r="AA517" s="8">
        <f>_xlfn.XLOOKUP(CustomerCombined[[#This Row],[ID]], Table2[ID],Table2[MC3], "Not Found", 0 )</f>
        <v>0</v>
      </c>
      <c r="AB517" s="8">
        <f>_xlfn.XLOOKUP(CustomerCombined[[#This Row],[ID]], Table2[ID],Table2[MC4], "Not Found", 0 )</f>
        <v>0</v>
      </c>
      <c r="AC517" s="8">
        <f>_xlfn.XLOOKUP(CustomerCombined[[#This Row],[ID]], Table2[ID],Table2[MC5], "Not Found", 0 )</f>
        <v>0</v>
      </c>
    </row>
    <row r="518" spans="1:29" x14ac:dyDescent="0.3">
      <c r="A518" s="6">
        <v>2810</v>
      </c>
      <c r="B518" s="6">
        <v>141580</v>
      </c>
      <c r="C518" s="6">
        <v>1</v>
      </c>
      <c r="D518" s="6">
        <v>1</v>
      </c>
      <c r="E518" s="6">
        <v>42</v>
      </c>
      <c r="F518" s="5" t="s">
        <v>8</v>
      </c>
      <c r="G518" s="5" t="s">
        <v>11</v>
      </c>
      <c r="H518" s="3" t="s">
        <v>348</v>
      </c>
      <c r="I518" s="5" t="s">
        <v>438</v>
      </c>
      <c r="J518" s="5">
        <f>_xlfn.XLOOKUP(CustomerCombined[[#This Row],[ID]], Table4[ID], Table4[Recency], "Not Found", 0)</f>
        <v>15</v>
      </c>
      <c r="K518" s="5">
        <f>_xlfn.XLOOKUP(CustomerCombined[[#This Row],[ID]], Table4[ID], Table4[Teas], "Not Found", 0)</f>
        <v>191</v>
      </c>
      <c r="L518" s="5">
        <f>_xlfn.XLOOKUP(CustomerCombined[[#This Row],[ID]], Table4[ID], Table4[Fruits], "Not Found", 0)</f>
        <v>17</v>
      </c>
      <c r="M518" s="5">
        <f>_xlfn.XLOOKUP(CustomerCombined[[#This Row],[ID]], Table4[ID], Table4[Meats], "Not Found", 0)</f>
        <v>82</v>
      </c>
      <c r="N518" s="5">
        <f>_xlfn.XLOOKUP(CustomerCombined[[#This Row],[ID]], Table4[ID], Table4[Seafood], "Not Found", 0)</f>
        <v>14</v>
      </c>
      <c r="O518" s="5">
        <f>_xlfn.XLOOKUP(CustomerCombined[[#This Row],[ID]], Table4[ID], Table4[Sweets], "Not Found", 0)</f>
        <v>0</v>
      </c>
      <c r="P518" s="5">
        <f>_xlfn.XLOOKUP(CustomerCombined[[#This Row],[ID]], Table4[ID], Table4[Premium], "Not Found", 0)</f>
        <v>10</v>
      </c>
      <c r="Q518" s="5">
        <f>_xlfn.XLOOKUP(CustomerCombined[[#This Row],[ID]], Table4[ID], Table4[Regular], "Not Found", 0)</f>
        <v>293</v>
      </c>
      <c r="R518" s="5">
        <f>_xlfn.XLOOKUP(CustomerCombined[[#This Row],[ID]], Table4[ID], Table4[Deals], "Not Found", 0)</f>
        <v>3</v>
      </c>
      <c r="S518" s="5">
        <f>_xlfn.XLOOKUP(CustomerCombined[[#This Row],[ID]], Table4[ID], Table4[Website], "Not Found", 0)</f>
        <v>2</v>
      </c>
      <c r="T518" s="5">
        <f>_xlfn.XLOOKUP(CustomerCombined[[#This Row],[ID]], Table4[ID], Table4[Catalog], "Not Found", 0)</f>
        <v>1</v>
      </c>
      <c r="U518" s="5">
        <f>_xlfn.XLOOKUP(CustomerCombined[[#This Row],[ID]], Table4[ID], Table4[Store], "Not Found", 0)</f>
        <v>3</v>
      </c>
      <c r="V518" s="5">
        <f>_xlfn.XLOOKUP(CustomerCombined[[#This Row],[ID]], Table4[ID], Table4[Visits], "Not Found", 0)</f>
        <v>5</v>
      </c>
      <c r="W518" s="8">
        <f>_xlfn.XLOOKUP(CustomerCombined[[#This Row],[ID]], Table2[ID],Table2[Complaint], "Not Found", 0 )</f>
        <v>0</v>
      </c>
      <c r="X518" s="8">
        <f>_xlfn.XLOOKUP(CustomerCombined[[#This Row],[ID]], Table2[ID],Table2[Pilot], "Not Found", 0 )</f>
        <v>0</v>
      </c>
      <c r="Y518" s="8">
        <f>_xlfn.XLOOKUP(CustomerCombined[[#This Row],[ID]], Table2[ID],Table2[MC1], "Not Found", 0 )</f>
        <v>0</v>
      </c>
      <c r="Z518" s="8">
        <f>_xlfn.XLOOKUP(CustomerCombined[[#This Row],[ID]], Table2[ID],Table2[MC2], "Not Found", 0 )</f>
        <v>0</v>
      </c>
      <c r="AA518" s="8">
        <f>_xlfn.XLOOKUP(CustomerCombined[[#This Row],[ID]], Table2[ID],Table2[MC3], "Not Found", 0 )</f>
        <v>0</v>
      </c>
      <c r="AB518" s="8">
        <f>_xlfn.XLOOKUP(CustomerCombined[[#This Row],[ID]], Table2[ID],Table2[MC4], "Not Found", 0 )</f>
        <v>0</v>
      </c>
      <c r="AC518" s="8">
        <f>_xlfn.XLOOKUP(CustomerCombined[[#This Row],[ID]], Table2[ID],Table2[MC5], "Not Found", 0 )</f>
        <v>0</v>
      </c>
    </row>
    <row r="519" spans="1:29" x14ac:dyDescent="0.3">
      <c r="A519" s="6">
        <v>2687</v>
      </c>
      <c r="B519" s="6">
        <v>141154</v>
      </c>
      <c r="C519" s="6">
        <v>0</v>
      </c>
      <c r="D519" s="6">
        <v>1</v>
      </c>
      <c r="E519" s="6">
        <v>42</v>
      </c>
      <c r="F519" s="5" t="s">
        <v>8</v>
      </c>
      <c r="G519" s="5" t="s">
        <v>11</v>
      </c>
      <c r="H519" s="3" t="s">
        <v>280</v>
      </c>
      <c r="I519" s="5" t="s">
        <v>434</v>
      </c>
      <c r="J519" s="5">
        <f>_xlfn.XLOOKUP(CustomerCombined[[#This Row],[ID]], Table4[ID], Table4[Recency], "Not Found", 0)</f>
        <v>98</v>
      </c>
      <c r="K519" s="5">
        <f>_xlfn.XLOOKUP(CustomerCombined[[#This Row],[ID]], Table4[ID], Table4[Teas], "Not Found", 0)</f>
        <v>151</v>
      </c>
      <c r="L519" s="5">
        <f>_xlfn.XLOOKUP(CustomerCombined[[#This Row],[ID]], Table4[ID], Table4[Fruits], "Not Found", 0)</f>
        <v>7</v>
      </c>
      <c r="M519" s="5">
        <f>_xlfn.XLOOKUP(CustomerCombined[[#This Row],[ID]], Table4[ID], Table4[Meats], "Not Found", 0)</f>
        <v>38</v>
      </c>
      <c r="N519" s="5">
        <f>_xlfn.XLOOKUP(CustomerCombined[[#This Row],[ID]], Table4[ID], Table4[Seafood], "Not Found", 0)</f>
        <v>7</v>
      </c>
      <c r="O519" s="5">
        <f>_xlfn.XLOOKUP(CustomerCombined[[#This Row],[ID]], Table4[ID], Table4[Sweets], "Not Found", 0)</f>
        <v>10</v>
      </c>
      <c r="P519" s="5">
        <f>_xlfn.XLOOKUP(CustomerCombined[[#This Row],[ID]], Table4[ID], Table4[Premium], "Not Found", 0)</f>
        <v>24</v>
      </c>
      <c r="Q519" s="5">
        <f>_xlfn.XLOOKUP(CustomerCombined[[#This Row],[ID]], Table4[ID], Table4[Regular], "Not Found", 0)</f>
        <v>189</v>
      </c>
      <c r="R519" s="5">
        <f>_xlfn.XLOOKUP(CustomerCombined[[#This Row],[ID]], Table4[ID], Table4[Deals], "Not Found", 0)</f>
        <v>1</v>
      </c>
      <c r="S519" s="5">
        <f>_xlfn.XLOOKUP(CustomerCombined[[#This Row],[ID]], Table4[ID], Table4[Website], "Not Found", 0)</f>
        <v>1</v>
      </c>
      <c r="T519" s="5">
        <f>_xlfn.XLOOKUP(CustomerCombined[[#This Row],[ID]], Table4[ID], Table4[Catalog], "Not Found", 0)</f>
        <v>0</v>
      </c>
      <c r="U519" s="5">
        <f>_xlfn.XLOOKUP(CustomerCombined[[#This Row],[ID]], Table4[ID], Table4[Store], "Not Found", 0)</f>
        <v>4</v>
      </c>
      <c r="V519" s="5">
        <f>_xlfn.XLOOKUP(CustomerCombined[[#This Row],[ID]], Table4[ID], Table4[Visits], "Not Found", 0)</f>
        <v>5</v>
      </c>
      <c r="W519" s="8">
        <f>_xlfn.XLOOKUP(CustomerCombined[[#This Row],[ID]], Table2[ID],Table2[Complaint], "Not Found", 0 )</f>
        <v>0</v>
      </c>
      <c r="X519" s="8">
        <f>_xlfn.XLOOKUP(CustomerCombined[[#This Row],[ID]], Table2[ID],Table2[Pilot], "Not Found", 0 )</f>
        <v>0</v>
      </c>
      <c r="Y519" s="8">
        <f>_xlfn.XLOOKUP(CustomerCombined[[#This Row],[ID]], Table2[ID],Table2[MC1], "Not Found", 0 )</f>
        <v>0</v>
      </c>
      <c r="Z519" s="8">
        <f>_xlfn.XLOOKUP(CustomerCombined[[#This Row],[ID]], Table2[ID],Table2[MC2], "Not Found", 0 )</f>
        <v>0</v>
      </c>
      <c r="AA519" s="8">
        <f>_xlfn.XLOOKUP(CustomerCombined[[#This Row],[ID]], Table2[ID],Table2[MC3], "Not Found", 0 )</f>
        <v>0</v>
      </c>
      <c r="AB519" s="8">
        <f>_xlfn.XLOOKUP(CustomerCombined[[#This Row],[ID]], Table2[ID],Table2[MC4], "Not Found", 0 )</f>
        <v>0</v>
      </c>
      <c r="AC519" s="8">
        <f>_xlfn.XLOOKUP(CustomerCombined[[#This Row],[ID]], Table2[ID],Table2[MC5], "Not Found", 0 )</f>
        <v>0</v>
      </c>
    </row>
    <row r="520" spans="1:29" x14ac:dyDescent="0.3">
      <c r="A520" s="6">
        <v>2060</v>
      </c>
      <c r="B520" s="6">
        <v>141014</v>
      </c>
      <c r="C520" s="6">
        <v>1</v>
      </c>
      <c r="D520" s="6">
        <v>0</v>
      </c>
      <c r="E520" s="6">
        <v>42</v>
      </c>
      <c r="F520" s="5" t="s">
        <v>6</v>
      </c>
      <c r="G520" s="5" t="s">
        <v>13</v>
      </c>
      <c r="H520" s="3" t="s">
        <v>267</v>
      </c>
      <c r="I520" s="5" t="s">
        <v>438</v>
      </c>
      <c r="J520" s="5">
        <f>_xlfn.XLOOKUP(CustomerCombined[[#This Row],[ID]], Table4[ID], Table4[Recency], "Not Found", 0)</f>
        <v>65</v>
      </c>
      <c r="K520" s="5">
        <f>_xlfn.XLOOKUP(CustomerCombined[[#This Row],[ID]], Table4[ID], Table4[Teas], "Not Found", 0)</f>
        <v>24</v>
      </c>
      <c r="L520" s="5">
        <f>_xlfn.XLOOKUP(CustomerCombined[[#This Row],[ID]], Table4[ID], Table4[Fruits], "Not Found", 0)</f>
        <v>7</v>
      </c>
      <c r="M520" s="5">
        <f>_xlfn.XLOOKUP(CustomerCombined[[#This Row],[ID]], Table4[ID], Table4[Meats], "Not Found", 0)</f>
        <v>21</v>
      </c>
      <c r="N520" s="5">
        <f>_xlfn.XLOOKUP(CustomerCombined[[#This Row],[ID]], Table4[ID], Table4[Seafood], "Not Found", 0)</f>
        <v>7</v>
      </c>
      <c r="O520" s="5">
        <f>_xlfn.XLOOKUP(CustomerCombined[[#This Row],[ID]], Table4[ID], Table4[Sweets], "Not Found", 0)</f>
        <v>0</v>
      </c>
      <c r="P520" s="5">
        <f>_xlfn.XLOOKUP(CustomerCombined[[#This Row],[ID]], Table4[ID], Table4[Premium], "Not Found", 0)</f>
        <v>10</v>
      </c>
      <c r="Q520" s="5">
        <f>_xlfn.XLOOKUP(CustomerCombined[[#This Row],[ID]], Table4[ID], Table4[Regular], "Not Found", 0)</f>
        <v>48</v>
      </c>
      <c r="R520" s="5">
        <f>_xlfn.XLOOKUP(CustomerCombined[[#This Row],[ID]], Table4[ID], Table4[Deals], "Not Found", 0)</f>
        <v>1</v>
      </c>
      <c r="S520" s="5">
        <f>_xlfn.XLOOKUP(CustomerCombined[[#This Row],[ID]], Table4[ID], Table4[Website], "Not Found", 0)</f>
        <v>1</v>
      </c>
      <c r="T520" s="5">
        <f>_xlfn.XLOOKUP(CustomerCombined[[#This Row],[ID]], Table4[ID], Table4[Catalog], "Not Found", 0)</f>
        <v>0</v>
      </c>
      <c r="U520" s="5">
        <f>_xlfn.XLOOKUP(CustomerCombined[[#This Row],[ID]], Table4[ID], Table4[Store], "Not Found", 0)</f>
        <v>2</v>
      </c>
      <c r="V520" s="5">
        <f>_xlfn.XLOOKUP(CustomerCombined[[#This Row],[ID]], Table4[ID], Table4[Visits], "Not Found", 0)</f>
        <v>7</v>
      </c>
      <c r="W520" s="8">
        <f>_xlfn.XLOOKUP(CustomerCombined[[#This Row],[ID]], Table2[ID],Table2[Complaint], "Not Found", 0 )</f>
        <v>0</v>
      </c>
      <c r="X520" s="8">
        <f>_xlfn.XLOOKUP(CustomerCombined[[#This Row],[ID]], Table2[ID],Table2[Pilot], "Not Found", 0 )</f>
        <v>0</v>
      </c>
      <c r="Y520" s="8">
        <f>_xlfn.XLOOKUP(CustomerCombined[[#This Row],[ID]], Table2[ID],Table2[MC1], "Not Found", 0 )</f>
        <v>0</v>
      </c>
      <c r="Z520" s="8">
        <f>_xlfn.XLOOKUP(CustomerCombined[[#This Row],[ID]], Table2[ID],Table2[MC2], "Not Found", 0 )</f>
        <v>0</v>
      </c>
      <c r="AA520" s="8">
        <f>_xlfn.XLOOKUP(CustomerCombined[[#This Row],[ID]], Table2[ID],Table2[MC3], "Not Found", 0 )</f>
        <v>0</v>
      </c>
      <c r="AB520" s="8">
        <f>_xlfn.XLOOKUP(CustomerCombined[[#This Row],[ID]], Table2[ID],Table2[MC4], "Not Found", 0 )</f>
        <v>0</v>
      </c>
      <c r="AC520" s="8">
        <f>_xlfn.XLOOKUP(CustomerCombined[[#This Row],[ID]], Table2[ID],Table2[MC5], "Not Found", 0 )</f>
        <v>0</v>
      </c>
    </row>
    <row r="521" spans="1:29" x14ac:dyDescent="0.3">
      <c r="A521" s="6">
        <v>1724</v>
      </c>
      <c r="B521" s="6">
        <v>138702</v>
      </c>
      <c r="C521" s="6">
        <v>1</v>
      </c>
      <c r="D521" s="6">
        <v>0</v>
      </c>
      <c r="E521" s="6">
        <v>42</v>
      </c>
      <c r="F521" s="5" t="s">
        <v>8</v>
      </c>
      <c r="G521" s="5" t="s">
        <v>442</v>
      </c>
      <c r="H521" s="3">
        <v>43983</v>
      </c>
      <c r="I521" s="5" t="s">
        <v>438</v>
      </c>
      <c r="J521" s="5">
        <f>_xlfn.XLOOKUP(CustomerCombined[[#This Row],[ID]], Table4[ID], Table4[Recency], "Not Found", 0)</f>
        <v>71</v>
      </c>
      <c r="K521" s="5">
        <f>_xlfn.XLOOKUP(CustomerCombined[[#This Row],[ID]], Table4[ID], Table4[Teas], "Not Found", 0)</f>
        <v>47</v>
      </c>
      <c r="L521" s="5">
        <f>_xlfn.XLOOKUP(CustomerCombined[[#This Row],[ID]], Table4[ID], Table4[Fruits], "Not Found", 0)</f>
        <v>39</v>
      </c>
      <c r="M521" s="5">
        <f>_xlfn.XLOOKUP(CustomerCombined[[#This Row],[ID]], Table4[ID], Table4[Meats], "Not Found", 0)</f>
        <v>86</v>
      </c>
      <c r="N521" s="5">
        <f>_xlfn.XLOOKUP(CustomerCombined[[#This Row],[ID]], Table4[ID], Table4[Seafood], "Not Found", 0)</f>
        <v>47</v>
      </c>
      <c r="O521" s="5">
        <f>_xlfn.XLOOKUP(CustomerCombined[[#This Row],[ID]], Table4[ID], Table4[Sweets], "Not Found", 0)</f>
        <v>29</v>
      </c>
      <c r="P521" s="5">
        <f>_xlfn.XLOOKUP(CustomerCombined[[#This Row],[ID]], Table4[ID], Table4[Premium], "Not Found", 0)</f>
        <v>143</v>
      </c>
      <c r="Q521" s="5">
        <f>_xlfn.XLOOKUP(CustomerCombined[[#This Row],[ID]], Table4[ID], Table4[Regular], "Not Found", 0)</f>
        <v>104</v>
      </c>
      <c r="R521" s="5">
        <f>_xlfn.XLOOKUP(CustomerCombined[[#This Row],[ID]], Table4[ID], Table4[Deals], "Not Found", 0)</f>
        <v>2</v>
      </c>
      <c r="S521" s="5">
        <f>_xlfn.XLOOKUP(CustomerCombined[[#This Row],[ID]], Table4[ID], Table4[Website], "Not Found", 0)</f>
        <v>3</v>
      </c>
      <c r="T521" s="5">
        <f>_xlfn.XLOOKUP(CustomerCombined[[#This Row],[ID]], Table4[ID], Table4[Catalog], "Not Found", 0)</f>
        <v>0</v>
      </c>
      <c r="U521" s="5">
        <f>_xlfn.XLOOKUP(CustomerCombined[[#This Row],[ID]], Table4[ID], Table4[Store], "Not Found", 0)</f>
        <v>4</v>
      </c>
      <c r="V521" s="5">
        <f>_xlfn.XLOOKUP(CustomerCombined[[#This Row],[ID]], Table4[ID], Table4[Visits], "Not Found", 0)</f>
        <v>6</v>
      </c>
      <c r="W521" s="8">
        <f>_xlfn.XLOOKUP(CustomerCombined[[#This Row],[ID]], Table2[ID],Table2[Complaint], "Not Found", 0 )</f>
        <v>0</v>
      </c>
      <c r="X521" s="8">
        <f>_xlfn.XLOOKUP(CustomerCombined[[#This Row],[ID]], Table2[ID],Table2[Pilot], "Not Found", 0 )</f>
        <v>0</v>
      </c>
      <c r="Y521" s="8">
        <f>_xlfn.XLOOKUP(CustomerCombined[[#This Row],[ID]], Table2[ID],Table2[MC1], "Not Found", 0 )</f>
        <v>0</v>
      </c>
      <c r="Z521" s="8">
        <f>_xlfn.XLOOKUP(CustomerCombined[[#This Row],[ID]], Table2[ID],Table2[MC2], "Not Found", 0 )</f>
        <v>0</v>
      </c>
      <c r="AA521" s="8">
        <f>_xlfn.XLOOKUP(CustomerCombined[[#This Row],[ID]], Table2[ID],Table2[MC3], "Not Found", 0 )</f>
        <v>0</v>
      </c>
      <c r="AB521" s="8">
        <f>_xlfn.XLOOKUP(CustomerCombined[[#This Row],[ID]], Table2[ID],Table2[MC4], "Not Found", 0 )</f>
        <v>0</v>
      </c>
      <c r="AC521" s="8">
        <f>_xlfn.XLOOKUP(CustomerCombined[[#This Row],[ID]], Table2[ID],Table2[MC5], "Not Found", 0 )</f>
        <v>0</v>
      </c>
    </row>
    <row r="522" spans="1:29" x14ac:dyDescent="0.3">
      <c r="A522" s="6">
        <v>1339</v>
      </c>
      <c r="B522" s="6">
        <v>138643</v>
      </c>
      <c r="C522" s="6">
        <v>1</v>
      </c>
      <c r="D522" s="6">
        <v>1</v>
      </c>
      <c r="E522" s="6">
        <v>42</v>
      </c>
      <c r="F522" s="5" t="s">
        <v>7</v>
      </c>
      <c r="G522" s="5" t="s">
        <v>11</v>
      </c>
      <c r="H522" s="3">
        <v>43956</v>
      </c>
      <c r="I522" s="5" t="s">
        <v>437</v>
      </c>
      <c r="J522" s="5">
        <f>_xlfn.XLOOKUP(CustomerCombined[[#This Row],[ID]], Table4[ID], Table4[Recency], "Not Found", 0)</f>
        <v>45</v>
      </c>
      <c r="K522" s="5">
        <f>_xlfn.XLOOKUP(CustomerCombined[[#This Row],[ID]], Table4[ID], Table4[Teas], "Not Found", 0)</f>
        <v>79</v>
      </c>
      <c r="L522" s="5">
        <f>_xlfn.XLOOKUP(CustomerCombined[[#This Row],[ID]], Table4[ID], Table4[Fruits], "Not Found", 0)</f>
        <v>7</v>
      </c>
      <c r="M522" s="5">
        <f>_xlfn.XLOOKUP(CustomerCombined[[#This Row],[ID]], Table4[ID], Table4[Meats], "Not Found", 0)</f>
        <v>50</v>
      </c>
      <c r="N522" s="5">
        <f>_xlfn.XLOOKUP(CustomerCombined[[#This Row],[ID]], Table4[ID], Table4[Seafood], "Not Found", 0)</f>
        <v>0</v>
      </c>
      <c r="O522" s="5">
        <f>_xlfn.XLOOKUP(CustomerCombined[[#This Row],[ID]], Table4[ID], Table4[Sweets], "Not Found", 0)</f>
        <v>4</v>
      </c>
      <c r="P522" s="5">
        <f>_xlfn.XLOOKUP(CustomerCombined[[#This Row],[ID]], Table4[ID], Table4[Premium], "Not Found", 0)</f>
        <v>36</v>
      </c>
      <c r="Q522" s="5">
        <f>_xlfn.XLOOKUP(CustomerCombined[[#This Row],[ID]], Table4[ID], Table4[Regular], "Not Found", 0)</f>
        <v>104</v>
      </c>
      <c r="R522" s="5">
        <f>_xlfn.XLOOKUP(CustomerCombined[[#This Row],[ID]], Table4[ID], Table4[Deals], "Not Found", 0)</f>
        <v>2</v>
      </c>
      <c r="S522" s="5">
        <f>_xlfn.XLOOKUP(CustomerCombined[[#This Row],[ID]], Table4[ID], Table4[Website], "Not Found", 0)</f>
        <v>2</v>
      </c>
      <c r="T522" s="5">
        <f>_xlfn.XLOOKUP(CustomerCombined[[#This Row],[ID]], Table4[ID], Table4[Catalog], "Not Found", 0)</f>
        <v>0</v>
      </c>
      <c r="U522" s="5">
        <f>_xlfn.XLOOKUP(CustomerCombined[[#This Row],[ID]], Table4[ID], Table4[Store], "Not Found", 0)</f>
        <v>3</v>
      </c>
      <c r="V522" s="5">
        <f>_xlfn.XLOOKUP(CustomerCombined[[#This Row],[ID]], Table4[ID], Table4[Visits], "Not Found", 0)</f>
        <v>7</v>
      </c>
      <c r="W522" s="8">
        <f>_xlfn.XLOOKUP(CustomerCombined[[#This Row],[ID]], Table2[ID],Table2[Complaint], "Not Found", 0 )</f>
        <v>1</v>
      </c>
      <c r="X522" s="8">
        <f>_xlfn.XLOOKUP(CustomerCombined[[#This Row],[ID]], Table2[ID],Table2[Pilot], "Not Found", 0 )</f>
        <v>0</v>
      </c>
      <c r="Y522" s="8">
        <f>_xlfn.XLOOKUP(CustomerCombined[[#This Row],[ID]], Table2[ID],Table2[MC1], "Not Found", 0 )</f>
        <v>0</v>
      </c>
      <c r="Z522" s="8">
        <f>_xlfn.XLOOKUP(CustomerCombined[[#This Row],[ID]], Table2[ID],Table2[MC2], "Not Found", 0 )</f>
        <v>0</v>
      </c>
      <c r="AA522" s="8">
        <f>_xlfn.XLOOKUP(CustomerCombined[[#This Row],[ID]], Table2[ID],Table2[MC3], "Not Found", 0 )</f>
        <v>0</v>
      </c>
      <c r="AB522" s="8">
        <f>_xlfn.XLOOKUP(CustomerCombined[[#This Row],[ID]], Table2[ID],Table2[MC4], "Not Found", 0 )</f>
        <v>0</v>
      </c>
      <c r="AC522" s="8">
        <f>_xlfn.XLOOKUP(CustomerCombined[[#This Row],[ID]], Table2[ID],Table2[MC5], "Not Found", 0 )</f>
        <v>0</v>
      </c>
    </row>
    <row r="523" spans="1:29" x14ac:dyDescent="0.3">
      <c r="A523" s="6">
        <v>1556</v>
      </c>
      <c r="B523" s="6">
        <v>138593</v>
      </c>
      <c r="C523" s="6">
        <v>1</v>
      </c>
      <c r="D523" s="6">
        <v>0</v>
      </c>
      <c r="E523" s="6">
        <v>42</v>
      </c>
      <c r="F523" s="5" t="s">
        <v>7</v>
      </c>
      <c r="G523" s="5" t="s">
        <v>442</v>
      </c>
      <c r="H523" s="3" t="s">
        <v>186</v>
      </c>
      <c r="I523" s="5" t="s">
        <v>438</v>
      </c>
      <c r="J523" s="5">
        <f>_xlfn.XLOOKUP(CustomerCombined[[#This Row],[ID]], Table4[ID], Table4[Recency], "Not Found", 0)</f>
        <v>42</v>
      </c>
      <c r="K523" s="5">
        <f>_xlfn.XLOOKUP(CustomerCombined[[#This Row],[ID]], Table4[ID], Table4[Teas], "Not Found", 0)</f>
        <v>183</v>
      </c>
      <c r="L523" s="5">
        <f>_xlfn.XLOOKUP(CustomerCombined[[#This Row],[ID]], Table4[ID], Table4[Fruits], "Not Found", 0)</f>
        <v>43</v>
      </c>
      <c r="M523" s="5">
        <f>_xlfn.XLOOKUP(CustomerCombined[[#This Row],[ID]], Table4[ID], Table4[Meats], "Not Found", 0)</f>
        <v>176</v>
      </c>
      <c r="N523" s="5">
        <f>_xlfn.XLOOKUP(CustomerCombined[[#This Row],[ID]], Table4[ID], Table4[Seafood], "Not Found", 0)</f>
        <v>61</v>
      </c>
      <c r="O523" s="5">
        <f>_xlfn.XLOOKUP(CustomerCombined[[#This Row],[ID]], Table4[ID], Table4[Sweets], "Not Found", 0)</f>
        <v>86</v>
      </c>
      <c r="P523" s="5">
        <f>_xlfn.XLOOKUP(CustomerCombined[[#This Row],[ID]], Table4[ID], Table4[Premium], "Not Found", 0)</f>
        <v>86</v>
      </c>
      <c r="Q523" s="5">
        <f>_xlfn.XLOOKUP(CustomerCombined[[#This Row],[ID]], Table4[ID], Table4[Regular], "Not Found", 0)</f>
        <v>463</v>
      </c>
      <c r="R523" s="5">
        <f>_xlfn.XLOOKUP(CustomerCombined[[#This Row],[ID]], Table4[ID], Table4[Deals], "Not Found", 0)</f>
        <v>3</v>
      </c>
      <c r="S523" s="5">
        <f>_xlfn.XLOOKUP(CustomerCombined[[#This Row],[ID]], Table4[ID], Table4[Website], "Not Found", 0)</f>
        <v>4</v>
      </c>
      <c r="T523" s="5">
        <f>_xlfn.XLOOKUP(CustomerCombined[[#This Row],[ID]], Table4[ID], Table4[Catalog], "Not Found", 0)</f>
        <v>1</v>
      </c>
      <c r="U523" s="5">
        <f>_xlfn.XLOOKUP(CustomerCombined[[#This Row],[ID]], Table4[ID], Table4[Store], "Not Found", 0)</f>
        <v>3</v>
      </c>
      <c r="V523" s="5">
        <f>_xlfn.XLOOKUP(CustomerCombined[[#This Row],[ID]], Table4[ID], Table4[Visits], "Not Found", 0)</f>
        <v>8</v>
      </c>
      <c r="W523" s="8">
        <f>_xlfn.XLOOKUP(CustomerCombined[[#This Row],[ID]], Table2[ID],Table2[Complaint], "Not Found", 0 )</f>
        <v>0</v>
      </c>
      <c r="X523" s="8">
        <f>_xlfn.XLOOKUP(CustomerCombined[[#This Row],[ID]], Table2[ID],Table2[Pilot], "Not Found", 0 )</f>
        <v>0</v>
      </c>
      <c r="Y523" s="8">
        <f>_xlfn.XLOOKUP(CustomerCombined[[#This Row],[ID]], Table2[ID],Table2[MC1], "Not Found", 0 )</f>
        <v>0</v>
      </c>
      <c r="Z523" s="8">
        <f>_xlfn.XLOOKUP(CustomerCombined[[#This Row],[ID]], Table2[ID],Table2[MC2], "Not Found", 0 )</f>
        <v>0</v>
      </c>
      <c r="AA523" s="8">
        <f>_xlfn.XLOOKUP(CustomerCombined[[#This Row],[ID]], Table2[ID],Table2[MC3], "Not Found", 0 )</f>
        <v>0</v>
      </c>
      <c r="AB523" s="8">
        <f>_xlfn.XLOOKUP(CustomerCombined[[#This Row],[ID]], Table2[ID],Table2[MC4], "Not Found", 0 )</f>
        <v>0</v>
      </c>
      <c r="AC523" s="8">
        <f>_xlfn.XLOOKUP(CustomerCombined[[#This Row],[ID]], Table2[ID],Table2[MC5], "Not Found", 0 )</f>
        <v>0</v>
      </c>
    </row>
    <row r="524" spans="1:29" x14ac:dyDescent="0.3">
      <c r="A524" s="6">
        <v>1100</v>
      </c>
      <c r="B524" s="6">
        <v>138557</v>
      </c>
      <c r="C524" s="6">
        <v>1</v>
      </c>
      <c r="D524" s="6">
        <v>0</v>
      </c>
      <c r="E524" s="6">
        <v>42</v>
      </c>
      <c r="F524" s="5" t="s">
        <v>7</v>
      </c>
      <c r="G524" s="5" t="s">
        <v>11</v>
      </c>
      <c r="H524" s="3" t="s">
        <v>340</v>
      </c>
      <c r="I524" s="5" t="s">
        <v>438</v>
      </c>
      <c r="J524" s="5">
        <f>_xlfn.XLOOKUP(CustomerCombined[[#This Row],[ID]], Table4[ID], Table4[Recency], "Not Found", 0)</f>
        <v>17</v>
      </c>
      <c r="K524" s="5">
        <f>_xlfn.XLOOKUP(CustomerCombined[[#This Row],[ID]], Table4[ID], Table4[Teas], "Not Found", 0)</f>
        <v>273</v>
      </c>
      <c r="L524" s="5">
        <f>_xlfn.XLOOKUP(CustomerCombined[[#This Row],[ID]], Table4[ID], Table4[Fruits], "Not Found", 0)</f>
        <v>11</v>
      </c>
      <c r="M524" s="5">
        <f>_xlfn.XLOOKUP(CustomerCombined[[#This Row],[ID]], Table4[ID], Table4[Meats], "Not Found", 0)</f>
        <v>111</v>
      </c>
      <c r="N524" s="5">
        <f>_xlfn.XLOOKUP(CustomerCombined[[#This Row],[ID]], Table4[ID], Table4[Seafood], "Not Found", 0)</f>
        <v>14</v>
      </c>
      <c r="O524" s="5">
        <f>_xlfn.XLOOKUP(CustomerCombined[[#This Row],[ID]], Table4[ID], Table4[Sweets], "Not Found", 0)</f>
        <v>14</v>
      </c>
      <c r="P524" s="5">
        <f>_xlfn.XLOOKUP(CustomerCombined[[#This Row],[ID]], Table4[ID], Table4[Premium], "Not Found", 0)</f>
        <v>97</v>
      </c>
      <c r="Q524" s="5">
        <f>_xlfn.XLOOKUP(CustomerCombined[[#This Row],[ID]], Table4[ID], Table4[Regular], "Not Found", 0)</f>
        <v>327</v>
      </c>
      <c r="R524" s="5">
        <f>_xlfn.XLOOKUP(CustomerCombined[[#This Row],[ID]], Table4[ID], Table4[Deals], "Not Found", 0)</f>
        <v>2</v>
      </c>
      <c r="S524" s="5">
        <f>_xlfn.XLOOKUP(CustomerCombined[[#This Row],[ID]], Table4[ID], Table4[Website], "Not Found", 0)</f>
        <v>3</v>
      </c>
      <c r="T524" s="5">
        <f>_xlfn.XLOOKUP(CustomerCombined[[#This Row],[ID]], Table4[ID], Table4[Catalog], "Not Found", 0)</f>
        <v>1</v>
      </c>
      <c r="U524" s="5">
        <f>_xlfn.XLOOKUP(CustomerCombined[[#This Row],[ID]], Table4[ID], Table4[Store], "Not Found", 0)</f>
        <v>3</v>
      </c>
      <c r="V524" s="5">
        <f>_xlfn.XLOOKUP(CustomerCombined[[#This Row],[ID]], Table4[ID], Table4[Visits], "Not Found", 0)</f>
        <v>7</v>
      </c>
      <c r="W524" s="8">
        <f>_xlfn.XLOOKUP(CustomerCombined[[#This Row],[ID]], Table2[ID],Table2[Complaint], "Not Found", 0 )</f>
        <v>0</v>
      </c>
      <c r="X524" s="8">
        <f>_xlfn.XLOOKUP(CustomerCombined[[#This Row],[ID]], Table2[ID],Table2[Pilot], "Not Found", 0 )</f>
        <v>0</v>
      </c>
      <c r="Y524" s="8">
        <f>_xlfn.XLOOKUP(CustomerCombined[[#This Row],[ID]], Table2[ID],Table2[MC1], "Not Found", 0 )</f>
        <v>0</v>
      </c>
      <c r="Z524" s="8">
        <f>_xlfn.XLOOKUP(CustomerCombined[[#This Row],[ID]], Table2[ID],Table2[MC2], "Not Found", 0 )</f>
        <v>0</v>
      </c>
      <c r="AA524" s="8">
        <f>_xlfn.XLOOKUP(CustomerCombined[[#This Row],[ID]], Table2[ID],Table2[MC3], "Not Found", 0 )</f>
        <v>0</v>
      </c>
      <c r="AB524" s="8">
        <f>_xlfn.XLOOKUP(CustomerCombined[[#This Row],[ID]], Table2[ID],Table2[MC4], "Not Found", 0 )</f>
        <v>0</v>
      </c>
      <c r="AC524" s="8">
        <f>_xlfn.XLOOKUP(CustomerCombined[[#This Row],[ID]], Table2[ID],Table2[MC5], "Not Found", 0 )</f>
        <v>0</v>
      </c>
    </row>
    <row r="525" spans="1:29" x14ac:dyDescent="0.3">
      <c r="A525" s="6">
        <v>1457</v>
      </c>
      <c r="B525" s="6">
        <v>138415</v>
      </c>
      <c r="C525" s="6">
        <v>1</v>
      </c>
      <c r="D525" s="6">
        <v>1</v>
      </c>
      <c r="E525" s="6">
        <v>42</v>
      </c>
      <c r="F525" s="5" t="s">
        <v>6</v>
      </c>
      <c r="G525" s="5" t="s">
        <v>11</v>
      </c>
      <c r="H525" s="3">
        <v>43714</v>
      </c>
      <c r="I525" s="5" t="s">
        <v>434</v>
      </c>
      <c r="J525" s="5">
        <f>_xlfn.XLOOKUP(CustomerCombined[[#This Row],[ID]], Table4[ID], Table4[Recency], "Not Found", 0)</f>
        <v>91</v>
      </c>
      <c r="K525" s="5">
        <f>_xlfn.XLOOKUP(CustomerCombined[[#This Row],[ID]], Table4[ID], Table4[Teas], "Not Found", 0)</f>
        <v>79</v>
      </c>
      <c r="L525" s="5">
        <f>_xlfn.XLOOKUP(CustomerCombined[[#This Row],[ID]], Table4[ID], Table4[Fruits], "Not Found", 0)</f>
        <v>4</v>
      </c>
      <c r="M525" s="5">
        <f>_xlfn.XLOOKUP(CustomerCombined[[#This Row],[ID]], Table4[ID], Table4[Meats], "Not Found", 0)</f>
        <v>47</v>
      </c>
      <c r="N525" s="5">
        <f>_xlfn.XLOOKUP(CustomerCombined[[#This Row],[ID]], Table4[ID], Table4[Seafood], "Not Found", 0)</f>
        <v>14</v>
      </c>
      <c r="O525" s="5">
        <f>_xlfn.XLOOKUP(CustomerCombined[[#This Row],[ID]], Table4[ID], Table4[Sweets], "Not Found", 0)</f>
        <v>0</v>
      </c>
      <c r="P525" s="5">
        <f>_xlfn.XLOOKUP(CustomerCombined[[#This Row],[ID]], Table4[ID], Table4[Premium], "Not Found", 0)</f>
        <v>14</v>
      </c>
      <c r="Q525" s="5">
        <f>_xlfn.XLOOKUP(CustomerCombined[[#This Row],[ID]], Table4[ID], Table4[Regular], "Not Found", 0)</f>
        <v>130</v>
      </c>
      <c r="R525" s="5">
        <f>_xlfn.XLOOKUP(CustomerCombined[[#This Row],[ID]], Table4[ID], Table4[Deals], "Not Found", 0)</f>
        <v>2</v>
      </c>
      <c r="S525" s="5">
        <f>_xlfn.XLOOKUP(CustomerCombined[[#This Row],[ID]], Table4[ID], Table4[Website], "Not Found", 0)</f>
        <v>1</v>
      </c>
      <c r="T525" s="5">
        <f>_xlfn.XLOOKUP(CustomerCombined[[#This Row],[ID]], Table4[ID], Table4[Catalog], "Not Found", 0)</f>
        <v>0</v>
      </c>
      <c r="U525" s="5">
        <f>_xlfn.XLOOKUP(CustomerCombined[[#This Row],[ID]], Table4[ID], Table4[Store], "Not Found", 0)</f>
        <v>3</v>
      </c>
      <c r="V525" s="5">
        <f>_xlfn.XLOOKUP(CustomerCombined[[#This Row],[ID]], Table4[ID], Table4[Visits], "Not Found", 0)</f>
        <v>7</v>
      </c>
      <c r="W525" s="8">
        <f>_xlfn.XLOOKUP(CustomerCombined[[#This Row],[ID]], Table2[ID],Table2[Complaint], "Not Found", 0 )</f>
        <v>0</v>
      </c>
      <c r="X525" s="8">
        <f>_xlfn.XLOOKUP(CustomerCombined[[#This Row],[ID]], Table2[ID],Table2[Pilot], "Not Found", 0 )</f>
        <v>0</v>
      </c>
      <c r="Y525" s="8">
        <f>_xlfn.XLOOKUP(CustomerCombined[[#This Row],[ID]], Table2[ID],Table2[MC1], "Not Found", 0 )</f>
        <v>0</v>
      </c>
      <c r="Z525" s="8">
        <f>_xlfn.XLOOKUP(CustomerCombined[[#This Row],[ID]], Table2[ID],Table2[MC2], "Not Found", 0 )</f>
        <v>0</v>
      </c>
      <c r="AA525" s="8">
        <f>_xlfn.XLOOKUP(CustomerCombined[[#This Row],[ID]], Table2[ID],Table2[MC3], "Not Found", 0 )</f>
        <v>0</v>
      </c>
      <c r="AB525" s="8">
        <f>_xlfn.XLOOKUP(CustomerCombined[[#This Row],[ID]], Table2[ID],Table2[MC4], "Not Found", 0 )</f>
        <v>0</v>
      </c>
      <c r="AC525" s="8">
        <f>_xlfn.XLOOKUP(CustomerCombined[[#This Row],[ID]], Table2[ID],Table2[MC5], "Not Found", 0 )</f>
        <v>0</v>
      </c>
    </row>
    <row r="526" spans="1:29" x14ac:dyDescent="0.3">
      <c r="A526" s="6">
        <v>2336</v>
      </c>
      <c r="B526" s="6">
        <v>138136</v>
      </c>
      <c r="C526" s="6">
        <v>1</v>
      </c>
      <c r="D526" s="6">
        <v>0</v>
      </c>
      <c r="E526" s="6">
        <v>42</v>
      </c>
      <c r="F526" s="5" t="s">
        <v>6</v>
      </c>
      <c r="G526" s="5" t="s">
        <v>11</v>
      </c>
      <c r="H526" s="3" t="s">
        <v>267</v>
      </c>
      <c r="I526" s="5" t="s">
        <v>438</v>
      </c>
      <c r="J526" s="5">
        <f>_xlfn.XLOOKUP(CustomerCombined[[#This Row],[ID]], Table4[ID], Table4[Recency], "Not Found", 0)</f>
        <v>69</v>
      </c>
      <c r="K526" s="5">
        <f>_xlfn.XLOOKUP(CustomerCombined[[#This Row],[ID]], Table4[ID], Table4[Teas], "Not Found", 0)</f>
        <v>29</v>
      </c>
      <c r="L526" s="5">
        <f>_xlfn.XLOOKUP(CustomerCombined[[#This Row],[ID]], Table4[ID], Table4[Fruits], "Not Found", 0)</f>
        <v>54</v>
      </c>
      <c r="M526" s="5">
        <f>_xlfn.XLOOKUP(CustomerCombined[[#This Row],[ID]], Table4[ID], Table4[Meats], "Not Found", 0)</f>
        <v>98</v>
      </c>
      <c r="N526" s="5">
        <f>_xlfn.XLOOKUP(CustomerCombined[[#This Row],[ID]], Table4[ID], Table4[Seafood], "Not Found", 0)</f>
        <v>0</v>
      </c>
      <c r="O526" s="5">
        <f>_xlfn.XLOOKUP(CustomerCombined[[#This Row],[ID]], Table4[ID], Table4[Sweets], "Not Found", 0)</f>
        <v>72</v>
      </c>
      <c r="P526" s="5">
        <f>_xlfn.XLOOKUP(CustomerCombined[[#This Row],[ID]], Table4[ID], Table4[Premium], "Not Found", 0)</f>
        <v>120</v>
      </c>
      <c r="Q526" s="5">
        <f>_xlfn.XLOOKUP(CustomerCombined[[#This Row],[ID]], Table4[ID], Table4[Regular], "Not Found", 0)</f>
        <v>134</v>
      </c>
      <c r="R526" s="5">
        <f>_xlfn.XLOOKUP(CustomerCombined[[#This Row],[ID]], Table4[ID], Table4[Deals], "Not Found", 0)</f>
        <v>2</v>
      </c>
      <c r="S526" s="5">
        <f>_xlfn.XLOOKUP(CustomerCombined[[#This Row],[ID]], Table4[ID], Table4[Website], "Not Found", 0)</f>
        <v>3</v>
      </c>
      <c r="T526" s="5">
        <f>_xlfn.XLOOKUP(CustomerCombined[[#This Row],[ID]], Table4[ID], Table4[Catalog], "Not Found", 0)</f>
        <v>1</v>
      </c>
      <c r="U526" s="5">
        <f>_xlfn.XLOOKUP(CustomerCombined[[#This Row],[ID]], Table4[ID], Table4[Store], "Not Found", 0)</f>
        <v>2</v>
      </c>
      <c r="V526" s="5">
        <f>_xlfn.XLOOKUP(CustomerCombined[[#This Row],[ID]], Table4[ID], Table4[Visits], "Not Found", 0)</f>
        <v>8</v>
      </c>
      <c r="W526" s="8">
        <f>_xlfn.XLOOKUP(CustomerCombined[[#This Row],[ID]], Table2[ID],Table2[Complaint], "Not Found", 0 )</f>
        <v>0</v>
      </c>
      <c r="X526" s="8">
        <f>_xlfn.XLOOKUP(CustomerCombined[[#This Row],[ID]], Table2[ID],Table2[Pilot], "Not Found", 0 )</f>
        <v>0</v>
      </c>
      <c r="Y526" s="8">
        <f>_xlfn.XLOOKUP(CustomerCombined[[#This Row],[ID]], Table2[ID],Table2[MC1], "Not Found", 0 )</f>
        <v>0</v>
      </c>
      <c r="Z526" s="8">
        <f>_xlfn.XLOOKUP(CustomerCombined[[#This Row],[ID]], Table2[ID],Table2[MC2], "Not Found", 0 )</f>
        <v>0</v>
      </c>
      <c r="AA526" s="8">
        <f>_xlfn.XLOOKUP(CustomerCombined[[#This Row],[ID]], Table2[ID],Table2[MC3], "Not Found", 0 )</f>
        <v>1</v>
      </c>
      <c r="AB526" s="8">
        <f>_xlfn.XLOOKUP(CustomerCombined[[#This Row],[ID]], Table2[ID],Table2[MC4], "Not Found", 0 )</f>
        <v>0</v>
      </c>
      <c r="AC526" s="8">
        <f>_xlfn.XLOOKUP(CustomerCombined[[#This Row],[ID]], Table2[ID],Table2[MC5], "Not Found", 0 )</f>
        <v>0</v>
      </c>
    </row>
    <row r="527" spans="1:29" x14ac:dyDescent="0.3">
      <c r="A527" s="6">
        <v>1250</v>
      </c>
      <c r="B527" s="6">
        <v>137717</v>
      </c>
      <c r="C527" s="6">
        <v>1</v>
      </c>
      <c r="D527" s="6">
        <v>0</v>
      </c>
      <c r="E527" s="6">
        <v>42</v>
      </c>
      <c r="F527" s="5" t="s">
        <v>6</v>
      </c>
      <c r="G527" s="5" t="s">
        <v>13</v>
      </c>
      <c r="H527" s="3" t="s">
        <v>353</v>
      </c>
      <c r="I527" s="5" t="s">
        <v>438</v>
      </c>
      <c r="J527" s="5">
        <f>_xlfn.XLOOKUP(CustomerCombined[[#This Row],[ID]], Table4[ID], Table4[Recency], "Not Found", 0)</f>
        <v>31</v>
      </c>
      <c r="K527" s="5">
        <f>_xlfn.XLOOKUP(CustomerCombined[[#This Row],[ID]], Table4[ID], Table4[Teas], "Not Found", 0)</f>
        <v>33</v>
      </c>
      <c r="L527" s="5">
        <f>_xlfn.XLOOKUP(CustomerCombined[[#This Row],[ID]], Table4[ID], Table4[Fruits], "Not Found", 0)</f>
        <v>0</v>
      </c>
      <c r="M527" s="5">
        <f>_xlfn.XLOOKUP(CustomerCombined[[#This Row],[ID]], Table4[ID], Table4[Meats], "Not Found", 0)</f>
        <v>22</v>
      </c>
      <c r="N527" s="5">
        <f>_xlfn.XLOOKUP(CustomerCombined[[#This Row],[ID]], Table4[ID], Table4[Seafood], "Not Found", 0)</f>
        <v>15</v>
      </c>
      <c r="O527" s="5">
        <f>_xlfn.XLOOKUP(CustomerCombined[[#This Row],[ID]], Table4[ID], Table4[Sweets], "Not Found", 0)</f>
        <v>4</v>
      </c>
      <c r="P527" s="5">
        <f>_xlfn.XLOOKUP(CustomerCombined[[#This Row],[ID]], Table4[ID], Table4[Premium], "Not Found", 0)</f>
        <v>18</v>
      </c>
      <c r="Q527" s="5">
        <f>_xlfn.XLOOKUP(CustomerCombined[[#This Row],[ID]], Table4[ID], Table4[Regular], "Not Found", 0)</f>
        <v>55</v>
      </c>
      <c r="R527" s="5">
        <f>_xlfn.XLOOKUP(CustomerCombined[[#This Row],[ID]], Table4[ID], Table4[Deals], "Not Found", 0)</f>
        <v>1</v>
      </c>
      <c r="S527" s="5">
        <f>_xlfn.XLOOKUP(CustomerCombined[[#This Row],[ID]], Table4[ID], Table4[Website], "Not Found", 0)</f>
        <v>1</v>
      </c>
      <c r="T527" s="5">
        <f>_xlfn.XLOOKUP(CustomerCombined[[#This Row],[ID]], Table4[ID], Table4[Catalog], "Not Found", 0)</f>
        <v>0</v>
      </c>
      <c r="U527" s="5">
        <f>_xlfn.XLOOKUP(CustomerCombined[[#This Row],[ID]], Table4[ID], Table4[Store], "Not Found", 0)</f>
        <v>2</v>
      </c>
      <c r="V527" s="5">
        <f>_xlfn.XLOOKUP(CustomerCombined[[#This Row],[ID]], Table4[ID], Table4[Visits], "Not Found", 0)</f>
        <v>9</v>
      </c>
      <c r="W527" s="8">
        <f>_xlfn.XLOOKUP(CustomerCombined[[#This Row],[ID]], Table2[ID],Table2[Complaint], "Not Found", 0 )</f>
        <v>0</v>
      </c>
      <c r="X527" s="8">
        <f>_xlfn.XLOOKUP(CustomerCombined[[#This Row],[ID]], Table2[ID],Table2[Pilot], "Not Found", 0 )</f>
        <v>0</v>
      </c>
      <c r="Y527" s="8">
        <f>_xlfn.XLOOKUP(CustomerCombined[[#This Row],[ID]], Table2[ID],Table2[MC1], "Not Found", 0 )</f>
        <v>0</v>
      </c>
      <c r="Z527" s="8">
        <f>_xlfn.XLOOKUP(CustomerCombined[[#This Row],[ID]], Table2[ID],Table2[MC2], "Not Found", 0 )</f>
        <v>0</v>
      </c>
      <c r="AA527" s="8">
        <f>_xlfn.XLOOKUP(CustomerCombined[[#This Row],[ID]], Table2[ID],Table2[MC3], "Not Found", 0 )</f>
        <v>0</v>
      </c>
      <c r="AB527" s="8">
        <f>_xlfn.XLOOKUP(CustomerCombined[[#This Row],[ID]], Table2[ID],Table2[MC4], "Not Found", 0 )</f>
        <v>0</v>
      </c>
      <c r="AC527" s="8">
        <f>_xlfn.XLOOKUP(CustomerCombined[[#This Row],[ID]], Table2[ID],Table2[MC5], "Not Found", 0 )</f>
        <v>0</v>
      </c>
    </row>
    <row r="528" spans="1:29" x14ac:dyDescent="0.3">
      <c r="A528" s="6">
        <v>1347</v>
      </c>
      <c r="B528" s="6">
        <v>137717</v>
      </c>
      <c r="C528" s="6">
        <v>1</v>
      </c>
      <c r="D528" s="6">
        <v>0</v>
      </c>
      <c r="E528" s="6">
        <v>42</v>
      </c>
      <c r="F528" s="5" t="s">
        <v>6</v>
      </c>
      <c r="G528" s="5" t="s">
        <v>13</v>
      </c>
      <c r="H528" s="3" t="s">
        <v>353</v>
      </c>
      <c r="I528" s="5" t="s">
        <v>435</v>
      </c>
      <c r="J528" s="5">
        <f>_xlfn.XLOOKUP(CustomerCombined[[#This Row],[ID]], Table4[ID], Table4[Recency], "Not Found", 0)</f>
        <v>31</v>
      </c>
      <c r="K528" s="5">
        <f>_xlfn.XLOOKUP(CustomerCombined[[#This Row],[ID]], Table4[ID], Table4[Teas], "Not Found", 0)</f>
        <v>33</v>
      </c>
      <c r="L528" s="5">
        <f>_xlfn.XLOOKUP(CustomerCombined[[#This Row],[ID]], Table4[ID], Table4[Fruits], "Not Found", 0)</f>
        <v>0</v>
      </c>
      <c r="M528" s="5">
        <f>_xlfn.XLOOKUP(CustomerCombined[[#This Row],[ID]], Table4[ID], Table4[Meats], "Not Found", 0)</f>
        <v>22</v>
      </c>
      <c r="N528" s="5">
        <f>_xlfn.XLOOKUP(CustomerCombined[[#This Row],[ID]], Table4[ID], Table4[Seafood], "Not Found", 0)</f>
        <v>15</v>
      </c>
      <c r="O528" s="5">
        <f>_xlfn.XLOOKUP(CustomerCombined[[#This Row],[ID]], Table4[ID], Table4[Sweets], "Not Found", 0)</f>
        <v>4</v>
      </c>
      <c r="P528" s="5">
        <f>_xlfn.XLOOKUP(CustomerCombined[[#This Row],[ID]], Table4[ID], Table4[Premium], "Not Found", 0)</f>
        <v>18</v>
      </c>
      <c r="Q528" s="5">
        <f>_xlfn.XLOOKUP(CustomerCombined[[#This Row],[ID]], Table4[ID], Table4[Regular], "Not Found", 0)</f>
        <v>55</v>
      </c>
      <c r="R528" s="5">
        <f>_xlfn.XLOOKUP(CustomerCombined[[#This Row],[ID]], Table4[ID], Table4[Deals], "Not Found", 0)</f>
        <v>1</v>
      </c>
      <c r="S528" s="5">
        <f>_xlfn.XLOOKUP(CustomerCombined[[#This Row],[ID]], Table4[ID], Table4[Website], "Not Found", 0)</f>
        <v>1</v>
      </c>
      <c r="T528" s="5">
        <f>_xlfn.XLOOKUP(CustomerCombined[[#This Row],[ID]], Table4[ID], Table4[Catalog], "Not Found", 0)</f>
        <v>0</v>
      </c>
      <c r="U528" s="5">
        <f>_xlfn.XLOOKUP(CustomerCombined[[#This Row],[ID]], Table4[ID], Table4[Store], "Not Found", 0)</f>
        <v>2</v>
      </c>
      <c r="V528" s="5">
        <f>_xlfn.XLOOKUP(CustomerCombined[[#This Row],[ID]], Table4[ID], Table4[Visits], "Not Found", 0)</f>
        <v>9</v>
      </c>
      <c r="W528" s="8">
        <f>_xlfn.XLOOKUP(CustomerCombined[[#This Row],[ID]], Table2[ID],Table2[Complaint], "Not Found", 0 )</f>
        <v>0</v>
      </c>
      <c r="X528" s="8">
        <f>_xlfn.XLOOKUP(CustomerCombined[[#This Row],[ID]], Table2[ID],Table2[Pilot], "Not Found", 0 )</f>
        <v>0</v>
      </c>
      <c r="Y528" s="8">
        <f>_xlfn.XLOOKUP(CustomerCombined[[#This Row],[ID]], Table2[ID],Table2[MC1], "Not Found", 0 )</f>
        <v>0</v>
      </c>
      <c r="Z528" s="8">
        <f>_xlfn.XLOOKUP(CustomerCombined[[#This Row],[ID]], Table2[ID],Table2[MC2], "Not Found", 0 )</f>
        <v>0</v>
      </c>
      <c r="AA528" s="8">
        <f>_xlfn.XLOOKUP(CustomerCombined[[#This Row],[ID]], Table2[ID],Table2[MC3], "Not Found", 0 )</f>
        <v>0</v>
      </c>
      <c r="AB528" s="8">
        <f>_xlfn.XLOOKUP(CustomerCombined[[#This Row],[ID]], Table2[ID],Table2[MC4], "Not Found", 0 )</f>
        <v>0</v>
      </c>
      <c r="AC528" s="8">
        <f>_xlfn.XLOOKUP(CustomerCombined[[#This Row],[ID]], Table2[ID],Table2[MC5], "Not Found", 0 )</f>
        <v>0</v>
      </c>
    </row>
    <row r="529" spans="1:29" x14ac:dyDescent="0.3">
      <c r="A529" s="6">
        <v>1606</v>
      </c>
      <c r="B529" s="6">
        <v>136975</v>
      </c>
      <c r="C529" s="6">
        <v>1</v>
      </c>
      <c r="D529" s="6">
        <v>0</v>
      </c>
      <c r="E529" s="6">
        <v>42</v>
      </c>
      <c r="F529" s="5" t="s">
        <v>7</v>
      </c>
      <c r="G529" s="5" t="s">
        <v>442</v>
      </c>
      <c r="H529" s="3">
        <v>43896</v>
      </c>
      <c r="I529" s="5" t="s">
        <v>439</v>
      </c>
      <c r="J529" s="5">
        <f>_xlfn.XLOOKUP(CustomerCombined[[#This Row],[ID]], Table4[ID], Table4[Recency], "Not Found", 0)</f>
        <v>50</v>
      </c>
      <c r="K529" s="5">
        <f>_xlfn.XLOOKUP(CustomerCombined[[#This Row],[ID]], Table4[ID], Table4[Teas], "Not Found", 0)</f>
        <v>37</v>
      </c>
      <c r="L529" s="5">
        <f>_xlfn.XLOOKUP(CustomerCombined[[#This Row],[ID]], Table4[ID], Table4[Fruits], "Not Found", 0)</f>
        <v>22</v>
      </c>
      <c r="M529" s="5">
        <f>_xlfn.XLOOKUP(CustomerCombined[[#This Row],[ID]], Table4[ID], Table4[Meats], "Not Found", 0)</f>
        <v>41</v>
      </c>
      <c r="N529" s="5">
        <f>_xlfn.XLOOKUP(CustomerCombined[[#This Row],[ID]], Table4[ID], Table4[Seafood], "Not Found", 0)</f>
        <v>0</v>
      </c>
      <c r="O529" s="5">
        <f>_xlfn.XLOOKUP(CustomerCombined[[#This Row],[ID]], Table4[ID], Table4[Sweets], "Not Found", 0)</f>
        <v>15</v>
      </c>
      <c r="P529" s="5">
        <f>_xlfn.XLOOKUP(CustomerCombined[[#This Row],[ID]], Table4[ID], Table4[Premium], "Not Found", 0)</f>
        <v>7</v>
      </c>
      <c r="Q529" s="5">
        <f>_xlfn.XLOOKUP(CustomerCombined[[#This Row],[ID]], Table4[ID], Table4[Regular], "Not Found", 0)</f>
        <v>107</v>
      </c>
      <c r="R529" s="5">
        <f>_xlfn.XLOOKUP(CustomerCombined[[#This Row],[ID]], Table4[ID], Table4[Deals], "Not Found", 0)</f>
        <v>1</v>
      </c>
      <c r="S529" s="5">
        <f>_xlfn.XLOOKUP(CustomerCombined[[#This Row],[ID]], Table4[ID], Table4[Website], "Not Found", 0)</f>
        <v>1</v>
      </c>
      <c r="T529" s="5">
        <f>_xlfn.XLOOKUP(CustomerCombined[[#This Row],[ID]], Table4[ID], Table4[Catalog], "Not Found", 0)</f>
        <v>0</v>
      </c>
      <c r="U529" s="5">
        <f>_xlfn.XLOOKUP(CustomerCombined[[#This Row],[ID]], Table4[ID], Table4[Store], "Not Found", 0)</f>
        <v>3</v>
      </c>
      <c r="V529" s="5">
        <f>_xlfn.XLOOKUP(CustomerCombined[[#This Row],[ID]], Table4[ID], Table4[Visits], "Not Found", 0)</f>
        <v>7</v>
      </c>
      <c r="W529" s="8">
        <f>_xlfn.XLOOKUP(CustomerCombined[[#This Row],[ID]], Table2[ID],Table2[Complaint], "Not Found", 0 )</f>
        <v>0</v>
      </c>
      <c r="X529" s="8">
        <f>_xlfn.XLOOKUP(CustomerCombined[[#This Row],[ID]], Table2[ID],Table2[Pilot], "Not Found", 0 )</f>
        <v>0</v>
      </c>
      <c r="Y529" s="8">
        <f>_xlfn.XLOOKUP(CustomerCombined[[#This Row],[ID]], Table2[ID],Table2[MC1], "Not Found", 0 )</f>
        <v>0</v>
      </c>
      <c r="Z529" s="8">
        <f>_xlfn.XLOOKUP(CustomerCombined[[#This Row],[ID]], Table2[ID],Table2[MC2], "Not Found", 0 )</f>
        <v>0</v>
      </c>
      <c r="AA529" s="8">
        <f>_xlfn.XLOOKUP(CustomerCombined[[#This Row],[ID]], Table2[ID],Table2[MC3], "Not Found", 0 )</f>
        <v>0</v>
      </c>
      <c r="AB529" s="8">
        <f>_xlfn.XLOOKUP(CustomerCombined[[#This Row],[ID]], Table2[ID],Table2[MC4], "Not Found", 0 )</f>
        <v>0</v>
      </c>
      <c r="AC529" s="8">
        <f>_xlfn.XLOOKUP(CustomerCombined[[#This Row],[ID]], Table2[ID],Table2[MC5], "Not Found", 0 )</f>
        <v>0</v>
      </c>
    </row>
    <row r="530" spans="1:29" x14ac:dyDescent="0.3">
      <c r="A530" s="6">
        <v>1109</v>
      </c>
      <c r="B530" s="6">
        <v>136550</v>
      </c>
      <c r="C530" s="6">
        <v>1</v>
      </c>
      <c r="D530" s="6">
        <v>0</v>
      </c>
      <c r="E530" s="6">
        <v>42</v>
      </c>
      <c r="F530" s="5" t="s">
        <v>6</v>
      </c>
      <c r="G530" s="5" t="s">
        <v>442</v>
      </c>
      <c r="H530" s="3" t="s">
        <v>304</v>
      </c>
      <c r="I530" s="5" t="s">
        <v>434</v>
      </c>
      <c r="J530" s="5">
        <f>_xlfn.XLOOKUP(CustomerCombined[[#This Row],[ID]], Table4[ID], Table4[Recency], "Not Found", 0)</f>
        <v>74</v>
      </c>
      <c r="K530" s="5">
        <f>_xlfn.XLOOKUP(CustomerCombined[[#This Row],[ID]], Table4[ID], Table4[Teas], "Not Found", 0)</f>
        <v>176</v>
      </c>
      <c r="L530" s="5">
        <f>_xlfn.XLOOKUP(CustomerCombined[[#This Row],[ID]], Table4[ID], Table4[Fruits], "Not Found", 0)</f>
        <v>336</v>
      </c>
      <c r="M530" s="5">
        <f>_xlfn.XLOOKUP(CustomerCombined[[#This Row],[ID]], Table4[ID], Table4[Meats], "Not Found", 0)</f>
        <v>351</v>
      </c>
      <c r="N530" s="5">
        <f>_xlfn.XLOOKUP(CustomerCombined[[#This Row],[ID]], Table4[ID], Table4[Seafood], "Not Found", 0)</f>
        <v>460</v>
      </c>
      <c r="O530" s="5">
        <f>_xlfn.XLOOKUP(CustomerCombined[[#This Row],[ID]], Table4[ID], Table4[Sweets], "Not Found", 0)</f>
        <v>385</v>
      </c>
      <c r="P530" s="5">
        <f>_xlfn.XLOOKUP(CustomerCombined[[#This Row],[ID]], Table4[ID], Table4[Premium], "Not Found", 0)</f>
        <v>448</v>
      </c>
      <c r="Q530" s="5">
        <f>_xlfn.XLOOKUP(CustomerCombined[[#This Row],[ID]], Table4[ID], Table4[Regular], "Not Found", 0)</f>
        <v>1259</v>
      </c>
      <c r="R530" s="5">
        <f>_xlfn.XLOOKUP(CustomerCombined[[#This Row],[ID]], Table4[ID], Table4[Deals], "Not Found", 0)</f>
        <v>5</v>
      </c>
      <c r="S530" s="5">
        <f>_xlfn.XLOOKUP(CustomerCombined[[#This Row],[ID]], Table4[ID], Table4[Website], "Not Found", 0)</f>
        <v>9</v>
      </c>
      <c r="T530" s="5">
        <f>_xlfn.XLOOKUP(CustomerCombined[[#This Row],[ID]], Table4[ID], Table4[Catalog], "Not Found", 0)</f>
        <v>1</v>
      </c>
      <c r="U530" s="5">
        <f>_xlfn.XLOOKUP(CustomerCombined[[#This Row],[ID]], Table4[ID], Table4[Store], "Not Found", 0)</f>
        <v>5</v>
      </c>
      <c r="V530" s="5">
        <f>_xlfn.XLOOKUP(CustomerCombined[[#This Row],[ID]], Table4[ID], Table4[Visits], "Not Found", 0)</f>
        <v>9</v>
      </c>
      <c r="W530" s="8">
        <f>_xlfn.XLOOKUP(CustomerCombined[[#This Row],[ID]], Table2[ID],Table2[Complaint], "Not Found", 0 )</f>
        <v>0</v>
      </c>
      <c r="X530" s="8">
        <f>_xlfn.XLOOKUP(CustomerCombined[[#This Row],[ID]], Table2[ID],Table2[Pilot], "Not Found", 0 )</f>
        <v>0</v>
      </c>
      <c r="Y530" s="8">
        <f>_xlfn.XLOOKUP(CustomerCombined[[#This Row],[ID]], Table2[ID],Table2[MC1], "Not Found", 0 )</f>
        <v>0</v>
      </c>
      <c r="Z530" s="8">
        <f>_xlfn.XLOOKUP(CustomerCombined[[#This Row],[ID]], Table2[ID],Table2[MC2], "Not Found", 0 )</f>
        <v>0</v>
      </c>
      <c r="AA530" s="8">
        <f>_xlfn.XLOOKUP(CustomerCombined[[#This Row],[ID]], Table2[ID],Table2[MC3], "Not Found", 0 )</f>
        <v>0</v>
      </c>
      <c r="AB530" s="8">
        <f>_xlfn.XLOOKUP(CustomerCombined[[#This Row],[ID]], Table2[ID],Table2[MC4], "Not Found", 0 )</f>
        <v>0</v>
      </c>
      <c r="AC530" s="8">
        <f>_xlfn.XLOOKUP(CustomerCombined[[#This Row],[ID]], Table2[ID],Table2[MC5], "Not Found", 0 )</f>
        <v>0</v>
      </c>
    </row>
    <row r="531" spans="1:29" x14ac:dyDescent="0.3">
      <c r="A531" s="6">
        <v>2630</v>
      </c>
      <c r="B531" s="6">
        <v>135544</v>
      </c>
      <c r="C531" s="6">
        <v>1</v>
      </c>
      <c r="D531" s="6">
        <v>0</v>
      </c>
      <c r="E531" s="6">
        <v>42</v>
      </c>
      <c r="F531" s="5" t="s">
        <v>7</v>
      </c>
      <c r="G531" s="5" t="s">
        <v>12</v>
      </c>
      <c r="H531" s="3">
        <v>44173</v>
      </c>
      <c r="I531" s="5" t="s">
        <v>438</v>
      </c>
      <c r="J531" s="5">
        <f>_xlfn.XLOOKUP(CustomerCombined[[#This Row],[ID]], Table4[ID], Table4[Recency], "Not Found", 0)</f>
        <v>77</v>
      </c>
      <c r="K531" s="5">
        <f>_xlfn.XLOOKUP(CustomerCombined[[#This Row],[ID]], Table4[ID], Table4[Teas], "Not Found", 0)</f>
        <v>114</v>
      </c>
      <c r="L531" s="5">
        <f>_xlfn.XLOOKUP(CustomerCombined[[#This Row],[ID]], Table4[ID], Table4[Fruits], "Not Found", 0)</f>
        <v>19</v>
      </c>
      <c r="M531" s="5">
        <f>_xlfn.XLOOKUP(CustomerCombined[[#This Row],[ID]], Table4[ID], Table4[Meats], "Not Found", 0)</f>
        <v>88</v>
      </c>
      <c r="N531" s="5">
        <f>_xlfn.XLOOKUP(CustomerCombined[[#This Row],[ID]], Table4[ID], Table4[Seafood], "Not Found", 0)</f>
        <v>15</v>
      </c>
      <c r="O531" s="5">
        <f>_xlfn.XLOOKUP(CustomerCombined[[#This Row],[ID]], Table4[ID], Table4[Sweets], "Not Found", 0)</f>
        <v>4</v>
      </c>
      <c r="P531" s="5">
        <f>_xlfn.XLOOKUP(CustomerCombined[[#This Row],[ID]], Table4[ID], Table4[Premium], "Not Found", 0)</f>
        <v>15</v>
      </c>
      <c r="Q531" s="5">
        <f>_xlfn.XLOOKUP(CustomerCombined[[#This Row],[ID]], Table4[ID], Table4[Regular], "Not Found", 0)</f>
        <v>225</v>
      </c>
      <c r="R531" s="5">
        <f>_xlfn.XLOOKUP(CustomerCombined[[#This Row],[ID]], Table4[ID], Table4[Deals], "Not Found", 0)</f>
        <v>1</v>
      </c>
      <c r="S531" s="5">
        <f>_xlfn.XLOOKUP(CustomerCombined[[#This Row],[ID]], Table4[ID], Table4[Website], "Not Found", 0)</f>
        <v>2</v>
      </c>
      <c r="T531" s="5">
        <f>_xlfn.XLOOKUP(CustomerCombined[[#This Row],[ID]], Table4[ID], Table4[Catalog], "Not Found", 0)</f>
        <v>0</v>
      </c>
      <c r="U531" s="5">
        <f>_xlfn.XLOOKUP(CustomerCombined[[#This Row],[ID]], Table4[ID], Table4[Store], "Not Found", 0)</f>
        <v>3</v>
      </c>
      <c r="V531" s="5">
        <f>_xlfn.XLOOKUP(CustomerCombined[[#This Row],[ID]], Table4[ID], Table4[Visits], "Not Found", 0)</f>
        <v>7</v>
      </c>
      <c r="W531" s="8">
        <f>_xlfn.XLOOKUP(CustomerCombined[[#This Row],[ID]], Table2[ID],Table2[Complaint], "Not Found", 0 )</f>
        <v>0</v>
      </c>
      <c r="X531" s="8">
        <f>_xlfn.XLOOKUP(CustomerCombined[[#This Row],[ID]], Table2[ID],Table2[Pilot], "Not Found", 0 )</f>
        <v>0</v>
      </c>
      <c r="Y531" s="8">
        <f>_xlfn.XLOOKUP(CustomerCombined[[#This Row],[ID]], Table2[ID],Table2[MC1], "Not Found", 0 )</f>
        <v>0</v>
      </c>
      <c r="Z531" s="8">
        <f>_xlfn.XLOOKUP(CustomerCombined[[#This Row],[ID]], Table2[ID],Table2[MC2], "Not Found", 0 )</f>
        <v>0</v>
      </c>
      <c r="AA531" s="8">
        <f>_xlfn.XLOOKUP(CustomerCombined[[#This Row],[ID]], Table2[ID],Table2[MC3], "Not Found", 0 )</f>
        <v>0</v>
      </c>
      <c r="AB531" s="8">
        <f>_xlfn.XLOOKUP(CustomerCombined[[#This Row],[ID]], Table2[ID],Table2[MC4], "Not Found", 0 )</f>
        <v>0</v>
      </c>
      <c r="AC531" s="8">
        <f>_xlfn.XLOOKUP(CustomerCombined[[#This Row],[ID]], Table2[ID],Table2[MC5], "Not Found", 0 )</f>
        <v>0</v>
      </c>
    </row>
    <row r="532" spans="1:29" x14ac:dyDescent="0.3">
      <c r="A532" s="6">
        <v>2277</v>
      </c>
      <c r="B532" s="6">
        <v>134043</v>
      </c>
      <c r="C532" s="6">
        <v>1</v>
      </c>
      <c r="D532" s="6">
        <v>0</v>
      </c>
      <c r="E532" s="6">
        <v>42</v>
      </c>
      <c r="F532" s="5" t="s">
        <v>8</v>
      </c>
      <c r="G532" s="5" t="s">
        <v>13</v>
      </c>
      <c r="H532" s="3" t="s">
        <v>157</v>
      </c>
      <c r="I532" s="5" t="s">
        <v>435</v>
      </c>
      <c r="J532" s="5">
        <f>_xlfn.XLOOKUP(CustomerCombined[[#This Row],[ID]], Table4[ID], Table4[Recency], "Not Found", 0)</f>
        <v>97</v>
      </c>
      <c r="K532" s="5">
        <f>_xlfn.XLOOKUP(CustomerCombined[[#This Row],[ID]], Table4[ID], Table4[Teas], "Not Found", 0)</f>
        <v>79</v>
      </c>
      <c r="L532" s="5">
        <f>_xlfn.XLOOKUP(CustomerCombined[[#This Row],[ID]], Table4[ID], Table4[Fruits], "Not Found", 0)</f>
        <v>8</v>
      </c>
      <c r="M532" s="5">
        <f>_xlfn.XLOOKUP(CustomerCombined[[#This Row],[ID]], Table4[ID], Table4[Meats], "Not Found", 0)</f>
        <v>55</v>
      </c>
      <c r="N532" s="5">
        <f>_xlfn.XLOOKUP(CustomerCombined[[#This Row],[ID]], Table4[ID], Table4[Seafood], "Not Found", 0)</f>
        <v>12</v>
      </c>
      <c r="O532" s="5">
        <f>_xlfn.XLOOKUP(CustomerCombined[[#This Row],[ID]], Table4[ID], Table4[Sweets], "Not Found", 0)</f>
        <v>0</v>
      </c>
      <c r="P532" s="5">
        <f>_xlfn.XLOOKUP(CustomerCombined[[#This Row],[ID]], Table4[ID], Table4[Premium], "Not Found", 0)</f>
        <v>39</v>
      </c>
      <c r="Q532" s="5">
        <f>_xlfn.XLOOKUP(CustomerCombined[[#This Row],[ID]], Table4[ID], Table4[Regular], "Not Found", 0)</f>
        <v>114</v>
      </c>
      <c r="R532" s="5">
        <f>_xlfn.XLOOKUP(CustomerCombined[[#This Row],[ID]], Table4[ID], Table4[Deals], "Not Found", 0)</f>
        <v>1</v>
      </c>
      <c r="S532" s="5">
        <f>_xlfn.XLOOKUP(CustomerCombined[[#This Row],[ID]], Table4[ID], Table4[Website], "Not Found", 0)</f>
        <v>2</v>
      </c>
      <c r="T532" s="5">
        <f>_xlfn.XLOOKUP(CustomerCombined[[#This Row],[ID]], Table4[ID], Table4[Catalog], "Not Found", 0)</f>
        <v>0</v>
      </c>
      <c r="U532" s="5">
        <f>_xlfn.XLOOKUP(CustomerCombined[[#This Row],[ID]], Table4[ID], Table4[Store], "Not Found", 0)</f>
        <v>2</v>
      </c>
      <c r="V532" s="5">
        <f>_xlfn.XLOOKUP(CustomerCombined[[#This Row],[ID]], Table4[ID], Table4[Visits], "Not Found", 0)</f>
        <v>9</v>
      </c>
      <c r="W532" s="8">
        <f>_xlfn.XLOOKUP(CustomerCombined[[#This Row],[ID]], Table2[ID],Table2[Complaint], "Not Found", 0 )</f>
        <v>0</v>
      </c>
      <c r="X532" s="8">
        <f>_xlfn.XLOOKUP(CustomerCombined[[#This Row],[ID]], Table2[ID],Table2[Pilot], "Not Found", 0 )</f>
        <v>0</v>
      </c>
      <c r="Y532" s="8">
        <f>_xlfn.XLOOKUP(CustomerCombined[[#This Row],[ID]], Table2[ID],Table2[MC1], "Not Found", 0 )</f>
        <v>0</v>
      </c>
      <c r="Z532" s="8">
        <f>_xlfn.XLOOKUP(CustomerCombined[[#This Row],[ID]], Table2[ID],Table2[MC2], "Not Found", 0 )</f>
        <v>0</v>
      </c>
      <c r="AA532" s="8">
        <f>_xlfn.XLOOKUP(CustomerCombined[[#This Row],[ID]], Table2[ID],Table2[MC3], "Not Found", 0 )</f>
        <v>0</v>
      </c>
      <c r="AB532" s="8">
        <f>_xlfn.XLOOKUP(CustomerCombined[[#This Row],[ID]], Table2[ID],Table2[MC4], "Not Found", 0 )</f>
        <v>0</v>
      </c>
      <c r="AC532" s="8">
        <f>_xlfn.XLOOKUP(CustomerCombined[[#This Row],[ID]], Table2[ID],Table2[MC5], "Not Found", 0 )</f>
        <v>0</v>
      </c>
    </row>
    <row r="533" spans="1:29" x14ac:dyDescent="0.3">
      <c r="A533" s="6">
        <v>1544</v>
      </c>
      <c r="B533" s="6">
        <v>133039</v>
      </c>
      <c r="C533" s="6">
        <v>1</v>
      </c>
      <c r="D533" s="6">
        <v>0</v>
      </c>
      <c r="E533" s="6">
        <v>42</v>
      </c>
      <c r="F533" s="5" t="s">
        <v>6</v>
      </c>
      <c r="G533" s="5" t="s">
        <v>11</v>
      </c>
      <c r="H533" s="3" t="s">
        <v>190</v>
      </c>
      <c r="I533" s="5" t="s">
        <v>438</v>
      </c>
      <c r="J533" s="5">
        <f>_xlfn.XLOOKUP(CustomerCombined[[#This Row],[ID]], Table4[ID], Table4[Recency], "Not Found", 0)</f>
        <v>4</v>
      </c>
      <c r="K533" s="5">
        <f>_xlfn.XLOOKUP(CustomerCombined[[#This Row],[ID]], Table4[ID], Table4[Teas], "Not Found", 0)</f>
        <v>121</v>
      </c>
      <c r="L533" s="5">
        <f>_xlfn.XLOOKUP(CustomerCombined[[#This Row],[ID]], Table4[ID], Table4[Fruits], "Not Found", 0)</f>
        <v>32</v>
      </c>
      <c r="M533" s="5">
        <f>_xlfn.XLOOKUP(CustomerCombined[[#This Row],[ID]], Table4[ID], Table4[Meats], "Not Found", 0)</f>
        <v>48</v>
      </c>
      <c r="N533" s="5">
        <f>_xlfn.XLOOKUP(CustomerCombined[[#This Row],[ID]], Table4[ID], Table4[Seafood], "Not Found", 0)</f>
        <v>32</v>
      </c>
      <c r="O533" s="5">
        <f>_xlfn.XLOOKUP(CustomerCombined[[#This Row],[ID]], Table4[ID], Table4[Sweets], "Not Found", 0)</f>
        <v>32</v>
      </c>
      <c r="P533" s="5">
        <f>_xlfn.XLOOKUP(CustomerCombined[[#This Row],[ID]], Table4[ID], Table4[Premium], "Not Found", 0)</f>
        <v>48</v>
      </c>
      <c r="Q533" s="5">
        <f>_xlfn.XLOOKUP(CustomerCombined[[#This Row],[ID]], Table4[ID], Table4[Regular], "Not Found", 0)</f>
        <v>217</v>
      </c>
      <c r="R533" s="5">
        <f>_xlfn.XLOOKUP(CustomerCombined[[#This Row],[ID]], Table4[ID], Table4[Deals], "Not Found", 0)</f>
        <v>1</v>
      </c>
      <c r="S533" s="5">
        <f>_xlfn.XLOOKUP(CustomerCombined[[#This Row],[ID]], Table4[ID], Table4[Website], "Not Found", 0)</f>
        <v>2</v>
      </c>
      <c r="T533" s="5">
        <f>_xlfn.XLOOKUP(CustomerCombined[[#This Row],[ID]], Table4[ID], Table4[Catalog], "Not Found", 0)</f>
        <v>0</v>
      </c>
      <c r="U533" s="5">
        <f>_xlfn.XLOOKUP(CustomerCombined[[#This Row],[ID]], Table4[ID], Table4[Store], "Not Found", 0)</f>
        <v>4</v>
      </c>
      <c r="V533" s="5">
        <f>_xlfn.XLOOKUP(CustomerCombined[[#This Row],[ID]], Table4[ID], Table4[Visits], "Not Found", 0)</f>
        <v>5</v>
      </c>
      <c r="W533" s="8">
        <f>_xlfn.XLOOKUP(CustomerCombined[[#This Row],[ID]], Table2[ID],Table2[Complaint], "Not Found", 0 )</f>
        <v>0</v>
      </c>
      <c r="X533" s="8">
        <f>_xlfn.XLOOKUP(CustomerCombined[[#This Row],[ID]], Table2[ID],Table2[Pilot], "Not Found", 0 )</f>
        <v>0</v>
      </c>
      <c r="Y533" s="8">
        <f>_xlfn.XLOOKUP(CustomerCombined[[#This Row],[ID]], Table2[ID],Table2[MC1], "Not Found", 0 )</f>
        <v>0</v>
      </c>
      <c r="Z533" s="8">
        <f>_xlfn.XLOOKUP(CustomerCombined[[#This Row],[ID]], Table2[ID],Table2[MC2], "Not Found", 0 )</f>
        <v>0</v>
      </c>
      <c r="AA533" s="8">
        <f>_xlfn.XLOOKUP(CustomerCombined[[#This Row],[ID]], Table2[ID],Table2[MC3], "Not Found", 0 )</f>
        <v>0</v>
      </c>
      <c r="AB533" s="8">
        <f>_xlfn.XLOOKUP(CustomerCombined[[#This Row],[ID]], Table2[ID],Table2[MC4], "Not Found", 0 )</f>
        <v>0</v>
      </c>
      <c r="AC533" s="8">
        <f>_xlfn.XLOOKUP(CustomerCombined[[#This Row],[ID]], Table2[ID],Table2[MC5], "Not Found", 0 )</f>
        <v>0</v>
      </c>
    </row>
    <row r="534" spans="1:29" x14ac:dyDescent="0.3">
      <c r="A534" s="6">
        <v>2493</v>
      </c>
      <c r="B534" s="6">
        <v>133039</v>
      </c>
      <c r="C534" s="6">
        <v>1</v>
      </c>
      <c r="D534" s="6">
        <v>0</v>
      </c>
      <c r="E534" s="6">
        <v>42</v>
      </c>
      <c r="F534" s="5" t="s">
        <v>6</v>
      </c>
      <c r="G534" s="5" t="s">
        <v>11</v>
      </c>
      <c r="H534" s="3" t="s">
        <v>190</v>
      </c>
      <c r="I534" s="5" t="s">
        <v>435</v>
      </c>
      <c r="J534" s="5">
        <f>_xlfn.XLOOKUP(CustomerCombined[[#This Row],[ID]], Table4[ID], Table4[Recency], "Not Found", 0)</f>
        <v>4</v>
      </c>
      <c r="K534" s="5">
        <f>_xlfn.XLOOKUP(CustomerCombined[[#This Row],[ID]], Table4[ID], Table4[Teas], "Not Found", 0)</f>
        <v>121</v>
      </c>
      <c r="L534" s="5">
        <f>_xlfn.XLOOKUP(CustomerCombined[[#This Row],[ID]], Table4[ID], Table4[Fruits], "Not Found", 0)</f>
        <v>32</v>
      </c>
      <c r="M534" s="5">
        <f>_xlfn.XLOOKUP(CustomerCombined[[#This Row],[ID]], Table4[ID], Table4[Meats], "Not Found", 0)</f>
        <v>48</v>
      </c>
      <c r="N534" s="5">
        <f>_xlfn.XLOOKUP(CustomerCombined[[#This Row],[ID]], Table4[ID], Table4[Seafood], "Not Found", 0)</f>
        <v>32</v>
      </c>
      <c r="O534" s="5">
        <f>_xlfn.XLOOKUP(CustomerCombined[[#This Row],[ID]], Table4[ID], Table4[Sweets], "Not Found", 0)</f>
        <v>32</v>
      </c>
      <c r="P534" s="5">
        <f>_xlfn.XLOOKUP(CustomerCombined[[#This Row],[ID]], Table4[ID], Table4[Premium], "Not Found", 0)</f>
        <v>48</v>
      </c>
      <c r="Q534" s="5">
        <f>_xlfn.XLOOKUP(CustomerCombined[[#This Row],[ID]], Table4[ID], Table4[Regular], "Not Found", 0)</f>
        <v>217</v>
      </c>
      <c r="R534" s="5">
        <f>_xlfn.XLOOKUP(CustomerCombined[[#This Row],[ID]], Table4[ID], Table4[Deals], "Not Found", 0)</f>
        <v>1</v>
      </c>
      <c r="S534" s="5">
        <f>_xlfn.XLOOKUP(CustomerCombined[[#This Row],[ID]], Table4[ID], Table4[Website], "Not Found", 0)</f>
        <v>2</v>
      </c>
      <c r="T534" s="5">
        <f>_xlfn.XLOOKUP(CustomerCombined[[#This Row],[ID]], Table4[ID], Table4[Catalog], "Not Found", 0)</f>
        <v>0</v>
      </c>
      <c r="U534" s="5">
        <f>_xlfn.XLOOKUP(CustomerCombined[[#This Row],[ID]], Table4[ID], Table4[Store], "Not Found", 0)</f>
        <v>4</v>
      </c>
      <c r="V534" s="5">
        <f>_xlfn.XLOOKUP(CustomerCombined[[#This Row],[ID]], Table4[ID], Table4[Visits], "Not Found", 0)</f>
        <v>5</v>
      </c>
      <c r="W534" s="8">
        <f>_xlfn.XLOOKUP(CustomerCombined[[#This Row],[ID]], Table2[ID],Table2[Complaint], "Not Found", 0 )</f>
        <v>0</v>
      </c>
      <c r="X534" s="8">
        <f>_xlfn.XLOOKUP(CustomerCombined[[#This Row],[ID]], Table2[ID],Table2[Pilot], "Not Found", 0 )</f>
        <v>0</v>
      </c>
      <c r="Y534" s="8">
        <f>_xlfn.XLOOKUP(CustomerCombined[[#This Row],[ID]], Table2[ID],Table2[MC1], "Not Found", 0 )</f>
        <v>0</v>
      </c>
      <c r="Z534" s="8">
        <f>_xlfn.XLOOKUP(CustomerCombined[[#This Row],[ID]], Table2[ID],Table2[MC2], "Not Found", 0 )</f>
        <v>0</v>
      </c>
      <c r="AA534" s="8">
        <f>_xlfn.XLOOKUP(CustomerCombined[[#This Row],[ID]], Table2[ID],Table2[MC3], "Not Found", 0 )</f>
        <v>0</v>
      </c>
      <c r="AB534" s="8">
        <f>_xlfn.XLOOKUP(CustomerCombined[[#This Row],[ID]], Table2[ID],Table2[MC4], "Not Found", 0 )</f>
        <v>0</v>
      </c>
      <c r="AC534" s="8">
        <f>_xlfn.XLOOKUP(CustomerCombined[[#This Row],[ID]], Table2[ID],Table2[MC5], "Not Found", 0 )</f>
        <v>0</v>
      </c>
    </row>
    <row r="535" spans="1:29" x14ac:dyDescent="0.3">
      <c r="A535" s="6">
        <v>1744</v>
      </c>
      <c r="B535" s="6">
        <v>131626</v>
      </c>
      <c r="C535" s="6">
        <v>1</v>
      </c>
      <c r="D535" s="6">
        <v>0</v>
      </c>
      <c r="E535" s="6">
        <v>42</v>
      </c>
      <c r="F535" s="5" t="s">
        <v>7</v>
      </c>
      <c r="G535" s="5" t="s">
        <v>13</v>
      </c>
      <c r="H535" s="3" t="s">
        <v>261</v>
      </c>
      <c r="I535" s="5" t="s">
        <v>439</v>
      </c>
      <c r="J535" s="5">
        <f>_xlfn.XLOOKUP(CustomerCombined[[#This Row],[ID]], Table4[ID], Table4[Recency], "Not Found", 0)</f>
        <v>12</v>
      </c>
      <c r="K535" s="5">
        <f>_xlfn.XLOOKUP(CustomerCombined[[#This Row],[ID]], Table4[ID], Table4[Teas], "Not Found", 0)</f>
        <v>162</v>
      </c>
      <c r="L535" s="5">
        <f>_xlfn.XLOOKUP(CustomerCombined[[#This Row],[ID]], Table4[ID], Table4[Fruits], "Not Found", 0)</f>
        <v>4</v>
      </c>
      <c r="M535" s="5">
        <f>_xlfn.XLOOKUP(CustomerCombined[[#This Row],[ID]], Table4[ID], Table4[Meats], "Not Found", 0)</f>
        <v>37</v>
      </c>
      <c r="N535" s="5">
        <f>_xlfn.XLOOKUP(CustomerCombined[[#This Row],[ID]], Table4[ID], Table4[Seafood], "Not Found", 0)</f>
        <v>8</v>
      </c>
      <c r="O535" s="5">
        <f>_xlfn.XLOOKUP(CustomerCombined[[#This Row],[ID]], Table4[ID], Table4[Sweets], "Not Found", 0)</f>
        <v>4</v>
      </c>
      <c r="P535" s="5">
        <f>_xlfn.XLOOKUP(CustomerCombined[[#This Row],[ID]], Table4[ID], Table4[Premium], "Not Found", 0)</f>
        <v>142</v>
      </c>
      <c r="Q535" s="5">
        <f>_xlfn.XLOOKUP(CustomerCombined[[#This Row],[ID]], Table4[ID], Table4[Regular], "Not Found", 0)</f>
        <v>75</v>
      </c>
      <c r="R535" s="5">
        <f>_xlfn.XLOOKUP(CustomerCombined[[#This Row],[ID]], Table4[ID], Table4[Deals], "Not Found", 0)</f>
        <v>1</v>
      </c>
      <c r="S535" s="5">
        <f>_xlfn.XLOOKUP(CustomerCombined[[#This Row],[ID]], Table4[ID], Table4[Website], "Not Found", 0)</f>
        <v>2</v>
      </c>
      <c r="T535" s="5">
        <f>_xlfn.XLOOKUP(CustomerCombined[[#This Row],[ID]], Table4[ID], Table4[Catalog], "Not Found", 0)</f>
        <v>1</v>
      </c>
      <c r="U535" s="5">
        <f>_xlfn.XLOOKUP(CustomerCombined[[#This Row],[ID]], Table4[ID], Table4[Store], "Not Found", 0)</f>
        <v>2</v>
      </c>
      <c r="V535" s="5">
        <f>_xlfn.XLOOKUP(CustomerCombined[[#This Row],[ID]], Table4[ID], Table4[Visits], "Not Found", 0)</f>
        <v>7</v>
      </c>
      <c r="W535" s="8">
        <f>_xlfn.XLOOKUP(CustomerCombined[[#This Row],[ID]], Table2[ID],Table2[Complaint], "Not Found", 0 )</f>
        <v>0</v>
      </c>
      <c r="X535" s="8">
        <f>_xlfn.XLOOKUP(CustomerCombined[[#This Row],[ID]], Table2[ID],Table2[Pilot], "Not Found", 0 )</f>
        <v>1</v>
      </c>
      <c r="Y535" s="8">
        <f>_xlfn.XLOOKUP(CustomerCombined[[#This Row],[ID]], Table2[ID],Table2[MC1], "Not Found", 0 )</f>
        <v>0</v>
      </c>
      <c r="Z535" s="8">
        <f>_xlfn.XLOOKUP(CustomerCombined[[#This Row],[ID]], Table2[ID],Table2[MC2], "Not Found", 0 )</f>
        <v>0</v>
      </c>
      <c r="AA535" s="8">
        <f>_xlfn.XLOOKUP(CustomerCombined[[#This Row],[ID]], Table2[ID],Table2[MC3], "Not Found", 0 )</f>
        <v>1</v>
      </c>
      <c r="AB535" s="8">
        <f>_xlfn.XLOOKUP(CustomerCombined[[#This Row],[ID]], Table2[ID],Table2[MC4], "Not Found", 0 )</f>
        <v>0</v>
      </c>
      <c r="AC535" s="8">
        <f>_xlfn.XLOOKUP(CustomerCombined[[#This Row],[ID]], Table2[ID],Table2[MC5], "Not Found", 0 )</f>
        <v>0</v>
      </c>
    </row>
    <row r="536" spans="1:29" x14ac:dyDescent="0.3">
      <c r="A536" s="6">
        <v>1993</v>
      </c>
      <c r="B536" s="6">
        <v>130168</v>
      </c>
      <c r="C536" s="6">
        <v>1</v>
      </c>
      <c r="D536" s="6">
        <v>0</v>
      </c>
      <c r="E536" s="6">
        <v>42</v>
      </c>
      <c r="F536" s="5" t="s">
        <v>7</v>
      </c>
      <c r="G536" s="5" t="s">
        <v>11</v>
      </c>
      <c r="H536" s="3">
        <v>43807</v>
      </c>
      <c r="I536" s="5" t="s">
        <v>437</v>
      </c>
      <c r="J536" s="5">
        <f>_xlfn.XLOOKUP(CustomerCombined[[#This Row],[ID]], Table4[ID], Table4[Recency], "Not Found", 0)</f>
        <v>51</v>
      </c>
      <c r="K536" s="5">
        <f>_xlfn.XLOOKUP(CustomerCombined[[#This Row],[ID]], Table4[ID], Table4[Teas], "Not Found", 0)</f>
        <v>664</v>
      </c>
      <c r="L536" s="5">
        <f>_xlfn.XLOOKUP(CustomerCombined[[#This Row],[ID]], Table4[ID], Table4[Fruits], "Not Found", 0)</f>
        <v>86</v>
      </c>
      <c r="M536" s="5">
        <f>_xlfn.XLOOKUP(CustomerCombined[[#This Row],[ID]], Table4[ID], Table4[Meats], "Not Found", 0)</f>
        <v>285</v>
      </c>
      <c r="N536" s="5">
        <f>_xlfn.XLOOKUP(CustomerCombined[[#This Row],[ID]], Table4[ID], Table4[Seafood], "Not Found", 0)</f>
        <v>0</v>
      </c>
      <c r="O536" s="5">
        <f>_xlfn.XLOOKUP(CustomerCombined[[#This Row],[ID]], Table4[ID], Table4[Sweets], "Not Found", 0)</f>
        <v>52</v>
      </c>
      <c r="P536" s="5">
        <f>_xlfn.XLOOKUP(CustomerCombined[[#This Row],[ID]], Table4[ID], Table4[Premium], "Not Found", 0)</f>
        <v>116</v>
      </c>
      <c r="Q536" s="5">
        <f>_xlfn.XLOOKUP(CustomerCombined[[#This Row],[ID]], Table4[ID], Table4[Regular], "Not Found", 0)</f>
        <v>971</v>
      </c>
      <c r="R536" s="5">
        <f>_xlfn.XLOOKUP(CustomerCombined[[#This Row],[ID]], Table4[ID], Table4[Deals], "Not Found", 0)</f>
        <v>7</v>
      </c>
      <c r="S536" s="5">
        <f>_xlfn.XLOOKUP(CustomerCombined[[#This Row],[ID]], Table4[ID], Table4[Website], "Not Found", 0)</f>
        <v>6</v>
      </c>
      <c r="T536" s="5">
        <f>_xlfn.XLOOKUP(CustomerCombined[[#This Row],[ID]], Table4[ID], Table4[Catalog], "Not Found", 0)</f>
        <v>1</v>
      </c>
      <c r="U536" s="5">
        <f>_xlfn.XLOOKUP(CustomerCombined[[#This Row],[ID]], Table4[ID], Table4[Store], "Not Found", 0)</f>
        <v>4</v>
      </c>
      <c r="V536" s="5">
        <f>_xlfn.XLOOKUP(CustomerCombined[[#This Row],[ID]], Table4[ID], Table4[Visits], "Not Found", 0)</f>
        <v>9</v>
      </c>
      <c r="W536" s="8">
        <f>_xlfn.XLOOKUP(CustomerCombined[[#This Row],[ID]], Table2[ID],Table2[Complaint], "Not Found", 0 )</f>
        <v>0</v>
      </c>
      <c r="X536" s="8">
        <f>_xlfn.XLOOKUP(CustomerCombined[[#This Row],[ID]], Table2[ID],Table2[Pilot], "Not Found", 0 )</f>
        <v>0</v>
      </c>
      <c r="Y536" s="8">
        <f>_xlfn.XLOOKUP(CustomerCombined[[#This Row],[ID]], Table2[ID],Table2[MC1], "Not Found", 0 )</f>
        <v>0</v>
      </c>
      <c r="Z536" s="8">
        <f>_xlfn.XLOOKUP(CustomerCombined[[#This Row],[ID]], Table2[ID],Table2[MC2], "Not Found", 0 )</f>
        <v>0</v>
      </c>
      <c r="AA536" s="8">
        <f>_xlfn.XLOOKUP(CustomerCombined[[#This Row],[ID]], Table2[ID],Table2[MC3], "Not Found", 0 )</f>
        <v>0</v>
      </c>
      <c r="AB536" s="8">
        <f>_xlfn.XLOOKUP(CustomerCombined[[#This Row],[ID]], Table2[ID],Table2[MC4], "Not Found", 0 )</f>
        <v>0</v>
      </c>
      <c r="AC536" s="8">
        <f>_xlfn.XLOOKUP(CustomerCombined[[#This Row],[ID]], Table2[ID],Table2[MC5], "Not Found", 0 )</f>
        <v>0</v>
      </c>
    </row>
    <row r="537" spans="1:29" x14ac:dyDescent="0.3">
      <c r="A537" s="6">
        <v>2007</v>
      </c>
      <c r="B537" s="6">
        <v>128647</v>
      </c>
      <c r="C537" s="6">
        <v>1</v>
      </c>
      <c r="D537" s="6">
        <v>0</v>
      </c>
      <c r="E537" s="6">
        <v>42</v>
      </c>
      <c r="F537" s="5" t="s">
        <v>7</v>
      </c>
      <c r="G537" s="5" t="s">
        <v>11</v>
      </c>
      <c r="H537" s="3" t="s">
        <v>196</v>
      </c>
      <c r="I537" s="5" t="s">
        <v>435</v>
      </c>
      <c r="J537" s="5">
        <f>_xlfn.XLOOKUP(CustomerCombined[[#This Row],[ID]], Table4[ID], Table4[Recency], "Not Found", 0)</f>
        <v>54</v>
      </c>
      <c r="K537" s="5">
        <f>_xlfn.XLOOKUP(CustomerCombined[[#This Row],[ID]], Table4[ID], Table4[Teas], "Not Found", 0)</f>
        <v>85</v>
      </c>
      <c r="L537" s="5">
        <f>_xlfn.XLOOKUP(CustomerCombined[[#This Row],[ID]], Table4[ID], Table4[Fruits], "Not Found", 0)</f>
        <v>36</v>
      </c>
      <c r="M537" s="5">
        <f>_xlfn.XLOOKUP(CustomerCombined[[#This Row],[ID]], Table4[ID], Table4[Meats], "Not Found", 0)</f>
        <v>130</v>
      </c>
      <c r="N537" s="5">
        <f>_xlfn.XLOOKUP(CustomerCombined[[#This Row],[ID]], Table4[ID], Table4[Seafood], "Not Found", 0)</f>
        <v>0</v>
      </c>
      <c r="O537" s="5">
        <f>_xlfn.XLOOKUP(CustomerCombined[[#This Row],[ID]], Table4[ID], Table4[Sweets], "Not Found", 0)</f>
        <v>54</v>
      </c>
      <c r="P537" s="5">
        <f>_xlfn.XLOOKUP(CustomerCombined[[#This Row],[ID]], Table4[ID], Table4[Premium], "Not Found", 0)</f>
        <v>117</v>
      </c>
      <c r="Q537" s="5">
        <f>_xlfn.XLOOKUP(CustomerCombined[[#This Row],[ID]], Table4[ID], Table4[Regular], "Not Found", 0)</f>
        <v>189</v>
      </c>
      <c r="R537" s="5">
        <f>_xlfn.XLOOKUP(CustomerCombined[[#This Row],[ID]], Table4[ID], Table4[Deals], "Not Found", 0)</f>
        <v>1</v>
      </c>
      <c r="S537" s="5">
        <f>_xlfn.XLOOKUP(CustomerCombined[[#This Row],[ID]], Table4[ID], Table4[Website], "Not Found", 0)</f>
        <v>2</v>
      </c>
      <c r="T537" s="5">
        <f>_xlfn.XLOOKUP(CustomerCombined[[#This Row],[ID]], Table4[ID], Table4[Catalog], "Not Found", 0)</f>
        <v>2</v>
      </c>
      <c r="U537" s="5">
        <f>_xlfn.XLOOKUP(CustomerCombined[[#This Row],[ID]], Table4[ID], Table4[Store], "Not Found", 0)</f>
        <v>2</v>
      </c>
      <c r="V537" s="5">
        <f>_xlfn.XLOOKUP(CustomerCombined[[#This Row],[ID]], Table4[ID], Table4[Visits], "Not Found", 0)</f>
        <v>7</v>
      </c>
      <c r="W537" s="8">
        <f>_xlfn.XLOOKUP(CustomerCombined[[#This Row],[ID]], Table2[ID],Table2[Complaint], "Not Found", 0 )</f>
        <v>0</v>
      </c>
      <c r="X537" s="8">
        <f>_xlfn.XLOOKUP(CustomerCombined[[#This Row],[ID]], Table2[ID],Table2[Pilot], "Not Found", 0 )</f>
        <v>1</v>
      </c>
      <c r="Y537" s="8">
        <f>_xlfn.XLOOKUP(CustomerCombined[[#This Row],[ID]], Table2[ID],Table2[MC1], "Not Found", 0 )</f>
        <v>0</v>
      </c>
      <c r="Z537" s="8">
        <f>_xlfn.XLOOKUP(CustomerCombined[[#This Row],[ID]], Table2[ID],Table2[MC2], "Not Found", 0 )</f>
        <v>0</v>
      </c>
      <c r="AA537" s="8">
        <f>_xlfn.XLOOKUP(CustomerCombined[[#This Row],[ID]], Table2[ID],Table2[MC3], "Not Found", 0 )</f>
        <v>1</v>
      </c>
      <c r="AB537" s="8">
        <f>_xlfn.XLOOKUP(CustomerCombined[[#This Row],[ID]], Table2[ID],Table2[MC4], "Not Found", 0 )</f>
        <v>0</v>
      </c>
      <c r="AC537" s="8">
        <f>_xlfn.XLOOKUP(CustomerCombined[[#This Row],[ID]], Table2[ID],Table2[MC5], "Not Found", 0 )</f>
        <v>0</v>
      </c>
    </row>
    <row r="538" spans="1:29" x14ac:dyDescent="0.3">
      <c r="A538" s="6">
        <v>2995</v>
      </c>
      <c r="B538" s="6">
        <v>128587</v>
      </c>
      <c r="C538" s="6">
        <v>1</v>
      </c>
      <c r="D538" s="6">
        <v>0</v>
      </c>
      <c r="E538" s="6">
        <v>42</v>
      </c>
      <c r="F538" s="5" t="s">
        <v>8</v>
      </c>
      <c r="G538" s="5" t="s">
        <v>11</v>
      </c>
      <c r="H538" s="3" t="s">
        <v>101</v>
      </c>
      <c r="I538" s="5" t="s">
        <v>437</v>
      </c>
      <c r="J538" s="5">
        <f>_xlfn.XLOOKUP(CustomerCombined[[#This Row],[ID]], Table4[ID], Table4[Recency], "Not Found", 0)</f>
        <v>42</v>
      </c>
      <c r="K538" s="5">
        <f>_xlfn.XLOOKUP(CustomerCombined[[#This Row],[ID]], Table4[ID], Table4[Teas], "Not Found", 0)</f>
        <v>99</v>
      </c>
      <c r="L538" s="5">
        <f>_xlfn.XLOOKUP(CustomerCombined[[#This Row],[ID]], Table4[ID], Table4[Fruits], "Not Found", 0)</f>
        <v>18</v>
      </c>
      <c r="M538" s="5">
        <f>_xlfn.XLOOKUP(CustomerCombined[[#This Row],[ID]], Table4[ID], Table4[Meats], "Not Found", 0)</f>
        <v>76</v>
      </c>
      <c r="N538" s="5">
        <f>_xlfn.XLOOKUP(CustomerCombined[[#This Row],[ID]], Table4[ID], Table4[Seafood], "Not Found", 0)</f>
        <v>54</v>
      </c>
      <c r="O538" s="5">
        <f>_xlfn.XLOOKUP(CustomerCombined[[#This Row],[ID]], Table4[ID], Table4[Sweets], "Not Found", 0)</f>
        <v>45</v>
      </c>
      <c r="P538" s="5">
        <f>_xlfn.XLOOKUP(CustomerCombined[[#This Row],[ID]], Table4[ID], Table4[Premium], "Not Found", 0)</f>
        <v>58</v>
      </c>
      <c r="Q538" s="5">
        <f>_xlfn.XLOOKUP(CustomerCombined[[#This Row],[ID]], Table4[ID], Table4[Regular], "Not Found", 0)</f>
        <v>234</v>
      </c>
      <c r="R538" s="5">
        <f>_xlfn.XLOOKUP(CustomerCombined[[#This Row],[ID]], Table4[ID], Table4[Deals], "Not Found", 0)</f>
        <v>3</v>
      </c>
      <c r="S538" s="5">
        <f>_xlfn.XLOOKUP(CustomerCombined[[#This Row],[ID]], Table4[ID], Table4[Website], "Not Found", 0)</f>
        <v>2</v>
      </c>
      <c r="T538" s="5">
        <f>_xlfn.XLOOKUP(CustomerCombined[[#This Row],[ID]], Table4[ID], Table4[Catalog], "Not Found", 0)</f>
        <v>0</v>
      </c>
      <c r="U538" s="5">
        <f>_xlfn.XLOOKUP(CustomerCombined[[#This Row],[ID]], Table4[ID], Table4[Store], "Not Found", 0)</f>
        <v>4</v>
      </c>
      <c r="V538" s="5">
        <f>_xlfn.XLOOKUP(CustomerCombined[[#This Row],[ID]], Table4[ID], Table4[Visits], "Not Found", 0)</f>
        <v>6</v>
      </c>
      <c r="W538" s="8">
        <f>_xlfn.XLOOKUP(CustomerCombined[[#This Row],[ID]], Table2[ID],Table2[Complaint], "Not Found", 0 )</f>
        <v>0</v>
      </c>
      <c r="X538" s="8">
        <f>_xlfn.XLOOKUP(CustomerCombined[[#This Row],[ID]], Table2[ID],Table2[Pilot], "Not Found", 0 )</f>
        <v>0</v>
      </c>
      <c r="Y538" s="8">
        <f>_xlfn.XLOOKUP(CustomerCombined[[#This Row],[ID]], Table2[ID],Table2[MC1], "Not Found", 0 )</f>
        <v>0</v>
      </c>
      <c r="Z538" s="8">
        <f>_xlfn.XLOOKUP(CustomerCombined[[#This Row],[ID]], Table2[ID],Table2[MC2], "Not Found", 0 )</f>
        <v>0</v>
      </c>
      <c r="AA538" s="8">
        <f>_xlfn.XLOOKUP(CustomerCombined[[#This Row],[ID]], Table2[ID],Table2[MC3], "Not Found", 0 )</f>
        <v>0</v>
      </c>
      <c r="AB538" s="8">
        <f>_xlfn.XLOOKUP(CustomerCombined[[#This Row],[ID]], Table2[ID],Table2[MC4], "Not Found", 0 )</f>
        <v>0</v>
      </c>
      <c r="AC538" s="8">
        <f>_xlfn.XLOOKUP(CustomerCombined[[#This Row],[ID]], Table2[ID],Table2[MC5], "Not Found", 0 )</f>
        <v>0</v>
      </c>
    </row>
    <row r="539" spans="1:29" x14ac:dyDescent="0.3">
      <c r="A539" s="6">
        <v>1346</v>
      </c>
      <c r="B539" s="6">
        <v>128442</v>
      </c>
      <c r="C539" s="6">
        <v>2</v>
      </c>
      <c r="D539" s="6">
        <v>0</v>
      </c>
      <c r="E539" s="6">
        <v>42</v>
      </c>
      <c r="F539" s="5" t="s">
        <v>6</v>
      </c>
      <c r="G539" s="5" t="s">
        <v>11</v>
      </c>
      <c r="H539" s="3" t="s">
        <v>91</v>
      </c>
      <c r="I539" s="5" t="s">
        <v>438</v>
      </c>
      <c r="J539" s="5">
        <f>_xlfn.XLOOKUP(CustomerCombined[[#This Row],[ID]], Table4[ID], Table4[Recency], "Not Found", 0)</f>
        <v>53</v>
      </c>
      <c r="K539" s="5">
        <f>_xlfn.XLOOKUP(CustomerCombined[[#This Row],[ID]], Table4[ID], Table4[Teas], "Not Found", 0)</f>
        <v>86</v>
      </c>
      <c r="L539" s="5">
        <f>_xlfn.XLOOKUP(CustomerCombined[[#This Row],[ID]], Table4[ID], Table4[Fruits], "Not Found", 0)</f>
        <v>14</v>
      </c>
      <c r="M539" s="5">
        <f>_xlfn.XLOOKUP(CustomerCombined[[#This Row],[ID]], Table4[ID], Table4[Meats], "Not Found", 0)</f>
        <v>45</v>
      </c>
      <c r="N539" s="5">
        <f>_xlfn.XLOOKUP(CustomerCombined[[#This Row],[ID]], Table4[ID], Table4[Seafood], "Not Found", 0)</f>
        <v>50</v>
      </c>
      <c r="O539" s="5">
        <f>_xlfn.XLOOKUP(CustomerCombined[[#This Row],[ID]], Table4[ID], Table4[Sweets], "Not Found", 0)</f>
        <v>36</v>
      </c>
      <c r="P539" s="5">
        <f>_xlfn.XLOOKUP(CustomerCombined[[#This Row],[ID]], Table4[ID], Table4[Premium], "Not Found", 0)</f>
        <v>27</v>
      </c>
      <c r="Q539" s="5">
        <f>_xlfn.XLOOKUP(CustomerCombined[[#This Row],[ID]], Table4[ID], Table4[Regular], "Not Found", 0)</f>
        <v>203</v>
      </c>
      <c r="R539" s="5">
        <f>_xlfn.XLOOKUP(CustomerCombined[[#This Row],[ID]], Table4[ID], Table4[Deals], "Not Found", 0)</f>
        <v>3</v>
      </c>
      <c r="S539" s="5">
        <f>_xlfn.XLOOKUP(CustomerCombined[[#This Row],[ID]], Table4[ID], Table4[Website], "Not Found", 0)</f>
        <v>2</v>
      </c>
      <c r="T539" s="5">
        <f>_xlfn.XLOOKUP(CustomerCombined[[#This Row],[ID]], Table4[ID], Table4[Catalog], "Not Found", 0)</f>
        <v>1</v>
      </c>
      <c r="U539" s="5">
        <f>_xlfn.XLOOKUP(CustomerCombined[[#This Row],[ID]], Table4[ID], Table4[Store], "Not Found", 0)</f>
        <v>4</v>
      </c>
      <c r="V539" s="5">
        <f>_xlfn.XLOOKUP(CustomerCombined[[#This Row],[ID]], Table4[ID], Table4[Visits], "Not Found", 0)</f>
        <v>4</v>
      </c>
      <c r="W539" s="8">
        <f>_xlfn.XLOOKUP(CustomerCombined[[#This Row],[ID]], Table2[ID],Table2[Complaint], "Not Found", 0 )</f>
        <v>0</v>
      </c>
      <c r="X539" s="8">
        <f>_xlfn.XLOOKUP(CustomerCombined[[#This Row],[ID]], Table2[ID],Table2[Pilot], "Not Found", 0 )</f>
        <v>0</v>
      </c>
      <c r="Y539" s="8">
        <f>_xlfn.XLOOKUP(CustomerCombined[[#This Row],[ID]], Table2[ID],Table2[MC1], "Not Found", 0 )</f>
        <v>0</v>
      </c>
      <c r="Z539" s="8">
        <f>_xlfn.XLOOKUP(CustomerCombined[[#This Row],[ID]], Table2[ID],Table2[MC2], "Not Found", 0 )</f>
        <v>0</v>
      </c>
      <c r="AA539" s="8">
        <f>_xlfn.XLOOKUP(CustomerCombined[[#This Row],[ID]], Table2[ID],Table2[MC3], "Not Found", 0 )</f>
        <v>0</v>
      </c>
      <c r="AB539" s="8">
        <f>_xlfn.XLOOKUP(CustomerCombined[[#This Row],[ID]], Table2[ID],Table2[MC4], "Not Found", 0 )</f>
        <v>0</v>
      </c>
      <c r="AC539" s="8">
        <f>_xlfn.XLOOKUP(CustomerCombined[[#This Row],[ID]], Table2[ID],Table2[MC5], "Not Found", 0 )</f>
        <v>0</v>
      </c>
    </row>
    <row r="540" spans="1:29" x14ac:dyDescent="0.3">
      <c r="A540" s="6">
        <v>2225</v>
      </c>
      <c r="B540" s="6">
        <v>127683</v>
      </c>
      <c r="C540" s="6">
        <v>1</v>
      </c>
      <c r="D540" s="6">
        <v>0</v>
      </c>
      <c r="E540" s="6">
        <v>42</v>
      </c>
      <c r="F540" s="5" t="s">
        <v>8</v>
      </c>
      <c r="G540" s="5" t="s">
        <v>13</v>
      </c>
      <c r="H540" s="3">
        <v>43709</v>
      </c>
      <c r="I540" s="5" t="s">
        <v>434</v>
      </c>
      <c r="J540" s="5">
        <f>_xlfn.XLOOKUP(CustomerCombined[[#This Row],[ID]], Table4[ID], Table4[Recency], "Not Found", 0)</f>
        <v>90</v>
      </c>
      <c r="K540" s="5">
        <f>_xlfn.XLOOKUP(CustomerCombined[[#This Row],[ID]], Table4[ID], Table4[Teas], "Not Found", 0)</f>
        <v>701</v>
      </c>
      <c r="L540" s="5">
        <f>_xlfn.XLOOKUP(CustomerCombined[[#This Row],[ID]], Table4[ID], Table4[Fruits], "Not Found", 0)</f>
        <v>42</v>
      </c>
      <c r="M540" s="5">
        <f>_xlfn.XLOOKUP(CustomerCombined[[#This Row],[ID]], Table4[ID], Table4[Meats], "Not Found", 0)</f>
        <v>558</v>
      </c>
      <c r="N540" s="5">
        <f>_xlfn.XLOOKUP(CustomerCombined[[#This Row],[ID]], Table4[ID], Table4[Seafood], "Not Found", 0)</f>
        <v>55</v>
      </c>
      <c r="O540" s="5">
        <f>_xlfn.XLOOKUP(CustomerCombined[[#This Row],[ID]], Table4[ID], Table4[Sweets], "Not Found", 0)</f>
        <v>55</v>
      </c>
      <c r="P540" s="5">
        <f>_xlfn.XLOOKUP(CustomerCombined[[#This Row],[ID]], Table4[ID], Table4[Premium], "Not Found", 0)</f>
        <v>208</v>
      </c>
      <c r="Q540" s="5">
        <f>_xlfn.XLOOKUP(CustomerCombined[[#This Row],[ID]], Table4[ID], Table4[Regular], "Not Found", 0)</f>
        <v>1204</v>
      </c>
      <c r="R540" s="5">
        <f>_xlfn.XLOOKUP(CustomerCombined[[#This Row],[ID]], Table4[ID], Table4[Deals], "Not Found", 0)</f>
        <v>4</v>
      </c>
      <c r="S540" s="5">
        <f>_xlfn.XLOOKUP(CustomerCombined[[#This Row],[ID]], Table4[ID], Table4[Website], "Not Found", 0)</f>
        <v>6</v>
      </c>
      <c r="T540" s="5">
        <f>_xlfn.XLOOKUP(CustomerCombined[[#This Row],[ID]], Table4[ID], Table4[Catalog], "Not Found", 0)</f>
        <v>2</v>
      </c>
      <c r="U540" s="5">
        <f>_xlfn.XLOOKUP(CustomerCombined[[#This Row],[ID]], Table4[ID], Table4[Store], "Not Found", 0)</f>
        <v>4</v>
      </c>
      <c r="V540" s="5">
        <f>_xlfn.XLOOKUP(CustomerCombined[[#This Row],[ID]], Table4[ID], Table4[Visits], "Not Found", 0)</f>
        <v>8</v>
      </c>
      <c r="W540" s="8">
        <f>_xlfn.XLOOKUP(CustomerCombined[[#This Row],[ID]], Table2[ID],Table2[Complaint], "Not Found", 0 )</f>
        <v>0</v>
      </c>
      <c r="X540" s="8">
        <f>_xlfn.XLOOKUP(CustomerCombined[[#This Row],[ID]], Table2[ID],Table2[Pilot], "Not Found", 0 )</f>
        <v>0</v>
      </c>
      <c r="Y540" s="8">
        <f>_xlfn.XLOOKUP(CustomerCombined[[#This Row],[ID]], Table2[ID],Table2[MC1], "Not Found", 0 )</f>
        <v>0</v>
      </c>
      <c r="Z540" s="8">
        <f>_xlfn.XLOOKUP(CustomerCombined[[#This Row],[ID]], Table2[ID],Table2[MC2], "Not Found", 0 )</f>
        <v>0</v>
      </c>
      <c r="AA540" s="8">
        <f>_xlfn.XLOOKUP(CustomerCombined[[#This Row],[ID]], Table2[ID],Table2[MC3], "Not Found", 0 )</f>
        <v>0</v>
      </c>
      <c r="AB540" s="8">
        <f>_xlfn.XLOOKUP(CustomerCombined[[#This Row],[ID]], Table2[ID],Table2[MC4], "Not Found", 0 )</f>
        <v>0</v>
      </c>
      <c r="AC540" s="8">
        <f>_xlfn.XLOOKUP(CustomerCombined[[#This Row],[ID]], Table2[ID],Table2[MC5], "Not Found", 0 )</f>
        <v>0</v>
      </c>
    </row>
    <row r="541" spans="1:29" x14ac:dyDescent="0.3">
      <c r="A541" s="6">
        <v>3151</v>
      </c>
      <c r="B541" s="6">
        <v>126487</v>
      </c>
      <c r="C541" s="6">
        <v>1</v>
      </c>
      <c r="D541" s="6">
        <v>0</v>
      </c>
      <c r="E541" s="6">
        <v>42</v>
      </c>
      <c r="F541" s="5" t="s">
        <v>7</v>
      </c>
      <c r="G541" s="5" t="s">
        <v>10</v>
      </c>
      <c r="H541" s="3" t="s">
        <v>251</v>
      </c>
      <c r="I541" s="5" t="s">
        <v>437</v>
      </c>
      <c r="J541" s="5">
        <f>_xlfn.XLOOKUP(CustomerCombined[[#This Row],[ID]], Table4[ID], Table4[Recency], "Not Found", 0)</f>
        <v>23</v>
      </c>
      <c r="K541" s="5">
        <f>_xlfn.XLOOKUP(CustomerCombined[[#This Row],[ID]], Table4[ID], Table4[Teas], "Not Found", 0)</f>
        <v>10</v>
      </c>
      <c r="L541" s="5">
        <f>_xlfn.XLOOKUP(CustomerCombined[[#This Row],[ID]], Table4[ID], Table4[Fruits], "Not Found", 0)</f>
        <v>38</v>
      </c>
      <c r="M541" s="5">
        <f>_xlfn.XLOOKUP(CustomerCombined[[#This Row],[ID]], Table4[ID], Table4[Meats], "Not Found", 0)</f>
        <v>48</v>
      </c>
      <c r="N541" s="5">
        <f>_xlfn.XLOOKUP(CustomerCombined[[#This Row],[ID]], Table4[ID], Table4[Seafood], "Not Found", 0)</f>
        <v>57</v>
      </c>
      <c r="O541" s="5">
        <f>_xlfn.XLOOKUP(CustomerCombined[[#This Row],[ID]], Table4[ID], Table4[Sweets], "Not Found", 0)</f>
        <v>67</v>
      </c>
      <c r="P541" s="5">
        <f>_xlfn.XLOOKUP(CustomerCombined[[#This Row],[ID]], Table4[ID], Table4[Premium], "Not Found", 0)</f>
        <v>110</v>
      </c>
      <c r="Q541" s="5">
        <f>_xlfn.XLOOKUP(CustomerCombined[[#This Row],[ID]], Table4[ID], Table4[Regular], "Not Found", 0)</f>
        <v>110</v>
      </c>
      <c r="R541" s="5">
        <f>_xlfn.XLOOKUP(CustomerCombined[[#This Row],[ID]], Table4[ID], Table4[Deals], "Not Found", 0)</f>
        <v>3</v>
      </c>
      <c r="S541" s="5">
        <f>_xlfn.XLOOKUP(CustomerCombined[[#This Row],[ID]], Table4[ID], Table4[Website], "Not Found", 0)</f>
        <v>2</v>
      </c>
      <c r="T541" s="5">
        <f>_xlfn.XLOOKUP(CustomerCombined[[#This Row],[ID]], Table4[ID], Table4[Catalog], "Not Found", 0)</f>
        <v>1</v>
      </c>
      <c r="U541" s="5">
        <f>_xlfn.XLOOKUP(CustomerCombined[[#This Row],[ID]], Table4[ID], Table4[Store], "Not Found", 0)</f>
        <v>3</v>
      </c>
      <c r="V541" s="5">
        <f>_xlfn.XLOOKUP(CustomerCombined[[#This Row],[ID]], Table4[ID], Table4[Visits], "Not Found", 0)</f>
        <v>5</v>
      </c>
      <c r="W541" s="8">
        <f>_xlfn.XLOOKUP(CustomerCombined[[#This Row],[ID]], Table2[ID],Table2[Complaint], "Not Found", 0 )</f>
        <v>0</v>
      </c>
      <c r="X541" s="8">
        <f>_xlfn.XLOOKUP(CustomerCombined[[#This Row],[ID]], Table2[ID],Table2[Pilot], "Not Found", 0 )</f>
        <v>0</v>
      </c>
      <c r="Y541" s="8">
        <f>_xlfn.XLOOKUP(CustomerCombined[[#This Row],[ID]], Table2[ID],Table2[MC1], "Not Found", 0 )</f>
        <v>0</v>
      </c>
      <c r="Z541" s="8">
        <f>_xlfn.XLOOKUP(CustomerCombined[[#This Row],[ID]], Table2[ID],Table2[MC2], "Not Found", 0 )</f>
        <v>0</v>
      </c>
      <c r="AA541" s="8">
        <f>_xlfn.XLOOKUP(CustomerCombined[[#This Row],[ID]], Table2[ID],Table2[MC3], "Not Found", 0 )</f>
        <v>0</v>
      </c>
      <c r="AB541" s="8">
        <f>_xlfn.XLOOKUP(CustomerCombined[[#This Row],[ID]], Table2[ID],Table2[MC4], "Not Found", 0 )</f>
        <v>0</v>
      </c>
      <c r="AC541" s="8">
        <f>_xlfn.XLOOKUP(CustomerCombined[[#This Row],[ID]], Table2[ID],Table2[MC5], "Not Found", 0 )</f>
        <v>0</v>
      </c>
    </row>
    <row r="542" spans="1:29" x14ac:dyDescent="0.3">
      <c r="A542" s="6">
        <v>1582</v>
      </c>
      <c r="B542" s="6">
        <v>126224</v>
      </c>
      <c r="C542" s="6">
        <v>1</v>
      </c>
      <c r="D542" s="6">
        <v>0</v>
      </c>
      <c r="E542" s="6">
        <v>42</v>
      </c>
      <c r="F542" s="5" t="s">
        <v>6</v>
      </c>
      <c r="G542" s="5" t="s">
        <v>442</v>
      </c>
      <c r="H542" s="3">
        <v>43719</v>
      </c>
      <c r="I542" s="5" t="s">
        <v>439</v>
      </c>
      <c r="J542" s="5">
        <f>_xlfn.XLOOKUP(CustomerCombined[[#This Row],[ID]], Table4[ID], Table4[Recency], "Not Found", 0)</f>
        <v>39</v>
      </c>
      <c r="K542" s="5">
        <f>_xlfn.XLOOKUP(CustomerCombined[[#This Row],[ID]], Table4[ID], Table4[Teas], "Not Found", 0)</f>
        <v>19</v>
      </c>
      <c r="L542" s="5">
        <f>_xlfn.XLOOKUP(CustomerCombined[[#This Row],[ID]], Table4[ID], Table4[Fruits], "Not Found", 0)</f>
        <v>34</v>
      </c>
      <c r="M542" s="5">
        <f>_xlfn.XLOOKUP(CustomerCombined[[#This Row],[ID]], Table4[ID], Table4[Meats], "Not Found", 0)</f>
        <v>72</v>
      </c>
      <c r="N542" s="5">
        <f>_xlfn.XLOOKUP(CustomerCombined[[#This Row],[ID]], Table4[ID], Table4[Seafood], "Not Found", 0)</f>
        <v>63</v>
      </c>
      <c r="O542" s="5">
        <f>_xlfn.XLOOKUP(CustomerCombined[[#This Row],[ID]], Table4[ID], Table4[Sweets], "Not Found", 0)</f>
        <v>43</v>
      </c>
      <c r="P542" s="5">
        <f>_xlfn.XLOOKUP(CustomerCombined[[#This Row],[ID]], Table4[ID], Table4[Premium], "Not Found", 0)</f>
        <v>72</v>
      </c>
      <c r="Q542" s="5">
        <f>_xlfn.XLOOKUP(CustomerCombined[[#This Row],[ID]], Table4[ID], Table4[Regular], "Not Found", 0)</f>
        <v>159</v>
      </c>
      <c r="R542" s="5">
        <f>_xlfn.XLOOKUP(CustomerCombined[[#This Row],[ID]], Table4[ID], Table4[Deals], "Not Found", 0)</f>
        <v>3</v>
      </c>
      <c r="S542" s="5">
        <f>_xlfn.XLOOKUP(CustomerCombined[[#This Row],[ID]], Table4[ID], Table4[Website], "Not Found", 0)</f>
        <v>2</v>
      </c>
      <c r="T542" s="5">
        <f>_xlfn.XLOOKUP(CustomerCombined[[#This Row],[ID]], Table4[ID], Table4[Catalog], "Not Found", 0)</f>
        <v>1</v>
      </c>
      <c r="U542" s="5">
        <f>_xlfn.XLOOKUP(CustomerCombined[[#This Row],[ID]], Table4[ID], Table4[Store], "Not Found", 0)</f>
        <v>3</v>
      </c>
      <c r="V542" s="5">
        <f>_xlfn.XLOOKUP(CustomerCombined[[#This Row],[ID]], Table4[ID], Table4[Visits], "Not Found", 0)</f>
        <v>6</v>
      </c>
      <c r="W542" s="8">
        <f>_xlfn.XLOOKUP(CustomerCombined[[#This Row],[ID]], Table2[ID],Table2[Complaint], "Not Found", 0 )</f>
        <v>0</v>
      </c>
      <c r="X542" s="8">
        <f>_xlfn.XLOOKUP(CustomerCombined[[#This Row],[ID]], Table2[ID],Table2[Pilot], "Not Found", 0 )</f>
        <v>0</v>
      </c>
      <c r="Y542" s="8">
        <f>_xlfn.XLOOKUP(CustomerCombined[[#This Row],[ID]], Table2[ID],Table2[MC1], "Not Found", 0 )</f>
        <v>0</v>
      </c>
      <c r="Z542" s="8">
        <f>_xlfn.XLOOKUP(CustomerCombined[[#This Row],[ID]], Table2[ID],Table2[MC2], "Not Found", 0 )</f>
        <v>0</v>
      </c>
      <c r="AA542" s="8">
        <f>_xlfn.XLOOKUP(CustomerCombined[[#This Row],[ID]], Table2[ID],Table2[MC3], "Not Found", 0 )</f>
        <v>0</v>
      </c>
      <c r="AB542" s="8">
        <f>_xlfn.XLOOKUP(CustomerCombined[[#This Row],[ID]], Table2[ID],Table2[MC4], "Not Found", 0 )</f>
        <v>0</v>
      </c>
      <c r="AC542" s="8">
        <f>_xlfn.XLOOKUP(CustomerCombined[[#This Row],[ID]], Table2[ID],Table2[MC5], "Not Found", 0 )</f>
        <v>0</v>
      </c>
    </row>
    <row r="543" spans="1:29" x14ac:dyDescent="0.3">
      <c r="A543" s="6">
        <v>1698</v>
      </c>
      <c r="B543" s="6">
        <v>125851</v>
      </c>
      <c r="C543" s="6">
        <v>1</v>
      </c>
      <c r="D543" s="6">
        <v>0</v>
      </c>
      <c r="E543" s="6">
        <v>42</v>
      </c>
      <c r="F543" s="5" t="s">
        <v>8</v>
      </c>
      <c r="G543" s="5" t="s">
        <v>11</v>
      </c>
      <c r="H543" s="3" t="s">
        <v>312</v>
      </c>
      <c r="I543" s="5" t="s">
        <v>436</v>
      </c>
      <c r="J543" s="5">
        <f>_xlfn.XLOOKUP(CustomerCombined[[#This Row],[ID]], Table4[ID], Table4[Recency], "Not Found", 0)</f>
        <v>45</v>
      </c>
      <c r="K543" s="5">
        <f>_xlfn.XLOOKUP(CustomerCombined[[#This Row],[ID]], Table4[ID], Table4[Teas], "Not Found", 0)</f>
        <v>44</v>
      </c>
      <c r="L543" s="5">
        <f>_xlfn.XLOOKUP(CustomerCombined[[#This Row],[ID]], Table4[ID], Table4[Fruits], "Not Found", 0)</f>
        <v>19</v>
      </c>
      <c r="M543" s="5">
        <f>_xlfn.XLOOKUP(CustomerCombined[[#This Row],[ID]], Table4[ID], Table4[Meats], "Not Found", 0)</f>
        <v>88</v>
      </c>
      <c r="N543" s="5">
        <f>_xlfn.XLOOKUP(CustomerCombined[[#This Row],[ID]], Table4[ID], Table4[Seafood], "Not Found", 0)</f>
        <v>34</v>
      </c>
      <c r="O543" s="5">
        <f>_xlfn.XLOOKUP(CustomerCombined[[#This Row],[ID]], Table4[ID], Table4[Sweets], "Not Found", 0)</f>
        <v>24</v>
      </c>
      <c r="P543" s="5">
        <f>_xlfn.XLOOKUP(CustomerCombined[[#This Row],[ID]], Table4[ID], Table4[Premium], "Not Found", 0)</f>
        <v>24</v>
      </c>
      <c r="Q543" s="5">
        <f>_xlfn.XLOOKUP(CustomerCombined[[#This Row],[ID]], Table4[ID], Table4[Regular], "Not Found", 0)</f>
        <v>185</v>
      </c>
      <c r="R543" s="5">
        <f>_xlfn.XLOOKUP(CustomerCombined[[#This Row],[ID]], Table4[ID], Table4[Deals], "Not Found", 0)</f>
        <v>2</v>
      </c>
      <c r="S543" s="5">
        <f>_xlfn.XLOOKUP(CustomerCombined[[#This Row],[ID]], Table4[ID], Table4[Website], "Not Found", 0)</f>
        <v>2</v>
      </c>
      <c r="T543" s="5">
        <f>_xlfn.XLOOKUP(CustomerCombined[[#This Row],[ID]], Table4[ID], Table4[Catalog], "Not Found", 0)</f>
        <v>0</v>
      </c>
      <c r="U543" s="5">
        <f>_xlfn.XLOOKUP(CustomerCombined[[#This Row],[ID]], Table4[ID], Table4[Store], "Not Found", 0)</f>
        <v>3</v>
      </c>
      <c r="V543" s="5">
        <f>_xlfn.XLOOKUP(CustomerCombined[[#This Row],[ID]], Table4[ID], Table4[Visits], "Not Found", 0)</f>
        <v>7</v>
      </c>
      <c r="W543" s="8">
        <f>_xlfn.XLOOKUP(CustomerCombined[[#This Row],[ID]], Table2[ID],Table2[Complaint], "Not Found", 0 )</f>
        <v>0</v>
      </c>
      <c r="X543" s="8">
        <f>_xlfn.XLOOKUP(CustomerCombined[[#This Row],[ID]], Table2[ID],Table2[Pilot], "Not Found", 0 )</f>
        <v>0</v>
      </c>
      <c r="Y543" s="8">
        <f>_xlfn.XLOOKUP(CustomerCombined[[#This Row],[ID]], Table2[ID],Table2[MC1], "Not Found", 0 )</f>
        <v>0</v>
      </c>
      <c r="Z543" s="8">
        <f>_xlfn.XLOOKUP(CustomerCombined[[#This Row],[ID]], Table2[ID],Table2[MC2], "Not Found", 0 )</f>
        <v>0</v>
      </c>
      <c r="AA543" s="8">
        <f>_xlfn.XLOOKUP(CustomerCombined[[#This Row],[ID]], Table2[ID],Table2[MC3], "Not Found", 0 )</f>
        <v>0</v>
      </c>
      <c r="AB543" s="8">
        <f>_xlfn.XLOOKUP(CustomerCombined[[#This Row],[ID]], Table2[ID],Table2[MC4], "Not Found", 0 )</f>
        <v>0</v>
      </c>
      <c r="AC543" s="8">
        <f>_xlfn.XLOOKUP(CustomerCombined[[#This Row],[ID]], Table2[ID],Table2[MC5], "Not Found", 0 )</f>
        <v>0</v>
      </c>
    </row>
    <row r="544" spans="1:29" x14ac:dyDescent="0.3">
      <c r="A544" s="6">
        <v>1800</v>
      </c>
      <c r="B544" s="6">
        <v>125804</v>
      </c>
      <c r="C544" s="6">
        <v>1</v>
      </c>
      <c r="D544" s="6">
        <v>0</v>
      </c>
      <c r="E544" s="6">
        <v>42</v>
      </c>
      <c r="F544" s="5" t="s">
        <v>6</v>
      </c>
      <c r="G544" s="5" t="s">
        <v>442</v>
      </c>
      <c r="H544" s="3">
        <v>43984</v>
      </c>
      <c r="I544" s="5" t="s">
        <v>436</v>
      </c>
      <c r="J544" s="5">
        <f>_xlfn.XLOOKUP(CustomerCombined[[#This Row],[ID]], Table4[ID], Table4[Recency], "Not Found", 0)</f>
        <v>34</v>
      </c>
      <c r="K544" s="5">
        <f>_xlfn.XLOOKUP(CustomerCombined[[#This Row],[ID]], Table4[ID], Table4[Teas], "Not Found", 0)</f>
        <v>39</v>
      </c>
      <c r="L544" s="5">
        <f>_xlfn.XLOOKUP(CustomerCombined[[#This Row],[ID]], Table4[ID], Table4[Fruits], "Not Found", 0)</f>
        <v>34</v>
      </c>
      <c r="M544" s="5">
        <f>_xlfn.XLOOKUP(CustomerCombined[[#This Row],[ID]], Table4[ID], Table4[Meats], "Not Found", 0)</f>
        <v>44</v>
      </c>
      <c r="N544" s="5">
        <f>_xlfn.XLOOKUP(CustomerCombined[[#This Row],[ID]], Table4[ID], Table4[Seafood], "Not Found", 0)</f>
        <v>63</v>
      </c>
      <c r="O544" s="5">
        <f>_xlfn.XLOOKUP(CustomerCombined[[#This Row],[ID]], Table4[ID], Table4[Sweets], "Not Found", 0)</f>
        <v>29</v>
      </c>
      <c r="P544" s="5">
        <f>_xlfn.XLOOKUP(CustomerCombined[[#This Row],[ID]], Table4[ID], Table4[Premium], "Not Found", 0)</f>
        <v>59</v>
      </c>
      <c r="Q544" s="5">
        <f>_xlfn.XLOOKUP(CustomerCombined[[#This Row],[ID]], Table4[ID], Table4[Regular], "Not Found", 0)</f>
        <v>151</v>
      </c>
      <c r="R544" s="5">
        <f>_xlfn.XLOOKUP(CustomerCombined[[#This Row],[ID]], Table4[ID], Table4[Deals], "Not Found", 0)</f>
        <v>2</v>
      </c>
      <c r="S544" s="5">
        <f>_xlfn.XLOOKUP(CustomerCombined[[#This Row],[ID]], Table4[ID], Table4[Website], "Not Found", 0)</f>
        <v>2</v>
      </c>
      <c r="T544" s="5">
        <f>_xlfn.XLOOKUP(CustomerCombined[[#This Row],[ID]], Table4[ID], Table4[Catalog], "Not Found", 0)</f>
        <v>0</v>
      </c>
      <c r="U544" s="5">
        <f>_xlfn.XLOOKUP(CustomerCombined[[#This Row],[ID]], Table4[ID], Table4[Store], "Not Found", 0)</f>
        <v>3</v>
      </c>
      <c r="V544" s="5">
        <f>_xlfn.XLOOKUP(CustomerCombined[[#This Row],[ID]], Table4[ID], Table4[Visits], "Not Found", 0)</f>
        <v>8</v>
      </c>
      <c r="W544" s="8">
        <f>_xlfn.XLOOKUP(CustomerCombined[[#This Row],[ID]], Table2[ID],Table2[Complaint], "Not Found", 0 )</f>
        <v>0</v>
      </c>
      <c r="X544" s="8">
        <f>_xlfn.XLOOKUP(CustomerCombined[[#This Row],[ID]], Table2[ID],Table2[Pilot], "Not Found", 0 )</f>
        <v>0</v>
      </c>
      <c r="Y544" s="8">
        <f>_xlfn.XLOOKUP(CustomerCombined[[#This Row],[ID]], Table2[ID],Table2[MC1], "Not Found", 0 )</f>
        <v>0</v>
      </c>
      <c r="Z544" s="8">
        <f>_xlfn.XLOOKUP(CustomerCombined[[#This Row],[ID]], Table2[ID],Table2[MC2], "Not Found", 0 )</f>
        <v>0</v>
      </c>
      <c r="AA544" s="8">
        <f>_xlfn.XLOOKUP(CustomerCombined[[#This Row],[ID]], Table2[ID],Table2[MC3], "Not Found", 0 )</f>
        <v>0</v>
      </c>
      <c r="AB544" s="8">
        <f>_xlfn.XLOOKUP(CustomerCombined[[#This Row],[ID]], Table2[ID],Table2[MC4], "Not Found", 0 )</f>
        <v>0</v>
      </c>
      <c r="AC544" s="8">
        <f>_xlfn.XLOOKUP(CustomerCombined[[#This Row],[ID]], Table2[ID],Table2[MC5], "Not Found", 0 )</f>
        <v>0</v>
      </c>
    </row>
    <row r="545" spans="1:29" x14ac:dyDescent="0.3">
      <c r="A545" s="6">
        <v>1179</v>
      </c>
      <c r="B545" s="6">
        <v>124882</v>
      </c>
      <c r="C545" s="6">
        <v>1</v>
      </c>
      <c r="D545" s="6">
        <v>0</v>
      </c>
      <c r="E545" s="6">
        <v>42</v>
      </c>
      <c r="F545" s="5" t="s">
        <v>8</v>
      </c>
      <c r="G545" s="5" t="s">
        <v>10</v>
      </c>
      <c r="H545" s="3" t="s">
        <v>400</v>
      </c>
      <c r="I545" s="5" t="s">
        <v>435</v>
      </c>
      <c r="J545" s="5">
        <f>_xlfn.XLOOKUP(CustomerCombined[[#This Row],[ID]], Table4[ID], Table4[Recency], "Not Found", 0)</f>
        <v>52</v>
      </c>
      <c r="K545" s="5">
        <f>_xlfn.XLOOKUP(CustomerCombined[[#This Row],[ID]], Table4[ID], Table4[Teas], "Not Found", 0)</f>
        <v>5</v>
      </c>
      <c r="L545" s="5">
        <f>_xlfn.XLOOKUP(CustomerCombined[[#This Row],[ID]], Table4[ID], Table4[Fruits], "Not Found", 0)</f>
        <v>20</v>
      </c>
      <c r="M545" s="5">
        <f>_xlfn.XLOOKUP(CustomerCombined[[#This Row],[ID]], Table4[ID], Table4[Meats], "Not Found", 0)</f>
        <v>50</v>
      </c>
      <c r="N545" s="5">
        <f>_xlfn.XLOOKUP(CustomerCombined[[#This Row],[ID]], Table4[ID], Table4[Seafood], "Not Found", 0)</f>
        <v>146</v>
      </c>
      <c r="O545" s="5">
        <f>_xlfn.XLOOKUP(CustomerCombined[[#This Row],[ID]], Table4[ID], Table4[Sweets], "Not Found", 0)</f>
        <v>0</v>
      </c>
      <c r="P545" s="5">
        <f>_xlfn.XLOOKUP(CustomerCombined[[#This Row],[ID]], Table4[ID], Table4[Premium], "Not Found", 0)</f>
        <v>181</v>
      </c>
      <c r="Q545" s="5">
        <f>_xlfn.XLOOKUP(CustomerCombined[[#This Row],[ID]], Table4[ID], Table4[Regular], "Not Found", 0)</f>
        <v>40</v>
      </c>
      <c r="R545" s="5">
        <f>_xlfn.XLOOKUP(CustomerCombined[[#This Row],[ID]], Table4[ID], Table4[Deals], "Not Found", 0)</f>
        <v>1</v>
      </c>
      <c r="S545" s="5">
        <f>_xlfn.XLOOKUP(CustomerCombined[[#This Row],[ID]], Table4[ID], Table4[Website], "Not Found", 0)</f>
        <v>1</v>
      </c>
      <c r="T545" s="5">
        <f>_xlfn.XLOOKUP(CustomerCombined[[#This Row],[ID]], Table4[ID], Table4[Catalog], "Not Found", 0)</f>
        <v>1</v>
      </c>
      <c r="U545" s="5">
        <f>_xlfn.XLOOKUP(CustomerCombined[[#This Row],[ID]], Table4[ID], Table4[Store], "Not Found", 0)</f>
        <v>2</v>
      </c>
      <c r="V545" s="5">
        <f>_xlfn.XLOOKUP(CustomerCombined[[#This Row],[ID]], Table4[ID], Table4[Visits], "Not Found", 0)</f>
        <v>6</v>
      </c>
      <c r="W545" s="8">
        <f>_xlfn.XLOOKUP(CustomerCombined[[#This Row],[ID]], Table2[ID],Table2[Complaint], "Not Found", 0 )</f>
        <v>0</v>
      </c>
      <c r="X545" s="8">
        <f>_xlfn.XLOOKUP(CustomerCombined[[#This Row],[ID]], Table2[ID],Table2[Pilot], "Not Found", 0 )</f>
        <v>0</v>
      </c>
      <c r="Y545" s="8">
        <f>_xlfn.XLOOKUP(CustomerCombined[[#This Row],[ID]], Table2[ID],Table2[MC1], "Not Found", 0 )</f>
        <v>0</v>
      </c>
      <c r="Z545" s="8">
        <f>_xlfn.XLOOKUP(CustomerCombined[[#This Row],[ID]], Table2[ID],Table2[MC2], "Not Found", 0 )</f>
        <v>0</v>
      </c>
      <c r="AA545" s="8">
        <f>_xlfn.XLOOKUP(CustomerCombined[[#This Row],[ID]], Table2[ID],Table2[MC3], "Not Found", 0 )</f>
        <v>1</v>
      </c>
      <c r="AB545" s="8">
        <f>_xlfn.XLOOKUP(CustomerCombined[[#This Row],[ID]], Table2[ID],Table2[MC4], "Not Found", 0 )</f>
        <v>0</v>
      </c>
      <c r="AC545" s="8">
        <f>_xlfn.XLOOKUP(CustomerCombined[[#This Row],[ID]], Table2[ID],Table2[MC5], "Not Found", 0 )</f>
        <v>0</v>
      </c>
    </row>
    <row r="546" spans="1:29" x14ac:dyDescent="0.3">
      <c r="A546" s="6">
        <v>2871</v>
      </c>
      <c r="B546" s="6">
        <v>124882</v>
      </c>
      <c r="C546" s="6">
        <v>1</v>
      </c>
      <c r="D546" s="6">
        <v>0</v>
      </c>
      <c r="E546" s="6">
        <v>42</v>
      </c>
      <c r="F546" s="5" t="s">
        <v>8</v>
      </c>
      <c r="G546" s="5" t="s">
        <v>10</v>
      </c>
      <c r="H546" s="3" t="s">
        <v>400</v>
      </c>
      <c r="I546" s="5" t="s">
        <v>435</v>
      </c>
      <c r="J546" s="5">
        <f>_xlfn.XLOOKUP(CustomerCombined[[#This Row],[ID]], Table4[ID], Table4[Recency], "Not Found", 0)</f>
        <v>52</v>
      </c>
      <c r="K546" s="5">
        <f>_xlfn.XLOOKUP(CustomerCombined[[#This Row],[ID]], Table4[ID], Table4[Teas], "Not Found", 0)</f>
        <v>5</v>
      </c>
      <c r="L546" s="5">
        <f>_xlfn.XLOOKUP(CustomerCombined[[#This Row],[ID]], Table4[ID], Table4[Fruits], "Not Found", 0)</f>
        <v>20</v>
      </c>
      <c r="M546" s="5">
        <f>_xlfn.XLOOKUP(CustomerCombined[[#This Row],[ID]], Table4[ID], Table4[Meats], "Not Found", 0)</f>
        <v>50</v>
      </c>
      <c r="N546" s="5">
        <f>_xlfn.XLOOKUP(CustomerCombined[[#This Row],[ID]], Table4[ID], Table4[Seafood], "Not Found", 0)</f>
        <v>146</v>
      </c>
      <c r="O546" s="5">
        <f>_xlfn.XLOOKUP(CustomerCombined[[#This Row],[ID]], Table4[ID], Table4[Sweets], "Not Found", 0)</f>
        <v>0</v>
      </c>
      <c r="P546" s="5">
        <f>_xlfn.XLOOKUP(CustomerCombined[[#This Row],[ID]], Table4[ID], Table4[Premium], "Not Found", 0)</f>
        <v>181</v>
      </c>
      <c r="Q546" s="5">
        <f>_xlfn.XLOOKUP(CustomerCombined[[#This Row],[ID]], Table4[ID], Table4[Regular], "Not Found", 0)</f>
        <v>40</v>
      </c>
      <c r="R546" s="5">
        <f>_xlfn.XLOOKUP(CustomerCombined[[#This Row],[ID]], Table4[ID], Table4[Deals], "Not Found", 0)</f>
        <v>1</v>
      </c>
      <c r="S546" s="5">
        <f>_xlfn.XLOOKUP(CustomerCombined[[#This Row],[ID]], Table4[ID], Table4[Website], "Not Found", 0)</f>
        <v>1</v>
      </c>
      <c r="T546" s="5">
        <f>_xlfn.XLOOKUP(CustomerCombined[[#This Row],[ID]], Table4[ID], Table4[Catalog], "Not Found", 0)</f>
        <v>1</v>
      </c>
      <c r="U546" s="5">
        <f>_xlfn.XLOOKUP(CustomerCombined[[#This Row],[ID]], Table4[ID], Table4[Store], "Not Found", 0)</f>
        <v>2</v>
      </c>
      <c r="V546" s="5">
        <f>_xlfn.XLOOKUP(CustomerCombined[[#This Row],[ID]], Table4[ID], Table4[Visits], "Not Found", 0)</f>
        <v>6</v>
      </c>
      <c r="W546" s="8">
        <f>_xlfn.XLOOKUP(CustomerCombined[[#This Row],[ID]], Table2[ID],Table2[Complaint], "Not Found", 0 )</f>
        <v>0</v>
      </c>
      <c r="X546" s="8">
        <f>_xlfn.XLOOKUP(CustomerCombined[[#This Row],[ID]], Table2[ID],Table2[Pilot], "Not Found", 0 )</f>
        <v>0</v>
      </c>
      <c r="Y546" s="8">
        <f>_xlfn.XLOOKUP(CustomerCombined[[#This Row],[ID]], Table2[ID],Table2[MC1], "Not Found", 0 )</f>
        <v>0</v>
      </c>
      <c r="Z546" s="8">
        <f>_xlfn.XLOOKUP(CustomerCombined[[#This Row],[ID]], Table2[ID],Table2[MC2], "Not Found", 0 )</f>
        <v>0</v>
      </c>
      <c r="AA546" s="8">
        <f>_xlfn.XLOOKUP(CustomerCombined[[#This Row],[ID]], Table2[ID],Table2[MC3], "Not Found", 0 )</f>
        <v>1</v>
      </c>
      <c r="AB546" s="8">
        <f>_xlfn.XLOOKUP(CustomerCombined[[#This Row],[ID]], Table2[ID],Table2[MC4], "Not Found", 0 )</f>
        <v>0</v>
      </c>
      <c r="AC546" s="8">
        <f>_xlfn.XLOOKUP(CustomerCombined[[#This Row],[ID]], Table2[ID],Table2[MC5], "Not Found", 0 )</f>
        <v>0</v>
      </c>
    </row>
    <row r="547" spans="1:29" x14ac:dyDescent="0.3">
      <c r="A547" s="6">
        <v>2609</v>
      </c>
      <c r="B547" s="6">
        <v>122775</v>
      </c>
      <c r="C547" s="6">
        <v>1</v>
      </c>
      <c r="D547" s="6">
        <v>0</v>
      </c>
      <c r="E547" s="6">
        <v>42</v>
      </c>
      <c r="F547" s="5" t="s">
        <v>8</v>
      </c>
      <c r="G547" s="5" t="s">
        <v>11</v>
      </c>
      <c r="H547" s="3" t="s">
        <v>234</v>
      </c>
      <c r="I547" s="5" t="s">
        <v>434</v>
      </c>
      <c r="J547" s="5">
        <f>_xlfn.XLOOKUP(CustomerCombined[[#This Row],[ID]], Table4[ID], Table4[Recency], "Not Found", 0)</f>
        <v>40</v>
      </c>
      <c r="K547" s="5">
        <f>_xlfn.XLOOKUP(CustomerCombined[[#This Row],[ID]], Table4[ID], Table4[Teas], "Not Found", 0)</f>
        <v>27</v>
      </c>
      <c r="L547" s="5">
        <f>_xlfn.XLOOKUP(CustomerCombined[[#This Row],[ID]], Table4[ID], Table4[Fruits], "Not Found", 0)</f>
        <v>5</v>
      </c>
      <c r="M547" s="5">
        <f>_xlfn.XLOOKUP(CustomerCombined[[#This Row],[ID]], Table4[ID], Table4[Meats], "Not Found", 0)</f>
        <v>43</v>
      </c>
      <c r="N547" s="5">
        <f>_xlfn.XLOOKUP(CustomerCombined[[#This Row],[ID]], Table4[ID], Table4[Seafood], "Not Found", 0)</f>
        <v>0</v>
      </c>
      <c r="O547" s="5">
        <f>_xlfn.XLOOKUP(CustomerCombined[[#This Row],[ID]], Table4[ID], Table4[Sweets], "Not Found", 0)</f>
        <v>0</v>
      </c>
      <c r="P547" s="5">
        <f>_xlfn.XLOOKUP(CustomerCombined[[#This Row],[ID]], Table4[ID], Table4[Premium], "Not Found", 0)</f>
        <v>5</v>
      </c>
      <c r="Q547" s="5">
        <f>_xlfn.XLOOKUP(CustomerCombined[[#This Row],[ID]], Table4[ID], Table4[Regular], "Not Found", 0)</f>
        <v>70</v>
      </c>
      <c r="R547" s="5">
        <f>_xlfn.XLOOKUP(CustomerCombined[[#This Row],[ID]], Table4[ID], Table4[Deals], "Not Found", 0)</f>
        <v>1</v>
      </c>
      <c r="S547" s="5">
        <f>_xlfn.XLOOKUP(CustomerCombined[[#This Row],[ID]], Table4[ID], Table4[Website], "Not Found", 0)</f>
        <v>1</v>
      </c>
      <c r="T547" s="5">
        <f>_xlfn.XLOOKUP(CustomerCombined[[#This Row],[ID]], Table4[ID], Table4[Catalog], "Not Found", 0)</f>
        <v>0</v>
      </c>
      <c r="U547" s="5">
        <f>_xlfn.XLOOKUP(CustomerCombined[[#This Row],[ID]], Table4[ID], Table4[Store], "Not Found", 0)</f>
        <v>2</v>
      </c>
      <c r="V547" s="5">
        <f>_xlfn.XLOOKUP(CustomerCombined[[#This Row],[ID]], Table4[ID], Table4[Visits], "Not Found", 0)</f>
        <v>8</v>
      </c>
      <c r="W547" s="8">
        <f>_xlfn.XLOOKUP(CustomerCombined[[#This Row],[ID]], Table2[ID],Table2[Complaint], "Not Found", 0 )</f>
        <v>0</v>
      </c>
      <c r="X547" s="8">
        <f>_xlfn.XLOOKUP(CustomerCombined[[#This Row],[ID]], Table2[ID],Table2[Pilot], "Not Found", 0 )</f>
        <v>0</v>
      </c>
      <c r="Y547" s="8">
        <f>_xlfn.XLOOKUP(CustomerCombined[[#This Row],[ID]], Table2[ID],Table2[MC1], "Not Found", 0 )</f>
        <v>0</v>
      </c>
      <c r="Z547" s="8">
        <f>_xlfn.XLOOKUP(CustomerCombined[[#This Row],[ID]], Table2[ID],Table2[MC2], "Not Found", 0 )</f>
        <v>0</v>
      </c>
      <c r="AA547" s="8">
        <f>_xlfn.XLOOKUP(CustomerCombined[[#This Row],[ID]], Table2[ID],Table2[MC3], "Not Found", 0 )</f>
        <v>0</v>
      </c>
      <c r="AB547" s="8">
        <f>_xlfn.XLOOKUP(CustomerCombined[[#This Row],[ID]], Table2[ID],Table2[MC4], "Not Found", 0 )</f>
        <v>0</v>
      </c>
      <c r="AC547" s="8">
        <f>_xlfn.XLOOKUP(CustomerCombined[[#This Row],[ID]], Table2[ID],Table2[MC5], "Not Found", 0 )</f>
        <v>0</v>
      </c>
    </row>
    <row r="548" spans="1:29" x14ac:dyDescent="0.3">
      <c r="A548" s="6">
        <v>3186</v>
      </c>
      <c r="B548" s="6">
        <v>122775</v>
      </c>
      <c r="C548" s="6">
        <v>1</v>
      </c>
      <c r="D548" s="6">
        <v>0</v>
      </c>
      <c r="E548" s="6">
        <v>42</v>
      </c>
      <c r="F548" s="5" t="s">
        <v>8</v>
      </c>
      <c r="G548" s="5" t="s">
        <v>11</v>
      </c>
      <c r="H548" s="3" t="s">
        <v>234</v>
      </c>
      <c r="I548" s="5" t="s">
        <v>436</v>
      </c>
      <c r="J548" s="5">
        <f>_xlfn.XLOOKUP(CustomerCombined[[#This Row],[ID]], Table4[ID], Table4[Recency], "Not Found", 0)</f>
        <v>40</v>
      </c>
      <c r="K548" s="5">
        <f>_xlfn.XLOOKUP(CustomerCombined[[#This Row],[ID]], Table4[ID], Table4[Teas], "Not Found", 0)</f>
        <v>27</v>
      </c>
      <c r="L548" s="5">
        <f>_xlfn.XLOOKUP(CustomerCombined[[#This Row],[ID]], Table4[ID], Table4[Fruits], "Not Found", 0)</f>
        <v>5</v>
      </c>
      <c r="M548" s="5">
        <f>_xlfn.XLOOKUP(CustomerCombined[[#This Row],[ID]], Table4[ID], Table4[Meats], "Not Found", 0)</f>
        <v>43</v>
      </c>
      <c r="N548" s="5">
        <f>_xlfn.XLOOKUP(CustomerCombined[[#This Row],[ID]], Table4[ID], Table4[Seafood], "Not Found", 0)</f>
        <v>0</v>
      </c>
      <c r="O548" s="5">
        <f>_xlfn.XLOOKUP(CustomerCombined[[#This Row],[ID]], Table4[ID], Table4[Sweets], "Not Found", 0)</f>
        <v>0</v>
      </c>
      <c r="P548" s="5">
        <f>_xlfn.XLOOKUP(CustomerCombined[[#This Row],[ID]], Table4[ID], Table4[Premium], "Not Found", 0)</f>
        <v>5</v>
      </c>
      <c r="Q548" s="5">
        <f>_xlfn.XLOOKUP(CustomerCombined[[#This Row],[ID]], Table4[ID], Table4[Regular], "Not Found", 0)</f>
        <v>70</v>
      </c>
      <c r="R548" s="5">
        <f>_xlfn.XLOOKUP(CustomerCombined[[#This Row],[ID]], Table4[ID], Table4[Deals], "Not Found", 0)</f>
        <v>1</v>
      </c>
      <c r="S548" s="5">
        <f>_xlfn.XLOOKUP(CustomerCombined[[#This Row],[ID]], Table4[ID], Table4[Website], "Not Found", 0)</f>
        <v>1</v>
      </c>
      <c r="T548" s="5">
        <f>_xlfn.XLOOKUP(CustomerCombined[[#This Row],[ID]], Table4[ID], Table4[Catalog], "Not Found", 0)</f>
        <v>0</v>
      </c>
      <c r="U548" s="5">
        <f>_xlfn.XLOOKUP(CustomerCombined[[#This Row],[ID]], Table4[ID], Table4[Store], "Not Found", 0)</f>
        <v>2</v>
      </c>
      <c r="V548" s="5">
        <f>_xlfn.XLOOKUP(CustomerCombined[[#This Row],[ID]], Table4[ID], Table4[Visits], "Not Found", 0)</f>
        <v>8</v>
      </c>
      <c r="W548" s="8">
        <f>_xlfn.XLOOKUP(CustomerCombined[[#This Row],[ID]], Table2[ID],Table2[Complaint], "Not Found", 0 )</f>
        <v>0</v>
      </c>
      <c r="X548" s="8">
        <f>_xlfn.XLOOKUP(CustomerCombined[[#This Row],[ID]], Table2[ID],Table2[Pilot], "Not Found", 0 )</f>
        <v>0</v>
      </c>
      <c r="Y548" s="8">
        <f>_xlfn.XLOOKUP(CustomerCombined[[#This Row],[ID]], Table2[ID],Table2[MC1], "Not Found", 0 )</f>
        <v>0</v>
      </c>
      <c r="Z548" s="8">
        <f>_xlfn.XLOOKUP(CustomerCombined[[#This Row],[ID]], Table2[ID],Table2[MC2], "Not Found", 0 )</f>
        <v>0</v>
      </c>
      <c r="AA548" s="8">
        <f>_xlfn.XLOOKUP(CustomerCombined[[#This Row],[ID]], Table2[ID],Table2[MC3], "Not Found", 0 )</f>
        <v>0</v>
      </c>
      <c r="AB548" s="8">
        <f>_xlfn.XLOOKUP(CustomerCombined[[#This Row],[ID]], Table2[ID],Table2[MC4], "Not Found", 0 )</f>
        <v>0</v>
      </c>
      <c r="AC548" s="8">
        <f>_xlfn.XLOOKUP(CustomerCombined[[#This Row],[ID]], Table2[ID],Table2[MC5], "Not Found", 0 )</f>
        <v>0</v>
      </c>
    </row>
    <row r="549" spans="1:29" x14ac:dyDescent="0.3">
      <c r="A549" s="6">
        <v>2123</v>
      </c>
      <c r="B549" s="6">
        <v>121282</v>
      </c>
      <c r="C549" s="6">
        <v>1</v>
      </c>
      <c r="D549" s="6">
        <v>0</v>
      </c>
      <c r="E549" s="6">
        <v>42</v>
      </c>
      <c r="F549" s="5" t="s">
        <v>5</v>
      </c>
      <c r="G549" s="5" t="s">
        <v>442</v>
      </c>
      <c r="H549" s="3" t="s">
        <v>53</v>
      </c>
      <c r="I549" s="5" t="s">
        <v>434</v>
      </c>
      <c r="J549" s="5">
        <f>_xlfn.XLOOKUP(CustomerCombined[[#This Row],[ID]], Table4[ID], Table4[Recency], "Not Found", 0)</f>
        <v>76</v>
      </c>
      <c r="K549" s="5">
        <f>_xlfn.XLOOKUP(CustomerCombined[[#This Row],[ID]], Table4[ID], Table4[Teas], "Not Found", 0)</f>
        <v>6</v>
      </c>
      <c r="L549" s="5">
        <f>_xlfn.XLOOKUP(CustomerCombined[[#This Row],[ID]], Table4[ID], Table4[Fruits], "Not Found", 0)</f>
        <v>28</v>
      </c>
      <c r="M549" s="5">
        <f>_xlfn.XLOOKUP(CustomerCombined[[#This Row],[ID]], Table4[ID], Table4[Meats], "Not Found", 0)</f>
        <v>46</v>
      </c>
      <c r="N549" s="5">
        <f>_xlfn.XLOOKUP(CustomerCombined[[#This Row],[ID]], Table4[ID], Table4[Seafood], "Not Found", 0)</f>
        <v>23</v>
      </c>
      <c r="O549" s="5">
        <f>_xlfn.XLOOKUP(CustomerCombined[[#This Row],[ID]], Table4[ID], Table4[Sweets], "Not Found", 0)</f>
        <v>46</v>
      </c>
      <c r="P549" s="5">
        <f>_xlfn.XLOOKUP(CustomerCombined[[#This Row],[ID]], Table4[ID], Table4[Premium], "Not Found", 0)</f>
        <v>114</v>
      </c>
      <c r="Q549" s="5">
        <f>_xlfn.XLOOKUP(CustomerCombined[[#This Row],[ID]], Table4[ID], Table4[Regular], "Not Found", 0)</f>
        <v>34</v>
      </c>
      <c r="R549" s="5">
        <f>_xlfn.XLOOKUP(CustomerCombined[[#This Row],[ID]], Table4[ID], Table4[Deals], "Not Found", 0)</f>
        <v>2</v>
      </c>
      <c r="S549" s="5">
        <f>_xlfn.XLOOKUP(CustomerCombined[[#This Row],[ID]], Table4[ID], Table4[Website], "Not Found", 0)</f>
        <v>2</v>
      </c>
      <c r="T549" s="5">
        <f>_xlfn.XLOOKUP(CustomerCombined[[#This Row],[ID]], Table4[ID], Table4[Catalog], "Not Found", 0)</f>
        <v>1</v>
      </c>
      <c r="U549" s="5">
        <f>_xlfn.XLOOKUP(CustomerCombined[[#This Row],[ID]], Table4[ID], Table4[Store], "Not Found", 0)</f>
        <v>2</v>
      </c>
      <c r="V549" s="5">
        <f>_xlfn.XLOOKUP(CustomerCombined[[#This Row],[ID]], Table4[ID], Table4[Visits], "Not Found", 0)</f>
        <v>6</v>
      </c>
      <c r="W549" s="8">
        <f>_xlfn.XLOOKUP(CustomerCombined[[#This Row],[ID]], Table2[ID],Table2[Complaint], "Not Found", 0 )</f>
        <v>0</v>
      </c>
      <c r="X549" s="8">
        <f>_xlfn.XLOOKUP(CustomerCombined[[#This Row],[ID]], Table2[ID],Table2[Pilot], "Not Found", 0 )</f>
        <v>0</v>
      </c>
      <c r="Y549" s="8">
        <f>_xlfn.XLOOKUP(CustomerCombined[[#This Row],[ID]], Table2[ID],Table2[MC1], "Not Found", 0 )</f>
        <v>0</v>
      </c>
      <c r="Z549" s="8">
        <f>_xlfn.XLOOKUP(CustomerCombined[[#This Row],[ID]], Table2[ID],Table2[MC2], "Not Found", 0 )</f>
        <v>0</v>
      </c>
      <c r="AA549" s="8">
        <f>_xlfn.XLOOKUP(CustomerCombined[[#This Row],[ID]], Table2[ID],Table2[MC3], "Not Found", 0 )</f>
        <v>0</v>
      </c>
      <c r="AB549" s="8">
        <f>_xlfn.XLOOKUP(CustomerCombined[[#This Row],[ID]], Table2[ID],Table2[MC4], "Not Found", 0 )</f>
        <v>0</v>
      </c>
      <c r="AC549" s="8">
        <f>_xlfn.XLOOKUP(CustomerCombined[[#This Row],[ID]], Table2[ID],Table2[MC5], "Not Found", 0 )</f>
        <v>0</v>
      </c>
    </row>
    <row r="550" spans="1:29" x14ac:dyDescent="0.3">
      <c r="A550" s="6">
        <v>2005</v>
      </c>
      <c r="B550" s="6">
        <v>117345</v>
      </c>
      <c r="C550" s="6">
        <v>1</v>
      </c>
      <c r="D550" s="6">
        <v>0</v>
      </c>
      <c r="E550" s="6">
        <v>42</v>
      </c>
      <c r="F550" s="5" t="s">
        <v>6</v>
      </c>
      <c r="G550" s="5" t="s">
        <v>11</v>
      </c>
      <c r="H550" s="3">
        <v>43742</v>
      </c>
      <c r="I550" s="5" t="s">
        <v>437</v>
      </c>
      <c r="J550" s="5">
        <f>_xlfn.XLOOKUP(CustomerCombined[[#This Row],[ID]], Table4[ID], Table4[Recency], "Not Found", 0)</f>
        <v>79</v>
      </c>
      <c r="K550" s="5">
        <f>_xlfn.XLOOKUP(CustomerCombined[[#This Row],[ID]], Table4[ID], Table4[Teas], "Not Found", 0)</f>
        <v>27</v>
      </c>
      <c r="L550" s="5">
        <f>_xlfn.XLOOKUP(CustomerCombined[[#This Row],[ID]], Table4[ID], Table4[Fruits], "Not Found", 0)</f>
        <v>61</v>
      </c>
      <c r="M550" s="5">
        <f>_xlfn.XLOOKUP(CustomerCombined[[#This Row],[ID]], Table4[ID], Table4[Meats], "Not Found", 0)</f>
        <v>108</v>
      </c>
      <c r="N550" s="5">
        <f>_xlfn.XLOOKUP(CustomerCombined[[#This Row],[ID]], Table4[ID], Table4[Seafood], "Not Found", 0)</f>
        <v>115</v>
      </c>
      <c r="O550" s="5">
        <f>_xlfn.XLOOKUP(CustomerCombined[[#This Row],[ID]], Table4[ID], Table4[Sweets], "Not Found", 0)</f>
        <v>0</v>
      </c>
      <c r="P550" s="5">
        <f>_xlfn.XLOOKUP(CustomerCombined[[#This Row],[ID]], Table4[ID], Table4[Premium], "Not Found", 0)</f>
        <v>81</v>
      </c>
      <c r="Q550" s="5">
        <f>_xlfn.XLOOKUP(CustomerCombined[[#This Row],[ID]], Table4[ID], Table4[Regular], "Not Found", 0)</f>
        <v>230</v>
      </c>
      <c r="R550" s="5">
        <f>_xlfn.XLOOKUP(CustomerCombined[[#This Row],[ID]], Table4[ID], Table4[Deals], "Not Found", 0)</f>
        <v>2</v>
      </c>
      <c r="S550" s="5">
        <f>_xlfn.XLOOKUP(CustomerCombined[[#This Row],[ID]], Table4[ID], Table4[Website], "Not Found", 0)</f>
        <v>2</v>
      </c>
      <c r="T550" s="5">
        <f>_xlfn.XLOOKUP(CustomerCombined[[#This Row],[ID]], Table4[ID], Table4[Catalog], "Not Found", 0)</f>
        <v>1</v>
      </c>
      <c r="U550" s="5">
        <f>_xlfn.XLOOKUP(CustomerCombined[[#This Row],[ID]], Table4[ID], Table4[Store], "Not Found", 0)</f>
        <v>2</v>
      </c>
      <c r="V550" s="5">
        <f>_xlfn.XLOOKUP(CustomerCombined[[#This Row],[ID]], Table4[ID], Table4[Visits], "Not Found", 0)</f>
        <v>8</v>
      </c>
      <c r="W550" s="8">
        <f>_xlfn.XLOOKUP(CustomerCombined[[#This Row],[ID]], Table2[ID],Table2[Complaint], "Not Found", 0 )</f>
        <v>0</v>
      </c>
      <c r="X550" s="8">
        <f>_xlfn.XLOOKUP(CustomerCombined[[#This Row],[ID]], Table2[ID],Table2[Pilot], "Not Found", 0 )</f>
        <v>0</v>
      </c>
      <c r="Y550" s="8">
        <f>_xlfn.XLOOKUP(CustomerCombined[[#This Row],[ID]], Table2[ID],Table2[MC1], "Not Found", 0 )</f>
        <v>0</v>
      </c>
      <c r="Z550" s="8">
        <f>_xlfn.XLOOKUP(CustomerCombined[[#This Row],[ID]], Table2[ID],Table2[MC2], "Not Found", 0 )</f>
        <v>0</v>
      </c>
      <c r="AA550" s="8">
        <f>_xlfn.XLOOKUP(CustomerCombined[[#This Row],[ID]], Table2[ID],Table2[MC3], "Not Found", 0 )</f>
        <v>0</v>
      </c>
      <c r="AB550" s="8">
        <f>_xlfn.XLOOKUP(CustomerCombined[[#This Row],[ID]], Table2[ID],Table2[MC4], "Not Found", 0 )</f>
        <v>0</v>
      </c>
      <c r="AC550" s="8">
        <f>_xlfn.XLOOKUP(CustomerCombined[[#This Row],[ID]], Table2[ID],Table2[MC5], "Not Found", 0 )</f>
        <v>0</v>
      </c>
    </row>
    <row r="551" spans="1:29" x14ac:dyDescent="0.3">
      <c r="A551" s="6">
        <v>1860</v>
      </c>
      <c r="B551" s="6">
        <v>117117</v>
      </c>
      <c r="C551" s="6">
        <v>1</v>
      </c>
      <c r="D551" s="6">
        <v>0</v>
      </c>
      <c r="E551" s="6">
        <v>42</v>
      </c>
      <c r="F551" s="5" t="s">
        <v>8</v>
      </c>
      <c r="G551" s="5" t="s">
        <v>442</v>
      </c>
      <c r="H551" s="3" t="s">
        <v>323</v>
      </c>
      <c r="I551" s="5" t="s">
        <v>436</v>
      </c>
      <c r="J551" s="5">
        <f>_xlfn.XLOOKUP(CustomerCombined[[#This Row],[ID]], Table4[ID], Table4[Recency], "Not Found", 0)</f>
        <v>96</v>
      </c>
      <c r="K551" s="5">
        <f>_xlfn.XLOOKUP(CustomerCombined[[#This Row],[ID]], Table4[ID], Table4[Teas], "Not Found", 0)</f>
        <v>82</v>
      </c>
      <c r="L551" s="5">
        <f>_xlfn.XLOOKUP(CustomerCombined[[#This Row],[ID]], Table4[ID], Table4[Fruits], "Not Found", 0)</f>
        <v>157</v>
      </c>
      <c r="M551" s="5">
        <f>_xlfn.XLOOKUP(CustomerCombined[[#This Row],[ID]], Table4[ID], Table4[Meats], "Not Found", 0)</f>
        <v>260</v>
      </c>
      <c r="N551" s="5">
        <f>_xlfn.XLOOKUP(CustomerCombined[[#This Row],[ID]], Table4[ID], Table4[Seafood], "Not Found", 0)</f>
        <v>205</v>
      </c>
      <c r="O551" s="5">
        <f>_xlfn.XLOOKUP(CustomerCombined[[#This Row],[ID]], Table4[ID], Table4[Sweets], "Not Found", 0)</f>
        <v>123</v>
      </c>
      <c r="P551" s="5">
        <f>_xlfn.XLOOKUP(CustomerCombined[[#This Row],[ID]], Table4[ID], Table4[Premium], "Not Found", 0)</f>
        <v>48</v>
      </c>
      <c r="Q551" s="5">
        <f>_xlfn.XLOOKUP(CustomerCombined[[#This Row],[ID]], Table4[ID], Table4[Regular], "Not Found", 0)</f>
        <v>780</v>
      </c>
      <c r="R551" s="5">
        <f>_xlfn.XLOOKUP(CustomerCombined[[#This Row],[ID]], Table4[ID], Table4[Deals], "Not Found", 0)</f>
        <v>4</v>
      </c>
      <c r="S551" s="5">
        <f>_xlfn.XLOOKUP(CustomerCombined[[#This Row],[ID]], Table4[ID], Table4[Website], "Not Found", 0)</f>
        <v>3</v>
      </c>
      <c r="T551" s="5">
        <f>_xlfn.XLOOKUP(CustomerCombined[[#This Row],[ID]], Table4[ID], Table4[Catalog], "Not Found", 0)</f>
        <v>1</v>
      </c>
      <c r="U551" s="5">
        <f>_xlfn.XLOOKUP(CustomerCombined[[#This Row],[ID]], Table4[ID], Table4[Store], "Not Found", 0)</f>
        <v>3</v>
      </c>
      <c r="V551" s="5">
        <f>_xlfn.XLOOKUP(CustomerCombined[[#This Row],[ID]], Table4[ID], Table4[Visits], "Not Found", 0)</f>
        <v>9</v>
      </c>
      <c r="W551" s="8">
        <f>_xlfn.XLOOKUP(CustomerCombined[[#This Row],[ID]], Table2[ID],Table2[Complaint], "Not Found", 0 )</f>
        <v>0</v>
      </c>
      <c r="X551" s="8">
        <f>_xlfn.XLOOKUP(CustomerCombined[[#This Row],[ID]], Table2[ID],Table2[Pilot], "Not Found", 0 )</f>
        <v>0</v>
      </c>
      <c r="Y551" s="8">
        <f>_xlfn.XLOOKUP(CustomerCombined[[#This Row],[ID]], Table2[ID],Table2[MC1], "Not Found", 0 )</f>
        <v>0</v>
      </c>
      <c r="Z551" s="8">
        <f>_xlfn.XLOOKUP(CustomerCombined[[#This Row],[ID]], Table2[ID],Table2[MC2], "Not Found", 0 )</f>
        <v>0</v>
      </c>
      <c r="AA551" s="8">
        <f>_xlfn.XLOOKUP(CustomerCombined[[#This Row],[ID]], Table2[ID],Table2[MC3], "Not Found", 0 )</f>
        <v>0</v>
      </c>
      <c r="AB551" s="8">
        <f>_xlfn.XLOOKUP(CustomerCombined[[#This Row],[ID]], Table2[ID],Table2[MC4], "Not Found", 0 )</f>
        <v>0</v>
      </c>
      <c r="AC551" s="8">
        <f>_xlfn.XLOOKUP(CustomerCombined[[#This Row],[ID]], Table2[ID],Table2[MC5], "Not Found", 0 )</f>
        <v>0</v>
      </c>
    </row>
    <row r="552" spans="1:29" x14ac:dyDescent="0.3">
      <c r="A552" s="6">
        <v>2439</v>
      </c>
      <c r="B552" s="6">
        <v>116531</v>
      </c>
      <c r="C552" s="6">
        <v>1</v>
      </c>
      <c r="D552" s="6">
        <v>0</v>
      </c>
      <c r="E552" s="6">
        <v>42</v>
      </c>
      <c r="F552" s="5" t="s">
        <v>8</v>
      </c>
      <c r="G552" s="5" t="s">
        <v>11</v>
      </c>
      <c r="H552" s="3" t="s">
        <v>31</v>
      </c>
      <c r="I552" s="5" t="s">
        <v>435</v>
      </c>
      <c r="J552" s="5">
        <f>_xlfn.XLOOKUP(CustomerCombined[[#This Row],[ID]], Table4[ID], Table4[Recency], "Not Found", 0)</f>
        <v>43</v>
      </c>
      <c r="K552" s="5">
        <f>_xlfn.XLOOKUP(CustomerCombined[[#This Row],[ID]], Table4[ID], Table4[Teas], "Not Found", 0)</f>
        <v>14</v>
      </c>
      <c r="L552" s="5">
        <f>_xlfn.XLOOKUP(CustomerCombined[[#This Row],[ID]], Table4[ID], Table4[Fruits], "Not Found", 0)</f>
        <v>92</v>
      </c>
      <c r="M552" s="5">
        <f>_xlfn.XLOOKUP(CustomerCombined[[#This Row],[ID]], Table4[ID], Table4[Meats], "Not Found", 0)</f>
        <v>42</v>
      </c>
      <c r="N552" s="5">
        <f>_xlfn.XLOOKUP(CustomerCombined[[#This Row],[ID]], Table4[ID], Table4[Seafood], "Not Found", 0)</f>
        <v>49</v>
      </c>
      <c r="O552" s="5">
        <f>_xlfn.XLOOKUP(CustomerCombined[[#This Row],[ID]], Table4[ID], Table4[Sweets], "Not Found", 0)</f>
        <v>35</v>
      </c>
      <c r="P552" s="5">
        <f>_xlfn.XLOOKUP(CustomerCombined[[#This Row],[ID]], Table4[ID], Table4[Premium], "Not Found", 0)</f>
        <v>78</v>
      </c>
      <c r="Q552" s="5">
        <f>_xlfn.XLOOKUP(CustomerCombined[[#This Row],[ID]], Table4[ID], Table4[Regular], "Not Found", 0)</f>
        <v>155</v>
      </c>
      <c r="R552" s="5">
        <f>_xlfn.XLOOKUP(CustomerCombined[[#This Row],[ID]], Table4[ID], Table4[Deals], "Not Found", 0)</f>
        <v>3</v>
      </c>
      <c r="S552" s="5">
        <f>_xlfn.XLOOKUP(CustomerCombined[[#This Row],[ID]], Table4[ID], Table4[Website], "Not Found", 0)</f>
        <v>3</v>
      </c>
      <c r="T552" s="5">
        <f>_xlfn.XLOOKUP(CustomerCombined[[#This Row],[ID]], Table4[ID], Table4[Catalog], "Not Found", 0)</f>
        <v>0</v>
      </c>
      <c r="U552" s="5">
        <f>_xlfn.XLOOKUP(CustomerCombined[[#This Row],[ID]], Table4[ID], Table4[Store], "Not Found", 0)</f>
        <v>3</v>
      </c>
      <c r="V552" s="5">
        <f>_xlfn.XLOOKUP(CustomerCombined[[#This Row],[ID]], Table4[ID], Table4[Visits], "Not Found", 0)</f>
        <v>7</v>
      </c>
      <c r="W552" s="8">
        <f>_xlfn.XLOOKUP(CustomerCombined[[#This Row],[ID]], Table2[ID],Table2[Complaint], "Not Found", 0 )</f>
        <v>0</v>
      </c>
      <c r="X552" s="8">
        <f>_xlfn.XLOOKUP(CustomerCombined[[#This Row],[ID]], Table2[ID],Table2[Pilot], "Not Found", 0 )</f>
        <v>0</v>
      </c>
      <c r="Y552" s="8">
        <f>_xlfn.XLOOKUP(CustomerCombined[[#This Row],[ID]], Table2[ID],Table2[MC1], "Not Found", 0 )</f>
        <v>0</v>
      </c>
      <c r="Z552" s="8">
        <f>_xlfn.XLOOKUP(CustomerCombined[[#This Row],[ID]], Table2[ID],Table2[MC2], "Not Found", 0 )</f>
        <v>0</v>
      </c>
      <c r="AA552" s="8">
        <f>_xlfn.XLOOKUP(CustomerCombined[[#This Row],[ID]], Table2[ID],Table2[MC3], "Not Found", 0 )</f>
        <v>0</v>
      </c>
      <c r="AB552" s="8">
        <f>_xlfn.XLOOKUP(CustomerCombined[[#This Row],[ID]], Table2[ID],Table2[MC4], "Not Found", 0 )</f>
        <v>0</v>
      </c>
      <c r="AC552" s="8">
        <f>_xlfn.XLOOKUP(CustomerCombined[[#This Row],[ID]], Table2[ID],Table2[MC5], "Not Found", 0 )</f>
        <v>0</v>
      </c>
    </row>
    <row r="553" spans="1:29" x14ac:dyDescent="0.3">
      <c r="A553" s="6">
        <v>2587</v>
      </c>
      <c r="B553" s="6">
        <v>112393</v>
      </c>
      <c r="C553" s="6">
        <v>0</v>
      </c>
      <c r="D553" s="6">
        <v>0</v>
      </c>
      <c r="E553" s="6">
        <v>42</v>
      </c>
      <c r="F553" s="5" t="s">
        <v>6</v>
      </c>
      <c r="G553" s="5" t="s">
        <v>442</v>
      </c>
      <c r="H553" s="3">
        <v>43774</v>
      </c>
      <c r="I553" s="5" t="s">
        <v>437</v>
      </c>
      <c r="J553" s="5">
        <f>_xlfn.XLOOKUP(CustomerCombined[[#This Row],[ID]], Table4[ID], Table4[Recency], "Not Found", 0)</f>
        <v>38</v>
      </c>
      <c r="K553" s="5">
        <f>_xlfn.XLOOKUP(CustomerCombined[[#This Row],[ID]], Table4[ID], Table4[Teas], "Not Found", 0)</f>
        <v>45</v>
      </c>
      <c r="L553" s="5">
        <f>_xlfn.XLOOKUP(CustomerCombined[[#This Row],[ID]], Table4[ID], Table4[Fruits], "Not Found", 0)</f>
        <v>54</v>
      </c>
      <c r="M553" s="5">
        <f>_xlfn.XLOOKUP(CustomerCombined[[#This Row],[ID]], Table4[ID], Table4[Meats], "Not Found", 0)</f>
        <v>136</v>
      </c>
      <c r="N553" s="5">
        <f>_xlfn.XLOOKUP(CustomerCombined[[#This Row],[ID]], Table4[ID], Table4[Seafood], "Not Found", 0)</f>
        <v>100</v>
      </c>
      <c r="O553" s="5">
        <f>_xlfn.XLOOKUP(CustomerCombined[[#This Row],[ID]], Table4[ID], Table4[Sweets], "Not Found", 0)</f>
        <v>63</v>
      </c>
      <c r="P553" s="5">
        <f>_xlfn.XLOOKUP(CustomerCombined[[#This Row],[ID]], Table4[ID], Table4[Premium], "Not Found", 0)</f>
        <v>118</v>
      </c>
      <c r="Q553" s="5">
        <f>_xlfn.XLOOKUP(CustomerCombined[[#This Row],[ID]], Table4[ID], Table4[Regular], "Not Found", 0)</f>
        <v>281</v>
      </c>
      <c r="R553" s="5">
        <f>_xlfn.XLOOKUP(CustomerCombined[[#This Row],[ID]], Table4[ID], Table4[Deals], "Not Found", 0)</f>
        <v>1</v>
      </c>
      <c r="S553" s="5">
        <f>_xlfn.XLOOKUP(CustomerCombined[[#This Row],[ID]], Table4[ID], Table4[Website], "Not Found", 0)</f>
        <v>2</v>
      </c>
      <c r="T553" s="5">
        <f>_xlfn.XLOOKUP(CustomerCombined[[#This Row],[ID]], Table4[ID], Table4[Catalog], "Not Found", 0)</f>
        <v>0</v>
      </c>
      <c r="U553" s="5">
        <f>_xlfn.XLOOKUP(CustomerCombined[[#This Row],[ID]], Table4[ID], Table4[Store], "Not Found", 0)</f>
        <v>3</v>
      </c>
      <c r="V553" s="5">
        <f>_xlfn.XLOOKUP(CustomerCombined[[#This Row],[ID]], Table4[ID], Table4[Visits], "Not Found", 0)</f>
        <v>9</v>
      </c>
      <c r="W553" s="8">
        <f>_xlfn.XLOOKUP(CustomerCombined[[#This Row],[ID]], Table2[ID],Table2[Complaint], "Not Found", 0 )</f>
        <v>0</v>
      </c>
      <c r="X553" s="8">
        <f>_xlfn.XLOOKUP(CustomerCombined[[#This Row],[ID]], Table2[ID],Table2[Pilot], "Not Found", 0 )</f>
        <v>0</v>
      </c>
      <c r="Y553" s="8">
        <f>_xlfn.XLOOKUP(CustomerCombined[[#This Row],[ID]], Table2[ID],Table2[MC1], "Not Found", 0 )</f>
        <v>0</v>
      </c>
      <c r="Z553" s="8">
        <f>_xlfn.XLOOKUP(CustomerCombined[[#This Row],[ID]], Table2[ID],Table2[MC2], "Not Found", 0 )</f>
        <v>0</v>
      </c>
      <c r="AA553" s="8">
        <f>_xlfn.XLOOKUP(CustomerCombined[[#This Row],[ID]], Table2[ID],Table2[MC3], "Not Found", 0 )</f>
        <v>0</v>
      </c>
      <c r="AB553" s="8">
        <f>_xlfn.XLOOKUP(CustomerCombined[[#This Row],[ID]], Table2[ID],Table2[MC4], "Not Found", 0 )</f>
        <v>0</v>
      </c>
      <c r="AC553" s="8">
        <f>_xlfn.XLOOKUP(CustomerCombined[[#This Row],[ID]], Table2[ID],Table2[MC5], "Not Found", 0 )</f>
        <v>0</v>
      </c>
    </row>
    <row r="554" spans="1:29" x14ac:dyDescent="0.3">
      <c r="A554" s="6">
        <v>2280</v>
      </c>
      <c r="B554" s="6">
        <v>107500</v>
      </c>
      <c r="C554" s="6">
        <v>1</v>
      </c>
      <c r="D554" s="6">
        <v>1</v>
      </c>
      <c r="E554" s="6">
        <v>42</v>
      </c>
      <c r="F554" s="5" t="s">
        <v>7</v>
      </c>
      <c r="G554" s="5" t="s">
        <v>11</v>
      </c>
      <c r="H554" s="3">
        <v>43530</v>
      </c>
      <c r="I554" s="5" t="s">
        <v>436</v>
      </c>
      <c r="J554" s="5">
        <f>_xlfn.XLOOKUP(CustomerCombined[[#This Row],[ID]], Table4[ID], Table4[Recency], "Not Found", 0)</f>
        <v>5</v>
      </c>
      <c r="K554" s="5">
        <f>_xlfn.XLOOKUP(CustomerCombined[[#This Row],[ID]], Table4[ID], Table4[Teas], "Not Found", 0)</f>
        <v>86</v>
      </c>
      <c r="L554" s="5">
        <f>_xlfn.XLOOKUP(CustomerCombined[[#This Row],[ID]], Table4[ID], Table4[Fruits], "Not Found", 0)</f>
        <v>72</v>
      </c>
      <c r="M554" s="5">
        <f>_xlfn.XLOOKUP(CustomerCombined[[#This Row],[ID]], Table4[ID], Table4[Meats], "Not Found", 0)</f>
        <v>57</v>
      </c>
      <c r="N554" s="5">
        <f>_xlfn.XLOOKUP(CustomerCombined[[#This Row],[ID]], Table4[ID], Table4[Seafood], "Not Found", 0)</f>
        <v>186</v>
      </c>
      <c r="O554" s="5">
        <f>_xlfn.XLOOKUP(CustomerCombined[[#This Row],[ID]], Table4[ID], Table4[Sweets], "Not Found", 0)</f>
        <v>57</v>
      </c>
      <c r="P554" s="5">
        <f>_xlfn.XLOOKUP(CustomerCombined[[#This Row],[ID]], Table4[ID], Table4[Premium], "Not Found", 0)</f>
        <v>358</v>
      </c>
      <c r="Q554" s="5">
        <f>_xlfn.XLOOKUP(CustomerCombined[[#This Row],[ID]], Table4[ID], Table4[Regular], "Not Found", 0)</f>
        <v>100</v>
      </c>
      <c r="R554" s="5">
        <f>_xlfn.XLOOKUP(CustomerCombined[[#This Row],[ID]], Table4[ID], Table4[Deals], "Not Found", 0)</f>
        <v>4</v>
      </c>
      <c r="S554" s="5">
        <f>_xlfn.XLOOKUP(CustomerCombined[[#This Row],[ID]], Table4[ID], Table4[Website], "Not Found", 0)</f>
        <v>2</v>
      </c>
      <c r="T554" s="5">
        <f>_xlfn.XLOOKUP(CustomerCombined[[#This Row],[ID]], Table4[ID], Table4[Catalog], "Not Found", 0)</f>
        <v>1</v>
      </c>
      <c r="U554" s="5">
        <f>_xlfn.XLOOKUP(CustomerCombined[[#This Row],[ID]], Table4[ID], Table4[Store], "Not Found", 0)</f>
        <v>3</v>
      </c>
      <c r="V554" s="5">
        <f>_xlfn.XLOOKUP(CustomerCombined[[#This Row],[ID]], Table4[ID], Table4[Visits], "Not Found", 0)</f>
        <v>6</v>
      </c>
      <c r="W554" s="8">
        <f>_xlfn.XLOOKUP(CustomerCombined[[#This Row],[ID]], Table2[ID],Table2[Complaint], "Not Found", 0 )</f>
        <v>0</v>
      </c>
      <c r="X554" s="8">
        <f>_xlfn.XLOOKUP(CustomerCombined[[#This Row],[ID]], Table2[ID],Table2[Pilot], "Not Found", 0 )</f>
        <v>0</v>
      </c>
      <c r="Y554" s="8">
        <f>_xlfn.XLOOKUP(CustomerCombined[[#This Row],[ID]], Table2[ID],Table2[MC1], "Not Found", 0 )</f>
        <v>0</v>
      </c>
      <c r="Z554" s="8">
        <f>_xlfn.XLOOKUP(CustomerCombined[[#This Row],[ID]], Table2[ID],Table2[MC2], "Not Found", 0 )</f>
        <v>0</v>
      </c>
      <c r="AA554" s="8">
        <f>_xlfn.XLOOKUP(CustomerCombined[[#This Row],[ID]], Table2[ID],Table2[MC3], "Not Found", 0 )</f>
        <v>0</v>
      </c>
      <c r="AB554" s="8">
        <f>_xlfn.XLOOKUP(CustomerCombined[[#This Row],[ID]], Table2[ID],Table2[MC4], "Not Found", 0 )</f>
        <v>0</v>
      </c>
      <c r="AC554" s="8">
        <f>_xlfn.XLOOKUP(CustomerCombined[[#This Row],[ID]], Table2[ID],Table2[MC5], "Not Found", 0 )</f>
        <v>0</v>
      </c>
    </row>
    <row r="555" spans="1:29" x14ac:dyDescent="0.3">
      <c r="A555" s="6">
        <v>1191</v>
      </c>
      <c r="B555" s="6">
        <v>202160</v>
      </c>
      <c r="C555" s="6">
        <v>0</v>
      </c>
      <c r="D555" s="6">
        <v>0</v>
      </c>
      <c r="E555" s="6">
        <v>43</v>
      </c>
      <c r="F555" s="5" t="s">
        <v>8</v>
      </c>
      <c r="G555" s="5" t="s">
        <v>13</v>
      </c>
      <c r="H555" s="3">
        <v>43712</v>
      </c>
      <c r="I555" s="5" t="s">
        <v>435</v>
      </c>
      <c r="J555" s="5">
        <f>_xlfn.XLOOKUP(CustomerCombined[[#This Row],[ID]], Table4[ID], Table4[Recency], "Not Found", 0)</f>
        <v>54</v>
      </c>
      <c r="K555" s="5">
        <f>_xlfn.XLOOKUP(CustomerCombined[[#This Row],[ID]], Table4[ID], Table4[Teas], "Not Found", 0)</f>
        <v>1510</v>
      </c>
      <c r="L555" s="5">
        <f>_xlfn.XLOOKUP(CustomerCombined[[#This Row],[ID]], Table4[ID], Table4[Fruits], "Not Found", 0)</f>
        <v>57</v>
      </c>
      <c r="M555" s="5">
        <f>_xlfn.XLOOKUP(CustomerCombined[[#This Row],[ID]], Table4[ID], Table4[Meats], "Not Found", 0)</f>
        <v>273</v>
      </c>
      <c r="N555" s="5">
        <f>_xlfn.XLOOKUP(CustomerCombined[[#This Row],[ID]], Table4[ID], Table4[Seafood], "Not Found", 0)</f>
        <v>150</v>
      </c>
      <c r="O555" s="5">
        <f>_xlfn.XLOOKUP(CustomerCombined[[#This Row],[ID]], Table4[ID], Table4[Sweets], "Not Found", 0)</f>
        <v>348</v>
      </c>
      <c r="P555" s="5">
        <f>_xlfn.XLOOKUP(CustomerCombined[[#This Row],[ID]], Table4[ID], Table4[Premium], "Not Found", 0)</f>
        <v>115</v>
      </c>
      <c r="Q555" s="5">
        <f>_xlfn.XLOOKUP(CustomerCombined[[#This Row],[ID]], Table4[ID], Table4[Regular], "Not Found", 0)</f>
        <v>2224</v>
      </c>
      <c r="R555" s="5">
        <f>_xlfn.XLOOKUP(CustomerCombined[[#This Row],[ID]], Table4[ID], Table4[Deals], "Not Found", 0)</f>
        <v>0</v>
      </c>
      <c r="S555" s="5">
        <f>_xlfn.XLOOKUP(CustomerCombined[[#This Row],[ID]], Table4[ID], Table4[Website], "Not Found", 0)</f>
        <v>7</v>
      </c>
      <c r="T555" s="5">
        <f>_xlfn.XLOOKUP(CustomerCombined[[#This Row],[ID]], Table4[ID], Table4[Catalog], "Not Found", 0)</f>
        <v>9</v>
      </c>
      <c r="U555" s="5">
        <f>_xlfn.XLOOKUP(CustomerCombined[[#This Row],[ID]], Table4[ID], Table4[Store], "Not Found", 0)</f>
        <v>10</v>
      </c>
      <c r="V555" s="5">
        <f>_xlfn.XLOOKUP(CustomerCombined[[#This Row],[ID]], Table4[ID], Table4[Visits], "Not Found", 0)</f>
        <v>4</v>
      </c>
      <c r="W555" s="8">
        <f>_xlfn.XLOOKUP(CustomerCombined[[#This Row],[ID]], Table2[ID],Table2[Complaint], "Not Found", 0 )</f>
        <v>0</v>
      </c>
      <c r="X555" s="8">
        <f>_xlfn.XLOOKUP(CustomerCombined[[#This Row],[ID]], Table2[ID],Table2[Pilot], "Not Found", 0 )</f>
        <v>1</v>
      </c>
      <c r="Y555" s="8">
        <f>_xlfn.XLOOKUP(CustomerCombined[[#This Row],[ID]], Table2[ID],Table2[MC1], "Not Found", 0 )</f>
        <v>1</v>
      </c>
      <c r="Z555" s="8">
        <f>_xlfn.XLOOKUP(CustomerCombined[[#This Row],[ID]], Table2[ID],Table2[MC2], "Not Found", 0 )</f>
        <v>0</v>
      </c>
      <c r="AA555" s="8">
        <f>_xlfn.XLOOKUP(CustomerCombined[[#This Row],[ID]], Table2[ID],Table2[MC3], "Not Found", 0 )</f>
        <v>0</v>
      </c>
      <c r="AB555" s="8">
        <f>_xlfn.XLOOKUP(CustomerCombined[[#This Row],[ID]], Table2[ID],Table2[MC4], "Not Found", 0 )</f>
        <v>1</v>
      </c>
      <c r="AC555" s="8">
        <f>_xlfn.XLOOKUP(CustomerCombined[[#This Row],[ID]], Table2[ID],Table2[MC5], "Not Found", 0 )</f>
        <v>1</v>
      </c>
    </row>
    <row r="556" spans="1:29" x14ac:dyDescent="0.3">
      <c r="A556" s="6">
        <v>2987</v>
      </c>
      <c r="B556" s="6">
        <v>196876</v>
      </c>
      <c r="C556" s="6">
        <v>0</v>
      </c>
      <c r="D556" s="6">
        <v>0</v>
      </c>
      <c r="E556" s="6">
        <v>43</v>
      </c>
      <c r="F556" s="5" t="s">
        <v>8</v>
      </c>
      <c r="G556" s="5" t="s">
        <v>11</v>
      </c>
      <c r="H556" s="3">
        <v>44136</v>
      </c>
      <c r="I556" s="5" t="s">
        <v>434</v>
      </c>
      <c r="J556" s="5">
        <f>_xlfn.XLOOKUP(CustomerCombined[[#This Row],[ID]], Table4[ID], Table4[Recency], "Not Found", 0)</f>
        <v>79</v>
      </c>
      <c r="K556" s="5">
        <f>_xlfn.XLOOKUP(CustomerCombined[[#This Row],[ID]], Table4[ID], Table4[Teas], "Not Found", 0)</f>
        <v>1845</v>
      </c>
      <c r="L556" s="5">
        <f>_xlfn.XLOOKUP(CustomerCombined[[#This Row],[ID]], Table4[ID], Table4[Fruits], "Not Found", 0)</f>
        <v>87</v>
      </c>
      <c r="M556" s="5">
        <f>_xlfn.XLOOKUP(CustomerCombined[[#This Row],[ID]], Table4[ID], Table4[Meats], "Not Found", 0)</f>
        <v>1494</v>
      </c>
      <c r="N556" s="5">
        <f>_xlfn.XLOOKUP(CustomerCombined[[#This Row],[ID]], Table4[ID], Table4[Seafood], "Not Found", 0)</f>
        <v>81</v>
      </c>
      <c r="O556" s="5">
        <f>_xlfn.XLOOKUP(CustomerCombined[[#This Row],[ID]], Table4[ID], Table4[Sweets], "Not Found", 0)</f>
        <v>394</v>
      </c>
      <c r="P556" s="5">
        <f>_xlfn.XLOOKUP(CustomerCombined[[#This Row],[ID]], Table4[ID], Table4[Premium], "Not Found", 0)</f>
        <v>43</v>
      </c>
      <c r="Q556" s="5">
        <f>_xlfn.XLOOKUP(CustomerCombined[[#This Row],[ID]], Table4[ID], Table4[Regular], "Not Found", 0)</f>
        <v>3859</v>
      </c>
      <c r="R556" s="5">
        <f>_xlfn.XLOOKUP(CustomerCombined[[#This Row],[ID]], Table4[ID], Table4[Deals], "Not Found", 0)</f>
        <v>1</v>
      </c>
      <c r="S556" s="5">
        <f>_xlfn.XLOOKUP(CustomerCombined[[#This Row],[ID]], Table4[ID], Table4[Website], "Not Found", 0)</f>
        <v>7</v>
      </c>
      <c r="T556" s="5">
        <f>_xlfn.XLOOKUP(CustomerCombined[[#This Row],[ID]], Table4[ID], Table4[Catalog], "Not Found", 0)</f>
        <v>7</v>
      </c>
      <c r="U556" s="5">
        <f>_xlfn.XLOOKUP(CustomerCombined[[#This Row],[ID]], Table4[ID], Table4[Store], "Not Found", 0)</f>
        <v>9</v>
      </c>
      <c r="V556" s="5">
        <f>_xlfn.XLOOKUP(CustomerCombined[[#This Row],[ID]], Table4[ID], Table4[Visits], "Not Found", 0)</f>
        <v>2</v>
      </c>
      <c r="W556" s="8">
        <f>_xlfn.XLOOKUP(CustomerCombined[[#This Row],[ID]], Table2[ID],Table2[Complaint], "Not Found", 0 )</f>
        <v>0</v>
      </c>
      <c r="X556" s="8">
        <f>_xlfn.XLOOKUP(CustomerCombined[[#This Row],[ID]], Table2[ID],Table2[Pilot], "Not Found", 0 )</f>
        <v>1</v>
      </c>
      <c r="Y556" s="8">
        <f>_xlfn.XLOOKUP(CustomerCombined[[#This Row],[ID]], Table2[ID],Table2[MC1], "Not Found", 0 )</f>
        <v>1</v>
      </c>
      <c r="Z556" s="8">
        <f>_xlfn.XLOOKUP(CustomerCombined[[#This Row],[ID]], Table2[ID],Table2[MC2], "Not Found", 0 )</f>
        <v>0</v>
      </c>
      <c r="AA556" s="8">
        <f>_xlfn.XLOOKUP(CustomerCombined[[#This Row],[ID]], Table2[ID],Table2[MC3], "Not Found", 0 )</f>
        <v>0</v>
      </c>
      <c r="AB556" s="8">
        <f>_xlfn.XLOOKUP(CustomerCombined[[#This Row],[ID]], Table2[ID],Table2[MC4], "Not Found", 0 )</f>
        <v>1</v>
      </c>
      <c r="AC556" s="8">
        <f>_xlfn.XLOOKUP(CustomerCombined[[#This Row],[ID]], Table2[ID],Table2[MC5], "Not Found", 0 )</f>
        <v>1</v>
      </c>
    </row>
    <row r="557" spans="1:29" x14ac:dyDescent="0.3">
      <c r="A557" s="6">
        <v>1886</v>
      </c>
      <c r="B557" s="6">
        <v>185072</v>
      </c>
      <c r="C557" s="6">
        <v>0</v>
      </c>
      <c r="D557" s="6">
        <v>0</v>
      </c>
      <c r="E557" s="6">
        <v>43</v>
      </c>
      <c r="F557" s="5" t="s">
        <v>7</v>
      </c>
      <c r="G557" s="5" t="s">
        <v>11</v>
      </c>
      <c r="H557" s="3" t="s">
        <v>73</v>
      </c>
      <c r="I557" s="5" t="s">
        <v>438</v>
      </c>
      <c r="J557" s="5">
        <f>_xlfn.XLOOKUP(CustomerCombined[[#This Row],[ID]], Table4[ID], Table4[Recency], "Not Found", 0)</f>
        <v>94</v>
      </c>
      <c r="K557" s="5">
        <f>_xlfn.XLOOKUP(CustomerCombined[[#This Row],[ID]], Table4[ID], Table4[Teas], "Not Found", 0)</f>
        <v>1075</v>
      </c>
      <c r="L557" s="5">
        <f>_xlfn.XLOOKUP(CustomerCombined[[#This Row],[ID]], Table4[ID], Table4[Fruits], "Not Found", 0)</f>
        <v>200</v>
      </c>
      <c r="M557" s="5">
        <f>_xlfn.XLOOKUP(CustomerCombined[[#This Row],[ID]], Table4[ID], Table4[Meats], "Not Found", 0)</f>
        <v>851</v>
      </c>
      <c r="N557" s="5">
        <f>_xlfn.XLOOKUP(CustomerCombined[[#This Row],[ID]], Table4[ID], Table4[Seafood], "Not Found", 0)</f>
        <v>422</v>
      </c>
      <c r="O557" s="5">
        <f>_xlfn.XLOOKUP(CustomerCombined[[#This Row],[ID]], Table4[ID], Table4[Sweets], "Not Found", 0)</f>
        <v>24</v>
      </c>
      <c r="P557" s="5">
        <f>_xlfn.XLOOKUP(CustomerCombined[[#This Row],[ID]], Table4[ID], Table4[Premium], "Not Found", 0)</f>
        <v>524</v>
      </c>
      <c r="Q557" s="5">
        <f>_xlfn.XLOOKUP(CustomerCombined[[#This Row],[ID]], Table4[ID], Table4[Regular], "Not Found", 0)</f>
        <v>2047</v>
      </c>
      <c r="R557" s="5">
        <f>_xlfn.XLOOKUP(CustomerCombined[[#This Row],[ID]], Table4[ID], Table4[Deals], "Not Found", 0)</f>
        <v>1</v>
      </c>
      <c r="S557" s="5">
        <f>_xlfn.XLOOKUP(CustomerCombined[[#This Row],[ID]], Table4[ID], Table4[Website], "Not Found", 0)</f>
        <v>3</v>
      </c>
      <c r="T557" s="5">
        <f>_xlfn.XLOOKUP(CustomerCombined[[#This Row],[ID]], Table4[ID], Table4[Catalog], "Not Found", 0)</f>
        <v>4</v>
      </c>
      <c r="U557" s="5">
        <f>_xlfn.XLOOKUP(CustomerCombined[[#This Row],[ID]], Table4[ID], Table4[Store], "Not Found", 0)</f>
        <v>10</v>
      </c>
      <c r="V557" s="5">
        <f>_xlfn.XLOOKUP(CustomerCombined[[#This Row],[ID]], Table4[ID], Table4[Visits], "Not Found", 0)</f>
        <v>0</v>
      </c>
      <c r="W557" s="8">
        <f>_xlfn.XLOOKUP(CustomerCombined[[#This Row],[ID]], Table2[ID],Table2[Complaint], "Not Found", 0 )</f>
        <v>0</v>
      </c>
      <c r="X557" s="8">
        <f>_xlfn.XLOOKUP(CustomerCombined[[#This Row],[ID]], Table2[ID],Table2[Pilot], "Not Found", 0 )</f>
        <v>0</v>
      </c>
      <c r="Y557" s="8">
        <f>_xlfn.XLOOKUP(CustomerCombined[[#This Row],[ID]], Table2[ID],Table2[MC1], "Not Found", 0 )</f>
        <v>0</v>
      </c>
      <c r="Z557" s="8">
        <f>_xlfn.XLOOKUP(CustomerCombined[[#This Row],[ID]], Table2[ID],Table2[MC2], "Not Found", 0 )</f>
        <v>0</v>
      </c>
      <c r="AA557" s="8">
        <f>_xlfn.XLOOKUP(CustomerCombined[[#This Row],[ID]], Table2[ID],Table2[MC3], "Not Found", 0 )</f>
        <v>0</v>
      </c>
      <c r="AB557" s="8">
        <f>_xlfn.XLOOKUP(CustomerCombined[[#This Row],[ID]], Table2[ID],Table2[MC4], "Not Found", 0 )</f>
        <v>0</v>
      </c>
      <c r="AC557" s="8">
        <f>_xlfn.XLOOKUP(CustomerCombined[[#This Row],[ID]], Table2[ID],Table2[MC5], "Not Found", 0 )</f>
        <v>0</v>
      </c>
    </row>
    <row r="558" spans="1:29" x14ac:dyDescent="0.3">
      <c r="A558" s="6">
        <v>1050</v>
      </c>
      <c r="B558" s="6">
        <v>182582</v>
      </c>
      <c r="C558" s="6">
        <v>0</v>
      </c>
      <c r="D558" s="6">
        <v>0</v>
      </c>
      <c r="E558" s="6">
        <v>43</v>
      </c>
      <c r="F558" s="5" t="s">
        <v>5</v>
      </c>
      <c r="G558" s="5" t="s">
        <v>11</v>
      </c>
      <c r="H558" s="3">
        <v>44146</v>
      </c>
      <c r="I558" s="5" t="s">
        <v>436</v>
      </c>
      <c r="J558" s="5">
        <f>_xlfn.XLOOKUP(CustomerCombined[[#This Row],[ID]], Table4[ID], Table4[Recency], "Not Found", 0)</f>
        <v>54</v>
      </c>
      <c r="K558" s="5">
        <f>_xlfn.XLOOKUP(CustomerCombined[[#This Row],[ID]], Table4[ID], Table4[Teas], "Not Found", 0)</f>
        <v>1128</v>
      </c>
      <c r="L558" s="5">
        <f>_xlfn.XLOOKUP(CustomerCombined[[#This Row],[ID]], Table4[ID], Table4[Fruits], "Not Found", 0)</f>
        <v>265</v>
      </c>
      <c r="M558" s="5">
        <f>_xlfn.XLOOKUP(CustomerCombined[[#This Row],[ID]], Table4[ID], Table4[Meats], "Not Found", 0)</f>
        <v>1216</v>
      </c>
      <c r="N558" s="5">
        <f>_xlfn.XLOOKUP(CustomerCombined[[#This Row],[ID]], Table4[ID], Table4[Seafood], "Not Found", 0)</f>
        <v>345</v>
      </c>
      <c r="O558" s="5">
        <f>_xlfn.XLOOKUP(CustomerCombined[[#This Row],[ID]], Table4[ID], Table4[Sweets], "Not Found", 0)</f>
        <v>88</v>
      </c>
      <c r="P558" s="5">
        <f>_xlfn.XLOOKUP(CustomerCombined[[#This Row],[ID]], Table4[ID], Table4[Premium], "Not Found", 0)</f>
        <v>533</v>
      </c>
      <c r="Q558" s="5">
        <f>_xlfn.XLOOKUP(CustomerCombined[[#This Row],[ID]], Table4[ID], Table4[Regular], "Not Found", 0)</f>
        <v>2509</v>
      </c>
      <c r="R558" s="5">
        <f>_xlfn.XLOOKUP(CustomerCombined[[#This Row],[ID]], Table4[ID], Table4[Deals], "Not Found", 0)</f>
        <v>1</v>
      </c>
      <c r="S558" s="5">
        <f>_xlfn.XLOOKUP(CustomerCombined[[#This Row],[ID]], Table4[ID], Table4[Website], "Not Found", 0)</f>
        <v>4</v>
      </c>
      <c r="T558" s="5">
        <f>_xlfn.XLOOKUP(CustomerCombined[[#This Row],[ID]], Table4[ID], Table4[Catalog], "Not Found", 0)</f>
        <v>9</v>
      </c>
      <c r="U558" s="5">
        <f>_xlfn.XLOOKUP(CustomerCombined[[#This Row],[ID]], Table4[ID], Table4[Store], "Not Found", 0)</f>
        <v>7</v>
      </c>
      <c r="V558" s="5">
        <f>_xlfn.XLOOKUP(CustomerCombined[[#This Row],[ID]], Table4[ID], Table4[Visits], "Not Found", 0)</f>
        <v>1</v>
      </c>
      <c r="W558" s="8">
        <f>_xlfn.XLOOKUP(CustomerCombined[[#This Row],[ID]], Table2[ID],Table2[Complaint], "Not Found", 0 )</f>
        <v>0</v>
      </c>
      <c r="X558" s="8">
        <f>_xlfn.XLOOKUP(CustomerCombined[[#This Row],[ID]], Table2[ID],Table2[Pilot], "Not Found", 0 )</f>
        <v>1</v>
      </c>
      <c r="Y558" s="8">
        <f>_xlfn.XLOOKUP(CustomerCombined[[#This Row],[ID]], Table2[ID],Table2[MC1], "Not Found", 0 )</f>
        <v>1</v>
      </c>
      <c r="Z558" s="8">
        <f>_xlfn.XLOOKUP(CustomerCombined[[#This Row],[ID]], Table2[ID],Table2[MC2], "Not Found", 0 )</f>
        <v>0</v>
      </c>
      <c r="AA558" s="8">
        <f>_xlfn.XLOOKUP(CustomerCombined[[#This Row],[ID]], Table2[ID],Table2[MC3], "Not Found", 0 )</f>
        <v>1</v>
      </c>
      <c r="AB558" s="8">
        <f>_xlfn.XLOOKUP(CustomerCombined[[#This Row],[ID]], Table2[ID],Table2[MC4], "Not Found", 0 )</f>
        <v>0</v>
      </c>
      <c r="AC558" s="8">
        <f>_xlfn.XLOOKUP(CustomerCombined[[#This Row],[ID]], Table2[ID],Table2[MC5], "Not Found", 0 )</f>
        <v>0</v>
      </c>
    </row>
    <row r="559" spans="1:29" x14ac:dyDescent="0.3">
      <c r="A559" s="6">
        <v>2844</v>
      </c>
      <c r="B559" s="6">
        <v>182326</v>
      </c>
      <c r="C559" s="6">
        <v>0</v>
      </c>
      <c r="D559" s="6">
        <v>0</v>
      </c>
      <c r="E559" s="6">
        <v>43</v>
      </c>
      <c r="F559" s="5" t="s">
        <v>8</v>
      </c>
      <c r="G559" s="5" t="s">
        <v>442</v>
      </c>
      <c r="H559" s="3" t="s">
        <v>89</v>
      </c>
      <c r="I559" s="5" t="s">
        <v>436</v>
      </c>
      <c r="J559" s="5">
        <f>_xlfn.XLOOKUP(CustomerCombined[[#This Row],[ID]], Table4[ID], Table4[Recency], "Not Found", 0)</f>
        <v>30</v>
      </c>
      <c r="K559" s="5">
        <f>_xlfn.XLOOKUP(CustomerCombined[[#This Row],[ID]], Table4[ID], Table4[Teas], "Not Found", 0)</f>
        <v>2077</v>
      </c>
      <c r="L559" s="5">
        <f>_xlfn.XLOOKUP(CustomerCombined[[#This Row],[ID]], Table4[ID], Table4[Fruits], "Not Found", 0)</f>
        <v>314</v>
      </c>
      <c r="M559" s="5">
        <f>_xlfn.XLOOKUP(CustomerCombined[[#This Row],[ID]], Table4[ID], Table4[Meats], "Not Found", 0)</f>
        <v>1670</v>
      </c>
      <c r="N559" s="5">
        <f>_xlfn.XLOOKUP(CustomerCombined[[#This Row],[ID]], Table4[ID], Table4[Seafood], "Not Found", 0)</f>
        <v>352</v>
      </c>
      <c r="O559" s="5">
        <f>_xlfn.XLOOKUP(CustomerCombined[[#This Row],[ID]], Table4[ID], Table4[Sweets], "Not Found", 0)</f>
        <v>179</v>
      </c>
      <c r="P559" s="5">
        <f>_xlfn.XLOOKUP(CustomerCombined[[#This Row],[ID]], Table4[ID], Table4[Premium], "Not Found", 0)</f>
        <v>405</v>
      </c>
      <c r="Q559" s="5">
        <f>_xlfn.XLOOKUP(CustomerCombined[[#This Row],[ID]], Table4[ID], Table4[Regular], "Not Found", 0)</f>
        <v>4188</v>
      </c>
      <c r="R559" s="5">
        <f>_xlfn.XLOOKUP(CustomerCombined[[#This Row],[ID]], Table4[ID], Table4[Deals], "Not Found", 0)</f>
        <v>1</v>
      </c>
      <c r="S559" s="5">
        <f>_xlfn.XLOOKUP(CustomerCombined[[#This Row],[ID]], Table4[ID], Table4[Website], "Not Found", 0)</f>
        <v>5</v>
      </c>
      <c r="T559" s="5">
        <f>_xlfn.XLOOKUP(CustomerCombined[[#This Row],[ID]], Table4[ID], Table4[Catalog], "Not Found", 0)</f>
        <v>10</v>
      </c>
      <c r="U559" s="5">
        <f>_xlfn.XLOOKUP(CustomerCombined[[#This Row],[ID]], Table4[ID], Table4[Store], "Not Found", 0)</f>
        <v>6</v>
      </c>
      <c r="V559" s="5">
        <f>_xlfn.XLOOKUP(CustomerCombined[[#This Row],[ID]], Table4[ID], Table4[Visits], "Not Found", 0)</f>
        <v>2</v>
      </c>
      <c r="W559" s="8">
        <f>_xlfn.XLOOKUP(CustomerCombined[[#This Row],[ID]], Table2[ID],Table2[Complaint], "Not Found", 0 )</f>
        <v>0</v>
      </c>
      <c r="X559" s="8">
        <f>_xlfn.XLOOKUP(CustomerCombined[[#This Row],[ID]], Table2[ID],Table2[Pilot], "Not Found", 0 )</f>
        <v>1</v>
      </c>
      <c r="Y559" s="8">
        <f>_xlfn.XLOOKUP(CustomerCombined[[#This Row],[ID]], Table2[ID],Table2[MC1], "Not Found", 0 )</f>
        <v>1</v>
      </c>
      <c r="Z559" s="8">
        <f>_xlfn.XLOOKUP(CustomerCombined[[#This Row],[ID]], Table2[ID],Table2[MC2], "Not Found", 0 )</f>
        <v>0</v>
      </c>
      <c r="AA559" s="8">
        <f>_xlfn.XLOOKUP(CustomerCombined[[#This Row],[ID]], Table2[ID],Table2[MC3], "Not Found", 0 )</f>
        <v>0</v>
      </c>
      <c r="AB559" s="8">
        <f>_xlfn.XLOOKUP(CustomerCombined[[#This Row],[ID]], Table2[ID],Table2[MC4], "Not Found", 0 )</f>
        <v>1</v>
      </c>
      <c r="AC559" s="8">
        <f>_xlfn.XLOOKUP(CustomerCombined[[#This Row],[ID]], Table2[ID],Table2[MC5], "Not Found", 0 )</f>
        <v>1</v>
      </c>
    </row>
    <row r="560" spans="1:29" x14ac:dyDescent="0.3">
      <c r="A560" s="6">
        <v>1631</v>
      </c>
      <c r="B560" s="6">
        <v>178710</v>
      </c>
      <c r="C560" s="6">
        <v>0</v>
      </c>
      <c r="D560" s="6">
        <v>1</v>
      </c>
      <c r="E560" s="6">
        <v>43</v>
      </c>
      <c r="F560" s="5" t="s">
        <v>6</v>
      </c>
      <c r="G560" s="5" t="s">
        <v>12</v>
      </c>
      <c r="H560" s="3" t="s">
        <v>44</v>
      </c>
      <c r="I560" s="5" t="s">
        <v>434</v>
      </c>
      <c r="J560" s="5">
        <f>_xlfn.XLOOKUP(CustomerCombined[[#This Row],[ID]], Table4[ID], Table4[Recency], "Not Found", 0)</f>
        <v>42</v>
      </c>
      <c r="K560" s="5">
        <f>_xlfn.XLOOKUP(CustomerCombined[[#This Row],[ID]], Table4[ID], Table4[Teas], "Not Found", 0)</f>
        <v>1637</v>
      </c>
      <c r="L560" s="5">
        <f>_xlfn.XLOOKUP(CustomerCombined[[#This Row],[ID]], Table4[ID], Table4[Fruits], "Not Found", 0)</f>
        <v>0</v>
      </c>
      <c r="M560" s="5">
        <f>_xlfn.XLOOKUP(CustomerCombined[[#This Row],[ID]], Table4[ID], Table4[Meats], "Not Found", 0)</f>
        <v>345</v>
      </c>
      <c r="N560" s="5">
        <f>_xlfn.XLOOKUP(CustomerCombined[[#This Row],[ID]], Table4[ID], Table4[Seafood], "Not Found", 0)</f>
        <v>270</v>
      </c>
      <c r="O560" s="5">
        <f>_xlfn.XLOOKUP(CustomerCombined[[#This Row],[ID]], Table4[ID], Table4[Sweets], "Not Found", 0)</f>
        <v>114</v>
      </c>
      <c r="P560" s="5">
        <f>_xlfn.XLOOKUP(CustomerCombined[[#This Row],[ID]], Table4[ID], Table4[Premium], "Not Found", 0)</f>
        <v>114</v>
      </c>
      <c r="Q560" s="5">
        <f>_xlfn.XLOOKUP(CustomerCombined[[#This Row],[ID]], Table4[ID], Table4[Regular], "Not Found", 0)</f>
        <v>2252</v>
      </c>
      <c r="R560" s="5">
        <f>_xlfn.XLOOKUP(CustomerCombined[[#This Row],[ID]], Table4[ID], Table4[Deals], "Not Found", 0)</f>
        <v>3</v>
      </c>
      <c r="S560" s="5">
        <f>_xlfn.XLOOKUP(CustomerCombined[[#This Row],[ID]], Table4[ID], Table4[Website], "Not Found", 0)</f>
        <v>7</v>
      </c>
      <c r="T560" s="5">
        <f>_xlfn.XLOOKUP(CustomerCombined[[#This Row],[ID]], Table4[ID], Table4[Catalog], "Not Found", 0)</f>
        <v>6</v>
      </c>
      <c r="U560" s="5">
        <f>_xlfn.XLOOKUP(CustomerCombined[[#This Row],[ID]], Table4[ID], Table4[Store], "Not Found", 0)</f>
        <v>12</v>
      </c>
      <c r="V560" s="5">
        <f>_xlfn.XLOOKUP(CustomerCombined[[#This Row],[ID]], Table4[ID], Table4[Visits], "Not Found", 0)</f>
        <v>4</v>
      </c>
      <c r="W560" s="8">
        <f>_xlfn.XLOOKUP(CustomerCombined[[#This Row],[ID]], Table2[ID],Table2[Complaint], "Not Found", 0 )</f>
        <v>0</v>
      </c>
      <c r="X560" s="8">
        <f>_xlfn.XLOOKUP(CustomerCombined[[#This Row],[ID]], Table2[ID],Table2[Pilot], "Not Found", 0 )</f>
        <v>0</v>
      </c>
      <c r="Y560" s="8">
        <f>_xlfn.XLOOKUP(CustomerCombined[[#This Row],[ID]], Table2[ID],Table2[MC1], "Not Found", 0 )</f>
        <v>0</v>
      </c>
      <c r="Z560" s="8">
        <f>_xlfn.XLOOKUP(CustomerCombined[[#This Row],[ID]], Table2[ID],Table2[MC2], "Not Found", 0 )</f>
        <v>0</v>
      </c>
      <c r="AA560" s="8">
        <f>_xlfn.XLOOKUP(CustomerCombined[[#This Row],[ID]], Table2[ID],Table2[MC3], "Not Found", 0 )</f>
        <v>0</v>
      </c>
      <c r="AB560" s="8">
        <f>_xlfn.XLOOKUP(CustomerCombined[[#This Row],[ID]], Table2[ID],Table2[MC4], "Not Found", 0 )</f>
        <v>0</v>
      </c>
      <c r="AC560" s="8">
        <f>_xlfn.XLOOKUP(CustomerCombined[[#This Row],[ID]], Table2[ID],Table2[MC5], "Not Found", 0 )</f>
        <v>0</v>
      </c>
    </row>
    <row r="561" spans="1:29" x14ac:dyDescent="0.3">
      <c r="A561" s="6">
        <v>3011</v>
      </c>
      <c r="B561" s="6">
        <v>175330</v>
      </c>
      <c r="C561" s="6">
        <v>1</v>
      </c>
      <c r="D561" s="6">
        <v>1</v>
      </c>
      <c r="E561" s="6">
        <v>43</v>
      </c>
      <c r="F561" s="5" t="s">
        <v>6</v>
      </c>
      <c r="G561" s="5" t="s">
        <v>11</v>
      </c>
      <c r="H561" s="3">
        <v>43772</v>
      </c>
      <c r="I561" s="5" t="s">
        <v>434</v>
      </c>
      <c r="J561" s="5">
        <f>_xlfn.XLOOKUP(CustomerCombined[[#This Row],[ID]], Table4[ID], Table4[Recency], "Not Found", 0)</f>
        <v>94</v>
      </c>
      <c r="K561" s="5">
        <f>_xlfn.XLOOKUP(CustomerCombined[[#This Row],[ID]], Table4[ID], Table4[Teas], "Not Found", 0)</f>
        <v>1292</v>
      </c>
      <c r="L561" s="5">
        <f>_xlfn.XLOOKUP(CustomerCombined[[#This Row],[ID]], Table4[ID], Table4[Fruits], "Not Found", 0)</f>
        <v>191</v>
      </c>
      <c r="M561" s="5">
        <f>_xlfn.XLOOKUP(CustomerCombined[[#This Row],[ID]], Table4[ID], Table4[Meats], "Not Found", 0)</f>
        <v>598</v>
      </c>
      <c r="N561" s="5">
        <f>_xlfn.XLOOKUP(CustomerCombined[[#This Row],[ID]], Table4[ID], Table4[Seafood], "Not Found", 0)</f>
        <v>216</v>
      </c>
      <c r="O561" s="5">
        <f>_xlfn.XLOOKUP(CustomerCombined[[#This Row],[ID]], Table4[ID], Table4[Sweets], "Not Found", 0)</f>
        <v>142</v>
      </c>
      <c r="P561" s="5">
        <f>_xlfn.XLOOKUP(CustomerCombined[[#This Row],[ID]], Table4[ID], Table4[Premium], "Not Found", 0)</f>
        <v>142</v>
      </c>
      <c r="Q561" s="5">
        <f>_xlfn.XLOOKUP(CustomerCombined[[#This Row],[ID]], Table4[ID], Table4[Regular], "Not Found", 0)</f>
        <v>2297</v>
      </c>
      <c r="R561" s="5">
        <f>_xlfn.XLOOKUP(CustomerCombined[[#This Row],[ID]], Table4[ID], Table4[Deals], "Not Found", 0)</f>
        <v>4</v>
      </c>
      <c r="S561" s="5">
        <f>_xlfn.XLOOKUP(CustomerCombined[[#This Row],[ID]], Table4[ID], Table4[Website], "Not Found", 0)</f>
        <v>10</v>
      </c>
      <c r="T561" s="5">
        <f>_xlfn.XLOOKUP(CustomerCombined[[#This Row],[ID]], Table4[ID], Table4[Catalog], "Not Found", 0)</f>
        <v>3</v>
      </c>
      <c r="U561" s="5">
        <f>_xlfn.XLOOKUP(CustomerCombined[[#This Row],[ID]], Table4[ID], Table4[Store], "Not Found", 0)</f>
        <v>12</v>
      </c>
      <c r="V561" s="5">
        <f>_xlfn.XLOOKUP(CustomerCombined[[#This Row],[ID]], Table4[ID], Table4[Visits], "Not Found", 0)</f>
        <v>6</v>
      </c>
      <c r="W561" s="8">
        <f>_xlfn.XLOOKUP(CustomerCombined[[#This Row],[ID]], Table2[ID],Table2[Complaint], "Not Found", 0 )</f>
        <v>0</v>
      </c>
      <c r="X561" s="8">
        <f>_xlfn.XLOOKUP(CustomerCombined[[#This Row],[ID]], Table2[ID],Table2[Pilot], "Not Found", 0 )</f>
        <v>0</v>
      </c>
      <c r="Y561" s="8">
        <f>_xlfn.XLOOKUP(CustomerCombined[[#This Row],[ID]], Table2[ID],Table2[MC1], "Not Found", 0 )</f>
        <v>0</v>
      </c>
      <c r="Z561" s="8">
        <f>_xlfn.XLOOKUP(CustomerCombined[[#This Row],[ID]], Table2[ID],Table2[MC2], "Not Found", 0 )</f>
        <v>0</v>
      </c>
      <c r="AA561" s="8">
        <f>_xlfn.XLOOKUP(CustomerCombined[[#This Row],[ID]], Table2[ID],Table2[MC3], "Not Found", 0 )</f>
        <v>0</v>
      </c>
      <c r="AB561" s="8">
        <f>_xlfn.XLOOKUP(CustomerCombined[[#This Row],[ID]], Table2[ID],Table2[MC4], "Not Found", 0 )</f>
        <v>0</v>
      </c>
      <c r="AC561" s="8">
        <f>_xlfn.XLOOKUP(CustomerCombined[[#This Row],[ID]], Table2[ID],Table2[MC5], "Not Found", 0 )</f>
        <v>0</v>
      </c>
    </row>
    <row r="562" spans="1:29" x14ac:dyDescent="0.3">
      <c r="A562" s="6">
        <v>1747</v>
      </c>
      <c r="B562" s="6">
        <v>174985</v>
      </c>
      <c r="C562" s="6">
        <v>0</v>
      </c>
      <c r="D562" s="6">
        <v>0</v>
      </c>
      <c r="E562" s="6">
        <v>43</v>
      </c>
      <c r="F562" s="5" t="s">
        <v>6</v>
      </c>
      <c r="G562" s="5" t="s">
        <v>11</v>
      </c>
      <c r="H562" s="3" t="s">
        <v>398</v>
      </c>
      <c r="I562" s="5" t="s">
        <v>437</v>
      </c>
      <c r="J562" s="5">
        <f>_xlfn.XLOOKUP(CustomerCombined[[#This Row],[ID]], Table4[ID], Table4[Recency], "Not Found", 0)</f>
        <v>8</v>
      </c>
      <c r="K562" s="5">
        <f>_xlfn.XLOOKUP(CustomerCombined[[#This Row],[ID]], Table4[ID], Table4[Teas], "Not Found", 0)</f>
        <v>1370</v>
      </c>
      <c r="L562" s="5">
        <f>_xlfn.XLOOKUP(CustomerCombined[[#This Row],[ID]], Table4[ID], Table4[Fruits], "Not Found", 0)</f>
        <v>119</v>
      </c>
      <c r="M562" s="5">
        <f>_xlfn.XLOOKUP(CustomerCombined[[#This Row],[ID]], Table4[ID], Table4[Meats], "Not Found", 0)</f>
        <v>2096</v>
      </c>
      <c r="N562" s="5">
        <f>_xlfn.XLOOKUP(CustomerCombined[[#This Row],[ID]], Table4[ID], Table4[Seafood], "Not Found", 0)</f>
        <v>576</v>
      </c>
      <c r="O562" s="5">
        <f>_xlfn.XLOOKUP(CustomerCombined[[#This Row],[ID]], Table4[ID], Table4[Sweets], "Not Found", 0)</f>
        <v>0</v>
      </c>
      <c r="P562" s="5">
        <f>_xlfn.XLOOKUP(CustomerCombined[[#This Row],[ID]], Table4[ID], Table4[Premium], "Not Found", 0)</f>
        <v>201</v>
      </c>
      <c r="Q562" s="5">
        <f>_xlfn.XLOOKUP(CustomerCombined[[#This Row],[ID]], Table4[ID], Table4[Regular], "Not Found", 0)</f>
        <v>3960</v>
      </c>
      <c r="R562" s="5">
        <f>_xlfn.XLOOKUP(CustomerCombined[[#This Row],[ID]], Table4[ID], Table4[Deals], "Not Found", 0)</f>
        <v>1</v>
      </c>
      <c r="S562" s="5">
        <f>_xlfn.XLOOKUP(CustomerCombined[[#This Row],[ID]], Table4[ID], Table4[Website], "Not Found", 0)</f>
        <v>3</v>
      </c>
      <c r="T562" s="5">
        <f>_xlfn.XLOOKUP(CustomerCombined[[#This Row],[ID]], Table4[ID], Table4[Catalog], "Not Found", 0)</f>
        <v>6</v>
      </c>
      <c r="U562" s="5">
        <f>_xlfn.XLOOKUP(CustomerCombined[[#This Row],[ID]], Table4[ID], Table4[Store], "Not Found", 0)</f>
        <v>7</v>
      </c>
      <c r="V562" s="5">
        <f>_xlfn.XLOOKUP(CustomerCombined[[#This Row],[ID]], Table4[ID], Table4[Visits], "Not Found", 0)</f>
        <v>2</v>
      </c>
      <c r="W562" s="8">
        <f>_xlfn.XLOOKUP(CustomerCombined[[#This Row],[ID]], Table2[ID],Table2[Complaint], "Not Found", 0 )</f>
        <v>0</v>
      </c>
      <c r="X562" s="8">
        <f>_xlfn.XLOOKUP(CustomerCombined[[#This Row],[ID]], Table2[ID],Table2[Pilot], "Not Found", 0 )</f>
        <v>0</v>
      </c>
      <c r="Y562" s="8">
        <f>_xlfn.XLOOKUP(CustomerCombined[[#This Row],[ID]], Table2[ID],Table2[MC1], "Not Found", 0 )</f>
        <v>0</v>
      </c>
      <c r="Z562" s="8">
        <f>_xlfn.XLOOKUP(CustomerCombined[[#This Row],[ID]], Table2[ID],Table2[MC2], "Not Found", 0 )</f>
        <v>0</v>
      </c>
      <c r="AA562" s="8">
        <f>_xlfn.XLOOKUP(CustomerCombined[[#This Row],[ID]], Table2[ID],Table2[MC3], "Not Found", 0 )</f>
        <v>0</v>
      </c>
      <c r="AB562" s="8">
        <f>_xlfn.XLOOKUP(CustomerCombined[[#This Row],[ID]], Table2[ID],Table2[MC4], "Not Found", 0 )</f>
        <v>0</v>
      </c>
      <c r="AC562" s="8">
        <f>_xlfn.XLOOKUP(CustomerCombined[[#This Row],[ID]], Table2[ID],Table2[MC5], "Not Found", 0 )</f>
        <v>0</v>
      </c>
    </row>
    <row r="563" spans="1:29" x14ac:dyDescent="0.3">
      <c r="A563" s="6">
        <v>2738</v>
      </c>
      <c r="B563" s="6">
        <v>172117</v>
      </c>
      <c r="C563" s="6">
        <v>0</v>
      </c>
      <c r="D563" s="6">
        <v>1</v>
      </c>
      <c r="E563" s="6">
        <v>43</v>
      </c>
      <c r="F563" s="5" t="s">
        <v>6</v>
      </c>
      <c r="G563" s="5" t="s">
        <v>11</v>
      </c>
      <c r="H563" s="3" t="s">
        <v>197</v>
      </c>
      <c r="I563" s="5" t="s">
        <v>438</v>
      </c>
      <c r="J563" s="5">
        <f>_xlfn.XLOOKUP(CustomerCombined[[#This Row],[ID]], Table4[ID], Table4[Recency], "Not Found", 0)</f>
        <v>34</v>
      </c>
      <c r="K563" s="5">
        <f>_xlfn.XLOOKUP(CustomerCombined[[#This Row],[ID]], Table4[ID], Table4[Teas], "Not Found", 0)</f>
        <v>1687</v>
      </c>
      <c r="L563" s="5">
        <f>_xlfn.XLOOKUP(CustomerCombined[[#This Row],[ID]], Table4[ID], Table4[Fruits], "Not Found", 0)</f>
        <v>48</v>
      </c>
      <c r="M563" s="5">
        <f>_xlfn.XLOOKUP(CustomerCombined[[#This Row],[ID]], Table4[ID], Table4[Meats], "Not Found", 0)</f>
        <v>408</v>
      </c>
      <c r="N563" s="5">
        <f>_xlfn.XLOOKUP(CustomerCombined[[#This Row],[ID]], Table4[ID], Table4[Seafood], "Not Found", 0)</f>
        <v>155</v>
      </c>
      <c r="O563" s="5">
        <f>_xlfn.XLOOKUP(CustomerCombined[[#This Row],[ID]], Table4[ID], Table4[Sweets], "Not Found", 0)</f>
        <v>143</v>
      </c>
      <c r="P563" s="5">
        <f>_xlfn.XLOOKUP(CustomerCombined[[#This Row],[ID]], Table4[ID], Table4[Premium], "Not Found", 0)</f>
        <v>119</v>
      </c>
      <c r="Q563" s="5">
        <f>_xlfn.XLOOKUP(CustomerCombined[[#This Row],[ID]], Table4[ID], Table4[Regular], "Not Found", 0)</f>
        <v>2322</v>
      </c>
      <c r="R563" s="5">
        <f>_xlfn.XLOOKUP(CustomerCombined[[#This Row],[ID]], Table4[ID], Table4[Deals], "Not Found", 0)</f>
        <v>1</v>
      </c>
      <c r="S563" s="5">
        <f>_xlfn.XLOOKUP(CustomerCombined[[#This Row],[ID]], Table4[ID], Table4[Website], "Not Found", 0)</f>
        <v>9</v>
      </c>
      <c r="T563" s="5">
        <f>_xlfn.XLOOKUP(CustomerCombined[[#This Row],[ID]], Table4[ID], Table4[Catalog], "Not Found", 0)</f>
        <v>7</v>
      </c>
      <c r="U563" s="5">
        <f>_xlfn.XLOOKUP(CustomerCombined[[#This Row],[ID]], Table4[ID], Table4[Store], "Not Found", 0)</f>
        <v>9</v>
      </c>
      <c r="V563" s="5">
        <f>_xlfn.XLOOKUP(CustomerCombined[[#This Row],[ID]], Table4[ID], Table4[Visits], "Not Found", 0)</f>
        <v>5</v>
      </c>
      <c r="W563" s="8">
        <f>_xlfn.XLOOKUP(CustomerCombined[[#This Row],[ID]], Table2[ID],Table2[Complaint], "Not Found", 0 )</f>
        <v>0</v>
      </c>
      <c r="X563" s="8">
        <f>_xlfn.XLOOKUP(CustomerCombined[[#This Row],[ID]], Table2[ID],Table2[Pilot], "Not Found", 0 )</f>
        <v>0</v>
      </c>
      <c r="Y563" s="8">
        <f>_xlfn.XLOOKUP(CustomerCombined[[#This Row],[ID]], Table2[ID],Table2[MC1], "Not Found", 0 )</f>
        <v>0</v>
      </c>
      <c r="Z563" s="8">
        <f>_xlfn.XLOOKUP(CustomerCombined[[#This Row],[ID]], Table2[ID],Table2[MC2], "Not Found", 0 )</f>
        <v>0</v>
      </c>
      <c r="AA563" s="8">
        <f>_xlfn.XLOOKUP(CustomerCombined[[#This Row],[ID]], Table2[ID],Table2[MC3], "Not Found", 0 )</f>
        <v>0</v>
      </c>
      <c r="AB563" s="8">
        <f>_xlfn.XLOOKUP(CustomerCombined[[#This Row],[ID]], Table2[ID],Table2[MC4], "Not Found", 0 )</f>
        <v>0</v>
      </c>
      <c r="AC563" s="8">
        <f>_xlfn.XLOOKUP(CustomerCombined[[#This Row],[ID]], Table2[ID],Table2[MC5], "Not Found", 0 )</f>
        <v>0</v>
      </c>
    </row>
    <row r="564" spans="1:29" x14ac:dyDescent="0.3">
      <c r="A564" s="6">
        <v>2582</v>
      </c>
      <c r="B564" s="6">
        <v>171855</v>
      </c>
      <c r="C564" s="6">
        <v>0</v>
      </c>
      <c r="D564" s="6">
        <v>1</v>
      </c>
      <c r="E564" s="6">
        <v>43</v>
      </c>
      <c r="F564" s="5" t="s">
        <v>6</v>
      </c>
      <c r="G564" s="5" t="s">
        <v>11</v>
      </c>
      <c r="H564" s="3" t="s">
        <v>324</v>
      </c>
      <c r="I564" s="5" t="s">
        <v>438</v>
      </c>
      <c r="J564" s="5">
        <f>_xlfn.XLOOKUP(CustomerCombined[[#This Row],[ID]], Table4[ID], Table4[Recency], "Not Found", 0)</f>
        <v>59</v>
      </c>
      <c r="K564" s="5">
        <f>_xlfn.XLOOKUP(CustomerCombined[[#This Row],[ID]], Table4[ID], Table4[Teas], "Not Found", 0)</f>
        <v>1311</v>
      </c>
      <c r="L564" s="5">
        <f>_xlfn.XLOOKUP(CustomerCombined[[#This Row],[ID]], Table4[ID], Table4[Fruits], "Not Found", 0)</f>
        <v>74</v>
      </c>
      <c r="M564" s="5">
        <f>_xlfn.XLOOKUP(CustomerCombined[[#This Row],[ID]], Table4[ID], Table4[Meats], "Not Found", 0)</f>
        <v>1009</v>
      </c>
      <c r="N564" s="5">
        <f>_xlfn.XLOOKUP(CustomerCombined[[#This Row],[ID]], Table4[ID], Table4[Seafood], "Not Found", 0)</f>
        <v>0</v>
      </c>
      <c r="O564" s="5">
        <f>_xlfn.XLOOKUP(CustomerCombined[[#This Row],[ID]], Table4[ID], Table4[Sweets], "Not Found", 0)</f>
        <v>268</v>
      </c>
      <c r="P564" s="5">
        <f>_xlfn.XLOOKUP(CustomerCombined[[#This Row],[ID]], Table4[ID], Table4[Premium], "Not Found", 0)</f>
        <v>67</v>
      </c>
      <c r="Q564" s="5">
        <f>_xlfn.XLOOKUP(CustomerCombined[[#This Row],[ID]], Table4[ID], Table4[Regular], "Not Found", 0)</f>
        <v>2595</v>
      </c>
      <c r="R564" s="5">
        <f>_xlfn.XLOOKUP(CustomerCombined[[#This Row],[ID]], Table4[ID], Table4[Deals], "Not Found", 0)</f>
        <v>4</v>
      </c>
      <c r="S564" s="5">
        <f>_xlfn.XLOOKUP(CustomerCombined[[#This Row],[ID]], Table4[ID], Table4[Website], "Not Found", 0)</f>
        <v>5</v>
      </c>
      <c r="T564" s="5">
        <f>_xlfn.XLOOKUP(CustomerCombined[[#This Row],[ID]], Table4[ID], Table4[Catalog], "Not Found", 0)</f>
        <v>5</v>
      </c>
      <c r="U564" s="5">
        <f>_xlfn.XLOOKUP(CustomerCombined[[#This Row],[ID]], Table4[ID], Table4[Store], "Not Found", 0)</f>
        <v>11</v>
      </c>
      <c r="V564" s="5">
        <f>_xlfn.XLOOKUP(CustomerCombined[[#This Row],[ID]], Table4[ID], Table4[Visits], "Not Found", 0)</f>
        <v>3</v>
      </c>
      <c r="W564" s="8">
        <f>_xlfn.XLOOKUP(CustomerCombined[[#This Row],[ID]], Table2[ID],Table2[Complaint], "Not Found", 0 )</f>
        <v>0</v>
      </c>
      <c r="X564" s="8">
        <f>_xlfn.XLOOKUP(CustomerCombined[[#This Row],[ID]], Table2[ID],Table2[Pilot], "Not Found", 0 )</f>
        <v>0</v>
      </c>
      <c r="Y564" s="8">
        <f>_xlfn.XLOOKUP(CustomerCombined[[#This Row],[ID]], Table2[ID],Table2[MC1], "Not Found", 0 )</f>
        <v>0</v>
      </c>
      <c r="Z564" s="8">
        <f>_xlfn.XLOOKUP(CustomerCombined[[#This Row],[ID]], Table2[ID],Table2[MC2], "Not Found", 0 )</f>
        <v>0</v>
      </c>
      <c r="AA564" s="8">
        <f>_xlfn.XLOOKUP(CustomerCombined[[#This Row],[ID]], Table2[ID],Table2[MC3], "Not Found", 0 )</f>
        <v>0</v>
      </c>
      <c r="AB564" s="8">
        <f>_xlfn.XLOOKUP(CustomerCombined[[#This Row],[ID]], Table2[ID],Table2[MC4], "Not Found", 0 )</f>
        <v>0</v>
      </c>
      <c r="AC564" s="8">
        <f>_xlfn.XLOOKUP(CustomerCombined[[#This Row],[ID]], Table2[ID],Table2[MC5], "Not Found", 0 )</f>
        <v>0</v>
      </c>
    </row>
    <row r="565" spans="1:29" x14ac:dyDescent="0.3">
      <c r="A565" s="6">
        <v>2386</v>
      </c>
      <c r="B565" s="6">
        <v>169389</v>
      </c>
      <c r="C565" s="6">
        <v>0</v>
      </c>
      <c r="D565" s="6">
        <v>1</v>
      </c>
      <c r="E565" s="6">
        <v>43</v>
      </c>
      <c r="F565" s="5" t="s">
        <v>6</v>
      </c>
      <c r="G565" s="5" t="s">
        <v>13</v>
      </c>
      <c r="H565" s="3">
        <v>43588</v>
      </c>
      <c r="I565" s="5" t="s">
        <v>439</v>
      </c>
      <c r="J565" s="5">
        <f>_xlfn.XLOOKUP(CustomerCombined[[#This Row],[ID]], Table4[ID], Table4[Recency], "Not Found", 0)</f>
        <v>17</v>
      </c>
      <c r="K565" s="5">
        <f>_xlfn.XLOOKUP(CustomerCombined[[#This Row],[ID]], Table4[ID], Table4[Teas], "Not Found", 0)</f>
        <v>1030</v>
      </c>
      <c r="L565" s="5">
        <f>_xlfn.XLOOKUP(CustomerCombined[[#This Row],[ID]], Table4[ID], Table4[Fruits], "Not Found", 0)</f>
        <v>17</v>
      </c>
      <c r="M565" s="5">
        <f>_xlfn.XLOOKUP(CustomerCombined[[#This Row],[ID]], Table4[ID], Table4[Meats], "Not Found", 0)</f>
        <v>581</v>
      </c>
      <c r="N565" s="5">
        <f>_xlfn.XLOOKUP(CustomerCombined[[#This Row],[ID]], Table4[ID], Table4[Seafood], "Not Found", 0)</f>
        <v>168</v>
      </c>
      <c r="O565" s="5">
        <f>_xlfn.XLOOKUP(CustomerCombined[[#This Row],[ID]], Table4[ID], Table4[Sweets], "Not Found", 0)</f>
        <v>112</v>
      </c>
      <c r="P565" s="5">
        <f>_xlfn.XLOOKUP(CustomerCombined[[#This Row],[ID]], Table4[ID], Table4[Premium], "Not Found", 0)</f>
        <v>37</v>
      </c>
      <c r="Q565" s="5">
        <f>_xlfn.XLOOKUP(CustomerCombined[[#This Row],[ID]], Table4[ID], Table4[Regular], "Not Found", 0)</f>
        <v>1872</v>
      </c>
      <c r="R565" s="5">
        <f>_xlfn.XLOOKUP(CustomerCombined[[#This Row],[ID]], Table4[ID], Table4[Deals], "Not Found", 0)</f>
        <v>1</v>
      </c>
      <c r="S565" s="5">
        <f>_xlfn.XLOOKUP(CustomerCombined[[#This Row],[ID]], Table4[ID], Table4[Website], "Not Found", 0)</f>
        <v>7</v>
      </c>
      <c r="T565" s="5">
        <f>_xlfn.XLOOKUP(CustomerCombined[[#This Row],[ID]], Table4[ID], Table4[Catalog], "Not Found", 0)</f>
        <v>2</v>
      </c>
      <c r="U565" s="5">
        <f>_xlfn.XLOOKUP(CustomerCombined[[#This Row],[ID]], Table4[ID], Table4[Store], "Not Found", 0)</f>
        <v>12</v>
      </c>
      <c r="V565" s="5">
        <f>_xlfn.XLOOKUP(CustomerCombined[[#This Row],[ID]], Table4[ID], Table4[Visits], "Not Found", 0)</f>
        <v>4</v>
      </c>
      <c r="W565" s="8">
        <f>_xlfn.XLOOKUP(CustomerCombined[[#This Row],[ID]], Table2[ID],Table2[Complaint], "Not Found", 0 )</f>
        <v>0</v>
      </c>
      <c r="X565" s="8">
        <f>_xlfn.XLOOKUP(CustomerCombined[[#This Row],[ID]], Table2[ID],Table2[Pilot], "Not Found", 0 )</f>
        <v>0</v>
      </c>
      <c r="Y565" s="8">
        <f>_xlfn.XLOOKUP(CustomerCombined[[#This Row],[ID]], Table2[ID],Table2[MC1], "Not Found", 0 )</f>
        <v>0</v>
      </c>
      <c r="Z565" s="8">
        <f>_xlfn.XLOOKUP(CustomerCombined[[#This Row],[ID]], Table2[ID],Table2[MC2], "Not Found", 0 )</f>
        <v>0</v>
      </c>
      <c r="AA565" s="8">
        <f>_xlfn.XLOOKUP(CustomerCombined[[#This Row],[ID]], Table2[ID],Table2[MC3], "Not Found", 0 )</f>
        <v>0</v>
      </c>
      <c r="AB565" s="8">
        <f>_xlfn.XLOOKUP(CustomerCombined[[#This Row],[ID]], Table2[ID],Table2[MC4], "Not Found", 0 )</f>
        <v>0</v>
      </c>
      <c r="AC565" s="8">
        <f>_xlfn.XLOOKUP(CustomerCombined[[#This Row],[ID]], Table2[ID],Table2[MC5], "Not Found", 0 )</f>
        <v>0</v>
      </c>
    </row>
    <row r="566" spans="1:29" x14ac:dyDescent="0.3">
      <c r="A566" s="6">
        <v>1559</v>
      </c>
      <c r="B566" s="6">
        <v>161996</v>
      </c>
      <c r="C566" s="6">
        <v>0</v>
      </c>
      <c r="D566" s="6">
        <v>1</v>
      </c>
      <c r="E566" s="6">
        <v>43</v>
      </c>
      <c r="F566" s="5" t="s">
        <v>6</v>
      </c>
      <c r="G566" s="5" t="s">
        <v>13</v>
      </c>
      <c r="H566" s="3">
        <v>43684</v>
      </c>
      <c r="I566" s="5" t="s">
        <v>434</v>
      </c>
      <c r="J566" s="5">
        <f>_xlfn.XLOOKUP(CustomerCombined[[#This Row],[ID]], Table4[ID], Table4[Recency], "Not Found", 0)</f>
        <v>27</v>
      </c>
      <c r="K566" s="5">
        <f>_xlfn.XLOOKUP(CustomerCombined[[#This Row],[ID]], Table4[ID], Table4[Teas], "Not Found", 0)</f>
        <v>2744</v>
      </c>
      <c r="L566" s="5">
        <f>_xlfn.XLOOKUP(CustomerCombined[[#This Row],[ID]], Table4[ID], Table4[Fruits], "Not Found", 0)</f>
        <v>31</v>
      </c>
      <c r="M566" s="5">
        <f>_xlfn.XLOOKUP(CustomerCombined[[#This Row],[ID]], Table4[ID], Table4[Meats], "Not Found", 0)</f>
        <v>376</v>
      </c>
      <c r="N566" s="5">
        <f>_xlfn.XLOOKUP(CustomerCombined[[#This Row],[ID]], Table4[ID], Table4[Seafood], "Not Found", 0)</f>
        <v>0</v>
      </c>
      <c r="O566" s="5">
        <f>_xlfn.XLOOKUP(CustomerCombined[[#This Row],[ID]], Table4[ID], Table4[Sweets], "Not Found", 0)</f>
        <v>0</v>
      </c>
      <c r="P566" s="5">
        <f>_xlfn.XLOOKUP(CustomerCombined[[#This Row],[ID]], Table4[ID], Table4[Premium], "Not Found", 0)</f>
        <v>63</v>
      </c>
      <c r="Q566" s="5">
        <f>_xlfn.XLOOKUP(CustomerCombined[[#This Row],[ID]], Table4[ID], Table4[Regular], "Not Found", 0)</f>
        <v>3089</v>
      </c>
      <c r="R566" s="5">
        <f>_xlfn.XLOOKUP(CustomerCombined[[#This Row],[ID]], Table4[ID], Table4[Deals], "Not Found", 0)</f>
        <v>3</v>
      </c>
      <c r="S566" s="5">
        <f>_xlfn.XLOOKUP(CustomerCombined[[#This Row],[ID]], Table4[ID], Table4[Website], "Not Found", 0)</f>
        <v>6</v>
      </c>
      <c r="T566" s="5">
        <f>_xlfn.XLOOKUP(CustomerCombined[[#This Row],[ID]], Table4[ID], Table4[Catalog], "Not Found", 0)</f>
        <v>4</v>
      </c>
      <c r="U566" s="5">
        <f>_xlfn.XLOOKUP(CustomerCombined[[#This Row],[ID]], Table4[ID], Table4[Store], "Not Found", 0)</f>
        <v>8</v>
      </c>
      <c r="V566" s="5">
        <f>_xlfn.XLOOKUP(CustomerCombined[[#This Row],[ID]], Table4[ID], Table4[Visits], "Not Found", 0)</f>
        <v>5</v>
      </c>
      <c r="W566" s="8">
        <f>_xlfn.XLOOKUP(CustomerCombined[[#This Row],[ID]], Table2[ID],Table2[Complaint], "Not Found", 0 )</f>
        <v>0</v>
      </c>
      <c r="X566" s="8">
        <f>_xlfn.XLOOKUP(CustomerCombined[[#This Row],[ID]], Table2[ID],Table2[Pilot], "Not Found", 0 )</f>
        <v>1</v>
      </c>
      <c r="Y566" s="8">
        <f>_xlfn.XLOOKUP(CustomerCombined[[#This Row],[ID]], Table2[ID],Table2[MC1], "Not Found", 0 )</f>
        <v>1</v>
      </c>
      <c r="Z566" s="8">
        <f>_xlfn.XLOOKUP(CustomerCombined[[#This Row],[ID]], Table2[ID],Table2[MC2], "Not Found", 0 )</f>
        <v>1</v>
      </c>
      <c r="AA566" s="8">
        <f>_xlfn.XLOOKUP(CustomerCombined[[#This Row],[ID]], Table2[ID],Table2[MC3], "Not Found", 0 )</f>
        <v>0</v>
      </c>
      <c r="AB566" s="8">
        <f>_xlfn.XLOOKUP(CustomerCombined[[#This Row],[ID]], Table2[ID],Table2[MC4], "Not Found", 0 )</f>
        <v>1</v>
      </c>
      <c r="AC566" s="8">
        <f>_xlfn.XLOOKUP(CustomerCombined[[#This Row],[ID]], Table2[ID],Table2[MC5], "Not Found", 0 )</f>
        <v>0</v>
      </c>
    </row>
    <row r="567" spans="1:29" x14ac:dyDescent="0.3">
      <c r="A567" s="6">
        <v>2344</v>
      </c>
      <c r="B567" s="6">
        <v>159601</v>
      </c>
      <c r="C567" s="6">
        <v>0</v>
      </c>
      <c r="D567" s="6">
        <v>1</v>
      </c>
      <c r="E567" s="6">
        <v>43</v>
      </c>
      <c r="F567" s="5" t="s">
        <v>5</v>
      </c>
      <c r="G567" s="5" t="s">
        <v>442</v>
      </c>
      <c r="H567" s="3" t="s">
        <v>211</v>
      </c>
      <c r="I567" s="5" t="s">
        <v>439</v>
      </c>
      <c r="J567" s="5">
        <f>_xlfn.XLOOKUP(CustomerCombined[[#This Row],[ID]], Table4[ID], Table4[Recency], "Not Found", 0)</f>
        <v>14</v>
      </c>
      <c r="K567" s="5">
        <f>_xlfn.XLOOKUP(CustomerCombined[[#This Row],[ID]], Table4[ID], Table4[Teas], "Not Found", 0)</f>
        <v>1850</v>
      </c>
      <c r="L567" s="5">
        <f>_xlfn.XLOOKUP(CustomerCombined[[#This Row],[ID]], Table4[ID], Table4[Fruits], "Not Found", 0)</f>
        <v>19</v>
      </c>
      <c r="M567" s="5">
        <f>_xlfn.XLOOKUP(CustomerCombined[[#This Row],[ID]], Table4[ID], Table4[Meats], "Not Found", 0)</f>
        <v>185</v>
      </c>
      <c r="N567" s="5">
        <f>_xlfn.XLOOKUP(CustomerCombined[[#This Row],[ID]], Table4[ID], Table4[Seafood], "Not Found", 0)</f>
        <v>0</v>
      </c>
      <c r="O567" s="5">
        <f>_xlfn.XLOOKUP(CustomerCombined[[#This Row],[ID]], Table4[ID], Table4[Sweets], "Not Found", 0)</f>
        <v>19</v>
      </c>
      <c r="P567" s="5">
        <f>_xlfn.XLOOKUP(CustomerCombined[[#This Row],[ID]], Table4[ID], Table4[Premium], "Not Found", 0)</f>
        <v>62</v>
      </c>
      <c r="Q567" s="5">
        <f>_xlfn.XLOOKUP(CustomerCombined[[#This Row],[ID]], Table4[ID], Table4[Regular], "Not Found", 0)</f>
        <v>2011</v>
      </c>
      <c r="R567" s="5">
        <f>_xlfn.XLOOKUP(CustomerCombined[[#This Row],[ID]], Table4[ID], Table4[Deals], "Not Found", 0)</f>
        <v>4</v>
      </c>
      <c r="S567" s="5">
        <f>_xlfn.XLOOKUP(CustomerCombined[[#This Row],[ID]], Table4[ID], Table4[Website], "Not Found", 0)</f>
        <v>2</v>
      </c>
      <c r="T567" s="5">
        <f>_xlfn.XLOOKUP(CustomerCombined[[#This Row],[ID]], Table4[ID], Table4[Catalog], "Not Found", 0)</f>
        <v>2</v>
      </c>
      <c r="U567" s="5">
        <f>_xlfn.XLOOKUP(CustomerCombined[[#This Row],[ID]], Table4[ID], Table4[Store], "Not Found", 0)</f>
        <v>7</v>
      </c>
      <c r="V567" s="5">
        <f>_xlfn.XLOOKUP(CustomerCombined[[#This Row],[ID]], Table4[ID], Table4[Visits], "Not Found", 0)</f>
        <v>8</v>
      </c>
      <c r="W567" s="8">
        <f>_xlfn.XLOOKUP(CustomerCombined[[#This Row],[ID]], Table2[ID],Table2[Complaint], "Not Found", 0 )</f>
        <v>0</v>
      </c>
      <c r="X567" s="8">
        <f>_xlfn.XLOOKUP(CustomerCombined[[#This Row],[ID]], Table2[ID],Table2[Pilot], "Not Found", 0 )</f>
        <v>0</v>
      </c>
      <c r="Y567" s="8">
        <f>_xlfn.XLOOKUP(CustomerCombined[[#This Row],[ID]], Table2[ID],Table2[MC1], "Not Found", 0 )</f>
        <v>0</v>
      </c>
      <c r="Z567" s="8">
        <f>_xlfn.XLOOKUP(CustomerCombined[[#This Row],[ID]], Table2[ID],Table2[MC2], "Not Found", 0 )</f>
        <v>0</v>
      </c>
      <c r="AA567" s="8">
        <f>_xlfn.XLOOKUP(CustomerCombined[[#This Row],[ID]], Table2[ID],Table2[MC3], "Not Found", 0 )</f>
        <v>0</v>
      </c>
      <c r="AB567" s="8">
        <f>_xlfn.XLOOKUP(CustomerCombined[[#This Row],[ID]], Table2[ID],Table2[MC4], "Not Found", 0 )</f>
        <v>1</v>
      </c>
      <c r="AC567" s="8">
        <f>_xlfn.XLOOKUP(CustomerCombined[[#This Row],[ID]], Table2[ID],Table2[MC5], "Not Found", 0 )</f>
        <v>0</v>
      </c>
    </row>
    <row r="568" spans="1:29" x14ac:dyDescent="0.3">
      <c r="A568" s="6">
        <v>1516</v>
      </c>
      <c r="B568" s="6">
        <v>157954</v>
      </c>
      <c r="C568" s="6">
        <v>1</v>
      </c>
      <c r="D568" s="6">
        <v>1</v>
      </c>
      <c r="E568" s="6">
        <v>43</v>
      </c>
      <c r="F568" s="5" t="s">
        <v>8</v>
      </c>
      <c r="G568" s="5" t="s">
        <v>12</v>
      </c>
      <c r="H568" s="3" t="s">
        <v>31</v>
      </c>
      <c r="I568" s="5" t="s">
        <v>439</v>
      </c>
      <c r="J568" s="5">
        <f>_xlfn.XLOOKUP(CustomerCombined[[#This Row],[ID]], Table4[ID], Table4[Recency], "Not Found", 0)</f>
        <v>52</v>
      </c>
      <c r="K568" s="5">
        <f>_xlfn.XLOOKUP(CustomerCombined[[#This Row],[ID]], Table4[ID], Table4[Teas], "Not Found", 0)</f>
        <v>1243</v>
      </c>
      <c r="L568" s="5">
        <f>_xlfn.XLOOKUP(CustomerCombined[[#This Row],[ID]], Table4[ID], Table4[Fruits], "Not Found", 0)</f>
        <v>11</v>
      </c>
      <c r="M568" s="5">
        <f>_xlfn.XLOOKUP(CustomerCombined[[#This Row],[ID]], Table4[ID], Table4[Meats], "Not Found", 0)</f>
        <v>65</v>
      </c>
      <c r="N568" s="5">
        <f>_xlfn.XLOOKUP(CustomerCombined[[#This Row],[ID]], Table4[ID], Table4[Seafood], "Not Found", 0)</f>
        <v>0</v>
      </c>
      <c r="O568" s="5">
        <f>_xlfn.XLOOKUP(CustomerCombined[[#This Row],[ID]], Table4[ID], Table4[Sweets], "Not Found", 0)</f>
        <v>0</v>
      </c>
      <c r="P568" s="5">
        <f>_xlfn.XLOOKUP(CustomerCombined[[#This Row],[ID]], Table4[ID], Table4[Premium], "Not Found", 0)</f>
        <v>25</v>
      </c>
      <c r="Q568" s="5">
        <f>_xlfn.XLOOKUP(CustomerCombined[[#This Row],[ID]], Table4[ID], Table4[Regular], "Not Found", 0)</f>
        <v>1295</v>
      </c>
      <c r="R568" s="5">
        <f>_xlfn.XLOOKUP(CustomerCombined[[#This Row],[ID]], Table4[ID], Table4[Deals], "Not Found", 0)</f>
        <v>7</v>
      </c>
      <c r="S568" s="5">
        <f>_xlfn.XLOOKUP(CustomerCombined[[#This Row],[ID]], Table4[ID], Table4[Website], "Not Found", 0)</f>
        <v>8</v>
      </c>
      <c r="T568" s="5">
        <f>_xlfn.XLOOKUP(CustomerCombined[[#This Row],[ID]], Table4[ID], Table4[Catalog], "Not Found", 0)</f>
        <v>2</v>
      </c>
      <c r="U568" s="5">
        <f>_xlfn.XLOOKUP(CustomerCombined[[#This Row],[ID]], Table4[ID], Table4[Store], "Not Found", 0)</f>
        <v>6</v>
      </c>
      <c r="V568" s="5">
        <f>_xlfn.XLOOKUP(CustomerCombined[[#This Row],[ID]], Table4[ID], Table4[Visits], "Not Found", 0)</f>
        <v>7</v>
      </c>
      <c r="W568" s="8">
        <f>_xlfn.XLOOKUP(CustomerCombined[[#This Row],[ID]], Table2[ID],Table2[Complaint], "Not Found", 0 )</f>
        <v>0</v>
      </c>
      <c r="X568" s="8">
        <f>_xlfn.XLOOKUP(CustomerCombined[[#This Row],[ID]], Table2[ID],Table2[Pilot], "Not Found", 0 )</f>
        <v>0</v>
      </c>
      <c r="Y568" s="8">
        <f>_xlfn.XLOOKUP(CustomerCombined[[#This Row],[ID]], Table2[ID],Table2[MC1], "Not Found", 0 )</f>
        <v>0</v>
      </c>
      <c r="Z568" s="8">
        <f>_xlfn.XLOOKUP(CustomerCombined[[#This Row],[ID]], Table2[ID],Table2[MC2], "Not Found", 0 )</f>
        <v>0</v>
      </c>
      <c r="AA568" s="8">
        <f>_xlfn.XLOOKUP(CustomerCombined[[#This Row],[ID]], Table2[ID],Table2[MC3], "Not Found", 0 )</f>
        <v>0</v>
      </c>
      <c r="AB568" s="8">
        <f>_xlfn.XLOOKUP(CustomerCombined[[#This Row],[ID]], Table2[ID],Table2[MC4], "Not Found", 0 )</f>
        <v>1</v>
      </c>
      <c r="AC568" s="8">
        <f>_xlfn.XLOOKUP(CustomerCombined[[#This Row],[ID]], Table2[ID],Table2[MC5], "Not Found", 0 )</f>
        <v>0</v>
      </c>
    </row>
    <row r="569" spans="1:29" x14ac:dyDescent="0.3">
      <c r="A569" s="6">
        <v>1820</v>
      </c>
      <c r="B569" s="6">
        <v>156628</v>
      </c>
      <c r="C569" s="6">
        <v>0</v>
      </c>
      <c r="D569" s="6">
        <v>1</v>
      </c>
      <c r="E569" s="6">
        <v>43</v>
      </c>
      <c r="F569" s="5" t="s">
        <v>7</v>
      </c>
      <c r="G569" s="5" t="s">
        <v>11</v>
      </c>
      <c r="H569" s="3" t="s">
        <v>80</v>
      </c>
      <c r="I569" s="5" t="s">
        <v>438</v>
      </c>
      <c r="J569" s="5">
        <f>_xlfn.XLOOKUP(CustomerCombined[[#This Row],[ID]], Table4[ID], Table4[Recency], "Not Found", 0)</f>
        <v>30</v>
      </c>
      <c r="K569" s="5">
        <f>_xlfn.XLOOKUP(CustomerCombined[[#This Row],[ID]], Table4[ID], Table4[Teas], "Not Found", 0)</f>
        <v>1325</v>
      </c>
      <c r="L569" s="5">
        <f>_xlfn.XLOOKUP(CustomerCombined[[#This Row],[ID]], Table4[ID], Table4[Fruits], "Not Found", 0)</f>
        <v>14</v>
      </c>
      <c r="M569" s="5">
        <f>_xlfn.XLOOKUP(CustomerCombined[[#This Row],[ID]], Table4[ID], Table4[Meats], "Not Found", 0)</f>
        <v>227</v>
      </c>
      <c r="N569" s="5">
        <f>_xlfn.XLOOKUP(CustomerCombined[[#This Row],[ID]], Table4[ID], Table4[Seafood], "Not Found", 0)</f>
        <v>19</v>
      </c>
      <c r="O569" s="5">
        <f>_xlfn.XLOOKUP(CustomerCombined[[#This Row],[ID]], Table4[ID], Table4[Sweets], "Not Found", 0)</f>
        <v>47</v>
      </c>
      <c r="P569" s="5">
        <f>_xlfn.XLOOKUP(CustomerCombined[[#This Row],[ID]], Table4[ID], Table4[Premium], "Not Found", 0)</f>
        <v>473</v>
      </c>
      <c r="Q569" s="5">
        <f>_xlfn.XLOOKUP(CustomerCombined[[#This Row],[ID]], Table4[ID], Table4[Regular], "Not Found", 0)</f>
        <v>1159</v>
      </c>
      <c r="R569" s="5">
        <f>_xlfn.XLOOKUP(CustomerCombined[[#This Row],[ID]], Table4[ID], Table4[Deals], "Not Found", 0)</f>
        <v>2</v>
      </c>
      <c r="S569" s="5">
        <f>_xlfn.XLOOKUP(CustomerCombined[[#This Row],[ID]], Table4[ID], Table4[Website], "Not Found", 0)</f>
        <v>7</v>
      </c>
      <c r="T569" s="5">
        <f>_xlfn.XLOOKUP(CustomerCombined[[#This Row],[ID]], Table4[ID], Table4[Catalog], "Not Found", 0)</f>
        <v>6</v>
      </c>
      <c r="U569" s="5">
        <f>_xlfn.XLOOKUP(CustomerCombined[[#This Row],[ID]], Table4[ID], Table4[Store], "Not Found", 0)</f>
        <v>5</v>
      </c>
      <c r="V569" s="5">
        <f>_xlfn.XLOOKUP(CustomerCombined[[#This Row],[ID]], Table4[ID], Table4[Visits], "Not Found", 0)</f>
        <v>5</v>
      </c>
      <c r="W569" s="8">
        <f>_xlfn.XLOOKUP(CustomerCombined[[#This Row],[ID]], Table2[ID],Table2[Complaint], "Not Found", 0 )</f>
        <v>0</v>
      </c>
      <c r="X569" s="8">
        <f>_xlfn.XLOOKUP(CustomerCombined[[#This Row],[ID]], Table2[ID],Table2[Pilot], "Not Found", 0 )</f>
        <v>0</v>
      </c>
      <c r="Y569" s="8">
        <f>_xlfn.XLOOKUP(CustomerCombined[[#This Row],[ID]], Table2[ID],Table2[MC1], "Not Found", 0 )</f>
        <v>0</v>
      </c>
      <c r="Z569" s="8">
        <f>_xlfn.XLOOKUP(CustomerCombined[[#This Row],[ID]], Table2[ID],Table2[MC2], "Not Found", 0 )</f>
        <v>0</v>
      </c>
      <c r="AA569" s="8">
        <f>_xlfn.XLOOKUP(CustomerCombined[[#This Row],[ID]], Table2[ID],Table2[MC3], "Not Found", 0 )</f>
        <v>1</v>
      </c>
      <c r="AB569" s="8">
        <f>_xlfn.XLOOKUP(CustomerCombined[[#This Row],[ID]], Table2[ID],Table2[MC4], "Not Found", 0 )</f>
        <v>0</v>
      </c>
      <c r="AC569" s="8">
        <f>_xlfn.XLOOKUP(CustomerCombined[[#This Row],[ID]], Table2[ID],Table2[MC5], "Not Found", 0 )</f>
        <v>0</v>
      </c>
    </row>
    <row r="570" spans="1:29" x14ac:dyDescent="0.3">
      <c r="A570" s="6">
        <v>1461</v>
      </c>
      <c r="B570" s="6">
        <v>155842</v>
      </c>
      <c r="C570" s="6">
        <v>0</v>
      </c>
      <c r="D570" s="6">
        <v>1</v>
      </c>
      <c r="E570" s="6">
        <v>43</v>
      </c>
      <c r="F570" s="5" t="s">
        <v>6</v>
      </c>
      <c r="G570" s="5" t="s">
        <v>12</v>
      </c>
      <c r="H570" s="3" t="s">
        <v>44</v>
      </c>
      <c r="I570" s="5" t="s">
        <v>435</v>
      </c>
      <c r="J570" s="5">
        <f>_xlfn.XLOOKUP(CustomerCombined[[#This Row],[ID]], Table4[ID], Table4[Recency], "Not Found", 0)</f>
        <v>19</v>
      </c>
      <c r="K570" s="5">
        <f>_xlfn.XLOOKUP(CustomerCombined[[#This Row],[ID]], Table4[ID], Table4[Teas], "Not Found", 0)</f>
        <v>1259</v>
      </c>
      <c r="L570" s="5">
        <f>_xlfn.XLOOKUP(CustomerCombined[[#This Row],[ID]], Table4[ID], Table4[Fruits], "Not Found", 0)</f>
        <v>0</v>
      </c>
      <c r="M570" s="5">
        <f>_xlfn.XLOOKUP(CustomerCombined[[#This Row],[ID]], Table4[ID], Table4[Meats], "Not Found", 0)</f>
        <v>109</v>
      </c>
      <c r="N570" s="5">
        <f>_xlfn.XLOOKUP(CustomerCombined[[#This Row],[ID]], Table4[ID], Table4[Seafood], "Not Found", 0)</f>
        <v>0</v>
      </c>
      <c r="O570" s="5">
        <f>_xlfn.XLOOKUP(CustomerCombined[[#This Row],[ID]], Table4[ID], Table4[Sweets], "Not Found", 0)</f>
        <v>11</v>
      </c>
      <c r="P570" s="5">
        <f>_xlfn.XLOOKUP(CustomerCombined[[#This Row],[ID]], Table4[ID], Table4[Premium], "Not Found", 0)</f>
        <v>67</v>
      </c>
      <c r="Q570" s="5">
        <f>_xlfn.XLOOKUP(CustomerCombined[[#This Row],[ID]], Table4[ID], Table4[Regular], "Not Found", 0)</f>
        <v>1312</v>
      </c>
      <c r="R570" s="5">
        <f>_xlfn.XLOOKUP(CustomerCombined[[#This Row],[ID]], Table4[ID], Table4[Deals], "Not Found", 0)</f>
        <v>1</v>
      </c>
      <c r="S570" s="5">
        <f>_xlfn.XLOOKUP(CustomerCombined[[#This Row],[ID]], Table4[ID], Table4[Website], "Not Found", 0)</f>
        <v>7</v>
      </c>
      <c r="T570" s="5">
        <f>_xlfn.XLOOKUP(CustomerCombined[[#This Row],[ID]], Table4[ID], Table4[Catalog], "Not Found", 0)</f>
        <v>1</v>
      </c>
      <c r="U570" s="5">
        <f>_xlfn.XLOOKUP(CustomerCombined[[#This Row],[ID]], Table4[ID], Table4[Store], "Not Found", 0)</f>
        <v>8</v>
      </c>
      <c r="V570" s="5">
        <f>_xlfn.XLOOKUP(CustomerCombined[[#This Row],[ID]], Table4[ID], Table4[Visits], "Not Found", 0)</f>
        <v>5</v>
      </c>
      <c r="W570" s="8">
        <f>_xlfn.XLOOKUP(CustomerCombined[[#This Row],[ID]], Table2[ID],Table2[Complaint], "Not Found", 0 )</f>
        <v>0</v>
      </c>
      <c r="X570" s="8">
        <f>_xlfn.XLOOKUP(CustomerCombined[[#This Row],[ID]], Table2[ID],Table2[Pilot], "Not Found", 0 )</f>
        <v>0</v>
      </c>
      <c r="Y570" s="8">
        <f>_xlfn.XLOOKUP(CustomerCombined[[#This Row],[ID]], Table2[ID],Table2[MC1], "Not Found", 0 )</f>
        <v>0</v>
      </c>
      <c r="Z570" s="8">
        <f>_xlfn.XLOOKUP(CustomerCombined[[#This Row],[ID]], Table2[ID],Table2[MC2], "Not Found", 0 )</f>
        <v>0</v>
      </c>
      <c r="AA570" s="8">
        <f>_xlfn.XLOOKUP(CustomerCombined[[#This Row],[ID]], Table2[ID],Table2[MC3], "Not Found", 0 )</f>
        <v>0</v>
      </c>
      <c r="AB570" s="8">
        <f>_xlfn.XLOOKUP(CustomerCombined[[#This Row],[ID]], Table2[ID],Table2[MC4], "Not Found", 0 )</f>
        <v>0</v>
      </c>
      <c r="AC570" s="8">
        <f>_xlfn.XLOOKUP(CustomerCombined[[#This Row],[ID]], Table2[ID],Table2[MC5], "Not Found", 0 )</f>
        <v>0</v>
      </c>
    </row>
    <row r="571" spans="1:29" x14ac:dyDescent="0.3">
      <c r="A571" s="6">
        <v>1148</v>
      </c>
      <c r="B571" s="6">
        <v>155375</v>
      </c>
      <c r="C571" s="6">
        <v>0</v>
      </c>
      <c r="D571" s="6">
        <v>1</v>
      </c>
      <c r="E571" s="6">
        <v>43</v>
      </c>
      <c r="F571" s="5" t="s">
        <v>8</v>
      </c>
      <c r="G571" s="5" t="s">
        <v>11</v>
      </c>
      <c r="H571" s="3" t="s">
        <v>165</v>
      </c>
      <c r="I571" s="5" t="s">
        <v>438</v>
      </c>
      <c r="J571" s="5">
        <f>_xlfn.XLOOKUP(CustomerCombined[[#This Row],[ID]], Table4[ID], Table4[Recency], "Not Found", 0)</f>
        <v>3</v>
      </c>
      <c r="K571" s="5">
        <f>_xlfn.XLOOKUP(CustomerCombined[[#This Row],[ID]], Table4[ID], Table4[Teas], "Not Found", 0)</f>
        <v>118</v>
      </c>
      <c r="L571" s="5">
        <f>_xlfn.XLOOKUP(CustomerCombined[[#This Row],[ID]], Table4[ID], Table4[Fruits], "Not Found", 0)</f>
        <v>31</v>
      </c>
      <c r="M571" s="5">
        <f>_xlfn.XLOOKUP(CustomerCombined[[#This Row],[ID]], Table4[ID], Table4[Meats], "Not Found", 0)</f>
        <v>160</v>
      </c>
      <c r="N571" s="5">
        <f>_xlfn.XLOOKUP(CustomerCombined[[#This Row],[ID]], Table4[ID], Table4[Seafood], "Not Found", 0)</f>
        <v>28</v>
      </c>
      <c r="O571" s="5">
        <f>_xlfn.XLOOKUP(CustomerCombined[[#This Row],[ID]], Table4[ID], Table4[Sweets], "Not Found", 0)</f>
        <v>79</v>
      </c>
      <c r="P571" s="5">
        <f>_xlfn.XLOOKUP(CustomerCombined[[#This Row],[ID]], Table4[ID], Table4[Premium], "Not Found", 0)</f>
        <v>39</v>
      </c>
      <c r="Q571" s="5">
        <f>_xlfn.XLOOKUP(CustomerCombined[[#This Row],[ID]], Table4[ID], Table4[Regular], "Not Found", 0)</f>
        <v>376</v>
      </c>
      <c r="R571" s="5">
        <f>_xlfn.XLOOKUP(CustomerCombined[[#This Row],[ID]], Table4[ID], Table4[Deals], "Not Found", 0)</f>
        <v>1</v>
      </c>
      <c r="S571" s="5">
        <f>_xlfn.XLOOKUP(CustomerCombined[[#This Row],[ID]], Table4[ID], Table4[Website], "Not Found", 0)</f>
        <v>1</v>
      </c>
      <c r="T571" s="5">
        <f>_xlfn.XLOOKUP(CustomerCombined[[#This Row],[ID]], Table4[ID], Table4[Catalog], "Not Found", 0)</f>
        <v>1</v>
      </c>
      <c r="U571" s="5">
        <f>_xlfn.XLOOKUP(CustomerCombined[[#This Row],[ID]], Table4[ID], Table4[Store], "Not Found", 0)</f>
        <v>6</v>
      </c>
      <c r="V571" s="5">
        <f>_xlfn.XLOOKUP(CustomerCombined[[#This Row],[ID]], Table4[ID], Table4[Visits], "Not Found", 0)</f>
        <v>2</v>
      </c>
      <c r="W571" s="8">
        <f>_xlfn.XLOOKUP(CustomerCombined[[#This Row],[ID]], Table2[ID],Table2[Complaint], "Not Found", 0 )</f>
        <v>0</v>
      </c>
      <c r="X571" s="8">
        <f>_xlfn.XLOOKUP(CustomerCombined[[#This Row],[ID]], Table2[ID],Table2[Pilot], "Not Found", 0 )</f>
        <v>0</v>
      </c>
      <c r="Y571" s="8">
        <f>_xlfn.XLOOKUP(CustomerCombined[[#This Row],[ID]], Table2[ID],Table2[MC1], "Not Found", 0 )</f>
        <v>0</v>
      </c>
      <c r="Z571" s="8">
        <f>_xlfn.XLOOKUP(CustomerCombined[[#This Row],[ID]], Table2[ID],Table2[MC2], "Not Found", 0 )</f>
        <v>0</v>
      </c>
      <c r="AA571" s="8">
        <f>_xlfn.XLOOKUP(CustomerCombined[[#This Row],[ID]], Table2[ID],Table2[MC3], "Not Found", 0 )</f>
        <v>0</v>
      </c>
      <c r="AB571" s="8">
        <f>_xlfn.XLOOKUP(CustomerCombined[[#This Row],[ID]], Table2[ID],Table2[MC4], "Not Found", 0 )</f>
        <v>0</v>
      </c>
      <c r="AC571" s="8">
        <f>_xlfn.XLOOKUP(CustomerCombined[[#This Row],[ID]], Table2[ID],Table2[MC5], "Not Found", 0 )</f>
        <v>0</v>
      </c>
    </row>
    <row r="572" spans="1:29" x14ac:dyDescent="0.3">
      <c r="A572" s="6">
        <v>2181</v>
      </c>
      <c r="B572" s="6">
        <v>154809</v>
      </c>
      <c r="C572" s="6">
        <v>1</v>
      </c>
      <c r="D572" s="6">
        <v>1</v>
      </c>
      <c r="E572" s="6">
        <v>43</v>
      </c>
      <c r="F572" s="5" t="s">
        <v>6</v>
      </c>
      <c r="G572" s="5" t="s">
        <v>11</v>
      </c>
      <c r="H572" s="3" t="s">
        <v>188</v>
      </c>
      <c r="I572" s="5" t="s">
        <v>435</v>
      </c>
      <c r="J572" s="5">
        <f>_xlfn.XLOOKUP(CustomerCombined[[#This Row],[ID]], Table4[ID], Table4[Recency], "Not Found", 0)</f>
        <v>0</v>
      </c>
      <c r="K572" s="5">
        <f>_xlfn.XLOOKUP(CustomerCombined[[#This Row],[ID]], Table4[ID], Table4[Teas], "Not Found", 0)</f>
        <v>178</v>
      </c>
      <c r="L572" s="5">
        <f>_xlfn.XLOOKUP(CustomerCombined[[#This Row],[ID]], Table4[ID], Table4[Fruits], "Not Found", 0)</f>
        <v>17</v>
      </c>
      <c r="M572" s="5">
        <f>_xlfn.XLOOKUP(CustomerCombined[[#This Row],[ID]], Table4[ID], Table4[Meats], "Not Found", 0)</f>
        <v>161</v>
      </c>
      <c r="N572" s="5">
        <f>_xlfn.XLOOKUP(CustomerCombined[[#This Row],[ID]], Table4[ID], Table4[Seafood], "Not Found", 0)</f>
        <v>37</v>
      </c>
      <c r="O572" s="5">
        <f>_xlfn.XLOOKUP(CustomerCombined[[#This Row],[ID]], Table4[ID], Table4[Sweets], "Not Found", 0)</f>
        <v>37</v>
      </c>
      <c r="P572" s="5">
        <f>_xlfn.XLOOKUP(CustomerCombined[[#This Row],[ID]], Table4[ID], Table4[Premium], "Not Found", 0)</f>
        <v>62</v>
      </c>
      <c r="Q572" s="5">
        <f>_xlfn.XLOOKUP(CustomerCombined[[#This Row],[ID]], Table4[ID], Table4[Regular], "Not Found", 0)</f>
        <v>367</v>
      </c>
      <c r="R572" s="5">
        <f>_xlfn.XLOOKUP(CustomerCombined[[#This Row],[ID]], Table4[ID], Table4[Deals], "Not Found", 0)</f>
        <v>4</v>
      </c>
      <c r="S572" s="5">
        <f>_xlfn.XLOOKUP(CustomerCombined[[#This Row],[ID]], Table4[ID], Table4[Website], "Not Found", 0)</f>
        <v>2</v>
      </c>
      <c r="T572" s="5">
        <f>_xlfn.XLOOKUP(CustomerCombined[[#This Row],[ID]], Table4[ID], Table4[Catalog], "Not Found", 0)</f>
        <v>1</v>
      </c>
      <c r="U572" s="5">
        <f>_xlfn.XLOOKUP(CustomerCombined[[#This Row],[ID]], Table4[ID], Table4[Store], "Not Found", 0)</f>
        <v>5</v>
      </c>
      <c r="V572" s="5">
        <f>_xlfn.XLOOKUP(CustomerCombined[[#This Row],[ID]], Table4[ID], Table4[Visits], "Not Found", 0)</f>
        <v>4</v>
      </c>
      <c r="W572" s="8">
        <f>_xlfn.XLOOKUP(CustomerCombined[[#This Row],[ID]], Table2[ID],Table2[Complaint], "Not Found", 0 )</f>
        <v>0</v>
      </c>
      <c r="X572" s="8">
        <f>_xlfn.XLOOKUP(CustomerCombined[[#This Row],[ID]], Table2[ID],Table2[Pilot], "Not Found", 0 )</f>
        <v>0</v>
      </c>
      <c r="Y572" s="8">
        <f>_xlfn.XLOOKUP(CustomerCombined[[#This Row],[ID]], Table2[ID],Table2[MC1], "Not Found", 0 )</f>
        <v>0</v>
      </c>
      <c r="Z572" s="8">
        <f>_xlfn.XLOOKUP(CustomerCombined[[#This Row],[ID]], Table2[ID],Table2[MC2], "Not Found", 0 )</f>
        <v>0</v>
      </c>
      <c r="AA572" s="8">
        <f>_xlfn.XLOOKUP(CustomerCombined[[#This Row],[ID]], Table2[ID],Table2[MC3], "Not Found", 0 )</f>
        <v>0</v>
      </c>
      <c r="AB572" s="8">
        <f>_xlfn.XLOOKUP(CustomerCombined[[#This Row],[ID]], Table2[ID],Table2[MC4], "Not Found", 0 )</f>
        <v>0</v>
      </c>
      <c r="AC572" s="8">
        <f>_xlfn.XLOOKUP(CustomerCombined[[#This Row],[ID]], Table2[ID],Table2[MC5], "Not Found", 0 )</f>
        <v>0</v>
      </c>
    </row>
    <row r="573" spans="1:29" x14ac:dyDescent="0.3">
      <c r="A573" s="6">
        <v>2809</v>
      </c>
      <c r="B573" s="6">
        <v>154809</v>
      </c>
      <c r="C573" s="6">
        <v>1</v>
      </c>
      <c r="D573" s="6">
        <v>1</v>
      </c>
      <c r="E573" s="6">
        <v>43</v>
      </c>
      <c r="F573" s="5" t="s">
        <v>6</v>
      </c>
      <c r="G573" s="5" t="s">
        <v>11</v>
      </c>
      <c r="H573" s="3" t="s">
        <v>188</v>
      </c>
      <c r="I573" s="5" t="s">
        <v>437</v>
      </c>
      <c r="J573" s="5">
        <f>_xlfn.XLOOKUP(CustomerCombined[[#This Row],[ID]], Table4[ID], Table4[Recency], "Not Found", 0)</f>
        <v>0</v>
      </c>
      <c r="K573" s="5">
        <f>_xlfn.XLOOKUP(CustomerCombined[[#This Row],[ID]], Table4[ID], Table4[Teas], "Not Found", 0)</f>
        <v>178</v>
      </c>
      <c r="L573" s="5">
        <f>_xlfn.XLOOKUP(CustomerCombined[[#This Row],[ID]], Table4[ID], Table4[Fruits], "Not Found", 0)</f>
        <v>17</v>
      </c>
      <c r="M573" s="5">
        <f>_xlfn.XLOOKUP(CustomerCombined[[#This Row],[ID]], Table4[ID], Table4[Meats], "Not Found", 0)</f>
        <v>161</v>
      </c>
      <c r="N573" s="5">
        <f>_xlfn.XLOOKUP(CustomerCombined[[#This Row],[ID]], Table4[ID], Table4[Seafood], "Not Found", 0)</f>
        <v>37</v>
      </c>
      <c r="O573" s="5">
        <f>_xlfn.XLOOKUP(CustomerCombined[[#This Row],[ID]], Table4[ID], Table4[Sweets], "Not Found", 0)</f>
        <v>37</v>
      </c>
      <c r="P573" s="5">
        <f>_xlfn.XLOOKUP(CustomerCombined[[#This Row],[ID]], Table4[ID], Table4[Premium], "Not Found", 0)</f>
        <v>62</v>
      </c>
      <c r="Q573" s="5">
        <f>_xlfn.XLOOKUP(CustomerCombined[[#This Row],[ID]], Table4[ID], Table4[Regular], "Not Found", 0)</f>
        <v>367</v>
      </c>
      <c r="R573" s="5">
        <f>_xlfn.XLOOKUP(CustomerCombined[[#This Row],[ID]], Table4[ID], Table4[Deals], "Not Found", 0)</f>
        <v>4</v>
      </c>
      <c r="S573" s="5">
        <f>_xlfn.XLOOKUP(CustomerCombined[[#This Row],[ID]], Table4[ID], Table4[Website], "Not Found", 0)</f>
        <v>2</v>
      </c>
      <c r="T573" s="5">
        <f>_xlfn.XLOOKUP(CustomerCombined[[#This Row],[ID]], Table4[ID], Table4[Catalog], "Not Found", 0)</f>
        <v>1</v>
      </c>
      <c r="U573" s="5">
        <f>_xlfn.XLOOKUP(CustomerCombined[[#This Row],[ID]], Table4[ID], Table4[Store], "Not Found", 0)</f>
        <v>5</v>
      </c>
      <c r="V573" s="5">
        <f>_xlfn.XLOOKUP(CustomerCombined[[#This Row],[ID]], Table4[ID], Table4[Visits], "Not Found", 0)</f>
        <v>4</v>
      </c>
      <c r="W573" s="8">
        <f>_xlfn.XLOOKUP(CustomerCombined[[#This Row],[ID]], Table2[ID],Table2[Complaint], "Not Found", 0 )</f>
        <v>0</v>
      </c>
      <c r="X573" s="8">
        <f>_xlfn.XLOOKUP(CustomerCombined[[#This Row],[ID]], Table2[ID],Table2[Pilot], "Not Found", 0 )</f>
        <v>1</v>
      </c>
      <c r="Y573" s="8">
        <f>_xlfn.XLOOKUP(CustomerCombined[[#This Row],[ID]], Table2[ID],Table2[MC1], "Not Found", 0 )</f>
        <v>0</v>
      </c>
      <c r="Z573" s="8">
        <f>_xlfn.XLOOKUP(CustomerCombined[[#This Row],[ID]], Table2[ID],Table2[MC2], "Not Found", 0 )</f>
        <v>0</v>
      </c>
      <c r="AA573" s="8">
        <f>_xlfn.XLOOKUP(CustomerCombined[[#This Row],[ID]], Table2[ID],Table2[MC3], "Not Found", 0 )</f>
        <v>0</v>
      </c>
      <c r="AB573" s="8">
        <f>_xlfn.XLOOKUP(CustomerCombined[[#This Row],[ID]], Table2[ID],Table2[MC4], "Not Found", 0 )</f>
        <v>0</v>
      </c>
      <c r="AC573" s="8">
        <f>_xlfn.XLOOKUP(CustomerCombined[[#This Row],[ID]], Table2[ID],Table2[MC5], "Not Found", 0 )</f>
        <v>0</v>
      </c>
    </row>
    <row r="574" spans="1:29" x14ac:dyDescent="0.3">
      <c r="A574" s="6">
        <v>2066</v>
      </c>
      <c r="B574" s="6">
        <v>154233</v>
      </c>
      <c r="C574" s="6">
        <v>0</v>
      </c>
      <c r="D574" s="6">
        <v>1</v>
      </c>
      <c r="E574" s="6">
        <v>43</v>
      </c>
      <c r="F574" s="5" t="s">
        <v>6</v>
      </c>
      <c r="G574" s="5" t="s">
        <v>11</v>
      </c>
      <c r="H574" s="3">
        <v>43806</v>
      </c>
      <c r="I574" s="5" t="s">
        <v>438</v>
      </c>
      <c r="J574" s="5">
        <f>_xlfn.XLOOKUP(CustomerCombined[[#This Row],[ID]], Table4[ID], Table4[Recency], "Not Found", 0)</f>
        <v>46</v>
      </c>
      <c r="K574" s="5">
        <f>_xlfn.XLOOKUP(CustomerCombined[[#This Row],[ID]], Table4[ID], Table4[Teas], "Not Found", 0)</f>
        <v>1854</v>
      </c>
      <c r="L574" s="5">
        <f>_xlfn.XLOOKUP(CustomerCombined[[#This Row],[ID]], Table4[ID], Table4[Fruits], "Not Found", 0)</f>
        <v>23</v>
      </c>
      <c r="M574" s="5">
        <f>_xlfn.XLOOKUP(CustomerCombined[[#This Row],[ID]], Table4[ID], Table4[Meats], "Not Found", 0)</f>
        <v>449</v>
      </c>
      <c r="N574" s="5">
        <f>_xlfn.XLOOKUP(CustomerCombined[[#This Row],[ID]], Table4[ID], Table4[Seafood], "Not Found", 0)</f>
        <v>60</v>
      </c>
      <c r="O574" s="5">
        <f>_xlfn.XLOOKUP(CustomerCombined[[#This Row],[ID]], Table4[ID], Table4[Sweets], "Not Found", 0)</f>
        <v>0</v>
      </c>
      <c r="P574" s="5">
        <f>_xlfn.XLOOKUP(CustomerCombined[[#This Row],[ID]], Table4[ID], Table4[Premium], "Not Found", 0)</f>
        <v>404</v>
      </c>
      <c r="Q574" s="5">
        <f>_xlfn.XLOOKUP(CustomerCombined[[#This Row],[ID]], Table4[ID], Table4[Regular], "Not Found", 0)</f>
        <v>1982</v>
      </c>
      <c r="R574" s="5">
        <f>_xlfn.XLOOKUP(CustomerCombined[[#This Row],[ID]], Table4[ID], Table4[Deals], "Not Found", 0)</f>
        <v>4</v>
      </c>
      <c r="S574" s="5">
        <f>_xlfn.XLOOKUP(CustomerCombined[[#This Row],[ID]], Table4[ID], Table4[Website], "Not Found", 0)</f>
        <v>11</v>
      </c>
      <c r="T574" s="5">
        <f>_xlfn.XLOOKUP(CustomerCombined[[#This Row],[ID]], Table4[ID], Table4[Catalog], "Not Found", 0)</f>
        <v>6</v>
      </c>
      <c r="U574" s="5">
        <f>_xlfn.XLOOKUP(CustomerCombined[[#This Row],[ID]], Table4[ID], Table4[Store], "Not Found", 0)</f>
        <v>5</v>
      </c>
      <c r="V574" s="5">
        <f>_xlfn.XLOOKUP(CustomerCombined[[#This Row],[ID]], Table4[ID], Table4[Visits], "Not Found", 0)</f>
        <v>8</v>
      </c>
      <c r="W574" s="8">
        <f>_xlfn.XLOOKUP(CustomerCombined[[#This Row],[ID]], Table2[ID],Table2[Complaint], "Not Found", 0 )</f>
        <v>0</v>
      </c>
      <c r="X574" s="8">
        <f>_xlfn.XLOOKUP(CustomerCombined[[#This Row],[ID]], Table2[ID],Table2[Pilot], "Not Found", 0 )</f>
        <v>0</v>
      </c>
      <c r="Y574" s="8">
        <f>_xlfn.XLOOKUP(CustomerCombined[[#This Row],[ID]], Table2[ID],Table2[MC1], "Not Found", 0 )</f>
        <v>0</v>
      </c>
      <c r="Z574" s="8">
        <f>_xlfn.XLOOKUP(CustomerCombined[[#This Row],[ID]], Table2[ID],Table2[MC2], "Not Found", 0 )</f>
        <v>0</v>
      </c>
      <c r="AA574" s="8">
        <f>_xlfn.XLOOKUP(CustomerCombined[[#This Row],[ID]], Table2[ID],Table2[MC3], "Not Found", 0 )</f>
        <v>0</v>
      </c>
      <c r="AB574" s="8">
        <f>_xlfn.XLOOKUP(CustomerCombined[[#This Row],[ID]], Table2[ID],Table2[MC4], "Not Found", 0 )</f>
        <v>0</v>
      </c>
      <c r="AC574" s="8">
        <f>_xlfn.XLOOKUP(CustomerCombined[[#This Row],[ID]], Table2[ID],Table2[MC5], "Not Found", 0 )</f>
        <v>0</v>
      </c>
    </row>
    <row r="575" spans="1:29" x14ac:dyDescent="0.3">
      <c r="A575" s="6">
        <v>1511</v>
      </c>
      <c r="B575" s="6">
        <v>150353</v>
      </c>
      <c r="C575" s="6">
        <v>0</v>
      </c>
      <c r="D575" s="6">
        <v>0</v>
      </c>
      <c r="E575" s="6">
        <v>43</v>
      </c>
      <c r="F575" s="5" t="s">
        <v>6</v>
      </c>
      <c r="G575" s="5" t="s">
        <v>12</v>
      </c>
      <c r="H575" s="3">
        <v>44176</v>
      </c>
      <c r="I575" s="5" t="s">
        <v>434</v>
      </c>
      <c r="J575" s="5">
        <f>_xlfn.XLOOKUP(CustomerCombined[[#This Row],[ID]], Table4[ID], Table4[Recency], "Not Found", 0)</f>
        <v>72</v>
      </c>
      <c r="K575" s="5">
        <f>_xlfn.XLOOKUP(CustomerCombined[[#This Row],[ID]], Table4[ID], Table4[Teas], "Not Found", 0)</f>
        <v>421</v>
      </c>
      <c r="L575" s="5">
        <f>_xlfn.XLOOKUP(CustomerCombined[[#This Row],[ID]], Table4[ID], Table4[Fruits], "Not Found", 0)</f>
        <v>45</v>
      </c>
      <c r="M575" s="5">
        <f>_xlfn.XLOOKUP(CustomerCombined[[#This Row],[ID]], Table4[ID], Table4[Meats], "Not Found", 0)</f>
        <v>457</v>
      </c>
      <c r="N575" s="5">
        <f>_xlfn.XLOOKUP(CustomerCombined[[#This Row],[ID]], Table4[ID], Table4[Seafood], "Not Found", 0)</f>
        <v>200</v>
      </c>
      <c r="O575" s="5">
        <f>_xlfn.XLOOKUP(CustomerCombined[[#This Row],[ID]], Table4[ID], Table4[Sweets], "Not Found", 0)</f>
        <v>93</v>
      </c>
      <c r="P575" s="5">
        <f>_xlfn.XLOOKUP(CustomerCombined[[#This Row],[ID]], Table4[ID], Table4[Premium], "Not Found", 0)</f>
        <v>105</v>
      </c>
      <c r="Q575" s="5">
        <f>_xlfn.XLOOKUP(CustomerCombined[[#This Row],[ID]], Table4[ID], Table4[Regular], "Not Found", 0)</f>
        <v>1111</v>
      </c>
      <c r="R575" s="5">
        <f>_xlfn.XLOOKUP(CustomerCombined[[#This Row],[ID]], Table4[ID], Table4[Deals], "Not Found", 0)</f>
        <v>1</v>
      </c>
      <c r="S575" s="5">
        <f>_xlfn.XLOOKUP(CustomerCombined[[#This Row],[ID]], Table4[ID], Table4[Website], "Not Found", 0)</f>
        <v>4</v>
      </c>
      <c r="T575" s="5">
        <f>_xlfn.XLOOKUP(CustomerCombined[[#This Row],[ID]], Table4[ID], Table4[Catalog], "Not Found", 0)</f>
        <v>4</v>
      </c>
      <c r="U575" s="5">
        <f>_xlfn.XLOOKUP(CustomerCombined[[#This Row],[ID]], Table4[ID], Table4[Store], "Not Found", 0)</f>
        <v>6</v>
      </c>
      <c r="V575" s="5">
        <f>_xlfn.XLOOKUP(CustomerCombined[[#This Row],[ID]], Table4[ID], Table4[Visits], "Not Found", 0)</f>
        <v>3</v>
      </c>
      <c r="W575" s="8">
        <f>_xlfn.XLOOKUP(CustomerCombined[[#This Row],[ID]], Table2[ID],Table2[Complaint], "Not Found", 0 )</f>
        <v>0</v>
      </c>
      <c r="X575" s="8">
        <f>_xlfn.XLOOKUP(CustomerCombined[[#This Row],[ID]], Table2[ID],Table2[Pilot], "Not Found", 0 )</f>
        <v>0</v>
      </c>
      <c r="Y575" s="8">
        <f>_xlfn.XLOOKUP(CustomerCombined[[#This Row],[ID]], Table2[ID],Table2[MC1], "Not Found", 0 )</f>
        <v>0</v>
      </c>
      <c r="Z575" s="8">
        <f>_xlfn.XLOOKUP(CustomerCombined[[#This Row],[ID]], Table2[ID],Table2[MC2], "Not Found", 0 )</f>
        <v>0</v>
      </c>
      <c r="AA575" s="8">
        <f>_xlfn.XLOOKUP(CustomerCombined[[#This Row],[ID]], Table2[ID],Table2[MC3], "Not Found", 0 )</f>
        <v>0</v>
      </c>
      <c r="AB575" s="8">
        <f>_xlfn.XLOOKUP(CustomerCombined[[#This Row],[ID]], Table2[ID],Table2[MC4], "Not Found", 0 )</f>
        <v>0</v>
      </c>
      <c r="AC575" s="8">
        <f>_xlfn.XLOOKUP(CustomerCombined[[#This Row],[ID]], Table2[ID],Table2[MC5], "Not Found", 0 )</f>
        <v>0</v>
      </c>
    </row>
    <row r="576" spans="1:29" x14ac:dyDescent="0.3">
      <c r="A576" s="6">
        <v>2108</v>
      </c>
      <c r="B576" s="6">
        <v>146931</v>
      </c>
      <c r="C576" s="6">
        <v>2</v>
      </c>
      <c r="D576" s="6">
        <v>1</v>
      </c>
      <c r="E576" s="6">
        <v>43</v>
      </c>
      <c r="F576" s="5" t="s">
        <v>8</v>
      </c>
      <c r="G576" s="5" t="s">
        <v>11</v>
      </c>
      <c r="H576" s="3" t="s">
        <v>58</v>
      </c>
      <c r="I576" s="5" t="s">
        <v>438</v>
      </c>
      <c r="J576" s="5">
        <f>_xlfn.XLOOKUP(CustomerCombined[[#This Row],[ID]], Table4[ID], Table4[Recency], "Not Found", 0)</f>
        <v>94</v>
      </c>
      <c r="K576" s="5">
        <f>_xlfn.XLOOKUP(CustomerCombined[[#This Row],[ID]], Table4[ID], Table4[Teas], "Not Found", 0)</f>
        <v>128</v>
      </c>
      <c r="L576" s="5">
        <f>_xlfn.XLOOKUP(CustomerCombined[[#This Row],[ID]], Table4[ID], Table4[Fruits], "Not Found", 0)</f>
        <v>0</v>
      </c>
      <c r="M576" s="5">
        <f>_xlfn.XLOOKUP(CustomerCombined[[#This Row],[ID]], Table4[ID], Table4[Meats], "Not Found", 0)</f>
        <v>53</v>
      </c>
      <c r="N576" s="5">
        <f>_xlfn.XLOOKUP(CustomerCombined[[#This Row],[ID]], Table4[ID], Table4[Seafood], "Not Found", 0)</f>
        <v>9</v>
      </c>
      <c r="O576" s="5">
        <f>_xlfn.XLOOKUP(CustomerCombined[[#This Row],[ID]], Table4[ID], Table4[Sweets], "Not Found", 0)</f>
        <v>3</v>
      </c>
      <c r="P576" s="5">
        <f>_xlfn.XLOOKUP(CustomerCombined[[#This Row],[ID]], Table4[ID], Table4[Premium], "Not Found", 0)</f>
        <v>50</v>
      </c>
      <c r="Q576" s="5">
        <f>_xlfn.XLOOKUP(CustomerCombined[[#This Row],[ID]], Table4[ID], Table4[Regular], "Not Found", 0)</f>
        <v>144</v>
      </c>
      <c r="R576" s="5">
        <f>_xlfn.XLOOKUP(CustomerCombined[[#This Row],[ID]], Table4[ID], Table4[Deals], "Not Found", 0)</f>
        <v>2</v>
      </c>
      <c r="S576" s="5">
        <f>_xlfn.XLOOKUP(CustomerCombined[[#This Row],[ID]], Table4[ID], Table4[Website], "Not Found", 0)</f>
        <v>1</v>
      </c>
      <c r="T576" s="5">
        <f>_xlfn.XLOOKUP(CustomerCombined[[#This Row],[ID]], Table4[ID], Table4[Catalog], "Not Found", 0)</f>
        <v>1</v>
      </c>
      <c r="U576" s="5">
        <f>_xlfn.XLOOKUP(CustomerCombined[[#This Row],[ID]], Table4[ID], Table4[Store], "Not Found", 0)</f>
        <v>3</v>
      </c>
      <c r="V576" s="5">
        <f>_xlfn.XLOOKUP(CustomerCombined[[#This Row],[ID]], Table4[ID], Table4[Visits], "Not Found", 0)</f>
        <v>3</v>
      </c>
      <c r="W576" s="8">
        <f>_xlfn.XLOOKUP(CustomerCombined[[#This Row],[ID]], Table2[ID],Table2[Complaint], "Not Found", 0 )</f>
        <v>0</v>
      </c>
      <c r="X576" s="8">
        <f>_xlfn.XLOOKUP(CustomerCombined[[#This Row],[ID]], Table2[ID],Table2[Pilot], "Not Found", 0 )</f>
        <v>0</v>
      </c>
      <c r="Y576" s="8">
        <f>_xlfn.XLOOKUP(CustomerCombined[[#This Row],[ID]], Table2[ID],Table2[MC1], "Not Found", 0 )</f>
        <v>0</v>
      </c>
      <c r="Z576" s="8">
        <f>_xlfn.XLOOKUP(CustomerCombined[[#This Row],[ID]], Table2[ID],Table2[MC2], "Not Found", 0 )</f>
        <v>0</v>
      </c>
      <c r="AA576" s="8">
        <f>_xlfn.XLOOKUP(CustomerCombined[[#This Row],[ID]], Table2[ID],Table2[MC3], "Not Found", 0 )</f>
        <v>0</v>
      </c>
      <c r="AB576" s="8">
        <f>_xlfn.XLOOKUP(CustomerCombined[[#This Row],[ID]], Table2[ID],Table2[MC4], "Not Found", 0 )</f>
        <v>0</v>
      </c>
      <c r="AC576" s="8">
        <f>_xlfn.XLOOKUP(CustomerCombined[[#This Row],[ID]], Table2[ID],Table2[MC5], "Not Found", 0 )</f>
        <v>0</v>
      </c>
    </row>
    <row r="577" spans="1:29" x14ac:dyDescent="0.3">
      <c r="A577" s="6">
        <v>2321</v>
      </c>
      <c r="B577" s="6">
        <v>143263</v>
      </c>
      <c r="C577" s="6">
        <v>0</v>
      </c>
      <c r="D577" s="6">
        <v>1</v>
      </c>
      <c r="E577" s="6">
        <v>43</v>
      </c>
      <c r="F577" s="5" t="s">
        <v>6</v>
      </c>
      <c r="G577" s="5" t="s">
        <v>12</v>
      </c>
      <c r="H577" s="3" t="s">
        <v>355</v>
      </c>
      <c r="I577" s="5" t="s">
        <v>434</v>
      </c>
      <c r="J577" s="5">
        <f>_xlfn.XLOOKUP(CustomerCombined[[#This Row],[ID]], Table4[ID], Table4[Recency], "Not Found", 0)</f>
        <v>2</v>
      </c>
      <c r="K577" s="5">
        <f>_xlfn.XLOOKUP(CustomerCombined[[#This Row],[ID]], Table4[ID], Table4[Teas], "Not Found", 0)</f>
        <v>868</v>
      </c>
      <c r="L577" s="5">
        <f>_xlfn.XLOOKUP(CustomerCombined[[#This Row],[ID]], Table4[ID], Table4[Fruits], "Not Found", 0)</f>
        <v>20</v>
      </c>
      <c r="M577" s="5">
        <f>_xlfn.XLOOKUP(CustomerCombined[[#This Row],[ID]], Table4[ID], Table4[Meats], "Not Found", 0)</f>
        <v>202</v>
      </c>
      <c r="N577" s="5">
        <f>_xlfn.XLOOKUP(CustomerCombined[[#This Row],[ID]], Table4[ID], Table4[Seafood], "Not Found", 0)</f>
        <v>0</v>
      </c>
      <c r="O577" s="5">
        <f>_xlfn.XLOOKUP(CustomerCombined[[#This Row],[ID]], Table4[ID], Table4[Sweets], "Not Found", 0)</f>
        <v>33</v>
      </c>
      <c r="P577" s="5">
        <f>_xlfn.XLOOKUP(CustomerCombined[[#This Row],[ID]], Table4[ID], Table4[Premium], "Not Found", 0)</f>
        <v>338</v>
      </c>
      <c r="Q577" s="5">
        <f>_xlfn.XLOOKUP(CustomerCombined[[#This Row],[ID]], Table4[ID], Table4[Regular], "Not Found", 0)</f>
        <v>785</v>
      </c>
      <c r="R577" s="5">
        <f>_xlfn.XLOOKUP(CustomerCombined[[#This Row],[ID]], Table4[ID], Table4[Deals], "Not Found", 0)</f>
        <v>3</v>
      </c>
      <c r="S577" s="5">
        <f>_xlfn.XLOOKUP(CustomerCombined[[#This Row],[ID]], Table4[ID], Table4[Website], "Not Found", 0)</f>
        <v>5</v>
      </c>
      <c r="T577" s="5">
        <f>_xlfn.XLOOKUP(CustomerCombined[[#This Row],[ID]], Table4[ID], Table4[Catalog], "Not Found", 0)</f>
        <v>2</v>
      </c>
      <c r="U577" s="5">
        <f>_xlfn.XLOOKUP(CustomerCombined[[#This Row],[ID]], Table4[ID], Table4[Store], "Not Found", 0)</f>
        <v>6</v>
      </c>
      <c r="V577" s="5">
        <f>_xlfn.XLOOKUP(CustomerCombined[[#This Row],[ID]], Table4[ID], Table4[Visits], "Not Found", 0)</f>
        <v>5</v>
      </c>
      <c r="W577" s="8">
        <f>_xlfn.XLOOKUP(CustomerCombined[[#This Row],[ID]], Table2[ID],Table2[Complaint], "Not Found", 0 )</f>
        <v>0</v>
      </c>
      <c r="X577" s="8">
        <f>_xlfn.XLOOKUP(CustomerCombined[[#This Row],[ID]], Table2[ID],Table2[Pilot], "Not Found", 0 )</f>
        <v>0</v>
      </c>
      <c r="Y577" s="8">
        <f>_xlfn.XLOOKUP(CustomerCombined[[#This Row],[ID]], Table2[ID],Table2[MC1], "Not Found", 0 )</f>
        <v>0</v>
      </c>
      <c r="Z577" s="8">
        <f>_xlfn.XLOOKUP(CustomerCombined[[#This Row],[ID]], Table2[ID],Table2[MC2], "Not Found", 0 )</f>
        <v>0</v>
      </c>
      <c r="AA577" s="8">
        <f>_xlfn.XLOOKUP(CustomerCombined[[#This Row],[ID]], Table2[ID],Table2[MC3], "Not Found", 0 )</f>
        <v>0</v>
      </c>
      <c r="AB577" s="8">
        <f>_xlfn.XLOOKUP(CustomerCombined[[#This Row],[ID]], Table2[ID],Table2[MC4], "Not Found", 0 )</f>
        <v>0</v>
      </c>
      <c r="AC577" s="8">
        <f>_xlfn.XLOOKUP(CustomerCombined[[#This Row],[ID]], Table2[ID],Table2[MC5], "Not Found", 0 )</f>
        <v>0</v>
      </c>
    </row>
    <row r="578" spans="1:29" x14ac:dyDescent="0.3">
      <c r="A578" s="6">
        <v>2274</v>
      </c>
      <c r="B578" s="6">
        <v>142997</v>
      </c>
      <c r="C578" s="6">
        <v>1</v>
      </c>
      <c r="D578" s="6">
        <v>1</v>
      </c>
      <c r="E578" s="6">
        <v>43</v>
      </c>
      <c r="F578" s="5" t="s">
        <v>7</v>
      </c>
      <c r="G578" s="5" t="s">
        <v>13</v>
      </c>
      <c r="H578" s="3" t="s">
        <v>141</v>
      </c>
      <c r="I578" s="5" t="s">
        <v>436</v>
      </c>
      <c r="J578" s="5">
        <f>_xlfn.XLOOKUP(CustomerCombined[[#This Row],[ID]], Table4[ID], Table4[Recency], "Not Found", 0)</f>
        <v>91</v>
      </c>
      <c r="K578" s="5">
        <f>_xlfn.XLOOKUP(CustomerCombined[[#This Row],[ID]], Table4[ID], Table4[Teas], "Not Found", 0)</f>
        <v>13</v>
      </c>
      <c r="L578" s="5">
        <f>_xlfn.XLOOKUP(CustomerCombined[[#This Row],[ID]], Table4[ID], Table4[Fruits], "Not Found", 0)</f>
        <v>0</v>
      </c>
      <c r="M578" s="5">
        <f>_xlfn.XLOOKUP(CustomerCombined[[#This Row],[ID]], Table4[ID], Table4[Meats], "Not Found", 0)</f>
        <v>17</v>
      </c>
      <c r="N578" s="5">
        <f>_xlfn.XLOOKUP(CustomerCombined[[#This Row],[ID]], Table4[ID], Table4[Seafood], "Not Found", 0)</f>
        <v>0</v>
      </c>
      <c r="O578" s="5">
        <f>_xlfn.XLOOKUP(CustomerCombined[[#This Row],[ID]], Table4[ID], Table4[Sweets], "Not Found", 0)</f>
        <v>3</v>
      </c>
      <c r="P578" s="5">
        <f>_xlfn.XLOOKUP(CustomerCombined[[#This Row],[ID]], Table4[ID], Table4[Premium], "Not Found", 0)</f>
        <v>17</v>
      </c>
      <c r="Q578" s="5">
        <f>_xlfn.XLOOKUP(CustomerCombined[[#This Row],[ID]], Table4[ID], Table4[Regular], "Not Found", 0)</f>
        <v>17</v>
      </c>
      <c r="R578" s="5">
        <f>_xlfn.XLOOKUP(CustomerCombined[[#This Row],[ID]], Table4[ID], Table4[Deals], "Not Found", 0)</f>
        <v>1</v>
      </c>
      <c r="S578" s="5">
        <f>_xlfn.XLOOKUP(CustomerCombined[[#This Row],[ID]], Table4[ID], Table4[Website], "Not Found", 0)</f>
        <v>1</v>
      </c>
      <c r="T578" s="5">
        <f>_xlfn.XLOOKUP(CustomerCombined[[#This Row],[ID]], Table4[ID], Table4[Catalog], "Not Found", 0)</f>
        <v>0</v>
      </c>
      <c r="U578" s="5">
        <f>_xlfn.XLOOKUP(CustomerCombined[[#This Row],[ID]], Table4[ID], Table4[Store], "Not Found", 0)</f>
        <v>2</v>
      </c>
      <c r="V578" s="5">
        <f>_xlfn.XLOOKUP(CustomerCombined[[#This Row],[ID]], Table4[ID], Table4[Visits], "Not Found", 0)</f>
        <v>7</v>
      </c>
      <c r="W578" s="8">
        <f>_xlfn.XLOOKUP(CustomerCombined[[#This Row],[ID]], Table2[ID],Table2[Complaint], "Not Found", 0 )</f>
        <v>0</v>
      </c>
      <c r="X578" s="8">
        <f>_xlfn.XLOOKUP(CustomerCombined[[#This Row],[ID]], Table2[ID],Table2[Pilot], "Not Found", 0 )</f>
        <v>0</v>
      </c>
      <c r="Y578" s="8">
        <f>_xlfn.XLOOKUP(CustomerCombined[[#This Row],[ID]], Table2[ID],Table2[MC1], "Not Found", 0 )</f>
        <v>0</v>
      </c>
      <c r="Z578" s="8">
        <f>_xlfn.XLOOKUP(CustomerCombined[[#This Row],[ID]], Table2[ID],Table2[MC2], "Not Found", 0 )</f>
        <v>0</v>
      </c>
      <c r="AA578" s="8">
        <f>_xlfn.XLOOKUP(CustomerCombined[[#This Row],[ID]], Table2[ID],Table2[MC3], "Not Found", 0 )</f>
        <v>0</v>
      </c>
      <c r="AB578" s="8">
        <f>_xlfn.XLOOKUP(CustomerCombined[[#This Row],[ID]], Table2[ID],Table2[MC4], "Not Found", 0 )</f>
        <v>0</v>
      </c>
      <c r="AC578" s="8">
        <f>_xlfn.XLOOKUP(CustomerCombined[[#This Row],[ID]], Table2[ID],Table2[MC5], "Not Found", 0 )</f>
        <v>0</v>
      </c>
    </row>
    <row r="579" spans="1:29" x14ac:dyDescent="0.3">
      <c r="A579" s="6">
        <v>2478</v>
      </c>
      <c r="B579" s="6">
        <v>142014</v>
      </c>
      <c r="C579" s="6">
        <v>1</v>
      </c>
      <c r="D579" s="6">
        <v>0</v>
      </c>
      <c r="E579" s="6">
        <v>43</v>
      </c>
      <c r="F579" s="5" t="s">
        <v>6</v>
      </c>
      <c r="G579" s="5" t="s">
        <v>11</v>
      </c>
      <c r="H579" s="3" t="s">
        <v>411</v>
      </c>
      <c r="I579" s="5" t="s">
        <v>436</v>
      </c>
      <c r="J579" s="5">
        <f>_xlfn.XLOOKUP(CustomerCombined[[#This Row],[ID]], Table4[ID], Table4[Recency], "Not Found", 0)</f>
        <v>56</v>
      </c>
      <c r="K579" s="5">
        <f>_xlfn.XLOOKUP(CustomerCombined[[#This Row],[ID]], Table4[ID], Table4[Teas], "Not Found", 0)</f>
        <v>825</v>
      </c>
      <c r="L579" s="5">
        <f>_xlfn.XLOOKUP(CustomerCombined[[#This Row],[ID]], Table4[ID], Table4[Fruits], "Not Found", 0)</f>
        <v>51</v>
      </c>
      <c r="M579" s="5">
        <f>_xlfn.XLOOKUP(CustomerCombined[[#This Row],[ID]], Table4[ID], Table4[Meats], "Not Found", 0)</f>
        <v>365</v>
      </c>
      <c r="N579" s="5">
        <f>_xlfn.XLOOKUP(CustomerCombined[[#This Row],[ID]], Table4[ID], Table4[Seafood], "Not Found", 0)</f>
        <v>14</v>
      </c>
      <c r="O579" s="5">
        <f>_xlfn.XLOOKUP(CustomerCombined[[#This Row],[ID]], Table4[ID], Table4[Sweets], "Not Found", 0)</f>
        <v>51</v>
      </c>
      <c r="P579" s="5">
        <f>_xlfn.XLOOKUP(CustomerCombined[[#This Row],[ID]], Table4[ID], Table4[Premium], "Not Found", 0)</f>
        <v>169</v>
      </c>
      <c r="Q579" s="5">
        <f>_xlfn.XLOOKUP(CustomerCombined[[#This Row],[ID]], Table4[ID], Table4[Regular], "Not Found", 0)</f>
        <v>1136</v>
      </c>
      <c r="R579" s="5">
        <f>_xlfn.XLOOKUP(CustomerCombined[[#This Row],[ID]], Table4[ID], Table4[Deals], "Not Found", 0)</f>
        <v>6</v>
      </c>
      <c r="S579" s="5">
        <f>_xlfn.XLOOKUP(CustomerCombined[[#This Row],[ID]], Table4[ID], Table4[Website], "Not Found", 0)</f>
        <v>7</v>
      </c>
      <c r="T579" s="5">
        <f>_xlfn.XLOOKUP(CustomerCombined[[#This Row],[ID]], Table4[ID], Table4[Catalog], "Not Found", 0)</f>
        <v>1</v>
      </c>
      <c r="U579" s="5">
        <f>_xlfn.XLOOKUP(CustomerCombined[[#This Row],[ID]], Table4[ID], Table4[Store], "Not Found", 0)</f>
        <v>6</v>
      </c>
      <c r="V579" s="5">
        <f>_xlfn.XLOOKUP(CustomerCombined[[#This Row],[ID]], Table4[ID], Table4[Visits], "Not Found", 0)</f>
        <v>8</v>
      </c>
      <c r="W579" s="8">
        <f>_xlfn.XLOOKUP(CustomerCombined[[#This Row],[ID]], Table2[ID],Table2[Complaint], "Not Found", 0 )</f>
        <v>0</v>
      </c>
      <c r="X579" s="8">
        <f>_xlfn.XLOOKUP(CustomerCombined[[#This Row],[ID]], Table2[ID],Table2[Pilot], "Not Found", 0 )</f>
        <v>1</v>
      </c>
      <c r="Y579" s="8">
        <f>_xlfn.XLOOKUP(CustomerCombined[[#This Row],[ID]], Table2[ID],Table2[MC1], "Not Found", 0 )</f>
        <v>0</v>
      </c>
      <c r="Z579" s="8">
        <f>_xlfn.XLOOKUP(CustomerCombined[[#This Row],[ID]], Table2[ID],Table2[MC2], "Not Found", 0 )</f>
        <v>0</v>
      </c>
      <c r="AA579" s="8">
        <f>_xlfn.XLOOKUP(CustomerCombined[[#This Row],[ID]], Table2[ID],Table2[MC3], "Not Found", 0 )</f>
        <v>0</v>
      </c>
      <c r="AB579" s="8">
        <f>_xlfn.XLOOKUP(CustomerCombined[[#This Row],[ID]], Table2[ID],Table2[MC4], "Not Found", 0 )</f>
        <v>0</v>
      </c>
      <c r="AC579" s="8">
        <f>_xlfn.XLOOKUP(CustomerCombined[[#This Row],[ID]], Table2[ID],Table2[MC5], "Not Found", 0 )</f>
        <v>0</v>
      </c>
    </row>
    <row r="580" spans="1:29" x14ac:dyDescent="0.3">
      <c r="A580" s="6">
        <v>2550</v>
      </c>
      <c r="B580" s="6">
        <v>142014</v>
      </c>
      <c r="C580" s="6">
        <v>1</v>
      </c>
      <c r="D580" s="6">
        <v>0</v>
      </c>
      <c r="E580" s="6">
        <v>43</v>
      </c>
      <c r="F580" s="5" t="s">
        <v>6</v>
      </c>
      <c r="G580" s="5" t="s">
        <v>11</v>
      </c>
      <c r="H580" s="3" t="s">
        <v>411</v>
      </c>
      <c r="I580" s="5" t="s">
        <v>436</v>
      </c>
      <c r="J580" s="5">
        <f>_xlfn.XLOOKUP(CustomerCombined[[#This Row],[ID]], Table4[ID], Table4[Recency], "Not Found", 0)</f>
        <v>56</v>
      </c>
      <c r="K580" s="5">
        <f>_xlfn.XLOOKUP(CustomerCombined[[#This Row],[ID]], Table4[ID], Table4[Teas], "Not Found", 0)</f>
        <v>825</v>
      </c>
      <c r="L580" s="5">
        <f>_xlfn.XLOOKUP(CustomerCombined[[#This Row],[ID]], Table4[ID], Table4[Fruits], "Not Found", 0)</f>
        <v>51</v>
      </c>
      <c r="M580" s="5">
        <f>_xlfn.XLOOKUP(CustomerCombined[[#This Row],[ID]], Table4[ID], Table4[Meats], "Not Found", 0)</f>
        <v>365</v>
      </c>
      <c r="N580" s="5">
        <f>_xlfn.XLOOKUP(CustomerCombined[[#This Row],[ID]], Table4[ID], Table4[Seafood], "Not Found", 0)</f>
        <v>14</v>
      </c>
      <c r="O580" s="5">
        <f>_xlfn.XLOOKUP(CustomerCombined[[#This Row],[ID]], Table4[ID], Table4[Sweets], "Not Found", 0)</f>
        <v>51</v>
      </c>
      <c r="P580" s="5">
        <f>_xlfn.XLOOKUP(CustomerCombined[[#This Row],[ID]], Table4[ID], Table4[Premium], "Not Found", 0)</f>
        <v>169</v>
      </c>
      <c r="Q580" s="5">
        <f>_xlfn.XLOOKUP(CustomerCombined[[#This Row],[ID]], Table4[ID], Table4[Regular], "Not Found", 0)</f>
        <v>1136</v>
      </c>
      <c r="R580" s="5">
        <f>_xlfn.XLOOKUP(CustomerCombined[[#This Row],[ID]], Table4[ID], Table4[Deals], "Not Found", 0)</f>
        <v>6</v>
      </c>
      <c r="S580" s="5">
        <f>_xlfn.XLOOKUP(CustomerCombined[[#This Row],[ID]], Table4[ID], Table4[Website], "Not Found", 0)</f>
        <v>7</v>
      </c>
      <c r="T580" s="5">
        <f>_xlfn.XLOOKUP(CustomerCombined[[#This Row],[ID]], Table4[ID], Table4[Catalog], "Not Found", 0)</f>
        <v>1</v>
      </c>
      <c r="U580" s="5">
        <f>_xlfn.XLOOKUP(CustomerCombined[[#This Row],[ID]], Table4[ID], Table4[Store], "Not Found", 0)</f>
        <v>6</v>
      </c>
      <c r="V580" s="5">
        <f>_xlfn.XLOOKUP(CustomerCombined[[#This Row],[ID]], Table4[ID], Table4[Visits], "Not Found", 0)</f>
        <v>8</v>
      </c>
      <c r="W580" s="8">
        <f>_xlfn.XLOOKUP(CustomerCombined[[#This Row],[ID]], Table2[ID],Table2[Complaint], "Not Found", 0 )</f>
        <v>0</v>
      </c>
      <c r="X580" s="8">
        <f>_xlfn.XLOOKUP(CustomerCombined[[#This Row],[ID]], Table2[ID],Table2[Pilot], "Not Found", 0 )</f>
        <v>1</v>
      </c>
      <c r="Y580" s="8">
        <f>_xlfn.XLOOKUP(CustomerCombined[[#This Row],[ID]], Table2[ID],Table2[MC1], "Not Found", 0 )</f>
        <v>0</v>
      </c>
      <c r="Z580" s="8">
        <f>_xlfn.XLOOKUP(CustomerCombined[[#This Row],[ID]], Table2[ID],Table2[MC2], "Not Found", 0 )</f>
        <v>0</v>
      </c>
      <c r="AA580" s="8">
        <f>_xlfn.XLOOKUP(CustomerCombined[[#This Row],[ID]], Table2[ID],Table2[MC3], "Not Found", 0 )</f>
        <v>0</v>
      </c>
      <c r="AB580" s="8">
        <f>_xlfn.XLOOKUP(CustomerCombined[[#This Row],[ID]], Table2[ID],Table2[MC4], "Not Found", 0 )</f>
        <v>0</v>
      </c>
      <c r="AC580" s="8">
        <f>_xlfn.XLOOKUP(CustomerCombined[[#This Row],[ID]], Table2[ID],Table2[MC5], "Not Found", 0 )</f>
        <v>0</v>
      </c>
    </row>
    <row r="581" spans="1:29" x14ac:dyDescent="0.3">
      <c r="A581" s="6">
        <v>1203</v>
      </c>
      <c r="B581" s="6">
        <v>141443</v>
      </c>
      <c r="C581" s="6">
        <v>1</v>
      </c>
      <c r="D581" s="6">
        <v>0</v>
      </c>
      <c r="E581" s="6">
        <v>43</v>
      </c>
      <c r="F581" s="5" t="s">
        <v>6</v>
      </c>
      <c r="G581" s="5" t="s">
        <v>11</v>
      </c>
      <c r="H581" s="3">
        <v>43960</v>
      </c>
      <c r="I581" s="5" t="s">
        <v>435</v>
      </c>
      <c r="J581" s="5">
        <f>_xlfn.XLOOKUP(CustomerCombined[[#This Row],[ID]], Table4[ID], Table4[Recency], "Not Found", 0)</f>
        <v>79</v>
      </c>
      <c r="K581" s="5">
        <f>_xlfn.XLOOKUP(CustomerCombined[[#This Row],[ID]], Table4[ID], Table4[Teas], "Not Found", 0)</f>
        <v>584</v>
      </c>
      <c r="L581" s="5">
        <f>_xlfn.XLOOKUP(CustomerCombined[[#This Row],[ID]], Table4[ID], Table4[Fruits], "Not Found", 0)</f>
        <v>24</v>
      </c>
      <c r="M581" s="5">
        <f>_xlfn.XLOOKUP(CustomerCombined[[#This Row],[ID]], Table4[ID], Table4[Meats], "Not Found", 0)</f>
        <v>584</v>
      </c>
      <c r="N581" s="5">
        <f>_xlfn.XLOOKUP(CustomerCombined[[#This Row],[ID]], Table4[ID], Table4[Seafood], "Not Found", 0)</f>
        <v>85</v>
      </c>
      <c r="O581" s="5">
        <f>_xlfn.XLOOKUP(CustomerCombined[[#This Row],[ID]], Table4[ID], Table4[Sweets], "Not Found", 0)</f>
        <v>65</v>
      </c>
      <c r="P581" s="5">
        <f>_xlfn.XLOOKUP(CustomerCombined[[#This Row],[ID]], Table4[ID], Table4[Premium], "Not Found", 0)</f>
        <v>304</v>
      </c>
      <c r="Q581" s="5">
        <f>_xlfn.XLOOKUP(CustomerCombined[[#This Row],[ID]], Table4[ID], Table4[Regular], "Not Found", 0)</f>
        <v>1038</v>
      </c>
      <c r="R581" s="5">
        <f>_xlfn.XLOOKUP(CustomerCombined[[#This Row],[ID]], Table4[ID], Table4[Deals], "Not Found", 0)</f>
        <v>6</v>
      </c>
      <c r="S581" s="5">
        <f>_xlfn.XLOOKUP(CustomerCombined[[#This Row],[ID]], Table4[ID], Table4[Website], "Not Found", 0)</f>
        <v>8</v>
      </c>
      <c r="T581" s="5">
        <f>_xlfn.XLOOKUP(CustomerCombined[[#This Row],[ID]], Table4[ID], Table4[Catalog], "Not Found", 0)</f>
        <v>1</v>
      </c>
      <c r="U581" s="5">
        <f>_xlfn.XLOOKUP(CustomerCombined[[#This Row],[ID]], Table4[ID], Table4[Store], "Not Found", 0)</f>
        <v>5</v>
      </c>
      <c r="V581" s="5">
        <f>_xlfn.XLOOKUP(CustomerCombined[[#This Row],[ID]], Table4[ID], Table4[Visits], "Not Found", 0)</f>
        <v>8</v>
      </c>
      <c r="W581" s="8">
        <f>_xlfn.XLOOKUP(CustomerCombined[[#This Row],[ID]], Table2[ID],Table2[Complaint], "Not Found", 0 )</f>
        <v>0</v>
      </c>
      <c r="X581" s="8">
        <f>_xlfn.XLOOKUP(CustomerCombined[[#This Row],[ID]], Table2[ID],Table2[Pilot], "Not Found", 0 )</f>
        <v>0</v>
      </c>
      <c r="Y581" s="8">
        <f>_xlfn.XLOOKUP(CustomerCombined[[#This Row],[ID]], Table2[ID],Table2[MC1], "Not Found", 0 )</f>
        <v>0</v>
      </c>
      <c r="Z581" s="8">
        <f>_xlfn.XLOOKUP(CustomerCombined[[#This Row],[ID]], Table2[ID],Table2[MC2], "Not Found", 0 )</f>
        <v>0</v>
      </c>
      <c r="AA581" s="8">
        <f>_xlfn.XLOOKUP(CustomerCombined[[#This Row],[ID]], Table2[ID],Table2[MC3], "Not Found", 0 )</f>
        <v>0</v>
      </c>
      <c r="AB581" s="8">
        <f>_xlfn.XLOOKUP(CustomerCombined[[#This Row],[ID]], Table2[ID],Table2[MC4], "Not Found", 0 )</f>
        <v>0</v>
      </c>
      <c r="AC581" s="8">
        <f>_xlfn.XLOOKUP(CustomerCombined[[#This Row],[ID]], Table2[ID],Table2[MC5], "Not Found", 0 )</f>
        <v>0</v>
      </c>
    </row>
    <row r="582" spans="1:29" x14ac:dyDescent="0.3">
      <c r="A582" s="6">
        <v>1463</v>
      </c>
      <c r="B582" s="6">
        <v>141124</v>
      </c>
      <c r="C582" s="6">
        <v>1</v>
      </c>
      <c r="D582" s="6">
        <v>0</v>
      </c>
      <c r="E582" s="6">
        <v>43</v>
      </c>
      <c r="F582" s="5" t="s">
        <v>6</v>
      </c>
      <c r="G582" s="5" t="s">
        <v>11</v>
      </c>
      <c r="H582" s="3">
        <v>43650</v>
      </c>
      <c r="I582" s="5" t="s">
        <v>434</v>
      </c>
      <c r="J582" s="5">
        <f>_xlfn.XLOOKUP(CustomerCombined[[#This Row],[ID]], Table4[ID], Table4[Recency], "Not Found", 0)</f>
        <v>41</v>
      </c>
      <c r="K582" s="5">
        <f>_xlfn.XLOOKUP(CustomerCombined[[#This Row],[ID]], Table4[ID], Table4[Teas], "Not Found", 0)</f>
        <v>964</v>
      </c>
      <c r="L582" s="5">
        <f>_xlfn.XLOOKUP(CustomerCombined[[#This Row],[ID]], Table4[ID], Table4[Fruits], "Not Found", 0)</f>
        <v>24</v>
      </c>
      <c r="M582" s="5">
        <f>_xlfn.XLOOKUP(CustomerCombined[[#This Row],[ID]], Table4[ID], Table4[Meats], "Not Found", 0)</f>
        <v>288</v>
      </c>
      <c r="N582" s="5">
        <f>_xlfn.XLOOKUP(CustomerCombined[[#This Row],[ID]], Table4[ID], Table4[Seafood], "Not Found", 0)</f>
        <v>51</v>
      </c>
      <c r="O582" s="5">
        <f>_xlfn.XLOOKUP(CustomerCombined[[#This Row],[ID]], Table4[ID], Table4[Sweets], "Not Found", 0)</f>
        <v>0</v>
      </c>
      <c r="P582" s="5">
        <f>_xlfn.XLOOKUP(CustomerCombined[[#This Row],[ID]], Table4[ID], Table4[Premium], "Not Found", 0)</f>
        <v>408</v>
      </c>
      <c r="Q582" s="5">
        <f>_xlfn.XLOOKUP(CustomerCombined[[#This Row],[ID]], Table4[ID], Table4[Regular], "Not Found", 0)</f>
        <v>920</v>
      </c>
      <c r="R582" s="5">
        <f>_xlfn.XLOOKUP(CustomerCombined[[#This Row],[ID]], Table4[ID], Table4[Deals], "Not Found", 0)</f>
        <v>7</v>
      </c>
      <c r="S582" s="5">
        <f>_xlfn.XLOOKUP(CustomerCombined[[#This Row],[ID]], Table4[ID], Table4[Website], "Not Found", 0)</f>
        <v>7</v>
      </c>
      <c r="T582" s="5">
        <f>_xlfn.XLOOKUP(CustomerCombined[[#This Row],[ID]], Table4[ID], Table4[Catalog], "Not Found", 0)</f>
        <v>3</v>
      </c>
      <c r="U582" s="5">
        <f>_xlfn.XLOOKUP(CustomerCombined[[#This Row],[ID]], Table4[ID], Table4[Store], "Not Found", 0)</f>
        <v>4</v>
      </c>
      <c r="V582" s="5">
        <f>_xlfn.XLOOKUP(CustomerCombined[[#This Row],[ID]], Table4[ID], Table4[Visits], "Not Found", 0)</f>
        <v>8</v>
      </c>
      <c r="W582" s="8">
        <f>_xlfn.XLOOKUP(CustomerCombined[[#This Row],[ID]], Table2[ID],Table2[Complaint], "Not Found", 0 )</f>
        <v>0</v>
      </c>
      <c r="X582" s="8">
        <f>_xlfn.XLOOKUP(CustomerCombined[[#This Row],[ID]], Table2[ID],Table2[Pilot], "Not Found", 0 )</f>
        <v>0</v>
      </c>
      <c r="Y582" s="8">
        <f>_xlfn.XLOOKUP(CustomerCombined[[#This Row],[ID]], Table2[ID],Table2[MC1], "Not Found", 0 )</f>
        <v>0</v>
      </c>
      <c r="Z582" s="8">
        <f>_xlfn.XLOOKUP(CustomerCombined[[#This Row],[ID]], Table2[ID],Table2[MC2], "Not Found", 0 )</f>
        <v>0</v>
      </c>
      <c r="AA582" s="8">
        <f>_xlfn.XLOOKUP(CustomerCombined[[#This Row],[ID]], Table2[ID],Table2[MC3], "Not Found", 0 )</f>
        <v>0</v>
      </c>
      <c r="AB582" s="8">
        <f>_xlfn.XLOOKUP(CustomerCombined[[#This Row],[ID]], Table2[ID],Table2[MC4], "Not Found", 0 )</f>
        <v>0</v>
      </c>
      <c r="AC582" s="8">
        <f>_xlfn.XLOOKUP(CustomerCombined[[#This Row],[ID]], Table2[ID],Table2[MC5], "Not Found", 0 )</f>
        <v>0</v>
      </c>
    </row>
    <row r="583" spans="1:29" x14ac:dyDescent="0.3">
      <c r="A583" s="6">
        <v>1070</v>
      </c>
      <c r="B583" s="6">
        <v>140246</v>
      </c>
      <c r="C583" s="6">
        <v>1</v>
      </c>
      <c r="D583" s="6">
        <v>0</v>
      </c>
      <c r="E583" s="6">
        <v>43</v>
      </c>
      <c r="F583" s="5" t="s">
        <v>5</v>
      </c>
      <c r="G583" s="5" t="s">
        <v>11</v>
      </c>
      <c r="H583" s="3" t="s">
        <v>340</v>
      </c>
      <c r="I583" s="5" t="s">
        <v>438</v>
      </c>
      <c r="J583" s="5">
        <f>_xlfn.XLOOKUP(CustomerCombined[[#This Row],[ID]], Table4[ID], Table4[Recency], "Not Found", 0)</f>
        <v>68</v>
      </c>
      <c r="K583" s="5">
        <f>_xlfn.XLOOKUP(CustomerCombined[[#This Row],[ID]], Table4[ID], Table4[Teas], "Not Found", 0)</f>
        <v>7</v>
      </c>
      <c r="L583" s="5">
        <f>_xlfn.XLOOKUP(CustomerCombined[[#This Row],[ID]], Table4[ID], Table4[Fruits], "Not Found", 0)</f>
        <v>3</v>
      </c>
      <c r="M583" s="5">
        <f>_xlfn.XLOOKUP(CustomerCombined[[#This Row],[ID]], Table4[ID], Table4[Meats], "Not Found", 0)</f>
        <v>21</v>
      </c>
      <c r="N583" s="5">
        <f>_xlfn.XLOOKUP(CustomerCombined[[#This Row],[ID]], Table4[ID], Table4[Seafood], "Not Found", 0)</f>
        <v>7</v>
      </c>
      <c r="O583" s="5">
        <f>_xlfn.XLOOKUP(CustomerCombined[[#This Row],[ID]], Table4[ID], Table4[Sweets], "Not Found", 0)</f>
        <v>3</v>
      </c>
      <c r="P583" s="5">
        <f>_xlfn.XLOOKUP(CustomerCombined[[#This Row],[ID]], Table4[ID], Table4[Premium], "Not Found", 0)</f>
        <v>3</v>
      </c>
      <c r="Q583" s="5">
        <f>_xlfn.XLOOKUP(CustomerCombined[[#This Row],[ID]], Table4[ID], Table4[Regular], "Not Found", 0)</f>
        <v>38</v>
      </c>
      <c r="R583" s="5">
        <f>_xlfn.XLOOKUP(CustomerCombined[[#This Row],[ID]], Table4[ID], Table4[Deals], "Not Found", 0)</f>
        <v>1</v>
      </c>
      <c r="S583" s="5">
        <f>_xlfn.XLOOKUP(CustomerCombined[[#This Row],[ID]], Table4[ID], Table4[Website], "Not Found", 0)</f>
        <v>1</v>
      </c>
      <c r="T583" s="5">
        <f>_xlfn.XLOOKUP(CustomerCombined[[#This Row],[ID]], Table4[ID], Table4[Catalog], "Not Found", 0)</f>
        <v>0</v>
      </c>
      <c r="U583" s="5">
        <f>_xlfn.XLOOKUP(CustomerCombined[[#This Row],[ID]], Table4[ID], Table4[Store], "Not Found", 0)</f>
        <v>2</v>
      </c>
      <c r="V583" s="5">
        <f>_xlfn.XLOOKUP(CustomerCombined[[#This Row],[ID]], Table4[ID], Table4[Visits], "Not Found", 0)</f>
        <v>6</v>
      </c>
      <c r="W583" s="8">
        <f>_xlfn.XLOOKUP(CustomerCombined[[#This Row],[ID]], Table2[ID],Table2[Complaint], "Not Found", 0 )</f>
        <v>0</v>
      </c>
      <c r="X583" s="8">
        <f>_xlfn.XLOOKUP(CustomerCombined[[#This Row],[ID]], Table2[ID],Table2[Pilot], "Not Found", 0 )</f>
        <v>0</v>
      </c>
      <c r="Y583" s="8">
        <f>_xlfn.XLOOKUP(CustomerCombined[[#This Row],[ID]], Table2[ID],Table2[MC1], "Not Found", 0 )</f>
        <v>0</v>
      </c>
      <c r="Z583" s="8">
        <f>_xlfn.XLOOKUP(CustomerCombined[[#This Row],[ID]], Table2[ID],Table2[MC2], "Not Found", 0 )</f>
        <v>0</v>
      </c>
      <c r="AA583" s="8">
        <f>_xlfn.XLOOKUP(CustomerCombined[[#This Row],[ID]], Table2[ID],Table2[MC3], "Not Found", 0 )</f>
        <v>0</v>
      </c>
      <c r="AB583" s="8">
        <f>_xlfn.XLOOKUP(CustomerCombined[[#This Row],[ID]], Table2[ID],Table2[MC4], "Not Found", 0 )</f>
        <v>0</v>
      </c>
      <c r="AC583" s="8">
        <f>_xlfn.XLOOKUP(CustomerCombined[[#This Row],[ID]], Table2[ID],Table2[MC5], "Not Found", 0 )</f>
        <v>0</v>
      </c>
    </row>
    <row r="584" spans="1:29" x14ac:dyDescent="0.3">
      <c r="A584" s="6">
        <v>1929</v>
      </c>
      <c r="B584" s="6">
        <v>139771</v>
      </c>
      <c r="C584" s="6">
        <v>1</v>
      </c>
      <c r="D584" s="6">
        <v>0</v>
      </c>
      <c r="E584" s="6">
        <v>43</v>
      </c>
      <c r="F584" s="5" t="s">
        <v>8</v>
      </c>
      <c r="G584" s="5" t="s">
        <v>11</v>
      </c>
      <c r="H584" s="3">
        <v>44170</v>
      </c>
      <c r="I584" s="5" t="s">
        <v>435</v>
      </c>
      <c r="J584" s="5">
        <f>_xlfn.XLOOKUP(CustomerCombined[[#This Row],[ID]], Table4[ID], Table4[Recency], "Not Found", 0)</f>
        <v>92</v>
      </c>
      <c r="K584" s="5">
        <f>_xlfn.XLOOKUP(CustomerCombined[[#This Row],[ID]], Table4[ID], Table4[Teas], "Not Found", 0)</f>
        <v>21</v>
      </c>
      <c r="L584" s="5">
        <f>_xlfn.XLOOKUP(CustomerCombined[[#This Row],[ID]], Table4[ID], Table4[Fruits], "Not Found", 0)</f>
        <v>7</v>
      </c>
      <c r="M584" s="5">
        <f>_xlfn.XLOOKUP(CustomerCombined[[#This Row],[ID]], Table4[ID], Table4[Meats], "Not Found", 0)</f>
        <v>63</v>
      </c>
      <c r="N584" s="5">
        <f>_xlfn.XLOOKUP(CustomerCombined[[#This Row],[ID]], Table4[ID], Table4[Seafood], "Not Found", 0)</f>
        <v>7</v>
      </c>
      <c r="O584" s="5">
        <f>_xlfn.XLOOKUP(CustomerCombined[[#This Row],[ID]], Table4[ID], Table4[Sweets], "Not Found", 0)</f>
        <v>28</v>
      </c>
      <c r="P584" s="5">
        <f>_xlfn.XLOOKUP(CustomerCombined[[#This Row],[ID]], Table4[ID], Table4[Premium], "Not Found", 0)</f>
        <v>49</v>
      </c>
      <c r="Q584" s="5">
        <f>_xlfn.XLOOKUP(CustomerCombined[[#This Row],[ID]], Table4[ID], Table4[Regular], "Not Found", 0)</f>
        <v>77</v>
      </c>
      <c r="R584" s="5">
        <f>_xlfn.XLOOKUP(CustomerCombined[[#This Row],[ID]], Table4[ID], Table4[Deals], "Not Found", 0)</f>
        <v>1</v>
      </c>
      <c r="S584" s="5">
        <f>_xlfn.XLOOKUP(CustomerCombined[[#This Row],[ID]], Table4[ID], Table4[Website], "Not Found", 0)</f>
        <v>2</v>
      </c>
      <c r="T584" s="5">
        <f>_xlfn.XLOOKUP(CustomerCombined[[#This Row],[ID]], Table4[ID], Table4[Catalog], "Not Found", 0)</f>
        <v>0</v>
      </c>
      <c r="U584" s="5">
        <f>_xlfn.XLOOKUP(CustomerCombined[[#This Row],[ID]], Table4[ID], Table4[Store], "Not Found", 0)</f>
        <v>3</v>
      </c>
      <c r="V584" s="5">
        <f>_xlfn.XLOOKUP(CustomerCombined[[#This Row],[ID]], Table4[ID], Table4[Visits], "Not Found", 0)</f>
        <v>4</v>
      </c>
      <c r="W584" s="8">
        <f>_xlfn.XLOOKUP(CustomerCombined[[#This Row],[ID]], Table2[ID],Table2[Complaint], "Not Found", 0 )</f>
        <v>0</v>
      </c>
      <c r="X584" s="8">
        <f>_xlfn.XLOOKUP(CustomerCombined[[#This Row],[ID]], Table2[ID],Table2[Pilot], "Not Found", 0 )</f>
        <v>0</v>
      </c>
      <c r="Y584" s="8">
        <f>_xlfn.XLOOKUP(CustomerCombined[[#This Row],[ID]], Table2[ID],Table2[MC1], "Not Found", 0 )</f>
        <v>0</v>
      </c>
      <c r="Z584" s="8">
        <f>_xlfn.XLOOKUP(CustomerCombined[[#This Row],[ID]], Table2[ID],Table2[MC2], "Not Found", 0 )</f>
        <v>0</v>
      </c>
      <c r="AA584" s="8">
        <f>_xlfn.XLOOKUP(CustomerCombined[[#This Row],[ID]], Table2[ID],Table2[MC3], "Not Found", 0 )</f>
        <v>0</v>
      </c>
      <c r="AB584" s="8">
        <f>_xlfn.XLOOKUP(CustomerCombined[[#This Row],[ID]], Table2[ID],Table2[MC4], "Not Found", 0 )</f>
        <v>0</v>
      </c>
      <c r="AC584" s="8">
        <f>_xlfn.XLOOKUP(CustomerCombined[[#This Row],[ID]], Table2[ID],Table2[MC5], "Not Found", 0 )</f>
        <v>0</v>
      </c>
    </row>
    <row r="585" spans="1:29" x14ac:dyDescent="0.3">
      <c r="A585" s="6">
        <v>2303</v>
      </c>
      <c r="B585" s="6">
        <v>137774</v>
      </c>
      <c r="C585" s="6">
        <v>2</v>
      </c>
      <c r="D585" s="6">
        <v>0</v>
      </c>
      <c r="E585" s="6">
        <v>43</v>
      </c>
      <c r="F585" s="5" t="s">
        <v>7</v>
      </c>
      <c r="G585" s="5" t="s">
        <v>11</v>
      </c>
      <c r="H585" s="3">
        <v>43679</v>
      </c>
      <c r="I585" s="5" t="s">
        <v>434</v>
      </c>
      <c r="J585" s="5">
        <f>_xlfn.XLOOKUP(CustomerCombined[[#This Row],[ID]], Table4[ID], Table4[Recency], "Not Found", 0)</f>
        <v>28</v>
      </c>
      <c r="K585" s="5">
        <f>_xlfn.XLOOKUP(CustomerCombined[[#This Row],[ID]], Table4[ID], Table4[Teas], "Not Found", 0)</f>
        <v>631</v>
      </c>
      <c r="L585" s="5">
        <f>_xlfn.XLOOKUP(CustomerCombined[[#This Row],[ID]], Table4[ID], Table4[Fruits], "Not Found", 0)</f>
        <v>29</v>
      </c>
      <c r="M585" s="5">
        <f>_xlfn.XLOOKUP(CustomerCombined[[#This Row],[ID]], Table4[ID], Table4[Meats], "Not Found", 0)</f>
        <v>390</v>
      </c>
      <c r="N585" s="5">
        <f>_xlfn.XLOOKUP(CustomerCombined[[#This Row],[ID]], Table4[ID], Table4[Seafood], "Not Found", 0)</f>
        <v>26</v>
      </c>
      <c r="O585" s="5">
        <f>_xlfn.XLOOKUP(CustomerCombined[[#This Row],[ID]], Table4[ID], Table4[Sweets], "Not Found", 0)</f>
        <v>7</v>
      </c>
      <c r="P585" s="5">
        <f>_xlfn.XLOOKUP(CustomerCombined[[#This Row],[ID]], Table4[ID], Table4[Premium], "Not Found", 0)</f>
        <v>642</v>
      </c>
      <c r="Q585" s="5">
        <f>_xlfn.XLOOKUP(CustomerCombined[[#This Row],[ID]], Table4[ID], Table4[Regular], "Not Found", 0)</f>
        <v>441</v>
      </c>
      <c r="R585" s="5">
        <f>_xlfn.XLOOKUP(CustomerCombined[[#This Row],[ID]], Table4[ID], Table4[Deals], "Not Found", 0)</f>
        <v>4</v>
      </c>
      <c r="S585" s="5">
        <f>_xlfn.XLOOKUP(CustomerCombined[[#This Row],[ID]], Table4[ID], Table4[Website], "Not Found", 0)</f>
        <v>7</v>
      </c>
      <c r="T585" s="5">
        <f>_xlfn.XLOOKUP(CustomerCombined[[#This Row],[ID]], Table4[ID], Table4[Catalog], "Not Found", 0)</f>
        <v>2</v>
      </c>
      <c r="U585" s="5">
        <f>_xlfn.XLOOKUP(CustomerCombined[[#This Row],[ID]], Table4[ID], Table4[Store], "Not Found", 0)</f>
        <v>3</v>
      </c>
      <c r="V585" s="5">
        <f>_xlfn.XLOOKUP(CustomerCombined[[#This Row],[ID]], Table4[ID], Table4[Visits], "Not Found", 0)</f>
        <v>9</v>
      </c>
      <c r="W585" s="8">
        <f>_xlfn.XLOOKUP(CustomerCombined[[#This Row],[ID]], Table2[ID],Table2[Complaint], "Not Found", 0 )</f>
        <v>1</v>
      </c>
      <c r="X585" s="8">
        <f>_xlfn.XLOOKUP(CustomerCombined[[#This Row],[ID]], Table2[ID],Table2[Pilot], "Not Found", 0 )</f>
        <v>1</v>
      </c>
      <c r="Y585" s="8">
        <f>_xlfn.XLOOKUP(CustomerCombined[[#This Row],[ID]], Table2[ID],Table2[MC1], "Not Found", 0 )</f>
        <v>0</v>
      </c>
      <c r="Z585" s="8">
        <f>_xlfn.XLOOKUP(CustomerCombined[[#This Row],[ID]], Table2[ID],Table2[MC2], "Not Found", 0 )</f>
        <v>0</v>
      </c>
      <c r="AA585" s="8">
        <f>_xlfn.XLOOKUP(CustomerCombined[[#This Row],[ID]], Table2[ID],Table2[MC3], "Not Found", 0 )</f>
        <v>1</v>
      </c>
      <c r="AB585" s="8">
        <f>_xlfn.XLOOKUP(CustomerCombined[[#This Row],[ID]], Table2[ID],Table2[MC4], "Not Found", 0 )</f>
        <v>0</v>
      </c>
      <c r="AC585" s="8">
        <f>_xlfn.XLOOKUP(CustomerCombined[[#This Row],[ID]], Table2[ID],Table2[MC5], "Not Found", 0 )</f>
        <v>0</v>
      </c>
    </row>
    <row r="586" spans="1:29" x14ac:dyDescent="0.3">
      <c r="A586" s="6">
        <v>2772</v>
      </c>
      <c r="B586" s="6">
        <v>136273</v>
      </c>
      <c r="C586" s="6">
        <v>1</v>
      </c>
      <c r="D586" s="6">
        <v>0</v>
      </c>
      <c r="E586" s="6">
        <v>43</v>
      </c>
      <c r="F586" s="5" t="s">
        <v>7</v>
      </c>
      <c r="G586" s="5" t="s">
        <v>12</v>
      </c>
      <c r="H586" s="3" t="s">
        <v>66</v>
      </c>
      <c r="I586" s="5" t="s">
        <v>436</v>
      </c>
      <c r="J586" s="5">
        <f>_xlfn.XLOOKUP(CustomerCombined[[#This Row],[ID]], Table4[ID], Table4[Recency], "Not Found", 0)</f>
        <v>80</v>
      </c>
      <c r="K586" s="5">
        <f>_xlfn.XLOOKUP(CustomerCombined[[#This Row],[ID]], Table4[ID], Table4[Teas], "Not Found", 0)</f>
        <v>109</v>
      </c>
      <c r="L586" s="5">
        <f>_xlfn.XLOOKUP(CustomerCombined[[#This Row],[ID]], Table4[ID], Table4[Fruits], "Not Found", 0)</f>
        <v>11</v>
      </c>
      <c r="M586" s="5">
        <f>_xlfn.XLOOKUP(CustomerCombined[[#This Row],[ID]], Table4[ID], Table4[Meats], "Not Found", 0)</f>
        <v>113</v>
      </c>
      <c r="N586" s="5">
        <f>_xlfn.XLOOKUP(CustomerCombined[[#This Row],[ID]], Table4[ID], Table4[Seafood], "Not Found", 0)</f>
        <v>11</v>
      </c>
      <c r="O586" s="5">
        <f>_xlfn.XLOOKUP(CustomerCombined[[#This Row],[ID]], Table4[ID], Table4[Sweets], "Not Found", 0)</f>
        <v>8</v>
      </c>
      <c r="P586" s="5">
        <f>_xlfn.XLOOKUP(CustomerCombined[[#This Row],[ID]], Table4[ID], Table4[Premium], "Not Found", 0)</f>
        <v>34</v>
      </c>
      <c r="Q586" s="5">
        <f>_xlfn.XLOOKUP(CustomerCombined[[#This Row],[ID]], Table4[ID], Table4[Regular], "Not Found", 0)</f>
        <v>218</v>
      </c>
      <c r="R586" s="5">
        <f>_xlfn.XLOOKUP(CustomerCombined[[#This Row],[ID]], Table4[ID], Table4[Deals], "Not Found", 0)</f>
        <v>2</v>
      </c>
      <c r="S586" s="5">
        <f>_xlfn.XLOOKUP(CustomerCombined[[#This Row],[ID]], Table4[ID], Table4[Website], "Not Found", 0)</f>
        <v>3</v>
      </c>
      <c r="T586" s="5">
        <f>_xlfn.XLOOKUP(CustomerCombined[[#This Row],[ID]], Table4[ID], Table4[Catalog], "Not Found", 0)</f>
        <v>0</v>
      </c>
      <c r="U586" s="5">
        <f>_xlfn.XLOOKUP(CustomerCombined[[#This Row],[ID]], Table4[ID], Table4[Store], "Not Found", 0)</f>
        <v>3</v>
      </c>
      <c r="V586" s="5">
        <f>_xlfn.XLOOKUP(CustomerCombined[[#This Row],[ID]], Table4[ID], Table4[Visits], "Not Found", 0)</f>
        <v>6</v>
      </c>
      <c r="W586" s="8">
        <f>_xlfn.XLOOKUP(CustomerCombined[[#This Row],[ID]], Table2[ID],Table2[Complaint], "Not Found", 0 )</f>
        <v>0</v>
      </c>
      <c r="X586" s="8">
        <f>_xlfn.XLOOKUP(CustomerCombined[[#This Row],[ID]], Table2[ID],Table2[Pilot], "Not Found", 0 )</f>
        <v>0</v>
      </c>
      <c r="Y586" s="8">
        <f>_xlfn.XLOOKUP(CustomerCombined[[#This Row],[ID]], Table2[ID],Table2[MC1], "Not Found", 0 )</f>
        <v>0</v>
      </c>
      <c r="Z586" s="8">
        <f>_xlfn.XLOOKUP(CustomerCombined[[#This Row],[ID]], Table2[ID],Table2[MC2], "Not Found", 0 )</f>
        <v>0</v>
      </c>
      <c r="AA586" s="8">
        <f>_xlfn.XLOOKUP(CustomerCombined[[#This Row],[ID]], Table2[ID],Table2[MC3], "Not Found", 0 )</f>
        <v>0</v>
      </c>
      <c r="AB586" s="8">
        <f>_xlfn.XLOOKUP(CustomerCombined[[#This Row],[ID]], Table2[ID],Table2[MC4], "Not Found", 0 )</f>
        <v>0</v>
      </c>
      <c r="AC586" s="8">
        <f>_xlfn.XLOOKUP(CustomerCombined[[#This Row],[ID]], Table2[ID],Table2[MC5], "Not Found", 0 )</f>
        <v>0</v>
      </c>
    </row>
    <row r="587" spans="1:29" x14ac:dyDescent="0.3">
      <c r="A587" s="6">
        <v>1049</v>
      </c>
      <c r="B587" s="6">
        <v>135790</v>
      </c>
      <c r="C587" s="6">
        <v>1</v>
      </c>
      <c r="D587" s="6">
        <v>0</v>
      </c>
      <c r="E587" s="6">
        <v>43</v>
      </c>
      <c r="F587" s="5" t="s">
        <v>7</v>
      </c>
      <c r="G587" s="5" t="s">
        <v>11</v>
      </c>
      <c r="H587" s="3">
        <v>43714</v>
      </c>
      <c r="I587" s="5" t="s">
        <v>434</v>
      </c>
      <c r="J587" s="5">
        <f>_xlfn.XLOOKUP(CustomerCombined[[#This Row],[ID]], Table4[ID], Table4[Recency], "Not Found", 0)</f>
        <v>54</v>
      </c>
      <c r="K587" s="5">
        <f>_xlfn.XLOOKUP(CustomerCombined[[#This Row],[ID]], Table4[ID], Table4[Teas], "Not Found", 0)</f>
        <v>46</v>
      </c>
      <c r="L587" s="5">
        <f>_xlfn.XLOOKUP(CustomerCombined[[#This Row],[ID]], Table4[ID], Table4[Fruits], "Not Found", 0)</f>
        <v>23</v>
      </c>
      <c r="M587" s="5">
        <f>_xlfn.XLOOKUP(CustomerCombined[[#This Row],[ID]], Table4[ID], Table4[Meats], "Not Found", 0)</f>
        <v>76</v>
      </c>
      <c r="N587" s="5">
        <f>_xlfn.XLOOKUP(CustomerCombined[[#This Row],[ID]], Table4[ID], Table4[Seafood], "Not Found", 0)</f>
        <v>114</v>
      </c>
      <c r="O587" s="5">
        <f>_xlfn.XLOOKUP(CustomerCombined[[#This Row],[ID]], Table4[ID], Table4[Sweets], "Not Found", 0)</f>
        <v>4</v>
      </c>
      <c r="P587" s="5">
        <f>_xlfn.XLOOKUP(CustomerCombined[[#This Row],[ID]], Table4[ID], Table4[Premium], "Not Found", 0)</f>
        <v>11</v>
      </c>
      <c r="Q587" s="5">
        <f>_xlfn.XLOOKUP(CustomerCombined[[#This Row],[ID]], Table4[ID], Table4[Regular], "Not Found", 0)</f>
        <v>250</v>
      </c>
      <c r="R587" s="5">
        <f>_xlfn.XLOOKUP(CustomerCombined[[#This Row],[ID]], Table4[ID], Table4[Deals], "Not Found", 0)</f>
        <v>2</v>
      </c>
      <c r="S587" s="5">
        <f>_xlfn.XLOOKUP(CustomerCombined[[#This Row],[ID]], Table4[ID], Table4[Website], "Not Found", 0)</f>
        <v>2</v>
      </c>
      <c r="T587" s="5">
        <f>_xlfn.XLOOKUP(CustomerCombined[[#This Row],[ID]], Table4[ID], Table4[Catalog], "Not Found", 0)</f>
        <v>0</v>
      </c>
      <c r="U587" s="5">
        <f>_xlfn.XLOOKUP(CustomerCombined[[#This Row],[ID]], Table4[ID], Table4[Store], "Not Found", 0)</f>
        <v>3</v>
      </c>
      <c r="V587" s="5">
        <f>_xlfn.XLOOKUP(CustomerCombined[[#This Row],[ID]], Table4[ID], Table4[Visits], "Not Found", 0)</f>
        <v>7</v>
      </c>
      <c r="W587" s="8">
        <f>_xlfn.XLOOKUP(CustomerCombined[[#This Row],[ID]], Table2[ID],Table2[Complaint], "Not Found", 0 )</f>
        <v>0</v>
      </c>
      <c r="X587" s="8">
        <f>_xlfn.XLOOKUP(CustomerCombined[[#This Row],[ID]], Table2[ID],Table2[Pilot], "Not Found", 0 )</f>
        <v>0</v>
      </c>
      <c r="Y587" s="8">
        <f>_xlfn.XLOOKUP(CustomerCombined[[#This Row],[ID]], Table2[ID],Table2[MC1], "Not Found", 0 )</f>
        <v>0</v>
      </c>
      <c r="Z587" s="8">
        <f>_xlfn.XLOOKUP(CustomerCombined[[#This Row],[ID]], Table2[ID],Table2[MC2], "Not Found", 0 )</f>
        <v>0</v>
      </c>
      <c r="AA587" s="8">
        <f>_xlfn.XLOOKUP(CustomerCombined[[#This Row],[ID]], Table2[ID],Table2[MC3], "Not Found", 0 )</f>
        <v>0</v>
      </c>
      <c r="AB587" s="8">
        <f>_xlfn.XLOOKUP(CustomerCombined[[#This Row],[ID]], Table2[ID],Table2[MC4], "Not Found", 0 )</f>
        <v>0</v>
      </c>
      <c r="AC587" s="8">
        <f>_xlfn.XLOOKUP(CustomerCombined[[#This Row],[ID]], Table2[ID],Table2[MC5], "Not Found", 0 )</f>
        <v>0</v>
      </c>
    </row>
    <row r="588" spans="1:29" x14ac:dyDescent="0.3">
      <c r="A588" s="6">
        <v>1611</v>
      </c>
      <c r="B588" s="6">
        <v>134487</v>
      </c>
      <c r="C588" s="6">
        <v>1</v>
      </c>
      <c r="D588" s="6">
        <v>1</v>
      </c>
      <c r="E588" s="6">
        <v>43</v>
      </c>
      <c r="F588" s="5" t="s">
        <v>5</v>
      </c>
      <c r="G588" s="5" t="s">
        <v>13</v>
      </c>
      <c r="H588" s="3">
        <v>43771</v>
      </c>
      <c r="I588" s="5" t="s">
        <v>435</v>
      </c>
      <c r="J588" s="5">
        <f>_xlfn.XLOOKUP(CustomerCombined[[#This Row],[ID]], Table4[ID], Table4[Recency], "Not Found", 0)</f>
        <v>94</v>
      </c>
      <c r="K588" s="5">
        <f>_xlfn.XLOOKUP(CustomerCombined[[#This Row],[ID]], Table4[ID], Table4[Teas], "Not Found", 0)</f>
        <v>74</v>
      </c>
      <c r="L588" s="5">
        <f>_xlfn.XLOOKUP(CustomerCombined[[#This Row],[ID]], Table4[ID], Table4[Fruits], "Not Found", 0)</f>
        <v>70</v>
      </c>
      <c r="M588" s="5">
        <f>_xlfn.XLOOKUP(CustomerCombined[[#This Row],[ID]], Table4[ID], Table4[Meats], "Not Found", 0)</f>
        <v>129</v>
      </c>
      <c r="N588" s="5">
        <f>_xlfn.XLOOKUP(CustomerCombined[[#This Row],[ID]], Table4[ID], Table4[Seafood], "Not Found", 0)</f>
        <v>94</v>
      </c>
      <c r="O588" s="5">
        <f>_xlfn.XLOOKUP(CustomerCombined[[#This Row],[ID]], Table4[ID], Table4[Sweets], "Not Found", 0)</f>
        <v>4</v>
      </c>
      <c r="P588" s="5">
        <f>_xlfn.XLOOKUP(CustomerCombined[[#This Row],[ID]], Table4[ID], Table4[Premium], "Not Found", 0)</f>
        <v>31</v>
      </c>
      <c r="Q588" s="5">
        <f>_xlfn.XLOOKUP(CustomerCombined[[#This Row],[ID]], Table4[ID], Table4[Regular], "Not Found", 0)</f>
        <v>339</v>
      </c>
      <c r="R588" s="5">
        <f>_xlfn.XLOOKUP(CustomerCombined[[#This Row],[ID]], Table4[ID], Table4[Deals], "Not Found", 0)</f>
        <v>3</v>
      </c>
      <c r="S588" s="5">
        <f>_xlfn.XLOOKUP(CustomerCombined[[#This Row],[ID]], Table4[ID], Table4[Website], "Not Found", 0)</f>
        <v>3</v>
      </c>
      <c r="T588" s="5">
        <f>_xlfn.XLOOKUP(CustomerCombined[[#This Row],[ID]], Table4[ID], Table4[Catalog], "Not Found", 0)</f>
        <v>0</v>
      </c>
      <c r="U588" s="5">
        <f>_xlfn.XLOOKUP(CustomerCombined[[#This Row],[ID]], Table4[ID], Table4[Store], "Not Found", 0)</f>
        <v>3</v>
      </c>
      <c r="V588" s="5">
        <f>_xlfn.XLOOKUP(CustomerCombined[[#This Row],[ID]], Table4[ID], Table4[Visits], "Not Found", 0)</f>
        <v>9</v>
      </c>
      <c r="W588" s="8">
        <f>_xlfn.XLOOKUP(CustomerCombined[[#This Row],[ID]], Table2[ID],Table2[Complaint], "Not Found", 0 )</f>
        <v>0</v>
      </c>
      <c r="X588" s="8">
        <f>_xlfn.XLOOKUP(CustomerCombined[[#This Row],[ID]], Table2[ID],Table2[Pilot], "Not Found", 0 )</f>
        <v>0</v>
      </c>
      <c r="Y588" s="8">
        <f>_xlfn.XLOOKUP(CustomerCombined[[#This Row],[ID]], Table2[ID],Table2[MC1], "Not Found", 0 )</f>
        <v>0</v>
      </c>
      <c r="Z588" s="8">
        <f>_xlfn.XLOOKUP(CustomerCombined[[#This Row],[ID]], Table2[ID],Table2[MC2], "Not Found", 0 )</f>
        <v>0</v>
      </c>
      <c r="AA588" s="8">
        <f>_xlfn.XLOOKUP(CustomerCombined[[#This Row],[ID]], Table2[ID],Table2[MC3], "Not Found", 0 )</f>
        <v>0</v>
      </c>
      <c r="AB588" s="8">
        <f>_xlfn.XLOOKUP(CustomerCombined[[#This Row],[ID]], Table2[ID],Table2[MC4], "Not Found", 0 )</f>
        <v>0</v>
      </c>
      <c r="AC588" s="8">
        <f>_xlfn.XLOOKUP(CustomerCombined[[#This Row],[ID]], Table2[ID],Table2[MC5], "Not Found", 0 )</f>
        <v>0</v>
      </c>
    </row>
    <row r="589" spans="1:29" x14ac:dyDescent="0.3">
      <c r="A589" s="6">
        <v>2447</v>
      </c>
      <c r="B589" s="6">
        <v>134380</v>
      </c>
      <c r="C589" s="6">
        <v>1</v>
      </c>
      <c r="D589" s="6">
        <v>0</v>
      </c>
      <c r="E589" s="6">
        <v>43</v>
      </c>
      <c r="F589" s="5" t="s">
        <v>6</v>
      </c>
      <c r="G589" s="5" t="s">
        <v>11</v>
      </c>
      <c r="H589" s="3">
        <v>43656</v>
      </c>
      <c r="I589" s="5" t="s">
        <v>434</v>
      </c>
      <c r="J589" s="5">
        <f>_xlfn.XLOOKUP(CustomerCombined[[#This Row],[ID]], Table4[ID], Table4[Recency], "Not Found", 0)</f>
        <v>68</v>
      </c>
      <c r="K589" s="5">
        <f>_xlfn.XLOOKUP(CustomerCombined[[#This Row],[ID]], Table4[ID], Table4[Teas], "Not Found", 0)</f>
        <v>281</v>
      </c>
      <c r="L589" s="5">
        <f>_xlfn.XLOOKUP(CustomerCombined[[#This Row],[ID]], Table4[ID], Table4[Fruits], "Not Found", 0)</f>
        <v>27</v>
      </c>
      <c r="M589" s="5">
        <f>_xlfn.XLOOKUP(CustomerCombined[[#This Row],[ID]], Table4[ID], Table4[Meats], "Not Found", 0)</f>
        <v>227</v>
      </c>
      <c r="N589" s="5">
        <f>_xlfn.XLOOKUP(CustomerCombined[[#This Row],[ID]], Table4[ID], Table4[Seafood], "Not Found", 0)</f>
        <v>51</v>
      </c>
      <c r="O589" s="5">
        <f>_xlfn.XLOOKUP(CustomerCombined[[#This Row],[ID]], Table4[ID], Table4[Sweets], "Not Found", 0)</f>
        <v>4</v>
      </c>
      <c r="P589" s="5">
        <f>_xlfn.XLOOKUP(CustomerCombined[[#This Row],[ID]], Table4[ID], Table4[Premium], "Not Found", 0)</f>
        <v>94</v>
      </c>
      <c r="Q589" s="5">
        <f>_xlfn.XLOOKUP(CustomerCombined[[#This Row],[ID]], Table4[ID], Table4[Regular], "Not Found", 0)</f>
        <v>496</v>
      </c>
      <c r="R589" s="5">
        <f>_xlfn.XLOOKUP(CustomerCombined[[#This Row],[ID]], Table4[ID], Table4[Deals], "Not Found", 0)</f>
        <v>4</v>
      </c>
      <c r="S589" s="5">
        <f>_xlfn.XLOOKUP(CustomerCombined[[#This Row],[ID]], Table4[ID], Table4[Website], "Not Found", 0)</f>
        <v>4</v>
      </c>
      <c r="T589" s="5">
        <f>_xlfn.XLOOKUP(CustomerCombined[[#This Row],[ID]], Table4[ID], Table4[Catalog], "Not Found", 0)</f>
        <v>1</v>
      </c>
      <c r="U589" s="5">
        <f>_xlfn.XLOOKUP(CustomerCombined[[#This Row],[ID]], Table4[ID], Table4[Store], "Not Found", 0)</f>
        <v>3</v>
      </c>
      <c r="V589" s="5">
        <f>_xlfn.XLOOKUP(CustomerCombined[[#This Row],[ID]], Table4[ID], Table4[Visits], "Not Found", 0)</f>
        <v>8</v>
      </c>
      <c r="W589" s="8">
        <f>_xlfn.XLOOKUP(CustomerCombined[[#This Row],[ID]], Table2[ID],Table2[Complaint], "Not Found", 0 )</f>
        <v>0</v>
      </c>
      <c r="X589" s="8">
        <f>_xlfn.XLOOKUP(CustomerCombined[[#This Row],[ID]], Table2[ID],Table2[Pilot], "Not Found", 0 )</f>
        <v>0</v>
      </c>
      <c r="Y589" s="8">
        <f>_xlfn.XLOOKUP(CustomerCombined[[#This Row],[ID]], Table2[ID],Table2[MC1], "Not Found", 0 )</f>
        <v>0</v>
      </c>
      <c r="Z589" s="8">
        <f>_xlfn.XLOOKUP(CustomerCombined[[#This Row],[ID]], Table2[ID],Table2[MC2], "Not Found", 0 )</f>
        <v>0</v>
      </c>
      <c r="AA589" s="8">
        <f>_xlfn.XLOOKUP(CustomerCombined[[#This Row],[ID]], Table2[ID],Table2[MC3], "Not Found", 0 )</f>
        <v>0</v>
      </c>
      <c r="AB589" s="8">
        <f>_xlfn.XLOOKUP(CustomerCombined[[#This Row],[ID]], Table2[ID],Table2[MC4], "Not Found", 0 )</f>
        <v>0</v>
      </c>
      <c r="AC589" s="8">
        <f>_xlfn.XLOOKUP(CustomerCombined[[#This Row],[ID]], Table2[ID],Table2[MC5], "Not Found", 0 )</f>
        <v>0</v>
      </c>
    </row>
    <row r="590" spans="1:29" x14ac:dyDescent="0.3">
      <c r="A590" s="6">
        <v>1577</v>
      </c>
      <c r="B590" s="6">
        <v>133178</v>
      </c>
      <c r="C590" s="6">
        <v>1</v>
      </c>
      <c r="D590" s="6">
        <v>0</v>
      </c>
      <c r="E590" s="6">
        <v>43</v>
      </c>
      <c r="F590" s="5" t="s">
        <v>8</v>
      </c>
      <c r="G590" s="5" t="s">
        <v>11</v>
      </c>
      <c r="H590" s="3">
        <v>43989</v>
      </c>
      <c r="I590" s="5" t="s">
        <v>434</v>
      </c>
      <c r="J590" s="5">
        <f>_xlfn.XLOOKUP(CustomerCombined[[#This Row],[ID]], Table4[ID], Table4[Recency], "Not Found", 0)</f>
        <v>9</v>
      </c>
      <c r="K590" s="5">
        <f>_xlfn.XLOOKUP(CustomerCombined[[#This Row],[ID]], Table4[ID], Table4[Teas], "Not Found", 0)</f>
        <v>48</v>
      </c>
      <c r="L590" s="5">
        <f>_xlfn.XLOOKUP(CustomerCombined[[#This Row],[ID]], Table4[ID], Table4[Fruits], "Not Found", 0)</f>
        <v>24</v>
      </c>
      <c r="M590" s="5">
        <f>_xlfn.XLOOKUP(CustomerCombined[[#This Row],[ID]], Table4[ID], Table4[Meats], "Not Found", 0)</f>
        <v>8</v>
      </c>
      <c r="N590" s="5">
        <f>_xlfn.XLOOKUP(CustomerCombined[[#This Row],[ID]], Table4[ID], Table4[Seafood], "Not Found", 0)</f>
        <v>44</v>
      </c>
      <c r="O590" s="5">
        <f>_xlfn.XLOOKUP(CustomerCombined[[#This Row],[ID]], Table4[ID], Table4[Sweets], "Not Found", 0)</f>
        <v>8</v>
      </c>
      <c r="P590" s="5">
        <f>_xlfn.XLOOKUP(CustomerCombined[[#This Row],[ID]], Table4[ID], Table4[Premium], "Not Found", 0)</f>
        <v>64</v>
      </c>
      <c r="Q590" s="5">
        <f>_xlfn.XLOOKUP(CustomerCombined[[#This Row],[ID]], Table4[ID], Table4[Regular], "Not Found", 0)</f>
        <v>68</v>
      </c>
      <c r="R590" s="5">
        <f>_xlfn.XLOOKUP(CustomerCombined[[#This Row],[ID]], Table4[ID], Table4[Deals], "Not Found", 0)</f>
        <v>1</v>
      </c>
      <c r="S590" s="5">
        <f>_xlfn.XLOOKUP(CustomerCombined[[#This Row],[ID]], Table4[ID], Table4[Website], "Not Found", 0)</f>
        <v>1</v>
      </c>
      <c r="T590" s="5">
        <f>_xlfn.XLOOKUP(CustomerCombined[[#This Row],[ID]], Table4[ID], Table4[Catalog], "Not Found", 0)</f>
        <v>0</v>
      </c>
      <c r="U590" s="5">
        <f>_xlfn.XLOOKUP(CustomerCombined[[#This Row],[ID]], Table4[ID], Table4[Store], "Not Found", 0)</f>
        <v>3</v>
      </c>
      <c r="V590" s="5">
        <f>_xlfn.XLOOKUP(CustomerCombined[[#This Row],[ID]], Table4[ID], Table4[Visits], "Not Found", 0)</f>
        <v>4</v>
      </c>
      <c r="W590" s="8">
        <f>_xlfn.XLOOKUP(CustomerCombined[[#This Row],[ID]], Table2[ID],Table2[Complaint], "Not Found", 0 )</f>
        <v>0</v>
      </c>
      <c r="X590" s="8">
        <f>_xlfn.XLOOKUP(CustomerCombined[[#This Row],[ID]], Table2[ID],Table2[Pilot], "Not Found", 0 )</f>
        <v>0</v>
      </c>
      <c r="Y590" s="8">
        <f>_xlfn.XLOOKUP(CustomerCombined[[#This Row],[ID]], Table2[ID],Table2[MC1], "Not Found", 0 )</f>
        <v>0</v>
      </c>
      <c r="Z590" s="8">
        <f>_xlfn.XLOOKUP(CustomerCombined[[#This Row],[ID]], Table2[ID],Table2[MC2], "Not Found", 0 )</f>
        <v>0</v>
      </c>
      <c r="AA590" s="8">
        <f>_xlfn.XLOOKUP(CustomerCombined[[#This Row],[ID]], Table2[ID],Table2[MC3], "Not Found", 0 )</f>
        <v>0</v>
      </c>
      <c r="AB590" s="8">
        <f>_xlfn.XLOOKUP(CustomerCombined[[#This Row],[ID]], Table2[ID],Table2[MC4], "Not Found", 0 )</f>
        <v>0</v>
      </c>
      <c r="AC590" s="8">
        <f>_xlfn.XLOOKUP(CustomerCombined[[#This Row],[ID]], Table2[ID],Table2[MC5], "Not Found", 0 )</f>
        <v>0</v>
      </c>
    </row>
    <row r="591" spans="1:29" x14ac:dyDescent="0.3">
      <c r="A591" s="6">
        <v>2472</v>
      </c>
      <c r="B591" s="6">
        <v>132952</v>
      </c>
      <c r="C591" s="6">
        <v>1</v>
      </c>
      <c r="D591" s="6">
        <v>0</v>
      </c>
      <c r="E591" s="6">
        <v>43</v>
      </c>
      <c r="F591" s="5" t="s">
        <v>5</v>
      </c>
      <c r="G591" s="5" t="s">
        <v>11</v>
      </c>
      <c r="H591" s="3">
        <v>44017</v>
      </c>
      <c r="I591" s="5" t="s">
        <v>436</v>
      </c>
      <c r="J591" s="5">
        <f>_xlfn.XLOOKUP(CustomerCombined[[#This Row],[ID]], Table4[ID], Table4[Recency], "Not Found", 0)</f>
        <v>36</v>
      </c>
      <c r="K591" s="5">
        <f>_xlfn.XLOOKUP(CustomerCombined[[#This Row],[ID]], Table4[ID], Table4[Teas], "Not Found", 0)</f>
        <v>153</v>
      </c>
      <c r="L591" s="5">
        <f>_xlfn.XLOOKUP(CustomerCombined[[#This Row],[ID]], Table4[ID], Table4[Fruits], "Not Found", 0)</f>
        <v>0</v>
      </c>
      <c r="M591" s="5">
        <f>_xlfn.XLOOKUP(CustomerCombined[[#This Row],[ID]], Table4[ID], Table4[Meats], "Not Found", 0)</f>
        <v>48</v>
      </c>
      <c r="N591" s="5">
        <f>_xlfn.XLOOKUP(CustomerCombined[[#This Row],[ID]], Table4[ID], Table4[Seafood], "Not Found", 0)</f>
        <v>12</v>
      </c>
      <c r="O591" s="5">
        <f>_xlfn.XLOOKUP(CustomerCombined[[#This Row],[ID]], Table4[ID], Table4[Sweets], "Not Found", 0)</f>
        <v>4</v>
      </c>
      <c r="P591" s="5">
        <f>_xlfn.XLOOKUP(CustomerCombined[[#This Row],[ID]], Table4[ID], Table4[Premium], "Not Found", 0)</f>
        <v>4</v>
      </c>
      <c r="Q591" s="5">
        <f>_xlfn.XLOOKUP(CustomerCombined[[#This Row],[ID]], Table4[ID], Table4[Regular], "Not Found", 0)</f>
        <v>214</v>
      </c>
      <c r="R591" s="5">
        <f>_xlfn.XLOOKUP(CustomerCombined[[#This Row],[ID]], Table4[ID], Table4[Deals], "Not Found", 0)</f>
        <v>1</v>
      </c>
      <c r="S591" s="5">
        <f>_xlfn.XLOOKUP(CustomerCombined[[#This Row],[ID]], Table4[ID], Table4[Website], "Not Found", 0)</f>
        <v>2</v>
      </c>
      <c r="T591" s="5">
        <f>_xlfn.XLOOKUP(CustomerCombined[[#This Row],[ID]], Table4[ID], Table4[Catalog], "Not Found", 0)</f>
        <v>0</v>
      </c>
      <c r="U591" s="5">
        <f>_xlfn.XLOOKUP(CustomerCombined[[#This Row],[ID]], Table4[ID], Table4[Store], "Not Found", 0)</f>
        <v>3</v>
      </c>
      <c r="V591" s="5">
        <f>_xlfn.XLOOKUP(CustomerCombined[[#This Row],[ID]], Table4[ID], Table4[Visits], "Not Found", 0)</f>
        <v>7</v>
      </c>
      <c r="W591" s="8">
        <f>_xlfn.XLOOKUP(CustomerCombined[[#This Row],[ID]], Table2[ID],Table2[Complaint], "Not Found", 0 )</f>
        <v>0</v>
      </c>
      <c r="X591" s="8">
        <f>_xlfn.XLOOKUP(CustomerCombined[[#This Row],[ID]], Table2[ID],Table2[Pilot], "Not Found", 0 )</f>
        <v>0</v>
      </c>
      <c r="Y591" s="8">
        <f>_xlfn.XLOOKUP(CustomerCombined[[#This Row],[ID]], Table2[ID],Table2[MC1], "Not Found", 0 )</f>
        <v>0</v>
      </c>
      <c r="Z591" s="8">
        <f>_xlfn.XLOOKUP(CustomerCombined[[#This Row],[ID]], Table2[ID],Table2[MC2], "Not Found", 0 )</f>
        <v>0</v>
      </c>
      <c r="AA591" s="8">
        <f>_xlfn.XLOOKUP(CustomerCombined[[#This Row],[ID]], Table2[ID],Table2[MC3], "Not Found", 0 )</f>
        <v>0</v>
      </c>
      <c r="AB591" s="8">
        <f>_xlfn.XLOOKUP(CustomerCombined[[#This Row],[ID]], Table2[ID],Table2[MC4], "Not Found", 0 )</f>
        <v>0</v>
      </c>
      <c r="AC591" s="8">
        <f>_xlfn.XLOOKUP(CustomerCombined[[#This Row],[ID]], Table2[ID],Table2[MC5], "Not Found", 0 )</f>
        <v>0</v>
      </c>
    </row>
    <row r="592" spans="1:29" x14ac:dyDescent="0.3">
      <c r="A592" s="6">
        <v>2895</v>
      </c>
      <c r="B592" s="6">
        <v>131878</v>
      </c>
      <c r="C592" s="6">
        <v>0</v>
      </c>
      <c r="D592" s="6">
        <v>1</v>
      </c>
      <c r="E592" s="6">
        <v>43</v>
      </c>
      <c r="F592" s="5" t="s">
        <v>7</v>
      </c>
      <c r="G592" s="5" t="s">
        <v>442</v>
      </c>
      <c r="H592" s="3" t="s">
        <v>27</v>
      </c>
      <c r="I592" s="5" t="s">
        <v>435</v>
      </c>
      <c r="J592" s="5">
        <f>_xlfn.XLOOKUP(CustomerCombined[[#This Row],[ID]], Table4[ID], Table4[Recency], "Not Found", 0)</f>
        <v>7</v>
      </c>
      <c r="K592" s="5">
        <f>_xlfn.XLOOKUP(CustomerCombined[[#This Row],[ID]], Table4[ID], Table4[Teas], "Not Found", 0)</f>
        <v>95</v>
      </c>
      <c r="L592" s="5">
        <f>_xlfn.XLOOKUP(CustomerCombined[[#This Row],[ID]], Table4[ID], Table4[Fruits], "Not Found", 0)</f>
        <v>17</v>
      </c>
      <c r="M592" s="5">
        <f>_xlfn.XLOOKUP(CustomerCombined[[#This Row],[ID]], Table4[ID], Table4[Meats], "Not Found", 0)</f>
        <v>21</v>
      </c>
      <c r="N592" s="5">
        <f>_xlfn.XLOOKUP(CustomerCombined[[#This Row],[ID]], Table4[ID], Table4[Seafood], "Not Found", 0)</f>
        <v>41</v>
      </c>
      <c r="O592" s="5">
        <f>_xlfn.XLOOKUP(CustomerCombined[[#This Row],[ID]], Table4[ID], Table4[Sweets], "Not Found", 0)</f>
        <v>21</v>
      </c>
      <c r="P592" s="5">
        <f>_xlfn.XLOOKUP(CustomerCombined[[#This Row],[ID]], Table4[ID], Table4[Premium], "Not Found", 0)</f>
        <v>95</v>
      </c>
      <c r="Q592" s="5">
        <f>_xlfn.XLOOKUP(CustomerCombined[[#This Row],[ID]], Table4[ID], Table4[Regular], "Not Found", 0)</f>
        <v>99</v>
      </c>
      <c r="R592" s="5">
        <f>_xlfn.XLOOKUP(CustomerCombined[[#This Row],[ID]], Table4[ID], Table4[Deals], "Not Found", 0)</f>
        <v>1</v>
      </c>
      <c r="S592" s="5">
        <f>_xlfn.XLOOKUP(CustomerCombined[[#This Row],[ID]], Table4[ID], Table4[Website], "Not Found", 0)</f>
        <v>1</v>
      </c>
      <c r="T592" s="5">
        <f>_xlfn.XLOOKUP(CustomerCombined[[#This Row],[ID]], Table4[ID], Table4[Catalog], "Not Found", 0)</f>
        <v>0</v>
      </c>
      <c r="U592" s="5">
        <f>_xlfn.XLOOKUP(CustomerCombined[[#This Row],[ID]], Table4[ID], Table4[Store], "Not Found", 0)</f>
        <v>4</v>
      </c>
      <c r="V592" s="5">
        <f>_xlfn.XLOOKUP(CustomerCombined[[#This Row],[ID]], Table4[ID], Table4[Visits], "Not Found", 0)</f>
        <v>3</v>
      </c>
      <c r="W592" s="8">
        <f>_xlfn.XLOOKUP(CustomerCombined[[#This Row],[ID]], Table2[ID],Table2[Complaint], "Not Found", 0 )</f>
        <v>0</v>
      </c>
      <c r="X592" s="8">
        <f>_xlfn.XLOOKUP(CustomerCombined[[#This Row],[ID]], Table2[ID],Table2[Pilot], "Not Found", 0 )</f>
        <v>0</v>
      </c>
      <c r="Y592" s="8">
        <f>_xlfn.XLOOKUP(CustomerCombined[[#This Row],[ID]], Table2[ID],Table2[MC1], "Not Found", 0 )</f>
        <v>0</v>
      </c>
      <c r="Z592" s="8">
        <f>_xlfn.XLOOKUP(CustomerCombined[[#This Row],[ID]], Table2[ID],Table2[MC2], "Not Found", 0 )</f>
        <v>0</v>
      </c>
      <c r="AA592" s="8">
        <f>_xlfn.XLOOKUP(CustomerCombined[[#This Row],[ID]], Table2[ID],Table2[MC3], "Not Found", 0 )</f>
        <v>0</v>
      </c>
      <c r="AB592" s="8">
        <f>_xlfn.XLOOKUP(CustomerCombined[[#This Row],[ID]], Table2[ID],Table2[MC4], "Not Found", 0 )</f>
        <v>0</v>
      </c>
      <c r="AC592" s="8">
        <f>_xlfn.XLOOKUP(CustomerCombined[[#This Row],[ID]], Table2[ID],Table2[MC5], "Not Found", 0 )</f>
        <v>0</v>
      </c>
    </row>
    <row r="593" spans="1:29" x14ac:dyDescent="0.3">
      <c r="A593" s="6">
        <v>1183</v>
      </c>
      <c r="B593" s="6">
        <v>131353</v>
      </c>
      <c r="C593" s="6">
        <v>1</v>
      </c>
      <c r="D593" s="6">
        <v>1</v>
      </c>
      <c r="E593" s="6">
        <v>43</v>
      </c>
      <c r="F593" s="5" t="s">
        <v>6</v>
      </c>
      <c r="G593" s="5" t="s">
        <v>11</v>
      </c>
      <c r="H593" s="3">
        <v>43927</v>
      </c>
      <c r="I593" s="5" t="s">
        <v>437</v>
      </c>
      <c r="J593" s="5">
        <f>_xlfn.XLOOKUP(CustomerCombined[[#This Row],[ID]], Table4[ID], Table4[Recency], "Not Found", 0)</f>
        <v>24</v>
      </c>
      <c r="K593" s="5">
        <f>_xlfn.XLOOKUP(CustomerCombined[[#This Row],[ID]], Table4[ID], Table4[Teas], "Not Found", 0)</f>
        <v>42</v>
      </c>
      <c r="L593" s="5">
        <f>_xlfn.XLOOKUP(CustomerCombined[[#This Row],[ID]], Table4[ID], Table4[Fruits], "Not Found", 0)</f>
        <v>0</v>
      </c>
      <c r="M593" s="5">
        <f>_xlfn.XLOOKUP(CustomerCombined[[#This Row],[ID]], Table4[ID], Table4[Meats], "Not Found", 0)</f>
        <v>42</v>
      </c>
      <c r="N593" s="5">
        <f>_xlfn.XLOOKUP(CustomerCombined[[#This Row],[ID]], Table4[ID], Table4[Seafood], "Not Found", 0)</f>
        <v>13</v>
      </c>
      <c r="O593" s="5">
        <f>_xlfn.XLOOKUP(CustomerCombined[[#This Row],[ID]], Table4[ID], Table4[Sweets], "Not Found", 0)</f>
        <v>4</v>
      </c>
      <c r="P593" s="5">
        <f>_xlfn.XLOOKUP(CustomerCombined[[#This Row],[ID]], Table4[ID], Table4[Premium], "Not Found", 0)</f>
        <v>29</v>
      </c>
      <c r="Q593" s="5">
        <f>_xlfn.XLOOKUP(CustomerCombined[[#This Row],[ID]], Table4[ID], Table4[Regular], "Not Found", 0)</f>
        <v>71</v>
      </c>
      <c r="R593" s="5">
        <f>_xlfn.XLOOKUP(CustomerCombined[[#This Row],[ID]], Table4[ID], Table4[Deals], "Not Found", 0)</f>
        <v>2</v>
      </c>
      <c r="S593" s="5">
        <f>_xlfn.XLOOKUP(CustomerCombined[[#This Row],[ID]], Table4[ID], Table4[Website], "Not Found", 0)</f>
        <v>1</v>
      </c>
      <c r="T593" s="5">
        <f>_xlfn.XLOOKUP(CustomerCombined[[#This Row],[ID]], Table4[ID], Table4[Catalog], "Not Found", 0)</f>
        <v>1</v>
      </c>
      <c r="U593" s="5">
        <f>_xlfn.XLOOKUP(CustomerCombined[[#This Row],[ID]], Table4[ID], Table4[Store], "Not Found", 0)</f>
        <v>2</v>
      </c>
      <c r="V593" s="5">
        <f>_xlfn.XLOOKUP(CustomerCombined[[#This Row],[ID]], Table4[ID], Table4[Visits], "Not Found", 0)</f>
        <v>8</v>
      </c>
      <c r="W593" s="8">
        <f>_xlfn.XLOOKUP(CustomerCombined[[#This Row],[ID]], Table2[ID],Table2[Complaint], "Not Found", 0 )</f>
        <v>0</v>
      </c>
      <c r="X593" s="8">
        <f>_xlfn.XLOOKUP(CustomerCombined[[#This Row],[ID]], Table2[ID],Table2[Pilot], "Not Found", 0 )</f>
        <v>0</v>
      </c>
      <c r="Y593" s="8">
        <f>_xlfn.XLOOKUP(CustomerCombined[[#This Row],[ID]], Table2[ID],Table2[MC1], "Not Found", 0 )</f>
        <v>0</v>
      </c>
      <c r="Z593" s="8">
        <f>_xlfn.XLOOKUP(CustomerCombined[[#This Row],[ID]], Table2[ID],Table2[MC2], "Not Found", 0 )</f>
        <v>0</v>
      </c>
      <c r="AA593" s="8">
        <f>_xlfn.XLOOKUP(CustomerCombined[[#This Row],[ID]], Table2[ID],Table2[MC3], "Not Found", 0 )</f>
        <v>0</v>
      </c>
      <c r="AB593" s="8">
        <f>_xlfn.XLOOKUP(CustomerCombined[[#This Row],[ID]], Table2[ID],Table2[MC4], "Not Found", 0 )</f>
        <v>0</v>
      </c>
      <c r="AC593" s="8">
        <f>_xlfn.XLOOKUP(CustomerCombined[[#This Row],[ID]], Table2[ID],Table2[MC5], "Not Found", 0 )</f>
        <v>0</v>
      </c>
    </row>
    <row r="594" spans="1:29" x14ac:dyDescent="0.3">
      <c r="A594" s="6">
        <v>2590</v>
      </c>
      <c r="B594" s="6">
        <v>131353</v>
      </c>
      <c r="C594" s="6">
        <v>1</v>
      </c>
      <c r="D594" s="6">
        <v>1</v>
      </c>
      <c r="E594" s="6">
        <v>43</v>
      </c>
      <c r="F594" s="5" t="s">
        <v>6</v>
      </c>
      <c r="G594" s="5" t="s">
        <v>11</v>
      </c>
      <c r="H594" s="3">
        <v>43927</v>
      </c>
      <c r="I594" s="5" t="s">
        <v>439</v>
      </c>
      <c r="J594" s="5">
        <f>_xlfn.XLOOKUP(CustomerCombined[[#This Row],[ID]], Table4[ID], Table4[Recency], "Not Found", 0)</f>
        <v>24</v>
      </c>
      <c r="K594" s="5">
        <f>_xlfn.XLOOKUP(CustomerCombined[[#This Row],[ID]], Table4[ID], Table4[Teas], "Not Found", 0)</f>
        <v>42</v>
      </c>
      <c r="L594" s="5">
        <f>_xlfn.XLOOKUP(CustomerCombined[[#This Row],[ID]], Table4[ID], Table4[Fruits], "Not Found", 0)</f>
        <v>0</v>
      </c>
      <c r="M594" s="5">
        <f>_xlfn.XLOOKUP(CustomerCombined[[#This Row],[ID]], Table4[ID], Table4[Meats], "Not Found", 0)</f>
        <v>42</v>
      </c>
      <c r="N594" s="5">
        <f>_xlfn.XLOOKUP(CustomerCombined[[#This Row],[ID]], Table4[ID], Table4[Seafood], "Not Found", 0)</f>
        <v>13</v>
      </c>
      <c r="O594" s="5">
        <f>_xlfn.XLOOKUP(CustomerCombined[[#This Row],[ID]], Table4[ID], Table4[Sweets], "Not Found", 0)</f>
        <v>4</v>
      </c>
      <c r="P594" s="5">
        <f>_xlfn.XLOOKUP(CustomerCombined[[#This Row],[ID]], Table4[ID], Table4[Premium], "Not Found", 0)</f>
        <v>29</v>
      </c>
      <c r="Q594" s="5">
        <f>_xlfn.XLOOKUP(CustomerCombined[[#This Row],[ID]], Table4[ID], Table4[Regular], "Not Found", 0)</f>
        <v>71</v>
      </c>
      <c r="R594" s="5">
        <f>_xlfn.XLOOKUP(CustomerCombined[[#This Row],[ID]], Table4[ID], Table4[Deals], "Not Found", 0)</f>
        <v>2</v>
      </c>
      <c r="S594" s="5">
        <f>_xlfn.XLOOKUP(CustomerCombined[[#This Row],[ID]], Table4[ID], Table4[Website], "Not Found", 0)</f>
        <v>1</v>
      </c>
      <c r="T594" s="5">
        <f>_xlfn.XLOOKUP(CustomerCombined[[#This Row],[ID]], Table4[ID], Table4[Catalog], "Not Found", 0)</f>
        <v>1</v>
      </c>
      <c r="U594" s="5">
        <f>_xlfn.XLOOKUP(CustomerCombined[[#This Row],[ID]], Table4[ID], Table4[Store], "Not Found", 0)</f>
        <v>2</v>
      </c>
      <c r="V594" s="5">
        <f>_xlfn.XLOOKUP(CustomerCombined[[#This Row],[ID]], Table4[ID], Table4[Visits], "Not Found", 0)</f>
        <v>8</v>
      </c>
      <c r="W594" s="8">
        <f>_xlfn.XLOOKUP(CustomerCombined[[#This Row],[ID]], Table2[ID],Table2[Complaint], "Not Found", 0 )</f>
        <v>0</v>
      </c>
      <c r="X594" s="8">
        <f>_xlfn.XLOOKUP(CustomerCombined[[#This Row],[ID]], Table2[ID],Table2[Pilot], "Not Found", 0 )</f>
        <v>1</v>
      </c>
      <c r="Y594" s="8">
        <f>_xlfn.XLOOKUP(CustomerCombined[[#This Row],[ID]], Table2[ID],Table2[MC1], "Not Found", 0 )</f>
        <v>0</v>
      </c>
      <c r="Z594" s="8">
        <f>_xlfn.XLOOKUP(CustomerCombined[[#This Row],[ID]], Table2[ID],Table2[MC2], "Not Found", 0 )</f>
        <v>0</v>
      </c>
      <c r="AA594" s="8">
        <f>_xlfn.XLOOKUP(CustomerCombined[[#This Row],[ID]], Table2[ID],Table2[MC3], "Not Found", 0 )</f>
        <v>0</v>
      </c>
      <c r="AB594" s="8">
        <f>_xlfn.XLOOKUP(CustomerCombined[[#This Row],[ID]], Table2[ID],Table2[MC4], "Not Found", 0 )</f>
        <v>0</v>
      </c>
      <c r="AC594" s="8">
        <f>_xlfn.XLOOKUP(CustomerCombined[[#This Row],[ID]], Table2[ID],Table2[MC5], "Not Found", 0 )</f>
        <v>0</v>
      </c>
    </row>
    <row r="595" spans="1:29" x14ac:dyDescent="0.3">
      <c r="A595" s="6">
        <v>2014</v>
      </c>
      <c r="B595" s="6">
        <v>131056</v>
      </c>
      <c r="C595" s="6">
        <v>1</v>
      </c>
      <c r="D595" s="6">
        <v>0</v>
      </c>
      <c r="E595" s="6">
        <v>43</v>
      </c>
      <c r="F595" s="5" t="s">
        <v>6</v>
      </c>
      <c r="G595" s="5" t="s">
        <v>442</v>
      </c>
      <c r="H595" s="3" t="s">
        <v>319</v>
      </c>
      <c r="I595" s="5" t="s">
        <v>439</v>
      </c>
      <c r="J595" s="5">
        <f>_xlfn.XLOOKUP(CustomerCombined[[#This Row],[ID]], Table4[ID], Table4[Recency], "Not Found", 0)</f>
        <v>99</v>
      </c>
      <c r="K595" s="5">
        <f>_xlfn.XLOOKUP(CustomerCombined[[#This Row],[ID]], Table4[ID], Table4[Teas], "Not Found", 0)</f>
        <v>21</v>
      </c>
      <c r="L595" s="5">
        <f>_xlfn.XLOOKUP(CustomerCombined[[#This Row],[ID]], Table4[ID], Table4[Fruits], "Not Found", 0)</f>
        <v>42</v>
      </c>
      <c r="M595" s="5">
        <f>_xlfn.XLOOKUP(CustomerCombined[[#This Row],[ID]], Table4[ID], Table4[Meats], "Not Found", 0)</f>
        <v>55</v>
      </c>
      <c r="N595" s="5">
        <f>_xlfn.XLOOKUP(CustomerCombined[[#This Row],[ID]], Table4[ID], Table4[Seafood], "Not Found", 0)</f>
        <v>13</v>
      </c>
      <c r="O595" s="5">
        <f>_xlfn.XLOOKUP(CustomerCombined[[#This Row],[ID]], Table4[ID], Table4[Sweets], "Not Found", 0)</f>
        <v>34</v>
      </c>
      <c r="P595" s="5">
        <f>_xlfn.XLOOKUP(CustomerCombined[[#This Row],[ID]], Table4[ID], Table4[Premium], "Not Found", 0)</f>
        <v>68</v>
      </c>
      <c r="Q595" s="5">
        <f>_xlfn.XLOOKUP(CustomerCombined[[#This Row],[ID]], Table4[ID], Table4[Regular], "Not Found", 0)</f>
        <v>97</v>
      </c>
      <c r="R595" s="5">
        <f>_xlfn.XLOOKUP(CustomerCombined[[#This Row],[ID]], Table4[ID], Table4[Deals], "Not Found", 0)</f>
        <v>1</v>
      </c>
      <c r="S595" s="5">
        <f>_xlfn.XLOOKUP(CustomerCombined[[#This Row],[ID]], Table4[ID], Table4[Website], "Not Found", 0)</f>
        <v>1</v>
      </c>
      <c r="T595" s="5">
        <f>_xlfn.XLOOKUP(CustomerCombined[[#This Row],[ID]], Table4[ID], Table4[Catalog], "Not Found", 0)</f>
        <v>0</v>
      </c>
      <c r="U595" s="5">
        <f>_xlfn.XLOOKUP(CustomerCombined[[#This Row],[ID]], Table4[ID], Table4[Store], "Not Found", 0)</f>
        <v>3</v>
      </c>
      <c r="V595" s="5">
        <f>_xlfn.XLOOKUP(CustomerCombined[[#This Row],[ID]], Table4[ID], Table4[Visits], "Not Found", 0)</f>
        <v>8</v>
      </c>
      <c r="W595" s="8">
        <f>_xlfn.XLOOKUP(CustomerCombined[[#This Row],[ID]], Table2[ID],Table2[Complaint], "Not Found", 0 )</f>
        <v>0</v>
      </c>
      <c r="X595" s="8">
        <f>_xlfn.XLOOKUP(CustomerCombined[[#This Row],[ID]], Table2[ID],Table2[Pilot], "Not Found", 0 )</f>
        <v>0</v>
      </c>
      <c r="Y595" s="8">
        <f>_xlfn.XLOOKUP(CustomerCombined[[#This Row],[ID]], Table2[ID],Table2[MC1], "Not Found", 0 )</f>
        <v>0</v>
      </c>
      <c r="Z595" s="8">
        <f>_xlfn.XLOOKUP(CustomerCombined[[#This Row],[ID]], Table2[ID],Table2[MC2], "Not Found", 0 )</f>
        <v>0</v>
      </c>
      <c r="AA595" s="8">
        <f>_xlfn.XLOOKUP(CustomerCombined[[#This Row],[ID]], Table2[ID],Table2[MC3], "Not Found", 0 )</f>
        <v>0</v>
      </c>
      <c r="AB595" s="8">
        <f>_xlfn.XLOOKUP(CustomerCombined[[#This Row],[ID]], Table2[ID],Table2[MC4], "Not Found", 0 )</f>
        <v>0</v>
      </c>
      <c r="AC595" s="8">
        <f>_xlfn.XLOOKUP(CustomerCombined[[#This Row],[ID]], Table2[ID],Table2[MC5], "Not Found", 0 )</f>
        <v>0</v>
      </c>
    </row>
    <row r="596" spans="1:29" x14ac:dyDescent="0.3">
      <c r="A596" s="6">
        <v>2980</v>
      </c>
      <c r="B596" s="6">
        <v>130368</v>
      </c>
      <c r="C596" s="6">
        <v>0</v>
      </c>
      <c r="D596" s="6">
        <v>1</v>
      </c>
      <c r="E596" s="6">
        <v>43</v>
      </c>
      <c r="F596" s="5" t="s">
        <v>6</v>
      </c>
      <c r="G596" s="5" t="s">
        <v>11</v>
      </c>
      <c r="H596" s="3" t="s">
        <v>156</v>
      </c>
      <c r="I596" s="5" t="s">
        <v>439</v>
      </c>
      <c r="J596" s="5">
        <f>_xlfn.XLOOKUP(CustomerCombined[[#This Row],[ID]], Table4[ID], Table4[Recency], "Not Found", 0)</f>
        <v>97</v>
      </c>
      <c r="K596" s="5">
        <f>_xlfn.XLOOKUP(CustomerCombined[[#This Row],[ID]], Table4[ID], Table4[Teas], "Not Found", 0)</f>
        <v>150</v>
      </c>
      <c r="L596" s="5">
        <f>_xlfn.XLOOKUP(CustomerCombined[[#This Row],[ID]], Table4[ID], Table4[Fruits], "Not Found", 0)</f>
        <v>0</v>
      </c>
      <c r="M596" s="5">
        <f>_xlfn.XLOOKUP(CustomerCombined[[#This Row],[ID]], Table4[ID], Table4[Meats], "Not Found", 0)</f>
        <v>56</v>
      </c>
      <c r="N596" s="5">
        <f>_xlfn.XLOOKUP(CustomerCombined[[#This Row],[ID]], Table4[ID], Table4[Seafood], "Not Found", 0)</f>
        <v>9</v>
      </c>
      <c r="O596" s="5">
        <f>_xlfn.XLOOKUP(CustomerCombined[[#This Row],[ID]], Table4[ID], Table4[Sweets], "Not Found", 0)</f>
        <v>0</v>
      </c>
      <c r="P596" s="5">
        <f>_xlfn.XLOOKUP(CustomerCombined[[#This Row],[ID]], Table4[ID], Table4[Premium], "Not Found", 0)</f>
        <v>9</v>
      </c>
      <c r="Q596" s="5">
        <f>_xlfn.XLOOKUP(CustomerCombined[[#This Row],[ID]], Table4[ID], Table4[Regular], "Not Found", 0)</f>
        <v>206</v>
      </c>
      <c r="R596" s="5">
        <f>_xlfn.XLOOKUP(CustomerCombined[[#This Row],[ID]], Table4[ID], Table4[Deals], "Not Found", 0)</f>
        <v>2</v>
      </c>
      <c r="S596" s="5">
        <f>_xlfn.XLOOKUP(CustomerCombined[[#This Row],[ID]], Table4[ID], Table4[Website], "Not Found", 0)</f>
        <v>2</v>
      </c>
      <c r="T596" s="5">
        <f>_xlfn.XLOOKUP(CustomerCombined[[#This Row],[ID]], Table4[ID], Table4[Catalog], "Not Found", 0)</f>
        <v>0</v>
      </c>
      <c r="U596" s="5">
        <f>_xlfn.XLOOKUP(CustomerCombined[[#This Row],[ID]], Table4[ID], Table4[Store], "Not Found", 0)</f>
        <v>3</v>
      </c>
      <c r="V596" s="5">
        <f>_xlfn.XLOOKUP(CustomerCombined[[#This Row],[ID]], Table4[ID], Table4[Visits], "Not Found", 0)</f>
        <v>8</v>
      </c>
      <c r="W596" s="8">
        <f>_xlfn.XLOOKUP(CustomerCombined[[#This Row],[ID]], Table2[ID],Table2[Complaint], "Not Found", 0 )</f>
        <v>0</v>
      </c>
      <c r="X596" s="8">
        <f>_xlfn.XLOOKUP(CustomerCombined[[#This Row],[ID]], Table2[ID],Table2[Pilot], "Not Found", 0 )</f>
        <v>0</v>
      </c>
      <c r="Y596" s="8">
        <f>_xlfn.XLOOKUP(CustomerCombined[[#This Row],[ID]], Table2[ID],Table2[MC1], "Not Found", 0 )</f>
        <v>0</v>
      </c>
      <c r="Z596" s="8">
        <f>_xlfn.XLOOKUP(CustomerCombined[[#This Row],[ID]], Table2[ID],Table2[MC2], "Not Found", 0 )</f>
        <v>0</v>
      </c>
      <c r="AA596" s="8">
        <f>_xlfn.XLOOKUP(CustomerCombined[[#This Row],[ID]], Table2[ID],Table2[MC3], "Not Found", 0 )</f>
        <v>0</v>
      </c>
      <c r="AB596" s="8">
        <f>_xlfn.XLOOKUP(CustomerCombined[[#This Row],[ID]], Table2[ID],Table2[MC4], "Not Found", 0 )</f>
        <v>0</v>
      </c>
      <c r="AC596" s="8">
        <f>_xlfn.XLOOKUP(CustomerCombined[[#This Row],[ID]], Table2[ID],Table2[MC5], "Not Found", 0 )</f>
        <v>0</v>
      </c>
    </row>
    <row r="597" spans="1:29" x14ac:dyDescent="0.3">
      <c r="A597" s="6">
        <v>2752</v>
      </c>
      <c r="B597" s="6">
        <v>128973</v>
      </c>
      <c r="C597" s="6">
        <v>0</v>
      </c>
      <c r="D597" s="6">
        <v>0</v>
      </c>
      <c r="E597" s="6">
        <v>43</v>
      </c>
      <c r="F597" s="5" t="s">
        <v>6</v>
      </c>
      <c r="G597" s="5" t="s">
        <v>13</v>
      </c>
      <c r="H597" s="3" t="s">
        <v>381</v>
      </c>
      <c r="I597" s="5" t="s">
        <v>439</v>
      </c>
      <c r="J597" s="5">
        <f>_xlfn.XLOOKUP(CustomerCombined[[#This Row],[ID]], Table4[ID], Table4[Recency], "Not Found", 0)</f>
        <v>59</v>
      </c>
      <c r="K597" s="5">
        <f>_xlfn.XLOOKUP(CustomerCombined[[#This Row],[ID]], Table4[ID], Table4[Teas], "Not Found", 0)</f>
        <v>917</v>
      </c>
      <c r="L597" s="5">
        <f>_xlfn.XLOOKUP(CustomerCombined[[#This Row],[ID]], Table4[ID], Table4[Fruits], "Not Found", 0)</f>
        <v>0</v>
      </c>
      <c r="M597" s="5">
        <f>_xlfn.XLOOKUP(CustomerCombined[[#This Row],[ID]], Table4[ID], Table4[Meats], "Not Found", 0)</f>
        <v>205</v>
      </c>
      <c r="N597" s="5">
        <f>_xlfn.XLOOKUP(CustomerCombined[[#This Row],[ID]], Table4[ID], Table4[Seafood], "Not Found", 0)</f>
        <v>13</v>
      </c>
      <c r="O597" s="5">
        <f>_xlfn.XLOOKUP(CustomerCombined[[#This Row],[ID]], Table4[ID], Table4[Sweets], "Not Found", 0)</f>
        <v>9</v>
      </c>
      <c r="P597" s="5">
        <f>_xlfn.XLOOKUP(CustomerCombined[[#This Row],[ID]], Table4[ID], Table4[Premium], "Not Found", 0)</f>
        <v>53</v>
      </c>
      <c r="Q597" s="5">
        <f>_xlfn.XLOOKUP(CustomerCombined[[#This Row],[ID]], Table4[ID], Table4[Regular], "Not Found", 0)</f>
        <v>1091</v>
      </c>
      <c r="R597" s="5">
        <f>_xlfn.XLOOKUP(CustomerCombined[[#This Row],[ID]], Table4[ID], Table4[Deals], "Not Found", 0)</f>
        <v>2</v>
      </c>
      <c r="S597" s="5">
        <f>_xlfn.XLOOKUP(CustomerCombined[[#This Row],[ID]], Table4[ID], Table4[Website], "Not Found", 0)</f>
        <v>5</v>
      </c>
      <c r="T597" s="5">
        <f>_xlfn.XLOOKUP(CustomerCombined[[#This Row],[ID]], Table4[ID], Table4[Catalog], "Not Found", 0)</f>
        <v>1</v>
      </c>
      <c r="U597" s="5">
        <f>_xlfn.XLOOKUP(CustomerCombined[[#This Row],[ID]], Table4[ID], Table4[Store], "Not Found", 0)</f>
        <v>5</v>
      </c>
      <c r="V597" s="5">
        <f>_xlfn.XLOOKUP(CustomerCombined[[#This Row],[ID]], Table4[ID], Table4[Visits], "Not Found", 0)</f>
        <v>8</v>
      </c>
      <c r="W597" s="8">
        <f>_xlfn.XLOOKUP(CustomerCombined[[#This Row],[ID]], Table2[ID],Table2[Complaint], "Not Found", 0 )</f>
        <v>0</v>
      </c>
      <c r="X597" s="8">
        <f>_xlfn.XLOOKUP(CustomerCombined[[#This Row],[ID]], Table2[ID],Table2[Pilot], "Not Found", 0 )</f>
        <v>0</v>
      </c>
      <c r="Y597" s="8">
        <f>_xlfn.XLOOKUP(CustomerCombined[[#This Row],[ID]], Table2[ID],Table2[MC1], "Not Found", 0 )</f>
        <v>0</v>
      </c>
      <c r="Z597" s="8">
        <f>_xlfn.XLOOKUP(CustomerCombined[[#This Row],[ID]], Table2[ID],Table2[MC2], "Not Found", 0 )</f>
        <v>0</v>
      </c>
      <c r="AA597" s="8">
        <f>_xlfn.XLOOKUP(CustomerCombined[[#This Row],[ID]], Table2[ID],Table2[MC3], "Not Found", 0 )</f>
        <v>0</v>
      </c>
      <c r="AB597" s="8">
        <f>_xlfn.XLOOKUP(CustomerCombined[[#This Row],[ID]], Table2[ID],Table2[MC4], "Not Found", 0 )</f>
        <v>0</v>
      </c>
      <c r="AC597" s="8">
        <f>_xlfn.XLOOKUP(CustomerCombined[[#This Row],[ID]], Table2[ID],Table2[MC5], "Not Found", 0 )</f>
        <v>0</v>
      </c>
    </row>
    <row r="598" spans="1:29" x14ac:dyDescent="0.3">
      <c r="A598" s="6">
        <v>1612</v>
      </c>
      <c r="B598" s="6">
        <v>128769</v>
      </c>
      <c r="C598" s="6">
        <v>1</v>
      </c>
      <c r="D598" s="6">
        <v>0</v>
      </c>
      <c r="E598" s="6">
        <v>43</v>
      </c>
      <c r="F598" s="5" t="s">
        <v>7</v>
      </c>
      <c r="G598" s="5" t="s">
        <v>11</v>
      </c>
      <c r="H598" s="3" t="s">
        <v>341</v>
      </c>
      <c r="I598" s="5" t="s">
        <v>439</v>
      </c>
      <c r="J598" s="5">
        <f>_xlfn.XLOOKUP(CustomerCombined[[#This Row],[ID]], Table4[ID], Table4[Recency], "Not Found", 0)</f>
        <v>76</v>
      </c>
      <c r="K598" s="5">
        <f>_xlfn.XLOOKUP(CustomerCombined[[#This Row],[ID]], Table4[ID], Table4[Teas], "Not Found", 0)</f>
        <v>184</v>
      </c>
      <c r="L598" s="5">
        <f>_xlfn.XLOOKUP(CustomerCombined[[#This Row],[ID]], Table4[ID], Table4[Fruits], "Not Found", 0)</f>
        <v>22</v>
      </c>
      <c r="M598" s="5">
        <f>_xlfn.XLOOKUP(CustomerCombined[[#This Row],[ID]], Table4[ID], Table4[Meats], "Not Found", 0)</f>
        <v>577</v>
      </c>
      <c r="N598" s="5">
        <f>_xlfn.XLOOKUP(CustomerCombined[[#This Row],[ID]], Table4[ID], Table4[Seafood], "Not Found", 0)</f>
        <v>45</v>
      </c>
      <c r="O598" s="5">
        <f>_xlfn.XLOOKUP(CustomerCombined[[#This Row],[ID]], Table4[ID], Table4[Sweets], "Not Found", 0)</f>
        <v>13</v>
      </c>
      <c r="P598" s="5">
        <f>_xlfn.XLOOKUP(CustomerCombined[[#This Row],[ID]], Table4[ID], Table4[Premium], "Not Found", 0)</f>
        <v>13</v>
      </c>
      <c r="Q598" s="5">
        <f>_xlfn.XLOOKUP(CustomerCombined[[#This Row],[ID]], Table4[ID], Table4[Regular], "Not Found", 0)</f>
        <v>828</v>
      </c>
      <c r="R598" s="5">
        <f>_xlfn.XLOOKUP(CustomerCombined[[#This Row],[ID]], Table4[ID], Table4[Deals], "Not Found", 0)</f>
        <v>3</v>
      </c>
      <c r="S598" s="5">
        <f>_xlfn.XLOOKUP(CustomerCombined[[#This Row],[ID]], Table4[ID], Table4[Website], "Not Found", 0)</f>
        <v>4</v>
      </c>
      <c r="T598" s="5">
        <f>_xlfn.XLOOKUP(CustomerCombined[[#This Row],[ID]], Table4[ID], Table4[Catalog], "Not Found", 0)</f>
        <v>1</v>
      </c>
      <c r="U598" s="5">
        <f>_xlfn.XLOOKUP(CustomerCombined[[#This Row],[ID]], Table4[ID], Table4[Store], "Not Found", 0)</f>
        <v>4</v>
      </c>
      <c r="V598" s="5">
        <f>_xlfn.XLOOKUP(CustomerCombined[[#This Row],[ID]], Table4[ID], Table4[Visits], "Not Found", 0)</f>
        <v>9</v>
      </c>
      <c r="W598" s="8">
        <f>_xlfn.XLOOKUP(CustomerCombined[[#This Row],[ID]], Table2[ID],Table2[Complaint], "Not Found", 0 )</f>
        <v>0</v>
      </c>
      <c r="X598" s="8">
        <f>_xlfn.XLOOKUP(CustomerCombined[[#This Row],[ID]], Table2[ID],Table2[Pilot], "Not Found", 0 )</f>
        <v>0</v>
      </c>
      <c r="Y598" s="8">
        <f>_xlfn.XLOOKUP(CustomerCombined[[#This Row],[ID]], Table2[ID],Table2[MC1], "Not Found", 0 )</f>
        <v>0</v>
      </c>
      <c r="Z598" s="8">
        <f>_xlfn.XLOOKUP(CustomerCombined[[#This Row],[ID]], Table2[ID],Table2[MC2], "Not Found", 0 )</f>
        <v>0</v>
      </c>
      <c r="AA598" s="8">
        <f>_xlfn.XLOOKUP(CustomerCombined[[#This Row],[ID]], Table2[ID],Table2[MC3], "Not Found", 0 )</f>
        <v>0</v>
      </c>
      <c r="AB598" s="8">
        <f>_xlfn.XLOOKUP(CustomerCombined[[#This Row],[ID]], Table2[ID],Table2[MC4], "Not Found", 0 )</f>
        <v>0</v>
      </c>
      <c r="AC598" s="8">
        <f>_xlfn.XLOOKUP(CustomerCombined[[#This Row],[ID]], Table2[ID],Table2[MC5], "Not Found", 0 )</f>
        <v>0</v>
      </c>
    </row>
    <row r="599" spans="1:29" x14ac:dyDescent="0.3">
      <c r="A599" s="6">
        <v>3049</v>
      </c>
      <c r="B599" s="6">
        <v>127889</v>
      </c>
      <c r="C599" s="6">
        <v>1</v>
      </c>
      <c r="D599" s="6">
        <v>0</v>
      </c>
      <c r="E599" s="6">
        <v>43</v>
      </c>
      <c r="F599" s="5" t="s">
        <v>6</v>
      </c>
      <c r="G599" s="5" t="s">
        <v>12</v>
      </c>
      <c r="H599" s="3">
        <v>43750</v>
      </c>
      <c r="I599" s="5" t="s">
        <v>437</v>
      </c>
      <c r="J599" s="5">
        <f>_xlfn.XLOOKUP(CustomerCombined[[#This Row],[ID]], Table4[ID], Table4[Recency], "Not Found", 0)</f>
        <v>42</v>
      </c>
      <c r="K599" s="5">
        <f>_xlfn.XLOOKUP(CustomerCombined[[#This Row],[ID]], Table4[ID], Table4[Teas], "Not Found", 0)</f>
        <v>64</v>
      </c>
      <c r="L599" s="5">
        <f>_xlfn.XLOOKUP(CustomerCombined[[#This Row],[ID]], Table4[ID], Table4[Fruits], "Not Found", 0)</f>
        <v>0</v>
      </c>
      <c r="M599" s="5">
        <f>_xlfn.XLOOKUP(CustomerCombined[[#This Row],[ID]], Table4[ID], Table4[Meats], "Not Found", 0)</f>
        <v>18</v>
      </c>
      <c r="N599" s="5">
        <f>_xlfn.XLOOKUP(CustomerCombined[[#This Row],[ID]], Table4[ID], Table4[Seafood], "Not Found", 0)</f>
        <v>0</v>
      </c>
      <c r="O599" s="5">
        <f>_xlfn.XLOOKUP(CustomerCombined[[#This Row],[ID]], Table4[ID], Table4[Sweets], "Not Found", 0)</f>
        <v>0</v>
      </c>
      <c r="P599" s="5">
        <f>_xlfn.XLOOKUP(CustomerCombined[[#This Row],[ID]], Table4[ID], Table4[Premium], "Not Found", 0)</f>
        <v>37</v>
      </c>
      <c r="Q599" s="5">
        <f>_xlfn.XLOOKUP(CustomerCombined[[#This Row],[ID]], Table4[ID], Table4[Regular], "Not Found", 0)</f>
        <v>46</v>
      </c>
      <c r="R599" s="5">
        <f>_xlfn.XLOOKUP(CustomerCombined[[#This Row],[ID]], Table4[ID], Table4[Deals], "Not Found", 0)</f>
        <v>1</v>
      </c>
      <c r="S599" s="5">
        <f>_xlfn.XLOOKUP(CustomerCombined[[#This Row],[ID]], Table4[ID], Table4[Website], "Not Found", 0)</f>
        <v>1</v>
      </c>
      <c r="T599" s="5">
        <f>_xlfn.XLOOKUP(CustomerCombined[[#This Row],[ID]], Table4[ID], Table4[Catalog], "Not Found", 0)</f>
        <v>1</v>
      </c>
      <c r="U599" s="5">
        <f>_xlfn.XLOOKUP(CustomerCombined[[#This Row],[ID]], Table4[ID], Table4[Store], "Not Found", 0)</f>
        <v>2</v>
      </c>
      <c r="V599" s="5">
        <f>_xlfn.XLOOKUP(CustomerCombined[[#This Row],[ID]], Table4[ID], Table4[Visits], "Not Found", 0)</f>
        <v>6</v>
      </c>
      <c r="W599" s="8">
        <f>_xlfn.XLOOKUP(CustomerCombined[[#This Row],[ID]], Table2[ID],Table2[Complaint], "Not Found", 0 )</f>
        <v>0</v>
      </c>
      <c r="X599" s="8">
        <f>_xlfn.XLOOKUP(CustomerCombined[[#This Row],[ID]], Table2[ID],Table2[Pilot], "Not Found", 0 )</f>
        <v>0</v>
      </c>
      <c r="Y599" s="8">
        <f>_xlfn.XLOOKUP(CustomerCombined[[#This Row],[ID]], Table2[ID],Table2[MC1], "Not Found", 0 )</f>
        <v>0</v>
      </c>
      <c r="Z599" s="8">
        <f>_xlfn.XLOOKUP(CustomerCombined[[#This Row],[ID]], Table2[ID],Table2[MC2], "Not Found", 0 )</f>
        <v>0</v>
      </c>
      <c r="AA599" s="8">
        <f>_xlfn.XLOOKUP(CustomerCombined[[#This Row],[ID]], Table2[ID],Table2[MC3], "Not Found", 0 )</f>
        <v>0</v>
      </c>
      <c r="AB599" s="8">
        <f>_xlfn.XLOOKUP(CustomerCombined[[#This Row],[ID]], Table2[ID],Table2[MC4], "Not Found", 0 )</f>
        <v>0</v>
      </c>
      <c r="AC599" s="8">
        <f>_xlfn.XLOOKUP(CustomerCombined[[#This Row],[ID]], Table2[ID],Table2[MC5], "Not Found", 0 )</f>
        <v>0</v>
      </c>
    </row>
    <row r="600" spans="1:29" x14ac:dyDescent="0.3">
      <c r="A600" s="6">
        <v>1524</v>
      </c>
      <c r="B600" s="6">
        <v>125315</v>
      </c>
      <c r="C600" s="6">
        <v>1</v>
      </c>
      <c r="D600" s="6">
        <v>0</v>
      </c>
      <c r="E600" s="6">
        <v>43</v>
      </c>
      <c r="F600" s="5" t="s">
        <v>8</v>
      </c>
      <c r="G600" s="5" t="s">
        <v>442</v>
      </c>
      <c r="H600" s="3" t="s">
        <v>156</v>
      </c>
      <c r="I600" s="5" t="s">
        <v>436</v>
      </c>
      <c r="J600" s="5">
        <f>_xlfn.XLOOKUP(CustomerCombined[[#This Row],[ID]], Table4[ID], Table4[Recency], "Not Found", 0)</f>
        <v>46</v>
      </c>
      <c r="K600" s="5">
        <f>_xlfn.XLOOKUP(CustomerCombined[[#This Row],[ID]], Table4[ID], Table4[Teas], "Not Found", 0)</f>
        <v>5</v>
      </c>
      <c r="L600" s="5">
        <f>_xlfn.XLOOKUP(CustomerCombined[[#This Row],[ID]], Table4[ID], Table4[Fruits], "Not Found", 0)</f>
        <v>45</v>
      </c>
      <c r="M600" s="5">
        <f>_xlfn.XLOOKUP(CustomerCombined[[#This Row],[ID]], Table4[ID], Table4[Meats], "Not Found", 0)</f>
        <v>40</v>
      </c>
      <c r="N600" s="5">
        <f>_xlfn.XLOOKUP(CustomerCombined[[#This Row],[ID]], Table4[ID], Table4[Seafood], "Not Found", 0)</f>
        <v>54</v>
      </c>
      <c r="O600" s="5">
        <f>_xlfn.XLOOKUP(CustomerCombined[[#This Row],[ID]], Table4[ID], Table4[Sweets], "Not Found", 0)</f>
        <v>15</v>
      </c>
      <c r="P600" s="5">
        <f>_xlfn.XLOOKUP(CustomerCombined[[#This Row],[ID]], Table4[ID], Table4[Premium], "Not Found", 0)</f>
        <v>109</v>
      </c>
      <c r="Q600" s="5">
        <f>_xlfn.XLOOKUP(CustomerCombined[[#This Row],[ID]], Table4[ID], Table4[Regular], "Not Found", 0)</f>
        <v>50</v>
      </c>
      <c r="R600" s="5">
        <f>_xlfn.XLOOKUP(CustomerCombined[[#This Row],[ID]], Table4[ID], Table4[Deals], "Not Found", 0)</f>
        <v>3</v>
      </c>
      <c r="S600" s="5">
        <f>_xlfn.XLOOKUP(CustomerCombined[[#This Row],[ID]], Table4[ID], Table4[Website], "Not Found", 0)</f>
        <v>3</v>
      </c>
      <c r="T600" s="5">
        <f>_xlfn.XLOOKUP(CustomerCombined[[#This Row],[ID]], Table4[ID], Table4[Catalog], "Not Found", 0)</f>
        <v>0</v>
      </c>
      <c r="U600" s="5">
        <f>_xlfn.XLOOKUP(CustomerCombined[[#This Row],[ID]], Table4[ID], Table4[Store], "Not Found", 0)</f>
        <v>3</v>
      </c>
      <c r="V600" s="5">
        <f>_xlfn.XLOOKUP(CustomerCombined[[#This Row],[ID]], Table4[ID], Table4[Visits], "Not Found", 0)</f>
        <v>8</v>
      </c>
      <c r="W600" s="8">
        <f>_xlfn.XLOOKUP(CustomerCombined[[#This Row],[ID]], Table2[ID],Table2[Complaint], "Not Found", 0 )</f>
        <v>0</v>
      </c>
      <c r="X600" s="8">
        <f>_xlfn.XLOOKUP(CustomerCombined[[#This Row],[ID]], Table2[ID],Table2[Pilot], "Not Found", 0 )</f>
        <v>0</v>
      </c>
      <c r="Y600" s="8">
        <f>_xlfn.XLOOKUP(CustomerCombined[[#This Row],[ID]], Table2[ID],Table2[MC1], "Not Found", 0 )</f>
        <v>0</v>
      </c>
      <c r="Z600" s="8">
        <f>_xlfn.XLOOKUP(CustomerCombined[[#This Row],[ID]], Table2[ID],Table2[MC2], "Not Found", 0 )</f>
        <v>0</v>
      </c>
      <c r="AA600" s="8">
        <f>_xlfn.XLOOKUP(CustomerCombined[[#This Row],[ID]], Table2[ID],Table2[MC3], "Not Found", 0 )</f>
        <v>0</v>
      </c>
      <c r="AB600" s="8">
        <f>_xlfn.XLOOKUP(CustomerCombined[[#This Row],[ID]], Table2[ID],Table2[MC4], "Not Found", 0 )</f>
        <v>0</v>
      </c>
      <c r="AC600" s="8">
        <f>_xlfn.XLOOKUP(CustomerCombined[[#This Row],[ID]], Table2[ID],Table2[MC5], "Not Found", 0 )</f>
        <v>0</v>
      </c>
    </row>
    <row r="601" spans="1:29" x14ac:dyDescent="0.3">
      <c r="A601" s="6">
        <v>2917</v>
      </c>
      <c r="B601" s="6">
        <v>123763</v>
      </c>
      <c r="C601" s="6">
        <v>1</v>
      </c>
      <c r="D601" s="6">
        <v>0</v>
      </c>
      <c r="E601" s="6">
        <v>43</v>
      </c>
      <c r="F601" s="5" t="s">
        <v>7</v>
      </c>
      <c r="G601" s="5" t="s">
        <v>11</v>
      </c>
      <c r="H601" s="3">
        <v>43800</v>
      </c>
      <c r="I601" s="5" t="s">
        <v>437</v>
      </c>
      <c r="J601" s="5">
        <f>_xlfn.XLOOKUP(CustomerCombined[[#This Row],[ID]], Table4[ID], Table4[Recency], "Not Found", 0)</f>
        <v>64</v>
      </c>
      <c r="K601" s="5">
        <f>_xlfn.XLOOKUP(CustomerCombined[[#This Row],[ID]], Table4[ID], Table4[Teas], "Not Found", 0)</f>
        <v>115</v>
      </c>
      <c r="L601" s="5">
        <f>_xlfn.XLOOKUP(CustomerCombined[[#This Row],[ID]], Table4[ID], Table4[Fruits], "Not Found", 0)</f>
        <v>0</v>
      </c>
      <c r="M601" s="5">
        <f>_xlfn.XLOOKUP(CustomerCombined[[#This Row],[ID]], Table4[ID], Table4[Meats], "Not Found", 0)</f>
        <v>31</v>
      </c>
      <c r="N601" s="5">
        <f>_xlfn.XLOOKUP(CustomerCombined[[#This Row],[ID]], Table4[ID], Table4[Seafood], "Not Found", 0)</f>
        <v>31</v>
      </c>
      <c r="O601" s="5">
        <f>_xlfn.XLOOKUP(CustomerCombined[[#This Row],[ID]], Table4[ID], Table4[Sweets], "Not Found", 0)</f>
        <v>10</v>
      </c>
      <c r="P601" s="5">
        <f>_xlfn.XLOOKUP(CustomerCombined[[#This Row],[ID]], Table4[ID], Table4[Premium], "Not Found", 0)</f>
        <v>31</v>
      </c>
      <c r="Q601" s="5">
        <f>_xlfn.XLOOKUP(CustomerCombined[[#This Row],[ID]], Table4[ID], Table4[Regular], "Not Found", 0)</f>
        <v>156</v>
      </c>
      <c r="R601" s="5">
        <f>_xlfn.XLOOKUP(CustomerCombined[[#This Row],[ID]], Table4[ID], Table4[Deals], "Not Found", 0)</f>
        <v>1</v>
      </c>
      <c r="S601" s="5">
        <f>_xlfn.XLOOKUP(CustomerCombined[[#This Row],[ID]], Table4[ID], Table4[Website], "Not Found", 0)</f>
        <v>1</v>
      </c>
      <c r="T601" s="5">
        <f>_xlfn.XLOOKUP(CustomerCombined[[#This Row],[ID]], Table4[ID], Table4[Catalog], "Not Found", 0)</f>
        <v>0</v>
      </c>
      <c r="U601" s="5">
        <f>_xlfn.XLOOKUP(CustomerCombined[[#This Row],[ID]], Table4[ID], Table4[Store], "Not Found", 0)</f>
        <v>3</v>
      </c>
      <c r="V601" s="5">
        <f>_xlfn.XLOOKUP(CustomerCombined[[#This Row],[ID]], Table4[ID], Table4[Visits], "Not Found", 0)</f>
        <v>7</v>
      </c>
      <c r="W601" s="8">
        <f>_xlfn.XLOOKUP(CustomerCombined[[#This Row],[ID]], Table2[ID],Table2[Complaint], "Not Found", 0 )</f>
        <v>0</v>
      </c>
      <c r="X601" s="8">
        <f>_xlfn.XLOOKUP(CustomerCombined[[#This Row],[ID]], Table2[ID],Table2[Pilot], "Not Found", 0 )</f>
        <v>0</v>
      </c>
      <c r="Y601" s="8">
        <f>_xlfn.XLOOKUP(CustomerCombined[[#This Row],[ID]], Table2[ID],Table2[MC1], "Not Found", 0 )</f>
        <v>0</v>
      </c>
      <c r="Z601" s="8">
        <f>_xlfn.XLOOKUP(CustomerCombined[[#This Row],[ID]], Table2[ID],Table2[MC2], "Not Found", 0 )</f>
        <v>0</v>
      </c>
      <c r="AA601" s="8">
        <f>_xlfn.XLOOKUP(CustomerCombined[[#This Row],[ID]], Table2[ID],Table2[MC3], "Not Found", 0 )</f>
        <v>0</v>
      </c>
      <c r="AB601" s="8">
        <f>_xlfn.XLOOKUP(CustomerCombined[[#This Row],[ID]], Table2[ID],Table2[MC4], "Not Found", 0 )</f>
        <v>0</v>
      </c>
      <c r="AC601" s="8">
        <f>_xlfn.XLOOKUP(CustomerCombined[[#This Row],[ID]], Table2[ID],Table2[MC5], "Not Found", 0 )</f>
        <v>0</v>
      </c>
    </row>
    <row r="602" spans="1:29" x14ac:dyDescent="0.3">
      <c r="A602" s="6">
        <v>2900</v>
      </c>
      <c r="B602" s="6">
        <v>122701</v>
      </c>
      <c r="C602" s="6">
        <v>1</v>
      </c>
      <c r="D602" s="6">
        <v>0</v>
      </c>
      <c r="E602" s="6">
        <v>43</v>
      </c>
      <c r="F602" s="5" t="s">
        <v>6</v>
      </c>
      <c r="G602" s="5" t="s">
        <v>12</v>
      </c>
      <c r="H602" s="3">
        <v>44106</v>
      </c>
      <c r="I602" s="5" t="s">
        <v>438</v>
      </c>
      <c r="J602" s="5">
        <f>_xlfn.XLOOKUP(CustomerCombined[[#This Row],[ID]], Table4[ID], Table4[Recency], "Not Found", 0)</f>
        <v>2</v>
      </c>
      <c r="K602" s="5">
        <f>_xlfn.XLOOKUP(CustomerCombined[[#This Row],[ID]], Table4[ID], Table4[Teas], "Not Found", 0)</f>
        <v>11</v>
      </c>
      <c r="L602" s="5">
        <f>_xlfn.XLOOKUP(CustomerCombined[[#This Row],[ID]], Table4[ID], Table4[Fruits], "Not Found", 0)</f>
        <v>22</v>
      </c>
      <c r="M602" s="5">
        <f>_xlfn.XLOOKUP(CustomerCombined[[#This Row],[ID]], Table4[ID], Table4[Meats], "Not Found", 0)</f>
        <v>49</v>
      </c>
      <c r="N602" s="5">
        <f>_xlfn.XLOOKUP(CustomerCombined[[#This Row],[ID]], Table4[ID], Table4[Seafood], "Not Found", 0)</f>
        <v>0</v>
      </c>
      <c r="O602" s="5">
        <f>_xlfn.XLOOKUP(CustomerCombined[[#This Row],[ID]], Table4[ID], Table4[Sweets], "Not Found", 0)</f>
        <v>22</v>
      </c>
      <c r="P602" s="5">
        <f>_xlfn.XLOOKUP(CustomerCombined[[#This Row],[ID]], Table4[ID], Table4[Premium], "Not Found", 0)</f>
        <v>27</v>
      </c>
      <c r="Q602" s="5">
        <f>_xlfn.XLOOKUP(CustomerCombined[[#This Row],[ID]], Table4[ID], Table4[Regular], "Not Found", 0)</f>
        <v>76</v>
      </c>
      <c r="R602" s="5">
        <f>_xlfn.XLOOKUP(CustomerCombined[[#This Row],[ID]], Table4[ID], Table4[Deals], "Not Found", 0)</f>
        <v>1</v>
      </c>
      <c r="S602" s="5">
        <f>_xlfn.XLOOKUP(CustomerCombined[[#This Row],[ID]], Table4[ID], Table4[Website], "Not Found", 0)</f>
        <v>1</v>
      </c>
      <c r="T602" s="5">
        <f>_xlfn.XLOOKUP(CustomerCombined[[#This Row],[ID]], Table4[ID], Table4[Catalog], "Not Found", 0)</f>
        <v>0</v>
      </c>
      <c r="U602" s="5">
        <f>_xlfn.XLOOKUP(CustomerCombined[[#This Row],[ID]], Table4[ID], Table4[Store], "Not Found", 0)</f>
        <v>3</v>
      </c>
      <c r="V602" s="5">
        <f>_xlfn.XLOOKUP(CustomerCombined[[#This Row],[ID]], Table4[ID], Table4[Visits], "Not Found", 0)</f>
        <v>5</v>
      </c>
      <c r="W602" s="8">
        <f>_xlfn.XLOOKUP(CustomerCombined[[#This Row],[ID]], Table2[ID],Table2[Complaint], "Not Found", 0 )</f>
        <v>0</v>
      </c>
      <c r="X602" s="8">
        <f>_xlfn.XLOOKUP(CustomerCombined[[#This Row],[ID]], Table2[ID],Table2[Pilot], "Not Found", 0 )</f>
        <v>0</v>
      </c>
      <c r="Y602" s="8">
        <f>_xlfn.XLOOKUP(CustomerCombined[[#This Row],[ID]], Table2[ID],Table2[MC1], "Not Found", 0 )</f>
        <v>0</v>
      </c>
      <c r="Z602" s="8">
        <f>_xlfn.XLOOKUP(CustomerCombined[[#This Row],[ID]], Table2[ID],Table2[MC2], "Not Found", 0 )</f>
        <v>0</v>
      </c>
      <c r="AA602" s="8">
        <f>_xlfn.XLOOKUP(CustomerCombined[[#This Row],[ID]], Table2[ID],Table2[MC3], "Not Found", 0 )</f>
        <v>0</v>
      </c>
      <c r="AB602" s="8">
        <f>_xlfn.XLOOKUP(CustomerCombined[[#This Row],[ID]], Table2[ID],Table2[MC4], "Not Found", 0 )</f>
        <v>0</v>
      </c>
      <c r="AC602" s="8">
        <f>_xlfn.XLOOKUP(CustomerCombined[[#This Row],[ID]], Table2[ID],Table2[MC5], "Not Found", 0 )</f>
        <v>0</v>
      </c>
    </row>
    <row r="603" spans="1:29" x14ac:dyDescent="0.3">
      <c r="A603" s="6">
        <v>2692</v>
      </c>
      <c r="B603" s="6">
        <v>122108</v>
      </c>
      <c r="C603" s="6">
        <v>1</v>
      </c>
      <c r="D603" s="6">
        <v>1</v>
      </c>
      <c r="E603" s="6">
        <v>43</v>
      </c>
      <c r="F603" s="5" t="s">
        <v>6</v>
      </c>
      <c r="G603" s="5" t="s">
        <v>11</v>
      </c>
      <c r="H603" s="3">
        <v>44175</v>
      </c>
      <c r="I603" s="5" t="s">
        <v>439</v>
      </c>
      <c r="J603" s="5">
        <f>_xlfn.XLOOKUP(CustomerCombined[[#This Row],[ID]], Table4[ID], Table4[Recency], "Not Found", 0)</f>
        <v>46</v>
      </c>
      <c r="K603" s="5">
        <f>_xlfn.XLOOKUP(CustomerCombined[[#This Row],[ID]], Table4[ID], Table4[Teas], "Not Found", 0)</f>
        <v>28</v>
      </c>
      <c r="L603" s="5">
        <f>_xlfn.XLOOKUP(CustomerCombined[[#This Row],[ID]], Table4[ID], Table4[Fruits], "Not Found", 0)</f>
        <v>17</v>
      </c>
      <c r="M603" s="5">
        <f>_xlfn.XLOOKUP(CustomerCombined[[#This Row],[ID]], Table4[ID], Table4[Meats], "Not Found", 0)</f>
        <v>50</v>
      </c>
      <c r="N603" s="5">
        <f>_xlfn.XLOOKUP(CustomerCombined[[#This Row],[ID]], Table4[ID], Table4[Seafood], "Not Found", 0)</f>
        <v>33</v>
      </c>
      <c r="O603" s="5">
        <f>_xlfn.XLOOKUP(CustomerCombined[[#This Row],[ID]], Table4[ID], Table4[Sweets], "Not Found", 0)</f>
        <v>11</v>
      </c>
      <c r="P603" s="5">
        <f>_xlfn.XLOOKUP(CustomerCombined[[#This Row],[ID]], Table4[ID], Table4[Premium], "Not Found", 0)</f>
        <v>33</v>
      </c>
      <c r="Q603" s="5">
        <f>_xlfn.XLOOKUP(CustomerCombined[[#This Row],[ID]], Table4[ID], Table4[Regular], "Not Found", 0)</f>
        <v>105</v>
      </c>
      <c r="R603" s="5">
        <f>_xlfn.XLOOKUP(CustomerCombined[[#This Row],[ID]], Table4[ID], Table4[Deals], "Not Found", 0)</f>
        <v>2</v>
      </c>
      <c r="S603" s="5">
        <f>_xlfn.XLOOKUP(CustomerCombined[[#This Row],[ID]], Table4[ID], Table4[Website], "Not Found", 0)</f>
        <v>2</v>
      </c>
      <c r="T603" s="5">
        <f>_xlfn.XLOOKUP(CustomerCombined[[#This Row],[ID]], Table4[ID], Table4[Catalog], "Not Found", 0)</f>
        <v>0</v>
      </c>
      <c r="U603" s="5">
        <f>_xlfn.XLOOKUP(CustomerCombined[[#This Row],[ID]], Table4[ID], Table4[Store], "Not Found", 0)</f>
        <v>3</v>
      </c>
      <c r="V603" s="5">
        <f>_xlfn.XLOOKUP(CustomerCombined[[#This Row],[ID]], Table4[ID], Table4[Visits], "Not Found", 0)</f>
        <v>7</v>
      </c>
      <c r="W603" s="8">
        <f>_xlfn.XLOOKUP(CustomerCombined[[#This Row],[ID]], Table2[ID],Table2[Complaint], "Not Found", 0 )</f>
        <v>0</v>
      </c>
      <c r="X603" s="8">
        <f>_xlfn.XLOOKUP(CustomerCombined[[#This Row],[ID]], Table2[ID],Table2[Pilot], "Not Found", 0 )</f>
        <v>0</v>
      </c>
      <c r="Y603" s="8">
        <f>_xlfn.XLOOKUP(CustomerCombined[[#This Row],[ID]], Table2[ID],Table2[MC1], "Not Found", 0 )</f>
        <v>0</v>
      </c>
      <c r="Z603" s="8">
        <f>_xlfn.XLOOKUP(CustomerCombined[[#This Row],[ID]], Table2[ID],Table2[MC2], "Not Found", 0 )</f>
        <v>0</v>
      </c>
      <c r="AA603" s="8">
        <f>_xlfn.XLOOKUP(CustomerCombined[[#This Row],[ID]], Table2[ID],Table2[MC3], "Not Found", 0 )</f>
        <v>0</v>
      </c>
      <c r="AB603" s="8">
        <f>_xlfn.XLOOKUP(CustomerCombined[[#This Row],[ID]], Table2[ID],Table2[MC4], "Not Found", 0 )</f>
        <v>0</v>
      </c>
      <c r="AC603" s="8">
        <f>_xlfn.XLOOKUP(CustomerCombined[[#This Row],[ID]], Table2[ID],Table2[MC5], "Not Found", 0 )</f>
        <v>0</v>
      </c>
    </row>
    <row r="604" spans="1:29" x14ac:dyDescent="0.3">
      <c r="A604" s="6">
        <v>2490</v>
      </c>
      <c r="B604" s="6">
        <v>120981</v>
      </c>
      <c r="C604" s="6">
        <v>0</v>
      </c>
      <c r="D604" s="6">
        <v>0</v>
      </c>
      <c r="E604" s="6">
        <v>43</v>
      </c>
      <c r="F604" s="5" t="s">
        <v>8</v>
      </c>
      <c r="G604" s="5" t="s">
        <v>442</v>
      </c>
      <c r="H604" s="3">
        <v>43595</v>
      </c>
      <c r="I604" s="5" t="s">
        <v>436</v>
      </c>
      <c r="J604" s="5">
        <f>_xlfn.XLOOKUP(CustomerCombined[[#This Row],[ID]], Table4[ID], Table4[Recency], "Not Found", 0)</f>
        <v>14</v>
      </c>
      <c r="K604" s="5">
        <f>_xlfn.XLOOKUP(CustomerCombined[[#This Row],[ID]], Table4[ID], Table4[Teas], "Not Found", 0)</f>
        <v>12</v>
      </c>
      <c r="L604" s="5">
        <f>_xlfn.XLOOKUP(CustomerCombined[[#This Row],[ID]], Table4[ID], Table4[Fruits], "Not Found", 0)</f>
        <v>69</v>
      </c>
      <c r="M604" s="5">
        <f>_xlfn.XLOOKUP(CustomerCombined[[#This Row],[ID]], Table4[ID], Table4[Meats], "Not Found", 0)</f>
        <v>58</v>
      </c>
      <c r="N604" s="5">
        <f>_xlfn.XLOOKUP(CustomerCombined[[#This Row],[ID]], Table4[ID], Table4[Seafood], "Not Found", 0)</f>
        <v>35</v>
      </c>
      <c r="O604" s="5">
        <f>_xlfn.XLOOKUP(CustomerCombined[[#This Row],[ID]], Table4[ID], Table4[Sweets], "Not Found", 0)</f>
        <v>75</v>
      </c>
      <c r="P604" s="5">
        <f>_xlfn.XLOOKUP(CustomerCombined[[#This Row],[ID]], Table4[ID], Table4[Premium], "Not Found", 0)</f>
        <v>173</v>
      </c>
      <c r="Q604" s="5">
        <f>_xlfn.XLOOKUP(CustomerCombined[[#This Row],[ID]], Table4[ID], Table4[Regular], "Not Found", 0)</f>
        <v>75</v>
      </c>
      <c r="R604" s="5">
        <f>_xlfn.XLOOKUP(CustomerCombined[[#This Row],[ID]], Table4[ID], Table4[Deals], "Not Found", 0)</f>
        <v>1</v>
      </c>
      <c r="S604" s="5">
        <f>_xlfn.XLOOKUP(CustomerCombined[[#This Row],[ID]], Table4[ID], Table4[Website], "Not Found", 0)</f>
        <v>3</v>
      </c>
      <c r="T604" s="5">
        <f>_xlfn.XLOOKUP(CustomerCombined[[#This Row],[ID]], Table4[ID], Table4[Catalog], "Not Found", 0)</f>
        <v>1</v>
      </c>
      <c r="U604" s="5">
        <f>_xlfn.XLOOKUP(CustomerCombined[[#This Row],[ID]], Table4[ID], Table4[Store], "Not Found", 0)</f>
        <v>2</v>
      </c>
      <c r="V604" s="5">
        <f>_xlfn.XLOOKUP(CustomerCombined[[#This Row],[ID]], Table4[ID], Table4[Visits], "Not Found", 0)</f>
        <v>8</v>
      </c>
      <c r="W604" s="8">
        <f>_xlfn.XLOOKUP(CustomerCombined[[#This Row],[ID]], Table2[ID],Table2[Complaint], "Not Found", 0 )</f>
        <v>0</v>
      </c>
      <c r="X604" s="8">
        <f>_xlfn.XLOOKUP(CustomerCombined[[#This Row],[ID]], Table2[ID],Table2[Pilot], "Not Found", 0 )</f>
        <v>1</v>
      </c>
      <c r="Y604" s="8">
        <f>_xlfn.XLOOKUP(CustomerCombined[[#This Row],[ID]], Table2[ID],Table2[MC1], "Not Found", 0 )</f>
        <v>0</v>
      </c>
      <c r="Z604" s="8">
        <f>_xlfn.XLOOKUP(CustomerCombined[[#This Row],[ID]], Table2[ID],Table2[MC2], "Not Found", 0 )</f>
        <v>0</v>
      </c>
      <c r="AA604" s="8">
        <f>_xlfn.XLOOKUP(CustomerCombined[[#This Row],[ID]], Table2[ID],Table2[MC3], "Not Found", 0 )</f>
        <v>0</v>
      </c>
      <c r="AB604" s="8">
        <f>_xlfn.XLOOKUP(CustomerCombined[[#This Row],[ID]], Table2[ID],Table2[MC4], "Not Found", 0 )</f>
        <v>0</v>
      </c>
      <c r="AC604" s="8">
        <f>_xlfn.XLOOKUP(CustomerCombined[[#This Row],[ID]], Table2[ID],Table2[MC5], "Not Found", 0 )</f>
        <v>0</v>
      </c>
    </row>
    <row r="605" spans="1:29" x14ac:dyDescent="0.3">
      <c r="A605" s="6">
        <v>2114</v>
      </c>
      <c r="B605" s="6">
        <v>185606</v>
      </c>
      <c r="C605" s="6">
        <v>0</v>
      </c>
      <c r="D605" s="6">
        <v>1</v>
      </c>
      <c r="E605" s="6">
        <v>44</v>
      </c>
      <c r="F605" s="5" t="s">
        <v>8</v>
      </c>
      <c r="G605" s="5" t="s">
        <v>11</v>
      </c>
      <c r="H605" s="3" t="s">
        <v>363</v>
      </c>
      <c r="I605" s="5" t="s">
        <v>438</v>
      </c>
      <c r="J605" s="5">
        <f>_xlfn.XLOOKUP(CustomerCombined[[#This Row],[ID]], Table4[ID], Table4[Recency], "Not Found", 0)</f>
        <v>89</v>
      </c>
      <c r="K605" s="5">
        <f>_xlfn.XLOOKUP(CustomerCombined[[#This Row],[ID]], Table4[ID], Table4[Teas], "Not Found", 0)</f>
        <v>1555</v>
      </c>
      <c r="L605" s="5">
        <f>_xlfn.XLOOKUP(CustomerCombined[[#This Row],[ID]], Table4[ID], Table4[Fruits], "Not Found", 0)</f>
        <v>91</v>
      </c>
      <c r="M605" s="5">
        <f>_xlfn.XLOOKUP(CustomerCombined[[#This Row],[ID]], Table4[ID], Table4[Meats], "Not Found", 0)</f>
        <v>1873</v>
      </c>
      <c r="N605" s="5">
        <f>_xlfn.XLOOKUP(CustomerCombined[[#This Row],[ID]], Table4[ID], Table4[Seafood], "Not Found", 0)</f>
        <v>475</v>
      </c>
      <c r="O605" s="5">
        <f>_xlfn.XLOOKUP(CustomerCombined[[#This Row],[ID]], Table4[ID], Table4[Sweets], "Not Found", 0)</f>
        <v>65</v>
      </c>
      <c r="P605" s="5">
        <f>_xlfn.XLOOKUP(CustomerCombined[[#This Row],[ID]], Table4[ID], Table4[Premium], "Not Found", 0)</f>
        <v>182</v>
      </c>
      <c r="Q605" s="5">
        <f>_xlfn.XLOOKUP(CustomerCombined[[#This Row],[ID]], Table4[ID], Table4[Regular], "Not Found", 0)</f>
        <v>3877</v>
      </c>
      <c r="R605" s="5">
        <f>_xlfn.XLOOKUP(CustomerCombined[[#This Row],[ID]], Table4[ID], Table4[Deals], "Not Found", 0)</f>
        <v>2</v>
      </c>
      <c r="S605" s="5">
        <f>_xlfn.XLOOKUP(CustomerCombined[[#This Row],[ID]], Table4[ID], Table4[Website], "Not Found", 0)</f>
        <v>6</v>
      </c>
      <c r="T605" s="5">
        <f>_xlfn.XLOOKUP(CustomerCombined[[#This Row],[ID]], Table4[ID], Table4[Catalog], "Not Found", 0)</f>
        <v>7</v>
      </c>
      <c r="U605" s="5">
        <f>_xlfn.XLOOKUP(CustomerCombined[[#This Row],[ID]], Table4[ID], Table4[Store], "Not Found", 0)</f>
        <v>9</v>
      </c>
      <c r="V605" s="5">
        <f>_xlfn.XLOOKUP(CustomerCombined[[#This Row],[ID]], Table4[ID], Table4[Visits], "Not Found", 0)</f>
        <v>3</v>
      </c>
      <c r="W605" s="8">
        <f>_xlfn.XLOOKUP(CustomerCombined[[#This Row],[ID]], Table2[ID],Table2[Complaint], "Not Found", 0 )</f>
        <v>0</v>
      </c>
      <c r="X605" s="8">
        <f>_xlfn.XLOOKUP(CustomerCombined[[#This Row],[ID]], Table2[ID],Table2[Pilot], "Not Found", 0 )</f>
        <v>0</v>
      </c>
      <c r="Y605" s="8">
        <f>_xlfn.XLOOKUP(CustomerCombined[[#This Row],[ID]], Table2[ID],Table2[MC1], "Not Found", 0 )</f>
        <v>1</v>
      </c>
      <c r="Z605" s="8">
        <f>_xlfn.XLOOKUP(CustomerCombined[[#This Row],[ID]], Table2[ID],Table2[MC2], "Not Found", 0 )</f>
        <v>0</v>
      </c>
      <c r="AA605" s="8">
        <f>_xlfn.XLOOKUP(CustomerCombined[[#This Row],[ID]], Table2[ID],Table2[MC3], "Not Found", 0 )</f>
        <v>0</v>
      </c>
      <c r="AB605" s="8">
        <f>_xlfn.XLOOKUP(CustomerCombined[[#This Row],[ID]], Table2[ID],Table2[MC4], "Not Found", 0 )</f>
        <v>0</v>
      </c>
      <c r="AC605" s="8">
        <f>_xlfn.XLOOKUP(CustomerCombined[[#This Row],[ID]], Table2[ID],Table2[MC5], "Not Found", 0 )</f>
        <v>0</v>
      </c>
    </row>
    <row r="606" spans="1:29" x14ac:dyDescent="0.3">
      <c r="A606" s="6">
        <v>3067</v>
      </c>
      <c r="B606" s="6">
        <v>181929</v>
      </c>
      <c r="C606" s="6">
        <v>1</v>
      </c>
      <c r="D606" s="6">
        <v>0</v>
      </c>
      <c r="E606" s="6">
        <v>44</v>
      </c>
      <c r="F606" s="5" t="s">
        <v>6</v>
      </c>
      <c r="G606" s="5" t="s">
        <v>12</v>
      </c>
      <c r="H606" s="3">
        <v>43619</v>
      </c>
      <c r="I606" s="5" t="s">
        <v>437</v>
      </c>
      <c r="J606" s="5">
        <f>_xlfn.XLOOKUP(CustomerCombined[[#This Row],[ID]], Table4[ID], Table4[Recency], "Not Found", 0)</f>
        <v>60</v>
      </c>
      <c r="K606" s="5">
        <f>_xlfn.XLOOKUP(CustomerCombined[[#This Row],[ID]], Table4[ID], Table4[Teas], "Not Found", 0)</f>
        <v>3300</v>
      </c>
      <c r="L606" s="5">
        <f>_xlfn.XLOOKUP(CustomerCombined[[#This Row],[ID]], Table4[ID], Table4[Fruits], "Not Found", 0)</f>
        <v>122</v>
      </c>
      <c r="M606" s="5">
        <f>_xlfn.XLOOKUP(CustomerCombined[[#This Row],[ID]], Table4[ID], Table4[Meats], "Not Found", 0)</f>
        <v>617</v>
      </c>
      <c r="N606" s="5">
        <f>_xlfn.XLOOKUP(CustomerCombined[[#This Row],[ID]], Table4[ID], Table4[Seafood], "Not Found", 0)</f>
        <v>109</v>
      </c>
      <c r="O606" s="5">
        <f>_xlfn.XLOOKUP(CustomerCombined[[#This Row],[ID]], Table4[ID], Table4[Sweets], "Not Found", 0)</f>
        <v>0</v>
      </c>
      <c r="P606" s="5">
        <f>_xlfn.XLOOKUP(CustomerCombined[[#This Row],[ID]], Table4[ID], Table4[Premium], "Not Found", 0)</f>
        <v>411</v>
      </c>
      <c r="Q606" s="5">
        <f>_xlfn.XLOOKUP(CustomerCombined[[#This Row],[ID]], Table4[ID], Table4[Regular], "Not Found", 0)</f>
        <v>3737</v>
      </c>
      <c r="R606" s="5">
        <f>_xlfn.XLOOKUP(CustomerCombined[[#This Row],[ID]], Table4[ID], Table4[Deals], "Not Found", 0)</f>
        <v>2</v>
      </c>
      <c r="S606" s="5">
        <f>_xlfn.XLOOKUP(CustomerCombined[[#This Row],[ID]], Table4[ID], Table4[Website], "Not Found", 0)</f>
        <v>4</v>
      </c>
      <c r="T606" s="5">
        <f>_xlfn.XLOOKUP(CustomerCombined[[#This Row],[ID]], Table4[ID], Table4[Catalog], "Not Found", 0)</f>
        <v>4</v>
      </c>
      <c r="U606" s="5">
        <f>_xlfn.XLOOKUP(CustomerCombined[[#This Row],[ID]], Table4[ID], Table4[Store], "Not Found", 0)</f>
        <v>10</v>
      </c>
      <c r="V606" s="5">
        <f>_xlfn.XLOOKUP(CustomerCombined[[#This Row],[ID]], Table4[ID], Table4[Visits], "Not Found", 0)</f>
        <v>6</v>
      </c>
      <c r="W606" s="8">
        <f>_xlfn.XLOOKUP(CustomerCombined[[#This Row],[ID]], Table2[ID],Table2[Complaint], "Not Found", 0 )</f>
        <v>0</v>
      </c>
      <c r="X606" s="8">
        <f>_xlfn.XLOOKUP(CustomerCombined[[#This Row],[ID]], Table2[ID],Table2[Pilot], "Not Found", 0 )</f>
        <v>1</v>
      </c>
      <c r="Y606" s="8">
        <f>_xlfn.XLOOKUP(CustomerCombined[[#This Row],[ID]], Table2[ID],Table2[MC1], "Not Found", 0 )</f>
        <v>0</v>
      </c>
      <c r="Z606" s="8">
        <f>_xlfn.XLOOKUP(CustomerCombined[[#This Row],[ID]], Table2[ID],Table2[MC2], "Not Found", 0 )</f>
        <v>0</v>
      </c>
      <c r="AA606" s="8">
        <f>_xlfn.XLOOKUP(CustomerCombined[[#This Row],[ID]], Table2[ID],Table2[MC3], "Not Found", 0 )</f>
        <v>1</v>
      </c>
      <c r="AB606" s="8">
        <f>_xlfn.XLOOKUP(CustomerCombined[[#This Row],[ID]], Table2[ID],Table2[MC4], "Not Found", 0 )</f>
        <v>0</v>
      </c>
      <c r="AC606" s="8">
        <f>_xlfn.XLOOKUP(CustomerCombined[[#This Row],[ID]], Table2[ID],Table2[MC5], "Not Found", 0 )</f>
        <v>1</v>
      </c>
    </row>
    <row r="607" spans="1:29" x14ac:dyDescent="0.3">
      <c r="A607" s="6">
        <v>1043</v>
      </c>
      <c r="B607" s="6">
        <v>179941</v>
      </c>
      <c r="C607" s="6">
        <v>0</v>
      </c>
      <c r="D607" s="6">
        <v>0</v>
      </c>
      <c r="E607" s="6">
        <v>44</v>
      </c>
      <c r="F607" s="5" t="s">
        <v>7</v>
      </c>
      <c r="G607" s="5" t="s">
        <v>11</v>
      </c>
      <c r="H607" s="3">
        <v>43873</v>
      </c>
      <c r="I607" s="5" t="s">
        <v>434</v>
      </c>
      <c r="J607" s="5">
        <f>_xlfn.XLOOKUP(CustomerCombined[[#This Row],[ID]], Table4[ID], Table4[Recency], "Not Found", 0)</f>
        <v>72</v>
      </c>
      <c r="K607" s="5">
        <f>_xlfn.XLOOKUP(CustomerCombined[[#This Row],[ID]], Table4[ID], Table4[Teas], "Not Found", 0)</f>
        <v>277</v>
      </c>
      <c r="L607" s="5">
        <f>_xlfn.XLOOKUP(CustomerCombined[[#This Row],[ID]], Table4[ID], Table4[Fruits], "Not Found", 0)</f>
        <v>369</v>
      </c>
      <c r="M607" s="5">
        <f>_xlfn.XLOOKUP(CustomerCombined[[#This Row],[ID]], Table4[ID], Table4[Meats], "Not Found", 0)</f>
        <v>599</v>
      </c>
      <c r="N607" s="5">
        <f>_xlfn.XLOOKUP(CustomerCombined[[#This Row],[ID]], Table4[ID], Table4[Seafood], "Not Found", 0)</f>
        <v>511</v>
      </c>
      <c r="O607" s="5">
        <f>_xlfn.XLOOKUP(CustomerCombined[[#This Row],[ID]], Table4[ID], Table4[Sweets], "Not Found", 0)</f>
        <v>68</v>
      </c>
      <c r="P607" s="5">
        <f>_xlfn.XLOOKUP(CustomerCombined[[#This Row],[ID]], Table4[ID], Table4[Premium], "Not Found", 0)</f>
        <v>392</v>
      </c>
      <c r="Q607" s="5">
        <f>_xlfn.XLOOKUP(CustomerCombined[[#This Row],[ID]], Table4[ID], Table4[Regular], "Not Found", 0)</f>
        <v>1432</v>
      </c>
      <c r="R607" s="5">
        <f>_xlfn.XLOOKUP(CustomerCombined[[#This Row],[ID]], Table4[ID], Table4[Deals], "Not Found", 0)</f>
        <v>1</v>
      </c>
      <c r="S607" s="5">
        <f>_xlfn.XLOOKUP(CustomerCombined[[#This Row],[ID]], Table4[ID], Table4[Website], "Not Found", 0)</f>
        <v>2</v>
      </c>
      <c r="T607" s="5">
        <f>_xlfn.XLOOKUP(CustomerCombined[[#This Row],[ID]], Table4[ID], Table4[Catalog], "Not Found", 0)</f>
        <v>4</v>
      </c>
      <c r="U607" s="5">
        <f>_xlfn.XLOOKUP(CustomerCombined[[#This Row],[ID]], Table4[ID], Table4[Store], "Not Found", 0)</f>
        <v>9</v>
      </c>
      <c r="V607" s="5">
        <f>_xlfn.XLOOKUP(CustomerCombined[[#This Row],[ID]], Table4[ID], Table4[Visits], "Not Found", 0)</f>
        <v>1</v>
      </c>
      <c r="W607" s="8">
        <f>_xlfn.XLOOKUP(CustomerCombined[[#This Row],[ID]], Table2[ID],Table2[Complaint], "Not Found", 0 )</f>
        <v>0</v>
      </c>
      <c r="X607" s="8">
        <f>_xlfn.XLOOKUP(CustomerCombined[[#This Row],[ID]], Table2[ID],Table2[Pilot], "Not Found", 0 )</f>
        <v>0</v>
      </c>
      <c r="Y607" s="8">
        <f>_xlfn.XLOOKUP(CustomerCombined[[#This Row],[ID]], Table2[ID],Table2[MC1], "Not Found", 0 )</f>
        <v>0</v>
      </c>
      <c r="Z607" s="8">
        <f>_xlfn.XLOOKUP(CustomerCombined[[#This Row],[ID]], Table2[ID],Table2[MC2], "Not Found", 0 )</f>
        <v>0</v>
      </c>
      <c r="AA607" s="8">
        <f>_xlfn.XLOOKUP(CustomerCombined[[#This Row],[ID]], Table2[ID],Table2[MC3], "Not Found", 0 )</f>
        <v>0</v>
      </c>
      <c r="AB607" s="8">
        <f>_xlfn.XLOOKUP(CustomerCombined[[#This Row],[ID]], Table2[ID],Table2[MC4], "Not Found", 0 )</f>
        <v>0</v>
      </c>
      <c r="AC607" s="8">
        <f>_xlfn.XLOOKUP(CustomerCombined[[#This Row],[ID]], Table2[ID],Table2[MC5], "Not Found", 0 )</f>
        <v>0</v>
      </c>
    </row>
    <row r="608" spans="1:29" x14ac:dyDescent="0.3">
      <c r="A608" s="6">
        <v>1969</v>
      </c>
      <c r="B608" s="6">
        <v>179689</v>
      </c>
      <c r="C608" s="6">
        <v>0</v>
      </c>
      <c r="D608" s="6">
        <v>0</v>
      </c>
      <c r="E608" s="6">
        <v>44</v>
      </c>
      <c r="F608" s="5" t="s">
        <v>7</v>
      </c>
      <c r="G608" s="5" t="s">
        <v>442</v>
      </c>
      <c r="H608" s="3" t="s">
        <v>259</v>
      </c>
      <c r="I608" s="5" t="s">
        <v>437</v>
      </c>
      <c r="J608" s="5">
        <f>_xlfn.XLOOKUP(CustomerCombined[[#This Row],[ID]], Table4[ID], Table4[Recency], "Not Found", 0)</f>
        <v>65</v>
      </c>
      <c r="K608" s="5">
        <f>_xlfn.XLOOKUP(CustomerCombined[[#This Row],[ID]], Table4[ID], Table4[Teas], "Not Found", 0)</f>
        <v>701</v>
      </c>
      <c r="L608" s="5">
        <f>_xlfn.XLOOKUP(CustomerCombined[[#This Row],[ID]], Table4[ID], Table4[Fruits], "Not Found", 0)</f>
        <v>59</v>
      </c>
      <c r="M608" s="5">
        <f>_xlfn.XLOOKUP(CustomerCombined[[#This Row],[ID]], Table4[ID], Table4[Meats], "Not Found", 0)</f>
        <v>1443</v>
      </c>
      <c r="N608" s="5">
        <f>_xlfn.XLOOKUP(CustomerCombined[[#This Row],[ID]], Table4[ID], Table4[Seafood], "Not Found", 0)</f>
        <v>406</v>
      </c>
      <c r="O608" s="5">
        <f>_xlfn.XLOOKUP(CustomerCombined[[#This Row],[ID]], Table4[ID], Table4[Sweets], "Not Found", 0)</f>
        <v>83</v>
      </c>
      <c r="P608" s="5">
        <f>_xlfn.XLOOKUP(CustomerCombined[[#This Row],[ID]], Table4[ID], Table4[Premium], "Not Found", 0)</f>
        <v>273</v>
      </c>
      <c r="Q608" s="5">
        <f>_xlfn.XLOOKUP(CustomerCombined[[#This Row],[ID]], Table4[ID], Table4[Regular], "Not Found", 0)</f>
        <v>2419</v>
      </c>
      <c r="R608" s="5">
        <f>_xlfn.XLOOKUP(CustomerCombined[[#This Row],[ID]], Table4[ID], Table4[Deals], "Not Found", 0)</f>
        <v>1</v>
      </c>
      <c r="S608" s="5">
        <f>_xlfn.XLOOKUP(CustomerCombined[[#This Row],[ID]], Table4[ID], Table4[Website], "Not Found", 0)</f>
        <v>4</v>
      </c>
      <c r="T608" s="5">
        <f>_xlfn.XLOOKUP(CustomerCombined[[#This Row],[ID]], Table4[ID], Table4[Catalog], "Not Found", 0)</f>
        <v>9</v>
      </c>
      <c r="U608" s="5">
        <f>_xlfn.XLOOKUP(CustomerCombined[[#This Row],[ID]], Table4[ID], Table4[Store], "Not Found", 0)</f>
        <v>13</v>
      </c>
      <c r="V608" s="5">
        <f>_xlfn.XLOOKUP(CustomerCombined[[#This Row],[ID]], Table4[ID], Table4[Visits], "Not Found", 0)</f>
        <v>2</v>
      </c>
      <c r="W608" s="8">
        <f>_xlfn.XLOOKUP(CustomerCombined[[#This Row],[ID]], Table2[ID],Table2[Complaint], "Not Found", 0 )</f>
        <v>0</v>
      </c>
      <c r="X608" s="8">
        <f>_xlfn.XLOOKUP(CustomerCombined[[#This Row],[ID]], Table2[ID],Table2[Pilot], "Not Found", 0 )</f>
        <v>0</v>
      </c>
      <c r="Y608" s="8">
        <f>_xlfn.XLOOKUP(CustomerCombined[[#This Row],[ID]], Table2[ID],Table2[MC1], "Not Found", 0 )</f>
        <v>0</v>
      </c>
      <c r="Z608" s="8">
        <f>_xlfn.XLOOKUP(CustomerCombined[[#This Row],[ID]], Table2[ID],Table2[MC2], "Not Found", 0 )</f>
        <v>0</v>
      </c>
      <c r="AA608" s="8">
        <f>_xlfn.XLOOKUP(CustomerCombined[[#This Row],[ID]], Table2[ID],Table2[MC3], "Not Found", 0 )</f>
        <v>0</v>
      </c>
      <c r="AB608" s="8">
        <f>_xlfn.XLOOKUP(CustomerCombined[[#This Row],[ID]], Table2[ID],Table2[MC4], "Not Found", 0 )</f>
        <v>0</v>
      </c>
      <c r="AC608" s="8">
        <f>_xlfn.XLOOKUP(CustomerCombined[[#This Row],[ID]], Table2[ID],Table2[MC5], "Not Found", 0 )</f>
        <v>0</v>
      </c>
    </row>
    <row r="609" spans="1:29" x14ac:dyDescent="0.3">
      <c r="A609" s="6">
        <v>2775</v>
      </c>
      <c r="B609" s="6">
        <v>178416</v>
      </c>
      <c r="C609" s="6">
        <v>0</v>
      </c>
      <c r="D609" s="6">
        <v>1</v>
      </c>
      <c r="E609" s="6">
        <v>44</v>
      </c>
      <c r="F609" s="5" t="s">
        <v>8</v>
      </c>
      <c r="G609" s="5" t="s">
        <v>11</v>
      </c>
      <c r="H609" s="3">
        <v>43842</v>
      </c>
      <c r="I609" s="5" t="s">
        <v>435</v>
      </c>
      <c r="J609" s="5">
        <f>_xlfn.XLOOKUP(CustomerCombined[[#This Row],[ID]], Table4[ID], Table4[Recency], "Not Found", 0)</f>
        <v>99</v>
      </c>
      <c r="K609" s="5">
        <f>_xlfn.XLOOKUP(CustomerCombined[[#This Row],[ID]], Table4[ID], Table4[Teas], "Not Found", 0)</f>
        <v>1031</v>
      </c>
      <c r="L609" s="5">
        <f>_xlfn.XLOOKUP(CustomerCombined[[#This Row],[ID]], Table4[ID], Table4[Fruits], "Not Found", 0)</f>
        <v>86</v>
      </c>
      <c r="M609" s="5">
        <f>_xlfn.XLOOKUP(CustomerCombined[[#This Row],[ID]], Table4[ID], Table4[Meats], "Not Found", 0)</f>
        <v>635</v>
      </c>
      <c r="N609" s="5">
        <f>_xlfn.XLOOKUP(CustomerCombined[[#This Row],[ID]], Table4[ID], Table4[Seafood], "Not Found", 0)</f>
        <v>428</v>
      </c>
      <c r="O609" s="5">
        <f>_xlfn.XLOOKUP(CustomerCombined[[#This Row],[ID]], Table4[ID], Table4[Sweets], "Not Found", 0)</f>
        <v>86</v>
      </c>
      <c r="P609" s="5">
        <f>_xlfn.XLOOKUP(CustomerCombined[[#This Row],[ID]], Table4[ID], Table4[Premium], "Not Found", 0)</f>
        <v>416</v>
      </c>
      <c r="Q609" s="5">
        <f>_xlfn.XLOOKUP(CustomerCombined[[#This Row],[ID]], Table4[ID], Table4[Regular], "Not Found", 0)</f>
        <v>1850</v>
      </c>
      <c r="R609" s="5">
        <f>_xlfn.XLOOKUP(CustomerCombined[[#This Row],[ID]], Table4[ID], Table4[Deals], "Not Found", 0)</f>
        <v>2</v>
      </c>
      <c r="S609" s="5">
        <f>_xlfn.XLOOKUP(CustomerCombined[[#This Row],[ID]], Table4[ID], Table4[Website], "Not Found", 0)</f>
        <v>7</v>
      </c>
      <c r="T609" s="5">
        <f>_xlfn.XLOOKUP(CustomerCombined[[#This Row],[ID]], Table4[ID], Table4[Catalog], "Not Found", 0)</f>
        <v>7</v>
      </c>
      <c r="U609" s="5">
        <f>_xlfn.XLOOKUP(CustomerCombined[[#This Row],[ID]], Table4[ID], Table4[Store], "Not Found", 0)</f>
        <v>10</v>
      </c>
      <c r="V609" s="5">
        <f>_xlfn.XLOOKUP(CustomerCombined[[#This Row],[ID]], Table4[ID], Table4[Visits], "Not Found", 0)</f>
        <v>3</v>
      </c>
      <c r="W609" s="8">
        <f>_xlfn.XLOOKUP(CustomerCombined[[#This Row],[ID]], Table2[ID],Table2[Complaint], "Not Found", 0 )</f>
        <v>0</v>
      </c>
      <c r="X609" s="8">
        <f>_xlfn.XLOOKUP(CustomerCombined[[#This Row],[ID]], Table2[ID],Table2[Pilot], "Not Found", 0 )</f>
        <v>0</v>
      </c>
      <c r="Y609" s="8">
        <f>_xlfn.XLOOKUP(CustomerCombined[[#This Row],[ID]], Table2[ID],Table2[MC1], "Not Found", 0 )</f>
        <v>0</v>
      </c>
      <c r="Z609" s="8">
        <f>_xlfn.XLOOKUP(CustomerCombined[[#This Row],[ID]], Table2[ID],Table2[MC2], "Not Found", 0 )</f>
        <v>0</v>
      </c>
      <c r="AA609" s="8">
        <f>_xlfn.XLOOKUP(CustomerCombined[[#This Row],[ID]], Table2[ID],Table2[MC3], "Not Found", 0 )</f>
        <v>0</v>
      </c>
      <c r="AB609" s="8">
        <f>_xlfn.XLOOKUP(CustomerCombined[[#This Row],[ID]], Table2[ID],Table2[MC4], "Not Found", 0 )</f>
        <v>0</v>
      </c>
      <c r="AC609" s="8">
        <f>_xlfn.XLOOKUP(CustomerCombined[[#This Row],[ID]], Table2[ID],Table2[MC5], "Not Found", 0 )</f>
        <v>0</v>
      </c>
    </row>
    <row r="610" spans="1:29" x14ac:dyDescent="0.3">
      <c r="A610" s="6">
        <v>1072</v>
      </c>
      <c r="B610" s="6">
        <v>175825</v>
      </c>
      <c r="C610" s="6">
        <v>0</v>
      </c>
      <c r="D610" s="6">
        <v>0</v>
      </c>
      <c r="E610" s="6">
        <v>44</v>
      </c>
      <c r="F610" s="5" t="s">
        <v>7</v>
      </c>
      <c r="G610" s="5" t="s">
        <v>11</v>
      </c>
      <c r="H610" s="3" t="s">
        <v>382</v>
      </c>
      <c r="I610" s="5" t="s">
        <v>439</v>
      </c>
      <c r="J610" s="5">
        <f>_xlfn.XLOOKUP(CustomerCombined[[#This Row],[ID]], Table4[ID], Table4[Recency], "Not Found", 0)</f>
        <v>40</v>
      </c>
      <c r="K610" s="5">
        <f>_xlfn.XLOOKUP(CustomerCombined[[#This Row],[ID]], Table4[ID], Table4[Teas], "Not Found", 0)</f>
        <v>2393</v>
      </c>
      <c r="L610" s="5">
        <f>_xlfn.XLOOKUP(CustomerCombined[[#This Row],[ID]], Table4[ID], Table4[Fruits], "Not Found", 0)</f>
        <v>243</v>
      </c>
      <c r="M610" s="5">
        <f>_xlfn.XLOOKUP(CustomerCombined[[#This Row],[ID]], Table4[ID], Table4[Meats], "Not Found", 0)</f>
        <v>1806</v>
      </c>
      <c r="N610" s="5">
        <f>_xlfn.XLOOKUP(CustomerCombined[[#This Row],[ID]], Table4[ID], Table4[Seafood], "Not Found", 0)</f>
        <v>318</v>
      </c>
      <c r="O610" s="5">
        <f>_xlfn.XLOOKUP(CustomerCombined[[#This Row],[ID]], Table4[ID], Table4[Sweets], "Not Found", 0)</f>
        <v>243</v>
      </c>
      <c r="P610" s="5">
        <f>_xlfn.XLOOKUP(CustomerCombined[[#This Row],[ID]], Table4[ID], Table4[Premium], "Not Found", 0)</f>
        <v>118</v>
      </c>
      <c r="Q610" s="5">
        <f>_xlfn.XLOOKUP(CustomerCombined[[#This Row],[ID]], Table4[ID], Table4[Regular], "Not Found", 0)</f>
        <v>4886</v>
      </c>
      <c r="R610" s="5">
        <f>_xlfn.XLOOKUP(CustomerCombined[[#This Row],[ID]], Table4[ID], Table4[Deals], "Not Found", 0)</f>
        <v>0</v>
      </c>
      <c r="S610" s="5">
        <f>_xlfn.XLOOKUP(CustomerCombined[[#This Row],[ID]], Table4[ID], Table4[Website], "Not Found", 0)</f>
        <v>5</v>
      </c>
      <c r="T610" s="5">
        <f>_xlfn.XLOOKUP(CustomerCombined[[#This Row],[ID]], Table4[ID], Table4[Catalog], "Not Found", 0)</f>
        <v>8</v>
      </c>
      <c r="U610" s="5">
        <f>_xlfn.XLOOKUP(CustomerCombined[[#This Row],[ID]], Table4[ID], Table4[Store], "Not Found", 0)</f>
        <v>9</v>
      </c>
      <c r="V610" s="5">
        <f>_xlfn.XLOOKUP(CustomerCombined[[#This Row],[ID]], Table4[ID], Table4[Visits], "Not Found", 0)</f>
        <v>4</v>
      </c>
      <c r="W610" s="8">
        <f>_xlfn.XLOOKUP(CustomerCombined[[#This Row],[ID]], Table2[ID],Table2[Complaint], "Not Found", 0 )</f>
        <v>0</v>
      </c>
      <c r="X610" s="8">
        <f>_xlfn.XLOOKUP(CustomerCombined[[#This Row],[ID]], Table2[ID],Table2[Pilot], "Not Found", 0 )</f>
        <v>1</v>
      </c>
      <c r="Y610" s="8">
        <f>_xlfn.XLOOKUP(CustomerCombined[[#This Row],[ID]], Table2[ID],Table2[MC1], "Not Found", 0 )</f>
        <v>0</v>
      </c>
      <c r="Z610" s="8">
        <f>_xlfn.XLOOKUP(CustomerCombined[[#This Row],[ID]], Table2[ID],Table2[MC2], "Not Found", 0 )</f>
        <v>0</v>
      </c>
      <c r="AA610" s="8">
        <f>_xlfn.XLOOKUP(CustomerCombined[[#This Row],[ID]], Table2[ID],Table2[MC3], "Not Found", 0 )</f>
        <v>1</v>
      </c>
      <c r="AB610" s="8">
        <f>_xlfn.XLOOKUP(CustomerCombined[[#This Row],[ID]], Table2[ID],Table2[MC4], "Not Found", 0 )</f>
        <v>0</v>
      </c>
      <c r="AC610" s="8">
        <f>_xlfn.XLOOKUP(CustomerCombined[[#This Row],[ID]], Table2[ID],Table2[MC5], "Not Found", 0 )</f>
        <v>0</v>
      </c>
    </row>
    <row r="611" spans="1:29" x14ac:dyDescent="0.3">
      <c r="A611" s="6">
        <v>2460</v>
      </c>
      <c r="B611" s="6">
        <v>175484</v>
      </c>
      <c r="C611" s="6">
        <v>0</v>
      </c>
      <c r="D611" s="6">
        <v>1</v>
      </c>
      <c r="E611" s="6">
        <v>44</v>
      </c>
      <c r="F611" s="5" t="s">
        <v>8</v>
      </c>
      <c r="G611" s="5" t="s">
        <v>442</v>
      </c>
      <c r="H611" s="3">
        <v>43647</v>
      </c>
      <c r="I611" s="5" t="s">
        <v>436</v>
      </c>
      <c r="J611" s="5">
        <f>_xlfn.XLOOKUP(CustomerCombined[[#This Row],[ID]], Table4[ID], Table4[Recency], "Not Found", 0)</f>
        <v>50</v>
      </c>
      <c r="K611" s="5">
        <f>_xlfn.XLOOKUP(CustomerCombined[[#This Row],[ID]], Table4[ID], Table4[Teas], "Not Found", 0)</f>
        <v>879</v>
      </c>
      <c r="L611" s="5">
        <f>_xlfn.XLOOKUP(CustomerCombined[[#This Row],[ID]], Table4[ID], Table4[Fruits], "Not Found", 0)</f>
        <v>226</v>
      </c>
      <c r="M611" s="5">
        <f>_xlfn.XLOOKUP(CustomerCombined[[#This Row],[ID]], Table4[ID], Table4[Meats], "Not Found", 0)</f>
        <v>602</v>
      </c>
      <c r="N611" s="5">
        <f>_xlfn.XLOOKUP(CustomerCombined[[#This Row],[ID]], Table4[ID], Table4[Seafood], "Not Found", 0)</f>
        <v>458</v>
      </c>
      <c r="O611" s="5">
        <f>_xlfn.XLOOKUP(CustomerCombined[[#This Row],[ID]], Table4[ID], Table4[Sweets], "Not Found", 0)</f>
        <v>451</v>
      </c>
      <c r="P611" s="5">
        <f>_xlfn.XLOOKUP(CustomerCombined[[#This Row],[ID]], Table4[ID], Table4[Premium], "Not Found", 0)</f>
        <v>79</v>
      </c>
      <c r="Q611" s="5">
        <f>_xlfn.XLOOKUP(CustomerCombined[[#This Row],[ID]], Table4[ID], Table4[Regular], "Not Found", 0)</f>
        <v>2536</v>
      </c>
      <c r="R611" s="5">
        <f>_xlfn.XLOOKUP(CustomerCombined[[#This Row],[ID]], Table4[ID], Table4[Deals], "Not Found", 0)</f>
        <v>2</v>
      </c>
      <c r="S611" s="5">
        <f>_xlfn.XLOOKUP(CustomerCombined[[#This Row],[ID]], Table4[ID], Table4[Website], "Not Found", 0)</f>
        <v>7</v>
      </c>
      <c r="T611" s="5">
        <f>_xlfn.XLOOKUP(CustomerCombined[[#This Row],[ID]], Table4[ID], Table4[Catalog], "Not Found", 0)</f>
        <v>3</v>
      </c>
      <c r="U611" s="5">
        <f>_xlfn.XLOOKUP(CustomerCombined[[#This Row],[ID]], Table4[ID], Table4[Store], "Not Found", 0)</f>
        <v>6</v>
      </c>
      <c r="V611" s="5">
        <f>_xlfn.XLOOKUP(CustomerCombined[[#This Row],[ID]], Table4[ID], Table4[Visits], "Not Found", 0)</f>
        <v>4</v>
      </c>
      <c r="W611" s="8">
        <f>_xlfn.XLOOKUP(CustomerCombined[[#This Row],[ID]], Table2[ID],Table2[Complaint], "Not Found", 0 )</f>
        <v>0</v>
      </c>
      <c r="X611" s="8">
        <f>_xlfn.XLOOKUP(CustomerCombined[[#This Row],[ID]], Table2[ID],Table2[Pilot], "Not Found", 0 )</f>
        <v>0</v>
      </c>
      <c r="Y611" s="8">
        <f>_xlfn.XLOOKUP(CustomerCombined[[#This Row],[ID]], Table2[ID],Table2[MC1], "Not Found", 0 )</f>
        <v>0</v>
      </c>
      <c r="Z611" s="8">
        <f>_xlfn.XLOOKUP(CustomerCombined[[#This Row],[ID]], Table2[ID],Table2[MC2], "Not Found", 0 )</f>
        <v>0</v>
      </c>
      <c r="AA611" s="8">
        <f>_xlfn.XLOOKUP(CustomerCombined[[#This Row],[ID]], Table2[ID],Table2[MC3], "Not Found", 0 )</f>
        <v>0</v>
      </c>
      <c r="AB611" s="8">
        <f>_xlfn.XLOOKUP(CustomerCombined[[#This Row],[ID]], Table2[ID],Table2[MC4], "Not Found", 0 )</f>
        <v>0</v>
      </c>
      <c r="AC611" s="8">
        <f>_xlfn.XLOOKUP(CustomerCombined[[#This Row],[ID]], Table2[ID],Table2[MC5], "Not Found", 0 )</f>
        <v>0</v>
      </c>
    </row>
    <row r="612" spans="1:29" x14ac:dyDescent="0.3">
      <c r="A612" s="6">
        <v>1708</v>
      </c>
      <c r="B612" s="6">
        <v>175012</v>
      </c>
      <c r="C612" s="6">
        <v>0</v>
      </c>
      <c r="D612" s="6">
        <v>0</v>
      </c>
      <c r="E612" s="6">
        <v>44</v>
      </c>
      <c r="F612" s="5" t="s">
        <v>5</v>
      </c>
      <c r="G612" s="5" t="s">
        <v>12</v>
      </c>
      <c r="H612" s="3">
        <v>43837</v>
      </c>
      <c r="I612" s="5" t="s">
        <v>439</v>
      </c>
      <c r="J612" s="5">
        <f>_xlfn.XLOOKUP(CustomerCombined[[#This Row],[ID]], Table4[ID], Table4[Recency], "Not Found", 0)</f>
        <v>41</v>
      </c>
      <c r="K612" s="5">
        <f>_xlfn.XLOOKUP(CustomerCombined[[#This Row],[ID]], Table4[ID], Table4[Teas], "Not Found", 0)</f>
        <v>686</v>
      </c>
      <c r="L612" s="5">
        <f>_xlfn.XLOOKUP(CustomerCombined[[#This Row],[ID]], Table4[ID], Table4[Fruits], "Not Found", 0)</f>
        <v>331</v>
      </c>
      <c r="M612" s="5">
        <f>_xlfn.XLOOKUP(CustomerCombined[[#This Row],[ID]], Table4[ID], Table4[Meats], "Not Found", 0)</f>
        <v>509</v>
      </c>
      <c r="N612" s="5">
        <f>_xlfn.XLOOKUP(CustomerCombined[[#This Row],[ID]], Table4[ID], Table4[Seafood], "Not Found", 0)</f>
        <v>383</v>
      </c>
      <c r="O612" s="5">
        <f>_xlfn.XLOOKUP(CustomerCombined[[#This Row],[ID]], Table4[ID], Table4[Sweets], "Not Found", 0)</f>
        <v>135</v>
      </c>
      <c r="P612" s="5">
        <f>_xlfn.XLOOKUP(CustomerCombined[[#This Row],[ID]], Table4[ID], Table4[Premium], "Not Found", 0)</f>
        <v>352</v>
      </c>
      <c r="Q612" s="5">
        <f>_xlfn.XLOOKUP(CustomerCombined[[#This Row],[ID]], Table4[ID], Table4[Regular], "Not Found", 0)</f>
        <v>1692</v>
      </c>
      <c r="R612" s="5">
        <f>_xlfn.XLOOKUP(CustomerCombined[[#This Row],[ID]], Table4[ID], Table4[Deals], "Not Found", 0)</f>
        <v>1</v>
      </c>
      <c r="S612" s="5">
        <f>_xlfn.XLOOKUP(CustomerCombined[[#This Row],[ID]], Table4[ID], Table4[Website], "Not Found", 0)</f>
        <v>3</v>
      </c>
      <c r="T612" s="5">
        <f>_xlfn.XLOOKUP(CustomerCombined[[#This Row],[ID]], Table4[ID], Table4[Catalog], "Not Found", 0)</f>
        <v>8</v>
      </c>
      <c r="U612" s="5">
        <f>_xlfn.XLOOKUP(CustomerCombined[[#This Row],[ID]], Table4[ID], Table4[Store], "Not Found", 0)</f>
        <v>11</v>
      </c>
      <c r="V612" s="5">
        <f>_xlfn.XLOOKUP(CustomerCombined[[#This Row],[ID]], Table4[ID], Table4[Visits], "Not Found", 0)</f>
        <v>1</v>
      </c>
      <c r="W612" s="8">
        <f>_xlfn.XLOOKUP(CustomerCombined[[#This Row],[ID]], Table2[ID],Table2[Complaint], "Not Found", 0 )</f>
        <v>0</v>
      </c>
      <c r="X612" s="8">
        <f>_xlfn.XLOOKUP(CustomerCombined[[#This Row],[ID]], Table2[ID],Table2[Pilot], "Not Found", 0 )</f>
        <v>0</v>
      </c>
      <c r="Y612" s="8">
        <f>_xlfn.XLOOKUP(CustomerCombined[[#This Row],[ID]], Table2[ID],Table2[MC1], "Not Found", 0 )</f>
        <v>0</v>
      </c>
      <c r="Z612" s="8">
        <f>_xlfn.XLOOKUP(CustomerCombined[[#This Row],[ID]], Table2[ID],Table2[MC2], "Not Found", 0 )</f>
        <v>0</v>
      </c>
      <c r="AA612" s="8">
        <f>_xlfn.XLOOKUP(CustomerCombined[[#This Row],[ID]], Table2[ID],Table2[MC3], "Not Found", 0 )</f>
        <v>0</v>
      </c>
      <c r="AB612" s="8">
        <f>_xlfn.XLOOKUP(CustomerCombined[[#This Row],[ID]], Table2[ID],Table2[MC4], "Not Found", 0 )</f>
        <v>0</v>
      </c>
      <c r="AC612" s="8">
        <f>_xlfn.XLOOKUP(CustomerCombined[[#This Row],[ID]], Table2[ID],Table2[MC5], "Not Found", 0 )</f>
        <v>0</v>
      </c>
    </row>
    <row r="613" spans="1:29" x14ac:dyDescent="0.3">
      <c r="A613" s="6">
        <v>1177</v>
      </c>
      <c r="B613" s="6">
        <v>174068</v>
      </c>
      <c r="C613" s="6">
        <v>0</v>
      </c>
      <c r="D613" s="6">
        <v>0</v>
      </c>
      <c r="E613" s="6">
        <v>44</v>
      </c>
      <c r="F613" s="5" t="s">
        <v>6</v>
      </c>
      <c r="G613" s="5" t="s">
        <v>11</v>
      </c>
      <c r="H613" s="3" t="s">
        <v>289</v>
      </c>
      <c r="I613" s="5" t="s">
        <v>437</v>
      </c>
      <c r="J613" s="5">
        <f>_xlfn.XLOOKUP(CustomerCombined[[#This Row],[ID]], Table4[ID], Table4[Recency], "Not Found", 0)</f>
        <v>14</v>
      </c>
      <c r="K613" s="5">
        <f>_xlfn.XLOOKUP(CustomerCombined[[#This Row],[ID]], Table4[ID], Table4[Teas], "Not Found", 0)</f>
        <v>1840</v>
      </c>
      <c r="L613" s="5">
        <f>_xlfn.XLOOKUP(CustomerCombined[[#This Row],[ID]], Table4[ID], Table4[Fruits], "Not Found", 0)</f>
        <v>71</v>
      </c>
      <c r="M613" s="5">
        <f>_xlfn.XLOOKUP(CustomerCombined[[#This Row],[ID]], Table4[ID], Table4[Meats], "Not Found", 0)</f>
        <v>1262</v>
      </c>
      <c r="N613" s="5">
        <f>_xlfn.XLOOKUP(CustomerCombined[[#This Row],[ID]], Table4[ID], Table4[Seafood], "Not Found", 0)</f>
        <v>329</v>
      </c>
      <c r="O613" s="5">
        <f>_xlfn.XLOOKUP(CustomerCombined[[#This Row],[ID]], Table4[ID], Table4[Sweets], "Not Found", 0)</f>
        <v>179</v>
      </c>
      <c r="P613" s="5">
        <f>_xlfn.XLOOKUP(CustomerCombined[[#This Row],[ID]], Table4[ID], Table4[Premium], "Not Found", 0)</f>
        <v>35</v>
      </c>
      <c r="Q613" s="5">
        <f>_xlfn.XLOOKUP(CustomerCombined[[#This Row],[ID]], Table4[ID], Table4[Regular], "Not Found", 0)</f>
        <v>3645</v>
      </c>
      <c r="R613" s="5">
        <f>_xlfn.XLOOKUP(CustomerCombined[[#This Row],[ID]], Table4[ID], Table4[Deals], "Not Found", 0)</f>
        <v>1</v>
      </c>
      <c r="S613" s="5">
        <f>_xlfn.XLOOKUP(CustomerCombined[[#This Row],[ID]], Table4[ID], Table4[Website], "Not Found", 0)</f>
        <v>4</v>
      </c>
      <c r="T613" s="5">
        <f>_xlfn.XLOOKUP(CustomerCombined[[#This Row],[ID]], Table4[ID], Table4[Catalog], "Not Found", 0)</f>
        <v>10</v>
      </c>
      <c r="U613" s="5">
        <f>_xlfn.XLOOKUP(CustomerCombined[[#This Row],[ID]], Table4[ID], Table4[Store], "Not Found", 0)</f>
        <v>9</v>
      </c>
      <c r="V613" s="5">
        <f>_xlfn.XLOOKUP(CustomerCombined[[#This Row],[ID]], Table4[ID], Table4[Visits], "Not Found", 0)</f>
        <v>2</v>
      </c>
      <c r="W613" s="8">
        <f>_xlfn.XLOOKUP(CustomerCombined[[#This Row],[ID]], Table2[ID],Table2[Complaint], "Not Found", 0 )</f>
        <v>0</v>
      </c>
      <c r="X613" s="8">
        <f>_xlfn.XLOOKUP(CustomerCombined[[#This Row],[ID]], Table2[ID],Table2[Pilot], "Not Found", 0 )</f>
        <v>0</v>
      </c>
      <c r="Y613" s="8">
        <f>_xlfn.XLOOKUP(CustomerCombined[[#This Row],[ID]], Table2[ID],Table2[MC1], "Not Found", 0 )</f>
        <v>0</v>
      </c>
      <c r="Z613" s="8">
        <f>_xlfn.XLOOKUP(CustomerCombined[[#This Row],[ID]], Table2[ID],Table2[MC2], "Not Found", 0 )</f>
        <v>0</v>
      </c>
      <c r="AA613" s="8">
        <f>_xlfn.XLOOKUP(CustomerCombined[[#This Row],[ID]], Table2[ID],Table2[MC3], "Not Found", 0 )</f>
        <v>0</v>
      </c>
      <c r="AB613" s="8">
        <f>_xlfn.XLOOKUP(CustomerCombined[[#This Row],[ID]], Table2[ID],Table2[MC4], "Not Found", 0 )</f>
        <v>0</v>
      </c>
      <c r="AC613" s="8">
        <f>_xlfn.XLOOKUP(CustomerCombined[[#This Row],[ID]], Table2[ID],Table2[MC5], "Not Found", 0 )</f>
        <v>0</v>
      </c>
    </row>
    <row r="614" spans="1:29" x14ac:dyDescent="0.3">
      <c r="A614" s="6">
        <v>2928</v>
      </c>
      <c r="B614" s="6">
        <v>172335</v>
      </c>
      <c r="C614" s="6">
        <v>0</v>
      </c>
      <c r="D614" s="6">
        <v>0</v>
      </c>
      <c r="E614" s="6">
        <v>44</v>
      </c>
      <c r="F614" s="5" t="s">
        <v>8</v>
      </c>
      <c r="G614" s="5" t="s">
        <v>13</v>
      </c>
      <c r="H614" s="3" t="s">
        <v>415</v>
      </c>
      <c r="I614" s="5" t="s">
        <v>436</v>
      </c>
      <c r="J614" s="5">
        <f>_xlfn.XLOOKUP(CustomerCombined[[#This Row],[ID]], Table4[ID], Table4[Recency], "Not Found", 0)</f>
        <v>2</v>
      </c>
      <c r="K614" s="5">
        <f>_xlfn.XLOOKUP(CustomerCombined[[#This Row],[ID]], Table4[ID], Table4[Teas], "Not Found", 0)</f>
        <v>3061</v>
      </c>
      <c r="L614" s="5">
        <f>_xlfn.XLOOKUP(CustomerCombined[[#This Row],[ID]], Table4[ID], Table4[Fruits], "Not Found", 0)</f>
        <v>250</v>
      </c>
      <c r="M614" s="5">
        <f>_xlfn.XLOOKUP(CustomerCombined[[#This Row],[ID]], Table4[ID], Table4[Meats], "Not Found", 0)</f>
        <v>1556</v>
      </c>
      <c r="N614" s="5">
        <f>_xlfn.XLOOKUP(CustomerCombined[[#This Row],[ID]], Table4[ID], Table4[Seafood], "Not Found", 0)</f>
        <v>67</v>
      </c>
      <c r="O614" s="5">
        <f>_xlfn.XLOOKUP(CustomerCombined[[#This Row],[ID]], Table4[ID], Table4[Sweets], "Not Found", 0)</f>
        <v>50</v>
      </c>
      <c r="P614" s="5">
        <f>_xlfn.XLOOKUP(CustomerCombined[[#This Row],[ID]], Table4[ID], Table4[Premium], "Not Found", 0)</f>
        <v>0</v>
      </c>
      <c r="Q614" s="5">
        <f>_xlfn.XLOOKUP(CustomerCombined[[#This Row],[ID]], Table4[ID], Table4[Regular], "Not Found", 0)</f>
        <v>4984</v>
      </c>
      <c r="R614" s="5">
        <f>_xlfn.XLOOKUP(CustomerCombined[[#This Row],[ID]], Table4[ID], Table4[Deals], "Not Found", 0)</f>
        <v>1</v>
      </c>
      <c r="S614" s="5">
        <f>_xlfn.XLOOKUP(CustomerCombined[[#This Row],[ID]], Table4[ID], Table4[Website], "Not Found", 0)</f>
        <v>10</v>
      </c>
      <c r="T614" s="5">
        <f>_xlfn.XLOOKUP(CustomerCombined[[#This Row],[ID]], Table4[ID], Table4[Catalog], "Not Found", 0)</f>
        <v>4</v>
      </c>
      <c r="U614" s="5">
        <f>_xlfn.XLOOKUP(CustomerCombined[[#This Row],[ID]], Table4[ID], Table4[Store], "Not Found", 0)</f>
        <v>8</v>
      </c>
      <c r="V614" s="5">
        <f>_xlfn.XLOOKUP(CustomerCombined[[#This Row],[ID]], Table4[ID], Table4[Visits], "Not Found", 0)</f>
        <v>8</v>
      </c>
      <c r="W614" s="8">
        <f>_xlfn.XLOOKUP(CustomerCombined[[#This Row],[ID]], Table2[ID],Table2[Complaint], "Not Found", 0 )</f>
        <v>0</v>
      </c>
      <c r="X614" s="8">
        <f>_xlfn.XLOOKUP(CustomerCombined[[#This Row],[ID]], Table2[ID],Table2[Pilot], "Not Found", 0 )</f>
        <v>1</v>
      </c>
      <c r="Y614" s="8">
        <f>_xlfn.XLOOKUP(CustomerCombined[[#This Row],[ID]], Table2[ID],Table2[MC1], "Not Found", 0 )</f>
        <v>0</v>
      </c>
      <c r="Z614" s="8">
        <f>_xlfn.XLOOKUP(CustomerCombined[[#This Row],[ID]], Table2[ID],Table2[MC2], "Not Found", 0 )</f>
        <v>0</v>
      </c>
      <c r="AA614" s="8">
        <f>_xlfn.XLOOKUP(CustomerCombined[[#This Row],[ID]], Table2[ID],Table2[MC3], "Not Found", 0 )</f>
        <v>0</v>
      </c>
      <c r="AB614" s="8">
        <f>_xlfn.XLOOKUP(CustomerCombined[[#This Row],[ID]], Table2[ID],Table2[MC4], "Not Found", 0 )</f>
        <v>0</v>
      </c>
      <c r="AC614" s="8">
        <f>_xlfn.XLOOKUP(CustomerCombined[[#This Row],[ID]], Table2[ID],Table2[MC5], "Not Found", 0 )</f>
        <v>0</v>
      </c>
    </row>
    <row r="615" spans="1:29" x14ac:dyDescent="0.3">
      <c r="A615" s="6">
        <v>3100</v>
      </c>
      <c r="B615" s="6">
        <v>172309</v>
      </c>
      <c r="C615" s="6">
        <v>0</v>
      </c>
      <c r="D615" s="6">
        <v>0</v>
      </c>
      <c r="E615" s="6">
        <v>44</v>
      </c>
      <c r="F615" s="5" t="s">
        <v>7</v>
      </c>
      <c r="G615" s="5" t="s">
        <v>12</v>
      </c>
      <c r="H615" s="3" t="s">
        <v>296</v>
      </c>
      <c r="I615" s="5" t="s">
        <v>439</v>
      </c>
      <c r="J615" s="5">
        <f>_xlfn.XLOOKUP(CustomerCombined[[#This Row],[ID]], Table4[ID], Table4[Recency], "Not Found", 0)</f>
        <v>64</v>
      </c>
      <c r="K615" s="5">
        <f>_xlfn.XLOOKUP(CustomerCombined[[#This Row],[ID]], Table4[ID], Table4[Teas], "Not Found", 0)</f>
        <v>2288</v>
      </c>
      <c r="L615" s="5">
        <f>_xlfn.XLOOKUP(CustomerCombined[[#This Row],[ID]], Table4[ID], Table4[Fruits], "Not Found", 0)</f>
        <v>0</v>
      </c>
      <c r="M615" s="5">
        <f>_xlfn.XLOOKUP(CustomerCombined[[#This Row],[ID]], Table4[ID], Table4[Meats], "Not Found", 0)</f>
        <v>2104</v>
      </c>
      <c r="N615" s="5">
        <f>_xlfn.XLOOKUP(CustomerCombined[[#This Row],[ID]], Table4[ID], Table4[Seafood], "Not Found", 0)</f>
        <v>119</v>
      </c>
      <c r="O615" s="5">
        <f>_xlfn.XLOOKUP(CustomerCombined[[#This Row],[ID]], Table4[ID], Table4[Sweets], "Not Found", 0)</f>
        <v>91</v>
      </c>
      <c r="P615" s="5">
        <f>_xlfn.XLOOKUP(CustomerCombined[[#This Row],[ID]], Table4[ID], Table4[Premium], "Not Found", 0)</f>
        <v>0</v>
      </c>
      <c r="Q615" s="5">
        <f>_xlfn.XLOOKUP(CustomerCombined[[#This Row],[ID]], Table4[ID], Table4[Regular], "Not Found", 0)</f>
        <v>4601</v>
      </c>
      <c r="R615" s="5">
        <f>_xlfn.XLOOKUP(CustomerCombined[[#This Row],[ID]], Table4[ID], Table4[Deals], "Not Found", 0)</f>
        <v>1</v>
      </c>
      <c r="S615" s="5">
        <f>_xlfn.XLOOKUP(CustomerCombined[[#This Row],[ID]], Table4[ID], Table4[Website], "Not Found", 0)</f>
        <v>5</v>
      </c>
      <c r="T615" s="5">
        <f>_xlfn.XLOOKUP(CustomerCombined[[#This Row],[ID]], Table4[ID], Table4[Catalog], "Not Found", 0)</f>
        <v>6</v>
      </c>
      <c r="U615" s="5">
        <f>_xlfn.XLOOKUP(CustomerCombined[[#This Row],[ID]], Table4[ID], Table4[Store], "Not Found", 0)</f>
        <v>8</v>
      </c>
      <c r="V615" s="5">
        <f>_xlfn.XLOOKUP(CustomerCombined[[#This Row],[ID]], Table4[ID], Table4[Visits], "Not Found", 0)</f>
        <v>3</v>
      </c>
      <c r="W615" s="8">
        <f>_xlfn.XLOOKUP(CustomerCombined[[#This Row],[ID]], Table2[ID],Table2[Complaint], "Not Found", 0 )</f>
        <v>0</v>
      </c>
      <c r="X615" s="8">
        <f>_xlfn.XLOOKUP(CustomerCombined[[#This Row],[ID]], Table2[ID],Table2[Pilot], "Not Found", 0 )</f>
        <v>1</v>
      </c>
      <c r="Y615" s="8">
        <f>_xlfn.XLOOKUP(CustomerCombined[[#This Row],[ID]], Table2[ID],Table2[MC1], "Not Found", 0 )</f>
        <v>1</v>
      </c>
      <c r="Z615" s="8">
        <f>_xlfn.XLOOKUP(CustomerCombined[[#This Row],[ID]], Table2[ID],Table2[MC2], "Not Found", 0 )</f>
        <v>0</v>
      </c>
      <c r="AA615" s="8">
        <f>_xlfn.XLOOKUP(CustomerCombined[[#This Row],[ID]], Table2[ID],Table2[MC3], "Not Found", 0 )</f>
        <v>0</v>
      </c>
      <c r="AB615" s="8">
        <f>_xlfn.XLOOKUP(CustomerCombined[[#This Row],[ID]], Table2[ID],Table2[MC4], "Not Found", 0 )</f>
        <v>0</v>
      </c>
      <c r="AC615" s="8">
        <f>_xlfn.XLOOKUP(CustomerCombined[[#This Row],[ID]], Table2[ID],Table2[MC5], "Not Found", 0 )</f>
        <v>0</v>
      </c>
    </row>
    <row r="616" spans="1:29" x14ac:dyDescent="0.3">
      <c r="A616" s="6">
        <v>3061</v>
      </c>
      <c r="B616" s="6">
        <v>171322</v>
      </c>
      <c r="C616" s="6">
        <v>0</v>
      </c>
      <c r="D616" s="6">
        <v>1</v>
      </c>
      <c r="E616" s="6">
        <v>44</v>
      </c>
      <c r="F616" s="5" t="s">
        <v>8</v>
      </c>
      <c r="G616" s="5" t="s">
        <v>11</v>
      </c>
      <c r="H616" s="3">
        <v>43992</v>
      </c>
      <c r="I616" s="5" t="s">
        <v>437</v>
      </c>
      <c r="J616" s="5">
        <f>_xlfn.XLOOKUP(CustomerCombined[[#This Row],[ID]], Table4[ID], Table4[Recency], "Not Found", 0)</f>
        <v>31</v>
      </c>
      <c r="K616" s="5">
        <f>_xlfn.XLOOKUP(CustomerCombined[[#This Row],[ID]], Table4[ID], Table4[Teas], "Not Found", 0)</f>
        <v>291</v>
      </c>
      <c r="L616" s="5">
        <f>_xlfn.XLOOKUP(CustomerCombined[[#This Row],[ID]], Table4[ID], Table4[Fruits], "Not Found", 0)</f>
        <v>58</v>
      </c>
      <c r="M616" s="5">
        <f>_xlfn.XLOOKUP(CustomerCombined[[#This Row],[ID]], Table4[ID], Table4[Meats], "Not Found", 0)</f>
        <v>298</v>
      </c>
      <c r="N616" s="5">
        <f>_xlfn.XLOOKUP(CustomerCombined[[#This Row],[ID]], Table4[ID], Table4[Seafood], "Not Found", 0)</f>
        <v>58</v>
      </c>
      <c r="O616" s="5">
        <f>_xlfn.XLOOKUP(CustomerCombined[[#This Row],[ID]], Table4[ID], Table4[Sweets], "Not Found", 0)</f>
        <v>36</v>
      </c>
      <c r="P616" s="5">
        <f>_xlfn.XLOOKUP(CustomerCombined[[#This Row],[ID]], Table4[ID], Table4[Premium], "Not Found", 0)</f>
        <v>101</v>
      </c>
      <c r="Q616" s="5">
        <f>_xlfn.XLOOKUP(CustomerCombined[[#This Row],[ID]], Table4[ID], Table4[Regular], "Not Found", 0)</f>
        <v>639</v>
      </c>
      <c r="R616" s="5">
        <f>_xlfn.XLOOKUP(CustomerCombined[[#This Row],[ID]], Table4[ID], Table4[Deals], "Not Found", 0)</f>
        <v>1</v>
      </c>
      <c r="S616" s="5">
        <f>_xlfn.XLOOKUP(CustomerCombined[[#This Row],[ID]], Table4[ID], Table4[Website], "Not Found", 0)</f>
        <v>4</v>
      </c>
      <c r="T616" s="5">
        <f>_xlfn.XLOOKUP(CustomerCombined[[#This Row],[ID]], Table4[ID], Table4[Catalog], "Not Found", 0)</f>
        <v>1</v>
      </c>
      <c r="U616" s="5">
        <f>_xlfn.XLOOKUP(CustomerCombined[[#This Row],[ID]], Table4[ID], Table4[Store], "Not Found", 0)</f>
        <v>7</v>
      </c>
      <c r="V616" s="5">
        <f>_xlfn.XLOOKUP(CustomerCombined[[#This Row],[ID]], Table4[ID], Table4[Visits], "Not Found", 0)</f>
        <v>2</v>
      </c>
      <c r="W616" s="8">
        <f>_xlfn.XLOOKUP(CustomerCombined[[#This Row],[ID]], Table2[ID],Table2[Complaint], "Not Found", 0 )</f>
        <v>0</v>
      </c>
      <c r="X616" s="8">
        <f>_xlfn.XLOOKUP(CustomerCombined[[#This Row],[ID]], Table2[ID],Table2[Pilot], "Not Found", 0 )</f>
        <v>0</v>
      </c>
      <c r="Y616" s="8">
        <f>_xlfn.XLOOKUP(CustomerCombined[[#This Row],[ID]], Table2[ID],Table2[MC1], "Not Found", 0 )</f>
        <v>0</v>
      </c>
      <c r="Z616" s="8">
        <f>_xlfn.XLOOKUP(CustomerCombined[[#This Row],[ID]], Table2[ID],Table2[MC2], "Not Found", 0 )</f>
        <v>0</v>
      </c>
      <c r="AA616" s="8">
        <f>_xlfn.XLOOKUP(CustomerCombined[[#This Row],[ID]], Table2[ID],Table2[MC3], "Not Found", 0 )</f>
        <v>0</v>
      </c>
      <c r="AB616" s="8">
        <f>_xlfn.XLOOKUP(CustomerCombined[[#This Row],[ID]], Table2[ID],Table2[MC4], "Not Found", 0 )</f>
        <v>0</v>
      </c>
      <c r="AC616" s="8">
        <f>_xlfn.XLOOKUP(CustomerCombined[[#This Row],[ID]], Table2[ID],Table2[MC5], "Not Found", 0 )</f>
        <v>0</v>
      </c>
    </row>
    <row r="617" spans="1:29" x14ac:dyDescent="0.3">
      <c r="A617" s="6">
        <v>1299</v>
      </c>
      <c r="B617" s="6">
        <v>170893</v>
      </c>
      <c r="C617" s="6">
        <v>0</v>
      </c>
      <c r="D617" s="6">
        <v>0</v>
      </c>
      <c r="E617" s="6">
        <v>44</v>
      </c>
      <c r="F617" s="5" t="s">
        <v>7</v>
      </c>
      <c r="G617" s="5" t="s">
        <v>12</v>
      </c>
      <c r="H617" s="3" t="s">
        <v>317</v>
      </c>
      <c r="I617" s="5" t="s">
        <v>435</v>
      </c>
      <c r="J617" s="5">
        <f>_xlfn.XLOOKUP(CustomerCombined[[#This Row],[ID]], Table4[ID], Table4[Recency], "Not Found", 0)</f>
        <v>42</v>
      </c>
      <c r="K617" s="5">
        <f>_xlfn.XLOOKUP(CustomerCombined[[#This Row],[ID]], Table4[ID], Table4[Teas], "Not Found", 0)</f>
        <v>1851</v>
      </c>
      <c r="L617" s="5">
        <f>_xlfn.XLOOKUP(CustomerCombined[[#This Row],[ID]], Table4[ID], Table4[Fruits], "Not Found", 0)</f>
        <v>106</v>
      </c>
      <c r="M617" s="5">
        <f>_xlfn.XLOOKUP(CustomerCombined[[#This Row],[ID]], Table4[ID], Table4[Meats], "Not Found", 0)</f>
        <v>1352</v>
      </c>
      <c r="N617" s="5">
        <f>_xlfn.XLOOKUP(CustomerCombined[[#This Row],[ID]], Table4[ID], Table4[Seafood], "Not Found", 0)</f>
        <v>186</v>
      </c>
      <c r="O617" s="5">
        <f>_xlfn.XLOOKUP(CustomerCombined[[#This Row],[ID]], Table4[ID], Table4[Sweets], "Not Found", 0)</f>
        <v>106</v>
      </c>
      <c r="P617" s="5">
        <f>_xlfn.XLOOKUP(CustomerCombined[[#This Row],[ID]], Table4[ID], Table4[Premium], "Not Found", 0)</f>
        <v>34</v>
      </c>
      <c r="Q617" s="5">
        <f>_xlfn.XLOOKUP(CustomerCombined[[#This Row],[ID]], Table4[ID], Table4[Regular], "Not Found", 0)</f>
        <v>3568</v>
      </c>
      <c r="R617" s="5">
        <f>_xlfn.XLOOKUP(CustomerCombined[[#This Row],[ID]], Table4[ID], Table4[Deals], "Not Found", 0)</f>
        <v>1</v>
      </c>
      <c r="S617" s="5">
        <f>_xlfn.XLOOKUP(CustomerCombined[[#This Row],[ID]], Table4[ID], Table4[Website], "Not Found", 0)</f>
        <v>6</v>
      </c>
      <c r="T617" s="5">
        <f>_xlfn.XLOOKUP(CustomerCombined[[#This Row],[ID]], Table4[ID], Table4[Catalog], "Not Found", 0)</f>
        <v>6</v>
      </c>
      <c r="U617" s="5">
        <f>_xlfn.XLOOKUP(CustomerCombined[[#This Row],[ID]], Table4[ID], Table4[Store], "Not Found", 0)</f>
        <v>10</v>
      </c>
      <c r="V617" s="5">
        <f>_xlfn.XLOOKUP(CustomerCombined[[#This Row],[ID]], Table4[ID], Table4[Visits], "Not Found", 0)</f>
        <v>3</v>
      </c>
      <c r="W617" s="8">
        <f>_xlfn.XLOOKUP(CustomerCombined[[#This Row],[ID]], Table2[ID],Table2[Complaint], "Not Found", 0 )</f>
        <v>0</v>
      </c>
      <c r="X617" s="8">
        <f>_xlfn.XLOOKUP(CustomerCombined[[#This Row],[ID]], Table2[ID],Table2[Pilot], "Not Found", 0 )</f>
        <v>0</v>
      </c>
      <c r="Y617" s="8">
        <f>_xlfn.XLOOKUP(CustomerCombined[[#This Row],[ID]], Table2[ID],Table2[MC1], "Not Found", 0 )</f>
        <v>0</v>
      </c>
      <c r="Z617" s="8">
        <f>_xlfn.XLOOKUP(CustomerCombined[[#This Row],[ID]], Table2[ID],Table2[MC2], "Not Found", 0 )</f>
        <v>0</v>
      </c>
      <c r="AA617" s="8">
        <f>_xlfn.XLOOKUP(CustomerCombined[[#This Row],[ID]], Table2[ID],Table2[MC3], "Not Found", 0 )</f>
        <v>0</v>
      </c>
      <c r="AB617" s="8">
        <f>_xlfn.XLOOKUP(CustomerCombined[[#This Row],[ID]], Table2[ID],Table2[MC4], "Not Found", 0 )</f>
        <v>0</v>
      </c>
      <c r="AC617" s="8">
        <f>_xlfn.XLOOKUP(CustomerCombined[[#This Row],[ID]], Table2[ID],Table2[MC5], "Not Found", 0 )</f>
        <v>0</v>
      </c>
    </row>
    <row r="618" spans="1:29" x14ac:dyDescent="0.3">
      <c r="A618" s="6">
        <v>2461</v>
      </c>
      <c r="B618" s="6">
        <v>170379</v>
      </c>
      <c r="C618" s="6">
        <v>0</v>
      </c>
      <c r="D618" s="6">
        <v>1</v>
      </c>
      <c r="E618" s="6">
        <v>44</v>
      </c>
      <c r="F618" s="5" t="s">
        <v>7</v>
      </c>
      <c r="G618" s="5" t="s">
        <v>12</v>
      </c>
      <c r="H618" s="3">
        <v>43685</v>
      </c>
      <c r="I618" s="5" t="s">
        <v>437</v>
      </c>
      <c r="J618" s="5">
        <f>_xlfn.XLOOKUP(CustomerCombined[[#This Row],[ID]], Table4[ID], Table4[Recency], "Not Found", 0)</f>
        <v>84</v>
      </c>
      <c r="K618" s="5">
        <f>_xlfn.XLOOKUP(CustomerCombined[[#This Row],[ID]], Table4[ID], Table4[Teas], "Not Found", 0)</f>
        <v>1339</v>
      </c>
      <c r="L618" s="5">
        <f>_xlfn.XLOOKUP(CustomerCombined[[#This Row],[ID]], Table4[ID], Table4[Fruits], "Not Found", 0)</f>
        <v>61</v>
      </c>
      <c r="M618" s="5">
        <f>_xlfn.XLOOKUP(CustomerCombined[[#This Row],[ID]], Table4[ID], Table4[Meats], "Not Found", 0)</f>
        <v>344</v>
      </c>
      <c r="N618" s="5">
        <f>_xlfn.XLOOKUP(CustomerCombined[[#This Row],[ID]], Table4[ID], Table4[Seafood], "Not Found", 0)</f>
        <v>157</v>
      </c>
      <c r="O618" s="5">
        <f>_xlfn.XLOOKUP(CustomerCombined[[#This Row],[ID]], Table4[ID], Table4[Sweets], "Not Found", 0)</f>
        <v>162</v>
      </c>
      <c r="P618" s="5">
        <f>_xlfn.XLOOKUP(CustomerCombined[[#This Row],[ID]], Table4[ID], Table4[Premium], "Not Found", 0)</f>
        <v>19</v>
      </c>
      <c r="Q618" s="5">
        <f>_xlfn.XLOOKUP(CustomerCombined[[#This Row],[ID]], Table4[ID], Table4[Regular], "Not Found", 0)</f>
        <v>2043</v>
      </c>
      <c r="R618" s="5">
        <f>_xlfn.XLOOKUP(CustomerCombined[[#This Row],[ID]], Table4[ID], Table4[Deals], "Not Found", 0)</f>
        <v>3</v>
      </c>
      <c r="S618" s="5">
        <f>_xlfn.XLOOKUP(CustomerCombined[[#This Row],[ID]], Table4[ID], Table4[Website], "Not Found", 0)</f>
        <v>6</v>
      </c>
      <c r="T618" s="5">
        <f>_xlfn.XLOOKUP(CustomerCombined[[#This Row],[ID]], Table4[ID], Table4[Catalog], "Not Found", 0)</f>
        <v>3</v>
      </c>
      <c r="U618" s="5">
        <f>_xlfn.XLOOKUP(CustomerCombined[[#This Row],[ID]], Table4[ID], Table4[Store], "Not Found", 0)</f>
        <v>13</v>
      </c>
      <c r="V618" s="5">
        <f>_xlfn.XLOOKUP(CustomerCombined[[#This Row],[ID]], Table4[ID], Table4[Visits], "Not Found", 0)</f>
        <v>4</v>
      </c>
      <c r="W618" s="8">
        <f>_xlfn.XLOOKUP(CustomerCombined[[#This Row],[ID]], Table2[ID],Table2[Complaint], "Not Found", 0 )</f>
        <v>0</v>
      </c>
      <c r="X618" s="8">
        <f>_xlfn.XLOOKUP(CustomerCombined[[#This Row],[ID]], Table2[ID],Table2[Pilot], "Not Found", 0 )</f>
        <v>0</v>
      </c>
      <c r="Y618" s="8">
        <f>_xlfn.XLOOKUP(CustomerCombined[[#This Row],[ID]], Table2[ID],Table2[MC1], "Not Found", 0 )</f>
        <v>0</v>
      </c>
      <c r="Z618" s="8">
        <f>_xlfn.XLOOKUP(CustomerCombined[[#This Row],[ID]], Table2[ID],Table2[MC2], "Not Found", 0 )</f>
        <v>0</v>
      </c>
      <c r="AA618" s="8">
        <f>_xlfn.XLOOKUP(CustomerCombined[[#This Row],[ID]], Table2[ID],Table2[MC3], "Not Found", 0 )</f>
        <v>0</v>
      </c>
      <c r="AB618" s="8">
        <f>_xlfn.XLOOKUP(CustomerCombined[[#This Row],[ID]], Table2[ID],Table2[MC4], "Not Found", 0 )</f>
        <v>0</v>
      </c>
      <c r="AC618" s="8">
        <f>_xlfn.XLOOKUP(CustomerCombined[[#This Row],[ID]], Table2[ID],Table2[MC5], "Not Found", 0 )</f>
        <v>0</v>
      </c>
    </row>
    <row r="619" spans="1:29" x14ac:dyDescent="0.3">
      <c r="A619" s="6">
        <v>2535</v>
      </c>
      <c r="B619" s="6">
        <v>170179</v>
      </c>
      <c r="C619" s="6">
        <v>0</v>
      </c>
      <c r="D619" s="6">
        <v>1</v>
      </c>
      <c r="E619" s="6">
        <v>44</v>
      </c>
      <c r="F619" s="5" t="s">
        <v>5</v>
      </c>
      <c r="G619" s="5" t="s">
        <v>13</v>
      </c>
      <c r="H619" s="3" t="s">
        <v>215</v>
      </c>
      <c r="I619" s="5" t="s">
        <v>435</v>
      </c>
      <c r="J619" s="5">
        <f>_xlfn.XLOOKUP(CustomerCombined[[#This Row],[ID]], Table4[ID], Table4[Recency], "Not Found", 0)</f>
        <v>10</v>
      </c>
      <c r="K619" s="5">
        <f>_xlfn.XLOOKUP(CustomerCombined[[#This Row],[ID]], Table4[ID], Table4[Teas], "Not Found", 0)</f>
        <v>1290</v>
      </c>
      <c r="L619" s="5">
        <f>_xlfn.XLOOKUP(CustomerCombined[[#This Row],[ID]], Table4[ID], Table4[Fruits], "Not Found", 0)</f>
        <v>213</v>
      </c>
      <c r="M619" s="5">
        <f>_xlfn.XLOOKUP(CustomerCombined[[#This Row],[ID]], Table4[ID], Table4[Meats], "Not Found", 0)</f>
        <v>407</v>
      </c>
      <c r="N619" s="5">
        <f>_xlfn.XLOOKUP(CustomerCombined[[#This Row],[ID]], Table4[ID], Table4[Seafood], "Not Found", 0)</f>
        <v>167</v>
      </c>
      <c r="O619" s="5">
        <f>_xlfn.XLOOKUP(CustomerCombined[[#This Row],[ID]], Table4[ID], Table4[Sweets], "Not Found", 0)</f>
        <v>107</v>
      </c>
      <c r="P619" s="5">
        <f>_xlfn.XLOOKUP(CustomerCombined[[#This Row],[ID]], Table4[ID], Table4[Premium], "Not Found", 0)</f>
        <v>323</v>
      </c>
      <c r="Q619" s="5">
        <f>_xlfn.XLOOKUP(CustomerCombined[[#This Row],[ID]], Table4[ID], Table4[Regular], "Not Found", 0)</f>
        <v>1862</v>
      </c>
      <c r="R619" s="5">
        <f>_xlfn.XLOOKUP(CustomerCombined[[#This Row],[ID]], Table4[ID], Table4[Deals], "Not Found", 0)</f>
        <v>3</v>
      </c>
      <c r="S619" s="5">
        <f>_xlfn.XLOOKUP(CustomerCombined[[#This Row],[ID]], Table4[ID], Table4[Website], "Not Found", 0)</f>
        <v>7</v>
      </c>
      <c r="T619" s="5">
        <f>_xlfn.XLOOKUP(CustomerCombined[[#This Row],[ID]], Table4[ID], Table4[Catalog], "Not Found", 0)</f>
        <v>3</v>
      </c>
      <c r="U619" s="5">
        <f>_xlfn.XLOOKUP(CustomerCombined[[#This Row],[ID]], Table4[ID], Table4[Store], "Not Found", 0)</f>
        <v>13</v>
      </c>
      <c r="V619" s="5">
        <f>_xlfn.XLOOKUP(CustomerCombined[[#This Row],[ID]], Table4[ID], Table4[Visits], "Not Found", 0)</f>
        <v>5</v>
      </c>
      <c r="W619" s="8">
        <f>_xlfn.XLOOKUP(CustomerCombined[[#This Row],[ID]], Table2[ID],Table2[Complaint], "Not Found", 0 )</f>
        <v>0</v>
      </c>
      <c r="X619" s="8">
        <f>_xlfn.XLOOKUP(CustomerCombined[[#This Row],[ID]], Table2[ID],Table2[Pilot], "Not Found", 0 )</f>
        <v>0</v>
      </c>
      <c r="Y619" s="8">
        <f>_xlfn.XLOOKUP(CustomerCombined[[#This Row],[ID]], Table2[ID],Table2[MC1], "Not Found", 0 )</f>
        <v>0</v>
      </c>
      <c r="Z619" s="8">
        <f>_xlfn.XLOOKUP(CustomerCombined[[#This Row],[ID]], Table2[ID],Table2[MC2], "Not Found", 0 )</f>
        <v>0</v>
      </c>
      <c r="AA619" s="8">
        <f>_xlfn.XLOOKUP(CustomerCombined[[#This Row],[ID]], Table2[ID],Table2[MC3], "Not Found", 0 )</f>
        <v>0</v>
      </c>
      <c r="AB619" s="8">
        <f>_xlfn.XLOOKUP(CustomerCombined[[#This Row],[ID]], Table2[ID],Table2[MC4], "Not Found", 0 )</f>
        <v>0</v>
      </c>
      <c r="AC619" s="8">
        <f>_xlfn.XLOOKUP(CustomerCombined[[#This Row],[ID]], Table2[ID],Table2[MC5], "Not Found", 0 )</f>
        <v>0</v>
      </c>
    </row>
    <row r="620" spans="1:29" x14ac:dyDescent="0.3">
      <c r="A620" s="6">
        <v>3032</v>
      </c>
      <c r="B620" s="6">
        <v>170179</v>
      </c>
      <c r="C620" s="6">
        <v>0</v>
      </c>
      <c r="D620" s="6">
        <v>1</v>
      </c>
      <c r="E620" s="6">
        <v>44</v>
      </c>
      <c r="F620" s="5" t="s">
        <v>5</v>
      </c>
      <c r="G620" s="5" t="s">
        <v>13</v>
      </c>
      <c r="H620" s="3" t="s">
        <v>215</v>
      </c>
      <c r="I620" s="5" t="s">
        <v>438</v>
      </c>
      <c r="J620" s="5">
        <f>_xlfn.XLOOKUP(CustomerCombined[[#This Row],[ID]], Table4[ID], Table4[Recency], "Not Found", 0)</f>
        <v>10</v>
      </c>
      <c r="K620" s="5">
        <f>_xlfn.XLOOKUP(CustomerCombined[[#This Row],[ID]], Table4[ID], Table4[Teas], "Not Found", 0)</f>
        <v>1290</v>
      </c>
      <c r="L620" s="5">
        <f>_xlfn.XLOOKUP(CustomerCombined[[#This Row],[ID]], Table4[ID], Table4[Fruits], "Not Found", 0)</f>
        <v>213</v>
      </c>
      <c r="M620" s="5">
        <f>_xlfn.XLOOKUP(CustomerCombined[[#This Row],[ID]], Table4[ID], Table4[Meats], "Not Found", 0)</f>
        <v>407</v>
      </c>
      <c r="N620" s="5">
        <f>_xlfn.XLOOKUP(CustomerCombined[[#This Row],[ID]], Table4[ID], Table4[Seafood], "Not Found", 0)</f>
        <v>167</v>
      </c>
      <c r="O620" s="5">
        <f>_xlfn.XLOOKUP(CustomerCombined[[#This Row],[ID]], Table4[ID], Table4[Sweets], "Not Found", 0)</f>
        <v>107</v>
      </c>
      <c r="P620" s="5">
        <f>_xlfn.XLOOKUP(CustomerCombined[[#This Row],[ID]], Table4[ID], Table4[Premium], "Not Found", 0)</f>
        <v>323</v>
      </c>
      <c r="Q620" s="5">
        <f>_xlfn.XLOOKUP(CustomerCombined[[#This Row],[ID]], Table4[ID], Table4[Regular], "Not Found", 0)</f>
        <v>1862</v>
      </c>
      <c r="R620" s="5">
        <f>_xlfn.XLOOKUP(CustomerCombined[[#This Row],[ID]], Table4[ID], Table4[Deals], "Not Found", 0)</f>
        <v>3</v>
      </c>
      <c r="S620" s="5">
        <f>_xlfn.XLOOKUP(CustomerCombined[[#This Row],[ID]], Table4[ID], Table4[Website], "Not Found", 0)</f>
        <v>7</v>
      </c>
      <c r="T620" s="5">
        <f>_xlfn.XLOOKUP(CustomerCombined[[#This Row],[ID]], Table4[ID], Table4[Catalog], "Not Found", 0)</f>
        <v>3</v>
      </c>
      <c r="U620" s="5">
        <f>_xlfn.XLOOKUP(CustomerCombined[[#This Row],[ID]], Table4[ID], Table4[Store], "Not Found", 0)</f>
        <v>13</v>
      </c>
      <c r="V620" s="5">
        <f>_xlfn.XLOOKUP(CustomerCombined[[#This Row],[ID]], Table4[ID], Table4[Visits], "Not Found", 0)</f>
        <v>5</v>
      </c>
      <c r="W620" s="8">
        <f>_xlfn.XLOOKUP(CustomerCombined[[#This Row],[ID]], Table2[ID],Table2[Complaint], "Not Found", 0 )</f>
        <v>0</v>
      </c>
      <c r="X620" s="8">
        <f>_xlfn.XLOOKUP(CustomerCombined[[#This Row],[ID]], Table2[ID],Table2[Pilot], "Not Found", 0 )</f>
        <v>0</v>
      </c>
      <c r="Y620" s="8">
        <f>_xlfn.XLOOKUP(CustomerCombined[[#This Row],[ID]], Table2[ID],Table2[MC1], "Not Found", 0 )</f>
        <v>0</v>
      </c>
      <c r="Z620" s="8">
        <f>_xlfn.XLOOKUP(CustomerCombined[[#This Row],[ID]], Table2[ID],Table2[MC2], "Not Found", 0 )</f>
        <v>0</v>
      </c>
      <c r="AA620" s="8">
        <f>_xlfn.XLOOKUP(CustomerCombined[[#This Row],[ID]], Table2[ID],Table2[MC3], "Not Found", 0 )</f>
        <v>0</v>
      </c>
      <c r="AB620" s="8">
        <f>_xlfn.XLOOKUP(CustomerCombined[[#This Row],[ID]], Table2[ID],Table2[MC4], "Not Found", 0 )</f>
        <v>0</v>
      </c>
      <c r="AC620" s="8">
        <f>_xlfn.XLOOKUP(CustomerCombined[[#This Row],[ID]], Table2[ID],Table2[MC5], "Not Found", 0 )</f>
        <v>0</v>
      </c>
    </row>
    <row r="621" spans="1:29" x14ac:dyDescent="0.3">
      <c r="A621" s="6">
        <v>1910</v>
      </c>
      <c r="B621" s="6">
        <v>168397</v>
      </c>
      <c r="C621" s="6">
        <v>0</v>
      </c>
      <c r="D621" s="6">
        <v>1</v>
      </c>
      <c r="E621" s="6">
        <v>44</v>
      </c>
      <c r="F621" s="5" t="s">
        <v>6</v>
      </c>
      <c r="G621" s="5" t="s">
        <v>13</v>
      </c>
      <c r="H621" s="3" t="s">
        <v>148</v>
      </c>
      <c r="I621" s="5" t="s">
        <v>438</v>
      </c>
      <c r="J621" s="5">
        <f>_xlfn.XLOOKUP(CustomerCombined[[#This Row],[ID]], Table4[ID], Table4[Recency], "Not Found", 0)</f>
        <v>6</v>
      </c>
      <c r="K621" s="5">
        <f>_xlfn.XLOOKUP(CustomerCombined[[#This Row],[ID]], Table4[ID], Table4[Teas], "Not Found", 0)</f>
        <v>1871</v>
      </c>
      <c r="L621" s="5">
        <f>_xlfn.XLOOKUP(CustomerCombined[[#This Row],[ID]], Table4[ID], Table4[Fruits], "Not Found", 0)</f>
        <v>197</v>
      </c>
      <c r="M621" s="5">
        <f>_xlfn.XLOOKUP(CustomerCombined[[#This Row],[ID]], Table4[ID], Table4[Meats], "Not Found", 0)</f>
        <v>1147</v>
      </c>
      <c r="N621" s="5">
        <f>_xlfn.XLOOKUP(CustomerCombined[[#This Row],[ID]], Table4[ID], Table4[Seafood], "Not Found", 0)</f>
        <v>42</v>
      </c>
      <c r="O621" s="5">
        <f>_xlfn.XLOOKUP(CustomerCombined[[#This Row],[ID]], Table4[ID], Table4[Sweets], "Not Found", 0)</f>
        <v>32</v>
      </c>
      <c r="P621" s="5">
        <f>_xlfn.XLOOKUP(CustomerCombined[[#This Row],[ID]], Table4[ID], Table4[Premium], "Not Found", 0)</f>
        <v>197</v>
      </c>
      <c r="Q621" s="5">
        <f>_xlfn.XLOOKUP(CustomerCombined[[#This Row],[ID]], Table4[ID], Table4[Regular], "Not Found", 0)</f>
        <v>3092</v>
      </c>
      <c r="R621" s="5">
        <f>_xlfn.XLOOKUP(CustomerCombined[[#This Row],[ID]], Table4[ID], Table4[Deals], "Not Found", 0)</f>
        <v>1</v>
      </c>
      <c r="S621" s="5">
        <f>_xlfn.XLOOKUP(CustomerCombined[[#This Row],[ID]], Table4[ID], Table4[Website], "Not Found", 0)</f>
        <v>6</v>
      </c>
      <c r="T621" s="5">
        <f>_xlfn.XLOOKUP(CustomerCombined[[#This Row],[ID]], Table4[ID], Table4[Catalog], "Not Found", 0)</f>
        <v>9</v>
      </c>
      <c r="U621" s="5">
        <f>_xlfn.XLOOKUP(CustomerCombined[[#This Row],[ID]], Table4[ID], Table4[Store], "Not Found", 0)</f>
        <v>5</v>
      </c>
      <c r="V621" s="5">
        <f>_xlfn.XLOOKUP(CustomerCombined[[#This Row],[ID]], Table4[ID], Table4[Visits], "Not Found", 0)</f>
        <v>3</v>
      </c>
      <c r="W621" s="8">
        <f>_xlfn.XLOOKUP(CustomerCombined[[#This Row],[ID]], Table2[ID],Table2[Complaint], "Not Found", 0 )</f>
        <v>0</v>
      </c>
      <c r="X621" s="8">
        <f>_xlfn.XLOOKUP(CustomerCombined[[#This Row],[ID]], Table2[ID],Table2[Pilot], "Not Found", 0 )</f>
        <v>0</v>
      </c>
      <c r="Y621" s="8">
        <f>_xlfn.XLOOKUP(CustomerCombined[[#This Row],[ID]], Table2[ID],Table2[MC1], "Not Found", 0 )</f>
        <v>0</v>
      </c>
      <c r="Z621" s="8">
        <f>_xlfn.XLOOKUP(CustomerCombined[[#This Row],[ID]], Table2[ID],Table2[MC2], "Not Found", 0 )</f>
        <v>0</v>
      </c>
      <c r="AA621" s="8">
        <f>_xlfn.XLOOKUP(CustomerCombined[[#This Row],[ID]], Table2[ID],Table2[MC3], "Not Found", 0 )</f>
        <v>0</v>
      </c>
      <c r="AB621" s="8">
        <f>_xlfn.XLOOKUP(CustomerCombined[[#This Row],[ID]], Table2[ID],Table2[MC4], "Not Found", 0 )</f>
        <v>0</v>
      </c>
      <c r="AC621" s="8">
        <f>_xlfn.XLOOKUP(CustomerCombined[[#This Row],[ID]], Table2[ID],Table2[MC5], "Not Found", 0 )</f>
        <v>0</v>
      </c>
    </row>
    <row r="622" spans="1:29" x14ac:dyDescent="0.3">
      <c r="A622" s="6">
        <v>1667</v>
      </c>
      <c r="B622" s="6">
        <v>166476</v>
      </c>
      <c r="C622" s="6">
        <v>0</v>
      </c>
      <c r="D622" s="6">
        <v>1</v>
      </c>
      <c r="E622" s="6">
        <v>44</v>
      </c>
      <c r="F622" s="5" t="s">
        <v>5</v>
      </c>
      <c r="G622" s="5" t="s">
        <v>13</v>
      </c>
      <c r="H622" s="3">
        <v>43807</v>
      </c>
      <c r="I622" s="5" t="s">
        <v>434</v>
      </c>
      <c r="J622" s="5">
        <f>_xlfn.XLOOKUP(CustomerCombined[[#This Row],[ID]], Table4[ID], Table4[Recency], "Not Found", 0)</f>
        <v>99</v>
      </c>
      <c r="K622" s="5">
        <f>_xlfn.XLOOKUP(CustomerCombined[[#This Row],[ID]], Table4[ID], Table4[Teas], "Not Found", 0)</f>
        <v>932</v>
      </c>
      <c r="L622" s="5">
        <f>_xlfn.XLOOKUP(CustomerCombined[[#This Row],[ID]], Table4[ID], Table4[Fruits], "Not Found", 0)</f>
        <v>45</v>
      </c>
      <c r="M622" s="5">
        <f>_xlfn.XLOOKUP(CustomerCombined[[#This Row],[ID]], Table4[ID], Table4[Meats], "Not Found", 0)</f>
        <v>316</v>
      </c>
      <c r="N622" s="5">
        <f>_xlfn.XLOOKUP(CustomerCombined[[#This Row],[ID]], Table4[ID], Table4[Seafood], "Not Found", 0)</f>
        <v>118</v>
      </c>
      <c r="O622" s="5">
        <f>_xlfn.XLOOKUP(CustomerCombined[[#This Row],[ID]], Table4[ID], Table4[Sweets], "Not Found", 0)</f>
        <v>120</v>
      </c>
      <c r="P622" s="5">
        <f>_xlfn.XLOOKUP(CustomerCombined[[#This Row],[ID]], Table4[ID], Table4[Premium], "Not Found", 0)</f>
        <v>195</v>
      </c>
      <c r="Q622" s="5">
        <f>_xlfn.XLOOKUP(CustomerCombined[[#This Row],[ID]], Table4[ID], Table4[Regular], "Not Found", 0)</f>
        <v>1335</v>
      </c>
      <c r="R622" s="5">
        <f>_xlfn.XLOOKUP(CustomerCombined[[#This Row],[ID]], Table4[ID], Table4[Deals], "Not Found", 0)</f>
        <v>2</v>
      </c>
      <c r="S622" s="5">
        <f>_xlfn.XLOOKUP(CustomerCombined[[#This Row],[ID]], Table4[ID], Table4[Website], "Not Found", 0)</f>
        <v>5</v>
      </c>
      <c r="T622" s="5">
        <f>_xlfn.XLOOKUP(CustomerCombined[[#This Row],[ID]], Table4[ID], Table4[Catalog], "Not Found", 0)</f>
        <v>2</v>
      </c>
      <c r="U622" s="5">
        <f>_xlfn.XLOOKUP(CustomerCombined[[#This Row],[ID]], Table4[ID], Table4[Store], "Not Found", 0)</f>
        <v>11</v>
      </c>
      <c r="V622" s="5">
        <f>_xlfn.XLOOKUP(CustomerCombined[[#This Row],[ID]], Table4[ID], Table4[Visits], "Not Found", 0)</f>
        <v>4</v>
      </c>
      <c r="W622" s="8">
        <f>_xlfn.XLOOKUP(CustomerCombined[[#This Row],[ID]], Table2[ID],Table2[Complaint], "Not Found", 0 )</f>
        <v>0</v>
      </c>
      <c r="X622" s="8">
        <f>_xlfn.XLOOKUP(CustomerCombined[[#This Row],[ID]], Table2[ID],Table2[Pilot], "Not Found", 0 )</f>
        <v>0</v>
      </c>
      <c r="Y622" s="8">
        <f>_xlfn.XLOOKUP(CustomerCombined[[#This Row],[ID]], Table2[ID],Table2[MC1], "Not Found", 0 )</f>
        <v>0</v>
      </c>
      <c r="Z622" s="8">
        <f>_xlfn.XLOOKUP(CustomerCombined[[#This Row],[ID]], Table2[ID],Table2[MC2], "Not Found", 0 )</f>
        <v>0</v>
      </c>
      <c r="AA622" s="8">
        <f>_xlfn.XLOOKUP(CustomerCombined[[#This Row],[ID]], Table2[ID],Table2[MC3], "Not Found", 0 )</f>
        <v>0</v>
      </c>
      <c r="AB622" s="8">
        <f>_xlfn.XLOOKUP(CustomerCombined[[#This Row],[ID]], Table2[ID],Table2[MC4], "Not Found", 0 )</f>
        <v>0</v>
      </c>
      <c r="AC622" s="8">
        <f>_xlfn.XLOOKUP(CustomerCombined[[#This Row],[ID]], Table2[ID],Table2[MC5], "Not Found", 0 )</f>
        <v>0</v>
      </c>
    </row>
    <row r="623" spans="1:29" x14ac:dyDescent="0.3">
      <c r="A623" s="6">
        <v>1438</v>
      </c>
      <c r="B623" s="6">
        <v>165991</v>
      </c>
      <c r="C623" s="6">
        <v>0</v>
      </c>
      <c r="D623" s="6">
        <v>1</v>
      </c>
      <c r="E623" s="6">
        <v>44</v>
      </c>
      <c r="F623" s="5" t="s">
        <v>6</v>
      </c>
      <c r="G623" s="5" t="s">
        <v>11</v>
      </c>
      <c r="H623" s="3">
        <v>43801</v>
      </c>
      <c r="I623" s="5" t="s">
        <v>439</v>
      </c>
      <c r="J623" s="5">
        <f>_xlfn.XLOOKUP(CustomerCombined[[#This Row],[ID]], Table4[ID], Table4[Recency], "Not Found", 0)</f>
        <v>21</v>
      </c>
      <c r="K623" s="5">
        <f>_xlfn.XLOOKUP(CustomerCombined[[#This Row],[ID]], Table4[ID], Table4[Teas], "Not Found", 0)</f>
        <v>1275</v>
      </c>
      <c r="L623" s="5">
        <f>_xlfn.XLOOKUP(CustomerCombined[[#This Row],[ID]], Table4[ID], Table4[Fruits], "Not Found", 0)</f>
        <v>48</v>
      </c>
      <c r="M623" s="5">
        <f>_xlfn.XLOOKUP(CustomerCombined[[#This Row],[ID]], Table4[ID], Table4[Meats], "Not Found", 0)</f>
        <v>916</v>
      </c>
      <c r="N623" s="5">
        <f>_xlfn.XLOOKUP(CustomerCombined[[#This Row],[ID]], Table4[ID], Table4[Seafood], "Not Found", 0)</f>
        <v>63</v>
      </c>
      <c r="O623" s="5">
        <f>_xlfn.XLOOKUP(CustomerCombined[[#This Row],[ID]], Table4[ID], Table4[Sweets], "Not Found", 0)</f>
        <v>118</v>
      </c>
      <c r="P623" s="5">
        <f>_xlfn.XLOOKUP(CustomerCombined[[#This Row],[ID]], Table4[ID], Table4[Premium], "Not Found", 0)</f>
        <v>23</v>
      </c>
      <c r="Q623" s="5">
        <f>_xlfn.XLOOKUP(CustomerCombined[[#This Row],[ID]], Table4[ID], Table4[Regular], "Not Found", 0)</f>
        <v>2397</v>
      </c>
      <c r="R623" s="5">
        <f>_xlfn.XLOOKUP(CustomerCombined[[#This Row],[ID]], Table4[ID], Table4[Deals], "Not Found", 0)</f>
        <v>3</v>
      </c>
      <c r="S623" s="5">
        <f>_xlfn.XLOOKUP(CustomerCombined[[#This Row],[ID]], Table4[ID], Table4[Website], "Not Found", 0)</f>
        <v>9</v>
      </c>
      <c r="T623" s="5">
        <f>_xlfn.XLOOKUP(CustomerCombined[[#This Row],[ID]], Table4[ID], Table4[Catalog], "Not Found", 0)</f>
        <v>5</v>
      </c>
      <c r="U623" s="5">
        <f>_xlfn.XLOOKUP(CustomerCombined[[#This Row],[ID]], Table4[ID], Table4[Store], "Not Found", 0)</f>
        <v>10</v>
      </c>
      <c r="V623" s="5">
        <f>_xlfn.XLOOKUP(CustomerCombined[[#This Row],[ID]], Table4[ID], Table4[Visits], "Not Found", 0)</f>
        <v>7</v>
      </c>
      <c r="W623" s="8">
        <f>_xlfn.XLOOKUP(CustomerCombined[[#This Row],[ID]], Table2[ID],Table2[Complaint], "Not Found", 0 )</f>
        <v>0</v>
      </c>
      <c r="X623" s="8">
        <f>_xlfn.XLOOKUP(CustomerCombined[[#This Row],[ID]], Table2[ID],Table2[Pilot], "Not Found", 0 )</f>
        <v>0</v>
      </c>
      <c r="Y623" s="8">
        <f>_xlfn.XLOOKUP(CustomerCombined[[#This Row],[ID]], Table2[ID],Table2[MC1], "Not Found", 0 )</f>
        <v>0</v>
      </c>
      <c r="Z623" s="8">
        <f>_xlfn.XLOOKUP(CustomerCombined[[#This Row],[ID]], Table2[ID],Table2[MC2], "Not Found", 0 )</f>
        <v>0</v>
      </c>
      <c r="AA623" s="8">
        <f>_xlfn.XLOOKUP(CustomerCombined[[#This Row],[ID]], Table2[ID],Table2[MC3], "Not Found", 0 )</f>
        <v>0</v>
      </c>
      <c r="AB623" s="8">
        <f>_xlfn.XLOOKUP(CustomerCombined[[#This Row],[ID]], Table2[ID],Table2[MC4], "Not Found", 0 )</f>
        <v>0</v>
      </c>
      <c r="AC623" s="8">
        <f>_xlfn.XLOOKUP(CustomerCombined[[#This Row],[ID]], Table2[ID],Table2[MC5], "Not Found", 0 )</f>
        <v>0</v>
      </c>
    </row>
    <row r="624" spans="1:29" x14ac:dyDescent="0.3">
      <c r="A624" s="6">
        <v>1490</v>
      </c>
      <c r="B624" s="6">
        <v>165665</v>
      </c>
      <c r="C624" s="6">
        <v>0</v>
      </c>
      <c r="D624" s="6">
        <v>1</v>
      </c>
      <c r="E624" s="6">
        <v>44</v>
      </c>
      <c r="F624" s="5" t="s">
        <v>6</v>
      </c>
      <c r="G624" s="5" t="s">
        <v>11</v>
      </c>
      <c r="H624" s="3">
        <v>44048</v>
      </c>
      <c r="I624" s="5" t="s">
        <v>438</v>
      </c>
      <c r="J624" s="5">
        <f>_xlfn.XLOOKUP(CustomerCombined[[#This Row],[ID]], Table4[ID], Table4[Recency], "Not Found", 0)</f>
        <v>77</v>
      </c>
      <c r="K624" s="5">
        <f>_xlfn.XLOOKUP(CustomerCombined[[#This Row],[ID]], Table4[ID], Table4[Teas], "Not Found", 0)</f>
        <v>568</v>
      </c>
      <c r="L624" s="5">
        <f>_xlfn.XLOOKUP(CustomerCombined[[#This Row],[ID]], Table4[ID], Table4[Fruits], "Not Found", 0)</f>
        <v>409</v>
      </c>
      <c r="M624" s="5">
        <f>_xlfn.XLOOKUP(CustomerCombined[[#This Row],[ID]], Table4[ID], Table4[Meats], "Not Found", 0)</f>
        <v>976</v>
      </c>
      <c r="N624" s="5">
        <f>_xlfn.XLOOKUP(CustomerCombined[[#This Row],[ID]], Table4[ID], Table4[Seafood], "Not Found", 0)</f>
        <v>267</v>
      </c>
      <c r="O624" s="5">
        <f>_xlfn.XLOOKUP(CustomerCombined[[#This Row],[ID]], Table4[ID], Table4[Sweets], "Not Found", 0)</f>
        <v>91</v>
      </c>
      <c r="P624" s="5">
        <f>_xlfn.XLOOKUP(CustomerCombined[[#This Row],[ID]], Table4[ID], Table4[Premium], "Not Found", 0)</f>
        <v>73</v>
      </c>
      <c r="Q624" s="5">
        <f>_xlfn.XLOOKUP(CustomerCombined[[#This Row],[ID]], Table4[ID], Table4[Regular], "Not Found", 0)</f>
        <v>2238</v>
      </c>
      <c r="R624" s="5">
        <f>_xlfn.XLOOKUP(CustomerCombined[[#This Row],[ID]], Table4[ID], Table4[Deals], "Not Found", 0)</f>
        <v>1</v>
      </c>
      <c r="S624" s="5">
        <f>_xlfn.XLOOKUP(CustomerCombined[[#This Row],[ID]], Table4[ID], Table4[Website], "Not Found", 0)</f>
        <v>5</v>
      </c>
      <c r="T624" s="5">
        <f>_xlfn.XLOOKUP(CustomerCombined[[#This Row],[ID]], Table4[ID], Table4[Catalog], "Not Found", 0)</f>
        <v>10</v>
      </c>
      <c r="U624" s="5">
        <f>_xlfn.XLOOKUP(CustomerCombined[[#This Row],[ID]], Table4[ID], Table4[Store], "Not Found", 0)</f>
        <v>8</v>
      </c>
      <c r="V624" s="5">
        <f>_xlfn.XLOOKUP(CustomerCombined[[#This Row],[ID]], Table4[ID], Table4[Visits], "Not Found", 0)</f>
        <v>3</v>
      </c>
      <c r="W624" s="8">
        <f>_xlfn.XLOOKUP(CustomerCombined[[#This Row],[ID]], Table2[ID],Table2[Complaint], "Not Found", 0 )</f>
        <v>0</v>
      </c>
      <c r="X624" s="8">
        <f>_xlfn.XLOOKUP(CustomerCombined[[#This Row],[ID]], Table2[ID],Table2[Pilot], "Not Found", 0 )</f>
        <v>0</v>
      </c>
      <c r="Y624" s="8">
        <f>_xlfn.XLOOKUP(CustomerCombined[[#This Row],[ID]], Table2[ID],Table2[MC1], "Not Found", 0 )</f>
        <v>0</v>
      </c>
      <c r="Z624" s="8">
        <f>_xlfn.XLOOKUP(CustomerCombined[[#This Row],[ID]], Table2[ID],Table2[MC2], "Not Found", 0 )</f>
        <v>0</v>
      </c>
      <c r="AA624" s="8">
        <f>_xlfn.XLOOKUP(CustomerCombined[[#This Row],[ID]], Table2[ID],Table2[MC3], "Not Found", 0 )</f>
        <v>0</v>
      </c>
      <c r="AB624" s="8">
        <f>_xlfn.XLOOKUP(CustomerCombined[[#This Row],[ID]], Table2[ID],Table2[MC4], "Not Found", 0 )</f>
        <v>0</v>
      </c>
      <c r="AC624" s="8">
        <f>_xlfn.XLOOKUP(CustomerCombined[[#This Row],[ID]], Table2[ID],Table2[MC5], "Not Found", 0 )</f>
        <v>0</v>
      </c>
    </row>
    <row r="625" spans="1:29" x14ac:dyDescent="0.3">
      <c r="A625" s="6">
        <v>1131</v>
      </c>
      <c r="B625" s="6">
        <v>165104</v>
      </c>
      <c r="C625" s="6">
        <v>0</v>
      </c>
      <c r="D625" s="6">
        <v>1</v>
      </c>
      <c r="E625" s="6">
        <v>44</v>
      </c>
      <c r="F625" s="5" t="s">
        <v>8</v>
      </c>
      <c r="G625" s="5" t="s">
        <v>12</v>
      </c>
      <c r="H625" s="3" t="s">
        <v>150</v>
      </c>
      <c r="I625" s="5" t="s">
        <v>435</v>
      </c>
      <c r="J625" s="5">
        <f>_xlfn.XLOOKUP(CustomerCombined[[#This Row],[ID]], Table4[ID], Table4[Recency], "Not Found", 0)</f>
        <v>4</v>
      </c>
      <c r="K625" s="5">
        <f>_xlfn.XLOOKUP(CustomerCombined[[#This Row],[ID]], Table4[ID], Table4[Teas], "Not Found", 0)</f>
        <v>1872</v>
      </c>
      <c r="L625" s="5">
        <f>_xlfn.XLOOKUP(CustomerCombined[[#This Row],[ID]], Table4[ID], Table4[Fruits], "Not Found", 0)</f>
        <v>0</v>
      </c>
      <c r="M625" s="5">
        <f>_xlfn.XLOOKUP(CustomerCombined[[#This Row],[ID]], Table4[ID], Table4[Meats], "Not Found", 0)</f>
        <v>588</v>
      </c>
      <c r="N625" s="5">
        <f>_xlfn.XLOOKUP(CustomerCombined[[#This Row],[ID]], Table4[ID], Table4[Seafood], "Not Found", 0)</f>
        <v>33</v>
      </c>
      <c r="O625" s="5">
        <f>_xlfn.XLOOKUP(CustomerCombined[[#This Row],[ID]], Table4[ID], Table4[Sweets], "Not Found", 0)</f>
        <v>51</v>
      </c>
      <c r="P625" s="5">
        <f>_xlfn.XLOOKUP(CustomerCombined[[#This Row],[ID]], Table4[ID], Table4[Premium], "Not Found", 0)</f>
        <v>127</v>
      </c>
      <c r="Q625" s="5">
        <f>_xlfn.XLOOKUP(CustomerCombined[[#This Row],[ID]], Table4[ID], Table4[Regular], "Not Found", 0)</f>
        <v>2417</v>
      </c>
      <c r="R625" s="5">
        <f>_xlfn.XLOOKUP(CustomerCombined[[#This Row],[ID]], Table4[ID], Table4[Deals], "Not Found", 0)</f>
        <v>2</v>
      </c>
      <c r="S625" s="5">
        <f>_xlfn.XLOOKUP(CustomerCombined[[#This Row],[ID]], Table4[ID], Table4[Website], "Not Found", 0)</f>
        <v>3</v>
      </c>
      <c r="T625" s="5">
        <f>_xlfn.XLOOKUP(CustomerCombined[[#This Row],[ID]], Table4[ID], Table4[Catalog], "Not Found", 0)</f>
        <v>5</v>
      </c>
      <c r="U625" s="5">
        <f>_xlfn.XLOOKUP(CustomerCombined[[#This Row],[ID]], Table4[ID], Table4[Store], "Not Found", 0)</f>
        <v>7</v>
      </c>
      <c r="V625" s="5">
        <f>_xlfn.XLOOKUP(CustomerCombined[[#This Row],[ID]], Table4[ID], Table4[Visits], "Not Found", 0)</f>
        <v>7</v>
      </c>
      <c r="W625" s="8">
        <f>_xlfn.XLOOKUP(CustomerCombined[[#This Row],[ID]], Table2[ID],Table2[Complaint], "Not Found", 0 )</f>
        <v>0</v>
      </c>
      <c r="X625" s="8">
        <f>_xlfn.XLOOKUP(CustomerCombined[[#This Row],[ID]], Table2[ID],Table2[Pilot], "Not Found", 0 )</f>
        <v>1</v>
      </c>
      <c r="Y625" s="8">
        <f>_xlfn.XLOOKUP(CustomerCombined[[#This Row],[ID]], Table2[ID],Table2[MC1], "Not Found", 0 )</f>
        <v>0</v>
      </c>
      <c r="Z625" s="8">
        <f>_xlfn.XLOOKUP(CustomerCombined[[#This Row],[ID]], Table2[ID],Table2[MC2], "Not Found", 0 )</f>
        <v>0</v>
      </c>
      <c r="AA625" s="8">
        <f>_xlfn.XLOOKUP(CustomerCombined[[#This Row],[ID]], Table2[ID],Table2[MC3], "Not Found", 0 )</f>
        <v>0</v>
      </c>
      <c r="AB625" s="8">
        <f>_xlfn.XLOOKUP(CustomerCombined[[#This Row],[ID]], Table2[ID],Table2[MC4], "Not Found", 0 )</f>
        <v>0</v>
      </c>
      <c r="AC625" s="8">
        <f>_xlfn.XLOOKUP(CustomerCombined[[#This Row],[ID]], Table2[ID],Table2[MC5], "Not Found", 0 )</f>
        <v>0</v>
      </c>
    </row>
    <row r="626" spans="1:29" x14ac:dyDescent="0.3">
      <c r="A626" s="6">
        <v>1470</v>
      </c>
      <c r="B626" s="6">
        <v>165104</v>
      </c>
      <c r="C626" s="6">
        <v>0</v>
      </c>
      <c r="D626" s="6">
        <v>1</v>
      </c>
      <c r="E626" s="6">
        <v>44</v>
      </c>
      <c r="F626" s="5" t="s">
        <v>8</v>
      </c>
      <c r="G626" s="5" t="s">
        <v>12</v>
      </c>
      <c r="H626" s="3" t="s">
        <v>150</v>
      </c>
      <c r="I626" s="5" t="s">
        <v>436</v>
      </c>
      <c r="J626" s="5">
        <f>_xlfn.XLOOKUP(CustomerCombined[[#This Row],[ID]], Table4[ID], Table4[Recency], "Not Found", 0)</f>
        <v>4</v>
      </c>
      <c r="K626" s="5">
        <f>_xlfn.XLOOKUP(CustomerCombined[[#This Row],[ID]], Table4[ID], Table4[Teas], "Not Found", 0)</f>
        <v>1872</v>
      </c>
      <c r="L626" s="5">
        <f>_xlfn.XLOOKUP(CustomerCombined[[#This Row],[ID]], Table4[ID], Table4[Fruits], "Not Found", 0)</f>
        <v>0</v>
      </c>
      <c r="M626" s="5">
        <f>_xlfn.XLOOKUP(CustomerCombined[[#This Row],[ID]], Table4[ID], Table4[Meats], "Not Found", 0)</f>
        <v>588</v>
      </c>
      <c r="N626" s="5">
        <f>_xlfn.XLOOKUP(CustomerCombined[[#This Row],[ID]], Table4[ID], Table4[Seafood], "Not Found", 0)</f>
        <v>33</v>
      </c>
      <c r="O626" s="5">
        <f>_xlfn.XLOOKUP(CustomerCombined[[#This Row],[ID]], Table4[ID], Table4[Sweets], "Not Found", 0)</f>
        <v>51</v>
      </c>
      <c r="P626" s="5">
        <f>_xlfn.XLOOKUP(CustomerCombined[[#This Row],[ID]], Table4[ID], Table4[Premium], "Not Found", 0)</f>
        <v>127</v>
      </c>
      <c r="Q626" s="5">
        <f>_xlfn.XLOOKUP(CustomerCombined[[#This Row],[ID]], Table4[ID], Table4[Regular], "Not Found", 0)</f>
        <v>2417</v>
      </c>
      <c r="R626" s="5">
        <f>_xlfn.XLOOKUP(CustomerCombined[[#This Row],[ID]], Table4[ID], Table4[Deals], "Not Found", 0)</f>
        <v>2</v>
      </c>
      <c r="S626" s="5">
        <f>_xlfn.XLOOKUP(CustomerCombined[[#This Row],[ID]], Table4[ID], Table4[Website], "Not Found", 0)</f>
        <v>3</v>
      </c>
      <c r="T626" s="5">
        <f>_xlfn.XLOOKUP(CustomerCombined[[#This Row],[ID]], Table4[ID], Table4[Catalog], "Not Found", 0)</f>
        <v>5</v>
      </c>
      <c r="U626" s="5">
        <f>_xlfn.XLOOKUP(CustomerCombined[[#This Row],[ID]], Table4[ID], Table4[Store], "Not Found", 0)</f>
        <v>7</v>
      </c>
      <c r="V626" s="5">
        <f>_xlfn.XLOOKUP(CustomerCombined[[#This Row],[ID]], Table4[ID], Table4[Visits], "Not Found", 0)</f>
        <v>7</v>
      </c>
      <c r="W626" s="8">
        <f>_xlfn.XLOOKUP(CustomerCombined[[#This Row],[ID]], Table2[ID],Table2[Complaint], "Not Found", 0 )</f>
        <v>0</v>
      </c>
      <c r="X626" s="8">
        <f>_xlfn.XLOOKUP(CustomerCombined[[#This Row],[ID]], Table2[ID],Table2[Pilot], "Not Found", 0 )</f>
        <v>0</v>
      </c>
      <c r="Y626" s="8">
        <f>_xlfn.XLOOKUP(CustomerCombined[[#This Row],[ID]], Table2[ID],Table2[MC1], "Not Found", 0 )</f>
        <v>0</v>
      </c>
      <c r="Z626" s="8">
        <f>_xlfn.XLOOKUP(CustomerCombined[[#This Row],[ID]], Table2[ID],Table2[MC2], "Not Found", 0 )</f>
        <v>0</v>
      </c>
      <c r="AA626" s="8">
        <f>_xlfn.XLOOKUP(CustomerCombined[[#This Row],[ID]], Table2[ID],Table2[MC3], "Not Found", 0 )</f>
        <v>0</v>
      </c>
      <c r="AB626" s="8">
        <f>_xlfn.XLOOKUP(CustomerCombined[[#This Row],[ID]], Table2[ID],Table2[MC4], "Not Found", 0 )</f>
        <v>0</v>
      </c>
      <c r="AC626" s="8">
        <f>_xlfn.XLOOKUP(CustomerCombined[[#This Row],[ID]], Table2[ID],Table2[MC5], "Not Found", 0 )</f>
        <v>0</v>
      </c>
    </row>
    <row r="627" spans="1:29" x14ac:dyDescent="0.3">
      <c r="A627" s="6">
        <v>2637</v>
      </c>
      <c r="B627" s="6">
        <v>164892</v>
      </c>
      <c r="C627" s="6">
        <v>0</v>
      </c>
      <c r="D627" s="6">
        <v>1</v>
      </c>
      <c r="E627" s="6">
        <v>44</v>
      </c>
      <c r="F627" s="5" t="s">
        <v>5</v>
      </c>
      <c r="G627" s="5" t="s">
        <v>11</v>
      </c>
      <c r="H627" s="3">
        <v>43872</v>
      </c>
      <c r="I627" s="5" t="s">
        <v>435</v>
      </c>
      <c r="J627" s="5">
        <f>_xlfn.XLOOKUP(CustomerCombined[[#This Row],[ID]], Table4[ID], Table4[Recency], "Not Found", 0)</f>
        <v>77</v>
      </c>
      <c r="K627" s="5">
        <f>_xlfn.XLOOKUP(CustomerCombined[[#This Row],[ID]], Table4[ID], Table4[Teas], "Not Found", 0)</f>
        <v>1339</v>
      </c>
      <c r="L627" s="5">
        <f>_xlfn.XLOOKUP(CustomerCombined[[#This Row],[ID]], Table4[ID], Table4[Fruits], "Not Found", 0)</f>
        <v>61</v>
      </c>
      <c r="M627" s="5">
        <f>_xlfn.XLOOKUP(CustomerCombined[[#This Row],[ID]], Table4[ID], Table4[Meats], "Not Found", 0)</f>
        <v>584</v>
      </c>
      <c r="N627" s="5">
        <f>_xlfn.XLOOKUP(CustomerCombined[[#This Row],[ID]], Table4[ID], Table4[Seafood], "Not Found", 0)</f>
        <v>81</v>
      </c>
      <c r="O627" s="5">
        <f>_xlfn.XLOOKUP(CustomerCombined[[#This Row],[ID]], Table4[ID], Table4[Sweets], "Not Found", 0)</f>
        <v>61</v>
      </c>
      <c r="P627" s="5">
        <f>_xlfn.XLOOKUP(CustomerCombined[[#This Row],[ID]], Table4[ID], Table4[Premium], "Not Found", 0)</f>
        <v>165</v>
      </c>
      <c r="Q627" s="5">
        <f>_xlfn.XLOOKUP(CustomerCombined[[#This Row],[ID]], Table4[ID], Table4[Regular], "Not Found", 0)</f>
        <v>1962</v>
      </c>
      <c r="R627" s="5">
        <f>_xlfn.XLOOKUP(CustomerCombined[[#This Row],[ID]], Table4[ID], Table4[Deals], "Not Found", 0)</f>
        <v>2</v>
      </c>
      <c r="S627" s="5">
        <f>_xlfn.XLOOKUP(CustomerCombined[[#This Row],[ID]], Table4[ID], Table4[Website], "Not Found", 0)</f>
        <v>6</v>
      </c>
      <c r="T627" s="5">
        <f>_xlfn.XLOOKUP(CustomerCombined[[#This Row],[ID]], Table4[ID], Table4[Catalog], "Not Found", 0)</f>
        <v>4</v>
      </c>
      <c r="U627" s="5">
        <f>_xlfn.XLOOKUP(CustomerCombined[[#This Row],[ID]], Table4[ID], Table4[Store], "Not Found", 0)</f>
        <v>12</v>
      </c>
      <c r="V627" s="5">
        <f>_xlfn.XLOOKUP(CustomerCombined[[#This Row],[ID]], Table4[ID], Table4[Visits], "Not Found", 0)</f>
        <v>4</v>
      </c>
      <c r="W627" s="8">
        <f>_xlfn.XLOOKUP(CustomerCombined[[#This Row],[ID]], Table2[ID],Table2[Complaint], "Not Found", 0 )</f>
        <v>0</v>
      </c>
      <c r="X627" s="8">
        <f>_xlfn.XLOOKUP(CustomerCombined[[#This Row],[ID]], Table2[ID],Table2[Pilot], "Not Found", 0 )</f>
        <v>0</v>
      </c>
      <c r="Y627" s="8">
        <f>_xlfn.XLOOKUP(CustomerCombined[[#This Row],[ID]], Table2[ID],Table2[MC1], "Not Found", 0 )</f>
        <v>0</v>
      </c>
      <c r="Z627" s="8">
        <f>_xlfn.XLOOKUP(CustomerCombined[[#This Row],[ID]], Table2[ID],Table2[MC2], "Not Found", 0 )</f>
        <v>0</v>
      </c>
      <c r="AA627" s="8">
        <f>_xlfn.XLOOKUP(CustomerCombined[[#This Row],[ID]], Table2[ID],Table2[MC3], "Not Found", 0 )</f>
        <v>0</v>
      </c>
      <c r="AB627" s="8">
        <f>_xlfn.XLOOKUP(CustomerCombined[[#This Row],[ID]], Table2[ID],Table2[MC4], "Not Found", 0 )</f>
        <v>0</v>
      </c>
      <c r="AC627" s="8">
        <f>_xlfn.XLOOKUP(CustomerCombined[[#This Row],[ID]], Table2[ID],Table2[MC5], "Not Found", 0 )</f>
        <v>0</v>
      </c>
    </row>
    <row r="628" spans="1:29" x14ac:dyDescent="0.3">
      <c r="A628" s="6">
        <v>2328</v>
      </c>
      <c r="B628" s="6">
        <v>162061</v>
      </c>
      <c r="C628" s="6">
        <v>0</v>
      </c>
      <c r="D628" s="6">
        <v>1</v>
      </c>
      <c r="E628" s="6">
        <v>44</v>
      </c>
      <c r="F628" s="5" t="s">
        <v>8</v>
      </c>
      <c r="G628" s="5" t="s">
        <v>11</v>
      </c>
      <c r="H628" s="3">
        <v>43953</v>
      </c>
      <c r="I628" s="5" t="s">
        <v>436</v>
      </c>
      <c r="J628" s="5">
        <f>_xlfn.XLOOKUP(CustomerCombined[[#This Row],[ID]], Table4[ID], Table4[Recency], "Not Found", 0)</f>
        <v>12</v>
      </c>
      <c r="K628" s="5">
        <f>_xlfn.XLOOKUP(CustomerCombined[[#This Row],[ID]], Table4[ID], Table4[Teas], "Not Found", 0)</f>
        <v>1674</v>
      </c>
      <c r="L628" s="5">
        <f>_xlfn.XLOOKUP(CustomerCombined[[#This Row],[ID]], Table4[ID], Table4[Fruits], "Not Found", 0)</f>
        <v>18</v>
      </c>
      <c r="M628" s="5">
        <f>_xlfn.XLOOKUP(CustomerCombined[[#This Row],[ID]], Table4[ID], Table4[Meats], "Not Found", 0)</f>
        <v>219</v>
      </c>
      <c r="N628" s="5">
        <f>_xlfn.XLOOKUP(CustomerCombined[[#This Row],[ID]], Table4[ID], Table4[Seafood], "Not Found", 0)</f>
        <v>0</v>
      </c>
      <c r="O628" s="5">
        <f>_xlfn.XLOOKUP(CustomerCombined[[#This Row],[ID]], Table4[ID], Table4[Sweets], "Not Found", 0)</f>
        <v>78</v>
      </c>
      <c r="P628" s="5">
        <f>_xlfn.XLOOKUP(CustomerCombined[[#This Row],[ID]], Table4[ID], Table4[Premium], "Not Found", 0)</f>
        <v>99</v>
      </c>
      <c r="Q628" s="5">
        <f>_xlfn.XLOOKUP(CustomerCombined[[#This Row],[ID]], Table4[ID], Table4[Regular], "Not Found", 0)</f>
        <v>1891</v>
      </c>
      <c r="R628" s="5">
        <f>_xlfn.XLOOKUP(CustomerCombined[[#This Row],[ID]], Table4[ID], Table4[Deals], "Not Found", 0)</f>
        <v>3</v>
      </c>
      <c r="S628" s="5">
        <f>_xlfn.XLOOKUP(CustomerCombined[[#This Row],[ID]], Table4[ID], Table4[Website], "Not Found", 0)</f>
        <v>10</v>
      </c>
      <c r="T628" s="5">
        <f>_xlfn.XLOOKUP(CustomerCombined[[#This Row],[ID]], Table4[ID], Table4[Catalog], "Not Found", 0)</f>
        <v>4</v>
      </c>
      <c r="U628" s="5">
        <f>_xlfn.XLOOKUP(CustomerCombined[[#This Row],[ID]], Table4[ID], Table4[Store], "Not Found", 0)</f>
        <v>7</v>
      </c>
      <c r="V628" s="5">
        <f>_xlfn.XLOOKUP(CustomerCombined[[#This Row],[ID]], Table4[ID], Table4[Visits], "Not Found", 0)</f>
        <v>6</v>
      </c>
      <c r="W628" s="8">
        <f>_xlfn.XLOOKUP(CustomerCombined[[#This Row],[ID]], Table2[ID],Table2[Complaint], "Not Found", 0 )</f>
        <v>0</v>
      </c>
      <c r="X628" s="8">
        <f>_xlfn.XLOOKUP(CustomerCombined[[#This Row],[ID]], Table2[ID],Table2[Pilot], "Not Found", 0 )</f>
        <v>0</v>
      </c>
      <c r="Y628" s="8">
        <f>_xlfn.XLOOKUP(CustomerCombined[[#This Row],[ID]], Table2[ID],Table2[MC1], "Not Found", 0 )</f>
        <v>0</v>
      </c>
      <c r="Z628" s="8">
        <f>_xlfn.XLOOKUP(CustomerCombined[[#This Row],[ID]], Table2[ID],Table2[MC2], "Not Found", 0 )</f>
        <v>0</v>
      </c>
      <c r="AA628" s="8">
        <f>_xlfn.XLOOKUP(CustomerCombined[[#This Row],[ID]], Table2[ID],Table2[MC3], "Not Found", 0 )</f>
        <v>0</v>
      </c>
      <c r="AB628" s="8">
        <f>_xlfn.XLOOKUP(CustomerCombined[[#This Row],[ID]], Table2[ID],Table2[MC4], "Not Found", 0 )</f>
        <v>1</v>
      </c>
      <c r="AC628" s="8">
        <f>_xlfn.XLOOKUP(CustomerCombined[[#This Row],[ID]], Table2[ID],Table2[MC5], "Not Found", 0 )</f>
        <v>0</v>
      </c>
    </row>
    <row r="629" spans="1:29" x14ac:dyDescent="0.3">
      <c r="A629" s="6">
        <v>2675</v>
      </c>
      <c r="B629" s="6">
        <v>161064</v>
      </c>
      <c r="C629" s="6">
        <v>0</v>
      </c>
      <c r="D629" s="6">
        <v>1</v>
      </c>
      <c r="E629" s="6">
        <v>44</v>
      </c>
      <c r="F629" s="5" t="s">
        <v>6</v>
      </c>
      <c r="G629" s="5" t="s">
        <v>11</v>
      </c>
      <c r="H629" s="3">
        <v>43587</v>
      </c>
      <c r="I629" s="5" t="s">
        <v>434</v>
      </c>
      <c r="J629" s="5">
        <f>_xlfn.XLOOKUP(CustomerCombined[[#This Row],[ID]], Table4[ID], Table4[Recency], "Not Found", 0)</f>
        <v>80</v>
      </c>
      <c r="K629" s="5">
        <f>_xlfn.XLOOKUP(CustomerCombined[[#This Row],[ID]], Table4[ID], Table4[Teas], "Not Found", 0)</f>
        <v>1021</v>
      </c>
      <c r="L629" s="5">
        <f>_xlfn.XLOOKUP(CustomerCombined[[#This Row],[ID]], Table4[ID], Table4[Fruits], "Not Found", 0)</f>
        <v>332</v>
      </c>
      <c r="M629" s="5">
        <f>_xlfn.XLOOKUP(CustomerCombined[[#This Row],[ID]], Table4[ID], Table4[Meats], "Not Found", 0)</f>
        <v>902</v>
      </c>
      <c r="N629" s="5">
        <f>_xlfn.XLOOKUP(CustomerCombined[[#This Row],[ID]], Table4[ID], Table4[Seafood], "Not Found", 0)</f>
        <v>0</v>
      </c>
      <c r="O629" s="5">
        <f>_xlfn.XLOOKUP(CustomerCombined[[#This Row],[ID]], Table4[ID], Table4[Sweets], "Not Found", 0)</f>
        <v>119</v>
      </c>
      <c r="P629" s="5">
        <f>_xlfn.XLOOKUP(CustomerCombined[[#This Row],[ID]], Table4[ID], Table4[Premium], "Not Found", 0)</f>
        <v>475</v>
      </c>
      <c r="Q629" s="5">
        <f>_xlfn.XLOOKUP(CustomerCombined[[#This Row],[ID]], Table4[ID], Table4[Regular], "Not Found", 0)</f>
        <v>1899</v>
      </c>
      <c r="R629" s="5">
        <f>_xlfn.XLOOKUP(CustomerCombined[[#This Row],[ID]], Table4[ID], Table4[Deals], "Not Found", 0)</f>
        <v>5</v>
      </c>
      <c r="S629" s="5">
        <f>_xlfn.XLOOKUP(CustomerCombined[[#This Row],[ID]], Table4[ID], Table4[Website], "Not Found", 0)</f>
        <v>8</v>
      </c>
      <c r="T629" s="5">
        <f>_xlfn.XLOOKUP(CustomerCombined[[#This Row],[ID]], Table4[ID], Table4[Catalog], "Not Found", 0)</f>
        <v>4</v>
      </c>
      <c r="U629" s="5">
        <f>_xlfn.XLOOKUP(CustomerCombined[[#This Row],[ID]], Table4[ID], Table4[Store], "Not Found", 0)</f>
        <v>11</v>
      </c>
      <c r="V629" s="5">
        <f>_xlfn.XLOOKUP(CustomerCombined[[#This Row],[ID]], Table4[ID], Table4[Visits], "Not Found", 0)</f>
        <v>6</v>
      </c>
      <c r="W629" s="8">
        <f>_xlfn.XLOOKUP(CustomerCombined[[#This Row],[ID]], Table2[ID],Table2[Complaint], "Not Found", 0 )</f>
        <v>0</v>
      </c>
      <c r="X629" s="8">
        <f>_xlfn.XLOOKUP(CustomerCombined[[#This Row],[ID]], Table2[ID],Table2[Pilot], "Not Found", 0 )</f>
        <v>0</v>
      </c>
      <c r="Y629" s="8">
        <f>_xlfn.XLOOKUP(CustomerCombined[[#This Row],[ID]], Table2[ID],Table2[MC1], "Not Found", 0 )</f>
        <v>0</v>
      </c>
      <c r="Z629" s="8">
        <f>_xlfn.XLOOKUP(CustomerCombined[[#This Row],[ID]], Table2[ID],Table2[MC2], "Not Found", 0 )</f>
        <v>0</v>
      </c>
      <c r="AA629" s="8">
        <f>_xlfn.XLOOKUP(CustomerCombined[[#This Row],[ID]], Table2[ID],Table2[MC3], "Not Found", 0 )</f>
        <v>0</v>
      </c>
      <c r="AB629" s="8">
        <f>_xlfn.XLOOKUP(CustomerCombined[[#This Row],[ID]], Table2[ID],Table2[MC4], "Not Found", 0 )</f>
        <v>0</v>
      </c>
      <c r="AC629" s="8">
        <f>_xlfn.XLOOKUP(CustomerCombined[[#This Row],[ID]], Table2[ID],Table2[MC5], "Not Found", 0 )</f>
        <v>0</v>
      </c>
    </row>
    <row r="630" spans="1:29" x14ac:dyDescent="0.3">
      <c r="A630" s="6">
        <v>2555</v>
      </c>
      <c r="B630" s="6">
        <v>160482</v>
      </c>
      <c r="C630" s="6">
        <v>0</v>
      </c>
      <c r="D630" s="6">
        <v>1</v>
      </c>
      <c r="E630" s="6">
        <v>44</v>
      </c>
      <c r="F630" s="5" t="s">
        <v>7</v>
      </c>
      <c r="G630" s="5" t="s">
        <v>12</v>
      </c>
      <c r="H630" s="3" t="s">
        <v>318</v>
      </c>
      <c r="I630" s="5" t="s">
        <v>434</v>
      </c>
      <c r="J630" s="5">
        <f>_xlfn.XLOOKUP(CustomerCombined[[#This Row],[ID]], Table4[ID], Table4[Recency], "Not Found", 0)</f>
        <v>81</v>
      </c>
      <c r="K630" s="5">
        <f>_xlfn.XLOOKUP(CustomerCombined[[#This Row],[ID]], Table4[ID], Table4[Teas], "Not Found", 0)</f>
        <v>677</v>
      </c>
      <c r="L630" s="5">
        <f>_xlfn.XLOOKUP(CustomerCombined[[#This Row],[ID]], Table4[ID], Table4[Fruits], "Not Found", 0)</f>
        <v>114</v>
      </c>
      <c r="M630" s="5">
        <f>_xlfn.XLOOKUP(CustomerCombined[[#This Row],[ID]], Table4[ID], Table4[Meats], "Not Found", 0)</f>
        <v>356</v>
      </c>
      <c r="N630" s="5">
        <f>_xlfn.XLOOKUP(CustomerCombined[[#This Row],[ID]], Table4[ID], Table4[Seafood], "Not Found", 0)</f>
        <v>98</v>
      </c>
      <c r="O630" s="5">
        <f>_xlfn.XLOOKUP(CustomerCombined[[#This Row],[ID]], Table4[ID], Table4[Sweets], "Not Found", 0)</f>
        <v>37</v>
      </c>
      <c r="P630" s="5">
        <f>_xlfn.XLOOKUP(CustomerCombined[[#This Row],[ID]], Table4[ID], Table4[Premium], "Not Found", 0)</f>
        <v>64</v>
      </c>
      <c r="Q630" s="5">
        <f>_xlfn.XLOOKUP(CustomerCombined[[#This Row],[ID]], Table4[ID], Table4[Regular], "Not Found", 0)</f>
        <v>1218</v>
      </c>
      <c r="R630" s="5">
        <f>_xlfn.XLOOKUP(CustomerCombined[[#This Row],[ID]], Table4[ID], Table4[Deals], "Not Found", 0)</f>
        <v>1</v>
      </c>
      <c r="S630" s="5">
        <f>_xlfn.XLOOKUP(CustomerCombined[[#This Row],[ID]], Table4[ID], Table4[Website], "Not Found", 0)</f>
        <v>7</v>
      </c>
      <c r="T630" s="5">
        <f>_xlfn.XLOOKUP(CustomerCombined[[#This Row],[ID]], Table4[ID], Table4[Catalog], "Not Found", 0)</f>
        <v>2</v>
      </c>
      <c r="U630" s="5">
        <f>_xlfn.XLOOKUP(CustomerCombined[[#This Row],[ID]], Table4[ID], Table4[Store], "Not Found", 0)</f>
        <v>7</v>
      </c>
      <c r="V630" s="5">
        <f>_xlfn.XLOOKUP(CustomerCombined[[#This Row],[ID]], Table4[ID], Table4[Visits], "Not Found", 0)</f>
        <v>7</v>
      </c>
      <c r="W630" s="8">
        <f>_xlfn.XLOOKUP(CustomerCombined[[#This Row],[ID]], Table2[ID],Table2[Complaint], "Not Found", 0 )</f>
        <v>0</v>
      </c>
      <c r="X630" s="8">
        <f>_xlfn.XLOOKUP(CustomerCombined[[#This Row],[ID]], Table2[ID],Table2[Pilot], "Not Found", 0 )</f>
        <v>0</v>
      </c>
      <c r="Y630" s="8">
        <f>_xlfn.XLOOKUP(CustomerCombined[[#This Row],[ID]], Table2[ID],Table2[MC1], "Not Found", 0 )</f>
        <v>0</v>
      </c>
      <c r="Z630" s="8">
        <f>_xlfn.XLOOKUP(CustomerCombined[[#This Row],[ID]], Table2[ID],Table2[MC2], "Not Found", 0 )</f>
        <v>0</v>
      </c>
      <c r="AA630" s="8">
        <f>_xlfn.XLOOKUP(CustomerCombined[[#This Row],[ID]], Table2[ID],Table2[MC3], "Not Found", 0 )</f>
        <v>0</v>
      </c>
      <c r="AB630" s="8">
        <f>_xlfn.XLOOKUP(CustomerCombined[[#This Row],[ID]], Table2[ID],Table2[MC4], "Not Found", 0 )</f>
        <v>0</v>
      </c>
      <c r="AC630" s="8">
        <f>_xlfn.XLOOKUP(CustomerCombined[[#This Row],[ID]], Table2[ID],Table2[MC5], "Not Found", 0 )</f>
        <v>0</v>
      </c>
    </row>
    <row r="631" spans="1:29" x14ac:dyDescent="0.3">
      <c r="A631" s="6">
        <v>1338</v>
      </c>
      <c r="B631" s="6">
        <v>160000</v>
      </c>
      <c r="C631" s="6">
        <v>0</v>
      </c>
      <c r="D631" s="6">
        <v>1</v>
      </c>
      <c r="E631" s="6">
        <v>44</v>
      </c>
      <c r="F631" s="5" t="s">
        <v>7</v>
      </c>
      <c r="G631" s="5" t="s">
        <v>13</v>
      </c>
      <c r="H631" s="3" t="s">
        <v>337</v>
      </c>
      <c r="I631" s="5" t="s">
        <v>436</v>
      </c>
      <c r="J631" s="5">
        <f>_xlfn.XLOOKUP(CustomerCombined[[#This Row],[ID]], Table4[ID], Table4[Recency], "Not Found", 0)</f>
        <v>57</v>
      </c>
      <c r="K631" s="5">
        <f>_xlfn.XLOOKUP(CustomerCombined[[#This Row],[ID]], Table4[ID], Table4[Teas], "Not Found", 0)</f>
        <v>2795</v>
      </c>
      <c r="L631" s="5">
        <f>_xlfn.XLOOKUP(CustomerCombined[[#This Row],[ID]], Table4[ID], Table4[Fruits], "Not Found", 0)</f>
        <v>0</v>
      </c>
      <c r="M631" s="5">
        <f>_xlfn.XLOOKUP(CustomerCombined[[#This Row],[ID]], Table4[ID], Table4[Meats], "Not Found", 0)</f>
        <v>579</v>
      </c>
      <c r="N631" s="5">
        <f>_xlfn.XLOOKUP(CustomerCombined[[#This Row],[ID]], Table4[ID], Table4[Seafood], "Not Found", 0)</f>
        <v>0</v>
      </c>
      <c r="O631" s="5">
        <f>_xlfn.XLOOKUP(CustomerCombined[[#This Row],[ID]], Table4[ID], Table4[Sweets], "Not Found", 0)</f>
        <v>0</v>
      </c>
      <c r="P631" s="5">
        <f>_xlfn.XLOOKUP(CustomerCombined[[#This Row],[ID]], Table4[ID], Table4[Premium], "Not Found", 0)</f>
        <v>32</v>
      </c>
      <c r="Q631" s="5">
        <f>_xlfn.XLOOKUP(CustomerCombined[[#This Row],[ID]], Table4[ID], Table4[Regular], "Not Found", 0)</f>
        <v>3341</v>
      </c>
      <c r="R631" s="5">
        <f>_xlfn.XLOOKUP(CustomerCombined[[#This Row],[ID]], Table4[ID], Table4[Deals], "Not Found", 0)</f>
        <v>5</v>
      </c>
      <c r="S631" s="5">
        <f>_xlfn.XLOOKUP(CustomerCombined[[#This Row],[ID]], Table4[ID], Table4[Website], "Not Found", 0)</f>
        <v>11</v>
      </c>
      <c r="T631" s="5">
        <f>_xlfn.XLOOKUP(CustomerCombined[[#This Row],[ID]], Table4[ID], Table4[Catalog], "Not Found", 0)</f>
        <v>3</v>
      </c>
      <c r="U631" s="5">
        <f>_xlfn.XLOOKUP(CustomerCombined[[#This Row],[ID]], Table4[ID], Table4[Store], "Not Found", 0)</f>
        <v>5</v>
      </c>
      <c r="V631" s="5">
        <f>_xlfn.XLOOKUP(CustomerCombined[[#This Row],[ID]], Table4[ID], Table4[Visits], "Not Found", 0)</f>
        <v>6</v>
      </c>
      <c r="W631" s="8">
        <f>_xlfn.XLOOKUP(CustomerCombined[[#This Row],[ID]], Table2[ID],Table2[Complaint], "Not Found", 0 )</f>
        <v>0</v>
      </c>
      <c r="X631" s="8">
        <f>_xlfn.XLOOKUP(CustomerCombined[[#This Row],[ID]], Table2[ID],Table2[Pilot], "Not Found", 0 )</f>
        <v>0</v>
      </c>
      <c r="Y631" s="8">
        <f>_xlfn.XLOOKUP(CustomerCombined[[#This Row],[ID]], Table2[ID],Table2[MC1], "Not Found", 0 )</f>
        <v>0</v>
      </c>
      <c r="Z631" s="8">
        <f>_xlfn.XLOOKUP(CustomerCombined[[#This Row],[ID]], Table2[ID],Table2[MC2], "Not Found", 0 )</f>
        <v>0</v>
      </c>
      <c r="AA631" s="8">
        <f>_xlfn.XLOOKUP(CustomerCombined[[#This Row],[ID]], Table2[ID],Table2[MC3], "Not Found", 0 )</f>
        <v>0</v>
      </c>
      <c r="AB631" s="8">
        <f>_xlfn.XLOOKUP(CustomerCombined[[#This Row],[ID]], Table2[ID],Table2[MC4], "Not Found", 0 )</f>
        <v>0</v>
      </c>
      <c r="AC631" s="8">
        <f>_xlfn.XLOOKUP(CustomerCombined[[#This Row],[ID]], Table2[ID],Table2[MC5], "Not Found", 0 )</f>
        <v>0</v>
      </c>
    </row>
    <row r="632" spans="1:29" x14ac:dyDescent="0.3">
      <c r="A632" s="6">
        <v>1135</v>
      </c>
      <c r="B632" s="6">
        <v>159809</v>
      </c>
      <c r="C632" s="6">
        <v>0</v>
      </c>
      <c r="D632" s="6">
        <v>2</v>
      </c>
      <c r="E632" s="6">
        <v>44</v>
      </c>
      <c r="F632" s="5" t="s">
        <v>6</v>
      </c>
      <c r="G632" s="5" t="s">
        <v>11</v>
      </c>
      <c r="H632" s="3" t="s">
        <v>376</v>
      </c>
      <c r="I632" s="5" t="s">
        <v>437</v>
      </c>
      <c r="J632" s="5">
        <f>_xlfn.XLOOKUP(CustomerCombined[[#This Row],[ID]], Table4[ID], Table4[Recency], "Not Found", 0)</f>
        <v>36</v>
      </c>
      <c r="K632" s="5">
        <f>_xlfn.XLOOKUP(CustomerCombined[[#This Row],[ID]], Table4[ID], Table4[Teas], "Not Found", 0)</f>
        <v>1598</v>
      </c>
      <c r="L632" s="5">
        <f>_xlfn.XLOOKUP(CustomerCombined[[#This Row],[ID]], Table4[ID], Table4[Fruits], "Not Found", 0)</f>
        <v>43</v>
      </c>
      <c r="M632" s="5">
        <f>_xlfn.XLOOKUP(CustomerCombined[[#This Row],[ID]], Table4[ID], Table4[Meats], "Not Found", 0)</f>
        <v>377</v>
      </c>
      <c r="N632" s="5">
        <f>_xlfn.XLOOKUP(CustomerCombined[[#This Row],[ID]], Table4[ID], Table4[Seafood], "Not Found", 0)</f>
        <v>86</v>
      </c>
      <c r="O632" s="5">
        <f>_xlfn.XLOOKUP(CustomerCombined[[#This Row],[ID]], Table4[ID], Table4[Sweets], "Not Found", 0)</f>
        <v>110</v>
      </c>
      <c r="P632" s="5">
        <f>_xlfn.XLOOKUP(CustomerCombined[[#This Row],[ID]], Table4[ID], Table4[Premium], "Not Found", 0)</f>
        <v>131</v>
      </c>
      <c r="Q632" s="5">
        <f>_xlfn.XLOOKUP(CustomerCombined[[#This Row],[ID]], Table4[ID], Table4[Regular], "Not Found", 0)</f>
        <v>2081</v>
      </c>
      <c r="R632" s="5">
        <f>_xlfn.XLOOKUP(CustomerCombined[[#This Row],[ID]], Table4[ID], Table4[Deals], "Not Found", 0)</f>
        <v>3</v>
      </c>
      <c r="S632" s="5">
        <f>_xlfn.XLOOKUP(CustomerCombined[[#This Row],[ID]], Table4[ID], Table4[Website], "Not Found", 0)</f>
        <v>3</v>
      </c>
      <c r="T632" s="5">
        <f>_xlfn.XLOOKUP(CustomerCombined[[#This Row],[ID]], Table4[ID], Table4[Catalog], "Not Found", 0)</f>
        <v>3</v>
      </c>
      <c r="U632" s="5">
        <f>_xlfn.XLOOKUP(CustomerCombined[[#This Row],[ID]], Table4[ID], Table4[Store], "Not Found", 0)</f>
        <v>6</v>
      </c>
      <c r="V632" s="5">
        <f>_xlfn.XLOOKUP(CustomerCombined[[#This Row],[ID]], Table4[ID], Table4[Visits], "Not Found", 0)</f>
        <v>8</v>
      </c>
      <c r="W632" s="8">
        <f>_xlfn.XLOOKUP(CustomerCombined[[#This Row],[ID]], Table2[ID],Table2[Complaint], "Not Found", 0 )</f>
        <v>0</v>
      </c>
      <c r="X632" s="8">
        <f>_xlfn.XLOOKUP(CustomerCombined[[#This Row],[ID]], Table2[ID],Table2[Pilot], "Not Found", 0 )</f>
        <v>0</v>
      </c>
      <c r="Y632" s="8">
        <f>_xlfn.XLOOKUP(CustomerCombined[[#This Row],[ID]], Table2[ID],Table2[MC1], "Not Found", 0 )</f>
        <v>0</v>
      </c>
      <c r="Z632" s="8">
        <f>_xlfn.XLOOKUP(CustomerCombined[[#This Row],[ID]], Table2[ID],Table2[MC2], "Not Found", 0 )</f>
        <v>0</v>
      </c>
      <c r="AA632" s="8">
        <f>_xlfn.XLOOKUP(CustomerCombined[[#This Row],[ID]], Table2[ID],Table2[MC3], "Not Found", 0 )</f>
        <v>0</v>
      </c>
      <c r="AB632" s="8">
        <f>_xlfn.XLOOKUP(CustomerCombined[[#This Row],[ID]], Table2[ID],Table2[MC4], "Not Found", 0 )</f>
        <v>0</v>
      </c>
      <c r="AC632" s="8">
        <f>_xlfn.XLOOKUP(CustomerCombined[[#This Row],[ID]], Table2[ID],Table2[MC5], "Not Found", 0 )</f>
        <v>0</v>
      </c>
    </row>
    <row r="633" spans="1:29" x14ac:dyDescent="0.3">
      <c r="A633" s="6">
        <v>2501</v>
      </c>
      <c r="B633" s="6">
        <v>158597</v>
      </c>
      <c r="C633" s="6">
        <v>1</v>
      </c>
      <c r="D633" s="6">
        <v>1</v>
      </c>
      <c r="E633" s="6">
        <v>44</v>
      </c>
      <c r="F633" s="5" t="s">
        <v>6</v>
      </c>
      <c r="G633" s="5" t="s">
        <v>11</v>
      </c>
      <c r="H633" s="3" t="s">
        <v>356</v>
      </c>
      <c r="I633" s="5" t="s">
        <v>434</v>
      </c>
      <c r="J633" s="5">
        <f>_xlfn.XLOOKUP(CustomerCombined[[#This Row],[ID]], Table4[ID], Table4[Recency], "Not Found", 0)</f>
        <v>20</v>
      </c>
      <c r="K633" s="5">
        <f>_xlfn.XLOOKUP(CustomerCombined[[#This Row],[ID]], Table4[ID], Table4[Teas], "Not Found", 0)</f>
        <v>1326</v>
      </c>
      <c r="L633" s="5">
        <f>_xlfn.XLOOKUP(CustomerCombined[[#This Row],[ID]], Table4[ID], Table4[Fruits], "Not Found", 0)</f>
        <v>0</v>
      </c>
      <c r="M633" s="5">
        <f>_xlfn.XLOOKUP(CustomerCombined[[#This Row],[ID]], Table4[ID], Table4[Meats], "Not Found", 0)</f>
        <v>498</v>
      </c>
      <c r="N633" s="5">
        <f>_xlfn.XLOOKUP(CustomerCombined[[#This Row],[ID]], Table4[ID], Table4[Seafood], "Not Found", 0)</f>
        <v>27</v>
      </c>
      <c r="O633" s="5">
        <f>_xlfn.XLOOKUP(CustomerCombined[[#This Row],[ID]], Table4[ID], Table4[Sweets], "Not Found", 0)</f>
        <v>76</v>
      </c>
      <c r="P633" s="5">
        <f>_xlfn.XLOOKUP(CustomerCombined[[#This Row],[ID]], Table4[ID], Table4[Premium], "Not Found", 0)</f>
        <v>57</v>
      </c>
      <c r="Q633" s="5">
        <f>_xlfn.XLOOKUP(CustomerCombined[[#This Row],[ID]], Table4[ID], Table4[Regular], "Not Found", 0)</f>
        <v>1870</v>
      </c>
      <c r="R633" s="5">
        <f>_xlfn.XLOOKUP(CustomerCombined[[#This Row],[ID]], Table4[ID], Table4[Deals], "Not Found", 0)</f>
        <v>12</v>
      </c>
      <c r="S633" s="5">
        <f>_xlfn.XLOOKUP(CustomerCombined[[#This Row],[ID]], Table4[ID], Table4[Website], "Not Found", 0)</f>
        <v>7</v>
      </c>
      <c r="T633" s="5">
        <f>_xlfn.XLOOKUP(CustomerCombined[[#This Row],[ID]], Table4[ID], Table4[Catalog], "Not Found", 0)</f>
        <v>4</v>
      </c>
      <c r="U633" s="5">
        <f>_xlfn.XLOOKUP(CustomerCombined[[#This Row],[ID]], Table4[ID], Table4[Store], "Not Found", 0)</f>
        <v>9</v>
      </c>
      <c r="V633" s="5">
        <f>_xlfn.XLOOKUP(CustomerCombined[[#This Row],[ID]], Table4[ID], Table4[Visits], "Not Found", 0)</f>
        <v>7</v>
      </c>
      <c r="W633" s="8">
        <f>_xlfn.XLOOKUP(CustomerCombined[[#This Row],[ID]], Table2[ID],Table2[Complaint], "Not Found", 0 )</f>
        <v>0</v>
      </c>
      <c r="X633" s="8">
        <f>_xlfn.XLOOKUP(CustomerCombined[[#This Row],[ID]], Table2[ID],Table2[Pilot], "Not Found", 0 )</f>
        <v>0</v>
      </c>
      <c r="Y633" s="8">
        <f>_xlfn.XLOOKUP(CustomerCombined[[#This Row],[ID]], Table2[ID],Table2[MC1], "Not Found", 0 )</f>
        <v>0</v>
      </c>
      <c r="Z633" s="8">
        <f>_xlfn.XLOOKUP(CustomerCombined[[#This Row],[ID]], Table2[ID],Table2[MC2], "Not Found", 0 )</f>
        <v>0</v>
      </c>
      <c r="AA633" s="8">
        <f>_xlfn.XLOOKUP(CustomerCombined[[#This Row],[ID]], Table2[ID],Table2[MC3], "Not Found", 0 )</f>
        <v>0</v>
      </c>
      <c r="AB633" s="8">
        <f>_xlfn.XLOOKUP(CustomerCombined[[#This Row],[ID]], Table2[ID],Table2[MC4], "Not Found", 0 )</f>
        <v>0</v>
      </c>
      <c r="AC633" s="8">
        <f>_xlfn.XLOOKUP(CustomerCombined[[#This Row],[ID]], Table2[ID],Table2[MC5], "Not Found", 0 )</f>
        <v>0</v>
      </c>
    </row>
    <row r="634" spans="1:29" x14ac:dyDescent="0.3">
      <c r="A634" s="6">
        <v>2926</v>
      </c>
      <c r="B634" s="6">
        <v>156939</v>
      </c>
      <c r="C634" s="6">
        <v>0</v>
      </c>
      <c r="D634" s="6">
        <v>1</v>
      </c>
      <c r="E634" s="6">
        <v>44</v>
      </c>
      <c r="F634" s="5" t="s">
        <v>6</v>
      </c>
      <c r="G634" s="5" t="s">
        <v>11</v>
      </c>
      <c r="H634" s="3" t="s">
        <v>181</v>
      </c>
      <c r="I634" s="5" t="s">
        <v>439</v>
      </c>
      <c r="J634" s="5">
        <f>_xlfn.XLOOKUP(CustomerCombined[[#This Row],[ID]], Table4[ID], Table4[Recency], "Not Found", 0)</f>
        <v>19</v>
      </c>
      <c r="K634" s="5">
        <f>_xlfn.XLOOKUP(CustomerCombined[[#This Row],[ID]], Table4[ID], Table4[Teas], "Not Found", 0)</f>
        <v>706</v>
      </c>
      <c r="L634" s="5">
        <f>_xlfn.XLOOKUP(CustomerCombined[[#This Row],[ID]], Table4[ID], Table4[Fruits], "Not Found", 0)</f>
        <v>94</v>
      </c>
      <c r="M634" s="5">
        <f>_xlfn.XLOOKUP(CustomerCombined[[#This Row],[ID]], Table4[ID], Table4[Meats], "Not Found", 0)</f>
        <v>284</v>
      </c>
      <c r="N634" s="5">
        <f>_xlfn.XLOOKUP(CustomerCombined[[#This Row],[ID]], Table4[ID], Table4[Seafood], "Not Found", 0)</f>
        <v>248</v>
      </c>
      <c r="O634" s="5">
        <f>_xlfn.XLOOKUP(CustomerCombined[[#This Row],[ID]], Table4[ID], Table4[Sweets], "Not Found", 0)</f>
        <v>80</v>
      </c>
      <c r="P634" s="5">
        <f>_xlfn.XLOOKUP(CustomerCombined[[#This Row],[ID]], Table4[ID], Table4[Premium], "Not Found", 0)</f>
        <v>135</v>
      </c>
      <c r="Q634" s="5">
        <f>_xlfn.XLOOKUP(CustomerCombined[[#This Row],[ID]], Table4[ID], Table4[Regular], "Not Found", 0)</f>
        <v>1276</v>
      </c>
      <c r="R634" s="5">
        <f>_xlfn.XLOOKUP(CustomerCombined[[#This Row],[ID]], Table4[ID], Table4[Deals], "Not Found", 0)</f>
        <v>2</v>
      </c>
      <c r="S634" s="5">
        <f>_xlfn.XLOOKUP(CustomerCombined[[#This Row],[ID]], Table4[ID], Table4[Website], "Not Found", 0)</f>
        <v>3</v>
      </c>
      <c r="T634" s="5">
        <f>_xlfn.XLOOKUP(CustomerCombined[[#This Row],[ID]], Table4[ID], Table4[Catalog], "Not Found", 0)</f>
        <v>3</v>
      </c>
      <c r="U634" s="5">
        <f>_xlfn.XLOOKUP(CustomerCombined[[#This Row],[ID]], Table4[ID], Table4[Store], "Not Found", 0)</f>
        <v>10</v>
      </c>
      <c r="V634" s="5">
        <f>_xlfn.XLOOKUP(CustomerCombined[[#This Row],[ID]], Table4[ID], Table4[Visits], "Not Found", 0)</f>
        <v>3</v>
      </c>
      <c r="W634" s="8">
        <f>_xlfn.XLOOKUP(CustomerCombined[[#This Row],[ID]], Table2[ID],Table2[Complaint], "Not Found", 0 )</f>
        <v>0</v>
      </c>
      <c r="X634" s="8">
        <f>_xlfn.XLOOKUP(CustomerCombined[[#This Row],[ID]], Table2[ID],Table2[Pilot], "Not Found", 0 )</f>
        <v>0</v>
      </c>
      <c r="Y634" s="8">
        <f>_xlfn.XLOOKUP(CustomerCombined[[#This Row],[ID]], Table2[ID],Table2[MC1], "Not Found", 0 )</f>
        <v>0</v>
      </c>
      <c r="Z634" s="8">
        <f>_xlfn.XLOOKUP(CustomerCombined[[#This Row],[ID]], Table2[ID],Table2[MC2], "Not Found", 0 )</f>
        <v>0</v>
      </c>
      <c r="AA634" s="8">
        <f>_xlfn.XLOOKUP(CustomerCombined[[#This Row],[ID]], Table2[ID],Table2[MC3], "Not Found", 0 )</f>
        <v>0</v>
      </c>
      <c r="AB634" s="8">
        <f>_xlfn.XLOOKUP(CustomerCombined[[#This Row],[ID]], Table2[ID],Table2[MC4], "Not Found", 0 )</f>
        <v>0</v>
      </c>
      <c r="AC634" s="8">
        <f>_xlfn.XLOOKUP(CustomerCombined[[#This Row],[ID]], Table2[ID],Table2[MC5], "Not Found", 0 )</f>
        <v>0</v>
      </c>
    </row>
    <row r="635" spans="1:29" x14ac:dyDescent="0.3">
      <c r="A635" s="6">
        <v>2694</v>
      </c>
      <c r="B635" s="6">
        <v>155424</v>
      </c>
      <c r="C635" s="6">
        <v>0</v>
      </c>
      <c r="D635" s="6">
        <v>1</v>
      </c>
      <c r="E635" s="6">
        <v>44</v>
      </c>
      <c r="F635" s="5" t="s">
        <v>6</v>
      </c>
      <c r="G635" s="5" t="s">
        <v>13</v>
      </c>
      <c r="H635" s="3">
        <v>43501</v>
      </c>
      <c r="I635" s="5" t="s">
        <v>436</v>
      </c>
      <c r="J635" s="5">
        <f>_xlfn.XLOOKUP(CustomerCombined[[#This Row],[ID]], Table4[ID], Table4[Recency], "Not Found", 0)</f>
        <v>6</v>
      </c>
      <c r="K635" s="5">
        <f>_xlfn.XLOOKUP(CustomerCombined[[#This Row],[ID]], Table4[ID], Table4[Teas], "Not Found", 0)</f>
        <v>1296</v>
      </c>
      <c r="L635" s="5">
        <f>_xlfn.XLOOKUP(CustomerCombined[[#This Row],[ID]], Table4[ID], Table4[Fruits], "Not Found", 0)</f>
        <v>171</v>
      </c>
      <c r="M635" s="5">
        <f>_xlfn.XLOOKUP(CustomerCombined[[#This Row],[ID]], Table4[ID], Table4[Meats], "Not Found", 0)</f>
        <v>516</v>
      </c>
      <c r="N635" s="5">
        <f>_xlfn.XLOOKUP(CustomerCombined[[#This Row],[ID]], Table4[ID], Table4[Seafood], "Not Found", 0)</f>
        <v>28</v>
      </c>
      <c r="O635" s="5">
        <f>_xlfn.XLOOKUP(CustomerCombined[[#This Row],[ID]], Table4[ID], Table4[Sweets], "Not Found", 0)</f>
        <v>149</v>
      </c>
      <c r="P635" s="5">
        <f>_xlfn.XLOOKUP(CustomerCombined[[#This Row],[ID]], Table4[ID], Table4[Premium], "Not Found", 0)</f>
        <v>300</v>
      </c>
      <c r="Q635" s="5">
        <f>_xlfn.XLOOKUP(CustomerCombined[[#This Row],[ID]], Table4[ID], Table4[Regular], "Not Found", 0)</f>
        <v>1859</v>
      </c>
      <c r="R635" s="5">
        <f>_xlfn.XLOOKUP(CustomerCombined[[#This Row],[ID]], Table4[ID], Table4[Deals], "Not Found", 0)</f>
        <v>4</v>
      </c>
      <c r="S635" s="5">
        <f>_xlfn.XLOOKUP(CustomerCombined[[#This Row],[ID]], Table4[ID], Table4[Website], "Not Found", 0)</f>
        <v>7</v>
      </c>
      <c r="T635" s="5">
        <f>_xlfn.XLOOKUP(CustomerCombined[[#This Row],[ID]], Table4[ID], Table4[Catalog], "Not Found", 0)</f>
        <v>5</v>
      </c>
      <c r="U635" s="5">
        <f>_xlfn.XLOOKUP(CustomerCombined[[#This Row],[ID]], Table4[ID], Table4[Store], "Not Found", 0)</f>
        <v>9</v>
      </c>
      <c r="V635" s="5">
        <f>_xlfn.XLOOKUP(CustomerCombined[[#This Row],[ID]], Table4[ID], Table4[Visits], "Not Found", 0)</f>
        <v>6</v>
      </c>
      <c r="W635" s="8">
        <f>_xlfn.XLOOKUP(CustomerCombined[[#This Row],[ID]], Table2[ID],Table2[Complaint], "Not Found", 0 )</f>
        <v>0</v>
      </c>
      <c r="X635" s="8">
        <f>_xlfn.XLOOKUP(CustomerCombined[[#This Row],[ID]], Table2[ID],Table2[Pilot], "Not Found", 0 )</f>
        <v>1</v>
      </c>
      <c r="Y635" s="8">
        <f>_xlfn.XLOOKUP(CustomerCombined[[#This Row],[ID]], Table2[ID],Table2[MC1], "Not Found", 0 )</f>
        <v>0</v>
      </c>
      <c r="Z635" s="8">
        <f>_xlfn.XLOOKUP(CustomerCombined[[#This Row],[ID]], Table2[ID],Table2[MC2], "Not Found", 0 )</f>
        <v>0</v>
      </c>
      <c r="AA635" s="8">
        <f>_xlfn.XLOOKUP(CustomerCombined[[#This Row],[ID]], Table2[ID],Table2[MC3], "Not Found", 0 )</f>
        <v>1</v>
      </c>
      <c r="AB635" s="8">
        <f>_xlfn.XLOOKUP(CustomerCombined[[#This Row],[ID]], Table2[ID],Table2[MC4], "Not Found", 0 )</f>
        <v>0</v>
      </c>
      <c r="AC635" s="8">
        <f>_xlfn.XLOOKUP(CustomerCombined[[#This Row],[ID]], Table2[ID],Table2[MC5], "Not Found", 0 )</f>
        <v>0</v>
      </c>
    </row>
    <row r="636" spans="1:29" x14ac:dyDescent="0.3">
      <c r="A636" s="6">
        <v>1811</v>
      </c>
      <c r="B636" s="6">
        <v>155412</v>
      </c>
      <c r="C636" s="6">
        <v>1</v>
      </c>
      <c r="D636" s="6">
        <v>1</v>
      </c>
      <c r="E636" s="6">
        <v>44</v>
      </c>
      <c r="F636" s="5" t="s">
        <v>5</v>
      </c>
      <c r="G636" s="5" t="s">
        <v>13</v>
      </c>
      <c r="H636" s="3" t="s">
        <v>143</v>
      </c>
      <c r="I636" s="5" t="s">
        <v>434</v>
      </c>
      <c r="J636" s="5">
        <f>_xlfn.XLOOKUP(CustomerCombined[[#This Row],[ID]], Table4[ID], Table4[Recency], "Not Found", 0)</f>
        <v>65</v>
      </c>
      <c r="K636" s="5">
        <f>_xlfn.XLOOKUP(CustomerCombined[[#This Row],[ID]], Table4[ID], Table4[Teas], "Not Found", 0)</f>
        <v>28</v>
      </c>
      <c r="L636" s="5">
        <f>_xlfn.XLOOKUP(CustomerCombined[[#This Row],[ID]], Table4[ID], Table4[Fruits], "Not Found", 0)</f>
        <v>14</v>
      </c>
      <c r="M636" s="5">
        <f>_xlfn.XLOOKUP(CustomerCombined[[#This Row],[ID]], Table4[ID], Table4[Meats], "Not Found", 0)</f>
        <v>79</v>
      </c>
      <c r="N636" s="5">
        <f>_xlfn.XLOOKUP(CustomerCombined[[#This Row],[ID]], Table4[ID], Table4[Seafood], "Not Found", 0)</f>
        <v>31</v>
      </c>
      <c r="O636" s="5">
        <f>_xlfn.XLOOKUP(CustomerCombined[[#This Row],[ID]], Table4[ID], Table4[Sweets], "Not Found", 0)</f>
        <v>3</v>
      </c>
      <c r="P636" s="5">
        <f>_xlfn.XLOOKUP(CustomerCombined[[#This Row],[ID]], Table4[ID], Table4[Premium], "Not Found", 0)</f>
        <v>22</v>
      </c>
      <c r="Q636" s="5">
        <f>_xlfn.XLOOKUP(CustomerCombined[[#This Row],[ID]], Table4[ID], Table4[Regular], "Not Found", 0)</f>
        <v>132</v>
      </c>
      <c r="R636" s="5">
        <f>_xlfn.XLOOKUP(CustomerCombined[[#This Row],[ID]], Table4[ID], Table4[Deals], "Not Found", 0)</f>
        <v>1</v>
      </c>
      <c r="S636" s="5">
        <f>_xlfn.XLOOKUP(CustomerCombined[[#This Row],[ID]], Table4[ID], Table4[Website], "Not Found", 0)</f>
        <v>2</v>
      </c>
      <c r="T636" s="5">
        <f>_xlfn.XLOOKUP(CustomerCombined[[#This Row],[ID]], Table4[ID], Table4[Catalog], "Not Found", 0)</f>
        <v>0</v>
      </c>
      <c r="U636" s="5">
        <f>_xlfn.XLOOKUP(CustomerCombined[[#This Row],[ID]], Table4[ID], Table4[Store], "Not Found", 0)</f>
        <v>3</v>
      </c>
      <c r="V636" s="5">
        <f>_xlfn.XLOOKUP(CustomerCombined[[#This Row],[ID]], Table4[ID], Table4[Visits], "Not Found", 0)</f>
        <v>5</v>
      </c>
      <c r="W636" s="8">
        <f>_xlfn.XLOOKUP(CustomerCombined[[#This Row],[ID]], Table2[ID],Table2[Complaint], "Not Found", 0 )</f>
        <v>0</v>
      </c>
      <c r="X636" s="8">
        <f>_xlfn.XLOOKUP(CustomerCombined[[#This Row],[ID]], Table2[ID],Table2[Pilot], "Not Found", 0 )</f>
        <v>0</v>
      </c>
      <c r="Y636" s="8">
        <f>_xlfn.XLOOKUP(CustomerCombined[[#This Row],[ID]], Table2[ID],Table2[MC1], "Not Found", 0 )</f>
        <v>0</v>
      </c>
      <c r="Z636" s="8">
        <f>_xlfn.XLOOKUP(CustomerCombined[[#This Row],[ID]], Table2[ID],Table2[MC2], "Not Found", 0 )</f>
        <v>0</v>
      </c>
      <c r="AA636" s="8">
        <f>_xlfn.XLOOKUP(CustomerCombined[[#This Row],[ID]], Table2[ID],Table2[MC3], "Not Found", 0 )</f>
        <v>0</v>
      </c>
      <c r="AB636" s="8">
        <f>_xlfn.XLOOKUP(CustomerCombined[[#This Row],[ID]], Table2[ID],Table2[MC4], "Not Found", 0 )</f>
        <v>0</v>
      </c>
      <c r="AC636" s="8">
        <f>_xlfn.XLOOKUP(CustomerCombined[[#This Row],[ID]], Table2[ID],Table2[MC5], "Not Found", 0 )</f>
        <v>0</v>
      </c>
    </row>
    <row r="637" spans="1:29" x14ac:dyDescent="0.3">
      <c r="A637" s="6">
        <v>1528</v>
      </c>
      <c r="B637" s="6">
        <v>154058</v>
      </c>
      <c r="C637" s="6">
        <v>0</v>
      </c>
      <c r="D637" s="6">
        <v>1</v>
      </c>
      <c r="E637" s="6">
        <v>44</v>
      </c>
      <c r="F637" s="5" t="s">
        <v>8</v>
      </c>
      <c r="G637" s="5" t="s">
        <v>11</v>
      </c>
      <c r="H637" s="3">
        <v>43719</v>
      </c>
      <c r="I637" s="5" t="s">
        <v>439</v>
      </c>
      <c r="J637" s="5">
        <f>_xlfn.XLOOKUP(CustomerCombined[[#This Row],[ID]], Table4[ID], Table4[Recency], "Not Found", 0)</f>
        <v>56</v>
      </c>
      <c r="K637" s="5">
        <f>_xlfn.XLOOKUP(CustomerCombined[[#This Row],[ID]], Table4[ID], Table4[Teas], "Not Found", 0)</f>
        <v>564</v>
      </c>
      <c r="L637" s="5">
        <f>_xlfn.XLOOKUP(CustomerCombined[[#This Row],[ID]], Table4[ID], Table4[Fruits], "Not Found", 0)</f>
        <v>51</v>
      </c>
      <c r="M637" s="5">
        <f>_xlfn.XLOOKUP(CustomerCombined[[#This Row],[ID]], Table4[ID], Table4[Meats], "Not Found", 0)</f>
        <v>718</v>
      </c>
      <c r="N637" s="5">
        <f>_xlfn.XLOOKUP(CustomerCombined[[#This Row],[ID]], Table4[ID], Table4[Seafood], "Not Found", 0)</f>
        <v>91</v>
      </c>
      <c r="O637" s="5">
        <f>_xlfn.XLOOKUP(CustomerCombined[[#This Row],[ID]], Table4[ID], Table4[Sweets], "Not Found", 0)</f>
        <v>308</v>
      </c>
      <c r="P637" s="5">
        <f>_xlfn.XLOOKUP(CustomerCombined[[#This Row],[ID]], Table4[ID], Table4[Premium], "Not Found", 0)</f>
        <v>154</v>
      </c>
      <c r="Q637" s="5">
        <f>_xlfn.XLOOKUP(CustomerCombined[[#This Row],[ID]], Table4[ID], Table4[Regular], "Not Found", 0)</f>
        <v>1579</v>
      </c>
      <c r="R637" s="5">
        <f>_xlfn.XLOOKUP(CustomerCombined[[#This Row],[ID]], Table4[ID], Table4[Deals], "Not Found", 0)</f>
        <v>2</v>
      </c>
      <c r="S637" s="5">
        <f>_xlfn.XLOOKUP(CustomerCombined[[#This Row],[ID]], Table4[ID], Table4[Website], "Not Found", 0)</f>
        <v>4</v>
      </c>
      <c r="T637" s="5">
        <f>_xlfn.XLOOKUP(CustomerCombined[[#This Row],[ID]], Table4[ID], Table4[Catalog], "Not Found", 0)</f>
        <v>6</v>
      </c>
      <c r="U637" s="5">
        <f>_xlfn.XLOOKUP(CustomerCombined[[#This Row],[ID]], Table4[ID], Table4[Store], "Not Found", 0)</f>
        <v>8</v>
      </c>
      <c r="V637" s="5">
        <f>_xlfn.XLOOKUP(CustomerCombined[[#This Row],[ID]], Table4[ID], Table4[Visits], "Not Found", 0)</f>
        <v>3</v>
      </c>
      <c r="W637" s="8">
        <f>_xlfn.XLOOKUP(CustomerCombined[[#This Row],[ID]], Table2[ID],Table2[Complaint], "Not Found", 0 )</f>
        <v>0</v>
      </c>
      <c r="X637" s="8">
        <f>_xlfn.XLOOKUP(CustomerCombined[[#This Row],[ID]], Table2[ID],Table2[Pilot], "Not Found", 0 )</f>
        <v>0</v>
      </c>
      <c r="Y637" s="8">
        <f>_xlfn.XLOOKUP(CustomerCombined[[#This Row],[ID]], Table2[ID],Table2[MC1], "Not Found", 0 )</f>
        <v>0</v>
      </c>
      <c r="Z637" s="8">
        <f>_xlfn.XLOOKUP(CustomerCombined[[#This Row],[ID]], Table2[ID],Table2[MC2], "Not Found", 0 )</f>
        <v>0</v>
      </c>
      <c r="AA637" s="8">
        <f>_xlfn.XLOOKUP(CustomerCombined[[#This Row],[ID]], Table2[ID],Table2[MC3], "Not Found", 0 )</f>
        <v>0</v>
      </c>
      <c r="AB637" s="8">
        <f>_xlfn.XLOOKUP(CustomerCombined[[#This Row],[ID]], Table2[ID],Table2[MC4], "Not Found", 0 )</f>
        <v>0</v>
      </c>
      <c r="AC637" s="8">
        <f>_xlfn.XLOOKUP(CustomerCombined[[#This Row],[ID]], Table2[ID],Table2[MC5], "Not Found", 0 )</f>
        <v>0</v>
      </c>
    </row>
    <row r="638" spans="1:29" x14ac:dyDescent="0.3">
      <c r="A638" s="6">
        <v>1395</v>
      </c>
      <c r="B638" s="6">
        <v>153858</v>
      </c>
      <c r="C638" s="6">
        <v>0</v>
      </c>
      <c r="D638" s="6">
        <v>1</v>
      </c>
      <c r="E638" s="6">
        <v>44</v>
      </c>
      <c r="F638" s="5" t="s">
        <v>6</v>
      </c>
      <c r="G638" s="5" t="s">
        <v>11</v>
      </c>
      <c r="H638" s="3" t="s">
        <v>366</v>
      </c>
      <c r="I638" s="5" t="s">
        <v>435</v>
      </c>
      <c r="J638" s="5">
        <f>_xlfn.XLOOKUP(CustomerCombined[[#This Row],[ID]], Table4[ID], Table4[Recency], "Not Found", 0)</f>
        <v>50</v>
      </c>
      <c r="K638" s="5">
        <f>_xlfn.XLOOKUP(CustomerCombined[[#This Row],[ID]], Table4[ID], Table4[Teas], "Not Found", 0)</f>
        <v>1163</v>
      </c>
      <c r="L638" s="5">
        <f>_xlfn.XLOOKUP(CustomerCombined[[#This Row],[ID]], Table4[ID], Table4[Fruits], "Not Found", 0)</f>
        <v>151</v>
      </c>
      <c r="M638" s="5">
        <f>_xlfn.XLOOKUP(CustomerCombined[[#This Row],[ID]], Table4[ID], Table4[Meats], "Not Found", 0)</f>
        <v>631</v>
      </c>
      <c r="N638" s="5">
        <f>_xlfn.XLOOKUP(CustomerCombined[[#This Row],[ID]], Table4[ID], Table4[Seafood], "Not Found", 0)</f>
        <v>166</v>
      </c>
      <c r="O638" s="5">
        <f>_xlfn.XLOOKUP(CustomerCombined[[#This Row],[ID]], Table4[ID], Table4[Sweets], "Not Found", 0)</f>
        <v>429</v>
      </c>
      <c r="P638" s="5">
        <f>_xlfn.XLOOKUP(CustomerCombined[[#This Row],[ID]], Table4[ID], Table4[Premium], "Not Found", 0)</f>
        <v>74</v>
      </c>
      <c r="Q638" s="5">
        <f>_xlfn.XLOOKUP(CustomerCombined[[#This Row],[ID]], Table4[ID], Table4[Regular], "Not Found", 0)</f>
        <v>2465</v>
      </c>
      <c r="R638" s="5">
        <f>_xlfn.XLOOKUP(CustomerCombined[[#This Row],[ID]], Table4[ID], Table4[Deals], "Not Found", 0)</f>
        <v>4</v>
      </c>
      <c r="S638" s="5">
        <f>_xlfn.XLOOKUP(CustomerCombined[[#This Row],[ID]], Table4[ID], Table4[Website], "Not Found", 0)</f>
        <v>4</v>
      </c>
      <c r="T638" s="5">
        <f>_xlfn.XLOOKUP(CustomerCombined[[#This Row],[ID]], Table4[ID], Table4[Catalog], "Not Found", 0)</f>
        <v>3</v>
      </c>
      <c r="U638" s="5">
        <f>_xlfn.XLOOKUP(CustomerCombined[[#This Row],[ID]], Table4[ID], Table4[Store], "Not Found", 0)</f>
        <v>6</v>
      </c>
      <c r="V638" s="5">
        <f>_xlfn.XLOOKUP(CustomerCombined[[#This Row],[ID]], Table4[ID], Table4[Visits], "Not Found", 0)</f>
        <v>4</v>
      </c>
      <c r="W638" s="8">
        <f>_xlfn.XLOOKUP(CustomerCombined[[#This Row],[ID]], Table2[ID],Table2[Complaint], "Not Found", 0 )</f>
        <v>0</v>
      </c>
      <c r="X638" s="8">
        <f>_xlfn.XLOOKUP(CustomerCombined[[#This Row],[ID]], Table2[ID],Table2[Pilot], "Not Found", 0 )</f>
        <v>0</v>
      </c>
      <c r="Y638" s="8">
        <f>_xlfn.XLOOKUP(CustomerCombined[[#This Row],[ID]], Table2[ID],Table2[MC1], "Not Found", 0 )</f>
        <v>0</v>
      </c>
      <c r="Z638" s="8">
        <f>_xlfn.XLOOKUP(CustomerCombined[[#This Row],[ID]], Table2[ID],Table2[MC2], "Not Found", 0 )</f>
        <v>0</v>
      </c>
      <c r="AA638" s="8">
        <f>_xlfn.XLOOKUP(CustomerCombined[[#This Row],[ID]], Table2[ID],Table2[MC3], "Not Found", 0 )</f>
        <v>0</v>
      </c>
      <c r="AB638" s="8">
        <f>_xlfn.XLOOKUP(CustomerCombined[[#This Row],[ID]], Table2[ID],Table2[MC4], "Not Found", 0 )</f>
        <v>0</v>
      </c>
      <c r="AC638" s="8">
        <f>_xlfn.XLOOKUP(CustomerCombined[[#This Row],[ID]], Table2[ID],Table2[MC5], "Not Found", 0 )</f>
        <v>0</v>
      </c>
    </row>
    <row r="639" spans="1:29" x14ac:dyDescent="0.3">
      <c r="A639" s="6">
        <v>1026</v>
      </c>
      <c r="B639" s="6">
        <v>153359</v>
      </c>
      <c r="C639" s="6">
        <v>1</v>
      </c>
      <c r="D639" s="6">
        <v>1</v>
      </c>
      <c r="E639" s="6">
        <v>44</v>
      </c>
      <c r="F639" s="5" t="s">
        <v>6</v>
      </c>
      <c r="G639" s="5" t="s">
        <v>11</v>
      </c>
      <c r="H639" s="3">
        <v>43476</v>
      </c>
      <c r="I639" s="5" t="s">
        <v>436</v>
      </c>
      <c r="J639" s="5">
        <f>_xlfn.XLOOKUP(CustomerCombined[[#This Row],[ID]], Table4[ID], Table4[Recency], "Not Found", 0)</f>
        <v>4</v>
      </c>
      <c r="K639" s="5">
        <f>_xlfn.XLOOKUP(CustomerCombined[[#This Row],[ID]], Table4[ID], Table4[Teas], "Not Found", 0)</f>
        <v>497</v>
      </c>
      <c r="L639" s="5">
        <f>_xlfn.XLOOKUP(CustomerCombined[[#This Row],[ID]], Table4[ID], Table4[Fruits], "Not Found", 0)</f>
        <v>11</v>
      </c>
      <c r="M639" s="5">
        <f>_xlfn.XLOOKUP(CustomerCombined[[#This Row],[ID]], Table4[ID], Table4[Meats], "Not Found", 0)</f>
        <v>86</v>
      </c>
      <c r="N639" s="5">
        <f>_xlfn.XLOOKUP(CustomerCombined[[#This Row],[ID]], Table4[ID], Table4[Seafood], "Not Found", 0)</f>
        <v>9</v>
      </c>
      <c r="O639" s="5">
        <f>_xlfn.XLOOKUP(CustomerCombined[[#This Row],[ID]], Table4[ID], Table4[Sweets], "Not Found", 0)</f>
        <v>17</v>
      </c>
      <c r="P639" s="5">
        <f>_xlfn.XLOOKUP(CustomerCombined[[#This Row],[ID]], Table4[ID], Table4[Premium], "Not Found", 0)</f>
        <v>118</v>
      </c>
      <c r="Q639" s="5">
        <f>_xlfn.XLOOKUP(CustomerCombined[[#This Row],[ID]], Table4[ID], Table4[Regular], "Not Found", 0)</f>
        <v>503</v>
      </c>
      <c r="R639" s="5">
        <f>_xlfn.XLOOKUP(CustomerCombined[[#This Row],[ID]], Table4[ID], Table4[Deals], "Not Found", 0)</f>
        <v>4</v>
      </c>
      <c r="S639" s="5">
        <f>_xlfn.XLOOKUP(CustomerCombined[[#This Row],[ID]], Table4[ID], Table4[Website], "Not Found", 0)</f>
        <v>5</v>
      </c>
      <c r="T639" s="5">
        <f>_xlfn.XLOOKUP(CustomerCombined[[#This Row],[ID]], Table4[ID], Table4[Catalog], "Not Found", 0)</f>
        <v>1</v>
      </c>
      <c r="U639" s="5">
        <f>_xlfn.XLOOKUP(CustomerCombined[[#This Row],[ID]], Table4[ID], Table4[Store], "Not Found", 0)</f>
        <v>4</v>
      </c>
      <c r="V639" s="5">
        <f>_xlfn.XLOOKUP(CustomerCombined[[#This Row],[ID]], Table4[ID], Table4[Visits], "Not Found", 0)</f>
        <v>7</v>
      </c>
      <c r="W639" s="8">
        <f>_xlfn.XLOOKUP(CustomerCombined[[#This Row],[ID]], Table2[ID],Table2[Complaint], "Not Found", 0 )</f>
        <v>0</v>
      </c>
      <c r="X639" s="8">
        <f>_xlfn.XLOOKUP(CustomerCombined[[#This Row],[ID]], Table2[ID],Table2[Pilot], "Not Found", 0 )</f>
        <v>0</v>
      </c>
      <c r="Y639" s="8">
        <f>_xlfn.XLOOKUP(CustomerCombined[[#This Row],[ID]], Table2[ID],Table2[MC1], "Not Found", 0 )</f>
        <v>0</v>
      </c>
      <c r="Z639" s="8">
        <f>_xlfn.XLOOKUP(CustomerCombined[[#This Row],[ID]], Table2[ID],Table2[MC2], "Not Found", 0 )</f>
        <v>0</v>
      </c>
      <c r="AA639" s="8">
        <f>_xlfn.XLOOKUP(CustomerCombined[[#This Row],[ID]], Table2[ID],Table2[MC3], "Not Found", 0 )</f>
        <v>0</v>
      </c>
      <c r="AB639" s="8">
        <f>_xlfn.XLOOKUP(CustomerCombined[[#This Row],[ID]], Table2[ID],Table2[MC4], "Not Found", 0 )</f>
        <v>0</v>
      </c>
      <c r="AC639" s="8">
        <f>_xlfn.XLOOKUP(CustomerCombined[[#This Row],[ID]], Table2[ID],Table2[MC5], "Not Found", 0 )</f>
        <v>0</v>
      </c>
    </row>
    <row r="640" spans="1:29" x14ac:dyDescent="0.3">
      <c r="A640" s="6">
        <v>3069</v>
      </c>
      <c r="B640" s="6">
        <v>153204</v>
      </c>
      <c r="C640" s="6">
        <v>1</v>
      </c>
      <c r="D640" s="6">
        <v>1</v>
      </c>
      <c r="E640" s="6">
        <v>44</v>
      </c>
      <c r="F640" s="5" t="s">
        <v>6</v>
      </c>
      <c r="G640" s="5" t="s">
        <v>12</v>
      </c>
      <c r="H640" s="3" t="s">
        <v>81</v>
      </c>
      <c r="I640" s="5" t="s">
        <v>435</v>
      </c>
      <c r="J640" s="5">
        <f>_xlfn.XLOOKUP(CustomerCombined[[#This Row],[ID]], Table4[ID], Table4[Recency], "Not Found", 0)</f>
        <v>40</v>
      </c>
      <c r="K640" s="5">
        <f>_xlfn.XLOOKUP(CustomerCombined[[#This Row],[ID]], Table4[ID], Table4[Teas], "Not Found", 0)</f>
        <v>84</v>
      </c>
      <c r="L640" s="5">
        <f>_xlfn.XLOOKUP(CustomerCombined[[#This Row],[ID]], Table4[ID], Table4[Fruits], "Not Found", 0)</f>
        <v>0</v>
      </c>
      <c r="M640" s="5">
        <f>_xlfn.XLOOKUP(CustomerCombined[[#This Row],[ID]], Table4[ID], Table4[Meats], "Not Found", 0)</f>
        <v>23</v>
      </c>
      <c r="N640" s="5">
        <f>_xlfn.XLOOKUP(CustomerCombined[[#This Row],[ID]], Table4[ID], Table4[Seafood], "Not Found", 0)</f>
        <v>6</v>
      </c>
      <c r="O640" s="5">
        <f>_xlfn.XLOOKUP(CustomerCombined[[#This Row],[ID]], Table4[ID], Table4[Sweets], "Not Found", 0)</f>
        <v>0</v>
      </c>
      <c r="P640" s="5">
        <f>_xlfn.XLOOKUP(CustomerCombined[[#This Row],[ID]], Table4[ID], Table4[Premium], "Not Found", 0)</f>
        <v>17</v>
      </c>
      <c r="Q640" s="5">
        <f>_xlfn.XLOOKUP(CustomerCombined[[#This Row],[ID]], Table4[ID], Table4[Regular], "Not Found", 0)</f>
        <v>95</v>
      </c>
      <c r="R640" s="5">
        <f>_xlfn.XLOOKUP(CustomerCombined[[#This Row],[ID]], Table4[ID], Table4[Deals], "Not Found", 0)</f>
        <v>1</v>
      </c>
      <c r="S640" s="5">
        <f>_xlfn.XLOOKUP(CustomerCombined[[#This Row],[ID]], Table4[ID], Table4[Website], "Not Found", 0)</f>
        <v>1</v>
      </c>
      <c r="T640" s="5">
        <f>_xlfn.XLOOKUP(CustomerCombined[[#This Row],[ID]], Table4[ID], Table4[Catalog], "Not Found", 0)</f>
        <v>0</v>
      </c>
      <c r="U640" s="5">
        <f>_xlfn.XLOOKUP(CustomerCombined[[#This Row],[ID]], Table4[ID], Table4[Store], "Not Found", 0)</f>
        <v>3</v>
      </c>
      <c r="V640" s="5">
        <f>_xlfn.XLOOKUP(CustomerCombined[[#This Row],[ID]], Table4[ID], Table4[Visits], "Not Found", 0)</f>
        <v>4</v>
      </c>
      <c r="W640" s="8">
        <f>_xlfn.XLOOKUP(CustomerCombined[[#This Row],[ID]], Table2[ID],Table2[Complaint], "Not Found", 0 )</f>
        <v>0</v>
      </c>
      <c r="X640" s="8">
        <f>_xlfn.XLOOKUP(CustomerCombined[[#This Row],[ID]], Table2[ID],Table2[Pilot], "Not Found", 0 )</f>
        <v>0</v>
      </c>
      <c r="Y640" s="8">
        <f>_xlfn.XLOOKUP(CustomerCombined[[#This Row],[ID]], Table2[ID],Table2[MC1], "Not Found", 0 )</f>
        <v>0</v>
      </c>
      <c r="Z640" s="8">
        <f>_xlfn.XLOOKUP(CustomerCombined[[#This Row],[ID]], Table2[ID],Table2[MC2], "Not Found", 0 )</f>
        <v>0</v>
      </c>
      <c r="AA640" s="8">
        <f>_xlfn.XLOOKUP(CustomerCombined[[#This Row],[ID]], Table2[ID],Table2[MC3], "Not Found", 0 )</f>
        <v>0</v>
      </c>
      <c r="AB640" s="8">
        <f>_xlfn.XLOOKUP(CustomerCombined[[#This Row],[ID]], Table2[ID],Table2[MC4], "Not Found", 0 )</f>
        <v>0</v>
      </c>
      <c r="AC640" s="8">
        <f>_xlfn.XLOOKUP(CustomerCombined[[#This Row],[ID]], Table2[ID],Table2[MC5], "Not Found", 0 )</f>
        <v>0</v>
      </c>
    </row>
    <row r="641" spans="1:29" x14ac:dyDescent="0.3">
      <c r="A641" s="6">
        <v>1932</v>
      </c>
      <c r="B641" s="6">
        <v>152190</v>
      </c>
      <c r="C641" s="6">
        <v>1</v>
      </c>
      <c r="D641" s="6">
        <v>1</v>
      </c>
      <c r="E641" s="6">
        <v>44</v>
      </c>
      <c r="F641" s="5" t="s">
        <v>8</v>
      </c>
      <c r="G641" s="5" t="s">
        <v>13</v>
      </c>
      <c r="H641" s="3">
        <v>44175</v>
      </c>
      <c r="I641" s="5" t="s">
        <v>436</v>
      </c>
      <c r="J641" s="5">
        <f>_xlfn.XLOOKUP(CustomerCombined[[#This Row],[ID]], Table4[ID], Table4[Recency], "Not Found", 0)</f>
        <v>39</v>
      </c>
      <c r="K641" s="5">
        <f>_xlfn.XLOOKUP(CustomerCombined[[#This Row],[ID]], Table4[ID], Table4[Teas], "Not Found", 0)</f>
        <v>122</v>
      </c>
      <c r="L641" s="5">
        <f>_xlfn.XLOOKUP(CustomerCombined[[#This Row],[ID]], Table4[ID], Table4[Fruits], "Not Found", 0)</f>
        <v>0</v>
      </c>
      <c r="M641" s="5">
        <f>_xlfn.XLOOKUP(CustomerCombined[[#This Row],[ID]], Table4[ID], Table4[Meats], "Not Found", 0)</f>
        <v>50</v>
      </c>
      <c r="N641" s="5">
        <f>_xlfn.XLOOKUP(CustomerCombined[[#This Row],[ID]], Table4[ID], Table4[Seafood], "Not Found", 0)</f>
        <v>0</v>
      </c>
      <c r="O641" s="5">
        <f>_xlfn.XLOOKUP(CustomerCombined[[#This Row],[ID]], Table4[ID], Table4[Sweets], "Not Found", 0)</f>
        <v>0</v>
      </c>
      <c r="P641" s="5">
        <f>_xlfn.XLOOKUP(CustomerCombined[[#This Row],[ID]], Table4[ID], Table4[Premium], "Not Found", 0)</f>
        <v>52</v>
      </c>
      <c r="Q641" s="5">
        <f>_xlfn.XLOOKUP(CustomerCombined[[#This Row],[ID]], Table4[ID], Table4[Regular], "Not Found", 0)</f>
        <v>120</v>
      </c>
      <c r="R641" s="5">
        <f>_xlfn.XLOOKUP(CustomerCombined[[#This Row],[ID]], Table4[ID], Table4[Deals], "Not Found", 0)</f>
        <v>3</v>
      </c>
      <c r="S641" s="5">
        <f>_xlfn.XLOOKUP(CustomerCombined[[#This Row],[ID]], Table4[ID], Table4[Website], "Not Found", 0)</f>
        <v>2</v>
      </c>
      <c r="T641" s="5">
        <f>_xlfn.XLOOKUP(CustomerCombined[[#This Row],[ID]], Table4[ID], Table4[Catalog], "Not Found", 0)</f>
        <v>1</v>
      </c>
      <c r="U641" s="5">
        <f>_xlfn.XLOOKUP(CustomerCombined[[#This Row],[ID]], Table4[ID], Table4[Store], "Not Found", 0)</f>
        <v>3</v>
      </c>
      <c r="V641" s="5">
        <f>_xlfn.XLOOKUP(CustomerCombined[[#This Row],[ID]], Table4[ID], Table4[Visits], "Not Found", 0)</f>
        <v>5</v>
      </c>
      <c r="W641" s="8">
        <f>_xlfn.XLOOKUP(CustomerCombined[[#This Row],[ID]], Table2[ID],Table2[Complaint], "Not Found", 0 )</f>
        <v>0</v>
      </c>
      <c r="X641" s="8">
        <f>_xlfn.XLOOKUP(CustomerCombined[[#This Row],[ID]], Table2[ID],Table2[Pilot], "Not Found", 0 )</f>
        <v>0</v>
      </c>
      <c r="Y641" s="8">
        <f>_xlfn.XLOOKUP(CustomerCombined[[#This Row],[ID]], Table2[ID],Table2[MC1], "Not Found", 0 )</f>
        <v>0</v>
      </c>
      <c r="Z641" s="8">
        <f>_xlfn.XLOOKUP(CustomerCombined[[#This Row],[ID]], Table2[ID],Table2[MC2], "Not Found", 0 )</f>
        <v>0</v>
      </c>
      <c r="AA641" s="8">
        <f>_xlfn.XLOOKUP(CustomerCombined[[#This Row],[ID]], Table2[ID],Table2[MC3], "Not Found", 0 )</f>
        <v>1</v>
      </c>
      <c r="AB641" s="8">
        <f>_xlfn.XLOOKUP(CustomerCombined[[#This Row],[ID]], Table2[ID],Table2[MC4], "Not Found", 0 )</f>
        <v>0</v>
      </c>
      <c r="AC641" s="8">
        <f>_xlfn.XLOOKUP(CustomerCombined[[#This Row],[ID]], Table2[ID],Table2[MC5], "Not Found", 0 )</f>
        <v>0</v>
      </c>
    </row>
    <row r="642" spans="1:29" x14ac:dyDescent="0.3">
      <c r="A642" s="6">
        <v>1169</v>
      </c>
      <c r="B642" s="6">
        <v>151650</v>
      </c>
      <c r="C642" s="6">
        <v>0</v>
      </c>
      <c r="D642" s="6">
        <v>1</v>
      </c>
      <c r="E642" s="6">
        <v>44</v>
      </c>
      <c r="F642" s="5" t="s">
        <v>6</v>
      </c>
      <c r="G642" s="5" t="s">
        <v>13</v>
      </c>
      <c r="H642" s="3" t="s">
        <v>53</v>
      </c>
      <c r="I642" s="5" t="s">
        <v>434</v>
      </c>
      <c r="J642" s="5">
        <f>_xlfn.XLOOKUP(CustomerCombined[[#This Row],[ID]], Table4[ID], Table4[Recency], "Not Found", 0)</f>
        <v>81</v>
      </c>
      <c r="K642" s="5">
        <f>_xlfn.XLOOKUP(CustomerCombined[[#This Row],[ID]], Table4[ID], Table4[Teas], "Not Found", 0)</f>
        <v>446</v>
      </c>
      <c r="L642" s="5">
        <f>_xlfn.XLOOKUP(CustomerCombined[[#This Row],[ID]], Table4[ID], Table4[Fruits], "Not Found", 0)</f>
        <v>9</v>
      </c>
      <c r="M642" s="5">
        <f>_xlfn.XLOOKUP(CustomerCombined[[#This Row],[ID]], Table4[ID], Table4[Meats], "Not Found", 0)</f>
        <v>65</v>
      </c>
      <c r="N642" s="5">
        <f>_xlfn.XLOOKUP(CustomerCombined[[#This Row],[ID]], Table4[ID], Table4[Seafood], "Not Found", 0)</f>
        <v>6</v>
      </c>
      <c r="O642" s="5">
        <f>_xlfn.XLOOKUP(CustomerCombined[[#This Row],[ID]], Table4[ID], Table4[Sweets], "Not Found", 0)</f>
        <v>15</v>
      </c>
      <c r="P642" s="5">
        <f>_xlfn.XLOOKUP(CustomerCombined[[#This Row],[ID]], Table4[ID], Table4[Premium], "Not Found", 0)</f>
        <v>21</v>
      </c>
      <c r="Q642" s="5">
        <f>_xlfn.XLOOKUP(CustomerCombined[[#This Row],[ID]], Table4[ID], Table4[Regular], "Not Found", 0)</f>
        <v>520</v>
      </c>
      <c r="R642" s="5">
        <f>_xlfn.XLOOKUP(CustomerCombined[[#This Row],[ID]], Table4[ID], Table4[Deals], "Not Found", 0)</f>
        <v>1</v>
      </c>
      <c r="S642" s="5">
        <f>_xlfn.XLOOKUP(CustomerCombined[[#This Row],[ID]], Table4[ID], Table4[Website], "Not Found", 0)</f>
        <v>4</v>
      </c>
      <c r="T642" s="5">
        <f>_xlfn.XLOOKUP(CustomerCombined[[#This Row],[ID]], Table4[ID], Table4[Catalog], "Not Found", 0)</f>
        <v>1</v>
      </c>
      <c r="U642" s="5">
        <f>_xlfn.XLOOKUP(CustomerCombined[[#This Row],[ID]], Table4[ID], Table4[Store], "Not Found", 0)</f>
        <v>4</v>
      </c>
      <c r="V642" s="5">
        <f>_xlfn.XLOOKUP(CustomerCombined[[#This Row],[ID]], Table4[ID], Table4[Visits], "Not Found", 0)</f>
        <v>5</v>
      </c>
      <c r="W642" s="8">
        <f>_xlfn.XLOOKUP(CustomerCombined[[#This Row],[ID]], Table2[ID],Table2[Complaint], "Not Found", 0 )</f>
        <v>0</v>
      </c>
      <c r="X642" s="8">
        <f>_xlfn.XLOOKUP(CustomerCombined[[#This Row],[ID]], Table2[ID],Table2[Pilot], "Not Found", 0 )</f>
        <v>0</v>
      </c>
      <c r="Y642" s="8">
        <f>_xlfn.XLOOKUP(CustomerCombined[[#This Row],[ID]], Table2[ID],Table2[MC1], "Not Found", 0 )</f>
        <v>0</v>
      </c>
      <c r="Z642" s="8">
        <f>_xlfn.XLOOKUP(CustomerCombined[[#This Row],[ID]], Table2[ID],Table2[MC2], "Not Found", 0 )</f>
        <v>0</v>
      </c>
      <c r="AA642" s="8">
        <f>_xlfn.XLOOKUP(CustomerCombined[[#This Row],[ID]], Table2[ID],Table2[MC3], "Not Found", 0 )</f>
        <v>0</v>
      </c>
      <c r="AB642" s="8">
        <f>_xlfn.XLOOKUP(CustomerCombined[[#This Row],[ID]], Table2[ID],Table2[MC4], "Not Found", 0 )</f>
        <v>0</v>
      </c>
      <c r="AC642" s="8">
        <f>_xlfn.XLOOKUP(CustomerCombined[[#This Row],[ID]], Table2[ID],Table2[MC5], "Not Found", 0 )</f>
        <v>0</v>
      </c>
    </row>
    <row r="643" spans="1:29" x14ac:dyDescent="0.3">
      <c r="A643" s="6">
        <v>1214</v>
      </c>
      <c r="B643" s="6">
        <v>151369</v>
      </c>
      <c r="C643" s="6">
        <v>0</v>
      </c>
      <c r="D643" s="6">
        <v>1</v>
      </c>
      <c r="E643" s="6">
        <v>44</v>
      </c>
      <c r="F643" s="5" t="s">
        <v>8</v>
      </c>
      <c r="G643" s="5" t="s">
        <v>11</v>
      </c>
      <c r="H643" s="3">
        <v>43469</v>
      </c>
      <c r="I643" s="5" t="s">
        <v>438</v>
      </c>
      <c r="J643" s="5">
        <f>_xlfn.XLOOKUP(CustomerCombined[[#This Row],[ID]], Table4[ID], Table4[Recency], "Not Found", 0)</f>
        <v>84</v>
      </c>
      <c r="K643" s="5">
        <f>_xlfn.XLOOKUP(CustomerCombined[[#This Row],[ID]], Table4[ID], Table4[Teas], "Not Found", 0)</f>
        <v>875</v>
      </c>
      <c r="L643" s="5">
        <f>_xlfn.XLOOKUP(CustomerCombined[[#This Row],[ID]], Table4[ID], Table4[Fruits], "Not Found", 0)</f>
        <v>21</v>
      </c>
      <c r="M643" s="5">
        <f>_xlfn.XLOOKUP(CustomerCombined[[#This Row],[ID]], Table4[ID], Table4[Meats], "Not Found", 0)</f>
        <v>233</v>
      </c>
      <c r="N643" s="5">
        <f>_xlfn.XLOOKUP(CustomerCombined[[#This Row],[ID]], Table4[ID], Table4[Seafood], "Not Found", 0)</f>
        <v>0</v>
      </c>
      <c r="O643" s="5">
        <f>_xlfn.XLOOKUP(CustomerCombined[[#This Row],[ID]], Table4[ID], Table4[Sweets], "Not Found", 0)</f>
        <v>32</v>
      </c>
      <c r="P643" s="5">
        <f>_xlfn.XLOOKUP(CustomerCombined[[#This Row],[ID]], Table4[ID], Table4[Premium], "Not Found", 0)</f>
        <v>536</v>
      </c>
      <c r="Q643" s="5">
        <f>_xlfn.XLOOKUP(CustomerCombined[[#This Row],[ID]], Table4[ID], Table4[Regular], "Not Found", 0)</f>
        <v>625</v>
      </c>
      <c r="R643" s="5">
        <f>_xlfn.XLOOKUP(CustomerCombined[[#This Row],[ID]], Table4[ID], Table4[Deals], "Not Found", 0)</f>
        <v>2</v>
      </c>
      <c r="S643" s="5">
        <f>_xlfn.XLOOKUP(CustomerCombined[[#This Row],[ID]], Table4[ID], Table4[Website], "Not Found", 0)</f>
        <v>8</v>
      </c>
      <c r="T643" s="5">
        <f>_xlfn.XLOOKUP(CustomerCombined[[#This Row],[ID]], Table4[ID], Table4[Catalog], "Not Found", 0)</f>
        <v>2</v>
      </c>
      <c r="U643" s="5">
        <f>_xlfn.XLOOKUP(CustomerCombined[[#This Row],[ID]], Table4[ID], Table4[Store], "Not Found", 0)</f>
        <v>4</v>
      </c>
      <c r="V643" s="5">
        <f>_xlfn.XLOOKUP(CustomerCombined[[#This Row],[ID]], Table4[ID], Table4[Visits], "Not Found", 0)</f>
        <v>8</v>
      </c>
      <c r="W643" s="8">
        <f>_xlfn.XLOOKUP(CustomerCombined[[#This Row],[ID]], Table2[ID],Table2[Complaint], "Not Found", 0 )</f>
        <v>0</v>
      </c>
      <c r="X643" s="8">
        <f>_xlfn.XLOOKUP(CustomerCombined[[#This Row],[ID]], Table2[ID],Table2[Pilot], "Not Found", 0 )</f>
        <v>0</v>
      </c>
      <c r="Y643" s="8">
        <f>_xlfn.XLOOKUP(CustomerCombined[[#This Row],[ID]], Table2[ID],Table2[MC1], "Not Found", 0 )</f>
        <v>0</v>
      </c>
      <c r="Z643" s="8">
        <f>_xlfn.XLOOKUP(CustomerCombined[[#This Row],[ID]], Table2[ID],Table2[MC2], "Not Found", 0 )</f>
        <v>0</v>
      </c>
      <c r="AA643" s="8">
        <f>_xlfn.XLOOKUP(CustomerCombined[[#This Row],[ID]], Table2[ID],Table2[MC3], "Not Found", 0 )</f>
        <v>0</v>
      </c>
      <c r="AB643" s="8">
        <f>_xlfn.XLOOKUP(CustomerCombined[[#This Row],[ID]], Table2[ID],Table2[MC4], "Not Found", 0 )</f>
        <v>0</v>
      </c>
      <c r="AC643" s="8">
        <f>_xlfn.XLOOKUP(CustomerCombined[[#This Row],[ID]], Table2[ID],Table2[MC5], "Not Found", 0 )</f>
        <v>0</v>
      </c>
    </row>
    <row r="644" spans="1:29" x14ac:dyDescent="0.3">
      <c r="A644" s="6">
        <v>1268</v>
      </c>
      <c r="B644" s="6">
        <v>151369</v>
      </c>
      <c r="C644" s="6">
        <v>0</v>
      </c>
      <c r="D644" s="6">
        <v>1</v>
      </c>
      <c r="E644" s="6">
        <v>44</v>
      </c>
      <c r="F644" s="5" t="s">
        <v>8</v>
      </c>
      <c r="G644" s="5" t="s">
        <v>11</v>
      </c>
      <c r="H644" s="3">
        <v>43469</v>
      </c>
      <c r="I644" s="5" t="s">
        <v>438</v>
      </c>
      <c r="J644" s="5">
        <f>_xlfn.XLOOKUP(CustomerCombined[[#This Row],[ID]], Table4[ID], Table4[Recency], "Not Found", 0)</f>
        <v>84</v>
      </c>
      <c r="K644" s="5">
        <f>_xlfn.XLOOKUP(CustomerCombined[[#This Row],[ID]], Table4[ID], Table4[Teas], "Not Found", 0)</f>
        <v>875</v>
      </c>
      <c r="L644" s="5">
        <f>_xlfn.XLOOKUP(CustomerCombined[[#This Row],[ID]], Table4[ID], Table4[Fruits], "Not Found", 0)</f>
        <v>21</v>
      </c>
      <c r="M644" s="5">
        <f>_xlfn.XLOOKUP(CustomerCombined[[#This Row],[ID]], Table4[ID], Table4[Meats], "Not Found", 0)</f>
        <v>233</v>
      </c>
      <c r="N644" s="5">
        <f>_xlfn.XLOOKUP(CustomerCombined[[#This Row],[ID]], Table4[ID], Table4[Seafood], "Not Found", 0)</f>
        <v>0</v>
      </c>
      <c r="O644" s="5">
        <f>_xlfn.XLOOKUP(CustomerCombined[[#This Row],[ID]], Table4[ID], Table4[Sweets], "Not Found", 0)</f>
        <v>32</v>
      </c>
      <c r="P644" s="5">
        <f>_xlfn.XLOOKUP(CustomerCombined[[#This Row],[ID]], Table4[ID], Table4[Premium], "Not Found", 0)</f>
        <v>536</v>
      </c>
      <c r="Q644" s="5">
        <f>_xlfn.XLOOKUP(CustomerCombined[[#This Row],[ID]], Table4[ID], Table4[Regular], "Not Found", 0)</f>
        <v>625</v>
      </c>
      <c r="R644" s="5">
        <f>_xlfn.XLOOKUP(CustomerCombined[[#This Row],[ID]], Table4[ID], Table4[Deals], "Not Found", 0)</f>
        <v>2</v>
      </c>
      <c r="S644" s="5">
        <f>_xlfn.XLOOKUP(CustomerCombined[[#This Row],[ID]], Table4[ID], Table4[Website], "Not Found", 0)</f>
        <v>8</v>
      </c>
      <c r="T644" s="5">
        <f>_xlfn.XLOOKUP(CustomerCombined[[#This Row],[ID]], Table4[ID], Table4[Catalog], "Not Found", 0)</f>
        <v>2</v>
      </c>
      <c r="U644" s="5">
        <f>_xlfn.XLOOKUP(CustomerCombined[[#This Row],[ID]], Table4[ID], Table4[Store], "Not Found", 0)</f>
        <v>4</v>
      </c>
      <c r="V644" s="5">
        <f>_xlfn.XLOOKUP(CustomerCombined[[#This Row],[ID]], Table4[ID], Table4[Visits], "Not Found", 0)</f>
        <v>8</v>
      </c>
      <c r="W644" s="8">
        <f>_xlfn.XLOOKUP(CustomerCombined[[#This Row],[ID]], Table2[ID],Table2[Complaint], "Not Found", 0 )</f>
        <v>0</v>
      </c>
      <c r="X644" s="8">
        <f>_xlfn.XLOOKUP(CustomerCombined[[#This Row],[ID]], Table2[ID],Table2[Pilot], "Not Found", 0 )</f>
        <v>0</v>
      </c>
      <c r="Y644" s="8">
        <f>_xlfn.XLOOKUP(CustomerCombined[[#This Row],[ID]], Table2[ID],Table2[MC1], "Not Found", 0 )</f>
        <v>0</v>
      </c>
      <c r="Z644" s="8">
        <f>_xlfn.XLOOKUP(CustomerCombined[[#This Row],[ID]], Table2[ID],Table2[MC2], "Not Found", 0 )</f>
        <v>0</v>
      </c>
      <c r="AA644" s="8">
        <f>_xlfn.XLOOKUP(CustomerCombined[[#This Row],[ID]], Table2[ID],Table2[MC3], "Not Found", 0 )</f>
        <v>0</v>
      </c>
      <c r="AB644" s="8">
        <f>_xlfn.XLOOKUP(CustomerCombined[[#This Row],[ID]], Table2[ID],Table2[MC4], "Not Found", 0 )</f>
        <v>0</v>
      </c>
      <c r="AC644" s="8">
        <f>_xlfn.XLOOKUP(CustomerCombined[[#This Row],[ID]], Table2[ID],Table2[MC5], "Not Found", 0 )</f>
        <v>0</v>
      </c>
    </row>
    <row r="645" spans="1:29" x14ac:dyDescent="0.3">
      <c r="A645" s="6">
        <v>2286</v>
      </c>
      <c r="B645" s="6">
        <v>150200</v>
      </c>
      <c r="C645" s="6">
        <v>1</v>
      </c>
      <c r="D645" s="6">
        <v>1</v>
      </c>
      <c r="E645" s="6">
        <v>44</v>
      </c>
      <c r="F645" s="5" t="s">
        <v>8</v>
      </c>
      <c r="G645" s="5" t="s">
        <v>11</v>
      </c>
      <c r="H645" s="3">
        <v>43686</v>
      </c>
      <c r="I645" s="5" t="s">
        <v>436</v>
      </c>
      <c r="J645" s="5">
        <f>_xlfn.XLOOKUP(CustomerCombined[[#This Row],[ID]], Table4[ID], Table4[Recency], "Not Found", 0)</f>
        <v>70</v>
      </c>
      <c r="K645" s="5">
        <f>_xlfn.XLOOKUP(CustomerCombined[[#This Row],[ID]], Table4[ID], Table4[Teas], "Not Found", 0)</f>
        <v>796</v>
      </c>
      <c r="L645" s="5">
        <f>_xlfn.XLOOKUP(CustomerCombined[[#This Row],[ID]], Table4[ID], Table4[Fruits], "Not Found", 0)</f>
        <v>18</v>
      </c>
      <c r="M645" s="5">
        <f>_xlfn.XLOOKUP(CustomerCombined[[#This Row],[ID]], Table4[ID], Table4[Meats], "Not Found", 0)</f>
        <v>153</v>
      </c>
      <c r="N645" s="5">
        <f>_xlfn.XLOOKUP(CustomerCombined[[#This Row],[ID]], Table4[ID], Table4[Seafood], "Not Found", 0)</f>
        <v>24</v>
      </c>
      <c r="O645" s="5">
        <f>_xlfn.XLOOKUP(CustomerCombined[[#This Row],[ID]], Table4[ID], Table4[Sweets], "Not Found", 0)</f>
        <v>18</v>
      </c>
      <c r="P645" s="5">
        <f>_xlfn.XLOOKUP(CustomerCombined[[#This Row],[ID]], Table4[ID], Table4[Premium], "Not Found", 0)</f>
        <v>191</v>
      </c>
      <c r="Q645" s="5">
        <f>_xlfn.XLOOKUP(CustomerCombined[[#This Row],[ID]], Table4[ID], Table4[Regular], "Not Found", 0)</f>
        <v>817</v>
      </c>
      <c r="R645" s="5">
        <f>_xlfn.XLOOKUP(CustomerCombined[[#This Row],[ID]], Table4[ID], Table4[Deals], "Not Found", 0)</f>
        <v>6</v>
      </c>
      <c r="S645" s="5">
        <f>_xlfn.XLOOKUP(CustomerCombined[[#This Row],[ID]], Table4[ID], Table4[Website], "Not Found", 0)</f>
        <v>7</v>
      </c>
      <c r="T645" s="5">
        <f>_xlfn.XLOOKUP(CustomerCombined[[#This Row],[ID]], Table4[ID], Table4[Catalog], "Not Found", 0)</f>
        <v>1</v>
      </c>
      <c r="U645" s="5">
        <f>_xlfn.XLOOKUP(CustomerCombined[[#This Row],[ID]], Table4[ID], Table4[Store], "Not Found", 0)</f>
        <v>5</v>
      </c>
      <c r="V645" s="5">
        <f>_xlfn.XLOOKUP(CustomerCombined[[#This Row],[ID]], Table4[ID], Table4[Visits], "Not Found", 0)</f>
        <v>8</v>
      </c>
      <c r="W645" s="8">
        <f>_xlfn.XLOOKUP(CustomerCombined[[#This Row],[ID]], Table2[ID],Table2[Complaint], "Not Found", 0 )</f>
        <v>0</v>
      </c>
      <c r="X645" s="8">
        <f>_xlfn.XLOOKUP(CustomerCombined[[#This Row],[ID]], Table2[ID],Table2[Pilot], "Not Found", 0 )</f>
        <v>0</v>
      </c>
      <c r="Y645" s="8">
        <f>_xlfn.XLOOKUP(CustomerCombined[[#This Row],[ID]], Table2[ID],Table2[MC1], "Not Found", 0 )</f>
        <v>0</v>
      </c>
      <c r="Z645" s="8">
        <f>_xlfn.XLOOKUP(CustomerCombined[[#This Row],[ID]], Table2[ID],Table2[MC2], "Not Found", 0 )</f>
        <v>0</v>
      </c>
      <c r="AA645" s="8">
        <f>_xlfn.XLOOKUP(CustomerCombined[[#This Row],[ID]], Table2[ID],Table2[MC3], "Not Found", 0 )</f>
        <v>0</v>
      </c>
      <c r="AB645" s="8">
        <f>_xlfn.XLOOKUP(CustomerCombined[[#This Row],[ID]], Table2[ID],Table2[MC4], "Not Found", 0 )</f>
        <v>0</v>
      </c>
      <c r="AC645" s="8">
        <f>_xlfn.XLOOKUP(CustomerCombined[[#This Row],[ID]], Table2[ID],Table2[MC5], "Not Found", 0 )</f>
        <v>0</v>
      </c>
    </row>
    <row r="646" spans="1:29" x14ac:dyDescent="0.3">
      <c r="A646" s="6">
        <v>1786</v>
      </c>
      <c r="B646" s="6">
        <v>149681</v>
      </c>
      <c r="C646" s="6">
        <v>0</v>
      </c>
      <c r="D646" s="6">
        <v>2</v>
      </c>
      <c r="E646" s="6">
        <v>44</v>
      </c>
      <c r="F646" s="5" t="s">
        <v>6</v>
      </c>
      <c r="G646" s="5" t="s">
        <v>12</v>
      </c>
      <c r="H646" s="3">
        <v>44108</v>
      </c>
      <c r="I646" s="5" t="s">
        <v>439</v>
      </c>
      <c r="J646" s="5">
        <f>_xlfn.XLOOKUP(CustomerCombined[[#This Row],[ID]], Table4[ID], Table4[Recency], "Not Found", 0)</f>
        <v>66</v>
      </c>
      <c r="K646" s="5">
        <f>_xlfn.XLOOKUP(CustomerCombined[[#This Row],[ID]], Table4[ID], Table4[Teas], "Not Found", 0)</f>
        <v>1238</v>
      </c>
      <c r="L646" s="5">
        <f>_xlfn.XLOOKUP(CustomerCombined[[#This Row],[ID]], Table4[ID], Table4[Fruits], "Not Found", 0)</f>
        <v>0</v>
      </c>
      <c r="M646" s="5">
        <f>_xlfn.XLOOKUP(CustomerCombined[[#This Row],[ID]], Table4[ID], Table4[Meats], "Not Found", 0)</f>
        <v>78</v>
      </c>
      <c r="N646" s="5">
        <f>_xlfn.XLOOKUP(CustomerCombined[[#This Row],[ID]], Table4[ID], Table4[Seafood], "Not Found", 0)</f>
        <v>0</v>
      </c>
      <c r="O646" s="5">
        <f>_xlfn.XLOOKUP(CustomerCombined[[#This Row],[ID]], Table4[ID], Table4[Sweets], "Not Found", 0)</f>
        <v>0</v>
      </c>
      <c r="P646" s="5">
        <f>_xlfn.XLOOKUP(CustomerCombined[[#This Row],[ID]], Table4[ID], Table4[Premium], "Not Found", 0)</f>
        <v>63</v>
      </c>
      <c r="Q646" s="5">
        <f>_xlfn.XLOOKUP(CustomerCombined[[#This Row],[ID]], Table4[ID], Table4[Regular], "Not Found", 0)</f>
        <v>1253</v>
      </c>
      <c r="R646" s="5">
        <f>_xlfn.XLOOKUP(CustomerCombined[[#This Row],[ID]], Table4[ID], Table4[Deals], "Not Found", 0)</f>
        <v>6</v>
      </c>
      <c r="S646" s="5">
        <f>_xlfn.XLOOKUP(CustomerCombined[[#This Row],[ID]], Table4[ID], Table4[Website], "Not Found", 0)</f>
        <v>7</v>
      </c>
      <c r="T646" s="5">
        <f>_xlfn.XLOOKUP(CustomerCombined[[#This Row],[ID]], Table4[ID], Table4[Catalog], "Not Found", 0)</f>
        <v>1</v>
      </c>
      <c r="U646" s="5">
        <f>_xlfn.XLOOKUP(CustomerCombined[[#This Row],[ID]], Table4[ID], Table4[Store], "Not Found", 0)</f>
        <v>7</v>
      </c>
      <c r="V646" s="5">
        <f>_xlfn.XLOOKUP(CustomerCombined[[#This Row],[ID]], Table4[ID], Table4[Visits], "Not Found", 0)</f>
        <v>7</v>
      </c>
      <c r="W646" s="8">
        <f>_xlfn.XLOOKUP(CustomerCombined[[#This Row],[ID]], Table2[ID],Table2[Complaint], "Not Found", 0 )</f>
        <v>0</v>
      </c>
      <c r="X646" s="8">
        <f>_xlfn.XLOOKUP(CustomerCombined[[#This Row],[ID]], Table2[ID],Table2[Pilot], "Not Found", 0 )</f>
        <v>0</v>
      </c>
      <c r="Y646" s="8">
        <f>_xlfn.XLOOKUP(CustomerCombined[[#This Row],[ID]], Table2[ID],Table2[MC1], "Not Found", 0 )</f>
        <v>0</v>
      </c>
      <c r="Z646" s="8">
        <f>_xlfn.XLOOKUP(CustomerCombined[[#This Row],[ID]], Table2[ID],Table2[MC2], "Not Found", 0 )</f>
        <v>0</v>
      </c>
      <c r="AA646" s="8">
        <f>_xlfn.XLOOKUP(CustomerCombined[[#This Row],[ID]], Table2[ID],Table2[MC3], "Not Found", 0 )</f>
        <v>0</v>
      </c>
      <c r="AB646" s="8">
        <f>_xlfn.XLOOKUP(CustomerCombined[[#This Row],[ID]], Table2[ID],Table2[MC4], "Not Found", 0 )</f>
        <v>0</v>
      </c>
      <c r="AC646" s="8">
        <f>_xlfn.XLOOKUP(CustomerCombined[[#This Row],[ID]], Table2[ID],Table2[MC5], "Not Found", 0 )</f>
        <v>0</v>
      </c>
    </row>
    <row r="647" spans="1:29" x14ac:dyDescent="0.3">
      <c r="A647" s="6">
        <v>2537</v>
      </c>
      <c r="B647" s="6">
        <v>149681</v>
      </c>
      <c r="C647" s="6">
        <v>0</v>
      </c>
      <c r="D647" s="6">
        <v>2</v>
      </c>
      <c r="E647" s="6">
        <v>44</v>
      </c>
      <c r="F647" s="5" t="s">
        <v>6</v>
      </c>
      <c r="G647" s="5" t="s">
        <v>12</v>
      </c>
      <c r="H647" s="3">
        <v>44108</v>
      </c>
      <c r="I647" s="5" t="s">
        <v>434</v>
      </c>
      <c r="J647" s="5">
        <f>_xlfn.XLOOKUP(CustomerCombined[[#This Row],[ID]], Table4[ID], Table4[Recency], "Not Found", 0)</f>
        <v>66</v>
      </c>
      <c r="K647" s="5">
        <f>_xlfn.XLOOKUP(CustomerCombined[[#This Row],[ID]], Table4[ID], Table4[Teas], "Not Found", 0)</f>
        <v>1238</v>
      </c>
      <c r="L647" s="5">
        <f>_xlfn.XLOOKUP(CustomerCombined[[#This Row],[ID]], Table4[ID], Table4[Fruits], "Not Found", 0)</f>
        <v>0</v>
      </c>
      <c r="M647" s="5">
        <f>_xlfn.XLOOKUP(CustomerCombined[[#This Row],[ID]], Table4[ID], Table4[Meats], "Not Found", 0)</f>
        <v>78</v>
      </c>
      <c r="N647" s="5">
        <f>_xlfn.XLOOKUP(CustomerCombined[[#This Row],[ID]], Table4[ID], Table4[Seafood], "Not Found", 0)</f>
        <v>0</v>
      </c>
      <c r="O647" s="5">
        <f>_xlfn.XLOOKUP(CustomerCombined[[#This Row],[ID]], Table4[ID], Table4[Sweets], "Not Found", 0)</f>
        <v>0</v>
      </c>
      <c r="P647" s="5">
        <f>_xlfn.XLOOKUP(CustomerCombined[[#This Row],[ID]], Table4[ID], Table4[Premium], "Not Found", 0)</f>
        <v>63</v>
      </c>
      <c r="Q647" s="5">
        <f>_xlfn.XLOOKUP(CustomerCombined[[#This Row],[ID]], Table4[ID], Table4[Regular], "Not Found", 0)</f>
        <v>1253</v>
      </c>
      <c r="R647" s="5">
        <f>_xlfn.XLOOKUP(CustomerCombined[[#This Row],[ID]], Table4[ID], Table4[Deals], "Not Found", 0)</f>
        <v>6</v>
      </c>
      <c r="S647" s="5">
        <f>_xlfn.XLOOKUP(CustomerCombined[[#This Row],[ID]], Table4[ID], Table4[Website], "Not Found", 0)</f>
        <v>7</v>
      </c>
      <c r="T647" s="5">
        <f>_xlfn.XLOOKUP(CustomerCombined[[#This Row],[ID]], Table4[ID], Table4[Catalog], "Not Found", 0)</f>
        <v>1</v>
      </c>
      <c r="U647" s="5">
        <f>_xlfn.XLOOKUP(CustomerCombined[[#This Row],[ID]], Table4[ID], Table4[Store], "Not Found", 0)</f>
        <v>7</v>
      </c>
      <c r="V647" s="5">
        <f>_xlfn.XLOOKUP(CustomerCombined[[#This Row],[ID]], Table4[ID], Table4[Visits], "Not Found", 0)</f>
        <v>7</v>
      </c>
      <c r="W647" s="8">
        <f>_xlfn.XLOOKUP(CustomerCombined[[#This Row],[ID]], Table2[ID],Table2[Complaint], "Not Found", 0 )</f>
        <v>0</v>
      </c>
      <c r="X647" s="8">
        <f>_xlfn.XLOOKUP(CustomerCombined[[#This Row],[ID]], Table2[ID],Table2[Pilot], "Not Found", 0 )</f>
        <v>0</v>
      </c>
      <c r="Y647" s="8">
        <f>_xlfn.XLOOKUP(CustomerCombined[[#This Row],[ID]], Table2[ID],Table2[MC1], "Not Found", 0 )</f>
        <v>0</v>
      </c>
      <c r="Z647" s="8">
        <f>_xlfn.XLOOKUP(CustomerCombined[[#This Row],[ID]], Table2[ID],Table2[MC2], "Not Found", 0 )</f>
        <v>0</v>
      </c>
      <c r="AA647" s="8">
        <f>_xlfn.XLOOKUP(CustomerCombined[[#This Row],[ID]], Table2[ID],Table2[MC3], "Not Found", 0 )</f>
        <v>0</v>
      </c>
      <c r="AB647" s="8">
        <f>_xlfn.XLOOKUP(CustomerCombined[[#This Row],[ID]], Table2[ID],Table2[MC4], "Not Found", 0 )</f>
        <v>0</v>
      </c>
      <c r="AC647" s="8">
        <f>_xlfn.XLOOKUP(CustomerCombined[[#This Row],[ID]], Table2[ID],Table2[MC5], "Not Found", 0 )</f>
        <v>0</v>
      </c>
    </row>
    <row r="648" spans="1:29" x14ac:dyDescent="0.3">
      <c r="A648" s="6">
        <v>2653</v>
      </c>
      <c r="B648" s="6">
        <v>149544</v>
      </c>
      <c r="C648" s="6">
        <v>1</v>
      </c>
      <c r="D648" s="6">
        <v>0</v>
      </c>
      <c r="E648" s="6">
        <v>44</v>
      </c>
      <c r="F648" s="5" t="s">
        <v>6</v>
      </c>
      <c r="G648" s="5" t="s">
        <v>13</v>
      </c>
      <c r="H648" s="3" t="s">
        <v>311</v>
      </c>
      <c r="I648" s="5" t="s">
        <v>437</v>
      </c>
      <c r="J648" s="5">
        <f>_xlfn.XLOOKUP(CustomerCombined[[#This Row],[ID]], Table4[ID], Table4[Recency], "Not Found", 0)</f>
        <v>0</v>
      </c>
      <c r="K648" s="5">
        <f>_xlfn.XLOOKUP(CustomerCombined[[#This Row],[ID]], Table4[ID], Table4[Teas], "Not Found", 0)</f>
        <v>930</v>
      </c>
      <c r="L648" s="5">
        <f>_xlfn.XLOOKUP(CustomerCombined[[#This Row],[ID]], Table4[ID], Table4[Fruits], "Not Found", 0)</f>
        <v>0</v>
      </c>
      <c r="M648" s="5">
        <f>_xlfn.XLOOKUP(CustomerCombined[[#This Row],[ID]], Table4[ID], Table4[Meats], "Not Found", 0)</f>
        <v>220</v>
      </c>
      <c r="N648" s="5">
        <f>_xlfn.XLOOKUP(CustomerCombined[[#This Row],[ID]], Table4[ID], Table4[Seafood], "Not Found", 0)</f>
        <v>0</v>
      </c>
      <c r="O648" s="5">
        <f>_xlfn.XLOOKUP(CustomerCombined[[#This Row],[ID]], Table4[ID], Table4[Sweets], "Not Found", 0)</f>
        <v>0</v>
      </c>
      <c r="P648" s="5">
        <f>_xlfn.XLOOKUP(CustomerCombined[[#This Row],[ID]], Table4[ID], Table4[Premium], "Not Found", 0)</f>
        <v>69</v>
      </c>
      <c r="Q648" s="5">
        <f>_xlfn.XLOOKUP(CustomerCombined[[#This Row],[ID]], Table4[ID], Table4[Regular], "Not Found", 0)</f>
        <v>1081</v>
      </c>
      <c r="R648" s="5">
        <f>_xlfn.XLOOKUP(CustomerCombined[[#This Row],[ID]], Table4[ID], Table4[Deals], "Not Found", 0)</f>
        <v>2</v>
      </c>
      <c r="S648" s="5">
        <f>_xlfn.XLOOKUP(CustomerCombined[[#This Row],[ID]], Table4[ID], Table4[Website], "Not Found", 0)</f>
        <v>5</v>
      </c>
      <c r="T648" s="5">
        <f>_xlfn.XLOOKUP(CustomerCombined[[#This Row],[ID]], Table4[ID], Table4[Catalog], "Not Found", 0)</f>
        <v>1</v>
      </c>
      <c r="U648" s="5">
        <f>_xlfn.XLOOKUP(CustomerCombined[[#This Row],[ID]], Table4[ID], Table4[Store], "Not Found", 0)</f>
        <v>8</v>
      </c>
      <c r="V648" s="5">
        <f>_xlfn.XLOOKUP(CustomerCombined[[#This Row],[ID]], Table4[ID], Table4[Visits], "Not Found", 0)</f>
        <v>7</v>
      </c>
      <c r="W648" s="8">
        <f>_xlfn.XLOOKUP(CustomerCombined[[#This Row],[ID]], Table2[ID],Table2[Complaint], "Not Found", 0 )</f>
        <v>0</v>
      </c>
      <c r="X648" s="8">
        <f>_xlfn.XLOOKUP(CustomerCombined[[#This Row],[ID]], Table2[ID],Table2[Pilot], "Not Found", 0 )</f>
        <v>0</v>
      </c>
      <c r="Y648" s="8">
        <f>_xlfn.XLOOKUP(CustomerCombined[[#This Row],[ID]], Table2[ID],Table2[MC1], "Not Found", 0 )</f>
        <v>0</v>
      </c>
      <c r="Z648" s="8">
        <f>_xlfn.XLOOKUP(CustomerCombined[[#This Row],[ID]], Table2[ID],Table2[MC2], "Not Found", 0 )</f>
        <v>0</v>
      </c>
      <c r="AA648" s="8">
        <f>_xlfn.XLOOKUP(CustomerCombined[[#This Row],[ID]], Table2[ID],Table2[MC3], "Not Found", 0 )</f>
        <v>0</v>
      </c>
      <c r="AB648" s="8">
        <f>_xlfn.XLOOKUP(CustomerCombined[[#This Row],[ID]], Table2[ID],Table2[MC4], "Not Found", 0 )</f>
        <v>0</v>
      </c>
      <c r="AC648" s="8">
        <f>_xlfn.XLOOKUP(CustomerCombined[[#This Row],[ID]], Table2[ID],Table2[MC5], "Not Found", 0 )</f>
        <v>0</v>
      </c>
    </row>
    <row r="649" spans="1:29" x14ac:dyDescent="0.3">
      <c r="A649" s="6">
        <v>1992</v>
      </c>
      <c r="B649" s="6">
        <v>149187</v>
      </c>
      <c r="C649" s="6">
        <v>0</v>
      </c>
      <c r="D649" s="6">
        <v>1</v>
      </c>
      <c r="E649" s="6">
        <v>44</v>
      </c>
      <c r="F649" s="5" t="s">
        <v>8</v>
      </c>
      <c r="G649" s="5" t="s">
        <v>13</v>
      </c>
      <c r="H649" s="3" t="s">
        <v>119</v>
      </c>
      <c r="I649" s="5" t="s">
        <v>436</v>
      </c>
      <c r="J649" s="5">
        <f>_xlfn.XLOOKUP(CustomerCombined[[#This Row],[ID]], Table4[ID], Table4[Recency], "Not Found", 0)</f>
        <v>63</v>
      </c>
      <c r="K649" s="5">
        <f>_xlfn.XLOOKUP(CustomerCombined[[#This Row],[ID]], Table4[ID], Table4[Teas], "Not Found", 0)</f>
        <v>246</v>
      </c>
      <c r="L649" s="5">
        <f>_xlfn.XLOOKUP(CustomerCombined[[#This Row],[ID]], Table4[ID], Table4[Fruits], "Not Found", 0)</f>
        <v>3</v>
      </c>
      <c r="M649" s="5">
        <f>_xlfn.XLOOKUP(CustomerCombined[[#This Row],[ID]], Table4[ID], Table4[Meats], "Not Found", 0)</f>
        <v>94</v>
      </c>
      <c r="N649" s="5">
        <f>_xlfn.XLOOKUP(CustomerCombined[[#This Row],[ID]], Table4[ID], Table4[Seafood], "Not Found", 0)</f>
        <v>6</v>
      </c>
      <c r="O649" s="5">
        <f>_xlfn.XLOOKUP(CustomerCombined[[#This Row],[ID]], Table4[ID], Table4[Sweets], "Not Found", 0)</f>
        <v>3</v>
      </c>
      <c r="P649" s="5">
        <f>_xlfn.XLOOKUP(CustomerCombined[[#This Row],[ID]], Table4[ID], Table4[Premium], "Not Found", 0)</f>
        <v>0</v>
      </c>
      <c r="Q649" s="5">
        <f>_xlfn.XLOOKUP(CustomerCombined[[#This Row],[ID]], Table4[ID], Table4[Regular], "Not Found", 0)</f>
        <v>352</v>
      </c>
      <c r="R649" s="5">
        <f>_xlfn.XLOOKUP(CustomerCombined[[#This Row],[ID]], Table4[ID], Table4[Deals], "Not Found", 0)</f>
        <v>1</v>
      </c>
      <c r="S649" s="5">
        <f>_xlfn.XLOOKUP(CustomerCombined[[#This Row],[ID]], Table4[ID], Table4[Website], "Not Found", 0)</f>
        <v>1</v>
      </c>
      <c r="T649" s="5">
        <f>_xlfn.XLOOKUP(CustomerCombined[[#This Row],[ID]], Table4[ID], Table4[Catalog], "Not Found", 0)</f>
        <v>1</v>
      </c>
      <c r="U649" s="5">
        <f>_xlfn.XLOOKUP(CustomerCombined[[#This Row],[ID]], Table4[ID], Table4[Store], "Not Found", 0)</f>
        <v>5</v>
      </c>
      <c r="V649" s="5">
        <f>_xlfn.XLOOKUP(CustomerCombined[[#This Row],[ID]], Table4[ID], Table4[Visits], "Not Found", 0)</f>
        <v>2</v>
      </c>
      <c r="W649" s="8">
        <f>_xlfn.XLOOKUP(CustomerCombined[[#This Row],[ID]], Table2[ID],Table2[Complaint], "Not Found", 0 )</f>
        <v>0</v>
      </c>
      <c r="X649" s="8">
        <f>_xlfn.XLOOKUP(CustomerCombined[[#This Row],[ID]], Table2[ID],Table2[Pilot], "Not Found", 0 )</f>
        <v>0</v>
      </c>
      <c r="Y649" s="8">
        <f>_xlfn.XLOOKUP(CustomerCombined[[#This Row],[ID]], Table2[ID],Table2[MC1], "Not Found", 0 )</f>
        <v>0</v>
      </c>
      <c r="Z649" s="8">
        <f>_xlfn.XLOOKUP(CustomerCombined[[#This Row],[ID]], Table2[ID],Table2[MC2], "Not Found", 0 )</f>
        <v>0</v>
      </c>
      <c r="AA649" s="8">
        <f>_xlfn.XLOOKUP(CustomerCombined[[#This Row],[ID]], Table2[ID],Table2[MC3], "Not Found", 0 )</f>
        <v>0</v>
      </c>
      <c r="AB649" s="8">
        <f>_xlfn.XLOOKUP(CustomerCombined[[#This Row],[ID]], Table2[ID],Table2[MC4], "Not Found", 0 )</f>
        <v>0</v>
      </c>
      <c r="AC649" s="8">
        <f>_xlfn.XLOOKUP(CustomerCombined[[#This Row],[ID]], Table2[ID],Table2[MC5], "Not Found", 0 )</f>
        <v>0</v>
      </c>
    </row>
    <row r="650" spans="1:29" x14ac:dyDescent="0.3">
      <c r="A650" s="6">
        <v>2346</v>
      </c>
      <c r="B650" s="6">
        <v>147025</v>
      </c>
      <c r="C650" s="6">
        <v>0</v>
      </c>
      <c r="D650" s="6">
        <v>1</v>
      </c>
      <c r="E650" s="6">
        <v>44</v>
      </c>
      <c r="F650" s="5" t="s">
        <v>7</v>
      </c>
      <c r="G650" s="5" t="s">
        <v>11</v>
      </c>
      <c r="H650" s="3" t="s">
        <v>156</v>
      </c>
      <c r="I650" s="5" t="s">
        <v>436</v>
      </c>
      <c r="J650" s="5">
        <f>_xlfn.XLOOKUP(CustomerCombined[[#This Row],[ID]], Table4[ID], Table4[Recency], "Not Found", 0)</f>
        <v>52</v>
      </c>
      <c r="K650" s="5">
        <f>_xlfn.XLOOKUP(CustomerCombined[[#This Row],[ID]], Table4[ID], Table4[Teas], "Not Found", 0)</f>
        <v>794</v>
      </c>
      <c r="L650" s="5">
        <f>_xlfn.XLOOKUP(CustomerCombined[[#This Row],[ID]], Table4[ID], Table4[Fruits], "Not Found", 0)</f>
        <v>22</v>
      </c>
      <c r="M650" s="5">
        <f>_xlfn.XLOOKUP(CustomerCombined[[#This Row],[ID]], Table4[ID], Table4[Meats], "Not Found", 0)</f>
        <v>338</v>
      </c>
      <c r="N650" s="5">
        <f>_xlfn.XLOOKUP(CustomerCombined[[#This Row],[ID]], Table4[ID], Table4[Seafood], "Not Found", 0)</f>
        <v>63</v>
      </c>
      <c r="O650" s="5">
        <f>_xlfn.XLOOKUP(CustomerCombined[[#This Row],[ID]], Table4[ID], Table4[Sweets], "Not Found", 0)</f>
        <v>0</v>
      </c>
      <c r="P650" s="5">
        <f>_xlfn.XLOOKUP(CustomerCombined[[#This Row],[ID]], Table4[ID], Table4[Premium], "Not Found", 0)</f>
        <v>81</v>
      </c>
      <c r="Q650" s="5">
        <f>_xlfn.XLOOKUP(CustomerCombined[[#This Row],[ID]], Table4[ID], Table4[Regular], "Not Found", 0)</f>
        <v>1135</v>
      </c>
      <c r="R650" s="5">
        <f>_xlfn.XLOOKUP(CustomerCombined[[#This Row],[ID]], Table4[ID], Table4[Deals], "Not Found", 0)</f>
        <v>3</v>
      </c>
      <c r="S650" s="5">
        <f>_xlfn.XLOOKUP(CustomerCombined[[#This Row],[ID]], Table4[ID], Table4[Website], "Not Found", 0)</f>
        <v>6</v>
      </c>
      <c r="T650" s="5">
        <f>_xlfn.XLOOKUP(CustomerCombined[[#This Row],[ID]], Table4[ID], Table4[Catalog], "Not Found", 0)</f>
        <v>3</v>
      </c>
      <c r="U650" s="5">
        <f>_xlfn.XLOOKUP(CustomerCombined[[#This Row],[ID]], Table4[ID], Table4[Store], "Not Found", 0)</f>
        <v>5</v>
      </c>
      <c r="V650" s="5">
        <f>_xlfn.XLOOKUP(CustomerCombined[[#This Row],[ID]], Table4[ID], Table4[Visits], "Not Found", 0)</f>
        <v>6</v>
      </c>
      <c r="W650" s="8">
        <f>_xlfn.XLOOKUP(CustomerCombined[[#This Row],[ID]], Table2[ID],Table2[Complaint], "Not Found", 0 )</f>
        <v>0</v>
      </c>
      <c r="X650" s="8">
        <f>_xlfn.XLOOKUP(CustomerCombined[[#This Row],[ID]], Table2[ID],Table2[Pilot], "Not Found", 0 )</f>
        <v>0</v>
      </c>
      <c r="Y650" s="8">
        <f>_xlfn.XLOOKUP(CustomerCombined[[#This Row],[ID]], Table2[ID],Table2[MC1], "Not Found", 0 )</f>
        <v>0</v>
      </c>
      <c r="Z650" s="8">
        <f>_xlfn.XLOOKUP(CustomerCombined[[#This Row],[ID]], Table2[ID],Table2[MC2], "Not Found", 0 )</f>
        <v>0</v>
      </c>
      <c r="AA650" s="8">
        <f>_xlfn.XLOOKUP(CustomerCombined[[#This Row],[ID]], Table2[ID],Table2[MC3], "Not Found", 0 )</f>
        <v>0</v>
      </c>
      <c r="AB650" s="8">
        <f>_xlfn.XLOOKUP(CustomerCombined[[#This Row],[ID]], Table2[ID],Table2[MC4], "Not Found", 0 )</f>
        <v>0</v>
      </c>
      <c r="AC650" s="8">
        <f>_xlfn.XLOOKUP(CustomerCombined[[#This Row],[ID]], Table2[ID],Table2[MC5], "Not Found", 0 )</f>
        <v>0</v>
      </c>
    </row>
    <row r="651" spans="1:29" x14ac:dyDescent="0.3">
      <c r="A651" s="6">
        <v>1475</v>
      </c>
      <c r="B651" s="6">
        <v>146310</v>
      </c>
      <c r="C651" s="6">
        <v>1</v>
      </c>
      <c r="D651" s="6">
        <v>0</v>
      </c>
      <c r="E651" s="6">
        <v>44</v>
      </c>
      <c r="F651" s="5" t="s">
        <v>5</v>
      </c>
      <c r="G651" s="5" t="s">
        <v>11</v>
      </c>
      <c r="H651" s="3">
        <v>43743</v>
      </c>
      <c r="I651" s="5" t="s">
        <v>434</v>
      </c>
      <c r="J651" s="5">
        <f>_xlfn.XLOOKUP(CustomerCombined[[#This Row],[ID]], Table4[ID], Table4[Recency], "Not Found", 0)</f>
        <v>99</v>
      </c>
      <c r="K651" s="5">
        <f>_xlfn.XLOOKUP(CustomerCombined[[#This Row],[ID]], Table4[ID], Table4[Teas], "Not Found", 0)</f>
        <v>584</v>
      </c>
      <c r="L651" s="5">
        <f>_xlfn.XLOOKUP(CustomerCombined[[#This Row],[ID]], Table4[ID], Table4[Fruits], "Not Found", 0)</f>
        <v>6</v>
      </c>
      <c r="M651" s="5">
        <f>_xlfn.XLOOKUP(CustomerCombined[[#This Row],[ID]], Table4[ID], Table4[Meats], "Not Found", 0)</f>
        <v>278</v>
      </c>
      <c r="N651" s="5">
        <f>_xlfn.XLOOKUP(CustomerCombined[[#This Row],[ID]], Table4[ID], Table4[Seafood], "Not Found", 0)</f>
        <v>47</v>
      </c>
      <c r="O651" s="5">
        <f>_xlfn.XLOOKUP(CustomerCombined[[#This Row],[ID]], Table4[ID], Table4[Sweets], "Not Found", 0)</f>
        <v>16</v>
      </c>
      <c r="P651" s="5">
        <f>_xlfn.XLOOKUP(CustomerCombined[[#This Row],[ID]], Table4[ID], Table4[Premium], "Not Found", 0)</f>
        <v>44</v>
      </c>
      <c r="Q651" s="5">
        <f>_xlfn.XLOOKUP(CustomerCombined[[#This Row],[ID]], Table4[ID], Table4[Regular], "Not Found", 0)</f>
        <v>888</v>
      </c>
      <c r="R651" s="5">
        <f>_xlfn.XLOOKUP(CustomerCombined[[#This Row],[ID]], Table4[ID], Table4[Deals], "Not Found", 0)</f>
        <v>2</v>
      </c>
      <c r="S651" s="5">
        <f>_xlfn.XLOOKUP(CustomerCombined[[#This Row],[ID]], Table4[ID], Table4[Website], "Not Found", 0)</f>
        <v>6</v>
      </c>
      <c r="T651" s="5">
        <f>_xlfn.XLOOKUP(CustomerCombined[[#This Row],[ID]], Table4[ID], Table4[Catalog], "Not Found", 0)</f>
        <v>1</v>
      </c>
      <c r="U651" s="5">
        <f>_xlfn.XLOOKUP(CustomerCombined[[#This Row],[ID]], Table4[ID], Table4[Store], "Not Found", 0)</f>
        <v>5</v>
      </c>
      <c r="V651" s="5">
        <f>_xlfn.XLOOKUP(CustomerCombined[[#This Row],[ID]], Table4[ID], Table4[Visits], "Not Found", 0)</f>
        <v>8</v>
      </c>
      <c r="W651" s="8">
        <f>_xlfn.XLOOKUP(CustomerCombined[[#This Row],[ID]], Table2[ID],Table2[Complaint], "Not Found", 0 )</f>
        <v>0</v>
      </c>
      <c r="X651" s="8">
        <f>_xlfn.XLOOKUP(CustomerCombined[[#This Row],[ID]], Table2[ID],Table2[Pilot], "Not Found", 0 )</f>
        <v>0</v>
      </c>
      <c r="Y651" s="8">
        <f>_xlfn.XLOOKUP(CustomerCombined[[#This Row],[ID]], Table2[ID],Table2[MC1], "Not Found", 0 )</f>
        <v>0</v>
      </c>
      <c r="Z651" s="8">
        <f>_xlfn.XLOOKUP(CustomerCombined[[#This Row],[ID]], Table2[ID],Table2[MC2], "Not Found", 0 )</f>
        <v>0</v>
      </c>
      <c r="AA651" s="8">
        <f>_xlfn.XLOOKUP(CustomerCombined[[#This Row],[ID]], Table2[ID],Table2[MC3], "Not Found", 0 )</f>
        <v>0</v>
      </c>
      <c r="AB651" s="8">
        <f>_xlfn.XLOOKUP(CustomerCombined[[#This Row],[ID]], Table2[ID],Table2[MC4], "Not Found", 0 )</f>
        <v>0</v>
      </c>
      <c r="AC651" s="8">
        <f>_xlfn.XLOOKUP(CustomerCombined[[#This Row],[ID]], Table2[ID],Table2[MC5], "Not Found", 0 )</f>
        <v>0</v>
      </c>
    </row>
    <row r="652" spans="1:29" x14ac:dyDescent="0.3">
      <c r="A652" s="6">
        <v>1935</v>
      </c>
      <c r="B652" s="6">
        <v>146106</v>
      </c>
      <c r="C652" s="6">
        <v>1</v>
      </c>
      <c r="D652" s="6">
        <v>1</v>
      </c>
      <c r="E652" s="6">
        <v>44</v>
      </c>
      <c r="F652" s="5" t="s">
        <v>8</v>
      </c>
      <c r="G652" s="5" t="s">
        <v>12</v>
      </c>
      <c r="H652" s="3" t="s">
        <v>53</v>
      </c>
      <c r="I652" s="5" t="s">
        <v>435</v>
      </c>
      <c r="J652" s="5">
        <f>_xlfn.XLOOKUP(CustomerCombined[[#This Row],[ID]], Table4[ID], Table4[Recency], "Not Found", 0)</f>
        <v>84</v>
      </c>
      <c r="K652" s="5">
        <f>_xlfn.XLOOKUP(CustomerCombined[[#This Row],[ID]], Table4[ID], Table4[Teas], "Not Found", 0)</f>
        <v>95</v>
      </c>
      <c r="L652" s="5">
        <f>_xlfn.XLOOKUP(CustomerCombined[[#This Row],[ID]], Table4[ID], Table4[Fruits], "Not Found", 0)</f>
        <v>0</v>
      </c>
      <c r="M652" s="5">
        <f>_xlfn.XLOOKUP(CustomerCombined[[#This Row],[ID]], Table4[ID], Table4[Meats], "Not Found", 0)</f>
        <v>25</v>
      </c>
      <c r="N652" s="5">
        <f>_xlfn.XLOOKUP(CustomerCombined[[#This Row],[ID]], Table4[ID], Table4[Seafood], "Not Found", 0)</f>
        <v>6</v>
      </c>
      <c r="O652" s="5">
        <f>_xlfn.XLOOKUP(CustomerCombined[[#This Row],[ID]], Table4[ID], Table4[Sweets], "Not Found", 0)</f>
        <v>0</v>
      </c>
      <c r="P652" s="5">
        <f>_xlfn.XLOOKUP(CustomerCombined[[#This Row],[ID]], Table4[ID], Table4[Premium], "Not Found", 0)</f>
        <v>44</v>
      </c>
      <c r="Q652" s="5">
        <f>_xlfn.XLOOKUP(CustomerCombined[[#This Row],[ID]], Table4[ID], Table4[Regular], "Not Found", 0)</f>
        <v>82</v>
      </c>
      <c r="R652" s="5">
        <f>_xlfn.XLOOKUP(CustomerCombined[[#This Row],[ID]], Table4[ID], Table4[Deals], "Not Found", 0)</f>
        <v>1</v>
      </c>
      <c r="S652" s="5">
        <f>_xlfn.XLOOKUP(CustomerCombined[[#This Row],[ID]], Table4[ID], Table4[Website], "Not Found", 0)</f>
        <v>1</v>
      </c>
      <c r="T652" s="5">
        <f>_xlfn.XLOOKUP(CustomerCombined[[#This Row],[ID]], Table4[ID], Table4[Catalog], "Not Found", 0)</f>
        <v>1</v>
      </c>
      <c r="U652" s="5">
        <f>_xlfn.XLOOKUP(CustomerCombined[[#This Row],[ID]], Table4[ID], Table4[Store], "Not Found", 0)</f>
        <v>2</v>
      </c>
      <c r="V652" s="5">
        <f>_xlfn.XLOOKUP(CustomerCombined[[#This Row],[ID]], Table4[ID], Table4[Visits], "Not Found", 0)</f>
        <v>6</v>
      </c>
      <c r="W652" s="8">
        <f>_xlfn.XLOOKUP(CustomerCombined[[#This Row],[ID]], Table2[ID],Table2[Complaint], "Not Found", 0 )</f>
        <v>0</v>
      </c>
      <c r="X652" s="8">
        <f>_xlfn.XLOOKUP(CustomerCombined[[#This Row],[ID]], Table2[ID],Table2[Pilot], "Not Found", 0 )</f>
        <v>0</v>
      </c>
      <c r="Y652" s="8">
        <f>_xlfn.XLOOKUP(CustomerCombined[[#This Row],[ID]], Table2[ID],Table2[MC1], "Not Found", 0 )</f>
        <v>0</v>
      </c>
      <c r="Z652" s="8">
        <f>_xlfn.XLOOKUP(CustomerCombined[[#This Row],[ID]], Table2[ID],Table2[MC2], "Not Found", 0 )</f>
        <v>0</v>
      </c>
      <c r="AA652" s="8">
        <f>_xlfn.XLOOKUP(CustomerCombined[[#This Row],[ID]], Table2[ID],Table2[MC3], "Not Found", 0 )</f>
        <v>0</v>
      </c>
      <c r="AB652" s="8">
        <f>_xlfn.XLOOKUP(CustomerCombined[[#This Row],[ID]], Table2[ID],Table2[MC4], "Not Found", 0 )</f>
        <v>0</v>
      </c>
      <c r="AC652" s="8">
        <f>_xlfn.XLOOKUP(CustomerCombined[[#This Row],[ID]], Table2[ID],Table2[MC5], "Not Found", 0 )</f>
        <v>0</v>
      </c>
    </row>
    <row r="653" spans="1:29" x14ac:dyDescent="0.3">
      <c r="A653" s="6">
        <v>2137</v>
      </c>
      <c r="B653" s="6">
        <v>146049</v>
      </c>
      <c r="C653" s="6">
        <v>1</v>
      </c>
      <c r="D653" s="6">
        <v>1</v>
      </c>
      <c r="E653" s="6">
        <v>44</v>
      </c>
      <c r="F653" s="5" t="s">
        <v>6</v>
      </c>
      <c r="G653" s="5" t="s">
        <v>11</v>
      </c>
      <c r="H653" s="3" t="s">
        <v>215</v>
      </c>
      <c r="I653" s="5" t="s">
        <v>437</v>
      </c>
      <c r="J653" s="5">
        <f>_xlfn.XLOOKUP(CustomerCombined[[#This Row],[ID]], Table4[ID], Table4[Recency], "Not Found", 0)</f>
        <v>11</v>
      </c>
      <c r="K653" s="5">
        <f>_xlfn.XLOOKUP(CustomerCombined[[#This Row],[ID]], Table4[ID], Table4[Teas], "Not Found", 0)</f>
        <v>1085</v>
      </c>
      <c r="L653" s="5">
        <f>_xlfn.XLOOKUP(CustomerCombined[[#This Row],[ID]], Table4[ID], Table4[Fruits], "Not Found", 0)</f>
        <v>29</v>
      </c>
      <c r="M653" s="5">
        <f>_xlfn.XLOOKUP(CustomerCombined[[#This Row],[ID]], Table4[ID], Table4[Meats], "Not Found", 0)</f>
        <v>355</v>
      </c>
      <c r="N653" s="5">
        <f>_xlfn.XLOOKUP(CustomerCombined[[#This Row],[ID]], Table4[ID], Table4[Seafood], "Not Found", 0)</f>
        <v>60</v>
      </c>
      <c r="O653" s="5">
        <f>_xlfn.XLOOKUP(CustomerCombined[[#This Row],[ID]], Table4[ID], Table4[Sweets], "Not Found", 0)</f>
        <v>44</v>
      </c>
      <c r="P653" s="5">
        <f>_xlfn.XLOOKUP(CustomerCombined[[#This Row],[ID]], Table4[ID], Table4[Premium], "Not Found", 0)</f>
        <v>60</v>
      </c>
      <c r="Q653" s="5">
        <f>_xlfn.XLOOKUP(CustomerCombined[[#This Row],[ID]], Table4[ID], Table4[Regular], "Not Found", 0)</f>
        <v>1513</v>
      </c>
      <c r="R653" s="5">
        <f>_xlfn.XLOOKUP(CustomerCombined[[#This Row],[ID]], Table4[ID], Table4[Deals], "Not Found", 0)</f>
        <v>10</v>
      </c>
      <c r="S653" s="5">
        <f>_xlfn.XLOOKUP(CustomerCombined[[#This Row],[ID]], Table4[ID], Table4[Website], "Not Found", 0)</f>
        <v>5</v>
      </c>
      <c r="T653" s="5">
        <f>_xlfn.XLOOKUP(CustomerCombined[[#This Row],[ID]], Table4[ID], Table4[Catalog], "Not Found", 0)</f>
        <v>2</v>
      </c>
      <c r="U653" s="5">
        <f>_xlfn.XLOOKUP(CustomerCombined[[#This Row],[ID]], Table4[ID], Table4[Store], "Not Found", 0)</f>
        <v>9</v>
      </c>
      <c r="V653" s="5">
        <f>_xlfn.XLOOKUP(CustomerCombined[[#This Row],[ID]], Table4[ID], Table4[Visits], "Not Found", 0)</f>
        <v>7</v>
      </c>
      <c r="W653" s="8">
        <f>_xlfn.XLOOKUP(CustomerCombined[[#This Row],[ID]], Table2[ID],Table2[Complaint], "Not Found", 0 )</f>
        <v>0</v>
      </c>
      <c r="X653" s="8">
        <f>_xlfn.XLOOKUP(CustomerCombined[[#This Row],[ID]], Table2[ID],Table2[Pilot], "Not Found", 0 )</f>
        <v>1</v>
      </c>
      <c r="Y653" s="8">
        <f>_xlfn.XLOOKUP(CustomerCombined[[#This Row],[ID]], Table2[ID],Table2[MC1], "Not Found", 0 )</f>
        <v>0</v>
      </c>
      <c r="Z653" s="8">
        <f>_xlfn.XLOOKUP(CustomerCombined[[#This Row],[ID]], Table2[ID],Table2[MC2], "Not Found", 0 )</f>
        <v>0</v>
      </c>
      <c r="AA653" s="8">
        <f>_xlfn.XLOOKUP(CustomerCombined[[#This Row],[ID]], Table2[ID],Table2[MC3], "Not Found", 0 )</f>
        <v>0</v>
      </c>
      <c r="AB653" s="8">
        <f>_xlfn.XLOOKUP(CustomerCombined[[#This Row],[ID]], Table2[ID],Table2[MC4], "Not Found", 0 )</f>
        <v>0</v>
      </c>
      <c r="AC653" s="8">
        <f>_xlfn.XLOOKUP(CustomerCombined[[#This Row],[ID]], Table2[ID],Table2[MC5], "Not Found", 0 )</f>
        <v>0</v>
      </c>
    </row>
    <row r="654" spans="1:29" x14ac:dyDescent="0.3">
      <c r="A654" s="6">
        <v>2756</v>
      </c>
      <c r="B654" s="6">
        <v>142473</v>
      </c>
      <c r="C654" s="6">
        <v>1</v>
      </c>
      <c r="D654" s="6">
        <v>1</v>
      </c>
      <c r="E654" s="6">
        <v>44</v>
      </c>
      <c r="F654" s="5" t="s">
        <v>7</v>
      </c>
      <c r="G654" s="5" t="s">
        <v>13</v>
      </c>
      <c r="H654" s="3" t="s">
        <v>96</v>
      </c>
      <c r="I654" s="5" t="s">
        <v>438</v>
      </c>
      <c r="J654" s="5">
        <f>_xlfn.XLOOKUP(CustomerCombined[[#This Row],[ID]], Table4[ID], Table4[Recency], "Not Found", 0)</f>
        <v>72</v>
      </c>
      <c r="K654" s="5">
        <f>_xlfn.XLOOKUP(CustomerCombined[[#This Row],[ID]], Table4[ID], Table4[Teas], "Not Found", 0)</f>
        <v>312</v>
      </c>
      <c r="L654" s="5">
        <f>_xlfn.XLOOKUP(CustomerCombined[[#This Row],[ID]], Table4[ID], Table4[Fruits], "Not Found", 0)</f>
        <v>3</v>
      </c>
      <c r="M654" s="5">
        <f>_xlfn.XLOOKUP(CustomerCombined[[#This Row],[ID]], Table4[ID], Table4[Meats], "Not Found", 0)</f>
        <v>70</v>
      </c>
      <c r="N654" s="5">
        <f>_xlfn.XLOOKUP(CustomerCombined[[#This Row],[ID]], Table4[ID], Table4[Seafood], "Not Found", 0)</f>
        <v>0</v>
      </c>
      <c r="O654" s="5">
        <f>_xlfn.XLOOKUP(CustomerCombined[[#This Row],[ID]], Table4[ID], Table4[Sweets], "Not Found", 0)</f>
        <v>13</v>
      </c>
      <c r="P654" s="5">
        <f>_xlfn.XLOOKUP(CustomerCombined[[#This Row],[ID]], Table4[ID], Table4[Premium], "Not Found", 0)</f>
        <v>84</v>
      </c>
      <c r="Q654" s="5">
        <f>_xlfn.XLOOKUP(CustomerCombined[[#This Row],[ID]], Table4[ID], Table4[Regular], "Not Found", 0)</f>
        <v>315</v>
      </c>
      <c r="R654" s="5">
        <f>_xlfn.XLOOKUP(CustomerCombined[[#This Row],[ID]], Table4[ID], Table4[Deals], "Not Found", 0)</f>
        <v>3</v>
      </c>
      <c r="S654" s="5">
        <f>_xlfn.XLOOKUP(CustomerCombined[[#This Row],[ID]], Table4[ID], Table4[Website], "Not Found", 0)</f>
        <v>2</v>
      </c>
      <c r="T654" s="5">
        <f>_xlfn.XLOOKUP(CustomerCombined[[#This Row],[ID]], Table4[ID], Table4[Catalog], "Not Found", 0)</f>
        <v>1</v>
      </c>
      <c r="U654" s="5">
        <f>_xlfn.XLOOKUP(CustomerCombined[[#This Row],[ID]], Table4[ID], Table4[Store], "Not Found", 0)</f>
        <v>4</v>
      </c>
      <c r="V654" s="5">
        <f>_xlfn.XLOOKUP(CustomerCombined[[#This Row],[ID]], Table4[ID], Table4[Visits], "Not Found", 0)</f>
        <v>5</v>
      </c>
      <c r="W654" s="8">
        <f>_xlfn.XLOOKUP(CustomerCombined[[#This Row],[ID]], Table2[ID],Table2[Complaint], "Not Found", 0 )</f>
        <v>0</v>
      </c>
      <c r="X654" s="8">
        <f>_xlfn.XLOOKUP(CustomerCombined[[#This Row],[ID]], Table2[ID],Table2[Pilot], "Not Found", 0 )</f>
        <v>0</v>
      </c>
      <c r="Y654" s="8">
        <f>_xlfn.XLOOKUP(CustomerCombined[[#This Row],[ID]], Table2[ID],Table2[MC1], "Not Found", 0 )</f>
        <v>0</v>
      </c>
      <c r="Z654" s="8">
        <f>_xlfn.XLOOKUP(CustomerCombined[[#This Row],[ID]], Table2[ID],Table2[MC2], "Not Found", 0 )</f>
        <v>0</v>
      </c>
      <c r="AA654" s="8">
        <f>_xlfn.XLOOKUP(CustomerCombined[[#This Row],[ID]], Table2[ID],Table2[MC3], "Not Found", 0 )</f>
        <v>0</v>
      </c>
      <c r="AB654" s="8">
        <f>_xlfn.XLOOKUP(CustomerCombined[[#This Row],[ID]], Table2[ID],Table2[MC4], "Not Found", 0 )</f>
        <v>0</v>
      </c>
      <c r="AC654" s="8">
        <f>_xlfn.XLOOKUP(CustomerCombined[[#This Row],[ID]], Table2[ID],Table2[MC5], "Not Found", 0 )</f>
        <v>0</v>
      </c>
    </row>
    <row r="655" spans="1:29" x14ac:dyDescent="0.3">
      <c r="A655" s="6">
        <v>1770</v>
      </c>
      <c r="B655" s="6">
        <v>140780</v>
      </c>
      <c r="C655" s="6">
        <v>0</v>
      </c>
      <c r="D655" s="6">
        <v>1</v>
      </c>
      <c r="E655" s="6">
        <v>44</v>
      </c>
      <c r="F655" s="5" t="s">
        <v>5</v>
      </c>
      <c r="G655" s="5" t="s">
        <v>11</v>
      </c>
      <c r="H655" s="3" t="s">
        <v>401</v>
      </c>
      <c r="I655" s="5" t="s">
        <v>436</v>
      </c>
      <c r="J655" s="5">
        <f>_xlfn.XLOOKUP(CustomerCombined[[#This Row],[ID]], Table4[ID], Table4[Recency], "Not Found", 0)</f>
        <v>30</v>
      </c>
      <c r="K655" s="5">
        <f>_xlfn.XLOOKUP(CustomerCombined[[#This Row],[ID]], Table4[ID], Table4[Teas], "Not Found", 0)</f>
        <v>791</v>
      </c>
      <c r="L655" s="5">
        <f>_xlfn.XLOOKUP(CustomerCombined[[#This Row],[ID]], Table4[ID], Table4[Fruits], "Not Found", 0)</f>
        <v>93</v>
      </c>
      <c r="M655" s="5">
        <f>_xlfn.XLOOKUP(CustomerCombined[[#This Row],[ID]], Table4[ID], Table4[Meats], "Not Found", 0)</f>
        <v>245</v>
      </c>
      <c r="N655" s="5">
        <f>_xlfn.XLOOKUP(CustomerCombined[[#This Row],[ID]], Table4[ID], Table4[Seafood], "Not Found", 0)</f>
        <v>45</v>
      </c>
      <c r="O655" s="5">
        <f>_xlfn.XLOOKUP(CustomerCombined[[#This Row],[ID]], Table4[ID], Table4[Sweets], "Not Found", 0)</f>
        <v>10</v>
      </c>
      <c r="P655" s="5">
        <f>_xlfn.XLOOKUP(CustomerCombined[[#This Row],[ID]], Table4[ID], Table4[Premium], "Not Found", 0)</f>
        <v>117</v>
      </c>
      <c r="Q655" s="5">
        <f>_xlfn.XLOOKUP(CustomerCombined[[#This Row],[ID]], Table4[ID], Table4[Regular], "Not Found", 0)</f>
        <v>1067</v>
      </c>
      <c r="R655" s="5">
        <f>_xlfn.XLOOKUP(CustomerCombined[[#This Row],[ID]], Table4[ID], Table4[Deals], "Not Found", 0)</f>
        <v>4</v>
      </c>
      <c r="S655" s="5">
        <f>_xlfn.XLOOKUP(CustomerCombined[[#This Row],[ID]], Table4[ID], Table4[Website], "Not Found", 0)</f>
        <v>7</v>
      </c>
      <c r="T655" s="5">
        <f>_xlfn.XLOOKUP(CustomerCombined[[#This Row],[ID]], Table4[ID], Table4[Catalog], "Not Found", 0)</f>
        <v>1</v>
      </c>
      <c r="U655" s="5">
        <f>_xlfn.XLOOKUP(CustomerCombined[[#This Row],[ID]], Table4[ID], Table4[Store], "Not Found", 0)</f>
        <v>5</v>
      </c>
      <c r="V655" s="5">
        <f>_xlfn.XLOOKUP(CustomerCombined[[#This Row],[ID]], Table4[ID], Table4[Visits], "Not Found", 0)</f>
        <v>9</v>
      </c>
      <c r="W655" s="8">
        <f>_xlfn.XLOOKUP(CustomerCombined[[#This Row],[ID]], Table2[ID],Table2[Complaint], "Not Found", 0 )</f>
        <v>0</v>
      </c>
      <c r="X655" s="8">
        <f>_xlfn.XLOOKUP(CustomerCombined[[#This Row],[ID]], Table2[ID],Table2[Pilot], "Not Found", 0 )</f>
        <v>0</v>
      </c>
      <c r="Y655" s="8">
        <f>_xlfn.XLOOKUP(CustomerCombined[[#This Row],[ID]], Table2[ID],Table2[MC1], "Not Found", 0 )</f>
        <v>0</v>
      </c>
      <c r="Z655" s="8">
        <f>_xlfn.XLOOKUP(CustomerCombined[[#This Row],[ID]], Table2[ID],Table2[MC2], "Not Found", 0 )</f>
        <v>0</v>
      </c>
      <c r="AA655" s="8">
        <f>_xlfn.XLOOKUP(CustomerCombined[[#This Row],[ID]], Table2[ID],Table2[MC3], "Not Found", 0 )</f>
        <v>0</v>
      </c>
      <c r="AB655" s="8">
        <f>_xlfn.XLOOKUP(CustomerCombined[[#This Row],[ID]], Table2[ID],Table2[MC4], "Not Found", 0 )</f>
        <v>0</v>
      </c>
      <c r="AC655" s="8">
        <f>_xlfn.XLOOKUP(CustomerCombined[[#This Row],[ID]], Table2[ID],Table2[MC5], "Not Found", 0 )</f>
        <v>0</v>
      </c>
    </row>
    <row r="656" spans="1:29" x14ac:dyDescent="0.3">
      <c r="A656" s="6">
        <v>2239</v>
      </c>
      <c r="B656" s="6">
        <v>139356</v>
      </c>
      <c r="C656" s="6">
        <v>1</v>
      </c>
      <c r="D656" s="6">
        <v>1</v>
      </c>
      <c r="E656" s="6">
        <v>44</v>
      </c>
      <c r="F656" s="5" t="s">
        <v>6</v>
      </c>
      <c r="G656" s="5" t="s">
        <v>11</v>
      </c>
      <c r="H656" s="3" t="s">
        <v>82</v>
      </c>
      <c r="I656" s="5" t="s">
        <v>437</v>
      </c>
      <c r="J656" s="5">
        <f>_xlfn.XLOOKUP(CustomerCombined[[#This Row],[ID]], Table4[ID], Table4[Recency], "Not Found", 0)</f>
        <v>21</v>
      </c>
      <c r="K656" s="5">
        <f>_xlfn.XLOOKUP(CustomerCombined[[#This Row],[ID]], Table4[ID], Table4[Teas], "Not Found", 0)</f>
        <v>53</v>
      </c>
      <c r="L656" s="5">
        <f>_xlfn.XLOOKUP(CustomerCombined[[#This Row],[ID]], Table4[ID], Table4[Fruits], "Not Found", 0)</f>
        <v>0</v>
      </c>
      <c r="M656" s="5">
        <f>_xlfn.XLOOKUP(CustomerCombined[[#This Row],[ID]], Table4[ID], Table4[Meats], "Not Found", 0)</f>
        <v>7</v>
      </c>
      <c r="N656" s="5">
        <f>_xlfn.XLOOKUP(CustomerCombined[[#This Row],[ID]], Table4[ID], Table4[Seafood], "Not Found", 0)</f>
        <v>0</v>
      </c>
      <c r="O656" s="5">
        <f>_xlfn.XLOOKUP(CustomerCombined[[#This Row],[ID]], Table4[ID], Table4[Sweets], "Not Found", 0)</f>
        <v>0</v>
      </c>
      <c r="P656" s="5">
        <f>_xlfn.XLOOKUP(CustomerCombined[[#This Row],[ID]], Table4[ID], Table4[Premium], "Not Found", 0)</f>
        <v>21</v>
      </c>
      <c r="Q656" s="5">
        <f>_xlfn.XLOOKUP(CustomerCombined[[#This Row],[ID]], Table4[ID], Table4[Regular], "Not Found", 0)</f>
        <v>39</v>
      </c>
      <c r="R656" s="5">
        <f>_xlfn.XLOOKUP(CustomerCombined[[#This Row],[ID]], Table4[ID], Table4[Deals], "Not Found", 0)</f>
        <v>1</v>
      </c>
      <c r="S656" s="5">
        <f>_xlfn.XLOOKUP(CustomerCombined[[#This Row],[ID]], Table4[ID], Table4[Website], "Not Found", 0)</f>
        <v>1</v>
      </c>
      <c r="T656" s="5">
        <f>_xlfn.XLOOKUP(CustomerCombined[[#This Row],[ID]], Table4[ID], Table4[Catalog], "Not Found", 0)</f>
        <v>0</v>
      </c>
      <c r="U656" s="5">
        <f>_xlfn.XLOOKUP(CustomerCombined[[#This Row],[ID]], Table4[ID], Table4[Store], "Not Found", 0)</f>
        <v>2</v>
      </c>
      <c r="V656" s="5">
        <f>_xlfn.XLOOKUP(CustomerCombined[[#This Row],[ID]], Table4[ID], Table4[Visits], "Not Found", 0)</f>
        <v>6</v>
      </c>
      <c r="W656" s="8">
        <f>_xlfn.XLOOKUP(CustomerCombined[[#This Row],[ID]], Table2[ID],Table2[Complaint], "Not Found", 0 )</f>
        <v>0</v>
      </c>
      <c r="X656" s="8">
        <f>_xlfn.XLOOKUP(CustomerCombined[[#This Row],[ID]], Table2[ID],Table2[Pilot], "Not Found", 0 )</f>
        <v>0</v>
      </c>
      <c r="Y656" s="8">
        <f>_xlfn.XLOOKUP(CustomerCombined[[#This Row],[ID]], Table2[ID],Table2[MC1], "Not Found", 0 )</f>
        <v>0</v>
      </c>
      <c r="Z656" s="8">
        <f>_xlfn.XLOOKUP(CustomerCombined[[#This Row],[ID]], Table2[ID],Table2[MC2], "Not Found", 0 )</f>
        <v>0</v>
      </c>
      <c r="AA656" s="8">
        <f>_xlfn.XLOOKUP(CustomerCombined[[#This Row],[ID]], Table2[ID],Table2[MC3], "Not Found", 0 )</f>
        <v>1</v>
      </c>
      <c r="AB656" s="8">
        <f>_xlfn.XLOOKUP(CustomerCombined[[#This Row],[ID]], Table2[ID],Table2[MC4], "Not Found", 0 )</f>
        <v>0</v>
      </c>
      <c r="AC656" s="8">
        <f>_xlfn.XLOOKUP(CustomerCombined[[#This Row],[ID]], Table2[ID],Table2[MC5], "Not Found", 0 )</f>
        <v>0</v>
      </c>
    </row>
    <row r="657" spans="1:29" x14ac:dyDescent="0.3">
      <c r="A657" s="6">
        <v>2498</v>
      </c>
      <c r="B657" s="6">
        <v>137697</v>
      </c>
      <c r="C657" s="6">
        <v>1</v>
      </c>
      <c r="D657" s="6">
        <v>0</v>
      </c>
      <c r="E657" s="6">
        <v>44</v>
      </c>
      <c r="F657" s="5" t="s">
        <v>7</v>
      </c>
      <c r="G657" s="5" t="s">
        <v>11</v>
      </c>
      <c r="H657" s="3" t="s">
        <v>106</v>
      </c>
      <c r="I657" s="5" t="s">
        <v>438</v>
      </c>
      <c r="J657" s="5">
        <f>_xlfn.XLOOKUP(CustomerCombined[[#This Row],[ID]], Table4[ID], Table4[Recency], "Not Found", 0)</f>
        <v>82</v>
      </c>
      <c r="K657" s="5">
        <f>_xlfn.XLOOKUP(CustomerCombined[[#This Row],[ID]], Table4[ID], Table4[Teas], "Not Found", 0)</f>
        <v>124</v>
      </c>
      <c r="L657" s="5">
        <f>_xlfn.XLOOKUP(CustomerCombined[[#This Row],[ID]], Table4[ID], Table4[Fruits], "Not Found", 0)</f>
        <v>22</v>
      </c>
      <c r="M657" s="5">
        <f>_xlfn.XLOOKUP(CustomerCombined[[#This Row],[ID]], Table4[ID], Table4[Meats], "Not Found", 0)</f>
        <v>77</v>
      </c>
      <c r="N657" s="5">
        <f>_xlfn.XLOOKUP(CustomerCombined[[#This Row],[ID]], Table4[ID], Table4[Seafood], "Not Found", 0)</f>
        <v>40</v>
      </c>
      <c r="O657" s="5">
        <f>_xlfn.XLOOKUP(CustomerCombined[[#This Row],[ID]], Table4[ID], Table4[Sweets], "Not Found", 0)</f>
        <v>15</v>
      </c>
      <c r="P657" s="5">
        <f>_xlfn.XLOOKUP(CustomerCombined[[#This Row],[ID]], Table4[ID], Table4[Premium], "Not Found", 0)</f>
        <v>29</v>
      </c>
      <c r="Q657" s="5">
        <f>_xlfn.XLOOKUP(CustomerCombined[[#This Row],[ID]], Table4[ID], Table4[Regular], "Not Found", 0)</f>
        <v>248</v>
      </c>
      <c r="R657" s="5">
        <f>_xlfn.XLOOKUP(CustomerCombined[[#This Row],[ID]], Table4[ID], Table4[Deals], "Not Found", 0)</f>
        <v>1</v>
      </c>
      <c r="S657" s="5">
        <f>_xlfn.XLOOKUP(CustomerCombined[[#This Row],[ID]], Table4[ID], Table4[Website], "Not Found", 0)</f>
        <v>2</v>
      </c>
      <c r="T657" s="5">
        <f>_xlfn.XLOOKUP(CustomerCombined[[#This Row],[ID]], Table4[ID], Table4[Catalog], "Not Found", 0)</f>
        <v>1</v>
      </c>
      <c r="U657" s="5">
        <f>_xlfn.XLOOKUP(CustomerCombined[[#This Row],[ID]], Table4[ID], Table4[Store], "Not Found", 0)</f>
        <v>3</v>
      </c>
      <c r="V657" s="5">
        <f>_xlfn.XLOOKUP(CustomerCombined[[#This Row],[ID]], Table4[ID], Table4[Visits], "Not Found", 0)</f>
        <v>6</v>
      </c>
      <c r="W657" s="8">
        <f>_xlfn.XLOOKUP(CustomerCombined[[#This Row],[ID]], Table2[ID],Table2[Complaint], "Not Found", 0 )</f>
        <v>0</v>
      </c>
      <c r="X657" s="8">
        <f>_xlfn.XLOOKUP(CustomerCombined[[#This Row],[ID]], Table2[ID],Table2[Pilot], "Not Found", 0 )</f>
        <v>0</v>
      </c>
      <c r="Y657" s="8">
        <f>_xlfn.XLOOKUP(CustomerCombined[[#This Row],[ID]], Table2[ID],Table2[MC1], "Not Found", 0 )</f>
        <v>0</v>
      </c>
      <c r="Z657" s="8">
        <f>_xlfn.XLOOKUP(CustomerCombined[[#This Row],[ID]], Table2[ID],Table2[MC2], "Not Found", 0 )</f>
        <v>0</v>
      </c>
      <c r="AA657" s="8">
        <f>_xlfn.XLOOKUP(CustomerCombined[[#This Row],[ID]], Table2[ID],Table2[MC3], "Not Found", 0 )</f>
        <v>0</v>
      </c>
      <c r="AB657" s="8">
        <f>_xlfn.XLOOKUP(CustomerCombined[[#This Row],[ID]], Table2[ID],Table2[MC4], "Not Found", 0 )</f>
        <v>0</v>
      </c>
      <c r="AC657" s="8">
        <f>_xlfn.XLOOKUP(CustomerCombined[[#This Row],[ID]], Table2[ID],Table2[MC5], "Not Found", 0 )</f>
        <v>0</v>
      </c>
    </row>
    <row r="658" spans="1:29" x14ac:dyDescent="0.3">
      <c r="A658" s="6">
        <v>2768</v>
      </c>
      <c r="B658" s="6">
        <v>137697</v>
      </c>
      <c r="C658" s="6">
        <v>1</v>
      </c>
      <c r="D658" s="6">
        <v>0</v>
      </c>
      <c r="E658" s="6">
        <v>44</v>
      </c>
      <c r="F658" s="5" t="s">
        <v>7</v>
      </c>
      <c r="G658" s="5" t="s">
        <v>11</v>
      </c>
      <c r="H658" s="3" t="s">
        <v>106</v>
      </c>
      <c r="I658" s="5" t="s">
        <v>438</v>
      </c>
      <c r="J658" s="5">
        <f>_xlfn.XLOOKUP(CustomerCombined[[#This Row],[ID]], Table4[ID], Table4[Recency], "Not Found", 0)</f>
        <v>82</v>
      </c>
      <c r="K658" s="5">
        <f>_xlfn.XLOOKUP(CustomerCombined[[#This Row],[ID]], Table4[ID], Table4[Teas], "Not Found", 0)</f>
        <v>124</v>
      </c>
      <c r="L658" s="5">
        <f>_xlfn.XLOOKUP(CustomerCombined[[#This Row],[ID]], Table4[ID], Table4[Fruits], "Not Found", 0)</f>
        <v>22</v>
      </c>
      <c r="M658" s="5">
        <f>_xlfn.XLOOKUP(CustomerCombined[[#This Row],[ID]], Table4[ID], Table4[Meats], "Not Found", 0)</f>
        <v>77</v>
      </c>
      <c r="N658" s="5">
        <f>_xlfn.XLOOKUP(CustomerCombined[[#This Row],[ID]], Table4[ID], Table4[Seafood], "Not Found", 0)</f>
        <v>40</v>
      </c>
      <c r="O658" s="5">
        <f>_xlfn.XLOOKUP(CustomerCombined[[#This Row],[ID]], Table4[ID], Table4[Sweets], "Not Found", 0)</f>
        <v>15</v>
      </c>
      <c r="P658" s="5">
        <f>_xlfn.XLOOKUP(CustomerCombined[[#This Row],[ID]], Table4[ID], Table4[Premium], "Not Found", 0)</f>
        <v>29</v>
      </c>
      <c r="Q658" s="5">
        <f>_xlfn.XLOOKUP(CustomerCombined[[#This Row],[ID]], Table4[ID], Table4[Regular], "Not Found", 0)</f>
        <v>248</v>
      </c>
      <c r="R658" s="5">
        <f>_xlfn.XLOOKUP(CustomerCombined[[#This Row],[ID]], Table4[ID], Table4[Deals], "Not Found", 0)</f>
        <v>1</v>
      </c>
      <c r="S658" s="5">
        <f>_xlfn.XLOOKUP(CustomerCombined[[#This Row],[ID]], Table4[ID], Table4[Website], "Not Found", 0)</f>
        <v>2</v>
      </c>
      <c r="T658" s="5">
        <f>_xlfn.XLOOKUP(CustomerCombined[[#This Row],[ID]], Table4[ID], Table4[Catalog], "Not Found", 0)</f>
        <v>1</v>
      </c>
      <c r="U658" s="5">
        <f>_xlfn.XLOOKUP(CustomerCombined[[#This Row],[ID]], Table4[ID], Table4[Store], "Not Found", 0)</f>
        <v>3</v>
      </c>
      <c r="V658" s="5">
        <f>_xlfn.XLOOKUP(CustomerCombined[[#This Row],[ID]], Table4[ID], Table4[Visits], "Not Found", 0)</f>
        <v>6</v>
      </c>
      <c r="W658" s="8">
        <f>_xlfn.XLOOKUP(CustomerCombined[[#This Row],[ID]], Table2[ID],Table2[Complaint], "Not Found", 0 )</f>
        <v>0</v>
      </c>
      <c r="X658" s="8">
        <f>_xlfn.XLOOKUP(CustomerCombined[[#This Row],[ID]], Table2[ID],Table2[Pilot], "Not Found", 0 )</f>
        <v>0</v>
      </c>
      <c r="Y658" s="8">
        <f>_xlfn.XLOOKUP(CustomerCombined[[#This Row],[ID]], Table2[ID],Table2[MC1], "Not Found", 0 )</f>
        <v>0</v>
      </c>
      <c r="Z658" s="8">
        <f>_xlfn.XLOOKUP(CustomerCombined[[#This Row],[ID]], Table2[ID],Table2[MC2], "Not Found", 0 )</f>
        <v>0</v>
      </c>
      <c r="AA658" s="8">
        <f>_xlfn.XLOOKUP(CustomerCombined[[#This Row],[ID]], Table2[ID],Table2[MC3], "Not Found", 0 )</f>
        <v>0</v>
      </c>
      <c r="AB658" s="8">
        <f>_xlfn.XLOOKUP(CustomerCombined[[#This Row],[ID]], Table2[ID],Table2[MC4], "Not Found", 0 )</f>
        <v>0</v>
      </c>
      <c r="AC658" s="8">
        <f>_xlfn.XLOOKUP(CustomerCombined[[#This Row],[ID]], Table2[ID],Table2[MC5], "Not Found", 0 )</f>
        <v>0</v>
      </c>
    </row>
    <row r="659" spans="1:29" x14ac:dyDescent="0.3">
      <c r="A659" s="6">
        <v>3089</v>
      </c>
      <c r="B659" s="6">
        <v>137509</v>
      </c>
      <c r="C659" s="6">
        <v>1</v>
      </c>
      <c r="D659" s="6">
        <v>0</v>
      </c>
      <c r="E659" s="6">
        <v>44</v>
      </c>
      <c r="F659" s="5" t="s">
        <v>8</v>
      </c>
      <c r="G659" s="5" t="s">
        <v>12</v>
      </c>
      <c r="H659" s="3" t="s">
        <v>397</v>
      </c>
      <c r="I659" s="5" t="s">
        <v>434</v>
      </c>
      <c r="J659" s="5">
        <f>_xlfn.XLOOKUP(CustomerCombined[[#This Row],[ID]], Table4[ID], Table4[Recency], "Not Found", 0)</f>
        <v>24</v>
      </c>
      <c r="K659" s="5">
        <f>_xlfn.XLOOKUP(CustomerCombined[[#This Row],[ID]], Table4[ID], Table4[Teas], "Not Found", 0)</f>
        <v>136</v>
      </c>
      <c r="L659" s="5">
        <f>_xlfn.XLOOKUP(CustomerCombined[[#This Row],[ID]], Table4[ID], Table4[Fruits], "Not Found", 0)</f>
        <v>18</v>
      </c>
      <c r="M659" s="5">
        <f>_xlfn.XLOOKUP(CustomerCombined[[#This Row],[ID]], Table4[ID], Table4[Meats], "Not Found", 0)</f>
        <v>205</v>
      </c>
      <c r="N659" s="5">
        <f>_xlfn.XLOOKUP(CustomerCombined[[#This Row],[ID]], Table4[ID], Table4[Seafood], "Not Found", 0)</f>
        <v>44</v>
      </c>
      <c r="O659" s="5">
        <f>_xlfn.XLOOKUP(CustomerCombined[[#This Row],[ID]], Table4[ID], Table4[Sweets], "Not Found", 0)</f>
        <v>29</v>
      </c>
      <c r="P659" s="5">
        <f>_xlfn.XLOOKUP(CustomerCombined[[#This Row],[ID]], Table4[ID], Table4[Premium], "Not Found", 0)</f>
        <v>18</v>
      </c>
      <c r="Q659" s="5">
        <f>_xlfn.XLOOKUP(CustomerCombined[[#This Row],[ID]], Table4[ID], Table4[Regular], "Not Found", 0)</f>
        <v>414</v>
      </c>
      <c r="R659" s="5">
        <f>_xlfn.XLOOKUP(CustomerCombined[[#This Row],[ID]], Table4[ID], Table4[Deals], "Not Found", 0)</f>
        <v>2</v>
      </c>
      <c r="S659" s="5">
        <f>_xlfn.XLOOKUP(CustomerCombined[[#This Row],[ID]], Table4[ID], Table4[Website], "Not Found", 0)</f>
        <v>3</v>
      </c>
      <c r="T659" s="5">
        <f>_xlfn.XLOOKUP(CustomerCombined[[#This Row],[ID]], Table4[ID], Table4[Catalog], "Not Found", 0)</f>
        <v>0</v>
      </c>
      <c r="U659" s="5">
        <f>_xlfn.XLOOKUP(CustomerCombined[[#This Row],[ID]], Table4[ID], Table4[Store], "Not Found", 0)</f>
        <v>4</v>
      </c>
      <c r="V659" s="5">
        <f>_xlfn.XLOOKUP(CustomerCombined[[#This Row],[ID]], Table4[ID], Table4[Visits], "Not Found", 0)</f>
        <v>7</v>
      </c>
      <c r="W659" s="8">
        <f>_xlfn.XLOOKUP(CustomerCombined[[#This Row],[ID]], Table2[ID],Table2[Complaint], "Not Found", 0 )</f>
        <v>0</v>
      </c>
      <c r="X659" s="8">
        <f>_xlfn.XLOOKUP(CustomerCombined[[#This Row],[ID]], Table2[ID],Table2[Pilot], "Not Found", 0 )</f>
        <v>0</v>
      </c>
      <c r="Y659" s="8">
        <f>_xlfn.XLOOKUP(CustomerCombined[[#This Row],[ID]], Table2[ID],Table2[MC1], "Not Found", 0 )</f>
        <v>0</v>
      </c>
      <c r="Z659" s="8">
        <f>_xlfn.XLOOKUP(CustomerCombined[[#This Row],[ID]], Table2[ID],Table2[MC2], "Not Found", 0 )</f>
        <v>0</v>
      </c>
      <c r="AA659" s="8">
        <f>_xlfn.XLOOKUP(CustomerCombined[[#This Row],[ID]], Table2[ID],Table2[MC3], "Not Found", 0 )</f>
        <v>0</v>
      </c>
      <c r="AB659" s="8">
        <f>_xlfn.XLOOKUP(CustomerCombined[[#This Row],[ID]], Table2[ID],Table2[MC4], "Not Found", 0 )</f>
        <v>0</v>
      </c>
      <c r="AC659" s="8">
        <f>_xlfn.XLOOKUP(CustomerCombined[[#This Row],[ID]], Table2[ID],Table2[MC5], "Not Found", 0 )</f>
        <v>0</v>
      </c>
    </row>
    <row r="660" spans="1:29" x14ac:dyDescent="0.3">
      <c r="A660" s="6">
        <v>2215</v>
      </c>
      <c r="B660" s="6">
        <v>137395</v>
      </c>
      <c r="C660" s="6">
        <v>1</v>
      </c>
      <c r="D660" s="6">
        <v>0</v>
      </c>
      <c r="E660" s="6">
        <v>44</v>
      </c>
      <c r="F660" s="5" t="s">
        <v>8</v>
      </c>
      <c r="G660" s="5" t="s">
        <v>13</v>
      </c>
      <c r="H660" s="3">
        <v>43992</v>
      </c>
      <c r="I660" s="5" t="s">
        <v>437</v>
      </c>
      <c r="J660" s="5">
        <f>_xlfn.XLOOKUP(CustomerCombined[[#This Row],[ID]], Table4[ID], Table4[Recency], "Not Found", 0)</f>
        <v>47</v>
      </c>
      <c r="K660" s="5">
        <f>_xlfn.XLOOKUP(CustomerCombined[[#This Row],[ID]], Table4[ID], Table4[Teas], "Not Found", 0)</f>
        <v>66</v>
      </c>
      <c r="L660" s="5">
        <f>_xlfn.XLOOKUP(CustomerCombined[[#This Row],[ID]], Table4[ID], Table4[Fruits], "Not Found", 0)</f>
        <v>0</v>
      </c>
      <c r="M660" s="5">
        <f>_xlfn.XLOOKUP(CustomerCombined[[#This Row],[ID]], Table4[ID], Table4[Meats], "Not Found", 0)</f>
        <v>33</v>
      </c>
      <c r="N660" s="5">
        <f>_xlfn.XLOOKUP(CustomerCombined[[#This Row],[ID]], Table4[ID], Table4[Seafood], "Not Found", 0)</f>
        <v>0</v>
      </c>
      <c r="O660" s="5">
        <f>_xlfn.XLOOKUP(CustomerCombined[[#This Row],[ID]], Table4[ID], Table4[Sweets], "Not Found", 0)</f>
        <v>4</v>
      </c>
      <c r="P660" s="5">
        <f>_xlfn.XLOOKUP(CustomerCombined[[#This Row],[ID]], Table4[ID], Table4[Premium], "Not Found", 0)</f>
        <v>40</v>
      </c>
      <c r="Q660" s="5">
        <f>_xlfn.XLOOKUP(CustomerCombined[[#This Row],[ID]], Table4[ID], Table4[Regular], "Not Found", 0)</f>
        <v>62</v>
      </c>
      <c r="R660" s="5">
        <f>_xlfn.XLOOKUP(CustomerCombined[[#This Row],[ID]], Table4[ID], Table4[Deals], "Not Found", 0)</f>
        <v>1</v>
      </c>
      <c r="S660" s="5">
        <f>_xlfn.XLOOKUP(CustomerCombined[[#This Row],[ID]], Table4[ID], Table4[Website], "Not Found", 0)</f>
        <v>1</v>
      </c>
      <c r="T660" s="5">
        <f>_xlfn.XLOOKUP(CustomerCombined[[#This Row],[ID]], Table4[ID], Table4[Catalog], "Not Found", 0)</f>
        <v>0</v>
      </c>
      <c r="U660" s="5">
        <f>_xlfn.XLOOKUP(CustomerCombined[[#This Row],[ID]], Table4[ID], Table4[Store], "Not Found", 0)</f>
        <v>3</v>
      </c>
      <c r="V660" s="5">
        <f>_xlfn.XLOOKUP(CustomerCombined[[#This Row],[ID]], Table4[ID], Table4[Visits], "Not Found", 0)</f>
        <v>6</v>
      </c>
      <c r="W660" s="8">
        <f>_xlfn.XLOOKUP(CustomerCombined[[#This Row],[ID]], Table2[ID],Table2[Complaint], "Not Found", 0 )</f>
        <v>0</v>
      </c>
      <c r="X660" s="8">
        <f>_xlfn.XLOOKUP(CustomerCombined[[#This Row],[ID]], Table2[ID],Table2[Pilot], "Not Found", 0 )</f>
        <v>0</v>
      </c>
      <c r="Y660" s="8">
        <f>_xlfn.XLOOKUP(CustomerCombined[[#This Row],[ID]], Table2[ID],Table2[MC1], "Not Found", 0 )</f>
        <v>0</v>
      </c>
      <c r="Z660" s="8">
        <f>_xlfn.XLOOKUP(CustomerCombined[[#This Row],[ID]], Table2[ID],Table2[MC2], "Not Found", 0 )</f>
        <v>0</v>
      </c>
      <c r="AA660" s="8">
        <f>_xlfn.XLOOKUP(CustomerCombined[[#This Row],[ID]], Table2[ID],Table2[MC3], "Not Found", 0 )</f>
        <v>0</v>
      </c>
      <c r="AB660" s="8">
        <f>_xlfn.XLOOKUP(CustomerCombined[[#This Row],[ID]], Table2[ID],Table2[MC4], "Not Found", 0 )</f>
        <v>0</v>
      </c>
      <c r="AC660" s="8">
        <f>_xlfn.XLOOKUP(CustomerCombined[[#This Row],[ID]], Table2[ID],Table2[MC5], "Not Found", 0 )</f>
        <v>0</v>
      </c>
    </row>
    <row r="661" spans="1:29" x14ac:dyDescent="0.3">
      <c r="A661" s="6">
        <v>2605</v>
      </c>
      <c r="B661" s="6">
        <v>136301</v>
      </c>
      <c r="C661" s="6">
        <v>1</v>
      </c>
      <c r="D661" s="6">
        <v>0</v>
      </c>
      <c r="E661" s="6">
        <v>44</v>
      </c>
      <c r="F661" s="5" t="s">
        <v>8</v>
      </c>
      <c r="G661" s="5" t="s">
        <v>442</v>
      </c>
      <c r="H661" s="3" t="s">
        <v>157</v>
      </c>
      <c r="I661" s="5" t="s">
        <v>437</v>
      </c>
      <c r="J661" s="5">
        <f>_xlfn.XLOOKUP(CustomerCombined[[#This Row],[ID]], Table4[ID], Table4[Recency], "Not Found", 0)</f>
        <v>53</v>
      </c>
      <c r="K661" s="5">
        <f>_xlfn.XLOOKUP(CustomerCombined[[#This Row],[ID]], Table4[ID], Table4[Teas], "Not Found", 0)</f>
        <v>41</v>
      </c>
      <c r="L661" s="5">
        <f>_xlfn.XLOOKUP(CustomerCombined[[#This Row],[ID]], Table4[ID], Table4[Fruits], "Not Found", 0)</f>
        <v>45</v>
      </c>
      <c r="M661" s="5">
        <f>_xlfn.XLOOKUP(CustomerCombined[[#This Row],[ID]], Table4[ID], Table4[Meats], "Not Found", 0)</f>
        <v>131</v>
      </c>
      <c r="N661" s="5">
        <f>_xlfn.XLOOKUP(CustomerCombined[[#This Row],[ID]], Table4[ID], Table4[Seafood], "Not Found", 0)</f>
        <v>11</v>
      </c>
      <c r="O661" s="5">
        <f>_xlfn.XLOOKUP(CustomerCombined[[#This Row],[ID]], Table4[ID], Table4[Sweets], "Not Found", 0)</f>
        <v>19</v>
      </c>
      <c r="P661" s="5">
        <f>_xlfn.XLOOKUP(CustomerCombined[[#This Row],[ID]], Table4[ID], Table4[Premium], "Not Found", 0)</f>
        <v>45</v>
      </c>
      <c r="Q661" s="5">
        <f>_xlfn.XLOOKUP(CustomerCombined[[#This Row],[ID]], Table4[ID], Table4[Regular], "Not Found", 0)</f>
        <v>203</v>
      </c>
      <c r="R661" s="5">
        <f>_xlfn.XLOOKUP(CustomerCombined[[#This Row],[ID]], Table4[ID], Table4[Deals], "Not Found", 0)</f>
        <v>1</v>
      </c>
      <c r="S661" s="5">
        <f>_xlfn.XLOOKUP(CustomerCombined[[#This Row],[ID]], Table4[ID], Table4[Website], "Not Found", 0)</f>
        <v>3</v>
      </c>
      <c r="T661" s="5">
        <f>_xlfn.XLOOKUP(CustomerCombined[[#This Row],[ID]], Table4[ID], Table4[Catalog], "Not Found", 0)</f>
        <v>0</v>
      </c>
      <c r="U661" s="5">
        <f>_xlfn.XLOOKUP(CustomerCombined[[#This Row],[ID]], Table4[ID], Table4[Store], "Not Found", 0)</f>
        <v>3</v>
      </c>
      <c r="V661" s="5">
        <f>_xlfn.XLOOKUP(CustomerCombined[[#This Row],[ID]], Table4[ID], Table4[Visits], "Not Found", 0)</f>
        <v>7</v>
      </c>
      <c r="W661" s="8">
        <f>_xlfn.XLOOKUP(CustomerCombined[[#This Row],[ID]], Table2[ID],Table2[Complaint], "Not Found", 0 )</f>
        <v>0</v>
      </c>
      <c r="X661" s="8">
        <f>_xlfn.XLOOKUP(CustomerCombined[[#This Row],[ID]], Table2[ID],Table2[Pilot], "Not Found", 0 )</f>
        <v>0</v>
      </c>
      <c r="Y661" s="8">
        <f>_xlfn.XLOOKUP(CustomerCombined[[#This Row],[ID]], Table2[ID],Table2[MC1], "Not Found", 0 )</f>
        <v>0</v>
      </c>
      <c r="Z661" s="8">
        <f>_xlfn.XLOOKUP(CustomerCombined[[#This Row],[ID]], Table2[ID],Table2[MC2], "Not Found", 0 )</f>
        <v>0</v>
      </c>
      <c r="AA661" s="8">
        <f>_xlfn.XLOOKUP(CustomerCombined[[#This Row],[ID]], Table2[ID],Table2[MC3], "Not Found", 0 )</f>
        <v>0</v>
      </c>
      <c r="AB661" s="8">
        <f>_xlfn.XLOOKUP(CustomerCombined[[#This Row],[ID]], Table2[ID],Table2[MC4], "Not Found", 0 )</f>
        <v>0</v>
      </c>
      <c r="AC661" s="8">
        <f>_xlfn.XLOOKUP(CustomerCombined[[#This Row],[ID]], Table2[ID],Table2[MC5], "Not Found", 0 )</f>
        <v>0</v>
      </c>
    </row>
    <row r="662" spans="1:29" x14ac:dyDescent="0.3">
      <c r="A662" s="6">
        <v>1762</v>
      </c>
      <c r="B662" s="6">
        <v>136283</v>
      </c>
      <c r="C662" s="6">
        <v>1</v>
      </c>
      <c r="D662" s="6">
        <v>1</v>
      </c>
      <c r="E662" s="6">
        <v>44</v>
      </c>
      <c r="F662" s="5" t="s">
        <v>8</v>
      </c>
      <c r="G662" s="5" t="s">
        <v>11</v>
      </c>
      <c r="H662" s="3" t="s">
        <v>68</v>
      </c>
      <c r="I662" s="5" t="s">
        <v>439</v>
      </c>
      <c r="J662" s="5">
        <f>_xlfn.XLOOKUP(CustomerCombined[[#This Row],[ID]], Table4[ID], Table4[Recency], "Not Found", 0)</f>
        <v>42</v>
      </c>
      <c r="K662" s="5">
        <f>_xlfn.XLOOKUP(CustomerCombined[[#This Row],[ID]], Table4[ID], Table4[Teas], "Not Found", 0)</f>
        <v>23</v>
      </c>
      <c r="L662" s="5">
        <f>_xlfn.XLOOKUP(CustomerCombined[[#This Row],[ID]], Table4[ID], Table4[Fruits], "Not Found", 0)</f>
        <v>19</v>
      </c>
      <c r="M662" s="5">
        <f>_xlfn.XLOOKUP(CustomerCombined[[#This Row],[ID]], Table4[ID], Table4[Meats], "Not Found", 0)</f>
        <v>19</v>
      </c>
      <c r="N662" s="5">
        <f>_xlfn.XLOOKUP(CustomerCombined[[#This Row],[ID]], Table4[ID], Table4[Seafood], "Not Found", 0)</f>
        <v>30</v>
      </c>
      <c r="O662" s="5">
        <f>_xlfn.XLOOKUP(CustomerCombined[[#This Row],[ID]], Table4[ID], Table4[Sweets], "Not Found", 0)</f>
        <v>0</v>
      </c>
      <c r="P662" s="5">
        <f>_xlfn.XLOOKUP(CustomerCombined[[#This Row],[ID]], Table4[ID], Table4[Premium], "Not Found", 0)</f>
        <v>19</v>
      </c>
      <c r="Q662" s="5">
        <f>_xlfn.XLOOKUP(CustomerCombined[[#This Row],[ID]], Table4[ID], Table4[Regular], "Not Found", 0)</f>
        <v>71</v>
      </c>
      <c r="R662" s="5">
        <f>_xlfn.XLOOKUP(CustomerCombined[[#This Row],[ID]], Table4[ID], Table4[Deals], "Not Found", 0)</f>
        <v>2</v>
      </c>
      <c r="S662" s="5">
        <f>_xlfn.XLOOKUP(CustomerCombined[[#This Row],[ID]], Table4[ID], Table4[Website], "Not Found", 0)</f>
        <v>1</v>
      </c>
      <c r="T662" s="5">
        <f>_xlfn.XLOOKUP(CustomerCombined[[#This Row],[ID]], Table4[ID], Table4[Catalog], "Not Found", 0)</f>
        <v>0</v>
      </c>
      <c r="U662" s="5">
        <f>_xlfn.XLOOKUP(CustomerCombined[[#This Row],[ID]], Table4[ID], Table4[Store], "Not Found", 0)</f>
        <v>3</v>
      </c>
      <c r="V662" s="5">
        <f>_xlfn.XLOOKUP(CustomerCombined[[#This Row],[ID]], Table4[ID], Table4[Visits], "Not Found", 0)</f>
        <v>4</v>
      </c>
      <c r="W662" s="8">
        <f>_xlfn.XLOOKUP(CustomerCombined[[#This Row],[ID]], Table2[ID],Table2[Complaint], "Not Found", 0 )</f>
        <v>0</v>
      </c>
      <c r="X662" s="8">
        <f>_xlfn.XLOOKUP(CustomerCombined[[#This Row],[ID]], Table2[ID],Table2[Pilot], "Not Found", 0 )</f>
        <v>0</v>
      </c>
      <c r="Y662" s="8">
        <f>_xlfn.XLOOKUP(CustomerCombined[[#This Row],[ID]], Table2[ID],Table2[MC1], "Not Found", 0 )</f>
        <v>0</v>
      </c>
      <c r="Z662" s="8">
        <f>_xlfn.XLOOKUP(CustomerCombined[[#This Row],[ID]], Table2[ID],Table2[MC2], "Not Found", 0 )</f>
        <v>0</v>
      </c>
      <c r="AA662" s="8">
        <f>_xlfn.XLOOKUP(CustomerCombined[[#This Row],[ID]], Table2[ID],Table2[MC3], "Not Found", 0 )</f>
        <v>0</v>
      </c>
      <c r="AB662" s="8">
        <f>_xlfn.XLOOKUP(CustomerCombined[[#This Row],[ID]], Table2[ID],Table2[MC4], "Not Found", 0 )</f>
        <v>0</v>
      </c>
      <c r="AC662" s="8">
        <f>_xlfn.XLOOKUP(CustomerCombined[[#This Row],[ID]], Table2[ID],Table2[MC5], "Not Found", 0 )</f>
        <v>0</v>
      </c>
    </row>
    <row r="663" spans="1:29" x14ac:dyDescent="0.3">
      <c r="A663" s="6">
        <v>2919</v>
      </c>
      <c r="B663" s="6">
        <v>134529</v>
      </c>
      <c r="C663" s="6">
        <v>1</v>
      </c>
      <c r="D663" s="6">
        <v>0</v>
      </c>
      <c r="E663" s="6">
        <v>44</v>
      </c>
      <c r="F663" s="5" t="s">
        <v>6</v>
      </c>
      <c r="G663" s="5" t="s">
        <v>12</v>
      </c>
      <c r="H663" s="3" t="s">
        <v>396</v>
      </c>
      <c r="I663" s="5" t="s">
        <v>435</v>
      </c>
      <c r="J663" s="5">
        <f>_xlfn.XLOOKUP(CustomerCombined[[#This Row],[ID]], Table4[ID], Table4[Recency], "Not Found", 0)</f>
        <v>94</v>
      </c>
      <c r="K663" s="5">
        <f>_xlfn.XLOOKUP(CustomerCombined[[#This Row],[ID]], Table4[ID], Table4[Teas], "Not Found", 0)</f>
        <v>265</v>
      </c>
      <c r="L663" s="5">
        <f>_xlfn.XLOOKUP(CustomerCombined[[#This Row],[ID]], Table4[ID], Table4[Fruits], "Not Found", 0)</f>
        <v>23</v>
      </c>
      <c r="M663" s="5">
        <f>_xlfn.XLOOKUP(CustomerCombined[[#This Row],[ID]], Table4[ID], Table4[Meats], "Not Found", 0)</f>
        <v>148</v>
      </c>
      <c r="N663" s="5">
        <f>_xlfn.XLOOKUP(CustomerCombined[[#This Row],[ID]], Table4[ID], Table4[Seafood], "Not Found", 0)</f>
        <v>12</v>
      </c>
      <c r="O663" s="5">
        <f>_xlfn.XLOOKUP(CustomerCombined[[#This Row],[ID]], Table4[ID], Table4[Sweets], "Not Found", 0)</f>
        <v>23</v>
      </c>
      <c r="P663" s="5">
        <f>_xlfn.XLOOKUP(CustomerCombined[[#This Row],[ID]], Table4[ID], Table4[Premium], "Not Found", 0)</f>
        <v>160</v>
      </c>
      <c r="Q663" s="5">
        <f>_xlfn.XLOOKUP(CustomerCombined[[#This Row],[ID]], Table4[ID], Table4[Regular], "Not Found", 0)</f>
        <v>312</v>
      </c>
      <c r="R663" s="5">
        <f>_xlfn.XLOOKUP(CustomerCombined[[#This Row],[ID]], Table4[ID], Table4[Deals], "Not Found", 0)</f>
        <v>2</v>
      </c>
      <c r="S663" s="5">
        <f>_xlfn.XLOOKUP(CustomerCombined[[#This Row],[ID]], Table4[ID], Table4[Website], "Not Found", 0)</f>
        <v>2</v>
      </c>
      <c r="T663" s="5">
        <f>_xlfn.XLOOKUP(CustomerCombined[[#This Row],[ID]], Table4[ID], Table4[Catalog], "Not Found", 0)</f>
        <v>2</v>
      </c>
      <c r="U663" s="5">
        <f>_xlfn.XLOOKUP(CustomerCombined[[#This Row],[ID]], Table4[ID], Table4[Store], "Not Found", 0)</f>
        <v>3</v>
      </c>
      <c r="V663" s="5">
        <f>_xlfn.XLOOKUP(CustomerCombined[[#This Row],[ID]], Table4[ID], Table4[Visits], "Not Found", 0)</f>
        <v>7</v>
      </c>
      <c r="W663" s="8">
        <f>_xlfn.XLOOKUP(CustomerCombined[[#This Row],[ID]], Table2[ID],Table2[Complaint], "Not Found", 0 )</f>
        <v>0</v>
      </c>
      <c r="X663" s="8">
        <f>_xlfn.XLOOKUP(CustomerCombined[[#This Row],[ID]], Table2[ID],Table2[Pilot], "Not Found", 0 )</f>
        <v>0</v>
      </c>
      <c r="Y663" s="8">
        <f>_xlfn.XLOOKUP(CustomerCombined[[#This Row],[ID]], Table2[ID],Table2[MC1], "Not Found", 0 )</f>
        <v>0</v>
      </c>
      <c r="Z663" s="8">
        <f>_xlfn.XLOOKUP(CustomerCombined[[#This Row],[ID]], Table2[ID],Table2[MC2], "Not Found", 0 )</f>
        <v>0</v>
      </c>
      <c r="AA663" s="8">
        <f>_xlfn.XLOOKUP(CustomerCombined[[#This Row],[ID]], Table2[ID],Table2[MC3], "Not Found", 0 )</f>
        <v>0</v>
      </c>
      <c r="AB663" s="8">
        <f>_xlfn.XLOOKUP(CustomerCombined[[#This Row],[ID]], Table2[ID],Table2[MC4], "Not Found", 0 )</f>
        <v>0</v>
      </c>
      <c r="AC663" s="8">
        <f>_xlfn.XLOOKUP(CustomerCombined[[#This Row],[ID]], Table2[ID],Table2[MC5], "Not Found", 0 )</f>
        <v>0</v>
      </c>
    </row>
    <row r="664" spans="1:29" x14ac:dyDescent="0.3">
      <c r="A664" s="6">
        <v>1333</v>
      </c>
      <c r="B664" s="6">
        <v>133181</v>
      </c>
      <c r="C664" s="6">
        <v>1</v>
      </c>
      <c r="D664" s="6">
        <v>0</v>
      </c>
      <c r="E664" s="6">
        <v>44</v>
      </c>
      <c r="F664" s="5" t="s">
        <v>6</v>
      </c>
      <c r="G664" s="5" t="s">
        <v>12</v>
      </c>
      <c r="H664" s="3">
        <v>44080</v>
      </c>
      <c r="I664" s="5" t="s">
        <v>437</v>
      </c>
      <c r="J664" s="5">
        <f>_xlfn.XLOOKUP(CustomerCombined[[#This Row],[ID]], Table4[ID], Table4[Recency], "Not Found", 0)</f>
        <v>90</v>
      </c>
      <c r="K664" s="5">
        <f>_xlfn.XLOOKUP(CustomerCombined[[#This Row],[ID]], Table4[ID], Table4[Teas], "Not Found", 0)</f>
        <v>36</v>
      </c>
      <c r="L664" s="5">
        <f>_xlfn.XLOOKUP(CustomerCombined[[#This Row],[ID]], Table4[ID], Table4[Fruits], "Not Found", 0)</f>
        <v>0</v>
      </c>
      <c r="M664" s="5">
        <f>_xlfn.XLOOKUP(CustomerCombined[[#This Row],[ID]], Table4[ID], Table4[Meats], "Not Found", 0)</f>
        <v>12</v>
      </c>
      <c r="N664" s="5">
        <f>_xlfn.XLOOKUP(CustomerCombined[[#This Row],[ID]], Table4[ID], Table4[Seafood], "Not Found", 0)</f>
        <v>0</v>
      </c>
      <c r="O664" s="5">
        <f>_xlfn.XLOOKUP(CustomerCombined[[#This Row],[ID]], Table4[ID], Table4[Sweets], "Not Found", 0)</f>
        <v>0</v>
      </c>
      <c r="P664" s="5">
        <f>_xlfn.XLOOKUP(CustomerCombined[[#This Row],[ID]], Table4[ID], Table4[Premium], "Not Found", 0)</f>
        <v>16</v>
      </c>
      <c r="Q664" s="5">
        <f>_xlfn.XLOOKUP(CustomerCombined[[#This Row],[ID]], Table4[ID], Table4[Regular], "Not Found", 0)</f>
        <v>32</v>
      </c>
      <c r="R664" s="5">
        <f>_xlfn.XLOOKUP(CustomerCombined[[#This Row],[ID]], Table4[ID], Table4[Deals], "Not Found", 0)</f>
        <v>1</v>
      </c>
      <c r="S664" s="5">
        <f>_xlfn.XLOOKUP(CustomerCombined[[#This Row],[ID]], Table4[ID], Table4[Website], "Not Found", 0)</f>
        <v>1</v>
      </c>
      <c r="T664" s="5">
        <f>_xlfn.XLOOKUP(CustomerCombined[[#This Row],[ID]], Table4[ID], Table4[Catalog], "Not Found", 0)</f>
        <v>0</v>
      </c>
      <c r="U664" s="5">
        <f>_xlfn.XLOOKUP(CustomerCombined[[#This Row],[ID]], Table4[ID], Table4[Store], "Not Found", 0)</f>
        <v>2</v>
      </c>
      <c r="V664" s="5">
        <f>_xlfn.XLOOKUP(CustomerCombined[[#This Row],[ID]], Table4[ID], Table4[Visits], "Not Found", 0)</f>
        <v>6</v>
      </c>
      <c r="W664" s="8">
        <f>_xlfn.XLOOKUP(CustomerCombined[[#This Row],[ID]], Table2[ID],Table2[Complaint], "Not Found", 0 )</f>
        <v>0</v>
      </c>
      <c r="X664" s="8">
        <f>_xlfn.XLOOKUP(CustomerCombined[[#This Row],[ID]], Table2[ID],Table2[Pilot], "Not Found", 0 )</f>
        <v>0</v>
      </c>
      <c r="Y664" s="8">
        <f>_xlfn.XLOOKUP(CustomerCombined[[#This Row],[ID]], Table2[ID],Table2[MC1], "Not Found", 0 )</f>
        <v>0</v>
      </c>
      <c r="Z664" s="8">
        <f>_xlfn.XLOOKUP(CustomerCombined[[#This Row],[ID]], Table2[ID],Table2[MC2], "Not Found", 0 )</f>
        <v>0</v>
      </c>
      <c r="AA664" s="8">
        <f>_xlfn.XLOOKUP(CustomerCombined[[#This Row],[ID]], Table2[ID],Table2[MC3], "Not Found", 0 )</f>
        <v>1</v>
      </c>
      <c r="AB664" s="8">
        <f>_xlfn.XLOOKUP(CustomerCombined[[#This Row],[ID]], Table2[ID],Table2[MC4], "Not Found", 0 )</f>
        <v>0</v>
      </c>
      <c r="AC664" s="8">
        <f>_xlfn.XLOOKUP(CustomerCombined[[#This Row],[ID]], Table2[ID],Table2[MC5], "Not Found", 0 )</f>
        <v>0</v>
      </c>
    </row>
    <row r="665" spans="1:29" x14ac:dyDescent="0.3">
      <c r="A665" s="6">
        <v>2533</v>
      </c>
      <c r="B665" s="6">
        <v>131859</v>
      </c>
      <c r="C665" s="6">
        <v>1</v>
      </c>
      <c r="D665" s="6">
        <v>0</v>
      </c>
      <c r="E665" s="6">
        <v>44</v>
      </c>
      <c r="F665" s="5" t="s">
        <v>5</v>
      </c>
      <c r="G665" s="5" t="s">
        <v>11</v>
      </c>
      <c r="H665" s="3" t="s">
        <v>238</v>
      </c>
      <c r="I665" s="5" t="s">
        <v>437</v>
      </c>
      <c r="J665" s="5">
        <f>_xlfn.XLOOKUP(CustomerCombined[[#This Row],[ID]], Table4[ID], Table4[Recency], "Not Found", 0)</f>
        <v>77</v>
      </c>
      <c r="K665" s="5">
        <f>_xlfn.XLOOKUP(CustomerCombined[[#This Row],[ID]], Table4[ID], Table4[Teas], "Not Found", 0)</f>
        <v>12</v>
      </c>
      <c r="L665" s="5">
        <f>_xlfn.XLOOKUP(CustomerCombined[[#This Row],[ID]], Table4[ID], Table4[Fruits], "Not Found", 0)</f>
        <v>4</v>
      </c>
      <c r="M665" s="5">
        <f>_xlfn.XLOOKUP(CustomerCombined[[#This Row],[ID]], Table4[ID], Table4[Meats], "Not Found", 0)</f>
        <v>12</v>
      </c>
      <c r="N665" s="5">
        <f>_xlfn.XLOOKUP(CustomerCombined[[#This Row],[ID]], Table4[ID], Table4[Seafood], "Not Found", 0)</f>
        <v>33</v>
      </c>
      <c r="O665" s="5">
        <f>_xlfn.XLOOKUP(CustomerCombined[[#This Row],[ID]], Table4[ID], Table4[Sweets], "Not Found", 0)</f>
        <v>0</v>
      </c>
      <c r="P665" s="5">
        <f>_xlfn.XLOOKUP(CustomerCombined[[#This Row],[ID]], Table4[ID], Table4[Premium], "Not Found", 0)</f>
        <v>21</v>
      </c>
      <c r="Q665" s="5">
        <f>_xlfn.XLOOKUP(CustomerCombined[[#This Row],[ID]], Table4[ID], Table4[Regular], "Not Found", 0)</f>
        <v>41</v>
      </c>
      <c r="R665" s="5">
        <f>_xlfn.XLOOKUP(CustomerCombined[[#This Row],[ID]], Table4[ID], Table4[Deals], "Not Found", 0)</f>
        <v>1</v>
      </c>
      <c r="S665" s="5">
        <f>_xlfn.XLOOKUP(CustomerCombined[[#This Row],[ID]], Table4[ID], Table4[Website], "Not Found", 0)</f>
        <v>1</v>
      </c>
      <c r="T665" s="5">
        <f>_xlfn.XLOOKUP(CustomerCombined[[#This Row],[ID]], Table4[ID], Table4[Catalog], "Not Found", 0)</f>
        <v>0</v>
      </c>
      <c r="U665" s="5">
        <f>_xlfn.XLOOKUP(CustomerCombined[[#This Row],[ID]], Table4[ID], Table4[Store], "Not Found", 0)</f>
        <v>2</v>
      </c>
      <c r="V665" s="5">
        <f>_xlfn.XLOOKUP(CustomerCombined[[#This Row],[ID]], Table4[ID], Table4[Visits], "Not Found", 0)</f>
        <v>7</v>
      </c>
      <c r="W665" s="8">
        <f>_xlfn.XLOOKUP(CustomerCombined[[#This Row],[ID]], Table2[ID],Table2[Complaint], "Not Found", 0 )</f>
        <v>0</v>
      </c>
      <c r="X665" s="8">
        <f>_xlfn.XLOOKUP(CustomerCombined[[#This Row],[ID]], Table2[ID],Table2[Pilot], "Not Found", 0 )</f>
        <v>0</v>
      </c>
      <c r="Y665" s="8">
        <f>_xlfn.XLOOKUP(CustomerCombined[[#This Row],[ID]], Table2[ID],Table2[MC1], "Not Found", 0 )</f>
        <v>0</v>
      </c>
      <c r="Z665" s="8">
        <f>_xlfn.XLOOKUP(CustomerCombined[[#This Row],[ID]], Table2[ID],Table2[MC2], "Not Found", 0 )</f>
        <v>0</v>
      </c>
      <c r="AA665" s="8">
        <f>_xlfn.XLOOKUP(CustomerCombined[[#This Row],[ID]], Table2[ID],Table2[MC3], "Not Found", 0 )</f>
        <v>0</v>
      </c>
      <c r="AB665" s="8">
        <f>_xlfn.XLOOKUP(CustomerCombined[[#This Row],[ID]], Table2[ID],Table2[MC4], "Not Found", 0 )</f>
        <v>0</v>
      </c>
      <c r="AC665" s="8">
        <f>_xlfn.XLOOKUP(CustomerCombined[[#This Row],[ID]], Table2[ID],Table2[MC5], "Not Found", 0 )</f>
        <v>0</v>
      </c>
    </row>
    <row r="666" spans="1:29" x14ac:dyDescent="0.3">
      <c r="A666" s="6">
        <v>1351</v>
      </c>
      <c r="B666" s="6">
        <v>131615</v>
      </c>
      <c r="C666" s="6">
        <v>1</v>
      </c>
      <c r="D666" s="6">
        <v>0</v>
      </c>
      <c r="E666" s="6">
        <v>44</v>
      </c>
      <c r="F666" s="5" t="s">
        <v>5</v>
      </c>
      <c r="G666" s="5" t="s">
        <v>11</v>
      </c>
      <c r="H666" s="3" t="s">
        <v>292</v>
      </c>
      <c r="I666" s="5" t="s">
        <v>437</v>
      </c>
      <c r="J666" s="5">
        <f>_xlfn.XLOOKUP(CustomerCombined[[#This Row],[ID]], Table4[ID], Table4[Recency], "Not Found", 0)</f>
        <v>82</v>
      </c>
      <c r="K666" s="5">
        <f>_xlfn.XLOOKUP(CustomerCombined[[#This Row],[ID]], Table4[ID], Table4[Teas], "Not Found", 0)</f>
        <v>8</v>
      </c>
      <c r="L666" s="5">
        <f>_xlfn.XLOOKUP(CustomerCombined[[#This Row],[ID]], Table4[ID], Table4[Fruits], "Not Found", 0)</f>
        <v>12</v>
      </c>
      <c r="M666" s="5">
        <f>_xlfn.XLOOKUP(CustomerCombined[[#This Row],[ID]], Table4[ID], Table4[Meats], "Not Found", 0)</f>
        <v>83</v>
      </c>
      <c r="N666" s="5">
        <f>_xlfn.XLOOKUP(CustomerCombined[[#This Row],[ID]], Table4[ID], Table4[Seafood], "Not Found", 0)</f>
        <v>25</v>
      </c>
      <c r="O666" s="5">
        <f>_xlfn.XLOOKUP(CustomerCombined[[#This Row],[ID]], Table4[ID], Table4[Sweets], "Not Found", 0)</f>
        <v>46</v>
      </c>
      <c r="P666" s="5">
        <f>_xlfn.XLOOKUP(CustomerCombined[[#This Row],[ID]], Table4[ID], Table4[Premium], "Not Found", 0)</f>
        <v>37</v>
      </c>
      <c r="Q666" s="5">
        <f>_xlfn.XLOOKUP(CustomerCombined[[#This Row],[ID]], Table4[ID], Table4[Regular], "Not Found", 0)</f>
        <v>137</v>
      </c>
      <c r="R666" s="5">
        <f>_xlfn.XLOOKUP(CustomerCombined[[#This Row],[ID]], Table4[ID], Table4[Deals], "Not Found", 0)</f>
        <v>2</v>
      </c>
      <c r="S666" s="5">
        <f>_xlfn.XLOOKUP(CustomerCombined[[#This Row],[ID]], Table4[ID], Table4[Website], "Not Found", 0)</f>
        <v>2</v>
      </c>
      <c r="T666" s="5">
        <f>_xlfn.XLOOKUP(CustomerCombined[[#This Row],[ID]], Table4[ID], Table4[Catalog], "Not Found", 0)</f>
        <v>0</v>
      </c>
      <c r="U666" s="5">
        <f>_xlfn.XLOOKUP(CustomerCombined[[#This Row],[ID]], Table4[ID], Table4[Store], "Not Found", 0)</f>
        <v>3</v>
      </c>
      <c r="V666" s="5">
        <f>_xlfn.XLOOKUP(CustomerCombined[[#This Row],[ID]], Table4[ID], Table4[Visits], "Not Found", 0)</f>
        <v>7</v>
      </c>
      <c r="W666" s="8">
        <f>_xlfn.XLOOKUP(CustomerCombined[[#This Row],[ID]], Table2[ID],Table2[Complaint], "Not Found", 0 )</f>
        <v>0</v>
      </c>
      <c r="X666" s="8">
        <f>_xlfn.XLOOKUP(CustomerCombined[[#This Row],[ID]], Table2[ID],Table2[Pilot], "Not Found", 0 )</f>
        <v>0</v>
      </c>
      <c r="Y666" s="8">
        <f>_xlfn.XLOOKUP(CustomerCombined[[#This Row],[ID]], Table2[ID],Table2[MC1], "Not Found", 0 )</f>
        <v>0</v>
      </c>
      <c r="Z666" s="8">
        <f>_xlfn.XLOOKUP(CustomerCombined[[#This Row],[ID]], Table2[ID],Table2[MC2], "Not Found", 0 )</f>
        <v>0</v>
      </c>
      <c r="AA666" s="8">
        <f>_xlfn.XLOOKUP(CustomerCombined[[#This Row],[ID]], Table2[ID],Table2[MC3], "Not Found", 0 )</f>
        <v>0</v>
      </c>
      <c r="AB666" s="8">
        <f>_xlfn.XLOOKUP(CustomerCombined[[#This Row],[ID]], Table2[ID],Table2[MC4], "Not Found", 0 )</f>
        <v>0</v>
      </c>
      <c r="AC666" s="8">
        <f>_xlfn.XLOOKUP(CustomerCombined[[#This Row],[ID]], Table2[ID],Table2[MC5], "Not Found", 0 )</f>
        <v>0</v>
      </c>
    </row>
    <row r="667" spans="1:29" x14ac:dyDescent="0.3">
      <c r="A667" s="6">
        <v>1115</v>
      </c>
      <c r="B667" s="6">
        <v>130992</v>
      </c>
      <c r="C667" s="6">
        <v>1</v>
      </c>
      <c r="D667" s="6">
        <v>0</v>
      </c>
      <c r="E667" s="6">
        <v>44</v>
      </c>
      <c r="F667" s="5" t="s">
        <v>5</v>
      </c>
      <c r="G667" s="5" t="s">
        <v>11</v>
      </c>
      <c r="H667" s="3" t="s">
        <v>267</v>
      </c>
      <c r="I667" s="5" t="s">
        <v>434</v>
      </c>
      <c r="J667" s="5">
        <f>_xlfn.XLOOKUP(CustomerCombined[[#This Row],[ID]], Table4[ID], Table4[Recency], "Not Found", 0)</f>
        <v>83</v>
      </c>
      <c r="K667" s="5">
        <f>_xlfn.XLOOKUP(CustomerCombined[[#This Row],[ID]], Table4[ID], Table4[Teas], "Not Found", 0)</f>
        <v>72</v>
      </c>
      <c r="L667" s="5">
        <f>_xlfn.XLOOKUP(CustomerCombined[[#This Row],[ID]], Table4[ID], Table4[Fruits], "Not Found", 0)</f>
        <v>0</v>
      </c>
      <c r="M667" s="5">
        <f>_xlfn.XLOOKUP(CustomerCombined[[#This Row],[ID]], Table4[ID], Table4[Meats], "Not Found", 0)</f>
        <v>59</v>
      </c>
      <c r="N667" s="5">
        <f>_xlfn.XLOOKUP(CustomerCombined[[#This Row],[ID]], Table4[ID], Table4[Seafood], "Not Found", 0)</f>
        <v>30</v>
      </c>
      <c r="O667" s="5">
        <f>_xlfn.XLOOKUP(CustomerCombined[[#This Row],[ID]], Table4[ID], Table4[Sweets], "Not Found", 0)</f>
        <v>13</v>
      </c>
      <c r="P667" s="5">
        <f>_xlfn.XLOOKUP(CustomerCombined[[#This Row],[ID]], Table4[ID], Table4[Premium], "Not Found", 0)</f>
        <v>8</v>
      </c>
      <c r="Q667" s="5">
        <f>_xlfn.XLOOKUP(CustomerCombined[[#This Row],[ID]], Table4[ID], Table4[Regular], "Not Found", 0)</f>
        <v>165</v>
      </c>
      <c r="R667" s="5">
        <f>_xlfn.XLOOKUP(CustomerCombined[[#This Row],[ID]], Table4[ID], Table4[Deals], "Not Found", 0)</f>
        <v>1</v>
      </c>
      <c r="S667" s="5">
        <f>_xlfn.XLOOKUP(CustomerCombined[[#This Row],[ID]], Table4[ID], Table4[Website], "Not Found", 0)</f>
        <v>1</v>
      </c>
      <c r="T667" s="5">
        <f>_xlfn.XLOOKUP(CustomerCombined[[#This Row],[ID]], Table4[ID], Table4[Catalog], "Not Found", 0)</f>
        <v>0</v>
      </c>
      <c r="U667" s="5">
        <f>_xlfn.XLOOKUP(CustomerCombined[[#This Row],[ID]], Table4[ID], Table4[Store], "Not Found", 0)</f>
        <v>3</v>
      </c>
      <c r="V667" s="5">
        <f>_xlfn.XLOOKUP(CustomerCombined[[#This Row],[ID]], Table4[ID], Table4[Visits], "Not Found", 0)</f>
        <v>7</v>
      </c>
      <c r="W667" s="8">
        <f>_xlfn.XLOOKUP(CustomerCombined[[#This Row],[ID]], Table2[ID],Table2[Complaint], "Not Found", 0 )</f>
        <v>0</v>
      </c>
      <c r="X667" s="8">
        <f>_xlfn.XLOOKUP(CustomerCombined[[#This Row],[ID]], Table2[ID],Table2[Pilot], "Not Found", 0 )</f>
        <v>0</v>
      </c>
      <c r="Y667" s="8">
        <f>_xlfn.XLOOKUP(CustomerCombined[[#This Row],[ID]], Table2[ID],Table2[MC1], "Not Found", 0 )</f>
        <v>0</v>
      </c>
      <c r="Z667" s="8">
        <f>_xlfn.XLOOKUP(CustomerCombined[[#This Row],[ID]], Table2[ID],Table2[MC2], "Not Found", 0 )</f>
        <v>0</v>
      </c>
      <c r="AA667" s="8">
        <f>_xlfn.XLOOKUP(CustomerCombined[[#This Row],[ID]], Table2[ID],Table2[MC3], "Not Found", 0 )</f>
        <v>0</v>
      </c>
      <c r="AB667" s="8">
        <f>_xlfn.XLOOKUP(CustomerCombined[[#This Row],[ID]], Table2[ID],Table2[MC4], "Not Found", 0 )</f>
        <v>0</v>
      </c>
      <c r="AC667" s="8">
        <f>_xlfn.XLOOKUP(CustomerCombined[[#This Row],[ID]], Table2[ID],Table2[MC5], "Not Found", 0 )</f>
        <v>0</v>
      </c>
    </row>
    <row r="668" spans="1:29" x14ac:dyDescent="0.3">
      <c r="A668" s="6">
        <v>3099</v>
      </c>
      <c r="B668" s="6">
        <v>130992</v>
      </c>
      <c r="C668" s="6">
        <v>1</v>
      </c>
      <c r="D668" s="6">
        <v>0</v>
      </c>
      <c r="E668" s="6">
        <v>44</v>
      </c>
      <c r="F668" s="5" t="s">
        <v>5</v>
      </c>
      <c r="G668" s="5" t="s">
        <v>11</v>
      </c>
      <c r="H668" s="3" t="s">
        <v>267</v>
      </c>
      <c r="I668" s="5" t="s">
        <v>435</v>
      </c>
      <c r="J668" s="5">
        <f>_xlfn.XLOOKUP(CustomerCombined[[#This Row],[ID]], Table4[ID], Table4[Recency], "Not Found", 0)</f>
        <v>83</v>
      </c>
      <c r="K668" s="5">
        <f>_xlfn.XLOOKUP(CustomerCombined[[#This Row],[ID]], Table4[ID], Table4[Teas], "Not Found", 0)</f>
        <v>72</v>
      </c>
      <c r="L668" s="5">
        <f>_xlfn.XLOOKUP(CustomerCombined[[#This Row],[ID]], Table4[ID], Table4[Fruits], "Not Found", 0)</f>
        <v>0</v>
      </c>
      <c r="M668" s="5">
        <f>_xlfn.XLOOKUP(CustomerCombined[[#This Row],[ID]], Table4[ID], Table4[Meats], "Not Found", 0)</f>
        <v>59</v>
      </c>
      <c r="N668" s="5">
        <f>_xlfn.XLOOKUP(CustomerCombined[[#This Row],[ID]], Table4[ID], Table4[Seafood], "Not Found", 0)</f>
        <v>30</v>
      </c>
      <c r="O668" s="5">
        <f>_xlfn.XLOOKUP(CustomerCombined[[#This Row],[ID]], Table4[ID], Table4[Sweets], "Not Found", 0)</f>
        <v>13</v>
      </c>
      <c r="P668" s="5">
        <f>_xlfn.XLOOKUP(CustomerCombined[[#This Row],[ID]], Table4[ID], Table4[Premium], "Not Found", 0)</f>
        <v>8</v>
      </c>
      <c r="Q668" s="5">
        <f>_xlfn.XLOOKUP(CustomerCombined[[#This Row],[ID]], Table4[ID], Table4[Regular], "Not Found", 0)</f>
        <v>165</v>
      </c>
      <c r="R668" s="5">
        <f>_xlfn.XLOOKUP(CustomerCombined[[#This Row],[ID]], Table4[ID], Table4[Deals], "Not Found", 0)</f>
        <v>1</v>
      </c>
      <c r="S668" s="5">
        <f>_xlfn.XLOOKUP(CustomerCombined[[#This Row],[ID]], Table4[ID], Table4[Website], "Not Found", 0)</f>
        <v>1</v>
      </c>
      <c r="T668" s="5">
        <f>_xlfn.XLOOKUP(CustomerCombined[[#This Row],[ID]], Table4[ID], Table4[Catalog], "Not Found", 0)</f>
        <v>0</v>
      </c>
      <c r="U668" s="5">
        <f>_xlfn.XLOOKUP(CustomerCombined[[#This Row],[ID]], Table4[ID], Table4[Store], "Not Found", 0)</f>
        <v>3</v>
      </c>
      <c r="V668" s="5">
        <f>_xlfn.XLOOKUP(CustomerCombined[[#This Row],[ID]], Table4[ID], Table4[Visits], "Not Found", 0)</f>
        <v>7</v>
      </c>
      <c r="W668" s="8">
        <f>_xlfn.XLOOKUP(CustomerCombined[[#This Row],[ID]], Table2[ID],Table2[Complaint], "Not Found", 0 )</f>
        <v>0</v>
      </c>
      <c r="X668" s="8">
        <f>_xlfn.XLOOKUP(CustomerCombined[[#This Row],[ID]], Table2[ID],Table2[Pilot], "Not Found", 0 )</f>
        <v>0</v>
      </c>
      <c r="Y668" s="8">
        <f>_xlfn.XLOOKUP(CustomerCombined[[#This Row],[ID]], Table2[ID],Table2[MC1], "Not Found", 0 )</f>
        <v>0</v>
      </c>
      <c r="Z668" s="8">
        <f>_xlfn.XLOOKUP(CustomerCombined[[#This Row],[ID]], Table2[ID],Table2[MC2], "Not Found", 0 )</f>
        <v>0</v>
      </c>
      <c r="AA668" s="8">
        <f>_xlfn.XLOOKUP(CustomerCombined[[#This Row],[ID]], Table2[ID],Table2[MC3], "Not Found", 0 )</f>
        <v>0</v>
      </c>
      <c r="AB668" s="8">
        <f>_xlfn.XLOOKUP(CustomerCombined[[#This Row],[ID]], Table2[ID],Table2[MC4], "Not Found", 0 )</f>
        <v>0</v>
      </c>
      <c r="AC668" s="8">
        <f>_xlfn.XLOOKUP(CustomerCombined[[#This Row],[ID]], Table2[ID],Table2[MC5], "Not Found", 0 )</f>
        <v>0</v>
      </c>
    </row>
    <row r="669" spans="1:29" x14ac:dyDescent="0.3">
      <c r="A669" s="6">
        <v>1797</v>
      </c>
      <c r="B669" s="6">
        <v>130772</v>
      </c>
      <c r="C669" s="6">
        <v>1</v>
      </c>
      <c r="D669" s="6">
        <v>1</v>
      </c>
      <c r="E669" s="6">
        <v>44</v>
      </c>
      <c r="F669" s="5" t="s">
        <v>6</v>
      </c>
      <c r="G669" s="5" t="s">
        <v>11</v>
      </c>
      <c r="H669" s="3" t="s">
        <v>87</v>
      </c>
      <c r="I669" s="5" t="s">
        <v>435</v>
      </c>
      <c r="J669" s="5">
        <f>_xlfn.XLOOKUP(CustomerCombined[[#This Row],[ID]], Table4[ID], Table4[Recency], "Not Found", 0)</f>
        <v>89</v>
      </c>
      <c r="K669" s="5">
        <f>_xlfn.XLOOKUP(CustomerCombined[[#This Row],[ID]], Table4[ID], Table4[Teas], "Not Found", 0)</f>
        <v>30</v>
      </c>
      <c r="L669" s="5">
        <f>_xlfn.XLOOKUP(CustomerCombined[[#This Row],[ID]], Table4[ID], Table4[Fruits], "Not Found", 0)</f>
        <v>8</v>
      </c>
      <c r="M669" s="5">
        <f>_xlfn.XLOOKUP(CustomerCombined[[#This Row],[ID]], Table4[ID], Table4[Meats], "Not Found", 0)</f>
        <v>17</v>
      </c>
      <c r="N669" s="5">
        <f>_xlfn.XLOOKUP(CustomerCombined[[#This Row],[ID]], Table4[ID], Table4[Seafood], "Not Found", 0)</f>
        <v>8</v>
      </c>
      <c r="O669" s="5">
        <f>_xlfn.XLOOKUP(CustomerCombined[[#This Row],[ID]], Table4[ID], Table4[Sweets], "Not Found", 0)</f>
        <v>4</v>
      </c>
      <c r="P669" s="5">
        <f>_xlfn.XLOOKUP(CustomerCombined[[#This Row],[ID]], Table4[ID], Table4[Premium], "Not Found", 0)</f>
        <v>17</v>
      </c>
      <c r="Q669" s="5">
        <f>_xlfn.XLOOKUP(CustomerCombined[[#This Row],[ID]], Table4[ID], Table4[Regular], "Not Found", 0)</f>
        <v>51</v>
      </c>
      <c r="R669" s="5">
        <f>_xlfn.XLOOKUP(CustomerCombined[[#This Row],[ID]], Table4[ID], Table4[Deals], "Not Found", 0)</f>
        <v>1</v>
      </c>
      <c r="S669" s="5">
        <f>_xlfn.XLOOKUP(CustomerCombined[[#This Row],[ID]], Table4[ID], Table4[Website], "Not Found", 0)</f>
        <v>1</v>
      </c>
      <c r="T669" s="5">
        <f>_xlfn.XLOOKUP(CustomerCombined[[#This Row],[ID]], Table4[ID], Table4[Catalog], "Not Found", 0)</f>
        <v>0</v>
      </c>
      <c r="U669" s="5">
        <f>_xlfn.XLOOKUP(CustomerCombined[[#This Row],[ID]], Table4[ID], Table4[Store], "Not Found", 0)</f>
        <v>2</v>
      </c>
      <c r="V669" s="5">
        <f>_xlfn.XLOOKUP(CustomerCombined[[#This Row],[ID]], Table4[ID], Table4[Visits], "Not Found", 0)</f>
        <v>6</v>
      </c>
      <c r="W669" s="8">
        <f>_xlfn.XLOOKUP(CustomerCombined[[#This Row],[ID]], Table2[ID],Table2[Complaint], "Not Found", 0 )</f>
        <v>0</v>
      </c>
      <c r="X669" s="8">
        <f>_xlfn.XLOOKUP(CustomerCombined[[#This Row],[ID]], Table2[ID],Table2[Pilot], "Not Found", 0 )</f>
        <v>0</v>
      </c>
      <c r="Y669" s="8">
        <f>_xlfn.XLOOKUP(CustomerCombined[[#This Row],[ID]], Table2[ID],Table2[MC1], "Not Found", 0 )</f>
        <v>0</v>
      </c>
      <c r="Z669" s="8">
        <f>_xlfn.XLOOKUP(CustomerCombined[[#This Row],[ID]], Table2[ID],Table2[MC2], "Not Found", 0 )</f>
        <v>0</v>
      </c>
      <c r="AA669" s="8">
        <f>_xlfn.XLOOKUP(CustomerCombined[[#This Row],[ID]], Table2[ID],Table2[MC3], "Not Found", 0 )</f>
        <v>0</v>
      </c>
      <c r="AB669" s="8">
        <f>_xlfn.XLOOKUP(CustomerCombined[[#This Row],[ID]], Table2[ID],Table2[MC4], "Not Found", 0 )</f>
        <v>0</v>
      </c>
      <c r="AC669" s="8">
        <f>_xlfn.XLOOKUP(CustomerCombined[[#This Row],[ID]], Table2[ID],Table2[MC5], "Not Found", 0 )</f>
        <v>0</v>
      </c>
    </row>
    <row r="670" spans="1:29" x14ac:dyDescent="0.3">
      <c r="A670" s="6">
        <v>2615</v>
      </c>
      <c r="B670" s="6">
        <v>130560</v>
      </c>
      <c r="C670" s="6">
        <v>1</v>
      </c>
      <c r="D670" s="6">
        <v>0</v>
      </c>
      <c r="E670" s="6">
        <v>44</v>
      </c>
      <c r="F670" s="5" t="s">
        <v>8</v>
      </c>
      <c r="G670" s="5" t="s">
        <v>12</v>
      </c>
      <c r="H670" s="3">
        <v>43508</v>
      </c>
      <c r="I670" s="5" t="s">
        <v>434</v>
      </c>
      <c r="J670" s="5">
        <f>_xlfn.XLOOKUP(CustomerCombined[[#This Row],[ID]], Table4[ID], Table4[Recency], "Not Found", 0)</f>
        <v>6</v>
      </c>
      <c r="K670" s="5">
        <f>_xlfn.XLOOKUP(CustomerCombined[[#This Row],[ID]], Table4[ID], Table4[Teas], "Not Found", 0)</f>
        <v>38</v>
      </c>
      <c r="L670" s="5">
        <f>_xlfn.XLOOKUP(CustomerCombined[[#This Row],[ID]], Table4[ID], Table4[Fruits], "Not Found", 0)</f>
        <v>4</v>
      </c>
      <c r="M670" s="5">
        <f>_xlfn.XLOOKUP(CustomerCombined[[#This Row],[ID]], Table4[ID], Table4[Meats], "Not Found", 0)</f>
        <v>21</v>
      </c>
      <c r="N670" s="5">
        <f>_xlfn.XLOOKUP(CustomerCombined[[#This Row],[ID]], Table4[ID], Table4[Seafood], "Not Found", 0)</f>
        <v>17</v>
      </c>
      <c r="O670" s="5">
        <f>_xlfn.XLOOKUP(CustomerCombined[[#This Row],[ID]], Table4[ID], Table4[Sweets], "Not Found", 0)</f>
        <v>21</v>
      </c>
      <c r="P670" s="5">
        <f>_xlfn.XLOOKUP(CustomerCombined[[#This Row],[ID]], Table4[ID], Table4[Premium], "Not Found", 0)</f>
        <v>30</v>
      </c>
      <c r="Q670" s="5">
        <f>_xlfn.XLOOKUP(CustomerCombined[[#This Row],[ID]], Table4[ID], Table4[Regular], "Not Found", 0)</f>
        <v>73</v>
      </c>
      <c r="R670" s="5">
        <f>_xlfn.XLOOKUP(CustomerCombined[[#This Row],[ID]], Table4[ID], Table4[Deals], "Not Found", 0)</f>
        <v>1</v>
      </c>
      <c r="S670" s="5">
        <f>_xlfn.XLOOKUP(CustomerCombined[[#This Row],[ID]], Table4[ID], Table4[Website], "Not Found", 0)</f>
        <v>1</v>
      </c>
      <c r="T670" s="5">
        <f>_xlfn.XLOOKUP(CustomerCombined[[#This Row],[ID]], Table4[ID], Table4[Catalog], "Not Found", 0)</f>
        <v>0</v>
      </c>
      <c r="U670" s="5">
        <f>_xlfn.XLOOKUP(CustomerCombined[[#This Row],[ID]], Table4[ID], Table4[Store], "Not Found", 0)</f>
        <v>3</v>
      </c>
      <c r="V670" s="5">
        <f>_xlfn.XLOOKUP(CustomerCombined[[#This Row],[ID]], Table4[ID], Table4[Visits], "Not Found", 0)</f>
        <v>7</v>
      </c>
      <c r="W670" s="8">
        <f>_xlfn.XLOOKUP(CustomerCombined[[#This Row],[ID]], Table2[ID],Table2[Complaint], "Not Found", 0 )</f>
        <v>0</v>
      </c>
      <c r="X670" s="8">
        <f>_xlfn.XLOOKUP(CustomerCombined[[#This Row],[ID]], Table2[ID],Table2[Pilot], "Not Found", 0 )</f>
        <v>0</v>
      </c>
      <c r="Y670" s="8">
        <f>_xlfn.XLOOKUP(CustomerCombined[[#This Row],[ID]], Table2[ID],Table2[MC1], "Not Found", 0 )</f>
        <v>0</v>
      </c>
      <c r="Z670" s="8">
        <f>_xlfn.XLOOKUP(CustomerCombined[[#This Row],[ID]], Table2[ID],Table2[MC2], "Not Found", 0 )</f>
        <v>0</v>
      </c>
      <c r="AA670" s="8">
        <f>_xlfn.XLOOKUP(CustomerCombined[[#This Row],[ID]], Table2[ID],Table2[MC3], "Not Found", 0 )</f>
        <v>0</v>
      </c>
      <c r="AB670" s="8">
        <f>_xlfn.XLOOKUP(CustomerCombined[[#This Row],[ID]], Table2[ID],Table2[MC4], "Not Found", 0 )</f>
        <v>0</v>
      </c>
      <c r="AC670" s="8">
        <f>_xlfn.XLOOKUP(CustomerCombined[[#This Row],[ID]], Table2[ID],Table2[MC5], "Not Found", 0 )</f>
        <v>0</v>
      </c>
    </row>
    <row r="671" spans="1:29" x14ac:dyDescent="0.3">
      <c r="A671" s="6">
        <v>3122</v>
      </c>
      <c r="B671" s="6">
        <v>130560</v>
      </c>
      <c r="C671" s="6">
        <v>1</v>
      </c>
      <c r="D671" s="6">
        <v>0</v>
      </c>
      <c r="E671" s="6">
        <v>44</v>
      </c>
      <c r="F671" s="5" t="s">
        <v>8</v>
      </c>
      <c r="G671" s="5" t="s">
        <v>12</v>
      </c>
      <c r="H671" s="3">
        <v>43508</v>
      </c>
      <c r="I671" s="5" t="s">
        <v>438</v>
      </c>
      <c r="J671" s="5">
        <f>_xlfn.XLOOKUP(CustomerCombined[[#This Row],[ID]], Table4[ID], Table4[Recency], "Not Found", 0)</f>
        <v>6</v>
      </c>
      <c r="K671" s="5">
        <f>_xlfn.XLOOKUP(CustomerCombined[[#This Row],[ID]], Table4[ID], Table4[Teas], "Not Found", 0)</f>
        <v>38</v>
      </c>
      <c r="L671" s="5">
        <f>_xlfn.XLOOKUP(CustomerCombined[[#This Row],[ID]], Table4[ID], Table4[Fruits], "Not Found", 0)</f>
        <v>4</v>
      </c>
      <c r="M671" s="5">
        <f>_xlfn.XLOOKUP(CustomerCombined[[#This Row],[ID]], Table4[ID], Table4[Meats], "Not Found", 0)</f>
        <v>21</v>
      </c>
      <c r="N671" s="5">
        <f>_xlfn.XLOOKUP(CustomerCombined[[#This Row],[ID]], Table4[ID], Table4[Seafood], "Not Found", 0)</f>
        <v>17</v>
      </c>
      <c r="O671" s="5">
        <f>_xlfn.XLOOKUP(CustomerCombined[[#This Row],[ID]], Table4[ID], Table4[Sweets], "Not Found", 0)</f>
        <v>21</v>
      </c>
      <c r="P671" s="5">
        <f>_xlfn.XLOOKUP(CustomerCombined[[#This Row],[ID]], Table4[ID], Table4[Premium], "Not Found", 0)</f>
        <v>30</v>
      </c>
      <c r="Q671" s="5">
        <f>_xlfn.XLOOKUP(CustomerCombined[[#This Row],[ID]], Table4[ID], Table4[Regular], "Not Found", 0)</f>
        <v>73</v>
      </c>
      <c r="R671" s="5">
        <f>_xlfn.XLOOKUP(CustomerCombined[[#This Row],[ID]], Table4[ID], Table4[Deals], "Not Found", 0)</f>
        <v>1</v>
      </c>
      <c r="S671" s="5">
        <f>_xlfn.XLOOKUP(CustomerCombined[[#This Row],[ID]], Table4[ID], Table4[Website], "Not Found", 0)</f>
        <v>1</v>
      </c>
      <c r="T671" s="5">
        <f>_xlfn.XLOOKUP(CustomerCombined[[#This Row],[ID]], Table4[ID], Table4[Catalog], "Not Found", 0)</f>
        <v>0</v>
      </c>
      <c r="U671" s="5">
        <f>_xlfn.XLOOKUP(CustomerCombined[[#This Row],[ID]], Table4[ID], Table4[Store], "Not Found", 0)</f>
        <v>3</v>
      </c>
      <c r="V671" s="5">
        <f>_xlfn.XLOOKUP(CustomerCombined[[#This Row],[ID]], Table4[ID], Table4[Visits], "Not Found", 0)</f>
        <v>7</v>
      </c>
      <c r="W671" s="8">
        <f>_xlfn.XLOOKUP(CustomerCombined[[#This Row],[ID]], Table2[ID],Table2[Complaint], "Not Found", 0 )</f>
        <v>0</v>
      </c>
      <c r="X671" s="8">
        <f>_xlfn.XLOOKUP(CustomerCombined[[#This Row],[ID]], Table2[ID],Table2[Pilot], "Not Found", 0 )</f>
        <v>0</v>
      </c>
      <c r="Y671" s="8">
        <f>_xlfn.XLOOKUP(CustomerCombined[[#This Row],[ID]], Table2[ID],Table2[MC1], "Not Found", 0 )</f>
        <v>0</v>
      </c>
      <c r="Z671" s="8">
        <f>_xlfn.XLOOKUP(CustomerCombined[[#This Row],[ID]], Table2[ID],Table2[MC2], "Not Found", 0 )</f>
        <v>0</v>
      </c>
      <c r="AA671" s="8">
        <f>_xlfn.XLOOKUP(CustomerCombined[[#This Row],[ID]], Table2[ID],Table2[MC3], "Not Found", 0 )</f>
        <v>0</v>
      </c>
      <c r="AB671" s="8">
        <f>_xlfn.XLOOKUP(CustomerCombined[[#This Row],[ID]], Table2[ID],Table2[MC4], "Not Found", 0 )</f>
        <v>0</v>
      </c>
      <c r="AC671" s="8">
        <f>_xlfn.XLOOKUP(CustomerCombined[[#This Row],[ID]], Table2[ID],Table2[MC5], "Not Found", 0 )</f>
        <v>0</v>
      </c>
    </row>
    <row r="672" spans="1:29" x14ac:dyDescent="0.3">
      <c r="A672" s="6">
        <v>2931</v>
      </c>
      <c r="B672" s="6">
        <v>129478</v>
      </c>
      <c r="C672" s="6">
        <v>1</v>
      </c>
      <c r="D672" s="6">
        <v>0</v>
      </c>
      <c r="E672" s="6">
        <v>44</v>
      </c>
      <c r="F672" s="5" t="s">
        <v>8</v>
      </c>
      <c r="G672" s="5" t="s">
        <v>11</v>
      </c>
      <c r="H672" s="3" t="s">
        <v>114</v>
      </c>
      <c r="I672" s="5" t="s">
        <v>435</v>
      </c>
      <c r="J672" s="5">
        <f>_xlfn.XLOOKUP(CustomerCombined[[#This Row],[ID]], Table4[ID], Table4[Recency], "Not Found", 0)</f>
        <v>59</v>
      </c>
      <c r="K672" s="5">
        <f>_xlfn.XLOOKUP(CustomerCombined[[#This Row],[ID]], Table4[ID], Table4[Teas], "Not Found", 0)</f>
        <v>35</v>
      </c>
      <c r="L672" s="5">
        <f>_xlfn.XLOOKUP(CustomerCombined[[#This Row],[ID]], Table4[ID], Table4[Fruits], "Not Found", 0)</f>
        <v>0</v>
      </c>
      <c r="M672" s="5">
        <f>_xlfn.XLOOKUP(CustomerCombined[[#This Row],[ID]], Table4[ID], Table4[Meats], "Not Found", 0)</f>
        <v>31</v>
      </c>
      <c r="N672" s="5">
        <f>_xlfn.XLOOKUP(CustomerCombined[[#This Row],[ID]], Table4[ID], Table4[Seafood], "Not Found", 0)</f>
        <v>13</v>
      </c>
      <c r="O672" s="5">
        <f>_xlfn.XLOOKUP(CustomerCombined[[#This Row],[ID]], Table4[ID], Table4[Sweets], "Not Found", 0)</f>
        <v>4</v>
      </c>
      <c r="P672" s="5">
        <f>_xlfn.XLOOKUP(CustomerCombined[[#This Row],[ID]], Table4[ID], Table4[Premium], "Not Found", 0)</f>
        <v>4</v>
      </c>
      <c r="Q672" s="5">
        <f>_xlfn.XLOOKUP(CustomerCombined[[#This Row],[ID]], Table4[ID], Table4[Regular], "Not Found", 0)</f>
        <v>79</v>
      </c>
      <c r="R672" s="5">
        <f>_xlfn.XLOOKUP(CustomerCombined[[#This Row],[ID]], Table4[ID], Table4[Deals], "Not Found", 0)</f>
        <v>1</v>
      </c>
      <c r="S672" s="5">
        <f>_xlfn.XLOOKUP(CustomerCombined[[#This Row],[ID]], Table4[ID], Table4[Website], "Not Found", 0)</f>
        <v>1</v>
      </c>
      <c r="T672" s="5">
        <f>_xlfn.XLOOKUP(CustomerCombined[[#This Row],[ID]], Table4[ID], Table4[Catalog], "Not Found", 0)</f>
        <v>0</v>
      </c>
      <c r="U672" s="5">
        <f>_xlfn.XLOOKUP(CustomerCombined[[#This Row],[ID]], Table4[ID], Table4[Store], "Not Found", 0)</f>
        <v>3</v>
      </c>
      <c r="V672" s="5">
        <f>_xlfn.XLOOKUP(CustomerCombined[[#This Row],[ID]], Table4[ID], Table4[Visits], "Not Found", 0)</f>
        <v>6</v>
      </c>
      <c r="W672" s="8">
        <f>_xlfn.XLOOKUP(CustomerCombined[[#This Row],[ID]], Table2[ID],Table2[Complaint], "Not Found", 0 )</f>
        <v>0</v>
      </c>
      <c r="X672" s="8">
        <f>_xlfn.XLOOKUP(CustomerCombined[[#This Row],[ID]], Table2[ID],Table2[Pilot], "Not Found", 0 )</f>
        <v>0</v>
      </c>
      <c r="Y672" s="8">
        <f>_xlfn.XLOOKUP(CustomerCombined[[#This Row],[ID]], Table2[ID],Table2[MC1], "Not Found", 0 )</f>
        <v>0</v>
      </c>
      <c r="Z672" s="8">
        <f>_xlfn.XLOOKUP(CustomerCombined[[#This Row],[ID]], Table2[ID],Table2[MC2], "Not Found", 0 )</f>
        <v>0</v>
      </c>
      <c r="AA672" s="8">
        <f>_xlfn.XLOOKUP(CustomerCombined[[#This Row],[ID]], Table2[ID],Table2[MC3], "Not Found", 0 )</f>
        <v>0</v>
      </c>
      <c r="AB672" s="8">
        <f>_xlfn.XLOOKUP(CustomerCombined[[#This Row],[ID]], Table2[ID],Table2[MC4], "Not Found", 0 )</f>
        <v>0</v>
      </c>
      <c r="AC672" s="8">
        <f>_xlfn.XLOOKUP(CustomerCombined[[#This Row],[ID]], Table2[ID],Table2[MC5], "Not Found", 0 )</f>
        <v>0</v>
      </c>
    </row>
    <row r="673" spans="1:29" x14ac:dyDescent="0.3">
      <c r="A673" s="6">
        <v>2058</v>
      </c>
      <c r="B673" s="6">
        <v>126907</v>
      </c>
      <c r="C673" s="6">
        <v>1</v>
      </c>
      <c r="D673" s="6">
        <v>1</v>
      </c>
      <c r="E673" s="6">
        <v>44</v>
      </c>
      <c r="F673" s="5" t="s">
        <v>8</v>
      </c>
      <c r="G673" s="5" t="s">
        <v>442</v>
      </c>
      <c r="H673" s="3" t="s">
        <v>197</v>
      </c>
      <c r="I673" s="5" t="s">
        <v>436</v>
      </c>
      <c r="J673" s="5">
        <f>_xlfn.XLOOKUP(CustomerCombined[[#This Row],[ID]], Table4[ID], Table4[Recency], "Not Found", 0)</f>
        <v>10</v>
      </c>
      <c r="K673" s="5">
        <f>_xlfn.XLOOKUP(CustomerCombined[[#This Row],[ID]], Table4[ID], Table4[Teas], "Not Found", 0)</f>
        <v>42</v>
      </c>
      <c r="L673" s="5">
        <f>_xlfn.XLOOKUP(CustomerCombined[[#This Row],[ID]], Table4[ID], Table4[Fruits], "Not Found", 0)</f>
        <v>5</v>
      </c>
      <c r="M673" s="5">
        <f>_xlfn.XLOOKUP(CustomerCombined[[#This Row],[ID]], Table4[ID], Table4[Meats], "Not Found", 0)</f>
        <v>33</v>
      </c>
      <c r="N673" s="5">
        <f>_xlfn.XLOOKUP(CustomerCombined[[#This Row],[ID]], Table4[ID], Table4[Seafood], "Not Found", 0)</f>
        <v>0</v>
      </c>
      <c r="O673" s="5">
        <f>_xlfn.XLOOKUP(CustomerCombined[[#This Row],[ID]], Table4[ID], Table4[Sweets], "Not Found", 0)</f>
        <v>14</v>
      </c>
      <c r="P673" s="5">
        <f>_xlfn.XLOOKUP(CustomerCombined[[#This Row],[ID]], Table4[ID], Table4[Premium], "Not Found", 0)</f>
        <v>9</v>
      </c>
      <c r="Q673" s="5">
        <f>_xlfn.XLOOKUP(CustomerCombined[[#This Row],[ID]], Table4[ID], Table4[Regular], "Not Found", 0)</f>
        <v>85</v>
      </c>
      <c r="R673" s="5">
        <f>_xlfn.XLOOKUP(CustomerCombined[[#This Row],[ID]], Table4[ID], Table4[Deals], "Not Found", 0)</f>
        <v>2</v>
      </c>
      <c r="S673" s="5">
        <f>_xlfn.XLOOKUP(CustomerCombined[[#This Row],[ID]], Table4[ID], Table4[Website], "Not Found", 0)</f>
        <v>1</v>
      </c>
      <c r="T673" s="5">
        <f>_xlfn.XLOOKUP(CustomerCombined[[#This Row],[ID]], Table4[ID], Table4[Catalog], "Not Found", 0)</f>
        <v>0</v>
      </c>
      <c r="U673" s="5">
        <f>_xlfn.XLOOKUP(CustomerCombined[[#This Row],[ID]], Table4[ID], Table4[Store], "Not Found", 0)</f>
        <v>3</v>
      </c>
      <c r="V673" s="5">
        <f>_xlfn.XLOOKUP(CustomerCombined[[#This Row],[ID]], Table4[ID], Table4[Visits], "Not Found", 0)</f>
        <v>7</v>
      </c>
      <c r="W673" s="8">
        <f>_xlfn.XLOOKUP(CustomerCombined[[#This Row],[ID]], Table2[ID],Table2[Complaint], "Not Found", 0 )</f>
        <v>0</v>
      </c>
      <c r="X673" s="8">
        <f>_xlfn.XLOOKUP(CustomerCombined[[#This Row],[ID]], Table2[ID],Table2[Pilot], "Not Found", 0 )</f>
        <v>0</v>
      </c>
      <c r="Y673" s="8">
        <f>_xlfn.XLOOKUP(CustomerCombined[[#This Row],[ID]], Table2[ID],Table2[MC1], "Not Found", 0 )</f>
        <v>0</v>
      </c>
      <c r="Z673" s="8">
        <f>_xlfn.XLOOKUP(CustomerCombined[[#This Row],[ID]], Table2[ID],Table2[MC2], "Not Found", 0 )</f>
        <v>0</v>
      </c>
      <c r="AA673" s="8">
        <f>_xlfn.XLOOKUP(CustomerCombined[[#This Row],[ID]], Table2[ID],Table2[MC3], "Not Found", 0 )</f>
        <v>0</v>
      </c>
      <c r="AB673" s="8">
        <f>_xlfn.XLOOKUP(CustomerCombined[[#This Row],[ID]], Table2[ID],Table2[MC4], "Not Found", 0 )</f>
        <v>0</v>
      </c>
      <c r="AC673" s="8">
        <f>_xlfn.XLOOKUP(CustomerCombined[[#This Row],[ID]], Table2[ID],Table2[MC5], "Not Found", 0 )</f>
        <v>0</v>
      </c>
    </row>
    <row r="674" spans="1:29" x14ac:dyDescent="0.3">
      <c r="A674" s="6">
        <v>2363</v>
      </c>
      <c r="B674" s="6">
        <v>126907</v>
      </c>
      <c r="C674" s="6">
        <v>1</v>
      </c>
      <c r="D674" s="6">
        <v>1</v>
      </c>
      <c r="E674" s="6">
        <v>44</v>
      </c>
      <c r="F674" s="5" t="s">
        <v>8</v>
      </c>
      <c r="G674" s="5" t="s">
        <v>442</v>
      </c>
      <c r="H674" s="3" t="s">
        <v>197</v>
      </c>
      <c r="I674" s="5" t="s">
        <v>434</v>
      </c>
      <c r="J674" s="5">
        <f>_xlfn.XLOOKUP(CustomerCombined[[#This Row],[ID]], Table4[ID], Table4[Recency], "Not Found", 0)</f>
        <v>10</v>
      </c>
      <c r="K674" s="5">
        <f>_xlfn.XLOOKUP(CustomerCombined[[#This Row],[ID]], Table4[ID], Table4[Teas], "Not Found", 0)</f>
        <v>42</v>
      </c>
      <c r="L674" s="5">
        <f>_xlfn.XLOOKUP(CustomerCombined[[#This Row],[ID]], Table4[ID], Table4[Fruits], "Not Found", 0)</f>
        <v>5</v>
      </c>
      <c r="M674" s="5">
        <f>_xlfn.XLOOKUP(CustomerCombined[[#This Row],[ID]], Table4[ID], Table4[Meats], "Not Found", 0)</f>
        <v>33</v>
      </c>
      <c r="N674" s="5">
        <f>_xlfn.XLOOKUP(CustomerCombined[[#This Row],[ID]], Table4[ID], Table4[Seafood], "Not Found", 0)</f>
        <v>0</v>
      </c>
      <c r="O674" s="5">
        <f>_xlfn.XLOOKUP(CustomerCombined[[#This Row],[ID]], Table4[ID], Table4[Sweets], "Not Found", 0)</f>
        <v>14</v>
      </c>
      <c r="P674" s="5">
        <f>_xlfn.XLOOKUP(CustomerCombined[[#This Row],[ID]], Table4[ID], Table4[Premium], "Not Found", 0)</f>
        <v>9</v>
      </c>
      <c r="Q674" s="5">
        <f>_xlfn.XLOOKUP(CustomerCombined[[#This Row],[ID]], Table4[ID], Table4[Regular], "Not Found", 0)</f>
        <v>85</v>
      </c>
      <c r="R674" s="5">
        <f>_xlfn.XLOOKUP(CustomerCombined[[#This Row],[ID]], Table4[ID], Table4[Deals], "Not Found", 0)</f>
        <v>2</v>
      </c>
      <c r="S674" s="5">
        <f>_xlfn.XLOOKUP(CustomerCombined[[#This Row],[ID]], Table4[ID], Table4[Website], "Not Found", 0)</f>
        <v>1</v>
      </c>
      <c r="T674" s="5">
        <f>_xlfn.XLOOKUP(CustomerCombined[[#This Row],[ID]], Table4[ID], Table4[Catalog], "Not Found", 0)</f>
        <v>0</v>
      </c>
      <c r="U674" s="5">
        <f>_xlfn.XLOOKUP(CustomerCombined[[#This Row],[ID]], Table4[ID], Table4[Store], "Not Found", 0)</f>
        <v>3</v>
      </c>
      <c r="V674" s="5">
        <f>_xlfn.XLOOKUP(CustomerCombined[[#This Row],[ID]], Table4[ID], Table4[Visits], "Not Found", 0)</f>
        <v>7</v>
      </c>
      <c r="W674" s="8">
        <f>_xlfn.XLOOKUP(CustomerCombined[[#This Row],[ID]], Table2[ID],Table2[Complaint], "Not Found", 0 )</f>
        <v>0</v>
      </c>
      <c r="X674" s="8">
        <f>_xlfn.XLOOKUP(CustomerCombined[[#This Row],[ID]], Table2[ID],Table2[Pilot], "Not Found", 0 )</f>
        <v>0</v>
      </c>
      <c r="Y674" s="8">
        <f>_xlfn.XLOOKUP(CustomerCombined[[#This Row],[ID]], Table2[ID],Table2[MC1], "Not Found", 0 )</f>
        <v>0</v>
      </c>
      <c r="Z674" s="8">
        <f>_xlfn.XLOOKUP(CustomerCombined[[#This Row],[ID]], Table2[ID],Table2[MC2], "Not Found", 0 )</f>
        <v>0</v>
      </c>
      <c r="AA674" s="8">
        <f>_xlfn.XLOOKUP(CustomerCombined[[#This Row],[ID]], Table2[ID],Table2[MC3], "Not Found", 0 )</f>
        <v>0</v>
      </c>
      <c r="AB674" s="8">
        <f>_xlfn.XLOOKUP(CustomerCombined[[#This Row],[ID]], Table2[ID],Table2[MC4], "Not Found", 0 )</f>
        <v>0</v>
      </c>
      <c r="AC674" s="8">
        <f>_xlfn.XLOOKUP(CustomerCombined[[#This Row],[ID]], Table2[ID],Table2[MC5], "Not Found", 0 )</f>
        <v>0</v>
      </c>
    </row>
    <row r="675" spans="1:29" x14ac:dyDescent="0.3">
      <c r="A675" s="6">
        <v>1073</v>
      </c>
      <c r="B675" s="6">
        <v>126326</v>
      </c>
      <c r="C675" s="6">
        <v>0</v>
      </c>
      <c r="D675" s="6">
        <v>0</v>
      </c>
      <c r="E675" s="6">
        <v>44</v>
      </c>
      <c r="F675" s="5" t="s">
        <v>8</v>
      </c>
      <c r="G675" s="5" t="s">
        <v>442</v>
      </c>
      <c r="H675" s="3">
        <v>44076</v>
      </c>
      <c r="I675" s="5" t="s">
        <v>434</v>
      </c>
      <c r="J675" s="5">
        <f>_xlfn.XLOOKUP(CustomerCombined[[#This Row],[ID]], Table4[ID], Table4[Recency], "Not Found", 0)</f>
        <v>12</v>
      </c>
      <c r="K675" s="5">
        <f>_xlfn.XLOOKUP(CustomerCombined[[#This Row],[ID]], Table4[ID], Table4[Teas], "Not Found", 0)</f>
        <v>5</v>
      </c>
      <c r="L675" s="5">
        <f>_xlfn.XLOOKUP(CustomerCombined[[#This Row],[ID]], Table4[ID], Table4[Fruits], "Not Found", 0)</f>
        <v>0</v>
      </c>
      <c r="M675" s="5">
        <f>_xlfn.XLOOKUP(CustomerCombined[[#This Row],[ID]], Table4[ID], Table4[Meats], "Not Found", 0)</f>
        <v>24</v>
      </c>
      <c r="N675" s="5">
        <f>_xlfn.XLOOKUP(CustomerCombined[[#This Row],[ID]], Table4[ID], Table4[Seafood], "Not Found", 0)</f>
        <v>0</v>
      </c>
      <c r="O675" s="5">
        <f>_xlfn.XLOOKUP(CustomerCombined[[#This Row],[ID]], Table4[ID], Table4[Sweets], "Not Found", 0)</f>
        <v>14</v>
      </c>
      <c r="P675" s="5">
        <f>_xlfn.XLOOKUP(CustomerCombined[[#This Row],[ID]], Table4[ID], Table4[Premium], "Not Found", 0)</f>
        <v>43</v>
      </c>
      <c r="Q675" s="5">
        <f>_xlfn.XLOOKUP(CustomerCombined[[#This Row],[ID]], Table4[ID], Table4[Regular], "Not Found", 0)</f>
        <v>0</v>
      </c>
      <c r="R675" s="5">
        <f>_xlfn.XLOOKUP(CustomerCombined[[#This Row],[ID]], Table4[ID], Table4[Deals], "Not Found", 0)</f>
        <v>1</v>
      </c>
      <c r="S675" s="5">
        <f>_xlfn.XLOOKUP(CustomerCombined[[#This Row],[ID]], Table4[ID], Table4[Website], "Not Found", 0)</f>
        <v>0</v>
      </c>
      <c r="T675" s="5">
        <f>_xlfn.XLOOKUP(CustomerCombined[[#This Row],[ID]], Table4[ID], Table4[Catalog], "Not Found", 0)</f>
        <v>0</v>
      </c>
      <c r="U675" s="5">
        <f>_xlfn.XLOOKUP(CustomerCombined[[#This Row],[ID]], Table4[ID], Table4[Store], "Not Found", 0)</f>
        <v>3</v>
      </c>
      <c r="V675" s="5">
        <f>_xlfn.XLOOKUP(CustomerCombined[[#This Row],[ID]], Table4[ID], Table4[Visits], "Not Found", 0)</f>
        <v>3</v>
      </c>
      <c r="W675" s="8">
        <f>_xlfn.XLOOKUP(CustomerCombined[[#This Row],[ID]], Table2[ID],Table2[Complaint], "Not Found", 0 )</f>
        <v>1</v>
      </c>
      <c r="X675" s="8">
        <f>_xlfn.XLOOKUP(CustomerCombined[[#This Row],[ID]], Table2[ID],Table2[Pilot], "Not Found", 0 )</f>
        <v>0</v>
      </c>
      <c r="Y675" s="8">
        <f>_xlfn.XLOOKUP(CustomerCombined[[#This Row],[ID]], Table2[ID],Table2[MC1], "Not Found", 0 )</f>
        <v>0</v>
      </c>
      <c r="Z675" s="8">
        <f>_xlfn.XLOOKUP(CustomerCombined[[#This Row],[ID]], Table2[ID],Table2[MC2], "Not Found", 0 )</f>
        <v>0</v>
      </c>
      <c r="AA675" s="8">
        <f>_xlfn.XLOOKUP(CustomerCombined[[#This Row],[ID]], Table2[ID],Table2[MC3], "Not Found", 0 )</f>
        <v>0</v>
      </c>
      <c r="AB675" s="8">
        <f>_xlfn.XLOOKUP(CustomerCombined[[#This Row],[ID]], Table2[ID],Table2[MC4], "Not Found", 0 )</f>
        <v>0</v>
      </c>
      <c r="AC675" s="8">
        <f>_xlfn.XLOOKUP(CustomerCombined[[#This Row],[ID]], Table2[ID],Table2[MC5], "Not Found", 0 )</f>
        <v>0</v>
      </c>
    </row>
    <row r="676" spans="1:29" x14ac:dyDescent="0.3">
      <c r="A676" s="6">
        <v>3090</v>
      </c>
      <c r="B676" s="6">
        <v>125176</v>
      </c>
      <c r="C676" s="6">
        <v>1</v>
      </c>
      <c r="D676" s="6">
        <v>1</v>
      </c>
      <c r="E676" s="6">
        <v>44</v>
      </c>
      <c r="F676" s="5" t="s">
        <v>8</v>
      </c>
      <c r="G676" s="5" t="s">
        <v>442</v>
      </c>
      <c r="H676" s="3" t="s">
        <v>207</v>
      </c>
      <c r="I676" s="5" t="s">
        <v>436</v>
      </c>
      <c r="J676" s="5">
        <f>_xlfn.XLOOKUP(CustomerCombined[[#This Row],[ID]], Table4[ID], Table4[Recency], "Not Found", 0)</f>
        <v>79</v>
      </c>
      <c r="K676" s="5">
        <f>_xlfn.XLOOKUP(CustomerCombined[[#This Row],[ID]], Table4[ID], Table4[Teas], "Not Found", 0)</f>
        <v>20</v>
      </c>
      <c r="L676" s="5">
        <f>_xlfn.XLOOKUP(CustomerCombined[[#This Row],[ID]], Table4[ID], Table4[Fruits], "Not Found", 0)</f>
        <v>0</v>
      </c>
      <c r="M676" s="5">
        <f>_xlfn.XLOOKUP(CustomerCombined[[#This Row],[ID]], Table4[ID], Table4[Meats], "Not Found", 0)</f>
        <v>20</v>
      </c>
      <c r="N676" s="5">
        <f>_xlfn.XLOOKUP(CustomerCombined[[#This Row],[ID]], Table4[ID], Table4[Seafood], "Not Found", 0)</f>
        <v>0</v>
      </c>
      <c r="O676" s="5">
        <f>_xlfn.XLOOKUP(CustomerCombined[[#This Row],[ID]], Table4[ID], Table4[Sweets], "Not Found", 0)</f>
        <v>0</v>
      </c>
      <c r="P676" s="5">
        <f>_xlfn.XLOOKUP(CustomerCombined[[#This Row],[ID]], Table4[ID], Table4[Premium], "Not Found", 0)</f>
        <v>25</v>
      </c>
      <c r="Q676" s="5">
        <f>_xlfn.XLOOKUP(CustomerCombined[[#This Row],[ID]], Table4[ID], Table4[Regular], "Not Found", 0)</f>
        <v>15</v>
      </c>
      <c r="R676" s="5">
        <f>_xlfn.XLOOKUP(CustomerCombined[[#This Row],[ID]], Table4[ID], Table4[Deals], "Not Found", 0)</f>
        <v>1</v>
      </c>
      <c r="S676" s="5">
        <f>_xlfn.XLOOKUP(CustomerCombined[[#This Row],[ID]], Table4[ID], Table4[Website], "Not Found", 0)</f>
        <v>1</v>
      </c>
      <c r="T676" s="5">
        <f>_xlfn.XLOOKUP(CustomerCombined[[#This Row],[ID]], Table4[ID], Table4[Catalog], "Not Found", 0)</f>
        <v>0</v>
      </c>
      <c r="U676" s="5">
        <f>_xlfn.XLOOKUP(CustomerCombined[[#This Row],[ID]], Table4[ID], Table4[Store], "Not Found", 0)</f>
        <v>2</v>
      </c>
      <c r="V676" s="5">
        <f>_xlfn.XLOOKUP(CustomerCombined[[#This Row],[ID]], Table4[ID], Table4[Visits], "Not Found", 0)</f>
        <v>7</v>
      </c>
      <c r="W676" s="8">
        <f>_xlfn.XLOOKUP(CustomerCombined[[#This Row],[ID]], Table2[ID],Table2[Complaint], "Not Found", 0 )</f>
        <v>0</v>
      </c>
      <c r="X676" s="8">
        <f>_xlfn.XLOOKUP(CustomerCombined[[#This Row],[ID]], Table2[ID],Table2[Pilot], "Not Found", 0 )</f>
        <v>0</v>
      </c>
      <c r="Y676" s="8">
        <f>_xlfn.XLOOKUP(CustomerCombined[[#This Row],[ID]], Table2[ID],Table2[MC1], "Not Found", 0 )</f>
        <v>0</v>
      </c>
      <c r="Z676" s="8">
        <f>_xlfn.XLOOKUP(CustomerCombined[[#This Row],[ID]], Table2[ID],Table2[MC2], "Not Found", 0 )</f>
        <v>0</v>
      </c>
      <c r="AA676" s="8">
        <f>_xlfn.XLOOKUP(CustomerCombined[[#This Row],[ID]], Table2[ID],Table2[MC3], "Not Found", 0 )</f>
        <v>0</v>
      </c>
      <c r="AB676" s="8">
        <f>_xlfn.XLOOKUP(CustomerCombined[[#This Row],[ID]], Table2[ID],Table2[MC4], "Not Found", 0 )</f>
        <v>0</v>
      </c>
      <c r="AC676" s="8">
        <f>_xlfn.XLOOKUP(CustomerCombined[[#This Row],[ID]], Table2[ID],Table2[MC5], "Not Found", 0 )</f>
        <v>0</v>
      </c>
    </row>
    <row r="677" spans="1:29" x14ac:dyDescent="0.3">
      <c r="A677" s="6">
        <v>1432</v>
      </c>
      <c r="B677" s="6">
        <v>124027</v>
      </c>
      <c r="C677" s="6">
        <v>1</v>
      </c>
      <c r="D677" s="6">
        <v>0</v>
      </c>
      <c r="E677" s="6">
        <v>44</v>
      </c>
      <c r="F677" s="5" t="s">
        <v>6</v>
      </c>
      <c r="G677" s="5" t="s">
        <v>11</v>
      </c>
      <c r="H677" s="3" t="s">
        <v>243</v>
      </c>
      <c r="I677" s="5" t="s">
        <v>439</v>
      </c>
      <c r="J677" s="5">
        <f>_xlfn.XLOOKUP(CustomerCombined[[#This Row],[ID]], Table4[ID], Table4[Recency], "Not Found", 0)</f>
        <v>7</v>
      </c>
      <c r="K677" s="5">
        <f>_xlfn.XLOOKUP(CustomerCombined[[#This Row],[ID]], Table4[ID], Table4[Teas], "Not Found", 0)</f>
        <v>72</v>
      </c>
      <c r="L677" s="5">
        <f>_xlfn.XLOOKUP(CustomerCombined[[#This Row],[ID]], Table4[ID], Table4[Fruits], "Not Found", 0)</f>
        <v>36</v>
      </c>
      <c r="M677" s="5">
        <f>_xlfn.XLOOKUP(CustomerCombined[[#This Row],[ID]], Table4[ID], Table4[Meats], "Not Found", 0)</f>
        <v>57</v>
      </c>
      <c r="N677" s="5">
        <f>_xlfn.XLOOKUP(CustomerCombined[[#This Row],[ID]], Table4[ID], Table4[Seafood], "Not Found", 0)</f>
        <v>57</v>
      </c>
      <c r="O677" s="5">
        <f>_xlfn.XLOOKUP(CustomerCombined[[#This Row],[ID]], Table4[ID], Table4[Sweets], "Not Found", 0)</f>
        <v>0</v>
      </c>
      <c r="P677" s="5">
        <f>_xlfn.XLOOKUP(CustomerCombined[[#This Row],[ID]], Table4[ID], Table4[Premium], "Not Found", 0)</f>
        <v>26</v>
      </c>
      <c r="Q677" s="5">
        <f>_xlfn.XLOOKUP(CustomerCombined[[#This Row],[ID]], Table4[ID], Table4[Regular], "Not Found", 0)</f>
        <v>196</v>
      </c>
      <c r="R677" s="5">
        <f>_xlfn.XLOOKUP(CustomerCombined[[#This Row],[ID]], Table4[ID], Table4[Deals], "Not Found", 0)</f>
        <v>2</v>
      </c>
      <c r="S677" s="5">
        <f>_xlfn.XLOOKUP(CustomerCombined[[#This Row],[ID]], Table4[ID], Table4[Website], "Not Found", 0)</f>
        <v>2</v>
      </c>
      <c r="T677" s="5">
        <f>_xlfn.XLOOKUP(CustomerCombined[[#This Row],[ID]], Table4[ID], Table4[Catalog], "Not Found", 0)</f>
        <v>0</v>
      </c>
      <c r="U677" s="5">
        <f>_xlfn.XLOOKUP(CustomerCombined[[#This Row],[ID]], Table4[ID], Table4[Store], "Not Found", 0)</f>
        <v>3</v>
      </c>
      <c r="V677" s="5">
        <f>_xlfn.XLOOKUP(CustomerCombined[[#This Row],[ID]], Table4[ID], Table4[Visits], "Not Found", 0)</f>
        <v>8</v>
      </c>
      <c r="W677" s="8">
        <f>_xlfn.XLOOKUP(CustomerCombined[[#This Row],[ID]], Table2[ID],Table2[Complaint], "Not Found", 0 )</f>
        <v>0</v>
      </c>
      <c r="X677" s="8">
        <f>_xlfn.XLOOKUP(CustomerCombined[[#This Row],[ID]], Table2[ID],Table2[Pilot], "Not Found", 0 )</f>
        <v>0</v>
      </c>
      <c r="Y677" s="8">
        <f>_xlfn.XLOOKUP(CustomerCombined[[#This Row],[ID]], Table2[ID],Table2[MC1], "Not Found", 0 )</f>
        <v>0</v>
      </c>
      <c r="Z677" s="8">
        <f>_xlfn.XLOOKUP(CustomerCombined[[#This Row],[ID]], Table2[ID],Table2[MC2], "Not Found", 0 )</f>
        <v>0</v>
      </c>
      <c r="AA677" s="8">
        <f>_xlfn.XLOOKUP(CustomerCombined[[#This Row],[ID]], Table2[ID],Table2[MC3], "Not Found", 0 )</f>
        <v>0</v>
      </c>
      <c r="AB677" s="8">
        <f>_xlfn.XLOOKUP(CustomerCombined[[#This Row],[ID]], Table2[ID],Table2[MC4], "Not Found", 0 )</f>
        <v>0</v>
      </c>
      <c r="AC677" s="8">
        <f>_xlfn.XLOOKUP(CustomerCombined[[#This Row],[ID]], Table2[ID],Table2[MC5], "Not Found", 0 )</f>
        <v>0</v>
      </c>
    </row>
    <row r="678" spans="1:29" x14ac:dyDescent="0.3">
      <c r="A678" s="6">
        <v>1036</v>
      </c>
      <c r="B678" s="6">
        <v>123718</v>
      </c>
      <c r="C678" s="6">
        <v>1</v>
      </c>
      <c r="D678" s="6">
        <v>0</v>
      </c>
      <c r="E678" s="6">
        <v>44</v>
      </c>
      <c r="F678" s="5" t="s">
        <v>6</v>
      </c>
      <c r="G678" s="5" t="s">
        <v>442</v>
      </c>
      <c r="H678" s="3">
        <v>44014</v>
      </c>
      <c r="I678" s="5" t="s">
        <v>439</v>
      </c>
      <c r="J678" s="5">
        <f>_xlfn.XLOOKUP(CustomerCombined[[#This Row],[ID]], Table4[ID], Table4[Recency], "Not Found", 0)</f>
        <v>76</v>
      </c>
      <c r="K678" s="5">
        <f>_xlfn.XLOOKUP(CustomerCombined[[#This Row],[ID]], Table4[ID], Table4[Teas], "Not Found", 0)</f>
        <v>31</v>
      </c>
      <c r="L678" s="5">
        <f>_xlfn.XLOOKUP(CustomerCombined[[#This Row],[ID]], Table4[ID], Table4[Fruits], "Not Found", 0)</f>
        <v>16</v>
      </c>
      <c r="M678" s="5">
        <f>_xlfn.XLOOKUP(CustomerCombined[[#This Row],[ID]], Table4[ID], Table4[Meats], "Not Found", 0)</f>
        <v>73</v>
      </c>
      <c r="N678" s="5">
        <f>_xlfn.XLOOKUP(CustomerCombined[[#This Row],[ID]], Table4[ID], Table4[Seafood], "Not Found", 0)</f>
        <v>78</v>
      </c>
      <c r="O678" s="5">
        <f>_xlfn.XLOOKUP(CustomerCombined[[#This Row],[ID]], Table4[ID], Table4[Sweets], "Not Found", 0)</f>
        <v>37</v>
      </c>
      <c r="P678" s="5">
        <f>_xlfn.XLOOKUP(CustomerCombined[[#This Row],[ID]], Table4[ID], Table4[Premium], "Not Found", 0)</f>
        <v>188</v>
      </c>
      <c r="Q678" s="5">
        <f>_xlfn.XLOOKUP(CustomerCombined[[#This Row],[ID]], Table4[ID], Table4[Regular], "Not Found", 0)</f>
        <v>47</v>
      </c>
      <c r="R678" s="5">
        <f>_xlfn.XLOOKUP(CustomerCombined[[#This Row],[ID]], Table4[ID], Table4[Deals], "Not Found", 0)</f>
        <v>3</v>
      </c>
      <c r="S678" s="5">
        <f>_xlfn.XLOOKUP(CustomerCombined[[#This Row],[ID]], Table4[ID], Table4[Website], "Not Found", 0)</f>
        <v>3</v>
      </c>
      <c r="T678" s="5">
        <f>_xlfn.XLOOKUP(CustomerCombined[[#This Row],[ID]], Table4[ID], Table4[Catalog], "Not Found", 0)</f>
        <v>1</v>
      </c>
      <c r="U678" s="5">
        <f>_xlfn.XLOOKUP(CustomerCombined[[#This Row],[ID]], Table4[ID], Table4[Store], "Not Found", 0)</f>
        <v>2</v>
      </c>
      <c r="V678" s="5">
        <f>_xlfn.XLOOKUP(CustomerCombined[[#This Row],[ID]], Table4[ID], Table4[Visits], "Not Found", 0)</f>
        <v>7</v>
      </c>
      <c r="W678" s="8">
        <f>_xlfn.XLOOKUP(CustomerCombined[[#This Row],[ID]], Table2[ID],Table2[Complaint], "Not Found", 0 )</f>
        <v>0</v>
      </c>
      <c r="X678" s="8">
        <f>_xlfn.XLOOKUP(CustomerCombined[[#This Row],[ID]], Table2[ID],Table2[Pilot], "Not Found", 0 )</f>
        <v>0</v>
      </c>
      <c r="Y678" s="8">
        <f>_xlfn.XLOOKUP(CustomerCombined[[#This Row],[ID]], Table2[ID],Table2[MC1], "Not Found", 0 )</f>
        <v>0</v>
      </c>
      <c r="Z678" s="8">
        <f>_xlfn.XLOOKUP(CustomerCombined[[#This Row],[ID]], Table2[ID],Table2[MC2], "Not Found", 0 )</f>
        <v>0</v>
      </c>
      <c r="AA678" s="8">
        <f>_xlfn.XLOOKUP(CustomerCombined[[#This Row],[ID]], Table2[ID],Table2[MC3], "Not Found", 0 )</f>
        <v>0</v>
      </c>
      <c r="AB678" s="8">
        <f>_xlfn.XLOOKUP(CustomerCombined[[#This Row],[ID]], Table2[ID],Table2[MC4], "Not Found", 0 )</f>
        <v>0</v>
      </c>
      <c r="AC678" s="8">
        <f>_xlfn.XLOOKUP(CustomerCombined[[#This Row],[ID]], Table2[ID],Table2[MC5], "Not Found", 0 )</f>
        <v>0</v>
      </c>
    </row>
    <row r="679" spans="1:29" x14ac:dyDescent="0.3">
      <c r="A679" s="6">
        <v>1853</v>
      </c>
      <c r="B679" s="6">
        <v>121675</v>
      </c>
      <c r="C679" s="6">
        <v>1</v>
      </c>
      <c r="D679" s="6">
        <v>0</v>
      </c>
      <c r="E679" s="6">
        <v>44</v>
      </c>
      <c r="F679" s="5" t="s">
        <v>8</v>
      </c>
      <c r="G679" s="5" t="s">
        <v>11</v>
      </c>
      <c r="H679" s="3" t="s">
        <v>38</v>
      </c>
      <c r="I679" s="5" t="s">
        <v>434</v>
      </c>
      <c r="J679" s="5">
        <f>_xlfn.XLOOKUP(CustomerCombined[[#This Row],[ID]], Table4[ID], Table4[Recency], "Not Found", 0)</f>
        <v>55</v>
      </c>
      <c r="K679" s="5">
        <f>_xlfn.XLOOKUP(CustomerCombined[[#This Row],[ID]], Table4[ID], Table4[Teas], "Not Found", 0)</f>
        <v>22</v>
      </c>
      <c r="L679" s="5">
        <f>_xlfn.XLOOKUP(CustomerCombined[[#This Row],[ID]], Table4[ID], Table4[Fruits], "Not Found", 0)</f>
        <v>0</v>
      </c>
      <c r="M679" s="5">
        <f>_xlfn.XLOOKUP(CustomerCombined[[#This Row],[ID]], Table4[ID], Table4[Meats], "Not Found", 0)</f>
        <v>90</v>
      </c>
      <c r="N679" s="5">
        <f>_xlfn.XLOOKUP(CustomerCombined[[#This Row],[ID]], Table4[ID], Table4[Seafood], "Not Found", 0)</f>
        <v>95</v>
      </c>
      <c r="O679" s="5">
        <f>_xlfn.XLOOKUP(CustomerCombined[[#This Row],[ID]], Table4[ID], Table4[Sweets], "Not Found", 0)</f>
        <v>22</v>
      </c>
      <c r="P679" s="5">
        <f>_xlfn.XLOOKUP(CustomerCombined[[#This Row],[ID]], Table4[ID], Table4[Premium], "Not Found", 0)</f>
        <v>22</v>
      </c>
      <c r="Q679" s="5">
        <f>_xlfn.XLOOKUP(CustomerCombined[[#This Row],[ID]], Table4[ID], Table4[Regular], "Not Found", 0)</f>
        <v>208</v>
      </c>
      <c r="R679" s="5">
        <f>_xlfn.XLOOKUP(CustomerCombined[[#This Row],[ID]], Table4[ID], Table4[Deals], "Not Found", 0)</f>
        <v>3</v>
      </c>
      <c r="S679" s="5">
        <f>_xlfn.XLOOKUP(CustomerCombined[[#This Row],[ID]], Table4[ID], Table4[Website], "Not Found", 0)</f>
        <v>4</v>
      </c>
      <c r="T679" s="5">
        <f>_xlfn.XLOOKUP(CustomerCombined[[#This Row],[ID]], Table4[ID], Table4[Catalog], "Not Found", 0)</f>
        <v>0</v>
      </c>
      <c r="U679" s="5">
        <f>_xlfn.XLOOKUP(CustomerCombined[[#This Row],[ID]], Table4[ID], Table4[Store], "Not Found", 0)</f>
        <v>3</v>
      </c>
      <c r="V679" s="5">
        <f>_xlfn.XLOOKUP(CustomerCombined[[#This Row],[ID]], Table4[ID], Table4[Visits], "Not Found", 0)</f>
        <v>7</v>
      </c>
      <c r="W679" s="8">
        <f>_xlfn.XLOOKUP(CustomerCombined[[#This Row],[ID]], Table2[ID],Table2[Complaint], "Not Found", 0 )</f>
        <v>0</v>
      </c>
      <c r="X679" s="8">
        <f>_xlfn.XLOOKUP(CustomerCombined[[#This Row],[ID]], Table2[ID],Table2[Pilot], "Not Found", 0 )</f>
        <v>0</v>
      </c>
      <c r="Y679" s="8">
        <f>_xlfn.XLOOKUP(CustomerCombined[[#This Row],[ID]], Table2[ID],Table2[MC1], "Not Found", 0 )</f>
        <v>0</v>
      </c>
      <c r="Z679" s="8">
        <f>_xlfn.XLOOKUP(CustomerCombined[[#This Row],[ID]], Table2[ID],Table2[MC2], "Not Found", 0 )</f>
        <v>0</v>
      </c>
      <c r="AA679" s="8">
        <f>_xlfn.XLOOKUP(CustomerCombined[[#This Row],[ID]], Table2[ID],Table2[MC3], "Not Found", 0 )</f>
        <v>0</v>
      </c>
      <c r="AB679" s="8">
        <f>_xlfn.XLOOKUP(CustomerCombined[[#This Row],[ID]], Table2[ID],Table2[MC4], "Not Found", 0 )</f>
        <v>0</v>
      </c>
      <c r="AC679" s="8">
        <f>_xlfn.XLOOKUP(CustomerCombined[[#This Row],[ID]], Table2[ID],Table2[MC5], "Not Found", 0 )</f>
        <v>0</v>
      </c>
    </row>
    <row r="680" spans="1:29" x14ac:dyDescent="0.3">
      <c r="A680" s="6">
        <v>2832</v>
      </c>
      <c r="B680" s="6">
        <v>121024</v>
      </c>
      <c r="C680" s="6">
        <v>0</v>
      </c>
      <c r="D680" s="6">
        <v>0</v>
      </c>
      <c r="E680" s="6">
        <v>44</v>
      </c>
      <c r="F680" s="5" t="s">
        <v>8</v>
      </c>
      <c r="G680" s="5" t="s">
        <v>12</v>
      </c>
      <c r="H680" s="3">
        <v>43720</v>
      </c>
      <c r="I680" s="5" t="s">
        <v>436</v>
      </c>
      <c r="J680" s="5">
        <f>_xlfn.XLOOKUP(CustomerCombined[[#This Row],[ID]], Table4[ID], Table4[Recency], "Not Found", 0)</f>
        <v>89</v>
      </c>
      <c r="K680" s="5">
        <f>_xlfn.XLOOKUP(CustomerCombined[[#This Row],[ID]], Table4[ID], Table4[Teas], "Not Found", 0)</f>
        <v>207</v>
      </c>
      <c r="L680" s="5">
        <f>_xlfn.XLOOKUP(CustomerCombined[[#This Row],[ID]], Table4[ID], Table4[Fruits], "Not Found", 0)</f>
        <v>23</v>
      </c>
      <c r="M680" s="5">
        <f>_xlfn.XLOOKUP(CustomerCombined[[#This Row],[ID]], Table4[ID], Table4[Meats], "Not Found", 0)</f>
        <v>104</v>
      </c>
      <c r="N680" s="5">
        <f>_xlfn.XLOOKUP(CustomerCombined[[#This Row],[ID]], Table4[ID], Table4[Seafood], "Not Found", 0)</f>
        <v>35</v>
      </c>
      <c r="O680" s="5">
        <f>_xlfn.XLOOKUP(CustomerCombined[[#This Row],[ID]], Table4[ID], Table4[Sweets], "Not Found", 0)</f>
        <v>12</v>
      </c>
      <c r="P680" s="5">
        <f>_xlfn.XLOOKUP(CustomerCombined[[#This Row],[ID]], Table4[ID], Table4[Premium], "Not Found", 0)</f>
        <v>104</v>
      </c>
      <c r="Q680" s="5">
        <f>_xlfn.XLOOKUP(CustomerCombined[[#This Row],[ID]], Table4[ID], Table4[Regular], "Not Found", 0)</f>
        <v>276</v>
      </c>
      <c r="R680" s="5">
        <f>_xlfn.XLOOKUP(CustomerCombined[[#This Row],[ID]], Table4[ID], Table4[Deals], "Not Found", 0)</f>
        <v>1</v>
      </c>
      <c r="S680" s="5">
        <f>_xlfn.XLOOKUP(CustomerCombined[[#This Row],[ID]], Table4[ID], Table4[Website], "Not Found", 0)</f>
        <v>2</v>
      </c>
      <c r="T680" s="5">
        <f>_xlfn.XLOOKUP(CustomerCombined[[#This Row],[ID]], Table4[ID], Table4[Catalog], "Not Found", 0)</f>
        <v>0</v>
      </c>
      <c r="U680" s="5">
        <f>_xlfn.XLOOKUP(CustomerCombined[[#This Row],[ID]], Table4[ID], Table4[Store], "Not Found", 0)</f>
        <v>4</v>
      </c>
      <c r="V680" s="5">
        <f>_xlfn.XLOOKUP(CustomerCombined[[#This Row],[ID]], Table4[ID], Table4[Visits], "Not Found", 0)</f>
        <v>7</v>
      </c>
      <c r="W680" s="8">
        <f>_xlfn.XLOOKUP(CustomerCombined[[#This Row],[ID]], Table2[ID],Table2[Complaint], "Not Found", 0 )</f>
        <v>0</v>
      </c>
      <c r="X680" s="8">
        <f>_xlfn.XLOOKUP(CustomerCombined[[#This Row],[ID]], Table2[ID],Table2[Pilot], "Not Found", 0 )</f>
        <v>0</v>
      </c>
      <c r="Y680" s="8">
        <f>_xlfn.XLOOKUP(CustomerCombined[[#This Row],[ID]], Table2[ID],Table2[MC1], "Not Found", 0 )</f>
        <v>0</v>
      </c>
      <c r="Z680" s="8">
        <f>_xlfn.XLOOKUP(CustomerCombined[[#This Row],[ID]], Table2[ID],Table2[MC2], "Not Found", 0 )</f>
        <v>0</v>
      </c>
      <c r="AA680" s="8">
        <f>_xlfn.XLOOKUP(CustomerCombined[[#This Row],[ID]], Table2[ID],Table2[MC3], "Not Found", 0 )</f>
        <v>0</v>
      </c>
      <c r="AB680" s="8">
        <f>_xlfn.XLOOKUP(CustomerCombined[[#This Row],[ID]], Table2[ID],Table2[MC4], "Not Found", 0 )</f>
        <v>0</v>
      </c>
      <c r="AC680" s="8">
        <f>_xlfn.XLOOKUP(CustomerCombined[[#This Row],[ID]], Table2[ID],Table2[MC5], "Not Found", 0 )</f>
        <v>0</v>
      </c>
    </row>
    <row r="681" spans="1:29" x14ac:dyDescent="0.3">
      <c r="A681" s="6">
        <v>2000</v>
      </c>
      <c r="B681" s="6">
        <v>120180</v>
      </c>
      <c r="C681" s="6">
        <v>0</v>
      </c>
      <c r="D681" s="6">
        <v>0</v>
      </c>
      <c r="E681" s="6">
        <v>44</v>
      </c>
      <c r="F681" s="5" t="s">
        <v>7</v>
      </c>
      <c r="G681" s="5" t="s">
        <v>11</v>
      </c>
      <c r="H681" s="3" t="s">
        <v>303</v>
      </c>
      <c r="I681" s="5" t="s">
        <v>438</v>
      </c>
      <c r="J681" s="5">
        <f>_xlfn.XLOOKUP(CustomerCombined[[#This Row],[ID]], Table4[ID], Table4[Recency], "Not Found", 0)</f>
        <v>27</v>
      </c>
      <c r="K681" s="5">
        <f>_xlfn.XLOOKUP(CustomerCombined[[#This Row],[ID]], Table4[ID], Table4[Teas], "Not Found", 0)</f>
        <v>107</v>
      </c>
      <c r="L681" s="5">
        <f>_xlfn.XLOOKUP(CustomerCombined[[#This Row],[ID]], Table4[ID], Table4[Fruits], "Not Found", 0)</f>
        <v>250</v>
      </c>
      <c r="M681" s="5">
        <f>_xlfn.XLOOKUP(CustomerCombined[[#This Row],[ID]], Table4[ID], Table4[Meats], "Not Found", 0)</f>
        <v>143</v>
      </c>
      <c r="N681" s="5">
        <f>_xlfn.XLOOKUP(CustomerCombined[[#This Row],[ID]], Table4[ID], Table4[Seafood], "Not Found", 0)</f>
        <v>89</v>
      </c>
      <c r="O681" s="5">
        <f>_xlfn.XLOOKUP(CustomerCombined[[#This Row],[ID]], Table4[ID], Table4[Sweets], "Not Found", 0)</f>
        <v>119</v>
      </c>
      <c r="P681" s="5">
        <f>_xlfn.XLOOKUP(CustomerCombined[[#This Row],[ID]], Table4[ID], Table4[Premium], "Not Found", 0)</f>
        <v>107</v>
      </c>
      <c r="Q681" s="5">
        <f>_xlfn.XLOOKUP(CustomerCombined[[#This Row],[ID]], Table4[ID], Table4[Regular], "Not Found", 0)</f>
        <v>601</v>
      </c>
      <c r="R681" s="5">
        <f>_xlfn.XLOOKUP(CustomerCombined[[#This Row],[ID]], Table4[ID], Table4[Deals], "Not Found", 0)</f>
        <v>1</v>
      </c>
      <c r="S681" s="5">
        <f>_xlfn.XLOOKUP(CustomerCombined[[#This Row],[ID]], Table4[ID], Table4[Website], "Not Found", 0)</f>
        <v>2</v>
      </c>
      <c r="T681" s="5">
        <f>_xlfn.XLOOKUP(CustomerCombined[[#This Row],[ID]], Table4[ID], Table4[Catalog], "Not Found", 0)</f>
        <v>1</v>
      </c>
      <c r="U681" s="5">
        <f>_xlfn.XLOOKUP(CustomerCombined[[#This Row],[ID]], Table4[ID], Table4[Store], "Not Found", 0)</f>
        <v>4</v>
      </c>
      <c r="V681" s="5">
        <f>_xlfn.XLOOKUP(CustomerCombined[[#This Row],[ID]], Table4[ID], Table4[Visits], "Not Found", 0)</f>
        <v>7</v>
      </c>
      <c r="W681" s="8">
        <f>_xlfn.XLOOKUP(CustomerCombined[[#This Row],[ID]], Table2[ID],Table2[Complaint], "Not Found", 0 )</f>
        <v>0</v>
      </c>
      <c r="X681" s="8">
        <f>_xlfn.XLOOKUP(CustomerCombined[[#This Row],[ID]], Table2[ID],Table2[Pilot], "Not Found", 0 )</f>
        <v>0</v>
      </c>
      <c r="Y681" s="8">
        <f>_xlfn.XLOOKUP(CustomerCombined[[#This Row],[ID]], Table2[ID],Table2[MC1], "Not Found", 0 )</f>
        <v>0</v>
      </c>
      <c r="Z681" s="8">
        <f>_xlfn.XLOOKUP(CustomerCombined[[#This Row],[ID]], Table2[ID],Table2[MC2], "Not Found", 0 )</f>
        <v>0</v>
      </c>
      <c r="AA681" s="8">
        <f>_xlfn.XLOOKUP(CustomerCombined[[#This Row],[ID]], Table2[ID],Table2[MC3], "Not Found", 0 )</f>
        <v>0</v>
      </c>
      <c r="AB681" s="8">
        <f>_xlfn.XLOOKUP(CustomerCombined[[#This Row],[ID]], Table2[ID],Table2[MC4], "Not Found", 0 )</f>
        <v>0</v>
      </c>
      <c r="AC681" s="8">
        <f>_xlfn.XLOOKUP(CustomerCombined[[#This Row],[ID]], Table2[ID],Table2[MC5], "Not Found", 0 )</f>
        <v>0</v>
      </c>
    </row>
    <row r="682" spans="1:29" x14ac:dyDescent="0.3">
      <c r="A682" s="6">
        <v>2893</v>
      </c>
      <c r="B682" s="6">
        <v>120180</v>
      </c>
      <c r="C682" s="6">
        <v>0</v>
      </c>
      <c r="D682" s="6">
        <v>0</v>
      </c>
      <c r="E682" s="6">
        <v>44</v>
      </c>
      <c r="F682" s="5" t="s">
        <v>7</v>
      </c>
      <c r="G682" s="5" t="s">
        <v>11</v>
      </c>
      <c r="H682" s="3" t="s">
        <v>303</v>
      </c>
      <c r="I682" s="5" t="s">
        <v>437</v>
      </c>
      <c r="J682" s="5">
        <f>_xlfn.XLOOKUP(CustomerCombined[[#This Row],[ID]], Table4[ID], Table4[Recency], "Not Found", 0)</f>
        <v>27</v>
      </c>
      <c r="K682" s="5">
        <f>_xlfn.XLOOKUP(CustomerCombined[[#This Row],[ID]], Table4[ID], Table4[Teas], "Not Found", 0)</f>
        <v>107</v>
      </c>
      <c r="L682" s="5">
        <f>_xlfn.XLOOKUP(CustomerCombined[[#This Row],[ID]], Table4[ID], Table4[Fruits], "Not Found", 0)</f>
        <v>250</v>
      </c>
      <c r="M682" s="5">
        <f>_xlfn.XLOOKUP(CustomerCombined[[#This Row],[ID]], Table4[ID], Table4[Meats], "Not Found", 0)</f>
        <v>143</v>
      </c>
      <c r="N682" s="5">
        <f>_xlfn.XLOOKUP(CustomerCombined[[#This Row],[ID]], Table4[ID], Table4[Seafood], "Not Found", 0)</f>
        <v>89</v>
      </c>
      <c r="O682" s="5">
        <f>_xlfn.XLOOKUP(CustomerCombined[[#This Row],[ID]], Table4[ID], Table4[Sweets], "Not Found", 0)</f>
        <v>119</v>
      </c>
      <c r="P682" s="5">
        <f>_xlfn.XLOOKUP(CustomerCombined[[#This Row],[ID]], Table4[ID], Table4[Premium], "Not Found", 0)</f>
        <v>107</v>
      </c>
      <c r="Q682" s="5">
        <f>_xlfn.XLOOKUP(CustomerCombined[[#This Row],[ID]], Table4[ID], Table4[Regular], "Not Found", 0)</f>
        <v>601</v>
      </c>
      <c r="R682" s="5">
        <f>_xlfn.XLOOKUP(CustomerCombined[[#This Row],[ID]], Table4[ID], Table4[Deals], "Not Found", 0)</f>
        <v>1</v>
      </c>
      <c r="S682" s="5">
        <f>_xlfn.XLOOKUP(CustomerCombined[[#This Row],[ID]], Table4[ID], Table4[Website], "Not Found", 0)</f>
        <v>2</v>
      </c>
      <c r="T682" s="5">
        <f>_xlfn.XLOOKUP(CustomerCombined[[#This Row],[ID]], Table4[ID], Table4[Catalog], "Not Found", 0)</f>
        <v>1</v>
      </c>
      <c r="U682" s="5">
        <f>_xlfn.XLOOKUP(CustomerCombined[[#This Row],[ID]], Table4[ID], Table4[Store], "Not Found", 0)</f>
        <v>4</v>
      </c>
      <c r="V682" s="5">
        <f>_xlfn.XLOOKUP(CustomerCombined[[#This Row],[ID]], Table4[ID], Table4[Visits], "Not Found", 0)</f>
        <v>7</v>
      </c>
      <c r="W682" s="8">
        <f>_xlfn.XLOOKUP(CustomerCombined[[#This Row],[ID]], Table2[ID],Table2[Complaint], "Not Found", 0 )</f>
        <v>0</v>
      </c>
      <c r="X682" s="8">
        <f>_xlfn.XLOOKUP(CustomerCombined[[#This Row],[ID]], Table2[ID],Table2[Pilot], "Not Found", 0 )</f>
        <v>0</v>
      </c>
      <c r="Y682" s="8">
        <f>_xlfn.XLOOKUP(CustomerCombined[[#This Row],[ID]], Table2[ID],Table2[MC1], "Not Found", 0 )</f>
        <v>0</v>
      </c>
      <c r="Z682" s="8">
        <f>_xlfn.XLOOKUP(CustomerCombined[[#This Row],[ID]], Table2[ID],Table2[MC2], "Not Found", 0 )</f>
        <v>0</v>
      </c>
      <c r="AA682" s="8">
        <f>_xlfn.XLOOKUP(CustomerCombined[[#This Row],[ID]], Table2[ID],Table2[MC3], "Not Found", 0 )</f>
        <v>0</v>
      </c>
      <c r="AB682" s="8">
        <f>_xlfn.XLOOKUP(CustomerCombined[[#This Row],[ID]], Table2[ID],Table2[MC4], "Not Found", 0 )</f>
        <v>0</v>
      </c>
      <c r="AC682" s="8">
        <f>_xlfn.XLOOKUP(CustomerCombined[[#This Row],[ID]], Table2[ID],Table2[MC5], "Not Found", 0 )</f>
        <v>0</v>
      </c>
    </row>
    <row r="683" spans="1:29" x14ac:dyDescent="0.3">
      <c r="A683" s="6">
        <v>3007</v>
      </c>
      <c r="B683" s="6">
        <v>117649</v>
      </c>
      <c r="C683" s="6">
        <v>1</v>
      </c>
      <c r="D683" s="6">
        <v>0</v>
      </c>
      <c r="E683" s="6">
        <v>44</v>
      </c>
      <c r="F683" s="5" t="s">
        <v>6</v>
      </c>
      <c r="G683" s="5" t="s">
        <v>11</v>
      </c>
      <c r="H683" s="3" t="s">
        <v>152</v>
      </c>
      <c r="I683" s="5" t="s">
        <v>437</v>
      </c>
      <c r="J683" s="5">
        <f>_xlfn.XLOOKUP(CustomerCombined[[#This Row],[ID]], Table4[ID], Table4[Recency], "Not Found", 0)</f>
        <v>70</v>
      </c>
      <c r="K683" s="5">
        <f>_xlfn.XLOOKUP(CustomerCombined[[#This Row],[ID]], Table4[ID], Table4[Teas], "Not Found", 0)</f>
        <v>100</v>
      </c>
      <c r="L683" s="5">
        <f>_xlfn.XLOOKUP(CustomerCombined[[#This Row],[ID]], Table4[ID], Table4[Fruits], "Not Found", 0)</f>
        <v>7</v>
      </c>
      <c r="M683" s="5">
        <f>_xlfn.XLOOKUP(CustomerCombined[[#This Row],[ID]], Table4[ID], Table4[Meats], "Not Found", 0)</f>
        <v>153</v>
      </c>
      <c r="N683" s="5">
        <f>_xlfn.XLOOKUP(CustomerCombined[[#This Row],[ID]], Table4[ID], Table4[Seafood], "Not Found", 0)</f>
        <v>0</v>
      </c>
      <c r="O683" s="5">
        <f>_xlfn.XLOOKUP(CustomerCombined[[#This Row],[ID]], Table4[ID], Table4[Sweets], "Not Found", 0)</f>
        <v>33</v>
      </c>
      <c r="P683" s="5">
        <f>_xlfn.XLOOKUP(CustomerCombined[[#This Row],[ID]], Table4[ID], Table4[Premium], "Not Found", 0)</f>
        <v>7</v>
      </c>
      <c r="Q683" s="5">
        <f>_xlfn.XLOOKUP(CustomerCombined[[#This Row],[ID]], Table4[ID], Table4[Regular], "Not Found", 0)</f>
        <v>287</v>
      </c>
      <c r="R683" s="5">
        <f>_xlfn.XLOOKUP(CustomerCombined[[#This Row],[ID]], Table4[ID], Table4[Deals], "Not Found", 0)</f>
        <v>3</v>
      </c>
      <c r="S683" s="5">
        <f>_xlfn.XLOOKUP(CustomerCombined[[#This Row],[ID]], Table4[ID], Table4[Website], "Not Found", 0)</f>
        <v>3</v>
      </c>
      <c r="T683" s="5">
        <f>_xlfn.XLOOKUP(CustomerCombined[[#This Row],[ID]], Table4[ID], Table4[Catalog], "Not Found", 0)</f>
        <v>0</v>
      </c>
      <c r="U683" s="5">
        <f>_xlfn.XLOOKUP(CustomerCombined[[#This Row],[ID]], Table4[ID], Table4[Store], "Not Found", 0)</f>
        <v>3</v>
      </c>
      <c r="V683" s="5">
        <f>_xlfn.XLOOKUP(CustomerCombined[[#This Row],[ID]], Table4[ID], Table4[Visits], "Not Found", 0)</f>
        <v>8</v>
      </c>
      <c r="W683" s="8">
        <f>_xlfn.XLOOKUP(CustomerCombined[[#This Row],[ID]], Table2[ID],Table2[Complaint], "Not Found", 0 )</f>
        <v>0</v>
      </c>
      <c r="X683" s="8">
        <f>_xlfn.XLOOKUP(CustomerCombined[[#This Row],[ID]], Table2[ID],Table2[Pilot], "Not Found", 0 )</f>
        <v>0</v>
      </c>
      <c r="Y683" s="8">
        <f>_xlfn.XLOOKUP(CustomerCombined[[#This Row],[ID]], Table2[ID],Table2[MC1], "Not Found", 0 )</f>
        <v>0</v>
      </c>
      <c r="Z683" s="8">
        <f>_xlfn.XLOOKUP(CustomerCombined[[#This Row],[ID]], Table2[ID],Table2[MC2], "Not Found", 0 )</f>
        <v>0</v>
      </c>
      <c r="AA683" s="8">
        <f>_xlfn.XLOOKUP(CustomerCombined[[#This Row],[ID]], Table2[ID],Table2[MC3], "Not Found", 0 )</f>
        <v>0</v>
      </c>
      <c r="AB683" s="8">
        <f>_xlfn.XLOOKUP(CustomerCombined[[#This Row],[ID]], Table2[ID],Table2[MC4], "Not Found", 0 )</f>
        <v>0</v>
      </c>
      <c r="AC683" s="8">
        <f>_xlfn.XLOOKUP(CustomerCombined[[#This Row],[ID]], Table2[ID],Table2[MC5], "Not Found", 0 )</f>
        <v>0</v>
      </c>
    </row>
    <row r="684" spans="1:29" x14ac:dyDescent="0.3">
      <c r="A684" s="6">
        <v>3120</v>
      </c>
      <c r="B684" s="6">
        <v>117148</v>
      </c>
      <c r="C684" s="6">
        <v>1</v>
      </c>
      <c r="D684" s="6">
        <v>0</v>
      </c>
      <c r="E684" s="6">
        <v>44</v>
      </c>
      <c r="F684" s="5" t="s">
        <v>6</v>
      </c>
      <c r="G684" s="5" t="s">
        <v>11</v>
      </c>
      <c r="H684" s="3">
        <v>43928</v>
      </c>
      <c r="I684" s="5" t="s">
        <v>436</v>
      </c>
      <c r="J684" s="5">
        <f>_xlfn.XLOOKUP(CustomerCombined[[#This Row],[ID]], Table4[ID], Table4[Recency], "Not Found", 0)</f>
        <v>80</v>
      </c>
      <c r="K684" s="5">
        <f>_xlfn.XLOOKUP(CustomerCombined[[#This Row],[ID]], Table4[ID], Table4[Teas], "Not Found", 0)</f>
        <v>61</v>
      </c>
      <c r="L684" s="5">
        <f>_xlfn.XLOOKUP(CustomerCombined[[#This Row],[ID]], Table4[ID], Table4[Fruits], "Not Found", 0)</f>
        <v>61</v>
      </c>
      <c r="M684" s="5">
        <f>_xlfn.XLOOKUP(CustomerCombined[[#This Row],[ID]], Table4[ID], Table4[Meats], "Not Found", 0)</f>
        <v>75</v>
      </c>
      <c r="N684" s="5">
        <f>_xlfn.XLOOKUP(CustomerCombined[[#This Row],[ID]], Table4[ID], Table4[Seafood], "Not Found", 0)</f>
        <v>89</v>
      </c>
      <c r="O684" s="5">
        <f>_xlfn.XLOOKUP(CustomerCombined[[#This Row],[ID]], Table4[ID], Table4[Sweets], "Not Found", 0)</f>
        <v>68</v>
      </c>
      <c r="P684" s="5">
        <f>_xlfn.XLOOKUP(CustomerCombined[[#This Row],[ID]], Table4[ID], Table4[Premium], "Not Found", 0)</f>
        <v>109</v>
      </c>
      <c r="Q684" s="5">
        <f>_xlfn.XLOOKUP(CustomerCombined[[#This Row],[ID]], Table4[ID], Table4[Regular], "Not Found", 0)</f>
        <v>246</v>
      </c>
      <c r="R684" s="5">
        <f>_xlfn.XLOOKUP(CustomerCombined[[#This Row],[ID]], Table4[ID], Table4[Deals], "Not Found", 0)</f>
        <v>4</v>
      </c>
      <c r="S684" s="5">
        <f>_xlfn.XLOOKUP(CustomerCombined[[#This Row],[ID]], Table4[ID], Table4[Website], "Not Found", 0)</f>
        <v>3</v>
      </c>
      <c r="T684" s="5">
        <f>_xlfn.XLOOKUP(CustomerCombined[[#This Row],[ID]], Table4[ID], Table4[Catalog], "Not Found", 0)</f>
        <v>1</v>
      </c>
      <c r="U684" s="5">
        <f>_xlfn.XLOOKUP(CustomerCombined[[#This Row],[ID]], Table4[ID], Table4[Store], "Not Found", 0)</f>
        <v>3</v>
      </c>
      <c r="V684" s="5">
        <f>_xlfn.XLOOKUP(CustomerCombined[[#This Row],[ID]], Table4[ID], Table4[Visits], "Not Found", 0)</f>
        <v>8</v>
      </c>
      <c r="W684" s="8">
        <f>_xlfn.XLOOKUP(CustomerCombined[[#This Row],[ID]], Table2[ID],Table2[Complaint], "Not Found", 0 )</f>
        <v>0</v>
      </c>
      <c r="X684" s="8">
        <f>_xlfn.XLOOKUP(CustomerCombined[[#This Row],[ID]], Table2[ID],Table2[Pilot], "Not Found", 0 )</f>
        <v>0</v>
      </c>
      <c r="Y684" s="8">
        <f>_xlfn.XLOOKUP(CustomerCombined[[#This Row],[ID]], Table2[ID],Table2[MC1], "Not Found", 0 )</f>
        <v>0</v>
      </c>
      <c r="Z684" s="8">
        <f>_xlfn.XLOOKUP(CustomerCombined[[#This Row],[ID]], Table2[ID],Table2[MC2], "Not Found", 0 )</f>
        <v>0</v>
      </c>
      <c r="AA684" s="8">
        <f>_xlfn.XLOOKUP(CustomerCombined[[#This Row],[ID]], Table2[ID],Table2[MC3], "Not Found", 0 )</f>
        <v>0</v>
      </c>
      <c r="AB684" s="8">
        <f>_xlfn.XLOOKUP(CustomerCombined[[#This Row],[ID]], Table2[ID],Table2[MC4], "Not Found", 0 )</f>
        <v>0</v>
      </c>
      <c r="AC684" s="8">
        <f>_xlfn.XLOOKUP(CustomerCombined[[#This Row],[ID]], Table2[ID],Table2[MC5], "Not Found", 0 )</f>
        <v>0</v>
      </c>
    </row>
    <row r="685" spans="1:29" x14ac:dyDescent="0.3">
      <c r="A685" s="6">
        <v>1936</v>
      </c>
      <c r="B685" s="6">
        <v>116927</v>
      </c>
      <c r="C685" s="6">
        <v>1</v>
      </c>
      <c r="D685" s="6">
        <v>1</v>
      </c>
      <c r="E685" s="6">
        <v>44</v>
      </c>
      <c r="F685" s="5" t="s">
        <v>6</v>
      </c>
      <c r="G685" s="5" t="s">
        <v>13</v>
      </c>
      <c r="H685" s="3" t="s">
        <v>313</v>
      </c>
      <c r="I685" s="5" t="s">
        <v>439</v>
      </c>
      <c r="J685" s="5">
        <f>_xlfn.XLOOKUP(CustomerCombined[[#This Row],[ID]], Table4[ID], Table4[Recency], "Not Found", 0)</f>
        <v>50</v>
      </c>
      <c r="K685" s="5">
        <f>_xlfn.XLOOKUP(CustomerCombined[[#This Row],[ID]], Table4[ID], Table4[Teas], "Not Found", 0)</f>
        <v>138</v>
      </c>
      <c r="L685" s="5">
        <f>_xlfn.XLOOKUP(CustomerCombined[[#This Row],[ID]], Table4[ID], Table4[Fruits], "Not Found", 0)</f>
        <v>14</v>
      </c>
      <c r="M685" s="5">
        <f>_xlfn.XLOOKUP(CustomerCombined[[#This Row],[ID]], Table4[ID], Table4[Meats], "Not Found", 0)</f>
        <v>159</v>
      </c>
      <c r="N685" s="5">
        <f>_xlfn.XLOOKUP(CustomerCombined[[#This Row],[ID]], Table4[ID], Table4[Seafood], "Not Found", 0)</f>
        <v>21</v>
      </c>
      <c r="O685" s="5">
        <f>_xlfn.XLOOKUP(CustomerCombined[[#This Row],[ID]], Table4[ID], Table4[Sweets], "Not Found", 0)</f>
        <v>7</v>
      </c>
      <c r="P685" s="5">
        <f>_xlfn.XLOOKUP(CustomerCombined[[#This Row],[ID]], Table4[ID], Table4[Premium], "Not Found", 0)</f>
        <v>28</v>
      </c>
      <c r="Q685" s="5">
        <f>_xlfn.XLOOKUP(CustomerCombined[[#This Row],[ID]], Table4[ID], Table4[Regular], "Not Found", 0)</f>
        <v>311</v>
      </c>
      <c r="R685" s="5">
        <f>_xlfn.XLOOKUP(CustomerCombined[[#This Row],[ID]], Table4[ID], Table4[Deals], "Not Found", 0)</f>
        <v>5</v>
      </c>
      <c r="S685" s="5">
        <f>_xlfn.XLOOKUP(CustomerCombined[[#This Row],[ID]], Table4[ID], Table4[Website], "Not Found", 0)</f>
        <v>3</v>
      </c>
      <c r="T685" s="5">
        <f>_xlfn.XLOOKUP(CustomerCombined[[#This Row],[ID]], Table4[ID], Table4[Catalog], "Not Found", 0)</f>
        <v>0</v>
      </c>
      <c r="U685" s="5">
        <f>_xlfn.XLOOKUP(CustomerCombined[[#This Row],[ID]], Table4[ID], Table4[Store], "Not Found", 0)</f>
        <v>4</v>
      </c>
      <c r="V685" s="5">
        <f>_xlfn.XLOOKUP(CustomerCombined[[#This Row],[ID]], Table4[ID], Table4[Visits], "Not Found", 0)</f>
        <v>8</v>
      </c>
      <c r="W685" s="8">
        <f>_xlfn.XLOOKUP(CustomerCombined[[#This Row],[ID]], Table2[ID],Table2[Complaint], "Not Found", 0 )</f>
        <v>0</v>
      </c>
      <c r="X685" s="8">
        <f>_xlfn.XLOOKUP(CustomerCombined[[#This Row],[ID]], Table2[ID],Table2[Pilot], "Not Found", 0 )</f>
        <v>0</v>
      </c>
      <c r="Y685" s="8">
        <f>_xlfn.XLOOKUP(CustomerCombined[[#This Row],[ID]], Table2[ID],Table2[MC1], "Not Found", 0 )</f>
        <v>0</v>
      </c>
      <c r="Z685" s="8">
        <f>_xlfn.XLOOKUP(CustomerCombined[[#This Row],[ID]], Table2[ID],Table2[MC2], "Not Found", 0 )</f>
        <v>0</v>
      </c>
      <c r="AA685" s="8">
        <f>_xlfn.XLOOKUP(CustomerCombined[[#This Row],[ID]], Table2[ID],Table2[MC3], "Not Found", 0 )</f>
        <v>0</v>
      </c>
      <c r="AB685" s="8">
        <f>_xlfn.XLOOKUP(CustomerCombined[[#This Row],[ID]], Table2[ID],Table2[MC4], "Not Found", 0 )</f>
        <v>0</v>
      </c>
      <c r="AC685" s="8">
        <f>_xlfn.XLOOKUP(CustomerCombined[[#This Row],[ID]], Table2[ID],Table2[MC5], "Not Found", 0 )</f>
        <v>0</v>
      </c>
    </row>
    <row r="686" spans="1:29" x14ac:dyDescent="0.3">
      <c r="A686" s="6">
        <v>1311</v>
      </c>
      <c r="B686" s="6">
        <v>114849</v>
      </c>
      <c r="C686" s="6">
        <v>1</v>
      </c>
      <c r="D686" s="6">
        <v>0</v>
      </c>
      <c r="E686" s="6">
        <v>44</v>
      </c>
      <c r="F686" s="5" t="s">
        <v>5</v>
      </c>
      <c r="G686" s="5" t="s">
        <v>13</v>
      </c>
      <c r="H686" s="3">
        <v>43658</v>
      </c>
      <c r="I686" s="5" t="s">
        <v>435</v>
      </c>
      <c r="J686" s="5">
        <f>_xlfn.XLOOKUP(CustomerCombined[[#This Row],[ID]], Table4[ID], Table4[Recency], "Not Found", 0)</f>
        <v>39</v>
      </c>
      <c r="K686" s="5">
        <f>_xlfn.XLOOKUP(CustomerCombined[[#This Row],[ID]], Table4[ID], Table4[Teas], "Not Found", 0)</f>
        <v>162</v>
      </c>
      <c r="L686" s="5">
        <f>_xlfn.XLOOKUP(CustomerCombined[[#This Row],[ID]], Table4[ID], Table4[Fruits], "Not Found", 0)</f>
        <v>15</v>
      </c>
      <c r="M686" s="5">
        <f>_xlfn.XLOOKUP(CustomerCombined[[#This Row],[ID]], Table4[ID], Table4[Meats], "Not Found", 0)</f>
        <v>217</v>
      </c>
      <c r="N686" s="5">
        <f>_xlfn.XLOOKUP(CustomerCombined[[#This Row],[ID]], Table4[ID], Table4[Seafood], "Not Found", 0)</f>
        <v>23</v>
      </c>
      <c r="O686" s="5">
        <f>_xlfn.XLOOKUP(CustomerCombined[[#This Row],[ID]], Table4[ID], Table4[Sweets], "Not Found", 0)</f>
        <v>15</v>
      </c>
      <c r="P686" s="5">
        <f>_xlfn.XLOOKUP(CustomerCombined[[#This Row],[ID]], Table4[ID], Table4[Premium], "Not Found", 0)</f>
        <v>70</v>
      </c>
      <c r="Q686" s="5">
        <f>_xlfn.XLOOKUP(CustomerCombined[[#This Row],[ID]], Table4[ID], Table4[Regular], "Not Found", 0)</f>
        <v>364</v>
      </c>
      <c r="R686" s="5">
        <f>_xlfn.XLOOKUP(CustomerCombined[[#This Row],[ID]], Table4[ID], Table4[Deals], "Not Found", 0)</f>
        <v>3</v>
      </c>
      <c r="S686" s="5">
        <f>_xlfn.XLOOKUP(CustomerCombined[[#This Row],[ID]], Table4[ID], Table4[Website], "Not Found", 0)</f>
        <v>2</v>
      </c>
      <c r="T686" s="5">
        <f>_xlfn.XLOOKUP(CustomerCombined[[#This Row],[ID]], Table4[ID], Table4[Catalog], "Not Found", 0)</f>
        <v>0</v>
      </c>
      <c r="U686" s="5">
        <f>_xlfn.XLOOKUP(CustomerCombined[[#This Row],[ID]], Table4[ID], Table4[Store], "Not Found", 0)</f>
        <v>4</v>
      </c>
      <c r="V686" s="5">
        <f>_xlfn.XLOOKUP(CustomerCombined[[#This Row],[ID]], Table4[ID], Table4[Visits], "Not Found", 0)</f>
        <v>8</v>
      </c>
      <c r="W686" s="8">
        <f>_xlfn.XLOOKUP(CustomerCombined[[#This Row],[ID]], Table2[ID],Table2[Complaint], "Not Found", 0 )</f>
        <v>0</v>
      </c>
      <c r="X686" s="8">
        <f>_xlfn.XLOOKUP(CustomerCombined[[#This Row],[ID]], Table2[ID],Table2[Pilot], "Not Found", 0 )</f>
        <v>0</v>
      </c>
      <c r="Y686" s="8">
        <f>_xlfn.XLOOKUP(CustomerCombined[[#This Row],[ID]], Table2[ID],Table2[MC1], "Not Found", 0 )</f>
        <v>0</v>
      </c>
      <c r="Z686" s="8">
        <f>_xlfn.XLOOKUP(CustomerCombined[[#This Row],[ID]], Table2[ID],Table2[MC2], "Not Found", 0 )</f>
        <v>0</v>
      </c>
      <c r="AA686" s="8">
        <f>_xlfn.XLOOKUP(CustomerCombined[[#This Row],[ID]], Table2[ID],Table2[MC3], "Not Found", 0 )</f>
        <v>0</v>
      </c>
      <c r="AB686" s="8">
        <f>_xlfn.XLOOKUP(CustomerCombined[[#This Row],[ID]], Table2[ID],Table2[MC4], "Not Found", 0 )</f>
        <v>0</v>
      </c>
      <c r="AC686" s="8">
        <f>_xlfn.XLOOKUP(CustomerCombined[[#This Row],[ID]], Table2[ID],Table2[MC5], "Not Found", 0 )</f>
        <v>0</v>
      </c>
    </row>
    <row r="687" spans="1:29" x14ac:dyDescent="0.3">
      <c r="A687" s="6">
        <v>1608</v>
      </c>
      <c r="B687" s="6">
        <v>113624</v>
      </c>
      <c r="C687" s="6">
        <v>1</v>
      </c>
      <c r="D687" s="6">
        <v>0</v>
      </c>
      <c r="E687" s="6">
        <v>44</v>
      </c>
      <c r="F687" s="5" t="s">
        <v>6</v>
      </c>
      <c r="G687" s="5" t="s">
        <v>11</v>
      </c>
      <c r="H687" s="3" t="s">
        <v>321</v>
      </c>
      <c r="I687" s="5" t="s">
        <v>436</v>
      </c>
      <c r="J687" s="5">
        <f>_xlfn.XLOOKUP(CustomerCombined[[#This Row],[ID]], Table4[ID], Table4[Recency], "Not Found", 0)</f>
        <v>93</v>
      </c>
      <c r="K687" s="5">
        <f>_xlfn.XLOOKUP(CustomerCombined[[#This Row],[ID]], Table4[ID], Table4[Teas], "Not Found", 0)</f>
        <v>83</v>
      </c>
      <c r="L687" s="5">
        <f>_xlfn.XLOOKUP(CustomerCombined[[#This Row],[ID]], Table4[ID], Table4[Fruits], "Not Found", 0)</f>
        <v>17</v>
      </c>
      <c r="M687" s="5">
        <f>_xlfn.XLOOKUP(CustomerCombined[[#This Row],[ID]], Table4[ID], Table4[Meats], "Not Found", 0)</f>
        <v>125</v>
      </c>
      <c r="N687" s="5">
        <f>_xlfn.XLOOKUP(CustomerCombined[[#This Row],[ID]], Table4[ID], Table4[Seafood], "Not Found", 0)</f>
        <v>17</v>
      </c>
      <c r="O687" s="5">
        <f>_xlfn.XLOOKUP(CustomerCombined[[#This Row],[ID]], Table4[ID], Table4[Sweets], "Not Found", 0)</f>
        <v>8</v>
      </c>
      <c r="P687" s="5">
        <f>_xlfn.XLOOKUP(CustomerCombined[[#This Row],[ID]], Table4[ID], Table4[Premium], "Not Found", 0)</f>
        <v>50</v>
      </c>
      <c r="Q687" s="5">
        <f>_xlfn.XLOOKUP(CustomerCombined[[#This Row],[ID]], Table4[ID], Table4[Regular], "Not Found", 0)</f>
        <v>200</v>
      </c>
      <c r="R687" s="5">
        <f>_xlfn.XLOOKUP(CustomerCombined[[#This Row],[ID]], Table4[ID], Table4[Deals], "Not Found", 0)</f>
        <v>2</v>
      </c>
      <c r="S687" s="5">
        <f>_xlfn.XLOOKUP(CustomerCombined[[#This Row],[ID]], Table4[ID], Table4[Website], "Not Found", 0)</f>
        <v>2</v>
      </c>
      <c r="T687" s="5">
        <f>_xlfn.XLOOKUP(CustomerCombined[[#This Row],[ID]], Table4[ID], Table4[Catalog], "Not Found", 0)</f>
        <v>0</v>
      </c>
      <c r="U687" s="5">
        <f>_xlfn.XLOOKUP(CustomerCombined[[#This Row],[ID]], Table4[ID], Table4[Store], "Not Found", 0)</f>
        <v>3</v>
      </c>
      <c r="V687" s="5">
        <f>_xlfn.XLOOKUP(CustomerCombined[[#This Row],[ID]], Table4[ID], Table4[Visits], "Not Found", 0)</f>
        <v>6</v>
      </c>
      <c r="W687" s="8">
        <f>_xlfn.XLOOKUP(CustomerCombined[[#This Row],[ID]], Table2[ID],Table2[Complaint], "Not Found", 0 )</f>
        <v>0</v>
      </c>
      <c r="X687" s="8">
        <f>_xlfn.XLOOKUP(CustomerCombined[[#This Row],[ID]], Table2[ID],Table2[Pilot], "Not Found", 0 )</f>
        <v>0</v>
      </c>
      <c r="Y687" s="8">
        <f>_xlfn.XLOOKUP(CustomerCombined[[#This Row],[ID]], Table2[ID],Table2[MC1], "Not Found", 0 )</f>
        <v>0</v>
      </c>
      <c r="Z687" s="8">
        <f>_xlfn.XLOOKUP(CustomerCombined[[#This Row],[ID]], Table2[ID],Table2[MC2], "Not Found", 0 )</f>
        <v>0</v>
      </c>
      <c r="AA687" s="8">
        <f>_xlfn.XLOOKUP(CustomerCombined[[#This Row],[ID]], Table2[ID],Table2[MC3], "Not Found", 0 )</f>
        <v>0</v>
      </c>
      <c r="AB687" s="8">
        <f>_xlfn.XLOOKUP(CustomerCombined[[#This Row],[ID]], Table2[ID],Table2[MC4], "Not Found", 0 )</f>
        <v>0</v>
      </c>
      <c r="AC687" s="8">
        <f>_xlfn.XLOOKUP(CustomerCombined[[#This Row],[ID]], Table2[ID],Table2[MC5], "Not Found", 0 )</f>
        <v>0</v>
      </c>
    </row>
    <row r="688" spans="1:29" x14ac:dyDescent="0.3">
      <c r="A688" s="6">
        <v>1297</v>
      </c>
      <c r="B688" s="6">
        <v>112571</v>
      </c>
      <c r="C688" s="6">
        <v>1</v>
      </c>
      <c r="D688" s="6">
        <v>0</v>
      </c>
      <c r="E688" s="6">
        <v>44</v>
      </c>
      <c r="F688" s="5" t="s">
        <v>5</v>
      </c>
      <c r="G688" s="5" t="s">
        <v>11</v>
      </c>
      <c r="H688" s="3" t="s">
        <v>113</v>
      </c>
      <c r="I688" s="5" t="s">
        <v>437</v>
      </c>
      <c r="J688" s="5">
        <f>_xlfn.XLOOKUP(CustomerCombined[[#This Row],[ID]], Table4[ID], Table4[Recency], "Not Found", 0)</f>
        <v>86</v>
      </c>
      <c r="K688" s="5">
        <f>_xlfn.XLOOKUP(CustomerCombined[[#This Row],[ID]], Table4[ID], Table4[Teas], "Not Found", 0)</f>
        <v>27</v>
      </c>
      <c r="L688" s="5">
        <f>_xlfn.XLOOKUP(CustomerCombined[[#This Row],[ID]], Table4[ID], Table4[Fruits], "Not Found", 0)</f>
        <v>45</v>
      </c>
      <c r="M688" s="5">
        <f>_xlfn.XLOOKUP(CustomerCombined[[#This Row],[ID]], Table4[ID], Table4[Meats], "Not Found", 0)</f>
        <v>125</v>
      </c>
      <c r="N688" s="5">
        <f>_xlfn.XLOOKUP(CustomerCombined[[#This Row],[ID]], Table4[ID], Table4[Seafood], "Not Found", 0)</f>
        <v>18</v>
      </c>
      <c r="O688" s="5">
        <f>_xlfn.XLOOKUP(CustomerCombined[[#This Row],[ID]], Table4[ID], Table4[Sweets], "Not Found", 0)</f>
        <v>107</v>
      </c>
      <c r="P688" s="5">
        <f>_xlfn.XLOOKUP(CustomerCombined[[#This Row],[ID]], Table4[ID], Table4[Premium], "Not Found", 0)</f>
        <v>152</v>
      </c>
      <c r="Q688" s="5">
        <f>_xlfn.XLOOKUP(CustomerCombined[[#This Row],[ID]], Table4[ID], Table4[Regular], "Not Found", 0)</f>
        <v>170</v>
      </c>
      <c r="R688" s="5">
        <f>_xlfn.XLOOKUP(CustomerCombined[[#This Row],[ID]], Table4[ID], Table4[Deals], "Not Found", 0)</f>
        <v>4</v>
      </c>
      <c r="S688" s="5">
        <f>_xlfn.XLOOKUP(CustomerCombined[[#This Row],[ID]], Table4[ID], Table4[Website], "Not Found", 0)</f>
        <v>3</v>
      </c>
      <c r="T688" s="5">
        <f>_xlfn.XLOOKUP(CustomerCombined[[#This Row],[ID]], Table4[ID], Table4[Catalog], "Not Found", 0)</f>
        <v>1</v>
      </c>
      <c r="U688" s="5">
        <f>_xlfn.XLOOKUP(CustomerCombined[[#This Row],[ID]], Table4[ID], Table4[Store], "Not Found", 0)</f>
        <v>3</v>
      </c>
      <c r="V688" s="5">
        <f>_xlfn.XLOOKUP(CustomerCombined[[#This Row],[ID]], Table4[ID], Table4[Visits], "Not Found", 0)</f>
        <v>6</v>
      </c>
      <c r="W688" s="8">
        <f>_xlfn.XLOOKUP(CustomerCombined[[#This Row],[ID]], Table2[ID],Table2[Complaint], "Not Found", 0 )</f>
        <v>0</v>
      </c>
      <c r="X688" s="8">
        <f>_xlfn.XLOOKUP(CustomerCombined[[#This Row],[ID]], Table2[ID],Table2[Pilot], "Not Found", 0 )</f>
        <v>0</v>
      </c>
      <c r="Y688" s="8">
        <f>_xlfn.XLOOKUP(CustomerCombined[[#This Row],[ID]], Table2[ID],Table2[MC1], "Not Found", 0 )</f>
        <v>0</v>
      </c>
      <c r="Z688" s="8">
        <f>_xlfn.XLOOKUP(CustomerCombined[[#This Row],[ID]], Table2[ID],Table2[MC2], "Not Found", 0 )</f>
        <v>0</v>
      </c>
      <c r="AA688" s="8">
        <f>_xlfn.XLOOKUP(CustomerCombined[[#This Row],[ID]], Table2[ID],Table2[MC3], "Not Found", 0 )</f>
        <v>0</v>
      </c>
      <c r="AB688" s="8">
        <f>_xlfn.XLOOKUP(CustomerCombined[[#This Row],[ID]], Table2[ID],Table2[MC4], "Not Found", 0 )</f>
        <v>0</v>
      </c>
      <c r="AC688" s="8">
        <f>_xlfn.XLOOKUP(CustomerCombined[[#This Row],[ID]], Table2[ID],Table2[MC5], "Not Found", 0 )</f>
        <v>0</v>
      </c>
    </row>
    <row r="689" spans="1:29" x14ac:dyDescent="0.3">
      <c r="A689" s="6">
        <v>1126</v>
      </c>
      <c r="B689" s="6">
        <v>109548</v>
      </c>
      <c r="C689" s="6">
        <v>1</v>
      </c>
      <c r="D689" s="6">
        <v>0</v>
      </c>
      <c r="E689" s="6">
        <v>44</v>
      </c>
      <c r="F689" s="5" t="s">
        <v>5</v>
      </c>
      <c r="G689" s="5" t="s">
        <v>10</v>
      </c>
      <c r="H689" s="3" t="s">
        <v>420</v>
      </c>
      <c r="I689" s="5" t="s">
        <v>439</v>
      </c>
      <c r="J689" s="5">
        <f>_xlfn.XLOOKUP(CustomerCombined[[#This Row],[ID]], Table4[ID], Table4[Recency], "Not Found", 0)</f>
        <v>31</v>
      </c>
      <c r="K689" s="5">
        <f>_xlfn.XLOOKUP(CustomerCombined[[#This Row],[ID]], Table4[ID], Table4[Teas], "Not Found", 0)</f>
        <v>0</v>
      </c>
      <c r="L689" s="5">
        <f>_xlfn.XLOOKUP(CustomerCombined[[#This Row],[ID]], Table4[ID], Table4[Fruits], "Not Found", 0)</f>
        <v>11</v>
      </c>
      <c r="M689" s="5">
        <f>_xlfn.XLOOKUP(CustomerCombined[[#This Row],[ID]], Table4[ID], Table4[Meats], "Not Found", 0)</f>
        <v>34</v>
      </c>
      <c r="N689" s="5">
        <f>_xlfn.XLOOKUP(CustomerCombined[[#This Row],[ID]], Table4[ID], Table4[Seafood], "Not Found", 0)</f>
        <v>115</v>
      </c>
      <c r="O689" s="5">
        <f>_xlfn.XLOOKUP(CustomerCombined[[#This Row],[ID]], Table4[ID], Table4[Sweets], "Not Found", 0)</f>
        <v>69</v>
      </c>
      <c r="P689" s="5">
        <f>_xlfn.XLOOKUP(CustomerCombined[[#This Row],[ID]], Table4[ID], Table4[Premium], "Not Found", 0)</f>
        <v>103</v>
      </c>
      <c r="Q689" s="5">
        <f>_xlfn.XLOOKUP(CustomerCombined[[#This Row],[ID]], Table4[ID], Table4[Regular], "Not Found", 0)</f>
        <v>126</v>
      </c>
      <c r="R689" s="5">
        <f>_xlfn.XLOOKUP(CustomerCombined[[#This Row],[ID]], Table4[ID], Table4[Deals], "Not Found", 0)</f>
        <v>2</v>
      </c>
      <c r="S689" s="5">
        <f>_xlfn.XLOOKUP(CustomerCombined[[#This Row],[ID]], Table4[ID], Table4[Website], "Not Found", 0)</f>
        <v>1</v>
      </c>
      <c r="T689" s="5">
        <f>_xlfn.XLOOKUP(CustomerCombined[[#This Row],[ID]], Table4[ID], Table4[Catalog], "Not Found", 0)</f>
        <v>0</v>
      </c>
      <c r="U689" s="5">
        <f>_xlfn.XLOOKUP(CustomerCombined[[#This Row],[ID]], Table4[ID], Table4[Store], "Not Found", 0)</f>
        <v>3</v>
      </c>
      <c r="V689" s="5">
        <f>_xlfn.XLOOKUP(CustomerCombined[[#This Row],[ID]], Table4[ID], Table4[Visits], "Not Found", 0)</f>
        <v>8</v>
      </c>
      <c r="W689" s="8">
        <f>_xlfn.XLOOKUP(CustomerCombined[[#This Row],[ID]], Table2[ID],Table2[Complaint], "Not Found", 0 )</f>
        <v>0</v>
      </c>
      <c r="X689" s="8">
        <f>_xlfn.XLOOKUP(CustomerCombined[[#This Row],[ID]], Table2[ID],Table2[Pilot], "Not Found", 0 )</f>
        <v>0</v>
      </c>
      <c r="Y689" s="8">
        <f>_xlfn.XLOOKUP(CustomerCombined[[#This Row],[ID]], Table2[ID],Table2[MC1], "Not Found", 0 )</f>
        <v>0</v>
      </c>
      <c r="Z689" s="8">
        <f>_xlfn.XLOOKUP(CustomerCombined[[#This Row],[ID]], Table2[ID],Table2[MC2], "Not Found", 0 )</f>
        <v>0</v>
      </c>
      <c r="AA689" s="8">
        <f>_xlfn.XLOOKUP(CustomerCombined[[#This Row],[ID]], Table2[ID],Table2[MC3], "Not Found", 0 )</f>
        <v>0</v>
      </c>
      <c r="AB689" s="8">
        <f>_xlfn.XLOOKUP(CustomerCombined[[#This Row],[ID]], Table2[ID],Table2[MC4], "Not Found", 0 )</f>
        <v>0</v>
      </c>
      <c r="AC689" s="8">
        <f>_xlfn.XLOOKUP(CustomerCombined[[#This Row],[ID]], Table2[ID],Table2[MC5], "Not Found", 0 )</f>
        <v>0</v>
      </c>
    </row>
    <row r="690" spans="1:29" x14ac:dyDescent="0.3">
      <c r="A690" s="6">
        <v>1011</v>
      </c>
      <c r="B690" s="6">
        <v>107500</v>
      </c>
      <c r="C690" s="6">
        <v>0</v>
      </c>
      <c r="D690" s="6">
        <v>0</v>
      </c>
      <c r="E690" s="6">
        <v>44</v>
      </c>
      <c r="F690" s="5" t="s">
        <v>6</v>
      </c>
      <c r="G690" s="5" t="s">
        <v>10</v>
      </c>
      <c r="H690" s="3" t="s">
        <v>362</v>
      </c>
      <c r="I690" s="5" t="s">
        <v>435</v>
      </c>
      <c r="J690" s="5">
        <f>_xlfn.XLOOKUP(CustomerCombined[[#This Row],[ID]], Table4[ID], Table4[Recency], "Not Found", 0)</f>
        <v>59</v>
      </c>
      <c r="K690" s="5">
        <f>_xlfn.XLOOKUP(CustomerCombined[[#This Row],[ID]], Table4[ID], Table4[Teas], "Not Found", 0)</f>
        <v>86</v>
      </c>
      <c r="L690" s="5">
        <f>_xlfn.XLOOKUP(CustomerCombined[[#This Row],[ID]], Table4[ID], Table4[Fruits], "Not Found", 0)</f>
        <v>229</v>
      </c>
      <c r="M690" s="5">
        <f>_xlfn.XLOOKUP(CustomerCombined[[#This Row],[ID]], Table4[ID], Table4[Meats], "Not Found", 0)</f>
        <v>158</v>
      </c>
      <c r="N690" s="5">
        <f>_xlfn.XLOOKUP(CustomerCombined[[#This Row],[ID]], Table4[ID], Table4[Seafood], "Not Found", 0)</f>
        <v>158</v>
      </c>
      <c r="O690" s="5">
        <f>_xlfn.XLOOKUP(CustomerCombined[[#This Row],[ID]], Table4[ID], Table4[Sweets], "Not Found", 0)</f>
        <v>14</v>
      </c>
      <c r="P690" s="5">
        <f>_xlfn.XLOOKUP(CustomerCombined[[#This Row],[ID]], Table4[ID], Table4[Premium], "Not Found", 0)</f>
        <v>229</v>
      </c>
      <c r="Q690" s="5">
        <f>_xlfn.XLOOKUP(CustomerCombined[[#This Row],[ID]], Table4[ID], Table4[Regular], "Not Found", 0)</f>
        <v>416</v>
      </c>
      <c r="R690" s="5">
        <f>_xlfn.XLOOKUP(CustomerCombined[[#This Row],[ID]], Table4[ID], Table4[Deals], "Not Found", 0)</f>
        <v>1</v>
      </c>
      <c r="S690" s="5">
        <f>_xlfn.XLOOKUP(CustomerCombined[[#This Row],[ID]], Table4[ID], Table4[Website], "Not Found", 0)</f>
        <v>2</v>
      </c>
      <c r="T690" s="5">
        <f>_xlfn.XLOOKUP(CustomerCombined[[#This Row],[ID]], Table4[ID], Table4[Catalog], "Not Found", 0)</f>
        <v>0</v>
      </c>
      <c r="U690" s="5">
        <f>_xlfn.XLOOKUP(CustomerCombined[[#This Row],[ID]], Table4[ID], Table4[Store], "Not Found", 0)</f>
        <v>3</v>
      </c>
      <c r="V690" s="5">
        <f>_xlfn.XLOOKUP(CustomerCombined[[#This Row],[ID]], Table4[ID], Table4[Visits], "Not Found", 0)</f>
        <v>8</v>
      </c>
      <c r="W690" s="8">
        <f>_xlfn.XLOOKUP(CustomerCombined[[#This Row],[ID]], Table2[ID],Table2[Complaint], "Not Found", 0 )</f>
        <v>0</v>
      </c>
      <c r="X690" s="8">
        <f>_xlfn.XLOOKUP(CustomerCombined[[#This Row],[ID]], Table2[ID],Table2[Pilot], "Not Found", 0 )</f>
        <v>0</v>
      </c>
      <c r="Y690" s="8">
        <f>_xlfn.XLOOKUP(CustomerCombined[[#This Row],[ID]], Table2[ID],Table2[MC1], "Not Found", 0 )</f>
        <v>0</v>
      </c>
      <c r="Z690" s="8">
        <f>_xlfn.XLOOKUP(CustomerCombined[[#This Row],[ID]], Table2[ID],Table2[MC2], "Not Found", 0 )</f>
        <v>0</v>
      </c>
      <c r="AA690" s="8">
        <f>_xlfn.XLOOKUP(CustomerCombined[[#This Row],[ID]], Table2[ID],Table2[MC3], "Not Found", 0 )</f>
        <v>0</v>
      </c>
      <c r="AB690" s="8">
        <f>_xlfn.XLOOKUP(CustomerCombined[[#This Row],[ID]], Table2[ID],Table2[MC4], "Not Found", 0 )</f>
        <v>0</v>
      </c>
      <c r="AC690" s="8">
        <f>_xlfn.XLOOKUP(CustomerCombined[[#This Row],[ID]], Table2[ID],Table2[MC5], "Not Found", 0 )</f>
        <v>0</v>
      </c>
    </row>
    <row r="691" spans="1:29" x14ac:dyDescent="0.3">
      <c r="A691" s="6">
        <v>1705</v>
      </c>
      <c r="B691" s="6">
        <v>107500</v>
      </c>
      <c r="C691" s="6">
        <v>1</v>
      </c>
      <c r="D691" s="6">
        <v>0</v>
      </c>
      <c r="E691" s="6">
        <v>44</v>
      </c>
      <c r="F691" s="5" t="s">
        <v>6</v>
      </c>
      <c r="G691" s="5" t="s">
        <v>11</v>
      </c>
      <c r="H691" s="3">
        <v>43617</v>
      </c>
      <c r="I691" s="5" t="s">
        <v>437</v>
      </c>
      <c r="J691" s="5">
        <f>_xlfn.XLOOKUP(CustomerCombined[[#This Row],[ID]], Table4[ID], Table4[Recency], "Not Found", 0)</f>
        <v>19</v>
      </c>
      <c r="K691" s="5">
        <f>_xlfn.XLOOKUP(CustomerCombined[[#This Row],[ID]], Table4[ID], Table4[Teas], "Not Found", 0)</f>
        <v>100</v>
      </c>
      <c r="L691" s="5">
        <f>_xlfn.XLOOKUP(CustomerCombined[[#This Row],[ID]], Table4[ID], Table4[Fruits], "Not Found", 0)</f>
        <v>0</v>
      </c>
      <c r="M691" s="5">
        <f>_xlfn.XLOOKUP(CustomerCombined[[#This Row],[ID]], Table4[ID], Table4[Meats], "Not Found", 0)</f>
        <v>172</v>
      </c>
      <c r="N691" s="5">
        <f>_xlfn.XLOOKUP(CustomerCombined[[#This Row],[ID]], Table4[ID], Table4[Seafood], "Not Found", 0)</f>
        <v>186</v>
      </c>
      <c r="O691" s="5">
        <f>_xlfn.XLOOKUP(CustomerCombined[[#This Row],[ID]], Table4[ID], Table4[Sweets], "Not Found", 0)</f>
        <v>100</v>
      </c>
      <c r="P691" s="5">
        <f>_xlfn.XLOOKUP(CustomerCombined[[#This Row],[ID]], Table4[ID], Table4[Premium], "Not Found", 0)</f>
        <v>459</v>
      </c>
      <c r="Q691" s="5">
        <f>_xlfn.XLOOKUP(CustomerCombined[[#This Row],[ID]], Table4[ID], Table4[Regular], "Not Found", 0)</f>
        <v>100</v>
      </c>
      <c r="R691" s="5">
        <f>_xlfn.XLOOKUP(CustomerCombined[[#This Row],[ID]], Table4[ID], Table4[Deals], "Not Found", 0)</f>
        <v>5</v>
      </c>
      <c r="S691" s="5">
        <f>_xlfn.XLOOKUP(CustomerCombined[[#This Row],[ID]], Table4[ID], Table4[Website], "Not Found", 0)</f>
        <v>4</v>
      </c>
      <c r="T691" s="5">
        <f>_xlfn.XLOOKUP(CustomerCombined[[#This Row],[ID]], Table4[ID], Table4[Catalog], "Not Found", 0)</f>
        <v>1</v>
      </c>
      <c r="U691" s="5">
        <f>_xlfn.XLOOKUP(CustomerCombined[[#This Row],[ID]], Table4[ID], Table4[Store], "Not Found", 0)</f>
        <v>2</v>
      </c>
      <c r="V691" s="5">
        <f>_xlfn.XLOOKUP(CustomerCombined[[#This Row],[ID]], Table4[ID], Table4[Visits], "Not Found", 0)</f>
        <v>9</v>
      </c>
      <c r="W691" s="8">
        <f>_xlfn.XLOOKUP(CustomerCombined[[#This Row],[ID]], Table2[ID],Table2[Complaint], "Not Found", 0 )</f>
        <v>0</v>
      </c>
      <c r="X691" s="8">
        <f>_xlfn.XLOOKUP(CustomerCombined[[#This Row],[ID]], Table2[ID],Table2[Pilot], "Not Found", 0 )</f>
        <v>1</v>
      </c>
      <c r="Y691" s="8">
        <f>_xlfn.XLOOKUP(CustomerCombined[[#This Row],[ID]], Table2[ID],Table2[MC1], "Not Found", 0 )</f>
        <v>0</v>
      </c>
      <c r="Z691" s="8">
        <f>_xlfn.XLOOKUP(CustomerCombined[[#This Row],[ID]], Table2[ID],Table2[MC2], "Not Found", 0 )</f>
        <v>0</v>
      </c>
      <c r="AA691" s="8">
        <f>_xlfn.XLOOKUP(CustomerCombined[[#This Row],[ID]], Table2[ID],Table2[MC3], "Not Found", 0 )</f>
        <v>1</v>
      </c>
      <c r="AB691" s="8">
        <f>_xlfn.XLOOKUP(CustomerCombined[[#This Row],[ID]], Table2[ID],Table2[MC4], "Not Found", 0 )</f>
        <v>0</v>
      </c>
      <c r="AC691" s="8">
        <f>_xlfn.XLOOKUP(CustomerCombined[[#This Row],[ID]], Table2[ID],Table2[MC5], "Not Found", 0 )</f>
        <v>0</v>
      </c>
    </row>
    <row r="692" spans="1:29" x14ac:dyDescent="0.3">
      <c r="A692" s="6">
        <v>3182</v>
      </c>
      <c r="B692" s="6">
        <v>105305</v>
      </c>
      <c r="C692" s="6">
        <v>0</v>
      </c>
      <c r="D692" s="6">
        <v>1</v>
      </c>
      <c r="E692" s="6">
        <v>44</v>
      </c>
      <c r="F692" s="5" t="s">
        <v>6</v>
      </c>
      <c r="G692" s="5" t="s">
        <v>11</v>
      </c>
      <c r="H692" s="3">
        <v>43922</v>
      </c>
      <c r="I692" s="5" t="s">
        <v>438</v>
      </c>
      <c r="J692" s="5">
        <f>_xlfn.XLOOKUP(CustomerCombined[[#This Row],[ID]], Table4[ID], Table4[Recency], "Not Found", 0)</f>
        <v>12</v>
      </c>
      <c r="K692" s="5">
        <f>_xlfn.XLOOKUP(CustomerCombined[[#This Row],[ID]], Table4[ID], Table4[Teas], "Not Found", 0)</f>
        <v>238</v>
      </c>
      <c r="L692" s="5">
        <f>_xlfn.XLOOKUP(CustomerCombined[[#This Row],[ID]], Table4[ID], Table4[Fruits], "Not Found", 0)</f>
        <v>79</v>
      </c>
      <c r="M692" s="5">
        <f>_xlfn.XLOOKUP(CustomerCombined[[#This Row],[ID]], Table4[ID], Table4[Meats], "Not Found", 0)</f>
        <v>139</v>
      </c>
      <c r="N692" s="5">
        <f>_xlfn.XLOOKUP(CustomerCombined[[#This Row],[ID]], Table4[ID], Table4[Seafood], "Not Found", 0)</f>
        <v>20</v>
      </c>
      <c r="O692" s="5">
        <f>_xlfn.XLOOKUP(CustomerCombined[[#This Row],[ID]], Table4[ID], Table4[Sweets], "Not Found", 0)</f>
        <v>60</v>
      </c>
      <c r="P692" s="5">
        <f>_xlfn.XLOOKUP(CustomerCombined[[#This Row],[ID]], Table4[ID], Table4[Premium], "Not Found", 0)</f>
        <v>99</v>
      </c>
      <c r="Q692" s="5">
        <f>_xlfn.XLOOKUP(CustomerCombined[[#This Row],[ID]], Table4[ID], Table4[Regular], "Not Found", 0)</f>
        <v>437</v>
      </c>
      <c r="R692" s="5">
        <f>_xlfn.XLOOKUP(CustomerCombined[[#This Row],[ID]], Table4[ID], Table4[Deals], "Not Found", 0)</f>
        <v>0</v>
      </c>
      <c r="S692" s="5">
        <f>_xlfn.XLOOKUP(CustomerCombined[[#This Row],[ID]], Table4[ID], Table4[Website], "Not Found", 0)</f>
        <v>1</v>
      </c>
      <c r="T692" s="5">
        <f>_xlfn.XLOOKUP(CustomerCombined[[#This Row],[ID]], Table4[ID], Table4[Catalog], "Not Found", 0)</f>
        <v>0</v>
      </c>
      <c r="U692" s="5">
        <f>_xlfn.XLOOKUP(CustomerCombined[[#This Row],[ID]], Table4[ID], Table4[Store], "Not Found", 0)</f>
        <v>0</v>
      </c>
      <c r="V692" s="5">
        <f>_xlfn.XLOOKUP(CustomerCombined[[#This Row],[ID]], Table4[ID], Table4[Visits], "Not Found", 0)</f>
        <v>13</v>
      </c>
      <c r="W692" s="8">
        <f>_xlfn.XLOOKUP(CustomerCombined[[#This Row],[ID]], Table2[ID],Table2[Complaint], "Not Found", 0 )</f>
        <v>0</v>
      </c>
      <c r="X692" s="8">
        <f>_xlfn.XLOOKUP(CustomerCombined[[#This Row],[ID]], Table2[ID],Table2[Pilot], "Not Found", 0 )</f>
        <v>0</v>
      </c>
      <c r="Y692" s="8">
        <f>_xlfn.XLOOKUP(CustomerCombined[[#This Row],[ID]], Table2[ID],Table2[MC1], "Not Found", 0 )</f>
        <v>0</v>
      </c>
      <c r="Z692" s="8">
        <f>_xlfn.XLOOKUP(CustomerCombined[[#This Row],[ID]], Table2[ID],Table2[MC2], "Not Found", 0 )</f>
        <v>0</v>
      </c>
      <c r="AA692" s="8">
        <f>_xlfn.XLOOKUP(CustomerCombined[[#This Row],[ID]], Table2[ID],Table2[MC3], "Not Found", 0 )</f>
        <v>0</v>
      </c>
      <c r="AB692" s="8">
        <f>_xlfn.XLOOKUP(CustomerCombined[[#This Row],[ID]], Table2[ID],Table2[MC4], "Not Found", 0 )</f>
        <v>0</v>
      </c>
      <c r="AC692" s="8">
        <f>_xlfn.XLOOKUP(CustomerCombined[[#This Row],[ID]], Table2[ID],Table2[MC5], "Not Found", 0 )</f>
        <v>0</v>
      </c>
    </row>
    <row r="693" spans="1:29" x14ac:dyDescent="0.3">
      <c r="A693" s="6">
        <v>1575</v>
      </c>
      <c r="B693" s="6">
        <v>192163</v>
      </c>
      <c r="C693" s="6">
        <v>0</v>
      </c>
      <c r="D693" s="6">
        <v>0</v>
      </c>
      <c r="E693" s="6">
        <v>45</v>
      </c>
      <c r="F693" s="5" t="s">
        <v>6</v>
      </c>
      <c r="G693" s="5" t="s">
        <v>12</v>
      </c>
      <c r="H693" s="3" t="s">
        <v>346</v>
      </c>
      <c r="I693" s="5" t="s">
        <v>435</v>
      </c>
      <c r="J693" s="5">
        <f>_xlfn.XLOOKUP(CustomerCombined[[#This Row],[ID]], Table4[ID], Table4[Recency], "Not Found", 0)</f>
        <v>25</v>
      </c>
      <c r="K693" s="5">
        <f>_xlfn.XLOOKUP(CustomerCombined[[#This Row],[ID]], Table4[ID], Table4[Teas], "Not Found", 0)</f>
        <v>1703</v>
      </c>
      <c r="L693" s="5">
        <f>_xlfn.XLOOKUP(CustomerCombined[[#This Row],[ID]], Table4[ID], Table4[Fruits], "Not Found", 0)</f>
        <v>382</v>
      </c>
      <c r="M693" s="5">
        <f>_xlfn.XLOOKUP(CustomerCombined[[#This Row],[ID]], Table4[ID], Table4[Meats], "Not Found", 0)</f>
        <v>1662</v>
      </c>
      <c r="N693" s="5">
        <f>_xlfn.XLOOKUP(CustomerCombined[[#This Row],[ID]], Table4[ID], Table4[Seafood], "Not Found", 0)</f>
        <v>221</v>
      </c>
      <c r="O693" s="5">
        <f>_xlfn.XLOOKUP(CustomerCombined[[#This Row],[ID]], Table4[ID], Table4[Sweets], "Not Found", 0)</f>
        <v>340</v>
      </c>
      <c r="P693" s="5">
        <f>_xlfn.XLOOKUP(CustomerCombined[[#This Row],[ID]], Table4[ID], Table4[Premium], "Not Found", 0)</f>
        <v>42</v>
      </c>
      <c r="Q693" s="5">
        <f>_xlfn.XLOOKUP(CustomerCombined[[#This Row],[ID]], Table4[ID], Table4[Regular], "Not Found", 0)</f>
        <v>4266</v>
      </c>
      <c r="R693" s="5">
        <f>_xlfn.XLOOKUP(CustomerCombined[[#This Row],[ID]], Table4[ID], Table4[Deals], "Not Found", 0)</f>
        <v>0</v>
      </c>
      <c r="S693" s="5">
        <f>_xlfn.XLOOKUP(CustomerCombined[[#This Row],[ID]], Table4[ID], Table4[Website], "Not Found", 0)</f>
        <v>5</v>
      </c>
      <c r="T693" s="5">
        <f>_xlfn.XLOOKUP(CustomerCombined[[#This Row],[ID]], Table4[ID], Table4[Catalog], "Not Found", 0)</f>
        <v>11</v>
      </c>
      <c r="U693" s="5">
        <f>_xlfn.XLOOKUP(CustomerCombined[[#This Row],[ID]], Table4[ID], Table4[Store], "Not Found", 0)</f>
        <v>5</v>
      </c>
      <c r="V693" s="5">
        <f>_xlfn.XLOOKUP(CustomerCombined[[#This Row],[ID]], Table4[ID], Table4[Visits], "Not Found", 0)</f>
        <v>2</v>
      </c>
      <c r="W693" s="8">
        <f>_xlfn.XLOOKUP(CustomerCombined[[#This Row],[ID]], Table2[ID],Table2[Complaint], "Not Found", 0 )</f>
        <v>0</v>
      </c>
      <c r="X693" s="8">
        <f>_xlfn.XLOOKUP(CustomerCombined[[#This Row],[ID]], Table2[ID],Table2[Pilot], "Not Found", 0 )</f>
        <v>1</v>
      </c>
      <c r="Y693" s="8">
        <f>_xlfn.XLOOKUP(CustomerCombined[[#This Row],[ID]], Table2[ID],Table2[MC1], "Not Found", 0 )</f>
        <v>1</v>
      </c>
      <c r="Z693" s="8">
        <f>_xlfn.XLOOKUP(CustomerCombined[[#This Row],[ID]], Table2[ID],Table2[MC2], "Not Found", 0 )</f>
        <v>0</v>
      </c>
      <c r="AA693" s="8">
        <f>_xlfn.XLOOKUP(CustomerCombined[[#This Row],[ID]], Table2[ID],Table2[MC3], "Not Found", 0 )</f>
        <v>0</v>
      </c>
      <c r="AB693" s="8">
        <f>_xlfn.XLOOKUP(CustomerCombined[[#This Row],[ID]], Table2[ID],Table2[MC4], "Not Found", 0 )</f>
        <v>0</v>
      </c>
      <c r="AC693" s="8">
        <f>_xlfn.XLOOKUP(CustomerCombined[[#This Row],[ID]], Table2[ID],Table2[MC5], "Not Found", 0 )</f>
        <v>1</v>
      </c>
    </row>
    <row r="694" spans="1:29" x14ac:dyDescent="0.3">
      <c r="A694" s="6">
        <v>2820</v>
      </c>
      <c r="B694" s="6">
        <v>186836</v>
      </c>
      <c r="C694" s="6">
        <v>0</v>
      </c>
      <c r="D694" s="6">
        <v>0</v>
      </c>
      <c r="E694" s="6">
        <v>45</v>
      </c>
      <c r="F694" s="5" t="s">
        <v>6</v>
      </c>
      <c r="G694" s="5" t="s">
        <v>13</v>
      </c>
      <c r="H694" s="3" t="s">
        <v>397</v>
      </c>
      <c r="I694" s="5" t="s">
        <v>436</v>
      </c>
      <c r="J694" s="5">
        <f>_xlfn.XLOOKUP(CustomerCombined[[#This Row],[ID]], Table4[ID], Table4[Recency], "Not Found", 0)</f>
        <v>7</v>
      </c>
      <c r="K694" s="5">
        <f>_xlfn.XLOOKUP(CustomerCombined[[#This Row],[ID]], Table4[ID], Table4[Teas], "Not Found", 0)</f>
        <v>385</v>
      </c>
      <c r="L694" s="5">
        <f>_xlfn.XLOOKUP(CustomerCombined[[#This Row],[ID]], Table4[ID], Table4[Fruits], "Not Found", 0)</f>
        <v>45</v>
      </c>
      <c r="M694" s="5">
        <f>_xlfn.XLOOKUP(CustomerCombined[[#This Row],[ID]], Table4[ID], Table4[Meats], "Not Found", 0)</f>
        <v>587</v>
      </c>
      <c r="N694" s="5">
        <f>_xlfn.XLOOKUP(CustomerCombined[[#This Row],[ID]], Table4[ID], Table4[Seafood], "Not Found", 0)</f>
        <v>0</v>
      </c>
      <c r="O694" s="5">
        <f>_xlfn.XLOOKUP(CustomerCombined[[#This Row],[ID]], Table4[ID], Table4[Sweets], "Not Found", 0)</f>
        <v>45</v>
      </c>
      <c r="P694" s="5">
        <f>_xlfn.XLOOKUP(CustomerCombined[[#This Row],[ID]], Table4[ID], Table4[Premium], "Not Found", 0)</f>
        <v>136</v>
      </c>
      <c r="Q694" s="5">
        <f>_xlfn.XLOOKUP(CustomerCombined[[#This Row],[ID]], Table4[ID], Table4[Regular], "Not Found", 0)</f>
        <v>927</v>
      </c>
      <c r="R694" s="5">
        <f>_xlfn.XLOOKUP(CustomerCombined[[#This Row],[ID]], Table4[ID], Table4[Deals], "Not Found", 0)</f>
        <v>1</v>
      </c>
      <c r="S694" s="5">
        <f>_xlfn.XLOOKUP(CustomerCombined[[#This Row],[ID]], Table4[ID], Table4[Website], "Not Found", 0)</f>
        <v>6</v>
      </c>
      <c r="T694" s="5">
        <f>_xlfn.XLOOKUP(CustomerCombined[[#This Row],[ID]], Table4[ID], Table4[Catalog], "Not Found", 0)</f>
        <v>10</v>
      </c>
      <c r="U694" s="5">
        <f>_xlfn.XLOOKUP(CustomerCombined[[#This Row],[ID]], Table4[ID], Table4[Store], "Not Found", 0)</f>
        <v>6</v>
      </c>
      <c r="V694" s="5">
        <f>_xlfn.XLOOKUP(CustomerCombined[[#This Row],[ID]], Table4[ID], Table4[Visits], "Not Found", 0)</f>
        <v>5</v>
      </c>
      <c r="W694" s="8">
        <f>_xlfn.XLOOKUP(CustomerCombined[[#This Row],[ID]], Table2[ID],Table2[Complaint], "Not Found", 0 )</f>
        <v>0</v>
      </c>
      <c r="X694" s="8">
        <f>_xlfn.XLOOKUP(CustomerCombined[[#This Row],[ID]], Table2[ID],Table2[Pilot], "Not Found", 0 )</f>
        <v>1</v>
      </c>
      <c r="Y694" s="8">
        <f>_xlfn.XLOOKUP(CustomerCombined[[#This Row],[ID]], Table2[ID],Table2[MC1], "Not Found", 0 )</f>
        <v>1</v>
      </c>
      <c r="Z694" s="8">
        <f>_xlfn.XLOOKUP(CustomerCombined[[#This Row],[ID]], Table2[ID],Table2[MC2], "Not Found", 0 )</f>
        <v>0</v>
      </c>
      <c r="AA694" s="8">
        <f>_xlfn.XLOOKUP(CustomerCombined[[#This Row],[ID]], Table2[ID],Table2[MC3], "Not Found", 0 )</f>
        <v>1</v>
      </c>
      <c r="AB694" s="8">
        <f>_xlfn.XLOOKUP(CustomerCombined[[#This Row],[ID]], Table2[ID],Table2[MC4], "Not Found", 0 )</f>
        <v>0</v>
      </c>
      <c r="AC694" s="8">
        <f>_xlfn.XLOOKUP(CustomerCombined[[#This Row],[ID]], Table2[ID],Table2[MC5], "Not Found", 0 )</f>
        <v>1</v>
      </c>
    </row>
    <row r="695" spans="1:29" x14ac:dyDescent="0.3">
      <c r="A695" s="6">
        <v>1609</v>
      </c>
      <c r="B695" s="6">
        <v>184196</v>
      </c>
      <c r="C695" s="6">
        <v>0</v>
      </c>
      <c r="D695" s="6">
        <v>1</v>
      </c>
      <c r="E695" s="6">
        <v>45</v>
      </c>
      <c r="F695" s="5" t="s">
        <v>7</v>
      </c>
      <c r="G695" s="5" t="s">
        <v>11</v>
      </c>
      <c r="H695" s="3">
        <v>43688</v>
      </c>
      <c r="I695" s="5" t="s">
        <v>437</v>
      </c>
      <c r="J695" s="5">
        <f>_xlfn.XLOOKUP(CustomerCombined[[#This Row],[ID]], Table4[ID], Table4[Recency], "Not Found", 0)</f>
        <v>56</v>
      </c>
      <c r="K695" s="5">
        <f>_xlfn.XLOOKUP(CustomerCombined[[#This Row],[ID]], Table4[ID], Table4[Teas], "Not Found", 0)</f>
        <v>470</v>
      </c>
      <c r="L695" s="5">
        <f>_xlfn.XLOOKUP(CustomerCombined[[#This Row],[ID]], Table4[ID], Table4[Fruits], "Not Found", 0)</f>
        <v>138</v>
      </c>
      <c r="M695" s="5">
        <f>_xlfn.XLOOKUP(CustomerCombined[[#This Row],[ID]], Table4[ID], Table4[Meats], "Not Found", 0)</f>
        <v>1109</v>
      </c>
      <c r="N695" s="5">
        <f>_xlfn.XLOOKUP(CustomerCombined[[#This Row],[ID]], Table4[ID], Table4[Seafood], "Not Found", 0)</f>
        <v>505</v>
      </c>
      <c r="O695" s="5">
        <f>_xlfn.XLOOKUP(CustomerCombined[[#This Row],[ID]], Table4[ID], Table4[Sweets], "Not Found", 0)</f>
        <v>68</v>
      </c>
      <c r="P695" s="5">
        <f>_xlfn.XLOOKUP(CustomerCombined[[#This Row],[ID]], Table4[ID], Table4[Premium], "Not Found", 0)</f>
        <v>416</v>
      </c>
      <c r="Q695" s="5">
        <f>_xlfn.XLOOKUP(CustomerCombined[[#This Row],[ID]], Table4[ID], Table4[Regular], "Not Found", 0)</f>
        <v>1875</v>
      </c>
      <c r="R695" s="5">
        <f>_xlfn.XLOOKUP(CustomerCombined[[#This Row],[ID]], Table4[ID], Table4[Deals], "Not Found", 0)</f>
        <v>1</v>
      </c>
      <c r="S695" s="5">
        <f>_xlfn.XLOOKUP(CustomerCombined[[#This Row],[ID]], Table4[ID], Table4[Website], "Not Found", 0)</f>
        <v>8</v>
      </c>
      <c r="T695" s="5">
        <f>_xlfn.XLOOKUP(CustomerCombined[[#This Row],[ID]], Table4[ID], Table4[Catalog], "Not Found", 0)</f>
        <v>4</v>
      </c>
      <c r="U695" s="5">
        <f>_xlfn.XLOOKUP(CustomerCombined[[#This Row],[ID]], Table4[ID], Table4[Store], "Not Found", 0)</f>
        <v>7</v>
      </c>
      <c r="V695" s="5">
        <f>_xlfn.XLOOKUP(CustomerCombined[[#This Row],[ID]], Table4[ID], Table4[Visits], "Not Found", 0)</f>
        <v>3</v>
      </c>
      <c r="W695" s="8">
        <f>_xlfn.XLOOKUP(CustomerCombined[[#This Row],[ID]], Table2[ID],Table2[Complaint], "Not Found", 0 )</f>
        <v>0</v>
      </c>
      <c r="X695" s="8">
        <f>_xlfn.XLOOKUP(CustomerCombined[[#This Row],[ID]], Table2[ID],Table2[Pilot], "Not Found", 0 )</f>
        <v>0</v>
      </c>
      <c r="Y695" s="8">
        <f>_xlfn.XLOOKUP(CustomerCombined[[#This Row],[ID]], Table2[ID],Table2[MC1], "Not Found", 0 )</f>
        <v>0</v>
      </c>
      <c r="Z695" s="8">
        <f>_xlfn.XLOOKUP(CustomerCombined[[#This Row],[ID]], Table2[ID],Table2[MC2], "Not Found", 0 )</f>
        <v>0</v>
      </c>
      <c r="AA695" s="8">
        <f>_xlfn.XLOOKUP(CustomerCombined[[#This Row],[ID]], Table2[ID],Table2[MC3], "Not Found", 0 )</f>
        <v>0</v>
      </c>
      <c r="AB695" s="8">
        <f>_xlfn.XLOOKUP(CustomerCombined[[#This Row],[ID]], Table2[ID],Table2[MC4], "Not Found", 0 )</f>
        <v>0</v>
      </c>
      <c r="AC695" s="8">
        <f>_xlfn.XLOOKUP(CustomerCombined[[#This Row],[ID]], Table2[ID],Table2[MC5], "Not Found", 0 )</f>
        <v>0</v>
      </c>
    </row>
    <row r="696" spans="1:29" x14ac:dyDescent="0.3">
      <c r="A696" s="6">
        <v>2081</v>
      </c>
      <c r="B696" s="6">
        <v>183829</v>
      </c>
      <c r="C696" s="6">
        <v>0</v>
      </c>
      <c r="D696" s="6">
        <v>0</v>
      </c>
      <c r="E696" s="6">
        <v>45</v>
      </c>
      <c r="F696" s="5" t="s">
        <v>5</v>
      </c>
      <c r="G696" s="5" t="s">
        <v>11</v>
      </c>
      <c r="H696" s="3" t="s">
        <v>174</v>
      </c>
      <c r="I696" s="5" t="s">
        <v>434</v>
      </c>
      <c r="J696" s="5">
        <f>_xlfn.XLOOKUP(CustomerCombined[[#This Row],[ID]], Table4[ID], Table4[Recency], "Not Found", 0)</f>
        <v>78</v>
      </c>
      <c r="K696" s="5">
        <f>_xlfn.XLOOKUP(CustomerCombined[[#This Row],[ID]], Table4[ID], Table4[Teas], "Not Found", 0)</f>
        <v>1967</v>
      </c>
      <c r="L696" s="5">
        <f>_xlfn.XLOOKUP(CustomerCombined[[#This Row],[ID]], Table4[ID], Table4[Fruits], "Not Found", 0)</f>
        <v>353</v>
      </c>
      <c r="M696" s="5">
        <f>_xlfn.XLOOKUP(CustomerCombined[[#This Row],[ID]], Table4[ID], Table4[Meats], "Not Found", 0)</f>
        <v>943</v>
      </c>
      <c r="N696" s="5">
        <f>_xlfn.XLOOKUP(CustomerCombined[[#This Row],[ID]], Table4[ID], Table4[Seafood], "Not Found", 0)</f>
        <v>408</v>
      </c>
      <c r="O696" s="5">
        <f>_xlfn.XLOOKUP(CustomerCombined[[#This Row],[ID]], Table4[ID], Table4[Sweets], "Not Found", 0)</f>
        <v>353</v>
      </c>
      <c r="P696" s="5">
        <f>_xlfn.XLOOKUP(CustomerCombined[[#This Row],[ID]], Table4[ID], Table4[Premium], "Not Found", 0)</f>
        <v>59</v>
      </c>
      <c r="Q696" s="5">
        <f>_xlfn.XLOOKUP(CustomerCombined[[#This Row],[ID]], Table4[ID], Table4[Regular], "Not Found", 0)</f>
        <v>3965</v>
      </c>
      <c r="R696" s="5">
        <f>_xlfn.XLOOKUP(CustomerCombined[[#This Row],[ID]], Table4[ID], Table4[Deals], "Not Found", 0)</f>
        <v>0</v>
      </c>
      <c r="S696" s="5">
        <f>_xlfn.XLOOKUP(CustomerCombined[[#This Row],[ID]], Table4[ID], Table4[Website], "Not Found", 0)</f>
        <v>4</v>
      </c>
      <c r="T696" s="5">
        <f>_xlfn.XLOOKUP(CustomerCombined[[#This Row],[ID]], Table4[ID], Table4[Catalog], "Not Found", 0)</f>
        <v>7</v>
      </c>
      <c r="U696" s="5">
        <f>_xlfn.XLOOKUP(CustomerCombined[[#This Row],[ID]], Table4[ID], Table4[Store], "Not Found", 0)</f>
        <v>6</v>
      </c>
      <c r="V696" s="5">
        <f>_xlfn.XLOOKUP(CustomerCombined[[#This Row],[ID]], Table4[ID], Table4[Visits], "Not Found", 0)</f>
        <v>1</v>
      </c>
      <c r="W696" s="8">
        <f>_xlfn.XLOOKUP(CustomerCombined[[#This Row],[ID]], Table2[ID],Table2[Complaint], "Not Found", 0 )</f>
        <v>0</v>
      </c>
      <c r="X696" s="8">
        <f>_xlfn.XLOOKUP(CustomerCombined[[#This Row],[ID]], Table2[ID],Table2[Pilot], "Not Found", 0 )</f>
        <v>1</v>
      </c>
      <c r="Y696" s="8">
        <f>_xlfn.XLOOKUP(CustomerCombined[[#This Row],[ID]], Table2[ID],Table2[MC1], "Not Found", 0 )</f>
        <v>1</v>
      </c>
      <c r="Z696" s="8">
        <f>_xlfn.XLOOKUP(CustomerCombined[[#This Row],[ID]], Table2[ID],Table2[MC2], "Not Found", 0 )</f>
        <v>0</v>
      </c>
      <c r="AA696" s="8">
        <f>_xlfn.XLOOKUP(CustomerCombined[[#This Row],[ID]], Table2[ID],Table2[MC3], "Not Found", 0 )</f>
        <v>1</v>
      </c>
      <c r="AB696" s="8">
        <f>_xlfn.XLOOKUP(CustomerCombined[[#This Row],[ID]], Table2[ID],Table2[MC4], "Not Found", 0 )</f>
        <v>0</v>
      </c>
      <c r="AC696" s="8">
        <f>_xlfn.XLOOKUP(CustomerCombined[[#This Row],[ID]], Table2[ID],Table2[MC5], "Not Found", 0 )</f>
        <v>1</v>
      </c>
    </row>
    <row r="697" spans="1:29" x14ac:dyDescent="0.3">
      <c r="A697" s="6">
        <v>2246</v>
      </c>
      <c r="B697" s="6">
        <v>183829</v>
      </c>
      <c r="C697" s="6">
        <v>0</v>
      </c>
      <c r="D697" s="6">
        <v>0</v>
      </c>
      <c r="E697" s="6">
        <v>45</v>
      </c>
      <c r="F697" s="5" t="s">
        <v>5</v>
      </c>
      <c r="G697" s="5" t="s">
        <v>11</v>
      </c>
      <c r="H697" s="3" t="s">
        <v>174</v>
      </c>
      <c r="I697" s="5" t="s">
        <v>438</v>
      </c>
      <c r="J697" s="5">
        <f>_xlfn.XLOOKUP(CustomerCombined[[#This Row],[ID]], Table4[ID], Table4[Recency], "Not Found", 0)</f>
        <v>78</v>
      </c>
      <c r="K697" s="5">
        <f>_xlfn.XLOOKUP(CustomerCombined[[#This Row],[ID]], Table4[ID], Table4[Teas], "Not Found", 0)</f>
        <v>1967</v>
      </c>
      <c r="L697" s="5">
        <f>_xlfn.XLOOKUP(CustomerCombined[[#This Row],[ID]], Table4[ID], Table4[Fruits], "Not Found", 0)</f>
        <v>353</v>
      </c>
      <c r="M697" s="5">
        <f>_xlfn.XLOOKUP(CustomerCombined[[#This Row],[ID]], Table4[ID], Table4[Meats], "Not Found", 0)</f>
        <v>943</v>
      </c>
      <c r="N697" s="5">
        <f>_xlfn.XLOOKUP(CustomerCombined[[#This Row],[ID]], Table4[ID], Table4[Seafood], "Not Found", 0)</f>
        <v>408</v>
      </c>
      <c r="O697" s="5">
        <f>_xlfn.XLOOKUP(CustomerCombined[[#This Row],[ID]], Table4[ID], Table4[Sweets], "Not Found", 0)</f>
        <v>353</v>
      </c>
      <c r="P697" s="5">
        <f>_xlfn.XLOOKUP(CustomerCombined[[#This Row],[ID]], Table4[ID], Table4[Premium], "Not Found", 0)</f>
        <v>59</v>
      </c>
      <c r="Q697" s="5">
        <f>_xlfn.XLOOKUP(CustomerCombined[[#This Row],[ID]], Table4[ID], Table4[Regular], "Not Found", 0)</f>
        <v>3965</v>
      </c>
      <c r="R697" s="5">
        <f>_xlfn.XLOOKUP(CustomerCombined[[#This Row],[ID]], Table4[ID], Table4[Deals], "Not Found", 0)</f>
        <v>0</v>
      </c>
      <c r="S697" s="5">
        <f>_xlfn.XLOOKUP(CustomerCombined[[#This Row],[ID]], Table4[ID], Table4[Website], "Not Found", 0)</f>
        <v>4</v>
      </c>
      <c r="T697" s="5">
        <f>_xlfn.XLOOKUP(CustomerCombined[[#This Row],[ID]], Table4[ID], Table4[Catalog], "Not Found", 0)</f>
        <v>7</v>
      </c>
      <c r="U697" s="5">
        <f>_xlfn.XLOOKUP(CustomerCombined[[#This Row],[ID]], Table4[ID], Table4[Store], "Not Found", 0)</f>
        <v>6</v>
      </c>
      <c r="V697" s="5">
        <f>_xlfn.XLOOKUP(CustomerCombined[[#This Row],[ID]], Table4[ID], Table4[Visits], "Not Found", 0)</f>
        <v>1</v>
      </c>
      <c r="W697" s="8">
        <f>_xlfn.XLOOKUP(CustomerCombined[[#This Row],[ID]], Table2[ID],Table2[Complaint], "Not Found", 0 )</f>
        <v>0</v>
      </c>
      <c r="X697" s="8">
        <f>_xlfn.XLOOKUP(CustomerCombined[[#This Row],[ID]], Table2[ID],Table2[Pilot], "Not Found", 0 )</f>
        <v>1</v>
      </c>
      <c r="Y697" s="8">
        <f>_xlfn.XLOOKUP(CustomerCombined[[#This Row],[ID]], Table2[ID],Table2[MC1], "Not Found", 0 )</f>
        <v>1</v>
      </c>
      <c r="Z697" s="8">
        <f>_xlfn.XLOOKUP(CustomerCombined[[#This Row],[ID]], Table2[ID],Table2[MC2], "Not Found", 0 )</f>
        <v>0</v>
      </c>
      <c r="AA697" s="8">
        <f>_xlfn.XLOOKUP(CustomerCombined[[#This Row],[ID]], Table2[ID],Table2[MC3], "Not Found", 0 )</f>
        <v>1</v>
      </c>
      <c r="AB697" s="8">
        <f>_xlfn.XLOOKUP(CustomerCombined[[#This Row],[ID]], Table2[ID],Table2[MC4], "Not Found", 0 )</f>
        <v>0</v>
      </c>
      <c r="AC697" s="8">
        <f>_xlfn.XLOOKUP(CustomerCombined[[#This Row],[ID]], Table2[ID],Table2[MC5], "Not Found", 0 )</f>
        <v>1</v>
      </c>
    </row>
    <row r="698" spans="1:29" x14ac:dyDescent="0.3">
      <c r="A698" s="6">
        <v>1499</v>
      </c>
      <c r="B698" s="6">
        <v>181169</v>
      </c>
      <c r="C698" s="6">
        <v>0</v>
      </c>
      <c r="D698" s="6">
        <v>0</v>
      </c>
      <c r="E698" s="6">
        <v>45</v>
      </c>
      <c r="F698" s="5" t="s">
        <v>7</v>
      </c>
      <c r="G698" s="5" t="s">
        <v>12</v>
      </c>
      <c r="H698" s="3" t="s">
        <v>275</v>
      </c>
      <c r="I698" s="5" t="s">
        <v>434</v>
      </c>
      <c r="J698" s="5">
        <f>_xlfn.XLOOKUP(CustomerCombined[[#This Row],[ID]], Table4[ID], Table4[Recency], "Not Found", 0)</f>
        <v>47</v>
      </c>
      <c r="K698" s="5">
        <f>_xlfn.XLOOKUP(CustomerCombined[[#This Row],[ID]], Table4[ID], Table4[Teas], "Not Found", 0)</f>
        <v>2875</v>
      </c>
      <c r="L698" s="5">
        <f>_xlfn.XLOOKUP(CustomerCombined[[#This Row],[ID]], Table4[ID], Table4[Fruits], "Not Found", 0)</f>
        <v>45</v>
      </c>
      <c r="M698" s="5">
        <f>_xlfn.XLOOKUP(CustomerCombined[[#This Row],[ID]], Table4[ID], Table4[Meats], "Not Found", 0)</f>
        <v>1368</v>
      </c>
      <c r="N698" s="5">
        <f>_xlfn.XLOOKUP(CustomerCombined[[#This Row],[ID]], Table4[ID], Table4[Seafood], "Not Found", 0)</f>
        <v>179</v>
      </c>
      <c r="O698" s="5">
        <f>_xlfn.XLOOKUP(CustomerCombined[[#This Row],[ID]], Table4[ID], Table4[Sweets], "Not Found", 0)</f>
        <v>136</v>
      </c>
      <c r="P698" s="5">
        <f>_xlfn.XLOOKUP(CustomerCombined[[#This Row],[ID]], Table4[ID], Table4[Premium], "Not Found", 0)</f>
        <v>60</v>
      </c>
      <c r="Q698" s="5">
        <f>_xlfn.XLOOKUP(CustomerCombined[[#This Row],[ID]], Table4[ID], Table4[Regular], "Not Found", 0)</f>
        <v>4542</v>
      </c>
      <c r="R698" s="5">
        <f>_xlfn.XLOOKUP(CustomerCombined[[#This Row],[ID]], Table4[ID], Table4[Deals], "Not Found", 0)</f>
        <v>1</v>
      </c>
      <c r="S698" s="5">
        <f>_xlfn.XLOOKUP(CustomerCombined[[#This Row],[ID]], Table4[ID], Table4[Website], "Not Found", 0)</f>
        <v>5</v>
      </c>
      <c r="T698" s="5">
        <f>_xlfn.XLOOKUP(CustomerCombined[[#This Row],[ID]], Table4[ID], Table4[Catalog], "Not Found", 0)</f>
        <v>7</v>
      </c>
      <c r="U698" s="5">
        <f>_xlfn.XLOOKUP(CustomerCombined[[#This Row],[ID]], Table4[ID], Table4[Store], "Not Found", 0)</f>
        <v>9</v>
      </c>
      <c r="V698" s="5">
        <f>_xlfn.XLOOKUP(CustomerCombined[[#This Row],[ID]], Table4[ID], Table4[Visits], "Not Found", 0)</f>
        <v>2</v>
      </c>
      <c r="W698" s="8">
        <f>_xlfn.XLOOKUP(CustomerCombined[[#This Row],[ID]], Table2[ID],Table2[Complaint], "Not Found", 0 )</f>
        <v>0</v>
      </c>
      <c r="X698" s="8">
        <f>_xlfn.XLOOKUP(CustomerCombined[[#This Row],[ID]], Table2[ID],Table2[Pilot], "Not Found", 0 )</f>
        <v>0</v>
      </c>
      <c r="Y698" s="8">
        <f>_xlfn.XLOOKUP(CustomerCombined[[#This Row],[ID]], Table2[ID],Table2[MC1], "Not Found", 0 )</f>
        <v>0</v>
      </c>
      <c r="Z698" s="8">
        <f>_xlfn.XLOOKUP(CustomerCombined[[#This Row],[ID]], Table2[ID],Table2[MC2], "Not Found", 0 )</f>
        <v>0</v>
      </c>
      <c r="AA698" s="8">
        <f>_xlfn.XLOOKUP(CustomerCombined[[#This Row],[ID]], Table2[ID],Table2[MC3], "Not Found", 0 )</f>
        <v>0</v>
      </c>
      <c r="AB698" s="8">
        <f>_xlfn.XLOOKUP(CustomerCombined[[#This Row],[ID]], Table2[ID],Table2[MC4], "Not Found", 0 )</f>
        <v>0</v>
      </c>
      <c r="AC698" s="8">
        <f>_xlfn.XLOOKUP(CustomerCombined[[#This Row],[ID]], Table2[ID],Table2[MC5], "Not Found", 0 )</f>
        <v>0</v>
      </c>
    </row>
    <row r="699" spans="1:29" x14ac:dyDescent="0.3">
      <c r="A699" s="6">
        <v>1164</v>
      </c>
      <c r="B699" s="6">
        <v>180427</v>
      </c>
      <c r="C699" s="6">
        <v>0</v>
      </c>
      <c r="D699" s="6">
        <v>1</v>
      </c>
      <c r="E699" s="6">
        <v>45</v>
      </c>
      <c r="F699" s="5" t="s">
        <v>6</v>
      </c>
      <c r="G699" s="5" t="s">
        <v>13</v>
      </c>
      <c r="H699" s="3" t="s">
        <v>397</v>
      </c>
      <c r="I699" s="5" t="s">
        <v>436</v>
      </c>
      <c r="J699" s="5">
        <f>_xlfn.XLOOKUP(CustomerCombined[[#This Row],[ID]], Table4[ID], Table4[Recency], "Not Found", 0)</f>
        <v>56</v>
      </c>
      <c r="K699" s="5">
        <f>_xlfn.XLOOKUP(CustomerCombined[[#This Row],[ID]], Table4[ID], Table4[Teas], "Not Found", 0)</f>
        <v>2578</v>
      </c>
      <c r="L699" s="5">
        <f>_xlfn.XLOOKUP(CustomerCombined[[#This Row],[ID]], Table4[ID], Table4[Fruits], "Not Found", 0)</f>
        <v>159</v>
      </c>
      <c r="M699" s="5">
        <f>_xlfn.XLOOKUP(CustomerCombined[[#This Row],[ID]], Table4[ID], Table4[Meats], "Not Found", 0)</f>
        <v>1007</v>
      </c>
      <c r="N699" s="5">
        <f>_xlfn.XLOOKUP(CustomerCombined[[#This Row],[ID]], Table4[ID], Table4[Seafood], "Not Found", 0)</f>
        <v>155</v>
      </c>
      <c r="O699" s="5">
        <f>_xlfn.XLOOKUP(CustomerCombined[[#This Row],[ID]], Table4[ID], Table4[Sweets], "Not Found", 0)</f>
        <v>159</v>
      </c>
      <c r="P699" s="5">
        <f>_xlfn.XLOOKUP(CustomerCombined[[#This Row],[ID]], Table4[ID], Table4[Premium], "Not Found", 0)</f>
        <v>58</v>
      </c>
      <c r="Q699" s="5">
        <f>_xlfn.XLOOKUP(CustomerCombined[[#This Row],[ID]], Table4[ID], Table4[Regular], "Not Found", 0)</f>
        <v>4000</v>
      </c>
      <c r="R699" s="5">
        <f>_xlfn.XLOOKUP(CustomerCombined[[#This Row],[ID]], Table4[ID], Table4[Deals], "Not Found", 0)</f>
        <v>1</v>
      </c>
      <c r="S699" s="5">
        <f>_xlfn.XLOOKUP(CustomerCombined[[#This Row],[ID]], Table4[ID], Table4[Website], "Not Found", 0)</f>
        <v>11</v>
      </c>
      <c r="T699" s="5">
        <f>_xlfn.XLOOKUP(CustomerCombined[[#This Row],[ID]], Table4[ID], Table4[Catalog], "Not Found", 0)</f>
        <v>8</v>
      </c>
      <c r="U699" s="5">
        <f>_xlfn.XLOOKUP(CustomerCombined[[#This Row],[ID]], Table4[ID], Table4[Store], "Not Found", 0)</f>
        <v>8</v>
      </c>
      <c r="V699" s="5">
        <f>_xlfn.XLOOKUP(CustomerCombined[[#This Row],[ID]], Table4[ID], Table4[Visits], "Not Found", 0)</f>
        <v>5</v>
      </c>
      <c r="W699" s="8">
        <f>_xlfn.XLOOKUP(CustomerCombined[[#This Row],[ID]], Table2[ID],Table2[Complaint], "Not Found", 0 )</f>
        <v>0</v>
      </c>
      <c r="X699" s="8">
        <f>_xlfn.XLOOKUP(CustomerCombined[[#This Row],[ID]], Table2[ID],Table2[Pilot], "Not Found", 0 )</f>
        <v>0</v>
      </c>
      <c r="Y699" s="8">
        <f>_xlfn.XLOOKUP(CustomerCombined[[#This Row],[ID]], Table2[ID],Table2[MC1], "Not Found", 0 )</f>
        <v>0</v>
      </c>
      <c r="Z699" s="8">
        <f>_xlfn.XLOOKUP(CustomerCombined[[#This Row],[ID]], Table2[ID],Table2[MC2], "Not Found", 0 )</f>
        <v>0</v>
      </c>
      <c r="AA699" s="8">
        <f>_xlfn.XLOOKUP(CustomerCombined[[#This Row],[ID]], Table2[ID],Table2[MC3], "Not Found", 0 )</f>
        <v>0</v>
      </c>
      <c r="AB699" s="8">
        <f>_xlfn.XLOOKUP(CustomerCombined[[#This Row],[ID]], Table2[ID],Table2[MC4], "Not Found", 0 )</f>
        <v>0</v>
      </c>
      <c r="AC699" s="8">
        <f>_xlfn.XLOOKUP(CustomerCombined[[#This Row],[ID]], Table2[ID],Table2[MC5], "Not Found", 0 )</f>
        <v>0</v>
      </c>
    </row>
    <row r="700" spans="1:29" x14ac:dyDescent="0.3">
      <c r="A700" s="6">
        <v>3065</v>
      </c>
      <c r="B700" s="6">
        <v>180144</v>
      </c>
      <c r="C700" s="6">
        <v>0</v>
      </c>
      <c r="D700" s="6">
        <v>0</v>
      </c>
      <c r="E700" s="6">
        <v>45</v>
      </c>
      <c r="F700" s="5" t="s">
        <v>8</v>
      </c>
      <c r="G700" s="5" t="s">
        <v>11</v>
      </c>
      <c r="H700" s="3">
        <v>43985</v>
      </c>
      <c r="I700" s="5" t="s">
        <v>434</v>
      </c>
      <c r="J700" s="5">
        <f>_xlfn.XLOOKUP(CustomerCombined[[#This Row],[ID]], Table4[ID], Table4[Recency], "Not Found", 0)</f>
        <v>47</v>
      </c>
      <c r="K700" s="5">
        <f>_xlfn.XLOOKUP(CustomerCombined[[#This Row],[ID]], Table4[ID], Table4[Teas], "Not Found", 0)</f>
        <v>539</v>
      </c>
      <c r="L700" s="5">
        <f>_xlfn.XLOOKUP(CustomerCombined[[#This Row],[ID]], Table4[ID], Table4[Fruits], "Not Found", 0)</f>
        <v>297</v>
      </c>
      <c r="M700" s="5">
        <f>_xlfn.XLOOKUP(CustomerCombined[[#This Row],[ID]], Table4[ID], Table4[Meats], "Not Found", 0)</f>
        <v>1000</v>
      </c>
      <c r="N700" s="5">
        <f>_xlfn.XLOOKUP(CustomerCombined[[#This Row],[ID]], Table4[ID], Table4[Seafood], "Not Found", 0)</f>
        <v>562</v>
      </c>
      <c r="O700" s="5">
        <f>_xlfn.XLOOKUP(CustomerCombined[[#This Row],[ID]], Table4[ID], Table4[Sweets], "Not Found", 0)</f>
        <v>432</v>
      </c>
      <c r="P700" s="5">
        <f>_xlfn.XLOOKUP(CustomerCombined[[#This Row],[ID]], Table4[ID], Table4[Premium], "Not Found", 0)</f>
        <v>243</v>
      </c>
      <c r="Q700" s="5">
        <f>_xlfn.XLOOKUP(CustomerCombined[[#This Row],[ID]], Table4[ID], Table4[Regular], "Not Found", 0)</f>
        <v>2587</v>
      </c>
      <c r="R700" s="5">
        <f>_xlfn.XLOOKUP(CustomerCombined[[#This Row],[ID]], Table4[ID], Table4[Deals], "Not Found", 0)</f>
        <v>1</v>
      </c>
      <c r="S700" s="5">
        <f>_xlfn.XLOOKUP(CustomerCombined[[#This Row],[ID]], Table4[ID], Table4[Website], "Not Found", 0)</f>
        <v>3</v>
      </c>
      <c r="T700" s="5">
        <f>_xlfn.XLOOKUP(CustomerCombined[[#This Row],[ID]], Table4[ID], Table4[Catalog], "Not Found", 0)</f>
        <v>7</v>
      </c>
      <c r="U700" s="5">
        <f>_xlfn.XLOOKUP(CustomerCombined[[#This Row],[ID]], Table4[ID], Table4[Store], "Not Found", 0)</f>
        <v>8</v>
      </c>
      <c r="V700" s="5">
        <f>_xlfn.XLOOKUP(CustomerCombined[[#This Row],[ID]], Table4[ID], Table4[Visits], "Not Found", 0)</f>
        <v>1</v>
      </c>
      <c r="W700" s="8">
        <f>_xlfn.XLOOKUP(CustomerCombined[[#This Row],[ID]], Table2[ID],Table2[Complaint], "Not Found", 0 )</f>
        <v>0</v>
      </c>
      <c r="X700" s="8">
        <f>_xlfn.XLOOKUP(CustomerCombined[[#This Row],[ID]], Table2[ID],Table2[Pilot], "Not Found", 0 )</f>
        <v>0</v>
      </c>
      <c r="Y700" s="8">
        <f>_xlfn.XLOOKUP(CustomerCombined[[#This Row],[ID]], Table2[ID],Table2[MC1], "Not Found", 0 )</f>
        <v>0</v>
      </c>
      <c r="Z700" s="8">
        <f>_xlfn.XLOOKUP(CustomerCombined[[#This Row],[ID]], Table2[ID],Table2[MC2], "Not Found", 0 )</f>
        <v>0</v>
      </c>
      <c r="AA700" s="8">
        <f>_xlfn.XLOOKUP(CustomerCombined[[#This Row],[ID]], Table2[ID],Table2[MC3], "Not Found", 0 )</f>
        <v>0</v>
      </c>
      <c r="AB700" s="8">
        <f>_xlfn.XLOOKUP(CustomerCombined[[#This Row],[ID]], Table2[ID],Table2[MC4], "Not Found", 0 )</f>
        <v>0</v>
      </c>
      <c r="AC700" s="8">
        <f>_xlfn.XLOOKUP(CustomerCombined[[#This Row],[ID]], Table2[ID],Table2[MC5], "Not Found", 0 )</f>
        <v>0</v>
      </c>
    </row>
    <row r="701" spans="1:29" x14ac:dyDescent="0.3">
      <c r="A701" s="6">
        <v>2971</v>
      </c>
      <c r="B701" s="6">
        <v>179205</v>
      </c>
      <c r="C701" s="6">
        <v>0</v>
      </c>
      <c r="D701" s="6">
        <v>0</v>
      </c>
      <c r="E701" s="6">
        <v>45</v>
      </c>
      <c r="F701" s="5" t="s">
        <v>6</v>
      </c>
      <c r="G701" s="5" t="s">
        <v>11</v>
      </c>
      <c r="H701" s="3">
        <v>43526</v>
      </c>
      <c r="I701" s="5" t="s">
        <v>437</v>
      </c>
      <c r="J701" s="5">
        <f>_xlfn.XLOOKUP(CustomerCombined[[#This Row],[ID]], Table4[ID], Table4[Recency], "Not Found", 0)</f>
        <v>73</v>
      </c>
      <c r="K701" s="5">
        <f>_xlfn.XLOOKUP(CustomerCombined[[#This Row],[ID]], Table4[ID], Table4[Teas], "Not Found", 0)</f>
        <v>1140</v>
      </c>
      <c r="L701" s="5">
        <f>_xlfn.XLOOKUP(CustomerCombined[[#This Row],[ID]], Table4[ID], Table4[Fruits], "Not Found", 0)</f>
        <v>52</v>
      </c>
      <c r="M701" s="5">
        <f>_xlfn.XLOOKUP(CustomerCombined[[#This Row],[ID]], Table4[ID], Table4[Meats], "Not Found", 0)</f>
        <v>265</v>
      </c>
      <c r="N701" s="5">
        <f>_xlfn.XLOOKUP(CustomerCombined[[#This Row],[ID]], Table4[ID], Table4[Seafood], "Not Found", 0)</f>
        <v>405</v>
      </c>
      <c r="O701" s="5">
        <f>_xlfn.XLOOKUP(CustomerCombined[[#This Row],[ID]], Table4[ID], Table4[Sweets], "Not Found", 0)</f>
        <v>63</v>
      </c>
      <c r="P701" s="5">
        <f>_xlfn.XLOOKUP(CustomerCombined[[#This Row],[ID]], Table4[ID], Table4[Premium], "Not Found", 0)</f>
        <v>100</v>
      </c>
      <c r="Q701" s="5">
        <f>_xlfn.XLOOKUP(CustomerCombined[[#This Row],[ID]], Table4[ID], Table4[Regular], "Not Found", 0)</f>
        <v>1826</v>
      </c>
      <c r="R701" s="5">
        <f>_xlfn.XLOOKUP(CustomerCombined[[#This Row],[ID]], Table4[ID], Table4[Deals], "Not Found", 0)</f>
        <v>1</v>
      </c>
      <c r="S701" s="5">
        <f>_xlfn.XLOOKUP(CustomerCombined[[#This Row],[ID]], Table4[ID], Table4[Website], "Not Found", 0)</f>
        <v>6</v>
      </c>
      <c r="T701" s="5">
        <f>_xlfn.XLOOKUP(CustomerCombined[[#This Row],[ID]], Table4[ID], Table4[Catalog], "Not Found", 0)</f>
        <v>5</v>
      </c>
      <c r="U701" s="5">
        <f>_xlfn.XLOOKUP(CustomerCombined[[#This Row],[ID]], Table4[ID], Table4[Store], "Not Found", 0)</f>
        <v>4</v>
      </c>
      <c r="V701" s="5">
        <f>_xlfn.XLOOKUP(CustomerCombined[[#This Row],[ID]], Table4[ID], Table4[Visits], "Not Found", 0)</f>
        <v>4</v>
      </c>
      <c r="W701" s="8">
        <f>_xlfn.XLOOKUP(CustomerCombined[[#This Row],[ID]], Table2[ID],Table2[Complaint], "Not Found", 0 )</f>
        <v>0</v>
      </c>
      <c r="X701" s="8">
        <f>_xlfn.XLOOKUP(CustomerCombined[[#This Row],[ID]], Table2[ID],Table2[Pilot], "Not Found", 0 )</f>
        <v>1</v>
      </c>
      <c r="Y701" s="8">
        <f>_xlfn.XLOOKUP(CustomerCombined[[#This Row],[ID]], Table2[ID],Table2[MC1], "Not Found", 0 )</f>
        <v>1</v>
      </c>
      <c r="Z701" s="8">
        <f>_xlfn.XLOOKUP(CustomerCombined[[#This Row],[ID]], Table2[ID],Table2[MC2], "Not Found", 0 )</f>
        <v>0</v>
      </c>
      <c r="AA701" s="8">
        <f>_xlfn.XLOOKUP(CustomerCombined[[#This Row],[ID]], Table2[ID],Table2[MC3], "Not Found", 0 )</f>
        <v>0</v>
      </c>
      <c r="AB701" s="8">
        <f>_xlfn.XLOOKUP(CustomerCombined[[#This Row],[ID]], Table2[ID],Table2[MC4], "Not Found", 0 )</f>
        <v>0</v>
      </c>
      <c r="AC701" s="8">
        <f>_xlfn.XLOOKUP(CustomerCombined[[#This Row],[ID]], Table2[ID],Table2[MC5], "Not Found", 0 )</f>
        <v>0</v>
      </c>
    </row>
    <row r="702" spans="1:29" x14ac:dyDescent="0.3">
      <c r="A702" s="6">
        <v>3143</v>
      </c>
      <c r="B702" s="6">
        <v>179174</v>
      </c>
      <c r="C702" s="6">
        <v>0</v>
      </c>
      <c r="D702" s="6">
        <v>0</v>
      </c>
      <c r="E702" s="6">
        <v>45</v>
      </c>
      <c r="F702" s="5" t="s">
        <v>6</v>
      </c>
      <c r="G702" s="5" t="s">
        <v>13</v>
      </c>
      <c r="H702" s="3" t="s">
        <v>329</v>
      </c>
      <c r="I702" s="5" t="s">
        <v>434</v>
      </c>
      <c r="J702" s="5">
        <f>_xlfn.XLOOKUP(CustomerCombined[[#This Row],[ID]], Table4[ID], Table4[Recency], "Not Found", 0)</f>
        <v>2</v>
      </c>
      <c r="K702" s="5">
        <f>_xlfn.XLOOKUP(CustomerCombined[[#This Row],[ID]], Table4[ID], Table4[Teas], "Not Found", 0)</f>
        <v>2431</v>
      </c>
      <c r="L702" s="5">
        <f>_xlfn.XLOOKUP(CustomerCombined[[#This Row],[ID]], Table4[ID], Table4[Fruits], "Not Found", 0)</f>
        <v>84</v>
      </c>
      <c r="M702" s="5">
        <f>_xlfn.XLOOKUP(CustomerCombined[[#This Row],[ID]], Table4[ID], Table4[Meats], "Not Found", 0)</f>
        <v>1172</v>
      </c>
      <c r="N702" s="5">
        <f>_xlfn.XLOOKUP(CustomerCombined[[#This Row],[ID]], Table4[ID], Table4[Seafood], "Not Found", 0)</f>
        <v>437</v>
      </c>
      <c r="O702" s="5">
        <f>_xlfn.XLOOKUP(CustomerCombined[[#This Row],[ID]], Table4[ID], Table4[Sweets], "Not Found", 0)</f>
        <v>208</v>
      </c>
      <c r="P702" s="5">
        <f>_xlfn.XLOOKUP(CustomerCombined[[#This Row],[ID]], Table4[ID], Table4[Premium], "Not Found", 0)</f>
        <v>292</v>
      </c>
      <c r="Q702" s="5">
        <f>_xlfn.XLOOKUP(CustomerCombined[[#This Row],[ID]], Table4[ID], Table4[Regular], "Not Found", 0)</f>
        <v>4040</v>
      </c>
      <c r="R702" s="5">
        <f>_xlfn.XLOOKUP(CustomerCombined[[#This Row],[ID]], Table4[ID], Table4[Deals], "Not Found", 0)</f>
        <v>1</v>
      </c>
      <c r="S702" s="5">
        <f>_xlfn.XLOOKUP(CustomerCombined[[#This Row],[ID]], Table4[ID], Table4[Website], "Not Found", 0)</f>
        <v>5</v>
      </c>
      <c r="T702" s="5">
        <f>_xlfn.XLOOKUP(CustomerCombined[[#This Row],[ID]], Table4[ID], Table4[Catalog], "Not Found", 0)</f>
        <v>6</v>
      </c>
      <c r="U702" s="5">
        <f>_xlfn.XLOOKUP(CustomerCombined[[#This Row],[ID]], Table4[ID], Table4[Store], "Not Found", 0)</f>
        <v>7</v>
      </c>
      <c r="V702" s="5">
        <f>_xlfn.XLOOKUP(CustomerCombined[[#This Row],[ID]], Table4[ID], Table4[Visits], "Not Found", 0)</f>
        <v>2</v>
      </c>
      <c r="W702" s="8">
        <f>_xlfn.XLOOKUP(CustomerCombined[[#This Row],[ID]], Table2[ID],Table2[Complaint], "Not Found", 0 )</f>
        <v>0</v>
      </c>
      <c r="X702" s="8">
        <f>_xlfn.XLOOKUP(CustomerCombined[[#This Row],[ID]], Table2[ID],Table2[Pilot], "Not Found", 0 )</f>
        <v>1</v>
      </c>
      <c r="Y702" s="8">
        <f>_xlfn.XLOOKUP(CustomerCombined[[#This Row],[ID]], Table2[ID],Table2[MC1], "Not Found", 0 )</f>
        <v>1</v>
      </c>
      <c r="Z702" s="8">
        <f>_xlfn.XLOOKUP(CustomerCombined[[#This Row],[ID]], Table2[ID],Table2[MC2], "Not Found", 0 )</f>
        <v>0</v>
      </c>
      <c r="AA702" s="8">
        <f>_xlfn.XLOOKUP(CustomerCombined[[#This Row],[ID]], Table2[ID],Table2[MC3], "Not Found", 0 )</f>
        <v>0</v>
      </c>
      <c r="AB702" s="8">
        <f>_xlfn.XLOOKUP(CustomerCombined[[#This Row],[ID]], Table2[ID],Table2[MC4], "Not Found", 0 )</f>
        <v>0</v>
      </c>
      <c r="AC702" s="8">
        <f>_xlfn.XLOOKUP(CustomerCombined[[#This Row],[ID]], Table2[ID],Table2[MC5], "Not Found", 0 )</f>
        <v>1</v>
      </c>
    </row>
    <row r="703" spans="1:29" x14ac:dyDescent="0.3">
      <c r="A703" s="6">
        <v>1696</v>
      </c>
      <c r="B703" s="6">
        <v>176618</v>
      </c>
      <c r="C703" s="6">
        <v>0</v>
      </c>
      <c r="D703" s="6">
        <v>0</v>
      </c>
      <c r="E703" s="6">
        <v>45</v>
      </c>
      <c r="F703" s="5" t="s">
        <v>6</v>
      </c>
      <c r="G703" s="5" t="s">
        <v>13</v>
      </c>
      <c r="H703" s="3" t="s">
        <v>351</v>
      </c>
      <c r="I703" s="5" t="s">
        <v>439</v>
      </c>
      <c r="J703" s="5">
        <f>_xlfn.XLOOKUP(CustomerCombined[[#This Row],[ID]], Table4[ID], Table4[Recency], "Not Found", 0)</f>
        <v>64</v>
      </c>
      <c r="K703" s="5">
        <f>_xlfn.XLOOKUP(CustomerCombined[[#This Row],[ID]], Table4[ID], Table4[Teas], "Not Found", 0)</f>
        <v>1727</v>
      </c>
      <c r="L703" s="5">
        <f>_xlfn.XLOOKUP(CustomerCombined[[#This Row],[ID]], Table4[ID], Table4[Fruits], "Not Found", 0)</f>
        <v>92</v>
      </c>
      <c r="M703" s="5">
        <f>_xlfn.XLOOKUP(CustomerCombined[[#This Row],[ID]], Table4[ID], Table4[Meats], "Not Found", 0)</f>
        <v>678</v>
      </c>
      <c r="N703" s="5">
        <f>_xlfn.XLOOKUP(CustomerCombined[[#This Row],[ID]], Table4[ID], Table4[Seafood], "Not Found", 0)</f>
        <v>279</v>
      </c>
      <c r="O703" s="5">
        <f>_xlfn.XLOOKUP(CustomerCombined[[#This Row],[ID]], Table4[ID], Table4[Sweets], "Not Found", 0)</f>
        <v>369</v>
      </c>
      <c r="P703" s="5">
        <f>_xlfn.XLOOKUP(CustomerCombined[[#This Row],[ID]], Table4[ID], Table4[Premium], "Not Found", 0)</f>
        <v>339</v>
      </c>
      <c r="Q703" s="5">
        <f>_xlfn.XLOOKUP(CustomerCombined[[#This Row],[ID]], Table4[ID], Table4[Regular], "Not Found", 0)</f>
        <v>2805</v>
      </c>
      <c r="R703" s="5">
        <f>_xlfn.XLOOKUP(CustomerCombined[[#This Row],[ID]], Table4[ID], Table4[Deals], "Not Found", 0)</f>
        <v>1</v>
      </c>
      <c r="S703" s="5">
        <f>_xlfn.XLOOKUP(CustomerCombined[[#This Row],[ID]], Table4[ID], Table4[Website], "Not Found", 0)</f>
        <v>3</v>
      </c>
      <c r="T703" s="5">
        <f>_xlfn.XLOOKUP(CustomerCombined[[#This Row],[ID]], Table4[ID], Table4[Catalog], "Not Found", 0)</f>
        <v>2</v>
      </c>
      <c r="U703" s="5">
        <f>_xlfn.XLOOKUP(CustomerCombined[[#This Row],[ID]], Table4[ID], Table4[Store], "Not Found", 0)</f>
        <v>5</v>
      </c>
      <c r="V703" s="5">
        <f>_xlfn.XLOOKUP(CustomerCombined[[#This Row],[ID]], Table4[ID], Table4[Visits], "Not Found", 0)</f>
        <v>1</v>
      </c>
      <c r="W703" s="8">
        <f>_xlfn.XLOOKUP(CustomerCombined[[#This Row],[ID]], Table2[ID],Table2[Complaint], "Not Found", 0 )</f>
        <v>0</v>
      </c>
      <c r="X703" s="8">
        <f>_xlfn.XLOOKUP(CustomerCombined[[#This Row],[ID]], Table2[ID],Table2[Pilot], "Not Found", 0 )</f>
        <v>0</v>
      </c>
      <c r="Y703" s="8">
        <f>_xlfn.XLOOKUP(CustomerCombined[[#This Row],[ID]], Table2[ID],Table2[MC1], "Not Found", 0 )</f>
        <v>0</v>
      </c>
      <c r="Z703" s="8">
        <f>_xlfn.XLOOKUP(CustomerCombined[[#This Row],[ID]], Table2[ID],Table2[MC2], "Not Found", 0 )</f>
        <v>0</v>
      </c>
      <c r="AA703" s="8">
        <f>_xlfn.XLOOKUP(CustomerCombined[[#This Row],[ID]], Table2[ID],Table2[MC3], "Not Found", 0 )</f>
        <v>0</v>
      </c>
      <c r="AB703" s="8">
        <f>_xlfn.XLOOKUP(CustomerCombined[[#This Row],[ID]], Table2[ID],Table2[MC4], "Not Found", 0 )</f>
        <v>0</v>
      </c>
      <c r="AC703" s="8">
        <f>_xlfn.XLOOKUP(CustomerCombined[[#This Row],[ID]], Table2[ID],Table2[MC5], "Not Found", 0 )</f>
        <v>0</v>
      </c>
    </row>
    <row r="704" spans="1:29" x14ac:dyDescent="0.3">
      <c r="A704" s="6">
        <v>2863</v>
      </c>
      <c r="B704" s="6">
        <v>176532</v>
      </c>
      <c r="C704" s="6">
        <v>1</v>
      </c>
      <c r="D704" s="6">
        <v>1</v>
      </c>
      <c r="E704" s="6">
        <v>45</v>
      </c>
      <c r="F704" s="5" t="s">
        <v>8</v>
      </c>
      <c r="G704" s="5" t="s">
        <v>11</v>
      </c>
      <c r="H704" s="3" t="s">
        <v>190</v>
      </c>
      <c r="I704" s="5" t="s">
        <v>437</v>
      </c>
      <c r="J704" s="5">
        <f>_xlfn.XLOOKUP(CustomerCombined[[#This Row],[ID]], Table4[ID], Table4[Recency], "Not Found", 0)</f>
        <v>38</v>
      </c>
      <c r="K704" s="5">
        <f>_xlfn.XLOOKUP(CustomerCombined[[#This Row],[ID]], Table4[ID], Table4[Teas], "Not Found", 0)</f>
        <v>819</v>
      </c>
      <c r="L704" s="5">
        <f>_xlfn.XLOOKUP(CustomerCombined[[#This Row],[ID]], Table4[ID], Table4[Fruits], "Not Found", 0)</f>
        <v>69</v>
      </c>
      <c r="M704" s="5">
        <f>_xlfn.XLOOKUP(CustomerCombined[[#This Row],[ID]], Table4[ID], Table4[Meats], "Not Found", 0)</f>
        <v>408</v>
      </c>
      <c r="N704" s="5">
        <f>_xlfn.XLOOKUP(CustomerCombined[[#This Row],[ID]], Table4[ID], Table4[Seafood], "Not Found", 0)</f>
        <v>208</v>
      </c>
      <c r="O704" s="5">
        <f>_xlfn.XLOOKUP(CustomerCombined[[#This Row],[ID]], Table4[ID], Table4[Sweets], "Not Found", 0)</f>
        <v>318</v>
      </c>
      <c r="P704" s="5">
        <f>_xlfn.XLOOKUP(CustomerCombined[[#This Row],[ID]], Table4[ID], Table4[Premium], "Not Found", 0)</f>
        <v>69</v>
      </c>
      <c r="Q704" s="5">
        <f>_xlfn.XLOOKUP(CustomerCombined[[#This Row],[ID]], Table4[ID], Table4[Regular], "Not Found", 0)</f>
        <v>1753</v>
      </c>
      <c r="R704" s="5">
        <f>_xlfn.XLOOKUP(CustomerCombined[[#This Row],[ID]], Table4[ID], Table4[Deals], "Not Found", 0)</f>
        <v>4</v>
      </c>
      <c r="S704" s="5">
        <f>_xlfn.XLOOKUP(CustomerCombined[[#This Row],[ID]], Table4[ID], Table4[Website], "Not Found", 0)</f>
        <v>9</v>
      </c>
      <c r="T704" s="5">
        <f>_xlfn.XLOOKUP(CustomerCombined[[#This Row],[ID]], Table4[ID], Table4[Catalog], "Not Found", 0)</f>
        <v>5</v>
      </c>
      <c r="U704" s="5">
        <f>_xlfn.XLOOKUP(CustomerCombined[[#This Row],[ID]], Table4[ID], Table4[Store], "Not Found", 0)</f>
        <v>7</v>
      </c>
      <c r="V704" s="5">
        <f>_xlfn.XLOOKUP(CustomerCombined[[#This Row],[ID]], Table4[ID], Table4[Visits], "Not Found", 0)</f>
        <v>5</v>
      </c>
      <c r="W704" s="8">
        <f>_xlfn.XLOOKUP(CustomerCombined[[#This Row],[ID]], Table2[ID],Table2[Complaint], "Not Found", 0 )</f>
        <v>0</v>
      </c>
      <c r="X704" s="8">
        <f>_xlfn.XLOOKUP(CustomerCombined[[#This Row],[ID]], Table2[ID],Table2[Pilot], "Not Found", 0 )</f>
        <v>0</v>
      </c>
      <c r="Y704" s="8">
        <f>_xlfn.XLOOKUP(CustomerCombined[[#This Row],[ID]], Table2[ID],Table2[MC1], "Not Found", 0 )</f>
        <v>0</v>
      </c>
      <c r="Z704" s="8">
        <f>_xlfn.XLOOKUP(CustomerCombined[[#This Row],[ID]], Table2[ID],Table2[MC2], "Not Found", 0 )</f>
        <v>0</v>
      </c>
      <c r="AA704" s="8">
        <f>_xlfn.XLOOKUP(CustomerCombined[[#This Row],[ID]], Table2[ID],Table2[MC3], "Not Found", 0 )</f>
        <v>0</v>
      </c>
      <c r="AB704" s="8">
        <f>_xlfn.XLOOKUP(CustomerCombined[[#This Row],[ID]], Table2[ID],Table2[MC4], "Not Found", 0 )</f>
        <v>0</v>
      </c>
      <c r="AC704" s="8">
        <f>_xlfn.XLOOKUP(CustomerCombined[[#This Row],[ID]], Table2[ID],Table2[MC5], "Not Found", 0 )</f>
        <v>0</v>
      </c>
    </row>
    <row r="705" spans="1:29" x14ac:dyDescent="0.3">
      <c r="A705" s="6">
        <v>3068</v>
      </c>
      <c r="B705" s="6">
        <v>176068</v>
      </c>
      <c r="C705" s="6">
        <v>0</v>
      </c>
      <c r="D705" s="6">
        <v>1</v>
      </c>
      <c r="E705" s="6">
        <v>45</v>
      </c>
      <c r="F705" s="5" t="s">
        <v>6</v>
      </c>
      <c r="G705" s="5" t="s">
        <v>11</v>
      </c>
      <c r="H705" s="3">
        <v>43621</v>
      </c>
      <c r="I705" s="5" t="s">
        <v>438</v>
      </c>
      <c r="J705" s="5">
        <f>_xlfn.XLOOKUP(CustomerCombined[[#This Row],[ID]], Table4[ID], Table4[Recency], "Not Found", 0)</f>
        <v>67</v>
      </c>
      <c r="K705" s="5">
        <f>_xlfn.XLOOKUP(CustomerCombined[[#This Row],[ID]], Table4[ID], Table4[Teas], "Not Found", 0)</f>
        <v>2581</v>
      </c>
      <c r="L705" s="5">
        <f>_xlfn.XLOOKUP(CustomerCombined[[#This Row],[ID]], Table4[ID], Table4[Fruits], "Not Found", 0)</f>
        <v>28</v>
      </c>
      <c r="M705" s="5">
        <f>_xlfn.XLOOKUP(CustomerCombined[[#This Row],[ID]], Table4[ID], Table4[Meats], "Not Found", 0)</f>
        <v>296</v>
      </c>
      <c r="N705" s="5">
        <f>_xlfn.XLOOKUP(CustomerCombined[[#This Row],[ID]], Table4[ID], Table4[Seafood], "Not Found", 0)</f>
        <v>76</v>
      </c>
      <c r="O705" s="5">
        <f>_xlfn.XLOOKUP(CustomerCombined[[#This Row],[ID]], Table4[ID], Table4[Sweets], "Not Found", 0)</f>
        <v>28</v>
      </c>
      <c r="P705" s="5">
        <f>_xlfn.XLOOKUP(CustomerCombined[[#This Row],[ID]], Table4[ID], Table4[Premium], "Not Found", 0)</f>
        <v>176</v>
      </c>
      <c r="Q705" s="5">
        <f>_xlfn.XLOOKUP(CustomerCombined[[#This Row],[ID]], Table4[ID], Table4[Regular], "Not Found", 0)</f>
        <v>2833</v>
      </c>
      <c r="R705" s="5">
        <f>_xlfn.XLOOKUP(CustomerCombined[[#This Row],[ID]], Table4[ID], Table4[Deals], "Not Found", 0)</f>
        <v>1</v>
      </c>
      <c r="S705" s="5">
        <f>_xlfn.XLOOKUP(CustomerCombined[[#This Row],[ID]], Table4[ID], Table4[Website], "Not Found", 0)</f>
        <v>2</v>
      </c>
      <c r="T705" s="5">
        <f>_xlfn.XLOOKUP(CustomerCombined[[#This Row],[ID]], Table4[ID], Table4[Catalog], "Not Found", 0)</f>
        <v>3</v>
      </c>
      <c r="U705" s="5">
        <f>_xlfn.XLOOKUP(CustomerCombined[[#This Row],[ID]], Table4[ID], Table4[Store], "Not Found", 0)</f>
        <v>4</v>
      </c>
      <c r="V705" s="5">
        <f>_xlfn.XLOOKUP(CustomerCombined[[#This Row],[ID]], Table4[ID], Table4[Visits], "Not Found", 0)</f>
        <v>6</v>
      </c>
      <c r="W705" s="8">
        <f>_xlfn.XLOOKUP(CustomerCombined[[#This Row],[ID]], Table2[ID],Table2[Complaint], "Not Found", 0 )</f>
        <v>0</v>
      </c>
      <c r="X705" s="8">
        <f>_xlfn.XLOOKUP(CustomerCombined[[#This Row],[ID]], Table2[ID],Table2[Pilot], "Not Found", 0 )</f>
        <v>0</v>
      </c>
      <c r="Y705" s="8">
        <f>_xlfn.XLOOKUP(CustomerCombined[[#This Row],[ID]], Table2[ID],Table2[MC1], "Not Found", 0 )</f>
        <v>0</v>
      </c>
      <c r="Z705" s="8">
        <f>_xlfn.XLOOKUP(CustomerCombined[[#This Row],[ID]], Table2[ID],Table2[MC2], "Not Found", 0 )</f>
        <v>1</v>
      </c>
      <c r="AA705" s="8">
        <f>_xlfn.XLOOKUP(CustomerCombined[[#This Row],[ID]], Table2[ID],Table2[MC3], "Not Found", 0 )</f>
        <v>0</v>
      </c>
      <c r="AB705" s="8">
        <f>_xlfn.XLOOKUP(CustomerCombined[[#This Row],[ID]], Table2[ID],Table2[MC4], "Not Found", 0 )</f>
        <v>1</v>
      </c>
      <c r="AC705" s="8">
        <f>_xlfn.XLOOKUP(CustomerCombined[[#This Row],[ID]], Table2[ID],Table2[MC5], "Not Found", 0 )</f>
        <v>0</v>
      </c>
    </row>
    <row r="706" spans="1:29" x14ac:dyDescent="0.3">
      <c r="A706" s="6">
        <v>2238</v>
      </c>
      <c r="B706" s="6">
        <v>174190</v>
      </c>
      <c r="C706" s="6">
        <v>0</v>
      </c>
      <c r="D706" s="6">
        <v>1</v>
      </c>
      <c r="E706" s="6">
        <v>45</v>
      </c>
      <c r="F706" s="5" t="s">
        <v>6</v>
      </c>
      <c r="G706" s="5" t="s">
        <v>11</v>
      </c>
      <c r="H706" s="3" t="s">
        <v>52</v>
      </c>
      <c r="I706" s="5" t="s">
        <v>436</v>
      </c>
      <c r="J706" s="5">
        <f>_xlfn.XLOOKUP(CustomerCombined[[#This Row],[ID]], Table4[ID], Table4[Recency], "Not Found", 0)</f>
        <v>49</v>
      </c>
      <c r="K706" s="5">
        <f>_xlfn.XLOOKUP(CustomerCombined[[#This Row],[ID]], Table4[ID], Table4[Teas], "Not Found", 0)</f>
        <v>355</v>
      </c>
      <c r="L706" s="5">
        <f>_xlfn.XLOOKUP(CustomerCombined[[#This Row],[ID]], Table4[ID], Table4[Fruits], "Not Found", 0)</f>
        <v>190</v>
      </c>
      <c r="M706" s="5">
        <f>_xlfn.XLOOKUP(CustomerCombined[[#This Row],[ID]], Table4[ID], Table4[Meats], "Not Found", 0)</f>
        <v>202</v>
      </c>
      <c r="N706" s="5">
        <f>_xlfn.XLOOKUP(CustomerCombined[[#This Row],[ID]], Table4[ID], Table4[Seafood], "Not Found", 0)</f>
        <v>394</v>
      </c>
      <c r="O706" s="5">
        <f>_xlfn.XLOOKUP(CustomerCombined[[#This Row],[ID]], Table4[ID], Table4[Sweets], "Not Found", 0)</f>
        <v>214</v>
      </c>
      <c r="P706" s="5">
        <f>_xlfn.XLOOKUP(CustomerCombined[[#This Row],[ID]], Table4[ID], Table4[Premium], "Not Found", 0)</f>
        <v>150</v>
      </c>
      <c r="Q706" s="5">
        <f>_xlfn.XLOOKUP(CustomerCombined[[#This Row],[ID]], Table4[ID], Table4[Regular], "Not Found", 0)</f>
        <v>1204</v>
      </c>
      <c r="R706" s="5">
        <f>_xlfn.XLOOKUP(CustomerCombined[[#This Row],[ID]], Table4[ID], Table4[Deals], "Not Found", 0)</f>
        <v>2</v>
      </c>
      <c r="S706" s="5">
        <f>_xlfn.XLOOKUP(CustomerCombined[[#This Row],[ID]], Table4[ID], Table4[Website], "Not Found", 0)</f>
        <v>4</v>
      </c>
      <c r="T706" s="5">
        <f>_xlfn.XLOOKUP(CustomerCombined[[#This Row],[ID]], Table4[ID], Table4[Catalog], "Not Found", 0)</f>
        <v>2</v>
      </c>
      <c r="U706" s="5">
        <f>_xlfn.XLOOKUP(CustomerCombined[[#This Row],[ID]], Table4[ID], Table4[Store], "Not Found", 0)</f>
        <v>11</v>
      </c>
      <c r="V706" s="5">
        <f>_xlfn.XLOOKUP(CustomerCombined[[#This Row],[ID]], Table4[ID], Table4[Visits], "Not Found", 0)</f>
        <v>2</v>
      </c>
      <c r="W706" s="8">
        <f>_xlfn.XLOOKUP(CustomerCombined[[#This Row],[ID]], Table2[ID],Table2[Complaint], "Not Found", 0 )</f>
        <v>0</v>
      </c>
      <c r="X706" s="8">
        <f>_xlfn.XLOOKUP(CustomerCombined[[#This Row],[ID]], Table2[ID],Table2[Pilot], "Not Found", 0 )</f>
        <v>0</v>
      </c>
      <c r="Y706" s="8">
        <f>_xlfn.XLOOKUP(CustomerCombined[[#This Row],[ID]], Table2[ID],Table2[MC1], "Not Found", 0 )</f>
        <v>0</v>
      </c>
      <c r="Z706" s="8">
        <f>_xlfn.XLOOKUP(CustomerCombined[[#This Row],[ID]], Table2[ID],Table2[MC2], "Not Found", 0 )</f>
        <v>0</v>
      </c>
      <c r="AA706" s="8">
        <f>_xlfn.XLOOKUP(CustomerCombined[[#This Row],[ID]], Table2[ID],Table2[MC3], "Not Found", 0 )</f>
        <v>0</v>
      </c>
      <c r="AB706" s="8">
        <f>_xlfn.XLOOKUP(CustomerCombined[[#This Row],[ID]], Table2[ID],Table2[MC4], "Not Found", 0 )</f>
        <v>0</v>
      </c>
      <c r="AC706" s="8">
        <f>_xlfn.XLOOKUP(CustomerCombined[[#This Row],[ID]], Table2[ID],Table2[MC5], "Not Found", 0 )</f>
        <v>0</v>
      </c>
    </row>
    <row r="707" spans="1:29" x14ac:dyDescent="0.3">
      <c r="A707" s="6">
        <v>1153</v>
      </c>
      <c r="B707" s="6">
        <v>174165</v>
      </c>
      <c r="C707" s="6">
        <v>0</v>
      </c>
      <c r="D707" s="6">
        <v>0</v>
      </c>
      <c r="E707" s="6">
        <v>45</v>
      </c>
      <c r="F707" s="5" t="s">
        <v>5</v>
      </c>
      <c r="G707" s="5" t="s">
        <v>13</v>
      </c>
      <c r="H707" s="3">
        <v>43626</v>
      </c>
      <c r="I707" s="5" t="s">
        <v>437</v>
      </c>
      <c r="J707" s="5">
        <f>_xlfn.XLOOKUP(CustomerCombined[[#This Row],[ID]], Table4[ID], Table4[Recency], "Not Found", 0)</f>
        <v>9</v>
      </c>
      <c r="K707" s="5">
        <f>_xlfn.XLOOKUP(CustomerCombined[[#This Row],[ID]], Table4[ID], Table4[Teas], "Not Found", 0)</f>
        <v>2351</v>
      </c>
      <c r="L707" s="5">
        <f>_xlfn.XLOOKUP(CustomerCombined[[#This Row],[ID]], Table4[ID], Table4[Fruits], "Not Found", 0)</f>
        <v>28</v>
      </c>
      <c r="M707" s="5">
        <f>_xlfn.XLOOKUP(CustomerCombined[[#This Row],[ID]], Table4[ID], Table4[Meats], "Not Found", 0)</f>
        <v>564</v>
      </c>
      <c r="N707" s="5">
        <f>_xlfn.XLOOKUP(CustomerCombined[[#This Row],[ID]], Table4[ID], Table4[Seafood], "Not Found", 0)</f>
        <v>38</v>
      </c>
      <c r="O707" s="5">
        <f>_xlfn.XLOOKUP(CustomerCombined[[#This Row],[ID]], Table4[ID], Table4[Sweets], "Not Found", 0)</f>
        <v>28</v>
      </c>
      <c r="P707" s="5">
        <f>_xlfn.XLOOKUP(CustomerCombined[[#This Row],[ID]], Table4[ID], Table4[Premium], "Not Found", 0)</f>
        <v>28</v>
      </c>
      <c r="Q707" s="5">
        <f>_xlfn.XLOOKUP(CustomerCombined[[#This Row],[ID]], Table4[ID], Table4[Regular], "Not Found", 0)</f>
        <v>2980</v>
      </c>
      <c r="R707" s="5">
        <f>_xlfn.XLOOKUP(CustomerCombined[[#This Row],[ID]], Table4[ID], Table4[Deals], "Not Found", 0)</f>
        <v>1</v>
      </c>
      <c r="S707" s="5">
        <f>_xlfn.XLOOKUP(CustomerCombined[[#This Row],[ID]], Table4[ID], Table4[Website], "Not Found", 0)</f>
        <v>5</v>
      </c>
      <c r="T707" s="5">
        <f>_xlfn.XLOOKUP(CustomerCombined[[#This Row],[ID]], Table4[ID], Table4[Catalog], "Not Found", 0)</f>
        <v>4</v>
      </c>
      <c r="U707" s="5">
        <f>_xlfn.XLOOKUP(CustomerCombined[[#This Row],[ID]], Table4[ID], Table4[Store], "Not Found", 0)</f>
        <v>10</v>
      </c>
      <c r="V707" s="5">
        <f>_xlfn.XLOOKUP(CustomerCombined[[#This Row],[ID]], Table4[ID], Table4[Visits], "Not Found", 0)</f>
        <v>2</v>
      </c>
      <c r="W707" s="8">
        <f>_xlfn.XLOOKUP(CustomerCombined[[#This Row],[ID]], Table2[ID],Table2[Complaint], "Not Found", 0 )</f>
        <v>0</v>
      </c>
      <c r="X707" s="8">
        <f>_xlfn.XLOOKUP(CustomerCombined[[#This Row],[ID]], Table2[ID],Table2[Pilot], "Not Found", 0 )</f>
        <v>0</v>
      </c>
      <c r="Y707" s="8">
        <f>_xlfn.XLOOKUP(CustomerCombined[[#This Row],[ID]], Table2[ID],Table2[MC1], "Not Found", 0 )</f>
        <v>0</v>
      </c>
      <c r="Z707" s="8">
        <f>_xlfn.XLOOKUP(CustomerCombined[[#This Row],[ID]], Table2[ID],Table2[MC2], "Not Found", 0 )</f>
        <v>0</v>
      </c>
      <c r="AA707" s="8">
        <f>_xlfn.XLOOKUP(CustomerCombined[[#This Row],[ID]], Table2[ID],Table2[MC3], "Not Found", 0 )</f>
        <v>0</v>
      </c>
      <c r="AB707" s="8">
        <f>_xlfn.XLOOKUP(CustomerCombined[[#This Row],[ID]], Table2[ID],Table2[MC4], "Not Found", 0 )</f>
        <v>0</v>
      </c>
      <c r="AC707" s="8">
        <f>_xlfn.XLOOKUP(CustomerCombined[[#This Row],[ID]], Table2[ID],Table2[MC5], "Not Found", 0 )</f>
        <v>0</v>
      </c>
    </row>
    <row r="708" spans="1:29" x14ac:dyDescent="0.3">
      <c r="A708" s="6">
        <v>1793</v>
      </c>
      <c r="B708" s="6">
        <v>173170</v>
      </c>
      <c r="C708" s="6">
        <v>0</v>
      </c>
      <c r="D708" s="6">
        <v>0</v>
      </c>
      <c r="E708" s="6">
        <v>45</v>
      </c>
      <c r="F708" s="5" t="s">
        <v>7</v>
      </c>
      <c r="G708" s="5" t="s">
        <v>11</v>
      </c>
      <c r="H708" s="3">
        <v>43932</v>
      </c>
      <c r="I708" s="5" t="s">
        <v>434</v>
      </c>
      <c r="J708" s="5">
        <f>_xlfn.XLOOKUP(CustomerCombined[[#This Row],[ID]], Table4[ID], Table4[Recency], "Not Found", 0)</f>
        <v>1</v>
      </c>
      <c r="K708" s="5">
        <f>_xlfn.XLOOKUP(CustomerCombined[[#This Row],[ID]], Table4[ID], Table4[Teas], "Not Found", 0)</f>
        <v>435</v>
      </c>
      <c r="L708" s="5">
        <f>_xlfn.XLOOKUP(CustomerCombined[[#This Row],[ID]], Table4[ID], Table4[Fruits], "Not Found", 0)</f>
        <v>412</v>
      </c>
      <c r="M708" s="5">
        <f>_xlfn.XLOOKUP(CustomerCombined[[#This Row],[ID]], Table4[ID], Table4[Meats], "Not Found", 0)</f>
        <v>606</v>
      </c>
      <c r="N708" s="5">
        <f>_xlfn.XLOOKUP(CustomerCombined[[#This Row],[ID]], Table4[ID], Table4[Seafood], "Not Found", 0)</f>
        <v>118</v>
      </c>
      <c r="O708" s="5">
        <f>_xlfn.XLOOKUP(CustomerCombined[[#This Row],[ID]], Table4[ID], Table4[Sweets], "Not Found", 0)</f>
        <v>71</v>
      </c>
      <c r="P708" s="5">
        <f>_xlfn.XLOOKUP(CustomerCombined[[#This Row],[ID]], Table4[ID], Table4[Premium], "Not Found", 0)</f>
        <v>76</v>
      </c>
      <c r="Q708" s="5">
        <f>_xlfn.XLOOKUP(CustomerCombined[[#This Row],[ID]], Table4[ID], Table4[Regular], "Not Found", 0)</f>
        <v>1567</v>
      </c>
      <c r="R708" s="5">
        <f>_xlfn.XLOOKUP(CustomerCombined[[#This Row],[ID]], Table4[ID], Table4[Deals], "Not Found", 0)</f>
        <v>1</v>
      </c>
      <c r="S708" s="5">
        <f>_xlfn.XLOOKUP(CustomerCombined[[#This Row],[ID]], Table4[ID], Table4[Website], "Not Found", 0)</f>
        <v>5</v>
      </c>
      <c r="T708" s="5">
        <f>_xlfn.XLOOKUP(CustomerCombined[[#This Row],[ID]], Table4[ID], Table4[Catalog], "Not Found", 0)</f>
        <v>4</v>
      </c>
      <c r="U708" s="5">
        <f>_xlfn.XLOOKUP(CustomerCombined[[#This Row],[ID]], Table4[ID], Table4[Store], "Not Found", 0)</f>
        <v>6</v>
      </c>
      <c r="V708" s="5">
        <f>_xlfn.XLOOKUP(CustomerCombined[[#This Row],[ID]], Table4[ID], Table4[Visits], "Not Found", 0)</f>
        <v>2</v>
      </c>
      <c r="W708" s="8">
        <f>_xlfn.XLOOKUP(CustomerCombined[[#This Row],[ID]], Table2[ID],Table2[Complaint], "Not Found", 0 )</f>
        <v>0</v>
      </c>
      <c r="X708" s="8">
        <f>_xlfn.XLOOKUP(CustomerCombined[[#This Row],[ID]], Table2[ID],Table2[Pilot], "Not Found", 0 )</f>
        <v>0</v>
      </c>
      <c r="Y708" s="8">
        <f>_xlfn.XLOOKUP(CustomerCombined[[#This Row],[ID]], Table2[ID],Table2[MC1], "Not Found", 0 )</f>
        <v>0</v>
      </c>
      <c r="Z708" s="8">
        <f>_xlfn.XLOOKUP(CustomerCombined[[#This Row],[ID]], Table2[ID],Table2[MC2], "Not Found", 0 )</f>
        <v>0</v>
      </c>
      <c r="AA708" s="8">
        <f>_xlfn.XLOOKUP(CustomerCombined[[#This Row],[ID]], Table2[ID],Table2[MC3], "Not Found", 0 )</f>
        <v>0</v>
      </c>
      <c r="AB708" s="8">
        <f>_xlfn.XLOOKUP(CustomerCombined[[#This Row],[ID]], Table2[ID],Table2[MC4], "Not Found", 0 )</f>
        <v>0</v>
      </c>
      <c r="AC708" s="8">
        <f>_xlfn.XLOOKUP(CustomerCombined[[#This Row],[ID]], Table2[ID],Table2[MC5], "Not Found", 0 )</f>
        <v>0</v>
      </c>
    </row>
    <row r="709" spans="1:29" x14ac:dyDescent="0.3">
      <c r="A709" s="6">
        <v>2854</v>
      </c>
      <c r="B709" s="6">
        <v>170300</v>
      </c>
      <c r="C709" s="6">
        <v>1</v>
      </c>
      <c r="D709" s="6">
        <v>0</v>
      </c>
      <c r="E709" s="6">
        <v>45</v>
      </c>
      <c r="F709" s="5" t="s">
        <v>5</v>
      </c>
      <c r="G709" s="5" t="s">
        <v>11</v>
      </c>
      <c r="H709" s="3" t="s">
        <v>221</v>
      </c>
      <c r="I709" s="5" t="s">
        <v>439</v>
      </c>
      <c r="J709" s="5">
        <f>_xlfn.XLOOKUP(CustomerCombined[[#This Row],[ID]], Table4[ID], Table4[Recency], "Not Found", 0)</f>
        <v>89</v>
      </c>
      <c r="K709" s="5">
        <f>_xlfn.XLOOKUP(CustomerCombined[[#This Row],[ID]], Table4[ID], Table4[Teas], "Not Found", 0)</f>
        <v>2531</v>
      </c>
      <c r="L709" s="5">
        <f>_xlfn.XLOOKUP(CustomerCombined[[#This Row],[ID]], Table4[ID], Table4[Fruits], "Not Found", 0)</f>
        <v>148</v>
      </c>
      <c r="M709" s="5">
        <f>_xlfn.XLOOKUP(CustomerCombined[[#This Row],[ID]], Table4[ID], Table4[Meats], "Not Found", 0)</f>
        <v>819</v>
      </c>
      <c r="N709" s="5">
        <f>_xlfn.XLOOKUP(CustomerCombined[[#This Row],[ID]], Table4[ID], Table4[Seafood], "Not Found", 0)</f>
        <v>145</v>
      </c>
      <c r="O709" s="5">
        <f>_xlfn.XLOOKUP(CustomerCombined[[#This Row],[ID]], Table4[ID], Table4[Sweets], "Not Found", 0)</f>
        <v>111</v>
      </c>
      <c r="P709" s="5">
        <f>_xlfn.XLOOKUP(CustomerCombined[[#This Row],[ID]], Table4[ID], Table4[Premium], "Not Found", 0)</f>
        <v>111</v>
      </c>
      <c r="Q709" s="5">
        <f>_xlfn.XLOOKUP(CustomerCombined[[#This Row],[ID]], Table4[ID], Table4[Regular], "Not Found", 0)</f>
        <v>3643</v>
      </c>
      <c r="R709" s="5">
        <f>_xlfn.XLOOKUP(CustomerCombined[[#This Row],[ID]], Table4[ID], Table4[Deals], "Not Found", 0)</f>
        <v>3</v>
      </c>
      <c r="S709" s="5">
        <f>_xlfn.XLOOKUP(CustomerCombined[[#This Row],[ID]], Table4[ID], Table4[Website], "Not Found", 0)</f>
        <v>5</v>
      </c>
      <c r="T709" s="5">
        <f>_xlfn.XLOOKUP(CustomerCombined[[#This Row],[ID]], Table4[ID], Table4[Catalog], "Not Found", 0)</f>
        <v>5</v>
      </c>
      <c r="U709" s="5">
        <f>_xlfn.XLOOKUP(CustomerCombined[[#This Row],[ID]], Table4[ID], Table4[Store], "Not Found", 0)</f>
        <v>13</v>
      </c>
      <c r="V709" s="5">
        <f>_xlfn.XLOOKUP(CustomerCombined[[#This Row],[ID]], Table4[ID], Table4[Visits], "Not Found", 0)</f>
        <v>8</v>
      </c>
      <c r="W709" s="8">
        <f>_xlfn.XLOOKUP(CustomerCombined[[#This Row],[ID]], Table2[ID],Table2[Complaint], "Not Found", 0 )</f>
        <v>0</v>
      </c>
      <c r="X709" s="8">
        <f>_xlfn.XLOOKUP(CustomerCombined[[#This Row],[ID]], Table2[ID],Table2[Pilot], "Not Found", 0 )</f>
        <v>0</v>
      </c>
      <c r="Y709" s="8">
        <f>_xlfn.XLOOKUP(CustomerCombined[[#This Row],[ID]], Table2[ID],Table2[MC1], "Not Found", 0 )</f>
        <v>0</v>
      </c>
      <c r="Z709" s="8">
        <f>_xlfn.XLOOKUP(CustomerCombined[[#This Row],[ID]], Table2[ID],Table2[MC2], "Not Found", 0 )</f>
        <v>0</v>
      </c>
      <c r="AA709" s="8">
        <f>_xlfn.XLOOKUP(CustomerCombined[[#This Row],[ID]], Table2[ID],Table2[MC3], "Not Found", 0 )</f>
        <v>0</v>
      </c>
      <c r="AB709" s="8">
        <f>_xlfn.XLOOKUP(CustomerCombined[[#This Row],[ID]], Table2[ID],Table2[MC4], "Not Found", 0 )</f>
        <v>0</v>
      </c>
      <c r="AC709" s="8">
        <f>_xlfn.XLOOKUP(CustomerCombined[[#This Row],[ID]], Table2[ID],Table2[MC5], "Not Found", 0 )</f>
        <v>0</v>
      </c>
    </row>
    <row r="710" spans="1:29" x14ac:dyDescent="0.3">
      <c r="A710" s="6">
        <v>2508</v>
      </c>
      <c r="B710" s="6">
        <v>169283</v>
      </c>
      <c r="C710" s="6">
        <v>0</v>
      </c>
      <c r="D710" s="6">
        <v>1</v>
      </c>
      <c r="E710" s="6">
        <v>45</v>
      </c>
      <c r="F710" s="5" t="s">
        <v>6</v>
      </c>
      <c r="G710" s="5" t="s">
        <v>13</v>
      </c>
      <c r="H710" s="3" t="s">
        <v>35</v>
      </c>
      <c r="I710" s="5" t="s">
        <v>436</v>
      </c>
      <c r="J710" s="5">
        <f>_xlfn.XLOOKUP(CustomerCombined[[#This Row],[ID]], Table4[ID], Table4[Recency], "Not Found", 0)</f>
        <v>41</v>
      </c>
      <c r="K710" s="5">
        <f>_xlfn.XLOOKUP(CustomerCombined[[#This Row],[ID]], Table4[ID], Table4[Teas], "Not Found", 0)</f>
        <v>1647</v>
      </c>
      <c r="L710" s="5">
        <f>_xlfn.XLOOKUP(CustomerCombined[[#This Row],[ID]], Table4[ID], Table4[Fruits], "Not Found", 0)</f>
        <v>151</v>
      </c>
      <c r="M710" s="5">
        <f>_xlfn.XLOOKUP(CustomerCombined[[#This Row],[ID]], Table4[ID], Table4[Meats], "Not Found", 0)</f>
        <v>327</v>
      </c>
      <c r="N710" s="5">
        <f>_xlfn.XLOOKUP(CustomerCombined[[#This Row],[ID]], Table4[ID], Table4[Seafood], "Not Found", 0)</f>
        <v>0</v>
      </c>
      <c r="O710" s="5">
        <f>_xlfn.XLOOKUP(CustomerCombined[[#This Row],[ID]], Table4[ID], Table4[Sweets], "Not Found", 0)</f>
        <v>64</v>
      </c>
      <c r="P710" s="5">
        <f>_xlfn.XLOOKUP(CustomerCombined[[#This Row],[ID]], Table4[ID], Table4[Premium], "Not Found", 0)</f>
        <v>20</v>
      </c>
      <c r="Q710" s="5">
        <f>_xlfn.XLOOKUP(CustomerCombined[[#This Row],[ID]], Table4[ID], Table4[Regular], "Not Found", 0)</f>
        <v>2170</v>
      </c>
      <c r="R710" s="5">
        <f>_xlfn.XLOOKUP(CustomerCombined[[#This Row],[ID]], Table4[ID], Table4[Deals], "Not Found", 0)</f>
        <v>4</v>
      </c>
      <c r="S710" s="5">
        <f>_xlfn.XLOOKUP(CustomerCombined[[#This Row],[ID]], Table4[ID], Table4[Website], "Not Found", 0)</f>
        <v>7</v>
      </c>
      <c r="T710" s="5">
        <f>_xlfn.XLOOKUP(CustomerCombined[[#This Row],[ID]], Table4[ID], Table4[Catalog], "Not Found", 0)</f>
        <v>3</v>
      </c>
      <c r="U710" s="5">
        <f>_xlfn.XLOOKUP(CustomerCombined[[#This Row],[ID]], Table4[ID], Table4[Store], "Not Found", 0)</f>
        <v>13</v>
      </c>
      <c r="V710" s="5">
        <f>_xlfn.XLOOKUP(CustomerCombined[[#This Row],[ID]], Table4[ID], Table4[Visits], "Not Found", 0)</f>
        <v>5</v>
      </c>
      <c r="W710" s="8">
        <f>_xlfn.XLOOKUP(CustomerCombined[[#This Row],[ID]], Table2[ID],Table2[Complaint], "Not Found", 0 )</f>
        <v>0</v>
      </c>
      <c r="X710" s="8">
        <f>_xlfn.XLOOKUP(CustomerCombined[[#This Row],[ID]], Table2[ID],Table2[Pilot], "Not Found", 0 )</f>
        <v>0</v>
      </c>
      <c r="Y710" s="8">
        <f>_xlfn.XLOOKUP(CustomerCombined[[#This Row],[ID]], Table2[ID],Table2[MC1], "Not Found", 0 )</f>
        <v>0</v>
      </c>
      <c r="Z710" s="8">
        <f>_xlfn.XLOOKUP(CustomerCombined[[#This Row],[ID]], Table2[ID],Table2[MC2], "Not Found", 0 )</f>
        <v>0</v>
      </c>
      <c r="AA710" s="8">
        <f>_xlfn.XLOOKUP(CustomerCombined[[#This Row],[ID]], Table2[ID],Table2[MC3], "Not Found", 0 )</f>
        <v>0</v>
      </c>
      <c r="AB710" s="8">
        <f>_xlfn.XLOOKUP(CustomerCombined[[#This Row],[ID]], Table2[ID],Table2[MC4], "Not Found", 0 )</f>
        <v>0</v>
      </c>
      <c r="AC710" s="8">
        <f>_xlfn.XLOOKUP(CustomerCombined[[#This Row],[ID]], Table2[ID],Table2[MC5], "Not Found", 0 )</f>
        <v>0</v>
      </c>
    </row>
    <row r="711" spans="1:29" x14ac:dyDescent="0.3">
      <c r="A711" s="6">
        <v>1930</v>
      </c>
      <c r="B711" s="6">
        <v>167893</v>
      </c>
      <c r="C711" s="6">
        <v>0</v>
      </c>
      <c r="D711" s="6">
        <v>1</v>
      </c>
      <c r="E711" s="6">
        <v>45</v>
      </c>
      <c r="F711" s="5" t="s">
        <v>5</v>
      </c>
      <c r="G711" s="5" t="s">
        <v>442</v>
      </c>
      <c r="H711" s="3">
        <v>43680</v>
      </c>
      <c r="I711" s="5" t="s">
        <v>439</v>
      </c>
      <c r="J711" s="5">
        <f>_xlfn.XLOOKUP(CustomerCombined[[#This Row],[ID]], Table4[ID], Table4[Recency], "Not Found", 0)</f>
        <v>31</v>
      </c>
      <c r="K711" s="5">
        <f>_xlfn.XLOOKUP(CustomerCombined[[#This Row],[ID]], Table4[ID], Table4[Teas], "Not Found", 0)</f>
        <v>1758</v>
      </c>
      <c r="L711" s="5">
        <f>_xlfn.XLOOKUP(CustomerCombined[[#This Row],[ID]], Table4[ID], Table4[Fruits], "Not Found", 0)</f>
        <v>69</v>
      </c>
      <c r="M711" s="5">
        <f>_xlfn.XLOOKUP(CustomerCombined[[#This Row],[ID]], Table4[ID], Table4[Meats], "Not Found", 0)</f>
        <v>351</v>
      </c>
      <c r="N711" s="5">
        <f>_xlfn.XLOOKUP(CustomerCombined[[#This Row],[ID]], Table4[ID], Table4[Seafood], "Not Found", 0)</f>
        <v>121</v>
      </c>
      <c r="O711" s="5">
        <f>_xlfn.XLOOKUP(CustomerCombined[[#This Row],[ID]], Table4[ID], Table4[Sweets], "Not Found", 0)</f>
        <v>45</v>
      </c>
      <c r="P711" s="5">
        <f>_xlfn.XLOOKUP(CustomerCombined[[#This Row],[ID]], Table4[ID], Table4[Premium], "Not Found", 0)</f>
        <v>116</v>
      </c>
      <c r="Q711" s="5">
        <f>_xlfn.XLOOKUP(CustomerCombined[[#This Row],[ID]], Table4[ID], Table4[Regular], "Not Found", 0)</f>
        <v>2228</v>
      </c>
      <c r="R711" s="5">
        <f>_xlfn.XLOOKUP(CustomerCombined[[#This Row],[ID]], Table4[ID], Table4[Deals], "Not Found", 0)</f>
        <v>2</v>
      </c>
      <c r="S711" s="5">
        <f>_xlfn.XLOOKUP(CustomerCombined[[#This Row],[ID]], Table4[ID], Table4[Website], "Not Found", 0)</f>
        <v>3</v>
      </c>
      <c r="T711" s="5">
        <f>_xlfn.XLOOKUP(CustomerCombined[[#This Row],[ID]], Table4[ID], Table4[Catalog], "Not Found", 0)</f>
        <v>2</v>
      </c>
      <c r="U711" s="5">
        <f>_xlfn.XLOOKUP(CustomerCombined[[#This Row],[ID]], Table4[ID], Table4[Store], "Not Found", 0)</f>
        <v>9</v>
      </c>
      <c r="V711" s="5">
        <f>_xlfn.XLOOKUP(CustomerCombined[[#This Row],[ID]], Table4[ID], Table4[Visits], "Not Found", 0)</f>
        <v>8</v>
      </c>
      <c r="W711" s="8">
        <f>_xlfn.XLOOKUP(CustomerCombined[[#This Row],[ID]], Table2[ID],Table2[Complaint], "Not Found", 0 )</f>
        <v>0</v>
      </c>
      <c r="X711" s="8">
        <f>_xlfn.XLOOKUP(CustomerCombined[[#This Row],[ID]], Table2[ID],Table2[Pilot], "Not Found", 0 )</f>
        <v>0</v>
      </c>
      <c r="Y711" s="8">
        <f>_xlfn.XLOOKUP(CustomerCombined[[#This Row],[ID]], Table2[ID],Table2[MC1], "Not Found", 0 )</f>
        <v>0</v>
      </c>
      <c r="Z711" s="8">
        <f>_xlfn.XLOOKUP(CustomerCombined[[#This Row],[ID]], Table2[ID],Table2[MC2], "Not Found", 0 )</f>
        <v>0</v>
      </c>
      <c r="AA711" s="8">
        <f>_xlfn.XLOOKUP(CustomerCombined[[#This Row],[ID]], Table2[ID],Table2[MC3], "Not Found", 0 )</f>
        <v>0</v>
      </c>
      <c r="AB711" s="8">
        <f>_xlfn.XLOOKUP(CustomerCombined[[#This Row],[ID]], Table2[ID],Table2[MC4], "Not Found", 0 )</f>
        <v>0</v>
      </c>
      <c r="AC711" s="8">
        <f>_xlfn.XLOOKUP(CustomerCombined[[#This Row],[ID]], Table2[ID],Table2[MC5], "Not Found", 0 )</f>
        <v>0</v>
      </c>
    </row>
    <row r="712" spans="1:29" x14ac:dyDescent="0.3">
      <c r="A712" s="6">
        <v>1057</v>
      </c>
      <c r="B712" s="6">
        <v>166653</v>
      </c>
      <c r="C712" s="6">
        <v>1</v>
      </c>
      <c r="D712" s="6">
        <v>1</v>
      </c>
      <c r="E712" s="6">
        <v>45</v>
      </c>
      <c r="F712" s="5" t="s">
        <v>8</v>
      </c>
      <c r="G712" s="5" t="s">
        <v>11</v>
      </c>
      <c r="H712" s="3">
        <v>43801</v>
      </c>
      <c r="I712" s="5" t="s">
        <v>437</v>
      </c>
      <c r="J712" s="5">
        <f>_xlfn.XLOOKUP(CustomerCombined[[#This Row],[ID]], Table4[ID], Table4[Recency], "Not Found", 0)</f>
        <v>18</v>
      </c>
      <c r="K712" s="5">
        <f>_xlfn.XLOOKUP(CustomerCombined[[#This Row],[ID]], Table4[ID], Table4[Teas], "Not Found", 0)</f>
        <v>1130</v>
      </c>
      <c r="L712" s="5">
        <f>_xlfn.XLOOKUP(CustomerCombined[[#This Row],[ID]], Table4[ID], Table4[Fruits], "Not Found", 0)</f>
        <v>45</v>
      </c>
      <c r="M712" s="5">
        <f>_xlfn.XLOOKUP(CustomerCombined[[#This Row],[ID]], Table4[ID], Table4[Meats], "Not Found", 0)</f>
        <v>255</v>
      </c>
      <c r="N712" s="5">
        <f>_xlfn.XLOOKUP(CustomerCombined[[#This Row],[ID]], Table4[ID], Table4[Seafood], "Not Found", 0)</f>
        <v>40</v>
      </c>
      <c r="O712" s="5">
        <f>_xlfn.XLOOKUP(CustomerCombined[[#This Row],[ID]], Table4[ID], Table4[Sweets], "Not Found", 0)</f>
        <v>45</v>
      </c>
      <c r="P712" s="5">
        <f>_xlfn.XLOOKUP(CustomerCombined[[#This Row],[ID]], Table4[ID], Table4[Premium], "Not Found", 0)</f>
        <v>15</v>
      </c>
      <c r="Q712" s="5">
        <f>_xlfn.XLOOKUP(CustomerCombined[[#This Row],[ID]], Table4[ID], Table4[Regular], "Not Found", 0)</f>
        <v>1500</v>
      </c>
      <c r="R712" s="5">
        <f>_xlfn.XLOOKUP(CustomerCombined[[#This Row],[ID]], Table4[ID], Table4[Deals], "Not Found", 0)</f>
        <v>4</v>
      </c>
      <c r="S712" s="5">
        <f>_xlfn.XLOOKUP(CustomerCombined[[#This Row],[ID]], Table4[ID], Table4[Website], "Not Found", 0)</f>
        <v>4</v>
      </c>
      <c r="T712" s="5">
        <f>_xlfn.XLOOKUP(CustomerCombined[[#This Row],[ID]], Table4[ID], Table4[Catalog], "Not Found", 0)</f>
        <v>2</v>
      </c>
      <c r="U712" s="5">
        <f>_xlfn.XLOOKUP(CustomerCombined[[#This Row],[ID]], Table4[ID], Table4[Store], "Not Found", 0)</f>
        <v>12</v>
      </c>
      <c r="V712" s="5">
        <f>_xlfn.XLOOKUP(CustomerCombined[[#This Row],[ID]], Table4[ID], Table4[Visits], "Not Found", 0)</f>
        <v>3</v>
      </c>
      <c r="W712" s="8">
        <f>_xlfn.XLOOKUP(CustomerCombined[[#This Row],[ID]], Table2[ID],Table2[Complaint], "Not Found", 0 )</f>
        <v>0</v>
      </c>
      <c r="X712" s="8">
        <f>_xlfn.XLOOKUP(CustomerCombined[[#This Row],[ID]], Table2[ID],Table2[Pilot], "Not Found", 0 )</f>
        <v>0</v>
      </c>
      <c r="Y712" s="8">
        <f>_xlfn.XLOOKUP(CustomerCombined[[#This Row],[ID]], Table2[ID],Table2[MC1], "Not Found", 0 )</f>
        <v>0</v>
      </c>
      <c r="Z712" s="8">
        <f>_xlfn.XLOOKUP(CustomerCombined[[#This Row],[ID]], Table2[ID],Table2[MC2], "Not Found", 0 )</f>
        <v>0</v>
      </c>
      <c r="AA712" s="8">
        <f>_xlfn.XLOOKUP(CustomerCombined[[#This Row],[ID]], Table2[ID],Table2[MC3], "Not Found", 0 )</f>
        <v>0</v>
      </c>
      <c r="AB712" s="8">
        <f>_xlfn.XLOOKUP(CustomerCombined[[#This Row],[ID]], Table2[ID],Table2[MC4], "Not Found", 0 )</f>
        <v>0</v>
      </c>
      <c r="AC712" s="8">
        <f>_xlfn.XLOOKUP(CustomerCombined[[#This Row],[ID]], Table2[ID],Table2[MC5], "Not Found", 0 )</f>
        <v>0</v>
      </c>
    </row>
    <row r="713" spans="1:29" x14ac:dyDescent="0.3">
      <c r="A713" s="6">
        <v>2230</v>
      </c>
      <c r="B713" s="6">
        <v>165106</v>
      </c>
      <c r="C713" s="6">
        <v>0</v>
      </c>
      <c r="D713" s="6">
        <v>1</v>
      </c>
      <c r="E713" s="6">
        <v>45</v>
      </c>
      <c r="F713" s="5" t="s">
        <v>6</v>
      </c>
      <c r="G713" s="5" t="s">
        <v>11</v>
      </c>
      <c r="H713" s="3" t="s">
        <v>43</v>
      </c>
      <c r="I713" s="5" t="s">
        <v>439</v>
      </c>
      <c r="J713" s="5">
        <f>_xlfn.XLOOKUP(CustomerCombined[[#This Row],[ID]], Table4[ID], Table4[Recency], "Not Found", 0)</f>
        <v>55</v>
      </c>
      <c r="K713" s="5">
        <f>_xlfn.XLOOKUP(CustomerCombined[[#This Row],[ID]], Table4[ID], Table4[Teas], "Not Found", 0)</f>
        <v>2003</v>
      </c>
      <c r="L713" s="5">
        <f>_xlfn.XLOOKUP(CustomerCombined[[#This Row],[ID]], Table4[ID], Table4[Fruits], "Not Found", 0)</f>
        <v>48</v>
      </c>
      <c r="M713" s="5">
        <f>_xlfn.XLOOKUP(CustomerCombined[[#This Row],[ID]], Table4[ID], Table4[Meats], "Not Found", 0)</f>
        <v>337</v>
      </c>
      <c r="N713" s="5">
        <f>_xlfn.XLOOKUP(CustomerCombined[[#This Row],[ID]], Table4[ID], Table4[Seafood], "Not Found", 0)</f>
        <v>30</v>
      </c>
      <c r="O713" s="5">
        <f>_xlfn.XLOOKUP(CustomerCombined[[#This Row],[ID]], Table4[ID], Table4[Sweets], "Not Found", 0)</f>
        <v>0</v>
      </c>
      <c r="P713" s="5">
        <f>_xlfn.XLOOKUP(CustomerCombined[[#This Row],[ID]], Table4[ID], Table4[Premium], "Not Found", 0)</f>
        <v>48</v>
      </c>
      <c r="Q713" s="5">
        <f>_xlfn.XLOOKUP(CustomerCombined[[#This Row],[ID]], Table4[ID], Table4[Regular], "Not Found", 0)</f>
        <v>2371</v>
      </c>
      <c r="R713" s="5">
        <f>_xlfn.XLOOKUP(CustomerCombined[[#This Row],[ID]], Table4[ID], Table4[Deals], "Not Found", 0)</f>
        <v>3</v>
      </c>
      <c r="S713" s="5">
        <f>_xlfn.XLOOKUP(CustomerCombined[[#This Row],[ID]], Table4[ID], Table4[Website], "Not Found", 0)</f>
        <v>8</v>
      </c>
      <c r="T713" s="5">
        <f>_xlfn.XLOOKUP(CustomerCombined[[#This Row],[ID]], Table4[ID], Table4[Catalog], "Not Found", 0)</f>
        <v>3</v>
      </c>
      <c r="U713" s="5">
        <f>_xlfn.XLOOKUP(CustomerCombined[[#This Row],[ID]], Table4[ID], Table4[Store], "Not Found", 0)</f>
        <v>13</v>
      </c>
      <c r="V713" s="5">
        <f>_xlfn.XLOOKUP(CustomerCombined[[#This Row],[ID]], Table4[ID], Table4[Visits], "Not Found", 0)</f>
        <v>6</v>
      </c>
      <c r="W713" s="8">
        <f>_xlfn.XLOOKUP(CustomerCombined[[#This Row],[ID]], Table2[ID],Table2[Complaint], "Not Found", 0 )</f>
        <v>0</v>
      </c>
      <c r="X713" s="8">
        <f>_xlfn.XLOOKUP(CustomerCombined[[#This Row],[ID]], Table2[ID],Table2[Pilot], "Not Found", 0 )</f>
        <v>0</v>
      </c>
      <c r="Y713" s="8">
        <f>_xlfn.XLOOKUP(CustomerCombined[[#This Row],[ID]], Table2[ID],Table2[MC1], "Not Found", 0 )</f>
        <v>0</v>
      </c>
      <c r="Z713" s="8">
        <f>_xlfn.XLOOKUP(CustomerCombined[[#This Row],[ID]], Table2[ID],Table2[MC2], "Not Found", 0 )</f>
        <v>0</v>
      </c>
      <c r="AA713" s="8">
        <f>_xlfn.XLOOKUP(CustomerCombined[[#This Row],[ID]], Table2[ID],Table2[MC3], "Not Found", 0 )</f>
        <v>0</v>
      </c>
      <c r="AB713" s="8">
        <f>_xlfn.XLOOKUP(CustomerCombined[[#This Row],[ID]], Table2[ID],Table2[MC4], "Not Found", 0 )</f>
        <v>1</v>
      </c>
      <c r="AC713" s="8">
        <f>_xlfn.XLOOKUP(CustomerCombined[[#This Row],[ID]], Table2[ID],Table2[MC5], "Not Found", 0 )</f>
        <v>0</v>
      </c>
    </row>
    <row r="714" spans="1:29" x14ac:dyDescent="0.3">
      <c r="A714" s="6">
        <v>1259</v>
      </c>
      <c r="B714" s="6">
        <v>161905</v>
      </c>
      <c r="C714" s="6">
        <v>0</v>
      </c>
      <c r="D714" s="6">
        <v>1</v>
      </c>
      <c r="E714" s="6">
        <v>45</v>
      </c>
      <c r="F714" s="5" t="s">
        <v>8</v>
      </c>
      <c r="G714" s="5" t="s">
        <v>13</v>
      </c>
      <c r="H714" s="3">
        <v>44142</v>
      </c>
      <c r="I714" s="5" t="s">
        <v>434</v>
      </c>
      <c r="J714" s="5">
        <f>_xlfn.XLOOKUP(CustomerCombined[[#This Row],[ID]], Table4[ID], Table4[Recency], "Not Found", 0)</f>
        <v>2</v>
      </c>
      <c r="K714" s="5">
        <f>_xlfn.XLOOKUP(CustomerCombined[[#This Row],[ID]], Table4[ID], Table4[Teas], "Not Found", 0)</f>
        <v>437</v>
      </c>
      <c r="L714" s="5">
        <f>_xlfn.XLOOKUP(CustomerCombined[[#This Row],[ID]], Table4[ID], Table4[Fruits], "Not Found", 0)</f>
        <v>0</v>
      </c>
      <c r="M714" s="5">
        <f>_xlfn.XLOOKUP(CustomerCombined[[#This Row],[ID]], Table4[ID], Table4[Meats], "Not Found", 0)</f>
        <v>112</v>
      </c>
      <c r="N714" s="5">
        <f>_xlfn.XLOOKUP(CustomerCombined[[#This Row],[ID]], Table4[ID], Table4[Seafood], "Not Found", 0)</f>
        <v>16</v>
      </c>
      <c r="O714" s="5">
        <f>_xlfn.XLOOKUP(CustomerCombined[[#This Row],[ID]], Table4[ID], Table4[Sweets], "Not Found", 0)</f>
        <v>5</v>
      </c>
      <c r="P714" s="5">
        <f>_xlfn.XLOOKUP(CustomerCombined[[#This Row],[ID]], Table4[ID], Table4[Premium], "Not Found", 0)</f>
        <v>34</v>
      </c>
      <c r="Q714" s="5">
        <f>_xlfn.XLOOKUP(CustomerCombined[[#This Row],[ID]], Table4[ID], Table4[Regular], "Not Found", 0)</f>
        <v>536</v>
      </c>
      <c r="R714" s="5">
        <f>_xlfn.XLOOKUP(CustomerCombined[[#This Row],[ID]], Table4[ID], Table4[Deals], "Not Found", 0)</f>
        <v>2</v>
      </c>
      <c r="S714" s="5">
        <f>_xlfn.XLOOKUP(CustomerCombined[[#This Row],[ID]], Table4[ID], Table4[Website], "Not Found", 0)</f>
        <v>4</v>
      </c>
      <c r="T714" s="5">
        <f>_xlfn.XLOOKUP(CustomerCombined[[#This Row],[ID]], Table4[ID], Table4[Catalog], "Not Found", 0)</f>
        <v>2</v>
      </c>
      <c r="U714" s="5">
        <f>_xlfn.XLOOKUP(CustomerCombined[[#This Row],[ID]], Table4[ID], Table4[Store], "Not Found", 0)</f>
        <v>4</v>
      </c>
      <c r="V714" s="5">
        <f>_xlfn.XLOOKUP(CustomerCombined[[#This Row],[ID]], Table4[ID], Table4[Visits], "Not Found", 0)</f>
        <v>5</v>
      </c>
      <c r="W714" s="8">
        <f>_xlfn.XLOOKUP(CustomerCombined[[#This Row],[ID]], Table2[ID],Table2[Complaint], "Not Found", 0 )</f>
        <v>0</v>
      </c>
      <c r="X714" s="8">
        <f>_xlfn.XLOOKUP(CustomerCombined[[#This Row],[ID]], Table2[ID],Table2[Pilot], "Not Found", 0 )</f>
        <v>0</v>
      </c>
      <c r="Y714" s="8">
        <f>_xlfn.XLOOKUP(CustomerCombined[[#This Row],[ID]], Table2[ID],Table2[MC1], "Not Found", 0 )</f>
        <v>0</v>
      </c>
      <c r="Z714" s="8">
        <f>_xlfn.XLOOKUP(CustomerCombined[[#This Row],[ID]], Table2[ID],Table2[MC2], "Not Found", 0 )</f>
        <v>0</v>
      </c>
      <c r="AA714" s="8">
        <f>_xlfn.XLOOKUP(CustomerCombined[[#This Row],[ID]], Table2[ID],Table2[MC3], "Not Found", 0 )</f>
        <v>0</v>
      </c>
      <c r="AB714" s="8">
        <f>_xlfn.XLOOKUP(CustomerCombined[[#This Row],[ID]], Table2[ID],Table2[MC4], "Not Found", 0 )</f>
        <v>0</v>
      </c>
      <c r="AC714" s="8">
        <f>_xlfn.XLOOKUP(CustomerCombined[[#This Row],[ID]], Table2[ID],Table2[MC5], "Not Found", 0 )</f>
        <v>0</v>
      </c>
    </row>
    <row r="715" spans="1:29" x14ac:dyDescent="0.3">
      <c r="A715" s="6">
        <v>1454</v>
      </c>
      <c r="B715" s="6">
        <v>161456</v>
      </c>
      <c r="C715" s="6">
        <v>0</v>
      </c>
      <c r="D715" s="6">
        <v>1</v>
      </c>
      <c r="E715" s="6">
        <v>45</v>
      </c>
      <c r="F715" s="5" t="s">
        <v>6</v>
      </c>
      <c r="G715" s="5" t="s">
        <v>11</v>
      </c>
      <c r="H715" s="3">
        <v>43474</v>
      </c>
      <c r="I715" s="5" t="s">
        <v>438</v>
      </c>
      <c r="J715" s="5">
        <f>_xlfn.XLOOKUP(CustomerCombined[[#This Row],[ID]], Table4[ID], Table4[Recency], "Not Found", 0)</f>
        <v>47</v>
      </c>
      <c r="K715" s="5">
        <f>_xlfn.XLOOKUP(CustomerCombined[[#This Row],[ID]], Table4[ID], Table4[Teas], "Not Found", 0)</f>
        <v>1479</v>
      </c>
      <c r="L715" s="5">
        <f>_xlfn.XLOOKUP(CustomerCombined[[#This Row],[ID]], Table4[ID], Table4[Fruits], "Not Found", 0)</f>
        <v>200</v>
      </c>
      <c r="M715" s="5">
        <f>_xlfn.XLOOKUP(CustomerCombined[[#This Row],[ID]], Table4[ID], Table4[Meats], "Not Found", 0)</f>
        <v>1009</v>
      </c>
      <c r="N715" s="5">
        <f>_xlfn.XLOOKUP(CustomerCombined[[#This Row],[ID]], Table4[ID], Table4[Seafood], "Not Found", 0)</f>
        <v>221</v>
      </c>
      <c r="O715" s="5">
        <f>_xlfn.XLOOKUP(CustomerCombined[[#This Row],[ID]], Table4[ID], Table4[Sweets], "Not Found", 0)</f>
        <v>504</v>
      </c>
      <c r="P715" s="5">
        <f>_xlfn.XLOOKUP(CustomerCombined[[#This Row],[ID]], Table4[ID], Table4[Premium], "Not Found", 0)</f>
        <v>234</v>
      </c>
      <c r="Q715" s="5">
        <f>_xlfn.XLOOKUP(CustomerCombined[[#This Row],[ID]], Table4[ID], Table4[Regular], "Not Found", 0)</f>
        <v>3179</v>
      </c>
      <c r="R715" s="5">
        <f>_xlfn.XLOOKUP(CustomerCombined[[#This Row],[ID]], Table4[ID], Table4[Deals], "Not Found", 0)</f>
        <v>4</v>
      </c>
      <c r="S715" s="5">
        <f>_xlfn.XLOOKUP(CustomerCombined[[#This Row],[ID]], Table4[ID], Table4[Website], "Not Found", 0)</f>
        <v>6</v>
      </c>
      <c r="T715" s="5">
        <f>_xlfn.XLOOKUP(CustomerCombined[[#This Row],[ID]], Table4[ID], Table4[Catalog], "Not Found", 0)</f>
        <v>10</v>
      </c>
      <c r="U715" s="5">
        <f>_xlfn.XLOOKUP(CustomerCombined[[#This Row],[ID]], Table4[ID], Table4[Store], "Not Found", 0)</f>
        <v>13</v>
      </c>
      <c r="V715" s="5">
        <f>_xlfn.XLOOKUP(CustomerCombined[[#This Row],[ID]], Table4[ID], Table4[Visits], "Not Found", 0)</f>
        <v>4</v>
      </c>
      <c r="W715" s="8">
        <f>_xlfn.XLOOKUP(CustomerCombined[[#This Row],[ID]], Table2[ID],Table2[Complaint], "Not Found", 0 )</f>
        <v>0</v>
      </c>
      <c r="X715" s="8">
        <f>_xlfn.XLOOKUP(CustomerCombined[[#This Row],[ID]], Table2[ID],Table2[Pilot], "Not Found", 0 )</f>
        <v>0</v>
      </c>
      <c r="Y715" s="8">
        <f>_xlfn.XLOOKUP(CustomerCombined[[#This Row],[ID]], Table2[ID],Table2[MC1], "Not Found", 0 )</f>
        <v>0</v>
      </c>
      <c r="Z715" s="8">
        <f>_xlfn.XLOOKUP(CustomerCombined[[#This Row],[ID]], Table2[ID],Table2[MC2], "Not Found", 0 )</f>
        <v>0</v>
      </c>
      <c r="AA715" s="8">
        <f>_xlfn.XLOOKUP(CustomerCombined[[#This Row],[ID]], Table2[ID],Table2[MC3], "Not Found", 0 )</f>
        <v>0</v>
      </c>
      <c r="AB715" s="8">
        <f>_xlfn.XLOOKUP(CustomerCombined[[#This Row],[ID]], Table2[ID],Table2[MC4], "Not Found", 0 )</f>
        <v>0</v>
      </c>
      <c r="AC715" s="8">
        <f>_xlfn.XLOOKUP(CustomerCombined[[#This Row],[ID]], Table2[ID],Table2[MC5], "Not Found", 0 )</f>
        <v>0</v>
      </c>
    </row>
    <row r="716" spans="1:29" x14ac:dyDescent="0.3">
      <c r="A716" s="6">
        <v>3140</v>
      </c>
      <c r="B716" s="6">
        <v>160934</v>
      </c>
      <c r="C716" s="6">
        <v>0</v>
      </c>
      <c r="D716" s="6">
        <v>1</v>
      </c>
      <c r="E716" s="6">
        <v>45</v>
      </c>
      <c r="F716" s="5" t="s">
        <v>8</v>
      </c>
      <c r="G716" s="5" t="s">
        <v>11</v>
      </c>
      <c r="H716" s="3" t="s">
        <v>114</v>
      </c>
      <c r="I716" s="5" t="s">
        <v>438</v>
      </c>
      <c r="J716" s="5">
        <f>_xlfn.XLOOKUP(CustomerCombined[[#This Row],[ID]], Table4[ID], Table4[Recency], "Not Found", 0)</f>
        <v>41</v>
      </c>
      <c r="K716" s="5">
        <f>_xlfn.XLOOKUP(CustomerCombined[[#This Row],[ID]], Table4[ID], Table4[Teas], "Not Found", 0)</f>
        <v>592</v>
      </c>
      <c r="L716" s="5">
        <f>_xlfn.XLOOKUP(CustomerCombined[[#This Row],[ID]], Table4[ID], Table4[Fruits], "Not Found", 0)</f>
        <v>409</v>
      </c>
      <c r="M716" s="5">
        <f>_xlfn.XLOOKUP(CustomerCombined[[#This Row],[ID]], Table4[ID], Table4[Meats], "Not Found", 0)</f>
        <v>409</v>
      </c>
      <c r="N716" s="5">
        <f>_xlfn.XLOOKUP(CustomerCombined[[#This Row],[ID]], Table4[ID], Table4[Seafood], "Not Found", 0)</f>
        <v>507</v>
      </c>
      <c r="O716" s="5">
        <f>_xlfn.XLOOKUP(CustomerCombined[[#This Row],[ID]], Table4[ID], Table4[Sweets], "Not Found", 0)</f>
        <v>246</v>
      </c>
      <c r="P716" s="5">
        <f>_xlfn.XLOOKUP(CustomerCombined[[#This Row],[ID]], Table4[ID], Table4[Premium], "Not Found", 0)</f>
        <v>143</v>
      </c>
      <c r="Q716" s="5">
        <f>_xlfn.XLOOKUP(CustomerCombined[[#This Row],[ID]], Table4[ID], Table4[Regular], "Not Found", 0)</f>
        <v>2020</v>
      </c>
      <c r="R716" s="5">
        <f>_xlfn.XLOOKUP(CustomerCombined[[#This Row],[ID]], Table4[ID], Table4[Deals], "Not Found", 0)</f>
        <v>2</v>
      </c>
      <c r="S716" s="5">
        <f>_xlfn.XLOOKUP(CustomerCombined[[#This Row],[ID]], Table4[ID], Table4[Website], "Not Found", 0)</f>
        <v>6</v>
      </c>
      <c r="T716" s="5">
        <f>_xlfn.XLOOKUP(CustomerCombined[[#This Row],[ID]], Table4[ID], Table4[Catalog], "Not Found", 0)</f>
        <v>4</v>
      </c>
      <c r="U716" s="5">
        <f>_xlfn.XLOOKUP(CustomerCombined[[#This Row],[ID]], Table4[ID], Table4[Store], "Not Found", 0)</f>
        <v>11</v>
      </c>
      <c r="V716" s="5">
        <f>_xlfn.XLOOKUP(CustomerCombined[[#This Row],[ID]], Table4[ID], Table4[Visits], "Not Found", 0)</f>
        <v>4</v>
      </c>
      <c r="W716" s="8">
        <f>_xlfn.XLOOKUP(CustomerCombined[[#This Row],[ID]], Table2[ID],Table2[Complaint], "Not Found", 0 )</f>
        <v>0</v>
      </c>
      <c r="X716" s="8">
        <f>_xlfn.XLOOKUP(CustomerCombined[[#This Row],[ID]], Table2[ID],Table2[Pilot], "Not Found", 0 )</f>
        <v>0</v>
      </c>
      <c r="Y716" s="8">
        <f>_xlfn.XLOOKUP(CustomerCombined[[#This Row],[ID]], Table2[ID],Table2[MC1], "Not Found", 0 )</f>
        <v>0</v>
      </c>
      <c r="Z716" s="8">
        <f>_xlfn.XLOOKUP(CustomerCombined[[#This Row],[ID]], Table2[ID],Table2[MC2], "Not Found", 0 )</f>
        <v>0</v>
      </c>
      <c r="AA716" s="8">
        <f>_xlfn.XLOOKUP(CustomerCombined[[#This Row],[ID]], Table2[ID],Table2[MC3], "Not Found", 0 )</f>
        <v>0</v>
      </c>
      <c r="AB716" s="8">
        <f>_xlfn.XLOOKUP(CustomerCombined[[#This Row],[ID]], Table2[ID],Table2[MC4], "Not Found", 0 )</f>
        <v>0</v>
      </c>
      <c r="AC716" s="8">
        <f>_xlfn.XLOOKUP(CustomerCombined[[#This Row],[ID]], Table2[ID],Table2[MC5], "Not Found", 0 )</f>
        <v>0</v>
      </c>
    </row>
    <row r="717" spans="1:29" x14ac:dyDescent="0.3">
      <c r="A717" s="6">
        <v>1068</v>
      </c>
      <c r="B717" s="6">
        <v>160631</v>
      </c>
      <c r="C717" s="6">
        <v>1</v>
      </c>
      <c r="D717" s="6">
        <v>1</v>
      </c>
      <c r="E717" s="6">
        <v>45</v>
      </c>
      <c r="F717" s="5" t="s">
        <v>6</v>
      </c>
      <c r="G717" s="5" t="s">
        <v>13</v>
      </c>
      <c r="H717" s="3">
        <v>43747</v>
      </c>
      <c r="I717" s="5" t="s">
        <v>436</v>
      </c>
      <c r="J717" s="5">
        <f>_xlfn.XLOOKUP(CustomerCombined[[#This Row],[ID]], Table4[ID], Table4[Recency], "Not Found", 0)</f>
        <v>88</v>
      </c>
      <c r="K717" s="5">
        <f>_xlfn.XLOOKUP(CustomerCombined[[#This Row],[ID]], Table4[ID], Table4[Teas], "Not Found", 0)</f>
        <v>1497</v>
      </c>
      <c r="L717" s="5">
        <f>_xlfn.XLOOKUP(CustomerCombined[[#This Row],[ID]], Table4[ID], Table4[Fruits], "Not Found", 0)</f>
        <v>16</v>
      </c>
      <c r="M717" s="5">
        <f>_xlfn.XLOOKUP(CustomerCombined[[#This Row],[ID]], Table4[ID], Table4[Meats], "Not Found", 0)</f>
        <v>172</v>
      </c>
      <c r="N717" s="5">
        <f>_xlfn.XLOOKUP(CustomerCombined[[#This Row],[ID]], Table4[ID], Table4[Seafood], "Not Found", 0)</f>
        <v>0</v>
      </c>
      <c r="O717" s="5">
        <f>_xlfn.XLOOKUP(CustomerCombined[[#This Row],[ID]], Table4[ID], Table4[Sweets], "Not Found", 0)</f>
        <v>16</v>
      </c>
      <c r="P717" s="5">
        <f>_xlfn.XLOOKUP(CustomerCombined[[#This Row],[ID]], Table4[ID], Table4[Premium], "Not Found", 0)</f>
        <v>50</v>
      </c>
      <c r="Q717" s="5">
        <f>_xlfn.XLOOKUP(CustomerCombined[[#This Row],[ID]], Table4[ID], Table4[Regular], "Not Found", 0)</f>
        <v>1651</v>
      </c>
      <c r="R717" s="5">
        <f>_xlfn.XLOOKUP(CustomerCombined[[#This Row],[ID]], Table4[ID], Table4[Deals], "Not Found", 0)</f>
        <v>5</v>
      </c>
      <c r="S717" s="5">
        <f>_xlfn.XLOOKUP(CustomerCombined[[#This Row],[ID]], Table4[ID], Table4[Website], "Not Found", 0)</f>
        <v>9</v>
      </c>
      <c r="T717" s="5">
        <f>_xlfn.XLOOKUP(CustomerCombined[[#This Row],[ID]], Table4[ID], Table4[Catalog], "Not Found", 0)</f>
        <v>2</v>
      </c>
      <c r="U717" s="5">
        <f>_xlfn.XLOOKUP(CustomerCombined[[#This Row],[ID]], Table4[ID], Table4[Store], "Not Found", 0)</f>
        <v>8</v>
      </c>
      <c r="V717" s="5">
        <f>_xlfn.XLOOKUP(CustomerCombined[[#This Row],[ID]], Table4[ID], Table4[Visits], "Not Found", 0)</f>
        <v>7</v>
      </c>
      <c r="W717" s="8">
        <f>_xlfn.XLOOKUP(CustomerCombined[[#This Row],[ID]], Table2[ID],Table2[Complaint], "Not Found", 0 )</f>
        <v>0</v>
      </c>
      <c r="X717" s="8">
        <f>_xlfn.XLOOKUP(CustomerCombined[[#This Row],[ID]], Table2[ID],Table2[Pilot], "Not Found", 0 )</f>
        <v>0</v>
      </c>
      <c r="Y717" s="8">
        <f>_xlfn.XLOOKUP(CustomerCombined[[#This Row],[ID]], Table2[ID],Table2[MC1], "Not Found", 0 )</f>
        <v>0</v>
      </c>
      <c r="Z717" s="8">
        <f>_xlfn.XLOOKUP(CustomerCombined[[#This Row],[ID]], Table2[ID],Table2[MC2], "Not Found", 0 )</f>
        <v>0</v>
      </c>
      <c r="AA717" s="8">
        <f>_xlfn.XLOOKUP(CustomerCombined[[#This Row],[ID]], Table2[ID],Table2[MC3], "Not Found", 0 )</f>
        <v>0</v>
      </c>
      <c r="AB717" s="8">
        <f>_xlfn.XLOOKUP(CustomerCombined[[#This Row],[ID]], Table2[ID],Table2[MC4], "Not Found", 0 )</f>
        <v>1</v>
      </c>
      <c r="AC717" s="8">
        <f>_xlfn.XLOOKUP(CustomerCombined[[#This Row],[ID]], Table2[ID],Table2[MC5], "Not Found", 0 )</f>
        <v>0</v>
      </c>
    </row>
    <row r="718" spans="1:29" x14ac:dyDescent="0.3">
      <c r="A718" s="6">
        <v>1920</v>
      </c>
      <c r="B718" s="6">
        <v>160554</v>
      </c>
      <c r="C718" s="6">
        <v>1</v>
      </c>
      <c r="D718" s="6">
        <v>0</v>
      </c>
      <c r="E718" s="6">
        <v>45</v>
      </c>
      <c r="F718" s="5" t="s">
        <v>5</v>
      </c>
      <c r="G718" s="5" t="s">
        <v>13</v>
      </c>
      <c r="H718" s="3" t="s">
        <v>208</v>
      </c>
      <c r="I718" s="5" t="s">
        <v>436</v>
      </c>
      <c r="J718" s="5">
        <f>_xlfn.XLOOKUP(CustomerCombined[[#This Row],[ID]], Table4[ID], Table4[Recency], "Not Found", 0)</f>
        <v>8</v>
      </c>
      <c r="K718" s="5">
        <f>_xlfn.XLOOKUP(CustomerCombined[[#This Row],[ID]], Table4[ID], Table4[Teas], "Not Found", 0)</f>
        <v>1559</v>
      </c>
      <c r="L718" s="5">
        <f>_xlfn.XLOOKUP(CustomerCombined[[#This Row],[ID]], Table4[ID], Table4[Fruits], "Not Found", 0)</f>
        <v>19</v>
      </c>
      <c r="M718" s="5">
        <f>_xlfn.XLOOKUP(CustomerCombined[[#This Row],[ID]], Table4[ID], Table4[Meats], "Not Found", 0)</f>
        <v>202</v>
      </c>
      <c r="N718" s="5">
        <f>_xlfn.XLOOKUP(CustomerCombined[[#This Row],[ID]], Table4[ID], Table4[Seafood], "Not Found", 0)</f>
        <v>292</v>
      </c>
      <c r="O718" s="5">
        <f>_xlfn.XLOOKUP(CustomerCombined[[#This Row],[ID]], Table4[ID], Table4[Sweets], "Not Found", 0)</f>
        <v>40</v>
      </c>
      <c r="P718" s="5">
        <f>_xlfn.XLOOKUP(CustomerCombined[[#This Row],[ID]], Table4[ID], Table4[Premium], "Not Found", 0)</f>
        <v>40</v>
      </c>
      <c r="Q718" s="5">
        <f>_xlfn.XLOOKUP(CustomerCombined[[#This Row],[ID]], Table4[ID], Table4[Regular], "Not Found", 0)</f>
        <v>2071</v>
      </c>
      <c r="R718" s="5">
        <f>_xlfn.XLOOKUP(CustomerCombined[[#This Row],[ID]], Table4[ID], Table4[Deals], "Not Found", 0)</f>
        <v>2</v>
      </c>
      <c r="S718" s="5">
        <f>_xlfn.XLOOKUP(CustomerCombined[[#This Row],[ID]], Table4[ID], Table4[Website], "Not Found", 0)</f>
        <v>8</v>
      </c>
      <c r="T718" s="5">
        <f>_xlfn.XLOOKUP(CustomerCombined[[#This Row],[ID]], Table4[ID], Table4[Catalog], "Not Found", 0)</f>
        <v>4</v>
      </c>
      <c r="U718" s="5">
        <f>_xlfn.XLOOKUP(CustomerCombined[[#This Row],[ID]], Table4[ID], Table4[Store], "Not Found", 0)</f>
        <v>9</v>
      </c>
      <c r="V718" s="5">
        <f>_xlfn.XLOOKUP(CustomerCombined[[#This Row],[ID]], Table4[ID], Table4[Visits], "Not Found", 0)</f>
        <v>6</v>
      </c>
      <c r="W718" s="8">
        <f>_xlfn.XLOOKUP(CustomerCombined[[#This Row],[ID]], Table2[ID],Table2[Complaint], "Not Found", 0 )</f>
        <v>0</v>
      </c>
      <c r="X718" s="8">
        <f>_xlfn.XLOOKUP(CustomerCombined[[#This Row],[ID]], Table2[ID],Table2[Pilot], "Not Found", 0 )</f>
        <v>0</v>
      </c>
      <c r="Y718" s="8">
        <f>_xlfn.XLOOKUP(CustomerCombined[[#This Row],[ID]], Table2[ID],Table2[MC1], "Not Found", 0 )</f>
        <v>0</v>
      </c>
      <c r="Z718" s="8">
        <f>_xlfn.XLOOKUP(CustomerCombined[[#This Row],[ID]], Table2[ID],Table2[MC2], "Not Found", 0 )</f>
        <v>0</v>
      </c>
      <c r="AA718" s="8">
        <f>_xlfn.XLOOKUP(CustomerCombined[[#This Row],[ID]], Table2[ID],Table2[MC3], "Not Found", 0 )</f>
        <v>0</v>
      </c>
      <c r="AB718" s="8">
        <f>_xlfn.XLOOKUP(CustomerCombined[[#This Row],[ID]], Table2[ID],Table2[MC4], "Not Found", 0 )</f>
        <v>0</v>
      </c>
      <c r="AC718" s="8">
        <f>_xlfn.XLOOKUP(CustomerCombined[[#This Row],[ID]], Table2[ID],Table2[MC5], "Not Found", 0 )</f>
        <v>0</v>
      </c>
    </row>
    <row r="719" spans="1:29" x14ac:dyDescent="0.3">
      <c r="A719" s="6">
        <v>2737</v>
      </c>
      <c r="B719" s="6">
        <v>159481</v>
      </c>
      <c r="C719" s="6">
        <v>0</v>
      </c>
      <c r="D719" s="6">
        <v>1</v>
      </c>
      <c r="E719" s="6">
        <v>45</v>
      </c>
      <c r="F719" s="5" t="s">
        <v>8</v>
      </c>
      <c r="G719" s="5" t="s">
        <v>11</v>
      </c>
      <c r="H719" s="3" t="s">
        <v>159</v>
      </c>
      <c r="I719" s="5" t="s">
        <v>437</v>
      </c>
      <c r="J719" s="5">
        <f>_xlfn.XLOOKUP(CustomerCombined[[#This Row],[ID]], Table4[ID], Table4[Recency], "Not Found", 0)</f>
        <v>47</v>
      </c>
      <c r="K719" s="5">
        <f>_xlfn.XLOOKUP(CustomerCombined[[#This Row],[ID]], Table4[ID], Table4[Teas], "Not Found", 0)</f>
        <v>477</v>
      </c>
      <c r="L719" s="5">
        <f>_xlfn.XLOOKUP(CustomerCombined[[#This Row],[ID]], Table4[ID], Table4[Fruits], "Not Found", 0)</f>
        <v>8</v>
      </c>
      <c r="M719" s="5">
        <f>_xlfn.XLOOKUP(CustomerCombined[[#This Row],[ID]], Table4[ID], Table4[Meats], "Not Found", 0)</f>
        <v>228</v>
      </c>
      <c r="N719" s="5">
        <f>_xlfn.XLOOKUP(CustomerCombined[[#This Row],[ID]], Table4[ID], Table4[Seafood], "Not Found", 0)</f>
        <v>190</v>
      </c>
      <c r="O719" s="5">
        <f>_xlfn.XLOOKUP(CustomerCombined[[#This Row],[ID]], Table4[ID], Table4[Sweets], "Not Found", 0)</f>
        <v>177</v>
      </c>
      <c r="P719" s="5">
        <f>_xlfn.XLOOKUP(CustomerCombined[[#This Row],[ID]], Table4[ID], Table4[Premium], "Not Found", 0)</f>
        <v>156</v>
      </c>
      <c r="Q719" s="5">
        <f>_xlfn.XLOOKUP(CustomerCombined[[#This Row],[ID]], Table4[ID], Table4[Regular], "Not Found", 0)</f>
        <v>925</v>
      </c>
      <c r="R719" s="5">
        <f>_xlfn.XLOOKUP(CustomerCombined[[#This Row],[ID]], Table4[ID], Table4[Deals], "Not Found", 0)</f>
        <v>2</v>
      </c>
      <c r="S719" s="5">
        <f>_xlfn.XLOOKUP(CustomerCombined[[#This Row],[ID]], Table4[ID], Table4[Website], "Not Found", 0)</f>
        <v>3</v>
      </c>
      <c r="T719" s="5">
        <f>_xlfn.XLOOKUP(CustomerCombined[[#This Row],[ID]], Table4[ID], Table4[Catalog], "Not Found", 0)</f>
        <v>3</v>
      </c>
      <c r="U719" s="5">
        <f>_xlfn.XLOOKUP(CustomerCombined[[#This Row],[ID]], Table4[ID], Table4[Store], "Not Found", 0)</f>
        <v>8</v>
      </c>
      <c r="V719" s="5">
        <f>_xlfn.XLOOKUP(CustomerCombined[[#This Row],[ID]], Table4[ID], Table4[Visits], "Not Found", 0)</f>
        <v>2</v>
      </c>
      <c r="W719" s="8">
        <f>_xlfn.XLOOKUP(CustomerCombined[[#This Row],[ID]], Table2[ID],Table2[Complaint], "Not Found", 0 )</f>
        <v>0</v>
      </c>
      <c r="X719" s="8">
        <f>_xlfn.XLOOKUP(CustomerCombined[[#This Row],[ID]], Table2[ID],Table2[Pilot], "Not Found", 0 )</f>
        <v>0</v>
      </c>
      <c r="Y719" s="8">
        <f>_xlfn.XLOOKUP(CustomerCombined[[#This Row],[ID]], Table2[ID],Table2[MC1], "Not Found", 0 )</f>
        <v>0</v>
      </c>
      <c r="Z719" s="8">
        <f>_xlfn.XLOOKUP(CustomerCombined[[#This Row],[ID]], Table2[ID],Table2[MC2], "Not Found", 0 )</f>
        <v>0</v>
      </c>
      <c r="AA719" s="8">
        <f>_xlfn.XLOOKUP(CustomerCombined[[#This Row],[ID]], Table2[ID],Table2[MC3], "Not Found", 0 )</f>
        <v>0</v>
      </c>
      <c r="AB719" s="8">
        <f>_xlfn.XLOOKUP(CustomerCombined[[#This Row],[ID]], Table2[ID],Table2[MC4], "Not Found", 0 )</f>
        <v>0</v>
      </c>
      <c r="AC719" s="8">
        <f>_xlfn.XLOOKUP(CustomerCombined[[#This Row],[ID]], Table2[ID],Table2[MC5], "Not Found", 0 )</f>
        <v>0</v>
      </c>
    </row>
    <row r="720" spans="1:29" x14ac:dyDescent="0.3">
      <c r="A720" s="6">
        <v>1644</v>
      </c>
      <c r="B720" s="6">
        <v>158330</v>
      </c>
      <c r="C720" s="6">
        <v>0</v>
      </c>
      <c r="D720" s="6">
        <v>1</v>
      </c>
      <c r="E720" s="6">
        <v>45</v>
      </c>
      <c r="F720" s="5" t="s">
        <v>9</v>
      </c>
      <c r="G720" s="5" t="s">
        <v>11</v>
      </c>
      <c r="H720" s="3" t="s">
        <v>123</v>
      </c>
      <c r="I720" s="5" t="s">
        <v>436</v>
      </c>
      <c r="J720" s="5">
        <f>_xlfn.XLOOKUP(CustomerCombined[[#This Row],[ID]], Table4[ID], Table4[Recency], "Not Found", 0)</f>
        <v>87</v>
      </c>
      <c r="K720" s="5">
        <f>_xlfn.XLOOKUP(CustomerCombined[[#This Row],[ID]], Table4[ID], Table4[Teas], "Not Found", 0)</f>
        <v>1208</v>
      </c>
      <c r="L720" s="5">
        <f>_xlfn.XLOOKUP(CustomerCombined[[#This Row],[ID]], Table4[ID], Table4[Fruits], "Not Found", 0)</f>
        <v>144</v>
      </c>
      <c r="M720" s="5">
        <f>_xlfn.XLOOKUP(CustomerCombined[[#This Row],[ID]], Table4[ID], Table4[Meats], "Not Found", 0)</f>
        <v>578</v>
      </c>
      <c r="N720" s="5">
        <f>_xlfn.XLOOKUP(CustomerCombined[[#This Row],[ID]], Table4[ID], Table4[Seafood], "Not Found", 0)</f>
        <v>282</v>
      </c>
      <c r="O720" s="5">
        <f>_xlfn.XLOOKUP(CustomerCombined[[#This Row],[ID]], Table4[ID], Table4[Sweets], "Not Found", 0)</f>
        <v>266</v>
      </c>
      <c r="P720" s="5">
        <f>_xlfn.XLOOKUP(CustomerCombined[[#This Row],[ID]], Table4[ID], Table4[Premium], "Not Found", 0)</f>
        <v>410</v>
      </c>
      <c r="Q720" s="5">
        <f>_xlfn.XLOOKUP(CustomerCombined[[#This Row],[ID]], Table4[ID], Table4[Regular], "Not Found", 0)</f>
        <v>2068</v>
      </c>
      <c r="R720" s="5">
        <f>_xlfn.XLOOKUP(CustomerCombined[[#This Row],[ID]], Table4[ID], Table4[Deals], "Not Found", 0)</f>
        <v>1</v>
      </c>
      <c r="S720" s="5">
        <f>_xlfn.XLOOKUP(CustomerCombined[[#This Row],[ID]], Table4[ID], Table4[Website], "Not Found", 0)</f>
        <v>6</v>
      </c>
      <c r="T720" s="5">
        <f>_xlfn.XLOOKUP(CustomerCombined[[#This Row],[ID]], Table4[ID], Table4[Catalog], "Not Found", 0)</f>
        <v>4</v>
      </c>
      <c r="U720" s="5">
        <f>_xlfn.XLOOKUP(CustomerCombined[[#This Row],[ID]], Table4[ID], Table4[Store], "Not Found", 0)</f>
        <v>13</v>
      </c>
      <c r="V720" s="5">
        <f>_xlfn.XLOOKUP(CustomerCombined[[#This Row],[ID]], Table4[ID], Table4[Visits], "Not Found", 0)</f>
        <v>4</v>
      </c>
      <c r="W720" s="8">
        <f>_xlfn.XLOOKUP(CustomerCombined[[#This Row],[ID]], Table2[ID],Table2[Complaint], "Not Found", 0 )</f>
        <v>0</v>
      </c>
      <c r="X720" s="8">
        <f>_xlfn.XLOOKUP(CustomerCombined[[#This Row],[ID]], Table2[ID],Table2[Pilot], "Not Found", 0 )</f>
        <v>0</v>
      </c>
      <c r="Y720" s="8">
        <f>_xlfn.XLOOKUP(CustomerCombined[[#This Row],[ID]], Table2[ID],Table2[MC1], "Not Found", 0 )</f>
        <v>0</v>
      </c>
      <c r="Z720" s="8">
        <f>_xlfn.XLOOKUP(CustomerCombined[[#This Row],[ID]], Table2[ID],Table2[MC2], "Not Found", 0 )</f>
        <v>0</v>
      </c>
      <c r="AA720" s="8">
        <f>_xlfn.XLOOKUP(CustomerCombined[[#This Row],[ID]], Table2[ID],Table2[MC3], "Not Found", 0 )</f>
        <v>0</v>
      </c>
      <c r="AB720" s="8">
        <f>_xlfn.XLOOKUP(CustomerCombined[[#This Row],[ID]], Table2[ID],Table2[MC4], "Not Found", 0 )</f>
        <v>0</v>
      </c>
      <c r="AC720" s="8">
        <f>_xlfn.XLOOKUP(CustomerCombined[[#This Row],[ID]], Table2[ID],Table2[MC5], "Not Found", 0 )</f>
        <v>0</v>
      </c>
    </row>
    <row r="721" spans="1:29" x14ac:dyDescent="0.3">
      <c r="A721" s="6">
        <v>1733</v>
      </c>
      <c r="B721" s="6">
        <v>158330</v>
      </c>
      <c r="C721" s="6">
        <v>0</v>
      </c>
      <c r="D721" s="6">
        <v>1</v>
      </c>
      <c r="E721" s="6">
        <v>45</v>
      </c>
      <c r="F721" s="5" t="s">
        <v>9</v>
      </c>
      <c r="G721" s="5" t="s">
        <v>11</v>
      </c>
      <c r="H721" s="3" t="s">
        <v>123</v>
      </c>
      <c r="I721" s="5" t="s">
        <v>434</v>
      </c>
      <c r="J721" s="5">
        <f>_xlfn.XLOOKUP(CustomerCombined[[#This Row],[ID]], Table4[ID], Table4[Recency], "Not Found", 0)</f>
        <v>87</v>
      </c>
      <c r="K721" s="5">
        <f>_xlfn.XLOOKUP(CustomerCombined[[#This Row],[ID]], Table4[ID], Table4[Teas], "Not Found", 0)</f>
        <v>1208</v>
      </c>
      <c r="L721" s="5">
        <f>_xlfn.XLOOKUP(CustomerCombined[[#This Row],[ID]], Table4[ID], Table4[Fruits], "Not Found", 0)</f>
        <v>144</v>
      </c>
      <c r="M721" s="5">
        <f>_xlfn.XLOOKUP(CustomerCombined[[#This Row],[ID]], Table4[ID], Table4[Meats], "Not Found", 0)</f>
        <v>578</v>
      </c>
      <c r="N721" s="5">
        <f>_xlfn.XLOOKUP(CustomerCombined[[#This Row],[ID]], Table4[ID], Table4[Seafood], "Not Found", 0)</f>
        <v>282</v>
      </c>
      <c r="O721" s="5">
        <f>_xlfn.XLOOKUP(CustomerCombined[[#This Row],[ID]], Table4[ID], Table4[Sweets], "Not Found", 0)</f>
        <v>266</v>
      </c>
      <c r="P721" s="5">
        <f>_xlfn.XLOOKUP(CustomerCombined[[#This Row],[ID]], Table4[ID], Table4[Premium], "Not Found", 0)</f>
        <v>410</v>
      </c>
      <c r="Q721" s="5">
        <f>_xlfn.XLOOKUP(CustomerCombined[[#This Row],[ID]], Table4[ID], Table4[Regular], "Not Found", 0)</f>
        <v>2068</v>
      </c>
      <c r="R721" s="5">
        <f>_xlfn.XLOOKUP(CustomerCombined[[#This Row],[ID]], Table4[ID], Table4[Deals], "Not Found", 0)</f>
        <v>1</v>
      </c>
      <c r="S721" s="5">
        <f>_xlfn.XLOOKUP(CustomerCombined[[#This Row],[ID]], Table4[ID], Table4[Website], "Not Found", 0)</f>
        <v>6</v>
      </c>
      <c r="T721" s="5">
        <f>_xlfn.XLOOKUP(CustomerCombined[[#This Row],[ID]], Table4[ID], Table4[Catalog], "Not Found", 0)</f>
        <v>4</v>
      </c>
      <c r="U721" s="5">
        <f>_xlfn.XLOOKUP(CustomerCombined[[#This Row],[ID]], Table4[ID], Table4[Store], "Not Found", 0)</f>
        <v>13</v>
      </c>
      <c r="V721" s="5">
        <f>_xlfn.XLOOKUP(CustomerCombined[[#This Row],[ID]], Table4[ID], Table4[Visits], "Not Found", 0)</f>
        <v>4</v>
      </c>
      <c r="W721" s="8">
        <f>_xlfn.XLOOKUP(CustomerCombined[[#This Row],[ID]], Table2[ID],Table2[Complaint], "Not Found", 0 )</f>
        <v>0</v>
      </c>
      <c r="X721" s="8">
        <f>_xlfn.XLOOKUP(CustomerCombined[[#This Row],[ID]], Table2[ID],Table2[Pilot], "Not Found", 0 )</f>
        <v>0</v>
      </c>
      <c r="Y721" s="8">
        <f>_xlfn.XLOOKUP(CustomerCombined[[#This Row],[ID]], Table2[ID],Table2[MC1], "Not Found", 0 )</f>
        <v>0</v>
      </c>
      <c r="Z721" s="8">
        <f>_xlfn.XLOOKUP(CustomerCombined[[#This Row],[ID]], Table2[ID],Table2[MC2], "Not Found", 0 )</f>
        <v>0</v>
      </c>
      <c r="AA721" s="8">
        <f>_xlfn.XLOOKUP(CustomerCombined[[#This Row],[ID]], Table2[ID],Table2[MC3], "Not Found", 0 )</f>
        <v>0</v>
      </c>
      <c r="AB721" s="8">
        <f>_xlfn.XLOOKUP(CustomerCombined[[#This Row],[ID]], Table2[ID],Table2[MC4], "Not Found", 0 )</f>
        <v>0</v>
      </c>
      <c r="AC721" s="8">
        <f>_xlfn.XLOOKUP(CustomerCombined[[#This Row],[ID]], Table2[ID],Table2[MC5], "Not Found", 0 )</f>
        <v>0</v>
      </c>
    </row>
    <row r="722" spans="1:29" x14ac:dyDescent="0.3">
      <c r="A722" s="6">
        <v>2350</v>
      </c>
      <c r="B722" s="6">
        <v>157338</v>
      </c>
      <c r="C722" s="6">
        <v>0</v>
      </c>
      <c r="D722" s="6">
        <v>1</v>
      </c>
      <c r="E722" s="6">
        <v>45</v>
      </c>
      <c r="F722" s="5" t="s">
        <v>7</v>
      </c>
      <c r="G722" s="5" t="s">
        <v>11</v>
      </c>
      <c r="H722" s="3">
        <v>43900</v>
      </c>
      <c r="I722" s="5" t="s">
        <v>439</v>
      </c>
      <c r="J722" s="5">
        <f>_xlfn.XLOOKUP(CustomerCombined[[#This Row],[ID]], Table4[ID], Table4[Recency], "Not Found", 0)</f>
        <v>96</v>
      </c>
      <c r="K722" s="5">
        <f>_xlfn.XLOOKUP(CustomerCombined[[#This Row],[ID]], Table4[ID], Table4[Teas], "Not Found", 0)</f>
        <v>392</v>
      </c>
      <c r="L722" s="5">
        <f>_xlfn.XLOOKUP(CustomerCombined[[#This Row],[ID]], Table4[ID], Table4[Fruits], "Not Found", 0)</f>
        <v>16</v>
      </c>
      <c r="M722" s="5">
        <f>_xlfn.XLOOKUP(CustomerCombined[[#This Row],[ID]], Table4[ID], Table4[Meats], "Not Found", 0)</f>
        <v>143</v>
      </c>
      <c r="N722" s="5">
        <f>_xlfn.XLOOKUP(CustomerCombined[[#This Row],[ID]], Table4[ID], Table4[Seafood], "Not Found", 0)</f>
        <v>30</v>
      </c>
      <c r="O722" s="5">
        <f>_xlfn.XLOOKUP(CustomerCombined[[#This Row],[ID]], Table4[ID], Table4[Sweets], "Not Found", 0)</f>
        <v>22</v>
      </c>
      <c r="P722" s="5">
        <f>_xlfn.XLOOKUP(CustomerCombined[[#This Row],[ID]], Table4[ID], Table4[Premium], "Not Found", 0)</f>
        <v>47</v>
      </c>
      <c r="Q722" s="5">
        <f>_xlfn.XLOOKUP(CustomerCombined[[#This Row],[ID]], Table4[ID], Table4[Regular], "Not Found", 0)</f>
        <v>557</v>
      </c>
      <c r="R722" s="5">
        <f>_xlfn.XLOOKUP(CustomerCombined[[#This Row],[ID]], Table4[ID], Table4[Deals], "Not Found", 0)</f>
        <v>2</v>
      </c>
      <c r="S722" s="5">
        <f>_xlfn.XLOOKUP(CustomerCombined[[#This Row],[ID]], Table4[ID], Table4[Website], "Not Found", 0)</f>
        <v>4</v>
      </c>
      <c r="T722" s="5">
        <f>_xlfn.XLOOKUP(CustomerCombined[[#This Row],[ID]], Table4[ID], Table4[Catalog], "Not Found", 0)</f>
        <v>1</v>
      </c>
      <c r="U722" s="5">
        <f>_xlfn.XLOOKUP(CustomerCombined[[#This Row],[ID]], Table4[ID], Table4[Store], "Not Found", 0)</f>
        <v>5</v>
      </c>
      <c r="V722" s="5">
        <f>_xlfn.XLOOKUP(CustomerCombined[[#This Row],[ID]], Table4[ID], Table4[Visits], "Not Found", 0)</f>
        <v>5</v>
      </c>
      <c r="W722" s="8">
        <f>_xlfn.XLOOKUP(CustomerCombined[[#This Row],[ID]], Table2[ID],Table2[Complaint], "Not Found", 0 )</f>
        <v>0</v>
      </c>
      <c r="X722" s="8">
        <f>_xlfn.XLOOKUP(CustomerCombined[[#This Row],[ID]], Table2[ID],Table2[Pilot], "Not Found", 0 )</f>
        <v>0</v>
      </c>
      <c r="Y722" s="8">
        <f>_xlfn.XLOOKUP(CustomerCombined[[#This Row],[ID]], Table2[ID],Table2[MC1], "Not Found", 0 )</f>
        <v>0</v>
      </c>
      <c r="Z722" s="8">
        <f>_xlfn.XLOOKUP(CustomerCombined[[#This Row],[ID]], Table2[ID],Table2[MC2], "Not Found", 0 )</f>
        <v>0</v>
      </c>
      <c r="AA722" s="8">
        <f>_xlfn.XLOOKUP(CustomerCombined[[#This Row],[ID]], Table2[ID],Table2[MC3], "Not Found", 0 )</f>
        <v>0</v>
      </c>
      <c r="AB722" s="8">
        <f>_xlfn.XLOOKUP(CustomerCombined[[#This Row],[ID]], Table2[ID],Table2[MC4], "Not Found", 0 )</f>
        <v>0</v>
      </c>
      <c r="AC722" s="8">
        <f>_xlfn.XLOOKUP(CustomerCombined[[#This Row],[ID]], Table2[ID],Table2[MC5], "Not Found", 0 )</f>
        <v>0</v>
      </c>
    </row>
    <row r="723" spans="1:29" x14ac:dyDescent="0.3">
      <c r="A723" s="6">
        <v>2506</v>
      </c>
      <c r="B723" s="6">
        <v>157036</v>
      </c>
      <c r="C723" s="6">
        <v>0</v>
      </c>
      <c r="D723" s="6">
        <v>1</v>
      </c>
      <c r="E723" s="6">
        <v>45</v>
      </c>
      <c r="F723" s="5" t="s">
        <v>6</v>
      </c>
      <c r="G723" s="5" t="s">
        <v>442</v>
      </c>
      <c r="H723" s="3" t="s">
        <v>347</v>
      </c>
      <c r="I723" s="5" t="s">
        <v>439</v>
      </c>
      <c r="J723" s="5">
        <f>_xlfn.XLOOKUP(CustomerCombined[[#This Row],[ID]], Table4[ID], Table4[Recency], "Not Found", 0)</f>
        <v>33</v>
      </c>
      <c r="K723" s="5">
        <f>_xlfn.XLOOKUP(CustomerCombined[[#This Row],[ID]], Table4[ID], Table4[Teas], "Not Found", 0)</f>
        <v>3224</v>
      </c>
      <c r="L723" s="5">
        <f>_xlfn.XLOOKUP(CustomerCombined[[#This Row],[ID]], Table4[ID], Table4[Fruits], "Not Found", 0)</f>
        <v>118</v>
      </c>
      <c r="M723" s="5">
        <f>_xlfn.XLOOKUP(CustomerCombined[[#This Row],[ID]], Table4[ID], Table4[Meats], "Not Found", 0)</f>
        <v>603</v>
      </c>
      <c r="N723" s="5">
        <f>_xlfn.XLOOKUP(CustomerCombined[[#This Row],[ID]], Table4[ID], Table4[Seafood], "Not Found", 0)</f>
        <v>52</v>
      </c>
      <c r="O723" s="5">
        <f>_xlfn.XLOOKUP(CustomerCombined[[#This Row],[ID]], Table4[ID], Table4[Sweets], "Not Found", 0)</f>
        <v>39</v>
      </c>
      <c r="P723" s="5">
        <f>_xlfn.XLOOKUP(CustomerCombined[[#This Row],[ID]], Table4[ID], Table4[Premium], "Not Found", 0)</f>
        <v>129</v>
      </c>
      <c r="Q723" s="5">
        <f>_xlfn.XLOOKUP(CustomerCombined[[#This Row],[ID]], Table4[ID], Table4[Regular], "Not Found", 0)</f>
        <v>3907</v>
      </c>
      <c r="R723" s="5">
        <f>_xlfn.XLOOKUP(CustomerCombined[[#This Row],[ID]], Table4[ID], Table4[Deals], "Not Found", 0)</f>
        <v>4</v>
      </c>
      <c r="S723" s="5">
        <f>_xlfn.XLOOKUP(CustomerCombined[[#This Row],[ID]], Table4[ID], Table4[Website], "Not Found", 0)</f>
        <v>6</v>
      </c>
      <c r="T723" s="5">
        <f>_xlfn.XLOOKUP(CustomerCombined[[#This Row],[ID]], Table4[ID], Table4[Catalog], "Not Found", 0)</f>
        <v>3</v>
      </c>
      <c r="U723" s="5">
        <f>_xlfn.XLOOKUP(CustomerCombined[[#This Row],[ID]], Table4[ID], Table4[Store], "Not Found", 0)</f>
        <v>13</v>
      </c>
      <c r="V723" s="5">
        <f>_xlfn.XLOOKUP(CustomerCombined[[#This Row],[ID]], Table4[ID], Table4[Visits], "Not Found", 0)</f>
        <v>9</v>
      </c>
      <c r="W723" s="8">
        <f>_xlfn.XLOOKUP(CustomerCombined[[#This Row],[ID]], Table2[ID],Table2[Complaint], "Not Found", 0 )</f>
        <v>0</v>
      </c>
      <c r="X723" s="8">
        <f>_xlfn.XLOOKUP(CustomerCombined[[#This Row],[ID]], Table2[ID],Table2[Pilot], "Not Found", 0 )</f>
        <v>0</v>
      </c>
      <c r="Y723" s="8">
        <f>_xlfn.XLOOKUP(CustomerCombined[[#This Row],[ID]], Table2[ID],Table2[MC1], "Not Found", 0 )</f>
        <v>0</v>
      </c>
      <c r="Z723" s="8">
        <f>_xlfn.XLOOKUP(CustomerCombined[[#This Row],[ID]], Table2[ID],Table2[MC2], "Not Found", 0 )</f>
        <v>0</v>
      </c>
      <c r="AA723" s="8">
        <f>_xlfn.XLOOKUP(CustomerCombined[[#This Row],[ID]], Table2[ID],Table2[MC3], "Not Found", 0 )</f>
        <v>1</v>
      </c>
      <c r="AB723" s="8">
        <f>_xlfn.XLOOKUP(CustomerCombined[[#This Row],[ID]], Table2[ID],Table2[MC4], "Not Found", 0 )</f>
        <v>0</v>
      </c>
      <c r="AC723" s="8">
        <f>_xlfn.XLOOKUP(CustomerCombined[[#This Row],[ID]], Table2[ID],Table2[MC5], "Not Found", 0 )</f>
        <v>0</v>
      </c>
    </row>
    <row r="724" spans="1:29" x14ac:dyDescent="0.3">
      <c r="A724" s="6">
        <v>2972</v>
      </c>
      <c r="B724" s="6">
        <v>156559</v>
      </c>
      <c r="C724" s="6">
        <v>0</v>
      </c>
      <c r="D724" s="6">
        <v>1</v>
      </c>
      <c r="E724" s="6">
        <v>45</v>
      </c>
      <c r="F724" s="5" t="s">
        <v>8</v>
      </c>
      <c r="G724" s="5" t="s">
        <v>13</v>
      </c>
      <c r="H724" s="3">
        <v>43471</v>
      </c>
      <c r="I724" s="5" t="s">
        <v>438</v>
      </c>
      <c r="J724" s="5">
        <f>_xlfn.XLOOKUP(CustomerCombined[[#This Row],[ID]], Table4[ID], Table4[Recency], "Not Found", 0)</f>
        <v>46</v>
      </c>
      <c r="K724" s="5">
        <f>_xlfn.XLOOKUP(CustomerCombined[[#This Row],[ID]], Table4[ID], Table4[Teas], "Not Found", 0)</f>
        <v>626</v>
      </c>
      <c r="L724" s="5">
        <f>_xlfn.XLOOKUP(CustomerCombined[[#This Row],[ID]], Table4[ID], Table4[Fruits], "Not Found", 0)</f>
        <v>61</v>
      </c>
      <c r="M724" s="5">
        <f>_xlfn.XLOOKUP(CustomerCombined[[#This Row],[ID]], Table4[ID], Table4[Meats], "Not Found", 0)</f>
        <v>368</v>
      </c>
      <c r="N724" s="5">
        <f>_xlfn.XLOOKUP(CustomerCombined[[#This Row],[ID]], Table4[ID], Table4[Seafood], "Not Found", 0)</f>
        <v>113</v>
      </c>
      <c r="O724" s="5">
        <f>_xlfn.XLOOKUP(CustomerCombined[[#This Row],[ID]], Table4[ID], Table4[Sweets], "Not Found", 0)</f>
        <v>86</v>
      </c>
      <c r="P724" s="5">
        <f>_xlfn.XLOOKUP(CustomerCombined[[#This Row],[ID]], Table4[ID], Table4[Premium], "Not Found", 0)</f>
        <v>86</v>
      </c>
      <c r="Q724" s="5">
        <f>_xlfn.XLOOKUP(CustomerCombined[[#This Row],[ID]], Table4[ID], Table4[Regular], "Not Found", 0)</f>
        <v>1168</v>
      </c>
      <c r="R724" s="5">
        <f>_xlfn.XLOOKUP(CustomerCombined[[#This Row],[ID]], Table4[ID], Table4[Deals], "Not Found", 0)</f>
        <v>3</v>
      </c>
      <c r="S724" s="5">
        <f>_xlfn.XLOOKUP(CustomerCombined[[#This Row],[ID]], Table4[ID], Table4[Website], "Not Found", 0)</f>
        <v>4</v>
      </c>
      <c r="T724" s="5">
        <f>_xlfn.XLOOKUP(CustomerCombined[[#This Row],[ID]], Table4[ID], Table4[Catalog], "Not Found", 0)</f>
        <v>3</v>
      </c>
      <c r="U724" s="5">
        <f>_xlfn.XLOOKUP(CustomerCombined[[#This Row],[ID]], Table4[ID], Table4[Store], "Not Found", 0)</f>
        <v>8</v>
      </c>
      <c r="V724" s="5">
        <f>_xlfn.XLOOKUP(CustomerCombined[[#This Row],[ID]], Table4[ID], Table4[Visits], "Not Found", 0)</f>
        <v>4</v>
      </c>
      <c r="W724" s="8">
        <f>_xlfn.XLOOKUP(CustomerCombined[[#This Row],[ID]], Table2[ID],Table2[Complaint], "Not Found", 0 )</f>
        <v>0</v>
      </c>
      <c r="X724" s="8">
        <f>_xlfn.XLOOKUP(CustomerCombined[[#This Row],[ID]], Table2[ID],Table2[Pilot], "Not Found", 0 )</f>
        <v>0</v>
      </c>
      <c r="Y724" s="8">
        <f>_xlfn.XLOOKUP(CustomerCombined[[#This Row],[ID]], Table2[ID],Table2[MC1], "Not Found", 0 )</f>
        <v>0</v>
      </c>
      <c r="Z724" s="8">
        <f>_xlfn.XLOOKUP(CustomerCombined[[#This Row],[ID]], Table2[ID],Table2[MC2], "Not Found", 0 )</f>
        <v>0</v>
      </c>
      <c r="AA724" s="8">
        <f>_xlfn.XLOOKUP(CustomerCombined[[#This Row],[ID]], Table2[ID],Table2[MC3], "Not Found", 0 )</f>
        <v>0</v>
      </c>
      <c r="AB724" s="8">
        <f>_xlfn.XLOOKUP(CustomerCombined[[#This Row],[ID]], Table2[ID],Table2[MC4], "Not Found", 0 )</f>
        <v>0</v>
      </c>
      <c r="AC724" s="8">
        <f>_xlfn.XLOOKUP(CustomerCombined[[#This Row],[ID]], Table2[ID],Table2[MC5], "Not Found", 0 )</f>
        <v>0</v>
      </c>
    </row>
    <row r="725" spans="1:29" x14ac:dyDescent="0.3">
      <c r="A725" s="6">
        <v>2356</v>
      </c>
      <c r="B725" s="6">
        <v>156243</v>
      </c>
      <c r="C725" s="6">
        <v>1</v>
      </c>
      <c r="D725" s="6">
        <v>2</v>
      </c>
      <c r="E725" s="6">
        <v>45</v>
      </c>
      <c r="F725" s="5" t="s">
        <v>7</v>
      </c>
      <c r="G725" s="5" t="s">
        <v>11</v>
      </c>
      <c r="H725" s="3">
        <v>43957</v>
      </c>
      <c r="I725" s="5" t="s">
        <v>439</v>
      </c>
      <c r="J725" s="5">
        <f>_xlfn.XLOOKUP(CustomerCombined[[#This Row],[ID]], Table4[ID], Table4[Recency], "Not Found", 0)</f>
        <v>26</v>
      </c>
      <c r="K725" s="5">
        <f>_xlfn.XLOOKUP(CustomerCombined[[#This Row],[ID]], Table4[ID], Table4[Teas], "Not Found", 0)</f>
        <v>964</v>
      </c>
      <c r="L725" s="5">
        <f>_xlfn.XLOOKUP(CustomerCombined[[#This Row],[ID]], Table4[ID], Table4[Fruits], "Not Found", 0)</f>
        <v>0</v>
      </c>
      <c r="M725" s="5">
        <f>_xlfn.XLOOKUP(CustomerCombined[[#This Row],[ID]], Table4[ID], Table4[Meats], "Not Found", 0)</f>
        <v>97</v>
      </c>
      <c r="N725" s="5">
        <f>_xlfn.XLOOKUP(CustomerCombined[[#This Row],[ID]], Table4[ID], Table4[Seafood], "Not Found", 0)</f>
        <v>11</v>
      </c>
      <c r="O725" s="5">
        <f>_xlfn.XLOOKUP(CustomerCombined[[#This Row],[ID]], Table4[ID], Table4[Sweets], "Not Found", 0)</f>
        <v>8</v>
      </c>
      <c r="P725" s="5">
        <f>_xlfn.XLOOKUP(CustomerCombined[[#This Row],[ID]], Table4[ID], Table4[Premium], "Not Found", 0)</f>
        <v>19</v>
      </c>
      <c r="Q725" s="5">
        <f>_xlfn.XLOOKUP(CustomerCombined[[#This Row],[ID]], Table4[ID], Table4[Regular], "Not Found", 0)</f>
        <v>1061</v>
      </c>
      <c r="R725" s="5">
        <f>_xlfn.XLOOKUP(CustomerCombined[[#This Row],[ID]], Table4[ID], Table4[Deals], "Not Found", 0)</f>
        <v>6</v>
      </c>
      <c r="S725" s="5">
        <f>_xlfn.XLOOKUP(CustomerCombined[[#This Row],[ID]], Table4[ID], Table4[Website], "Not Found", 0)</f>
        <v>4</v>
      </c>
      <c r="T725" s="5">
        <f>_xlfn.XLOOKUP(CustomerCombined[[#This Row],[ID]], Table4[ID], Table4[Catalog], "Not Found", 0)</f>
        <v>2</v>
      </c>
      <c r="U725" s="5">
        <f>_xlfn.XLOOKUP(CustomerCombined[[#This Row],[ID]], Table4[ID], Table4[Store], "Not Found", 0)</f>
        <v>8</v>
      </c>
      <c r="V725" s="5">
        <f>_xlfn.XLOOKUP(CustomerCombined[[#This Row],[ID]], Table4[ID], Table4[Visits], "Not Found", 0)</f>
        <v>5</v>
      </c>
      <c r="W725" s="8">
        <f>_xlfn.XLOOKUP(CustomerCombined[[#This Row],[ID]], Table2[ID],Table2[Complaint], "Not Found", 0 )</f>
        <v>0</v>
      </c>
      <c r="X725" s="8">
        <f>_xlfn.XLOOKUP(CustomerCombined[[#This Row],[ID]], Table2[ID],Table2[Pilot], "Not Found", 0 )</f>
        <v>0</v>
      </c>
      <c r="Y725" s="8">
        <f>_xlfn.XLOOKUP(CustomerCombined[[#This Row],[ID]], Table2[ID],Table2[MC1], "Not Found", 0 )</f>
        <v>0</v>
      </c>
      <c r="Z725" s="8">
        <f>_xlfn.XLOOKUP(CustomerCombined[[#This Row],[ID]], Table2[ID],Table2[MC2], "Not Found", 0 )</f>
        <v>0</v>
      </c>
      <c r="AA725" s="8">
        <f>_xlfn.XLOOKUP(CustomerCombined[[#This Row],[ID]], Table2[ID],Table2[MC3], "Not Found", 0 )</f>
        <v>0</v>
      </c>
      <c r="AB725" s="8">
        <f>_xlfn.XLOOKUP(CustomerCombined[[#This Row],[ID]], Table2[ID],Table2[MC4], "Not Found", 0 )</f>
        <v>0</v>
      </c>
      <c r="AC725" s="8">
        <f>_xlfn.XLOOKUP(CustomerCombined[[#This Row],[ID]], Table2[ID],Table2[MC5], "Not Found", 0 )</f>
        <v>0</v>
      </c>
    </row>
    <row r="726" spans="1:29" x14ac:dyDescent="0.3">
      <c r="A726" s="6">
        <v>3008</v>
      </c>
      <c r="B726" s="6">
        <v>155914</v>
      </c>
      <c r="C726" s="6">
        <v>0</v>
      </c>
      <c r="D726" s="6">
        <v>1</v>
      </c>
      <c r="E726" s="6">
        <v>45</v>
      </c>
      <c r="F726" s="5" t="s">
        <v>8</v>
      </c>
      <c r="G726" s="5" t="s">
        <v>11</v>
      </c>
      <c r="H726" s="3">
        <v>43565</v>
      </c>
      <c r="I726" s="5" t="s">
        <v>438</v>
      </c>
      <c r="J726" s="5">
        <f>_xlfn.XLOOKUP(CustomerCombined[[#This Row],[ID]], Table4[ID], Table4[Recency], "Not Found", 0)</f>
        <v>32</v>
      </c>
      <c r="K726" s="5">
        <f>_xlfn.XLOOKUP(CustomerCombined[[#This Row],[ID]], Table4[ID], Table4[Teas], "Not Found", 0)</f>
        <v>1071</v>
      </c>
      <c r="L726" s="5">
        <f>_xlfn.XLOOKUP(CustomerCombined[[#This Row],[ID]], Table4[ID], Table4[Fruits], "Not Found", 0)</f>
        <v>167</v>
      </c>
      <c r="M726" s="5">
        <f>_xlfn.XLOOKUP(CustomerCombined[[#This Row],[ID]], Table4[ID], Table4[Meats], "Not Found", 0)</f>
        <v>1015</v>
      </c>
      <c r="N726" s="5">
        <f>_xlfn.XLOOKUP(CustomerCombined[[#This Row],[ID]], Table4[ID], Table4[Seafood], "Not Found", 0)</f>
        <v>332</v>
      </c>
      <c r="O726" s="5">
        <f>_xlfn.XLOOKUP(CustomerCombined[[#This Row],[ID]], Table4[ID], Table4[Sweets], "Not Found", 0)</f>
        <v>282</v>
      </c>
      <c r="P726" s="5">
        <f>_xlfn.XLOOKUP(CustomerCombined[[#This Row],[ID]], Table4[ID], Table4[Premium], "Not Found", 0)</f>
        <v>647</v>
      </c>
      <c r="Q726" s="5">
        <f>_xlfn.XLOOKUP(CustomerCombined[[#This Row],[ID]], Table4[ID], Table4[Regular], "Not Found", 0)</f>
        <v>2220</v>
      </c>
      <c r="R726" s="5">
        <f>_xlfn.XLOOKUP(CustomerCombined[[#This Row],[ID]], Table4[ID], Table4[Deals], "Not Found", 0)</f>
        <v>4</v>
      </c>
      <c r="S726" s="5">
        <f>_xlfn.XLOOKUP(CustomerCombined[[#This Row],[ID]], Table4[ID], Table4[Website], "Not Found", 0)</f>
        <v>11</v>
      </c>
      <c r="T726" s="5">
        <f>_xlfn.XLOOKUP(CustomerCombined[[#This Row],[ID]], Table4[ID], Table4[Catalog], "Not Found", 0)</f>
        <v>6</v>
      </c>
      <c r="U726" s="5">
        <f>_xlfn.XLOOKUP(CustomerCombined[[#This Row],[ID]], Table4[ID], Table4[Store], "Not Found", 0)</f>
        <v>8</v>
      </c>
      <c r="V726" s="5">
        <f>_xlfn.XLOOKUP(CustomerCombined[[#This Row],[ID]], Table4[ID], Table4[Visits], "Not Found", 0)</f>
        <v>7</v>
      </c>
      <c r="W726" s="8">
        <f>_xlfn.XLOOKUP(CustomerCombined[[#This Row],[ID]], Table2[ID],Table2[Complaint], "Not Found", 0 )</f>
        <v>0</v>
      </c>
      <c r="X726" s="8">
        <f>_xlfn.XLOOKUP(CustomerCombined[[#This Row],[ID]], Table2[ID],Table2[Pilot], "Not Found", 0 )</f>
        <v>0</v>
      </c>
      <c r="Y726" s="8">
        <f>_xlfn.XLOOKUP(CustomerCombined[[#This Row],[ID]], Table2[ID],Table2[MC1], "Not Found", 0 )</f>
        <v>0</v>
      </c>
      <c r="Z726" s="8">
        <f>_xlfn.XLOOKUP(CustomerCombined[[#This Row],[ID]], Table2[ID],Table2[MC2], "Not Found", 0 )</f>
        <v>0</v>
      </c>
      <c r="AA726" s="8">
        <f>_xlfn.XLOOKUP(CustomerCombined[[#This Row],[ID]], Table2[ID],Table2[MC3], "Not Found", 0 )</f>
        <v>0</v>
      </c>
      <c r="AB726" s="8">
        <f>_xlfn.XLOOKUP(CustomerCombined[[#This Row],[ID]], Table2[ID],Table2[MC4], "Not Found", 0 )</f>
        <v>0</v>
      </c>
      <c r="AC726" s="8">
        <f>_xlfn.XLOOKUP(CustomerCombined[[#This Row],[ID]], Table2[ID],Table2[MC5], "Not Found", 0 )</f>
        <v>0</v>
      </c>
    </row>
    <row r="727" spans="1:29" x14ac:dyDescent="0.3">
      <c r="A727" s="6">
        <v>3026</v>
      </c>
      <c r="B727" s="6">
        <v>155801</v>
      </c>
      <c r="C727" s="6">
        <v>1</v>
      </c>
      <c r="D727" s="6">
        <v>1</v>
      </c>
      <c r="E727" s="6">
        <v>45</v>
      </c>
      <c r="F727" s="5" t="s">
        <v>7</v>
      </c>
      <c r="G727" s="5" t="s">
        <v>11</v>
      </c>
      <c r="H727" s="3" t="s">
        <v>177</v>
      </c>
      <c r="I727" s="5" t="s">
        <v>438</v>
      </c>
      <c r="J727" s="5">
        <f>_xlfn.XLOOKUP(CustomerCombined[[#This Row],[ID]], Table4[ID], Table4[Recency], "Not Found", 0)</f>
        <v>35</v>
      </c>
      <c r="K727" s="5">
        <f>_xlfn.XLOOKUP(CustomerCombined[[#This Row],[ID]], Table4[ID], Table4[Teas], "Not Found", 0)</f>
        <v>1025</v>
      </c>
      <c r="L727" s="5">
        <f>_xlfn.XLOOKUP(CustomerCombined[[#This Row],[ID]], Table4[ID], Table4[Fruits], "Not Found", 0)</f>
        <v>11</v>
      </c>
      <c r="M727" s="5">
        <f>_xlfn.XLOOKUP(CustomerCombined[[#This Row],[ID]], Table4[ID], Table4[Meats], "Not Found", 0)</f>
        <v>142</v>
      </c>
      <c r="N727" s="5">
        <f>_xlfn.XLOOKUP(CustomerCombined[[#This Row],[ID]], Table4[ID], Table4[Seafood], "Not Found", 0)</f>
        <v>17</v>
      </c>
      <c r="O727" s="5">
        <f>_xlfn.XLOOKUP(CustomerCombined[[#This Row],[ID]], Table4[ID], Table4[Sweets], "Not Found", 0)</f>
        <v>11</v>
      </c>
      <c r="P727" s="5">
        <f>_xlfn.XLOOKUP(CustomerCombined[[#This Row],[ID]], Table4[ID], Table4[Premium], "Not Found", 0)</f>
        <v>265</v>
      </c>
      <c r="Q727" s="5">
        <f>_xlfn.XLOOKUP(CustomerCombined[[#This Row],[ID]], Table4[ID], Table4[Regular], "Not Found", 0)</f>
        <v>941</v>
      </c>
      <c r="R727" s="5">
        <f>_xlfn.XLOOKUP(CustomerCombined[[#This Row],[ID]], Table4[ID], Table4[Deals], "Not Found", 0)</f>
        <v>6</v>
      </c>
      <c r="S727" s="5">
        <f>_xlfn.XLOOKUP(CustomerCombined[[#This Row],[ID]], Table4[ID], Table4[Website], "Not Found", 0)</f>
        <v>7</v>
      </c>
      <c r="T727" s="5">
        <f>_xlfn.XLOOKUP(CustomerCombined[[#This Row],[ID]], Table4[ID], Table4[Catalog], "Not Found", 0)</f>
        <v>2</v>
      </c>
      <c r="U727" s="5">
        <f>_xlfn.XLOOKUP(CustomerCombined[[#This Row],[ID]], Table4[ID], Table4[Store], "Not Found", 0)</f>
        <v>6</v>
      </c>
      <c r="V727" s="5">
        <f>_xlfn.XLOOKUP(CustomerCombined[[#This Row],[ID]], Table4[ID], Table4[Visits], "Not Found", 0)</f>
        <v>7</v>
      </c>
      <c r="W727" s="8">
        <f>_xlfn.XLOOKUP(CustomerCombined[[#This Row],[ID]], Table2[ID],Table2[Complaint], "Not Found", 0 )</f>
        <v>0</v>
      </c>
      <c r="X727" s="8">
        <f>_xlfn.XLOOKUP(CustomerCombined[[#This Row],[ID]], Table2[ID],Table2[Pilot], "Not Found", 0 )</f>
        <v>0</v>
      </c>
      <c r="Y727" s="8">
        <f>_xlfn.XLOOKUP(CustomerCombined[[#This Row],[ID]], Table2[ID],Table2[MC1], "Not Found", 0 )</f>
        <v>1</v>
      </c>
      <c r="Z727" s="8">
        <f>_xlfn.XLOOKUP(CustomerCombined[[#This Row],[ID]], Table2[ID],Table2[MC2], "Not Found", 0 )</f>
        <v>0</v>
      </c>
      <c r="AA727" s="8">
        <f>_xlfn.XLOOKUP(CustomerCombined[[#This Row],[ID]], Table2[ID],Table2[MC3], "Not Found", 0 )</f>
        <v>0</v>
      </c>
      <c r="AB727" s="8">
        <f>_xlfn.XLOOKUP(CustomerCombined[[#This Row],[ID]], Table2[ID],Table2[MC4], "Not Found", 0 )</f>
        <v>0</v>
      </c>
      <c r="AC727" s="8">
        <f>_xlfn.XLOOKUP(CustomerCombined[[#This Row],[ID]], Table2[ID],Table2[MC5], "Not Found", 0 )</f>
        <v>0</v>
      </c>
    </row>
    <row r="728" spans="1:29" x14ac:dyDescent="0.3">
      <c r="A728" s="6">
        <v>2209</v>
      </c>
      <c r="B728" s="6">
        <v>154730</v>
      </c>
      <c r="C728" s="6">
        <v>0</v>
      </c>
      <c r="D728" s="6">
        <v>1</v>
      </c>
      <c r="E728" s="6">
        <v>45</v>
      </c>
      <c r="F728" s="5" t="s">
        <v>6</v>
      </c>
      <c r="G728" s="5" t="s">
        <v>12</v>
      </c>
      <c r="H728" s="3" t="s">
        <v>202</v>
      </c>
      <c r="I728" s="5" t="s">
        <v>437</v>
      </c>
      <c r="J728" s="5">
        <f>_xlfn.XLOOKUP(CustomerCombined[[#This Row],[ID]], Table4[ID], Table4[Recency], "Not Found", 0)</f>
        <v>64</v>
      </c>
      <c r="K728" s="5">
        <f>_xlfn.XLOOKUP(CustomerCombined[[#This Row],[ID]], Table4[ID], Table4[Teas], "Not Found", 0)</f>
        <v>899</v>
      </c>
      <c r="L728" s="5">
        <f>_xlfn.XLOOKUP(CustomerCombined[[#This Row],[ID]], Table4[ID], Table4[Fruits], "Not Found", 0)</f>
        <v>8</v>
      </c>
      <c r="M728" s="5">
        <f>_xlfn.XLOOKUP(CustomerCombined[[#This Row],[ID]], Table4[ID], Table4[Meats], "Not Found", 0)</f>
        <v>48</v>
      </c>
      <c r="N728" s="5">
        <f>_xlfn.XLOOKUP(CustomerCombined[[#This Row],[ID]], Table4[ID], Table4[Seafood], "Not Found", 0)</f>
        <v>11</v>
      </c>
      <c r="O728" s="5">
        <f>_xlfn.XLOOKUP(CustomerCombined[[#This Row],[ID]], Table4[ID], Table4[Sweets], "Not Found", 0)</f>
        <v>20</v>
      </c>
      <c r="P728" s="5">
        <f>_xlfn.XLOOKUP(CustomerCombined[[#This Row],[ID]], Table4[ID], Table4[Premium], "Not Found", 0)</f>
        <v>158</v>
      </c>
      <c r="Q728" s="5">
        <f>_xlfn.XLOOKUP(CustomerCombined[[#This Row],[ID]], Table4[ID], Table4[Regular], "Not Found", 0)</f>
        <v>828</v>
      </c>
      <c r="R728" s="5">
        <f>_xlfn.XLOOKUP(CustomerCombined[[#This Row],[ID]], Table4[ID], Table4[Deals], "Not Found", 0)</f>
        <v>5</v>
      </c>
      <c r="S728" s="5">
        <f>_xlfn.XLOOKUP(CustomerCombined[[#This Row],[ID]], Table4[ID], Table4[Website], "Not Found", 0)</f>
        <v>4</v>
      </c>
      <c r="T728" s="5">
        <f>_xlfn.XLOOKUP(CustomerCombined[[#This Row],[ID]], Table4[ID], Table4[Catalog], "Not Found", 0)</f>
        <v>1</v>
      </c>
      <c r="U728" s="5">
        <f>_xlfn.XLOOKUP(CustomerCombined[[#This Row],[ID]], Table4[ID], Table4[Store], "Not Found", 0)</f>
        <v>8</v>
      </c>
      <c r="V728" s="5">
        <f>_xlfn.XLOOKUP(CustomerCombined[[#This Row],[ID]], Table4[ID], Table4[Visits], "Not Found", 0)</f>
        <v>4</v>
      </c>
      <c r="W728" s="8">
        <f>_xlfn.XLOOKUP(CustomerCombined[[#This Row],[ID]], Table2[ID],Table2[Complaint], "Not Found", 0 )</f>
        <v>0</v>
      </c>
      <c r="X728" s="8">
        <f>_xlfn.XLOOKUP(CustomerCombined[[#This Row],[ID]], Table2[ID],Table2[Pilot], "Not Found", 0 )</f>
        <v>0</v>
      </c>
      <c r="Y728" s="8">
        <f>_xlfn.XLOOKUP(CustomerCombined[[#This Row],[ID]], Table2[ID],Table2[MC1], "Not Found", 0 )</f>
        <v>0</v>
      </c>
      <c r="Z728" s="8">
        <f>_xlfn.XLOOKUP(CustomerCombined[[#This Row],[ID]], Table2[ID],Table2[MC2], "Not Found", 0 )</f>
        <v>0</v>
      </c>
      <c r="AA728" s="8">
        <f>_xlfn.XLOOKUP(CustomerCombined[[#This Row],[ID]], Table2[ID],Table2[MC3], "Not Found", 0 )</f>
        <v>0</v>
      </c>
      <c r="AB728" s="8">
        <f>_xlfn.XLOOKUP(CustomerCombined[[#This Row],[ID]], Table2[ID],Table2[MC4], "Not Found", 0 )</f>
        <v>0</v>
      </c>
      <c r="AC728" s="8">
        <f>_xlfn.XLOOKUP(CustomerCombined[[#This Row],[ID]], Table2[ID],Table2[MC5], "Not Found", 0 )</f>
        <v>0</v>
      </c>
    </row>
    <row r="729" spans="1:29" x14ac:dyDescent="0.3">
      <c r="A729" s="6">
        <v>2476</v>
      </c>
      <c r="B729" s="6">
        <v>153253</v>
      </c>
      <c r="C729" s="6">
        <v>1</v>
      </c>
      <c r="D729" s="6">
        <v>1</v>
      </c>
      <c r="E729" s="6">
        <v>45</v>
      </c>
      <c r="F729" s="5" t="s">
        <v>8</v>
      </c>
      <c r="G729" s="5" t="s">
        <v>12</v>
      </c>
      <c r="H729" s="3" t="s">
        <v>312</v>
      </c>
      <c r="I729" s="5" t="s">
        <v>439</v>
      </c>
      <c r="J729" s="5">
        <f>_xlfn.XLOOKUP(CustomerCombined[[#This Row],[ID]], Table4[ID], Table4[Recency], "Not Found", 0)</f>
        <v>61</v>
      </c>
      <c r="K729" s="5">
        <f>_xlfn.XLOOKUP(CustomerCombined[[#This Row],[ID]], Table4[ID], Table4[Teas], "Not Found", 0)</f>
        <v>622</v>
      </c>
      <c r="L729" s="5">
        <f>_xlfn.XLOOKUP(CustomerCombined[[#This Row],[ID]], Table4[ID], Table4[Fruits], "Not Found", 0)</f>
        <v>26</v>
      </c>
      <c r="M729" s="5">
        <f>_xlfn.XLOOKUP(CustomerCombined[[#This Row],[ID]], Table4[ID], Table4[Meats], "Not Found", 0)</f>
        <v>164</v>
      </c>
      <c r="N729" s="5">
        <f>_xlfn.XLOOKUP(CustomerCombined[[#This Row],[ID]], Table4[ID], Table4[Seafood], "Not Found", 0)</f>
        <v>58</v>
      </c>
      <c r="O729" s="5">
        <f>_xlfn.XLOOKUP(CustomerCombined[[#This Row],[ID]], Table4[ID], Table4[Sweets], "Not Found", 0)</f>
        <v>26</v>
      </c>
      <c r="P729" s="5">
        <f>_xlfn.XLOOKUP(CustomerCombined[[#This Row],[ID]], Table4[ID], Table4[Premium], "Not Found", 0)</f>
        <v>360</v>
      </c>
      <c r="Q729" s="5">
        <f>_xlfn.XLOOKUP(CustomerCombined[[#This Row],[ID]], Table4[ID], Table4[Regular], "Not Found", 0)</f>
        <v>535</v>
      </c>
      <c r="R729" s="5">
        <f>_xlfn.XLOOKUP(CustomerCombined[[#This Row],[ID]], Table4[ID], Table4[Deals], "Not Found", 0)</f>
        <v>7</v>
      </c>
      <c r="S729" s="5">
        <f>_xlfn.XLOOKUP(CustomerCombined[[#This Row],[ID]], Table4[ID], Table4[Website], "Not Found", 0)</f>
        <v>4</v>
      </c>
      <c r="T729" s="5">
        <f>_xlfn.XLOOKUP(CustomerCombined[[#This Row],[ID]], Table4[ID], Table4[Catalog], "Not Found", 0)</f>
        <v>3</v>
      </c>
      <c r="U729" s="5">
        <f>_xlfn.XLOOKUP(CustomerCombined[[#This Row],[ID]], Table4[ID], Table4[Store], "Not Found", 0)</f>
        <v>5</v>
      </c>
      <c r="V729" s="5">
        <f>_xlfn.XLOOKUP(CustomerCombined[[#This Row],[ID]], Table4[ID], Table4[Visits], "Not Found", 0)</f>
        <v>5</v>
      </c>
      <c r="W729" s="8">
        <f>_xlfn.XLOOKUP(CustomerCombined[[#This Row],[ID]], Table2[ID],Table2[Complaint], "Not Found", 0 )</f>
        <v>0</v>
      </c>
      <c r="X729" s="8">
        <f>_xlfn.XLOOKUP(CustomerCombined[[#This Row],[ID]], Table2[ID],Table2[Pilot], "Not Found", 0 )</f>
        <v>0</v>
      </c>
      <c r="Y729" s="8">
        <f>_xlfn.XLOOKUP(CustomerCombined[[#This Row],[ID]], Table2[ID],Table2[MC1], "Not Found", 0 )</f>
        <v>0</v>
      </c>
      <c r="Z729" s="8">
        <f>_xlfn.XLOOKUP(CustomerCombined[[#This Row],[ID]], Table2[ID],Table2[MC2], "Not Found", 0 )</f>
        <v>0</v>
      </c>
      <c r="AA729" s="8">
        <f>_xlfn.XLOOKUP(CustomerCombined[[#This Row],[ID]], Table2[ID],Table2[MC3], "Not Found", 0 )</f>
        <v>0</v>
      </c>
      <c r="AB729" s="8">
        <f>_xlfn.XLOOKUP(CustomerCombined[[#This Row],[ID]], Table2[ID],Table2[MC4], "Not Found", 0 )</f>
        <v>0</v>
      </c>
      <c r="AC729" s="8">
        <f>_xlfn.XLOOKUP(CustomerCombined[[#This Row],[ID]], Table2[ID],Table2[MC5], "Not Found", 0 )</f>
        <v>0</v>
      </c>
    </row>
    <row r="730" spans="1:29" x14ac:dyDescent="0.3">
      <c r="A730" s="6">
        <v>2959</v>
      </c>
      <c r="B730" s="6">
        <v>153201</v>
      </c>
      <c r="C730" s="6">
        <v>1</v>
      </c>
      <c r="D730" s="6">
        <v>1</v>
      </c>
      <c r="E730" s="6">
        <v>45</v>
      </c>
      <c r="F730" s="5" t="s">
        <v>7</v>
      </c>
      <c r="G730" s="5" t="s">
        <v>11</v>
      </c>
      <c r="H730" s="3" t="s">
        <v>311</v>
      </c>
      <c r="I730" s="5" t="s">
        <v>437</v>
      </c>
      <c r="J730" s="5">
        <f>_xlfn.XLOOKUP(CustomerCombined[[#This Row],[ID]], Table4[ID], Table4[Recency], "Not Found", 0)</f>
        <v>49</v>
      </c>
      <c r="K730" s="5">
        <f>_xlfn.XLOOKUP(CustomerCombined[[#This Row],[ID]], Table4[ID], Table4[Teas], "Not Found", 0)</f>
        <v>806</v>
      </c>
      <c r="L730" s="5">
        <f>_xlfn.XLOOKUP(CustomerCombined[[#This Row],[ID]], Table4[ID], Table4[Fruits], "Not Found", 0)</f>
        <v>20</v>
      </c>
      <c r="M730" s="5">
        <f>_xlfn.XLOOKUP(CustomerCombined[[#This Row],[ID]], Table4[ID], Table4[Meats], "Not Found", 0)</f>
        <v>233</v>
      </c>
      <c r="N730" s="5">
        <f>_xlfn.XLOOKUP(CustomerCombined[[#This Row],[ID]], Table4[ID], Table4[Seafood], "Not Found", 0)</f>
        <v>58</v>
      </c>
      <c r="O730" s="5">
        <f>_xlfn.XLOOKUP(CustomerCombined[[#This Row],[ID]], Table4[ID], Table4[Sweets], "Not Found", 0)</f>
        <v>0</v>
      </c>
      <c r="P730" s="5">
        <f>_xlfn.XLOOKUP(CustomerCombined[[#This Row],[ID]], Table4[ID], Table4[Premium], "Not Found", 0)</f>
        <v>78</v>
      </c>
      <c r="Q730" s="5">
        <f>_xlfn.XLOOKUP(CustomerCombined[[#This Row],[ID]], Table4[ID], Table4[Regular], "Not Found", 0)</f>
        <v>1040</v>
      </c>
      <c r="R730" s="5">
        <f>_xlfn.XLOOKUP(CustomerCombined[[#This Row],[ID]], Table4[ID], Table4[Deals], "Not Found", 0)</f>
        <v>8</v>
      </c>
      <c r="S730" s="5">
        <f>_xlfn.XLOOKUP(CustomerCombined[[#This Row],[ID]], Table4[ID], Table4[Website], "Not Found", 0)</f>
        <v>6</v>
      </c>
      <c r="T730" s="5">
        <f>_xlfn.XLOOKUP(CustomerCombined[[#This Row],[ID]], Table4[ID], Table4[Catalog], "Not Found", 0)</f>
        <v>3</v>
      </c>
      <c r="U730" s="5">
        <f>_xlfn.XLOOKUP(CustomerCombined[[#This Row],[ID]], Table4[ID], Table4[Store], "Not Found", 0)</f>
        <v>5</v>
      </c>
      <c r="V730" s="5">
        <f>_xlfn.XLOOKUP(CustomerCombined[[#This Row],[ID]], Table4[ID], Table4[Visits], "Not Found", 0)</f>
        <v>7</v>
      </c>
      <c r="W730" s="8">
        <f>_xlfn.XLOOKUP(CustomerCombined[[#This Row],[ID]], Table2[ID],Table2[Complaint], "Not Found", 0 )</f>
        <v>0</v>
      </c>
      <c r="X730" s="8">
        <f>_xlfn.XLOOKUP(CustomerCombined[[#This Row],[ID]], Table2[ID],Table2[Pilot], "Not Found", 0 )</f>
        <v>0</v>
      </c>
      <c r="Y730" s="8">
        <f>_xlfn.XLOOKUP(CustomerCombined[[#This Row],[ID]], Table2[ID],Table2[MC1], "Not Found", 0 )</f>
        <v>0</v>
      </c>
      <c r="Z730" s="8">
        <f>_xlfn.XLOOKUP(CustomerCombined[[#This Row],[ID]], Table2[ID],Table2[MC2], "Not Found", 0 )</f>
        <v>0</v>
      </c>
      <c r="AA730" s="8">
        <f>_xlfn.XLOOKUP(CustomerCombined[[#This Row],[ID]], Table2[ID],Table2[MC3], "Not Found", 0 )</f>
        <v>0</v>
      </c>
      <c r="AB730" s="8">
        <f>_xlfn.XLOOKUP(CustomerCombined[[#This Row],[ID]], Table2[ID],Table2[MC4], "Not Found", 0 )</f>
        <v>0</v>
      </c>
      <c r="AC730" s="8">
        <f>_xlfn.XLOOKUP(CustomerCombined[[#This Row],[ID]], Table2[ID],Table2[MC5], "Not Found", 0 )</f>
        <v>0</v>
      </c>
    </row>
    <row r="731" spans="1:29" x14ac:dyDescent="0.3">
      <c r="A731" s="6">
        <v>1353</v>
      </c>
      <c r="B731" s="6">
        <v>152614</v>
      </c>
      <c r="C731" s="6">
        <v>0</v>
      </c>
      <c r="D731" s="6">
        <v>1</v>
      </c>
      <c r="E731" s="6">
        <v>45</v>
      </c>
      <c r="F731" s="5" t="s">
        <v>7</v>
      </c>
      <c r="G731" s="5" t="s">
        <v>13</v>
      </c>
      <c r="H731" s="3">
        <v>43682</v>
      </c>
      <c r="I731" s="5" t="s">
        <v>435</v>
      </c>
      <c r="J731" s="5">
        <f>_xlfn.XLOOKUP(CustomerCombined[[#This Row],[ID]], Table4[ID], Table4[Recency], "Not Found", 0)</f>
        <v>63</v>
      </c>
      <c r="K731" s="5">
        <f>_xlfn.XLOOKUP(CustomerCombined[[#This Row],[ID]], Table4[ID], Table4[Teas], "Not Found", 0)</f>
        <v>2289</v>
      </c>
      <c r="L731" s="5">
        <f>_xlfn.XLOOKUP(CustomerCombined[[#This Row],[ID]], Table4[ID], Table4[Fruits], "Not Found", 0)</f>
        <v>0</v>
      </c>
      <c r="M731" s="5">
        <f>_xlfn.XLOOKUP(CustomerCombined[[#This Row],[ID]], Table4[ID], Table4[Meats], "Not Found", 0)</f>
        <v>412</v>
      </c>
      <c r="N731" s="5">
        <f>_xlfn.XLOOKUP(CustomerCombined[[#This Row],[ID]], Table4[ID], Table4[Seafood], "Not Found", 0)</f>
        <v>35</v>
      </c>
      <c r="O731" s="5">
        <f>_xlfn.XLOOKUP(CustomerCombined[[#This Row],[ID]], Table4[ID], Table4[Sweets], "Not Found", 0)</f>
        <v>26</v>
      </c>
      <c r="P731" s="5">
        <f>_xlfn.XLOOKUP(CustomerCombined[[#This Row],[ID]], Table4[ID], Table4[Premium], "Not Found", 0)</f>
        <v>110</v>
      </c>
      <c r="Q731" s="5">
        <f>_xlfn.XLOOKUP(CustomerCombined[[#This Row],[ID]], Table4[ID], Table4[Regular], "Not Found", 0)</f>
        <v>2651</v>
      </c>
      <c r="R731" s="5">
        <f>_xlfn.XLOOKUP(CustomerCombined[[#This Row],[ID]], Table4[ID], Table4[Deals], "Not Found", 0)</f>
        <v>2</v>
      </c>
      <c r="S731" s="5">
        <f>_xlfn.XLOOKUP(CustomerCombined[[#This Row],[ID]], Table4[ID], Table4[Website], "Not Found", 0)</f>
        <v>2</v>
      </c>
      <c r="T731" s="5">
        <f>_xlfn.XLOOKUP(CustomerCombined[[#This Row],[ID]], Table4[ID], Table4[Catalog], "Not Found", 0)</f>
        <v>4</v>
      </c>
      <c r="U731" s="5">
        <f>_xlfn.XLOOKUP(CustomerCombined[[#This Row],[ID]], Table4[ID], Table4[Store], "Not Found", 0)</f>
        <v>8</v>
      </c>
      <c r="V731" s="5">
        <f>_xlfn.XLOOKUP(CustomerCombined[[#This Row],[ID]], Table4[ID], Table4[Visits], "Not Found", 0)</f>
        <v>8</v>
      </c>
      <c r="W731" s="8">
        <f>_xlfn.XLOOKUP(CustomerCombined[[#This Row],[ID]], Table2[ID],Table2[Complaint], "Not Found", 0 )</f>
        <v>0</v>
      </c>
      <c r="X731" s="8">
        <f>_xlfn.XLOOKUP(CustomerCombined[[#This Row],[ID]], Table2[ID],Table2[Pilot], "Not Found", 0 )</f>
        <v>0</v>
      </c>
      <c r="Y731" s="8">
        <f>_xlfn.XLOOKUP(CustomerCombined[[#This Row],[ID]], Table2[ID],Table2[MC1], "Not Found", 0 )</f>
        <v>0</v>
      </c>
      <c r="Z731" s="8">
        <f>_xlfn.XLOOKUP(CustomerCombined[[#This Row],[ID]], Table2[ID],Table2[MC2], "Not Found", 0 )</f>
        <v>0</v>
      </c>
      <c r="AA731" s="8">
        <f>_xlfn.XLOOKUP(CustomerCombined[[#This Row],[ID]], Table2[ID],Table2[MC3], "Not Found", 0 )</f>
        <v>0</v>
      </c>
      <c r="AB731" s="8">
        <f>_xlfn.XLOOKUP(CustomerCombined[[#This Row],[ID]], Table2[ID],Table2[MC4], "Not Found", 0 )</f>
        <v>0</v>
      </c>
      <c r="AC731" s="8">
        <f>_xlfn.XLOOKUP(CustomerCombined[[#This Row],[ID]], Table2[ID],Table2[MC5], "Not Found", 0 )</f>
        <v>0</v>
      </c>
    </row>
    <row r="732" spans="1:29" x14ac:dyDescent="0.3">
      <c r="A732" s="6">
        <v>1656</v>
      </c>
      <c r="B732" s="6">
        <v>152614</v>
      </c>
      <c r="C732" s="6">
        <v>0</v>
      </c>
      <c r="D732" s="6">
        <v>1</v>
      </c>
      <c r="E732" s="6">
        <v>45</v>
      </c>
      <c r="F732" s="5" t="s">
        <v>7</v>
      </c>
      <c r="G732" s="5" t="s">
        <v>13</v>
      </c>
      <c r="H732" s="3">
        <v>43682</v>
      </c>
      <c r="I732" s="5" t="s">
        <v>436</v>
      </c>
      <c r="J732" s="5">
        <f>_xlfn.XLOOKUP(CustomerCombined[[#This Row],[ID]], Table4[ID], Table4[Recency], "Not Found", 0)</f>
        <v>63</v>
      </c>
      <c r="K732" s="5">
        <f>_xlfn.XLOOKUP(CustomerCombined[[#This Row],[ID]], Table4[ID], Table4[Teas], "Not Found", 0)</f>
        <v>2289</v>
      </c>
      <c r="L732" s="5">
        <f>_xlfn.XLOOKUP(CustomerCombined[[#This Row],[ID]], Table4[ID], Table4[Fruits], "Not Found", 0)</f>
        <v>0</v>
      </c>
      <c r="M732" s="5">
        <f>_xlfn.XLOOKUP(CustomerCombined[[#This Row],[ID]], Table4[ID], Table4[Meats], "Not Found", 0)</f>
        <v>412</v>
      </c>
      <c r="N732" s="5">
        <f>_xlfn.XLOOKUP(CustomerCombined[[#This Row],[ID]], Table4[ID], Table4[Seafood], "Not Found", 0)</f>
        <v>35</v>
      </c>
      <c r="O732" s="5">
        <f>_xlfn.XLOOKUP(CustomerCombined[[#This Row],[ID]], Table4[ID], Table4[Sweets], "Not Found", 0)</f>
        <v>26</v>
      </c>
      <c r="P732" s="5">
        <f>_xlfn.XLOOKUP(CustomerCombined[[#This Row],[ID]], Table4[ID], Table4[Premium], "Not Found", 0)</f>
        <v>110</v>
      </c>
      <c r="Q732" s="5">
        <f>_xlfn.XLOOKUP(CustomerCombined[[#This Row],[ID]], Table4[ID], Table4[Regular], "Not Found", 0)</f>
        <v>2651</v>
      </c>
      <c r="R732" s="5">
        <f>_xlfn.XLOOKUP(CustomerCombined[[#This Row],[ID]], Table4[ID], Table4[Deals], "Not Found", 0)</f>
        <v>2</v>
      </c>
      <c r="S732" s="5">
        <f>_xlfn.XLOOKUP(CustomerCombined[[#This Row],[ID]], Table4[ID], Table4[Website], "Not Found", 0)</f>
        <v>2</v>
      </c>
      <c r="T732" s="5">
        <f>_xlfn.XLOOKUP(CustomerCombined[[#This Row],[ID]], Table4[ID], Table4[Catalog], "Not Found", 0)</f>
        <v>4</v>
      </c>
      <c r="U732" s="5">
        <f>_xlfn.XLOOKUP(CustomerCombined[[#This Row],[ID]], Table4[ID], Table4[Store], "Not Found", 0)</f>
        <v>8</v>
      </c>
      <c r="V732" s="5">
        <f>_xlfn.XLOOKUP(CustomerCombined[[#This Row],[ID]], Table4[ID], Table4[Visits], "Not Found", 0)</f>
        <v>8</v>
      </c>
      <c r="W732" s="8">
        <f>_xlfn.XLOOKUP(CustomerCombined[[#This Row],[ID]], Table2[ID],Table2[Complaint], "Not Found", 0 )</f>
        <v>0</v>
      </c>
      <c r="X732" s="8">
        <f>_xlfn.XLOOKUP(CustomerCombined[[#This Row],[ID]], Table2[ID],Table2[Pilot], "Not Found", 0 )</f>
        <v>0</v>
      </c>
      <c r="Y732" s="8">
        <f>_xlfn.XLOOKUP(CustomerCombined[[#This Row],[ID]], Table2[ID],Table2[MC1], "Not Found", 0 )</f>
        <v>0</v>
      </c>
      <c r="Z732" s="8">
        <f>_xlfn.XLOOKUP(CustomerCombined[[#This Row],[ID]], Table2[ID],Table2[MC2], "Not Found", 0 )</f>
        <v>0</v>
      </c>
      <c r="AA732" s="8">
        <f>_xlfn.XLOOKUP(CustomerCombined[[#This Row],[ID]], Table2[ID],Table2[MC3], "Not Found", 0 )</f>
        <v>0</v>
      </c>
      <c r="AB732" s="8">
        <f>_xlfn.XLOOKUP(CustomerCombined[[#This Row],[ID]], Table2[ID],Table2[MC4], "Not Found", 0 )</f>
        <v>0</v>
      </c>
      <c r="AC732" s="8">
        <f>_xlfn.XLOOKUP(CustomerCombined[[#This Row],[ID]], Table2[ID],Table2[MC5], "Not Found", 0 )</f>
        <v>0</v>
      </c>
    </row>
    <row r="733" spans="1:29" x14ac:dyDescent="0.3">
      <c r="A733" s="6">
        <v>2315</v>
      </c>
      <c r="B733" s="6">
        <v>151948</v>
      </c>
      <c r="C733" s="6">
        <v>0</v>
      </c>
      <c r="D733" s="6">
        <v>1</v>
      </c>
      <c r="E733" s="6">
        <v>45</v>
      </c>
      <c r="F733" s="5" t="s">
        <v>6</v>
      </c>
      <c r="G733" s="5" t="s">
        <v>11</v>
      </c>
      <c r="H733" s="3" t="s">
        <v>182</v>
      </c>
      <c r="I733" s="5" t="s">
        <v>434</v>
      </c>
      <c r="J733" s="5">
        <f>_xlfn.XLOOKUP(CustomerCombined[[#This Row],[ID]], Table4[ID], Table4[Recency], "Not Found", 0)</f>
        <v>51</v>
      </c>
      <c r="K733" s="5">
        <f>_xlfn.XLOOKUP(CustomerCombined[[#This Row],[ID]], Table4[ID], Table4[Teas], "Not Found", 0)</f>
        <v>240</v>
      </c>
      <c r="L733" s="5">
        <f>_xlfn.XLOOKUP(CustomerCombined[[#This Row],[ID]], Table4[ID], Table4[Fruits], "Not Found", 0)</f>
        <v>97</v>
      </c>
      <c r="M733" s="5">
        <f>_xlfn.XLOOKUP(CustomerCombined[[#This Row],[ID]], Table4[ID], Table4[Meats], "Not Found", 0)</f>
        <v>158</v>
      </c>
      <c r="N733" s="5">
        <f>_xlfn.XLOOKUP(CustomerCombined[[#This Row],[ID]], Table4[ID], Table4[Seafood], "Not Found", 0)</f>
        <v>208</v>
      </c>
      <c r="O733" s="5">
        <f>_xlfn.XLOOKUP(CustomerCombined[[#This Row],[ID]], Table4[ID], Table4[Sweets], "Not Found", 0)</f>
        <v>88</v>
      </c>
      <c r="P733" s="5">
        <f>_xlfn.XLOOKUP(CustomerCombined[[#This Row],[ID]], Table4[ID], Table4[Premium], "Not Found", 0)</f>
        <v>120</v>
      </c>
      <c r="Q733" s="5">
        <f>_xlfn.XLOOKUP(CustomerCombined[[#This Row],[ID]], Table4[ID], Table4[Regular], "Not Found", 0)</f>
        <v>670</v>
      </c>
      <c r="R733" s="5">
        <f>_xlfn.XLOOKUP(CustomerCombined[[#This Row],[ID]], Table4[ID], Table4[Deals], "Not Found", 0)</f>
        <v>2</v>
      </c>
      <c r="S733" s="5">
        <f>_xlfn.XLOOKUP(CustomerCombined[[#This Row],[ID]], Table4[ID], Table4[Website], "Not Found", 0)</f>
        <v>5</v>
      </c>
      <c r="T733" s="5">
        <f>_xlfn.XLOOKUP(CustomerCombined[[#This Row],[ID]], Table4[ID], Table4[Catalog], "Not Found", 0)</f>
        <v>2</v>
      </c>
      <c r="U733" s="5">
        <f>_xlfn.XLOOKUP(CustomerCombined[[#This Row],[ID]], Table4[ID], Table4[Store], "Not Found", 0)</f>
        <v>4</v>
      </c>
      <c r="V733" s="5">
        <f>_xlfn.XLOOKUP(CustomerCombined[[#This Row],[ID]], Table4[ID], Table4[Visits], "Not Found", 0)</f>
        <v>5</v>
      </c>
      <c r="W733" s="8">
        <f>_xlfn.XLOOKUP(CustomerCombined[[#This Row],[ID]], Table2[ID],Table2[Complaint], "Not Found", 0 )</f>
        <v>0</v>
      </c>
      <c r="X733" s="8">
        <f>_xlfn.XLOOKUP(CustomerCombined[[#This Row],[ID]], Table2[ID],Table2[Pilot], "Not Found", 0 )</f>
        <v>0</v>
      </c>
      <c r="Y733" s="8">
        <f>_xlfn.XLOOKUP(CustomerCombined[[#This Row],[ID]], Table2[ID],Table2[MC1], "Not Found", 0 )</f>
        <v>0</v>
      </c>
      <c r="Z733" s="8">
        <f>_xlfn.XLOOKUP(CustomerCombined[[#This Row],[ID]], Table2[ID],Table2[MC2], "Not Found", 0 )</f>
        <v>0</v>
      </c>
      <c r="AA733" s="8">
        <f>_xlfn.XLOOKUP(CustomerCombined[[#This Row],[ID]], Table2[ID],Table2[MC3], "Not Found", 0 )</f>
        <v>0</v>
      </c>
      <c r="AB733" s="8">
        <f>_xlfn.XLOOKUP(CustomerCombined[[#This Row],[ID]], Table2[ID],Table2[MC4], "Not Found", 0 )</f>
        <v>0</v>
      </c>
      <c r="AC733" s="8">
        <f>_xlfn.XLOOKUP(CustomerCombined[[#This Row],[ID]], Table2[ID],Table2[MC5], "Not Found", 0 )</f>
        <v>0</v>
      </c>
    </row>
    <row r="734" spans="1:29" x14ac:dyDescent="0.3">
      <c r="A734" s="6">
        <v>1845</v>
      </c>
      <c r="B734" s="6">
        <v>149514</v>
      </c>
      <c r="C734" s="6">
        <v>1</v>
      </c>
      <c r="D734" s="6">
        <v>0</v>
      </c>
      <c r="E734" s="6">
        <v>45</v>
      </c>
      <c r="F734" s="5" t="s">
        <v>7</v>
      </c>
      <c r="G734" s="5" t="s">
        <v>442</v>
      </c>
      <c r="H734" s="3" t="s">
        <v>131</v>
      </c>
      <c r="I734" s="5" t="s">
        <v>435</v>
      </c>
      <c r="J734" s="5">
        <f>_xlfn.XLOOKUP(CustomerCombined[[#This Row],[ID]], Table4[ID], Table4[Recency], "Not Found", 0)</f>
        <v>61</v>
      </c>
      <c r="K734" s="5">
        <f>_xlfn.XLOOKUP(CustomerCombined[[#This Row],[ID]], Table4[ID], Table4[Teas], "Not Found", 0)</f>
        <v>266</v>
      </c>
      <c r="L734" s="5">
        <f>_xlfn.XLOOKUP(CustomerCombined[[#This Row],[ID]], Table4[ID], Table4[Fruits], "Not Found", 0)</f>
        <v>118</v>
      </c>
      <c r="M734" s="5">
        <f>_xlfn.XLOOKUP(CustomerCombined[[#This Row],[ID]], Table4[ID], Table4[Meats], "Not Found", 0)</f>
        <v>236</v>
      </c>
      <c r="N734" s="5">
        <f>_xlfn.XLOOKUP(CustomerCombined[[#This Row],[ID]], Table4[ID], Table4[Seafood], "Not Found", 0)</f>
        <v>175</v>
      </c>
      <c r="O734" s="5">
        <f>_xlfn.XLOOKUP(CustomerCombined[[#This Row],[ID]], Table4[ID], Table4[Sweets], "Not Found", 0)</f>
        <v>39</v>
      </c>
      <c r="P734" s="5">
        <f>_xlfn.XLOOKUP(CustomerCombined[[#This Row],[ID]], Table4[ID], Table4[Premium], "Not Found", 0)</f>
        <v>281</v>
      </c>
      <c r="Q734" s="5">
        <f>_xlfn.XLOOKUP(CustomerCombined[[#This Row],[ID]], Table4[ID], Table4[Regular], "Not Found", 0)</f>
        <v>553</v>
      </c>
      <c r="R734" s="5">
        <f>_xlfn.XLOOKUP(CustomerCombined[[#This Row],[ID]], Table4[ID], Table4[Deals], "Not Found", 0)</f>
        <v>2</v>
      </c>
      <c r="S734" s="5">
        <f>_xlfn.XLOOKUP(CustomerCombined[[#This Row],[ID]], Table4[ID], Table4[Website], "Not Found", 0)</f>
        <v>6</v>
      </c>
      <c r="T734" s="5">
        <f>_xlfn.XLOOKUP(CustomerCombined[[#This Row],[ID]], Table4[ID], Table4[Catalog], "Not Found", 0)</f>
        <v>1</v>
      </c>
      <c r="U734" s="5">
        <f>_xlfn.XLOOKUP(CustomerCombined[[#This Row],[ID]], Table4[ID], Table4[Store], "Not Found", 0)</f>
        <v>4</v>
      </c>
      <c r="V734" s="5">
        <f>_xlfn.XLOOKUP(CustomerCombined[[#This Row],[ID]], Table4[ID], Table4[Visits], "Not Found", 0)</f>
        <v>7</v>
      </c>
      <c r="W734" s="8">
        <f>_xlfn.XLOOKUP(CustomerCombined[[#This Row],[ID]], Table2[ID],Table2[Complaint], "Not Found", 0 )</f>
        <v>0</v>
      </c>
      <c r="X734" s="8">
        <f>_xlfn.XLOOKUP(CustomerCombined[[#This Row],[ID]], Table2[ID],Table2[Pilot], "Not Found", 0 )</f>
        <v>0</v>
      </c>
      <c r="Y734" s="8">
        <f>_xlfn.XLOOKUP(CustomerCombined[[#This Row],[ID]], Table2[ID],Table2[MC1], "Not Found", 0 )</f>
        <v>0</v>
      </c>
      <c r="Z734" s="8">
        <f>_xlfn.XLOOKUP(CustomerCombined[[#This Row],[ID]], Table2[ID],Table2[MC2], "Not Found", 0 )</f>
        <v>0</v>
      </c>
      <c r="AA734" s="8">
        <f>_xlfn.XLOOKUP(CustomerCombined[[#This Row],[ID]], Table2[ID],Table2[MC3], "Not Found", 0 )</f>
        <v>0</v>
      </c>
      <c r="AB734" s="8">
        <f>_xlfn.XLOOKUP(CustomerCombined[[#This Row],[ID]], Table2[ID],Table2[MC4], "Not Found", 0 )</f>
        <v>0</v>
      </c>
      <c r="AC734" s="8">
        <f>_xlfn.XLOOKUP(CustomerCombined[[#This Row],[ID]], Table2[ID],Table2[MC5], "Not Found", 0 )</f>
        <v>0</v>
      </c>
    </row>
    <row r="735" spans="1:29" x14ac:dyDescent="0.3">
      <c r="A735" s="6">
        <v>1355</v>
      </c>
      <c r="B735" s="6">
        <v>148178</v>
      </c>
      <c r="C735" s="6">
        <v>1</v>
      </c>
      <c r="D735" s="6">
        <v>1</v>
      </c>
      <c r="E735" s="6">
        <v>45</v>
      </c>
      <c r="F735" s="5" t="s">
        <v>6</v>
      </c>
      <c r="G735" s="5" t="s">
        <v>11</v>
      </c>
      <c r="H735" s="3">
        <v>43559</v>
      </c>
      <c r="I735" s="5" t="s">
        <v>434</v>
      </c>
      <c r="J735" s="5">
        <f>_xlfn.XLOOKUP(CustomerCombined[[#This Row],[ID]], Table4[ID], Table4[Recency], "Not Found", 0)</f>
        <v>69</v>
      </c>
      <c r="K735" s="5">
        <f>_xlfn.XLOOKUP(CustomerCombined[[#This Row],[ID]], Table4[ID], Table4[Teas], "Not Found", 0)</f>
        <v>489</v>
      </c>
      <c r="L735" s="5">
        <f>_xlfn.XLOOKUP(CustomerCombined[[#This Row],[ID]], Table4[ID], Table4[Fruits], "Not Found", 0)</f>
        <v>12</v>
      </c>
      <c r="M735" s="5">
        <f>_xlfn.XLOOKUP(CustomerCombined[[#This Row],[ID]], Table4[ID], Table4[Meats], "Not Found", 0)</f>
        <v>138</v>
      </c>
      <c r="N735" s="5">
        <f>_xlfn.XLOOKUP(CustomerCombined[[#This Row],[ID]], Table4[ID], Table4[Seafood], "Not Found", 0)</f>
        <v>18</v>
      </c>
      <c r="O735" s="5">
        <f>_xlfn.XLOOKUP(CustomerCombined[[#This Row],[ID]], Table4[ID], Table4[Sweets], "Not Found", 0)</f>
        <v>6</v>
      </c>
      <c r="P735" s="5">
        <f>_xlfn.XLOOKUP(CustomerCombined[[#This Row],[ID]], Table4[ID], Table4[Premium], "Not Found", 0)</f>
        <v>117</v>
      </c>
      <c r="Q735" s="5">
        <f>_xlfn.XLOOKUP(CustomerCombined[[#This Row],[ID]], Table4[ID], Table4[Regular], "Not Found", 0)</f>
        <v>547</v>
      </c>
      <c r="R735" s="5">
        <f>_xlfn.XLOOKUP(CustomerCombined[[#This Row],[ID]], Table4[ID], Table4[Deals], "Not Found", 0)</f>
        <v>6</v>
      </c>
      <c r="S735" s="5">
        <f>_xlfn.XLOOKUP(CustomerCombined[[#This Row],[ID]], Table4[ID], Table4[Website], "Not Found", 0)</f>
        <v>5</v>
      </c>
      <c r="T735" s="5">
        <f>_xlfn.XLOOKUP(CustomerCombined[[#This Row],[ID]], Table4[ID], Table4[Catalog], "Not Found", 0)</f>
        <v>1</v>
      </c>
      <c r="U735" s="5">
        <f>_xlfn.XLOOKUP(CustomerCombined[[#This Row],[ID]], Table4[ID], Table4[Store], "Not Found", 0)</f>
        <v>4</v>
      </c>
      <c r="V735" s="5">
        <f>_xlfn.XLOOKUP(CustomerCombined[[#This Row],[ID]], Table4[ID], Table4[Visits], "Not Found", 0)</f>
        <v>8</v>
      </c>
      <c r="W735" s="8">
        <f>_xlfn.XLOOKUP(CustomerCombined[[#This Row],[ID]], Table2[ID],Table2[Complaint], "Not Found", 0 )</f>
        <v>0</v>
      </c>
      <c r="X735" s="8">
        <f>_xlfn.XLOOKUP(CustomerCombined[[#This Row],[ID]], Table2[ID],Table2[Pilot], "Not Found", 0 )</f>
        <v>0</v>
      </c>
      <c r="Y735" s="8">
        <f>_xlfn.XLOOKUP(CustomerCombined[[#This Row],[ID]], Table2[ID],Table2[MC1], "Not Found", 0 )</f>
        <v>0</v>
      </c>
      <c r="Z735" s="8">
        <f>_xlfn.XLOOKUP(CustomerCombined[[#This Row],[ID]], Table2[ID],Table2[MC2], "Not Found", 0 )</f>
        <v>0</v>
      </c>
      <c r="AA735" s="8">
        <f>_xlfn.XLOOKUP(CustomerCombined[[#This Row],[ID]], Table2[ID],Table2[MC3], "Not Found", 0 )</f>
        <v>0</v>
      </c>
      <c r="AB735" s="8">
        <f>_xlfn.XLOOKUP(CustomerCombined[[#This Row],[ID]], Table2[ID],Table2[MC4], "Not Found", 0 )</f>
        <v>0</v>
      </c>
      <c r="AC735" s="8">
        <f>_xlfn.XLOOKUP(CustomerCombined[[#This Row],[ID]], Table2[ID],Table2[MC5], "Not Found", 0 )</f>
        <v>0</v>
      </c>
    </row>
    <row r="736" spans="1:29" x14ac:dyDescent="0.3">
      <c r="A736" s="6">
        <v>2744</v>
      </c>
      <c r="B736" s="6">
        <v>147808</v>
      </c>
      <c r="C736" s="6">
        <v>0</v>
      </c>
      <c r="D736" s="6">
        <v>1</v>
      </c>
      <c r="E736" s="6">
        <v>45</v>
      </c>
      <c r="F736" s="5" t="s">
        <v>6</v>
      </c>
      <c r="G736" s="5" t="s">
        <v>12</v>
      </c>
      <c r="H736" s="3" t="s">
        <v>162</v>
      </c>
      <c r="I736" s="5" t="s">
        <v>438</v>
      </c>
      <c r="J736" s="5">
        <f>_xlfn.XLOOKUP(CustomerCombined[[#This Row],[ID]], Table4[ID], Table4[Recency], "Not Found", 0)</f>
        <v>30</v>
      </c>
      <c r="K736" s="5">
        <f>_xlfn.XLOOKUP(CustomerCombined[[#This Row],[ID]], Table4[ID], Table4[Teas], "Not Found", 0)</f>
        <v>380</v>
      </c>
      <c r="L736" s="5">
        <f>_xlfn.XLOOKUP(CustomerCombined[[#This Row],[ID]], Table4[ID], Table4[Fruits], "Not Found", 0)</f>
        <v>3</v>
      </c>
      <c r="M736" s="5">
        <f>_xlfn.XLOOKUP(CustomerCombined[[#This Row],[ID]], Table4[ID], Table4[Meats], "Not Found", 0)</f>
        <v>80</v>
      </c>
      <c r="N736" s="5">
        <f>_xlfn.XLOOKUP(CustomerCombined[[#This Row],[ID]], Table4[ID], Table4[Seafood], "Not Found", 0)</f>
        <v>6</v>
      </c>
      <c r="O736" s="5">
        <f>_xlfn.XLOOKUP(CustomerCombined[[#This Row],[ID]], Table4[ID], Table4[Sweets], "Not Found", 0)</f>
        <v>0</v>
      </c>
      <c r="P736" s="5">
        <f>_xlfn.XLOOKUP(CustomerCombined[[#This Row],[ID]], Table4[ID], Table4[Premium], "Not Found", 0)</f>
        <v>223</v>
      </c>
      <c r="Q736" s="5">
        <f>_xlfn.XLOOKUP(CustomerCombined[[#This Row],[ID]], Table4[ID], Table4[Regular], "Not Found", 0)</f>
        <v>247</v>
      </c>
      <c r="R736" s="5">
        <f>_xlfn.XLOOKUP(CustomerCombined[[#This Row],[ID]], Table4[ID], Table4[Deals], "Not Found", 0)</f>
        <v>2</v>
      </c>
      <c r="S736" s="5">
        <f>_xlfn.XLOOKUP(CustomerCombined[[#This Row],[ID]], Table4[ID], Table4[Website], "Not Found", 0)</f>
        <v>3</v>
      </c>
      <c r="T736" s="5">
        <f>_xlfn.XLOOKUP(CustomerCombined[[#This Row],[ID]], Table4[ID], Table4[Catalog], "Not Found", 0)</f>
        <v>2</v>
      </c>
      <c r="U736" s="5">
        <f>_xlfn.XLOOKUP(CustomerCombined[[#This Row],[ID]], Table4[ID], Table4[Store], "Not Found", 0)</f>
        <v>3</v>
      </c>
      <c r="V736" s="5">
        <f>_xlfn.XLOOKUP(CustomerCombined[[#This Row],[ID]], Table4[ID], Table4[Visits], "Not Found", 0)</f>
        <v>7</v>
      </c>
      <c r="W736" s="8">
        <f>_xlfn.XLOOKUP(CustomerCombined[[#This Row],[ID]], Table2[ID],Table2[Complaint], "Not Found", 0 )</f>
        <v>0</v>
      </c>
      <c r="X736" s="8">
        <f>_xlfn.XLOOKUP(CustomerCombined[[#This Row],[ID]], Table2[ID],Table2[Pilot], "Not Found", 0 )</f>
        <v>0</v>
      </c>
      <c r="Y736" s="8">
        <f>_xlfn.XLOOKUP(CustomerCombined[[#This Row],[ID]], Table2[ID],Table2[MC1], "Not Found", 0 )</f>
        <v>0</v>
      </c>
      <c r="Z736" s="8">
        <f>_xlfn.XLOOKUP(CustomerCombined[[#This Row],[ID]], Table2[ID],Table2[MC2], "Not Found", 0 )</f>
        <v>0</v>
      </c>
      <c r="AA736" s="8">
        <f>_xlfn.XLOOKUP(CustomerCombined[[#This Row],[ID]], Table2[ID],Table2[MC3], "Not Found", 0 )</f>
        <v>1</v>
      </c>
      <c r="AB736" s="8">
        <f>_xlfn.XLOOKUP(CustomerCombined[[#This Row],[ID]], Table2[ID],Table2[MC4], "Not Found", 0 )</f>
        <v>0</v>
      </c>
      <c r="AC736" s="8">
        <f>_xlfn.XLOOKUP(CustomerCombined[[#This Row],[ID]], Table2[ID],Table2[MC5], "Not Found", 0 )</f>
        <v>0</v>
      </c>
    </row>
    <row r="737" spans="1:29" x14ac:dyDescent="0.3">
      <c r="A737" s="6">
        <v>1514</v>
      </c>
      <c r="B737" s="6">
        <v>147682</v>
      </c>
      <c r="C737" s="6">
        <v>0</v>
      </c>
      <c r="D737" s="6">
        <v>1</v>
      </c>
      <c r="E737" s="6">
        <v>45</v>
      </c>
      <c r="F737" s="5" t="s">
        <v>9</v>
      </c>
      <c r="G737" s="5" t="s">
        <v>442</v>
      </c>
      <c r="H737" s="3" t="s">
        <v>308</v>
      </c>
      <c r="I737" s="5" t="s">
        <v>438</v>
      </c>
      <c r="J737" s="5">
        <f>_xlfn.XLOOKUP(CustomerCombined[[#This Row],[ID]], Table4[ID], Table4[Recency], "Not Found", 0)</f>
        <v>80</v>
      </c>
      <c r="K737" s="5">
        <f>_xlfn.XLOOKUP(CustomerCombined[[#This Row],[ID]], Table4[ID], Table4[Teas], "Not Found", 0)</f>
        <v>502</v>
      </c>
      <c r="L737" s="5">
        <f>_xlfn.XLOOKUP(CustomerCombined[[#This Row],[ID]], Table4[ID], Table4[Fruits], "Not Found", 0)</f>
        <v>189</v>
      </c>
      <c r="M737" s="5">
        <f>_xlfn.XLOOKUP(CustomerCombined[[#This Row],[ID]], Table4[ID], Table4[Meats], "Not Found", 0)</f>
        <v>257</v>
      </c>
      <c r="N737" s="5">
        <f>_xlfn.XLOOKUP(CustomerCombined[[#This Row],[ID]], Table4[ID], Table4[Seafood], "Not Found", 0)</f>
        <v>300</v>
      </c>
      <c r="O737" s="5">
        <f>_xlfn.XLOOKUP(CustomerCombined[[#This Row],[ID]], Table4[ID], Table4[Sweets], "Not Found", 0)</f>
        <v>177</v>
      </c>
      <c r="P737" s="5">
        <f>_xlfn.XLOOKUP(CustomerCombined[[#This Row],[ID]], Table4[ID], Table4[Premium], "Not Found", 0)</f>
        <v>189</v>
      </c>
      <c r="Q737" s="5">
        <f>_xlfn.XLOOKUP(CustomerCombined[[#This Row],[ID]], Table4[ID], Table4[Regular], "Not Found", 0)</f>
        <v>1236</v>
      </c>
      <c r="R737" s="5">
        <f>_xlfn.XLOOKUP(CustomerCombined[[#This Row],[ID]], Table4[ID], Table4[Deals], "Not Found", 0)</f>
        <v>4</v>
      </c>
      <c r="S737" s="5">
        <f>_xlfn.XLOOKUP(CustomerCombined[[#This Row],[ID]], Table4[ID], Table4[Website], "Not Found", 0)</f>
        <v>4</v>
      </c>
      <c r="T737" s="5">
        <f>_xlfn.XLOOKUP(CustomerCombined[[#This Row],[ID]], Table4[ID], Table4[Catalog], "Not Found", 0)</f>
        <v>3</v>
      </c>
      <c r="U737" s="5">
        <f>_xlfn.XLOOKUP(CustomerCombined[[#This Row],[ID]], Table4[ID], Table4[Store], "Not Found", 0)</f>
        <v>8</v>
      </c>
      <c r="V737" s="5">
        <f>_xlfn.XLOOKUP(CustomerCombined[[#This Row],[ID]], Table4[ID], Table4[Visits], "Not Found", 0)</f>
        <v>5</v>
      </c>
      <c r="W737" s="8">
        <f>_xlfn.XLOOKUP(CustomerCombined[[#This Row],[ID]], Table2[ID],Table2[Complaint], "Not Found", 0 )</f>
        <v>0</v>
      </c>
      <c r="X737" s="8">
        <f>_xlfn.XLOOKUP(CustomerCombined[[#This Row],[ID]], Table2[ID],Table2[Pilot], "Not Found", 0 )</f>
        <v>0</v>
      </c>
      <c r="Y737" s="8">
        <f>_xlfn.XLOOKUP(CustomerCombined[[#This Row],[ID]], Table2[ID],Table2[MC1], "Not Found", 0 )</f>
        <v>0</v>
      </c>
      <c r="Z737" s="8">
        <f>_xlfn.XLOOKUP(CustomerCombined[[#This Row],[ID]], Table2[ID],Table2[MC2], "Not Found", 0 )</f>
        <v>0</v>
      </c>
      <c r="AA737" s="8">
        <f>_xlfn.XLOOKUP(CustomerCombined[[#This Row],[ID]], Table2[ID],Table2[MC3], "Not Found", 0 )</f>
        <v>0</v>
      </c>
      <c r="AB737" s="8">
        <f>_xlfn.XLOOKUP(CustomerCombined[[#This Row],[ID]], Table2[ID],Table2[MC4], "Not Found", 0 )</f>
        <v>0</v>
      </c>
      <c r="AC737" s="8">
        <f>_xlfn.XLOOKUP(CustomerCombined[[#This Row],[ID]], Table2[ID],Table2[MC5], "Not Found", 0 )</f>
        <v>0</v>
      </c>
    </row>
    <row r="738" spans="1:29" x14ac:dyDescent="0.3">
      <c r="A738" s="6">
        <v>2483</v>
      </c>
      <c r="B738" s="6">
        <v>146772</v>
      </c>
      <c r="C738" s="6">
        <v>0</v>
      </c>
      <c r="D738" s="6">
        <v>1</v>
      </c>
      <c r="E738" s="6">
        <v>45</v>
      </c>
      <c r="F738" s="5" t="s">
        <v>8</v>
      </c>
      <c r="G738" s="5" t="s">
        <v>442</v>
      </c>
      <c r="H738" s="3" t="s">
        <v>368</v>
      </c>
      <c r="I738" s="5" t="s">
        <v>434</v>
      </c>
      <c r="J738" s="5">
        <f>_xlfn.XLOOKUP(CustomerCombined[[#This Row],[ID]], Table4[ID], Table4[Recency], "Not Found", 0)</f>
        <v>88</v>
      </c>
      <c r="K738" s="5">
        <f>_xlfn.XLOOKUP(CustomerCombined[[#This Row],[ID]], Table4[ID], Table4[Teas], "Not Found", 0)</f>
        <v>1098</v>
      </c>
      <c r="L738" s="5">
        <f>_xlfn.XLOOKUP(CustomerCombined[[#This Row],[ID]], Table4[ID], Table4[Fruits], "Not Found", 0)</f>
        <v>326</v>
      </c>
      <c r="M738" s="5">
        <f>_xlfn.XLOOKUP(CustomerCombined[[#This Row],[ID]], Table4[ID], Table4[Meats], "Not Found", 0)</f>
        <v>593</v>
      </c>
      <c r="N738" s="5">
        <f>_xlfn.XLOOKUP(CustomerCombined[[#This Row],[ID]], Table4[ID], Table4[Seafood], "Not Found", 0)</f>
        <v>618</v>
      </c>
      <c r="O738" s="5">
        <f>_xlfn.XLOOKUP(CustomerCombined[[#This Row],[ID]], Table4[ID], Table4[Sweets], "Not Found", 0)</f>
        <v>474</v>
      </c>
      <c r="P738" s="5">
        <f>_xlfn.XLOOKUP(CustomerCombined[[#This Row],[ID]], Table4[ID], Table4[Premium], "Not Found", 0)</f>
        <v>179</v>
      </c>
      <c r="Q738" s="5">
        <f>_xlfn.XLOOKUP(CustomerCombined[[#This Row],[ID]], Table4[ID], Table4[Regular], "Not Found", 0)</f>
        <v>2931</v>
      </c>
      <c r="R738" s="5">
        <f>_xlfn.XLOOKUP(CustomerCombined[[#This Row],[ID]], Table4[ID], Table4[Deals], "Not Found", 0)</f>
        <v>6</v>
      </c>
      <c r="S738" s="5">
        <f>_xlfn.XLOOKUP(CustomerCombined[[#This Row],[ID]], Table4[ID], Table4[Website], "Not Found", 0)</f>
        <v>11</v>
      </c>
      <c r="T738" s="5">
        <f>_xlfn.XLOOKUP(CustomerCombined[[#This Row],[ID]], Table4[ID], Table4[Catalog], "Not Found", 0)</f>
        <v>8</v>
      </c>
      <c r="U738" s="5">
        <f>_xlfn.XLOOKUP(CustomerCombined[[#This Row],[ID]], Table4[ID], Table4[Store], "Not Found", 0)</f>
        <v>5</v>
      </c>
      <c r="V738" s="5">
        <f>_xlfn.XLOOKUP(CustomerCombined[[#This Row],[ID]], Table4[ID], Table4[Visits], "Not Found", 0)</f>
        <v>8</v>
      </c>
      <c r="W738" s="8">
        <f>_xlfn.XLOOKUP(CustomerCombined[[#This Row],[ID]], Table2[ID],Table2[Complaint], "Not Found", 0 )</f>
        <v>0</v>
      </c>
      <c r="X738" s="8">
        <f>_xlfn.XLOOKUP(CustomerCombined[[#This Row],[ID]], Table2[ID],Table2[Pilot], "Not Found", 0 )</f>
        <v>0</v>
      </c>
      <c r="Y738" s="8">
        <f>_xlfn.XLOOKUP(CustomerCombined[[#This Row],[ID]], Table2[ID],Table2[MC1], "Not Found", 0 )</f>
        <v>0</v>
      </c>
      <c r="Z738" s="8">
        <f>_xlfn.XLOOKUP(CustomerCombined[[#This Row],[ID]], Table2[ID],Table2[MC2], "Not Found", 0 )</f>
        <v>0</v>
      </c>
      <c r="AA738" s="8">
        <f>_xlfn.XLOOKUP(CustomerCombined[[#This Row],[ID]], Table2[ID],Table2[MC3], "Not Found", 0 )</f>
        <v>1</v>
      </c>
      <c r="AB738" s="8">
        <f>_xlfn.XLOOKUP(CustomerCombined[[#This Row],[ID]], Table2[ID],Table2[MC4], "Not Found", 0 )</f>
        <v>0</v>
      </c>
      <c r="AC738" s="8">
        <f>_xlfn.XLOOKUP(CustomerCombined[[#This Row],[ID]], Table2[ID],Table2[MC5], "Not Found", 0 )</f>
        <v>0</v>
      </c>
    </row>
    <row r="739" spans="1:29" x14ac:dyDescent="0.3">
      <c r="A739" s="6">
        <v>2260</v>
      </c>
      <c r="B739" s="6">
        <v>146149</v>
      </c>
      <c r="C739" s="6">
        <v>0</v>
      </c>
      <c r="D739" s="6">
        <v>1</v>
      </c>
      <c r="E739" s="6">
        <v>45</v>
      </c>
      <c r="F739" s="5" t="s">
        <v>6</v>
      </c>
      <c r="G739" s="5" t="s">
        <v>11</v>
      </c>
      <c r="H739" s="3">
        <v>43956</v>
      </c>
      <c r="I739" s="5" t="s">
        <v>439</v>
      </c>
      <c r="J739" s="5">
        <f>_xlfn.XLOOKUP(CustomerCombined[[#This Row],[ID]], Table4[ID], Table4[Recency], "Not Found", 0)</f>
        <v>36</v>
      </c>
      <c r="K739" s="5">
        <f>_xlfn.XLOOKUP(CustomerCombined[[#This Row],[ID]], Table4[ID], Table4[Teas], "Not Found", 0)</f>
        <v>804</v>
      </c>
      <c r="L739" s="5">
        <f>_xlfn.XLOOKUP(CustomerCombined[[#This Row],[ID]], Table4[ID], Table4[Fruits], "Not Found", 0)</f>
        <v>19</v>
      </c>
      <c r="M739" s="5">
        <f>_xlfn.XLOOKUP(CustomerCombined[[#This Row],[ID]], Table4[ID], Table4[Meats], "Not Found", 0)</f>
        <v>225</v>
      </c>
      <c r="N739" s="5">
        <f>_xlfn.XLOOKUP(CustomerCombined[[#This Row],[ID]], Table4[ID], Table4[Seafood], "Not Found", 0)</f>
        <v>13</v>
      </c>
      <c r="O739" s="5">
        <f>_xlfn.XLOOKUP(CustomerCombined[[#This Row],[ID]], Table4[ID], Table4[Sweets], "Not Found", 0)</f>
        <v>0</v>
      </c>
      <c r="P739" s="5">
        <f>_xlfn.XLOOKUP(CustomerCombined[[#This Row],[ID]], Table4[ID], Table4[Premium], "Not Found", 0)</f>
        <v>86</v>
      </c>
      <c r="Q739" s="5">
        <f>_xlfn.XLOOKUP(CustomerCombined[[#This Row],[ID]], Table4[ID], Table4[Regular], "Not Found", 0)</f>
        <v>975</v>
      </c>
      <c r="R739" s="5">
        <f>_xlfn.XLOOKUP(CustomerCombined[[#This Row],[ID]], Table4[ID], Table4[Deals], "Not Found", 0)</f>
        <v>5</v>
      </c>
      <c r="S739" s="5">
        <f>_xlfn.XLOOKUP(CustomerCombined[[#This Row],[ID]], Table4[ID], Table4[Website], "Not Found", 0)</f>
        <v>5</v>
      </c>
      <c r="T739" s="5">
        <f>_xlfn.XLOOKUP(CustomerCombined[[#This Row],[ID]], Table4[ID], Table4[Catalog], "Not Found", 0)</f>
        <v>1</v>
      </c>
      <c r="U739" s="5">
        <f>_xlfn.XLOOKUP(CustomerCombined[[#This Row],[ID]], Table4[ID], Table4[Store], "Not Found", 0)</f>
        <v>7</v>
      </c>
      <c r="V739" s="5">
        <f>_xlfn.XLOOKUP(CustomerCombined[[#This Row],[ID]], Table4[ID], Table4[Visits], "Not Found", 0)</f>
        <v>5</v>
      </c>
      <c r="W739" s="8">
        <f>_xlfn.XLOOKUP(CustomerCombined[[#This Row],[ID]], Table2[ID],Table2[Complaint], "Not Found", 0 )</f>
        <v>0</v>
      </c>
      <c r="X739" s="8">
        <f>_xlfn.XLOOKUP(CustomerCombined[[#This Row],[ID]], Table2[ID],Table2[Pilot], "Not Found", 0 )</f>
        <v>0</v>
      </c>
      <c r="Y739" s="8">
        <f>_xlfn.XLOOKUP(CustomerCombined[[#This Row],[ID]], Table2[ID],Table2[MC1], "Not Found", 0 )</f>
        <v>0</v>
      </c>
      <c r="Z739" s="8">
        <f>_xlfn.XLOOKUP(CustomerCombined[[#This Row],[ID]], Table2[ID],Table2[MC2], "Not Found", 0 )</f>
        <v>0</v>
      </c>
      <c r="AA739" s="8">
        <f>_xlfn.XLOOKUP(CustomerCombined[[#This Row],[ID]], Table2[ID],Table2[MC3], "Not Found", 0 )</f>
        <v>0</v>
      </c>
      <c r="AB739" s="8">
        <f>_xlfn.XLOOKUP(CustomerCombined[[#This Row],[ID]], Table2[ID],Table2[MC4], "Not Found", 0 )</f>
        <v>0</v>
      </c>
      <c r="AC739" s="8">
        <f>_xlfn.XLOOKUP(CustomerCombined[[#This Row],[ID]], Table2[ID],Table2[MC5], "Not Found", 0 )</f>
        <v>0</v>
      </c>
    </row>
    <row r="740" spans="1:29" x14ac:dyDescent="0.3">
      <c r="A740" s="6">
        <v>1359</v>
      </c>
      <c r="B740" s="6">
        <v>146098</v>
      </c>
      <c r="C740" s="6">
        <v>1</v>
      </c>
      <c r="D740" s="6">
        <v>1</v>
      </c>
      <c r="E740" s="6">
        <v>45</v>
      </c>
      <c r="F740" s="5" t="s">
        <v>7</v>
      </c>
      <c r="G740" s="5" t="s">
        <v>12</v>
      </c>
      <c r="H740" s="3" t="s">
        <v>410</v>
      </c>
      <c r="I740" s="5" t="s">
        <v>435</v>
      </c>
      <c r="J740" s="5">
        <f>_xlfn.XLOOKUP(CustomerCombined[[#This Row],[ID]], Table4[ID], Table4[Recency], "Not Found", 0)</f>
        <v>86</v>
      </c>
      <c r="K740" s="5">
        <f>_xlfn.XLOOKUP(CustomerCombined[[#This Row],[ID]], Table4[ID], Table4[Teas], "Not Found", 0)</f>
        <v>181</v>
      </c>
      <c r="L740" s="5">
        <f>_xlfn.XLOOKUP(CustomerCombined[[#This Row],[ID]], Table4[ID], Table4[Fruits], "Not Found", 0)</f>
        <v>0</v>
      </c>
      <c r="M740" s="5">
        <f>_xlfn.XLOOKUP(CustomerCombined[[#This Row],[ID]], Table4[ID], Table4[Meats], "Not Found", 0)</f>
        <v>86</v>
      </c>
      <c r="N740" s="5">
        <f>_xlfn.XLOOKUP(CustomerCombined[[#This Row],[ID]], Table4[ID], Table4[Seafood], "Not Found", 0)</f>
        <v>0</v>
      </c>
      <c r="O740" s="5">
        <f>_xlfn.XLOOKUP(CustomerCombined[[#This Row],[ID]], Table4[ID], Table4[Sweets], "Not Found", 0)</f>
        <v>0</v>
      </c>
      <c r="P740" s="5">
        <f>_xlfn.XLOOKUP(CustomerCombined[[#This Row],[ID]], Table4[ID], Table4[Premium], "Not Found", 0)</f>
        <v>114</v>
      </c>
      <c r="Q740" s="5">
        <f>_xlfn.XLOOKUP(CustomerCombined[[#This Row],[ID]], Table4[ID], Table4[Regular], "Not Found", 0)</f>
        <v>152</v>
      </c>
      <c r="R740" s="5">
        <f>_xlfn.XLOOKUP(CustomerCombined[[#This Row],[ID]], Table4[ID], Table4[Deals], "Not Found", 0)</f>
        <v>4</v>
      </c>
      <c r="S740" s="5">
        <f>_xlfn.XLOOKUP(CustomerCombined[[#This Row],[ID]], Table4[ID], Table4[Website], "Not Found", 0)</f>
        <v>3</v>
      </c>
      <c r="T740" s="5">
        <f>_xlfn.XLOOKUP(CustomerCombined[[#This Row],[ID]], Table4[ID], Table4[Catalog], "Not Found", 0)</f>
        <v>2</v>
      </c>
      <c r="U740" s="5">
        <f>_xlfn.XLOOKUP(CustomerCombined[[#This Row],[ID]], Table4[ID], Table4[Store], "Not Found", 0)</f>
        <v>2</v>
      </c>
      <c r="V740" s="5">
        <f>_xlfn.XLOOKUP(CustomerCombined[[#This Row],[ID]], Table4[ID], Table4[Visits], "Not Found", 0)</f>
        <v>8</v>
      </c>
      <c r="W740" s="8">
        <f>_xlfn.XLOOKUP(CustomerCombined[[#This Row],[ID]], Table2[ID],Table2[Complaint], "Not Found", 0 )</f>
        <v>0</v>
      </c>
      <c r="X740" s="8">
        <f>_xlfn.XLOOKUP(CustomerCombined[[#This Row],[ID]], Table2[ID],Table2[Pilot], "Not Found", 0 )</f>
        <v>0</v>
      </c>
      <c r="Y740" s="8">
        <f>_xlfn.XLOOKUP(CustomerCombined[[#This Row],[ID]], Table2[ID],Table2[MC1], "Not Found", 0 )</f>
        <v>0</v>
      </c>
      <c r="Z740" s="8">
        <f>_xlfn.XLOOKUP(CustomerCombined[[#This Row],[ID]], Table2[ID],Table2[MC2], "Not Found", 0 )</f>
        <v>0</v>
      </c>
      <c r="AA740" s="8">
        <f>_xlfn.XLOOKUP(CustomerCombined[[#This Row],[ID]], Table2[ID],Table2[MC3], "Not Found", 0 )</f>
        <v>0</v>
      </c>
      <c r="AB740" s="8">
        <f>_xlfn.XLOOKUP(CustomerCombined[[#This Row],[ID]], Table2[ID],Table2[MC4], "Not Found", 0 )</f>
        <v>0</v>
      </c>
      <c r="AC740" s="8">
        <f>_xlfn.XLOOKUP(CustomerCombined[[#This Row],[ID]], Table2[ID],Table2[MC5], "Not Found", 0 )</f>
        <v>0</v>
      </c>
    </row>
    <row r="741" spans="1:29" x14ac:dyDescent="0.3">
      <c r="A741" s="6">
        <v>2487</v>
      </c>
      <c r="B741" s="6">
        <v>146098</v>
      </c>
      <c r="C741" s="6">
        <v>1</v>
      </c>
      <c r="D741" s="6">
        <v>1</v>
      </c>
      <c r="E741" s="6">
        <v>45</v>
      </c>
      <c r="F741" s="5" t="s">
        <v>7</v>
      </c>
      <c r="G741" s="5" t="s">
        <v>12</v>
      </c>
      <c r="H741" s="3" t="s">
        <v>410</v>
      </c>
      <c r="I741" s="5" t="s">
        <v>435</v>
      </c>
      <c r="J741" s="5">
        <f>_xlfn.XLOOKUP(CustomerCombined[[#This Row],[ID]], Table4[ID], Table4[Recency], "Not Found", 0)</f>
        <v>86</v>
      </c>
      <c r="K741" s="5">
        <f>_xlfn.XLOOKUP(CustomerCombined[[#This Row],[ID]], Table4[ID], Table4[Teas], "Not Found", 0)</f>
        <v>181</v>
      </c>
      <c r="L741" s="5">
        <f>_xlfn.XLOOKUP(CustomerCombined[[#This Row],[ID]], Table4[ID], Table4[Fruits], "Not Found", 0)</f>
        <v>0</v>
      </c>
      <c r="M741" s="5">
        <f>_xlfn.XLOOKUP(CustomerCombined[[#This Row],[ID]], Table4[ID], Table4[Meats], "Not Found", 0)</f>
        <v>86</v>
      </c>
      <c r="N741" s="5">
        <f>_xlfn.XLOOKUP(CustomerCombined[[#This Row],[ID]], Table4[ID], Table4[Seafood], "Not Found", 0)</f>
        <v>0</v>
      </c>
      <c r="O741" s="5">
        <f>_xlfn.XLOOKUP(CustomerCombined[[#This Row],[ID]], Table4[ID], Table4[Sweets], "Not Found", 0)</f>
        <v>0</v>
      </c>
      <c r="P741" s="5">
        <f>_xlfn.XLOOKUP(CustomerCombined[[#This Row],[ID]], Table4[ID], Table4[Premium], "Not Found", 0)</f>
        <v>114</v>
      </c>
      <c r="Q741" s="5">
        <f>_xlfn.XLOOKUP(CustomerCombined[[#This Row],[ID]], Table4[ID], Table4[Regular], "Not Found", 0)</f>
        <v>152</v>
      </c>
      <c r="R741" s="5">
        <f>_xlfn.XLOOKUP(CustomerCombined[[#This Row],[ID]], Table4[ID], Table4[Deals], "Not Found", 0)</f>
        <v>4</v>
      </c>
      <c r="S741" s="5">
        <f>_xlfn.XLOOKUP(CustomerCombined[[#This Row],[ID]], Table4[ID], Table4[Website], "Not Found", 0)</f>
        <v>3</v>
      </c>
      <c r="T741" s="5">
        <f>_xlfn.XLOOKUP(CustomerCombined[[#This Row],[ID]], Table4[ID], Table4[Catalog], "Not Found", 0)</f>
        <v>2</v>
      </c>
      <c r="U741" s="5">
        <f>_xlfn.XLOOKUP(CustomerCombined[[#This Row],[ID]], Table4[ID], Table4[Store], "Not Found", 0)</f>
        <v>2</v>
      </c>
      <c r="V741" s="5">
        <f>_xlfn.XLOOKUP(CustomerCombined[[#This Row],[ID]], Table4[ID], Table4[Visits], "Not Found", 0)</f>
        <v>8</v>
      </c>
      <c r="W741" s="8">
        <f>_xlfn.XLOOKUP(CustomerCombined[[#This Row],[ID]], Table2[ID],Table2[Complaint], "Not Found", 0 )</f>
        <v>0</v>
      </c>
      <c r="X741" s="8">
        <f>_xlfn.XLOOKUP(CustomerCombined[[#This Row],[ID]], Table2[ID],Table2[Pilot], "Not Found", 0 )</f>
        <v>0</v>
      </c>
      <c r="Y741" s="8">
        <f>_xlfn.XLOOKUP(CustomerCombined[[#This Row],[ID]], Table2[ID],Table2[MC1], "Not Found", 0 )</f>
        <v>0</v>
      </c>
      <c r="Z741" s="8">
        <f>_xlfn.XLOOKUP(CustomerCombined[[#This Row],[ID]], Table2[ID],Table2[MC2], "Not Found", 0 )</f>
        <v>0</v>
      </c>
      <c r="AA741" s="8">
        <f>_xlfn.XLOOKUP(CustomerCombined[[#This Row],[ID]], Table2[ID],Table2[MC3], "Not Found", 0 )</f>
        <v>0</v>
      </c>
      <c r="AB741" s="8">
        <f>_xlfn.XLOOKUP(CustomerCombined[[#This Row],[ID]], Table2[ID],Table2[MC4], "Not Found", 0 )</f>
        <v>0</v>
      </c>
      <c r="AC741" s="8">
        <f>_xlfn.XLOOKUP(CustomerCombined[[#This Row],[ID]], Table2[ID],Table2[MC5], "Not Found", 0 )</f>
        <v>0</v>
      </c>
    </row>
    <row r="742" spans="1:29" x14ac:dyDescent="0.3">
      <c r="A742" s="6">
        <v>2509</v>
      </c>
      <c r="B742" s="6">
        <v>146098</v>
      </c>
      <c r="C742" s="6">
        <v>1</v>
      </c>
      <c r="D742" s="6">
        <v>1</v>
      </c>
      <c r="E742" s="6">
        <v>45</v>
      </c>
      <c r="F742" s="5" t="s">
        <v>7</v>
      </c>
      <c r="G742" s="5" t="s">
        <v>12</v>
      </c>
      <c r="H742" s="3" t="s">
        <v>410</v>
      </c>
      <c r="I742" s="5" t="s">
        <v>437</v>
      </c>
      <c r="J742" s="5">
        <f>_xlfn.XLOOKUP(CustomerCombined[[#This Row],[ID]], Table4[ID], Table4[Recency], "Not Found", 0)</f>
        <v>86</v>
      </c>
      <c r="K742" s="5">
        <f>_xlfn.XLOOKUP(CustomerCombined[[#This Row],[ID]], Table4[ID], Table4[Teas], "Not Found", 0)</f>
        <v>181</v>
      </c>
      <c r="L742" s="5">
        <f>_xlfn.XLOOKUP(CustomerCombined[[#This Row],[ID]], Table4[ID], Table4[Fruits], "Not Found", 0)</f>
        <v>0</v>
      </c>
      <c r="M742" s="5">
        <f>_xlfn.XLOOKUP(CustomerCombined[[#This Row],[ID]], Table4[ID], Table4[Meats], "Not Found", 0)</f>
        <v>86</v>
      </c>
      <c r="N742" s="5">
        <f>_xlfn.XLOOKUP(CustomerCombined[[#This Row],[ID]], Table4[ID], Table4[Seafood], "Not Found", 0)</f>
        <v>0</v>
      </c>
      <c r="O742" s="5">
        <f>_xlfn.XLOOKUP(CustomerCombined[[#This Row],[ID]], Table4[ID], Table4[Sweets], "Not Found", 0)</f>
        <v>0</v>
      </c>
      <c r="P742" s="5">
        <f>_xlfn.XLOOKUP(CustomerCombined[[#This Row],[ID]], Table4[ID], Table4[Premium], "Not Found", 0)</f>
        <v>114</v>
      </c>
      <c r="Q742" s="5">
        <f>_xlfn.XLOOKUP(CustomerCombined[[#This Row],[ID]], Table4[ID], Table4[Regular], "Not Found", 0)</f>
        <v>152</v>
      </c>
      <c r="R742" s="5">
        <f>_xlfn.XLOOKUP(CustomerCombined[[#This Row],[ID]], Table4[ID], Table4[Deals], "Not Found", 0)</f>
        <v>4</v>
      </c>
      <c r="S742" s="5">
        <f>_xlfn.XLOOKUP(CustomerCombined[[#This Row],[ID]], Table4[ID], Table4[Website], "Not Found", 0)</f>
        <v>3</v>
      </c>
      <c r="T742" s="5">
        <f>_xlfn.XLOOKUP(CustomerCombined[[#This Row],[ID]], Table4[ID], Table4[Catalog], "Not Found", 0)</f>
        <v>2</v>
      </c>
      <c r="U742" s="5">
        <f>_xlfn.XLOOKUP(CustomerCombined[[#This Row],[ID]], Table4[ID], Table4[Store], "Not Found", 0)</f>
        <v>2</v>
      </c>
      <c r="V742" s="5">
        <f>_xlfn.XLOOKUP(CustomerCombined[[#This Row],[ID]], Table4[ID], Table4[Visits], "Not Found", 0)</f>
        <v>8</v>
      </c>
      <c r="W742" s="8">
        <f>_xlfn.XLOOKUP(CustomerCombined[[#This Row],[ID]], Table2[ID],Table2[Complaint], "Not Found", 0 )</f>
        <v>0</v>
      </c>
      <c r="X742" s="8">
        <f>_xlfn.XLOOKUP(CustomerCombined[[#This Row],[ID]], Table2[ID],Table2[Pilot], "Not Found", 0 )</f>
        <v>1</v>
      </c>
      <c r="Y742" s="8">
        <f>_xlfn.XLOOKUP(CustomerCombined[[#This Row],[ID]], Table2[ID],Table2[MC1], "Not Found", 0 )</f>
        <v>0</v>
      </c>
      <c r="Z742" s="8">
        <f>_xlfn.XLOOKUP(CustomerCombined[[#This Row],[ID]], Table2[ID],Table2[MC2], "Not Found", 0 )</f>
        <v>0</v>
      </c>
      <c r="AA742" s="8">
        <f>_xlfn.XLOOKUP(CustomerCombined[[#This Row],[ID]], Table2[ID],Table2[MC3], "Not Found", 0 )</f>
        <v>0</v>
      </c>
      <c r="AB742" s="8">
        <f>_xlfn.XLOOKUP(CustomerCombined[[#This Row],[ID]], Table2[ID],Table2[MC4], "Not Found", 0 )</f>
        <v>0</v>
      </c>
      <c r="AC742" s="8">
        <f>_xlfn.XLOOKUP(CustomerCombined[[#This Row],[ID]], Table2[ID],Table2[MC5], "Not Found", 0 )</f>
        <v>0</v>
      </c>
    </row>
    <row r="743" spans="1:29" x14ac:dyDescent="0.3">
      <c r="A743" s="6">
        <v>2307</v>
      </c>
      <c r="B743" s="6">
        <v>145503</v>
      </c>
      <c r="C743" s="6">
        <v>1</v>
      </c>
      <c r="D743" s="6">
        <v>0</v>
      </c>
      <c r="E743" s="6">
        <v>45</v>
      </c>
      <c r="F743" s="5" t="s">
        <v>6</v>
      </c>
      <c r="G743" s="5" t="s">
        <v>13</v>
      </c>
      <c r="H743" s="3">
        <v>43833</v>
      </c>
      <c r="I743" s="5" t="s">
        <v>435</v>
      </c>
      <c r="J743" s="5">
        <f>_xlfn.XLOOKUP(CustomerCombined[[#This Row],[ID]], Table4[ID], Table4[Recency], "Not Found", 0)</f>
        <v>54</v>
      </c>
      <c r="K743" s="5">
        <f>_xlfn.XLOOKUP(CustomerCombined[[#This Row],[ID]], Table4[ID], Table4[Teas], "Not Found", 0)</f>
        <v>310</v>
      </c>
      <c r="L743" s="5">
        <f>_xlfn.XLOOKUP(CustomerCombined[[#This Row],[ID]], Table4[ID], Table4[Fruits], "Not Found", 0)</f>
        <v>13</v>
      </c>
      <c r="M743" s="5">
        <f>_xlfn.XLOOKUP(CustomerCombined[[#This Row],[ID]], Table4[ID], Table4[Meats], "Not Found", 0)</f>
        <v>141</v>
      </c>
      <c r="N743" s="5">
        <f>_xlfn.XLOOKUP(CustomerCombined[[#This Row],[ID]], Table4[ID], Table4[Seafood], "Not Found", 0)</f>
        <v>19</v>
      </c>
      <c r="O743" s="5">
        <f>_xlfn.XLOOKUP(CustomerCombined[[#This Row],[ID]], Table4[ID], Table4[Sweets], "Not Found", 0)</f>
        <v>3</v>
      </c>
      <c r="P743" s="5">
        <f>_xlfn.XLOOKUP(CustomerCombined[[#This Row],[ID]], Table4[ID], Table4[Premium], "Not Found", 0)</f>
        <v>58</v>
      </c>
      <c r="Q743" s="5">
        <f>_xlfn.XLOOKUP(CustomerCombined[[#This Row],[ID]], Table4[ID], Table4[Regular], "Not Found", 0)</f>
        <v>428</v>
      </c>
      <c r="R743" s="5">
        <f>_xlfn.XLOOKUP(CustomerCombined[[#This Row],[ID]], Table4[ID], Table4[Deals], "Not Found", 0)</f>
        <v>1</v>
      </c>
      <c r="S743" s="5">
        <f>_xlfn.XLOOKUP(CustomerCombined[[#This Row],[ID]], Table4[ID], Table4[Website], "Not Found", 0)</f>
        <v>3</v>
      </c>
      <c r="T743" s="5">
        <f>_xlfn.XLOOKUP(CustomerCombined[[#This Row],[ID]], Table4[ID], Table4[Catalog], "Not Found", 0)</f>
        <v>1</v>
      </c>
      <c r="U743" s="5">
        <f>_xlfn.XLOOKUP(CustomerCombined[[#This Row],[ID]], Table4[ID], Table4[Store], "Not Found", 0)</f>
        <v>4</v>
      </c>
      <c r="V743" s="5">
        <f>_xlfn.XLOOKUP(CustomerCombined[[#This Row],[ID]], Table4[ID], Table4[Visits], "Not Found", 0)</f>
        <v>5</v>
      </c>
      <c r="W743" s="8">
        <f>_xlfn.XLOOKUP(CustomerCombined[[#This Row],[ID]], Table2[ID],Table2[Complaint], "Not Found", 0 )</f>
        <v>0</v>
      </c>
      <c r="X743" s="8">
        <f>_xlfn.XLOOKUP(CustomerCombined[[#This Row],[ID]], Table2[ID],Table2[Pilot], "Not Found", 0 )</f>
        <v>0</v>
      </c>
      <c r="Y743" s="8">
        <f>_xlfn.XLOOKUP(CustomerCombined[[#This Row],[ID]], Table2[ID],Table2[MC1], "Not Found", 0 )</f>
        <v>0</v>
      </c>
      <c r="Z743" s="8">
        <f>_xlfn.XLOOKUP(CustomerCombined[[#This Row],[ID]], Table2[ID],Table2[MC2], "Not Found", 0 )</f>
        <v>0</v>
      </c>
      <c r="AA743" s="8">
        <f>_xlfn.XLOOKUP(CustomerCombined[[#This Row],[ID]], Table2[ID],Table2[MC3], "Not Found", 0 )</f>
        <v>0</v>
      </c>
      <c r="AB743" s="8">
        <f>_xlfn.XLOOKUP(CustomerCombined[[#This Row],[ID]], Table2[ID],Table2[MC4], "Not Found", 0 )</f>
        <v>0</v>
      </c>
      <c r="AC743" s="8">
        <f>_xlfn.XLOOKUP(CustomerCombined[[#This Row],[ID]], Table2[ID],Table2[MC5], "Not Found", 0 )</f>
        <v>0</v>
      </c>
    </row>
    <row r="744" spans="1:29" x14ac:dyDescent="0.3">
      <c r="A744" s="6">
        <v>1271</v>
      </c>
      <c r="B744" s="6">
        <v>144319</v>
      </c>
      <c r="C744" s="6">
        <v>1</v>
      </c>
      <c r="D744" s="6">
        <v>1</v>
      </c>
      <c r="E744" s="6">
        <v>45</v>
      </c>
      <c r="F744" s="5" t="s">
        <v>6</v>
      </c>
      <c r="G744" s="5" t="s">
        <v>12</v>
      </c>
      <c r="H744" s="3" t="s">
        <v>65</v>
      </c>
      <c r="I744" s="5" t="s">
        <v>434</v>
      </c>
      <c r="J744" s="5">
        <f>_xlfn.XLOOKUP(CustomerCombined[[#This Row],[ID]], Table4[ID], Table4[Recency], "Not Found", 0)</f>
        <v>18</v>
      </c>
      <c r="K744" s="5">
        <f>_xlfn.XLOOKUP(CustomerCombined[[#This Row],[ID]], Table4[ID], Table4[Teas], "Not Found", 0)</f>
        <v>85</v>
      </c>
      <c r="L744" s="5">
        <f>_xlfn.XLOOKUP(CustomerCombined[[#This Row],[ID]], Table4[ID], Table4[Fruits], "Not Found", 0)</f>
        <v>0</v>
      </c>
      <c r="M744" s="5">
        <f>_xlfn.XLOOKUP(CustomerCombined[[#This Row],[ID]], Table4[ID], Table4[Meats], "Not Found", 0)</f>
        <v>26</v>
      </c>
      <c r="N744" s="5">
        <f>_xlfn.XLOOKUP(CustomerCombined[[#This Row],[ID]], Table4[ID], Table4[Seafood], "Not Found", 0)</f>
        <v>0</v>
      </c>
      <c r="O744" s="5">
        <f>_xlfn.XLOOKUP(CustomerCombined[[#This Row],[ID]], Table4[ID], Table4[Sweets], "Not Found", 0)</f>
        <v>0</v>
      </c>
      <c r="P744" s="5">
        <f>_xlfn.XLOOKUP(CustomerCombined[[#This Row],[ID]], Table4[ID], Table4[Premium], "Not Found", 0)</f>
        <v>10</v>
      </c>
      <c r="Q744" s="5">
        <f>_xlfn.XLOOKUP(CustomerCombined[[#This Row],[ID]], Table4[ID], Table4[Regular], "Not Found", 0)</f>
        <v>101</v>
      </c>
      <c r="R744" s="5">
        <f>_xlfn.XLOOKUP(CustomerCombined[[#This Row],[ID]], Table4[ID], Table4[Deals], "Not Found", 0)</f>
        <v>2</v>
      </c>
      <c r="S744" s="5">
        <f>_xlfn.XLOOKUP(CustomerCombined[[#This Row],[ID]], Table4[ID], Table4[Website], "Not Found", 0)</f>
        <v>2</v>
      </c>
      <c r="T744" s="5">
        <f>_xlfn.XLOOKUP(CustomerCombined[[#This Row],[ID]], Table4[ID], Table4[Catalog], "Not Found", 0)</f>
        <v>0</v>
      </c>
      <c r="U744" s="5">
        <f>_xlfn.XLOOKUP(CustomerCombined[[#This Row],[ID]], Table4[ID], Table4[Store], "Not Found", 0)</f>
        <v>3</v>
      </c>
      <c r="V744" s="5">
        <f>_xlfn.XLOOKUP(CustomerCombined[[#This Row],[ID]], Table4[ID], Table4[Visits], "Not Found", 0)</f>
        <v>5</v>
      </c>
      <c r="W744" s="8">
        <f>_xlfn.XLOOKUP(CustomerCombined[[#This Row],[ID]], Table2[ID],Table2[Complaint], "Not Found", 0 )</f>
        <v>0</v>
      </c>
      <c r="X744" s="8">
        <f>_xlfn.XLOOKUP(CustomerCombined[[#This Row],[ID]], Table2[ID],Table2[Pilot], "Not Found", 0 )</f>
        <v>0</v>
      </c>
      <c r="Y744" s="8">
        <f>_xlfn.XLOOKUP(CustomerCombined[[#This Row],[ID]], Table2[ID],Table2[MC1], "Not Found", 0 )</f>
        <v>0</v>
      </c>
      <c r="Z744" s="8">
        <f>_xlfn.XLOOKUP(CustomerCombined[[#This Row],[ID]], Table2[ID],Table2[MC2], "Not Found", 0 )</f>
        <v>0</v>
      </c>
      <c r="AA744" s="8">
        <f>_xlfn.XLOOKUP(CustomerCombined[[#This Row],[ID]], Table2[ID],Table2[MC3], "Not Found", 0 )</f>
        <v>0</v>
      </c>
      <c r="AB744" s="8">
        <f>_xlfn.XLOOKUP(CustomerCombined[[#This Row],[ID]], Table2[ID],Table2[MC4], "Not Found", 0 )</f>
        <v>0</v>
      </c>
      <c r="AC744" s="8">
        <f>_xlfn.XLOOKUP(CustomerCombined[[#This Row],[ID]], Table2[ID],Table2[MC5], "Not Found", 0 )</f>
        <v>0</v>
      </c>
    </row>
    <row r="745" spans="1:29" x14ac:dyDescent="0.3">
      <c r="A745" s="6">
        <v>1467</v>
      </c>
      <c r="B745" s="6">
        <v>143057</v>
      </c>
      <c r="C745" s="6">
        <v>0</v>
      </c>
      <c r="D745" s="6">
        <v>1</v>
      </c>
      <c r="E745" s="6">
        <v>45</v>
      </c>
      <c r="F745" s="5" t="s">
        <v>6</v>
      </c>
      <c r="G745" s="5" t="s">
        <v>11</v>
      </c>
      <c r="H745" s="3">
        <v>43955</v>
      </c>
      <c r="I745" s="5" t="s">
        <v>435</v>
      </c>
      <c r="J745" s="5">
        <f>_xlfn.XLOOKUP(CustomerCombined[[#This Row],[ID]], Table4[ID], Table4[Recency], "Not Found", 0)</f>
        <v>30</v>
      </c>
      <c r="K745" s="5">
        <f>_xlfn.XLOOKUP(CustomerCombined[[#This Row],[ID]], Table4[ID], Table4[Teas], "Not Found", 0)</f>
        <v>708</v>
      </c>
      <c r="L745" s="5">
        <f>_xlfn.XLOOKUP(CustomerCombined[[#This Row],[ID]], Table4[ID], Table4[Fruits], "Not Found", 0)</f>
        <v>7</v>
      </c>
      <c r="M745" s="5">
        <f>_xlfn.XLOOKUP(CustomerCombined[[#This Row],[ID]], Table4[ID], Table4[Meats], "Not Found", 0)</f>
        <v>146</v>
      </c>
      <c r="N745" s="5">
        <f>_xlfn.XLOOKUP(CustomerCombined[[#This Row],[ID]], Table4[ID], Table4[Seafood], "Not Found", 0)</f>
        <v>0</v>
      </c>
      <c r="O745" s="5">
        <f>_xlfn.XLOOKUP(CustomerCombined[[#This Row],[ID]], Table4[ID], Table4[Sweets], "Not Found", 0)</f>
        <v>7</v>
      </c>
      <c r="P745" s="5">
        <f>_xlfn.XLOOKUP(CustomerCombined[[#This Row],[ID]], Table4[ID], Table4[Premium], "Not Found", 0)</f>
        <v>17</v>
      </c>
      <c r="Q745" s="5">
        <f>_xlfn.XLOOKUP(CustomerCombined[[#This Row],[ID]], Table4[ID], Table4[Regular], "Not Found", 0)</f>
        <v>851</v>
      </c>
      <c r="R745" s="5">
        <f>_xlfn.XLOOKUP(CustomerCombined[[#This Row],[ID]], Table4[ID], Table4[Deals], "Not Found", 0)</f>
        <v>4</v>
      </c>
      <c r="S745" s="5">
        <f>_xlfn.XLOOKUP(CustomerCombined[[#This Row],[ID]], Table4[ID], Table4[Website], "Not Found", 0)</f>
        <v>4</v>
      </c>
      <c r="T745" s="5">
        <f>_xlfn.XLOOKUP(CustomerCombined[[#This Row],[ID]], Table4[ID], Table4[Catalog], "Not Found", 0)</f>
        <v>2</v>
      </c>
      <c r="U745" s="5">
        <f>_xlfn.XLOOKUP(CustomerCombined[[#This Row],[ID]], Table4[ID], Table4[Store], "Not Found", 0)</f>
        <v>5</v>
      </c>
      <c r="V745" s="5">
        <f>_xlfn.XLOOKUP(CustomerCombined[[#This Row],[ID]], Table4[ID], Table4[Visits], "Not Found", 0)</f>
        <v>5</v>
      </c>
      <c r="W745" s="8">
        <f>_xlfn.XLOOKUP(CustomerCombined[[#This Row],[ID]], Table2[ID],Table2[Complaint], "Not Found", 0 )</f>
        <v>0</v>
      </c>
      <c r="X745" s="8">
        <f>_xlfn.XLOOKUP(CustomerCombined[[#This Row],[ID]], Table2[ID],Table2[Pilot], "Not Found", 0 )</f>
        <v>0</v>
      </c>
      <c r="Y745" s="8">
        <f>_xlfn.XLOOKUP(CustomerCombined[[#This Row],[ID]], Table2[ID],Table2[MC1], "Not Found", 0 )</f>
        <v>0</v>
      </c>
      <c r="Z745" s="8">
        <f>_xlfn.XLOOKUP(CustomerCombined[[#This Row],[ID]], Table2[ID],Table2[MC2], "Not Found", 0 )</f>
        <v>0</v>
      </c>
      <c r="AA745" s="8">
        <f>_xlfn.XLOOKUP(CustomerCombined[[#This Row],[ID]], Table2[ID],Table2[MC3], "Not Found", 0 )</f>
        <v>0</v>
      </c>
      <c r="AB745" s="8">
        <f>_xlfn.XLOOKUP(CustomerCombined[[#This Row],[ID]], Table2[ID],Table2[MC4], "Not Found", 0 )</f>
        <v>0</v>
      </c>
      <c r="AC745" s="8">
        <f>_xlfn.XLOOKUP(CustomerCombined[[#This Row],[ID]], Table2[ID],Table2[MC5], "Not Found", 0 )</f>
        <v>0</v>
      </c>
    </row>
    <row r="746" spans="1:29" x14ac:dyDescent="0.3">
      <c r="A746" s="6">
        <v>2196</v>
      </c>
      <c r="B746" s="6">
        <v>142160</v>
      </c>
      <c r="C746" s="6">
        <v>1</v>
      </c>
      <c r="D746" s="6">
        <v>1</v>
      </c>
      <c r="E746" s="6">
        <v>45</v>
      </c>
      <c r="F746" s="5" t="s">
        <v>7</v>
      </c>
      <c r="G746" s="5" t="s">
        <v>11</v>
      </c>
      <c r="H746" s="3">
        <v>43536</v>
      </c>
      <c r="I746" s="5" t="s">
        <v>436</v>
      </c>
      <c r="J746" s="5">
        <f>_xlfn.XLOOKUP(CustomerCombined[[#This Row],[ID]], Table4[ID], Table4[Recency], "Not Found", 0)</f>
        <v>26</v>
      </c>
      <c r="K746" s="5">
        <f>_xlfn.XLOOKUP(CustomerCombined[[#This Row],[ID]], Table4[ID], Table4[Teas], "Not Found", 0)</f>
        <v>162</v>
      </c>
      <c r="L746" s="5">
        <f>_xlfn.XLOOKUP(CustomerCombined[[#This Row],[ID]], Table4[ID], Table4[Fruits], "Not Found", 0)</f>
        <v>30</v>
      </c>
      <c r="M746" s="5">
        <f>_xlfn.XLOOKUP(CustomerCombined[[#This Row],[ID]], Table4[ID], Table4[Meats], "Not Found", 0)</f>
        <v>152</v>
      </c>
      <c r="N746" s="5">
        <f>_xlfn.XLOOKUP(CustomerCombined[[#This Row],[ID]], Table4[ID], Table4[Seafood], "Not Found", 0)</f>
        <v>10</v>
      </c>
      <c r="O746" s="5">
        <f>_xlfn.XLOOKUP(CustomerCombined[[#This Row],[ID]], Table4[ID], Table4[Sweets], "Not Found", 0)</f>
        <v>51</v>
      </c>
      <c r="P746" s="5">
        <f>_xlfn.XLOOKUP(CustomerCombined[[#This Row],[ID]], Table4[ID], Table4[Premium], "Not Found", 0)</f>
        <v>67</v>
      </c>
      <c r="Q746" s="5">
        <f>_xlfn.XLOOKUP(CustomerCombined[[#This Row],[ID]], Table4[ID], Table4[Regular], "Not Found", 0)</f>
        <v>337</v>
      </c>
      <c r="R746" s="5">
        <f>_xlfn.XLOOKUP(CustomerCombined[[#This Row],[ID]], Table4[ID], Table4[Deals], "Not Found", 0)</f>
        <v>4</v>
      </c>
      <c r="S746" s="5">
        <f>_xlfn.XLOOKUP(CustomerCombined[[#This Row],[ID]], Table4[ID], Table4[Website], "Not Found", 0)</f>
        <v>2</v>
      </c>
      <c r="T746" s="5">
        <f>_xlfn.XLOOKUP(CustomerCombined[[#This Row],[ID]], Table4[ID], Table4[Catalog], "Not Found", 0)</f>
        <v>1</v>
      </c>
      <c r="U746" s="5">
        <f>_xlfn.XLOOKUP(CustomerCombined[[#This Row],[ID]], Table4[ID], Table4[Store], "Not Found", 0)</f>
        <v>4</v>
      </c>
      <c r="V746" s="5">
        <f>_xlfn.XLOOKUP(CustomerCombined[[#This Row],[ID]], Table4[ID], Table4[Visits], "Not Found", 0)</f>
        <v>6</v>
      </c>
      <c r="W746" s="8">
        <f>_xlfn.XLOOKUP(CustomerCombined[[#This Row],[ID]], Table2[ID],Table2[Complaint], "Not Found", 0 )</f>
        <v>0</v>
      </c>
      <c r="X746" s="8">
        <f>_xlfn.XLOOKUP(CustomerCombined[[#This Row],[ID]], Table2[ID],Table2[Pilot], "Not Found", 0 )</f>
        <v>1</v>
      </c>
      <c r="Y746" s="8">
        <f>_xlfn.XLOOKUP(CustomerCombined[[#This Row],[ID]], Table2[ID],Table2[MC1], "Not Found", 0 )</f>
        <v>0</v>
      </c>
      <c r="Z746" s="8">
        <f>_xlfn.XLOOKUP(CustomerCombined[[#This Row],[ID]], Table2[ID],Table2[MC2], "Not Found", 0 )</f>
        <v>0</v>
      </c>
      <c r="AA746" s="8">
        <f>_xlfn.XLOOKUP(CustomerCombined[[#This Row],[ID]], Table2[ID],Table2[MC3], "Not Found", 0 )</f>
        <v>0</v>
      </c>
      <c r="AB746" s="8">
        <f>_xlfn.XLOOKUP(CustomerCombined[[#This Row],[ID]], Table2[ID],Table2[MC4], "Not Found", 0 )</f>
        <v>0</v>
      </c>
      <c r="AC746" s="8">
        <f>_xlfn.XLOOKUP(CustomerCombined[[#This Row],[ID]], Table2[ID],Table2[MC5], "Not Found", 0 )</f>
        <v>0</v>
      </c>
    </row>
    <row r="747" spans="1:29" x14ac:dyDescent="0.3">
      <c r="A747" s="6">
        <v>2369</v>
      </c>
      <c r="B747" s="6">
        <v>141658</v>
      </c>
      <c r="C747" s="6">
        <v>1</v>
      </c>
      <c r="D747" s="6">
        <v>1</v>
      </c>
      <c r="E747" s="6">
        <v>45</v>
      </c>
      <c r="F747" s="5" t="s">
        <v>7</v>
      </c>
      <c r="G747" s="5" t="s">
        <v>442</v>
      </c>
      <c r="H747" s="3" t="s">
        <v>366</v>
      </c>
      <c r="I747" s="5" t="s">
        <v>434</v>
      </c>
      <c r="J747" s="5">
        <f>_xlfn.XLOOKUP(CustomerCombined[[#This Row],[ID]], Table4[ID], Table4[Recency], "Not Found", 0)</f>
        <v>30</v>
      </c>
      <c r="K747" s="5">
        <f>_xlfn.XLOOKUP(CustomerCombined[[#This Row],[ID]], Table4[ID], Table4[Teas], "Not Found", 0)</f>
        <v>27</v>
      </c>
      <c r="L747" s="5">
        <f>_xlfn.XLOOKUP(CustomerCombined[[#This Row],[ID]], Table4[ID], Table4[Fruits], "Not Found", 0)</f>
        <v>14</v>
      </c>
      <c r="M747" s="5">
        <f>_xlfn.XLOOKUP(CustomerCombined[[#This Row],[ID]], Table4[ID], Table4[Meats], "Not Found", 0)</f>
        <v>41</v>
      </c>
      <c r="N747" s="5">
        <f>_xlfn.XLOOKUP(CustomerCombined[[#This Row],[ID]], Table4[ID], Table4[Seafood], "Not Found", 0)</f>
        <v>51</v>
      </c>
      <c r="O747" s="5">
        <f>_xlfn.XLOOKUP(CustomerCombined[[#This Row],[ID]], Table4[ID], Table4[Sweets], "Not Found", 0)</f>
        <v>14</v>
      </c>
      <c r="P747" s="5">
        <f>_xlfn.XLOOKUP(CustomerCombined[[#This Row],[ID]], Table4[ID], Table4[Premium], "Not Found", 0)</f>
        <v>99</v>
      </c>
      <c r="Q747" s="5">
        <f>_xlfn.XLOOKUP(CustomerCombined[[#This Row],[ID]], Table4[ID], Table4[Regular], "Not Found", 0)</f>
        <v>48</v>
      </c>
      <c r="R747" s="5">
        <f>_xlfn.XLOOKUP(CustomerCombined[[#This Row],[ID]], Table4[ID], Table4[Deals], "Not Found", 0)</f>
        <v>2</v>
      </c>
      <c r="S747" s="5">
        <f>_xlfn.XLOOKUP(CustomerCombined[[#This Row],[ID]], Table4[ID], Table4[Website], "Not Found", 0)</f>
        <v>1</v>
      </c>
      <c r="T747" s="5">
        <f>_xlfn.XLOOKUP(CustomerCombined[[#This Row],[ID]], Table4[ID], Table4[Catalog], "Not Found", 0)</f>
        <v>1</v>
      </c>
      <c r="U747" s="5">
        <f>_xlfn.XLOOKUP(CustomerCombined[[#This Row],[ID]], Table4[ID], Table4[Store], "Not Found", 0)</f>
        <v>2</v>
      </c>
      <c r="V747" s="5">
        <f>_xlfn.XLOOKUP(CustomerCombined[[#This Row],[ID]], Table4[ID], Table4[Visits], "Not Found", 0)</f>
        <v>4</v>
      </c>
      <c r="W747" s="8">
        <f>_xlfn.XLOOKUP(CustomerCombined[[#This Row],[ID]], Table2[ID],Table2[Complaint], "Not Found", 0 )</f>
        <v>0</v>
      </c>
      <c r="X747" s="8">
        <f>_xlfn.XLOOKUP(CustomerCombined[[#This Row],[ID]], Table2[ID],Table2[Pilot], "Not Found", 0 )</f>
        <v>0</v>
      </c>
      <c r="Y747" s="8">
        <f>_xlfn.XLOOKUP(CustomerCombined[[#This Row],[ID]], Table2[ID],Table2[MC1], "Not Found", 0 )</f>
        <v>0</v>
      </c>
      <c r="Z747" s="8">
        <f>_xlfn.XLOOKUP(CustomerCombined[[#This Row],[ID]], Table2[ID],Table2[MC2], "Not Found", 0 )</f>
        <v>0</v>
      </c>
      <c r="AA747" s="8">
        <f>_xlfn.XLOOKUP(CustomerCombined[[#This Row],[ID]], Table2[ID],Table2[MC3], "Not Found", 0 )</f>
        <v>0</v>
      </c>
      <c r="AB747" s="8">
        <f>_xlfn.XLOOKUP(CustomerCombined[[#This Row],[ID]], Table2[ID],Table2[MC4], "Not Found", 0 )</f>
        <v>0</v>
      </c>
      <c r="AC747" s="8">
        <f>_xlfn.XLOOKUP(CustomerCombined[[#This Row],[ID]], Table2[ID],Table2[MC5], "Not Found", 0 )</f>
        <v>0</v>
      </c>
    </row>
    <row r="748" spans="1:29" x14ac:dyDescent="0.3">
      <c r="A748" s="6">
        <v>2948</v>
      </c>
      <c r="B748" s="6">
        <v>140794</v>
      </c>
      <c r="C748" s="6">
        <v>0</v>
      </c>
      <c r="D748" s="6">
        <v>1</v>
      </c>
      <c r="E748" s="6">
        <v>45</v>
      </c>
      <c r="F748" s="5" t="s">
        <v>6</v>
      </c>
      <c r="G748" s="5" t="s">
        <v>11</v>
      </c>
      <c r="H748" s="3">
        <v>43808</v>
      </c>
      <c r="I748" s="5" t="s">
        <v>438</v>
      </c>
      <c r="J748" s="5">
        <f>_xlfn.XLOOKUP(CustomerCombined[[#This Row],[ID]], Table4[ID], Table4[Recency], "Not Found", 0)</f>
        <v>18</v>
      </c>
      <c r="K748" s="5">
        <f>_xlfn.XLOOKUP(CustomerCombined[[#This Row],[ID]], Table4[ID], Table4[Teas], "Not Found", 0)</f>
        <v>901</v>
      </c>
      <c r="L748" s="5">
        <f>_xlfn.XLOOKUP(CustomerCombined[[#This Row],[ID]], Table4[ID], Table4[Fruits], "Not Found", 0)</f>
        <v>79</v>
      </c>
      <c r="M748" s="5">
        <f>_xlfn.XLOOKUP(CustomerCombined[[#This Row],[ID]], Table4[ID], Table4[Meats], "Not Found", 0)</f>
        <v>252</v>
      </c>
      <c r="N748" s="5">
        <f>_xlfn.XLOOKUP(CustomerCombined[[#This Row],[ID]], Table4[ID], Table4[Seafood], "Not Found", 0)</f>
        <v>14</v>
      </c>
      <c r="O748" s="5">
        <f>_xlfn.XLOOKUP(CustomerCombined[[#This Row],[ID]], Table4[ID], Table4[Sweets], "Not Found", 0)</f>
        <v>79</v>
      </c>
      <c r="P748" s="5">
        <f>_xlfn.XLOOKUP(CustomerCombined[[#This Row],[ID]], Table4[ID], Table4[Premium], "Not Found", 0)</f>
        <v>173</v>
      </c>
      <c r="Q748" s="5">
        <f>_xlfn.XLOOKUP(CustomerCombined[[#This Row],[ID]], Table4[ID], Table4[Regular], "Not Found", 0)</f>
        <v>1153</v>
      </c>
      <c r="R748" s="5">
        <f>_xlfn.XLOOKUP(CustomerCombined[[#This Row],[ID]], Table4[ID], Table4[Deals], "Not Found", 0)</f>
        <v>2</v>
      </c>
      <c r="S748" s="5">
        <f>_xlfn.XLOOKUP(CustomerCombined[[#This Row],[ID]], Table4[ID], Table4[Website], "Not Found", 0)</f>
        <v>6</v>
      </c>
      <c r="T748" s="5">
        <f>_xlfn.XLOOKUP(CustomerCombined[[#This Row],[ID]], Table4[ID], Table4[Catalog], "Not Found", 0)</f>
        <v>3</v>
      </c>
      <c r="U748" s="5">
        <f>_xlfn.XLOOKUP(CustomerCombined[[#This Row],[ID]], Table4[ID], Table4[Store], "Not Found", 0)</f>
        <v>5</v>
      </c>
      <c r="V748" s="5">
        <f>_xlfn.XLOOKUP(CustomerCombined[[#This Row],[ID]], Table4[ID], Table4[Visits], "Not Found", 0)</f>
        <v>7</v>
      </c>
      <c r="W748" s="8">
        <f>_xlfn.XLOOKUP(CustomerCombined[[#This Row],[ID]], Table2[ID],Table2[Complaint], "Not Found", 0 )</f>
        <v>0</v>
      </c>
      <c r="X748" s="8">
        <f>_xlfn.XLOOKUP(CustomerCombined[[#This Row],[ID]], Table2[ID],Table2[Pilot], "Not Found", 0 )</f>
        <v>0</v>
      </c>
      <c r="Y748" s="8">
        <f>_xlfn.XLOOKUP(CustomerCombined[[#This Row],[ID]], Table2[ID],Table2[MC1], "Not Found", 0 )</f>
        <v>0</v>
      </c>
      <c r="Z748" s="8">
        <f>_xlfn.XLOOKUP(CustomerCombined[[#This Row],[ID]], Table2[ID],Table2[MC2], "Not Found", 0 )</f>
        <v>0</v>
      </c>
      <c r="AA748" s="8">
        <f>_xlfn.XLOOKUP(CustomerCombined[[#This Row],[ID]], Table2[ID],Table2[MC3], "Not Found", 0 )</f>
        <v>0</v>
      </c>
      <c r="AB748" s="8">
        <f>_xlfn.XLOOKUP(CustomerCombined[[#This Row],[ID]], Table2[ID],Table2[MC4], "Not Found", 0 )</f>
        <v>0</v>
      </c>
      <c r="AC748" s="8">
        <f>_xlfn.XLOOKUP(CustomerCombined[[#This Row],[ID]], Table2[ID],Table2[MC5], "Not Found", 0 )</f>
        <v>0</v>
      </c>
    </row>
    <row r="749" spans="1:29" x14ac:dyDescent="0.3">
      <c r="A749" s="6">
        <v>1944</v>
      </c>
      <c r="B749" s="6">
        <v>140233</v>
      </c>
      <c r="C749" s="6">
        <v>0</v>
      </c>
      <c r="D749" s="6">
        <v>1</v>
      </c>
      <c r="E749" s="6">
        <v>45</v>
      </c>
      <c r="F749" s="5" t="s">
        <v>6</v>
      </c>
      <c r="G749" s="5" t="s">
        <v>13</v>
      </c>
      <c r="H749" s="3" t="s">
        <v>168</v>
      </c>
      <c r="I749" s="5" t="s">
        <v>436</v>
      </c>
      <c r="J749" s="5">
        <f>_xlfn.XLOOKUP(CustomerCombined[[#This Row],[ID]], Table4[ID], Table4[Recency], "Not Found", 0)</f>
        <v>84</v>
      </c>
      <c r="K749" s="5">
        <f>_xlfn.XLOOKUP(CustomerCombined[[#This Row],[ID]], Table4[ID], Table4[Teas], "Not Found", 0)</f>
        <v>279</v>
      </c>
      <c r="L749" s="5">
        <f>_xlfn.XLOOKUP(CustomerCombined[[#This Row],[ID]], Table4[ID], Table4[Fruits], "Not Found", 0)</f>
        <v>14</v>
      </c>
      <c r="M749" s="5">
        <f>_xlfn.XLOOKUP(CustomerCombined[[#This Row],[ID]], Table4[ID], Table4[Meats], "Not Found", 0)</f>
        <v>160</v>
      </c>
      <c r="N749" s="5">
        <f>_xlfn.XLOOKUP(CustomerCombined[[#This Row],[ID]], Table4[ID], Table4[Seafood], "Not Found", 0)</f>
        <v>0</v>
      </c>
      <c r="O749" s="5">
        <f>_xlfn.XLOOKUP(CustomerCombined[[#This Row],[ID]], Table4[ID], Table4[Sweets], "Not Found", 0)</f>
        <v>59</v>
      </c>
      <c r="P749" s="5">
        <f>_xlfn.XLOOKUP(CustomerCombined[[#This Row],[ID]], Table4[ID], Table4[Premium], "Not Found", 0)</f>
        <v>7</v>
      </c>
      <c r="Q749" s="5">
        <f>_xlfn.XLOOKUP(CustomerCombined[[#This Row],[ID]], Table4[ID], Table4[Regular], "Not Found", 0)</f>
        <v>505</v>
      </c>
      <c r="R749" s="5">
        <f>_xlfn.XLOOKUP(CustomerCombined[[#This Row],[ID]], Table4[ID], Table4[Deals], "Not Found", 0)</f>
        <v>5</v>
      </c>
      <c r="S749" s="5">
        <f>_xlfn.XLOOKUP(CustomerCombined[[#This Row],[ID]], Table4[ID], Table4[Website], "Not Found", 0)</f>
        <v>2</v>
      </c>
      <c r="T749" s="5">
        <f>_xlfn.XLOOKUP(CustomerCombined[[#This Row],[ID]], Table4[ID], Table4[Catalog], "Not Found", 0)</f>
        <v>1</v>
      </c>
      <c r="U749" s="5">
        <f>_xlfn.XLOOKUP(CustomerCombined[[#This Row],[ID]], Table4[ID], Table4[Store], "Not Found", 0)</f>
        <v>5</v>
      </c>
      <c r="V749" s="5">
        <f>_xlfn.XLOOKUP(CustomerCombined[[#This Row],[ID]], Table4[ID], Table4[Visits], "Not Found", 0)</f>
        <v>6</v>
      </c>
      <c r="W749" s="8">
        <f>_xlfn.XLOOKUP(CustomerCombined[[#This Row],[ID]], Table2[ID],Table2[Complaint], "Not Found", 0 )</f>
        <v>0</v>
      </c>
      <c r="X749" s="8">
        <f>_xlfn.XLOOKUP(CustomerCombined[[#This Row],[ID]], Table2[ID],Table2[Pilot], "Not Found", 0 )</f>
        <v>0</v>
      </c>
      <c r="Y749" s="8">
        <f>_xlfn.XLOOKUP(CustomerCombined[[#This Row],[ID]], Table2[ID],Table2[MC1], "Not Found", 0 )</f>
        <v>0</v>
      </c>
      <c r="Z749" s="8">
        <f>_xlfn.XLOOKUP(CustomerCombined[[#This Row],[ID]], Table2[ID],Table2[MC2], "Not Found", 0 )</f>
        <v>0</v>
      </c>
      <c r="AA749" s="8">
        <f>_xlfn.XLOOKUP(CustomerCombined[[#This Row],[ID]], Table2[ID],Table2[MC3], "Not Found", 0 )</f>
        <v>0</v>
      </c>
      <c r="AB749" s="8">
        <f>_xlfn.XLOOKUP(CustomerCombined[[#This Row],[ID]], Table2[ID],Table2[MC4], "Not Found", 0 )</f>
        <v>0</v>
      </c>
      <c r="AC749" s="8">
        <f>_xlfn.XLOOKUP(CustomerCombined[[#This Row],[ID]], Table2[ID],Table2[MC5], "Not Found", 0 )</f>
        <v>0</v>
      </c>
    </row>
    <row r="750" spans="1:29" x14ac:dyDescent="0.3">
      <c r="A750" s="6">
        <v>2257</v>
      </c>
      <c r="B750" s="6">
        <v>137368</v>
      </c>
      <c r="C750" s="6">
        <v>1</v>
      </c>
      <c r="D750" s="6">
        <v>0</v>
      </c>
      <c r="E750" s="6">
        <v>45</v>
      </c>
      <c r="F750" s="5" t="s">
        <v>6</v>
      </c>
      <c r="G750" s="5" t="s">
        <v>12</v>
      </c>
      <c r="H750" s="3" t="s">
        <v>132</v>
      </c>
      <c r="I750" s="5" t="s">
        <v>437</v>
      </c>
      <c r="J750" s="5">
        <f>_xlfn.XLOOKUP(CustomerCombined[[#This Row],[ID]], Table4[ID], Table4[Recency], "Not Found", 0)</f>
        <v>4</v>
      </c>
      <c r="K750" s="5">
        <f>_xlfn.XLOOKUP(CustomerCombined[[#This Row],[ID]], Table4[ID], Table4[Teas], "Not Found", 0)</f>
        <v>11</v>
      </c>
      <c r="L750" s="5">
        <f>_xlfn.XLOOKUP(CustomerCombined[[#This Row],[ID]], Table4[ID], Table4[Fruits], "Not Found", 0)</f>
        <v>7</v>
      </c>
      <c r="M750" s="5">
        <f>_xlfn.XLOOKUP(CustomerCombined[[#This Row],[ID]], Table4[ID], Table4[Meats], "Not Found", 0)</f>
        <v>40</v>
      </c>
      <c r="N750" s="5">
        <f>_xlfn.XLOOKUP(CustomerCombined[[#This Row],[ID]], Table4[ID], Table4[Seafood], "Not Found", 0)</f>
        <v>7</v>
      </c>
      <c r="O750" s="5">
        <f>_xlfn.XLOOKUP(CustomerCombined[[#This Row],[ID]], Table4[ID], Table4[Sweets], "Not Found", 0)</f>
        <v>7</v>
      </c>
      <c r="P750" s="5">
        <f>_xlfn.XLOOKUP(CustomerCombined[[#This Row],[ID]], Table4[ID], Table4[Premium], "Not Found", 0)</f>
        <v>37</v>
      </c>
      <c r="Q750" s="5">
        <f>_xlfn.XLOOKUP(CustomerCombined[[#This Row],[ID]], Table4[ID], Table4[Regular], "Not Found", 0)</f>
        <v>37</v>
      </c>
      <c r="R750" s="5">
        <f>_xlfn.XLOOKUP(CustomerCombined[[#This Row],[ID]], Table4[ID], Table4[Deals], "Not Found", 0)</f>
        <v>1</v>
      </c>
      <c r="S750" s="5">
        <f>_xlfn.XLOOKUP(CustomerCombined[[#This Row],[ID]], Table4[ID], Table4[Website], "Not Found", 0)</f>
        <v>1</v>
      </c>
      <c r="T750" s="5">
        <f>_xlfn.XLOOKUP(CustomerCombined[[#This Row],[ID]], Table4[ID], Table4[Catalog], "Not Found", 0)</f>
        <v>0</v>
      </c>
      <c r="U750" s="5">
        <f>_xlfn.XLOOKUP(CustomerCombined[[#This Row],[ID]], Table4[ID], Table4[Store], "Not Found", 0)</f>
        <v>2</v>
      </c>
      <c r="V750" s="5">
        <f>_xlfn.XLOOKUP(CustomerCombined[[#This Row],[ID]], Table4[ID], Table4[Visits], "Not Found", 0)</f>
        <v>6</v>
      </c>
      <c r="W750" s="8">
        <f>_xlfn.XLOOKUP(CustomerCombined[[#This Row],[ID]], Table2[ID],Table2[Complaint], "Not Found", 0 )</f>
        <v>0</v>
      </c>
      <c r="X750" s="8">
        <f>_xlfn.XLOOKUP(CustomerCombined[[#This Row],[ID]], Table2[ID],Table2[Pilot], "Not Found", 0 )</f>
        <v>0</v>
      </c>
      <c r="Y750" s="8">
        <f>_xlfn.XLOOKUP(CustomerCombined[[#This Row],[ID]], Table2[ID],Table2[MC1], "Not Found", 0 )</f>
        <v>0</v>
      </c>
      <c r="Z750" s="8">
        <f>_xlfn.XLOOKUP(CustomerCombined[[#This Row],[ID]], Table2[ID],Table2[MC2], "Not Found", 0 )</f>
        <v>0</v>
      </c>
      <c r="AA750" s="8">
        <f>_xlfn.XLOOKUP(CustomerCombined[[#This Row],[ID]], Table2[ID],Table2[MC3], "Not Found", 0 )</f>
        <v>1</v>
      </c>
      <c r="AB750" s="8">
        <f>_xlfn.XLOOKUP(CustomerCombined[[#This Row],[ID]], Table2[ID],Table2[MC4], "Not Found", 0 )</f>
        <v>0</v>
      </c>
      <c r="AC750" s="8">
        <f>_xlfn.XLOOKUP(CustomerCombined[[#This Row],[ID]], Table2[ID],Table2[MC5], "Not Found", 0 )</f>
        <v>0</v>
      </c>
    </row>
    <row r="751" spans="1:29" x14ac:dyDescent="0.3">
      <c r="A751" s="6">
        <v>2525</v>
      </c>
      <c r="B751" s="6">
        <v>137284</v>
      </c>
      <c r="C751" s="6">
        <v>1</v>
      </c>
      <c r="D751" s="6">
        <v>1</v>
      </c>
      <c r="E751" s="6">
        <v>45</v>
      </c>
      <c r="F751" s="5" t="s">
        <v>6</v>
      </c>
      <c r="G751" s="5" t="s">
        <v>442</v>
      </c>
      <c r="H751" s="3">
        <v>43533</v>
      </c>
      <c r="I751" s="5" t="s">
        <v>434</v>
      </c>
      <c r="J751" s="5">
        <f>_xlfn.XLOOKUP(CustomerCombined[[#This Row],[ID]], Table4[ID], Table4[Recency], "Not Found", 0)</f>
        <v>46</v>
      </c>
      <c r="K751" s="5">
        <f>_xlfn.XLOOKUP(CustomerCombined[[#This Row],[ID]], Table4[ID], Table4[Teas], "Not Found", 0)</f>
        <v>41</v>
      </c>
      <c r="L751" s="5">
        <f>_xlfn.XLOOKUP(CustomerCombined[[#This Row],[ID]], Table4[ID], Table4[Fruits], "Not Found", 0)</f>
        <v>4</v>
      </c>
      <c r="M751" s="5">
        <f>_xlfn.XLOOKUP(CustomerCombined[[#This Row],[ID]], Table4[ID], Table4[Meats], "Not Found", 0)</f>
        <v>7</v>
      </c>
      <c r="N751" s="5">
        <f>_xlfn.XLOOKUP(CustomerCombined[[#This Row],[ID]], Table4[ID], Table4[Seafood], "Not Found", 0)</f>
        <v>7</v>
      </c>
      <c r="O751" s="5">
        <f>_xlfn.XLOOKUP(CustomerCombined[[#This Row],[ID]], Table4[ID], Table4[Sweets], "Not Found", 0)</f>
        <v>4</v>
      </c>
      <c r="P751" s="5">
        <f>_xlfn.XLOOKUP(CustomerCombined[[#This Row],[ID]], Table4[ID], Table4[Premium], "Not Found", 0)</f>
        <v>22</v>
      </c>
      <c r="Q751" s="5">
        <f>_xlfn.XLOOKUP(CustomerCombined[[#This Row],[ID]], Table4[ID], Table4[Regular], "Not Found", 0)</f>
        <v>41</v>
      </c>
      <c r="R751" s="5">
        <f>_xlfn.XLOOKUP(CustomerCombined[[#This Row],[ID]], Table4[ID], Table4[Deals], "Not Found", 0)</f>
        <v>1</v>
      </c>
      <c r="S751" s="5">
        <f>_xlfn.XLOOKUP(CustomerCombined[[#This Row],[ID]], Table4[ID], Table4[Website], "Not Found", 0)</f>
        <v>0</v>
      </c>
      <c r="T751" s="5">
        <f>_xlfn.XLOOKUP(CustomerCombined[[#This Row],[ID]], Table4[ID], Table4[Catalog], "Not Found", 0)</f>
        <v>0</v>
      </c>
      <c r="U751" s="5">
        <f>_xlfn.XLOOKUP(CustomerCombined[[#This Row],[ID]], Table4[ID], Table4[Store], "Not Found", 0)</f>
        <v>3</v>
      </c>
      <c r="V751" s="5">
        <f>_xlfn.XLOOKUP(CustomerCombined[[#This Row],[ID]], Table4[ID], Table4[Visits], "Not Found", 0)</f>
        <v>6</v>
      </c>
      <c r="W751" s="8">
        <f>_xlfn.XLOOKUP(CustomerCombined[[#This Row],[ID]], Table2[ID],Table2[Complaint], "Not Found", 0 )</f>
        <v>0</v>
      </c>
      <c r="X751" s="8">
        <f>_xlfn.XLOOKUP(CustomerCombined[[#This Row],[ID]], Table2[ID],Table2[Pilot], "Not Found", 0 )</f>
        <v>0</v>
      </c>
      <c r="Y751" s="8">
        <f>_xlfn.XLOOKUP(CustomerCombined[[#This Row],[ID]], Table2[ID],Table2[MC1], "Not Found", 0 )</f>
        <v>0</v>
      </c>
      <c r="Z751" s="8">
        <f>_xlfn.XLOOKUP(CustomerCombined[[#This Row],[ID]], Table2[ID],Table2[MC2], "Not Found", 0 )</f>
        <v>0</v>
      </c>
      <c r="AA751" s="8">
        <f>_xlfn.XLOOKUP(CustomerCombined[[#This Row],[ID]], Table2[ID],Table2[MC3], "Not Found", 0 )</f>
        <v>0</v>
      </c>
      <c r="AB751" s="8">
        <f>_xlfn.XLOOKUP(CustomerCombined[[#This Row],[ID]], Table2[ID],Table2[MC4], "Not Found", 0 )</f>
        <v>0</v>
      </c>
      <c r="AC751" s="8">
        <f>_xlfn.XLOOKUP(CustomerCombined[[#This Row],[ID]], Table2[ID],Table2[MC5], "Not Found", 0 )</f>
        <v>0</v>
      </c>
    </row>
    <row r="752" spans="1:29" x14ac:dyDescent="0.3">
      <c r="A752" s="6">
        <v>2990</v>
      </c>
      <c r="B752" s="6">
        <v>137284</v>
      </c>
      <c r="C752" s="6">
        <v>1</v>
      </c>
      <c r="D752" s="6">
        <v>1</v>
      </c>
      <c r="E752" s="6">
        <v>45</v>
      </c>
      <c r="F752" s="5" t="s">
        <v>6</v>
      </c>
      <c r="G752" s="5" t="s">
        <v>442</v>
      </c>
      <c r="H752" s="3">
        <v>43533</v>
      </c>
      <c r="I752" s="5" t="s">
        <v>438</v>
      </c>
      <c r="J752" s="5">
        <f>_xlfn.XLOOKUP(CustomerCombined[[#This Row],[ID]], Table4[ID], Table4[Recency], "Not Found", 0)</f>
        <v>46</v>
      </c>
      <c r="K752" s="5">
        <f>_xlfn.XLOOKUP(CustomerCombined[[#This Row],[ID]], Table4[ID], Table4[Teas], "Not Found", 0)</f>
        <v>41</v>
      </c>
      <c r="L752" s="5">
        <f>_xlfn.XLOOKUP(CustomerCombined[[#This Row],[ID]], Table4[ID], Table4[Fruits], "Not Found", 0)</f>
        <v>4</v>
      </c>
      <c r="M752" s="5">
        <f>_xlfn.XLOOKUP(CustomerCombined[[#This Row],[ID]], Table4[ID], Table4[Meats], "Not Found", 0)</f>
        <v>7</v>
      </c>
      <c r="N752" s="5">
        <f>_xlfn.XLOOKUP(CustomerCombined[[#This Row],[ID]], Table4[ID], Table4[Seafood], "Not Found", 0)</f>
        <v>7</v>
      </c>
      <c r="O752" s="5">
        <f>_xlfn.XLOOKUP(CustomerCombined[[#This Row],[ID]], Table4[ID], Table4[Sweets], "Not Found", 0)</f>
        <v>4</v>
      </c>
      <c r="P752" s="5">
        <f>_xlfn.XLOOKUP(CustomerCombined[[#This Row],[ID]], Table4[ID], Table4[Premium], "Not Found", 0)</f>
        <v>22</v>
      </c>
      <c r="Q752" s="5">
        <f>_xlfn.XLOOKUP(CustomerCombined[[#This Row],[ID]], Table4[ID], Table4[Regular], "Not Found", 0)</f>
        <v>41</v>
      </c>
      <c r="R752" s="5">
        <f>_xlfn.XLOOKUP(CustomerCombined[[#This Row],[ID]], Table4[ID], Table4[Deals], "Not Found", 0)</f>
        <v>1</v>
      </c>
      <c r="S752" s="5">
        <f>_xlfn.XLOOKUP(CustomerCombined[[#This Row],[ID]], Table4[ID], Table4[Website], "Not Found", 0)</f>
        <v>0</v>
      </c>
      <c r="T752" s="5">
        <f>_xlfn.XLOOKUP(CustomerCombined[[#This Row],[ID]], Table4[ID], Table4[Catalog], "Not Found", 0)</f>
        <v>0</v>
      </c>
      <c r="U752" s="5">
        <f>_xlfn.XLOOKUP(CustomerCombined[[#This Row],[ID]], Table4[ID], Table4[Store], "Not Found", 0)</f>
        <v>3</v>
      </c>
      <c r="V752" s="5">
        <f>_xlfn.XLOOKUP(CustomerCombined[[#This Row],[ID]], Table4[ID], Table4[Visits], "Not Found", 0)</f>
        <v>6</v>
      </c>
      <c r="W752" s="8">
        <f>_xlfn.XLOOKUP(CustomerCombined[[#This Row],[ID]], Table2[ID],Table2[Complaint], "Not Found", 0 )</f>
        <v>0</v>
      </c>
      <c r="X752" s="8">
        <f>_xlfn.XLOOKUP(CustomerCombined[[#This Row],[ID]], Table2[ID],Table2[Pilot], "Not Found", 0 )</f>
        <v>0</v>
      </c>
      <c r="Y752" s="8">
        <f>_xlfn.XLOOKUP(CustomerCombined[[#This Row],[ID]], Table2[ID],Table2[MC1], "Not Found", 0 )</f>
        <v>0</v>
      </c>
      <c r="Z752" s="8">
        <f>_xlfn.XLOOKUP(CustomerCombined[[#This Row],[ID]], Table2[ID],Table2[MC2], "Not Found", 0 )</f>
        <v>0</v>
      </c>
      <c r="AA752" s="8">
        <f>_xlfn.XLOOKUP(CustomerCombined[[#This Row],[ID]], Table2[ID],Table2[MC3], "Not Found", 0 )</f>
        <v>0</v>
      </c>
      <c r="AB752" s="8">
        <f>_xlfn.XLOOKUP(CustomerCombined[[#This Row],[ID]], Table2[ID],Table2[MC4], "Not Found", 0 )</f>
        <v>0</v>
      </c>
      <c r="AC752" s="8">
        <f>_xlfn.XLOOKUP(CustomerCombined[[#This Row],[ID]], Table2[ID],Table2[MC5], "Not Found", 0 )</f>
        <v>0</v>
      </c>
    </row>
    <row r="753" spans="1:29" x14ac:dyDescent="0.3">
      <c r="A753" s="6">
        <v>3167</v>
      </c>
      <c r="B753" s="6">
        <v>137085</v>
      </c>
      <c r="C753" s="6">
        <v>1</v>
      </c>
      <c r="D753" s="6">
        <v>1</v>
      </c>
      <c r="E753" s="6">
        <v>45</v>
      </c>
      <c r="F753" s="5" t="s">
        <v>6</v>
      </c>
      <c r="G753" s="5" t="s">
        <v>11</v>
      </c>
      <c r="H753" s="3" t="s">
        <v>23</v>
      </c>
      <c r="I753" s="5" t="s">
        <v>434</v>
      </c>
      <c r="J753" s="5">
        <f>_xlfn.XLOOKUP(CustomerCombined[[#This Row],[ID]], Table4[ID], Table4[Recency], "Not Found", 0)</f>
        <v>65</v>
      </c>
      <c r="K753" s="5">
        <f>_xlfn.XLOOKUP(CustomerCombined[[#This Row],[ID]], Table4[ID], Table4[Teas], "Not Found", 0)</f>
        <v>144</v>
      </c>
      <c r="L753" s="5">
        <f>_xlfn.XLOOKUP(CustomerCombined[[#This Row],[ID]], Table4[ID], Table4[Fruits], "Not Found", 0)</f>
        <v>4</v>
      </c>
      <c r="M753" s="5">
        <f>_xlfn.XLOOKUP(CustomerCombined[[#This Row],[ID]], Table4[ID], Table4[Meats], "Not Found", 0)</f>
        <v>59</v>
      </c>
      <c r="N753" s="5">
        <f>_xlfn.XLOOKUP(CustomerCombined[[#This Row],[ID]], Table4[ID], Table4[Seafood], "Not Found", 0)</f>
        <v>7</v>
      </c>
      <c r="O753" s="5">
        <f>_xlfn.XLOOKUP(CustomerCombined[[#This Row],[ID]], Table4[ID], Table4[Sweets], "Not Found", 0)</f>
        <v>0</v>
      </c>
      <c r="P753" s="5">
        <f>_xlfn.XLOOKUP(CustomerCombined[[#This Row],[ID]], Table4[ID], Table4[Premium], "Not Found", 0)</f>
        <v>11</v>
      </c>
      <c r="Q753" s="5">
        <f>_xlfn.XLOOKUP(CustomerCombined[[#This Row],[ID]], Table4[ID], Table4[Regular], "Not Found", 0)</f>
        <v>203</v>
      </c>
      <c r="R753" s="5">
        <f>_xlfn.XLOOKUP(CustomerCombined[[#This Row],[ID]], Table4[ID], Table4[Deals], "Not Found", 0)</f>
        <v>4</v>
      </c>
      <c r="S753" s="5">
        <f>_xlfn.XLOOKUP(CustomerCombined[[#This Row],[ID]], Table4[ID], Table4[Website], "Not Found", 0)</f>
        <v>3</v>
      </c>
      <c r="T753" s="5">
        <f>_xlfn.XLOOKUP(CustomerCombined[[#This Row],[ID]], Table4[ID], Table4[Catalog], "Not Found", 0)</f>
        <v>0</v>
      </c>
      <c r="U753" s="5">
        <f>_xlfn.XLOOKUP(CustomerCombined[[#This Row],[ID]], Table4[ID], Table4[Store], "Not Found", 0)</f>
        <v>3</v>
      </c>
      <c r="V753" s="5">
        <f>_xlfn.XLOOKUP(CustomerCombined[[#This Row],[ID]], Table4[ID], Table4[Visits], "Not Found", 0)</f>
        <v>8</v>
      </c>
      <c r="W753" s="8">
        <f>_xlfn.XLOOKUP(CustomerCombined[[#This Row],[ID]], Table2[ID],Table2[Complaint], "Not Found", 0 )</f>
        <v>0</v>
      </c>
      <c r="X753" s="8">
        <f>_xlfn.XLOOKUP(CustomerCombined[[#This Row],[ID]], Table2[ID],Table2[Pilot], "Not Found", 0 )</f>
        <v>0</v>
      </c>
      <c r="Y753" s="8">
        <f>_xlfn.XLOOKUP(CustomerCombined[[#This Row],[ID]], Table2[ID],Table2[MC1], "Not Found", 0 )</f>
        <v>0</v>
      </c>
      <c r="Z753" s="8">
        <f>_xlfn.XLOOKUP(CustomerCombined[[#This Row],[ID]], Table2[ID],Table2[MC2], "Not Found", 0 )</f>
        <v>0</v>
      </c>
      <c r="AA753" s="8">
        <f>_xlfn.XLOOKUP(CustomerCombined[[#This Row],[ID]], Table2[ID],Table2[MC3], "Not Found", 0 )</f>
        <v>0</v>
      </c>
      <c r="AB753" s="8">
        <f>_xlfn.XLOOKUP(CustomerCombined[[#This Row],[ID]], Table2[ID],Table2[MC4], "Not Found", 0 )</f>
        <v>0</v>
      </c>
      <c r="AC753" s="8">
        <f>_xlfn.XLOOKUP(CustomerCombined[[#This Row],[ID]], Table2[ID],Table2[MC5], "Not Found", 0 )</f>
        <v>0</v>
      </c>
    </row>
    <row r="754" spans="1:29" x14ac:dyDescent="0.3">
      <c r="A754" s="6">
        <v>2575</v>
      </c>
      <c r="B754" s="6">
        <v>136663</v>
      </c>
      <c r="C754" s="6">
        <v>1</v>
      </c>
      <c r="D754" s="6">
        <v>0</v>
      </c>
      <c r="E754" s="6">
        <v>45</v>
      </c>
      <c r="F754" s="5" t="s">
        <v>6</v>
      </c>
      <c r="G754" s="5" t="s">
        <v>13</v>
      </c>
      <c r="H754" s="3" t="s">
        <v>57</v>
      </c>
      <c r="I754" s="5" t="s">
        <v>437</v>
      </c>
      <c r="J754" s="5">
        <f>_xlfn.XLOOKUP(CustomerCombined[[#This Row],[ID]], Table4[ID], Table4[Recency], "Not Found", 0)</f>
        <v>40</v>
      </c>
      <c r="K754" s="5">
        <f>_xlfn.XLOOKUP(CustomerCombined[[#This Row],[ID]], Table4[ID], Table4[Teas], "Not Found", 0)</f>
        <v>67</v>
      </c>
      <c r="L754" s="5">
        <f>_xlfn.XLOOKUP(CustomerCombined[[#This Row],[ID]], Table4[ID], Table4[Fruits], "Not Found", 0)</f>
        <v>0</v>
      </c>
      <c r="M754" s="5">
        <f>_xlfn.XLOOKUP(CustomerCombined[[#This Row],[ID]], Table4[ID], Table4[Meats], "Not Found", 0)</f>
        <v>22</v>
      </c>
      <c r="N754" s="5">
        <f>_xlfn.XLOOKUP(CustomerCombined[[#This Row],[ID]], Table4[ID], Table4[Seafood], "Not Found", 0)</f>
        <v>11</v>
      </c>
      <c r="O754" s="5">
        <f>_xlfn.XLOOKUP(CustomerCombined[[#This Row],[ID]], Table4[ID], Table4[Sweets], "Not Found", 0)</f>
        <v>11</v>
      </c>
      <c r="P754" s="5">
        <f>_xlfn.XLOOKUP(CustomerCombined[[#This Row],[ID]], Table4[ID], Table4[Premium], "Not Found", 0)</f>
        <v>19</v>
      </c>
      <c r="Q754" s="5">
        <f>_xlfn.XLOOKUP(CustomerCombined[[#This Row],[ID]], Table4[ID], Table4[Regular], "Not Found", 0)</f>
        <v>93</v>
      </c>
      <c r="R754" s="5">
        <f>_xlfn.XLOOKUP(CustomerCombined[[#This Row],[ID]], Table4[ID], Table4[Deals], "Not Found", 0)</f>
        <v>1</v>
      </c>
      <c r="S754" s="5">
        <f>_xlfn.XLOOKUP(CustomerCombined[[#This Row],[ID]], Table4[ID], Table4[Website], "Not Found", 0)</f>
        <v>1</v>
      </c>
      <c r="T754" s="5">
        <f>_xlfn.XLOOKUP(CustomerCombined[[#This Row],[ID]], Table4[ID], Table4[Catalog], "Not Found", 0)</f>
        <v>1</v>
      </c>
      <c r="U754" s="5">
        <f>_xlfn.XLOOKUP(CustomerCombined[[#This Row],[ID]], Table4[ID], Table4[Store], "Not Found", 0)</f>
        <v>3</v>
      </c>
      <c r="V754" s="5">
        <f>_xlfn.XLOOKUP(CustomerCombined[[#This Row],[ID]], Table4[ID], Table4[Visits], "Not Found", 0)</f>
        <v>2</v>
      </c>
      <c r="W754" s="8">
        <f>_xlfn.XLOOKUP(CustomerCombined[[#This Row],[ID]], Table2[ID],Table2[Complaint], "Not Found", 0 )</f>
        <v>0</v>
      </c>
      <c r="X754" s="8">
        <f>_xlfn.XLOOKUP(CustomerCombined[[#This Row],[ID]], Table2[ID],Table2[Pilot], "Not Found", 0 )</f>
        <v>0</v>
      </c>
      <c r="Y754" s="8">
        <f>_xlfn.XLOOKUP(CustomerCombined[[#This Row],[ID]], Table2[ID],Table2[MC1], "Not Found", 0 )</f>
        <v>0</v>
      </c>
      <c r="Z754" s="8">
        <f>_xlfn.XLOOKUP(CustomerCombined[[#This Row],[ID]], Table2[ID],Table2[MC2], "Not Found", 0 )</f>
        <v>0</v>
      </c>
      <c r="AA754" s="8">
        <f>_xlfn.XLOOKUP(CustomerCombined[[#This Row],[ID]], Table2[ID],Table2[MC3], "Not Found", 0 )</f>
        <v>0</v>
      </c>
      <c r="AB754" s="8">
        <f>_xlfn.XLOOKUP(CustomerCombined[[#This Row],[ID]], Table2[ID],Table2[MC4], "Not Found", 0 )</f>
        <v>0</v>
      </c>
      <c r="AC754" s="8">
        <f>_xlfn.XLOOKUP(CustomerCombined[[#This Row],[ID]], Table2[ID],Table2[MC5], "Not Found", 0 )</f>
        <v>0</v>
      </c>
    </row>
    <row r="755" spans="1:29" x14ac:dyDescent="0.3">
      <c r="A755" s="6">
        <v>1863</v>
      </c>
      <c r="B755" s="6">
        <v>136627</v>
      </c>
      <c r="C755" s="6">
        <v>2</v>
      </c>
      <c r="D755" s="6">
        <v>0</v>
      </c>
      <c r="E755" s="6">
        <v>45</v>
      </c>
      <c r="F755" s="5" t="s">
        <v>5</v>
      </c>
      <c r="G755" s="5" t="s">
        <v>11</v>
      </c>
      <c r="H755" s="3" t="s">
        <v>213</v>
      </c>
      <c r="I755" s="5" t="s">
        <v>435</v>
      </c>
      <c r="J755" s="5">
        <f>_xlfn.XLOOKUP(CustomerCombined[[#This Row],[ID]], Table4[ID], Table4[Recency], "Not Found", 0)</f>
        <v>78</v>
      </c>
      <c r="K755" s="5">
        <f>_xlfn.XLOOKUP(CustomerCombined[[#This Row],[ID]], Table4[ID], Table4[Teas], "Not Found", 0)</f>
        <v>34</v>
      </c>
      <c r="L755" s="5">
        <f>_xlfn.XLOOKUP(CustomerCombined[[#This Row],[ID]], Table4[ID], Table4[Fruits], "Not Found", 0)</f>
        <v>4</v>
      </c>
      <c r="M755" s="5">
        <f>_xlfn.XLOOKUP(CustomerCombined[[#This Row],[ID]], Table4[ID], Table4[Meats], "Not Found", 0)</f>
        <v>19</v>
      </c>
      <c r="N755" s="5">
        <f>_xlfn.XLOOKUP(CustomerCombined[[#This Row],[ID]], Table4[ID], Table4[Seafood], "Not Found", 0)</f>
        <v>0</v>
      </c>
      <c r="O755" s="5">
        <f>_xlfn.XLOOKUP(CustomerCombined[[#This Row],[ID]], Table4[ID], Table4[Sweets], "Not Found", 0)</f>
        <v>0</v>
      </c>
      <c r="P755" s="5">
        <f>_xlfn.XLOOKUP(CustomerCombined[[#This Row],[ID]], Table4[ID], Table4[Premium], "Not Found", 0)</f>
        <v>4</v>
      </c>
      <c r="Q755" s="5">
        <f>_xlfn.XLOOKUP(CustomerCombined[[#This Row],[ID]], Table4[ID], Table4[Regular], "Not Found", 0)</f>
        <v>52</v>
      </c>
      <c r="R755" s="5">
        <f>_xlfn.XLOOKUP(CustomerCombined[[#This Row],[ID]], Table4[ID], Table4[Deals], "Not Found", 0)</f>
        <v>1</v>
      </c>
      <c r="S755" s="5">
        <f>_xlfn.XLOOKUP(CustomerCombined[[#This Row],[ID]], Table4[ID], Table4[Website], "Not Found", 0)</f>
        <v>0</v>
      </c>
      <c r="T755" s="5">
        <f>_xlfn.XLOOKUP(CustomerCombined[[#This Row],[ID]], Table4[ID], Table4[Catalog], "Not Found", 0)</f>
        <v>0</v>
      </c>
      <c r="U755" s="5">
        <f>_xlfn.XLOOKUP(CustomerCombined[[#This Row],[ID]], Table4[ID], Table4[Store], "Not Found", 0)</f>
        <v>3</v>
      </c>
      <c r="V755" s="5">
        <f>_xlfn.XLOOKUP(CustomerCombined[[#This Row],[ID]], Table4[ID], Table4[Visits], "Not Found", 0)</f>
        <v>5</v>
      </c>
      <c r="W755" s="8">
        <f>_xlfn.XLOOKUP(CustomerCombined[[#This Row],[ID]], Table2[ID],Table2[Complaint], "Not Found", 0 )</f>
        <v>0</v>
      </c>
      <c r="X755" s="8">
        <f>_xlfn.XLOOKUP(CustomerCombined[[#This Row],[ID]], Table2[ID],Table2[Pilot], "Not Found", 0 )</f>
        <v>0</v>
      </c>
      <c r="Y755" s="8">
        <f>_xlfn.XLOOKUP(CustomerCombined[[#This Row],[ID]], Table2[ID],Table2[MC1], "Not Found", 0 )</f>
        <v>0</v>
      </c>
      <c r="Z755" s="8">
        <f>_xlfn.XLOOKUP(CustomerCombined[[#This Row],[ID]], Table2[ID],Table2[MC2], "Not Found", 0 )</f>
        <v>0</v>
      </c>
      <c r="AA755" s="8">
        <f>_xlfn.XLOOKUP(CustomerCombined[[#This Row],[ID]], Table2[ID],Table2[MC3], "Not Found", 0 )</f>
        <v>0</v>
      </c>
      <c r="AB755" s="8">
        <f>_xlfn.XLOOKUP(CustomerCombined[[#This Row],[ID]], Table2[ID],Table2[MC4], "Not Found", 0 )</f>
        <v>0</v>
      </c>
      <c r="AC755" s="8">
        <f>_xlfn.XLOOKUP(CustomerCombined[[#This Row],[ID]], Table2[ID],Table2[MC5], "Not Found", 0 )</f>
        <v>0</v>
      </c>
    </row>
    <row r="756" spans="1:29" x14ac:dyDescent="0.3">
      <c r="A756" s="6">
        <v>1862</v>
      </c>
      <c r="B756" s="6">
        <v>135797</v>
      </c>
      <c r="C756" s="6">
        <v>0</v>
      </c>
      <c r="D756" s="6">
        <v>1</v>
      </c>
      <c r="E756" s="6">
        <v>45</v>
      </c>
      <c r="F756" s="5" t="s">
        <v>6</v>
      </c>
      <c r="G756" s="5" t="s">
        <v>11</v>
      </c>
      <c r="H756" s="3" t="s">
        <v>378</v>
      </c>
      <c r="I756" s="5" t="s">
        <v>438</v>
      </c>
      <c r="J756" s="5">
        <f>_xlfn.XLOOKUP(CustomerCombined[[#This Row],[ID]], Table4[ID], Table4[Recency], "Not Found", 0)</f>
        <v>16</v>
      </c>
      <c r="K756" s="5">
        <f>_xlfn.XLOOKUP(CustomerCombined[[#This Row],[ID]], Table4[ID], Table4[Teas], "Not Found", 0)</f>
        <v>102</v>
      </c>
      <c r="L756" s="5">
        <f>_xlfn.XLOOKUP(CustomerCombined[[#This Row],[ID]], Table4[ID], Table4[Fruits], "Not Found", 0)</f>
        <v>4</v>
      </c>
      <c r="M756" s="5">
        <f>_xlfn.XLOOKUP(CustomerCombined[[#This Row],[ID]], Table4[ID], Table4[Meats], "Not Found", 0)</f>
        <v>53</v>
      </c>
      <c r="N756" s="5">
        <f>_xlfn.XLOOKUP(CustomerCombined[[#This Row],[ID]], Table4[ID], Table4[Seafood], "Not Found", 0)</f>
        <v>15</v>
      </c>
      <c r="O756" s="5">
        <f>_xlfn.XLOOKUP(CustomerCombined[[#This Row],[ID]], Table4[ID], Table4[Sweets], "Not Found", 0)</f>
        <v>4</v>
      </c>
      <c r="P756" s="5">
        <f>_xlfn.XLOOKUP(CustomerCombined[[#This Row],[ID]], Table4[ID], Table4[Premium], "Not Found", 0)</f>
        <v>80</v>
      </c>
      <c r="Q756" s="5">
        <f>_xlfn.XLOOKUP(CustomerCombined[[#This Row],[ID]], Table4[ID], Table4[Regular], "Not Found", 0)</f>
        <v>99</v>
      </c>
      <c r="R756" s="5">
        <f>_xlfn.XLOOKUP(CustomerCombined[[#This Row],[ID]], Table4[ID], Table4[Deals], "Not Found", 0)</f>
        <v>2</v>
      </c>
      <c r="S756" s="5">
        <f>_xlfn.XLOOKUP(CustomerCombined[[#This Row],[ID]], Table4[ID], Table4[Website], "Not Found", 0)</f>
        <v>2</v>
      </c>
      <c r="T756" s="5">
        <f>_xlfn.XLOOKUP(CustomerCombined[[#This Row],[ID]], Table4[ID], Table4[Catalog], "Not Found", 0)</f>
        <v>0</v>
      </c>
      <c r="U756" s="5">
        <f>_xlfn.XLOOKUP(CustomerCombined[[#This Row],[ID]], Table4[ID], Table4[Store], "Not Found", 0)</f>
        <v>3</v>
      </c>
      <c r="V756" s="5">
        <f>_xlfn.XLOOKUP(CustomerCombined[[#This Row],[ID]], Table4[ID], Table4[Visits], "Not Found", 0)</f>
        <v>8</v>
      </c>
      <c r="W756" s="8">
        <f>_xlfn.XLOOKUP(CustomerCombined[[#This Row],[ID]], Table2[ID],Table2[Complaint], "Not Found", 0 )</f>
        <v>0</v>
      </c>
      <c r="X756" s="8">
        <f>_xlfn.XLOOKUP(CustomerCombined[[#This Row],[ID]], Table2[ID],Table2[Pilot], "Not Found", 0 )</f>
        <v>0</v>
      </c>
      <c r="Y756" s="8">
        <f>_xlfn.XLOOKUP(CustomerCombined[[#This Row],[ID]], Table2[ID],Table2[MC1], "Not Found", 0 )</f>
        <v>0</v>
      </c>
      <c r="Z756" s="8">
        <f>_xlfn.XLOOKUP(CustomerCombined[[#This Row],[ID]], Table2[ID],Table2[MC2], "Not Found", 0 )</f>
        <v>0</v>
      </c>
      <c r="AA756" s="8">
        <f>_xlfn.XLOOKUP(CustomerCombined[[#This Row],[ID]], Table2[ID],Table2[MC3], "Not Found", 0 )</f>
        <v>0</v>
      </c>
      <c r="AB756" s="8">
        <f>_xlfn.XLOOKUP(CustomerCombined[[#This Row],[ID]], Table2[ID],Table2[MC4], "Not Found", 0 )</f>
        <v>0</v>
      </c>
      <c r="AC756" s="8">
        <f>_xlfn.XLOOKUP(CustomerCombined[[#This Row],[ID]], Table2[ID],Table2[MC5], "Not Found", 0 )</f>
        <v>0</v>
      </c>
    </row>
    <row r="757" spans="1:29" x14ac:dyDescent="0.3">
      <c r="A757" s="6">
        <v>2910</v>
      </c>
      <c r="B757" s="6">
        <v>134984</v>
      </c>
      <c r="C757" s="6">
        <v>1</v>
      </c>
      <c r="D757" s="6">
        <v>1</v>
      </c>
      <c r="E757" s="6">
        <v>45</v>
      </c>
      <c r="F757" s="5" t="s">
        <v>8</v>
      </c>
      <c r="G757" s="5" t="s">
        <v>442</v>
      </c>
      <c r="H757" s="3">
        <v>43771</v>
      </c>
      <c r="I757" s="5" t="s">
        <v>436</v>
      </c>
      <c r="J757" s="5">
        <f>_xlfn.XLOOKUP(CustomerCombined[[#This Row],[ID]], Table4[ID], Table4[Recency], "Not Found", 0)</f>
        <v>40</v>
      </c>
      <c r="K757" s="5">
        <f>_xlfn.XLOOKUP(CustomerCombined[[#This Row],[ID]], Table4[ID], Table4[Teas], "Not Found", 0)</f>
        <v>31</v>
      </c>
      <c r="L757" s="5">
        <f>_xlfn.XLOOKUP(CustomerCombined[[#This Row],[ID]], Table4[ID], Table4[Fruits], "Not Found", 0)</f>
        <v>15</v>
      </c>
      <c r="M757" s="5">
        <f>_xlfn.XLOOKUP(CustomerCombined[[#This Row],[ID]], Table4[ID], Table4[Meats], "Not Found", 0)</f>
        <v>58</v>
      </c>
      <c r="N757" s="5">
        <f>_xlfn.XLOOKUP(CustomerCombined[[#This Row],[ID]], Table4[ID], Table4[Seafood], "Not Found", 0)</f>
        <v>12</v>
      </c>
      <c r="O757" s="5">
        <f>_xlfn.XLOOKUP(CustomerCombined[[#This Row],[ID]], Table4[ID], Table4[Sweets], "Not Found", 0)</f>
        <v>19</v>
      </c>
      <c r="P757" s="5">
        <f>_xlfn.XLOOKUP(CustomerCombined[[#This Row],[ID]], Table4[ID], Table4[Premium], "Not Found", 0)</f>
        <v>12</v>
      </c>
      <c r="Q757" s="5">
        <f>_xlfn.XLOOKUP(CustomerCombined[[#This Row],[ID]], Table4[ID], Table4[Regular], "Not Found", 0)</f>
        <v>123</v>
      </c>
      <c r="R757" s="5">
        <f>_xlfn.XLOOKUP(CustomerCombined[[#This Row],[ID]], Table4[ID], Table4[Deals], "Not Found", 0)</f>
        <v>2</v>
      </c>
      <c r="S757" s="5">
        <f>_xlfn.XLOOKUP(CustomerCombined[[#This Row],[ID]], Table4[ID], Table4[Website], "Not Found", 0)</f>
        <v>1</v>
      </c>
      <c r="T757" s="5">
        <f>_xlfn.XLOOKUP(CustomerCombined[[#This Row],[ID]], Table4[ID], Table4[Catalog], "Not Found", 0)</f>
        <v>0</v>
      </c>
      <c r="U757" s="5">
        <f>_xlfn.XLOOKUP(CustomerCombined[[#This Row],[ID]], Table4[ID], Table4[Store], "Not Found", 0)</f>
        <v>3</v>
      </c>
      <c r="V757" s="5">
        <f>_xlfn.XLOOKUP(CustomerCombined[[#This Row],[ID]], Table4[ID], Table4[Visits], "Not Found", 0)</f>
        <v>7</v>
      </c>
      <c r="W757" s="8">
        <f>_xlfn.XLOOKUP(CustomerCombined[[#This Row],[ID]], Table2[ID],Table2[Complaint], "Not Found", 0 )</f>
        <v>0</v>
      </c>
      <c r="X757" s="8">
        <f>_xlfn.XLOOKUP(CustomerCombined[[#This Row],[ID]], Table2[ID],Table2[Pilot], "Not Found", 0 )</f>
        <v>0</v>
      </c>
      <c r="Y757" s="8">
        <f>_xlfn.XLOOKUP(CustomerCombined[[#This Row],[ID]], Table2[ID],Table2[MC1], "Not Found", 0 )</f>
        <v>0</v>
      </c>
      <c r="Z757" s="8">
        <f>_xlfn.XLOOKUP(CustomerCombined[[#This Row],[ID]], Table2[ID],Table2[MC2], "Not Found", 0 )</f>
        <v>0</v>
      </c>
      <c r="AA757" s="8">
        <f>_xlfn.XLOOKUP(CustomerCombined[[#This Row],[ID]], Table2[ID],Table2[MC3], "Not Found", 0 )</f>
        <v>0</v>
      </c>
      <c r="AB757" s="8">
        <f>_xlfn.XLOOKUP(CustomerCombined[[#This Row],[ID]], Table2[ID],Table2[MC4], "Not Found", 0 )</f>
        <v>0</v>
      </c>
      <c r="AC757" s="8">
        <f>_xlfn.XLOOKUP(CustomerCombined[[#This Row],[ID]], Table2[ID],Table2[MC5], "Not Found", 0 )</f>
        <v>0</v>
      </c>
    </row>
    <row r="758" spans="1:29" x14ac:dyDescent="0.3">
      <c r="A758" s="6">
        <v>3125</v>
      </c>
      <c r="B758" s="6">
        <v>134176</v>
      </c>
      <c r="C758" s="6">
        <v>0</v>
      </c>
      <c r="D758" s="6">
        <v>1</v>
      </c>
      <c r="E758" s="6">
        <v>45</v>
      </c>
      <c r="F758" s="5" t="s">
        <v>8</v>
      </c>
      <c r="G758" s="5" t="s">
        <v>12</v>
      </c>
      <c r="H758" s="3" t="s">
        <v>110</v>
      </c>
      <c r="I758" s="5" t="s">
        <v>434</v>
      </c>
      <c r="J758" s="5">
        <f>_xlfn.XLOOKUP(CustomerCombined[[#This Row],[ID]], Table4[ID], Table4[Recency], "Not Found", 0)</f>
        <v>9</v>
      </c>
      <c r="K758" s="5">
        <f>_xlfn.XLOOKUP(CustomerCombined[[#This Row],[ID]], Table4[ID], Table4[Teas], "Not Found", 0)</f>
        <v>43</v>
      </c>
      <c r="L758" s="5">
        <f>_xlfn.XLOOKUP(CustomerCombined[[#This Row],[ID]], Table4[ID], Table4[Fruits], "Not Found", 0)</f>
        <v>8</v>
      </c>
      <c r="M758" s="5">
        <f>_xlfn.XLOOKUP(CustomerCombined[[#This Row],[ID]], Table4[ID], Table4[Meats], "Not Found", 0)</f>
        <v>27</v>
      </c>
      <c r="N758" s="5">
        <f>_xlfn.XLOOKUP(CustomerCombined[[#This Row],[ID]], Table4[ID], Table4[Seafood], "Not Found", 0)</f>
        <v>16</v>
      </c>
      <c r="O758" s="5">
        <f>_xlfn.XLOOKUP(CustomerCombined[[#This Row],[ID]], Table4[ID], Table4[Sweets], "Not Found", 0)</f>
        <v>8</v>
      </c>
      <c r="P758" s="5">
        <f>_xlfn.XLOOKUP(CustomerCombined[[#This Row],[ID]], Table4[ID], Table4[Premium], "Not Found", 0)</f>
        <v>8</v>
      </c>
      <c r="Q758" s="5">
        <f>_xlfn.XLOOKUP(CustomerCombined[[#This Row],[ID]], Table4[ID], Table4[Regular], "Not Found", 0)</f>
        <v>94</v>
      </c>
      <c r="R758" s="5">
        <f>_xlfn.XLOOKUP(CustomerCombined[[#This Row],[ID]], Table4[ID], Table4[Deals], "Not Found", 0)</f>
        <v>1</v>
      </c>
      <c r="S758" s="5">
        <f>_xlfn.XLOOKUP(CustomerCombined[[#This Row],[ID]], Table4[ID], Table4[Website], "Not Found", 0)</f>
        <v>1</v>
      </c>
      <c r="T758" s="5">
        <f>_xlfn.XLOOKUP(CustomerCombined[[#This Row],[ID]], Table4[ID], Table4[Catalog], "Not Found", 0)</f>
        <v>0</v>
      </c>
      <c r="U758" s="5">
        <f>_xlfn.XLOOKUP(CustomerCombined[[#This Row],[ID]], Table4[ID], Table4[Store], "Not Found", 0)</f>
        <v>3</v>
      </c>
      <c r="V758" s="5">
        <f>_xlfn.XLOOKUP(CustomerCombined[[#This Row],[ID]], Table4[ID], Table4[Visits], "Not Found", 0)</f>
        <v>3</v>
      </c>
      <c r="W758" s="8">
        <f>_xlfn.XLOOKUP(CustomerCombined[[#This Row],[ID]], Table2[ID],Table2[Complaint], "Not Found", 0 )</f>
        <v>0</v>
      </c>
      <c r="X758" s="8">
        <f>_xlfn.XLOOKUP(CustomerCombined[[#This Row],[ID]], Table2[ID],Table2[Pilot], "Not Found", 0 )</f>
        <v>0</v>
      </c>
      <c r="Y758" s="8">
        <f>_xlfn.XLOOKUP(CustomerCombined[[#This Row],[ID]], Table2[ID],Table2[MC1], "Not Found", 0 )</f>
        <v>0</v>
      </c>
      <c r="Z758" s="8">
        <f>_xlfn.XLOOKUP(CustomerCombined[[#This Row],[ID]], Table2[ID],Table2[MC2], "Not Found", 0 )</f>
        <v>0</v>
      </c>
      <c r="AA758" s="8">
        <f>_xlfn.XLOOKUP(CustomerCombined[[#This Row],[ID]], Table2[ID],Table2[MC3], "Not Found", 0 )</f>
        <v>0</v>
      </c>
      <c r="AB758" s="8">
        <f>_xlfn.XLOOKUP(CustomerCombined[[#This Row],[ID]], Table2[ID],Table2[MC4], "Not Found", 0 )</f>
        <v>0</v>
      </c>
      <c r="AC758" s="8">
        <f>_xlfn.XLOOKUP(CustomerCombined[[#This Row],[ID]], Table2[ID],Table2[MC5], "Not Found", 0 )</f>
        <v>0</v>
      </c>
    </row>
    <row r="759" spans="1:29" x14ac:dyDescent="0.3">
      <c r="A759" s="6">
        <v>2589</v>
      </c>
      <c r="B759" s="6">
        <v>133955</v>
      </c>
      <c r="C759" s="6">
        <v>1</v>
      </c>
      <c r="D759" s="6">
        <v>0</v>
      </c>
      <c r="E759" s="6">
        <v>45</v>
      </c>
      <c r="F759" s="5" t="s">
        <v>7</v>
      </c>
      <c r="G759" s="5" t="s">
        <v>11</v>
      </c>
      <c r="H759" s="3" t="s">
        <v>208</v>
      </c>
      <c r="I759" s="5" t="s">
        <v>435</v>
      </c>
      <c r="J759" s="5">
        <f>_xlfn.XLOOKUP(CustomerCombined[[#This Row],[ID]], Table4[ID], Table4[Recency], "Not Found", 0)</f>
        <v>92</v>
      </c>
      <c r="K759" s="5">
        <f>_xlfn.XLOOKUP(CustomerCombined[[#This Row],[ID]], Table4[ID], Table4[Teas], "Not Found", 0)</f>
        <v>395</v>
      </c>
      <c r="L759" s="5">
        <f>_xlfn.XLOOKUP(CustomerCombined[[#This Row],[ID]], Table4[ID], Table4[Fruits], "Not Found", 0)</f>
        <v>8</v>
      </c>
      <c r="M759" s="5">
        <f>_xlfn.XLOOKUP(CustomerCombined[[#This Row],[ID]], Table4[ID], Table4[Meats], "Not Found", 0)</f>
        <v>505</v>
      </c>
      <c r="N759" s="5">
        <f>_xlfn.XLOOKUP(CustomerCombined[[#This Row],[ID]], Table4[ID], Table4[Seafood], "Not Found", 0)</f>
        <v>91</v>
      </c>
      <c r="O759" s="5">
        <f>_xlfn.XLOOKUP(CustomerCombined[[#This Row],[ID]], Table4[ID], Table4[Sweets], "Not Found", 0)</f>
        <v>28</v>
      </c>
      <c r="P759" s="5">
        <f>_xlfn.XLOOKUP(CustomerCombined[[#This Row],[ID]], Table4[ID], Table4[Premium], "Not Found", 0)</f>
        <v>39</v>
      </c>
      <c r="Q759" s="5">
        <f>_xlfn.XLOOKUP(CustomerCombined[[#This Row],[ID]], Table4[ID], Table4[Regular], "Not Found", 0)</f>
        <v>986</v>
      </c>
      <c r="R759" s="5">
        <f>_xlfn.XLOOKUP(CustomerCombined[[#This Row],[ID]], Table4[ID], Table4[Deals], "Not Found", 0)</f>
        <v>4</v>
      </c>
      <c r="S759" s="5">
        <f>_xlfn.XLOOKUP(CustomerCombined[[#This Row],[ID]], Table4[ID], Table4[Website], "Not Found", 0)</f>
        <v>5</v>
      </c>
      <c r="T759" s="5">
        <f>_xlfn.XLOOKUP(CustomerCombined[[#This Row],[ID]], Table4[ID], Table4[Catalog], "Not Found", 0)</f>
        <v>1</v>
      </c>
      <c r="U759" s="5">
        <f>_xlfn.XLOOKUP(CustomerCombined[[#This Row],[ID]], Table4[ID], Table4[Store], "Not Found", 0)</f>
        <v>5</v>
      </c>
      <c r="V759" s="5">
        <f>_xlfn.XLOOKUP(CustomerCombined[[#This Row],[ID]], Table4[ID], Table4[Visits], "Not Found", 0)</f>
        <v>8</v>
      </c>
      <c r="W759" s="8">
        <f>_xlfn.XLOOKUP(CustomerCombined[[#This Row],[ID]], Table2[ID],Table2[Complaint], "Not Found", 0 )</f>
        <v>0</v>
      </c>
      <c r="X759" s="8">
        <f>_xlfn.XLOOKUP(CustomerCombined[[#This Row],[ID]], Table2[ID],Table2[Pilot], "Not Found", 0 )</f>
        <v>0</v>
      </c>
      <c r="Y759" s="8">
        <f>_xlfn.XLOOKUP(CustomerCombined[[#This Row],[ID]], Table2[ID],Table2[MC1], "Not Found", 0 )</f>
        <v>0</v>
      </c>
      <c r="Z759" s="8">
        <f>_xlfn.XLOOKUP(CustomerCombined[[#This Row],[ID]], Table2[ID],Table2[MC2], "Not Found", 0 )</f>
        <v>0</v>
      </c>
      <c r="AA759" s="8">
        <f>_xlfn.XLOOKUP(CustomerCombined[[#This Row],[ID]], Table2[ID],Table2[MC3], "Not Found", 0 )</f>
        <v>0</v>
      </c>
      <c r="AB759" s="8">
        <f>_xlfn.XLOOKUP(CustomerCombined[[#This Row],[ID]], Table2[ID],Table2[MC4], "Not Found", 0 )</f>
        <v>0</v>
      </c>
      <c r="AC759" s="8">
        <f>_xlfn.XLOOKUP(CustomerCombined[[#This Row],[ID]], Table2[ID],Table2[MC5], "Not Found", 0 )</f>
        <v>0</v>
      </c>
    </row>
    <row r="760" spans="1:29" x14ac:dyDescent="0.3">
      <c r="A760" s="6">
        <v>1693</v>
      </c>
      <c r="B760" s="6">
        <v>133249</v>
      </c>
      <c r="C760" s="6">
        <v>1</v>
      </c>
      <c r="D760" s="6">
        <v>0</v>
      </c>
      <c r="E760" s="6">
        <v>45</v>
      </c>
      <c r="F760" s="5" t="s">
        <v>7</v>
      </c>
      <c r="G760" s="5" t="s">
        <v>11</v>
      </c>
      <c r="H760" s="3" t="s">
        <v>303</v>
      </c>
      <c r="I760" s="5" t="s">
        <v>437</v>
      </c>
      <c r="J760" s="5">
        <f>_xlfn.XLOOKUP(CustomerCombined[[#This Row],[ID]], Table4[ID], Table4[Recency], "Not Found", 0)</f>
        <v>11</v>
      </c>
      <c r="K760" s="5">
        <f>_xlfn.XLOOKUP(CustomerCombined[[#This Row],[ID]], Table4[ID], Table4[Teas], "Not Found", 0)</f>
        <v>24</v>
      </c>
      <c r="L760" s="5">
        <f>_xlfn.XLOOKUP(CustomerCombined[[#This Row],[ID]], Table4[ID], Table4[Fruits], "Not Found", 0)</f>
        <v>40</v>
      </c>
      <c r="M760" s="5">
        <f>_xlfn.XLOOKUP(CustomerCombined[[#This Row],[ID]], Table4[ID], Table4[Meats], "Not Found", 0)</f>
        <v>84</v>
      </c>
      <c r="N760" s="5">
        <f>_xlfn.XLOOKUP(CustomerCombined[[#This Row],[ID]], Table4[ID], Table4[Seafood], "Not Found", 0)</f>
        <v>76</v>
      </c>
      <c r="O760" s="5">
        <f>_xlfn.XLOOKUP(CustomerCombined[[#This Row],[ID]], Table4[ID], Table4[Sweets], "Not Found", 0)</f>
        <v>56</v>
      </c>
      <c r="P760" s="5">
        <f>_xlfn.XLOOKUP(CustomerCombined[[#This Row],[ID]], Table4[ID], Table4[Premium], "Not Found", 0)</f>
        <v>168</v>
      </c>
      <c r="Q760" s="5">
        <f>_xlfn.XLOOKUP(CustomerCombined[[#This Row],[ID]], Table4[ID], Table4[Regular], "Not Found", 0)</f>
        <v>112</v>
      </c>
      <c r="R760" s="5">
        <f>_xlfn.XLOOKUP(CustomerCombined[[#This Row],[ID]], Table4[ID], Table4[Deals], "Not Found", 0)</f>
        <v>2</v>
      </c>
      <c r="S760" s="5">
        <f>_xlfn.XLOOKUP(CustomerCombined[[#This Row],[ID]], Table4[ID], Table4[Website], "Not Found", 0)</f>
        <v>2</v>
      </c>
      <c r="T760" s="5">
        <f>_xlfn.XLOOKUP(CustomerCombined[[#This Row],[ID]], Table4[ID], Table4[Catalog], "Not Found", 0)</f>
        <v>1</v>
      </c>
      <c r="U760" s="5">
        <f>_xlfn.XLOOKUP(CustomerCombined[[#This Row],[ID]], Table4[ID], Table4[Store], "Not Found", 0)</f>
        <v>3</v>
      </c>
      <c r="V760" s="5">
        <f>_xlfn.XLOOKUP(CustomerCombined[[#This Row],[ID]], Table4[ID], Table4[Visits], "Not Found", 0)</f>
        <v>6</v>
      </c>
      <c r="W760" s="8">
        <f>_xlfn.XLOOKUP(CustomerCombined[[#This Row],[ID]], Table2[ID],Table2[Complaint], "Not Found", 0 )</f>
        <v>0</v>
      </c>
      <c r="X760" s="8">
        <f>_xlfn.XLOOKUP(CustomerCombined[[#This Row],[ID]], Table2[ID],Table2[Pilot], "Not Found", 0 )</f>
        <v>0</v>
      </c>
      <c r="Y760" s="8">
        <f>_xlfn.XLOOKUP(CustomerCombined[[#This Row],[ID]], Table2[ID],Table2[MC1], "Not Found", 0 )</f>
        <v>0</v>
      </c>
      <c r="Z760" s="8">
        <f>_xlfn.XLOOKUP(CustomerCombined[[#This Row],[ID]], Table2[ID],Table2[MC2], "Not Found", 0 )</f>
        <v>0</v>
      </c>
      <c r="AA760" s="8">
        <f>_xlfn.XLOOKUP(CustomerCombined[[#This Row],[ID]], Table2[ID],Table2[MC3], "Not Found", 0 )</f>
        <v>0</v>
      </c>
      <c r="AB760" s="8">
        <f>_xlfn.XLOOKUP(CustomerCombined[[#This Row],[ID]], Table2[ID],Table2[MC4], "Not Found", 0 )</f>
        <v>0</v>
      </c>
      <c r="AC760" s="8">
        <f>_xlfn.XLOOKUP(CustomerCombined[[#This Row],[ID]], Table2[ID],Table2[MC5], "Not Found", 0 )</f>
        <v>0</v>
      </c>
    </row>
    <row r="761" spans="1:29" x14ac:dyDescent="0.3">
      <c r="A761" s="6">
        <v>2325</v>
      </c>
      <c r="B761" s="6">
        <v>133249</v>
      </c>
      <c r="C761" s="6">
        <v>1</v>
      </c>
      <c r="D761" s="6">
        <v>0</v>
      </c>
      <c r="E761" s="6">
        <v>45</v>
      </c>
      <c r="F761" s="5" t="s">
        <v>7</v>
      </c>
      <c r="G761" s="5" t="s">
        <v>11</v>
      </c>
      <c r="H761" s="3" t="s">
        <v>303</v>
      </c>
      <c r="I761" s="5" t="s">
        <v>435</v>
      </c>
      <c r="J761" s="5">
        <f>_xlfn.XLOOKUP(CustomerCombined[[#This Row],[ID]], Table4[ID], Table4[Recency], "Not Found", 0)</f>
        <v>11</v>
      </c>
      <c r="K761" s="5">
        <f>_xlfn.XLOOKUP(CustomerCombined[[#This Row],[ID]], Table4[ID], Table4[Teas], "Not Found", 0)</f>
        <v>24</v>
      </c>
      <c r="L761" s="5">
        <f>_xlfn.XLOOKUP(CustomerCombined[[#This Row],[ID]], Table4[ID], Table4[Fruits], "Not Found", 0)</f>
        <v>40</v>
      </c>
      <c r="M761" s="5">
        <f>_xlfn.XLOOKUP(CustomerCombined[[#This Row],[ID]], Table4[ID], Table4[Meats], "Not Found", 0)</f>
        <v>84</v>
      </c>
      <c r="N761" s="5">
        <f>_xlfn.XLOOKUP(CustomerCombined[[#This Row],[ID]], Table4[ID], Table4[Seafood], "Not Found", 0)</f>
        <v>76</v>
      </c>
      <c r="O761" s="5">
        <f>_xlfn.XLOOKUP(CustomerCombined[[#This Row],[ID]], Table4[ID], Table4[Sweets], "Not Found", 0)</f>
        <v>56</v>
      </c>
      <c r="P761" s="5">
        <f>_xlfn.XLOOKUP(CustomerCombined[[#This Row],[ID]], Table4[ID], Table4[Premium], "Not Found", 0)</f>
        <v>168</v>
      </c>
      <c r="Q761" s="5">
        <f>_xlfn.XLOOKUP(CustomerCombined[[#This Row],[ID]], Table4[ID], Table4[Regular], "Not Found", 0)</f>
        <v>112</v>
      </c>
      <c r="R761" s="5">
        <f>_xlfn.XLOOKUP(CustomerCombined[[#This Row],[ID]], Table4[ID], Table4[Deals], "Not Found", 0)</f>
        <v>2</v>
      </c>
      <c r="S761" s="5">
        <f>_xlfn.XLOOKUP(CustomerCombined[[#This Row],[ID]], Table4[ID], Table4[Website], "Not Found", 0)</f>
        <v>2</v>
      </c>
      <c r="T761" s="5">
        <f>_xlfn.XLOOKUP(CustomerCombined[[#This Row],[ID]], Table4[ID], Table4[Catalog], "Not Found", 0)</f>
        <v>1</v>
      </c>
      <c r="U761" s="5">
        <f>_xlfn.XLOOKUP(CustomerCombined[[#This Row],[ID]], Table4[ID], Table4[Store], "Not Found", 0)</f>
        <v>3</v>
      </c>
      <c r="V761" s="5">
        <f>_xlfn.XLOOKUP(CustomerCombined[[#This Row],[ID]], Table4[ID], Table4[Visits], "Not Found", 0)</f>
        <v>6</v>
      </c>
      <c r="W761" s="8">
        <f>_xlfn.XLOOKUP(CustomerCombined[[#This Row],[ID]], Table2[ID],Table2[Complaint], "Not Found", 0 )</f>
        <v>0</v>
      </c>
      <c r="X761" s="8">
        <f>_xlfn.XLOOKUP(CustomerCombined[[#This Row],[ID]], Table2[ID],Table2[Pilot], "Not Found", 0 )</f>
        <v>0</v>
      </c>
      <c r="Y761" s="8">
        <f>_xlfn.XLOOKUP(CustomerCombined[[#This Row],[ID]], Table2[ID],Table2[MC1], "Not Found", 0 )</f>
        <v>0</v>
      </c>
      <c r="Z761" s="8">
        <f>_xlfn.XLOOKUP(CustomerCombined[[#This Row],[ID]], Table2[ID],Table2[MC2], "Not Found", 0 )</f>
        <v>0</v>
      </c>
      <c r="AA761" s="8">
        <f>_xlfn.XLOOKUP(CustomerCombined[[#This Row],[ID]], Table2[ID],Table2[MC3], "Not Found", 0 )</f>
        <v>0</v>
      </c>
      <c r="AB761" s="8">
        <f>_xlfn.XLOOKUP(CustomerCombined[[#This Row],[ID]], Table2[ID],Table2[MC4], "Not Found", 0 )</f>
        <v>0</v>
      </c>
      <c r="AC761" s="8">
        <f>_xlfn.XLOOKUP(CustomerCombined[[#This Row],[ID]], Table2[ID],Table2[MC5], "Not Found", 0 )</f>
        <v>0</v>
      </c>
    </row>
    <row r="762" spans="1:29" x14ac:dyDescent="0.3">
      <c r="A762" s="6">
        <v>1448</v>
      </c>
      <c r="B762" s="6">
        <v>133183</v>
      </c>
      <c r="C762" s="6">
        <v>1</v>
      </c>
      <c r="D762" s="6">
        <v>0</v>
      </c>
      <c r="E762" s="6">
        <v>45</v>
      </c>
      <c r="F762" s="5" t="s">
        <v>6</v>
      </c>
      <c r="G762" s="5" t="s">
        <v>11</v>
      </c>
      <c r="H762" s="3" t="s">
        <v>91</v>
      </c>
      <c r="I762" s="5" t="s">
        <v>438</v>
      </c>
      <c r="J762" s="5">
        <f>_xlfn.XLOOKUP(CustomerCombined[[#This Row],[ID]], Table4[ID], Table4[Recency], "Not Found", 0)</f>
        <v>46</v>
      </c>
      <c r="K762" s="5">
        <f>_xlfn.XLOOKUP(CustomerCombined[[#This Row],[ID]], Table4[ID], Table4[Teas], "Not Found", 0)</f>
        <v>28</v>
      </c>
      <c r="L762" s="5">
        <f>_xlfn.XLOOKUP(CustomerCombined[[#This Row],[ID]], Table4[ID], Table4[Fruits], "Not Found", 0)</f>
        <v>20</v>
      </c>
      <c r="M762" s="5">
        <f>_xlfn.XLOOKUP(CustomerCombined[[#This Row],[ID]], Table4[ID], Table4[Meats], "Not Found", 0)</f>
        <v>157</v>
      </c>
      <c r="N762" s="5">
        <f>_xlfn.XLOOKUP(CustomerCombined[[#This Row],[ID]], Table4[ID], Table4[Seafood], "Not Found", 0)</f>
        <v>68</v>
      </c>
      <c r="O762" s="5">
        <f>_xlfn.XLOOKUP(CustomerCombined[[#This Row],[ID]], Table4[ID], Table4[Sweets], "Not Found", 0)</f>
        <v>60</v>
      </c>
      <c r="P762" s="5">
        <f>_xlfn.XLOOKUP(CustomerCombined[[#This Row],[ID]], Table4[ID], Table4[Premium], "Not Found", 0)</f>
        <v>149</v>
      </c>
      <c r="Q762" s="5">
        <f>_xlfn.XLOOKUP(CustomerCombined[[#This Row],[ID]], Table4[ID], Table4[Regular], "Not Found", 0)</f>
        <v>185</v>
      </c>
      <c r="R762" s="5">
        <f>_xlfn.XLOOKUP(CustomerCombined[[#This Row],[ID]], Table4[ID], Table4[Deals], "Not Found", 0)</f>
        <v>2</v>
      </c>
      <c r="S762" s="5">
        <f>_xlfn.XLOOKUP(CustomerCombined[[#This Row],[ID]], Table4[ID], Table4[Website], "Not Found", 0)</f>
        <v>4</v>
      </c>
      <c r="T762" s="5">
        <f>_xlfn.XLOOKUP(CustomerCombined[[#This Row],[ID]], Table4[ID], Table4[Catalog], "Not Found", 0)</f>
        <v>0</v>
      </c>
      <c r="U762" s="5">
        <f>_xlfn.XLOOKUP(CustomerCombined[[#This Row],[ID]], Table4[ID], Table4[Store], "Not Found", 0)</f>
        <v>3</v>
      </c>
      <c r="V762" s="5">
        <f>_xlfn.XLOOKUP(CustomerCombined[[#This Row],[ID]], Table4[ID], Table4[Visits], "Not Found", 0)</f>
        <v>7</v>
      </c>
      <c r="W762" s="8">
        <f>_xlfn.XLOOKUP(CustomerCombined[[#This Row],[ID]], Table2[ID],Table2[Complaint], "Not Found", 0 )</f>
        <v>0</v>
      </c>
      <c r="X762" s="8">
        <f>_xlfn.XLOOKUP(CustomerCombined[[#This Row],[ID]], Table2[ID],Table2[Pilot], "Not Found", 0 )</f>
        <v>0</v>
      </c>
      <c r="Y762" s="8">
        <f>_xlfn.XLOOKUP(CustomerCombined[[#This Row],[ID]], Table2[ID],Table2[MC1], "Not Found", 0 )</f>
        <v>0</v>
      </c>
      <c r="Z762" s="8">
        <f>_xlfn.XLOOKUP(CustomerCombined[[#This Row],[ID]], Table2[ID],Table2[MC2], "Not Found", 0 )</f>
        <v>0</v>
      </c>
      <c r="AA762" s="8">
        <f>_xlfn.XLOOKUP(CustomerCombined[[#This Row],[ID]], Table2[ID],Table2[MC3], "Not Found", 0 )</f>
        <v>0</v>
      </c>
      <c r="AB762" s="8">
        <f>_xlfn.XLOOKUP(CustomerCombined[[#This Row],[ID]], Table2[ID],Table2[MC4], "Not Found", 0 )</f>
        <v>0</v>
      </c>
      <c r="AC762" s="8">
        <f>_xlfn.XLOOKUP(CustomerCombined[[#This Row],[ID]], Table2[ID],Table2[MC5], "Not Found", 0 )</f>
        <v>0</v>
      </c>
    </row>
    <row r="763" spans="1:29" x14ac:dyDescent="0.3">
      <c r="A763" s="6">
        <v>1237</v>
      </c>
      <c r="B763" s="6">
        <v>131160</v>
      </c>
      <c r="C763" s="6">
        <v>1</v>
      </c>
      <c r="D763" s="6">
        <v>0</v>
      </c>
      <c r="E763" s="6">
        <v>45</v>
      </c>
      <c r="F763" s="5" t="s">
        <v>7</v>
      </c>
      <c r="G763" s="5" t="s">
        <v>12</v>
      </c>
      <c r="H763" s="3" t="s">
        <v>183</v>
      </c>
      <c r="I763" s="5" t="s">
        <v>437</v>
      </c>
      <c r="J763" s="5">
        <f>_xlfn.XLOOKUP(CustomerCombined[[#This Row],[ID]], Table4[ID], Table4[Recency], "Not Found", 0)</f>
        <v>59</v>
      </c>
      <c r="K763" s="5">
        <f>_xlfn.XLOOKUP(CustomerCombined[[#This Row],[ID]], Table4[ID], Table4[Teas], "Not Found", 0)</f>
        <v>67</v>
      </c>
      <c r="L763" s="5">
        <f>_xlfn.XLOOKUP(CustomerCombined[[#This Row],[ID]], Table4[ID], Table4[Fruits], "Not Found", 0)</f>
        <v>13</v>
      </c>
      <c r="M763" s="5">
        <f>_xlfn.XLOOKUP(CustomerCombined[[#This Row],[ID]], Table4[ID], Table4[Meats], "Not Found", 0)</f>
        <v>105</v>
      </c>
      <c r="N763" s="5">
        <f>_xlfn.XLOOKUP(CustomerCombined[[#This Row],[ID]], Table4[ID], Table4[Seafood], "Not Found", 0)</f>
        <v>25</v>
      </c>
      <c r="O763" s="5">
        <f>_xlfn.XLOOKUP(CustomerCombined[[#This Row],[ID]], Table4[ID], Table4[Sweets], "Not Found", 0)</f>
        <v>4</v>
      </c>
      <c r="P763" s="5">
        <f>_xlfn.XLOOKUP(CustomerCombined[[#This Row],[ID]], Table4[ID], Table4[Premium], "Not Found", 0)</f>
        <v>55</v>
      </c>
      <c r="Q763" s="5">
        <f>_xlfn.XLOOKUP(CustomerCombined[[#This Row],[ID]], Table4[ID], Table4[Regular], "Not Found", 0)</f>
        <v>160</v>
      </c>
      <c r="R763" s="5">
        <f>_xlfn.XLOOKUP(CustomerCombined[[#This Row],[ID]], Table4[ID], Table4[Deals], "Not Found", 0)</f>
        <v>2</v>
      </c>
      <c r="S763" s="5">
        <f>_xlfn.XLOOKUP(CustomerCombined[[#This Row],[ID]], Table4[ID], Table4[Website], "Not Found", 0)</f>
        <v>2</v>
      </c>
      <c r="T763" s="5">
        <f>_xlfn.XLOOKUP(CustomerCombined[[#This Row],[ID]], Table4[ID], Table4[Catalog], "Not Found", 0)</f>
        <v>0</v>
      </c>
      <c r="U763" s="5">
        <f>_xlfn.XLOOKUP(CustomerCombined[[#This Row],[ID]], Table4[ID], Table4[Store], "Not Found", 0)</f>
        <v>3</v>
      </c>
      <c r="V763" s="5">
        <f>_xlfn.XLOOKUP(CustomerCombined[[#This Row],[ID]], Table4[ID], Table4[Visits], "Not Found", 0)</f>
        <v>8</v>
      </c>
      <c r="W763" s="8">
        <f>_xlfn.XLOOKUP(CustomerCombined[[#This Row],[ID]], Table2[ID],Table2[Complaint], "Not Found", 0 )</f>
        <v>0</v>
      </c>
      <c r="X763" s="8">
        <f>_xlfn.XLOOKUP(CustomerCombined[[#This Row],[ID]], Table2[ID],Table2[Pilot], "Not Found", 0 )</f>
        <v>0</v>
      </c>
      <c r="Y763" s="8">
        <f>_xlfn.XLOOKUP(CustomerCombined[[#This Row],[ID]], Table2[ID],Table2[MC1], "Not Found", 0 )</f>
        <v>0</v>
      </c>
      <c r="Z763" s="8">
        <f>_xlfn.XLOOKUP(CustomerCombined[[#This Row],[ID]], Table2[ID],Table2[MC2], "Not Found", 0 )</f>
        <v>0</v>
      </c>
      <c r="AA763" s="8">
        <f>_xlfn.XLOOKUP(CustomerCombined[[#This Row],[ID]], Table2[ID],Table2[MC3], "Not Found", 0 )</f>
        <v>0</v>
      </c>
      <c r="AB763" s="8">
        <f>_xlfn.XLOOKUP(CustomerCombined[[#This Row],[ID]], Table2[ID],Table2[MC4], "Not Found", 0 )</f>
        <v>0</v>
      </c>
      <c r="AC763" s="8">
        <f>_xlfn.XLOOKUP(CustomerCombined[[#This Row],[ID]], Table2[ID],Table2[MC5], "Not Found", 0 )</f>
        <v>0</v>
      </c>
    </row>
    <row r="764" spans="1:29" x14ac:dyDescent="0.3">
      <c r="A764" s="6">
        <v>1592</v>
      </c>
      <c r="B764" s="6">
        <v>130801</v>
      </c>
      <c r="C764" s="6">
        <v>0</v>
      </c>
      <c r="D764" s="6">
        <v>1</v>
      </c>
      <c r="E764" s="6">
        <v>45</v>
      </c>
      <c r="F764" s="5" t="s">
        <v>6</v>
      </c>
      <c r="G764" s="5" t="s">
        <v>10</v>
      </c>
      <c r="H764" s="3">
        <v>43500</v>
      </c>
      <c r="I764" s="5" t="s">
        <v>438</v>
      </c>
      <c r="J764" s="5">
        <f>_xlfn.XLOOKUP(CustomerCombined[[#This Row],[ID]], Table4[ID], Table4[Recency], "Not Found", 0)</f>
        <v>23</v>
      </c>
      <c r="K764" s="5">
        <f>_xlfn.XLOOKUP(CustomerCombined[[#This Row],[ID]], Table4[ID], Table4[Teas], "Not Found", 0)</f>
        <v>34</v>
      </c>
      <c r="L764" s="5">
        <f>_xlfn.XLOOKUP(CustomerCombined[[#This Row],[ID]], Table4[ID], Table4[Fruits], "Not Found", 0)</f>
        <v>17</v>
      </c>
      <c r="M764" s="5">
        <f>_xlfn.XLOOKUP(CustomerCombined[[#This Row],[ID]], Table4[ID], Table4[Meats], "Not Found", 0)</f>
        <v>21</v>
      </c>
      <c r="N764" s="5">
        <f>_xlfn.XLOOKUP(CustomerCombined[[#This Row],[ID]], Table4[ID], Table4[Seafood], "Not Found", 0)</f>
        <v>64</v>
      </c>
      <c r="O764" s="5">
        <f>_xlfn.XLOOKUP(CustomerCombined[[#This Row],[ID]], Table4[ID], Table4[Sweets], "Not Found", 0)</f>
        <v>8</v>
      </c>
      <c r="P764" s="5">
        <f>_xlfn.XLOOKUP(CustomerCombined[[#This Row],[ID]], Table4[ID], Table4[Premium], "Not Found", 0)</f>
        <v>47</v>
      </c>
      <c r="Q764" s="5">
        <f>_xlfn.XLOOKUP(CustomerCombined[[#This Row],[ID]], Table4[ID], Table4[Regular], "Not Found", 0)</f>
        <v>98</v>
      </c>
      <c r="R764" s="5">
        <f>_xlfn.XLOOKUP(CustomerCombined[[#This Row],[ID]], Table4[ID], Table4[Deals], "Not Found", 0)</f>
        <v>2</v>
      </c>
      <c r="S764" s="5">
        <f>_xlfn.XLOOKUP(CustomerCombined[[#This Row],[ID]], Table4[ID], Table4[Website], "Not Found", 0)</f>
        <v>1</v>
      </c>
      <c r="T764" s="5">
        <f>_xlfn.XLOOKUP(CustomerCombined[[#This Row],[ID]], Table4[ID], Table4[Catalog], "Not Found", 0)</f>
        <v>0</v>
      </c>
      <c r="U764" s="5">
        <f>_xlfn.XLOOKUP(CustomerCombined[[#This Row],[ID]], Table4[ID], Table4[Store], "Not Found", 0)</f>
        <v>3</v>
      </c>
      <c r="V764" s="5">
        <f>_xlfn.XLOOKUP(CustomerCombined[[#This Row],[ID]], Table4[ID], Table4[Visits], "Not Found", 0)</f>
        <v>7</v>
      </c>
      <c r="W764" s="8">
        <f>_xlfn.XLOOKUP(CustomerCombined[[#This Row],[ID]], Table2[ID],Table2[Complaint], "Not Found", 0 )</f>
        <v>0</v>
      </c>
      <c r="X764" s="8">
        <f>_xlfn.XLOOKUP(CustomerCombined[[#This Row],[ID]], Table2[ID],Table2[Pilot], "Not Found", 0 )</f>
        <v>0</v>
      </c>
      <c r="Y764" s="8">
        <f>_xlfn.XLOOKUP(CustomerCombined[[#This Row],[ID]], Table2[ID],Table2[MC1], "Not Found", 0 )</f>
        <v>0</v>
      </c>
      <c r="Z764" s="8">
        <f>_xlfn.XLOOKUP(CustomerCombined[[#This Row],[ID]], Table2[ID],Table2[MC2], "Not Found", 0 )</f>
        <v>0</v>
      </c>
      <c r="AA764" s="8">
        <f>_xlfn.XLOOKUP(CustomerCombined[[#This Row],[ID]], Table2[ID],Table2[MC3], "Not Found", 0 )</f>
        <v>0</v>
      </c>
      <c r="AB764" s="8">
        <f>_xlfn.XLOOKUP(CustomerCombined[[#This Row],[ID]], Table2[ID],Table2[MC4], "Not Found", 0 )</f>
        <v>0</v>
      </c>
      <c r="AC764" s="8">
        <f>_xlfn.XLOOKUP(CustomerCombined[[#This Row],[ID]], Table2[ID],Table2[MC5], "Not Found", 0 )</f>
        <v>0</v>
      </c>
    </row>
    <row r="765" spans="1:29" x14ac:dyDescent="0.3">
      <c r="A765" s="6">
        <v>2651</v>
      </c>
      <c r="B765" s="6">
        <v>127573</v>
      </c>
      <c r="C765" s="6">
        <v>1</v>
      </c>
      <c r="D765" s="6">
        <v>0</v>
      </c>
      <c r="E765" s="6">
        <v>45</v>
      </c>
      <c r="F765" s="5" t="s">
        <v>6</v>
      </c>
      <c r="G765" s="5" t="s">
        <v>11</v>
      </c>
      <c r="H765" s="3" t="s">
        <v>283</v>
      </c>
      <c r="I765" s="5" t="s">
        <v>434</v>
      </c>
      <c r="J765" s="5">
        <f>_xlfn.XLOOKUP(CustomerCombined[[#This Row],[ID]], Table4[ID], Table4[Recency], "Not Found", 0)</f>
        <v>45</v>
      </c>
      <c r="K765" s="5">
        <f>_xlfn.XLOOKUP(CustomerCombined[[#This Row],[ID]], Table4[ID], Table4[Teas], "Not Found", 0)</f>
        <v>231</v>
      </c>
      <c r="L765" s="5">
        <f>_xlfn.XLOOKUP(CustomerCombined[[#This Row],[ID]], Table4[ID], Table4[Fruits], "Not Found", 0)</f>
        <v>69</v>
      </c>
      <c r="M765" s="5">
        <f>_xlfn.XLOOKUP(CustomerCombined[[#This Row],[ID]], Table4[ID], Table4[Meats], "Not Found", 0)</f>
        <v>509</v>
      </c>
      <c r="N765" s="5">
        <f>_xlfn.XLOOKUP(CustomerCombined[[#This Row],[ID]], Table4[ID], Table4[Seafood], "Not Found", 0)</f>
        <v>180</v>
      </c>
      <c r="O765" s="5">
        <f>_xlfn.XLOOKUP(CustomerCombined[[#This Row],[ID]], Table4[ID], Table4[Sweets], "Not Found", 0)</f>
        <v>69</v>
      </c>
      <c r="P765" s="5">
        <f>_xlfn.XLOOKUP(CustomerCombined[[#This Row],[ID]], Table4[ID], Table4[Premium], "Not Found", 0)</f>
        <v>69</v>
      </c>
      <c r="Q765" s="5">
        <f>_xlfn.XLOOKUP(CustomerCombined[[#This Row],[ID]], Table4[ID], Table4[Regular], "Not Found", 0)</f>
        <v>990</v>
      </c>
      <c r="R765" s="5">
        <f>_xlfn.XLOOKUP(CustomerCombined[[#This Row],[ID]], Table4[ID], Table4[Deals], "Not Found", 0)</f>
        <v>4</v>
      </c>
      <c r="S765" s="5">
        <f>_xlfn.XLOOKUP(CustomerCombined[[#This Row],[ID]], Table4[ID], Table4[Website], "Not Found", 0)</f>
        <v>5</v>
      </c>
      <c r="T765" s="5">
        <f>_xlfn.XLOOKUP(CustomerCombined[[#This Row],[ID]], Table4[ID], Table4[Catalog], "Not Found", 0)</f>
        <v>1</v>
      </c>
      <c r="U765" s="5">
        <f>_xlfn.XLOOKUP(CustomerCombined[[#This Row],[ID]], Table4[ID], Table4[Store], "Not Found", 0)</f>
        <v>4</v>
      </c>
      <c r="V765" s="5">
        <f>_xlfn.XLOOKUP(CustomerCombined[[#This Row],[ID]], Table4[ID], Table4[Visits], "Not Found", 0)</f>
        <v>8</v>
      </c>
      <c r="W765" s="8">
        <f>_xlfn.XLOOKUP(CustomerCombined[[#This Row],[ID]], Table2[ID],Table2[Complaint], "Not Found", 0 )</f>
        <v>0</v>
      </c>
      <c r="X765" s="8">
        <f>_xlfn.XLOOKUP(CustomerCombined[[#This Row],[ID]], Table2[ID],Table2[Pilot], "Not Found", 0 )</f>
        <v>0</v>
      </c>
      <c r="Y765" s="8">
        <f>_xlfn.XLOOKUP(CustomerCombined[[#This Row],[ID]], Table2[ID],Table2[MC1], "Not Found", 0 )</f>
        <v>0</v>
      </c>
      <c r="Z765" s="8">
        <f>_xlfn.XLOOKUP(CustomerCombined[[#This Row],[ID]], Table2[ID],Table2[MC2], "Not Found", 0 )</f>
        <v>0</v>
      </c>
      <c r="AA765" s="8">
        <f>_xlfn.XLOOKUP(CustomerCombined[[#This Row],[ID]], Table2[ID],Table2[MC3], "Not Found", 0 )</f>
        <v>0</v>
      </c>
      <c r="AB765" s="8">
        <f>_xlfn.XLOOKUP(CustomerCombined[[#This Row],[ID]], Table2[ID],Table2[MC4], "Not Found", 0 )</f>
        <v>0</v>
      </c>
      <c r="AC765" s="8">
        <f>_xlfn.XLOOKUP(CustomerCombined[[#This Row],[ID]], Table2[ID],Table2[MC5], "Not Found", 0 )</f>
        <v>0</v>
      </c>
    </row>
    <row r="766" spans="1:29" x14ac:dyDescent="0.3">
      <c r="A766" s="6">
        <v>1136</v>
      </c>
      <c r="B766" s="6">
        <v>123957</v>
      </c>
      <c r="C766" s="6">
        <v>1</v>
      </c>
      <c r="D766" s="6">
        <v>0</v>
      </c>
      <c r="E766" s="6">
        <v>45</v>
      </c>
      <c r="F766" s="5" t="s">
        <v>6</v>
      </c>
      <c r="G766" s="5" t="s">
        <v>11</v>
      </c>
      <c r="H766" s="3">
        <v>43559</v>
      </c>
      <c r="I766" s="5" t="s">
        <v>438</v>
      </c>
      <c r="J766" s="5">
        <f>_xlfn.XLOOKUP(CustomerCombined[[#This Row],[ID]], Table4[ID], Table4[Recency], "Not Found", 0)</f>
        <v>47</v>
      </c>
      <c r="K766" s="5">
        <f>_xlfn.XLOOKUP(CustomerCombined[[#This Row],[ID]], Table4[ID], Table4[Teas], "Not Found", 0)</f>
        <v>10</v>
      </c>
      <c r="L766" s="5">
        <f>_xlfn.XLOOKUP(CustomerCombined[[#This Row],[ID]], Table4[ID], Table4[Fruits], "Not Found", 0)</f>
        <v>5</v>
      </c>
      <c r="M766" s="5">
        <f>_xlfn.XLOOKUP(CustomerCombined[[#This Row],[ID]], Table4[ID], Table4[Meats], "Not Found", 0)</f>
        <v>93</v>
      </c>
      <c r="N766" s="5">
        <f>_xlfn.XLOOKUP(CustomerCombined[[#This Row],[ID]], Table4[ID], Table4[Seafood], "Not Found", 0)</f>
        <v>103</v>
      </c>
      <c r="O766" s="5">
        <f>_xlfn.XLOOKUP(CustomerCombined[[#This Row],[ID]], Table4[ID], Table4[Sweets], "Not Found", 0)</f>
        <v>57</v>
      </c>
      <c r="P766" s="5">
        <f>_xlfn.XLOOKUP(CustomerCombined[[#This Row],[ID]], Table4[ID], Table4[Premium], "Not Found", 0)</f>
        <v>83</v>
      </c>
      <c r="Q766" s="5">
        <f>_xlfn.XLOOKUP(CustomerCombined[[#This Row],[ID]], Table4[ID], Table4[Regular], "Not Found", 0)</f>
        <v>186</v>
      </c>
      <c r="R766" s="5">
        <f>_xlfn.XLOOKUP(CustomerCombined[[#This Row],[ID]], Table4[ID], Table4[Deals], "Not Found", 0)</f>
        <v>1</v>
      </c>
      <c r="S766" s="5">
        <f>_xlfn.XLOOKUP(CustomerCombined[[#This Row],[ID]], Table4[ID], Table4[Website], "Not Found", 0)</f>
        <v>2</v>
      </c>
      <c r="T766" s="5">
        <f>_xlfn.XLOOKUP(CustomerCombined[[#This Row],[ID]], Table4[ID], Table4[Catalog], "Not Found", 0)</f>
        <v>0</v>
      </c>
      <c r="U766" s="5">
        <f>_xlfn.XLOOKUP(CustomerCombined[[#This Row],[ID]], Table4[ID], Table4[Store], "Not Found", 0)</f>
        <v>3</v>
      </c>
      <c r="V766" s="5">
        <f>_xlfn.XLOOKUP(CustomerCombined[[#This Row],[ID]], Table4[ID], Table4[Visits], "Not Found", 0)</f>
        <v>6</v>
      </c>
      <c r="W766" s="8">
        <f>_xlfn.XLOOKUP(CustomerCombined[[#This Row],[ID]], Table2[ID],Table2[Complaint], "Not Found", 0 )</f>
        <v>0</v>
      </c>
      <c r="X766" s="8">
        <f>_xlfn.XLOOKUP(CustomerCombined[[#This Row],[ID]], Table2[ID],Table2[Pilot], "Not Found", 0 )</f>
        <v>1</v>
      </c>
      <c r="Y766" s="8">
        <f>_xlfn.XLOOKUP(CustomerCombined[[#This Row],[ID]], Table2[ID],Table2[MC1], "Not Found", 0 )</f>
        <v>0</v>
      </c>
      <c r="Z766" s="8">
        <f>_xlfn.XLOOKUP(CustomerCombined[[#This Row],[ID]], Table2[ID],Table2[MC2], "Not Found", 0 )</f>
        <v>0</v>
      </c>
      <c r="AA766" s="8">
        <f>_xlfn.XLOOKUP(CustomerCombined[[#This Row],[ID]], Table2[ID],Table2[MC3], "Not Found", 0 )</f>
        <v>0</v>
      </c>
      <c r="AB766" s="8">
        <f>_xlfn.XLOOKUP(CustomerCombined[[#This Row],[ID]], Table2[ID],Table2[MC4], "Not Found", 0 )</f>
        <v>0</v>
      </c>
      <c r="AC766" s="8">
        <f>_xlfn.XLOOKUP(CustomerCombined[[#This Row],[ID]], Table2[ID],Table2[MC5], "Not Found", 0 )</f>
        <v>0</v>
      </c>
    </row>
    <row r="767" spans="1:29" x14ac:dyDescent="0.3">
      <c r="A767" s="6">
        <v>2804</v>
      </c>
      <c r="B767" s="6">
        <v>122669</v>
      </c>
      <c r="C767" s="6">
        <v>1</v>
      </c>
      <c r="D767" s="6">
        <v>0</v>
      </c>
      <c r="E767" s="6">
        <v>45</v>
      </c>
      <c r="F767" s="5" t="s">
        <v>8</v>
      </c>
      <c r="G767" s="5" t="s">
        <v>12</v>
      </c>
      <c r="H767" s="3" t="s">
        <v>249</v>
      </c>
      <c r="I767" s="5" t="s">
        <v>438</v>
      </c>
      <c r="J767" s="5">
        <f>_xlfn.XLOOKUP(CustomerCombined[[#This Row],[ID]], Table4[ID], Table4[Recency], "Not Found", 0)</f>
        <v>30</v>
      </c>
      <c r="K767" s="5">
        <f>_xlfn.XLOOKUP(CustomerCombined[[#This Row],[ID]], Table4[ID], Table4[Teas], "Not Found", 0)</f>
        <v>87</v>
      </c>
      <c r="L767" s="5">
        <f>_xlfn.XLOOKUP(CustomerCombined[[#This Row],[ID]], Table4[ID], Table4[Fruits], "Not Found", 0)</f>
        <v>76</v>
      </c>
      <c r="M767" s="5">
        <f>_xlfn.XLOOKUP(CustomerCombined[[#This Row],[ID]], Table4[ID], Table4[Meats], "Not Found", 0)</f>
        <v>195</v>
      </c>
      <c r="N767" s="5">
        <f>_xlfn.XLOOKUP(CustomerCombined[[#This Row],[ID]], Table4[ID], Table4[Seafood], "Not Found", 0)</f>
        <v>200</v>
      </c>
      <c r="O767" s="5">
        <f>_xlfn.XLOOKUP(CustomerCombined[[#This Row],[ID]], Table4[ID], Table4[Sweets], "Not Found", 0)</f>
        <v>119</v>
      </c>
      <c r="P767" s="5">
        <f>_xlfn.XLOOKUP(CustomerCombined[[#This Row],[ID]], Table4[ID], Table4[Premium], "Not Found", 0)</f>
        <v>260</v>
      </c>
      <c r="Q767" s="5">
        <f>_xlfn.XLOOKUP(CustomerCombined[[#This Row],[ID]], Table4[ID], Table4[Regular], "Not Found", 0)</f>
        <v>417</v>
      </c>
      <c r="R767" s="5">
        <f>_xlfn.XLOOKUP(CustomerCombined[[#This Row],[ID]], Table4[ID], Table4[Deals], "Not Found", 0)</f>
        <v>3</v>
      </c>
      <c r="S767" s="5">
        <f>_xlfn.XLOOKUP(CustomerCombined[[#This Row],[ID]], Table4[ID], Table4[Website], "Not Found", 0)</f>
        <v>4</v>
      </c>
      <c r="T767" s="5">
        <f>_xlfn.XLOOKUP(CustomerCombined[[#This Row],[ID]], Table4[ID], Table4[Catalog], "Not Found", 0)</f>
        <v>1</v>
      </c>
      <c r="U767" s="5">
        <f>_xlfn.XLOOKUP(CustomerCombined[[#This Row],[ID]], Table4[ID], Table4[Store], "Not Found", 0)</f>
        <v>2</v>
      </c>
      <c r="V767" s="5">
        <f>_xlfn.XLOOKUP(CustomerCombined[[#This Row],[ID]], Table4[ID], Table4[Visits], "Not Found", 0)</f>
        <v>9</v>
      </c>
      <c r="W767" s="8">
        <f>_xlfn.XLOOKUP(CustomerCombined[[#This Row],[ID]], Table2[ID],Table2[Complaint], "Not Found", 0 )</f>
        <v>0</v>
      </c>
      <c r="X767" s="8">
        <f>_xlfn.XLOOKUP(CustomerCombined[[#This Row],[ID]], Table2[ID],Table2[Pilot], "Not Found", 0 )</f>
        <v>1</v>
      </c>
      <c r="Y767" s="8">
        <f>_xlfn.XLOOKUP(CustomerCombined[[#This Row],[ID]], Table2[ID],Table2[MC1], "Not Found", 0 )</f>
        <v>0</v>
      </c>
      <c r="Z767" s="8">
        <f>_xlfn.XLOOKUP(CustomerCombined[[#This Row],[ID]], Table2[ID],Table2[MC2], "Not Found", 0 )</f>
        <v>0</v>
      </c>
      <c r="AA767" s="8">
        <f>_xlfn.XLOOKUP(CustomerCombined[[#This Row],[ID]], Table2[ID],Table2[MC3], "Not Found", 0 )</f>
        <v>0</v>
      </c>
      <c r="AB767" s="8">
        <f>_xlfn.XLOOKUP(CustomerCombined[[#This Row],[ID]], Table2[ID],Table2[MC4], "Not Found", 0 )</f>
        <v>0</v>
      </c>
      <c r="AC767" s="8">
        <f>_xlfn.XLOOKUP(CustomerCombined[[#This Row],[ID]], Table2[ID],Table2[MC5], "Not Found", 0 )</f>
        <v>0</v>
      </c>
    </row>
    <row r="768" spans="1:29" x14ac:dyDescent="0.3">
      <c r="A768" s="6">
        <v>2826</v>
      </c>
      <c r="B768" s="6">
        <v>122280</v>
      </c>
      <c r="C768" s="6">
        <v>1</v>
      </c>
      <c r="D768" s="6">
        <v>0</v>
      </c>
      <c r="E768" s="6">
        <v>45</v>
      </c>
      <c r="F768" s="5" t="s">
        <v>8</v>
      </c>
      <c r="G768" s="5" t="s">
        <v>11</v>
      </c>
      <c r="H768" s="3" t="s">
        <v>252</v>
      </c>
      <c r="I768" s="5" t="s">
        <v>436</v>
      </c>
      <c r="J768" s="5">
        <f>_xlfn.XLOOKUP(CustomerCombined[[#This Row],[ID]], Table4[ID], Table4[Recency], "Not Found", 0)</f>
        <v>85</v>
      </c>
      <c r="K768" s="5">
        <f>_xlfn.XLOOKUP(CustomerCombined[[#This Row],[ID]], Table4[ID], Table4[Teas], "Not Found", 0)</f>
        <v>11</v>
      </c>
      <c r="L768" s="5">
        <f>_xlfn.XLOOKUP(CustomerCombined[[#This Row],[ID]], Table4[ID], Table4[Fruits], "Not Found", 0)</f>
        <v>5</v>
      </c>
      <c r="M768" s="5">
        <f>_xlfn.XLOOKUP(CustomerCombined[[#This Row],[ID]], Table4[ID], Table4[Meats], "Not Found", 0)</f>
        <v>22</v>
      </c>
      <c r="N768" s="5">
        <f>_xlfn.XLOOKUP(CustomerCombined[[#This Row],[ID]], Table4[ID], Table4[Seafood], "Not Found", 0)</f>
        <v>16</v>
      </c>
      <c r="O768" s="5">
        <f>_xlfn.XLOOKUP(CustomerCombined[[#This Row],[ID]], Table4[ID], Table4[Sweets], "Not Found", 0)</f>
        <v>5</v>
      </c>
      <c r="P768" s="5">
        <f>_xlfn.XLOOKUP(CustomerCombined[[#This Row],[ID]], Table4[ID], Table4[Premium], "Not Found", 0)</f>
        <v>11</v>
      </c>
      <c r="Q768" s="5">
        <f>_xlfn.XLOOKUP(CustomerCombined[[#This Row],[ID]], Table4[ID], Table4[Regular], "Not Found", 0)</f>
        <v>49</v>
      </c>
      <c r="R768" s="5">
        <f>_xlfn.XLOOKUP(CustomerCombined[[#This Row],[ID]], Table4[ID], Table4[Deals], "Not Found", 0)</f>
        <v>1</v>
      </c>
      <c r="S768" s="5">
        <f>_xlfn.XLOOKUP(CustomerCombined[[#This Row],[ID]], Table4[ID], Table4[Website], "Not Found", 0)</f>
        <v>1</v>
      </c>
      <c r="T768" s="5">
        <f>_xlfn.XLOOKUP(CustomerCombined[[#This Row],[ID]], Table4[ID], Table4[Catalog], "Not Found", 0)</f>
        <v>0</v>
      </c>
      <c r="U768" s="5">
        <f>_xlfn.XLOOKUP(CustomerCombined[[#This Row],[ID]], Table4[ID], Table4[Store], "Not Found", 0)</f>
        <v>2</v>
      </c>
      <c r="V768" s="5">
        <f>_xlfn.XLOOKUP(CustomerCombined[[#This Row],[ID]], Table4[ID], Table4[Visits], "Not Found", 0)</f>
        <v>8</v>
      </c>
      <c r="W768" s="8">
        <f>_xlfn.XLOOKUP(CustomerCombined[[#This Row],[ID]], Table2[ID],Table2[Complaint], "Not Found", 0 )</f>
        <v>0</v>
      </c>
      <c r="X768" s="8">
        <f>_xlfn.XLOOKUP(CustomerCombined[[#This Row],[ID]], Table2[ID],Table2[Pilot], "Not Found", 0 )</f>
        <v>0</v>
      </c>
      <c r="Y768" s="8">
        <f>_xlfn.XLOOKUP(CustomerCombined[[#This Row],[ID]], Table2[ID],Table2[MC1], "Not Found", 0 )</f>
        <v>0</v>
      </c>
      <c r="Z768" s="8">
        <f>_xlfn.XLOOKUP(CustomerCombined[[#This Row],[ID]], Table2[ID],Table2[MC2], "Not Found", 0 )</f>
        <v>0</v>
      </c>
      <c r="AA768" s="8">
        <f>_xlfn.XLOOKUP(CustomerCombined[[#This Row],[ID]], Table2[ID],Table2[MC3], "Not Found", 0 )</f>
        <v>0</v>
      </c>
      <c r="AB768" s="8">
        <f>_xlfn.XLOOKUP(CustomerCombined[[#This Row],[ID]], Table2[ID],Table2[MC4], "Not Found", 0 )</f>
        <v>0</v>
      </c>
      <c r="AC768" s="8">
        <f>_xlfn.XLOOKUP(CustomerCombined[[#This Row],[ID]], Table2[ID],Table2[MC5], "Not Found", 0 )</f>
        <v>0</v>
      </c>
    </row>
    <row r="769" spans="1:29" x14ac:dyDescent="0.3">
      <c r="A769" s="6">
        <v>1223</v>
      </c>
      <c r="B769" s="6">
        <v>122212</v>
      </c>
      <c r="C769" s="6">
        <v>1</v>
      </c>
      <c r="D769" s="6">
        <v>0</v>
      </c>
      <c r="E769" s="6">
        <v>45</v>
      </c>
      <c r="F769" s="5" t="s">
        <v>6</v>
      </c>
      <c r="G769" s="5" t="s">
        <v>442</v>
      </c>
      <c r="H769" s="3" t="s">
        <v>139</v>
      </c>
      <c r="I769" s="5" t="s">
        <v>434</v>
      </c>
      <c r="J769" s="5">
        <f>_xlfn.XLOOKUP(CustomerCombined[[#This Row],[ID]], Table4[ID], Table4[Recency], "Not Found", 0)</f>
        <v>49</v>
      </c>
      <c r="K769" s="5">
        <f>_xlfn.XLOOKUP(CustomerCombined[[#This Row],[ID]], Table4[ID], Table4[Teas], "Not Found", 0)</f>
        <v>28</v>
      </c>
      <c r="L769" s="5">
        <f>_xlfn.XLOOKUP(CustomerCombined[[#This Row],[ID]], Table4[ID], Table4[Fruits], "Not Found", 0)</f>
        <v>50</v>
      </c>
      <c r="M769" s="5">
        <f>_xlfn.XLOOKUP(CustomerCombined[[#This Row],[ID]], Table4[ID], Table4[Meats], "Not Found", 0)</f>
        <v>110</v>
      </c>
      <c r="N769" s="5">
        <f>_xlfn.XLOOKUP(CustomerCombined[[#This Row],[ID]], Table4[ID], Table4[Seafood], "Not Found", 0)</f>
        <v>33</v>
      </c>
      <c r="O769" s="5">
        <f>_xlfn.XLOOKUP(CustomerCombined[[#This Row],[ID]], Table4[ID], Table4[Sweets], "Not Found", 0)</f>
        <v>44</v>
      </c>
      <c r="P769" s="5">
        <f>_xlfn.XLOOKUP(CustomerCombined[[#This Row],[ID]], Table4[ID], Table4[Premium], "Not Found", 0)</f>
        <v>116</v>
      </c>
      <c r="Q769" s="5">
        <f>_xlfn.XLOOKUP(CustomerCombined[[#This Row],[ID]], Table4[ID], Table4[Regular], "Not Found", 0)</f>
        <v>149</v>
      </c>
      <c r="R769" s="5">
        <f>_xlfn.XLOOKUP(CustomerCombined[[#This Row],[ID]], Table4[ID], Table4[Deals], "Not Found", 0)</f>
        <v>2</v>
      </c>
      <c r="S769" s="5">
        <f>_xlfn.XLOOKUP(CustomerCombined[[#This Row],[ID]], Table4[ID], Table4[Website], "Not Found", 0)</f>
        <v>2</v>
      </c>
      <c r="T769" s="5">
        <f>_xlfn.XLOOKUP(CustomerCombined[[#This Row],[ID]], Table4[ID], Table4[Catalog], "Not Found", 0)</f>
        <v>0</v>
      </c>
      <c r="U769" s="5">
        <f>_xlfn.XLOOKUP(CustomerCombined[[#This Row],[ID]], Table4[ID], Table4[Store], "Not Found", 0)</f>
        <v>4</v>
      </c>
      <c r="V769" s="5">
        <f>_xlfn.XLOOKUP(CustomerCombined[[#This Row],[ID]], Table4[ID], Table4[Visits], "Not Found", 0)</f>
        <v>6</v>
      </c>
      <c r="W769" s="8">
        <f>_xlfn.XLOOKUP(CustomerCombined[[#This Row],[ID]], Table2[ID],Table2[Complaint], "Not Found", 0 )</f>
        <v>0</v>
      </c>
      <c r="X769" s="8">
        <f>_xlfn.XLOOKUP(CustomerCombined[[#This Row],[ID]], Table2[ID],Table2[Pilot], "Not Found", 0 )</f>
        <v>0</v>
      </c>
      <c r="Y769" s="8">
        <f>_xlfn.XLOOKUP(CustomerCombined[[#This Row],[ID]], Table2[ID],Table2[MC1], "Not Found", 0 )</f>
        <v>0</v>
      </c>
      <c r="Z769" s="8">
        <f>_xlfn.XLOOKUP(CustomerCombined[[#This Row],[ID]], Table2[ID],Table2[MC2], "Not Found", 0 )</f>
        <v>0</v>
      </c>
      <c r="AA769" s="8">
        <f>_xlfn.XLOOKUP(CustomerCombined[[#This Row],[ID]], Table2[ID],Table2[MC3], "Not Found", 0 )</f>
        <v>0</v>
      </c>
      <c r="AB769" s="8">
        <f>_xlfn.XLOOKUP(CustomerCombined[[#This Row],[ID]], Table2[ID],Table2[MC4], "Not Found", 0 )</f>
        <v>0</v>
      </c>
      <c r="AC769" s="8">
        <f>_xlfn.XLOOKUP(CustomerCombined[[#This Row],[ID]], Table2[ID],Table2[MC5], "Not Found", 0 )</f>
        <v>0</v>
      </c>
    </row>
    <row r="770" spans="1:29" x14ac:dyDescent="0.3">
      <c r="A770" s="6">
        <v>1400</v>
      </c>
      <c r="B770" s="6">
        <v>119789</v>
      </c>
      <c r="C770" s="6">
        <v>1</v>
      </c>
      <c r="D770" s="6">
        <v>0</v>
      </c>
      <c r="E770" s="6">
        <v>45</v>
      </c>
      <c r="F770" s="5" t="s">
        <v>8</v>
      </c>
      <c r="G770" s="5" t="s">
        <v>442</v>
      </c>
      <c r="H770" s="3" t="s">
        <v>145</v>
      </c>
      <c r="I770" s="5" t="s">
        <v>438</v>
      </c>
      <c r="J770" s="5">
        <f>_xlfn.XLOOKUP(CustomerCombined[[#This Row],[ID]], Table4[ID], Table4[Recency], "Not Found", 0)</f>
        <v>24</v>
      </c>
      <c r="K770" s="5">
        <f>_xlfn.XLOOKUP(CustomerCombined[[#This Row],[ID]], Table4[ID], Table4[Teas], "Not Found", 0)</f>
        <v>12</v>
      </c>
      <c r="L770" s="5">
        <f>_xlfn.XLOOKUP(CustomerCombined[[#This Row],[ID]], Table4[ID], Table4[Fruits], "Not Found", 0)</f>
        <v>30</v>
      </c>
      <c r="M770" s="5">
        <f>_xlfn.XLOOKUP(CustomerCombined[[#This Row],[ID]], Table4[ID], Table4[Meats], "Not Found", 0)</f>
        <v>54</v>
      </c>
      <c r="N770" s="5">
        <f>_xlfn.XLOOKUP(CustomerCombined[[#This Row],[ID]], Table4[ID], Table4[Seafood], "Not Found", 0)</f>
        <v>169</v>
      </c>
      <c r="O770" s="5">
        <f>_xlfn.XLOOKUP(CustomerCombined[[#This Row],[ID]], Table4[ID], Table4[Sweets], "Not Found", 0)</f>
        <v>36</v>
      </c>
      <c r="P770" s="5">
        <f>_xlfn.XLOOKUP(CustomerCombined[[#This Row],[ID]], Table4[ID], Table4[Premium], "Not Found", 0)</f>
        <v>169</v>
      </c>
      <c r="Q770" s="5">
        <f>_xlfn.XLOOKUP(CustomerCombined[[#This Row],[ID]], Table4[ID], Table4[Regular], "Not Found", 0)</f>
        <v>133</v>
      </c>
      <c r="R770" s="5">
        <f>_xlfn.XLOOKUP(CustomerCombined[[#This Row],[ID]], Table4[ID], Table4[Deals], "Not Found", 0)</f>
        <v>3</v>
      </c>
      <c r="S770" s="5">
        <f>_xlfn.XLOOKUP(CustomerCombined[[#This Row],[ID]], Table4[ID], Table4[Website], "Not Found", 0)</f>
        <v>2</v>
      </c>
      <c r="T770" s="5">
        <f>_xlfn.XLOOKUP(CustomerCombined[[#This Row],[ID]], Table4[ID], Table4[Catalog], "Not Found", 0)</f>
        <v>1</v>
      </c>
      <c r="U770" s="5">
        <f>_xlfn.XLOOKUP(CustomerCombined[[#This Row],[ID]], Table4[ID], Table4[Store], "Not Found", 0)</f>
        <v>3</v>
      </c>
      <c r="V770" s="5">
        <f>_xlfn.XLOOKUP(CustomerCombined[[#This Row],[ID]], Table4[ID], Table4[Visits], "Not Found", 0)</f>
        <v>5</v>
      </c>
      <c r="W770" s="8">
        <f>_xlfn.XLOOKUP(CustomerCombined[[#This Row],[ID]], Table2[ID],Table2[Complaint], "Not Found", 0 )</f>
        <v>0</v>
      </c>
      <c r="X770" s="8">
        <f>_xlfn.XLOOKUP(CustomerCombined[[#This Row],[ID]], Table2[ID],Table2[Pilot], "Not Found", 0 )</f>
        <v>0</v>
      </c>
      <c r="Y770" s="8">
        <f>_xlfn.XLOOKUP(CustomerCombined[[#This Row],[ID]], Table2[ID],Table2[MC1], "Not Found", 0 )</f>
        <v>0</v>
      </c>
      <c r="Z770" s="8">
        <f>_xlfn.XLOOKUP(CustomerCombined[[#This Row],[ID]], Table2[ID],Table2[MC2], "Not Found", 0 )</f>
        <v>0</v>
      </c>
      <c r="AA770" s="8">
        <f>_xlfn.XLOOKUP(CustomerCombined[[#This Row],[ID]], Table2[ID],Table2[MC3], "Not Found", 0 )</f>
        <v>1</v>
      </c>
      <c r="AB770" s="8">
        <f>_xlfn.XLOOKUP(CustomerCombined[[#This Row],[ID]], Table2[ID],Table2[MC4], "Not Found", 0 )</f>
        <v>0</v>
      </c>
      <c r="AC770" s="8">
        <f>_xlfn.XLOOKUP(CustomerCombined[[#This Row],[ID]], Table2[ID],Table2[MC5], "Not Found", 0 )</f>
        <v>0</v>
      </c>
    </row>
    <row r="771" spans="1:29" x14ac:dyDescent="0.3">
      <c r="A771" s="6">
        <v>1579</v>
      </c>
      <c r="B771" s="6">
        <v>117459</v>
      </c>
      <c r="C771" s="6">
        <v>1</v>
      </c>
      <c r="D771" s="6">
        <v>0</v>
      </c>
      <c r="E771" s="6">
        <v>45</v>
      </c>
      <c r="F771" s="5" t="s">
        <v>8</v>
      </c>
      <c r="G771" s="5" t="s">
        <v>12</v>
      </c>
      <c r="H771" s="3" t="s">
        <v>180</v>
      </c>
      <c r="I771" s="5" t="s">
        <v>437</v>
      </c>
      <c r="J771" s="5">
        <f>_xlfn.XLOOKUP(CustomerCombined[[#This Row],[ID]], Table4[ID], Table4[Recency], "Not Found", 0)</f>
        <v>12</v>
      </c>
      <c r="K771" s="5">
        <f>_xlfn.XLOOKUP(CustomerCombined[[#This Row],[ID]], Table4[ID], Table4[Teas], "Not Found", 0)</f>
        <v>40</v>
      </c>
      <c r="L771" s="5">
        <f>_xlfn.XLOOKUP(CustomerCombined[[#This Row],[ID]], Table4[ID], Table4[Fruits], "Not Found", 0)</f>
        <v>27</v>
      </c>
      <c r="M771" s="5">
        <f>_xlfn.XLOOKUP(CustomerCombined[[#This Row],[ID]], Table4[ID], Table4[Meats], "Not Found", 0)</f>
        <v>108</v>
      </c>
      <c r="N771" s="5">
        <f>_xlfn.XLOOKUP(CustomerCombined[[#This Row],[ID]], Table4[ID], Table4[Seafood], "Not Found", 0)</f>
        <v>20</v>
      </c>
      <c r="O771" s="5">
        <f>_xlfn.XLOOKUP(CustomerCombined[[#This Row],[ID]], Table4[ID], Table4[Sweets], "Not Found", 0)</f>
        <v>67</v>
      </c>
      <c r="P771" s="5">
        <f>_xlfn.XLOOKUP(CustomerCombined[[#This Row],[ID]], Table4[ID], Table4[Premium], "Not Found", 0)</f>
        <v>202</v>
      </c>
      <c r="Q771" s="5">
        <f>_xlfn.XLOOKUP(CustomerCombined[[#This Row],[ID]], Table4[ID], Table4[Regular], "Not Found", 0)</f>
        <v>61</v>
      </c>
      <c r="R771" s="5">
        <f>_xlfn.XLOOKUP(CustomerCombined[[#This Row],[ID]], Table4[ID], Table4[Deals], "Not Found", 0)</f>
        <v>3</v>
      </c>
      <c r="S771" s="5">
        <f>_xlfn.XLOOKUP(CustomerCombined[[#This Row],[ID]], Table4[ID], Table4[Website], "Not Found", 0)</f>
        <v>3</v>
      </c>
      <c r="T771" s="5">
        <f>_xlfn.XLOOKUP(CustomerCombined[[#This Row],[ID]], Table4[ID], Table4[Catalog], "Not Found", 0)</f>
        <v>1</v>
      </c>
      <c r="U771" s="5">
        <f>_xlfn.XLOOKUP(CustomerCombined[[#This Row],[ID]], Table4[ID], Table4[Store], "Not Found", 0)</f>
        <v>2</v>
      </c>
      <c r="V771" s="5">
        <f>_xlfn.XLOOKUP(CustomerCombined[[#This Row],[ID]], Table4[ID], Table4[Visits], "Not Found", 0)</f>
        <v>7</v>
      </c>
      <c r="W771" s="8">
        <f>_xlfn.XLOOKUP(CustomerCombined[[#This Row],[ID]], Table2[ID],Table2[Complaint], "Not Found", 0 )</f>
        <v>0</v>
      </c>
      <c r="X771" s="8">
        <f>_xlfn.XLOOKUP(CustomerCombined[[#This Row],[ID]], Table2[ID],Table2[Pilot], "Not Found", 0 )</f>
        <v>1</v>
      </c>
      <c r="Y771" s="8">
        <f>_xlfn.XLOOKUP(CustomerCombined[[#This Row],[ID]], Table2[ID],Table2[MC1], "Not Found", 0 )</f>
        <v>0</v>
      </c>
      <c r="Z771" s="8">
        <f>_xlfn.XLOOKUP(CustomerCombined[[#This Row],[ID]], Table2[ID],Table2[MC2], "Not Found", 0 )</f>
        <v>0</v>
      </c>
      <c r="AA771" s="8">
        <f>_xlfn.XLOOKUP(CustomerCombined[[#This Row],[ID]], Table2[ID],Table2[MC3], "Not Found", 0 )</f>
        <v>0</v>
      </c>
      <c r="AB771" s="8">
        <f>_xlfn.XLOOKUP(CustomerCombined[[#This Row],[ID]], Table2[ID],Table2[MC4], "Not Found", 0 )</f>
        <v>0</v>
      </c>
      <c r="AC771" s="8">
        <f>_xlfn.XLOOKUP(CustomerCombined[[#This Row],[ID]], Table2[ID],Table2[MC5], "Not Found", 0 )</f>
        <v>0</v>
      </c>
    </row>
    <row r="772" spans="1:29" x14ac:dyDescent="0.3">
      <c r="A772" s="6">
        <v>1727</v>
      </c>
      <c r="B772" s="6">
        <v>117003</v>
      </c>
      <c r="C772" s="6">
        <v>1</v>
      </c>
      <c r="D772" s="6">
        <v>0</v>
      </c>
      <c r="E772" s="6">
        <v>45</v>
      </c>
      <c r="F772" s="5" t="s">
        <v>6</v>
      </c>
      <c r="G772" s="5" t="s">
        <v>442</v>
      </c>
      <c r="H772" s="3" t="s">
        <v>139</v>
      </c>
      <c r="I772" s="5" t="s">
        <v>434</v>
      </c>
      <c r="J772" s="5">
        <f>_xlfn.XLOOKUP(CustomerCombined[[#This Row],[ID]], Table4[ID], Table4[Recency], "Not Found", 0)</f>
        <v>37</v>
      </c>
      <c r="K772" s="5">
        <f>_xlfn.XLOOKUP(CustomerCombined[[#This Row],[ID]], Table4[ID], Table4[Teas], "Not Found", 0)</f>
        <v>14</v>
      </c>
      <c r="L772" s="5">
        <f>_xlfn.XLOOKUP(CustomerCombined[[#This Row],[ID]], Table4[ID], Table4[Fruits], "Not Found", 0)</f>
        <v>34</v>
      </c>
      <c r="M772" s="5">
        <f>_xlfn.XLOOKUP(CustomerCombined[[#This Row],[ID]], Table4[ID], Table4[Meats], "Not Found", 0)</f>
        <v>83</v>
      </c>
      <c r="N772" s="5">
        <f>_xlfn.XLOOKUP(CustomerCombined[[#This Row],[ID]], Table4[ID], Table4[Seafood], "Not Found", 0)</f>
        <v>28</v>
      </c>
      <c r="O772" s="5">
        <f>_xlfn.XLOOKUP(CustomerCombined[[#This Row],[ID]], Table4[ID], Table4[Sweets], "Not Found", 0)</f>
        <v>55</v>
      </c>
      <c r="P772" s="5">
        <f>_xlfn.XLOOKUP(CustomerCombined[[#This Row],[ID]], Table4[ID], Table4[Premium], "Not Found", 0)</f>
        <v>48</v>
      </c>
      <c r="Q772" s="5">
        <f>_xlfn.XLOOKUP(CustomerCombined[[#This Row],[ID]], Table4[ID], Table4[Regular], "Not Found", 0)</f>
        <v>165</v>
      </c>
      <c r="R772" s="5">
        <f>_xlfn.XLOOKUP(CustomerCombined[[#This Row],[ID]], Table4[ID], Table4[Deals], "Not Found", 0)</f>
        <v>3</v>
      </c>
      <c r="S772" s="5">
        <f>_xlfn.XLOOKUP(CustomerCombined[[#This Row],[ID]], Table4[ID], Table4[Website], "Not Found", 0)</f>
        <v>2</v>
      </c>
      <c r="T772" s="5">
        <f>_xlfn.XLOOKUP(CustomerCombined[[#This Row],[ID]], Table4[ID], Table4[Catalog], "Not Found", 0)</f>
        <v>0</v>
      </c>
      <c r="U772" s="5">
        <f>_xlfn.XLOOKUP(CustomerCombined[[#This Row],[ID]], Table4[ID], Table4[Store], "Not Found", 0)</f>
        <v>4</v>
      </c>
      <c r="V772" s="5">
        <f>_xlfn.XLOOKUP(CustomerCombined[[#This Row],[ID]], Table4[ID], Table4[Visits], "Not Found", 0)</f>
        <v>5</v>
      </c>
      <c r="W772" s="8">
        <f>_xlfn.XLOOKUP(CustomerCombined[[#This Row],[ID]], Table2[ID],Table2[Complaint], "Not Found", 0 )</f>
        <v>0</v>
      </c>
      <c r="X772" s="8">
        <f>_xlfn.XLOOKUP(CustomerCombined[[#This Row],[ID]], Table2[ID],Table2[Pilot], "Not Found", 0 )</f>
        <v>0</v>
      </c>
      <c r="Y772" s="8">
        <f>_xlfn.XLOOKUP(CustomerCombined[[#This Row],[ID]], Table2[ID],Table2[MC1], "Not Found", 0 )</f>
        <v>0</v>
      </c>
      <c r="Z772" s="8">
        <f>_xlfn.XLOOKUP(CustomerCombined[[#This Row],[ID]], Table2[ID],Table2[MC2], "Not Found", 0 )</f>
        <v>0</v>
      </c>
      <c r="AA772" s="8">
        <f>_xlfn.XLOOKUP(CustomerCombined[[#This Row],[ID]], Table2[ID],Table2[MC3], "Not Found", 0 )</f>
        <v>0</v>
      </c>
      <c r="AB772" s="8">
        <f>_xlfn.XLOOKUP(CustomerCombined[[#This Row],[ID]], Table2[ID],Table2[MC4], "Not Found", 0 )</f>
        <v>0</v>
      </c>
      <c r="AC772" s="8">
        <f>_xlfn.XLOOKUP(CustomerCombined[[#This Row],[ID]], Table2[ID],Table2[MC5], "Not Found", 0 )</f>
        <v>0</v>
      </c>
    </row>
    <row r="773" spans="1:29" x14ac:dyDescent="0.3">
      <c r="A773" s="6">
        <v>2836</v>
      </c>
      <c r="B773" s="6">
        <v>111448</v>
      </c>
      <c r="C773" s="6">
        <v>0</v>
      </c>
      <c r="D773" s="6">
        <v>0</v>
      </c>
      <c r="E773" s="6">
        <v>45</v>
      </c>
      <c r="F773" s="5" t="s">
        <v>5</v>
      </c>
      <c r="G773" s="5" t="s">
        <v>442</v>
      </c>
      <c r="H773" s="3" t="s">
        <v>133</v>
      </c>
      <c r="I773" s="5" t="s">
        <v>439</v>
      </c>
      <c r="J773" s="5">
        <f>_xlfn.XLOOKUP(CustomerCombined[[#This Row],[ID]], Table4[ID], Table4[Recency], "Not Found", 0)</f>
        <v>16</v>
      </c>
      <c r="K773" s="5">
        <f>_xlfn.XLOOKUP(CustomerCombined[[#This Row],[ID]], Table4[ID], Table4[Teas], "Not Found", 0)</f>
        <v>0</v>
      </c>
      <c r="L773" s="5">
        <f>_xlfn.XLOOKUP(CustomerCombined[[#This Row],[ID]], Table4[ID], Table4[Fruits], "Not Found", 0)</f>
        <v>0</v>
      </c>
      <c r="M773" s="5">
        <f>_xlfn.XLOOKUP(CustomerCombined[[#This Row],[ID]], Table4[ID], Table4[Meats], "Not Found", 0)</f>
        <v>0</v>
      </c>
      <c r="N773" s="5">
        <f>_xlfn.XLOOKUP(CustomerCombined[[#This Row],[ID]], Table4[ID], Table4[Seafood], "Not Found", 0)</f>
        <v>58</v>
      </c>
      <c r="O773" s="5">
        <f>_xlfn.XLOOKUP(CustomerCombined[[#This Row],[ID]], Table4[ID], Table4[Sweets], "Not Found", 0)</f>
        <v>19</v>
      </c>
      <c r="P773" s="5">
        <f>_xlfn.XLOOKUP(CustomerCombined[[#This Row],[ID]], Table4[ID], Table4[Premium], "Not Found", 0)</f>
        <v>58</v>
      </c>
      <c r="Q773" s="5">
        <f>_xlfn.XLOOKUP(CustomerCombined[[#This Row],[ID]], Table4[ID], Table4[Regular], "Not Found", 0)</f>
        <v>19</v>
      </c>
      <c r="R773" s="5">
        <f>_xlfn.XLOOKUP(CustomerCombined[[#This Row],[ID]], Table4[ID], Table4[Deals], "Not Found", 0)</f>
        <v>1</v>
      </c>
      <c r="S773" s="5">
        <f>_xlfn.XLOOKUP(CustomerCombined[[#This Row],[ID]], Table4[ID], Table4[Website], "Not Found", 0)</f>
        <v>1</v>
      </c>
      <c r="T773" s="5">
        <f>_xlfn.XLOOKUP(CustomerCombined[[#This Row],[ID]], Table4[ID], Table4[Catalog], "Not Found", 0)</f>
        <v>0</v>
      </c>
      <c r="U773" s="5">
        <f>_xlfn.XLOOKUP(CustomerCombined[[#This Row],[ID]], Table4[ID], Table4[Store], "Not Found", 0)</f>
        <v>2</v>
      </c>
      <c r="V773" s="5">
        <f>_xlfn.XLOOKUP(CustomerCombined[[#This Row],[ID]], Table4[ID], Table4[Visits], "Not Found", 0)</f>
        <v>6</v>
      </c>
      <c r="W773" s="8">
        <f>_xlfn.XLOOKUP(CustomerCombined[[#This Row],[ID]], Table2[ID],Table2[Complaint], "Not Found", 0 )</f>
        <v>0</v>
      </c>
      <c r="X773" s="8">
        <f>_xlfn.XLOOKUP(CustomerCombined[[#This Row],[ID]], Table2[ID],Table2[Pilot], "Not Found", 0 )</f>
        <v>0</v>
      </c>
      <c r="Y773" s="8">
        <f>_xlfn.XLOOKUP(CustomerCombined[[#This Row],[ID]], Table2[ID],Table2[MC1], "Not Found", 0 )</f>
        <v>0</v>
      </c>
      <c r="Z773" s="8">
        <f>_xlfn.XLOOKUP(CustomerCombined[[#This Row],[ID]], Table2[ID],Table2[MC2], "Not Found", 0 )</f>
        <v>0</v>
      </c>
      <c r="AA773" s="8">
        <f>_xlfn.XLOOKUP(CustomerCombined[[#This Row],[ID]], Table2[ID],Table2[MC3], "Not Found", 0 )</f>
        <v>0</v>
      </c>
      <c r="AB773" s="8">
        <f>_xlfn.XLOOKUP(CustomerCombined[[#This Row],[ID]], Table2[ID],Table2[MC4], "Not Found", 0 )</f>
        <v>0</v>
      </c>
      <c r="AC773" s="8">
        <f>_xlfn.XLOOKUP(CustomerCombined[[#This Row],[ID]], Table2[ID],Table2[MC5], "Not Found", 0 )</f>
        <v>0</v>
      </c>
    </row>
    <row r="774" spans="1:29" x14ac:dyDescent="0.3">
      <c r="A774" s="6">
        <v>1042</v>
      </c>
      <c r="B774" s="6">
        <v>107500</v>
      </c>
      <c r="C774" s="6">
        <v>1</v>
      </c>
      <c r="D774" s="6">
        <v>0</v>
      </c>
      <c r="E774" s="6">
        <v>45</v>
      </c>
      <c r="F774" s="5" t="s">
        <v>6</v>
      </c>
      <c r="G774" s="5" t="s">
        <v>12</v>
      </c>
      <c r="H774" s="3">
        <v>44046</v>
      </c>
      <c r="I774" s="5" t="s">
        <v>439</v>
      </c>
      <c r="J774" s="5">
        <f>_xlfn.XLOOKUP(CustomerCombined[[#This Row],[ID]], Table4[ID], Table4[Recency], "Not Found", 0)</f>
        <v>19</v>
      </c>
      <c r="K774" s="5">
        <f>_xlfn.XLOOKUP(CustomerCombined[[#This Row],[ID]], Table4[ID], Table4[Teas], "Not Found", 0)</f>
        <v>43</v>
      </c>
      <c r="L774" s="5">
        <f>_xlfn.XLOOKUP(CustomerCombined[[#This Row],[ID]], Table4[ID], Table4[Fruits], "Not Found", 0)</f>
        <v>14</v>
      </c>
      <c r="M774" s="5">
        <f>_xlfn.XLOOKUP(CustomerCombined[[#This Row],[ID]], Table4[ID], Table4[Meats], "Not Found", 0)</f>
        <v>143</v>
      </c>
      <c r="N774" s="5">
        <f>_xlfn.XLOOKUP(CustomerCombined[[#This Row],[ID]], Table4[ID], Table4[Seafood], "Not Found", 0)</f>
        <v>43</v>
      </c>
      <c r="O774" s="5">
        <f>_xlfn.XLOOKUP(CustomerCombined[[#This Row],[ID]], Table4[ID], Table4[Sweets], "Not Found", 0)</f>
        <v>29</v>
      </c>
      <c r="P774" s="5">
        <f>_xlfn.XLOOKUP(CustomerCombined[[#This Row],[ID]], Table4[ID], Table4[Premium], "Not Found", 0)</f>
        <v>172</v>
      </c>
      <c r="Q774" s="5">
        <f>_xlfn.XLOOKUP(CustomerCombined[[#This Row],[ID]], Table4[ID], Table4[Regular], "Not Found", 0)</f>
        <v>100</v>
      </c>
      <c r="R774" s="5">
        <f>_xlfn.XLOOKUP(CustomerCombined[[#This Row],[ID]], Table4[ID], Table4[Deals], "Not Found", 0)</f>
        <v>3</v>
      </c>
      <c r="S774" s="5">
        <f>_xlfn.XLOOKUP(CustomerCombined[[#This Row],[ID]], Table4[ID], Table4[Website], "Not Found", 0)</f>
        <v>2</v>
      </c>
      <c r="T774" s="5">
        <f>_xlfn.XLOOKUP(CustomerCombined[[#This Row],[ID]], Table4[ID], Table4[Catalog], "Not Found", 0)</f>
        <v>0</v>
      </c>
      <c r="U774" s="5">
        <f>_xlfn.XLOOKUP(CustomerCombined[[#This Row],[ID]], Table4[ID], Table4[Store], "Not Found", 0)</f>
        <v>3</v>
      </c>
      <c r="V774" s="5">
        <f>_xlfn.XLOOKUP(CustomerCombined[[#This Row],[ID]], Table4[ID], Table4[Visits], "Not Found", 0)</f>
        <v>5</v>
      </c>
      <c r="W774" s="8">
        <f>_xlfn.XLOOKUP(CustomerCombined[[#This Row],[ID]], Table2[ID],Table2[Complaint], "Not Found", 0 )</f>
        <v>0</v>
      </c>
      <c r="X774" s="8">
        <f>_xlfn.XLOOKUP(CustomerCombined[[#This Row],[ID]], Table2[ID],Table2[Pilot], "Not Found", 0 )</f>
        <v>0</v>
      </c>
      <c r="Y774" s="8">
        <f>_xlfn.XLOOKUP(CustomerCombined[[#This Row],[ID]], Table2[ID],Table2[MC1], "Not Found", 0 )</f>
        <v>0</v>
      </c>
      <c r="Z774" s="8">
        <f>_xlfn.XLOOKUP(CustomerCombined[[#This Row],[ID]], Table2[ID],Table2[MC2], "Not Found", 0 )</f>
        <v>0</v>
      </c>
      <c r="AA774" s="8">
        <f>_xlfn.XLOOKUP(CustomerCombined[[#This Row],[ID]], Table2[ID],Table2[MC3], "Not Found", 0 )</f>
        <v>0</v>
      </c>
      <c r="AB774" s="8">
        <f>_xlfn.XLOOKUP(CustomerCombined[[#This Row],[ID]], Table2[ID],Table2[MC4], "Not Found", 0 )</f>
        <v>0</v>
      </c>
      <c r="AC774" s="8">
        <f>_xlfn.XLOOKUP(CustomerCombined[[#This Row],[ID]], Table2[ID],Table2[MC5], "Not Found", 0 )</f>
        <v>0</v>
      </c>
    </row>
    <row r="775" spans="1:29" x14ac:dyDescent="0.3">
      <c r="A775" s="6">
        <v>1239</v>
      </c>
      <c r="B775" s="6">
        <v>202692</v>
      </c>
      <c r="C775" s="6">
        <v>0</v>
      </c>
      <c r="D775" s="6">
        <v>0</v>
      </c>
      <c r="E775" s="6">
        <v>46</v>
      </c>
      <c r="F775" s="5" t="s">
        <v>5</v>
      </c>
      <c r="G775" s="5" t="s">
        <v>11</v>
      </c>
      <c r="H775" s="3">
        <v>43747</v>
      </c>
      <c r="I775" s="5" t="s">
        <v>435</v>
      </c>
      <c r="J775" s="5">
        <f>_xlfn.XLOOKUP(CustomerCombined[[#This Row],[ID]], Table4[ID], Table4[Recency], "Not Found", 0)</f>
        <v>5</v>
      </c>
      <c r="K775" s="5">
        <f>_xlfn.XLOOKUP(CustomerCombined[[#This Row],[ID]], Table4[ID], Table4[Teas], "Not Found", 0)</f>
        <v>332</v>
      </c>
      <c r="L775" s="5">
        <f>_xlfn.XLOOKUP(CustomerCombined[[#This Row],[ID]], Table4[ID], Table4[Fruits], "Not Found", 0)</f>
        <v>292</v>
      </c>
      <c r="M775" s="5">
        <f>_xlfn.XLOOKUP(CustomerCombined[[#This Row],[ID]], Table4[ID], Table4[Meats], "Not Found", 0)</f>
        <v>876</v>
      </c>
      <c r="N775" s="5">
        <f>_xlfn.XLOOKUP(CustomerCombined[[#This Row],[ID]], Table4[ID], Table4[Seafood], "Not Found", 0)</f>
        <v>63</v>
      </c>
      <c r="O775" s="5">
        <f>_xlfn.XLOOKUP(CustomerCombined[[#This Row],[ID]], Table4[ID], Table4[Sweets], "Not Found", 0)</f>
        <v>339</v>
      </c>
      <c r="P775" s="5">
        <f>_xlfn.XLOOKUP(CustomerCombined[[#This Row],[ID]], Table4[ID], Table4[Premium], "Not Found", 0)</f>
        <v>292</v>
      </c>
      <c r="Q775" s="5">
        <f>_xlfn.XLOOKUP(CustomerCombined[[#This Row],[ID]], Table4[ID], Table4[Regular], "Not Found", 0)</f>
        <v>1611</v>
      </c>
      <c r="R775" s="5">
        <f>_xlfn.XLOOKUP(CustomerCombined[[#This Row],[ID]], Table4[ID], Table4[Deals], "Not Found", 0)</f>
        <v>1</v>
      </c>
      <c r="S775" s="5">
        <f>_xlfn.XLOOKUP(CustomerCombined[[#This Row],[ID]], Table4[ID], Table4[Website], "Not Found", 0)</f>
        <v>6</v>
      </c>
      <c r="T775" s="5">
        <f>_xlfn.XLOOKUP(CustomerCombined[[#This Row],[ID]], Table4[ID], Table4[Catalog], "Not Found", 0)</f>
        <v>9</v>
      </c>
      <c r="U775" s="5">
        <f>_xlfn.XLOOKUP(CustomerCombined[[#This Row],[ID]], Table4[ID], Table4[Store], "Not Found", 0)</f>
        <v>13</v>
      </c>
      <c r="V775" s="5">
        <f>_xlfn.XLOOKUP(CustomerCombined[[#This Row],[ID]], Table4[ID], Table4[Visits], "Not Found", 0)</f>
        <v>2</v>
      </c>
      <c r="W775" s="8">
        <f>_xlfn.XLOOKUP(CustomerCombined[[#This Row],[ID]], Table2[ID],Table2[Complaint], "Not Found", 0 )</f>
        <v>0</v>
      </c>
      <c r="X775" s="8">
        <f>_xlfn.XLOOKUP(CustomerCombined[[#This Row],[ID]], Table2[ID],Table2[Pilot], "Not Found", 0 )</f>
        <v>1</v>
      </c>
      <c r="Y775" s="8">
        <f>_xlfn.XLOOKUP(CustomerCombined[[#This Row],[ID]], Table2[ID],Table2[MC1], "Not Found", 0 )</f>
        <v>1</v>
      </c>
      <c r="Z775" s="8">
        <f>_xlfn.XLOOKUP(CustomerCombined[[#This Row],[ID]], Table2[ID],Table2[MC2], "Not Found", 0 )</f>
        <v>1</v>
      </c>
      <c r="AA775" s="8">
        <f>_xlfn.XLOOKUP(CustomerCombined[[#This Row],[ID]], Table2[ID],Table2[MC3], "Not Found", 0 )</f>
        <v>0</v>
      </c>
      <c r="AB775" s="8">
        <f>_xlfn.XLOOKUP(CustomerCombined[[#This Row],[ID]], Table2[ID],Table2[MC4], "Not Found", 0 )</f>
        <v>1</v>
      </c>
      <c r="AC775" s="8">
        <f>_xlfn.XLOOKUP(CustomerCombined[[#This Row],[ID]], Table2[ID],Table2[MC5], "Not Found", 0 )</f>
        <v>1</v>
      </c>
    </row>
    <row r="776" spans="1:29" x14ac:dyDescent="0.3">
      <c r="A776" s="6">
        <v>2922</v>
      </c>
      <c r="B776" s="6">
        <v>183891</v>
      </c>
      <c r="C776" s="6">
        <v>0</v>
      </c>
      <c r="D776" s="6">
        <v>1</v>
      </c>
      <c r="E776" s="6">
        <v>46</v>
      </c>
      <c r="F776" s="5" t="s">
        <v>6</v>
      </c>
      <c r="G776" s="5" t="s">
        <v>12</v>
      </c>
      <c r="H776" s="3" t="s">
        <v>29</v>
      </c>
      <c r="I776" s="5" t="s">
        <v>436</v>
      </c>
      <c r="J776" s="5">
        <f>_xlfn.XLOOKUP(CustomerCombined[[#This Row],[ID]], Table4[ID], Table4[Recency], "Not Found", 0)</f>
        <v>24</v>
      </c>
      <c r="K776" s="5">
        <f>_xlfn.XLOOKUP(CustomerCombined[[#This Row],[ID]], Table4[ID], Table4[Teas], "Not Found", 0)</f>
        <v>476</v>
      </c>
      <c r="L776" s="5">
        <f>_xlfn.XLOOKUP(CustomerCombined[[#This Row],[ID]], Table4[ID], Table4[Fruits], "Not Found", 0)</f>
        <v>83</v>
      </c>
      <c r="M776" s="5">
        <f>_xlfn.XLOOKUP(CustomerCombined[[#This Row],[ID]], Table4[ID], Table4[Meats], "Not Found", 0)</f>
        <v>767</v>
      </c>
      <c r="N776" s="5">
        <f>_xlfn.XLOOKUP(CustomerCombined[[#This Row],[ID]], Table4[ID], Table4[Seafood], "Not Found", 0)</f>
        <v>243</v>
      </c>
      <c r="O776" s="5">
        <f>_xlfn.XLOOKUP(CustomerCombined[[#This Row],[ID]], Table4[ID], Table4[Sweets], "Not Found", 0)</f>
        <v>186</v>
      </c>
      <c r="P776" s="5">
        <f>_xlfn.XLOOKUP(CustomerCombined[[#This Row],[ID]], Table4[ID], Table4[Premium], "Not Found", 0)</f>
        <v>33</v>
      </c>
      <c r="Q776" s="5">
        <f>_xlfn.XLOOKUP(CustomerCombined[[#This Row],[ID]], Table4[ID], Table4[Regular], "Not Found", 0)</f>
        <v>1723</v>
      </c>
      <c r="R776" s="5">
        <f>_xlfn.XLOOKUP(CustomerCombined[[#This Row],[ID]], Table4[ID], Table4[Deals], "Not Found", 0)</f>
        <v>1</v>
      </c>
      <c r="S776" s="5">
        <f>_xlfn.XLOOKUP(CustomerCombined[[#This Row],[ID]], Table4[ID], Table4[Website], "Not Found", 0)</f>
        <v>4</v>
      </c>
      <c r="T776" s="5">
        <f>_xlfn.XLOOKUP(CustomerCombined[[#This Row],[ID]], Table4[ID], Table4[Catalog], "Not Found", 0)</f>
        <v>7</v>
      </c>
      <c r="U776" s="5">
        <f>_xlfn.XLOOKUP(CustomerCombined[[#This Row],[ID]], Table4[ID], Table4[Store], "Not Found", 0)</f>
        <v>10</v>
      </c>
      <c r="V776" s="5">
        <f>_xlfn.XLOOKUP(CustomerCombined[[#This Row],[ID]], Table4[ID], Table4[Visits], "Not Found", 0)</f>
        <v>1</v>
      </c>
      <c r="W776" s="8">
        <f>_xlfn.XLOOKUP(CustomerCombined[[#This Row],[ID]], Table2[ID],Table2[Complaint], "Not Found", 0 )</f>
        <v>0</v>
      </c>
      <c r="X776" s="8">
        <f>_xlfn.XLOOKUP(CustomerCombined[[#This Row],[ID]], Table2[ID],Table2[Pilot], "Not Found", 0 )</f>
        <v>0</v>
      </c>
      <c r="Y776" s="8">
        <f>_xlfn.XLOOKUP(CustomerCombined[[#This Row],[ID]], Table2[ID],Table2[MC1], "Not Found", 0 )</f>
        <v>0</v>
      </c>
      <c r="Z776" s="8">
        <f>_xlfn.XLOOKUP(CustomerCombined[[#This Row],[ID]], Table2[ID],Table2[MC2], "Not Found", 0 )</f>
        <v>0</v>
      </c>
      <c r="AA776" s="8">
        <f>_xlfn.XLOOKUP(CustomerCombined[[#This Row],[ID]], Table2[ID],Table2[MC3], "Not Found", 0 )</f>
        <v>0</v>
      </c>
      <c r="AB776" s="8">
        <f>_xlfn.XLOOKUP(CustomerCombined[[#This Row],[ID]], Table2[ID],Table2[MC4], "Not Found", 0 )</f>
        <v>0</v>
      </c>
      <c r="AC776" s="8">
        <f>_xlfn.XLOOKUP(CustomerCombined[[#This Row],[ID]], Table2[ID],Table2[MC5], "Not Found", 0 )</f>
        <v>0</v>
      </c>
    </row>
    <row r="777" spans="1:29" x14ac:dyDescent="0.3">
      <c r="A777" s="6">
        <v>2134</v>
      </c>
      <c r="B777" s="6">
        <v>183145</v>
      </c>
      <c r="C777" s="6">
        <v>0</v>
      </c>
      <c r="D777" s="6">
        <v>0</v>
      </c>
      <c r="E777" s="6">
        <v>46</v>
      </c>
      <c r="F777" s="5" t="s">
        <v>8</v>
      </c>
      <c r="G777" s="5" t="s">
        <v>11</v>
      </c>
      <c r="H777" s="3" t="s">
        <v>389</v>
      </c>
      <c r="I777" s="5" t="s">
        <v>439</v>
      </c>
      <c r="J777" s="5">
        <f>_xlfn.XLOOKUP(CustomerCombined[[#This Row],[ID]], Table4[ID], Table4[Recency], "Not Found", 0)</f>
        <v>14</v>
      </c>
      <c r="K777" s="5">
        <f>_xlfn.XLOOKUP(CustomerCombined[[#This Row],[ID]], Table4[ID], Table4[Teas], "Not Found", 0)</f>
        <v>1712</v>
      </c>
      <c r="L777" s="5">
        <f>_xlfn.XLOOKUP(CustomerCombined[[#This Row],[ID]], Table4[ID], Table4[Fruits], "Not Found", 0)</f>
        <v>77</v>
      </c>
      <c r="M777" s="5">
        <f>_xlfn.XLOOKUP(CustomerCombined[[#This Row],[ID]], Table4[ID], Table4[Meats], "Not Found", 0)</f>
        <v>1610</v>
      </c>
      <c r="N777" s="5">
        <f>_xlfn.XLOOKUP(CustomerCombined[[#This Row],[ID]], Table4[ID], Table4[Seafood], "Not Found", 0)</f>
        <v>86</v>
      </c>
      <c r="O777" s="5">
        <f>_xlfn.XLOOKUP(CustomerCombined[[#This Row],[ID]], Table4[ID], Table4[Sweets], "Not Found", 0)</f>
        <v>302</v>
      </c>
      <c r="P777" s="5">
        <f>_xlfn.XLOOKUP(CustomerCombined[[#This Row],[ID]], Table4[ID], Table4[Premium], "Not Found", 0)</f>
        <v>251</v>
      </c>
      <c r="Q777" s="5">
        <f>_xlfn.XLOOKUP(CustomerCombined[[#This Row],[ID]], Table4[ID], Table4[Regular], "Not Found", 0)</f>
        <v>3535</v>
      </c>
      <c r="R777" s="5">
        <f>_xlfn.XLOOKUP(CustomerCombined[[#This Row],[ID]], Table4[ID], Table4[Deals], "Not Found", 0)</f>
        <v>1</v>
      </c>
      <c r="S777" s="5">
        <f>_xlfn.XLOOKUP(CustomerCombined[[#This Row],[ID]], Table4[ID], Table4[Website], "Not Found", 0)</f>
        <v>5</v>
      </c>
      <c r="T777" s="5">
        <f>_xlfn.XLOOKUP(CustomerCombined[[#This Row],[ID]], Table4[ID], Table4[Catalog], "Not Found", 0)</f>
        <v>9</v>
      </c>
      <c r="U777" s="5">
        <f>_xlfn.XLOOKUP(CustomerCombined[[#This Row],[ID]], Table4[ID], Table4[Store], "Not Found", 0)</f>
        <v>11</v>
      </c>
      <c r="V777" s="5">
        <f>_xlfn.XLOOKUP(CustomerCombined[[#This Row],[ID]], Table4[ID], Table4[Visits], "Not Found", 0)</f>
        <v>2</v>
      </c>
      <c r="W777" s="8">
        <f>_xlfn.XLOOKUP(CustomerCombined[[#This Row],[ID]], Table2[ID],Table2[Complaint], "Not Found", 0 )</f>
        <v>0</v>
      </c>
      <c r="X777" s="8">
        <f>_xlfn.XLOOKUP(CustomerCombined[[#This Row],[ID]], Table2[ID],Table2[Pilot], "Not Found", 0 )</f>
        <v>1</v>
      </c>
      <c r="Y777" s="8">
        <f>_xlfn.XLOOKUP(CustomerCombined[[#This Row],[ID]], Table2[ID],Table2[MC1], "Not Found", 0 )</f>
        <v>0</v>
      </c>
      <c r="Z777" s="8">
        <f>_xlfn.XLOOKUP(CustomerCombined[[#This Row],[ID]], Table2[ID],Table2[MC2], "Not Found", 0 )</f>
        <v>0</v>
      </c>
      <c r="AA777" s="8">
        <f>_xlfn.XLOOKUP(CustomerCombined[[#This Row],[ID]], Table2[ID],Table2[MC3], "Not Found", 0 )</f>
        <v>0</v>
      </c>
      <c r="AB777" s="8">
        <f>_xlfn.XLOOKUP(CustomerCombined[[#This Row],[ID]], Table2[ID],Table2[MC4], "Not Found", 0 )</f>
        <v>0</v>
      </c>
      <c r="AC777" s="8">
        <f>_xlfn.XLOOKUP(CustomerCombined[[#This Row],[ID]], Table2[ID],Table2[MC5], "Not Found", 0 )</f>
        <v>1</v>
      </c>
    </row>
    <row r="778" spans="1:29" x14ac:dyDescent="0.3">
      <c r="A778" s="6">
        <v>1407</v>
      </c>
      <c r="B778" s="6">
        <v>182584</v>
      </c>
      <c r="C778" s="6">
        <v>0</v>
      </c>
      <c r="D778" s="6">
        <v>0</v>
      </c>
      <c r="E778" s="6">
        <v>46</v>
      </c>
      <c r="F778" s="5" t="s">
        <v>6</v>
      </c>
      <c r="G778" s="5" t="s">
        <v>12</v>
      </c>
      <c r="H778" s="3">
        <v>43719</v>
      </c>
      <c r="I778" s="5" t="s">
        <v>435</v>
      </c>
      <c r="J778" s="5">
        <f>_xlfn.XLOOKUP(CustomerCombined[[#This Row],[ID]], Table4[ID], Table4[Recency], "Not Found", 0)</f>
        <v>26</v>
      </c>
      <c r="K778" s="5">
        <f>_xlfn.XLOOKUP(CustomerCombined[[#This Row],[ID]], Table4[ID], Table4[Teas], "Not Found", 0)</f>
        <v>2379</v>
      </c>
      <c r="L778" s="5">
        <f>_xlfn.XLOOKUP(CustomerCombined[[#This Row],[ID]], Table4[ID], Table4[Fruits], "Not Found", 0)</f>
        <v>150</v>
      </c>
      <c r="M778" s="5">
        <f>_xlfn.XLOOKUP(CustomerCombined[[#This Row],[ID]], Table4[ID], Table4[Meats], "Not Found", 0)</f>
        <v>228</v>
      </c>
      <c r="N778" s="5">
        <f>_xlfn.XLOOKUP(CustomerCombined[[#This Row],[ID]], Table4[ID], Table4[Seafood], "Not Found", 0)</f>
        <v>64</v>
      </c>
      <c r="O778" s="5">
        <f>_xlfn.XLOOKUP(CustomerCombined[[#This Row],[ID]], Table4[ID], Table4[Sweets], "Not Found", 0)</f>
        <v>201</v>
      </c>
      <c r="P778" s="5">
        <f>_xlfn.XLOOKUP(CustomerCombined[[#This Row],[ID]], Table4[ID], Table4[Premium], "Not Found", 0)</f>
        <v>150</v>
      </c>
      <c r="Q778" s="5">
        <f>_xlfn.XLOOKUP(CustomerCombined[[#This Row],[ID]], Table4[ID], Table4[Regular], "Not Found", 0)</f>
        <v>2872</v>
      </c>
      <c r="R778" s="5">
        <f>_xlfn.XLOOKUP(CustomerCombined[[#This Row],[ID]], Table4[ID], Table4[Deals], "Not Found", 0)</f>
        <v>1</v>
      </c>
      <c r="S778" s="5">
        <f>_xlfn.XLOOKUP(CustomerCombined[[#This Row],[ID]], Table4[ID], Table4[Website], "Not Found", 0)</f>
        <v>3</v>
      </c>
      <c r="T778" s="5">
        <f>_xlfn.XLOOKUP(CustomerCombined[[#This Row],[ID]], Table4[ID], Table4[Catalog], "Not Found", 0)</f>
        <v>4</v>
      </c>
      <c r="U778" s="5">
        <f>_xlfn.XLOOKUP(CustomerCombined[[#This Row],[ID]], Table4[ID], Table4[Store], "Not Found", 0)</f>
        <v>8</v>
      </c>
      <c r="V778" s="5">
        <f>_xlfn.XLOOKUP(CustomerCombined[[#This Row],[ID]], Table4[ID], Table4[Visits], "Not Found", 0)</f>
        <v>1</v>
      </c>
      <c r="W778" s="8">
        <f>_xlfn.XLOOKUP(CustomerCombined[[#This Row],[ID]], Table2[ID],Table2[Complaint], "Not Found", 0 )</f>
        <v>0</v>
      </c>
      <c r="X778" s="8">
        <f>_xlfn.XLOOKUP(CustomerCombined[[#This Row],[ID]], Table2[ID],Table2[Pilot], "Not Found", 0 )</f>
        <v>1</v>
      </c>
      <c r="Y778" s="8">
        <f>_xlfn.XLOOKUP(CustomerCombined[[#This Row],[ID]], Table2[ID],Table2[MC1], "Not Found", 0 )</f>
        <v>0</v>
      </c>
      <c r="Z778" s="8">
        <f>_xlfn.XLOOKUP(CustomerCombined[[#This Row],[ID]], Table2[ID],Table2[MC2], "Not Found", 0 )</f>
        <v>0</v>
      </c>
      <c r="AA778" s="8">
        <f>_xlfn.XLOOKUP(CustomerCombined[[#This Row],[ID]], Table2[ID],Table2[MC3], "Not Found", 0 )</f>
        <v>0</v>
      </c>
      <c r="AB778" s="8">
        <f>_xlfn.XLOOKUP(CustomerCombined[[#This Row],[ID]], Table2[ID],Table2[MC4], "Not Found", 0 )</f>
        <v>1</v>
      </c>
      <c r="AC778" s="8">
        <f>_xlfn.XLOOKUP(CustomerCombined[[#This Row],[ID]], Table2[ID],Table2[MC5], "Not Found", 0 )</f>
        <v>1</v>
      </c>
    </row>
    <row r="779" spans="1:29" x14ac:dyDescent="0.3">
      <c r="A779" s="6">
        <v>1911</v>
      </c>
      <c r="B779" s="6">
        <v>179632</v>
      </c>
      <c r="C779" s="6">
        <v>0</v>
      </c>
      <c r="D779" s="6">
        <v>0</v>
      </c>
      <c r="E779" s="6">
        <v>46</v>
      </c>
      <c r="F779" s="5" t="s">
        <v>8</v>
      </c>
      <c r="G779" s="5" t="s">
        <v>13</v>
      </c>
      <c r="H779" s="3">
        <v>44174</v>
      </c>
      <c r="I779" s="5" t="s">
        <v>435</v>
      </c>
      <c r="J779" s="5">
        <f>_xlfn.XLOOKUP(CustomerCombined[[#This Row],[ID]], Table4[ID], Table4[Recency], "Not Found", 0)</f>
        <v>42</v>
      </c>
      <c r="K779" s="5">
        <f>_xlfn.XLOOKUP(CustomerCombined[[#This Row],[ID]], Table4[ID], Table4[Teas], "Not Found", 0)</f>
        <v>1062</v>
      </c>
      <c r="L779" s="5">
        <f>_xlfn.XLOOKUP(CustomerCombined[[#This Row],[ID]], Table4[ID], Table4[Fruits], "Not Found", 0)</f>
        <v>0</v>
      </c>
      <c r="M779" s="5">
        <f>_xlfn.XLOOKUP(CustomerCombined[[#This Row],[ID]], Table4[ID], Table4[Meats], "Not Found", 0)</f>
        <v>1150</v>
      </c>
      <c r="N779" s="5">
        <f>_xlfn.XLOOKUP(CustomerCombined[[#This Row],[ID]], Table4[ID], Table4[Seafood], "Not Found", 0)</f>
        <v>223</v>
      </c>
      <c r="O779" s="5">
        <f>_xlfn.XLOOKUP(CustomerCombined[[#This Row],[ID]], Table4[ID], Table4[Sweets], "Not Found", 0)</f>
        <v>47</v>
      </c>
      <c r="P779" s="5">
        <f>_xlfn.XLOOKUP(CustomerCombined[[#This Row],[ID]], Table4[ID], Table4[Premium], "Not Found", 0)</f>
        <v>27</v>
      </c>
      <c r="Q779" s="5">
        <f>_xlfn.XLOOKUP(CustomerCombined[[#This Row],[ID]], Table4[ID], Table4[Regular], "Not Found", 0)</f>
        <v>2457</v>
      </c>
      <c r="R779" s="5">
        <f>_xlfn.XLOOKUP(CustomerCombined[[#This Row],[ID]], Table4[ID], Table4[Deals], "Not Found", 0)</f>
        <v>1</v>
      </c>
      <c r="S779" s="5">
        <f>_xlfn.XLOOKUP(CustomerCombined[[#This Row],[ID]], Table4[ID], Table4[Website], "Not Found", 0)</f>
        <v>6</v>
      </c>
      <c r="T779" s="5">
        <f>_xlfn.XLOOKUP(CustomerCombined[[#This Row],[ID]], Table4[ID], Table4[Catalog], "Not Found", 0)</f>
        <v>4</v>
      </c>
      <c r="U779" s="5">
        <f>_xlfn.XLOOKUP(CustomerCombined[[#This Row],[ID]], Table4[ID], Table4[Store], "Not Found", 0)</f>
        <v>9</v>
      </c>
      <c r="V779" s="5">
        <f>_xlfn.XLOOKUP(CustomerCombined[[#This Row],[ID]], Table4[ID], Table4[Visits], "Not Found", 0)</f>
        <v>2</v>
      </c>
      <c r="W779" s="8">
        <f>_xlfn.XLOOKUP(CustomerCombined[[#This Row],[ID]], Table2[ID],Table2[Complaint], "Not Found", 0 )</f>
        <v>0</v>
      </c>
      <c r="X779" s="8">
        <f>_xlfn.XLOOKUP(CustomerCombined[[#This Row],[ID]], Table2[ID],Table2[Pilot], "Not Found", 0 )</f>
        <v>0</v>
      </c>
      <c r="Y779" s="8">
        <f>_xlfn.XLOOKUP(CustomerCombined[[#This Row],[ID]], Table2[ID],Table2[MC1], "Not Found", 0 )</f>
        <v>0</v>
      </c>
      <c r="Z779" s="8">
        <f>_xlfn.XLOOKUP(CustomerCombined[[#This Row],[ID]], Table2[ID],Table2[MC2], "Not Found", 0 )</f>
        <v>0</v>
      </c>
      <c r="AA779" s="8">
        <f>_xlfn.XLOOKUP(CustomerCombined[[#This Row],[ID]], Table2[ID],Table2[MC3], "Not Found", 0 )</f>
        <v>0</v>
      </c>
      <c r="AB779" s="8">
        <f>_xlfn.XLOOKUP(CustomerCombined[[#This Row],[ID]], Table2[ID],Table2[MC4], "Not Found", 0 )</f>
        <v>0</v>
      </c>
      <c r="AC779" s="8">
        <f>_xlfn.XLOOKUP(CustomerCombined[[#This Row],[ID]], Table2[ID],Table2[MC5], "Not Found", 0 )</f>
        <v>0</v>
      </c>
    </row>
    <row r="780" spans="1:29" x14ac:dyDescent="0.3">
      <c r="A780" s="6">
        <v>3072</v>
      </c>
      <c r="B780" s="6">
        <v>178128</v>
      </c>
      <c r="C780" s="6">
        <v>0</v>
      </c>
      <c r="D780" s="6">
        <v>1</v>
      </c>
      <c r="E780" s="6">
        <v>46</v>
      </c>
      <c r="F780" s="5" t="s">
        <v>6</v>
      </c>
      <c r="G780" s="5" t="s">
        <v>13</v>
      </c>
      <c r="H780" s="3" t="s">
        <v>94</v>
      </c>
      <c r="I780" s="5" t="s">
        <v>436</v>
      </c>
      <c r="J780" s="5">
        <f>_xlfn.XLOOKUP(CustomerCombined[[#This Row],[ID]], Table4[ID], Table4[Recency], "Not Found", 0)</f>
        <v>89</v>
      </c>
      <c r="K780" s="5">
        <f>_xlfn.XLOOKUP(CustomerCombined[[#This Row],[ID]], Table4[ID], Table4[Teas], "Not Found", 0)</f>
        <v>2129</v>
      </c>
      <c r="L780" s="5">
        <f>_xlfn.XLOOKUP(CustomerCombined[[#This Row],[ID]], Table4[ID], Table4[Fruits], "Not Found", 0)</f>
        <v>55</v>
      </c>
      <c r="M780" s="5">
        <f>_xlfn.XLOOKUP(CustomerCombined[[#This Row],[ID]], Table4[ID], Table4[Meats], "Not Found", 0)</f>
        <v>524</v>
      </c>
      <c r="N780" s="5">
        <f>_xlfn.XLOOKUP(CustomerCombined[[#This Row],[ID]], Table4[ID], Table4[Seafood], "Not Found", 0)</f>
        <v>36</v>
      </c>
      <c r="O780" s="5">
        <f>_xlfn.XLOOKUP(CustomerCombined[[#This Row],[ID]], Table4[ID], Table4[Sweets], "Not Found", 0)</f>
        <v>55</v>
      </c>
      <c r="P780" s="5">
        <f>_xlfn.XLOOKUP(CustomerCombined[[#This Row],[ID]], Table4[ID], Table4[Premium], "Not Found", 0)</f>
        <v>82</v>
      </c>
      <c r="Q780" s="5">
        <f>_xlfn.XLOOKUP(CustomerCombined[[#This Row],[ID]], Table4[ID], Table4[Regular], "Not Found", 0)</f>
        <v>2718</v>
      </c>
      <c r="R780" s="5">
        <f>_xlfn.XLOOKUP(CustomerCombined[[#This Row],[ID]], Table4[ID], Table4[Deals], "Not Found", 0)</f>
        <v>2</v>
      </c>
      <c r="S780" s="5">
        <f>_xlfn.XLOOKUP(CustomerCombined[[#This Row],[ID]], Table4[ID], Table4[Website], "Not Found", 0)</f>
        <v>8</v>
      </c>
      <c r="T780" s="5">
        <f>_xlfn.XLOOKUP(CustomerCombined[[#This Row],[ID]], Table4[ID], Table4[Catalog], "Not Found", 0)</f>
        <v>4</v>
      </c>
      <c r="U780" s="5">
        <f>_xlfn.XLOOKUP(CustomerCombined[[#This Row],[ID]], Table4[ID], Table4[Store], "Not Found", 0)</f>
        <v>6</v>
      </c>
      <c r="V780" s="5">
        <f>_xlfn.XLOOKUP(CustomerCombined[[#This Row],[ID]], Table4[ID], Table4[Visits], "Not Found", 0)</f>
        <v>3</v>
      </c>
      <c r="W780" s="8">
        <f>_xlfn.XLOOKUP(CustomerCombined[[#This Row],[ID]], Table2[ID],Table2[Complaint], "Not Found", 0 )</f>
        <v>0</v>
      </c>
      <c r="X780" s="8">
        <f>_xlfn.XLOOKUP(CustomerCombined[[#This Row],[ID]], Table2[ID],Table2[Pilot], "Not Found", 0 )</f>
        <v>0</v>
      </c>
      <c r="Y780" s="8">
        <f>_xlfn.XLOOKUP(CustomerCombined[[#This Row],[ID]], Table2[ID],Table2[MC1], "Not Found", 0 )</f>
        <v>0</v>
      </c>
      <c r="Z780" s="8">
        <f>_xlfn.XLOOKUP(CustomerCombined[[#This Row],[ID]], Table2[ID],Table2[MC2], "Not Found", 0 )</f>
        <v>0</v>
      </c>
      <c r="AA780" s="8">
        <f>_xlfn.XLOOKUP(CustomerCombined[[#This Row],[ID]], Table2[ID],Table2[MC3], "Not Found", 0 )</f>
        <v>0</v>
      </c>
      <c r="AB780" s="8">
        <f>_xlfn.XLOOKUP(CustomerCombined[[#This Row],[ID]], Table2[ID],Table2[MC4], "Not Found", 0 )</f>
        <v>1</v>
      </c>
      <c r="AC780" s="8">
        <f>_xlfn.XLOOKUP(CustomerCombined[[#This Row],[ID]], Table2[ID],Table2[MC5], "Not Found", 0 )</f>
        <v>1</v>
      </c>
    </row>
    <row r="781" spans="1:29" x14ac:dyDescent="0.3">
      <c r="A781" s="6">
        <v>2776</v>
      </c>
      <c r="B781" s="6">
        <v>175702</v>
      </c>
      <c r="C781" s="6">
        <v>0</v>
      </c>
      <c r="D781" s="6">
        <v>1</v>
      </c>
      <c r="E781" s="6">
        <v>46</v>
      </c>
      <c r="F781" s="5" t="s">
        <v>8</v>
      </c>
      <c r="G781" s="5" t="s">
        <v>11</v>
      </c>
      <c r="H781" s="3" t="s">
        <v>380</v>
      </c>
      <c r="I781" s="5" t="s">
        <v>439</v>
      </c>
      <c r="J781" s="5">
        <f>_xlfn.XLOOKUP(CustomerCombined[[#This Row],[ID]], Table4[ID], Table4[Recency], "Not Found", 0)</f>
        <v>87</v>
      </c>
      <c r="K781" s="5">
        <f>_xlfn.XLOOKUP(CustomerCombined[[#This Row],[ID]], Table4[ID], Table4[Teas], "Not Found", 0)</f>
        <v>2490</v>
      </c>
      <c r="L781" s="5">
        <f>_xlfn.XLOOKUP(CustomerCombined[[#This Row],[ID]], Table4[ID], Table4[Fruits], "Not Found", 0)</f>
        <v>0</v>
      </c>
      <c r="M781" s="5">
        <f>_xlfn.XLOOKUP(CustomerCombined[[#This Row],[ID]], Table4[ID], Table4[Meats], "Not Found", 0)</f>
        <v>1460</v>
      </c>
      <c r="N781" s="5">
        <f>_xlfn.XLOOKUP(CustomerCombined[[#This Row],[ID]], Table4[ID], Table4[Seafood], "Not Found", 0)</f>
        <v>337</v>
      </c>
      <c r="O781" s="5">
        <f>_xlfn.XLOOKUP(CustomerCombined[[#This Row],[ID]], Table4[ID], Table4[Sweets], "Not Found", 0)</f>
        <v>86</v>
      </c>
      <c r="P781" s="5">
        <f>_xlfn.XLOOKUP(CustomerCombined[[#This Row],[ID]], Table4[ID], Table4[Premium], "Not Found", 0)</f>
        <v>86</v>
      </c>
      <c r="Q781" s="5">
        <f>_xlfn.XLOOKUP(CustomerCombined[[#This Row],[ID]], Table4[ID], Table4[Regular], "Not Found", 0)</f>
        <v>4287</v>
      </c>
      <c r="R781" s="5">
        <f>_xlfn.XLOOKUP(CustomerCombined[[#This Row],[ID]], Table4[ID], Table4[Deals], "Not Found", 0)</f>
        <v>1</v>
      </c>
      <c r="S781" s="5">
        <f>_xlfn.XLOOKUP(CustomerCombined[[#This Row],[ID]], Table4[ID], Table4[Website], "Not Found", 0)</f>
        <v>10</v>
      </c>
      <c r="T781" s="5">
        <f>_xlfn.XLOOKUP(CustomerCombined[[#This Row],[ID]], Table4[ID], Table4[Catalog], "Not Found", 0)</f>
        <v>5</v>
      </c>
      <c r="U781" s="5">
        <f>_xlfn.XLOOKUP(CustomerCombined[[#This Row],[ID]], Table4[ID], Table4[Store], "Not Found", 0)</f>
        <v>13</v>
      </c>
      <c r="V781" s="5">
        <f>_xlfn.XLOOKUP(CustomerCombined[[#This Row],[ID]], Table4[ID], Table4[Visits], "Not Found", 0)</f>
        <v>6</v>
      </c>
      <c r="W781" s="8">
        <f>_xlfn.XLOOKUP(CustomerCombined[[#This Row],[ID]], Table2[ID],Table2[Complaint], "Not Found", 0 )</f>
        <v>0</v>
      </c>
      <c r="X781" s="8">
        <f>_xlfn.XLOOKUP(CustomerCombined[[#This Row],[ID]], Table2[ID],Table2[Pilot], "Not Found", 0 )</f>
        <v>0</v>
      </c>
      <c r="Y781" s="8">
        <f>_xlfn.XLOOKUP(CustomerCombined[[#This Row],[ID]], Table2[ID],Table2[MC1], "Not Found", 0 )</f>
        <v>0</v>
      </c>
      <c r="Z781" s="8">
        <f>_xlfn.XLOOKUP(CustomerCombined[[#This Row],[ID]], Table2[ID],Table2[MC2], "Not Found", 0 )</f>
        <v>0</v>
      </c>
      <c r="AA781" s="8">
        <f>_xlfn.XLOOKUP(CustomerCombined[[#This Row],[ID]], Table2[ID],Table2[MC3], "Not Found", 0 )</f>
        <v>0</v>
      </c>
      <c r="AB781" s="8">
        <f>_xlfn.XLOOKUP(CustomerCombined[[#This Row],[ID]], Table2[ID],Table2[MC4], "Not Found", 0 )</f>
        <v>0</v>
      </c>
      <c r="AC781" s="8">
        <f>_xlfn.XLOOKUP(CustomerCombined[[#This Row],[ID]], Table2[ID],Table2[MC5], "Not Found", 0 )</f>
        <v>1</v>
      </c>
    </row>
    <row r="782" spans="1:29" x14ac:dyDescent="0.3">
      <c r="A782" s="6">
        <v>1337</v>
      </c>
      <c r="B782" s="6">
        <v>172099</v>
      </c>
      <c r="C782" s="6">
        <v>0</v>
      </c>
      <c r="D782" s="6">
        <v>0</v>
      </c>
      <c r="E782" s="6">
        <v>46</v>
      </c>
      <c r="F782" s="5" t="s">
        <v>6</v>
      </c>
      <c r="G782" s="5" t="s">
        <v>11</v>
      </c>
      <c r="H782" s="3">
        <v>43528</v>
      </c>
      <c r="I782" s="5" t="s">
        <v>434</v>
      </c>
      <c r="J782" s="5">
        <f>_xlfn.XLOOKUP(CustomerCombined[[#This Row],[ID]], Table4[ID], Table4[Recency], "Not Found", 0)</f>
        <v>18</v>
      </c>
      <c r="K782" s="5">
        <f>_xlfn.XLOOKUP(CustomerCombined[[#This Row],[ID]], Table4[ID], Table4[Teas], "Not Found", 0)</f>
        <v>1303</v>
      </c>
      <c r="L782" s="5">
        <f>_xlfn.XLOOKUP(CustomerCombined[[#This Row],[ID]], Table4[ID], Table4[Fruits], "Not Found", 0)</f>
        <v>217</v>
      </c>
      <c r="M782" s="5">
        <f>_xlfn.XLOOKUP(CustomerCombined[[#This Row],[ID]], Table4[ID], Table4[Meats], "Not Found", 0)</f>
        <v>979</v>
      </c>
      <c r="N782" s="5">
        <f>_xlfn.XLOOKUP(CustomerCombined[[#This Row],[ID]], Table4[ID], Table4[Seafood], "Not Found", 0)</f>
        <v>284</v>
      </c>
      <c r="O782" s="5">
        <f>_xlfn.XLOOKUP(CustomerCombined[[#This Row],[ID]], Table4[ID], Table4[Sweets], "Not Found", 0)</f>
        <v>0</v>
      </c>
      <c r="P782" s="5">
        <f>_xlfn.XLOOKUP(CustomerCombined[[#This Row],[ID]], Table4[ID], Table4[Premium], "Not Found", 0)</f>
        <v>53</v>
      </c>
      <c r="Q782" s="5">
        <f>_xlfn.XLOOKUP(CustomerCombined[[#This Row],[ID]], Table4[ID], Table4[Regular], "Not Found", 0)</f>
        <v>2731</v>
      </c>
      <c r="R782" s="5">
        <f>_xlfn.XLOOKUP(CustomerCombined[[#This Row],[ID]], Table4[ID], Table4[Deals], "Not Found", 0)</f>
        <v>1</v>
      </c>
      <c r="S782" s="5">
        <f>_xlfn.XLOOKUP(CustomerCombined[[#This Row],[ID]], Table4[ID], Table4[Website], "Not Found", 0)</f>
        <v>3</v>
      </c>
      <c r="T782" s="5">
        <f>_xlfn.XLOOKUP(CustomerCombined[[#This Row],[ID]], Table4[ID], Table4[Catalog], "Not Found", 0)</f>
        <v>4</v>
      </c>
      <c r="U782" s="5">
        <f>_xlfn.XLOOKUP(CustomerCombined[[#This Row],[ID]], Table4[ID], Table4[Store], "Not Found", 0)</f>
        <v>10</v>
      </c>
      <c r="V782" s="5">
        <f>_xlfn.XLOOKUP(CustomerCombined[[#This Row],[ID]], Table4[ID], Table4[Visits], "Not Found", 0)</f>
        <v>1</v>
      </c>
      <c r="W782" s="8">
        <f>_xlfn.XLOOKUP(CustomerCombined[[#This Row],[ID]], Table2[ID],Table2[Complaint], "Not Found", 0 )</f>
        <v>0</v>
      </c>
      <c r="X782" s="8">
        <f>_xlfn.XLOOKUP(CustomerCombined[[#This Row],[ID]], Table2[ID],Table2[Pilot], "Not Found", 0 )</f>
        <v>0</v>
      </c>
      <c r="Y782" s="8">
        <f>_xlfn.XLOOKUP(CustomerCombined[[#This Row],[ID]], Table2[ID],Table2[MC1], "Not Found", 0 )</f>
        <v>0</v>
      </c>
      <c r="Z782" s="8">
        <f>_xlfn.XLOOKUP(CustomerCombined[[#This Row],[ID]], Table2[ID],Table2[MC2], "Not Found", 0 )</f>
        <v>0</v>
      </c>
      <c r="AA782" s="8">
        <f>_xlfn.XLOOKUP(CustomerCombined[[#This Row],[ID]], Table2[ID],Table2[MC3], "Not Found", 0 )</f>
        <v>0</v>
      </c>
      <c r="AB782" s="8">
        <f>_xlfn.XLOOKUP(CustomerCombined[[#This Row],[ID]], Table2[ID],Table2[MC4], "Not Found", 0 )</f>
        <v>0</v>
      </c>
      <c r="AC782" s="8">
        <f>_xlfn.XLOOKUP(CustomerCombined[[#This Row],[ID]], Table2[ID],Table2[MC5], "Not Found", 0 )</f>
        <v>0</v>
      </c>
    </row>
    <row r="783" spans="1:29" x14ac:dyDescent="0.3">
      <c r="A783" s="6">
        <v>1761</v>
      </c>
      <c r="B783" s="6">
        <v>171466</v>
      </c>
      <c r="C783" s="6">
        <v>0</v>
      </c>
      <c r="D783" s="6">
        <v>0</v>
      </c>
      <c r="E783" s="6">
        <v>46</v>
      </c>
      <c r="F783" s="5" t="s">
        <v>7</v>
      </c>
      <c r="G783" s="5" t="s">
        <v>13</v>
      </c>
      <c r="H783" s="3">
        <v>44083</v>
      </c>
      <c r="I783" s="5" t="s">
        <v>435</v>
      </c>
      <c r="J783" s="5">
        <f>_xlfn.XLOOKUP(CustomerCombined[[#This Row],[ID]], Table4[ID], Table4[Recency], "Not Found", 0)</f>
        <v>86</v>
      </c>
      <c r="K783" s="5">
        <f>_xlfn.XLOOKUP(CustomerCombined[[#This Row],[ID]], Table4[ID], Table4[Teas], "Not Found", 0)</f>
        <v>988</v>
      </c>
      <c r="L783" s="5">
        <f>_xlfn.XLOOKUP(CustomerCombined[[#This Row],[ID]], Table4[ID], Table4[Fruits], "Not Found", 0)</f>
        <v>29</v>
      </c>
      <c r="M783" s="5">
        <f>_xlfn.XLOOKUP(CustomerCombined[[#This Row],[ID]], Table4[ID], Table4[Meats], "Not Found", 0)</f>
        <v>1310</v>
      </c>
      <c r="N783" s="5">
        <f>_xlfn.XLOOKUP(CustomerCombined[[#This Row],[ID]], Table4[ID], Table4[Seafood], "Not Found", 0)</f>
        <v>187</v>
      </c>
      <c r="O783" s="5">
        <f>_xlfn.XLOOKUP(CustomerCombined[[#This Row],[ID]], Table4[ID], Table4[Sweets], "Not Found", 0)</f>
        <v>437</v>
      </c>
      <c r="P783" s="5">
        <f>_xlfn.XLOOKUP(CustomerCombined[[#This Row],[ID]], Table4[ID], Table4[Premium], "Not Found", 0)</f>
        <v>0</v>
      </c>
      <c r="Q783" s="5">
        <f>_xlfn.XLOOKUP(CustomerCombined[[#This Row],[ID]], Table4[ID], Table4[Regular], "Not Found", 0)</f>
        <v>2951</v>
      </c>
      <c r="R783" s="5">
        <f>_xlfn.XLOOKUP(CustomerCombined[[#This Row],[ID]], Table4[ID], Table4[Deals], "Not Found", 0)</f>
        <v>1</v>
      </c>
      <c r="S783" s="5">
        <f>_xlfn.XLOOKUP(CustomerCombined[[#This Row],[ID]], Table4[ID], Table4[Website], "Not Found", 0)</f>
        <v>4</v>
      </c>
      <c r="T783" s="5">
        <f>_xlfn.XLOOKUP(CustomerCombined[[#This Row],[ID]], Table4[ID], Table4[Catalog], "Not Found", 0)</f>
        <v>4</v>
      </c>
      <c r="U783" s="5">
        <f>_xlfn.XLOOKUP(CustomerCombined[[#This Row],[ID]], Table4[ID], Table4[Store], "Not Found", 0)</f>
        <v>10</v>
      </c>
      <c r="V783" s="5">
        <f>_xlfn.XLOOKUP(CustomerCombined[[#This Row],[ID]], Table4[ID], Table4[Visits], "Not Found", 0)</f>
        <v>1</v>
      </c>
      <c r="W783" s="8">
        <f>_xlfn.XLOOKUP(CustomerCombined[[#This Row],[ID]], Table2[ID],Table2[Complaint], "Not Found", 0 )</f>
        <v>0</v>
      </c>
      <c r="X783" s="8">
        <f>_xlfn.XLOOKUP(CustomerCombined[[#This Row],[ID]], Table2[ID],Table2[Pilot], "Not Found", 0 )</f>
        <v>0</v>
      </c>
      <c r="Y783" s="8">
        <f>_xlfn.XLOOKUP(CustomerCombined[[#This Row],[ID]], Table2[ID],Table2[MC1], "Not Found", 0 )</f>
        <v>0</v>
      </c>
      <c r="Z783" s="8">
        <f>_xlfn.XLOOKUP(CustomerCombined[[#This Row],[ID]], Table2[ID],Table2[MC2], "Not Found", 0 )</f>
        <v>0</v>
      </c>
      <c r="AA783" s="8">
        <f>_xlfn.XLOOKUP(CustomerCombined[[#This Row],[ID]], Table2[ID],Table2[MC3], "Not Found", 0 )</f>
        <v>0</v>
      </c>
      <c r="AB783" s="8">
        <f>_xlfn.XLOOKUP(CustomerCombined[[#This Row],[ID]], Table2[ID],Table2[MC4], "Not Found", 0 )</f>
        <v>0</v>
      </c>
      <c r="AC783" s="8">
        <f>_xlfn.XLOOKUP(CustomerCombined[[#This Row],[ID]], Table2[ID],Table2[MC5], "Not Found", 0 )</f>
        <v>0</v>
      </c>
    </row>
    <row r="784" spans="1:29" x14ac:dyDescent="0.3">
      <c r="A784" s="6">
        <v>2869</v>
      </c>
      <c r="B784" s="6">
        <v>169719</v>
      </c>
      <c r="C784" s="6">
        <v>0</v>
      </c>
      <c r="D784" s="6">
        <v>0</v>
      </c>
      <c r="E784" s="6">
        <v>46</v>
      </c>
      <c r="F784" s="5" t="s">
        <v>7</v>
      </c>
      <c r="G784" s="5" t="s">
        <v>11</v>
      </c>
      <c r="H784" s="3" t="s">
        <v>41</v>
      </c>
      <c r="I784" s="5" t="s">
        <v>437</v>
      </c>
      <c r="J784" s="5">
        <f>_xlfn.XLOOKUP(CustomerCombined[[#This Row],[ID]], Table4[ID], Table4[Recency], "Not Found", 0)</f>
        <v>99</v>
      </c>
      <c r="K784" s="5">
        <f>_xlfn.XLOOKUP(CustomerCombined[[#This Row],[ID]], Table4[ID], Table4[Teas], "Not Found", 0)</f>
        <v>665</v>
      </c>
      <c r="L784" s="5">
        <f>_xlfn.XLOOKUP(CustomerCombined[[#This Row],[ID]], Table4[ID], Table4[Fruits], "Not Found", 0)</f>
        <v>209</v>
      </c>
      <c r="M784" s="5">
        <f>_xlfn.XLOOKUP(CustomerCombined[[#This Row],[ID]], Table4[ID], Table4[Meats], "Not Found", 0)</f>
        <v>506</v>
      </c>
      <c r="N784" s="5">
        <f>_xlfn.XLOOKUP(CustomerCombined[[#This Row],[ID]], Table4[ID], Table4[Seafood], "Not Found", 0)</f>
        <v>431</v>
      </c>
      <c r="O784" s="5">
        <f>_xlfn.XLOOKUP(CustomerCombined[[#This Row],[ID]], Table4[ID], Table4[Sweets], "Not Found", 0)</f>
        <v>34</v>
      </c>
      <c r="P784" s="5">
        <f>_xlfn.XLOOKUP(CustomerCombined[[#This Row],[ID]], Table4[ID], Table4[Premium], "Not Found", 0)</f>
        <v>105</v>
      </c>
      <c r="Q784" s="5">
        <f>_xlfn.XLOOKUP(CustomerCombined[[#This Row],[ID]], Table4[ID], Table4[Regular], "Not Found", 0)</f>
        <v>1741</v>
      </c>
      <c r="R784" s="5">
        <f>_xlfn.XLOOKUP(CustomerCombined[[#This Row],[ID]], Table4[ID], Table4[Deals], "Not Found", 0)</f>
        <v>1</v>
      </c>
      <c r="S784" s="5">
        <f>_xlfn.XLOOKUP(CustomerCombined[[#This Row],[ID]], Table4[ID], Table4[Website], "Not Found", 0)</f>
        <v>2</v>
      </c>
      <c r="T784" s="5">
        <f>_xlfn.XLOOKUP(CustomerCombined[[#This Row],[ID]], Table4[ID], Table4[Catalog], "Not Found", 0)</f>
        <v>3</v>
      </c>
      <c r="U784" s="5">
        <f>_xlfn.XLOOKUP(CustomerCombined[[#This Row],[ID]], Table4[ID], Table4[Store], "Not Found", 0)</f>
        <v>5</v>
      </c>
      <c r="V784" s="5">
        <f>_xlfn.XLOOKUP(CustomerCombined[[#This Row],[ID]], Table4[ID], Table4[Visits], "Not Found", 0)</f>
        <v>1</v>
      </c>
      <c r="W784" s="8">
        <f>_xlfn.XLOOKUP(CustomerCombined[[#This Row],[ID]], Table2[ID],Table2[Complaint], "Not Found", 0 )</f>
        <v>0</v>
      </c>
      <c r="X784" s="8">
        <f>_xlfn.XLOOKUP(CustomerCombined[[#This Row],[ID]], Table2[ID],Table2[Pilot], "Not Found", 0 )</f>
        <v>0</v>
      </c>
      <c r="Y784" s="8">
        <f>_xlfn.XLOOKUP(CustomerCombined[[#This Row],[ID]], Table2[ID],Table2[MC1], "Not Found", 0 )</f>
        <v>0</v>
      </c>
      <c r="Z784" s="8">
        <f>_xlfn.XLOOKUP(CustomerCombined[[#This Row],[ID]], Table2[ID],Table2[MC2], "Not Found", 0 )</f>
        <v>0</v>
      </c>
      <c r="AA784" s="8">
        <f>_xlfn.XLOOKUP(CustomerCombined[[#This Row],[ID]], Table2[ID],Table2[MC3], "Not Found", 0 )</f>
        <v>0</v>
      </c>
      <c r="AB784" s="8">
        <f>_xlfn.XLOOKUP(CustomerCombined[[#This Row],[ID]], Table2[ID],Table2[MC4], "Not Found", 0 )</f>
        <v>0</v>
      </c>
      <c r="AC784" s="8">
        <f>_xlfn.XLOOKUP(CustomerCombined[[#This Row],[ID]], Table2[ID],Table2[MC5], "Not Found", 0 )</f>
        <v>0</v>
      </c>
    </row>
    <row r="785" spans="1:29" x14ac:dyDescent="0.3">
      <c r="A785" s="6">
        <v>1133</v>
      </c>
      <c r="B785" s="6">
        <v>168352</v>
      </c>
      <c r="C785" s="6">
        <v>0</v>
      </c>
      <c r="D785" s="6">
        <v>1</v>
      </c>
      <c r="E785" s="6">
        <v>46</v>
      </c>
      <c r="F785" s="5" t="s">
        <v>7</v>
      </c>
      <c r="G785" s="5" t="s">
        <v>13</v>
      </c>
      <c r="H785" s="3">
        <v>43863</v>
      </c>
      <c r="I785" s="5" t="s">
        <v>434</v>
      </c>
      <c r="J785" s="5">
        <f>_xlfn.XLOOKUP(CustomerCombined[[#This Row],[ID]], Table4[ID], Table4[Recency], "Not Found", 0)</f>
        <v>47</v>
      </c>
      <c r="K785" s="5">
        <f>_xlfn.XLOOKUP(CustomerCombined[[#This Row],[ID]], Table4[ID], Table4[Teas], "Not Found", 0)</f>
        <v>1512</v>
      </c>
      <c r="L785" s="5">
        <f>_xlfn.XLOOKUP(CustomerCombined[[#This Row],[ID]], Table4[ID], Table4[Fruits], "Not Found", 0)</f>
        <v>39</v>
      </c>
      <c r="M785" s="5">
        <f>_xlfn.XLOOKUP(CustomerCombined[[#This Row],[ID]], Table4[ID], Table4[Meats], "Not Found", 0)</f>
        <v>325</v>
      </c>
      <c r="N785" s="5">
        <f>_xlfn.XLOOKUP(CustomerCombined[[#This Row],[ID]], Table4[ID], Table4[Seafood], "Not Found", 0)</f>
        <v>106</v>
      </c>
      <c r="O785" s="5">
        <f>_xlfn.XLOOKUP(CustomerCombined[[#This Row],[ID]], Table4[ID], Table4[Sweets], "Not Found", 0)</f>
        <v>81</v>
      </c>
      <c r="P785" s="5">
        <f>_xlfn.XLOOKUP(CustomerCombined[[#This Row],[ID]], Table4[ID], Table4[Premium], "Not Found", 0)</f>
        <v>81</v>
      </c>
      <c r="Q785" s="5">
        <f>_xlfn.XLOOKUP(CustomerCombined[[#This Row],[ID]], Table4[ID], Table4[Regular], "Not Found", 0)</f>
        <v>1983</v>
      </c>
      <c r="R785" s="5">
        <f>_xlfn.XLOOKUP(CustomerCombined[[#This Row],[ID]], Table4[ID], Table4[Deals], "Not Found", 0)</f>
        <v>3</v>
      </c>
      <c r="S785" s="5">
        <f>_xlfn.XLOOKUP(CustomerCombined[[#This Row],[ID]], Table4[ID], Table4[Website], "Not Found", 0)</f>
        <v>8</v>
      </c>
      <c r="T785" s="5">
        <f>_xlfn.XLOOKUP(CustomerCombined[[#This Row],[ID]], Table4[ID], Table4[Catalog], "Not Found", 0)</f>
        <v>5</v>
      </c>
      <c r="U785" s="5">
        <f>_xlfn.XLOOKUP(CustomerCombined[[#This Row],[ID]], Table4[ID], Table4[Store], "Not Found", 0)</f>
        <v>9</v>
      </c>
      <c r="V785" s="5">
        <f>_xlfn.XLOOKUP(CustomerCombined[[#This Row],[ID]], Table4[ID], Table4[Visits], "Not Found", 0)</f>
        <v>6</v>
      </c>
      <c r="W785" s="8">
        <f>_xlfn.XLOOKUP(CustomerCombined[[#This Row],[ID]], Table2[ID],Table2[Complaint], "Not Found", 0 )</f>
        <v>0</v>
      </c>
      <c r="X785" s="8">
        <f>_xlfn.XLOOKUP(CustomerCombined[[#This Row],[ID]], Table2[ID],Table2[Pilot], "Not Found", 0 )</f>
        <v>0</v>
      </c>
      <c r="Y785" s="8">
        <f>_xlfn.XLOOKUP(CustomerCombined[[#This Row],[ID]], Table2[ID],Table2[MC1], "Not Found", 0 )</f>
        <v>0</v>
      </c>
      <c r="Z785" s="8">
        <f>_xlfn.XLOOKUP(CustomerCombined[[#This Row],[ID]], Table2[ID],Table2[MC2], "Not Found", 0 )</f>
        <v>0</v>
      </c>
      <c r="AA785" s="8">
        <f>_xlfn.XLOOKUP(CustomerCombined[[#This Row],[ID]], Table2[ID],Table2[MC3], "Not Found", 0 )</f>
        <v>0</v>
      </c>
      <c r="AB785" s="8">
        <f>_xlfn.XLOOKUP(CustomerCombined[[#This Row],[ID]], Table2[ID],Table2[MC4], "Not Found", 0 )</f>
        <v>0</v>
      </c>
      <c r="AC785" s="8">
        <f>_xlfn.XLOOKUP(CustomerCombined[[#This Row],[ID]], Table2[ID],Table2[MC5], "Not Found", 0 )</f>
        <v>0</v>
      </c>
    </row>
    <row r="786" spans="1:29" x14ac:dyDescent="0.3">
      <c r="A786" s="6">
        <v>1635</v>
      </c>
      <c r="B786" s="6">
        <v>167445</v>
      </c>
      <c r="C786" s="6">
        <v>0</v>
      </c>
      <c r="D786" s="6">
        <v>1</v>
      </c>
      <c r="E786" s="6">
        <v>46</v>
      </c>
      <c r="F786" s="5" t="s">
        <v>6</v>
      </c>
      <c r="G786" s="5" t="s">
        <v>11</v>
      </c>
      <c r="H786" s="3" t="s">
        <v>416</v>
      </c>
      <c r="I786" s="5" t="s">
        <v>435</v>
      </c>
      <c r="J786" s="5">
        <f>_xlfn.XLOOKUP(CustomerCombined[[#This Row],[ID]], Table4[ID], Table4[Recency], "Not Found", 0)</f>
        <v>63</v>
      </c>
      <c r="K786" s="5">
        <f>_xlfn.XLOOKUP(CustomerCombined[[#This Row],[ID]], Table4[ID], Table4[Teas], "Not Found", 0)</f>
        <v>1879</v>
      </c>
      <c r="L786" s="5">
        <f>_xlfn.XLOOKUP(CustomerCombined[[#This Row],[ID]], Table4[ID], Table4[Fruits], "Not Found", 0)</f>
        <v>199</v>
      </c>
      <c r="M786" s="5">
        <f>_xlfn.XLOOKUP(CustomerCombined[[#This Row],[ID]], Table4[ID], Table4[Meats], "Not Found", 0)</f>
        <v>539</v>
      </c>
      <c r="N786" s="5">
        <f>_xlfn.XLOOKUP(CustomerCombined[[#This Row],[ID]], Table4[ID], Table4[Seafood], "Not Found", 0)</f>
        <v>72</v>
      </c>
      <c r="O786" s="5">
        <f>_xlfn.XLOOKUP(CustomerCombined[[#This Row],[ID]], Table4[ID], Table4[Sweets], "Not Found", 0)</f>
        <v>199</v>
      </c>
      <c r="P786" s="5">
        <f>_xlfn.XLOOKUP(CustomerCombined[[#This Row],[ID]], Table4[ID], Table4[Premium], "Not Found", 0)</f>
        <v>27</v>
      </c>
      <c r="Q786" s="5">
        <f>_xlfn.XLOOKUP(CustomerCombined[[#This Row],[ID]], Table4[ID], Table4[Regular], "Not Found", 0)</f>
        <v>2860</v>
      </c>
      <c r="R786" s="5">
        <f>_xlfn.XLOOKUP(CustomerCombined[[#This Row],[ID]], Table4[ID], Table4[Deals], "Not Found", 0)</f>
        <v>5</v>
      </c>
      <c r="S786" s="5">
        <f>_xlfn.XLOOKUP(CustomerCombined[[#This Row],[ID]], Table4[ID], Table4[Website], "Not Found", 0)</f>
        <v>9</v>
      </c>
      <c r="T786" s="5">
        <f>_xlfn.XLOOKUP(CustomerCombined[[#This Row],[ID]], Table4[ID], Table4[Catalog], "Not Found", 0)</f>
        <v>6</v>
      </c>
      <c r="U786" s="5">
        <f>_xlfn.XLOOKUP(CustomerCombined[[#This Row],[ID]], Table4[ID], Table4[Store], "Not Found", 0)</f>
        <v>12</v>
      </c>
      <c r="V786" s="5">
        <f>_xlfn.XLOOKUP(CustomerCombined[[#This Row],[ID]], Table4[ID], Table4[Visits], "Not Found", 0)</f>
        <v>6</v>
      </c>
      <c r="W786" s="8">
        <f>_xlfn.XLOOKUP(CustomerCombined[[#This Row],[ID]], Table2[ID],Table2[Complaint], "Not Found", 0 )</f>
        <v>0</v>
      </c>
      <c r="X786" s="8">
        <f>_xlfn.XLOOKUP(CustomerCombined[[#This Row],[ID]], Table2[ID],Table2[Pilot], "Not Found", 0 )</f>
        <v>0</v>
      </c>
      <c r="Y786" s="8">
        <f>_xlfn.XLOOKUP(CustomerCombined[[#This Row],[ID]], Table2[ID],Table2[MC1], "Not Found", 0 )</f>
        <v>0</v>
      </c>
      <c r="Z786" s="8">
        <f>_xlfn.XLOOKUP(CustomerCombined[[#This Row],[ID]], Table2[ID],Table2[MC2], "Not Found", 0 )</f>
        <v>0</v>
      </c>
      <c r="AA786" s="8">
        <f>_xlfn.XLOOKUP(CustomerCombined[[#This Row],[ID]], Table2[ID],Table2[MC3], "Not Found", 0 )</f>
        <v>0</v>
      </c>
      <c r="AB786" s="8">
        <f>_xlfn.XLOOKUP(CustomerCombined[[#This Row],[ID]], Table2[ID],Table2[MC4], "Not Found", 0 )</f>
        <v>0</v>
      </c>
      <c r="AC786" s="8">
        <f>_xlfn.XLOOKUP(CustomerCombined[[#This Row],[ID]], Table2[ID],Table2[MC5], "Not Found", 0 )</f>
        <v>0</v>
      </c>
    </row>
    <row r="787" spans="1:29" x14ac:dyDescent="0.3">
      <c r="A787" s="6">
        <v>2530</v>
      </c>
      <c r="B787" s="6">
        <v>167445</v>
      </c>
      <c r="C787" s="6">
        <v>0</v>
      </c>
      <c r="D787" s="6">
        <v>1</v>
      </c>
      <c r="E787" s="6">
        <v>46</v>
      </c>
      <c r="F787" s="5" t="s">
        <v>6</v>
      </c>
      <c r="G787" s="5" t="s">
        <v>11</v>
      </c>
      <c r="H787" s="3" t="s">
        <v>416</v>
      </c>
      <c r="I787" s="5" t="s">
        <v>439</v>
      </c>
      <c r="J787" s="5">
        <f>_xlfn.XLOOKUP(CustomerCombined[[#This Row],[ID]], Table4[ID], Table4[Recency], "Not Found", 0)</f>
        <v>63</v>
      </c>
      <c r="K787" s="5">
        <f>_xlfn.XLOOKUP(CustomerCombined[[#This Row],[ID]], Table4[ID], Table4[Teas], "Not Found", 0)</f>
        <v>1879</v>
      </c>
      <c r="L787" s="5">
        <f>_xlfn.XLOOKUP(CustomerCombined[[#This Row],[ID]], Table4[ID], Table4[Fruits], "Not Found", 0)</f>
        <v>199</v>
      </c>
      <c r="M787" s="5">
        <f>_xlfn.XLOOKUP(CustomerCombined[[#This Row],[ID]], Table4[ID], Table4[Meats], "Not Found", 0)</f>
        <v>539</v>
      </c>
      <c r="N787" s="5">
        <f>_xlfn.XLOOKUP(CustomerCombined[[#This Row],[ID]], Table4[ID], Table4[Seafood], "Not Found", 0)</f>
        <v>72</v>
      </c>
      <c r="O787" s="5">
        <f>_xlfn.XLOOKUP(CustomerCombined[[#This Row],[ID]], Table4[ID], Table4[Sweets], "Not Found", 0)</f>
        <v>199</v>
      </c>
      <c r="P787" s="5">
        <f>_xlfn.XLOOKUP(CustomerCombined[[#This Row],[ID]], Table4[ID], Table4[Premium], "Not Found", 0)</f>
        <v>27</v>
      </c>
      <c r="Q787" s="5">
        <f>_xlfn.XLOOKUP(CustomerCombined[[#This Row],[ID]], Table4[ID], Table4[Regular], "Not Found", 0)</f>
        <v>2860</v>
      </c>
      <c r="R787" s="5">
        <f>_xlfn.XLOOKUP(CustomerCombined[[#This Row],[ID]], Table4[ID], Table4[Deals], "Not Found", 0)</f>
        <v>5</v>
      </c>
      <c r="S787" s="5">
        <f>_xlfn.XLOOKUP(CustomerCombined[[#This Row],[ID]], Table4[ID], Table4[Website], "Not Found", 0)</f>
        <v>9</v>
      </c>
      <c r="T787" s="5">
        <f>_xlfn.XLOOKUP(CustomerCombined[[#This Row],[ID]], Table4[ID], Table4[Catalog], "Not Found", 0)</f>
        <v>6</v>
      </c>
      <c r="U787" s="5">
        <f>_xlfn.XLOOKUP(CustomerCombined[[#This Row],[ID]], Table4[ID], Table4[Store], "Not Found", 0)</f>
        <v>12</v>
      </c>
      <c r="V787" s="5">
        <f>_xlfn.XLOOKUP(CustomerCombined[[#This Row],[ID]], Table4[ID], Table4[Visits], "Not Found", 0)</f>
        <v>6</v>
      </c>
      <c r="W787" s="8">
        <f>_xlfn.XLOOKUP(CustomerCombined[[#This Row],[ID]], Table2[ID],Table2[Complaint], "Not Found", 0 )</f>
        <v>0</v>
      </c>
      <c r="X787" s="8">
        <f>_xlfn.XLOOKUP(CustomerCombined[[#This Row],[ID]], Table2[ID],Table2[Pilot], "Not Found", 0 )</f>
        <v>0</v>
      </c>
      <c r="Y787" s="8">
        <f>_xlfn.XLOOKUP(CustomerCombined[[#This Row],[ID]], Table2[ID],Table2[MC1], "Not Found", 0 )</f>
        <v>0</v>
      </c>
      <c r="Z787" s="8">
        <f>_xlfn.XLOOKUP(CustomerCombined[[#This Row],[ID]], Table2[ID],Table2[MC2], "Not Found", 0 )</f>
        <v>0</v>
      </c>
      <c r="AA787" s="8">
        <f>_xlfn.XLOOKUP(CustomerCombined[[#This Row],[ID]], Table2[ID],Table2[MC3], "Not Found", 0 )</f>
        <v>0</v>
      </c>
      <c r="AB787" s="8">
        <f>_xlfn.XLOOKUP(CustomerCombined[[#This Row],[ID]], Table2[ID],Table2[MC4], "Not Found", 0 )</f>
        <v>0</v>
      </c>
      <c r="AC787" s="8">
        <f>_xlfn.XLOOKUP(CustomerCombined[[#This Row],[ID]], Table2[ID],Table2[MC5], "Not Found", 0 )</f>
        <v>0</v>
      </c>
    </row>
    <row r="788" spans="1:29" x14ac:dyDescent="0.3">
      <c r="A788" s="6">
        <v>3037</v>
      </c>
      <c r="B788" s="6">
        <v>167445</v>
      </c>
      <c r="C788" s="6">
        <v>0</v>
      </c>
      <c r="D788" s="6">
        <v>1</v>
      </c>
      <c r="E788" s="6">
        <v>46</v>
      </c>
      <c r="F788" s="5" t="s">
        <v>6</v>
      </c>
      <c r="G788" s="5" t="s">
        <v>11</v>
      </c>
      <c r="H788" s="3" t="s">
        <v>416</v>
      </c>
      <c r="I788" s="5" t="s">
        <v>437</v>
      </c>
      <c r="J788" s="5">
        <f>_xlfn.XLOOKUP(CustomerCombined[[#This Row],[ID]], Table4[ID], Table4[Recency], "Not Found", 0)</f>
        <v>63</v>
      </c>
      <c r="K788" s="5">
        <f>_xlfn.XLOOKUP(CustomerCombined[[#This Row],[ID]], Table4[ID], Table4[Teas], "Not Found", 0)</f>
        <v>1879</v>
      </c>
      <c r="L788" s="5">
        <f>_xlfn.XLOOKUP(CustomerCombined[[#This Row],[ID]], Table4[ID], Table4[Fruits], "Not Found", 0)</f>
        <v>199</v>
      </c>
      <c r="M788" s="5">
        <f>_xlfn.XLOOKUP(CustomerCombined[[#This Row],[ID]], Table4[ID], Table4[Meats], "Not Found", 0)</f>
        <v>539</v>
      </c>
      <c r="N788" s="5">
        <f>_xlfn.XLOOKUP(CustomerCombined[[#This Row],[ID]], Table4[ID], Table4[Seafood], "Not Found", 0)</f>
        <v>72</v>
      </c>
      <c r="O788" s="5">
        <f>_xlfn.XLOOKUP(CustomerCombined[[#This Row],[ID]], Table4[ID], Table4[Sweets], "Not Found", 0)</f>
        <v>199</v>
      </c>
      <c r="P788" s="5">
        <f>_xlfn.XLOOKUP(CustomerCombined[[#This Row],[ID]], Table4[ID], Table4[Premium], "Not Found", 0)</f>
        <v>27</v>
      </c>
      <c r="Q788" s="5">
        <f>_xlfn.XLOOKUP(CustomerCombined[[#This Row],[ID]], Table4[ID], Table4[Regular], "Not Found", 0)</f>
        <v>2860</v>
      </c>
      <c r="R788" s="5">
        <f>_xlfn.XLOOKUP(CustomerCombined[[#This Row],[ID]], Table4[ID], Table4[Deals], "Not Found", 0)</f>
        <v>5</v>
      </c>
      <c r="S788" s="5">
        <f>_xlfn.XLOOKUP(CustomerCombined[[#This Row],[ID]], Table4[ID], Table4[Website], "Not Found", 0)</f>
        <v>9</v>
      </c>
      <c r="T788" s="5">
        <f>_xlfn.XLOOKUP(CustomerCombined[[#This Row],[ID]], Table4[ID], Table4[Catalog], "Not Found", 0)</f>
        <v>6</v>
      </c>
      <c r="U788" s="5">
        <f>_xlfn.XLOOKUP(CustomerCombined[[#This Row],[ID]], Table4[ID], Table4[Store], "Not Found", 0)</f>
        <v>12</v>
      </c>
      <c r="V788" s="5">
        <f>_xlfn.XLOOKUP(CustomerCombined[[#This Row],[ID]], Table4[ID], Table4[Visits], "Not Found", 0)</f>
        <v>6</v>
      </c>
      <c r="W788" s="8">
        <f>_xlfn.XLOOKUP(CustomerCombined[[#This Row],[ID]], Table2[ID],Table2[Complaint], "Not Found", 0 )</f>
        <v>0</v>
      </c>
      <c r="X788" s="8">
        <f>_xlfn.XLOOKUP(CustomerCombined[[#This Row],[ID]], Table2[ID],Table2[Pilot], "Not Found", 0 )</f>
        <v>0</v>
      </c>
      <c r="Y788" s="8">
        <f>_xlfn.XLOOKUP(CustomerCombined[[#This Row],[ID]], Table2[ID],Table2[MC1], "Not Found", 0 )</f>
        <v>0</v>
      </c>
      <c r="Z788" s="8">
        <f>_xlfn.XLOOKUP(CustomerCombined[[#This Row],[ID]], Table2[ID],Table2[MC2], "Not Found", 0 )</f>
        <v>0</v>
      </c>
      <c r="AA788" s="8">
        <f>_xlfn.XLOOKUP(CustomerCombined[[#This Row],[ID]], Table2[ID],Table2[MC3], "Not Found", 0 )</f>
        <v>0</v>
      </c>
      <c r="AB788" s="8">
        <f>_xlfn.XLOOKUP(CustomerCombined[[#This Row],[ID]], Table2[ID],Table2[MC4], "Not Found", 0 )</f>
        <v>0</v>
      </c>
      <c r="AC788" s="8">
        <f>_xlfn.XLOOKUP(CustomerCombined[[#This Row],[ID]], Table2[ID],Table2[MC5], "Not Found", 0 )</f>
        <v>0</v>
      </c>
    </row>
    <row r="789" spans="1:29" x14ac:dyDescent="0.3">
      <c r="A789" s="6">
        <v>1270</v>
      </c>
      <c r="B789" s="6">
        <v>165640</v>
      </c>
      <c r="C789" s="6">
        <v>0</v>
      </c>
      <c r="D789" s="6">
        <v>1</v>
      </c>
      <c r="E789" s="6">
        <v>46</v>
      </c>
      <c r="F789" s="5" t="s">
        <v>8</v>
      </c>
      <c r="G789" s="5" t="s">
        <v>13</v>
      </c>
      <c r="H789" s="3">
        <v>43959</v>
      </c>
      <c r="I789" s="5" t="s">
        <v>439</v>
      </c>
      <c r="J789" s="5">
        <f>_xlfn.XLOOKUP(CustomerCombined[[#This Row],[ID]], Table4[ID], Table4[Recency], "Not Found", 0)</f>
        <v>74</v>
      </c>
      <c r="K789" s="5">
        <f>_xlfn.XLOOKUP(CustomerCombined[[#This Row],[ID]], Table4[ID], Table4[Teas], "Not Found", 0)</f>
        <v>515</v>
      </c>
      <c r="L789" s="5">
        <f>_xlfn.XLOOKUP(CustomerCombined[[#This Row],[ID]], Table4[ID], Table4[Fruits], "Not Found", 0)</f>
        <v>18</v>
      </c>
      <c r="M789" s="5">
        <f>_xlfn.XLOOKUP(CustomerCombined[[#This Row],[ID]], Table4[ID], Table4[Meats], "Not Found", 0)</f>
        <v>376</v>
      </c>
      <c r="N789" s="5">
        <f>_xlfn.XLOOKUP(CustomerCombined[[#This Row],[ID]], Table4[ID], Table4[Seafood], "Not Found", 0)</f>
        <v>50</v>
      </c>
      <c r="O789" s="5">
        <f>_xlfn.XLOOKUP(CustomerCombined[[#This Row],[ID]], Table4[ID], Table4[Sweets], "Not Found", 0)</f>
        <v>38</v>
      </c>
      <c r="P789" s="5">
        <f>_xlfn.XLOOKUP(CustomerCombined[[#This Row],[ID]], Table4[ID], Table4[Premium], "Not Found", 0)</f>
        <v>167</v>
      </c>
      <c r="Q789" s="5">
        <f>_xlfn.XLOOKUP(CustomerCombined[[#This Row],[ID]], Table4[ID], Table4[Regular], "Not Found", 0)</f>
        <v>830</v>
      </c>
      <c r="R789" s="5">
        <f>_xlfn.XLOOKUP(CustomerCombined[[#This Row],[ID]], Table4[ID], Table4[Deals], "Not Found", 0)</f>
        <v>1</v>
      </c>
      <c r="S789" s="5">
        <f>_xlfn.XLOOKUP(CustomerCombined[[#This Row],[ID]], Table4[ID], Table4[Website], "Not Found", 0)</f>
        <v>5</v>
      </c>
      <c r="T789" s="5">
        <f>_xlfn.XLOOKUP(CustomerCombined[[#This Row],[ID]], Table4[ID], Table4[Catalog], "Not Found", 0)</f>
        <v>1</v>
      </c>
      <c r="U789" s="5">
        <f>_xlfn.XLOOKUP(CustomerCombined[[#This Row],[ID]], Table4[ID], Table4[Store], "Not Found", 0)</f>
        <v>8</v>
      </c>
      <c r="V789" s="5">
        <f>_xlfn.XLOOKUP(CustomerCombined[[#This Row],[ID]], Table4[ID], Table4[Visits], "Not Found", 0)</f>
        <v>2</v>
      </c>
      <c r="W789" s="8">
        <f>_xlfn.XLOOKUP(CustomerCombined[[#This Row],[ID]], Table2[ID],Table2[Complaint], "Not Found", 0 )</f>
        <v>0</v>
      </c>
      <c r="X789" s="8">
        <f>_xlfn.XLOOKUP(CustomerCombined[[#This Row],[ID]], Table2[ID],Table2[Pilot], "Not Found", 0 )</f>
        <v>0</v>
      </c>
      <c r="Y789" s="8">
        <f>_xlfn.XLOOKUP(CustomerCombined[[#This Row],[ID]], Table2[ID],Table2[MC1], "Not Found", 0 )</f>
        <v>0</v>
      </c>
      <c r="Z789" s="8">
        <f>_xlfn.XLOOKUP(CustomerCombined[[#This Row],[ID]], Table2[ID],Table2[MC2], "Not Found", 0 )</f>
        <v>0</v>
      </c>
      <c r="AA789" s="8">
        <f>_xlfn.XLOOKUP(CustomerCombined[[#This Row],[ID]], Table2[ID],Table2[MC3], "Not Found", 0 )</f>
        <v>0</v>
      </c>
      <c r="AB789" s="8">
        <f>_xlfn.XLOOKUP(CustomerCombined[[#This Row],[ID]], Table2[ID],Table2[MC4], "Not Found", 0 )</f>
        <v>0</v>
      </c>
      <c r="AC789" s="8">
        <f>_xlfn.XLOOKUP(CustomerCombined[[#This Row],[ID]], Table2[ID],Table2[MC5], "Not Found", 0 )</f>
        <v>0</v>
      </c>
    </row>
    <row r="790" spans="1:29" x14ac:dyDescent="0.3">
      <c r="A790" s="6">
        <v>2089</v>
      </c>
      <c r="B790" s="6">
        <v>165463</v>
      </c>
      <c r="C790" s="6">
        <v>1</v>
      </c>
      <c r="D790" s="6">
        <v>0</v>
      </c>
      <c r="E790" s="6">
        <v>46</v>
      </c>
      <c r="F790" s="5" t="s">
        <v>6</v>
      </c>
      <c r="G790" s="5" t="s">
        <v>442</v>
      </c>
      <c r="H790" s="3">
        <v>43989</v>
      </c>
      <c r="I790" s="5" t="s">
        <v>437</v>
      </c>
      <c r="J790" s="5">
        <f>_xlfn.XLOOKUP(CustomerCombined[[#This Row],[ID]], Table4[ID], Table4[Recency], "Not Found", 0)</f>
        <v>17</v>
      </c>
      <c r="K790" s="5">
        <f>_xlfn.XLOOKUP(CustomerCombined[[#This Row],[ID]], Table4[ID], Table4[Teas], "Not Found", 0)</f>
        <v>988</v>
      </c>
      <c r="L790" s="5">
        <f>_xlfn.XLOOKUP(CustomerCombined[[#This Row],[ID]], Table4[ID], Table4[Fruits], "Not Found", 0)</f>
        <v>81</v>
      </c>
      <c r="M790" s="5">
        <f>_xlfn.XLOOKUP(CustomerCombined[[#This Row],[ID]], Table4[ID], Table4[Meats], "Not Found", 0)</f>
        <v>177</v>
      </c>
      <c r="N790" s="5">
        <f>_xlfn.XLOOKUP(CustomerCombined[[#This Row],[ID]], Table4[ID], Table4[Seafood], "Not Found", 0)</f>
        <v>53</v>
      </c>
      <c r="O790" s="5">
        <f>_xlfn.XLOOKUP(CustomerCombined[[#This Row],[ID]], Table4[ID], Table4[Sweets], "Not Found", 0)</f>
        <v>81</v>
      </c>
      <c r="P790" s="5">
        <f>_xlfn.XLOOKUP(CustomerCombined[[#This Row],[ID]], Table4[ID], Table4[Premium], "Not Found", 0)</f>
        <v>40</v>
      </c>
      <c r="Q790" s="5">
        <f>_xlfn.XLOOKUP(CustomerCombined[[#This Row],[ID]], Table4[ID], Table4[Regular], "Not Found", 0)</f>
        <v>1340</v>
      </c>
      <c r="R790" s="5">
        <f>_xlfn.XLOOKUP(CustomerCombined[[#This Row],[ID]], Table4[ID], Table4[Deals], "Not Found", 0)</f>
        <v>2</v>
      </c>
      <c r="S790" s="5">
        <f>_xlfn.XLOOKUP(CustomerCombined[[#This Row],[ID]], Table4[ID], Table4[Website], "Not Found", 0)</f>
        <v>6</v>
      </c>
      <c r="T790" s="5">
        <f>_xlfn.XLOOKUP(CustomerCombined[[#This Row],[ID]], Table4[ID], Table4[Catalog], "Not Found", 0)</f>
        <v>2</v>
      </c>
      <c r="U790" s="5">
        <f>_xlfn.XLOOKUP(CustomerCombined[[#This Row],[ID]], Table4[ID], Table4[Store], "Not Found", 0)</f>
        <v>9</v>
      </c>
      <c r="V790" s="5">
        <f>_xlfn.XLOOKUP(CustomerCombined[[#This Row],[ID]], Table4[ID], Table4[Visits], "Not Found", 0)</f>
        <v>5</v>
      </c>
      <c r="W790" s="8">
        <f>_xlfn.XLOOKUP(CustomerCombined[[#This Row],[ID]], Table2[ID],Table2[Complaint], "Not Found", 0 )</f>
        <v>0</v>
      </c>
      <c r="X790" s="8">
        <f>_xlfn.XLOOKUP(CustomerCombined[[#This Row],[ID]], Table2[ID],Table2[Pilot], "Not Found", 0 )</f>
        <v>0</v>
      </c>
      <c r="Y790" s="8">
        <f>_xlfn.XLOOKUP(CustomerCombined[[#This Row],[ID]], Table2[ID],Table2[MC1], "Not Found", 0 )</f>
        <v>0</v>
      </c>
      <c r="Z790" s="8">
        <f>_xlfn.XLOOKUP(CustomerCombined[[#This Row],[ID]], Table2[ID],Table2[MC2], "Not Found", 0 )</f>
        <v>0</v>
      </c>
      <c r="AA790" s="8">
        <f>_xlfn.XLOOKUP(CustomerCombined[[#This Row],[ID]], Table2[ID],Table2[MC3], "Not Found", 0 )</f>
        <v>0</v>
      </c>
      <c r="AB790" s="8">
        <f>_xlfn.XLOOKUP(CustomerCombined[[#This Row],[ID]], Table2[ID],Table2[MC4], "Not Found", 0 )</f>
        <v>1</v>
      </c>
      <c r="AC790" s="8">
        <f>_xlfn.XLOOKUP(CustomerCombined[[#This Row],[ID]], Table2[ID],Table2[MC5], "Not Found", 0 )</f>
        <v>0</v>
      </c>
    </row>
    <row r="791" spans="1:29" x14ac:dyDescent="0.3">
      <c r="A791" s="6">
        <v>1966</v>
      </c>
      <c r="B791" s="6">
        <v>165352</v>
      </c>
      <c r="C791" s="6">
        <v>0</v>
      </c>
      <c r="D791" s="6">
        <v>1</v>
      </c>
      <c r="E791" s="6">
        <v>46</v>
      </c>
      <c r="F791" s="5" t="s">
        <v>6</v>
      </c>
      <c r="G791" s="5" t="s">
        <v>13</v>
      </c>
      <c r="H791" s="3" t="s">
        <v>196</v>
      </c>
      <c r="I791" s="5" t="s">
        <v>439</v>
      </c>
      <c r="J791" s="5">
        <f>_xlfn.XLOOKUP(CustomerCombined[[#This Row],[ID]], Table4[ID], Table4[Recency], "Not Found", 0)</f>
        <v>43</v>
      </c>
      <c r="K791" s="5">
        <f>_xlfn.XLOOKUP(CustomerCombined[[#This Row],[ID]], Table4[ID], Table4[Teas], "Not Found", 0)</f>
        <v>719</v>
      </c>
      <c r="L791" s="5">
        <f>_xlfn.XLOOKUP(CustomerCombined[[#This Row],[ID]], Table4[ID], Table4[Fruits], "Not Found", 0)</f>
        <v>8</v>
      </c>
      <c r="M791" s="5">
        <f>_xlfn.XLOOKUP(CustomerCombined[[#This Row],[ID]], Table4[ID], Table4[Meats], "Not Found", 0)</f>
        <v>213</v>
      </c>
      <c r="N791" s="5">
        <f>_xlfn.XLOOKUP(CustomerCombined[[#This Row],[ID]], Table4[ID], Table4[Seafood], "Not Found", 0)</f>
        <v>10</v>
      </c>
      <c r="O791" s="5">
        <f>_xlfn.XLOOKUP(CustomerCombined[[#This Row],[ID]], Table4[ID], Table4[Sweets], "Not Found", 0)</f>
        <v>18</v>
      </c>
      <c r="P791" s="5">
        <f>_xlfn.XLOOKUP(CustomerCombined[[#This Row],[ID]], Table4[ID], Table4[Premium], "Not Found", 0)</f>
        <v>58</v>
      </c>
      <c r="Q791" s="5">
        <f>_xlfn.XLOOKUP(CustomerCombined[[#This Row],[ID]], Table4[ID], Table4[Regular], "Not Found", 0)</f>
        <v>908</v>
      </c>
      <c r="R791" s="5">
        <f>_xlfn.XLOOKUP(CustomerCombined[[#This Row],[ID]], Table4[ID], Table4[Deals], "Not Found", 0)</f>
        <v>2</v>
      </c>
      <c r="S791" s="5">
        <f>_xlfn.XLOOKUP(CustomerCombined[[#This Row],[ID]], Table4[ID], Table4[Website], "Not Found", 0)</f>
        <v>4</v>
      </c>
      <c r="T791" s="5">
        <f>_xlfn.XLOOKUP(CustomerCombined[[#This Row],[ID]], Table4[ID], Table4[Catalog], "Not Found", 0)</f>
        <v>2</v>
      </c>
      <c r="U791" s="5">
        <f>_xlfn.XLOOKUP(CustomerCombined[[#This Row],[ID]], Table4[ID], Table4[Store], "Not Found", 0)</f>
        <v>8</v>
      </c>
      <c r="V791" s="5">
        <f>_xlfn.XLOOKUP(CustomerCombined[[#This Row],[ID]], Table4[ID], Table4[Visits], "Not Found", 0)</f>
        <v>4</v>
      </c>
      <c r="W791" s="8">
        <f>_xlfn.XLOOKUP(CustomerCombined[[#This Row],[ID]], Table2[ID],Table2[Complaint], "Not Found", 0 )</f>
        <v>0</v>
      </c>
      <c r="X791" s="8">
        <f>_xlfn.XLOOKUP(CustomerCombined[[#This Row],[ID]], Table2[ID],Table2[Pilot], "Not Found", 0 )</f>
        <v>0</v>
      </c>
      <c r="Y791" s="8">
        <f>_xlfn.XLOOKUP(CustomerCombined[[#This Row],[ID]], Table2[ID],Table2[MC1], "Not Found", 0 )</f>
        <v>0</v>
      </c>
      <c r="Z791" s="8">
        <f>_xlfn.XLOOKUP(CustomerCombined[[#This Row],[ID]], Table2[ID],Table2[MC2], "Not Found", 0 )</f>
        <v>0</v>
      </c>
      <c r="AA791" s="8">
        <f>_xlfn.XLOOKUP(CustomerCombined[[#This Row],[ID]], Table2[ID],Table2[MC3], "Not Found", 0 )</f>
        <v>0</v>
      </c>
      <c r="AB791" s="8">
        <f>_xlfn.XLOOKUP(CustomerCombined[[#This Row],[ID]], Table2[ID],Table2[MC4], "Not Found", 0 )</f>
        <v>0</v>
      </c>
      <c r="AC791" s="8">
        <f>_xlfn.XLOOKUP(CustomerCombined[[#This Row],[ID]], Table2[ID],Table2[MC5], "Not Found", 0 )</f>
        <v>0</v>
      </c>
    </row>
    <row r="792" spans="1:29" x14ac:dyDescent="0.3">
      <c r="A792" s="6">
        <v>3215</v>
      </c>
      <c r="B792" s="6">
        <v>163979</v>
      </c>
      <c r="C792" s="6">
        <v>1</v>
      </c>
      <c r="D792" s="6">
        <v>0</v>
      </c>
      <c r="E792" s="6">
        <v>46</v>
      </c>
      <c r="F792" s="5" t="s">
        <v>6</v>
      </c>
      <c r="G792" s="5" t="s">
        <v>11</v>
      </c>
      <c r="H792" s="3">
        <v>43628</v>
      </c>
      <c r="I792" s="5" t="s">
        <v>434</v>
      </c>
      <c r="J792" s="5">
        <f>_xlfn.XLOOKUP(CustomerCombined[[#This Row],[ID]], Table4[ID], Table4[Recency], "Not Found", 0)</f>
        <v>81</v>
      </c>
      <c r="K792" s="5">
        <f>_xlfn.XLOOKUP(CustomerCombined[[#This Row],[ID]], Table4[ID], Table4[Teas], "Not Found", 0)</f>
        <v>8</v>
      </c>
      <c r="L792" s="5">
        <f>_xlfn.XLOOKUP(CustomerCombined[[#This Row],[ID]], Table4[ID], Table4[Fruits], "Not Found", 0)</f>
        <v>8</v>
      </c>
      <c r="M792" s="5">
        <f>_xlfn.XLOOKUP(CustomerCombined[[#This Row],[ID]], Table4[ID], Table4[Meats], "Not Found", 0)</f>
        <v>18</v>
      </c>
      <c r="N792" s="5">
        <f>_xlfn.XLOOKUP(CustomerCombined[[#This Row],[ID]], Table4[ID], Table4[Seafood], "Not Found", 0)</f>
        <v>15</v>
      </c>
      <c r="O792" s="5">
        <f>_xlfn.XLOOKUP(CustomerCombined[[#This Row],[ID]], Table4[ID], Table4[Sweets], "Not Found", 0)</f>
        <v>5</v>
      </c>
      <c r="P792" s="5">
        <f>_xlfn.XLOOKUP(CustomerCombined[[#This Row],[ID]], Table4[ID], Table4[Premium], "Not Found", 0)</f>
        <v>23</v>
      </c>
      <c r="Q792" s="5">
        <f>_xlfn.XLOOKUP(CustomerCombined[[#This Row],[ID]], Table4[ID], Table4[Regular], "Not Found", 0)</f>
        <v>31</v>
      </c>
      <c r="R792" s="5">
        <f>_xlfn.XLOOKUP(CustomerCombined[[#This Row],[ID]], Table4[ID], Table4[Deals], "Not Found", 0)</f>
        <v>1000000</v>
      </c>
      <c r="S792" s="5">
        <f>_xlfn.XLOOKUP(CustomerCombined[[#This Row],[ID]], Table4[ID], Table4[Website], "Not Found", 0)</f>
        <v>1</v>
      </c>
      <c r="T792" s="5">
        <f>_xlfn.XLOOKUP(CustomerCombined[[#This Row],[ID]], Table4[ID], Table4[Catalog], "Not Found", 0)</f>
        <v>0</v>
      </c>
      <c r="U792" s="5">
        <f>_xlfn.XLOOKUP(CustomerCombined[[#This Row],[ID]], Table4[ID], Table4[Store], "Not Found", 0)</f>
        <v>2</v>
      </c>
      <c r="V792" s="5">
        <f>_xlfn.XLOOKUP(CustomerCombined[[#This Row],[ID]], Table4[ID], Table4[Visits], "Not Found", 0)</f>
        <v>7</v>
      </c>
      <c r="W792" s="8">
        <f>_xlfn.XLOOKUP(CustomerCombined[[#This Row],[ID]], Table2[ID],Table2[Complaint], "Not Found", 0 )</f>
        <v>0</v>
      </c>
      <c r="X792" s="8">
        <f>_xlfn.XLOOKUP(CustomerCombined[[#This Row],[ID]], Table2[ID],Table2[Pilot], "Not Found", 0 )</f>
        <v>0</v>
      </c>
      <c r="Y792" s="8">
        <f>_xlfn.XLOOKUP(CustomerCombined[[#This Row],[ID]], Table2[ID],Table2[MC1], "Not Found", 0 )</f>
        <v>0</v>
      </c>
      <c r="Z792" s="8">
        <f>_xlfn.XLOOKUP(CustomerCombined[[#This Row],[ID]], Table2[ID],Table2[MC2], "Not Found", 0 )</f>
        <v>0</v>
      </c>
      <c r="AA792" s="8">
        <f>_xlfn.XLOOKUP(CustomerCombined[[#This Row],[ID]], Table2[ID],Table2[MC3], "Not Found", 0 )</f>
        <v>0</v>
      </c>
      <c r="AB792" s="8">
        <f>_xlfn.XLOOKUP(CustomerCombined[[#This Row],[ID]], Table2[ID],Table2[MC4], "Not Found", 0 )</f>
        <v>0</v>
      </c>
      <c r="AC792" s="8">
        <f>_xlfn.XLOOKUP(CustomerCombined[[#This Row],[ID]], Table2[ID],Table2[MC5], "Not Found", 0 )</f>
        <v>0</v>
      </c>
    </row>
    <row r="793" spans="1:29" x14ac:dyDescent="0.3">
      <c r="A793" s="6">
        <v>2481</v>
      </c>
      <c r="B793" s="6">
        <v>163206</v>
      </c>
      <c r="C793" s="6">
        <v>0</v>
      </c>
      <c r="D793" s="6">
        <v>0</v>
      </c>
      <c r="E793" s="6">
        <v>46</v>
      </c>
      <c r="F793" s="5" t="s">
        <v>6</v>
      </c>
      <c r="G793" s="5" t="s">
        <v>12</v>
      </c>
      <c r="H793" s="3" t="s">
        <v>81</v>
      </c>
      <c r="I793" s="5" t="s">
        <v>435</v>
      </c>
      <c r="J793" s="5">
        <f>_xlfn.XLOOKUP(CustomerCombined[[#This Row],[ID]], Table4[ID], Table4[Recency], "Not Found", 0)</f>
        <v>65</v>
      </c>
      <c r="K793" s="5">
        <f>_xlfn.XLOOKUP(CustomerCombined[[#This Row],[ID]], Table4[ID], Table4[Teas], "Not Found", 0)</f>
        <v>1937</v>
      </c>
      <c r="L793" s="5">
        <f>_xlfn.XLOOKUP(CustomerCombined[[#This Row],[ID]], Table4[ID], Table4[Fruits], "Not Found", 0)</f>
        <v>21</v>
      </c>
      <c r="M793" s="5">
        <f>_xlfn.XLOOKUP(CustomerCombined[[#This Row],[ID]], Table4[ID], Table4[Meats], "Not Found", 0)</f>
        <v>323</v>
      </c>
      <c r="N793" s="5">
        <f>_xlfn.XLOOKUP(CustomerCombined[[#This Row],[ID]], Table4[ID], Table4[Seafood], "Not Found", 0)</f>
        <v>28</v>
      </c>
      <c r="O793" s="5">
        <f>_xlfn.XLOOKUP(CustomerCombined[[#This Row],[ID]], Table4[ID], Table4[Sweets], "Not Found", 0)</f>
        <v>21</v>
      </c>
      <c r="P793" s="5">
        <f>_xlfn.XLOOKUP(CustomerCombined[[#This Row],[ID]], Table4[ID], Table4[Premium], "Not Found", 0)</f>
        <v>67</v>
      </c>
      <c r="Q793" s="5">
        <f>_xlfn.XLOOKUP(CustomerCombined[[#This Row],[ID]], Table4[ID], Table4[Regular], "Not Found", 0)</f>
        <v>2262</v>
      </c>
      <c r="R793" s="5">
        <f>_xlfn.XLOOKUP(CustomerCombined[[#This Row],[ID]], Table4[ID], Table4[Deals], "Not Found", 0)</f>
        <v>1</v>
      </c>
      <c r="S793" s="5">
        <f>_xlfn.XLOOKUP(CustomerCombined[[#This Row],[ID]], Table4[ID], Table4[Website], "Not Found", 0)</f>
        <v>4</v>
      </c>
      <c r="T793" s="5">
        <f>_xlfn.XLOOKUP(CustomerCombined[[#This Row],[ID]], Table4[ID], Table4[Catalog], "Not Found", 0)</f>
        <v>3</v>
      </c>
      <c r="U793" s="5">
        <f>_xlfn.XLOOKUP(CustomerCombined[[#This Row],[ID]], Table4[ID], Table4[Store], "Not Found", 0)</f>
        <v>6</v>
      </c>
      <c r="V793" s="5">
        <f>_xlfn.XLOOKUP(CustomerCombined[[#This Row],[ID]], Table4[ID], Table4[Visits], "Not Found", 0)</f>
        <v>2</v>
      </c>
      <c r="W793" s="8">
        <f>_xlfn.XLOOKUP(CustomerCombined[[#This Row],[ID]], Table2[ID],Table2[Complaint], "Not Found", 0 )</f>
        <v>0</v>
      </c>
      <c r="X793" s="8">
        <f>_xlfn.XLOOKUP(CustomerCombined[[#This Row],[ID]], Table2[ID],Table2[Pilot], "Not Found", 0 )</f>
        <v>0</v>
      </c>
      <c r="Y793" s="8">
        <f>_xlfn.XLOOKUP(CustomerCombined[[#This Row],[ID]], Table2[ID],Table2[MC1], "Not Found", 0 )</f>
        <v>0</v>
      </c>
      <c r="Z793" s="8">
        <f>_xlfn.XLOOKUP(CustomerCombined[[#This Row],[ID]], Table2[ID],Table2[MC2], "Not Found", 0 )</f>
        <v>0</v>
      </c>
      <c r="AA793" s="8">
        <f>_xlfn.XLOOKUP(CustomerCombined[[#This Row],[ID]], Table2[ID],Table2[MC3], "Not Found", 0 )</f>
        <v>0</v>
      </c>
      <c r="AB793" s="8">
        <f>_xlfn.XLOOKUP(CustomerCombined[[#This Row],[ID]], Table2[ID],Table2[MC4], "Not Found", 0 )</f>
        <v>0</v>
      </c>
      <c r="AC793" s="8">
        <f>_xlfn.XLOOKUP(CustomerCombined[[#This Row],[ID]], Table2[ID],Table2[MC5], "Not Found", 0 )</f>
        <v>1</v>
      </c>
    </row>
    <row r="794" spans="1:29" x14ac:dyDescent="0.3">
      <c r="A794" s="6">
        <v>2784</v>
      </c>
      <c r="B794" s="6">
        <v>163159</v>
      </c>
      <c r="C794" s="6">
        <v>0</v>
      </c>
      <c r="D794" s="6">
        <v>0</v>
      </c>
      <c r="E794" s="6">
        <v>46</v>
      </c>
      <c r="F794" s="5" t="s">
        <v>7</v>
      </c>
      <c r="G794" s="5" t="s">
        <v>13</v>
      </c>
      <c r="H794" s="3">
        <v>43803</v>
      </c>
      <c r="I794" s="5" t="s">
        <v>436</v>
      </c>
      <c r="J794" s="5">
        <f>_xlfn.XLOOKUP(CustomerCombined[[#This Row],[ID]], Table4[ID], Table4[Recency], "Not Found", 0)</f>
        <v>74</v>
      </c>
      <c r="K794" s="5">
        <f>_xlfn.XLOOKUP(CustomerCombined[[#This Row],[ID]], Table4[ID], Table4[Teas], "Not Found", 0)</f>
        <v>2493</v>
      </c>
      <c r="L794" s="5">
        <f>_xlfn.XLOOKUP(CustomerCombined[[#This Row],[ID]], Table4[ID], Table4[Fruits], "Not Found", 0)</f>
        <v>88</v>
      </c>
      <c r="M794" s="5">
        <f>_xlfn.XLOOKUP(CustomerCombined[[#This Row],[ID]], Table4[ID], Table4[Meats], "Not Found", 0)</f>
        <v>1514</v>
      </c>
      <c r="N794" s="5">
        <f>_xlfn.XLOOKUP(CustomerCombined[[#This Row],[ID]], Table4[ID], Table4[Seafood], "Not Found", 0)</f>
        <v>230</v>
      </c>
      <c r="O794" s="5">
        <f>_xlfn.XLOOKUP(CustomerCombined[[#This Row],[ID]], Table4[ID], Table4[Sweets], "Not Found", 0)</f>
        <v>222</v>
      </c>
      <c r="P794" s="5">
        <f>_xlfn.XLOOKUP(CustomerCombined[[#This Row],[ID]], Table4[ID], Table4[Premium], "Not Found", 0)</f>
        <v>96</v>
      </c>
      <c r="Q794" s="5">
        <f>_xlfn.XLOOKUP(CustomerCombined[[#This Row],[ID]], Table4[ID], Table4[Regular], "Not Found", 0)</f>
        <v>4451</v>
      </c>
      <c r="R794" s="5">
        <f>_xlfn.XLOOKUP(CustomerCombined[[#This Row],[ID]], Table4[ID], Table4[Deals], "Not Found", 0)</f>
        <v>1</v>
      </c>
      <c r="S794" s="5">
        <f>_xlfn.XLOOKUP(CustomerCombined[[#This Row],[ID]], Table4[ID], Table4[Website], "Not Found", 0)</f>
        <v>3</v>
      </c>
      <c r="T794" s="5">
        <f>_xlfn.XLOOKUP(CustomerCombined[[#This Row],[ID]], Table4[ID], Table4[Catalog], "Not Found", 0)</f>
        <v>5</v>
      </c>
      <c r="U794" s="5">
        <f>_xlfn.XLOOKUP(CustomerCombined[[#This Row],[ID]], Table4[ID], Table4[Store], "Not Found", 0)</f>
        <v>8</v>
      </c>
      <c r="V794" s="5">
        <f>_xlfn.XLOOKUP(CustomerCombined[[#This Row],[ID]], Table4[ID], Table4[Visits], "Not Found", 0)</f>
        <v>3</v>
      </c>
      <c r="W794" s="8">
        <f>_xlfn.XLOOKUP(CustomerCombined[[#This Row],[ID]], Table2[ID],Table2[Complaint], "Not Found", 0 )</f>
        <v>0</v>
      </c>
      <c r="X794" s="8">
        <f>_xlfn.XLOOKUP(CustomerCombined[[#This Row],[ID]], Table2[ID],Table2[Pilot], "Not Found", 0 )</f>
        <v>0</v>
      </c>
      <c r="Y794" s="8">
        <f>_xlfn.XLOOKUP(CustomerCombined[[#This Row],[ID]], Table2[ID],Table2[MC1], "Not Found", 0 )</f>
        <v>0</v>
      </c>
      <c r="Z794" s="8">
        <f>_xlfn.XLOOKUP(CustomerCombined[[#This Row],[ID]], Table2[ID],Table2[MC2], "Not Found", 0 )</f>
        <v>0</v>
      </c>
      <c r="AA794" s="8">
        <f>_xlfn.XLOOKUP(CustomerCombined[[#This Row],[ID]], Table2[ID],Table2[MC3], "Not Found", 0 )</f>
        <v>1</v>
      </c>
      <c r="AB794" s="8">
        <f>_xlfn.XLOOKUP(CustomerCombined[[#This Row],[ID]], Table2[ID],Table2[MC4], "Not Found", 0 )</f>
        <v>0</v>
      </c>
      <c r="AC794" s="8">
        <f>_xlfn.XLOOKUP(CustomerCombined[[#This Row],[ID]], Table2[ID],Table2[MC5], "Not Found", 0 )</f>
        <v>0</v>
      </c>
    </row>
    <row r="795" spans="1:29" x14ac:dyDescent="0.3">
      <c r="A795" s="6">
        <v>2905</v>
      </c>
      <c r="B795" s="6">
        <v>161917</v>
      </c>
      <c r="C795" s="6">
        <v>1</v>
      </c>
      <c r="D795" s="6">
        <v>1</v>
      </c>
      <c r="E795" s="6">
        <v>46</v>
      </c>
      <c r="F795" s="5" t="s">
        <v>6</v>
      </c>
      <c r="G795" s="5" t="s">
        <v>13</v>
      </c>
      <c r="H795" s="3" t="s">
        <v>145</v>
      </c>
      <c r="I795" s="5" t="s">
        <v>437</v>
      </c>
      <c r="J795" s="5">
        <f>_xlfn.XLOOKUP(CustomerCombined[[#This Row],[ID]], Table4[ID], Table4[Recency], "Not Found", 0)</f>
        <v>83</v>
      </c>
      <c r="K795" s="5">
        <f>_xlfn.XLOOKUP(CustomerCombined[[#This Row],[ID]], Table4[ID], Table4[Teas], "Not Found", 0)</f>
        <v>120</v>
      </c>
      <c r="L795" s="5">
        <f>_xlfn.XLOOKUP(CustomerCombined[[#This Row],[ID]], Table4[ID], Table4[Fruits], "Not Found", 0)</f>
        <v>10</v>
      </c>
      <c r="M795" s="5">
        <f>_xlfn.XLOOKUP(CustomerCombined[[#This Row],[ID]], Table4[ID], Table4[Meats], "Not Found", 0)</f>
        <v>94</v>
      </c>
      <c r="N795" s="5">
        <f>_xlfn.XLOOKUP(CustomerCombined[[#This Row],[ID]], Table4[ID], Table4[Seafood], "Not Found", 0)</f>
        <v>5</v>
      </c>
      <c r="O795" s="5">
        <f>_xlfn.XLOOKUP(CustomerCombined[[#This Row],[ID]], Table4[ID], Table4[Sweets], "Not Found", 0)</f>
        <v>5</v>
      </c>
      <c r="P795" s="5">
        <f>_xlfn.XLOOKUP(CustomerCombined[[#This Row],[ID]], Table4[ID], Table4[Premium], "Not Found", 0)</f>
        <v>3</v>
      </c>
      <c r="Q795" s="5">
        <f>_xlfn.XLOOKUP(CustomerCombined[[#This Row],[ID]], Table4[ID], Table4[Regular], "Not Found", 0)</f>
        <v>233</v>
      </c>
      <c r="R795" s="5">
        <f>_xlfn.XLOOKUP(CustomerCombined[[#This Row],[ID]], Table4[ID], Table4[Deals], "Not Found", 0)</f>
        <v>1</v>
      </c>
      <c r="S795" s="5">
        <f>_xlfn.XLOOKUP(CustomerCombined[[#This Row],[ID]], Table4[ID], Table4[Website], "Not Found", 0)</f>
        <v>2</v>
      </c>
      <c r="T795" s="5">
        <f>_xlfn.XLOOKUP(CustomerCombined[[#This Row],[ID]], Table4[ID], Table4[Catalog], "Not Found", 0)</f>
        <v>0</v>
      </c>
      <c r="U795" s="5">
        <f>_xlfn.XLOOKUP(CustomerCombined[[#This Row],[ID]], Table4[ID], Table4[Store], "Not Found", 0)</f>
        <v>4</v>
      </c>
      <c r="V795" s="5">
        <f>_xlfn.XLOOKUP(CustomerCombined[[#This Row],[ID]], Table4[ID], Table4[Visits], "Not Found", 0)</f>
        <v>5</v>
      </c>
      <c r="W795" s="8">
        <f>_xlfn.XLOOKUP(CustomerCombined[[#This Row],[ID]], Table2[ID],Table2[Complaint], "Not Found", 0 )</f>
        <v>0</v>
      </c>
      <c r="X795" s="8">
        <f>_xlfn.XLOOKUP(CustomerCombined[[#This Row],[ID]], Table2[ID],Table2[Pilot], "Not Found", 0 )</f>
        <v>0</v>
      </c>
      <c r="Y795" s="8">
        <f>_xlfn.XLOOKUP(CustomerCombined[[#This Row],[ID]], Table2[ID],Table2[MC1], "Not Found", 0 )</f>
        <v>0</v>
      </c>
      <c r="Z795" s="8">
        <f>_xlfn.XLOOKUP(CustomerCombined[[#This Row],[ID]], Table2[ID],Table2[MC2], "Not Found", 0 )</f>
        <v>0</v>
      </c>
      <c r="AA795" s="8">
        <f>_xlfn.XLOOKUP(CustomerCombined[[#This Row],[ID]], Table2[ID],Table2[MC3], "Not Found", 0 )</f>
        <v>0</v>
      </c>
      <c r="AB795" s="8">
        <f>_xlfn.XLOOKUP(CustomerCombined[[#This Row],[ID]], Table2[ID],Table2[MC4], "Not Found", 0 )</f>
        <v>0</v>
      </c>
      <c r="AC795" s="8">
        <f>_xlfn.XLOOKUP(CustomerCombined[[#This Row],[ID]], Table2[ID],Table2[MC5], "Not Found", 0 )</f>
        <v>0</v>
      </c>
    </row>
    <row r="796" spans="1:29" x14ac:dyDescent="0.3">
      <c r="A796" s="6">
        <v>1471</v>
      </c>
      <c r="B796" s="6">
        <v>160093</v>
      </c>
      <c r="C796" s="6">
        <v>0</v>
      </c>
      <c r="D796" s="6">
        <v>1</v>
      </c>
      <c r="E796" s="6">
        <v>46</v>
      </c>
      <c r="F796" s="5" t="s">
        <v>6</v>
      </c>
      <c r="G796" s="5" t="s">
        <v>11</v>
      </c>
      <c r="H796" s="3">
        <v>43477</v>
      </c>
      <c r="I796" s="5" t="s">
        <v>437</v>
      </c>
      <c r="J796" s="5">
        <f>_xlfn.XLOOKUP(CustomerCombined[[#This Row],[ID]], Table4[ID], Table4[Recency], "Not Found", 0)</f>
        <v>92</v>
      </c>
      <c r="K796" s="5">
        <f>_xlfn.XLOOKUP(CustomerCombined[[#This Row],[ID]], Table4[ID], Table4[Teas], "Not Found", 0)</f>
        <v>1337</v>
      </c>
      <c r="L796" s="5">
        <f>_xlfn.XLOOKUP(CustomerCombined[[#This Row],[ID]], Table4[ID], Table4[Fruits], "Not Found", 0)</f>
        <v>32</v>
      </c>
      <c r="M796" s="5">
        <f>_xlfn.XLOOKUP(CustomerCombined[[#This Row],[ID]], Table4[ID], Table4[Meats], "Not Found", 0)</f>
        <v>290</v>
      </c>
      <c r="N796" s="5">
        <f>_xlfn.XLOOKUP(CustomerCombined[[#This Row],[ID]], Table4[ID], Table4[Seafood], "Not Found", 0)</f>
        <v>43</v>
      </c>
      <c r="O796" s="5">
        <f>_xlfn.XLOOKUP(CustomerCombined[[#This Row],[ID]], Table4[ID], Table4[Sweets], "Not Found", 0)</f>
        <v>16</v>
      </c>
      <c r="P796" s="5">
        <f>_xlfn.XLOOKUP(CustomerCombined[[#This Row],[ID]], Table4[ID], Table4[Premium], "Not Found", 0)</f>
        <v>240</v>
      </c>
      <c r="Q796" s="5">
        <f>_xlfn.XLOOKUP(CustomerCombined[[#This Row],[ID]], Table4[ID], Table4[Regular], "Not Found", 0)</f>
        <v>1479</v>
      </c>
      <c r="R796" s="5">
        <f>_xlfn.XLOOKUP(CustomerCombined[[#This Row],[ID]], Table4[ID], Table4[Deals], "Not Found", 0)</f>
        <v>2</v>
      </c>
      <c r="S796" s="5">
        <f>_xlfn.XLOOKUP(CustomerCombined[[#This Row],[ID]], Table4[ID], Table4[Website], "Not Found", 0)</f>
        <v>7</v>
      </c>
      <c r="T796" s="5">
        <f>_xlfn.XLOOKUP(CustomerCombined[[#This Row],[ID]], Table4[ID], Table4[Catalog], "Not Found", 0)</f>
        <v>2</v>
      </c>
      <c r="U796" s="5">
        <f>_xlfn.XLOOKUP(CustomerCombined[[#This Row],[ID]], Table4[ID], Table4[Store], "Not Found", 0)</f>
        <v>10</v>
      </c>
      <c r="V796" s="5">
        <f>_xlfn.XLOOKUP(CustomerCombined[[#This Row],[ID]], Table4[ID], Table4[Visits], "Not Found", 0)</f>
        <v>6</v>
      </c>
      <c r="W796" s="8">
        <f>_xlfn.XLOOKUP(CustomerCombined[[#This Row],[ID]], Table2[ID],Table2[Complaint], "Not Found", 0 )</f>
        <v>0</v>
      </c>
      <c r="X796" s="8">
        <f>_xlfn.XLOOKUP(CustomerCombined[[#This Row],[ID]], Table2[ID],Table2[Pilot], "Not Found", 0 )</f>
        <v>0</v>
      </c>
      <c r="Y796" s="8">
        <f>_xlfn.XLOOKUP(CustomerCombined[[#This Row],[ID]], Table2[ID],Table2[MC1], "Not Found", 0 )</f>
        <v>0</v>
      </c>
      <c r="Z796" s="8">
        <f>_xlfn.XLOOKUP(CustomerCombined[[#This Row],[ID]], Table2[ID],Table2[MC2], "Not Found", 0 )</f>
        <v>0</v>
      </c>
      <c r="AA796" s="8">
        <f>_xlfn.XLOOKUP(CustomerCombined[[#This Row],[ID]], Table2[ID],Table2[MC3], "Not Found", 0 )</f>
        <v>0</v>
      </c>
      <c r="AB796" s="8">
        <f>_xlfn.XLOOKUP(CustomerCombined[[#This Row],[ID]], Table2[ID],Table2[MC4], "Not Found", 0 )</f>
        <v>0</v>
      </c>
      <c r="AC796" s="8">
        <f>_xlfn.XLOOKUP(CustomerCombined[[#This Row],[ID]], Table2[ID],Table2[MC5], "Not Found", 0 )</f>
        <v>0</v>
      </c>
    </row>
    <row r="797" spans="1:29" x14ac:dyDescent="0.3">
      <c r="A797" s="6">
        <v>2622</v>
      </c>
      <c r="B797" s="6">
        <v>158494</v>
      </c>
      <c r="C797" s="6">
        <v>0</v>
      </c>
      <c r="D797" s="6">
        <v>1</v>
      </c>
      <c r="E797" s="6">
        <v>46</v>
      </c>
      <c r="F797" s="5" t="s">
        <v>6</v>
      </c>
      <c r="G797" s="5" t="s">
        <v>12</v>
      </c>
      <c r="H797" s="3" t="s">
        <v>136</v>
      </c>
      <c r="I797" s="5" t="s">
        <v>436</v>
      </c>
      <c r="J797" s="5">
        <f>_xlfn.XLOOKUP(CustomerCombined[[#This Row],[ID]], Table4[ID], Table4[Recency], "Not Found", 0)</f>
        <v>56</v>
      </c>
      <c r="K797" s="5">
        <f>_xlfn.XLOOKUP(CustomerCombined[[#This Row],[ID]], Table4[ID], Table4[Teas], "Not Found", 0)</f>
        <v>807</v>
      </c>
      <c r="L797" s="5">
        <f>_xlfn.XLOOKUP(CustomerCombined[[#This Row],[ID]], Table4[ID], Table4[Fruits], "Not Found", 0)</f>
        <v>19</v>
      </c>
      <c r="M797" s="5">
        <f>_xlfn.XLOOKUP(CustomerCombined[[#This Row],[ID]], Table4[ID], Table4[Meats], "Not Found", 0)</f>
        <v>184</v>
      </c>
      <c r="N797" s="5">
        <f>_xlfn.XLOOKUP(CustomerCombined[[#This Row],[ID]], Table4[ID], Table4[Seafood], "Not Found", 0)</f>
        <v>11</v>
      </c>
      <c r="O797" s="5">
        <f>_xlfn.XLOOKUP(CustomerCombined[[#This Row],[ID]], Table4[ID], Table4[Sweets], "Not Found", 0)</f>
        <v>0</v>
      </c>
      <c r="P797" s="5">
        <f>_xlfn.XLOOKUP(CustomerCombined[[#This Row],[ID]], Table4[ID], Table4[Premium], "Not Found", 0)</f>
        <v>51</v>
      </c>
      <c r="Q797" s="5">
        <f>_xlfn.XLOOKUP(CustomerCombined[[#This Row],[ID]], Table4[ID], Table4[Regular], "Not Found", 0)</f>
        <v>970</v>
      </c>
      <c r="R797" s="5">
        <f>_xlfn.XLOOKUP(CustomerCombined[[#This Row],[ID]], Table4[ID], Table4[Deals], "Not Found", 0)</f>
        <v>2</v>
      </c>
      <c r="S797" s="5">
        <f>_xlfn.XLOOKUP(CustomerCombined[[#This Row],[ID]], Table4[ID], Table4[Website], "Not Found", 0)</f>
        <v>6</v>
      </c>
      <c r="T797" s="5">
        <f>_xlfn.XLOOKUP(CustomerCombined[[#This Row],[ID]], Table4[ID], Table4[Catalog], "Not Found", 0)</f>
        <v>2</v>
      </c>
      <c r="U797" s="5">
        <f>_xlfn.XLOOKUP(CustomerCombined[[#This Row],[ID]], Table4[ID], Table4[Store], "Not Found", 0)</f>
        <v>6</v>
      </c>
      <c r="V797" s="5">
        <f>_xlfn.XLOOKUP(CustomerCombined[[#This Row],[ID]], Table4[ID], Table4[Visits], "Not Found", 0)</f>
        <v>6</v>
      </c>
      <c r="W797" s="8">
        <f>_xlfn.XLOOKUP(CustomerCombined[[#This Row],[ID]], Table2[ID],Table2[Complaint], "Not Found", 0 )</f>
        <v>0</v>
      </c>
      <c r="X797" s="8">
        <f>_xlfn.XLOOKUP(CustomerCombined[[#This Row],[ID]], Table2[ID],Table2[Pilot], "Not Found", 0 )</f>
        <v>0</v>
      </c>
      <c r="Y797" s="8">
        <f>_xlfn.XLOOKUP(CustomerCombined[[#This Row],[ID]], Table2[ID],Table2[MC1], "Not Found", 0 )</f>
        <v>0</v>
      </c>
      <c r="Z797" s="8">
        <f>_xlfn.XLOOKUP(CustomerCombined[[#This Row],[ID]], Table2[ID],Table2[MC2], "Not Found", 0 )</f>
        <v>0</v>
      </c>
      <c r="AA797" s="8">
        <f>_xlfn.XLOOKUP(CustomerCombined[[#This Row],[ID]], Table2[ID],Table2[MC3], "Not Found", 0 )</f>
        <v>0</v>
      </c>
      <c r="AB797" s="8">
        <f>_xlfn.XLOOKUP(CustomerCombined[[#This Row],[ID]], Table2[ID],Table2[MC4], "Not Found", 0 )</f>
        <v>0</v>
      </c>
      <c r="AC797" s="8">
        <f>_xlfn.XLOOKUP(CustomerCombined[[#This Row],[ID]], Table2[ID],Table2[MC5], "Not Found", 0 )</f>
        <v>0</v>
      </c>
    </row>
    <row r="798" spans="1:29" x14ac:dyDescent="0.3">
      <c r="A798" s="6">
        <v>2138</v>
      </c>
      <c r="B798" s="6">
        <v>156715</v>
      </c>
      <c r="C798" s="6">
        <v>0</v>
      </c>
      <c r="D798" s="6">
        <v>0</v>
      </c>
      <c r="E798" s="6">
        <v>46</v>
      </c>
      <c r="F798" s="5" t="s">
        <v>8</v>
      </c>
      <c r="G798" s="5" t="s">
        <v>11</v>
      </c>
      <c r="H798" s="3">
        <v>43804</v>
      </c>
      <c r="I798" s="5" t="s">
        <v>438</v>
      </c>
      <c r="J798" s="5">
        <f>_xlfn.XLOOKUP(CustomerCombined[[#This Row],[ID]], Table4[ID], Table4[Recency], "Not Found", 0)</f>
        <v>52</v>
      </c>
      <c r="K798" s="5">
        <f>_xlfn.XLOOKUP(CustomerCombined[[#This Row],[ID]], Table4[ID], Table4[Teas], "Not Found", 0)</f>
        <v>713</v>
      </c>
      <c r="L798" s="5">
        <f>_xlfn.XLOOKUP(CustomerCombined[[#This Row],[ID]], Table4[ID], Table4[Fruits], "Not Found", 0)</f>
        <v>290</v>
      </c>
      <c r="M798" s="5">
        <f>_xlfn.XLOOKUP(CustomerCombined[[#This Row],[ID]], Table4[ID], Table4[Meats], "Not Found", 0)</f>
        <v>660</v>
      </c>
      <c r="N798" s="5">
        <f>_xlfn.XLOOKUP(CustomerCombined[[#This Row],[ID]], Table4[ID], Table4[Seafood], "Not Found", 0)</f>
        <v>655</v>
      </c>
      <c r="O798" s="5">
        <f>_xlfn.XLOOKUP(CustomerCombined[[#This Row],[ID]], Table4[ID], Table4[Sweets], "Not Found", 0)</f>
        <v>475</v>
      </c>
      <c r="P798" s="5">
        <f>_xlfn.XLOOKUP(CustomerCombined[[#This Row],[ID]], Table4[ID], Table4[Premium], "Not Found", 0)</f>
        <v>25</v>
      </c>
      <c r="Q798" s="5">
        <f>_xlfn.XLOOKUP(CustomerCombined[[#This Row],[ID]], Table4[ID], Table4[Regular], "Not Found", 0)</f>
        <v>2769</v>
      </c>
      <c r="R798" s="5">
        <f>_xlfn.XLOOKUP(CustomerCombined[[#This Row],[ID]], Table4[ID], Table4[Deals], "Not Found", 0)</f>
        <v>1</v>
      </c>
      <c r="S798" s="5">
        <f>_xlfn.XLOOKUP(CustomerCombined[[#This Row],[ID]], Table4[ID], Table4[Website], "Not Found", 0)</f>
        <v>7</v>
      </c>
      <c r="T798" s="5">
        <f>_xlfn.XLOOKUP(CustomerCombined[[#This Row],[ID]], Table4[ID], Table4[Catalog], "Not Found", 0)</f>
        <v>3</v>
      </c>
      <c r="U798" s="5">
        <f>_xlfn.XLOOKUP(CustomerCombined[[#This Row],[ID]], Table4[ID], Table4[Store], "Not Found", 0)</f>
        <v>4</v>
      </c>
      <c r="V798" s="5">
        <f>_xlfn.XLOOKUP(CustomerCombined[[#This Row],[ID]], Table4[ID], Table4[Visits], "Not Found", 0)</f>
        <v>4</v>
      </c>
      <c r="W798" s="8">
        <f>_xlfn.XLOOKUP(CustomerCombined[[#This Row],[ID]], Table2[ID],Table2[Complaint], "Not Found", 0 )</f>
        <v>0</v>
      </c>
      <c r="X798" s="8">
        <f>_xlfn.XLOOKUP(CustomerCombined[[#This Row],[ID]], Table2[ID],Table2[Pilot], "Not Found", 0 )</f>
        <v>0</v>
      </c>
      <c r="Y798" s="8">
        <f>_xlfn.XLOOKUP(CustomerCombined[[#This Row],[ID]], Table2[ID],Table2[MC1], "Not Found", 0 )</f>
        <v>0</v>
      </c>
      <c r="Z798" s="8">
        <f>_xlfn.XLOOKUP(CustomerCombined[[#This Row],[ID]], Table2[ID],Table2[MC2], "Not Found", 0 )</f>
        <v>0</v>
      </c>
      <c r="AA798" s="8">
        <f>_xlfn.XLOOKUP(CustomerCombined[[#This Row],[ID]], Table2[ID],Table2[MC3], "Not Found", 0 )</f>
        <v>0</v>
      </c>
      <c r="AB798" s="8">
        <f>_xlfn.XLOOKUP(CustomerCombined[[#This Row],[ID]], Table2[ID],Table2[MC4], "Not Found", 0 )</f>
        <v>0</v>
      </c>
      <c r="AC798" s="8">
        <f>_xlfn.XLOOKUP(CustomerCombined[[#This Row],[ID]], Table2[ID],Table2[MC5], "Not Found", 0 )</f>
        <v>0</v>
      </c>
    </row>
    <row r="799" spans="1:29" x14ac:dyDescent="0.3">
      <c r="A799" s="6">
        <v>3059</v>
      </c>
      <c r="B799" s="6">
        <v>153367</v>
      </c>
      <c r="C799" s="6">
        <v>1</v>
      </c>
      <c r="D799" s="6">
        <v>1</v>
      </c>
      <c r="E799" s="6">
        <v>46</v>
      </c>
      <c r="F799" s="5" t="s">
        <v>5</v>
      </c>
      <c r="G799" s="5" t="s">
        <v>12</v>
      </c>
      <c r="H799" s="3">
        <v>43953</v>
      </c>
      <c r="I799" s="5" t="s">
        <v>434</v>
      </c>
      <c r="J799" s="5">
        <f>_xlfn.XLOOKUP(CustomerCombined[[#This Row],[ID]], Table4[ID], Table4[Recency], "Not Found", 0)</f>
        <v>2</v>
      </c>
      <c r="K799" s="5">
        <f>_xlfn.XLOOKUP(CustomerCombined[[#This Row],[ID]], Table4[ID], Table4[Teas], "Not Found", 0)</f>
        <v>658</v>
      </c>
      <c r="L799" s="5">
        <f>_xlfn.XLOOKUP(CustomerCombined[[#This Row],[ID]], Table4[ID], Table4[Fruits], "Not Found", 0)</f>
        <v>20</v>
      </c>
      <c r="M799" s="5">
        <f>_xlfn.XLOOKUP(CustomerCombined[[#This Row],[ID]], Table4[ID], Table4[Meats], "Not Found", 0)</f>
        <v>402</v>
      </c>
      <c r="N799" s="5">
        <f>_xlfn.XLOOKUP(CustomerCombined[[#This Row],[ID]], Table4[ID], Table4[Seafood], "Not Found", 0)</f>
        <v>29</v>
      </c>
      <c r="O799" s="5">
        <f>_xlfn.XLOOKUP(CustomerCombined[[#This Row],[ID]], Table4[ID], Table4[Sweets], "Not Found", 0)</f>
        <v>9</v>
      </c>
      <c r="P799" s="5">
        <f>_xlfn.XLOOKUP(CustomerCombined[[#This Row],[ID]], Table4[ID], Table4[Premium], "Not Found", 0)</f>
        <v>32</v>
      </c>
      <c r="Q799" s="5">
        <f>_xlfn.XLOOKUP(CustomerCombined[[#This Row],[ID]], Table4[ID], Table4[Regular], "Not Found", 0)</f>
        <v>1086</v>
      </c>
      <c r="R799" s="5">
        <f>_xlfn.XLOOKUP(CustomerCombined[[#This Row],[ID]], Table4[ID], Table4[Deals], "Not Found", 0)</f>
        <v>7</v>
      </c>
      <c r="S799" s="5">
        <f>_xlfn.XLOOKUP(CustomerCombined[[#This Row],[ID]], Table4[ID], Table4[Website], "Not Found", 0)</f>
        <v>5</v>
      </c>
      <c r="T799" s="5">
        <f>_xlfn.XLOOKUP(CustomerCombined[[#This Row],[ID]], Table4[ID], Table4[Catalog], "Not Found", 0)</f>
        <v>1</v>
      </c>
      <c r="U799" s="5">
        <f>_xlfn.XLOOKUP(CustomerCombined[[#This Row],[ID]], Table4[ID], Table4[Store], "Not Found", 0)</f>
        <v>8</v>
      </c>
      <c r="V799" s="5">
        <f>_xlfn.XLOOKUP(CustomerCombined[[#This Row],[ID]], Table4[ID], Table4[Visits], "Not Found", 0)</f>
        <v>7</v>
      </c>
      <c r="W799" s="8">
        <f>_xlfn.XLOOKUP(CustomerCombined[[#This Row],[ID]], Table2[ID],Table2[Complaint], "Not Found", 0 )</f>
        <v>0</v>
      </c>
      <c r="X799" s="8">
        <f>_xlfn.XLOOKUP(CustomerCombined[[#This Row],[ID]], Table2[ID],Table2[Pilot], "Not Found", 0 )</f>
        <v>1</v>
      </c>
      <c r="Y799" s="8">
        <f>_xlfn.XLOOKUP(CustomerCombined[[#This Row],[ID]], Table2[ID],Table2[MC1], "Not Found", 0 )</f>
        <v>0</v>
      </c>
      <c r="Z799" s="8">
        <f>_xlfn.XLOOKUP(CustomerCombined[[#This Row],[ID]], Table2[ID],Table2[MC2], "Not Found", 0 )</f>
        <v>0</v>
      </c>
      <c r="AA799" s="8">
        <f>_xlfn.XLOOKUP(CustomerCombined[[#This Row],[ID]], Table2[ID],Table2[MC3], "Not Found", 0 )</f>
        <v>0</v>
      </c>
      <c r="AB799" s="8">
        <f>_xlfn.XLOOKUP(CustomerCombined[[#This Row],[ID]], Table2[ID],Table2[MC4], "Not Found", 0 )</f>
        <v>0</v>
      </c>
      <c r="AC799" s="8">
        <f>_xlfn.XLOOKUP(CustomerCombined[[#This Row],[ID]], Table2[ID],Table2[MC5], "Not Found", 0 )</f>
        <v>0</v>
      </c>
    </row>
    <row r="800" spans="1:29" x14ac:dyDescent="0.3">
      <c r="A800" s="6">
        <v>2342</v>
      </c>
      <c r="B800" s="6">
        <v>153034</v>
      </c>
      <c r="C800" s="6">
        <v>1</v>
      </c>
      <c r="D800" s="6">
        <v>1</v>
      </c>
      <c r="E800" s="6">
        <v>46</v>
      </c>
      <c r="F800" s="5" t="s">
        <v>5</v>
      </c>
      <c r="G800" s="5" t="s">
        <v>11</v>
      </c>
      <c r="H800" s="3">
        <v>43566</v>
      </c>
      <c r="I800" s="5" t="s">
        <v>438</v>
      </c>
      <c r="J800" s="5">
        <f>_xlfn.XLOOKUP(CustomerCombined[[#This Row],[ID]], Table4[ID], Table4[Recency], "Not Found", 0)</f>
        <v>30</v>
      </c>
      <c r="K800" s="5">
        <f>_xlfn.XLOOKUP(CustomerCombined[[#This Row],[ID]], Table4[ID], Table4[Teas], "Not Found", 0)</f>
        <v>462</v>
      </c>
      <c r="L800" s="5">
        <f>_xlfn.XLOOKUP(CustomerCombined[[#This Row],[ID]], Table4[ID], Table4[Fruits], "Not Found", 0)</f>
        <v>43</v>
      </c>
      <c r="M800" s="5">
        <f>_xlfn.XLOOKUP(CustomerCombined[[#This Row],[ID]], Table4[ID], Table4[Meats], "Not Found", 0)</f>
        <v>566</v>
      </c>
      <c r="N800" s="5">
        <f>_xlfn.XLOOKUP(CustomerCombined[[#This Row],[ID]], Table4[ID], Table4[Seafood], "Not Found", 0)</f>
        <v>43</v>
      </c>
      <c r="O800" s="5">
        <f>_xlfn.XLOOKUP(CustomerCombined[[#This Row],[ID]], Table4[ID], Table4[Sweets], "Not Found", 0)</f>
        <v>32</v>
      </c>
      <c r="P800" s="5">
        <f>_xlfn.XLOOKUP(CustomerCombined[[#This Row],[ID]], Table4[ID], Table4[Premium], "Not Found", 0)</f>
        <v>144</v>
      </c>
      <c r="Q800" s="5">
        <f>_xlfn.XLOOKUP(CustomerCombined[[#This Row],[ID]], Table4[ID], Table4[Regular], "Not Found", 0)</f>
        <v>1001</v>
      </c>
      <c r="R800" s="5">
        <f>_xlfn.XLOOKUP(CustomerCombined[[#This Row],[ID]], Table4[ID], Table4[Deals], "Not Found", 0)</f>
        <v>8</v>
      </c>
      <c r="S800" s="5">
        <f>_xlfn.XLOOKUP(CustomerCombined[[#This Row],[ID]], Table4[ID], Table4[Website], "Not Found", 0)</f>
        <v>6</v>
      </c>
      <c r="T800" s="5">
        <f>_xlfn.XLOOKUP(CustomerCombined[[#This Row],[ID]], Table4[ID], Table4[Catalog], "Not Found", 0)</f>
        <v>1</v>
      </c>
      <c r="U800" s="5">
        <f>_xlfn.XLOOKUP(CustomerCombined[[#This Row],[ID]], Table4[ID], Table4[Store], "Not Found", 0)</f>
        <v>7</v>
      </c>
      <c r="V800" s="5">
        <f>_xlfn.XLOOKUP(CustomerCombined[[#This Row],[ID]], Table4[ID], Table4[Visits], "Not Found", 0)</f>
        <v>8</v>
      </c>
      <c r="W800" s="8">
        <f>_xlfn.XLOOKUP(CustomerCombined[[#This Row],[ID]], Table2[ID],Table2[Complaint], "Not Found", 0 )</f>
        <v>0</v>
      </c>
      <c r="X800" s="8">
        <f>_xlfn.XLOOKUP(CustomerCombined[[#This Row],[ID]], Table2[ID],Table2[Pilot], "Not Found", 0 )</f>
        <v>0</v>
      </c>
      <c r="Y800" s="8">
        <f>_xlfn.XLOOKUP(CustomerCombined[[#This Row],[ID]], Table2[ID],Table2[MC1], "Not Found", 0 )</f>
        <v>0</v>
      </c>
      <c r="Z800" s="8">
        <f>_xlfn.XLOOKUP(CustomerCombined[[#This Row],[ID]], Table2[ID],Table2[MC2], "Not Found", 0 )</f>
        <v>0</v>
      </c>
      <c r="AA800" s="8">
        <f>_xlfn.XLOOKUP(CustomerCombined[[#This Row],[ID]], Table2[ID],Table2[MC3], "Not Found", 0 )</f>
        <v>0</v>
      </c>
      <c r="AB800" s="8">
        <f>_xlfn.XLOOKUP(CustomerCombined[[#This Row],[ID]], Table2[ID],Table2[MC4], "Not Found", 0 )</f>
        <v>0</v>
      </c>
      <c r="AC800" s="8">
        <f>_xlfn.XLOOKUP(CustomerCombined[[#This Row],[ID]], Table2[ID],Table2[MC5], "Not Found", 0 )</f>
        <v>0</v>
      </c>
    </row>
    <row r="801" spans="1:29" x14ac:dyDescent="0.3">
      <c r="A801" s="6">
        <v>2116</v>
      </c>
      <c r="B801" s="6">
        <v>149669</v>
      </c>
      <c r="C801" s="6">
        <v>1</v>
      </c>
      <c r="D801" s="6">
        <v>0</v>
      </c>
      <c r="E801" s="6">
        <v>46</v>
      </c>
      <c r="F801" s="5" t="s">
        <v>8</v>
      </c>
      <c r="G801" s="5" t="s">
        <v>442</v>
      </c>
      <c r="H801" s="3" t="s">
        <v>43</v>
      </c>
      <c r="I801" s="5" t="s">
        <v>439</v>
      </c>
      <c r="J801" s="5">
        <f>_xlfn.XLOOKUP(CustomerCombined[[#This Row],[ID]], Table4[ID], Table4[Recency], "Not Found", 0)</f>
        <v>97</v>
      </c>
      <c r="K801" s="5">
        <f>_xlfn.XLOOKUP(CustomerCombined[[#This Row],[ID]], Table4[ID], Table4[Teas], "Not Found", 0)</f>
        <v>500</v>
      </c>
      <c r="L801" s="5">
        <f>_xlfn.XLOOKUP(CustomerCombined[[#This Row],[ID]], Table4[ID], Table4[Fruits], "Not Found", 0)</f>
        <v>15</v>
      </c>
      <c r="M801" s="5">
        <f>_xlfn.XLOOKUP(CustomerCombined[[#This Row],[ID]], Table4[ID], Table4[Meats], "Not Found", 0)</f>
        <v>322</v>
      </c>
      <c r="N801" s="5">
        <f>_xlfn.XLOOKUP(CustomerCombined[[#This Row],[ID]], Table4[ID], Table4[Seafood], "Not Found", 0)</f>
        <v>33</v>
      </c>
      <c r="O801" s="5">
        <f>_xlfn.XLOOKUP(CustomerCombined[[#This Row],[ID]], Table4[ID], Table4[Sweets], "Not Found", 0)</f>
        <v>24</v>
      </c>
      <c r="P801" s="5">
        <f>_xlfn.XLOOKUP(CustomerCombined[[#This Row],[ID]], Table4[ID], Table4[Premium], "Not Found", 0)</f>
        <v>87</v>
      </c>
      <c r="Q801" s="5">
        <f>_xlfn.XLOOKUP(CustomerCombined[[#This Row],[ID]], Table4[ID], Table4[Regular], "Not Found", 0)</f>
        <v>808</v>
      </c>
      <c r="R801" s="5">
        <f>_xlfn.XLOOKUP(CustomerCombined[[#This Row],[ID]], Table4[ID], Table4[Deals], "Not Found", 0)</f>
        <v>2</v>
      </c>
      <c r="S801" s="5">
        <f>_xlfn.XLOOKUP(CustomerCombined[[#This Row],[ID]], Table4[ID], Table4[Website], "Not Found", 0)</f>
        <v>5</v>
      </c>
      <c r="T801" s="5">
        <f>_xlfn.XLOOKUP(CustomerCombined[[#This Row],[ID]], Table4[ID], Table4[Catalog], "Not Found", 0)</f>
        <v>1</v>
      </c>
      <c r="U801" s="5">
        <f>_xlfn.XLOOKUP(CustomerCombined[[#This Row],[ID]], Table4[ID], Table4[Store], "Not Found", 0)</f>
        <v>6</v>
      </c>
      <c r="V801" s="5">
        <f>_xlfn.XLOOKUP(CustomerCombined[[#This Row],[ID]], Table4[ID], Table4[Visits], "Not Found", 0)</f>
        <v>6</v>
      </c>
      <c r="W801" s="8">
        <f>_xlfn.XLOOKUP(CustomerCombined[[#This Row],[ID]], Table2[ID],Table2[Complaint], "Not Found", 0 )</f>
        <v>0</v>
      </c>
      <c r="X801" s="8">
        <f>_xlfn.XLOOKUP(CustomerCombined[[#This Row],[ID]], Table2[ID],Table2[Pilot], "Not Found", 0 )</f>
        <v>0</v>
      </c>
      <c r="Y801" s="8">
        <f>_xlfn.XLOOKUP(CustomerCombined[[#This Row],[ID]], Table2[ID],Table2[MC1], "Not Found", 0 )</f>
        <v>0</v>
      </c>
      <c r="Z801" s="8">
        <f>_xlfn.XLOOKUP(CustomerCombined[[#This Row],[ID]], Table2[ID],Table2[MC2], "Not Found", 0 )</f>
        <v>0</v>
      </c>
      <c r="AA801" s="8">
        <f>_xlfn.XLOOKUP(CustomerCombined[[#This Row],[ID]], Table2[ID],Table2[MC3], "Not Found", 0 )</f>
        <v>0</v>
      </c>
      <c r="AB801" s="8">
        <f>_xlfn.XLOOKUP(CustomerCombined[[#This Row],[ID]], Table2[ID],Table2[MC4], "Not Found", 0 )</f>
        <v>0</v>
      </c>
      <c r="AC801" s="8">
        <f>_xlfn.XLOOKUP(CustomerCombined[[#This Row],[ID]], Table2[ID],Table2[MC5], "Not Found", 0 )</f>
        <v>0</v>
      </c>
    </row>
    <row r="802" spans="1:29" x14ac:dyDescent="0.3">
      <c r="A802" s="6">
        <v>1831</v>
      </c>
      <c r="B802" s="6">
        <v>149166</v>
      </c>
      <c r="C802" s="6">
        <v>0</v>
      </c>
      <c r="D802" s="6">
        <v>1</v>
      </c>
      <c r="E802" s="6">
        <v>46</v>
      </c>
      <c r="F802" s="5" t="s">
        <v>7</v>
      </c>
      <c r="G802" s="5" t="s">
        <v>11</v>
      </c>
      <c r="H802" s="3" t="s">
        <v>239</v>
      </c>
      <c r="I802" s="5" t="s">
        <v>437</v>
      </c>
      <c r="J802" s="5">
        <f>_xlfn.XLOOKUP(CustomerCombined[[#This Row],[ID]], Table4[ID], Table4[Recency], "Not Found", 0)</f>
        <v>17</v>
      </c>
      <c r="K802" s="5">
        <f>_xlfn.XLOOKUP(CustomerCombined[[#This Row],[ID]], Table4[ID], Table4[Teas], "Not Found", 0)</f>
        <v>680</v>
      </c>
      <c r="L802" s="5">
        <f>_xlfn.XLOOKUP(CustomerCombined[[#This Row],[ID]], Table4[ID], Table4[Fruits], "Not Found", 0)</f>
        <v>6</v>
      </c>
      <c r="M802" s="5">
        <f>_xlfn.XLOOKUP(CustomerCombined[[#This Row],[ID]], Table4[ID], Table4[Meats], "Not Found", 0)</f>
        <v>76</v>
      </c>
      <c r="N802" s="5">
        <f>_xlfn.XLOOKUP(CustomerCombined[[#This Row],[ID]], Table4[ID], Table4[Seafood], "Not Found", 0)</f>
        <v>21</v>
      </c>
      <c r="O802" s="5">
        <f>_xlfn.XLOOKUP(CustomerCombined[[#This Row],[ID]], Table4[ID], Table4[Sweets], "Not Found", 0)</f>
        <v>0</v>
      </c>
      <c r="P802" s="5">
        <f>_xlfn.XLOOKUP(CustomerCombined[[#This Row],[ID]], Table4[ID], Table4[Premium], "Not Found", 0)</f>
        <v>334</v>
      </c>
      <c r="Q802" s="5">
        <f>_xlfn.XLOOKUP(CustomerCombined[[#This Row],[ID]], Table4[ID], Table4[Regular], "Not Found", 0)</f>
        <v>449</v>
      </c>
      <c r="R802" s="5">
        <f>_xlfn.XLOOKUP(CustomerCombined[[#This Row],[ID]], Table4[ID], Table4[Deals], "Not Found", 0)</f>
        <v>2</v>
      </c>
      <c r="S802" s="5">
        <f>_xlfn.XLOOKUP(CustomerCombined[[#This Row],[ID]], Table4[ID], Table4[Website], "Not Found", 0)</f>
        <v>5</v>
      </c>
      <c r="T802" s="5">
        <f>_xlfn.XLOOKUP(CustomerCombined[[#This Row],[ID]], Table4[ID], Table4[Catalog], "Not Found", 0)</f>
        <v>3</v>
      </c>
      <c r="U802" s="5">
        <f>_xlfn.XLOOKUP(CustomerCombined[[#This Row],[ID]], Table4[ID], Table4[Store], "Not Found", 0)</f>
        <v>3</v>
      </c>
      <c r="V802" s="5">
        <f>_xlfn.XLOOKUP(CustomerCombined[[#This Row],[ID]], Table4[ID], Table4[Visits], "Not Found", 0)</f>
        <v>6</v>
      </c>
      <c r="W802" s="8">
        <f>_xlfn.XLOOKUP(CustomerCombined[[#This Row],[ID]], Table2[ID],Table2[Complaint], "Not Found", 0 )</f>
        <v>0</v>
      </c>
      <c r="X802" s="8">
        <f>_xlfn.XLOOKUP(CustomerCombined[[#This Row],[ID]], Table2[ID],Table2[Pilot], "Not Found", 0 )</f>
        <v>0</v>
      </c>
      <c r="Y802" s="8">
        <f>_xlfn.XLOOKUP(CustomerCombined[[#This Row],[ID]], Table2[ID],Table2[MC1], "Not Found", 0 )</f>
        <v>0</v>
      </c>
      <c r="Z802" s="8">
        <f>_xlfn.XLOOKUP(CustomerCombined[[#This Row],[ID]], Table2[ID],Table2[MC2], "Not Found", 0 )</f>
        <v>0</v>
      </c>
      <c r="AA802" s="8">
        <f>_xlfn.XLOOKUP(CustomerCombined[[#This Row],[ID]], Table2[ID],Table2[MC3], "Not Found", 0 )</f>
        <v>0</v>
      </c>
      <c r="AB802" s="8">
        <f>_xlfn.XLOOKUP(CustomerCombined[[#This Row],[ID]], Table2[ID],Table2[MC4], "Not Found", 0 )</f>
        <v>0</v>
      </c>
      <c r="AC802" s="8">
        <f>_xlfn.XLOOKUP(CustomerCombined[[#This Row],[ID]], Table2[ID],Table2[MC5], "Not Found", 0 )</f>
        <v>0</v>
      </c>
    </row>
    <row r="803" spans="1:29" x14ac:dyDescent="0.3">
      <c r="A803" s="6">
        <v>2808</v>
      </c>
      <c r="B803" s="6">
        <v>148186</v>
      </c>
      <c r="C803" s="6">
        <v>1</v>
      </c>
      <c r="D803" s="6">
        <v>0</v>
      </c>
      <c r="E803" s="6">
        <v>46</v>
      </c>
      <c r="F803" s="5" t="s">
        <v>8</v>
      </c>
      <c r="G803" s="5" t="s">
        <v>11</v>
      </c>
      <c r="H803" s="3" t="s">
        <v>81</v>
      </c>
      <c r="I803" s="5" t="s">
        <v>436</v>
      </c>
      <c r="J803" s="5">
        <f>_xlfn.XLOOKUP(CustomerCombined[[#This Row],[ID]], Table4[ID], Table4[Recency], "Not Found", 0)</f>
        <v>39</v>
      </c>
      <c r="K803" s="5">
        <f>_xlfn.XLOOKUP(CustomerCombined[[#This Row],[ID]], Table4[ID], Table4[Teas], "Not Found", 0)</f>
        <v>298</v>
      </c>
      <c r="L803" s="5">
        <f>_xlfn.XLOOKUP(CustomerCombined[[#This Row],[ID]], Table4[ID], Table4[Fruits], "Not Found", 0)</f>
        <v>9</v>
      </c>
      <c r="M803" s="5">
        <f>_xlfn.XLOOKUP(CustomerCombined[[#This Row],[ID]], Table4[ID], Table4[Meats], "Not Found", 0)</f>
        <v>203</v>
      </c>
      <c r="N803" s="5">
        <f>_xlfn.XLOOKUP(CustomerCombined[[#This Row],[ID]], Table4[ID], Table4[Seafood], "Not Found", 0)</f>
        <v>37</v>
      </c>
      <c r="O803" s="5">
        <f>_xlfn.XLOOKUP(CustomerCombined[[#This Row],[ID]], Table4[ID], Table4[Sweets], "Not Found", 0)</f>
        <v>22</v>
      </c>
      <c r="P803" s="5">
        <f>_xlfn.XLOOKUP(CustomerCombined[[#This Row],[ID]], Table4[ID], Table4[Premium], "Not Found", 0)</f>
        <v>105</v>
      </c>
      <c r="Q803" s="5">
        <f>_xlfn.XLOOKUP(CustomerCombined[[#This Row],[ID]], Table4[ID], Table4[Regular], "Not Found", 0)</f>
        <v>464</v>
      </c>
      <c r="R803" s="5">
        <f>_xlfn.XLOOKUP(CustomerCombined[[#This Row],[ID]], Table4[ID], Table4[Deals], "Not Found", 0)</f>
        <v>3</v>
      </c>
      <c r="S803" s="5">
        <f>_xlfn.XLOOKUP(CustomerCombined[[#This Row],[ID]], Table4[ID], Table4[Website], "Not Found", 0)</f>
        <v>4</v>
      </c>
      <c r="T803" s="5">
        <f>_xlfn.XLOOKUP(CustomerCombined[[#This Row],[ID]], Table4[ID], Table4[Catalog], "Not Found", 0)</f>
        <v>1</v>
      </c>
      <c r="U803" s="5">
        <f>_xlfn.XLOOKUP(CustomerCombined[[#This Row],[ID]], Table4[ID], Table4[Store], "Not Found", 0)</f>
        <v>4</v>
      </c>
      <c r="V803" s="5">
        <f>_xlfn.XLOOKUP(CustomerCombined[[#This Row],[ID]], Table4[ID], Table4[Visits], "Not Found", 0)</f>
        <v>7</v>
      </c>
      <c r="W803" s="8">
        <f>_xlfn.XLOOKUP(CustomerCombined[[#This Row],[ID]], Table2[ID],Table2[Complaint], "Not Found", 0 )</f>
        <v>0</v>
      </c>
      <c r="X803" s="8">
        <f>_xlfn.XLOOKUP(CustomerCombined[[#This Row],[ID]], Table2[ID],Table2[Pilot], "Not Found", 0 )</f>
        <v>0</v>
      </c>
      <c r="Y803" s="8">
        <f>_xlfn.XLOOKUP(CustomerCombined[[#This Row],[ID]], Table2[ID],Table2[MC1], "Not Found", 0 )</f>
        <v>0</v>
      </c>
      <c r="Z803" s="8">
        <f>_xlfn.XLOOKUP(CustomerCombined[[#This Row],[ID]], Table2[ID],Table2[MC2], "Not Found", 0 )</f>
        <v>0</v>
      </c>
      <c r="AA803" s="8">
        <f>_xlfn.XLOOKUP(CustomerCombined[[#This Row],[ID]], Table2[ID],Table2[MC3], "Not Found", 0 )</f>
        <v>0</v>
      </c>
      <c r="AB803" s="8">
        <f>_xlfn.XLOOKUP(CustomerCombined[[#This Row],[ID]], Table2[ID],Table2[MC4], "Not Found", 0 )</f>
        <v>0</v>
      </c>
      <c r="AC803" s="8">
        <f>_xlfn.XLOOKUP(CustomerCombined[[#This Row],[ID]], Table2[ID],Table2[MC5], "Not Found", 0 )</f>
        <v>0</v>
      </c>
    </row>
    <row r="804" spans="1:29" x14ac:dyDescent="0.3">
      <c r="A804" s="6">
        <v>1889</v>
      </c>
      <c r="B804" s="6">
        <v>147889</v>
      </c>
      <c r="C804" s="6">
        <v>1</v>
      </c>
      <c r="D804" s="6">
        <v>0</v>
      </c>
      <c r="E804" s="6">
        <v>46</v>
      </c>
      <c r="F804" s="5" t="s">
        <v>8</v>
      </c>
      <c r="G804" s="5" t="s">
        <v>11</v>
      </c>
      <c r="H804" s="3">
        <v>44110</v>
      </c>
      <c r="I804" s="5" t="s">
        <v>434</v>
      </c>
      <c r="J804" s="5">
        <f>_xlfn.XLOOKUP(CustomerCombined[[#This Row],[ID]], Table4[ID], Table4[Recency], "Not Found", 0)</f>
        <v>94</v>
      </c>
      <c r="K804" s="5">
        <f>_xlfn.XLOOKUP(CustomerCombined[[#This Row],[ID]], Table4[ID], Table4[Teas], "Not Found", 0)</f>
        <v>90</v>
      </c>
      <c r="L804" s="5">
        <f>_xlfn.XLOOKUP(CustomerCombined[[#This Row],[ID]], Table4[ID], Table4[Fruits], "Not Found", 0)</f>
        <v>0</v>
      </c>
      <c r="M804" s="5">
        <f>_xlfn.XLOOKUP(CustomerCombined[[#This Row],[ID]], Table4[ID], Table4[Meats], "Not Found", 0)</f>
        <v>90</v>
      </c>
      <c r="N804" s="5">
        <f>_xlfn.XLOOKUP(CustomerCombined[[#This Row],[ID]], Table4[ID], Table4[Seafood], "Not Found", 0)</f>
        <v>0</v>
      </c>
      <c r="O804" s="5">
        <f>_xlfn.XLOOKUP(CustomerCombined[[#This Row],[ID]], Table4[ID], Table4[Sweets], "Not Found", 0)</f>
        <v>15</v>
      </c>
      <c r="P804" s="5">
        <f>_xlfn.XLOOKUP(CustomerCombined[[#This Row],[ID]], Table4[ID], Table4[Premium], "Not Found", 0)</f>
        <v>12</v>
      </c>
      <c r="Q804" s="5">
        <f>_xlfn.XLOOKUP(CustomerCombined[[#This Row],[ID]], Table4[ID], Table4[Regular], "Not Found", 0)</f>
        <v>182</v>
      </c>
      <c r="R804" s="5">
        <f>_xlfn.XLOOKUP(CustomerCombined[[#This Row],[ID]], Table4[ID], Table4[Deals], "Not Found", 0)</f>
        <v>1</v>
      </c>
      <c r="S804" s="5">
        <f>_xlfn.XLOOKUP(CustomerCombined[[#This Row],[ID]], Table4[ID], Table4[Website], "Not Found", 0)</f>
        <v>2</v>
      </c>
      <c r="T804" s="5">
        <f>_xlfn.XLOOKUP(CustomerCombined[[#This Row],[ID]], Table4[ID], Table4[Catalog], "Not Found", 0)</f>
        <v>0</v>
      </c>
      <c r="U804" s="5">
        <f>_xlfn.XLOOKUP(CustomerCombined[[#This Row],[ID]], Table4[ID], Table4[Store], "Not Found", 0)</f>
        <v>3</v>
      </c>
      <c r="V804" s="5">
        <f>_xlfn.XLOOKUP(CustomerCombined[[#This Row],[ID]], Table4[ID], Table4[Visits], "Not Found", 0)</f>
        <v>5</v>
      </c>
      <c r="W804" s="8">
        <f>_xlfn.XLOOKUP(CustomerCombined[[#This Row],[ID]], Table2[ID],Table2[Complaint], "Not Found", 0 )</f>
        <v>0</v>
      </c>
      <c r="X804" s="8">
        <f>_xlfn.XLOOKUP(CustomerCombined[[#This Row],[ID]], Table2[ID],Table2[Pilot], "Not Found", 0 )</f>
        <v>0</v>
      </c>
      <c r="Y804" s="8">
        <f>_xlfn.XLOOKUP(CustomerCombined[[#This Row],[ID]], Table2[ID],Table2[MC1], "Not Found", 0 )</f>
        <v>0</v>
      </c>
      <c r="Z804" s="8">
        <f>_xlfn.XLOOKUP(CustomerCombined[[#This Row],[ID]], Table2[ID],Table2[MC2], "Not Found", 0 )</f>
        <v>0</v>
      </c>
      <c r="AA804" s="8">
        <f>_xlfn.XLOOKUP(CustomerCombined[[#This Row],[ID]], Table2[ID],Table2[MC3], "Not Found", 0 )</f>
        <v>0</v>
      </c>
      <c r="AB804" s="8">
        <f>_xlfn.XLOOKUP(CustomerCombined[[#This Row],[ID]], Table2[ID],Table2[MC4], "Not Found", 0 )</f>
        <v>0</v>
      </c>
      <c r="AC804" s="8">
        <f>_xlfn.XLOOKUP(CustomerCombined[[#This Row],[ID]], Table2[ID],Table2[MC5], "Not Found", 0 )</f>
        <v>0</v>
      </c>
    </row>
    <row r="805" spans="1:29" x14ac:dyDescent="0.3">
      <c r="A805" s="6">
        <v>1835</v>
      </c>
      <c r="B805" s="6">
        <v>146374</v>
      </c>
      <c r="C805" s="6">
        <v>0</v>
      </c>
      <c r="D805" s="6">
        <v>1</v>
      </c>
      <c r="E805" s="6">
        <v>46</v>
      </c>
      <c r="F805" s="5" t="s">
        <v>6</v>
      </c>
      <c r="G805" s="5" t="s">
        <v>13</v>
      </c>
      <c r="H805" s="3" t="s">
        <v>84</v>
      </c>
      <c r="I805" s="5" t="s">
        <v>434</v>
      </c>
      <c r="J805" s="5">
        <f>_xlfn.XLOOKUP(CustomerCombined[[#This Row],[ID]], Table4[ID], Table4[Recency], "Not Found", 0)</f>
        <v>1</v>
      </c>
      <c r="K805" s="5">
        <f>_xlfn.XLOOKUP(CustomerCombined[[#This Row],[ID]], Table4[ID], Table4[Teas], "Not Found", 0)</f>
        <v>1288</v>
      </c>
      <c r="L805" s="5">
        <f>_xlfn.XLOOKUP(CustomerCombined[[#This Row],[ID]], Table4[ID], Table4[Fruits], "Not Found", 0)</f>
        <v>0</v>
      </c>
      <c r="M805" s="5">
        <f>_xlfn.XLOOKUP(CustomerCombined[[#This Row],[ID]], Table4[ID], Table4[Meats], "Not Found", 0)</f>
        <v>66</v>
      </c>
      <c r="N805" s="5">
        <f>_xlfn.XLOOKUP(CustomerCombined[[#This Row],[ID]], Table4[ID], Table4[Seafood], "Not Found", 0)</f>
        <v>0</v>
      </c>
      <c r="O805" s="5">
        <f>_xlfn.XLOOKUP(CustomerCombined[[#This Row],[ID]], Table4[ID], Table4[Sweets], "Not Found", 0)</f>
        <v>0</v>
      </c>
      <c r="P805" s="5">
        <f>_xlfn.XLOOKUP(CustomerCombined[[#This Row],[ID]], Table4[ID], Table4[Premium], "Not Found", 0)</f>
        <v>54</v>
      </c>
      <c r="Q805" s="5">
        <f>_xlfn.XLOOKUP(CustomerCombined[[#This Row],[ID]], Table4[ID], Table4[Regular], "Not Found", 0)</f>
        <v>1300</v>
      </c>
      <c r="R805" s="5">
        <f>_xlfn.XLOOKUP(CustomerCombined[[#This Row],[ID]], Table4[ID], Table4[Deals], "Not Found", 0)</f>
        <v>3</v>
      </c>
      <c r="S805" s="5">
        <f>_xlfn.XLOOKUP(CustomerCombined[[#This Row],[ID]], Table4[ID], Table4[Website], "Not Found", 0)</f>
        <v>7</v>
      </c>
      <c r="T805" s="5">
        <f>_xlfn.XLOOKUP(CustomerCombined[[#This Row],[ID]], Table4[ID], Table4[Catalog], "Not Found", 0)</f>
        <v>1</v>
      </c>
      <c r="U805" s="5">
        <f>_xlfn.XLOOKUP(CustomerCombined[[#This Row],[ID]], Table4[ID], Table4[Store], "Not Found", 0)</f>
        <v>7</v>
      </c>
      <c r="V805" s="5">
        <f>_xlfn.XLOOKUP(CustomerCombined[[#This Row],[ID]], Table4[ID], Table4[Visits], "Not Found", 0)</f>
        <v>8</v>
      </c>
      <c r="W805" s="8">
        <f>_xlfn.XLOOKUP(CustomerCombined[[#This Row],[ID]], Table2[ID],Table2[Complaint], "Not Found", 0 )</f>
        <v>0</v>
      </c>
      <c r="X805" s="8">
        <f>_xlfn.XLOOKUP(CustomerCombined[[#This Row],[ID]], Table2[ID],Table2[Pilot], "Not Found", 0 )</f>
        <v>1</v>
      </c>
      <c r="Y805" s="8">
        <f>_xlfn.XLOOKUP(CustomerCombined[[#This Row],[ID]], Table2[ID],Table2[MC1], "Not Found", 0 )</f>
        <v>1</v>
      </c>
      <c r="Z805" s="8">
        <f>_xlfn.XLOOKUP(CustomerCombined[[#This Row],[ID]], Table2[ID],Table2[MC2], "Not Found", 0 )</f>
        <v>0</v>
      </c>
      <c r="AA805" s="8">
        <f>_xlfn.XLOOKUP(CustomerCombined[[#This Row],[ID]], Table2[ID],Table2[MC3], "Not Found", 0 )</f>
        <v>0</v>
      </c>
      <c r="AB805" s="8">
        <f>_xlfn.XLOOKUP(CustomerCombined[[#This Row],[ID]], Table2[ID],Table2[MC4], "Not Found", 0 )</f>
        <v>1</v>
      </c>
      <c r="AC805" s="8">
        <f>_xlfn.XLOOKUP(CustomerCombined[[#This Row],[ID]], Table2[ID],Table2[MC5], "Not Found", 0 )</f>
        <v>0</v>
      </c>
    </row>
    <row r="806" spans="1:29" x14ac:dyDescent="0.3">
      <c r="A806" s="6">
        <v>1201</v>
      </c>
      <c r="B806" s="6">
        <v>146014</v>
      </c>
      <c r="C806" s="6">
        <v>1</v>
      </c>
      <c r="D806" s="6">
        <v>1</v>
      </c>
      <c r="E806" s="6">
        <v>46</v>
      </c>
      <c r="F806" s="5" t="s">
        <v>8</v>
      </c>
      <c r="G806" s="5" t="s">
        <v>12</v>
      </c>
      <c r="H806" s="3" t="s">
        <v>320</v>
      </c>
      <c r="I806" s="5" t="s">
        <v>437</v>
      </c>
      <c r="J806" s="5">
        <f>_xlfn.XLOOKUP(CustomerCombined[[#This Row],[ID]], Table4[ID], Table4[Recency], "Not Found", 0)</f>
        <v>21</v>
      </c>
      <c r="K806" s="5">
        <f>_xlfn.XLOOKUP(CustomerCombined[[#This Row],[ID]], Table4[ID], Table4[Teas], "Not Found", 0)</f>
        <v>1301</v>
      </c>
      <c r="L806" s="5">
        <f>_xlfn.XLOOKUP(CustomerCombined[[#This Row],[ID]], Table4[ID], Table4[Fruits], "Not Found", 0)</f>
        <v>0</v>
      </c>
      <c r="M806" s="5">
        <f>_xlfn.XLOOKUP(CustomerCombined[[#This Row],[ID]], Table4[ID], Table4[Meats], "Not Found", 0)</f>
        <v>187</v>
      </c>
      <c r="N806" s="5">
        <f>_xlfn.XLOOKUP(CustomerCombined[[#This Row],[ID]], Table4[ID], Table4[Seafood], "Not Found", 0)</f>
        <v>60</v>
      </c>
      <c r="O806" s="5">
        <f>_xlfn.XLOOKUP(CustomerCombined[[#This Row],[ID]], Table4[ID], Table4[Sweets], "Not Found", 0)</f>
        <v>29</v>
      </c>
      <c r="P806" s="5">
        <f>_xlfn.XLOOKUP(CustomerCombined[[#This Row],[ID]], Table4[ID], Table4[Premium], "Not Found", 0)</f>
        <v>140</v>
      </c>
      <c r="Q806" s="5">
        <f>_xlfn.XLOOKUP(CustomerCombined[[#This Row],[ID]], Table4[ID], Table4[Regular], "Not Found", 0)</f>
        <v>1437</v>
      </c>
      <c r="R806" s="5">
        <f>_xlfn.XLOOKUP(CustomerCombined[[#This Row],[ID]], Table4[ID], Table4[Deals], "Not Found", 0)</f>
        <v>10</v>
      </c>
      <c r="S806" s="5">
        <f>_xlfn.XLOOKUP(CustomerCombined[[#This Row],[ID]], Table4[ID], Table4[Website], "Not Found", 0)</f>
        <v>7</v>
      </c>
      <c r="T806" s="5">
        <f>_xlfn.XLOOKUP(CustomerCombined[[#This Row],[ID]], Table4[ID], Table4[Catalog], "Not Found", 0)</f>
        <v>1</v>
      </c>
      <c r="U806" s="5">
        <f>_xlfn.XLOOKUP(CustomerCombined[[#This Row],[ID]], Table4[ID], Table4[Store], "Not Found", 0)</f>
        <v>8</v>
      </c>
      <c r="V806" s="5">
        <f>_xlfn.XLOOKUP(CustomerCombined[[#This Row],[ID]], Table4[ID], Table4[Visits], "Not Found", 0)</f>
        <v>7</v>
      </c>
      <c r="W806" s="8">
        <f>_xlfn.XLOOKUP(CustomerCombined[[#This Row],[ID]], Table2[ID],Table2[Complaint], "Not Found", 0 )</f>
        <v>0</v>
      </c>
      <c r="X806" s="8">
        <f>_xlfn.XLOOKUP(CustomerCombined[[#This Row],[ID]], Table2[ID],Table2[Pilot], "Not Found", 0 )</f>
        <v>0</v>
      </c>
      <c r="Y806" s="8">
        <f>_xlfn.XLOOKUP(CustomerCombined[[#This Row],[ID]], Table2[ID],Table2[MC1], "Not Found", 0 )</f>
        <v>0</v>
      </c>
      <c r="Z806" s="8">
        <f>_xlfn.XLOOKUP(CustomerCombined[[#This Row],[ID]], Table2[ID],Table2[MC2], "Not Found", 0 )</f>
        <v>0</v>
      </c>
      <c r="AA806" s="8">
        <f>_xlfn.XLOOKUP(CustomerCombined[[#This Row],[ID]], Table2[ID],Table2[MC3], "Not Found", 0 )</f>
        <v>0</v>
      </c>
      <c r="AB806" s="8">
        <f>_xlfn.XLOOKUP(CustomerCombined[[#This Row],[ID]], Table2[ID],Table2[MC4], "Not Found", 0 )</f>
        <v>0</v>
      </c>
      <c r="AC806" s="8">
        <f>_xlfn.XLOOKUP(CustomerCombined[[#This Row],[ID]], Table2[ID],Table2[MC5], "Not Found", 0 )</f>
        <v>0</v>
      </c>
    </row>
    <row r="807" spans="1:29" x14ac:dyDescent="0.3">
      <c r="A807" s="6">
        <v>2170</v>
      </c>
      <c r="B807" s="6">
        <v>145894</v>
      </c>
      <c r="C807" s="6">
        <v>0</v>
      </c>
      <c r="D807" s="6">
        <v>2</v>
      </c>
      <c r="E807" s="6">
        <v>46</v>
      </c>
      <c r="F807" s="5" t="s">
        <v>6</v>
      </c>
      <c r="G807" s="5" t="s">
        <v>442</v>
      </c>
      <c r="H807" s="3">
        <v>43898</v>
      </c>
      <c r="I807" s="5" t="s">
        <v>439</v>
      </c>
      <c r="J807" s="5">
        <f>_xlfn.XLOOKUP(CustomerCombined[[#This Row],[ID]], Table4[ID], Table4[Recency], "Not Found", 0)</f>
        <v>15</v>
      </c>
      <c r="K807" s="5">
        <f>_xlfn.XLOOKUP(CustomerCombined[[#This Row],[ID]], Table4[ID], Table4[Teas], "Not Found", 0)</f>
        <v>86</v>
      </c>
      <c r="L807" s="5">
        <f>_xlfn.XLOOKUP(CustomerCombined[[#This Row],[ID]], Table4[ID], Table4[Fruits], "Not Found", 0)</f>
        <v>6</v>
      </c>
      <c r="M807" s="5">
        <f>_xlfn.XLOOKUP(CustomerCombined[[#This Row],[ID]], Table4[ID], Table4[Meats], "Not Found", 0)</f>
        <v>22</v>
      </c>
      <c r="N807" s="5">
        <f>_xlfn.XLOOKUP(CustomerCombined[[#This Row],[ID]], Table4[ID], Table4[Seafood], "Not Found", 0)</f>
        <v>0</v>
      </c>
      <c r="O807" s="5">
        <f>_xlfn.XLOOKUP(CustomerCombined[[#This Row],[ID]], Table4[ID], Table4[Sweets], "Not Found", 0)</f>
        <v>6</v>
      </c>
      <c r="P807" s="5">
        <f>_xlfn.XLOOKUP(CustomerCombined[[#This Row],[ID]], Table4[ID], Table4[Premium], "Not Found", 0)</f>
        <v>41</v>
      </c>
      <c r="Q807" s="5">
        <f>_xlfn.XLOOKUP(CustomerCombined[[#This Row],[ID]], Table4[ID], Table4[Regular], "Not Found", 0)</f>
        <v>79</v>
      </c>
      <c r="R807" s="5">
        <f>_xlfn.XLOOKUP(CustomerCombined[[#This Row],[ID]], Table4[ID], Table4[Deals], "Not Found", 0)</f>
        <v>1</v>
      </c>
      <c r="S807" s="5">
        <f>_xlfn.XLOOKUP(CustomerCombined[[#This Row],[ID]], Table4[ID], Table4[Website], "Not Found", 0)</f>
        <v>1</v>
      </c>
      <c r="T807" s="5">
        <f>_xlfn.XLOOKUP(CustomerCombined[[#This Row],[ID]], Table4[ID], Table4[Catalog], "Not Found", 0)</f>
        <v>0</v>
      </c>
      <c r="U807" s="5">
        <f>_xlfn.XLOOKUP(CustomerCombined[[#This Row],[ID]], Table4[ID], Table4[Store], "Not Found", 0)</f>
        <v>3</v>
      </c>
      <c r="V807" s="5">
        <f>_xlfn.XLOOKUP(CustomerCombined[[#This Row],[ID]], Table4[ID], Table4[Visits], "Not Found", 0)</f>
        <v>5</v>
      </c>
      <c r="W807" s="8">
        <f>_xlfn.XLOOKUP(CustomerCombined[[#This Row],[ID]], Table2[ID],Table2[Complaint], "Not Found", 0 )</f>
        <v>0</v>
      </c>
      <c r="X807" s="8">
        <f>_xlfn.XLOOKUP(CustomerCombined[[#This Row],[ID]], Table2[ID],Table2[Pilot], "Not Found", 0 )</f>
        <v>0</v>
      </c>
      <c r="Y807" s="8">
        <f>_xlfn.XLOOKUP(CustomerCombined[[#This Row],[ID]], Table2[ID],Table2[MC1], "Not Found", 0 )</f>
        <v>0</v>
      </c>
      <c r="Z807" s="8">
        <f>_xlfn.XLOOKUP(CustomerCombined[[#This Row],[ID]], Table2[ID],Table2[MC2], "Not Found", 0 )</f>
        <v>0</v>
      </c>
      <c r="AA807" s="8">
        <f>_xlfn.XLOOKUP(CustomerCombined[[#This Row],[ID]], Table2[ID],Table2[MC3], "Not Found", 0 )</f>
        <v>0</v>
      </c>
      <c r="AB807" s="8">
        <f>_xlfn.XLOOKUP(CustomerCombined[[#This Row],[ID]], Table2[ID],Table2[MC4], "Not Found", 0 )</f>
        <v>0</v>
      </c>
      <c r="AC807" s="8">
        <f>_xlfn.XLOOKUP(CustomerCombined[[#This Row],[ID]], Table2[ID],Table2[MC5], "Not Found", 0 )</f>
        <v>0</v>
      </c>
    </row>
    <row r="808" spans="1:29" x14ac:dyDescent="0.3">
      <c r="A808" s="6">
        <v>1599</v>
      </c>
      <c r="B808" s="6">
        <v>145837</v>
      </c>
      <c r="C808" s="6">
        <v>1</v>
      </c>
      <c r="D808" s="6">
        <v>1</v>
      </c>
      <c r="E808" s="6">
        <v>46</v>
      </c>
      <c r="F808" s="5" t="s">
        <v>6</v>
      </c>
      <c r="G808" s="5" t="s">
        <v>11</v>
      </c>
      <c r="H808" s="3" t="s">
        <v>210</v>
      </c>
      <c r="I808" s="5" t="s">
        <v>435</v>
      </c>
      <c r="J808" s="5">
        <f>_xlfn.XLOOKUP(CustomerCombined[[#This Row],[ID]], Table4[ID], Table4[Recency], "Not Found", 0)</f>
        <v>88</v>
      </c>
      <c r="K808" s="5">
        <f>_xlfn.XLOOKUP(CustomerCombined[[#This Row],[ID]], Table4[ID], Table4[Teas], "Not Found", 0)</f>
        <v>684</v>
      </c>
      <c r="L808" s="5">
        <f>_xlfn.XLOOKUP(CustomerCombined[[#This Row],[ID]], Table4[ID], Table4[Fruits], "Not Found", 0)</f>
        <v>41</v>
      </c>
      <c r="M808" s="5">
        <f>_xlfn.XLOOKUP(CustomerCombined[[#This Row],[ID]], Table4[ID], Table4[Meats], "Not Found", 0)</f>
        <v>277</v>
      </c>
      <c r="N808" s="5">
        <f>_xlfn.XLOOKUP(CustomerCombined[[#This Row],[ID]], Table4[ID], Table4[Seafood], "Not Found", 0)</f>
        <v>54</v>
      </c>
      <c r="O808" s="5">
        <f>_xlfn.XLOOKUP(CustomerCombined[[#This Row],[ID]], Table4[ID], Table4[Sweets], "Not Found", 0)</f>
        <v>54</v>
      </c>
      <c r="P808" s="5">
        <f>_xlfn.XLOOKUP(CustomerCombined[[#This Row],[ID]], Table4[ID], Table4[Premium], "Not Found", 0)</f>
        <v>76</v>
      </c>
      <c r="Q808" s="5">
        <f>_xlfn.XLOOKUP(CustomerCombined[[#This Row],[ID]], Table4[ID], Table4[Regular], "Not Found", 0)</f>
        <v>1034</v>
      </c>
      <c r="R808" s="5">
        <f>_xlfn.XLOOKUP(CustomerCombined[[#This Row],[ID]], Table4[ID], Table4[Deals], "Not Found", 0)</f>
        <v>5</v>
      </c>
      <c r="S808" s="5">
        <f>_xlfn.XLOOKUP(CustomerCombined[[#This Row],[ID]], Table4[ID], Table4[Website], "Not Found", 0)</f>
        <v>6</v>
      </c>
      <c r="T808" s="5">
        <f>_xlfn.XLOOKUP(CustomerCombined[[#This Row],[ID]], Table4[ID], Table4[Catalog], "Not Found", 0)</f>
        <v>2</v>
      </c>
      <c r="U808" s="5">
        <f>_xlfn.XLOOKUP(CustomerCombined[[#This Row],[ID]], Table4[ID], Table4[Store], "Not Found", 0)</f>
        <v>5</v>
      </c>
      <c r="V808" s="5">
        <f>_xlfn.XLOOKUP(CustomerCombined[[#This Row],[ID]], Table4[ID], Table4[Visits], "Not Found", 0)</f>
        <v>7</v>
      </c>
      <c r="W808" s="8">
        <f>_xlfn.XLOOKUP(CustomerCombined[[#This Row],[ID]], Table2[ID],Table2[Complaint], "Not Found", 0 )</f>
        <v>0</v>
      </c>
      <c r="X808" s="8">
        <f>_xlfn.XLOOKUP(CustomerCombined[[#This Row],[ID]], Table2[ID],Table2[Pilot], "Not Found", 0 )</f>
        <v>0</v>
      </c>
      <c r="Y808" s="8">
        <f>_xlfn.XLOOKUP(CustomerCombined[[#This Row],[ID]], Table2[ID],Table2[MC1], "Not Found", 0 )</f>
        <v>0</v>
      </c>
      <c r="Z808" s="8">
        <f>_xlfn.XLOOKUP(CustomerCombined[[#This Row],[ID]], Table2[ID],Table2[MC2], "Not Found", 0 )</f>
        <v>0</v>
      </c>
      <c r="AA808" s="8">
        <f>_xlfn.XLOOKUP(CustomerCombined[[#This Row],[ID]], Table2[ID],Table2[MC3], "Not Found", 0 )</f>
        <v>0</v>
      </c>
      <c r="AB808" s="8">
        <f>_xlfn.XLOOKUP(CustomerCombined[[#This Row],[ID]], Table2[ID],Table2[MC4], "Not Found", 0 )</f>
        <v>0</v>
      </c>
      <c r="AC808" s="8">
        <f>_xlfn.XLOOKUP(CustomerCombined[[#This Row],[ID]], Table2[ID],Table2[MC5], "Not Found", 0 )</f>
        <v>0</v>
      </c>
    </row>
    <row r="809" spans="1:29" x14ac:dyDescent="0.3">
      <c r="A809" s="6">
        <v>1564</v>
      </c>
      <c r="B809" s="6">
        <v>145207</v>
      </c>
      <c r="C809" s="6">
        <v>1</v>
      </c>
      <c r="D809" s="6">
        <v>1</v>
      </c>
      <c r="E809" s="6">
        <v>46</v>
      </c>
      <c r="F809" s="5" t="s">
        <v>6</v>
      </c>
      <c r="G809" s="5" t="s">
        <v>13</v>
      </c>
      <c r="H809" s="3" t="s">
        <v>365</v>
      </c>
      <c r="I809" s="5" t="s">
        <v>439</v>
      </c>
      <c r="J809" s="5">
        <f>_xlfn.XLOOKUP(CustomerCombined[[#This Row],[ID]], Table4[ID], Table4[Recency], "Not Found", 0)</f>
        <v>64</v>
      </c>
      <c r="K809" s="5">
        <f>_xlfn.XLOOKUP(CustomerCombined[[#This Row],[ID]], Table4[ID], Table4[Teas], "Not Found", 0)</f>
        <v>652</v>
      </c>
      <c r="L809" s="5">
        <f>_xlfn.XLOOKUP(CustomerCombined[[#This Row],[ID]], Table4[ID], Table4[Fruits], "Not Found", 0)</f>
        <v>0</v>
      </c>
      <c r="M809" s="5">
        <f>_xlfn.XLOOKUP(CustomerCombined[[#This Row],[ID]], Table4[ID], Table4[Meats], "Not Found", 0)</f>
        <v>32</v>
      </c>
      <c r="N809" s="5">
        <f>_xlfn.XLOOKUP(CustomerCombined[[#This Row],[ID]], Table4[ID], Table4[Seafood], "Not Found", 0)</f>
        <v>0</v>
      </c>
      <c r="O809" s="5">
        <f>_xlfn.XLOOKUP(CustomerCombined[[#This Row],[ID]], Table4[ID], Table4[Sweets], "Not Found", 0)</f>
        <v>0</v>
      </c>
      <c r="P809" s="5">
        <f>_xlfn.XLOOKUP(CustomerCombined[[#This Row],[ID]], Table4[ID], Table4[Premium], "Not Found", 0)</f>
        <v>6</v>
      </c>
      <c r="Q809" s="5">
        <f>_xlfn.XLOOKUP(CustomerCombined[[#This Row],[ID]], Table4[ID], Table4[Regular], "Not Found", 0)</f>
        <v>678</v>
      </c>
      <c r="R809" s="5">
        <f>_xlfn.XLOOKUP(CustomerCombined[[#This Row],[ID]], Table4[ID], Table4[Deals], "Not Found", 0)</f>
        <v>5</v>
      </c>
      <c r="S809" s="5">
        <f>_xlfn.XLOOKUP(CustomerCombined[[#This Row],[ID]], Table4[ID], Table4[Website], "Not Found", 0)</f>
        <v>3</v>
      </c>
      <c r="T809" s="5">
        <f>_xlfn.XLOOKUP(CustomerCombined[[#This Row],[ID]], Table4[ID], Table4[Catalog], "Not Found", 0)</f>
        <v>1</v>
      </c>
      <c r="U809" s="5">
        <f>_xlfn.XLOOKUP(CustomerCombined[[#This Row],[ID]], Table4[ID], Table4[Store], "Not Found", 0)</f>
        <v>6</v>
      </c>
      <c r="V809" s="5">
        <f>_xlfn.XLOOKUP(CustomerCombined[[#This Row],[ID]], Table4[ID], Table4[Visits], "Not Found", 0)</f>
        <v>6</v>
      </c>
      <c r="W809" s="8">
        <f>_xlfn.XLOOKUP(CustomerCombined[[#This Row],[ID]], Table2[ID],Table2[Complaint], "Not Found", 0 )</f>
        <v>0</v>
      </c>
      <c r="X809" s="8">
        <f>_xlfn.XLOOKUP(CustomerCombined[[#This Row],[ID]], Table2[ID],Table2[Pilot], "Not Found", 0 )</f>
        <v>0</v>
      </c>
      <c r="Y809" s="8">
        <f>_xlfn.XLOOKUP(CustomerCombined[[#This Row],[ID]], Table2[ID],Table2[MC1], "Not Found", 0 )</f>
        <v>0</v>
      </c>
      <c r="Z809" s="8">
        <f>_xlfn.XLOOKUP(CustomerCombined[[#This Row],[ID]], Table2[ID],Table2[MC2], "Not Found", 0 )</f>
        <v>0</v>
      </c>
      <c r="AA809" s="8">
        <f>_xlfn.XLOOKUP(CustomerCombined[[#This Row],[ID]], Table2[ID],Table2[MC3], "Not Found", 0 )</f>
        <v>0</v>
      </c>
      <c r="AB809" s="8">
        <f>_xlfn.XLOOKUP(CustomerCombined[[#This Row],[ID]], Table2[ID],Table2[MC4], "Not Found", 0 )</f>
        <v>1</v>
      </c>
      <c r="AC809" s="8">
        <f>_xlfn.XLOOKUP(CustomerCombined[[#This Row],[ID]], Table2[ID],Table2[MC5], "Not Found", 0 )</f>
        <v>0</v>
      </c>
    </row>
    <row r="810" spans="1:29" x14ac:dyDescent="0.3">
      <c r="A810" s="6">
        <v>1648</v>
      </c>
      <c r="B810" s="6">
        <v>145068</v>
      </c>
      <c r="C810" s="6">
        <v>0</v>
      </c>
      <c r="D810" s="6">
        <v>1</v>
      </c>
      <c r="E810" s="6">
        <v>46</v>
      </c>
      <c r="F810" s="5" t="s">
        <v>8</v>
      </c>
      <c r="G810" s="5" t="s">
        <v>13</v>
      </c>
      <c r="H810" s="3" t="s">
        <v>255</v>
      </c>
      <c r="I810" s="5" t="s">
        <v>439</v>
      </c>
      <c r="J810" s="5">
        <f>_xlfn.XLOOKUP(CustomerCombined[[#This Row],[ID]], Table4[ID], Table4[Recency], "Not Found", 0)</f>
        <v>25</v>
      </c>
      <c r="K810" s="5">
        <f>_xlfn.XLOOKUP(CustomerCombined[[#This Row],[ID]], Table4[ID], Table4[Teas], "Not Found", 0)</f>
        <v>45</v>
      </c>
      <c r="L810" s="5">
        <f>_xlfn.XLOOKUP(CustomerCombined[[#This Row],[ID]], Table4[ID], Table4[Fruits], "Not Found", 0)</f>
        <v>0</v>
      </c>
      <c r="M810" s="5">
        <f>_xlfn.XLOOKUP(CustomerCombined[[#This Row],[ID]], Table4[ID], Table4[Meats], "Not Found", 0)</f>
        <v>10</v>
      </c>
      <c r="N810" s="5">
        <f>_xlfn.XLOOKUP(CustomerCombined[[#This Row],[ID]], Table4[ID], Table4[Seafood], "Not Found", 0)</f>
        <v>0</v>
      </c>
      <c r="O810" s="5">
        <f>_xlfn.XLOOKUP(CustomerCombined[[#This Row],[ID]], Table4[ID], Table4[Sweets], "Not Found", 0)</f>
        <v>0</v>
      </c>
      <c r="P810" s="5">
        <f>_xlfn.XLOOKUP(CustomerCombined[[#This Row],[ID]], Table4[ID], Table4[Premium], "Not Found", 0)</f>
        <v>10</v>
      </c>
      <c r="Q810" s="5">
        <f>_xlfn.XLOOKUP(CustomerCombined[[#This Row],[ID]], Table4[ID], Table4[Regular], "Not Found", 0)</f>
        <v>45</v>
      </c>
      <c r="R810" s="5">
        <f>_xlfn.XLOOKUP(CustomerCombined[[#This Row],[ID]], Table4[ID], Table4[Deals], "Not Found", 0)</f>
        <v>1</v>
      </c>
      <c r="S810" s="5">
        <f>_xlfn.XLOOKUP(CustomerCombined[[#This Row],[ID]], Table4[ID], Table4[Website], "Not Found", 0)</f>
        <v>1</v>
      </c>
      <c r="T810" s="5">
        <f>_xlfn.XLOOKUP(CustomerCombined[[#This Row],[ID]], Table4[ID], Table4[Catalog], "Not Found", 0)</f>
        <v>0</v>
      </c>
      <c r="U810" s="5">
        <f>_xlfn.XLOOKUP(CustomerCombined[[#This Row],[ID]], Table4[ID], Table4[Store], "Not Found", 0)</f>
        <v>2</v>
      </c>
      <c r="V810" s="5">
        <f>_xlfn.XLOOKUP(CustomerCombined[[#This Row],[ID]], Table4[ID], Table4[Visits], "Not Found", 0)</f>
        <v>7</v>
      </c>
      <c r="W810" s="8">
        <f>_xlfn.XLOOKUP(CustomerCombined[[#This Row],[ID]], Table2[ID],Table2[Complaint], "Not Found", 0 )</f>
        <v>0</v>
      </c>
      <c r="X810" s="8">
        <f>_xlfn.XLOOKUP(CustomerCombined[[#This Row],[ID]], Table2[ID],Table2[Pilot], "Not Found", 0 )</f>
        <v>0</v>
      </c>
      <c r="Y810" s="8">
        <f>_xlfn.XLOOKUP(CustomerCombined[[#This Row],[ID]], Table2[ID],Table2[MC1], "Not Found", 0 )</f>
        <v>0</v>
      </c>
      <c r="Z810" s="8">
        <f>_xlfn.XLOOKUP(CustomerCombined[[#This Row],[ID]], Table2[ID],Table2[MC2], "Not Found", 0 )</f>
        <v>0</v>
      </c>
      <c r="AA810" s="8">
        <f>_xlfn.XLOOKUP(CustomerCombined[[#This Row],[ID]], Table2[ID],Table2[MC3], "Not Found", 0 )</f>
        <v>0</v>
      </c>
      <c r="AB810" s="8">
        <f>_xlfn.XLOOKUP(CustomerCombined[[#This Row],[ID]], Table2[ID],Table2[MC4], "Not Found", 0 )</f>
        <v>0</v>
      </c>
      <c r="AC810" s="8">
        <f>_xlfn.XLOOKUP(CustomerCombined[[#This Row],[ID]], Table2[ID],Table2[MC5], "Not Found", 0 )</f>
        <v>0</v>
      </c>
    </row>
    <row r="811" spans="1:29" x14ac:dyDescent="0.3">
      <c r="A811" s="6">
        <v>1554</v>
      </c>
      <c r="B811" s="6">
        <v>144989</v>
      </c>
      <c r="C811" s="6">
        <v>0</v>
      </c>
      <c r="D811" s="6">
        <v>1</v>
      </c>
      <c r="E811" s="6">
        <v>46</v>
      </c>
      <c r="F811" s="5" t="s">
        <v>6</v>
      </c>
      <c r="G811" s="5" t="s">
        <v>11</v>
      </c>
      <c r="H811" s="3" t="s">
        <v>397</v>
      </c>
      <c r="I811" s="5" t="s">
        <v>436</v>
      </c>
      <c r="J811" s="5">
        <f>_xlfn.XLOOKUP(CustomerCombined[[#This Row],[ID]], Table4[ID], Table4[Recency], "Not Found", 0)</f>
        <v>26</v>
      </c>
      <c r="K811" s="5">
        <f>_xlfn.XLOOKUP(CustomerCombined[[#This Row],[ID]], Table4[ID], Table4[Teas], "Not Found", 0)</f>
        <v>316</v>
      </c>
      <c r="L811" s="5">
        <f>_xlfn.XLOOKUP(CustomerCombined[[#This Row],[ID]], Table4[ID], Table4[Fruits], "Not Found", 0)</f>
        <v>0</v>
      </c>
      <c r="M811" s="5">
        <f>_xlfn.XLOOKUP(CustomerCombined[[#This Row],[ID]], Table4[ID], Table4[Meats], "Not Found", 0)</f>
        <v>342</v>
      </c>
      <c r="N811" s="5">
        <f>_xlfn.XLOOKUP(CustomerCombined[[#This Row],[ID]], Table4[ID], Table4[Seafood], "Not Found", 0)</f>
        <v>158</v>
      </c>
      <c r="O811" s="5">
        <f>_xlfn.XLOOKUP(CustomerCombined[[#This Row],[ID]], Table4[ID], Table4[Sweets], "Not Found", 0)</f>
        <v>32</v>
      </c>
      <c r="P811" s="5">
        <f>_xlfn.XLOOKUP(CustomerCombined[[#This Row],[ID]], Table4[ID], Table4[Premium], "Not Found", 0)</f>
        <v>342</v>
      </c>
      <c r="Q811" s="5">
        <f>_xlfn.XLOOKUP(CustomerCombined[[#This Row],[ID]], Table4[ID], Table4[Regular], "Not Found", 0)</f>
        <v>506</v>
      </c>
      <c r="R811" s="5">
        <f>_xlfn.XLOOKUP(CustomerCombined[[#This Row],[ID]], Table4[ID], Table4[Deals], "Not Found", 0)</f>
        <v>5</v>
      </c>
      <c r="S811" s="5">
        <f>_xlfn.XLOOKUP(CustomerCombined[[#This Row],[ID]], Table4[ID], Table4[Website], "Not Found", 0)</f>
        <v>5</v>
      </c>
      <c r="T811" s="5">
        <f>_xlfn.XLOOKUP(CustomerCombined[[#This Row],[ID]], Table4[ID], Table4[Catalog], "Not Found", 0)</f>
        <v>1</v>
      </c>
      <c r="U811" s="5">
        <f>_xlfn.XLOOKUP(CustomerCombined[[#This Row],[ID]], Table4[ID], Table4[Store], "Not Found", 0)</f>
        <v>5</v>
      </c>
      <c r="V811" s="5">
        <f>_xlfn.XLOOKUP(CustomerCombined[[#This Row],[ID]], Table4[ID], Table4[Visits], "Not Found", 0)</f>
        <v>6</v>
      </c>
      <c r="W811" s="8">
        <f>_xlfn.XLOOKUP(CustomerCombined[[#This Row],[ID]], Table2[ID],Table2[Complaint], "Not Found", 0 )</f>
        <v>0</v>
      </c>
      <c r="X811" s="8">
        <f>_xlfn.XLOOKUP(CustomerCombined[[#This Row],[ID]], Table2[ID],Table2[Pilot], "Not Found", 0 )</f>
        <v>0</v>
      </c>
      <c r="Y811" s="8">
        <f>_xlfn.XLOOKUP(CustomerCombined[[#This Row],[ID]], Table2[ID],Table2[MC1], "Not Found", 0 )</f>
        <v>0</v>
      </c>
      <c r="Z811" s="8">
        <f>_xlfn.XLOOKUP(CustomerCombined[[#This Row],[ID]], Table2[ID],Table2[MC2], "Not Found", 0 )</f>
        <v>0</v>
      </c>
      <c r="AA811" s="8">
        <f>_xlfn.XLOOKUP(CustomerCombined[[#This Row],[ID]], Table2[ID],Table2[MC3], "Not Found", 0 )</f>
        <v>0</v>
      </c>
      <c r="AB811" s="8">
        <f>_xlfn.XLOOKUP(CustomerCombined[[#This Row],[ID]], Table2[ID],Table2[MC4], "Not Found", 0 )</f>
        <v>0</v>
      </c>
      <c r="AC811" s="8">
        <f>_xlfn.XLOOKUP(CustomerCombined[[#This Row],[ID]], Table2[ID],Table2[MC5], "Not Found", 0 )</f>
        <v>0</v>
      </c>
    </row>
    <row r="812" spans="1:29" x14ac:dyDescent="0.3">
      <c r="A812" s="6">
        <v>2726</v>
      </c>
      <c r="B812" s="6">
        <v>144989</v>
      </c>
      <c r="C812" s="6">
        <v>0</v>
      </c>
      <c r="D812" s="6">
        <v>1</v>
      </c>
      <c r="E812" s="6">
        <v>46</v>
      </c>
      <c r="F812" s="5" t="s">
        <v>6</v>
      </c>
      <c r="G812" s="5" t="s">
        <v>11</v>
      </c>
      <c r="H812" s="3" t="s">
        <v>397</v>
      </c>
      <c r="I812" s="5" t="s">
        <v>438</v>
      </c>
      <c r="J812" s="5">
        <f>_xlfn.XLOOKUP(CustomerCombined[[#This Row],[ID]], Table4[ID], Table4[Recency], "Not Found", 0)</f>
        <v>26</v>
      </c>
      <c r="K812" s="5">
        <f>_xlfn.XLOOKUP(CustomerCombined[[#This Row],[ID]], Table4[ID], Table4[Teas], "Not Found", 0)</f>
        <v>316</v>
      </c>
      <c r="L812" s="5">
        <f>_xlfn.XLOOKUP(CustomerCombined[[#This Row],[ID]], Table4[ID], Table4[Fruits], "Not Found", 0)</f>
        <v>0</v>
      </c>
      <c r="M812" s="5">
        <f>_xlfn.XLOOKUP(CustomerCombined[[#This Row],[ID]], Table4[ID], Table4[Meats], "Not Found", 0)</f>
        <v>342</v>
      </c>
      <c r="N812" s="5">
        <f>_xlfn.XLOOKUP(CustomerCombined[[#This Row],[ID]], Table4[ID], Table4[Seafood], "Not Found", 0)</f>
        <v>158</v>
      </c>
      <c r="O812" s="5">
        <f>_xlfn.XLOOKUP(CustomerCombined[[#This Row],[ID]], Table4[ID], Table4[Sweets], "Not Found", 0)</f>
        <v>32</v>
      </c>
      <c r="P812" s="5">
        <f>_xlfn.XLOOKUP(CustomerCombined[[#This Row],[ID]], Table4[ID], Table4[Premium], "Not Found", 0)</f>
        <v>342</v>
      </c>
      <c r="Q812" s="5">
        <f>_xlfn.XLOOKUP(CustomerCombined[[#This Row],[ID]], Table4[ID], Table4[Regular], "Not Found", 0)</f>
        <v>506</v>
      </c>
      <c r="R812" s="5">
        <f>_xlfn.XLOOKUP(CustomerCombined[[#This Row],[ID]], Table4[ID], Table4[Deals], "Not Found", 0)</f>
        <v>5</v>
      </c>
      <c r="S812" s="5">
        <f>_xlfn.XLOOKUP(CustomerCombined[[#This Row],[ID]], Table4[ID], Table4[Website], "Not Found", 0)</f>
        <v>5</v>
      </c>
      <c r="T812" s="5">
        <f>_xlfn.XLOOKUP(CustomerCombined[[#This Row],[ID]], Table4[ID], Table4[Catalog], "Not Found", 0)</f>
        <v>1</v>
      </c>
      <c r="U812" s="5">
        <f>_xlfn.XLOOKUP(CustomerCombined[[#This Row],[ID]], Table4[ID], Table4[Store], "Not Found", 0)</f>
        <v>5</v>
      </c>
      <c r="V812" s="5">
        <f>_xlfn.XLOOKUP(CustomerCombined[[#This Row],[ID]], Table4[ID], Table4[Visits], "Not Found", 0)</f>
        <v>6</v>
      </c>
      <c r="W812" s="8">
        <f>_xlfn.XLOOKUP(CustomerCombined[[#This Row],[ID]], Table2[ID],Table2[Complaint], "Not Found", 0 )</f>
        <v>0</v>
      </c>
      <c r="X812" s="8">
        <f>_xlfn.XLOOKUP(CustomerCombined[[#This Row],[ID]], Table2[ID],Table2[Pilot], "Not Found", 0 )</f>
        <v>0</v>
      </c>
      <c r="Y812" s="8">
        <f>_xlfn.XLOOKUP(CustomerCombined[[#This Row],[ID]], Table2[ID],Table2[MC1], "Not Found", 0 )</f>
        <v>0</v>
      </c>
      <c r="Z812" s="8">
        <f>_xlfn.XLOOKUP(CustomerCombined[[#This Row],[ID]], Table2[ID],Table2[MC2], "Not Found", 0 )</f>
        <v>0</v>
      </c>
      <c r="AA812" s="8">
        <f>_xlfn.XLOOKUP(CustomerCombined[[#This Row],[ID]], Table2[ID],Table2[MC3], "Not Found", 0 )</f>
        <v>0</v>
      </c>
      <c r="AB812" s="8">
        <f>_xlfn.XLOOKUP(CustomerCombined[[#This Row],[ID]], Table2[ID],Table2[MC4], "Not Found", 0 )</f>
        <v>0</v>
      </c>
      <c r="AC812" s="8">
        <f>_xlfn.XLOOKUP(CustomerCombined[[#This Row],[ID]], Table2[ID],Table2[MC5], "Not Found", 0 )</f>
        <v>0</v>
      </c>
    </row>
    <row r="813" spans="1:29" x14ac:dyDescent="0.3">
      <c r="A813" s="6">
        <v>2693</v>
      </c>
      <c r="B813" s="6">
        <v>144392</v>
      </c>
      <c r="C813" s="6">
        <v>1</v>
      </c>
      <c r="D813" s="6">
        <v>1</v>
      </c>
      <c r="E813" s="6">
        <v>46</v>
      </c>
      <c r="F813" s="5" t="s">
        <v>8</v>
      </c>
      <c r="G813" s="5" t="s">
        <v>11</v>
      </c>
      <c r="H813" s="3">
        <v>44106</v>
      </c>
      <c r="I813" s="5" t="s">
        <v>434</v>
      </c>
      <c r="J813" s="5">
        <f>_xlfn.XLOOKUP(CustomerCombined[[#This Row],[ID]], Table4[ID], Table4[Recency], "Not Found", 0)</f>
        <v>71</v>
      </c>
      <c r="K813" s="5">
        <f>_xlfn.XLOOKUP(CustomerCombined[[#This Row],[ID]], Table4[ID], Table4[Teas], "Not Found", 0)</f>
        <v>283</v>
      </c>
      <c r="L813" s="5">
        <f>_xlfn.XLOOKUP(CustomerCombined[[#This Row],[ID]], Table4[ID], Table4[Fruits], "Not Found", 0)</f>
        <v>16</v>
      </c>
      <c r="M813" s="5">
        <f>_xlfn.XLOOKUP(CustomerCombined[[#This Row],[ID]], Table4[ID], Table4[Meats], "Not Found", 0)</f>
        <v>231</v>
      </c>
      <c r="N813" s="5">
        <f>_xlfn.XLOOKUP(CustomerCombined[[#This Row],[ID]], Table4[ID], Table4[Seafood], "Not Found", 0)</f>
        <v>23</v>
      </c>
      <c r="O813" s="5">
        <f>_xlfn.XLOOKUP(CustomerCombined[[#This Row],[ID]], Table4[ID], Table4[Sweets], "Not Found", 0)</f>
        <v>39</v>
      </c>
      <c r="P813" s="5">
        <f>_xlfn.XLOOKUP(CustomerCombined[[#This Row],[ID]], Table4[ID], Table4[Premium], "Not Found", 0)</f>
        <v>94</v>
      </c>
      <c r="Q813" s="5">
        <f>_xlfn.XLOOKUP(CustomerCombined[[#This Row],[ID]], Table4[ID], Table4[Regular], "Not Found", 0)</f>
        <v>498</v>
      </c>
      <c r="R813" s="5">
        <f>_xlfn.XLOOKUP(CustomerCombined[[#This Row],[ID]], Table4[ID], Table4[Deals], "Not Found", 0)</f>
        <v>5</v>
      </c>
      <c r="S813" s="5">
        <f>_xlfn.XLOOKUP(CustomerCombined[[#This Row],[ID]], Table4[ID], Table4[Website], "Not Found", 0)</f>
        <v>4</v>
      </c>
      <c r="T813" s="5">
        <f>_xlfn.XLOOKUP(CustomerCombined[[#This Row],[ID]], Table4[ID], Table4[Catalog], "Not Found", 0)</f>
        <v>1</v>
      </c>
      <c r="U813" s="5">
        <f>_xlfn.XLOOKUP(CustomerCombined[[#This Row],[ID]], Table4[ID], Table4[Store], "Not Found", 0)</f>
        <v>4</v>
      </c>
      <c r="V813" s="5">
        <f>_xlfn.XLOOKUP(CustomerCombined[[#This Row],[ID]], Table4[ID], Table4[Visits], "Not Found", 0)</f>
        <v>7</v>
      </c>
      <c r="W813" s="8">
        <f>_xlfn.XLOOKUP(CustomerCombined[[#This Row],[ID]], Table2[ID],Table2[Complaint], "Not Found", 0 )</f>
        <v>0</v>
      </c>
      <c r="X813" s="8">
        <f>_xlfn.XLOOKUP(CustomerCombined[[#This Row],[ID]], Table2[ID],Table2[Pilot], "Not Found", 0 )</f>
        <v>0</v>
      </c>
      <c r="Y813" s="8">
        <f>_xlfn.XLOOKUP(CustomerCombined[[#This Row],[ID]], Table2[ID],Table2[MC1], "Not Found", 0 )</f>
        <v>0</v>
      </c>
      <c r="Z813" s="8">
        <f>_xlfn.XLOOKUP(CustomerCombined[[#This Row],[ID]], Table2[ID],Table2[MC2], "Not Found", 0 )</f>
        <v>0</v>
      </c>
      <c r="AA813" s="8">
        <f>_xlfn.XLOOKUP(CustomerCombined[[#This Row],[ID]], Table2[ID],Table2[MC3], "Not Found", 0 )</f>
        <v>0</v>
      </c>
      <c r="AB813" s="8">
        <f>_xlfn.XLOOKUP(CustomerCombined[[#This Row],[ID]], Table2[ID],Table2[MC4], "Not Found", 0 )</f>
        <v>0</v>
      </c>
      <c r="AC813" s="8">
        <f>_xlfn.XLOOKUP(CustomerCombined[[#This Row],[ID]], Table2[ID],Table2[MC5], "Not Found", 0 )</f>
        <v>0</v>
      </c>
    </row>
    <row r="814" spans="1:29" x14ac:dyDescent="0.3">
      <c r="A814" s="6">
        <v>3164</v>
      </c>
      <c r="B814" s="6">
        <v>143322</v>
      </c>
      <c r="C814" s="6">
        <v>0</v>
      </c>
      <c r="D814" s="6">
        <v>0</v>
      </c>
      <c r="E814" s="6">
        <v>46</v>
      </c>
      <c r="F814" s="5" t="s">
        <v>7</v>
      </c>
      <c r="G814" s="5" t="s">
        <v>11</v>
      </c>
      <c r="H814" s="3" t="s">
        <v>61</v>
      </c>
      <c r="I814" s="5" t="s">
        <v>438</v>
      </c>
      <c r="J814" s="5">
        <f>_xlfn.XLOOKUP(CustomerCombined[[#This Row],[ID]], Table4[ID], Table4[Recency], "Not Found", 0)</f>
        <v>25</v>
      </c>
      <c r="K814" s="5">
        <f>_xlfn.XLOOKUP(CustomerCombined[[#This Row],[ID]], Table4[ID], Table4[Teas], "Not Found", 0)</f>
        <v>185</v>
      </c>
      <c r="L814" s="5">
        <f>_xlfn.XLOOKUP(CustomerCombined[[#This Row],[ID]], Table4[ID], Table4[Fruits], "Not Found", 0)</f>
        <v>23</v>
      </c>
      <c r="M814" s="5">
        <f>_xlfn.XLOOKUP(CustomerCombined[[#This Row],[ID]], Table4[ID], Table4[Meats], "Not Found", 0)</f>
        <v>159</v>
      </c>
      <c r="N814" s="5">
        <f>_xlfn.XLOOKUP(CustomerCombined[[#This Row],[ID]], Table4[ID], Table4[Seafood], "Not Found", 0)</f>
        <v>33</v>
      </c>
      <c r="O814" s="5">
        <f>_xlfn.XLOOKUP(CustomerCombined[[#This Row],[ID]], Table4[ID], Table4[Sweets], "Not Found", 0)</f>
        <v>7</v>
      </c>
      <c r="P814" s="5">
        <f>_xlfn.XLOOKUP(CustomerCombined[[#This Row],[ID]], Table4[ID], Table4[Premium], "Not Found", 0)</f>
        <v>60</v>
      </c>
      <c r="Q814" s="5">
        <f>_xlfn.XLOOKUP(CustomerCombined[[#This Row],[ID]], Table4[ID], Table4[Regular], "Not Found", 0)</f>
        <v>347</v>
      </c>
      <c r="R814" s="5">
        <f>_xlfn.XLOOKUP(CustomerCombined[[#This Row],[ID]], Table4[ID], Table4[Deals], "Not Found", 0)</f>
        <v>1</v>
      </c>
      <c r="S814" s="5">
        <f>_xlfn.XLOOKUP(CustomerCombined[[#This Row],[ID]], Table4[ID], Table4[Website], "Not Found", 0)</f>
        <v>3</v>
      </c>
      <c r="T814" s="5">
        <f>_xlfn.XLOOKUP(CustomerCombined[[#This Row],[ID]], Table4[ID], Table4[Catalog], "Not Found", 0)</f>
        <v>0</v>
      </c>
      <c r="U814" s="5">
        <f>_xlfn.XLOOKUP(CustomerCombined[[#This Row],[ID]], Table4[ID], Table4[Store], "Not Found", 0)</f>
        <v>4</v>
      </c>
      <c r="V814" s="5">
        <f>_xlfn.XLOOKUP(CustomerCombined[[#This Row],[ID]], Table4[ID], Table4[Visits], "Not Found", 0)</f>
        <v>7</v>
      </c>
      <c r="W814" s="8">
        <f>_xlfn.XLOOKUP(CustomerCombined[[#This Row],[ID]], Table2[ID],Table2[Complaint], "Not Found", 0 )</f>
        <v>0</v>
      </c>
      <c r="X814" s="8">
        <f>_xlfn.XLOOKUP(CustomerCombined[[#This Row],[ID]], Table2[ID],Table2[Pilot], "Not Found", 0 )</f>
        <v>0</v>
      </c>
      <c r="Y814" s="8">
        <f>_xlfn.XLOOKUP(CustomerCombined[[#This Row],[ID]], Table2[ID],Table2[MC1], "Not Found", 0 )</f>
        <v>0</v>
      </c>
      <c r="Z814" s="8">
        <f>_xlfn.XLOOKUP(CustomerCombined[[#This Row],[ID]], Table2[ID],Table2[MC2], "Not Found", 0 )</f>
        <v>0</v>
      </c>
      <c r="AA814" s="8">
        <f>_xlfn.XLOOKUP(CustomerCombined[[#This Row],[ID]], Table2[ID],Table2[MC3], "Not Found", 0 )</f>
        <v>0</v>
      </c>
      <c r="AB814" s="8">
        <f>_xlfn.XLOOKUP(CustomerCombined[[#This Row],[ID]], Table2[ID],Table2[MC4], "Not Found", 0 )</f>
        <v>0</v>
      </c>
      <c r="AC814" s="8">
        <f>_xlfn.XLOOKUP(CustomerCombined[[#This Row],[ID]], Table2[ID],Table2[MC5], "Not Found", 0 )</f>
        <v>0</v>
      </c>
    </row>
    <row r="815" spans="1:29" x14ac:dyDescent="0.3">
      <c r="A815" s="6">
        <v>3082</v>
      </c>
      <c r="B815" s="6">
        <v>143018</v>
      </c>
      <c r="C815" s="6">
        <v>0</v>
      </c>
      <c r="D815" s="6">
        <v>1</v>
      </c>
      <c r="E815" s="6">
        <v>46</v>
      </c>
      <c r="F815" s="5" t="s">
        <v>8</v>
      </c>
      <c r="G815" s="5" t="s">
        <v>12</v>
      </c>
      <c r="H815" s="3">
        <v>44016</v>
      </c>
      <c r="I815" s="5" t="s">
        <v>439</v>
      </c>
      <c r="J815" s="5">
        <f>_xlfn.XLOOKUP(CustomerCombined[[#This Row],[ID]], Table4[ID], Table4[Recency], "Not Found", 0)</f>
        <v>46</v>
      </c>
      <c r="K815" s="5">
        <f>_xlfn.XLOOKUP(CustomerCombined[[#This Row],[ID]], Table4[ID], Table4[Teas], "Not Found", 0)</f>
        <v>116</v>
      </c>
      <c r="L815" s="5">
        <f>_xlfn.XLOOKUP(CustomerCombined[[#This Row],[ID]], Table4[ID], Table4[Fruits], "Not Found", 0)</f>
        <v>13</v>
      </c>
      <c r="M815" s="5">
        <f>_xlfn.XLOOKUP(CustomerCombined[[#This Row],[ID]], Table4[ID], Table4[Meats], "Not Found", 0)</f>
        <v>57</v>
      </c>
      <c r="N815" s="5">
        <f>_xlfn.XLOOKUP(CustomerCombined[[#This Row],[ID]], Table4[ID], Table4[Seafood], "Not Found", 0)</f>
        <v>23</v>
      </c>
      <c r="O815" s="5">
        <f>_xlfn.XLOOKUP(CustomerCombined[[#This Row],[ID]], Table4[ID], Table4[Sweets], "Not Found", 0)</f>
        <v>20</v>
      </c>
      <c r="P815" s="5">
        <f>_xlfn.XLOOKUP(CustomerCombined[[#This Row],[ID]], Table4[ID], Table4[Premium], "Not Found", 0)</f>
        <v>213</v>
      </c>
      <c r="Q815" s="5">
        <f>_xlfn.XLOOKUP(CustomerCombined[[#This Row],[ID]], Table4[ID], Table4[Regular], "Not Found", 0)</f>
        <v>17</v>
      </c>
      <c r="R815" s="5">
        <f>_xlfn.XLOOKUP(CustomerCombined[[#This Row],[ID]], Table4[ID], Table4[Deals], "Not Found", 0)</f>
        <v>1</v>
      </c>
      <c r="S815" s="5">
        <f>_xlfn.XLOOKUP(CustomerCombined[[#This Row],[ID]], Table4[ID], Table4[Website], "Not Found", 0)</f>
        <v>2</v>
      </c>
      <c r="T815" s="5">
        <f>_xlfn.XLOOKUP(CustomerCombined[[#This Row],[ID]], Table4[ID], Table4[Catalog], "Not Found", 0)</f>
        <v>2</v>
      </c>
      <c r="U815" s="5">
        <f>_xlfn.XLOOKUP(CustomerCombined[[#This Row],[ID]], Table4[ID], Table4[Store], "Not Found", 0)</f>
        <v>2</v>
      </c>
      <c r="V815" s="5">
        <f>_xlfn.XLOOKUP(CustomerCombined[[#This Row],[ID]], Table4[ID], Table4[Visits], "Not Found", 0)</f>
        <v>5</v>
      </c>
      <c r="W815" s="8">
        <f>_xlfn.XLOOKUP(CustomerCombined[[#This Row],[ID]], Table2[ID],Table2[Complaint], "Not Found", 0 )</f>
        <v>0</v>
      </c>
      <c r="X815" s="8">
        <f>_xlfn.XLOOKUP(CustomerCombined[[#This Row],[ID]], Table2[ID],Table2[Pilot], "Not Found", 0 )</f>
        <v>0</v>
      </c>
      <c r="Y815" s="8">
        <f>_xlfn.XLOOKUP(CustomerCombined[[#This Row],[ID]], Table2[ID],Table2[MC1], "Not Found", 0 )</f>
        <v>0</v>
      </c>
      <c r="Z815" s="8">
        <f>_xlfn.XLOOKUP(CustomerCombined[[#This Row],[ID]], Table2[ID],Table2[MC2], "Not Found", 0 )</f>
        <v>0</v>
      </c>
      <c r="AA815" s="8">
        <f>_xlfn.XLOOKUP(CustomerCombined[[#This Row],[ID]], Table2[ID],Table2[MC3], "Not Found", 0 )</f>
        <v>0</v>
      </c>
      <c r="AB815" s="8">
        <f>_xlfn.XLOOKUP(CustomerCombined[[#This Row],[ID]], Table2[ID],Table2[MC4], "Not Found", 0 )</f>
        <v>0</v>
      </c>
      <c r="AC815" s="8">
        <f>_xlfn.XLOOKUP(CustomerCombined[[#This Row],[ID]], Table2[ID],Table2[MC5], "Not Found", 0 )</f>
        <v>0</v>
      </c>
    </row>
    <row r="816" spans="1:29" x14ac:dyDescent="0.3">
      <c r="A816" s="6">
        <v>2037</v>
      </c>
      <c r="B816" s="6">
        <v>142557</v>
      </c>
      <c r="C816" s="6">
        <v>0</v>
      </c>
      <c r="D816" s="6">
        <v>1</v>
      </c>
      <c r="E816" s="6">
        <v>46</v>
      </c>
      <c r="F816" s="5" t="s">
        <v>6</v>
      </c>
      <c r="G816" s="5" t="s">
        <v>11</v>
      </c>
      <c r="H816" s="3">
        <v>43526</v>
      </c>
      <c r="I816" s="5" t="s">
        <v>435</v>
      </c>
      <c r="J816" s="5">
        <f>_xlfn.XLOOKUP(CustomerCombined[[#This Row],[ID]], Table4[ID], Table4[Recency], "Not Found", 0)</f>
        <v>98</v>
      </c>
      <c r="K816" s="5">
        <f>_xlfn.XLOOKUP(CustomerCombined[[#This Row],[ID]], Table4[ID], Table4[Teas], "Not Found", 0)</f>
        <v>643</v>
      </c>
      <c r="L816" s="5">
        <f>_xlfn.XLOOKUP(CustomerCombined[[#This Row],[ID]], Table4[ID], Table4[Fruits], "Not Found", 0)</f>
        <v>17</v>
      </c>
      <c r="M816" s="5">
        <f>_xlfn.XLOOKUP(CustomerCombined[[#This Row],[ID]], Table4[ID], Table4[Meats], "Not Found", 0)</f>
        <v>178</v>
      </c>
      <c r="N816" s="5">
        <f>_xlfn.XLOOKUP(CustomerCombined[[#This Row],[ID]], Table4[ID], Table4[Seafood], "Not Found", 0)</f>
        <v>0</v>
      </c>
      <c r="O816" s="5">
        <f>_xlfn.XLOOKUP(CustomerCombined[[#This Row],[ID]], Table4[ID], Table4[Sweets], "Not Found", 0)</f>
        <v>17</v>
      </c>
      <c r="P816" s="5">
        <f>_xlfn.XLOOKUP(CustomerCombined[[#This Row],[ID]], Table4[ID], Table4[Premium], "Not Found", 0)</f>
        <v>50</v>
      </c>
      <c r="Q816" s="5">
        <f>_xlfn.XLOOKUP(CustomerCombined[[#This Row],[ID]], Table4[ID], Table4[Regular], "Not Found", 0)</f>
        <v>804</v>
      </c>
      <c r="R816" s="5">
        <f>_xlfn.XLOOKUP(CustomerCombined[[#This Row],[ID]], Table4[ID], Table4[Deals], "Not Found", 0)</f>
        <v>4</v>
      </c>
      <c r="S816" s="5">
        <f>_xlfn.XLOOKUP(CustomerCombined[[#This Row],[ID]], Table4[ID], Table4[Website], "Not Found", 0)</f>
        <v>6</v>
      </c>
      <c r="T816" s="5">
        <f>_xlfn.XLOOKUP(CustomerCombined[[#This Row],[ID]], Table4[ID], Table4[Catalog], "Not Found", 0)</f>
        <v>1</v>
      </c>
      <c r="U816" s="5">
        <f>_xlfn.XLOOKUP(CustomerCombined[[#This Row],[ID]], Table4[ID], Table4[Store], "Not Found", 0)</f>
        <v>4</v>
      </c>
      <c r="V816" s="5">
        <f>_xlfn.XLOOKUP(CustomerCombined[[#This Row],[ID]], Table4[ID], Table4[Visits], "Not Found", 0)</f>
        <v>8</v>
      </c>
      <c r="W816" s="8">
        <f>_xlfn.XLOOKUP(CustomerCombined[[#This Row],[ID]], Table2[ID],Table2[Complaint], "Not Found", 0 )</f>
        <v>0</v>
      </c>
      <c r="X816" s="8">
        <f>_xlfn.XLOOKUP(CustomerCombined[[#This Row],[ID]], Table2[ID],Table2[Pilot], "Not Found", 0 )</f>
        <v>0</v>
      </c>
      <c r="Y816" s="8">
        <f>_xlfn.XLOOKUP(CustomerCombined[[#This Row],[ID]], Table2[ID],Table2[MC1], "Not Found", 0 )</f>
        <v>0</v>
      </c>
      <c r="Z816" s="8">
        <f>_xlfn.XLOOKUP(CustomerCombined[[#This Row],[ID]], Table2[ID],Table2[MC2], "Not Found", 0 )</f>
        <v>0</v>
      </c>
      <c r="AA816" s="8">
        <f>_xlfn.XLOOKUP(CustomerCombined[[#This Row],[ID]], Table2[ID],Table2[MC3], "Not Found", 0 )</f>
        <v>0</v>
      </c>
      <c r="AB816" s="8">
        <f>_xlfn.XLOOKUP(CustomerCombined[[#This Row],[ID]], Table2[ID],Table2[MC4], "Not Found", 0 )</f>
        <v>0</v>
      </c>
      <c r="AC816" s="8">
        <f>_xlfn.XLOOKUP(CustomerCombined[[#This Row],[ID]], Table2[ID],Table2[MC5], "Not Found", 0 )</f>
        <v>0</v>
      </c>
    </row>
    <row r="817" spans="1:29" x14ac:dyDescent="0.3">
      <c r="A817" s="6">
        <v>1386</v>
      </c>
      <c r="B817" s="6">
        <v>142373</v>
      </c>
      <c r="C817" s="6">
        <v>1</v>
      </c>
      <c r="D817" s="6">
        <v>1</v>
      </c>
      <c r="E817" s="6">
        <v>46</v>
      </c>
      <c r="F817" s="5" t="s">
        <v>7</v>
      </c>
      <c r="G817" s="5" t="s">
        <v>11</v>
      </c>
      <c r="H817" s="3" t="s">
        <v>202</v>
      </c>
      <c r="I817" s="5" t="s">
        <v>436</v>
      </c>
      <c r="J817" s="5">
        <f>_xlfn.XLOOKUP(CustomerCombined[[#This Row],[ID]], Table4[ID], Table4[Recency], "Not Found", 0)</f>
        <v>83</v>
      </c>
      <c r="K817" s="5">
        <f>_xlfn.XLOOKUP(CustomerCombined[[#This Row],[ID]], Table4[ID], Table4[Teas], "Not Found", 0)</f>
        <v>225</v>
      </c>
      <c r="L817" s="5">
        <f>_xlfn.XLOOKUP(CustomerCombined[[#This Row],[ID]], Table4[ID], Table4[Fruits], "Not Found", 0)</f>
        <v>17</v>
      </c>
      <c r="M817" s="5">
        <f>_xlfn.XLOOKUP(CustomerCombined[[#This Row],[ID]], Table4[ID], Table4[Meats], "Not Found", 0)</f>
        <v>205</v>
      </c>
      <c r="N817" s="5">
        <f>_xlfn.XLOOKUP(CustomerCombined[[#This Row],[ID]], Table4[ID], Table4[Seafood], "Not Found", 0)</f>
        <v>10</v>
      </c>
      <c r="O817" s="5">
        <f>_xlfn.XLOOKUP(CustomerCombined[[#This Row],[ID]], Table4[ID], Table4[Sweets], "Not Found", 0)</f>
        <v>27</v>
      </c>
      <c r="P817" s="5">
        <f>_xlfn.XLOOKUP(CustomerCombined[[#This Row],[ID]], Table4[ID], Table4[Premium], "Not Found", 0)</f>
        <v>64</v>
      </c>
      <c r="Q817" s="5">
        <f>_xlfn.XLOOKUP(CustomerCombined[[#This Row],[ID]], Table4[ID], Table4[Regular], "Not Found", 0)</f>
        <v>420</v>
      </c>
      <c r="R817" s="5">
        <f>_xlfn.XLOOKUP(CustomerCombined[[#This Row],[ID]], Table4[ID], Table4[Deals], "Not Found", 0)</f>
        <v>5</v>
      </c>
      <c r="S817" s="5">
        <f>_xlfn.XLOOKUP(CustomerCombined[[#This Row],[ID]], Table4[ID], Table4[Website], "Not Found", 0)</f>
        <v>2</v>
      </c>
      <c r="T817" s="5">
        <f>_xlfn.XLOOKUP(CustomerCombined[[#This Row],[ID]], Table4[ID], Table4[Catalog], "Not Found", 0)</f>
        <v>1</v>
      </c>
      <c r="U817" s="5">
        <f>_xlfn.XLOOKUP(CustomerCombined[[#This Row],[ID]], Table4[ID], Table4[Store], "Not Found", 0)</f>
        <v>5</v>
      </c>
      <c r="V817" s="5">
        <f>_xlfn.XLOOKUP(CustomerCombined[[#This Row],[ID]], Table4[ID], Table4[Visits], "Not Found", 0)</f>
        <v>5</v>
      </c>
      <c r="W817" s="8">
        <f>_xlfn.XLOOKUP(CustomerCombined[[#This Row],[ID]], Table2[ID],Table2[Complaint], "Not Found", 0 )</f>
        <v>0</v>
      </c>
      <c r="X817" s="8">
        <f>_xlfn.XLOOKUP(CustomerCombined[[#This Row],[ID]], Table2[ID],Table2[Pilot], "Not Found", 0 )</f>
        <v>0</v>
      </c>
      <c r="Y817" s="8">
        <f>_xlfn.XLOOKUP(CustomerCombined[[#This Row],[ID]], Table2[ID],Table2[MC1], "Not Found", 0 )</f>
        <v>0</v>
      </c>
      <c r="Z817" s="8">
        <f>_xlfn.XLOOKUP(CustomerCombined[[#This Row],[ID]], Table2[ID],Table2[MC2], "Not Found", 0 )</f>
        <v>0</v>
      </c>
      <c r="AA817" s="8">
        <f>_xlfn.XLOOKUP(CustomerCombined[[#This Row],[ID]], Table2[ID],Table2[MC3], "Not Found", 0 )</f>
        <v>0</v>
      </c>
      <c r="AB817" s="8">
        <f>_xlfn.XLOOKUP(CustomerCombined[[#This Row],[ID]], Table2[ID],Table2[MC4], "Not Found", 0 )</f>
        <v>0</v>
      </c>
      <c r="AC817" s="8">
        <f>_xlfn.XLOOKUP(CustomerCombined[[#This Row],[ID]], Table2[ID],Table2[MC5], "Not Found", 0 )</f>
        <v>0</v>
      </c>
    </row>
    <row r="818" spans="1:29" x14ac:dyDescent="0.3">
      <c r="A818" s="6">
        <v>2145</v>
      </c>
      <c r="B818" s="6">
        <v>140344</v>
      </c>
      <c r="C818" s="6">
        <v>0</v>
      </c>
      <c r="D818" s="6">
        <v>1</v>
      </c>
      <c r="E818" s="6">
        <v>46</v>
      </c>
      <c r="F818" s="5" t="s">
        <v>6</v>
      </c>
      <c r="G818" s="5" t="s">
        <v>13</v>
      </c>
      <c r="H818" s="3" t="s">
        <v>169</v>
      </c>
      <c r="I818" s="5" t="s">
        <v>435</v>
      </c>
      <c r="J818" s="5">
        <f>_xlfn.XLOOKUP(CustomerCombined[[#This Row],[ID]], Table4[ID], Table4[Recency], "Not Found", 0)</f>
        <v>48</v>
      </c>
      <c r="K818" s="5">
        <f>_xlfn.XLOOKUP(CustomerCombined[[#This Row],[ID]], Table4[ID], Table4[Teas], "Not Found", 0)</f>
        <v>731</v>
      </c>
      <c r="L818" s="5">
        <f>_xlfn.XLOOKUP(CustomerCombined[[#This Row],[ID]], Table4[ID], Table4[Fruits], "Not Found", 0)</f>
        <v>0</v>
      </c>
      <c r="M818" s="5">
        <f>_xlfn.XLOOKUP(CustomerCombined[[#This Row],[ID]], Table4[ID], Table4[Meats], "Not Found", 0)</f>
        <v>21</v>
      </c>
      <c r="N818" s="5">
        <f>_xlfn.XLOOKUP(CustomerCombined[[#This Row],[ID]], Table4[ID], Table4[Seafood], "Not Found", 0)</f>
        <v>0</v>
      </c>
      <c r="O818" s="5">
        <f>_xlfn.XLOOKUP(CustomerCombined[[#This Row],[ID]], Table4[ID], Table4[Sweets], "Not Found", 0)</f>
        <v>0</v>
      </c>
      <c r="P818" s="5">
        <f>_xlfn.XLOOKUP(CustomerCombined[[#This Row],[ID]], Table4[ID], Table4[Premium], "Not Found", 0)</f>
        <v>7</v>
      </c>
      <c r="Q818" s="5">
        <f>_xlfn.XLOOKUP(CustomerCombined[[#This Row],[ID]], Table4[ID], Table4[Regular], "Not Found", 0)</f>
        <v>744</v>
      </c>
      <c r="R818" s="5">
        <f>_xlfn.XLOOKUP(CustomerCombined[[#This Row],[ID]], Table4[ID], Table4[Deals], "Not Found", 0)</f>
        <v>2</v>
      </c>
      <c r="S818" s="5">
        <f>_xlfn.XLOOKUP(CustomerCombined[[#This Row],[ID]], Table4[ID], Table4[Website], "Not Found", 0)</f>
        <v>4</v>
      </c>
      <c r="T818" s="5">
        <f>_xlfn.XLOOKUP(CustomerCombined[[#This Row],[ID]], Table4[ID], Table4[Catalog], "Not Found", 0)</f>
        <v>1</v>
      </c>
      <c r="U818" s="5">
        <f>_xlfn.XLOOKUP(CustomerCombined[[#This Row],[ID]], Table4[ID], Table4[Store], "Not Found", 0)</f>
        <v>5</v>
      </c>
      <c r="V818" s="5">
        <f>_xlfn.XLOOKUP(CustomerCombined[[#This Row],[ID]], Table4[ID], Table4[Visits], "Not Found", 0)</f>
        <v>7</v>
      </c>
      <c r="W818" s="8">
        <f>_xlfn.XLOOKUP(CustomerCombined[[#This Row],[ID]], Table2[ID],Table2[Complaint], "Not Found", 0 )</f>
        <v>0</v>
      </c>
      <c r="X818" s="8">
        <f>_xlfn.XLOOKUP(CustomerCombined[[#This Row],[ID]], Table2[ID],Table2[Pilot], "Not Found", 0 )</f>
        <v>0</v>
      </c>
      <c r="Y818" s="8">
        <f>_xlfn.XLOOKUP(CustomerCombined[[#This Row],[ID]], Table2[ID],Table2[MC1], "Not Found", 0 )</f>
        <v>0</v>
      </c>
      <c r="Z818" s="8">
        <f>_xlfn.XLOOKUP(CustomerCombined[[#This Row],[ID]], Table2[ID],Table2[MC2], "Not Found", 0 )</f>
        <v>0</v>
      </c>
      <c r="AA818" s="8">
        <f>_xlfn.XLOOKUP(CustomerCombined[[#This Row],[ID]], Table2[ID],Table2[MC3], "Not Found", 0 )</f>
        <v>0</v>
      </c>
      <c r="AB818" s="8">
        <f>_xlfn.XLOOKUP(CustomerCombined[[#This Row],[ID]], Table2[ID],Table2[MC4], "Not Found", 0 )</f>
        <v>0</v>
      </c>
      <c r="AC818" s="8">
        <f>_xlfn.XLOOKUP(CustomerCombined[[#This Row],[ID]], Table2[ID],Table2[MC5], "Not Found", 0 )</f>
        <v>0</v>
      </c>
    </row>
    <row r="819" spans="1:29" x14ac:dyDescent="0.3">
      <c r="A819" s="6">
        <v>1822</v>
      </c>
      <c r="B819" s="6">
        <v>140049</v>
      </c>
      <c r="C819" s="6">
        <v>0</v>
      </c>
      <c r="D819" s="6">
        <v>1</v>
      </c>
      <c r="E819" s="6">
        <v>46</v>
      </c>
      <c r="F819" s="5" t="s">
        <v>6</v>
      </c>
      <c r="G819" s="5" t="s">
        <v>11</v>
      </c>
      <c r="H819" s="3">
        <v>43621</v>
      </c>
      <c r="I819" s="5" t="s">
        <v>439</v>
      </c>
      <c r="J819" s="5">
        <f>_xlfn.XLOOKUP(CustomerCombined[[#This Row],[ID]], Table4[ID], Table4[Recency], "Not Found", 0)</f>
        <v>61</v>
      </c>
      <c r="K819" s="5">
        <f>_xlfn.XLOOKUP(CustomerCombined[[#This Row],[ID]], Table4[ID], Table4[Teas], "Not Found", 0)</f>
        <v>318</v>
      </c>
      <c r="L819" s="5">
        <f>_xlfn.XLOOKUP(CustomerCombined[[#This Row],[ID]], Table4[ID], Table4[Fruits], "Not Found", 0)</f>
        <v>227</v>
      </c>
      <c r="M819" s="5">
        <f>_xlfn.XLOOKUP(CustomerCombined[[#This Row],[ID]], Table4[ID], Table4[Meats], "Not Found", 0)</f>
        <v>182</v>
      </c>
      <c r="N819" s="5">
        <f>_xlfn.XLOOKUP(CustomerCombined[[#This Row],[ID]], Table4[ID], Table4[Seafood], "Not Found", 0)</f>
        <v>35</v>
      </c>
      <c r="O819" s="5">
        <f>_xlfn.XLOOKUP(CustomerCombined[[#This Row],[ID]], Table4[ID], Table4[Sweets], "Not Found", 0)</f>
        <v>154</v>
      </c>
      <c r="P819" s="5">
        <f>_xlfn.XLOOKUP(CustomerCombined[[#This Row],[ID]], Table4[ID], Table4[Premium], "Not Found", 0)</f>
        <v>98</v>
      </c>
      <c r="Q819" s="5">
        <f>_xlfn.XLOOKUP(CustomerCombined[[#This Row],[ID]], Table4[ID], Table4[Regular], "Not Found", 0)</f>
        <v>818</v>
      </c>
      <c r="R819" s="5">
        <f>_xlfn.XLOOKUP(CustomerCombined[[#This Row],[ID]], Table4[ID], Table4[Deals], "Not Found", 0)</f>
        <v>3</v>
      </c>
      <c r="S819" s="5">
        <f>_xlfn.XLOOKUP(CustomerCombined[[#This Row],[ID]], Table4[ID], Table4[Website], "Not Found", 0)</f>
        <v>3</v>
      </c>
      <c r="T819" s="5">
        <f>_xlfn.XLOOKUP(CustomerCombined[[#This Row],[ID]], Table4[ID], Table4[Catalog], "Not Found", 0)</f>
        <v>2</v>
      </c>
      <c r="U819" s="5">
        <f>_xlfn.XLOOKUP(CustomerCombined[[#This Row],[ID]], Table4[ID], Table4[Store], "Not Found", 0)</f>
        <v>6</v>
      </c>
      <c r="V819" s="5">
        <f>_xlfn.XLOOKUP(CustomerCombined[[#This Row],[ID]], Table4[ID], Table4[Visits], "Not Found", 0)</f>
        <v>5</v>
      </c>
      <c r="W819" s="8">
        <f>_xlfn.XLOOKUP(CustomerCombined[[#This Row],[ID]], Table2[ID],Table2[Complaint], "Not Found", 0 )</f>
        <v>0</v>
      </c>
      <c r="X819" s="8">
        <f>_xlfn.XLOOKUP(CustomerCombined[[#This Row],[ID]], Table2[ID],Table2[Pilot], "Not Found", 0 )</f>
        <v>0</v>
      </c>
      <c r="Y819" s="8">
        <f>_xlfn.XLOOKUP(CustomerCombined[[#This Row],[ID]], Table2[ID],Table2[MC1], "Not Found", 0 )</f>
        <v>0</v>
      </c>
      <c r="Z819" s="8">
        <f>_xlfn.XLOOKUP(CustomerCombined[[#This Row],[ID]], Table2[ID],Table2[MC2], "Not Found", 0 )</f>
        <v>0</v>
      </c>
      <c r="AA819" s="8">
        <f>_xlfn.XLOOKUP(CustomerCombined[[#This Row],[ID]], Table2[ID],Table2[MC3], "Not Found", 0 )</f>
        <v>0</v>
      </c>
      <c r="AB819" s="8">
        <f>_xlfn.XLOOKUP(CustomerCombined[[#This Row],[ID]], Table2[ID],Table2[MC4], "Not Found", 0 )</f>
        <v>0</v>
      </c>
      <c r="AC819" s="8">
        <f>_xlfn.XLOOKUP(CustomerCombined[[#This Row],[ID]], Table2[ID],Table2[MC5], "Not Found", 0 )</f>
        <v>0</v>
      </c>
    </row>
    <row r="820" spans="1:29" x14ac:dyDescent="0.3">
      <c r="A820" s="6">
        <v>2372</v>
      </c>
      <c r="B820" s="6">
        <v>139996</v>
      </c>
      <c r="C820" s="6">
        <v>1</v>
      </c>
      <c r="D820" s="6">
        <v>1</v>
      </c>
      <c r="E820" s="6">
        <v>46</v>
      </c>
      <c r="F820" s="5" t="s">
        <v>5</v>
      </c>
      <c r="G820" s="5" t="s">
        <v>11</v>
      </c>
      <c r="H820" s="3" t="s">
        <v>45</v>
      </c>
      <c r="I820" s="5" t="s">
        <v>438</v>
      </c>
      <c r="J820" s="5">
        <f>_xlfn.XLOOKUP(CustomerCombined[[#This Row],[ID]], Table4[ID], Table4[Recency], "Not Found", 0)</f>
        <v>85</v>
      </c>
      <c r="K820" s="5">
        <f>_xlfn.XLOOKUP(CustomerCombined[[#This Row],[ID]], Table4[ID], Table4[Teas], "Not Found", 0)</f>
        <v>39</v>
      </c>
      <c r="L820" s="5">
        <f>_xlfn.XLOOKUP(CustomerCombined[[#This Row],[ID]], Table4[ID], Table4[Fruits], "Not Found", 0)</f>
        <v>0</v>
      </c>
      <c r="M820" s="5">
        <f>_xlfn.XLOOKUP(CustomerCombined[[#This Row],[ID]], Table4[ID], Table4[Meats], "Not Found", 0)</f>
        <v>11</v>
      </c>
      <c r="N820" s="5">
        <f>_xlfn.XLOOKUP(CustomerCombined[[#This Row],[ID]], Table4[ID], Table4[Seafood], "Not Found", 0)</f>
        <v>0</v>
      </c>
      <c r="O820" s="5">
        <f>_xlfn.XLOOKUP(CustomerCombined[[#This Row],[ID]], Table4[ID], Table4[Sweets], "Not Found", 0)</f>
        <v>0</v>
      </c>
      <c r="P820" s="5">
        <f>_xlfn.XLOOKUP(CustomerCombined[[#This Row],[ID]], Table4[ID], Table4[Premium], "Not Found", 0)</f>
        <v>4</v>
      </c>
      <c r="Q820" s="5">
        <f>_xlfn.XLOOKUP(CustomerCombined[[#This Row],[ID]], Table4[ID], Table4[Regular], "Not Found", 0)</f>
        <v>46</v>
      </c>
      <c r="R820" s="5">
        <f>_xlfn.XLOOKUP(CustomerCombined[[#This Row],[ID]], Table4[ID], Table4[Deals], "Not Found", 0)</f>
        <v>1</v>
      </c>
      <c r="S820" s="5">
        <f>_xlfn.XLOOKUP(CustomerCombined[[#This Row],[ID]], Table4[ID], Table4[Website], "Not Found", 0)</f>
        <v>1</v>
      </c>
      <c r="T820" s="5">
        <f>_xlfn.XLOOKUP(CustomerCombined[[#This Row],[ID]], Table4[ID], Table4[Catalog], "Not Found", 0)</f>
        <v>0</v>
      </c>
      <c r="U820" s="5">
        <f>_xlfn.XLOOKUP(CustomerCombined[[#This Row],[ID]], Table4[ID], Table4[Store], "Not Found", 0)</f>
        <v>2</v>
      </c>
      <c r="V820" s="5">
        <f>_xlfn.XLOOKUP(CustomerCombined[[#This Row],[ID]], Table4[ID], Table4[Visits], "Not Found", 0)</f>
        <v>6</v>
      </c>
      <c r="W820" s="8">
        <f>_xlfn.XLOOKUP(CustomerCombined[[#This Row],[ID]], Table2[ID],Table2[Complaint], "Not Found", 0 )</f>
        <v>0</v>
      </c>
      <c r="X820" s="8">
        <f>_xlfn.XLOOKUP(CustomerCombined[[#This Row],[ID]], Table2[ID],Table2[Pilot], "Not Found", 0 )</f>
        <v>0</v>
      </c>
      <c r="Y820" s="8">
        <f>_xlfn.XLOOKUP(CustomerCombined[[#This Row],[ID]], Table2[ID],Table2[MC1], "Not Found", 0 )</f>
        <v>0</v>
      </c>
      <c r="Z820" s="8">
        <f>_xlfn.XLOOKUP(CustomerCombined[[#This Row],[ID]], Table2[ID],Table2[MC2], "Not Found", 0 )</f>
        <v>0</v>
      </c>
      <c r="AA820" s="8">
        <f>_xlfn.XLOOKUP(CustomerCombined[[#This Row],[ID]], Table2[ID],Table2[MC3], "Not Found", 0 )</f>
        <v>0</v>
      </c>
      <c r="AB820" s="8">
        <f>_xlfn.XLOOKUP(CustomerCombined[[#This Row],[ID]], Table2[ID],Table2[MC4], "Not Found", 0 )</f>
        <v>0</v>
      </c>
      <c r="AC820" s="8">
        <f>_xlfn.XLOOKUP(CustomerCombined[[#This Row],[ID]], Table2[ID],Table2[MC5], "Not Found", 0 )</f>
        <v>0</v>
      </c>
    </row>
    <row r="821" spans="1:29" x14ac:dyDescent="0.3">
      <c r="A821" s="6">
        <v>2072</v>
      </c>
      <c r="B821" s="6">
        <v>139190</v>
      </c>
      <c r="C821" s="6">
        <v>1</v>
      </c>
      <c r="D821" s="6">
        <v>0</v>
      </c>
      <c r="E821" s="6">
        <v>46</v>
      </c>
      <c r="F821" s="5" t="s">
        <v>7</v>
      </c>
      <c r="G821" s="5" t="s">
        <v>13</v>
      </c>
      <c r="H821" s="3" t="s">
        <v>56</v>
      </c>
      <c r="I821" s="5" t="s">
        <v>438</v>
      </c>
      <c r="J821" s="5">
        <f>_xlfn.XLOOKUP(CustomerCombined[[#This Row],[ID]], Table4[ID], Table4[Recency], "Not Found", 0)</f>
        <v>91</v>
      </c>
      <c r="K821" s="5">
        <f>_xlfn.XLOOKUP(CustomerCombined[[#This Row],[ID]], Table4[ID], Table4[Teas], "Not Found", 0)</f>
        <v>242</v>
      </c>
      <c r="L821" s="5">
        <f>_xlfn.XLOOKUP(CustomerCombined[[#This Row],[ID]], Table4[ID], Table4[Fruits], "Not Found", 0)</f>
        <v>28</v>
      </c>
      <c r="M821" s="5">
        <f>_xlfn.XLOOKUP(CustomerCombined[[#This Row],[ID]], Table4[ID], Table4[Meats], "Not Found", 0)</f>
        <v>64</v>
      </c>
      <c r="N821" s="5">
        <f>_xlfn.XLOOKUP(CustomerCombined[[#This Row],[ID]], Table4[ID], Table4[Seafood], "Not Found", 0)</f>
        <v>67</v>
      </c>
      <c r="O821" s="5">
        <f>_xlfn.XLOOKUP(CustomerCombined[[#This Row],[ID]], Table4[ID], Table4[Sweets], "Not Found", 0)</f>
        <v>28</v>
      </c>
      <c r="P821" s="5">
        <f>_xlfn.XLOOKUP(CustomerCombined[[#This Row],[ID]], Table4[ID], Table4[Premium], "Not Found", 0)</f>
        <v>43</v>
      </c>
      <c r="Q821" s="5">
        <f>_xlfn.XLOOKUP(CustomerCombined[[#This Row],[ID]], Table4[ID], Table4[Regular], "Not Found", 0)</f>
        <v>387</v>
      </c>
      <c r="R821" s="5">
        <f>_xlfn.XLOOKUP(CustomerCombined[[#This Row],[ID]], Table4[ID], Table4[Deals], "Not Found", 0)</f>
        <v>2</v>
      </c>
      <c r="S821" s="5">
        <f>_xlfn.XLOOKUP(CustomerCombined[[#This Row],[ID]], Table4[ID], Table4[Website], "Not Found", 0)</f>
        <v>2</v>
      </c>
      <c r="T821" s="5">
        <f>_xlfn.XLOOKUP(CustomerCombined[[#This Row],[ID]], Table4[ID], Table4[Catalog], "Not Found", 0)</f>
        <v>1</v>
      </c>
      <c r="U821" s="5">
        <f>_xlfn.XLOOKUP(CustomerCombined[[#This Row],[ID]], Table4[ID], Table4[Store], "Not Found", 0)</f>
        <v>4</v>
      </c>
      <c r="V821" s="5">
        <f>_xlfn.XLOOKUP(CustomerCombined[[#This Row],[ID]], Table4[ID], Table4[Visits], "Not Found", 0)</f>
        <v>5</v>
      </c>
      <c r="W821" s="8">
        <f>_xlfn.XLOOKUP(CustomerCombined[[#This Row],[ID]], Table2[ID],Table2[Complaint], "Not Found", 0 )</f>
        <v>0</v>
      </c>
      <c r="X821" s="8">
        <f>_xlfn.XLOOKUP(CustomerCombined[[#This Row],[ID]], Table2[ID],Table2[Pilot], "Not Found", 0 )</f>
        <v>0</v>
      </c>
      <c r="Y821" s="8">
        <f>_xlfn.XLOOKUP(CustomerCombined[[#This Row],[ID]], Table2[ID],Table2[MC1], "Not Found", 0 )</f>
        <v>0</v>
      </c>
      <c r="Z821" s="8">
        <f>_xlfn.XLOOKUP(CustomerCombined[[#This Row],[ID]], Table2[ID],Table2[MC2], "Not Found", 0 )</f>
        <v>0</v>
      </c>
      <c r="AA821" s="8">
        <f>_xlfn.XLOOKUP(CustomerCombined[[#This Row],[ID]], Table2[ID],Table2[MC3], "Not Found", 0 )</f>
        <v>0</v>
      </c>
      <c r="AB821" s="8">
        <f>_xlfn.XLOOKUP(CustomerCombined[[#This Row],[ID]], Table2[ID],Table2[MC4], "Not Found", 0 )</f>
        <v>0</v>
      </c>
      <c r="AC821" s="8">
        <f>_xlfn.XLOOKUP(CustomerCombined[[#This Row],[ID]], Table2[ID],Table2[MC5], "Not Found", 0 )</f>
        <v>0</v>
      </c>
    </row>
    <row r="822" spans="1:29" x14ac:dyDescent="0.3">
      <c r="A822" s="6">
        <v>2435</v>
      </c>
      <c r="B822" s="6">
        <v>138410</v>
      </c>
      <c r="C822" s="6">
        <v>0</v>
      </c>
      <c r="D822" s="6">
        <v>0</v>
      </c>
      <c r="E822" s="6">
        <v>46</v>
      </c>
      <c r="F822" s="5" t="s">
        <v>6</v>
      </c>
      <c r="G822" s="5" t="s">
        <v>13</v>
      </c>
      <c r="H822" s="3" t="s">
        <v>396</v>
      </c>
      <c r="I822" s="5" t="s">
        <v>434</v>
      </c>
      <c r="J822" s="5">
        <f>_xlfn.XLOOKUP(CustomerCombined[[#This Row],[ID]], Table4[ID], Table4[Recency], "Not Found", 0)</f>
        <v>65</v>
      </c>
      <c r="K822" s="5">
        <f>_xlfn.XLOOKUP(CustomerCombined[[#This Row],[ID]], Table4[ID], Table4[Teas], "Not Found", 0)</f>
        <v>551</v>
      </c>
      <c r="L822" s="5">
        <f>_xlfn.XLOOKUP(CustomerCombined[[#This Row],[ID]], Table4[ID], Table4[Fruits], "Not Found", 0)</f>
        <v>231</v>
      </c>
      <c r="M822" s="5">
        <f>_xlfn.XLOOKUP(CustomerCombined[[#This Row],[ID]], Table4[ID], Table4[Meats], "Not Found", 0)</f>
        <v>443</v>
      </c>
      <c r="N822" s="5">
        <f>_xlfn.XLOOKUP(CustomerCombined[[#This Row],[ID]], Table4[ID], Table4[Seafood], "Not Found", 0)</f>
        <v>418</v>
      </c>
      <c r="O822" s="5">
        <f>_xlfn.XLOOKUP(CustomerCombined[[#This Row],[ID]], Table4[ID], Table4[Sweets], "Not Found", 0)</f>
        <v>231</v>
      </c>
      <c r="P822" s="5">
        <f>_xlfn.XLOOKUP(CustomerCombined[[#This Row],[ID]], Table4[ID], Table4[Premium], "Not Found", 0)</f>
        <v>50</v>
      </c>
      <c r="Q822" s="5">
        <f>_xlfn.XLOOKUP(CustomerCombined[[#This Row],[ID]], Table4[ID], Table4[Regular], "Not Found", 0)</f>
        <v>1823</v>
      </c>
      <c r="R822" s="5">
        <f>_xlfn.XLOOKUP(CustomerCombined[[#This Row],[ID]], Table4[ID], Table4[Deals], "Not Found", 0)</f>
        <v>2</v>
      </c>
      <c r="S822" s="5">
        <f>_xlfn.XLOOKUP(CustomerCombined[[#This Row],[ID]], Table4[ID], Table4[Website], "Not Found", 0)</f>
        <v>5</v>
      </c>
      <c r="T822" s="5">
        <f>_xlfn.XLOOKUP(CustomerCombined[[#This Row],[ID]], Table4[ID], Table4[Catalog], "Not Found", 0)</f>
        <v>2</v>
      </c>
      <c r="U822" s="5">
        <f>_xlfn.XLOOKUP(CustomerCombined[[#This Row],[ID]], Table4[ID], Table4[Store], "Not Found", 0)</f>
        <v>9</v>
      </c>
      <c r="V822" s="5">
        <f>_xlfn.XLOOKUP(CustomerCombined[[#This Row],[ID]], Table4[ID], Table4[Visits], "Not Found", 0)</f>
        <v>6</v>
      </c>
      <c r="W822" s="8">
        <f>_xlfn.XLOOKUP(CustomerCombined[[#This Row],[ID]], Table2[ID],Table2[Complaint], "Not Found", 0 )</f>
        <v>0</v>
      </c>
      <c r="X822" s="8">
        <f>_xlfn.XLOOKUP(CustomerCombined[[#This Row],[ID]], Table2[ID],Table2[Pilot], "Not Found", 0 )</f>
        <v>1</v>
      </c>
      <c r="Y822" s="8">
        <f>_xlfn.XLOOKUP(CustomerCombined[[#This Row],[ID]], Table2[ID],Table2[MC1], "Not Found", 0 )</f>
        <v>0</v>
      </c>
      <c r="Z822" s="8">
        <f>_xlfn.XLOOKUP(CustomerCombined[[#This Row],[ID]], Table2[ID],Table2[MC2], "Not Found", 0 )</f>
        <v>0</v>
      </c>
      <c r="AA822" s="8">
        <f>_xlfn.XLOOKUP(CustomerCombined[[#This Row],[ID]], Table2[ID],Table2[MC3], "Not Found", 0 )</f>
        <v>0</v>
      </c>
      <c r="AB822" s="8">
        <f>_xlfn.XLOOKUP(CustomerCombined[[#This Row],[ID]], Table2[ID],Table2[MC4], "Not Found", 0 )</f>
        <v>0</v>
      </c>
      <c r="AC822" s="8">
        <f>_xlfn.XLOOKUP(CustomerCombined[[#This Row],[ID]], Table2[ID],Table2[MC5], "Not Found", 0 )</f>
        <v>0</v>
      </c>
    </row>
    <row r="823" spans="1:29" x14ac:dyDescent="0.3">
      <c r="A823" s="6">
        <v>1879</v>
      </c>
      <c r="B823" s="6">
        <v>137087</v>
      </c>
      <c r="C823" s="6">
        <v>1</v>
      </c>
      <c r="D823" s="6">
        <v>0</v>
      </c>
      <c r="E823" s="6">
        <v>46</v>
      </c>
      <c r="F823" s="5" t="s">
        <v>6</v>
      </c>
      <c r="G823" s="5" t="s">
        <v>13</v>
      </c>
      <c r="H823" s="3" t="s">
        <v>206</v>
      </c>
      <c r="I823" s="5" t="s">
        <v>437</v>
      </c>
      <c r="J823" s="5">
        <f>_xlfn.XLOOKUP(CustomerCombined[[#This Row],[ID]], Table4[ID], Table4[Recency], "Not Found", 0)</f>
        <v>50</v>
      </c>
      <c r="K823" s="5">
        <f>_xlfn.XLOOKUP(CustomerCombined[[#This Row],[ID]], Table4[ID], Table4[Teas], "Not Found", 0)</f>
        <v>717</v>
      </c>
      <c r="L823" s="5">
        <f>_xlfn.XLOOKUP(CustomerCombined[[#This Row],[ID]], Table4[ID], Table4[Fruits], "Not Found", 0)</f>
        <v>203</v>
      </c>
      <c r="M823" s="5">
        <f>_xlfn.XLOOKUP(CustomerCombined[[#This Row],[ID]], Table4[ID], Table4[Meats], "Not Found", 0)</f>
        <v>495</v>
      </c>
      <c r="N823" s="5">
        <f>_xlfn.XLOOKUP(CustomerCombined[[#This Row],[ID]], Table4[ID], Table4[Seafood], "Not Found", 0)</f>
        <v>55</v>
      </c>
      <c r="O823" s="5">
        <f>_xlfn.XLOOKUP(CustomerCombined[[#This Row],[ID]], Table4[ID], Table4[Sweets], "Not Found", 0)</f>
        <v>0</v>
      </c>
      <c r="P823" s="5">
        <f>_xlfn.XLOOKUP(CustomerCombined[[#This Row],[ID]], Table4[ID], Table4[Premium], "Not Found", 0)</f>
        <v>11</v>
      </c>
      <c r="Q823" s="5">
        <f>_xlfn.XLOOKUP(CustomerCombined[[#This Row],[ID]], Table4[ID], Table4[Regular], "Not Found", 0)</f>
        <v>1460</v>
      </c>
      <c r="R823" s="5">
        <f>_xlfn.XLOOKUP(CustomerCombined[[#This Row],[ID]], Table4[ID], Table4[Deals], "Not Found", 0)</f>
        <v>3</v>
      </c>
      <c r="S823" s="5">
        <f>_xlfn.XLOOKUP(CustomerCombined[[#This Row],[ID]], Table4[ID], Table4[Website], "Not Found", 0)</f>
        <v>4</v>
      </c>
      <c r="T823" s="5">
        <f>_xlfn.XLOOKUP(CustomerCombined[[#This Row],[ID]], Table4[ID], Table4[Catalog], "Not Found", 0)</f>
        <v>2</v>
      </c>
      <c r="U823" s="5">
        <f>_xlfn.XLOOKUP(CustomerCombined[[#This Row],[ID]], Table4[ID], Table4[Store], "Not Found", 0)</f>
        <v>8</v>
      </c>
      <c r="V823" s="5">
        <f>_xlfn.XLOOKUP(CustomerCombined[[#This Row],[ID]], Table4[ID], Table4[Visits], "Not Found", 0)</f>
        <v>6</v>
      </c>
      <c r="W823" s="8">
        <f>_xlfn.XLOOKUP(CustomerCombined[[#This Row],[ID]], Table2[ID],Table2[Complaint], "Not Found", 0 )</f>
        <v>0</v>
      </c>
      <c r="X823" s="8">
        <f>_xlfn.XLOOKUP(CustomerCombined[[#This Row],[ID]], Table2[ID],Table2[Pilot], "Not Found", 0 )</f>
        <v>0</v>
      </c>
      <c r="Y823" s="8">
        <f>_xlfn.XLOOKUP(CustomerCombined[[#This Row],[ID]], Table2[ID],Table2[MC1], "Not Found", 0 )</f>
        <v>0</v>
      </c>
      <c r="Z823" s="8">
        <f>_xlfn.XLOOKUP(CustomerCombined[[#This Row],[ID]], Table2[ID],Table2[MC2], "Not Found", 0 )</f>
        <v>0</v>
      </c>
      <c r="AA823" s="8">
        <f>_xlfn.XLOOKUP(CustomerCombined[[#This Row],[ID]], Table2[ID],Table2[MC3], "Not Found", 0 )</f>
        <v>0</v>
      </c>
      <c r="AB823" s="8">
        <f>_xlfn.XLOOKUP(CustomerCombined[[#This Row],[ID]], Table2[ID],Table2[MC4], "Not Found", 0 )</f>
        <v>0</v>
      </c>
      <c r="AC823" s="8">
        <f>_xlfn.XLOOKUP(CustomerCombined[[#This Row],[ID]], Table2[ID],Table2[MC5], "Not Found", 0 )</f>
        <v>0</v>
      </c>
    </row>
    <row r="824" spans="1:29" x14ac:dyDescent="0.3">
      <c r="A824" s="6">
        <v>1949</v>
      </c>
      <c r="B824" s="6">
        <v>134596</v>
      </c>
      <c r="C824" s="6">
        <v>1</v>
      </c>
      <c r="D824" s="6">
        <v>0</v>
      </c>
      <c r="E824" s="6">
        <v>46</v>
      </c>
      <c r="F824" s="5" t="s">
        <v>6</v>
      </c>
      <c r="G824" s="5" t="s">
        <v>13</v>
      </c>
      <c r="H824" s="3" t="s">
        <v>276</v>
      </c>
      <c r="I824" s="5" t="s">
        <v>434</v>
      </c>
      <c r="J824" s="5">
        <f>_xlfn.XLOOKUP(CustomerCombined[[#This Row],[ID]], Table4[ID], Table4[Recency], "Not Found", 0)</f>
        <v>48</v>
      </c>
      <c r="K824" s="5">
        <f>_xlfn.XLOOKUP(CustomerCombined[[#This Row],[ID]], Table4[ID], Table4[Teas], "Not Found", 0)</f>
        <v>54</v>
      </c>
      <c r="L824" s="5">
        <f>_xlfn.XLOOKUP(CustomerCombined[[#This Row],[ID]], Table4[ID], Table4[Fruits], "Not Found", 0)</f>
        <v>0</v>
      </c>
      <c r="M824" s="5">
        <f>_xlfn.XLOOKUP(CustomerCombined[[#This Row],[ID]], Table4[ID], Table4[Meats], "Not Found", 0)</f>
        <v>8</v>
      </c>
      <c r="N824" s="5">
        <f>_xlfn.XLOOKUP(CustomerCombined[[#This Row],[ID]], Table4[ID], Table4[Seafood], "Not Found", 0)</f>
        <v>0</v>
      </c>
      <c r="O824" s="5">
        <f>_xlfn.XLOOKUP(CustomerCombined[[#This Row],[ID]], Table4[ID], Table4[Sweets], "Not Found", 0)</f>
        <v>0</v>
      </c>
      <c r="P824" s="5">
        <f>_xlfn.XLOOKUP(CustomerCombined[[#This Row],[ID]], Table4[ID], Table4[Premium], "Not Found", 0)</f>
        <v>27</v>
      </c>
      <c r="Q824" s="5">
        <f>_xlfn.XLOOKUP(CustomerCombined[[#This Row],[ID]], Table4[ID], Table4[Regular], "Not Found", 0)</f>
        <v>35</v>
      </c>
      <c r="R824" s="5">
        <f>_xlfn.XLOOKUP(CustomerCombined[[#This Row],[ID]], Table4[ID], Table4[Deals], "Not Found", 0)</f>
        <v>1</v>
      </c>
      <c r="S824" s="5">
        <f>_xlfn.XLOOKUP(CustomerCombined[[#This Row],[ID]], Table4[ID], Table4[Website], "Not Found", 0)</f>
        <v>1</v>
      </c>
      <c r="T824" s="5">
        <f>_xlfn.XLOOKUP(CustomerCombined[[#This Row],[ID]], Table4[ID], Table4[Catalog], "Not Found", 0)</f>
        <v>0</v>
      </c>
      <c r="U824" s="5">
        <f>_xlfn.XLOOKUP(CustomerCombined[[#This Row],[ID]], Table4[ID], Table4[Store], "Not Found", 0)</f>
        <v>2</v>
      </c>
      <c r="V824" s="5">
        <f>_xlfn.XLOOKUP(CustomerCombined[[#This Row],[ID]], Table4[ID], Table4[Visits], "Not Found", 0)</f>
        <v>8</v>
      </c>
      <c r="W824" s="8">
        <f>_xlfn.XLOOKUP(CustomerCombined[[#This Row],[ID]], Table2[ID],Table2[Complaint], "Not Found", 0 )</f>
        <v>0</v>
      </c>
      <c r="X824" s="8">
        <f>_xlfn.XLOOKUP(CustomerCombined[[#This Row],[ID]], Table2[ID],Table2[Pilot], "Not Found", 0 )</f>
        <v>1</v>
      </c>
      <c r="Y824" s="8">
        <f>_xlfn.XLOOKUP(CustomerCombined[[#This Row],[ID]], Table2[ID],Table2[MC1], "Not Found", 0 )</f>
        <v>0</v>
      </c>
      <c r="Z824" s="8">
        <f>_xlfn.XLOOKUP(CustomerCombined[[#This Row],[ID]], Table2[ID],Table2[MC2], "Not Found", 0 )</f>
        <v>0</v>
      </c>
      <c r="AA824" s="8">
        <f>_xlfn.XLOOKUP(CustomerCombined[[#This Row],[ID]], Table2[ID],Table2[MC3], "Not Found", 0 )</f>
        <v>0</v>
      </c>
      <c r="AB824" s="8">
        <f>_xlfn.XLOOKUP(CustomerCombined[[#This Row],[ID]], Table2[ID],Table2[MC4], "Not Found", 0 )</f>
        <v>0</v>
      </c>
      <c r="AC824" s="8">
        <f>_xlfn.XLOOKUP(CustomerCombined[[#This Row],[ID]], Table2[ID],Table2[MC5], "Not Found", 0 )</f>
        <v>0</v>
      </c>
    </row>
    <row r="825" spans="1:29" x14ac:dyDescent="0.3">
      <c r="A825" s="6">
        <v>2402</v>
      </c>
      <c r="B825" s="6">
        <v>134596</v>
      </c>
      <c r="C825" s="6">
        <v>1</v>
      </c>
      <c r="D825" s="6">
        <v>0</v>
      </c>
      <c r="E825" s="6">
        <v>46</v>
      </c>
      <c r="F825" s="5" t="s">
        <v>6</v>
      </c>
      <c r="G825" s="5" t="s">
        <v>13</v>
      </c>
      <c r="H825" s="3" t="s">
        <v>276</v>
      </c>
      <c r="I825" s="5" t="s">
        <v>438</v>
      </c>
      <c r="J825" s="5">
        <f>_xlfn.XLOOKUP(CustomerCombined[[#This Row],[ID]], Table4[ID], Table4[Recency], "Not Found", 0)</f>
        <v>48</v>
      </c>
      <c r="K825" s="5">
        <f>_xlfn.XLOOKUP(CustomerCombined[[#This Row],[ID]], Table4[ID], Table4[Teas], "Not Found", 0)</f>
        <v>54</v>
      </c>
      <c r="L825" s="5">
        <f>_xlfn.XLOOKUP(CustomerCombined[[#This Row],[ID]], Table4[ID], Table4[Fruits], "Not Found", 0)</f>
        <v>0</v>
      </c>
      <c r="M825" s="5">
        <f>_xlfn.XLOOKUP(CustomerCombined[[#This Row],[ID]], Table4[ID], Table4[Meats], "Not Found", 0)</f>
        <v>8</v>
      </c>
      <c r="N825" s="5">
        <f>_xlfn.XLOOKUP(CustomerCombined[[#This Row],[ID]], Table4[ID], Table4[Seafood], "Not Found", 0)</f>
        <v>0</v>
      </c>
      <c r="O825" s="5">
        <f>_xlfn.XLOOKUP(CustomerCombined[[#This Row],[ID]], Table4[ID], Table4[Sweets], "Not Found", 0)</f>
        <v>0</v>
      </c>
      <c r="P825" s="5">
        <f>_xlfn.XLOOKUP(CustomerCombined[[#This Row],[ID]], Table4[ID], Table4[Premium], "Not Found", 0)</f>
        <v>27</v>
      </c>
      <c r="Q825" s="5">
        <f>_xlfn.XLOOKUP(CustomerCombined[[#This Row],[ID]], Table4[ID], Table4[Regular], "Not Found", 0)</f>
        <v>35</v>
      </c>
      <c r="R825" s="5">
        <f>_xlfn.XLOOKUP(CustomerCombined[[#This Row],[ID]], Table4[ID], Table4[Deals], "Not Found", 0)</f>
        <v>1</v>
      </c>
      <c r="S825" s="5">
        <f>_xlfn.XLOOKUP(CustomerCombined[[#This Row],[ID]], Table4[ID], Table4[Website], "Not Found", 0)</f>
        <v>1</v>
      </c>
      <c r="T825" s="5">
        <f>_xlfn.XLOOKUP(CustomerCombined[[#This Row],[ID]], Table4[ID], Table4[Catalog], "Not Found", 0)</f>
        <v>0</v>
      </c>
      <c r="U825" s="5">
        <f>_xlfn.XLOOKUP(CustomerCombined[[#This Row],[ID]], Table4[ID], Table4[Store], "Not Found", 0)</f>
        <v>2</v>
      </c>
      <c r="V825" s="5">
        <f>_xlfn.XLOOKUP(CustomerCombined[[#This Row],[ID]], Table4[ID], Table4[Visits], "Not Found", 0)</f>
        <v>8</v>
      </c>
      <c r="W825" s="8">
        <f>_xlfn.XLOOKUP(CustomerCombined[[#This Row],[ID]], Table2[ID],Table2[Complaint], "Not Found", 0 )</f>
        <v>0</v>
      </c>
      <c r="X825" s="8">
        <f>_xlfn.XLOOKUP(CustomerCombined[[#This Row],[ID]], Table2[ID],Table2[Pilot], "Not Found", 0 )</f>
        <v>0</v>
      </c>
      <c r="Y825" s="8">
        <f>_xlfn.XLOOKUP(CustomerCombined[[#This Row],[ID]], Table2[ID],Table2[MC1], "Not Found", 0 )</f>
        <v>0</v>
      </c>
      <c r="Z825" s="8">
        <f>_xlfn.XLOOKUP(CustomerCombined[[#This Row],[ID]], Table2[ID],Table2[MC2], "Not Found", 0 )</f>
        <v>0</v>
      </c>
      <c r="AA825" s="8">
        <f>_xlfn.XLOOKUP(CustomerCombined[[#This Row],[ID]], Table2[ID],Table2[MC3], "Not Found", 0 )</f>
        <v>0</v>
      </c>
      <c r="AB825" s="8">
        <f>_xlfn.XLOOKUP(CustomerCombined[[#This Row],[ID]], Table2[ID],Table2[MC4], "Not Found", 0 )</f>
        <v>0</v>
      </c>
      <c r="AC825" s="8">
        <f>_xlfn.XLOOKUP(CustomerCombined[[#This Row],[ID]], Table2[ID],Table2[MC5], "Not Found", 0 )</f>
        <v>0</v>
      </c>
    </row>
    <row r="826" spans="1:29" x14ac:dyDescent="0.3">
      <c r="A826" s="6">
        <v>1306</v>
      </c>
      <c r="B826" s="6">
        <v>134421</v>
      </c>
      <c r="C826" s="6">
        <v>1</v>
      </c>
      <c r="D826" s="6">
        <v>0</v>
      </c>
      <c r="E826" s="6">
        <v>46</v>
      </c>
      <c r="F826" s="5" t="s">
        <v>6</v>
      </c>
      <c r="G826" s="5" t="s">
        <v>11</v>
      </c>
      <c r="H826" s="3">
        <v>43628</v>
      </c>
      <c r="I826" s="5" t="s">
        <v>439</v>
      </c>
      <c r="J826" s="5">
        <f>_xlfn.XLOOKUP(CustomerCombined[[#This Row],[ID]], Table4[ID], Table4[Recency], "Not Found", 0)</f>
        <v>81</v>
      </c>
      <c r="K826" s="5">
        <f>_xlfn.XLOOKUP(CustomerCombined[[#This Row],[ID]], Table4[ID], Table4[Teas], "Not Found", 0)</f>
        <v>12</v>
      </c>
      <c r="L826" s="5">
        <f>_xlfn.XLOOKUP(CustomerCombined[[#This Row],[ID]], Table4[ID], Table4[Fruits], "Not Found", 0)</f>
        <v>12</v>
      </c>
      <c r="M826" s="5">
        <f>_xlfn.XLOOKUP(CustomerCombined[[#This Row],[ID]], Table4[ID], Table4[Meats], "Not Found", 0)</f>
        <v>27</v>
      </c>
      <c r="N826" s="5">
        <f>_xlfn.XLOOKUP(CustomerCombined[[#This Row],[ID]], Table4[ID], Table4[Seafood], "Not Found", 0)</f>
        <v>23</v>
      </c>
      <c r="O826" s="5">
        <f>_xlfn.XLOOKUP(CustomerCombined[[#This Row],[ID]], Table4[ID], Table4[Sweets], "Not Found", 0)</f>
        <v>8</v>
      </c>
      <c r="P826" s="5">
        <f>_xlfn.XLOOKUP(CustomerCombined[[#This Row],[ID]], Table4[ID], Table4[Premium], "Not Found", 0)</f>
        <v>35</v>
      </c>
      <c r="Q826" s="5">
        <f>_xlfn.XLOOKUP(CustomerCombined[[#This Row],[ID]], Table4[ID], Table4[Regular], "Not Found", 0)</f>
        <v>47</v>
      </c>
      <c r="R826" s="5">
        <f>_xlfn.XLOOKUP(CustomerCombined[[#This Row],[ID]], Table4[ID], Table4[Deals], "Not Found", 0)</f>
        <v>1</v>
      </c>
      <c r="S826" s="5">
        <f>_xlfn.XLOOKUP(CustomerCombined[[#This Row],[ID]], Table4[ID], Table4[Website], "Not Found", 0)</f>
        <v>1</v>
      </c>
      <c r="T826" s="5">
        <f>_xlfn.XLOOKUP(CustomerCombined[[#This Row],[ID]], Table4[ID], Table4[Catalog], "Not Found", 0)</f>
        <v>0</v>
      </c>
      <c r="U826" s="5">
        <f>_xlfn.XLOOKUP(CustomerCombined[[#This Row],[ID]], Table4[ID], Table4[Store], "Not Found", 0)</f>
        <v>2</v>
      </c>
      <c r="V826" s="5">
        <f>_xlfn.XLOOKUP(CustomerCombined[[#This Row],[ID]], Table4[ID], Table4[Visits], "Not Found", 0)</f>
        <v>7</v>
      </c>
      <c r="W826" s="8">
        <f>_xlfn.XLOOKUP(CustomerCombined[[#This Row],[ID]], Table2[ID],Table2[Complaint], "Not Found", 0 )</f>
        <v>0</v>
      </c>
      <c r="X826" s="8">
        <f>_xlfn.XLOOKUP(CustomerCombined[[#This Row],[ID]], Table2[ID],Table2[Pilot], "Not Found", 0 )</f>
        <v>0</v>
      </c>
      <c r="Y826" s="8">
        <f>_xlfn.XLOOKUP(CustomerCombined[[#This Row],[ID]], Table2[ID],Table2[MC1], "Not Found", 0 )</f>
        <v>0</v>
      </c>
      <c r="Z826" s="8">
        <f>_xlfn.XLOOKUP(CustomerCombined[[#This Row],[ID]], Table2[ID],Table2[MC2], "Not Found", 0 )</f>
        <v>0</v>
      </c>
      <c r="AA826" s="8">
        <f>_xlfn.XLOOKUP(CustomerCombined[[#This Row],[ID]], Table2[ID],Table2[MC3], "Not Found", 0 )</f>
        <v>0</v>
      </c>
      <c r="AB826" s="8">
        <f>_xlfn.XLOOKUP(CustomerCombined[[#This Row],[ID]], Table2[ID],Table2[MC4], "Not Found", 0 )</f>
        <v>0</v>
      </c>
      <c r="AC826" s="8">
        <f>_xlfn.XLOOKUP(CustomerCombined[[#This Row],[ID]], Table2[ID],Table2[MC5], "Not Found", 0 )</f>
        <v>0</v>
      </c>
    </row>
    <row r="827" spans="1:29" x14ac:dyDescent="0.3">
      <c r="A827" s="6">
        <v>3200</v>
      </c>
      <c r="B827" s="6">
        <v>134421</v>
      </c>
      <c r="C827" s="6">
        <v>1</v>
      </c>
      <c r="D827" s="6">
        <v>0</v>
      </c>
      <c r="E827" s="6">
        <v>46</v>
      </c>
      <c r="F827" s="5" t="s">
        <v>6</v>
      </c>
      <c r="G827" s="5" t="s">
        <v>11</v>
      </c>
      <c r="H827" s="3">
        <v>43628</v>
      </c>
      <c r="I827" s="5" t="s">
        <v>438</v>
      </c>
      <c r="J827" s="5">
        <f>_xlfn.XLOOKUP(CustomerCombined[[#This Row],[ID]], Table4[ID], Table4[Recency], "Not Found", 0)</f>
        <v>81</v>
      </c>
      <c r="K827" s="5">
        <f>_xlfn.XLOOKUP(CustomerCombined[[#This Row],[ID]], Table4[ID], Table4[Teas], "Not Found", 0)</f>
        <v>12</v>
      </c>
      <c r="L827" s="5">
        <f>_xlfn.XLOOKUP(CustomerCombined[[#This Row],[ID]], Table4[ID], Table4[Fruits], "Not Found", 0)</f>
        <v>12</v>
      </c>
      <c r="M827" s="5">
        <f>_xlfn.XLOOKUP(CustomerCombined[[#This Row],[ID]], Table4[ID], Table4[Meats], "Not Found", 0)</f>
        <v>27</v>
      </c>
      <c r="N827" s="5">
        <f>_xlfn.XLOOKUP(CustomerCombined[[#This Row],[ID]], Table4[ID], Table4[Seafood], "Not Found", 0)</f>
        <v>23</v>
      </c>
      <c r="O827" s="5">
        <f>_xlfn.XLOOKUP(CustomerCombined[[#This Row],[ID]], Table4[ID], Table4[Sweets], "Not Found", 0)</f>
        <v>8</v>
      </c>
      <c r="P827" s="5">
        <f>_xlfn.XLOOKUP(CustomerCombined[[#This Row],[ID]], Table4[ID], Table4[Premium], "Not Found", 0)</f>
        <v>35</v>
      </c>
      <c r="Q827" s="5">
        <f>_xlfn.XLOOKUP(CustomerCombined[[#This Row],[ID]], Table4[ID], Table4[Regular], "Not Found", 0)</f>
        <v>47</v>
      </c>
      <c r="R827" s="5">
        <f>_xlfn.XLOOKUP(CustomerCombined[[#This Row],[ID]], Table4[ID], Table4[Deals], "Not Found", 0)</f>
        <v>1</v>
      </c>
      <c r="S827" s="5">
        <f>_xlfn.XLOOKUP(CustomerCombined[[#This Row],[ID]], Table4[ID], Table4[Website], "Not Found", 0)</f>
        <v>1</v>
      </c>
      <c r="T827" s="5">
        <f>_xlfn.XLOOKUP(CustomerCombined[[#This Row],[ID]], Table4[ID], Table4[Catalog], "Not Found", 0)</f>
        <v>0</v>
      </c>
      <c r="U827" s="5">
        <f>_xlfn.XLOOKUP(CustomerCombined[[#This Row],[ID]], Table4[ID], Table4[Store], "Not Found", 0)</f>
        <v>2</v>
      </c>
      <c r="V827" s="5">
        <f>_xlfn.XLOOKUP(CustomerCombined[[#This Row],[ID]], Table4[ID], Table4[Visits], "Not Found", 0)</f>
        <v>7</v>
      </c>
      <c r="W827" s="8">
        <f>_xlfn.XLOOKUP(CustomerCombined[[#This Row],[ID]], Table2[ID],Table2[Complaint], "Not Found", 0 )</f>
        <v>0</v>
      </c>
      <c r="X827" s="8">
        <f>_xlfn.XLOOKUP(CustomerCombined[[#This Row],[ID]], Table2[ID],Table2[Pilot], "Not Found", 0 )</f>
        <v>0</v>
      </c>
      <c r="Y827" s="8">
        <f>_xlfn.XLOOKUP(CustomerCombined[[#This Row],[ID]], Table2[ID],Table2[MC1], "Not Found", 0 )</f>
        <v>0</v>
      </c>
      <c r="Z827" s="8">
        <f>_xlfn.XLOOKUP(CustomerCombined[[#This Row],[ID]], Table2[ID],Table2[MC2], "Not Found", 0 )</f>
        <v>0</v>
      </c>
      <c r="AA827" s="8">
        <f>_xlfn.XLOOKUP(CustomerCombined[[#This Row],[ID]], Table2[ID],Table2[MC3], "Not Found", 0 )</f>
        <v>0</v>
      </c>
      <c r="AB827" s="8">
        <f>_xlfn.XLOOKUP(CustomerCombined[[#This Row],[ID]], Table2[ID],Table2[MC4], "Not Found", 0 )</f>
        <v>0</v>
      </c>
      <c r="AC827" s="8">
        <f>_xlfn.XLOOKUP(CustomerCombined[[#This Row],[ID]], Table2[ID],Table2[MC5], "Not Found", 0 )</f>
        <v>0</v>
      </c>
    </row>
    <row r="828" spans="1:29" x14ac:dyDescent="0.3">
      <c r="A828" s="6">
        <v>3098</v>
      </c>
      <c r="B828" s="6">
        <v>133590</v>
      </c>
      <c r="C828" s="6">
        <v>2</v>
      </c>
      <c r="D828" s="6">
        <v>1</v>
      </c>
      <c r="E828" s="6">
        <v>46</v>
      </c>
      <c r="F828" s="5" t="s">
        <v>8</v>
      </c>
      <c r="G828" s="5" t="s">
        <v>11</v>
      </c>
      <c r="H828" s="3">
        <v>44078</v>
      </c>
      <c r="I828" s="5" t="s">
        <v>438</v>
      </c>
      <c r="J828" s="5">
        <f>_xlfn.XLOOKUP(CustomerCombined[[#This Row],[ID]], Table4[ID], Table4[Recency], "Not Found", 0)</f>
        <v>65</v>
      </c>
      <c r="K828" s="5">
        <f>_xlfn.XLOOKUP(CustomerCombined[[#This Row],[ID]], Table4[ID], Table4[Teas], "Not Found", 0)</f>
        <v>16</v>
      </c>
      <c r="L828" s="5">
        <f>_xlfn.XLOOKUP(CustomerCombined[[#This Row],[ID]], Table4[ID], Table4[Fruits], "Not Found", 0)</f>
        <v>0</v>
      </c>
      <c r="M828" s="5">
        <f>_xlfn.XLOOKUP(CustomerCombined[[#This Row],[ID]], Table4[ID], Table4[Meats], "Not Found", 0)</f>
        <v>8</v>
      </c>
      <c r="N828" s="5">
        <f>_xlfn.XLOOKUP(CustomerCombined[[#This Row],[ID]], Table4[ID], Table4[Seafood], "Not Found", 0)</f>
        <v>0</v>
      </c>
      <c r="O828" s="5">
        <f>_xlfn.XLOOKUP(CustomerCombined[[#This Row],[ID]], Table4[ID], Table4[Sweets], "Not Found", 0)</f>
        <v>0</v>
      </c>
      <c r="P828" s="5">
        <f>_xlfn.XLOOKUP(CustomerCombined[[#This Row],[ID]], Table4[ID], Table4[Premium], "Not Found", 0)</f>
        <v>8</v>
      </c>
      <c r="Q828" s="5">
        <f>_xlfn.XLOOKUP(CustomerCombined[[#This Row],[ID]], Table4[ID], Table4[Regular], "Not Found", 0)</f>
        <v>16</v>
      </c>
      <c r="R828" s="5">
        <f>_xlfn.XLOOKUP(CustomerCombined[[#This Row],[ID]], Table4[ID], Table4[Deals], "Not Found", 0)</f>
        <v>1</v>
      </c>
      <c r="S828" s="5">
        <f>_xlfn.XLOOKUP(CustomerCombined[[#This Row],[ID]], Table4[ID], Table4[Website], "Not Found", 0)</f>
        <v>1</v>
      </c>
      <c r="T828" s="5">
        <f>_xlfn.XLOOKUP(CustomerCombined[[#This Row],[ID]], Table4[ID], Table4[Catalog], "Not Found", 0)</f>
        <v>0</v>
      </c>
      <c r="U828" s="5">
        <f>_xlfn.XLOOKUP(CustomerCombined[[#This Row],[ID]], Table4[ID], Table4[Store], "Not Found", 0)</f>
        <v>2</v>
      </c>
      <c r="V828" s="5">
        <f>_xlfn.XLOOKUP(CustomerCombined[[#This Row],[ID]], Table4[ID], Table4[Visits], "Not Found", 0)</f>
        <v>7</v>
      </c>
      <c r="W828" s="8">
        <f>_xlfn.XLOOKUP(CustomerCombined[[#This Row],[ID]], Table2[ID],Table2[Complaint], "Not Found", 0 )</f>
        <v>0</v>
      </c>
      <c r="X828" s="8">
        <f>_xlfn.XLOOKUP(CustomerCombined[[#This Row],[ID]], Table2[ID],Table2[Pilot], "Not Found", 0 )</f>
        <v>0</v>
      </c>
      <c r="Y828" s="8">
        <f>_xlfn.XLOOKUP(CustomerCombined[[#This Row],[ID]], Table2[ID],Table2[MC1], "Not Found", 0 )</f>
        <v>0</v>
      </c>
      <c r="Z828" s="8">
        <f>_xlfn.XLOOKUP(CustomerCombined[[#This Row],[ID]], Table2[ID],Table2[MC2], "Not Found", 0 )</f>
        <v>0</v>
      </c>
      <c r="AA828" s="8">
        <f>_xlfn.XLOOKUP(CustomerCombined[[#This Row],[ID]], Table2[ID],Table2[MC3], "Not Found", 0 )</f>
        <v>0</v>
      </c>
      <c r="AB828" s="8">
        <f>_xlfn.XLOOKUP(CustomerCombined[[#This Row],[ID]], Table2[ID],Table2[MC4], "Not Found", 0 )</f>
        <v>0</v>
      </c>
      <c r="AC828" s="8">
        <f>_xlfn.XLOOKUP(CustomerCombined[[#This Row],[ID]], Table2[ID],Table2[MC5], "Not Found", 0 )</f>
        <v>0</v>
      </c>
    </row>
    <row r="829" spans="1:29" x14ac:dyDescent="0.3">
      <c r="A829" s="6">
        <v>1466</v>
      </c>
      <c r="B829" s="6">
        <v>132233</v>
      </c>
      <c r="C829" s="6">
        <v>1</v>
      </c>
      <c r="D829" s="6">
        <v>0</v>
      </c>
      <c r="E829" s="6">
        <v>46</v>
      </c>
      <c r="F829" s="5" t="s">
        <v>7</v>
      </c>
      <c r="G829" s="5" t="s">
        <v>11</v>
      </c>
      <c r="H829" s="3" t="s">
        <v>409</v>
      </c>
      <c r="I829" s="5" t="s">
        <v>438</v>
      </c>
      <c r="J829" s="5">
        <f>_xlfn.XLOOKUP(CustomerCombined[[#This Row],[ID]], Table4[ID], Table4[Recency], "Not Found", 0)</f>
        <v>26</v>
      </c>
      <c r="K829" s="5">
        <f>_xlfn.XLOOKUP(CustomerCombined[[#This Row],[ID]], Table4[ID], Table4[Teas], "Not Found", 0)</f>
        <v>566</v>
      </c>
      <c r="L829" s="5">
        <f>_xlfn.XLOOKUP(CustomerCombined[[#This Row],[ID]], Table4[ID], Table4[Fruits], "Not Found", 0)</f>
        <v>62</v>
      </c>
      <c r="M829" s="5">
        <f>_xlfn.XLOOKUP(CustomerCombined[[#This Row],[ID]], Table4[ID], Table4[Meats], "Not Found", 0)</f>
        <v>144</v>
      </c>
      <c r="N829" s="5">
        <f>_xlfn.XLOOKUP(CustomerCombined[[#This Row],[ID]], Table4[ID], Table4[Seafood], "Not Found", 0)</f>
        <v>103</v>
      </c>
      <c r="O829" s="5">
        <f>_xlfn.XLOOKUP(CustomerCombined[[#This Row],[ID]], Table4[ID], Table4[Sweets], "Not Found", 0)</f>
        <v>45</v>
      </c>
      <c r="P829" s="5">
        <f>_xlfn.XLOOKUP(CustomerCombined[[#This Row],[ID]], Table4[ID], Table4[Premium], "Not Found", 0)</f>
        <v>295</v>
      </c>
      <c r="Q829" s="5">
        <f>_xlfn.XLOOKUP(CustomerCombined[[#This Row],[ID]], Table4[ID], Table4[Regular], "Not Found", 0)</f>
        <v>624</v>
      </c>
      <c r="R829" s="5">
        <f>_xlfn.XLOOKUP(CustomerCombined[[#This Row],[ID]], Table4[ID], Table4[Deals], "Not Found", 0)</f>
        <v>2</v>
      </c>
      <c r="S829" s="5">
        <f>_xlfn.XLOOKUP(CustomerCombined[[#This Row],[ID]], Table4[ID], Table4[Website], "Not Found", 0)</f>
        <v>6</v>
      </c>
      <c r="T829" s="5">
        <f>_xlfn.XLOOKUP(CustomerCombined[[#This Row],[ID]], Table4[ID], Table4[Catalog], "Not Found", 0)</f>
        <v>2</v>
      </c>
      <c r="U829" s="5">
        <f>_xlfn.XLOOKUP(CustomerCombined[[#This Row],[ID]], Table4[ID], Table4[Store], "Not Found", 0)</f>
        <v>2</v>
      </c>
      <c r="V829" s="5">
        <f>_xlfn.XLOOKUP(CustomerCombined[[#This Row],[ID]], Table4[ID], Table4[Visits], "Not Found", 0)</f>
        <v>9</v>
      </c>
      <c r="W829" s="8">
        <f>_xlfn.XLOOKUP(CustomerCombined[[#This Row],[ID]], Table2[ID],Table2[Complaint], "Not Found", 0 )</f>
        <v>0</v>
      </c>
      <c r="X829" s="8">
        <f>_xlfn.XLOOKUP(CustomerCombined[[#This Row],[ID]], Table2[ID],Table2[Pilot], "Not Found", 0 )</f>
        <v>1</v>
      </c>
      <c r="Y829" s="8">
        <f>_xlfn.XLOOKUP(CustomerCombined[[#This Row],[ID]], Table2[ID],Table2[MC1], "Not Found", 0 )</f>
        <v>0</v>
      </c>
      <c r="Z829" s="8">
        <f>_xlfn.XLOOKUP(CustomerCombined[[#This Row],[ID]], Table2[ID],Table2[MC2], "Not Found", 0 )</f>
        <v>0</v>
      </c>
      <c r="AA829" s="8">
        <f>_xlfn.XLOOKUP(CustomerCombined[[#This Row],[ID]], Table2[ID],Table2[MC3], "Not Found", 0 )</f>
        <v>1</v>
      </c>
      <c r="AB829" s="8">
        <f>_xlfn.XLOOKUP(CustomerCombined[[#This Row],[ID]], Table2[ID],Table2[MC4], "Not Found", 0 )</f>
        <v>0</v>
      </c>
      <c r="AC829" s="8">
        <f>_xlfn.XLOOKUP(CustomerCombined[[#This Row],[ID]], Table2[ID],Table2[MC5], "Not Found", 0 )</f>
        <v>0</v>
      </c>
    </row>
    <row r="830" spans="1:29" x14ac:dyDescent="0.3">
      <c r="A830" s="6">
        <v>3133</v>
      </c>
      <c r="B830" s="6">
        <v>131560</v>
      </c>
      <c r="C830" s="6">
        <v>1</v>
      </c>
      <c r="D830" s="6">
        <v>0</v>
      </c>
      <c r="E830" s="6">
        <v>46</v>
      </c>
      <c r="F830" s="5" t="s">
        <v>7</v>
      </c>
      <c r="G830" s="5" t="s">
        <v>13</v>
      </c>
      <c r="H830" s="3" t="s">
        <v>229</v>
      </c>
      <c r="I830" s="5" t="s">
        <v>437</v>
      </c>
      <c r="J830" s="5">
        <f>_xlfn.XLOOKUP(CustomerCombined[[#This Row],[ID]], Table4[ID], Table4[Recency], "Not Found", 0)</f>
        <v>98</v>
      </c>
      <c r="K830" s="5">
        <f>_xlfn.XLOOKUP(CustomerCombined[[#This Row],[ID]], Table4[ID], Table4[Teas], "Not Found", 0)</f>
        <v>258</v>
      </c>
      <c r="L830" s="5">
        <f>_xlfn.XLOOKUP(CustomerCombined[[#This Row],[ID]], Table4[ID], Table4[Fruits], "Not Found", 0)</f>
        <v>4</v>
      </c>
      <c r="M830" s="5">
        <f>_xlfn.XLOOKUP(CustomerCombined[[#This Row],[ID]], Table4[ID], Table4[Meats], "Not Found", 0)</f>
        <v>83</v>
      </c>
      <c r="N830" s="5">
        <f>_xlfn.XLOOKUP(CustomerCombined[[#This Row],[ID]], Table4[ID], Table4[Seafood], "Not Found", 0)</f>
        <v>17</v>
      </c>
      <c r="O830" s="5">
        <f>_xlfn.XLOOKUP(CustomerCombined[[#This Row],[ID]], Table4[ID], Table4[Sweets], "Not Found", 0)</f>
        <v>0</v>
      </c>
      <c r="P830" s="5">
        <f>_xlfn.XLOOKUP(CustomerCombined[[#This Row],[ID]], Table4[ID], Table4[Premium], "Not Found", 0)</f>
        <v>29</v>
      </c>
      <c r="Q830" s="5">
        <f>_xlfn.XLOOKUP(CustomerCombined[[#This Row],[ID]], Table4[ID], Table4[Regular], "Not Found", 0)</f>
        <v>333</v>
      </c>
      <c r="R830" s="5">
        <f>_xlfn.XLOOKUP(CustomerCombined[[#This Row],[ID]], Table4[ID], Table4[Deals], "Not Found", 0)</f>
        <v>2</v>
      </c>
      <c r="S830" s="5">
        <f>_xlfn.XLOOKUP(CustomerCombined[[#This Row],[ID]], Table4[ID], Table4[Website], "Not Found", 0)</f>
        <v>2</v>
      </c>
      <c r="T830" s="5">
        <f>_xlfn.XLOOKUP(CustomerCombined[[#This Row],[ID]], Table4[ID], Table4[Catalog], "Not Found", 0)</f>
        <v>1</v>
      </c>
      <c r="U830" s="5">
        <f>_xlfn.XLOOKUP(CustomerCombined[[#This Row],[ID]], Table4[ID], Table4[Store], "Not Found", 0)</f>
        <v>3</v>
      </c>
      <c r="V830" s="5">
        <f>_xlfn.XLOOKUP(CustomerCombined[[#This Row],[ID]], Table4[ID], Table4[Visits], "Not Found", 0)</f>
        <v>8</v>
      </c>
      <c r="W830" s="8">
        <f>_xlfn.XLOOKUP(CustomerCombined[[#This Row],[ID]], Table2[ID],Table2[Complaint], "Not Found", 0 )</f>
        <v>0</v>
      </c>
      <c r="X830" s="8">
        <f>_xlfn.XLOOKUP(CustomerCombined[[#This Row],[ID]], Table2[ID],Table2[Pilot], "Not Found", 0 )</f>
        <v>0</v>
      </c>
      <c r="Y830" s="8">
        <f>_xlfn.XLOOKUP(CustomerCombined[[#This Row],[ID]], Table2[ID],Table2[MC1], "Not Found", 0 )</f>
        <v>0</v>
      </c>
      <c r="Z830" s="8">
        <f>_xlfn.XLOOKUP(CustomerCombined[[#This Row],[ID]], Table2[ID],Table2[MC2], "Not Found", 0 )</f>
        <v>0</v>
      </c>
      <c r="AA830" s="8">
        <f>_xlfn.XLOOKUP(CustomerCombined[[#This Row],[ID]], Table2[ID],Table2[MC3], "Not Found", 0 )</f>
        <v>0</v>
      </c>
      <c r="AB830" s="8">
        <f>_xlfn.XLOOKUP(CustomerCombined[[#This Row],[ID]], Table2[ID],Table2[MC4], "Not Found", 0 )</f>
        <v>0</v>
      </c>
      <c r="AC830" s="8">
        <f>_xlfn.XLOOKUP(CustomerCombined[[#This Row],[ID]], Table2[ID],Table2[MC5], "Not Found", 0 )</f>
        <v>0</v>
      </c>
    </row>
    <row r="831" spans="1:29" x14ac:dyDescent="0.3">
      <c r="A831" s="6">
        <v>1242</v>
      </c>
      <c r="B831" s="6">
        <v>130899</v>
      </c>
      <c r="C831" s="6">
        <v>1</v>
      </c>
      <c r="D831" s="6">
        <v>0</v>
      </c>
      <c r="E831" s="6">
        <v>46</v>
      </c>
      <c r="F831" s="5" t="s">
        <v>7</v>
      </c>
      <c r="G831" s="5" t="s">
        <v>13</v>
      </c>
      <c r="H831" s="3" t="s">
        <v>381</v>
      </c>
      <c r="I831" s="5" t="s">
        <v>436</v>
      </c>
      <c r="J831" s="5">
        <f>_xlfn.XLOOKUP(CustomerCombined[[#This Row],[ID]], Table4[ID], Table4[Recency], "Not Found", 0)</f>
        <v>35</v>
      </c>
      <c r="K831" s="5">
        <f>_xlfn.XLOOKUP(CustomerCombined[[#This Row],[ID]], Table4[ID], Table4[Teas], "Not Found", 0)</f>
        <v>102</v>
      </c>
      <c r="L831" s="5">
        <f>_xlfn.XLOOKUP(CustomerCombined[[#This Row],[ID]], Table4[ID], Table4[Fruits], "Not Found", 0)</f>
        <v>0</v>
      </c>
      <c r="M831" s="5">
        <f>_xlfn.XLOOKUP(CustomerCombined[[#This Row],[ID]], Table4[ID], Table4[Meats], "Not Found", 0)</f>
        <v>34</v>
      </c>
      <c r="N831" s="5">
        <f>_xlfn.XLOOKUP(CustomerCombined[[#This Row],[ID]], Table4[ID], Table4[Seafood], "Not Found", 0)</f>
        <v>0</v>
      </c>
      <c r="O831" s="5">
        <f>_xlfn.XLOOKUP(CustomerCombined[[#This Row],[ID]], Table4[ID], Table4[Sweets], "Not Found", 0)</f>
        <v>0</v>
      </c>
      <c r="P831" s="5">
        <f>_xlfn.XLOOKUP(CustomerCombined[[#This Row],[ID]], Table4[ID], Table4[Premium], "Not Found", 0)</f>
        <v>4</v>
      </c>
      <c r="Q831" s="5">
        <f>_xlfn.XLOOKUP(CustomerCombined[[#This Row],[ID]], Table4[ID], Table4[Regular], "Not Found", 0)</f>
        <v>131</v>
      </c>
      <c r="R831" s="5">
        <f>_xlfn.XLOOKUP(CustomerCombined[[#This Row],[ID]], Table4[ID], Table4[Deals], "Not Found", 0)</f>
        <v>2</v>
      </c>
      <c r="S831" s="5">
        <f>_xlfn.XLOOKUP(CustomerCombined[[#This Row],[ID]], Table4[ID], Table4[Website], "Not Found", 0)</f>
        <v>1</v>
      </c>
      <c r="T831" s="5">
        <f>_xlfn.XLOOKUP(CustomerCombined[[#This Row],[ID]], Table4[ID], Table4[Catalog], "Not Found", 0)</f>
        <v>0</v>
      </c>
      <c r="U831" s="5">
        <f>_xlfn.XLOOKUP(CustomerCombined[[#This Row],[ID]], Table4[ID], Table4[Store], "Not Found", 0)</f>
        <v>3</v>
      </c>
      <c r="V831" s="5">
        <f>_xlfn.XLOOKUP(CustomerCombined[[#This Row],[ID]], Table4[ID], Table4[Visits], "Not Found", 0)</f>
        <v>6</v>
      </c>
      <c r="W831" s="8">
        <f>_xlfn.XLOOKUP(CustomerCombined[[#This Row],[ID]], Table2[ID],Table2[Complaint], "Not Found", 0 )</f>
        <v>0</v>
      </c>
      <c r="X831" s="8">
        <f>_xlfn.XLOOKUP(CustomerCombined[[#This Row],[ID]], Table2[ID],Table2[Pilot], "Not Found", 0 )</f>
        <v>0</v>
      </c>
      <c r="Y831" s="8">
        <f>_xlfn.XLOOKUP(CustomerCombined[[#This Row],[ID]], Table2[ID],Table2[MC1], "Not Found", 0 )</f>
        <v>0</v>
      </c>
      <c r="Z831" s="8">
        <f>_xlfn.XLOOKUP(CustomerCombined[[#This Row],[ID]], Table2[ID],Table2[MC2], "Not Found", 0 )</f>
        <v>0</v>
      </c>
      <c r="AA831" s="8">
        <f>_xlfn.XLOOKUP(CustomerCombined[[#This Row],[ID]], Table2[ID],Table2[MC3], "Not Found", 0 )</f>
        <v>0</v>
      </c>
      <c r="AB831" s="8">
        <f>_xlfn.XLOOKUP(CustomerCombined[[#This Row],[ID]], Table2[ID],Table2[MC4], "Not Found", 0 )</f>
        <v>0</v>
      </c>
      <c r="AC831" s="8">
        <f>_xlfn.XLOOKUP(CustomerCombined[[#This Row],[ID]], Table2[ID],Table2[MC5], "Not Found", 0 )</f>
        <v>0</v>
      </c>
    </row>
    <row r="832" spans="1:29" x14ac:dyDescent="0.3">
      <c r="A832" s="6">
        <v>1272</v>
      </c>
      <c r="B832" s="6">
        <v>130631</v>
      </c>
      <c r="C832" s="6">
        <v>1</v>
      </c>
      <c r="D832" s="6">
        <v>0</v>
      </c>
      <c r="E832" s="6">
        <v>46</v>
      </c>
      <c r="F832" s="5" t="s">
        <v>6</v>
      </c>
      <c r="G832" s="5" t="s">
        <v>11</v>
      </c>
      <c r="H832" s="3" t="s">
        <v>224</v>
      </c>
      <c r="I832" s="5" t="s">
        <v>436</v>
      </c>
      <c r="J832" s="5">
        <f>_xlfn.XLOOKUP(CustomerCombined[[#This Row],[ID]], Table4[ID], Table4[Recency], "Not Found", 0)</f>
        <v>75</v>
      </c>
      <c r="K832" s="5">
        <f>_xlfn.XLOOKUP(CustomerCombined[[#This Row],[ID]], Table4[ID], Table4[Teas], "Not Found", 0)</f>
        <v>64</v>
      </c>
      <c r="L832" s="5">
        <f>_xlfn.XLOOKUP(CustomerCombined[[#This Row],[ID]], Table4[ID], Table4[Fruits], "Not Found", 0)</f>
        <v>26</v>
      </c>
      <c r="M832" s="5">
        <f>_xlfn.XLOOKUP(CustomerCombined[[#This Row],[ID]], Table4[ID], Table4[Meats], "Not Found", 0)</f>
        <v>85</v>
      </c>
      <c r="N832" s="5">
        <f>_xlfn.XLOOKUP(CustomerCombined[[#This Row],[ID]], Table4[ID], Table4[Seafood], "Not Found", 0)</f>
        <v>17</v>
      </c>
      <c r="O832" s="5">
        <f>_xlfn.XLOOKUP(CustomerCombined[[#This Row],[ID]], Table4[ID], Table4[Sweets], "Not Found", 0)</f>
        <v>21</v>
      </c>
      <c r="P832" s="5">
        <f>_xlfn.XLOOKUP(CustomerCombined[[#This Row],[ID]], Table4[ID], Table4[Premium], "Not Found", 0)</f>
        <v>85</v>
      </c>
      <c r="Q832" s="5">
        <f>_xlfn.XLOOKUP(CustomerCombined[[#This Row],[ID]], Table4[ID], Table4[Regular], "Not Found", 0)</f>
        <v>128</v>
      </c>
      <c r="R832" s="5">
        <f>_xlfn.XLOOKUP(CustomerCombined[[#This Row],[ID]], Table4[ID], Table4[Deals], "Not Found", 0)</f>
        <v>1</v>
      </c>
      <c r="S832" s="5">
        <f>_xlfn.XLOOKUP(CustomerCombined[[#This Row],[ID]], Table4[ID], Table4[Website], "Not Found", 0)</f>
        <v>3</v>
      </c>
      <c r="T832" s="5">
        <f>_xlfn.XLOOKUP(CustomerCombined[[#This Row],[ID]], Table4[ID], Table4[Catalog], "Not Found", 0)</f>
        <v>1</v>
      </c>
      <c r="U832" s="5">
        <f>_xlfn.XLOOKUP(CustomerCombined[[#This Row],[ID]], Table4[ID], Table4[Store], "Not Found", 0)</f>
        <v>2</v>
      </c>
      <c r="V832" s="5">
        <f>_xlfn.XLOOKUP(CustomerCombined[[#This Row],[ID]], Table4[ID], Table4[Visits], "Not Found", 0)</f>
        <v>7</v>
      </c>
      <c r="W832" s="8">
        <f>_xlfn.XLOOKUP(CustomerCombined[[#This Row],[ID]], Table2[ID],Table2[Complaint], "Not Found", 0 )</f>
        <v>0</v>
      </c>
      <c r="X832" s="8">
        <f>_xlfn.XLOOKUP(CustomerCombined[[#This Row],[ID]], Table2[ID],Table2[Pilot], "Not Found", 0 )</f>
        <v>0</v>
      </c>
      <c r="Y832" s="8">
        <f>_xlfn.XLOOKUP(CustomerCombined[[#This Row],[ID]], Table2[ID],Table2[MC1], "Not Found", 0 )</f>
        <v>0</v>
      </c>
      <c r="Z832" s="8">
        <f>_xlfn.XLOOKUP(CustomerCombined[[#This Row],[ID]], Table2[ID],Table2[MC2], "Not Found", 0 )</f>
        <v>0</v>
      </c>
      <c r="AA832" s="8">
        <f>_xlfn.XLOOKUP(CustomerCombined[[#This Row],[ID]], Table2[ID],Table2[MC3], "Not Found", 0 )</f>
        <v>0</v>
      </c>
      <c r="AB832" s="8">
        <f>_xlfn.XLOOKUP(CustomerCombined[[#This Row],[ID]], Table2[ID],Table2[MC4], "Not Found", 0 )</f>
        <v>0</v>
      </c>
      <c r="AC832" s="8">
        <f>_xlfn.XLOOKUP(CustomerCombined[[#This Row],[ID]], Table2[ID],Table2[MC5], "Not Found", 0 )</f>
        <v>0</v>
      </c>
    </row>
    <row r="833" spans="1:29" x14ac:dyDescent="0.3">
      <c r="A833" s="6">
        <v>1009</v>
      </c>
      <c r="B833" s="6">
        <v>130351</v>
      </c>
      <c r="C833" s="6">
        <v>1</v>
      </c>
      <c r="D833" s="6">
        <v>0</v>
      </c>
      <c r="E833" s="6">
        <v>46</v>
      </c>
      <c r="F833" s="5" t="s">
        <v>8</v>
      </c>
      <c r="G833" s="5" t="s">
        <v>13</v>
      </c>
      <c r="H833" s="3">
        <v>43780</v>
      </c>
      <c r="I833" s="5" t="s">
        <v>437</v>
      </c>
      <c r="J833" s="5">
        <f>_xlfn.XLOOKUP(CustomerCombined[[#This Row],[ID]], Table4[ID], Table4[Recency], "Not Found", 0)</f>
        <v>19</v>
      </c>
      <c r="K833" s="5">
        <f>_xlfn.XLOOKUP(CustomerCombined[[#This Row],[ID]], Table4[ID], Table4[Teas], "Not Found", 0)</f>
        <v>60</v>
      </c>
      <c r="L833" s="5">
        <f>_xlfn.XLOOKUP(CustomerCombined[[#This Row],[ID]], Table4[ID], Table4[Fruits], "Not Found", 0)</f>
        <v>0</v>
      </c>
      <c r="M833" s="5">
        <f>_xlfn.XLOOKUP(CustomerCombined[[#This Row],[ID]], Table4[ID], Table4[Meats], "Not Found", 0)</f>
        <v>103</v>
      </c>
      <c r="N833" s="5">
        <f>_xlfn.XLOOKUP(CustomerCombined[[#This Row],[ID]], Table4[ID], Table4[Seafood], "Not Found", 0)</f>
        <v>13</v>
      </c>
      <c r="O833" s="5">
        <f>_xlfn.XLOOKUP(CustomerCombined[[#This Row],[ID]], Table4[ID], Table4[Sweets], "Not Found", 0)</f>
        <v>13</v>
      </c>
      <c r="P833" s="5">
        <f>_xlfn.XLOOKUP(CustomerCombined[[#This Row],[ID]], Table4[ID], Table4[Premium], "Not Found", 0)</f>
        <v>9</v>
      </c>
      <c r="Q833" s="5">
        <f>_xlfn.XLOOKUP(CustomerCombined[[#This Row],[ID]], Table4[ID], Table4[Regular], "Not Found", 0)</f>
        <v>180</v>
      </c>
      <c r="R833" s="5">
        <f>_xlfn.XLOOKUP(CustomerCombined[[#This Row],[ID]], Table4[ID], Table4[Deals], "Not Found", 0)</f>
        <v>1</v>
      </c>
      <c r="S833" s="5">
        <f>_xlfn.XLOOKUP(CustomerCombined[[#This Row],[ID]], Table4[ID], Table4[Website], "Not Found", 0)</f>
        <v>3</v>
      </c>
      <c r="T833" s="5">
        <f>_xlfn.XLOOKUP(CustomerCombined[[#This Row],[ID]], Table4[ID], Table4[Catalog], "Not Found", 0)</f>
        <v>0</v>
      </c>
      <c r="U833" s="5">
        <f>_xlfn.XLOOKUP(CustomerCombined[[#This Row],[ID]], Table4[ID], Table4[Store], "Not Found", 0)</f>
        <v>2</v>
      </c>
      <c r="V833" s="5">
        <f>_xlfn.XLOOKUP(CustomerCombined[[#This Row],[ID]], Table4[ID], Table4[Visits], "Not Found", 0)</f>
        <v>9</v>
      </c>
      <c r="W833" s="8">
        <f>_xlfn.XLOOKUP(CustomerCombined[[#This Row],[ID]], Table2[ID],Table2[Complaint], "Not Found", 0 )</f>
        <v>0</v>
      </c>
      <c r="X833" s="8">
        <f>_xlfn.XLOOKUP(CustomerCombined[[#This Row],[ID]], Table2[ID],Table2[Pilot], "Not Found", 0 )</f>
        <v>1</v>
      </c>
      <c r="Y833" s="8">
        <f>_xlfn.XLOOKUP(CustomerCombined[[#This Row],[ID]], Table2[ID],Table2[MC1], "Not Found", 0 )</f>
        <v>0</v>
      </c>
      <c r="Z833" s="8">
        <f>_xlfn.XLOOKUP(CustomerCombined[[#This Row],[ID]], Table2[ID],Table2[MC2], "Not Found", 0 )</f>
        <v>0</v>
      </c>
      <c r="AA833" s="8">
        <f>_xlfn.XLOOKUP(CustomerCombined[[#This Row],[ID]], Table2[ID],Table2[MC3], "Not Found", 0 )</f>
        <v>0</v>
      </c>
      <c r="AB833" s="8">
        <f>_xlfn.XLOOKUP(CustomerCombined[[#This Row],[ID]], Table2[ID],Table2[MC4], "Not Found", 0 )</f>
        <v>0</v>
      </c>
      <c r="AC833" s="8">
        <f>_xlfn.XLOOKUP(CustomerCombined[[#This Row],[ID]], Table2[ID],Table2[MC5], "Not Found", 0 )</f>
        <v>0</v>
      </c>
    </row>
    <row r="834" spans="1:29" x14ac:dyDescent="0.3">
      <c r="A834" s="6">
        <v>1392</v>
      </c>
      <c r="B834" s="6">
        <v>130351</v>
      </c>
      <c r="C834" s="6">
        <v>1</v>
      </c>
      <c r="D834" s="6">
        <v>0</v>
      </c>
      <c r="E834" s="6">
        <v>46</v>
      </c>
      <c r="F834" s="5" t="s">
        <v>8</v>
      </c>
      <c r="G834" s="5" t="s">
        <v>13</v>
      </c>
      <c r="H834" s="3">
        <v>43780</v>
      </c>
      <c r="I834" s="5" t="s">
        <v>436</v>
      </c>
      <c r="J834" s="5">
        <f>_xlfn.XLOOKUP(CustomerCombined[[#This Row],[ID]], Table4[ID], Table4[Recency], "Not Found", 0)</f>
        <v>19</v>
      </c>
      <c r="K834" s="5">
        <f>_xlfn.XLOOKUP(CustomerCombined[[#This Row],[ID]], Table4[ID], Table4[Teas], "Not Found", 0)</f>
        <v>60</v>
      </c>
      <c r="L834" s="5">
        <f>_xlfn.XLOOKUP(CustomerCombined[[#This Row],[ID]], Table4[ID], Table4[Fruits], "Not Found", 0)</f>
        <v>0</v>
      </c>
      <c r="M834" s="5">
        <f>_xlfn.XLOOKUP(CustomerCombined[[#This Row],[ID]], Table4[ID], Table4[Meats], "Not Found", 0)</f>
        <v>103</v>
      </c>
      <c r="N834" s="5">
        <f>_xlfn.XLOOKUP(CustomerCombined[[#This Row],[ID]], Table4[ID], Table4[Seafood], "Not Found", 0)</f>
        <v>13</v>
      </c>
      <c r="O834" s="5">
        <f>_xlfn.XLOOKUP(CustomerCombined[[#This Row],[ID]], Table4[ID], Table4[Sweets], "Not Found", 0)</f>
        <v>13</v>
      </c>
      <c r="P834" s="5">
        <f>_xlfn.XLOOKUP(CustomerCombined[[#This Row],[ID]], Table4[ID], Table4[Premium], "Not Found", 0)</f>
        <v>9</v>
      </c>
      <c r="Q834" s="5">
        <f>_xlfn.XLOOKUP(CustomerCombined[[#This Row],[ID]], Table4[ID], Table4[Regular], "Not Found", 0)</f>
        <v>180</v>
      </c>
      <c r="R834" s="5">
        <f>_xlfn.XLOOKUP(CustomerCombined[[#This Row],[ID]], Table4[ID], Table4[Deals], "Not Found", 0)</f>
        <v>1</v>
      </c>
      <c r="S834" s="5">
        <f>_xlfn.XLOOKUP(CustomerCombined[[#This Row],[ID]], Table4[ID], Table4[Website], "Not Found", 0)</f>
        <v>3</v>
      </c>
      <c r="T834" s="5">
        <f>_xlfn.XLOOKUP(CustomerCombined[[#This Row],[ID]], Table4[ID], Table4[Catalog], "Not Found", 0)</f>
        <v>0</v>
      </c>
      <c r="U834" s="5">
        <f>_xlfn.XLOOKUP(CustomerCombined[[#This Row],[ID]], Table4[ID], Table4[Store], "Not Found", 0)</f>
        <v>2</v>
      </c>
      <c r="V834" s="5">
        <f>_xlfn.XLOOKUP(CustomerCombined[[#This Row],[ID]], Table4[ID], Table4[Visits], "Not Found", 0)</f>
        <v>9</v>
      </c>
      <c r="W834" s="8">
        <f>_xlfn.XLOOKUP(CustomerCombined[[#This Row],[ID]], Table2[ID],Table2[Complaint], "Not Found", 0 )</f>
        <v>0</v>
      </c>
      <c r="X834" s="8">
        <f>_xlfn.XLOOKUP(CustomerCombined[[#This Row],[ID]], Table2[ID],Table2[Pilot], "Not Found", 0 )</f>
        <v>0</v>
      </c>
      <c r="Y834" s="8">
        <f>_xlfn.XLOOKUP(CustomerCombined[[#This Row],[ID]], Table2[ID],Table2[MC1], "Not Found", 0 )</f>
        <v>0</v>
      </c>
      <c r="Z834" s="8">
        <f>_xlfn.XLOOKUP(CustomerCombined[[#This Row],[ID]], Table2[ID],Table2[MC2], "Not Found", 0 )</f>
        <v>0</v>
      </c>
      <c r="AA834" s="8">
        <f>_xlfn.XLOOKUP(CustomerCombined[[#This Row],[ID]], Table2[ID],Table2[MC3], "Not Found", 0 )</f>
        <v>0</v>
      </c>
      <c r="AB834" s="8">
        <f>_xlfn.XLOOKUP(CustomerCombined[[#This Row],[ID]], Table2[ID],Table2[MC4], "Not Found", 0 )</f>
        <v>0</v>
      </c>
      <c r="AC834" s="8">
        <f>_xlfn.XLOOKUP(CustomerCombined[[#This Row],[ID]], Table2[ID],Table2[MC5], "Not Found", 0 )</f>
        <v>0</v>
      </c>
    </row>
    <row r="835" spans="1:29" x14ac:dyDescent="0.3">
      <c r="A835" s="6">
        <v>2002</v>
      </c>
      <c r="B835" s="6">
        <v>128440</v>
      </c>
      <c r="C835" s="6">
        <v>1</v>
      </c>
      <c r="D835" s="6">
        <v>0</v>
      </c>
      <c r="E835" s="6">
        <v>46</v>
      </c>
      <c r="F835" s="5" t="s">
        <v>8</v>
      </c>
      <c r="G835" s="5" t="s">
        <v>13</v>
      </c>
      <c r="H835" s="3">
        <v>43811</v>
      </c>
      <c r="I835" s="5" t="s">
        <v>439</v>
      </c>
      <c r="J835" s="5">
        <f>_xlfn.XLOOKUP(CustomerCombined[[#This Row],[ID]], Table4[ID], Table4[Recency], "Not Found", 0)</f>
        <v>87</v>
      </c>
      <c r="K835" s="5">
        <f>_xlfn.XLOOKUP(CustomerCombined[[#This Row],[ID]], Table4[ID], Table4[Teas], "Not Found", 0)</f>
        <v>172</v>
      </c>
      <c r="L835" s="5">
        <f>_xlfn.XLOOKUP(CustomerCombined[[#This Row],[ID]], Table4[ID], Table4[Fruits], "Not Found", 0)</f>
        <v>5</v>
      </c>
      <c r="M835" s="5">
        <f>_xlfn.XLOOKUP(CustomerCombined[[#This Row],[ID]], Table4[ID], Table4[Meats], "Not Found", 0)</f>
        <v>108</v>
      </c>
      <c r="N835" s="5">
        <f>_xlfn.XLOOKUP(CustomerCombined[[#This Row],[ID]], Table4[ID], Table4[Seafood], "Not Found", 0)</f>
        <v>0</v>
      </c>
      <c r="O835" s="5">
        <f>_xlfn.XLOOKUP(CustomerCombined[[#This Row],[ID]], Table4[ID], Table4[Sweets], "Not Found", 0)</f>
        <v>0</v>
      </c>
      <c r="P835" s="5">
        <f>_xlfn.XLOOKUP(CustomerCombined[[#This Row],[ID]], Table4[ID], Table4[Premium], "Not Found", 0)</f>
        <v>0</v>
      </c>
      <c r="Q835" s="5">
        <f>_xlfn.XLOOKUP(CustomerCombined[[#This Row],[ID]], Table4[ID], Table4[Regular], "Not Found", 0)</f>
        <v>285</v>
      </c>
      <c r="R835" s="5">
        <f>_xlfn.XLOOKUP(CustomerCombined[[#This Row],[ID]], Table4[ID], Table4[Deals], "Not Found", 0)</f>
        <v>1</v>
      </c>
      <c r="S835" s="5">
        <f>_xlfn.XLOOKUP(CustomerCombined[[#This Row],[ID]], Table4[ID], Table4[Website], "Not Found", 0)</f>
        <v>2</v>
      </c>
      <c r="T835" s="5">
        <f>_xlfn.XLOOKUP(CustomerCombined[[#This Row],[ID]], Table4[ID], Table4[Catalog], "Not Found", 0)</f>
        <v>0</v>
      </c>
      <c r="U835" s="5">
        <f>_xlfn.XLOOKUP(CustomerCombined[[#This Row],[ID]], Table4[ID], Table4[Store], "Not Found", 0)</f>
        <v>3</v>
      </c>
      <c r="V835" s="5">
        <f>_xlfn.XLOOKUP(CustomerCombined[[#This Row],[ID]], Table4[ID], Table4[Visits], "Not Found", 0)</f>
        <v>8</v>
      </c>
      <c r="W835" s="8">
        <f>_xlfn.XLOOKUP(CustomerCombined[[#This Row],[ID]], Table2[ID],Table2[Complaint], "Not Found", 0 )</f>
        <v>0</v>
      </c>
      <c r="X835" s="8">
        <f>_xlfn.XLOOKUP(CustomerCombined[[#This Row],[ID]], Table2[ID],Table2[Pilot], "Not Found", 0 )</f>
        <v>0</v>
      </c>
      <c r="Y835" s="8">
        <f>_xlfn.XLOOKUP(CustomerCombined[[#This Row],[ID]], Table2[ID],Table2[MC1], "Not Found", 0 )</f>
        <v>0</v>
      </c>
      <c r="Z835" s="8">
        <f>_xlfn.XLOOKUP(CustomerCombined[[#This Row],[ID]], Table2[ID],Table2[MC2], "Not Found", 0 )</f>
        <v>0</v>
      </c>
      <c r="AA835" s="8">
        <f>_xlfn.XLOOKUP(CustomerCombined[[#This Row],[ID]], Table2[ID],Table2[MC3], "Not Found", 0 )</f>
        <v>0</v>
      </c>
      <c r="AB835" s="8">
        <f>_xlfn.XLOOKUP(CustomerCombined[[#This Row],[ID]], Table2[ID],Table2[MC4], "Not Found", 0 )</f>
        <v>0</v>
      </c>
      <c r="AC835" s="8">
        <f>_xlfn.XLOOKUP(CustomerCombined[[#This Row],[ID]], Table2[ID],Table2[MC5], "Not Found", 0 )</f>
        <v>0</v>
      </c>
    </row>
    <row r="836" spans="1:29" x14ac:dyDescent="0.3">
      <c r="A836" s="6">
        <v>1657</v>
      </c>
      <c r="B836" s="6">
        <v>126751</v>
      </c>
      <c r="C836" s="6">
        <v>2</v>
      </c>
      <c r="D836" s="6">
        <v>0</v>
      </c>
      <c r="E836" s="6">
        <v>46</v>
      </c>
      <c r="F836" s="5" t="s">
        <v>6</v>
      </c>
      <c r="G836" s="5" t="s">
        <v>11</v>
      </c>
      <c r="H836" s="3" t="s">
        <v>45</v>
      </c>
      <c r="I836" s="5" t="s">
        <v>437</v>
      </c>
      <c r="J836" s="5">
        <f>_xlfn.XLOOKUP(CustomerCombined[[#This Row],[ID]], Table4[ID], Table4[Recency], "Not Found", 0)</f>
        <v>26</v>
      </c>
      <c r="K836" s="5">
        <f>_xlfn.XLOOKUP(CustomerCombined[[#This Row],[ID]], Table4[ID], Table4[Teas], "Not Found", 0)</f>
        <v>5</v>
      </c>
      <c r="L836" s="5">
        <f>_xlfn.XLOOKUP(CustomerCombined[[#This Row],[ID]], Table4[ID], Table4[Fruits], "Not Found", 0)</f>
        <v>5</v>
      </c>
      <c r="M836" s="5">
        <f>_xlfn.XLOOKUP(CustomerCombined[[#This Row],[ID]], Table4[ID], Table4[Meats], "Not Found", 0)</f>
        <v>24</v>
      </c>
      <c r="N836" s="5">
        <f>_xlfn.XLOOKUP(CustomerCombined[[#This Row],[ID]], Table4[ID], Table4[Seafood], "Not Found", 0)</f>
        <v>0</v>
      </c>
      <c r="O836" s="5">
        <f>_xlfn.XLOOKUP(CustomerCombined[[#This Row],[ID]], Table4[ID], Table4[Sweets], "Not Found", 0)</f>
        <v>14</v>
      </c>
      <c r="P836" s="5">
        <f>_xlfn.XLOOKUP(CustomerCombined[[#This Row],[ID]], Table4[ID], Table4[Premium], "Not Found", 0)</f>
        <v>5</v>
      </c>
      <c r="Q836" s="5">
        <f>_xlfn.XLOOKUP(CustomerCombined[[#This Row],[ID]], Table4[ID], Table4[Regular], "Not Found", 0)</f>
        <v>43</v>
      </c>
      <c r="R836" s="5">
        <f>_xlfn.XLOOKUP(CustomerCombined[[#This Row],[ID]], Table4[ID], Table4[Deals], "Not Found", 0)</f>
        <v>1</v>
      </c>
      <c r="S836" s="5">
        <f>_xlfn.XLOOKUP(CustomerCombined[[#This Row],[ID]], Table4[ID], Table4[Website], "Not Found", 0)</f>
        <v>1</v>
      </c>
      <c r="T836" s="5">
        <f>_xlfn.XLOOKUP(CustomerCombined[[#This Row],[ID]], Table4[ID], Table4[Catalog], "Not Found", 0)</f>
        <v>0</v>
      </c>
      <c r="U836" s="5">
        <f>_xlfn.XLOOKUP(CustomerCombined[[#This Row],[ID]], Table4[ID], Table4[Store], "Not Found", 0)</f>
        <v>2</v>
      </c>
      <c r="V836" s="5">
        <f>_xlfn.XLOOKUP(CustomerCombined[[#This Row],[ID]], Table4[ID], Table4[Visits], "Not Found", 0)</f>
        <v>8</v>
      </c>
      <c r="W836" s="8">
        <f>_xlfn.XLOOKUP(CustomerCombined[[#This Row],[ID]], Table2[ID],Table2[Complaint], "Not Found", 0 )</f>
        <v>0</v>
      </c>
      <c r="X836" s="8">
        <f>_xlfn.XLOOKUP(CustomerCombined[[#This Row],[ID]], Table2[ID],Table2[Pilot], "Not Found", 0 )</f>
        <v>0</v>
      </c>
      <c r="Y836" s="8">
        <f>_xlfn.XLOOKUP(CustomerCombined[[#This Row],[ID]], Table2[ID],Table2[MC1], "Not Found", 0 )</f>
        <v>0</v>
      </c>
      <c r="Z836" s="8">
        <f>_xlfn.XLOOKUP(CustomerCombined[[#This Row],[ID]], Table2[ID],Table2[MC2], "Not Found", 0 )</f>
        <v>0</v>
      </c>
      <c r="AA836" s="8">
        <f>_xlfn.XLOOKUP(CustomerCombined[[#This Row],[ID]], Table2[ID],Table2[MC3], "Not Found", 0 )</f>
        <v>0</v>
      </c>
      <c r="AB836" s="8">
        <f>_xlfn.XLOOKUP(CustomerCombined[[#This Row],[ID]], Table2[ID],Table2[MC4], "Not Found", 0 )</f>
        <v>0</v>
      </c>
      <c r="AC836" s="8">
        <f>_xlfn.XLOOKUP(CustomerCombined[[#This Row],[ID]], Table2[ID],Table2[MC5], "Not Found", 0 )</f>
        <v>0</v>
      </c>
    </row>
    <row r="837" spans="1:29" x14ac:dyDescent="0.3">
      <c r="A837" s="6">
        <v>3148</v>
      </c>
      <c r="B837" s="6">
        <v>126067</v>
      </c>
      <c r="C837" s="6">
        <v>1</v>
      </c>
      <c r="D837" s="6">
        <v>0</v>
      </c>
      <c r="E837" s="6">
        <v>46</v>
      </c>
      <c r="F837" s="5" t="s">
        <v>6</v>
      </c>
      <c r="G837" s="5" t="s">
        <v>11</v>
      </c>
      <c r="H837" s="3">
        <v>44108</v>
      </c>
      <c r="I837" s="5" t="s">
        <v>439</v>
      </c>
      <c r="J837" s="5">
        <f>_xlfn.XLOOKUP(CustomerCombined[[#This Row],[ID]], Table4[ID], Table4[Recency], "Not Found", 0)</f>
        <v>49</v>
      </c>
      <c r="K837" s="5">
        <f>_xlfn.XLOOKUP(CustomerCombined[[#This Row],[ID]], Table4[ID], Table4[Teas], "Not Found", 0)</f>
        <v>106</v>
      </c>
      <c r="L837" s="5">
        <f>_xlfn.XLOOKUP(CustomerCombined[[#This Row],[ID]], Table4[ID], Table4[Fruits], "Not Found", 0)</f>
        <v>10</v>
      </c>
      <c r="M837" s="5">
        <f>_xlfn.XLOOKUP(CustomerCombined[[#This Row],[ID]], Table4[ID], Table4[Meats], "Not Found", 0)</f>
        <v>87</v>
      </c>
      <c r="N837" s="5">
        <f>_xlfn.XLOOKUP(CustomerCombined[[#This Row],[ID]], Table4[ID], Table4[Seafood], "Not Found", 0)</f>
        <v>0</v>
      </c>
      <c r="O837" s="5">
        <f>_xlfn.XLOOKUP(CustomerCombined[[#This Row],[ID]], Table4[ID], Table4[Sweets], "Not Found", 0)</f>
        <v>10</v>
      </c>
      <c r="P837" s="5">
        <f>_xlfn.XLOOKUP(CustomerCombined[[#This Row],[ID]], Table4[ID], Table4[Premium], "Not Found", 0)</f>
        <v>58</v>
      </c>
      <c r="Q837" s="5">
        <f>_xlfn.XLOOKUP(CustomerCombined[[#This Row],[ID]], Table4[ID], Table4[Regular], "Not Found", 0)</f>
        <v>155</v>
      </c>
      <c r="R837" s="5">
        <f>_xlfn.XLOOKUP(CustomerCombined[[#This Row],[ID]], Table4[ID], Table4[Deals], "Not Found", 0)</f>
        <v>3</v>
      </c>
      <c r="S837" s="5">
        <f>_xlfn.XLOOKUP(CustomerCombined[[#This Row],[ID]], Table4[ID], Table4[Website], "Not Found", 0)</f>
        <v>3</v>
      </c>
      <c r="T837" s="5">
        <f>_xlfn.XLOOKUP(CustomerCombined[[#This Row],[ID]], Table4[ID], Table4[Catalog], "Not Found", 0)</f>
        <v>0</v>
      </c>
      <c r="U837" s="5">
        <f>_xlfn.XLOOKUP(CustomerCombined[[#This Row],[ID]], Table4[ID], Table4[Store], "Not Found", 0)</f>
        <v>3</v>
      </c>
      <c r="V837" s="5">
        <f>_xlfn.XLOOKUP(CustomerCombined[[#This Row],[ID]], Table4[ID], Table4[Visits], "Not Found", 0)</f>
        <v>8</v>
      </c>
      <c r="W837" s="8">
        <f>_xlfn.XLOOKUP(CustomerCombined[[#This Row],[ID]], Table2[ID],Table2[Complaint], "Not Found", 0 )</f>
        <v>0</v>
      </c>
      <c r="X837" s="8">
        <f>_xlfn.XLOOKUP(CustomerCombined[[#This Row],[ID]], Table2[ID],Table2[Pilot], "Not Found", 0 )</f>
        <v>0</v>
      </c>
      <c r="Y837" s="8">
        <f>_xlfn.XLOOKUP(CustomerCombined[[#This Row],[ID]], Table2[ID],Table2[MC1], "Not Found", 0 )</f>
        <v>0</v>
      </c>
      <c r="Z837" s="8">
        <f>_xlfn.XLOOKUP(CustomerCombined[[#This Row],[ID]], Table2[ID],Table2[MC2], "Not Found", 0 )</f>
        <v>0</v>
      </c>
      <c r="AA837" s="8">
        <f>_xlfn.XLOOKUP(CustomerCombined[[#This Row],[ID]], Table2[ID],Table2[MC3], "Not Found", 0 )</f>
        <v>0</v>
      </c>
      <c r="AB837" s="8">
        <f>_xlfn.XLOOKUP(CustomerCombined[[#This Row],[ID]], Table2[ID],Table2[MC4], "Not Found", 0 )</f>
        <v>0</v>
      </c>
      <c r="AC837" s="8">
        <f>_xlfn.XLOOKUP(CustomerCombined[[#This Row],[ID]], Table2[ID],Table2[MC5], "Not Found", 0 )</f>
        <v>0</v>
      </c>
    </row>
    <row r="838" spans="1:29" x14ac:dyDescent="0.3">
      <c r="A838" s="6">
        <v>2745</v>
      </c>
      <c r="B838" s="6">
        <v>125509</v>
      </c>
      <c r="C838" s="6">
        <v>1</v>
      </c>
      <c r="D838" s="6">
        <v>0</v>
      </c>
      <c r="E838" s="6">
        <v>46</v>
      </c>
      <c r="F838" s="5" t="s">
        <v>5</v>
      </c>
      <c r="G838" s="5" t="s">
        <v>13</v>
      </c>
      <c r="H838" s="3" t="s">
        <v>393</v>
      </c>
      <c r="I838" s="5" t="s">
        <v>435</v>
      </c>
      <c r="J838" s="5">
        <f>_xlfn.XLOOKUP(CustomerCombined[[#This Row],[ID]], Table4[ID], Table4[Recency], "Not Found", 0)</f>
        <v>15</v>
      </c>
      <c r="K838" s="5">
        <f>_xlfn.XLOOKUP(CustomerCombined[[#This Row],[ID]], Table4[ID], Table4[Teas], "Not Found", 0)</f>
        <v>197</v>
      </c>
      <c r="L838" s="5">
        <f>_xlfn.XLOOKUP(CustomerCombined[[#This Row],[ID]], Table4[ID], Table4[Fruits], "Not Found", 0)</f>
        <v>15</v>
      </c>
      <c r="M838" s="5">
        <f>_xlfn.XLOOKUP(CustomerCombined[[#This Row],[ID]], Table4[ID], Table4[Meats], "Not Found", 0)</f>
        <v>148</v>
      </c>
      <c r="N838" s="5">
        <f>_xlfn.XLOOKUP(CustomerCombined[[#This Row],[ID]], Table4[ID], Table4[Seafood], "Not Found", 0)</f>
        <v>49</v>
      </c>
      <c r="O838" s="5">
        <f>_xlfn.XLOOKUP(CustomerCombined[[#This Row],[ID]], Table4[ID], Table4[Sweets], "Not Found", 0)</f>
        <v>34</v>
      </c>
      <c r="P838" s="5">
        <f>_xlfn.XLOOKUP(CustomerCombined[[#This Row],[ID]], Table4[ID], Table4[Premium], "Not Found", 0)</f>
        <v>54</v>
      </c>
      <c r="Q838" s="5">
        <f>_xlfn.XLOOKUP(CustomerCombined[[#This Row],[ID]], Table4[ID], Table4[Regular], "Not Found", 0)</f>
        <v>389</v>
      </c>
      <c r="R838" s="5">
        <f>_xlfn.XLOOKUP(CustomerCombined[[#This Row],[ID]], Table4[ID], Table4[Deals], "Not Found", 0)</f>
        <v>3</v>
      </c>
      <c r="S838" s="5">
        <f>_xlfn.XLOOKUP(CustomerCombined[[#This Row],[ID]], Table4[ID], Table4[Website], "Not Found", 0)</f>
        <v>3</v>
      </c>
      <c r="T838" s="5">
        <f>_xlfn.XLOOKUP(CustomerCombined[[#This Row],[ID]], Table4[ID], Table4[Catalog], "Not Found", 0)</f>
        <v>0</v>
      </c>
      <c r="U838" s="5">
        <f>_xlfn.XLOOKUP(CustomerCombined[[#This Row],[ID]], Table4[ID], Table4[Store], "Not Found", 0)</f>
        <v>3</v>
      </c>
      <c r="V838" s="5">
        <f>_xlfn.XLOOKUP(CustomerCombined[[#This Row],[ID]], Table4[ID], Table4[Visits], "Not Found", 0)</f>
        <v>9</v>
      </c>
      <c r="W838" s="8">
        <f>_xlfn.XLOOKUP(CustomerCombined[[#This Row],[ID]], Table2[ID],Table2[Complaint], "Not Found", 0 )</f>
        <v>0</v>
      </c>
      <c r="X838" s="8">
        <f>_xlfn.XLOOKUP(CustomerCombined[[#This Row],[ID]], Table2[ID],Table2[Pilot], "Not Found", 0 )</f>
        <v>1</v>
      </c>
      <c r="Y838" s="8">
        <f>_xlfn.XLOOKUP(CustomerCombined[[#This Row],[ID]], Table2[ID],Table2[MC1], "Not Found", 0 )</f>
        <v>0</v>
      </c>
      <c r="Z838" s="8">
        <f>_xlfn.XLOOKUP(CustomerCombined[[#This Row],[ID]], Table2[ID],Table2[MC2], "Not Found", 0 )</f>
        <v>0</v>
      </c>
      <c r="AA838" s="8">
        <f>_xlfn.XLOOKUP(CustomerCombined[[#This Row],[ID]], Table2[ID],Table2[MC3], "Not Found", 0 )</f>
        <v>0</v>
      </c>
      <c r="AB838" s="8">
        <f>_xlfn.XLOOKUP(CustomerCombined[[#This Row],[ID]], Table2[ID],Table2[MC4], "Not Found", 0 )</f>
        <v>0</v>
      </c>
      <c r="AC838" s="8">
        <f>_xlfn.XLOOKUP(CustomerCombined[[#This Row],[ID]], Table2[ID],Table2[MC5], "Not Found", 0 )</f>
        <v>0</v>
      </c>
    </row>
    <row r="839" spans="1:29" x14ac:dyDescent="0.3">
      <c r="A839" s="6">
        <v>2956</v>
      </c>
      <c r="B839" s="6">
        <v>125509</v>
      </c>
      <c r="C839" s="6">
        <v>1</v>
      </c>
      <c r="D839" s="6">
        <v>0</v>
      </c>
      <c r="E839" s="6">
        <v>46</v>
      </c>
      <c r="F839" s="5" t="s">
        <v>5</v>
      </c>
      <c r="G839" s="5" t="s">
        <v>13</v>
      </c>
      <c r="H839" s="3" t="s">
        <v>393</v>
      </c>
      <c r="I839" s="5" t="s">
        <v>439</v>
      </c>
      <c r="J839" s="5">
        <f>_xlfn.XLOOKUP(CustomerCombined[[#This Row],[ID]], Table4[ID], Table4[Recency], "Not Found", 0)</f>
        <v>15</v>
      </c>
      <c r="K839" s="5">
        <f>_xlfn.XLOOKUP(CustomerCombined[[#This Row],[ID]], Table4[ID], Table4[Teas], "Not Found", 0)</f>
        <v>197</v>
      </c>
      <c r="L839" s="5">
        <f>_xlfn.XLOOKUP(CustomerCombined[[#This Row],[ID]], Table4[ID], Table4[Fruits], "Not Found", 0)</f>
        <v>15</v>
      </c>
      <c r="M839" s="5">
        <f>_xlfn.XLOOKUP(CustomerCombined[[#This Row],[ID]], Table4[ID], Table4[Meats], "Not Found", 0)</f>
        <v>148</v>
      </c>
      <c r="N839" s="5">
        <f>_xlfn.XLOOKUP(CustomerCombined[[#This Row],[ID]], Table4[ID], Table4[Seafood], "Not Found", 0)</f>
        <v>49</v>
      </c>
      <c r="O839" s="5">
        <f>_xlfn.XLOOKUP(CustomerCombined[[#This Row],[ID]], Table4[ID], Table4[Sweets], "Not Found", 0)</f>
        <v>34</v>
      </c>
      <c r="P839" s="5">
        <f>_xlfn.XLOOKUP(CustomerCombined[[#This Row],[ID]], Table4[ID], Table4[Premium], "Not Found", 0)</f>
        <v>54</v>
      </c>
      <c r="Q839" s="5">
        <f>_xlfn.XLOOKUP(CustomerCombined[[#This Row],[ID]], Table4[ID], Table4[Regular], "Not Found", 0)</f>
        <v>389</v>
      </c>
      <c r="R839" s="5">
        <f>_xlfn.XLOOKUP(CustomerCombined[[#This Row],[ID]], Table4[ID], Table4[Deals], "Not Found", 0)</f>
        <v>3</v>
      </c>
      <c r="S839" s="5">
        <f>_xlfn.XLOOKUP(CustomerCombined[[#This Row],[ID]], Table4[ID], Table4[Website], "Not Found", 0)</f>
        <v>3</v>
      </c>
      <c r="T839" s="5">
        <f>_xlfn.XLOOKUP(CustomerCombined[[#This Row],[ID]], Table4[ID], Table4[Catalog], "Not Found", 0)</f>
        <v>0</v>
      </c>
      <c r="U839" s="5">
        <f>_xlfn.XLOOKUP(CustomerCombined[[#This Row],[ID]], Table4[ID], Table4[Store], "Not Found", 0)</f>
        <v>3</v>
      </c>
      <c r="V839" s="5">
        <f>_xlfn.XLOOKUP(CustomerCombined[[#This Row],[ID]], Table4[ID], Table4[Visits], "Not Found", 0)</f>
        <v>9</v>
      </c>
      <c r="W839" s="8">
        <f>_xlfn.XLOOKUP(CustomerCombined[[#This Row],[ID]], Table2[ID],Table2[Complaint], "Not Found", 0 )</f>
        <v>0</v>
      </c>
      <c r="X839" s="8">
        <f>_xlfn.XLOOKUP(CustomerCombined[[#This Row],[ID]], Table2[ID],Table2[Pilot], "Not Found", 0 )</f>
        <v>1</v>
      </c>
      <c r="Y839" s="8">
        <f>_xlfn.XLOOKUP(CustomerCombined[[#This Row],[ID]], Table2[ID],Table2[MC1], "Not Found", 0 )</f>
        <v>0</v>
      </c>
      <c r="Z839" s="8">
        <f>_xlfn.XLOOKUP(CustomerCombined[[#This Row],[ID]], Table2[ID],Table2[MC2], "Not Found", 0 )</f>
        <v>0</v>
      </c>
      <c r="AA839" s="8">
        <f>_xlfn.XLOOKUP(CustomerCombined[[#This Row],[ID]], Table2[ID],Table2[MC3], "Not Found", 0 )</f>
        <v>0</v>
      </c>
      <c r="AB839" s="8">
        <f>_xlfn.XLOOKUP(CustomerCombined[[#This Row],[ID]], Table2[ID],Table2[MC4], "Not Found", 0 )</f>
        <v>0</v>
      </c>
      <c r="AC839" s="8">
        <f>_xlfn.XLOOKUP(CustomerCombined[[#This Row],[ID]], Table2[ID],Table2[MC5], "Not Found", 0 )</f>
        <v>0</v>
      </c>
    </row>
    <row r="840" spans="1:29" x14ac:dyDescent="0.3">
      <c r="A840" s="6">
        <v>2126</v>
      </c>
      <c r="B840" s="6">
        <v>121255</v>
      </c>
      <c r="C840" s="6">
        <v>1</v>
      </c>
      <c r="D840" s="6">
        <v>0</v>
      </c>
      <c r="E840" s="6">
        <v>46</v>
      </c>
      <c r="F840" s="5" t="s">
        <v>8</v>
      </c>
      <c r="G840" s="5" t="s">
        <v>12</v>
      </c>
      <c r="H840" s="3" t="s">
        <v>111</v>
      </c>
      <c r="I840" s="5" t="s">
        <v>438</v>
      </c>
      <c r="J840" s="5">
        <f>_xlfn.XLOOKUP(CustomerCombined[[#This Row],[ID]], Table4[ID], Table4[Recency], "Not Found", 0)</f>
        <v>56</v>
      </c>
      <c r="K840" s="5">
        <f>_xlfn.XLOOKUP(CustomerCombined[[#This Row],[ID]], Table4[ID], Table4[Teas], "Not Found", 0)</f>
        <v>165</v>
      </c>
      <c r="L840" s="5">
        <f>_xlfn.XLOOKUP(CustomerCombined[[#This Row],[ID]], Table4[ID], Table4[Fruits], "Not Found", 0)</f>
        <v>0</v>
      </c>
      <c r="M840" s="5">
        <f>_xlfn.XLOOKUP(CustomerCombined[[#This Row],[ID]], Table4[ID], Table4[Meats], "Not Found", 0)</f>
        <v>143</v>
      </c>
      <c r="N840" s="5">
        <f>_xlfn.XLOOKUP(CustomerCombined[[#This Row],[ID]], Table4[ID], Table4[Seafood], "Not Found", 0)</f>
        <v>11</v>
      </c>
      <c r="O840" s="5">
        <f>_xlfn.XLOOKUP(CustomerCombined[[#This Row],[ID]], Table4[ID], Table4[Sweets], "Not Found", 0)</f>
        <v>11</v>
      </c>
      <c r="P840" s="5">
        <f>_xlfn.XLOOKUP(CustomerCombined[[#This Row],[ID]], Table4[ID], Table4[Premium], "Not Found", 0)</f>
        <v>17</v>
      </c>
      <c r="Q840" s="5">
        <f>_xlfn.XLOOKUP(CustomerCombined[[#This Row],[ID]], Table4[ID], Table4[Regular], "Not Found", 0)</f>
        <v>314</v>
      </c>
      <c r="R840" s="5">
        <f>_xlfn.XLOOKUP(CustomerCombined[[#This Row],[ID]], Table4[ID], Table4[Deals], "Not Found", 0)</f>
        <v>4</v>
      </c>
      <c r="S840" s="5">
        <f>_xlfn.XLOOKUP(CustomerCombined[[#This Row],[ID]], Table4[ID], Table4[Website], "Not Found", 0)</f>
        <v>2</v>
      </c>
      <c r="T840" s="5">
        <f>_xlfn.XLOOKUP(CustomerCombined[[#This Row],[ID]], Table4[ID], Table4[Catalog], "Not Found", 0)</f>
        <v>1</v>
      </c>
      <c r="U840" s="5">
        <f>_xlfn.XLOOKUP(CustomerCombined[[#This Row],[ID]], Table4[ID], Table4[Store], "Not Found", 0)</f>
        <v>4</v>
      </c>
      <c r="V840" s="5">
        <f>_xlfn.XLOOKUP(CustomerCombined[[#This Row],[ID]], Table4[ID], Table4[Visits], "Not Found", 0)</f>
        <v>4</v>
      </c>
      <c r="W840" s="8">
        <f>_xlfn.XLOOKUP(CustomerCombined[[#This Row],[ID]], Table2[ID],Table2[Complaint], "Not Found", 0 )</f>
        <v>0</v>
      </c>
      <c r="X840" s="8">
        <f>_xlfn.XLOOKUP(CustomerCombined[[#This Row],[ID]], Table2[ID],Table2[Pilot], "Not Found", 0 )</f>
        <v>0</v>
      </c>
      <c r="Y840" s="8">
        <f>_xlfn.XLOOKUP(CustomerCombined[[#This Row],[ID]], Table2[ID],Table2[MC1], "Not Found", 0 )</f>
        <v>0</v>
      </c>
      <c r="Z840" s="8">
        <f>_xlfn.XLOOKUP(CustomerCombined[[#This Row],[ID]], Table2[ID],Table2[MC2], "Not Found", 0 )</f>
        <v>0</v>
      </c>
      <c r="AA840" s="8">
        <f>_xlfn.XLOOKUP(CustomerCombined[[#This Row],[ID]], Table2[ID],Table2[MC3], "Not Found", 0 )</f>
        <v>0</v>
      </c>
      <c r="AB840" s="8">
        <f>_xlfn.XLOOKUP(CustomerCombined[[#This Row],[ID]], Table2[ID],Table2[MC4], "Not Found", 0 )</f>
        <v>0</v>
      </c>
      <c r="AC840" s="8">
        <f>_xlfn.XLOOKUP(CustomerCombined[[#This Row],[ID]], Table2[ID],Table2[MC5], "Not Found", 0 )</f>
        <v>0</v>
      </c>
    </row>
    <row r="841" spans="1:29" x14ac:dyDescent="0.3">
      <c r="A841" s="6">
        <v>1428</v>
      </c>
      <c r="B841" s="6">
        <v>120130</v>
      </c>
      <c r="C841" s="6">
        <v>0</v>
      </c>
      <c r="D841" s="6">
        <v>0</v>
      </c>
      <c r="E841" s="6">
        <v>46</v>
      </c>
      <c r="F841" s="5" t="s">
        <v>6</v>
      </c>
      <c r="G841" s="5" t="s">
        <v>442</v>
      </c>
      <c r="H841" s="3" t="s">
        <v>84</v>
      </c>
      <c r="I841" s="5" t="s">
        <v>436</v>
      </c>
      <c r="J841" s="5">
        <f>_xlfn.XLOOKUP(CustomerCombined[[#This Row],[ID]], Table4[ID], Table4[Recency], "Not Found", 0)</f>
        <v>99</v>
      </c>
      <c r="K841" s="5">
        <f>_xlfn.XLOOKUP(CustomerCombined[[#This Row],[ID]], Table4[ID], Table4[Teas], "Not Found", 0)</f>
        <v>0</v>
      </c>
      <c r="L841" s="5">
        <f>_xlfn.XLOOKUP(CustomerCombined[[#This Row],[ID]], Table4[ID], Table4[Fruits], "Not Found", 0)</f>
        <v>36</v>
      </c>
      <c r="M841" s="5">
        <f>_xlfn.XLOOKUP(CustomerCombined[[#This Row],[ID]], Table4[ID], Table4[Meats], "Not Found", 0)</f>
        <v>18</v>
      </c>
      <c r="N841" s="5">
        <f>_xlfn.XLOOKUP(CustomerCombined[[#This Row],[ID]], Table4[ID], Table4[Seafood], "Not Found", 0)</f>
        <v>42</v>
      </c>
      <c r="O841" s="5">
        <f>_xlfn.XLOOKUP(CustomerCombined[[#This Row],[ID]], Table4[ID], Table4[Sweets], "Not Found", 0)</f>
        <v>36</v>
      </c>
      <c r="P841" s="5">
        <f>_xlfn.XLOOKUP(CustomerCombined[[#This Row],[ID]], Table4[ID], Table4[Premium], "Not Found", 0)</f>
        <v>72</v>
      </c>
      <c r="Q841" s="5">
        <f>_xlfn.XLOOKUP(CustomerCombined[[#This Row],[ID]], Table4[ID], Table4[Regular], "Not Found", 0)</f>
        <v>60</v>
      </c>
      <c r="R841" s="5">
        <f>_xlfn.XLOOKUP(CustomerCombined[[#This Row],[ID]], Table4[ID], Table4[Deals], "Not Found", 0)</f>
        <v>1</v>
      </c>
      <c r="S841" s="5">
        <f>_xlfn.XLOOKUP(CustomerCombined[[#This Row],[ID]], Table4[ID], Table4[Website], "Not Found", 0)</f>
        <v>1</v>
      </c>
      <c r="T841" s="5">
        <f>_xlfn.XLOOKUP(CustomerCombined[[#This Row],[ID]], Table4[ID], Table4[Catalog], "Not Found", 0)</f>
        <v>0</v>
      </c>
      <c r="U841" s="5">
        <f>_xlfn.XLOOKUP(CustomerCombined[[#This Row],[ID]], Table4[ID], Table4[Store], "Not Found", 0)</f>
        <v>3</v>
      </c>
      <c r="V841" s="5">
        <f>_xlfn.XLOOKUP(CustomerCombined[[#This Row],[ID]], Table4[ID], Table4[Visits], "Not Found", 0)</f>
        <v>8</v>
      </c>
      <c r="W841" s="8">
        <f>_xlfn.XLOOKUP(CustomerCombined[[#This Row],[ID]], Table2[ID],Table2[Complaint], "Not Found", 0 )</f>
        <v>0</v>
      </c>
      <c r="X841" s="8">
        <f>_xlfn.XLOOKUP(CustomerCombined[[#This Row],[ID]], Table2[ID],Table2[Pilot], "Not Found", 0 )</f>
        <v>0</v>
      </c>
      <c r="Y841" s="8">
        <f>_xlfn.XLOOKUP(CustomerCombined[[#This Row],[ID]], Table2[ID],Table2[MC1], "Not Found", 0 )</f>
        <v>0</v>
      </c>
      <c r="Z841" s="8">
        <f>_xlfn.XLOOKUP(CustomerCombined[[#This Row],[ID]], Table2[ID],Table2[MC2], "Not Found", 0 )</f>
        <v>0</v>
      </c>
      <c r="AA841" s="8">
        <f>_xlfn.XLOOKUP(CustomerCombined[[#This Row],[ID]], Table2[ID],Table2[MC3], "Not Found", 0 )</f>
        <v>0</v>
      </c>
      <c r="AB841" s="8">
        <f>_xlfn.XLOOKUP(CustomerCombined[[#This Row],[ID]], Table2[ID],Table2[MC4], "Not Found", 0 )</f>
        <v>0</v>
      </c>
      <c r="AC841" s="8">
        <f>_xlfn.XLOOKUP(CustomerCombined[[#This Row],[ID]], Table2[ID],Table2[MC5], "Not Found", 0 )</f>
        <v>0</v>
      </c>
    </row>
    <row r="842" spans="1:29" x14ac:dyDescent="0.3">
      <c r="A842" s="6">
        <v>2152</v>
      </c>
      <c r="B842" s="6">
        <v>120130</v>
      </c>
      <c r="C842" s="6">
        <v>0</v>
      </c>
      <c r="D842" s="6">
        <v>0</v>
      </c>
      <c r="E842" s="6">
        <v>46</v>
      </c>
      <c r="F842" s="5" t="s">
        <v>6</v>
      </c>
      <c r="G842" s="5" t="s">
        <v>442</v>
      </c>
      <c r="H842" s="3" t="s">
        <v>84</v>
      </c>
      <c r="I842" s="5" t="s">
        <v>439</v>
      </c>
      <c r="J842" s="5">
        <f>_xlfn.XLOOKUP(CustomerCombined[[#This Row],[ID]], Table4[ID], Table4[Recency], "Not Found", 0)</f>
        <v>99</v>
      </c>
      <c r="K842" s="5">
        <f>_xlfn.XLOOKUP(CustomerCombined[[#This Row],[ID]], Table4[ID], Table4[Teas], "Not Found", 0)</f>
        <v>0</v>
      </c>
      <c r="L842" s="5">
        <f>_xlfn.XLOOKUP(CustomerCombined[[#This Row],[ID]], Table4[ID], Table4[Fruits], "Not Found", 0)</f>
        <v>36</v>
      </c>
      <c r="M842" s="5">
        <f>_xlfn.XLOOKUP(CustomerCombined[[#This Row],[ID]], Table4[ID], Table4[Meats], "Not Found", 0)</f>
        <v>18</v>
      </c>
      <c r="N842" s="5">
        <f>_xlfn.XLOOKUP(CustomerCombined[[#This Row],[ID]], Table4[ID], Table4[Seafood], "Not Found", 0)</f>
        <v>42</v>
      </c>
      <c r="O842" s="5">
        <f>_xlfn.XLOOKUP(CustomerCombined[[#This Row],[ID]], Table4[ID], Table4[Sweets], "Not Found", 0)</f>
        <v>36</v>
      </c>
      <c r="P842" s="5">
        <f>_xlfn.XLOOKUP(CustomerCombined[[#This Row],[ID]], Table4[ID], Table4[Premium], "Not Found", 0)</f>
        <v>72</v>
      </c>
      <c r="Q842" s="5">
        <f>_xlfn.XLOOKUP(CustomerCombined[[#This Row],[ID]], Table4[ID], Table4[Regular], "Not Found", 0)</f>
        <v>60</v>
      </c>
      <c r="R842" s="5">
        <f>_xlfn.XLOOKUP(CustomerCombined[[#This Row],[ID]], Table4[ID], Table4[Deals], "Not Found", 0)</f>
        <v>1</v>
      </c>
      <c r="S842" s="5">
        <f>_xlfn.XLOOKUP(CustomerCombined[[#This Row],[ID]], Table4[ID], Table4[Website], "Not Found", 0)</f>
        <v>1</v>
      </c>
      <c r="T842" s="5">
        <f>_xlfn.XLOOKUP(CustomerCombined[[#This Row],[ID]], Table4[ID], Table4[Catalog], "Not Found", 0)</f>
        <v>0</v>
      </c>
      <c r="U842" s="5">
        <f>_xlfn.XLOOKUP(CustomerCombined[[#This Row],[ID]], Table4[ID], Table4[Store], "Not Found", 0)</f>
        <v>3</v>
      </c>
      <c r="V842" s="5">
        <f>_xlfn.XLOOKUP(CustomerCombined[[#This Row],[ID]], Table4[ID], Table4[Visits], "Not Found", 0)</f>
        <v>8</v>
      </c>
      <c r="W842" s="8">
        <f>_xlfn.XLOOKUP(CustomerCombined[[#This Row],[ID]], Table2[ID],Table2[Complaint], "Not Found", 0 )</f>
        <v>0</v>
      </c>
      <c r="X842" s="8">
        <f>_xlfn.XLOOKUP(CustomerCombined[[#This Row],[ID]], Table2[ID],Table2[Pilot], "Not Found", 0 )</f>
        <v>0</v>
      </c>
      <c r="Y842" s="8">
        <f>_xlfn.XLOOKUP(CustomerCombined[[#This Row],[ID]], Table2[ID],Table2[MC1], "Not Found", 0 )</f>
        <v>0</v>
      </c>
      <c r="Z842" s="8">
        <f>_xlfn.XLOOKUP(CustomerCombined[[#This Row],[ID]], Table2[ID],Table2[MC2], "Not Found", 0 )</f>
        <v>0</v>
      </c>
      <c r="AA842" s="8">
        <f>_xlfn.XLOOKUP(CustomerCombined[[#This Row],[ID]], Table2[ID],Table2[MC3], "Not Found", 0 )</f>
        <v>0</v>
      </c>
      <c r="AB842" s="8">
        <f>_xlfn.XLOOKUP(CustomerCombined[[#This Row],[ID]], Table2[ID],Table2[MC4], "Not Found", 0 )</f>
        <v>0</v>
      </c>
      <c r="AC842" s="8">
        <f>_xlfn.XLOOKUP(CustomerCombined[[#This Row],[ID]], Table2[ID],Table2[MC5], "Not Found", 0 )</f>
        <v>0</v>
      </c>
    </row>
    <row r="843" spans="1:29" x14ac:dyDescent="0.3">
      <c r="A843" s="6">
        <v>3108</v>
      </c>
      <c r="B843" s="6">
        <v>119346</v>
      </c>
      <c r="C843" s="6">
        <v>1</v>
      </c>
      <c r="D843" s="6">
        <v>0</v>
      </c>
      <c r="E843" s="6">
        <v>46</v>
      </c>
      <c r="F843" s="5" t="s">
        <v>5</v>
      </c>
      <c r="G843" s="5" t="s">
        <v>11</v>
      </c>
      <c r="H843" s="3">
        <v>43989</v>
      </c>
      <c r="I843" s="5" t="s">
        <v>436</v>
      </c>
      <c r="J843" s="5">
        <f>_xlfn.XLOOKUP(CustomerCombined[[#This Row],[ID]], Table4[ID], Table4[Recency], "Not Found", 0)</f>
        <v>26</v>
      </c>
      <c r="K843" s="5">
        <f>_xlfn.XLOOKUP(CustomerCombined[[#This Row],[ID]], Table4[ID], Table4[Teas], "Not Found", 0)</f>
        <v>12</v>
      </c>
      <c r="L843" s="5">
        <f>_xlfn.XLOOKUP(CustomerCombined[[#This Row],[ID]], Table4[ID], Table4[Fruits], "Not Found", 0)</f>
        <v>0</v>
      </c>
      <c r="M843" s="5">
        <f>_xlfn.XLOOKUP(CustomerCombined[[#This Row],[ID]], Table4[ID], Table4[Meats], "Not Found", 0)</f>
        <v>56</v>
      </c>
      <c r="N843" s="5">
        <f>_xlfn.XLOOKUP(CustomerCombined[[#This Row],[ID]], Table4[ID], Table4[Seafood], "Not Found", 0)</f>
        <v>19</v>
      </c>
      <c r="O843" s="5">
        <f>_xlfn.XLOOKUP(CustomerCombined[[#This Row],[ID]], Table4[ID], Table4[Sweets], "Not Found", 0)</f>
        <v>37</v>
      </c>
      <c r="P843" s="5">
        <f>_xlfn.XLOOKUP(CustomerCombined[[#This Row],[ID]], Table4[ID], Table4[Premium], "Not Found", 0)</f>
        <v>12</v>
      </c>
      <c r="Q843" s="5">
        <f>_xlfn.XLOOKUP(CustomerCombined[[#This Row],[ID]], Table4[ID], Table4[Regular], "Not Found", 0)</f>
        <v>111</v>
      </c>
      <c r="R843" s="5">
        <f>_xlfn.XLOOKUP(CustomerCombined[[#This Row],[ID]], Table4[ID], Table4[Deals], "Not Found", 0)</f>
        <v>1</v>
      </c>
      <c r="S843" s="5">
        <f>_xlfn.XLOOKUP(CustomerCombined[[#This Row],[ID]], Table4[ID], Table4[Website], "Not Found", 0)</f>
        <v>1</v>
      </c>
      <c r="T843" s="5">
        <f>_xlfn.XLOOKUP(CustomerCombined[[#This Row],[ID]], Table4[ID], Table4[Catalog], "Not Found", 0)</f>
        <v>0</v>
      </c>
      <c r="U843" s="5">
        <f>_xlfn.XLOOKUP(CustomerCombined[[#This Row],[ID]], Table4[ID], Table4[Store], "Not Found", 0)</f>
        <v>3</v>
      </c>
      <c r="V843" s="5">
        <f>_xlfn.XLOOKUP(CustomerCombined[[#This Row],[ID]], Table4[ID], Table4[Visits], "Not Found", 0)</f>
        <v>8</v>
      </c>
      <c r="W843" s="8">
        <f>_xlfn.XLOOKUP(CustomerCombined[[#This Row],[ID]], Table2[ID],Table2[Complaint], "Not Found", 0 )</f>
        <v>0</v>
      </c>
      <c r="X843" s="8">
        <f>_xlfn.XLOOKUP(CustomerCombined[[#This Row],[ID]], Table2[ID],Table2[Pilot], "Not Found", 0 )</f>
        <v>0</v>
      </c>
      <c r="Y843" s="8">
        <f>_xlfn.XLOOKUP(CustomerCombined[[#This Row],[ID]], Table2[ID],Table2[MC1], "Not Found", 0 )</f>
        <v>0</v>
      </c>
      <c r="Z843" s="8">
        <f>_xlfn.XLOOKUP(CustomerCombined[[#This Row],[ID]], Table2[ID],Table2[MC2], "Not Found", 0 )</f>
        <v>0</v>
      </c>
      <c r="AA843" s="8">
        <f>_xlfn.XLOOKUP(CustomerCombined[[#This Row],[ID]], Table2[ID],Table2[MC3], "Not Found", 0 )</f>
        <v>0</v>
      </c>
      <c r="AB843" s="8">
        <f>_xlfn.XLOOKUP(CustomerCombined[[#This Row],[ID]], Table2[ID],Table2[MC4], "Not Found", 0 )</f>
        <v>0</v>
      </c>
      <c r="AC843" s="8">
        <f>_xlfn.XLOOKUP(CustomerCombined[[#This Row],[ID]], Table2[ID],Table2[MC5], "Not Found", 0 )</f>
        <v>0</v>
      </c>
    </row>
    <row r="844" spans="1:29" x14ac:dyDescent="0.3">
      <c r="A844" s="6">
        <v>2304</v>
      </c>
      <c r="B844" s="6">
        <v>118393</v>
      </c>
      <c r="C844" s="6">
        <v>1</v>
      </c>
      <c r="D844" s="6">
        <v>0</v>
      </c>
      <c r="E844" s="6">
        <v>46</v>
      </c>
      <c r="F844" s="5" t="s">
        <v>6</v>
      </c>
      <c r="G844" s="5" t="s">
        <v>10</v>
      </c>
      <c r="H844" s="3">
        <v>43870</v>
      </c>
      <c r="I844" s="5" t="s">
        <v>436</v>
      </c>
      <c r="J844" s="5">
        <f>_xlfn.XLOOKUP(CustomerCombined[[#This Row],[ID]], Table4[ID], Table4[Recency], "Not Found", 0)</f>
        <v>2</v>
      </c>
      <c r="K844" s="5">
        <f>_xlfn.XLOOKUP(CustomerCombined[[#This Row],[ID]], Table4[ID], Table4[Teas], "Not Found", 0)</f>
        <v>45</v>
      </c>
      <c r="L844" s="5">
        <f>_xlfn.XLOOKUP(CustomerCombined[[#This Row],[ID]], Table4[ID], Table4[Fruits], "Not Found", 0)</f>
        <v>64</v>
      </c>
      <c r="M844" s="5">
        <f>_xlfn.XLOOKUP(CustomerCombined[[#This Row],[ID]], Table4[ID], Table4[Meats], "Not Found", 0)</f>
        <v>84</v>
      </c>
      <c r="N844" s="5">
        <f>_xlfn.XLOOKUP(CustomerCombined[[#This Row],[ID]], Table4[ID], Table4[Seafood], "Not Found", 0)</f>
        <v>103</v>
      </c>
      <c r="O844" s="5">
        <f>_xlfn.XLOOKUP(CustomerCombined[[#This Row],[ID]], Table4[ID], Table4[Sweets], "Not Found", 0)</f>
        <v>0</v>
      </c>
      <c r="P844" s="5">
        <f>_xlfn.XLOOKUP(CustomerCombined[[#This Row],[ID]], Table4[ID], Table4[Premium], "Not Found", 0)</f>
        <v>26</v>
      </c>
      <c r="Q844" s="5">
        <f>_xlfn.XLOOKUP(CustomerCombined[[#This Row],[ID]], Table4[ID], Table4[Regular], "Not Found", 0)</f>
        <v>270</v>
      </c>
      <c r="R844" s="5">
        <f>_xlfn.XLOOKUP(CustomerCombined[[#This Row],[ID]], Table4[ID], Table4[Deals], "Not Found", 0)</f>
        <v>2</v>
      </c>
      <c r="S844" s="5">
        <f>_xlfn.XLOOKUP(CustomerCombined[[#This Row],[ID]], Table4[ID], Table4[Website], "Not Found", 0)</f>
        <v>3</v>
      </c>
      <c r="T844" s="5">
        <f>_xlfn.XLOOKUP(CustomerCombined[[#This Row],[ID]], Table4[ID], Table4[Catalog], "Not Found", 0)</f>
        <v>0</v>
      </c>
      <c r="U844" s="5">
        <f>_xlfn.XLOOKUP(CustomerCombined[[#This Row],[ID]], Table4[ID], Table4[Store], "Not Found", 0)</f>
        <v>3</v>
      </c>
      <c r="V844" s="5">
        <f>_xlfn.XLOOKUP(CustomerCombined[[#This Row],[ID]], Table4[ID], Table4[Visits], "Not Found", 0)</f>
        <v>8</v>
      </c>
      <c r="W844" s="8">
        <f>_xlfn.XLOOKUP(CustomerCombined[[#This Row],[ID]], Table2[ID],Table2[Complaint], "Not Found", 0 )</f>
        <v>0</v>
      </c>
      <c r="X844" s="8">
        <f>_xlfn.XLOOKUP(CustomerCombined[[#This Row],[ID]], Table2[ID],Table2[Pilot], "Not Found", 0 )</f>
        <v>0</v>
      </c>
      <c r="Y844" s="8">
        <f>_xlfn.XLOOKUP(CustomerCombined[[#This Row],[ID]], Table2[ID],Table2[MC1], "Not Found", 0 )</f>
        <v>0</v>
      </c>
      <c r="Z844" s="8">
        <f>_xlfn.XLOOKUP(CustomerCombined[[#This Row],[ID]], Table2[ID],Table2[MC2], "Not Found", 0 )</f>
        <v>0</v>
      </c>
      <c r="AA844" s="8">
        <f>_xlfn.XLOOKUP(CustomerCombined[[#This Row],[ID]], Table2[ID],Table2[MC3], "Not Found", 0 )</f>
        <v>0</v>
      </c>
      <c r="AB844" s="8">
        <f>_xlfn.XLOOKUP(CustomerCombined[[#This Row],[ID]], Table2[ID],Table2[MC4], "Not Found", 0 )</f>
        <v>0</v>
      </c>
      <c r="AC844" s="8">
        <f>_xlfn.XLOOKUP(CustomerCombined[[#This Row],[ID]], Table2[ID],Table2[MC5], "Not Found", 0 )</f>
        <v>0</v>
      </c>
    </row>
    <row r="845" spans="1:29" x14ac:dyDescent="0.3">
      <c r="A845" s="6">
        <v>1947</v>
      </c>
      <c r="B845" s="6">
        <v>192955</v>
      </c>
      <c r="C845" s="6">
        <v>0</v>
      </c>
      <c r="D845" s="6">
        <v>0</v>
      </c>
      <c r="E845" s="6">
        <v>47</v>
      </c>
      <c r="F845" s="5" t="s">
        <v>6</v>
      </c>
      <c r="G845" s="5" t="s">
        <v>11</v>
      </c>
      <c r="H845" s="3" t="s">
        <v>198</v>
      </c>
      <c r="I845" s="5" t="s">
        <v>435</v>
      </c>
      <c r="J845" s="5">
        <f>_xlfn.XLOOKUP(CustomerCombined[[#This Row],[ID]], Table4[ID], Table4[Recency], "Not Found", 0)</f>
        <v>35</v>
      </c>
      <c r="K845" s="5">
        <f>_xlfn.XLOOKUP(CustomerCombined[[#This Row],[ID]], Table4[ID], Table4[Teas], "Not Found", 0)</f>
        <v>1439</v>
      </c>
      <c r="L845" s="5">
        <f>_xlfn.XLOOKUP(CustomerCombined[[#This Row],[ID]], Table4[ID], Table4[Fruits], "Not Found", 0)</f>
        <v>44</v>
      </c>
      <c r="M845" s="5">
        <f>_xlfn.XLOOKUP(CustomerCombined[[#This Row],[ID]], Table4[ID], Table4[Meats], "Not Found", 0)</f>
        <v>1920</v>
      </c>
      <c r="N845" s="5">
        <f>_xlfn.XLOOKUP(CustomerCombined[[#This Row],[ID]], Table4[ID], Table4[Seafood], "Not Found", 0)</f>
        <v>64</v>
      </c>
      <c r="O845" s="5">
        <f>_xlfn.XLOOKUP(CustomerCombined[[#This Row],[ID]], Table4[ID], Table4[Sweets], "Not Found", 0)</f>
        <v>50</v>
      </c>
      <c r="P845" s="5">
        <f>_xlfn.XLOOKUP(CustomerCombined[[#This Row],[ID]], Table4[ID], Table4[Premium], "Not Found", 0)</f>
        <v>174</v>
      </c>
      <c r="Q845" s="5">
        <f>_xlfn.XLOOKUP(CustomerCombined[[#This Row],[ID]], Table4[ID], Table4[Regular], "Not Found", 0)</f>
        <v>3342</v>
      </c>
      <c r="R845" s="5">
        <f>_xlfn.XLOOKUP(CustomerCombined[[#This Row],[ID]], Table4[ID], Table4[Deals], "Not Found", 0)</f>
        <v>1</v>
      </c>
      <c r="S845" s="5">
        <f>_xlfn.XLOOKUP(CustomerCombined[[#This Row],[ID]], Table4[ID], Table4[Website], "Not Found", 0)</f>
        <v>6</v>
      </c>
      <c r="T845" s="5">
        <f>_xlfn.XLOOKUP(CustomerCombined[[#This Row],[ID]], Table4[ID], Table4[Catalog], "Not Found", 0)</f>
        <v>7</v>
      </c>
      <c r="U845" s="5">
        <f>_xlfn.XLOOKUP(CustomerCombined[[#This Row],[ID]], Table4[ID], Table4[Store], "Not Found", 0)</f>
        <v>9</v>
      </c>
      <c r="V845" s="5">
        <f>_xlfn.XLOOKUP(CustomerCombined[[#This Row],[ID]], Table4[ID], Table4[Visits], "Not Found", 0)</f>
        <v>2</v>
      </c>
      <c r="W845" s="8">
        <f>_xlfn.XLOOKUP(CustomerCombined[[#This Row],[ID]], Table2[ID],Table2[Complaint], "Not Found", 0 )</f>
        <v>0</v>
      </c>
      <c r="X845" s="8">
        <f>_xlfn.XLOOKUP(CustomerCombined[[#This Row],[ID]], Table2[ID],Table2[Pilot], "Not Found", 0 )</f>
        <v>1</v>
      </c>
      <c r="Y845" s="8">
        <f>_xlfn.XLOOKUP(CustomerCombined[[#This Row],[ID]], Table2[ID],Table2[MC1], "Not Found", 0 )</f>
        <v>1</v>
      </c>
      <c r="Z845" s="8">
        <f>_xlfn.XLOOKUP(CustomerCombined[[#This Row],[ID]], Table2[ID],Table2[MC2], "Not Found", 0 )</f>
        <v>0</v>
      </c>
      <c r="AA845" s="8">
        <f>_xlfn.XLOOKUP(CustomerCombined[[#This Row],[ID]], Table2[ID],Table2[MC3], "Not Found", 0 )</f>
        <v>0</v>
      </c>
      <c r="AB845" s="8">
        <f>_xlfn.XLOOKUP(CustomerCombined[[#This Row],[ID]], Table2[ID],Table2[MC4], "Not Found", 0 )</f>
        <v>0</v>
      </c>
      <c r="AC845" s="8">
        <f>_xlfn.XLOOKUP(CustomerCombined[[#This Row],[ID]], Table2[ID],Table2[MC5], "Not Found", 0 )</f>
        <v>1</v>
      </c>
    </row>
    <row r="846" spans="1:29" x14ac:dyDescent="0.3">
      <c r="A846" s="6">
        <v>1715</v>
      </c>
      <c r="B846" s="6">
        <v>189694</v>
      </c>
      <c r="C846" s="6">
        <v>1</v>
      </c>
      <c r="D846" s="6">
        <v>1</v>
      </c>
      <c r="E846" s="6">
        <v>47</v>
      </c>
      <c r="F846" s="5" t="s">
        <v>5</v>
      </c>
      <c r="G846" s="5" t="s">
        <v>11</v>
      </c>
      <c r="H846" s="3" t="s">
        <v>173</v>
      </c>
      <c r="I846" s="5" t="s">
        <v>434</v>
      </c>
      <c r="J846" s="5">
        <f>_xlfn.XLOOKUP(CustomerCombined[[#This Row],[ID]], Table4[ID], Table4[Recency], "Not Found", 0)</f>
        <v>22</v>
      </c>
      <c r="K846" s="5">
        <f>_xlfn.XLOOKUP(CustomerCombined[[#This Row],[ID]], Table4[ID], Table4[Teas], "Not Found", 0)</f>
        <v>2381</v>
      </c>
      <c r="L846" s="5">
        <f>_xlfn.XLOOKUP(CustomerCombined[[#This Row],[ID]], Table4[ID], Table4[Fruits], "Not Found", 0)</f>
        <v>59</v>
      </c>
      <c r="M846" s="5">
        <f>_xlfn.XLOOKUP(CustomerCombined[[#This Row],[ID]], Table4[ID], Table4[Meats], "Not Found", 0)</f>
        <v>446</v>
      </c>
      <c r="N846" s="5">
        <f>_xlfn.XLOOKUP(CustomerCombined[[#This Row],[ID]], Table4[ID], Table4[Seafood], "Not Found", 0)</f>
        <v>78</v>
      </c>
      <c r="O846" s="5">
        <f>_xlfn.XLOOKUP(CustomerCombined[[#This Row],[ID]], Table4[ID], Table4[Sweets], "Not Found", 0)</f>
        <v>59</v>
      </c>
      <c r="P846" s="5">
        <f>_xlfn.XLOOKUP(CustomerCombined[[#This Row],[ID]], Table4[ID], Table4[Premium], "Not Found", 0)</f>
        <v>89</v>
      </c>
      <c r="Q846" s="5">
        <f>_xlfn.XLOOKUP(CustomerCombined[[#This Row],[ID]], Table4[ID], Table4[Regular], "Not Found", 0)</f>
        <v>2935</v>
      </c>
      <c r="R846" s="5">
        <f>_xlfn.XLOOKUP(CustomerCombined[[#This Row],[ID]], Table4[ID], Table4[Deals], "Not Found", 0)</f>
        <v>3</v>
      </c>
      <c r="S846" s="5">
        <f>_xlfn.XLOOKUP(CustomerCombined[[#This Row],[ID]], Table4[ID], Table4[Website], "Not Found", 0)</f>
        <v>4</v>
      </c>
      <c r="T846" s="5">
        <f>_xlfn.XLOOKUP(CustomerCombined[[#This Row],[ID]], Table4[ID], Table4[Catalog], "Not Found", 0)</f>
        <v>3</v>
      </c>
      <c r="U846" s="5">
        <f>_xlfn.XLOOKUP(CustomerCombined[[#This Row],[ID]], Table4[ID], Table4[Store], "Not Found", 0)</f>
        <v>4</v>
      </c>
      <c r="V846" s="5">
        <f>_xlfn.XLOOKUP(CustomerCombined[[#This Row],[ID]], Table4[ID], Table4[Visits], "Not Found", 0)</f>
        <v>5</v>
      </c>
      <c r="W846" s="8">
        <f>_xlfn.XLOOKUP(CustomerCombined[[#This Row],[ID]], Table2[ID],Table2[Complaint], "Not Found", 0 )</f>
        <v>0</v>
      </c>
      <c r="X846" s="8">
        <f>_xlfn.XLOOKUP(CustomerCombined[[#This Row],[ID]], Table2[ID],Table2[Pilot], "Not Found", 0 )</f>
        <v>0</v>
      </c>
      <c r="Y846" s="8">
        <f>_xlfn.XLOOKUP(CustomerCombined[[#This Row],[ID]], Table2[ID],Table2[MC1], "Not Found", 0 )</f>
        <v>1</v>
      </c>
      <c r="Z846" s="8">
        <f>_xlfn.XLOOKUP(CustomerCombined[[#This Row],[ID]], Table2[ID],Table2[MC2], "Not Found", 0 )</f>
        <v>0</v>
      </c>
      <c r="AA846" s="8">
        <f>_xlfn.XLOOKUP(CustomerCombined[[#This Row],[ID]], Table2[ID],Table2[MC3], "Not Found", 0 )</f>
        <v>0</v>
      </c>
      <c r="AB846" s="8">
        <f>_xlfn.XLOOKUP(CustomerCombined[[#This Row],[ID]], Table2[ID],Table2[MC4], "Not Found", 0 )</f>
        <v>1</v>
      </c>
      <c r="AC846" s="8">
        <f>_xlfn.XLOOKUP(CustomerCombined[[#This Row],[ID]], Table2[ID],Table2[MC5], "Not Found", 0 )</f>
        <v>1</v>
      </c>
    </row>
    <row r="847" spans="1:29" x14ac:dyDescent="0.3">
      <c r="A847" s="6">
        <v>2071</v>
      </c>
      <c r="B847" s="6">
        <v>185844</v>
      </c>
      <c r="C847" s="6">
        <v>0</v>
      </c>
      <c r="D847" s="6">
        <v>0</v>
      </c>
      <c r="E847" s="6">
        <v>47</v>
      </c>
      <c r="F847" s="5" t="s">
        <v>6</v>
      </c>
      <c r="G847" s="5" t="s">
        <v>13</v>
      </c>
      <c r="H847" s="3">
        <v>43872</v>
      </c>
      <c r="I847" s="5" t="s">
        <v>437</v>
      </c>
      <c r="J847" s="5">
        <f>_xlfn.XLOOKUP(CustomerCombined[[#This Row],[ID]], Table4[ID], Table4[Recency], "Not Found", 0)</f>
        <v>62</v>
      </c>
      <c r="K847" s="5">
        <f>_xlfn.XLOOKUP(CustomerCombined[[#This Row],[ID]], Table4[ID], Table4[Teas], "Not Found", 0)</f>
        <v>2031</v>
      </c>
      <c r="L847" s="5">
        <f>_xlfn.XLOOKUP(CustomerCombined[[#This Row],[ID]], Table4[ID], Table4[Fruits], "Not Found", 0)</f>
        <v>41</v>
      </c>
      <c r="M847" s="5">
        <f>_xlfn.XLOOKUP(CustomerCombined[[#This Row],[ID]], Table4[ID], Table4[Meats], "Not Found", 0)</f>
        <v>1825</v>
      </c>
      <c r="N847" s="5">
        <f>_xlfn.XLOOKUP(CustomerCombined[[#This Row],[ID]], Table4[ID], Table4[Seafood], "Not Found", 0)</f>
        <v>54</v>
      </c>
      <c r="O847" s="5">
        <f>_xlfn.XLOOKUP(CustomerCombined[[#This Row],[ID]], Table4[ID], Table4[Sweets], "Not Found", 0)</f>
        <v>206</v>
      </c>
      <c r="P847" s="5">
        <f>_xlfn.XLOOKUP(CustomerCombined[[#This Row],[ID]], Table4[ID], Table4[Premium], "Not Found", 0)</f>
        <v>82</v>
      </c>
      <c r="Q847" s="5">
        <f>_xlfn.XLOOKUP(CustomerCombined[[#This Row],[ID]], Table4[ID], Table4[Regular], "Not Found", 0)</f>
        <v>4074</v>
      </c>
      <c r="R847" s="5">
        <f>_xlfn.XLOOKUP(CustomerCombined[[#This Row],[ID]], Table4[ID], Table4[Deals], "Not Found", 0)</f>
        <v>1</v>
      </c>
      <c r="S847" s="5">
        <f>_xlfn.XLOOKUP(CustomerCombined[[#This Row],[ID]], Table4[ID], Table4[Website], "Not Found", 0)</f>
        <v>6</v>
      </c>
      <c r="T847" s="5">
        <f>_xlfn.XLOOKUP(CustomerCombined[[#This Row],[ID]], Table4[ID], Table4[Catalog], "Not Found", 0)</f>
        <v>6</v>
      </c>
      <c r="U847" s="5">
        <f>_xlfn.XLOOKUP(CustomerCombined[[#This Row],[ID]], Table4[ID], Table4[Store], "Not Found", 0)</f>
        <v>7</v>
      </c>
      <c r="V847" s="5">
        <f>_xlfn.XLOOKUP(CustomerCombined[[#This Row],[ID]], Table4[ID], Table4[Visits], "Not Found", 0)</f>
        <v>2</v>
      </c>
      <c r="W847" s="8">
        <f>_xlfn.XLOOKUP(CustomerCombined[[#This Row],[ID]], Table2[ID],Table2[Complaint], "Not Found", 0 )</f>
        <v>0</v>
      </c>
      <c r="X847" s="8">
        <f>_xlfn.XLOOKUP(CustomerCombined[[#This Row],[ID]], Table2[ID],Table2[Pilot], "Not Found", 0 )</f>
        <v>0</v>
      </c>
      <c r="Y847" s="8">
        <f>_xlfn.XLOOKUP(CustomerCombined[[#This Row],[ID]], Table2[ID],Table2[MC1], "Not Found", 0 )</f>
        <v>0</v>
      </c>
      <c r="Z847" s="8">
        <f>_xlfn.XLOOKUP(CustomerCombined[[#This Row],[ID]], Table2[ID],Table2[MC2], "Not Found", 0 )</f>
        <v>0</v>
      </c>
      <c r="AA847" s="8">
        <f>_xlfn.XLOOKUP(CustomerCombined[[#This Row],[ID]], Table2[ID],Table2[MC3], "Not Found", 0 )</f>
        <v>0</v>
      </c>
      <c r="AB847" s="8">
        <f>_xlfn.XLOOKUP(CustomerCombined[[#This Row],[ID]], Table2[ID],Table2[MC4], "Not Found", 0 )</f>
        <v>0</v>
      </c>
      <c r="AC847" s="8">
        <f>_xlfn.XLOOKUP(CustomerCombined[[#This Row],[ID]], Table2[ID],Table2[MC5], "Not Found", 0 )</f>
        <v>1</v>
      </c>
    </row>
    <row r="848" spans="1:29" x14ac:dyDescent="0.3">
      <c r="A848" s="6">
        <v>1617</v>
      </c>
      <c r="B848" s="6">
        <v>183917</v>
      </c>
      <c r="C848" s="6">
        <v>0</v>
      </c>
      <c r="D848" s="6">
        <v>0</v>
      </c>
      <c r="E848" s="6">
        <v>47</v>
      </c>
      <c r="F848" s="5" t="s">
        <v>7</v>
      </c>
      <c r="G848" s="5" t="s">
        <v>11</v>
      </c>
      <c r="H848" s="3" t="s">
        <v>271</v>
      </c>
      <c r="I848" s="5" t="s">
        <v>435</v>
      </c>
      <c r="J848" s="5">
        <f>_xlfn.XLOOKUP(CustomerCombined[[#This Row],[ID]], Table4[ID], Table4[Recency], "Not Found", 0)</f>
        <v>12</v>
      </c>
      <c r="K848" s="5">
        <f>_xlfn.XLOOKUP(CustomerCombined[[#This Row],[ID]], Table4[ID], Table4[Teas], "Not Found", 0)</f>
        <v>1127</v>
      </c>
      <c r="L848" s="5">
        <f>_xlfn.XLOOKUP(CustomerCombined[[#This Row],[ID]], Table4[ID], Table4[Fruits], "Not Found", 0)</f>
        <v>48</v>
      </c>
      <c r="M848" s="5">
        <f>_xlfn.XLOOKUP(CustomerCombined[[#This Row],[ID]], Table4[ID], Table4[Meats], "Not Found", 0)</f>
        <v>1604</v>
      </c>
      <c r="N848" s="5">
        <f>_xlfn.XLOOKUP(CustomerCombined[[#This Row],[ID]], Table4[ID], Table4[Seafood], "Not Found", 0)</f>
        <v>92</v>
      </c>
      <c r="O848" s="5">
        <f>_xlfn.XLOOKUP(CustomerCombined[[#This Row],[ID]], Table4[ID], Table4[Sweets], "Not Found", 0)</f>
        <v>434</v>
      </c>
      <c r="P848" s="5">
        <f>_xlfn.XLOOKUP(CustomerCombined[[#This Row],[ID]], Table4[ID], Table4[Premium], "Not Found", 0)</f>
        <v>173</v>
      </c>
      <c r="Q848" s="5">
        <f>_xlfn.XLOOKUP(CustomerCombined[[#This Row],[ID]], Table4[ID], Table4[Regular], "Not Found", 0)</f>
        <v>3132</v>
      </c>
      <c r="R848" s="5">
        <f>_xlfn.XLOOKUP(CustomerCombined[[#This Row],[ID]], Table4[ID], Table4[Deals], "Not Found", 0)</f>
        <v>1</v>
      </c>
      <c r="S848" s="5">
        <f>_xlfn.XLOOKUP(CustomerCombined[[#This Row],[ID]], Table4[ID], Table4[Website], "Not Found", 0)</f>
        <v>6</v>
      </c>
      <c r="T848" s="5">
        <f>_xlfn.XLOOKUP(CustomerCombined[[#This Row],[ID]], Table4[ID], Table4[Catalog], "Not Found", 0)</f>
        <v>7</v>
      </c>
      <c r="U848" s="5">
        <f>_xlfn.XLOOKUP(CustomerCombined[[#This Row],[ID]], Table4[ID], Table4[Store], "Not Found", 0)</f>
        <v>7</v>
      </c>
      <c r="V848" s="5">
        <f>_xlfn.XLOOKUP(CustomerCombined[[#This Row],[ID]], Table4[ID], Table4[Visits], "Not Found", 0)</f>
        <v>3</v>
      </c>
      <c r="W848" s="8">
        <f>_xlfn.XLOOKUP(CustomerCombined[[#This Row],[ID]], Table2[ID],Table2[Complaint], "Not Found", 0 )</f>
        <v>0</v>
      </c>
      <c r="X848" s="8">
        <f>_xlfn.XLOOKUP(CustomerCombined[[#This Row],[ID]], Table2[ID],Table2[Pilot], "Not Found", 0 )</f>
        <v>1</v>
      </c>
      <c r="Y848" s="8">
        <f>_xlfn.XLOOKUP(CustomerCombined[[#This Row],[ID]], Table2[ID],Table2[MC1], "Not Found", 0 )</f>
        <v>0</v>
      </c>
      <c r="Z848" s="8">
        <f>_xlfn.XLOOKUP(CustomerCombined[[#This Row],[ID]], Table2[ID],Table2[MC2], "Not Found", 0 )</f>
        <v>0</v>
      </c>
      <c r="AA848" s="8">
        <f>_xlfn.XLOOKUP(CustomerCombined[[#This Row],[ID]], Table2[ID],Table2[MC3], "Not Found", 0 )</f>
        <v>0</v>
      </c>
      <c r="AB848" s="8">
        <f>_xlfn.XLOOKUP(CustomerCombined[[#This Row],[ID]], Table2[ID],Table2[MC4], "Not Found", 0 )</f>
        <v>0</v>
      </c>
      <c r="AC848" s="8">
        <f>_xlfn.XLOOKUP(CustomerCombined[[#This Row],[ID]], Table2[ID],Table2[MC5], "Not Found", 0 )</f>
        <v>0</v>
      </c>
    </row>
    <row r="849" spans="1:29" x14ac:dyDescent="0.3">
      <c r="A849" s="6">
        <v>1083</v>
      </c>
      <c r="B849" s="6">
        <v>179593</v>
      </c>
      <c r="C849" s="6">
        <v>0</v>
      </c>
      <c r="D849" s="6">
        <v>0</v>
      </c>
      <c r="E849" s="6">
        <v>47</v>
      </c>
      <c r="F849" s="5" t="s">
        <v>6</v>
      </c>
      <c r="G849" s="5" t="s">
        <v>11</v>
      </c>
      <c r="H849" s="3" t="s">
        <v>52</v>
      </c>
      <c r="I849" s="5" t="s">
        <v>435</v>
      </c>
      <c r="J849" s="5">
        <f>_xlfn.XLOOKUP(CustomerCombined[[#This Row],[ID]], Table4[ID], Table4[Recency], "Not Found", 0)</f>
        <v>70</v>
      </c>
      <c r="K849" s="5">
        <f>_xlfn.XLOOKUP(CustomerCombined[[#This Row],[ID]], Table4[ID], Table4[Teas], "Not Found", 0)</f>
        <v>790</v>
      </c>
      <c r="L849" s="5">
        <f>_xlfn.XLOOKUP(CustomerCombined[[#This Row],[ID]], Table4[ID], Table4[Fruits], "Not Found", 0)</f>
        <v>135</v>
      </c>
      <c r="M849" s="5">
        <f>_xlfn.XLOOKUP(CustomerCombined[[#This Row],[ID]], Table4[ID], Table4[Meats], "Not Found", 0)</f>
        <v>1282</v>
      </c>
      <c r="N849" s="5">
        <f>_xlfn.XLOOKUP(CustomerCombined[[#This Row],[ID]], Table4[ID], Table4[Seafood], "Not Found", 0)</f>
        <v>248</v>
      </c>
      <c r="O849" s="5">
        <f>_xlfn.XLOOKUP(CustomerCombined[[#This Row],[ID]], Table4[ID], Table4[Sweets], "Not Found", 0)</f>
        <v>300</v>
      </c>
      <c r="P849" s="5">
        <f>_xlfn.XLOOKUP(CustomerCombined[[#This Row],[ID]], Table4[ID], Table4[Premium], "Not Found", 0)</f>
        <v>327</v>
      </c>
      <c r="Q849" s="5">
        <f>_xlfn.XLOOKUP(CustomerCombined[[#This Row],[ID]], Table4[ID], Table4[Regular], "Not Found", 0)</f>
        <v>2428</v>
      </c>
      <c r="R849" s="5">
        <f>_xlfn.XLOOKUP(CustomerCombined[[#This Row],[ID]], Table4[ID], Table4[Deals], "Not Found", 0)</f>
        <v>1</v>
      </c>
      <c r="S849" s="5">
        <f>_xlfn.XLOOKUP(CustomerCombined[[#This Row],[ID]], Table4[ID], Table4[Website], "Not Found", 0)</f>
        <v>5</v>
      </c>
      <c r="T849" s="5">
        <f>_xlfn.XLOOKUP(CustomerCombined[[#This Row],[ID]], Table4[ID], Table4[Catalog], "Not Found", 0)</f>
        <v>6</v>
      </c>
      <c r="U849" s="5">
        <f>_xlfn.XLOOKUP(CustomerCombined[[#This Row],[ID]], Table4[ID], Table4[Store], "Not Found", 0)</f>
        <v>7</v>
      </c>
      <c r="V849" s="5">
        <f>_xlfn.XLOOKUP(CustomerCombined[[#This Row],[ID]], Table4[ID], Table4[Visits], "Not Found", 0)</f>
        <v>2</v>
      </c>
      <c r="W849" s="8">
        <f>_xlfn.XLOOKUP(CustomerCombined[[#This Row],[ID]], Table2[ID],Table2[Complaint], "Not Found", 0 )</f>
        <v>0</v>
      </c>
      <c r="X849" s="8">
        <f>_xlfn.XLOOKUP(CustomerCombined[[#This Row],[ID]], Table2[ID],Table2[Pilot], "Not Found", 0 )</f>
        <v>0</v>
      </c>
      <c r="Y849" s="8">
        <f>_xlfn.XLOOKUP(CustomerCombined[[#This Row],[ID]], Table2[ID],Table2[MC1], "Not Found", 0 )</f>
        <v>0</v>
      </c>
      <c r="Z849" s="8">
        <f>_xlfn.XLOOKUP(CustomerCombined[[#This Row],[ID]], Table2[ID],Table2[MC2], "Not Found", 0 )</f>
        <v>0</v>
      </c>
      <c r="AA849" s="8">
        <f>_xlfn.XLOOKUP(CustomerCombined[[#This Row],[ID]], Table2[ID],Table2[MC3], "Not Found", 0 )</f>
        <v>0</v>
      </c>
      <c r="AB849" s="8">
        <f>_xlfn.XLOOKUP(CustomerCombined[[#This Row],[ID]], Table2[ID],Table2[MC4], "Not Found", 0 )</f>
        <v>0</v>
      </c>
      <c r="AC849" s="8">
        <f>_xlfn.XLOOKUP(CustomerCombined[[#This Row],[ID]], Table2[ID],Table2[MC5], "Not Found", 0 )</f>
        <v>1</v>
      </c>
    </row>
    <row r="850" spans="1:29" x14ac:dyDescent="0.3">
      <c r="A850" s="6">
        <v>2015</v>
      </c>
      <c r="B850" s="6">
        <v>179593</v>
      </c>
      <c r="C850" s="6">
        <v>0</v>
      </c>
      <c r="D850" s="6">
        <v>0</v>
      </c>
      <c r="E850" s="6">
        <v>47</v>
      </c>
      <c r="F850" s="5" t="s">
        <v>6</v>
      </c>
      <c r="G850" s="5" t="s">
        <v>11</v>
      </c>
      <c r="H850" s="3" t="s">
        <v>52</v>
      </c>
      <c r="I850" s="5" t="s">
        <v>434</v>
      </c>
      <c r="J850" s="5">
        <f>_xlfn.XLOOKUP(CustomerCombined[[#This Row],[ID]], Table4[ID], Table4[Recency], "Not Found", 0)</f>
        <v>70</v>
      </c>
      <c r="K850" s="5">
        <f>_xlfn.XLOOKUP(CustomerCombined[[#This Row],[ID]], Table4[ID], Table4[Teas], "Not Found", 0)</f>
        <v>790</v>
      </c>
      <c r="L850" s="5">
        <f>_xlfn.XLOOKUP(CustomerCombined[[#This Row],[ID]], Table4[ID], Table4[Fruits], "Not Found", 0)</f>
        <v>135</v>
      </c>
      <c r="M850" s="5">
        <f>_xlfn.XLOOKUP(CustomerCombined[[#This Row],[ID]], Table4[ID], Table4[Meats], "Not Found", 0)</f>
        <v>1282</v>
      </c>
      <c r="N850" s="5">
        <f>_xlfn.XLOOKUP(CustomerCombined[[#This Row],[ID]], Table4[ID], Table4[Seafood], "Not Found", 0)</f>
        <v>248</v>
      </c>
      <c r="O850" s="5">
        <f>_xlfn.XLOOKUP(CustomerCombined[[#This Row],[ID]], Table4[ID], Table4[Sweets], "Not Found", 0)</f>
        <v>300</v>
      </c>
      <c r="P850" s="5">
        <f>_xlfn.XLOOKUP(CustomerCombined[[#This Row],[ID]], Table4[ID], Table4[Premium], "Not Found", 0)</f>
        <v>327</v>
      </c>
      <c r="Q850" s="5">
        <f>_xlfn.XLOOKUP(CustomerCombined[[#This Row],[ID]], Table4[ID], Table4[Regular], "Not Found", 0)</f>
        <v>2428</v>
      </c>
      <c r="R850" s="5">
        <f>_xlfn.XLOOKUP(CustomerCombined[[#This Row],[ID]], Table4[ID], Table4[Deals], "Not Found", 0)</f>
        <v>1</v>
      </c>
      <c r="S850" s="5">
        <f>_xlfn.XLOOKUP(CustomerCombined[[#This Row],[ID]], Table4[ID], Table4[Website], "Not Found", 0)</f>
        <v>5</v>
      </c>
      <c r="T850" s="5">
        <f>_xlfn.XLOOKUP(CustomerCombined[[#This Row],[ID]], Table4[ID], Table4[Catalog], "Not Found", 0)</f>
        <v>6</v>
      </c>
      <c r="U850" s="5">
        <f>_xlfn.XLOOKUP(CustomerCombined[[#This Row],[ID]], Table4[ID], Table4[Store], "Not Found", 0)</f>
        <v>7</v>
      </c>
      <c r="V850" s="5">
        <f>_xlfn.XLOOKUP(CustomerCombined[[#This Row],[ID]], Table4[ID], Table4[Visits], "Not Found", 0)</f>
        <v>2</v>
      </c>
      <c r="W850" s="8">
        <f>_xlfn.XLOOKUP(CustomerCombined[[#This Row],[ID]], Table2[ID],Table2[Complaint], "Not Found", 0 )</f>
        <v>0</v>
      </c>
      <c r="X850" s="8">
        <f>_xlfn.XLOOKUP(CustomerCombined[[#This Row],[ID]], Table2[ID],Table2[Pilot], "Not Found", 0 )</f>
        <v>0</v>
      </c>
      <c r="Y850" s="8">
        <f>_xlfn.XLOOKUP(CustomerCombined[[#This Row],[ID]], Table2[ID],Table2[MC1], "Not Found", 0 )</f>
        <v>0</v>
      </c>
      <c r="Z850" s="8">
        <f>_xlfn.XLOOKUP(CustomerCombined[[#This Row],[ID]], Table2[ID],Table2[MC2], "Not Found", 0 )</f>
        <v>0</v>
      </c>
      <c r="AA850" s="8">
        <f>_xlfn.XLOOKUP(CustomerCombined[[#This Row],[ID]], Table2[ID],Table2[MC3], "Not Found", 0 )</f>
        <v>0</v>
      </c>
      <c r="AB850" s="8">
        <f>_xlfn.XLOOKUP(CustomerCombined[[#This Row],[ID]], Table2[ID],Table2[MC4], "Not Found", 0 )</f>
        <v>0</v>
      </c>
      <c r="AC850" s="8">
        <f>_xlfn.XLOOKUP(CustomerCombined[[#This Row],[ID]], Table2[ID],Table2[MC5], "Not Found", 0 )</f>
        <v>1</v>
      </c>
    </row>
    <row r="851" spans="1:29" x14ac:dyDescent="0.3">
      <c r="A851" s="6">
        <v>1681</v>
      </c>
      <c r="B851" s="6">
        <v>178901</v>
      </c>
      <c r="C851" s="6">
        <v>0</v>
      </c>
      <c r="D851" s="6">
        <v>1</v>
      </c>
      <c r="E851" s="6">
        <v>47</v>
      </c>
      <c r="F851" s="5" t="s">
        <v>5</v>
      </c>
      <c r="G851" s="5" t="s">
        <v>11</v>
      </c>
      <c r="H851" s="3" t="s">
        <v>182</v>
      </c>
      <c r="I851" s="5" t="s">
        <v>437</v>
      </c>
      <c r="J851" s="5">
        <f>_xlfn.XLOOKUP(CustomerCombined[[#This Row],[ID]], Table4[ID], Table4[Recency], "Not Found", 0)</f>
        <v>99</v>
      </c>
      <c r="K851" s="5">
        <f>_xlfn.XLOOKUP(CustomerCombined[[#This Row],[ID]], Table4[ID], Table4[Teas], "Not Found", 0)</f>
        <v>728</v>
      </c>
      <c r="L851" s="5">
        <f>_xlfn.XLOOKUP(CustomerCombined[[#This Row],[ID]], Table4[ID], Table4[Fruits], "Not Found", 0)</f>
        <v>25</v>
      </c>
      <c r="M851" s="5">
        <f>_xlfn.XLOOKUP(CustomerCombined[[#This Row],[ID]], Table4[ID], Table4[Meats], "Not Found", 0)</f>
        <v>701</v>
      </c>
      <c r="N851" s="5">
        <f>_xlfn.XLOOKUP(CustomerCombined[[#This Row],[ID]], Table4[ID], Table4[Seafood], "Not Found", 0)</f>
        <v>75</v>
      </c>
      <c r="O851" s="5">
        <f>_xlfn.XLOOKUP(CustomerCombined[[#This Row],[ID]], Table4[ID], Table4[Sweets], "Not Found", 0)</f>
        <v>59</v>
      </c>
      <c r="P851" s="5">
        <f>_xlfn.XLOOKUP(CustomerCombined[[#This Row],[ID]], Table4[ID], Table4[Premium], "Not Found", 0)</f>
        <v>77</v>
      </c>
      <c r="Q851" s="5">
        <f>_xlfn.XLOOKUP(CustomerCombined[[#This Row],[ID]], Table4[ID], Table4[Regular], "Not Found", 0)</f>
        <v>1510</v>
      </c>
      <c r="R851" s="5">
        <f>_xlfn.XLOOKUP(CustomerCombined[[#This Row],[ID]], Table4[ID], Table4[Deals], "Not Found", 0)</f>
        <v>3</v>
      </c>
      <c r="S851" s="5">
        <f>_xlfn.XLOOKUP(CustomerCombined[[#This Row],[ID]], Table4[ID], Table4[Website], "Not Found", 0)</f>
        <v>9</v>
      </c>
      <c r="T851" s="5">
        <f>_xlfn.XLOOKUP(CustomerCombined[[#This Row],[ID]], Table4[ID], Table4[Catalog], "Not Found", 0)</f>
        <v>3</v>
      </c>
      <c r="U851" s="5">
        <f>_xlfn.XLOOKUP(CustomerCombined[[#This Row],[ID]], Table4[ID], Table4[Store], "Not Found", 0)</f>
        <v>5</v>
      </c>
      <c r="V851" s="5">
        <f>_xlfn.XLOOKUP(CustomerCombined[[#This Row],[ID]], Table4[ID], Table4[Visits], "Not Found", 0)</f>
        <v>4</v>
      </c>
      <c r="W851" s="8">
        <f>_xlfn.XLOOKUP(CustomerCombined[[#This Row],[ID]], Table2[ID],Table2[Complaint], "Not Found", 0 )</f>
        <v>0</v>
      </c>
      <c r="X851" s="8">
        <f>_xlfn.XLOOKUP(CustomerCombined[[#This Row],[ID]], Table2[ID],Table2[Pilot], "Not Found", 0 )</f>
        <v>0</v>
      </c>
      <c r="Y851" s="8">
        <f>_xlfn.XLOOKUP(CustomerCombined[[#This Row],[ID]], Table2[ID],Table2[MC1], "Not Found", 0 )</f>
        <v>0</v>
      </c>
      <c r="Z851" s="8">
        <f>_xlfn.XLOOKUP(CustomerCombined[[#This Row],[ID]], Table2[ID],Table2[MC2], "Not Found", 0 )</f>
        <v>0</v>
      </c>
      <c r="AA851" s="8">
        <f>_xlfn.XLOOKUP(CustomerCombined[[#This Row],[ID]], Table2[ID],Table2[MC3], "Not Found", 0 )</f>
        <v>0</v>
      </c>
      <c r="AB851" s="8">
        <f>_xlfn.XLOOKUP(CustomerCombined[[#This Row],[ID]], Table2[ID],Table2[MC4], "Not Found", 0 )</f>
        <v>0</v>
      </c>
      <c r="AC851" s="8">
        <f>_xlfn.XLOOKUP(CustomerCombined[[#This Row],[ID]], Table2[ID],Table2[MC5], "Not Found", 0 )</f>
        <v>0</v>
      </c>
    </row>
    <row r="852" spans="1:29" x14ac:dyDescent="0.3">
      <c r="A852" s="6">
        <v>1779</v>
      </c>
      <c r="B852" s="6">
        <v>173926</v>
      </c>
      <c r="C852" s="6">
        <v>0</v>
      </c>
      <c r="D852" s="6">
        <v>0</v>
      </c>
      <c r="E852" s="6">
        <v>47</v>
      </c>
      <c r="F852" s="5" t="s">
        <v>8</v>
      </c>
      <c r="G852" s="5" t="s">
        <v>11</v>
      </c>
      <c r="H852" s="3">
        <v>43654</v>
      </c>
      <c r="I852" s="5" t="s">
        <v>435</v>
      </c>
      <c r="J852" s="5">
        <f>_xlfn.XLOOKUP(CustomerCombined[[#This Row],[ID]], Table4[ID], Table4[Recency], "Not Found", 0)</f>
        <v>54</v>
      </c>
      <c r="K852" s="5">
        <f>_xlfn.XLOOKUP(CustomerCombined[[#This Row],[ID]], Table4[ID], Table4[Teas], "Not Found", 0)</f>
        <v>1475</v>
      </c>
      <c r="L852" s="5">
        <f>_xlfn.XLOOKUP(CustomerCombined[[#This Row],[ID]], Table4[ID], Table4[Fruits], "Not Found", 0)</f>
        <v>214</v>
      </c>
      <c r="M852" s="5">
        <f>_xlfn.XLOOKUP(CustomerCombined[[#This Row],[ID]], Table4[ID], Table4[Meats], "Not Found", 0)</f>
        <v>1405</v>
      </c>
      <c r="N852" s="5">
        <f>_xlfn.XLOOKUP(CustomerCombined[[#This Row],[ID]], Table4[ID], Table4[Seafood], "Not Found", 0)</f>
        <v>374</v>
      </c>
      <c r="O852" s="5">
        <f>_xlfn.XLOOKUP(CustomerCombined[[#This Row],[ID]], Table4[ID], Table4[Sweets], "Not Found", 0)</f>
        <v>214</v>
      </c>
      <c r="P852" s="5">
        <f>_xlfn.XLOOKUP(CustomerCombined[[#This Row],[ID]], Table4[ID], Table4[Premium], "Not Found", 0)</f>
        <v>35</v>
      </c>
      <c r="Q852" s="5">
        <f>_xlfn.XLOOKUP(CustomerCombined[[#This Row],[ID]], Table4[ID], Table4[Regular], "Not Found", 0)</f>
        <v>3647</v>
      </c>
      <c r="R852" s="5">
        <f>_xlfn.XLOOKUP(CustomerCombined[[#This Row],[ID]], Table4[ID], Table4[Deals], "Not Found", 0)</f>
        <v>1</v>
      </c>
      <c r="S852" s="5">
        <f>_xlfn.XLOOKUP(CustomerCombined[[#This Row],[ID]], Table4[ID], Table4[Website], "Not Found", 0)</f>
        <v>6</v>
      </c>
      <c r="T852" s="5">
        <f>_xlfn.XLOOKUP(CustomerCombined[[#This Row],[ID]], Table4[ID], Table4[Catalog], "Not Found", 0)</f>
        <v>5</v>
      </c>
      <c r="U852" s="5">
        <f>_xlfn.XLOOKUP(CustomerCombined[[#This Row],[ID]], Table4[ID], Table4[Store], "Not Found", 0)</f>
        <v>12</v>
      </c>
      <c r="V852" s="5">
        <f>_xlfn.XLOOKUP(CustomerCombined[[#This Row],[ID]], Table4[ID], Table4[Visits], "Not Found", 0)</f>
        <v>3</v>
      </c>
      <c r="W852" s="8">
        <f>_xlfn.XLOOKUP(CustomerCombined[[#This Row],[ID]], Table2[ID],Table2[Complaint], "Not Found", 0 )</f>
        <v>0</v>
      </c>
      <c r="X852" s="8">
        <f>_xlfn.XLOOKUP(CustomerCombined[[#This Row],[ID]], Table2[ID],Table2[Pilot], "Not Found", 0 )</f>
        <v>0</v>
      </c>
      <c r="Y852" s="8">
        <f>_xlfn.XLOOKUP(CustomerCombined[[#This Row],[ID]], Table2[ID],Table2[MC1], "Not Found", 0 )</f>
        <v>0</v>
      </c>
      <c r="Z852" s="8">
        <f>_xlfn.XLOOKUP(CustomerCombined[[#This Row],[ID]], Table2[ID],Table2[MC2], "Not Found", 0 )</f>
        <v>0</v>
      </c>
      <c r="AA852" s="8">
        <f>_xlfn.XLOOKUP(CustomerCombined[[#This Row],[ID]], Table2[ID],Table2[MC3], "Not Found", 0 )</f>
        <v>0</v>
      </c>
      <c r="AB852" s="8">
        <f>_xlfn.XLOOKUP(CustomerCombined[[#This Row],[ID]], Table2[ID],Table2[MC4], "Not Found", 0 )</f>
        <v>0</v>
      </c>
      <c r="AC852" s="8">
        <f>_xlfn.XLOOKUP(CustomerCombined[[#This Row],[ID]], Table2[ID],Table2[MC5], "Not Found", 0 )</f>
        <v>0</v>
      </c>
    </row>
    <row r="853" spans="1:29" x14ac:dyDescent="0.3">
      <c r="A853" s="6">
        <v>3031</v>
      </c>
      <c r="B853" s="6">
        <v>171128</v>
      </c>
      <c r="C853" s="6">
        <v>1</v>
      </c>
      <c r="D853" s="6">
        <v>0</v>
      </c>
      <c r="E853" s="6">
        <v>47</v>
      </c>
      <c r="F853" s="5" t="s">
        <v>5</v>
      </c>
      <c r="G853" s="5" t="s">
        <v>11</v>
      </c>
      <c r="H853" s="3" t="s">
        <v>387</v>
      </c>
      <c r="I853" s="5" t="s">
        <v>437</v>
      </c>
      <c r="J853" s="5">
        <f>_xlfn.XLOOKUP(CustomerCombined[[#This Row],[ID]], Table4[ID], Table4[Recency], "Not Found", 0)</f>
        <v>80</v>
      </c>
      <c r="K853" s="5">
        <f>_xlfn.XLOOKUP(CustomerCombined[[#This Row],[ID]], Table4[ID], Table4[Teas], "Not Found", 0)</f>
        <v>2305</v>
      </c>
      <c r="L853" s="5">
        <f>_xlfn.XLOOKUP(CustomerCombined[[#This Row],[ID]], Table4[ID], Table4[Fruits], "Not Found", 0)</f>
        <v>383</v>
      </c>
      <c r="M853" s="5">
        <f>_xlfn.XLOOKUP(CustomerCombined[[#This Row],[ID]], Table4[ID], Table4[Meats], "Not Found", 0)</f>
        <v>1075</v>
      </c>
      <c r="N853" s="5">
        <f>_xlfn.XLOOKUP(CustomerCombined[[#This Row],[ID]], Table4[ID], Table4[Seafood], "Not Found", 0)</f>
        <v>48</v>
      </c>
      <c r="O853" s="5">
        <f>_xlfn.XLOOKUP(CustomerCombined[[#This Row],[ID]], Table4[ID], Table4[Sweets], "Not Found", 0)</f>
        <v>0</v>
      </c>
      <c r="P853" s="5">
        <f>_xlfn.XLOOKUP(CustomerCombined[[#This Row],[ID]], Table4[ID], Table4[Premium], "Not Found", 0)</f>
        <v>75</v>
      </c>
      <c r="Q853" s="5">
        <f>_xlfn.XLOOKUP(CustomerCombined[[#This Row],[ID]], Table4[ID], Table4[Regular], "Not Found", 0)</f>
        <v>3736</v>
      </c>
      <c r="R853" s="5">
        <f>_xlfn.XLOOKUP(CustomerCombined[[#This Row],[ID]], Table4[ID], Table4[Deals], "Not Found", 0)</f>
        <v>3</v>
      </c>
      <c r="S853" s="5">
        <f>_xlfn.XLOOKUP(CustomerCombined[[#This Row],[ID]], Table4[ID], Table4[Website], "Not Found", 0)</f>
        <v>2</v>
      </c>
      <c r="T853" s="5">
        <f>_xlfn.XLOOKUP(CustomerCombined[[#This Row],[ID]], Table4[ID], Table4[Catalog], "Not Found", 0)</f>
        <v>10</v>
      </c>
      <c r="U853" s="5">
        <f>_xlfn.XLOOKUP(CustomerCombined[[#This Row],[ID]], Table4[ID], Table4[Store], "Not Found", 0)</f>
        <v>12</v>
      </c>
      <c r="V853" s="5">
        <f>_xlfn.XLOOKUP(CustomerCombined[[#This Row],[ID]], Table4[ID], Table4[Visits], "Not Found", 0)</f>
        <v>7</v>
      </c>
      <c r="W853" s="8">
        <f>_xlfn.XLOOKUP(CustomerCombined[[#This Row],[ID]], Table2[ID],Table2[Complaint], "Not Found", 0 )</f>
        <v>0</v>
      </c>
      <c r="X853" s="8">
        <f>_xlfn.XLOOKUP(CustomerCombined[[#This Row],[ID]], Table2[ID],Table2[Pilot], "Not Found", 0 )</f>
        <v>0</v>
      </c>
      <c r="Y853" s="8">
        <f>_xlfn.XLOOKUP(CustomerCombined[[#This Row],[ID]], Table2[ID],Table2[MC1], "Not Found", 0 )</f>
        <v>0</v>
      </c>
      <c r="Z853" s="8">
        <f>_xlfn.XLOOKUP(CustomerCombined[[#This Row],[ID]], Table2[ID],Table2[MC2], "Not Found", 0 )</f>
        <v>0</v>
      </c>
      <c r="AA853" s="8">
        <f>_xlfn.XLOOKUP(CustomerCombined[[#This Row],[ID]], Table2[ID],Table2[MC3], "Not Found", 0 )</f>
        <v>0</v>
      </c>
      <c r="AB853" s="8">
        <f>_xlfn.XLOOKUP(CustomerCombined[[#This Row],[ID]], Table2[ID],Table2[MC4], "Not Found", 0 )</f>
        <v>0</v>
      </c>
      <c r="AC853" s="8">
        <f>_xlfn.XLOOKUP(CustomerCombined[[#This Row],[ID]], Table2[ID],Table2[MC5], "Not Found", 0 )</f>
        <v>0</v>
      </c>
    </row>
    <row r="854" spans="1:29" x14ac:dyDescent="0.3">
      <c r="A854" s="6">
        <v>2425</v>
      </c>
      <c r="B854" s="6">
        <v>169401</v>
      </c>
      <c r="C854" s="6">
        <v>0</v>
      </c>
      <c r="D854" s="6">
        <v>1</v>
      </c>
      <c r="E854" s="6">
        <v>47</v>
      </c>
      <c r="F854" s="5" t="s">
        <v>8</v>
      </c>
      <c r="G854" s="5" t="s">
        <v>442</v>
      </c>
      <c r="H854" s="3" t="s">
        <v>78</v>
      </c>
      <c r="I854" s="5" t="s">
        <v>437</v>
      </c>
      <c r="J854" s="5">
        <f>_xlfn.XLOOKUP(CustomerCombined[[#This Row],[ID]], Table4[ID], Table4[Recency], "Not Found", 0)</f>
        <v>41</v>
      </c>
      <c r="K854" s="5">
        <f>_xlfn.XLOOKUP(CustomerCombined[[#This Row],[ID]], Table4[ID], Table4[Teas], "Not Found", 0)</f>
        <v>974</v>
      </c>
      <c r="L854" s="5">
        <f>_xlfn.XLOOKUP(CustomerCombined[[#This Row],[ID]], Table4[ID], Table4[Fruits], "Not Found", 0)</f>
        <v>66</v>
      </c>
      <c r="M854" s="5">
        <f>_xlfn.XLOOKUP(CustomerCombined[[#This Row],[ID]], Table4[ID], Table4[Meats], "Not Found", 0)</f>
        <v>388</v>
      </c>
      <c r="N854" s="5">
        <f>_xlfn.XLOOKUP(CustomerCombined[[#This Row],[ID]], Table4[ID], Table4[Seafood], "Not Found", 0)</f>
        <v>142</v>
      </c>
      <c r="O854" s="5">
        <f>_xlfn.XLOOKUP(CustomerCombined[[#This Row],[ID]], Table4[ID], Table4[Sweets], "Not Found", 0)</f>
        <v>20</v>
      </c>
      <c r="P854" s="5">
        <f>_xlfn.XLOOKUP(CustomerCombined[[#This Row],[ID]], Table4[ID], Table4[Premium], "Not Found", 0)</f>
        <v>95</v>
      </c>
      <c r="Q854" s="5">
        <f>_xlfn.XLOOKUP(CustomerCombined[[#This Row],[ID]], Table4[ID], Table4[Regular], "Not Found", 0)</f>
        <v>1494</v>
      </c>
      <c r="R854" s="5">
        <f>_xlfn.XLOOKUP(CustomerCombined[[#This Row],[ID]], Table4[ID], Table4[Deals], "Not Found", 0)</f>
        <v>4</v>
      </c>
      <c r="S854" s="5">
        <f>_xlfn.XLOOKUP(CustomerCombined[[#This Row],[ID]], Table4[ID], Table4[Website], "Not Found", 0)</f>
        <v>4</v>
      </c>
      <c r="T854" s="5">
        <f>_xlfn.XLOOKUP(CustomerCombined[[#This Row],[ID]], Table4[ID], Table4[Catalog], "Not Found", 0)</f>
        <v>4</v>
      </c>
      <c r="U854" s="5">
        <f>_xlfn.XLOOKUP(CustomerCombined[[#This Row],[ID]], Table4[ID], Table4[Store], "Not Found", 0)</f>
        <v>5</v>
      </c>
      <c r="V854" s="5">
        <f>_xlfn.XLOOKUP(CustomerCombined[[#This Row],[ID]], Table4[ID], Table4[Visits], "Not Found", 0)</f>
        <v>2</v>
      </c>
      <c r="W854" s="8">
        <f>_xlfn.XLOOKUP(CustomerCombined[[#This Row],[ID]], Table2[ID],Table2[Complaint], "Not Found", 0 )</f>
        <v>0</v>
      </c>
      <c r="X854" s="8">
        <f>_xlfn.XLOOKUP(CustomerCombined[[#This Row],[ID]], Table2[ID],Table2[Pilot], "Not Found", 0 )</f>
        <v>0</v>
      </c>
      <c r="Y854" s="8">
        <f>_xlfn.XLOOKUP(CustomerCombined[[#This Row],[ID]], Table2[ID],Table2[MC1], "Not Found", 0 )</f>
        <v>0</v>
      </c>
      <c r="Z854" s="8">
        <f>_xlfn.XLOOKUP(CustomerCombined[[#This Row],[ID]], Table2[ID],Table2[MC2], "Not Found", 0 )</f>
        <v>0</v>
      </c>
      <c r="AA854" s="8">
        <f>_xlfn.XLOOKUP(CustomerCombined[[#This Row],[ID]], Table2[ID],Table2[MC3], "Not Found", 0 )</f>
        <v>0</v>
      </c>
      <c r="AB854" s="8">
        <f>_xlfn.XLOOKUP(CustomerCombined[[#This Row],[ID]], Table2[ID],Table2[MC4], "Not Found", 0 )</f>
        <v>0</v>
      </c>
      <c r="AC854" s="8">
        <f>_xlfn.XLOOKUP(CustomerCombined[[#This Row],[ID]], Table2[ID],Table2[MC5], "Not Found", 0 )</f>
        <v>0</v>
      </c>
    </row>
    <row r="855" spans="1:29" x14ac:dyDescent="0.3">
      <c r="A855" s="6">
        <v>1717</v>
      </c>
      <c r="B855" s="6">
        <v>167432</v>
      </c>
      <c r="C855" s="6">
        <v>0</v>
      </c>
      <c r="D855" s="6">
        <v>1</v>
      </c>
      <c r="E855" s="6">
        <v>47</v>
      </c>
      <c r="F855" s="5" t="s">
        <v>6</v>
      </c>
      <c r="G855" s="5" t="s">
        <v>11</v>
      </c>
      <c r="H855" s="3">
        <v>43533</v>
      </c>
      <c r="I855" s="5" t="s">
        <v>437</v>
      </c>
      <c r="J855" s="5">
        <f>_xlfn.XLOOKUP(CustomerCombined[[#This Row],[ID]], Table4[ID], Table4[Recency], "Not Found", 0)</f>
        <v>69</v>
      </c>
      <c r="K855" s="5">
        <f>_xlfn.XLOOKUP(CustomerCombined[[#This Row],[ID]], Table4[ID], Table4[Teas], "Not Found", 0)</f>
        <v>1073</v>
      </c>
      <c r="L855" s="5">
        <f>_xlfn.XLOOKUP(CustomerCombined[[#This Row],[ID]], Table4[ID], Table4[Fruits], "Not Found", 0)</f>
        <v>196</v>
      </c>
      <c r="M855" s="5">
        <f>_xlfn.XLOOKUP(CustomerCombined[[#This Row],[ID]], Table4[ID], Table4[Meats], "Not Found", 0)</f>
        <v>847</v>
      </c>
      <c r="N855" s="5">
        <f>_xlfn.XLOOKUP(CustomerCombined[[#This Row],[ID]], Table4[ID], Table4[Seafood], "Not Found", 0)</f>
        <v>439</v>
      </c>
      <c r="O855" s="5">
        <f>_xlfn.XLOOKUP(CustomerCombined[[#This Row],[ID]], Table4[ID], Table4[Sweets], "Not Found", 0)</f>
        <v>338</v>
      </c>
      <c r="P855" s="5">
        <f>_xlfn.XLOOKUP(CustomerCombined[[#This Row],[ID]], Table4[ID], Table4[Premium], "Not Found", 0)</f>
        <v>422</v>
      </c>
      <c r="Q855" s="5">
        <f>_xlfn.XLOOKUP(CustomerCombined[[#This Row],[ID]], Table4[ID], Table4[Regular], "Not Found", 0)</f>
        <v>2471</v>
      </c>
      <c r="R855" s="5">
        <f>_xlfn.XLOOKUP(CustomerCombined[[#This Row],[ID]], Table4[ID], Table4[Deals], "Not Found", 0)</f>
        <v>2</v>
      </c>
      <c r="S855" s="5">
        <f>_xlfn.XLOOKUP(CustomerCombined[[#This Row],[ID]], Table4[ID], Table4[Website], "Not Found", 0)</f>
        <v>8</v>
      </c>
      <c r="T855" s="5">
        <f>_xlfn.XLOOKUP(CustomerCombined[[#This Row],[ID]], Table4[ID], Table4[Catalog], "Not Found", 0)</f>
        <v>5</v>
      </c>
      <c r="U855" s="5">
        <f>_xlfn.XLOOKUP(CustomerCombined[[#This Row],[ID]], Table4[ID], Table4[Store], "Not Found", 0)</f>
        <v>4</v>
      </c>
      <c r="V855" s="5">
        <f>_xlfn.XLOOKUP(CustomerCombined[[#This Row],[ID]], Table4[ID], Table4[Visits], "Not Found", 0)</f>
        <v>4</v>
      </c>
      <c r="W855" s="8">
        <f>_xlfn.XLOOKUP(CustomerCombined[[#This Row],[ID]], Table2[ID],Table2[Complaint], "Not Found", 0 )</f>
        <v>0</v>
      </c>
      <c r="X855" s="8">
        <f>_xlfn.XLOOKUP(CustomerCombined[[#This Row],[ID]], Table2[ID],Table2[Pilot], "Not Found", 0 )</f>
        <v>0</v>
      </c>
      <c r="Y855" s="8">
        <f>_xlfn.XLOOKUP(CustomerCombined[[#This Row],[ID]], Table2[ID],Table2[MC1], "Not Found", 0 )</f>
        <v>0</v>
      </c>
      <c r="Z855" s="8">
        <f>_xlfn.XLOOKUP(CustomerCombined[[#This Row],[ID]], Table2[ID],Table2[MC2], "Not Found", 0 )</f>
        <v>0</v>
      </c>
      <c r="AA855" s="8">
        <f>_xlfn.XLOOKUP(CustomerCombined[[#This Row],[ID]], Table2[ID],Table2[MC3], "Not Found", 0 )</f>
        <v>0</v>
      </c>
      <c r="AB855" s="8">
        <f>_xlfn.XLOOKUP(CustomerCombined[[#This Row],[ID]], Table2[ID],Table2[MC4], "Not Found", 0 )</f>
        <v>0</v>
      </c>
      <c r="AC855" s="8">
        <f>_xlfn.XLOOKUP(CustomerCombined[[#This Row],[ID]], Table2[ID],Table2[MC5], "Not Found", 0 )</f>
        <v>0</v>
      </c>
    </row>
    <row r="856" spans="1:29" x14ac:dyDescent="0.3">
      <c r="A856" s="6">
        <v>3112</v>
      </c>
      <c r="B856" s="6">
        <v>165333</v>
      </c>
      <c r="C856" s="6">
        <v>0</v>
      </c>
      <c r="D856" s="6">
        <v>1</v>
      </c>
      <c r="E856" s="6">
        <v>47</v>
      </c>
      <c r="F856" s="5" t="s">
        <v>7</v>
      </c>
      <c r="G856" s="5" t="s">
        <v>11</v>
      </c>
      <c r="H856" s="3" t="s">
        <v>114</v>
      </c>
      <c r="I856" s="5" t="s">
        <v>439</v>
      </c>
      <c r="J856" s="5">
        <f>_xlfn.XLOOKUP(CustomerCombined[[#This Row],[ID]], Table4[ID], Table4[Recency], "Not Found", 0)</f>
        <v>58</v>
      </c>
      <c r="K856" s="5">
        <f>_xlfn.XLOOKUP(CustomerCombined[[#This Row],[ID]], Table4[ID], Table4[Teas], "Not Found", 0)</f>
        <v>1655</v>
      </c>
      <c r="L856" s="5">
        <f>_xlfn.XLOOKUP(CustomerCombined[[#This Row],[ID]], Table4[ID], Table4[Fruits], "Not Found", 0)</f>
        <v>18</v>
      </c>
      <c r="M856" s="5">
        <f>_xlfn.XLOOKUP(CustomerCombined[[#This Row],[ID]], Table4[ID], Table4[Meats], "Not Found", 0)</f>
        <v>233</v>
      </c>
      <c r="N856" s="5">
        <f>_xlfn.XLOOKUP(CustomerCombined[[#This Row],[ID]], Table4[ID], Table4[Seafood], "Not Found", 0)</f>
        <v>0</v>
      </c>
      <c r="O856" s="5">
        <f>_xlfn.XLOOKUP(CustomerCombined[[#This Row],[ID]], Table4[ID], Table4[Sweets], "Not Found", 0)</f>
        <v>38</v>
      </c>
      <c r="P856" s="5">
        <f>_xlfn.XLOOKUP(CustomerCombined[[#This Row],[ID]], Table4[ID], Table4[Premium], "Not Found", 0)</f>
        <v>76</v>
      </c>
      <c r="Q856" s="5">
        <f>_xlfn.XLOOKUP(CustomerCombined[[#This Row],[ID]], Table4[ID], Table4[Regular], "Not Found", 0)</f>
        <v>1868</v>
      </c>
      <c r="R856" s="5">
        <f>_xlfn.XLOOKUP(CustomerCombined[[#This Row],[ID]], Table4[ID], Table4[Deals], "Not Found", 0)</f>
        <v>7</v>
      </c>
      <c r="S856" s="5">
        <f>_xlfn.XLOOKUP(CustomerCombined[[#This Row],[ID]], Table4[ID], Table4[Website], "Not Found", 0)</f>
        <v>9</v>
      </c>
      <c r="T856" s="5">
        <f>_xlfn.XLOOKUP(CustomerCombined[[#This Row],[ID]], Table4[ID], Table4[Catalog], "Not Found", 0)</f>
        <v>4</v>
      </c>
      <c r="U856" s="5">
        <f>_xlfn.XLOOKUP(CustomerCombined[[#This Row],[ID]], Table4[ID], Table4[Store], "Not Found", 0)</f>
        <v>8</v>
      </c>
      <c r="V856" s="5">
        <f>_xlfn.XLOOKUP(CustomerCombined[[#This Row],[ID]], Table4[ID], Table4[Visits], "Not Found", 0)</f>
        <v>6</v>
      </c>
      <c r="W856" s="8">
        <f>_xlfn.XLOOKUP(CustomerCombined[[#This Row],[ID]], Table2[ID],Table2[Complaint], "Not Found", 0 )</f>
        <v>0</v>
      </c>
      <c r="X856" s="8">
        <f>_xlfn.XLOOKUP(CustomerCombined[[#This Row],[ID]], Table2[ID],Table2[Pilot], "Not Found", 0 )</f>
        <v>0</v>
      </c>
      <c r="Y856" s="8">
        <f>_xlfn.XLOOKUP(CustomerCombined[[#This Row],[ID]], Table2[ID],Table2[MC1], "Not Found", 0 )</f>
        <v>0</v>
      </c>
      <c r="Z856" s="8">
        <f>_xlfn.XLOOKUP(CustomerCombined[[#This Row],[ID]], Table2[ID],Table2[MC2], "Not Found", 0 )</f>
        <v>0</v>
      </c>
      <c r="AA856" s="8">
        <f>_xlfn.XLOOKUP(CustomerCombined[[#This Row],[ID]], Table2[ID],Table2[MC3], "Not Found", 0 )</f>
        <v>0</v>
      </c>
      <c r="AB856" s="8">
        <f>_xlfn.XLOOKUP(CustomerCombined[[#This Row],[ID]], Table2[ID],Table2[MC4], "Not Found", 0 )</f>
        <v>1</v>
      </c>
      <c r="AC856" s="8">
        <f>_xlfn.XLOOKUP(CustomerCombined[[#This Row],[ID]], Table2[ID],Table2[MC5], "Not Found", 0 )</f>
        <v>1</v>
      </c>
    </row>
    <row r="857" spans="1:29" x14ac:dyDescent="0.3">
      <c r="A857" s="6">
        <v>3022</v>
      </c>
      <c r="B857" s="6">
        <v>165308</v>
      </c>
      <c r="C857" s="6">
        <v>0</v>
      </c>
      <c r="D857" s="6">
        <v>0</v>
      </c>
      <c r="E857" s="6">
        <v>47</v>
      </c>
      <c r="F857" s="5" t="s">
        <v>6</v>
      </c>
      <c r="G857" s="5" t="s">
        <v>11</v>
      </c>
      <c r="H857" s="3" t="s">
        <v>188</v>
      </c>
      <c r="I857" s="5" t="s">
        <v>439</v>
      </c>
      <c r="J857" s="5">
        <f>_xlfn.XLOOKUP(CustomerCombined[[#This Row],[ID]], Table4[ID], Table4[Recency], "Not Found", 0)</f>
        <v>60</v>
      </c>
      <c r="K857" s="5">
        <f>_xlfn.XLOOKUP(CustomerCombined[[#This Row],[ID]], Table4[ID], Table4[Teas], "Not Found", 0)</f>
        <v>1805</v>
      </c>
      <c r="L857" s="5">
        <f>_xlfn.XLOOKUP(CustomerCombined[[#This Row],[ID]], Table4[ID], Table4[Fruits], "Not Found", 0)</f>
        <v>0</v>
      </c>
      <c r="M857" s="5">
        <f>_xlfn.XLOOKUP(CustomerCombined[[#This Row],[ID]], Table4[ID], Table4[Meats], "Not Found", 0)</f>
        <v>668</v>
      </c>
      <c r="N857" s="5">
        <f>_xlfn.XLOOKUP(CustomerCombined[[#This Row],[ID]], Table4[ID], Table4[Seafood], "Not Found", 0)</f>
        <v>304</v>
      </c>
      <c r="O857" s="5">
        <f>_xlfn.XLOOKUP(CustomerCombined[[#This Row],[ID]], Table4[ID], Table4[Sweets], "Not Found", 0)</f>
        <v>202</v>
      </c>
      <c r="P857" s="5">
        <f>_xlfn.XLOOKUP(CustomerCombined[[#This Row],[ID]], Table4[ID], Table4[Premium], "Not Found", 0)</f>
        <v>86</v>
      </c>
      <c r="Q857" s="5">
        <f>_xlfn.XLOOKUP(CustomerCombined[[#This Row],[ID]], Table4[ID], Table4[Regular], "Not Found", 0)</f>
        <v>2893</v>
      </c>
      <c r="R857" s="5">
        <f>_xlfn.XLOOKUP(CustomerCombined[[#This Row],[ID]], Table4[ID], Table4[Deals], "Not Found", 0)</f>
        <v>1</v>
      </c>
      <c r="S857" s="5">
        <f>_xlfn.XLOOKUP(CustomerCombined[[#This Row],[ID]], Table4[ID], Table4[Website], "Not Found", 0)</f>
        <v>7</v>
      </c>
      <c r="T857" s="5">
        <f>_xlfn.XLOOKUP(CustomerCombined[[#This Row],[ID]], Table4[ID], Table4[Catalog], "Not Found", 0)</f>
        <v>8</v>
      </c>
      <c r="U857" s="5">
        <f>_xlfn.XLOOKUP(CustomerCombined[[#This Row],[ID]], Table4[ID], Table4[Store], "Not Found", 0)</f>
        <v>12</v>
      </c>
      <c r="V857" s="5">
        <f>_xlfn.XLOOKUP(CustomerCombined[[#This Row],[ID]], Table4[ID], Table4[Visits], "Not Found", 0)</f>
        <v>4</v>
      </c>
      <c r="W857" s="8">
        <f>_xlfn.XLOOKUP(CustomerCombined[[#This Row],[ID]], Table2[ID],Table2[Complaint], "Not Found", 0 )</f>
        <v>0</v>
      </c>
      <c r="X857" s="8">
        <f>_xlfn.XLOOKUP(CustomerCombined[[#This Row],[ID]], Table2[ID],Table2[Pilot], "Not Found", 0 )</f>
        <v>0</v>
      </c>
      <c r="Y857" s="8">
        <f>_xlfn.XLOOKUP(CustomerCombined[[#This Row],[ID]], Table2[ID],Table2[MC1], "Not Found", 0 )</f>
        <v>1</v>
      </c>
      <c r="Z857" s="8">
        <f>_xlfn.XLOOKUP(CustomerCombined[[#This Row],[ID]], Table2[ID],Table2[MC2], "Not Found", 0 )</f>
        <v>0</v>
      </c>
      <c r="AA857" s="8">
        <f>_xlfn.XLOOKUP(CustomerCombined[[#This Row],[ID]], Table2[ID],Table2[MC3], "Not Found", 0 )</f>
        <v>0</v>
      </c>
      <c r="AB857" s="8">
        <f>_xlfn.XLOOKUP(CustomerCombined[[#This Row],[ID]], Table2[ID],Table2[MC4], "Not Found", 0 )</f>
        <v>0</v>
      </c>
      <c r="AC857" s="8">
        <f>_xlfn.XLOOKUP(CustomerCombined[[#This Row],[ID]], Table2[ID],Table2[MC5], "Not Found", 0 )</f>
        <v>1</v>
      </c>
    </row>
    <row r="858" spans="1:29" x14ac:dyDescent="0.3">
      <c r="A858" s="6">
        <v>3116</v>
      </c>
      <c r="B858" s="6">
        <v>163516</v>
      </c>
      <c r="C858" s="6">
        <v>1</v>
      </c>
      <c r="D858" s="6">
        <v>1</v>
      </c>
      <c r="E858" s="6">
        <v>47</v>
      </c>
      <c r="F858" s="5" t="s">
        <v>8</v>
      </c>
      <c r="G858" s="5" t="s">
        <v>13</v>
      </c>
      <c r="H858" s="3">
        <v>43781</v>
      </c>
      <c r="I858" s="5" t="s">
        <v>438</v>
      </c>
      <c r="J858" s="5">
        <f>_xlfn.XLOOKUP(CustomerCombined[[#This Row],[ID]], Table4[ID], Table4[Recency], "Not Found", 0)</f>
        <v>30</v>
      </c>
      <c r="K858" s="5">
        <f>_xlfn.XLOOKUP(CustomerCombined[[#This Row],[ID]], Table4[ID], Table4[Teas], "Not Found", 0)</f>
        <v>363</v>
      </c>
      <c r="L858" s="5">
        <f>_xlfn.XLOOKUP(CustomerCombined[[#This Row],[ID]], Table4[ID], Table4[Fruits], "Not Found", 0)</f>
        <v>28</v>
      </c>
      <c r="M858" s="5">
        <f>_xlfn.XLOOKUP(CustomerCombined[[#This Row],[ID]], Table4[ID], Table4[Meats], "Not Found", 0)</f>
        <v>293</v>
      </c>
      <c r="N858" s="5">
        <f>_xlfn.XLOOKUP(CustomerCombined[[#This Row],[ID]], Table4[ID], Table4[Seafood], "Not Found", 0)</f>
        <v>39</v>
      </c>
      <c r="O858" s="5">
        <f>_xlfn.XLOOKUP(CustomerCombined[[#This Row],[ID]], Table4[ID], Table4[Sweets], "Not Found", 0)</f>
        <v>36</v>
      </c>
      <c r="P858" s="5">
        <f>_xlfn.XLOOKUP(CustomerCombined[[#This Row],[ID]], Table4[ID], Table4[Premium], "Not Found", 0)</f>
        <v>13</v>
      </c>
      <c r="Q858" s="5">
        <f>_xlfn.XLOOKUP(CustomerCombined[[#This Row],[ID]], Table4[ID], Table4[Regular], "Not Found", 0)</f>
        <v>747</v>
      </c>
      <c r="R858" s="5">
        <f>_xlfn.XLOOKUP(CustomerCombined[[#This Row],[ID]], Table4[ID], Table4[Deals], "Not Found", 0)</f>
        <v>4</v>
      </c>
      <c r="S858" s="5">
        <f>_xlfn.XLOOKUP(CustomerCombined[[#This Row],[ID]], Table4[ID], Table4[Website], "Not Found", 0)</f>
        <v>4</v>
      </c>
      <c r="T858" s="5">
        <f>_xlfn.XLOOKUP(CustomerCombined[[#This Row],[ID]], Table4[ID], Table4[Catalog], "Not Found", 0)</f>
        <v>1</v>
      </c>
      <c r="U858" s="5">
        <f>_xlfn.XLOOKUP(CustomerCombined[[#This Row],[ID]], Table4[ID], Table4[Store], "Not Found", 0)</f>
        <v>7</v>
      </c>
      <c r="V858" s="5">
        <f>_xlfn.XLOOKUP(CustomerCombined[[#This Row],[ID]], Table4[ID], Table4[Visits], "Not Found", 0)</f>
        <v>5</v>
      </c>
      <c r="W858" s="8">
        <f>_xlfn.XLOOKUP(CustomerCombined[[#This Row],[ID]], Table2[ID],Table2[Complaint], "Not Found", 0 )</f>
        <v>0</v>
      </c>
      <c r="X858" s="8">
        <f>_xlfn.XLOOKUP(CustomerCombined[[#This Row],[ID]], Table2[ID],Table2[Pilot], "Not Found", 0 )</f>
        <v>0</v>
      </c>
      <c r="Y858" s="8">
        <f>_xlfn.XLOOKUP(CustomerCombined[[#This Row],[ID]], Table2[ID],Table2[MC1], "Not Found", 0 )</f>
        <v>0</v>
      </c>
      <c r="Z858" s="8">
        <f>_xlfn.XLOOKUP(CustomerCombined[[#This Row],[ID]], Table2[ID],Table2[MC2], "Not Found", 0 )</f>
        <v>0</v>
      </c>
      <c r="AA858" s="8">
        <f>_xlfn.XLOOKUP(CustomerCombined[[#This Row],[ID]], Table2[ID],Table2[MC3], "Not Found", 0 )</f>
        <v>0</v>
      </c>
      <c r="AB858" s="8">
        <f>_xlfn.XLOOKUP(CustomerCombined[[#This Row],[ID]], Table2[ID],Table2[MC4], "Not Found", 0 )</f>
        <v>0</v>
      </c>
      <c r="AC858" s="8">
        <f>_xlfn.XLOOKUP(CustomerCombined[[#This Row],[ID]], Table2[ID],Table2[MC5], "Not Found", 0 )</f>
        <v>0</v>
      </c>
    </row>
    <row r="859" spans="1:29" x14ac:dyDescent="0.3">
      <c r="A859" s="6">
        <v>2584</v>
      </c>
      <c r="B859" s="6">
        <v>160432</v>
      </c>
      <c r="C859" s="6">
        <v>0</v>
      </c>
      <c r="D859" s="6">
        <v>1</v>
      </c>
      <c r="E859" s="6">
        <v>47</v>
      </c>
      <c r="F859" s="5" t="s">
        <v>6</v>
      </c>
      <c r="G859" s="5" t="s">
        <v>12</v>
      </c>
      <c r="H859" s="3" t="s">
        <v>90</v>
      </c>
      <c r="I859" s="5" t="s">
        <v>439</v>
      </c>
      <c r="J859" s="5">
        <f>_xlfn.XLOOKUP(CustomerCombined[[#This Row],[ID]], Table4[ID], Table4[Recency], "Not Found", 0)</f>
        <v>61</v>
      </c>
      <c r="K859" s="5">
        <f>_xlfn.XLOOKUP(CustomerCombined[[#This Row],[ID]], Table4[ID], Table4[Teas], "Not Found", 0)</f>
        <v>969</v>
      </c>
      <c r="L859" s="5">
        <f>_xlfn.XLOOKUP(CustomerCombined[[#This Row],[ID]], Table4[ID], Table4[Fruits], "Not Found", 0)</f>
        <v>8</v>
      </c>
      <c r="M859" s="5">
        <f>_xlfn.XLOOKUP(CustomerCombined[[#This Row],[ID]], Table4[ID], Table4[Meats], "Not Found", 0)</f>
        <v>40</v>
      </c>
      <c r="N859" s="5">
        <f>_xlfn.XLOOKUP(CustomerCombined[[#This Row],[ID]], Table4[ID], Table4[Seafood], "Not Found", 0)</f>
        <v>11</v>
      </c>
      <c r="O859" s="5">
        <f>_xlfn.XLOOKUP(CustomerCombined[[#This Row],[ID]], Table4[ID], Table4[Sweets], "Not Found", 0)</f>
        <v>8</v>
      </c>
      <c r="P859" s="5">
        <f>_xlfn.XLOOKUP(CustomerCombined[[#This Row],[ID]], Table4[ID], Table4[Premium], "Not Found", 0)</f>
        <v>29</v>
      </c>
      <c r="Q859" s="5">
        <f>_xlfn.XLOOKUP(CustomerCombined[[#This Row],[ID]], Table4[ID], Table4[Regular], "Not Found", 0)</f>
        <v>1006</v>
      </c>
      <c r="R859" s="5">
        <f>_xlfn.XLOOKUP(CustomerCombined[[#This Row],[ID]], Table4[ID], Table4[Deals], "Not Found", 0)</f>
        <v>5</v>
      </c>
      <c r="S859" s="5">
        <f>_xlfn.XLOOKUP(CustomerCombined[[#This Row],[ID]], Table4[ID], Table4[Website], "Not Found", 0)</f>
        <v>7</v>
      </c>
      <c r="T859" s="5">
        <f>_xlfn.XLOOKUP(CustomerCombined[[#This Row],[ID]], Table4[ID], Table4[Catalog], "Not Found", 0)</f>
        <v>2</v>
      </c>
      <c r="U859" s="5">
        <f>_xlfn.XLOOKUP(CustomerCombined[[#This Row],[ID]], Table4[ID], Table4[Store], "Not Found", 0)</f>
        <v>5</v>
      </c>
      <c r="V859" s="5">
        <f>_xlfn.XLOOKUP(CustomerCombined[[#This Row],[ID]], Table4[ID], Table4[Visits], "Not Found", 0)</f>
        <v>6</v>
      </c>
      <c r="W859" s="8">
        <f>_xlfn.XLOOKUP(CustomerCombined[[#This Row],[ID]], Table2[ID],Table2[Complaint], "Not Found", 0 )</f>
        <v>0</v>
      </c>
      <c r="X859" s="8">
        <f>_xlfn.XLOOKUP(CustomerCombined[[#This Row],[ID]], Table2[ID],Table2[Pilot], "Not Found", 0 )</f>
        <v>0</v>
      </c>
      <c r="Y859" s="8">
        <f>_xlfn.XLOOKUP(CustomerCombined[[#This Row],[ID]], Table2[ID],Table2[MC1], "Not Found", 0 )</f>
        <v>0</v>
      </c>
      <c r="Z859" s="8">
        <f>_xlfn.XLOOKUP(CustomerCombined[[#This Row],[ID]], Table2[ID],Table2[MC2], "Not Found", 0 )</f>
        <v>0</v>
      </c>
      <c r="AA859" s="8">
        <f>_xlfn.XLOOKUP(CustomerCombined[[#This Row],[ID]], Table2[ID],Table2[MC3], "Not Found", 0 )</f>
        <v>0</v>
      </c>
      <c r="AB859" s="8">
        <f>_xlfn.XLOOKUP(CustomerCombined[[#This Row],[ID]], Table2[ID],Table2[MC4], "Not Found", 0 )</f>
        <v>0</v>
      </c>
      <c r="AC859" s="8">
        <f>_xlfn.XLOOKUP(CustomerCombined[[#This Row],[ID]], Table2[ID],Table2[MC5], "Not Found", 0 )</f>
        <v>0</v>
      </c>
    </row>
    <row r="860" spans="1:29" x14ac:dyDescent="0.3">
      <c r="A860" s="6">
        <v>2840</v>
      </c>
      <c r="B860" s="6">
        <v>160208</v>
      </c>
      <c r="C860" s="6">
        <v>1</v>
      </c>
      <c r="D860" s="6">
        <v>1</v>
      </c>
      <c r="E860" s="6">
        <v>47</v>
      </c>
      <c r="F860" s="5" t="s">
        <v>9</v>
      </c>
      <c r="G860" s="5" t="s">
        <v>11</v>
      </c>
      <c r="H860" s="3" t="s">
        <v>386</v>
      </c>
      <c r="I860" s="5" t="s">
        <v>438</v>
      </c>
      <c r="J860" s="5">
        <f>_xlfn.XLOOKUP(CustomerCombined[[#This Row],[ID]], Table4[ID], Table4[Recency], "Not Found", 0)</f>
        <v>13</v>
      </c>
      <c r="K860" s="5">
        <f>_xlfn.XLOOKUP(CustomerCombined[[#This Row],[ID]], Table4[ID], Table4[Teas], "Not Found", 0)</f>
        <v>1299</v>
      </c>
      <c r="L860" s="5">
        <f>_xlfn.XLOOKUP(CustomerCombined[[#This Row],[ID]], Table4[ID], Table4[Fruits], "Not Found", 0)</f>
        <v>61</v>
      </c>
      <c r="M860" s="5">
        <f>_xlfn.XLOOKUP(CustomerCombined[[#This Row],[ID]], Table4[ID], Table4[Meats], "Not Found", 0)</f>
        <v>189</v>
      </c>
      <c r="N860" s="5">
        <f>_xlfn.XLOOKUP(CustomerCombined[[#This Row],[ID]], Table4[ID], Table4[Seafood], "Not Found", 0)</f>
        <v>40</v>
      </c>
      <c r="O860" s="5">
        <f>_xlfn.XLOOKUP(CustomerCombined[[#This Row],[ID]], Table4[ID], Table4[Sweets], "Not Found", 0)</f>
        <v>0</v>
      </c>
      <c r="P860" s="5">
        <f>_xlfn.XLOOKUP(CustomerCombined[[#This Row],[ID]], Table4[ID], Table4[Premium], "Not Found", 0)</f>
        <v>157</v>
      </c>
      <c r="Q860" s="5">
        <f>_xlfn.XLOOKUP(CustomerCombined[[#This Row],[ID]], Table4[ID], Table4[Regular], "Not Found", 0)</f>
        <v>1432</v>
      </c>
      <c r="R860" s="5">
        <f>_xlfn.XLOOKUP(CustomerCombined[[#This Row],[ID]], Table4[ID], Table4[Deals], "Not Found", 0)</f>
        <v>11</v>
      </c>
      <c r="S860" s="5">
        <f>_xlfn.XLOOKUP(CustomerCombined[[#This Row],[ID]], Table4[ID], Table4[Website], "Not Found", 0)</f>
        <v>8</v>
      </c>
      <c r="T860" s="5">
        <f>_xlfn.XLOOKUP(CustomerCombined[[#This Row],[ID]], Table4[ID], Table4[Catalog], "Not Found", 0)</f>
        <v>3</v>
      </c>
      <c r="U860" s="5">
        <f>_xlfn.XLOOKUP(CustomerCombined[[#This Row],[ID]], Table4[ID], Table4[Store], "Not Found", 0)</f>
        <v>7</v>
      </c>
      <c r="V860" s="5">
        <f>_xlfn.XLOOKUP(CustomerCombined[[#This Row],[ID]], Table4[ID], Table4[Visits], "Not Found", 0)</f>
        <v>7</v>
      </c>
      <c r="W860" s="8">
        <f>_xlfn.XLOOKUP(CustomerCombined[[#This Row],[ID]], Table2[ID],Table2[Complaint], "Not Found", 0 )</f>
        <v>0</v>
      </c>
      <c r="X860" s="8">
        <f>_xlfn.XLOOKUP(CustomerCombined[[#This Row],[ID]], Table2[ID],Table2[Pilot], "Not Found", 0 )</f>
        <v>1</v>
      </c>
      <c r="Y860" s="8">
        <f>_xlfn.XLOOKUP(CustomerCombined[[#This Row],[ID]], Table2[ID],Table2[MC1], "Not Found", 0 )</f>
        <v>0</v>
      </c>
      <c r="Z860" s="8">
        <f>_xlfn.XLOOKUP(CustomerCombined[[#This Row],[ID]], Table2[ID],Table2[MC2], "Not Found", 0 )</f>
        <v>0</v>
      </c>
      <c r="AA860" s="8">
        <f>_xlfn.XLOOKUP(CustomerCombined[[#This Row],[ID]], Table2[ID],Table2[MC3], "Not Found", 0 )</f>
        <v>0</v>
      </c>
      <c r="AB860" s="8">
        <f>_xlfn.XLOOKUP(CustomerCombined[[#This Row],[ID]], Table2[ID],Table2[MC4], "Not Found", 0 )</f>
        <v>1</v>
      </c>
      <c r="AC860" s="8">
        <f>_xlfn.XLOOKUP(CustomerCombined[[#This Row],[ID]], Table2[ID],Table2[MC5], "Not Found", 0 )</f>
        <v>0</v>
      </c>
    </row>
    <row r="861" spans="1:29" x14ac:dyDescent="0.3">
      <c r="A861" s="6">
        <v>1939</v>
      </c>
      <c r="B861" s="6">
        <v>159041</v>
      </c>
      <c r="C861" s="6">
        <v>1</v>
      </c>
      <c r="D861" s="6">
        <v>1</v>
      </c>
      <c r="E861" s="6">
        <v>47</v>
      </c>
      <c r="F861" s="5" t="s">
        <v>6</v>
      </c>
      <c r="G861" s="5" t="s">
        <v>11</v>
      </c>
      <c r="H861" s="3">
        <v>44145</v>
      </c>
      <c r="I861" s="5" t="s">
        <v>437</v>
      </c>
      <c r="J861" s="5">
        <f>_xlfn.XLOOKUP(CustomerCombined[[#This Row],[ID]], Table4[ID], Table4[Recency], "Not Found", 0)</f>
        <v>25</v>
      </c>
      <c r="K861" s="5">
        <f>_xlfn.XLOOKUP(CustomerCombined[[#This Row],[ID]], Table4[ID], Table4[Teas], "Not Found", 0)</f>
        <v>186</v>
      </c>
      <c r="L861" s="5">
        <f>_xlfn.XLOOKUP(CustomerCombined[[#This Row],[ID]], Table4[ID], Table4[Fruits], "Not Found", 0)</f>
        <v>5</v>
      </c>
      <c r="M861" s="5">
        <f>_xlfn.XLOOKUP(CustomerCombined[[#This Row],[ID]], Table4[ID], Table4[Meats], "Not Found", 0)</f>
        <v>40</v>
      </c>
      <c r="N861" s="5">
        <f>_xlfn.XLOOKUP(CustomerCombined[[#This Row],[ID]], Table4[ID], Table4[Seafood], "Not Found", 0)</f>
        <v>5</v>
      </c>
      <c r="O861" s="5">
        <f>_xlfn.XLOOKUP(CustomerCombined[[#This Row],[ID]], Table4[ID], Table4[Sweets], "Not Found", 0)</f>
        <v>5</v>
      </c>
      <c r="P861" s="5">
        <f>_xlfn.XLOOKUP(CustomerCombined[[#This Row],[ID]], Table4[ID], Table4[Premium], "Not Found", 0)</f>
        <v>16</v>
      </c>
      <c r="Q861" s="5">
        <f>_xlfn.XLOOKUP(CustomerCombined[[#This Row],[ID]], Table4[ID], Table4[Regular], "Not Found", 0)</f>
        <v>226</v>
      </c>
      <c r="R861" s="5">
        <f>_xlfn.XLOOKUP(CustomerCombined[[#This Row],[ID]], Table4[ID], Table4[Deals], "Not Found", 0)</f>
        <v>2</v>
      </c>
      <c r="S861" s="5">
        <f>_xlfn.XLOOKUP(CustomerCombined[[#This Row],[ID]], Table4[ID], Table4[Website], "Not Found", 0)</f>
        <v>2</v>
      </c>
      <c r="T861" s="5">
        <f>_xlfn.XLOOKUP(CustomerCombined[[#This Row],[ID]], Table4[ID], Table4[Catalog], "Not Found", 0)</f>
        <v>0</v>
      </c>
      <c r="U861" s="5">
        <f>_xlfn.XLOOKUP(CustomerCombined[[#This Row],[ID]], Table4[ID], Table4[Store], "Not Found", 0)</f>
        <v>4</v>
      </c>
      <c r="V861" s="5">
        <f>_xlfn.XLOOKUP(CustomerCombined[[#This Row],[ID]], Table4[ID], Table4[Visits], "Not Found", 0)</f>
        <v>5</v>
      </c>
      <c r="W861" s="8">
        <f>_xlfn.XLOOKUP(CustomerCombined[[#This Row],[ID]], Table2[ID],Table2[Complaint], "Not Found", 0 )</f>
        <v>0</v>
      </c>
      <c r="X861" s="8">
        <f>_xlfn.XLOOKUP(CustomerCombined[[#This Row],[ID]], Table2[ID],Table2[Pilot], "Not Found", 0 )</f>
        <v>0</v>
      </c>
      <c r="Y861" s="8">
        <f>_xlfn.XLOOKUP(CustomerCombined[[#This Row],[ID]], Table2[ID],Table2[MC1], "Not Found", 0 )</f>
        <v>0</v>
      </c>
      <c r="Z861" s="8">
        <f>_xlfn.XLOOKUP(CustomerCombined[[#This Row],[ID]], Table2[ID],Table2[MC2], "Not Found", 0 )</f>
        <v>0</v>
      </c>
      <c r="AA861" s="8">
        <f>_xlfn.XLOOKUP(CustomerCombined[[#This Row],[ID]], Table2[ID],Table2[MC3], "Not Found", 0 )</f>
        <v>0</v>
      </c>
      <c r="AB861" s="8">
        <f>_xlfn.XLOOKUP(CustomerCombined[[#This Row],[ID]], Table2[ID],Table2[MC4], "Not Found", 0 )</f>
        <v>0</v>
      </c>
      <c r="AC861" s="8">
        <f>_xlfn.XLOOKUP(CustomerCombined[[#This Row],[ID]], Table2[ID],Table2[MC5], "Not Found", 0 )</f>
        <v>0</v>
      </c>
    </row>
    <row r="862" spans="1:29" x14ac:dyDescent="0.3">
      <c r="A862" s="6">
        <v>1846</v>
      </c>
      <c r="B862" s="6">
        <v>157906</v>
      </c>
      <c r="C862" s="6">
        <v>0</v>
      </c>
      <c r="D862" s="6">
        <v>1</v>
      </c>
      <c r="E862" s="6">
        <v>47</v>
      </c>
      <c r="F862" s="5" t="s">
        <v>8</v>
      </c>
      <c r="G862" s="5" t="s">
        <v>13</v>
      </c>
      <c r="H862" s="3" t="s">
        <v>241</v>
      </c>
      <c r="I862" s="5" t="s">
        <v>439</v>
      </c>
      <c r="J862" s="5">
        <f>_xlfn.XLOOKUP(CustomerCombined[[#This Row],[ID]], Table4[ID], Table4[Recency], "Not Found", 0)</f>
        <v>29</v>
      </c>
      <c r="K862" s="5">
        <f>_xlfn.XLOOKUP(CustomerCombined[[#This Row],[ID]], Table4[ID], Table4[Teas], "Not Found", 0)</f>
        <v>663</v>
      </c>
      <c r="L862" s="5">
        <f>_xlfn.XLOOKUP(CustomerCombined[[#This Row],[ID]], Table4[ID], Table4[Fruits], "Not Found", 0)</f>
        <v>30</v>
      </c>
      <c r="M862" s="5">
        <f>_xlfn.XLOOKUP(CustomerCombined[[#This Row],[ID]], Table4[ID], Table4[Meats], "Not Found", 0)</f>
        <v>325</v>
      </c>
      <c r="N862" s="5">
        <f>_xlfn.XLOOKUP(CustomerCombined[[#This Row],[ID]], Table4[ID], Table4[Seafood], "Not Found", 0)</f>
        <v>27</v>
      </c>
      <c r="O862" s="5">
        <f>_xlfn.XLOOKUP(CustomerCombined[[#This Row],[ID]], Table4[ID], Table4[Sweets], "Not Found", 0)</f>
        <v>8</v>
      </c>
      <c r="P862" s="5">
        <f>_xlfn.XLOOKUP(CustomerCombined[[#This Row],[ID]], Table4[ID], Table4[Premium], "Not Found", 0)</f>
        <v>41</v>
      </c>
      <c r="Q862" s="5">
        <f>_xlfn.XLOOKUP(CustomerCombined[[#This Row],[ID]], Table4[ID], Table4[Regular], "Not Found", 0)</f>
        <v>1012</v>
      </c>
      <c r="R862" s="5">
        <f>_xlfn.XLOOKUP(CustomerCombined[[#This Row],[ID]], Table4[ID], Table4[Deals], "Not Found", 0)</f>
        <v>3</v>
      </c>
      <c r="S862" s="5">
        <f>_xlfn.XLOOKUP(CustomerCombined[[#This Row],[ID]], Table4[ID], Table4[Website], "Not Found", 0)</f>
        <v>4</v>
      </c>
      <c r="T862" s="5">
        <f>_xlfn.XLOOKUP(CustomerCombined[[#This Row],[ID]], Table4[ID], Table4[Catalog], "Not Found", 0)</f>
        <v>2</v>
      </c>
      <c r="U862" s="5">
        <f>_xlfn.XLOOKUP(CustomerCombined[[#This Row],[ID]], Table4[ID], Table4[Store], "Not Found", 0)</f>
        <v>8</v>
      </c>
      <c r="V862" s="5">
        <f>_xlfn.XLOOKUP(CustomerCombined[[#This Row],[ID]], Table4[ID], Table4[Visits], "Not Found", 0)</f>
        <v>4</v>
      </c>
      <c r="W862" s="8">
        <f>_xlfn.XLOOKUP(CustomerCombined[[#This Row],[ID]], Table2[ID],Table2[Complaint], "Not Found", 0 )</f>
        <v>0</v>
      </c>
      <c r="X862" s="8">
        <f>_xlfn.XLOOKUP(CustomerCombined[[#This Row],[ID]], Table2[ID],Table2[Pilot], "Not Found", 0 )</f>
        <v>0</v>
      </c>
      <c r="Y862" s="8">
        <f>_xlfn.XLOOKUP(CustomerCombined[[#This Row],[ID]], Table2[ID],Table2[MC1], "Not Found", 0 )</f>
        <v>0</v>
      </c>
      <c r="Z862" s="8">
        <f>_xlfn.XLOOKUP(CustomerCombined[[#This Row],[ID]], Table2[ID],Table2[MC2], "Not Found", 0 )</f>
        <v>0</v>
      </c>
      <c r="AA862" s="8">
        <f>_xlfn.XLOOKUP(CustomerCombined[[#This Row],[ID]], Table2[ID],Table2[MC3], "Not Found", 0 )</f>
        <v>0</v>
      </c>
      <c r="AB862" s="8">
        <f>_xlfn.XLOOKUP(CustomerCombined[[#This Row],[ID]], Table2[ID],Table2[MC4], "Not Found", 0 )</f>
        <v>0</v>
      </c>
      <c r="AC862" s="8">
        <f>_xlfn.XLOOKUP(CustomerCombined[[#This Row],[ID]], Table2[ID],Table2[MC5], "Not Found", 0 )</f>
        <v>0</v>
      </c>
    </row>
    <row r="863" spans="1:29" x14ac:dyDescent="0.3">
      <c r="A863" s="6">
        <v>1884</v>
      </c>
      <c r="B863" s="6">
        <v>157100</v>
      </c>
      <c r="C863" s="6">
        <v>0</v>
      </c>
      <c r="D863" s="6">
        <v>0</v>
      </c>
      <c r="E863" s="6">
        <v>47</v>
      </c>
      <c r="F863" s="5" t="s">
        <v>8</v>
      </c>
      <c r="G863" s="5" t="s">
        <v>11</v>
      </c>
      <c r="H863" s="3">
        <v>44109</v>
      </c>
      <c r="I863" s="5" t="s">
        <v>436</v>
      </c>
      <c r="J863" s="5">
        <f>_xlfn.XLOOKUP(CustomerCombined[[#This Row],[ID]], Table4[ID], Table4[Recency], "Not Found", 0)</f>
        <v>19</v>
      </c>
      <c r="K863" s="5">
        <f>_xlfn.XLOOKUP(CustomerCombined[[#This Row],[ID]], Table4[ID], Table4[Teas], "Not Found", 0)</f>
        <v>498</v>
      </c>
      <c r="L863" s="5">
        <f>_xlfn.XLOOKUP(CustomerCombined[[#This Row],[ID]], Table4[ID], Table4[Fruits], "Not Found", 0)</f>
        <v>58</v>
      </c>
      <c r="M863" s="5">
        <f>_xlfn.XLOOKUP(CustomerCombined[[#This Row],[ID]], Table4[ID], Table4[Meats], "Not Found", 0)</f>
        <v>190</v>
      </c>
      <c r="N863" s="5">
        <f>_xlfn.XLOOKUP(CustomerCombined[[#This Row],[ID]], Table4[ID], Table4[Seafood], "Not Found", 0)</f>
        <v>107</v>
      </c>
      <c r="O863" s="5">
        <f>_xlfn.XLOOKUP(CustomerCombined[[#This Row],[ID]], Table4[ID], Table4[Sweets], "Not Found", 0)</f>
        <v>8</v>
      </c>
      <c r="P863" s="5">
        <f>_xlfn.XLOOKUP(CustomerCombined[[#This Row],[ID]], Table4[ID], Table4[Premium], "Not Found", 0)</f>
        <v>264</v>
      </c>
      <c r="Q863" s="5">
        <f>_xlfn.XLOOKUP(CustomerCombined[[#This Row],[ID]], Table4[ID], Table4[Regular], "Not Found", 0)</f>
        <v>597</v>
      </c>
      <c r="R863" s="5">
        <f>_xlfn.XLOOKUP(CustomerCombined[[#This Row],[ID]], Table4[ID], Table4[Deals], "Not Found", 0)</f>
        <v>1</v>
      </c>
      <c r="S863" s="5">
        <f>_xlfn.XLOOKUP(CustomerCombined[[#This Row],[ID]], Table4[ID], Table4[Website], "Not Found", 0)</f>
        <v>3</v>
      </c>
      <c r="T863" s="5">
        <f>_xlfn.XLOOKUP(CustomerCombined[[#This Row],[ID]], Table4[ID], Table4[Catalog], "Not Found", 0)</f>
        <v>3</v>
      </c>
      <c r="U863" s="5">
        <f>_xlfn.XLOOKUP(CustomerCombined[[#This Row],[ID]], Table4[ID], Table4[Store], "Not Found", 0)</f>
        <v>6</v>
      </c>
      <c r="V863" s="5">
        <f>_xlfn.XLOOKUP(CustomerCombined[[#This Row],[ID]], Table4[ID], Table4[Visits], "Not Found", 0)</f>
        <v>3</v>
      </c>
      <c r="W863" s="8">
        <f>_xlfn.XLOOKUP(CustomerCombined[[#This Row],[ID]], Table2[ID],Table2[Complaint], "Not Found", 0 )</f>
        <v>0</v>
      </c>
      <c r="X863" s="8">
        <f>_xlfn.XLOOKUP(CustomerCombined[[#This Row],[ID]], Table2[ID],Table2[Pilot], "Not Found", 0 )</f>
        <v>0</v>
      </c>
      <c r="Y863" s="8">
        <f>_xlfn.XLOOKUP(CustomerCombined[[#This Row],[ID]], Table2[ID],Table2[MC1], "Not Found", 0 )</f>
        <v>0</v>
      </c>
      <c r="Z863" s="8">
        <f>_xlfn.XLOOKUP(CustomerCombined[[#This Row],[ID]], Table2[ID],Table2[MC2], "Not Found", 0 )</f>
        <v>0</v>
      </c>
      <c r="AA863" s="8">
        <f>_xlfn.XLOOKUP(CustomerCombined[[#This Row],[ID]], Table2[ID],Table2[MC3], "Not Found", 0 )</f>
        <v>0</v>
      </c>
      <c r="AB863" s="8">
        <f>_xlfn.XLOOKUP(CustomerCombined[[#This Row],[ID]], Table2[ID],Table2[MC4], "Not Found", 0 )</f>
        <v>0</v>
      </c>
      <c r="AC863" s="8">
        <f>_xlfn.XLOOKUP(CustomerCombined[[#This Row],[ID]], Table2[ID],Table2[MC5], "Not Found", 0 )</f>
        <v>0</v>
      </c>
    </row>
    <row r="864" spans="1:29" x14ac:dyDescent="0.3">
      <c r="A864" s="6">
        <v>3165</v>
      </c>
      <c r="B864" s="6">
        <v>155593</v>
      </c>
      <c r="C864" s="6">
        <v>0</v>
      </c>
      <c r="D864" s="6">
        <v>1</v>
      </c>
      <c r="E864" s="6">
        <v>47</v>
      </c>
      <c r="F864" s="5" t="s">
        <v>8</v>
      </c>
      <c r="G864" s="5" t="s">
        <v>11</v>
      </c>
      <c r="H864" s="3" t="s">
        <v>196</v>
      </c>
      <c r="I864" s="5" t="s">
        <v>435</v>
      </c>
      <c r="J864" s="5">
        <f>_xlfn.XLOOKUP(CustomerCombined[[#This Row],[ID]], Table4[ID], Table4[Recency], "Not Found", 0)</f>
        <v>63</v>
      </c>
      <c r="K864" s="5">
        <f>_xlfn.XLOOKUP(CustomerCombined[[#This Row],[ID]], Table4[ID], Table4[Teas], "Not Found", 0)</f>
        <v>820</v>
      </c>
      <c r="L864" s="5">
        <f>_xlfn.XLOOKUP(CustomerCombined[[#This Row],[ID]], Table4[ID], Table4[Fruits], "Not Found", 0)</f>
        <v>22</v>
      </c>
      <c r="M864" s="5">
        <f>_xlfn.XLOOKUP(CustomerCombined[[#This Row],[ID]], Table4[ID], Table4[Meats], "Not Found", 0)</f>
        <v>347</v>
      </c>
      <c r="N864" s="5">
        <f>_xlfn.XLOOKUP(CustomerCombined[[#This Row],[ID]], Table4[ID], Table4[Seafood], "Not Found", 0)</f>
        <v>31</v>
      </c>
      <c r="O864" s="5">
        <f>_xlfn.XLOOKUP(CustomerCombined[[#This Row],[ID]], Table4[ID], Table4[Sweets], "Not Found", 0)</f>
        <v>11</v>
      </c>
      <c r="P864" s="5">
        <f>_xlfn.XLOOKUP(CustomerCombined[[#This Row],[ID]], Table4[ID], Table4[Premium], "Not Found", 0)</f>
        <v>297</v>
      </c>
      <c r="Q864" s="5">
        <f>_xlfn.XLOOKUP(CustomerCombined[[#This Row],[ID]], Table4[ID], Table4[Regular], "Not Found", 0)</f>
        <v>935</v>
      </c>
      <c r="R864" s="5">
        <f>_xlfn.XLOOKUP(CustomerCombined[[#This Row],[ID]], Table4[ID], Table4[Deals], "Not Found", 0)</f>
        <v>2</v>
      </c>
      <c r="S864" s="5">
        <f>_xlfn.XLOOKUP(CustomerCombined[[#This Row],[ID]], Table4[ID], Table4[Website], "Not Found", 0)</f>
        <v>6</v>
      </c>
      <c r="T864" s="5">
        <f>_xlfn.XLOOKUP(CustomerCombined[[#This Row],[ID]], Table4[ID], Table4[Catalog], "Not Found", 0)</f>
        <v>6</v>
      </c>
      <c r="U864" s="5">
        <f>_xlfn.XLOOKUP(CustomerCombined[[#This Row],[ID]], Table4[ID], Table4[Store], "Not Found", 0)</f>
        <v>3</v>
      </c>
      <c r="V864" s="5">
        <f>_xlfn.XLOOKUP(CustomerCombined[[#This Row],[ID]], Table4[ID], Table4[Visits], "Not Found", 0)</f>
        <v>6</v>
      </c>
      <c r="W864" s="8">
        <f>_xlfn.XLOOKUP(CustomerCombined[[#This Row],[ID]], Table2[ID],Table2[Complaint], "Not Found", 0 )</f>
        <v>0</v>
      </c>
      <c r="X864" s="8">
        <f>_xlfn.XLOOKUP(CustomerCombined[[#This Row],[ID]], Table2[ID],Table2[Pilot], "Not Found", 0 )</f>
        <v>0</v>
      </c>
      <c r="Y864" s="8">
        <f>_xlfn.XLOOKUP(CustomerCombined[[#This Row],[ID]], Table2[ID],Table2[MC1], "Not Found", 0 )</f>
        <v>0</v>
      </c>
      <c r="Z864" s="8">
        <f>_xlfn.XLOOKUP(CustomerCombined[[#This Row],[ID]], Table2[ID],Table2[MC2], "Not Found", 0 )</f>
        <v>0</v>
      </c>
      <c r="AA864" s="8">
        <f>_xlfn.XLOOKUP(CustomerCombined[[#This Row],[ID]], Table2[ID],Table2[MC3], "Not Found", 0 )</f>
        <v>1</v>
      </c>
      <c r="AB864" s="8">
        <f>_xlfn.XLOOKUP(CustomerCombined[[#This Row],[ID]], Table2[ID],Table2[MC4], "Not Found", 0 )</f>
        <v>0</v>
      </c>
      <c r="AC864" s="8">
        <f>_xlfn.XLOOKUP(CustomerCombined[[#This Row],[ID]], Table2[ID],Table2[MC5], "Not Found", 0 )</f>
        <v>0</v>
      </c>
    </row>
    <row r="865" spans="1:29" x14ac:dyDescent="0.3">
      <c r="A865" s="6">
        <v>2678</v>
      </c>
      <c r="B865" s="6">
        <v>155012</v>
      </c>
      <c r="C865" s="6">
        <v>0</v>
      </c>
      <c r="D865" s="6">
        <v>1</v>
      </c>
      <c r="E865" s="6">
        <v>47</v>
      </c>
      <c r="F865" s="5" t="s">
        <v>8</v>
      </c>
      <c r="G865" s="5" t="s">
        <v>13</v>
      </c>
      <c r="H865" s="3" t="s">
        <v>80</v>
      </c>
      <c r="I865" s="5" t="s">
        <v>438</v>
      </c>
      <c r="J865" s="5">
        <f>_xlfn.XLOOKUP(CustomerCombined[[#This Row],[ID]], Table4[ID], Table4[Recency], "Not Found", 0)</f>
        <v>85</v>
      </c>
      <c r="K865" s="5">
        <f>_xlfn.XLOOKUP(CustomerCombined[[#This Row],[ID]], Table4[ID], Table4[Teas], "Not Found", 0)</f>
        <v>1640</v>
      </c>
      <c r="L865" s="5">
        <f>_xlfn.XLOOKUP(CustomerCombined[[#This Row],[ID]], Table4[ID], Table4[Fruits], "Not Found", 0)</f>
        <v>0</v>
      </c>
      <c r="M865" s="5">
        <f>_xlfn.XLOOKUP(CustomerCombined[[#This Row],[ID]], Table4[ID], Table4[Meats], "Not Found", 0)</f>
        <v>183</v>
      </c>
      <c r="N865" s="5">
        <f>_xlfn.XLOOKUP(CustomerCombined[[#This Row],[ID]], Table4[ID], Table4[Seafood], "Not Found", 0)</f>
        <v>0</v>
      </c>
      <c r="O865" s="5">
        <f>_xlfn.XLOOKUP(CustomerCombined[[#This Row],[ID]], Table4[ID], Table4[Sweets], "Not Found", 0)</f>
        <v>0</v>
      </c>
      <c r="P865" s="5">
        <f>_xlfn.XLOOKUP(CustomerCombined[[#This Row],[ID]], Table4[ID], Table4[Premium], "Not Found", 0)</f>
        <v>37</v>
      </c>
      <c r="Q865" s="5">
        <f>_xlfn.XLOOKUP(CustomerCombined[[#This Row],[ID]], Table4[ID], Table4[Regular], "Not Found", 0)</f>
        <v>1786</v>
      </c>
      <c r="R865" s="5">
        <f>_xlfn.XLOOKUP(CustomerCombined[[#This Row],[ID]], Table4[ID], Table4[Deals], "Not Found", 0)</f>
        <v>6</v>
      </c>
      <c r="S865" s="5">
        <f>_xlfn.XLOOKUP(CustomerCombined[[#This Row],[ID]], Table4[ID], Table4[Website], "Not Found", 0)</f>
        <v>8</v>
      </c>
      <c r="T865" s="5">
        <f>_xlfn.XLOOKUP(CustomerCombined[[#This Row],[ID]], Table4[ID], Table4[Catalog], "Not Found", 0)</f>
        <v>2</v>
      </c>
      <c r="U865" s="5">
        <f>_xlfn.XLOOKUP(CustomerCombined[[#This Row],[ID]], Table4[ID], Table4[Store], "Not Found", 0)</f>
        <v>9</v>
      </c>
      <c r="V865" s="5">
        <f>_xlfn.XLOOKUP(CustomerCombined[[#This Row],[ID]], Table4[ID], Table4[Visits], "Not Found", 0)</f>
        <v>5</v>
      </c>
      <c r="W865" s="8">
        <f>_xlfn.XLOOKUP(CustomerCombined[[#This Row],[ID]], Table2[ID],Table2[Complaint], "Not Found", 0 )</f>
        <v>0</v>
      </c>
      <c r="X865" s="8">
        <f>_xlfn.XLOOKUP(CustomerCombined[[#This Row],[ID]], Table2[ID],Table2[Pilot], "Not Found", 0 )</f>
        <v>0</v>
      </c>
      <c r="Y865" s="8">
        <f>_xlfn.XLOOKUP(CustomerCombined[[#This Row],[ID]], Table2[ID],Table2[MC1], "Not Found", 0 )</f>
        <v>0</v>
      </c>
      <c r="Z865" s="8">
        <f>_xlfn.XLOOKUP(CustomerCombined[[#This Row],[ID]], Table2[ID],Table2[MC2], "Not Found", 0 )</f>
        <v>0</v>
      </c>
      <c r="AA865" s="8">
        <f>_xlfn.XLOOKUP(CustomerCombined[[#This Row],[ID]], Table2[ID],Table2[MC3], "Not Found", 0 )</f>
        <v>0</v>
      </c>
      <c r="AB865" s="8">
        <f>_xlfn.XLOOKUP(CustomerCombined[[#This Row],[ID]], Table2[ID],Table2[MC4], "Not Found", 0 )</f>
        <v>0</v>
      </c>
      <c r="AC865" s="8">
        <f>_xlfn.XLOOKUP(CustomerCombined[[#This Row],[ID]], Table2[ID],Table2[MC5], "Not Found", 0 )</f>
        <v>0</v>
      </c>
    </row>
    <row r="866" spans="1:29" x14ac:dyDescent="0.3">
      <c r="A866" s="6">
        <v>2093</v>
      </c>
      <c r="B866" s="6">
        <v>154466</v>
      </c>
      <c r="C866" s="6">
        <v>1</v>
      </c>
      <c r="D866" s="6">
        <v>1</v>
      </c>
      <c r="E866" s="6">
        <v>47</v>
      </c>
      <c r="F866" s="5" t="s">
        <v>7</v>
      </c>
      <c r="G866" s="5" t="s">
        <v>13</v>
      </c>
      <c r="H866" s="3" t="s">
        <v>104</v>
      </c>
      <c r="I866" s="5" t="s">
        <v>434</v>
      </c>
      <c r="J866" s="5">
        <f>_xlfn.XLOOKUP(CustomerCombined[[#This Row],[ID]], Table4[ID], Table4[Recency], "Not Found", 0)</f>
        <v>78</v>
      </c>
      <c r="K866" s="5">
        <f>_xlfn.XLOOKUP(CustomerCombined[[#This Row],[ID]], Table4[ID], Table4[Teas], "Not Found", 0)</f>
        <v>34</v>
      </c>
      <c r="L866" s="5">
        <f>_xlfn.XLOOKUP(CustomerCombined[[#This Row],[ID]], Table4[ID], Table4[Fruits], "Not Found", 0)</f>
        <v>0</v>
      </c>
      <c r="M866" s="5">
        <f>_xlfn.XLOOKUP(CustomerCombined[[#This Row],[ID]], Table4[ID], Table4[Meats], "Not Found", 0)</f>
        <v>11</v>
      </c>
      <c r="N866" s="5">
        <f>_xlfn.XLOOKUP(CustomerCombined[[#This Row],[ID]], Table4[ID], Table4[Seafood], "Not Found", 0)</f>
        <v>0</v>
      </c>
      <c r="O866" s="5">
        <f>_xlfn.XLOOKUP(CustomerCombined[[#This Row],[ID]], Table4[ID], Table4[Sweets], "Not Found", 0)</f>
        <v>0</v>
      </c>
      <c r="P866" s="5">
        <f>_xlfn.XLOOKUP(CustomerCombined[[#This Row],[ID]], Table4[ID], Table4[Premium], "Not Found", 0)</f>
        <v>0</v>
      </c>
      <c r="Q866" s="5">
        <f>_xlfn.XLOOKUP(CustomerCombined[[#This Row],[ID]], Table4[ID], Table4[Regular], "Not Found", 0)</f>
        <v>45</v>
      </c>
      <c r="R866" s="5">
        <f>_xlfn.XLOOKUP(CustomerCombined[[#This Row],[ID]], Table4[ID], Table4[Deals], "Not Found", 0)</f>
        <v>1</v>
      </c>
      <c r="S866" s="5">
        <f>_xlfn.XLOOKUP(CustomerCombined[[#This Row],[ID]], Table4[ID], Table4[Website], "Not Found", 0)</f>
        <v>1</v>
      </c>
      <c r="T866" s="5">
        <f>_xlfn.XLOOKUP(CustomerCombined[[#This Row],[ID]], Table4[ID], Table4[Catalog], "Not Found", 0)</f>
        <v>0</v>
      </c>
      <c r="U866" s="5">
        <f>_xlfn.XLOOKUP(CustomerCombined[[#This Row],[ID]], Table4[ID], Table4[Store], "Not Found", 0)</f>
        <v>2</v>
      </c>
      <c r="V866" s="5">
        <f>_xlfn.XLOOKUP(CustomerCombined[[#This Row],[ID]], Table4[ID], Table4[Visits], "Not Found", 0)</f>
        <v>5</v>
      </c>
      <c r="W866" s="8">
        <f>_xlfn.XLOOKUP(CustomerCombined[[#This Row],[ID]], Table2[ID],Table2[Complaint], "Not Found", 0 )</f>
        <v>0</v>
      </c>
      <c r="X866" s="8">
        <f>_xlfn.XLOOKUP(CustomerCombined[[#This Row],[ID]], Table2[ID],Table2[Pilot], "Not Found", 0 )</f>
        <v>0</v>
      </c>
      <c r="Y866" s="8">
        <f>_xlfn.XLOOKUP(CustomerCombined[[#This Row],[ID]], Table2[ID],Table2[MC1], "Not Found", 0 )</f>
        <v>0</v>
      </c>
      <c r="Z866" s="8">
        <f>_xlfn.XLOOKUP(CustomerCombined[[#This Row],[ID]], Table2[ID],Table2[MC2], "Not Found", 0 )</f>
        <v>0</v>
      </c>
      <c r="AA866" s="8">
        <f>_xlfn.XLOOKUP(CustomerCombined[[#This Row],[ID]], Table2[ID],Table2[MC3], "Not Found", 0 )</f>
        <v>0</v>
      </c>
      <c r="AB866" s="8">
        <f>_xlfn.XLOOKUP(CustomerCombined[[#This Row],[ID]], Table2[ID],Table2[MC4], "Not Found", 0 )</f>
        <v>0</v>
      </c>
      <c r="AC866" s="8">
        <f>_xlfn.XLOOKUP(CustomerCombined[[#This Row],[ID]], Table2[ID],Table2[MC5], "Not Found", 0 )</f>
        <v>0</v>
      </c>
    </row>
    <row r="867" spans="1:29" x14ac:dyDescent="0.3">
      <c r="A867" s="6">
        <v>2684</v>
      </c>
      <c r="B867" s="6">
        <v>154222</v>
      </c>
      <c r="C867" s="6">
        <v>0</v>
      </c>
      <c r="D867" s="6">
        <v>1</v>
      </c>
      <c r="E867" s="6">
        <v>47</v>
      </c>
      <c r="F867" s="5" t="s">
        <v>6</v>
      </c>
      <c r="G867" s="5" t="s">
        <v>13</v>
      </c>
      <c r="H867" s="3">
        <v>43959</v>
      </c>
      <c r="I867" s="5" t="s">
        <v>438</v>
      </c>
      <c r="J867" s="5">
        <f>_xlfn.XLOOKUP(CustomerCombined[[#This Row],[ID]], Table4[ID], Table4[Recency], "Not Found", 0)</f>
        <v>98</v>
      </c>
      <c r="K867" s="5">
        <f>_xlfn.XLOOKUP(CustomerCombined[[#This Row],[ID]], Table4[ID], Table4[Teas], "Not Found", 0)</f>
        <v>566</v>
      </c>
      <c r="L867" s="5">
        <f>_xlfn.XLOOKUP(CustomerCombined[[#This Row],[ID]], Table4[ID], Table4[Fruits], "Not Found", 0)</f>
        <v>34</v>
      </c>
      <c r="M867" s="5">
        <f>_xlfn.XLOOKUP(CustomerCombined[[#This Row],[ID]], Table4[ID], Table4[Meats], "Not Found", 0)</f>
        <v>88</v>
      </c>
      <c r="N867" s="5">
        <f>_xlfn.XLOOKUP(CustomerCombined[[#This Row],[ID]], Table4[ID], Table4[Seafood], "Not Found", 0)</f>
        <v>9</v>
      </c>
      <c r="O867" s="5">
        <f>_xlfn.XLOOKUP(CustomerCombined[[#This Row],[ID]], Table4[ID], Table4[Sweets], "Not Found", 0)</f>
        <v>34</v>
      </c>
      <c r="P867" s="5">
        <f>_xlfn.XLOOKUP(CustomerCombined[[#This Row],[ID]], Table4[ID], Table4[Premium], "Not Found", 0)</f>
        <v>20</v>
      </c>
      <c r="Q867" s="5">
        <f>_xlfn.XLOOKUP(CustomerCombined[[#This Row],[ID]], Table4[ID], Table4[Regular], "Not Found", 0)</f>
        <v>711</v>
      </c>
      <c r="R867" s="5">
        <f>_xlfn.XLOOKUP(CustomerCombined[[#This Row],[ID]], Table4[ID], Table4[Deals], "Not Found", 0)</f>
        <v>1</v>
      </c>
      <c r="S867" s="5">
        <f>_xlfn.XLOOKUP(CustomerCombined[[#This Row],[ID]], Table4[ID], Table4[Website], "Not Found", 0)</f>
        <v>3</v>
      </c>
      <c r="T867" s="5">
        <f>_xlfn.XLOOKUP(CustomerCombined[[#This Row],[ID]], Table4[ID], Table4[Catalog], "Not Found", 0)</f>
        <v>3</v>
      </c>
      <c r="U867" s="5">
        <f>_xlfn.XLOOKUP(CustomerCombined[[#This Row],[ID]], Table4[ID], Table4[Store], "Not Found", 0)</f>
        <v>5</v>
      </c>
      <c r="V867" s="5">
        <f>_xlfn.XLOOKUP(CustomerCombined[[#This Row],[ID]], Table4[ID], Table4[Visits], "Not Found", 0)</f>
        <v>3</v>
      </c>
      <c r="W867" s="8">
        <f>_xlfn.XLOOKUP(CustomerCombined[[#This Row],[ID]], Table2[ID],Table2[Complaint], "Not Found", 0 )</f>
        <v>0</v>
      </c>
      <c r="X867" s="8">
        <f>_xlfn.XLOOKUP(CustomerCombined[[#This Row],[ID]], Table2[ID],Table2[Pilot], "Not Found", 0 )</f>
        <v>0</v>
      </c>
      <c r="Y867" s="8">
        <f>_xlfn.XLOOKUP(CustomerCombined[[#This Row],[ID]], Table2[ID],Table2[MC1], "Not Found", 0 )</f>
        <v>0</v>
      </c>
      <c r="Z867" s="8">
        <f>_xlfn.XLOOKUP(CustomerCombined[[#This Row],[ID]], Table2[ID],Table2[MC2], "Not Found", 0 )</f>
        <v>0</v>
      </c>
      <c r="AA867" s="8">
        <f>_xlfn.XLOOKUP(CustomerCombined[[#This Row],[ID]], Table2[ID],Table2[MC3], "Not Found", 0 )</f>
        <v>0</v>
      </c>
      <c r="AB867" s="8">
        <f>_xlfn.XLOOKUP(CustomerCombined[[#This Row],[ID]], Table2[ID],Table2[MC4], "Not Found", 0 )</f>
        <v>0</v>
      </c>
      <c r="AC867" s="8">
        <f>_xlfn.XLOOKUP(CustomerCombined[[#This Row],[ID]], Table2[ID],Table2[MC5], "Not Found", 0 )</f>
        <v>0</v>
      </c>
    </row>
    <row r="868" spans="1:29" x14ac:dyDescent="0.3">
      <c r="A868" s="6">
        <v>2479</v>
      </c>
      <c r="B868" s="6">
        <v>154108</v>
      </c>
      <c r="C868" s="6">
        <v>1</v>
      </c>
      <c r="D868" s="6">
        <v>1</v>
      </c>
      <c r="E868" s="6">
        <v>47</v>
      </c>
      <c r="F868" s="5" t="s">
        <v>6</v>
      </c>
      <c r="G868" s="5" t="s">
        <v>12</v>
      </c>
      <c r="H868" s="3">
        <v>43803</v>
      </c>
      <c r="I868" s="5" t="s">
        <v>437</v>
      </c>
      <c r="J868" s="5">
        <f>_xlfn.XLOOKUP(CustomerCombined[[#This Row],[ID]], Table4[ID], Table4[Recency], "Not Found", 0)</f>
        <v>74</v>
      </c>
      <c r="K868" s="5">
        <f>_xlfn.XLOOKUP(CustomerCombined[[#This Row],[ID]], Table4[ID], Table4[Teas], "Not Found", 0)</f>
        <v>1535</v>
      </c>
      <c r="L868" s="5">
        <f>_xlfn.XLOOKUP(CustomerCombined[[#This Row],[ID]], Table4[ID], Table4[Fruits], "Not Found", 0)</f>
        <v>17</v>
      </c>
      <c r="M868" s="5">
        <f>_xlfn.XLOOKUP(CustomerCombined[[#This Row],[ID]], Table4[ID], Table4[Meats], "Not Found", 0)</f>
        <v>259</v>
      </c>
      <c r="N868" s="5">
        <f>_xlfn.XLOOKUP(CustomerCombined[[#This Row],[ID]], Table4[ID], Table4[Seafood], "Not Found", 0)</f>
        <v>23</v>
      </c>
      <c r="O868" s="5">
        <f>_xlfn.XLOOKUP(CustomerCombined[[#This Row],[ID]], Table4[ID], Table4[Sweets], "Not Found", 0)</f>
        <v>17</v>
      </c>
      <c r="P868" s="5">
        <f>_xlfn.XLOOKUP(CustomerCombined[[#This Row],[ID]], Table4[ID], Table4[Premium], "Not Found", 0)</f>
        <v>276</v>
      </c>
      <c r="Q868" s="5">
        <f>_xlfn.XLOOKUP(CustomerCombined[[#This Row],[ID]], Table4[ID], Table4[Regular], "Not Found", 0)</f>
        <v>1575</v>
      </c>
      <c r="R868" s="5">
        <f>_xlfn.XLOOKUP(CustomerCombined[[#This Row],[ID]], Table4[ID], Table4[Deals], "Not Found", 0)</f>
        <v>13</v>
      </c>
      <c r="S868" s="5">
        <f>_xlfn.XLOOKUP(CustomerCombined[[#This Row],[ID]], Table4[ID], Table4[Website], "Not Found", 0)</f>
        <v>8</v>
      </c>
      <c r="T868" s="5">
        <f>_xlfn.XLOOKUP(CustomerCombined[[#This Row],[ID]], Table4[ID], Table4[Catalog], "Not Found", 0)</f>
        <v>2</v>
      </c>
      <c r="U868" s="5">
        <f>_xlfn.XLOOKUP(CustomerCombined[[#This Row],[ID]], Table4[ID], Table4[Store], "Not Found", 0)</f>
        <v>9</v>
      </c>
      <c r="V868" s="5">
        <f>_xlfn.XLOOKUP(CustomerCombined[[#This Row],[ID]], Table4[ID], Table4[Visits], "Not Found", 0)</f>
        <v>8</v>
      </c>
      <c r="W868" s="8">
        <f>_xlfn.XLOOKUP(CustomerCombined[[#This Row],[ID]], Table2[ID],Table2[Complaint], "Not Found", 0 )</f>
        <v>0</v>
      </c>
      <c r="X868" s="8">
        <f>_xlfn.XLOOKUP(CustomerCombined[[#This Row],[ID]], Table2[ID],Table2[Pilot], "Not Found", 0 )</f>
        <v>0</v>
      </c>
      <c r="Y868" s="8">
        <f>_xlfn.XLOOKUP(CustomerCombined[[#This Row],[ID]], Table2[ID],Table2[MC1], "Not Found", 0 )</f>
        <v>0</v>
      </c>
      <c r="Z868" s="8">
        <f>_xlfn.XLOOKUP(CustomerCombined[[#This Row],[ID]], Table2[ID],Table2[MC2], "Not Found", 0 )</f>
        <v>0</v>
      </c>
      <c r="AA868" s="8">
        <f>_xlfn.XLOOKUP(CustomerCombined[[#This Row],[ID]], Table2[ID],Table2[MC3], "Not Found", 0 )</f>
        <v>0</v>
      </c>
      <c r="AB868" s="8">
        <f>_xlfn.XLOOKUP(CustomerCombined[[#This Row],[ID]], Table2[ID],Table2[MC4], "Not Found", 0 )</f>
        <v>0</v>
      </c>
      <c r="AC868" s="8">
        <f>_xlfn.XLOOKUP(CustomerCombined[[#This Row],[ID]], Table2[ID],Table2[MC5], "Not Found", 0 )</f>
        <v>0</v>
      </c>
    </row>
    <row r="869" spans="1:29" x14ac:dyDescent="0.3">
      <c r="A869" s="6">
        <v>1979</v>
      </c>
      <c r="B869" s="6">
        <v>152845</v>
      </c>
      <c r="C869" s="6">
        <v>1</v>
      </c>
      <c r="D869" s="6">
        <v>0</v>
      </c>
      <c r="E869" s="6">
        <v>47</v>
      </c>
      <c r="F869" s="5" t="s">
        <v>6</v>
      </c>
      <c r="G869" s="5" t="s">
        <v>11</v>
      </c>
      <c r="H869" s="3" t="s">
        <v>204</v>
      </c>
      <c r="I869" s="5" t="s">
        <v>434</v>
      </c>
      <c r="J869" s="5">
        <f>_xlfn.XLOOKUP(CustomerCombined[[#This Row],[ID]], Table4[ID], Table4[Recency], "Not Found", 0)</f>
        <v>7</v>
      </c>
      <c r="K869" s="5">
        <f>_xlfn.XLOOKUP(CustomerCombined[[#This Row],[ID]], Table4[ID], Table4[Teas], "Not Found", 0)</f>
        <v>1111</v>
      </c>
      <c r="L869" s="5">
        <f>_xlfn.XLOOKUP(CustomerCombined[[#This Row],[ID]], Table4[ID], Table4[Fruits], "Not Found", 0)</f>
        <v>72</v>
      </c>
      <c r="M869" s="5">
        <f>_xlfn.XLOOKUP(CustomerCombined[[#This Row],[ID]], Table4[ID], Table4[Meats], "Not Found", 0)</f>
        <v>845</v>
      </c>
      <c r="N869" s="5">
        <f>_xlfn.XLOOKUP(CustomerCombined[[#This Row],[ID]], Table4[ID], Table4[Seafood], "Not Found", 0)</f>
        <v>376</v>
      </c>
      <c r="O869" s="5">
        <f>_xlfn.XLOOKUP(CustomerCombined[[#This Row],[ID]], Table4[ID], Table4[Sweets], "Not Found", 0)</f>
        <v>119</v>
      </c>
      <c r="P869" s="5">
        <f>_xlfn.XLOOKUP(CustomerCombined[[#This Row],[ID]], Table4[ID], Table4[Premium], "Not Found", 0)</f>
        <v>185</v>
      </c>
      <c r="Q869" s="5">
        <f>_xlfn.XLOOKUP(CustomerCombined[[#This Row],[ID]], Table4[ID], Table4[Regular], "Not Found", 0)</f>
        <v>2337</v>
      </c>
      <c r="R869" s="5">
        <f>_xlfn.XLOOKUP(CustomerCombined[[#This Row],[ID]], Table4[ID], Table4[Deals], "Not Found", 0)</f>
        <v>3</v>
      </c>
      <c r="S869" s="5">
        <f>_xlfn.XLOOKUP(CustomerCombined[[#This Row],[ID]], Table4[ID], Table4[Website], "Not Found", 0)</f>
        <v>8</v>
      </c>
      <c r="T869" s="5">
        <f>_xlfn.XLOOKUP(CustomerCombined[[#This Row],[ID]], Table4[ID], Table4[Catalog], "Not Found", 0)</f>
        <v>8</v>
      </c>
      <c r="U869" s="5">
        <f>_xlfn.XLOOKUP(CustomerCombined[[#This Row],[ID]], Table4[ID], Table4[Store], "Not Found", 0)</f>
        <v>6</v>
      </c>
      <c r="V869" s="5">
        <f>_xlfn.XLOOKUP(CustomerCombined[[#This Row],[ID]], Table4[ID], Table4[Visits], "Not Found", 0)</f>
        <v>6</v>
      </c>
      <c r="W869" s="8">
        <f>_xlfn.XLOOKUP(CustomerCombined[[#This Row],[ID]], Table2[ID],Table2[Complaint], "Not Found", 0 )</f>
        <v>0</v>
      </c>
      <c r="X869" s="8">
        <f>_xlfn.XLOOKUP(CustomerCombined[[#This Row],[ID]], Table2[ID],Table2[Pilot], "Not Found", 0 )</f>
        <v>0</v>
      </c>
      <c r="Y869" s="8">
        <f>_xlfn.XLOOKUP(CustomerCombined[[#This Row],[ID]], Table2[ID],Table2[MC1], "Not Found", 0 )</f>
        <v>0</v>
      </c>
      <c r="Z869" s="8">
        <f>_xlfn.XLOOKUP(CustomerCombined[[#This Row],[ID]], Table2[ID],Table2[MC2], "Not Found", 0 )</f>
        <v>0</v>
      </c>
      <c r="AA869" s="8">
        <f>_xlfn.XLOOKUP(CustomerCombined[[#This Row],[ID]], Table2[ID],Table2[MC3], "Not Found", 0 )</f>
        <v>1</v>
      </c>
      <c r="AB869" s="8">
        <f>_xlfn.XLOOKUP(CustomerCombined[[#This Row],[ID]], Table2[ID],Table2[MC4], "Not Found", 0 )</f>
        <v>0</v>
      </c>
      <c r="AC869" s="8">
        <f>_xlfn.XLOOKUP(CustomerCombined[[#This Row],[ID]], Table2[ID],Table2[MC5], "Not Found", 0 )</f>
        <v>0</v>
      </c>
    </row>
    <row r="870" spans="1:29" x14ac:dyDescent="0.3">
      <c r="A870" s="6">
        <v>2103</v>
      </c>
      <c r="B870" s="6">
        <v>152034</v>
      </c>
      <c r="C870" s="6">
        <v>1</v>
      </c>
      <c r="D870" s="6">
        <v>1</v>
      </c>
      <c r="E870" s="6">
        <v>47</v>
      </c>
      <c r="F870" s="5" t="s">
        <v>5</v>
      </c>
      <c r="G870" s="5" t="s">
        <v>12</v>
      </c>
      <c r="H870" s="3" t="s">
        <v>254</v>
      </c>
      <c r="I870" s="5" t="s">
        <v>435</v>
      </c>
      <c r="J870" s="5">
        <f>_xlfn.XLOOKUP(CustomerCombined[[#This Row],[ID]], Table4[ID], Table4[Recency], "Not Found", 0)</f>
        <v>67</v>
      </c>
      <c r="K870" s="5">
        <f>_xlfn.XLOOKUP(CustomerCombined[[#This Row],[ID]], Table4[ID], Table4[Teas], "Not Found", 0)</f>
        <v>427</v>
      </c>
      <c r="L870" s="5">
        <f>_xlfn.XLOOKUP(CustomerCombined[[#This Row],[ID]], Table4[ID], Table4[Fruits], "Not Found", 0)</f>
        <v>0</v>
      </c>
      <c r="M870" s="5">
        <f>_xlfn.XLOOKUP(CustomerCombined[[#This Row],[ID]], Table4[ID], Table4[Meats], "Not Found", 0)</f>
        <v>272</v>
      </c>
      <c r="N870" s="5">
        <f>_xlfn.XLOOKUP(CustomerCombined[[#This Row],[ID]], Table4[ID], Table4[Seafood], "Not Found", 0)</f>
        <v>20</v>
      </c>
      <c r="O870" s="5">
        <f>_xlfn.XLOOKUP(CustomerCombined[[#This Row],[ID]], Table4[ID], Table4[Sweets], "Not Found", 0)</f>
        <v>38</v>
      </c>
      <c r="P870" s="5">
        <f>_xlfn.XLOOKUP(CustomerCombined[[#This Row],[ID]], Table4[ID], Table4[Premium], "Not Found", 0)</f>
        <v>213</v>
      </c>
      <c r="Q870" s="5">
        <f>_xlfn.XLOOKUP(CustomerCombined[[#This Row],[ID]], Table4[ID], Table4[Regular], "Not Found", 0)</f>
        <v>543</v>
      </c>
      <c r="R870" s="5">
        <f>_xlfn.XLOOKUP(CustomerCombined[[#This Row],[ID]], Table4[ID], Table4[Deals], "Not Found", 0)</f>
        <v>5</v>
      </c>
      <c r="S870" s="5">
        <f>_xlfn.XLOOKUP(CustomerCombined[[#This Row],[ID]], Table4[ID], Table4[Website], "Not Found", 0)</f>
        <v>4</v>
      </c>
      <c r="T870" s="5">
        <f>_xlfn.XLOOKUP(CustomerCombined[[#This Row],[ID]], Table4[ID], Table4[Catalog], "Not Found", 0)</f>
        <v>2</v>
      </c>
      <c r="U870" s="5">
        <f>_xlfn.XLOOKUP(CustomerCombined[[#This Row],[ID]], Table4[ID], Table4[Store], "Not Found", 0)</f>
        <v>5</v>
      </c>
      <c r="V870" s="5">
        <f>_xlfn.XLOOKUP(CustomerCombined[[#This Row],[ID]], Table4[ID], Table4[Visits], "Not Found", 0)</f>
        <v>7</v>
      </c>
      <c r="W870" s="8">
        <f>_xlfn.XLOOKUP(CustomerCombined[[#This Row],[ID]], Table2[ID],Table2[Complaint], "Not Found", 0 )</f>
        <v>0</v>
      </c>
      <c r="X870" s="8">
        <f>_xlfn.XLOOKUP(CustomerCombined[[#This Row],[ID]], Table2[ID],Table2[Pilot], "Not Found", 0 )</f>
        <v>0</v>
      </c>
      <c r="Y870" s="8">
        <f>_xlfn.XLOOKUP(CustomerCombined[[#This Row],[ID]], Table2[ID],Table2[MC1], "Not Found", 0 )</f>
        <v>0</v>
      </c>
      <c r="Z870" s="8">
        <f>_xlfn.XLOOKUP(CustomerCombined[[#This Row],[ID]], Table2[ID],Table2[MC2], "Not Found", 0 )</f>
        <v>0</v>
      </c>
      <c r="AA870" s="8">
        <f>_xlfn.XLOOKUP(CustomerCombined[[#This Row],[ID]], Table2[ID],Table2[MC3], "Not Found", 0 )</f>
        <v>0</v>
      </c>
      <c r="AB870" s="8">
        <f>_xlfn.XLOOKUP(CustomerCombined[[#This Row],[ID]], Table2[ID],Table2[MC4], "Not Found", 0 )</f>
        <v>0</v>
      </c>
      <c r="AC870" s="8">
        <f>_xlfn.XLOOKUP(CustomerCombined[[#This Row],[ID]], Table2[ID],Table2[MC5], "Not Found", 0 )</f>
        <v>0</v>
      </c>
    </row>
    <row r="871" spans="1:29" x14ac:dyDescent="0.3">
      <c r="A871" s="6">
        <v>1182</v>
      </c>
      <c r="B871" s="6">
        <v>151148</v>
      </c>
      <c r="C871" s="6">
        <v>1</v>
      </c>
      <c r="D871" s="6">
        <v>1</v>
      </c>
      <c r="E871" s="6">
        <v>47</v>
      </c>
      <c r="F871" s="5" t="s">
        <v>6</v>
      </c>
      <c r="G871" s="5" t="s">
        <v>11</v>
      </c>
      <c r="H871" s="3" t="s">
        <v>305</v>
      </c>
      <c r="I871" s="5" t="s">
        <v>436</v>
      </c>
      <c r="J871" s="5">
        <f>_xlfn.XLOOKUP(CustomerCombined[[#This Row],[ID]], Table4[ID], Table4[Recency], "Not Found", 0)</f>
        <v>38</v>
      </c>
      <c r="K871" s="5">
        <f>_xlfn.XLOOKUP(CustomerCombined[[#This Row],[ID]], Table4[ID], Table4[Teas], "Not Found", 0)</f>
        <v>694</v>
      </c>
      <c r="L871" s="5">
        <f>_xlfn.XLOOKUP(CustomerCombined[[#This Row],[ID]], Table4[ID], Table4[Fruits], "Not Found", 0)</f>
        <v>18</v>
      </c>
      <c r="M871" s="5">
        <f>_xlfn.XLOOKUP(CustomerCombined[[#This Row],[ID]], Table4[ID], Table4[Meats], "Not Found", 0)</f>
        <v>133</v>
      </c>
      <c r="N871" s="5">
        <f>_xlfn.XLOOKUP(CustomerCombined[[#This Row],[ID]], Table4[ID], Table4[Seafood], "Not Found", 0)</f>
        <v>24</v>
      </c>
      <c r="O871" s="5">
        <f>_xlfn.XLOOKUP(CustomerCombined[[#This Row],[ID]], Table4[ID], Table4[Sweets], "Not Found", 0)</f>
        <v>27</v>
      </c>
      <c r="P871" s="5">
        <f>_xlfn.XLOOKUP(CustomerCombined[[#This Row],[ID]], Table4[ID], Table4[Premium], "Not Found", 0)</f>
        <v>35</v>
      </c>
      <c r="Q871" s="5">
        <f>_xlfn.XLOOKUP(CustomerCombined[[#This Row],[ID]], Table4[ID], Table4[Regular], "Not Found", 0)</f>
        <v>860</v>
      </c>
      <c r="R871" s="5">
        <f>_xlfn.XLOOKUP(CustomerCombined[[#This Row],[ID]], Table4[ID], Table4[Deals], "Not Found", 0)</f>
        <v>4</v>
      </c>
      <c r="S871" s="5">
        <f>_xlfn.XLOOKUP(CustomerCombined[[#This Row],[ID]], Table4[ID], Table4[Website], "Not Found", 0)</f>
        <v>5</v>
      </c>
      <c r="T871" s="5">
        <f>_xlfn.XLOOKUP(CustomerCombined[[#This Row],[ID]], Table4[ID], Table4[Catalog], "Not Found", 0)</f>
        <v>1</v>
      </c>
      <c r="U871" s="5">
        <f>_xlfn.XLOOKUP(CustomerCombined[[#This Row],[ID]], Table4[ID], Table4[Store], "Not Found", 0)</f>
        <v>6</v>
      </c>
      <c r="V871" s="5">
        <f>_xlfn.XLOOKUP(CustomerCombined[[#This Row],[ID]], Table4[ID], Table4[Visits], "Not Found", 0)</f>
        <v>6</v>
      </c>
      <c r="W871" s="8">
        <f>_xlfn.XLOOKUP(CustomerCombined[[#This Row],[ID]], Table2[ID],Table2[Complaint], "Not Found", 0 )</f>
        <v>0</v>
      </c>
      <c r="X871" s="8">
        <f>_xlfn.XLOOKUP(CustomerCombined[[#This Row],[ID]], Table2[ID],Table2[Pilot], "Not Found", 0 )</f>
        <v>0</v>
      </c>
      <c r="Y871" s="8">
        <f>_xlfn.XLOOKUP(CustomerCombined[[#This Row],[ID]], Table2[ID],Table2[MC1], "Not Found", 0 )</f>
        <v>0</v>
      </c>
      <c r="Z871" s="8">
        <f>_xlfn.XLOOKUP(CustomerCombined[[#This Row],[ID]], Table2[ID],Table2[MC2], "Not Found", 0 )</f>
        <v>0</v>
      </c>
      <c r="AA871" s="8">
        <f>_xlfn.XLOOKUP(CustomerCombined[[#This Row],[ID]], Table2[ID],Table2[MC3], "Not Found", 0 )</f>
        <v>0</v>
      </c>
      <c r="AB871" s="8">
        <f>_xlfn.XLOOKUP(CustomerCombined[[#This Row],[ID]], Table2[ID],Table2[MC4], "Not Found", 0 )</f>
        <v>0</v>
      </c>
      <c r="AC871" s="8">
        <f>_xlfn.XLOOKUP(CustomerCombined[[#This Row],[ID]], Table2[ID],Table2[MC5], "Not Found", 0 )</f>
        <v>0</v>
      </c>
    </row>
    <row r="872" spans="1:29" x14ac:dyDescent="0.3">
      <c r="A872" s="6">
        <v>2761</v>
      </c>
      <c r="B872" s="6">
        <v>149094</v>
      </c>
      <c r="C872" s="6">
        <v>0</v>
      </c>
      <c r="D872" s="6">
        <v>1</v>
      </c>
      <c r="E872" s="6">
        <v>47</v>
      </c>
      <c r="F872" s="5" t="s">
        <v>6</v>
      </c>
      <c r="G872" s="5" t="s">
        <v>11</v>
      </c>
      <c r="H872" s="3" t="s">
        <v>390</v>
      </c>
      <c r="I872" s="5" t="s">
        <v>437</v>
      </c>
      <c r="J872" s="5">
        <f>_xlfn.XLOOKUP(CustomerCombined[[#This Row],[ID]], Table4[ID], Table4[Recency], "Not Found", 0)</f>
        <v>6</v>
      </c>
      <c r="K872" s="5">
        <f>_xlfn.XLOOKUP(CustomerCombined[[#This Row],[ID]], Table4[ID], Table4[Teas], "Not Found", 0)</f>
        <v>1142</v>
      </c>
      <c r="L872" s="5">
        <f>_xlfn.XLOOKUP(CustomerCombined[[#This Row],[ID]], Table4[ID], Table4[Fruits], "Not Found", 0)</f>
        <v>0</v>
      </c>
      <c r="M872" s="5">
        <f>_xlfn.XLOOKUP(CustomerCombined[[#This Row],[ID]], Table4[ID], Table4[Meats], "Not Found", 0)</f>
        <v>115</v>
      </c>
      <c r="N872" s="5">
        <f>_xlfn.XLOOKUP(CustomerCombined[[#This Row],[ID]], Table4[ID], Table4[Seafood], "Not Found", 0)</f>
        <v>33</v>
      </c>
      <c r="O872" s="5">
        <f>_xlfn.XLOOKUP(CustomerCombined[[#This Row],[ID]], Table4[ID], Table4[Sweets], "Not Found", 0)</f>
        <v>24</v>
      </c>
      <c r="P872" s="5">
        <f>_xlfn.XLOOKUP(CustomerCombined[[#This Row],[ID]], Table4[ID], Table4[Premium], "Not Found", 0)</f>
        <v>210</v>
      </c>
      <c r="Q872" s="5">
        <f>_xlfn.XLOOKUP(CustomerCombined[[#This Row],[ID]], Table4[ID], Table4[Regular], "Not Found", 0)</f>
        <v>1105</v>
      </c>
      <c r="R872" s="5">
        <f>_xlfn.XLOOKUP(CustomerCombined[[#This Row],[ID]], Table4[ID], Table4[Deals], "Not Found", 0)</f>
        <v>5</v>
      </c>
      <c r="S872" s="5">
        <f>_xlfn.XLOOKUP(CustomerCombined[[#This Row],[ID]], Table4[ID], Table4[Website], "Not Found", 0)</f>
        <v>6</v>
      </c>
      <c r="T872" s="5">
        <f>_xlfn.XLOOKUP(CustomerCombined[[#This Row],[ID]], Table4[ID], Table4[Catalog], "Not Found", 0)</f>
        <v>3</v>
      </c>
      <c r="U872" s="5">
        <f>_xlfn.XLOOKUP(CustomerCombined[[#This Row],[ID]], Table4[ID], Table4[Store], "Not Found", 0)</f>
        <v>6</v>
      </c>
      <c r="V872" s="5">
        <f>_xlfn.XLOOKUP(CustomerCombined[[#This Row],[ID]], Table4[ID], Table4[Visits], "Not Found", 0)</f>
        <v>6</v>
      </c>
      <c r="W872" s="8">
        <f>_xlfn.XLOOKUP(CustomerCombined[[#This Row],[ID]], Table2[ID],Table2[Complaint], "Not Found", 0 )</f>
        <v>0</v>
      </c>
      <c r="X872" s="8">
        <f>_xlfn.XLOOKUP(CustomerCombined[[#This Row],[ID]], Table2[ID],Table2[Pilot], "Not Found", 0 )</f>
        <v>0</v>
      </c>
      <c r="Y872" s="8">
        <f>_xlfn.XLOOKUP(CustomerCombined[[#This Row],[ID]], Table2[ID],Table2[MC1], "Not Found", 0 )</f>
        <v>0</v>
      </c>
      <c r="Z872" s="8">
        <f>_xlfn.XLOOKUP(CustomerCombined[[#This Row],[ID]], Table2[ID],Table2[MC2], "Not Found", 0 )</f>
        <v>0</v>
      </c>
      <c r="AA872" s="8">
        <f>_xlfn.XLOOKUP(CustomerCombined[[#This Row],[ID]], Table2[ID],Table2[MC3], "Not Found", 0 )</f>
        <v>0</v>
      </c>
      <c r="AB872" s="8">
        <f>_xlfn.XLOOKUP(CustomerCombined[[#This Row],[ID]], Table2[ID],Table2[MC4], "Not Found", 0 )</f>
        <v>0</v>
      </c>
      <c r="AC872" s="8">
        <f>_xlfn.XLOOKUP(CustomerCombined[[#This Row],[ID]], Table2[ID],Table2[MC5], "Not Found", 0 )</f>
        <v>0</v>
      </c>
    </row>
    <row r="873" spans="1:29" x14ac:dyDescent="0.3">
      <c r="A873" s="6">
        <v>2571</v>
      </c>
      <c r="B873" s="6">
        <v>148432</v>
      </c>
      <c r="C873" s="6">
        <v>0</v>
      </c>
      <c r="D873" s="6">
        <v>1</v>
      </c>
      <c r="E873" s="6">
        <v>47</v>
      </c>
      <c r="F873" s="5" t="s">
        <v>7</v>
      </c>
      <c r="G873" s="5" t="s">
        <v>13</v>
      </c>
      <c r="H873" s="3" t="s">
        <v>376</v>
      </c>
      <c r="I873" s="5" t="s">
        <v>435</v>
      </c>
      <c r="J873" s="5">
        <f>_xlfn.XLOOKUP(CustomerCombined[[#This Row],[ID]], Table4[ID], Table4[Recency], "Not Found", 0)</f>
        <v>3</v>
      </c>
      <c r="K873" s="5">
        <f>_xlfn.XLOOKUP(CustomerCombined[[#This Row],[ID]], Table4[ID], Table4[Teas], "Not Found", 0)</f>
        <v>987</v>
      </c>
      <c r="L873" s="5">
        <f>_xlfn.XLOOKUP(CustomerCombined[[#This Row],[ID]], Table4[ID], Table4[Fruits], "Not Found", 0)</f>
        <v>9</v>
      </c>
      <c r="M873" s="5">
        <f>_xlfn.XLOOKUP(CustomerCombined[[#This Row],[ID]], Table4[ID], Table4[Meats], "Not Found", 0)</f>
        <v>153</v>
      </c>
      <c r="N873" s="5">
        <f>_xlfn.XLOOKUP(CustomerCombined[[#This Row],[ID]], Table4[ID], Table4[Seafood], "Not Found", 0)</f>
        <v>12</v>
      </c>
      <c r="O873" s="5">
        <f>_xlfn.XLOOKUP(CustomerCombined[[#This Row],[ID]], Table4[ID], Table4[Sweets], "Not Found", 0)</f>
        <v>9</v>
      </c>
      <c r="P873" s="5">
        <f>_xlfn.XLOOKUP(CustomerCombined[[#This Row],[ID]], Table4[ID], Table4[Premium], "Not Found", 0)</f>
        <v>129</v>
      </c>
      <c r="Q873" s="5">
        <f>_xlfn.XLOOKUP(CustomerCombined[[#This Row],[ID]], Table4[ID], Table4[Regular], "Not Found", 0)</f>
        <v>1042</v>
      </c>
      <c r="R873" s="5">
        <f>_xlfn.XLOOKUP(CustomerCombined[[#This Row],[ID]], Table4[ID], Table4[Deals], "Not Found", 0)</f>
        <v>5</v>
      </c>
      <c r="S873" s="5">
        <f>_xlfn.XLOOKUP(CustomerCombined[[#This Row],[ID]], Table4[ID], Table4[Website], "Not Found", 0)</f>
        <v>7</v>
      </c>
      <c r="T873" s="5">
        <f>_xlfn.XLOOKUP(CustomerCombined[[#This Row],[ID]], Table4[ID], Table4[Catalog], "Not Found", 0)</f>
        <v>1</v>
      </c>
      <c r="U873" s="5">
        <f>_xlfn.XLOOKUP(CustomerCombined[[#This Row],[ID]], Table4[ID], Table4[Store], "Not Found", 0)</f>
        <v>6</v>
      </c>
      <c r="V873" s="5">
        <f>_xlfn.XLOOKUP(CustomerCombined[[#This Row],[ID]], Table4[ID], Table4[Visits], "Not Found", 0)</f>
        <v>8</v>
      </c>
      <c r="W873" s="8">
        <f>_xlfn.XLOOKUP(CustomerCombined[[#This Row],[ID]], Table2[ID],Table2[Complaint], "Not Found", 0 )</f>
        <v>0</v>
      </c>
      <c r="X873" s="8">
        <f>_xlfn.XLOOKUP(CustomerCombined[[#This Row],[ID]], Table2[ID],Table2[Pilot], "Not Found", 0 )</f>
        <v>1</v>
      </c>
      <c r="Y873" s="8">
        <f>_xlfn.XLOOKUP(CustomerCombined[[#This Row],[ID]], Table2[ID],Table2[MC1], "Not Found", 0 )</f>
        <v>0</v>
      </c>
      <c r="Z873" s="8">
        <f>_xlfn.XLOOKUP(CustomerCombined[[#This Row],[ID]], Table2[ID],Table2[MC2], "Not Found", 0 )</f>
        <v>0</v>
      </c>
      <c r="AA873" s="8">
        <f>_xlfn.XLOOKUP(CustomerCombined[[#This Row],[ID]], Table2[ID],Table2[MC3], "Not Found", 0 )</f>
        <v>0</v>
      </c>
      <c r="AB873" s="8">
        <f>_xlfn.XLOOKUP(CustomerCombined[[#This Row],[ID]], Table2[ID],Table2[MC4], "Not Found", 0 )</f>
        <v>0</v>
      </c>
      <c r="AC873" s="8">
        <f>_xlfn.XLOOKUP(CustomerCombined[[#This Row],[ID]], Table2[ID],Table2[MC5], "Not Found", 0 )</f>
        <v>0</v>
      </c>
    </row>
    <row r="874" spans="1:29" x14ac:dyDescent="0.3">
      <c r="A874" s="6">
        <v>3145</v>
      </c>
      <c r="B874" s="6">
        <v>148432</v>
      </c>
      <c r="C874" s="6">
        <v>0</v>
      </c>
      <c r="D874" s="6">
        <v>1</v>
      </c>
      <c r="E874" s="6">
        <v>47</v>
      </c>
      <c r="F874" s="5" t="s">
        <v>7</v>
      </c>
      <c r="G874" s="5" t="s">
        <v>13</v>
      </c>
      <c r="H874" s="3" t="s">
        <v>376</v>
      </c>
      <c r="I874" s="5" t="s">
        <v>437</v>
      </c>
      <c r="J874" s="5">
        <f>_xlfn.XLOOKUP(CustomerCombined[[#This Row],[ID]], Table4[ID], Table4[Recency], "Not Found", 0)</f>
        <v>3</v>
      </c>
      <c r="K874" s="5">
        <f>_xlfn.XLOOKUP(CustomerCombined[[#This Row],[ID]], Table4[ID], Table4[Teas], "Not Found", 0)</f>
        <v>987</v>
      </c>
      <c r="L874" s="5">
        <f>_xlfn.XLOOKUP(CustomerCombined[[#This Row],[ID]], Table4[ID], Table4[Fruits], "Not Found", 0)</f>
        <v>9</v>
      </c>
      <c r="M874" s="5">
        <f>_xlfn.XLOOKUP(CustomerCombined[[#This Row],[ID]], Table4[ID], Table4[Meats], "Not Found", 0)</f>
        <v>153</v>
      </c>
      <c r="N874" s="5">
        <f>_xlfn.XLOOKUP(CustomerCombined[[#This Row],[ID]], Table4[ID], Table4[Seafood], "Not Found", 0)</f>
        <v>12</v>
      </c>
      <c r="O874" s="5">
        <f>_xlfn.XLOOKUP(CustomerCombined[[#This Row],[ID]], Table4[ID], Table4[Sweets], "Not Found", 0)</f>
        <v>9</v>
      </c>
      <c r="P874" s="5">
        <f>_xlfn.XLOOKUP(CustomerCombined[[#This Row],[ID]], Table4[ID], Table4[Premium], "Not Found", 0)</f>
        <v>129</v>
      </c>
      <c r="Q874" s="5">
        <f>_xlfn.XLOOKUP(CustomerCombined[[#This Row],[ID]], Table4[ID], Table4[Regular], "Not Found", 0)</f>
        <v>1042</v>
      </c>
      <c r="R874" s="5">
        <f>_xlfn.XLOOKUP(CustomerCombined[[#This Row],[ID]], Table4[ID], Table4[Deals], "Not Found", 0)</f>
        <v>5</v>
      </c>
      <c r="S874" s="5">
        <f>_xlfn.XLOOKUP(CustomerCombined[[#This Row],[ID]], Table4[ID], Table4[Website], "Not Found", 0)</f>
        <v>7</v>
      </c>
      <c r="T874" s="5">
        <f>_xlfn.XLOOKUP(CustomerCombined[[#This Row],[ID]], Table4[ID], Table4[Catalog], "Not Found", 0)</f>
        <v>1</v>
      </c>
      <c r="U874" s="5">
        <f>_xlfn.XLOOKUP(CustomerCombined[[#This Row],[ID]], Table4[ID], Table4[Store], "Not Found", 0)</f>
        <v>6</v>
      </c>
      <c r="V874" s="5">
        <f>_xlfn.XLOOKUP(CustomerCombined[[#This Row],[ID]], Table4[ID], Table4[Visits], "Not Found", 0)</f>
        <v>8</v>
      </c>
      <c r="W874" s="8">
        <f>_xlfn.XLOOKUP(CustomerCombined[[#This Row],[ID]], Table2[ID],Table2[Complaint], "Not Found", 0 )</f>
        <v>0</v>
      </c>
      <c r="X874" s="8">
        <f>_xlfn.XLOOKUP(CustomerCombined[[#This Row],[ID]], Table2[ID],Table2[Pilot], "Not Found", 0 )</f>
        <v>0</v>
      </c>
      <c r="Y874" s="8">
        <f>_xlfn.XLOOKUP(CustomerCombined[[#This Row],[ID]], Table2[ID],Table2[MC1], "Not Found", 0 )</f>
        <v>0</v>
      </c>
      <c r="Z874" s="8">
        <f>_xlfn.XLOOKUP(CustomerCombined[[#This Row],[ID]], Table2[ID],Table2[MC2], "Not Found", 0 )</f>
        <v>0</v>
      </c>
      <c r="AA874" s="8">
        <f>_xlfn.XLOOKUP(CustomerCombined[[#This Row],[ID]], Table2[ID],Table2[MC3], "Not Found", 0 )</f>
        <v>0</v>
      </c>
      <c r="AB874" s="8">
        <f>_xlfn.XLOOKUP(CustomerCombined[[#This Row],[ID]], Table2[ID],Table2[MC4], "Not Found", 0 )</f>
        <v>0</v>
      </c>
      <c r="AC874" s="8">
        <f>_xlfn.XLOOKUP(CustomerCombined[[#This Row],[ID]], Table2[ID],Table2[MC5], "Not Found", 0 )</f>
        <v>0</v>
      </c>
    </row>
    <row r="875" spans="1:29" x14ac:dyDescent="0.3">
      <c r="A875" s="6">
        <v>3170</v>
      </c>
      <c r="B875" s="6">
        <v>148432</v>
      </c>
      <c r="C875" s="6">
        <v>0</v>
      </c>
      <c r="D875" s="6">
        <v>1</v>
      </c>
      <c r="E875" s="6">
        <v>47</v>
      </c>
      <c r="F875" s="5" t="s">
        <v>7</v>
      </c>
      <c r="G875" s="5" t="s">
        <v>13</v>
      </c>
      <c r="H875" s="3" t="s">
        <v>376</v>
      </c>
      <c r="I875" s="5" t="s">
        <v>438</v>
      </c>
      <c r="J875" s="5">
        <f>_xlfn.XLOOKUP(CustomerCombined[[#This Row],[ID]], Table4[ID], Table4[Recency], "Not Found", 0)</f>
        <v>3</v>
      </c>
      <c r="K875" s="5">
        <f>_xlfn.XLOOKUP(CustomerCombined[[#This Row],[ID]], Table4[ID], Table4[Teas], "Not Found", 0)</f>
        <v>987</v>
      </c>
      <c r="L875" s="5">
        <f>_xlfn.XLOOKUP(CustomerCombined[[#This Row],[ID]], Table4[ID], Table4[Fruits], "Not Found", 0)</f>
        <v>9</v>
      </c>
      <c r="M875" s="5">
        <f>_xlfn.XLOOKUP(CustomerCombined[[#This Row],[ID]], Table4[ID], Table4[Meats], "Not Found", 0)</f>
        <v>153</v>
      </c>
      <c r="N875" s="5">
        <f>_xlfn.XLOOKUP(CustomerCombined[[#This Row],[ID]], Table4[ID], Table4[Seafood], "Not Found", 0)</f>
        <v>12</v>
      </c>
      <c r="O875" s="5">
        <f>_xlfn.XLOOKUP(CustomerCombined[[#This Row],[ID]], Table4[ID], Table4[Sweets], "Not Found", 0)</f>
        <v>9</v>
      </c>
      <c r="P875" s="5">
        <f>_xlfn.XLOOKUP(CustomerCombined[[#This Row],[ID]], Table4[ID], Table4[Premium], "Not Found", 0)</f>
        <v>129</v>
      </c>
      <c r="Q875" s="5">
        <f>_xlfn.XLOOKUP(CustomerCombined[[#This Row],[ID]], Table4[ID], Table4[Regular], "Not Found", 0)</f>
        <v>1042</v>
      </c>
      <c r="R875" s="5">
        <f>_xlfn.XLOOKUP(CustomerCombined[[#This Row],[ID]], Table4[ID], Table4[Deals], "Not Found", 0)</f>
        <v>5</v>
      </c>
      <c r="S875" s="5">
        <f>_xlfn.XLOOKUP(CustomerCombined[[#This Row],[ID]], Table4[ID], Table4[Website], "Not Found", 0)</f>
        <v>7</v>
      </c>
      <c r="T875" s="5">
        <f>_xlfn.XLOOKUP(CustomerCombined[[#This Row],[ID]], Table4[ID], Table4[Catalog], "Not Found", 0)</f>
        <v>1</v>
      </c>
      <c r="U875" s="5">
        <f>_xlfn.XLOOKUP(CustomerCombined[[#This Row],[ID]], Table4[ID], Table4[Store], "Not Found", 0)</f>
        <v>6</v>
      </c>
      <c r="V875" s="5">
        <f>_xlfn.XLOOKUP(CustomerCombined[[#This Row],[ID]], Table4[ID], Table4[Visits], "Not Found", 0)</f>
        <v>8</v>
      </c>
      <c r="W875" s="8">
        <f>_xlfn.XLOOKUP(CustomerCombined[[#This Row],[ID]], Table2[ID],Table2[Complaint], "Not Found", 0 )</f>
        <v>0</v>
      </c>
      <c r="X875" s="8">
        <f>_xlfn.XLOOKUP(CustomerCombined[[#This Row],[ID]], Table2[ID],Table2[Pilot], "Not Found", 0 )</f>
        <v>1</v>
      </c>
      <c r="Y875" s="8">
        <f>_xlfn.XLOOKUP(CustomerCombined[[#This Row],[ID]], Table2[ID],Table2[MC1], "Not Found", 0 )</f>
        <v>0</v>
      </c>
      <c r="Z875" s="8">
        <f>_xlfn.XLOOKUP(CustomerCombined[[#This Row],[ID]], Table2[ID],Table2[MC2], "Not Found", 0 )</f>
        <v>0</v>
      </c>
      <c r="AA875" s="8">
        <f>_xlfn.XLOOKUP(CustomerCombined[[#This Row],[ID]], Table2[ID],Table2[MC3], "Not Found", 0 )</f>
        <v>0</v>
      </c>
      <c r="AB875" s="8">
        <f>_xlfn.XLOOKUP(CustomerCombined[[#This Row],[ID]], Table2[ID],Table2[MC4], "Not Found", 0 )</f>
        <v>0</v>
      </c>
      <c r="AC875" s="8">
        <f>_xlfn.XLOOKUP(CustomerCombined[[#This Row],[ID]], Table2[ID],Table2[MC5], "Not Found", 0 )</f>
        <v>0</v>
      </c>
    </row>
    <row r="876" spans="1:29" x14ac:dyDescent="0.3">
      <c r="A876" s="6">
        <v>1187</v>
      </c>
      <c r="B876" s="6">
        <v>146854</v>
      </c>
      <c r="C876" s="6">
        <v>1</v>
      </c>
      <c r="D876" s="6">
        <v>1</v>
      </c>
      <c r="E876" s="6">
        <v>47</v>
      </c>
      <c r="F876" s="5" t="s">
        <v>7</v>
      </c>
      <c r="G876" s="5" t="s">
        <v>13</v>
      </c>
      <c r="H876" s="3">
        <v>43930</v>
      </c>
      <c r="I876" s="5" t="s">
        <v>434</v>
      </c>
      <c r="J876" s="5">
        <f>_xlfn.XLOOKUP(CustomerCombined[[#This Row],[ID]], Table4[ID], Table4[Recency], "Not Found", 0)</f>
        <v>81</v>
      </c>
      <c r="K876" s="5">
        <f>_xlfn.XLOOKUP(CustomerCombined[[#This Row],[ID]], Table4[ID], Table4[Teas], "Not Found", 0)</f>
        <v>301</v>
      </c>
      <c r="L876" s="5">
        <f>_xlfn.XLOOKUP(CustomerCombined[[#This Row],[ID]], Table4[ID], Table4[Fruits], "Not Found", 0)</f>
        <v>3</v>
      </c>
      <c r="M876" s="5">
        <f>_xlfn.XLOOKUP(CustomerCombined[[#This Row],[ID]], Table4[ID], Table4[Meats], "Not Found", 0)</f>
        <v>248</v>
      </c>
      <c r="N876" s="5">
        <f>_xlfn.XLOOKUP(CustomerCombined[[#This Row],[ID]], Table4[ID], Table4[Seafood], "Not Found", 0)</f>
        <v>22</v>
      </c>
      <c r="O876" s="5">
        <f>_xlfn.XLOOKUP(CustomerCombined[[#This Row],[ID]], Table4[ID], Table4[Sweets], "Not Found", 0)</f>
        <v>3</v>
      </c>
      <c r="P876" s="5">
        <f>_xlfn.XLOOKUP(CustomerCombined[[#This Row],[ID]], Table4[ID], Table4[Premium], "Not Found", 0)</f>
        <v>248</v>
      </c>
      <c r="Q876" s="5">
        <f>_xlfn.XLOOKUP(CustomerCombined[[#This Row],[ID]], Table4[ID], Table4[Regular], "Not Found", 0)</f>
        <v>329</v>
      </c>
      <c r="R876" s="5">
        <f>_xlfn.XLOOKUP(CustomerCombined[[#This Row],[ID]], Table4[ID], Table4[Deals], "Not Found", 0)</f>
        <v>6</v>
      </c>
      <c r="S876" s="5">
        <f>_xlfn.XLOOKUP(CustomerCombined[[#This Row],[ID]], Table4[ID], Table4[Website], "Not Found", 0)</f>
        <v>5</v>
      </c>
      <c r="T876" s="5">
        <f>_xlfn.XLOOKUP(CustomerCombined[[#This Row],[ID]], Table4[ID], Table4[Catalog], "Not Found", 0)</f>
        <v>1</v>
      </c>
      <c r="U876" s="5">
        <f>_xlfn.XLOOKUP(CustomerCombined[[#This Row],[ID]], Table4[ID], Table4[Store], "Not Found", 0)</f>
        <v>3</v>
      </c>
      <c r="V876" s="5">
        <f>_xlfn.XLOOKUP(CustomerCombined[[#This Row],[ID]], Table4[ID], Table4[Visits], "Not Found", 0)</f>
        <v>8</v>
      </c>
      <c r="W876" s="8">
        <f>_xlfn.XLOOKUP(CustomerCombined[[#This Row],[ID]], Table2[ID],Table2[Complaint], "Not Found", 0 )</f>
        <v>0</v>
      </c>
      <c r="X876" s="8">
        <f>_xlfn.XLOOKUP(CustomerCombined[[#This Row],[ID]], Table2[ID],Table2[Pilot], "Not Found", 0 )</f>
        <v>1</v>
      </c>
      <c r="Y876" s="8">
        <f>_xlfn.XLOOKUP(CustomerCombined[[#This Row],[ID]], Table2[ID],Table2[MC1], "Not Found", 0 )</f>
        <v>0</v>
      </c>
      <c r="Z876" s="8">
        <f>_xlfn.XLOOKUP(CustomerCombined[[#This Row],[ID]], Table2[ID],Table2[MC2], "Not Found", 0 )</f>
        <v>0</v>
      </c>
      <c r="AA876" s="8">
        <f>_xlfn.XLOOKUP(CustomerCombined[[#This Row],[ID]], Table2[ID],Table2[MC3], "Not Found", 0 )</f>
        <v>1</v>
      </c>
      <c r="AB876" s="8">
        <f>_xlfn.XLOOKUP(CustomerCombined[[#This Row],[ID]], Table2[ID],Table2[MC4], "Not Found", 0 )</f>
        <v>0</v>
      </c>
      <c r="AC876" s="8">
        <f>_xlfn.XLOOKUP(CustomerCombined[[#This Row],[ID]], Table2[ID],Table2[MC5], "Not Found", 0 )</f>
        <v>0</v>
      </c>
    </row>
    <row r="877" spans="1:29" x14ac:dyDescent="0.3">
      <c r="A877" s="6">
        <v>2297</v>
      </c>
      <c r="B877" s="6">
        <v>146094</v>
      </c>
      <c r="C877" s="6">
        <v>1</v>
      </c>
      <c r="D877" s="6">
        <v>1</v>
      </c>
      <c r="E877" s="6">
        <v>47</v>
      </c>
      <c r="F877" s="5" t="s">
        <v>6</v>
      </c>
      <c r="G877" s="5" t="s">
        <v>442</v>
      </c>
      <c r="H877" s="3" t="s">
        <v>39</v>
      </c>
      <c r="I877" s="5" t="s">
        <v>434</v>
      </c>
      <c r="J877" s="5">
        <f>_xlfn.XLOOKUP(CustomerCombined[[#This Row],[ID]], Table4[ID], Table4[Recency], "Not Found", 0)</f>
        <v>62</v>
      </c>
      <c r="K877" s="5">
        <f>_xlfn.XLOOKUP(CustomerCombined[[#This Row],[ID]], Table4[ID], Table4[Teas], "Not Found", 0)</f>
        <v>38</v>
      </c>
      <c r="L877" s="5">
        <f>_xlfn.XLOOKUP(CustomerCombined[[#This Row],[ID]], Table4[ID], Table4[Fruits], "Not Found", 0)</f>
        <v>6</v>
      </c>
      <c r="M877" s="5">
        <f>_xlfn.XLOOKUP(CustomerCombined[[#This Row],[ID]], Table4[ID], Table4[Meats], "Not Found", 0)</f>
        <v>63</v>
      </c>
      <c r="N877" s="5">
        <f>_xlfn.XLOOKUP(CustomerCombined[[#This Row],[ID]], Table4[ID], Table4[Seafood], "Not Found", 0)</f>
        <v>10</v>
      </c>
      <c r="O877" s="5">
        <f>_xlfn.XLOOKUP(CustomerCombined[[#This Row],[ID]], Table4[ID], Table4[Sweets], "Not Found", 0)</f>
        <v>6</v>
      </c>
      <c r="P877" s="5">
        <f>_xlfn.XLOOKUP(CustomerCombined[[#This Row],[ID]], Table4[ID], Table4[Premium], "Not Found", 0)</f>
        <v>16</v>
      </c>
      <c r="Q877" s="5">
        <f>_xlfn.XLOOKUP(CustomerCombined[[#This Row],[ID]], Table4[ID], Table4[Regular], "Not Found", 0)</f>
        <v>108</v>
      </c>
      <c r="R877" s="5">
        <f>_xlfn.XLOOKUP(CustomerCombined[[#This Row],[ID]], Table4[ID], Table4[Deals], "Not Found", 0)</f>
        <v>1</v>
      </c>
      <c r="S877" s="5">
        <f>_xlfn.XLOOKUP(CustomerCombined[[#This Row],[ID]], Table4[ID], Table4[Website], "Not Found", 0)</f>
        <v>1</v>
      </c>
      <c r="T877" s="5">
        <f>_xlfn.XLOOKUP(CustomerCombined[[#This Row],[ID]], Table4[ID], Table4[Catalog], "Not Found", 0)</f>
        <v>0</v>
      </c>
      <c r="U877" s="5">
        <f>_xlfn.XLOOKUP(CustomerCombined[[#This Row],[ID]], Table4[ID], Table4[Store], "Not Found", 0)</f>
        <v>3</v>
      </c>
      <c r="V877" s="5">
        <f>_xlfn.XLOOKUP(CustomerCombined[[#This Row],[ID]], Table4[ID], Table4[Visits], "Not Found", 0)</f>
        <v>7</v>
      </c>
      <c r="W877" s="8">
        <f>_xlfn.XLOOKUP(CustomerCombined[[#This Row],[ID]], Table2[ID],Table2[Complaint], "Not Found", 0 )</f>
        <v>0</v>
      </c>
      <c r="X877" s="8">
        <f>_xlfn.XLOOKUP(CustomerCombined[[#This Row],[ID]], Table2[ID],Table2[Pilot], "Not Found", 0 )</f>
        <v>0</v>
      </c>
      <c r="Y877" s="8">
        <f>_xlfn.XLOOKUP(CustomerCombined[[#This Row],[ID]], Table2[ID],Table2[MC1], "Not Found", 0 )</f>
        <v>0</v>
      </c>
      <c r="Z877" s="8">
        <f>_xlfn.XLOOKUP(CustomerCombined[[#This Row],[ID]], Table2[ID],Table2[MC2], "Not Found", 0 )</f>
        <v>0</v>
      </c>
      <c r="AA877" s="8">
        <f>_xlfn.XLOOKUP(CustomerCombined[[#This Row],[ID]], Table2[ID],Table2[MC3], "Not Found", 0 )</f>
        <v>0</v>
      </c>
      <c r="AB877" s="8">
        <f>_xlfn.XLOOKUP(CustomerCombined[[#This Row],[ID]], Table2[ID],Table2[MC4], "Not Found", 0 )</f>
        <v>0</v>
      </c>
      <c r="AC877" s="8">
        <f>_xlfn.XLOOKUP(CustomerCombined[[#This Row],[ID]], Table2[ID],Table2[MC5], "Not Found", 0 )</f>
        <v>0</v>
      </c>
    </row>
    <row r="878" spans="1:29" x14ac:dyDescent="0.3">
      <c r="A878" s="6">
        <v>1933</v>
      </c>
      <c r="B878" s="6">
        <v>144051</v>
      </c>
      <c r="C878" s="6">
        <v>1</v>
      </c>
      <c r="D878" s="6">
        <v>1</v>
      </c>
      <c r="E878" s="6">
        <v>47</v>
      </c>
      <c r="F878" s="5" t="s">
        <v>5</v>
      </c>
      <c r="G878" s="5" t="s">
        <v>12</v>
      </c>
      <c r="H878" s="3">
        <v>43623</v>
      </c>
      <c r="I878" s="5" t="s">
        <v>437</v>
      </c>
      <c r="J878" s="5">
        <f>_xlfn.XLOOKUP(CustomerCombined[[#This Row],[ID]], Table4[ID], Table4[Recency], "Not Found", 0)</f>
        <v>20</v>
      </c>
      <c r="K878" s="5">
        <f>_xlfn.XLOOKUP(CustomerCombined[[#This Row],[ID]], Table4[ID], Table4[Teas], "Not Found", 0)</f>
        <v>258</v>
      </c>
      <c r="L878" s="5">
        <f>_xlfn.XLOOKUP(CustomerCombined[[#This Row],[ID]], Table4[ID], Table4[Fruits], "Not Found", 0)</f>
        <v>23</v>
      </c>
      <c r="M878" s="5">
        <f>_xlfn.XLOOKUP(CustomerCombined[[#This Row],[ID]], Table4[ID], Table4[Meats], "Not Found", 0)</f>
        <v>190</v>
      </c>
      <c r="N878" s="5">
        <f>_xlfn.XLOOKUP(CustomerCombined[[#This Row],[ID]], Table4[ID], Table4[Seafood], "Not Found", 0)</f>
        <v>20</v>
      </c>
      <c r="O878" s="5">
        <f>_xlfn.XLOOKUP(CustomerCombined[[#This Row],[ID]], Table4[ID], Table4[Sweets], "Not Found", 0)</f>
        <v>10</v>
      </c>
      <c r="P878" s="5">
        <f>_xlfn.XLOOKUP(CustomerCombined[[#This Row],[ID]], Table4[ID], Table4[Premium], "Not Found", 0)</f>
        <v>59</v>
      </c>
      <c r="Q878" s="5">
        <f>_xlfn.XLOOKUP(CustomerCombined[[#This Row],[ID]], Table4[ID], Table4[Regular], "Not Found", 0)</f>
        <v>441</v>
      </c>
      <c r="R878" s="5">
        <f>_xlfn.XLOOKUP(CustomerCombined[[#This Row],[ID]], Table4[ID], Table4[Deals], "Not Found", 0)</f>
        <v>4</v>
      </c>
      <c r="S878" s="5">
        <f>_xlfn.XLOOKUP(CustomerCombined[[#This Row],[ID]], Table4[ID], Table4[Website], "Not Found", 0)</f>
        <v>3</v>
      </c>
      <c r="T878" s="5">
        <f>_xlfn.XLOOKUP(CustomerCombined[[#This Row],[ID]], Table4[ID], Table4[Catalog], "Not Found", 0)</f>
        <v>1</v>
      </c>
      <c r="U878" s="5">
        <f>_xlfn.XLOOKUP(CustomerCombined[[#This Row],[ID]], Table4[ID], Table4[Store], "Not Found", 0)</f>
        <v>4</v>
      </c>
      <c r="V878" s="5">
        <f>_xlfn.XLOOKUP(CustomerCombined[[#This Row],[ID]], Table4[ID], Table4[Visits], "Not Found", 0)</f>
        <v>6</v>
      </c>
      <c r="W878" s="8">
        <f>_xlfn.XLOOKUP(CustomerCombined[[#This Row],[ID]], Table2[ID],Table2[Complaint], "Not Found", 0 )</f>
        <v>0</v>
      </c>
      <c r="X878" s="8">
        <f>_xlfn.XLOOKUP(CustomerCombined[[#This Row],[ID]], Table2[ID],Table2[Pilot], "Not Found", 0 )</f>
        <v>1</v>
      </c>
      <c r="Y878" s="8">
        <f>_xlfn.XLOOKUP(CustomerCombined[[#This Row],[ID]], Table2[ID],Table2[MC1], "Not Found", 0 )</f>
        <v>0</v>
      </c>
      <c r="Z878" s="8">
        <f>_xlfn.XLOOKUP(CustomerCombined[[#This Row],[ID]], Table2[ID],Table2[MC2], "Not Found", 0 )</f>
        <v>0</v>
      </c>
      <c r="AA878" s="8">
        <f>_xlfn.XLOOKUP(CustomerCombined[[#This Row],[ID]], Table2[ID],Table2[MC3], "Not Found", 0 )</f>
        <v>0</v>
      </c>
      <c r="AB878" s="8">
        <f>_xlfn.XLOOKUP(CustomerCombined[[#This Row],[ID]], Table2[ID],Table2[MC4], "Not Found", 0 )</f>
        <v>0</v>
      </c>
      <c r="AC878" s="8">
        <f>_xlfn.XLOOKUP(CustomerCombined[[#This Row],[ID]], Table2[ID],Table2[MC5], "Not Found", 0 )</f>
        <v>0</v>
      </c>
    </row>
    <row r="879" spans="1:29" x14ac:dyDescent="0.3">
      <c r="A879" s="6">
        <v>2273</v>
      </c>
      <c r="B879" s="6">
        <v>143050</v>
      </c>
      <c r="C879" s="6">
        <v>1</v>
      </c>
      <c r="D879" s="6">
        <v>0</v>
      </c>
      <c r="E879" s="6">
        <v>47</v>
      </c>
      <c r="F879" s="5" t="s">
        <v>6</v>
      </c>
      <c r="G879" s="5" t="s">
        <v>442</v>
      </c>
      <c r="H879" s="3" t="s">
        <v>83</v>
      </c>
      <c r="I879" s="5" t="s">
        <v>434</v>
      </c>
      <c r="J879" s="5">
        <f>_xlfn.XLOOKUP(CustomerCombined[[#This Row],[ID]], Table4[ID], Table4[Recency], "Not Found", 0)</f>
        <v>10</v>
      </c>
      <c r="K879" s="5">
        <f>_xlfn.XLOOKUP(CustomerCombined[[#This Row],[ID]], Table4[ID], Table4[Teas], "Not Found", 0)</f>
        <v>100</v>
      </c>
      <c r="L879" s="5">
        <f>_xlfn.XLOOKUP(CustomerCombined[[#This Row],[ID]], Table4[ID], Table4[Fruits], "Not Found", 0)</f>
        <v>17</v>
      </c>
      <c r="M879" s="5">
        <f>_xlfn.XLOOKUP(CustomerCombined[[#This Row],[ID]], Table4[ID], Table4[Meats], "Not Found", 0)</f>
        <v>80</v>
      </c>
      <c r="N879" s="5">
        <f>_xlfn.XLOOKUP(CustomerCombined[[#This Row],[ID]], Table4[ID], Table4[Seafood], "Not Found", 0)</f>
        <v>20</v>
      </c>
      <c r="O879" s="5">
        <f>_xlfn.XLOOKUP(CustomerCombined[[#This Row],[ID]], Table4[ID], Table4[Sweets], "Not Found", 0)</f>
        <v>10</v>
      </c>
      <c r="P879" s="5">
        <f>_xlfn.XLOOKUP(CustomerCombined[[#This Row],[ID]], Table4[ID], Table4[Premium], "Not Found", 0)</f>
        <v>27</v>
      </c>
      <c r="Q879" s="5">
        <f>_xlfn.XLOOKUP(CustomerCombined[[#This Row],[ID]], Table4[ID], Table4[Regular], "Not Found", 0)</f>
        <v>199</v>
      </c>
      <c r="R879" s="5">
        <f>_xlfn.XLOOKUP(CustomerCombined[[#This Row],[ID]], Table4[ID], Table4[Deals], "Not Found", 0)</f>
        <v>2</v>
      </c>
      <c r="S879" s="5">
        <f>_xlfn.XLOOKUP(CustomerCombined[[#This Row],[ID]], Table4[ID], Table4[Website], "Not Found", 0)</f>
        <v>2</v>
      </c>
      <c r="T879" s="5">
        <f>_xlfn.XLOOKUP(CustomerCombined[[#This Row],[ID]], Table4[ID], Table4[Catalog], "Not Found", 0)</f>
        <v>0</v>
      </c>
      <c r="U879" s="5">
        <f>_xlfn.XLOOKUP(CustomerCombined[[#This Row],[ID]], Table4[ID], Table4[Store], "Not Found", 0)</f>
        <v>4</v>
      </c>
      <c r="V879" s="5">
        <f>_xlfn.XLOOKUP(CustomerCombined[[#This Row],[ID]], Table4[ID], Table4[Visits], "Not Found", 0)</f>
        <v>5</v>
      </c>
      <c r="W879" s="8">
        <f>_xlfn.XLOOKUP(CustomerCombined[[#This Row],[ID]], Table2[ID],Table2[Complaint], "Not Found", 0 )</f>
        <v>0</v>
      </c>
      <c r="X879" s="8">
        <f>_xlfn.XLOOKUP(CustomerCombined[[#This Row],[ID]], Table2[ID],Table2[Pilot], "Not Found", 0 )</f>
        <v>0</v>
      </c>
      <c r="Y879" s="8">
        <f>_xlfn.XLOOKUP(CustomerCombined[[#This Row],[ID]], Table2[ID],Table2[MC1], "Not Found", 0 )</f>
        <v>0</v>
      </c>
      <c r="Z879" s="8">
        <f>_xlfn.XLOOKUP(CustomerCombined[[#This Row],[ID]], Table2[ID],Table2[MC2], "Not Found", 0 )</f>
        <v>0</v>
      </c>
      <c r="AA879" s="8">
        <f>_xlfn.XLOOKUP(CustomerCombined[[#This Row],[ID]], Table2[ID],Table2[MC3], "Not Found", 0 )</f>
        <v>0</v>
      </c>
      <c r="AB879" s="8">
        <f>_xlfn.XLOOKUP(CustomerCombined[[#This Row],[ID]], Table2[ID],Table2[MC4], "Not Found", 0 )</f>
        <v>0</v>
      </c>
      <c r="AC879" s="8">
        <f>_xlfn.XLOOKUP(CustomerCombined[[#This Row],[ID]], Table2[ID],Table2[MC5], "Not Found", 0 )</f>
        <v>0</v>
      </c>
    </row>
    <row r="880" spans="1:29" x14ac:dyDescent="0.3">
      <c r="A880" s="6">
        <v>1037</v>
      </c>
      <c r="B880" s="6">
        <v>142429</v>
      </c>
      <c r="C880" s="6">
        <v>0</v>
      </c>
      <c r="D880" s="6">
        <v>1</v>
      </c>
      <c r="E880" s="6">
        <v>47</v>
      </c>
      <c r="F880" s="5" t="s">
        <v>9</v>
      </c>
      <c r="G880" s="5" t="s">
        <v>11</v>
      </c>
      <c r="H880" s="3" t="s">
        <v>102</v>
      </c>
      <c r="I880" s="5" t="s">
        <v>434</v>
      </c>
      <c r="J880" s="5">
        <f>_xlfn.XLOOKUP(CustomerCombined[[#This Row],[ID]], Table4[ID], Table4[Recency], "Not Found", 0)</f>
        <v>99</v>
      </c>
      <c r="K880" s="5">
        <f>_xlfn.XLOOKUP(CustomerCombined[[#This Row],[ID]], Table4[ID], Table4[Teas], "Not Found", 0)</f>
        <v>185</v>
      </c>
      <c r="L880" s="5">
        <f>_xlfn.XLOOKUP(CustomerCombined[[#This Row],[ID]], Table4[ID], Table4[Fruits], "Not Found", 0)</f>
        <v>0</v>
      </c>
      <c r="M880" s="5">
        <f>_xlfn.XLOOKUP(CustomerCombined[[#This Row],[ID]], Table4[ID], Table4[Meats], "Not Found", 0)</f>
        <v>20</v>
      </c>
      <c r="N880" s="5">
        <f>_xlfn.XLOOKUP(CustomerCombined[[#This Row],[ID]], Table4[ID], Table4[Seafood], "Not Found", 0)</f>
        <v>7</v>
      </c>
      <c r="O880" s="5">
        <f>_xlfn.XLOOKUP(CustomerCombined[[#This Row],[ID]], Table4[ID], Table4[Sweets], "Not Found", 0)</f>
        <v>0</v>
      </c>
      <c r="P880" s="5">
        <f>_xlfn.XLOOKUP(CustomerCombined[[#This Row],[ID]], Table4[ID], Table4[Premium], "Not Found", 0)</f>
        <v>13</v>
      </c>
      <c r="Q880" s="5">
        <f>_xlfn.XLOOKUP(CustomerCombined[[#This Row],[ID]], Table4[ID], Table4[Regular], "Not Found", 0)</f>
        <v>198</v>
      </c>
      <c r="R880" s="5">
        <f>_xlfn.XLOOKUP(CustomerCombined[[#This Row],[ID]], Table4[ID], Table4[Deals], "Not Found", 0)</f>
        <v>2</v>
      </c>
      <c r="S880" s="5">
        <f>_xlfn.XLOOKUP(CustomerCombined[[#This Row],[ID]], Table4[ID], Table4[Website], "Not Found", 0)</f>
        <v>1</v>
      </c>
      <c r="T880" s="5">
        <f>_xlfn.XLOOKUP(CustomerCombined[[#This Row],[ID]], Table4[ID], Table4[Catalog], "Not Found", 0)</f>
        <v>1</v>
      </c>
      <c r="U880" s="5">
        <f>_xlfn.XLOOKUP(CustomerCombined[[#This Row],[ID]], Table4[ID], Table4[Store], "Not Found", 0)</f>
        <v>3</v>
      </c>
      <c r="V880" s="5">
        <f>_xlfn.XLOOKUP(CustomerCombined[[#This Row],[ID]], Table4[ID], Table4[Visits], "Not Found", 0)</f>
        <v>5</v>
      </c>
      <c r="W880" s="8">
        <f>_xlfn.XLOOKUP(CustomerCombined[[#This Row],[ID]], Table2[ID],Table2[Complaint], "Not Found", 0 )</f>
        <v>0</v>
      </c>
      <c r="X880" s="8">
        <f>_xlfn.XLOOKUP(CustomerCombined[[#This Row],[ID]], Table2[ID],Table2[Pilot], "Not Found", 0 )</f>
        <v>0</v>
      </c>
      <c r="Y880" s="8">
        <f>_xlfn.XLOOKUP(CustomerCombined[[#This Row],[ID]], Table2[ID],Table2[MC1], "Not Found", 0 )</f>
        <v>0</v>
      </c>
      <c r="Z880" s="8">
        <f>_xlfn.XLOOKUP(CustomerCombined[[#This Row],[ID]], Table2[ID],Table2[MC2], "Not Found", 0 )</f>
        <v>0</v>
      </c>
      <c r="AA880" s="8">
        <f>_xlfn.XLOOKUP(CustomerCombined[[#This Row],[ID]], Table2[ID],Table2[MC3], "Not Found", 0 )</f>
        <v>0</v>
      </c>
      <c r="AB880" s="8">
        <f>_xlfn.XLOOKUP(CustomerCombined[[#This Row],[ID]], Table2[ID],Table2[MC4], "Not Found", 0 )</f>
        <v>0</v>
      </c>
      <c r="AC880" s="8">
        <f>_xlfn.XLOOKUP(CustomerCombined[[#This Row],[ID]], Table2[ID],Table2[MC5], "Not Found", 0 )</f>
        <v>0</v>
      </c>
    </row>
    <row r="881" spans="1:29" x14ac:dyDescent="0.3">
      <c r="A881" s="6">
        <v>1590</v>
      </c>
      <c r="B881" s="6">
        <v>142429</v>
      </c>
      <c r="C881" s="6">
        <v>0</v>
      </c>
      <c r="D881" s="6">
        <v>1</v>
      </c>
      <c r="E881" s="6">
        <v>47</v>
      </c>
      <c r="F881" s="5" t="s">
        <v>9</v>
      </c>
      <c r="G881" s="5" t="s">
        <v>11</v>
      </c>
      <c r="H881" s="3" t="s">
        <v>102</v>
      </c>
      <c r="I881" s="5" t="s">
        <v>436</v>
      </c>
      <c r="J881" s="5">
        <f>_xlfn.XLOOKUP(CustomerCombined[[#This Row],[ID]], Table4[ID], Table4[Recency], "Not Found", 0)</f>
        <v>99</v>
      </c>
      <c r="K881" s="5">
        <f>_xlfn.XLOOKUP(CustomerCombined[[#This Row],[ID]], Table4[ID], Table4[Teas], "Not Found", 0)</f>
        <v>185</v>
      </c>
      <c r="L881" s="5">
        <f>_xlfn.XLOOKUP(CustomerCombined[[#This Row],[ID]], Table4[ID], Table4[Fruits], "Not Found", 0)</f>
        <v>0</v>
      </c>
      <c r="M881" s="5">
        <f>_xlfn.XLOOKUP(CustomerCombined[[#This Row],[ID]], Table4[ID], Table4[Meats], "Not Found", 0)</f>
        <v>20</v>
      </c>
      <c r="N881" s="5">
        <f>_xlfn.XLOOKUP(CustomerCombined[[#This Row],[ID]], Table4[ID], Table4[Seafood], "Not Found", 0)</f>
        <v>7</v>
      </c>
      <c r="O881" s="5">
        <f>_xlfn.XLOOKUP(CustomerCombined[[#This Row],[ID]], Table4[ID], Table4[Sweets], "Not Found", 0)</f>
        <v>0</v>
      </c>
      <c r="P881" s="5">
        <f>_xlfn.XLOOKUP(CustomerCombined[[#This Row],[ID]], Table4[ID], Table4[Premium], "Not Found", 0)</f>
        <v>13</v>
      </c>
      <c r="Q881" s="5">
        <f>_xlfn.XLOOKUP(CustomerCombined[[#This Row],[ID]], Table4[ID], Table4[Regular], "Not Found", 0)</f>
        <v>198</v>
      </c>
      <c r="R881" s="5">
        <f>_xlfn.XLOOKUP(CustomerCombined[[#This Row],[ID]], Table4[ID], Table4[Deals], "Not Found", 0)</f>
        <v>2</v>
      </c>
      <c r="S881" s="5">
        <f>_xlfn.XLOOKUP(CustomerCombined[[#This Row],[ID]], Table4[ID], Table4[Website], "Not Found", 0)</f>
        <v>1</v>
      </c>
      <c r="T881" s="5">
        <f>_xlfn.XLOOKUP(CustomerCombined[[#This Row],[ID]], Table4[ID], Table4[Catalog], "Not Found", 0)</f>
        <v>1</v>
      </c>
      <c r="U881" s="5">
        <f>_xlfn.XLOOKUP(CustomerCombined[[#This Row],[ID]], Table4[ID], Table4[Store], "Not Found", 0)</f>
        <v>3</v>
      </c>
      <c r="V881" s="5">
        <f>_xlfn.XLOOKUP(CustomerCombined[[#This Row],[ID]], Table4[ID], Table4[Visits], "Not Found", 0)</f>
        <v>5</v>
      </c>
      <c r="W881" s="8">
        <f>_xlfn.XLOOKUP(CustomerCombined[[#This Row],[ID]], Table2[ID],Table2[Complaint], "Not Found", 0 )</f>
        <v>0</v>
      </c>
      <c r="X881" s="8">
        <f>_xlfn.XLOOKUP(CustomerCombined[[#This Row],[ID]], Table2[ID],Table2[Pilot], "Not Found", 0 )</f>
        <v>0</v>
      </c>
      <c r="Y881" s="8">
        <f>_xlfn.XLOOKUP(CustomerCombined[[#This Row],[ID]], Table2[ID],Table2[MC1], "Not Found", 0 )</f>
        <v>0</v>
      </c>
      <c r="Z881" s="8">
        <f>_xlfn.XLOOKUP(CustomerCombined[[#This Row],[ID]], Table2[ID],Table2[MC2], "Not Found", 0 )</f>
        <v>0</v>
      </c>
      <c r="AA881" s="8">
        <f>_xlfn.XLOOKUP(CustomerCombined[[#This Row],[ID]], Table2[ID],Table2[MC3], "Not Found", 0 )</f>
        <v>0</v>
      </c>
      <c r="AB881" s="8">
        <f>_xlfn.XLOOKUP(CustomerCombined[[#This Row],[ID]], Table2[ID],Table2[MC4], "Not Found", 0 )</f>
        <v>0</v>
      </c>
      <c r="AC881" s="8">
        <f>_xlfn.XLOOKUP(CustomerCombined[[#This Row],[ID]], Table2[ID],Table2[MC5], "Not Found", 0 )</f>
        <v>0</v>
      </c>
    </row>
    <row r="882" spans="1:29" x14ac:dyDescent="0.3">
      <c r="A882" s="6">
        <v>2753</v>
      </c>
      <c r="B882" s="6">
        <v>139435</v>
      </c>
      <c r="C882" s="6">
        <v>1</v>
      </c>
      <c r="D882" s="6">
        <v>0</v>
      </c>
      <c r="E882" s="6">
        <v>47</v>
      </c>
      <c r="F882" s="5" t="s">
        <v>8</v>
      </c>
      <c r="G882" s="5" t="s">
        <v>13</v>
      </c>
      <c r="H882" s="3">
        <v>44136</v>
      </c>
      <c r="I882" s="5" t="s">
        <v>434</v>
      </c>
      <c r="J882" s="5">
        <f>_xlfn.XLOOKUP(CustomerCombined[[#This Row],[ID]], Table4[ID], Table4[Recency], "Not Found", 0)</f>
        <v>16</v>
      </c>
      <c r="K882" s="5">
        <f>_xlfn.XLOOKUP(CustomerCombined[[#This Row],[ID]], Table4[ID], Table4[Teas], "Not Found", 0)</f>
        <v>251</v>
      </c>
      <c r="L882" s="5">
        <f>_xlfn.XLOOKUP(CustomerCombined[[#This Row],[ID]], Table4[ID], Table4[Fruits], "Not Found", 0)</f>
        <v>0</v>
      </c>
      <c r="M882" s="5">
        <f>_xlfn.XLOOKUP(CustomerCombined[[#This Row],[ID]], Table4[ID], Table4[Meats], "Not Found", 0)</f>
        <v>64</v>
      </c>
      <c r="N882" s="5">
        <f>_xlfn.XLOOKUP(CustomerCombined[[#This Row],[ID]], Table4[ID], Table4[Seafood], "Not Found", 0)</f>
        <v>0</v>
      </c>
      <c r="O882" s="5">
        <f>_xlfn.XLOOKUP(CustomerCombined[[#This Row],[ID]], Table4[ID], Table4[Sweets], "Not Found", 0)</f>
        <v>0</v>
      </c>
      <c r="P882" s="5">
        <f>_xlfn.XLOOKUP(CustomerCombined[[#This Row],[ID]], Table4[ID], Table4[Premium], "Not Found", 0)</f>
        <v>46</v>
      </c>
      <c r="Q882" s="5">
        <f>_xlfn.XLOOKUP(CustomerCombined[[#This Row],[ID]], Table4[ID], Table4[Regular], "Not Found", 0)</f>
        <v>269</v>
      </c>
      <c r="R882" s="5">
        <f>_xlfn.XLOOKUP(CustomerCombined[[#This Row],[ID]], Table4[ID], Table4[Deals], "Not Found", 0)</f>
        <v>1</v>
      </c>
      <c r="S882" s="5">
        <f>_xlfn.XLOOKUP(CustomerCombined[[#This Row],[ID]], Table4[ID], Table4[Website], "Not Found", 0)</f>
        <v>3</v>
      </c>
      <c r="T882" s="5">
        <f>_xlfn.XLOOKUP(CustomerCombined[[#This Row],[ID]], Table4[ID], Table4[Catalog], "Not Found", 0)</f>
        <v>1</v>
      </c>
      <c r="U882" s="5">
        <f>_xlfn.XLOOKUP(CustomerCombined[[#This Row],[ID]], Table4[ID], Table4[Store], "Not Found", 0)</f>
        <v>2</v>
      </c>
      <c r="V882" s="5">
        <f>_xlfn.XLOOKUP(CustomerCombined[[#This Row],[ID]], Table4[ID], Table4[Visits], "Not Found", 0)</f>
        <v>7</v>
      </c>
      <c r="W882" s="8">
        <f>_xlfn.XLOOKUP(CustomerCombined[[#This Row],[ID]], Table2[ID],Table2[Complaint], "Not Found", 0 )</f>
        <v>0</v>
      </c>
      <c r="X882" s="8">
        <f>_xlfn.XLOOKUP(CustomerCombined[[#This Row],[ID]], Table2[ID],Table2[Pilot], "Not Found", 0 )</f>
        <v>0</v>
      </c>
      <c r="Y882" s="8">
        <f>_xlfn.XLOOKUP(CustomerCombined[[#This Row],[ID]], Table2[ID],Table2[MC1], "Not Found", 0 )</f>
        <v>0</v>
      </c>
      <c r="Z882" s="8">
        <f>_xlfn.XLOOKUP(CustomerCombined[[#This Row],[ID]], Table2[ID],Table2[MC2], "Not Found", 0 )</f>
        <v>0</v>
      </c>
      <c r="AA882" s="8">
        <f>_xlfn.XLOOKUP(CustomerCombined[[#This Row],[ID]], Table2[ID],Table2[MC3], "Not Found", 0 )</f>
        <v>0</v>
      </c>
      <c r="AB882" s="8">
        <f>_xlfn.XLOOKUP(CustomerCombined[[#This Row],[ID]], Table2[ID],Table2[MC4], "Not Found", 0 )</f>
        <v>0</v>
      </c>
      <c r="AC882" s="8">
        <f>_xlfn.XLOOKUP(CustomerCombined[[#This Row],[ID]], Table2[ID],Table2[MC5], "Not Found", 0 )</f>
        <v>0</v>
      </c>
    </row>
    <row r="883" spans="1:29" x14ac:dyDescent="0.3">
      <c r="A883" s="6">
        <v>1464</v>
      </c>
      <c r="B883" s="6">
        <v>138961</v>
      </c>
      <c r="C883" s="6">
        <v>1</v>
      </c>
      <c r="D883" s="6">
        <v>0</v>
      </c>
      <c r="E883" s="6">
        <v>47</v>
      </c>
      <c r="F883" s="5" t="s">
        <v>6</v>
      </c>
      <c r="G883" s="5" t="s">
        <v>12</v>
      </c>
      <c r="H883" s="3">
        <v>43957</v>
      </c>
      <c r="I883" s="5" t="s">
        <v>436</v>
      </c>
      <c r="J883" s="5">
        <f>_xlfn.XLOOKUP(CustomerCombined[[#This Row],[ID]], Table4[ID], Table4[Recency], "Not Found", 0)</f>
        <v>60</v>
      </c>
      <c r="K883" s="5">
        <f>_xlfn.XLOOKUP(CustomerCombined[[#This Row],[ID]], Table4[ID], Table4[Teas], "Not Found", 0)</f>
        <v>68</v>
      </c>
      <c r="L883" s="5">
        <f>_xlfn.XLOOKUP(CustomerCombined[[#This Row],[ID]], Table4[ID], Table4[Fruits], "Not Found", 0)</f>
        <v>25</v>
      </c>
      <c r="M883" s="5">
        <f>_xlfn.XLOOKUP(CustomerCombined[[#This Row],[ID]], Table4[ID], Table4[Meats], "Not Found", 0)</f>
        <v>68</v>
      </c>
      <c r="N883" s="5">
        <f>_xlfn.XLOOKUP(CustomerCombined[[#This Row],[ID]], Table4[ID], Table4[Seafood], "Not Found", 0)</f>
        <v>0</v>
      </c>
      <c r="O883" s="5">
        <f>_xlfn.XLOOKUP(CustomerCombined[[#This Row],[ID]], Table4[ID], Table4[Sweets], "Not Found", 0)</f>
        <v>4</v>
      </c>
      <c r="P883" s="5">
        <f>_xlfn.XLOOKUP(CustomerCombined[[#This Row],[ID]], Table4[ID], Table4[Premium], "Not Found", 0)</f>
        <v>86</v>
      </c>
      <c r="Q883" s="5">
        <f>_xlfn.XLOOKUP(CustomerCombined[[#This Row],[ID]], Table4[ID], Table4[Regular], "Not Found", 0)</f>
        <v>78</v>
      </c>
      <c r="R883" s="5">
        <f>_xlfn.XLOOKUP(CustomerCombined[[#This Row],[ID]], Table4[ID], Table4[Deals], "Not Found", 0)</f>
        <v>1</v>
      </c>
      <c r="S883" s="5">
        <f>_xlfn.XLOOKUP(CustomerCombined[[#This Row],[ID]], Table4[ID], Table4[Website], "Not Found", 0)</f>
        <v>2</v>
      </c>
      <c r="T883" s="5">
        <f>_xlfn.XLOOKUP(CustomerCombined[[#This Row],[ID]], Table4[ID], Table4[Catalog], "Not Found", 0)</f>
        <v>1</v>
      </c>
      <c r="U883" s="5">
        <f>_xlfn.XLOOKUP(CustomerCombined[[#This Row],[ID]], Table4[ID], Table4[Store], "Not Found", 0)</f>
        <v>2</v>
      </c>
      <c r="V883" s="5">
        <f>_xlfn.XLOOKUP(CustomerCombined[[#This Row],[ID]], Table4[ID], Table4[Visits], "Not Found", 0)</f>
        <v>7</v>
      </c>
      <c r="W883" s="8">
        <f>_xlfn.XLOOKUP(CustomerCombined[[#This Row],[ID]], Table2[ID],Table2[Complaint], "Not Found", 0 )</f>
        <v>0</v>
      </c>
      <c r="X883" s="8">
        <f>_xlfn.XLOOKUP(CustomerCombined[[#This Row],[ID]], Table2[ID],Table2[Pilot], "Not Found", 0 )</f>
        <v>0</v>
      </c>
      <c r="Y883" s="8">
        <f>_xlfn.XLOOKUP(CustomerCombined[[#This Row],[ID]], Table2[ID],Table2[MC1], "Not Found", 0 )</f>
        <v>0</v>
      </c>
      <c r="Z883" s="8">
        <f>_xlfn.XLOOKUP(CustomerCombined[[#This Row],[ID]], Table2[ID],Table2[MC2], "Not Found", 0 )</f>
        <v>0</v>
      </c>
      <c r="AA883" s="8">
        <f>_xlfn.XLOOKUP(CustomerCombined[[#This Row],[ID]], Table2[ID],Table2[MC3], "Not Found", 0 )</f>
        <v>0</v>
      </c>
      <c r="AB883" s="8">
        <f>_xlfn.XLOOKUP(CustomerCombined[[#This Row],[ID]], Table2[ID],Table2[MC4], "Not Found", 0 )</f>
        <v>0</v>
      </c>
      <c r="AC883" s="8">
        <f>_xlfn.XLOOKUP(CustomerCombined[[#This Row],[ID]], Table2[ID],Table2[MC5], "Not Found", 0 )</f>
        <v>0</v>
      </c>
    </row>
    <row r="884" spans="1:29" x14ac:dyDescent="0.3">
      <c r="A884" s="6">
        <v>1837</v>
      </c>
      <c r="B884" s="6">
        <v>138576</v>
      </c>
      <c r="C884" s="6">
        <v>0</v>
      </c>
      <c r="D884" s="6">
        <v>1</v>
      </c>
      <c r="E884" s="6">
        <v>47</v>
      </c>
      <c r="F884" s="5" t="s">
        <v>6</v>
      </c>
      <c r="G884" s="5" t="s">
        <v>12</v>
      </c>
      <c r="H884" s="3">
        <v>44051</v>
      </c>
      <c r="I884" s="5" t="s">
        <v>437</v>
      </c>
      <c r="J884" s="5">
        <f>_xlfn.XLOOKUP(CustomerCombined[[#This Row],[ID]], Table4[ID], Table4[Recency], "Not Found", 0)</f>
        <v>2</v>
      </c>
      <c r="K884" s="5">
        <f>_xlfn.XLOOKUP(CustomerCombined[[#This Row],[ID]], Table4[ID], Table4[Teas], "Not Found", 0)</f>
        <v>122</v>
      </c>
      <c r="L884" s="5">
        <f>_xlfn.XLOOKUP(CustomerCombined[[#This Row],[ID]], Table4[ID], Table4[Fruits], "Not Found", 0)</f>
        <v>0</v>
      </c>
      <c r="M884" s="5">
        <f>_xlfn.XLOOKUP(CustomerCombined[[#This Row],[ID]], Table4[ID], Table4[Meats], "Not Found", 0)</f>
        <v>25</v>
      </c>
      <c r="N884" s="5">
        <f>_xlfn.XLOOKUP(CustomerCombined[[#This Row],[ID]], Table4[ID], Table4[Seafood], "Not Found", 0)</f>
        <v>0</v>
      </c>
      <c r="O884" s="5">
        <f>_xlfn.XLOOKUP(CustomerCombined[[#This Row],[ID]], Table4[ID], Table4[Sweets], "Not Found", 0)</f>
        <v>0</v>
      </c>
      <c r="P884" s="5">
        <f>_xlfn.XLOOKUP(CustomerCombined[[#This Row],[ID]], Table4[ID], Table4[Premium], "Not Found", 0)</f>
        <v>0</v>
      </c>
      <c r="Q884" s="5">
        <f>_xlfn.XLOOKUP(CustomerCombined[[#This Row],[ID]], Table4[ID], Table4[Regular], "Not Found", 0)</f>
        <v>147</v>
      </c>
      <c r="R884" s="5">
        <f>_xlfn.XLOOKUP(CustomerCombined[[#This Row],[ID]], Table4[ID], Table4[Deals], "Not Found", 0)</f>
        <v>1</v>
      </c>
      <c r="S884" s="5">
        <f>_xlfn.XLOOKUP(CustomerCombined[[#This Row],[ID]], Table4[ID], Table4[Website], "Not Found", 0)</f>
        <v>1</v>
      </c>
      <c r="T884" s="5">
        <f>_xlfn.XLOOKUP(CustomerCombined[[#This Row],[ID]], Table4[ID], Table4[Catalog], "Not Found", 0)</f>
        <v>0</v>
      </c>
      <c r="U884" s="5">
        <f>_xlfn.XLOOKUP(CustomerCombined[[#This Row],[ID]], Table4[ID], Table4[Store], "Not Found", 0)</f>
        <v>3</v>
      </c>
      <c r="V884" s="5">
        <f>_xlfn.XLOOKUP(CustomerCombined[[#This Row],[ID]], Table4[ID], Table4[Visits], "Not Found", 0)</f>
        <v>7</v>
      </c>
      <c r="W884" s="8">
        <f>_xlfn.XLOOKUP(CustomerCombined[[#This Row],[ID]], Table2[ID],Table2[Complaint], "Not Found", 0 )</f>
        <v>0</v>
      </c>
      <c r="X884" s="8">
        <f>_xlfn.XLOOKUP(CustomerCombined[[#This Row],[ID]], Table2[ID],Table2[Pilot], "Not Found", 0 )</f>
        <v>0</v>
      </c>
      <c r="Y884" s="8">
        <f>_xlfn.XLOOKUP(CustomerCombined[[#This Row],[ID]], Table2[ID],Table2[MC1], "Not Found", 0 )</f>
        <v>0</v>
      </c>
      <c r="Z884" s="8">
        <f>_xlfn.XLOOKUP(CustomerCombined[[#This Row],[ID]], Table2[ID],Table2[MC2], "Not Found", 0 )</f>
        <v>0</v>
      </c>
      <c r="AA884" s="8">
        <f>_xlfn.XLOOKUP(CustomerCombined[[#This Row],[ID]], Table2[ID],Table2[MC3], "Not Found", 0 )</f>
        <v>0</v>
      </c>
      <c r="AB884" s="8">
        <f>_xlfn.XLOOKUP(CustomerCombined[[#This Row],[ID]], Table2[ID],Table2[MC4], "Not Found", 0 )</f>
        <v>0</v>
      </c>
      <c r="AC884" s="8">
        <f>_xlfn.XLOOKUP(CustomerCombined[[#This Row],[ID]], Table2[ID],Table2[MC5], "Not Found", 0 )</f>
        <v>0</v>
      </c>
    </row>
    <row r="885" spans="1:29" x14ac:dyDescent="0.3">
      <c r="A885" s="6">
        <v>2347</v>
      </c>
      <c r="B885" s="6">
        <v>137971</v>
      </c>
      <c r="C885" s="6">
        <v>1</v>
      </c>
      <c r="D885" s="6">
        <v>0</v>
      </c>
      <c r="E885" s="6">
        <v>47</v>
      </c>
      <c r="F885" s="5" t="s">
        <v>6</v>
      </c>
      <c r="G885" s="5" t="s">
        <v>11</v>
      </c>
      <c r="H885" s="3">
        <v>43835</v>
      </c>
      <c r="I885" s="5" t="s">
        <v>437</v>
      </c>
      <c r="J885" s="5">
        <f>_xlfn.XLOOKUP(CustomerCombined[[#This Row],[ID]], Table4[ID], Table4[Recency], "Not Found", 0)</f>
        <v>97</v>
      </c>
      <c r="K885" s="5">
        <f>_xlfn.XLOOKUP(CustomerCombined[[#This Row],[ID]], Table4[ID], Table4[Teas], "Not Found", 0)</f>
        <v>18</v>
      </c>
      <c r="L885" s="5">
        <f>_xlfn.XLOOKUP(CustomerCombined[[#This Row],[ID]], Table4[ID], Table4[Fruits], "Not Found", 0)</f>
        <v>15</v>
      </c>
      <c r="M885" s="5">
        <f>_xlfn.XLOOKUP(CustomerCombined[[#This Row],[ID]], Table4[ID], Table4[Meats], "Not Found", 0)</f>
        <v>36</v>
      </c>
      <c r="N885" s="5">
        <f>_xlfn.XLOOKUP(CustomerCombined[[#This Row],[ID]], Table4[ID], Table4[Seafood], "Not Found", 0)</f>
        <v>7</v>
      </c>
      <c r="O885" s="5">
        <f>_xlfn.XLOOKUP(CustomerCombined[[#This Row],[ID]], Table4[ID], Table4[Sweets], "Not Found", 0)</f>
        <v>7</v>
      </c>
      <c r="P885" s="5">
        <f>_xlfn.XLOOKUP(CustomerCombined[[#This Row],[ID]], Table4[ID], Table4[Premium], "Not Found", 0)</f>
        <v>25</v>
      </c>
      <c r="Q885" s="5">
        <f>_xlfn.XLOOKUP(CustomerCombined[[#This Row],[ID]], Table4[ID], Table4[Regular], "Not Found", 0)</f>
        <v>58</v>
      </c>
      <c r="R885" s="5">
        <f>_xlfn.XLOOKUP(CustomerCombined[[#This Row],[ID]], Table4[ID], Table4[Deals], "Not Found", 0)</f>
        <v>1</v>
      </c>
      <c r="S885" s="5">
        <f>_xlfn.XLOOKUP(CustomerCombined[[#This Row],[ID]], Table4[ID], Table4[Website], "Not Found", 0)</f>
        <v>1</v>
      </c>
      <c r="T885" s="5">
        <f>_xlfn.XLOOKUP(CustomerCombined[[#This Row],[ID]], Table4[ID], Table4[Catalog], "Not Found", 0)</f>
        <v>0</v>
      </c>
      <c r="U885" s="5">
        <f>_xlfn.XLOOKUP(CustomerCombined[[#This Row],[ID]], Table4[ID], Table4[Store], "Not Found", 0)</f>
        <v>3</v>
      </c>
      <c r="V885" s="5">
        <f>_xlfn.XLOOKUP(CustomerCombined[[#This Row],[ID]], Table4[ID], Table4[Visits], "Not Found", 0)</f>
        <v>8</v>
      </c>
      <c r="W885" s="8">
        <f>_xlfn.XLOOKUP(CustomerCombined[[#This Row],[ID]], Table2[ID],Table2[Complaint], "Not Found", 0 )</f>
        <v>0</v>
      </c>
      <c r="X885" s="8">
        <f>_xlfn.XLOOKUP(CustomerCombined[[#This Row],[ID]], Table2[ID],Table2[Pilot], "Not Found", 0 )</f>
        <v>0</v>
      </c>
      <c r="Y885" s="8">
        <f>_xlfn.XLOOKUP(CustomerCombined[[#This Row],[ID]], Table2[ID],Table2[MC1], "Not Found", 0 )</f>
        <v>0</v>
      </c>
      <c r="Z885" s="8">
        <f>_xlfn.XLOOKUP(CustomerCombined[[#This Row],[ID]], Table2[ID],Table2[MC2], "Not Found", 0 )</f>
        <v>0</v>
      </c>
      <c r="AA885" s="8">
        <f>_xlfn.XLOOKUP(CustomerCombined[[#This Row],[ID]], Table2[ID],Table2[MC3], "Not Found", 0 )</f>
        <v>0</v>
      </c>
      <c r="AB885" s="8">
        <f>_xlfn.XLOOKUP(CustomerCombined[[#This Row],[ID]], Table2[ID],Table2[MC4], "Not Found", 0 )</f>
        <v>0</v>
      </c>
      <c r="AC885" s="8">
        <f>_xlfn.XLOOKUP(CustomerCombined[[#This Row],[ID]], Table2[ID],Table2[MC5], "Not Found", 0 )</f>
        <v>0</v>
      </c>
    </row>
    <row r="886" spans="1:29" x14ac:dyDescent="0.3">
      <c r="A886" s="6">
        <v>1404</v>
      </c>
      <c r="B886" s="6">
        <v>137401</v>
      </c>
      <c r="C886" s="6">
        <v>1</v>
      </c>
      <c r="D886" s="6">
        <v>0</v>
      </c>
      <c r="E886" s="6">
        <v>47</v>
      </c>
      <c r="F886" s="5" t="s">
        <v>6</v>
      </c>
      <c r="G886" s="5" t="s">
        <v>13</v>
      </c>
      <c r="H886" s="3">
        <v>44114</v>
      </c>
      <c r="I886" s="5" t="s">
        <v>436</v>
      </c>
      <c r="J886" s="5">
        <f>_xlfn.XLOOKUP(CustomerCombined[[#This Row],[ID]], Table4[ID], Table4[Recency], "Not Found", 0)</f>
        <v>14</v>
      </c>
      <c r="K886" s="5">
        <f>_xlfn.XLOOKUP(CustomerCombined[[#This Row],[ID]], Table4[ID], Table4[Teas], "Not Found", 0)</f>
        <v>70</v>
      </c>
      <c r="L886" s="5">
        <f>_xlfn.XLOOKUP(CustomerCombined[[#This Row],[ID]], Table4[ID], Table4[Fruits], "Not Found", 0)</f>
        <v>11</v>
      </c>
      <c r="M886" s="5">
        <f>_xlfn.XLOOKUP(CustomerCombined[[#This Row],[ID]], Table4[ID], Table4[Meats], "Not Found", 0)</f>
        <v>70</v>
      </c>
      <c r="N886" s="5">
        <f>_xlfn.XLOOKUP(CustomerCombined[[#This Row],[ID]], Table4[ID], Table4[Seafood], "Not Found", 0)</f>
        <v>11</v>
      </c>
      <c r="O886" s="5">
        <f>_xlfn.XLOOKUP(CustomerCombined[[#This Row],[ID]], Table4[ID], Table4[Sweets], "Not Found", 0)</f>
        <v>4</v>
      </c>
      <c r="P886" s="5">
        <f>_xlfn.XLOOKUP(CustomerCombined[[#This Row],[ID]], Table4[ID], Table4[Premium], "Not Found", 0)</f>
        <v>11</v>
      </c>
      <c r="Q886" s="5">
        <f>_xlfn.XLOOKUP(CustomerCombined[[#This Row],[ID]], Table4[ID], Table4[Regular], "Not Found", 0)</f>
        <v>154</v>
      </c>
      <c r="R886" s="5">
        <f>_xlfn.XLOOKUP(CustomerCombined[[#This Row],[ID]], Table4[ID], Table4[Deals], "Not Found", 0)</f>
        <v>2</v>
      </c>
      <c r="S886" s="5">
        <f>_xlfn.XLOOKUP(CustomerCombined[[#This Row],[ID]], Table4[ID], Table4[Website], "Not Found", 0)</f>
        <v>2</v>
      </c>
      <c r="T886" s="5">
        <f>_xlfn.XLOOKUP(CustomerCombined[[#This Row],[ID]], Table4[ID], Table4[Catalog], "Not Found", 0)</f>
        <v>0</v>
      </c>
      <c r="U886" s="5">
        <f>_xlfn.XLOOKUP(CustomerCombined[[#This Row],[ID]], Table4[ID], Table4[Store], "Not Found", 0)</f>
        <v>3</v>
      </c>
      <c r="V886" s="5">
        <f>_xlfn.XLOOKUP(CustomerCombined[[#This Row],[ID]], Table4[ID], Table4[Visits], "Not Found", 0)</f>
        <v>7</v>
      </c>
      <c r="W886" s="8">
        <f>_xlfn.XLOOKUP(CustomerCombined[[#This Row],[ID]], Table2[ID],Table2[Complaint], "Not Found", 0 )</f>
        <v>0</v>
      </c>
      <c r="X886" s="8">
        <f>_xlfn.XLOOKUP(CustomerCombined[[#This Row],[ID]], Table2[ID],Table2[Pilot], "Not Found", 0 )</f>
        <v>0</v>
      </c>
      <c r="Y886" s="8">
        <f>_xlfn.XLOOKUP(CustomerCombined[[#This Row],[ID]], Table2[ID],Table2[MC1], "Not Found", 0 )</f>
        <v>0</v>
      </c>
      <c r="Z886" s="8">
        <f>_xlfn.XLOOKUP(CustomerCombined[[#This Row],[ID]], Table2[ID],Table2[MC2], "Not Found", 0 )</f>
        <v>0</v>
      </c>
      <c r="AA886" s="8">
        <f>_xlfn.XLOOKUP(CustomerCombined[[#This Row],[ID]], Table2[ID],Table2[MC3], "Not Found", 0 )</f>
        <v>0</v>
      </c>
      <c r="AB886" s="8">
        <f>_xlfn.XLOOKUP(CustomerCombined[[#This Row],[ID]], Table2[ID],Table2[MC4], "Not Found", 0 )</f>
        <v>0</v>
      </c>
      <c r="AC886" s="8">
        <f>_xlfn.XLOOKUP(CustomerCombined[[#This Row],[ID]], Table2[ID],Table2[MC5], "Not Found", 0 )</f>
        <v>0</v>
      </c>
    </row>
    <row r="887" spans="1:29" x14ac:dyDescent="0.3">
      <c r="A887" s="6">
        <v>2499</v>
      </c>
      <c r="B887" s="6">
        <v>137401</v>
      </c>
      <c r="C887" s="6">
        <v>1</v>
      </c>
      <c r="D887" s="6">
        <v>0</v>
      </c>
      <c r="E887" s="6">
        <v>47</v>
      </c>
      <c r="F887" s="5" t="s">
        <v>6</v>
      </c>
      <c r="G887" s="5" t="s">
        <v>13</v>
      </c>
      <c r="H887" s="3">
        <v>44114</v>
      </c>
      <c r="I887" s="5" t="s">
        <v>435</v>
      </c>
      <c r="J887" s="5">
        <f>_xlfn.XLOOKUP(CustomerCombined[[#This Row],[ID]], Table4[ID], Table4[Recency], "Not Found", 0)</f>
        <v>14</v>
      </c>
      <c r="K887" s="5">
        <f>_xlfn.XLOOKUP(CustomerCombined[[#This Row],[ID]], Table4[ID], Table4[Teas], "Not Found", 0)</f>
        <v>70</v>
      </c>
      <c r="L887" s="5">
        <f>_xlfn.XLOOKUP(CustomerCombined[[#This Row],[ID]], Table4[ID], Table4[Fruits], "Not Found", 0)</f>
        <v>11</v>
      </c>
      <c r="M887" s="5">
        <f>_xlfn.XLOOKUP(CustomerCombined[[#This Row],[ID]], Table4[ID], Table4[Meats], "Not Found", 0)</f>
        <v>70</v>
      </c>
      <c r="N887" s="5">
        <f>_xlfn.XLOOKUP(CustomerCombined[[#This Row],[ID]], Table4[ID], Table4[Seafood], "Not Found", 0)</f>
        <v>11</v>
      </c>
      <c r="O887" s="5">
        <f>_xlfn.XLOOKUP(CustomerCombined[[#This Row],[ID]], Table4[ID], Table4[Sweets], "Not Found", 0)</f>
        <v>4</v>
      </c>
      <c r="P887" s="5">
        <f>_xlfn.XLOOKUP(CustomerCombined[[#This Row],[ID]], Table4[ID], Table4[Premium], "Not Found", 0)</f>
        <v>11</v>
      </c>
      <c r="Q887" s="5">
        <f>_xlfn.XLOOKUP(CustomerCombined[[#This Row],[ID]], Table4[ID], Table4[Regular], "Not Found", 0)</f>
        <v>154</v>
      </c>
      <c r="R887" s="5">
        <f>_xlfn.XLOOKUP(CustomerCombined[[#This Row],[ID]], Table4[ID], Table4[Deals], "Not Found", 0)</f>
        <v>2</v>
      </c>
      <c r="S887" s="5">
        <f>_xlfn.XLOOKUP(CustomerCombined[[#This Row],[ID]], Table4[ID], Table4[Website], "Not Found", 0)</f>
        <v>2</v>
      </c>
      <c r="T887" s="5">
        <f>_xlfn.XLOOKUP(CustomerCombined[[#This Row],[ID]], Table4[ID], Table4[Catalog], "Not Found", 0)</f>
        <v>0</v>
      </c>
      <c r="U887" s="5">
        <f>_xlfn.XLOOKUP(CustomerCombined[[#This Row],[ID]], Table4[ID], Table4[Store], "Not Found", 0)</f>
        <v>3</v>
      </c>
      <c r="V887" s="5">
        <f>_xlfn.XLOOKUP(CustomerCombined[[#This Row],[ID]], Table4[ID], Table4[Visits], "Not Found", 0)</f>
        <v>7</v>
      </c>
      <c r="W887" s="8">
        <f>_xlfn.XLOOKUP(CustomerCombined[[#This Row],[ID]], Table2[ID],Table2[Complaint], "Not Found", 0 )</f>
        <v>0</v>
      </c>
      <c r="X887" s="8">
        <f>_xlfn.XLOOKUP(CustomerCombined[[#This Row],[ID]], Table2[ID],Table2[Pilot], "Not Found", 0 )</f>
        <v>0</v>
      </c>
      <c r="Y887" s="8">
        <f>_xlfn.XLOOKUP(CustomerCombined[[#This Row],[ID]], Table2[ID],Table2[MC1], "Not Found", 0 )</f>
        <v>0</v>
      </c>
      <c r="Z887" s="8">
        <f>_xlfn.XLOOKUP(CustomerCombined[[#This Row],[ID]], Table2[ID],Table2[MC2], "Not Found", 0 )</f>
        <v>0</v>
      </c>
      <c r="AA887" s="8">
        <f>_xlfn.XLOOKUP(CustomerCombined[[#This Row],[ID]], Table2[ID],Table2[MC3], "Not Found", 0 )</f>
        <v>0</v>
      </c>
      <c r="AB887" s="8">
        <f>_xlfn.XLOOKUP(CustomerCombined[[#This Row],[ID]], Table2[ID],Table2[MC4], "Not Found", 0 )</f>
        <v>0</v>
      </c>
      <c r="AC887" s="8">
        <f>_xlfn.XLOOKUP(CustomerCombined[[#This Row],[ID]], Table2[ID],Table2[MC5], "Not Found", 0 )</f>
        <v>0</v>
      </c>
    </row>
    <row r="888" spans="1:29" x14ac:dyDescent="0.3">
      <c r="A888" s="6">
        <v>1128</v>
      </c>
      <c r="B888" s="6">
        <v>135860</v>
      </c>
      <c r="C888" s="6">
        <v>1</v>
      </c>
      <c r="D888" s="6">
        <v>1</v>
      </c>
      <c r="E888" s="6">
        <v>47</v>
      </c>
      <c r="F888" s="5" t="s">
        <v>7</v>
      </c>
      <c r="G888" s="5" t="s">
        <v>13</v>
      </c>
      <c r="H888" s="3" t="s">
        <v>46</v>
      </c>
      <c r="I888" s="5" t="s">
        <v>436</v>
      </c>
      <c r="J888" s="5">
        <f>_xlfn.XLOOKUP(CustomerCombined[[#This Row],[ID]], Table4[ID], Table4[Recency], "Not Found", 0)</f>
        <v>37</v>
      </c>
      <c r="K888" s="5">
        <f>_xlfn.XLOOKUP(CustomerCombined[[#This Row],[ID]], Table4[ID], Table4[Teas], "Not Found", 0)</f>
        <v>57</v>
      </c>
      <c r="L888" s="5">
        <f>_xlfn.XLOOKUP(CustomerCombined[[#This Row],[ID]], Table4[ID], Table4[Fruits], "Not Found", 0)</f>
        <v>0</v>
      </c>
      <c r="M888" s="5">
        <f>_xlfn.XLOOKUP(CustomerCombined[[#This Row],[ID]], Table4[ID], Table4[Meats], "Not Found", 0)</f>
        <v>30</v>
      </c>
      <c r="N888" s="5">
        <f>_xlfn.XLOOKUP(CustomerCombined[[#This Row],[ID]], Table4[ID], Table4[Seafood], "Not Found", 0)</f>
        <v>15</v>
      </c>
      <c r="O888" s="5">
        <f>_xlfn.XLOOKUP(CustomerCombined[[#This Row],[ID]], Table4[ID], Table4[Sweets], "Not Found", 0)</f>
        <v>8</v>
      </c>
      <c r="P888" s="5">
        <f>_xlfn.XLOOKUP(CustomerCombined[[#This Row],[ID]], Table4[ID], Table4[Premium], "Not Found", 0)</f>
        <v>76</v>
      </c>
      <c r="Q888" s="5">
        <f>_xlfn.XLOOKUP(CustomerCombined[[#This Row],[ID]], Table4[ID], Table4[Regular], "Not Found", 0)</f>
        <v>34</v>
      </c>
      <c r="R888" s="5">
        <f>_xlfn.XLOOKUP(CustomerCombined[[#This Row],[ID]], Table4[ID], Table4[Deals], "Not Found", 0)</f>
        <v>2</v>
      </c>
      <c r="S888" s="5">
        <f>_xlfn.XLOOKUP(CustomerCombined[[#This Row],[ID]], Table4[ID], Table4[Website], "Not Found", 0)</f>
        <v>1</v>
      </c>
      <c r="T888" s="5">
        <f>_xlfn.XLOOKUP(CustomerCombined[[#This Row],[ID]], Table4[ID], Table4[Catalog], "Not Found", 0)</f>
        <v>1</v>
      </c>
      <c r="U888" s="5">
        <f>_xlfn.XLOOKUP(CustomerCombined[[#This Row],[ID]], Table4[ID], Table4[Store], "Not Found", 0)</f>
        <v>2</v>
      </c>
      <c r="V888" s="5">
        <f>_xlfn.XLOOKUP(CustomerCombined[[#This Row],[ID]], Table4[ID], Table4[Visits], "Not Found", 0)</f>
        <v>5</v>
      </c>
      <c r="W888" s="8">
        <f>_xlfn.XLOOKUP(CustomerCombined[[#This Row],[ID]], Table2[ID],Table2[Complaint], "Not Found", 0 )</f>
        <v>0</v>
      </c>
      <c r="X888" s="8">
        <f>_xlfn.XLOOKUP(CustomerCombined[[#This Row],[ID]], Table2[ID],Table2[Pilot], "Not Found", 0 )</f>
        <v>1</v>
      </c>
      <c r="Y888" s="8">
        <f>_xlfn.XLOOKUP(CustomerCombined[[#This Row],[ID]], Table2[ID],Table2[MC1], "Not Found", 0 )</f>
        <v>0</v>
      </c>
      <c r="Z888" s="8">
        <f>_xlfn.XLOOKUP(CustomerCombined[[#This Row],[ID]], Table2[ID],Table2[MC2], "Not Found", 0 )</f>
        <v>0</v>
      </c>
      <c r="AA888" s="8">
        <f>_xlfn.XLOOKUP(CustomerCombined[[#This Row],[ID]], Table2[ID],Table2[MC3], "Not Found", 0 )</f>
        <v>1</v>
      </c>
      <c r="AB888" s="8">
        <f>_xlfn.XLOOKUP(CustomerCombined[[#This Row],[ID]], Table2[ID],Table2[MC4], "Not Found", 0 )</f>
        <v>0</v>
      </c>
      <c r="AC888" s="8">
        <f>_xlfn.XLOOKUP(CustomerCombined[[#This Row],[ID]], Table2[ID],Table2[MC5], "Not Found", 0 )</f>
        <v>0</v>
      </c>
    </row>
    <row r="889" spans="1:29" x14ac:dyDescent="0.3">
      <c r="A889" s="6">
        <v>2044</v>
      </c>
      <c r="B889" s="6">
        <v>135860</v>
      </c>
      <c r="C889" s="6">
        <v>1</v>
      </c>
      <c r="D889" s="6">
        <v>1</v>
      </c>
      <c r="E889" s="6">
        <v>47</v>
      </c>
      <c r="F889" s="5" t="s">
        <v>5</v>
      </c>
      <c r="G889" s="5" t="s">
        <v>13</v>
      </c>
      <c r="H889" s="3" t="s">
        <v>46</v>
      </c>
      <c r="I889" s="5" t="s">
        <v>439</v>
      </c>
      <c r="J889" s="5">
        <f>_xlfn.XLOOKUP(CustomerCombined[[#This Row],[ID]], Table4[ID], Table4[Recency], "Not Found", 0)</f>
        <v>37</v>
      </c>
      <c r="K889" s="5">
        <f>_xlfn.XLOOKUP(CustomerCombined[[#This Row],[ID]], Table4[ID], Table4[Teas], "Not Found", 0)</f>
        <v>57</v>
      </c>
      <c r="L889" s="5">
        <f>_xlfn.XLOOKUP(CustomerCombined[[#This Row],[ID]], Table4[ID], Table4[Fruits], "Not Found", 0)</f>
        <v>0</v>
      </c>
      <c r="M889" s="5">
        <f>_xlfn.XLOOKUP(CustomerCombined[[#This Row],[ID]], Table4[ID], Table4[Meats], "Not Found", 0)</f>
        <v>30</v>
      </c>
      <c r="N889" s="5">
        <f>_xlfn.XLOOKUP(CustomerCombined[[#This Row],[ID]], Table4[ID], Table4[Seafood], "Not Found", 0)</f>
        <v>15</v>
      </c>
      <c r="O889" s="5">
        <f>_xlfn.XLOOKUP(CustomerCombined[[#This Row],[ID]], Table4[ID], Table4[Sweets], "Not Found", 0)</f>
        <v>8</v>
      </c>
      <c r="P889" s="5">
        <f>_xlfn.XLOOKUP(CustomerCombined[[#This Row],[ID]], Table4[ID], Table4[Premium], "Not Found", 0)</f>
        <v>76</v>
      </c>
      <c r="Q889" s="5">
        <f>_xlfn.XLOOKUP(CustomerCombined[[#This Row],[ID]], Table4[ID], Table4[Regular], "Not Found", 0)</f>
        <v>34</v>
      </c>
      <c r="R889" s="5">
        <f>_xlfn.XLOOKUP(CustomerCombined[[#This Row],[ID]], Table4[ID], Table4[Deals], "Not Found", 0)</f>
        <v>2</v>
      </c>
      <c r="S889" s="5">
        <f>_xlfn.XLOOKUP(CustomerCombined[[#This Row],[ID]], Table4[ID], Table4[Website], "Not Found", 0)</f>
        <v>1</v>
      </c>
      <c r="T889" s="5">
        <f>_xlfn.XLOOKUP(CustomerCombined[[#This Row],[ID]], Table4[ID], Table4[Catalog], "Not Found", 0)</f>
        <v>1</v>
      </c>
      <c r="U889" s="5">
        <f>_xlfn.XLOOKUP(CustomerCombined[[#This Row],[ID]], Table4[ID], Table4[Store], "Not Found", 0)</f>
        <v>2</v>
      </c>
      <c r="V889" s="5">
        <f>_xlfn.XLOOKUP(CustomerCombined[[#This Row],[ID]], Table4[ID], Table4[Visits], "Not Found", 0)</f>
        <v>5</v>
      </c>
      <c r="W889" s="8">
        <f>_xlfn.XLOOKUP(CustomerCombined[[#This Row],[ID]], Table2[ID],Table2[Complaint], "Not Found", 0 )</f>
        <v>0</v>
      </c>
      <c r="X889" s="8">
        <f>_xlfn.XLOOKUP(CustomerCombined[[#This Row],[ID]], Table2[ID],Table2[Pilot], "Not Found", 0 )</f>
        <v>0</v>
      </c>
      <c r="Y889" s="8">
        <f>_xlfn.XLOOKUP(CustomerCombined[[#This Row],[ID]], Table2[ID],Table2[MC1], "Not Found", 0 )</f>
        <v>0</v>
      </c>
      <c r="Z889" s="8">
        <f>_xlfn.XLOOKUP(CustomerCombined[[#This Row],[ID]], Table2[ID],Table2[MC2], "Not Found", 0 )</f>
        <v>0</v>
      </c>
      <c r="AA889" s="8">
        <f>_xlfn.XLOOKUP(CustomerCombined[[#This Row],[ID]], Table2[ID],Table2[MC3], "Not Found", 0 )</f>
        <v>1</v>
      </c>
      <c r="AB889" s="8">
        <f>_xlfn.XLOOKUP(CustomerCombined[[#This Row],[ID]], Table2[ID],Table2[MC4], "Not Found", 0 )</f>
        <v>0</v>
      </c>
      <c r="AC889" s="8">
        <f>_xlfn.XLOOKUP(CustomerCombined[[#This Row],[ID]], Table2[ID],Table2[MC5], "Not Found", 0 )</f>
        <v>0</v>
      </c>
    </row>
    <row r="890" spans="1:29" x14ac:dyDescent="0.3">
      <c r="A890" s="6">
        <v>2241</v>
      </c>
      <c r="B890" s="6">
        <v>135860</v>
      </c>
      <c r="C890" s="6">
        <v>1</v>
      </c>
      <c r="D890" s="6">
        <v>1</v>
      </c>
      <c r="E890" s="6">
        <v>47</v>
      </c>
      <c r="F890" s="5" t="s">
        <v>5</v>
      </c>
      <c r="G890" s="5" t="s">
        <v>13</v>
      </c>
      <c r="H890" s="3" t="s">
        <v>46</v>
      </c>
      <c r="I890" s="5" t="s">
        <v>435</v>
      </c>
      <c r="J890" s="5">
        <f>_xlfn.XLOOKUP(CustomerCombined[[#This Row],[ID]], Table4[ID], Table4[Recency], "Not Found", 0)</f>
        <v>37</v>
      </c>
      <c r="K890" s="5">
        <f>_xlfn.XLOOKUP(CustomerCombined[[#This Row],[ID]], Table4[ID], Table4[Teas], "Not Found", 0)</f>
        <v>57</v>
      </c>
      <c r="L890" s="5">
        <f>_xlfn.XLOOKUP(CustomerCombined[[#This Row],[ID]], Table4[ID], Table4[Fruits], "Not Found", 0)</f>
        <v>0</v>
      </c>
      <c r="M890" s="5">
        <f>_xlfn.XLOOKUP(CustomerCombined[[#This Row],[ID]], Table4[ID], Table4[Meats], "Not Found", 0)</f>
        <v>30</v>
      </c>
      <c r="N890" s="5">
        <f>_xlfn.XLOOKUP(CustomerCombined[[#This Row],[ID]], Table4[ID], Table4[Seafood], "Not Found", 0)</f>
        <v>15</v>
      </c>
      <c r="O890" s="5">
        <f>_xlfn.XLOOKUP(CustomerCombined[[#This Row],[ID]], Table4[ID], Table4[Sweets], "Not Found", 0)</f>
        <v>8</v>
      </c>
      <c r="P890" s="5">
        <f>_xlfn.XLOOKUP(CustomerCombined[[#This Row],[ID]], Table4[ID], Table4[Premium], "Not Found", 0)</f>
        <v>76</v>
      </c>
      <c r="Q890" s="5">
        <f>_xlfn.XLOOKUP(CustomerCombined[[#This Row],[ID]], Table4[ID], Table4[Regular], "Not Found", 0)</f>
        <v>34</v>
      </c>
      <c r="R890" s="5">
        <f>_xlfn.XLOOKUP(CustomerCombined[[#This Row],[ID]], Table4[ID], Table4[Deals], "Not Found", 0)</f>
        <v>2</v>
      </c>
      <c r="S890" s="5">
        <f>_xlfn.XLOOKUP(CustomerCombined[[#This Row],[ID]], Table4[ID], Table4[Website], "Not Found", 0)</f>
        <v>1</v>
      </c>
      <c r="T890" s="5">
        <f>_xlfn.XLOOKUP(CustomerCombined[[#This Row],[ID]], Table4[ID], Table4[Catalog], "Not Found", 0)</f>
        <v>1</v>
      </c>
      <c r="U890" s="5">
        <f>_xlfn.XLOOKUP(CustomerCombined[[#This Row],[ID]], Table4[ID], Table4[Store], "Not Found", 0)</f>
        <v>2</v>
      </c>
      <c r="V890" s="5">
        <f>_xlfn.XLOOKUP(CustomerCombined[[#This Row],[ID]], Table4[ID], Table4[Visits], "Not Found", 0)</f>
        <v>5</v>
      </c>
      <c r="W890" s="8">
        <f>_xlfn.XLOOKUP(CustomerCombined[[#This Row],[ID]], Table2[ID],Table2[Complaint], "Not Found", 0 )</f>
        <v>0</v>
      </c>
      <c r="X890" s="8">
        <f>_xlfn.XLOOKUP(CustomerCombined[[#This Row],[ID]], Table2[ID],Table2[Pilot], "Not Found", 0 )</f>
        <v>0</v>
      </c>
      <c r="Y890" s="8">
        <f>_xlfn.XLOOKUP(CustomerCombined[[#This Row],[ID]], Table2[ID],Table2[MC1], "Not Found", 0 )</f>
        <v>0</v>
      </c>
      <c r="Z890" s="8">
        <f>_xlfn.XLOOKUP(CustomerCombined[[#This Row],[ID]], Table2[ID],Table2[MC2], "Not Found", 0 )</f>
        <v>0</v>
      </c>
      <c r="AA890" s="8">
        <f>_xlfn.XLOOKUP(CustomerCombined[[#This Row],[ID]], Table2[ID],Table2[MC3], "Not Found", 0 )</f>
        <v>1</v>
      </c>
      <c r="AB890" s="8">
        <f>_xlfn.XLOOKUP(CustomerCombined[[#This Row],[ID]], Table2[ID],Table2[MC4], "Not Found", 0 )</f>
        <v>0</v>
      </c>
      <c r="AC890" s="8">
        <f>_xlfn.XLOOKUP(CustomerCombined[[#This Row],[ID]], Table2[ID],Table2[MC5], "Not Found", 0 )</f>
        <v>0</v>
      </c>
    </row>
    <row r="891" spans="1:29" x14ac:dyDescent="0.3">
      <c r="A891" s="6">
        <v>2561</v>
      </c>
      <c r="B891" s="6">
        <v>135860</v>
      </c>
      <c r="C891" s="6">
        <v>1</v>
      </c>
      <c r="D891" s="6">
        <v>1</v>
      </c>
      <c r="E891" s="6">
        <v>47</v>
      </c>
      <c r="F891" s="5" t="s">
        <v>5</v>
      </c>
      <c r="G891" s="5" t="s">
        <v>13</v>
      </c>
      <c r="H891" s="3" t="s">
        <v>46</v>
      </c>
      <c r="I891" s="5" t="s">
        <v>434</v>
      </c>
      <c r="J891" s="5">
        <f>_xlfn.XLOOKUP(CustomerCombined[[#This Row],[ID]], Table4[ID], Table4[Recency], "Not Found", 0)</f>
        <v>37</v>
      </c>
      <c r="K891" s="5">
        <f>_xlfn.XLOOKUP(CustomerCombined[[#This Row],[ID]], Table4[ID], Table4[Teas], "Not Found", 0)</f>
        <v>57</v>
      </c>
      <c r="L891" s="5">
        <f>_xlfn.XLOOKUP(CustomerCombined[[#This Row],[ID]], Table4[ID], Table4[Fruits], "Not Found", 0)</f>
        <v>0</v>
      </c>
      <c r="M891" s="5">
        <f>_xlfn.XLOOKUP(CustomerCombined[[#This Row],[ID]], Table4[ID], Table4[Meats], "Not Found", 0)</f>
        <v>30</v>
      </c>
      <c r="N891" s="5">
        <f>_xlfn.XLOOKUP(CustomerCombined[[#This Row],[ID]], Table4[ID], Table4[Seafood], "Not Found", 0)</f>
        <v>15</v>
      </c>
      <c r="O891" s="5">
        <f>_xlfn.XLOOKUP(CustomerCombined[[#This Row],[ID]], Table4[ID], Table4[Sweets], "Not Found", 0)</f>
        <v>8</v>
      </c>
      <c r="P891" s="5">
        <f>_xlfn.XLOOKUP(CustomerCombined[[#This Row],[ID]], Table4[ID], Table4[Premium], "Not Found", 0)</f>
        <v>76</v>
      </c>
      <c r="Q891" s="5">
        <f>_xlfn.XLOOKUP(CustomerCombined[[#This Row],[ID]], Table4[ID], Table4[Regular], "Not Found", 0)</f>
        <v>34</v>
      </c>
      <c r="R891" s="5">
        <f>_xlfn.XLOOKUP(CustomerCombined[[#This Row],[ID]], Table4[ID], Table4[Deals], "Not Found", 0)</f>
        <v>2</v>
      </c>
      <c r="S891" s="5">
        <f>_xlfn.XLOOKUP(CustomerCombined[[#This Row],[ID]], Table4[ID], Table4[Website], "Not Found", 0)</f>
        <v>1</v>
      </c>
      <c r="T891" s="5">
        <f>_xlfn.XLOOKUP(CustomerCombined[[#This Row],[ID]], Table4[ID], Table4[Catalog], "Not Found", 0)</f>
        <v>1</v>
      </c>
      <c r="U891" s="5">
        <f>_xlfn.XLOOKUP(CustomerCombined[[#This Row],[ID]], Table4[ID], Table4[Store], "Not Found", 0)</f>
        <v>2</v>
      </c>
      <c r="V891" s="5">
        <f>_xlfn.XLOOKUP(CustomerCombined[[#This Row],[ID]], Table4[ID], Table4[Visits], "Not Found", 0)</f>
        <v>5</v>
      </c>
      <c r="W891" s="8">
        <f>_xlfn.XLOOKUP(CustomerCombined[[#This Row],[ID]], Table2[ID],Table2[Complaint], "Not Found", 0 )</f>
        <v>0</v>
      </c>
      <c r="X891" s="8">
        <f>_xlfn.XLOOKUP(CustomerCombined[[#This Row],[ID]], Table2[ID],Table2[Pilot], "Not Found", 0 )</f>
        <v>1</v>
      </c>
      <c r="Y891" s="8">
        <f>_xlfn.XLOOKUP(CustomerCombined[[#This Row],[ID]], Table2[ID],Table2[MC1], "Not Found", 0 )</f>
        <v>0</v>
      </c>
      <c r="Z891" s="8">
        <f>_xlfn.XLOOKUP(CustomerCombined[[#This Row],[ID]], Table2[ID],Table2[MC2], "Not Found", 0 )</f>
        <v>0</v>
      </c>
      <c r="AA891" s="8">
        <f>_xlfn.XLOOKUP(CustomerCombined[[#This Row],[ID]], Table2[ID],Table2[MC3], "Not Found", 0 )</f>
        <v>1</v>
      </c>
      <c r="AB891" s="8">
        <f>_xlfn.XLOOKUP(CustomerCombined[[#This Row],[ID]], Table2[ID],Table2[MC4], "Not Found", 0 )</f>
        <v>0</v>
      </c>
      <c r="AC891" s="8">
        <f>_xlfn.XLOOKUP(CustomerCombined[[#This Row],[ID]], Table2[ID],Table2[MC5], "Not Found", 0 )</f>
        <v>0</v>
      </c>
    </row>
    <row r="892" spans="1:29" x14ac:dyDescent="0.3">
      <c r="A892" s="6">
        <v>1138</v>
      </c>
      <c r="B892" s="6">
        <v>135688</v>
      </c>
      <c r="C892" s="6">
        <v>2</v>
      </c>
      <c r="D892" s="6">
        <v>1</v>
      </c>
      <c r="E892" s="6">
        <v>47</v>
      </c>
      <c r="F892" s="5" t="s">
        <v>6</v>
      </c>
      <c r="G892" s="5" t="s">
        <v>442</v>
      </c>
      <c r="H892" s="3" t="s">
        <v>406</v>
      </c>
      <c r="I892" s="5" t="s">
        <v>439</v>
      </c>
      <c r="J892" s="5">
        <f>_xlfn.XLOOKUP(CustomerCombined[[#This Row],[ID]], Table4[ID], Table4[Recency], "Not Found", 0)</f>
        <v>94</v>
      </c>
      <c r="K892" s="5">
        <f>_xlfn.XLOOKUP(CustomerCombined[[#This Row],[ID]], Table4[ID], Table4[Teas], "Not Found", 0)</f>
        <v>278</v>
      </c>
      <c r="L892" s="5">
        <f>_xlfn.XLOOKUP(CustomerCombined[[#This Row],[ID]], Table4[ID], Table4[Fruits], "Not Found", 0)</f>
        <v>11</v>
      </c>
      <c r="M892" s="5">
        <f>_xlfn.XLOOKUP(CustomerCombined[[#This Row],[ID]], Table4[ID], Table4[Meats], "Not Found", 0)</f>
        <v>342</v>
      </c>
      <c r="N892" s="5">
        <f>_xlfn.XLOOKUP(CustomerCombined[[#This Row],[ID]], Table4[ID], Table4[Seafood], "Not Found", 0)</f>
        <v>46</v>
      </c>
      <c r="O892" s="5">
        <f>_xlfn.XLOOKUP(CustomerCombined[[#This Row],[ID]], Table4[ID], Table4[Sweets], "Not Found", 0)</f>
        <v>4</v>
      </c>
      <c r="P892" s="5">
        <f>_xlfn.XLOOKUP(CustomerCombined[[#This Row],[ID]], Table4[ID], Table4[Premium], "Not Found", 0)</f>
        <v>122</v>
      </c>
      <c r="Q892" s="5">
        <f>_xlfn.XLOOKUP(CustomerCombined[[#This Row],[ID]], Table4[ID], Table4[Regular], "Not Found", 0)</f>
        <v>559</v>
      </c>
      <c r="R892" s="5">
        <f>_xlfn.XLOOKUP(CustomerCombined[[#This Row],[ID]], Table4[ID], Table4[Deals], "Not Found", 0)</f>
        <v>7</v>
      </c>
      <c r="S892" s="5">
        <f>_xlfn.XLOOKUP(CustomerCombined[[#This Row],[ID]], Table4[ID], Table4[Website], "Not Found", 0)</f>
        <v>4</v>
      </c>
      <c r="T892" s="5">
        <f>_xlfn.XLOOKUP(CustomerCombined[[#This Row],[ID]], Table4[ID], Table4[Catalog], "Not Found", 0)</f>
        <v>1</v>
      </c>
      <c r="U892" s="5">
        <f>_xlfn.XLOOKUP(CustomerCombined[[#This Row],[ID]], Table4[ID], Table4[Store], "Not Found", 0)</f>
        <v>4</v>
      </c>
      <c r="V892" s="5">
        <f>_xlfn.XLOOKUP(CustomerCombined[[#This Row],[ID]], Table4[ID], Table4[Visits], "Not Found", 0)</f>
        <v>8</v>
      </c>
      <c r="W892" s="8">
        <f>_xlfn.XLOOKUP(CustomerCombined[[#This Row],[ID]], Table2[ID],Table2[Complaint], "Not Found", 0 )</f>
        <v>0</v>
      </c>
      <c r="X892" s="8">
        <f>_xlfn.XLOOKUP(CustomerCombined[[#This Row],[ID]], Table2[ID],Table2[Pilot], "Not Found", 0 )</f>
        <v>0</v>
      </c>
      <c r="Y892" s="8">
        <f>_xlfn.XLOOKUP(CustomerCombined[[#This Row],[ID]], Table2[ID],Table2[MC1], "Not Found", 0 )</f>
        <v>0</v>
      </c>
      <c r="Z892" s="8">
        <f>_xlfn.XLOOKUP(CustomerCombined[[#This Row],[ID]], Table2[ID],Table2[MC2], "Not Found", 0 )</f>
        <v>0</v>
      </c>
      <c r="AA892" s="8">
        <f>_xlfn.XLOOKUP(CustomerCombined[[#This Row],[ID]], Table2[ID],Table2[MC3], "Not Found", 0 )</f>
        <v>0</v>
      </c>
      <c r="AB892" s="8">
        <f>_xlfn.XLOOKUP(CustomerCombined[[#This Row],[ID]], Table2[ID],Table2[MC4], "Not Found", 0 )</f>
        <v>0</v>
      </c>
      <c r="AC892" s="8">
        <f>_xlfn.XLOOKUP(CustomerCombined[[#This Row],[ID]], Table2[ID],Table2[MC5], "Not Found", 0 )</f>
        <v>0</v>
      </c>
    </row>
    <row r="893" spans="1:29" x14ac:dyDescent="0.3">
      <c r="A893" s="6">
        <v>1367</v>
      </c>
      <c r="B893" s="6">
        <v>135688</v>
      </c>
      <c r="C893" s="6">
        <v>2</v>
      </c>
      <c r="D893" s="6">
        <v>1</v>
      </c>
      <c r="E893" s="6">
        <v>47</v>
      </c>
      <c r="F893" s="5" t="s">
        <v>6</v>
      </c>
      <c r="G893" s="5" t="s">
        <v>442</v>
      </c>
      <c r="H893" s="3" t="s">
        <v>406</v>
      </c>
      <c r="I893" s="5" t="s">
        <v>434</v>
      </c>
      <c r="J893" s="5">
        <f>_xlfn.XLOOKUP(CustomerCombined[[#This Row],[ID]], Table4[ID], Table4[Recency], "Not Found", 0)</f>
        <v>94</v>
      </c>
      <c r="K893" s="5">
        <f>_xlfn.XLOOKUP(CustomerCombined[[#This Row],[ID]], Table4[ID], Table4[Teas], "Not Found", 0)</f>
        <v>278</v>
      </c>
      <c r="L893" s="5">
        <f>_xlfn.XLOOKUP(CustomerCombined[[#This Row],[ID]], Table4[ID], Table4[Fruits], "Not Found", 0)</f>
        <v>11</v>
      </c>
      <c r="M893" s="5">
        <f>_xlfn.XLOOKUP(CustomerCombined[[#This Row],[ID]], Table4[ID], Table4[Meats], "Not Found", 0)</f>
        <v>342</v>
      </c>
      <c r="N893" s="5">
        <f>_xlfn.XLOOKUP(CustomerCombined[[#This Row],[ID]], Table4[ID], Table4[Seafood], "Not Found", 0)</f>
        <v>46</v>
      </c>
      <c r="O893" s="5">
        <f>_xlfn.XLOOKUP(CustomerCombined[[#This Row],[ID]], Table4[ID], Table4[Sweets], "Not Found", 0)</f>
        <v>4</v>
      </c>
      <c r="P893" s="5">
        <f>_xlfn.XLOOKUP(CustomerCombined[[#This Row],[ID]], Table4[ID], Table4[Premium], "Not Found", 0)</f>
        <v>122</v>
      </c>
      <c r="Q893" s="5">
        <f>_xlfn.XLOOKUP(CustomerCombined[[#This Row],[ID]], Table4[ID], Table4[Regular], "Not Found", 0)</f>
        <v>559</v>
      </c>
      <c r="R893" s="5">
        <f>_xlfn.XLOOKUP(CustomerCombined[[#This Row],[ID]], Table4[ID], Table4[Deals], "Not Found", 0)</f>
        <v>7</v>
      </c>
      <c r="S893" s="5">
        <f>_xlfn.XLOOKUP(CustomerCombined[[#This Row],[ID]], Table4[ID], Table4[Website], "Not Found", 0)</f>
        <v>4</v>
      </c>
      <c r="T893" s="5">
        <f>_xlfn.XLOOKUP(CustomerCombined[[#This Row],[ID]], Table4[ID], Table4[Catalog], "Not Found", 0)</f>
        <v>1</v>
      </c>
      <c r="U893" s="5">
        <f>_xlfn.XLOOKUP(CustomerCombined[[#This Row],[ID]], Table4[ID], Table4[Store], "Not Found", 0)</f>
        <v>4</v>
      </c>
      <c r="V893" s="5">
        <f>_xlfn.XLOOKUP(CustomerCombined[[#This Row],[ID]], Table4[ID], Table4[Visits], "Not Found", 0)</f>
        <v>8</v>
      </c>
      <c r="W893" s="8">
        <f>_xlfn.XLOOKUP(CustomerCombined[[#This Row],[ID]], Table2[ID],Table2[Complaint], "Not Found", 0 )</f>
        <v>0</v>
      </c>
      <c r="X893" s="8">
        <f>_xlfn.XLOOKUP(CustomerCombined[[#This Row],[ID]], Table2[ID],Table2[Pilot], "Not Found", 0 )</f>
        <v>0</v>
      </c>
      <c r="Y893" s="8">
        <f>_xlfn.XLOOKUP(CustomerCombined[[#This Row],[ID]], Table2[ID],Table2[MC1], "Not Found", 0 )</f>
        <v>0</v>
      </c>
      <c r="Z893" s="8">
        <f>_xlfn.XLOOKUP(CustomerCombined[[#This Row],[ID]], Table2[ID],Table2[MC2], "Not Found", 0 )</f>
        <v>0</v>
      </c>
      <c r="AA893" s="8">
        <f>_xlfn.XLOOKUP(CustomerCombined[[#This Row],[ID]], Table2[ID],Table2[MC3], "Not Found", 0 )</f>
        <v>0</v>
      </c>
      <c r="AB893" s="8">
        <f>_xlfn.XLOOKUP(CustomerCombined[[#This Row],[ID]], Table2[ID],Table2[MC4], "Not Found", 0 )</f>
        <v>0</v>
      </c>
      <c r="AC893" s="8">
        <f>_xlfn.XLOOKUP(CustomerCombined[[#This Row],[ID]], Table2[ID],Table2[MC5], "Not Found", 0 )</f>
        <v>0</v>
      </c>
    </row>
    <row r="894" spans="1:29" x14ac:dyDescent="0.3">
      <c r="A894" s="6">
        <v>2001</v>
      </c>
      <c r="B894" s="6">
        <v>134961</v>
      </c>
      <c r="C894" s="6">
        <v>1</v>
      </c>
      <c r="D894" s="6">
        <v>0</v>
      </c>
      <c r="E894" s="6">
        <v>47</v>
      </c>
      <c r="F894" s="5" t="s">
        <v>6</v>
      </c>
      <c r="G894" s="5" t="s">
        <v>11</v>
      </c>
      <c r="H894" s="3" t="s">
        <v>30</v>
      </c>
      <c r="I894" s="5" t="s">
        <v>435</v>
      </c>
      <c r="J894" s="5">
        <f>_xlfn.XLOOKUP(CustomerCombined[[#This Row],[ID]], Table4[ID], Table4[Recency], "Not Found", 0)</f>
        <v>77</v>
      </c>
      <c r="K894" s="5">
        <f>_xlfn.XLOOKUP(CustomerCombined[[#This Row],[ID]], Table4[ID], Table4[Teas], "Not Found", 0)</f>
        <v>174</v>
      </c>
      <c r="L894" s="5">
        <f>_xlfn.XLOOKUP(CustomerCombined[[#This Row],[ID]], Table4[ID], Table4[Fruits], "Not Found", 0)</f>
        <v>8</v>
      </c>
      <c r="M894" s="5">
        <f>_xlfn.XLOOKUP(CustomerCombined[[#This Row],[ID]], Table4[ID], Table4[Meats], "Not Found", 0)</f>
        <v>100</v>
      </c>
      <c r="N894" s="5">
        <f>_xlfn.XLOOKUP(CustomerCombined[[#This Row],[ID]], Table4[ID], Table4[Seafood], "Not Found", 0)</f>
        <v>15</v>
      </c>
      <c r="O894" s="5">
        <f>_xlfn.XLOOKUP(CustomerCombined[[#This Row],[ID]], Table4[ID], Table4[Sweets], "Not Found", 0)</f>
        <v>4</v>
      </c>
      <c r="P894" s="5">
        <f>_xlfn.XLOOKUP(CustomerCombined[[#This Row],[ID]], Table4[ID], Table4[Premium], "Not Found", 0)</f>
        <v>4</v>
      </c>
      <c r="Q894" s="5">
        <f>_xlfn.XLOOKUP(CustomerCombined[[#This Row],[ID]], Table4[ID], Table4[Regular], "Not Found", 0)</f>
        <v>297</v>
      </c>
      <c r="R894" s="5">
        <f>_xlfn.XLOOKUP(CustomerCombined[[#This Row],[ID]], Table4[ID], Table4[Deals], "Not Found", 0)</f>
        <v>3</v>
      </c>
      <c r="S894" s="5">
        <f>_xlfn.XLOOKUP(CustomerCombined[[#This Row],[ID]], Table4[ID], Table4[Website], "Not Found", 0)</f>
        <v>3</v>
      </c>
      <c r="T894" s="5">
        <f>_xlfn.XLOOKUP(CustomerCombined[[#This Row],[ID]], Table4[ID], Table4[Catalog], "Not Found", 0)</f>
        <v>1</v>
      </c>
      <c r="U894" s="5">
        <f>_xlfn.XLOOKUP(CustomerCombined[[#This Row],[ID]], Table4[ID], Table4[Store], "Not Found", 0)</f>
        <v>3</v>
      </c>
      <c r="V894" s="5">
        <f>_xlfn.XLOOKUP(CustomerCombined[[#This Row],[ID]], Table4[ID], Table4[Visits], "Not Found", 0)</f>
        <v>7</v>
      </c>
      <c r="W894" s="8">
        <f>_xlfn.XLOOKUP(CustomerCombined[[#This Row],[ID]], Table2[ID],Table2[Complaint], "Not Found", 0 )</f>
        <v>0</v>
      </c>
      <c r="X894" s="8">
        <f>_xlfn.XLOOKUP(CustomerCombined[[#This Row],[ID]], Table2[ID],Table2[Pilot], "Not Found", 0 )</f>
        <v>0</v>
      </c>
      <c r="Y894" s="8">
        <f>_xlfn.XLOOKUP(CustomerCombined[[#This Row],[ID]], Table2[ID],Table2[MC1], "Not Found", 0 )</f>
        <v>0</v>
      </c>
      <c r="Z894" s="8">
        <f>_xlfn.XLOOKUP(CustomerCombined[[#This Row],[ID]], Table2[ID],Table2[MC2], "Not Found", 0 )</f>
        <v>0</v>
      </c>
      <c r="AA894" s="8">
        <f>_xlfn.XLOOKUP(CustomerCombined[[#This Row],[ID]], Table2[ID],Table2[MC3], "Not Found", 0 )</f>
        <v>0</v>
      </c>
      <c r="AB894" s="8">
        <f>_xlfn.XLOOKUP(CustomerCombined[[#This Row],[ID]], Table2[ID],Table2[MC4], "Not Found", 0 )</f>
        <v>0</v>
      </c>
      <c r="AC894" s="8">
        <f>_xlfn.XLOOKUP(CustomerCombined[[#This Row],[ID]], Table2[ID],Table2[MC5], "Not Found", 0 )</f>
        <v>0</v>
      </c>
    </row>
    <row r="895" spans="1:29" x14ac:dyDescent="0.3">
      <c r="A895" s="6">
        <v>2409</v>
      </c>
      <c r="B895" s="6">
        <v>134853</v>
      </c>
      <c r="C895" s="6">
        <v>1</v>
      </c>
      <c r="D895" s="6">
        <v>1</v>
      </c>
      <c r="E895" s="6">
        <v>47</v>
      </c>
      <c r="F895" s="5" t="s">
        <v>7</v>
      </c>
      <c r="G895" s="5" t="s">
        <v>11</v>
      </c>
      <c r="H895" s="3" t="s">
        <v>125</v>
      </c>
      <c r="I895" s="5" t="s">
        <v>435</v>
      </c>
      <c r="J895" s="5">
        <f>_xlfn.XLOOKUP(CustomerCombined[[#This Row],[ID]], Table4[ID], Table4[Recency], "Not Found", 0)</f>
        <v>75</v>
      </c>
      <c r="K895" s="5">
        <f>_xlfn.XLOOKUP(CustomerCombined[[#This Row],[ID]], Table4[ID], Table4[Teas], "Not Found", 0)</f>
        <v>35</v>
      </c>
      <c r="L895" s="5">
        <f>_xlfn.XLOOKUP(CustomerCombined[[#This Row],[ID]], Table4[ID], Table4[Fruits], "Not Found", 0)</f>
        <v>12</v>
      </c>
      <c r="M895" s="5">
        <f>_xlfn.XLOOKUP(CustomerCombined[[#This Row],[ID]], Table4[ID], Table4[Meats], "Not Found", 0)</f>
        <v>58</v>
      </c>
      <c r="N895" s="5">
        <f>_xlfn.XLOOKUP(CustomerCombined[[#This Row],[ID]], Table4[ID], Table4[Seafood], "Not Found", 0)</f>
        <v>8</v>
      </c>
      <c r="O895" s="5">
        <f>_xlfn.XLOOKUP(CustomerCombined[[#This Row],[ID]], Table4[ID], Table4[Sweets], "Not Found", 0)</f>
        <v>12</v>
      </c>
      <c r="P895" s="5">
        <f>_xlfn.XLOOKUP(CustomerCombined[[#This Row],[ID]], Table4[ID], Table4[Premium], "Not Found", 0)</f>
        <v>8</v>
      </c>
      <c r="Q895" s="5">
        <f>_xlfn.XLOOKUP(CustomerCombined[[#This Row],[ID]], Table4[ID], Table4[Regular], "Not Found", 0)</f>
        <v>116</v>
      </c>
      <c r="R895" s="5">
        <f>_xlfn.XLOOKUP(CustomerCombined[[#This Row],[ID]], Table4[ID], Table4[Deals], "Not Found", 0)</f>
        <v>2</v>
      </c>
      <c r="S895" s="5">
        <f>_xlfn.XLOOKUP(CustomerCombined[[#This Row],[ID]], Table4[ID], Table4[Website], "Not Found", 0)</f>
        <v>2</v>
      </c>
      <c r="T895" s="5">
        <f>_xlfn.XLOOKUP(CustomerCombined[[#This Row],[ID]], Table4[ID], Table4[Catalog], "Not Found", 0)</f>
        <v>0</v>
      </c>
      <c r="U895" s="5">
        <f>_xlfn.XLOOKUP(CustomerCombined[[#This Row],[ID]], Table4[ID], Table4[Store], "Not Found", 0)</f>
        <v>3</v>
      </c>
      <c r="V895" s="5">
        <f>_xlfn.XLOOKUP(CustomerCombined[[#This Row],[ID]], Table4[ID], Table4[Visits], "Not Found", 0)</f>
        <v>6</v>
      </c>
      <c r="W895" s="8">
        <f>_xlfn.XLOOKUP(CustomerCombined[[#This Row],[ID]], Table2[ID],Table2[Complaint], "Not Found", 0 )</f>
        <v>0</v>
      </c>
      <c r="X895" s="8">
        <f>_xlfn.XLOOKUP(CustomerCombined[[#This Row],[ID]], Table2[ID],Table2[Pilot], "Not Found", 0 )</f>
        <v>0</v>
      </c>
      <c r="Y895" s="8">
        <f>_xlfn.XLOOKUP(CustomerCombined[[#This Row],[ID]], Table2[ID],Table2[MC1], "Not Found", 0 )</f>
        <v>0</v>
      </c>
      <c r="Z895" s="8">
        <f>_xlfn.XLOOKUP(CustomerCombined[[#This Row],[ID]], Table2[ID],Table2[MC2], "Not Found", 0 )</f>
        <v>0</v>
      </c>
      <c r="AA895" s="8">
        <f>_xlfn.XLOOKUP(CustomerCombined[[#This Row],[ID]], Table2[ID],Table2[MC3], "Not Found", 0 )</f>
        <v>0</v>
      </c>
      <c r="AB895" s="8">
        <f>_xlfn.XLOOKUP(CustomerCombined[[#This Row],[ID]], Table2[ID],Table2[MC4], "Not Found", 0 )</f>
        <v>0</v>
      </c>
      <c r="AC895" s="8">
        <f>_xlfn.XLOOKUP(CustomerCombined[[#This Row],[ID]], Table2[ID],Table2[MC5], "Not Found", 0 )</f>
        <v>0</v>
      </c>
    </row>
    <row r="896" spans="1:29" x14ac:dyDescent="0.3">
      <c r="A896" s="6">
        <v>1948</v>
      </c>
      <c r="B896" s="6">
        <v>133471</v>
      </c>
      <c r="C896" s="6">
        <v>1</v>
      </c>
      <c r="D896" s="6">
        <v>0</v>
      </c>
      <c r="E896" s="6">
        <v>47</v>
      </c>
      <c r="F896" s="5" t="s">
        <v>6</v>
      </c>
      <c r="G896" s="5" t="s">
        <v>11</v>
      </c>
      <c r="H896" s="3" t="s">
        <v>382</v>
      </c>
      <c r="I896" s="5" t="s">
        <v>439</v>
      </c>
      <c r="J896" s="5">
        <f>_xlfn.XLOOKUP(CustomerCombined[[#This Row],[ID]], Table4[ID], Table4[Recency], "Not Found", 0)</f>
        <v>47</v>
      </c>
      <c r="K896" s="5">
        <f>_xlfn.XLOOKUP(CustomerCombined[[#This Row],[ID]], Table4[ID], Table4[Teas], "Not Found", 0)</f>
        <v>171</v>
      </c>
      <c r="L896" s="5">
        <f>_xlfn.XLOOKUP(CustomerCombined[[#This Row],[ID]], Table4[ID], Table4[Fruits], "Not Found", 0)</f>
        <v>8</v>
      </c>
      <c r="M896" s="5">
        <f>_xlfn.XLOOKUP(CustomerCombined[[#This Row],[ID]], Table4[ID], Table4[Meats], "Not Found", 0)</f>
        <v>108</v>
      </c>
      <c r="N896" s="5">
        <f>_xlfn.XLOOKUP(CustomerCombined[[#This Row],[ID]], Table4[ID], Table4[Seafood], "Not Found", 0)</f>
        <v>0</v>
      </c>
      <c r="O896" s="5">
        <f>_xlfn.XLOOKUP(CustomerCombined[[#This Row],[ID]], Table4[ID], Table4[Sweets], "Not Found", 0)</f>
        <v>36</v>
      </c>
      <c r="P896" s="5">
        <f>_xlfn.XLOOKUP(CustomerCombined[[#This Row],[ID]], Table4[ID], Table4[Premium], "Not Found", 0)</f>
        <v>48</v>
      </c>
      <c r="Q896" s="5">
        <f>_xlfn.XLOOKUP(CustomerCombined[[#This Row],[ID]], Table4[ID], Table4[Regular], "Not Found", 0)</f>
        <v>275</v>
      </c>
      <c r="R896" s="5">
        <f>_xlfn.XLOOKUP(CustomerCombined[[#This Row],[ID]], Table4[ID], Table4[Deals], "Not Found", 0)</f>
        <v>3</v>
      </c>
      <c r="S896" s="5">
        <f>_xlfn.XLOOKUP(CustomerCombined[[#This Row],[ID]], Table4[ID], Table4[Website], "Not Found", 0)</f>
        <v>3</v>
      </c>
      <c r="T896" s="5">
        <f>_xlfn.XLOOKUP(CustomerCombined[[#This Row],[ID]], Table4[ID], Table4[Catalog], "Not Found", 0)</f>
        <v>0</v>
      </c>
      <c r="U896" s="5">
        <f>_xlfn.XLOOKUP(CustomerCombined[[#This Row],[ID]], Table4[ID], Table4[Store], "Not Found", 0)</f>
        <v>4</v>
      </c>
      <c r="V896" s="5">
        <f>_xlfn.XLOOKUP(CustomerCombined[[#This Row],[ID]], Table4[ID], Table4[Visits], "Not Found", 0)</f>
        <v>7</v>
      </c>
      <c r="W896" s="8">
        <f>_xlfn.XLOOKUP(CustomerCombined[[#This Row],[ID]], Table2[ID],Table2[Complaint], "Not Found", 0 )</f>
        <v>0</v>
      </c>
      <c r="X896" s="8">
        <f>_xlfn.XLOOKUP(CustomerCombined[[#This Row],[ID]], Table2[ID],Table2[Pilot], "Not Found", 0 )</f>
        <v>0</v>
      </c>
      <c r="Y896" s="8">
        <f>_xlfn.XLOOKUP(CustomerCombined[[#This Row],[ID]], Table2[ID],Table2[MC1], "Not Found", 0 )</f>
        <v>0</v>
      </c>
      <c r="Z896" s="8">
        <f>_xlfn.XLOOKUP(CustomerCombined[[#This Row],[ID]], Table2[ID],Table2[MC2], "Not Found", 0 )</f>
        <v>0</v>
      </c>
      <c r="AA896" s="8">
        <f>_xlfn.XLOOKUP(CustomerCombined[[#This Row],[ID]], Table2[ID],Table2[MC3], "Not Found", 0 )</f>
        <v>0</v>
      </c>
      <c r="AB896" s="8">
        <f>_xlfn.XLOOKUP(CustomerCombined[[#This Row],[ID]], Table2[ID],Table2[MC4], "Not Found", 0 )</f>
        <v>0</v>
      </c>
      <c r="AC896" s="8">
        <f>_xlfn.XLOOKUP(CustomerCombined[[#This Row],[ID]], Table2[ID],Table2[MC5], "Not Found", 0 )</f>
        <v>0</v>
      </c>
    </row>
    <row r="897" spans="1:29" x14ac:dyDescent="0.3">
      <c r="A897" s="6">
        <v>2973</v>
      </c>
      <c r="B897" s="6">
        <v>132644</v>
      </c>
      <c r="C897" s="6">
        <v>1</v>
      </c>
      <c r="D897" s="6">
        <v>0</v>
      </c>
      <c r="E897" s="6">
        <v>47</v>
      </c>
      <c r="F897" s="5" t="s">
        <v>6</v>
      </c>
      <c r="G897" s="5" t="s">
        <v>13</v>
      </c>
      <c r="H897" s="3" t="s">
        <v>324</v>
      </c>
      <c r="I897" s="5" t="s">
        <v>435</v>
      </c>
      <c r="J897" s="5">
        <f>_xlfn.XLOOKUP(CustomerCombined[[#This Row],[ID]], Table4[ID], Table4[Recency], "Not Found", 0)</f>
        <v>38</v>
      </c>
      <c r="K897" s="5">
        <f>_xlfn.XLOOKUP(CustomerCombined[[#This Row],[ID]], Table4[ID], Table4[Teas], "Not Found", 0)</f>
        <v>971</v>
      </c>
      <c r="L897" s="5">
        <f>_xlfn.XLOOKUP(CustomerCombined[[#This Row],[ID]], Table4[ID], Table4[Fruits], "Not Found", 0)</f>
        <v>12</v>
      </c>
      <c r="M897" s="5">
        <f>_xlfn.XLOOKUP(CustomerCombined[[#This Row],[ID]], Table4[ID], Table4[Meats], "Not Found", 0)</f>
        <v>573</v>
      </c>
      <c r="N897" s="5">
        <f>_xlfn.XLOOKUP(CustomerCombined[[#This Row],[ID]], Table4[ID], Table4[Seafood], "Not Found", 0)</f>
        <v>0</v>
      </c>
      <c r="O897" s="5">
        <f>_xlfn.XLOOKUP(CustomerCombined[[#This Row],[ID]], Table4[ID], Table4[Sweets], "Not Found", 0)</f>
        <v>28</v>
      </c>
      <c r="P897" s="5">
        <f>_xlfn.XLOOKUP(CustomerCombined[[#This Row],[ID]], Table4[ID], Table4[Premium], "Not Found", 0)</f>
        <v>93</v>
      </c>
      <c r="Q897" s="5">
        <f>_xlfn.XLOOKUP(CustomerCombined[[#This Row],[ID]], Table4[ID], Table4[Regular], "Not Found", 0)</f>
        <v>1491</v>
      </c>
      <c r="R897" s="5">
        <f>_xlfn.XLOOKUP(CustomerCombined[[#This Row],[ID]], Table4[ID], Table4[Deals], "Not Found", 0)</f>
        <v>4</v>
      </c>
      <c r="S897" s="5">
        <f>_xlfn.XLOOKUP(CustomerCombined[[#This Row],[ID]], Table4[ID], Table4[Website], "Not Found", 0)</f>
        <v>7</v>
      </c>
      <c r="T897" s="5">
        <f>_xlfn.XLOOKUP(CustomerCombined[[#This Row],[ID]], Table4[ID], Table4[Catalog], "Not Found", 0)</f>
        <v>1</v>
      </c>
      <c r="U897" s="5">
        <f>_xlfn.XLOOKUP(CustomerCombined[[#This Row],[ID]], Table4[ID], Table4[Store], "Not Found", 0)</f>
        <v>6</v>
      </c>
      <c r="V897" s="5">
        <f>_xlfn.XLOOKUP(CustomerCombined[[#This Row],[ID]], Table4[ID], Table4[Visits], "Not Found", 0)</f>
        <v>8</v>
      </c>
      <c r="W897" s="8">
        <f>_xlfn.XLOOKUP(CustomerCombined[[#This Row],[ID]], Table2[ID],Table2[Complaint], "Not Found", 0 )</f>
        <v>0</v>
      </c>
      <c r="X897" s="8">
        <f>_xlfn.XLOOKUP(CustomerCombined[[#This Row],[ID]], Table2[ID],Table2[Pilot], "Not Found", 0 )</f>
        <v>0</v>
      </c>
      <c r="Y897" s="8">
        <f>_xlfn.XLOOKUP(CustomerCombined[[#This Row],[ID]], Table2[ID],Table2[MC1], "Not Found", 0 )</f>
        <v>0</v>
      </c>
      <c r="Z897" s="8">
        <f>_xlfn.XLOOKUP(CustomerCombined[[#This Row],[ID]], Table2[ID],Table2[MC2], "Not Found", 0 )</f>
        <v>0</v>
      </c>
      <c r="AA897" s="8">
        <f>_xlfn.XLOOKUP(CustomerCombined[[#This Row],[ID]], Table2[ID],Table2[MC3], "Not Found", 0 )</f>
        <v>1</v>
      </c>
      <c r="AB897" s="8">
        <f>_xlfn.XLOOKUP(CustomerCombined[[#This Row],[ID]], Table2[ID],Table2[MC4], "Not Found", 0 )</f>
        <v>0</v>
      </c>
      <c r="AC897" s="8">
        <f>_xlfn.XLOOKUP(CustomerCombined[[#This Row],[ID]], Table2[ID],Table2[MC5], "Not Found", 0 )</f>
        <v>0</v>
      </c>
    </row>
    <row r="898" spans="1:29" x14ac:dyDescent="0.3">
      <c r="A898" s="6">
        <v>1999</v>
      </c>
      <c r="B898" s="6">
        <v>132300</v>
      </c>
      <c r="C898" s="6">
        <v>1</v>
      </c>
      <c r="D898" s="6">
        <v>0</v>
      </c>
      <c r="E898" s="6">
        <v>47</v>
      </c>
      <c r="F898" s="5" t="s">
        <v>6</v>
      </c>
      <c r="G898" s="5" t="s">
        <v>11</v>
      </c>
      <c r="H898" s="3">
        <v>43744</v>
      </c>
      <c r="I898" s="5" t="s">
        <v>437</v>
      </c>
      <c r="J898" s="5">
        <f>_xlfn.XLOOKUP(CustomerCombined[[#This Row],[ID]], Table4[ID], Table4[Recency], "Not Found", 0)</f>
        <v>1</v>
      </c>
      <c r="K898" s="5">
        <f>_xlfn.XLOOKUP(CustomerCombined[[#This Row],[ID]], Table4[ID], Table4[Teas], "Not Found", 0)</f>
        <v>53</v>
      </c>
      <c r="L898" s="5">
        <f>_xlfn.XLOOKUP(CustomerCombined[[#This Row],[ID]], Table4[ID], Table4[Fruits], "Not Found", 0)</f>
        <v>12</v>
      </c>
      <c r="M898" s="5">
        <f>_xlfn.XLOOKUP(CustomerCombined[[#This Row],[ID]], Table4[ID], Table4[Meats], "Not Found", 0)</f>
        <v>25</v>
      </c>
      <c r="N898" s="5">
        <f>_xlfn.XLOOKUP(CustomerCombined[[#This Row],[ID]], Table4[ID], Table4[Seafood], "Not Found", 0)</f>
        <v>25</v>
      </c>
      <c r="O898" s="5">
        <f>_xlfn.XLOOKUP(CustomerCombined[[#This Row],[ID]], Table4[ID], Table4[Sweets], "Not Found", 0)</f>
        <v>20</v>
      </c>
      <c r="P898" s="5">
        <f>_xlfn.XLOOKUP(CustomerCombined[[#This Row],[ID]], Table4[ID], Table4[Premium], "Not Found", 0)</f>
        <v>25</v>
      </c>
      <c r="Q898" s="5">
        <f>_xlfn.XLOOKUP(CustomerCombined[[#This Row],[ID]], Table4[ID], Table4[Regular], "Not Found", 0)</f>
        <v>111</v>
      </c>
      <c r="R898" s="5">
        <f>_xlfn.XLOOKUP(CustomerCombined[[#This Row],[ID]], Table4[ID], Table4[Deals], "Not Found", 0)</f>
        <v>1</v>
      </c>
      <c r="S898" s="5">
        <f>_xlfn.XLOOKUP(CustomerCombined[[#This Row],[ID]], Table4[ID], Table4[Website], "Not Found", 0)</f>
        <v>1</v>
      </c>
      <c r="T898" s="5">
        <f>_xlfn.XLOOKUP(CustomerCombined[[#This Row],[ID]], Table4[ID], Table4[Catalog], "Not Found", 0)</f>
        <v>0</v>
      </c>
      <c r="U898" s="5">
        <f>_xlfn.XLOOKUP(CustomerCombined[[#This Row],[ID]], Table4[ID], Table4[Store], "Not Found", 0)</f>
        <v>3</v>
      </c>
      <c r="V898" s="5">
        <f>_xlfn.XLOOKUP(CustomerCombined[[#This Row],[ID]], Table4[ID], Table4[Visits], "Not Found", 0)</f>
        <v>8</v>
      </c>
      <c r="W898" s="8">
        <f>_xlfn.XLOOKUP(CustomerCombined[[#This Row],[ID]], Table2[ID],Table2[Complaint], "Not Found", 0 )</f>
        <v>0</v>
      </c>
      <c r="X898" s="8">
        <f>_xlfn.XLOOKUP(CustomerCombined[[#This Row],[ID]], Table2[ID],Table2[Pilot], "Not Found", 0 )</f>
        <v>0</v>
      </c>
      <c r="Y898" s="8">
        <f>_xlfn.XLOOKUP(CustomerCombined[[#This Row],[ID]], Table2[ID],Table2[MC1], "Not Found", 0 )</f>
        <v>0</v>
      </c>
      <c r="Z898" s="8">
        <f>_xlfn.XLOOKUP(CustomerCombined[[#This Row],[ID]], Table2[ID],Table2[MC2], "Not Found", 0 )</f>
        <v>0</v>
      </c>
      <c r="AA898" s="8">
        <f>_xlfn.XLOOKUP(CustomerCombined[[#This Row],[ID]], Table2[ID],Table2[MC3], "Not Found", 0 )</f>
        <v>0</v>
      </c>
      <c r="AB898" s="8">
        <f>_xlfn.XLOOKUP(CustomerCombined[[#This Row],[ID]], Table2[ID],Table2[MC4], "Not Found", 0 )</f>
        <v>0</v>
      </c>
      <c r="AC898" s="8">
        <f>_xlfn.XLOOKUP(CustomerCombined[[#This Row],[ID]], Table2[ID],Table2[MC5], "Not Found", 0 )</f>
        <v>0</v>
      </c>
    </row>
    <row r="899" spans="1:29" x14ac:dyDescent="0.3">
      <c r="A899" s="6">
        <v>1871</v>
      </c>
      <c r="B899" s="6">
        <v>131814</v>
      </c>
      <c r="C899" s="6">
        <v>1</v>
      </c>
      <c r="D899" s="6">
        <v>0</v>
      </c>
      <c r="E899" s="6">
        <v>47</v>
      </c>
      <c r="F899" s="5" t="s">
        <v>6</v>
      </c>
      <c r="G899" s="5" t="s">
        <v>11</v>
      </c>
      <c r="H899" s="3" t="s">
        <v>314</v>
      </c>
      <c r="I899" s="5" t="s">
        <v>434</v>
      </c>
      <c r="J899" s="5">
        <f>_xlfn.XLOOKUP(CustomerCombined[[#This Row],[ID]], Table4[ID], Table4[Recency], "Not Found", 0)</f>
        <v>73</v>
      </c>
      <c r="K899" s="5">
        <f>_xlfn.XLOOKUP(CustomerCombined[[#This Row],[ID]], Table4[ID], Table4[Teas], "Not Found", 0)</f>
        <v>145</v>
      </c>
      <c r="L899" s="5">
        <f>_xlfn.XLOOKUP(CustomerCombined[[#This Row],[ID]], Table4[ID], Table4[Fruits], "Not Found", 0)</f>
        <v>12</v>
      </c>
      <c r="M899" s="5">
        <f>_xlfn.XLOOKUP(CustomerCombined[[#This Row],[ID]], Table4[ID], Table4[Meats], "Not Found", 0)</f>
        <v>83</v>
      </c>
      <c r="N899" s="5">
        <f>_xlfn.XLOOKUP(CustomerCombined[[#This Row],[ID]], Table4[ID], Table4[Seafood], "Not Found", 0)</f>
        <v>17</v>
      </c>
      <c r="O899" s="5">
        <f>_xlfn.XLOOKUP(CustomerCombined[[#This Row],[ID]], Table4[ID], Table4[Sweets], "Not Found", 0)</f>
        <v>4</v>
      </c>
      <c r="P899" s="5">
        <f>_xlfn.XLOOKUP(CustomerCombined[[#This Row],[ID]], Table4[ID], Table4[Premium], "Not Found", 0)</f>
        <v>83</v>
      </c>
      <c r="Q899" s="5">
        <f>_xlfn.XLOOKUP(CustomerCombined[[#This Row],[ID]], Table4[ID], Table4[Regular], "Not Found", 0)</f>
        <v>178</v>
      </c>
      <c r="R899" s="5">
        <f>_xlfn.XLOOKUP(CustomerCombined[[#This Row],[ID]], Table4[ID], Table4[Deals], "Not Found", 0)</f>
        <v>2</v>
      </c>
      <c r="S899" s="5">
        <f>_xlfn.XLOOKUP(CustomerCombined[[#This Row],[ID]], Table4[ID], Table4[Website], "Not Found", 0)</f>
        <v>2</v>
      </c>
      <c r="T899" s="5">
        <f>_xlfn.XLOOKUP(CustomerCombined[[#This Row],[ID]], Table4[ID], Table4[Catalog], "Not Found", 0)</f>
        <v>0</v>
      </c>
      <c r="U899" s="5">
        <f>_xlfn.XLOOKUP(CustomerCombined[[#This Row],[ID]], Table4[ID], Table4[Store], "Not Found", 0)</f>
        <v>3</v>
      </c>
      <c r="V899" s="5">
        <f>_xlfn.XLOOKUP(CustomerCombined[[#This Row],[ID]], Table4[ID], Table4[Visits], "Not Found", 0)</f>
        <v>9</v>
      </c>
      <c r="W899" s="8">
        <f>_xlfn.XLOOKUP(CustomerCombined[[#This Row],[ID]], Table2[ID],Table2[Complaint], "Not Found", 0 )</f>
        <v>0</v>
      </c>
      <c r="X899" s="8">
        <f>_xlfn.XLOOKUP(CustomerCombined[[#This Row],[ID]], Table2[ID],Table2[Pilot], "Not Found", 0 )</f>
        <v>0</v>
      </c>
      <c r="Y899" s="8">
        <f>_xlfn.XLOOKUP(CustomerCombined[[#This Row],[ID]], Table2[ID],Table2[MC1], "Not Found", 0 )</f>
        <v>0</v>
      </c>
      <c r="Z899" s="8">
        <f>_xlfn.XLOOKUP(CustomerCombined[[#This Row],[ID]], Table2[ID],Table2[MC2], "Not Found", 0 )</f>
        <v>0</v>
      </c>
      <c r="AA899" s="8">
        <f>_xlfn.XLOOKUP(CustomerCombined[[#This Row],[ID]], Table2[ID],Table2[MC3], "Not Found", 0 )</f>
        <v>1</v>
      </c>
      <c r="AB899" s="8">
        <f>_xlfn.XLOOKUP(CustomerCombined[[#This Row],[ID]], Table2[ID],Table2[MC4], "Not Found", 0 )</f>
        <v>0</v>
      </c>
      <c r="AC899" s="8">
        <f>_xlfn.XLOOKUP(CustomerCombined[[#This Row],[ID]], Table2[ID],Table2[MC5], "Not Found", 0 )</f>
        <v>0</v>
      </c>
    </row>
    <row r="900" spans="1:29" x14ac:dyDescent="0.3">
      <c r="A900" s="6">
        <v>2407</v>
      </c>
      <c r="B900" s="6">
        <v>131163</v>
      </c>
      <c r="C900" s="6">
        <v>1</v>
      </c>
      <c r="D900" s="6">
        <v>0</v>
      </c>
      <c r="E900" s="6">
        <v>47</v>
      </c>
      <c r="F900" s="5" t="s">
        <v>5</v>
      </c>
      <c r="G900" s="5" t="s">
        <v>442</v>
      </c>
      <c r="H900" s="3" t="s">
        <v>100</v>
      </c>
      <c r="I900" s="5" t="s">
        <v>437</v>
      </c>
      <c r="J900" s="5">
        <f>_xlfn.XLOOKUP(CustomerCombined[[#This Row],[ID]], Table4[ID], Table4[Recency], "Not Found", 0)</f>
        <v>54</v>
      </c>
      <c r="K900" s="5">
        <f>_xlfn.XLOOKUP(CustomerCombined[[#This Row],[ID]], Table4[ID], Table4[Teas], "Not Found", 0)</f>
        <v>8</v>
      </c>
      <c r="L900" s="5">
        <f>_xlfn.XLOOKUP(CustomerCombined[[#This Row],[ID]], Table4[ID], Table4[Fruits], "Not Found", 0)</f>
        <v>13</v>
      </c>
      <c r="M900" s="5">
        <f>_xlfn.XLOOKUP(CustomerCombined[[#This Row],[ID]], Table4[ID], Table4[Meats], "Not Found", 0)</f>
        <v>42</v>
      </c>
      <c r="N900" s="5">
        <f>_xlfn.XLOOKUP(CustomerCombined[[#This Row],[ID]], Table4[ID], Table4[Seafood], "Not Found", 0)</f>
        <v>46</v>
      </c>
      <c r="O900" s="5">
        <f>_xlfn.XLOOKUP(CustomerCombined[[#This Row],[ID]], Table4[ID], Table4[Sweets], "Not Found", 0)</f>
        <v>8</v>
      </c>
      <c r="P900" s="5">
        <f>_xlfn.XLOOKUP(CustomerCombined[[#This Row],[ID]], Table4[ID], Table4[Premium], "Not Found", 0)</f>
        <v>42</v>
      </c>
      <c r="Q900" s="5">
        <f>_xlfn.XLOOKUP(CustomerCombined[[#This Row],[ID]], Table4[ID], Table4[Regular], "Not Found", 0)</f>
        <v>76</v>
      </c>
      <c r="R900" s="5">
        <f>_xlfn.XLOOKUP(CustomerCombined[[#This Row],[ID]], Table4[ID], Table4[Deals], "Not Found", 0)</f>
        <v>1</v>
      </c>
      <c r="S900" s="5">
        <f>_xlfn.XLOOKUP(CustomerCombined[[#This Row],[ID]], Table4[ID], Table4[Website], "Not Found", 0)</f>
        <v>1</v>
      </c>
      <c r="T900" s="5">
        <f>_xlfn.XLOOKUP(CustomerCombined[[#This Row],[ID]], Table4[ID], Table4[Catalog], "Not Found", 0)</f>
        <v>0</v>
      </c>
      <c r="U900" s="5">
        <f>_xlfn.XLOOKUP(CustomerCombined[[#This Row],[ID]], Table4[ID], Table4[Store], "Not Found", 0)</f>
        <v>3</v>
      </c>
      <c r="V900" s="5">
        <f>_xlfn.XLOOKUP(CustomerCombined[[#This Row],[ID]], Table4[ID], Table4[Visits], "Not Found", 0)</f>
        <v>6</v>
      </c>
      <c r="W900" s="8">
        <f>_xlfn.XLOOKUP(CustomerCombined[[#This Row],[ID]], Table2[ID],Table2[Complaint], "Not Found", 0 )</f>
        <v>0</v>
      </c>
      <c r="X900" s="8">
        <f>_xlfn.XLOOKUP(CustomerCombined[[#This Row],[ID]], Table2[ID],Table2[Pilot], "Not Found", 0 )</f>
        <v>0</v>
      </c>
      <c r="Y900" s="8">
        <f>_xlfn.XLOOKUP(CustomerCombined[[#This Row],[ID]], Table2[ID],Table2[MC1], "Not Found", 0 )</f>
        <v>0</v>
      </c>
      <c r="Z900" s="8">
        <f>_xlfn.XLOOKUP(CustomerCombined[[#This Row],[ID]], Table2[ID],Table2[MC2], "Not Found", 0 )</f>
        <v>0</v>
      </c>
      <c r="AA900" s="8">
        <f>_xlfn.XLOOKUP(CustomerCombined[[#This Row],[ID]], Table2[ID],Table2[MC3], "Not Found", 0 )</f>
        <v>0</v>
      </c>
      <c r="AB900" s="8">
        <f>_xlfn.XLOOKUP(CustomerCombined[[#This Row],[ID]], Table2[ID],Table2[MC4], "Not Found", 0 )</f>
        <v>0</v>
      </c>
      <c r="AC900" s="8">
        <f>_xlfn.XLOOKUP(CustomerCombined[[#This Row],[ID]], Table2[ID],Table2[MC5], "Not Found", 0 )</f>
        <v>0</v>
      </c>
    </row>
    <row r="901" spans="1:29" x14ac:dyDescent="0.3">
      <c r="A901" s="6">
        <v>2477</v>
      </c>
      <c r="B901" s="6">
        <v>131163</v>
      </c>
      <c r="C901" s="6">
        <v>1</v>
      </c>
      <c r="D901" s="6">
        <v>0</v>
      </c>
      <c r="E901" s="6">
        <v>47</v>
      </c>
      <c r="F901" s="5" t="s">
        <v>5</v>
      </c>
      <c r="G901" s="5" t="s">
        <v>442</v>
      </c>
      <c r="H901" s="3" t="s">
        <v>100</v>
      </c>
      <c r="I901" s="5" t="s">
        <v>434</v>
      </c>
      <c r="J901" s="5">
        <f>_xlfn.XLOOKUP(CustomerCombined[[#This Row],[ID]], Table4[ID], Table4[Recency], "Not Found", 0)</f>
        <v>54</v>
      </c>
      <c r="K901" s="5">
        <f>_xlfn.XLOOKUP(CustomerCombined[[#This Row],[ID]], Table4[ID], Table4[Teas], "Not Found", 0)</f>
        <v>8</v>
      </c>
      <c r="L901" s="5">
        <f>_xlfn.XLOOKUP(CustomerCombined[[#This Row],[ID]], Table4[ID], Table4[Fruits], "Not Found", 0)</f>
        <v>13</v>
      </c>
      <c r="M901" s="5">
        <f>_xlfn.XLOOKUP(CustomerCombined[[#This Row],[ID]], Table4[ID], Table4[Meats], "Not Found", 0)</f>
        <v>42</v>
      </c>
      <c r="N901" s="5">
        <f>_xlfn.XLOOKUP(CustomerCombined[[#This Row],[ID]], Table4[ID], Table4[Seafood], "Not Found", 0)</f>
        <v>46</v>
      </c>
      <c r="O901" s="5">
        <f>_xlfn.XLOOKUP(CustomerCombined[[#This Row],[ID]], Table4[ID], Table4[Sweets], "Not Found", 0)</f>
        <v>8</v>
      </c>
      <c r="P901" s="5">
        <f>_xlfn.XLOOKUP(CustomerCombined[[#This Row],[ID]], Table4[ID], Table4[Premium], "Not Found", 0)</f>
        <v>42</v>
      </c>
      <c r="Q901" s="5">
        <f>_xlfn.XLOOKUP(CustomerCombined[[#This Row],[ID]], Table4[ID], Table4[Regular], "Not Found", 0)</f>
        <v>76</v>
      </c>
      <c r="R901" s="5">
        <f>_xlfn.XLOOKUP(CustomerCombined[[#This Row],[ID]], Table4[ID], Table4[Deals], "Not Found", 0)</f>
        <v>1</v>
      </c>
      <c r="S901" s="5">
        <f>_xlfn.XLOOKUP(CustomerCombined[[#This Row],[ID]], Table4[ID], Table4[Website], "Not Found", 0)</f>
        <v>1</v>
      </c>
      <c r="T901" s="5">
        <f>_xlfn.XLOOKUP(CustomerCombined[[#This Row],[ID]], Table4[ID], Table4[Catalog], "Not Found", 0)</f>
        <v>0</v>
      </c>
      <c r="U901" s="5">
        <f>_xlfn.XLOOKUP(CustomerCombined[[#This Row],[ID]], Table4[ID], Table4[Store], "Not Found", 0)</f>
        <v>3</v>
      </c>
      <c r="V901" s="5">
        <f>_xlfn.XLOOKUP(CustomerCombined[[#This Row],[ID]], Table4[ID], Table4[Visits], "Not Found", 0)</f>
        <v>6</v>
      </c>
      <c r="W901" s="8">
        <f>_xlfn.XLOOKUP(CustomerCombined[[#This Row],[ID]], Table2[ID],Table2[Complaint], "Not Found", 0 )</f>
        <v>0</v>
      </c>
      <c r="X901" s="8">
        <f>_xlfn.XLOOKUP(CustomerCombined[[#This Row],[ID]], Table2[ID],Table2[Pilot], "Not Found", 0 )</f>
        <v>0</v>
      </c>
      <c r="Y901" s="8">
        <f>_xlfn.XLOOKUP(CustomerCombined[[#This Row],[ID]], Table2[ID],Table2[MC1], "Not Found", 0 )</f>
        <v>0</v>
      </c>
      <c r="Z901" s="8">
        <f>_xlfn.XLOOKUP(CustomerCombined[[#This Row],[ID]], Table2[ID],Table2[MC2], "Not Found", 0 )</f>
        <v>0</v>
      </c>
      <c r="AA901" s="8">
        <f>_xlfn.XLOOKUP(CustomerCombined[[#This Row],[ID]], Table2[ID],Table2[MC3], "Not Found", 0 )</f>
        <v>0</v>
      </c>
      <c r="AB901" s="8">
        <f>_xlfn.XLOOKUP(CustomerCombined[[#This Row],[ID]], Table2[ID],Table2[MC4], "Not Found", 0 )</f>
        <v>0</v>
      </c>
      <c r="AC901" s="8">
        <f>_xlfn.XLOOKUP(CustomerCombined[[#This Row],[ID]], Table2[ID],Table2[MC5], "Not Found", 0 )</f>
        <v>0</v>
      </c>
    </row>
    <row r="902" spans="1:29" x14ac:dyDescent="0.3">
      <c r="A902" s="6">
        <v>3051</v>
      </c>
      <c r="B902" s="6">
        <v>127803</v>
      </c>
      <c r="C902" s="6">
        <v>1</v>
      </c>
      <c r="D902" s="6">
        <v>0</v>
      </c>
      <c r="E902" s="6">
        <v>47</v>
      </c>
      <c r="F902" s="5" t="s">
        <v>6</v>
      </c>
      <c r="G902" s="5" t="s">
        <v>11</v>
      </c>
      <c r="H902" s="3" t="s">
        <v>402</v>
      </c>
      <c r="I902" s="5" t="s">
        <v>435</v>
      </c>
      <c r="J902" s="5">
        <f>_xlfn.XLOOKUP(CustomerCombined[[#This Row],[ID]], Table4[ID], Table4[Recency], "Not Found", 0)</f>
        <v>40</v>
      </c>
      <c r="K902" s="5">
        <f>_xlfn.XLOOKUP(CustomerCombined[[#This Row],[ID]], Table4[ID], Table4[Teas], "Not Found", 0)</f>
        <v>37</v>
      </c>
      <c r="L902" s="5">
        <f>_xlfn.XLOOKUP(CustomerCombined[[#This Row],[ID]], Table4[ID], Table4[Fruits], "Not Found", 0)</f>
        <v>120</v>
      </c>
      <c r="M902" s="5">
        <f>_xlfn.XLOOKUP(CustomerCombined[[#This Row],[ID]], Table4[ID], Table4[Meats], "Not Found", 0)</f>
        <v>211</v>
      </c>
      <c r="N902" s="5">
        <f>_xlfn.XLOOKUP(CustomerCombined[[#This Row],[ID]], Table4[ID], Table4[Seafood], "Not Found", 0)</f>
        <v>175</v>
      </c>
      <c r="O902" s="5">
        <f>_xlfn.XLOOKUP(CustomerCombined[[#This Row],[ID]], Table4[ID], Table4[Sweets], "Not Found", 0)</f>
        <v>41</v>
      </c>
      <c r="P902" s="5">
        <f>_xlfn.XLOOKUP(CustomerCombined[[#This Row],[ID]], Table4[ID], Table4[Premium], "Not Found", 0)</f>
        <v>225</v>
      </c>
      <c r="Q902" s="5">
        <f>_xlfn.XLOOKUP(CustomerCombined[[#This Row],[ID]], Table4[ID], Table4[Regular], "Not Found", 0)</f>
        <v>359</v>
      </c>
      <c r="R902" s="5">
        <f>_xlfn.XLOOKUP(CustomerCombined[[#This Row],[ID]], Table4[ID], Table4[Deals], "Not Found", 0)</f>
        <v>2</v>
      </c>
      <c r="S902" s="5">
        <f>_xlfn.XLOOKUP(CustomerCombined[[#This Row],[ID]], Table4[ID], Table4[Website], "Not Found", 0)</f>
        <v>3</v>
      </c>
      <c r="T902" s="5">
        <f>_xlfn.XLOOKUP(CustomerCombined[[#This Row],[ID]], Table4[ID], Table4[Catalog], "Not Found", 0)</f>
        <v>0</v>
      </c>
      <c r="U902" s="5">
        <f>_xlfn.XLOOKUP(CustomerCombined[[#This Row],[ID]], Table4[ID], Table4[Store], "Not Found", 0)</f>
        <v>4</v>
      </c>
      <c r="V902" s="5">
        <f>_xlfn.XLOOKUP(CustomerCombined[[#This Row],[ID]], Table4[ID], Table4[Visits], "Not Found", 0)</f>
        <v>8</v>
      </c>
      <c r="W902" s="8">
        <f>_xlfn.XLOOKUP(CustomerCombined[[#This Row],[ID]], Table2[ID],Table2[Complaint], "Not Found", 0 )</f>
        <v>0</v>
      </c>
      <c r="X902" s="8">
        <f>_xlfn.XLOOKUP(CustomerCombined[[#This Row],[ID]], Table2[ID],Table2[Pilot], "Not Found", 0 )</f>
        <v>0</v>
      </c>
      <c r="Y902" s="8">
        <f>_xlfn.XLOOKUP(CustomerCombined[[#This Row],[ID]], Table2[ID],Table2[MC1], "Not Found", 0 )</f>
        <v>0</v>
      </c>
      <c r="Z902" s="8">
        <f>_xlfn.XLOOKUP(CustomerCombined[[#This Row],[ID]], Table2[ID],Table2[MC2], "Not Found", 0 )</f>
        <v>0</v>
      </c>
      <c r="AA902" s="8">
        <f>_xlfn.XLOOKUP(CustomerCombined[[#This Row],[ID]], Table2[ID],Table2[MC3], "Not Found", 0 )</f>
        <v>0</v>
      </c>
      <c r="AB902" s="8">
        <f>_xlfn.XLOOKUP(CustomerCombined[[#This Row],[ID]], Table2[ID],Table2[MC4], "Not Found", 0 )</f>
        <v>0</v>
      </c>
      <c r="AC902" s="8">
        <f>_xlfn.XLOOKUP(CustomerCombined[[#This Row],[ID]], Table2[ID],Table2[MC5], "Not Found", 0 )</f>
        <v>0</v>
      </c>
    </row>
    <row r="903" spans="1:29" x14ac:dyDescent="0.3">
      <c r="A903" s="6">
        <v>1328</v>
      </c>
      <c r="B903" s="6">
        <v>127190</v>
      </c>
      <c r="C903" s="6">
        <v>1</v>
      </c>
      <c r="D903" s="6">
        <v>0</v>
      </c>
      <c r="E903" s="6">
        <v>47</v>
      </c>
      <c r="F903" s="5" t="s">
        <v>8</v>
      </c>
      <c r="G903" s="5" t="s">
        <v>10</v>
      </c>
      <c r="H903" s="3" t="s">
        <v>202</v>
      </c>
      <c r="I903" s="5" t="s">
        <v>438</v>
      </c>
      <c r="J903" s="5">
        <f>_xlfn.XLOOKUP(CustomerCombined[[#This Row],[ID]], Table4[ID], Table4[Recency], "Not Found", 0)</f>
        <v>13</v>
      </c>
      <c r="K903" s="5">
        <f>_xlfn.XLOOKUP(CustomerCombined[[#This Row],[ID]], Table4[ID], Table4[Teas], "Not Found", 0)</f>
        <v>5</v>
      </c>
      <c r="L903" s="5">
        <f>_xlfn.XLOOKUP(CustomerCombined[[#This Row],[ID]], Table4[ID], Table4[Fruits], "Not Found", 0)</f>
        <v>28</v>
      </c>
      <c r="M903" s="5">
        <f>_xlfn.XLOOKUP(CustomerCombined[[#This Row],[ID]], Table4[ID], Table4[Meats], "Not Found", 0)</f>
        <v>33</v>
      </c>
      <c r="N903" s="5">
        <f>_xlfn.XLOOKUP(CustomerCombined[[#This Row],[ID]], Table4[ID], Table4[Seafood], "Not Found", 0)</f>
        <v>0</v>
      </c>
      <c r="O903" s="5">
        <f>_xlfn.XLOOKUP(CustomerCombined[[#This Row],[ID]], Table4[ID], Table4[Sweets], "Not Found", 0)</f>
        <v>5</v>
      </c>
      <c r="P903" s="5">
        <f>_xlfn.XLOOKUP(CustomerCombined[[#This Row],[ID]], Table4[ID], Table4[Premium], "Not Found", 0)</f>
        <v>14</v>
      </c>
      <c r="Q903" s="5">
        <f>_xlfn.XLOOKUP(CustomerCombined[[#This Row],[ID]], Table4[ID], Table4[Regular], "Not Found", 0)</f>
        <v>56</v>
      </c>
      <c r="R903" s="5">
        <f>_xlfn.XLOOKUP(CustomerCombined[[#This Row],[ID]], Table4[ID], Table4[Deals], "Not Found", 0)</f>
        <v>1</v>
      </c>
      <c r="S903" s="5">
        <f>_xlfn.XLOOKUP(CustomerCombined[[#This Row],[ID]], Table4[ID], Table4[Website], "Not Found", 0)</f>
        <v>1</v>
      </c>
      <c r="T903" s="5">
        <f>_xlfn.XLOOKUP(CustomerCombined[[#This Row],[ID]], Table4[ID], Table4[Catalog], "Not Found", 0)</f>
        <v>0</v>
      </c>
      <c r="U903" s="5">
        <f>_xlfn.XLOOKUP(CustomerCombined[[#This Row],[ID]], Table4[ID], Table4[Store], "Not Found", 0)</f>
        <v>2</v>
      </c>
      <c r="V903" s="5">
        <f>_xlfn.XLOOKUP(CustomerCombined[[#This Row],[ID]], Table4[ID], Table4[Visits], "Not Found", 0)</f>
        <v>8</v>
      </c>
      <c r="W903" s="8">
        <f>_xlfn.XLOOKUP(CustomerCombined[[#This Row],[ID]], Table2[ID],Table2[Complaint], "Not Found", 0 )</f>
        <v>0</v>
      </c>
      <c r="X903" s="8">
        <f>_xlfn.XLOOKUP(CustomerCombined[[#This Row],[ID]], Table2[ID],Table2[Pilot], "Not Found", 0 )</f>
        <v>1</v>
      </c>
      <c r="Y903" s="8">
        <f>_xlfn.XLOOKUP(CustomerCombined[[#This Row],[ID]], Table2[ID],Table2[MC1], "Not Found", 0 )</f>
        <v>0</v>
      </c>
      <c r="Z903" s="8">
        <f>_xlfn.XLOOKUP(CustomerCombined[[#This Row],[ID]], Table2[ID],Table2[MC2], "Not Found", 0 )</f>
        <v>0</v>
      </c>
      <c r="AA903" s="8">
        <f>_xlfn.XLOOKUP(CustomerCombined[[#This Row],[ID]], Table2[ID],Table2[MC3], "Not Found", 0 )</f>
        <v>1</v>
      </c>
      <c r="AB903" s="8">
        <f>_xlfn.XLOOKUP(CustomerCombined[[#This Row],[ID]], Table2[ID],Table2[MC4], "Not Found", 0 )</f>
        <v>0</v>
      </c>
      <c r="AC903" s="8">
        <f>_xlfn.XLOOKUP(CustomerCombined[[#This Row],[ID]], Table2[ID],Table2[MC5], "Not Found", 0 )</f>
        <v>0</v>
      </c>
    </row>
    <row r="904" spans="1:29" x14ac:dyDescent="0.3">
      <c r="A904" s="6">
        <v>1533</v>
      </c>
      <c r="B904" s="6">
        <v>127159</v>
      </c>
      <c r="C904" s="6">
        <v>1</v>
      </c>
      <c r="D904" s="6">
        <v>1</v>
      </c>
      <c r="E904" s="6">
        <v>47</v>
      </c>
      <c r="F904" s="5" t="s">
        <v>6</v>
      </c>
      <c r="G904" s="5" t="s">
        <v>12</v>
      </c>
      <c r="H904" s="3">
        <v>43870</v>
      </c>
      <c r="I904" s="5" t="s">
        <v>435</v>
      </c>
      <c r="J904" s="5">
        <f>_xlfn.XLOOKUP(CustomerCombined[[#This Row],[ID]], Table4[ID], Table4[Recency], "Not Found", 0)</f>
        <v>33</v>
      </c>
      <c r="K904" s="5">
        <f>_xlfn.XLOOKUP(CustomerCombined[[#This Row],[ID]], Table4[ID], Table4[Teas], "Not Found", 0)</f>
        <v>80</v>
      </c>
      <c r="L904" s="5">
        <f>_xlfn.XLOOKUP(CustomerCombined[[#This Row],[ID]], Table4[ID], Table4[Fruits], "Not Found", 0)</f>
        <v>0</v>
      </c>
      <c r="M904" s="5">
        <f>_xlfn.XLOOKUP(CustomerCombined[[#This Row],[ID]], Table4[ID], Table4[Meats], "Not Found", 0)</f>
        <v>14</v>
      </c>
      <c r="N904" s="5">
        <f>_xlfn.XLOOKUP(CustomerCombined[[#This Row],[ID]], Table4[ID], Table4[Seafood], "Not Found", 0)</f>
        <v>0</v>
      </c>
      <c r="O904" s="5">
        <f>_xlfn.XLOOKUP(CustomerCombined[[#This Row],[ID]], Table4[ID], Table4[Sweets], "Not Found", 0)</f>
        <v>0</v>
      </c>
      <c r="P904" s="5">
        <f>_xlfn.XLOOKUP(CustomerCombined[[#This Row],[ID]], Table4[ID], Table4[Premium], "Not Found", 0)</f>
        <v>5</v>
      </c>
      <c r="Q904" s="5">
        <f>_xlfn.XLOOKUP(CustomerCombined[[#This Row],[ID]], Table4[ID], Table4[Regular], "Not Found", 0)</f>
        <v>89</v>
      </c>
      <c r="R904" s="5">
        <f>_xlfn.XLOOKUP(CustomerCombined[[#This Row],[ID]], Table4[ID], Table4[Deals], "Not Found", 0)</f>
        <v>2</v>
      </c>
      <c r="S904" s="5">
        <f>_xlfn.XLOOKUP(CustomerCombined[[#This Row],[ID]], Table4[ID], Table4[Website], "Not Found", 0)</f>
        <v>1</v>
      </c>
      <c r="T904" s="5">
        <f>_xlfn.XLOOKUP(CustomerCombined[[#This Row],[ID]], Table4[ID], Table4[Catalog], "Not Found", 0)</f>
        <v>0</v>
      </c>
      <c r="U904" s="5">
        <f>_xlfn.XLOOKUP(CustomerCombined[[#This Row],[ID]], Table4[ID], Table4[Store], "Not Found", 0)</f>
        <v>3</v>
      </c>
      <c r="V904" s="5">
        <f>_xlfn.XLOOKUP(CustomerCombined[[#This Row],[ID]], Table4[ID], Table4[Visits], "Not Found", 0)</f>
        <v>6</v>
      </c>
      <c r="W904" s="8">
        <f>_xlfn.XLOOKUP(CustomerCombined[[#This Row],[ID]], Table2[ID],Table2[Complaint], "Not Found", 0 )</f>
        <v>0</v>
      </c>
      <c r="X904" s="8">
        <f>_xlfn.XLOOKUP(CustomerCombined[[#This Row],[ID]], Table2[ID],Table2[Pilot], "Not Found", 0 )</f>
        <v>0</v>
      </c>
      <c r="Y904" s="8">
        <f>_xlfn.XLOOKUP(CustomerCombined[[#This Row],[ID]], Table2[ID],Table2[MC1], "Not Found", 0 )</f>
        <v>0</v>
      </c>
      <c r="Z904" s="8">
        <f>_xlfn.XLOOKUP(CustomerCombined[[#This Row],[ID]], Table2[ID],Table2[MC2], "Not Found", 0 )</f>
        <v>0</v>
      </c>
      <c r="AA904" s="8">
        <f>_xlfn.XLOOKUP(CustomerCombined[[#This Row],[ID]], Table2[ID],Table2[MC3], "Not Found", 0 )</f>
        <v>0</v>
      </c>
      <c r="AB904" s="8">
        <f>_xlfn.XLOOKUP(CustomerCombined[[#This Row],[ID]], Table2[ID],Table2[MC4], "Not Found", 0 )</f>
        <v>0</v>
      </c>
      <c r="AC904" s="8">
        <f>_xlfn.XLOOKUP(CustomerCombined[[#This Row],[ID]], Table2[ID],Table2[MC5], "Not Found", 0 )</f>
        <v>0</v>
      </c>
    </row>
    <row r="905" spans="1:29" x14ac:dyDescent="0.3">
      <c r="A905" s="6">
        <v>2202</v>
      </c>
      <c r="B905" s="6">
        <v>126228</v>
      </c>
      <c r="C905" s="6">
        <v>1</v>
      </c>
      <c r="D905" s="6">
        <v>0</v>
      </c>
      <c r="E905" s="6">
        <v>47</v>
      </c>
      <c r="F905" s="5" t="s">
        <v>6</v>
      </c>
      <c r="G905" s="5" t="s">
        <v>11</v>
      </c>
      <c r="H905" s="3" t="s">
        <v>177</v>
      </c>
      <c r="I905" s="5" t="s">
        <v>436</v>
      </c>
      <c r="J905" s="5">
        <f>_xlfn.XLOOKUP(CustomerCombined[[#This Row],[ID]], Table4[ID], Table4[Recency], "Not Found", 0)</f>
        <v>50</v>
      </c>
      <c r="K905" s="5">
        <f>_xlfn.XLOOKUP(CustomerCombined[[#This Row],[ID]], Table4[ID], Table4[Teas], "Not Found", 0)</f>
        <v>10</v>
      </c>
      <c r="L905" s="5">
        <f>_xlfn.XLOOKUP(CustomerCombined[[#This Row],[ID]], Table4[ID], Table4[Fruits], "Not Found", 0)</f>
        <v>29</v>
      </c>
      <c r="M905" s="5">
        <f>_xlfn.XLOOKUP(CustomerCombined[[#This Row],[ID]], Table4[ID], Table4[Meats], "Not Found", 0)</f>
        <v>19</v>
      </c>
      <c r="N905" s="5">
        <f>_xlfn.XLOOKUP(CustomerCombined[[#This Row],[ID]], Table4[ID], Table4[Seafood], "Not Found", 0)</f>
        <v>14</v>
      </c>
      <c r="O905" s="5">
        <f>_xlfn.XLOOKUP(CustomerCombined[[#This Row],[ID]], Table4[ID], Table4[Sweets], "Not Found", 0)</f>
        <v>5</v>
      </c>
      <c r="P905" s="5">
        <f>_xlfn.XLOOKUP(CustomerCombined[[#This Row],[ID]], Table4[ID], Table4[Premium], "Not Found", 0)</f>
        <v>43</v>
      </c>
      <c r="Q905" s="5">
        <f>_xlfn.XLOOKUP(CustomerCombined[[#This Row],[ID]], Table4[ID], Table4[Regular], "Not Found", 0)</f>
        <v>34</v>
      </c>
      <c r="R905" s="5">
        <f>_xlfn.XLOOKUP(CustomerCombined[[#This Row],[ID]], Table4[ID], Table4[Deals], "Not Found", 0)</f>
        <v>1</v>
      </c>
      <c r="S905" s="5">
        <f>_xlfn.XLOOKUP(CustomerCombined[[#This Row],[ID]], Table4[ID], Table4[Website], "Not Found", 0)</f>
        <v>1</v>
      </c>
      <c r="T905" s="5">
        <f>_xlfn.XLOOKUP(CustomerCombined[[#This Row],[ID]], Table4[ID], Table4[Catalog], "Not Found", 0)</f>
        <v>0</v>
      </c>
      <c r="U905" s="5">
        <f>_xlfn.XLOOKUP(CustomerCombined[[#This Row],[ID]], Table4[ID], Table4[Store], "Not Found", 0)</f>
        <v>2</v>
      </c>
      <c r="V905" s="5">
        <f>_xlfn.XLOOKUP(CustomerCombined[[#This Row],[ID]], Table4[ID], Table4[Visits], "Not Found", 0)</f>
        <v>8</v>
      </c>
      <c r="W905" s="8">
        <f>_xlfn.XLOOKUP(CustomerCombined[[#This Row],[ID]], Table2[ID],Table2[Complaint], "Not Found", 0 )</f>
        <v>0</v>
      </c>
      <c r="X905" s="8">
        <f>_xlfn.XLOOKUP(CustomerCombined[[#This Row],[ID]], Table2[ID],Table2[Pilot], "Not Found", 0 )</f>
        <v>0</v>
      </c>
      <c r="Y905" s="8">
        <f>_xlfn.XLOOKUP(CustomerCombined[[#This Row],[ID]], Table2[ID],Table2[MC1], "Not Found", 0 )</f>
        <v>0</v>
      </c>
      <c r="Z905" s="8">
        <f>_xlfn.XLOOKUP(CustomerCombined[[#This Row],[ID]], Table2[ID],Table2[MC2], "Not Found", 0 )</f>
        <v>0</v>
      </c>
      <c r="AA905" s="8">
        <f>_xlfn.XLOOKUP(CustomerCombined[[#This Row],[ID]], Table2[ID],Table2[MC3], "Not Found", 0 )</f>
        <v>0</v>
      </c>
      <c r="AB905" s="8">
        <f>_xlfn.XLOOKUP(CustomerCombined[[#This Row],[ID]], Table2[ID],Table2[MC4], "Not Found", 0 )</f>
        <v>0</v>
      </c>
      <c r="AC905" s="8">
        <f>_xlfn.XLOOKUP(CustomerCombined[[#This Row],[ID]], Table2[ID],Table2[MC5], "Not Found", 0 )</f>
        <v>0</v>
      </c>
    </row>
    <row r="906" spans="1:29" x14ac:dyDescent="0.3">
      <c r="A906" s="6">
        <v>2914</v>
      </c>
      <c r="B906" s="6">
        <v>125410</v>
      </c>
      <c r="C906" s="6">
        <v>1</v>
      </c>
      <c r="D906" s="6">
        <v>0</v>
      </c>
      <c r="E906" s="6">
        <v>47</v>
      </c>
      <c r="F906" s="5" t="s">
        <v>6</v>
      </c>
      <c r="G906" s="5" t="s">
        <v>11</v>
      </c>
      <c r="H906" s="3">
        <v>43953</v>
      </c>
      <c r="I906" s="5" t="s">
        <v>439</v>
      </c>
      <c r="J906" s="5">
        <f>_xlfn.XLOOKUP(CustomerCombined[[#This Row],[ID]], Table4[ID], Table4[Recency], "Not Found", 0)</f>
        <v>48</v>
      </c>
      <c r="K906" s="5">
        <f>_xlfn.XLOOKUP(CustomerCombined[[#This Row],[ID]], Table4[ID], Table4[Teas], "Not Found", 0)</f>
        <v>10</v>
      </c>
      <c r="L906" s="5">
        <f>_xlfn.XLOOKUP(CustomerCombined[[#This Row],[ID]], Table4[ID], Table4[Fruits], "Not Found", 0)</f>
        <v>10</v>
      </c>
      <c r="M906" s="5">
        <f>_xlfn.XLOOKUP(CustomerCombined[[#This Row],[ID]], Table4[ID], Table4[Meats], "Not Found", 0)</f>
        <v>20</v>
      </c>
      <c r="N906" s="5">
        <f>_xlfn.XLOOKUP(CustomerCombined[[#This Row],[ID]], Table4[ID], Table4[Seafood], "Not Found", 0)</f>
        <v>64</v>
      </c>
      <c r="O906" s="5">
        <f>_xlfn.XLOOKUP(CustomerCombined[[#This Row],[ID]], Table4[ID], Table4[Sweets], "Not Found", 0)</f>
        <v>64</v>
      </c>
      <c r="P906" s="5">
        <f>_xlfn.XLOOKUP(CustomerCombined[[#This Row],[ID]], Table4[ID], Table4[Premium], "Not Found", 0)</f>
        <v>20</v>
      </c>
      <c r="Q906" s="5">
        <f>_xlfn.XLOOKUP(CustomerCombined[[#This Row],[ID]], Table4[ID], Table4[Regular], "Not Found", 0)</f>
        <v>148</v>
      </c>
      <c r="R906" s="5">
        <f>_xlfn.XLOOKUP(CustomerCombined[[#This Row],[ID]], Table4[ID], Table4[Deals], "Not Found", 0)</f>
        <v>1</v>
      </c>
      <c r="S906" s="5">
        <f>_xlfn.XLOOKUP(CustomerCombined[[#This Row],[ID]], Table4[ID], Table4[Website], "Not Found", 0)</f>
        <v>1</v>
      </c>
      <c r="T906" s="5">
        <f>_xlfn.XLOOKUP(CustomerCombined[[#This Row],[ID]], Table4[ID], Table4[Catalog], "Not Found", 0)</f>
        <v>0</v>
      </c>
      <c r="U906" s="5">
        <f>_xlfn.XLOOKUP(CustomerCombined[[#This Row],[ID]], Table4[ID], Table4[Store], "Not Found", 0)</f>
        <v>4</v>
      </c>
      <c r="V906" s="5">
        <f>_xlfn.XLOOKUP(CustomerCombined[[#This Row],[ID]], Table4[ID], Table4[Visits], "Not Found", 0)</f>
        <v>4</v>
      </c>
      <c r="W906" s="8">
        <f>_xlfn.XLOOKUP(CustomerCombined[[#This Row],[ID]], Table2[ID],Table2[Complaint], "Not Found", 0 )</f>
        <v>0</v>
      </c>
      <c r="X906" s="8">
        <f>_xlfn.XLOOKUP(CustomerCombined[[#This Row],[ID]], Table2[ID],Table2[Pilot], "Not Found", 0 )</f>
        <v>0</v>
      </c>
      <c r="Y906" s="8">
        <f>_xlfn.XLOOKUP(CustomerCombined[[#This Row],[ID]], Table2[ID],Table2[MC1], "Not Found", 0 )</f>
        <v>0</v>
      </c>
      <c r="Z906" s="8">
        <f>_xlfn.XLOOKUP(CustomerCombined[[#This Row],[ID]], Table2[ID],Table2[MC2], "Not Found", 0 )</f>
        <v>0</v>
      </c>
      <c r="AA906" s="8">
        <f>_xlfn.XLOOKUP(CustomerCombined[[#This Row],[ID]], Table2[ID],Table2[MC3], "Not Found", 0 )</f>
        <v>0</v>
      </c>
      <c r="AB906" s="8">
        <f>_xlfn.XLOOKUP(CustomerCombined[[#This Row],[ID]], Table2[ID],Table2[MC4], "Not Found", 0 )</f>
        <v>0</v>
      </c>
      <c r="AC906" s="8">
        <f>_xlfn.XLOOKUP(CustomerCombined[[#This Row],[ID]], Table2[ID],Table2[MC5], "Not Found", 0 )</f>
        <v>0</v>
      </c>
    </row>
    <row r="907" spans="1:29" x14ac:dyDescent="0.3">
      <c r="A907" s="6">
        <v>2395</v>
      </c>
      <c r="B907" s="6">
        <v>124639</v>
      </c>
      <c r="C907" s="6">
        <v>1</v>
      </c>
      <c r="D907" s="6">
        <v>1</v>
      </c>
      <c r="E907" s="6">
        <v>47</v>
      </c>
      <c r="F907" s="5" t="s">
        <v>6</v>
      </c>
      <c r="G907" s="5" t="s">
        <v>11</v>
      </c>
      <c r="H907" s="3">
        <v>43928</v>
      </c>
      <c r="I907" s="5" t="s">
        <v>437</v>
      </c>
      <c r="J907" s="5">
        <f>_xlfn.XLOOKUP(CustomerCombined[[#This Row],[ID]], Table4[ID], Table4[Recency], "Not Found", 0)</f>
        <v>3</v>
      </c>
      <c r="K907" s="5">
        <f>_xlfn.XLOOKUP(CustomerCombined[[#This Row],[ID]], Table4[ID], Table4[Teas], "Not Found", 0)</f>
        <v>101</v>
      </c>
      <c r="L907" s="5">
        <f>_xlfn.XLOOKUP(CustomerCombined[[#This Row],[ID]], Table4[ID], Table4[Fruits], "Not Found", 0)</f>
        <v>15</v>
      </c>
      <c r="M907" s="5">
        <f>_xlfn.XLOOKUP(CustomerCombined[[#This Row],[ID]], Table4[ID], Table4[Meats], "Not Found", 0)</f>
        <v>81</v>
      </c>
      <c r="N907" s="5">
        <f>_xlfn.XLOOKUP(CustomerCombined[[#This Row],[ID]], Table4[ID], Table4[Seafood], "Not Found", 0)</f>
        <v>0</v>
      </c>
      <c r="O907" s="5">
        <f>_xlfn.XLOOKUP(CustomerCombined[[#This Row],[ID]], Table4[ID], Table4[Sweets], "Not Found", 0)</f>
        <v>20</v>
      </c>
      <c r="P907" s="5">
        <f>_xlfn.XLOOKUP(CustomerCombined[[#This Row],[ID]], Table4[ID], Table4[Premium], "Not Found", 0)</f>
        <v>5</v>
      </c>
      <c r="Q907" s="5">
        <f>_xlfn.XLOOKUP(CustomerCombined[[#This Row],[ID]], Table4[ID], Table4[Regular], "Not Found", 0)</f>
        <v>212</v>
      </c>
      <c r="R907" s="5">
        <f>_xlfn.XLOOKUP(CustomerCombined[[#This Row],[ID]], Table4[ID], Table4[Deals], "Not Found", 0)</f>
        <v>3</v>
      </c>
      <c r="S907" s="5">
        <f>_xlfn.XLOOKUP(CustomerCombined[[#This Row],[ID]], Table4[ID], Table4[Website], "Not Found", 0)</f>
        <v>2</v>
      </c>
      <c r="T907" s="5">
        <f>_xlfn.XLOOKUP(CustomerCombined[[#This Row],[ID]], Table4[ID], Table4[Catalog], "Not Found", 0)</f>
        <v>0</v>
      </c>
      <c r="U907" s="5">
        <f>_xlfn.XLOOKUP(CustomerCombined[[#This Row],[ID]], Table4[ID], Table4[Store], "Not Found", 0)</f>
        <v>4</v>
      </c>
      <c r="V907" s="5">
        <f>_xlfn.XLOOKUP(CustomerCombined[[#This Row],[ID]], Table4[ID], Table4[Visits], "Not Found", 0)</f>
        <v>6</v>
      </c>
      <c r="W907" s="8">
        <f>_xlfn.XLOOKUP(CustomerCombined[[#This Row],[ID]], Table2[ID],Table2[Complaint], "Not Found", 0 )</f>
        <v>0</v>
      </c>
      <c r="X907" s="8">
        <f>_xlfn.XLOOKUP(CustomerCombined[[#This Row],[ID]], Table2[ID],Table2[Pilot], "Not Found", 0 )</f>
        <v>0</v>
      </c>
      <c r="Y907" s="8">
        <f>_xlfn.XLOOKUP(CustomerCombined[[#This Row],[ID]], Table2[ID],Table2[MC1], "Not Found", 0 )</f>
        <v>0</v>
      </c>
      <c r="Z907" s="8">
        <f>_xlfn.XLOOKUP(CustomerCombined[[#This Row],[ID]], Table2[ID],Table2[MC2], "Not Found", 0 )</f>
        <v>0</v>
      </c>
      <c r="AA907" s="8">
        <f>_xlfn.XLOOKUP(CustomerCombined[[#This Row],[ID]], Table2[ID],Table2[MC3], "Not Found", 0 )</f>
        <v>0</v>
      </c>
      <c r="AB907" s="8">
        <f>_xlfn.XLOOKUP(CustomerCombined[[#This Row],[ID]], Table2[ID],Table2[MC4], "Not Found", 0 )</f>
        <v>0</v>
      </c>
      <c r="AC907" s="8">
        <f>_xlfn.XLOOKUP(CustomerCombined[[#This Row],[ID]], Table2[ID],Table2[MC5], "Not Found", 0 )</f>
        <v>0</v>
      </c>
    </row>
    <row r="908" spans="1:29" x14ac:dyDescent="0.3">
      <c r="A908" s="6">
        <v>1077</v>
      </c>
      <c r="B908" s="6">
        <v>123559</v>
      </c>
      <c r="C908" s="6">
        <v>1</v>
      </c>
      <c r="D908" s="6">
        <v>0</v>
      </c>
      <c r="E908" s="6">
        <v>47</v>
      </c>
      <c r="F908" s="5" t="s">
        <v>6</v>
      </c>
      <c r="G908" s="5" t="s">
        <v>442</v>
      </c>
      <c r="H908" s="3">
        <v>43689</v>
      </c>
      <c r="I908" s="5" t="s">
        <v>435</v>
      </c>
      <c r="J908" s="5">
        <f>_xlfn.XLOOKUP(CustomerCombined[[#This Row],[ID]], Table4[ID], Table4[Recency], "Not Found", 0)</f>
        <v>87</v>
      </c>
      <c r="K908" s="5">
        <f>_xlfn.XLOOKUP(CustomerCombined[[#This Row],[ID]], Table4[ID], Table4[Teas], "Not Found", 0)</f>
        <v>131</v>
      </c>
      <c r="L908" s="5">
        <f>_xlfn.XLOOKUP(CustomerCombined[[#This Row],[ID]], Table4[ID], Table4[Fruits], "Not Found", 0)</f>
        <v>26</v>
      </c>
      <c r="M908" s="5">
        <f>_xlfn.XLOOKUP(CustomerCombined[[#This Row],[ID]], Table4[ID], Table4[Meats], "Not Found", 0)</f>
        <v>100</v>
      </c>
      <c r="N908" s="5">
        <f>_xlfn.XLOOKUP(CustomerCombined[[#This Row],[ID]], Table4[ID], Table4[Seafood], "Not Found", 0)</f>
        <v>37</v>
      </c>
      <c r="O908" s="5">
        <f>_xlfn.XLOOKUP(CustomerCombined[[#This Row],[ID]], Table4[ID], Table4[Sweets], "Not Found", 0)</f>
        <v>0</v>
      </c>
      <c r="P908" s="5">
        <f>_xlfn.XLOOKUP(CustomerCombined[[#This Row],[ID]], Table4[ID], Table4[Premium], "Not Found", 0)</f>
        <v>121</v>
      </c>
      <c r="Q908" s="5">
        <f>_xlfn.XLOOKUP(CustomerCombined[[#This Row],[ID]], Table4[ID], Table4[Regular], "Not Found", 0)</f>
        <v>173</v>
      </c>
      <c r="R908" s="5">
        <f>_xlfn.XLOOKUP(CustomerCombined[[#This Row],[ID]], Table4[ID], Table4[Deals], "Not Found", 0)</f>
        <v>3</v>
      </c>
      <c r="S908" s="5">
        <f>_xlfn.XLOOKUP(CustomerCombined[[#This Row],[ID]], Table4[ID], Table4[Website], "Not Found", 0)</f>
        <v>3</v>
      </c>
      <c r="T908" s="5">
        <f>_xlfn.XLOOKUP(CustomerCombined[[#This Row],[ID]], Table4[ID], Table4[Catalog], "Not Found", 0)</f>
        <v>0</v>
      </c>
      <c r="U908" s="5">
        <f>_xlfn.XLOOKUP(CustomerCombined[[#This Row],[ID]], Table4[ID], Table4[Store], "Not Found", 0)</f>
        <v>3</v>
      </c>
      <c r="V908" s="5">
        <f>_xlfn.XLOOKUP(CustomerCombined[[#This Row],[ID]], Table4[ID], Table4[Visits], "Not Found", 0)</f>
        <v>7</v>
      </c>
      <c r="W908" s="8">
        <f>_xlfn.XLOOKUP(CustomerCombined[[#This Row],[ID]], Table2[ID],Table2[Complaint], "Not Found", 0 )</f>
        <v>0</v>
      </c>
      <c r="X908" s="8">
        <f>_xlfn.XLOOKUP(CustomerCombined[[#This Row],[ID]], Table2[ID],Table2[Pilot], "Not Found", 0 )</f>
        <v>0</v>
      </c>
      <c r="Y908" s="8">
        <f>_xlfn.XLOOKUP(CustomerCombined[[#This Row],[ID]], Table2[ID],Table2[MC1], "Not Found", 0 )</f>
        <v>0</v>
      </c>
      <c r="Z908" s="8">
        <f>_xlfn.XLOOKUP(CustomerCombined[[#This Row],[ID]], Table2[ID],Table2[MC2], "Not Found", 0 )</f>
        <v>0</v>
      </c>
      <c r="AA908" s="8">
        <f>_xlfn.XLOOKUP(CustomerCombined[[#This Row],[ID]], Table2[ID],Table2[MC3], "Not Found", 0 )</f>
        <v>0</v>
      </c>
      <c r="AB908" s="8">
        <f>_xlfn.XLOOKUP(CustomerCombined[[#This Row],[ID]], Table2[ID],Table2[MC4], "Not Found", 0 )</f>
        <v>0</v>
      </c>
      <c r="AC908" s="8">
        <f>_xlfn.XLOOKUP(CustomerCombined[[#This Row],[ID]], Table2[ID],Table2[MC5], "Not Found", 0 )</f>
        <v>0</v>
      </c>
    </row>
    <row r="909" spans="1:29" x14ac:dyDescent="0.3">
      <c r="A909" s="6">
        <v>2367</v>
      </c>
      <c r="B909" s="6">
        <v>122682</v>
      </c>
      <c r="C909" s="6">
        <v>1</v>
      </c>
      <c r="D909" s="6">
        <v>0</v>
      </c>
      <c r="E909" s="6">
        <v>47</v>
      </c>
      <c r="F909" s="5" t="s">
        <v>8</v>
      </c>
      <c r="G909" s="5" t="s">
        <v>11</v>
      </c>
      <c r="H909" s="3">
        <v>44077</v>
      </c>
      <c r="I909" s="5" t="s">
        <v>435</v>
      </c>
      <c r="J909" s="5">
        <f>_xlfn.XLOOKUP(CustomerCombined[[#This Row],[ID]], Table4[ID], Table4[Recency], "Not Found", 0)</f>
        <v>51</v>
      </c>
      <c r="K909" s="5">
        <f>_xlfn.XLOOKUP(CustomerCombined[[#This Row],[ID]], Table4[ID], Table4[Teas], "Not Found", 0)</f>
        <v>54</v>
      </c>
      <c r="L909" s="5">
        <f>_xlfn.XLOOKUP(CustomerCombined[[#This Row],[ID]], Table4[ID], Table4[Fruits], "Not Found", 0)</f>
        <v>76</v>
      </c>
      <c r="M909" s="5">
        <f>_xlfn.XLOOKUP(CustomerCombined[[#This Row],[ID]], Table4[ID], Table4[Meats], "Not Found", 0)</f>
        <v>157</v>
      </c>
      <c r="N909" s="5">
        <f>_xlfn.XLOOKUP(CustomerCombined[[#This Row],[ID]], Table4[ID], Table4[Seafood], "Not Found", 0)</f>
        <v>22</v>
      </c>
      <c r="O909" s="5">
        <f>_xlfn.XLOOKUP(CustomerCombined[[#This Row],[ID]], Table4[ID], Table4[Sweets], "Not Found", 0)</f>
        <v>11</v>
      </c>
      <c r="P909" s="5">
        <f>_xlfn.XLOOKUP(CustomerCombined[[#This Row],[ID]], Table4[ID], Table4[Premium], "Not Found", 0)</f>
        <v>195</v>
      </c>
      <c r="Q909" s="5">
        <f>_xlfn.XLOOKUP(CustomerCombined[[#This Row],[ID]], Table4[ID], Table4[Regular], "Not Found", 0)</f>
        <v>124</v>
      </c>
      <c r="R909" s="5">
        <f>_xlfn.XLOOKUP(CustomerCombined[[#This Row],[ID]], Table4[ID], Table4[Deals], "Not Found", 0)</f>
        <v>3</v>
      </c>
      <c r="S909" s="5">
        <f>_xlfn.XLOOKUP(CustomerCombined[[#This Row],[ID]], Table4[ID], Table4[Website], "Not Found", 0)</f>
        <v>2</v>
      </c>
      <c r="T909" s="5">
        <f>_xlfn.XLOOKUP(CustomerCombined[[#This Row],[ID]], Table4[ID], Table4[Catalog], "Not Found", 0)</f>
        <v>1</v>
      </c>
      <c r="U909" s="5">
        <f>_xlfn.XLOOKUP(CustomerCombined[[#This Row],[ID]], Table4[ID], Table4[Store], "Not Found", 0)</f>
        <v>4</v>
      </c>
      <c r="V909" s="5">
        <f>_xlfn.XLOOKUP(CustomerCombined[[#This Row],[ID]], Table4[ID], Table4[Visits], "Not Found", 0)</f>
        <v>4</v>
      </c>
      <c r="W909" s="8">
        <f>_xlfn.XLOOKUP(CustomerCombined[[#This Row],[ID]], Table2[ID],Table2[Complaint], "Not Found", 0 )</f>
        <v>0</v>
      </c>
      <c r="X909" s="8">
        <f>_xlfn.XLOOKUP(CustomerCombined[[#This Row],[ID]], Table2[ID],Table2[Pilot], "Not Found", 0 )</f>
        <v>0</v>
      </c>
      <c r="Y909" s="8">
        <f>_xlfn.XLOOKUP(CustomerCombined[[#This Row],[ID]], Table2[ID],Table2[MC1], "Not Found", 0 )</f>
        <v>0</v>
      </c>
      <c r="Z909" s="8">
        <f>_xlfn.XLOOKUP(CustomerCombined[[#This Row],[ID]], Table2[ID],Table2[MC2], "Not Found", 0 )</f>
        <v>0</v>
      </c>
      <c r="AA909" s="8">
        <f>_xlfn.XLOOKUP(CustomerCombined[[#This Row],[ID]], Table2[ID],Table2[MC3], "Not Found", 0 )</f>
        <v>0</v>
      </c>
      <c r="AB909" s="8">
        <f>_xlfn.XLOOKUP(CustomerCombined[[#This Row],[ID]], Table2[ID],Table2[MC4], "Not Found", 0 )</f>
        <v>0</v>
      </c>
      <c r="AC909" s="8">
        <f>_xlfn.XLOOKUP(CustomerCombined[[#This Row],[ID]], Table2[ID],Table2[MC5], "Not Found", 0 )</f>
        <v>0</v>
      </c>
    </row>
    <row r="910" spans="1:29" x14ac:dyDescent="0.3">
      <c r="A910" s="6">
        <v>2361</v>
      </c>
      <c r="B910" s="6">
        <v>120895</v>
      </c>
      <c r="C910" s="6">
        <v>1</v>
      </c>
      <c r="D910" s="6">
        <v>0</v>
      </c>
      <c r="E910" s="6">
        <v>47</v>
      </c>
      <c r="F910" s="5" t="s">
        <v>6</v>
      </c>
      <c r="G910" s="5" t="s">
        <v>11</v>
      </c>
      <c r="H910" s="3" t="s">
        <v>387</v>
      </c>
      <c r="I910" s="5" t="s">
        <v>435</v>
      </c>
      <c r="J910" s="5">
        <f>_xlfn.XLOOKUP(CustomerCombined[[#This Row],[ID]], Table4[ID], Table4[Recency], "Not Found", 0)</f>
        <v>24</v>
      </c>
      <c r="K910" s="5">
        <f>_xlfn.XLOOKUP(CustomerCombined[[#This Row],[ID]], Table4[ID], Table4[Teas], "Not Found", 0)</f>
        <v>104</v>
      </c>
      <c r="L910" s="5">
        <f>_xlfn.XLOOKUP(CustomerCombined[[#This Row],[ID]], Table4[ID], Table4[Fruits], "Not Found", 0)</f>
        <v>17</v>
      </c>
      <c r="M910" s="5">
        <f>_xlfn.XLOOKUP(CustomerCombined[[#This Row],[ID]], Table4[ID], Table4[Meats], "Not Found", 0)</f>
        <v>98</v>
      </c>
      <c r="N910" s="5">
        <f>_xlfn.XLOOKUP(CustomerCombined[[#This Row],[ID]], Table4[ID], Table4[Seafood], "Not Found", 0)</f>
        <v>17</v>
      </c>
      <c r="O910" s="5">
        <f>_xlfn.XLOOKUP(CustomerCombined[[#This Row],[ID]], Table4[ID], Table4[Sweets], "Not Found", 0)</f>
        <v>0</v>
      </c>
      <c r="P910" s="5">
        <f>_xlfn.XLOOKUP(CustomerCombined[[#This Row],[ID]], Table4[ID], Table4[Premium], "Not Found", 0)</f>
        <v>23</v>
      </c>
      <c r="Q910" s="5">
        <f>_xlfn.XLOOKUP(CustomerCombined[[#This Row],[ID]], Table4[ID], Table4[Regular], "Not Found", 0)</f>
        <v>214</v>
      </c>
      <c r="R910" s="5">
        <f>_xlfn.XLOOKUP(CustomerCombined[[#This Row],[ID]], Table4[ID], Table4[Deals], "Not Found", 0)</f>
        <v>1</v>
      </c>
      <c r="S910" s="5">
        <f>_xlfn.XLOOKUP(CustomerCombined[[#This Row],[ID]], Table4[ID], Table4[Website], "Not Found", 0)</f>
        <v>2</v>
      </c>
      <c r="T910" s="5">
        <f>_xlfn.XLOOKUP(CustomerCombined[[#This Row],[ID]], Table4[ID], Table4[Catalog], "Not Found", 0)</f>
        <v>0</v>
      </c>
      <c r="U910" s="5">
        <f>_xlfn.XLOOKUP(CustomerCombined[[#This Row],[ID]], Table4[ID], Table4[Store], "Not Found", 0)</f>
        <v>3</v>
      </c>
      <c r="V910" s="5">
        <f>_xlfn.XLOOKUP(CustomerCombined[[#This Row],[ID]], Table4[ID], Table4[Visits], "Not Found", 0)</f>
        <v>9</v>
      </c>
      <c r="W910" s="8">
        <f>_xlfn.XLOOKUP(CustomerCombined[[#This Row],[ID]], Table2[ID],Table2[Complaint], "Not Found", 0 )</f>
        <v>0</v>
      </c>
      <c r="X910" s="8">
        <f>_xlfn.XLOOKUP(CustomerCombined[[#This Row],[ID]], Table2[ID],Table2[Pilot], "Not Found", 0 )</f>
        <v>0</v>
      </c>
      <c r="Y910" s="8">
        <f>_xlfn.XLOOKUP(CustomerCombined[[#This Row],[ID]], Table2[ID],Table2[MC1], "Not Found", 0 )</f>
        <v>0</v>
      </c>
      <c r="Z910" s="8">
        <f>_xlfn.XLOOKUP(CustomerCombined[[#This Row],[ID]], Table2[ID],Table2[MC2], "Not Found", 0 )</f>
        <v>0</v>
      </c>
      <c r="AA910" s="8">
        <f>_xlfn.XLOOKUP(CustomerCombined[[#This Row],[ID]], Table2[ID],Table2[MC3], "Not Found", 0 )</f>
        <v>0</v>
      </c>
      <c r="AB910" s="8">
        <f>_xlfn.XLOOKUP(CustomerCombined[[#This Row],[ID]], Table2[ID],Table2[MC4], "Not Found", 0 )</f>
        <v>0</v>
      </c>
      <c r="AC910" s="8">
        <f>_xlfn.XLOOKUP(CustomerCombined[[#This Row],[ID]], Table2[ID],Table2[MC5], "Not Found", 0 )</f>
        <v>0</v>
      </c>
    </row>
    <row r="911" spans="1:29" x14ac:dyDescent="0.3">
      <c r="A911" s="6">
        <v>2229</v>
      </c>
      <c r="B911" s="6">
        <v>120427</v>
      </c>
      <c r="C911" s="6">
        <v>1</v>
      </c>
      <c r="D911" s="6">
        <v>0</v>
      </c>
      <c r="E911" s="6">
        <v>47</v>
      </c>
      <c r="F911" s="5" t="s">
        <v>8</v>
      </c>
      <c r="G911" s="5" t="s">
        <v>13</v>
      </c>
      <c r="H911" s="3" t="s">
        <v>77</v>
      </c>
      <c r="I911" s="5" t="s">
        <v>435</v>
      </c>
      <c r="J911" s="5">
        <f>_xlfn.XLOOKUP(CustomerCombined[[#This Row],[ID]], Table4[ID], Table4[Recency], "Not Found", 0)</f>
        <v>63</v>
      </c>
      <c r="K911" s="5">
        <f>_xlfn.XLOOKUP(CustomerCombined[[#This Row],[ID]], Table4[ID], Table4[Teas], "Not Found", 0)</f>
        <v>29</v>
      </c>
      <c r="L911" s="5">
        <f>_xlfn.XLOOKUP(CustomerCombined[[#This Row],[ID]], Table4[ID], Table4[Fruits], "Not Found", 0)</f>
        <v>0</v>
      </c>
      <c r="M911" s="5">
        <f>_xlfn.XLOOKUP(CustomerCombined[[#This Row],[ID]], Table4[ID], Table4[Meats], "Not Found", 0)</f>
        <v>24</v>
      </c>
      <c r="N911" s="5">
        <f>_xlfn.XLOOKUP(CustomerCombined[[#This Row],[ID]], Table4[ID], Table4[Seafood], "Not Found", 0)</f>
        <v>0</v>
      </c>
      <c r="O911" s="5">
        <f>_xlfn.XLOOKUP(CustomerCombined[[#This Row],[ID]], Table4[ID], Table4[Sweets], "Not Found", 0)</f>
        <v>0</v>
      </c>
      <c r="P911" s="5">
        <f>_xlfn.XLOOKUP(CustomerCombined[[#This Row],[ID]], Table4[ID], Table4[Premium], "Not Found", 0)</f>
        <v>6</v>
      </c>
      <c r="Q911" s="5">
        <f>_xlfn.XLOOKUP(CustomerCombined[[#This Row],[ID]], Table4[ID], Table4[Regular], "Not Found", 0)</f>
        <v>47</v>
      </c>
      <c r="R911" s="5">
        <f>_xlfn.XLOOKUP(CustomerCombined[[#This Row],[ID]], Table4[ID], Table4[Deals], "Not Found", 0)</f>
        <v>1</v>
      </c>
      <c r="S911" s="5">
        <f>_xlfn.XLOOKUP(CustomerCombined[[#This Row],[ID]], Table4[ID], Table4[Website], "Not Found", 0)</f>
        <v>1</v>
      </c>
      <c r="T911" s="5">
        <f>_xlfn.XLOOKUP(CustomerCombined[[#This Row],[ID]], Table4[ID], Table4[Catalog], "Not Found", 0)</f>
        <v>0</v>
      </c>
      <c r="U911" s="5">
        <f>_xlfn.XLOOKUP(CustomerCombined[[#This Row],[ID]], Table4[ID], Table4[Store], "Not Found", 0)</f>
        <v>2</v>
      </c>
      <c r="V911" s="5">
        <f>_xlfn.XLOOKUP(CustomerCombined[[#This Row],[ID]], Table4[ID], Table4[Visits], "Not Found", 0)</f>
        <v>8</v>
      </c>
      <c r="W911" s="8">
        <f>_xlfn.XLOOKUP(CustomerCombined[[#This Row],[ID]], Table2[ID],Table2[Complaint], "Not Found", 0 )</f>
        <v>0</v>
      </c>
      <c r="X911" s="8">
        <f>_xlfn.XLOOKUP(CustomerCombined[[#This Row],[ID]], Table2[ID],Table2[Pilot], "Not Found", 0 )</f>
        <v>0</v>
      </c>
      <c r="Y911" s="8">
        <f>_xlfn.XLOOKUP(CustomerCombined[[#This Row],[ID]], Table2[ID],Table2[MC1], "Not Found", 0 )</f>
        <v>0</v>
      </c>
      <c r="Z911" s="8">
        <f>_xlfn.XLOOKUP(CustomerCombined[[#This Row],[ID]], Table2[ID],Table2[MC2], "Not Found", 0 )</f>
        <v>0</v>
      </c>
      <c r="AA911" s="8">
        <f>_xlfn.XLOOKUP(CustomerCombined[[#This Row],[ID]], Table2[ID],Table2[MC3], "Not Found", 0 )</f>
        <v>0</v>
      </c>
      <c r="AB911" s="8">
        <f>_xlfn.XLOOKUP(CustomerCombined[[#This Row],[ID]], Table2[ID],Table2[MC4], "Not Found", 0 )</f>
        <v>0</v>
      </c>
      <c r="AC911" s="8">
        <f>_xlfn.XLOOKUP(CustomerCombined[[#This Row],[ID]], Table2[ID],Table2[MC5], "Not Found", 0 )</f>
        <v>0</v>
      </c>
    </row>
    <row r="912" spans="1:29" x14ac:dyDescent="0.3">
      <c r="A912" s="6">
        <v>1596</v>
      </c>
      <c r="B912" s="6">
        <v>118978</v>
      </c>
      <c r="C912" s="6">
        <v>1</v>
      </c>
      <c r="D912" s="6">
        <v>0</v>
      </c>
      <c r="E912" s="6">
        <v>47</v>
      </c>
      <c r="F912" s="5" t="s">
        <v>6</v>
      </c>
      <c r="G912" s="5" t="s">
        <v>10</v>
      </c>
      <c r="H912" s="3" t="s">
        <v>347</v>
      </c>
      <c r="I912" s="5" t="s">
        <v>436</v>
      </c>
      <c r="J912" s="5">
        <f>_xlfn.XLOOKUP(CustomerCombined[[#This Row],[ID]], Table4[ID], Table4[Recency], "Not Found", 0)</f>
        <v>41</v>
      </c>
      <c r="K912" s="5">
        <f>_xlfn.XLOOKUP(CustomerCombined[[#This Row],[ID]], Table4[ID], Table4[Teas], "Not Found", 0)</f>
        <v>13</v>
      </c>
      <c r="L912" s="5">
        <f>_xlfn.XLOOKUP(CustomerCombined[[#This Row],[ID]], Table4[ID], Table4[Fruits], "Not Found", 0)</f>
        <v>50</v>
      </c>
      <c r="M912" s="5">
        <f>_xlfn.XLOOKUP(CustomerCombined[[#This Row],[ID]], Table4[ID], Table4[Meats], "Not Found", 0)</f>
        <v>6</v>
      </c>
      <c r="N912" s="5">
        <f>_xlfn.XLOOKUP(CustomerCombined[[#This Row],[ID]], Table4[ID], Table4[Seafood], "Not Found", 0)</f>
        <v>25</v>
      </c>
      <c r="O912" s="5">
        <f>_xlfn.XLOOKUP(CustomerCombined[[#This Row],[ID]], Table4[ID], Table4[Sweets], "Not Found", 0)</f>
        <v>44</v>
      </c>
      <c r="P912" s="5">
        <f>_xlfn.XLOOKUP(CustomerCombined[[#This Row],[ID]], Table4[ID], Table4[Premium], "Not Found", 0)</f>
        <v>94</v>
      </c>
      <c r="Q912" s="5">
        <f>_xlfn.XLOOKUP(CustomerCombined[[#This Row],[ID]], Table4[ID], Table4[Regular], "Not Found", 0)</f>
        <v>44</v>
      </c>
      <c r="R912" s="5">
        <f>_xlfn.XLOOKUP(CustomerCombined[[#This Row],[ID]], Table4[ID], Table4[Deals], "Not Found", 0)</f>
        <v>1</v>
      </c>
      <c r="S912" s="5">
        <f>_xlfn.XLOOKUP(CustomerCombined[[#This Row],[ID]], Table4[ID], Table4[Website], "Not Found", 0)</f>
        <v>1</v>
      </c>
      <c r="T912" s="5">
        <f>_xlfn.XLOOKUP(CustomerCombined[[#This Row],[ID]], Table4[ID], Table4[Catalog], "Not Found", 0)</f>
        <v>0</v>
      </c>
      <c r="U912" s="5">
        <f>_xlfn.XLOOKUP(CustomerCombined[[#This Row],[ID]], Table4[ID], Table4[Store], "Not Found", 0)</f>
        <v>3</v>
      </c>
      <c r="V912" s="5">
        <f>_xlfn.XLOOKUP(CustomerCombined[[#This Row],[ID]], Table4[ID], Table4[Visits], "Not Found", 0)</f>
        <v>8</v>
      </c>
      <c r="W912" s="8">
        <f>_xlfn.XLOOKUP(CustomerCombined[[#This Row],[ID]], Table2[ID],Table2[Complaint], "Not Found", 0 )</f>
        <v>0</v>
      </c>
      <c r="X912" s="8">
        <f>_xlfn.XLOOKUP(CustomerCombined[[#This Row],[ID]], Table2[ID],Table2[Pilot], "Not Found", 0 )</f>
        <v>0</v>
      </c>
      <c r="Y912" s="8">
        <f>_xlfn.XLOOKUP(CustomerCombined[[#This Row],[ID]], Table2[ID],Table2[MC1], "Not Found", 0 )</f>
        <v>0</v>
      </c>
      <c r="Z912" s="8">
        <f>_xlfn.XLOOKUP(CustomerCombined[[#This Row],[ID]], Table2[ID],Table2[MC2], "Not Found", 0 )</f>
        <v>0</v>
      </c>
      <c r="AA912" s="8">
        <f>_xlfn.XLOOKUP(CustomerCombined[[#This Row],[ID]], Table2[ID],Table2[MC3], "Not Found", 0 )</f>
        <v>0</v>
      </c>
      <c r="AB912" s="8">
        <f>_xlfn.XLOOKUP(CustomerCombined[[#This Row],[ID]], Table2[ID],Table2[MC4], "Not Found", 0 )</f>
        <v>0</v>
      </c>
      <c r="AC912" s="8">
        <f>_xlfn.XLOOKUP(CustomerCombined[[#This Row],[ID]], Table2[ID],Table2[MC5], "Not Found", 0 )</f>
        <v>0</v>
      </c>
    </row>
    <row r="913" spans="1:29" x14ac:dyDescent="0.3">
      <c r="A913" s="6">
        <v>2679</v>
      </c>
      <c r="B913" s="6">
        <v>109722</v>
      </c>
      <c r="C913" s="6">
        <v>1</v>
      </c>
      <c r="D913" s="6">
        <v>0</v>
      </c>
      <c r="E913" s="6">
        <v>47</v>
      </c>
      <c r="F913" s="5" t="s">
        <v>8</v>
      </c>
      <c r="G913" s="5" t="s">
        <v>10</v>
      </c>
      <c r="H913" s="3">
        <v>43711</v>
      </c>
      <c r="I913" s="5" t="s">
        <v>435</v>
      </c>
      <c r="J913" s="5">
        <f>_xlfn.XLOOKUP(CustomerCombined[[#This Row],[ID]], Table4[ID], Table4[Recency], "Not Found", 0)</f>
        <v>7</v>
      </c>
      <c r="K913" s="5">
        <f>_xlfn.XLOOKUP(CustomerCombined[[#This Row],[ID]], Table4[ID], Table4[Teas], "Not Found", 0)</f>
        <v>68</v>
      </c>
      <c r="L913" s="5">
        <f>_xlfn.XLOOKUP(CustomerCombined[[#This Row],[ID]], Table4[ID], Table4[Fruits], "Not Found", 0)</f>
        <v>192</v>
      </c>
      <c r="M913" s="5">
        <f>_xlfn.XLOOKUP(CustomerCombined[[#This Row],[ID]], Table4[ID], Table4[Meats], "Not Found", 0)</f>
        <v>181</v>
      </c>
      <c r="N913" s="5">
        <f>_xlfn.XLOOKUP(CustomerCombined[[#This Row],[ID]], Table4[ID], Table4[Seafood], "Not Found", 0)</f>
        <v>68</v>
      </c>
      <c r="O913" s="5">
        <f>_xlfn.XLOOKUP(CustomerCombined[[#This Row],[ID]], Table4[ID], Table4[Sweets], "Not Found", 0)</f>
        <v>181</v>
      </c>
      <c r="P913" s="5">
        <f>_xlfn.XLOOKUP(CustomerCombined[[#This Row],[ID]], Table4[ID], Table4[Premium], "Not Found", 0)</f>
        <v>474</v>
      </c>
      <c r="Q913" s="5">
        <f>_xlfn.XLOOKUP(CustomerCombined[[#This Row],[ID]], Table4[ID], Table4[Regular], "Not Found", 0)</f>
        <v>214</v>
      </c>
      <c r="R913" s="5">
        <f>_xlfn.XLOOKUP(CustomerCombined[[#This Row],[ID]], Table4[ID], Table4[Deals], "Not Found", 0)</f>
        <v>4</v>
      </c>
      <c r="S913" s="5">
        <f>_xlfn.XLOOKUP(CustomerCombined[[#This Row],[ID]], Table4[ID], Table4[Website], "Not Found", 0)</f>
        <v>3</v>
      </c>
      <c r="T913" s="5">
        <f>_xlfn.XLOOKUP(CustomerCombined[[#This Row],[ID]], Table4[ID], Table4[Catalog], "Not Found", 0)</f>
        <v>1</v>
      </c>
      <c r="U913" s="5">
        <f>_xlfn.XLOOKUP(CustomerCombined[[#This Row],[ID]], Table4[ID], Table4[Store], "Not Found", 0)</f>
        <v>3</v>
      </c>
      <c r="V913" s="5">
        <f>_xlfn.XLOOKUP(CustomerCombined[[#This Row],[ID]], Table4[ID], Table4[Visits], "Not Found", 0)</f>
        <v>8</v>
      </c>
      <c r="W913" s="8">
        <f>_xlfn.XLOOKUP(CustomerCombined[[#This Row],[ID]], Table2[ID],Table2[Complaint], "Not Found", 0 )</f>
        <v>0</v>
      </c>
      <c r="X913" s="8">
        <f>_xlfn.XLOOKUP(CustomerCombined[[#This Row],[ID]], Table2[ID],Table2[Pilot], "Not Found", 0 )</f>
        <v>1</v>
      </c>
      <c r="Y913" s="8">
        <f>_xlfn.XLOOKUP(CustomerCombined[[#This Row],[ID]], Table2[ID],Table2[MC1], "Not Found", 0 )</f>
        <v>0</v>
      </c>
      <c r="Z913" s="8">
        <f>_xlfn.XLOOKUP(CustomerCombined[[#This Row],[ID]], Table2[ID],Table2[MC2], "Not Found", 0 )</f>
        <v>0</v>
      </c>
      <c r="AA913" s="8">
        <f>_xlfn.XLOOKUP(CustomerCombined[[#This Row],[ID]], Table2[ID],Table2[MC3], "Not Found", 0 )</f>
        <v>0</v>
      </c>
      <c r="AB913" s="8">
        <f>_xlfn.XLOOKUP(CustomerCombined[[#This Row],[ID]], Table2[ID],Table2[MC4], "Not Found", 0 )</f>
        <v>0</v>
      </c>
      <c r="AC913" s="8">
        <f>_xlfn.XLOOKUP(CustomerCombined[[#This Row],[ID]], Table2[ID],Table2[MC5], "Not Found", 0 )</f>
        <v>0</v>
      </c>
    </row>
    <row r="914" spans="1:29" x14ac:dyDescent="0.3">
      <c r="A914" s="6">
        <v>1226</v>
      </c>
      <c r="B914" s="6">
        <v>107500</v>
      </c>
      <c r="C914" s="6">
        <v>1</v>
      </c>
      <c r="D914" s="6">
        <v>0</v>
      </c>
      <c r="E914" s="6">
        <v>47</v>
      </c>
      <c r="F914" s="5" t="s">
        <v>7</v>
      </c>
      <c r="G914" s="5" t="s">
        <v>11</v>
      </c>
      <c r="H914" s="3">
        <v>43836</v>
      </c>
      <c r="I914" s="5" t="s">
        <v>438</v>
      </c>
      <c r="J914" s="5">
        <f>_xlfn.XLOOKUP(CustomerCombined[[#This Row],[ID]], Table4[ID], Table4[Recency], "Not Found", 0)</f>
        <v>54</v>
      </c>
      <c r="K914" s="5">
        <f>_xlfn.XLOOKUP(CustomerCombined[[#This Row],[ID]], Table4[ID], Table4[Teas], "Not Found", 0)</f>
        <v>72</v>
      </c>
      <c r="L914" s="5">
        <f>_xlfn.XLOOKUP(CustomerCombined[[#This Row],[ID]], Table4[ID], Table4[Fruits], "Not Found", 0)</f>
        <v>43</v>
      </c>
      <c r="M914" s="5">
        <f>_xlfn.XLOOKUP(CustomerCombined[[#This Row],[ID]], Table4[ID], Table4[Meats], "Not Found", 0)</f>
        <v>143</v>
      </c>
      <c r="N914" s="5">
        <f>_xlfn.XLOOKUP(CustomerCombined[[#This Row],[ID]], Table4[ID], Table4[Seafood], "Not Found", 0)</f>
        <v>172</v>
      </c>
      <c r="O914" s="5">
        <f>_xlfn.XLOOKUP(CustomerCombined[[#This Row],[ID]], Table4[ID], Table4[Sweets], "Not Found", 0)</f>
        <v>100</v>
      </c>
      <c r="P914" s="5">
        <f>_xlfn.XLOOKUP(CustomerCombined[[#This Row],[ID]], Table4[ID], Table4[Premium], "Not Found", 0)</f>
        <v>287</v>
      </c>
      <c r="Q914" s="5">
        <f>_xlfn.XLOOKUP(CustomerCombined[[#This Row],[ID]], Table4[ID], Table4[Regular], "Not Found", 0)</f>
        <v>244</v>
      </c>
      <c r="R914" s="5">
        <f>_xlfn.XLOOKUP(CustomerCombined[[#This Row],[ID]], Table4[ID], Table4[Deals], "Not Found", 0)</f>
        <v>4</v>
      </c>
      <c r="S914" s="5">
        <f>_xlfn.XLOOKUP(CustomerCombined[[#This Row],[ID]], Table4[ID], Table4[Website], "Not Found", 0)</f>
        <v>3</v>
      </c>
      <c r="T914" s="5">
        <f>_xlfn.XLOOKUP(CustomerCombined[[#This Row],[ID]], Table4[ID], Table4[Catalog], "Not Found", 0)</f>
        <v>1</v>
      </c>
      <c r="U914" s="5">
        <f>_xlfn.XLOOKUP(CustomerCombined[[#This Row],[ID]], Table4[ID], Table4[Store], "Not Found", 0)</f>
        <v>3</v>
      </c>
      <c r="V914" s="5">
        <f>_xlfn.XLOOKUP(CustomerCombined[[#This Row],[ID]], Table4[ID], Table4[Visits], "Not Found", 0)</f>
        <v>7</v>
      </c>
      <c r="W914" s="8">
        <f>_xlfn.XLOOKUP(CustomerCombined[[#This Row],[ID]], Table2[ID],Table2[Complaint], "Not Found", 0 )</f>
        <v>0</v>
      </c>
      <c r="X914" s="8">
        <f>_xlfn.XLOOKUP(CustomerCombined[[#This Row],[ID]], Table2[ID],Table2[Pilot], "Not Found", 0 )</f>
        <v>0</v>
      </c>
      <c r="Y914" s="8">
        <f>_xlfn.XLOOKUP(CustomerCombined[[#This Row],[ID]], Table2[ID],Table2[MC1], "Not Found", 0 )</f>
        <v>0</v>
      </c>
      <c r="Z914" s="8">
        <f>_xlfn.XLOOKUP(CustomerCombined[[#This Row],[ID]], Table2[ID],Table2[MC2], "Not Found", 0 )</f>
        <v>0</v>
      </c>
      <c r="AA914" s="8">
        <f>_xlfn.XLOOKUP(CustomerCombined[[#This Row],[ID]], Table2[ID],Table2[MC3], "Not Found", 0 )</f>
        <v>0</v>
      </c>
      <c r="AB914" s="8">
        <f>_xlfn.XLOOKUP(CustomerCombined[[#This Row],[ID]], Table2[ID],Table2[MC4], "Not Found", 0 )</f>
        <v>0</v>
      </c>
      <c r="AC914" s="8">
        <f>_xlfn.XLOOKUP(CustomerCombined[[#This Row],[ID]], Table2[ID],Table2[MC5], "Not Found", 0 )</f>
        <v>0</v>
      </c>
    </row>
    <row r="915" spans="1:29" x14ac:dyDescent="0.3">
      <c r="A915" s="6">
        <v>2500</v>
      </c>
      <c r="B915" s="6">
        <v>103502</v>
      </c>
      <c r="C915" s="6">
        <v>1</v>
      </c>
      <c r="D915" s="6">
        <v>0</v>
      </c>
      <c r="E915" s="6">
        <v>47</v>
      </c>
      <c r="F915" s="5" t="s">
        <v>7</v>
      </c>
      <c r="G915" s="5" t="s">
        <v>11</v>
      </c>
      <c r="H915" s="3" t="s">
        <v>276</v>
      </c>
      <c r="I915" s="5" t="s">
        <v>439</v>
      </c>
      <c r="J915" s="5">
        <f>_xlfn.XLOOKUP(CustomerCombined[[#This Row],[ID]], Table4[ID], Table4[Recency], "Not Found", 0)</f>
        <v>56</v>
      </c>
      <c r="K915" s="5">
        <f>_xlfn.XLOOKUP(CustomerCombined[[#This Row],[ID]], Table4[ID], Table4[Teas], "Not Found", 0)</f>
        <v>59</v>
      </c>
      <c r="L915" s="5">
        <f>_xlfn.XLOOKUP(CustomerCombined[[#This Row],[ID]], Table4[ID], Table4[Fruits], "Not Found", 0)</f>
        <v>30</v>
      </c>
      <c r="M915" s="5">
        <f>_xlfn.XLOOKUP(CustomerCombined[[#This Row],[ID]], Table4[ID], Table4[Meats], "Not Found", 0)</f>
        <v>30</v>
      </c>
      <c r="N915" s="5">
        <f>_xlfn.XLOOKUP(CustomerCombined[[#This Row],[ID]], Table4[ID], Table4[Seafood], "Not Found", 0)</f>
        <v>0</v>
      </c>
      <c r="O915" s="5">
        <f>_xlfn.XLOOKUP(CustomerCombined[[#This Row],[ID]], Table4[ID], Table4[Sweets], "Not Found", 0)</f>
        <v>0</v>
      </c>
      <c r="P915" s="5">
        <f>_xlfn.XLOOKUP(CustomerCombined[[#This Row],[ID]], Table4[ID], Table4[Premium], "Not Found", 0)</f>
        <v>30</v>
      </c>
      <c r="Q915" s="5">
        <f>_xlfn.XLOOKUP(CustomerCombined[[#This Row],[ID]], Table4[ID], Table4[Regular], "Not Found", 0)</f>
        <v>89</v>
      </c>
      <c r="R915" s="5">
        <f>_xlfn.XLOOKUP(CustomerCombined[[#This Row],[ID]], Table4[ID], Table4[Deals], "Not Found", 0)</f>
        <v>0</v>
      </c>
      <c r="S915" s="5">
        <f>_xlfn.XLOOKUP(CustomerCombined[[#This Row],[ID]], Table4[ID], Table4[Website], "Not Found", 0)</f>
        <v>0</v>
      </c>
      <c r="T915" s="5">
        <f>_xlfn.XLOOKUP(CustomerCombined[[#This Row],[ID]], Table4[ID], Table4[Catalog], "Not Found", 0)</f>
        <v>0</v>
      </c>
      <c r="U915" s="5">
        <f>_xlfn.XLOOKUP(CustomerCombined[[#This Row],[ID]], Table4[ID], Table4[Store], "Not Found", 0)</f>
        <v>0</v>
      </c>
      <c r="V915" s="5">
        <f>_xlfn.XLOOKUP(CustomerCombined[[#This Row],[ID]], Table4[ID], Table4[Visits], "Not Found", 0)</f>
        <v>14</v>
      </c>
      <c r="W915" s="8">
        <f>_xlfn.XLOOKUP(CustomerCombined[[#This Row],[ID]], Table2[ID],Table2[Complaint], "Not Found", 0 )</f>
        <v>0</v>
      </c>
      <c r="X915" s="8">
        <f>_xlfn.XLOOKUP(CustomerCombined[[#This Row],[ID]], Table2[ID],Table2[Pilot], "Not Found", 0 )</f>
        <v>0</v>
      </c>
      <c r="Y915" s="8">
        <f>_xlfn.XLOOKUP(CustomerCombined[[#This Row],[ID]], Table2[ID],Table2[MC1], "Not Found", 0 )</f>
        <v>0</v>
      </c>
      <c r="Z915" s="8">
        <f>_xlfn.XLOOKUP(CustomerCombined[[#This Row],[ID]], Table2[ID],Table2[MC2], "Not Found", 0 )</f>
        <v>0</v>
      </c>
      <c r="AA915" s="8">
        <f>_xlfn.XLOOKUP(CustomerCombined[[#This Row],[ID]], Table2[ID],Table2[MC3], "Not Found", 0 )</f>
        <v>0</v>
      </c>
      <c r="AB915" s="8">
        <f>_xlfn.XLOOKUP(CustomerCombined[[#This Row],[ID]], Table2[ID],Table2[MC4], "Not Found", 0 )</f>
        <v>0</v>
      </c>
      <c r="AC915" s="8">
        <f>_xlfn.XLOOKUP(CustomerCombined[[#This Row],[ID]], Table2[ID],Table2[MC5], "Not Found", 0 )</f>
        <v>0</v>
      </c>
    </row>
    <row r="916" spans="1:29" x14ac:dyDescent="0.3">
      <c r="A916" s="6">
        <v>1668</v>
      </c>
      <c r="B916" s="6">
        <v>186857</v>
      </c>
      <c r="C916" s="6">
        <v>0</v>
      </c>
      <c r="D916" s="6">
        <v>0</v>
      </c>
      <c r="E916" s="6">
        <v>48</v>
      </c>
      <c r="F916" s="5" t="s">
        <v>7</v>
      </c>
      <c r="G916" s="5" t="s">
        <v>13</v>
      </c>
      <c r="H916" s="3" t="s">
        <v>397</v>
      </c>
      <c r="I916" s="5" t="s">
        <v>436</v>
      </c>
      <c r="J916" s="5">
        <f>_xlfn.XLOOKUP(CustomerCombined[[#This Row],[ID]], Table4[ID], Table4[Recency], "Not Found", 0)</f>
        <v>96</v>
      </c>
      <c r="K916" s="5">
        <f>_xlfn.XLOOKUP(CustomerCombined[[#This Row],[ID]], Table4[ID], Table4[Teas], "Not Found", 0)</f>
        <v>1934</v>
      </c>
      <c r="L916" s="5">
        <f>_xlfn.XLOOKUP(CustomerCombined[[#This Row],[ID]], Table4[ID], Table4[Fruits], "Not Found", 0)</f>
        <v>219</v>
      </c>
      <c r="M916" s="5">
        <f>_xlfn.XLOOKUP(CustomerCombined[[#This Row],[ID]], Table4[ID], Table4[Meats], "Not Found", 0)</f>
        <v>1803</v>
      </c>
      <c r="N916" s="5">
        <f>_xlfn.XLOOKUP(CustomerCombined[[#This Row],[ID]], Table4[ID], Table4[Seafood], "Not Found", 0)</f>
        <v>286</v>
      </c>
      <c r="O916" s="5">
        <f>_xlfn.XLOOKUP(CustomerCombined[[#This Row],[ID]], Table4[ID], Table4[Sweets], "Not Found", 0)</f>
        <v>219</v>
      </c>
      <c r="P916" s="5">
        <f>_xlfn.XLOOKUP(CustomerCombined[[#This Row],[ID]], Table4[ID], Table4[Premium], "Not Found", 0)</f>
        <v>86</v>
      </c>
      <c r="Q916" s="5">
        <f>_xlfn.XLOOKUP(CustomerCombined[[#This Row],[ID]], Table4[ID], Table4[Regular], "Not Found", 0)</f>
        <v>4376</v>
      </c>
      <c r="R916" s="5">
        <f>_xlfn.XLOOKUP(CustomerCombined[[#This Row],[ID]], Table4[ID], Table4[Deals], "Not Found", 0)</f>
        <v>1</v>
      </c>
      <c r="S916" s="5">
        <f>_xlfn.XLOOKUP(CustomerCombined[[#This Row],[ID]], Table4[ID], Table4[Website], "Not Found", 0)</f>
        <v>5</v>
      </c>
      <c r="T916" s="5">
        <f>_xlfn.XLOOKUP(CustomerCombined[[#This Row],[ID]], Table4[ID], Table4[Catalog], "Not Found", 0)</f>
        <v>6</v>
      </c>
      <c r="U916" s="5">
        <f>_xlfn.XLOOKUP(CustomerCombined[[#This Row],[ID]], Table4[ID], Table4[Store], "Not Found", 0)</f>
        <v>10</v>
      </c>
      <c r="V916" s="5">
        <f>_xlfn.XLOOKUP(CustomerCombined[[#This Row],[ID]], Table4[ID], Table4[Visits], "Not Found", 0)</f>
        <v>2</v>
      </c>
      <c r="W916" s="8">
        <f>_xlfn.XLOOKUP(CustomerCombined[[#This Row],[ID]], Table2[ID],Table2[Complaint], "Not Found", 0 )</f>
        <v>0</v>
      </c>
      <c r="X916" s="8">
        <f>_xlfn.XLOOKUP(CustomerCombined[[#This Row],[ID]], Table2[ID],Table2[Pilot], "Not Found", 0 )</f>
        <v>1</v>
      </c>
      <c r="Y916" s="8">
        <f>_xlfn.XLOOKUP(CustomerCombined[[#This Row],[ID]], Table2[ID],Table2[MC1], "Not Found", 0 )</f>
        <v>0</v>
      </c>
      <c r="Z916" s="8">
        <f>_xlfn.XLOOKUP(CustomerCombined[[#This Row],[ID]], Table2[ID],Table2[MC2], "Not Found", 0 )</f>
        <v>0</v>
      </c>
      <c r="AA916" s="8">
        <f>_xlfn.XLOOKUP(CustomerCombined[[#This Row],[ID]], Table2[ID],Table2[MC3], "Not Found", 0 )</f>
        <v>0</v>
      </c>
      <c r="AB916" s="8">
        <f>_xlfn.XLOOKUP(CustomerCombined[[#This Row],[ID]], Table2[ID],Table2[MC4], "Not Found", 0 )</f>
        <v>0</v>
      </c>
      <c r="AC916" s="8">
        <f>_xlfn.XLOOKUP(CustomerCombined[[#This Row],[ID]], Table2[ID],Table2[MC5], "Not Found", 0 )</f>
        <v>0</v>
      </c>
    </row>
    <row r="917" spans="1:29" x14ac:dyDescent="0.3">
      <c r="A917" s="6">
        <v>1865</v>
      </c>
      <c r="B917" s="6">
        <v>186857</v>
      </c>
      <c r="C917" s="6">
        <v>0</v>
      </c>
      <c r="D917" s="6">
        <v>0</v>
      </c>
      <c r="E917" s="6">
        <v>48</v>
      </c>
      <c r="F917" s="5" t="s">
        <v>7</v>
      </c>
      <c r="G917" s="5" t="s">
        <v>13</v>
      </c>
      <c r="H917" s="3" t="s">
        <v>397</v>
      </c>
      <c r="I917" s="5" t="s">
        <v>434</v>
      </c>
      <c r="J917" s="5">
        <f>_xlfn.XLOOKUP(CustomerCombined[[#This Row],[ID]], Table4[ID], Table4[Recency], "Not Found", 0)</f>
        <v>96</v>
      </c>
      <c r="K917" s="5">
        <f>_xlfn.XLOOKUP(CustomerCombined[[#This Row],[ID]], Table4[ID], Table4[Teas], "Not Found", 0)</f>
        <v>1934</v>
      </c>
      <c r="L917" s="5">
        <f>_xlfn.XLOOKUP(CustomerCombined[[#This Row],[ID]], Table4[ID], Table4[Fruits], "Not Found", 0)</f>
        <v>219</v>
      </c>
      <c r="M917" s="5">
        <f>_xlfn.XLOOKUP(CustomerCombined[[#This Row],[ID]], Table4[ID], Table4[Meats], "Not Found", 0)</f>
        <v>1803</v>
      </c>
      <c r="N917" s="5">
        <f>_xlfn.XLOOKUP(CustomerCombined[[#This Row],[ID]], Table4[ID], Table4[Seafood], "Not Found", 0)</f>
        <v>286</v>
      </c>
      <c r="O917" s="5">
        <f>_xlfn.XLOOKUP(CustomerCombined[[#This Row],[ID]], Table4[ID], Table4[Sweets], "Not Found", 0)</f>
        <v>219</v>
      </c>
      <c r="P917" s="5">
        <f>_xlfn.XLOOKUP(CustomerCombined[[#This Row],[ID]], Table4[ID], Table4[Premium], "Not Found", 0)</f>
        <v>86</v>
      </c>
      <c r="Q917" s="5">
        <f>_xlfn.XLOOKUP(CustomerCombined[[#This Row],[ID]], Table4[ID], Table4[Regular], "Not Found", 0)</f>
        <v>4376</v>
      </c>
      <c r="R917" s="5">
        <f>_xlfn.XLOOKUP(CustomerCombined[[#This Row],[ID]], Table4[ID], Table4[Deals], "Not Found", 0)</f>
        <v>1</v>
      </c>
      <c r="S917" s="5">
        <f>_xlfn.XLOOKUP(CustomerCombined[[#This Row],[ID]], Table4[ID], Table4[Website], "Not Found", 0)</f>
        <v>5</v>
      </c>
      <c r="T917" s="5">
        <f>_xlfn.XLOOKUP(CustomerCombined[[#This Row],[ID]], Table4[ID], Table4[Catalog], "Not Found", 0)</f>
        <v>6</v>
      </c>
      <c r="U917" s="5">
        <f>_xlfn.XLOOKUP(CustomerCombined[[#This Row],[ID]], Table4[ID], Table4[Store], "Not Found", 0)</f>
        <v>10</v>
      </c>
      <c r="V917" s="5">
        <f>_xlfn.XLOOKUP(CustomerCombined[[#This Row],[ID]], Table4[ID], Table4[Visits], "Not Found", 0)</f>
        <v>2</v>
      </c>
      <c r="W917" s="8">
        <f>_xlfn.XLOOKUP(CustomerCombined[[#This Row],[ID]], Table2[ID],Table2[Complaint], "Not Found", 0 )</f>
        <v>0</v>
      </c>
      <c r="X917" s="8">
        <f>_xlfn.XLOOKUP(CustomerCombined[[#This Row],[ID]], Table2[ID],Table2[Pilot], "Not Found", 0 )</f>
        <v>1</v>
      </c>
      <c r="Y917" s="8">
        <f>_xlfn.XLOOKUP(CustomerCombined[[#This Row],[ID]], Table2[ID],Table2[MC1], "Not Found", 0 )</f>
        <v>0</v>
      </c>
      <c r="Z917" s="8">
        <f>_xlfn.XLOOKUP(CustomerCombined[[#This Row],[ID]], Table2[ID],Table2[MC2], "Not Found", 0 )</f>
        <v>0</v>
      </c>
      <c r="AA917" s="8">
        <f>_xlfn.XLOOKUP(CustomerCombined[[#This Row],[ID]], Table2[ID],Table2[MC3], "Not Found", 0 )</f>
        <v>0</v>
      </c>
      <c r="AB917" s="8">
        <f>_xlfn.XLOOKUP(CustomerCombined[[#This Row],[ID]], Table2[ID],Table2[MC4], "Not Found", 0 )</f>
        <v>0</v>
      </c>
      <c r="AC917" s="8">
        <f>_xlfn.XLOOKUP(CustomerCombined[[#This Row],[ID]], Table2[ID],Table2[MC5], "Not Found", 0 )</f>
        <v>0</v>
      </c>
    </row>
    <row r="918" spans="1:29" x14ac:dyDescent="0.3">
      <c r="A918" s="6">
        <v>2218</v>
      </c>
      <c r="B918" s="6">
        <v>184906</v>
      </c>
      <c r="C918" s="6">
        <v>0</v>
      </c>
      <c r="D918" s="6">
        <v>0</v>
      </c>
      <c r="E918" s="6">
        <v>48</v>
      </c>
      <c r="F918" s="5" t="s">
        <v>8</v>
      </c>
      <c r="G918" s="5" t="s">
        <v>11</v>
      </c>
      <c r="H918" s="3">
        <v>44107</v>
      </c>
      <c r="I918" s="5" t="s">
        <v>439</v>
      </c>
      <c r="J918" s="5">
        <f>_xlfn.XLOOKUP(CustomerCombined[[#This Row],[ID]], Table4[ID], Table4[Recency], "Not Found", 0)</f>
        <v>98</v>
      </c>
      <c r="K918" s="5">
        <f>_xlfn.XLOOKUP(CustomerCombined[[#This Row],[ID]], Table4[ID], Table4[Teas], "Not Found", 0)</f>
        <v>2171</v>
      </c>
      <c r="L918" s="5">
        <f>_xlfn.XLOOKUP(CustomerCombined[[#This Row],[ID]], Table4[ID], Table4[Fruits], "Not Found", 0)</f>
        <v>33</v>
      </c>
      <c r="M918" s="5">
        <f>_xlfn.XLOOKUP(CustomerCombined[[#This Row],[ID]], Table4[ID], Table4[Meats], "Not Found", 0)</f>
        <v>902</v>
      </c>
      <c r="N918" s="5">
        <f>_xlfn.XLOOKUP(CustomerCombined[[#This Row],[ID]], Table4[ID], Table4[Seafood], "Not Found", 0)</f>
        <v>216</v>
      </c>
      <c r="O918" s="5">
        <f>_xlfn.XLOOKUP(CustomerCombined[[#This Row],[ID]], Table4[ID], Table4[Sweets], "Not Found", 0)</f>
        <v>65</v>
      </c>
      <c r="P918" s="5">
        <f>_xlfn.XLOOKUP(CustomerCombined[[#This Row],[ID]], Table4[ID], Table4[Premium], "Not Found", 0)</f>
        <v>166</v>
      </c>
      <c r="Q918" s="5">
        <f>_xlfn.XLOOKUP(CustomerCombined[[#This Row],[ID]], Table4[ID], Table4[Regular], "Not Found", 0)</f>
        <v>3221</v>
      </c>
      <c r="R918" s="5">
        <f>_xlfn.XLOOKUP(CustomerCombined[[#This Row],[ID]], Table4[ID], Table4[Deals], "Not Found", 0)</f>
        <v>1</v>
      </c>
      <c r="S918" s="5">
        <f>_xlfn.XLOOKUP(CustomerCombined[[#This Row],[ID]], Table4[ID], Table4[Website], "Not Found", 0)</f>
        <v>5</v>
      </c>
      <c r="T918" s="5">
        <f>_xlfn.XLOOKUP(CustomerCombined[[#This Row],[ID]], Table4[ID], Table4[Catalog], "Not Found", 0)</f>
        <v>6</v>
      </c>
      <c r="U918" s="5">
        <f>_xlfn.XLOOKUP(CustomerCombined[[#This Row],[ID]], Table4[ID], Table4[Store], "Not Found", 0)</f>
        <v>12</v>
      </c>
      <c r="V918" s="5">
        <f>_xlfn.XLOOKUP(CustomerCombined[[#This Row],[ID]], Table4[ID], Table4[Visits], "Not Found", 0)</f>
        <v>2</v>
      </c>
      <c r="W918" s="8">
        <f>_xlfn.XLOOKUP(CustomerCombined[[#This Row],[ID]], Table2[ID],Table2[Complaint], "Not Found", 0 )</f>
        <v>0</v>
      </c>
      <c r="X918" s="8">
        <f>_xlfn.XLOOKUP(CustomerCombined[[#This Row],[ID]], Table2[ID],Table2[Pilot], "Not Found", 0 )</f>
        <v>0</v>
      </c>
      <c r="Y918" s="8">
        <f>_xlfn.XLOOKUP(CustomerCombined[[#This Row],[ID]], Table2[ID],Table2[MC1], "Not Found", 0 )</f>
        <v>0</v>
      </c>
      <c r="Z918" s="8">
        <f>_xlfn.XLOOKUP(CustomerCombined[[#This Row],[ID]], Table2[ID],Table2[MC2], "Not Found", 0 )</f>
        <v>1</v>
      </c>
      <c r="AA918" s="8">
        <f>_xlfn.XLOOKUP(CustomerCombined[[#This Row],[ID]], Table2[ID],Table2[MC3], "Not Found", 0 )</f>
        <v>0</v>
      </c>
      <c r="AB918" s="8">
        <f>_xlfn.XLOOKUP(CustomerCombined[[#This Row],[ID]], Table2[ID],Table2[MC4], "Not Found", 0 )</f>
        <v>1</v>
      </c>
      <c r="AC918" s="8">
        <f>_xlfn.XLOOKUP(CustomerCombined[[#This Row],[ID]], Table2[ID],Table2[MC5], "Not Found", 0 )</f>
        <v>1</v>
      </c>
    </row>
    <row r="919" spans="1:29" x14ac:dyDescent="0.3">
      <c r="A919" s="6">
        <v>3094</v>
      </c>
      <c r="B919" s="6">
        <v>184906</v>
      </c>
      <c r="C919" s="6">
        <v>0</v>
      </c>
      <c r="D919" s="6">
        <v>0</v>
      </c>
      <c r="E919" s="6">
        <v>48</v>
      </c>
      <c r="F919" s="5" t="s">
        <v>8</v>
      </c>
      <c r="G919" s="5" t="s">
        <v>11</v>
      </c>
      <c r="H919" s="3">
        <v>44107</v>
      </c>
      <c r="I919" s="5" t="s">
        <v>439</v>
      </c>
      <c r="J919" s="5">
        <f>_xlfn.XLOOKUP(CustomerCombined[[#This Row],[ID]], Table4[ID], Table4[Recency], "Not Found", 0)</f>
        <v>98</v>
      </c>
      <c r="K919" s="5">
        <f>_xlfn.XLOOKUP(CustomerCombined[[#This Row],[ID]], Table4[ID], Table4[Teas], "Not Found", 0)</f>
        <v>2171</v>
      </c>
      <c r="L919" s="5">
        <f>_xlfn.XLOOKUP(CustomerCombined[[#This Row],[ID]], Table4[ID], Table4[Fruits], "Not Found", 0)</f>
        <v>33</v>
      </c>
      <c r="M919" s="5">
        <f>_xlfn.XLOOKUP(CustomerCombined[[#This Row],[ID]], Table4[ID], Table4[Meats], "Not Found", 0)</f>
        <v>902</v>
      </c>
      <c r="N919" s="5">
        <f>_xlfn.XLOOKUP(CustomerCombined[[#This Row],[ID]], Table4[ID], Table4[Seafood], "Not Found", 0)</f>
        <v>216</v>
      </c>
      <c r="O919" s="5">
        <f>_xlfn.XLOOKUP(CustomerCombined[[#This Row],[ID]], Table4[ID], Table4[Sweets], "Not Found", 0)</f>
        <v>65</v>
      </c>
      <c r="P919" s="5">
        <f>_xlfn.XLOOKUP(CustomerCombined[[#This Row],[ID]], Table4[ID], Table4[Premium], "Not Found", 0)</f>
        <v>166</v>
      </c>
      <c r="Q919" s="5">
        <f>_xlfn.XLOOKUP(CustomerCombined[[#This Row],[ID]], Table4[ID], Table4[Regular], "Not Found", 0)</f>
        <v>3221</v>
      </c>
      <c r="R919" s="5">
        <f>_xlfn.XLOOKUP(CustomerCombined[[#This Row],[ID]], Table4[ID], Table4[Deals], "Not Found", 0)</f>
        <v>1</v>
      </c>
      <c r="S919" s="5">
        <f>_xlfn.XLOOKUP(CustomerCombined[[#This Row],[ID]], Table4[ID], Table4[Website], "Not Found", 0)</f>
        <v>5</v>
      </c>
      <c r="T919" s="5">
        <f>_xlfn.XLOOKUP(CustomerCombined[[#This Row],[ID]], Table4[ID], Table4[Catalog], "Not Found", 0)</f>
        <v>6</v>
      </c>
      <c r="U919" s="5">
        <f>_xlfn.XLOOKUP(CustomerCombined[[#This Row],[ID]], Table4[ID], Table4[Store], "Not Found", 0)</f>
        <v>12</v>
      </c>
      <c r="V919" s="5">
        <f>_xlfn.XLOOKUP(CustomerCombined[[#This Row],[ID]], Table4[ID], Table4[Visits], "Not Found", 0)</f>
        <v>2</v>
      </c>
      <c r="W919" s="8">
        <f>_xlfn.XLOOKUP(CustomerCombined[[#This Row],[ID]], Table2[ID],Table2[Complaint], "Not Found", 0 )</f>
        <v>0</v>
      </c>
      <c r="X919" s="8">
        <f>_xlfn.XLOOKUP(CustomerCombined[[#This Row],[ID]], Table2[ID],Table2[Pilot], "Not Found", 0 )</f>
        <v>0</v>
      </c>
      <c r="Y919" s="8">
        <f>_xlfn.XLOOKUP(CustomerCombined[[#This Row],[ID]], Table2[ID],Table2[MC1], "Not Found", 0 )</f>
        <v>0</v>
      </c>
      <c r="Z919" s="8">
        <f>_xlfn.XLOOKUP(CustomerCombined[[#This Row],[ID]], Table2[ID],Table2[MC2], "Not Found", 0 )</f>
        <v>1</v>
      </c>
      <c r="AA919" s="8">
        <f>_xlfn.XLOOKUP(CustomerCombined[[#This Row],[ID]], Table2[ID],Table2[MC3], "Not Found", 0 )</f>
        <v>0</v>
      </c>
      <c r="AB919" s="8">
        <f>_xlfn.XLOOKUP(CustomerCombined[[#This Row],[ID]], Table2[ID],Table2[MC4], "Not Found", 0 )</f>
        <v>1</v>
      </c>
      <c r="AC919" s="8">
        <f>_xlfn.XLOOKUP(CustomerCombined[[#This Row],[ID]], Table2[ID],Table2[MC5], "Not Found", 0 )</f>
        <v>1</v>
      </c>
    </row>
    <row r="920" spans="1:29" x14ac:dyDescent="0.3">
      <c r="A920" s="6">
        <v>1731</v>
      </c>
      <c r="B920" s="6">
        <v>183443</v>
      </c>
      <c r="C920" s="6">
        <v>0</v>
      </c>
      <c r="D920" s="6">
        <v>0</v>
      </c>
      <c r="E920" s="6">
        <v>48</v>
      </c>
      <c r="F920" s="5" t="s">
        <v>8</v>
      </c>
      <c r="G920" s="5" t="s">
        <v>13</v>
      </c>
      <c r="H920" s="3">
        <v>43988</v>
      </c>
      <c r="I920" s="5" t="s">
        <v>435</v>
      </c>
      <c r="J920" s="5">
        <f>_xlfn.XLOOKUP(CustomerCombined[[#This Row],[ID]], Table4[ID], Table4[Recency], "Not Found", 0)</f>
        <v>89</v>
      </c>
      <c r="K920" s="5">
        <f>_xlfn.XLOOKUP(CustomerCombined[[#This Row],[ID]], Table4[ID], Table4[Teas], "Not Found", 0)</f>
        <v>1139</v>
      </c>
      <c r="L920" s="5">
        <f>_xlfn.XLOOKUP(CustomerCombined[[#This Row],[ID]], Table4[ID], Table4[Fruits], "Not Found", 0)</f>
        <v>92</v>
      </c>
      <c r="M920" s="5">
        <f>_xlfn.XLOOKUP(CustomerCombined[[#This Row],[ID]], Table4[ID], Table4[Meats], "Not Found", 0)</f>
        <v>1631</v>
      </c>
      <c r="N920" s="5">
        <f>_xlfn.XLOOKUP(CustomerCombined[[#This Row],[ID]], Table4[ID], Table4[Seafood], "Not Found", 0)</f>
        <v>121</v>
      </c>
      <c r="O920" s="5">
        <f>_xlfn.XLOOKUP(CustomerCombined[[#This Row],[ID]], Table4[ID], Table4[Sweets], "Not Found", 0)</f>
        <v>123</v>
      </c>
      <c r="P920" s="5">
        <f>_xlfn.XLOOKUP(CustomerCombined[[#This Row],[ID]], Table4[ID], Table4[Premium], "Not Found", 0)</f>
        <v>185</v>
      </c>
      <c r="Q920" s="5">
        <f>_xlfn.XLOOKUP(CustomerCombined[[#This Row],[ID]], Table4[ID], Table4[Regular], "Not Found", 0)</f>
        <v>2922</v>
      </c>
      <c r="R920" s="5">
        <f>_xlfn.XLOOKUP(CustomerCombined[[#This Row],[ID]], Table4[ID], Table4[Deals], "Not Found", 0)</f>
        <v>1</v>
      </c>
      <c r="S920" s="5">
        <f>_xlfn.XLOOKUP(CustomerCombined[[#This Row],[ID]], Table4[ID], Table4[Website], "Not Found", 0)</f>
        <v>6</v>
      </c>
      <c r="T920" s="5">
        <f>_xlfn.XLOOKUP(CustomerCombined[[#This Row],[ID]], Table4[ID], Table4[Catalog], "Not Found", 0)</f>
        <v>10</v>
      </c>
      <c r="U920" s="5">
        <f>_xlfn.XLOOKUP(CustomerCombined[[#This Row],[ID]], Table4[ID], Table4[Store], "Not Found", 0)</f>
        <v>5</v>
      </c>
      <c r="V920" s="5">
        <f>_xlfn.XLOOKUP(CustomerCombined[[#This Row],[ID]], Table4[ID], Table4[Visits], "Not Found", 0)</f>
        <v>2</v>
      </c>
      <c r="W920" s="8">
        <f>_xlfn.XLOOKUP(CustomerCombined[[#This Row],[ID]], Table2[ID],Table2[Complaint], "Not Found", 0 )</f>
        <v>0</v>
      </c>
      <c r="X920" s="8">
        <f>_xlfn.XLOOKUP(CustomerCombined[[#This Row],[ID]], Table2[ID],Table2[Pilot], "Not Found", 0 )</f>
        <v>0</v>
      </c>
      <c r="Y920" s="8">
        <f>_xlfn.XLOOKUP(CustomerCombined[[#This Row],[ID]], Table2[ID],Table2[MC1], "Not Found", 0 )</f>
        <v>0</v>
      </c>
      <c r="Z920" s="8">
        <f>_xlfn.XLOOKUP(CustomerCombined[[#This Row],[ID]], Table2[ID],Table2[MC2], "Not Found", 0 )</f>
        <v>0</v>
      </c>
      <c r="AA920" s="8">
        <f>_xlfn.XLOOKUP(CustomerCombined[[#This Row],[ID]], Table2[ID],Table2[MC3], "Not Found", 0 )</f>
        <v>0</v>
      </c>
      <c r="AB920" s="8">
        <f>_xlfn.XLOOKUP(CustomerCombined[[#This Row],[ID]], Table2[ID],Table2[MC4], "Not Found", 0 )</f>
        <v>0</v>
      </c>
      <c r="AC920" s="8">
        <f>_xlfn.XLOOKUP(CustomerCombined[[#This Row],[ID]], Table2[ID],Table2[MC5], "Not Found", 0 )</f>
        <v>0</v>
      </c>
    </row>
    <row r="921" spans="1:29" x14ac:dyDescent="0.3">
      <c r="A921" s="6">
        <v>2269</v>
      </c>
      <c r="B921" s="6">
        <v>183151</v>
      </c>
      <c r="C921" s="6">
        <v>0</v>
      </c>
      <c r="D921" s="6">
        <v>0</v>
      </c>
      <c r="E921" s="6">
        <v>48</v>
      </c>
      <c r="F921" s="5" t="s">
        <v>6</v>
      </c>
      <c r="G921" s="5" t="s">
        <v>12</v>
      </c>
      <c r="H921" s="3" t="s">
        <v>313</v>
      </c>
      <c r="I921" s="5" t="s">
        <v>437</v>
      </c>
      <c r="J921" s="5">
        <f>_xlfn.XLOOKUP(CustomerCombined[[#This Row],[ID]], Table4[ID], Table4[Recency], "Not Found", 0)</f>
        <v>80</v>
      </c>
      <c r="K921" s="5">
        <f>_xlfn.XLOOKUP(CustomerCombined[[#This Row],[ID]], Table4[ID], Table4[Teas], "Not Found", 0)</f>
        <v>2132</v>
      </c>
      <c r="L921" s="5">
        <f>_xlfn.XLOOKUP(CustomerCombined[[#This Row],[ID]], Table4[ID], Table4[Fruits], "Not Found", 0)</f>
        <v>324</v>
      </c>
      <c r="M921" s="5">
        <f>_xlfn.XLOOKUP(CustomerCombined[[#This Row],[ID]], Table4[ID], Table4[Meats], "Not Found", 0)</f>
        <v>1855</v>
      </c>
      <c r="N921" s="5">
        <f>_xlfn.XLOOKUP(CustomerCombined[[#This Row],[ID]], Table4[ID], Table4[Seafood], "Not Found", 0)</f>
        <v>302</v>
      </c>
      <c r="O921" s="5">
        <f>_xlfn.XLOOKUP(CustomerCombined[[#This Row],[ID]], Table4[ID], Table4[Sweets], "Not Found", 0)</f>
        <v>93</v>
      </c>
      <c r="P921" s="5">
        <f>_xlfn.XLOOKUP(CustomerCombined[[#This Row],[ID]], Table4[ID], Table4[Premium], "Not Found", 0)</f>
        <v>463</v>
      </c>
      <c r="Q921" s="5">
        <f>_xlfn.XLOOKUP(CustomerCombined[[#This Row],[ID]], Table4[ID], Table4[Regular], "Not Found", 0)</f>
        <v>4242</v>
      </c>
      <c r="R921" s="5">
        <f>_xlfn.XLOOKUP(CustomerCombined[[#This Row],[ID]], Table4[ID], Table4[Deals], "Not Found", 0)</f>
        <v>1</v>
      </c>
      <c r="S921" s="5">
        <f>_xlfn.XLOOKUP(CustomerCombined[[#This Row],[ID]], Table4[ID], Table4[Website], "Not Found", 0)</f>
        <v>5</v>
      </c>
      <c r="T921" s="5">
        <f>_xlfn.XLOOKUP(CustomerCombined[[#This Row],[ID]], Table4[ID], Table4[Catalog], "Not Found", 0)</f>
        <v>7</v>
      </c>
      <c r="U921" s="5">
        <f>_xlfn.XLOOKUP(CustomerCombined[[#This Row],[ID]], Table4[ID], Table4[Store], "Not Found", 0)</f>
        <v>10</v>
      </c>
      <c r="V921" s="5">
        <f>_xlfn.XLOOKUP(CustomerCombined[[#This Row],[ID]], Table4[ID], Table4[Visits], "Not Found", 0)</f>
        <v>2</v>
      </c>
      <c r="W921" s="8">
        <f>_xlfn.XLOOKUP(CustomerCombined[[#This Row],[ID]], Table2[ID],Table2[Complaint], "Not Found", 0 )</f>
        <v>0</v>
      </c>
      <c r="X921" s="8">
        <f>_xlfn.XLOOKUP(CustomerCombined[[#This Row],[ID]], Table2[ID],Table2[Pilot], "Not Found", 0 )</f>
        <v>1</v>
      </c>
      <c r="Y921" s="8">
        <f>_xlfn.XLOOKUP(CustomerCombined[[#This Row],[ID]], Table2[ID],Table2[MC1], "Not Found", 0 )</f>
        <v>1</v>
      </c>
      <c r="Z921" s="8">
        <f>_xlfn.XLOOKUP(CustomerCombined[[#This Row],[ID]], Table2[ID],Table2[MC2], "Not Found", 0 )</f>
        <v>0</v>
      </c>
      <c r="AA921" s="8">
        <f>_xlfn.XLOOKUP(CustomerCombined[[#This Row],[ID]], Table2[ID],Table2[MC3], "Not Found", 0 )</f>
        <v>1</v>
      </c>
      <c r="AB921" s="8">
        <f>_xlfn.XLOOKUP(CustomerCombined[[#This Row],[ID]], Table2[ID],Table2[MC4], "Not Found", 0 )</f>
        <v>0</v>
      </c>
      <c r="AC921" s="8">
        <f>_xlfn.XLOOKUP(CustomerCombined[[#This Row],[ID]], Table2[ID],Table2[MC5], "Not Found", 0 )</f>
        <v>1</v>
      </c>
    </row>
    <row r="922" spans="1:29" x14ac:dyDescent="0.3">
      <c r="A922" s="6">
        <v>1233</v>
      </c>
      <c r="B922" s="6">
        <v>180134</v>
      </c>
      <c r="C922" s="6">
        <v>1</v>
      </c>
      <c r="D922" s="6">
        <v>0</v>
      </c>
      <c r="E922" s="6">
        <v>48</v>
      </c>
      <c r="F922" s="5" t="s">
        <v>6</v>
      </c>
      <c r="G922" s="5" t="s">
        <v>11</v>
      </c>
      <c r="H922" s="3" t="s">
        <v>251</v>
      </c>
      <c r="I922" s="5" t="s">
        <v>435</v>
      </c>
      <c r="J922" s="5">
        <f>_xlfn.XLOOKUP(CustomerCombined[[#This Row],[ID]], Table4[ID], Table4[Recency], "Not Found", 0)</f>
        <v>40</v>
      </c>
      <c r="K922" s="5">
        <f>_xlfn.XLOOKUP(CustomerCombined[[#This Row],[ID]], Table4[ID], Table4[Teas], "Not Found", 0)</f>
        <v>2738</v>
      </c>
      <c r="L922" s="5">
        <f>_xlfn.XLOOKUP(CustomerCombined[[#This Row],[ID]], Table4[ID], Table4[Fruits], "Not Found", 0)</f>
        <v>36</v>
      </c>
      <c r="M922" s="5">
        <f>_xlfn.XLOOKUP(CustomerCombined[[#This Row],[ID]], Table4[ID], Table4[Meats], "Not Found", 0)</f>
        <v>611</v>
      </c>
      <c r="N922" s="5">
        <f>_xlfn.XLOOKUP(CustomerCombined[[#This Row],[ID]], Table4[ID], Table4[Seafood], "Not Found", 0)</f>
        <v>234</v>
      </c>
      <c r="O922" s="5">
        <f>_xlfn.XLOOKUP(CustomerCombined[[#This Row],[ID]], Table4[ID], Table4[Sweets], "Not Found", 0)</f>
        <v>0</v>
      </c>
      <c r="P922" s="5">
        <f>_xlfn.XLOOKUP(CustomerCombined[[#This Row],[ID]], Table4[ID], Table4[Premium], "Not Found", 0)</f>
        <v>180</v>
      </c>
      <c r="Q922" s="5">
        <f>_xlfn.XLOOKUP(CustomerCombined[[#This Row],[ID]], Table4[ID], Table4[Regular], "Not Found", 0)</f>
        <v>3439</v>
      </c>
      <c r="R922" s="5">
        <f>_xlfn.XLOOKUP(CustomerCombined[[#This Row],[ID]], Table4[ID], Table4[Deals], "Not Found", 0)</f>
        <v>2</v>
      </c>
      <c r="S922" s="5">
        <f>_xlfn.XLOOKUP(CustomerCombined[[#This Row],[ID]], Table4[ID], Table4[Website], "Not Found", 0)</f>
        <v>5</v>
      </c>
      <c r="T922" s="5">
        <f>_xlfn.XLOOKUP(CustomerCombined[[#This Row],[ID]], Table4[ID], Table4[Catalog], "Not Found", 0)</f>
        <v>3</v>
      </c>
      <c r="U922" s="5">
        <f>_xlfn.XLOOKUP(CustomerCombined[[#This Row],[ID]], Table4[ID], Table4[Store], "Not Found", 0)</f>
        <v>6</v>
      </c>
      <c r="V922" s="5">
        <f>_xlfn.XLOOKUP(CustomerCombined[[#This Row],[ID]], Table4[ID], Table4[Visits], "Not Found", 0)</f>
        <v>6</v>
      </c>
      <c r="W922" s="8">
        <f>_xlfn.XLOOKUP(CustomerCombined[[#This Row],[ID]], Table2[ID],Table2[Complaint], "Not Found", 0 )</f>
        <v>0</v>
      </c>
      <c r="X922" s="8">
        <f>_xlfn.XLOOKUP(CustomerCombined[[#This Row],[ID]], Table2[ID],Table2[Pilot], "Not Found", 0 )</f>
        <v>1</v>
      </c>
      <c r="Y922" s="8">
        <f>_xlfn.XLOOKUP(CustomerCombined[[#This Row],[ID]], Table2[ID],Table2[MC1], "Not Found", 0 )</f>
        <v>1</v>
      </c>
      <c r="Z922" s="8">
        <f>_xlfn.XLOOKUP(CustomerCombined[[#This Row],[ID]], Table2[ID],Table2[MC2], "Not Found", 0 )</f>
        <v>0</v>
      </c>
      <c r="AA922" s="8">
        <f>_xlfn.XLOOKUP(CustomerCombined[[#This Row],[ID]], Table2[ID],Table2[MC3], "Not Found", 0 )</f>
        <v>0</v>
      </c>
      <c r="AB922" s="8">
        <f>_xlfn.XLOOKUP(CustomerCombined[[#This Row],[ID]], Table2[ID],Table2[MC4], "Not Found", 0 )</f>
        <v>1</v>
      </c>
      <c r="AC922" s="8">
        <f>_xlfn.XLOOKUP(CustomerCombined[[#This Row],[ID]], Table2[ID],Table2[MC5], "Not Found", 0 )</f>
        <v>1</v>
      </c>
    </row>
    <row r="923" spans="1:29" x14ac:dyDescent="0.3">
      <c r="A923" s="6">
        <v>2387</v>
      </c>
      <c r="B923" s="6">
        <v>180134</v>
      </c>
      <c r="C923" s="6">
        <v>1</v>
      </c>
      <c r="D923" s="6">
        <v>0</v>
      </c>
      <c r="E923" s="6">
        <v>48</v>
      </c>
      <c r="F923" s="5" t="s">
        <v>6</v>
      </c>
      <c r="G923" s="5" t="s">
        <v>11</v>
      </c>
      <c r="H923" s="3" t="s">
        <v>251</v>
      </c>
      <c r="I923" s="5" t="s">
        <v>434</v>
      </c>
      <c r="J923" s="5">
        <f>_xlfn.XLOOKUP(CustomerCombined[[#This Row],[ID]], Table4[ID], Table4[Recency], "Not Found", 0)</f>
        <v>40</v>
      </c>
      <c r="K923" s="5">
        <f>_xlfn.XLOOKUP(CustomerCombined[[#This Row],[ID]], Table4[ID], Table4[Teas], "Not Found", 0)</f>
        <v>2738</v>
      </c>
      <c r="L923" s="5">
        <f>_xlfn.XLOOKUP(CustomerCombined[[#This Row],[ID]], Table4[ID], Table4[Fruits], "Not Found", 0)</f>
        <v>36</v>
      </c>
      <c r="M923" s="5">
        <f>_xlfn.XLOOKUP(CustomerCombined[[#This Row],[ID]], Table4[ID], Table4[Meats], "Not Found", 0)</f>
        <v>611</v>
      </c>
      <c r="N923" s="5">
        <f>_xlfn.XLOOKUP(CustomerCombined[[#This Row],[ID]], Table4[ID], Table4[Seafood], "Not Found", 0)</f>
        <v>234</v>
      </c>
      <c r="O923" s="5">
        <f>_xlfn.XLOOKUP(CustomerCombined[[#This Row],[ID]], Table4[ID], Table4[Sweets], "Not Found", 0)</f>
        <v>0</v>
      </c>
      <c r="P923" s="5">
        <f>_xlfn.XLOOKUP(CustomerCombined[[#This Row],[ID]], Table4[ID], Table4[Premium], "Not Found", 0)</f>
        <v>180</v>
      </c>
      <c r="Q923" s="5">
        <f>_xlfn.XLOOKUP(CustomerCombined[[#This Row],[ID]], Table4[ID], Table4[Regular], "Not Found", 0)</f>
        <v>3439</v>
      </c>
      <c r="R923" s="5">
        <f>_xlfn.XLOOKUP(CustomerCombined[[#This Row],[ID]], Table4[ID], Table4[Deals], "Not Found", 0)</f>
        <v>2</v>
      </c>
      <c r="S923" s="5">
        <f>_xlfn.XLOOKUP(CustomerCombined[[#This Row],[ID]], Table4[ID], Table4[Website], "Not Found", 0)</f>
        <v>5</v>
      </c>
      <c r="T923" s="5">
        <f>_xlfn.XLOOKUP(CustomerCombined[[#This Row],[ID]], Table4[ID], Table4[Catalog], "Not Found", 0)</f>
        <v>3</v>
      </c>
      <c r="U923" s="5">
        <f>_xlfn.XLOOKUP(CustomerCombined[[#This Row],[ID]], Table4[ID], Table4[Store], "Not Found", 0)</f>
        <v>6</v>
      </c>
      <c r="V923" s="5">
        <f>_xlfn.XLOOKUP(CustomerCombined[[#This Row],[ID]], Table4[ID], Table4[Visits], "Not Found", 0)</f>
        <v>6</v>
      </c>
      <c r="W923" s="8">
        <f>_xlfn.XLOOKUP(CustomerCombined[[#This Row],[ID]], Table2[ID],Table2[Complaint], "Not Found", 0 )</f>
        <v>0</v>
      </c>
      <c r="X923" s="8">
        <f>_xlfn.XLOOKUP(CustomerCombined[[#This Row],[ID]], Table2[ID],Table2[Pilot], "Not Found", 0 )</f>
        <v>1</v>
      </c>
      <c r="Y923" s="8">
        <f>_xlfn.XLOOKUP(CustomerCombined[[#This Row],[ID]], Table2[ID],Table2[MC1], "Not Found", 0 )</f>
        <v>1</v>
      </c>
      <c r="Z923" s="8">
        <f>_xlfn.XLOOKUP(CustomerCombined[[#This Row],[ID]], Table2[ID],Table2[MC2], "Not Found", 0 )</f>
        <v>0</v>
      </c>
      <c r="AA923" s="8">
        <f>_xlfn.XLOOKUP(CustomerCombined[[#This Row],[ID]], Table2[ID],Table2[MC3], "Not Found", 0 )</f>
        <v>0</v>
      </c>
      <c r="AB923" s="8">
        <f>_xlfn.XLOOKUP(CustomerCombined[[#This Row],[ID]], Table2[ID],Table2[MC4], "Not Found", 0 )</f>
        <v>1</v>
      </c>
      <c r="AC923" s="8">
        <f>_xlfn.XLOOKUP(CustomerCombined[[#This Row],[ID]], Table2[ID],Table2[MC5], "Not Found", 0 )</f>
        <v>1</v>
      </c>
    </row>
    <row r="924" spans="1:29" x14ac:dyDescent="0.3">
      <c r="A924" s="6">
        <v>1216</v>
      </c>
      <c r="B924" s="6">
        <v>179930</v>
      </c>
      <c r="C924" s="6">
        <v>0</v>
      </c>
      <c r="D924" s="6">
        <v>0</v>
      </c>
      <c r="E924" s="6">
        <v>48</v>
      </c>
      <c r="F924" s="5" t="s">
        <v>6</v>
      </c>
      <c r="G924" s="5" t="s">
        <v>13</v>
      </c>
      <c r="H924" s="3" t="s">
        <v>420</v>
      </c>
      <c r="I924" s="5" t="s">
        <v>439</v>
      </c>
      <c r="J924" s="5">
        <f>_xlfn.XLOOKUP(CustomerCombined[[#This Row],[ID]], Table4[ID], Table4[Recency], "Not Found", 0)</f>
        <v>72</v>
      </c>
      <c r="K924" s="5">
        <f>_xlfn.XLOOKUP(CustomerCombined[[#This Row],[ID]], Table4[ID], Table4[Teas], "Not Found", 0)</f>
        <v>1783</v>
      </c>
      <c r="L924" s="5">
        <f>_xlfn.XLOOKUP(CustomerCombined[[#This Row],[ID]], Table4[ID], Table4[Fruits], "Not Found", 0)</f>
        <v>194</v>
      </c>
      <c r="M924" s="5">
        <f>_xlfn.XLOOKUP(CustomerCombined[[#This Row],[ID]], Table4[ID], Table4[Meats], "Not Found", 0)</f>
        <v>1666</v>
      </c>
      <c r="N924" s="5">
        <f>_xlfn.XLOOKUP(CustomerCombined[[#This Row],[ID]], Table4[ID], Table4[Seafood], "Not Found", 0)</f>
        <v>151</v>
      </c>
      <c r="O924" s="5">
        <f>_xlfn.XLOOKUP(CustomerCombined[[#This Row],[ID]], Table4[ID], Table4[Sweets], "Not Found", 0)</f>
        <v>115</v>
      </c>
      <c r="P924" s="5">
        <f>_xlfn.XLOOKUP(CustomerCombined[[#This Row],[ID]], Table4[ID], Table4[Premium], "Not Found", 0)</f>
        <v>38</v>
      </c>
      <c r="Q924" s="5">
        <f>_xlfn.XLOOKUP(CustomerCombined[[#This Row],[ID]], Table4[ID], Table4[Regular], "Not Found", 0)</f>
        <v>3870</v>
      </c>
      <c r="R924" s="5">
        <f>_xlfn.XLOOKUP(CustomerCombined[[#This Row],[ID]], Table4[ID], Table4[Deals], "Not Found", 0)</f>
        <v>1</v>
      </c>
      <c r="S924" s="5">
        <f>_xlfn.XLOOKUP(CustomerCombined[[#This Row],[ID]], Table4[ID], Table4[Website], "Not Found", 0)</f>
        <v>3</v>
      </c>
      <c r="T924" s="5">
        <f>_xlfn.XLOOKUP(CustomerCombined[[#This Row],[ID]], Table4[ID], Table4[Catalog], "Not Found", 0)</f>
        <v>5</v>
      </c>
      <c r="U924" s="5">
        <f>_xlfn.XLOOKUP(CustomerCombined[[#This Row],[ID]], Table4[ID], Table4[Store], "Not Found", 0)</f>
        <v>8</v>
      </c>
      <c r="V924" s="5">
        <f>_xlfn.XLOOKUP(CustomerCombined[[#This Row],[ID]], Table4[ID], Table4[Visits], "Not Found", 0)</f>
        <v>2</v>
      </c>
      <c r="W924" s="8">
        <f>_xlfn.XLOOKUP(CustomerCombined[[#This Row],[ID]], Table2[ID],Table2[Complaint], "Not Found", 0 )</f>
        <v>0</v>
      </c>
      <c r="X924" s="8">
        <f>_xlfn.XLOOKUP(CustomerCombined[[#This Row],[ID]], Table2[ID],Table2[Pilot], "Not Found", 0 )</f>
        <v>0</v>
      </c>
      <c r="Y924" s="8">
        <f>_xlfn.XLOOKUP(CustomerCombined[[#This Row],[ID]], Table2[ID],Table2[MC1], "Not Found", 0 )</f>
        <v>0</v>
      </c>
      <c r="Z924" s="8">
        <f>_xlfn.XLOOKUP(CustomerCombined[[#This Row],[ID]], Table2[ID],Table2[MC2], "Not Found", 0 )</f>
        <v>0</v>
      </c>
      <c r="AA924" s="8">
        <f>_xlfn.XLOOKUP(CustomerCombined[[#This Row],[ID]], Table2[ID],Table2[MC3], "Not Found", 0 )</f>
        <v>0</v>
      </c>
      <c r="AB924" s="8">
        <f>_xlfn.XLOOKUP(CustomerCombined[[#This Row],[ID]], Table2[ID],Table2[MC4], "Not Found", 0 )</f>
        <v>0</v>
      </c>
      <c r="AC924" s="8">
        <f>_xlfn.XLOOKUP(CustomerCombined[[#This Row],[ID]], Table2[ID],Table2[MC5], "Not Found", 0 )</f>
        <v>0</v>
      </c>
    </row>
    <row r="925" spans="1:29" x14ac:dyDescent="0.3">
      <c r="A925" s="6">
        <v>2179</v>
      </c>
      <c r="B925" s="6">
        <v>178075</v>
      </c>
      <c r="C925" s="6">
        <v>0</v>
      </c>
      <c r="D925" s="6">
        <v>0</v>
      </c>
      <c r="E925" s="6">
        <v>48</v>
      </c>
      <c r="F925" s="5" t="s">
        <v>6</v>
      </c>
      <c r="G925" s="5" t="s">
        <v>13</v>
      </c>
      <c r="H925" s="3">
        <v>44083</v>
      </c>
      <c r="I925" s="5" t="s">
        <v>437</v>
      </c>
      <c r="J925" s="5">
        <f>_xlfn.XLOOKUP(CustomerCombined[[#This Row],[ID]], Table4[ID], Table4[Recency], "Not Found", 0)</f>
        <v>72</v>
      </c>
      <c r="K925" s="5">
        <f>_xlfn.XLOOKUP(CustomerCombined[[#This Row],[ID]], Table4[ID], Table4[Teas], "Not Found", 0)</f>
        <v>1305</v>
      </c>
      <c r="L925" s="5">
        <f>_xlfn.XLOOKUP(CustomerCombined[[#This Row],[ID]], Table4[ID], Table4[Fruits], "Not Found", 0)</f>
        <v>18</v>
      </c>
      <c r="M925" s="5">
        <f>_xlfn.XLOOKUP(CustomerCombined[[#This Row],[ID]], Table4[ID], Table4[Meats], "Not Found", 0)</f>
        <v>591</v>
      </c>
      <c r="N925" s="5">
        <f>_xlfn.XLOOKUP(CustomerCombined[[#This Row],[ID]], Table4[ID], Table4[Seafood], "Not Found", 0)</f>
        <v>78</v>
      </c>
      <c r="O925" s="5">
        <f>_xlfn.XLOOKUP(CustomerCombined[[#This Row],[ID]], Table4[ID], Table4[Sweets], "Not Found", 0)</f>
        <v>80</v>
      </c>
      <c r="P925" s="5">
        <f>_xlfn.XLOOKUP(CustomerCombined[[#This Row],[ID]], Table4[ID], Table4[Premium], "Not Found", 0)</f>
        <v>182</v>
      </c>
      <c r="Q925" s="5">
        <f>_xlfn.XLOOKUP(CustomerCombined[[#This Row],[ID]], Table4[ID], Table4[Regular], "Not Found", 0)</f>
        <v>1889</v>
      </c>
      <c r="R925" s="5">
        <f>_xlfn.XLOOKUP(CustomerCombined[[#This Row],[ID]], Table4[ID], Table4[Deals], "Not Found", 0)</f>
        <v>1</v>
      </c>
      <c r="S925" s="5">
        <f>_xlfn.XLOOKUP(CustomerCombined[[#This Row],[ID]], Table4[ID], Table4[Website], "Not Found", 0)</f>
        <v>3</v>
      </c>
      <c r="T925" s="5">
        <f>_xlfn.XLOOKUP(CustomerCombined[[#This Row],[ID]], Table4[ID], Table4[Catalog], "Not Found", 0)</f>
        <v>5</v>
      </c>
      <c r="U925" s="5">
        <f>_xlfn.XLOOKUP(CustomerCombined[[#This Row],[ID]], Table4[ID], Table4[Store], "Not Found", 0)</f>
        <v>5</v>
      </c>
      <c r="V925" s="5">
        <f>_xlfn.XLOOKUP(CustomerCombined[[#This Row],[ID]], Table4[ID], Table4[Visits], "Not Found", 0)</f>
        <v>1</v>
      </c>
      <c r="W925" s="8">
        <f>_xlfn.XLOOKUP(CustomerCombined[[#This Row],[ID]], Table2[ID],Table2[Complaint], "Not Found", 0 )</f>
        <v>0</v>
      </c>
      <c r="X925" s="8">
        <f>_xlfn.XLOOKUP(CustomerCombined[[#This Row],[ID]], Table2[ID],Table2[Pilot], "Not Found", 0 )</f>
        <v>0</v>
      </c>
      <c r="Y925" s="8">
        <f>_xlfn.XLOOKUP(CustomerCombined[[#This Row],[ID]], Table2[ID],Table2[MC1], "Not Found", 0 )</f>
        <v>0</v>
      </c>
      <c r="Z925" s="8">
        <f>_xlfn.XLOOKUP(CustomerCombined[[#This Row],[ID]], Table2[ID],Table2[MC2], "Not Found", 0 )</f>
        <v>0</v>
      </c>
      <c r="AA925" s="8">
        <f>_xlfn.XLOOKUP(CustomerCombined[[#This Row],[ID]], Table2[ID],Table2[MC3], "Not Found", 0 )</f>
        <v>0</v>
      </c>
      <c r="AB925" s="8">
        <f>_xlfn.XLOOKUP(CustomerCombined[[#This Row],[ID]], Table2[ID],Table2[MC4], "Not Found", 0 )</f>
        <v>0</v>
      </c>
      <c r="AC925" s="8">
        <f>_xlfn.XLOOKUP(CustomerCombined[[#This Row],[ID]], Table2[ID],Table2[MC5], "Not Found", 0 )</f>
        <v>0</v>
      </c>
    </row>
    <row r="926" spans="1:29" x14ac:dyDescent="0.3">
      <c r="A926" s="6">
        <v>2734</v>
      </c>
      <c r="B926" s="6">
        <v>177981</v>
      </c>
      <c r="C926" s="6">
        <v>1</v>
      </c>
      <c r="D926" s="6">
        <v>0</v>
      </c>
      <c r="E926" s="6">
        <v>48</v>
      </c>
      <c r="F926" s="5" t="s">
        <v>6</v>
      </c>
      <c r="G926" s="5" t="s">
        <v>11</v>
      </c>
      <c r="H926" s="3" t="s">
        <v>245</v>
      </c>
      <c r="I926" s="5" t="s">
        <v>439</v>
      </c>
      <c r="J926" s="5">
        <f>_xlfn.XLOOKUP(CustomerCombined[[#This Row],[ID]], Table4[ID], Table4[Recency], "Not Found", 0)</f>
        <v>78</v>
      </c>
      <c r="K926" s="5">
        <f>_xlfn.XLOOKUP(CustomerCombined[[#This Row],[ID]], Table4[ID], Table4[Teas], "Not Found", 0)</f>
        <v>315</v>
      </c>
      <c r="L926" s="5">
        <f>_xlfn.XLOOKUP(CustomerCombined[[#This Row],[ID]], Table4[ID], Table4[Fruits], "Not Found", 0)</f>
        <v>274</v>
      </c>
      <c r="M926" s="5">
        <f>_xlfn.XLOOKUP(CustomerCombined[[#This Row],[ID]], Table4[ID], Table4[Meats], "Not Found", 0)</f>
        <v>466</v>
      </c>
      <c r="N926" s="5">
        <f>_xlfn.XLOOKUP(CustomerCombined[[#This Row],[ID]], Table4[ID], Table4[Seafood], "Not Found", 0)</f>
        <v>37</v>
      </c>
      <c r="O926" s="5">
        <f>_xlfn.XLOOKUP(CustomerCombined[[#This Row],[ID]], Table4[ID], Table4[Sweets], "Not Found", 0)</f>
        <v>288</v>
      </c>
      <c r="P926" s="5">
        <f>_xlfn.XLOOKUP(CustomerCombined[[#This Row],[ID]], Table4[ID], Table4[Premium], "Not Found", 0)</f>
        <v>137</v>
      </c>
      <c r="Q926" s="5">
        <f>_xlfn.XLOOKUP(CustomerCombined[[#This Row],[ID]], Table4[ID], Table4[Regular], "Not Found", 0)</f>
        <v>1242</v>
      </c>
      <c r="R926" s="5">
        <f>_xlfn.XLOOKUP(CustomerCombined[[#This Row],[ID]], Table4[ID], Table4[Deals], "Not Found", 0)</f>
        <v>3</v>
      </c>
      <c r="S926" s="5">
        <f>_xlfn.XLOOKUP(CustomerCombined[[#This Row],[ID]], Table4[ID], Table4[Website], "Not Found", 0)</f>
        <v>7</v>
      </c>
      <c r="T926" s="5">
        <f>_xlfn.XLOOKUP(CustomerCombined[[#This Row],[ID]], Table4[ID], Table4[Catalog], "Not Found", 0)</f>
        <v>4</v>
      </c>
      <c r="U926" s="5">
        <f>_xlfn.XLOOKUP(CustomerCombined[[#This Row],[ID]], Table4[ID], Table4[Store], "Not Found", 0)</f>
        <v>7</v>
      </c>
      <c r="V926" s="5">
        <f>_xlfn.XLOOKUP(CustomerCombined[[#This Row],[ID]], Table4[ID], Table4[Visits], "Not Found", 0)</f>
        <v>5</v>
      </c>
      <c r="W926" s="8">
        <f>_xlfn.XLOOKUP(CustomerCombined[[#This Row],[ID]], Table2[ID],Table2[Complaint], "Not Found", 0 )</f>
        <v>0</v>
      </c>
      <c r="X926" s="8">
        <f>_xlfn.XLOOKUP(CustomerCombined[[#This Row],[ID]], Table2[ID],Table2[Pilot], "Not Found", 0 )</f>
        <v>0</v>
      </c>
      <c r="Y926" s="8">
        <f>_xlfn.XLOOKUP(CustomerCombined[[#This Row],[ID]], Table2[ID],Table2[MC1], "Not Found", 0 )</f>
        <v>0</v>
      </c>
      <c r="Z926" s="8">
        <f>_xlfn.XLOOKUP(CustomerCombined[[#This Row],[ID]], Table2[ID],Table2[MC2], "Not Found", 0 )</f>
        <v>0</v>
      </c>
      <c r="AA926" s="8">
        <f>_xlfn.XLOOKUP(CustomerCombined[[#This Row],[ID]], Table2[ID],Table2[MC3], "Not Found", 0 )</f>
        <v>0</v>
      </c>
      <c r="AB926" s="8">
        <f>_xlfn.XLOOKUP(CustomerCombined[[#This Row],[ID]], Table2[ID],Table2[MC4], "Not Found", 0 )</f>
        <v>0</v>
      </c>
      <c r="AC926" s="8">
        <f>_xlfn.XLOOKUP(CustomerCombined[[#This Row],[ID]], Table2[ID],Table2[MC5], "Not Found", 0 )</f>
        <v>0</v>
      </c>
    </row>
    <row r="927" spans="1:29" x14ac:dyDescent="0.3">
      <c r="A927" s="6">
        <v>2193</v>
      </c>
      <c r="B927" s="6">
        <v>177044</v>
      </c>
      <c r="C927" s="6">
        <v>0</v>
      </c>
      <c r="D927" s="6">
        <v>1</v>
      </c>
      <c r="E927" s="6">
        <v>48</v>
      </c>
      <c r="F927" s="5" t="s">
        <v>8</v>
      </c>
      <c r="G927" s="5" t="s">
        <v>11</v>
      </c>
      <c r="H927" s="3">
        <v>43865</v>
      </c>
      <c r="I927" s="5" t="s">
        <v>435</v>
      </c>
      <c r="J927" s="5">
        <f>_xlfn.XLOOKUP(CustomerCombined[[#This Row],[ID]], Table4[ID], Table4[Recency], "Not Found", 0)</f>
        <v>12</v>
      </c>
      <c r="K927" s="5">
        <f>_xlfn.XLOOKUP(CustomerCombined[[#This Row],[ID]], Table4[ID], Table4[Teas], "Not Found", 0)</f>
        <v>1436</v>
      </c>
      <c r="L927" s="5">
        <f>_xlfn.XLOOKUP(CustomerCombined[[#This Row],[ID]], Table4[ID], Table4[Fruits], "Not Found", 0)</f>
        <v>87</v>
      </c>
      <c r="M927" s="5">
        <f>_xlfn.XLOOKUP(CustomerCombined[[#This Row],[ID]], Table4[ID], Table4[Meats], "Not Found", 0)</f>
        <v>556</v>
      </c>
      <c r="N927" s="5">
        <f>_xlfn.XLOOKUP(CustomerCombined[[#This Row],[ID]], Table4[ID], Table4[Seafood], "Not Found", 0)</f>
        <v>115</v>
      </c>
      <c r="O927" s="5">
        <f>_xlfn.XLOOKUP(CustomerCombined[[#This Row],[ID]], Table4[ID], Table4[Sweets], "Not Found", 0)</f>
        <v>78</v>
      </c>
      <c r="P927" s="5">
        <f>_xlfn.XLOOKUP(CustomerCombined[[#This Row],[ID]], Table4[ID], Table4[Premium], "Not Found", 0)</f>
        <v>175</v>
      </c>
      <c r="Q927" s="5">
        <f>_xlfn.XLOOKUP(CustomerCombined[[#This Row],[ID]], Table4[ID], Table4[Regular], "Not Found", 0)</f>
        <v>2098</v>
      </c>
      <c r="R927" s="5">
        <f>_xlfn.XLOOKUP(CustomerCombined[[#This Row],[ID]], Table4[ID], Table4[Deals], "Not Found", 0)</f>
        <v>2</v>
      </c>
      <c r="S927" s="5">
        <f>_xlfn.XLOOKUP(CustomerCombined[[#This Row],[ID]], Table4[ID], Table4[Website], "Not Found", 0)</f>
        <v>7</v>
      </c>
      <c r="T927" s="5">
        <f>_xlfn.XLOOKUP(CustomerCombined[[#This Row],[ID]], Table4[ID], Table4[Catalog], "Not Found", 0)</f>
        <v>11</v>
      </c>
      <c r="U927" s="5">
        <f>_xlfn.XLOOKUP(CustomerCombined[[#This Row],[ID]], Table4[ID], Table4[Store], "Not Found", 0)</f>
        <v>11</v>
      </c>
      <c r="V927" s="5">
        <f>_xlfn.XLOOKUP(CustomerCombined[[#This Row],[ID]], Table4[ID], Table4[Visits], "Not Found", 0)</f>
        <v>4</v>
      </c>
      <c r="W927" s="8">
        <f>_xlfn.XLOOKUP(CustomerCombined[[#This Row],[ID]], Table2[ID],Table2[Complaint], "Not Found", 0 )</f>
        <v>0</v>
      </c>
      <c r="X927" s="8">
        <f>_xlfn.XLOOKUP(CustomerCombined[[#This Row],[ID]], Table2[ID],Table2[Pilot], "Not Found", 0 )</f>
        <v>0</v>
      </c>
      <c r="Y927" s="8">
        <f>_xlfn.XLOOKUP(CustomerCombined[[#This Row],[ID]], Table2[ID],Table2[MC1], "Not Found", 0 )</f>
        <v>0</v>
      </c>
      <c r="Z927" s="8">
        <f>_xlfn.XLOOKUP(CustomerCombined[[#This Row],[ID]], Table2[ID],Table2[MC2], "Not Found", 0 )</f>
        <v>0</v>
      </c>
      <c r="AA927" s="8">
        <f>_xlfn.XLOOKUP(CustomerCombined[[#This Row],[ID]], Table2[ID],Table2[MC3], "Not Found", 0 )</f>
        <v>1</v>
      </c>
      <c r="AB927" s="8">
        <f>_xlfn.XLOOKUP(CustomerCombined[[#This Row],[ID]], Table2[ID],Table2[MC4], "Not Found", 0 )</f>
        <v>0</v>
      </c>
      <c r="AC927" s="8">
        <f>_xlfn.XLOOKUP(CustomerCombined[[#This Row],[ID]], Table2[ID],Table2[MC5], "Not Found", 0 )</f>
        <v>0</v>
      </c>
    </row>
    <row r="928" spans="1:29" x14ac:dyDescent="0.3">
      <c r="A928" s="6">
        <v>3154</v>
      </c>
      <c r="B928" s="6">
        <v>176234</v>
      </c>
      <c r="C928" s="6">
        <v>0</v>
      </c>
      <c r="D928" s="6">
        <v>1</v>
      </c>
      <c r="E928" s="6">
        <v>48</v>
      </c>
      <c r="F928" s="5" t="s">
        <v>6</v>
      </c>
      <c r="G928" s="5" t="s">
        <v>12</v>
      </c>
      <c r="H928" s="3" t="s">
        <v>107</v>
      </c>
      <c r="I928" s="5" t="s">
        <v>439</v>
      </c>
      <c r="J928" s="5">
        <f>_xlfn.XLOOKUP(CustomerCombined[[#This Row],[ID]], Table4[ID], Table4[Recency], "Not Found", 0)</f>
        <v>21</v>
      </c>
      <c r="K928" s="5">
        <f>_xlfn.XLOOKUP(CustomerCombined[[#This Row],[ID]], Table4[ID], Table4[Teas], "Not Found", 0)</f>
        <v>1200</v>
      </c>
      <c r="L928" s="5">
        <f>_xlfn.XLOOKUP(CustomerCombined[[#This Row],[ID]], Table4[ID], Table4[Fruits], "Not Found", 0)</f>
        <v>116</v>
      </c>
      <c r="M928" s="5">
        <f>_xlfn.XLOOKUP(CustomerCombined[[#This Row],[ID]], Table4[ID], Table4[Meats], "Not Found", 0)</f>
        <v>386</v>
      </c>
      <c r="N928" s="5">
        <f>_xlfn.XLOOKUP(CustomerCombined[[#This Row],[ID]], Table4[ID], Table4[Seafood], "Not Found", 0)</f>
        <v>301</v>
      </c>
      <c r="O928" s="5">
        <f>_xlfn.XLOOKUP(CustomerCombined[[#This Row],[ID]], Table4[ID], Table4[Sweets], "Not Found", 0)</f>
        <v>0</v>
      </c>
      <c r="P928" s="5">
        <f>_xlfn.XLOOKUP(CustomerCombined[[#This Row],[ID]], Table4[ID], Table4[Premium], "Not Found", 0)</f>
        <v>95</v>
      </c>
      <c r="Q928" s="5">
        <f>_xlfn.XLOOKUP(CustomerCombined[[#This Row],[ID]], Table4[ID], Table4[Regular], "Not Found", 0)</f>
        <v>1907</v>
      </c>
      <c r="R928" s="5">
        <f>_xlfn.XLOOKUP(CustomerCombined[[#This Row],[ID]], Table4[ID], Table4[Deals], "Not Found", 0)</f>
        <v>1</v>
      </c>
      <c r="S928" s="5">
        <f>_xlfn.XLOOKUP(CustomerCombined[[#This Row],[ID]], Table4[ID], Table4[Website], "Not Found", 0)</f>
        <v>8</v>
      </c>
      <c r="T928" s="5">
        <f>_xlfn.XLOOKUP(CustomerCombined[[#This Row],[ID]], Table4[ID], Table4[Catalog], "Not Found", 0)</f>
        <v>3</v>
      </c>
      <c r="U928" s="5">
        <f>_xlfn.XLOOKUP(CustomerCombined[[#This Row],[ID]], Table4[ID], Table4[Store], "Not Found", 0)</f>
        <v>11</v>
      </c>
      <c r="V928" s="5">
        <f>_xlfn.XLOOKUP(CustomerCombined[[#This Row],[ID]], Table4[ID], Table4[Visits], "Not Found", 0)</f>
        <v>3</v>
      </c>
      <c r="W928" s="8">
        <f>_xlfn.XLOOKUP(CustomerCombined[[#This Row],[ID]], Table2[ID],Table2[Complaint], "Not Found", 0 )</f>
        <v>0</v>
      </c>
      <c r="X928" s="8">
        <f>_xlfn.XLOOKUP(CustomerCombined[[#This Row],[ID]], Table2[ID],Table2[Pilot], "Not Found", 0 )</f>
        <v>0</v>
      </c>
      <c r="Y928" s="8">
        <f>_xlfn.XLOOKUP(CustomerCombined[[#This Row],[ID]], Table2[ID],Table2[MC1], "Not Found", 0 )</f>
        <v>0</v>
      </c>
      <c r="Z928" s="8">
        <f>_xlfn.XLOOKUP(CustomerCombined[[#This Row],[ID]], Table2[ID],Table2[MC2], "Not Found", 0 )</f>
        <v>0</v>
      </c>
      <c r="AA928" s="8">
        <f>_xlfn.XLOOKUP(CustomerCombined[[#This Row],[ID]], Table2[ID],Table2[MC3], "Not Found", 0 )</f>
        <v>0</v>
      </c>
      <c r="AB928" s="8">
        <f>_xlfn.XLOOKUP(CustomerCombined[[#This Row],[ID]], Table2[ID],Table2[MC4], "Not Found", 0 )</f>
        <v>1</v>
      </c>
      <c r="AC928" s="8">
        <f>_xlfn.XLOOKUP(CustomerCombined[[#This Row],[ID]], Table2[ID],Table2[MC5], "Not Found", 0 )</f>
        <v>0</v>
      </c>
    </row>
    <row r="929" spans="1:29" x14ac:dyDescent="0.3">
      <c r="A929" s="6">
        <v>1071</v>
      </c>
      <c r="B929" s="6">
        <v>175251</v>
      </c>
      <c r="C929" s="6">
        <v>0</v>
      </c>
      <c r="D929" s="6">
        <v>0</v>
      </c>
      <c r="E929" s="6">
        <v>48</v>
      </c>
      <c r="F929" s="5" t="s">
        <v>6</v>
      </c>
      <c r="G929" s="5" t="s">
        <v>12</v>
      </c>
      <c r="H929" s="3">
        <v>43467</v>
      </c>
      <c r="I929" s="5" t="s">
        <v>435</v>
      </c>
      <c r="J929" s="5">
        <f>_xlfn.XLOOKUP(CustomerCombined[[#This Row],[ID]], Table4[ID], Table4[Recency], "Not Found", 0)</f>
        <v>34</v>
      </c>
      <c r="K929" s="5">
        <f>_xlfn.XLOOKUP(CustomerCombined[[#This Row],[ID]], Table4[ID], Table4[Teas], "Not Found", 0)</f>
        <v>1679</v>
      </c>
      <c r="L929" s="5">
        <f>_xlfn.XLOOKUP(CustomerCombined[[#This Row],[ID]], Table4[ID], Table4[Fruits], "Not Found", 0)</f>
        <v>259</v>
      </c>
      <c r="M929" s="5">
        <f>_xlfn.XLOOKUP(CustomerCombined[[#This Row],[ID]], Table4[ID], Table4[Meats], "Not Found", 0)</f>
        <v>2154</v>
      </c>
      <c r="N929" s="5">
        <f>_xlfn.XLOOKUP(CustomerCombined[[#This Row],[ID]], Table4[ID], Table4[Seafood], "Not Found", 0)</f>
        <v>226</v>
      </c>
      <c r="O929" s="5">
        <f>_xlfn.XLOOKUP(CustomerCombined[[#This Row],[ID]], Table4[ID], Table4[Sweets], "Not Found", 0)</f>
        <v>42</v>
      </c>
      <c r="P929" s="5">
        <f>_xlfn.XLOOKUP(CustomerCombined[[#This Row],[ID]], Table4[ID], Table4[Premium], "Not Found", 0)</f>
        <v>42</v>
      </c>
      <c r="Q929" s="5">
        <f>_xlfn.XLOOKUP(CustomerCombined[[#This Row],[ID]], Table4[ID], Table4[Regular], "Not Found", 0)</f>
        <v>4318</v>
      </c>
      <c r="R929" s="5">
        <f>_xlfn.XLOOKUP(CustomerCombined[[#This Row],[ID]], Table4[ID], Table4[Deals], "Not Found", 0)</f>
        <v>1</v>
      </c>
      <c r="S929" s="5">
        <f>_xlfn.XLOOKUP(CustomerCombined[[#This Row],[ID]], Table4[ID], Table4[Website], "Not Found", 0)</f>
        <v>7</v>
      </c>
      <c r="T929" s="5">
        <f>_xlfn.XLOOKUP(CustomerCombined[[#This Row],[ID]], Table4[ID], Table4[Catalog], "Not Found", 0)</f>
        <v>6</v>
      </c>
      <c r="U929" s="5">
        <f>_xlfn.XLOOKUP(CustomerCombined[[#This Row],[ID]], Table4[ID], Table4[Store], "Not Found", 0)</f>
        <v>5</v>
      </c>
      <c r="V929" s="5">
        <f>_xlfn.XLOOKUP(CustomerCombined[[#This Row],[ID]], Table4[ID], Table4[Visits], "Not Found", 0)</f>
        <v>5</v>
      </c>
      <c r="W929" s="8">
        <f>_xlfn.XLOOKUP(CustomerCombined[[#This Row],[ID]], Table2[ID],Table2[Complaint], "Not Found", 0 )</f>
        <v>0</v>
      </c>
      <c r="X929" s="8">
        <f>_xlfn.XLOOKUP(CustomerCombined[[#This Row],[ID]], Table2[ID],Table2[Pilot], "Not Found", 0 )</f>
        <v>1</v>
      </c>
      <c r="Y929" s="8">
        <f>_xlfn.XLOOKUP(CustomerCombined[[#This Row],[ID]], Table2[ID],Table2[MC1], "Not Found", 0 )</f>
        <v>0</v>
      </c>
      <c r="Z929" s="8">
        <f>_xlfn.XLOOKUP(CustomerCombined[[#This Row],[ID]], Table2[ID],Table2[MC2], "Not Found", 0 )</f>
        <v>0</v>
      </c>
      <c r="AA929" s="8">
        <f>_xlfn.XLOOKUP(CustomerCombined[[#This Row],[ID]], Table2[ID],Table2[MC3], "Not Found", 0 )</f>
        <v>0</v>
      </c>
      <c r="AB929" s="8">
        <f>_xlfn.XLOOKUP(CustomerCombined[[#This Row],[ID]], Table2[ID],Table2[MC4], "Not Found", 0 )</f>
        <v>0</v>
      </c>
      <c r="AC929" s="8">
        <f>_xlfn.XLOOKUP(CustomerCombined[[#This Row],[ID]], Table2[ID],Table2[MC5], "Not Found", 0 )</f>
        <v>0</v>
      </c>
    </row>
    <row r="930" spans="1:29" x14ac:dyDescent="0.3">
      <c r="A930" s="6">
        <v>2234</v>
      </c>
      <c r="B930" s="6">
        <v>174716</v>
      </c>
      <c r="C930" s="6">
        <v>0</v>
      </c>
      <c r="D930" s="6">
        <v>1</v>
      </c>
      <c r="E930" s="6">
        <v>48</v>
      </c>
      <c r="F930" s="5" t="s">
        <v>6</v>
      </c>
      <c r="G930" s="5" t="s">
        <v>11</v>
      </c>
      <c r="H930" s="3" t="s">
        <v>187</v>
      </c>
      <c r="I930" s="5" t="s">
        <v>438</v>
      </c>
      <c r="J930" s="5">
        <f>_xlfn.XLOOKUP(CustomerCombined[[#This Row],[ID]], Table4[ID], Table4[Recency], "Not Found", 0)</f>
        <v>92</v>
      </c>
      <c r="K930" s="5">
        <f>_xlfn.XLOOKUP(CustomerCombined[[#This Row],[ID]], Table4[ID], Table4[Teas], "Not Found", 0)</f>
        <v>311</v>
      </c>
      <c r="L930" s="5">
        <f>_xlfn.XLOOKUP(CustomerCombined[[#This Row],[ID]], Table4[ID], Table4[Fruits], "Not Found", 0)</f>
        <v>63</v>
      </c>
      <c r="M930" s="5">
        <f>_xlfn.XLOOKUP(CustomerCombined[[#This Row],[ID]], Table4[ID], Table4[Meats], "Not Found", 0)</f>
        <v>984</v>
      </c>
      <c r="N930" s="5">
        <f>_xlfn.XLOOKUP(CustomerCombined[[#This Row],[ID]], Table4[ID], Table4[Seafood], "Not Found", 0)</f>
        <v>30</v>
      </c>
      <c r="O930" s="5">
        <f>_xlfn.XLOOKUP(CustomerCombined[[#This Row],[ID]], Table4[ID], Table4[Sweets], "Not Found", 0)</f>
        <v>456</v>
      </c>
      <c r="P930" s="5">
        <f>_xlfn.XLOOKUP(CustomerCombined[[#This Row],[ID]], Table4[ID], Table4[Premium], "Not Found", 0)</f>
        <v>166</v>
      </c>
      <c r="Q930" s="5">
        <f>_xlfn.XLOOKUP(CustomerCombined[[#This Row],[ID]], Table4[ID], Table4[Regular], "Not Found", 0)</f>
        <v>1679</v>
      </c>
      <c r="R930" s="5">
        <f>_xlfn.XLOOKUP(CustomerCombined[[#This Row],[ID]], Table4[ID], Table4[Deals], "Not Found", 0)</f>
        <v>2</v>
      </c>
      <c r="S930" s="5">
        <f>_xlfn.XLOOKUP(CustomerCombined[[#This Row],[ID]], Table4[ID], Table4[Website], "Not Found", 0)</f>
        <v>7</v>
      </c>
      <c r="T930" s="5">
        <f>_xlfn.XLOOKUP(CustomerCombined[[#This Row],[ID]], Table4[ID], Table4[Catalog], "Not Found", 0)</f>
        <v>3</v>
      </c>
      <c r="U930" s="5">
        <f>_xlfn.XLOOKUP(CustomerCombined[[#This Row],[ID]], Table4[ID], Table4[Store], "Not Found", 0)</f>
        <v>5</v>
      </c>
      <c r="V930" s="5">
        <f>_xlfn.XLOOKUP(CustomerCombined[[#This Row],[ID]], Table4[ID], Table4[Visits], "Not Found", 0)</f>
        <v>4</v>
      </c>
      <c r="W930" s="8">
        <f>_xlfn.XLOOKUP(CustomerCombined[[#This Row],[ID]], Table2[ID],Table2[Complaint], "Not Found", 0 )</f>
        <v>0</v>
      </c>
      <c r="X930" s="8">
        <f>_xlfn.XLOOKUP(CustomerCombined[[#This Row],[ID]], Table2[ID],Table2[Pilot], "Not Found", 0 )</f>
        <v>0</v>
      </c>
      <c r="Y930" s="8">
        <f>_xlfn.XLOOKUP(CustomerCombined[[#This Row],[ID]], Table2[ID],Table2[MC1], "Not Found", 0 )</f>
        <v>0</v>
      </c>
      <c r="Z930" s="8">
        <f>_xlfn.XLOOKUP(CustomerCombined[[#This Row],[ID]], Table2[ID],Table2[MC2], "Not Found", 0 )</f>
        <v>0</v>
      </c>
      <c r="AA930" s="8">
        <f>_xlfn.XLOOKUP(CustomerCombined[[#This Row],[ID]], Table2[ID],Table2[MC3], "Not Found", 0 )</f>
        <v>0</v>
      </c>
      <c r="AB930" s="8">
        <f>_xlfn.XLOOKUP(CustomerCombined[[#This Row],[ID]], Table2[ID],Table2[MC4], "Not Found", 0 )</f>
        <v>0</v>
      </c>
      <c r="AC930" s="8">
        <f>_xlfn.XLOOKUP(CustomerCombined[[#This Row],[ID]], Table2[ID],Table2[MC5], "Not Found", 0 )</f>
        <v>0</v>
      </c>
    </row>
    <row r="931" spans="1:29" x14ac:dyDescent="0.3">
      <c r="A931" s="6">
        <v>1790</v>
      </c>
      <c r="B931" s="6">
        <v>172504</v>
      </c>
      <c r="C931" s="6">
        <v>0</v>
      </c>
      <c r="D931" s="6">
        <v>1</v>
      </c>
      <c r="E931" s="6">
        <v>48</v>
      </c>
      <c r="F931" s="5" t="s">
        <v>7</v>
      </c>
      <c r="G931" s="5" t="s">
        <v>11</v>
      </c>
      <c r="H931" s="3">
        <v>43778</v>
      </c>
      <c r="I931" s="5" t="s">
        <v>438</v>
      </c>
      <c r="J931" s="5">
        <f>_xlfn.XLOOKUP(CustomerCombined[[#This Row],[ID]], Table4[ID], Table4[Recency], "Not Found", 0)</f>
        <v>43</v>
      </c>
      <c r="K931" s="5">
        <f>_xlfn.XLOOKUP(CustomerCombined[[#This Row],[ID]], Table4[ID], Table4[Teas], "Not Found", 0)</f>
        <v>1437</v>
      </c>
      <c r="L931" s="5">
        <f>_xlfn.XLOOKUP(CustomerCombined[[#This Row],[ID]], Table4[ID], Table4[Fruits], "Not Found", 0)</f>
        <v>62</v>
      </c>
      <c r="M931" s="5">
        <f>_xlfn.XLOOKUP(CustomerCombined[[#This Row],[ID]], Table4[ID], Table4[Meats], "Not Found", 0)</f>
        <v>1118</v>
      </c>
      <c r="N931" s="5">
        <f>_xlfn.XLOOKUP(CustomerCombined[[#This Row],[ID]], Table4[ID], Table4[Seafood], "Not Found", 0)</f>
        <v>293</v>
      </c>
      <c r="O931" s="5">
        <f>_xlfn.XLOOKUP(CustomerCombined[[#This Row],[ID]], Table4[ID], Table4[Sweets], "Not Found", 0)</f>
        <v>383</v>
      </c>
      <c r="P931" s="5">
        <f>_xlfn.XLOOKUP(CustomerCombined[[#This Row],[ID]], Table4[ID], Table4[Premium], "Not Found", 0)</f>
        <v>224</v>
      </c>
      <c r="Q931" s="5">
        <f>_xlfn.XLOOKUP(CustomerCombined[[#This Row],[ID]], Table4[ID], Table4[Regular], "Not Found", 0)</f>
        <v>3069</v>
      </c>
      <c r="R931" s="5">
        <f>_xlfn.XLOOKUP(CustomerCombined[[#This Row],[ID]], Table4[ID], Table4[Deals], "Not Found", 0)</f>
        <v>2</v>
      </c>
      <c r="S931" s="5">
        <f>_xlfn.XLOOKUP(CustomerCombined[[#This Row],[ID]], Table4[ID], Table4[Website], "Not Found", 0)</f>
        <v>5</v>
      </c>
      <c r="T931" s="5">
        <f>_xlfn.XLOOKUP(CustomerCombined[[#This Row],[ID]], Table4[ID], Table4[Catalog], "Not Found", 0)</f>
        <v>9</v>
      </c>
      <c r="U931" s="5">
        <f>_xlfn.XLOOKUP(CustomerCombined[[#This Row],[ID]], Table4[ID], Table4[Store], "Not Found", 0)</f>
        <v>6</v>
      </c>
      <c r="V931" s="5">
        <f>_xlfn.XLOOKUP(CustomerCombined[[#This Row],[ID]], Table4[ID], Table4[Visits], "Not Found", 0)</f>
        <v>2</v>
      </c>
      <c r="W931" s="8">
        <f>_xlfn.XLOOKUP(CustomerCombined[[#This Row],[ID]], Table2[ID],Table2[Complaint], "Not Found", 0 )</f>
        <v>0</v>
      </c>
      <c r="X931" s="8">
        <f>_xlfn.XLOOKUP(CustomerCombined[[#This Row],[ID]], Table2[ID],Table2[Pilot], "Not Found", 0 )</f>
        <v>0</v>
      </c>
      <c r="Y931" s="8">
        <f>_xlfn.XLOOKUP(CustomerCombined[[#This Row],[ID]], Table2[ID],Table2[MC1], "Not Found", 0 )</f>
        <v>0</v>
      </c>
      <c r="Z931" s="8">
        <f>_xlfn.XLOOKUP(CustomerCombined[[#This Row],[ID]], Table2[ID],Table2[MC2], "Not Found", 0 )</f>
        <v>0</v>
      </c>
      <c r="AA931" s="8">
        <f>_xlfn.XLOOKUP(CustomerCombined[[#This Row],[ID]], Table2[ID],Table2[MC3], "Not Found", 0 )</f>
        <v>0</v>
      </c>
      <c r="AB931" s="8">
        <f>_xlfn.XLOOKUP(CustomerCombined[[#This Row],[ID]], Table2[ID],Table2[MC4], "Not Found", 0 )</f>
        <v>0</v>
      </c>
      <c r="AC931" s="8">
        <f>_xlfn.XLOOKUP(CustomerCombined[[#This Row],[ID]], Table2[ID],Table2[MC5], "Not Found", 0 )</f>
        <v>0</v>
      </c>
    </row>
    <row r="932" spans="1:29" x14ac:dyDescent="0.3">
      <c r="A932" s="6">
        <v>2896</v>
      </c>
      <c r="B932" s="6">
        <v>170932</v>
      </c>
      <c r="C932" s="6">
        <v>0</v>
      </c>
      <c r="D932" s="6">
        <v>1</v>
      </c>
      <c r="E932" s="6">
        <v>48</v>
      </c>
      <c r="F932" s="5" t="s">
        <v>6</v>
      </c>
      <c r="G932" s="5" t="s">
        <v>442</v>
      </c>
      <c r="H932" s="3" t="s">
        <v>112</v>
      </c>
      <c r="I932" s="5" t="s">
        <v>439</v>
      </c>
      <c r="J932" s="5">
        <f>_xlfn.XLOOKUP(CustomerCombined[[#This Row],[ID]], Table4[ID], Table4[Recency], "Not Found", 0)</f>
        <v>57</v>
      </c>
      <c r="K932" s="5">
        <f>_xlfn.XLOOKUP(CustomerCombined[[#This Row],[ID]], Table4[ID], Table4[Teas], "Not Found", 0)</f>
        <v>482</v>
      </c>
      <c r="L932" s="5">
        <f>_xlfn.XLOOKUP(CustomerCombined[[#This Row],[ID]], Table4[ID], Table4[Fruits], "Not Found", 0)</f>
        <v>465</v>
      </c>
      <c r="M932" s="5">
        <f>_xlfn.XLOOKUP(CustomerCombined[[#This Row],[ID]], Table4[ID], Table4[Meats], "Not Found", 0)</f>
        <v>241</v>
      </c>
      <c r="N932" s="5">
        <f>_xlfn.XLOOKUP(CustomerCombined[[#This Row],[ID]], Table4[ID], Table4[Seafood], "Not Found", 0)</f>
        <v>111</v>
      </c>
      <c r="O932" s="5">
        <f>_xlfn.XLOOKUP(CustomerCombined[[#This Row],[ID]], Table4[ID], Table4[Sweets], "Not Found", 0)</f>
        <v>446</v>
      </c>
      <c r="P932" s="5">
        <f>_xlfn.XLOOKUP(CustomerCombined[[#This Row],[ID]], Table4[ID], Table4[Premium], "Not Found", 0)</f>
        <v>446</v>
      </c>
      <c r="Q932" s="5">
        <f>_xlfn.XLOOKUP(CustomerCombined[[#This Row],[ID]], Table4[ID], Table4[Regular], "Not Found", 0)</f>
        <v>1299</v>
      </c>
      <c r="R932" s="5">
        <f>_xlfn.XLOOKUP(CustomerCombined[[#This Row],[ID]], Table4[ID], Table4[Deals], "Not Found", 0)</f>
        <v>2</v>
      </c>
      <c r="S932" s="5">
        <f>_xlfn.XLOOKUP(CustomerCombined[[#This Row],[ID]], Table4[ID], Table4[Website], "Not Found", 0)</f>
        <v>6</v>
      </c>
      <c r="T932" s="5">
        <f>_xlfn.XLOOKUP(CustomerCombined[[#This Row],[ID]], Table4[ID], Table4[Catalog], "Not Found", 0)</f>
        <v>2</v>
      </c>
      <c r="U932" s="5">
        <f>_xlfn.XLOOKUP(CustomerCombined[[#This Row],[ID]], Table4[ID], Table4[Store], "Not Found", 0)</f>
        <v>12</v>
      </c>
      <c r="V932" s="5">
        <f>_xlfn.XLOOKUP(CustomerCombined[[#This Row],[ID]], Table4[ID], Table4[Visits], "Not Found", 0)</f>
        <v>3</v>
      </c>
      <c r="W932" s="8">
        <f>_xlfn.XLOOKUP(CustomerCombined[[#This Row],[ID]], Table2[ID],Table2[Complaint], "Not Found", 0 )</f>
        <v>0</v>
      </c>
      <c r="X932" s="8">
        <f>_xlfn.XLOOKUP(CustomerCombined[[#This Row],[ID]], Table2[ID],Table2[Pilot], "Not Found", 0 )</f>
        <v>0</v>
      </c>
      <c r="Y932" s="8">
        <f>_xlfn.XLOOKUP(CustomerCombined[[#This Row],[ID]], Table2[ID],Table2[MC1], "Not Found", 0 )</f>
        <v>0</v>
      </c>
      <c r="Z932" s="8">
        <f>_xlfn.XLOOKUP(CustomerCombined[[#This Row],[ID]], Table2[ID],Table2[MC2], "Not Found", 0 )</f>
        <v>0</v>
      </c>
      <c r="AA932" s="8">
        <f>_xlfn.XLOOKUP(CustomerCombined[[#This Row],[ID]], Table2[ID],Table2[MC3], "Not Found", 0 )</f>
        <v>0</v>
      </c>
      <c r="AB932" s="8">
        <f>_xlfn.XLOOKUP(CustomerCombined[[#This Row],[ID]], Table2[ID],Table2[MC4], "Not Found", 0 )</f>
        <v>0</v>
      </c>
      <c r="AC932" s="8">
        <f>_xlfn.XLOOKUP(CustomerCombined[[#This Row],[ID]], Table2[ID],Table2[MC5], "Not Found", 0 )</f>
        <v>0</v>
      </c>
    </row>
    <row r="933" spans="1:29" x14ac:dyDescent="0.3">
      <c r="A933" s="6">
        <v>2833</v>
      </c>
      <c r="B933" s="6">
        <v>170116</v>
      </c>
      <c r="C933" s="6">
        <v>0</v>
      </c>
      <c r="D933" s="6">
        <v>0</v>
      </c>
      <c r="E933" s="6">
        <v>48</v>
      </c>
      <c r="F933" s="5" t="s">
        <v>6</v>
      </c>
      <c r="G933" s="5" t="s">
        <v>13</v>
      </c>
      <c r="H933" s="3">
        <v>43531</v>
      </c>
      <c r="I933" s="5" t="s">
        <v>437</v>
      </c>
      <c r="J933" s="5">
        <f>_xlfn.XLOOKUP(CustomerCombined[[#This Row],[ID]], Table4[ID], Table4[Recency], "Not Found", 0)</f>
        <v>73</v>
      </c>
      <c r="K933" s="5">
        <f>_xlfn.XLOOKUP(CustomerCombined[[#This Row],[ID]], Table4[ID], Table4[Teas], "Not Found", 0)</f>
        <v>1715</v>
      </c>
      <c r="L933" s="5">
        <f>_xlfn.XLOOKUP(CustomerCombined[[#This Row],[ID]], Table4[ID], Table4[Fruits], "Not Found", 0)</f>
        <v>107</v>
      </c>
      <c r="M933" s="5">
        <f>_xlfn.XLOOKUP(CustomerCombined[[#This Row],[ID]], Table4[ID], Table4[Meats], "Not Found", 0)</f>
        <v>1463</v>
      </c>
      <c r="N933" s="5">
        <f>_xlfn.XLOOKUP(CustomerCombined[[#This Row],[ID]], Table4[ID], Table4[Seafood], "Not Found", 0)</f>
        <v>230</v>
      </c>
      <c r="O933" s="5">
        <f>_xlfn.XLOOKUP(CustomerCombined[[#This Row],[ID]], Table4[ID], Table4[Sweets], "Not Found", 0)</f>
        <v>141</v>
      </c>
      <c r="P933" s="5">
        <f>_xlfn.XLOOKUP(CustomerCombined[[#This Row],[ID]], Table4[ID], Table4[Premium], "Not Found", 0)</f>
        <v>70</v>
      </c>
      <c r="Q933" s="5">
        <f>_xlfn.XLOOKUP(CustomerCombined[[#This Row],[ID]], Table4[ID], Table4[Regular], "Not Found", 0)</f>
        <v>3586</v>
      </c>
      <c r="R933" s="5">
        <f>_xlfn.XLOOKUP(CustomerCombined[[#This Row],[ID]], Table4[ID], Table4[Deals], "Not Found", 0)</f>
        <v>1</v>
      </c>
      <c r="S933" s="5">
        <f>_xlfn.XLOOKUP(CustomerCombined[[#This Row],[ID]], Table4[ID], Table4[Website], "Not Found", 0)</f>
        <v>2</v>
      </c>
      <c r="T933" s="5">
        <f>_xlfn.XLOOKUP(CustomerCombined[[#This Row],[ID]], Table4[ID], Table4[Catalog], "Not Found", 0)</f>
        <v>8</v>
      </c>
      <c r="U933" s="5">
        <f>_xlfn.XLOOKUP(CustomerCombined[[#This Row],[ID]], Table4[ID], Table4[Store], "Not Found", 0)</f>
        <v>12</v>
      </c>
      <c r="V933" s="5">
        <f>_xlfn.XLOOKUP(CustomerCombined[[#This Row],[ID]], Table4[ID], Table4[Visits], "Not Found", 0)</f>
        <v>1</v>
      </c>
      <c r="W933" s="8">
        <f>_xlfn.XLOOKUP(CustomerCombined[[#This Row],[ID]], Table2[ID],Table2[Complaint], "Not Found", 0 )</f>
        <v>0</v>
      </c>
      <c r="X933" s="8">
        <f>_xlfn.XLOOKUP(CustomerCombined[[#This Row],[ID]], Table2[ID],Table2[Pilot], "Not Found", 0 )</f>
        <v>0</v>
      </c>
      <c r="Y933" s="8">
        <f>_xlfn.XLOOKUP(CustomerCombined[[#This Row],[ID]], Table2[ID],Table2[MC1], "Not Found", 0 )</f>
        <v>0</v>
      </c>
      <c r="Z933" s="8">
        <f>_xlfn.XLOOKUP(CustomerCombined[[#This Row],[ID]], Table2[ID],Table2[MC2], "Not Found", 0 )</f>
        <v>0</v>
      </c>
      <c r="AA933" s="8">
        <f>_xlfn.XLOOKUP(CustomerCombined[[#This Row],[ID]], Table2[ID],Table2[MC3], "Not Found", 0 )</f>
        <v>0</v>
      </c>
      <c r="AB933" s="8">
        <f>_xlfn.XLOOKUP(CustomerCombined[[#This Row],[ID]], Table2[ID],Table2[MC4], "Not Found", 0 )</f>
        <v>0</v>
      </c>
      <c r="AC933" s="8">
        <f>_xlfn.XLOOKUP(CustomerCombined[[#This Row],[ID]], Table2[ID],Table2[MC5], "Not Found", 0 )</f>
        <v>0</v>
      </c>
    </row>
    <row r="934" spans="1:29" x14ac:dyDescent="0.3">
      <c r="A934" s="6">
        <v>3119</v>
      </c>
      <c r="B934" s="6">
        <v>169209</v>
      </c>
      <c r="C934" s="6">
        <v>0</v>
      </c>
      <c r="D934" s="6">
        <v>0</v>
      </c>
      <c r="E934" s="6">
        <v>48</v>
      </c>
      <c r="F934" s="5" t="s">
        <v>6</v>
      </c>
      <c r="G934" s="5" t="s">
        <v>11</v>
      </c>
      <c r="H934" s="3" t="s">
        <v>394</v>
      </c>
      <c r="I934" s="5" t="s">
        <v>434</v>
      </c>
      <c r="J934" s="5">
        <f>_xlfn.XLOOKUP(CustomerCombined[[#This Row],[ID]], Table4[ID], Table4[Recency], "Not Found", 0)</f>
        <v>4</v>
      </c>
      <c r="K934" s="5">
        <f>_xlfn.XLOOKUP(CustomerCombined[[#This Row],[ID]], Table4[ID], Table4[Teas], "Not Found", 0)</f>
        <v>1213</v>
      </c>
      <c r="L934" s="5">
        <f>_xlfn.XLOOKUP(CustomerCombined[[#This Row],[ID]], Table4[ID], Table4[Fruits], "Not Found", 0)</f>
        <v>78</v>
      </c>
      <c r="M934" s="5">
        <f>_xlfn.XLOOKUP(CustomerCombined[[#This Row],[ID]], Table4[ID], Table4[Meats], "Not Found", 0)</f>
        <v>2076</v>
      </c>
      <c r="N934" s="5">
        <f>_xlfn.XLOOKUP(CustomerCombined[[#This Row],[ID]], Table4[ID], Table4[Seafood], "Not Found", 0)</f>
        <v>560</v>
      </c>
      <c r="O934" s="5">
        <f>_xlfn.XLOOKUP(CustomerCombined[[#This Row],[ID]], Table4[ID], Table4[Sweets], "Not Found", 0)</f>
        <v>117</v>
      </c>
      <c r="P934" s="5">
        <f>_xlfn.XLOOKUP(CustomerCombined[[#This Row],[ID]], Table4[ID], Table4[Premium], "Not Found", 0)</f>
        <v>313</v>
      </c>
      <c r="Q934" s="5">
        <f>_xlfn.XLOOKUP(CustomerCombined[[#This Row],[ID]], Table4[ID], Table4[Regular], "Not Found", 0)</f>
        <v>3731</v>
      </c>
      <c r="R934" s="5">
        <f>_xlfn.XLOOKUP(CustomerCombined[[#This Row],[ID]], Table4[ID], Table4[Deals], "Not Found", 0)</f>
        <v>2</v>
      </c>
      <c r="S934" s="5">
        <f>_xlfn.XLOOKUP(CustomerCombined[[#This Row],[ID]], Table4[ID], Table4[Website], "Not Found", 0)</f>
        <v>5</v>
      </c>
      <c r="T934" s="5">
        <f>_xlfn.XLOOKUP(CustomerCombined[[#This Row],[ID]], Table4[ID], Table4[Catalog], "Not Found", 0)</f>
        <v>3</v>
      </c>
      <c r="U934" s="5">
        <f>_xlfn.XLOOKUP(CustomerCombined[[#This Row],[ID]], Table4[ID], Table4[Store], "Not Found", 0)</f>
        <v>6</v>
      </c>
      <c r="V934" s="5">
        <f>_xlfn.XLOOKUP(CustomerCombined[[#This Row],[ID]], Table4[ID], Table4[Visits], "Not Found", 0)</f>
        <v>4</v>
      </c>
      <c r="W934" s="8">
        <f>_xlfn.XLOOKUP(CustomerCombined[[#This Row],[ID]], Table2[ID],Table2[Complaint], "Not Found", 0 )</f>
        <v>0</v>
      </c>
      <c r="X934" s="8">
        <f>_xlfn.XLOOKUP(CustomerCombined[[#This Row],[ID]], Table2[ID],Table2[Pilot], "Not Found", 0 )</f>
        <v>0</v>
      </c>
      <c r="Y934" s="8">
        <f>_xlfn.XLOOKUP(CustomerCombined[[#This Row],[ID]], Table2[ID],Table2[MC1], "Not Found", 0 )</f>
        <v>1</v>
      </c>
      <c r="Z934" s="8">
        <f>_xlfn.XLOOKUP(CustomerCombined[[#This Row],[ID]], Table2[ID],Table2[MC2], "Not Found", 0 )</f>
        <v>0</v>
      </c>
      <c r="AA934" s="8">
        <f>_xlfn.XLOOKUP(CustomerCombined[[#This Row],[ID]], Table2[ID],Table2[MC3], "Not Found", 0 )</f>
        <v>0</v>
      </c>
      <c r="AB934" s="8">
        <f>_xlfn.XLOOKUP(CustomerCombined[[#This Row],[ID]], Table2[ID],Table2[MC4], "Not Found", 0 )</f>
        <v>0</v>
      </c>
      <c r="AC934" s="8">
        <f>_xlfn.XLOOKUP(CustomerCombined[[#This Row],[ID]], Table2[ID],Table2[MC5], "Not Found", 0 )</f>
        <v>0</v>
      </c>
    </row>
    <row r="935" spans="1:29" x14ac:dyDescent="0.3">
      <c r="A935" s="6">
        <v>2397</v>
      </c>
      <c r="B935" s="6">
        <v>165704</v>
      </c>
      <c r="C935" s="6">
        <v>0</v>
      </c>
      <c r="D935" s="6">
        <v>0</v>
      </c>
      <c r="E935" s="6">
        <v>48</v>
      </c>
      <c r="F935" s="5" t="s">
        <v>7</v>
      </c>
      <c r="G935" s="5" t="s">
        <v>442</v>
      </c>
      <c r="H935" s="3" t="s">
        <v>169</v>
      </c>
      <c r="I935" s="5" t="s">
        <v>435</v>
      </c>
      <c r="J935" s="5">
        <f>_xlfn.XLOOKUP(CustomerCombined[[#This Row],[ID]], Table4[ID], Table4[Recency], "Not Found", 0)</f>
        <v>18</v>
      </c>
      <c r="K935" s="5">
        <f>_xlfn.XLOOKUP(CustomerCombined[[#This Row],[ID]], Table4[ID], Table4[Teas], "Not Found", 0)</f>
        <v>704</v>
      </c>
      <c r="L935" s="5">
        <f>_xlfn.XLOOKUP(CustomerCombined[[#This Row],[ID]], Table4[ID], Table4[Fruits], "Not Found", 0)</f>
        <v>434</v>
      </c>
      <c r="M935" s="5">
        <f>_xlfn.XLOOKUP(CustomerCombined[[#This Row],[ID]], Table4[ID], Table4[Meats], "Not Found", 0)</f>
        <v>187</v>
      </c>
      <c r="N935" s="5">
        <f>_xlfn.XLOOKUP(CustomerCombined[[#This Row],[ID]], Table4[ID], Table4[Seafood], "Not Found", 0)</f>
        <v>96</v>
      </c>
      <c r="O935" s="5">
        <f>_xlfn.XLOOKUP(CustomerCombined[[#This Row],[ID]], Table4[ID], Table4[Sweets], "Not Found", 0)</f>
        <v>20</v>
      </c>
      <c r="P935" s="5">
        <f>_xlfn.XLOOKUP(CustomerCombined[[#This Row],[ID]], Table4[ID], Table4[Premium], "Not Found", 0)</f>
        <v>620</v>
      </c>
      <c r="Q935" s="5">
        <f>_xlfn.XLOOKUP(CustomerCombined[[#This Row],[ID]], Table4[ID], Table4[Regular], "Not Found", 0)</f>
        <v>820</v>
      </c>
      <c r="R935" s="5">
        <f>_xlfn.XLOOKUP(CustomerCombined[[#This Row],[ID]], Table4[ID], Table4[Deals], "Not Found", 0)</f>
        <v>1</v>
      </c>
      <c r="S935" s="5">
        <f>_xlfn.XLOOKUP(CustomerCombined[[#This Row],[ID]], Table4[ID], Table4[Website], "Not Found", 0)</f>
        <v>2</v>
      </c>
      <c r="T935" s="5">
        <f>_xlfn.XLOOKUP(CustomerCombined[[#This Row],[ID]], Table4[ID], Table4[Catalog], "Not Found", 0)</f>
        <v>10</v>
      </c>
      <c r="U935" s="5">
        <f>_xlfn.XLOOKUP(CustomerCombined[[#This Row],[ID]], Table4[ID], Table4[Store], "Not Found", 0)</f>
        <v>10</v>
      </c>
      <c r="V935" s="5">
        <f>_xlfn.XLOOKUP(CustomerCombined[[#This Row],[ID]], Table4[ID], Table4[Visits], "Not Found", 0)</f>
        <v>1</v>
      </c>
      <c r="W935" s="8">
        <f>_xlfn.XLOOKUP(CustomerCombined[[#This Row],[ID]], Table2[ID],Table2[Complaint], "Not Found", 0 )</f>
        <v>0</v>
      </c>
      <c r="X935" s="8">
        <f>_xlfn.XLOOKUP(CustomerCombined[[#This Row],[ID]], Table2[ID],Table2[Pilot], "Not Found", 0 )</f>
        <v>0</v>
      </c>
      <c r="Y935" s="8">
        <f>_xlfn.XLOOKUP(CustomerCombined[[#This Row],[ID]], Table2[ID],Table2[MC1], "Not Found", 0 )</f>
        <v>0</v>
      </c>
      <c r="Z935" s="8">
        <f>_xlfn.XLOOKUP(CustomerCombined[[#This Row],[ID]], Table2[ID],Table2[MC2], "Not Found", 0 )</f>
        <v>0</v>
      </c>
      <c r="AA935" s="8">
        <f>_xlfn.XLOOKUP(CustomerCombined[[#This Row],[ID]], Table2[ID],Table2[MC3], "Not Found", 0 )</f>
        <v>0</v>
      </c>
      <c r="AB935" s="8">
        <f>_xlfn.XLOOKUP(CustomerCombined[[#This Row],[ID]], Table2[ID],Table2[MC4], "Not Found", 0 )</f>
        <v>0</v>
      </c>
      <c r="AC935" s="8">
        <f>_xlfn.XLOOKUP(CustomerCombined[[#This Row],[ID]], Table2[ID],Table2[MC5], "Not Found", 0 )</f>
        <v>0</v>
      </c>
    </row>
    <row r="936" spans="1:29" x14ac:dyDescent="0.3">
      <c r="A936" s="6">
        <v>1799</v>
      </c>
      <c r="B936" s="6">
        <v>165685</v>
      </c>
      <c r="C936" s="6">
        <v>0</v>
      </c>
      <c r="D936" s="6">
        <v>1</v>
      </c>
      <c r="E936" s="6">
        <v>48</v>
      </c>
      <c r="F936" s="5" t="s">
        <v>6</v>
      </c>
      <c r="G936" s="5" t="s">
        <v>11</v>
      </c>
      <c r="H936" s="3">
        <v>43870</v>
      </c>
      <c r="I936" s="5" t="s">
        <v>434</v>
      </c>
      <c r="J936" s="5">
        <f>_xlfn.XLOOKUP(CustomerCombined[[#This Row],[ID]], Table4[ID], Table4[Recency], "Not Found", 0)</f>
        <v>54</v>
      </c>
      <c r="K936" s="5">
        <f>_xlfn.XLOOKUP(CustomerCombined[[#This Row],[ID]], Table4[ID], Table4[Teas], "Not Found", 0)</f>
        <v>1619</v>
      </c>
      <c r="L936" s="5">
        <f>_xlfn.XLOOKUP(CustomerCombined[[#This Row],[ID]], Table4[ID], Table4[Fruits], "Not Found", 0)</f>
        <v>35</v>
      </c>
      <c r="M936" s="5">
        <f>_xlfn.XLOOKUP(CustomerCombined[[#This Row],[ID]], Table4[ID], Table4[Meats], "Not Found", 0)</f>
        <v>124</v>
      </c>
      <c r="N936" s="5">
        <f>_xlfn.XLOOKUP(CustomerCombined[[#This Row],[ID]], Table4[ID], Table4[Seafood], "Not Found", 0)</f>
        <v>0</v>
      </c>
      <c r="O936" s="5">
        <f>_xlfn.XLOOKUP(CustomerCombined[[#This Row],[ID]], Table4[ID], Table4[Sweets], "Not Found", 0)</f>
        <v>18</v>
      </c>
      <c r="P936" s="5">
        <f>_xlfn.XLOOKUP(CustomerCombined[[#This Row],[ID]], Table4[ID], Table4[Premium], "Not Found", 0)</f>
        <v>144</v>
      </c>
      <c r="Q936" s="5">
        <f>_xlfn.XLOOKUP(CustomerCombined[[#This Row],[ID]], Table4[ID], Table4[Regular], "Not Found", 0)</f>
        <v>1652</v>
      </c>
      <c r="R936" s="5">
        <f>_xlfn.XLOOKUP(CustomerCombined[[#This Row],[ID]], Table4[ID], Table4[Deals], "Not Found", 0)</f>
        <v>1</v>
      </c>
      <c r="S936" s="5">
        <f>_xlfn.XLOOKUP(CustomerCombined[[#This Row],[ID]], Table4[ID], Table4[Website], "Not Found", 0)</f>
        <v>9</v>
      </c>
      <c r="T936" s="5">
        <f>_xlfn.XLOOKUP(CustomerCombined[[#This Row],[ID]], Table4[ID], Table4[Catalog], "Not Found", 0)</f>
        <v>2</v>
      </c>
      <c r="U936" s="5">
        <f>_xlfn.XLOOKUP(CustomerCombined[[#This Row],[ID]], Table4[ID], Table4[Store], "Not Found", 0)</f>
        <v>9</v>
      </c>
      <c r="V936" s="5">
        <f>_xlfn.XLOOKUP(CustomerCombined[[#This Row],[ID]], Table4[ID], Table4[Visits], "Not Found", 0)</f>
        <v>5</v>
      </c>
      <c r="W936" s="8">
        <f>_xlfn.XLOOKUP(CustomerCombined[[#This Row],[ID]], Table2[ID],Table2[Complaint], "Not Found", 0 )</f>
        <v>0</v>
      </c>
      <c r="X936" s="8">
        <f>_xlfn.XLOOKUP(CustomerCombined[[#This Row],[ID]], Table2[ID],Table2[Pilot], "Not Found", 0 )</f>
        <v>0</v>
      </c>
      <c r="Y936" s="8">
        <f>_xlfn.XLOOKUP(CustomerCombined[[#This Row],[ID]], Table2[ID],Table2[MC1], "Not Found", 0 )</f>
        <v>0</v>
      </c>
      <c r="Z936" s="8">
        <f>_xlfn.XLOOKUP(CustomerCombined[[#This Row],[ID]], Table2[ID],Table2[MC2], "Not Found", 0 )</f>
        <v>0</v>
      </c>
      <c r="AA936" s="8">
        <f>_xlfn.XLOOKUP(CustomerCombined[[#This Row],[ID]], Table2[ID],Table2[MC3], "Not Found", 0 )</f>
        <v>0</v>
      </c>
      <c r="AB936" s="8">
        <f>_xlfn.XLOOKUP(CustomerCombined[[#This Row],[ID]], Table2[ID],Table2[MC4], "Not Found", 0 )</f>
        <v>0</v>
      </c>
      <c r="AC936" s="8">
        <f>_xlfn.XLOOKUP(CustomerCombined[[#This Row],[ID]], Table2[ID],Table2[MC5], "Not Found", 0 )</f>
        <v>0</v>
      </c>
    </row>
    <row r="937" spans="1:29" x14ac:dyDescent="0.3">
      <c r="A937" s="6">
        <v>2377</v>
      </c>
      <c r="B937" s="6">
        <v>165685</v>
      </c>
      <c r="C937" s="6">
        <v>0</v>
      </c>
      <c r="D937" s="6">
        <v>1</v>
      </c>
      <c r="E937" s="6">
        <v>48</v>
      </c>
      <c r="F937" s="5" t="s">
        <v>6</v>
      </c>
      <c r="G937" s="5" t="s">
        <v>11</v>
      </c>
      <c r="H937" s="3">
        <v>43870</v>
      </c>
      <c r="I937" s="5" t="s">
        <v>437</v>
      </c>
      <c r="J937" s="5">
        <f>_xlfn.XLOOKUP(CustomerCombined[[#This Row],[ID]], Table4[ID], Table4[Recency], "Not Found", 0)</f>
        <v>54</v>
      </c>
      <c r="K937" s="5">
        <f>_xlfn.XLOOKUP(CustomerCombined[[#This Row],[ID]], Table4[ID], Table4[Teas], "Not Found", 0)</f>
        <v>1619</v>
      </c>
      <c r="L937" s="5">
        <f>_xlfn.XLOOKUP(CustomerCombined[[#This Row],[ID]], Table4[ID], Table4[Fruits], "Not Found", 0)</f>
        <v>35</v>
      </c>
      <c r="M937" s="5">
        <f>_xlfn.XLOOKUP(CustomerCombined[[#This Row],[ID]], Table4[ID], Table4[Meats], "Not Found", 0)</f>
        <v>124</v>
      </c>
      <c r="N937" s="5">
        <f>_xlfn.XLOOKUP(CustomerCombined[[#This Row],[ID]], Table4[ID], Table4[Seafood], "Not Found", 0)</f>
        <v>0</v>
      </c>
      <c r="O937" s="5">
        <f>_xlfn.XLOOKUP(CustomerCombined[[#This Row],[ID]], Table4[ID], Table4[Sweets], "Not Found", 0)</f>
        <v>18</v>
      </c>
      <c r="P937" s="5">
        <f>_xlfn.XLOOKUP(CustomerCombined[[#This Row],[ID]], Table4[ID], Table4[Premium], "Not Found", 0)</f>
        <v>144</v>
      </c>
      <c r="Q937" s="5">
        <f>_xlfn.XLOOKUP(CustomerCombined[[#This Row],[ID]], Table4[ID], Table4[Regular], "Not Found", 0)</f>
        <v>1652</v>
      </c>
      <c r="R937" s="5">
        <f>_xlfn.XLOOKUP(CustomerCombined[[#This Row],[ID]], Table4[ID], Table4[Deals], "Not Found", 0)</f>
        <v>1</v>
      </c>
      <c r="S937" s="5">
        <f>_xlfn.XLOOKUP(CustomerCombined[[#This Row],[ID]], Table4[ID], Table4[Website], "Not Found", 0)</f>
        <v>9</v>
      </c>
      <c r="T937" s="5">
        <f>_xlfn.XLOOKUP(CustomerCombined[[#This Row],[ID]], Table4[ID], Table4[Catalog], "Not Found", 0)</f>
        <v>2</v>
      </c>
      <c r="U937" s="5">
        <f>_xlfn.XLOOKUP(CustomerCombined[[#This Row],[ID]], Table4[ID], Table4[Store], "Not Found", 0)</f>
        <v>9</v>
      </c>
      <c r="V937" s="5">
        <f>_xlfn.XLOOKUP(CustomerCombined[[#This Row],[ID]], Table4[ID], Table4[Visits], "Not Found", 0)</f>
        <v>5</v>
      </c>
      <c r="W937" s="8">
        <f>_xlfn.XLOOKUP(CustomerCombined[[#This Row],[ID]], Table2[ID],Table2[Complaint], "Not Found", 0 )</f>
        <v>0</v>
      </c>
      <c r="X937" s="8">
        <f>_xlfn.XLOOKUP(CustomerCombined[[#This Row],[ID]], Table2[ID],Table2[Pilot], "Not Found", 0 )</f>
        <v>0</v>
      </c>
      <c r="Y937" s="8">
        <f>_xlfn.XLOOKUP(CustomerCombined[[#This Row],[ID]], Table2[ID],Table2[MC1], "Not Found", 0 )</f>
        <v>0</v>
      </c>
      <c r="Z937" s="8">
        <f>_xlfn.XLOOKUP(CustomerCombined[[#This Row],[ID]], Table2[ID],Table2[MC2], "Not Found", 0 )</f>
        <v>0</v>
      </c>
      <c r="AA937" s="8">
        <f>_xlfn.XLOOKUP(CustomerCombined[[#This Row],[ID]], Table2[ID],Table2[MC3], "Not Found", 0 )</f>
        <v>0</v>
      </c>
      <c r="AB937" s="8">
        <f>_xlfn.XLOOKUP(CustomerCombined[[#This Row],[ID]], Table2[ID],Table2[MC4], "Not Found", 0 )</f>
        <v>0</v>
      </c>
      <c r="AC937" s="8">
        <f>_xlfn.XLOOKUP(CustomerCombined[[#This Row],[ID]], Table2[ID],Table2[MC5], "Not Found", 0 )</f>
        <v>0</v>
      </c>
    </row>
    <row r="938" spans="1:29" x14ac:dyDescent="0.3">
      <c r="A938" s="6">
        <v>2941</v>
      </c>
      <c r="B938" s="6">
        <v>164474</v>
      </c>
      <c r="C938" s="6">
        <v>0</v>
      </c>
      <c r="D938" s="6">
        <v>1</v>
      </c>
      <c r="E938" s="6">
        <v>48</v>
      </c>
      <c r="F938" s="5" t="s">
        <v>8</v>
      </c>
      <c r="G938" s="5" t="s">
        <v>11</v>
      </c>
      <c r="H938" s="3" t="s">
        <v>160</v>
      </c>
      <c r="I938" s="5" t="s">
        <v>437</v>
      </c>
      <c r="J938" s="5">
        <f>_xlfn.XLOOKUP(CustomerCombined[[#This Row],[ID]], Table4[ID], Table4[Recency], "Not Found", 0)</f>
        <v>59</v>
      </c>
      <c r="K938" s="5">
        <f>_xlfn.XLOOKUP(CustomerCombined[[#This Row],[ID]], Table4[ID], Table4[Teas], "Not Found", 0)</f>
        <v>972</v>
      </c>
      <c r="L938" s="5">
        <f>_xlfn.XLOOKUP(CustomerCombined[[#This Row],[ID]], Table4[ID], Table4[Fruits], "Not Found", 0)</f>
        <v>89</v>
      </c>
      <c r="M938" s="5">
        <f>_xlfn.XLOOKUP(CustomerCombined[[#This Row],[ID]], Table4[ID], Table4[Meats], "Not Found", 0)</f>
        <v>439</v>
      </c>
      <c r="N938" s="5">
        <f>_xlfn.XLOOKUP(CustomerCombined[[#This Row],[ID]], Table4[ID], Table4[Seafood], "Not Found", 0)</f>
        <v>143</v>
      </c>
      <c r="O938" s="5">
        <f>_xlfn.XLOOKUP(CustomerCombined[[#This Row],[ID]], Table4[ID], Table4[Sweets], "Not Found", 0)</f>
        <v>219</v>
      </c>
      <c r="P938" s="5">
        <f>_xlfn.XLOOKUP(CustomerCombined[[#This Row],[ID]], Table4[ID], Table4[Premium], "Not Found", 0)</f>
        <v>237</v>
      </c>
      <c r="Q938" s="5">
        <f>_xlfn.XLOOKUP(CustomerCombined[[#This Row],[ID]], Table4[ID], Table4[Regular], "Not Found", 0)</f>
        <v>1625</v>
      </c>
      <c r="R938" s="5">
        <f>_xlfn.XLOOKUP(CustomerCombined[[#This Row],[ID]], Table4[ID], Table4[Deals], "Not Found", 0)</f>
        <v>2</v>
      </c>
      <c r="S938" s="5">
        <f>_xlfn.XLOOKUP(CustomerCombined[[#This Row],[ID]], Table4[ID], Table4[Website], "Not Found", 0)</f>
        <v>8</v>
      </c>
      <c r="T938" s="5">
        <f>_xlfn.XLOOKUP(CustomerCombined[[#This Row],[ID]], Table4[ID], Table4[Catalog], "Not Found", 0)</f>
        <v>2</v>
      </c>
      <c r="U938" s="5">
        <f>_xlfn.XLOOKUP(CustomerCombined[[#This Row],[ID]], Table4[ID], Table4[Store], "Not Found", 0)</f>
        <v>10</v>
      </c>
      <c r="V938" s="5">
        <f>_xlfn.XLOOKUP(CustomerCombined[[#This Row],[ID]], Table4[ID], Table4[Visits], "Not Found", 0)</f>
        <v>5</v>
      </c>
      <c r="W938" s="8">
        <f>_xlfn.XLOOKUP(CustomerCombined[[#This Row],[ID]], Table2[ID],Table2[Complaint], "Not Found", 0 )</f>
        <v>0</v>
      </c>
      <c r="X938" s="8">
        <f>_xlfn.XLOOKUP(CustomerCombined[[#This Row],[ID]], Table2[ID],Table2[Pilot], "Not Found", 0 )</f>
        <v>0</v>
      </c>
      <c r="Y938" s="8">
        <f>_xlfn.XLOOKUP(CustomerCombined[[#This Row],[ID]], Table2[ID],Table2[MC1], "Not Found", 0 )</f>
        <v>0</v>
      </c>
      <c r="Z938" s="8">
        <f>_xlfn.XLOOKUP(CustomerCombined[[#This Row],[ID]], Table2[ID],Table2[MC2], "Not Found", 0 )</f>
        <v>0</v>
      </c>
      <c r="AA938" s="8">
        <f>_xlfn.XLOOKUP(CustomerCombined[[#This Row],[ID]], Table2[ID],Table2[MC3], "Not Found", 0 )</f>
        <v>0</v>
      </c>
      <c r="AB938" s="8">
        <f>_xlfn.XLOOKUP(CustomerCombined[[#This Row],[ID]], Table2[ID],Table2[MC4], "Not Found", 0 )</f>
        <v>0</v>
      </c>
      <c r="AC938" s="8">
        <f>_xlfn.XLOOKUP(CustomerCombined[[#This Row],[ID]], Table2[ID],Table2[MC5], "Not Found", 0 )</f>
        <v>0</v>
      </c>
    </row>
    <row r="939" spans="1:29" x14ac:dyDescent="0.3">
      <c r="A939" s="6">
        <v>2146</v>
      </c>
      <c r="B939" s="6">
        <v>162710</v>
      </c>
      <c r="C939" s="6">
        <v>0</v>
      </c>
      <c r="D939" s="6">
        <v>1</v>
      </c>
      <c r="E939" s="6">
        <v>48</v>
      </c>
      <c r="F939" s="5" t="s">
        <v>6</v>
      </c>
      <c r="G939" s="5" t="s">
        <v>11</v>
      </c>
      <c r="H939" s="3" t="s">
        <v>248</v>
      </c>
      <c r="I939" s="5" t="s">
        <v>439</v>
      </c>
      <c r="J939" s="5">
        <f>_xlfn.XLOOKUP(CustomerCombined[[#This Row],[ID]], Table4[ID], Table4[Recency], "Not Found", 0)</f>
        <v>53</v>
      </c>
      <c r="K939" s="5">
        <f>_xlfn.XLOOKUP(CustomerCombined[[#This Row],[ID]], Table4[ID], Table4[Teas], "Not Found", 0)</f>
        <v>1144</v>
      </c>
      <c r="L939" s="5">
        <f>_xlfn.XLOOKUP(CustomerCombined[[#This Row],[ID]], Table4[ID], Table4[Fruits], "Not Found", 0)</f>
        <v>91</v>
      </c>
      <c r="M939" s="5">
        <f>_xlfn.XLOOKUP(CustomerCombined[[#This Row],[ID]], Table4[ID], Table4[Meats], "Not Found", 0)</f>
        <v>215</v>
      </c>
      <c r="N939" s="5">
        <f>_xlfn.XLOOKUP(CustomerCombined[[#This Row],[ID]], Table4[ID], Table4[Seafood], "Not Found", 0)</f>
        <v>18</v>
      </c>
      <c r="O939" s="5">
        <f>_xlfn.XLOOKUP(CustomerCombined[[#This Row],[ID]], Table4[ID], Table4[Sweets], "Not Found", 0)</f>
        <v>75</v>
      </c>
      <c r="P939" s="5">
        <f>_xlfn.XLOOKUP(CustomerCombined[[#This Row],[ID]], Table4[ID], Table4[Premium], "Not Found", 0)</f>
        <v>29</v>
      </c>
      <c r="Q939" s="5">
        <f>_xlfn.XLOOKUP(CustomerCombined[[#This Row],[ID]], Table4[ID], Table4[Regular], "Not Found", 0)</f>
        <v>1515</v>
      </c>
      <c r="R939" s="5">
        <f>_xlfn.XLOOKUP(CustomerCombined[[#This Row],[ID]], Table4[ID], Table4[Deals], "Not Found", 0)</f>
        <v>4</v>
      </c>
      <c r="S939" s="5">
        <f>_xlfn.XLOOKUP(CustomerCombined[[#This Row],[ID]], Table4[ID], Table4[Website], "Not Found", 0)</f>
        <v>4</v>
      </c>
      <c r="T939" s="5">
        <f>_xlfn.XLOOKUP(CustomerCombined[[#This Row],[ID]], Table4[ID], Table4[Catalog], "Not Found", 0)</f>
        <v>2</v>
      </c>
      <c r="U939" s="5">
        <f>_xlfn.XLOOKUP(CustomerCombined[[#This Row],[ID]], Table4[ID], Table4[Store], "Not Found", 0)</f>
        <v>12</v>
      </c>
      <c r="V939" s="5">
        <f>_xlfn.XLOOKUP(CustomerCombined[[#This Row],[ID]], Table4[ID], Table4[Visits], "Not Found", 0)</f>
        <v>4</v>
      </c>
      <c r="W939" s="8">
        <f>_xlfn.XLOOKUP(CustomerCombined[[#This Row],[ID]], Table2[ID],Table2[Complaint], "Not Found", 0 )</f>
        <v>0</v>
      </c>
      <c r="X939" s="8">
        <f>_xlfn.XLOOKUP(CustomerCombined[[#This Row],[ID]], Table2[ID],Table2[Pilot], "Not Found", 0 )</f>
        <v>0</v>
      </c>
      <c r="Y939" s="8">
        <f>_xlfn.XLOOKUP(CustomerCombined[[#This Row],[ID]], Table2[ID],Table2[MC1], "Not Found", 0 )</f>
        <v>0</v>
      </c>
      <c r="Z939" s="8">
        <f>_xlfn.XLOOKUP(CustomerCombined[[#This Row],[ID]], Table2[ID],Table2[MC2], "Not Found", 0 )</f>
        <v>0</v>
      </c>
      <c r="AA939" s="8">
        <f>_xlfn.XLOOKUP(CustomerCombined[[#This Row],[ID]], Table2[ID],Table2[MC3], "Not Found", 0 )</f>
        <v>0</v>
      </c>
      <c r="AB939" s="8">
        <f>_xlfn.XLOOKUP(CustomerCombined[[#This Row],[ID]], Table2[ID],Table2[MC4], "Not Found", 0 )</f>
        <v>0</v>
      </c>
      <c r="AC939" s="8">
        <f>_xlfn.XLOOKUP(CustomerCombined[[#This Row],[ID]], Table2[ID],Table2[MC5], "Not Found", 0 )</f>
        <v>0</v>
      </c>
    </row>
    <row r="940" spans="1:29" x14ac:dyDescent="0.3">
      <c r="A940" s="6">
        <v>1737</v>
      </c>
      <c r="B940" s="6">
        <v>162220</v>
      </c>
      <c r="C940" s="6">
        <v>0</v>
      </c>
      <c r="D940" s="6">
        <v>1</v>
      </c>
      <c r="E940" s="6">
        <v>48</v>
      </c>
      <c r="F940" s="5" t="s">
        <v>8</v>
      </c>
      <c r="G940" s="5" t="s">
        <v>13</v>
      </c>
      <c r="H940" s="3" t="s">
        <v>417</v>
      </c>
      <c r="I940" s="5" t="s">
        <v>435</v>
      </c>
      <c r="J940" s="5">
        <f>_xlfn.XLOOKUP(CustomerCombined[[#This Row],[ID]], Table4[ID], Table4[Recency], "Not Found", 0)</f>
        <v>55</v>
      </c>
      <c r="K940" s="5">
        <f>_xlfn.XLOOKUP(CustomerCombined[[#This Row],[ID]], Table4[ID], Table4[Teas], "Not Found", 0)</f>
        <v>2083</v>
      </c>
      <c r="L940" s="5">
        <f>_xlfn.XLOOKUP(CustomerCombined[[#This Row],[ID]], Table4[ID], Table4[Fruits], "Not Found", 0)</f>
        <v>31</v>
      </c>
      <c r="M940" s="5">
        <f>_xlfn.XLOOKUP(CustomerCombined[[#This Row],[ID]], Table4[ID], Table4[Meats], "Not Found", 0)</f>
        <v>978</v>
      </c>
      <c r="N940" s="5">
        <f>_xlfn.XLOOKUP(CustomerCombined[[#This Row],[ID]], Table4[ID], Table4[Seafood], "Not Found", 0)</f>
        <v>42</v>
      </c>
      <c r="O940" s="5">
        <f>_xlfn.XLOOKUP(CustomerCombined[[#This Row],[ID]], Table4[ID], Table4[Sweets], "Not Found", 0)</f>
        <v>31</v>
      </c>
      <c r="P940" s="5">
        <f>_xlfn.XLOOKUP(CustomerCombined[[#This Row],[ID]], Table4[ID], Table4[Premium], "Not Found", 0)</f>
        <v>31</v>
      </c>
      <c r="Q940" s="5">
        <f>_xlfn.XLOOKUP(CustomerCombined[[#This Row],[ID]], Table4[ID], Table4[Regular], "Not Found", 0)</f>
        <v>3134</v>
      </c>
      <c r="R940" s="5">
        <f>_xlfn.XLOOKUP(CustomerCombined[[#This Row],[ID]], Table4[ID], Table4[Deals], "Not Found", 0)</f>
        <v>5</v>
      </c>
      <c r="S940" s="5">
        <f>_xlfn.XLOOKUP(CustomerCombined[[#This Row],[ID]], Table4[ID], Table4[Website], "Not Found", 0)</f>
        <v>7</v>
      </c>
      <c r="T940" s="5">
        <f>_xlfn.XLOOKUP(CustomerCombined[[#This Row],[ID]], Table4[ID], Table4[Catalog], "Not Found", 0)</f>
        <v>6</v>
      </c>
      <c r="U940" s="5">
        <f>_xlfn.XLOOKUP(CustomerCombined[[#This Row],[ID]], Table4[ID], Table4[Store], "Not Found", 0)</f>
        <v>5</v>
      </c>
      <c r="V940" s="5">
        <f>_xlfn.XLOOKUP(CustomerCombined[[#This Row],[ID]], Table4[ID], Table4[Visits], "Not Found", 0)</f>
        <v>6</v>
      </c>
      <c r="W940" s="8">
        <f>_xlfn.XLOOKUP(CustomerCombined[[#This Row],[ID]], Table2[ID],Table2[Complaint], "Not Found", 0 )</f>
        <v>0</v>
      </c>
      <c r="X940" s="8">
        <f>_xlfn.XLOOKUP(CustomerCombined[[#This Row],[ID]], Table2[ID],Table2[Pilot], "Not Found", 0 )</f>
        <v>1</v>
      </c>
      <c r="Y940" s="8">
        <f>_xlfn.XLOOKUP(CustomerCombined[[#This Row],[ID]], Table2[ID],Table2[MC1], "Not Found", 0 )</f>
        <v>0</v>
      </c>
      <c r="Z940" s="8">
        <f>_xlfn.XLOOKUP(CustomerCombined[[#This Row],[ID]], Table2[ID],Table2[MC2], "Not Found", 0 )</f>
        <v>0</v>
      </c>
      <c r="AA940" s="8">
        <f>_xlfn.XLOOKUP(CustomerCombined[[#This Row],[ID]], Table2[ID],Table2[MC3], "Not Found", 0 )</f>
        <v>0</v>
      </c>
      <c r="AB940" s="8">
        <f>_xlfn.XLOOKUP(CustomerCombined[[#This Row],[ID]], Table2[ID],Table2[MC4], "Not Found", 0 )</f>
        <v>0</v>
      </c>
      <c r="AC940" s="8">
        <f>_xlfn.XLOOKUP(CustomerCombined[[#This Row],[ID]], Table2[ID],Table2[MC5], "Not Found", 0 )</f>
        <v>0</v>
      </c>
    </row>
    <row r="941" spans="1:29" x14ac:dyDescent="0.3">
      <c r="A941" s="6">
        <v>1462</v>
      </c>
      <c r="B941" s="6">
        <v>162010</v>
      </c>
      <c r="C941" s="6">
        <v>0</v>
      </c>
      <c r="D941" s="6">
        <v>1</v>
      </c>
      <c r="E941" s="6">
        <v>48</v>
      </c>
      <c r="F941" s="5" t="s">
        <v>6</v>
      </c>
      <c r="G941" s="5" t="s">
        <v>13</v>
      </c>
      <c r="H941" s="3" t="s">
        <v>371</v>
      </c>
      <c r="I941" s="5" t="s">
        <v>439</v>
      </c>
      <c r="J941" s="5">
        <f>_xlfn.XLOOKUP(CustomerCombined[[#This Row],[ID]], Table4[ID], Table4[Recency], "Not Found", 0)</f>
        <v>93</v>
      </c>
      <c r="K941" s="5">
        <f>_xlfn.XLOOKUP(CustomerCombined[[#This Row],[ID]], Table4[ID], Table4[Teas], "Not Found", 0)</f>
        <v>969</v>
      </c>
      <c r="L941" s="5">
        <f>_xlfn.XLOOKUP(CustomerCombined[[#This Row],[ID]], Table4[ID], Table4[Fruits], "Not Found", 0)</f>
        <v>57</v>
      </c>
      <c r="M941" s="5">
        <f>_xlfn.XLOOKUP(CustomerCombined[[#This Row],[ID]], Table4[ID], Table4[Meats], "Not Found", 0)</f>
        <v>102</v>
      </c>
      <c r="N941" s="5">
        <f>_xlfn.XLOOKUP(CustomerCombined[[#This Row],[ID]], Table4[ID], Table4[Seafood], "Not Found", 0)</f>
        <v>16</v>
      </c>
      <c r="O941" s="5">
        <f>_xlfn.XLOOKUP(CustomerCombined[[#This Row],[ID]], Table4[ID], Table4[Sweets], "Not Found", 0)</f>
        <v>0</v>
      </c>
      <c r="P941" s="5">
        <f>_xlfn.XLOOKUP(CustomerCombined[[#This Row],[ID]], Table4[ID], Table4[Premium], "Not Found", 0)</f>
        <v>240</v>
      </c>
      <c r="Q941" s="5">
        <f>_xlfn.XLOOKUP(CustomerCombined[[#This Row],[ID]], Table4[ID], Table4[Regular], "Not Found", 0)</f>
        <v>904</v>
      </c>
      <c r="R941" s="5">
        <f>_xlfn.XLOOKUP(CustomerCombined[[#This Row],[ID]], Table4[ID], Table4[Deals], "Not Found", 0)</f>
        <v>4</v>
      </c>
      <c r="S941" s="5">
        <f>_xlfn.XLOOKUP(CustomerCombined[[#This Row],[ID]], Table4[ID], Table4[Website], "Not Found", 0)</f>
        <v>6</v>
      </c>
      <c r="T941" s="5">
        <f>_xlfn.XLOOKUP(CustomerCombined[[#This Row],[ID]], Table4[ID], Table4[Catalog], "Not Found", 0)</f>
        <v>2</v>
      </c>
      <c r="U941" s="5">
        <f>_xlfn.XLOOKUP(CustomerCombined[[#This Row],[ID]], Table4[ID], Table4[Store], "Not Found", 0)</f>
        <v>7</v>
      </c>
      <c r="V941" s="5">
        <f>_xlfn.XLOOKUP(CustomerCombined[[#This Row],[ID]], Table4[ID], Table4[Visits], "Not Found", 0)</f>
        <v>5</v>
      </c>
      <c r="W941" s="8">
        <f>_xlfn.XLOOKUP(CustomerCombined[[#This Row],[ID]], Table2[ID],Table2[Complaint], "Not Found", 0 )</f>
        <v>0</v>
      </c>
      <c r="X941" s="8">
        <f>_xlfn.XLOOKUP(CustomerCombined[[#This Row],[ID]], Table2[ID],Table2[Pilot], "Not Found", 0 )</f>
        <v>0</v>
      </c>
      <c r="Y941" s="8">
        <f>_xlfn.XLOOKUP(CustomerCombined[[#This Row],[ID]], Table2[ID],Table2[MC1], "Not Found", 0 )</f>
        <v>0</v>
      </c>
      <c r="Z941" s="8">
        <f>_xlfn.XLOOKUP(CustomerCombined[[#This Row],[ID]], Table2[ID],Table2[MC2], "Not Found", 0 )</f>
        <v>0</v>
      </c>
      <c r="AA941" s="8">
        <f>_xlfn.XLOOKUP(CustomerCombined[[#This Row],[ID]], Table2[ID],Table2[MC3], "Not Found", 0 )</f>
        <v>0</v>
      </c>
      <c r="AB941" s="8">
        <f>_xlfn.XLOOKUP(CustomerCombined[[#This Row],[ID]], Table2[ID],Table2[MC4], "Not Found", 0 )</f>
        <v>0</v>
      </c>
      <c r="AC941" s="8">
        <f>_xlfn.XLOOKUP(CustomerCombined[[#This Row],[ID]], Table2[ID],Table2[MC5], "Not Found", 0 )</f>
        <v>0</v>
      </c>
    </row>
    <row r="942" spans="1:29" x14ac:dyDescent="0.3">
      <c r="A942" s="6">
        <v>1578</v>
      </c>
      <c r="B942" s="6">
        <v>159973</v>
      </c>
      <c r="C942" s="6">
        <v>0</v>
      </c>
      <c r="D942" s="6">
        <v>0</v>
      </c>
      <c r="E942" s="6">
        <v>48</v>
      </c>
      <c r="F942" s="5" t="s">
        <v>6</v>
      </c>
      <c r="G942" s="5" t="s">
        <v>13</v>
      </c>
      <c r="H942" s="3" t="s">
        <v>188</v>
      </c>
      <c r="I942" s="5" t="s">
        <v>436</v>
      </c>
      <c r="J942" s="5">
        <f>_xlfn.XLOOKUP(CustomerCombined[[#This Row],[ID]], Table4[ID], Table4[Recency], "Not Found", 0)</f>
        <v>47</v>
      </c>
      <c r="K942" s="5">
        <f>_xlfn.XLOOKUP(CustomerCombined[[#This Row],[ID]], Table4[ID], Table4[Teas], "Not Found", 0)</f>
        <v>347</v>
      </c>
      <c r="L942" s="5">
        <f>_xlfn.XLOOKUP(CustomerCombined[[#This Row],[ID]], Table4[ID], Table4[Fruits], "Not Found", 0)</f>
        <v>80</v>
      </c>
      <c r="M942" s="5">
        <f>_xlfn.XLOOKUP(CustomerCombined[[#This Row],[ID]], Table4[ID], Table4[Meats], "Not Found", 0)</f>
        <v>448</v>
      </c>
      <c r="N942" s="5">
        <f>_xlfn.XLOOKUP(CustomerCombined[[#This Row],[ID]], Table4[ID], Table4[Seafood], "Not Found", 0)</f>
        <v>53</v>
      </c>
      <c r="O942" s="5">
        <f>_xlfn.XLOOKUP(CustomerCombined[[#This Row],[ID]], Table4[ID], Table4[Sweets], "Not Found", 0)</f>
        <v>91</v>
      </c>
      <c r="P942" s="5">
        <f>_xlfn.XLOOKUP(CustomerCombined[[#This Row],[ID]], Table4[ID], Table4[Premium], "Not Found", 0)</f>
        <v>0</v>
      </c>
      <c r="Q942" s="5">
        <f>_xlfn.XLOOKUP(CustomerCombined[[#This Row],[ID]], Table4[ID], Table4[Regular], "Not Found", 0)</f>
        <v>1019</v>
      </c>
      <c r="R942" s="5">
        <f>_xlfn.XLOOKUP(CustomerCombined[[#This Row],[ID]], Table4[ID], Table4[Deals], "Not Found", 0)</f>
        <v>1</v>
      </c>
      <c r="S942" s="5">
        <f>_xlfn.XLOOKUP(CustomerCombined[[#This Row],[ID]], Table4[ID], Table4[Website], "Not Found", 0)</f>
        <v>3</v>
      </c>
      <c r="T942" s="5">
        <f>_xlfn.XLOOKUP(CustomerCombined[[#This Row],[ID]], Table4[ID], Table4[Catalog], "Not Found", 0)</f>
        <v>4</v>
      </c>
      <c r="U942" s="5">
        <f>_xlfn.XLOOKUP(CustomerCombined[[#This Row],[ID]], Table4[ID], Table4[Store], "Not Found", 0)</f>
        <v>7</v>
      </c>
      <c r="V942" s="5">
        <f>_xlfn.XLOOKUP(CustomerCombined[[#This Row],[ID]], Table4[ID], Table4[Visits], "Not Found", 0)</f>
        <v>1</v>
      </c>
      <c r="W942" s="8">
        <f>_xlfn.XLOOKUP(CustomerCombined[[#This Row],[ID]], Table2[ID],Table2[Complaint], "Not Found", 0 )</f>
        <v>0</v>
      </c>
      <c r="X942" s="8">
        <f>_xlfn.XLOOKUP(CustomerCombined[[#This Row],[ID]], Table2[ID],Table2[Pilot], "Not Found", 0 )</f>
        <v>0</v>
      </c>
      <c r="Y942" s="8">
        <f>_xlfn.XLOOKUP(CustomerCombined[[#This Row],[ID]], Table2[ID],Table2[MC1], "Not Found", 0 )</f>
        <v>0</v>
      </c>
      <c r="Z942" s="8">
        <f>_xlfn.XLOOKUP(CustomerCombined[[#This Row],[ID]], Table2[ID],Table2[MC2], "Not Found", 0 )</f>
        <v>0</v>
      </c>
      <c r="AA942" s="8">
        <f>_xlfn.XLOOKUP(CustomerCombined[[#This Row],[ID]], Table2[ID],Table2[MC3], "Not Found", 0 )</f>
        <v>0</v>
      </c>
      <c r="AB942" s="8">
        <f>_xlfn.XLOOKUP(CustomerCombined[[#This Row],[ID]], Table2[ID],Table2[MC4], "Not Found", 0 )</f>
        <v>0</v>
      </c>
      <c r="AC942" s="8">
        <f>_xlfn.XLOOKUP(CustomerCombined[[#This Row],[ID]], Table2[ID],Table2[MC5], "Not Found", 0 )</f>
        <v>0</v>
      </c>
    </row>
    <row r="943" spans="1:29" x14ac:dyDescent="0.3">
      <c r="A943" s="6">
        <v>2289</v>
      </c>
      <c r="B943" s="6">
        <v>159868</v>
      </c>
      <c r="C943" s="6">
        <v>0</v>
      </c>
      <c r="D943" s="6">
        <v>1</v>
      </c>
      <c r="E943" s="6">
        <v>48</v>
      </c>
      <c r="F943" s="5" t="s">
        <v>8</v>
      </c>
      <c r="G943" s="5" t="s">
        <v>11</v>
      </c>
      <c r="H943" s="3" t="s">
        <v>214</v>
      </c>
      <c r="I943" s="5" t="s">
        <v>435</v>
      </c>
      <c r="J943" s="5">
        <f>_xlfn.XLOOKUP(CustomerCombined[[#This Row],[ID]], Table4[ID], Table4[Recency], "Not Found", 0)</f>
        <v>37</v>
      </c>
      <c r="K943" s="5">
        <f>_xlfn.XLOOKUP(CustomerCombined[[#This Row],[ID]], Table4[ID], Table4[Teas], "Not Found", 0)</f>
        <v>2059</v>
      </c>
      <c r="L943" s="5">
        <f>_xlfn.XLOOKUP(CustomerCombined[[#This Row],[ID]], Table4[ID], Table4[Fruits], "Not Found", 0)</f>
        <v>136</v>
      </c>
      <c r="M943" s="5">
        <f>_xlfn.XLOOKUP(CustomerCombined[[#This Row],[ID]], Table4[ID], Table4[Meats], "Not Found", 0)</f>
        <v>411</v>
      </c>
      <c r="N943" s="5">
        <f>_xlfn.XLOOKUP(CustomerCombined[[#This Row],[ID]], Table4[ID], Table4[Seafood], "Not Found", 0)</f>
        <v>144</v>
      </c>
      <c r="O943" s="5">
        <f>_xlfn.XLOOKUP(CustomerCombined[[#This Row],[ID]], Table4[ID], Table4[Sweets], "Not Found", 0)</f>
        <v>27</v>
      </c>
      <c r="P943" s="5">
        <f>_xlfn.XLOOKUP(CustomerCombined[[#This Row],[ID]], Table4[ID], Table4[Premium], "Not Found", 0)</f>
        <v>411</v>
      </c>
      <c r="Q943" s="5">
        <f>_xlfn.XLOOKUP(CustomerCombined[[#This Row],[ID]], Table4[ID], Table4[Regular], "Not Found", 0)</f>
        <v>2366</v>
      </c>
      <c r="R943" s="5">
        <f>_xlfn.XLOOKUP(CustomerCombined[[#This Row],[ID]], Table4[ID], Table4[Deals], "Not Found", 0)</f>
        <v>7</v>
      </c>
      <c r="S943" s="5">
        <f>_xlfn.XLOOKUP(CustomerCombined[[#This Row],[ID]], Table4[ID], Table4[Website], "Not Found", 0)</f>
        <v>11</v>
      </c>
      <c r="T943" s="5">
        <f>_xlfn.XLOOKUP(CustomerCombined[[#This Row],[ID]], Table4[ID], Table4[Catalog], "Not Found", 0)</f>
        <v>2</v>
      </c>
      <c r="U943" s="5">
        <f>_xlfn.XLOOKUP(CustomerCombined[[#This Row],[ID]], Table4[ID], Table4[Store], "Not Found", 0)</f>
        <v>12</v>
      </c>
      <c r="V943" s="5">
        <f>_xlfn.XLOOKUP(CustomerCombined[[#This Row],[ID]], Table4[ID], Table4[Visits], "Not Found", 0)</f>
        <v>6</v>
      </c>
      <c r="W943" s="8">
        <f>_xlfn.XLOOKUP(CustomerCombined[[#This Row],[ID]], Table2[ID],Table2[Complaint], "Not Found", 0 )</f>
        <v>0</v>
      </c>
      <c r="X943" s="8">
        <f>_xlfn.XLOOKUP(CustomerCombined[[#This Row],[ID]], Table2[ID],Table2[Pilot], "Not Found", 0 )</f>
        <v>0</v>
      </c>
      <c r="Y943" s="8">
        <f>_xlfn.XLOOKUP(CustomerCombined[[#This Row],[ID]], Table2[ID],Table2[MC1], "Not Found", 0 )</f>
        <v>0</v>
      </c>
      <c r="Z943" s="8">
        <f>_xlfn.XLOOKUP(CustomerCombined[[#This Row],[ID]], Table2[ID],Table2[MC2], "Not Found", 0 )</f>
        <v>0</v>
      </c>
      <c r="AA943" s="8">
        <f>_xlfn.XLOOKUP(CustomerCombined[[#This Row],[ID]], Table2[ID],Table2[MC3], "Not Found", 0 )</f>
        <v>0</v>
      </c>
      <c r="AB943" s="8">
        <f>_xlfn.XLOOKUP(CustomerCombined[[#This Row],[ID]], Table2[ID],Table2[MC4], "Not Found", 0 )</f>
        <v>0</v>
      </c>
      <c r="AC943" s="8">
        <f>_xlfn.XLOOKUP(CustomerCombined[[#This Row],[ID]], Table2[ID],Table2[MC5], "Not Found", 0 )</f>
        <v>0</v>
      </c>
    </row>
    <row r="944" spans="1:29" x14ac:dyDescent="0.3">
      <c r="A944" s="6">
        <v>1789</v>
      </c>
      <c r="B944" s="6">
        <v>159666</v>
      </c>
      <c r="C944" s="6">
        <v>1</v>
      </c>
      <c r="D944" s="6">
        <v>1</v>
      </c>
      <c r="E944" s="6">
        <v>48</v>
      </c>
      <c r="F944" s="5" t="s">
        <v>6</v>
      </c>
      <c r="G944" s="5" t="s">
        <v>11</v>
      </c>
      <c r="H944" s="3" t="s">
        <v>286</v>
      </c>
      <c r="I944" s="5" t="s">
        <v>437</v>
      </c>
      <c r="J944" s="5">
        <f>_xlfn.XLOOKUP(CustomerCombined[[#This Row],[ID]], Table4[ID], Table4[Recency], "Not Found", 0)</f>
        <v>87</v>
      </c>
      <c r="K944" s="5">
        <f>_xlfn.XLOOKUP(CustomerCombined[[#This Row],[ID]], Table4[ID], Table4[Teas], "Not Found", 0)</f>
        <v>1667</v>
      </c>
      <c r="L944" s="5">
        <f>_xlfn.XLOOKUP(CustomerCombined[[#This Row],[ID]], Table4[ID], Table4[Fruits], "Not Found", 0)</f>
        <v>142</v>
      </c>
      <c r="M944" s="5">
        <f>_xlfn.XLOOKUP(CustomerCombined[[#This Row],[ID]], Table4[ID], Table4[Meats], "Not Found", 0)</f>
        <v>476</v>
      </c>
      <c r="N944" s="5">
        <f>_xlfn.XLOOKUP(CustomerCombined[[#This Row],[ID]], Table4[ID], Table4[Seafood], "Not Found", 0)</f>
        <v>62</v>
      </c>
      <c r="O944" s="5">
        <f>_xlfn.XLOOKUP(CustomerCombined[[#This Row],[ID]], Table4[ID], Table4[Sweets], "Not Found", 0)</f>
        <v>45</v>
      </c>
      <c r="P944" s="5">
        <f>_xlfn.XLOOKUP(CustomerCombined[[#This Row],[ID]], Table4[ID], Table4[Premium], "Not Found", 0)</f>
        <v>356</v>
      </c>
      <c r="Q944" s="5">
        <f>_xlfn.XLOOKUP(CustomerCombined[[#This Row],[ID]], Table4[ID], Table4[Regular], "Not Found", 0)</f>
        <v>2036</v>
      </c>
      <c r="R944" s="5">
        <f>_xlfn.XLOOKUP(CustomerCombined[[#This Row],[ID]], Table4[ID], Table4[Deals], "Not Found", 0)</f>
        <v>7</v>
      </c>
      <c r="S944" s="5">
        <f>_xlfn.XLOOKUP(CustomerCombined[[#This Row],[ID]], Table4[ID], Table4[Website], "Not Found", 0)</f>
        <v>3</v>
      </c>
      <c r="T944" s="5">
        <f>_xlfn.XLOOKUP(CustomerCombined[[#This Row],[ID]], Table4[ID], Table4[Catalog], "Not Found", 0)</f>
        <v>2</v>
      </c>
      <c r="U944" s="5">
        <f>_xlfn.XLOOKUP(CustomerCombined[[#This Row],[ID]], Table4[ID], Table4[Store], "Not Found", 0)</f>
        <v>8</v>
      </c>
      <c r="V944" s="5">
        <f>_xlfn.XLOOKUP(CustomerCombined[[#This Row],[ID]], Table4[ID], Table4[Visits], "Not Found", 0)</f>
        <v>8</v>
      </c>
      <c r="W944" s="8">
        <f>_xlfn.XLOOKUP(CustomerCombined[[#This Row],[ID]], Table2[ID],Table2[Complaint], "Not Found", 0 )</f>
        <v>0</v>
      </c>
      <c r="X944" s="8">
        <f>_xlfn.XLOOKUP(CustomerCombined[[#This Row],[ID]], Table2[ID],Table2[Pilot], "Not Found", 0 )</f>
        <v>0</v>
      </c>
      <c r="Y944" s="8">
        <f>_xlfn.XLOOKUP(CustomerCombined[[#This Row],[ID]], Table2[ID],Table2[MC1], "Not Found", 0 )</f>
        <v>0</v>
      </c>
      <c r="Z944" s="8">
        <f>_xlfn.XLOOKUP(CustomerCombined[[#This Row],[ID]], Table2[ID],Table2[MC2], "Not Found", 0 )</f>
        <v>0</v>
      </c>
      <c r="AA944" s="8">
        <f>_xlfn.XLOOKUP(CustomerCombined[[#This Row],[ID]], Table2[ID],Table2[MC3], "Not Found", 0 )</f>
        <v>0</v>
      </c>
      <c r="AB944" s="8">
        <f>_xlfn.XLOOKUP(CustomerCombined[[#This Row],[ID]], Table2[ID],Table2[MC4], "Not Found", 0 )</f>
        <v>1</v>
      </c>
      <c r="AC944" s="8">
        <f>_xlfn.XLOOKUP(CustomerCombined[[#This Row],[ID]], Table2[ID],Table2[MC5], "Not Found", 0 )</f>
        <v>0</v>
      </c>
    </row>
    <row r="945" spans="1:29" x14ac:dyDescent="0.3">
      <c r="A945" s="6">
        <v>3211</v>
      </c>
      <c r="B945" s="6">
        <v>159535</v>
      </c>
      <c r="C945" s="6">
        <v>2</v>
      </c>
      <c r="D945" s="6">
        <v>0</v>
      </c>
      <c r="E945" s="6">
        <v>48</v>
      </c>
      <c r="F945" s="5" t="s">
        <v>6</v>
      </c>
      <c r="G945" s="5" t="s">
        <v>11</v>
      </c>
      <c r="H945" s="3" t="s">
        <v>47</v>
      </c>
      <c r="I945" s="5" t="s">
        <v>437</v>
      </c>
      <c r="J945" s="5">
        <f>_xlfn.XLOOKUP(CustomerCombined[[#This Row],[ID]], Table4[ID], Table4[Recency], "Not Found", 0)</f>
        <v>9</v>
      </c>
      <c r="K945" s="5">
        <f>_xlfn.XLOOKUP(CustomerCombined[[#This Row],[ID]], Table4[ID], Table4[Teas], "Not Found", 0)</f>
        <v>8</v>
      </c>
      <c r="L945" s="5">
        <f>_xlfn.XLOOKUP(CustomerCombined[[#This Row],[ID]], Table4[ID], Table4[Fruits], "Not Found", 0)</f>
        <v>-5</v>
      </c>
      <c r="M945" s="5">
        <f>_xlfn.XLOOKUP(CustomerCombined[[#This Row],[ID]], Table4[ID], Table4[Meats], "Not Found", 0)</f>
        <v>21</v>
      </c>
      <c r="N945" s="5">
        <f>_xlfn.XLOOKUP(CustomerCombined[[#This Row],[ID]], Table4[ID], Table4[Seafood], "Not Found", 0)</f>
        <v>54</v>
      </c>
      <c r="O945" s="5">
        <f>_xlfn.XLOOKUP(CustomerCombined[[#This Row],[ID]], Table4[ID], Table4[Sweets], "Not Found", 0)</f>
        <v>0</v>
      </c>
      <c r="P945" s="5">
        <f>_xlfn.XLOOKUP(CustomerCombined[[#This Row],[ID]], Table4[ID], Table4[Premium], "Not Found", 0)</f>
        <v>46</v>
      </c>
      <c r="Q945" s="5">
        <f>_xlfn.XLOOKUP(CustomerCombined[[#This Row],[ID]], Table4[ID], Table4[Regular], "Not Found", 0)</f>
        <v>43</v>
      </c>
      <c r="R945" s="5">
        <f>_xlfn.XLOOKUP(CustomerCombined[[#This Row],[ID]], Table4[ID], Table4[Deals], "Not Found", 0)</f>
        <v>2</v>
      </c>
      <c r="S945" s="5">
        <f>_xlfn.XLOOKUP(CustomerCombined[[#This Row],[ID]], Table4[ID], Table4[Website], "Not Found", 0)</f>
        <v>2</v>
      </c>
      <c r="T945" s="5">
        <f>_xlfn.XLOOKUP(CustomerCombined[[#This Row],[ID]], Table4[ID], Table4[Catalog], "Not Found", 0)</f>
        <v>1</v>
      </c>
      <c r="U945" s="5">
        <f>_xlfn.XLOOKUP(CustomerCombined[[#This Row],[ID]], Table4[ID], Table4[Store], "Not Found", 0)</f>
        <v>2</v>
      </c>
      <c r="V945" s="5">
        <f>_xlfn.XLOOKUP(CustomerCombined[[#This Row],[ID]], Table4[ID], Table4[Visits], "Not Found", 0)</f>
        <v>7</v>
      </c>
      <c r="W945" s="8">
        <f>_xlfn.XLOOKUP(CustomerCombined[[#This Row],[ID]], Table2[ID],Table2[Complaint], "Not Found", 0 )</f>
        <v>0</v>
      </c>
      <c r="X945" s="8">
        <f>_xlfn.XLOOKUP(CustomerCombined[[#This Row],[ID]], Table2[ID],Table2[Pilot], "Not Found", 0 )</f>
        <v>0</v>
      </c>
      <c r="Y945" s="8">
        <f>_xlfn.XLOOKUP(CustomerCombined[[#This Row],[ID]], Table2[ID],Table2[MC1], "Not Found", 0 )</f>
        <v>0</v>
      </c>
      <c r="Z945" s="8">
        <f>_xlfn.XLOOKUP(CustomerCombined[[#This Row],[ID]], Table2[ID],Table2[MC2], "Not Found", 0 )</f>
        <v>0</v>
      </c>
      <c r="AA945" s="8">
        <f>_xlfn.XLOOKUP(CustomerCombined[[#This Row],[ID]], Table2[ID],Table2[MC3], "Not Found", 0 )</f>
        <v>0</v>
      </c>
      <c r="AB945" s="8">
        <f>_xlfn.XLOOKUP(CustomerCombined[[#This Row],[ID]], Table2[ID],Table2[MC4], "Not Found", 0 )</f>
        <v>0</v>
      </c>
      <c r="AC945" s="8">
        <f>_xlfn.XLOOKUP(CustomerCombined[[#This Row],[ID]], Table2[ID],Table2[MC5], "Not Found", 0 )</f>
        <v>0</v>
      </c>
    </row>
    <row r="946" spans="1:29" x14ac:dyDescent="0.3">
      <c r="A946" s="6">
        <v>2482</v>
      </c>
      <c r="B946" s="6">
        <v>157136</v>
      </c>
      <c r="C946" s="6">
        <v>1</v>
      </c>
      <c r="D946" s="6">
        <v>1</v>
      </c>
      <c r="E946" s="6">
        <v>48</v>
      </c>
      <c r="F946" s="5" t="s">
        <v>6</v>
      </c>
      <c r="G946" s="5" t="s">
        <v>12</v>
      </c>
      <c r="H946" s="3" t="s">
        <v>226</v>
      </c>
      <c r="I946" s="5" t="s">
        <v>439</v>
      </c>
      <c r="J946" s="5">
        <f>_xlfn.XLOOKUP(CustomerCombined[[#This Row],[ID]], Table4[ID], Table4[Recency], "Not Found", 0)</f>
        <v>48</v>
      </c>
      <c r="K946" s="5">
        <f>_xlfn.XLOOKUP(CustomerCombined[[#This Row],[ID]], Table4[ID], Table4[Teas], "Not Found", 0)</f>
        <v>842</v>
      </c>
      <c r="L946" s="5">
        <f>_xlfn.XLOOKUP(CustomerCombined[[#This Row],[ID]], Table4[ID], Table4[Fruits], "Not Found", 0)</f>
        <v>14</v>
      </c>
      <c r="M946" s="5">
        <f>_xlfn.XLOOKUP(CustomerCombined[[#This Row],[ID]], Table4[ID], Table4[Meats], "Not Found", 0)</f>
        <v>300</v>
      </c>
      <c r="N946" s="5">
        <f>_xlfn.XLOOKUP(CustomerCombined[[#This Row],[ID]], Table4[ID], Table4[Seafood], "Not Found", 0)</f>
        <v>58</v>
      </c>
      <c r="O946" s="5">
        <f>_xlfn.XLOOKUP(CustomerCombined[[#This Row],[ID]], Table4[ID], Table4[Sweets], "Not Found", 0)</f>
        <v>300</v>
      </c>
      <c r="P946" s="5">
        <f>_xlfn.XLOOKUP(CustomerCombined[[#This Row],[ID]], Table4[ID], Table4[Premium], "Not Found", 0)</f>
        <v>253</v>
      </c>
      <c r="Q946" s="5">
        <f>_xlfn.XLOOKUP(CustomerCombined[[#This Row],[ID]], Table4[ID], Table4[Regular], "Not Found", 0)</f>
        <v>1260</v>
      </c>
      <c r="R946" s="5">
        <f>_xlfn.XLOOKUP(CustomerCombined[[#This Row],[ID]], Table4[ID], Table4[Deals], "Not Found", 0)</f>
        <v>9</v>
      </c>
      <c r="S946" s="5">
        <f>_xlfn.XLOOKUP(CustomerCombined[[#This Row],[ID]], Table4[ID], Table4[Website], "Not Found", 0)</f>
        <v>5</v>
      </c>
      <c r="T946" s="5">
        <f>_xlfn.XLOOKUP(CustomerCombined[[#This Row],[ID]], Table4[ID], Table4[Catalog], "Not Found", 0)</f>
        <v>2</v>
      </c>
      <c r="U946" s="5">
        <f>_xlfn.XLOOKUP(CustomerCombined[[#This Row],[ID]], Table4[ID], Table4[Store], "Not Found", 0)</f>
        <v>10</v>
      </c>
      <c r="V946" s="5">
        <f>_xlfn.XLOOKUP(CustomerCombined[[#This Row],[ID]], Table4[ID], Table4[Visits], "Not Found", 0)</f>
        <v>6</v>
      </c>
      <c r="W946" s="8">
        <f>_xlfn.XLOOKUP(CustomerCombined[[#This Row],[ID]], Table2[ID],Table2[Complaint], "Not Found", 0 )</f>
        <v>0</v>
      </c>
      <c r="X946" s="8">
        <f>_xlfn.XLOOKUP(CustomerCombined[[#This Row],[ID]], Table2[ID],Table2[Pilot], "Not Found", 0 )</f>
        <v>0</v>
      </c>
      <c r="Y946" s="8">
        <f>_xlfn.XLOOKUP(CustomerCombined[[#This Row],[ID]], Table2[ID],Table2[MC1], "Not Found", 0 )</f>
        <v>0</v>
      </c>
      <c r="Z946" s="8">
        <f>_xlfn.XLOOKUP(CustomerCombined[[#This Row],[ID]], Table2[ID],Table2[MC2], "Not Found", 0 )</f>
        <v>0</v>
      </c>
      <c r="AA946" s="8">
        <f>_xlfn.XLOOKUP(CustomerCombined[[#This Row],[ID]], Table2[ID],Table2[MC3], "Not Found", 0 )</f>
        <v>0</v>
      </c>
      <c r="AB946" s="8">
        <f>_xlfn.XLOOKUP(CustomerCombined[[#This Row],[ID]], Table2[ID],Table2[MC4], "Not Found", 0 )</f>
        <v>0</v>
      </c>
      <c r="AC946" s="8">
        <f>_xlfn.XLOOKUP(CustomerCombined[[#This Row],[ID]], Table2[ID],Table2[MC5], "Not Found", 0 )</f>
        <v>0</v>
      </c>
    </row>
    <row r="947" spans="1:29" x14ac:dyDescent="0.3">
      <c r="A947" s="6">
        <v>2267</v>
      </c>
      <c r="B947" s="6">
        <v>157091</v>
      </c>
      <c r="C947" s="6">
        <v>0</v>
      </c>
      <c r="D947" s="6">
        <v>1</v>
      </c>
      <c r="E947" s="6">
        <v>48</v>
      </c>
      <c r="F947" s="5" t="s">
        <v>6</v>
      </c>
      <c r="G947" s="5" t="s">
        <v>13</v>
      </c>
      <c r="H947" s="3" t="s">
        <v>353</v>
      </c>
      <c r="I947" s="5" t="s">
        <v>434</v>
      </c>
      <c r="J947" s="5">
        <f>_xlfn.XLOOKUP(CustomerCombined[[#This Row],[ID]], Table4[ID], Table4[Recency], "Not Found", 0)</f>
        <v>82</v>
      </c>
      <c r="K947" s="5">
        <f>_xlfn.XLOOKUP(CustomerCombined[[#This Row],[ID]], Table4[ID], Table4[Teas], "Not Found", 0)</f>
        <v>1271</v>
      </c>
      <c r="L947" s="5">
        <f>_xlfn.XLOOKUP(CustomerCombined[[#This Row],[ID]], Table4[ID], Table4[Fruits], "Not Found", 0)</f>
        <v>0</v>
      </c>
      <c r="M947" s="5">
        <f>_xlfn.XLOOKUP(CustomerCombined[[#This Row],[ID]], Table4[ID], Table4[Meats], "Not Found", 0)</f>
        <v>66</v>
      </c>
      <c r="N947" s="5">
        <f>_xlfn.XLOOKUP(CustomerCombined[[#This Row],[ID]], Table4[ID], Table4[Seafood], "Not Found", 0)</f>
        <v>17</v>
      </c>
      <c r="O947" s="5">
        <f>_xlfn.XLOOKUP(CustomerCombined[[#This Row],[ID]], Table4[ID], Table4[Sweets], "Not Found", 0)</f>
        <v>0</v>
      </c>
      <c r="P947" s="5">
        <f>_xlfn.XLOOKUP(CustomerCombined[[#This Row],[ID]], Table4[ID], Table4[Premium], "Not Found", 0)</f>
        <v>11</v>
      </c>
      <c r="Q947" s="5">
        <f>_xlfn.XLOOKUP(CustomerCombined[[#This Row],[ID]], Table4[ID], Table4[Regular], "Not Found", 0)</f>
        <v>1343</v>
      </c>
      <c r="R947" s="5">
        <f>_xlfn.XLOOKUP(CustomerCombined[[#This Row],[ID]], Table4[ID], Table4[Deals], "Not Found", 0)</f>
        <v>2</v>
      </c>
      <c r="S947" s="5">
        <f>_xlfn.XLOOKUP(CustomerCombined[[#This Row],[ID]], Table4[ID], Table4[Website], "Not Found", 0)</f>
        <v>9</v>
      </c>
      <c r="T947" s="5">
        <f>_xlfn.XLOOKUP(CustomerCombined[[#This Row],[ID]], Table4[ID], Table4[Catalog], "Not Found", 0)</f>
        <v>2</v>
      </c>
      <c r="U947" s="5">
        <f>_xlfn.XLOOKUP(CustomerCombined[[#This Row],[ID]], Table4[ID], Table4[Store], "Not Found", 0)</f>
        <v>5</v>
      </c>
      <c r="V947" s="5">
        <f>_xlfn.XLOOKUP(CustomerCombined[[#This Row],[ID]], Table4[ID], Table4[Visits], "Not Found", 0)</f>
        <v>7</v>
      </c>
      <c r="W947" s="8">
        <f>_xlfn.XLOOKUP(CustomerCombined[[#This Row],[ID]], Table2[ID],Table2[Complaint], "Not Found", 0 )</f>
        <v>0</v>
      </c>
      <c r="X947" s="8">
        <f>_xlfn.XLOOKUP(CustomerCombined[[#This Row],[ID]], Table2[ID],Table2[Pilot], "Not Found", 0 )</f>
        <v>1</v>
      </c>
      <c r="Y947" s="8">
        <f>_xlfn.XLOOKUP(CustomerCombined[[#This Row],[ID]], Table2[ID],Table2[MC1], "Not Found", 0 )</f>
        <v>0</v>
      </c>
      <c r="Z947" s="8">
        <f>_xlfn.XLOOKUP(CustomerCombined[[#This Row],[ID]], Table2[ID],Table2[MC2], "Not Found", 0 )</f>
        <v>0</v>
      </c>
      <c r="AA947" s="8">
        <f>_xlfn.XLOOKUP(CustomerCombined[[#This Row],[ID]], Table2[ID],Table2[MC3], "Not Found", 0 )</f>
        <v>0</v>
      </c>
      <c r="AB947" s="8">
        <f>_xlfn.XLOOKUP(CustomerCombined[[#This Row],[ID]], Table2[ID],Table2[MC4], "Not Found", 0 )</f>
        <v>1</v>
      </c>
      <c r="AC947" s="8">
        <f>_xlfn.XLOOKUP(CustomerCombined[[#This Row],[ID]], Table2[ID],Table2[MC5], "Not Found", 0 )</f>
        <v>0</v>
      </c>
    </row>
    <row r="948" spans="1:29" x14ac:dyDescent="0.3">
      <c r="A948" s="6">
        <v>2195</v>
      </c>
      <c r="B948" s="6">
        <v>156721</v>
      </c>
      <c r="C948" s="6">
        <v>1</v>
      </c>
      <c r="D948" s="6">
        <v>1</v>
      </c>
      <c r="E948" s="6">
        <v>48</v>
      </c>
      <c r="F948" s="5" t="s">
        <v>6</v>
      </c>
      <c r="G948" s="5" t="s">
        <v>11</v>
      </c>
      <c r="H948" s="3">
        <v>43650</v>
      </c>
      <c r="I948" s="5" t="s">
        <v>434</v>
      </c>
      <c r="J948" s="5">
        <f>_xlfn.XLOOKUP(CustomerCombined[[#This Row],[ID]], Table4[ID], Table4[Recency], "Not Found", 0)</f>
        <v>64</v>
      </c>
      <c r="K948" s="5">
        <f>_xlfn.XLOOKUP(CustomerCombined[[#This Row],[ID]], Table4[ID], Table4[Teas], "Not Found", 0)</f>
        <v>434</v>
      </c>
      <c r="L948" s="5">
        <f>_xlfn.XLOOKUP(CustomerCombined[[#This Row],[ID]], Table4[ID], Table4[Fruits], "Not Found", 0)</f>
        <v>17</v>
      </c>
      <c r="M948" s="5">
        <f>_xlfn.XLOOKUP(CustomerCombined[[#This Row],[ID]], Table4[ID], Table4[Meats], "Not Found", 0)</f>
        <v>108</v>
      </c>
      <c r="N948" s="5">
        <f>_xlfn.XLOOKUP(CustomerCombined[[#This Row],[ID]], Table4[ID], Table4[Seafood], "Not Found", 0)</f>
        <v>17</v>
      </c>
      <c r="O948" s="5">
        <f>_xlfn.XLOOKUP(CustomerCombined[[#This Row],[ID]], Table4[ID], Table4[Sweets], "Not Found", 0)</f>
        <v>36</v>
      </c>
      <c r="P948" s="5">
        <f>_xlfn.XLOOKUP(CustomerCombined[[#This Row],[ID]], Table4[ID], Table4[Premium], "Not Found", 0)</f>
        <v>207</v>
      </c>
      <c r="Q948" s="5">
        <f>_xlfn.XLOOKUP(CustomerCombined[[#This Row],[ID]], Table4[ID], Table4[Regular], "Not Found", 0)</f>
        <v>403</v>
      </c>
      <c r="R948" s="5">
        <f>_xlfn.XLOOKUP(CustomerCombined[[#This Row],[ID]], Table4[ID], Table4[Deals], "Not Found", 0)</f>
        <v>5</v>
      </c>
      <c r="S948" s="5">
        <f>_xlfn.XLOOKUP(CustomerCombined[[#This Row],[ID]], Table4[ID], Table4[Website], "Not Found", 0)</f>
        <v>4</v>
      </c>
      <c r="T948" s="5">
        <f>_xlfn.XLOOKUP(CustomerCombined[[#This Row],[ID]], Table4[ID], Table4[Catalog], "Not Found", 0)</f>
        <v>1</v>
      </c>
      <c r="U948" s="5">
        <f>_xlfn.XLOOKUP(CustomerCombined[[#This Row],[ID]], Table4[ID], Table4[Store], "Not Found", 0)</f>
        <v>5</v>
      </c>
      <c r="V948" s="5">
        <f>_xlfn.XLOOKUP(CustomerCombined[[#This Row],[ID]], Table4[ID], Table4[Visits], "Not Found", 0)</f>
        <v>6</v>
      </c>
      <c r="W948" s="8">
        <f>_xlfn.XLOOKUP(CustomerCombined[[#This Row],[ID]], Table2[ID],Table2[Complaint], "Not Found", 0 )</f>
        <v>0</v>
      </c>
      <c r="X948" s="8">
        <f>_xlfn.XLOOKUP(CustomerCombined[[#This Row],[ID]], Table2[ID],Table2[Pilot], "Not Found", 0 )</f>
        <v>0</v>
      </c>
      <c r="Y948" s="8">
        <f>_xlfn.XLOOKUP(CustomerCombined[[#This Row],[ID]], Table2[ID],Table2[MC1], "Not Found", 0 )</f>
        <v>0</v>
      </c>
      <c r="Z948" s="8">
        <f>_xlfn.XLOOKUP(CustomerCombined[[#This Row],[ID]], Table2[ID],Table2[MC2], "Not Found", 0 )</f>
        <v>0</v>
      </c>
      <c r="AA948" s="8">
        <f>_xlfn.XLOOKUP(CustomerCombined[[#This Row],[ID]], Table2[ID],Table2[MC3], "Not Found", 0 )</f>
        <v>0</v>
      </c>
      <c r="AB948" s="8">
        <f>_xlfn.XLOOKUP(CustomerCombined[[#This Row],[ID]], Table2[ID],Table2[MC4], "Not Found", 0 )</f>
        <v>0</v>
      </c>
      <c r="AC948" s="8">
        <f>_xlfn.XLOOKUP(CustomerCombined[[#This Row],[ID]], Table2[ID],Table2[MC5], "Not Found", 0 )</f>
        <v>0</v>
      </c>
    </row>
    <row r="949" spans="1:29" x14ac:dyDescent="0.3">
      <c r="A949" s="6">
        <v>1876</v>
      </c>
      <c r="B949" s="6">
        <v>155260</v>
      </c>
      <c r="C949" s="6">
        <v>0</v>
      </c>
      <c r="D949" s="6">
        <v>1</v>
      </c>
      <c r="E949" s="6">
        <v>48</v>
      </c>
      <c r="F949" s="5" t="s">
        <v>7</v>
      </c>
      <c r="G949" s="5" t="s">
        <v>13</v>
      </c>
      <c r="H949" s="3" t="s">
        <v>346</v>
      </c>
      <c r="I949" s="5" t="s">
        <v>439</v>
      </c>
      <c r="J949" s="5">
        <f>_xlfn.XLOOKUP(CustomerCombined[[#This Row],[ID]], Table4[ID], Table4[Recency], "Not Found", 0)</f>
        <v>81</v>
      </c>
      <c r="K949" s="5">
        <f>_xlfn.XLOOKUP(CustomerCombined[[#This Row],[ID]], Table4[ID], Table4[Teas], "Not Found", 0)</f>
        <v>2318</v>
      </c>
      <c r="L949" s="5">
        <f>_xlfn.XLOOKUP(CustomerCombined[[#This Row],[ID]], Table4[ID], Table4[Fruits], "Not Found", 0)</f>
        <v>22</v>
      </c>
      <c r="M949" s="5">
        <f>_xlfn.XLOOKUP(CustomerCombined[[#This Row],[ID]], Table4[ID], Table4[Meats], "Not Found", 0)</f>
        <v>149</v>
      </c>
      <c r="N949" s="5">
        <f>_xlfn.XLOOKUP(CustomerCombined[[#This Row],[ID]], Table4[ID], Table4[Seafood], "Not Found", 0)</f>
        <v>31</v>
      </c>
      <c r="O949" s="5">
        <f>_xlfn.XLOOKUP(CustomerCombined[[#This Row],[ID]], Table4[ID], Table4[Sweets], "Not Found", 0)</f>
        <v>0</v>
      </c>
      <c r="P949" s="5">
        <f>_xlfn.XLOOKUP(CustomerCombined[[#This Row],[ID]], Table4[ID], Table4[Premium], "Not Found", 0)</f>
        <v>680</v>
      </c>
      <c r="Q949" s="5">
        <f>_xlfn.XLOOKUP(CustomerCombined[[#This Row],[ID]], Table4[ID], Table4[Regular], "Not Found", 0)</f>
        <v>1840</v>
      </c>
      <c r="R949" s="5">
        <f>_xlfn.XLOOKUP(CustomerCombined[[#This Row],[ID]], Table4[ID], Table4[Deals], "Not Found", 0)</f>
        <v>2</v>
      </c>
      <c r="S949" s="5">
        <f>_xlfn.XLOOKUP(CustomerCombined[[#This Row],[ID]], Table4[ID], Table4[Website], "Not Found", 0)</f>
        <v>8</v>
      </c>
      <c r="T949" s="5">
        <f>_xlfn.XLOOKUP(CustomerCombined[[#This Row],[ID]], Table4[ID], Table4[Catalog], "Not Found", 0)</f>
        <v>10</v>
      </c>
      <c r="U949" s="5">
        <f>_xlfn.XLOOKUP(CustomerCombined[[#This Row],[ID]], Table4[ID], Table4[Store], "Not Found", 0)</f>
        <v>5</v>
      </c>
      <c r="V949" s="5">
        <f>_xlfn.XLOOKUP(CustomerCombined[[#This Row],[ID]], Table4[ID], Table4[Visits], "Not Found", 0)</f>
        <v>6</v>
      </c>
      <c r="W949" s="8">
        <f>_xlfn.XLOOKUP(CustomerCombined[[#This Row],[ID]], Table2[ID],Table2[Complaint], "Not Found", 0 )</f>
        <v>0</v>
      </c>
      <c r="X949" s="8">
        <f>_xlfn.XLOOKUP(CustomerCombined[[#This Row],[ID]], Table2[ID],Table2[Pilot], "Not Found", 0 )</f>
        <v>0</v>
      </c>
      <c r="Y949" s="8">
        <f>_xlfn.XLOOKUP(CustomerCombined[[#This Row],[ID]], Table2[ID],Table2[MC1], "Not Found", 0 )</f>
        <v>0</v>
      </c>
      <c r="Z949" s="8">
        <f>_xlfn.XLOOKUP(CustomerCombined[[#This Row],[ID]], Table2[ID],Table2[MC2], "Not Found", 0 )</f>
        <v>0</v>
      </c>
      <c r="AA949" s="8">
        <f>_xlfn.XLOOKUP(CustomerCombined[[#This Row],[ID]], Table2[ID],Table2[MC3], "Not Found", 0 )</f>
        <v>0</v>
      </c>
      <c r="AB949" s="8">
        <f>_xlfn.XLOOKUP(CustomerCombined[[#This Row],[ID]], Table2[ID],Table2[MC4], "Not Found", 0 )</f>
        <v>0</v>
      </c>
      <c r="AC949" s="8">
        <f>_xlfn.XLOOKUP(CustomerCombined[[#This Row],[ID]], Table2[ID],Table2[MC5], "Not Found", 0 )</f>
        <v>0</v>
      </c>
    </row>
    <row r="950" spans="1:29" x14ac:dyDescent="0.3">
      <c r="A950" s="6">
        <v>2366</v>
      </c>
      <c r="B950" s="6">
        <v>153761</v>
      </c>
      <c r="C950" s="6">
        <v>1</v>
      </c>
      <c r="D950" s="6">
        <v>1</v>
      </c>
      <c r="E950" s="6">
        <v>48</v>
      </c>
      <c r="F950" s="5" t="s">
        <v>6</v>
      </c>
      <c r="G950" s="5" t="s">
        <v>12</v>
      </c>
      <c r="H950" s="3" t="s">
        <v>171</v>
      </c>
      <c r="I950" s="5" t="s">
        <v>438</v>
      </c>
      <c r="J950" s="5">
        <f>_xlfn.XLOOKUP(CustomerCombined[[#This Row],[ID]], Table4[ID], Table4[Recency], "Not Found", 0)</f>
        <v>7</v>
      </c>
      <c r="K950" s="5">
        <f>_xlfn.XLOOKUP(CustomerCombined[[#This Row],[ID]], Table4[ID], Table4[Teas], "Not Found", 0)</f>
        <v>452</v>
      </c>
      <c r="L950" s="5">
        <f>_xlfn.XLOOKUP(CustomerCombined[[#This Row],[ID]], Table4[ID], Table4[Fruits], "Not Found", 0)</f>
        <v>0</v>
      </c>
      <c r="M950" s="5">
        <f>_xlfn.XLOOKUP(CustomerCombined[[#This Row],[ID]], Table4[ID], Table4[Meats], "Not Found", 0)</f>
        <v>217</v>
      </c>
      <c r="N950" s="5">
        <f>_xlfn.XLOOKUP(CustomerCombined[[#This Row],[ID]], Table4[ID], Table4[Seafood], "Not Found", 0)</f>
        <v>37</v>
      </c>
      <c r="O950" s="5">
        <f>_xlfn.XLOOKUP(CustomerCombined[[#This Row],[ID]], Table4[ID], Table4[Sweets], "Not Found", 0)</f>
        <v>20</v>
      </c>
      <c r="P950" s="5">
        <f>_xlfn.XLOOKUP(CustomerCombined[[#This Row],[ID]], Table4[ID], Table4[Premium], "Not Found", 0)</f>
        <v>203</v>
      </c>
      <c r="Q950" s="5">
        <f>_xlfn.XLOOKUP(CustomerCombined[[#This Row],[ID]], Table4[ID], Table4[Regular], "Not Found", 0)</f>
        <v>523</v>
      </c>
      <c r="R950" s="5">
        <f>_xlfn.XLOOKUP(CustomerCombined[[#This Row],[ID]], Table4[ID], Table4[Deals], "Not Found", 0)</f>
        <v>6</v>
      </c>
      <c r="S950" s="5">
        <f>_xlfn.XLOOKUP(CustomerCombined[[#This Row],[ID]], Table4[ID], Table4[Website], "Not Found", 0)</f>
        <v>4</v>
      </c>
      <c r="T950" s="5">
        <f>_xlfn.XLOOKUP(CustomerCombined[[#This Row],[ID]], Table4[ID], Table4[Catalog], "Not Found", 0)</f>
        <v>4</v>
      </c>
      <c r="U950" s="5">
        <f>_xlfn.XLOOKUP(CustomerCombined[[#This Row],[ID]], Table4[ID], Table4[Store], "Not Found", 0)</f>
        <v>3</v>
      </c>
      <c r="V950" s="5">
        <f>_xlfn.XLOOKUP(CustomerCombined[[#This Row],[ID]], Table4[ID], Table4[Visits], "Not Found", 0)</f>
        <v>5</v>
      </c>
      <c r="W950" s="8">
        <f>_xlfn.XLOOKUP(CustomerCombined[[#This Row],[ID]], Table2[ID],Table2[Complaint], "Not Found", 0 )</f>
        <v>0</v>
      </c>
      <c r="X950" s="8">
        <f>_xlfn.XLOOKUP(CustomerCombined[[#This Row],[ID]], Table2[ID],Table2[Pilot], "Not Found", 0 )</f>
        <v>0</v>
      </c>
      <c r="Y950" s="8">
        <f>_xlfn.XLOOKUP(CustomerCombined[[#This Row],[ID]], Table2[ID],Table2[MC1], "Not Found", 0 )</f>
        <v>0</v>
      </c>
      <c r="Z950" s="8">
        <f>_xlfn.XLOOKUP(CustomerCombined[[#This Row],[ID]], Table2[ID],Table2[MC2], "Not Found", 0 )</f>
        <v>0</v>
      </c>
      <c r="AA950" s="8">
        <f>_xlfn.XLOOKUP(CustomerCombined[[#This Row],[ID]], Table2[ID],Table2[MC3], "Not Found", 0 )</f>
        <v>0</v>
      </c>
      <c r="AB950" s="8">
        <f>_xlfn.XLOOKUP(CustomerCombined[[#This Row],[ID]], Table2[ID],Table2[MC4], "Not Found", 0 )</f>
        <v>0</v>
      </c>
      <c r="AC950" s="8">
        <f>_xlfn.XLOOKUP(CustomerCombined[[#This Row],[ID]], Table2[ID],Table2[MC5], "Not Found", 0 )</f>
        <v>0</v>
      </c>
    </row>
    <row r="951" spans="1:29" x14ac:dyDescent="0.3">
      <c r="A951" s="6">
        <v>1089</v>
      </c>
      <c r="B951" s="6">
        <v>151813</v>
      </c>
      <c r="C951" s="6">
        <v>1</v>
      </c>
      <c r="D951" s="6">
        <v>1</v>
      </c>
      <c r="E951" s="6">
        <v>48</v>
      </c>
      <c r="F951" s="5" t="s">
        <v>5</v>
      </c>
      <c r="G951" s="5" t="s">
        <v>11</v>
      </c>
      <c r="H951" s="3" t="s">
        <v>278</v>
      </c>
      <c r="I951" s="5" t="s">
        <v>435</v>
      </c>
      <c r="J951" s="5">
        <f>_xlfn.XLOOKUP(CustomerCombined[[#This Row],[ID]], Table4[ID], Table4[Recency], "Not Found", 0)</f>
        <v>37</v>
      </c>
      <c r="K951" s="5">
        <f>_xlfn.XLOOKUP(CustomerCombined[[#This Row],[ID]], Table4[ID], Table4[Teas], "Not Found", 0)</f>
        <v>149</v>
      </c>
      <c r="L951" s="5">
        <f>_xlfn.XLOOKUP(CustomerCombined[[#This Row],[ID]], Table4[ID], Table4[Fruits], "Not Found", 0)</f>
        <v>6</v>
      </c>
      <c r="M951" s="5">
        <f>_xlfn.XLOOKUP(CustomerCombined[[#This Row],[ID]], Table4[ID], Table4[Meats], "Not Found", 0)</f>
        <v>21</v>
      </c>
      <c r="N951" s="5">
        <f>_xlfn.XLOOKUP(CustomerCombined[[#This Row],[ID]], Table4[ID], Table4[Seafood], "Not Found", 0)</f>
        <v>0</v>
      </c>
      <c r="O951" s="5">
        <f>_xlfn.XLOOKUP(CustomerCombined[[#This Row],[ID]], Table4[ID], Table4[Sweets], "Not Found", 0)</f>
        <v>3</v>
      </c>
      <c r="P951" s="5">
        <f>_xlfn.XLOOKUP(CustomerCombined[[#This Row],[ID]], Table4[ID], Table4[Premium], "Not Found", 0)</f>
        <v>6</v>
      </c>
      <c r="Q951" s="5">
        <f>_xlfn.XLOOKUP(CustomerCombined[[#This Row],[ID]], Table4[ID], Table4[Regular], "Not Found", 0)</f>
        <v>173</v>
      </c>
      <c r="R951" s="5">
        <f>_xlfn.XLOOKUP(CustomerCombined[[#This Row],[ID]], Table4[ID], Table4[Deals], "Not Found", 0)</f>
        <v>2</v>
      </c>
      <c r="S951" s="5">
        <f>_xlfn.XLOOKUP(CustomerCombined[[#This Row],[ID]], Table4[ID], Table4[Website], "Not Found", 0)</f>
        <v>2</v>
      </c>
      <c r="T951" s="5">
        <f>_xlfn.XLOOKUP(CustomerCombined[[#This Row],[ID]], Table4[ID], Table4[Catalog], "Not Found", 0)</f>
        <v>0</v>
      </c>
      <c r="U951" s="5">
        <f>_xlfn.XLOOKUP(CustomerCombined[[#This Row],[ID]], Table4[ID], Table4[Store], "Not Found", 0)</f>
        <v>3</v>
      </c>
      <c r="V951" s="5">
        <f>_xlfn.XLOOKUP(CustomerCombined[[#This Row],[ID]], Table4[ID], Table4[Visits], "Not Found", 0)</f>
        <v>7</v>
      </c>
      <c r="W951" s="8">
        <f>_xlfn.XLOOKUP(CustomerCombined[[#This Row],[ID]], Table2[ID],Table2[Complaint], "Not Found", 0 )</f>
        <v>0</v>
      </c>
      <c r="X951" s="8">
        <f>_xlfn.XLOOKUP(CustomerCombined[[#This Row],[ID]], Table2[ID],Table2[Pilot], "Not Found", 0 )</f>
        <v>0</v>
      </c>
      <c r="Y951" s="8">
        <f>_xlfn.XLOOKUP(CustomerCombined[[#This Row],[ID]], Table2[ID],Table2[MC1], "Not Found", 0 )</f>
        <v>0</v>
      </c>
      <c r="Z951" s="8">
        <f>_xlfn.XLOOKUP(CustomerCombined[[#This Row],[ID]], Table2[ID],Table2[MC2], "Not Found", 0 )</f>
        <v>0</v>
      </c>
      <c r="AA951" s="8">
        <f>_xlfn.XLOOKUP(CustomerCombined[[#This Row],[ID]], Table2[ID],Table2[MC3], "Not Found", 0 )</f>
        <v>0</v>
      </c>
      <c r="AB951" s="8">
        <f>_xlfn.XLOOKUP(CustomerCombined[[#This Row],[ID]], Table2[ID],Table2[MC4], "Not Found", 0 )</f>
        <v>0</v>
      </c>
      <c r="AC951" s="8">
        <f>_xlfn.XLOOKUP(CustomerCombined[[#This Row],[ID]], Table2[ID],Table2[MC5], "Not Found", 0 )</f>
        <v>0</v>
      </c>
    </row>
    <row r="952" spans="1:29" x14ac:dyDescent="0.3">
      <c r="A952" s="6">
        <v>2633</v>
      </c>
      <c r="B952" s="6">
        <v>150334</v>
      </c>
      <c r="C952" s="6">
        <v>0</v>
      </c>
      <c r="D952" s="6">
        <v>1</v>
      </c>
      <c r="E952" s="6">
        <v>48</v>
      </c>
      <c r="F952" s="5" t="s">
        <v>8</v>
      </c>
      <c r="G952" s="5" t="s">
        <v>442</v>
      </c>
      <c r="H952" s="3" t="s">
        <v>212</v>
      </c>
      <c r="I952" s="5" t="s">
        <v>434</v>
      </c>
      <c r="J952" s="5">
        <f>_xlfn.XLOOKUP(CustomerCombined[[#This Row],[ID]], Table4[ID], Table4[Recency], "Not Found", 0)</f>
        <v>24</v>
      </c>
      <c r="K952" s="5">
        <f>_xlfn.XLOOKUP(CustomerCombined[[#This Row],[ID]], Table4[ID], Table4[Teas], "Not Found", 0)</f>
        <v>848</v>
      </c>
      <c r="L952" s="5">
        <f>_xlfn.XLOOKUP(CustomerCombined[[#This Row],[ID]], Table4[ID], Table4[Fruits], "Not Found", 0)</f>
        <v>48</v>
      </c>
      <c r="M952" s="5">
        <f>_xlfn.XLOOKUP(CustomerCombined[[#This Row],[ID]], Table4[ID], Table4[Meats], "Not Found", 0)</f>
        <v>478</v>
      </c>
      <c r="N952" s="5">
        <f>_xlfn.XLOOKUP(CustomerCombined[[#This Row],[ID]], Table4[ID], Table4[Seafood], "Not Found", 0)</f>
        <v>251</v>
      </c>
      <c r="O952" s="5">
        <f>_xlfn.XLOOKUP(CustomerCombined[[#This Row],[ID]], Table4[ID], Table4[Sweets], "Not Found", 0)</f>
        <v>48</v>
      </c>
      <c r="P952" s="5">
        <f>_xlfn.XLOOKUP(CustomerCombined[[#This Row],[ID]], Table4[ID], Table4[Premium], "Not Found", 0)</f>
        <v>400</v>
      </c>
      <c r="Q952" s="5">
        <f>_xlfn.XLOOKUP(CustomerCombined[[#This Row],[ID]], Table4[ID], Table4[Regular], "Not Found", 0)</f>
        <v>1272</v>
      </c>
      <c r="R952" s="5">
        <f>_xlfn.XLOOKUP(CustomerCombined[[#This Row],[ID]], Table4[ID], Table4[Deals], "Not Found", 0)</f>
        <v>6</v>
      </c>
      <c r="S952" s="5">
        <f>_xlfn.XLOOKUP(CustomerCombined[[#This Row],[ID]], Table4[ID], Table4[Website], "Not Found", 0)</f>
        <v>7</v>
      </c>
      <c r="T952" s="5">
        <f>_xlfn.XLOOKUP(CustomerCombined[[#This Row],[ID]], Table4[ID], Table4[Catalog], "Not Found", 0)</f>
        <v>4</v>
      </c>
      <c r="U952" s="5">
        <f>_xlfn.XLOOKUP(CustomerCombined[[#This Row],[ID]], Table4[ID], Table4[Store], "Not Found", 0)</f>
        <v>6</v>
      </c>
      <c r="V952" s="5">
        <f>_xlfn.XLOOKUP(CustomerCombined[[#This Row],[ID]], Table4[ID], Table4[Visits], "Not Found", 0)</f>
        <v>6</v>
      </c>
      <c r="W952" s="8">
        <f>_xlfn.XLOOKUP(CustomerCombined[[#This Row],[ID]], Table2[ID],Table2[Complaint], "Not Found", 0 )</f>
        <v>0</v>
      </c>
      <c r="X952" s="8">
        <f>_xlfn.XLOOKUP(CustomerCombined[[#This Row],[ID]], Table2[ID],Table2[Pilot], "Not Found", 0 )</f>
        <v>0</v>
      </c>
      <c r="Y952" s="8">
        <f>_xlfn.XLOOKUP(CustomerCombined[[#This Row],[ID]], Table2[ID],Table2[MC1], "Not Found", 0 )</f>
        <v>0</v>
      </c>
      <c r="Z952" s="8">
        <f>_xlfn.XLOOKUP(CustomerCombined[[#This Row],[ID]], Table2[ID],Table2[MC2], "Not Found", 0 )</f>
        <v>0</v>
      </c>
      <c r="AA952" s="8">
        <f>_xlfn.XLOOKUP(CustomerCombined[[#This Row],[ID]], Table2[ID],Table2[MC3], "Not Found", 0 )</f>
        <v>0</v>
      </c>
      <c r="AB952" s="8">
        <f>_xlfn.XLOOKUP(CustomerCombined[[#This Row],[ID]], Table2[ID],Table2[MC4], "Not Found", 0 )</f>
        <v>0</v>
      </c>
      <c r="AC952" s="8">
        <f>_xlfn.XLOOKUP(CustomerCombined[[#This Row],[ID]], Table2[ID],Table2[MC5], "Not Found", 0 )</f>
        <v>0</v>
      </c>
    </row>
    <row r="953" spans="1:29" x14ac:dyDescent="0.3">
      <c r="A953" s="6">
        <v>2465</v>
      </c>
      <c r="B953" s="6">
        <v>149854</v>
      </c>
      <c r="C953" s="6">
        <v>1</v>
      </c>
      <c r="D953" s="6">
        <v>0</v>
      </c>
      <c r="E953" s="6">
        <v>48</v>
      </c>
      <c r="F953" s="5" t="s">
        <v>8</v>
      </c>
      <c r="G953" s="5" t="s">
        <v>12</v>
      </c>
      <c r="H953" s="3" t="s">
        <v>153</v>
      </c>
      <c r="I953" s="5" t="s">
        <v>434</v>
      </c>
      <c r="J953" s="5">
        <f>_xlfn.XLOOKUP(CustomerCombined[[#This Row],[ID]], Table4[ID], Table4[Recency], "Not Found", 0)</f>
        <v>63</v>
      </c>
      <c r="K953" s="5">
        <f>_xlfn.XLOOKUP(CustomerCombined[[#This Row],[ID]], Table4[ID], Table4[Teas], "Not Found", 0)</f>
        <v>370</v>
      </c>
      <c r="L953" s="5">
        <f>_xlfn.XLOOKUP(CustomerCombined[[#This Row],[ID]], Table4[ID], Table4[Fruits], "Not Found", 0)</f>
        <v>51</v>
      </c>
      <c r="M953" s="5">
        <f>_xlfn.XLOOKUP(CustomerCombined[[#This Row],[ID]], Table4[ID], Table4[Meats], "Not Found", 0)</f>
        <v>514</v>
      </c>
      <c r="N953" s="5">
        <f>_xlfn.XLOOKUP(CustomerCombined[[#This Row],[ID]], Table4[ID], Table4[Seafood], "Not Found", 0)</f>
        <v>117</v>
      </c>
      <c r="O953" s="5">
        <f>_xlfn.XLOOKUP(CustomerCombined[[#This Row],[ID]], Table4[ID], Table4[Sweets], "Not Found", 0)</f>
        <v>0</v>
      </c>
      <c r="P953" s="5">
        <f>_xlfn.XLOOKUP(CustomerCombined[[#This Row],[ID]], Table4[ID], Table4[Premium], "Not Found", 0)</f>
        <v>90</v>
      </c>
      <c r="Q953" s="5">
        <f>_xlfn.XLOOKUP(CustomerCombined[[#This Row],[ID]], Table4[ID], Table4[Regular], "Not Found", 0)</f>
        <v>962</v>
      </c>
      <c r="R953" s="5">
        <f>_xlfn.XLOOKUP(CustomerCombined[[#This Row],[ID]], Table4[ID], Table4[Deals], "Not Found", 0)</f>
        <v>5</v>
      </c>
      <c r="S953" s="5">
        <f>_xlfn.XLOOKUP(CustomerCombined[[#This Row],[ID]], Table4[ID], Table4[Website], "Not Found", 0)</f>
        <v>6</v>
      </c>
      <c r="T953" s="5">
        <f>_xlfn.XLOOKUP(CustomerCombined[[#This Row],[ID]], Table4[ID], Table4[Catalog], "Not Found", 0)</f>
        <v>2</v>
      </c>
      <c r="U953" s="5">
        <f>_xlfn.XLOOKUP(CustomerCombined[[#This Row],[ID]], Table4[ID], Table4[Store], "Not Found", 0)</f>
        <v>5</v>
      </c>
      <c r="V953" s="5">
        <f>_xlfn.XLOOKUP(CustomerCombined[[#This Row],[ID]], Table4[ID], Table4[Visits], "Not Found", 0)</f>
        <v>6</v>
      </c>
      <c r="W953" s="8">
        <f>_xlfn.XLOOKUP(CustomerCombined[[#This Row],[ID]], Table2[ID],Table2[Complaint], "Not Found", 0 )</f>
        <v>0</v>
      </c>
      <c r="X953" s="8">
        <f>_xlfn.XLOOKUP(CustomerCombined[[#This Row],[ID]], Table2[ID],Table2[Pilot], "Not Found", 0 )</f>
        <v>0</v>
      </c>
      <c r="Y953" s="8">
        <f>_xlfn.XLOOKUP(CustomerCombined[[#This Row],[ID]], Table2[ID],Table2[MC1], "Not Found", 0 )</f>
        <v>0</v>
      </c>
      <c r="Z953" s="8">
        <f>_xlfn.XLOOKUP(CustomerCombined[[#This Row],[ID]], Table2[ID],Table2[MC2], "Not Found", 0 )</f>
        <v>0</v>
      </c>
      <c r="AA953" s="8">
        <f>_xlfn.XLOOKUP(CustomerCombined[[#This Row],[ID]], Table2[ID],Table2[MC3], "Not Found", 0 )</f>
        <v>0</v>
      </c>
      <c r="AB953" s="8">
        <f>_xlfn.XLOOKUP(CustomerCombined[[#This Row],[ID]], Table2[ID],Table2[MC4], "Not Found", 0 )</f>
        <v>0</v>
      </c>
      <c r="AC953" s="8">
        <f>_xlfn.XLOOKUP(CustomerCombined[[#This Row],[ID]], Table2[ID],Table2[MC5], "Not Found", 0 )</f>
        <v>0</v>
      </c>
    </row>
    <row r="954" spans="1:29" x14ac:dyDescent="0.3">
      <c r="A954" s="6">
        <v>1817</v>
      </c>
      <c r="B954" s="6">
        <v>149494</v>
      </c>
      <c r="C954" s="6">
        <v>1</v>
      </c>
      <c r="D954" s="6">
        <v>0</v>
      </c>
      <c r="E954" s="6">
        <v>48</v>
      </c>
      <c r="F954" s="5" t="s">
        <v>7</v>
      </c>
      <c r="G954" s="5" t="s">
        <v>12</v>
      </c>
      <c r="H954" s="3" t="s">
        <v>264</v>
      </c>
      <c r="I954" s="5" t="s">
        <v>434</v>
      </c>
      <c r="J954" s="5">
        <f>_xlfn.XLOOKUP(CustomerCombined[[#This Row],[ID]], Table4[ID], Table4[Recency], "Not Found", 0)</f>
        <v>46</v>
      </c>
      <c r="K954" s="5">
        <f>_xlfn.XLOOKUP(CustomerCombined[[#This Row],[ID]], Table4[ID], Table4[Teas], "Not Found", 0)</f>
        <v>577</v>
      </c>
      <c r="L954" s="5">
        <f>_xlfn.XLOOKUP(CustomerCombined[[#This Row],[ID]], Table4[ID], Table4[Fruits], "Not Found", 0)</f>
        <v>27</v>
      </c>
      <c r="M954" s="5">
        <f>_xlfn.XLOOKUP(CustomerCombined[[#This Row],[ID]], Table4[ID], Table4[Meats], "Not Found", 0)</f>
        <v>293</v>
      </c>
      <c r="N954" s="5">
        <f>_xlfn.XLOOKUP(CustomerCombined[[#This Row],[ID]], Table4[ID], Table4[Seafood], "Not Found", 0)</f>
        <v>0</v>
      </c>
      <c r="O954" s="5">
        <f>_xlfn.XLOOKUP(CustomerCombined[[#This Row],[ID]], Table4[ID], Table4[Sweets], "Not Found", 0)</f>
        <v>18</v>
      </c>
      <c r="P954" s="5">
        <f>_xlfn.XLOOKUP(CustomerCombined[[#This Row],[ID]], Table4[ID], Table4[Premium], "Not Found", 0)</f>
        <v>248</v>
      </c>
      <c r="Q954" s="5">
        <f>_xlfn.XLOOKUP(CustomerCombined[[#This Row],[ID]], Table4[ID], Table4[Regular], "Not Found", 0)</f>
        <v>668</v>
      </c>
      <c r="R954" s="5">
        <f>_xlfn.XLOOKUP(CustomerCombined[[#This Row],[ID]], Table4[ID], Table4[Deals], "Not Found", 0)</f>
        <v>2</v>
      </c>
      <c r="S954" s="5">
        <f>_xlfn.XLOOKUP(CustomerCombined[[#This Row],[ID]], Table4[ID], Table4[Website], "Not Found", 0)</f>
        <v>6</v>
      </c>
      <c r="T954" s="5">
        <f>_xlfn.XLOOKUP(CustomerCombined[[#This Row],[ID]], Table4[ID], Table4[Catalog], "Not Found", 0)</f>
        <v>1</v>
      </c>
      <c r="U954" s="5">
        <f>_xlfn.XLOOKUP(CustomerCombined[[#This Row],[ID]], Table4[ID], Table4[Store], "Not Found", 0)</f>
        <v>5</v>
      </c>
      <c r="V954" s="5">
        <f>_xlfn.XLOOKUP(CustomerCombined[[#This Row],[ID]], Table4[ID], Table4[Visits], "Not Found", 0)</f>
        <v>7</v>
      </c>
      <c r="W954" s="8">
        <f>_xlfn.XLOOKUP(CustomerCombined[[#This Row],[ID]], Table2[ID],Table2[Complaint], "Not Found", 0 )</f>
        <v>0</v>
      </c>
      <c r="X954" s="8">
        <f>_xlfn.XLOOKUP(CustomerCombined[[#This Row],[ID]], Table2[ID],Table2[Pilot], "Not Found", 0 )</f>
        <v>0</v>
      </c>
      <c r="Y954" s="8">
        <f>_xlfn.XLOOKUP(CustomerCombined[[#This Row],[ID]], Table2[ID],Table2[MC1], "Not Found", 0 )</f>
        <v>0</v>
      </c>
      <c r="Z954" s="8">
        <f>_xlfn.XLOOKUP(CustomerCombined[[#This Row],[ID]], Table2[ID],Table2[MC2], "Not Found", 0 )</f>
        <v>0</v>
      </c>
      <c r="AA954" s="8">
        <f>_xlfn.XLOOKUP(CustomerCombined[[#This Row],[ID]], Table2[ID],Table2[MC3], "Not Found", 0 )</f>
        <v>0</v>
      </c>
      <c r="AB954" s="8">
        <f>_xlfn.XLOOKUP(CustomerCombined[[#This Row],[ID]], Table2[ID],Table2[MC4], "Not Found", 0 )</f>
        <v>0</v>
      </c>
      <c r="AC954" s="8">
        <f>_xlfn.XLOOKUP(CustomerCombined[[#This Row],[ID]], Table2[ID],Table2[MC5], "Not Found", 0 )</f>
        <v>0</v>
      </c>
    </row>
    <row r="955" spans="1:29" x14ac:dyDescent="0.3">
      <c r="A955" s="6">
        <v>2018</v>
      </c>
      <c r="B955" s="6">
        <v>146423</v>
      </c>
      <c r="C955" s="6">
        <v>1</v>
      </c>
      <c r="D955" s="6">
        <v>1</v>
      </c>
      <c r="E955" s="6">
        <v>48</v>
      </c>
      <c r="F955" s="5" t="s">
        <v>7</v>
      </c>
      <c r="G955" s="5" t="s">
        <v>12</v>
      </c>
      <c r="H955" s="3" t="s">
        <v>181</v>
      </c>
      <c r="I955" s="5" t="s">
        <v>438</v>
      </c>
      <c r="J955" s="5">
        <f>_xlfn.XLOOKUP(CustomerCombined[[#This Row],[ID]], Table4[ID], Table4[Recency], "Not Found", 0)</f>
        <v>6</v>
      </c>
      <c r="K955" s="5">
        <f>_xlfn.XLOOKUP(CustomerCombined[[#This Row],[ID]], Table4[ID], Table4[Teas], "Not Found", 0)</f>
        <v>214</v>
      </c>
      <c r="L955" s="5">
        <f>_xlfn.XLOOKUP(CustomerCombined[[#This Row],[ID]], Table4[ID], Table4[Fruits], "Not Found", 0)</f>
        <v>0</v>
      </c>
      <c r="M955" s="5">
        <f>_xlfn.XLOOKUP(CustomerCombined[[#This Row],[ID]], Table4[ID], Table4[Meats], "Not Found", 0)</f>
        <v>50</v>
      </c>
      <c r="N955" s="5">
        <f>_xlfn.XLOOKUP(CustomerCombined[[#This Row],[ID]], Table4[ID], Table4[Seafood], "Not Found", 0)</f>
        <v>0</v>
      </c>
      <c r="O955" s="5">
        <f>_xlfn.XLOOKUP(CustomerCombined[[#This Row],[ID]], Table4[ID], Table4[Sweets], "Not Found", 0)</f>
        <v>0</v>
      </c>
      <c r="P955" s="5">
        <f>_xlfn.XLOOKUP(CustomerCombined[[#This Row],[ID]], Table4[ID], Table4[Premium], "Not Found", 0)</f>
        <v>25</v>
      </c>
      <c r="Q955" s="5">
        <f>_xlfn.XLOOKUP(CustomerCombined[[#This Row],[ID]], Table4[ID], Table4[Regular], "Not Found", 0)</f>
        <v>240</v>
      </c>
      <c r="R955" s="5">
        <f>_xlfn.XLOOKUP(CustomerCombined[[#This Row],[ID]], Table4[ID], Table4[Deals], "Not Found", 0)</f>
        <v>3</v>
      </c>
      <c r="S955" s="5">
        <f>_xlfn.XLOOKUP(CustomerCombined[[#This Row],[ID]], Table4[ID], Table4[Website], "Not Found", 0)</f>
        <v>2</v>
      </c>
      <c r="T955" s="5">
        <f>_xlfn.XLOOKUP(CustomerCombined[[#This Row],[ID]], Table4[ID], Table4[Catalog], "Not Found", 0)</f>
        <v>0</v>
      </c>
      <c r="U955" s="5">
        <f>_xlfn.XLOOKUP(CustomerCombined[[#This Row],[ID]], Table4[ID], Table4[Store], "Not Found", 0)</f>
        <v>4</v>
      </c>
      <c r="V955" s="5">
        <f>_xlfn.XLOOKUP(CustomerCombined[[#This Row],[ID]], Table4[ID], Table4[Visits], "Not Found", 0)</f>
        <v>7</v>
      </c>
      <c r="W955" s="8">
        <f>_xlfn.XLOOKUP(CustomerCombined[[#This Row],[ID]], Table2[ID],Table2[Complaint], "Not Found", 0 )</f>
        <v>0</v>
      </c>
      <c r="X955" s="8">
        <f>_xlfn.XLOOKUP(CustomerCombined[[#This Row],[ID]], Table2[ID],Table2[Pilot], "Not Found", 0 )</f>
        <v>0</v>
      </c>
      <c r="Y955" s="8">
        <f>_xlfn.XLOOKUP(CustomerCombined[[#This Row],[ID]], Table2[ID],Table2[MC1], "Not Found", 0 )</f>
        <v>0</v>
      </c>
      <c r="Z955" s="8">
        <f>_xlfn.XLOOKUP(CustomerCombined[[#This Row],[ID]], Table2[ID],Table2[MC2], "Not Found", 0 )</f>
        <v>0</v>
      </c>
      <c r="AA955" s="8">
        <f>_xlfn.XLOOKUP(CustomerCombined[[#This Row],[ID]], Table2[ID],Table2[MC3], "Not Found", 0 )</f>
        <v>0</v>
      </c>
      <c r="AB955" s="8">
        <f>_xlfn.XLOOKUP(CustomerCombined[[#This Row],[ID]], Table2[ID],Table2[MC4], "Not Found", 0 )</f>
        <v>0</v>
      </c>
      <c r="AC955" s="8">
        <f>_xlfn.XLOOKUP(CustomerCombined[[#This Row],[ID]], Table2[ID],Table2[MC5], "Not Found", 0 )</f>
        <v>0</v>
      </c>
    </row>
    <row r="956" spans="1:29" x14ac:dyDescent="0.3">
      <c r="A956" s="6">
        <v>2979</v>
      </c>
      <c r="B956" s="6">
        <v>146423</v>
      </c>
      <c r="C956" s="6">
        <v>1</v>
      </c>
      <c r="D956" s="6">
        <v>1</v>
      </c>
      <c r="E956" s="6">
        <v>48</v>
      </c>
      <c r="F956" s="5" t="s">
        <v>7</v>
      </c>
      <c r="G956" s="5" t="s">
        <v>12</v>
      </c>
      <c r="H956" s="3" t="s">
        <v>181</v>
      </c>
      <c r="I956" s="5" t="s">
        <v>435</v>
      </c>
      <c r="J956" s="5">
        <f>_xlfn.XLOOKUP(CustomerCombined[[#This Row],[ID]], Table4[ID], Table4[Recency], "Not Found", 0)</f>
        <v>6</v>
      </c>
      <c r="K956" s="5">
        <f>_xlfn.XLOOKUP(CustomerCombined[[#This Row],[ID]], Table4[ID], Table4[Teas], "Not Found", 0)</f>
        <v>214</v>
      </c>
      <c r="L956" s="5">
        <f>_xlfn.XLOOKUP(CustomerCombined[[#This Row],[ID]], Table4[ID], Table4[Fruits], "Not Found", 0)</f>
        <v>0</v>
      </c>
      <c r="M956" s="5">
        <f>_xlfn.XLOOKUP(CustomerCombined[[#This Row],[ID]], Table4[ID], Table4[Meats], "Not Found", 0)</f>
        <v>50</v>
      </c>
      <c r="N956" s="5">
        <f>_xlfn.XLOOKUP(CustomerCombined[[#This Row],[ID]], Table4[ID], Table4[Seafood], "Not Found", 0)</f>
        <v>0</v>
      </c>
      <c r="O956" s="5">
        <f>_xlfn.XLOOKUP(CustomerCombined[[#This Row],[ID]], Table4[ID], Table4[Sweets], "Not Found", 0)</f>
        <v>0</v>
      </c>
      <c r="P956" s="5">
        <f>_xlfn.XLOOKUP(CustomerCombined[[#This Row],[ID]], Table4[ID], Table4[Premium], "Not Found", 0)</f>
        <v>25</v>
      </c>
      <c r="Q956" s="5">
        <f>_xlfn.XLOOKUP(CustomerCombined[[#This Row],[ID]], Table4[ID], Table4[Regular], "Not Found", 0)</f>
        <v>240</v>
      </c>
      <c r="R956" s="5">
        <f>_xlfn.XLOOKUP(CustomerCombined[[#This Row],[ID]], Table4[ID], Table4[Deals], "Not Found", 0)</f>
        <v>3</v>
      </c>
      <c r="S956" s="5">
        <f>_xlfn.XLOOKUP(CustomerCombined[[#This Row],[ID]], Table4[ID], Table4[Website], "Not Found", 0)</f>
        <v>2</v>
      </c>
      <c r="T956" s="5">
        <f>_xlfn.XLOOKUP(CustomerCombined[[#This Row],[ID]], Table4[ID], Table4[Catalog], "Not Found", 0)</f>
        <v>0</v>
      </c>
      <c r="U956" s="5">
        <f>_xlfn.XLOOKUP(CustomerCombined[[#This Row],[ID]], Table4[ID], Table4[Store], "Not Found", 0)</f>
        <v>4</v>
      </c>
      <c r="V956" s="5">
        <f>_xlfn.XLOOKUP(CustomerCombined[[#This Row],[ID]], Table4[ID], Table4[Visits], "Not Found", 0)</f>
        <v>7</v>
      </c>
      <c r="W956" s="8">
        <f>_xlfn.XLOOKUP(CustomerCombined[[#This Row],[ID]], Table2[ID],Table2[Complaint], "Not Found", 0 )</f>
        <v>0</v>
      </c>
      <c r="X956" s="8">
        <f>_xlfn.XLOOKUP(CustomerCombined[[#This Row],[ID]], Table2[ID],Table2[Pilot], "Not Found", 0 )</f>
        <v>0</v>
      </c>
      <c r="Y956" s="8">
        <f>_xlfn.XLOOKUP(CustomerCombined[[#This Row],[ID]], Table2[ID],Table2[MC1], "Not Found", 0 )</f>
        <v>0</v>
      </c>
      <c r="Z956" s="8">
        <f>_xlfn.XLOOKUP(CustomerCombined[[#This Row],[ID]], Table2[ID],Table2[MC2], "Not Found", 0 )</f>
        <v>0</v>
      </c>
      <c r="AA956" s="8">
        <f>_xlfn.XLOOKUP(CustomerCombined[[#This Row],[ID]], Table2[ID],Table2[MC3], "Not Found", 0 )</f>
        <v>0</v>
      </c>
      <c r="AB956" s="8">
        <f>_xlfn.XLOOKUP(CustomerCombined[[#This Row],[ID]], Table2[ID],Table2[MC4], "Not Found", 0 )</f>
        <v>0</v>
      </c>
      <c r="AC956" s="8">
        <f>_xlfn.XLOOKUP(CustomerCombined[[#This Row],[ID]], Table2[ID],Table2[MC5], "Not Found", 0 )</f>
        <v>0</v>
      </c>
    </row>
    <row r="957" spans="1:29" x14ac:dyDescent="0.3">
      <c r="A957" s="6">
        <v>1142</v>
      </c>
      <c r="B957" s="6">
        <v>146344</v>
      </c>
      <c r="C957" s="6">
        <v>0</v>
      </c>
      <c r="D957" s="6">
        <v>1</v>
      </c>
      <c r="E957" s="6">
        <v>48</v>
      </c>
      <c r="F957" s="5" t="s">
        <v>8</v>
      </c>
      <c r="G957" s="5" t="s">
        <v>442</v>
      </c>
      <c r="H957" s="3" t="s">
        <v>345</v>
      </c>
      <c r="I957" s="5" t="s">
        <v>438</v>
      </c>
      <c r="J957" s="5">
        <f>_xlfn.XLOOKUP(CustomerCombined[[#This Row],[ID]], Table4[ID], Table4[Recency], "Not Found", 0)</f>
        <v>28</v>
      </c>
      <c r="K957" s="5">
        <f>_xlfn.XLOOKUP(CustomerCombined[[#This Row],[ID]], Table4[ID], Table4[Teas], "Not Found", 0)</f>
        <v>736</v>
      </c>
      <c r="L957" s="5">
        <f>_xlfn.XLOOKUP(CustomerCombined[[#This Row],[ID]], Table4[ID], Table4[Fruits], "Not Found", 0)</f>
        <v>63</v>
      </c>
      <c r="M957" s="5">
        <f>_xlfn.XLOOKUP(CustomerCombined[[#This Row],[ID]], Table4[ID], Table4[Meats], "Not Found", 0)</f>
        <v>180</v>
      </c>
      <c r="N957" s="5">
        <f>_xlfn.XLOOKUP(CustomerCombined[[#This Row],[ID]], Table4[ID], Table4[Seafood], "Not Found", 0)</f>
        <v>25</v>
      </c>
      <c r="O957" s="5">
        <f>_xlfn.XLOOKUP(CustomerCombined[[#This Row],[ID]], Table4[ID], Table4[Sweets], "Not Found", 0)</f>
        <v>63</v>
      </c>
      <c r="P957" s="5">
        <f>_xlfn.XLOOKUP(CustomerCombined[[#This Row],[ID]], Table4[ID], Table4[Premium], "Not Found", 0)</f>
        <v>287</v>
      </c>
      <c r="Q957" s="5">
        <f>_xlfn.XLOOKUP(CustomerCombined[[#This Row],[ID]], Table4[ID], Table4[Regular], "Not Found", 0)</f>
        <v>780</v>
      </c>
      <c r="R957" s="5">
        <f>_xlfn.XLOOKUP(CustomerCombined[[#This Row],[ID]], Table4[ID], Table4[Deals], "Not Found", 0)</f>
        <v>4</v>
      </c>
      <c r="S957" s="5">
        <f>_xlfn.XLOOKUP(CustomerCombined[[#This Row],[ID]], Table4[ID], Table4[Website], "Not Found", 0)</f>
        <v>7</v>
      </c>
      <c r="T957" s="5">
        <f>_xlfn.XLOOKUP(CustomerCombined[[#This Row],[ID]], Table4[ID], Table4[Catalog], "Not Found", 0)</f>
        <v>1</v>
      </c>
      <c r="U957" s="5">
        <f>_xlfn.XLOOKUP(CustomerCombined[[#This Row],[ID]], Table4[ID], Table4[Store], "Not Found", 0)</f>
        <v>5</v>
      </c>
      <c r="V957" s="5">
        <f>_xlfn.XLOOKUP(CustomerCombined[[#This Row],[ID]], Table4[ID], Table4[Visits], "Not Found", 0)</f>
        <v>7</v>
      </c>
      <c r="W957" s="8">
        <f>_xlfn.XLOOKUP(CustomerCombined[[#This Row],[ID]], Table2[ID],Table2[Complaint], "Not Found", 0 )</f>
        <v>0</v>
      </c>
      <c r="X957" s="8">
        <f>_xlfn.XLOOKUP(CustomerCombined[[#This Row],[ID]], Table2[ID],Table2[Pilot], "Not Found", 0 )</f>
        <v>0</v>
      </c>
      <c r="Y957" s="8">
        <f>_xlfn.XLOOKUP(CustomerCombined[[#This Row],[ID]], Table2[ID],Table2[MC1], "Not Found", 0 )</f>
        <v>0</v>
      </c>
      <c r="Z957" s="8">
        <f>_xlfn.XLOOKUP(CustomerCombined[[#This Row],[ID]], Table2[ID],Table2[MC2], "Not Found", 0 )</f>
        <v>0</v>
      </c>
      <c r="AA957" s="8">
        <f>_xlfn.XLOOKUP(CustomerCombined[[#This Row],[ID]], Table2[ID],Table2[MC3], "Not Found", 0 )</f>
        <v>0</v>
      </c>
      <c r="AB957" s="8">
        <f>_xlfn.XLOOKUP(CustomerCombined[[#This Row],[ID]], Table2[ID],Table2[MC4], "Not Found", 0 )</f>
        <v>0</v>
      </c>
      <c r="AC957" s="8">
        <f>_xlfn.XLOOKUP(CustomerCombined[[#This Row],[ID]], Table2[ID],Table2[MC5], "Not Found", 0 )</f>
        <v>0</v>
      </c>
    </row>
    <row r="958" spans="1:29" x14ac:dyDescent="0.3">
      <c r="A958" s="6">
        <v>2426</v>
      </c>
      <c r="B958" s="6">
        <v>146053</v>
      </c>
      <c r="C958" s="6">
        <v>1</v>
      </c>
      <c r="D958" s="6">
        <v>0</v>
      </c>
      <c r="E958" s="6">
        <v>48</v>
      </c>
      <c r="F958" s="5" t="s">
        <v>8</v>
      </c>
      <c r="G958" s="5" t="s">
        <v>11</v>
      </c>
      <c r="H958" s="3" t="s">
        <v>306</v>
      </c>
      <c r="I958" s="5" t="s">
        <v>438</v>
      </c>
      <c r="J958" s="5">
        <f>_xlfn.XLOOKUP(CustomerCombined[[#This Row],[ID]], Table4[ID], Table4[Recency], "Not Found", 0)</f>
        <v>46</v>
      </c>
      <c r="K958" s="5">
        <f>_xlfn.XLOOKUP(CustomerCombined[[#This Row],[ID]], Table4[ID], Table4[Teas], "Not Found", 0)</f>
        <v>178</v>
      </c>
      <c r="L958" s="5">
        <f>_xlfn.XLOOKUP(CustomerCombined[[#This Row],[ID]], Table4[ID], Table4[Fruits], "Not Found", 0)</f>
        <v>32</v>
      </c>
      <c r="M958" s="5">
        <f>_xlfn.XLOOKUP(CustomerCombined[[#This Row],[ID]], Table4[ID], Table4[Meats], "Not Found", 0)</f>
        <v>292</v>
      </c>
      <c r="N958" s="5">
        <f>_xlfn.XLOOKUP(CustomerCombined[[#This Row],[ID]], Table4[ID], Table4[Seafood], "Not Found", 0)</f>
        <v>60</v>
      </c>
      <c r="O958" s="5">
        <f>_xlfn.XLOOKUP(CustomerCombined[[#This Row],[ID]], Table4[ID], Table4[Sweets], "Not Found", 0)</f>
        <v>22</v>
      </c>
      <c r="P958" s="5">
        <f>_xlfn.XLOOKUP(CustomerCombined[[#This Row],[ID]], Table4[ID], Table4[Premium], "Not Found", 0)</f>
        <v>79</v>
      </c>
      <c r="Q958" s="5">
        <f>_xlfn.XLOOKUP(CustomerCombined[[#This Row],[ID]], Table4[ID], Table4[Regular], "Not Found", 0)</f>
        <v>504</v>
      </c>
      <c r="R958" s="5">
        <f>_xlfn.XLOOKUP(CustomerCombined[[#This Row],[ID]], Table4[ID], Table4[Deals], "Not Found", 0)</f>
        <v>3</v>
      </c>
      <c r="S958" s="5">
        <f>_xlfn.XLOOKUP(CustomerCombined[[#This Row],[ID]], Table4[ID], Table4[Website], "Not Found", 0)</f>
        <v>3</v>
      </c>
      <c r="T958" s="5">
        <f>_xlfn.XLOOKUP(CustomerCombined[[#This Row],[ID]], Table4[ID], Table4[Catalog], "Not Found", 0)</f>
        <v>2</v>
      </c>
      <c r="U958" s="5">
        <f>_xlfn.XLOOKUP(CustomerCombined[[#This Row],[ID]], Table4[ID], Table4[Store], "Not Found", 0)</f>
        <v>4</v>
      </c>
      <c r="V958" s="5">
        <f>_xlfn.XLOOKUP(CustomerCombined[[#This Row],[ID]], Table4[ID], Table4[Visits], "Not Found", 0)</f>
        <v>5</v>
      </c>
      <c r="W958" s="8">
        <f>_xlfn.XLOOKUP(CustomerCombined[[#This Row],[ID]], Table2[ID],Table2[Complaint], "Not Found", 0 )</f>
        <v>0</v>
      </c>
      <c r="X958" s="8">
        <f>_xlfn.XLOOKUP(CustomerCombined[[#This Row],[ID]], Table2[ID],Table2[Pilot], "Not Found", 0 )</f>
        <v>0</v>
      </c>
      <c r="Y958" s="8">
        <f>_xlfn.XLOOKUP(CustomerCombined[[#This Row],[ID]], Table2[ID],Table2[MC1], "Not Found", 0 )</f>
        <v>0</v>
      </c>
      <c r="Z958" s="8">
        <f>_xlfn.XLOOKUP(CustomerCombined[[#This Row],[ID]], Table2[ID],Table2[MC2], "Not Found", 0 )</f>
        <v>0</v>
      </c>
      <c r="AA958" s="8">
        <f>_xlfn.XLOOKUP(CustomerCombined[[#This Row],[ID]], Table2[ID],Table2[MC3], "Not Found", 0 )</f>
        <v>0</v>
      </c>
      <c r="AB958" s="8">
        <f>_xlfn.XLOOKUP(CustomerCombined[[#This Row],[ID]], Table2[ID],Table2[MC4], "Not Found", 0 )</f>
        <v>0</v>
      </c>
      <c r="AC958" s="8">
        <f>_xlfn.XLOOKUP(CustomerCombined[[#This Row],[ID]], Table2[ID],Table2[MC5], "Not Found", 0 )</f>
        <v>0</v>
      </c>
    </row>
    <row r="959" spans="1:29" x14ac:dyDescent="0.3">
      <c r="A959" s="6">
        <v>2847</v>
      </c>
      <c r="B959" s="6">
        <v>144503</v>
      </c>
      <c r="C959" s="6">
        <v>1</v>
      </c>
      <c r="D959" s="6">
        <v>1</v>
      </c>
      <c r="E959" s="6">
        <v>48</v>
      </c>
      <c r="F959" s="5" t="s">
        <v>7</v>
      </c>
      <c r="G959" s="5" t="s">
        <v>11</v>
      </c>
      <c r="H959" s="3" t="s">
        <v>66</v>
      </c>
      <c r="I959" s="5" t="s">
        <v>435</v>
      </c>
      <c r="J959" s="5">
        <f>_xlfn.XLOOKUP(CustomerCombined[[#This Row],[ID]], Table4[ID], Table4[Recency], "Not Found", 0)</f>
        <v>83</v>
      </c>
      <c r="K959" s="5">
        <f>_xlfn.XLOOKUP(CustomerCombined[[#This Row],[ID]], Table4[ID], Table4[Teas], "Not Found", 0)</f>
        <v>101</v>
      </c>
      <c r="L959" s="5">
        <f>_xlfn.XLOOKUP(CustomerCombined[[#This Row],[ID]], Table4[ID], Table4[Fruits], "Not Found", 0)</f>
        <v>3</v>
      </c>
      <c r="M959" s="5">
        <f>_xlfn.XLOOKUP(CustomerCombined[[#This Row],[ID]], Table4[ID], Table4[Meats], "Not Found", 0)</f>
        <v>26</v>
      </c>
      <c r="N959" s="5">
        <f>_xlfn.XLOOKUP(CustomerCombined[[#This Row],[ID]], Table4[ID], Table4[Seafood], "Not Found", 0)</f>
        <v>0</v>
      </c>
      <c r="O959" s="5">
        <f>_xlfn.XLOOKUP(CustomerCombined[[#This Row],[ID]], Table4[ID], Table4[Sweets], "Not Found", 0)</f>
        <v>0</v>
      </c>
      <c r="P959" s="5">
        <f>_xlfn.XLOOKUP(CustomerCombined[[#This Row],[ID]], Table4[ID], Table4[Premium], "Not Found", 0)</f>
        <v>26</v>
      </c>
      <c r="Q959" s="5">
        <f>_xlfn.XLOOKUP(CustomerCombined[[#This Row],[ID]], Table4[ID], Table4[Regular], "Not Found", 0)</f>
        <v>104</v>
      </c>
      <c r="R959" s="5">
        <f>_xlfn.XLOOKUP(CustomerCombined[[#This Row],[ID]], Table4[ID], Table4[Deals], "Not Found", 0)</f>
        <v>2</v>
      </c>
      <c r="S959" s="5">
        <f>_xlfn.XLOOKUP(CustomerCombined[[#This Row],[ID]], Table4[ID], Table4[Website], "Not Found", 0)</f>
        <v>2</v>
      </c>
      <c r="T959" s="5">
        <f>_xlfn.XLOOKUP(CustomerCombined[[#This Row],[ID]], Table4[ID], Table4[Catalog], "Not Found", 0)</f>
        <v>0</v>
      </c>
      <c r="U959" s="5">
        <f>_xlfn.XLOOKUP(CustomerCombined[[#This Row],[ID]], Table4[ID], Table4[Store], "Not Found", 0)</f>
        <v>3</v>
      </c>
      <c r="V959" s="5">
        <f>_xlfn.XLOOKUP(CustomerCombined[[#This Row],[ID]], Table4[ID], Table4[Visits], "Not Found", 0)</f>
        <v>6</v>
      </c>
      <c r="W959" s="8">
        <f>_xlfn.XLOOKUP(CustomerCombined[[#This Row],[ID]], Table2[ID],Table2[Complaint], "Not Found", 0 )</f>
        <v>0</v>
      </c>
      <c r="X959" s="8">
        <f>_xlfn.XLOOKUP(CustomerCombined[[#This Row],[ID]], Table2[ID],Table2[Pilot], "Not Found", 0 )</f>
        <v>0</v>
      </c>
      <c r="Y959" s="8">
        <f>_xlfn.XLOOKUP(CustomerCombined[[#This Row],[ID]], Table2[ID],Table2[MC1], "Not Found", 0 )</f>
        <v>0</v>
      </c>
      <c r="Z959" s="8">
        <f>_xlfn.XLOOKUP(CustomerCombined[[#This Row],[ID]], Table2[ID],Table2[MC2], "Not Found", 0 )</f>
        <v>0</v>
      </c>
      <c r="AA959" s="8">
        <f>_xlfn.XLOOKUP(CustomerCombined[[#This Row],[ID]], Table2[ID],Table2[MC3], "Not Found", 0 )</f>
        <v>0</v>
      </c>
      <c r="AB959" s="8">
        <f>_xlfn.XLOOKUP(CustomerCombined[[#This Row],[ID]], Table2[ID],Table2[MC4], "Not Found", 0 )</f>
        <v>0</v>
      </c>
      <c r="AC959" s="8">
        <f>_xlfn.XLOOKUP(CustomerCombined[[#This Row],[ID]], Table2[ID],Table2[MC5], "Not Found", 0 )</f>
        <v>0</v>
      </c>
    </row>
    <row r="960" spans="1:29" x14ac:dyDescent="0.3">
      <c r="A960" s="6">
        <v>3149</v>
      </c>
      <c r="B960" s="6">
        <v>144325</v>
      </c>
      <c r="C960" s="6">
        <v>0</v>
      </c>
      <c r="D960" s="6">
        <v>1</v>
      </c>
      <c r="E960" s="6">
        <v>48</v>
      </c>
      <c r="F960" s="5" t="s">
        <v>6</v>
      </c>
      <c r="G960" s="5" t="s">
        <v>13</v>
      </c>
      <c r="H960" s="3">
        <v>43807</v>
      </c>
      <c r="I960" s="5" t="s">
        <v>434</v>
      </c>
      <c r="J960" s="5">
        <f>_xlfn.XLOOKUP(CustomerCombined[[#This Row],[ID]], Table4[ID], Table4[Recency], "Not Found", 0)</f>
        <v>69</v>
      </c>
      <c r="K960" s="5">
        <f>_xlfn.XLOOKUP(CustomerCombined[[#This Row],[ID]], Table4[ID], Table4[Teas], "Not Found", 0)</f>
        <v>1680</v>
      </c>
      <c r="L960" s="5">
        <f>_xlfn.XLOOKUP(CustomerCombined[[#This Row],[ID]], Table4[ID], Table4[Fruits], "Not Found", 0)</f>
        <v>0</v>
      </c>
      <c r="M960" s="5">
        <f>_xlfn.XLOOKUP(CustomerCombined[[#This Row],[ID]], Table4[ID], Table4[Meats], "Not Found", 0)</f>
        <v>68</v>
      </c>
      <c r="N960" s="5">
        <f>_xlfn.XLOOKUP(CustomerCombined[[#This Row],[ID]], Table4[ID], Table4[Seafood], "Not Found", 0)</f>
        <v>0</v>
      </c>
      <c r="O960" s="5">
        <f>_xlfn.XLOOKUP(CustomerCombined[[#This Row],[ID]], Table4[ID], Table4[Sweets], "Not Found", 0)</f>
        <v>0</v>
      </c>
      <c r="P960" s="5">
        <f>_xlfn.XLOOKUP(CustomerCombined[[#This Row],[ID]], Table4[ID], Table4[Premium], "Not Found", 0)</f>
        <v>16</v>
      </c>
      <c r="Q960" s="5">
        <f>_xlfn.XLOOKUP(CustomerCombined[[#This Row],[ID]], Table4[ID], Table4[Regular], "Not Found", 0)</f>
        <v>1732</v>
      </c>
      <c r="R960" s="5">
        <f>_xlfn.XLOOKUP(CustomerCombined[[#This Row],[ID]], Table4[ID], Table4[Deals], "Not Found", 0)</f>
        <v>4</v>
      </c>
      <c r="S960" s="5">
        <f>_xlfn.XLOOKUP(CustomerCombined[[#This Row],[ID]], Table4[ID], Table4[Website], "Not Found", 0)</f>
        <v>8</v>
      </c>
      <c r="T960" s="5">
        <f>_xlfn.XLOOKUP(CustomerCombined[[#This Row],[ID]], Table4[ID], Table4[Catalog], "Not Found", 0)</f>
        <v>2</v>
      </c>
      <c r="U960" s="5">
        <f>_xlfn.XLOOKUP(CustomerCombined[[#This Row],[ID]], Table4[ID], Table4[Store], "Not Found", 0)</f>
        <v>7</v>
      </c>
      <c r="V960" s="5">
        <f>_xlfn.XLOOKUP(CustomerCombined[[#This Row],[ID]], Table4[ID], Table4[Visits], "Not Found", 0)</f>
        <v>8</v>
      </c>
      <c r="W960" s="8">
        <f>_xlfn.XLOOKUP(CustomerCombined[[#This Row],[ID]], Table2[ID],Table2[Complaint], "Not Found", 0 )</f>
        <v>0</v>
      </c>
      <c r="X960" s="8">
        <f>_xlfn.XLOOKUP(CustomerCombined[[#This Row],[ID]], Table2[ID],Table2[Pilot], "Not Found", 0 )</f>
        <v>0</v>
      </c>
      <c r="Y960" s="8">
        <f>_xlfn.XLOOKUP(CustomerCombined[[#This Row],[ID]], Table2[ID],Table2[MC1], "Not Found", 0 )</f>
        <v>0</v>
      </c>
      <c r="Z960" s="8">
        <f>_xlfn.XLOOKUP(CustomerCombined[[#This Row],[ID]], Table2[ID],Table2[MC2], "Not Found", 0 )</f>
        <v>0</v>
      </c>
      <c r="AA960" s="8">
        <f>_xlfn.XLOOKUP(CustomerCombined[[#This Row],[ID]], Table2[ID],Table2[MC3], "Not Found", 0 )</f>
        <v>0</v>
      </c>
      <c r="AB960" s="8">
        <f>_xlfn.XLOOKUP(CustomerCombined[[#This Row],[ID]], Table2[ID],Table2[MC4], "Not Found", 0 )</f>
        <v>1</v>
      </c>
      <c r="AC960" s="8">
        <f>_xlfn.XLOOKUP(CustomerCombined[[#This Row],[ID]], Table2[ID],Table2[MC5], "Not Found", 0 )</f>
        <v>0</v>
      </c>
    </row>
    <row r="961" spans="1:29" x14ac:dyDescent="0.3">
      <c r="A961" s="6">
        <v>2403</v>
      </c>
      <c r="B961" s="6">
        <v>143269</v>
      </c>
      <c r="C961" s="6">
        <v>1</v>
      </c>
      <c r="D961" s="6">
        <v>0</v>
      </c>
      <c r="E961" s="6">
        <v>48</v>
      </c>
      <c r="F961" s="5" t="s">
        <v>6</v>
      </c>
      <c r="G961" s="5" t="s">
        <v>13</v>
      </c>
      <c r="H961" s="3" t="s">
        <v>183</v>
      </c>
      <c r="I961" s="5" t="s">
        <v>435</v>
      </c>
      <c r="J961" s="5">
        <f>_xlfn.XLOOKUP(CustomerCombined[[#This Row],[ID]], Table4[ID], Table4[Recency], "Not Found", 0)</f>
        <v>61</v>
      </c>
      <c r="K961" s="5">
        <f>_xlfn.XLOOKUP(CustomerCombined[[#This Row],[ID]], Table4[ID], Table4[Teas], "Not Found", 0)</f>
        <v>33</v>
      </c>
      <c r="L961" s="5">
        <f>_xlfn.XLOOKUP(CustomerCombined[[#This Row],[ID]], Table4[ID], Table4[Fruits], "Not Found", 0)</f>
        <v>3</v>
      </c>
      <c r="M961" s="5">
        <f>_xlfn.XLOOKUP(CustomerCombined[[#This Row],[ID]], Table4[ID], Table4[Meats], "Not Found", 0)</f>
        <v>23</v>
      </c>
      <c r="N961" s="5">
        <f>_xlfn.XLOOKUP(CustomerCombined[[#This Row],[ID]], Table4[ID], Table4[Seafood], "Not Found", 0)</f>
        <v>0</v>
      </c>
      <c r="O961" s="5">
        <f>_xlfn.XLOOKUP(CustomerCombined[[#This Row],[ID]], Table4[ID], Table4[Sweets], "Not Found", 0)</f>
        <v>0</v>
      </c>
      <c r="P961" s="5">
        <f>_xlfn.XLOOKUP(CustomerCombined[[#This Row],[ID]], Table4[ID], Table4[Premium], "Not Found", 0)</f>
        <v>3</v>
      </c>
      <c r="Q961" s="5">
        <f>_xlfn.XLOOKUP(CustomerCombined[[#This Row],[ID]], Table4[ID], Table4[Regular], "Not Found", 0)</f>
        <v>56</v>
      </c>
      <c r="R961" s="5">
        <f>_xlfn.XLOOKUP(CustomerCombined[[#This Row],[ID]], Table4[ID], Table4[Deals], "Not Found", 0)</f>
        <v>1</v>
      </c>
      <c r="S961" s="5">
        <f>_xlfn.XLOOKUP(CustomerCombined[[#This Row],[ID]], Table4[ID], Table4[Website], "Not Found", 0)</f>
        <v>1</v>
      </c>
      <c r="T961" s="5">
        <f>_xlfn.XLOOKUP(CustomerCombined[[#This Row],[ID]], Table4[ID], Table4[Catalog], "Not Found", 0)</f>
        <v>0</v>
      </c>
      <c r="U961" s="5">
        <f>_xlfn.XLOOKUP(CustomerCombined[[#This Row],[ID]], Table4[ID], Table4[Store], "Not Found", 0)</f>
        <v>2</v>
      </c>
      <c r="V961" s="5">
        <f>_xlfn.XLOOKUP(CustomerCombined[[#This Row],[ID]], Table4[ID], Table4[Visits], "Not Found", 0)</f>
        <v>8</v>
      </c>
      <c r="W961" s="8">
        <f>_xlfn.XLOOKUP(CustomerCombined[[#This Row],[ID]], Table2[ID],Table2[Complaint], "Not Found", 0 )</f>
        <v>0</v>
      </c>
      <c r="X961" s="8">
        <f>_xlfn.XLOOKUP(CustomerCombined[[#This Row],[ID]], Table2[ID],Table2[Pilot], "Not Found", 0 )</f>
        <v>0</v>
      </c>
      <c r="Y961" s="8">
        <f>_xlfn.XLOOKUP(CustomerCombined[[#This Row],[ID]], Table2[ID],Table2[MC1], "Not Found", 0 )</f>
        <v>0</v>
      </c>
      <c r="Z961" s="8">
        <f>_xlfn.XLOOKUP(CustomerCombined[[#This Row],[ID]], Table2[ID],Table2[MC2], "Not Found", 0 )</f>
        <v>0</v>
      </c>
      <c r="AA961" s="8">
        <f>_xlfn.XLOOKUP(CustomerCombined[[#This Row],[ID]], Table2[ID],Table2[MC3], "Not Found", 0 )</f>
        <v>0</v>
      </c>
      <c r="AB961" s="8">
        <f>_xlfn.XLOOKUP(CustomerCombined[[#This Row],[ID]], Table2[ID],Table2[MC4], "Not Found", 0 )</f>
        <v>0</v>
      </c>
      <c r="AC961" s="8">
        <f>_xlfn.XLOOKUP(CustomerCombined[[#This Row],[ID]], Table2[ID],Table2[MC5], "Not Found", 0 )</f>
        <v>0</v>
      </c>
    </row>
    <row r="962" spans="1:29" x14ac:dyDescent="0.3">
      <c r="A962" s="6">
        <v>1430</v>
      </c>
      <c r="B962" s="6">
        <v>142618</v>
      </c>
      <c r="C962" s="6">
        <v>1</v>
      </c>
      <c r="D962" s="6">
        <v>0</v>
      </c>
      <c r="E962" s="6">
        <v>48</v>
      </c>
      <c r="F962" s="5" t="s">
        <v>5</v>
      </c>
      <c r="G962" s="5" t="s">
        <v>12</v>
      </c>
      <c r="H962" s="3" t="s">
        <v>173</v>
      </c>
      <c r="I962" s="5" t="s">
        <v>438</v>
      </c>
      <c r="J962" s="5">
        <f>_xlfn.XLOOKUP(CustomerCombined[[#This Row],[ID]], Table4[ID], Table4[Recency], "Not Found", 0)</f>
        <v>92</v>
      </c>
      <c r="K962" s="5">
        <f>_xlfn.XLOOKUP(CustomerCombined[[#This Row],[ID]], Table4[ID], Table4[Teas], "Not Found", 0)</f>
        <v>254</v>
      </c>
      <c r="L962" s="5">
        <f>_xlfn.XLOOKUP(CustomerCombined[[#This Row],[ID]], Table4[ID], Table4[Fruits], "Not Found", 0)</f>
        <v>47</v>
      </c>
      <c r="M962" s="5">
        <f>_xlfn.XLOOKUP(CustomerCombined[[#This Row],[ID]], Table4[ID], Table4[Meats], "Not Found", 0)</f>
        <v>248</v>
      </c>
      <c r="N962" s="5">
        <f>_xlfn.XLOOKUP(CustomerCombined[[#This Row],[ID]], Table4[ID], Table4[Seafood], "Not Found", 0)</f>
        <v>44</v>
      </c>
      <c r="O962" s="5">
        <f>_xlfn.XLOOKUP(CustomerCombined[[#This Row],[ID]], Table4[ID], Table4[Sweets], "Not Found", 0)</f>
        <v>17</v>
      </c>
      <c r="P962" s="5">
        <f>_xlfn.XLOOKUP(CustomerCombined[[#This Row],[ID]], Table4[ID], Table4[Premium], "Not Found", 0)</f>
        <v>33</v>
      </c>
      <c r="Q962" s="5">
        <f>_xlfn.XLOOKUP(CustomerCombined[[#This Row],[ID]], Table4[ID], Table4[Regular], "Not Found", 0)</f>
        <v>576</v>
      </c>
      <c r="R962" s="5">
        <f>_xlfn.XLOOKUP(CustomerCombined[[#This Row],[ID]], Table4[ID], Table4[Deals], "Not Found", 0)</f>
        <v>2</v>
      </c>
      <c r="S962" s="5">
        <f>_xlfn.XLOOKUP(CustomerCombined[[#This Row],[ID]], Table4[ID], Table4[Website], "Not Found", 0)</f>
        <v>5</v>
      </c>
      <c r="T962" s="5">
        <f>_xlfn.XLOOKUP(CustomerCombined[[#This Row],[ID]], Table4[ID], Table4[Catalog], "Not Found", 0)</f>
        <v>0</v>
      </c>
      <c r="U962" s="5">
        <f>_xlfn.XLOOKUP(CustomerCombined[[#This Row],[ID]], Table4[ID], Table4[Store], "Not Found", 0)</f>
        <v>4</v>
      </c>
      <c r="V962" s="5">
        <f>_xlfn.XLOOKUP(CustomerCombined[[#This Row],[ID]], Table4[ID], Table4[Visits], "Not Found", 0)</f>
        <v>8</v>
      </c>
      <c r="W962" s="8">
        <f>_xlfn.XLOOKUP(CustomerCombined[[#This Row],[ID]], Table2[ID],Table2[Complaint], "Not Found", 0 )</f>
        <v>0</v>
      </c>
      <c r="X962" s="8">
        <f>_xlfn.XLOOKUP(CustomerCombined[[#This Row],[ID]], Table2[ID],Table2[Pilot], "Not Found", 0 )</f>
        <v>0</v>
      </c>
      <c r="Y962" s="8">
        <f>_xlfn.XLOOKUP(CustomerCombined[[#This Row],[ID]], Table2[ID],Table2[MC1], "Not Found", 0 )</f>
        <v>0</v>
      </c>
      <c r="Z962" s="8">
        <f>_xlfn.XLOOKUP(CustomerCombined[[#This Row],[ID]], Table2[ID],Table2[MC2], "Not Found", 0 )</f>
        <v>0</v>
      </c>
      <c r="AA962" s="8">
        <f>_xlfn.XLOOKUP(CustomerCombined[[#This Row],[ID]], Table2[ID],Table2[MC3], "Not Found", 0 )</f>
        <v>0</v>
      </c>
      <c r="AB962" s="8">
        <f>_xlfn.XLOOKUP(CustomerCombined[[#This Row],[ID]], Table2[ID],Table2[MC4], "Not Found", 0 )</f>
        <v>0</v>
      </c>
      <c r="AC962" s="8">
        <f>_xlfn.XLOOKUP(CustomerCombined[[#This Row],[ID]], Table2[ID],Table2[MC5], "Not Found", 0 )</f>
        <v>0</v>
      </c>
    </row>
    <row r="963" spans="1:29" x14ac:dyDescent="0.3">
      <c r="A963" s="6">
        <v>1085</v>
      </c>
      <c r="B963" s="6">
        <v>142394</v>
      </c>
      <c r="C963" s="6">
        <v>1</v>
      </c>
      <c r="D963" s="6">
        <v>0</v>
      </c>
      <c r="E963" s="6">
        <v>48</v>
      </c>
      <c r="F963" s="5" t="s">
        <v>7</v>
      </c>
      <c r="G963" s="5" t="s">
        <v>12</v>
      </c>
      <c r="H963" s="3" t="s">
        <v>78</v>
      </c>
      <c r="I963" s="5" t="s">
        <v>434</v>
      </c>
      <c r="J963" s="5">
        <f>_xlfn.XLOOKUP(CustomerCombined[[#This Row],[ID]], Table4[ID], Table4[Recency], "Not Found", 0)</f>
        <v>69</v>
      </c>
      <c r="K963" s="5">
        <f>_xlfn.XLOOKUP(CustomerCombined[[#This Row],[ID]], Table4[ID], Table4[Teas], "Not Found", 0)</f>
        <v>50</v>
      </c>
      <c r="L963" s="5">
        <f>_xlfn.XLOOKUP(CustomerCombined[[#This Row],[ID]], Table4[ID], Table4[Fruits], "Not Found", 0)</f>
        <v>7</v>
      </c>
      <c r="M963" s="5">
        <f>_xlfn.XLOOKUP(CustomerCombined[[#This Row],[ID]], Table4[ID], Table4[Meats], "Not Found", 0)</f>
        <v>34</v>
      </c>
      <c r="N963" s="5">
        <f>_xlfn.XLOOKUP(CustomerCombined[[#This Row],[ID]], Table4[ID], Table4[Seafood], "Not Found", 0)</f>
        <v>0</v>
      </c>
      <c r="O963" s="5">
        <f>_xlfn.XLOOKUP(CustomerCombined[[#This Row],[ID]], Table4[ID], Table4[Sweets], "Not Found", 0)</f>
        <v>3</v>
      </c>
      <c r="P963" s="5">
        <f>_xlfn.XLOOKUP(CustomerCombined[[#This Row],[ID]], Table4[ID], Table4[Premium], "Not Found", 0)</f>
        <v>13</v>
      </c>
      <c r="Q963" s="5">
        <f>_xlfn.XLOOKUP(CustomerCombined[[#This Row],[ID]], Table4[ID], Table4[Regular], "Not Found", 0)</f>
        <v>81</v>
      </c>
      <c r="R963" s="5">
        <f>_xlfn.XLOOKUP(CustomerCombined[[#This Row],[ID]], Table4[ID], Table4[Deals], "Not Found", 0)</f>
        <v>1</v>
      </c>
      <c r="S963" s="5">
        <f>_xlfn.XLOOKUP(CustomerCombined[[#This Row],[ID]], Table4[ID], Table4[Website], "Not Found", 0)</f>
        <v>1</v>
      </c>
      <c r="T963" s="5">
        <f>_xlfn.XLOOKUP(CustomerCombined[[#This Row],[ID]], Table4[ID], Table4[Catalog], "Not Found", 0)</f>
        <v>0</v>
      </c>
      <c r="U963" s="5">
        <f>_xlfn.XLOOKUP(CustomerCombined[[#This Row],[ID]], Table4[ID], Table4[Store], "Not Found", 0)</f>
        <v>3</v>
      </c>
      <c r="V963" s="5">
        <f>_xlfn.XLOOKUP(CustomerCombined[[#This Row],[ID]], Table4[ID], Table4[Visits], "Not Found", 0)</f>
        <v>7</v>
      </c>
      <c r="W963" s="8">
        <f>_xlfn.XLOOKUP(CustomerCombined[[#This Row],[ID]], Table2[ID],Table2[Complaint], "Not Found", 0 )</f>
        <v>0</v>
      </c>
      <c r="X963" s="8">
        <f>_xlfn.XLOOKUP(CustomerCombined[[#This Row],[ID]], Table2[ID],Table2[Pilot], "Not Found", 0 )</f>
        <v>0</v>
      </c>
      <c r="Y963" s="8">
        <f>_xlfn.XLOOKUP(CustomerCombined[[#This Row],[ID]], Table2[ID],Table2[MC1], "Not Found", 0 )</f>
        <v>0</v>
      </c>
      <c r="Z963" s="8">
        <f>_xlfn.XLOOKUP(CustomerCombined[[#This Row],[ID]], Table2[ID],Table2[MC2], "Not Found", 0 )</f>
        <v>0</v>
      </c>
      <c r="AA963" s="8">
        <f>_xlfn.XLOOKUP(CustomerCombined[[#This Row],[ID]], Table2[ID],Table2[MC3], "Not Found", 0 )</f>
        <v>0</v>
      </c>
      <c r="AB963" s="8">
        <f>_xlfn.XLOOKUP(CustomerCombined[[#This Row],[ID]], Table2[ID],Table2[MC4], "Not Found", 0 )</f>
        <v>0</v>
      </c>
      <c r="AC963" s="8">
        <f>_xlfn.XLOOKUP(CustomerCombined[[#This Row],[ID]], Table2[ID],Table2[MC5], "Not Found", 0 )</f>
        <v>0</v>
      </c>
    </row>
    <row r="964" spans="1:29" x14ac:dyDescent="0.3">
      <c r="A964" s="6">
        <v>1460</v>
      </c>
      <c r="B964" s="6">
        <v>141644</v>
      </c>
      <c r="C964" s="6">
        <v>1</v>
      </c>
      <c r="D964" s="6">
        <v>1</v>
      </c>
      <c r="E964" s="6">
        <v>48</v>
      </c>
      <c r="F964" s="5" t="s">
        <v>7</v>
      </c>
      <c r="G964" s="5" t="s">
        <v>13</v>
      </c>
      <c r="H964" s="3" t="s">
        <v>55</v>
      </c>
      <c r="I964" s="5" t="s">
        <v>438</v>
      </c>
      <c r="J964" s="5">
        <f>_xlfn.XLOOKUP(CustomerCombined[[#This Row],[ID]], Table4[ID], Table4[Recency], "Not Found", 0)</f>
        <v>67</v>
      </c>
      <c r="K964" s="5">
        <f>_xlfn.XLOOKUP(CustomerCombined[[#This Row],[ID]], Table4[ID], Table4[Teas], "Not Found", 0)</f>
        <v>68</v>
      </c>
      <c r="L964" s="5">
        <f>_xlfn.XLOOKUP(CustomerCombined[[#This Row],[ID]], Table4[ID], Table4[Fruits], "Not Found", 0)</f>
        <v>10</v>
      </c>
      <c r="M964" s="5">
        <f>_xlfn.XLOOKUP(CustomerCombined[[#This Row],[ID]], Table4[ID], Table4[Meats], "Not Found", 0)</f>
        <v>14</v>
      </c>
      <c r="N964" s="5">
        <f>_xlfn.XLOOKUP(CustomerCombined[[#This Row],[ID]], Table4[ID], Table4[Seafood], "Not Found", 0)</f>
        <v>7</v>
      </c>
      <c r="O964" s="5">
        <f>_xlfn.XLOOKUP(CustomerCombined[[#This Row],[ID]], Table4[ID], Table4[Sweets], "Not Found", 0)</f>
        <v>0</v>
      </c>
      <c r="P964" s="5">
        <f>_xlfn.XLOOKUP(CustomerCombined[[#This Row],[ID]], Table4[ID], Table4[Premium], "Not Found", 0)</f>
        <v>7</v>
      </c>
      <c r="Q964" s="5">
        <f>_xlfn.XLOOKUP(CustomerCombined[[#This Row],[ID]], Table4[ID], Table4[Regular], "Not Found", 0)</f>
        <v>92</v>
      </c>
      <c r="R964" s="5">
        <f>_xlfn.XLOOKUP(CustomerCombined[[#This Row],[ID]], Table4[ID], Table4[Deals], "Not Found", 0)</f>
        <v>2</v>
      </c>
      <c r="S964" s="5">
        <f>_xlfn.XLOOKUP(CustomerCombined[[#This Row],[ID]], Table4[ID], Table4[Website], "Not Found", 0)</f>
        <v>1</v>
      </c>
      <c r="T964" s="5">
        <f>_xlfn.XLOOKUP(CustomerCombined[[#This Row],[ID]], Table4[ID], Table4[Catalog], "Not Found", 0)</f>
        <v>0</v>
      </c>
      <c r="U964" s="5">
        <f>_xlfn.XLOOKUP(CustomerCombined[[#This Row],[ID]], Table4[ID], Table4[Store], "Not Found", 0)</f>
        <v>3</v>
      </c>
      <c r="V964" s="5">
        <f>_xlfn.XLOOKUP(CustomerCombined[[#This Row],[ID]], Table4[ID], Table4[Visits], "Not Found", 0)</f>
        <v>3</v>
      </c>
      <c r="W964" s="8">
        <f>_xlfn.XLOOKUP(CustomerCombined[[#This Row],[ID]], Table2[ID],Table2[Complaint], "Not Found", 0 )</f>
        <v>0</v>
      </c>
      <c r="X964" s="8">
        <f>_xlfn.XLOOKUP(CustomerCombined[[#This Row],[ID]], Table2[ID],Table2[Pilot], "Not Found", 0 )</f>
        <v>0</v>
      </c>
      <c r="Y964" s="8">
        <f>_xlfn.XLOOKUP(CustomerCombined[[#This Row],[ID]], Table2[ID],Table2[MC1], "Not Found", 0 )</f>
        <v>0</v>
      </c>
      <c r="Z964" s="8">
        <f>_xlfn.XLOOKUP(CustomerCombined[[#This Row],[ID]], Table2[ID],Table2[MC2], "Not Found", 0 )</f>
        <v>0</v>
      </c>
      <c r="AA964" s="8">
        <f>_xlfn.XLOOKUP(CustomerCombined[[#This Row],[ID]], Table2[ID],Table2[MC3], "Not Found", 0 )</f>
        <v>0</v>
      </c>
      <c r="AB964" s="8">
        <f>_xlfn.XLOOKUP(CustomerCombined[[#This Row],[ID]], Table2[ID],Table2[MC4], "Not Found", 0 )</f>
        <v>0</v>
      </c>
      <c r="AC964" s="8">
        <f>_xlfn.XLOOKUP(CustomerCombined[[#This Row],[ID]], Table2[ID],Table2[MC5], "Not Found", 0 )</f>
        <v>0</v>
      </c>
    </row>
    <row r="965" spans="1:29" x14ac:dyDescent="0.3">
      <c r="A965" s="6">
        <v>1302</v>
      </c>
      <c r="B965" s="6">
        <v>140321</v>
      </c>
      <c r="C965" s="6">
        <v>1</v>
      </c>
      <c r="D965" s="6">
        <v>1</v>
      </c>
      <c r="E965" s="6">
        <v>48</v>
      </c>
      <c r="F965" s="5" t="s">
        <v>6</v>
      </c>
      <c r="G965" s="5" t="s">
        <v>11</v>
      </c>
      <c r="H965" s="3">
        <v>43891</v>
      </c>
      <c r="I965" s="5" t="s">
        <v>436</v>
      </c>
      <c r="J965" s="5">
        <f>_xlfn.XLOOKUP(CustomerCombined[[#This Row],[ID]], Table4[ID], Table4[Recency], "Not Found", 0)</f>
        <v>59</v>
      </c>
      <c r="K965" s="5">
        <f>_xlfn.XLOOKUP(CustomerCombined[[#This Row],[ID]], Table4[ID], Table4[Teas], "Not Found", 0)</f>
        <v>153</v>
      </c>
      <c r="L965" s="5">
        <f>_xlfn.XLOOKUP(CustomerCombined[[#This Row],[ID]], Table4[ID], Table4[Fruits], "Not Found", 0)</f>
        <v>14</v>
      </c>
      <c r="M965" s="5">
        <f>_xlfn.XLOOKUP(CustomerCombined[[#This Row],[ID]], Table4[ID], Table4[Meats], "Not Found", 0)</f>
        <v>73</v>
      </c>
      <c r="N965" s="5">
        <f>_xlfn.XLOOKUP(CustomerCombined[[#This Row],[ID]], Table4[ID], Table4[Seafood], "Not Found", 0)</f>
        <v>21</v>
      </c>
      <c r="O965" s="5">
        <f>_xlfn.XLOOKUP(CustomerCombined[[#This Row],[ID]], Table4[ID], Table4[Sweets], "Not Found", 0)</f>
        <v>0</v>
      </c>
      <c r="P965" s="5">
        <f>_xlfn.XLOOKUP(CustomerCombined[[#This Row],[ID]], Table4[ID], Table4[Premium], "Not Found", 0)</f>
        <v>94</v>
      </c>
      <c r="Q965" s="5">
        <f>_xlfn.XLOOKUP(CustomerCombined[[#This Row],[ID]], Table4[ID], Table4[Regular], "Not Found", 0)</f>
        <v>167</v>
      </c>
      <c r="R965" s="5">
        <f>_xlfn.XLOOKUP(CustomerCombined[[#This Row],[ID]], Table4[ID], Table4[Deals], "Not Found", 0)</f>
        <v>2</v>
      </c>
      <c r="S965" s="5">
        <f>_xlfn.XLOOKUP(CustomerCombined[[#This Row],[ID]], Table4[ID], Table4[Website], "Not Found", 0)</f>
        <v>3</v>
      </c>
      <c r="T965" s="5">
        <f>_xlfn.XLOOKUP(CustomerCombined[[#This Row],[ID]], Table4[ID], Table4[Catalog], "Not Found", 0)</f>
        <v>0</v>
      </c>
      <c r="U965" s="5">
        <f>_xlfn.XLOOKUP(CustomerCombined[[#This Row],[ID]], Table4[ID], Table4[Store], "Not Found", 0)</f>
        <v>3</v>
      </c>
      <c r="V965" s="5">
        <f>_xlfn.XLOOKUP(CustomerCombined[[#This Row],[ID]], Table4[ID], Table4[Visits], "Not Found", 0)</f>
        <v>7</v>
      </c>
      <c r="W965" s="8">
        <f>_xlfn.XLOOKUP(CustomerCombined[[#This Row],[ID]], Table2[ID],Table2[Complaint], "Not Found", 0 )</f>
        <v>0</v>
      </c>
      <c r="X965" s="8">
        <f>_xlfn.XLOOKUP(CustomerCombined[[#This Row],[ID]], Table2[ID],Table2[Pilot], "Not Found", 0 )</f>
        <v>0</v>
      </c>
      <c r="Y965" s="8">
        <f>_xlfn.XLOOKUP(CustomerCombined[[#This Row],[ID]], Table2[ID],Table2[MC1], "Not Found", 0 )</f>
        <v>0</v>
      </c>
      <c r="Z965" s="8">
        <f>_xlfn.XLOOKUP(CustomerCombined[[#This Row],[ID]], Table2[ID],Table2[MC2], "Not Found", 0 )</f>
        <v>0</v>
      </c>
      <c r="AA965" s="8">
        <f>_xlfn.XLOOKUP(CustomerCombined[[#This Row],[ID]], Table2[ID],Table2[MC3], "Not Found", 0 )</f>
        <v>0</v>
      </c>
      <c r="AB965" s="8">
        <f>_xlfn.XLOOKUP(CustomerCombined[[#This Row],[ID]], Table2[ID],Table2[MC4], "Not Found", 0 )</f>
        <v>0</v>
      </c>
      <c r="AC965" s="8">
        <f>_xlfn.XLOOKUP(CustomerCombined[[#This Row],[ID]], Table2[ID],Table2[MC5], "Not Found", 0 )</f>
        <v>0</v>
      </c>
    </row>
    <row r="966" spans="1:29" x14ac:dyDescent="0.3">
      <c r="A966" s="6">
        <v>2298</v>
      </c>
      <c r="B966" s="6">
        <v>140321</v>
      </c>
      <c r="C966" s="6">
        <v>1</v>
      </c>
      <c r="D966" s="6">
        <v>1</v>
      </c>
      <c r="E966" s="6">
        <v>48</v>
      </c>
      <c r="F966" s="5" t="s">
        <v>6</v>
      </c>
      <c r="G966" s="5" t="s">
        <v>11</v>
      </c>
      <c r="H966" s="3">
        <v>43891</v>
      </c>
      <c r="I966" s="5" t="s">
        <v>436</v>
      </c>
      <c r="J966" s="5">
        <f>_xlfn.XLOOKUP(CustomerCombined[[#This Row],[ID]], Table4[ID], Table4[Recency], "Not Found", 0)</f>
        <v>59</v>
      </c>
      <c r="K966" s="5">
        <f>_xlfn.XLOOKUP(CustomerCombined[[#This Row],[ID]], Table4[ID], Table4[Teas], "Not Found", 0)</f>
        <v>153</v>
      </c>
      <c r="L966" s="5">
        <f>_xlfn.XLOOKUP(CustomerCombined[[#This Row],[ID]], Table4[ID], Table4[Fruits], "Not Found", 0)</f>
        <v>14</v>
      </c>
      <c r="M966" s="5">
        <f>_xlfn.XLOOKUP(CustomerCombined[[#This Row],[ID]], Table4[ID], Table4[Meats], "Not Found", 0)</f>
        <v>73</v>
      </c>
      <c r="N966" s="5">
        <f>_xlfn.XLOOKUP(CustomerCombined[[#This Row],[ID]], Table4[ID], Table4[Seafood], "Not Found", 0)</f>
        <v>21</v>
      </c>
      <c r="O966" s="5">
        <f>_xlfn.XLOOKUP(CustomerCombined[[#This Row],[ID]], Table4[ID], Table4[Sweets], "Not Found", 0)</f>
        <v>0</v>
      </c>
      <c r="P966" s="5">
        <f>_xlfn.XLOOKUP(CustomerCombined[[#This Row],[ID]], Table4[ID], Table4[Premium], "Not Found", 0)</f>
        <v>94</v>
      </c>
      <c r="Q966" s="5">
        <f>_xlfn.XLOOKUP(CustomerCombined[[#This Row],[ID]], Table4[ID], Table4[Regular], "Not Found", 0)</f>
        <v>167</v>
      </c>
      <c r="R966" s="5">
        <f>_xlfn.XLOOKUP(CustomerCombined[[#This Row],[ID]], Table4[ID], Table4[Deals], "Not Found", 0)</f>
        <v>2</v>
      </c>
      <c r="S966" s="5">
        <f>_xlfn.XLOOKUP(CustomerCombined[[#This Row],[ID]], Table4[ID], Table4[Website], "Not Found", 0)</f>
        <v>3</v>
      </c>
      <c r="T966" s="5">
        <f>_xlfn.XLOOKUP(CustomerCombined[[#This Row],[ID]], Table4[ID], Table4[Catalog], "Not Found", 0)</f>
        <v>0</v>
      </c>
      <c r="U966" s="5">
        <f>_xlfn.XLOOKUP(CustomerCombined[[#This Row],[ID]], Table4[ID], Table4[Store], "Not Found", 0)</f>
        <v>3</v>
      </c>
      <c r="V966" s="5">
        <f>_xlfn.XLOOKUP(CustomerCombined[[#This Row],[ID]], Table4[ID], Table4[Visits], "Not Found", 0)</f>
        <v>7</v>
      </c>
      <c r="W966" s="8">
        <f>_xlfn.XLOOKUP(CustomerCombined[[#This Row],[ID]], Table2[ID],Table2[Complaint], "Not Found", 0 )</f>
        <v>0</v>
      </c>
      <c r="X966" s="8">
        <f>_xlfn.XLOOKUP(CustomerCombined[[#This Row],[ID]], Table2[ID],Table2[Pilot], "Not Found", 0 )</f>
        <v>0</v>
      </c>
      <c r="Y966" s="8">
        <f>_xlfn.XLOOKUP(CustomerCombined[[#This Row],[ID]], Table2[ID],Table2[MC1], "Not Found", 0 )</f>
        <v>0</v>
      </c>
      <c r="Z966" s="8">
        <f>_xlfn.XLOOKUP(CustomerCombined[[#This Row],[ID]], Table2[ID],Table2[MC2], "Not Found", 0 )</f>
        <v>0</v>
      </c>
      <c r="AA966" s="8">
        <f>_xlfn.XLOOKUP(CustomerCombined[[#This Row],[ID]], Table2[ID],Table2[MC3], "Not Found", 0 )</f>
        <v>0</v>
      </c>
      <c r="AB966" s="8">
        <f>_xlfn.XLOOKUP(CustomerCombined[[#This Row],[ID]], Table2[ID],Table2[MC4], "Not Found", 0 )</f>
        <v>0</v>
      </c>
      <c r="AC966" s="8">
        <f>_xlfn.XLOOKUP(CustomerCombined[[#This Row],[ID]], Table2[ID],Table2[MC5], "Not Found", 0 )</f>
        <v>0</v>
      </c>
    </row>
    <row r="967" spans="1:29" x14ac:dyDescent="0.3">
      <c r="A967" s="6">
        <v>1439</v>
      </c>
      <c r="B967" s="6">
        <v>138988</v>
      </c>
      <c r="C967" s="6">
        <v>1</v>
      </c>
      <c r="D967" s="6">
        <v>2</v>
      </c>
      <c r="E967" s="6">
        <v>48</v>
      </c>
      <c r="F967" s="5" t="s">
        <v>6</v>
      </c>
      <c r="G967" s="5" t="s">
        <v>11</v>
      </c>
      <c r="H967" s="3" t="s">
        <v>408</v>
      </c>
      <c r="I967" s="5" t="s">
        <v>434</v>
      </c>
      <c r="J967" s="5">
        <f>_xlfn.XLOOKUP(CustomerCombined[[#This Row],[ID]], Table4[ID], Table4[Recency], "Not Found", 0)</f>
        <v>90</v>
      </c>
      <c r="K967" s="5">
        <f>_xlfn.XLOOKUP(CustomerCombined[[#This Row],[ID]], Table4[ID], Table4[Teas], "Not Found", 0)</f>
        <v>585</v>
      </c>
      <c r="L967" s="5">
        <f>_xlfn.XLOOKUP(CustomerCombined[[#This Row],[ID]], Table4[ID], Table4[Fruits], "Not Found", 0)</f>
        <v>86</v>
      </c>
      <c r="M967" s="5">
        <f>_xlfn.XLOOKUP(CustomerCombined[[#This Row],[ID]], Table4[ID], Table4[Meats], "Not Found", 0)</f>
        <v>367</v>
      </c>
      <c r="N967" s="5">
        <f>_xlfn.XLOOKUP(CustomerCombined[[#This Row],[ID]], Table4[ID], Table4[Seafood], "Not Found", 0)</f>
        <v>43</v>
      </c>
      <c r="O967" s="5">
        <f>_xlfn.XLOOKUP(CustomerCombined[[#This Row],[ID]], Table4[ID], Table4[Sweets], "Not Found", 0)</f>
        <v>11</v>
      </c>
      <c r="P967" s="5">
        <f>_xlfn.XLOOKUP(CustomerCombined[[#This Row],[ID]], Table4[ID], Table4[Premium], "Not Found", 0)</f>
        <v>150</v>
      </c>
      <c r="Q967" s="5">
        <f>_xlfn.XLOOKUP(CustomerCombined[[#This Row],[ID]], Table4[ID], Table4[Regular], "Not Found", 0)</f>
        <v>941</v>
      </c>
      <c r="R967" s="5">
        <f>_xlfn.XLOOKUP(CustomerCombined[[#This Row],[ID]], Table4[ID], Table4[Deals], "Not Found", 0)</f>
        <v>7</v>
      </c>
      <c r="S967" s="5">
        <f>_xlfn.XLOOKUP(CustomerCombined[[#This Row],[ID]], Table4[ID], Table4[Website], "Not Found", 0)</f>
        <v>5</v>
      </c>
      <c r="T967" s="5">
        <f>_xlfn.XLOOKUP(CustomerCombined[[#This Row],[ID]], Table4[ID], Table4[Catalog], "Not Found", 0)</f>
        <v>1</v>
      </c>
      <c r="U967" s="5">
        <f>_xlfn.XLOOKUP(CustomerCombined[[#This Row],[ID]], Table4[ID], Table4[Store], "Not Found", 0)</f>
        <v>6</v>
      </c>
      <c r="V967" s="5">
        <f>_xlfn.XLOOKUP(CustomerCombined[[#This Row],[ID]], Table4[ID], Table4[Visits], "Not Found", 0)</f>
        <v>8</v>
      </c>
      <c r="W967" s="8">
        <f>_xlfn.XLOOKUP(CustomerCombined[[#This Row],[ID]], Table2[ID],Table2[Complaint], "Not Found", 0 )</f>
        <v>0</v>
      </c>
      <c r="X967" s="8">
        <f>_xlfn.XLOOKUP(CustomerCombined[[#This Row],[ID]], Table2[ID],Table2[Pilot], "Not Found", 0 )</f>
        <v>0</v>
      </c>
      <c r="Y967" s="8">
        <f>_xlfn.XLOOKUP(CustomerCombined[[#This Row],[ID]], Table2[ID],Table2[MC1], "Not Found", 0 )</f>
        <v>0</v>
      </c>
      <c r="Z967" s="8">
        <f>_xlfn.XLOOKUP(CustomerCombined[[#This Row],[ID]], Table2[ID],Table2[MC2], "Not Found", 0 )</f>
        <v>0</v>
      </c>
      <c r="AA967" s="8">
        <f>_xlfn.XLOOKUP(CustomerCombined[[#This Row],[ID]], Table2[ID],Table2[MC3], "Not Found", 0 )</f>
        <v>0</v>
      </c>
      <c r="AB967" s="8">
        <f>_xlfn.XLOOKUP(CustomerCombined[[#This Row],[ID]], Table2[ID],Table2[MC4], "Not Found", 0 )</f>
        <v>0</v>
      </c>
      <c r="AC967" s="8">
        <f>_xlfn.XLOOKUP(CustomerCombined[[#This Row],[ID]], Table2[ID],Table2[MC5], "Not Found", 0 )</f>
        <v>0</v>
      </c>
    </row>
    <row r="968" spans="1:29" x14ac:dyDescent="0.3">
      <c r="A968" s="6">
        <v>2368</v>
      </c>
      <c r="B968" s="6">
        <v>138887</v>
      </c>
      <c r="C968" s="6">
        <v>1</v>
      </c>
      <c r="D968" s="6">
        <v>0</v>
      </c>
      <c r="E968" s="6">
        <v>48</v>
      </c>
      <c r="F968" s="5" t="s">
        <v>8</v>
      </c>
      <c r="G968" s="5" t="s">
        <v>13</v>
      </c>
      <c r="H968" s="3">
        <v>43990</v>
      </c>
      <c r="I968" s="5" t="s">
        <v>439</v>
      </c>
      <c r="J968" s="5">
        <f>_xlfn.XLOOKUP(CustomerCombined[[#This Row],[ID]], Table4[ID], Table4[Recency], "Not Found", 0)</f>
        <v>17</v>
      </c>
      <c r="K968" s="5">
        <f>_xlfn.XLOOKUP(CustomerCombined[[#This Row],[ID]], Table4[ID], Table4[Teas], "Not Found", 0)</f>
        <v>89</v>
      </c>
      <c r="L968" s="5">
        <f>_xlfn.XLOOKUP(CustomerCombined[[#This Row],[ID]], Table4[ID], Table4[Fruits], "Not Found", 0)</f>
        <v>4</v>
      </c>
      <c r="M968" s="5">
        <f>_xlfn.XLOOKUP(CustomerCombined[[#This Row],[ID]], Table4[ID], Table4[Meats], "Not Found", 0)</f>
        <v>46</v>
      </c>
      <c r="N968" s="5">
        <f>_xlfn.XLOOKUP(CustomerCombined[[#This Row],[ID]], Table4[ID], Table4[Seafood], "Not Found", 0)</f>
        <v>0</v>
      </c>
      <c r="O968" s="5">
        <f>_xlfn.XLOOKUP(CustomerCombined[[#This Row],[ID]], Table4[ID], Table4[Sweets], "Not Found", 0)</f>
        <v>0</v>
      </c>
      <c r="P968" s="5">
        <f>_xlfn.XLOOKUP(CustomerCombined[[#This Row],[ID]], Table4[ID], Table4[Premium], "Not Found", 0)</f>
        <v>11</v>
      </c>
      <c r="Q968" s="5">
        <f>_xlfn.XLOOKUP(CustomerCombined[[#This Row],[ID]], Table4[ID], Table4[Regular], "Not Found", 0)</f>
        <v>129</v>
      </c>
      <c r="R968" s="5">
        <f>_xlfn.XLOOKUP(CustomerCombined[[#This Row],[ID]], Table4[ID], Table4[Deals], "Not Found", 0)</f>
        <v>1</v>
      </c>
      <c r="S968" s="5">
        <f>_xlfn.XLOOKUP(CustomerCombined[[#This Row],[ID]], Table4[ID], Table4[Website], "Not Found", 0)</f>
        <v>1</v>
      </c>
      <c r="T968" s="5">
        <f>_xlfn.XLOOKUP(CustomerCombined[[#This Row],[ID]], Table4[ID], Table4[Catalog], "Not Found", 0)</f>
        <v>0</v>
      </c>
      <c r="U968" s="5">
        <f>_xlfn.XLOOKUP(CustomerCombined[[#This Row],[ID]], Table4[ID], Table4[Store], "Not Found", 0)</f>
        <v>3</v>
      </c>
      <c r="V968" s="5">
        <f>_xlfn.XLOOKUP(CustomerCombined[[#This Row],[ID]], Table4[ID], Table4[Visits], "Not Found", 0)</f>
        <v>7</v>
      </c>
      <c r="W968" s="8">
        <f>_xlfn.XLOOKUP(CustomerCombined[[#This Row],[ID]], Table2[ID],Table2[Complaint], "Not Found", 0 )</f>
        <v>0</v>
      </c>
      <c r="X968" s="8">
        <f>_xlfn.XLOOKUP(CustomerCombined[[#This Row],[ID]], Table2[ID],Table2[Pilot], "Not Found", 0 )</f>
        <v>0</v>
      </c>
      <c r="Y968" s="8">
        <f>_xlfn.XLOOKUP(CustomerCombined[[#This Row],[ID]], Table2[ID],Table2[MC1], "Not Found", 0 )</f>
        <v>0</v>
      </c>
      <c r="Z968" s="8">
        <f>_xlfn.XLOOKUP(CustomerCombined[[#This Row],[ID]], Table2[ID],Table2[MC2], "Not Found", 0 )</f>
        <v>0</v>
      </c>
      <c r="AA968" s="8">
        <f>_xlfn.XLOOKUP(CustomerCombined[[#This Row],[ID]], Table2[ID],Table2[MC3], "Not Found", 0 )</f>
        <v>0</v>
      </c>
      <c r="AB968" s="8">
        <f>_xlfn.XLOOKUP(CustomerCombined[[#This Row],[ID]], Table2[ID],Table2[MC4], "Not Found", 0 )</f>
        <v>0</v>
      </c>
      <c r="AC968" s="8">
        <f>_xlfn.XLOOKUP(CustomerCombined[[#This Row],[ID]], Table2[ID],Table2[MC5], "Not Found", 0 )</f>
        <v>0</v>
      </c>
    </row>
    <row r="969" spans="1:29" x14ac:dyDescent="0.3">
      <c r="A969" s="6">
        <v>2253</v>
      </c>
      <c r="B969" s="6">
        <v>138808</v>
      </c>
      <c r="C969" s="6">
        <v>1</v>
      </c>
      <c r="D969" s="6">
        <v>0</v>
      </c>
      <c r="E969" s="6">
        <v>48</v>
      </c>
      <c r="F969" s="5" t="s">
        <v>7</v>
      </c>
      <c r="G969" s="5" t="s">
        <v>11</v>
      </c>
      <c r="H969" s="3" t="s">
        <v>402</v>
      </c>
      <c r="I969" s="5" t="s">
        <v>435</v>
      </c>
      <c r="J969" s="5">
        <f>_xlfn.XLOOKUP(CustomerCombined[[#This Row],[ID]], Table4[ID], Table4[Recency], "Not Found", 0)</f>
        <v>21</v>
      </c>
      <c r="K969" s="5">
        <f>_xlfn.XLOOKUP(CustomerCombined[[#This Row],[ID]], Table4[ID], Table4[Teas], "Not Found", 0)</f>
        <v>447</v>
      </c>
      <c r="L969" s="5">
        <f>_xlfn.XLOOKUP(CustomerCombined[[#This Row],[ID]], Table4[ID], Table4[Fruits], "Not Found", 0)</f>
        <v>61</v>
      </c>
      <c r="M969" s="5">
        <f>_xlfn.XLOOKUP(CustomerCombined[[#This Row],[ID]], Table4[ID], Table4[Meats], "Not Found", 0)</f>
        <v>186</v>
      </c>
      <c r="N969" s="5">
        <f>_xlfn.XLOOKUP(CustomerCombined[[#This Row],[ID]], Table4[ID], Table4[Seafood], "Not Found", 0)</f>
        <v>11</v>
      </c>
      <c r="O969" s="5">
        <f>_xlfn.XLOOKUP(CustomerCombined[[#This Row],[ID]], Table4[ID], Table4[Sweets], "Not Found", 0)</f>
        <v>68</v>
      </c>
      <c r="P969" s="5">
        <f>_xlfn.XLOOKUP(CustomerCombined[[#This Row],[ID]], Table4[ID], Table4[Premium], "Not Found", 0)</f>
        <v>107</v>
      </c>
      <c r="Q969" s="5">
        <f>_xlfn.XLOOKUP(CustomerCombined[[#This Row],[ID]], Table4[ID], Table4[Regular], "Not Found", 0)</f>
        <v>665</v>
      </c>
      <c r="R969" s="5">
        <f>_xlfn.XLOOKUP(CustomerCombined[[#This Row],[ID]], Table4[ID], Table4[Deals], "Not Found", 0)</f>
        <v>4</v>
      </c>
      <c r="S969" s="5">
        <f>_xlfn.XLOOKUP(CustomerCombined[[#This Row],[ID]], Table4[ID], Table4[Website], "Not Found", 0)</f>
        <v>5</v>
      </c>
      <c r="T969" s="5">
        <f>_xlfn.XLOOKUP(CustomerCombined[[#This Row],[ID]], Table4[ID], Table4[Catalog], "Not Found", 0)</f>
        <v>1</v>
      </c>
      <c r="U969" s="5">
        <f>_xlfn.XLOOKUP(CustomerCombined[[#This Row],[ID]], Table4[ID], Table4[Store], "Not Found", 0)</f>
        <v>4</v>
      </c>
      <c r="V969" s="5">
        <f>_xlfn.XLOOKUP(CustomerCombined[[#This Row],[ID]], Table4[ID], Table4[Visits], "Not Found", 0)</f>
        <v>8</v>
      </c>
      <c r="W969" s="8">
        <f>_xlfn.XLOOKUP(CustomerCombined[[#This Row],[ID]], Table2[ID],Table2[Complaint], "Not Found", 0 )</f>
        <v>0</v>
      </c>
      <c r="X969" s="8">
        <f>_xlfn.XLOOKUP(CustomerCombined[[#This Row],[ID]], Table2[ID],Table2[Pilot], "Not Found", 0 )</f>
        <v>1</v>
      </c>
      <c r="Y969" s="8">
        <f>_xlfn.XLOOKUP(CustomerCombined[[#This Row],[ID]], Table2[ID],Table2[MC1], "Not Found", 0 )</f>
        <v>0</v>
      </c>
      <c r="Z969" s="8">
        <f>_xlfn.XLOOKUP(CustomerCombined[[#This Row],[ID]], Table2[ID],Table2[MC2], "Not Found", 0 )</f>
        <v>0</v>
      </c>
      <c r="AA969" s="8">
        <f>_xlfn.XLOOKUP(CustomerCombined[[#This Row],[ID]], Table2[ID],Table2[MC3], "Not Found", 0 )</f>
        <v>1</v>
      </c>
      <c r="AB969" s="8">
        <f>_xlfn.XLOOKUP(CustomerCombined[[#This Row],[ID]], Table2[ID],Table2[MC4], "Not Found", 0 )</f>
        <v>0</v>
      </c>
      <c r="AC969" s="8">
        <f>_xlfn.XLOOKUP(CustomerCombined[[#This Row],[ID]], Table2[ID],Table2[MC5], "Not Found", 0 )</f>
        <v>0</v>
      </c>
    </row>
    <row r="970" spans="1:29" x14ac:dyDescent="0.3">
      <c r="A970" s="6">
        <v>1358</v>
      </c>
      <c r="B970" s="6">
        <v>138578</v>
      </c>
      <c r="C970" s="6">
        <v>1</v>
      </c>
      <c r="D970" s="6">
        <v>1</v>
      </c>
      <c r="E970" s="6">
        <v>48</v>
      </c>
      <c r="F970" s="5" t="s">
        <v>7</v>
      </c>
      <c r="G970" s="5" t="s">
        <v>13</v>
      </c>
      <c r="H970" s="3" t="s">
        <v>231</v>
      </c>
      <c r="I970" s="5" t="s">
        <v>438</v>
      </c>
      <c r="J970" s="5">
        <f>_xlfn.XLOOKUP(CustomerCombined[[#This Row],[ID]], Table4[ID], Table4[Recency], "Not Found", 0)</f>
        <v>2</v>
      </c>
      <c r="K970" s="5">
        <f>_xlfn.XLOOKUP(CustomerCombined[[#This Row],[ID]], Table4[ID], Table4[Teas], "Not Found", 0)</f>
        <v>137</v>
      </c>
      <c r="L970" s="5">
        <f>_xlfn.XLOOKUP(CustomerCombined[[#This Row],[ID]], Table4[ID], Table4[Fruits], "Not Found", 0)</f>
        <v>14</v>
      </c>
      <c r="M970" s="5">
        <f>_xlfn.XLOOKUP(CustomerCombined[[#This Row],[ID]], Table4[ID], Table4[Meats], "Not Found", 0)</f>
        <v>79</v>
      </c>
      <c r="N970" s="5">
        <f>_xlfn.XLOOKUP(CustomerCombined[[#This Row],[ID]], Table4[ID], Table4[Seafood], "Not Found", 0)</f>
        <v>11</v>
      </c>
      <c r="O970" s="5">
        <f>_xlfn.XLOOKUP(CustomerCombined[[#This Row],[ID]], Table4[ID], Table4[Sweets], "Not Found", 0)</f>
        <v>11</v>
      </c>
      <c r="P970" s="5">
        <f>_xlfn.XLOOKUP(CustomerCombined[[#This Row],[ID]], Table4[ID], Table4[Premium], "Not Found", 0)</f>
        <v>11</v>
      </c>
      <c r="Q970" s="5">
        <f>_xlfn.XLOOKUP(CustomerCombined[[#This Row],[ID]], Table4[ID], Table4[Regular], "Not Found", 0)</f>
        <v>241</v>
      </c>
      <c r="R970" s="5">
        <f>_xlfn.XLOOKUP(CustomerCombined[[#This Row],[ID]], Table4[ID], Table4[Deals], "Not Found", 0)</f>
        <v>3</v>
      </c>
      <c r="S970" s="5">
        <f>_xlfn.XLOOKUP(CustomerCombined[[#This Row],[ID]], Table4[ID], Table4[Website], "Not Found", 0)</f>
        <v>3</v>
      </c>
      <c r="T970" s="5">
        <f>_xlfn.XLOOKUP(CustomerCombined[[#This Row],[ID]], Table4[ID], Table4[Catalog], "Not Found", 0)</f>
        <v>0</v>
      </c>
      <c r="U970" s="5">
        <f>_xlfn.XLOOKUP(CustomerCombined[[#This Row],[ID]], Table4[ID], Table4[Store], "Not Found", 0)</f>
        <v>3</v>
      </c>
      <c r="V970" s="5">
        <f>_xlfn.XLOOKUP(CustomerCombined[[#This Row],[ID]], Table4[ID], Table4[Visits], "Not Found", 0)</f>
        <v>8</v>
      </c>
      <c r="W970" s="8">
        <f>_xlfn.XLOOKUP(CustomerCombined[[#This Row],[ID]], Table2[ID],Table2[Complaint], "Not Found", 0 )</f>
        <v>0</v>
      </c>
      <c r="X970" s="8">
        <f>_xlfn.XLOOKUP(CustomerCombined[[#This Row],[ID]], Table2[ID],Table2[Pilot], "Not Found", 0 )</f>
        <v>1</v>
      </c>
      <c r="Y970" s="8">
        <f>_xlfn.XLOOKUP(CustomerCombined[[#This Row],[ID]], Table2[ID],Table2[MC1], "Not Found", 0 )</f>
        <v>0</v>
      </c>
      <c r="Z970" s="8">
        <f>_xlfn.XLOOKUP(CustomerCombined[[#This Row],[ID]], Table2[ID],Table2[MC2], "Not Found", 0 )</f>
        <v>0</v>
      </c>
      <c r="AA970" s="8">
        <f>_xlfn.XLOOKUP(CustomerCombined[[#This Row],[ID]], Table2[ID],Table2[MC3], "Not Found", 0 )</f>
        <v>0</v>
      </c>
      <c r="AB970" s="8">
        <f>_xlfn.XLOOKUP(CustomerCombined[[#This Row],[ID]], Table2[ID],Table2[MC4], "Not Found", 0 )</f>
        <v>0</v>
      </c>
      <c r="AC970" s="8">
        <f>_xlfn.XLOOKUP(CustomerCombined[[#This Row],[ID]], Table2[ID],Table2[MC5], "Not Found", 0 )</f>
        <v>0</v>
      </c>
    </row>
    <row r="971" spans="1:29" x14ac:dyDescent="0.3">
      <c r="A971" s="6">
        <v>2074</v>
      </c>
      <c r="B971" s="6">
        <v>138578</v>
      </c>
      <c r="C971" s="6">
        <v>1</v>
      </c>
      <c r="D971" s="6">
        <v>1</v>
      </c>
      <c r="E971" s="6">
        <v>48</v>
      </c>
      <c r="F971" s="5" t="s">
        <v>7</v>
      </c>
      <c r="G971" s="5" t="s">
        <v>13</v>
      </c>
      <c r="H971" s="3" t="s">
        <v>231</v>
      </c>
      <c r="I971" s="5" t="s">
        <v>439</v>
      </c>
      <c r="J971" s="5">
        <f>_xlfn.XLOOKUP(CustomerCombined[[#This Row],[ID]], Table4[ID], Table4[Recency], "Not Found", 0)</f>
        <v>2</v>
      </c>
      <c r="K971" s="5">
        <f>_xlfn.XLOOKUP(CustomerCombined[[#This Row],[ID]], Table4[ID], Table4[Teas], "Not Found", 0)</f>
        <v>137</v>
      </c>
      <c r="L971" s="5">
        <f>_xlfn.XLOOKUP(CustomerCombined[[#This Row],[ID]], Table4[ID], Table4[Fruits], "Not Found", 0)</f>
        <v>14</v>
      </c>
      <c r="M971" s="5">
        <f>_xlfn.XLOOKUP(CustomerCombined[[#This Row],[ID]], Table4[ID], Table4[Meats], "Not Found", 0)</f>
        <v>79</v>
      </c>
      <c r="N971" s="5">
        <f>_xlfn.XLOOKUP(CustomerCombined[[#This Row],[ID]], Table4[ID], Table4[Seafood], "Not Found", 0)</f>
        <v>11</v>
      </c>
      <c r="O971" s="5">
        <f>_xlfn.XLOOKUP(CustomerCombined[[#This Row],[ID]], Table4[ID], Table4[Sweets], "Not Found", 0)</f>
        <v>11</v>
      </c>
      <c r="P971" s="5">
        <f>_xlfn.XLOOKUP(CustomerCombined[[#This Row],[ID]], Table4[ID], Table4[Premium], "Not Found", 0)</f>
        <v>11</v>
      </c>
      <c r="Q971" s="5">
        <f>_xlfn.XLOOKUP(CustomerCombined[[#This Row],[ID]], Table4[ID], Table4[Regular], "Not Found", 0)</f>
        <v>241</v>
      </c>
      <c r="R971" s="5">
        <f>_xlfn.XLOOKUP(CustomerCombined[[#This Row],[ID]], Table4[ID], Table4[Deals], "Not Found", 0)</f>
        <v>3</v>
      </c>
      <c r="S971" s="5">
        <f>_xlfn.XLOOKUP(CustomerCombined[[#This Row],[ID]], Table4[ID], Table4[Website], "Not Found", 0)</f>
        <v>3</v>
      </c>
      <c r="T971" s="5">
        <f>_xlfn.XLOOKUP(CustomerCombined[[#This Row],[ID]], Table4[ID], Table4[Catalog], "Not Found", 0)</f>
        <v>0</v>
      </c>
      <c r="U971" s="5">
        <f>_xlfn.XLOOKUP(CustomerCombined[[#This Row],[ID]], Table4[ID], Table4[Store], "Not Found", 0)</f>
        <v>3</v>
      </c>
      <c r="V971" s="5">
        <f>_xlfn.XLOOKUP(CustomerCombined[[#This Row],[ID]], Table4[ID], Table4[Visits], "Not Found", 0)</f>
        <v>8</v>
      </c>
      <c r="W971" s="8">
        <f>_xlfn.XLOOKUP(CustomerCombined[[#This Row],[ID]], Table2[ID],Table2[Complaint], "Not Found", 0 )</f>
        <v>0</v>
      </c>
      <c r="X971" s="8">
        <f>_xlfn.XLOOKUP(CustomerCombined[[#This Row],[ID]], Table2[ID],Table2[Pilot], "Not Found", 0 )</f>
        <v>0</v>
      </c>
      <c r="Y971" s="8">
        <f>_xlfn.XLOOKUP(CustomerCombined[[#This Row],[ID]], Table2[ID],Table2[MC1], "Not Found", 0 )</f>
        <v>0</v>
      </c>
      <c r="Z971" s="8">
        <f>_xlfn.XLOOKUP(CustomerCombined[[#This Row],[ID]], Table2[ID],Table2[MC2], "Not Found", 0 )</f>
        <v>0</v>
      </c>
      <c r="AA971" s="8">
        <f>_xlfn.XLOOKUP(CustomerCombined[[#This Row],[ID]], Table2[ID],Table2[MC3], "Not Found", 0 )</f>
        <v>0</v>
      </c>
      <c r="AB971" s="8">
        <f>_xlfn.XLOOKUP(CustomerCombined[[#This Row],[ID]], Table2[ID],Table2[MC4], "Not Found", 0 )</f>
        <v>0</v>
      </c>
      <c r="AC971" s="8">
        <f>_xlfn.XLOOKUP(CustomerCombined[[#This Row],[ID]], Table2[ID],Table2[MC5], "Not Found", 0 )</f>
        <v>0</v>
      </c>
    </row>
    <row r="972" spans="1:29" x14ac:dyDescent="0.3">
      <c r="A972" s="6">
        <v>2494</v>
      </c>
      <c r="B972" s="6">
        <v>137787</v>
      </c>
      <c r="C972" s="6">
        <v>1</v>
      </c>
      <c r="D972" s="6">
        <v>0</v>
      </c>
      <c r="E972" s="6">
        <v>48</v>
      </c>
      <c r="F972" s="5" t="s">
        <v>6</v>
      </c>
      <c r="G972" s="5" t="s">
        <v>12</v>
      </c>
      <c r="H972" s="3" t="s">
        <v>179</v>
      </c>
      <c r="I972" s="5" t="s">
        <v>439</v>
      </c>
      <c r="J972" s="5">
        <f>_xlfn.XLOOKUP(CustomerCombined[[#This Row],[ID]], Table4[ID], Table4[Recency], "Not Found", 0)</f>
        <v>50</v>
      </c>
      <c r="K972" s="5">
        <f>_xlfn.XLOOKUP(CustomerCombined[[#This Row],[ID]], Table4[ID], Table4[Teas], "Not Found", 0)</f>
        <v>146</v>
      </c>
      <c r="L972" s="5">
        <f>_xlfn.XLOOKUP(CustomerCombined[[#This Row],[ID]], Table4[ID], Table4[Fruits], "Not Found", 0)</f>
        <v>4</v>
      </c>
      <c r="M972" s="5">
        <f>_xlfn.XLOOKUP(CustomerCombined[[#This Row],[ID]], Table4[ID], Table4[Meats], "Not Found", 0)</f>
        <v>146</v>
      </c>
      <c r="N972" s="5">
        <f>_xlfn.XLOOKUP(CustomerCombined[[#This Row],[ID]], Table4[ID], Table4[Seafood], "Not Found", 0)</f>
        <v>15</v>
      </c>
      <c r="O972" s="5">
        <f>_xlfn.XLOOKUP(CustomerCombined[[#This Row],[ID]], Table4[ID], Table4[Sweets], "Not Found", 0)</f>
        <v>11</v>
      </c>
      <c r="P972" s="5">
        <f>_xlfn.XLOOKUP(CustomerCombined[[#This Row],[ID]], Table4[ID], Table4[Premium], "Not Found", 0)</f>
        <v>66</v>
      </c>
      <c r="Q972" s="5">
        <f>_xlfn.XLOOKUP(CustomerCombined[[#This Row],[ID]], Table4[ID], Table4[Regular], "Not Found", 0)</f>
        <v>255</v>
      </c>
      <c r="R972" s="5">
        <f>_xlfn.XLOOKUP(CustomerCombined[[#This Row],[ID]], Table4[ID], Table4[Deals], "Not Found", 0)</f>
        <v>1</v>
      </c>
      <c r="S972" s="5">
        <f>_xlfn.XLOOKUP(CustomerCombined[[#This Row],[ID]], Table4[ID], Table4[Website], "Not Found", 0)</f>
        <v>3</v>
      </c>
      <c r="T972" s="5">
        <f>_xlfn.XLOOKUP(CustomerCombined[[#This Row],[ID]], Table4[ID], Table4[Catalog], "Not Found", 0)</f>
        <v>0</v>
      </c>
      <c r="U972" s="5">
        <f>_xlfn.XLOOKUP(CustomerCombined[[#This Row],[ID]], Table4[ID], Table4[Store], "Not Found", 0)</f>
        <v>3</v>
      </c>
      <c r="V972" s="5">
        <f>_xlfn.XLOOKUP(CustomerCombined[[#This Row],[ID]], Table4[ID], Table4[Visits], "Not Found", 0)</f>
        <v>8</v>
      </c>
      <c r="W972" s="8">
        <f>_xlfn.XLOOKUP(CustomerCombined[[#This Row],[ID]], Table2[ID],Table2[Complaint], "Not Found", 0 )</f>
        <v>0</v>
      </c>
      <c r="X972" s="8">
        <f>_xlfn.XLOOKUP(CustomerCombined[[#This Row],[ID]], Table2[ID],Table2[Pilot], "Not Found", 0 )</f>
        <v>0</v>
      </c>
      <c r="Y972" s="8">
        <f>_xlfn.XLOOKUP(CustomerCombined[[#This Row],[ID]], Table2[ID],Table2[MC1], "Not Found", 0 )</f>
        <v>0</v>
      </c>
      <c r="Z972" s="8">
        <f>_xlfn.XLOOKUP(CustomerCombined[[#This Row],[ID]], Table2[ID],Table2[MC2], "Not Found", 0 )</f>
        <v>0</v>
      </c>
      <c r="AA972" s="8">
        <f>_xlfn.XLOOKUP(CustomerCombined[[#This Row],[ID]], Table2[ID],Table2[MC3], "Not Found", 0 )</f>
        <v>0</v>
      </c>
      <c r="AB972" s="8">
        <f>_xlfn.XLOOKUP(CustomerCombined[[#This Row],[ID]], Table2[ID],Table2[MC4], "Not Found", 0 )</f>
        <v>0</v>
      </c>
      <c r="AC972" s="8">
        <f>_xlfn.XLOOKUP(CustomerCombined[[#This Row],[ID]], Table2[ID],Table2[MC5], "Not Found", 0 )</f>
        <v>0</v>
      </c>
    </row>
    <row r="973" spans="1:29" x14ac:dyDescent="0.3">
      <c r="A973" s="6">
        <v>1465</v>
      </c>
      <c r="B973" s="6">
        <v>137760</v>
      </c>
      <c r="C973" s="6">
        <v>1</v>
      </c>
      <c r="D973" s="6">
        <v>0</v>
      </c>
      <c r="E973" s="6">
        <v>48</v>
      </c>
      <c r="F973" s="5" t="s">
        <v>5</v>
      </c>
      <c r="G973" s="5" t="s">
        <v>12</v>
      </c>
      <c r="H973" s="3" t="s">
        <v>206</v>
      </c>
      <c r="I973" s="5" t="s">
        <v>437</v>
      </c>
      <c r="J973" s="5">
        <f>_xlfn.XLOOKUP(CustomerCombined[[#This Row],[ID]], Table4[ID], Table4[Recency], "Not Found", 0)</f>
        <v>54</v>
      </c>
      <c r="K973" s="5">
        <f>_xlfn.XLOOKUP(CustomerCombined[[#This Row],[ID]], Table4[ID], Table4[Teas], "Not Found", 0)</f>
        <v>95</v>
      </c>
      <c r="L973" s="5">
        <f>_xlfn.XLOOKUP(CustomerCombined[[#This Row],[ID]], Table4[ID], Table4[Fruits], "Not Found", 0)</f>
        <v>11</v>
      </c>
      <c r="M973" s="5">
        <f>_xlfn.XLOOKUP(CustomerCombined[[#This Row],[ID]], Table4[ID], Table4[Meats], "Not Found", 0)</f>
        <v>47</v>
      </c>
      <c r="N973" s="5">
        <f>_xlfn.XLOOKUP(CustomerCombined[[#This Row],[ID]], Table4[ID], Table4[Seafood], "Not Found", 0)</f>
        <v>7</v>
      </c>
      <c r="O973" s="5">
        <f>_xlfn.XLOOKUP(CustomerCombined[[#This Row],[ID]], Table4[ID], Table4[Sweets], "Not Found", 0)</f>
        <v>36</v>
      </c>
      <c r="P973" s="5">
        <f>_xlfn.XLOOKUP(CustomerCombined[[#This Row],[ID]], Table4[ID], Table4[Premium], "Not Found", 0)</f>
        <v>0</v>
      </c>
      <c r="Q973" s="5">
        <f>_xlfn.XLOOKUP(CustomerCombined[[#This Row],[ID]], Table4[ID], Table4[Regular], "Not Found", 0)</f>
        <v>197</v>
      </c>
      <c r="R973" s="5">
        <f>_xlfn.XLOOKUP(CustomerCombined[[#This Row],[ID]], Table4[ID], Table4[Deals], "Not Found", 0)</f>
        <v>1</v>
      </c>
      <c r="S973" s="5">
        <f>_xlfn.XLOOKUP(CustomerCombined[[#This Row],[ID]], Table4[ID], Table4[Website], "Not Found", 0)</f>
        <v>2</v>
      </c>
      <c r="T973" s="5">
        <f>_xlfn.XLOOKUP(CustomerCombined[[#This Row],[ID]], Table4[ID], Table4[Catalog], "Not Found", 0)</f>
        <v>0</v>
      </c>
      <c r="U973" s="5">
        <f>_xlfn.XLOOKUP(CustomerCombined[[#This Row],[ID]], Table4[ID], Table4[Store], "Not Found", 0)</f>
        <v>3</v>
      </c>
      <c r="V973" s="5">
        <f>_xlfn.XLOOKUP(CustomerCombined[[#This Row],[ID]], Table4[ID], Table4[Visits], "Not Found", 0)</f>
        <v>6</v>
      </c>
      <c r="W973" s="8">
        <f>_xlfn.XLOOKUP(CustomerCombined[[#This Row],[ID]], Table2[ID],Table2[Complaint], "Not Found", 0 )</f>
        <v>0</v>
      </c>
      <c r="X973" s="8">
        <f>_xlfn.XLOOKUP(CustomerCombined[[#This Row],[ID]], Table2[ID],Table2[Pilot], "Not Found", 0 )</f>
        <v>0</v>
      </c>
      <c r="Y973" s="8">
        <f>_xlfn.XLOOKUP(CustomerCombined[[#This Row],[ID]], Table2[ID],Table2[MC1], "Not Found", 0 )</f>
        <v>0</v>
      </c>
      <c r="Z973" s="8">
        <f>_xlfn.XLOOKUP(CustomerCombined[[#This Row],[ID]], Table2[ID],Table2[MC2], "Not Found", 0 )</f>
        <v>0</v>
      </c>
      <c r="AA973" s="8">
        <f>_xlfn.XLOOKUP(CustomerCombined[[#This Row],[ID]], Table2[ID],Table2[MC3], "Not Found", 0 )</f>
        <v>0</v>
      </c>
      <c r="AB973" s="8">
        <f>_xlfn.XLOOKUP(CustomerCombined[[#This Row],[ID]], Table2[ID],Table2[MC4], "Not Found", 0 )</f>
        <v>0</v>
      </c>
      <c r="AC973" s="8">
        <f>_xlfn.XLOOKUP(CustomerCombined[[#This Row],[ID]], Table2[ID],Table2[MC5], "Not Found", 0 )</f>
        <v>0</v>
      </c>
    </row>
    <row r="974" spans="1:29" x14ac:dyDescent="0.3">
      <c r="A974" s="6">
        <v>2394</v>
      </c>
      <c r="B974" s="6">
        <v>136026</v>
      </c>
      <c r="C974" s="6">
        <v>2</v>
      </c>
      <c r="D974" s="6">
        <v>1</v>
      </c>
      <c r="E974" s="6">
        <v>48</v>
      </c>
      <c r="F974" s="5" t="s">
        <v>6</v>
      </c>
      <c r="G974" s="5" t="s">
        <v>11</v>
      </c>
      <c r="H974" s="3" t="s">
        <v>85</v>
      </c>
      <c r="I974" s="5" t="s">
        <v>436</v>
      </c>
      <c r="J974" s="5">
        <f>_xlfn.XLOOKUP(CustomerCombined[[#This Row],[ID]], Table4[ID], Table4[Recency], "Not Found", 0)</f>
        <v>34</v>
      </c>
      <c r="K974" s="5">
        <f>_xlfn.XLOOKUP(CustomerCombined[[#This Row],[ID]], Table4[ID], Table4[Teas], "Not Found", 0)</f>
        <v>76</v>
      </c>
      <c r="L974" s="5">
        <f>_xlfn.XLOOKUP(CustomerCombined[[#This Row],[ID]], Table4[ID], Table4[Fruits], "Not Found", 0)</f>
        <v>15</v>
      </c>
      <c r="M974" s="5">
        <f>_xlfn.XLOOKUP(CustomerCombined[[#This Row],[ID]], Table4[ID], Table4[Meats], "Not Found", 0)</f>
        <v>38</v>
      </c>
      <c r="N974" s="5">
        <f>_xlfn.XLOOKUP(CustomerCombined[[#This Row],[ID]], Table4[ID], Table4[Seafood], "Not Found", 0)</f>
        <v>23</v>
      </c>
      <c r="O974" s="5">
        <f>_xlfn.XLOOKUP(CustomerCombined[[#This Row],[ID]], Table4[ID], Table4[Sweets], "Not Found", 0)</f>
        <v>15</v>
      </c>
      <c r="P974" s="5">
        <f>_xlfn.XLOOKUP(CustomerCombined[[#This Row],[ID]], Table4[ID], Table4[Premium], "Not Found", 0)</f>
        <v>64</v>
      </c>
      <c r="Q974" s="5">
        <f>_xlfn.XLOOKUP(CustomerCombined[[#This Row],[ID]], Table4[ID], Table4[Regular], "Not Found", 0)</f>
        <v>102</v>
      </c>
      <c r="R974" s="5">
        <f>_xlfn.XLOOKUP(CustomerCombined[[#This Row],[ID]], Table4[ID], Table4[Deals], "Not Found", 0)</f>
        <v>2</v>
      </c>
      <c r="S974" s="5">
        <f>_xlfn.XLOOKUP(CustomerCombined[[#This Row],[ID]], Table4[ID], Table4[Website], "Not Found", 0)</f>
        <v>2</v>
      </c>
      <c r="T974" s="5">
        <f>_xlfn.XLOOKUP(CustomerCombined[[#This Row],[ID]], Table4[ID], Table4[Catalog], "Not Found", 0)</f>
        <v>0</v>
      </c>
      <c r="U974" s="5">
        <f>_xlfn.XLOOKUP(CustomerCombined[[#This Row],[ID]], Table4[ID], Table4[Store], "Not Found", 0)</f>
        <v>3</v>
      </c>
      <c r="V974" s="5">
        <f>_xlfn.XLOOKUP(CustomerCombined[[#This Row],[ID]], Table4[ID], Table4[Visits], "Not Found", 0)</f>
        <v>6</v>
      </c>
      <c r="W974" s="8">
        <f>_xlfn.XLOOKUP(CustomerCombined[[#This Row],[ID]], Table2[ID],Table2[Complaint], "Not Found", 0 )</f>
        <v>0</v>
      </c>
      <c r="X974" s="8">
        <f>_xlfn.XLOOKUP(CustomerCombined[[#This Row],[ID]], Table2[ID],Table2[Pilot], "Not Found", 0 )</f>
        <v>0</v>
      </c>
      <c r="Y974" s="8">
        <f>_xlfn.XLOOKUP(CustomerCombined[[#This Row],[ID]], Table2[ID],Table2[MC1], "Not Found", 0 )</f>
        <v>0</v>
      </c>
      <c r="Z974" s="8">
        <f>_xlfn.XLOOKUP(CustomerCombined[[#This Row],[ID]], Table2[ID],Table2[MC2], "Not Found", 0 )</f>
        <v>0</v>
      </c>
      <c r="AA974" s="8">
        <f>_xlfn.XLOOKUP(CustomerCombined[[#This Row],[ID]], Table2[ID],Table2[MC3], "Not Found", 0 )</f>
        <v>0</v>
      </c>
      <c r="AB974" s="8">
        <f>_xlfn.XLOOKUP(CustomerCombined[[#This Row],[ID]], Table2[ID],Table2[MC4], "Not Found", 0 )</f>
        <v>0</v>
      </c>
      <c r="AC974" s="8">
        <f>_xlfn.XLOOKUP(CustomerCombined[[#This Row],[ID]], Table2[ID],Table2[MC5], "Not Found", 0 )</f>
        <v>0</v>
      </c>
    </row>
    <row r="975" spans="1:29" x14ac:dyDescent="0.3">
      <c r="A975" s="6">
        <v>1894</v>
      </c>
      <c r="B975" s="6">
        <v>135641</v>
      </c>
      <c r="C975" s="6">
        <v>1</v>
      </c>
      <c r="D975" s="6">
        <v>0</v>
      </c>
      <c r="E975" s="6">
        <v>48</v>
      </c>
      <c r="F975" s="5" t="s">
        <v>6</v>
      </c>
      <c r="G975" s="5" t="s">
        <v>12</v>
      </c>
      <c r="H975" s="3" t="s">
        <v>222</v>
      </c>
      <c r="I975" s="5" t="s">
        <v>439</v>
      </c>
      <c r="J975" s="5">
        <f>_xlfn.XLOOKUP(CustomerCombined[[#This Row],[ID]], Table4[ID], Table4[Recency], "Not Found", 0)</f>
        <v>11</v>
      </c>
      <c r="K975" s="5">
        <f>_xlfn.XLOOKUP(CustomerCombined[[#This Row],[ID]], Table4[ID], Table4[Teas], "Not Found", 0)</f>
        <v>240</v>
      </c>
      <c r="L975" s="5">
        <f>_xlfn.XLOOKUP(CustomerCombined[[#This Row],[ID]], Table4[ID], Table4[Fruits], "Not Found", 0)</f>
        <v>11</v>
      </c>
      <c r="M975" s="5">
        <f>_xlfn.XLOOKUP(CustomerCombined[[#This Row],[ID]], Table4[ID], Table4[Meats], "Not Found", 0)</f>
        <v>255</v>
      </c>
      <c r="N975" s="5">
        <f>_xlfn.XLOOKUP(CustomerCombined[[#This Row],[ID]], Table4[ID], Table4[Seafood], "Not Found", 0)</f>
        <v>30</v>
      </c>
      <c r="O975" s="5">
        <f>_xlfn.XLOOKUP(CustomerCombined[[#This Row],[ID]], Table4[ID], Table4[Sweets], "Not Found", 0)</f>
        <v>34</v>
      </c>
      <c r="P975" s="5">
        <f>_xlfn.XLOOKUP(CustomerCombined[[#This Row],[ID]], Table4[ID], Table4[Premium], "Not Found", 0)</f>
        <v>107</v>
      </c>
      <c r="Q975" s="5">
        <f>_xlfn.XLOOKUP(CustomerCombined[[#This Row],[ID]], Table4[ID], Table4[Regular], "Not Found", 0)</f>
        <v>464</v>
      </c>
      <c r="R975" s="5">
        <f>_xlfn.XLOOKUP(CustomerCombined[[#This Row],[ID]], Table4[ID], Table4[Deals], "Not Found", 0)</f>
        <v>2</v>
      </c>
      <c r="S975" s="5">
        <f>_xlfn.XLOOKUP(CustomerCombined[[#This Row],[ID]], Table4[ID], Table4[Website], "Not Found", 0)</f>
        <v>3</v>
      </c>
      <c r="T975" s="5">
        <f>_xlfn.XLOOKUP(CustomerCombined[[#This Row],[ID]], Table4[ID], Table4[Catalog], "Not Found", 0)</f>
        <v>1</v>
      </c>
      <c r="U975" s="5">
        <f>_xlfn.XLOOKUP(CustomerCombined[[#This Row],[ID]], Table4[ID], Table4[Store], "Not Found", 0)</f>
        <v>4</v>
      </c>
      <c r="V975" s="5">
        <f>_xlfn.XLOOKUP(CustomerCombined[[#This Row],[ID]], Table4[ID], Table4[Visits], "Not Found", 0)</f>
        <v>7</v>
      </c>
      <c r="W975" s="8">
        <f>_xlfn.XLOOKUP(CustomerCombined[[#This Row],[ID]], Table2[ID],Table2[Complaint], "Not Found", 0 )</f>
        <v>0</v>
      </c>
      <c r="X975" s="8">
        <f>_xlfn.XLOOKUP(CustomerCombined[[#This Row],[ID]], Table2[ID],Table2[Pilot], "Not Found", 0 )</f>
        <v>1</v>
      </c>
      <c r="Y975" s="8">
        <f>_xlfn.XLOOKUP(CustomerCombined[[#This Row],[ID]], Table2[ID],Table2[MC1], "Not Found", 0 )</f>
        <v>0</v>
      </c>
      <c r="Z975" s="8">
        <f>_xlfn.XLOOKUP(CustomerCombined[[#This Row],[ID]], Table2[ID],Table2[MC2], "Not Found", 0 )</f>
        <v>0</v>
      </c>
      <c r="AA975" s="8">
        <f>_xlfn.XLOOKUP(CustomerCombined[[#This Row],[ID]], Table2[ID],Table2[MC3], "Not Found", 0 )</f>
        <v>0</v>
      </c>
      <c r="AB975" s="8">
        <f>_xlfn.XLOOKUP(CustomerCombined[[#This Row],[ID]], Table2[ID],Table2[MC4], "Not Found", 0 )</f>
        <v>0</v>
      </c>
      <c r="AC975" s="8">
        <f>_xlfn.XLOOKUP(CustomerCombined[[#This Row],[ID]], Table2[ID],Table2[MC5], "Not Found", 0 )</f>
        <v>0</v>
      </c>
    </row>
    <row r="976" spans="1:29" x14ac:dyDescent="0.3">
      <c r="A976" s="6">
        <v>2396</v>
      </c>
      <c r="B976" s="6">
        <v>134578</v>
      </c>
      <c r="C976" s="6">
        <v>2</v>
      </c>
      <c r="D976" s="6">
        <v>1</v>
      </c>
      <c r="E976" s="6">
        <v>48</v>
      </c>
      <c r="F976" s="5" t="s">
        <v>8</v>
      </c>
      <c r="G976" s="5" t="s">
        <v>13</v>
      </c>
      <c r="H976" s="3" t="s">
        <v>71</v>
      </c>
      <c r="I976" s="5" t="s">
        <v>438</v>
      </c>
      <c r="J976" s="5">
        <f>_xlfn.XLOOKUP(CustomerCombined[[#This Row],[ID]], Table4[ID], Table4[Recency], "Not Found", 0)</f>
        <v>1</v>
      </c>
      <c r="K976" s="5">
        <f>_xlfn.XLOOKUP(CustomerCombined[[#This Row],[ID]], Table4[ID], Table4[Teas], "Not Found", 0)</f>
        <v>27</v>
      </c>
      <c r="L976" s="5">
        <f>_xlfn.XLOOKUP(CustomerCombined[[#This Row],[ID]], Table4[ID], Table4[Fruits], "Not Found", 0)</f>
        <v>0</v>
      </c>
      <c r="M976" s="5">
        <f>_xlfn.XLOOKUP(CustomerCombined[[#This Row],[ID]], Table4[ID], Table4[Meats], "Not Found", 0)</f>
        <v>4</v>
      </c>
      <c r="N976" s="5">
        <f>_xlfn.XLOOKUP(CustomerCombined[[#This Row],[ID]], Table4[ID], Table4[Seafood], "Not Found", 0)</f>
        <v>0</v>
      </c>
      <c r="O976" s="5">
        <f>_xlfn.XLOOKUP(CustomerCombined[[#This Row],[ID]], Table4[ID], Table4[Sweets], "Not Found", 0)</f>
        <v>0</v>
      </c>
      <c r="P976" s="5">
        <f>_xlfn.XLOOKUP(CustomerCombined[[#This Row],[ID]], Table4[ID], Table4[Premium], "Not Found", 0)</f>
        <v>0</v>
      </c>
      <c r="Q976" s="5">
        <f>_xlfn.XLOOKUP(CustomerCombined[[#This Row],[ID]], Table4[ID], Table4[Regular], "Not Found", 0)</f>
        <v>31</v>
      </c>
      <c r="R976" s="5">
        <f>_xlfn.XLOOKUP(CustomerCombined[[#This Row],[ID]], Table4[ID], Table4[Deals], "Not Found", 0)</f>
        <v>1</v>
      </c>
      <c r="S976" s="5">
        <f>_xlfn.XLOOKUP(CustomerCombined[[#This Row],[ID]], Table4[ID], Table4[Website], "Not Found", 0)</f>
        <v>1</v>
      </c>
      <c r="T976" s="5">
        <f>_xlfn.XLOOKUP(CustomerCombined[[#This Row],[ID]], Table4[ID], Table4[Catalog], "Not Found", 0)</f>
        <v>0</v>
      </c>
      <c r="U976" s="5">
        <f>_xlfn.XLOOKUP(CustomerCombined[[#This Row],[ID]], Table4[ID], Table4[Store], "Not Found", 0)</f>
        <v>2</v>
      </c>
      <c r="V976" s="5">
        <f>_xlfn.XLOOKUP(CustomerCombined[[#This Row],[ID]], Table4[ID], Table4[Visits], "Not Found", 0)</f>
        <v>6</v>
      </c>
      <c r="W976" s="8">
        <f>_xlfn.XLOOKUP(CustomerCombined[[#This Row],[ID]], Table2[ID],Table2[Complaint], "Not Found", 0 )</f>
        <v>0</v>
      </c>
      <c r="X976" s="8">
        <f>_xlfn.XLOOKUP(CustomerCombined[[#This Row],[ID]], Table2[ID],Table2[Pilot], "Not Found", 0 )</f>
        <v>0</v>
      </c>
      <c r="Y976" s="8">
        <f>_xlfn.XLOOKUP(CustomerCombined[[#This Row],[ID]], Table2[ID],Table2[MC1], "Not Found", 0 )</f>
        <v>0</v>
      </c>
      <c r="Z976" s="8">
        <f>_xlfn.XLOOKUP(CustomerCombined[[#This Row],[ID]], Table2[ID],Table2[MC2], "Not Found", 0 )</f>
        <v>0</v>
      </c>
      <c r="AA976" s="8">
        <f>_xlfn.XLOOKUP(CustomerCombined[[#This Row],[ID]], Table2[ID],Table2[MC3], "Not Found", 0 )</f>
        <v>0</v>
      </c>
      <c r="AB976" s="8">
        <f>_xlfn.XLOOKUP(CustomerCombined[[#This Row],[ID]], Table2[ID],Table2[MC4], "Not Found", 0 )</f>
        <v>0</v>
      </c>
      <c r="AC976" s="8">
        <f>_xlfn.XLOOKUP(CustomerCombined[[#This Row],[ID]], Table2[ID],Table2[MC5], "Not Found", 0 )</f>
        <v>0</v>
      </c>
    </row>
    <row r="977" spans="1:29" x14ac:dyDescent="0.3">
      <c r="A977" s="6">
        <v>1754</v>
      </c>
      <c r="B977" s="6">
        <v>133622</v>
      </c>
      <c r="C977" s="6">
        <v>1</v>
      </c>
      <c r="D977" s="6">
        <v>1</v>
      </c>
      <c r="E977" s="6">
        <v>48</v>
      </c>
      <c r="F977" s="5" t="s">
        <v>6</v>
      </c>
      <c r="G977" s="5" t="s">
        <v>11</v>
      </c>
      <c r="H977" s="3" t="s">
        <v>276</v>
      </c>
      <c r="I977" s="5" t="s">
        <v>438</v>
      </c>
      <c r="J977" s="5">
        <f>_xlfn.XLOOKUP(CustomerCombined[[#This Row],[ID]], Table4[ID], Table4[Recency], "Not Found", 0)</f>
        <v>22</v>
      </c>
      <c r="K977" s="5">
        <f>_xlfn.XLOOKUP(CustomerCombined[[#This Row],[ID]], Table4[ID], Table4[Teas], "Not Found", 0)</f>
        <v>155</v>
      </c>
      <c r="L977" s="5">
        <f>_xlfn.XLOOKUP(CustomerCombined[[#This Row],[ID]], Table4[ID], Table4[Fruits], "Not Found", 0)</f>
        <v>4</v>
      </c>
      <c r="M977" s="5">
        <f>_xlfn.XLOOKUP(CustomerCombined[[#This Row],[ID]], Table4[ID], Table4[Meats], "Not Found", 0)</f>
        <v>87</v>
      </c>
      <c r="N977" s="5">
        <f>_xlfn.XLOOKUP(CustomerCombined[[#This Row],[ID]], Table4[ID], Table4[Seafood], "Not Found", 0)</f>
        <v>12</v>
      </c>
      <c r="O977" s="5">
        <f>_xlfn.XLOOKUP(CustomerCombined[[#This Row],[ID]], Table4[ID], Table4[Sweets], "Not Found", 0)</f>
        <v>16</v>
      </c>
      <c r="P977" s="5">
        <f>_xlfn.XLOOKUP(CustomerCombined[[#This Row],[ID]], Table4[ID], Table4[Premium], "Not Found", 0)</f>
        <v>48</v>
      </c>
      <c r="Q977" s="5">
        <f>_xlfn.XLOOKUP(CustomerCombined[[#This Row],[ID]], Table4[ID], Table4[Regular], "Not Found", 0)</f>
        <v>227</v>
      </c>
      <c r="R977" s="5">
        <f>_xlfn.XLOOKUP(CustomerCombined[[#This Row],[ID]], Table4[ID], Table4[Deals], "Not Found", 0)</f>
        <v>3</v>
      </c>
      <c r="S977" s="5">
        <f>_xlfn.XLOOKUP(CustomerCombined[[#This Row],[ID]], Table4[ID], Table4[Website], "Not Found", 0)</f>
        <v>2</v>
      </c>
      <c r="T977" s="5">
        <f>_xlfn.XLOOKUP(CustomerCombined[[#This Row],[ID]], Table4[ID], Table4[Catalog], "Not Found", 0)</f>
        <v>0</v>
      </c>
      <c r="U977" s="5">
        <f>_xlfn.XLOOKUP(CustomerCombined[[#This Row],[ID]], Table4[ID], Table4[Store], "Not Found", 0)</f>
        <v>4</v>
      </c>
      <c r="V977" s="5">
        <f>_xlfn.XLOOKUP(CustomerCombined[[#This Row],[ID]], Table4[ID], Table4[Visits], "Not Found", 0)</f>
        <v>7</v>
      </c>
      <c r="W977" s="8">
        <f>_xlfn.XLOOKUP(CustomerCombined[[#This Row],[ID]], Table2[ID],Table2[Complaint], "Not Found", 0 )</f>
        <v>0</v>
      </c>
      <c r="X977" s="8">
        <f>_xlfn.XLOOKUP(CustomerCombined[[#This Row],[ID]], Table2[ID],Table2[Pilot], "Not Found", 0 )</f>
        <v>0</v>
      </c>
      <c r="Y977" s="8">
        <f>_xlfn.XLOOKUP(CustomerCombined[[#This Row],[ID]], Table2[ID],Table2[MC1], "Not Found", 0 )</f>
        <v>0</v>
      </c>
      <c r="Z977" s="8">
        <f>_xlfn.XLOOKUP(CustomerCombined[[#This Row],[ID]], Table2[ID],Table2[MC2], "Not Found", 0 )</f>
        <v>0</v>
      </c>
      <c r="AA977" s="8">
        <f>_xlfn.XLOOKUP(CustomerCombined[[#This Row],[ID]], Table2[ID],Table2[MC3], "Not Found", 0 )</f>
        <v>0</v>
      </c>
      <c r="AB977" s="8">
        <f>_xlfn.XLOOKUP(CustomerCombined[[#This Row],[ID]], Table2[ID],Table2[MC4], "Not Found", 0 )</f>
        <v>0</v>
      </c>
      <c r="AC977" s="8">
        <f>_xlfn.XLOOKUP(CustomerCombined[[#This Row],[ID]], Table2[ID],Table2[MC5], "Not Found", 0 )</f>
        <v>0</v>
      </c>
    </row>
    <row r="978" spans="1:29" x14ac:dyDescent="0.3">
      <c r="A978" s="6">
        <v>2405</v>
      </c>
      <c r="B978" s="6">
        <v>131907</v>
      </c>
      <c r="C978" s="6">
        <v>0</v>
      </c>
      <c r="D978" s="6">
        <v>0</v>
      </c>
      <c r="E978" s="6">
        <v>48</v>
      </c>
      <c r="F978" s="5" t="s">
        <v>7</v>
      </c>
      <c r="G978" s="5" t="s">
        <v>11</v>
      </c>
      <c r="H978" s="3">
        <v>43716</v>
      </c>
      <c r="I978" s="5" t="s">
        <v>434</v>
      </c>
      <c r="J978" s="5">
        <f>_xlfn.XLOOKUP(CustomerCombined[[#This Row],[ID]], Table4[ID], Table4[Recency], "Not Found", 0)</f>
        <v>75</v>
      </c>
      <c r="K978" s="5">
        <f>_xlfn.XLOOKUP(CustomerCombined[[#This Row],[ID]], Table4[ID], Table4[Teas], "Not Found", 0)</f>
        <v>136</v>
      </c>
      <c r="L978" s="5">
        <f>_xlfn.XLOOKUP(CustomerCombined[[#This Row],[ID]], Table4[ID], Table4[Fruits], "Not Found", 0)</f>
        <v>360</v>
      </c>
      <c r="M978" s="5">
        <f>_xlfn.XLOOKUP(CustomerCombined[[#This Row],[ID]], Table4[ID], Table4[Meats], "Not Found", 0)</f>
        <v>265</v>
      </c>
      <c r="N978" s="5">
        <f>_xlfn.XLOOKUP(CustomerCombined[[#This Row],[ID]], Table4[ID], Table4[Seafood], "Not Found", 0)</f>
        <v>723</v>
      </c>
      <c r="O978" s="5">
        <f>_xlfn.XLOOKUP(CustomerCombined[[#This Row],[ID]], Table4[ID], Table4[Sweets], "Not Found", 0)</f>
        <v>66</v>
      </c>
      <c r="P978" s="5">
        <f>_xlfn.XLOOKUP(CustomerCombined[[#This Row],[ID]], Table4[ID], Table4[Premium], "Not Found", 0)</f>
        <v>306</v>
      </c>
      <c r="Q978" s="5">
        <f>_xlfn.XLOOKUP(CustomerCombined[[#This Row],[ID]], Table4[ID], Table4[Regular], "Not Found", 0)</f>
        <v>1244</v>
      </c>
      <c r="R978" s="5">
        <f>_xlfn.XLOOKUP(CustomerCombined[[#This Row],[ID]], Table4[ID], Table4[Deals], "Not Found", 0)</f>
        <v>1</v>
      </c>
      <c r="S978" s="5">
        <f>_xlfn.XLOOKUP(CustomerCombined[[#This Row],[ID]], Table4[ID], Table4[Website], "Not Found", 0)</f>
        <v>6</v>
      </c>
      <c r="T978" s="5">
        <f>_xlfn.XLOOKUP(CustomerCombined[[#This Row],[ID]], Table4[ID], Table4[Catalog], "Not Found", 0)</f>
        <v>1</v>
      </c>
      <c r="U978" s="5">
        <f>_xlfn.XLOOKUP(CustomerCombined[[#This Row],[ID]], Table4[ID], Table4[Store], "Not Found", 0)</f>
        <v>6</v>
      </c>
      <c r="V978" s="5">
        <f>_xlfn.XLOOKUP(CustomerCombined[[#This Row],[ID]], Table4[ID], Table4[Visits], "Not Found", 0)</f>
        <v>7</v>
      </c>
      <c r="W978" s="8">
        <f>_xlfn.XLOOKUP(CustomerCombined[[#This Row],[ID]], Table2[ID],Table2[Complaint], "Not Found", 0 )</f>
        <v>0</v>
      </c>
      <c r="X978" s="8">
        <f>_xlfn.XLOOKUP(CustomerCombined[[#This Row],[ID]], Table2[ID],Table2[Pilot], "Not Found", 0 )</f>
        <v>0</v>
      </c>
      <c r="Y978" s="8">
        <f>_xlfn.XLOOKUP(CustomerCombined[[#This Row],[ID]], Table2[ID],Table2[MC1], "Not Found", 0 )</f>
        <v>0</v>
      </c>
      <c r="Z978" s="8">
        <f>_xlfn.XLOOKUP(CustomerCombined[[#This Row],[ID]], Table2[ID],Table2[MC2], "Not Found", 0 )</f>
        <v>0</v>
      </c>
      <c r="AA978" s="8">
        <f>_xlfn.XLOOKUP(CustomerCombined[[#This Row],[ID]], Table2[ID],Table2[MC3], "Not Found", 0 )</f>
        <v>0</v>
      </c>
      <c r="AB978" s="8">
        <f>_xlfn.XLOOKUP(CustomerCombined[[#This Row],[ID]], Table2[ID],Table2[MC4], "Not Found", 0 )</f>
        <v>0</v>
      </c>
      <c r="AC978" s="8">
        <f>_xlfn.XLOOKUP(CustomerCombined[[#This Row],[ID]], Table2[ID],Table2[MC5], "Not Found", 0 )</f>
        <v>0</v>
      </c>
    </row>
    <row r="979" spans="1:29" x14ac:dyDescent="0.3">
      <c r="A979" s="6">
        <v>1765</v>
      </c>
      <c r="B979" s="6">
        <v>131590</v>
      </c>
      <c r="C979" s="6">
        <v>1</v>
      </c>
      <c r="D979" s="6">
        <v>0</v>
      </c>
      <c r="E979" s="6">
        <v>48</v>
      </c>
      <c r="F979" s="5" t="s">
        <v>8</v>
      </c>
      <c r="G979" s="5" t="s">
        <v>11</v>
      </c>
      <c r="H979" s="3" t="s">
        <v>235</v>
      </c>
      <c r="I979" s="5" t="s">
        <v>437</v>
      </c>
      <c r="J979" s="5">
        <f>_xlfn.XLOOKUP(CustomerCombined[[#This Row],[ID]], Table4[ID], Table4[Recency], "Not Found", 0)</f>
        <v>40</v>
      </c>
      <c r="K979" s="5">
        <f>_xlfn.XLOOKUP(CustomerCombined[[#This Row],[ID]], Table4[ID], Table4[Teas], "Not Found", 0)</f>
        <v>25</v>
      </c>
      <c r="L979" s="5">
        <f>_xlfn.XLOOKUP(CustomerCombined[[#This Row],[ID]], Table4[ID], Table4[Fruits], "Not Found", 0)</f>
        <v>8</v>
      </c>
      <c r="M979" s="5">
        <f>_xlfn.XLOOKUP(CustomerCombined[[#This Row],[ID]], Table4[ID], Table4[Meats], "Not Found", 0)</f>
        <v>62</v>
      </c>
      <c r="N979" s="5">
        <f>_xlfn.XLOOKUP(CustomerCombined[[#This Row],[ID]], Table4[ID], Table4[Seafood], "Not Found", 0)</f>
        <v>25</v>
      </c>
      <c r="O979" s="5">
        <f>_xlfn.XLOOKUP(CustomerCombined[[#This Row],[ID]], Table4[ID], Table4[Sweets], "Not Found", 0)</f>
        <v>25</v>
      </c>
      <c r="P979" s="5">
        <f>_xlfn.XLOOKUP(CustomerCombined[[#This Row],[ID]], Table4[ID], Table4[Premium], "Not Found", 0)</f>
        <v>12</v>
      </c>
      <c r="Q979" s="5">
        <f>_xlfn.XLOOKUP(CustomerCombined[[#This Row],[ID]], Table4[ID], Table4[Regular], "Not Found", 0)</f>
        <v>133</v>
      </c>
      <c r="R979" s="5">
        <f>_xlfn.XLOOKUP(CustomerCombined[[#This Row],[ID]], Table4[ID], Table4[Deals], "Not Found", 0)</f>
        <v>1</v>
      </c>
      <c r="S979" s="5">
        <f>_xlfn.XLOOKUP(CustomerCombined[[#This Row],[ID]], Table4[ID], Table4[Website], "Not Found", 0)</f>
        <v>1</v>
      </c>
      <c r="T979" s="5">
        <f>_xlfn.XLOOKUP(CustomerCombined[[#This Row],[ID]], Table4[ID], Table4[Catalog], "Not Found", 0)</f>
        <v>0</v>
      </c>
      <c r="U979" s="5">
        <f>_xlfn.XLOOKUP(CustomerCombined[[#This Row],[ID]], Table4[ID], Table4[Store], "Not Found", 0)</f>
        <v>3</v>
      </c>
      <c r="V979" s="5">
        <f>_xlfn.XLOOKUP(CustomerCombined[[#This Row],[ID]], Table4[ID], Table4[Visits], "Not Found", 0)</f>
        <v>8</v>
      </c>
      <c r="W979" s="8">
        <f>_xlfn.XLOOKUP(CustomerCombined[[#This Row],[ID]], Table2[ID],Table2[Complaint], "Not Found", 0 )</f>
        <v>0</v>
      </c>
      <c r="X979" s="8">
        <f>_xlfn.XLOOKUP(CustomerCombined[[#This Row],[ID]], Table2[ID],Table2[Pilot], "Not Found", 0 )</f>
        <v>0</v>
      </c>
      <c r="Y979" s="8">
        <f>_xlfn.XLOOKUP(CustomerCombined[[#This Row],[ID]], Table2[ID],Table2[MC1], "Not Found", 0 )</f>
        <v>0</v>
      </c>
      <c r="Z979" s="8">
        <f>_xlfn.XLOOKUP(CustomerCombined[[#This Row],[ID]], Table2[ID],Table2[MC2], "Not Found", 0 )</f>
        <v>0</v>
      </c>
      <c r="AA979" s="8">
        <f>_xlfn.XLOOKUP(CustomerCombined[[#This Row],[ID]], Table2[ID],Table2[MC3], "Not Found", 0 )</f>
        <v>0</v>
      </c>
      <c r="AB979" s="8">
        <f>_xlfn.XLOOKUP(CustomerCombined[[#This Row],[ID]], Table2[ID],Table2[MC4], "Not Found", 0 )</f>
        <v>0</v>
      </c>
      <c r="AC979" s="8">
        <f>_xlfn.XLOOKUP(CustomerCombined[[#This Row],[ID]], Table2[ID],Table2[MC5], "Not Found", 0 )</f>
        <v>0</v>
      </c>
    </row>
    <row r="980" spans="1:29" x14ac:dyDescent="0.3">
      <c r="A980" s="6">
        <v>1322</v>
      </c>
      <c r="B980" s="6">
        <v>130675</v>
      </c>
      <c r="C980" s="6">
        <v>1</v>
      </c>
      <c r="D980" s="6">
        <v>0</v>
      </c>
      <c r="E980" s="6">
        <v>48</v>
      </c>
      <c r="F980" s="5" t="s">
        <v>6</v>
      </c>
      <c r="G980" s="5" t="s">
        <v>11</v>
      </c>
      <c r="H980" s="3" t="s">
        <v>363</v>
      </c>
      <c r="I980" s="5" t="s">
        <v>438</v>
      </c>
      <c r="J980" s="5">
        <f>_xlfn.XLOOKUP(CustomerCombined[[#This Row],[ID]], Table4[ID], Table4[Recency], "Not Found", 0)</f>
        <v>14</v>
      </c>
      <c r="K980" s="5">
        <f>_xlfn.XLOOKUP(CustomerCombined[[#This Row],[ID]], Table4[ID], Table4[Teas], "Not Found", 0)</f>
        <v>43</v>
      </c>
      <c r="L980" s="5">
        <f>_xlfn.XLOOKUP(CustomerCombined[[#This Row],[ID]], Table4[ID], Table4[Fruits], "Not Found", 0)</f>
        <v>9</v>
      </c>
      <c r="M980" s="5">
        <f>_xlfn.XLOOKUP(CustomerCombined[[#This Row],[ID]], Table4[ID], Table4[Meats], "Not Found", 0)</f>
        <v>68</v>
      </c>
      <c r="N980" s="5">
        <f>_xlfn.XLOOKUP(CustomerCombined[[#This Row],[ID]], Table4[ID], Table4[Seafood], "Not Found", 0)</f>
        <v>47</v>
      </c>
      <c r="O980" s="5">
        <f>_xlfn.XLOOKUP(CustomerCombined[[#This Row],[ID]], Table4[ID], Table4[Sweets], "Not Found", 0)</f>
        <v>9</v>
      </c>
      <c r="P980" s="5">
        <f>_xlfn.XLOOKUP(CustomerCombined[[#This Row],[ID]], Table4[ID], Table4[Premium], "Not Found", 0)</f>
        <v>89</v>
      </c>
      <c r="Q980" s="5">
        <f>_xlfn.XLOOKUP(CustomerCombined[[#This Row],[ID]], Table4[ID], Table4[Regular], "Not Found", 0)</f>
        <v>85</v>
      </c>
      <c r="R980" s="5">
        <f>_xlfn.XLOOKUP(CustomerCombined[[#This Row],[ID]], Table4[ID], Table4[Deals], "Not Found", 0)</f>
        <v>1</v>
      </c>
      <c r="S980" s="5">
        <f>_xlfn.XLOOKUP(CustomerCombined[[#This Row],[ID]], Table4[ID], Table4[Website], "Not Found", 0)</f>
        <v>1</v>
      </c>
      <c r="T980" s="5">
        <f>_xlfn.XLOOKUP(CustomerCombined[[#This Row],[ID]], Table4[ID], Table4[Catalog], "Not Found", 0)</f>
        <v>0</v>
      </c>
      <c r="U980" s="5">
        <f>_xlfn.XLOOKUP(CustomerCombined[[#This Row],[ID]], Table4[ID], Table4[Store], "Not Found", 0)</f>
        <v>3</v>
      </c>
      <c r="V980" s="5">
        <f>_xlfn.XLOOKUP(CustomerCombined[[#This Row],[ID]], Table4[ID], Table4[Visits], "Not Found", 0)</f>
        <v>8</v>
      </c>
      <c r="W980" s="8">
        <f>_xlfn.XLOOKUP(CustomerCombined[[#This Row],[ID]], Table2[ID],Table2[Complaint], "Not Found", 0 )</f>
        <v>0</v>
      </c>
      <c r="X980" s="8">
        <f>_xlfn.XLOOKUP(CustomerCombined[[#This Row],[ID]], Table2[ID],Table2[Pilot], "Not Found", 0 )</f>
        <v>0</v>
      </c>
      <c r="Y980" s="8">
        <f>_xlfn.XLOOKUP(CustomerCombined[[#This Row],[ID]], Table2[ID],Table2[MC1], "Not Found", 0 )</f>
        <v>0</v>
      </c>
      <c r="Z980" s="8">
        <f>_xlfn.XLOOKUP(CustomerCombined[[#This Row],[ID]], Table2[ID],Table2[MC2], "Not Found", 0 )</f>
        <v>0</v>
      </c>
      <c r="AA980" s="8">
        <f>_xlfn.XLOOKUP(CustomerCombined[[#This Row],[ID]], Table2[ID],Table2[MC3], "Not Found", 0 )</f>
        <v>0</v>
      </c>
      <c r="AB980" s="8">
        <f>_xlfn.XLOOKUP(CustomerCombined[[#This Row],[ID]], Table2[ID],Table2[MC4], "Not Found", 0 )</f>
        <v>0</v>
      </c>
      <c r="AC980" s="8">
        <f>_xlfn.XLOOKUP(CustomerCombined[[#This Row],[ID]], Table2[ID],Table2[MC5], "Not Found", 0 )</f>
        <v>0</v>
      </c>
    </row>
    <row r="981" spans="1:29" x14ac:dyDescent="0.3">
      <c r="A981" s="6">
        <v>1764</v>
      </c>
      <c r="B981" s="6">
        <v>130467</v>
      </c>
      <c r="C981" s="6">
        <v>1</v>
      </c>
      <c r="D981" s="6">
        <v>0</v>
      </c>
      <c r="E981" s="6">
        <v>48</v>
      </c>
      <c r="F981" s="5" t="s">
        <v>6</v>
      </c>
      <c r="G981" s="5" t="s">
        <v>11</v>
      </c>
      <c r="H981" s="3" t="s">
        <v>82</v>
      </c>
      <c r="I981" s="5" t="s">
        <v>436</v>
      </c>
      <c r="J981" s="5">
        <f>_xlfn.XLOOKUP(CustomerCombined[[#This Row],[ID]], Table4[ID], Table4[Recency], "Not Found", 0)</f>
        <v>8</v>
      </c>
      <c r="K981" s="5">
        <f>_xlfn.XLOOKUP(CustomerCombined[[#This Row],[ID]], Table4[ID], Table4[Teas], "Not Found", 0)</f>
        <v>4</v>
      </c>
      <c r="L981" s="5">
        <f>_xlfn.XLOOKUP(CustomerCombined[[#This Row],[ID]], Table4[ID], Table4[Fruits], "Not Found", 0)</f>
        <v>13</v>
      </c>
      <c r="M981" s="5">
        <f>_xlfn.XLOOKUP(CustomerCombined[[#This Row],[ID]], Table4[ID], Table4[Meats], "Not Found", 0)</f>
        <v>34</v>
      </c>
      <c r="N981" s="5">
        <f>_xlfn.XLOOKUP(CustomerCombined[[#This Row],[ID]], Table4[ID], Table4[Seafood], "Not Found", 0)</f>
        <v>9</v>
      </c>
      <c r="O981" s="5">
        <f>_xlfn.XLOOKUP(CustomerCombined[[#This Row],[ID]], Table4[ID], Table4[Sweets], "Not Found", 0)</f>
        <v>21</v>
      </c>
      <c r="P981" s="5">
        <f>_xlfn.XLOOKUP(CustomerCombined[[#This Row],[ID]], Table4[ID], Table4[Premium], "Not Found", 0)</f>
        <v>21</v>
      </c>
      <c r="Q981" s="5">
        <f>_xlfn.XLOOKUP(CustomerCombined[[#This Row],[ID]], Table4[ID], Table4[Regular], "Not Found", 0)</f>
        <v>60</v>
      </c>
      <c r="R981" s="5">
        <f>_xlfn.XLOOKUP(CustomerCombined[[#This Row],[ID]], Table4[ID], Table4[Deals], "Not Found", 0)</f>
        <v>1</v>
      </c>
      <c r="S981" s="5">
        <f>_xlfn.XLOOKUP(CustomerCombined[[#This Row],[ID]], Table4[ID], Table4[Website], "Not Found", 0)</f>
        <v>1</v>
      </c>
      <c r="T981" s="5">
        <f>_xlfn.XLOOKUP(CustomerCombined[[#This Row],[ID]], Table4[ID], Table4[Catalog], "Not Found", 0)</f>
        <v>0</v>
      </c>
      <c r="U981" s="5">
        <f>_xlfn.XLOOKUP(CustomerCombined[[#This Row],[ID]], Table4[ID], Table4[Store], "Not Found", 0)</f>
        <v>2</v>
      </c>
      <c r="V981" s="5">
        <f>_xlfn.XLOOKUP(CustomerCombined[[#This Row],[ID]], Table4[ID], Table4[Visits], "Not Found", 0)</f>
        <v>7</v>
      </c>
      <c r="W981" s="8">
        <f>_xlfn.XLOOKUP(CustomerCombined[[#This Row],[ID]], Table2[ID],Table2[Complaint], "Not Found", 0 )</f>
        <v>0</v>
      </c>
      <c r="X981" s="8">
        <f>_xlfn.XLOOKUP(CustomerCombined[[#This Row],[ID]], Table2[ID],Table2[Pilot], "Not Found", 0 )</f>
        <v>0</v>
      </c>
      <c r="Y981" s="8">
        <f>_xlfn.XLOOKUP(CustomerCombined[[#This Row],[ID]], Table2[ID],Table2[MC1], "Not Found", 0 )</f>
        <v>0</v>
      </c>
      <c r="Z981" s="8">
        <f>_xlfn.XLOOKUP(CustomerCombined[[#This Row],[ID]], Table2[ID],Table2[MC2], "Not Found", 0 )</f>
        <v>0</v>
      </c>
      <c r="AA981" s="8">
        <f>_xlfn.XLOOKUP(CustomerCombined[[#This Row],[ID]], Table2[ID],Table2[MC3], "Not Found", 0 )</f>
        <v>0</v>
      </c>
      <c r="AB981" s="8">
        <f>_xlfn.XLOOKUP(CustomerCombined[[#This Row],[ID]], Table2[ID],Table2[MC4], "Not Found", 0 )</f>
        <v>0</v>
      </c>
      <c r="AC981" s="8">
        <f>_xlfn.XLOOKUP(CustomerCombined[[#This Row],[ID]], Table2[ID],Table2[MC5], "Not Found", 0 )</f>
        <v>0</v>
      </c>
    </row>
    <row r="982" spans="1:29" x14ac:dyDescent="0.3">
      <c r="A982" s="6">
        <v>2994</v>
      </c>
      <c r="B982" s="6">
        <v>130261</v>
      </c>
      <c r="C982" s="6">
        <v>1</v>
      </c>
      <c r="D982" s="6">
        <v>2</v>
      </c>
      <c r="E982" s="6">
        <v>48</v>
      </c>
      <c r="F982" s="5" t="s">
        <v>8</v>
      </c>
      <c r="G982" s="5" t="s">
        <v>11</v>
      </c>
      <c r="H982" s="3">
        <v>43499</v>
      </c>
      <c r="I982" s="5" t="s">
        <v>436</v>
      </c>
      <c r="J982" s="5">
        <f>_xlfn.XLOOKUP(CustomerCombined[[#This Row],[ID]], Table4[ID], Table4[Recency], "Not Found", 0)</f>
        <v>75</v>
      </c>
      <c r="K982" s="5">
        <f>_xlfn.XLOOKUP(CustomerCombined[[#This Row],[ID]], Table4[ID], Table4[Teas], "Not Found", 0)</f>
        <v>34</v>
      </c>
      <c r="L982" s="5">
        <f>_xlfn.XLOOKUP(CustomerCombined[[#This Row],[ID]], Table4[ID], Table4[Fruits], "Not Found", 0)</f>
        <v>0</v>
      </c>
      <c r="M982" s="5">
        <f>_xlfn.XLOOKUP(CustomerCombined[[#This Row],[ID]], Table4[ID], Table4[Meats], "Not Found", 0)</f>
        <v>22</v>
      </c>
      <c r="N982" s="5">
        <f>_xlfn.XLOOKUP(CustomerCombined[[#This Row],[ID]], Table4[ID], Table4[Seafood], "Not Found", 0)</f>
        <v>0</v>
      </c>
      <c r="O982" s="5">
        <f>_xlfn.XLOOKUP(CustomerCombined[[#This Row],[ID]], Table4[ID], Table4[Sweets], "Not Found", 0)</f>
        <v>13</v>
      </c>
      <c r="P982" s="5">
        <f>_xlfn.XLOOKUP(CustomerCombined[[#This Row],[ID]], Table4[ID], Table4[Premium], "Not Found", 0)</f>
        <v>26</v>
      </c>
      <c r="Q982" s="5">
        <f>_xlfn.XLOOKUP(CustomerCombined[[#This Row],[ID]], Table4[ID], Table4[Regular], "Not Found", 0)</f>
        <v>43</v>
      </c>
      <c r="R982" s="5">
        <f>_xlfn.XLOOKUP(CustomerCombined[[#This Row],[ID]], Table4[ID], Table4[Deals], "Not Found", 0)</f>
        <v>1</v>
      </c>
      <c r="S982" s="5">
        <f>_xlfn.XLOOKUP(CustomerCombined[[#This Row],[ID]], Table4[ID], Table4[Website], "Not Found", 0)</f>
        <v>0</v>
      </c>
      <c r="T982" s="5">
        <f>_xlfn.XLOOKUP(CustomerCombined[[#This Row],[ID]], Table4[ID], Table4[Catalog], "Not Found", 0)</f>
        <v>0</v>
      </c>
      <c r="U982" s="5">
        <f>_xlfn.XLOOKUP(CustomerCombined[[#This Row],[ID]], Table4[ID], Table4[Store], "Not Found", 0)</f>
        <v>3</v>
      </c>
      <c r="V982" s="5">
        <f>_xlfn.XLOOKUP(CustomerCombined[[#This Row],[ID]], Table4[ID], Table4[Visits], "Not Found", 0)</f>
        <v>8</v>
      </c>
      <c r="W982" s="8">
        <f>_xlfn.XLOOKUP(CustomerCombined[[#This Row],[ID]], Table2[ID],Table2[Complaint], "Not Found", 0 )</f>
        <v>0</v>
      </c>
      <c r="X982" s="8">
        <f>_xlfn.XLOOKUP(CustomerCombined[[#This Row],[ID]], Table2[ID],Table2[Pilot], "Not Found", 0 )</f>
        <v>0</v>
      </c>
      <c r="Y982" s="8">
        <f>_xlfn.XLOOKUP(CustomerCombined[[#This Row],[ID]], Table2[ID],Table2[MC1], "Not Found", 0 )</f>
        <v>0</v>
      </c>
      <c r="Z982" s="8">
        <f>_xlfn.XLOOKUP(CustomerCombined[[#This Row],[ID]], Table2[ID],Table2[MC2], "Not Found", 0 )</f>
        <v>0</v>
      </c>
      <c r="AA982" s="8">
        <f>_xlfn.XLOOKUP(CustomerCombined[[#This Row],[ID]], Table2[ID],Table2[MC3], "Not Found", 0 )</f>
        <v>0</v>
      </c>
      <c r="AB982" s="8">
        <f>_xlfn.XLOOKUP(CustomerCombined[[#This Row],[ID]], Table2[ID],Table2[MC4], "Not Found", 0 )</f>
        <v>0</v>
      </c>
      <c r="AC982" s="8">
        <f>_xlfn.XLOOKUP(CustomerCombined[[#This Row],[ID]], Table2[ID],Table2[MC5], "Not Found", 0 )</f>
        <v>0</v>
      </c>
    </row>
    <row r="983" spans="1:29" x14ac:dyDescent="0.3">
      <c r="A983" s="6">
        <v>2085</v>
      </c>
      <c r="B983" s="6">
        <v>130023</v>
      </c>
      <c r="C983" s="6">
        <v>1</v>
      </c>
      <c r="D983" s="6">
        <v>0</v>
      </c>
      <c r="E983" s="6">
        <v>48</v>
      </c>
      <c r="F983" s="5" t="s">
        <v>6</v>
      </c>
      <c r="G983" s="5" t="s">
        <v>11</v>
      </c>
      <c r="H983" s="3" t="s">
        <v>77</v>
      </c>
      <c r="I983" s="5" t="s">
        <v>435</v>
      </c>
      <c r="J983" s="5">
        <f>_xlfn.XLOOKUP(CustomerCombined[[#This Row],[ID]], Table4[ID], Table4[Recency], "Not Found", 0)</f>
        <v>28</v>
      </c>
      <c r="K983" s="5">
        <f>_xlfn.XLOOKUP(CustomerCombined[[#This Row],[ID]], Table4[ID], Table4[Teas], "Not Found", 0)</f>
        <v>48</v>
      </c>
      <c r="L983" s="5">
        <f>_xlfn.XLOOKUP(CustomerCombined[[#This Row],[ID]], Table4[ID], Table4[Fruits], "Not Found", 0)</f>
        <v>0</v>
      </c>
      <c r="M983" s="5">
        <f>_xlfn.XLOOKUP(CustomerCombined[[#This Row],[ID]], Table4[ID], Table4[Meats], "Not Found", 0)</f>
        <v>69</v>
      </c>
      <c r="N983" s="5">
        <f>_xlfn.XLOOKUP(CustomerCombined[[#This Row],[ID]], Table4[ID], Table4[Seafood], "Not Found", 0)</f>
        <v>30</v>
      </c>
      <c r="O983" s="5">
        <f>_xlfn.XLOOKUP(CustomerCombined[[#This Row],[ID]], Table4[ID], Table4[Sweets], "Not Found", 0)</f>
        <v>26</v>
      </c>
      <c r="P983" s="5">
        <f>_xlfn.XLOOKUP(CustomerCombined[[#This Row],[ID]], Table4[ID], Table4[Premium], "Not Found", 0)</f>
        <v>91</v>
      </c>
      <c r="Q983" s="5">
        <f>_xlfn.XLOOKUP(CustomerCombined[[#This Row],[ID]], Table4[ID], Table4[Regular], "Not Found", 0)</f>
        <v>82</v>
      </c>
      <c r="R983" s="5">
        <f>_xlfn.XLOOKUP(CustomerCombined[[#This Row],[ID]], Table4[ID], Table4[Deals], "Not Found", 0)</f>
        <v>1</v>
      </c>
      <c r="S983" s="5">
        <f>_xlfn.XLOOKUP(CustomerCombined[[#This Row],[ID]], Table4[ID], Table4[Website], "Not Found", 0)</f>
        <v>2</v>
      </c>
      <c r="T983" s="5">
        <f>_xlfn.XLOOKUP(CustomerCombined[[#This Row],[ID]], Table4[ID], Table4[Catalog], "Not Found", 0)</f>
        <v>0</v>
      </c>
      <c r="U983" s="5">
        <f>_xlfn.XLOOKUP(CustomerCombined[[#This Row],[ID]], Table4[ID], Table4[Store], "Not Found", 0)</f>
        <v>3</v>
      </c>
      <c r="V983" s="5">
        <f>_xlfn.XLOOKUP(CustomerCombined[[#This Row],[ID]], Table4[ID], Table4[Visits], "Not Found", 0)</f>
        <v>8</v>
      </c>
      <c r="W983" s="8">
        <f>_xlfn.XLOOKUP(CustomerCombined[[#This Row],[ID]], Table2[ID],Table2[Complaint], "Not Found", 0 )</f>
        <v>0</v>
      </c>
      <c r="X983" s="8">
        <f>_xlfn.XLOOKUP(CustomerCombined[[#This Row],[ID]], Table2[ID],Table2[Pilot], "Not Found", 0 )</f>
        <v>0</v>
      </c>
      <c r="Y983" s="8">
        <f>_xlfn.XLOOKUP(CustomerCombined[[#This Row],[ID]], Table2[ID],Table2[MC1], "Not Found", 0 )</f>
        <v>0</v>
      </c>
      <c r="Z983" s="8">
        <f>_xlfn.XLOOKUP(CustomerCombined[[#This Row],[ID]], Table2[ID],Table2[MC2], "Not Found", 0 )</f>
        <v>0</v>
      </c>
      <c r="AA983" s="8">
        <f>_xlfn.XLOOKUP(CustomerCombined[[#This Row],[ID]], Table2[ID],Table2[MC3], "Not Found", 0 )</f>
        <v>0</v>
      </c>
      <c r="AB983" s="8">
        <f>_xlfn.XLOOKUP(CustomerCombined[[#This Row],[ID]], Table2[ID],Table2[MC4], "Not Found", 0 )</f>
        <v>0</v>
      </c>
      <c r="AC983" s="8">
        <f>_xlfn.XLOOKUP(CustomerCombined[[#This Row],[ID]], Table2[ID],Table2[MC5], "Not Found", 0 )</f>
        <v>0</v>
      </c>
    </row>
    <row r="984" spans="1:29" x14ac:dyDescent="0.3">
      <c r="A984" s="6">
        <v>2370</v>
      </c>
      <c r="B984" s="6">
        <v>129791</v>
      </c>
      <c r="C984" s="6">
        <v>1</v>
      </c>
      <c r="D984" s="6">
        <v>0</v>
      </c>
      <c r="E984" s="6">
        <v>48</v>
      </c>
      <c r="F984" s="5" t="s">
        <v>6</v>
      </c>
      <c r="G984" s="5" t="s">
        <v>13</v>
      </c>
      <c r="H984" s="3" t="s">
        <v>50</v>
      </c>
      <c r="I984" s="5" t="s">
        <v>436</v>
      </c>
      <c r="J984" s="5">
        <f>_xlfn.XLOOKUP(CustomerCombined[[#This Row],[ID]], Table4[ID], Table4[Recency], "Not Found", 0)</f>
        <v>21</v>
      </c>
      <c r="K984" s="5">
        <f>_xlfn.XLOOKUP(CustomerCombined[[#This Row],[ID]], Table4[ID], Table4[Teas], "Not Found", 0)</f>
        <v>61</v>
      </c>
      <c r="L984" s="5">
        <f>_xlfn.XLOOKUP(CustomerCombined[[#This Row],[ID]], Table4[ID], Table4[Fruits], "Not Found", 0)</f>
        <v>0</v>
      </c>
      <c r="M984" s="5">
        <f>_xlfn.XLOOKUP(CustomerCombined[[#This Row],[ID]], Table4[ID], Table4[Meats], "Not Found", 0)</f>
        <v>26</v>
      </c>
      <c r="N984" s="5">
        <f>_xlfn.XLOOKUP(CustomerCombined[[#This Row],[ID]], Table4[ID], Table4[Seafood], "Not Found", 0)</f>
        <v>0</v>
      </c>
      <c r="O984" s="5">
        <f>_xlfn.XLOOKUP(CustomerCombined[[#This Row],[ID]], Table4[ID], Table4[Sweets], "Not Found", 0)</f>
        <v>0</v>
      </c>
      <c r="P984" s="5">
        <f>_xlfn.XLOOKUP(CustomerCombined[[#This Row],[ID]], Table4[ID], Table4[Premium], "Not Found", 0)</f>
        <v>0</v>
      </c>
      <c r="Q984" s="5">
        <f>_xlfn.XLOOKUP(CustomerCombined[[#This Row],[ID]], Table4[ID], Table4[Regular], "Not Found", 0)</f>
        <v>87</v>
      </c>
      <c r="R984" s="5">
        <f>_xlfn.XLOOKUP(CustomerCombined[[#This Row],[ID]], Table4[ID], Table4[Deals], "Not Found", 0)</f>
        <v>2</v>
      </c>
      <c r="S984" s="5">
        <f>_xlfn.XLOOKUP(CustomerCombined[[#This Row],[ID]], Table4[ID], Table4[Website], "Not Found", 0)</f>
        <v>2</v>
      </c>
      <c r="T984" s="5">
        <f>_xlfn.XLOOKUP(CustomerCombined[[#This Row],[ID]], Table4[ID], Table4[Catalog], "Not Found", 0)</f>
        <v>0</v>
      </c>
      <c r="U984" s="5">
        <f>_xlfn.XLOOKUP(CustomerCombined[[#This Row],[ID]], Table4[ID], Table4[Store], "Not Found", 0)</f>
        <v>3</v>
      </c>
      <c r="V984" s="5">
        <f>_xlfn.XLOOKUP(CustomerCombined[[#This Row],[ID]], Table4[ID], Table4[Visits], "Not Found", 0)</f>
        <v>5</v>
      </c>
      <c r="W984" s="8">
        <f>_xlfn.XLOOKUP(CustomerCombined[[#This Row],[ID]], Table2[ID],Table2[Complaint], "Not Found", 0 )</f>
        <v>0</v>
      </c>
      <c r="X984" s="8">
        <f>_xlfn.XLOOKUP(CustomerCombined[[#This Row],[ID]], Table2[ID],Table2[Pilot], "Not Found", 0 )</f>
        <v>0</v>
      </c>
      <c r="Y984" s="8">
        <f>_xlfn.XLOOKUP(CustomerCombined[[#This Row],[ID]], Table2[ID],Table2[MC1], "Not Found", 0 )</f>
        <v>0</v>
      </c>
      <c r="Z984" s="8">
        <f>_xlfn.XLOOKUP(CustomerCombined[[#This Row],[ID]], Table2[ID],Table2[MC2], "Not Found", 0 )</f>
        <v>0</v>
      </c>
      <c r="AA984" s="8">
        <f>_xlfn.XLOOKUP(CustomerCombined[[#This Row],[ID]], Table2[ID],Table2[MC3], "Not Found", 0 )</f>
        <v>0</v>
      </c>
      <c r="AB984" s="8">
        <f>_xlfn.XLOOKUP(CustomerCombined[[#This Row],[ID]], Table2[ID],Table2[MC4], "Not Found", 0 )</f>
        <v>0</v>
      </c>
      <c r="AC984" s="8">
        <f>_xlfn.XLOOKUP(CustomerCombined[[#This Row],[ID]], Table2[ID],Table2[MC5], "Not Found", 0 )</f>
        <v>0</v>
      </c>
    </row>
    <row r="985" spans="1:29" x14ac:dyDescent="0.3">
      <c r="A985" s="6">
        <v>1390</v>
      </c>
      <c r="B985" s="6">
        <v>127213</v>
      </c>
      <c r="C985" s="6">
        <v>1</v>
      </c>
      <c r="D985" s="6">
        <v>0</v>
      </c>
      <c r="E985" s="6">
        <v>48</v>
      </c>
      <c r="F985" s="5" t="s">
        <v>7</v>
      </c>
      <c r="G985" s="5" t="s">
        <v>13</v>
      </c>
      <c r="H985" s="3">
        <v>43557</v>
      </c>
      <c r="I985" s="5" t="s">
        <v>439</v>
      </c>
      <c r="J985" s="5">
        <f>_xlfn.XLOOKUP(CustomerCombined[[#This Row],[ID]], Table4[ID], Table4[Recency], "Not Found", 0)</f>
        <v>19</v>
      </c>
      <c r="K985" s="5">
        <f>_xlfn.XLOOKUP(CustomerCombined[[#This Row],[ID]], Table4[ID], Table4[Teas], "Not Found", 0)</f>
        <v>89</v>
      </c>
      <c r="L985" s="5">
        <f>_xlfn.XLOOKUP(CustomerCombined[[#This Row],[ID]], Table4[ID], Table4[Fruits], "Not Found", 0)</f>
        <v>14</v>
      </c>
      <c r="M985" s="5">
        <f>_xlfn.XLOOKUP(CustomerCombined[[#This Row],[ID]], Table4[ID], Table4[Meats], "Not Found", 0)</f>
        <v>122</v>
      </c>
      <c r="N985" s="5">
        <f>_xlfn.XLOOKUP(CustomerCombined[[#This Row],[ID]], Table4[ID], Table4[Seafood], "Not Found", 0)</f>
        <v>47</v>
      </c>
      <c r="O985" s="5">
        <f>_xlfn.XLOOKUP(CustomerCombined[[#This Row],[ID]], Table4[ID], Table4[Sweets], "Not Found", 0)</f>
        <v>42</v>
      </c>
      <c r="P985" s="5">
        <f>_xlfn.XLOOKUP(CustomerCombined[[#This Row],[ID]], Table4[ID], Table4[Premium], "Not Found", 0)</f>
        <v>14</v>
      </c>
      <c r="Q985" s="5">
        <f>_xlfn.XLOOKUP(CustomerCombined[[#This Row],[ID]], Table4[ID], Table4[Regular], "Not Found", 0)</f>
        <v>299</v>
      </c>
      <c r="R985" s="5">
        <f>_xlfn.XLOOKUP(CustomerCombined[[#This Row],[ID]], Table4[ID], Table4[Deals], "Not Found", 0)</f>
        <v>3</v>
      </c>
      <c r="S985" s="5">
        <f>_xlfn.XLOOKUP(CustomerCombined[[#This Row],[ID]], Table4[ID], Table4[Website], "Not Found", 0)</f>
        <v>2</v>
      </c>
      <c r="T985" s="5">
        <f>_xlfn.XLOOKUP(CustomerCombined[[#This Row],[ID]], Table4[ID], Table4[Catalog], "Not Found", 0)</f>
        <v>0</v>
      </c>
      <c r="U985" s="5">
        <f>_xlfn.XLOOKUP(CustomerCombined[[#This Row],[ID]], Table4[ID], Table4[Store], "Not Found", 0)</f>
        <v>4</v>
      </c>
      <c r="V985" s="5">
        <f>_xlfn.XLOOKUP(CustomerCombined[[#This Row],[ID]], Table4[ID], Table4[Visits], "Not Found", 0)</f>
        <v>8</v>
      </c>
      <c r="W985" s="8">
        <f>_xlfn.XLOOKUP(CustomerCombined[[#This Row],[ID]], Table2[ID],Table2[Complaint], "Not Found", 0 )</f>
        <v>0</v>
      </c>
      <c r="X985" s="8">
        <f>_xlfn.XLOOKUP(CustomerCombined[[#This Row],[ID]], Table2[ID],Table2[Pilot], "Not Found", 0 )</f>
        <v>1</v>
      </c>
      <c r="Y985" s="8">
        <f>_xlfn.XLOOKUP(CustomerCombined[[#This Row],[ID]], Table2[ID],Table2[MC1], "Not Found", 0 )</f>
        <v>0</v>
      </c>
      <c r="Z985" s="8">
        <f>_xlfn.XLOOKUP(CustomerCombined[[#This Row],[ID]], Table2[ID],Table2[MC2], "Not Found", 0 )</f>
        <v>0</v>
      </c>
      <c r="AA985" s="8">
        <f>_xlfn.XLOOKUP(CustomerCombined[[#This Row],[ID]], Table2[ID],Table2[MC3], "Not Found", 0 )</f>
        <v>0</v>
      </c>
      <c r="AB985" s="8">
        <f>_xlfn.XLOOKUP(CustomerCombined[[#This Row],[ID]], Table2[ID],Table2[MC4], "Not Found", 0 )</f>
        <v>0</v>
      </c>
      <c r="AC985" s="8">
        <f>_xlfn.XLOOKUP(CustomerCombined[[#This Row],[ID]], Table2[ID],Table2[MC5], "Not Found", 0 )</f>
        <v>0</v>
      </c>
    </row>
    <row r="986" spans="1:29" x14ac:dyDescent="0.3">
      <c r="A986" s="6">
        <v>2373</v>
      </c>
      <c r="B986" s="6">
        <v>126759</v>
      </c>
      <c r="C986" s="6">
        <v>1</v>
      </c>
      <c r="D986" s="6">
        <v>0</v>
      </c>
      <c r="E986" s="6">
        <v>48</v>
      </c>
      <c r="F986" s="5" t="s">
        <v>5</v>
      </c>
      <c r="G986" s="5" t="s">
        <v>11</v>
      </c>
      <c r="H986" s="3" t="s">
        <v>106</v>
      </c>
      <c r="I986" s="5" t="s">
        <v>435</v>
      </c>
      <c r="J986" s="5">
        <f>_xlfn.XLOOKUP(CustomerCombined[[#This Row],[ID]], Table4[ID], Table4[Recency], "Not Found", 0)</f>
        <v>65</v>
      </c>
      <c r="K986" s="5">
        <f>_xlfn.XLOOKUP(CustomerCombined[[#This Row],[ID]], Table4[ID], Table4[Teas], "Not Found", 0)</f>
        <v>118</v>
      </c>
      <c r="L986" s="5">
        <f>_xlfn.XLOOKUP(CustomerCombined[[#This Row],[ID]], Table4[ID], Table4[Fruits], "Not Found", 0)</f>
        <v>14</v>
      </c>
      <c r="M986" s="5">
        <f>_xlfn.XLOOKUP(CustomerCombined[[#This Row],[ID]], Table4[ID], Table4[Meats], "Not Found", 0)</f>
        <v>76</v>
      </c>
      <c r="N986" s="5">
        <f>_xlfn.XLOOKUP(CustomerCombined[[#This Row],[ID]], Table4[ID], Table4[Seafood], "Not Found", 0)</f>
        <v>38</v>
      </c>
      <c r="O986" s="5">
        <f>_xlfn.XLOOKUP(CustomerCombined[[#This Row],[ID]], Table4[ID], Table4[Sweets], "Not Found", 0)</f>
        <v>24</v>
      </c>
      <c r="P986" s="5">
        <f>_xlfn.XLOOKUP(CustomerCombined[[#This Row],[ID]], Table4[ID], Table4[Premium], "Not Found", 0)</f>
        <v>9</v>
      </c>
      <c r="Q986" s="5">
        <f>_xlfn.XLOOKUP(CustomerCombined[[#This Row],[ID]], Table4[ID], Table4[Regular], "Not Found", 0)</f>
        <v>261</v>
      </c>
      <c r="R986" s="5">
        <f>_xlfn.XLOOKUP(CustomerCombined[[#This Row],[ID]], Table4[ID], Table4[Deals], "Not Found", 0)</f>
        <v>2</v>
      </c>
      <c r="S986" s="5">
        <f>_xlfn.XLOOKUP(CustomerCombined[[#This Row],[ID]], Table4[ID], Table4[Website], "Not Found", 0)</f>
        <v>2</v>
      </c>
      <c r="T986" s="5">
        <f>_xlfn.XLOOKUP(CustomerCombined[[#This Row],[ID]], Table4[ID], Table4[Catalog], "Not Found", 0)</f>
        <v>1</v>
      </c>
      <c r="U986" s="5">
        <f>_xlfn.XLOOKUP(CustomerCombined[[#This Row],[ID]], Table4[ID], Table4[Store], "Not Found", 0)</f>
        <v>3</v>
      </c>
      <c r="V986" s="5">
        <f>_xlfn.XLOOKUP(CustomerCombined[[#This Row],[ID]], Table4[ID], Table4[Visits], "Not Found", 0)</f>
        <v>6</v>
      </c>
      <c r="W986" s="8">
        <f>_xlfn.XLOOKUP(CustomerCombined[[#This Row],[ID]], Table2[ID],Table2[Complaint], "Not Found", 0 )</f>
        <v>0</v>
      </c>
      <c r="X986" s="8">
        <f>_xlfn.XLOOKUP(CustomerCombined[[#This Row],[ID]], Table2[ID],Table2[Pilot], "Not Found", 0 )</f>
        <v>0</v>
      </c>
      <c r="Y986" s="8">
        <f>_xlfn.XLOOKUP(CustomerCombined[[#This Row],[ID]], Table2[ID],Table2[MC1], "Not Found", 0 )</f>
        <v>0</v>
      </c>
      <c r="Z986" s="8">
        <f>_xlfn.XLOOKUP(CustomerCombined[[#This Row],[ID]], Table2[ID],Table2[MC2], "Not Found", 0 )</f>
        <v>0</v>
      </c>
      <c r="AA986" s="8">
        <f>_xlfn.XLOOKUP(CustomerCombined[[#This Row],[ID]], Table2[ID],Table2[MC3], "Not Found", 0 )</f>
        <v>0</v>
      </c>
      <c r="AB986" s="8">
        <f>_xlfn.XLOOKUP(CustomerCombined[[#This Row],[ID]], Table2[ID],Table2[MC4], "Not Found", 0 )</f>
        <v>0</v>
      </c>
      <c r="AC986" s="8">
        <f>_xlfn.XLOOKUP(CustomerCombined[[#This Row],[ID]], Table2[ID],Table2[MC5], "Not Found", 0 )</f>
        <v>0</v>
      </c>
    </row>
    <row r="987" spans="1:29" x14ac:dyDescent="0.3">
      <c r="A987" s="6">
        <v>2433</v>
      </c>
      <c r="B987" s="6">
        <v>126290</v>
      </c>
      <c r="C987" s="6">
        <v>1</v>
      </c>
      <c r="D987" s="6">
        <v>1</v>
      </c>
      <c r="E987" s="6">
        <v>48</v>
      </c>
      <c r="F987" s="5" t="s">
        <v>8</v>
      </c>
      <c r="G987" s="5" t="s">
        <v>11</v>
      </c>
      <c r="H987" s="3" t="s">
        <v>328</v>
      </c>
      <c r="I987" s="5" t="s">
        <v>435</v>
      </c>
      <c r="J987" s="5">
        <f>_xlfn.XLOOKUP(CustomerCombined[[#This Row],[ID]], Table4[ID], Table4[Recency], "Not Found", 0)</f>
        <v>49</v>
      </c>
      <c r="K987" s="5">
        <f>_xlfn.XLOOKUP(CustomerCombined[[#This Row],[ID]], Table4[ID], Table4[Teas], "Not Found", 0)</f>
        <v>72</v>
      </c>
      <c r="L987" s="5">
        <f>_xlfn.XLOOKUP(CustomerCombined[[#This Row],[ID]], Table4[ID], Table4[Fruits], "Not Found", 0)</f>
        <v>38</v>
      </c>
      <c r="M987" s="5">
        <f>_xlfn.XLOOKUP(CustomerCombined[[#This Row],[ID]], Table4[ID], Table4[Meats], "Not Found", 0)</f>
        <v>77</v>
      </c>
      <c r="N987" s="5">
        <f>_xlfn.XLOOKUP(CustomerCombined[[#This Row],[ID]], Table4[ID], Table4[Seafood], "Not Found", 0)</f>
        <v>53</v>
      </c>
      <c r="O987" s="5">
        <f>_xlfn.XLOOKUP(CustomerCombined[[#This Row],[ID]], Table4[ID], Table4[Sweets], "Not Found", 0)</f>
        <v>24</v>
      </c>
      <c r="P987" s="5">
        <f>_xlfn.XLOOKUP(CustomerCombined[[#This Row],[ID]], Table4[ID], Table4[Premium], "Not Found", 0)</f>
        <v>106</v>
      </c>
      <c r="Q987" s="5">
        <f>_xlfn.XLOOKUP(CustomerCombined[[#This Row],[ID]], Table4[ID], Table4[Regular], "Not Found", 0)</f>
        <v>159</v>
      </c>
      <c r="R987" s="5">
        <f>_xlfn.XLOOKUP(CustomerCombined[[#This Row],[ID]], Table4[ID], Table4[Deals], "Not Found", 0)</f>
        <v>4</v>
      </c>
      <c r="S987" s="5">
        <f>_xlfn.XLOOKUP(CustomerCombined[[#This Row],[ID]], Table4[ID], Table4[Website], "Not Found", 0)</f>
        <v>2</v>
      </c>
      <c r="T987" s="5">
        <f>_xlfn.XLOOKUP(CustomerCombined[[#This Row],[ID]], Table4[ID], Table4[Catalog], "Not Found", 0)</f>
        <v>0</v>
      </c>
      <c r="U987" s="5">
        <f>_xlfn.XLOOKUP(CustomerCombined[[#This Row],[ID]], Table4[ID], Table4[Store], "Not Found", 0)</f>
        <v>4</v>
      </c>
      <c r="V987" s="5">
        <f>_xlfn.XLOOKUP(CustomerCombined[[#This Row],[ID]], Table4[ID], Table4[Visits], "Not Found", 0)</f>
        <v>6</v>
      </c>
      <c r="W987" s="8">
        <f>_xlfn.XLOOKUP(CustomerCombined[[#This Row],[ID]], Table2[ID],Table2[Complaint], "Not Found", 0 )</f>
        <v>0</v>
      </c>
      <c r="X987" s="8">
        <f>_xlfn.XLOOKUP(CustomerCombined[[#This Row],[ID]], Table2[ID],Table2[Pilot], "Not Found", 0 )</f>
        <v>0</v>
      </c>
      <c r="Y987" s="8">
        <f>_xlfn.XLOOKUP(CustomerCombined[[#This Row],[ID]], Table2[ID],Table2[MC1], "Not Found", 0 )</f>
        <v>0</v>
      </c>
      <c r="Z987" s="8">
        <f>_xlfn.XLOOKUP(CustomerCombined[[#This Row],[ID]], Table2[ID],Table2[MC2], "Not Found", 0 )</f>
        <v>0</v>
      </c>
      <c r="AA987" s="8">
        <f>_xlfn.XLOOKUP(CustomerCombined[[#This Row],[ID]], Table2[ID],Table2[MC3], "Not Found", 0 )</f>
        <v>0</v>
      </c>
      <c r="AB987" s="8">
        <f>_xlfn.XLOOKUP(CustomerCombined[[#This Row],[ID]], Table2[ID],Table2[MC4], "Not Found", 0 )</f>
        <v>0</v>
      </c>
      <c r="AC987" s="8">
        <f>_xlfn.XLOOKUP(CustomerCombined[[#This Row],[ID]], Table2[ID],Table2[MC5], "Not Found", 0 )</f>
        <v>0</v>
      </c>
    </row>
    <row r="988" spans="1:29" x14ac:dyDescent="0.3">
      <c r="A988" s="6">
        <v>3157</v>
      </c>
      <c r="B988" s="6">
        <v>125224</v>
      </c>
      <c r="C988" s="6">
        <v>1</v>
      </c>
      <c r="D988" s="6">
        <v>0</v>
      </c>
      <c r="E988" s="6">
        <v>48</v>
      </c>
      <c r="F988" s="5" t="s">
        <v>6</v>
      </c>
      <c r="G988" s="5" t="s">
        <v>10</v>
      </c>
      <c r="H988" s="3" t="s">
        <v>85</v>
      </c>
      <c r="I988" s="5" t="s">
        <v>437</v>
      </c>
      <c r="J988" s="5">
        <f>_xlfn.XLOOKUP(CustomerCombined[[#This Row],[ID]], Table4[ID], Table4[Recency], "Not Found", 0)</f>
        <v>36</v>
      </c>
      <c r="K988" s="5">
        <f>_xlfn.XLOOKUP(CustomerCombined[[#This Row],[ID]], Table4[ID], Table4[Teas], "Not Found", 0)</f>
        <v>20</v>
      </c>
      <c r="L988" s="5">
        <f>_xlfn.XLOOKUP(CustomerCombined[[#This Row],[ID]], Table4[ID], Table4[Fruits], "Not Found", 0)</f>
        <v>45</v>
      </c>
      <c r="M988" s="5">
        <f>_xlfn.XLOOKUP(CustomerCombined[[#This Row],[ID]], Table4[ID], Table4[Meats], "Not Found", 0)</f>
        <v>60</v>
      </c>
      <c r="N988" s="5">
        <f>_xlfn.XLOOKUP(CustomerCombined[[#This Row],[ID]], Table4[ID], Table4[Seafood], "Not Found", 0)</f>
        <v>55</v>
      </c>
      <c r="O988" s="5">
        <f>_xlfn.XLOOKUP(CustomerCombined[[#This Row],[ID]], Table4[ID], Table4[Sweets], "Not Found", 0)</f>
        <v>10</v>
      </c>
      <c r="P988" s="5">
        <f>_xlfn.XLOOKUP(CustomerCombined[[#This Row],[ID]], Table4[ID], Table4[Premium], "Not Found", 0)</f>
        <v>40</v>
      </c>
      <c r="Q988" s="5">
        <f>_xlfn.XLOOKUP(CustomerCombined[[#This Row],[ID]], Table4[ID], Table4[Regular], "Not Found", 0)</f>
        <v>149</v>
      </c>
      <c r="R988" s="5">
        <f>_xlfn.XLOOKUP(CustomerCombined[[#This Row],[ID]], Table4[ID], Table4[Deals], "Not Found", 0)</f>
        <v>2</v>
      </c>
      <c r="S988" s="5">
        <f>_xlfn.XLOOKUP(CustomerCombined[[#This Row],[ID]], Table4[ID], Table4[Website], "Not Found", 0)</f>
        <v>1</v>
      </c>
      <c r="T988" s="5">
        <f>_xlfn.XLOOKUP(CustomerCombined[[#This Row],[ID]], Table4[ID], Table4[Catalog], "Not Found", 0)</f>
        <v>1</v>
      </c>
      <c r="U988" s="5">
        <f>_xlfn.XLOOKUP(CustomerCombined[[#This Row],[ID]], Table4[ID], Table4[Store], "Not Found", 0)</f>
        <v>3</v>
      </c>
      <c r="V988" s="5">
        <f>_xlfn.XLOOKUP(CustomerCombined[[#This Row],[ID]], Table4[ID], Table4[Visits], "Not Found", 0)</f>
        <v>3</v>
      </c>
      <c r="W988" s="8">
        <f>_xlfn.XLOOKUP(CustomerCombined[[#This Row],[ID]], Table2[ID],Table2[Complaint], "Not Found", 0 )</f>
        <v>0</v>
      </c>
      <c r="X988" s="8">
        <f>_xlfn.XLOOKUP(CustomerCombined[[#This Row],[ID]], Table2[ID],Table2[Pilot], "Not Found", 0 )</f>
        <v>0</v>
      </c>
      <c r="Y988" s="8">
        <f>_xlfn.XLOOKUP(CustomerCombined[[#This Row],[ID]], Table2[ID],Table2[MC1], "Not Found", 0 )</f>
        <v>0</v>
      </c>
      <c r="Z988" s="8">
        <f>_xlfn.XLOOKUP(CustomerCombined[[#This Row],[ID]], Table2[ID],Table2[MC2], "Not Found", 0 )</f>
        <v>0</v>
      </c>
      <c r="AA988" s="8">
        <f>_xlfn.XLOOKUP(CustomerCombined[[#This Row],[ID]], Table2[ID],Table2[MC3], "Not Found", 0 )</f>
        <v>0</v>
      </c>
      <c r="AB988" s="8">
        <f>_xlfn.XLOOKUP(CustomerCombined[[#This Row],[ID]], Table2[ID],Table2[MC4], "Not Found", 0 )</f>
        <v>0</v>
      </c>
      <c r="AC988" s="8">
        <f>_xlfn.XLOOKUP(CustomerCombined[[#This Row],[ID]], Table2[ID],Table2[MC5], "Not Found", 0 )</f>
        <v>0</v>
      </c>
    </row>
    <row r="989" spans="1:29" x14ac:dyDescent="0.3">
      <c r="A989" s="6">
        <v>1972</v>
      </c>
      <c r="B989" s="6">
        <v>124884</v>
      </c>
      <c r="C989" s="6">
        <v>1</v>
      </c>
      <c r="D989" s="6">
        <v>0</v>
      </c>
      <c r="E989" s="6">
        <v>48</v>
      </c>
      <c r="F989" s="5" t="s">
        <v>6</v>
      </c>
      <c r="G989" s="5" t="s">
        <v>442</v>
      </c>
      <c r="H989" s="3">
        <v>43621</v>
      </c>
      <c r="I989" s="5" t="s">
        <v>439</v>
      </c>
      <c r="J989" s="5">
        <f>_xlfn.XLOOKUP(CustomerCombined[[#This Row],[ID]], Table4[ID], Table4[Recency], "Not Found", 0)</f>
        <v>32</v>
      </c>
      <c r="K989" s="5">
        <f>_xlfn.XLOOKUP(CustomerCombined[[#This Row],[ID]], Table4[ID], Table4[Teas], "Not Found", 0)</f>
        <v>15</v>
      </c>
      <c r="L989" s="5">
        <f>_xlfn.XLOOKUP(CustomerCombined[[#This Row],[ID]], Table4[ID], Table4[Fruits], "Not Found", 0)</f>
        <v>30</v>
      </c>
      <c r="M989" s="5">
        <f>_xlfn.XLOOKUP(CustomerCombined[[#This Row],[ID]], Table4[ID], Table4[Meats], "Not Found", 0)</f>
        <v>35</v>
      </c>
      <c r="N989" s="5">
        <f>_xlfn.XLOOKUP(CustomerCombined[[#This Row],[ID]], Table4[ID], Table4[Seafood], "Not Found", 0)</f>
        <v>0</v>
      </c>
      <c r="O989" s="5">
        <f>_xlfn.XLOOKUP(CustomerCombined[[#This Row],[ID]], Table4[ID], Table4[Sweets], "Not Found", 0)</f>
        <v>0</v>
      </c>
      <c r="P989" s="5">
        <f>_xlfn.XLOOKUP(CustomerCombined[[#This Row],[ID]], Table4[ID], Table4[Premium], "Not Found", 0)</f>
        <v>15</v>
      </c>
      <c r="Q989" s="5">
        <f>_xlfn.XLOOKUP(CustomerCombined[[#This Row],[ID]], Table4[ID], Table4[Regular], "Not Found", 0)</f>
        <v>65</v>
      </c>
      <c r="R989" s="5">
        <f>_xlfn.XLOOKUP(CustomerCombined[[#This Row],[ID]], Table4[ID], Table4[Deals], "Not Found", 0)</f>
        <v>1</v>
      </c>
      <c r="S989" s="5">
        <f>_xlfn.XLOOKUP(CustomerCombined[[#This Row],[ID]], Table4[ID], Table4[Website], "Not Found", 0)</f>
        <v>0</v>
      </c>
      <c r="T989" s="5">
        <f>_xlfn.XLOOKUP(CustomerCombined[[#This Row],[ID]], Table4[ID], Table4[Catalog], "Not Found", 0)</f>
        <v>0</v>
      </c>
      <c r="U989" s="5">
        <f>_xlfn.XLOOKUP(CustomerCombined[[#This Row],[ID]], Table4[ID], Table4[Store], "Not Found", 0)</f>
        <v>3</v>
      </c>
      <c r="V989" s="5">
        <f>_xlfn.XLOOKUP(CustomerCombined[[#This Row],[ID]], Table4[ID], Table4[Visits], "Not Found", 0)</f>
        <v>7</v>
      </c>
      <c r="W989" s="8">
        <f>_xlfn.XLOOKUP(CustomerCombined[[#This Row],[ID]], Table2[ID],Table2[Complaint], "Not Found", 0 )</f>
        <v>0</v>
      </c>
      <c r="X989" s="8">
        <f>_xlfn.XLOOKUP(CustomerCombined[[#This Row],[ID]], Table2[ID],Table2[Pilot], "Not Found", 0 )</f>
        <v>0</v>
      </c>
      <c r="Y989" s="8">
        <f>_xlfn.XLOOKUP(CustomerCombined[[#This Row],[ID]], Table2[ID],Table2[MC1], "Not Found", 0 )</f>
        <v>0</v>
      </c>
      <c r="Z989" s="8">
        <f>_xlfn.XLOOKUP(CustomerCombined[[#This Row],[ID]], Table2[ID],Table2[MC2], "Not Found", 0 )</f>
        <v>0</v>
      </c>
      <c r="AA989" s="8">
        <f>_xlfn.XLOOKUP(CustomerCombined[[#This Row],[ID]], Table2[ID],Table2[MC3], "Not Found", 0 )</f>
        <v>0</v>
      </c>
      <c r="AB989" s="8">
        <f>_xlfn.XLOOKUP(CustomerCombined[[#This Row],[ID]], Table2[ID],Table2[MC4], "Not Found", 0 )</f>
        <v>0</v>
      </c>
      <c r="AC989" s="8">
        <f>_xlfn.XLOOKUP(CustomerCombined[[#This Row],[ID]], Table2[ID],Table2[MC5], "Not Found", 0 )</f>
        <v>0</v>
      </c>
    </row>
    <row r="990" spans="1:29" x14ac:dyDescent="0.3">
      <c r="A990" s="6">
        <v>1861</v>
      </c>
      <c r="B990" s="6">
        <v>124762</v>
      </c>
      <c r="C990" s="6">
        <v>1</v>
      </c>
      <c r="D990" s="6">
        <v>0</v>
      </c>
      <c r="E990" s="6">
        <v>48</v>
      </c>
      <c r="F990" s="5" t="s">
        <v>7</v>
      </c>
      <c r="G990" s="5" t="s">
        <v>11</v>
      </c>
      <c r="H990" s="3" t="s">
        <v>103</v>
      </c>
      <c r="I990" s="5" t="s">
        <v>437</v>
      </c>
      <c r="J990" s="5">
        <f>_xlfn.XLOOKUP(CustomerCombined[[#This Row],[ID]], Table4[ID], Table4[Recency], "Not Found", 0)</f>
        <v>16</v>
      </c>
      <c r="K990" s="5">
        <f>_xlfn.XLOOKUP(CustomerCombined[[#This Row],[ID]], Table4[ID], Table4[Teas], "Not Found", 0)</f>
        <v>30</v>
      </c>
      <c r="L990" s="5">
        <f>_xlfn.XLOOKUP(CustomerCombined[[#This Row],[ID]], Table4[ID], Table4[Fruits], "Not Found", 0)</f>
        <v>50</v>
      </c>
      <c r="M990" s="5">
        <f>_xlfn.XLOOKUP(CustomerCombined[[#This Row],[ID]], Table4[ID], Table4[Meats], "Not Found", 0)</f>
        <v>60</v>
      </c>
      <c r="N990" s="5">
        <f>_xlfn.XLOOKUP(CustomerCombined[[#This Row],[ID]], Table4[ID], Table4[Seafood], "Not Found", 0)</f>
        <v>15</v>
      </c>
      <c r="O990" s="5">
        <f>_xlfn.XLOOKUP(CustomerCombined[[#This Row],[ID]], Table4[ID], Table4[Sweets], "Not Found", 0)</f>
        <v>76</v>
      </c>
      <c r="P990" s="5">
        <f>_xlfn.XLOOKUP(CustomerCombined[[#This Row],[ID]], Table4[ID], Table4[Premium], "Not Found", 0)</f>
        <v>202</v>
      </c>
      <c r="Q990" s="5">
        <f>_xlfn.XLOOKUP(CustomerCombined[[#This Row],[ID]], Table4[ID], Table4[Regular], "Not Found", 0)</f>
        <v>30</v>
      </c>
      <c r="R990" s="5">
        <f>_xlfn.XLOOKUP(CustomerCombined[[#This Row],[ID]], Table4[ID], Table4[Deals], "Not Found", 0)</f>
        <v>3</v>
      </c>
      <c r="S990" s="5">
        <f>_xlfn.XLOOKUP(CustomerCombined[[#This Row],[ID]], Table4[ID], Table4[Website], "Not Found", 0)</f>
        <v>3</v>
      </c>
      <c r="T990" s="5">
        <f>_xlfn.XLOOKUP(CustomerCombined[[#This Row],[ID]], Table4[ID], Table4[Catalog], "Not Found", 0)</f>
        <v>1</v>
      </c>
      <c r="U990" s="5">
        <f>_xlfn.XLOOKUP(CustomerCombined[[#This Row],[ID]], Table4[ID], Table4[Store], "Not Found", 0)</f>
        <v>2</v>
      </c>
      <c r="V990" s="5">
        <f>_xlfn.XLOOKUP(CustomerCombined[[#This Row],[ID]], Table4[ID], Table4[Visits], "Not Found", 0)</f>
        <v>8</v>
      </c>
      <c r="W990" s="8">
        <f>_xlfn.XLOOKUP(CustomerCombined[[#This Row],[ID]], Table2[ID],Table2[Complaint], "Not Found", 0 )</f>
        <v>0</v>
      </c>
      <c r="X990" s="8">
        <f>_xlfn.XLOOKUP(CustomerCombined[[#This Row],[ID]], Table2[ID],Table2[Pilot], "Not Found", 0 )</f>
        <v>1</v>
      </c>
      <c r="Y990" s="8">
        <f>_xlfn.XLOOKUP(CustomerCombined[[#This Row],[ID]], Table2[ID],Table2[MC1], "Not Found", 0 )</f>
        <v>0</v>
      </c>
      <c r="Z990" s="8">
        <f>_xlfn.XLOOKUP(CustomerCombined[[#This Row],[ID]], Table2[ID],Table2[MC2], "Not Found", 0 )</f>
        <v>0</v>
      </c>
      <c r="AA990" s="8">
        <f>_xlfn.XLOOKUP(CustomerCombined[[#This Row],[ID]], Table2[ID],Table2[MC3], "Not Found", 0 )</f>
        <v>1</v>
      </c>
      <c r="AB990" s="8">
        <f>_xlfn.XLOOKUP(CustomerCombined[[#This Row],[ID]], Table2[ID],Table2[MC4], "Not Found", 0 )</f>
        <v>0</v>
      </c>
      <c r="AC990" s="8">
        <f>_xlfn.XLOOKUP(CustomerCombined[[#This Row],[ID]], Table2[ID],Table2[MC5], "Not Found", 0 )</f>
        <v>0</v>
      </c>
    </row>
    <row r="991" spans="1:29" x14ac:dyDescent="0.3">
      <c r="A991" s="6">
        <v>3196</v>
      </c>
      <c r="B991" s="6">
        <v>124434</v>
      </c>
      <c r="C991" s="6">
        <v>2</v>
      </c>
      <c r="D991" s="6">
        <v>0</v>
      </c>
      <c r="E991" s="6">
        <v>48</v>
      </c>
      <c r="F991" s="5" t="s">
        <v>6</v>
      </c>
      <c r="G991" s="5" t="s">
        <v>11</v>
      </c>
      <c r="H991" s="3" t="s">
        <v>47</v>
      </c>
      <c r="I991" s="5" t="s">
        <v>439</v>
      </c>
      <c r="J991" s="5">
        <f>_xlfn.XLOOKUP(CustomerCombined[[#This Row],[ID]], Table4[ID], Table4[Recency], "Not Found", 0)</f>
        <v>9</v>
      </c>
      <c r="K991" s="5">
        <f>_xlfn.XLOOKUP(CustomerCombined[[#This Row],[ID]], Table4[ID], Table4[Teas], "Not Found", 0)</f>
        <v>15</v>
      </c>
      <c r="L991" s="5">
        <f>_xlfn.XLOOKUP(CustomerCombined[[#This Row],[ID]], Table4[ID], Table4[Fruits], "Not Found", 0)</f>
        <v>10</v>
      </c>
      <c r="M991" s="5">
        <f>_xlfn.XLOOKUP(CustomerCombined[[#This Row],[ID]], Table4[ID], Table4[Meats], "Not Found", 0)</f>
        <v>41</v>
      </c>
      <c r="N991" s="5">
        <f>_xlfn.XLOOKUP(CustomerCombined[[#This Row],[ID]], Table4[ID], Table4[Seafood], "Not Found", 0)</f>
        <v>102</v>
      </c>
      <c r="O991" s="5">
        <f>_xlfn.XLOOKUP(CustomerCombined[[#This Row],[ID]], Table4[ID], Table4[Sweets], "Not Found", 0)</f>
        <v>0</v>
      </c>
      <c r="P991" s="5">
        <f>_xlfn.XLOOKUP(CustomerCombined[[#This Row],[ID]], Table4[ID], Table4[Premium], "Not Found", 0)</f>
        <v>87</v>
      </c>
      <c r="Q991" s="5">
        <f>_xlfn.XLOOKUP(CustomerCombined[[#This Row],[ID]], Table4[ID], Table4[Regular], "Not Found", 0)</f>
        <v>81</v>
      </c>
      <c r="R991" s="5">
        <f>_xlfn.XLOOKUP(CustomerCombined[[#This Row],[ID]], Table4[ID], Table4[Deals], "Not Found", 0)</f>
        <v>2</v>
      </c>
      <c r="S991" s="5">
        <f>_xlfn.XLOOKUP(CustomerCombined[[#This Row],[ID]], Table4[ID], Table4[Website], "Not Found", 0)</f>
        <v>2</v>
      </c>
      <c r="T991" s="5">
        <f>_xlfn.XLOOKUP(CustomerCombined[[#This Row],[ID]], Table4[ID], Table4[Catalog], "Not Found", 0)</f>
        <v>1</v>
      </c>
      <c r="U991" s="5">
        <f>_xlfn.XLOOKUP(CustomerCombined[[#This Row],[ID]], Table4[ID], Table4[Store], "Not Found", 0)</f>
        <v>2</v>
      </c>
      <c r="V991" s="5">
        <f>_xlfn.XLOOKUP(CustomerCombined[[#This Row],[ID]], Table4[ID], Table4[Visits], "Not Found", 0)</f>
        <v>7</v>
      </c>
      <c r="W991" s="8">
        <f>_xlfn.XLOOKUP(CustomerCombined[[#This Row],[ID]], Table2[ID],Table2[Complaint], "Not Found", 0 )</f>
        <v>0</v>
      </c>
      <c r="X991" s="8">
        <f>_xlfn.XLOOKUP(CustomerCombined[[#This Row],[ID]], Table2[ID],Table2[Pilot], "Not Found", 0 )</f>
        <v>0</v>
      </c>
      <c r="Y991" s="8">
        <f>_xlfn.XLOOKUP(CustomerCombined[[#This Row],[ID]], Table2[ID],Table2[MC1], "Not Found", 0 )</f>
        <v>0</v>
      </c>
      <c r="Z991" s="8">
        <f>_xlfn.XLOOKUP(CustomerCombined[[#This Row],[ID]], Table2[ID],Table2[MC2], "Not Found", 0 )</f>
        <v>0</v>
      </c>
      <c r="AA991" s="8">
        <f>_xlfn.XLOOKUP(CustomerCombined[[#This Row],[ID]], Table2[ID],Table2[MC3], "Not Found", 0 )</f>
        <v>0</v>
      </c>
      <c r="AB991" s="8">
        <f>_xlfn.XLOOKUP(CustomerCombined[[#This Row],[ID]], Table2[ID],Table2[MC4], "Not Found", 0 )</f>
        <v>0</v>
      </c>
      <c r="AC991" s="8">
        <f>_xlfn.XLOOKUP(CustomerCombined[[#This Row],[ID]], Table2[ID],Table2[MC5], "Not Found", 0 )</f>
        <v>0</v>
      </c>
    </row>
    <row r="992" spans="1:29" x14ac:dyDescent="0.3">
      <c r="A992" s="6">
        <v>1802</v>
      </c>
      <c r="B992" s="6">
        <v>122063</v>
      </c>
      <c r="C992" s="6">
        <v>1</v>
      </c>
      <c r="D992" s="6">
        <v>0</v>
      </c>
      <c r="E992" s="6">
        <v>48</v>
      </c>
      <c r="F992" s="5" t="s">
        <v>6</v>
      </c>
      <c r="G992" s="5" t="s">
        <v>11</v>
      </c>
      <c r="H992" s="3" t="s">
        <v>209</v>
      </c>
      <c r="I992" s="5" t="s">
        <v>438</v>
      </c>
      <c r="J992" s="5">
        <f>_xlfn.XLOOKUP(CustomerCombined[[#This Row],[ID]], Table4[ID], Table4[Recency], "Not Found", 0)</f>
        <v>43</v>
      </c>
      <c r="K992" s="5">
        <f>_xlfn.XLOOKUP(CustomerCombined[[#This Row],[ID]], Table4[ID], Table4[Teas], "Not Found", 0)</f>
        <v>39</v>
      </c>
      <c r="L992" s="5">
        <f>_xlfn.XLOOKUP(CustomerCombined[[#This Row],[ID]], Table4[ID], Table4[Fruits], "Not Found", 0)</f>
        <v>55</v>
      </c>
      <c r="M992" s="5">
        <f>_xlfn.XLOOKUP(CustomerCombined[[#This Row],[ID]], Table4[ID], Table4[Meats], "Not Found", 0)</f>
        <v>72</v>
      </c>
      <c r="N992" s="5">
        <f>_xlfn.XLOOKUP(CustomerCombined[[#This Row],[ID]], Table4[ID], Table4[Seafood], "Not Found", 0)</f>
        <v>17</v>
      </c>
      <c r="O992" s="5">
        <f>_xlfn.XLOOKUP(CustomerCombined[[#This Row],[ID]], Table4[ID], Table4[Sweets], "Not Found", 0)</f>
        <v>61</v>
      </c>
      <c r="P992" s="5">
        <f>_xlfn.XLOOKUP(CustomerCombined[[#This Row],[ID]], Table4[ID], Table4[Premium], "Not Found", 0)</f>
        <v>61</v>
      </c>
      <c r="Q992" s="5">
        <f>_xlfn.XLOOKUP(CustomerCombined[[#This Row],[ID]], Table4[ID], Table4[Regular], "Not Found", 0)</f>
        <v>183</v>
      </c>
      <c r="R992" s="5">
        <f>_xlfn.XLOOKUP(CustomerCombined[[#This Row],[ID]], Table4[ID], Table4[Deals], "Not Found", 0)</f>
        <v>2</v>
      </c>
      <c r="S992" s="5">
        <f>_xlfn.XLOOKUP(CustomerCombined[[#This Row],[ID]], Table4[ID], Table4[Website], "Not Found", 0)</f>
        <v>2</v>
      </c>
      <c r="T992" s="5">
        <f>_xlfn.XLOOKUP(CustomerCombined[[#This Row],[ID]], Table4[ID], Table4[Catalog], "Not Found", 0)</f>
        <v>0</v>
      </c>
      <c r="U992" s="5">
        <f>_xlfn.XLOOKUP(CustomerCombined[[#This Row],[ID]], Table4[ID], Table4[Store], "Not Found", 0)</f>
        <v>3</v>
      </c>
      <c r="V992" s="5">
        <f>_xlfn.XLOOKUP(CustomerCombined[[#This Row],[ID]], Table4[ID], Table4[Visits], "Not Found", 0)</f>
        <v>7</v>
      </c>
      <c r="W992" s="8">
        <f>_xlfn.XLOOKUP(CustomerCombined[[#This Row],[ID]], Table2[ID],Table2[Complaint], "Not Found", 0 )</f>
        <v>0</v>
      </c>
      <c r="X992" s="8">
        <f>_xlfn.XLOOKUP(CustomerCombined[[#This Row],[ID]], Table2[ID],Table2[Pilot], "Not Found", 0 )</f>
        <v>0</v>
      </c>
      <c r="Y992" s="8">
        <f>_xlfn.XLOOKUP(CustomerCombined[[#This Row],[ID]], Table2[ID],Table2[MC1], "Not Found", 0 )</f>
        <v>0</v>
      </c>
      <c r="Z992" s="8">
        <f>_xlfn.XLOOKUP(CustomerCombined[[#This Row],[ID]], Table2[ID],Table2[MC2], "Not Found", 0 )</f>
        <v>0</v>
      </c>
      <c r="AA992" s="8">
        <f>_xlfn.XLOOKUP(CustomerCombined[[#This Row],[ID]], Table2[ID],Table2[MC3], "Not Found", 0 )</f>
        <v>0</v>
      </c>
      <c r="AB992" s="8">
        <f>_xlfn.XLOOKUP(CustomerCombined[[#This Row],[ID]], Table2[ID],Table2[MC4], "Not Found", 0 )</f>
        <v>0</v>
      </c>
      <c r="AC992" s="8">
        <f>_xlfn.XLOOKUP(CustomerCombined[[#This Row],[ID]], Table2[ID],Table2[MC5], "Not Found", 0 )</f>
        <v>0</v>
      </c>
    </row>
    <row r="993" spans="1:29" x14ac:dyDescent="0.3">
      <c r="A993" s="6">
        <v>1792</v>
      </c>
      <c r="B993" s="6">
        <v>121359</v>
      </c>
      <c r="C993" s="6">
        <v>1</v>
      </c>
      <c r="D993" s="6">
        <v>0</v>
      </c>
      <c r="E993" s="6">
        <v>48</v>
      </c>
      <c r="F993" s="5" t="s">
        <v>7</v>
      </c>
      <c r="G993" s="5" t="s">
        <v>11</v>
      </c>
      <c r="H993" s="3" t="s">
        <v>269</v>
      </c>
      <c r="I993" s="5" t="s">
        <v>439</v>
      </c>
      <c r="J993" s="5">
        <f>_xlfn.XLOOKUP(CustomerCombined[[#This Row],[ID]], Table4[ID], Table4[Recency], "Not Found", 0)</f>
        <v>1</v>
      </c>
      <c r="K993" s="5">
        <f>_xlfn.XLOOKUP(CustomerCombined[[#This Row],[ID]], Table4[ID], Table4[Teas], "Not Found", 0)</f>
        <v>68</v>
      </c>
      <c r="L993" s="5">
        <f>_xlfn.XLOOKUP(CustomerCombined[[#This Row],[ID]], Table4[ID], Table4[Fruits], "Not Found", 0)</f>
        <v>11</v>
      </c>
      <c r="M993" s="5">
        <f>_xlfn.XLOOKUP(CustomerCombined[[#This Row],[ID]], Table4[ID], Table4[Meats], "Not Found", 0)</f>
        <v>97</v>
      </c>
      <c r="N993" s="5">
        <f>_xlfn.XLOOKUP(CustomerCombined[[#This Row],[ID]], Table4[ID], Table4[Seafood], "Not Found", 0)</f>
        <v>34</v>
      </c>
      <c r="O993" s="5">
        <f>_xlfn.XLOOKUP(CustomerCombined[[#This Row],[ID]], Table4[ID], Table4[Sweets], "Not Found", 0)</f>
        <v>6</v>
      </c>
      <c r="P993" s="5">
        <f>_xlfn.XLOOKUP(CustomerCombined[[#This Row],[ID]], Table4[ID], Table4[Premium], "Not Found", 0)</f>
        <v>57</v>
      </c>
      <c r="Q993" s="5">
        <f>_xlfn.XLOOKUP(CustomerCombined[[#This Row],[ID]], Table4[ID], Table4[Regular], "Not Found", 0)</f>
        <v>159</v>
      </c>
      <c r="R993" s="5">
        <f>_xlfn.XLOOKUP(CustomerCombined[[#This Row],[ID]], Table4[ID], Table4[Deals], "Not Found", 0)</f>
        <v>2</v>
      </c>
      <c r="S993" s="5">
        <f>_xlfn.XLOOKUP(CustomerCombined[[#This Row],[ID]], Table4[ID], Table4[Website], "Not Found", 0)</f>
        <v>2</v>
      </c>
      <c r="T993" s="5">
        <f>_xlfn.XLOOKUP(CustomerCombined[[#This Row],[ID]], Table4[ID], Table4[Catalog], "Not Found", 0)</f>
        <v>0</v>
      </c>
      <c r="U993" s="5">
        <f>_xlfn.XLOOKUP(CustomerCombined[[#This Row],[ID]], Table4[ID], Table4[Store], "Not Found", 0)</f>
        <v>3</v>
      </c>
      <c r="V993" s="5">
        <f>_xlfn.XLOOKUP(CustomerCombined[[#This Row],[ID]], Table4[ID], Table4[Visits], "Not Found", 0)</f>
        <v>8</v>
      </c>
      <c r="W993" s="8">
        <f>_xlfn.XLOOKUP(CustomerCombined[[#This Row],[ID]], Table2[ID],Table2[Complaint], "Not Found", 0 )</f>
        <v>0</v>
      </c>
      <c r="X993" s="8">
        <f>_xlfn.XLOOKUP(CustomerCombined[[#This Row],[ID]], Table2[ID],Table2[Pilot], "Not Found", 0 )</f>
        <v>1</v>
      </c>
      <c r="Y993" s="8">
        <f>_xlfn.XLOOKUP(CustomerCombined[[#This Row],[ID]], Table2[ID],Table2[MC1], "Not Found", 0 )</f>
        <v>0</v>
      </c>
      <c r="Z993" s="8">
        <f>_xlfn.XLOOKUP(CustomerCombined[[#This Row],[ID]], Table2[ID],Table2[MC2], "Not Found", 0 )</f>
        <v>0</v>
      </c>
      <c r="AA993" s="8">
        <f>_xlfn.XLOOKUP(CustomerCombined[[#This Row],[ID]], Table2[ID],Table2[MC3], "Not Found", 0 )</f>
        <v>0</v>
      </c>
      <c r="AB993" s="8">
        <f>_xlfn.XLOOKUP(CustomerCombined[[#This Row],[ID]], Table2[ID],Table2[MC4], "Not Found", 0 )</f>
        <v>0</v>
      </c>
      <c r="AC993" s="8">
        <f>_xlfn.XLOOKUP(CustomerCombined[[#This Row],[ID]], Table2[ID],Table2[MC5], "Not Found", 0 )</f>
        <v>0</v>
      </c>
    </row>
    <row r="994" spans="1:29" x14ac:dyDescent="0.3">
      <c r="A994" s="6">
        <v>3073</v>
      </c>
      <c r="B994" s="6">
        <v>114188</v>
      </c>
      <c r="C994" s="6">
        <v>0</v>
      </c>
      <c r="D994" s="6">
        <v>0</v>
      </c>
      <c r="E994" s="6">
        <v>48</v>
      </c>
      <c r="F994" s="5" t="s">
        <v>6</v>
      </c>
      <c r="G994" s="5" t="s">
        <v>10</v>
      </c>
      <c r="H994" s="3">
        <v>43593</v>
      </c>
      <c r="I994" s="5" t="s">
        <v>437</v>
      </c>
      <c r="J994" s="5">
        <f>_xlfn.XLOOKUP(CustomerCombined[[#This Row],[ID]], Table4[ID], Table4[Recency], "Not Found", 0)</f>
        <v>40</v>
      </c>
      <c r="K994" s="5">
        <f>_xlfn.XLOOKUP(CustomerCombined[[#This Row],[ID]], Table4[ID], Table4[Teas], "Not Found", 0)</f>
        <v>16</v>
      </c>
      <c r="L994" s="5">
        <f>_xlfn.XLOOKUP(CustomerCombined[[#This Row],[ID]], Table4[ID], Table4[Fruits], "Not Found", 0)</f>
        <v>56</v>
      </c>
      <c r="M994" s="5">
        <f>_xlfn.XLOOKUP(CustomerCombined[[#This Row],[ID]], Table4[ID], Table4[Meats], "Not Found", 0)</f>
        <v>89</v>
      </c>
      <c r="N994" s="5">
        <f>_xlfn.XLOOKUP(CustomerCombined[[#This Row],[ID]], Table4[ID], Table4[Seafood], "Not Found", 0)</f>
        <v>129</v>
      </c>
      <c r="O994" s="5">
        <f>_xlfn.XLOOKUP(CustomerCombined[[#This Row],[ID]], Table4[ID], Table4[Sweets], "Not Found", 0)</f>
        <v>97</v>
      </c>
      <c r="P994" s="5">
        <f>_xlfn.XLOOKUP(CustomerCombined[[#This Row],[ID]], Table4[ID], Table4[Premium], "Not Found", 0)</f>
        <v>217</v>
      </c>
      <c r="Q994" s="5">
        <f>_xlfn.XLOOKUP(CustomerCombined[[#This Row],[ID]], Table4[ID], Table4[Regular], "Not Found", 0)</f>
        <v>169</v>
      </c>
      <c r="R994" s="5">
        <f>_xlfn.XLOOKUP(CustomerCombined[[#This Row],[ID]], Table4[ID], Table4[Deals], "Not Found", 0)</f>
        <v>1</v>
      </c>
      <c r="S994" s="5">
        <f>_xlfn.XLOOKUP(CustomerCombined[[#This Row],[ID]], Table4[ID], Table4[Website], "Not Found", 0)</f>
        <v>2</v>
      </c>
      <c r="T994" s="5">
        <f>_xlfn.XLOOKUP(CustomerCombined[[#This Row],[ID]], Table4[ID], Table4[Catalog], "Not Found", 0)</f>
        <v>0</v>
      </c>
      <c r="U994" s="5">
        <f>_xlfn.XLOOKUP(CustomerCombined[[#This Row],[ID]], Table4[ID], Table4[Store], "Not Found", 0)</f>
        <v>4</v>
      </c>
      <c r="V994" s="5">
        <f>_xlfn.XLOOKUP(CustomerCombined[[#This Row],[ID]], Table4[ID], Table4[Visits], "Not Found", 0)</f>
        <v>6</v>
      </c>
      <c r="W994" s="8">
        <f>_xlfn.XLOOKUP(CustomerCombined[[#This Row],[ID]], Table2[ID],Table2[Complaint], "Not Found", 0 )</f>
        <v>0</v>
      </c>
      <c r="X994" s="8">
        <f>_xlfn.XLOOKUP(CustomerCombined[[#This Row],[ID]], Table2[ID],Table2[Pilot], "Not Found", 0 )</f>
        <v>0</v>
      </c>
      <c r="Y994" s="8">
        <f>_xlfn.XLOOKUP(CustomerCombined[[#This Row],[ID]], Table2[ID],Table2[MC1], "Not Found", 0 )</f>
        <v>0</v>
      </c>
      <c r="Z994" s="8">
        <f>_xlfn.XLOOKUP(CustomerCombined[[#This Row],[ID]], Table2[ID],Table2[MC2], "Not Found", 0 )</f>
        <v>0</v>
      </c>
      <c r="AA994" s="8">
        <f>_xlfn.XLOOKUP(CustomerCombined[[#This Row],[ID]], Table2[ID],Table2[MC3], "Not Found", 0 )</f>
        <v>0</v>
      </c>
      <c r="AB994" s="8">
        <f>_xlfn.XLOOKUP(CustomerCombined[[#This Row],[ID]], Table2[ID],Table2[MC4], "Not Found", 0 )</f>
        <v>0</v>
      </c>
      <c r="AC994" s="8">
        <f>_xlfn.XLOOKUP(CustomerCombined[[#This Row],[ID]], Table2[ID],Table2[MC5], "Not Found", 0 )</f>
        <v>0</v>
      </c>
    </row>
    <row r="995" spans="1:29" x14ac:dyDescent="0.3">
      <c r="A995" s="6">
        <v>2012</v>
      </c>
      <c r="B995" s="6">
        <v>191700</v>
      </c>
      <c r="C995" s="6">
        <v>0</v>
      </c>
      <c r="D995" s="6">
        <v>0</v>
      </c>
      <c r="E995" s="6">
        <v>49</v>
      </c>
      <c r="F995" s="5" t="s">
        <v>7</v>
      </c>
      <c r="G995" s="5" t="s">
        <v>11</v>
      </c>
      <c r="H995" s="3" t="s">
        <v>323</v>
      </c>
      <c r="I995" s="5" t="s">
        <v>438</v>
      </c>
      <c r="J995" s="5">
        <f>_xlfn.XLOOKUP(CustomerCombined[[#This Row],[ID]], Table4[ID], Table4[Recency], "Not Found", 0)</f>
        <v>58</v>
      </c>
      <c r="K995" s="5">
        <f>_xlfn.XLOOKUP(CustomerCombined[[#This Row],[ID]], Table4[ID], Table4[Teas], "Not Found", 0)</f>
        <v>1204</v>
      </c>
      <c r="L995" s="5">
        <f>_xlfn.XLOOKUP(CustomerCombined[[#This Row],[ID]], Table4[ID], Table4[Fruits], "Not Found", 0)</f>
        <v>360</v>
      </c>
      <c r="M995" s="5">
        <f>_xlfn.XLOOKUP(CustomerCombined[[#This Row],[ID]], Table4[ID], Table4[Meats], "Not Found", 0)</f>
        <v>2009</v>
      </c>
      <c r="N995" s="5">
        <f>_xlfn.XLOOKUP(CustomerCombined[[#This Row],[ID]], Table4[ID], Table4[Seafood], "Not Found", 0)</f>
        <v>261</v>
      </c>
      <c r="O995" s="5">
        <f>_xlfn.XLOOKUP(CustomerCombined[[#This Row],[ID]], Table4[ID], Table4[Sweets], "Not Found", 0)</f>
        <v>240</v>
      </c>
      <c r="P995" s="5">
        <f>_xlfn.XLOOKUP(CustomerCombined[[#This Row],[ID]], Table4[ID], Table4[Premium], "Not Found", 0)</f>
        <v>40</v>
      </c>
      <c r="Q995" s="5">
        <f>_xlfn.XLOOKUP(CustomerCombined[[#This Row],[ID]], Table4[ID], Table4[Regular], "Not Found", 0)</f>
        <v>4035</v>
      </c>
      <c r="R995" s="5">
        <f>_xlfn.XLOOKUP(CustomerCombined[[#This Row],[ID]], Table4[ID], Table4[Deals], "Not Found", 0)</f>
        <v>1</v>
      </c>
      <c r="S995" s="5">
        <f>_xlfn.XLOOKUP(CustomerCombined[[#This Row],[ID]], Table4[ID], Table4[Website], "Not Found", 0)</f>
        <v>8</v>
      </c>
      <c r="T995" s="5">
        <f>_xlfn.XLOOKUP(CustomerCombined[[#This Row],[ID]], Table4[ID], Table4[Catalog], "Not Found", 0)</f>
        <v>6</v>
      </c>
      <c r="U995" s="5">
        <f>_xlfn.XLOOKUP(CustomerCombined[[#This Row],[ID]], Table4[ID], Table4[Store], "Not Found", 0)</f>
        <v>5</v>
      </c>
      <c r="V995" s="5">
        <f>_xlfn.XLOOKUP(CustomerCombined[[#This Row],[ID]], Table4[ID], Table4[Visits], "Not Found", 0)</f>
        <v>3</v>
      </c>
      <c r="W995" s="8">
        <f>_xlfn.XLOOKUP(CustomerCombined[[#This Row],[ID]], Table2[ID],Table2[Complaint], "Not Found", 0 )</f>
        <v>0</v>
      </c>
      <c r="X995" s="8">
        <f>_xlfn.XLOOKUP(CustomerCombined[[#This Row],[ID]], Table2[ID],Table2[Pilot], "Not Found", 0 )</f>
        <v>1</v>
      </c>
      <c r="Y995" s="8">
        <f>_xlfn.XLOOKUP(CustomerCombined[[#This Row],[ID]], Table2[ID],Table2[MC1], "Not Found", 0 )</f>
        <v>0</v>
      </c>
      <c r="Z995" s="8">
        <f>_xlfn.XLOOKUP(CustomerCombined[[#This Row],[ID]], Table2[ID],Table2[MC2], "Not Found", 0 )</f>
        <v>0</v>
      </c>
      <c r="AA995" s="8">
        <f>_xlfn.XLOOKUP(CustomerCombined[[#This Row],[ID]], Table2[ID],Table2[MC3], "Not Found", 0 )</f>
        <v>0</v>
      </c>
      <c r="AB995" s="8">
        <f>_xlfn.XLOOKUP(CustomerCombined[[#This Row],[ID]], Table2[ID],Table2[MC4], "Not Found", 0 )</f>
        <v>0</v>
      </c>
      <c r="AC995" s="8">
        <f>_xlfn.XLOOKUP(CustomerCombined[[#This Row],[ID]], Table2[ID],Table2[MC5], "Not Found", 0 )</f>
        <v>0</v>
      </c>
    </row>
    <row r="996" spans="1:29" x14ac:dyDescent="0.3">
      <c r="A996" s="6">
        <v>2862</v>
      </c>
      <c r="B996" s="6">
        <v>186979</v>
      </c>
      <c r="C996" s="6">
        <v>0</v>
      </c>
      <c r="D996" s="6">
        <v>0</v>
      </c>
      <c r="E996" s="6">
        <v>49</v>
      </c>
      <c r="F996" s="5" t="s">
        <v>5</v>
      </c>
      <c r="G996" s="5" t="s">
        <v>13</v>
      </c>
      <c r="H996" s="3" t="s">
        <v>156</v>
      </c>
      <c r="I996" s="5" t="s">
        <v>436</v>
      </c>
      <c r="J996" s="5">
        <f>_xlfn.XLOOKUP(CustomerCombined[[#This Row],[ID]], Table4[ID], Table4[Recency], "Not Found", 0)</f>
        <v>67</v>
      </c>
      <c r="K996" s="5">
        <f>_xlfn.XLOOKUP(CustomerCombined[[#This Row],[ID]], Table4[ID], Table4[Teas], "Not Found", 0)</f>
        <v>1255</v>
      </c>
      <c r="L996" s="5">
        <f>_xlfn.XLOOKUP(CustomerCombined[[#This Row],[ID]], Table4[ID], Table4[Fruits], "Not Found", 0)</f>
        <v>215</v>
      </c>
      <c r="M996" s="5">
        <f>_xlfn.XLOOKUP(CustomerCombined[[#This Row],[ID]], Table4[ID], Table4[Meats], "Not Found", 0)</f>
        <v>1795</v>
      </c>
      <c r="N996" s="5">
        <f>_xlfn.XLOOKUP(CustomerCombined[[#This Row],[ID]], Table4[ID], Table4[Seafood], "Not Found", 0)</f>
        <v>140</v>
      </c>
      <c r="O996" s="5">
        <f>_xlfn.XLOOKUP(CustomerCombined[[#This Row],[ID]], Table4[ID], Table4[Sweets], "Not Found", 0)</f>
        <v>178</v>
      </c>
      <c r="P996" s="5">
        <f>_xlfn.XLOOKUP(CustomerCombined[[#This Row],[ID]], Table4[ID], Table4[Premium], "Not Found", 0)</f>
        <v>75</v>
      </c>
      <c r="Q996" s="5">
        <f>_xlfn.XLOOKUP(CustomerCombined[[#This Row],[ID]], Table4[ID], Table4[Regular], "Not Found", 0)</f>
        <v>3508</v>
      </c>
      <c r="R996" s="5">
        <f>_xlfn.XLOOKUP(CustomerCombined[[#This Row],[ID]], Table4[ID], Table4[Deals], "Not Found", 0)</f>
        <v>1</v>
      </c>
      <c r="S996" s="5">
        <f>_xlfn.XLOOKUP(CustomerCombined[[#This Row],[ID]], Table4[ID], Table4[Website], "Not Found", 0)</f>
        <v>5</v>
      </c>
      <c r="T996" s="5">
        <f>_xlfn.XLOOKUP(CustomerCombined[[#This Row],[ID]], Table4[ID], Table4[Catalog], "Not Found", 0)</f>
        <v>5</v>
      </c>
      <c r="U996" s="5">
        <f>_xlfn.XLOOKUP(CustomerCombined[[#This Row],[ID]], Table4[ID], Table4[Store], "Not Found", 0)</f>
        <v>5</v>
      </c>
      <c r="V996" s="5">
        <f>_xlfn.XLOOKUP(CustomerCombined[[#This Row],[ID]], Table4[ID], Table4[Visits], "Not Found", 0)</f>
        <v>2</v>
      </c>
      <c r="W996" s="8">
        <f>_xlfn.XLOOKUP(CustomerCombined[[#This Row],[ID]], Table2[ID],Table2[Complaint], "Not Found", 0 )</f>
        <v>0</v>
      </c>
      <c r="X996" s="8">
        <f>_xlfn.XLOOKUP(CustomerCombined[[#This Row],[ID]], Table2[ID],Table2[Pilot], "Not Found", 0 )</f>
        <v>1</v>
      </c>
      <c r="Y996" s="8">
        <f>_xlfn.XLOOKUP(CustomerCombined[[#This Row],[ID]], Table2[ID],Table2[MC1], "Not Found", 0 )</f>
        <v>0</v>
      </c>
      <c r="Z996" s="8">
        <f>_xlfn.XLOOKUP(CustomerCombined[[#This Row],[ID]], Table2[ID],Table2[MC2], "Not Found", 0 )</f>
        <v>0</v>
      </c>
      <c r="AA996" s="8">
        <f>_xlfn.XLOOKUP(CustomerCombined[[#This Row],[ID]], Table2[ID],Table2[MC3], "Not Found", 0 )</f>
        <v>1</v>
      </c>
      <c r="AB996" s="8">
        <f>_xlfn.XLOOKUP(CustomerCombined[[#This Row],[ID]], Table2[ID],Table2[MC4], "Not Found", 0 )</f>
        <v>0</v>
      </c>
      <c r="AC996" s="8">
        <f>_xlfn.XLOOKUP(CustomerCombined[[#This Row],[ID]], Table2[ID],Table2[MC5], "Not Found", 0 )</f>
        <v>0</v>
      </c>
    </row>
    <row r="997" spans="1:29" x14ac:dyDescent="0.3">
      <c r="A997" s="6">
        <v>1955</v>
      </c>
      <c r="B997" s="6">
        <v>180573</v>
      </c>
      <c r="C997" s="6">
        <v>0</v>
      </c>
      <c r="D997" s="6">
        <v>0</v>
      </c>
      <c r="E997" s="6">
        <v>49</v>
      </c>
      <c r="F997" s="5" t="s">
        <v>8</v>
      </c>
      <c r="G997" s="5" t="s">
        <v>12</v>
      </c>
      <c r="H997" s="3" t="s">
        <v>380</v>
      </c>
      <c r="I997" s="5" t="s">
        <v>434</v>
      </c>
      <c r="J997" s="5">
        <f>_xlfn.XLOOKUP(CustomerCombined[[#This Row],[ID]], Table4[ID], Table4[Recency], "Not Found", 0)</f>
        <v>85</v>
      </c>
      <c r="K997" s="5">
        <f>_xlfn.XLOOKUP(CustomerCombined[[#This Row],[ID]], Table4[ID], Table4[Teas], "Not Found", 0)</f>
        <v>1858</v>
      </c>
      <c r="L997" s="5">
        <f>_xlfn.XLOOKUP(CustomerCombined[[#This Row],[ID]], Table4[ID], Table4[Fruits], "Not Found", 0)</f>
        <v>309</v>
      </c>
      <c r="M997" s="5">
        <f>_xlfn.XLOOKUP(CustomerCombined[[#This Row],[ID]], Table4[ID], Table4[Meats], "Not Found", 0)</f>
        <v>964</v>
      </c>
      <c r="N997" s="5">
        <f>_xlfn.XLOOKUP(CustomerCombined[[#This Row],[ID]], Table4[ID], Table4[Seafood], "Not Found", 0)</f>
        <v>134</v>
      </c>
      <c r="O997" s="5">
        <f>_xlfn.XLOOKUP(CustomerCombined[[#This Row],[ID]], Table4[ID], Table4[Sweets], "Not Found", 0)</f>
        <v>206</v>
      </c>
      <c r="P997" s="5">
        <f>_xlfn.XLOOKUP(CustomerCombined[[#This Row],[ID]], Table4[ID], Table4[Premium], "Not Found", 0)</f>
        <v>34</v>
      </c>
      <c r="Q997" s="5">
        <f>_xlfn.XLOOKUP(CustomerCombined[[#This Row],[ID]], Table4[ID], Table4[Regular], "Not Found", 0)</f>
        <v>3438</v>
      </c>
      <c r="R997" s="5">
        <f>_xlfn.XLOOKUP(CustomerCombined[[#This Row],[ID]], Table4[ID], Table4[Deals], "Not Found", 0)</f>
        <v>1</v>
      </c>
      <c r="S997" s="5">
        <f>_xlfn.XLOOKUP(CustomerCombined[[#This Row],[ID]], Table4[ID], Table4[Website], "Not Found", 0)</f>
        <v>4</v>
      </c>
      <c r="T997" s="5">
        <f>_xlfn.XLOOKUP(CustomerCombined[[#This Row],[ID]], Table4[ID], Table4[Catalog], "Not Found", 0)</f>
        <v>6</v>
      </c>
      <c r="U997" s="5">
        <f>_xlfn.XLOOKUP(CustomerCombined[[#This Row],[ID]], Table4[ID], Table4[Store], "Not Found", 0)</f>
        <v>13</v>
      </c>
      <c r="V997" s="5">
        <f>_xlfn.XLOOKUP(CustomerCombined[[#This Row],[ID]], Table4[ID], Table4[Visits], "Not Found", 0)</f>
        <v>2</v>
      </c>
      <c r="W997" s="8">
        <f>_xlfn.XLOOKUP(CustomerCombined[[#This Row],[ID]], Table2[ID],Table2[Complaint], "Not Found", 0 )</f>
        <v>0</v>
      </c>
      <c r="X997" s="8">
        <f>_xlfn.XLOOKUP(CustomerCombined[[#This Row],[ID]], Table2[ID],Table2[Pilot], "Not Found", 0 )</f>
        <v>0</v>
      </c>
      <c r="Y997" s="8">
        <f>_xlfn.XLOOKUP(CustomerCombined[[#This Row],[ID]], Table2[ID],Table2[MC1], "Not Found", 0 )</f>
        <v>0</v>
      </c>
      <c r="Z997" s="8">
        <f>_xlfn.XLOOKUP(CustomerCombined[[#This Row],[ID]], Table2[ID],Table2[MC2], "Not Found", 0 )</f>
        <v>0</v>
      </c>
      <c r="AA997" s="8">
        <f>_xlfn.XLOOKUP(CustomerCombined[[#This Row],[ID]], Table2[ID],Table2[MC3], "Not Found", 0 )</f>
        <v>0</v>
      </c>
      <c r="AB997" s="8">
        <f>_xlfn.XLOOKUP(CustomerCombined[[#This Row],[ID]], Table2[ID],Table2[MC4], "Not Found", 0 )</f>
        <v>0</v>
      </c>
      <c r="AC997" s="8">
        <f>_xlfn.XLOOKUP(CustomerCombined[[#This Row],[ID]], Table2[ID],Table2[MC5], "Not Found", 0 )</f>
        <v>0</v>
      </c>
    </row>
    <row r="998" spans="1:29" x14ac:dyDescent="0.3">
      <c r="A998" s="6">
        <v>2887</v>
      </c>
      <c r="B998" s="6">
        <v>180573</v>
      </c>
      <c r="C998" s="6">
        <v>0</v>
      </c>
      <c r="D998" s="6">
        <v>0</v>
      </c>
      <c r="E998" s="6">
        <v>49</v>
      </c>
      <c r="F998" s="5" t="s">
        <v>8</v>
      </c>
      <c r="G998" s="5" t="s">
        <v>12</v>
      </c>
      <c r="H998" s="3" t="s">
        <v>380</v>
      </c>
      <c r="I998" s="5" t="s">
        <v>437</v>
      </c>
      <c r="J998" s="5">
        <f>_xlfn.XLOOKUP(CustomerCombined[[#This Row],[ID]], Table4[ID], Table4[Recency], "Not Found", 0)</f>
        <v>85</v>
      </c>
      <c r="K998" s="5">
        <f>_xlfn.XLOOKUP(CustomerCombined[[#This Row],[ID]], Table4[ID], Table4[Teas], "Not Found", 0)</f>
        <v>1858</v>
      </c>
      <c r="L998" s="5">
        <f>_xlfn.XLOOKUP(CustomerCombined[[#This Row],[ID]], Table4[ID], Table4[Fruits], "Not Found", 0)</f>
        <v>309</v>
      </c>
      <c r="M998" s="5">
        <f>_xlfn.XLOOKUP(CustomerCombined[[#This Row],[ID]], Table4[ID], Table4[Meats], "Not Found", 0)</f>
        <v>964</v>
      </c>
      <c r="N998" s="5">
        <f>_xlfn.XLOOKUP(CustomerCombined[[#This Row],[ID]], Table4[ID], Table4[Seafood], "Not Found", 0)</f>
        <v>134</v>
      </c>
      <c r="O998" s="5">
        <f>_xlfn.XLOOKUP(CustomerCombined[[#This Row],[ID]], Table4[ID], Table4[Sweets], "Not Found", 0)</f>
        <v>206</v>
      </c>
      <c r="P998" s="5">
        <f>_xlfn.XLOOKUP(CustomerCombined[[#This Row],[ID]], Table4[ID], Table4[Premium], "Not Found", 0)</f>
        <v>34</v>
      </c>
      <c r="Q998" s="5">
        <f>_xlfn.XLOOKUP(CustomerCombined[[#This Row],[ID]], Table4[ID], Table4[Regular], "Not Found", 0)</f>
        <v>3438</v>
      </c>
      <c r="R998" s="5">
        <f>_xlfn.XLOOKUP(CustomerCombined[[#This Row],[ID]], Table4[ID], Table4[Deals], "Not Found", 0)</f>
        <v>1</v>
      </c>
      <c r="S998" s="5">
        <f>_xlfn.XLOOKUP(CustomerCombined[[#This Row],[ID]], Table4[ID], Table4[Website], "Not Found", 0)</f>
        <v>4</v>
      </c>
      <c r="T998" s="5">
        <f>_xlfn.XLOOKUP(CustomerCombined[[#This Row],[ID]], Table4[ID], Table4[Catalog], "Not Found", 0)</f>
        <v>6</v>
      </c>
      <c r="U998" s="5">
        <f>_xlfn.XLOOKUP(CustomerCombined[[#This Row],[ID]], Table4[ID], Table4[Store], "Not Found", 0)</f>
        <v>13</v>
      </c>
      <c r="V998" s="5">
        <f>_xlfn.XLOOKUP(CustomerCombined[[#This Row],[ID]], Table4[ID], Table4[Visits], "Not Found", 0)</f>
        <v>2</v>
      </c>
      <c r="W998" s="8">
        <f>_xlfn.XLOOKUP(CustomerCombined[[#This Row],[ID]], Table2[ID],Table2[Complaint], "Not Found", 0 )</f>
        <v>0</v>
      </c>
      <c r="X998" s="8">
        <f>_xlfn.XLOOKUP(CustomerCombined[[#This Row],[ID]], Table2[ID],Table2[Pilot], "Not Found", 0 )</f>
        <v>0</v>
      </c>
      <c r="Y998" s="8">
        <f>_xlfn.XLOOKUP(CustomerCombined[[#This Row],[ID]], Table2[ID],Table2[MC1], "Not Found", 0 )</f>
        <v>0</v>
      </c>
      <c r="Z998" s="8">
        <f>_xlfn.XLOOKUP(CustomerCombined[[#This Row],[ID]], Table2[ID],Table2[MC2], "Not Found", 0 )</f>
        <v>0</v>
      </c>
      <c r="AA998" s="8">
        <f>_xlfn.XLOOKUP(CustomerCombined[[#This Row],[ID]], Table2[ID],Table2[MC3], "Not Found", 0 )</f>
        <v>0</v>
      </c>
      <c r="AB998" s="8">
        <f>_xlfn.XLOOKUP(CustomerCombined[[#This Row],[ID]], Table2[ID],Table2[MC4], "Not Found", 0 )</f>
        <v>0</v>
      </c>
      <c r="AC998" s="8">
        <f>_xlfn.XLOOKUP(CustomerCombined[[#This Row],[ID]], Table2[ID],Table2[MC5], "Not Found", 0 )</f>
        <v>0</v>
      </c>
    </row>
    <row r="999" spans="1:29" x14ac:dyDescent="0.3">
      <c r="A999" s="6">
        <v>2484</v>
      </c>
      <c r="B999" s="6">
        <v>178931</v>
      </c>
      <c r="C999" s="6">
        <v>0</v>
      </c>
      <c r="D999" s="6">
        <v>0</v>
      </c>
      <c r="E999" s="6">
        <v>49</v>
      </c>
      <c r="F999" s="5" t="s">
        <v>6</v>
      </c>
      <c r="G999" s="5" t="s">
        <v>13</v>
      </c>
      <c r="H999" s="3" t="s">
        <v>157</v>
      </c>
      <c r="I999" s="5" t="s">
        <v>436</v>
      </c>
      <c r="J999" s="5">
        <f>_xlfn.XLOOKUP(CustomerCombined[[#This Row],[ID]], Table4[ID], Table4[Recency], "Not Found", 0)</f>
        <v>19</v>
      </c>
      <c r="K999" s="5">
        <f>_xlfn.XLOOKUP(CustomerCombined[[#This Row],[ID]], Table4[ID], Table4[Teas], "Not Found", 0)</f>
        <v>750</v>
      </c>
      <c r="L999" s="5">
        <f>_xlfn.XLOOKUP(CustomerCombined[[#This Row],[ID]], Table4[ID], Table4[Fruits], "Not Found", 0)</f>
        <v>447</v>
      </c>
      <c r="M999" s="5">
        <f>_xlfn.XLOOKUP(CustomerCombined[[#This Row],[ID]], Table4[ID], Table4[Meats], "Not Found", 0)</f>
        <v>385</v>
      </c>
      <c r="N999" s="5">
        <f>_xlfn.XLOOKUP(CustomerCombined[[#This Row],[ID]], Table4[ID], Table4[Seafood], "Not Found", 0)</f>
        <v>131</v>
      </c>
      <c r="O999" s="5">
        <f>_xlfn.XLOOKUP(CustomerCombined[[#This Row],[ID]], Table4[ID], Table4[Sweets], "Not Found", 0)</f>
        <v>345</v>
      </c>
      <c r="P999" s="5">
        <f>_xlfn.XLOOKUP(CustomerCombined[[#This Row],[ID]], Table4[ID], Table4[Premium], "Not Found", 0)</f>
        <v>79</v>
      </c>
      <c r="Q999" s="5">
        <f>_xlfn.XLOOKUP(CustomerCombined[[#This Row],[ID]], Table4[ID], Table4[Regular], "Not Found", 0)</f>
        <v>1979</v>
      </c>
      <c r="R999" s="5">
        <f>_xlfn.XLOOKUP(CustomerCombined[[#This Row],[ID]], Table4[ID], Table4[Deals], "Not Found", 0)</f>
        <v>1</v>
      </c>
      <c r="S999" s="5">
        <f>_xlfn.XLOOKUP(CustomerCombined[[#This Row],[ID]], Table4[ID], Table4[Website], "Not Found", 0)</f>
        <v>2</v>
      </c>
      <c r="T999" s="5">
        <f>_xlfn.XLOOKUP(CustomerCombined[[#This Row],[ID]], Table4[ID], Table4[Catalog], "Not Found", 0)</f>
        <v>8</v>
      </c>
      <c r="U999" s="5">
        <f>_xlfn.XLOOKUP(CustomerCombined[[#This Row],[ID]], Table4[ID], Table4[Store], "Not Found", 0)</f>
        <v>13</v>
      </c>
      <c r="V999" s="5">
        <f>_xlfn.XLOOKUP(CustomerCombined[[#This Row],[ID]], Table4[ID], Table4[Visits], "Not Found", 0)</f>
        <v>1</v>
      </c>
      <c r="W999" s="8">
        <f>_xlfn.XLOOKUP(CustomerCombined[[#This Row],[ID]], Table2[ID],Table2[Complaint], "Not Found", 0 )</f>
        <v>0</v>
      </c>
      <c r="X999" s="8">
        <f>_xlfn.XLOOKUP(CustomerCombined[[#This Row],[ID]], Table2[ID],Table2[Pilot], "Not Found", 0 )</f>
        <v>0</v>
      </c>
      <c r="Y999" s="8">
        <f>_xlfn.XLOOKUP(CustomerCombined[[#This Row],[ID]], Table2[ID],Table2[MC1], "Not Found", 0 )</f>
        <v>0</v>
      </c>
      <c r="Z999" s="8">
        <f>_xlfn.XLOOKUP(CustomerCombined[[#This Row],[ID]], Table2[ID],Table2[MC2], "Not Found", 0 )</f>
        <v>0</v>
      </c>
      <c r="AA999" s="8">
        <f>_xlfn.XLOOKUP(CustomerCombined[[#This Row],[ID]], Table2[ID],Table2[MC3], "Not Found", 0 )</f>
        <v>0</v>
      </c>
      <c r="AB999" s="8">
        <f>_xlfn.XLOOKUP(CustomerCombined[[#This Row],[ID]], Table2[ID],Table2[MC4], "Not Found", 0 )</f>
        <v>0</v>
      </c>
      <c r="AC999" s="8">
        <f>_xlfn.XLOOKUP(CustomerCombined[[#This Row],[ID]], Table2[ID],Table2[MC5], "Not Found", 0 )</f>
        <v>0</v>
      </c>
    </row>
    <row r="1000" spans="1:29" x14ac:dyDescent="0.3">
      <c r="A1000" s="6">
        <v>1481</v>
      </c>
      <c r="B1000" s="6">
        <v>178642</v>
      </c>
      <c r="C1000" s="6">
        <v>0</v>
      </c>
      <c r="D1000" s="6">
        <v>1</v>
      </c>
      <c r="E1000" s="6">
        <v>49</v>
      </c>
      <c r="F1000" s="5" t="s">
        <v>8</v>
      </c>
      <c r="G1000" s="5" t="s">
        <v>13</v>
      </c>
      <c r="H1000" s="3" t="s">
        <v>268</v>
      </c>
      <c r="I1000" s="5" t="s">
        <v>434</v>
      </c>
      <c r="J1000" s="5">
        <f>_xlfn.XLOOKUP(CustomerCombined[[#This Row],[ID]], Table4[ID], Table4[Recency], "Not Found", 0)</f>
        <v>83</v>
      </c>
      <c r="K1000" s="5">
        <f>_xlfn.XLOOKUP(CustomerCombined[[#This Row],[ID]], Table4[ID], Table4[Teas], "Not Found", 0)</f>
        <v>3171</v>
      </c>
      <c r="L1000" s="5">
        <f>_xlfn.XLOOKUP(CustomerCombined[[#This Row],[ID]], Table4[ID], Table4[Fruits], "Not Found", 0)</f>
        <v>0</v>
      </c>
      <c r="M1000" s="5">
        <f>_xlfn.XLOOKUP(CustomerCombined[[#This Row],[ID]], Table4[ID], Table4[Meats], "Not Found", 0)</f>
        <v>731</v>
      </c>
      <c r="N1000" s="5">
        <f>_xlfn.XLOOKUP(CustomerCombined[[#This Row],[ID]], Table4[ID], Table4[Seafood], "Not Found", 0)</f>
        <v>104</v>
      </c>
      <c r="O1000" s="5">
        <f>_xlfn.XLOOKUP(CustomerCombined[[#This Row],[ID]], Table4[ID], Table4[Sweets], "Not Found", 0)</f>
        <v>80</v>
      </c>
      <c r="P1000" s="5">
        <f>_xlfn.XLOOKUP(CustomerCombined[[#This Row],[ID]], Table4[ID], Table4[Premium], "Not Found", 0)</f>
        <v>39</v>
      </c>
      <c r="Q1000" s="5">
        <f>_xlfn.XLOOKUP(CustomerCombined[[#This Row],[ID]], Table4[ID], Table4[Regular], "Not Found", 0)</f>
        <v>4048</v>
      </c>
      <c r="R1000" s="5">
        <f>_xlfn.XLOOKUP(CustomerCombined[[#This Row],[ID]], Table4[ID], Table4[Deals], "Not Found", 0)</f>
        <v>1</v>
      </c>
      <c r="S1000" s="5">
        <f>_xlfn.XLOOKUP(CustomerCombined[[#This Row],[ID]], Table4[ID], Table4[Website], "Not Found", 0)</f>
        <v>4</v>
      </c>
      <c r="T1000" s="5">
        <f>_xlfn.XLOOKUP(CustomerCombined[[#This Row],[ID]], Table4[ID], Table4[Catalog], "Not Found", 0)</f>
        <v>9</v>
      </c>
      <c r="U1000" s="5">
        <f>_xlfn.XLOOKUP(CustomerCombined[[#This Row],[ID]], Table4[ID], Table4[Store], "Not Found", 0)</f>
        <v>4</v>
      </c>
      <c r="V1000" s="5">
        <f>_xlfn.XLOOKUP(CustomerCombined[[#This Row],[ID]], Table4[ID], Table4[Visits], "Not Found", 0)</f>
        <v>6</v>
      </c>
      <c r="W1000" s="8">
        <f>_xlfn.XLOOKUP(CustomerCombined[[#This Row],[ID]], Table2[ID],Table2[Complaint], "Not Found", 0 )</f>
        <v>0</v>
      </c>
      <c r="X1000" s="8">
        <f>_xlfn.XLOOKUP(CustomerCombined[[#This Row],[ID]], Table2[ID],Table2[Pilot], "Not Found", 0 )</f>
        <v>0</v>
      </c>
      <c r="Y1000" s="8">
        <f>_xlfn.XLOOKUP(CustomerCombined[[#This Row],[ID]], Table2[ID],Table2[MC1], "Not Found", 0 )</f>
        <v>0</v>
      </c>
      <c r="Z1000" s="8">
        <f>_xlfn.XLOOKUP(CustomerCombined[[#This Row],[ID]], Table2[ID],Table2[MC2], "Not Found", 0 )</f>
        <v>0</v>
      </c>
      <c r="AA1000" s="8">
        <f>_xlfn.XLOOKUP(CustomerCombined[[#This Row],[ID]], Table2[ID],Table2[MC3], "Not Found", 0 )</f>
        <v>0</v>
      </c>
      <c r="AB1000" s="8">
        <f>_xlfn.XLOOKUP(CustomerCombined[[#This Row],[ID]], Table2[ID],Table2[MC4], "Not Found", 0 )</f>
        <v>0</v>
      </c>
      <c r="AC1000" s="8">
        <f>_xlfn.XLOOKUP(CustomerCombined[[#This Row],[ID]], Table2[ID],Table2[MC5], "Not Found", 0 )</f>
        <v>0</v>
      </c>
    </row>
    <row r="1001" spans="1:29" x14ac:dyDescent="0.3">
      <c r="A1001" s="6">
        <v>2422</v>
      </c>
      <c r="B1001" s="6">
        <v>178041</v>
      </c>
      <c r="C1001" s="6">
        <v>0</v>
      </c>
      <c r="D1001" s="6">
        <v>0</v>
      </c>
      <c r="E1001" s="6">
        <v>49</v>
      </c>
      <c r="F1001" s="5" t="s">
        <v>6</v>
      </c>
      <c r="G1001" s="5" t="s">
        <v>442</v>
      </c>
      <c r="H1001" s="3" t="s">
        <v>343</v>
      </c>
      <c r="I1001" s="5" t="s">
        <v>439</v>
      </c>
      <c r="J1001" s="5">
        <f>_xlfn.XLOOKUP(CustomerCombined[[#This Row],[ID]], Table4[ID], Table4[Recency], "Not Found", 0)</f>
        <v>93</v>
      </c>
      <c r="K1001" s="5">
        <f>_xlfn.XLOOKUP(CustomerCombined[[#This Row],[ID]], Table4[ID], Table4[Teas], "Not Found", 0)</f>
        <v>1100</v>
      </c>
      <c r="L1001" s="5">
        <f>_xlfn.XLOOKUP(CustomerCombined[[#This Row],[ID]], Table4[ID], Table4[Fruits], "Not Found", 0)</f>
        <v>80</v>
      </c>
      <c r="M1001" s="5">
        <f>_xlfn.XLOOKUP(CustomerCombined[[#This Row],[ID]], Table4[ID], Table4[Meats], "Not Found", 0)</f>
        <v>1262</v>
      </c>
      <c r="N1001" s="5">
        <f>_xlfn.XLOOKUP(CustomerCombined[[#This Row],[ID]], Table4[ID], Table4[Seafood], "Not Found", 0)</f>
        <v>164</v>
      </c>
      <c r="O1001" s="5">
        <f>_xlfn.XLOOKUP(CustomerCombined[[#This Row],[ID]], Table4[ID], Table4[Sweets], "Not Found", 0)</f>
        <v>365</v>
      </c>
      <c r="P1001" s="5">
        <f>_xlfn.XLOOKUP(CustomerCombined[[#This Row],[ID]], Table4[ID], Table4[Premium], "Not Found", 0)</f>
        <v>39</v>
      </c>
      <c r="Q1001" s="5">
        <f>_xlfn.XLOOKUP(CustomerCombined[[#This Row],[ID]], Table4[ID], Table4[Regular], "Not Found", 0)</f>
        <v>2932</v>
      </c>
      <c r="R1001" s="5">
        <f>_xlfn.XLOOKUP(CustomerCombined[[#This Row],[ID]], Table4[ID], Table4[Deals], "Not Found", 0)</f>
        <v>1</v>
      </c>
      <c r="S1001" s="5">
        <f>_xlfn.XLOOKUP(CustomerCombined[[#This Row],[ID]], Table4[ID], Table4[Website], "Not Found", 0)</f>
        <v>4</v>
      </c>
      <c r="T1001" s="5">
        <f>_xlfn.XLOOKUP(CustomerCombined[[#This Row],[ID]], Table4[ID], Table4[Catalog], "Not Found", 0)</f>
        <v>4</v>
      </c>
      <c r="U1001" s="5">
        <f>_xlfn.XLOOKUP(CustomerCombined[[#This Row],[ID]], Table4[ID], Table4[Store], "Not Found", 0)</f>
        <v>9</v>
      </c>
      <c r="V1001" s="5">
        <f>_xlfn.XLOOKUP(CustomerCombined[[#This Row],[ID]], Table4[ID], Table4[Visits], "Not Found", 0)</f>
        <v>2</v>
      </c>
      <c r="W1001" s="8">
        <f>_xlfn.XLOOKUP(CustomerCombined[[#This Row],[ID]], Table2[ID],Table2[Complaint], "Not Found", 0 )</f>
        <v>0</v>
      </c>
      <c r="X1001" s="8">
        <f>_xlfn.XLOOKUP(CustomerCombined[[#This Row],[ID]], Table2[ID],Table2[Pilot], "Not Found", 0 )</f>
        <v>0</v>
      </c>
      <c r="Y1001" s="8">
        <f>_xlfn.XLOOKUP(CustomerCombined[[#This Row],[ID]], Table2[ID],Table2[MC1], "Not Found", 0 )</f>
        <v>0</v>
      </c>
      <c r="Z1001" s="8">
        <f>_xlfn.XLOOKUP(CustomerCombined[[#This Row],[ID]], Table2[ID],Table2[MC2], "Not Found", 0 )</f>
        <v>0</v>
      </c>
      <c r="AA1001" s="8">
        <f>_xlfn.XLOOKUP(CustomerCombined[[#This Row],[ID]], Table2[ID],Table2[MC3], "Not Found", 0 )</f>
        <v>0</v>
      </c>
      <c r="AB1001" s="8">
        <f>_xlfn.XLOOKUP(CustomerCombined[[#This Row],[ID]], Table2[ID],Table2[MC4], "Not Found", 0 )</f>
        <v>0</v>
      </c>
      <c r="AC1001" s="8">
        <f>_xlfn.XLOOKUP(CustomerCombined[[#This Row],[ID]], Table2[ID],Table2[MC5], "Not Found", 0 )</f>
        <v>0</v>
      </c>
    </row>
    <row r="1002" spans="1:29" x14ac:dyDescent="0.3">
      <c r="A1002" s="6">
        <v>2574</v>
      </c>
      <c r="B1002" s="6">
        <v>176445</v>
      </c>
      <c r="C1002" s="6">
        <v>1</v>
      </c>
      <c r="D1002" s="6">
        <v>0</v>
      </c>
      <c r="E1002" s="6">
        <v>49</v>
      </c>
      <c r="F1002" s="5" t="s">
        <v>6</v>
      </c>
      <c r="G1002" s="5" t="s">
        <v>11</v>
      </c>
      <c r="H1002" s="3">
        <v>43588</v>
      </c>
      <c r="I1002" s="5" t="s">
        <v>436</v>
      </c>
      <c r="J1002" s="5">
        <f>_xlfn.XLOOKUP(CustomerCombined[[#This Row],[ID]], Table4[ID], Table4[Recency], "Not Found", 0)</f>
        <v>2</v>
      </c>
      <c r="K1002" s="5">
        <f>_xlfn.XLOOKUP(CustomerCombined[[#This Row],[ID]], Table4[ID], Table4[Teas], "Not Found", 0)</f>
        <v>1706</v>
      </c>
      <c r="L1002" s="5">
        <f>_xlfn.XLOOKUP(CustomerCombined[[#This Row],[ID]], Table4[ID], Table4[Fruits], "Not Found", 0)</f>
        <v>247</v>
      </c>
      <c r="M1002" s="5">
        <f>_xlfn.XLOOKUP(CustomerCombined[[#This Row],[ID]], Table4[ID], Table4[Meats], "Not Found", 0)</f>
        <v>713</v>
      </c>
      <c r="N1002" s="5">
        <f>_xlfn.XLOOKUP(CustomerCombined[[#This Row],[ID]], Table4[ID], Table4[Seafood], "Not Found", 0)</f>
        <v>323</v>
      </c>
      <c r="O1002" s="5">
        <f>_xlfn.XLOOKUP(CustomerCombined[[#This Row],[ID]], Table4[ID], Table4[Sweets], "Not Found", 0)</f>
        <v>185</v>
      </c>
      <c r="P1002" s="5">
        <f>_xlfn.XLOOKUP(CustomerCombined[[#This Row],[ID]], Table4[ID], Table4[Premium], "Not Found", 0)</f>
        <v>81</v>
      </c>
      <c r="Q1002" s="5">
        <f>_xlfn.XLOOKUP(CustomerCombined[[#This Row],[ID]], Table4[ID], Table4[Regular], "Not Found", 0)</f>
        <v>3093</v>
      </c>
      <c r="R1002" s="5">
        <f>_xlfn.XLOOKUP(CustomerCombined[[#This Row],[ID]], Table4[ID], Table4[Deals], "Not Found", 0)</f>
        <v>1</v>
      </c>
      <c r="S1002" s="5">
        <f>_xlfn.XLOOKUP(CustomerCombined[[#This Row],[ID]], Table4[ID], Table4[Website], "Not Found", 0)</f>
        <v>2</v>
      </c>
      <c r="T1002" s="5">
        <f>_xlfn.XLOOKUP(CustomerCombined[[#This Row],[ID]], Table4[ID], Table4[Catalog], "Not Found", 0)</f>
        <v>5</v>
      </c>
      <c r="U1002" s="5">
        <f>_xlfn.XLOOKUP(CustomerCombined[[#This Row],[ID]], Table4[ID], Table4[Store], "Not Found", 0)</f>
        <v>13</v>
      </c>
      <c r="V1002" s="5">
        <f>_xlfn.XLOOKUP(CustomerCombined[[#This Row],[ID]], Table4[ID], Table4[Visits], "Not Found", 0)</f>
        <v>6</v>
      </c>
      <c r="W1002" s="8">
        <f>_xlfn.XLOOKUP(CustomerCombined[[#This Row],[ID]], Table2[ID],Table2[Complaint], "Not Found", 0 )</f>
        <v>0</v>
      </c>
      <c r="X1002" s="8">
        <f>_xlfn.XLOOKUP(CustomerCombined[[#This Row],[ID]], Table2[ID],Table2[Pilot], "Not Found", 0 )</f>
        <v>0</v>
      </c>
      <c r="Y1002" s="8">
        <f>_xlfn.XLOOKUP(CustomerCombined[[#This Row],[ID]], Table2[ID],Table2[MC1], "Not Found", 0 )</f>
        <v>0</v>
      </c>
      <c r="Z1002" s="8">
        <f>_xlfn.XLOOKUP(CustomerCombined[[#This Row],[ID]], Table2[ID],Table2[MC2], "Not Found", 0 )</f>
        <v>0</v>
      </c>
      <c r="AA1002" s="8">
        <f>_xlfn.XLOOKUP(CustomerCombined[[#This Row],[ID]], Table2[ID],Table2[MC3], "Not Found", 0 )</f>
        <v>0</v>
      </c>
      <c r="AB1002" s="8">
        <f>_xlfn.XLOOKUP(CustomerCombined[[#This Row],[ID]], Table2[ID],Table2[MC4], "Not Found", 0 )</f>
        <v>0</v>
      </c>
      <c r="AC1002" s="8">
        <f>_xlfn.XLOOKUP(CustomerCombined[[#This Row],[ID]], Table2[ID],Table2[MC5], "Not Found", 0 )</f>
        <v>0</v>
      </c>
    </row>
    <row r="1003" spans="1:29" x14ac:dyDescent="0.3">
      <c r="A1003" s="6">
        <v>2011</v>
      </c>
      <c r="B1003" s="6">
        <v>174538</v>
      </c>
      <c r="C1003" s="6">
        <v>0</v>
      </c>
      <c r="D1003" s="6">
        <v>0</v>
      </c>
      <c r="E1003" s="6">
        <v>49</v>
      </c>
      <c r="F1003" s="5" t="s">
        <v>8</v>
      </c>
      <c r="G1003" s="5" t="s">
        <v>11</v>
      </c>
      <c r="H1003" s="3">
        <v>43567</v>
      </c>
      <c r="I1003" s="5" t="s">
        <v>437</v>
      </c>
      <c r="J1003" s="5">
        <f>_xlfn.XLOOKUP(CustomerCombined[[#This Row],[ID]], Table4[ID], Table4[Recency], "Not Found", 0)</f>
        <v>21</v>
      </c>
      <c r="K1003" s="5">
        <f>_xlfn.XLOOKUP(CustomerCombined[[#This Row],[ID]], Table4[ID], Table4[Teas], "Not Found", 0)</f>
        <v>890</v>
      </c>
      <c r="L1003" s="5">
        <f>_xlfn.XLOOKUP(CustomerCombined[[#This Row],[ID]], Table4[ID], Table4[Fruits], "Not Found", 0)</f>
        <v>229</v>
      </c>
      <c r="M1003" s="5">
        <f>_xlfn.XLOOKUP(CustomerCombined[[#This Row],[ID]], Table4[ID], Table4[Meats], "Not Found", 0)</f>
        <v>1716</v>
      </c>
      <c r="N1003" s="5">
        <f>_xlfn.XLOOKUP(CustomerCombined[[#This Row],[ID]], Table4[ID], Table4[Seafood], "Not Found", 0)</f>
        <v>258</v>
      </c>
      <c r="O1003" s="5">
        <f>_xlfn.XLOOKUP(CustomerCombined[[#This Row],[ID]], Table4[ID], Table4[Sweets], "Not Found", 0)</f>
        <v>262</v>
      </c>
      <c r="P1003" s="5">
        <f>_xlfn.XLOOKUP(CustomerCombined[[#This Row],[ID]], Table4[ID], Table4[Premium], "Not Found", 0)</f>
        <v>66</v>
      </c>
      <c r="Q1003" s="5">
        <f>_xlfn.XLOOKUP(CustomerCombined[[#This Row],[ID]], Table4[ID], Table4[Regular], "Not Found", 0)</f>
        <v>3290</v>
      </c>
      <c r="R1003" s="5">
        <f>_xlfn.XLOOKUP(CustomerCombined[[#This Row],[ID]], Table4[ID], Table4[Deals], "Not Found", 0)</f>
        <v>1</v>
      </c>
      <c r="S1003" s="5">
        <f>_xlfn.XLOOKUP(CustomerCombined[[#This Row],[ID]], Table4[ID], Table4[Website], "Not Found", 0)</f>
        <v>8</v>
      </c>
      <c r="T1003" s="5">
        <f>_xlfn.XLOOKUP(CustomerCombined[[#This Row],[ID]], Table4[ID], Table4[Catalog], "Not Found", 0)</f>
        <v>8</v>
      </c>
      <c r="U1003" s="5">
        <f>_xlfn.XLOOKUP(CustomerCombined[[#This Row],[ID]], Table4[ID], Table4[Store], "Not Found", 0)</f>
        <v>5</v>
      </c>
      <c r="V1003" s="5">
        <f>_xlfn.XLOOKUP(CustomerCombined[[#This Row],[ID]], Table4[ID], Table4[Visits], "Not Found", 0)</f>
        <v>3</v>
      </c>
      <c r="W1003" s="8">
        <f>_xlfn.XLOOKUP(CustomerCombined[[#This Row],[ID]], Table2[ID],Table2[Complaint], "Not Found", 0 )</f>
        <v>0</v>
      </c>
      <c r="X1003" s="8">
        <f>_xlfn.XLOOKUP(CustomerCombined[[#This Row],[ID]], Table2[ID],Table2[Pilot], "Not Found", 0 )</f>
        <v>1</v>
      </c>
      <c r="Y1003" s="8">
        <f>_xlfn.XLOOKUP(CustomerCombined[[#This Row],[ID]], Table2[ID],Table2[MC1], "Not Found", 0 )</f>
        <v>0</v>
      </c>
      <c r="Z1003" s="8">
        <f>_xlfn.XLOOKUP(CustomerCombined[[#This Row],[ID]], Table2[ID],Table2[MC2], "Not Found", 0 )</f>
        <v>0</v>
      </c>
      <c r="AA1003" s="8">
        <f>_xlfn.XLOOKUP(CustomerCombined[[#This Row],[ID]], Table2[ID],Table2[MC3], "Not Found", 0 )</f>
        <v>0</v>
      </c>
      <c r="AB1003" s="8">
        <f>_xlfn.XLOOKUP(CustomerCombined[[#This Row],[ID]], Table2[ID],Table2[MC4], "Not Found", 0 )</f>
        <v>0</v>
      </c>
      <c r="AC1003" s="8">
        <f>_xlfn.XLOOKUP(CustomerCombined[[#This Row],[ID]], Table2[ID],Table2[MC5], "Not Found", 0 )</f>
        <v>1</v>
      </c>
    </row>
    <row r="1004" spans="1:29" x14ac:dyDescent="0.3">
      <c r="A1004" s="6">
        <v>2830</v>
      </c>
      <c r="B1004" s="6">
        <v>174290</v>
      </c>
      <c r="C1004" s="6">
        <v>0</v>
      </c>
      <c r="D1004" s="6">
        <v>1</v>
      </c>
      <c r="E1004" s="6">
        <v>49</v>
      </c>
      <c r="F1004" s="5" t="s">
        <v>5</v>
      </c>
      <c r="G1004" s="5" t="s">
        <v>12</v>
      </c>
      <c r="H1004" s="3" t="s">
        <v>205</v>
      </c>
      <c r="I1004" s="5" t="s">
        <v>439</v>
      </c>
      <c r="J1004" s="5">
        <f>_xlfn.XLOOKUP(CustomerCombined[[#This Row],[ID]], Table4[ID], Table4[Recency], "Not Found", 0)</f>
        <v>70</v>
      </c>
      <c r="K1004" s="5">
        <f>_xlfn.XLOOKUP(CustomerCombined[[#This Row],[ID]], Table4[ID], Table4[Teas], "Not Found", 0)</f>
        <v>2630</v>
      </c>
      <c r="L1004" s="5">
        <f>_xlfn.XLOOKUP(CustomerCombined[[#This Row],[ID]], Table4[ID], Table4[Fruits], "Not Found", 0)</f>
        <v>0</v>
      </c>
      <c r="M1004" s="5">
        <f>_xlfn.XLOOKUP(CustomerCombined[[#This Row],[ID]], Table4[ID], Table4[Meats], "Not Found", 0)</f>
        <v>169</v>
      </c>
      <c r="N1004" s="5">
        <f>_xlfn.XLOOKUP(CustomerCombined[[#This Row],[ID]], Table4[ID], Table4[Seafood], "Not Found", 0)</f>
        <v>0</v>
      </c>
      <c r="O1004" s="5">
        <f>_xlfn.XLOOKUP(CustomerCombined[[#This Row],[ID]], Table4[ID], Table4[Sweets], "Not Found", 0)</f>
        <v>28</v>
      </c>
      <c r="P1004" s="5">
        <f>_xlfn.XLOOKUP(CustomerCombined[[#This Row],[ID]], Table4[ID], Table4[Premium], "Not Found", 0)</f>
        <v>28</v>
      </c>
      <c r="Q1004" s="5">
        <f>_xlfn.XLOOKUP(CustomerCombined[[#This Row],[ID]], Table4[ID], Table4[Regular], "Not Found", 0)</f>
        <v>2799</v>
      </c>
      <c r="R1004" s="5">
        <f>_xlfn.XLOOKUP(CustomerCombined[[#This Row],[ID]], Table4[ID], Table4[Deals], "Not Found", 0)</f>
        <v>4</v>
      </c>
      <c r="S1004" s="5">
        <f>_xlfn.XLOOKUP(CustomerCombined[[#This Row],[ID]], Table4[ID], Table4[Website], "Not Found", 0)</f>
        <v>10</v>
      </c>
      <c r="T1004" s="5">
        <f>_xlfn.XLOOKUP(CustomerCombined[[#This Row],[ID]], Table4[ID], Table4[Catalog], "Not Found", 0)</f>
        <v>8</v>
      </c>
      <c r="U1004" s="5">
        <f>_xlfn.XLOOKUP(CustomerCombined[[#This Row],[ID]], Table4[ID], Table4[Store], "Not Found", 0)</f>
        <v>10</v>
      </c>
      <c r="V1004" s="5">
        <f>_xlfn.XLOOKUP(CustomerCombined[[#This Row],[ID]], Table4[ID], Table4[Visits], "Not Found", 0)</f>
        <v>6</v>
      </c>
      <c r="W1004" s="8">
        <f>_xlfn.XLOOKUP(CustomerCombined[[#This Row],[ID]], Table2[ID],Table2[Complaint], "Not Found", 0 )</f>
        <v>0</v>
      </c>
      <c r="X1004" s="8">
        <f>_xlfn.XLOOKUP(CustomerCombined[[#This Row],[ID]], Table2[ID],Table2[Pilot], "Not Found", 0 )</f>
        <v>0</v>
      </c>
      <c r="Y1004" s="8">
        <f>_xlfn.XLOOKUP(CustomerCombined[[#This Row],[ID]], Table2[ID],Table2[MC1], "Not Found", 0 )</f>
        <v>1</v>
      </c>
      <c r="Z1004" s="8">
        <f>_xlfn.XLOOKUP(CustomerCombined[[#This Row],[ID]], Table2[ID],Table2[MC2], "Not Found", 0 )</f>
        <v>0</v>
      </c>
      <c r="AA1004" s="8">
        <f>_xlfn.XLOOKUP(CustomerCombined[[#This Row],[ID]], Table2[ID],Table2[MC3], "Not Found", 0 )</f>
        <v>0</v>
      </c>
      <c r="AB1004" s="8">
        <f>_xlfn.XLOOKUP(CustomerCombined[[#This Row],[ID]], Table2[ID],Table2[MC4], "Not Found", 0 )</f>
        <v>1</v>
      </c>
      <c r="AC1004" s="8">
        <f>_xlfn.XLOOKUP(CustomerCombined[[#This Row],[ID]], Table2[ID],Table2[MC5], "Not Found", 0 )</f>
        <v>0</v>
      </c>
    </row>
    <row r="1005" spans="1:29" x14ac:dyDescent="0.3">
      <c r="A1005" s="6">
        <v>1622</v>
      </c>
      <c r="B1005" s="6">
        <v>173691</v>
      </c>
      <c r="C1005" s="6">
        <v>0</v>
      </c>
      <c r="D1005" s="6">
        <v>1</v>
      </c>
      <c r="E1005" s="6">
        <v>49</v>
      </c>
      <c r="F1005" s="5" t="s">
        <v>6</v>
      </c>
      <c r="G1005" s="5" t="s">
        <v>11</v>
      </c>
      <c r="H1005" s="3">
        <v>44169</v>
      </c>
      <c r="I1005" s="5" t="s">
        <v>438</v>
      </c>
      <c r="J1005" s="5">
        <f>_xlfn.XLOOKUP(CustomerCombined[[#This Row],[ID]], Table4[ID], Table4[Recency], "Not Found", 0)</f>
        <v>58</v>
      </c>
      <c r="K1005" s="5">
        <f>_xlfn.XLOOKUP(CustomerCombined[[#This Row],[ID]], Table4[ID], Table4[Teas], "Not Found", 0)</f>
        <v>1666</v>
      </c>
      <c r="L1005" s="5">
        <f>_xlfn.XLOOKUP(CustomerCombined[[#This Row],[ID]], Table4[ID], Table4[Fruits], "Not Found", 0)</f>
        <v>49</v>
      </c>
      <c r="M1005" s="5">
        <f>_xlfn.XLOOKUP(CustomerCombined[[#This Row],[ID]], Table4[ID], Table4[Meats], "Not Found", 0)</f>
        <v>589</v>
      </c>
      <c r="N1005" s="5">
        <f>_xlfn.XLOOKUP(CustomerCombined[[#This Row],[ID]], Table4[ID], Table4[Seafood], "Not Found", 0)</f>
        <v>200</v>
      </c>
      <c r="O1005" s="5">
        <f>_xlfn.XLOOKUP(CustomerCombined[[#This Row],[ID]], Table4[ID], Table4[Sweets], "Not Found", 0)</f>
        <v>101</v>
      </c>
      <c r="P1005" s="5">
        <f>_xlfn.XLOOKUP(CustomerCombined[[#This Row],[ID]], Table4[ID], Table4[Premium], "Not Found", 0)</f>
        <v>172</v>
      </c>
      <c r="Q1005" s="5">
        <f>_xlfn.XLOOKUP(CustomerCombined[[#This Row],[ID]], Table4[ID], Table4[Regular], "Not Found", 0)</f>
        <v>2435</v>
      </c>
      <c r="R1005" s="5">
        <f>_xlfn.XLOOKUP(CustomerCombined[[#This Row],[ID]], Table4[ID], Table4[Deals], "Not Found", 0)</f>
        <v>2</v>
      </c>
      <c r="S1005" s="5">
        <f>_xlfn.XLOOKUP(CustomerCombined[[#This Row],[ID]], Table4[ID], Table4[Website], "Not Found", 0)</f>
        <v>6</v>
      </c>
      <c r="T1005" s="5">
        <f>_xlfn.XLOOKUP(CustomerCombined[[#This Row],[ID]], Table4[ID], Table4[Catalog], "Not Found", 0)</f>
        <v>2</v>
      </c>
      <c r="U1005" s="5">
        <f>_xlfn.XLOOKUP(CustomerCombined[[#This Row],[ID]], Table4[ID], Table4[Store], "Not Found", 0)</f>
        <v>8</v>
      </c>
      <c r="V1005" s="5">
        <f>_xlfn.XLOOKUP(CustomerCombined[[#This Row],[ID]], Table4[ID], Table4[Visits], "Not Found", 0)</f>
        <v>2</v>
      </c>
      <c r="W1005" s="8">
        <f>_xlfn.XLOOKUP(CustomerCombined[[#This Row],[ID]], Table2[ID],Table2[Complaint], "Not Found", 0 )</f>
        <v>0</v>
      </c>
      <c r="X1005" s="8">
        <f>_xlfn.XLOOKUP(CustomerCombined[[#This Row],[ID]], Table2[ID],Table2[Pilot], "Not Found", 0 )</f>
        <v>0</v>
      </c>
      <c r="Y1005" s="8">
        <f>_xlfn.XLOOKUP(CustomerCombined[[#This Row],[ID]], Table2[ID],Table2[MC1], "Not Found", 0 )</f>
        <v>0</v>
      </c>
      <c r="Z1005" s="8">
        <f>_xlfn.XLOOKUP(CustomerCombined[[#This Row],[ID]], Table2[ID],Table2[MC2], "Not Found", 0 )</f>
        <v>0</v>
      </c>
      <c r="AA1005" s="8">
        <f>_xlfn.XLOOKUP(CustomerCombined[[#This Row],[ID]], Table2[ID],Table2[MC3], "Not Found", 0 )</f>
        <v>1</v>
      </c>
      <c r="AB1005" s="8">
        <f>_xlfn.XLOOKUP(CustomerCombined[[#This Row],[ID]], Table2[ID],Table2[MC4], "Not Found", 0 )</f>
        <v>0</v>
      </c>
      <c r="AC1005" s="8">
        <f>_xlfn.XLOOKUP(CustomerCombined[[#This Row],[ID]], Table2[ID],Table2[MC5], "Not Found", 0 )</f>
        <v>0</v>
      </c>
    </row>
    <row r="1006" spans="1:29" x14ac:dyDescent="0.3">
      <c r="A1006" s="6">
        <v>1760</v>
      </c>
      <c r="B1006" s="6">
        <v>172258</v>
      </c>
      <c r="C1006" s="6">
        <v>0</v>
      </c>
      <c r="D1006" s="6">
        <v>1</v>
      </c>
      <c r="E1006" s="6">
        <v>49</v>
      </c>
      <c r="F1006" s="5" t="s">
        <v>7</v>
      </c>
      <c r="G1006" s="5" t="s">
        <v>11</v>
      </c>
      <c r="H1006" s="3" t="s">
        <v>187</v>
      </c>
      <c r="I1006" s="5" t="s">
        <v>438</v>
      </c>
      <c r="J1006" s="5">
        <f>_xlfn.XLOOKUP(CustomerCombined[[#This Row],[ID]], Table4[ID], Table4[Recency], "Not Found", 0)</f>
        <v>28</v>
      </c>
      <c r="K1006" s="5">
        <f>_xlfn.XLOOKUP(CustomerCombined[[#This Row],[ID]], Table4[ID], Table4[Teas], "Not Found", 0)</f>
        <v>1244</v>
      </c>
      <c r="L1006" s="5">
        <f>_xlfn.XLOOKUP(CustomerCombined[[#This Row],[ID]], Table4[ID], Table4[Fruits], "Not Found", 0)</f>
        <v>0</v>
      </c>
      <c r="M1006" s="5">
        <f>_xlfn.XLOOKUP(CustomerCombined[[#This Row],[ID]], Table4[ID], Table4[Meats], "Not Found", 0)</f>
        <v>1244</v>
      </c>
      <c r="N1006" s="5">
        <f>_xlfn.XLOOKUP(CustomerCombined[[#This Row],[ID]], Table4[ID], Table4[Seafood], "Not Found", 0)</f>
        <v>541</v>
      </c>
      <c r="O1006" s="5">
        <f>_xlfn.XLOOKUP(CustomerCombined[[#This Row],[ID]], Table4[ID], Table4[Sweets], "Not Found", 0)</f>
        <v>286</v>
      </c>
      <c r="P1006" s="5">
        <f>_xlfn.XLOOKUP(CustomerCombined[[#This Row],[ID]], Table4[ID], Table4[Premium], "Not Found", 0)</f>
        <v>319</v>
      </c>
      <c r="Q1006" s="5">
        <f>_xlfn.XLOOKUP(CustomerCombined[[#This Row],[ID]], Table4[ID], Table4[Regular], "Not Found", 0)</f>
        <v>2997</v>
      </c>
      <c r="R1006" s="5">
        <f>_xlfn.XLOOKUP(CustomerCombined[[#This Row],[ID]], Table4[ID], Table4[Deals], "Not Found", 0)</f>
        <v>2</v>
      </c>
      <c r="S1006" s="5">
        <f>_xlfn.XLOOKUP(CustomerCombined[[#This Row],[ID]], Table4[ID], Table4[Website], "Not Found", 0)</f>
        <v>6</v>
      </c>
      <c r="T1006" s="5">
        <f>_xlfn.XLOOKUP(CustomerCombined[[#This Row],[ID]], Table4[ID], Table4[Catalog], "Not Found", 0)</f>
        <v>9</v>
      </c>
      <c r="U1006" s="5">
        <f>_xlfn.XLOOKUP(CustomerCombined[[#This Row],[ID]], Table4[ID], Table4[Store], "Not Found", 0)</f>
        <v>5</v>
      </c>
      <c r="V1006" s="5">
        <f>_xlfn.XLOOKUP(CustomerCombined[[#This Row],[ID]], Table4[ID], Table4[Visits], "Not Found", 0)</f>
        <v>2</v>
      </c>
      <c r="W1006" s="8">
        <f>_xlfn.XLOOKUP(CustomerCombined[[#This Row],[ID]], Table2[ID],Table2[Complaint], "Not Found", 0 )</f>
        <v>0</v>
      </c>
      <c r="X1006" s="8">
        <f>_xlfn.XLOOKUP(CustomerCombined[[#This Row],[ID]], Table2[ID],Table2[Pilot], "Not Found", 0 )</f>
        <v>0</v>
      </c>
      <c r="Y1006" s="8">
        <f>_xlfn.XLOOKUP(CustomerCombined[[#This Row],[ID]], Table2[ID],Table2[MC1], "Not Found", 0 )</f>
        <v>0</v>
      </c>
      <c r="Z1006" s="8">
        <f>_xlfn.XLOOKUP(CustomerCombined[[#This Row],[ID]], Table2[ID],Table2[MC2], "Not Found", 0 )</f>
        <v>0</v>
      </c>
      <c r="AA1006" s="8">
        <f>_xlfn.XLOOKUP(CustomerCombined[[#This Row],[ID]], Table2[ID],Table2[MC3], "Not Found", 0 )</f>
        <v>0</v>
      </c>
      <c r="AB1006" s="8">
        <f>_xlfn.XLOOKUP(CustomerCombined[[#This Row],[ID]], Table2[ID],Table2[MC4], "Not Found", 0 )</f>
        <v>0</v>
      </c>
      <c r="AC1006" s="8">
        <f>_xlfn.XLOOKUP(CustomerCombined[[#This Row],[ID]], Table2[ID],Table2[MC5], "Not Found", 0 )</f>
        <v>0</v>
      </c>
    </row>
    <row r="1007" spans="1:29" x14ac:dyDescent="0.3">
      <c r="A1007" s="6">
        <v>2514</v>
      </c>
      <c r="B1007" s="6">
        <v>171969</v>
      </c>
      <c r="C1007" s="6">
        <v>0</v>
      </c>
      <c r="D1007" s="6">
        <v>1</v>
      </c>
      <c r="E1007" s="6">
        <v>49</v>
      </c>
      <c r="F1007" s="5" t="s">
        <v>6</v>
      </c>
      <c r="G1007" s="5" t="s">
        <v>13</v>
      </c>
      <c r="H1007" s="3" t="s">
        <v>378</v>
      </c>
      <c r="I1007" s="5" t="s">
        <v>436</v>
      </c>
      <c r="J1007" s="5">
        <f>_xlfn.XLOOKUP(CustomerCombined[[#This Row],[ID]], Table4[ID], Table4[Recency], "Not Found", 0)</f>
        <v>59</v>
      </c>
      <c r="K1007" s="5">
        <f>_xlfn.XLOOKUP(CustomerCombined[[#This Row],[ID]], Table4[ID], Table4[Teas], "Not Found", 0)</f>
        <v>2389</v>
      </c>
      <c r="L1007" s="5">
        <f>_xlfn.XLOOKUP(CustomerCombined[[#This Row],[ID]], Table4[ID], Table4[Fruits], "Not Found", 0)</f>
        <v>0</v>
      </c>
      <c r="M1007" s="5">
        <f>_xlfn.XLOOKUP(CustomerCombined[[#This Row],[ID]], Table4[ID], Table4[Meats], "Not Found", 0)</f>
        <v>182</v>
      </c>
      <c r="N1007" s="5">
        <f>_xlfn.XLOOKUP(CustomerCombined[[#This Row],[ID]], Table4[ID], Table4[Seafood], "Not Found", 0)</f>
        <v>0</v>
      </c>
      <c r="O1007" s="5">
        <f>_xlfn.XLOOKUP(CustomerCombined[[#This Row],[ID]], Table4[ID], Table4[Sweets], "Not Found", 0)</f>
        <v>0</v>
      </c>
      <c r="P1007" s="5">
        <f>_xlfn.XLOOKUP(CustomerCombined[[#This Row],[ID]], Table4[ID], Table4[Premium], "Not Found", 0)</f>
        <v>24</v>
      </c>
      <c r="Q1007" s="5">
        <f>_xlfn.XLOOKUP(CustomerCombined[[#This Row],[ID]], Table4[ID], Table4[Regular], "Not Found", 0)</f>
        <v>2547</v>
      </c>
      <c r="R1007" s="5">
        <f>_xlfn.XLOOKUP(CustomerCombined[[#This Row],[ID]], Table4[ID], Table4[Deals], "Not Found", 0)</f>
        <v>3</v>
      </c>
      <c r="S1007" s="5">
        <f>_xlfn.XLOOKUP(CustomerCombined[[#This Row],[ID]], Table4[ID], Table4[Website], "Not Found", 0)</f>
        <v>3</v>
      </c>
      <c r="T1007" s="5">
        <f>_xlfn.XLOOKUP(CustomerCombined[[#This Row],[ID]], Table4[ID], Table4[Catalog], "Not Found", 0)</f>
        <v>4</v>
      </c>
      <c r="U1007" s="5">
        <f>_xlfn.XLOOKUP(CustomerCombined[[#This Row],[ID]], Table4[ID], Table4[Store], "Not Found", 0)</f>
        <v>9</v>
      </c>
      <c r="V1007" s="5">
        <f>_xlfn.XLOOKUP(CustomerCombined[[#This Row],[ID]], Table4[ID], Table4[Visits], "Not Found", 0)</f>
        <v>8</v>
      </c>
      <c r="W1007" s="8">
        <f>_xlfn.XLOOKUP(CustomerCombined[[#This Row],[ID]], Table2[ID],Table2[Complaint], "Not Found", 0 )</f>
        <v>0</v>
      </c>
      <c r="X1007" s="8">
        <f>_xlfn.XLOOKUP(CustomerCombined[[#This Row],[ID]], Table2[ID],Table2[Pilot], "Not Found", 0 )</f>
        <v>0</v>
      </c>
      <c r="Y1007" s="8">
        <f>_xlfn.XLOOKUP(CustomerCombined[[#This Row],[ID]], Table2[ID],Table2[MC1], "Not Found", 0 )</f>
        <v>0</v>
      </c>
      <c r="Z1007" s="8">
        <f>_xlfn.XLOOKUP(CustomerCombined[[#This Row],[ID]], Table2[ID],Table2[MC2], "Not Found", 0 )</f>
        <v>0</v>
      </c>
      <c r="AA1007" s="8">
        <f>_xlfn.XLOOKUP(CustomerCombined[[#This Row],[ID]], Table2[ID],Table2[MC3], "Not Found", 0 )</f>
        <v>0</v>
      </c>
      <c r="AB1007" s="8">
        <f>_xlfn.XLOOKUP(CustomerCombined[[#This Row],[ID]], Table2[ID],Table2[MC4], "Not Found", 0 )</f>
        <v>1</v>
      </c>
      <c r="AC1007" s="8">
        <f>_xlfn.XLOOKUP(CustomerCombined[[#This Row],[ID]], Table2[ID],Table2[MC5], "Not Found", 0 )</f>
        <v>0</v>
      </c>
    </row>
    <row r="1008" spans="1:29" x14ac:dyDescent="0.3">
      <c r="A1008" s="6">
        <v>2096</v>
      </c>
      <c r="B1008" s="6">
        <v>171819</v>
      </c>
      <c r="C1008" s="6">
        <v>0</v>
      </c>
      <c r="D1008" s="6">
        <v>1</v>
      </c>
      <c r="E1008" s="6">
        <v>49</v>
      </c>
      <c r="F1008" s="5" t="s">
        <v>8</v>
      </c>
      <c r="G1008" s="5" t="s">
        <v>11</v>
      </c>
      <c r="H1008" s="3">
        <v>43863</v>
      </c>
      <c r="I1008" s="5" t="s">
        <v>438</v>
      </c>
      <c r="J1008" s="5">
        <f>_xlfn.XLOOKUP(CustomerCombined[[#This Row],[ID]], Table4[ID], Table4[Recency], "Not Found", 0)</f>
        <v>70</v>
      </c>
      <c r="K1008" s="5">
        <f>_xlfn.XLOOKUP(CustomerCombined[[#This Row],[ID]], Table4[ID], Table4[Teas], "Not Found", 0)</f>
        <v>2928</v>
      </c>
      <c r="L1008" s="5">
        <f>_xlfn.XLOOKUP(CustomerCombined[[#This Row],[ID]], Table4[ID], Table4[Fruits], "Not Found", 0)</f>
        <v>67</v>
      </c>
      <c r="M1008" s="5">
        <f>_xlfn.XLOOKUP(CustomerCombined[[#This Row],[ID]], Table4[ID], Table4[Meats], "Not Found", 0)</f>
        <v>335</v>
      </c>
      <c r="N1008" s="5">
        <f>_xlfn.XLOOKUP(CustomerCombined[[#This Row],[ID]], Table4[ID], Table4[Seafood], "Not Found", 0)</f>
        <v>0</v>
      </c>
      <c r="O1008" s="5">
        <f>_xlfn.XLOOKUP(CustomerCombined[[#This Row],[ID]], Table4[ID], Table4[Sweets], "Not Found", 0)</f>
        <v>33</v>
      </c>
      <c r="P1008" s="5">
        <f>_xlfn.XLOOKUP(CustomerCombined[[#This Row],[ID]], Table4[ID], Table4[Premium], "Not Found", 0)</f>
        <v>402</v>
      </c>
      <c r="Q1008" s="5">
        <f>_xlfn.XLOOKUP(CustomerCombined[[#This Row],[ID]], Table4[ID], Table4[Regular], "Not Found", 0)</f>
        <v>2962</v>
      </c>
      <c r="R1008" s="5">
        <f>_xlfn.XLOOKUP(CustomerCombined[[#This Row],[ID]], Table4[ID], Table4[Deals], "Not Found", 0)</f>
        <v>3</v>
      </c>
      <c r="S1008" s="5">
        <f>_xlfn.XLOOKUP(CustomerCombined[[#This Row],[ID]], Table4[ID], Table4[Website], "Not Found", 0)</f>
        <v>3</v>
      </c>
      <c r="T1008" s="5">
        <f>_xlfn.XLOOKUP(CustomerCombined[[#This Row],[ID]], Table4[ID], Table4[Catalog], "Not Found", 0)</f>
        <v>3</v>
      </c>
      <c r="U1008" s="5">
        <f>_xlfn.XLOOKUP(CustomerCombined[[#This Row],[ID]], Table4[ID], Table4[Store], "Not Found", 0)</f>
        <v>5</v>
      </c>
      <c r="V1008" s="5">
        <f>_xlfn.XLOOKUP(CustomerCombined[[#This Row],[ID]], Table4[ID], Table4[Visits], "Not Found", 0)</f>
        <v>6</v>
      </c>
      <c r="W1008" s="8">
        <f>_xlfn.XLOOKUP(CustomerCombined[[#This Row],[ID]], Table2[ID],Table2[Complaint], "Not Found", 0 )</f>
        <v>0</v>
      </c>
      <c r="X1008" s="8">
        <f>_xlfn.XLOOKUP(CustomerCombined[[#This Row],[ID]], Table2[ID],Table2[Pilot], "Not Found", 0 )</f>
        <v>0</v>
      </c>
      <c r="Y1008" s="8">
        <f>_xlfn.XLOOKUP(CustomerCombined[[#This Row],[ID]], Table2[ID],Table2[MC1], "Not Found", 0 )</f>
        <v>0</v>
      </c>
      <c r="Z1008" s="8">
        <f>_xlfn.XLOOKUP(CustomerCombined[[#This Row],[ID]], Table2[ID],Table2[MC2], "Not Found", 0 )</f>
        <v>0</v>
      </c>
      <c r="AA1008" s="8">
        <f>_xlfn.XLOOKUP(CustomerCombined[[#This Row],[ID]], Table2[ID],Table2[MC3], "Not Found", 0 )</f>
        <v>0</v>
      </c>
      <c r="AB1008" s="8">
        <f>_xlfn.XLOOKUP(CustomerCombined[[#This Row],[ID]], Table2[ID],Table2[MC4], "Not Found", 0 )</f>
        <v>1</v>
      </c>
      <c r="AC1008" s="8">
        <f>_xlfn.XLOOKUP(CustomerCombined[[#This Row],[ID]], Table2[ID],Table2[MC5], "Not Found", 0 )</f>
        <v>1</v>
      </c>
    </row>
    <row r="1009" spans="1:29" x14ac:dyDescent="0.3">
      <c r="A1009" s="6">
        <v>1917</v>
      </c>
      <c r="B1009" s="6">
        <v>171796</v>
      </c>
      <c r="C1009" s="6">
        <v>0</v>
      </c>
      <c r="D1009" s="6">
        <v>0</v>
      </c>
      <c r="E1009" s="6">
        <v>49</v>
      </c>
      <c r="F1009" s="5" t="s">
        <v>8</v>
      </c>
      <c r="G1009" s="5" t="s">
        <v>11</v>
      </c>
      <c r="H1009" s="3" t="s">
        <v>158</v>
      </c>
      <c r="I1009" s="5" t="s">
        <v>435</v>
      </c>
      <c r="J1009" s="5">
        <f>_xlfn.XLOOKUP(CustomerCombined[[#This Row],[ID]], Table4[ID], Table4[Recency], "Not Found", 0)</f>
        <v>54</v>
      </c>
      <c r="K1009" s="5">
        <f>_xlfn.XLOOKUP(CustomerCombined[[#This Row],[ID]], Table4[ID], Table4[Teas], "Not Found", 0)</f>
        <v>847</v>
      </c>
      <c r="L1009" s="5">
        <f>_xlfn.XLOOKUP(CustomerCombined[[#This Row],[ID]], Table4[ID], Table4[Fruits], "Not Found", 0)</f>
        <v>50</v>
      </c>
      <c r="M1009" s="5">
        <f>_xlfn.XLOOKUP(CustomerCombined[[#This Row],[ID]], Table4[ID], Table4[Meats], "Not Found", 0)</f>
        <v>744</v>
      </c>
      <c r="N1009" s="5">
        <f>_xlfn.XLOOKUP(CustomerCombined[[#This Row],[ID]], Table4[ID], Table4[Seafood], "Not Found", 0)</f>
        <v>400</v>
      </c>
      <c r="O1009" s="5">
        <f>_xlfn.XLOOKUP(CustomerCombined[[#This Row],[ID]], Table4[ID], Table4[Sweets], "Not Found", 0)</f>
        <v>179</v>
      </c>
      <c r="P1009" s="5">
        <f>_xlfn.XLOOKUP(CustomerCombined[[#This Row],[ID]], Table4[ID], Table4[Premium], "Not Found", 0)</f>
        <v>77</v>
      </c>
      <c r="Q1009" s="5">
        <f>_xlfn.XLOOKUP(CustomerCombined[[#This Row],[ID]], Table4[ID], Table4[Regular], "Not Found", 0)</f>
        <v>2144</v>
      </c>
      <c r="R1009" s="5">
        <f>_xlfn.XLOOKUP(CustomerCombined[[#This Row],[ID]], Table4[ID], Table4[Deals], "Not Found", 0)</f>
        <v>1</v>
      </c>
      <c r="S1009" s="5">
        <f>_xlfn.XLOOKUP(CustomerCombined[[#This Row],[ID]], Table4[ID], Table4[Website], "Not Found", 0)</f>
        <v>9</v>
      </c>
      <c r="T1009" s="5">
        <f>_xlfn.XLOOKUP(CustomerCombined[[#This Row],[ID]], Table4[ID], Table4[Catalog], "Not Found", 0)</f>
        <v>3</v>
      </c>
      <c r="U1009" s="5">
        <f>_xlfn.XLOOKUP(CustomerCombined[[#This Row],[ID]], Table4[ID], Table4[Store], "Not Found", 0)</f>
        <v>4</v>
      </c>
      <c r="V1009" s="5">
        <f>_xlfn.XLOOKUP(CustomerCombined[[#This Row],[ID]], Table4[ID], Table4[Visits], "Not Found", 0)</f>
        <v>4</v>
      </c>
      <c r="W1009" s="8">
        <f>_xlfn.XLOOKUP(CustomerCombined[[#This Row],[ID]], Table2[ID],Table2[Complaint], "Not Found", 0 )</f>
        <v>0</v>
      </c>
      <c r="X1009" s="8">
        <f>_xlfn.XLOOKUP(CustomerCombined[[#This Row],[ID]], Table2[ID],Table2[Pilot], "Not Found", 0 )</f>
        <v>0</v>
      </c>
      <c r="Y1009" s="8">
        <f>_xlfn.XLOOKUP(CustomerCombined[[#This Row],[ID]], Table2[ID],Table2[MC1], "Not Found", 0 )</f>
        <v>0</v>
      </c>
      <c r="Z1009" s="8">
        <f>_xlfn.XLOOKUP(CustomerCombined[[#This Row],[ID]], Table2[ID],Table2[MC2], "Not Found", 0 )</f>
        <v>0</v>
      </c>
      <c r="AA1009" s="8">
        <f>_xlfn.XLOOKUP(CustomerCombined[[#This Row],[ID]], Table2[ID],Table2[MC3], "Not Found", 0 )</f>
        <v>0</v>
      </c>
      <c r="AB1009" s="8">
        <f>_xlfn.XLOOKUP(CustomerCombined[[#This Row],[ID]], Table2[ID],Table2[MC4], "Not Found", 0 )</f>
        <v>0</v>
      </c>
      <c r="AC1009" s="8">
        <f>_xlfn.XLOOKUP(CustomerCombined[[#This Row],[ID]], Table2[ID],Table2[MC5], "Not Found", 0 )</f>
        <v>0</v>
      </c>
    </row>
    <row r="1010" spans="1:29" x14ac:dyDescent="0.3">
      <c r="A1010" s="6">
        <v>1546</v>
      </c>
      <c r="B1010" s="6">
        <v>171499</v>
      </c>
      <c r="C1010" s="6">
        <v>0</v>
      </c>
      <c r="D1010" s="6">
        <v>1</v>
      </c>
      <c r="E1010" s="6">
        <v>49</v>
      </c>
      <c r="F1010" s="5" t="s">
        <v>8</v>
      </c>
      <c r="G1010" s="5" t="s">
        <v>12</v>
      </c>
      <c r="H1010" s="3" t="s">
        <v>228</v>
      </c>
      <c r="I1010" s="5" t="s">
        <v>439</v>
      </c>
      <c r="J1010" s="5">
        <f>_xlfn.XLOOKUP(CustomerCombined[[#This Row],[ID]], Table4[ID], Table4[Recency], "Not Found", 0)</f>
        <v>12</v>
      </c>
      <c r="K1010" s="5">
        <f>_xlfn.XLOOKUP(CustomerCombined[[#This Row],[ID]], Table4[ID], Table4[Teas], "Not Found", 0)</f>
        <v>1115</v>
      </c>
      <c r="L1010" s="5">
        <f>_xlfn.XLOOKUP(CustomerCombined[[#This Row],[ID]], Table4[ID], Table4[Fruits], "Not Found", 0)</f>
        <v>60</v>
      </c>
      <c r="M1010" s="5">
        <f>_xlfn.XLOOKUP(CustomerCombined[[#This Row],[ID]], Table4[ID], Table4[Meats], "Not Found", 0)</f>
        <v>317</v>
      </c>
      <c r="N1010" s="5">
        <f>_xlfn.XLOOKUP(CustomerCombined[[#This Row],[ID]], Table4[ID], Table4[Seafood], "Not Found", 0)</f>
        <v>326</v>
      </c>
      <c r="O1010" s="5">
        <f>_xlfn.XLOOKUP(CustomerCombined[[#This Row],[ID]], Table4[ID], Table4[Sweets], "Not Found", 0)</f>
        <v>0</v>
      </c>
      <c r="P1010" s="5">
        <f>_xlfn.XLOOKUP(CustomerCombined[[#This Row],[ID]], Table4[ID], Table4[Premium], "Not Found", 0)</f>
        <v>89</v>
      </c>
      <c r="Q1010" s="5">
        <f>_xlfn.XLOOKUP(CustomerCombined[[#This Row],[ID]], Table4[ID], Table4[Regular], "Not Found", 0)</f>
        <v>1729</v>
      </c>
      <c r="R1010" s="5">
        <f>_xlfn.XLOOKUP(CustomerCombined[[#This Row],[ID]], Table4[ID], Table4[Deals], "Not Found", 0)</f>
        <v>2</v>
      </c>
      <c r="S1010" s="5">
        <f>_xlfn.XLOOKUP(CustomerCombined[[#This Row],[ID]], Table4[ID], Table4[Website], "Not Found", 0)</f>
        <v>8</v>
      </c>
      <c r="T1010" s="5">
        <f>_xlfn.XLOOKUP(CustomerCombined[[#This Row],[ID]], Table4[ID], Table4[Catalog], "Not Found", 0)</f>
        <v>3</v>
      </c>
      <c r="U1010" s="5">
        <f>_xlfn.XLOOKUP(CustomerCombined[[#This Row],[ID]], Table4[ID], Table4[Store], "Not Found", 0)</f>
        <v>13</v>
      </c>
      <c r="V1010" s="5">
        <f>_xlfn.XLOOKUP(CustomerCombined[[#This Row],[ID]], Table4[ID], Table4[Visits], "Not Found", 0)</f>
        <v>4</v>
      </c>
      <c r="W1010" s="8">
        <f>_xlfn.XLOOKUP(CustomerCombined[[#This Row],[ID]], Table2[ID],Table2[Complaint], "Not Found", 0 )</f>
        <v>0</v>
      </c>
      <c r="X1010" s="8">
        <f>_xlfn.XLOOKUP(CustomerCombined[[#This Row],[ID]], Table2[ID],Table2[Pilot], "Not Found", 0 )</f>
        <v>0</v>
      </c>
      <c r="Y1010" s="8">
        <f>_xlfn.XLOOKUP(CustomerCombined[[#This Row],[ID]], Table2[ID],Table2[MC1], "Not Found", 0 )</f>
        <v>0</v>
      </c>
      <c r="Z1010" s="8">
        <f>_xlfn.XLOOKUP(CustomerCombined[[#This Row],[ID]], Table2[ID],Table2[MC2], "Not Found", 0 )</f>
        <v>0</v>
      </c>
      <c r="AA1010" s="8">
        <f>_xlfn.XLOOKUP(CustomerCombined[[#This Row],[ID]], Table2[ID],Table2[MC3], "Not Found", 0 )</f>
        <v>0</v>
      </c>
      <c r="AB1010" s="8">
        <f>_xlfn.XLOOKUP(CustomerCombined[[#This Row],[ID]], Table2[ID],Table2[MC4], "Not Found", 0 )</f>
        <v>0</v>
      </c>
      <c r="AC1010" s="8">
        <f>_xlfn.XLOOKUP(CustomerCombined[[#This Row],[ID]], Table2[ID],Table2[MC5], "Not Found", 0 )</f>
        <v>0</v>
      </c>
    </row>
    <row r="1011" spans="1:29" x14ac:dyDescent="0.3">
      <c r="A1011" s="6">
        <v>2838</v>
      </c>
      <c r="B1011" s="6">
        <v>170886</v>
      </c>
      <c r="C1011" s="6">
        <v>1</v>
      </c>
      <c r="D1011" s="6">
        <v>0</v>
      </c>
      <c r="E1011" s="6">
        <v>49</v>
      </c>
      <c r="F1011" s="5" t="s">
        <v>6</v>
      </c>
      <c r="G1011" s="5" t="s">
        <v>11</v>
      </c>
      <c r="H1011" s="3" t="s">
        <v>168</v>
      </c>
      <c r="I1011" s="5" t="s">
        <v>436</v>
      </c>
      <c r="J1011" s="5">
        <f>_xlfn.XLOOKUP(CustomerCombined[[#This Row],[ID]], Table4[ID], Table4[Recency], "Not Found", 0)</f>
        <v>65</v>
      </c>
      <c r="K1011" s="5">
        <f>_xlfn.XLOOKUP(CustomerCombined[[#This Row],[ID]], Table4[ID], Table4[Teas], "Not Found", 0)</f>
        <v>981</v>
      </c>
      <c r="L1011" s="5">
        <f>_xlfn.XLOOKUP(CustomerCombined[[#This Row],[ID]], Table4[ID], Table4[Fruits], "Not Found", 0)</f>
        <v>169</v>
      </c>
      <c r="M1011" s="5">
        <f>_xlfn.XLOOKUP(CustomerCombined[[#This Row],[ID]], Table4[ID], Table4[Meats], "Not Found", 0)</f>
        <v>576</v>
      </c>
      <c r="N1011" s="5">
        <f>_xlfn.XLOOKUP(CustomerCombined[[#This Row],[ID]], Table4[ID], Table4[Seafood], "Not Found", 0)</f>
        <v>248</v>
      </c>
      <c r="O1011" s="5">
        <f>_xlfn.XLOOKUP(CustomerCombined[[#This Row],[ID]], Table4[ID], Table4[Sweets], "Not Found", 0)</f>
        <v>212</v>
      </c>
      <c r="P1011" s="5">
        <f>_xlfn.XLOOKUP(CustomerCombined[[#This Row],[ID]], Table4[ID], Table4[Premium], "Not Found", 0)</f>
        <v>128</v>
      </c>
      <c r="Q1011" s="5">
        <f>_xlfn.XLOOKUP(CustomerCombined[[#This Row],[ID]], Table4[ID], Table4[Regular], "Not Found", 0)</f>
        <v>2059</v>
      </c>
      <c r="R1011" s="5">
        <f>_xlfn.XLOOKUP(CustomerCombined[[#This Row],[ID]], Table4[ID], Table4[Deals], "Not Found", 0)</f>
        <v>1</v>
      </c>
      <c r="S1011" s="5">
        <f>_xlfn.XLOOKUP(CustomerCombined[[#This Row],[ID]], Table4[ID], Table4[Website], "Not Found", 0)</f>
        <v>5</v>
      </c>
      <c r="T1011" s="5">
        <f>_xlfn.XLOOKUP(CustomerCombined[[#This Row],[ID]], Table4[ID], Table4[Catalog], "Not Found", 0)</f>
        <v>4</v>
      </c>
      <c r="U1011" s="5">
        <f>_xlfn.XLOOKUP(CustomerCombined[[#This Row],[ID]], Table4[ID], Table4[Store], "Not Found", 0)</f>
        <v>4</v>
      </c>
      <c r="V1011" s="5">
        <f>_xlfn.XLOOKUP(CustomerCombined[[#This Row],[ID]], Table4[ID], Table4[Visits], "Not Found", 0)</f>
        <v>2</v>
      </c>
      <c r="W1011" s="8">
        <f>_xlfn.XLOOKUP(CustomerCombined[[#This Row],[ID]], Table2[ID],Table2[Complaint], "Not Found", 0 )</f>
        <v>0</v>
      </c>
      <c r="X1011" s="8">
        <f>_xlfn.XLOOKUP(CustomerCombined[[#This Row],[ID]], Table2[ID],Table2[Pilot], "Not Found", 0 )</f>
        <v>0</v>
      </c>
      <c r="Y1011" s="8">
        <f>_xlfn.XLOOKUP(CustomerCombined[[#This Row],[ID]], Table2[ID],Table2[MC1], "Not Found", 0 )</f>
        <v>0</v>
      </c>
      <c r="Z1011" s="8">
        <f>_xlfn.XLOOKUP(CustomerCombined[[#This Row],[ID]], Table2[ID],Table2[MC2], "Not Found", 0 )</f>
        <v>0</v>
      </c>
      <c r="AA1011" s="8">
        <f>_xlfn.XLOOKUP(CustomerCombined[[#This Row],[ID]], Table2[ID],Table2[MC3], "Not Found", 0 )</f>
        <v>0</v>
      </c>
      <c r="AB1011" s="8">
        <f>_xlfn.XLOOKUP(CustomerCombined[[#This Row],[ID]], Table2[ID],Table2[MC4], "Not Found", 0 )</f>
        <v>0</v>
      </c>
      <c r="AC1011" s="8">
        <f>_xlfn.XLOOKUP(CustomerCombined[[#This Row],[ID]], Table2[ID],Table2[MC5], "Not Found", 0 )</f>
        <v>0</v>
      </c>
    </row>
    <row r="1012" spans="1:29" x14ac:dyDescent="0.3">
      <c r="A1012" s="6">
        <v>2497</v>
      </c>
      <c r="B1012" s="6">
        <v>169930</v>
      </c>
      <c r="C1012" s="6">
        <v>0</v>
      </c>
      <c r="D1012" s="6">
        <v>0</v>
      </c>
      <c r="E1012" s="6">
        <v>49</v>
      </c>
      <c r="F1012" s="5" t="s">
        <v>8</v>
      </c>
      <c r="G1012" s="5" t="s">
        <v>11</v>
      </c>
      <c r="H1012" s="3" t="s">
        <v>245</v>
      </c>
      <c r="I1012" s="5" t="s">
        <v>437</v>
      </c>
      <c r="J1012" s="5">
        <f>_xlfn.XLOOKUP(CustomerCombined[[#This Row],[ID]], Table4[ID], Table4[Recency], "Not Found", 0)</f>
        <v>21</v>
      </c>
      <c r="K1012" s="5">
        <f>_xlfn.XLOOKUP(CustomerCombined[[#This Row],[ID]], Table4[ID], Table4[Teas], "Not Found", 0)</f>
        <v>612</v>
      </c>
      <c r="L1012" s="5">
        <f>_xlfn.XLOOKUP(CustomerCombined[[#This Row],[ID]], Table4[ID], Table4[Fruits], "Not Found", 0)</f>
        <v>238</v>
      </c>
      <c r="M1012" s="5">
        <f>_xlfn.XLOOKUP(CustomerCombined[[#This Row],[ID]], Table4[ID], Table4[Meats], "Not Found", 0)</f>
        <v>2010</v>
      </c>
      <c r="N1012" s="5">
        <f>_xlfn.XLOOKUP(CustomerCombined[[#This Row],[ID]], Table4[ID], Table4[Seafood], "Not Found", 0)</f>
        <v>532</v>
      </c>
      <c r="O1012" s="5">
        <f>_xlfn.XLOOKUP(CustomerCombined[[#This Row],[ID]], Table4[ID], Table4[Sweets], "Not Found", 0)</f>
        <v>170</v>
      </c>
      <c r="P1012" s="5">
        <f>_xlfn.XLOOKUP(CustomerCombined[[#This Row],[ID]], Table4[ID], Table4[Premium], "Not Found", 0)</f>
        <v>476</v>
      </c>
      <c r="Q1012" s="5">
        <f>_xlfn.XLOOKUP(CustomerCombined[[#This Row],[ID]], Table4[ID], Table4[Regular], "Not Found", 0)</f>
        <v>3086</v>
      </c>
      <c r="R1012" s="5">
        <f>_xlfn.XLOOKUP(CustomerCombined[[#This Row],[ID]], Table4[ID], Table4[Deals], "Not Found", 0)</f>
        <v>1</v>
      </c>
      <c r="S1012" s="5">
        <f>_xlfn.XLOOKUP(CustomerCombined[[#This Row],[ID]], Table4[ID], Table4[Website], "Not Found", 0)</f>
        <v>4</v>
      </c>
      <c r="T1012" s="5">
        <f>_xlfn.XLOOKUP(CustomerCombined[[#This Row],[ID]], Table4[ID], Table4[Catalog], "Not Found", 0)</f>
        <v>5</v>
      </c>
      <c r="U1012" s="5">
        <f>_xlfn.XLOOKUP(CustomerCombined[[#This Row],[ID]], Table4[ID], Table4[Store], "Not Found", 0)</f>
        <v>12</v>
      </c>
      <c r="V1012" s="5">
        <f>_xlfn.XLOOKUP(CustomerCombined[[#This Row],[ID]], Table4[ID], Table4[Visits], "Not Found", 0)</f>
        <v>3</v>
      </c>
      <c r="W1012" s="8">
        <f>_xlfn.XLOOKUP(CustomerCombined[[#This Row],[ID]], Table2[ID],Table2[Complaint], "Not Found", 0 )</f>
        <v>0</v>
      </c>
      <c r="X1012" s="8">
        <f>_xlfn.XLOOKUP(CustomerCombined[[#This Row],[ID]], Table2[ID],Table2[Pilot], "Not Found", 0 )</f>
        <v>0</v>
      </c>
      <c r="Y1012" s="8">
        <f>_xlfn.XLOOKUP(CustomerCombined[[#This Row],[ID]], Table2[ID],Table2[MC1], "Not Found", 0 )</f>
        <v>0</v>
      </c>
      <c r="Z1012" s="8">
        <f>_xlfn.XLOOKUP(CustomerCombined[[#This Row],[ID]], Table2[ID],Table2[MC2], "Not Found", 0 )</f>
        <v>0</v>
      </c>
      <c r="AA1012" s="8">
        <f>_xlfn.XLOOKUP(CustomerCombined[[#This Row],[ID]], Table2[ID],Table2[MC3], "Not Found", 0 )</f>
        <v>0</v>
      </c>
      <c r="AB1012" s="8">
        <f>_xlfn.XLOOKUP(CustomerCombined[[#This Row],[ID]], Table2[ID],Table2[MC4], "Not Found", 0 )</f>
        <v>0</v>
      </c>
      <c r="AC1012" s="8">
        <f>_xlfn.XLOOKUP(CustomerCombined[[#This Row],[ID]], Table2[ID],Table2[MC5], "Not Found", 0 )</f>
        <v>0</v>
      </c>
    </row>
    <row r="1013" spans="1:29" x14ac:dyDescent="0.3">
      <c r="A1013" s="6">
        <v>2256</v>
      </c>
      <c r="B1013" s="6">
        <v>166303</v>
      </c>
      <c r="C1013" s="6">
        <v>0</v>
      </c>
      <c r="D1013" s="6">
        <v>1</v>
      </c>
      <c r="E1013" s="6">
        <v>49</v>
      </c>
      <c r="F1013" s="5" t="s">
        <v>6</v>
      </c>
      <c r="G1013" s="5" t="s">
        <v>11</v>
      </c>
      <c r="H1013" s="3">
        <v>43532</v>
      </c>
      <c r="I1013" s="5" t="s">
        <v>436</v>
      </c>
      <c r="J1013" s="5">
        <f>_xlfn.XLOOKUP(CustomerCombined[[#This Row],[ID]], Table4[ID], Table4[Recency], "Not Found", 0)</f>
        <v>56</v>
      </c>
      <c r="K1013" s="5">
        <f>_xlfn.XLOOKUP(CustomerCombined[[#This Row],[ID]], Table4[ID], Table4[Teas], "Not Found", 0)</f>
        <v>2734</v>
      </c>
      <c r="L1013" s="5">
        <f>_xlfn.XLOOKUP(CustomerCombined[[#This Row],[ID]], Table4[ID], Table4[Fruits], "Not Found", 0)</f>
        <v>30</v>
      </c>
      <c r="M1013" s="5">
        <f>_xlfn.XLOOKUP(CustomerCombined[[#This Row],[ID]], Table4[ID], Table4[Meats], "Not Found", 0)</f>
        <v>241</v>
      </c>
      <c r="N1013" s="5">
        <f>_xlfn.XLOOKUP(CustomerCombined[[#This Row],[ID]], Table4[ID], Table4[Seafood], "Not Found", 0)</f>
        <v>40</v>
      </c>
      <c r="O1013" s="5">
        <f>_xlfn.XLOOKUP(CustomerCombined[[#This Row],[ID]], Table4[ID], Table4[Sweets], "Not Found", 0)</f>
        <v>30</v>
      </c>
      <c r="P1013" s="5">
        <f>_xlfn.XLOOKUP(CustomerCombined[[#This Row],[ID]], Table4[ID], Table4[Premium], "Not Found", 0)</f>
        <v>150</v>
      </c>
      <c r="Q1013" s="5">
        <f>_xlfn.XLOOKUP(CustomerCombined[[#This Row],[ID]], Table4[ID], Table4[Regular], "Not Found", 0)</f>
        <v>2925</v>
      </c>
      <c r="R1013" s="5">
        <f>_xlfn.XLOOKUP(CustomerCombined[[#This Row],[ID]], Table4[ID], Table4[Deals], "Not Found", 0)</f>
        <v>4</v>
      </c>
      <c r="S1013" s="5">
        <f>_xlfn.XLOOKUP(CustomerCombined[[#This Row],[ID]], Table4[ID], Table4[Website], "Not Found", 0)</f>
        <v>3</v>
      </c>
      <c r="T1013" s="5">
        <f>_xlfn.XLOOKUP(CustomerCombined[[#This Row],[ID]], Table4[ID], Table4[Catalog], "Not Found", 0)</f>
        <v>4</v>
      </c>
      <c r="U1013" s="5">
        <f>_xlfn.XLOOKUP(CustomerCombined[[#This Row],[ID]], Table4[ID], Table4[Store], "Not Found", 0)</f>
        <v>11</v>
      </c>
      <c r="V1013" s="5">
        <f>_xlfn.XLOOKUP(CustomerCombined[[#This Row],[ID]], Table4[ID], Table4[Visits], "Not Found", 0)</f>
        <v>8</v>
      </c>
      <c r="W1013" s="8">
        <f>_xlfn.XLOOKUP(CustomerCombined[[#This Row],[ID]], Table2[ID],Table2[Complaint], "Not Found", 0 )</f>
        <v>0</v>
      </c>
      <c r="X1013" s="8">
        <f>_xlfn.XLOOKUP(CustomerCombined[[#This Row],[ID]], Table2[ID],Table2[Pilot], "Not Found", 0 )</f>
        <v>0</v>
      </c>
      <c r="Y1013" s="8">
        <f>_xlfn.XLOOKUP(CustomerCombined[[#This Row],[ID]], Table2[ID],Table2[MC1], "Not Found", 0 )</f>
        <v>0</v>
      </c>
      <c r="Z1013" s="8">
        <f>_xlfn.XLOOKUP(CustomerCombined[[#This Row],[ID]], Table2[ID],Table2[MC2], "Not Found", 0 )</f>
        <v>0</v>
      </c>
      <c r="AA1013" s="8">
        <f>_xlfn.XLOOKUP(CustomerCombined[[#This Row],[ID]], Table2[ID],Table2[MC3], "Not Found", 0 )</f>
        <v>0</v>
      </c>
      <c r="AB1013" s="8">
        <f>_xlfn.XLOOKUP(CustomerCombined[[#This Row],[ID]], Table2[ID],Table2[MC4], "Not Found", 0 )</f>
        <v>1</v>
      </c>
      <c r="AC1013" s="8">
        <f>_xlfn.XLOOKUP(CustomerCombined[[#This Row],[ID]], Table2[ID],Table2[MC5], "Not Found", 0 )</f>
        <v>0</v>
      </c>
    </row>
    <row r="1014" spans="1:29" x14ac:dyDescent="0.3">
      <c r="A1014" s="6">
        <v>1391</v>
      </c>
      <c r="B1014" s="6">
        <v>165808</v>
      </c>
      <c r="C1014" s="6">
        <v>1</v>
      </c>
      <c r="D1014" s="6">
        <v>1</v>
      </c>
      <c r="E1014" s="6">
        <v>49</v>
      </c>
      <c r="F1014" s="5" t="s">
        <v>5</v>
      </c>
      <c r="G1014" s="5" t="s">
        <v>13</v>
      </c>
      <c r="H1014" s="3">
        <v>43901</v>
      </c>
      <c r="I1014" s="5" t="s">
        <v>434</v>
      </c>
      <c r="J1014" s="5">
        <f>_xlfn.XLOOKUP(CustomerCombined[[#This Row],[ID]], Table4[ID], Table4[Recency], "Not Found", 0)</f>
        <v>1</v>
      </c>
      <c r="K1014" s="5">
        <f>_xlfn.XLOOKUP(CustomerCombined[[#This Row],[ID]], Table4[ID], Table4[Teas], "Not Found", 0)</f>
        <v>391</v>
      </c>
      <c r="L1014" s="5">
        <f>_xlfn.XLOOKUP(CustomerCombined[[#This Row],[ID]], Table4[ID], Table4[Fruits], "Not Found", 0)</f>
        <v>18</v>
      </c>
      <c r="M1014" s="5">
        <f>_xlfn.XLOOKUP(CustomerCombined[[#This Row],[ID]], Table4[ID], Table4[Meats], "Not Found", 0)</f>
        <v>202</v>
      </c>
      <c r="N1014" s="5">
        <f>_xlfn.XLOOKUP(CustomerCombined[[#This Row],[ID]], Table4[ID], Table4[Seafood], "Not Found", 0)</f>
        <v>33</v>
      </c>
      <c r="O1014" s="5">
        <f>_xlfn.XLOOKUP(CustomerCombined[[#This Row],[ID]], Table4[ID], Table4[Sweets], "Not Found", 0)</f>
        <v>18</v>
      </c>
      <c r="P1014" s="5">
        <f>_xlfn.XLOOKUP(CustomerCombined[[#This Row],[ID]], Table4[ID], Table4[Premium], "Not Found", 0)</f>
        <v>25</v>
      </c>
      <c r="Q1014" s="5">
        <f>_xlfn.XLOOKUP(CustomerCombined[[#This Row],[ID]], Table4[ID], Table4[Regular], "Not Found", 0)</f>
        <v>635</v>
      </c>
      <c r="R1014" s="5">
        <f>_xlfn.XLOOKUP(CustomerCombined[[#This Row],[ID]], Table4[ID], Table4[Deals], "Not Found", 0)</f>
        <v>3</v>
      </c>
      <c r="S1014" s="5">
        <f>_xlfn.XLOOKUP(CustomerCombined[[#This Row],[ID]], Table4[ID], Table4[Website], "Not Found", 0)</f>
        <v>5</v>
      </c>
      <c r="T1014" s="5">
        <f>_xlfn.XLOOKUP(CustomerCombined[[#This Row],[ID]], Table4[ID], Table4[Catalog], "Not Found", 0)</f>
        <v>1</v>
      </c>
      <c r="U1014" s="5">
        <f>_xlfn.XLOOKUP(CustomerCombined[[#This Row],[ID]], Table4[ID], Table4[Store], "Not Found", 0)</f>
        <v>5</v>
      </c>
      <c r="V1014" s="5">
        <f>_xlfn.XLOOKUP(CustomerCombined[[#This Row],[ID]], Table4[ID], Table4[Visits], "Not Found", 0)</f>
        <v>6</v>
      </c>
      <c r="W1014" s="8">
        <f>_xlfn.XLOOKUP(CustomerCombined[[#This Row],[ID]], Table2[ID],Table2[Complaint], "Not Found", 0 )</f>
        <v>0</v>
      </c>
      <c r="X1014" s="8">
        <f>_xlfn.XLOOKUP(CustomerCombined[[#This Row],[ID]], Table2[ID],Table2[Pilot], "Not Found", 0 )</f>
        <v>0</v>
      </c>
      <c r="Y1014" s="8">
        <f>_xlfn.XLOOKUP(CustomerCombined[[#This Row],[ID]], Table2[ID],Table2[MC1], "Not Found", 0 )</f>
        <v>0</v>
      </c>
      <c r="Z1014" s="8">
        <f>_xlfn.XLOOKUP(CustomerCombined[[#This Row],[ID]], Table2[ID],Table2[MC2], "Not Found", 0 )</f>
        <v>0</v>
      </c>
      <c r="AA1014" s="8">
        <f>_xlfn.XLOOKUP(CustomerCombined[[#This Row],[ID]], Table2[ID],Table2[MC3], "Not Found", 0 )</f>
        <v>0</v>
      </c>
      <c r="AB1014" s="8">
        <f>_xlfn.XLOOKUP(CustomerCombined[[#This Row],[ID]], Table2[ID],Table2[MC4], "Not Found", 0 )</f>
        <v>0</v>
      </c>
      <c r="AC1014" s="8">
        <f>_xlfn.XLOOKUP(CustomerCombined[[#This Row],[ID]], Table2[ID],Table2[MC5], "Not Found", 0 )</f>
        <v>0</v>
      </c>
    </row>
    <row r="1015" spans="1:29" x14ac:dyDescent="0.3">
      <c r="A1015" s="6">
        <v>1305</v>
      </c>
      <c r="B1015" s="6">
        <v>164795</v>
      </c>
      <c r="C1015" s="6">
        <v>0</v>
      </c>
      <c r="D1015" s="6">
        <v>1</v>
      </c>
      <c r="E1015" s="6">
        <v>49</v>
      </c>
      <c r="F1015" s="5" t="s">
        <v>6</v>
      </c>
      <c r="G1015" s="5" t="s">
        <v>11</v>
      </c>
      <c r="H1015" s="3" t="s">
        <v>323</v>
      </c>
      <c r="I1015" s="5" t="s">
        <v>435</v>
      </c>
      <c r="J1015" s="5">
        <f>_xlfn.XLOOKUP(CustomerCombined[[#This Row],[ID]], Table4[ID], Table4[Recency], "Not Found", 0)</f>
        <v>23</v>
      </c>
      <c r="K1015" s="5">
        <f>_xlfn.XLOOKUP(CustomerCombined[[#This Row],[ID]], Table4[ID], Table4[Teas], "Not Found", 0)</f>
        <v>1048</v>
      </c>
      <c r="L1015" s="5">
        <f>_xlfn.XLOOKUP(CustomerCombined[[#This Row],[ID]], Table4[ID], Table4[Fruits], "Not Found", 0)</f>
        <v>13</v>
      </c>
      <c r="M1015" s="5">
        <f>_xlfn.XLOOKUP(CustomerCombined[[#This Row],[ID]], Table4[ID], Table4[Meats], "Not Found", 0)</f>
        <v>303</v>
      </c>
      <c r="N1015" s="5">
        <f>_xlfn.XLOOKUP(CustomerCombined[[#This Row],[ID]], Table4[ID], Table4[Seafood], "Not Found", 0)</f>
        <v>97</v>
      </c>
      <c r="O1015" s="5">
        <f>_xlfn.XLOOKUP(CustomerCombined[[#This Row],[ID]], Table4[ID], Table4[Sweets], "Not Found", 0)</f>
        <v>74</v>
      </c>
      <c r="P1015" s="5">
        <f>_xlfn.XLOOKUP(CustomerCombined[[#This Row],[ID]], Table4[ID], Table4[Premium], "Not Found", 0)</f>
        <v>196</v>
      </c>
      <c r="Q1015" s="5">
        <f>_xlfn.XLOOKUP(CustomerCombined[[#This Row],[ID]], Table4[ID], Table4[Regular], "Not Found", 0)</f>
        <v>1338</v>
      </c>
      <c r="R1015" s="5">
        <f>_xlfn.XLOOKUP(CustomerCombined[[#This Row],[ID]], Table4[ID], Table4[Deals], "Not Found", 0)</f>
        <v>3</v>
      </c>
      <c r="S1015" s="5">
        <f>_xlfn.XLOOKUP(CustomerCombined[[#This Row],[ID]], Table4[ID], Table4[Website], "Not Found", 0)</f>
        <v>3</v>
      </c>
      <c r="T1015" s="5">
        <f>_xlfn.XLOOKUP(CustomerCombined[[#This Row],[ID]], Table4[ID], Table4[Catalog], "Not Found", 0)</f>
        <v>3</v>
      </c>
      <c r="U1015" s="5">
        <f>_xlfn.XLOOKUP(CustomerCombined[[#This Row],[ID]], Table4[ID], Table4[Store], "Not Found", 0)</f>
        <v>12</v>
      </c>
      <c r="V1015" s="5">
        <f>_xlfn.XLOOKUP(CustomerCombined[[#This Row],[ID]], Table4[ID], Table4[Visits], "Not Found", 0)</f>
        <v>2</v>
      </c>
      <c r="W1015" s="8">
        <f>_xlfn.XLOOKUP(CustomerCombined[[#This Row],[ID]], Table2[ID],Table2[Complaint], "Not Found", 0 )</f>
        <v>0</v>
      </c>
      <c r="X1015" s="8">
        <f>_xlfn.XLOOKUP(CustomerCombined[[#This Row],[ID]], Table2[ID],Table2[Pilot], "Not Found", 0 )</f>
        <v>0</v>
      </c>
      <c r="Y1015" s="8">
        <f>_xlfn.XLOOKUP(CustomerCombined[[#This Row],[ID]], Table2[ID],Table2[MC1], "Not Found", 0 )</f>
        <v>0</v>
      </c>
      <c r="Z1015" s="8">
        <f>_xlfn.XLOOKUP(CustomerCombined[[#This Row],[ID]], Table2[ID],Table2[MC2], "Not Found", 0 )</f>
        <v>0</v>
      </c>
      <c r="AA1015" s="8">
        <f>_xlfn.XLOOKUP(CustomerCombined[[#This Row],[ID]], Table2[ID],Table2[MC3], "Not Found", 0 )</f>
        <v>0</v>
      </c>
      <c r="AB1015" s="8">
        <f>_xlfn.XLOOKUP(CustomerCombined[[#This Row],[ID]], Table2[ID],Table2[MC4], "Not Found", 0 )</f>
        <v>0</v>
      </c>
      <c r="AC1015" s="8">
        <f>_xlfn.XLOOKUP(CustomerCombined[[#This Row],[ID]], Table2[ID],Table2[MC5], "Not Found", 0 )</f>
        <v>0</v>
      </c>
    </row>
    <row r="1016" spans="1:29" x14ac:dyDescent="0.3">
      <c r="A1016" s="6">
        <v>2216</v>
      </c>
      <c r="B1016" s="6">
        <v>164722</v>
      </c>
      <c r="C1016" s="6">
        <v>1</v>
      </c>
      <c r="D1016" s="6">
        <v>0</v>
      </c>
      <c r="E1016" s="6">
        <v>49</v>
      </c>
      <c r="F1016" s="5" t="s">
        <v>6</v>
      </c>
      <c r="G1016" s="5" t="s">
        <v>11</v>
      </c>
      <c r="H1016" s="3" t="s">
        <v>41</v>
      </c>
      <c r="I1016" s="5" t="s">
        <v>438</v>
      </c>
      <c r="J1016" s="5">
        <f>_xlfn.XLOOKUP(CustomerCombined[[#This Row],[ID]], Table4[ID], Table4[Recency], "Not Found", 0)</f>
        <v>47</v>
      </c>
      <c r="K1016" s="5">
        <f>_xlfn.XLOOKUP(CustomerCombined[[#This Row],[ID]], Table4[ID], Table4[Teas], "Not Found", 0)</f>
        <v>771</v>
      </c>
      <c r="L1016" s="5">
        <f>_xlfn.XLOOKUP(CustomerCombined[[#This Row],[ID]], Table4[ID], Table4[Fruits], "Not Found", 0)</f>
        <v>0</v>
      </c>
      <c r="M1016" s="5">
        <f>_xlfn.XLOOKUP(CustomerCombined[[#This Row],[ID]], Table4[ID], Table4[Meats], "Not Found", 0)</f>
        <v>713</v>
      </c>
      <c r="N1016" s="5">
        <f>_xlfn.XLOOKUP(CustomerCombined[[#This Row],[ID]], Table4[ID], Table4[Seafood], "Not Found", 0)</f>
        <v>153</v>
      </c>
      <c r="O1016" s="5">
        <f>_xlfn.XLOOKUP(CustomerCombined[[#This Row],[ID]], Table4[ID], Table4[Sweets], "Not Found", 0)</f>
        <v>374</v>
      </c>
      <c r="P1016" s="5">
        <f>_xlfn.XLOOKUP(CustomerCombined[[#This Row],[ID]], Table4[ID], Table4[Premium], "Not Found", 0)</f>
        <v>38</v>
      </c>
      <c r="Q1016" s="5">
        <f>_xlfn.XLOOKUP(CustomerCombined[[#This Row],[ID]], Table4[ID], Table4[Regular], "Not Found", 0)</f>
        <v>1972</v>
      </c>
      <c r="R1016" s="5">
        <f>_xlfn.XLOOKUP(CustomerCombined[[#This Row],[ID]], Table4[ID], Table4[Deals], "Not Found", 0)</f>
        <v>4</v>
      </c>
      <c r="S1016" s="5">
        <f>_xlfn.XLOOKUP(CustomerCombined[[#This Row],[ID]], Table4[ID], Table4[Website], "Not Found", 0)</f>
        <v>8</v>
      </c>
      <c r="T1016" s="5">
        <f>_xlfn.XLOOKUP(CustomerCombined[[#This Row],[ID]], Table4[ID], Table4[Catalog], "Not Found", 0)</f>
        <v>2</v>
      </c>
      <c r="U1016" s="5">
        <f>_xlfn.XLOOKUP(CustomerCombined[[#This Row],[ID]], Table4[ID], Table4[Store], "Not Found", 0)</f>
        <v>11</v>
      </c>
      <c r="V1016" s="5">
        <f>_xlfn.XLOOKUP(CustomerCombined[[#This Row],[ID]], Table4[ID], Table4[Visits], "Not Found", 0)</f>
        <v>6</v>
      </c>
      <c r="W1016" s="8">
        <f>_xlfn.XLOOKUP(CustomerCombined[[#This Row],[ID]], Table2[ID],Table2[Complaint], "Not Found", 0 )</f>
        <v>0</v>
      </c>
      <c r="X1016" s="8">
        <f>_xlfn.XLOOKUP(CustomerCombined[[#This Row],[ID]], Table2[ID],Table2[Pilot], "Not Found", 0 )</f>
        <v>0</v>
      </c>
      <c r="Y1016" s="8">
        <f>_xlfn.XLOOKUP(CustomerCombined[[#This Row],[ID]], Table2[ID],Table2[MC1], "Not Found", 0 )</f>
        <v>0</v>
      </c>
      <c r="Z1016" s="8">
        <f>_xlfn.XLOOKUP(CustomerCombined[[#This Row],[ID]], Table2[ID],Table2[MC2], "Not Found", 0 )</f>
        <v>0</v>
      </c>
      <c r="AA1016" s="8">
        <f>_xlfn.XLOOKUP(CustomerCombined[[#This Row],[ID]], Table2[ID],Table2[MC3], "Not Found", 0 )</f>
        <v>0</v>
      </c>
      <c r="AB1016" s="8">
        <f>_xlfn.XLOOKUP(CustomerCombined[[#This Row],[ID]], Table2[ID],Table2[MC4], "Not Found", 0 )</f>
        <v>0</v>
      </c>
      <c r="AC1016" s="8">
        <f>_xlfn.XLOOKUP(CustomerCombined[[#This Row],[ID]], Table2[ID],Table2[MC5], "Not Found", 0 )</f>
        <v>0</v>
      </c>
    </row>
    <row r="1017" spans="1:29" x14ac:dyDescent="0.3">
      <c r="A1017" s="6">
        <v>2466</v>
      </c>
      <c r="B1017" s="6">
        <v>160585</v>
      </c>
      <c r="C1017" s="6">
        <v>1</v>
      </c>
      <c r="D1017" s="6">
        <v>1</v>
      </c>
      <c r="E1017" s="6">
        <v>49</v>
      </c>
      <c r="F1017" s="5" t="s">
        <v>6</v>
      </c>
      <c r="G1017" s="5" t="s">
        <v>13</v>
      </c>
      <c r="H1017" s="3" t="s">
        <v>229</v>
      </c>
      <c r="I1017" s="5" t="s">
        <v>436</v>
      </c>
      <c r="J1017" s="5">
        <f>_xlfn.XLOOKUP(CustomerCombined[[#This Row],[ID]], Table4[ID], Table4[Recency], "Not Found", 0)</f>
        <v>17</v>
      </c>
      <c r="K1017" s="5">
        <f>_xlfn.XLOOKUP(CustomerCombined[[#This Row],[ID]], Table4[ID], Table4[Teas], "Not Found", 0)</f>
        <v>708</v>
      </c>
      <c r="L1017" s="5">
        <f>_xlfn.XLOOKUP(CustomerCombined[[#This Row],[ID]], Table4[ID], Table4[Fruits], "Not Found", 0)</f>
        <v>111</v>
      </c>
      <c r="M1017" s="5">
        <f>_xlfn.XLOOKUP(CustomerCombined[[#This Row],[ID]], Table4[ID], Table4[Meats], "Not Found", 0)</f>
        <v>819</v>
      </c>
      <c r="N1017" s="5">
        <f>_xlfn.XLOOKUP(CustomerCombined[[#This Row],[ID]], Table4[ID], Table4[Seafood], "Not Found", 0)</f>
        <v>146</v>
      </c>
      <c r="O1017" s="5">
        <f>_xlfn.XLOOKUP(CustomerCombined[[#This Row],[ID]], Table4[ID], Table4[Sweets], "Not Found", 0)</f>
        <v>111</v>
      </c>
      <c r="P1017" s="5">
        <f>_xlfn.XLOOKUP(CustomerCombined[[#This Row],[ID]], Table4[ID], Table4[Premium], "Not Found", 0)</f>
        <v>56</v>
      </c>
      <c r="Q1017" s="5">
        <f>_xlfn.XLOOKUP(CustomerCombined[[#This Row],[ID]], Table4[ID], Table4[Regular], "Not Found", 0)</f>
        <v>1839</v>
      </c>
      <c r="R1017" s="5">
        <f>_xlfn.XLOOKUP(CustomerCombined[[#This Row],[ID]], Table4[ID], Table4[Deals], "Not Found", 0)</f>
        <v>10</v>
      </c>
      <c r="S1017" s="5">
        <f>_xlfn.XLOOKUP(CustomerCombined[[#This Row],[ID]], Table4[ID], Table4[Website], "Not Found", 0)</f>
        <v>7</v>
      </c>
      <c r="T1017" s="5">
        <f>_xlfn.XLOOKUP(CustomerCombined[[#This Row],[ID]], Table4[ID], Table4[Catalog], "Not Found", 0)</f>
        <v>4</v>
      </c>
      <c r="U1017" s="5">
        <f>_xlfn.XLOOKUP(CustomerCombined[[#This Row],[ID]], Table4[ID], Table4[Store], "Not Found", 0)</f>
        <v>9</v>
      </c>
      <c r="V1017" s="5">
        <f>_xlfn.XLOOKUP(CustomerCombined[[#This Row],[ID]], Table4[ID], Table4[Visits], "Not Found", 0)</f>
        <v>5</v>
      </c>
      <c r="W1017" s="8">
        <f>_xlfn.XLOOKUP(CustomerCombined[[#This Row],[ID]], Table2[ID],Table2[Complaint], "Not Found", 0 )</f>
        <v>0</v>
      </c>
      <c r="X1017" s="8">
        <f>_xlfn.XLOOKUP(CustomerCombined[[#This Row],[ID]], Table2[ID],Table2[Pilot], "Not Found", 0 )</f>
        <v>1</v>
      </c>
      <c r="Y1017" s="8">
        <f>_xlfn.XLOOKUP(CustomerCombined[[#This Row],[ID]], Table2[ID],Table2[MC1], "Not Found", 0 )</f>
        <v>0</v>
      </c>
      <c r="Z1017" s="8">
        <f>_xlfn.XLOOKUP(CustomerCombined[[#This Row],[ID]], Table2[ID],Table2[MC2], "Not Found", 0 )</f>
        <v>0</v>
      </c>
      <c r="AA1017" s="8">
        <f>_xlfn.XLOOKUP(CustomerCombined[[#This Row],[ID]], Table2[ID],Table2[MC3], "Not Found", 0 )</f>
        <v>0</v>
      </c>
      <c r="AB1017" s="8">
        <f>_xlfn.XLOOKUP(CustomerCombined[[#This Row],[ID]], Table2[ID],Table2[MC4], "Not Found", 0 )</f>
        <v>0</v>
      </c>
      <c r="AC1017" s="8">
        <f>_xlfn.XLOOKUP(CustomerCombined[[#This Row],[ID]], Table2[ID],Table2[MC5], "Not Found", 0 )</f>
        <v>0</v>
      </c>
    </row>
    <row r="1018" spans="1:29" x14ac:dyDescent="0.3">
      <c r="A1018" s="6">
        <v>1536</v>
      </c>
      <c r="B1018" s="6">
        <v>160504</v>
      </c>
      <c r="C1018" s="6">
        <v>0</v>
      </c>
      <c r="D1018" s="6">
        <v>1</v>
      </c>
      <c r="E1018" s="6">
        <v>49</v>
      </c>
      <c r="F1018" s="5" t="s">
        <v>7</v>
      </c>
      <c r="G1018" s="5" t="s">
        <v>13</v>
      </c>
      <c r="H1018" s="3" t="s">
        <v>106</v>
      </c>
      <c r="I1018" s="5" t="s">
        <v>436</v>
      </c>
      <c r="J1018" s="5">
        <f>_xlfn.XLOOKUP(CustomerCombined[[#This Row],[ID]], Table4[ID], Table4[Recency], "Not Found", 0)</f>
        <v>73</v>
      </c>
      <c r="K1018" s="5">
        <f>_xlfn.XLOOKUP(CustomerCombined[[#This Row],[ID]], Table4[ID], Table4[Teas], "Not Found", 0)</f>
        <v>1215</v>
      </c>
      <c r="L1018" s="5">
        <f>_xlfn.XLOOKUP(CustomerCombined[[#This Row],[ID]], Table4[ID], Table4[Fruits], "Not Found", 0)</f>
        <v>0</v>
      </c>
      <c r="M1018" s="5">
        <f>_xlfn.XLOOKUP(CustomerCombined[[#This Row],[ID]], Table4[ID], Table4[Meats], "Not Found", 0)</f>
        <v>64</v>
      </c>
      <c r="N1018" s="5">
        <f>_xlfn.XLOOKUP(CustomerCombined[[#This Row],[ID]], Table4[ID], Table4[Seafood], "Not Found", 0)</f>
        <v>16</v>
      </c>
      <c r="O1018" s="5">
        <f>_xlfn.XLOOKUP(CustomerCombined[[#This Row],[ID]], Table4[ID], Table4[Sweets], "Not Found", 0)</f>
        <v>11</v>
      </c>
      <c r="P1018" s="5">
        <f>_xlfn.XLOOKUP(CustomerCombined[[#This Row],[ID]], Table4[ID], Table4[Premium], "Not Found", 0)</f>
        <v>90</v>
      </c>
      <c r="Q1018" s="5">
        <f>_xlfn.XLOOKUP(CustomerCombined[[#This Row],[ID]], Table4[ID], Table4[Regular], "Not Found", 0)</f>
        <v>1215</v>
      </c>
      <c r="R1018" s="5">
        <f>_xlfn.XLOOKUP(CustomerCombined[[#This Row],[ID]], Table4[ID], Table4[Deals], "Not Found", 0)</f>
        <v>2</v>
      </c>
      <c r="S1018" s="5">
        <f>_xlfn.XLOOKUP(CustomerCombined[[#This Row],[ID]], Table4[ID], Table4[Website], "Not Found", 0)</f>
        <v>6</v>
      </c>
      <c r="T1018" s="5">
        <f>_xlfn.XLOOKUP(CustomerCombined[[#This Row],[ID]], Table4[ID], Table4[Catalog], "Not Found", 0)</f>
        <v>2</v>
      </c>
      <c r="U1018" s="5">
        <f>_xlfn.XLOOKUP(CustomerCombined[[#This Row],[ID]], Table4[ID], Table4[Store], "Not Found", 0)</f>
        <v>8</v>
      </c>
      <c r="V1018" s="5">
        <f>_xlfn.XLOOKUP(CustomerCombined[[#This Row],[ID]], Table4[ID], Table4[Visits], "Not Found", 0)</f>
        <v>6</v>
      </c>
      <c r="W1018" s="8">
        <f>_xlfn.XLOOKUP(CustomerCombined[[#This Row],[ID]], Table2[ID],Table2[Complaint], "Not Found", 0 )</f>
        <v>0</v>
      </c>
      <c r="X1018" s="8">
        <f>_xlfn.XLOOKUP(CustomerCombined[[#This Row],[ID]], Table2[ID],Table2[Pilot], "Not Found", 0 )</f>
        <v>0</v>
      </c>
      <c r="Y1018" s="8">
        <f>_xlfn.XLOOKUP(CustomerCombined[[#This Row],[ID]], Table2[ID],Table2[MC1], "Not Found", 0 )</f>
        <v>0</v>
      </c>
      <c r="Z1018" s="8">
        <f>_xlfn.XLOOKUP(CustomerCombined[[#This Row],[ID]], Table2[ID],Table2[MC2], "Not Found", 0 )</f>
        <v>0</v>
      </c>
      <c r="AA1018" s="8">
        <f>_xlfn.XLOOKUP(CustomerCombined[[#This Row],[ID]], Table2[ID],Table2[MC3], "Not Found", 0 )</f>
        <v>0</v>
      </c>
      <c r="AB1018" s="8">
        <f>_xlfn.XLOOKUP(CustomerCombined[[#This Row],[ID]], Table2[ID],Table2[MC4], "Not Found", 0 )</f>
        <v>0</v>
      </c>
      <c r="AC1018" s="8">
        <f>_xlfn.XLOOKUP(CustomerCombined[[#This Row],[ID]], Table2[ID],Table2[MC5], "Not Found", 0 )</f>
        <v>0</v>
      </c>
    </row>
    <row r="1019" spans="1:29" x14ac:dyDescent="0.3">
      <c r="A1019" s="6">
        <v>2881</v>
      </c>
      <c r="B1019" s="6">
        <v>160491</v>
      </c>
      <c r="C1019" s="6">
        <v>0</v>
      </c>
      <c r="D1019" s="6">
        <v>1</v>
      </c>
      <c r="E1019" s="6">
        <v>49</v>
      </c>
      <c r="F1019" s="5" t="s">
        <v>6</v>
      </c>
      <c r="G1019" s="5" t="s">
        <v>13</v>
      </c>
      <c r="H1019" s="3">
        <v>44137</v>
      </c>
      <c r="I1019" s="5" t="s">
        <v>437</v>
      </c>
      <c r="J1019" s="5">
        <f>_xlfn.XLOOKUP(CustomerCombined[[#This Row],[ID]], Table4[ID], Table4[Recency], "Not Found", 0)</f>
        <v>81</v>
      </c>
      <c r="K1019" s="5">
        <f>_xlfn.XLOOKUP(CustomerCombined[[#This Row],[ID]], Table4[ID], Table4[Teas], "Not Found", 0)</f>
        <v>1690</v>
      </c>
      <c r="L1019" s="5">
        <f>_xlfn.XLOOKUP(CustomerCombined[[#This Row],[ID]], Table4[ID], Table4[Fruits], "Not Found", 0)</f>
        <v>125</v>
      </c>
      <c r="M1019" s="5">
        <f>_xlfn.XLOOKUP(CustomerCombined[[#This Row],[ID]], Table4[ID], Table4[Meats], "Not Found", 0)</f>
        <v>629</v>
      </c>
      <c r="N1019" s="5">
        <f>_xlfn.XLOOKUP(CustomerCombined[[#This Row],[ID]], Table4[ID], Table4[Seafood], "Not Found", 0)</f>
        <v>32</v>
      </c>
      <c r="O1019" s="5">
        <f>_xlfn.XLOOKUP(CustomerCombined[[#This Row],[ID]], Table4[ID], Table4[Sweets], "Not Found", 0)</f>
        <v>50</v>
      </c>
      <c r="P1019" s="5">
        <f>_xlfn.XLOOKUP(CustomerCombined[[#This Row],[ID]], Table4[ID], Table4[Premium], "Not Found", 0)</f>
        <v>202</v>
      </c>
      <c r="Q1019" s="5">
        <f>_xlfn.XLOOKUP(CustomerCombined[[#This Row],[ID]], Table4[ID], Table4[Regular], "Not Found", 0)</f>
        <v>2324</v>
      </c>
      <c r="R1019" s="5">
        <f>_xlfn.XLOOKUP(CustomerCombined[[#This Row],[ID]], Table4[ID], Table4[Deals], "Not Found", 0)</f>
        <v>4</v>
      </c>
      <c r="S1019" s="5">
        <f>_xlfn.XLOOKUP(CustomerCombined[[#This Row],[ID]], Table4[ID], Table4[Website], "Not Found", 0)</f>
        <v>6</v>
      </c>
      <c r="T1019" s="5">
        <f>_xlfn.XLOOKUP(CustomerCombined[[#This Row],[ID]], Table4[ID], Table4[Catalog], "Not Found", 0)</f>
        <v>11</v>
      </c>
      <c r="U1019" s="5">
        <f>_xlfn.XLOOKUP(CustomerCombined[[#This Row],[ID]], Table4[ID], Table4[Store], "Not Found", 0)</f>
        <v>7</v>
      </c>
      <c r="V1019" s="5">
        <f>_xlfn.XLOOKUP(CustomerCombined[[#This Row],[ID]], Table4[ID], Table4[Visits], "Not Found", 0)</f>
        <v>5</v>
      </c>
      <c r="W1019" s="8">
        <f>_xlfn.XLOOKUP(CustomerCombined[[#This Row],[ID]], Table2[ID],Table2[Complaint], "Not Found", 0 )</f>
        <v>0</v>
      </c>
      <c r="X1019" s="8">
        <f>_xlfn.XLOOKUP(CustomerCombined[[#This Row],[ID]], Table2[ID],Table2[Pilot], "Not Found", 0 )</f>
        <v>0</v>
      </c>
      <c r="Y1019" s="8">
        <f>_xlfn.XLOOKUP(CustomerCombined[[#This Row],[ID]], Table2[ID],Table2[MC1], "Not Found", 0 )</f>
        <v>0</v>
      </c>
      <c r="Z1019" s="8">
        <f>_xlfn.XLOOKUP(CustomerCombined[[#This Row],[ID]], Table2[ID],Table2[MC2], "Not Found", 0 )</f>
        <v>0</v>
      </c>
      <c r="AA1019" s="8">
        <f>_xlfn.XLOOKUP(CustomerCombined[[#This Row],[ID]], Table2[ID],Table2[MC3], "Not Found", 0 )</f>
        <v>0</v>
      </c>
      <c r="AB1019" s="8">
        <f>_xlfn.XLOOKUP(CustomerCombined[[#This Row],[ID]], Table2[ID],Table2[MC4], "Not Found", 0 )</f>
        <v>0</v>
      </c>
      <c r="AC1019" s="8">
        <f>_xlfn.XLOOKUP(CustomerCombined[[#This Row],[ID]], Table2[ID],Table2[MC5], "Not Found", 0 )</f>
        <v>0</v>
      </c>
    </row>
    <row r="1020" spans="1:29" x14ac:dyDescent="0.3">
      <c r="A1020" s="6">
        <v>2663</v>
      </c>
      <c r="B1020" s="6">
        <v>158350</v>
      </c>
      <c r="C1020" s="6">
        <v>0</v>
      </c>
      <c r="D1020" s="6">
        <v>1</v>
      </c>
      <c r="E1020" s="6">
        <v>49</v>
      </c>
      <c r="F1020" s="5" t="s">
        <v>7</v>
      </c>
      <c r="G1020" s="5" t="s">
        <v>11</v>
      </c>
      <c r="H1020" s="3">
        <v>43775</v>
      </c>
      <c r="I1020" s="5" t="s">
        <v>434</v>
      </c>
      <c r="J1020" s="5">
        <f>_xlfn.XLOOKUP(CustomerCombined[[#This Row],[ID]], Table4[ID], Table4[Recency], "Not Found", 0)</f>
        <v>5</v>
      </c>
      <c r="K1020" s="5">
        <f>_xlfn.XLOOKUP(CustomerCombined[[#This Row],[ID]], Table4[ID], Table4[Teas], "Not Found", 0)</f>
        <v>1338</v>
      </c>
      <c r="L1020" s="5">
        <f>_xlfn.XLOOKUP(CustomerCombined[[#This Row],[ID]], Table4[ID], Table4[Fruits], "Not Found", 0)</f>
        <v>71</v>
      </c>
      <c r="M1020" s="5">
        <f>_xlfn.XLOOKUP(CustomerCombined[[#This Row],[ID]], Table4[ID], Table4[Meats], "Not Found", 0)</f>
        <v>559</v>
      </c>
      <c r="N1020" s="5">
        <f>_xlfn.XLOOKUP(CustomerCombined[[#This Row],[ID]], Table4[ID], Table4[Seafood], "Not Found", 0)</f>
        <v>315</v>
      </c>
      <c r="O1020" s="5">
        <f>_xlfn.XLOOKUP(CustomerCombined[[#This Row],[ID]], Table4[ID], Table4[Sweets], "Not Found", 0)</f>
        <v>217</v>
      </c>
      <c r="P1020" s="5">
        <f>_xlfn.XLOOKUP(CustomerCombined[[#This Row],[ID]], Table4[ID], Table4[Premium], "Not Found", 0)</f>
        <v>217</v>
      </c>
      <c r="Q1020" s="5">
        <f>_xlfn.XLOOKUP(CustomerCombined[[#This Row],[ID]], Table4[ID], Table4[Regular], "Not Found", 0)</f>
        <v>2282</v>
      </c>
      <c r="R1020" s="5">
        <f>_xlfn.XLOOKUP(CustomerCombined[[#This Row],[ID]], Table4[ID], Table4[Deals], "Not Found", 0)</f>
        <v>4</v>
      </c>
      <c r="S1020" s="5">
        <f>_xlfn.XLOOKUP(CustomerCombined[[#This Row],[ID]], Table4[ID], Table4[Website], "Not Found", 0)</f>
        <v>8</v>
      </c>
      <c r="T1020" s="5">
        <f>_xlfn.XLOOKUP(CustomerCombined[[#This Row],[ID]], Table4[ID], Table4[Catalog], "Not Found", 0)</f>
        <v>3</v>
      </c>
      <c r="U1020" s="5">
        <f>_xlfn.XLOOKUP(CustomerCombined[[#This Row],[ID]], Table4[ID], Table4[Store], "Not Found", 0)</f>
        <v>12</v>
      </c>
      <c r="V1020" s="5">
        <f>_xlfn.XLOOKUP(CustomerCombined[[#This Row],[ID]], Table4[ID], Table4[Visits], "Not Found", 0)</f>
        <v>6</v>
      </c>
      <c r="W1020" s="8">
        <f>_xlfn.XLOOKUP(CustomerCombined[[#This Row],[ID]], Table2[ID],Table2[Complaint], "Not Found", 0 )</f>
        <v>0</v>
      </c>
      <c r="X1020" s="8">
        <f>_xlfn.XLOOKUP(CustomerCombined[[#This Row],[ID]], Table2[ID],Table2[Pilot], "Not Found", 0 )</f>
        <v>0</v>
      </c>
      <c r="Y1020" s="8">
        <f>_xlfn.XLOOKUP(CustomerCombined[[#This Row],[ID]], Table2[ID],Table2[MC1], "Not Found", 0 )</f>
        <v>0</v>
      </c>
      <c r="Z1020" s="8">
        <f>_xlfn.XLOOKUP(CustomerCombined[[#This Row],[ID]], Table2[ID],Table2[MC2], "Not Found", 0 )</f>
        <v>0</v>
      </c>
      <c r="AA1020" s="8">
        <f>_xlfn.XLOOKUP(CustomerCombined[[#This Row],[ID]], Table2[ID],Table2[MC3], "Not Found", 0 )</f>
        <v>0</v>
      </c>
      <c r="AB1020" s="8">
        <f>_xlfn.XLOOKUP(CustomerCombined[[#This Row],[ID]], Table2[ID],Table2[MC4], "Not Found", 0 )</f>
        <v>0</v>
      </c>
      <c r="AC1020" s="8">
        <f>_xlfn.XLOOKUP(CustomerCombined[[#This Row],[ID]], Table2[ID],Table2[MC5], "Not Found", 0 )</f>
        <v>0</v>
      </c>
    </row>
    <row r="1021" spans="1:29" x14ac:dyDescent="0.3">
      <c r="A1021" s="6">
        <v>2358</v>
      </c>
      <c r="B1021" s="6">
        <v>157420</v>
      </c>
      <c r="C1021" s="6">
        <v>0</v>
      </c>
      <c r="D1021" s="6">
        <v>1</v>
      </c>
      <c r="E1021" s="6">
        <v>49</v>
      </c>
      <c r="F1021" s="5" t="s">
        <v>8</v>
      </c>
      <c r="G1021" s="5" t="s">
        <v>12</v>
      </c>
      <c r="H1021" s="3" t="s">
        <v>228</v>
      </c>
      <c r="I1021" s="5" t="s">
        <v>436</v>
      </c>
      <c r="J1021" s="5">
        <f>_xlfn.XLOOKUP(CustomerCombined[[#This Row],[ID]], Table4[ID], Table4[Recency], "Not Found", 0)</f>
        <v>22</v>
      </c>
      <c r="K1021" s="5">
        <f>_xlfn.XLOOKUP(CustomerCombined[[#This Row],[ID]], Table4[ID], Table4[Teas], "Not Found", 0)</f>
        <v>768</v>
      </c>
      <c r="L1021" s="5">
        <f>_xlfn.XLOOKUP(CustomerCombined[[#This Row],[ID]], Table4[ID], Table4[Fruits], "Not Found", 0)</f>
        <v>0</v>
      </c>
      <c r="M1021" s="5">
        <f>_xlfn.XLOOKUP(CustomerCombined[[#This Row],[ID]], Table4[ID], Table4[Meats], "Not Found", 0)</f>
        <v>49</v>
      </c>
      <c r="N1021" s="5">
        <f>_xlfn.XLOOKUP(CustomerCombined[[#This Row],[ID]], Table4[ID], Table4[Seafood], "Not Found", 0)</f>
        <v>0</v>
      </c>
      <c r="O1021" s="5">
        <f>_xlfn.XLOOKUP(CustomerCombined[[#This Row],[ID]], Table4[ID], Table4[Sweets], "Not Found", 0)</f>
        <v>0</v>
      </c>
      <c r="P1021" s="5">
        <f>_xlfn.XLOOKUP(CustomerCombined[[#This Row],[ID]], Table4[ID], Table4[Premium], "Not Found", 0)</f>
        <v>66</v>
      </c>
      <c r="Q1021" s="5">
        <f>_xlfn.XLOOKUP(CustomerCombined[[#This Row],[ID]], Table4[ID], Table4[Regular], "Not Found", 0)</f>
        <v>751</v>
      </c>
      <c r="R1021" s="5">
        <f>_xlfn.XLOOKUP(CustomerCombined[[#This Row],[ID]], Table4[ID], Table4[Deals], "Not Found", 0)</f>
        <v>3</v>
      </c>
      <c r="S1021" s="5">
        <f>_xlfn.XLOOKUP(CustomerCombined[[#This Row],[ID]], Table4[ID], Table4[Website], "Not Found", 0)</f>
        <v>5</v>
      </c>
      <c r="T1021" s="5">
        <f>_xlfn.XLOOKUP(CustomerCombined[[#This Row],[ID]], Table4[ID], Table4[Catalog], "Not Found", 0)</f>
        <v>1</v>
      </c>
      <c r="U1021" s="5">
        <f>_xlfn.XLOOKUP(CustomerCombined[[#This Row],[ID]], Table4[ID], Table4[Store], "Not Found", 0)</f>
        <v>6</v>
      </c>
      <c r="V1021" s="5">
        <f>_xlfn.XLOOKUP(CustomerCombined[[#This Row],[ID]], Table4[ID], Table4[Visits], "Not Found", 0)</f>
        <v>7</v>
      </c>
      <c r="W1021" s="8">
        <f>_xlfn.XLOOKUP(CustomerCombined[[#This Row],[ID]], Table2[ID],Table2[Complaint], "Not Found", 0 )</f>
        <v>0</v>
      </c>
      <c r="X1021" s="8">
        <f>_xlfn.XLOOKUP(CustomerCombined[[#This Row],[ID]], Table2[ID],Table2[Pilot], "Not Found", 0 )</f>
        <v>0</v>
      </c>
      <c r="Y1021" s="8">
        <f>_xlfn.XLOOKUP(CustomerCombined[[#This Row],[ID]], Table2[ID],Table2[MC1], "Not Found", 0 )</f>
        <v>0</v>
      </c>
      <c r="Z1021" s="8">
        <f>_xlfn.XLOOKUP(CustomerCombined[[#This Row],[ID]], Table2[ID],Table2[MC2], "Not Found", 0 )</f>
        <v>0</v>
      </c>
      <c r="AA1021" s="8">
        <f>_xlfn.XLOOKUP(CustomerCombined[[#This Row],[ID]], Table2[ID],Table2[MC3], "Not Found", 0 )</f>
        <v>0</v>
      </c>
      <c r="AB1021" s="8">
        <f>_xlfn.XLOOKUP(CustomerCombined[[#This Row],[ID]], Table2[ID],Table2[MC4], "Not Found", 0 )</f>
        <v>1</v>
      </c>
      <c r="AC1021" s="8">
        <f>_xlfn.XLOOKUP(CustomerCombined[[#This Row],[ID]], Table2[ID],Table2[MC5], "Not Found", 0 )</f>
        <v>0</v>
      </c>
    </row>
    <row r="1022" spans="1:29" x14ac:dyDescent="0.3">
      <c r="A1022" s="6">
        <v>1787</v>
      </c>
      <c r="B1022" s="6">
        <v>156850</v>
      </c>
      <c r="C1022" s="6">
        <v>0</v>
      </c>
      <c r="D1022" s="6">
        <v>1</v>
      </c>
      <c r="E1022" s="6">
        <v>49</v>
      </c>
      <c r="F1022" s="5" t="s">
        <v>6</v>
      </c>
      <c r="G1022" s="5" t="s">
        <v>12</v>
      </c>
      <c r="H1022" s="3" t="s">
        <v>78</v>
      </c>
      <c r="I1022" s="5" t="s">
        <v>434</v>
      </c>
      <c r="J1022" s="5">
        <f>_xlfn.XLOOKUP(CustomerCombined[[#This Row],[ID]], Table4[ID], Table4[Recency], "Not Found", 0)</f>
        <v>83</v>
      </c>
      <c r="K1022" s="5">
        <f>_xlfn.XLOOKUP(CustomerCombined[[#This Row],[ID]], Table4[ID], Table4[Teas], "Not Found", 0)</f>
        <v>94</v>
      </c>
      <c r="L1022" s="5">
        <f>_xlfn.XLOOKUP(CustomerCombined[[#This Row],[ID]], Table4[ID], Table4[Fruits], "Not Found", 0)</f>
        <v>3</v>
      </c>
      <c r="M1022" s="5">
        <f>_xlfn.XLOOKUP(CustomerCombined[[#This Row],[ID]], Table4[ID], Table4[Meats], "Not Found", 0)</f>
        <v>52</v>
      </c>
      <c r="N1022" s="5">
        <f>_xlfn.XLOOKUP(CustomerCombined[[#This Row],[ID]], Table4[ID], Table4[Seafood], "Not Found", 0)</f>
        <v>6</v>
      </c>
      <c r="O1022" s="5">
        <f>_xlfn.XLOOKUP(CustomerCombined[[#This Row],[ID]], Table4[ID], Table4[Sweets], "Not Found", 0)</f>
        <v>19</v>
      </c>
      <c r="P1022" s="5">
        <f>_xlfn.XLOOKUP(CustomerCombined[[#This Row],[ID]], Table4[ID], Table4[Premium], "Not Found", 0)</f>
        <v>0</v>
      </c>
      <c r="Q1022" s="5">
        <f>_xlfn.XLOOKUP(CustomerCombined[[#This Row],[ID]], Table4[ID], Table4[Regular], "Not Found", 0)</f>
        <v>174</v>
      </c>
      <c r="R1022" s="5">
        <f>_xlfn.XLOOKUP(CustomerCombined[[#This Row],[ID]], Table4[ID], Table4[Deals], "Not Found", 0)</f>
        <v>1</v>
      </c>
      <c r="S1022" s="5">
        <f>_xlfn.XLOOKUP(CustomerCombined[[#This Row],[ID]], Table4[ID], Table4[Website], "Not Found", 0)</f>
        <v>1</v>
      </c>
      <c r="T1022" s="5">
        <f>_xlfn.XLOOKUP(CustomerCombined[[#This Row],[ID]], Table4[ID], Table4[Catalog], "Not Found", 0)</f>
        <v>1</v>
      </c>
      <c r="U1022" s="5">
        <f>_xlfn.XLOOKUP(CustomerCombined[[#This Row],[ID]], Table4[ID], Table4[Store], "Not Found", 0)</f>
        <v>3</v>
      </c>
      <c r="V1022" s="5">
        <f>_xlfn.XLOOKUP(CustomerCombined[[#This Row],[ID]], Table4[ID], Table4[Visits], "Not Found", 0)</f>
        <v>2</v>
      </c>
      <c r="W1022" s="8">
        <f>_xlfn.XLOOKUP(CustomerCombined[[#This Row],[ID]], Table2[ID],Table2[Complaint], "Not Found", 0 )</f>
        <v>0</v>
      </c>
      <c r="X1022" s="8">
        <f>_xlfn.XLOOKUP(CustomerCombined[[#This Row],[ID]], Table2[ID],Table2[Pilot], "Not Found", 0 )</f>
        <v>0</v>
      </c>
      <c r="Y1022" s="8">
        <f>_xlfn.XLOOKUP(CustomerCombined[[#This Row],[ID]], Table2[ID],Table2[MC1], "Not Found", 0 )</f>
        <v>0</v>
      </c>
      <c r="Z1022" s="8">
        <f>_xlfn.XLOOKUP(CustomerCombined[[#This Row],[ID]], Table2[ID],Table2[MC2], "Not Found", 0 )</f>
        <v>0</v>
      </c>
      <c r="AA1022" s="8">
        <f>_xlfn.XLOOKUP(CustomerCombined[[#This Row],[ID]], Table2[ID],Table2[MC3], "Not Found", 0 )</f>
        <v>0</v>
      </c>
      <c r="AB1022" s="8">
        <f>_xlfn.XLOOKUP(CustomerCombined[[#This Row],[ID]], Table2[ID],Table2[MC4], "Not Found", 0 )</f>
        <v>0</v>
      </c>
      <c r="AC1022" s="8">
        <f>_xlfn.XLOOKUP(CustomerCombined[[#This Row],[ID]], Table2[ID],Table2[MC5], "Not Found", 0 )</f>
        <v>0</v>
      </c>
    </row>
    <row r="1023" spans="1:29" x14ac:dyDescent="0.3">
      <c r="A1023" s="6">
        <v>1007</v>
      </c>
      <c r="B1023" s="6">
        <v>155635</v>
      </c>
      <c r="C1023" s="6">
        <v>0</v>
      </c>
      <c r="D1023" s="6">
        <v>1</v>
      </c>
      <c r="E1023" s="6">
        <v>49</v>
      </c>
      <c r="F1023" s="5" t="s">
        <v>5</v>
      </c>
      <c r="G1023" s="5" t="s">
        <v>11</v>
      </c>
      <c r="H1023" s="3" t="s">
        <v>362</v>
      </c>
      <c r="I1023" s="5" t="s">
        <v>434</v>
      </c>
      <c r="J1023" s="5">
        <f>_xlfn.XLOOKUP(CustomerCombined[[#This Row],[ID]], Table4[ID], Table4[Recency], "Not Found", 0)</f>
        <v>34</v>
      </c>
      <c r="K1023" s="5">
        <f>_xlfn.XLOOKUP(CustomerCombined[[#This Row],[ID]], Table4[ID], Table4[Teas], "Not Found", 0)</f>
        <v>657</v>
      </c>
      <c r="L1023" s="5">
        <f>_xlfn.XLOOKUP(CustomerCombined[[#This Row],[ID]], Table4[ID], Table4[Fruits], "Not Found", 0)</f>
        <v>182</v>
      </c>
      <c r="M1023" s="5">
        <f>_xlfn.XLOOKUP(CustomerCombined[[#This Row],[ID]], Table4[ID], Table4[Meats], "Not Found", 0)</f>
        <v>459</v>
      </c>
      <c r="N1023" s="5">
        <f>_xlfn.XLOOKUP(CustomerCombined[[#This Row],[ID]], Table4[ID], Table4[Seafood], "Not Found", 0)</f>
        <v>140</v>
      </c>
      <c r="O1023" s="5">
        <f>_xlfn.XLOOKUP(CustomerCombined[[#This Row],[ID]], Table4[ID], Table4[Sweets], "Not Found", 0)</f>
        <v>137</v>
      </c>
      <c r="P1023" s="5">
        <f>_xlfn.XLOOKUP(CustomerCombined[[#This Row],[ID]], Table4[ID], Table4[Premium], "Not Found", 0)</f>
        <v>76</v>
      </c>
      <c r="Q1023" s="5">
        <f>_xlfn.XLOOKUP(CustomerCombined[[#This Row],[ID]], Table4[ID], Table4[Regular], "Not Found", 0)</f>
        <v>1499</v>
      </c>
      <c r="R1023" s="5">
        <f>_xlfn.XLOOKUP(CustomerCombined[[#This Row],[ID]], Table4[ID], Table4[Deals], "Not Found", 0)</f>
        <v>4</v>
      </c>
      <c r="S1023" s="5">
        <f>_xlfn.XLOOKUP(CustomerCombined[[#This Row],[ID]], Table4[ID], Table4[Website], "Not Found", 0)</f>
        <v>7</v>
      </c>
      <c r="T1023" s="5">
        <f>_xlfn.XLOOKUP(CustomerCombined[[#This Row],[ID]], Table4[ID], Table4[Catalog], "Not Found", 0)</f>
        <v>3</v>
      </c>
      <c r="U1023" s="5">
        <f>_xlfn.XLOOKUP(CustomerCombined[[#This Row],[ID]], Table4[ID], Table4[Store], "Not Found", 0)</f>
        <v>7</v>
      </c>
      <c r="V1023" s="5">
        <f>_xlfn.XLOOKUP(CustomerCombined[[#This Row],[ID]], Table4[ID], Table4[Visits], "Not Found", 0)</f>
        <v>6</v>
      </c>
      <c r="W1023" s="8">
        <f>_xlfn.XLOOKUP(CustomerCombined[[#This Row],[ID]], Table2[ID],Table2[Complaint], "Not Found", 0 )</f>
        <v>0</v>
      </c>
      <c r="X1023" s="8">
        <f>_xlfn.XLOOKUP(CustomerCombined[[#This Row],[ID]], Table2[ID],Table2[Pilot], "Not Found", 0 )</f>
        <v>0</v>
      </c>
      <c r="Y1023" s="8">
        <f>_xlfn.XLOOKUP(CustomerCombined[[#This Row],[ID]], Table2[ID],Table2[MC1], "Not Found", 0 )</f>
        <v>0</v>
      </c>
      <c r="Z1023" s="8">
        <f>_xlfn.XLOOKUP(CustomerCombined[[#This Row],[ID]], Table2[ID],Table2[MC2], "Not Found", 0 )</f>
        <v>0</v>
      </c>
      <c r="AA1023" s="8">
        <f>_xlfn.XLOOKUP(CustomerCombined[[#This Row],[ID]], Table2[ID],Table2[MC3], "Not Found", 0 )</f>
        <v>0</v>
      </c>
      <c r="AB1023" s="8">
        <f>_xlfn.XLOOKUP(CustomerCombined[[#This Row],[ID]], Table2[ID],Table2[MC4], "Not Found", 0 )</f>
        <v>0</v>
      </c>
      <c r="AC1023" s="8">
        <f>_xlfn.XLOOKUP(CustomerCombined[[#This Row],[ID]], Table2[ID],Table2[MC5], "Not Found", 0 )</f>
        <v>0</v>
      </c>
    </row>
    <row r="1024" spans="1:29" x14ac:dyDescent="0.3">
      <c r="A1024" s="6">
        <v>1919</v>
      </c>
      <c r="B1024" s="6">
        <v>155239</v>
      </c>
      <c r="C1024" s="6">
        <v>0</v>
      </c>
      <c r="D1024" s="6">
        <v>1</v>
      </c>
      <c r="E1024" s="6">
        <v>49</v>
      </c>
      <c r="F1024" s="5" t="s">
        <v>7</v>
      </c>
      <c r="G1024" s="5" t="s">
        <v>11</v>
      </c>
      <c r="H1024" s="3" t="s">
        <v>222</v>
      </c>
      <c r="I1024" s="5" t="s">
        <v>434</v>
      </c>
      <c r="J1024" s="5">
        <f>_xlfn.XLOOKUP(CustomerCombined[[#This Row],[ID]], Table4[ID], Table4[Recency], "Not Found", 0)</f>
        <v>59</v>
      </c>
      <c r="K1024" s="5">
        <f>_xlfn.XLOOKUP(CustomerCombined[[#This Row],[ID]], Table4[ID], Table4[Teas], "Not Found", 0)</f>
        <v>1043</v>
      </c>
      <c r="L1024" s="5">
        <f>_xlfn.XLOOKUP(CustomerCombined[[#This Row],[ID]], Table4[ID], Table4[Fruits], "Not Found", 0)</f>
        <v>48</v>
      </c>
      <c r="M1024" s="5">
        <f>_xlfn.XLOOKUP(CustomerCombined[[#This Row],[ID]], Table4[ID], Table4[Meats], "Not Found", 0)</f>
        <v>669</v>
      </c>
      <c r="N1024" s="5">
        <f>_xlfn.XLOOKUP(CustomerCombined[[#This Row],[ID]], Table4[ID], Table4[Seafood], "Not Found", 0)</f>
        <v>65</v>
      </c>
      <c r="O1024" s="5">
        <f>_xlfn.XLOOKUP(CustomerCombined[[#This Row],[ID]], Table4[ID], Table4[Sweets], "Not Found", 0)</f>
        <v>67</v>
      </c>
      <c r="P1024" s="5">
        <f>_xlfn.XLOOKUP(CustomerCombined[[#This Row],[ID]], Table4[ID], Table4[Premium], "Not Found", 0)</f>
        <v>298</v>
      </c>
      <c r="Q1024" s="5">
        <f>_xlfn.XLOOKUP(CustomerCombined[[#This Row],[ID]], Table4[ID], Table4[Regular], "Not Found", 0)</f>
        <v>1593</v>
      </c>
      <c r="R1024" s="5">
        <f>_xlfn.XLOOKUP(CustomerCombined[[#This Row],[ID]], Table4[ID], Table4[Deals], "Not Found", 0)</f>
        <v>3</v>
      </c>
      <c r="S1024" s="5">
        <f>_xlfn.XLOOKUP(CustomerCombined[[#This Row],[ID]], Table4[ID], Table4[Website], "Not Found", 0)</f>
        <v>7</v>
      </c>
      <c r="T1024" s="5">
        <f>_xlfn.XLOOKUP(CustomerCombined[[#This Row],[ID]], Table4[ID], Table4[Catalog], "Not Found", 0)</f>
        <v>5</v>
      </c>
      <c r="U1024" s="5">
        <f>_xlfn.XLOOKUP(CustomerCombined[[#This Row],[ID]], Table4[ID], Table4[Store], "Not Found", 0)</f>
        <v>11</v>
      </c>
      <c r="V1024" s="5">
        <f>_xlfn.XLOOKUP(CustomerCombined[[#This Row],[ID]], Table4[ID], Table4[Visits], "Not Found", 0)</f>
        <v>5</v>
      </c>
      <c r="W1024" s="8">
        <f>_xlfn.XLOOKUP(CustomerCombined[[#This Row],[ID]], Table2[ID],Table2[Complaint], "Not Found", 0 )</f>
        <v>0</v>
      </c>
      <c r="X1024" s="8">
        <f>_xlfn.XLOOKUP(CustomerCombined[[#This Row],[ID]], Table2[ID],Table2[Pilot], "Not Found", 0 )</f>
        <v>0</v>
      </c>
      <c r="Y1024" s="8">
        <f>_xlfn.XLOOKUP(CustomerCombined[[#This Row],[ID]], Table2[ID],Table2[MC1], "Not Found", 0 )</f>
        <v>0</v>
      </c>
      <c r="Z1024" s="8">
        <f>_xlfn.XLOOKUP(CustomerCombined[[#This Row],[ID]], Table2[ID],Table2[MC2], "Not Found", 0 )</f>
        <v>0</v>
      </c>
      <c r="AA1024" s="8">
        <f>_xlfn.XLOOKUP(CustomerCombined[[#This Row],[ID]], Table2[ID],Table2[MC3], "Not Found", 0 )</f>
        <v>0</v>
      </c>
      <c r="AB1024" s="8">
        <f>_xlfn.XLOOKUP(CustomerCombined[[#This Row],[ID]], Table2[ID],Table2[MC4], "Not Found", 0 )</f>
        <v>0</v>
      </c>
      <c r="AC1024" s="8">
        <f>_xlfn.XLOOKUP(CustomerCombined[[#This Row],[ID]], Table2[ID],Table2[MC5], "Not Found", 0 )</f>
        <v>0</v>
      </c>
    </row>
    <row r="1025" spans="1:29" x14ac:dyDescent="0.3">
      <c r="A1025" s="6">
        <v>1651</v>
      </c>
      <c r="B1025" s="6">
        <v>154690</v>
      </c>
      <c r="C1025" s="6">
        <v>1</v>
      </c>
      <c r="D1025" s="6">
        <v>1</v>
      </c>
      <c r="E1025" s="6">
        <v>49</v>
      </c>
      <c r="F1025" s="5" t="s">
        <v>6</v>
      </c>
      <c r="G1025" s="5" t="s">
        <v>442</v>
      </c>
      <c r="H1025" s="3" t="s">
        <v>156</v>
      </c>
      <c r="I1025" s="5" t="s">
        <v>437</v>
      </c>
      <c r="J1025" s="5">
        <f>_xlfn.XLOOKUP(CustomerCombined[[#This Row],[ID]], Table4[ID], Table4[Recency], "Not Found", 0)</f>
        <v>76</v>
      </c>
      <c r="K1025" s="5">
        <f>_xlfn.XLOOKUP(CustomerCombined[[#This Row],[ID]], Table4[ID], Table4[Teas], "Not Found", 0)</f>
        <v>314</v>
      </c>
      <c r="L1025" s="5">
        <f>_xlfn.XLOOKUP(CustomerCombined[[#This Row],[ID]], Table4[ID], Table4[Fruits], "Not Found", 0)</f>
        <v>45</v>
      </c>
      <c r="M1025" s="5">
        <f>_xlfn.XLOOKUP(CustomerCombined[[#This Row],[ID]], Table4[ID], Table4[Meats], "Not Found", 0)</f>
        <v>105</v>
      </c>
      <c r="N1025" s="5">
        <f>_xlfn.XLOOKUP(CustomerCombined[[#This Row],[ID]], Table4[ID], Table4[Seafood], "Not Found", 0)</f>
        <v>20</v>
      </c>
      <c r="O1025" s="5">
        <f>_xlfn.XLOOKUP(CustomerCombined[[#This Row],[ID]], Table4[ID], Table4[Sweets], "Not Found", 0)</f>
        <v>25</v>
      </c>
      <c r="P1025" s="5">
        <f>_xlfn.XLOOKUP(CustomerCombined[[#This Row],[ID]], Table4[ID], Table4[Premium], "Not Found", 0)</f>
        <v>51</v>
      </c>
      <c r="Q1025" s="5">
        <f>_xlfn.XLOOKUP(CustomerCombined[[#This Row],[ID]], Table4[ID], Table4[Regular], "Not Found", 0)</f>
        <v>458</v>
      </c>
      <c r="R1025" s="5">
        <f>_xlfn.XLOOKUP(CustomerCombined[[#This Row],[ID]], Table4[ID], Table4[Deals], "Not Found", 0)</f>
        <v>3</v>
      </c>
      <c r="S1025" s="5">
        <f>_xlfn.XLOOKUP(CustomerCombined[[#This Row],[ID]], Table4[ID], Table4[Website], "Not Found", 0)</f>
        <v>3</v>
      </c>
      <c r="T1025" s="5">
        <f>_xlfn.XLOOKUP(CustomerCombined[[#This Row],[ID]], Table4[ID], Table4[Catalog], "Not Found", 0)</f>
        <v>1</v>
      </c>
      <c r="U1025" s="5">
        <f>_xlfn.XLOOKUP(CustomerCombined[[#This Row],[ID]], Table4[ID], Table4[Store], "Not Found", 0)</f>
        <v>5</v>
      </c>
      <c r="V1025" s="5">
        <f>_xlfn.XLOOKUP(CustomerCombined[[#This Row],[ID]], Table4[ID], Table4[Visits], "Not Found", 0)</f>
        <v>3</v>
      </c>
      <c r="W1025" s="8">
        <f>_xlfn.XLOOKUP(CustomerCombined[[#This Row],[ID]], Table2[ID],Table2[Complaint], "Not Found", 0 )</f>
        <v>0</v>
      </c>
      <c r="X1025" s="8">
        <f>_xlfn.XLOOKUP(CustomerCombined[[#This Row],[ID]], Table2[ID],Table2[Pilot], "Not Found", 0 )</f>
        <v>0</v>
      </c>
      <c r="Y1025" s="8">
        <f>_xlfn.XLOOKUP(CustomerCombined[[#This Row],[ID]], Table2[ID],Table2[MC1], "Not Found", 0 )</f>
        <v>0</v>
      </c>
      <c r="Z1025" s="8">
        <f>_xlfn.XLOOKUP(CustomerCombined[[#This Row],[ID]], Table2[ID],Table2[MC2], "Not Found", 0 )</f>
        <v>0</v>
      </c>
      <c r="AA1025" s="8">
        <f>_xlfn.XLOOKUP(CustomerCombined[[#This Row],[ID]], Table2[ID],Table2[MC3], "Not Found", 0 )</f>
        <v>0</v>
      </c>
      <c r="AB1025" s="8">
        <f>_xlfn.XLOOKUP(CustomerCombined[[#This Row],[ID]], Table2[ID],Table2[MC4], "Not Found", 0 )</f>
        <v>0</v>
      </c>
      <c r="AC1025" s="8">
        <f>_xlfn.XLOOKUP(CustomerCombined[[#This Row],[ID]], Table2[ID],Table2[MC5], "Not Found", 0 )</f>
        <v>0</v>
      </c>
    </row>
    <row r="1026" spans="1:29" x14ac:dyDescent="0.3">
      <c r="A1026" s="6">
        <v>2949</v>
      </c>
      <c r="B1026" s="6">
        <v>154690</v>
      </c>
      <c r="C1026" s="6">
        <v>1</v>
      </c>
      <c r="D1026" s="6">
        <v>1</v>
      </c>
      <c r="E1026" s="6">
        <v>49</v>
      </c>
      <c r="F1026" s="5" t="s">
        <v>6</v>
      </c>
      <c r="G1026" s="5" t="s">
        <v>442</v>
      </c>
      <c r="H1026" s="3" t="s">
        <v>156</v>
      </c>
      <c r="I1026" s="5" t="s">
        <v>435</v>
      </c>
      <c r="J1026" s="5">
        <f>_xlfn.XLOOKUP(CustomerCombined[[#This Row],[ID]], Table4[ID], Table4[Recency], "Not Found", 0)</f>
        <v>76</v>
      </c>
      <c r="K1026" s="5">
        <f>_xlfn.XLOOKUP(CustomerCombined[[#This Row],[ID]], Table4[ID], Table4[Teas], "Not Found", 0)</f>
        <v>314</v>
      </c>
      <c r="L1026" s="5">
        <f>_xlfn.XLOOKUP(CustomerCombined[[#This Row],[ID]], Table4[ID], Table4[Fruits], "Not Found", 0)</f>
        <v>45</v>
      </c>
      <c r="M1026" s="5">
        <f>_xlfn.XLOOKUP(CustomerCombined[[#This Row],[ID]], Table4[ID], Table4[Meats], "Not Found", 0)</f>
        <v>105</v>
      </c>
      <c r="N1026" s="5">
        <f>_xlfn.XLOOKUP(CustomerCombined[[#This Row],[ID]], Table4[ID], Table4[Seafood], "Not Found", 0)</f>
        <v>20</v>
      </c>
      <c r="O1026" s="5">
        <f>_xlfn.XLOOKUP(CustomerCombined[[#This Row],[ID]], Table4[ID], Table4[Sweets], "Not Found", 0)</f>
        <v>25</v>
      </c>
      <c r="P1026" s="5">
        <f>_xlfn.XLOOKUP(CustomerCombined[[#This Row],[ID]], Table4[ID], Table4[Premium], "Not Found", 0)</f>
        <v>51</v>
      </c>
      <c r="Q1026" s="5">
        <f>_xlfn.XLOOKUP(CustomerCombined[[#This Row],[ID]], Table4[ID], Table4[Regular], "Not Found", 0)</f>
        <v>458</v>
      </c>
      <c r="R1026" s="5">
        <f>_xlfn.XLOOKUP(CustomerCombined[[#This Row],[ID]], Table4[ID], Table4[Deals], "Not Found", 0)</f>
        <v>3</v>
      </c>
      <c r="S1026" s="5">
        <f>_xlfn.XLOOKUP(CustomerCombined[[#This Row],[ID]], Table4[ID], Table4[Website], "Not Found", 0)</f>
        <v>3</v>
      </c>
      <c r="T1026" s="5">
        <f>_xlfn.XLOOKUP(CustomerCombined[[#This Row],[ID]], Table4[ID], Table4[Catalog], "Not Found", 0)</f>
        <v>1</v>
      </c>
      <c r="U1026" s="5">
        <f>_xlfn.XLOOKUP(CustomerCombined[[#This Row],[ID]], Table4[ID], Table4[Store], "Not Found", 0)</f>
        <v>5</v>
      </c>
      <c r="V1026" s="5">
        <f>_xlfn.XLOOKUP(CustomerCombined[[#This Row],[ID]], Table4[ID], Table4[Visits], "Not Found", 0)</f>
        <v>3</v>
      </c>
      <c r="W1026" s="8">
        <f>_xlfn.XLOOKUP(CustomerCombined[[#This Row],[ID]], Table2[ID],Table2[Complaint], "Not Found", 0 )</f>
        <v>0</v>
      </c>
      <c r="X1026" s="8">
        <f>_xlfn.XLOOKUP(CustomerCombined[[#This Row],[ID]], Table2[ID],Table2[Pilot], "Not Found", 0 )</f>
        <v>0</v>
      </c>
      <c r="Y1026" s="8">
        <f>_xlfn.XLOOKUP(CustomerCombined[[#This Row],[ID]], Table2[ID],Table2[MC1], "Not Found", 0 )</f>
        <v>0</v>
      </c>
      <c r="Z1026" s="8">
        <f>_xlfn.XLOOKUP(CustomerCombined[[#This Row],[ID]], Table2[ID],Table2[MC2], "Not Found", 0 )</f>
        <v>0</v>
      </c>
      <c r="AA1026" s="8">
        <f>_xlfn.XLOOKUP(CustomerCombined[[#This Row],[ID]], Table2[ID],Table2[MC3], "Not Found", 0 )</f>
        <v>0</v>
      </c>
      <c r="AB1026" s="8">
        <f>_xlfn.XLOOKUP(CustomerCombined[[#This Row],[ID]], Table2[ID],Table2[MC4], "Not Found", 0 )</f>
        <v>0</v>
      </c>
      <c r="AC1026" s="8">
        <f>_xlfn.XLOOKUP(CustomerCombined[[#This Row],[ID]], Table2[ID],Table2[MC5], "Not Found", 0 )</f>
        <v>0</v>
      </c>
    </row>
    <row r="1027" spans="1:29" x14ac:dyDescent="0.3">
      <c r="A1027" s="6">
        <v>3146</v>
      </c>
      <c r="B1027" s="6">
        <v>152914</v>
      </c>
      <c r="C1027" s="6">
        <v>0</v>
      </c>
      <c r="D1027" s="6">
        <v>1</v>
      </c>
      <c r="E1027" s="6">
        <v>49</v>
      </c>
      <c r="F1027" s="5" t="s">
        <v>6</v>
      </c>
      <c r="G1027" s="5" t="s">
        <v>11</v>
      </c>
      <c r="H1027" s="3" t="s">
        <v>333</v>
      </c>
      <c r="I1027" s="5" t="s">
        <v>438</v>
      </c>
      <c r="J1027" s="5">
        <f>_xlfn.XLOOKUP(CustomerCombined[[#This Row],[ID]], Table4[ID], Table4[Recency], "Not Found", 0)</f>
        <v>32</v>
      </c>
      <c r="K1027" s="5">
        <f>_xlfn.XLOOKUP(CustomerCombined[[#This Row],[ID]], Table4[ID], Table4[Teas], "Not Found", 0)</f>
        <v>734</v>
      </c>
      <c r="L1027" s="5">
        <f>_xlfn.XLOOKUP(CustomerCombined[[#This Row],[ID]], Table4[ID], Table4[Fruits], "Not Found", 0)</f>
        <v>29</v>
      </c>
      <c r="M1027" s="5">
        <f>_xlfn.XLOOKUP(CustomerCombined[[#This Row],[ID]], Table4[ID], Table4[Meats], "Not Found", 0)</f>
        <v>127</v>
      </c>
      <c r="N1027" s="5">
        <f>_xlfn.XLOOKUP(CustomerCombined[[#This Row],[ID]], Table4[ID], Table4[Seafood], "Not Found", 0)</f>
        <v>87</v>
      </c>
      <c r="O1027" s="5">
        <f>_xlfn.XLOOKUP(CustomerCombined[[#This Row],[ID]], Table4[ID], Table4[Sweets], "Not Found", 0)</f>
        <v>29</v>
      </c>
      <c r="P1027" s="5">
        <f>_xlfn.XLOOKUP(CustomerCombined[[#This Row],[ID]], Table4[ID], Table4[Premium], "Not Found", 0)</f>
        <v>656</v>
      </c>
      <c r="Q1027" s="5">
        <f>_xlfn.XLOOKUP(CustomerCombined[[#This Row],[ID]], Table4[ID], Table4[Regular], "Not Found", 0)</f>
        <v>350</v>
      </c>
      <c r="R1027" s="5">
        <f>_xlfn.XLOOKUP(CustomerCombined[[#This Row],[ID]], Table4[ID], Table4[Deals], "Not Found", 0)</f>
        <v>2</v>
      </c>
      <c r="S1027" s="5">
        <f>_xlfn.XLOOKUP(CustomerCombined[[#This Row],[ID]], Table4[ID], Table4[Website], "Not Found", 0)</f>
        <v>7</v>
      </c>
      <c r="T1027" s="5">
        <f>_xlfn.XLOOKUP(CustomerCombined[[#This Row],[ID]], Table4[ID], Table4[Catalog], "Not Found", 0)</f>
        <v>3</v>
      </c>
      <c r="U1027" s="5">
        <f>_xlfn.XLOOKUP(CustomerCombined[[#This Row],[ID]], Table4[ID], Table4[Store], "Not Found", 0)</f>
        <v>3</v>
      </c>
      <c r="V1027" s="5">
        <f>_xlfn.XLOOKUP(CustomerCombined[[#This Row],[ID]], Table4[ID], Table4[Visits], "Not Found", 0)</f>
        <v>7</v>
      </c>
      <c r="W1027" s="8">
        <f>_xlfn.XLOOKUP(CustomerCombined[[#This Row],[ID]], Table2[ID],Table2[Complaint], "Not Found", 0 )</f>
        <v>0</v>
      </c>
      <c r="X1027" s="8">
        <f>_xlfn.XLOOKUP(CustomerCombined[[#This Row],[ID]], Table2[ID],Table2[Pilot], "Not Found", 0 )</f>
        <v>0</v>
      </c>
      <c r="Y1027" s="8">
        <f>_xlfn.XLOOKUP(CustomerCombined[[#This Row],[ID]], Table2[ID],Table2[MC1], "Not Found", 0 )</f>
        <v>0</v>
      </c>
      <c r="Z1027" s="8">
        <f>_xlfn.XLOOKUP(CustomerCombined[[#This Row],[ID]], Table2[ID],Table2[MC2], "Not Found", 0 )</f>
        <v>0</v>
      </c>
      <c r="AA1027" s="8">
        <f>_xlfn.XLOOKUP(CustomerCombined[[#This Row],[ID]], Table2[ID],Table2[MC3], "Not Found", 0 )</f>
        <v>1</v>
      </c>
      <c r="AB1027" s="8">
        <f>_xlfn.XLOOKUP(CustomerCombined[[#This Row],[ID]], Table2[ID],Table2[MC4], "Not Found", 0 )</f>
        <v>0</v>
      </c>
      <c r="AC1027" s="8">
        <f>_xlfn.XLOOKUP(CustomerCombined[[#This Row],[ID]], Table2[ID],Table2[MC5], "Not Found", 0 )</f>
        <v>0</v>
      </c>
    </row>
    <row r="1028" spans="1:29" x14ac:dyDescent="0.3">
      <c r="A1028" s="6">
        <v>2270</v>
      </c>
      <c r="B1028" s="6">
        <v>152531</v>
      </c>
      <c r="C1028" s="6">
        <v>0</v>
      </c>
      <c r="D1028" s="6">
        <v>0</v>
      </c>
      <c r="E1028" s="6">
        <v>49</v>
      </c>
      <c r="F1028" s="5" t="s">
        <v>6</v>
      </c>
      <c r="G1028" s="5" t="s">
        <v>11</v>
      </c>
      <c r="H1028" s="3">
        <v>43622</v>
      </c>
      <c r="I1028" s="5" t="s">
        <v>438</v>
      </c>
      <c r="J1028" s="5">
        <f>_xlfn.XLOOKUP(CustomerCombined[[#This Row],[ID]], Table4[ID], Table4[Recency], "Not Found", 0)</f>
        <v>68</v>
      </c>
      <c r="K1028" s="5">
        <f>_xlfn.XLOOKUP(CustomerCombined[[#This Row],[ID]], Table4[ID], Table4[Teas], "Not Found", 0)</f>
        <v>822</v>
      </c>
      <c r="L1028" s="5">
        <f>_xlfn.XLOOKUP(CustomerCombined[[#This Row],[ID]], Table4[ID], Table4[Fruits], "Not Found", 0)</f>
        <v>325</v>
      </c>
      <c r="M1028" s="5">
        <f>_xlfn.XLOOKUP(CustomerCombined[[#This Row],[ID]], Table4[ID], Table4[Meats], "Not Found", 0)</f>
        <v>438</v>
      </c>
      <c r="N1028" s="5">
        <f>_xlfn.XLOOKUP(CustomerCombined[[#This Row],[ID]], Table4[ID], Table4[Seafood], "Not Found", 0)</f>
        <v>148</v>
      </c>
      <c r="O1028" s="5">
        <f>_xlfn.XLOOKUP(CustomerCombined[[#This Row],[ID]], Table4[ID], Table4[Sweets], "Not Found", 0)</f>
        <v>209</v>
      </c>
      <c r="P1028" s="5">
        <f>_xlfn.XLOOKUP(CustomerCombined[[#This Row],[ID]], Table4[ID], Table4[Premium], "Not Found", 0)</f>
        <v>363</v>
      </c>
      <c r="Q1028" s="5">
        <f>_xlfn.XLOOKUP(CustomerCombined[[#This Row],[ID]], Table4[ID], Table4[Regular], "Not Found", 0)</f>
        <v>1580</v>
      </c>
      <c r="R1028" s="5">
        <f>_xlfn.XLOOKUP(CustomerCombined[[#This Row],[ID]], Table4[ID], Table4[Deals], "Not Found", 0)</f>
        <v>2</v>
      </c>
      <c r="S1028" s="5">
        <f>_xlfn.XLOOKUP(CustomerCombined[[#This Row],[ID]], Table4[ID], Table4[Website], "Not Found", 0)</f>
        <v>7</v>
      </c>
      <c r="T1028" s="5">
        <f>_xlfn.XLOOKUP(CustomerCombined[[#This Row],[ID]], Table4[ID], Table4[Catalog], "Not Found", 0)</f>
        <v>2</v>
      </c>
      <c r="U1028" s="5">
        <f>_xlfn.XLOOKUP(CustomerCombined[[#This Row],[ID]], Table4[ID], Table4[Store], "Not Found", 0)</f>
        <v>10</v>
      </c>
      <c r="V1028" s="5">
        <f>_xlfn.XLOOKUP(CustomerCombined[[#This Row],[ID]], Table4[ID], Table4[Visits], "Not Found", 0)</f>
        <v>6</v>
      </c>
      <c r="W1028" s="8">
        <f>_xlfn.XLOOKUP(CustomerCombined[[#This Row],[ID]], Table2[ID],Table2[Complaint], "Not Found", 0 )</f>
        <v>0</v>
      </c>
      <c r="X1028" s="8">
        <f>_xlfn.XLOOKUP(CustomerCombined[[#This Row],[ID]], Table2[ID],Table2[Pilot], "Not Found", 0 )</f>
        <v>0</v>
      </c>
      <c r="Y1028" s="8">
        <f>_xlfn.XLOOKUP(CustomerCombined[[#This Row],[ID]], Table2[ID],Table2[MC1], "Not Found", 0 )</f>
        <v>0</v>
      </c>
      <c r="Z1028" s="8">
        <f>_xlfn.XLOOKUP(CustomerCombined[[#This Row],[ID]], Table2[ID],Table2[MC2], "Not Found", 0 )</f>
        <v>0</v>
      </c>
      <c r="AA1028" s="8">
        <f>_xlfn.XLOOKUP(CustomerCombined[[#This Row],[ID]], Table2[ID],Table2[MC3], "Not Found", 0 )</f>
        <v>0</v>
      </c>
      <c r="AB1028" s="8">
        <f>_xlfn.XLOOKUP(CustomerCombined[[#This Row],[ID]], Table2[ID],Table2[MC4], "Not Found", 0 )</f>
        <v>0</v>
      </c>
      <c r="AC1028" s="8">
        <f>_xlfn.XLOOKUP(CustomerCombined[[#This Row],[ID]], Table2[ID],Table2[MC5], "Not Found", 0 )</f>
        <v>0</v>
      </c>
    </row>
    <row r="1029" spans="1:29" x14ac:dyDescent="0.3">
      <c r="A1029" s="6">
        <v>1403</v>
      </c>
      <c r="B1029" s="6">
        <v>149505</v>
      </c>
      <c r="C1029" s="6">
        <v>1</v>
      </c>
      <c r="D1029" s="6">
        <v>1</v>
      </c>
      <c r="E1029" s="6">
        <v>49</v>
      </c>
      <c r="F1029" s="5" t="s">
        <v>6</v>
      </c>
      <c r="G1029" s="5" t="s">
        <v>12</v>
      </c>
      <c r="H1029" s="3">
        <v>43746</v>
      </c>
      <c r="I1029" s="5" t="s">
        <v>434</v>
      </c>
      <c r="J1029" s="5">
        <f>_xlfn.XLOOKUP(CustomerCombined[[#This Row],[ID]], Table4[ID], Table4[Recency], "Not Found", 0)</f>
        <v>4</v>
      </c>
      <c r="K1029" s="5">
        <f>_xlfn.XLOOKUP(CustomerCombined[[#This Row],[ID]], Table4[ID], Table4[Teas], "Not Found", 0)</f>
        <v>1824</v>
      </c>
      <c r="L1029" s="5">
        <f>_xlfn.XLOOKUP(CustomerCombined[[#This Row],[ID]], Table4[ID], Table4[Fruits], "Not Found", 0)</f>
        <v>0</v>
      </c>
      <c r="M1029" s="5">
        <f>_xlfn.XLOOKUP(CustomerCombined[[#This Row],[ID]], Table4[ID], Table4[Meats], "Not Found", 0)</f>
        <v>302</v>
      </c>
      <c r="N1029" s="5">
        <f>_xlfn.XLOOKUP(CustomerCombined[[#This Row],[ID]], Table4[ID], Table4[Seafood], "Not Found", 0)</f>
        <v>57</v>
      </c>
      <c r="O1029" s="5">
        <f>_xlfn.XLOOKUP(CustomerCombined[[#This Row],[ID]], Table4[ID], Table4[Sweets], "Not Found", 0)</f>
        <v>0</v>
      </c>
      <c r="P1029" s="5">
        <f>_xlfn.XLOOKUP(CustomerCombined[[#This Row],[ID]], Table4[ID], Table4[Premium], "Not Found", 0)</f>
        <v>85</v>
      </c>
      <c r="Q1029" s="5">
        <f>_xlfn.XLOOKUP(CustomerCombined[[#This Row],[ID]], Table4[ID], Table4[Regular], "Not Found", 0)</f>
        <v>2099</v>
      </c>
      <c r="R1029" s="5">
        <f>_xlfn.XLOOKUP(CustomerCombined[[#This Row],[ID]], Table4[ID], Table4[Deals], "Not Found", 0)</f>
        <v>9</v>
      </c>
      <c r="S1029" s="5">
        <f>_xlfn.XLOOKUP(CustomerCombined[[#This Row],[ID]], Table4[ID], Table4[Website], "Not Found", 0)</f>
        <v>10</v>
      </c>
      <c r="T1029" s="5">
        <f>_xlfn.XLOOKUP(CustomerCombined[[#This Row],[ID]], Table4[ID], Table4[Catalog], "Not Found", 0)</f>
        <v>2</v>
      </c>
      <c r="U1029" s="5">
        <f>_xlfn.XLOOKUP(CustomerCombined[[#This Row],[ID]], Table4[ID], Table4[Store], "Not Found", 0)</f>
        <v>8</v>
      </c>
      <c r="V1029" s="5">
        <f>_xlfn.XLOOKUP(CustomerCombined[[#This Row],[ID]], Table4[ID], Table4[Visits], "Not Found", 0)</f>
        <v>8</v>
      </c>
      <c r="W1029" s="8">
        <f>_xlfn.XLOOKUP(CustomerCombined[[#This Row],[ID]], Table2[ID],Table2[Complaint], "Not Found", 0 )</f>
        <v>0</v>
      </c>
      <c r="X1029" s="8">
        <f>_xlfn.XLOOKUP(CustomerCombined[[#This Row],[ID]], Table2[ID],Table2[Pilot], "Not Found", 0 )</f>
        <v>0</v>
      </c>
      <c r="Y1029" s="8">
        <f>_xlfn.XLOOKUP(CustomerCombined[[#This Row],[ID]], Table2[ID],Table2[MC1], "Not Found", 0 )</f>
        <v>0</v>
      </c>
      <c r="Z1029" s="8">
        <f>_xlfn.XLOOKUP(CustomerCombined[[#This Row],[ID]], Table2[ID],Table2[MC2], "Not Found", 0 )</f>
        <v>0</v>
      </c>
      <c r="AA1029" s="8">
        <f>_xlfn.XLOOKUP(CustomerCombined[[#This Row],[ID]], Table2[ID],Table2[MC3], "Not Found", 0 )</f>
        <v>0</v>
      </c>
      <c r="AB1029" s="8">
        <f>_xlfn.XLOOKUP(CustomerCombined[[#This Row],[ID]], Table2[ID],Table2[MC4], "Not Found", 0 )</f>
        <v>0</v>
      </c>
      <c r="AC1029" s="8">
        <f>_xlfn.XLOOKUP(CustomerCombined[[#This Row],[ID]], Table2[ID],Table2[MC5], "Not Found", 0 )</f>
        <v>0</v>
      </c>
    </row>
    <row r="1030" spans="1:29" x14ac:dyDescent="0.3">
      <c r="A1030" s="6">
        <v>1453</v>
      </c>
      <c r="B1030" s="6">
        <v>149269</v>
      </c>
      <c r="C1030" s="6">
        <v>1</v>
      </c>
      <c r="D1030" s="6">
        <v>0</v>
      </c>
      <c r="E1030" s="6">
        <v>49</v>
      </c>
      <c r="F1030" s="5" t="s">
        <v>8</v>
      </c>
      <c r="G1030" s="5" t="s">
        <v>13</v>
      </c>
      <c r="H1030" s="3" t="s">
        <v>413</v>
      </c>
      <c r="I1030" s="5" t="s">
        <v>437</v>
      </c>
      <c r="J1030" s="5">
        <f>_xlfn.XLOOKUP(CustomerCombined[[#This Row],[ID]], Table4[ID], Table4[Recency], "Not Found", 0)</f>
        <v>92</v>
      </c>
      <c r="K1030" s="5">
        <f>_xlfn.XLOOKUP(CustomerCombined[[#This Row],[ID]], Table4[ID], Table4[Teas], "Not Found", 0)</f>
        <v>1936</v>
      </c>
      <c r="L1030" s="5">
        <f>_xlfn.XLOOKUP(CustomerCombined[[#This Row],[ID]], Table4[ID], Table4[Fruits], "Not Found", 0)</f>
        <v>24</v>
      </c>
      <c r="M1030" s="5">
        <f>_xlfn.XLOOKUP(CustomerCombined[[#This Row],[ID]], Table4[ID], Table4[Meats], "Not Found", 0)</f>
        <v>503</v>
      </c>
      <c r="N1030" s="5">
        <f>_xlfn.XLOOKUP(CustomerCombined[[#This Row],[ID]], Table4[ID], Table4[Seafood], "Not Found", 0)</f>
        <v>33</v>
      </c>
      <c r="O1030" s="5">
        <f>_xlfn.XLOOKUP(CustomerCombined[[#This Row],[ID]], Table4[ID], Table4[Sweets], "Not Found", 0)</f>
        <v>24</v>
      </c>
      <c r="P1030" s="5">
        <f>_xlfn.XLOOKUP(CustomerCombined[[#This Row],[ID]], Table4[ID], Table4[Premium], "Not Found", 0)</f>
        <v>176</v>
      </c>
      <c r="Q1030" s="5">
        <f>_xlfn.XLOOKUP(CustomerCombined[[#This Row],[ID]], Table4[ID], Table4[Regular], "Not Found", 0)</f>
        <v>2345</v>
      </c>
      <c r="R1030" s="5">
        <f>_xlfn.XLOOKUP(CustomerCombined[[#This Row],[ID]], Table4[ID], Table4[Deals], "Not Found", 0)</f>
        <v>3</v>
      </c>
      <c r="S1030" s="5">
        <f>_xlfn.XLOOKUP(CustomerCombined[[#This Row],[ID]], Table4[ID], Table4[Website], "Not Found", 0)</f>
        <v>7</v>
      </c>
      <c r="T1030" s="5">
        <f>_xlfn.XLOOKUP(CustomerCombined[[#This Row],[ID]], Table4[ID], Table4[Catalog], "Not Found", 0)</f>
        <v>3</v>
      </c>
      <c r="U1030" s="5">
        <f>_xlfn.XLOOKUP(CustomerCombined[[#This Row],[ID]], Table4[ID], Table4[Store], "Not Found", 0)</f>
        <v>12</v>
      </c>
      <c r="V1030" s="5">
        <f>_xlfn.XLOOKUP(CustomerCombined[[#This Row],[ID]], Table4[ID], Table4[Visits], "Not Found", 0)</f>
        <v>7</v>
      </c>
      <c r="W1030" s="8">
        <f>_xlfn.XLOOKUP(CustomerCombined[[#This Row],[ID]], Table2[ID],Table2[Complaint], "Not Found", 0 )</f>
        <v>0</v>
      </c>
      <c r="X1030" s="8">
        <f>_xlfn.XLOOKUP(CustomerCombined[[#This Row],[ID]], Table2[ID],Table2[Pilot], "Not Found", 0 )</f>
        <v>0</v>
      </c>
      <c r="Y1030" s="8">
        <f>_xlfn.XLOOKUP(CustomerCombined[[#This Row],[ID]], Table2[ID],Table2[MC1], "Not Found", 0 )</f>
        <v>0</v>
      </c>
      <c r="Z1030" s="8">
        <f>_xlfn.XLOOKUP(CustomerCombined[[#This Row],[ID]], Table2[ID],Table2[MC2], "Not Found", 0 )</f>
        <v>0</v>
      </c>
      <c r="AA1030" s="8">
        <f>_xlfn.XLOOKUP(CustomerCombined[[#This Row],[ID]], Table2[ID],Table2[MC3], "Not Found", 0 )</f>
        <v>0</v>
      </c>
      <c r="AB1030" s="8">
        <f>_xlfn.XLOOKUP(CustomerCombined[[#This Row],[ID]], Table2[ID],Table2[MC4], "Not Found", 0 )</f>
        <v>0</v>
      </c>
      <c r="AC1030" s="8">
        <f>_xlfn.XLOOKUP(CustomerCombined[[#This Row],[ID]], Table2[ID],Table2[MC5], "Not Found", 0 )</f>
        <v>0</v>
      </c>
    </row>
    <row r="1031" spans="1:29" x14ac:dyDescent="0.3">
      <c r="A1031" s="6">
        <v>2262</v>
      </c>
      <c r="B1031" s="6">
        <v>149118</v>
      </c>
      <c r="C1031" s="6">
        <v>0</v>
      </c>
      <c r="D1031" s="6">
        <v>0</v>
      </c>
      <c r="E1031" s="6">
        <v>49</v>
      </c>
      <c r="F1031" s="5" t="s">
        <v>5</v>
      </c>
      <c r="G1031" s="5" t="s">
        <v>442</v>
      </c>
      <c r="H1031" s="3" t="s">
        <v>410</v>
      </c>
      <c r="I1031" s="5" t="s">
        <v>436</v>
      </c>
      <c r="J1031" s="5">
        <f>_xlfn.XLOOKUP(CustomerCombined[[#This Row],[ID]], Table4[ID], Table4[Recency], "Not Found", 0)</f>
        <v>90</v>
      </c>
      <c r="K1031" s="5">
        <f>_xlfn.XLOOKUP(CustomerCombined[[#This Row],[ID]], Table4[ID], Table4[Teas], "Not Found", 0)</f>
        <v>1882</v>
      </c>
      <c r="L1031" s="5">
        <f>_xlfn.XLOOKUP(CustomerCombined[[#This Row],[ID]], Table4[ID], Table4[Fruits], "Not Found", 0)</f>
        <v>164</v>
      </c>
      <c r="M1031" s="5">
        <f>_xlfn.XLOOKUP(CustomerCombined[[#This Row],[ID]], Table4[ID], Table4[Meats], "Not Found", 0)</f>
        <v>726</v>
      </c>
      <c r="N1031" s="5">
        <f>_xlfn.XLOOKUP(CustomerCombined[[#This Row],[ID]], Table4[ID], Table4[Seafood], "Not Found", 0)</f>
        <v>301</v>
      </c>
      <c r="O1031" s="5">
        <f>_xlfn.XLOOKUP(CustomerCombined[[#This Row],[ID]], Table4[ID], Table4[Sweets], "Not Found", 0)</f>
        <v>298</v>
      </c>
      <c r="P1031" s="5">
        <f>_xlfn.XLOOKUP(CustomerCombined[[#This Row],[ID]], Table4[ID], Table4[Premium], "Not Found", 0)</f>
        <v>361</v>
      </c>
      <c r="Q1031" s="5">
        <f>_xlfn.XLOOKUP(CustomerCombined[[#This Row],[ID]], Table4[ID], Table4[Regular], "Not Found", 0)</f>
        <v>3009</v>
      </c>
      <c r="R1031" s="5">
        <f>_xlfn.XLOOKUP(CustomerCombined[[#This Row],[ID]], Table4[ID], Table4[Deals], "Not Found", 0)</f>
        <v>2</v>
      </c>
      <c r="S1031" s="5">
        <f>_xlfn.XLOOKUP(CustomerCombined[[#This Row],[ID]], Table4[ID], Table4[Website], "Not Found", 0)</f>
        <v>9</v>
      </c>
      <c r="T1031" s="5">
        <f>_xlfn.XLOOKUP(CustomerCombined[[#This Row],[ID]], Table4[ID], Table4[Catalog], "Not Found", 0)</f>
        <v>7</v>
      </c>
      <c r="U1031" s="5">
        <f>_xlfn.XLOOKUP(CustomerCombined[[#This Row],[ID]], Table4[ID], Table4[Store], "Not Found", 0)</f>
        <v>10</v>
      </c>
      <c r="V1031" s="5">
        <f>_xlfn.XLOOKUP(CustomerCombined[[#This Row],[ID]], Table4[ID], Table4[Visits], "Not Found", 0)</f>
        <v>7</v>
      </c>
      <c r="W1031" s="8">
        <f>_xlfn.XLOOKUP(CustomerCombined[[#This Row],[ID]], Table2[ID],Table2[Complaint], "Not Found", 0 )</f>
        <v>0</v>
      </c>
      <c r="X1031" s="8">
        <f>_xlfn.XLOOKUP(CustomerCombined[[#This Row],[ID]], Table2[ID],Table2[Pilot], "Not Found", 0 )</f>
        <v>1</v>
      </c>
      <c r="Y1031" s="8">
        <f>_xlfn.XLOOKUP(CustomerCombined[[#This Row],[ID]], Table2[ID],Table2[MC1], "Not Found", 0 )</f>
        <v>0</v>
      </c>
      <c r="Z1031" s="8">
        <f>_xlfn.XLOOKUP(CustomerCombined[[#This Row],[ID]], Table2[ID],Table2[MC2], "Not Found", 0 )</f>
        <v>1</v>
      </c>
      <c r="AA1031" s="8">
        <f>_xlfn.XLOOKUP(CustomerCombined[[#This Row],[ID]], Table2[ID],Table2[MC3], "Not Found", 0 )</f>
        <v>0</v>
      </c>
      <c r="AB1031" s="8">
        <f>_xlfn.XLOOKUP(CustomerCombined[[#This Row],[ID]], Table2[ID],Table2[MC4], "Not Found", 0 )</f>
        <v>1</v>
      </c>
      <c r="AC1031" s="8">
        <f>_xlfn.XLOOKUP(CustomerCombined[[#This Row],[ID]], Table2[ID],Table2[MC5], "Not Found", 0 )</f>
        <v>0</v>
      </c>
    </row>
    <row r="1032" spans="1:29" x14ac:dyDescent="0.3">
      <c r="A1032" s="6">
        <v>2602</v>
      </c>
      <c r="B1032" s="6">
        <v>147111</v>
      </c>
      <c r="C1032" s="6">
        <v>0</v>
      </c>
      <c r="D1032" s="6">
        <v>1</v>
      </c>
      <c r="E1032" s="6">
        <v>49</v>
      </c>
      <c r="F1032" s="5" t="s">
        <v>9</v>
      </c>
      <c r="G1032" s="5" t="s">
        <v>13</v>
      </c>
      <c r="H1032" s="3" t="s">
        <v>401</v>
      </c>
      <c r="I1032" s="5" t="s">
        <v>439</v>
      </c>
      <c r="J1032" s="5">
        <f>_xlfn.XLOOKUP(CustomerCombined[[#This Row],[ID]], Table4[ID], Table4[Recency], "Not Found", 0)</f>
        <v>35</v>
      </c>
      <c r="K1032" s="5">
        <f>_xlfn.XLOOKUP(CustomerCombined[[#This Row],[ID]], Table4[ID], Table4[Teas], "Not Found", 0)</f>
        <v>1858</v>
      </c>
      <c r="L1032" s="5">
        <f>_xlfn.XLOOKUP(CustomerCombined[[#This Row],[ID]], Table4[ID], Table4[Fruits], "Not Found", 0)</f>
        <v>222</v>
      </c>
      <c r="M1032" s="5">
        <f>_xlfn.XLOOKUP(CustomerCombined[[#This Row],[ID]], Table4[ID], Table4[Meats], "Not Found", 0)</f>
        <v>478</v>
      </c>
      <c r="N1032" s="5">
        <f>_xlfn.XLOOKUP(CustomerCombined[[#This Row],[ID]], Table4[ID], Table4[Seafood], "Not Found", 0)</f>
        <v>375</v>
      </c>
      <c r="O1032" s="5">
        <f>_xlfn.XLOOKUP(CustomerCombined[[#This Row],[ID]], Table4[ID], Table4[Sweets], "Not Found", 0)</f>
        <v>350</v>
      </c>
      <c r="P1032" s="5">
        <f>_xlfn.XLOOKUP(CustomerCombined[[#This Row],[ID]], Table4[ID], Table4[Premium], "Not Found", 0)</f>
        <v>128</v>
      </c>
      <c r="Q1032" s="5">
        <f>_xlfn.XLOOKUP(CustomerCombined[[#This Row],[ID]], Table4[ID], Table4[Regular], "Not Found", 0)</f>
        <v>3154</v>
      </c>
      <c r="R1032" s="5">
        <f>_xlfn.XLOOKUP(CustomerCombined[[#This Row],[ID]], Table4[ID], Table4[Deals], "Not Found", 0)</f>
        <v>6</v>
      </c>
      <c r="S1032" s="5">
        <f>_xlfn.XLOOKUP(CustomerCombined[[#This Row],[ID]], Table4[ID], Table4[Website], "Not Found", 0)</f>
        <v>3</v>
      </c>
      <c r="T1032" s="5">
        <f>_xlfn.XLOOKUP(CustomerCombined[[#This Row],[ID]], Table4[ID], Table4[Catalog], "Not Found", 0)</f>
        <v>2</v>
      </c>
      <c r="U1032" s="5">
        <f>_xlfn.XLOOKUP(CustomerCombined[[#This Row],[ID]], Table4[ID], Table4[Store], "Not Found", 0)</f>
        <v>10</v>
      </c>
      <c r="V1032" s="5">
        <f>_xlfn.XLOOKUP(CustomerCombined[[#This Row],[ID]], Table4[ID], Table4[Visits], "Not Found", 0)</f>
        <v>9</v>
      </c>
      <c r="W1032" s="8">
        <f>_xlfn.XLOOKUP(CustomerCombined[[#This Row],[ID]], Table2[ID],Table2[Complaint], "Not Found", 0 )</f>
        <v>0</v>
      </c>
      <c r="X1032" s="8">
        <f>_xlfn.XLOOKUP(CustomerCombined[[#This Row],[ID]], Table2[ID],Table2[Pilot], "Not Found", 0 )</f>
        <v>0</v>
      </c>
      <c r="Y1032" s="8">
        <f>_xlfn.XLOOKUP(CustomerCombined[[#This Row],[ID]], Table2[ID],Table2[MC1], "Not Found", 0 )</f>
        <v>0</v>
      </c>
      <c r="Z1032" s="8">
        <f>_xlfn.XLOOKUP(CustomerCombined[[#This Row],[ID]], Table2[ID],Table2[MC2], "Not Found", 0 )</f>
        <v>0</v>
      </c>
      <c r="AA1032" s="8">
        <f>_xlfn.XLOOKUP(CustomerCombined[[#This Row],[ID]], Table2[ID],Table2[MC3], "Not Found", 0 )</f>
        <v>0</v>
      </c>
      <c r="AB1032" s="8">
        <f>_xlfn.XLOOKUP(CustomerCombined[[#This Row],[ID]], Table2[ID],Table2[MC4], "Not Found", 0 )</f>
        <v>0</v>
      </c>
      <c r="AC1032" s="8">
        <f>_xlfn.XLOOKUP(CustomerCombined[[#This Row],[ID]], Table2[ID],Table2[MC5], "Not Found", 0 )</f>
        <v>0</v>
      </c>
    </row>
    <row r="1033" spans="1:29" x14ac:dyDescent="0.3">
      <c r="A1033" s="6">
        <v>1628</v>
      </c>
      <c r="B1033" s="6">
        <v>146463</v>
      </c>
      <c r="C1033" s="6">
        <v>1</v>
      </c>
      <c r="D1033" s="6">
        <v>1</v>
      </c>
      <c r="E1033" s="6">
        <v>49</v>
      </c>
      <c r="F1033" s="5" t="s">
        <v>6</v>
      </c>
      <c r="G1033" s="5" t="s">
        <v>13</v>
      </c>
      <c r="H1033" s="3" t="s">
        <v>199</v>
      </c>
      <c r="I1033" s="5" t="s">
        <v>438</v>
      </c>
      <c r="J1033" s="5">
        <f>_xlfn.XLOOKUP(CustomerCombined[[#This Row],[ID]], Table4[ID], Table4[Recency], "Not Found", 0)</f>
        <v>56</v>
      </c>
      <c r="K1033" s="5">
        <f>_xlfn.XLOOKUP(CustomerCombined[[#This Row],[ID]], Table4[ID], Table4[Teas], "Not Found", 0)</f>
        <v>514</v>
      </c>
      <c r="L1033" s="5">
        <f>_xlfn.XLOOKUP(CustomerCombined[[#This Row],[ID]], Table4[ID], Table4[Fruits], "Not Found", 0)</f>
        <v>6</v>
      </c>
      <c r="M1033" s="5">
        <f>_xlfn.XLOOKUP(CustomerCombined[[#This Row],[ID]], Table4[ID], Table4[Meats], "Not Found", 0)</f>
        <v>126</v>
      </c>
      <c r="N1033" s="5">
        <f>_xlfn.XLOOKUP(CustomerCombined[[#This Row],[ID]], Table4[ID], Table4[Seafood], "Not Found", 0)</f>
        <v>25</v>
      </c>
      <c r="O1033" s="5">
        <f>_xlfn.XLOOKUP(CustomerCombined[[#This Row],[ID]], Table4[ID], Table4[Sweets], "Not Found", 0)</f>
        <v>35</v>
      </c>
      <c r="P1033" s="5">
        <f>_xlfn.XLOOKUP(CustomerCombined[[#This Row],[ID]], Table4[ID], Table4[Premium], "Not Found", 0)</f>
        <v>35</v>
      </c>
      <c r="Q1033" s="5">
        <f>_xlfn.XLOOKUP(CustomerCombined[[#This Row],[ID]], Table4[ID], Table4[Regular], "Not Found", 0)</f>
        <v>671</v>
      </c>
      <c r="R1033" s="5">
        <f>_xlfn.XLOOKUP(CustomerCombined[[#This Row],[ID]], Table4[ID], Table4[Deals], "Not Found", 0)</f>
        <v>7</v>
      </c>
      <c r="S1033" s="5">
        <f>_xlfn.XLOOKUP(CustomerCombined[[#This Row],[ID]], Table4[ID], Table4[Website], "Not Found", 0)</f>
        <v>3</v>
      </c>
      <c r="T1033" s="5">
        <f>_xlfn.XLOOKUP(CustomerCombined[[#This Row],[ID]], Table4[ID], Table4[Catalog], "Not Found", 0)</f>
        <v>1</v>
      </c>
      <c r="U1033" s="5">
        <f>_xlfn.XLOOKUP(CustomerCombined[[#This Row],[ID]], Table4[ID], Table4[Store], "Not Found", 0)</f>
        <v>6</v>
      </c>
      <c r="V1033" s="5">
        <f>_xlfn.XLOOKUP(CustomerCombined[[#This Row],[ID]], Table4[ID], Table4[Visits], "Not Found", 0)</f>
        <v>6</v>
      </c>
      <c r="W1033" s="8">
        <f>_xlfn.XLOOKUP(CustomerCombined[[#This Row],[ID]], Table2[ID],Table2[Complaint], "Not Found", 0 )</f>
        <v>0</v>
      </c>
      <c r="X1033" s="8">
        <f>_xlfn.XLOOKUP(CustomerCombined[[#This Row],[ID]], Table2[ID],Table2[Pilot], "Not Found", 0 )</f>
        <v>0</v>
      </c>
      <c r="Y1033" s="8">
        <f>_xlfn.XLOOKUP(CustomerCombined[[#This Row],[ID]], Table2[ID],Table2[MC1], "Not Found", 0 )</f>
        <v>0</v>
      </c>
      <c r="Z1033" s="8">
        <f>_xlfn.XLOOKUP(CustomerCombined[[#This Row],[ID]], Table2[ID],Table2[MC2], "Not Found", 0 )</f>
        <v>0</v>
      </c>
      <c r="AA1033" s="8">
        <f>_xlfn.XLOOKUP(CustomerCombined[[#This Row],[ID]], Table2[ID],Table2[MC3], "Not Found", 0 )</f>
        <v>0</v>
      </c>
      <c r="AB1033" s="8">
        <f>_xlfn.XLOOKUP(CustomerCombined[[#This Row],[ID]], Table2[ID],Table2[MC4], "Not Found", 0 )</f>
        <v>0</v>
      </c>
      <c r="AC1033" s="8">
        <f>_xlfn.XLOOKUP(CustomerCombined[[#This Row],[ID]], Table2[ID],Table2[MC5], "Not Found", 0 )</f>
        <v>0</v>
      </c>
    </row>
    <row r="1034" spans="1:29" x14ac:dyDescent="0.3">
      <c r="A1034" s="6">
        <v>1888</v>
      </c>
      <c r="B1034" s="6">
        <v>145684</v>
      </c>
      <c r="C1034" s="6">
        <v>1</v>
      </c>
      <c r="D1034" s="6">
        <v>0</v>
      </c>
      <c r="E1034" s="6">
        <v>49</v>
      </c>
      <c r="F1034" s="5" t="s">
        <v>9</v>
      </c>
      <c r="G1034" s="5" t="s">
        <v>11</v>
      </c>
      <c r="H1034" s="3">
        <v>44048</v>
      </c>
      <c r="I1034" s="5" t="s">
        <v>439</v>
      </c>
      <c r="J1034" s="5">
        <f>_xlfn.XLOOKUP(CustomerCombined[[#This Row],[ID]], Table4[ID], Table4[Recency], "Not Found", 0)</f>
        <v>37</v>
      </c>
      <c r="K1034" s="5">
        <f>_xlfn.XLOOKUP(CustomerCombined[[#This Row],[ID]], Table4[ID], Table4[Teas], "Not Found", 0)</f>
        <v>16</v>
      </c>
      <c r="L1034" s="5">
        <f>_xlfn.XLOOKUP(CustomerCombined[[#This Row],[ID]], Table4[ID], Table4[Fruits], "Not Found", 0)</f>
        <v>3</v>
      </c>
      <c r="M1034" s="5">
        <f>_xlfn.XLOOKUP(CustomerCombined[[#This Row],[ID]], Table4[ID], Table4[Meats], "Not Found", 0)</f>
        <v>16</v>
      </c>
      <c r="N1034" s="5">
        <f>_xlfn.XLOOKUP(CustomerCombined[[#This Row],[ID]], Table4[ID], Table4[Seafood], "Not Found", 0)</f>
        <v>32</v>
      </c>
      <c r="O1034" s="5">
        <f>_xlfn.XLOOKUP(CustomerCombined[[#This Row],[ID]], Table4[ID], Table4[Sweets], "Not Found", 0)</f>
        <v>0</v>
      </c>
      <c r="P1034" s="5">
        <f>_xlfn.XLOOKUP(CustomerCombined[[#This Row],[ID]], Table4[ID], Table4[Premium], "Not Found", 0)</f>
        <v>22</v>
      </c>
      <c r="Q1034" s="5">
        <f>_xlfn.XLOOKUP(CustomerCombined[[#This Row],[ID]], Table4[ID], Table4[Regular], "Not Found", 0)</f>
        <v>45</v>
      </c>
      <c r="R1034" s="5">
        <f>_xlfn.XLOOKUP(CustomerCombined[[#This Row],[ID]], Table4[ID], Table4[Deals], "Not Found", 0)</f>
        <v>1</v>
      </c>
      <c r="S1034" s="5">
        <f>_xlfn.XLOOKUP(CustomerCombined[[#This Row],[ID]], Table4[ID], Table4[Website], "Not Found", 0)</f>
        <v>1</v>
      </c>
      <c r="T1034" s="5">
        <f>_xlfn.XLOOKUP(CustomerCombined[[#This Row],[ID]], Table4[ID], Table4[Catalog], "Not Found", 0)</f>
        <v>0</v>
      </c>
      <c r="U1034" s="5">
        <f>_xlfn.XLOOKUP(CustomerCombined[[#This Row],[ID]], Table4[ID], Table4[Store], "Not Found", 0)</f>
        <v>2</v>
      </c>
      <c r="V1034" s="5">
        <f>_xlfn.XLOOKUP(CustomerCombined[[#This Row],[ID]], Table4[ID], Table4[Visits], "Not Found", 0)</f>
        <v>7</v>
      </c>
      <c r="W1034" s="8">
        <f>_xlfn.XLOOKUP(CustomerCombined[[#This Row],[ID]], Table2[ID],Table2[Complaint], "Not Found", 0 )</f>
        <v>0</v>
      </c>
      <c r="X1034" s="8">
        <f>_xlfn.XLOOKUP(CustomerCombined[[#This Row],[ID]], Table2[ID],Table2[Pilot], "Not Found", 0 )</f>
        <v>0</v>
      </c>
      <c r="Y1034" s="8">
        <f>_xlfn.XLOOKUP(CustomerCombined[[#This Row],[ID]], Table2[ID],Table2[MC1], "Not Found", 0 )</f>
        <v>0</v>
      </c>
      <c r="Z1034" s="8">
        <f>_xlfn.XLOOKUP(CustomerCombined[[#This Row],[ID]], Table2[ID],Table2[MC2], "Not Found", 0 )</f>
        <v>0</v>
      </c>
      <c r="AA1034" s="8">
        <f>_xlfn.XLOOKUP(CustomerCombined[[#This Row],[ID]], Table2[ID],Table2[MC3], "Not Found", 0 )</f>
        <v>0</v>
      </c>
      <c r="AB1034" s="8">
        <f>_xlfn.XLOOKUP(CustomerCombined[[#This Row],[ID]], Table2[ID],Table2[MC4], "Not Found", 0 )</f>
        <v>0</v>
      </c>
      <c r="AC1034" s="8">
        <f>_xlfn.XLOOKUP(CustomerCombined[[#This Row],[ID]], Table2[ID],Table2[MC5], "Not Found", 0 )</f>
        <v>0</v>
      </c>
    </row>
    <row r="1035" spans="1:29" x14ac:dyDescent="0.3">
      <c r="A1035" s="6">
        <v>2796</v>
      </c>
      <c r="B1035" s="6">
        <v>144635</v>
      </c>
      <c r="C1035" s="6">
        <v>1</v>
      </c>
      <c r="D1035" s="6">
        <v>1</v>
      </c>
      <c r="E1035" s="6">
        <v>49</v>
      </c>
      <c r="F1035" s="5" t="s">
        <v>5</v>
      </c>
      <c r="G1035" s="5" t="s">
        <v>12</v>
      </c>
      <c r="H1035" s="3" t="s">
        <v>171</v>
      </c>
      <c r="I1035" s="5" t="s">
        <v>436</v>
      </c>
      <c r="J1035" s="5">
        <f>_xlfn.XLOOKUP(CustomerCombined[[#This Row],[ID]], Table4[ID], Table4[Recency], "Not Found", 0)</f>
        <v>25</v>
      </c>
      <c r="K1035" s="5">
        <f>_xlfn.XLOOKUP(CustomerCombined[[#This Row],[ID]], Table4[ID], Table4[Teas], "Not Found", 0)</f>
        <v>181</v>
      </c>
      <c r="L1035" s="5">
        <f>_xlfn.XLOOKUP(CustomerCombined[[#This Row],[ID]], Table4[ID], Table4[Fruits], "Not Found", 0)</f>
        <v>0</v>
      </c>
      <c r="M1035" s="5">
        <f>_xlfn.XLOOKUP(CustomerCombined[[#This Row],[ID]], Table4[ID], Table4[Meats], "Not Found", 0)</f>
        <v>29</v>
      </c>
      <c r="N1035" s="5">
        <f>_xlfn.XLOOKUP(CustomerCombined[[#This Row],[ID]], Table4[ID], Table4[Seafood], "Not Found", 0)</f>
        <v>0</v>
      </c>
      <c r="O1035" s="5">
        <f>_xlfn.XLOOKUP(CustomerCombined[[#This Row],[ID]], Table4[ID], Table4[Sweets], "Not Found", 0)</f>
        <v>0</v>
      </c>
      <c r="P1035" s="5">
        <f>_xlfn.XLOOKUP(CustomerCombined[[#This Row],[ID]], Table4[ID], Table4[Premium], "Not Found", 0)</f>
        <v>10</v>
      </c>
      <c r="Q1035" s="5">
        <f>_xlfn.XLOOKUP(CustomerCombined[[#This Row],[ID]], Table4[ID], Table4[Regular], "Not Found", 0)</f>
        <v>201</v>
      </c>
      <c r="R1035" s="5">
        <f>_xlfn.XLOOKUP(CustomerCombined[[#This Row],[ID]], Table4[ID], Table4[Deals], "Not Found", 0)</f>
        <v>2</v>
      </c>
      <c r="S1035" s="5">
        <f>_xlfn.XLOOKUP(CustomerCombined[[#This Row],[ID]], Table4[ID], Table4[Website], "Not Found", 0)</f>
        <v>2</v>
      </c>
      <c r="T1035" s="5">
        <f>_xlfn.XLOOKUP(CustomerCombined[[#This Row],[ID]], Table4[ID], Table4[Catalog], "Not Found", 0)</f>
        <v>0</v>
      </c>
      <c r="U1035" s="5">
        <f>_xlfn.XLOOKUP(CustomerCombined[[#This Row],[ID]], Table4[ID], Table4[Store], "Not Found", 0)</f>
        <v>3</v>
      </c>
      <c r="V1035" s="5">
        <f>_xlfn.XLOOKUP(CustomerCombined[[#This Row],[ID]], Table4[ID], Table4[Visits], "Not Found", 0)</f>
        <v>7</v>
      </c>
      <c r="W1035" s="8">
        <f>_xlfn.XLOOKUP(CustomerCombined[[#This Row],[ID]], Table2[ID],Table2[Complaint], "Not Found", 0 )</f>
        <v>0</v>
      </c>
      <c r="X1035" s="8">
        <f>_xlfn.XLOOKUP(CustomerCombined[[#This Row],[ID]], Table2[ID],Table2[Pilot], "Not Found", 0 )</f>
        <v>0</v>
      </c>
      <c r="Y1035" s="8">
        <f>_xlfn.XLOOKUP(CustomerCombined[[#This Row],[ID]], Table2[ID],Table2[MC1], "Not Found", 0 )</f>
        <v>0</v>
      </c>
      <c r="Z1035" s="8">
        <f>_xlfn.XLOOKUP(CustomerCombined[[#This Row],[ID]], Table2[ID],Table2[MC2], "Not Found", 0 )</f>
        <v>0</v>
      </c>
      <c r="AA1035" s="8">
        <f>_xlfn.XLOOKUP(CustomerCombined[[#This Row],[ID]], Table2[ID],Table2[MC3], "Not Found", 0 )</f>
        <v>0</v>
      </c>
      <c r="AB1035" s="8">
        <f>_xlfn.XLOOKUP(CustomerCombined[[#This Row],[ID]], Table2[ID],Table2[MC4], "Not Found", 0 )</f>
        <v>0</v>
      </c>
      <c r="AC1035" s="8">
        <f>_xlfn.XLOOKUP(CustomerCombined[[#This Row],[ID]], Table2[ID],Table2[MC5], "Not Found", 0 )</f>
        <v>0</v>
      </c>
    </row>
    <row r="1036" spans="1:29" x14ac:dyDescent="0.3">
      <c r="A1036" s="6">
        <v>2211</v>
      </c>
      <c r="B1036" s="6">
        <v>144421</v>
      </c>
      <c r="C1036" s="6">
        <v>1</v>
      </c>
      <c r="D1036" s="6">
        <v>1</v>
      </c>
      <c r="E1036" s="6">
        <v>49</v>
      </c>
      <c r="F1036" s="5" t="s">
        <v>5</v>
      </c>
      <c r="G1036" s="5" t="s">
        <v>11</v>
      </c>
      <c r="H1036" s="3" t="s">
        <v>308</v>
      </c>
      <c r="I1036" s="5" t="s">
        <v>435</v>
      </c>
      <c r="J1036" s="5">
        <f>_xlfn.XLOOKUP(CustomerCombined[[#This Row],[ID]], Table4[ID], Table4[Recency], "Not Found", 0)</f>
        <v>53</v>
      </c>
      <c r="K1036" s="5">
        <f>_xlfn.XLOOKUP(CustomerCombined[[#This Row],[ID]], Table4[ID], Table4[Teas], "Not Found", 0)</f>
        <v>358</v>
      </c>
      <c r="L1036" s="5">
        <f>_xlfn.XLOOKUP(CustomerCombined[[#This Row],[ID]], Table4[ID], Table4[Fruits], "Not Found", 0)</f>
        <v>16</v>
      </c>
      <c r="M1036" s="5">
        <f>_xlfn.XLOOKUP(CustomerCombined[[#This Row],[ID]], Table4[ID], Table4[Meats], "Not Found", 0)</f>
        <v>192</v>
      </c>
      <c r="N1036" s="5">
        <f>_xlfn.XLOOKUP(CustomerCombined[[#This Row],[ID]], Table4[ID], Table4[Seafood], "Not Found", 0)</f>
        <v>23</v>
      </c>
      <c r="O1036" s="5">
        <f>_xlfn.XLOOKUP(CustomerCombined[[#This Row],[ID]], Table4[ID], Table4[Sweets], "Not Found", 0)</f>
        <v>3</v>
      </c>
      <c r="P1036" s="5">
        <f>_xlfn.XLOOKUP(CustomerCombined[[#This Row],[ID]], Table4[ID], Table4[Premium], "Not Found", 0)</f>
        <v>23</v>
      </c>
      <c r="Q1036" s="5">
        <f>_xlfn.XLOOKUP(CustomerCombined[[#This Row],[ID]], Table4[ID], Table4[Regular], "Not Found", 0)</f>
        <v>569</v>
      </c>
      <c r="R1036" s="5">
        <f>_xlfn.XLOOKUP(CustomerCombined[[#This Row],[ID]], Table4[ID], Table4[Deals], "Not Found", 0)</f>
        <v>5</v>
      </c>
      <c r="S1036" s="5">
        <f>_xlfn.XLOOKUP(CustomerCombined[[#This Row],[ID]], Table4[ID], Table4[Website], "Not Found", 0)</f>
        <v>5</v>
      </c>
      <c r="T1036" s="5">
        <f>_xlfn.XLOOKUP(CustomerCombined[[#This Row],[ID]], Table4[ID], Table4[Catalog], "Not Found", 0)</f>
        <v>0</v>
      </c>
      <c r="U1036" s="5">
        <f>_xlfn.XLOOKUP(CustomerCombined[[#This Row],[ID]], Table4[ID], Table4[Store], "Not Found", 0)</f>
        <v>4</v>
      </c>
      <c r="V1036" s="5">
        <f>_xlfn.XLOOKUP(CustomerCombined[[#This Row],[ID]], Table4[ID], Table4[Visits], "Not Found", 0)</f>
        <v>8</v>
      </c>
      <c r="W1036" s="8">
        <f>_xlfn.XLOOKUP(CustomerCombined[[#This Row],[ID]], Table2[ID],Table2[Complaint], "Not Found", 0 )</f>
        <v>0</v>
      </c>
      <c r="X1036" s="8">
        <f>_xlfn.XLOOKUP(CustomerCombined[[#This Row],[ID]], Table2[ID],Table2[Pilot], "Not Found", 0 )</f>
        <v>0</v>
      </c>
      <c r="Y1036" s="8">
        <f>_xlfn.XLOOKUP(CustomerCombined[[#This Row],[ID]], Table2[ID],Table2[MC1], "Not Found", 0 )</f>
        <v>0</v>
      </c>
      <c r="Z1036" s="8">
        <f>_xlfn.XLOOKUP(CustomerCombined[[#This Row],[ID]], Table2[ID],Table2[MC2], "Not Found", 0 )</f>
        <v>0</v>
      </c>
      <c r="AA1036" s="8">
        <f>_xlfn.XLOOKUP(CustomerCombined[[#This Row],[ID]], Table2[ID],Table2[MC3], "Not Found", 0 )</f>
        <v>0</v>
      </c>
      <c r="AB1036" s="8">
        <f>_xlfn.XLOOKUP(CustomerCombined[[#This Row],[ID]], Table2[ID],Table2[MC4], "Not Found", 0 )</f>
        <v>0</v>
      </c>
      <c r="AC1036" s="8">
        <f>_xlfn.XLOOKUP(CustomerCombined[[#This Row],[ID]], Table2[ID],Table2[MC5], "Not Found", 0 )</f>
        <v>0</v>
      </c>
    </row>
    <row r="1037" spans="1:29" x14ac:dyDescent="0.3">
      <c r="A1037" s="6">
        <v>1380</v>
      </c>
      <c r="B1037" s="6">
        <v>143824</v>
      </c>
      <c r="C1037" s="6">
        <v>1</v>
      </c>
      <c r="D1037" s="6">
        <v>1</v>
      </c>
      <c r="E1037" s="6">
        <v>49</v>
      </c>
      <c r="F1037" s="5" t="s">
        <v>6</v>
      </c>
      <c r="G1037" s="5" t="s">
        <v>11</v>
      </c>
      <c r="H1037" s="3" t="s">
        <v>395</v>
      </c>
      <c r="I1037" s="5" t="s">
        <v>436</v>
      </c>
      <c r="J1037" s="5">
        <f>_xlfn.XLOOKUP(CustomerCombined[[#This Row],[ID]], Table4[ID], Table4[Recency], "Not Found", 0)</f>
        <v>18</v>
      </c>
      <c r="K1037" s="5">
        <f>_xlfn.XLOOKUP(CustomerCombined[[#This Row],[ID]], Table4[ID], Table4[Teas], "Not Found", 0)</f>
        <v>315</v>
      </c>
      <c r="L1037" s="5">
        <f>_xlfn.XLOOKUP(CustomerCombined[[#This Row],[ID]], Table4[ID], Table4[Fruits], "Not Found", 0)</f>
        <v>3</v>
      </c>
      <c r="M1037" s="5">
        <f>_xlfn.XLOOKUP(CustomerCombined[[#This Row],[ID]], Table4[ID], Table4[Meats], "Not Found", 0)</f>
        <v>138</v>
      </c>
      <c r="N1037" s="5">
        <f>_xlfn.XLOOKUP(CustomerCombined[[#This Row],[ID]], Table4[ID], Table4[Seafood], "Not Found", 0)</f>
        <v>39</v>
      </c>
      <c r="O1037" s="5">
        <f>_xlfn.XLOOKUP(CustomerCombined[[#This Row],[ID]], Table4[ID], Table4[Sweets], "Not Found", 0)</f>
        <v>10</v>
      </c>
      <c r="P1037" s="5">
        <f>_xlfn.XLOOKUP(CustomerCombined[[#This Row],[ID]], Table4[ID], Table4[Premium], "Not Found", 0)</f>
        <v>105</v>
      </c>
      <c r="Q1037" s="5">
        <f>_xlfn.XLOOKUP(CustomerCombined[[#This Row],[ID]], Table4[ID], Table4[Regular], "Not Found", 0)</f>
        <v>400</v>
      </c>
      <c r="R1037" s="5">
        <f>_xlfn.XLOOKUP(CustomerCombined[[#This Row],[ID]], Table4[ID], Table4[Deals], "Not Found", 0)</f>
        <v>4</v>
      </c>
      <c r="S1037" s="5">
        <f>_xlfn.XLOOKUP(CustomerCombined[[#This Row],[ID]], Table4[ID], Table4[Website], "Not Found", 0)</f>
        <v>3</v>
      </c>
      <c r="T1037" s="5">
        <f>_xlfn.XLOOKUP(CustomerCombined[[#This Row],[ID]], Table4[ID], Table4[Catalog], "Not Found", 0)</f>
        <v>1</v>
      </c>
      <c r="U1037" s="5">
        <f>_xlfn.XLOOKUP(CustomerCombined[[#This Row],[ID]], Table4[ID], Table4[Store], "Not Found", 0)</f>
        <v>4</v>
      </c>
      <c r="V1037" s="5">
        <f>_xlfn.XLOOKUP(CustomerCombined[[#This Row],[ID]], Table4[ID], Table4[Visits], "Not Found", 0)</f>
        <v>8</v>
      </c>
      <c r="W1037" s="8">
        <f>_xlfn.XLOOKUP(CustomerCombined[[#This Row],[ID]], Table2[ID],Table2[Complaint], "Not Found", 0 )</f>
        <v>0</v>
      </c>
      <c r="X1037" s="8">
        <f>_xlfn.XLOOKUP(CustomerCombined[[#This Row],[ID]], Table2[ID],Table2[Pilot], "Not Found", 0 )</f>
        <v>0</v>
      </c>
      <c r="Y1037" s="8">
        <f>_xlfn.XLOOKUP(CustomerCombined[[#This Row],[ID]], Table2[ID],Table2[MC1], "Not Found", 0 )</f>
        <v>0</v>
      </c>
      <c r="Z1037" s="8">
        <f>_xlfn.XLOOKUP(CustomerCombined[[#This Row],[ID]], Table2[ID],Table2[MC2], "Not Found", 0 )</f>
        <v>0</v>
      </c>
      <c r="AA1037" s="8">
        <f>_xlfn.XLOOKUP(CustomerCombined[[#This Row],[ID]], Table2[ID],Table2[MC3], "Not Found", 0 )</f>
        <v>0</v>
      </c>
      <c r="AB1037" s="8">
        <f>_xlfn.XLOOKUP(CustomerCombined[[#This Row],[ID]], Table2[ID],Table2[MC4], "Not Found", 0 )</f>
        <v>0</v>
      </c>
      <c r="AC1037" s="8">
        <f>_xlfn.XLOOKUP(CustomerCombined[[#This Row],[ID]], Table2[ID],Table2[MC5], "Not Found", 0 )</f>
        <v>0</v>
      </c>
    </row>
    <row r="1038" spans="1:29" x14ac:dyDescent="0.3">
      <c r="A1038" s="6">
        <v>2432</v>
      </c>
      <c r="B1038" s="6">
        <v>143300</v>
      </c>
      <c r="C1038" s="6">
        <v>0</v>
      </c>
      <c r="D1038" s="6">
        <v>1</v>
      </c>
      <c r="E1038" s="6">
        <v>49</v>
      </c>
      <c r="F1038" s="5" t="s">
        <v>5</v>
      </c>
      <c r="G1038" s="5" t="s">
        <v>11</v>
      </c>
      <c r="H1038" s="3" t="s">
        <v>381</v>
      </c>
      <c r="I1038" s="5" t="s">
        <v>438</v>
      </c>
      <c r="J1038" s="5">
        <f>_xlfn.XLOOKUP(CustomerCombined[[#This Row],[ID]], Table4[ID], Table4[Recency], "Not Found", 0)</f>
        <v>87</v>
      </c>
      <c r="K1038" s="5">
        <f>_xlfn.XLOOKUP(CustomerCombined[[#This Row],[ID]], Table4[ID], Table4[Teas], "Not Found", 0)</f>
        <v>301</v>
      </c>
      <c r="L1038" s="5">
        <f>_xlfn.XLOOKUP(CustomerCombined[[#This Row],[ID]], Table4[ID], Table4[Fruits], "Not Found", 0)</f>
        <v>10</v>
      </c>
      <c r="M1038" s="5">
        <f>_xlfn.XLOOKUP(CustomerCombined[[#This Row],[ID]], Table4[ID], Table4[Meats], "Not Found", 0)</f>
        <v>172</v>
      </c>
      <c r="N1038" s="5">
        <f>_xlfn.XLOOKUP(CustomerCombined[[#This Row],[ID]], Table4[ID], Table4[Seafood], "Not Found", 0)</f>
        <v>7</v>
      </c>
      <c r="O1038" s="5">
        <f>_xlfn.XLOOKUP(CustomerCombined[[#This Row],[ID]], Table4[ID], Table4[Sweets], "Not Found", 0)</f>
        <v>3</v>
      </c>
      <c r="P1038" s="5">
        <f>_xlfn.XLOOKUP(CustomerCombined[[#This Row],[ID]], Table4[ID], Table4[Premium], "Not Found", 0)</f>
        <v>103</v>
      </c>
      <c r="Q1038" s="5">
        <f>_xlfn.XLOOKUP(CustomerCombined[[#This Row],[ID]], Table4[ID], Table4[Regular], "Not Found", 0)</f>
        <v>391</v>
      </c>
      <c r="R1038" s="5">
        <f>_xlfn.XLOOKUP(CustomerCombined[[#This Row],[ID]], Table4[ID], Table4[Deals], "Not Found", 0)</f>
        <v>3</v>
      </c>
      <c r="S1038" s="5">
        <f>_xlfn.XLOOKUP(CustomerCombined[[#This Row],[ID]], Table4[ID], Table4[Website], "Not Found", 0)</f>
        <v>4</v>
      </c>
      <c r="T1038" s="5">
        <f>_xlfn.XLOOKUP(CustomerCombined[[#This Row],[ID]], Table4[ID], Table4[Catalog], "Not Found", 0)</f>
        <v>0</v>
      </c>
      <c r="U1038" s="5">
        <f>_xlfn.XLOOKUP(CustomerCombined[[#This Row],[ID]], Table4[ID], Table4[Store], "Not Found", 0)</f>
        <v>4</v>
      </c>
      <c r="V1038" s="5">
        <f>_xlfn.XLOOKUP(CustomerCombined[[#This Row],[ID]], Table4[ID], Table4[Visits], "Not Found", 0)</f>
        <v>8</v>
      </c>
      <c r="W1038" s="8">
        <f>_xlfn.XLOOKUP(CustomerCombined[[#This Row],[ID]], Table2[ID],Table2[Complaint], "Not Found", 0 )</f>
        <v>0</v>
      </c>
      <c r="X1038" s="8">
        <f>_xlfn.XLOOKUP(CustomerCombined[[#This Row],[ID]], Table2[ID],Table2[Pilot], "Not Found", 0 )</f>
        <v>1</v>
      </c>
      <c r="Y1038" s="8">
        <f>_xlfn.XLOOKUP(CustomerCombined[[#This Row],[ID]], Table2[ID],Table2[MC1], "Not Found", 0 )</f>
        <v>0</v>
      </c>
      <c r="Z1038" s="8">
        <f>_xlfn.XLOOKUP(CustomerCombined[[#This Row],[ID]], Table2[ID],Table2[MC2], "Not Found", 0 )</f>
        <v>0</v>
      </c>
      <c r="AA1038" s="8">
        <f>_xlfn.XLOOKUP(CustomerCombined[[#This Row],[ID]], Table2[ID],Table2[MC3], "Not Found", 0 )</f>
        <v>0</v>
      </c>
      <c r="AB1038" s="8">
        <f>_xlfn.XLOOKUP(CustomerCombined[[#This Row],[ID]], Table2[ID],Table2[MC4], "Not Found", 0 )</f>
        <v>0</v>
      </c>
      <c r="AC1038" s="8">
        <f>_xlfn.XLOOKUP(CustomerCombined[[#This Row],[ID]], Table2[ID],Table2[MC5], "Not Found", 0 )</f>
        <v>0</v>
      </c>
    </row>
    <row r="1039" spans="1:29" x14ac:dyDescent="0.3">
      <c r="A1039" s="6">
        <v>1857</v>
      </c>
      <c r="B1039" s="6">
        <v>142835</v>
      </c>
      <c r="C1039" s="6">
        <v>1</v>
      </c>
      <c r="D1039" s="6">
        <v>1</v>
      </c>
      <c r="E1039" s="6">
        <v>49</v>
      </c>
      <c r="F1039" s="5" t="s">
        <v>5</v>
      </c>
      <c r="G1039" s="5" t="s">
        <v>12</v>
      </c>
      <c r="H1039" s="3">
        <v>43597</v>
      </c>
      <c r="I1039" s="5" t="s">
        <v>435</v>
      </c>
      <c r="J1039" s="5">
        <f>_xlfn.XLOOKUP(CustomerCombined[[#This Row],[ID]], Table4[ID], Table4[Recency], "Not Found", 0)</f>
        <v>64</v>
      </c>
      <c r="K1039" s="5">
        <f>_xlfn.XLOOKUP(CustomerCombined[[#This Row],[ID]], Table4[ID], Table4[Teas], "Not Found", 0)</f>
        <v>1264</v>
      </c>
      <c r="L1039" s="5">
        <f>_xlfn.XLOOKUP(CustomerCombined[[#This Row],[ID]], Table4[ID], Table4[Fruits], "Not Found", 0)</f>
        <v>13</v>
      </c>
      <c r="M1039" s="5">
        <f>_xlfn.XLOOKUP(CustomerCombined[[#This Row],[ID]], Table4[ID], Table4[Meats], "Not Found", 0)</f>
        <v>310</v>
      </c>
      <c r="N1039" s="5">
        <f>_xlfn.XLOOKUP(CustomerCombined[[#This Row],[ID]], Table4[ID], Table4[Seafood], "Not Found", 0)</f>
        <v>40</v>
      </c>
      <c r="O1039" s="5">
        <f>_xlfn.XLOOKUP(CustomerCombined[[#This Row],[ID]], Table4[ID], Table4[Sweets], "Not Found", 0)</f>
        <v>30</v>
      </c>
      <c r="P1039" s="5">
        <f>_xlfn.XLOOKUP(CustomerCombined[[#This Row],[ID]], Table4[ID], Table4[Premium], "Not Found", 0)</f>
        <v>327</v>
      </c>
      <c r="Q1039" s="5">
        <f>_xlfn.XLOOKUP(CustomerCombined[[#This Row],[ID]], Table4[ID], Table4[Regular], "Not Found", 0)</f>
        <v>1330</v>
      </c>
      <c r="R1039" s="5">
        <f>_xlfn.XLOOKUP(CustomerCombined[[#This Row],[ID]], Table4[ID], Table4[Deals], "Not Found", 0)</f>
        <v>7</v>
      </c>
      <c r="S1039" s="5">
        <f>_xlfn.XLOOKUP(CustomerCombined[[#This Row],[ID]], Table4[ID], Table4[Website], "Not Found", 0)</f>
        <v>6</v>
      </c>
      <c r="T1039" s="5">
        <f>_xlfn.XLOOKUP(CustomerCombined[[#This Row],[ID]], Table4[ID], Table4[Catalog], "Not Found", 0)</f>
        <v>6</v>
      </c>
      <c r="U1039" s="5">
        <f>_xlfn.XLOOKUP(CustomerCombined[[#This Row],[ID]], Table4[ID], Table4[Store], "Not Found", 0)</f>
        <v>4</v>
      </c>
      <c r="V1039" s="5">
        <f>_xlfn.XLOOKUP(CustomerCombined[[#This Row],[ID]], Table4[ID], Table4[Visits], "Not Found", 0)</f>
        <v>6</v>
      </c>
      <c r="W1039" s="8">
        <f>_xlfn.XLOOKUP(CustomerCombined[[#This Row],[ID]], Table2[ID],Table2[Complaint], "Not Found", 0 )</f>
        <v>0</v>
      </c>
      <c r="X1039" s="8">
        <f>_xlfn.XLOOKUP(CustomerCombined[[#This Row],[ID]], Table2[ID],Table2[Pilot], "Not Found", 0 )</f>
        <v>0</v>
      </c>
      <c r="Y1039" s="8">
        <f>_xlfn.XLOOKUP(CustomerCombined[[#This Row],[ID]], Table2[ID],Table2[MC1], "Not Found", 0 )</f>
        <v>0</v>
      </c>
      <c r="Z1039" s="8">
        <f>_xlfn.XLOOKUP(CustomerCombined[[#This Row],[ID]], Table2[ID],Table2[MC2], "Not Found", 0 )</f>
        <v>0</v>
      </c>
      <c r="AA1039" s="8">
        <f>_xlfn.XLOOKUP(CustomerCombined[[#This Row],[ID]], Table2[ID],Table2[MC3], "Not Found", 0 )</f>
        <v>0</v>
      </c>
      <c r="AB1039" s="8">
        <f>_xlfn.XLOOKUP(CustomerCombined[[#This Row],[ID]], Table2[ID],Table2[MC4], "Not Found", 0 )</f>
        <v>0</v>
      </c>
      <c r="AC1039" s="8">
        <f>_xlfn.XLOOKUP(CustomerCombined[[#This Row],[ID]], Table2[ID],Table2[MC5], "Not Found", 0 )</f>
        <v>0</v>
      </c>
    </row>
    <row r="1040" spans="1:29" x14ac:dyDescent="0.3">
      <c r="A1040" s="6">
        <v>1934</v>
      </c>
      <c r="B1040" s="6">
        <v>142767</v>
      </c>
      <c r="C1040" s="6">
        <v>2</v>
      </c>
      <c r="D1040" s="6">
        <v>0</v>
      </c>
      <c r="E1040" s="6">
        <v>49</v>
      </c>
      <c r="F1040" s="5" t="s">
        <v>7</v>
      </c>
      <c r="G1040" s="5" t="s">
        <v>13</v>
      </c>
      <c r="H1040" s="3" t="s">
        <v>260</v>
      </c>
      <c r="I1040" s="5" t="s">
        <v>438</v>
      </c>
      <c r="J1040" s="5">
        <f>_xlfn.XLOOKUP(CustomerCombined[[#This Row],[ID]], Table4[ID], Table4[Recency], "Not Found", 0)</f>
        <v>53</v>
      </c>
      <c r="K1040" s="5">
        <f>_xlfn.XLOOKUP(CustomerCombined[[#This Row],[ID]], Table4[ID], Table4[Teas], "Not Found", 0)</f>
        <v>67</v>
      </c>
      <c r="L1040" s="5">
        <f>_xlfn.XLOOKUP(CustomerCombined[[#This Row],[ID]], Table4[ID], Table4[Fruits], "Not Found", 0)</f>
        <v>20</v>
      </c>
      <c r="M1040" s="5">
        <f>_xlfn.XLOOKUP(CustomerCombined[[#This Row],[ID]], Table4[ID], Table4[Meats], "Not Found", 0)</f>
        <v>144</v>
      </c>
      <c r="N1040" s="5">
        <f>_xlfn.XLOOKUP(CustomerCombined[[#This Row],[ID]], Table4[ID], Table4[Seafood], "Not Found", 0)</f>
        <v>63</v>
      </c>
      <c r="O1040" s="5">
        <f>_xlfn.XLOOKUP(CustomerCombined[[#This Row],[ID]], Table4[ID], Table4[Sweets], "Not Found", 0)</f>
        <v>17</v>
      </c>
      <c r="P1040" s="5">
        <f>_xlfn.XLOOKUP(CustomerCombined[[#This Row],[ID]], Table4[ID], Table4[Premium], "Not Found", 0)</f>
        <v>127</v>
      </c>
      <c r="Q1040" s="5">
        <f>_xlfn.XLOOKUP(CustomerCombined[[#This Row],[ID]], Table4[ID], Table4[Regular], "Not Found", 0)</f>
        <v>184</v>
      </c>
      <c r="R1040" s="5">
        <f>_xlfn.XLOOKUP(CustomerCombined[[#This Row],[ID]], Table4[ID], Table4[Deals], "Not Found", 0)</f>
        <v>1</v>
      </c>
      <c r="S1040" s="5">
        <f>_xlfn.XLOOKUP(CustomerCombined[[#This Row],[ID]], Table4[ID], Table4[Website], "Not Found", 0)</f>
        <v>3</v>
      </c>
      <c r="T1040" s="5">
        <f>_xlfn.XLOOKUP(CustomerCombined[[#This Row],[ID]], Table4[ID], Table4[Catalog], "Not Found", 0)</f>
        <v>1</v>
      </c>
      <c r="U1040" s="5">
        <f>_xlfn.XLOOKUP(CustomerCombined[[#This Row],[ID]], Table4[ID], Table4[Store], "Not Found", 0)</f>
        <v>2</v>
      </c>
      <c r="V1040" s="5">
        <f>_xlfn.XLOOKUP(CustomerCombined[[#This Row],[ID]], Table4[ID], Table4[Visits], "Not Found", 0)</f>
        <v>8</v>
      </c>
      <c r="W1040" s="8">
        <f>_xlfn.XLOOKUP(CustomerCombined[[#This Row],[ID]], Table2[ID],Table2[Complaint], "Not Found", 0 )</f>
        <v>0</v>
      </c>
      <c r="X1040" s="8">
        <f>_xlfn.XLOOKUP(CustomerCombined[[#This Row],[ID]], Table2[ID],Table2[Pilot], "Not Found", 0 )</f>
        <v>0</v>
      </c>
      <c r="Y1040" s="8">
        <f>_xlfn.XLOOKUP(CustomerCombined[[#This Row],[ID]], Table2[ID],Table2[MC1], "Not Found", 0 )</f>
        <v>0</v>
      </c>
      <c r="Z1040" s="8">
        <f>_xlfn.XLOOKUP(CustomerCombined[[#This Row],[ID]], Table2[ID],Table2[MC2], "Not Found", 0 )</f>
        <v>0</v>
      </c>
      <c r="AA1040" s="8">
        <f>_xlfn.XLOOKUP(CustomerCombined[[#This Row],[ID]], Table2[ID],Table2[MC3], "Not Found", 0 )</f>
        <v>0</v>
      </c>
      <c r="AB1040" s="8">
        <f>_xlfn.XLOOKUP(CustomerCombined[[#This Row],[ID]], Table2[ID],Table2[MC4], "Not Found", 0 )</f>
        <v>0</v>
      </c>
      <c r="AC1040" s="8">
        <f>_xlfn.XLOOKUP(CustomerCombined[[#This Row],[ID]], Table2[ID],Table2[MC5], "Not Found", 0 )</f>
        <v>0</v>
      </c>
    </row>
    <row r="1041" spans="1:29" x14ac:dyDescent="0.3">
      <c r="A1041" s="6">
        <v>2714</v>
      </c>
      <c r="B1041" s="6">
        <v>142403</v>
      </c>
      <c r="C1041" s="6">
        <v>1</v>
      </c>
      <c r="D1041" s="6">
        <v>0</v>
      </c>
      <c r="E1041" s="6">
        <v>49</v>
      </c>
      <c r="F1041" s="5" t="s">
        <v>6</v>
      </c>
      <c r="G1041" s="5" t="s">
        <v>13</v>
      </c>
      <c r="H1041" s="3" t="s">
        <v>137</v>
      </c>
      <c r="I1041" s="5" t="s">
        <v>438</v>
      </c>
      <c r="J1041" s="5">
        <f>_xlfn.XLOOKUP(CustomerCombined[[#This Row],[ID]], Table4[ID], Table4[Recency], "Not Found", 0)</f>
        <v>18</v>
      </c>
      <c r="K1041" s="5">
        <f>_xlfn.XLOOKUP(CustomerCombined[[#This Row],[ID]], Table4[ID], Table4[Teas], "Not Found", 0)</f>
        <v>74</v>
      </c>
      <c r="L1041" s="5">
        <f>_xlfn.XLOOKUP(CustomerCombined[[#This Row],[ID]], Table4[ID], Table4[Fruits], "Not Found", 0)</f>
        <v>3</v>
      </c>
      <c r="M1041" s="5">
        <f>_xlfn.XLOOKUP(CustomerCombined[[#This Row],[ID]], Table4[ID], Table4[Meats], "Not Found", 0)</f>
        <v>37</v>
      </c>
      <c r="N1041" s="5">
        <f>_xlfn.XLOOKUP(CustomerCombined[[#This Row],[ID]], Table4[ID], Table4[Seafood], "Not Found", 0)</f>
        <v>0</v>
      </c>
      <c r="O1041" s="5">
        <f>_xlfn.XLOOKUP(CustomerCombined[[#This Row],[ID]], Table4[ID], Table4[Sweets], "Not Found", 0)</f>
        <v>17</v>
      </c>
      <c r="P1041" s="5">
        <f>_xlfn.XLOOKUP(CustomerCombined[[#This Row],[ID]], Table4[ID], Table4[Premium], "Not Found", 0)</f>
        <v>10</v>
      </c>
      <c r="Q1041" s="5">
        <f>_xlfn.XLOOKUP(CustomerCombined[[#This Row],[ID]], Table4[ID], Table4[Regular], "Not Found", 0)</f>
        <v>121</v>
      </c>
      <c r="R1041" s="5">
        <f>_xlfn.XLOOKUP(CustomerCombined[[#This Row],[ID]], Table4[ID], Table4[Deals], "Not Found", 0)</f>
        <v>1</v>
      </c>
      <c r="S1041" s="5">
        <f>_xlfn.XLOOKUP(CustomerCombined[[#This Row],[ID]], Table4[ID], Table4[Website], "Not Found", 0)</f>
        <v>1</v>
      </c>
      <c r="T1041" s="5">
        <f>_xlfn.XLOOKUP(CustomerCombined[[#This Row],[ID]], Table4[ID], Table4[Catalog], "Not Found", 0)</f>
        <v>0</v>
      </c>
      <c r="U1041" s="5">
        <f>_xlfn.XLOOKUP(CustomerCombined[[#This Row],[ID]], Table4[ID], Table4[Store], "Not Found", 0)</f>
        <v>3</v>
      </c>
      <c r="V1041" s="5">
        <f>_xlfn.XLOOKUP(CustomerCombined[[#This Row],[ID]], Table4[ID], Table4[Visits], "Not Found", 0)</f>
        <v>8</v>
      </c>
      <c r="W1041" s="8">
        <f>_xlfn.XLOOKUP(CustomerCombined[[#This Row],[ID]], Table2[ID],Table2[Complaint], "Not Found", 0 )</f>
        <v>0</v>
      </c>
      <c r="X1041" s="8">
        <f>_xlfn.XLOOKUP(CustomerCombined[[#This Row],[ID]], Table2[ID],Table2[Pilot], "Not Found", 0 )</f>
        <v>0</v>
      </c>
      <c r="Y1041" s="8">
        <f>_xlfn.XLOOKUP(CustomerCombined[[#This Row],[ID]], Table2[ID],Table2[MC1], "Not Found", 0 )</f>
        <v>0</v>
      </c>
      <c r="Z1041" s="8">
        <f>_xlfn.XLOOKUP(CustomerCombined[[#This Row],[ID]], Table2[ID],Table2[MC2], "Not Found", 0 )</f>
        <v>0</v>
      </c>
      <c r="AA1041" s="8">
        <f>_xlfn.XLOOKUP(CustomerCombined[[#This Row],[ID]], Table2[ID],Table2[MC3], "Not Found", 0 )</f>
        <v>0</v>
      </c>
      <c r="AB1041" s="8">
        <f>_xlfn.XLOOKUP(CustomerCombined[[#This Row],[ID]], Table2[ID],Table2[MC4], "Not Found", 0 )</f>
        <v>0</v>
      </c>
      <c r="AC1041" s="8">
        <f>_xlfn.XLOOKUP(CustomerCombined[[#This Row],[ID]], Table2[ID],Table2[MC5], "Not Found", 0 )</f>
        <v>0</v>
      </c>
    </row>
    <row r="1042" spans="1:29" x14ac:dyDescent="0.3">
      <c r="A1042" s="6">
        <v>2671</v>
      </c>
      <c r="B1042" s="6">
        <v>142033</v>
      </c>
      <c r="C1042" s="6">
        <v>1</v>
      </c>
      <c r="D1042" s="6">
        <v>1</v>
      </c>
      <c r="E1042" s="6">
        <v>49</v>
      </c>
      <c r="F1042" s="5" t="s">
        <v>8</v>
      </c>
      <c r="G1042" s="5" t="s">
        <v>442</v>
      </c>
      <c r="H1042" s="3" t="s">
        <v>392</v>
      </c>
      <c r="I1042" s="5" t="s">
        <v>437</v>
      </c>
      <c r="J1042" s="5">
        <f>_xlfn.XLOOKUP(CustomerCombined[[#This Row],[ID]], Table4[ID], Table4[Recency], "Not Found", 0)</f>
        <v>95</v>
      </c>
      <c r="K1042" s="5">
        <f>_xlfn.XLOOKUP(CustomerCombined[[#This Row],[ID]], Table4[ID], Table4[Teas], "Not Found", 0)</f>
        <v>37</v>
      </c>
      <c r="L1042" s="5">
        <f>_xlfn.XLOOKUP(CustomerCombined[[#This Row],[ID]], Table4[ID], Table4[Fruits], "Not Found", 0)</f>
        <v>3</v>
      </c>
      <c r="M1042" s="5">
        <f>_xlfn.XLOOKUP(CustomerCombined[[#This Row],[ID]], Table4[ID], Table4[Meats], "Not Found", 0)</f>
        <v>14</v>
      </c>
      <c r="N1042" s="5">
        <f>_xlfn.XLOOKUP(CustomerCombined[[#This Row],[ID]], Table4[ID], Table4[Seafood], "Not Found", 0)</f>
        <v>7</v>
      </c>
      <c r="O1042" s="5">
        <f>_xlfn.XLOOKUP(CustomerCombined[[#This Row],[ID]], Table4[ID], Table4[Sweets], "Not Found", 0)</f>
        <v>0</v>
      </c>
      <c r="P1042" s="5">
        <f>_xlfn.XLOOKUP(CustomerCombined[[#This Row],[ID]], Table4[ID], Table4[Premium], "Not Found", 0)</f>
        <v>24</v>
      </c>
      <c r="Q1042" s="5">
        <f>_xlfn.XLOOKUP(CustomerCombined[[#This Row],[ID]], Table4[ID], Table4[Regular], "Not Found", 0)</f>
        <v>37</v>
      </c>
      <c r="R1042" s="5">
        <f>_xlfn.XLOOKUP(CustomerCombined[[#This Row],[ID]], Table4[ID], Table4[Deals], "Not Found", 0)</f>
        <v>1</v>
      </c>
      <c r="S1042" s="5">
        <f>_xlfn.XLOOKUP(CustomerCombined[[#This Row],[ID]], Table4[ID], Table4[Website], "Not Found", 0)</f>
        <v>1</v>
      </c>
      <c r="T1042" s="5">
        <f>_xlfn.XLOOKUP(CustomerCombined[[#This Row],[ID]], Table4[ID], Table4[Catalog], "Not Found", 0)</f>
        <v>0</v>
      </c>
      <c r="U1042" s="5">
        <f>_xlfn.XLOOKUP(CustomerCombined[[#This Row],[ID]], Table4[ID], Table4[Store], "Not Found", 0)</f>
        <v>2</v>
      </c>
      <c r="V1042" s="5">
        <f>_xlfn.XLOOKUP(CustomerCombined[[#This Row],[ID]], Table4[ID], Table4[Visits], "Not Found", 0)</f>
        <v>7</v>
      </c>
      <c r="W1042" s="8">
        <f>_xlfn.XLOOKUP(CustomerCombined[[#This Row],[ID]], Table2[ID],Table2[Complaint], "Not Found", 0 )</f>
        <v>0</v>
      </c>
      <c r="X1042" s="8">
        <f>_xlfn.XLOOKUP(CustomerCombined[[#This Row],[ID]], Table2[ID],Table2[Pilot], "Not Found", 0 )</f>
        <v>0</v>
      </c>
      <c r="Y1042" s="8">
        <f>_xlfn.XLOOKUP(CustomerCombined[[#This Row],[ID]], Table2[ID],Table2[MC1], "Not Found", 0 )</f>
        <v>0</v>
      </c>
      <c r="Z1042" s="8">
        <f>_xlfn.XLOOKUP(CustomerCombined[[#This Row],[ID]], Table2[ID],Table2[MC2], "Not Found", 0 )</f>
        <v>0</v>
      </c>
      <c r="AA1042" s="8">
        <f>_xlfn.XLOOKUP(CustomerCombined[[#This Row],[ID]], Table2[ID],Table2[MC3], "Not Found", 0 )</f>
        <v>0</v>
      </c>
      <c r="AB1042" s="8">
        <f>_xlfn.XLOOKUP(CustomerCombined[[#This Row],[ID]], Table2[ID],Table2[MC4], "Not Found", 0 )</f>
        <v>0</v>
      </c>
      <c r="AC1042" s="8">
        <f>_xlfn.XLOOKUP(CustomerCombined[[#This Row],[ID]], Table2[ID],Table2[MC5], "Not Found", 0 )</f>
        <v>0</v>
      </c>
    </row>
    <row r="1043" spans="1:29" x14ac:dyDescent="0.3">
      <c r="A1043" s="6">
        <v>3159</v>
      </c>
      <c r="B1043" s="6">
        <v>140851</v>
      </c>
      <c r="C1043" s="6">
        <v>1</v>
      </c>
      <c r="D1043" s="6">
        <v>1</v>
      </c>
      <c r="E1043" s="6">
        <v>49</v>
      </c>
      <c r="F1043" s="5" t="s">
        <v>5</v>
      </c>
      <c r="G1043" s="5" t="s">
        <v>11</v>
      </c>
      <c r="H1043" s="3" t="s">
        <v>302</v>
      </c>
      <c r="I1043" s="5" t="s">
        <v>435</v>
      </c>
      <c r="J1043" s="5">
        <f>_xlfn.XLOOKUP(CustomerCombined[[#This Row],[ID]], Table4[ID], Table4[Recency], "Not Found", 0)</f>
        <v>63</v>
      </c>
      <c r="K1043" s="5">
        <f>_xlfn.XLOOKUP(CustomerCombined[[#This Row],[ID]], Table4[ID], Table4[Teas], "Not Found", 0)</f>
        <v>79</v>
      </c>
      <c r="L1043" s="5">
        <f>_xlfn.XLOOKUP(CustomerCombined[[#This Row],[ID]], Table4[ID], Table4[Fruits], "Not Found", 0)</f>
        <v>3</v>
      </c>
      <c r="M1043" s="5">
        <f>_xlfn.XLOOKUP(CustomerCombined[[#This Row],[ID]], Table4[ID], Table4[Meats], "Not Found", 0)</f>
        <v>24</v>
      </c>
      <c r="N1043" s="5">
        <f>_xlfn.XLOOKUP(CustomerCombined[[#This Row],[ID]], Table4[ID], Table4[Seafood], "Not Found", 0)</f>
        <v>0</v>
      </c>
      <c r="O1043" s="5">
        <f>_xlfn.XLOOKUP(CustomerCombined[[#This Row],[ID]], Table4[ID], Table4[Sweets], "Not Found", 0)</f>
        <v>14</v>
      </c>
      <c r="P1043" s="5">
        <f>_xlfn.XLOOKUP(CustomerCombined[[#This Row],[ID]], Table4[ID], Table4[Premium], "Not Found", 0)</f>
        <v>83</v>
      </c>
      <c r="Q1043" s="5">
        <f>_xlfn.XLOOKUP(CustomerCombined[[#This Row],[ID]], Table4[ID], Table4[Regular], "Not Found", 0)</f>
        <v>38</v>
      </c>
      <c r="R1043" s="5">
        <f>_xlfn.XLOOKUP(CustomerCombined[[#This Row],[ID]], Table4[ID], Table4[Deals], "Not Found", 0)</f>
        <v>1</v>
      </c>
      <c r="S1043" s="5">
        <f>_xlfn.XLOOKUP(CustomerCombined[[#This Row],[ID]], Table4[ID], Table4[Website], "Not Found", 0)</f>
        <v>1</v>
      </c>
      <c r="T1043" s="5">
        <f>_xlfn.XLOOKUP(CustomerCombined[[#This Row],[ID]], Table4[ID], Table4[Catalog], "Not Found", 0)</f>
        <v>1</v>
      </c>
      <c r="U1043" s="5">
        <f>_xlfn.XLOOKUP(CustomerCombined[[#This Row],[ID]], Table4[ID], Table4[Store], "Not Found", 0)</f>
        <v>2</v>
      </c>
      <c r="V1043" s="5">
        <f>_xlfn.XLOOKUP(CustomerCombined[[#This Row],[ID]], Table4[ID], Table4[Visits], "Not Found", 0)</f>
        <v>7</v>
      </c>
      <c r="W1043" s="8">
        <f>_xlfn.XLOOKUP(CustomerCombined[[#This Row],[ID]], Table2[ID],Table2[Complaint], "Not Found", 0 )</f>
        <v>0</v>
      </c>
      <c r="X1043" s="8">
        <f>_xlfn.XLOOKUP(CustomerCombined[[#This Row],[ID]], Table2[ID],Table2[Pilot], "Not Found", 0 )</f>
        <v>0</v>
      </c>
      <c r="Y1043" s="8">
        <f>_xlfn.XLOOKUP(CustomerCombined[[#This Row],[ID]], Table2[ID],Table2[MC1], "Not Found", 0 )</f>
        <v>0</v>
      </c>
      <c r="Z1043" s="8">
        <f>_xlfn.XLOOKUP(CustomerCombined[[#This Row],[ID]], Table2[ID],Table2[MC2], "Not Found", 0 )</f>
        <v>0</v>
      </c>
      <c r="AA1043" s="8">
        <f>_xlfn.XLOOKUP(CustomerCombined[[#This Row],[ID]], Table2[ID],Table2[MC3], "Not Found", 0 )</f>
        <v>0</v>
      </c>
      <c r="AB1043" s="8">
        <f>_xlfn.XLOOKUP(CustomerCombined[[#This Row],[ID]], Table2[ID],Table2[MC4], "Not Found", 0 )</f>
        <v>0</v>
      </c>
      <c r="AC1043" s="8">
        <f>_xlfn.XLOOKUP(CustomerCombined[[#This Row],[ID]], Table2[ID],Table2[MC5], "Not Found", 0 )</f>
        <v>0</v>
      </c>
    </row>
    <row r="1044" spans="1:29" x14ac:dyDescent="0.3">
      <c r="A1044" s="6">
        <v>2966</v>
      </c>
      <c r="B1044" s="6">
        <v>139791</v>
      </c>
      <c r="C1044" s="6">
        <v>0</v>
      </c>
      <c r="D1044" s="6">
        <v>1</v>
      </c>
      <c r="E1044" s="6">
        <v>49</v>
      </c>
      <c r="F1044" s="5" t="s">
        <v>6</v>
      </c>
      <c r="G1044" s="5" t="s">
        <v>12</v>
      </c>
      <c r="H1044" s="3">
        <v>43505</v>
      </c>
      <c r="I1044" s="5" t="s">
        <v>438</v>
      </c>
      <c r="J1044" s="5">
        <f>_xlfn.XLOOKUP(CustomerCombined[[#This Row],[ID]], Table4[ID], Table4[Recency], "Not Found", 0)</f>
        <v>89</v>
      </c>
      <c r="K1044" s="5">
        <f>_xlfn.XLOOKUP(CustomerCombined[[#This Row],[ID]], Table4[ID], Table4[Teas], "Not Found", 0)</f>
        <v>299</v>
      </c>
      <c r="L1044" s="5">
        <f>_xlfn.XLOOKUP(CustomerCombined[[#This Row],[ID]], Table4[ID], Table4[Fruits], "Not Found", 0)</f>
        <v>53</v>
      </c>
      <c r="M1044" s="5">
        <f>_xlfn.XLOOKUP(CustomerCombined[[#This Row],[ID]], Table4[ID], Table4[Meats], "Not Found", 0)</f>
        <v>95</v>
      </c>
      <c r="N1044" s="5">
        <f>_xlfn.XLOOKUP(CustomerCombined[[#This Row],[ID]], Table4[ID], Table4[Seafood], "Not Found", 0)</f>
        <v>46</v>
      </c>
      <c r="O1044" s="5">
        <f>_xlfn.XLOOKUP(CustomerCombined[[#This Row],[ID]], Table4[ID], Table4[Sweets], "Not Found", 0)</f>
        <v>46</v>
      </c>
      <c r="P1044" s="5">
        <f>_xlfn.XLOOKUP(CustomerCombined[[#This Row],[ID]], Table4[ID], Table4[Premium], "Not Found", 0)</f>
        <v>74</v>
      </c>
      <c r="Q1044" s="5">
        <f>_xlfn.XLOOKUP(CustomerCombined[[#This Row],[ID]], Table4[ID], Table4[Regular], "Not Found", 0)</f>
        <v>464</v>
      </c>
      <c r="R1044" s="5">
        <f>_xlfn.XLOOKUP(CustomerCombined[[#This Row],[ID]], Table4[ID], Table4[Deals], "Not Found", 0)</f>
        <v>2</v>
      </c>
      <c r="S1044" s="5">
        <f>_xlfn.XLOOKUP(CustomerCombined[[#This Row],[ID]], Table4[ID], Table4[Website], "Not Found", 0)</f>
        <v>3</v>
      </c>
      <c r="T1044" s="5">
        <f>_xlfn.XLOOKUP(CustomerCombined[[#This Row],[ID]], Table4[ID], Table4[Catalog], "Not Found", 0)</f>
        <v>1</v>
      </c>
      <c r="U1044" s="5">
        <f>_xlfn.XLOOKUP(CustomerCombined[[#This Row],[ID]], Table4[ID], Table4[Store], "Not Found", 0)</f>
        <v>4</v>
      </c>
      <c r="V1044" s="5">
        <f>_xlfn.XLOOKUP(CustomerCombined[[#This Row],[ID]], Table4[ID], Table4[Visits], "Not Found", 0)</f>
        <v>7</v>
      </c>
      <c r="W1044" s="8">
        <f>_xlfn.XLOOKUP(CustomerCombined[[#This Row],[ID]], Table2[ID],Table2[Complaint], "Not Found", 0 )</f>
        <v>0</v>
      </c>
      <c r="X1044" s="8">
        <f>_xlfn.XLOOKUP(CustomerCombined[[#This Row],[ID]], Table2[ID],Table2[Pilot], "Not Found", 0 )</f>
        <v>0</v>
      </c>
      <c r="Y1044" s="8">
        <f>_xlfn.XLOOKUP(CustomerCombined[[#This Row],[ID]], Table2[ID],Table2[MC1], "Not Found", 0 )</f>
        <v>0</v>
      </c>
      <c r="Z1044" s="8">
        <f>_xlfn.XLOOKUP(CustomerCombined[[#This Row],[ID]], Table2[ID],Table2[MC2], "Not Found", 0 )</f>
        <v>0</v>
      </c>
      <c r="AA1044" s="8">
        <f>_xlfn.XLOOKUP(CustomerCombined[[#This Row],[ID]], Table2[ID],Table2[MC3], "Not Found", 0 )</f>
        <v>0</v>
      </c>
      <c r="AB1044" s="8">
        <f>_xlfn.XLOOKUP(CustomerCombined[[#This Row],[ID]], Table2[ID],Table2[MC4], "Not Found", 0 )</f>
        <v>0</v>
      </c>
      <c r="AC1044" s="8">
        <f>_xlfn.XLOOKUP(CustomerCombined[[#This Row],[ID]], Table2[ID],Table2[MC5], "Not Found", 0 )</f>
        <v>0</v>
      </c>
    </row>
    <row r="1045" spans="1:29" x14ac:dyDescent="0.3">
      <c r="A1045" s="6">
        <v>2732</v>
      </c>
      <c r="B1045" s="6">
        <v>139763</v>
      </c>
      <c r="C1045" s="6">
        <v>1</v>
      </c>
      <c r="D1045" s="6">
        <v>0</v>
      </c>
      <c r="E1045" s="6">
        <v>49</v>
      </c>
      <c r="F1045" s="5" t="s">
        <v>7</v>
      </c>
      <c r="G1045" s="5" t="s">
        <v>12</v>
      </c>
      <c r="H1045" s="3">
        <v>44075</v>
      </c>
      <c r="I1045" s="5" t="s">
        <v>438</v>
      </c>
      <c r="J1045" s="5">
        <f>_xlfn.XLOOKUP(CustomerCombined[[#This Row],[ID]], Table4[ID], Table4[Recency], "Not Found", 0)</f>
        <v>9</v>
      </c>
      <c r="K1045" s="5">
        <f>_xlfn.XLOOKUP(CustomerCombined[[#This Row],[ID]], Table4[ID], Table4[Teas], "Not Found", 0)</f>
        <v>281</v>
      </c>
      <c r="L1045" s="5">
        <f>_xlfn.XLOOKUP(CustomerCombined[[#This Row],[ID]], Table4[ID], Table4[Fruits], "Not Found", 0)</f>
        <v>4</v>
      </c>
      <c r="M1045" s="5">
        <f>_xlfn.XLOOKUP(CustomerCombined[[#This Row],[ID]], Table4[ID], Table4[Meats], "Not Found", 0)</f>
        <v>211</v>
      </c>
      <c r="N1045" s="5">
        <f>_xlfn.XLOOKUP(CustomerCombined[[#This Row],[ID]], Table4[ID], Table4[Seafood], "Not Found", 0)</f>
        <v>14</v>
      </c>
      <c r="O1045" s="5">
        <f>_xlfn.XLOOKUP(CustomerCombined[[#This Row],[ID]], Table4[ID], Table4[Sweets], "Not Found", 0)</f>
        <v>21</v>
      </c>
      <c r="P1045" s="5">
        <f>_xlfn.XLOOKUP(CustomerCombined[[#This Row],[ID]], Table4[ID], Table4[Premium], "Not Found", 0)</f>
        <v>56</v>
      </c>
      <c r="Q1045" s="5">
        <f>_xlfn.XLOOKUP(CustomerCombined[[#This Row],[ID]], Table4[ID], Table4[Regular], "Not Found", 0)</f>
        <v>475</v>
      </c>
      <c r="R1045" s="5">
        <f>_xlfn.XLOOKUP(CustomerCombined[[#This Row],[ID]], Table4[ID], Table4[Deals], "Not Found", 0)</f>
        <v>2</v>
      </c>
      <c r="S1045" s="5">
        <f>_xlfn.XLOOKUP(CustomerCombined[[#This Row],[ID]], Table4[ID], Table4[Website], "Not Found", 0)</f>
        <v>5</v>
      </c>
      <c r="T1045" s="5">
        <f>_xlfn.XLOOKUP(CustomerCombined[[#This Row],[ID]], Table4[ID], Table4[Catalog], "Not Found", 0)</f>
        <v>1</v>
      </c>
      <c r="U1045" s="5">
        <f>_xlfn.XLOOKUP(CustomerCombined[[#This Row],[ID]], Table4[ID], Table4[Store], "Not Found", 0)</f>
        <v>2</v>
      </c>
      <c r="V1045" s="5">
        <f>_xlfn.XLOOKUP(CustomerCombined[[#This Row],[ID]], Table4[ID], Table4[Visits], "Not Found", 0)</f>
        <v>9</v>
      </c>
      <c r="W1045" s="8">
        <f>_xlfn.XLOOKUP(CustomerCombined[[#This Row],[ID]], Table2[ID],Table2[Complaint], "Not Found", 0 )</f>
        <v>0</v>
      </c>
      <c r="X1045" s="8">
        <f>_xlfn.XLOOKUP(CustomerCombined[[#This Row],[ID]], Table2[ID],Table2[Pilot], "Not Found", 0 )</f>
        <v>1</v>
      </c>
      <c r="Y1045" s="8">
        <f>_xlfn.XLOOKUP(CustomerCombined[[#This Row],[ID]], Table2[ID],Table2[MC1], "Not Found", 0 )</f>
        <v>0</v>
      </c>
      <c r="Z1045" s="8">
        <f>_xlfn.XLOOKUP(CustomerCombined[[#This Row],[ID]], Table2[ID],Table2[MC2], "Not Found", 0 )</f>
        <v>0</v>
      </c>
      <c r="AA1045" s="8">
        <f>_xlfn.XLOOKUP(CustomerCombined[[#This Row],[ID]], Table2[ID],Table2[MC3], "Not Found", 0 )</f>
        <v>0</v>
      </c>
      <c r="AB1045" s="8">
        <f>_xlfn.XLOOKUP(CustomerCombined[[#This Row],[ID]], Table2[ID],Table2[MC4], "Not Found", 0 )</f>
        <v>0</v>
      </c>
      <c r="AC1045" s="8">
        <f>_xlfn.XLOOKUP(CustomerCombined[[#This Row],[ID]], Table2[ID],Table2[MC5], "Not Found", 0 )</f>
        <v>0</v>
      </c>
    </row>
    <row r="1046" spans="1:29" x14ac:dyDescent="0.3">
      <c r="A1046" s="6">
        <v>1220</v>
      </c>
      <c r="B1046" s="6">
        <v>138590</v>
      </c>
      <c r="C1046" s="6">
        <v>1</v>
      </c>
      <c r="D1046" s="6">
        <v>0</v>
      </c>
      <c r="E1046" s="6">
        <v>49</v>
      </c>
      <c r="F1046" s="5" t="s">
        <v>8</v>
      </c>
      <c r="G1046" s="5" t="s">
        <v>11</v>
      </c>
      <c r="H1046" s="3" t="s">
        <v>256</v>
      </c>
      <c r="I1046" s="5" t="s">
        <v>438</v>
      </c>
      <c r="J1046" s="5">
        <f>_xlfn.XLOOKUP(CustomerCombined[[#This Row],[ID]], Table4[ID], Table4[Recency], "Not Found", 0)</f>
        <v>65</v>
      </c>
      <c r="K1046" s="5">
        <f>_xlfn.XLOOKUP(CustomerCombined[[#This Row],[ID]], Table4[ID], Table4[Teas], "Not Found", 0)</f>
        <v>11</v>
      </c>
      <c r="L1046" s="5">
        <f>_xlfn.XLOOKUP(CustomerCombined[[#This Row],[ID]], Table4[ID], Table4[Fruits], "Not Found", 0)</f>
        <v>4</v>
      </c>
      <c r="M1046" s="5">
        <f>_xlfn.XLOOKUP(CustomerCombined[[#This Row],[ID]], Table4[ID], Table4[Meats], "Not Found", 0)</f>
        <v>29</v>
      </c>
      <c r="N1046" s="5">
        <f>_xlfn.XLOOKUP(CustomerCombined[[#This Row],[ID]], Table4[ID], Table4[Seafood], "Not Found", 0)</f>
        <v>14</v>
      </c>
      <c r="O1046" s="5">
        <f>_xlfn.XLOOKUP(CustomerCombined[[#This Row],[ID]], Table4[ID], Table4[Sweets], "Not Found", 0)</f>
        <v>11</v>
      </c>
      <c r="P1046" s="5">
        <f>_xlfn.XLOOKUP(CustomerCombined[[#This Row],[ID]], Table4[ID], Table4[Premium], "Not Found", 0)</f>
        <v>11</v>
      </c>
      <c r="Q1046" s="5">
        <f>_xlfn.XLOOKUP(CustomerCombined[[#This Row],[ID]], Table4[ID], Table4[Regular], "Not Found", 0)</f>
        <v>57</v>
      </c>
      <c r="R1046" s="5">
        <f>_xlfn.XLOOKUP(CustomerCombined[[#This Row],[ID]], Table4[ID], Table4[Deals], "Not Found", 0)</f>
        <v>1</v>
      </c>
      <c r="S1046" s="5">
        <f>_xlfn.XLOOKUP(CustomerCombined[[#This Row],[ID]], Table4[ID], Table4[Website], "Not Found", 0)</f>
        <v>1</v>
      </c>
      <c r="T1046" s="5">
        <f>_xlfn.XLOOKUP(CustomerCombined[[#This Row],[ID]], Table4[ID], Table4[Catalog], "Not Found", 0)</f>
        <v>0</v>
      </c>
      <c r="U1046" s="5">
        <f>_xlfn.XLOOKUP(CustomerCombined[[#This Row],[ID]], Table4[ID], Table4[Store], "Not Found", 0)</f>
        <v>2</v>
      </c>
      <c r="V1046" s="5">
        <f>_xlfn.XLOOKUP(CustomerCombined[[#This Row],[ID]], Table4[ID], Table4[Visits], "Not Found", 0)</f>
        <v>8</v>
      </c>
      <c r="W1046" s="8">
        <f>_xlfn.XLOOKUP(CustomerCombined[[#This Row],[ID]], Table2[ID],Table2[Complaint], "Not Found", 0 )</f>
        <v>0</v>
      </c>
      <c r="X1046" s="8">
        <f>_xlfn.XLOOKUP(CustomerCombined[[#This Row],[ID]], Table2[ID],Table2[Pilot], "Not Found", 0 )</f>
        <v>0</v>
      </c>
      <c r="Y1046" s="8">
        <f>_xlfn.XLOOKUP(CustomerCombined[[#This Row],[ID]], Table2[ID],Table2[MC1], "Not Found", 0 )</f>
        <v>0</v>
      </c>
      <c r="Z1046" s="8">
        <f>_xlfn.XLOOKUP(CustomerCombined[[#This Row],[ID]], Table2[ID],Table2[MC2], "Not Found", 0 )</f>
        <v>0</v>
      </c>
      <c r="AA1046" s="8">
        <f>_xlfn.XLOOKUP(CustomerCombined[[#This Row],[ID]], Table2[ID],Table2[MC3], "Not Found", 0 )</f>
        <v>0</v>
      </c>
      <c r="AB1046" s="8">
        <f>_xlfn.XLOOKUP(CustomerCombined[[#This Row],[ID]], Table2[ID],Table2[MC4], "Not Found", 0 )</f>
        <v>0</v>
      </c>
      <c r="AC1046" s="8">
        <f>_xlfn.XLOOKUP(CustomerCombined[[#This Row],[ID]], Table2[ID],Table2[MC5], "Not Found", 0 )</f>
        <v>0</v>
      </c>
    </row>
    <row r="1047" spans="1:29" x14ac:dyDescent="0.3">
      <c r="A1047" s="6">
        <v>2656</v>
      </c>
      <c r="B1047" s="6">
        <v>138232</v>
      </c>
      <c r="C1047" s="6">
        <v>1</v>
      </c>
      <c r="D1047" s="6">
        <v>1</v>
      </c>
      <c r="E1047" s="6">
        <v>49</v>
      </c>
      <c r="F1047" s="5" t="s">
        <v>8</v>
      </c>
      <c r="G1047" s="5" t="s">
        <v>11</v>
      </c>
      <c r="H1047" s="3" t="s">
        <v>114</v>
      </c>
      <c r="I1047" s="5" t="s">
        <v>439</v>
      </c>
      <c r="J1047" s="5">
        <f>_xlfn.XLOOKUP(CustomerCombined[[#This Row],[ID]], Table4[ID], Table4[Recency], "Not Found", 0)</f>
        <v>84</v>
      </c>
      <c r="K1047" s="5">
        <f>_xlfn.XLOOKUP(CustomerCombined[[#This Row],[ID]], Table4[ID], Table4[Teas], "Not Found", 0)</f>
        <v>155</v>
      </c>
      <c r="L1047" s="5">
        <f>_xlfn.XLOOKUP(CustomerCombined[[#This Row],[ID]], Table4[ID], Table4[Fruits], "Not Found", 0)</f>
        <v>18</v>
      </c>
      <c r="M1047" s="5">
        <f>_xlfn.XLOOKUP(CustomerCombined[[#This Row],[ID]], Table4[ID], Table4[Meats], "Not Found", 0)</f>
        <v>101</v>
      </c>
      <c r="N1047" s="5">
        <f>_xlfn.XLOOKUP(CustomerCombined[[#This Row],[ID]], Table4[ID], Table4[Seafood], "Not Found", 0)</f>
        <v>25</v>
      </c>
      <c r="O1047" s="5">
        <f>_xlfn.XLOOKUP(CustomerCombined[[#This Row],[ID]], Table4[ID], Table4[Sweets], "Not Found", 0)</f>
        <v>22</v>
      </c>
      <c r="P1047" s="5">
        <f>_xlfn.XLOOKUP(CustomerCombined[[#This Row],[ID]], Table4[ID], Table4[Premium], "Not Found", 0)</f>
        <v>119</v>
      </c>
      <c r="Q1047" s="5">
        <f>_xlfn.XLOOKUP(CustomerCombined[[#This Row],[ID]], Table4[ID], Table4[Regular], "Not Found", 0)</f>
        <v>202</v>
      </c>
      <c r="R1047" s="5">
        <f>_xlfn.XLOOKUP(CustomerCombined[[#This Row],[ID]], Table4[ID], Table4[Deals], "Not Found", 0)</f>
        <v>4</v>
      </c>
      <c r="S1047" s="5">
        <f>_xlfn.XLOOKUP(CustomerCombined[[#This Row],[ID]], Table4[ID], Table4[Website], "Not Found", 0)</f>
        <v>3</v>
      </c>
      <c r="T1047" s="5">
        <f>_xlfn.XLOOKUP(CustomerCombined[[#This Row],[ID]], Table4[ID], Table4[Catalog], "Not Found", 0)</f>
        <v>1</v>
      </c>
      <c r="U1047" s="5">
        <f>_xlfn.XLOOKUP(CustomerCombined[[#This Row],[ID]], Table4[ID], Table4[Store], "Not Found", 0)</f>
        <v>3</v>
      </c>
      <c r="V1047" s="5">
        <f>_xlfn.XLOOKUP(CustomerCombined[[#This Row],[ID]], Table4[ID], Table4[Visits], "Not Found", 0)</f>
        <v>5</v>
      </c>
      <c r="W1047" s="8">
        <f>_xlfn.XLOOKUP(CustomerCombined[[#This Row],[ID]], Table2[ID],Table2[Complaint], "Not Found", 0 )</f>
        <v>0</v>
      </c>
      <c r="X1047" s="8">
        <f>_xlfn.XLOOKUP(CustomerCombined[[#This Row],[ID]], Table2[ID],Table2[Pilot], "Not Found", 0 )</f>
        <v>0</v>
      </c>
      <c r="Y1047" s="8">
        <f>_xlfn.XLOOKUP(CustomerCombined[[#This Row],[ID]], Table2[ID],Table2[MC1], "Not Found", 0 )</f>
        <v>0</v>
      </c>
      <c r="Z1047" s="8">
        <f>_xlfn.XLOOKUP(CustomerCombined[[#This Row],[ID]], Table2[ID],Table2[MC2], "Not Found", 0 )</f>
        <v>0</v>
      </c>
      <c r="AA1047" s="8">
        <f>_xlfn.XLOOKUP(CustomerCombined[[#This Row],[ID]], Table2[ID],Table2[MC3], "Not Found", 0 )</f>
        <v>0</v>
      </c>
      <c r="AB1047" s="8">
        <f>_xlfn.XLOOKUP(CustomerCombined[[#This Row],[ID]], Table2[ID],Table2[MC4], "Not Found", 0 )</f>
        <v>0</v>
      </c>
      <c r="AC1047" s="8">
        <f>_xlfn.XLOOKUP(CustomerCombined[[#This Row],[ID]], Table2[ID],Table2[MC5], "Not Found", 0 )</f>
        <v>0</v>
      </c>
    </row>
    <row r="1048" spans="1:29" x14ac:dyDescent="0.3">
      <c r="A1048" s="6">
        <v>1995</v>
      </c>
      <c r="B1048" s="6">
        <v>138196</v>
      </c>
      <c r="C1048" s="6">
        <v>1</v>
      </c>
      <c r="D1048" s="6">
        <v>1</v>
      </c>
      <c r="E1048" s="6">
        <v>49</v>
      </c>
      <c r="F1048" s="5" t="s">
        <v>6</v>
      </c>
      <c r="G1048" s="5" t="s">
        <v>12</v>
      </c>
      <c r="H1048" s="3" t="s">
        <v>64</v>
      </c>
      <c r="I1048" s="5" t="s">
        <v>435</v>
      </c>
      <c r="J1048" s="5">
        <f>_xlfn.XLOOKUP(CustomerCombined[[#This Row],[ID]], Table4[ID], Table4[Recency], "Not Found", 0)</f>
        <v>20</v>
      </c>
      <c r="K1048" s="5">
        <f>_xlfn.XLOOKUP(CustomerCombined[[#This Row],[ID]], Table4[ID], Table4[Teas], "Not Found", 0)</f>
        <v>109</v>
      </c>
      <c r="L1048" s="5">
        <f>_xlfn.XLOOKUP(CustomerCombined[[#This Row],[ID]], Table4[ID], Table4[Fruits], "Not Found", 0)</f>
        <v>0</v>
      </c>
      <c r="M1048" s="5">
        <f>_xlfn.XLOOKUP(CustomerCombined[[#This Row],[ID]], Table4[ID], Table4[Meats], "Not Found", 0)</f>
        <v>40</v>
      </c>
      <c r="N1048" s="5">
        <f>_xlfn.XLOOKUP(CustomerCombined[[#This Row],[ID]], Table4[ID], Table4[Seafood], "Not Found", 0)</f>
        <v>0</v>
      </c>
      <c r="O1048" s="5">
        <f>_xlfn.XLOOKUP(CustomerCombined[[#This Row],[ID]], Table4[ID], Table4[Sweets], "Not Found", 0)</f>
        <v>0</v>
      </c>
      <c r="P1048" s="5">
        <f>_xlfn.XLOOKUP(CustomerCombined[[#This Row],[ID]], Table4[ID], Table4[Premium], "Not Found", 0)</f>
        <v>11</v>
      </c>
      <c r="Q1048" s="5">
        <f>_xlfn.XLOOKUP(CustomerCombined[[#This Row],[ID]], Table4[ID], Table4[Regular], "Not Found", 0)</f>
        <v>137</v>
      </c>
      <c r="R1048" s="5">
        <f>_xlfn.XLOOKUP(CustomerCombined[[#This Row],[ID]], Table4[ID], Table4[Deals], "Not Found", 0)</f>
        <v>3</v>
      </c>
      <c r="S1048" s="5">
        <f>_xlfn.XLOOKUP(CustomerCombined[[#This Row],[ID]], Table4[ID], Table4[Website], "Not Found", 0)</f>
        <v>2</v>
      </c>
      <c r="T1048" s="5">
        <f>_xlfn.XLOOKUP(CustomerCombined[[#This Row],[ID]], Table4[ID], Table4[Catalog], "Not Found", 0)</f>
        <v>0</v>
      </c>
      <c r="U1048" s="5">
        <f>_xlfn.XLOOKUP(CustomerCombined[[#This Row],[ID]], Table4[ID], Table4[Store], "Not Found", 0)</f>
        <v>4</v>
      </c>
      <c r="V1048" s="5">
        <f>_xlfn.XLOOKUP(CustomerCombined[[#This Row],[ID]], Table4[ID], Table4[Visits], "Not Found", 0)</f>
        <v>5</v>
      </c>
      <c r="W1048" s="8">
        <f>_xlfn.XLOOKUP(CustomerCombined[[#This Row],[ID]], Table2[ID],Table2[Complaint], "Not Found", 0 )</f>
        <v>0</v>
      </c>
      <c r="X1048" s="8">
        <f>_xlfn.XLOOKUP(CustomerCombined[[#This Row],[ID]], Table2[ID],Table2[Pilot], "Not Found", 0 )</f>
        <v>0</v>
      </c>
      <c r="Y1048" s="8">
        <f>_xlfn.XLOOKUP(CustomerCombined[[#This Row],[ID]], Table2[ID],Table2[MC1], "Not Found", 0 )</f>
        <v>0</v>
      </c>
      <c r="Z1048" s="8">
        <f>_xlfn.XLOOKUP(CustomerCombined[[#This Row],[ID]], Table2[ID],Table2[MC2], "Not Found", 0 )</f>
        <v>0</v>
      </c>
      <c r="AA1048" s="8">
        <f>_xlfn.XLOOKUP(CustomerCombined[[#This Row],[ID]], Table2[ID],Table2[MC3], "Not Found", 0 )</f>
        <v>0</v>
      </c>
      <c r="AB1048" s="8">
        <f>_xlfn.XLOOKUP(CustomerCombined[[#This Row],[ID]], Table2[ID],Table2[MC4], "Not Found", 0 )</f>
        <v>0</v>
      </c>
      <c r="AC1048" s="8">
        <f>_xlfn.XLOOKUP(CustomerCombined[[#This Row],[ID]], Table2[ID],Table2[MC5], "Not Found", 0 )</f>
        <v>0</v>
      </c>
    </row>
    <row r="1049" spans="1:29" x14ac:dyDescent="0.3">
      <c r="A1049" s="6">
        <v>3019</v>
      </c>
      <c r="B1049" s="6">
        <v>137150</v>
      </c>
      <c r="C1049" s="6">
        <v>1</v>
      </c>
      <c r="D1049" s="6">
        <v>0</v>
      </c>
      <c r="E1049" s="6">
        <v>49</v>
      </c>
      <c r="F1049" s="5" t="s">
        <v>6</v>
      </c>
      <c r="G1049" s="5" t="s">
        <v>11</v>
      </c>
      <c r="H1049" s="3" t="s">
        <v>398</v>
      </c>
      <c r="I1049" s="5" t="s">
        <v>437</v>
      </c>
      <c r="J1049" s="5">
        <f>_xlfn.XLOOKUP(CustomerCombined[[#This Row],[ID]], Table4[ID], Table4[Recency], "Not Found", 0)</f>
        <v>80</v>
      </c>
      <c r="K1049" s="5">
        <f>_xlfn.XLOOKUP(CustomerCombined[[#This Row],[ID]], Table4[ID], Table4[Teas], "Not Found", 0)</f>
        <v>617</v>
      </c>
      <c r="L1049" s="5">
        <f>_xlfn.XLOOKUP(CustomerCombined[[#This Row],[ID]], Table4[ID], Table4[Fruits], "Not Found", 0)</f>
        <v>137</v>
      </c>
      <c r="M1049" s="5">
        <f>_xlfn.XLOOKUP(CustomerCombined[[#This Row],[ID]], Table4[ID], Table4[Meats], "Not Found", 0)</f>
        <v>236</v>
      </c>
      <c r="N1049" s="5">
        <f>_xlfn.XLOOKUP(CustomerCombined[[#This Row],[ID]], Table4[ID], Table4[Seafood], "Not Found", 0)</f>
        <v>181</v>
      </c>
      <c r="O1049" s="5">
        <f>_xlfn.XLOOKUP(CustomerCombined[[#This Row],[ID]], Table4[ID], Table4[Sweets], "Not Found", 0)</f>
        <v>126</v>
      </c>
      <c r="P1049" s="5">
        <f>_xlfn.XLOOKUP(CustomerCombined[[#This Row],[ID]], Table4[ID], Table4[Premium], "Not Found", 0)</f>
        <v>428</v>
      </c>
      <c r="Q1049" s="5">
        <f>_xlfn.XLOOKUP(CustomerCombined[[#This Row],[ID]], Table4[ID], Table4[Regular], "Not Found", 0)</f>
        <v>868</v>
      </c>
      <c r="R1049" s="5">
        <f>_xlfn.XLOOKUP(CustomerCombined[[#This Row],[ID]], Table4[ID], Table4[Deals], "Not Found", 0)</f>
        <v>8</v>
      </c>
      <c r="S1049" s="5">
        <f>_xlfn.XLOOKUP(CustomerCombined[[#This Row],[ID]], Table4[ID], Table4[Website], "Not Found", 0)</f>
        <v>4</v>
      </c>
      <c r="T1049" s="5">
        <f>_xlfn.XLOOKUP(CustomerCombined[[#This Row],[ID]], Table4[ID], Table4[Catalog], "Not Found", 0)</f>
        <v>3</v>
      </c>
      <c r="U1049" s="5">
        <f>_xlfn.XLOOKUP(CustomerCombined[[#This Row],[ID]], Table4[ID], Table4[Store], "Not Found", 0)</f>
        <v>6</v>
      </c>
      <c r="V1049" s="5">
        <f>_xlfn.XLOOKUP(CustomerCombined[[#This Row],[ID]], Table4[ID], Table4[Visits], "Not Found", 0)</f>
        <v>7</v>
      </c>
      <c r="W1049" s="8">
        <f>_xlfn.XLOOKUP(CustomerCombined[[#This Row],[ID]], Table2[ID],Table2[Complaint], "Not Found", 0 )</f>
        <v>0</v>
      </c>
      <c r="X1049" s="8">
        <f>_xlfn.XLOOKUP(CustomerCombined[[#This Row],[ID]], Table2[ID],Table2[Pilot], "Not Found", 0 )</f>
        <v>0</v>
      </c>
      <c r="Y1049" s="8">
        <f>_xlfn.XLOOKUP(CustomerCombined[[#This Row],[ID]], Table2[ID],Table2[MC1], "Not Found", 0 )</f>
        <v>0</v>
      </c>
      <c r="Z1049" s="8">
        <f>_xlfn.XLOOKUP(CustomerCombined[[#This Row],[ID]], Table2[ID],Table2[MC2], "Not Found", 0 )</f>
        <v>0</v>
      </c>
      <c r="AA1049" s="8">
        <f>_xlfn.XLOOKUP(CustomerCombined[[#This Row],[ID]], Table2[ID],Table2[MC3], "Not Found", 0 )</f>
        <v>0</v>
      </c>
      <c r="AB1049" s="8">
        <f>_xlfn.XLOOKUP(CustomerCombined[[#This Row],[ID]], Table2[ID],Table2[MC4], "Not Found", 0 )</f>
        <v>0</v>
      </c>
      <c r="AC1049" s="8">
        <f>_xlfn.XLOOKUP(CustomerCombined[[#This Row],[ID]], Table2[ID],Table2[MC5], "Not Found", 0 )</f>
        <v>0</v>
      </c>
    </row>
    <row r="1050" spans="1:29" x14ac:dyDescent="0.3">
      <c r="A1050" s="6">
        <v>2019</v>
      </c>
      <c r="B1050" s="6">
        <v>137126</v>
      </c>
      <c r="C1050" s="6">
        <v>1</v>
      </c>
      <c r="D1050" s="6">
        <v>0</v>
      </c>
      <c r="E1050" s="6">
        <v>49</v>
      </c>
      <c r="F1050" s="5" t="s">
        <v>6</v>
      </c>
      <c r="G1050" s="5" t="s">
        <v>13</v>
      </c>
      <c r="H1050" s="3">
        <v>43899</v>
      </c>
      <c r="I1050" s="5" t="s">
        <v>435</v>
      </c>
      <c r="J1050" s="5">
        <f>_xlfn.XLOOKUP(CustomerCombined[[#This Row],[ID]], Table4[ID], Table4[Recency], "Not Found", 0)</f>
        <v>9</v>
      </c>
      <c r="K1050" s="5">
        <f>_xlfn.XLOOKUP(CustomerCombined[[#This Row],[ID]], Table4[ID], Table4[Teas], "Not Found", 0)</f>
        <v>166</v>
      </c>
      <c r="L1050" s="5">
        <f>_xlfn.XLOOKUP(CustomerCombined[[#This Row],[ID]], Table4[ID], Table4[Fruits], "Not Found", 0)</f>
        <v>11</v>
      </c>
      <c r="M1050" s="5">
        <f>_xlfn.XLOOKUP(CustomerCombined[[#This Row],[ID]], Table4[ID], Table4[Meats], "Not Found", 0)</f>
        <v>33</v>
      </c>
      <c r="N1050" s="5">
        <f>_xlfn.XLOOKUP(CustomerCombined[[#This Row],[ID]], Table4[ID], Table4[Seafood], "Not Found", 0)</f>
        <v>15</v>
      </c>
      <c r="O1050" s="5">
        <f>_xlfn.XLOOKUP(CustomerCombined[[#This Row],[ID]], Table4[ID], Table4[Sweets], "Not Found", 0)</f>
        <v>15</v>
      </c>
      <c r="P1050" s="5">
        <f>_xlfn.XLOOKUP(CustomerCombined[[#This Row],[ID]], Table4[ID], Table4[Premium], "Not Found", 0)</f>
        <v>26</v>
      </c>
      <c r="Q1050" s="5">
        <f>_xlfn.XLOOKUP(CustomerCombined[[#This Row],[ID]], Table4[ID], Table4[Regular], "Not Found", 0)</f>
        <v>214</v>
      </c>
      <c r="R1050" s="5">
        <f>_xlfn.XLOOKUP(CustomerCombined[[#This Row],[ID]], Table4[ID], Table4[Deals], "Not Found", 0)</f>
        <v>1</v>
      </c>
      <c r="S1050" s="5">
        <f>_xlfn.XLOOKUP(CustomerCombined[[#This Row],[ID]], Table4[ID], Table4[Website], "Not Found", 0)</f>
        <v>1</v>
      </c>
      <c r="T1050" s="5">
        <f>_xlfn.XLOOKUP(CustomerCombined[[#This Row],[ID]], Table4[ID], Table4[Catalog], "Not Found", 0)</f>
        <v>2</v>
      </c>
      <c r="U1050" s="5">
        <f>_xlfn.XLOOKUP(CustomerCombined[[#This Row],[ID]], Table4[ID], Table4[Store], "Not Found", 0)</f>
        <v>2</v>
      </c>
      <c r="V1050" s="5">
        <f>_xlfn.XLOOKUP(CustomerCombined[[#This Row],[ID]], Table4[ID], Table4[Visits], "Not Found", 0)</f>
        <v>6</v>
      </c>
      <c r="W1050" s="8">
        <f>_xlfn.XLOOKUP(CustomerCombined[[#This Row],[ID]], Table2[ID],Table2[Complaint], "Not Found", 0 )</f>
        <v>0</v>
      </c>
      <c r="X1050" s="8">
        <f>_xlfn.XLOOKUP(CustomerCombined[[#This Row],[ID]], Table2[ID],Table2[Pilot], "Not Found", 0 )</f>
        <v>1</v>
      </c>
      <c r="Y1050" s="8">
        <f>_xlfn.XLOOKUP(CustomerCombined[[#This Row],[ID]], Table2[ID],Table2[MC1], "Not Found", 0 )</f>
        <v>0</v>
      </c>
      <c r="Z1050" s="8">
        <f>_xlfn.XLOOKUP(CustomerCombined[[#This Row],[ID]], Table2[ID],Table2[MC2], "Not Found", 0 )</f>
        <v>0</v>
      </c>
      <c r="AA1050" s="8">
        <f>_xlfn.XLOOKUP(CustomerCombined[[#This Row],[ID]], Table2[ID],Table2[MC3], "Not Found", 0 )</f>
        <v>1</v>
      </c>
      <c r="AB1050" s="8">
        <f>_xlfn.XLOOKUP(CustomerCombined[[#This Row],[ID]], Table2[ID],Table2[MC4], "Not Found", 0 )</f>
        <v>0</v>
      </c>
      <c r="AC1050" s="8">
        <f>_xlfn.XLOOKUP(CustomerCombined[[#This Row],[ID]], Table2[ID],Table2[MC5], "Not Found", 0 )</f>
        <v>0</v>
      </c>
    </row>
    <row r="1051" spans="1:29" x14ac:dyDescent="0.3">
      <c r="A1051" s="6">
        <v>2062</v>
      </c>
      <c r="B1051" s="6">
        <v>136715</v>
      </c>
      <c r="C1051" s="6">
        <v>1</v>
      </c>
      <c r="D1051" s="6">
        <v>0</v>
      </c>
      <c r="E1051" s="6">
        <v>49</v>
      </c>
      <c r="F1051" s="5" t="s">
        <v>6</v>
      </c>
      <c r="G1051" s="5" t="s">
        <v>11</v>
      </c>
      <c r="H1051" s="3" t="s">
        <v>359</v>
      </c>
      <c r="I1051" s="5" t="s">
        <v>439</v>
      </c>
      <c r="J1051" s="5">
        <f>_xlfn.XLOOKUP(CustomerCombined[[#This Row],[ID]], Table4[ID], Table4[Recency], "Not Found", 0)</f>
        <v>16</v>
      </c>
      <c r="K1051" s="5">
        <f>_xlfn.XLOOKUP(CustomerCombined[[#This Row],[ID]], Table4[ID], Table4[Teas], "Not Found", 0)</f>
        <v>640</v>
      </c>
      <c r="L1051" s="5">
        <f>_xlfn.XLOOKUP(CustomerCombined[[#This Row],[ID]], Table4[ID], Table4[Fruits], "Not Found", 0)</f>
        <v>37</v>
      </c>
      <c r="M1051" s="5">
        <f>_xlfn.XLOOKUP(CustomerCombined[[#This Row],[ID]], Table4[ID], Table4[Meats], "Not Found", 0)</f>
        <v>465</v>
      </c>
      <c r="N1051" s="5">
        <f>_xlfn.XLOOKUP(CustomerCombined[[#This Row],[ID]], Table4[ID], Table4[Seafood], "Not Found", 0)</f>
        <v>78</v>
      </c>
      <c r="O1051" s="5">
        <f>_xlfn.XLOOKUP(CustomerCombined[[#This Row],[ID]], Table4[ID], Table4[Sweets], "Not Found", 0)</f>
        <v>48</v>
      </c>
      <c r="P1051" s="5">
        <f>_xlfn.XLOOKUP(CustomerCombined[[#This Row],[ID]], Table4[ID], Table4[Premium], "Not Found", 0)</f>
        <v>60</v>
      </c>
      <c r="Q1051" s="5">
        <f>_xlfn.XLOOKUP(CustomerCombined[[#This Row],[ID]], Table4[ID], Table4[Regular], "Not Found", 0)</f>
        <v>1210</v>
      </c>
      <c r="R1051" s="5">
        <f>_xlfn.XLOOKUP(CustomerCombined[[#This Row],[ID]], Table4[ID], Table4[Deals], "Not Found", 0)</f>
        <v>6</v>
      </c>
      <c r="S1051" s="5">
        <f>_xlfn.XLOOKUP(CustomerCombined[[#This Row],[ID]], Table4[ID], Table4[Website], "Not Found", 0)</f>
        <v>7</v>
      </c>
      <c r="T1051" s="5">
        <f>_xlfn.XLOOKUP(CustomerCombined[[#This Row],[ID]], Table4[ID], Table4[Catalog], "Not Found", 0)</f>
        <v>2</v>
      </c>
      <c r="U1051" s="5">
        <f>_xlfn.XLOOKUP(CustomerCombined[[#This Row],[ID]], Table4[ID], Table4[Store], "Not Found", 0)</f>
        <v>4</v>
      </c>
      <c r="V1051" s="5">
        <f>_xlfn.XLOOKUP(CustomerCombined[[#This Row],[ID]], Table4[ID], Table4[Visits], "Not Found", 0)</f>
        <v>9</v>
      </c>
      <c r="W1051" s="8">
        <f>_xlfn.XLOOKUP(CustomerCombined[[#This Row],[ID]], Table2[ID],Table2[Complaint], "Not Found", 0 )</f>
        <v>0</v>
      </c>
      <c r="X1051" s="8">
        <f>_xlfn.XLOOKUP(CustomerCombined[[#This Row],[ID]], Table2[ID],Table2[Pilot], "Not Found", 0 )</f>
        <v>1</v>
      </c>
      <c r="Y1051" s="8">
        <f>_xlfn.XLOOKUP(CustomerCombined[[#This Row],[ID]], Table2[ID],Table2[MC1], "Not Found", 0 )</f>
        <v>0</v>
      </c>
      <c r="Z1051" s="8">
        <f>_xlfn.XLOOKUP(CustomerCombined[[#This Row],[ID]], Table2[ID],Table2[MC2], "Not Found", 0 )</f>
        <v>0</v>
      </c>
      <c r="AA1051" s="8">
        <f>_xlfn.XLOOKUP(CustomerCombined[[#This Row],[ID]], Table2[ID],Table2[MC3], "Not Found", 0 )</f>
        <v>0</v>
      </c>
      <c r="AB1051" s="8">
        <f>_xlfn.XLOOKUP(CustomerCombined[[#This Row],[ID]], Table2[ID],Table2[MC4], "Not Found", 0 )</f>
        <v>0</v>
      </c>
      <c r="AC1051" s="8">
        <f>_xlfn.XLOOKUP(CustomerCombined[[#This Row],[ID]], Table2[ID],Table2[MC5], "Not Found", 0 )</f>
        <v>0</v>
      </c>
    </row>
    <row r="1052" spans="1:29" x14ac:dyDescent="0.3">
      <c r="A1052" s="6">
        <v>1436</v>
      </c>
      <c r="B1052" s="6">
        <v>136230</v>
      </c>
      <c r="C1052" s="6">
        <v>1</v>
      </c>
      <c r="D1052" s="6">
        <v>0</v>
      </c>
      <c r="E1052" s="6">
        <v>49</v>
      </c>
      <c r="F1052" s="5" t="s">
        <v>7</v>
      </c>
      <c r="G1052" s="5" t="s">
        <v>12</v>
      </c>
      <c r="H1052" s="3" t="s">
        <v>165</v>
      </c>
      <c r="I1052" s="5" t="s">
        <v>438</v>
      </c>
      <c r="J1052" s="5">
        <f>_xlfn.XLOOKUP(CustomerCombined[[#This Row],[ID]], Table4[ID], Table4[Recency], "Not Found", 0)</f>
        <v>17</v>
      </c>
      <c r="K1052" s="5">
        <f>_xlfn.XLOOKUP(CustomerCombined[[#This Row],[ID]], Table4[ID], Table4[Teas], "Not Found", 0)</f>
        <v>53</v>
      </c>
      <c r="L1052" s="5">
        <f>_xlfn.XLOOKUP(CustomerCombined[[#This Row],[ID]], Table4[ID], Table4[Fruits], "Not Found", 0)</f>
        <v>8</v>
      </c>
      <c r="M1052" s="5">
        <f>_xlfn.XLOOKUP(CustomerCombined[[#This Row],[ID]], Table4[ID], Table4[Meats], "Not Found", 0)</f>
        <v>113</v>
      </c>
      <c r="N1052" s="5">
        <f>_xlfn.XLOOKUP(CustomerCombined[[#This Row],[ID]], Table4[ID], Table4[Seafood], "Not Found", 0)</f>
        <v>30</v>
      </c>
      <c r="O1052" s="5">
        <f>_xlfn.XLOOKUP(CustomerCombined[[#This Row],[ID]], Table4[ID], Table4[Sweets], "Not Found", 0)</f>
        <v>8</v>
      </c>
      <c r="P1052" s="5">
        <f>_xlfn.XLOOKUP(CustomerCombined[[#This Row],[ID]], Table4[ID], Table4[Premium], "Not Found", 0)</f>
        <v>11</v>
      </c>
      <c r="Q1052" s="5">
        <f>_xlfn.XLOOKUP(CustomerCombined[[#This Row],[ID]], Table4[ID], Table4[Regular], "Not Found", 0)</f>
        <v>199</v>
      </c>
      <c r="R1052" s="5">
        <f>_xlfn.XLOOKUP(CustomerCombined[[#This Row],[ID]], Table4[ID], Table4[Deals], "Not Found", 0)</f>
        <v>1</v>
      </c>
      <c r="S1052" s="5">
        <f>_xlfn.XLOOKUP(CustomerCombined[[#This Row],[ID]], Table4[ID], Table4[Website], "Not Found", 0)</f>
        <v>2</v>
      </c>
      <c r="T1052" s="5">
        <f>_xlfn.XLOOKUP(CustomerCombined[[#This Row],[ID]], Table4[ID], Table4[Catalog], "Not Found", 0)</f>
        <v>0</v>
      </c>
      <c r="U1052" s="5">
        <f>_xlfn.XLOOKUP(CustomerCombined[[#This Row],[ID]], Table4[ID], Table4[Store], "Not Found", 0)</f>
        <v>4</v>
      </c>
      <c r="V1052" s="5">
        <f>_xlfn.XLOOKUP(CustomerCombined[[#This Row],[ID]], Table4[ID], Table4[Visits], "Not Found", 0)</f>
        <v>5</v>
      </c>
      <c r="W1052" s="8">
        <f>_xlfn.XLOOKUP(CustomerCombined[[#This Row],[ID]], Table2[ID],Table2[Complaint], "Not Found", 0 )</f>
        <v>0</v>
      </c>
      <c r="X1052" s="8">
        <f>_xlfn.XLOOKUP(CustomerCombined[[#This Row],[ID]], Table2[ID],Table2[Pilot], "Not Found", 0 )</f>
        <v>0</v>
      </c>
      <c r="Y1052" s="8">
        <f>_xlfn.XLOOKUP(CustomerCombined[[#This Row],[ID]], Table2[ID],Table2[MC1], "Not Found", 0 )</f>
        <v>0</v>
      </c>
      <c r="Z1052" s="8">
        <f>_xlfn.XLOOKUP(CustomerCombined[[#This Row],[ID]], Table2[ID],Table2[MC2], "Not Found", 0 )</f>
        <v>0</v>
      </c>
      <c r="AA1052" s="8">
        <f>_xlfn.XLOOKUP(CustomerCombined[[#This Row],[ID]], Table2[ID],Table2[MC3], "Not Found", 0 )</f>
        <v>0</v>
      </c>
      <c r="AB1052" s="8">
        <f>_xlfn.XLOOKUP(CustomerCombined[[#This Row],[ID]], Table2[ID],Table2[MC4], "Not Found", 0 )</f>
        <v>0</v>
      </c>
      <c r="AC1052" s="8">
        <f>_xlfn.XLOOKUP(CustomerCombined[[#This Row],[ID]], Table2[ID],Table2[MC5], "Not Found", 0 )</f>
        <v>0</v>
      </c>
    </row>
    <row r="1053" spans="1:29" x14ac:dyDescent="0.3">
      <c r="A1053" s="6">
        <v>3109</v>
      </c>
      <c r="B1053" s="6">
        <v>135788</v>
      </c>
      <c r="C1053" s="6">
        <v>1</v>
      </c>
      <c r="D1053" s="6">
        <v>1</v>
      </c>
      <c r="E1053" s="6">
        <v>49</v>
      </c>
      <c r="F1053" s="5" t="s">
        <v>6</v>
      </c>
      <c r="G1053" s="5" t="s">
        <v>11</v>
      </c>
      <c r="H1053" s="3" t="s">
        <v>109</v>
      </c>
      <c r="I1053" s="5" t="s">
        <v>437</v>
      </c>
      <c r="J1053" s="5">
        <f>_xlfn.XLOOKUP(CustomerCombined[[#This Row],[ID]], Table4[ID], Table4[Recency], "Not Found", 0)</f>
        <v>34</v>
      </c>
      <c r="K1053" s="5">
        <f>_xlfn.XLOOKUP(CustomerCombined[[#This Row],[ID]], Table4[ID], Table4[Teas], "Not Found", 0)</f>
        <v>87</v>
      </c>
      <c r="L1053" s="5">
        <f>_xlfn.XLOOKUP(CustomerCombined[[#This Row],[ID]], Table4[ID], Table4[Fruits], "Not Found", 0)</f>
        <v>8</v>
      </c>
      <c r="M1053" s="5">
        <f>_xlfn.XLOOKUP(CustomerCombined[[#This Row],[ID]], Table4[ID], Table4[Meats], "Not Found", 0)</f>
        <v>42</v>
      </c>
      <c r="N1053" s="5">
        <f>_xlfn.XLOOKUP(CustomerCombined[[#This Row],[ID]], Table4[ID], Table4[Seafood], "Not Found", 0)</f>
        <v>11</v>
      </c>
      <c r="O1053" s="5">
        <f>_xlfn.XLOOKUP(CustomerCombined[[#This Row],[ID]], Table4[ID], Table4[Sweets], "Not Found", 0)</f>
        <v>4</v>
      </c>
      <c r="P1053" s="5">
        <f>_xlfn.XLOOKUP(CustomerCombined[[#This Row],[ID]], Table4[ID], Table4[Premium], "Not Found", 0)</f>
        <v>15</v>
      </c>
      <c r="Q1053" s="5">
        <f>_xlfn.XLOOKUP(CustomerCombined[[#This Row],[ID]], Table4[ID], Table4[Regular], "Not Found", 0)</f>
        <v>137</v>
      </c>
      <c r="R1053" s="5">
        <f>_xlfn.XLOOKUP(CustomerCombined[[#This Row],[ID]], Table4[ID], Table4[Deals], "Not Found", 0)</f>
        <v>2</v>
      </c>
      <c r="S1053" s="5">
        <f>_xlfn.XLOOKUP(CustomerCombined[[#This Row],[ID]], Table4[ID], Table4[Website], "Not Found", 0)</f>
        <v>2</v>
      </c>
      <c r="T1053" s="5">
        <f>_xlfn.XLOOKUP(CustomerCombined[[#This Row],[ID]], Table4[ID], Table4[Catalog], "Not Found", 0)</f>
        <v>0</v>
      </c>
      <c r="U1053" s="5">
        <f>_xlfn.XLOOKUP(CustomerCombined[[#This Row],[ID]], Table4[ID], Table4[Store], "Not Found", 0)</f>
        <v>3</v>
      </c>
      <c r="V1053" s="5">
        <f>_xlfn.XLOOKUP(CustomerCombined[[#This Row],[ID]], Table4[ID], Table4[Visits], "Not Found", 0)</f>
        <v>6</v>
      </c>
      <c r="W1053" s="8">
        <f>_xlfn.XLOOKUP(CustomerCombined[[#This Row],[ID]], Table2[ID],Table2[Complaint], "Not Found", 0 )</f>
        <v>0</v>
      </c>
      <c r="X1053" s="8">
        <f>_xlfn.XLOOKUP(CustomerCombined[[#This Row],[ID]], Table2[ID],Table2[Pilot], "Not Found", 0 )</f>
        <v>0</v>
      </c>
      <c r="Y1053" s="8">
        <f>_xlfn.XLOOKUP(CustomerCombined[[#This Row],[ID]], Table2[ID],Table2[MC1], "Not Found", 0 )</f>
        <v>0</v>
      </c>
      <c r="Z1053" s="8">
        <f>_xlfn.XLOOKUP(CustomerCombined[[#This Row],[ID]], Table2[ID],Table2[MC2], "Not Found", 0 )</f>
        <v>0</v>
      </c>
      <c r="AA1053" s="8">
        <f>_xlfn.XLOOKUP(CustomerCombined[[#This Row],[ID]], Table2[ID],Table2[MC3], "Not Found", 0 )</f>
        <v>0</v>
      </c>
      <c r="AB1053" s="8">
        <f>_xlfn.XLOOKUP(CustomerCombined[[#This Row],[ID]], Table2[ID],Table2[MC4], "Not Found", 0 )</f>
        <v>0</v>
      </c>
      <c r="AC1053" s="8">
        <f>_xlfn.XLOOKUP(CustomerCombined[[#This Row],[ID]], Table2[ID],Table2[MC5], "Not Found", 0 )</f>
        <v>0</v>
      </c>
    </row>
    <row r="1054" spans="1:29" x14ac:dyDescent="0.3">
      <c r="A1054" s="6">
        <v>1318</v>
      </c>
      <c r="B1054" s="6">
        <v>135178</v>
      </c>
      <c r="C1054" s="6">
        <v>1</v>
      </c>
      <c r="D1054" s="6">
        <v>0</v>
      </c>
      <c r="E1054" s="6">
        <v>49</v>
      </c>
      <c r="F1054" s="5" t="s">
        <v>6</v>
      </c>
      <c r="G1054" s="5" t="s">
        <v>12</v>
      </c>
      <c r="H1054" s="3" t="s">
        <v>330</v>
      </c>
      <c r="I1054" s="5" t="s">
        <v>439</v>
      </c>
      <c r="J1054" s="5">
        <f>_xlfn.XLOOKUP(CustomerCombined[[#This Row],[ID]], Table4[ID], Table4[Recency], "Not Found", 0)</f>
        <v>10</v>
      </c>
      <c r="K1054" s="5">
        <f>_xlfn.XLOOKUP(CustomerCombined[[#This Row],[ID]], Table4[ID], Table4[Teas], "Not Found", 0)</f>
        <v>88</v>
      </c>
      <c r="L1054" s="5">
        <f>_xlfn.XLOOKUP(CustomerCombined[[#This Row],[ID]], Table4[ID], Table4[Fruits], "Not Found", 0)</f>
        <v>4</v>
      </c>
      <c r="M1054" s="5">
        <f>_xlfn.XLOOKUP(CustomerCombined[[#This Row],[ID]], Table4[ID], Table4[Meats], "Not Found", 0)</f>
        <v>50</v>
      </c>
      <c r="N1054" s="5">
        <f>_xlfn.XLOOKUP(CustomerCombined[[#This Row],[ID]], Table4[ID], Table4[Seafood], "Not Found", 0)</f>
        <v>8</v>
      </c>
      <c r="O1054" s="5">
        <f>_xlfn.XLOOKUP(CustomerCombined[[#This Row],[ID]], Table4[ID], Table4[Sweets], "Not Found", 0)</f>
        <v>8</v>
      </c>
      <c r="P1054" s="5">
        <f>_xlfn.XLOOKUP(CustomerCombined[[#This Row],[ID]], Table4[ID], Table4[Premium], "Not Found", 0)</f>
        <v>69</v>
      </c>
      <c r="Q1054" s="5">
        <f>_xlfn.XLOOKUP(CustomerCombined[[#This Row],[ID]], Table4[ID], Table4[Regular], "Not Found", 0)</f>
        <v>88</v>
      </c>
      <c r="R1054" s="5">
        <f>_xlfn.XLOOKUP(CustomerCombined[[#This Row],[ID]], Table4[ID], Table4[Deals], "Not Found", 0)</f>
        <v>1</v>
      </c>
      <c r="S1054" s="5">
        <f>_xlfn.XLOOKUP(CustomerCombined[[#This Row],[ID]], Table4[ID], Table4[Website], "Not Found", 0)</f>
        <v>1</v>
      </c>
      <c r="T1054" s="5">
        <f>_xlfn.XLOOKUP(CustomerCombined[[#This Row],[ID]], Table4[ID], Table4[Catalog], "Not Found", 0)</f>
        <v>1</v>
      </c>
      <c r="U1054" s="5">
        <f>_xlfn.XLOOKUP(CustomerCombined[[#This Row],[ID]], Table4[ID], Table4[Store], "Not Found", 0)</f>
        <v>2</v>
      </c>
      <c r="V1054" s="5">
        <f>_xlfn.XLOOKUP(CustomerCombined[[#This Row],[ID]], Table4[ID], Table4[Visits], "Not Found", 0)</f>
        <v>7</v>
      </c>
      <c r="W1054" s="8">
        <f>_xlfn.XLOOKUP(CustomerCombined[[#This Row],[ID]], Table2[ID],Table2[Complaint], "Not Found", 0 )</f>
        <v>0</v>
      </c>
      <c r="X1054" s="8">
        <f>_xlfn.XLOOKUP(CustomerCombined[[#This Row],[ID]], Table2[ID],Table2[Pilot], "Not Found", 0 )</f>
        <v>1</v>
      </c>
      <c r="Y1054" s="8">
        <f>_xlfn.XLOOKUP(CustomerCombined[[#This Row],[ID]], Table2[ID],Table2[MC1], "Not Found", 0 )</f>
        <v>0</v>
      </c>
      <c r="Z1054" s="8">
        <f>_xlfn.XLOOKUP(CustomerCombined[[#This Row],[ID]], Table2[ID],Table2[MC2], "Not Found", 0 )</f>
        <v>0</v>
      </c>
      <c r="AA1054" s="8">
        <f>_xlfn.XLOOKUP(CustomerCombined[[#This Row],[ID]], Table2[ID],Table2[MC3], "Not Found", 0 )</f>
        <v>1</v>
      </c>
      <c r="AB1054" s="8">
        <f>_xlfn.XLOOKUP(CustomerCombined[[#This Row],[ID]], Table2[ID],Table2[MC4], "Not Found", 0 )</f>
        <v>0</v>
      </c>
      <c r="AC1054" s="8">
        <f>_xlfn.XLOOKUP(CustomerCombined[[#This Row],[ID]], Table2[ID],Table2[MC5], "Not Found", 0 )</f>
        <v>0</v>
      </c>
    </row>
    <row r="1055" spans="1:29" x14ac:dyDescent="0.3">
      <c r="A1055" s="6">
        <v>1690</v>
      </c>
      <c r="B1055" s="6">
        <v>135178</v>
      </c>
      <c r="C1055" s="6">
        <v>1</v>
      </c>
      <c r="D1055" s="6">
        <v>0</v>
      </c>
      <c r="E1055" s="6">
        <v>49</v>
      </c>
      <c r="F1055" s="5" t="s">
        <v>6</v>
      </c>
      <c r="G1055" s="5" t="s">
        <v>12</v>
      </c>
      <c r="H1055" s="3" t="s">
        <v>330</v>
      </c>
      <c r="I1055" s="5" t="s">
        <v>439</v>
      </c>
      <c r="J1055" s="5">
        <f>_xlfn.XLOOKUP(CustomerCombined[[#This Row],[ID]], Table4[ID], Table4[Recency], "Not Found", 0)</f>
        <v>10</v>
      </c>
      <c r="K1055" s="5">
        <f>_xlfn.XLOOKUP(CustomerCombined[[#This Row],[ID]], Table4[ID], Table4[Teas], "Not Found", 0)</f>
        <v>88</v>
      </c>
      <c r="L1055" s="5">
        <f>_xlfn.XLOOKUP(CustomerCombined[[#This Row],[ID]], Table4[ID], Table4[Fruits], "Not Found", 0)</f>
        <v>4</v>
      </c>
      <c r="M1055" s="5">
        <f>_xlfn.XLOOKUP(CustomerCombined[[#This Row],[ID]], Table4[ID], Table4[Meats], "Not Found", 0)</f>
        <v>50</v>
      </c>
      <c r="N1055" s="5">
        <f>_xlfn.XLOOKUP(CustomerCombined[[#This Row],[ID]], Table4[ID], Table4[Seafood], "Not Found", 0)</f>
        <v>8</v>
      </c>
      <c r="O1055" s="5">
        <f>_xlfn.XLOOKUP(CustomerCombined[[#This Row],[ID]], Table4[ID], Table4[Sweets], "Not Found", 0)</f>
        <v>8</v>
      </c>
      <c r="P1055" s="5">
        <f>_xlfn.XLOOKUP(CustomerCombined[[#This Row],[ID]], Table4[ID], Table4[Premium], "Not Found", 0)</f>
        <v>69</v>
      </c>
      <c r="Q1055" s="5">
        <f>_xlfn.XLOOKUP(CustomerCombined[[#This Row],[ID]], Table4[ID], Table4[Regular], "Not Found", 0)</f>
        <v>88</v>
      </c>
      <c r="R1055" s="5">
        <f>_xlfn.XLOOKUP(CustomerCombined[[#This Row],[ID]], Table4[ID], Table4[Deals], "Not Found", 0)</f>
        <v>1</v>
      </c>
      <c r="S1055" s="5">
        <f>_xlfn.XLOOKUP(CustomerCombined[[#This Row],[ID]], Table4[ID], Table4[Website], "Not Found", 0)</f>
        <v>1</v>
      </c>
      <c r="T1055" s="5">
        <f>_xlfn.XLOOKUP(CustomerCombined[[#This Row],[ID]], Table4[ID], Table4[Catalog], "Not Found", 0)</f>
        <v>1</v>
      </c>
      <c r="U1055" s="5">
        <f>_xlfn.XLOOKUP(CustomerCombined[[#This Row],[ID]], Table4[ID], Table4[Store], "Not Found", 0)</f>
        <v>2</v>
      </c>
      <c r="V1055" s="5">
        <f>_xlfn.XLOOKUP(CustomerCombined[[#This Row],[ID]], Table4[ID], Table4[Visits], "Not Found", 0)</f>
        <v>7</v>
      </c>
      <c r="W1055" s="8">
        <f>_xlfn.XLOOKUP(CustomerCombined[[#This Row],[ID]], Table2[ID],Table2[Complaint], "Not Found", 0 )</f>
        <v>0</v>
      </c>
      <c r="X1055" s="8">
        <f>_xlfn.XLOOKUP(CustomerCombined[[#This Row],[ID]], Table2[ID],Table2[Pilot], "Not Found", 0 )</f>
        <v>1</v>
      </c>
      <c r="Y1055" s="8">
        <f>_xlfn.XLOOKUP(CustomerCombined[[#This Row],[ID]], Table2[ID],Table2[MC1], "Not Found", 0 )</f>
        <v>0</v>
      </c>
      <c r="Z1055" s="8">
        <f>_xlfn.XLOOKUP(CustomerCombined[[#This Row],[ID]], Table2[ID],Table2[MC2], "Not Found", 0 )</f>
        <v>0</v>
      </c>
      <c r="AA1055" s="8">
        <f>_xlfn.XLOOKUP(CustomerCombined[[#This Row],[ID]], Table2[ID],Table2[MC3], "Not Found", 0 )</f>
        <v>1</v>
      </c>
      <c r="AB1055" s="8">
        <f>_xlfn.XLOOKUP(CustomerCombined[[#This Row],[ID]], Table2[ID],Table2[MC4], "Not Found", 0 )</f>
        <v>0</v>
      </c>
      <c r="AC1055" s="8">
        <f>_xlfn.XLOOKUP(CustomerCombined[[#This Row],[ID]], Table2[ID],Table2[MC5], "Not Found", 0 )</f>
        <v>0</v>
      </c>
    </row>
    <row r="1056" spans="1:29" x14ac:dyDescent="0.3">
      <c r="A1056" s="6">
        <v>2759</v>
      </c>
      <c r="B1056" s="6">
        <v>134600</v>
      </c>
      <c r="C1056" s="6">
        <v>1</v>
      </c>
      <c r="D1056" s="6">
        <v>1</v>
      </c>
      <c r="E1056" s="6">
        <v>49</v>
      </c>
      <c r="F1056" s="5" t="s">
        <v>8</v>
      </c>
      <c r="G1056" s="5" t="s">
        <v>11</v>
      </c>
      <c r="H1056" s="3">
        <v>43683</v>
      </c>
      <c r="I1056" s="5" t="s">
        <v>434</v>
      </c>
      <c r="J1056" s="5">
        <f>_xlfn.XLOOKUP(CustomerCombined[[#This Row],[ID]], Table4[ID], Table4[Recency], "Not Found", 0)</f>
        <v>8</v>
      </c>
      <c r="K1056" s="5">
        <f>_xlfn.XLOOKUP(CustomerCombined[[#This Row],[ID]], Table4[ID], Table4[Teas], "Not Found", 0)</f>
        <v>774</v>
      </c>
      <c r="L1056" s="5">
        <f>_xlfn.XLOOKUP(CustomerCombined[[#This Row],[ID]], Table4[ID], Table4[Fruits], "Not Found", 0)</f>
        <v>128</v>
      </c>
      <c r="M1056" s="5">
        <f>_xlfn.XLOOKUP(CustomerCombined[[#This Row],[ID]], Table4[ID], Table4[Meats], "Not Found", 0)</f>
        <v>233</v>
      </c>
      <c r="N1056" s="5">
        <f>_xlfn.XLOOKUP(CustomerCombined[[#This Row],[ID]], Table4[ID], Table4[Seafood], "Not Found", 0)</f>
        <v>31</v>
      </c>
      <c r="O1056" s="5">
        <f>_xlfn.XLOOKUP(CustomerCombined[[#This Row],[ID]], Table4[ID], Table4[Sweets], "Not Found", 0)</f>
        <v>12</v>
      </c>
      <c r="P1056" s="5">
        <f>_xlfn.XLOOKUP(CustomerCombined[[#This Row],[ID]], Table4[ID], Table4[Premium], "Not Found", 0)</f>
        <v>58</v>
      </c>
      <c r="Q1056" s="5">
        <f>_xlfn.XLOOKUP(CustomerCombined[[#This Row],[ID]], Table4[ID], Table4[Regular], "Not Found", 0)</f>
        <v>1120</v>
      </c>
      <c r="R1056" s="5">
        <f>_xlfn.XLOOKUP(CustomerCombined[[#This Row],[ID]], Table4[ID], Table4[Deals], "Not Found", 0)</f>
        <v>5</v>
      </c>
      <c r="S1056" s="5">
        <f>_xlfn.XLOOKUP(CustomerCombined[[#This Row],[ID]], Table4[ID], Table4[Website], "Not Found", 0)</f>
        <v>5</v>
      </c>
      <c r="T1056" s="5">
        <f>_xlfn.XLOOKUP(CustomerCombined[[#This Row],[ID]], Table4[ID], Table4[Catalog], "Not Found", 0)</f>
        <v>2</v>
      </c>
      <c r="U1056" s="5">
        <f>_xlfn.XLOOKUP(CustomerCombined[[#This Row],[ID]], Table4[ID], Table4[Store], "Not Found", 0)</f>
        <v>5</v>
      </c>
      <c r="V1056" s="5">
        <f>_xlfn.XLOOKUP(CustomerCombined[[#This Row],[ID]], Table4[ID], Table4[Visits], "Not Found", 0)</f>
        <v>8</v>
      </c>
      <c r="W1056" s="8">
        <f>_xlfn.XLOOKUP(CustomerCombined[[#This Row],[ID]], Table2[ID],Table2[Complaint], "Not Found", 0 )</f>
        <v>0</v>
      </c>
      <c r="X1056" s="8">
        <f>_xlfn.XLOOKUP(CustomerCombined[[#This Row],[ID]], Table2[ID],Table2[Pilot], "Not Found", 0 )</f>
        <v>1</v>
      </c>
      <c r="Y1056" s="8">
        <f>_xlfn.XLOOKUP(CustomerCombined[[#This Row],[ID]], Table2[ID],Table2[MC1], "Not Found", 0 )</f>
        <v>0</v>
      </c>
      <c r="Z1056" s="8">
        <f>_xlfn.XLOOKUP(CustomerCombined[[#This Row],[ID]], Table2[ID],Table2[MC2], "Not Found", 0 )</f>
        <v>0</v>
      </c>
      <c r="AA1056" s="8">
        <f>_xlfn.XLOOKUP(CustomerCombined[[#This Row],[ID]], Table2[ID],Table2[MC3], "Not Found", 0 )</f>
        <v>0</v>
      </c>
      <c r="AB1056" s="8">
        <f>_xlfn.XLOOKUP(CustomerCombined[[#This Row],[ID]], Table2[ID],Table2[MC4], "Not Found", 0 )</f>
        <v>0</v>
      </c>
      <c r="AC1056" s="8">
        <f>_xlfn.XLOOKUP(CustomerCombined[[#This Row],[ID]], Table2[ID],Table2[MC5], "Not Found", 0 )</f>
        <v>0</v>
      </c>
    </row>
    <row r="1057" spans="1:29" x14ac:dyDescent="0.3">
      <c r="A1057" s="6">
        <v>2947</v>
      </c>
      <c r="B1057" s="6">
        <v>134600</v>
      </c>
      <c r="C1057" s="6">
        <v>1</v>
      </c>
      <c r="D1057" s="6">
        <v>1</v>
      </c>
      <c r="E1057" s="6">
        <v>49</v>
      </c>
      <c r="F1057" s="5" t="s">
        <v>8</v>
      </c>
      <c r="G1057" s="5" t="s">
        <v>11</v>
      </c>
      <c r="H1057" s="3">
        <v>43683</v>
      </c>
      <c r="I1057" s="5" t="s">
        <v>437</v>
      </c>
      <c r="J1057" s="5">
        <f>_xlfn.XLOOKUP(CustomerCombined[[#This Row],[ID]], Table4[ID], Table4[Recency], "Not Found", 0)</f>
        <v>8</v>
      </c>
      <c r="K1057" s="5">
        <f>_xlfn.XLOOKUP(CustomerCombined[[#This Row],[ID]], Table4[ID], Table4[Teas], "Not Found", 0)</f>
        <v>774</v>
      </c>
      <c r="L1057" s="5">
        <f>_xlfn.XLOOKUP(CustomerCombined[[#This Row],[ID]], Table4[ID], Table4[Fruits], "Not Found", 0)</f>
        <v>128</v>
      </c>
      <c r="M1057" s="5">
        <f>_xlfn.XLOOKUP(CustomerCombined[[#This Row],[ID]], Table4[ID], Table4[Meats], "Not Found", 0)</f>
        <v>233</v>
      </c>
      <c r="N1057" s="5">
        <f>_xlfn.XLOOKUP(CustomerCombined[[#This Row],[ID]], Table4[ID], Table4[Seafood], "Not Found", 0)</f>
        <v>31</v>
      </c>
      <c r="O1057" s="5">
        <f>_xlfn.XLOOKUP(CustomerCombined[[#This Row],[ID]], Table4[ID], Table4[Sweets], "Not Found", 0)</f>
        <v>12</v>
      </c>
      <c r="P1057" s="5">
        <f>_xlfn.XLOOKUP(CustomerCombined[[#This Row],[ID]], Table4[ID], Table4[Premium], "Not Found", 0)</f>
        <v>58</v>
      </c>
      <c r="Q1057" s="5">
        <f>_xlfn.XLOOKUP(CustomerCombined[[#This Row],[ID]], Table4[ID], Table4[Regular], "Not Found", 0)</f>
        <v>1120</v>
      </c>
      <c r="R1057" s="5">
        <f>_xlfn.XLOOKUP(CustomerCombined[[#This Row],[ID]], Table4[ID], Table4[Deals], "Not Found", 0)</f>
        <v>5</v>
      </c>
      <c r="S1057" s="5">
        <f>_xlfn.XLOOKUP(CustomerCombined[[#This Row],[ID]], Table4[ID], Table4[Website], "Not Found", 0)</f>
        <v>5</v>
      </c>
      <c r="T1057" s="5">
        <f>_xlfn.XLOOKUP(CustomerCombined[[#This Row],[ID]], Table4[ID], Table4[Catalog], "Not Found", 0)</f>
        <v>2</v>
      </c>
      <c r="U1057" s="5">
        <f>_xlfn.XLOOKUP(CustomerCombined[[#This Row],[ID]], Table4[ID], Table4[Store], "Not Found", 0)</f>
        <v>5</v>
      </c>
      <c r="V1057" s="5">
        <f>_xlfn.XLOOKUP(CustomerCombined[[#This Row],[ID]], Table4[ID], Table4[Visits], "Not Found", 0)</f>
        <v>8</v>
      </c>
      <c r="W1057" s="8">
        <f>_xlfn.XLOOKUP(CustomerCombined[[#This Row],[ID]], Table2[ID],Table2[Complaint], "Not Found", 0 )</f>
        <v>0</v>
      </c>
      <c r="X1057" s="8">
        <f>_xlfn.XLOOKUP(CustomerCombined[[#This Row],[ID]], Table2[ID],Table2[Pilot], "Not Found", 0 )</f>
        <v>1</v>
      </c>
      <c r="Y1057" s="8">
        <f>_xlfn.XLOOKUP(CustomerCombined[[#This Row],[ID]], Table2[ID],Table2[MC1], "Not Found", 0 )</f>
        <v>0</v>
      </c>
      <c r="Z1057" s="8">
        <f>_xlfn.XLOOKUP(CustomerCombined[[#This Row],[ID]], Table2[ID],Table2[MC2], "Not Found", 0 )</f>
        <v>0</v>
      </c>
      <c r="AA1057" s="8">
        <f>_xlfn.XLOOKUP(CustomerCombined[[#This Row],[ID]], Table2[ID],Table2[MC3], "Not Found", 0 )</f>
        <v>0</v>
      </c>
      <c r="AB1057" s="8">
        <f>_xlfn.XLOOKUP(CustomerCombined[[#This Row],[ID]], Table2[ID],Table2[MC4], "Not Found", 0 )</f>
        <v>0</v>
      </c>
      <c r="AC1057" s="8">
        <f>_xlfn.XLOOKUP(CustomerCombined[[#This Row],[ID]], Table2[ID],Table2[MC5], "Not Found", 0 )</f>
        <v>0</v>
      </c>
    </row>
    <row r="1058" spans="1:29" x14ac:dyDescent="0.3">
      <c r="A1058" s="6">
        <v>3058</v>
      </c>
      <c r="B1058" s="6">
        <v>134109</v>
      </c>
      <c r="C1058" s="6">
        <v>0</v>
      </c>
      <c r="D1058" s="6">
        <v>1</v>
      </c>
      <c r="E1058" s="6">
        <v>49</v>
      </c>
      <c r="F1058" s="5" t="s">
        <v>6</v>
      </c>
      <c r="G1058" s="5" t="s">
        <v>12</v>
      </c>
      <c r="H1058" s="3">
        <v>44169</v>
      </c>
      <c r="I1058" s="5" t="s">
        <v>439</v>
      </c>
      <c r="J1058" s="5">
        <f>_xlfn.XLOOKUP(CustomerCombined[[#This Row],[ID]], Table4[ID], Table4[Recency], "Not Found", 0)</f>
        <v>39</v>
      </c>
      <c r="K1058" s="5">
        <f>_xlfn.XLOOKUP(CustomerCombined[[#This Row],[ID]], Table4[ID], Table4[Teas], "Not Found", 0)</f>
        <v>35</v>
      </c>
      <c r="L1058" s="5">
        <f>_xlfn.XLOOKUP(CustomerCombined[[#This Row],[ID]], Table4[ID], Table4[Fruits], "Not Found", 0)</f>
        <v>4</v>
      </c>
      <c r="M1058" s="5">
        <f>_xlfn.XLOOKUP(CustomerCombined[[#This Row],[ID]], Table4[ID], Table4[Meats], "Not Found", 0)</f>
        <v>20</v>
      </c>
      <c r="N1058" s="5">
        <f>_xlfn.XLOOKUP(CustomerCombined[[#This Row],[ID]], Table4[ID], Table4[Seafood], "Not Found", 0)</f>
        <v>8</v>
      </c>
      <c r="O1058" s="5">
        <f>_xlfn.XLOOKUP(CustomerCombined[[#This Row],[ID]], Table4[ID], Table4[Sweets], "Not Found", 0)</f>
        <v>4</v>
      </c>
      <c r="P1058" s="5">
        <f>_xlfn.XLOOKUP(CustomerCombined[[#This Row],[ID]], Table4[ID], Table4[Premium], "Not Found", 0)</f>
        <v>16</v>
      </c>
      <c r="Q1058" s="5">
        <f>_xlfn.XLOOKUP(CustomerCombined[[#This Row],[ID]], Table4[ID], Table4[Regular], "Not Found", 0)</f>
        <v>55</v>
      </c>
      <c r="R1058" s="5">
        <f>_xlfn.XLOOKUP(CustomerCombined[[#This Row],[ID]], Table4[ID], Table4[Deals], "Not Found", 0)</f>
        <v>1</v>
      </c>
      <c r="S1058" s="5">
        <f>_xlfn.XLOOKUP(CustomerCombined[[#This Row],[ID]], Table4[ID], Table4[Website], "Not Found", 0)</f>
        <v>0</v>
      </c>
      <c r="T1058" s="5">
        <f>_xlfn.XLOOKUP(CustomerCombined[[#This Row],[ID]], Table4[ID], Table4[Catalog], "Not Found", 0)</f>
        <v>0</v>
      </c>
      <c r="U1058" s="5">
        <f>_xlfn.XLOOKUP(CustomerCombined[[#This Row],[ID]], Table4[ID], Table4[Store], "Not Found", 0)</f>
        <v>3</v>
      </c>
      <c r="V1058" s="5">
        <f>_xlfn.XLOOKUP(CustomerCombined[[#This Row],[ID]], Table4[ID], Table4[Visits], "Not Found", 0)</f>
        <v>4</v>
      </c>
      <c r="W1058" s="8">
        <f>_xlfn.XLOOKUP(CustomerCombined[[#This Row],[ID]], Table2[ID],Table2[Complaint], "Not Found", 0 )</f>
        <v>0</v>
      </c>
      <c r="X1058" s="8">
        <f>_xlfn.XLOOKUP(CustomerCombined[[#This Row],[ID]], Table2[ID],Table2[Pilot], "Not Found", 0 )</f>
        <v>0</v>
      </c>
      <c r="Y1058" s="8">
        <f>_xlfn.XLOOKUP(CustomerCombined[[#This Row],[ID]], Table2[ID],Table2[MC1], "Not Found", 0 )</f>
        <v>0</v>
      </c>
      <c r="Z1058" s="8">
        <f>_xlfn.XLOOKUP(CustomerCombined[[#This Row],[ID]], Table2[ID],Table2[MC2], "Not Found", 0 )</f>
        <v>0</v>
      </c>
      <c r="AA1058" s="8">
        <f>_xlfn.XLOOKUP(CustomerCombined[[#This Row],[ID]], Table2[ID],Table2[MC3], "Not Found", 0 )</f>
        <v>0</v>
      </c>
      <c r="AB1058" s="8">
        <f>_xlfn.XLOOKUP(CustomerCombined[[#This Row],[ID]], Table2[ID],Table2[MC4], "Not Found", 0 )</f>
        <v>0</v>
      </c>
      <c r="AC1058" s="8">
        <f>_xlfn.XLOOKUP(CustomerCombined[[#This Row],[ID]], Table2[ID],Table2[MC5], "Not Found", 0 )</f>
        <v>0</v>
      </c>
    </row>
    <row r="1059" spans="1:29" x14ac:dyDescent="0.3">
      <c r="A1059" s="6">
        <v>2339</v>
      </c>
      <c r="B1059" s="6">
        <v>133316</v>
      </c>
      <c r="C1059" s="6">
        <v>1</v>
      </c>
      <c r="D1059" s="6">
        <v>1</v>
      </c>
      <c r="E1059" s="6">
        <v>49</v>
      </c>
      <c r="F1059" s="5" t="s">
        <v>7</v>
      </c>
      <c r="G1059" s="5" t="s">
        <v>12</v>
      </c>
      <c r="H1059" s="3">
        <v>44107</v>
      </c>
      <c r="I1059" s="5" t="s">
        <v>434</v>
      </c>
      <c r="J1059" s="5">
        <f>_xlfn.XLOOKUP(CustomerCombined[[#This Row],[ID]], Table4[ID], Table4[Recency], "Not Found", 0)</f>
        <v>34</v>
      </c>
      <c r="K1059" s="5">
        <f>_xlfn.XLOOKUP(CustomerCombined[[#This Row],[ID]], Table4[ID], Table4[Teas], "Not Found", 0)</f>
        <v>316</v>
      </c>
      <c r="L1059" s="5">
        <f>_xlfn.XLOOKUP(CustomerCombined[[#This Row],[ID]], Table4[ID], Table4[Fruits], "Not Found", 0)</f>
        <v>4</v>
      </c>
      <c r="M1059" s="5">
        <f>_xlfn.XLOOKUP(CustomerCombined[[#This Row],[ID]], Table4[ID], Table4[Meats], "Not Found", 0)</f>
        <v>124</v>
      </c>
      <c r="N1059" s="5">
        <f>_xlfn.XLOOKUP(CustomerCombined[[#This Row],[ID]], Table4[ID], Table4[Seafood], "Not Found", 0)</f>
        <v>16</v>
      </c>
      <c r="O1059" s="5">
        <f>_xlfn.XLOOKUP(CustomerCombined[[#This Row],[ID]], Table4[ID], Table4[Sweets], "Not Found", 0)</f>
        <v>16</v>
      </c>
      <c r="P1059" s="5">
        <f>_xlfn.XLOOKUP(CustomerCombined[[#This Row],[ID]], Table4[ID], Table4[Premium], "Not Found", 0)</f>
        <v>48</v>
      </c>
      <c r="Q1059" s="5">
        <f>_xlfn.XLOOKUP(CustomerCombined[[#This Row],[ID]], Table4[ID], Table4[Regular], "Not Found", 0)</f>
        <v>428</v>
      </c>
      <c r="R1059" s="5">
        <f>_xlfn.XLOOKUP(CustomerCombined[[#This Row],[ID]], Table4[ID], Table4[Deals], "Not Found", 0)</f>
        <v>3</v>
      </c>
      <c r="S1059" s="5">
        <f>_xlfn.XLOOKUP(CustomerCombined[[#This Row],[ID]], Table4[ID], Table4[Website], "Not Found", 0)</f>
        <v>2</v>
      </c>
      <c r="T1059" s="5">
        <f>_xlfn.XLOOKUP(CustomerCombined[[#This Row],[ID]], Table4[ID], Table4[Catalog], "Not Found", 0)</f>
        <v>1</v>
      </c>
      <c r="U1059" s="5">
        <f>_xlfn.XLOOKUP(CustomerCombined[[#This Row],[ID]], Table4[ID], Table4[Store], "Not Found", 0)</f>
        <v>4</v>
      </c>
      <c r="V1059" s="5">
        <f>_xlfn.XLOOKUP(CustomerCombined[[#This Row],[ID]], Table4[ID], Table4[Visits], "Not Found", 0)</f>
        <v>6</v>
      </c>
      <c r="W1059" s="8">
        <f>_xlfn.XLOOKUP(CustomerCombined[[#This Row],[ID]], Table2[ID],Table2[Complaint], "Not Found", 0 )</f>
        <v>0</v>
      </c>
      <c r="X1059" s="8">
        <f>_xlfn.XLOOKUP(CustomerCombined[[#This Row],[ID]], Table2[ID],Table2[Pilot], "Not Found", 0 )</f>
        <v>0</v>
      </c>
      <c r="Y1059" s="8">
        <f>_xlfn.XLOOKUP(CustomerCombined[[#This Row],[ID]], Table2[ID],Table2[MC1], "Not Found", 0 )</f>
        <v>0</v>
      </c>
      <c r="Z1059" s="8">
        <f>_xlfn.XLOOKUP(CustomerCombined[[#This Row],[ID]], Table2[ID],Table2[MC2], "Not Found", 0 )</f>
        <v>0</v>
      </c>
      <c r="AA1059" s="8">
        <f>_xlfn.XLOOKUP(CustomerCombined[[#This Row],[ID]], Table2[ID],Table2[MC3], "Not Found", 0 )</f>
        <v>0</v>
      </c>
      <c r="AB1059" s="8">
        <f>_xlfn.XLOOKUP(CustomerCombined[[#This Row],[ID]], Table2[ID],Table2[MC4], "Not Found", 0 )</f>
        <v>0</v>
      </c>
      <c r="AC1059" s="8">
        <f>_xlfn.XLOOKUP(CustomerCombined[[#This Row],[ID]], Table2[ID],Table2[MC5], "Not Found", 0 )</f>
        <v>0</v>
      </c>
    </row>
    <row r="1060" spans="1:29" x14ac:dyDescent="0.3">
      <c r="A1060" s="6">
        <v>2797</v>
      </c>
      <c r="B1060" s="6">
        <v>133316</v>
      </c>
      <c r="C1060" s="6">
        <v>1</v>
      </c>
      <c r="D1060" s="6">
        <v>1</v>
      </c>
      <c r="E1060" s="6">
        <v>49</v>
      </c>
      <c r="F1060" s="5" t="s">
        <v>7</v>
      </c>
      <c r="G1060" s="5" t="s">
        <v>12</v>
      </c>
      <c r="H1060" s="3">
        <v>44107</v>
      </c>
      <c r="I1060" s="5" t="s">
        <v>437</v>
      </c>
      <c r="J1060" s="5">
        <f>_xlfn.XLOOKUP(CustomerCombined[[#This Row],[ID]], Table4[ID], Table4[Recency], "Not Found", 0)</f>
        <v>34</v>
      </c>
      <c r="K1060" s="5">
        <f>_xlfn.XLOOKUP(CustomerCombined[[#This Row],[ID]], Table4[ID], Table4[Teas], "Not Found", 0)</f>
        <v>316</v>
      </c>
      <c r="L1060" s="5">
        <f>_xlfn.XLOOKUP(CustomerCombined[[#This Row],[ID]], Table4[ID], Table4[Fruits], "Not Found", 0)</f>
        <v>4</v>
      </c>
      <c r="M1060" s="5">
        <f>_xlfn.XLOOKUP(CustomerCombined[[#This Row],[ID]], Table4[ID], Table4[Meats], "Not Found", 0)</f>
        <v>124</v>
      </c>
      <c r="N1060" s="5">
        <f>_xlfn.XLOOKUP(CustomerCombined[[#This Row],[ID]], Table4[ID], Table4[Seafood], "Not Found", 0)</f>
        <v>16</v>
      </c>
      <c r="O1060" s="5">
        <f>_xlfn.XLOOKUP(CustomerCombined[[#This Row],[ID]], Table4[ID], Table4[Sweets], "Not Found", 0)</f>
        <v>16</v>
      </c>
      <c r="P1060" s="5">
        <f>_xlfn.XLOOKUP(CustomerCombined[[#This Row],[ID]], Table4[ID], Table4[Premium], "Not Found", 0)</f>
        <v>48</v>
      </c>
      <c r="Q1060" s="5">
        <f>_xlfn.XLOOKUP(CustomerCombined[[#This Row],[ID]], Table4[ID], Table4[Regular], "Not Found", 0)</f>
        <v>428</v>
      </c>
      <c r="R1060" s="5">
        <f>_xlfn.XLOOKUP(CustomerCombined[[#This Row],[ID]], Table4[ID], Table4[Deals], "Not Found", 0)</f>
        <v>3</v>
      </c>
      <c r="S1060" s="5">
        <f>_xlfn.XLOOKUP(CustomerCombined[[#This Row],[ID]], Table4[ID], Table4[Website], "Not Found", 0)</f>
        <v>2</v>
      </c>
      <c r="T1060" s="5">
        <f>_xlfn.XLOOKUP(CustomerCombined[[#This Row],[ID]], Table4[ID], Table4[Catalog], "Not Found", 0)</f>
        <v>1</v>
      </c>
      <c r="U1060" s="5">
        <f>_xlfn.XLOOKUP(CustomerCombined[[#This Row],[ID]], Table4[ID], Table4[Store], "Not Found", 0)</f>
        <v>4</v>
      </c>
      <c r="V1060" s="5">
        <f>_xlfn.XLOOKUP(CustomerCombined[[#This Row],[ID]], Table4[ID], Table4[Visits], "Not Found", 0)</f>
        <v>6</v>
      </c>
      <c r="W1060" s="8">
        <f>_xlfn.XLOOKUP(CustomerCombined[[#This Row],[ID]], Table2[ID],Table2[Complaint], "Not Found", 0 )</f>
        <v>0</v>
      </c>
      <c r="X1060" s="8">
        <f>_xlfn.XLOOKUP(CustomerCombined[[#This Row],[ID]], Table2[ID],Table2[Pilot], "Not Found", 0 )</f>
        <v>0</v>
      </c>
      <c r="Y1060" s="8">
        <f>_xlfn.XLOOKUP(CustomerCombined[[#This Row],[ID]], Table2[ID],Table2[MC1], "Not Found", 0 )</f>
        <v>0</v>
      </c>
      <c r="Z1060" s="8">
        <f>_xlfn.XLOOKUP(CustomerCombined[[#This Row],[ID]], Table2[ID],Table2[MC2], "Not Found", 0 )</f>
        <v>0</v>
      </c>
      <c r="AA1060" s="8">
        <f>_xlfn.XLOOKUP(CustomerCombined[[#This Row],[ID]], Table2[ID],Table2[MC3], "Not Found", 0 )</f>
        <v>0</v>
      </c>
      <c r="AB1060" s="8">
        <f>_xlfn.XLOOKUP(CustomerCombined[[#This Row],[ID]], Table2[ID],Table2[MC4], "Not Found", 0 )</f>
        <v>0</v>
      </c>
      <c r="AC1060" s="8">
        <f>_xlfn.XLOOKUP(CustomerCombined[[#This Row],[ID]], Table2[ID],Table2[MC5], "Not Found", 0 )</f>
        <v>0</v>
      </c>
    </row>
    <row r="1061" spans="1:29" x14ac:dyDescent="0.3">
      <c r="A1061" s="6">
        <v>1916</v>
      </c>
      <c r="B1061" s="6">
        <v>132892</v>
      </c>
      <c r="C1061" s="6">
        <v>1</v>
      </c>
      <c r="D1061" s="6">
        <v>0</v>
      </c>
      <c r="E1061" s="6">
        <v>49</v>
      </c>
      <c r="F1061" s="5" t="s">
        <v>8</v>
      </c>
      <c r="G1061" s="5" t="s">
        <v>13</v>
      </c>
      <c r="H1061" s="3" t="s">
        <v>42</v>
      </c>
      <c r="I1061" s="5" t="s">
        <v>438</v>
      </c>
      <c r="J1061" s="5">
        <f>_xlfn.XLOOKUP(CustomerCombined[[#This Row],[ID]], Table4[ID], Table4[Recency], "Not Found", 0)</f>
        <v>78</v>
      </c>
      <c r="K1061" s="5">
        <f>_xlfn.XLOOKUP(CustomerCombined[[#This Row],[ID]], Table4[ID], Table4[Teas], "Not Found", 0)</f>
        <v>105</v>
      </c>
      <c r="L1061" s="5">
        <f>_xlfn.XLOOKUP(CustomerCombined[[#This Row],[ID]], Table4[ID], Table4[Fruits], "Not Found", 0)</f>
        <v>0</v>
      </c>
      <c r="M1061" s="5">
        <f>_xlfn.XLOOKUP(CustomerCombined[[#This Row],[ID]], Table4[ID], Table4[Meats], "Not Found", 0)</f>
        <v>61</v>
      </c>
      <c r="N1061" s="5">
        <f>_xlfn.XLOOKUP(CustomerCombined[[#This Row],[ID]], Table4[ID], Table4[Seafood], "Not Found", 0)</f>
        <v>8</v>
      </c>
      <c r="O1061" s="5">
        <f>_xlfn.XLOOKUP(CustomerCombined[[#This Row],[ID]], Table4[ID], Table4[Sweets], "Not Found", 0)</f>
        <v>4</v>
      </c>
      <c r="P1061" s="5">
        <f>_xlfn.XLOOKUP(CustomerCombined[[#This Row],[ID]], Table4[ID], Table4[Premium], "Not Found", 0)</f>
        <v>8</v>
      </c>
      <c r="Q1061" s="5">
        <f>_xlfn.XLOOKUP(CustomerCombined[[#This Row],[ID]], Table4[ID], Table4[Regular], "Not Found", 0)</f>
        <v>170</v>
      </c>
      <c r="R1061" s="5">
        <f>_xlfn.XLOOKUP(CustomerCombined[[#This Row],[ID]], Table4[ID], Table4[Deals], "Not Found", 0)</f>
        <v>2</v>
      </c>
      <c r="S1061" s="5">
        <f>_xlfn.XLOOKUP(CustomerCombined[[#This Row],[ID]], Table4[ID], Table4[Website], "Not Found", 0)</f>
        <v>3</v>
      </c>
      <c r="T1061" s="5">
        <f>_xlfn.XLOOKUP(CustomerCombined[[#This Row],[ID]], Table4[ID], Table4[Catalog], "Not Found", 0)</f>
        <v>0</v>
      </c>
      <c r="U1061" s="5">
        <f>_xlfn.XLOOKUP(CustomerCombined[[#This Row],[ID]], Table4[ID], Table4[Store], "Not Found", 0)</f>
        <v>3</v>
      </c>
      <c r="V1061" s="5">
        <f>_xlfn.XLOOKUP(CustomerCombined[[#This Row],[ID]], Table4[ID], Table4[Visits], "Not Found", 0)</f>
        <v>8</v>
      </c>
      <c r="W1061" s="8">
        <f>_xlfn.XLOOKUP(CustomerCombined[[#This Row],[ID]], Table2[ID],Table2[Complaint], "Not Found", 0 )</f>
        <v>0</v>
      </c>
      <c r="X1061" s="8">
        <f>_xlfn.XLOOKUP(CustomerCombined[[#This Row],[ID]], Table2[ID],Table2[Pilot], "Not Found", 0 )</f>
        <v>0</v>
      </c>
      <c r="Y1061" s="8">
        <f>_xlfn.XLOOKUP(CustomerCombined[[#This Row],[ID]], Table2[ID],Table2[MC1], "Not Found", 0 )</f>
        <v>0</v>
      </c>
      <c r="Z1061" s="8">
        <f>_xlfn.XLOOKUP(CustomerCombined[[#This Row],[ID]], Table2[ID],Table2[MC2], "Not Found", 0 )</f>
        <v>0</v>
      </c>
      <c r="AA1061" s="8">
        <f>_xlfn.XLOOKUP(CustomerCombined[[#This Row],[ID]], Table2[ID],Table2[MC3], "Not Found", 0 )</f>
        <v>0</v>
      </c>
      <c r="AB1061" s="8">
        <f>_xlfn.XLOOKUP(CustomerCombined[[#This Row],[ID]], Table2[ID],Table2[MC4], "Not Found", 0 )</f>
        <v>0</v>
      </c>
      <c r="AC1061" s="8">
        <f>_xlfn.XLOOKUP(CustomerCombined[[#This Row],[ID]], Table2[ID],Table2[MC5], "Not Found", 0 )</f>
        <v>0</v>
      </c>
    </row>
    <row r="1062" spans="1:29" x14ac:dyDescent="0.3">
      <c r="A1062" s="6">
        <v>2051</v>
      </c>
      <c r="B1062" s="6">
        <v>132892</v>
      </c>
      <c r="C1062" s="6">
        <v>1</v>
      </c>
      <c r="D1062" s="6">
        <v>0</v>
      </c>
      <c r="E1062" s="6">
        <v>49</v>
      </c>
      <c r="F1062" s="5" t="s">
        <v>8</v>
      </c>
      <c r="G1062" s="5" t="s">
        <v>13</v>
      </c>
      <c r="H1062" s="3" t="s">
        <v>42</v>
      </c>
      <c r="I1062" s="5" t="s">
        <v>434</v>
      </c>
      <c r="J1062" s="5">
        <f>_xlfn.XLOOKUP(CustomerCombined[[#This Row],[ID]], Table4[ID], Table4[Recency], "Not Found", 0)</f>
        <v>78</v>
      </c>
      <c r="K1062" s="5">
        <f>_xlfn.XLOOKUP(CustomerCombined[[#This Row],[ID]], Table4[ID], Table4[Teas], "Not Found", 0)</f>
        <v>105</v>
      </c>
      <c r="L1062" s="5">
        <f>_xlfn.XLOOKUP(CustomerCombined[[#This Row],[ID]], Table4[ID], Table4[Fruits], "Not Found", 0)</f>
        <v>0</v>
      </c>
      <c r="M1062" s="5">
        <f>_xlfn.XLOOKUP(CustomerCombined[[#This Row],[ID]], Table4[ID], Table4[Meats], "Not Found", 0)</f>
        <v>61</v>
      </c>
      <c r="N1062" s="5">
        <f>_xlfn.XLOOKUP(CustomerCombined[[#This Row],[ID]], Table4[ID], Table4[Seafood], "Not Found", 0)</f>
        <v>8</v>
      </c>
      <c r="O1062" s="5">
        <f>_xlfn.XLOOKUP(CustomerCombined[[#This Row],[ID]], Table4[ID], Table4[Sweets], "Not Found", 0)</f>
        <v>4</v>
      </c>
      <c r="P1062" s="5">
        <f>_xlfn.XLOOKUP(CustomerCombined[[#This Row],[ID]], Table4[ID], Table4[Premium], "Not Found", 0)</f>
        <v>8</v>
      </c>
      <c r="Q1062" s="5">
        <f>_xlfn.XLOOKUP(CustomerCombined[[#This Row],[ID]], Table4[ID], Table4[Regular], "Not Found", 0)</f>
        <v>170</v>
      </c>
      <c r="R1062" s="5">
        <f>_xlfn.XLOOKUP(CustomerCombined[[#This Row],[ID]], Table4[ID], Table4[Deals], "Not Found", 0)</f>
        <v>2</v>
      </c>
      <c r="S1062" s="5">
        <f>_xlfn.XLOOKUP(CustomerCombined[[#This Row],[ID]], Table4[ID], Table4[Website], "Not Found", 0)</f>
        <v>3</v>
      </c>
      <c r="T1062" s="5">
        <f>_xlfn.XLOOKUP(CustomerCombined[[#This Row],[ID]], Table4[ID], Table4[Catalog], "Not Found", 0)</f>
        <v>0</v>
      </c>
      <c r="U1062" s="5">
        <f>_xlfn.XLOOKUP(CustomerCombined[[#This Row],[ID]], Table4[ID], Table4[Store], "Not Found", 0)</f>
        <v>3</v>
      </c>
      <c r="V1062" s="5">
        <f>_xlfn.XLOOKUP(CustomerCombined[[#This Row],[ID]], Table4[ID], Table4[Visits], "Not Found", 0)</f>
        <v>8</v>
      </c>
      <c r="W1062" s="8">
        <f>_xlfn.XLOOKUP(CustomerCombined[[#This Row],[ID]], Table2[ID],Table2[Complaint], "Not Found", 0 )</f>
        <v>0</v>
      </c>
      <c r="X1062" s="8">
        <f>_xlfn.XLOOKUP(CustomerCombined[[#This Row],[ID]], Table2[ID],Table2[Pilot], "Not Found", 0 )</f>
        <v>0</v>
      </c>
      <c r="Y1062" s="8">
        <f>_xlfn.XLOOKUP(CustomerCombined[[#This Row],[ID]], Table2[ID],Table2[MC1], "Not Found", 0 )</f>
        <v>0</v>
      </c>
      <c r="Z1062" s="8">
        <f>_xlfn.XLOOKUP(CustomerCombined[[#This Row],[ID]], Table2[ID],Table2[MC2], "Not Found", 0 )</f>
        <v>0</v>
      </c>
      <c r="AA1062" s="8">
        <f>_xlfn.XLOOKUP(CustomerCombined[[#This Row],[ID]], Table2[ID],Table2[MC3], "Not Found", 0 )</f>
        <v>0</v>
      </c>
      <c r="AB1062" s="8">
        <f>_xlfn.XLOOKUP(CustomerCombined[[#This Row],[ID]], Table2[ID],Table2[MC4], "Not Found", 0 )</f>
        <v>0</v>
      </c>
      <c r="AC1062" s="8">
        <f>_xlfn.XLOOKUP(CustomerCombined[[#This Row],[ID]], Table2[ID],Table2[MC5], "Not Found", 0 )</f>
        <v>0</v>
      </c>
    </row>
    <row r="1063" spans="1:29" x14ac:dyDescent="0.3">
      <c r="A1063" s="6">
        <v>1422</v>
      </c>
      <c r="B1063" s="6">
        <v>132011</v>
      </c>
      <c r="C1063" s="6">
        <v>1</v>
      </c>
      <c r="D1063" s="6">
        <v>0</v>
      </c>
      <c r="E1063" s="6">
        <v>49</v>
      </c>
      <c r="F1063" s="5" t="s">
        <v>6</v>
      </c>
      <c r="G1063" s="5" t="s">
        <v>13</v>
      </c>
      <c r="H1063" s="3" t="s">
        <v>195</v>
      </c>
      <c r="I1063" s="5" t="s">
        <v>436</v>
      </c>
      <c r="J1063" s="5">
        <f>_xlfn.XLOOKUP(CustomerCombined[[#This Row],[ID]], Table4[ID], Table4[Recency], "Not Found", 0)</f>
        <v>89</v>
      </c>
      <c r="K1063" s="5">
        <f>_xlfn.XLOOKUP(CustomerCombined[[#This Row],[ID]], Table4[ID], Table4[Teas], "Not Found", 0)</f>
        <v>408</v>
      </c>
      <c r="L1063" s="5">
        <f>_xlfn.XLOOKUP(CustomerCombined[[#This Row],[ID]], Table4[ID], Table4[Fruits], "Not Found", 0)</f>
        <v>0</v>
      </c>
      <c r="M1063" s="5">
        <f>_xlfn.XLOOKUP(CustomerCombined[[#This Row],[ID]], Table4[ID], Table4[Meats], "Not Found", 0)</f>
        <v>62</v>
      </c>
      <c r="N1063" s="5">
        <f>_xlfn.XLOOKUP(CustomerCombined[[#This Row],[ID]], Table4[ID], Table4[Seafood], "Not Found", 0)</f>
        <v>8</v>
      </c>
      <c r="O1063" s="5">
        <f>_xlfn.XLOOKUP(CustomerCombined[[#This Row],[ID]], Table4[ID], Table4[Sweets], "Not Found", 0)</f>
        <v>4</v>
      </c>
      <c r="P1063" s="5">
        <f>_xlfn.XLOOKUP(CustomerCombined[[#This Row],[ID]], Table4[ID], Table4[Premium], "Not Found", 0)</f>
        <v>21</v>
      </c>
      <c r="Q1063" s="5">
        <f>_xlfn.XLOOKUP(CustomerCombined[[#This Row],[ID]], Table4[ID], Table4[Regular], "Not Found", 0)</f>
        <v>462</v>
      </c>
      <c r="R1063" s="5">
        <f>_xlfn.XLOOKUP(CustomerCombined[[#This Row],[ID]], Table4[ID], Table4[Deals], "Not Found", 0)</f>
        <v>3</v>
      </c>
      <c r="S1063" s="5">
        <f>_xlfn.XLOOKUP(CustomerCombined[[#This Row],[ID]], Table4[ID], Table4[Website], "Not Found", 0)</f>
        <v>2</v>
      </c>
      <c r="T1063" s="5">
        <f>_xlfn.XLOOKUP(CustomerCombined[[#This Row],[ID]], Table4[ID], Table4[Catalog], "Not Found", 0)</f>
        <v>1</v>
      </c>
      <c r="U1063" s="5">
        <f>_xlfn.XLOOKUP(CustomerCombined[[#This Row],[ID]], Table4[ID], Table4[Store], "Not Found", 0)</f>
        <v>4</v>
      </c>
      <c r="V1063" s="5">
        <f>_xlfn.XLOOKUP(CustomerCombined[[#This Row],[ID]], Table4[ID], Table4[Visits], "Not Found", 0)</f>
        <v>7</v>
      </c>
      <c r="W1063" s="8">
        <f>_xlfn.XLOOKUP(CustomerCombined[[#This Row],[ID]], Table2[ID],Table2[Complaint], "Not Found", 0 )</f>
        <v>0</v>
      </c>
      <c r="X1063" s="8">
        <f>_xlfn.XLOOKUP(CustomerCombined[[#This Row],[ID]], Table2[ID],Table2[Pilot], "Not Found", 0 )</f>
        <v>0</v>
      </c>
      <c r="Y1063" s="8">
        <f>_xlfn.XLOOKUP(CustomerCombined[[#This Row],[ID]], Table2[ID],Table2[MC1], "Not Found", 0 )</f>
        <v>0</v>
      </c>
      <c r="Z1063" s="8">
        <f>_xlfn.XLOOKUP(CustomerCombined[[#This Row],[ID]], Table2[ID],Table2[MC2], "Not Found", 0 )</f>
        <v>0</v>
      </c>
      <c r="AA1063" s="8">
        <f>_xlfn.XLOOKUP(CustomerCombined[[#This Row],[ID]], Table2[ID],Table2[MC3], "Not Found", 0 )</f>
        <v>0</v>
      </c>
      <c r="AB1063" s="8">
        <f>_xlfn.XLOOKUP(CustomerCombined[[#This Row],[ID]], Table2[ID],Table2[MC4], "Not Found", 0 )</f>
        <v>0</v>
      </c>
      <c r="AC1063" s="8">
        <f>_xlfn.XLOOKUP(CustomerCombined[[#This Row],[ID]], Table2[ID],Table2[MC5], "Not Found", 0 )</f>
        <v>0</v>
      </c>
    </row>
    <row r="1064" spans="1:29" x14ac:dyDescent="0.3">
      <c r="A1064" s="6">
        <v>1604</v>
      </c>
      <c r="B1064" s="6">
        <v>131632</v>
      </c>
      <c r="C1064" s="6">
        <v>0</v>
      </c>
      <c r="D1064" s="6">
        <v>0</v>
      </c>
      <c r="E1064" s="6">
        <v>49</v>
      </c>
      <c r="F1064" s="5" t="s">
        <v>7</v>
      </c>
      <c r="G1064" s="5" t="s">
        <v>11</v>
      </c>
      <c r="H1064" s="3" t="s">
        <v>222</v>
      </c>
      <c r="I1064" s="5" t="s">
        <v>438</v>
      </c>
      <c r="J1064" s="5">
        <f>_xlfn.XLOOKUP(CustomerCombined[[#This Row],[ID]], Table4[ID], Table4[Recency], "Not Found", 0)</f>
        <v>92</v>
      </c>
      <c r="K1064" s="5">
        <f>_xlfn.XLOOKUP(CustomerCombined[[#This Row],[ID]], Table4[ID], Table4[Teas], "Not Found", 0)</f>
        <v>71</v>
      </c>
      <c r="L1064" s="5">
        <f>_xlfn.XLOOKUP(CustomerCombined[[#This Row],[ID]], Table4[ID], Table4[Fruits], "Not Found", 0)</f>
        <v>33</v>
      </c>
      <c r="M1064" s="5">
        <f>_xlfn.XLOOKUP(CustomerCombined[[#This Row],[ID]], Table4[ID], Table4[Meats], "Not Found", 0)</f>
        <v>50</v>
      </c>
      <c r="N1064" s="5">
        <f>_xlfn.XLOOKUP(CustomerCombined[[#This Row],[ID]], Table4[ID], Table4[Seafood], "Not Found", 0)</f>
        <v>46</v>
      </c>
      <c r="O1064" s="5">
        <f>_xlfn.XLOOKUP(CustomerCombined[[#This Row],[ID]], Table4[ID], Table4[Sweets], "Not Found", 0)</f>
        <v>62</v>
      </c>
      <c r="P1064" s="5">
        <f>_xlfn.XLOOKUP(CustomerCombined[[#This Row],[ID]], Table4[ID], Table4[Premium], "Not Found", 0)</f>
        <v>133</v>
      </c>
      <c r="Q1064" s="5">
        <f>_xlfn.XLOOKUP(CustomerCombined[[#This Row],[ID]], Table4[ID], Table4[Regular], "Not Found", 0)</f>
        <v>129</v>
      </c>
      <c r="R1064" s="5">
        <f>_xlfn.XLOOKUP(CustomerCombined[[#This Row],[ID]], Table4[ID], Table4[Deals], "Not Found", 0)</f>
        <v>1</v>
      </c>
      <c r="S1064" s="5">
        <f>_xlfn.XLOOKUP(CustomerCombined[[#This Row],[ID]], Table4[ID], Table4[Website], "Not Found", 0)</f>
        <v>2</v>
      </c>
      <c r="T1064" s="5">
        <f>_xlfn.XLOOKUP(CustomerCombined[[#This Row],[ID]], Table4[ID], Table4[Catalog], "Not Found", 0)</f>
        <v>1</v>
      </c>
      <c r="U1064" s="5">
        <f>_xlfn.XLOOKUP(CustomerCombined[[#This Row],[ID]], Table4[ID], Table4[Store], "Not Found", 0)</f>
        <v>2</v>
      </c>
      <c r="V1064" s="5">
        <f>_xlfn.XLOOKUP(CustomerCombined[[#This Row],[ID]], Table4[ID], Table4[Visits], "Not Found", 0)</f>
        <v>7</v>
      </c>
      <c r="W1064" s="8">
        <f>_xlfn.XLOOKUP(CustomerCombined[[#This Row],[ID]], Table2[ID],Table2[Complaint], "Not Found", 0 )</f>
        <v>0</v>
      </c>
      <c r="X1064" s="8">
        <f>_xlfn.XLOOKUP(CustomerCombined[[#This Row],[ID]], Table2[ID],Table2[Pilot], "Not Found", 0 )</f>
        <v>0</v>
      </c>
      <c r="Y1064" s="8">
        <f>_xlfn.XLOOKUP(CustomerCombined[[#This Row],[ID]], Table2[ID],Table2[MC1], "Not Found", 0 )</f>
        <v>0</v>
      </c>
      <c r="Z1064" s="8">
        <f>_xlfn.XLOOKUP(CustomerCombined[[#This Row],[ID]], Table2[ID],Table2[MC2], "Not Found", 0 )</f>
        <v>0</v>
      </c>
      <c r="AA1064" s="8">
        <f>_xlfn.XLOOKUP(CustomerCombined[[#This Row],[ID]], Table2[ID],Table2[MC3], "Not Found", 0 )</f>
        <v>0</v>
      </c>
      <c r="AB1064" s="8">
        <f>_xlfn.XLOOKUP(CustomerCombined[[#This Row],[ID]], Table2[ID],Table2[MC4], "Not Found", 0 )</f>
        <v>0</v>
      </c>
      <c r="AC1064" s="8">
        <f>_xlfn.XLOOKUP(CustomerCombined[[#This Row],[ID]], Table2[ID],Table2[MC5], "Not Found", 0 )</f>
        <v>0</v>
      </c>
    </row>
    <row r="1065" spans="1:29" x14ac:dyDescent="0.3">
      <c r="A1065" s="6">
        <v>2843</v>
      </c>
      <c r="B1065" s="6">
        <v>130538</v>
      </c>
      <c r="C1065" s="6">
        <v>1</v>
      </c>
      <c r="D1065" s="6">
        <v>0</v>
      </c>
      <c r="E1065" s="6">
        <v>49</v>
      </c>
      <c r="F1065" s="5" t="s">
        <v>8</v>
      </c>
      <c r="G1065" s="5" t="s">
        <v>12</v>
      </c>
      <c r="H1065" s="3">
        <v>43680</v>
      </c>
      <c r="I1065" s="5" t="s">
        <v>434</v>
      </c>
      <c r="J1065" s="5">
        <f>_xlfn.XLOOKUP(CustomerCombined[[#This Row],[ID]], Table4[ID], Table4[Recency], "Not Found", 0)</f>
        <v>27</v>
      </c>
      <c r="K1065" s="5">
        <f>_xlfn.XLOOKUP(CustomerCombined[[#This Row],[ID]], Table4[ID], Table4[Teas], "Not Found", 0)</f>
        <v>1214</v>
      </c>
      <c r="L1065" s="5">
        <f>_xlfn.XLOOKUP(CustomerCombined[[#This Row],[ID]], Table4[ID], Table4[Fruits], "Not Found", 0)</f>
        <v>0</v>
      </c>
      <c r="M1065" s="5">
        <f>_xlfn.XLOOKUP(CustomerCombined[[#This Row],[ID]], Table4[ID], Table4[Meats], "Not Found", 0)</f>
        <v>222</v>
      </c>
      <c r="N1065" s="5">
        <f>_xlfn.XLOOKUP(CustomerCombined[[#This Row],[ID]], Table4[ID], Table4[Seafood], "Not Found", 0)</f>
        <v>34</v>
      </c>
      <c r="O1065" s="5">
        <f>_xlfn.XLOOKUP(CustomerCombined[[#This Row],[ID]], Table4[ID], Table4[Sweets], "Not Found", 0)</f>
        <v>13</v>
      </c>
      <c r="P1065" s="5">
        <f>_xlfn.XLOOKUP(CustomerCombined[[#This Row],[ID]], Table4[ID], Table4[Premium], "Not Found", 0)</f>
        <v>85</v>
      </c>
      <c r="Q1065" s="5">
        <f>_xlfn.XLOOKUP(CustomerCombined[[#This Row],[ID]], Table4[ID], Table4[Regular], "Not Found", 0)</f>
        <v>1398</v>
      </c>
      <c r="R1065" s="5">
        <f>_xlfn.XLOOKUP(CustomerCombined[[#This Row],[ID]], Table4[ID], Table4[Deals], "Not Found", 0)</f>
        <v>4</v>
      </c>
      <c r="S1065" s="5">
        <f>_xlfn.XLOOKUP(CustomerCombined[[#This Row],[ID]], Table4[ID], Table4[Website], "Not Found", 0)</f>
        <v>9</v>
      </c>
      <c r="T1065" s="5">
        <f>_xlfn.XLOOKUP(CustomerCombined[[#This Row],[ID]], Table4[ID], Table4[Catalog], "Not Found", 0)</f>
        <v>0</v>
      </c>
      <c r="U1065" s="5">
        <f>_xlfn.XLOOKUP(CustomerCombined[[#This Row],[ID]], Table4[ID], Table4[Store], "Not Found", 0)</f>
        <v>4</v>
      </c>
      <c r="V1065" s="5">
        <f>_xlfn.XLOOKUP(CustomerCombined[[#This Row],[ID]], Table4[ID], Table4[Visits], "Not Found", 0)</f>
        <v>10</v>
      </c>
      <c r="W1065" s="8">
        <f>_xlfn.XLOOKUP(CustomerCombined[[#This Row],[ID]], Table2[ID],Table2[Complaint], "Not Found", 0 )</f>
        <v>0</v>
      </c>
      <c r="X1065" s="8">
        <f>_xlfn.XLOOKUP(CustomerCombined[[#This Row],[ID]], Table2[ID],Table2[Pilot], "Not Found", 0 )</f>
        <v>0</v>
      </c>
      <c r="Y1065" s="8">
        <f>_xlfn.XLOOKUP(CustomerCombined[[#This Row],[ID]], Table2[ID],Table2[MC1], "Not Found", 0 )</f>
        <v>0</v>
      </c>
      <c r="Z1065" s="8">
        <f>_xlfn.XLOOKUP(CustomerCombined[[#This Row],[ID]], Table2[ID],Table2[MC2], "Not Found", 0 )</f>
        <v>0</v>
      </c>
      <c r="AA1065" s="8">
        <f>_xlfn.XLOOKUP(CustomerCombined[[#This Row],[ID]], Table2[ID],Table2[MC3], "Not Found", 0 )</f>
        <v>0</v>
      </c>
      <c r="AB1065" s="8">
        <f>_xlfn.XLOOKUP(CustomerCombined[[#This Row],[ID]], Table2[ID],Table2[MC4], "Not Found", 0 )</f>
        <v>0</v>
      </c>
      <c r="AC1065" s="8">
        <f>_xlfn.XLOOKUP(CustomerCombined[[#This Row],[ID]], Table2[ID],Table2[MC5], "Not Found", 0 )</f>
        <v>0</v>
      </c>
    </row>
    <row r="1066" spans="1:29" x14ac:dyDescent="0.3">
      <c r="A1066" s="6">
        <v>1332</v>
      </c>
      <c r="B1066" s="6">
        <v>130372</v>
      </c>
      <c r="C1066" s="6">
        <v>1</v>
      </c>
      <c r="D1066" s="6">
        <v>1</v>
      </c>
      <c r="E1066" s="6">
        <v>49</v>
      </c>
      <c r="F1066" s="5" t="s">
        <v>9</v>
      </c>
      <c r="G1066" s="5" t="s">
        <v>11</v>
      </c>
      <c r="H1066" s="3">
        <v>43471</v>
      </c>
      <c r="I1066" s="5" t="s">
        <v>436</v>
      </c>
      <c r="J1066" s="5">
        <f>_xlfn.XLOOKUP(CustomerCombined[[#This Row],[ID]], Table4[ID], Table4[Recency], "Not Found", 0)</f>
        <v>33</v>
      </c>
      <c r="K1066" s="5">
        <f>_xlfn.XLOOKUP(CustomerCombined[[#This Row],[ID]], Table4[ID], Table4[Teas], "Not Found", 0)</f>
        <v>64</v>
      </c>
      <c r="L1066" s="5">
        <f>_xlfn.XLOOKUP(CustomerCombined[[#This Row],[ID]], Table4[ID], Table4[Fruits], "Not Found", 0)</f>
        <v>0</v>
      </c>
      <c r="M1066" s="5">
        <f>_xlfn.XLOOKUP(CustomerCombined[[#This Row],[ID]], Table4[ID], Table4[Meats], "Not Found", 0)</f>
        <v>52</v>
      </c>
      <c r="N1066" s="5">
        <f>_xlfn.XLOOKUP(CustomerCombined[[#This Row],[ID]], Table4[ID], Table4[Seafood], "Not Found", 0)</f>
        <v>30</v>
      </c>
      <c r="O1066" s="5">
        <f>_xlfn.XLOOKUP(CustomerCombined[[#This Row],[ID]], Table4[ID], Table4[Sweets], "Not Found", 0)</f>
        <v>13</v>
      </c>
      <c r="P1066" s="5">
        <f>_xlfn.XLOOKUP(CustomerCombined[[#This Row],[ID]], Table4[ID], Table4[Premium], "Not Found", 0)</f>
        <v>30</v>
      </c>
      <c r="Q1066" s="5">
        <f>_xlfn.XLOOKUP(CustomerCombined[[#This Row],[ID]], Table4[ID], Table4[Regular], "Not Found", 0)</f>
        <v>129</v>
      </c>
      <c r="R1066" s="5">
        <f>_xlfn.XLOOKUP(CustomerCombined[[#This Row],[ID]], Table4[ID], Table4[Deals], "Not Found", 0)</f>
        <v>3</v>
      </c>
      <c r="S1066" s="5">
        <f>_xlfn.XLOOKUP(CustomerCombined[[#This Row],[ID]], Table4[ID], Table4[Website], "Not Found", 0)</f>
        <v>2</v>
      </c>
      <c r="T1066" s="5">
        <f>_xlfn.XLOOKUP(CustomerCombined[[#This Row],[ID]], Table4[ID], Table4[Catalog], "Not Found", 0)</f>
        <v>0</v>
      </c>
      <c r="U1066" s="5">
        <f>_xlfn.XLOOKUP(CustomerCombined[[#This Row],[ID]], Table4[ID], Table4[Store], "Not Found", 0)</f>
        <v>3</v>
      </c>
      <c r="V1066" s="5">
        <f>_xlfn.XLOOKUP(CustomerCombined[[#This Row],[ID]], Table4[ID], Table4[Visits], "Not Found", 0)</f>
        <v>7</v>
      </c>
      <c r="W1066" s="8">
        <f>_xlfn.XLOOKUP(CustomerCombined[[#This Row],[ID]], Table2[ID],Table2[Complaint], "Not Found", 0 )</f>
        <v>0</v>
      </c>
      <c r="X1066" s="8">
        <f>_xlfn.XLOOKUP(CustomerCombined[[#This Row],[ID]], Table2[ID],Table2[Pilot], "Not Found", 0 )</f>
        <v>0</v>
      </c>
      <c r="Y1066" s="8">
        <f>_xlfn.XLOOKUP(CustomerCombined[[#This Row],[ID]], Table2[ID],Table2[MC1], "Not Found", 0 )</f>
        <v>0</v>
      </c>
      <c r="Z1066" s="8">
        <f>_xlfn.XLOOKUP(CustomerCombined[[#This Row],[ID]], Table2[ID],Table2[MC2], "Not Found", 0 )</f>
        <v>0</v>
      </c>
      <c r="AA1066" s="8">
        <f>_xlfn.XLOOKUP(CustomerCombined[[#This Row],[ID]], Table2[ID],Table2[MC3], "Not Found", 0 )</f>
        <v>0</v>
      </c>
      <c r="AB1066" s="8">
        <f>_xlfn.XLOOKUP(CustomerCombined[[#This Row],[ID]], Table2[ID],Table2[MC4], "Not Found", 0 )</f>
        <v>0</v>
      </c>
      <c r="AC1066" s="8">
        <f>_xlfn.XLOOKUP(CustomerCombined[[#This Row],[ID]], Table2[ID],Table2[MC5], "Not Found", 0 )</f>
        <v>0</v>
      </c>
    </row>
    <row r="1067" spans="1:29" x14ac:dyDescent="0.3">
      <c r="A1067" s="6">
        <v>2729</v>
      </c>
      <c r="B1067" s="6">
        <v>130372</v>
      </c>
      <c r="C1067" s="6">
        <v>1</v>
      </c>
      <c r="D1067" s="6">
        <v>1</v>
      </c>
      <c r="E1067" s="6">
        <v>49</v>
      </c>
      <c r="F1067" s="5" t="s">
        <v>9</v>
      </c>
      <c r="G1067" s="5" t="s">
        <v>11</v>
      </c>
      <c r="H1067" s="3">
        <v>43471</v>
      </c>
      <c r="I1067" s="5" t="s">
        <v>434</v>
      </c>
      <c r="J1067" s="5">
        <f>_xlfn.XLOOKUP(CustomerCombined[[#This Row],[ID]], Table4[ID], Table4[Recency], "Not Found", 0)</f>
        <v>33</v>
      </c>
      <c r="K1067" s="5">
        <f>_xlfn.XLOOKUP(CustomerCombined[[#This Row],[ID]], Table4[ID], Table4[Teas], "Not Found", 0)</f>
        <v>64</v>
      </c>
      <c r="L1067" s="5">
        <f>_xlfn.XLOOKUP(CustomerCombined[[#This Row],[ID]], Table4[ID], Table4[Fruits], "Not Found", 0)</f>
        <v>0</v>
      </c>
      <c r="M1067" s="5">
        <f>_xlfn.XLOOKUP(CustomerCombined[[#This Row],[ID]], Table4[ID], Table4[Meats], "Not Found", 0)</f>
        <v>52</v>
      </c>
      <c r="N1067" s="5">
        <f>_xlfn.XLOOKUP(CustomerCombined[[#This Row],[ID]], Table4[ID], Table4[Seafood], "Not Found", 0)</f>
        <v>30</v>
      </c>
      <c r="O1067" s="5">
        <f>_xlfn.XLOOKUP(CustomerCombined[[#This Row],[ID]], Table4[ID], Table4[Sweets], "Not Found", 0)</f>
        <v>13</v>
      </c>
      <c r="P1067" s="5">
        <f>_xlfn.XLOOKUP(CustomerCombined[[#This Row],[ID]], Table4[ID], Table4[Premium], "Not Found", 0)</f>
        <v>30</v>
      </c>
      <c r="Q1067" s="5">
        <f>_xlfn.XLOOKUP(CustomerCombined[[#This Row],[ID]], Table4[ID], Table4[Regular], "Not Found", 0)</f>
        <v>129</v>
      </c>
      <c r="R1067" s="5">
        <f>_xlfn.XLOOKUP(CustomerCombined[[#This Row],[ID]], Table4[ID], Table4[Deals], "Not Found", 0)</f>
        <v>3</v>
      </c>
      <c r="S1067" s="5">
        <f>_xlfn.XLOOKUP(CustomerCombined[[#This Row],[ID]], Table4[ID], Table4[Website], "Not Found", 0)</f>
        <v>2</v>
      </c>
      <c r="T1067" s="5">
        <f>_xlfn.XLOOKUP(CustomerCombined[[#This Row],[ID]], Table4[ID], Table4[Catalog], "Not Found", 0)</f>
        <v>0</v>
      </c>
      <c r="U1067" s="5">
        <f>_xlfn.XLOOKUP(CustomerCombined[[#This Row],[ID]], Table4[ID], Table4[Store], "Not Found", 0)</f>
        <v>3</v>
      </c>
      <c r="V1067" s="5">
        <f>_xlfn.XLOOKUP(CustomerCombined[[#This Row],[ID]], Table4[ID], Table4[Visits], "Not Found", 0)</f>
        <v>7</v>
      </c>
      <c r="W1067" s="8">
        <f>_xlfn.XLOOKUP(CustomerCombined[[#This Row],[ID]], Table2[ID],Table2[Complaint], "Not Found", 0 )</f>
        <v>0</v>
      </c>
      <c r="X1067" s="8">
        <f>_xlfn.XLOOKUP(CustomerCombined[[#This Row],[ID]], Table2[ID],Table2[Pilot], "Not Found", 0 )</f>
        <v>0</v>
      </c>
      <c r="Y1067" s="8">
        <f>_xlfn.XLOOKUP(CustomerCombined[[#This Row],[ID]], Table2[ID],Table2[MC1], "Not Found", 0 )</f>
        <v>0</v>
      </c>
      <c r="Z1067" s="8">
        <f>_xlfn.XLOOKUP(CustomerCombined[[#This Row],[ID]], Table2[ID],Table2[MC2], "Not Found", 0 )</f>
        <v>0</v>
      </c>
      <c r="AA1067" s="8">
        <f>_xlfn.XLOOKUP(CustomerCombined[[#This Row],[ID]], Table2[ID],Table2[MC3], "Not Found", 0 )</f>
        <v>0</v>
      </c>
      <c r="AB1067" s="8">
        <f>_xlfn.XLOOKUP(CustomerCombined[[#This Row],[ID]], Table2[ID],Table2[MC4], "Not Found", 0 )</f>
        <v>0</v>
      </c>
      <c r="AC1067" s="8">
        <f>_xlfn.XLOOKUP(CustomerCombined[[#This Row],[ID]], Table2[ID],Table2[MC5], "Not Found", 0 )</f>
        <v>0</v>
      </c>
    </row>
    <row r="1068" spans="1:29" x14ac:dyDescent="0.3">
      <c r="A1068" s="6">
        <v>2878</v>
      </c>
      <c r="B1068" s="6">
        <v>129819</v>
      </c>
      <c r="C1068" s="6">
        <v>1</v>
      </c>
      <c r="D1068" s="6">
        <v>0</v>
      </c>
      <c r="E1068" s="6">
        <v>49</v>
      </c>
      <c r="F1068" s="5" t="s">
        <v>5</v>
      </c>
      <c r="G1068" s="5" t="s">
        <v>11</v>
      </c>
      <c r="H1068" s="3" t="s">
        <v>158</v>
      </c>
      <c r="I1068" s="5" t="s">
        <v>439</v>
      </c>
      <c r="J1068" s="5">
        <f>_xlfn.XLOOKUP(CustomerCombined[[#This Row],[ID]], Table4[ID], Table4[Recency], "Not Found", 0)</f>
        <v>77</v>
      </c>
      <c r="K1068" s="5">
        <f>_xlfn.XLOOKUP(CustomerCombined[[#This Row],[ID]], Table4[ID], Table4[Teas], "Not Found", 0)</f>
        <v>39</v>
      </c>
      <c r="L1068" s="5">
        <f>_xlfn.XLOOKUP(CustomerCombined[[#This Row],[ID]], Table4[ID], Table4[Fruits], "Not Found", 0)</f>
        <v>4</v>
      </c>
      <c r="M1068" s="5">
        <f>_xlfn.XLOOKUP(CustomerCombined[[#This Row],[ID]], Table4[ID], Table4[Meats], "Not Found", 0)</f>
        <v>104</v>
      </c>
      <c r="N1068" s="5">
        <f>_xlfn.XLOOKUP(CustomerCombined[[#This Row],[ID]], Table4[ID], Table4[Seafood], "Not Found", 0)</f>
        <v>9</v>
      </c>
      <c r="O1068" s="5">
        <f>_xlfn.XLOOKUP(CustomerCombined[[#This Row],[ID]], Table4[ID], Table4[Sweets], "Not Found", 0)</f>
        <v>4</v>
      </c>
      <c r="P1068" s="5">
        <f>_xlfn.XLOOKUP(CustomerCombined[[#This Row],[ID]], Table4[ID], Table4[Premium], "Not Found", 0)</f>
        <v>9</v>
      </c>
      <c r="Q1068" s="5">
        <f>_xlfn.XLOOKUP(CustomerCombined[[#This Row],[ID]], Table4[ID], Table4[Regular], "Not Found", 0)</f>
        <v>152</v>
      </c>
      <c r="R1068" s="5">
        <f>_xlfn.XLOOKUP(CustomerCombined[[#This Row],[ID]], Table4[ID], Table4[Deals], "Not Found", 0)</f>
        <v>3</v>
      </c>
      <c r="S1068" s="5">
        <f>_xlfn.XLOOKUP(CustomerCombined[[#This Row],[ID]], Table4[ID], Table4[Website], "Not Found", 0)</f>
        <v>3</v>
      </c>
      <c r="T1068" s="5">
        <f>_xlfn.XLOOKUP(CustomerCombined[[#This Row],[ID]], Table4[ID], Table4[Catalog], "Not Found", 0)</f>
        <v>0</v>
      </c>
      <c r="U1068" s="5">
        <f>_xlfn.XLOOKUP(CustomerCombined[[#This Row],[ID]], Table4[ID], Table4[Store], "Not Found", 0)</f>
        <v>3</v>
      </c>
      <c r="V1068" s="5">
        <f>_xlfn.XLOOKUP(CustomerCombined[[#This Row],[ID]], Table4[ID], Table4[Visits], "Not Found", 0)</f>
        <v>6</v>
      </c>
      <c r="W1068" s="8">
        <f>_xlfn.XLOOKUP(CustomerCombined[[#This Row],[ID]], Table2[ID],Table2[Complaint], "Not Found", 0 )</f>
        <v>0</v>
      </c>
      <c r="X1068" s="8">
        <f>_xlfn.XLOOKUP(CustomerCombined[[#This Row],[ID]], Table2[ID],Table2[Pilot], "Not Found", 0 )</f>
        <v>0</v>
      </c>
      <c r="Y1068" s="8">
        <f>_xlfn.XLOOKUP(CustomerCombined[[#This Row],[ID]], Table2[ID],Table2[MC1], "Not Found", 0 )</f>
        <v>0</v>
      </c>
      <c r="Z1068" s="8">
        <f>_xlfn.XLOOKUP(CustomerCombined[[#This Row],[ID]], Table2[ID],Table2[MC2], "Not Found", 0 )</f>
        <v>0</v>
      </c>
      <c r="AA1068" s="8">
        <f>_xlfn.XLOOKUP(CustomerCombined[[#This Row],[ID]], Table2[ID],Table2[MC3], "Not Found", 0 )</f>
        <v>0</v>
      </c>
      <c r="AB1068" s="8">
        <f>_xlfn.XLOOKUP(CustomerCombined[[#This Row],[ID]], Table2[ID],Table2[MC4], "Not Found", 0 )</f>
        <v>0</v>
      </c>
      <c r="AC1068" s="8">
        <f>_xlfn.XLOOKUP(CustomerCombined[[#This Row],[ID]], Table2[ID],Table2[MC5], "Not Found", 0 )</f>
        <v>0</v>
      </c>
    </row>
    <row r="1069" spans="1:29" x14ac:dyDescent="0.3">
      <c r="A1069" s="6">
        <v>3114</v>
      </c>
      <c r="B1069" s="6">
        <v>129732</v>
      </c>
      <c r="C1069" s="6">
        <v>1</v>
      </c>
      <c r="D1069" s="6">
        <v>0</v>
      </c>
      <c r="E1069" s="6">
        <v>49</v>
      </c>
      <c r="F1069" s="5" t="s">
        <v>8</v>
      </c>
      <c r="G1069" s="5" t="s">
        <v>13</v>
      </c>
      <c r="H1069" s="3" t="s">
        <v>76</v>
      </c>
      <c r="I1069" s="5" t="s">
        <v>436</v>
      </c>
      <c r="J1069" s="5">
        <f>_xlfn.XLOOKUP(CustomerCombined[[#This Row],[ID]], Table4[ID], Table4[Recency], "Not Found", 0)</f>
        <v>23</v>
      </c>
      <c r="K1069" s="5">
        <f>_xlfn.XLOOKUP(CustomerCombined[[#This Row],[ID]], Table4[ID], Table4[Teas], "Not Found", 0)</f>
        <v>109</v>
      </c>
      <c r="L1069" s="5">
        <f>_xlfn.XLOOKUP(CustomerCombined[[#This Row],[ID]], Table4[ID], Table4[Fruits], "Not Found", 0)</f>
        <v>0</v>
      </c>
      <c r="M1069" s="5">
        <f>_xlfn.XLOOKUP(CustomerCombined[[#This Row],[ID]], Table4[ID], Table4[Meats], "Not Found", 0)</f>
        <v>35</v>
      </c>
      <c r="N1069" s="5">
        <f>_xlfn.XLOOKUP(CustomerCombined[[#This Row],[ID]], Table4[ID], Table4[Seafood], "Not Found", 0)</f>
        <v>0</v>
      </c>
      <c r="O1069" s="5">
        <f>_xlfn.XLOOKUP(CustomerCombined[[#This Row],[ID]], Table4[ID], Table4[Sweets], "Not Found", 0)</f>
        <v>4</v>
      </c>
      <c r="P1069" s="5">
        <f>_xlfn.XLOOKUP(CustomerCombined[[#This Row],[ID]], Table4[ID], Table4[Premium], "Not Found", 0)</f>
        <v>17</v>
      </c>
      <c r="Q1069" s="5">
        <f>_xlfn.XLOOKUP(CustomerCombined[[#This Row],[ID]], Table4[ID], Table4[Regular], "Not Found", 0)</f>
        <v>131</v>
      </c>
      <c r="R1069" s="5">
        <f>_xlfn.XLOOKUP(CustomerCombined[[#This Row],[ID]], Table4[ID], Table4[Deals], "Not Found", 0)</f>
        <v>1</v>
      </c>
      <c r="S1069" s="5">
        <f>_xlfn.XLOOKUP(CustomerCombined[[#This Row],[ID]], Table4[ID], Table4[Website], "Not Found", 0)</f>
        <v>2</v>
      </c>
      <c r="T1069" s="5">
        <f>_xlfn.XLOOKUP(CustomerCombined[[#This Row],[ID]], Table4[ID], Table4[Catalog], "Not Found", 0)</f>
        <v>0</v>
      </c>
      <c r="U1069" s="5">
        <f>_xlfn.XLOOKUP(CustomerCombined[[#This Row],[ID]], Table4[ID], Table4[Store], "Not Found", 0)</f>
        <v>2</v>
      </c>
      <c r="V1069" s="5">
        <f>_xlfn.XLOOKUP(CustomerCombined[[#This Row],[ID]], Table4[ID], Table4[Visits], "Not Found", 0)</f>
        <v>9</v>
      </c>
      <c r="W1069" s="8">
        <f>_xlfn.XLOOKUP(CustomerCombined[[#This Row],[ID]], Table2[ID],Table2[Complaint], "Not Found", 0 )</f>
        <v>0</v>
      </c>
      <c r="X1069" s="8">
        <f>_xlfn.XLOOKUP(CustomerCombined[[#This Row],[ID]], Table2[ID],Table2[Pilot], "Not Found", 0 )</f>
        <v>0</v>
      </c>
      <c r="Y1069" s="8">
        <f>_xlfn.XLOOKUP(CustomerCombined[[#This Row],[ID]], Table2[ID],Table2[MC1], "Not Found", 0 )</f>
        <v>0</v>
      </c>
      <c r="Z1069" s="8">
        <f>_xlfn.XLOOKUP(CustomerCombined[[#This Row],[ID]], Table2[ID],Table2[MC2], "Not Found", 0 )</f>
        <v>0</v>
      </c>
      <c r="AA1069" s="8">
        <f>_xlfn.XLOOKUP(CustomerCombined[[#This Row],[ID]], Table2[ID],Table2[MC3], "Not Found", 0 )</f>
        <v>0</v>
      </c>
      <c r="AB1069" s="8">
        <f>_xlfn.XLOOKUP(CustomerCombined[[#This Row],[ID]], Table2[ID],Table2[MC4], "Not Found", 0 )</f>
        <v>0</v>
      </c>
      <c r="AC1069" s="8">
        <f>_xlfn.XLOOKUP(CustomerCombined[[#This Row],[ID]], Table2[ID],Table2[MC5], "Not Found", 0 )</f>
        <v>0</v>
      </c>
    </row>
    <row r="1070" spans="1:29" x14ac:dyDescent="0.3">
      <c r="A1070" s="6">
        <v>2165</v>
      </c>
      <c r="B1070" s="6">
        <v>126954</v>
      </c>
      <c r="C1070" s="6">
        <v>1</v>
      </c>
      <c r="D1070" s="6">
        <v>0</v>
      </c>
      <c r="E1070" s="6">
        <v>49</v>
      </c>
      <c r="F1070" s="5" t="s">
        <v>7</v>
      </c>
      <c r="G1070" s="5" t="s">
        <v>11</v>
      </c>
      <c r="H1070" s="3">
        <v>44175</v>
      </c>
      <c r="I1070" s="5" t="s">
        <v>434</v>
      </c>
      <c r="J1070" s="5">
        <f>_xlfn.XLOOKUP(CustomerCombined[[#This Row],[ID]], Table4[ID], Table4[Recency], "Not Found", 0)</f>
        <v>17</v>
      </c>
      <c r="K1070" s="5">
        <f>_xlfn.XLOOKUP(CustomerCombined[[#This Row],[ID]], Table4[ID], Table4[Teas], "Not Found", 0)</f>
        <v>19</v>
      </c>
      <c r="L1070" s="5">
        <f>_xlfn.XLOOKUP(CustomerCombined[[#This Row],[ID]], Table4[ID], Table4[Fruits], "Not Found", 0)</f>
        <v>5</v>
      </c>
      <c r="M1070" s="5">
        <f>_xlfn.XLOOKUP(CustomerCombined[[#This Row],[ID]], Table4[ID], Table4[Meats], "Not Found", 0)</f>
        <v>52</v>
      </c>
      <c r="N1070" s="5">
        <f>_xlfn.XLOOKUP(CustomerCombined[[#This Row],[ID]], Table4[ID], Table4[Seafood], "Not Found", 0)</f>
        <v>0</v>
      </c>
      <c r="O1070" s="5">
        <f>_xlfn.XLOOKUP(CustomerCombined[[#This Row],[ID]], Table4[ID], Table4[Sweets], "Not Found", 0)</f>
        <v>0</v>
      </c>
      <c r="P1070" s="5">
        <f>_xlfn.XLOOKUP(CustomerCombined[[#This Row],[ID]], Table4[ID], Table4[Premium], "Not Found", 0)</f>
        <v>5</v>
      </c>
      <c r="Q1070" s="5">
        <f>_xlfn.XLOOKUP(CustomerCombined[[#This Row],[ID]], Table4[ID], Table4[Regular], "Not Found", 0)</f>
        <v>71</v>
      </c>
      <c r="R1070" s="5">
        <f>_xlfn.XLOOKUP(CustomerCombined[[#This Row],[ID]], Table4[ID], Table4[Deals], "Not Found", 0)</f>
        <v>1</v>
      </c>
      <c r="S1070" s="5">
        <f>_xlfn.XLOOKUP(CustomerCombined[[#This Row],[ID]], Table4[ID], Table4[Website], "Not Found", 0)</f>
        <v>1</v>
      </c>
      <c r="T1070" s="5">
        <f>_xlfn.XLOOKUP(CustomerCombined[[#This Row],[ID]], Table4[ID], Table4[Catalog], "Not Found", 0)</f>
        <v>0</v>
      </c>
      <c r="U1070" s="5">
        <f>_xlfn.XLOOKUP(CustomerCombined[[#This Row],[ID]], Table4[ID], Table4[Store], "Not Found", 0)</f>
        <v>2</v>
      </c>
      <c r="V1070" s="5">
        <f>_xlfn.XLOOKUP(CustomerCombined[[#This Row],[ID]], Table4[ID], Table4[Visits], "Not Found", 0)</f>
        <v>7</v>
      </c>
      <c r="W1070" s="8">
        <f>_xlfn.XLOOKUP(CustomerCombined[[#This Row],[ID]], Table2[ID],Table2[Complaint], "Not Found", 0 )</f>
        <v>0</v>
      </c>
      <c r="X1070" s="8">
        <f>_xlfn.XLOOKUP(CustomerCombined[[#This Row],[ID]], Table2[ID],Table2[Pilot], "Not Found", 0 )</f>
        <v>0</v>
      </c>
      <c r="Y1070" s="8">
        <f>_xlfn.XLOOKUP(CustomerCombined[[#This Row],[ID]], Table2[ID],Table2[MC1], "Not Found", 0 )</f>
        <v>0</v>
      </c>
      <c r="Z1070" s="8">
        <f>_xlfn.XLOOKUP(CustomerCombined[[#This Row],[ID]], Table2[ID],Table2[MC2], "Not Found", 0 )</f>
        <v>0</v>
      </c>
      <c r="AA1070" s="8">
        <f>_xlfn.XLOOKUP(CustomerCombined[[#This Row],[ID]], Table2[ID],Table2[MC3], "Not Found", 0 )</f>
        <v>0</v>
      </c>
      <c r="AB1070" s="8">
        <f>_xlfn.XLOOKUP(CustomerCombined[[#This Row],[ID]], Table2[ID],Table2[MC4], "Not Found", 0 )</f>
        <v>0</v>
      </c>
      <c r="AC1070" s="8">
        <f>_xlfn.XLOOKUP(CustomerCombined[[#This Row],[ID]], Table2[ID],Table2[MC5], "Not Found", 0 )</f>
        <v>0</v>
      </c>
    </row>
    <row r="1071" spans="1:29" x14ac:dyDescent="0.3">
      <c r="A1071" s="6">
        <v>1569</v>
      </c>
      <c r="B1071" s="6">
        <v>126850</v>
      </c>
      <c r="C1071" s="6">
        <v>1</v>
      </c>
      <c r="D1071" s="6">
        <v>1</v>
      </c>
      <c r="E1071" s="6">
        <v>49</v>
      </c>
      <c r="F1071" s="5" t="s">
        <v>8</v>
      </c>
      <c r="G1071" s="5" t="s">
        <v>442</v>
      </c>
      <c r="H1071" s="3" t="s">
        <v>64</v>
      </c>
      <c r="I1071" s="5" t="s">
        <v>435</v>
      </c>
      <c r="J1071" s="5">
        <f>_xlfn.XLOOKUP(CustomerCombined[[#This Row],[ID]], Table4[ID], Table4[Recency], "Not Found", 0)</f>
        <v>10</v>
      </c>
      <c r="K1071" s="5">
        <f>_xlfn.XLOOKUP(CustomerCombined[[#This Row],[ID]], Table4[ID], Table4[Teas], "Not Found", 0)</f>
        <v>146</v>
      </c>
      <c r="L1071" s="5">
        <f>_xlfn.XLOOKUP(CustomerCombined[[#This Row],[ID]], Table4[ID], Table4[Fruits], "Not Found", 0)</f>
        <v>5</v>
      </c>
      <c r="M1071" s="5">
        <f>_xlfn.XLOOKUP(CustomerCombined[[#This Row],[ID]], Table4[ID], Table4[Meats], "Not Found", 0)</f>
        <v>61</v>
      </c>
      <c r="N1071" s="5">
        <f>_xlfn.XLOOKUP(CustomerCombined[[#This Row],[ID]], Table4[ID], Table4[Seafood], "Not Found", 0)</f>
        <v>33</v>
      </c>
      <c r="O1071" s="5">
        <f>_xlfn.XLOOKUP(CustomerCombined[[#This Row],[ID]], Table4[ID], Table4[Sweets], "Not Found", 0)</f>
        <v>9</v>
      </c>
      <c r="P1071" s="5">
        <f>_xlfn.XLOOKUP(CustomerCombined[[#This Row],[ID]], Table4[ID], Table4[Premium], "Not Found", 0)</f>
        <v>43</v>
      </c>
      <c r="Q1071" s="5">
        <f>_xlfn.XLOOKUP(CustomerCombined[[#This Row],[ID]], Table4[ID], Table4[Regular], "Not Found", 0)</f>
        <v>213</v>
      </c>
      <c r="R1071" s="5">
        <f>_xlfn.XLOOKUP(CustomerCombined[[#This Row],[ID]], Table4[ID], Table4[Deals], "Not Found", 0)</f>
        <v>4</v>
      </c>
      <c r="S1071" s="5">
        <f>_xlfn.XLOOKUP(CustomerCombined[[#This Row],[ID]], Table4[ID], Table4[Website], "Not Found", 0)</f>
        <v>2</v>
      </c>
      <c r="T1071" s="5">
        <f>_xlfn.XLOOKUP(CustomerCombined[[#This Row],[ID]], Table4[ID], Table4[Catalog], "Not Found", 0)</f>
        <v>1</v>
      </c>
      <c r="U1071" s="5">
        <f>_xlfn.XLOOKUP(CustomerCombined[[#This Row],[ID]], Table4[ID], Table4[Store], "Not Found", 0)</f>
        <v>4</v>
      </c>
      <c r="V1071" s="5">
        <f>_xlfn.XLOOKUP(CustomerCombined[[#This Row],[ID]], Table4[ID], Table4[Visits], "Not Found", 0)</f>
        <v>4</v>
      </c>
      <c r="W1071" s="8">
        <f>_xlfn.XLOOKUP(CustomerCombined[[#This Row],[ID]], Table2[ID],Table2[Complaint], "Not Found", 0 )</f>
        <v>0</v>
      </c>
      <c r="X1071" s="8">
        <f>_xlfn.XLOOKUP(CustomerCombined[[#This Row],[ID]], Table2[ID],Table2[Pilot], "Not Found", 0 )</f>
        <v>0</v>
      </c>
      <c r="Y1071" s="8">
        <f>_xlfn.XLOOKUP(CustomerCombined[[#This Row],[ID]], Table2[ID],Table2[MC1], "Not Found", 0 )</f>
        <v>0</v>
      </c>
      <c r="Z1071" s="8">
        <f>_xlfn.XLOOKUP(CustomerCombined[[#This Row],[ID]], Table2[ID],Table2[MC2], "Not Found", 0 )</f>
        <v>0</v>
      </c>
      <c r="AA1071" s="8">
        <f>_xlfn.XLOOKUP(CustomerCombined[[#This Row],[ID]], Table2[ID],Table2[MC3], "Not Found", 0 )</f>
        <v>0</v>
      </c>
      <c r="AB1071" s="8">
        <f>_xlfn.XLOOKUP(CustomerCombined[[#This Row],[ID]], Table2[ID],Table2[MC4], "Not Found", 0 )</f>
        <v>0</v>
      </c>
      <c r="AC1071" s="8">
        <f>_xlfn.XLOOKUP(CustomerCombined[[#This Row],[ID]], Table2[ID],Table2[MC5], "Not Found", 0 )</f>
        <v>0</v>
      </c>
    </row>
    <row r="1072" spans="1:29" x14ac:dyDescent="0.3">
      <c r="A1072" s="6">
        <v>3088</v>
      </c>
      <c r="B1072" s="6">
        <v>125818</v>
      </c>
      <c r="C1072" s="6">
        <v>1</v>
      </c>
      <c r="D1072" s="6">
        <v>0</v>
      </c>
      <c r="E1072" s="6">
        <v>49</v>
      </c>
      <c r="F1072" s="5" t="s">
        <v>5</v>
      </c>
      <c r="G1072" s="5" t="s">
        <v>11</v>
      </c>
      <c r="H1072" s="3" t="s">
        <v>376</v>
      </c>
      <c r="I1072" s="5" t="s">
        <v>439</v>
      </c>
      <c r="J1072" s="5">
        <f>_xlfn.XLOOKUP(CustomerCombined[[#This Row],[ID]], Table4[ID], Table4[Recency], "Not Found", 0)</f>
        <v>51</v>
      </c>
      <c r="K1072" s="5">
        <f>_xlfn.XLOOKUP(CustomerCombined[[#This Row],[ID]], Table4[ID], Table4[Teas], "Not Found", 0)</f>
        <v>24</v>
      </c>
      <c r="L1072" s="5">
        <f>_xlfn.XLOOKUP(CustomerCombined[[#This Row],[ID]], Table4[ID], Table4[Fruits], "Not Found", 0)</f>
        <v>10</v>
      </c>
      <c r="M1072" s="5">
        <f>_xlfn.XLOOKUP(CustomerCombined[[#This Row],[ID]], Table4[ID], Table4[Meats], "Not Found", 0)</f>
        <v>39</v>
      </c>
      <c r="N1072" s="5">
        <f>_xlfn.XLOOKUP(CustomerCombined[[#This Row],[ID]], Table4[ID], Table4[Seafood], "Not Found", 0)</f>
        <v>10</v>
      </c>
      <c r="O1072" s="5">
        <f>_xlfn.XLOOKUP(CustomerCombined[[#This Row],[ID]], Table4[ID], Table4[Sweets], "Not Found", 0)</f>
        <v>10</v>
      </c>
      <c r="P1072" s="5">
        <f>_xlfn.XLOOKUP(CustomerCombined[[#This Row],[ID]], Table4[ID], Table4[Premium], "Not Found", 0)</f>
        <v>44</v>
      </c>
      <c r="Q1072" s="5">
        <f>_xlfn.XLOOKUP(CustomerCombined[[#This Row],[ID]], Table4[ID], Table4[Regular], "Not Found", 0)</f>
        <v>49</v>
      </c>
      <c r="R1072" s="5">
        <f>_xlfn.XLOOKUP(CustomerCombined[[#This Row],[ID]], Table4[ID], Table4[Deals], "Not Found", 0)</f>
        <v>1</v>
      </c>
      <c r="S1072" s="5">
        <f>_xlfn.XLOOKUP(CustomerCombined[[#This Row],[ID]], Table4[ID], Table4[Website], "Not Found", 0)</f>
        <v>0</v>
      </c>
      <c r="T1072" s="5">
        <f>_xlfn.XLOOKUP(CustomerCombined[[#This Row],[ID]], Table4[ID], Table4[Catalog], "Not Found", 0)</f>
        <v>1</v>
      </c>
      <c r="U1072" s="5">
        <f>_xlfn.XLOOKUP(CustomerCombined[[#This Row],[ID]], Table4[ID], Table4[Store], "Not Found", 0)</f>
        <v>2</v>
      </c>
      <c r="V1072" s="5">
        <f>_xlfn.XLOOKUP(CustomerCombined[[#This Row],[ID]], Table4[ID], Table4[Visits], "Not Found", 0)</f>
        <v>7</v>
      </c>
      <c r="W1072" s="8">
        <f>_xlfn.XLOOKUP(CustomerCombined[[#This Row],[ID]], Table2[ID],Table2[Complaint], "Not Found", 0 )</f>
        <v>0</v>
      </c>
      <c r="X1072" s="8">
        <f>_xlfn.XLOOKUP(CustomerCombined[[#This Row],[ID]], Table2[ID],Table2[Pilot], "Not Found", 0 )</f>
        <v>0</v>
      </c>
      <c r="Y1072" s="8">
        <f>_xlfn.XLOOKUP(CustomerCombined[[#This Row],[ID]], Table2[ID],Table2[MC1], "Not Found", 0 )</f>
        <v>0</v>
      </c>
      <c r="Z1072" s="8">
        <f>_xlfn.XLOOKUP(CustomerCombined[[#This Row],[ID]], Table2[ID],Table2[MC2], "Not Found", 0 )</f>
        <v>0</v>
      </c>
      <c r="AA1072" s="8">
        <f>_xlfn.XLOOKUP(CustomerCombined[[#This Row],[ID]], Table2[ID],Table2[MC3], "Not Found", 0 )</f>
        <v>0</v>
      </c>
      <c r="AB1072" s="8">
        <f>_xlfn.XLOOKUP(CustomerCombined[[#This Row],[ID]], Table2[ID],Table2[MC4], "Not Found", 0 )</f>
        <v>0</v>
      </c>
      <c r="AC1072" s="8">
        <f>_xlfn.XLOOKUP(CustomerCombined[[#This Row],[ID]], Table2[ID],Table2[MC5], "Not Found", 0 )</f>
        <v>0</v>
      </c>
    </row>
    <row r="1073" spans="1:29" x14ac:dyDescent="0.3">
      <c r="A1073" s="6">
        <v>1061</v>
      </c>
      <c r="B1073" s="6">
        <v>125721</v>
      </c>
      <c r="C1073" s="6">
        <v>1</v>
      </c>
      <c r="D1073" s="6">
        <v>0</v>
      </c>
      <c r="E1073" s="6">
        <v>49</v>
      </c>
      <c r="F1073" s="5" t="s">
        <v>6</v>
      </c>
      <c r="G1073" s="5" t="s">
        <v>11</v>
      </c>
      <c r="H1073" s="3" t="s">
        <v>250</v>
      </c>
      <c r="I1073" s="5" t="s">
        <v>434</v>
      </c>
      <c r="J1073" s="5">
        <f>_xlfn.XLOOKUP(CustomerCombined[[#This Row],[ID]], Table4[ID], Table4[Recency], "Not Found", 0)</f>
        <v>75</v>
      </c>
      <c r="K1073" s="5">
        <f>_xlfn.XLOOKUP(CustomerCombined[[#This Row],[ID]], Table4[ID], Table4[Teas], "Not Found", 0)</f>
        <v>5</v>
      </c>
      <c r="L1073" s="5">
        <f>_xlfn.XLOOKUP(CustomerCombined[[#This Row],[ID]], Table4[ID], Table4[Fruits], "Not Found", 0)</f>
        <v>15</v>
      </c>
      <c r="M1073" s="5">
        <f>_xlfn.XLOOKUP(CustomerCombined[[#This Row],[ID]], Table4[ID], Table4[Meats], "Not Found", 0)</f>
        <v>29</v>
      </c>
      <c r="N1073" s="5">
        <f>_xlfn.XLOOKUP(CustomerCombined[[#This Row],[ID]], Table4[ID], Table4[Seafood], "Not Found", 0)</f>
        <v>15</v>
      </c>
      <c r="O1073" s="5">
        <f>_xlfn.XLOOKUP(CustomerCombined[[#This Row],[ID]], Table4[ID], Table4[Sweets], "Not Found", 0)</f>
        <v>29</v>
      </c>
      <c r="P1073" s="5">
        <f>_xlfn.XLOOKUP(CustomerCombined[[#This Row],[ID]], Table4[ID], Table4[Premium], "Not Found", 0)</f>
        <v>73</v>
      </c>
      <c r="Q1073" s="5">
        <f>_xlfn.XLOOKUP(CustomerCombined[[#This Row],[ID]], Table4[ID], Table4[Regular], "Not Found", 0)</f>
        <v>20</v>
      </c>
      <c r="R1073" s="5">
        <f>_xlfn.XLOOKUP(CustomerCombined[[#This Row],[ID]], Table4[ID], Table4[Deals], "Not Found", 0)</f>
        <v>1</v>
      </c>
      <c r="S1073" s="5">
        <f>_xlfn.XLOOKUP(CustomerCombined[[#This Row],[ID]], Table4[ID], Table4[Website], "Not Found", 0)</f>
        <v>1</v>
      </c>
      <c r="T1073" s="5">
        <f>_xlfn.XLOOKUP(CustomerCombined[[#This Row],[ID]], Table4[ID], Table4[Catalog], "Not Found", 0)</f>
        <v>1</v>
      </c>
      <c r="U1073" s="5">
        <f>_xlfn.XLOOKUP(CustomerCombined[[#This Row],[ID]], Table4[ID], Table4[Store], "Not Found", 0)</f>
        <v>2</v>
      </c>
      <c r="V1073" s="5">
        <f>_xlfn.XLOOKUP(CustomerCombined[[#This Row],[ID]], Table4[ID], Table4[Visits], "Not Found", 0)</f>
        <v>7</v>
      </c>
      <c r="W1073" s="8">
        <f>_xlfn.XLOOKUP(CustomerCombined[[#This Row],[ID]], Table2[ID],Table2[Complaint], "Not Found", 0 )</f>
        <v>0</v>
      </c>
      <c r="X1073" s="8">
        <f>_xlfn.XLOOKUP(CustomerCombined[[#This Row],[ID]], Table2[ID],Table2[Pilot], "Not Found", 0 )</f>
        <v>1</v>
      </c>
      <c r="Y1073" s="8">
        <f>_xlfn.XLOOKUP(CustomerCombined[[#This Row],[ID]], Table2[ID],Table2[MC1], "Not Found", 0 )</f>
        <v>0</v>
      </c>
      <c r="Z1073" s="8">
        <f>_xlfn.XLOOKUP(CustomerCombined[[#This Row],[ID]], Table2[ID],Table2[MC2], "Not Found", 0 )</f>
        <v>0</v>
      </c>
      <c r="AA1073" s="8">
        <f>_xlfn.XLOOKUP(CustomerCombined[[#This Row],[ID]], Table2[ID],Table2[MC3], "Not Found", 0 )</f>
        <v>0</v>
      </c>
      <c r="AB1073" s="8">
        <f>_xlfn.XLOOKUP(CustomerCombined[[#This Row],[ID]], Table2[ID],Table2[MC4], "Not Found", 0 )</f>
        <v>0</v>
      </c>
      <c r="AC1073" s="8">
        <f>_xlfn.XLOOKUP(CustomerCombined[[#This Row],[ID]], Table2[ID],Table2[MC5], "Not Found", 0 )</f>
        <v>0</v>
      </c>
    </row>
    <row r="1074" spans="1:29" x14ac:dyDescent="0.3">
      <c r="A1074" s="6">
        <v>1229</v>
      </c>
      <c r="B1074" s="6">
        <v>122804</v>
      </c>
      <c r="C1074" s="6">
        <v>1</v>
      </c>
      <c r="D1074" s="6">
        <v>0</v>
      </c>
      <c r="E1074" s="6">
        <v>49</v>
      </c>
      <c r="F1074" s="5" t="s">
        <v>7</v>
      </c>
      <c r="G1074" s="5" t="s">
        <v>11</v>
      </c>
      <c r="H1074" s="3">
        <v>43952</v>
      </c>
      <c r="I1074" s="5" t="s">
        <v>434</v>
      </c>
      <c r="J1074" s="5">
        <f>_xlfn.XLOOKUP(CustomerCombined[[#This Row],[ID]], Table4[ID], Table4[Recency], "Not Found", 0)</f>
        <v>75</v>
      </c>
      <c r="K1074" s="5">
        <f>_xlfn.XLOOKUP(CustomerCombined[[#This Row],[ID]], Table4[ID], Table4[Teas], "Not Found", 0)</f>
        <v>75</v>
      </c>
      <c r="L1074" s="5">
        <f>_xlfn.XLOOKUP(CustomerCombined[[#This Row],[ID]], Table4[ID], Table4[Fruits], "Not Found", 0)</f>
        <v>5</v>
      </c>
      <c r="M1074" s="5">
        <f>_xlfn.XLOOKUP(CustomerCombined[[#This Row],[ID]], Table4[ID], Table4[Meats], "Not Found", 0)</f>
        <v>38</v>
      </c>
      <c r="N1074" s="5">
        <f>_xlfn.XLOOKUP(CustomerCombined[[#This Row],[ID]], Table4[ID], Table4[Seafood], "Not Found", 0)</f>
        <v>11</v>
      </c>
      <c r="O1074" s="5">
        <f>_xlfn.XLOOKUP(CustomerCombined[[#This Row],[ID]], Table4[ID], Table4[Sweets], "Not Found", 0)</f>
        <v>5</v>
      </c>
      <c r="P1074" s="5">
        <f>_xlfn.XLOOKUP(CustomerCombined[[#This Row],[ID]], Table4[ID], Table4[Premium], "Not Found", 0)</f>
        <v>5</v>
      </c>
      <c r="Q1074" s="5">
        <f>_xlfn.XLOOKUP(CustomerCombined[[#This Row],[ID]], Table4[ID], Table4[Regular], "Not Found", 0)</f>
        <v>129</v>
      </c>
      <c r="R1074" s="5">
        <f>_xlfn.XLOOKUP(CustomerCombined[[#This Row],[ID]], Table4[ID], Table4[Deals], "Not Found", 0)</f>
        <v>1</v>
      </c>
      <c r="S1074" s="5">
        <f>_xlfn.XLOOKUP(CustomerCombined[[#This Row],[ID]], Table4[ID], Table4[Website], "Not Found", 0)</f>
        <v>2</v>
      </c>
      <c r="T1074" s="5">
        <f>_xlfn.XLOOKUP(CustomerCombined[[#This Row],[ID]], Table4[ID], Table4[Catalog], "Not Found", 0)</f>
        <v>0</v>
      </c>
      <c r="U1074" s="5">
        <f>_xlfn.XLOOKUP(CustomerCombined[[#This Row],[ID]], Table4[ID], Table4[Store], "Not Found", 0)</f>
        <v>2</v>
      </c>
      <c r="V1074" s="5">
        <f>_xlfn.XLOOKUP(CustomerCombined[[#This Row],[ID]], Table4[ID], Table4[Visits], "Not Found", 0)</f>
        <v>9</v>
      </c>
      <c r="W1074" s="8">
        <f>_xlfn.XLOOKUP(CustomerCombined[[#This Row],[ID]], Table2[ID],Table2[Complaint], "Not Found", 0 )</f>
        <v>0</v>
      </c>
      <c r="X1074" s="8">
        <f>_xlfn.XLOOKUP(CustomerCombined[[#This Row],[ID]], Table2[ID],Table2[Pilot], "Not Found", 0 )</f>
        <v>0</v>
      </c>
      <c r="Y1074" s="8">
        <f>_xlfn.XLOOKUP(CustomerCombined[[#This Row],[ID]], Table2[ID],Table2[MC1], "Not Found", 0 )</f>
        <v>0</v>
      </c>
      <c r="Z1074" s="8">
        <f>_xlfn.XLOOKUP(CustomerCombined[[#This Row],[ID]], Table2[ID],Table2[MC2], "Not Found", 0 )</f>
        <v>0</v>
      </c>
      <c r="AA1074" s="8">
        <f>_xlfn.XLOOKUP(CustomerCombined[[#This Row],[ID]], Table2[ID],Table2[MC3], "Not Found", 0 )</f>
        <v>0</v>
      </c>
      <c r="AB1074" s="8">
        <f>_xlfn.XLOOKUP(CustomerCombined[[#This Row],[ID]], Table2[ID],Table2[MC4], "Not Found", 0 )</f>
        <v>0</v>
      </c>
      <c r="AC1074" s="8">
        <f>_xlfn.XLOOKUP(CustomerCombined[[#This Row],[ID]], Table2[ID],Table2[MC5], "Not Found", 0 )</f>
        <v>0</v>
      </c>
    </row>
    <row r="1075" spans="1:29" x14ac:dyDescent="0.3">
      <c r="A1075" s="6">
        <v>2272</v>
      </c>
      <c r="B1075" s="6">
        <v>122804</v>
      </c>
      <c r="C1075" s="6">
        <v>1</v>
      </c>
      <c r="D1075" s="6">
        <v>0</v>
      </c>
      <c r="E1075" s="6">
        <v>49</v>
      </c>
      <c r="F1075" s="5" t="s">
        <v>7</v>
      </c>
      <c r="G1075" s="5" t="s">
        <v>11</v>
      </c>
      <c r="H1075" s="3">
        <v>43952</v>
      </c>
      <c r="I1075" s="5" t="s">
        <v>439</v>
      </c>
      <c r="J1075" s="5">
        <f>_xlfn.XLOOKUP(CustomerCombined[[#This Row],[ID]], Table4[ID], Table4[Recency], "Not Found", 0)</f>
        <v>75</v>
      </c>
      <c r="K1075" s="5">
        <f>_xlfn.XLOOKUP(CustomerCombined[[#This Row],[ID]], Table4[ID], Table4[Teas], "Not Found", 0)</f>
        <v>75</v>
      </c>
      <c r="L1075" s="5">
        <f>_xlfn.XLOOKUP(CustomerCombined[[#This Row],[ID]], Table4[ID], Table4[Fruits], "Not Found", 0)</f>
        <v>5</v>
      </c>
      <c r="M1075" s="5">
        <f>_xlfn.XLOOKUP(CustomerCombined[[#This Row],[ID]], Table4[ID], Table4[Meats], "Not Found", 0)</f>
        <v>38</v>
      </c>
      <c r="N1075" s="5">
        <f>_xlfn.XLOOKUP(CustomerCombined[[#This Row],[ID]], Table4[ID], Table4[Seafood], "Not Found", 0)</f>
        <v>11</v>
      </c>
      <c r="O1075" s="5">
        <f>_xlfn.XLOOKUP(CustomerCombined[[#This Row],[ID]], Table4[ID], Table4[Sweets], "Not Found", 0)</f>
        <v>5</v>
      </c>
      <c r="P1075" s="5">
        <f>_xlfn.XLOOKUP(CustomerCombined[[#This Row],[ID]], Table4[ID], Table4[Premium], "Not Found", 0)</f>
        <v>5</v>
      </c>
      <c r="Q1075" s="5">
        <f>_xlfn.XLOOKUP(CustomerCombined[[#This Row],[ID]], Table4[ID], Table4[Regular], "Not Found", 0)</f>
        <v>129</v>
      </c>
      <c r="R1075" s="5">
        <f>_xlfn.XLOOKUP(CustomerCombined[[#This Row],[ID]], Table4[ID], Table4[Deals], "Not Found", 0)</f>
        <v>1</v>
      </c>
      <c r="S1075" s="5">
        <f>_xlfn.XLOOKUP(CustomerCombined[[#This Row],[ID]], Table4[ID], Table4[Website], "Not Found", 0)</f>
        <v>2</v>
      </c>
      <c r="T1075" s="5">
        <f>_xlfn.XLOOKUP(CustomerCombined[[#This Row],[ID]], Table4[ID], Table4[Catalog], "Not Found", 0)</f>
        <v>0</v>
      </c>
      <c r="U1075" s="5">
        <f>_xlfn.XLOOKUP(CustomerCombined[[#This Row],[ID]], Table4[ID], Table4[Store], "Not Found", 0)</f>
        <v>2</v>
      </c>
      <c r="V1075" s="5">
        <f>_xlfn.XLOOKUP(CustomerCombined[[#This Row],[ID]], Table4[ID], Table4[Visits], "Not Found", 0)</f>
        <v>9</v>
      </c>
      <c r="W1075" s="8">
        <f>_xlfn.XLOOKUP(CustomerCombined[[#This Row],[ID]], Table2[ID],Table2[Complaint], "Not Found", 0 )</f>
        <v>0</v>
      </c>
      <c r="X1075" s="8">
        <f>_xlfn.XLOOKUP(CustomerCombined[[#This Row],[ID]], Table2[ID],Table2[Pilot], "Not Found", 0 )</f>
        <v>0</v>
      </c>
      <c r="Y1075" s="8">
        <f>_xlfn.XLOOKUP(CustomerCombined[[#This Row],[ID]], Table2[ID],Table2[MC1], "Not Found", 0 )</f>
        <v>0</v>
      </c>
      <c r="Z1075" s="8">
        <f>_xlfn.XLOOKUP(CustomerCombined[[#This Row],[ID]], Table2[ID],Table2[MC2], "Not Found", 0 )</f>
        <v>0</v>
      </c>
      <c r="AA1075" s="8">
        <f>_xlfn.XLOOKUP(CustomerCombined[[#This Row],[ID]], Table2[ID],Table2[MC3], "Not Found", 0 )</f>
        <v>0</v>
      </c>
      <c r="AB1075" s="8">
        <f>_xlfn.XLOOKUP(CustomerCombined[[#This Row],[ID]], Table2[ID],Table2[MC4], "Not Found", 0 )</f>
        <v>0</v>
      </c>
      <c r="AC1075" s="8">
        <f>_xlfn.XLOOKUP(CustomerCombined[[#This Row],[ID]], Table2[ID],Table2[MC5], "Not Found", 0 )</f>
        <v>0</v>
      </c>
    </row>
    <row r="1076" spans="1:29" x14ac:dyDescent="0.3">
      <c r="A1076" s="6">
        <v>2597</v>
      </c>
      <c r="B1076" s="6">
        <v>118793</v>
      </c>
      <c r="C1076" s="6">
        <v>1</v>
      </c>
      <c r="D1076" s="6">
        <v>0</v>
      </c>
      <c r="E1076" s="6">
        <v>49</v>
      </c>
      <c r="F1076" s="5" t="s">
        <v>6</v>
      </c>
      <c r="G1076" s="5" t="s">
        <v>11</v>
      </c>
      <c r="H1076" s="3" t="s">
        <v>328</v>
      </c>
      <c r="I1076" s="5" t="s">
        <v>434</v>
      </c>
      <c r="J1076" s="5">
        <f>_xlfn.XLOOKUP(CustomerCombined[[#This Row],[ID]], Table4[ID], Table4[Recency], "Not Found", 0)</f>
        <v>14</v>
      </c>
      <c r="K1076" s="5">
        <f>_xlfn.XLOOKUP(CustomerCombined[[#This Row],[ID]], Table4[ID], Table4[Teas], "Not Found", 0)</f>
        <v>25</v>
      </c>
      <c r="L1076" s="5">
        <f>_xlfn.XLOOKUP(CustomerCombined[[#This Row],[ID]], Table4[ID], Table4[Fruits], "Not Found", 0)</f>
        <v>101</v>
      </c>
      <c r="M1076" s="5">
        <f>_xlfn.XLOOKUP(CustomerCombined[[#This Row],[ID]], Table4[ID], Table4[Meats], "Not Found", 0)</f>
        <v>126</v>
      </c>
      <c r="N1076" s="5">
        <f>_xlfn.XLOOKUP(CustomerCombined[[#This Row],[ID]], Table4[ID], Table4[Seafood], "Not Found", 0)</f>
        <v>0</v>
      </c>
      <c r="O1076" s="5">
        <f>_xlfn.XLOOKUP(CustomerCombined[[#This Row],[ID]], Table4[ID], Table4[Sweets], "Not Found", 0)</f>
        <v>107</v>
      </c>
      <c r="P1076" s="5">
        <f>_xlfn.XLOOKUP(CustomerCombined[[#This Row],[ID]], Table4[ID], Table4[Premium], "Not Found", 0)</f>
        <v>126</v>
      </c>
      <c r="Q1076" s="5">
        <f>_xlfn.XLOOKUP(CustomerCombined[[#This Row],[ID]], Table4[ID], Table4[Regular], "Not Found", 0)</f>
        <v>234</v>
      </c>
      <c r="R1076" s="5">
        <f>_xlfn.XLOOKUP(CustomerCombined[[#This Row],[ID]], Table4[ID], Table4[Deals], "Not Found", 0)</f>
        <v>3</v>
      </c>
      <c r="S1076" s="5">
        <f>_xlfn.XLOOKUP(CustomerCombined[[#This Row],[ID]], Table4[ID], Table4[Website], "Not Found", 0)</f>
        <v>2</v>
      </c>
      <c r="T1076" s="5">
        <f>_xlfn.XLOOKUP(CustomerCombined[[#This Row],[ID]], Table4[ID], Table4[Catalog], "Not Found", 0)</f>
        <v>0</v>
      </c>
      <c r="U1076" s="5">
        <f>_xlfn.XLOOKUP(CustomerCombined[[#This Row],[ID]], Table4[ID], Table4[Store], "Not Found", 0)</f>
        <v>4</v>
      </c>
      <c r="V1076" s="5">
        <f>_xlfn.XLOOKUP(CustomerCombined[[#This Row],[ID]], Table4[ID], Table4[Visits], "Not Found", 0)</f>
        <v>8</v>
      </c>
      <c r="W1076" s="8">
        <f>_xlfn.XLOOKUP(CustomerCombined[[#This Row],[ID]], Table2[ID],Table2[Complaint], "Not Found", 0 )</f>
        <v>0</v>
      </c>
      <c r="X1076" s="8">
        <f>_xlfn.XLOOKUP(CustomerCombined[[#This Row],[ID]], Table2[ID],Table2[Pilot], "Not Found", 0 )</f>
        <v>0</v>
      </c>
      <c r="Y1076" s="8">
        <f>_xlfn.XLOOKUP(CustomerCombined[[#This Row],[ID]], Table2[ID],Table2[MC1], "Not Found", 0 )</f>
        <v>0</v>
      </c>
      <c r="Z1076" s="8">
        <f>_xlfn.XLOOKUP(CustomerCombined[[#This Row],[ID]], Table2[ID],Table2[MC2], "Not Found", 0 )</f>
        <v>0</v>
      </c>
      <c r="AA1076" s="8">
        <f>_xlfn.XLOOKUP(CustomerCombined[[#This Row],[ID]], Table2[ID],Table2[MC3], "Not Found", 0 )</f>
        <v>0</v>
      </c>
      <c r="AB1076" s="8">
        <f>_xlfn.XLOOKUP(CustomerCombined[[#This Row],[ID]], Table2[ID],Table2[MC4], "Not Found", 0 )</f>
        <v>0</v>
      </c>
      <c r="AC1076" s="8">
        <f>_xlfn.XLOOKUP(CustomerCombined[[#This Row],[ID]], Table2[ID],Table2[MC5], "Not Found", 0 )</f>
        <v>0</v>
      </c>
    </row>
    <row r="1077" spans="1:29" x14ac:dyDescent="0.3">
      <c r="A1077" s="6">
        <v>1280</v>
      </c>
      <c r="B1077" s="6">
        <v>116626</v>
      </c>
      <c r="C1077" s="6">
        <v>2</v>
      </c>
      <c r="D1077" s="6">
        <v>0</v>
      </c>
      <c r="E1077" s="6">
        <v>49</v>
      </c>
      <c r="F1077" s="5" t="s">
        <v>8</v>
      </c>
      <c r="G1077" s="5" t="s">
        <v>11</v>
      </c>
      <c r="H1077" s="3" t="s">
        <v>115</v>
      </c>
      <c r="I1077" s="5" t="s">
        <v>438</v>
      </c>
      <c r="J1077" s="5">
        <f>_xlfn.XLOOKUP(CustomerCombined[[#This Row],[ID]], Table4[ID], Table4[Recency], "Not Found", 0)</f>
        <v>76</v>
      </c>
      <c r="K1077" s="5">
        <f>_xlfn.XLOOKUP(CustomerCombined[[#This Row],[ID]], Table4[ID], Table4[Teas], "Not Found", 0)</f>
        <v>56</v>
      </c>
      <c r="L1077" s="5">
        <f>_xlfn.XLOOKUP(CustomerCombined[[#This Row],[ID]], Table4[ID], Table4[Fruits], "Not Found", 0)</f>
        <v>21</v>
      </c>
      <c r="M1077" s="5">
        <f>_xlfn.XLOOKUP(CustomerCombined[[#This Row],[ID]], Table4[ID], Table4[Meats], "Not Found", 0)</f>
        <v>154</v>
      </c>
      <c r="N1077" s="5">
        <f>_xlfn.XLOOKUP(CustomerCombined[[#This Row],[ID]], Table4[ID], Table4[Seafood], "Not Found", 0)</f>
        <v>147</v>
      </c>
      <c r="O1077" s="5">
        <f>_xlfn.XLOOKUP(CustomerCombined[[#This Row],[ID]], Table4[ID], Table4[Sweets], "Not Found", 0)</f>
        <v>7</v>
      </c>
      <c r="P1077" s="5">
        <f>_xlfn.XLOOKUP(CustomerCombined[[#This Row],[ID]], Table4[ID], Table4[Premium], "Not Found", 0)</f>
        <v>91</v>
      </c>
      <c r="Q1077" s="5">
        <f>_xlfn.XLOOKUP(CustomerCombined[[#This Row],[ID]], Table4[ID], Table4[Regular], "Not Found", 0)</f>
        <v>295</v>
      </c>
      <c r="R1077" s="5">
        <f>_xlfn.XLOOKUP(CustomerCombined[[#This Row],[ID]], Table4[ID], Table4[Deals], "Not Found", 0)</f>
        <v>3</v>
      </c>
      <c r="S1077" s="5">
        <f>_xlfn.XLOOKUP(CustomerCombined[[#This Row],[ID]], Table4[ID], Table4[Website], "Not Found", 0)</f>
        <v>3</v>
      </c>
      <c r="T1077" s="5">
        <f>_xlfn.XLOOKUP(CustomerCombined[[#This Row],[ID]], Table4[ID], Table4[Catalog], "Not Found", 0)</f>
        <v>0</v>
      </c>
      <c r="U1077" s="5">
        <f>_xlfn.XLOOKUP(CustomerCombined[[#This Row],[ID]], Table4[ID], Table4[Store], "Not Found", 0)</f>
        <v>3</v>
      </c>
      <c r="V1077" s="5">
        <f>_xlfn.XLOOKUP(CustomerCombined[[#This Row],[ID]], Table4[ID], Table4[Visits], "Not Found", 0)</f>
        <v>9</v>
      </c>
      <c r="W1077" s="8">
        <f>_xlfn.XLOOKUP(CustomerCombined[[#This Row],[ID]], Table2[ID],Table2[Complaint], "Not Found", 0 )</f>
        <v>0</v>
      </c>
      <c r="X1077" s="8">
        <f>_xlfn.XLOOKUP(CustomerCombined[[#This Row],[ID]], Table2[ID],Table2[Pilot], "Not Found", 0 )</f>
        <v>0</v>
      </c>
      <c r="Y1077" s="8">
        <f>_xlfn.XLOOKUP(CustomerCombined[[#This Row],[ID]], Table2[ID],Table2[MC1], "Not Found", 0 )</f>
        <v>0</v>
      </c>
      <c r="Z1077" s="8">
        <f>_xlfn.XLOOKUP(CustomerCombined[[#This Row],[ID]], Table2[ID],Table2[MC2], "Not Found", 0 )</f>
        <v>0</v>
      </c>
      <c r="AA1077" s="8">
        <f>_xlfn.XLOOKUP(CustomerCombined[[#This Row],[ID]], Table2[ID],Table2[MC3], "Not Found", 0 )</f>
        <v>0</v>
      </c>
      <c r="AB1077" s="8">
        <f>_xlfn.XLOOKUP(CustomerCombined[[#This Row],[ID]], Table2[ID],Table2[MC4], "Not Found", 0 )</f>
        <v>0</v>
      </c>
      <c r="AC1077" s="8">
        <f>_xlfn.XLOOKUP(CustomerCombined[[#This Row],[ID]], Table2[ID],Table2[MC5], "Not Found", 0 )</f>
        <v>0</v>
      </c>
    </row>
    <row r="1078" spans="1:29" x14ac:dyDescent="0.3">
      <c r="A1078" s="6">
        <v>1369</v>
      </c>
      <c r="B1078" s="6">
        <v>110245</v>
      </c>
      <c r="C1078" s="6">
        <v>1</v>
      </c>
      <c r="D1078" s="6">
        <v>0</v>
      </c>
      <c r="E1078" s="6">
        <v>49</v>
      </c>
      <c r="F1078" s="5" t="s">
        <v>7</v>
      </c>
      <c r="G1078" s="5" t="s">
        <v>11</v>
      </c>
      <c r="H1078" s="3" t="s">
        <v>256</v>
      </c>
      <c r="I1078" s="5" t="s">
        <v>437</v>
      </c>
      <c r="J1078" s="5">
        <f>_xlfn.XLOOKUP(CustomerCombined[[#This Row],[ID]], Table4[ID], Table4[Recency], "Not Found", 0)</f>
        <v>32</v>
      </c>
      <c r="K1078" s="5">
        <f>_xlfn.XLOOKUP(CustomerCombined[[#This Row],[ID]], Table4[ID], Table4[Teas], "Not Found", 0)</f>
        <v>43</v>
      </c>
      <c r="L1078" s="5">
        <f>_xlfn.XLOOKUP(CustomerCombined[[#This Row],[ID]], Table4[ID], Table4[Fruits], "Not Found", 0)</f>
        <v>75</v>
      </c>
      <c r="M1078" s="5">
        <f>_xlfn.XLOOKUP(CustomerCombined[[#This Row],[ID]], Table4[ID], Table4[Meats], "Not Found", 0)</f>
        <v>75</v>
      </c>
      <c r="N1078" s="5">
        <f>_xlfn.XLOOKUP(CustomerCombined[[#This Row],[ID]], Table4[ID], Table4[Seafood], "Not Found", 0)</f>
        <v>65</v>
      </c>
      <c r="O1078" s="5">
        <f>_xlfn.XLOOKUP(CustomerCombined[[#This Row],[ID]], Table4[ID], Table4[Sweets], "Not Found", 0)</f>
        <v>43</v>
      </c>
      <c r="P1078" s="5">
        <f>_xlfn.XLOOKUP(CustomerCombined[[#This Row],[ID]], Table4[ID], Table4[Premium], "Not Found", 0)</f>
        <v>140</v>
      </c>
      <c r="Q1078" s="5">
        <f>_xlfn.XLOOKUP(CustomerCombined[[#This Row],[ID]], Table4[ID], Table4[Regular], "Not Found", 0)</f>
        <v>161</v>
      </c>
      <c r="R1078" s="5">
        <f>_xlfn.XLOOKUP(CustomerCombined[[#This Row],[ID]], Table4[ID], Table4[Deals], "Not Found", 0)</f>
        <v>3</v>
      </c>
      <c r="S1078" s="5">
        <f>_xlfn.XLOOKUP(CustomerCombined[[#This Row],[ID]], Table4[ID], Table4[Website], "Not Found", 0)</f>
        <v>1</v>
      </c>
      <c r="T1078" s="5">
        <f>_xlfn.XLOOKUP(CustomerCombined[[#This Row],[ID]], Table4[ID], Table4[Catalog], "Not Found", 0)</f>
        <v>2</v>
      </c>
      <c r="U1078" s="5">
        <f>_xlfn.XLOOKUP(CustomerCombined[[#This Row],[ID]], Table4[ID], Table4[Store], "Not Found", 0)</f>
        <v>2</v>
      </c>
      <c r="V1078" s="5">
        <f>_xlfn.XLOOKUP(CustomerCombined[[#This Row],[ID]], Table4[ID], Table4[Visits], "Not Found", 0)</f>
        <v>5</v>
      </c>
      <c r="W1078" s="8">
        <f>_xlfn.XLOOKUP(CustomerCombined[[#This Row],[ID]], Table2[ID],Table2[Complaint], "Not Found", 0 )</f>
        <v>0</v>
      </c>
      <c r="X1078" s="8">
        <f>_xlfn.XLOOKUP(CustomerCombined[[#This Row],[ID]], Table2[ID],Table2[Pilot], "Not Found", 0 )</f>
        <v>0</v>
      </c>
      <c r="Y1078" s="8">
        <f>_xlfn.XLOOKUP(CustomerCombined[[#This Row],[ID]], Table2[ID],Table2[MC1], "Not Found", 0 )</f>
        <v>0</v>
      </c>
      <c r="Z1078" s="8">
        <f>_xlfn.XLOOKUP(CustomerCombined[[#This Row],[ID]], Table2[ID],Table2[MC2], "Not Found", 0 )</f>
        <v>0</v>
      </c>
      <c r="AA1078" s="8">
        <f>_xlfn.XLOOKUP(CustomerCombined[[#This Row],[ID]], Table2[ID],Table2[MC3], "Not Found", 0 )</f>
        <v>0</v>
      </c>
      <c r="AB1078" s="8">
        <f>_xlfn.XLOOKUP(CustomerCombined[[#This Row],[ID]], Table2[ID],Table2[MC4], "Not Found", 0 )</f>
        <v>0</v>
      </c>
      <c r="AC1078" s="8">
        <f>_xlfn.XLOOKUP(CustomerCombined[[#This Row],[ID]], Table2[ID],Table2[MC5], "Not Found", 0 )</f>
        <v>0</v>
      </c>
    </row>
    <row r="1079" spans="1:29" x14ac:dyDescent="0.3">
      <c r="A1079" s="6">
        <v>2226</v>
      </c>
      <c r="B1079" s="6">
        <v>101730</v>
      </c>
      <c r="C1079" s="6">
        <v>0</v>
      </c>
      <c r="D1079" s="6">
        <v>0</v>
      </c>
      <c r="E1079" s="6">
        <v>49</v>
      </c>
      <c r="F1079" s="5" t="s">
        <v>5</v>
      </c>
      <c r="G1079" s="5" t="s">
        <v>11</v>
      </c>
      <c r="H1079" s="3" t="s">
        <v>47</v>
      </c>
      <c r="I1079" s="5" t="s">
        <v>436</v>
      </c>
      <c r="J1079" s="5">
        <f>_xlfn.XLOOKUP(CustomerCombined[[#This Row],[ID]], Table4[ID], Table4[Recency], "Not Found", 0)</f>
        <v>65</v>
      </c>
      <c r="K1079" s="5">
        <f>_xlfn.XLOOKUP(CustomerCombined[[#This Row],[ID]], Table4[ID], Table4[Teas], "Not Found", 0)</f>
        <v>59</v>
      </c>
      <c r="L1079" s="5">
        <f>_xlfn.XLOOKUP(CustomerCombined[[#This Row],[ID]], Table4[ID], Table4[Fruits], "Not Found", 0)</f>
        <v>59</v>
      </c>
      <c r="M1079" s="5">
        <f>_xlfn.XLOOKUP(CustomerCombined[[#This Row],[ID]], Table4[ID], Table4[Meats], "Not Found", 0)</f>
        <v>176</v>
      </c>
      <c r="N1079" s="5">
        <f>_xlfn.XLOOKUP(CustomerCombined[[#This Row],[ID]], Table4[ID], Table4[Seafood], "Not Found", 0)</f>
        <v>59</v>
      </c>
      <c r="O1079" s="5">
        <f>_xlfn.XLOOKUP(CustomerCombined[[#This Row],[ID]], Table4[ID], Table4[Sweets], "Not Found", 0)</f>
        <v>59</v>
      </c>
      <c r="P1079" s="5">
        <f>_xlfn.XLOOKUP(CustomerCombined[[#This Row],[ID]], Table4[ID], Table4[Premium], "Not Found", 0)</f>
        <v>59</v>
      </c>
      <c r="Q1079" s="5">
        <f>_xlfn.XLOOKUP(CustomerCombined[[#This Row],[ID]], Table4[ID], Table4[Regular], "Not Found", 0)</f>
        <v>353</v>
      </c>
      <c r="R1079" s="5">
        <f>_xlfn.XLOOKUP(CustomerCombined[[#This Row],[ID]], Table4[ID], Table4[Deals], "Not Found", 0)</f>
        <v>15</v>
      </c>
      <c r="S1079" s="5">
        <f>_xlfn.XLOOKUP(CustomerCombined[[#This Row],[ID]], Table4[ID], Table4[Website], "Not Found", 0)</f>
        <v>0</v>
      </c>
      <c r="T1079" s="5">
        <f>_xlfn.XLOOKUP(CustomerCombined[[#This Row],[ID]], Table4[ID], Table4[Catalog], "Not Found", 0)</f>
        <v>0</v>
      </c>
      <c r="U1079" s="5">
        <f>_xlfn.XLOOKUP(CustomerCombined[[#This Row],[ID]], Table4[ID], Table4[Store], "Not Found", 0)</f>
        <v>0</v>
      </c>
      <c r="V1079" s="5">
        <f>_xlfn.XLOOKUP(CustomerCombined[[#This Row],[ID]], Table4[ID], Table4[Visits], "Not Found", 0)</f>
        <v>20</v>
      </c>
      <c r="W1079" s="8">
        <f>_xlfn.XLOOKUP(CustomerCombined[[#This Row],[ID]], Table2[ID],Table2[Complaint], "Not Found", 0 )</f>
        <v>0</v>
      </c>
      <c r="X1079" s="8">
        <f>_xlfn.XLOOKUP(CustomerCombined[[#This Row],[ID]], Table2[ID],Table2[Pilot], "Not Found", 0 )</f>
        <v>0</v>
      </c>
      <c r="Y1079" s="8">
        <f>_xlfn.XLOOKUP(CustomerCombined[[#This Row],[ID]], Table2[ID],Table2[MC1], "Not Found", 0 )</f>
        <v>0</v>
      </c>
      <c r="Z1079" s="8">
        <f>_xlfn.XLOOKUP(CustomerCombined[[#This Row],[ID]], Table2[ID],Table2[MC2], "Not Found", 0 )</f>
        <v>0</v>
      </c>
      <c r="AA1079" s="8">
        <f>_xlfn.XLOOKUP(CustomerCombined[[#This Row],[ID]], Table2[ID],Table2[MC3], "Not Found", 0 )</f>
        <v>0</v>
      </c>
      <c r="AB1079" s="8">
        <f>_xlfn.XLOOKUP(CustomerCombined[[#This Row],[ID]], Table2[ID],Table2[MC4], "Not Found", 0 )</f>
        <v>0</v>
      </c>
      <c r="AC1079" s="8">
        <f>_xlfn.XLOOKUP(CustomerCombined[[#This Row],[ID]], Table2[ID],Table2[MC5], "Not Found", 0 )</f>
        <v>0</v>
      </c>
    </row>
    <row r="1080" spans="1:29" x14ac:dyDescent="0.3">
      <c r="A1080" s="6">
        <v>1629</v>
      </c>
      <c r="B1080" s="6">
        <v>205471</v>
      </c>
      <c r="C1080" s="6">
        <v>0</v>
      </c>
      <c r="D1080" s="6">
        <v>0</v>
      </c>
      <c r="E1080" s="6">
        <v>50</v>
      </c>
      <c r="F1080" s="5" t="s">
        <v>8</v>
      </c>
      <c r="G1080" s="5" t="s">
        <v>11</v>
      </c>
      <c r="H1080" s="3" t="s">
        <v>320</v>
      </c>
      <c r="I1080" s="5" t="s">
        <v>435</v>
      </c>
      <c r="J1080" s="5">
        <f>_xlfn.XLOOKUP(CustomerCombined[[#This Row],[ID]], Table4[ID], Table4[Recency], "Not Found", 0)</f>
        <v>36</v>
      </c>
      <c r="K1080" s="5">
        <f>_xlfn.XLOOKUP(CustomerCombined[[#This Row],[ID]], Table4[ID], Table4[Teas], "Not Found", 0)</f>
        <v>1966</v>
      </c>
      <c r="L1080" s="5">
        <f>_xlfn.XLOOKUP(CustomerCombined[[#This Row],[ID]], Table4[ID], Table4[Fruits], "Not Found", 0)</f>
        <v>353</v>
      </c>
      <c r="M1080" s="5">
        <f>_xlfn.XLOOKUP(CustomerCombined[[#This Row],[ID]], Table4[ID], Table4[Meats], "Not Found", 0)</f>
        <v>203</v>
      </c>
      <c r="N1080" s="5">
        <f>_xlfn.XLOOKUP(CustomerCombined[[#This Row],[ID]], Table4[ID], Table4[Seafood], "Not Found", 0)</f>
        <v>394</v>
      </c>
      <c r="O1080" s="5">
        <f>_xlfn.XLOOKUP(CustomerCombined[[#This Row],[ID]], Table4[ID], Table4[Sweets], "Not Found", 0)</f>
        <v>41</v>
      </c>
      <c r="P1080" s="5">
        <f>_xlfn.XLOOKUP(CustomerCombined[[#This Row],[ID]], Table4[ID], Table4[Premium], "Not Found", 0)</f>
        <v>403</v>
      </c>
      <c r="Q1080" s="5">
        <f>_xlfn.XLOOKUP(CustomerCombined[[#This Row],[ID]], Table4[ID], Table4[Regular], "Not Found", 0)</f>
        <v>2552</v>
      </c>
      <c r="R1080" s="5">
        <f>_xlfn.XLOOKUP(CustomerCombined[[#This Row],[ID]], Table4[ID], Table4[Deals], "Not Found", 0)</f>
        <v>0</v>
      </c>
      <c r="S1080" s="5">
        <f>_xlfn.XLOOKUP(CustomerCombined[[#This Row],[ID]], Table4[ID], Table4[Website], "Not Found", 0)</f>
        <v>9</v>
      </c>
      <c r="T1080" s="5">
        <f>_xlfn.XLOOKUP(CustomerCombined[[#This Row],[ID]], Table4[ID], Table4[Catalog], "Not Found", 0)</f>
        <v>8</v>
      </c>
      <c r="U1080" s="5">
        <f>_xlfn.XLOOKUP(CustomerCombined[[#This Row],[ID]], Table4[ID], Table4[Store], "Not Found", 0)</f>
        <v>13</v>
      </c>
      <c r="V1080" s="5">
        <f>_xlfn.XLOOKUP(CustomerCombined[[#This Row],[ID]], Table4[ID], Table4[Visits], "Not Found", 0)</f>
        <v>3</v>
      </c>
      <c r="W1080" s="8">
        <f>_xlfn.XLOOKUP(CustomerCombined[[#This Row],[ID]], Table2[ID],Table2[Complaint], "Not Found", 0 )</f>
        <v>0</v>
      </c>
      <c r="X1080" s="8">
        <f>_xlfn.XLOOKUP(CustomerCombined[[#This Row],[ID]], Table2[ID],Table2[Pilot], "Not Found", 0 )</f>
        <v>1</v>
      </c>
      <c r="Y1080" s="8">
        <f>_xlfn.XLOOKUP(CustomerCombined[[#This Row],[ID]], Table2[ID],Table2[MC1], "Not Found", 0 )</f>
        <v>1</v>
      </c>
      <c r="Z1080" s="8">
        <f>_xlfn.XLOOKUP(CustomerCombined[[#This Row],[ID]], Table2[ID],Table2[MC2], "Not Found", 0 )</f>
        <v>0</v>
      </c>
      <c r="AA1080" s="8">
        <f>_xlfn.XLOOKUP(CustomerCombined[[#This Row],[ID]], Table2[ID],Table2[MC3], "Not Found", 0 )</f>
        <v>0</v>
      </c>
      <c r="AB1080" s="8">
        <f>_xlfn.XLOOKUP(CustomerCombined[[#This Row],[ID]], Table2[ID],Table2[MC4], "Not Found", 0 )</f>
        <v>0</v>
      </c>
      <c r="AC1080" s="8">
        <f>_xlfn.XLOOKUP(CustomerCombined[[#This Row],[ID]], Table2[ID],Table2[MC5], "Not Found", 0 )</f>
        <v>1</v>
      </c>
    </row>
    <row r="1081" spans="1:29" x14ac:dyDescent="0.3">
      <c r="A1081" s="6">
        <v>2434</v>
      </c>
      <c r="B1081" s="6">
        <v>193790</v>
      </c>
      <c r="C1081" s="6">
        <v>0</v>
      </c>
      <c r="D1081" s="6">
        <v>0</v>
      </c>
      <c r="E1081" s="6">
        <v>50</v>
      </c>
      <c r="F1081" s="5" t="s">
        <v>7</v>
      </c>
      <c r="G1081" s="5" t="s">
        <v>11</v>
      </c>
      <c r="H1081" s="3" t="s">
        <v>101</v>
      </c>
      <c r="I1081" s="5" t="s">
        <v>439</v>
      </c>
      <c r="J1081" s="5">
        <f>_xlfn.XLOOKUP(CustomerCombined[[#This Row],[ID]], Table4[ID], Table4[Recency], "Not Found", 0)</f>
        <v>16</v>
      </c>
      <c r="K1081" s="5">
        <f>_xlfn.XLOOKUP(CustomerCombined[[#This Row],[ID]], Table4[ID], Table4[Teas], "Not Found", 0)</f>
        <v>2690</v>
      </c>
      <c r="L1081" s="5">
        <f>_xlfn.XLOOKUP(CustomerCombined[[#This Row],[ID]], Table4[ID], Table4[Fruits], "Not Found", 0)</f>
        <v>141</v>
      </c>
      <c r="M1081" s="5">
        <f>_xlfn.XLOOKUP(CustomerCombined[[#This Row],[ID]], Table4[ID], Table4[Meats], "Not Found", 0)</f>
        <v>1510</v>
      </c>
      <c r="N1081" s="5">
        <f>_xlfn.XLOOKUP(CustomerCombined[[#This Row],[ID]], Table4[ID], Table4[Seafood], "Not Found", 0)</f>
        <v>184</v>
      </c>
      <c r="O1081" s="5">
        <f>_xlfn.XLOOKUP(CustomerCombined[[#This Row],[ID]], Table4[ID], Table4[Sweets], "Not Found", 0)</f>
        <v>236</v>
      </c>
      <c r="P1081" s="5">
        <f>_xlfn.XLOOKUP(CustomerCombined[[#This Row],[ID]], Table4[ID], Table4[Premium], "Not Found", 0)</f>
        <v>93</v>
      </c>
      <c r="Q1081" s="5">
        <f>_xlfn.XLOOKUP(CustomerCombined[[#This Row],[ID]], Table4[ID], Table4[Regular], "Not Found", 0)</f>
        <v>4668</v>
      </c>
      <c r="R1081" s="5">
        <f>_xlfn.XLOOKUP(CustomerCombined[[#This Row],[ID]], Table4[ID], Table4[Deals], "Not Found", 0)</f>
        <v>0</v>
      </c>
      <c r="S1081" s="5">
        <f>_xlfn.XLOOKUP(CustomerCombined[[#This Row],[ID]], Table4[ID], Table4[Website], "Not Found", 0)</f>
        <v>6</v>
      </c>
      <c r="T1081" s="5">
        <f>_xlfn.XLOOKUP(CustomerCombined[[#This Row],[ID]], Table4[ID], Table4[Catalog], "Not Found", 0)</f>
        <v>7</v>
      </c>
      <c r="U1081" s="5">
        <f>_xlfn.XLOOKUP(CustomerCombined[[#This Row],[ID]], Table4[ID], Table4[Store], "Not Found", 0)</f>
        <v>12</v>
      </c>
      <c r="V1081" s="5">
        <f>_xlfn.XLOOKUP(CustomerCombined[[#This Row],[ID]], Table4[ID], Table4[Visits], "Not Found", 0)</f>
        <v>2</v>
      </c>
      <c r="W1081" s="8">
        <f>_xlfn.XLOOKUP(CustomerCombined[[#This Row],[ID]], Table2[ID],Table2[Complaint], "Not Found", 0 )</f>
        <v>0</v>
      </c>
      <c r="X1081" s="8">
        <f>_xlfn.XLOOKUP(CustomerCombined[[#This Row],[ID]], Table2[ID],Table2[Pilot], "Not Found", 0 )</f>
        <v>1</v>
      </c>
      <c r="Y1081" s="8">
        <f>_xlfn.XLOOKUP(CustomerCombined[[#This Row],[ID]], Table2[ID],Table2[MC1], "Not Found", 0 )</f>
        <v>1</v>
      </c>
      <c r="Z1081" s="8">
        <f>_xlfn.XLOOKUP(CustomerCombined[[#This Row],[ID]], Table2[ID],Table2[MC2], "Not Found", 0 )</f>
        <v>0</v>
      </c>
      <c r="AA1081" s="8">
        <f>_xlfn.XLOOKUP(CustomerCombined[[#This Row],[ID]], Table2[ID],Table2[MC3], "Not Found", 0 )</f>
        <v>0</v>
      </c>
      <c r="AB1081" s="8">
        <f>_xlfn.XLOOKUP(CustomerCombined[[#This Row],[ID]], Table2[ID],Table2[MC4], "Not Found", 0 )</f>
        <v>1</v>
      </c>
      <c r="AC1081" s="8">
        <f>_xlfn.XLOOKUP(CustomerCombined[[#This Row],[ID]], Table2[ID],Table2[MC5], "Not Found", 0 )</f>
        <v>1</v>
      </c>
    </row>
    <row r="1082" spans="1:29" x14ac:dyDescent="0.3">
      <c r="A1082" s="6">
        <v>1108</v>
      </c>
      <c r="B1082" s="6">
        <v>190765</v>
      </c>
      <c r="C1082" s="6">
        <v>0</v>
      </c>
      <c r="D1082" s="6">
        <v>0</v>
      </c>
      <c r="E1082" s="6">
        <v>50</v>
      </c>
      <c r="F1082" s="5" t="s">
        <v>6</v>
      </c>
      <c r="G1082" s="5" t="s">
        <v>11</v>
      </c>
      <c r="H1082" s="3" t="s">
        <v>108</v>
      </c>
      <c r="I1082" s="5" t="s">
        <v>439</v>
      </c>
      <c r="J1082" s="5">
        <f>_xlfn.XLOOKUP(CustomerCombined[[#This Row],[ID]], Table4[ID], Table4[Recency], "Not Found", 0)</f>
        <v>25</v>
      </c>
      <c r="K1082" s="5">
        <f>_xlfn.XLOOKUP(CustomerCombined[[#This Row],[ID]], Table4[ID], Table4[Teas], "Not Found", 0)</f>
        <v>1150</v>
      </c>
      <c r="L1082" s="5">
        <f>_xlfn.XLOOKUP(CustomerCombined[[#This Row],[ID]], Table4[ID], Table4[Fruits], "Not Found", 0)</f>
        <v>208</v>
      </c>
      <c r="M1082" s="5">
        <f>_xlfn.XLOOKUP(CustomerCombined[[#This Row],[ID]], Table4[ID], Table4[Meats], "Not Found", 0)</f>
        <v>1707</v>
      </c>
      <c r="N1082" s="5">
        <f>_xlfn.XLOOKUP(CustomerCombined[[#This Row],[ID]], Table4[ID], Table4[Seafood], "Not Found", 0)</f>
        <v>317</v>
      </c>
      <c r="O1082" s="5">
        <f>_xlfn.XLOOKUP(CustomerCombined[[#This Row],[ID]], Table4[ID], Table4[Sweets], "Not Found", 0)</f>
        <v>172</v>
      </c>
      <c r="P1082" s="5">
        <f>_xlfn.XLOOKUP(CustomerCombined[[#This Row],[ID]], Table4[ID], Table4[Premium], "Not Found", 0)</f>
        <v>69</v>
      </c>
      <c r="Q1082" s="5">
        <f>_xlfn.XLOOKUP(CustomerCombined[[#This Row],[ID]], Table4[ID], Table4[Regular], "Not Found", 0)</f>
        <v>3485</v>
      </c>
      <c r="R1082" s="5">
        <f>_xlfn.XLOOKUP(CustomerCombined[[#This Row],[ID]], Table4[ID], Table4[Deals], "Not Found", 0)</f>
        <v>0</v>
      </c>
      <c r="S1082" s="5">
        <f>_xlfn.XLOOKUP(CustomerCombined[[#This Row],[ID]], Table4[ID], Table4[Website], "Not Found", 0)</f>
        <v>4</v>
      </c>
      <c r="T1082" s="5">
        <f>_xlfn.XLOOKUP(CustomerCombined[[#This Row],[ID]], Table4[ID], Table4[Catalog], "Not Found", 0)</f>
        <v>6</v>
      </c>
      <c r="U1082" s="5">
        <f>_xlfn.XLOOKUP(CustomerCombined[[#This Row],[ID]], Table4[ID], Table4[Store], "Not Found", 0)</f>
        <v>5</v>
      </c>
      <c r="V1082" s="5">
        <f>_xlfn.XLOOKUP(CustomerCombined[[#This Row],[ID]], Table4[ID], Table4[Visits], "Not Found", 0)</f>
        <v>1</v>
      </c>
      <c r="W1082" s="8">
        <f>_xlfn.XLOOKUP(CustomerCombined[[#This Row],[ID]], Table2[ID],Table2[Complaint], "Not Found", 0 )</f>
        <v>0</v>
      </c>
      <c r="X1082" s="8">
        <f>_xlfn.XLOOKUP(CustomerCombined[[#This Row],[ID]], Table2[ID],Table2[Pilot], "Not Found", 0 )</f>
        <v>0</v>
      </c>
      <c r="Y1082" s="8">
        <f>_xlfn.XLOOKUP(CustomerCombined[[#This Row],[ID]], Table2[ID],Table2[MC1], "Not Found", 0 )</f>
        <v>1</v>
      </c>
      <c r="Z1082" s="8">
        <f>_xlfn.XLOOKUP(CustomerCombined[[#This Row],[ID]], Table2[ID],Table2[MC2], "Not Found", 0 )</f>
        <v>0</v>
      </c>
      <c r="AA1082" s="8">
        <f>_xlfn.XLOOKUP(CustomerCombined[[#This Row],[ID]], Table2[ID],Table2[MC3], "Not Found", 0 )</f>
        <v>0</v>
      </c>
      <c r="AB1082" s="8">
        <f>_xlfn.XLOOKUP(CustomerCombined[[#This Row],[ID]], Table2[ID],Table2[MC4], "Not Found", 0 )</f>
        <v>0</v>
      </c>
      <c r="AC1082" s="8">
        <f>_xlfn.XLOOKUP(CustomerCombined[[#This Row],[ID]], Table2[ID],Table2[MC5], "Not Found", 0 )</f>
        <v>1</v>
      </c>
    </row>
    <row r="1083" spans="1:29" x14ac:dyDescent="0.3">
      <c r="A1083" s="6">
        <v>1331</v>
      </c>
      <c r="B1083" s="6">
        <v>184835</v>
      </c>
      <c r="C1083" s="6">
        <v>0</v>
      </c>
      <c r="D1083" s="6">
        <v>0</v>
      </c>
      <c r="E1083" s="6">
        <v>50</v>
      </c>
      <c r="F1083" s="5" t="s">
        <v>5</v>
      </c>
      <c r="G1083" s="5" t="s">
        <v>11</v>
      </c>
      <c r="H1083" s="3" t="s">
        <v>33</v>
      </c>
      <c r="I1083" s="5" t="s">
        <v>434</v>
      </c>
      <c r="J1083" s="5">
        <f>_xlfn.XLOOKUP(CustomerCombined[[#This Row],[ID]], Table4[ID], Table4[Recency], "Not Found", 0)</f>
        <v>0</v>
      </c>
      <c r="K1083" s="5">
        <f>_xlfn.XLOOKUP(CustomerCombined[[#This Row],[ID]], Table4[ID], Table4[Teas], "Not Found", 0)</f>
        <v>412</v>
      </c>
      <c r="L1083" s="5">
        <f>_xlfn.XLOOKUP(CustomerCombined[[#This Row],[ID]], Table4[ID], Table4[Fruits], "Not Found", 0)</f>
        <v>227</v>
      </c>
      <c r="M1083" s="5">
        <f>_xlfn.XLOOKUP(CustomerCombined[[#This Row],[ID]], Table4[ID], Table4[Meats], "Not Found", 0)</f>
        <v>826</v>
      </c>
      <c r="N1083" s="5">
        <f>_xlfn.XLOOKUP(CustomerCombined[[#This Row],[ID]], Table4[ID], Table4[Seafood], "Not Found", 0)</f>
        <v>242</v>
      </c>
      <c r="O1083" s="5">
        <f>_xlfn.XLOOKUP(CustomerCombined[[#This Row],[ID]], Table4[ID], Table4[Sweets], "Not Found", 0)</f>
        <v>412</v>
      </c>
      <c r="P1083" s="5">
        <f>_xlfn.XLOOKUP(CustomerCombined[[#This Row],[ID]], Table4[ID], Table4[Premium], "Not Found", 0)</f>
        <v>475</v>
      </c>
      <c r="Q1083" s="5">
        <f>_xlfn.XLOOKUP(CustomerCombined[[#This Row],[ID]], Table4[ID], Table4[Regular], "Not Found", 0)</f>
        <v>1643</v>
      </c>
      <c r="R1083" s="5">
        <f>_xlfn.XLOOKUP(CustomerCombined[[#This Row],[ID]], Table4[ID], Table4[Deals], "Not Found", 0)</f>
        <v>1</v>
      </c>
      <c r="S1083" s="5">
        <f>_xlfn.XLOOKUP(CustomerCombined[[#This Row],[ID]], Table4[ID], Table4[Website], "Not Found", 0)</f>
        <v>4</v>
      </c>
      <c r="T1083" s="5">
        <f>_xlfn.XLOOKUP(CustomerCombined[[#This Row],[ID]], Table4[ID], Table4[Catalog], "Not Found", 0)</f>
        <v>4</v>
      </c>
      <c r="U1083" s="5">
        <f>_xlfn.XLOOKUP(CustomerCombined[[#This Row],[ID]], Table4[ID], Table4[Store], "Not Found", 0)</f>
        <v>6</v>
      </c>
      <c r="V1083" s="5">
        <f>_xlfn.XLOOKUP(CustomerCombined[[#This Row],[ID]], Table4[ID], Table4[Visits], "Not Found", 0)</f>
        <v>1</v>
      </c>
      <c r="W1083" s="8">
        <f>_xlfn.XLOOKUP(CustomerCombined[[#This Row],[ID]], Table2[ID],Table2[Complaint], "Not Found", 0 )</f>
        <v>0</v>
      </c>
      <c r="X1083" s="8">
        <f>_xlfn.XLOOKUP(CustomerCombined[[#This Row],[ID]], Table2[ID],Table2[Pilot], "Not Found", 0 )</f>
        <v>1</v>
      </c>
      <c r="Y1083" s="8">
        <f>_xlfn.XLOOKUP(CustomerCombined[[#This Row],[ID]], Table2[ID],Table2[MC1], "Not Found", 0 )</f>
        <v>0</v>
      </c>
      <c r="Z1083" s="8">
        <f>_xlfn.XLOOKUP(CustomerCombined[[#This Row],[ID]], Table2[ID],Table2[MC2], "Not Found", 0 )</f>
        <v>0</v>
      </c>
      <c r="AA1083" s="8">
        <f>_xlfn.XLOOKUP(CustomerCombined[[#This Row],[ID]], Table2[ID],Table2[MC3], "Not Found", 0 )</f>
        <v>0</v>
      </c>
      <c r="AB1083" s="8">
        <f>_xlfn.XLOOKUP(CustomerCombined[[#This Row],[ID]], Table2[ID],Table2[MC4], "Not Found", 0 )</f>
        <v>0</v>
      </c>
      <c r="AC1083" s="8">
        <f>_xlfn.XLOOKUP(CustomerCombined[[#This Row],[ID]], Table2[ID],Table2[MC5], "Not Found", 0 )</f>
        <v>0</v>
      </c>
    </row>
    <row r="1084" spans="1:29" x14ac:dyDescent="0.3">
      <c r="A1084" s="6">
        <v>3016</v>
      </c>
      <c r="B1084" s="6">
        <v>183273</v>
      </c>
      <c r="C1084" s="6">
        <v>1</v>
      </c>
      <c r="D1084" s="6">
        <v>2</v>
      </c>
      <c r="E1084" s="6">
        <v>50</v>
      </c>
      <c r="F1084" s="5" t="s">
        <v>7</v>
      </c>
      <c r="G1084" s="5" t="s">
        <v>11</v>
      </c>
      <c r="H1084" s="3">
        <v>43499</v>
      </c>
      <c r="I1084" s="5" t="s">
        <v>439</v>
      </c>
      <c r="J1084" s="5">
        <f>_xlfn.XLOOKUP(CustomerCombined[[#This Row],[ID]], Table4[ID], Table4[Recency], "Not Found", 0)</f>
        <v>98</v>
      </c>
      <c r="K1084" s="5">
        <f>_xlfn.XLOOKUP(CustomerCombined[[#This Row],[ID]], Table4[ID], Table4[Teas], "Not Found", 0)</f>
        <v>953</v>
      </c>
      <c r="L1084" s="5">
        <f>_xlfn.XLOOKUP(CustomerCombined[[#This Row],[ID]], Table4[ID], Table4[Fruits], "Not Found", 0)</f>
        <v>196</v>
      </c>
      <c r="M1084" s="5">
        <f>_xlfn.XLOOKUP(CustomerCombined[[#This Row],[ID]], Table4[ID], Table4[Meats], "Not Found", 0)</f>
        <v>1431</v>
      </c>
      <c r="N1084" s="5">
        <f>_xlfn.XLOOKUP(CustomerCombined[[#This Row],[ID]], Table4[ID], Table4[Seafood], "Not Found", 0)</f>
        <v>35</v>
      </c>
      <c r="O1084" s="5">
        <f>_xlfn.XLOOKUP(CustomerCombined[[#This Row],[ID]], Table4[ID], Table4[Sweets], "Not Found", 0)</f>
        <v>224</v>
      </c>
      <c r="P1084" s="5">
        <f>_xlfn.XLOOKUP(CustomerCombined[[#This Row],[ID]], Table4[ID], Table4[Premium], "Not Found", 0)</f>
        <v>224</v>
      </c>
      <c r="Q1084" s="5">
        <f>_xlfn.XLOOKUP(CustomerCombined[[#This Row],[ID]], Table4[ID], Table4[Regular], "Not Found", 0)</f>
        <v>2615</v>
      </c>
      <c r="R1084" s="5">
        <f>_xlfn.XLOOKUP(CustomerCombined[[#This Row],[ID]], Table4[ID], Table4[Deals], "Not Found", 0)</f>
        <v>10</v>
      </c>
      <c r="S1084" s="5">
        <f>_xlfn.XLOOKUP(CustomerCombined[[#This Row],[ID]], Table4[ID], Table4[Website], "Not Found", 0)</f>
        <v>4</v>
      </c>
      <c r="T1084" s="5">
        <f>_xlfn.XLOOKUP(CustomerCombined[[#This Row],[ID]], Table4[ID], Table4[Catalog], "Not Found", 0)</f>
        <v>6</v>
      </c>
      <c r="U1084" s="5">
        <f>_xlfn.XLOOKUP(CustomerCombined[[#This Row],[ID]], Table4[ID], Table4[Store], "Not Found", 0)</f>
        <v>9</v>
      </c>
      <c r="V1084" s="5">
        <f>_xlfn.XLOOKUP(CustomerCombined[[#This Row],[ID]], Table4[ID], Table4[Visits], "Not Found", 0)</f>
        <v>7</v>
      </c>
      <c r="W1084" s="8">
        <f>_xlfn.XLOOKUP(CustomerCombined[[#This Row],[ID]], Table2[ID],Table2[Complaint], "Not Found", 0 )</f>
        <v>0</v>
      </c>
      <c r="X1084" s="8">
        <f>_xlfn.XLOOKUP(CustomerCombined[[#This Row],[ID]], Table2[ID],Table2[Pilot], "Not Found", 0 )</f>
        <v>0</v>
      </c>
      <c r="Y1084" s="8">
        <f>_xlfn.XLOOKUP(CustomerCombined[[#This Row],[ID]], Table2[ID],Table2[MC1], "Not Found", 0 )</f>
        <v>0</v>
      </c>
      <c r="Z1084" s="8">
        <f>_xlfn.XLOOKUP(CustomerCombined[[#This Row],[ID]], Table2[ID],Table2[MC2], "Not Found", 0 )</f>
        <v>0</v>
      </c>
      <c r="AA1084" s="8">
        <f>_xlfn.XLOOKUP(CustomerCombined[[#This Row],[ID]], Table2[ID],Table2[MC3], "Not Found", 0 )</f>
        <v>0</v>
      </c>
      <c r="AB1084" s="8">
        <f>_xlfn.XLOOKUP(CustomerCombined[[#This Row],[ID]], Table2[ID],Table2[MC4], "Not Found", 0 )</f>
        <v>0</v>
      </c>
      <c r="AC1084" s="8">
        <f>_xlfn.XLOOKUP(CustomerCombined[[#This Row],[ID]], Table2[ID],Table2[MC5], "Not Found", 0 )</f>
        <v>0</v>
      </c>
    </row>
    <row r="1085" spans="1:29" x14ac:dyDescent="0.3">
      <c r="A1085" s="6">
        <v>1866</v>
      </c>
      <c r="B1085" s="6">
        <v>182072</v>
      </c>
      <c r="C1085" s="6">
        <v>0</v>
      </c>
      <c r="D1085" s="6">
        <v>0</v>
      </c>
      <c r="E1085" s="6">
        <v>50</v>
      </c>
      <c r="F1085" s="5" t="s">
        <v>8</v>
      </c>
      <c r="G1085" s="5" t="s">
        <v>13</v>
      </c>
      <c r="H1085" s="3">
        <v>43658</v>
      </c>
      <c r="I1085" s="5" t="s">
        <v>436</v>
      </c>
      <c r="J1085" s="5">
        <f>_xlfn.XLOOKUP(CustomerCombined[[#This Row],[ID]], Table4[ID], Table4[Recency], "Not Found", 0)</f>
        <v>67</v>
      </c>
      <c r="K1085" s="5">
        <f>_xlfn.XLOOKUP(CustomerCombined[[#This Row],[ID]], Table4[ID], Table4[Teas], "Not Found", 0)</f>
        <v>1972</v>
      </c>
      <c r="L1085" s="5">
        <f>_xlfn.XLOOKUP(CustomerCombined[[#This Row],[ID]], Table4[ID], Table4[Fruits], "Not Found", 0)</f>
        <v>122</v>
      </c>
      <c r="M1085" s="5">
        <f>_xlfn.XLOOKUP(CustomerCombined[[#This Row],[ID]], Table4[ID], Table4[Meats], "Not Found", 0)</f>
        <v>1520</v>
      </c>
      <c r="N1085" s="5">
        <f>_xlfn.XLOOKUP(CustomerCombined[[#This Row],[ID]], Table4[ID], Table4[Seafood], "Not Found", 0)</f>
        <v>373</v>
      </c>
      <c r="O1085" s="5">
        <f>_xlfn.XLOOKUP(CustomerCombined[[#This Row],[ID]], Table4[ID], Table4[Sweets], "Not Found", 0)</f>
        <v>204</v>
      </c>
      <c r="P1085" s="5">
        <f>_xlfn.XLOOKUP(CustomerCombined[[#This Row],[ID]], Table4[ID], Table4[Premium], "Not Found", 0)</f>
        <v>286</v>
      </c>
      <c r="Q1085" s="5">
        <f>_xlfn.XLOOKUP(CustomerCombined[[#This Row],[ID]], Table4[ID], Table4[Regular], "Not Found", 0)</f>
        <v>3904</v>
      </c>
      <c r="R1085" s="5">
        <f>_xlfn.XLOOKUP(CustomerCombined[[#This Row],[ID]], Table4[ID], Table4[Deals], "Not Found", 0)</f>
        <v>1</v>
      </c>
      <c r="S1085" s="5">
        <f>_xlfn.XLOOKUP(CustomerCombined[[#This Row],[ID]], Table4[ID], Table4[Website], "Not Found", 0)</f>
        <v>3</v>
      </c>
      <c r="T1085" s="5">
        <f>_xlfn.XLOOKUP(CustomerCombined[[#This Row],[ID]], Table4[ID], Table4[Catalog], "Not Found", 0)</f>
        <v>2</v>
      </c>
      <c r="U1085" s="5">
        <f>_xlfn.XLOOKUP(CustomerCombined[[#This Row],[ID]], Table4[ID], Table4[Store], "Not Found", 0)</f>
        <v>13</v>
      </c>
      <c r="V1085" s="5">
        <f>_xlfn.XLOOKUP(CustomerCombined[[#This Row],[ID]], Table4[ID], Table4[Visits], "Not Found", 0)</f>
        <v>1</v>
      </c>
      <c r="W1085" s="8">
        <f>_xlfn.XLOOKUP(CustomerCombined[[#This Row],[ID]], Table2[ID],Table2[Complaint], "Not Found", 0 )</f>
        <v>0</v>
      </c>
      <c r="X1085" s="8">
        <f>_xlfn.XLOOKUP(CustomerCombined[[#This Row],[ID]], Table2[ID],Table2[Pilot], "Not Found", 0 )</f>
        <v>0</v>
      </c>
      <c r="Y1085" s="8">
        <f>_xlfn.XLOOKUP(CustomerCombined[[#This Row],[ID]], Table2[ID],Table2[MC1], "Not Found", 0 )</f>
        <v>0</v>
      </c>
      <c r="Z1085" s="8">
        <f>_xlfn.XLOOKUP(CustomerCombined[[#This Row],[ID]], Table2[ID],Table2[MC2], "Not Found", 0 )</f>
        <v>0</v>
      </c>
      <c r="AA1085" s="8">
        <f>_xlfn.XLOOKUP(CustomerCombined[[#This Row],[ID]], Table2[ID],Table2[MC3], "Not Found", 0 )</f>
        <v>0</v>
      </c>
      <c r="AB1085" s="8">
        <f>_xlfn.XLOOKUP(CustomerCombined[[#This Row],[ID]], Table2[ID],Table2[MC4], "Not Found", 0 )</f>
        <v>0</v>
      </c>
      <c r="AC1085" s="8">
        <f>_xlfn.XLOOKUP(CustomerCombined[[#This Row],[ID]], Table2[ID],Table2[MC5], "Not Found", 0 )</f>
        <v>0</v>
      </c>
    </row>
    <row r="1086" spans="1:29" x14ac:dyDescent="0.3">
      <c r="A1086" s="6">
        <v>1826</v>
      </c>
      <c r="B1086" s="6">
        <v>181205</v>
      </c>
      <c r="C1086" s="6">
        <v>0</v>
      </c>
      <c r="D1086" s="6">
        <v>0</v>
      </c>
      <c r="E1086" s="6">
        <v>50</v>
      </c>
      <c r="F1086" s="5" t="s">
        <v>8</v>
      </c>
      <c r="G1086" s="5" t="s">
        <v>11</v>
      </c>
      <c r="H1086" s="3" t="s">
        <v>117</v>
      </c>
      <c r="I1086" s="5" t="s">
        <v>438</v>
      </c>
      <c r="J1086" s="5">
        <f>_xlfn.XLOOKUP(CustomerCombined[[#This Row],[ID]], Table4[ID], Table4[Recency], "Not Found", 0)</f>
        <v>43</v>
      </c>
      <c r="K1086" s="5">
        <f>_xlfn.XLOOKUP(CustomerCombined[[#This Row],[ID]], Table4[ID], Table4[Teas], "Not Found", 0)</f>
        <v>1616</v>
      </c>
      <c r="L1086" s="5">
        <f>_xlfn.XLOOKUP(CustomerCombined[[#This Row],[ID]], Table4[ID], Table4[Fruits], "Not Found", 0)</f>
        <v>165</v>
      </c>
      <c r="M1086" s="5">
        <f>_xlfn.XLOOKUP(CustomerCombined[[#This Row],[ID]], Table4[ID], Table4[Meats], "Not Found", 0)</f>
        <v>2073</v>
      </c>
      <c r="N1086" s="5">
        <f>_xlfn.XLOOKUP(CustomerCombined[[#This Row],[ID]], Table4[ID], Table4[Seafood], "Not Found", 0)</f>
        <v>216</v>
      </c>
      <c r="O1086" s="5">
        <f>_xlfn.XLOOKUP(CustomerCombined[[#This Row],[ID]], Table4[ID], Table4[Sweets], "Not Found", 0)</f>
        <v>123</v>
      </c>
      <c r="P1086" s="5">
        <f>_xlfn.XLOOKUP(CustomerCombined[[#This Row],[ID]], Table4[ID], Table4[Premium], "Not Found", 0)</f>
        <v>290</v>
      </c>
      <c r="Q1086" s="5">
        <f>_xlfn.XLOOKUP(CustomerCombined[[#This Row],[ID]], Table4[ID], Table4[Regular], "Not Found", 0)</f>
        <v>3903</v>
      </c>
      <c r="R1086" s="5">
        <f>_xlfn.XLOOKUP(CustomerCombined[[#This Row],[ID]], Table4[ID], Table4[Deals], "Not Found", 0)</f>
        <v>1</v>
      </c>
      <c r="S1086" s="5">
        <f>_xlfn.XLOOKUP(CustomerCombined[[#This Row],[ID]], Table4[ID], Table4[Website], "Not Found", 0)</f>
        <v>5</v>
      </c>
      <c r="T1086" s="5">
        <f>_xlfn.XLOOKUP(CustomerCombined[[#This Row],[ID]], Table4[ID], Table4[Catalog], "Not Found", 0)</f>
        <v>6</v>
      </c>
      <c r="U1086" s="5">
        <f>_xlfn.XLOOKUP(CustomerCombined[[#This Row],[ID]], Table4[ID], Table4[Store], "Not Found", 0)</f>
        <v>7</v>
      </c>
      <c r="V1086" s="5">
        <f>_xlfn.XLOOKUP(CustomerCombined[[#This Row],[ID]], Table4[ID], Table4[Visits], "Not Found", 0)</f>
        <v>2</v>
      </c>
      <c r="W1086" s="8">
        <f>_xlfn.XLOOKUP(CustomerCombined[[#This Row],[ID]], Table2[ID],Table2[Complaint], "Not Found", 0 )</f>
        <v>0</v>
      </c>
      <c r="X1086" s="8">
        <f>_xlfn.XLOOKUP(CustomerCombined[[#This Row],[ID]], Table2[ID],Table2[Pilot], "Not Found", 0 )</f>
        <v>1</v>
      </c>
      <c r="Y1086" s="8">
        <f>_xlfn.XLOOKUP(CustomerCombined[[#This Row],[ID]], Table2[ID],Table2[MC1], "Not Found", 0 )</f>
        <v>0</v>
      </c>
      <c r="Z1086" s="8">
        <f>_xlfn.XLOOKUP(CustomerCombined[[#This Row],[ID]], Table2[ID],Table2[MC2], "Not Found", 0 )</f>
        <v>1</v>
      </c>
      <c r="AA1086" s="8">
        <f>_xlfn.XLOOKUP(CustomerCombined[[#This Row],[ID]], Table2[ID],Table2[MC3], "Not Found", 0 )</f>
        <v>1</v>
      </c>
      <c r="AB1086" s="8">
        <f>_xlfn.XLOOKUP(CustomerCombined[[#This Row],[ID]], Table2[ID],Table2[MC4], "Not Found", 0 )</f>
        <v>0</v>
      </c>
      <c r="AC1086" s="8">
        <f>_xlfn.XLOOKUP(CustomerCombined[[#This Row],[ID]], Table2[ID],Table2[MC5], "Not Found", 0 )</f>
        <v>1</v>
      </c>
    </row>
    <row r="1087" spans="1:29" x14ac:dyDescent="0.3">
      <c r="A1087" s="6">
        <v>2811</v>
      </c>
      <c r="B1087" s="6">
        <v>180336</v>
      </c>
      <c r="C1087" s="6">
        <v>0</v>
      </c>
      <c r="D1087" s="6">
        <v>0</v>
      </c>
      <c r="E1087" s="6">
        <v>50</v>
      </c>
      <c r="F1087" s="5" t="s">
        <v>6</v>
      </c>
      <c r="G1087" s="5" t="s">
        <v>13</v>
      </c>
      <c r="H1087" s="3" t="s">
        <v>190</v>
      </c>
      <c r="I1087" s="5" t="s">
        <v>435</v>
      </c>
      <c r="J1087" s="5">
        <f>_xlfn.XLOOKUP(CustomerCombined[[#This Row],[ID]], Table4[ID], Table4[Recency], "Not Found", 0)</f>
        <v>12</v>
      </c>
      <c r="K1087" s="5">
        <f>_xlfn.XLOOKUP(CustomerCombined[[#This Row],[ID]], Table4[ID], Table4[Teas], "Not Found", 0)</f>
        <v>469</v>
      </c>
      <c r="L1087" s="5">
        <f>_xlfn.XLOOKUP(CustomerCombined[[#This Row],[ID]], Table4[ID], Table4[Fruits], "Not Found", 0)</f>
        <v>43</v>
      </c>
      <c r="M1087" s="5">
        <f>_xlfn.XLOOKUP(CustomerCombined[[#This Row],[ID]], Table4[ID], Table4[Meats], "Not Found", 0)</f>
        <v>1024</v>
      </c>
      <c r="N1087" s="5">
        <f>_xlfn.XLOOKUP(CustomerCombined[[#This Row],[ID]], Table4[ID], Table4[Seafood], "Not Found", 0)</f>
        <v>359</v>
      </c>
      <c r="O1087" s="5">
        <f>_xlfn.XLOOKUP(CustomerCombined[[#This Row],[ID]], Table4[ID], Table4[Sweets], "Not Found", 0)</f>
        <v>319</v>
      </c>
      <c r="P1087" s="5">
        <f>_xlfn.XLOOKUP(CustomerCombined[[#This Row],[ID]], Table4[ID], Table4[Premium], "Not Found", 0)</f>
        <v>148</v>
      </c>
      <c r="Q1087" s="5">
        <f>_xlfn.XLOOKUP(CustomerCombined[[#This Row],[ID]], Table4[ID], Table4[Regular], "Not Found", 0)</f>
        <v>2065</v>
      </c>
      <c r="R1087" s="5">
        <f>_xlfn.XLOOKUP(CustomerCombined[[#This Row],[ID]], Table4[ID], Table4[Deals], "Not Found", 0)</f>
        <v>1</v>
      </c>
      <c r="S1087" s="5">
        <f>_xlfn.XLOOKUP(CustomerCombined[[#This Row],[ID]], Table4[ID], Table4[Website], "Not Found", 0)</f>
        <v>2</v>
      </c>
      <c r="T1087" s="5">
        <f>_xlfn.XLOOKUP(CustomerCombined[[#This Row],[ID]], Table4[ID], Table4[Catalog], "Not Found", 0)</f>
        <v>9</v>
      </c>
      <c r="U1087" s="5">
        <f>_xlfn.XLOOKUP(CustomerCombined[[#This Row],[ID]], Table4[ID], Table4[Store], "Not Found", 0)</f>
        <v>13</v>
      </c>
      <c r="V1087" s="5">
        <f>_xlfn.XLOOKUP(CustomerCombined[[#This Row],[ID]], Table4[ID], Table4[Visits], "Not Found", 0)</f>
        <v>1</v>
      </c>
      <c r="W1087" s="8">
        <f>_xlfn.XLOOKUP(CustomerCombined[[#This Row],[ID]], Table2[ID],Table2[Complaint], "Not Found", 0 )</f>
        <v>0</v>
      </c>
      <c r="X1087" s="8">
        <f>_xlfn.XLOOKUP(CustomerCombined[[#This Row],[ID]], Table2[ID],Table2[Pilot], "Not Found", 0 )</f>
        <v>0</v>
      </c>
      <c r="Y1087" s="8">
        <f>_xlfn.XLOOKUP(CustomerCombined[[#This Row],[ID]], Table2[ID],Table2[MC1], "Not Found", 0 )</f>
        <v>0</v>
      </c>
      <c r="Z1087" s="8">
        <f>_xlfn.XLOOKUP(CustomerCombined[[#This Row],[ID]], Table2[ID],Table2[MC2], "Not Found", 0 )</f>
        <v>0</v>
      </c>
      <c r="AA1087" s="8">
        <f>_xlfn.XLOOKUP(CustomerCombined[[#This Row],[ID]], Table2[ID],Table2[MC3], "Not Found", 0 )</f>
        <v>0</v>
      </c>
      <c r="AB1087" s="8">
        <f>_xlfn.XLOOKUP(CustomerCombined[[#This Row],[ID]], Table2[ID],Table2[MC4], "Not Found", 0 )</f>
        <v>0</v>
      </c>
      <c r="AC1087" s="8">
        <f>_xlfn.XLOOKUP(CustomerCombined[[#This Row],[ID]], Table2[ID],Table2[MC5], "Not Found", 0 )</f>
        <v>0</v>
      </c>
    </row>
    <row r="1088" spans="1:29" x14ac:dyDescent="0.3">
      <c r="A1088" s="6">
        <v>2462</v>
      </c>
      <c r="B1088" s="6">
        <v>179419</v>
      </c>
      <c r="C1088" s="6">
        <v>0</v>
      </c>
      <c r="D1088" s="6">
        <v>0</v>
      </c>
      <c r="E1088" s="6">
        <v>50</v>
      </c>
      <c r="F1088" s="5" t="s">
        <v>8</v>
      </c>
      <c r="G1088" s="5" t="s">
        <v>12</v>
      </c>
      <c r="H1088" s="3" t="s">
        <v>27</v>
      </c>
      <c r="I1088" s="5" t="s">
        <v>438</v>
      </c>
      <c r="J1088" s="5">
        <f>_xlfn.XLOOKUP(CustomerCombined[[#This Row],[ID]], Table4[ID], Table4[Recency], "Not Found", 0)</f>
        <v>96</v>
      </c>
      <c r="K1088" s="5">
        <f>_xlfn.XLOOKUP(CustomerCombined[[#This Row],[ID]], Table4[ID], Table4[Teas], "Not Found", 0)</f>
        <v>1697</v>
      </c>
      <c r="L1088" s="5">
        <f>_xlfn.XLOOKUP(CustomerCombined[[#This Row],[ID]], Table4[ID], Table4[Fruits], "Not Found", 0)</f>
        <v>287</v>
      </c>
      <c r="M1088" s="5">
        <f>_xlfn.XLOOKUP(CustomerCombined[[#This Row],[ID]], Table4[ID], Table4[Meats], "Not Found", 0)</f>
        <v>1552</v>
      </c>
      <c r="N1088" s="5">
        <f>_xlfn.XLOOKUP(CustomerCombined[[#This Row],[ID]], Table4[ID], Table4[Seafood], "Not Found", 0)</f>
        <v>45</v>
      </c>
      <c r="O1088" s="5">
        <f>_xlfn.XLOOKUP(CustomerCombined[[#This Row],[ID]], Table4[ID], Table4[Sweets], "Not Found", 0)</f>
        <v>34</v>
      </c>
      <c r="P1088" s="5">
        <f>_xlfn.XLOOKUP(CustomerCombined[[#This Row],[ID]], Table4[ID], Table4[Premium], "Not Found", 0)</f>
        <v>70</v>
      </c>
      <c r="Q1088" s="5">
        <f>_xlfn.XLOOKUP(CustomerCombined[[#This Row],[ID]], Table4[ID], Table4[Regular], "Not Found", 0)</f>
        <v>3545</v>
      </c>
      <c r="R1088" s="5">
        <f>_xlfn.XLOOKUP(CustomerCombined[[#This Row],[ID]], Table4[ID], Table4[Deals], "Not Found", 0)</f>
        <v>1</v>
      </c>
      <c r="S1088" s="5">
        <f>_xlfn.XLOOKUP(CustomerCombined[[#This Row],[ID]], Table4[ID], Table4[Website], "Not Found", 0)</f>
        <v>4</v>
      </c>
      <c r="T1088" s="5">
        <f>_xlfn.XLOOKUP(CustomerCombined[[#This Row],[ID]], Table4[ID], Table4[Catalog], "Not Found", 0)</f>
        <v>6</v>
      </c>
      <c r="U1088" s="5">
        <f>_xlfn.XLOOKUP(CustomerCombined[[#This Row],[ID]], Table4[ID], Table4[Store], "Not Found", 0)</f>
        <v>4</v>
      </c>
      <c r="V1088" s="5">
        <f>_xlfn.XLOOKUP(CustomerCombined[[#This Row],[ID]], Table4[ID], Table4[Visits], "Not Found", 0)</f>
        <v>2</v>
      </c>
      <c r="W1088" s="8">
        <f>_xlfn.XLOOKUP(CustomerCombined[[#This Row],[ID]], Table2[ID],Table2[Complaint], "Not Found", 0 )</f>
        <v>0</v>
      </c>
      <c r="X1088" s="8">
        <f>_xlfn.XLOOKUP(CustomerCombined[[#This Row],[ID]], Table2[ID],Table2[Pilot], "Not Found", 0 )</f>
        <v>0</v>
      </c>
      <c r="Y1088" s="8">
        <f>_xlfn.XLOOKUP(CustomerCombined[[#This Row],[ID]], Table2[ID],Table2[MC1], "Not Found", 0 )</f>
        <v>0</v>
      </c>
      <c r="Z1088" s="8">
        <f>_xlfn.XLOOKUP(CustomerCombined[[#This Row],[ID]], Table2[ID],Table2[MC2], "Not Found", 0 )</f>
        <v>0</v>
      </c>
      <c r="AA1088" s="8">
        <f>_xlfn.XLOOKUP(CustomerCombined[[#This Row],[ID]], Table2[ID],Table2[MC3], "Not Found", 0 )</f>
        <v>0</v>
      </c>
      <c r="AB1088" s="8">
        <f>_xlfn.XLOOKUP(CustomerCombined[[#This Row],[ID]], Table2[ID],Table2[MC4], "Not Found", 0 )</f>
        <v>0</v>
      </c>
      <c r="AC1088" s="8">
        <f>_xlfn.XLOOKUP(CustomerCombined[[#This Row],[ID]], Table2[ID],Table2[MC5], "Not Found", 0 )</f>
        <v>0</v>
      </c>
    </row>
    <row r="1089" spans="1:29" x14ac:dyDescent="0.3">
      <c r="A1089" s="6">
        <v>2171</v>
      </c>
      <c r="B1089" s="6">
        <v>178579</v>
      </c>
      <c r="C1089" s="6">
        <v>0</v>
      </c>
      <c r="D1089" s="6">
        <v>0</v>
      </c>
      <c r="E1089" s="6">
        <v>50</v>
      </c>
      <c r="F1089" s="5" t="s">
        <v>5</v>
      </c>
      <c r="G1089" s="5" t="s">
        <v>12</v>
      </c>
      <c r="H1089" s="3" t="s">
        <v>337</v>
      </c>
      <c r="I1089" s="5" t="s">
        <v>434</v>
      </c>
      <c r="J1089" s="5">
        <f>_xlfn.XLOOKUP(CustomerCombined[[#This Row],[ID]], Table4[ID], Table4[Recency], "Not Found", 0)</f>
        <v>35</v>
      </c>
      <c r="K1089" s="5">
        <f>_xlfn.XLOOKUP(CustomerCombined[[#This Row],[ID]], Table4[ID], Table4[Teas], "Not Found", 0)</f>
        <v>1854</v>
      </c>
      <c r="L1089" s="5">
        <f>_xlfn.XLOOKUP(CustomerCombined[[#This Row],[ID]], Table4[ID], Table4[Fruits], "Not Found", 0)</f>
        <v>150</v>
      </c>
      <c r="M1089" s="5">
        <f>_xlfn.XLOOKUP(CustomerCombined[[#This Row],[ID]], Table4[ID], Table4[Meats], "Not Found", 0)</f>
        <v>1248</v>
      </c>
      <c r="N1089" s="5">
        <f>_xlfn.XLOOKUP(CustomerCombined[[#This Row],[ID]], Table4[ID], Table4[Seafood], "Not Found", 0)</f>
        <v>491</v>
      </c>
      <c r="O1089" s="5">
        <f>_xlfn.XLOOKUP(CustomerCombined[[#This Row],[ID]], Table4[ID], Table4[Sweets], "Not Found", 0)</f>
        <v>150</v>
      </c>
      <c r="P1089" s="5">
        <f>_xlfn.XLOOKUP(CustomerCombined[[#This Row],[ID]], Table4[ID], Table4[Premium], "Not Found", 0)</f>
        <v>225</v>
      </c>
      <c r="Q1089" s="5">
        <f>_xlfn.XLOOKUP(CustomerCombined[[#This Row],[ID]], Table4[ID], Table4[Regular], "Not Found", 0)</f>
        <v>3668</v>
      </c>
      <c r="R1089" s="5">
        <f>_xlfn.XLOOKUP(CustomerCombined[[#This Row],[ID]], Table4[ID], Table4[Deals], "Not Found", 0)</f>
        <v>1</v>
      </c>
      <c r="S1089" s="5">
        <f>_xlfn.XLOOKUP(CustomerCombined[[#This Row],[ID]], Table4[ID], Table4[Website], "Not Found", 0)</f>
        <v>5</v>
      </c>
      <c r="T1089" s="5">
        <f>_xlfn.XLOOKUP(CustomerCombined[[#This Row],[ID]], Table4[ID], Table4[Catalog], "Not Found", 0)</f>
        <v>6</v>
      </c>
      <c r="U1089" s="5">
        <f>_xlfn.XLOOKUP(CustomerCombined[[#This Row],[ID]], Table4[ID], Table4[Store], "Not Found", 0)</f>
        <v>4</v>
      </c>
      <c r="V1089" s="5">
        <f>_xlfn.XLOOKUP(CustomerCombined[[#This Row],[ID]], Table4[ID], Table4[Visits], "Not Found", 0)</f>
        <v>3</v>
      </c>
      <c r="W1089" s="8">
        <f>_xlfn.XLOOKUP(CustomerCombined[[#This Row],[ID]], Table2[ID],Table2[Complaint], "Not Found", 0 )</f>
        <v>0</v>
      </c>
      <c r="X1089" s="8">
        <f>_xlfn.XLOOKUP(CustomerCombined[[#This Row],[ID]], Table2[ID],Table2[Pilot], "Not Found", 0 )</f>
        <v>1</v>
      </c>
      <c r="Y1089" s="8">
        <f>_xlfn.XLOOKUP(CustomerCombined[[#This Row],[ID]], Table2[ID],Table2[MC1], "Not Found", 0 )</f>
        <v>0</v>
      </c>
      <c r="Z1089" s="8">
        <f>_xlfn.XLOOKUP(CustomerCombined[[#This Row],[ID]], Table2[ID],Table2[MC2], "Not Found", 0 )</f>
        <v>0</v>
      </c>
      <c r="AA1089" s="8">
        <f>_xlfn.XLOOKUP(CustomerCombined[[#This Row],[ID]], Table2[ID],Table2[MC3], "Not Found", 0 )</f>
        <v>0</v>
      </c>
      <c r="AB1089" s="8">
        <f>_xlfn.XLOOKUP(CustomerCombined[[#This Row],[ID]], Table2[ID],Table2[MC4], "Not Found", 0 )</f>
        <v>0</v>
      </c>
      <c r="AC1089" s="8">
        <f>_xlfn.XLOOKUP(CustomerCombined[[#This Row],[ID]], Table2[ID],Table2[MC5], "Not Found", 0 )</f>
        <v>0</v>
      </c>
    </row>
    <row r="1090" spans="1:29" x14ac:dyDescent="0.3">
      <c r="A1090" s="6">
        <v>1210</v>
      </c>
      <c r="B1090" s="6">
        <v>177622</v>
      </c>
      <c r="C1090" s="6">
        <v>0</v>
      </c>
      <c r="D1090" s="6">
        <v>2</v>
      </c>
      <c r="E1090" s="6">
        <v>50</v>
      </c>
      <c r="F1090" s="5" t="s">
        <v>8</v>
      </c>
      <c r="G1090" s="5" t="s">
        <v>13</v>
      </c>
      <c r="H1090" s="3" t="s">
        <v>68</v>
      </c>
      <c r="I1090" s="5" t="s">
        <v>439</v>
      </c>
      <c r="J1090" s="5">
        <f>_xlfn.XLOOKUP(CustomerCombined[[#This Row],[ID]], Table4[ID], Table4[Recency], "Not Found", 0)</f>
        <v>3</v>
      </c>
      <c r="K1090" s="5">
        <f>_xlfn.XLOOKUP(CustomerCombined[[#This Row],[ID]], Table4[ID], Table4[Teas], "Not Found", 0)</f>
        <v>1190</v>
      </c>
      <c r="L1090" s="5">
        <f>_xlfn.XLOOKUP(CustomerCombined[[#This Row],[ID]], Table4[ID], Table4[Fruits], "Not Found", 0)</f>
        <v>16</v>
      </c>
      <c r="M1090" s="5">
        <f>_xlfn.XLOOKUP(CustomerCombined[[#This Row],[ID]], Table4[ID], Table4[Meats], "Not Found", 0)</f>
        <v>352</v>
      </c>
      <c r="N1090" s="5">
        <f>_xlfn.XLOOKUP(CustomerCombined[[#This Row],[ID]], Table4[ID], Table4[Seafood], "Not Found", 0)</f>
        <v>43</v>
      </c>
      <c r="O1090" s="5">
        <f>_xlfn.XLOOKUP(CustomerCombined[[#This Row],[ID]], Table4[ID], Table4[Sweets], "Not Found", 0)</f>
        <v>0</v>
      </c>
      <c r="P1090" s="5">
        <f>_xlfn.XLOOKUP(CustomerCombined[[#This Row],[ID]], Table4[ID], Table4[Premium], "Not Found", 0)</f>
        <v>32</v>
      </c>
      <c r="Q1090" s="5">
        <f>_xlfn.XLOOKUP(CustomerCombined[[#This Row],[ID]], Table4[ID], Table4[Regular], "Not Found", 0)</f>
        <v>1570</v>
      </c>
      <c r="R1090" s="5">
        <f>_xlfn.XLOOKUP(CustomerCombined[[#This Row],[ID]], Table4[ID], Table4[Deals], "Not Found", 0)</f>
        <v>2</v>
      </c>
      <c r="S1090" s="5">
        <f>_xlfn.XLOOKUP(CustomerCombined[[#This Row],[ID]], Table4[ID], Table4[Website], "Not Found", 0)</f>
        <v>6</v>
      </c>
      <c r="T1090" s="5">
        <f>_xlfn.XLOOKUP(CustomerCombined[[#This Row],[ID]], Table4[ID], Table4[Catalog], "Not Found", 0)</f>
        <v>3</v>
      </c>
      <c r="U1090" s="5">
        <f>_xlfn.XLOOKUP(CustomerCombined[[#This Row],[ID]], Table4[ID], Table4[Store], "Not Found", 0)</f>
        <v>11</v>
      </c>
      <c r="V1090" s="5">
        <f>_xlfn.XLOOKUP(CustomerCombined[[#This Row],[ID]], Table4[ID], Table4[Visits], "Not Found", 0)</f>
        <v>3</v>
      </c>
      <c r="W1090" s="8">
        <f>_xlfn.XLOOKUP(CustomerCombined[[#This Row],[ID]], Table2[ID],Table2[Complaint], "Not Found", 0 )</f>
        <v>0</v>
      </c>
      <c r="X1090" s="8">
        <f>_xlfn.XLOOKUP(CustomerCombined[[#This Row],[ID]], Table2[ID],Table2[Pilot], "Not Found", 0 )</f>
        <v>0</v>
      </c>
      <c r="Y1090" s="8">
        <f>_xlfn.XLOOKUP(CustomerCombined[[#This Row],[ID]], Table2[ID],Table2[MC1], "Not Found", 0 )</f>
        <v>0</v>
      </c>
      <c r="Z1090" s="8">
        <f>_xlfn.XLOOKUP(CustomerCombined[[#This Row],[ID]], Table2[ID],Table2[MC2], "Not Found", 0 )</f>
        <v>0</v>
      </c>
      <c r="AA1090" s="8">
        <f>_xlfn.XLOOKUP(CustomerCombined[[#This Row],[ID]], Table2[ID],Table2[MC3], "Not Found", 0 )</f>
        <v>0</v>
      </c>
      <c r="AB1090" s="8">
        <f>_xlfn.XLOOKUP(CustomerCombined[[#This Row],[ID]], Table2[ID],Table2[MC4], "Not Found", 0 )</f>
        <v>0</v>
      </c>
      <c r="AC1090" s="8">
        <f>_xlfn.XLOOKUP(CustomerCombined[[#This Row],[ID]], Table2[ID],Table2[MC5], "Not Found", 0 )</f>
        <v>0</v>
      </c>
    </row>
    <row r="1091" spans="1:29" x14ac:dyDescent="0.3">
      <c r="A1091" s="6">
        <v>3023</v>
      </c>
      <c r="B1091" s="6">
        <v>176467</v>
      </c>
      <c r="C1091" s="6">
        <v>1</v>
      </c>
      <c r="D1091" s="6">
        <v>0</v>
      </c>
      <c r="E1091" s="6">
        <v>50</v>
      </c>
      <c r="F1091" s="5" t="s">
        <v>7</v>
      </c>
      <c r="G1091" s="5" t="s">
        <v>11</v>
      </c>
      <c r="H1091" s="3" t="s">
        <v>411</v>
      </c>
      <c r="I1091" s="5" t="s">
        <v>434</v>
      </c>
      <c r="J1091" s="5">
        <f>_xlfn.XLOOKUP(CustomerCombined[[#This Row],[ID]], Table4[ID], Table4[Recency], "Not Found", 0)</f>
        <v>44</v>
      </c>
      <c r="K1091" s="5">
        <f>_xlfn.XLOOKUP(CustomerCombined[[#This Row],[ID]], Table4[ID], Table4[Teas], "Not Found", 0)</f>
        <v>1560</v>
      </c>
      <c r="L1091" s="5">
        <f>_xlfn.XLOOKUP(CustomerCombined[[#This Row],[ID]], Table4[ID], Table4[Fruits], "Not Found", 0)</f>
        <v>372</v>
      </c>
      <c r="M1091" s="5">
        <f>_xlfn.XLOOKUP(CustomerCombined[[#This Row],[ID]], Table4[ID], Table4[Meats], "Not Found", 0)</f>
        <v>983</v>
      </c>
      <c r="N1091" s="5">
        <f>_xlfn.XLOOKUP(CustomerCombined[[#This Row],[ID]], Table4[ID], Table4[Seafood], "Not Found", 0)</f>
        <v>485</v>
      </c>
      <c r="O1091" s="5">
        <f>_xlfn.XLOOKUP(CustomerCombined[[#This Row],[ID]], Table4[ID], Table4[Sweets], "Not Found", 0)</f>
        <v>102</v>
      </c>
      <c r="P1091" s="5">
        <f>_xlfn.XLOOKUP(CustomerCombined[[#This Row],[ID]], Table4[ID], Table4[Premium], "Not Found", 0)</f>
        <v>134</v>
      </c>
      <c r="Q1091" s="5">
        <f>_xlfn.XLOOKUP(CustomerCombined[[#This Row],[ID]], Table4[ID], Table4[Regular], "Not Found", 0)</f>
        <v>3367</v>
      </c>
      <c r="R1091" s="5">
        <f>_xlfn.XLOOKUP(CustomerCombined[[#This Row],[ID]], Table4[ID], Table4[Deals], "Not Found", 0)</f>
        <v>2</v>
      </c>
      <c r="S1091" s="5">
        <f>_xlfn.XLOOKUP(CustomerCombined[[#This Row],[ID]], Table4[ID], Table4[Website], "Not Found", 0)</f>
        <v>2</v>
      </c>
      <c r="T1091" s="5">
        <f>_xlfn.XLOOKUP(CustomerCombined[[#This Row],[ID]], Table4[ID], Table4[Catalog], "Not Found", 0)</f>
        <v>5</v>
      </c>
      <c r="U1091" s="5">
        <f>_xlfn.XLOOKUP(CustomerCombined[[#This Row],[ID]], Table4[ID], Table4[Store], "Not Found", 0)</f>
        <v>5</v>
      </c>
      <c r="V1091" s="5">
        <f>_xlfn.XLOOKUP(CustomerCombined[[#This Row],[ID]], Table4[ID], Table4[Visits], "Not Found", 0)</f>
        <v>6</v>
      </c>
      <c r="W1091" s="8">
        <f>_xlfn.XLOOKUP(CustomerCombined[[#This Row],[ID]], Table2[ID],Table2[Complaint], "Not Found", 0 )</f>
        <v>0</v>
      </c>
      <c r="X1091" s="8">
        <f>_xlfn.XLOOKUP(CustomerCombined[[#This Row],[ID]], Table2[ID],Table2[Pilot], "Not Found", 0 )</f>
        <v>1</v>
      </c>
      <c r="Y1091" s="8">
        <f>_xlfn.XLOOKUP(CustomerCombined[[#This Row],[ID]], Table2[ID],Table2[MC1], "Not Found", 0 )</f>
        <v>0</v>
      </c>
      <c r="Z1091" s="8">
        <f>_xlfn.XLOOKUP(CustomerCombined[[#This Row],[ID]], Table2[ID],Table2[MC2], "Not Found", 0 )</f>
        <v>0</v>
      </c>
      <c r="AA1091" s="8">
        <f>_xlfn.XLOOKUP(CustomerCombined[[#This Row],[ID]], Table2[ID],Table2[MC3], "Not Found", 0 )</f>
        <v>0</v>
      </c>
      <c r="AB1091" s="8">
        <f>_xlfn.XLOOKUP(CustomerCombined[[#This Row],[ID]], Table2[ID],Table2[MC4], "Not Found", 0 )</f>
        <v>0</v>
      </c>
      <c r="AC1091" s="8">
        <f>_xlfn.XLOOKUP(CustomerCombined[[#This Row],[ID]], Table2[ID],Table2[MC5], "Not Found", 0 )</f>
        <v>0</v>
      </c>
    </row>
    <row r="1092" spans="1:29" x14ac:dyDescent="0.3">
      <c r="A1092" s="6">
        <v>2065</v>
      </c>
      <c r="B1092" s="6">
        <v>175345</v>
      </c>
      <c r="C1092" s="6">
        <v>0</v>
      </c>
      <c r="D1092" s="6">
        <v>0</v>
      </c>
      <c r="E1092" s="6">
        <v>50</v>
      </c>
      <c r="F1092" s="5" t="s">
        <v>7</v>
      </c>
      <c r="G1092" s="5" t="s">
        <v>12</v>
      </c>
      <c r="H1092" s="3">
        <v>43745</v>
      </c>
      <c r="I1092" s="5" t="s">
        <v>437</v>
      </c>
      <c r="J1092" s="5">
        <f>_xlfn.XLOOKUP(CustomerCombined[[#This Row],[ID]], Table4[ID], Table4[Recency], "Not Found", 0)</f>
        <v>16</v>
      </c>
      <c r="K1092" s="5">
        <f>_xlfn.XLOOKUP(CustomerCombined[[#This Row],[ID]], Table4[ID], Table4[Teas], "Not Found", 0)</f>
        <v>2136</v>
      </c>
      <c r="L1092" s="5">
        <f>_xlfn.XLOOKUP(CustomerCombined[[#This Row],[ID]], Table4[ID], Table4[Fruits], "Not Found", 0)</f>
        <v>133</v>
      </c>
      <c r="M1092" s="5">
        <f>_xlfn.XLOOKUP(CustomerCombined[[#This Row],[ID]], Table4[ID], Table4[Meats], "Not Found", 0)</f>
        <v>1960</v>
      </c>
      <c r="N1092" s="5">
        <f>_xlfn.XLOOKUP(CustomerCombined[[#This Row],[ID]], Table4[ID], Table4[Seafood], "Not Found", 0)</f>
        <v>230</v>
      </c>
      <c r="O1092" s="5">
        <f>_xlfn.XLOOKUP(CustomerCombined[[#This Row],[ID]], Table4[ID], Table4[Sweets], "Not Found", 0)</f>
        <v>88</v>
      </c>
      <c r="P1092" s="5">
        <f>_xlfn.XLOOKUP(CustomerCombined[[#This Row],[ID]], Table4[ID], Table4[Premium], "Not Found", 0)</f>
        <v>310</v>
      </c>
      <c r="Q1092" s="5">
        <f>_xlfn.XLOOKUP(CustomerCombined[[#This Row],[ID]], Table4[ID], Table4[Regular], "Not Found", 0)</f>
        <v>4238</v>
      </c>
      <c r="R1092" s="5">
        <f>_xlfn.XLOOKUP(CustomerCombined[[#This Row],[ID]], Table4[ID], Table4[Deals], "Not Found", 0)</f>
        <v>1</v>
      </c>
      <c r="S1092" s="5">
        <f>_xlfn.XLOOKUP(CustomerCombined[[#This Row],[ID]], Table4[ID], Table4[Website], "Not Found", 0)</f>
        <v>5</v>
      </c>
      <c r="T1092" s="5">
        <f>_xlfn.XLOOKUP(CustomerCombined[[#This Row],[ID]], Table4[ID], Table4[Catalog], "Not Found", 0)</f>
        <v>8</v>
      </c>
      <c r="U1092" s="5">
        <f>_xlfn.XLOOKUP(CustomerCombined[[#This Row],[ID]], Table4[ID], Table4[Store], "Not Found", 0)</f>
        <v>6</v>
      </c>
      <c r="V1092" s="5">
        <f>_xlfn.XLOOKUP(CustomerCombined[[#This Row],[ID]], Table4[ID], Table4[Visits], "Not Found", 0)</f>
        <v>3</v>
      </c>
      <c r="W1092" s="8">
        <f>_xlfn.XLOOKUP(CustomerCombined[[#This Row],[ID]], Table2[ID],Table2[Complaint], "Not Found", 0 )</f>
        <v>0</v>
      </c>
      <c r="X1092" s="8">
        <f>_xlfn.XLOOKUP(CustomerCombined[[#This Row],[ID]], Table2[ID],Table2[Pilot], "Not Found", 0 )</f>
        <v>1</v>
      </c>
      <c r="Y1092" s="8">
        <f>_xlfn.XLOOKUP(CustomerCombined[[#This Row],[ID]], Table2[ID],Table2[MC1], "Not Found", 0 )</f>
        <v>1</v>
      </c>
      <c r="Z1092" s="8">
        <f>_xlfn.XLOOKUP(CustomerCombined[[#This Row],[ID]], Table2[ID],Table2[MC2], "Not Found", 0 )</f>
        <v>0</v>
      </c>
      <c r="AA1092" s="8">
        <f>_xlfn.XLOOKUP(CustomerCombined[[#This Row],[ID]], Table2[ID],Table2[MC3], "Not Found", 0 )</f>
        <v>0</v>
      </c>
      <c r="AB1092" s="8">
        <f>_xlfn.XLOOKUP(CustomerCombined[[#This Row],[ID]], Table2[ID],Table2[MC4], "Not Found", 0 )</f>
        <v>0</v>
      </c>
      <c r="AC1092" s="8">
        <f>_xlfn.XLOOKUP(CustomerCombined[[#This Row],[ID]], Table2[ID],Table2[MC5], "Not Found", 0 )</f>
        <v>0</v>
      </c>
    </row>
    <row r="1093" spans="1:29" x14ac:dyDescent="0.3">
      <c r="A1093" s="6">
        <v>1065</v>
      </c>
      <c r="B1093" s="6">
        <v>174854</v>
      </c>
      <c r="C1093" s="6">
        <v>1</v>
      </c>
      <c r="D1093" s="6">
        <v>2</v>
      </c>
      <c r="E1093" s="6">
        <v>50</v>
      </c>
      <c r="F1093" s="5" t="s">
        <v>8</v>
      </c>
      <c r="G1093" s="5" t="s">
        <v>11</v>
      </c>
      <c r="H1093" s="3" t="s">
        <v>281</v>
      </c>
      <c r="I1093" s="5" t="s">
        <v>435</v>
      </c>
      <c r="J1093" s="5">
        <f>_xlfn.XLOOKUP(CustomerCombined[[#This Row],[ID]], Table4[ID], Table4[Recency], "Not Found", 0)</f>
        <v>90</v>
      </c>
      <c r="K1093" s="5">
        <f>_xlfn.XLOOKUP(CustomerCombined[[#This Row],[ID]], Table4[ID], Table4[Teas], "Not Found", 0)</f>
        <v>2000</v>
      </c>
      <c r="L1093" s="5">
        <f>_xlfn.XLOOKUP(CustomerCombined[[#This Row],[ID]], Table4[ID], Table4[Fruits], "Not Found", 0)</f>
        <v>138</v>
      </c>
      <c r="M1093" s="5">
        <f>_xlfn.XLOOKUP(CustomerCombined[[#This Row],[ID]], Table4[ID], Table4[Meats], "Not Found", 0)</f>
        <v>1138</v>
      </c>
      <c r="N1093" s="5">
        <f>_xlfn.XLOOKUP(CustomerCombined[[#This Row],[ID]], Table4[ID], Table4[Seafood], "Not Found", 0)</f>
        <v>135</v>
      </c>
      <c r="O1093" s="5">
        <f>_xlfn.XLOOKUP(CustomerCombined[[#This Row],[ID]], Table4[ID], Table4[Sweets], "Not Found", 0)</f>
        <v>68</v>
      </c>
      <c r="P1093" s="5">
        <f>_xlfn.XLOOKUP(CustomerCombined[[#This Row],[ID]], Table4[ID], Table4[Premium], "Not Found", 0)</f>
        <v>171</v>
      </c>
      <c r="Q1093" s="5">
        <f>_xlfn.XLOOKUP(CustomerCombined[[#This Row],[ID]], Table4[ID], Table4[Regular], "Not Found", 0)</f>
        <v>3308</v>
      </c>
      <c r="R1093" s="5">
        <f>_xlfn.XLOOKUP(CustomerCombined[[#This Row],[ID]], Table4[ID], Table4[Deals], "Not Found", 0)</f>
        <v>7</v>
      </c>
      <c r="S1093" s="5">
        <f>_xlfn.XLOOKUP(CustomerCombined[[#This Row],[ID]], Table4[ID], Table4[Website], "Not Found", 0)</f>
        <v>2</v>
      </c>
      <c r="T1093" s="5">
        <f>_xlfn.XLOOKUP(CustomerCombined[[#This Row],[ID]], Table4[ID], Table4[Catalog], "Not Found", 0)</f>
        <v>5</v>
      </c>
      <c r="U1093" s="5">
        <f>_xlfn.XLOOKUP(CustomerCombined[[#This Row],[ID]], Table4[ID], Table4[Store], "Not Found", 0)</f>
        <v>5</v>
      </c>
      <c r="V1093" s="5">
        <f>_xlfn.XLOOKUP(CustomerCombined[[#This Row],[ID]], Table4[ID], Table4[Visits], "Not Found", 0)</f>
        <v>5</v>
      </c>
      <c r="W1093" s="8">
        <f>_xlfn.XLOOKUP(CustomerCombined[[#This Row],[ID]], Table2[ID],Table2[Complaint], "Not Found", 0 )</f>
        <v>0</v>
      </c>
      <c r="X1093" s="8">
        <f>_xlfn.XLOOKUP(CustomerCombined[[#This Row],[ID]], Table2[ID],Table2[Pilot], "Not Found", 0 )</f>
        <v>0</v>
      </c>
      <c r="Y1093" s="8">
        <f>_xlfn.XLOOKUP(CustomerCombined[[#This Row],[ID]], Table2[ID],Table2[MC1], "Not Found", 0 )</f>
        <v>0</v>
      </c>
      <c r="Z1093" s="8">
        <f>_xlfn.XLOOKUP(CustomerCombined[[#This Row],[ID]], Table2[ID],Table2[MC2], "Not Found", 0 )</f>
        <v>0</v>
      </c>
      <c r="AA1093" s="8">
        <f>_xlfn.XLOOKUP(CustomerCombined[[#This Row],[ID]], Table2[ID],Table2[MC3], "Not Found", 0 )</f>
        <v>0</v>
      </c>
      <c r="AB1093" s="8">
        <f>_xlfn.XLOOKUP(CustomerCombined[[#This Row],[ID]], Table2[ID],Table2[MC4], "Not Found", 0 )</f>
        <v>0</v>
      </c>
      <c r="AC1093" s="8">
        <f>_xlfn.XLOOKUP(CustomerCombined[[#This Row],[ID]], Table2[ID],Table2[MC5], "Not Found", 0 )</f>
        <v>0</v>
      </c>
    </row>
    <row r="1094" spans="1:29" x14ac:dyDescent="0.3">
      <c r="A1094" s="6">
        <v>3076</v>
      </c>
      <c r="B1094" s="6">
        <v>172967</v>
      </c>
      <c r="C1094" s="6">
        <v>0</v>
      </c>
      <c r="D1094" s="6">
        <v>1</v>
      </c>
      <c r="E1094" s="6">
        <v>50</v>
      </c>
      <c r="F1094" s="5" t="s">
        <v>5</v>
      </c>
      <c r="G1094" s="5" t="s">
        <v>11</v>
      </c>
      <c r="H1094" s="3" t="s">
        <v>344</v>
      </c>
      <c r="I1094" s="5" t="s">
        <v>439</v>
      </c>
      <c r="J1094" s="5">
        <f>_xlfn.XLOOKUP(CustomerCombined[[#This Row],[ID]], Table4[ID], Table4[Recency], "Not Found", 0)</f>
        <v>1</v>
      </c>
      <c r="K1094" s="5">
        <f>_xlfn.XLOOKUP(CustomerCombined[[#This Row],[ID]], Table4[ID], Table4[Teas], "Not Found", 0)</f>
        <v>375</v>
      </c>
      <c r="L1094" s="5">
        <f>_xlfn.XLOOKUP(CustomerCombined[[#This Row],[ID]], Table4[ID], Table4[Fruits], "Not Found", 0)</f>
        <v>83</v>
      </c>
      <c r="M1094" s="5">
        <f>_xlfn.XLOOKUP(CustomerCombined[[#This Row],[ID]], Table4[ID], Table4[Meats], "Not Found", 0)</f>
        <v>424</v>
      </c>
      <c r="N1094" s="5">
        <f>_xlfn.XLOOKUP(CustomerCombined[[#This Row],[ID]], Table4[ID], Table4[Seafood], "Not Found", 0)</f>
        <v>0</v>
      </c>
      <c r="O1094" s="5">
        <f>_xlfn.XLOOKUP(CustomerCombined[[#This Row],[ID]], Table4[ID], Table4[Sweets], "Not Found", 0)</f>
        <v>0</v>
      </c>
      <c r="P1094" s="5">
        <f>_xlfn.XLOOKUP(CustomerCombined[[#This Row],[ID]], Table4[ID], Table4[Premium], "Not Found", 0)</f>
        <v>296</v>
      </c>
      <c r="Q1094" s="5">
        <f>_xlfn.XLOOKUP(CustomerCombined[[#This Row],[ID]], Table4[ID], Table4[Regular], "Not Found", 0)</f>
        <v>586</v>
      </c>
      <c r="R1094" s="5">
        <f>_xlfn.XLOOKUP(CustomerCombined[[#This Row],[ID]], Table4[ID], Table4[Deals], "Not Found", 0)</f>
        <v>2</v>
      </c>
      <c r="S1094" s="5">
        <f>_xlfn.XLOOKUP(CustomerCombined[[#This Row],[ID]], Table4[ID], Table4[Website], "Not Found", 0)</f>
        <v>7</v>
      </c>
      <c r="T1094" s="5">
        <f>_xlfn.XLOOKUP(CustomerCombined[[#This Row],[ID]], Table4[ID], Table4[Catalog], "Not Found", 0)</f>
        <v>2</v>
      </c>
      <c r="U1094" s="5">
        <f>_xlfn.XLOOKUP(CustomerCombined[[#This Row],[ID]], Table4[ID], Table4[Store], "Not Found", 0)</f>
        <v>8</v>
      </c>
      <c r="V1094" s="5">
        <f>_xlfn.XLOOKUP(CustomerCombined[[#This Row],[ID]], Table4[ID], Table4[Visits], "Not Found", 0)</f>
        <v>5</v>
      </c>
      <c r="W1094" s="8">
        <f>_xlfn.XLOOKUP(CustomerCombined[[#This Row],[ID]], Table2[ID],Table2[Complaint], "Not Found", 0 )</f>
        <v>0</v>
      </c>
      <c r="X1094" s="8">
        <f>_xlfn.XLOOKUP(CustomerCombined[[#This Row],[ID]], Table2[ID],Table2[Pilot], "Not Found", 0 )</f>
        <v>1</v>
      </c>
      <c r="Y1094" s="8">
        <f>_xlfn.XLOOKUP(CustomerCombined[[#This Row],[ID]], Table2[ID],Table2[MC1], "Not Found", 0 )</f>
        <v>0</v>
      </c>
      <c r="Z1094" s="8">
        <f>_xlfn.XLOOKUP(CustomerCombined[[#This Row],[ID]], Table2[ID],Table2[MC2], "Not Found", 0 )</f>
        <v>0</v>
      </c>
      <c r="AA1094" s="8">
        <f>_xlfn.XLOOKUP(CustomerCombined[[#This Row],[ID]], Table2[ID],Table2[MC3], "Not Found", 0 )</f>
        <v>1</v>
      </c>
      <c r="AB1094" s="8">
        <f>_xlfn.XLOOKUP(CustomerCombined[[#This Row],[ID]], Table2[ID],Table2[MC4], "Not Found", 0 )</f>
        <v>0</v>
      </c>
      <c r="AC1094" s="8">
        <f>_xlfn.XLOOKUP(CustomerCombined[[#This Row],[ID]], Table2[ID],Table2[MC5], "Not Found", 0 )</f>
        <v>0</v>
      </c>
    </row>
    <row r="1095" spans="1:29" x14ac:dyDescent="0.3">
      <c r="A1095" s="6">
        <v>1255</v>
      </c>
      <c r="B1095" s="6">
        <v>172940</v>
      </c>
      <c r="C1095" s="6">
        <v>0</v>
      </c>
      <c r="D1095" s="6">
        <v>0</v>
      </c>
      <c r="E1095" s="6">
        <v>50</v>
      </c>
      <c r="F1095" s="5" t="s">
        <v>6</v>
      </c>
      <c r="G1095" s="5" t="s">
        <v>11</v>
      </c>
      <c r="H1095" s="3" t="s">
        <v>234</v>
      </c>
      <c r="I1095" s="5" t="s">
        <v>437</v>
      </c>
      <c r="J1095" s="5">
        <f>_xlfn.XLOOKUP(CustomerCombined[[#This Row],[ID]], Table4[ID], Table4[Recency], "Not Found", 0)</f>
        <v>13</v>
      </c>
      <c r="K1095" s="5">
        <f>_xlfn.XLOOKUP(CustomerCombined[[#This Row],[ID]], Table4[ID], Table4[Teas], "Not Found", 0)</f>
        <v>432</v>
      </c>
      <c r="L1095" s="5">
        <f>_xlfn.XLOOKUP(CustomerCombined[[#This Row],[ID]], Table4[ID], Table4[Fruits], "Not Found", 0)</f>
        <v>175</v>
      </c>
      <c r="M1095" s="5">
        <f>_xlfn.XLOOKUP(CustomerCombined[[#This Row],[ID]], Table4[ID], Table4[Meats], "Not Found", 0)</f>
        <v>707</v>
      </c>
      <c r="N1095" s="5">
        <f>_xlfn.XLOOKUP(CustomerCombined[[#This Row],[ID]], Table4[ID], Table4[Seafood], "Not Found", 0)</f>
        <v>384</v>
      </c>
      <c r="O1095" s="5">
        <f>_xlfn.XLOOKUP(CustomerCombined[[#This Row],[ID]], Table4[ID], Table4[Sweets], "Not Found", 0)</f>
        <v>353</v>
      </c>
      <c r="P1095" s="5">
        <f>_xlfn.XLOOKUP(CustomerCombined[[#This Row],[ID]], Table4[ID], Table4[Premium], "Not Found", 0)</f>
        <v>275</v>
      </c>
      <c r="Q1095" s="5">
        <f>_xlfn.XLOOKUP(CustomerCombined[[#This Row],[ID]], Table4[ID], Table4[Regular], "Not Found", 0)</f>
        <v>1776</v>
      </c>
      <c r="R1095" s="5">
        <f>_xlfn.XLOOKUP(CustomerCombined[[#This Row],[ID]], Table4[ID], Table4[Deals], "Not Found", 0)</f>
        <v>1</v>
      </c>
      <c r="S1095" s="5">
        <f>_xlfn.XLOOKUP(CustomerCombined[[#This Row],[ID]], Table4[ID], Table4[Website], "Not Found", 0)</f>
        <v>3</v>
      </c>
      <c r="T1095" s="5">
        <f>_xlfn.XLOOKUP(CustomerCombined[[#This Row],[ID]], Table4[ID], Table4[Catalog], "Not Found", 0)</f>
        <v>3</v>
      </c>
      <c r="U1095" s="5">
        <f>_xlfn.XLOOKUP(CustomerCombined[[#This Row],[ID]], Table4[ID], Table4[Store], "Not Found", 0)</f>
        <v>6</v>
      </c>
      <c r="V1095" s="5">
        <f>_xlfn.XLOOKUP(CustomerCombined[[#This Row],[ID]], Table4[ID], Table4[Visits], "Not Found", 0)</f>
        <v>1</v>
      </c>
      <c r="W1095" s="8">
        <f>_xlfn.XLOOKUP(CustomerCombined[[#This Row],[ID]], Table2[ID],Table2[Complaint], "Not Found", 0 )</f>
        <v>0</v>
      </c>
      <c r="X1095" s="8">
        <f>_xlfn.XLOOKUP(CustomerCombined[[#This Row],[ID]], Table2[ID],Table2[Pilot], "Not Found", 0 )</f>
        <v>0</v>
      </c>
      <c r="Y1095" s="8">
        <f>_xlfn.XLOOKUP(CustomerCombined[[#This Row],[ID]], Table2[ID],Table2[MC1], "Not Found", 0 )</f>
        <v>0</v>
      </c>
      <c r="Z1095" s="8">
        <f>_xlfn.XLOOKUP(CustomerCombined[[#This Row],[ID]], Table2[ID],Table2[MC2], "Not Found", 0 )</f>
        <v>0</v>
      </c>
      <c r="AA1095" s="8">
        <f>_xlfn.XLOOKUP(CustomerCombined[[#This Row],[ID]], Table2[ID],Table2[MC3], "Not Found", 0 )</f>
        <v>0</v>
      </c>
      <c r="AB1095" s="8">
        <f>_xlfn.XLOOKUP(CustomerCombined[[#This Row],[ID]], Table2[ID],Table2[MC4], "Not Found", 0 )</f>
        <v>0</v>
      </c>
      <c r="AC1095" s="8">
        <f>_xlfn.XLOOKUP(CustomerCombined[[#This Row],[ID]], Table2[ID],Table2[MC5], "Not Found", 0 )</f>
        <v>0</v>
      </c>
    </row>
    <row r="1096" spans="1:29" x14ac:dyDescent="0.3">
      <c r="A1096" s="6">
        <v>2902</v>
      </c>
      <c r="B1096" s="6">
        <v>170617</v>
      </c>
      <c r="C1096" s="6">
        <v>0</v>
      </c>
      <c r="D1096" s="6">
        <v>0</v>
      </c>
      <c r="E1096" s="6">
        <v>50</v>
      </c>
      <c r="F1096" s="5" t="s">
        <v>6</v>
      </c>
      <c r="G1096" s="5" t="s">
        <v>11</v>
      </c>
      <c r="H1096" s="3" t="s">
        <v>230</v>
      </c>
      <c r="I1096" s="5" t="s">
        <v>439</v>
      </c>
      <c r="J1096" s="5">
        <f>_xlfn.XLOOKUP(CustomerCombined[[#This Row],[ID]], Table4[ID], Table4[Recency], "Not Found", 0)</f>
        <v>45</v>
      </c>
      <c r="K1096" s="5">
        <f>_xlfn.XLOOKUP(CustomerCombined[[#This Row],[ID]], Table4[ID], Table4[Teas], "Not Found", 0)</f>
        <v>853</v>
      </c>
      <c r="L1096" s="5">
        <f>_xlfn.XLOOKUP(CustomerCombined[[#This Row],[ID]], Table4[ID], Table4[Fruits], "Not Found", 0)</f>
        <v>147</v>
      </c>
      <c r="M1096" s="5">
        <f>_xlfn.XLOOKUP(CustomerCombined[[#This Row],[ID]], Table4[ID], Table4[Meats], "Not Found", 0)</f>
        <v>1819</v>
      </c>
      <c r="N1096" s="5">
        <f>_xlfn.XLOOKUP(CustomerCombined[[#This Row],[ID]], Table4[ID], Table4[Seafood], "Not Found", 0)</f>
        <v>97</v>
      </c>
      <c r="O1096" s="5">
        <f>_xlfn.XLOOKUP(CustomerCombined[[#This Row],[ID]], Table4[ID], Table4[Sweets], "Not Found", 0)</f>
        <v>111</v>
      </c>
      <c r="P1096" s="5">
        <f>_xlfn.XLOOKUP(CustomerCombined[[#This Row],[ID]], Table4[ID], Table4[Premium], "Not Found", 0)</f>
        <v>65</v>
      </c>
      <c r="Q1096" s="5">
        <f>_xlfn.XLOOKUP(CustomerCombined[[#This Row],[ID]], Table4[ID], Table4[Regular], "Not Found", 0)</f>
        <v>2962</v>
      </c>
      <c r="R1096" s="5">
        <f>_xlfn.XLOOKUP(CustomerCombined[[#This Row],[ID]], Table4[ID], Table4[Deals], "Not Found", 0)</f>
        <v>1</v>
      </c>
      <c r="S1096" s="5">
        <f>_xlfn.XLOOKUP(CustomerCombined[[#This Row],[ID]], Table4[ID], Table4[Website], "Not Found", 0)</f>
        <v>3</v>
      </c>
      <c r="T1096" s="5">
        <f>_xlfn.XLOOKUP(CustomerCombined[[#This Row],[ID]], Table4[ID], Table4[Catalog], "Not Found", 0)</f>
        <v>3</v>
      </c>
      <c r="U1096" s="5">
        <f>_xlfn.XLOOKUP(CustomerCombined[[#This Row],[ID]], Table4[ID], Table4[Store], "Not Found", 0)</f>
        <v>7</v>
      </c>
      <c r="V1096" s="5">
        <f>_xlfn.XLOOKUP(CustomerCombined[[#This Row],[ID]], Table4[ID], Table4[Visits], "Not Found", 0)</f>
        <v>2</v>
      </c>
      <c r="W1096" s="8">
        <f>_xlfn.XLOOKUP(CustomerCombined[[#This Row],[ID]], Table2[ID],Table2[Complaint], "Not Found", 0 )</f>
        <v>0</v>
      </c>
      <c r="X1096" s="8">
        <f>_xlfn.XLOOKUP(CustomerCombined[[#This Row],[ID]], Table2[ID],Table2[Pilot], "Not Found", 0 )</f>
        <v>0</v>
      </c>
      <c r="Y1096" s="8">
        <f>_xlfn.XLOOKUP(CustomerCombined[[#This Row],[ID]], Table2[ID],Table2[MC1], "Not Found", 0 )</f>
        <v>0</v>
      </c>
      <c r="Z1096" s="8">
        <f>_xlfn.XLOOKUP(CustomerCombined[[#This Row],[ID]], Table2[ID],Table2[MC2], "Not Found", 0 )</f>
        <v>0</v>
      </c>
      <c r="AA1096" s="8">
        <f>_xlfn.XLOOKUP(CustomerCombined[[#This Row],[ID]], Table2[ID],Table2[MC3], "Not Found", 0 )</f>
        <v>0</v>
      </c>
      <c r="AB1096" s="8">
        <f>_xlfn.XLOOKUP(CustomerCombined[[#This Row],[ID]], Table2[ID],Table2[MC4], "Not Found", 0 )</f>
        <v>0</v>
      </c>
      <c r="AC1096" s="8">
        <f>_xlfn.XLOOKUP(CustomerCombined[[#This Row],[ID]], Table2[ID],Table2[MC5], "Not Found", 0 )</f>
        <v>0</v>
      </c>
    </row>
    <row r="1097" spans="1:29" x14ac:dyDescent="0.3">
      <c r="A1097" s="6">
        <v>1613</v>
      </c>
      <c r="B1097" s="6">
        <v>169084</v>
      </c>
      <c r="C1097" s="6">
        <v>1</v>
      </c>
      <c r="D1097" s="6">
        <v>0</v>
      </c>
      <c r="E1097" s="6">
        <v>50</v>
      </c>
      <c r="F1097" s="5" t="s">
        <v>6</v>
      </c>
      <c r="G1097" s="5" t="s">
        <v>13</v>
      </c>
      <c r="H1097" s="3" t="s">
        <v>146</v>
      </c>
      <c r="I1097" s="5" t="s">
        <v>434</v>
      </c>
      <c r="J1097" s="5">
        <f>_xlfn.XLOOKUP(CustomerCombined[[#This Row],[ID]], Table4[ID], Table4[Recency], "Not Found", 0)</f>
        <v>43</v>
      </c>
      <c r="K1097" s="5">
        <f>_xlfn.XLOOKUP(CustomerCombined[[#This Row],[ID]], Table4[ID], Table4[Teas], "Not Found", 0)</f>
        <v>2891</v>
      </c>
      <c r="L1097" s="5">
        <f>_xlfn.XLOOKUP(CustomerCombined[[#This Row],[ID]], Table4[ID], Table4[Fruits], "Not Found", 0)</f>
        <v>262</v>
      </c>
      <c r="M1097" s="5">
        <f>_xlfn.XLOOKUP(CustomerCombined[[#This Row],[ID]], Table4[ID], Table4[Meats], "Not Found", 0)</f>
        <v>487</v>
      </c>
      <c r="N1097" s="5">
        <f>_xlfn.XLOOKUP(CustomerCombined[[#This Row],[ID]], Table4[ID], Table4[Seafood], "Not Found", 0)</f>
        <v>95</v>
      </c>
      <c r="O1097" s="5">
        <f>_xlfn.XLOOKUP(CustomerCombined[[#This Row],[ID]], Table4[ID], Table4[Sweets], "Not Found", 0)</f>
        <v>73</v>
      </c>
      <c r="P1097" s="5">
        <f>_xlfn.XLOOKUP(CustomerCombined[[#This Row],[ID]], Table4[ID], Table4[Premium], "Not Found", 0)</f>
        <v>73</v>
      </c>
      <c r="Q1097" s="5">
        <f>_xlfn.XLOOKUP(CustomerCombined[[#This Row],[ID]], Table4[ID], Table4[Regular], "Not Found", 0)</f>
        <v>3735</v>
      </c>
      <c r="R1097" s="5">
        <f>_xlfn.XLOOKUP(CustomerCombined[[#This Row],[ID]], Table4[ID], Table4[Deals], "Not Found", 0)</f>
        <v>2</v>
      </c>
      <c r="S1097" s="5">
        <f>_xlfn.XLOOKUP(CustomerCombined[[#This Row],[ID]], Table4[ID], Table4[Website], "Not Found", 0)</f>
        <v>7</v>
      </c>
      <c r="T1097" s="5">
        <f>_xlfn.XLOOKUP(CustomerCombined[[#This Row],[ID]], Table4[ID], Table4[Catalog], "Not Found", 0)</f>
        <v>3</v>
      </c>
      <c r="U1097" s="5">
        <f>_xlfn.XLOOKUP(CustomerCombined[[#This Row],[ID]], Table4[ID], Table4[Store], "Not Found", 0)</f>
        <v>13</v>
      </c>
      <c r="V1097" s="5">
        <f>_xlfn.XLOOKUP(CustomerCombined[[#This Row],[ID]], Table4[ID], Table4[Visits], "Not Found", 0)</f>
        <v>8</v>
      </c>
      <c r="W1097" s="8">
        <f>_xlfn.XLOOKUP(CustomerCombined[[#This Row],[ID]], Table2[ID],Table2[Complaint], "Not Found", 0 )</f>
        <v>0</v>
      </c>
      <c r="X1097" s="8">
        <f>_xlfn.XLOOKUP(CustomerCombined[[#This Row],[ID]], Table2[ID],Table2[Pilot], "Not Found", 0 )</f>
        <v>0</v>
      </c>
      <c r="Y1097" s="8">
        <f>_xlfn.XLOOKUP(CustomerCombined[[#This Row],[ID]], Table2[ID],Table2[MC1], "Not Found", 0 )</f>
        <v>0</v>
      </c>
      <c r="Z1097" s="8">
        <f>_xlfn.XLOOKUP(CustomerCombined[[#This Row],[ID]], Table2[ID],Table2[MC2], "Not Found", 0 )</f>
        <v>0</v>
      </c>
      <c r="AA1097" s="8">
        <f>_xlfn.XLOOKUP(CustomerCombined[[#This Row],[ID]], Table2[ID],Table2[MC3], "Not Found", 0 )</f>
        <v>0</v>
      </c>
      <c r="AB1097" s="8">
        <f>_xlfn.XLOOKUP(CustomerCombined[[#This Row],[ID]], Table2[ID],Table2[MC4], "Not Found", 0 )</f>
        <v>0</v>
      </c>
      <c r="AC1097" s="8">
        <f>_xlfn.XLOOKUP(CustomerCombined[[#This Row],[ID]], Table2[ID],Table2[MC5], "Not Found", 0 )</f>
        <v>0</v>
      </c>
    </row>
    <row r="1098" spans="1:29" x14ac:dyDescent="0.3">
      <c r="A1098" s="6">
        <v>2643</v>
      </c>
      <c r="B1098" s="6">
        <v>169084</v>
      </c>
      <c r="C1098" s="6">
        <v>1</v>
      </c>
      <c r="D1098" s="6">
        <v>0</v>
      </c>
      <c r="E1098" s="6">
        <v>50</v>
      </c>
      <c r="F1098" s="5" t="s">
        <v>6</v>
      </c>
      <c r="G1098" s="5" t="s">
        <v>13</v>
      </c>
      <c r="H1098" s="3" t="s">
        <v>146</v>
      </c>
      <c r="I1098" s="5" t="s">
        <v>435</v>
      </c>
      <c r="J1098" s="5">
        <f>_xlfn.XLOOKUP(CustomerCombined[[#This Row],[ID]], Table4[ID], Table4[Recency], "Not Found", 0)</f>
        <v>43</v>
      </c>
      <c r="K1098" s="5">
        <f>_xlfn.XLOOKUP(CustomerCombined[[#This Row],[ID]], Table4[ID], Table4[Teas], "Not Found", 0)</f>
        <v>2891</v>
      </c>
      <c r="L1098" s="5">
        <f>_xlfn.XLOOKUP(CustomerCombined[[#This Row],[ID]], Table4[ID], Table4[Fruits], "Not Found", 0)</f>
        <v>262</v>
      </c>
      <c r="M1098" s="5">
        <f>_xlfn.XLOOKUP(CustomerCombined[[#This Row],[ID]], Table4[ID], Table4[Meats], "Not Found", 0)</f>
        <v>487</v>
      </c>
      <c r="N1098" s="5">
        <f>_xlfn.XLOOKUP(CustomerCombined[[#This Row],[ID]], Table4[ID], Table4[Seafood], "Not Found", 0)</f>
        <v>95</v>
      </c>
      <c r="O1098" s="5">
        <f>_xlfn.XLOOKUP(CustomerCombined[[#This Row],[ID]], Table4[ID], Table4[Sweets], "Not Found", 0)</f>
        <v>73</v>
      </c>
      <c r="P1098" s="5">
        <f>_xlfn.XLOOKUP(CustomerCombined[[#This Row],[ID]], Table4[ID], Table4[Premium], "Not Found", 0)</f>
        <v>73</v>
      </c>
      <c r="Q1098" s="5">
        <f>_xlfn.XLOOKUP(CustomerCombined[[#This Row],[ID]], Table4[ID], Table4[Regular], "Not Found", 0)</f>
        <v>3735</v>
      </c>
      <c r="R1098" s="5">
        <f>_xlfn.XLOOKUP(CustomerCombined[[#This Row],[ID]], Table4[ID], Table4[Deals], "Not Found", 0)</f>
        <v>2</v>
      </c>
      <c r="S1098" s="5">
        <f>_xlfn.XLOOKUP(CustomerCombined[[#This Row],[ID]], Table4[ID], Table4[Website], "Not Found", 0)</f>
        <v>7</v>
      </c>
      <c r="T1098" s="5">
        <f>_xlfn.XLOOKUP(CustomerCombined[[#This Row],[ID]], Table4[ID], Table4[Catalog], "Not Found", 0)</f>
        <v>3</v>
      </c>
      <c r="U1098" s="5">
        <f>_xlfn.XLOOKUP(CustomerCombined[[#This Row],[ID]], Table4[ID], Table4[Store], "Not Found", 0)</f>
        <v>13</v>
      </c>
      <c r="V1098" s="5">
        <f>_xlfn.XLOOKUP(CustomerCombined[[#This Row],[ID]], Table4[ID], Table4[Visits], "Not Found", 0)</f>
        <v>8</v>
      </c>
      <c r="W1098" s="8">
        <f>_xlfn.XLOOKUP(CustomerCombined[[#This Row],[ID]], Table2[ID],Table2[Complaint], "Not Found", 0 )</f>
        <v>0</v>
      </c>
      <c r="X1098" s="8">
        <f>_xlfn.XLOOKUP(CustomerCombined[[#This Row],[ID]], Table2[ID],Table2[Pilot], "Not Found", 0 )</f>
        <v>0</v>
      </c>
      <c r="Y1098" s="8">
        <f>_xlfn.XLOOKUP(CustomerCombined[[#This Row],[ID]], Table2[ID],Table2[MC1], "Not Found", 0 )</f>
        <v>0</v>
      </c>
      <c r="Z1098" s="8">
        <f>_xlfn.XLOOKUP(CustomerCombined[[#This Row],[ID]], Table2[ID],Table2[MC2], "Not Found", 0 )</f>
        <v>0</v>
      </c>
      <c r="AA1098" s="8">
        <f>_xlfn.XLOOKUP(CustomerCombined[[#This Row],[ID]], Table2[ID],Table2[MC3], "Not Found", 0 )</f>
        <v>0</v>
      </c>
      <c r="AB1098" s="8">
        <f>_xlfn.XLOOKUP(CustomerCombined[[#This Row],[ID]], Table2[ID],Table2[MC4], "Not Found", 0 )</f>
        <v>0</v>
      </c>
      <c r="AC1098" s="8">
        <f>_xlfn.XLOOKUP(CustomerCombined[[#This Row],[ID]], Table2[ID],Table2[MC5], "Not Found", 0 )</f>
        <v>0</v>
      </c>
    </row>
    <row r="1099" spans="1:29" x14ac:dyDescent="0.3">
      <c r="A1099" s="6">
        <v>2649</v>
      </c>
      <c r="B1099" s="6">
        <v>169016</v>
      </c>
      <c r="C1099" s="6">
        <v>0</v>
      </c>
      <c r="D1099" s="6">
        <v>1</v>
      </c>
      <c r="E1099" s="6">
        <v>50</v>
      </c>
      <c r="F1099" s="5" t="s">
        <v>6</v>
      </c>
      <c r="G1099" s="5" t="s">
        <v>11</v>
      </c>
      <c r="H1099" s="3" t="s">
        <v>354</v>
      </c>
      <c r="I1099" s="5" t="s">
        <v>435</v>
      </c>
      <c r="J1099" s="5">
        <f>_xlfn.XLOOKUP(CustomerCombined[[#This Row],[ID]], Table4[ID], Table4[Recency], "Not Found", 0)</f>
        <v>61</v>
      </c>
      <c r="K1099" s="5">
        <f>_xlfn.XLOOKUP(CustomerCombined[[#This Row],[ID]], Table4[ID], Table4[Teas], "Not Found", 0)</f>
        <v>1778</v>
      </c>
      <c r="L1099" s="5">
        <f>_xlfn.XLOOKUP(CustomerCombined[[#This Row],[ID]], Table4[ID], Table4[Fruits], "Not Found", 0)</f>
        <v>130</v>
      </c>
      <c r="M1099" s="5">
        <f>_xlfn.XLOOKUP(CustomerCombined[[#This Row],[ID]], Table4[ID], Table4[Meats], "Not Found", 0)</f>
        <v>889</v>
      </c>
      <c r="N1099" s="5">
        <f>_xlfn.XLOOKUP(CustomerCombined[[#This Row],[ID]], Table4[ID], Table4[Seafood], "Not Found", 0)</f>
        <v>301</v>
      </c>
      <c r="O1099" s="5">
        <f>_xlfn.XLOOKUP(CustomerCombined[[#This Row],[ID]], Table4[ID], Table4[Sweets], "Not Found", 0)</f>
        <v>262</v>
      </c>
      <c r="P1099" s="5">
        <f>_xlfn.XLOOKUP(CustomerCombined[[#This Row],[ID]], Table4[ID], Table4[Premium], "Not Found", 0)</f>
        <v>394</v>
      </c>
      <c r="Q1099" s="5">
        <f>_xlfn.XLOOKUP(CustomerCombined[[#This Row],[ID]], Table4[ID], Table4[Regular], "Not Found", 0)</f>
        <v>2966</v>
      </c>
      <c r="R1099" s="5">
        <f>_xlfn.XLOOKUP(CustomerCombined[[#This Row],[ID]], Table4[ID], Table4[Deals], "Not Found", 0)</f>
        <v>4</v>
      </c>
      <c r="S1099" s="5">
        <f>_xlfn.XLOOKUP(CustomerCombined[[#This Row],[ID]], Table4[ID], Table4[Website], "Not Found", 0)</f>
        <v>8</v>
      </c>
      <c r="T1099" s="5">
        <f>_xlfn.XLOOKUP(CustomerCombined[[#This Row],[ID]], Table4[ID], Table4[Catalog], "Not Found", 0)</f>
        <v>9</v>
      </c>
      <c r="U1099" s="5">
        <f>_xlfn.XLOOKUP(CustomerCombined[[#This Row],[ID]], Table4[ID], Table4[Store], "Not Found", 0)</f>
        <v>13</v>
      </c>
      <c r="V1099" s="5">
        <f>_xlfn.XLOOKUP(CustomerCombined[[#This Row],[ID]], Table4[ID], Table4[Visits], "Not Found", 0)</f>
        <v>5</v>
      </c>
      <c r="W1099" s="8">
        <f>_xlfn.XLOOKUP(CustomerCombined[[#This Row],[ID]], Table2[ID],Table2[Complaint], "Not Found", 0 )</f>
        <v>0</v>
      </c>
      <c r="X1099" s="8">
        <f>_xlfn.XLOOKUP(CustomerCombined[[#This Row],[ID]], Table2[ID],Table2[Pilot], "Not Found", 0 )</f>
        <v>0</v>
      </c>
      <c r="Y1099" s="8">
        <f>_xlfn.XLOOKUP(CustomerCombined[[#This Row],[ID]], Table2[ID],Table2[MC1], "Not Found", 0 )</f>
        <v>0</v>
      </c>
      <c r="Z1099" s="8">
        <f>_xlfn.XLOOKUP(CustomerCombined[[#This Row],[ID]], Table2[ID],Table2[MC2], "Not Found", 0 )</f>
        <v>0</v>
      </c>
      <c r="AA1099" s="8">
        <f>_xlfn.XLOOKUP(CustomerCombined[[#This Row],[ID]], Table2[ID],Table2[MC3], "Not Found", 0 )</f>
        <v>0</v>
      </c>
      <c r="AB1099" s="8">
        <f>_xlfn.XLOOKUP(CustomerCombined[[#This Row],[ID]], Table2[ID],Table2[MC4], "Not Found", 0 )</f>
        <v>0</v>
      </c>
      <c r="AC1099" s="8">
        <f>_xlfn.XLOOKUP(CustomerCombined[[#This Row],[ID]], Table2[ID],Table2[MC5], "Not Found", 0 )</f>
        <v>0</v>
      </c>
    </row>
    <row r="1100" spans="1:29" x14ac:dyDescent="0.3">
      <c r="A1100" s="6">
        <v>1918</v>
      </c>
      <c r="B1100" s="6">
        <v>167536</v>
      </c>
      <c r="C1100" s="6">
        <v>0</v>
      </c>
      <c r="D1100" s="6">
        <v>1</v>
      </c>
      <c r="E1100" s="6">
        <v>50</v>
      </c>
      <c r="F1100" s="5" t="s">
        <v>6</v>
      </c>
      <c r="G1100" s="5" t="s">
        <v>13</v>
      </c>
      <c r="H1100" s="3" t="s">
        <v>249</v>
      </c>
      <c r="I1100" s="5" t="s">
        <v>439</v>
      </c>
      <c r="J1100" s="5">
        <f>_xlfn.XLOOKUP(CustomerCombined[[#This Row],[ID]], Table4[ID], Table4[Recency], "Not Found", 0)</f>
        <v>45</v>
      </c>
      <c r="K1100" s="5">
        <f>_xlfn.XLOOKUP(CustomerCombined[[#This Row],[ID]], Table4[ID], Table4[Teas], "Not Found", 0)</f>
        <v>3108</v>
      </c>
      <c r="L1100" s="5">
        <f>_xlfn.XLOOKUP(CustomerCombined[[#This Row],[ID]], Table4[ID], Table4[Fruits], "Not Found", 0)</f>
        <v>0</v>
      </c>
      <c r="M1100" s="5">
        <f>_xlfn.XLOOKUP(CustomerCombined[[#This Row],[ID]], Table4[ID], Table4[Meats], "Not Found", 0)</f>
        <v>1109</v>
      </c>
      <c r="N1100" s="5">
        <f>_xlfn.XLOOKUP(CustomerCombined[[#This Row],[ID]], Table4[ID], Table4[Seafood], "Not Found", 0)</f>
        <v>57</v>
      </c>
      <c r="O1100" s="5">
        <f>_xlfn.XLOOKUP(CustomerCombined[[#This Row],[ID]], Table4[ID], Table4[Sweets], "Not Found", 0)</f>
        <v>176</v>
      </c>
      <c r="P1100" s="5">
        <f>_xlfn.XLOOKUP(CustomerCombined[[#This Row],[ID]], Table4[ID], Table4[Premium], "Not Found", 0)</f>
        <v>87</v>
      </c>
      <c r="Q1100" s="5">
        <f>_xlfn.XLOOKUP(CustomerCombined[[#This Row],[ID]], Table4[ID], Table4[Regular], "Not Found", 0)</f>
        <v>4364</v>
      </c>
      <c r="R1100" s="5">
        <f>_xlfn.XLOOKUP(CustomerCombined[[#This Row],[ID]], Table4[ID], Table4[Deals], "Not Found", 0)</f>
        <v>3</v>
      </c>
      <c r="S1100" s="5">
        <f>_xlfn.XLOOKUP(CustomerCombined[[#This Row],[ID]], Table4[ID], Table4[Website], "Not Found", 0)</f>
        <v>11</v>
      </c>
      <c r="T1100" s="5">
        <f>_xlfn.XLOOKUP(CustomerCombined[[#This Row],[ID]], Table4[ID], Table4[Catalog], "Not Found", 0)</f>
        <v>5</v>
      </c>
      <c r="U1100" s="5">
        <f>_xlfn.XLOOKUP(CustomerCombined[[#This Row],[ID]], Table4[ID], Table4[Store], "Not Found", 0)</f>
        <v>11</v>
      </c>
      <c r="V1100" s="5">
        <f>_xlfn.XLOOKUP(CustomerCombined[[#This Row],[ID]], Table4[ID], Table4[Visits], "Not Found", 0)</f>
        <v>8</v>
      </c>
      <c r="W1100" s="8">
        <f>_xlfn.XLOOKUP(CustomerCombined[[#This Row],[ID]], Table2[ID],Table2[Complaint], "Not Found", 0 )</f>
        <v>0</v>
      </c>
      <c r="X1100" s="8">
        <f>_xlfn.XLOOKUP(CustomerCombined[[#This Row],[ID]], Table2[ID],Table2[Pilot], "Not Found", 0 )</f>
        <v>0</v>
      </c>
      <c r="Y1100" s="8">
        <f>_xlfn.XLOOKUP(CustomerCombined[[#This Row],[ID]], Table2[ID],Table2[MC1], "Not Found", 0 )</f>
        <v>1</v>
      </c>
      <c r="Z1100" s="8">
        <f>_xlfn.XLOOKUP(CustomerCombined[[#This Row],[ID]], Table2[ID],Table2[MC2], "Not Found", 0 )</f>
        <v>0</v>
      </c>
      <c r="AA1100" s="8">
        <f>_xlfn.XLOOKUP(CustomerCombined[[#This Row],[ID]], Table2[ID],Table2[MC3], "Not Found", 0 )</f>
        <v>0</v>
      </c>
      <c r="AB1100" s="8">
        <f>_xlfn.XLOOKUP(CustomerCombined[[#This Row],[ID]], Table2[ID],Table2[MC4], "Not Found", 0 )</f>
        <v>0</v>
      </c>
      <c r="AC1100" s="8">
        <f>_xlfn.XLOOKUP(CustomerCombined[[#This Row],[ID]], Table2[ID],Table2[MC5], "Not Found", 0 )</f>
        <v>0</v>
      </c>
    </row>
    <row r="1101" spans="1:29" x14ac:dyDescent="0.3">
      <c r="A1101" s="6">
        <v>2445</v>
      </c>
      <c r="B1101" s="6">
        <v>167419</v>
      </c>
      <c r="C1101" s="6">
        <v>0</v>
      </c>
      <c r="D1101" s="6">
        <v>1</v>
      </c>
      <c r="E1101" s="6">
        <v>50</v>
      </c>
      <c r="F1101" s="5" t="s">
        <v>8</v>
      </c>
      <c r="G1101" s="5" t="s">
        <v>11</v>
      </c>
      <c r="H1101" s="3" t="s">
        <v>324</v>
      </c>
      <c r="I1101" s="5" t="s">
        <v>435</v>
      </c>
      <c r="J1101" s="5">
        <f>_xlfn.XLOOKUP(CustomerCombined[[#This Row],[ID]], Table4[ID], Table4[Recency], "Not Found", 0)</f>
        <v>29</v>
      </c>
      <c r="K1101" s="5">
        <f>_xlfn.XLOOKUP(CustomerCombined[[#This Row],[ID]], Table4[ID], Table4[Teas], "Not Found", 0)</f>
        <v>2101</v>
      </c>
      <c r="L1101" s="5">
        <f>_xlfn.XLOOKUP(CustomerCombined[[#This Row],[ID]], Table4[ID], Table4[Fruits], "Not Found", 0)</f>
        <v>209</v>
      </c>
      <c r="M1101" s="5">
        <f>_xlfn.XLOOKUP(CustomerCombined[[#This Row],[ID]], Table4[ID], Table4[Meats], "Not Found", 0)</f>
        <v>874</v>
      </c>
      <c r="N1101" s="5">
        <f>_xlfn.XLOOKUP(CustomerCombined[[#This Row],[ID]], Table4[ID], Table4[Seafood], "Not Found", 0)</f>
        <v>226</v>
      </c>
      <c r="O1101" s="5">
        <f>_xlfn.XLOOKUP(CustomerCombined[[#This Row],[ID]], Table4[ID], Table4[Sweets], "Not Found", 0)</f>
        <v>139</v>
      </c>
      <c r="P1101" s="5">
        <f>_xlfn.XLOOKUP(CustomerCombined[[#This Row],[ID]], Table4[ID], Table4[Premium], "Not Found", 0)</f>
        <v>104</v>
      </c>
      <c r="Q1101" s="5">
        <f>_xlfn.XLOOKUP(CustomerCombined[[#This Row],[ID]], Table4[ID], Table4[Regular], "Not Found", 0)</f>
        <v>3444</v>
      </c>
      <c r="R1101" s="5">
        <f>_xlfn.XLOOKUP(CustomerCombined[[#This Row],[ID]], Table4[ID], Table4[Deals], "Not Found", 0)</f>
        <v>4</v>
      </c>
      <c r="S1101" s="5">
        <f>_xlfn.XLOOKUP(CustomerCombined[[#This Row],[ID]], Table4[ID], Table4[Website], "Not Found", 0)</f>
        <v>9</v>
      </c>
      <c r="T1101" s="5">
        <f>_xlfn.XLOOKUP(CustomerCombined[[#This Row],[ID]], Table4[ID], Table4[Catalog], "Not Found", 0)</f>
        <v>4</v>
      </c>
      <c r="U1101" s="5">
        <f>_xlfn.XLOOKUP(CustomerCombined[[#This Row],[ID]], Table4[ID], Table4[Store], "Not Found", 0)</f>
        <v>8</v>
      </c>
      <c r="V1101" s="5">
        <f>_xlfn.XLOOKUP(CustomerCombined[[#This Row],[ID]], Table4[ID], Table4[Visits], "Not Found", 0)</f>
        <v>5</v>
      </c>
      <c r="W1101" s="8">
        <f>_xlfn.XLOOKUP(CustomerCombined[[#This Row],[ID]], Table2[ID],Table2[Complaint], "Not Found", 0 )</f>
        <v>0</v>
      </c>
      <c r="X1101" s="8">
        <f>_xlfn.XLOOKUP(CustomerCombined[[#This Row],[ID]], Table2[ID],Table2[Pilot], "Not Found", 0 )</f>
        <v>0</v>
      </c>
      <c r="Y1101" s="8">
        <f>_xlfn.XLOOKUP(CustomerCombined[[#This Row],[ID]], Table2[ID],Table2[MC1], "Not Found", 0 )</f>
        <v>0</v>
      </c>
      <c r="Z1101" s="8">
        <f>_xlfn.XLOOKUP(CustomerCombined[[#This Row],[ID]], Table2[ID],Table2[MC2], "Not Found", 0 )</f>
        <v>0</v>
      </c>
      <c r="AA1101" s="8">
        <f>_xlfn.XLOOKUP(CustomerCombined[[#This Row],[ID]], Table2[ID],Table2[MC3], "Not Found", 0 )</f>
        <v>0</v>
      </c>
      <c r="AB1101" s="8">
        <f>_xlfn.XLOOKUP(CustomerCombined[[#This Row],[ID]], Table2[ID],Table2[MC4], "Not Found", 0 )</f>
        <v>0</v>
      </c>
      <c r="AC1101" s="8">
        <f>_xlfn.XLOOKUP(CustomerCombined[[#This Row],[ID]], Table2[ID],Table2[MC5], "Not Found", 0 )</f>
        <v>0</v>
      </c>
    </row>
    <row r="1102" spans="1:29" x14ac:dyDescent="0.3">
      <c r="A1102" s="6">
        <v>2886</v>
      </c>
      <c r="B1102" s="6">
        <v>167384</v>
      </c>
      <c r="C1102" s="6">
        <v>0</v>
      </c>
      <c r="D1102" s="6">
        <v>1</v>
      </c>
      <c r="E1102" s="6">
        <v>50</v>
      </c>
      <c r="F1102" s="5" t="s">
        <v>7</v>
      </c>
      <c r="G1102" s="5" t="s">
        <v>11</v>
      </c>
      <c r="H1102" s="3" t="s">
        <v>365</v>
      </c>
      <c r="I1102" s="5" t="s">
        <v>436</v>
      </c>
      <c r="J1102" s="5">
        <f>_xlfn.XLOOKUP(CustomerCombined[[#This Row],[ID]], Table4[ID], Table4[Recency], "Not Found", 0)</f>
        <v>32</v>
      </c>
      <c r="K1102" s="5">
        <f>_xlfn.XLOOKUP(CustomerCombined[[#This Row],[ID]], Table4[ID], Table4[Teas], "Not Found", 0)</f>
        <v>2377</v>
      </c>
      <c r="L1102" s="5">
        <f>_xlfn.XLOOKUP(CustomerCombined[[#This Row],[ID]], Table4[ID], Table4[Fruits], "Not Found", 0)</f>
        <v>99</v>
      </c>
      <c r="M1102" s="5">
        <f>_xlfn.XLOOKUP(CustomerCombined[[#This Row],[ID]], Table4[ID], Table4[Meats], "Not Found", 0)</f>
        <v>435</v>
      </c>
      <c r="N1102" s="5">
        <f>_xlfn.XLOOKUP(CustomerCombined[[#This Row],[ID]], Table4[ID], Table4[Seafood], "Not Found", 0)</f>
        <v>392</v>
      </c>
      <c r="O1102" s="5">
        <f>_xlfn.XLOOKUP(CustomerCombined[[#This Row],[ID]], Table4[ID], Table4[Sweets], "Not Found", 0)</f>
        <v>132</v>
      </c>
      <c r="P1102" s="5">
        <f>_xlfn.XLOOKUP(CustomerCombined[[#This Row],[ID]], Table4[ID], Table4[Premium], "Not Found", 0)</f>
        <v>266</v>
      </c>
      <c r="Q1102" s="5">
        <f>_xlfn.XLOOKUP(CustomerCombined[[#This Row],[ID]], Table4[ID], Table4[Regular], "Not Found", 0)</f>
        <v>3170</v>
      </c>
      <c r="R1102" s="5">
        <f>_xlfn.XLOOKUP(CustomerCombined[[#This Row],[ID]], Table4[ID], Table4[Deals], "Not Found", 0)</f>
        <v>2</v>
      </c>
      <c r="S1102" s="5">
        <f>_xlfn.XLOOKUP(CustomerCombined[[#This Row],[ID]], Table4[ID], Table4[Website], "Not Found", 0)</f>
        <v>7</v>
      </c>
      <c r="T1102" s="5">
        <f>_xlfn.XLOOKUP(CustomerCombined[[#This Row],[ID]], Table4[ID], Table4[Catalog], "Not Found", 0)</f>
        <v>8</v>
      </c>
      <c r="U1102" s="5">
        <f>_xlfn.XLOOKUP(CustomerCombined[[#This Row],[ID]], Table4[ID], Table4[Store], "Not Found", 0)</f>
        <v>5</v>
      </c>
      <c r="V1102" s="5">
        <f>_xlfn.XLOOKUP(CustomerCombined[[#This Row],[ID]], Table4[ID], Table4[Visits], "Not Found", 0)</f>
        <v>5</v>
      </c>
      <c r="W1102" s="8">
        <f>_xlfn.XLOOKUP(CustomerCombined[[#This Row],[ID]], Table2[ID],Table2[Complaint], "Not Found", 0 )</f>
        <v>0</v>
      </c>
      <c r="X1102" s="8">
        <f>_xlfn.XLOOKUP(CustomerCombined[[#This Row],[ID]], Table2[ID],Table2[Pilot], "Not Found", 0 )</f>
        <v>0</v>
      </c>
      <c r="Y1102" s="8">
        <f>_xlfn.XLOOKUP(CustomerCombined[[#This Row],[ID]], Table2[ID],Table2[MC1], "Not Found", 0 )</f>
        <v>0</v>
      </c>
      <c r="Z1102" s="8">
        <f>_xlfn.XLOOKUP(CustomerCombined[[#This Row],[ID]], Table2[ID],Table2[MC2], "Not Found", 0 )</f>
        <v>0</v>
      </c>
      <c r="AA1102" s="8">
        <f>_xlfn.XLOOKUP(CustomerCombined[[#This Row],[ID]], Table2[ID],Table2[MC3], "Not Found", 0 )</f>
        <v>0</v>
      </c>
      <c r="AB1102" s="8">
        <f>_xlfn.XLOOKUP(CustomerCombined[[#This Row],[ID]], Table2[ID],Table2[MC4], "Not Found", 0 )</f>
        <v>1</v>
      </c>
      <c r="AC1102" s="8">
        <f>_xlfn.XLOOKUP(CustomerCombined[[#This Row],[ID]], Table2[ID],Table2[MC5], "Not Found", 0 )</f>
        <v>0</v>
      </c>
    </row>
    <row r="1103" spans="1:29" x14ac:dyDescent="0.3">
      <c r="A1103" s="6">
        <v>1035</v>
      </c>
      <c r="B1103" s="6">
        <v>167353</v>
      </c>
      <c r="C1103" s="6">
        <v>0</v>
      </c>
      <c r="D1103" s="6">
        <v>1</v>
      </c>
      <c r="E1103" s="6">
        <v>50</v>
      </c>
      <c r="F1103" s="5" t="s">
        <v>6</v>
      </c>
      <c r="G1103" s="5" t="s">
        <v>13</v>
      </c>
      <c r="H1103" s="3">
        <v>43988</v>
      </c>
      <c r="I1103" s="5" t="s">
        <v>435</v>
      </c>
      <c r="J1103" s="5">
        <f>_xlfn.XLOOKUP(CustomerCombined[[#This Row],[ID]], Table4[ID], Table4[Recency], "Not Found", 0)</f>
        <v>37</v>
      </c>
      <c r="K1103" s="5">
        <f>_xlfn.XLOOKUP(CustomerCombined[[#This Row],[ID]], Table4[ID], Table4[Teas], "Not Found", 0)</f>
        <v>1744</v>
      </c>
      <c r="L1103" s="5">
        <f>_xlfn.XLOOKUP(CustomerCombined[[#This Row],[ID]], Table4[ID], Table4[Fruits], "Not Found", 0)</f>
        <v>42</v>
      </c>
      <c r="M1103" s="5">
        <f>_xlfn.XLOOKUP(CustomerCombined[[#This Row],[ID]], Table4[ID], Table4[Meats], "Not Found", 0)</f>
        <v>375</v>
      </c>
      <c r="N1103" s="5">
        <f>_xlfn.XLOOKUP(CustomerCombined[[#This Row],[ID]], Table4[ID], Table4[Seafood], "Not Found", 0)</f>
        <v>0</v>
      </c>
      <c r="O1103" s="5">
        <f>_xlfn.XLOOKUP(CustomerCombined[[#This Row],[ID]], Table4[ID], Table4[Sweets], "Not Found", 0)</f>
        <v>20</v>
      </c>
      <c r="P1103" s="5">
        <f>_xlfn.XLOOKUP(CustomerCombined[[#This Row],[ID]], Table4[ID], Table4[Premium], "Not Found", 0)</f>
        <v>87</v>
      </c>
      <c r="Q1103" s="5">
        <f>_xlfn.XLOOKUP(CustomerCombined[[#This Row],[ID]], Table4[ID], Table4[Regular], "Not Found", 0)</f>
        <v>2095</v>
      </c>
      <c r="R1103" s="5">
        <f>_xlfn.XLOOKUP(CustomerCombined[[#This Row],[ID]], Table4[ID], Table4[Deals], "Not Found", 0)</f>
        <v>5</v>
      </c>
      <c r="S1103" s="5">
        <f>_xlfn.XLOOKUP(CustomerCombined[[#This Row],[ID]], Table4[ID], Table4[Website], "Not Found", 0)</f>
        <v>5</v>
      </c>
      <c r="T1103" s="5">
        <f>_xlfn.XLOOKUP(CustomerCombined[[#This Row],[ID]], Table4[ID], Table4[Catalog], "Not Found", 0)</f>
        <v>6</v>
      </c>
      <c r="U1103" s="5">
        <f>_xlfn.XLOOKUP(CustomerCombined[[#This Row],[ID]], Table4[ID], Table4[Store], "Not Found", 0)</f>
        <v>12</v>
      </c>
      <c r="V1103" s="5">
        <f>_xlfn.XLOOKUP(CustomerCombined[[#This Row],[ID]], Table4[ID], Table4[Visits], "Not Found", 0)</f>
        <v>2</v>
      </c>
      <c r="W1103" s="8">
        <f>_xlfn.XLOOKUP(CustomerCombined[[#This Row],[ID]], Table2[ID],Table2[Complaint], "Not Found", 0 )</f>
        <v>0</v>
      </c>
      <c r="X1103" s="8">
        <f>_xlfn.XLOOKUP(CustomerCombined[[#This Row],[ID]], Table2[ID],Table2[Pilot], "Not Found", 0 )</f>
        <v>0</v>
      </c>
      <c r="Y1103" s="8">
        <f>_xlfn.XLOOKUP(CustomerCombined[[#This Row],[ID]], Table2[ID],Table2[MC1], "Not Found", 0 )</f>
        <v>0</v>
      </c>
      <c r="Z1103" s="8">
        <f>_xlfn.XLOOKUP(CustomerCombined[[#This Row],[ID]], Table2[ID],Table2[MC2], "Not Found", 0 )</f>
        <v>0</v>
      </c>
      <c r="AA1103" s="8">
        <f>_xlfn.XLOOKUP(CustomerCombined[[#This Row],[ID]], Table2[ID],Table2[MC3], "Not Found", 0 )</f>
        <v>0</v>
      </c>
      <c r="AB1103" s="8">
        <f>_xlfn.XLOOKUP(CustomerCombined[[#This Row],[ID]], Table2[ID],Table2[MC4], "Not Found", 0 )</f>
        <v>0</v>
      </c>
      <c r="AC1103" s="8">
        <f>_xlfn.XLOOKUP(CustomerCombined[[#This Row],[ID]], Table2[ID],Table2[MC5], "Not Found", 0 )</f>
        <v>0</v>
      </c>
    </row>
    <row r="1104" spans="1:29" x14ac:dyDescent="0.3">
      <c r="A1104" s="6">
        <v>1654</v>
      </c>
      <c r="B1104" s="6">
        <v>166731</v>
      </c>
      <c r="C1104" s="6">
        <v>0</v>
      </c>
      <c r="D1104" s="6">
        <v>1</v>
      </c>
      <c r="E1104" s="6">
        <v>50</v>
      </c>
      <c r="F1104" s="5" t="s">
        <v>9</v>
      </c>
      <c r="G1104" s="5" t="s">
        <v>11</v>
      </c>
      <c r="H1104" s="3" t="s">
        <v>397</v>
      </c>
      <c r="I1104" s="5" t="s">
        <v>439</v>
      </c>
      <c r="J1104" s="5">
        <f>_xlfn.XLOOKUP(CustomerCombined[[#This Row],[ID]], Table4[ID], Table4[Recency], "Not Found", 0)</f>
        <v>33</v>
      </c>
      <c r="K1104" s="5">
        <f>_xlfn.XLOOKUP(CustomerCombined[[#This Row],[ID]], Table4[ID], Table4[Teas], "Not Found", 0)</f>
        <v>927</v>
      </c>
      <c r="L1104" s="5">
        <f>_xlfn.XLOOKUP(CustomerCombined[[#This Row],[ID]], Table4[ID], Table4[Fruits], "Not Found", 0)</f>
        <v>397</v>
      </c>
      <c r="M1104" s="5">
        <f>_xlfn.XLOOKUP(CustomerCombined[[#This Row],[ID]], Table4[ID], Table4[Meats], "Not Found", 0)</f>
        <v>485</v>
      </c>
      <c r="N1104" s="5">
        <f>_xlfn.XLOOKUP(CustomerCombined[[#This Row],[ID]], Table4[ID], Table4[Seafood], "Not Found", 0)</f>
        <v>145</v>
      </c>
      <c r="O1104" s="5">
        <f>_xlfn.XLOOKUP(CustomerCombined[[#This Row],[ID]], Table4[ID], Table4[Sweets], "Not Found", 0)</f>
        <v>265</v>
      </c>
      <c r="P1104" s="5">
        <f>_xlfn.XLOOKUP(CustomerCombined[[#This Row],[ID]], Table4[ID], Table4[Premium], "Not Found", 0)</f>
        <v>352</v>
      </c>
      <c r="Q1104" s="5">
        <f>_xlfn.XLOOKUP(CustomerCombined[[#This Row],[ID]], Table4[ID], Table4[Regular], "Not Found", 0)</f>
        <v>1866</v>
      </c>
      <c r="R1104" s="5">
        <f>_xlfn.XLOOKUP(CustomerCombined[[#This Row],[ID]], Table4[ID], Table4[Deals], "Not Found", 0)</f>
        <v>4</v>
      </c>
      <c r="S1104" s="5">
        <f>_xlfn.XLOOKUP(CustomerCombined[[#This Row],[ID]], Table4[ID], Table4[Website], "Not Found", 0)</f>
        <v>4</v>
      </c>
      <c r="T1104" s="5">
        <f>_xlfn.XLOOKUP(CustomerCombined[[#This Row],[ID]], Table4[ID], Table4[Catalog], "Not Found", 0)</f>
        <v>3</v>
      </c>
      <c r="U1104" s="5">
        <f>_xlfn.XLOOKUP(CustomerCombined[[#This Row],[ID]], Table4[ID], Table4[Store], "Not Found", 0)</f>
        <v>6</v>
      </c>
      <c r="V1104" s="5">
        <f>_xlfn.XLOOKUP(CustomerCombined[[#This Row],[ID]], Table4[ID], Table4[Visits], "Not Found", 0)</f>
        <v>3</v>
      </c>
      <c r="W1104" s="8">
        <f>_xlfn.XLOOKUP(CustomerCombined[[#This Row],[ID]], Table2[ID],Table2[Complaint], "Not Found", 0 )</f>
        <v>0</v>
      </c>
      <c r="X1104" s="8">
        <f>_xlfn.XLOOKUP(CustomerCombined[[#This Row],[ID]], Table2[ID],Table2[Pilot], "Not Found", 0 )</f>
        <v>0</v>
      </c>
      <c r="Y1104" s="8">
        <f>_xlfn.XLOOKUP(CustomerCombined[[#This Row],[ID]], Table2[ID],Table2[MC1], "Not Found", 0 )</f>
        <v>0</v>
      </c>
      <c r="Z1104" s="8">
        <f>_xlfn.XLOOKUP(CustomerCombined[[#This Row],[ID]], Table2[ID],Table2[MC2], "Not Found", 0 )</f>
        <v>0</v>
      </c>
      <c r="AA1104" s="8">
        <f>_xlfn.XLOOKUP(CustomerCombined[[#This Row],[ID]], Table2[ID],Table2[MC3], "Not Found", 0 )</f>
        <v>0</v>
      </c>
      <c r="AB1104" s="8">
        <f>_xlfn.XLOOKUP(CustomerCombined[[#This Row],[ID]], Table2[ID],Table2[MC4], "Not Found", 0 )</f>
        <v>0</v>
      </c>
      <c r="AC1104" s="8">
        <f>_xlfn.XLOOKUP(CustomerCombined[[#This Row],[ID]], Table2[ID],Table2[MC5], "Not Found", 0 )</f>
        <v>0</v>
      </c>
    </row>
    <row r="1105" spans="1:29" x14ac:dyDescent="0.3">
      <c r="A1105" s="6">
        <v>1796</v>
      </c>
      <c r="B1105" s="6">
        <v>165968</v>
      </c>
      <c r="C1105" s="6">
        <v>0</v>
      </c>
      <c r="D1105" s="6">
        <v>1</v>
      </c>
      <c r="E1105" s="6">
        <v>50</v>
      </c>
      <c r="F1105" s="5" t="s">
        <v>8</v>
      </c>
      <c r="G1105" s="5" t="s">
        <v>13</v>
      </c>
      <c r="H1105" s="3" t="s">
        <v>52</v>
      </c>
      <c r="I1105" s="5" t="s">
        <v>438</v>
      </c>
      <c r="J1105" s="5">
        <f>_xlfn.XLOOKUP(CustomerCombined[[#This Row],[ID]], Table4[ID], Table4[Recency], "Not Found", 0)</f>
        <v>12</v>
      </c>
      <c r="K1105" s="5">
        <f>_xlfn.XLOOKUP(CustomerCombined[[#This Row],[ID]], Table4[ID], Table4[Teas], "Not Found", 0)</f>
        <v>946</v>
      </c>
      <c r="L1105" s="5">
        <f>_xlfn.XLOOKUP(CustomerCombined[[#This Row],[ID]], Table4[ID], Table4[Fruits], "Not Found", 0)</f>
        <v>23</v>
      </c>
      <c r="M1105" s="5">
        <f>_xlfn.XLOOKUP(CustomerCombined[[#This Row],[ID]], Table4[ID], Table4[Meats], "Not Found", 0)</f>
        <v>209</v>
      </c>
      <c r="N1105" s="5">
        <f>_xlfn.XLOOKUP(CustomerCombined[[#This Row],[ID]], Table4[ID], Table4[Seafood], "Not Found", 0)</f>
        <v>48</v>
      </c>
      <c r="O1105" s="5">
        <f>_xlfn.XLOOKUP(CustomerCombined[[#This Row],[ID]], Table4[ID], Table4[Sweets], "Not Found", 0)</f>
        <v>10</v>
      </c>
      <c r="P1105" s="5">
        <f>_xlfn.XLOOKUP(CustomerCombined[[#This Row],[ID]], Table4[ID], Table4[Premium], "Not Found", 0)</f>
        <v>10</v>
      </c>
      <c r="Q1105" s="5">
        <f>_xlfn.XLOOKUP(CustomerCombined[[#This Row],[ID]], Table4[ID], Table4[Regular], "Not Found", 0)</f>
        <v>1225</v>
      </c>
      <c r="R1105" s="5">
        <f>_xlfn.XLOOKUP(CustomerCombined[[#This Row],[ID]], Table4[ID], Table4[Deals], "Not Found", 0)</f>
        <v>2</v>
      </c>
      <c r="S1105" s="5">
        <f>_xlfn.XLOOKUP(CustomerCombined[[#This Row],[ID]], Table4[ID], Table4[Website], "Not Found", 0)</f>
        <v>5</v>
      </c>
      <c r="T1105" s="5">
        <f>_xlfn.XLOOKUP(CustomerCombined[[#This Row],[ID]], Table4[ID], Table4[Catalog], "Not Found", 0)</f>
        <v>4</v>
      </c>
      <c r="U1105" s="5">
        <f>_xlfn.XLOOKUP(CustomerCombined[[#This Row],[ID]], Table4[ID], Table4[Store], "Not Found", 0)</f>
        <v>7</v>
      </c>
      <c r="V1105" s="5">
        <f>_xlfn.XLOOKUP(CustomerCombined[[#This Row],[ID]], Table4[ID], Table4[Visits], "Not Found", 0)</f>
        <v>3</v>
      </c>
      <c r="W1105" s="8">
        <f>_xlfn.XLOOKUP(CustomerCombined[[#This Row],[ID]], Table2[ID],Table2[Complaint], "Not Found", 0 )</f>
        <v>0</v>
      </c>
      <c r="X1105" s="8">
        <f>_xlfn.XLOOKUP(CustomerCombined[[#This Row],[ID]], Table2[ID],Table2[Pilot], "Not Found", 0 )</f>
        <v>0</v>
      </c>
      <c r="Y1105" s="8">
        <f>_xlfn.XLOOKUP(CustomerCombined[[#This Row],[ID]], Table2[ID],Table2[MC1], "Not Found", 0 )</f>
        <v>0</v>
      </c>
      <c r="Z1105" s="8">
        <f>_xlfn.XLOOKUP(CustomerCombined[[#This Row],[ID]], Table2[ID],Table2[MC2], "Not Found", 0 )</f>
        <v>0</v>
      </c>
      <c r="AA1105" s="8">
        <f>_xlfn.XLOOKUP(CustomerCombined[[#This Row],[ID]], Table2[ID],Table2[MC3], "Not Found", 0 )</f>
        <v>0</v>
      </c>
      <c r="AB1105" s="8">
        <f>_xlfn.XLOOKUP(CustomerCombined[[#This Row],[ID]], Table2[ID],Table2[MC4], "Not Found", 0 )</f>
        <v>0</v>
      </c>
      <c r="AC1105" s="8">
        <f>_xlfn.XLOOKUP(CustomerCombined[[#This Row],[ID]], Table2[ID],Table2[MC5], "Not Found", 0 )</f>
        <v>0</v>
      </c>
    </row>
    <row r="1106" spans="1:29" x14ac:dyDescent="0.3">
      <c r="A1106" s="6">
        <v>3139</v>
      </c>
      <c r="B1106" s="6">
        <v>165706</v>
      </c>
      <c r="C1106" s="6">
        <v>0</v>
      </c>
      <c r="D1106" s="6">
        <v>0</v>
      </c>
      <c r="E1106" s="6">
        <v>50</v>
      </c>
      <c r="F1106" s="5" t="s">
        <v>5</v>
      </c>
      <c r="G1106" s="5" t="s">
        <v>442</v>
      </c>
      <c r="H1106" s="3">
        <v>43536</v>
      </c>
      <c r="I1106" s="5" t="s">
        <v>437</v>
      </c>
      <c r="J1106" s="5">
        <f>_xlfn.XLOOKUP(CustomerCombined[[#This Row],[ID]], Table4[ID], Table4[Recency], "Not Found", 0)</f>
        <v>77</v>
      </c>
      <c r="K1106" s="5">
        <f>_xlfn.XLOOKUP(CustomerCombined[[#This Row],[ID]], Table4[ID], Table4[Teas], "Not Found", 0)</f>
        <v>2315</v>
      </c>
      <c r="L1106" s="5">
        <f>_xlfn.XLOOKUP(CustomerCombined[[#This Row],[ID]], Table4[ID], Table4[Fruits], "Not Found", 0)</f>
        <v>25</v>
      </c>
      <c r="M1106" s="5">
        <f>_xlfn.XLOOKUP(CustomerCombined[[#This Row],[ID]], Table4[ID], Table4[Meats], "Not Found", 0)</f>
        <v>325</v>
      </c>
      <c r="N1106" s="5">
        <f>_xlfn.XLOOKUP(CustomerCombined[[#This Row],[ID]], Table4[ID], Table4[Seafood], "Not Found", 0)</f>
        <v>33</v>
      </c>
      <c r="O1106" s="5">
        <f>_xlfn.XLOOKUP(CustomerCombined[[#This Row],[ID]], Table4[ID], Table4[Sweets], "Not Found", 0)</f>
        <v>0</v>
      </c>
      <c r="P1106" s="5">
        <f>_xlfn.XLOOKUP(CustomerCombined[[#This Row],[ID]], Table4[ID], Table4[Premium], "Not Found", 0)</f>
        <v>325</v>
      </c>
      <c r="Q1106" s="5">
        <f>_xlfn.XLOOKUP(CustomerCombined[[#This Row],[ID]], Table4[ID], Table4[Regular], "Not Found", 0)</f>
        <v>2373</v>
      </c>
      <c r="R1106" s="5">
        <f>_xlfn.XLOOKUP(CustomerCombined[[#This Row],[ID]], Table4[ID], Table4[Deals], "Not Found", 0)</f>
        <v>1</v>
      </c>
      <c r="S1106" s="5">
        <f>_xlfn.XLOOKUP(CustomerCombined[[#This Row],[ID]], Table4[ID], Table4[Website], "Not Found", 0)</f>
        <v>11</v>
      </c>
      <c r="T1106" s="5">
        <f>_xlfn.XLOOKUP(CustomerCombined[[#This Row],[ID]], Table4[ID], Table4[Catalog], "Not Found", 0)</f>
        <v>3</v>
      </c>
      <c r="U1106" s="5">
        <f>_xlfn.XLOOKUP(CustomerCombined[[#This Row],[ID]], Table4[ID], Table4[Store], "Not Found", 0)</f>
        <v>12</v>
      </c>
      <c r="V1106" s="5">
        <f>_xlfn.XLOOKUP(CustomerCombined[[#This Row],[ID]], Table4[ID], Table4[Visits], "Not Found", 0)</f>
        <v>7</v>
      </c>
      <c r="W1106" s="8">
        <f>_xlfn.XLOOKUP(CustomerCombined[[#This Row],[ID]], Table2[ID],Table2[Complaint], "Not Found", 0 )</f>
        <v>0</v>
      </c>
      <c r="X1106" s="8">
        <f>_xlfn.XLOOKUP(CustomerCombined[[#This Row],[ID]], Table2[ID],Table2[Pilot], "Not Found", 0 )</f>
        <v>1</v>
      </c>
      <c r="Y1106" s="8">
        <f>_xlfn.XLOOKUP(CustomerCombined[[#This Row],[ID]], Table2[ID],Table2[MC1], "Not Found", 0 )</f>
        <v>0</v>
      </c>
      <c r="Z1106" s="8">
        <f>_xlfn.XLOOKUP(CustomerCombined[[#This Row],[ID]], Table2[ID],Table2[MC2], "Not Found", 0 )</f>
        <v>1</v>
      </c>
      <c r="AA1106" s="8">
        <f>_xlfn.XLOOKUP(CustomerCombined[[#This Row],[ID]], Table2[ID],Table2[MC3], "Not Found", 0 )</f>
        <v>0</v>
      </c>
      <c r="AB1106" s="8">
        <f>_xlfn.XLOOKUP(CustomerCombined[[#This Row],[ID]], Table2[ID],Table2[MC4], "Not Found", 0 )</f>
        <v>1</v>
      </c>
      <c r="AC1106" s="8">
        <f>_xlfn.XLOOKUP(CustomerCombined[[#This Row],[ID]], Table2[ID],Table2[MC5], "Not Found", 0 )</f>
        <v>1</v>
      </c>
    </row>
    <row r="1107" spans="1:29" x14ac:dyDescent="0.3">
      <c r="A1107" s="6">
        <v>3048</v>
      </c>
      <c r="B1107" s="6">
        <v>164713</v>
      </c>
      <c r="C1107" s="6">
        <v>1</v>
      </c>
      <c r="D1107" s="6">
        <v>0</v>
      </c>
      <c r="E1107" s="6">
        <v>50</v>
      </c>
      <c r="F1107" s="5" t="s">
        <v>5</v>
      </c>
      <c r="G1107" s="5" t="s">
        <v>11</v>
      </c>
      <c r="H1107" s="3" t="s">
        <v>106</v>
      </c>
      <c r="I1107" s="5" t="s">
        <v>436</v>
      </c>
      <c r="J1107" s="5">
        <f>_xlfn.XLOOKUP(CustomerCombined[[#This Row],[ID]], Table4[ID], Table4[Recency], "Not Found", 0)</f>
        <v>11</v>
      </c>
      <c r="K1107" s="5">
        <f>_xlfn.XLOOKUP(CustomerCombined[[#This Row],[ID]], Table4[ID], Table4[Teas], "Not Found", 0)</f>
        <v>458</v>
      </c>
      <c r="L1107" s="5">
        <f>_xlfn.XLOOKUP(CustomerCombined[[#This Row],[ID]], Table4[ID], Table4[Fruits], "Not Found", 0)</f>
        <v>153</v>
      </c>
      <c r="M1107" s="5">
        <f>_xlfn.XLOOKUP(CustomerCombined[[#This Row],[ID]], Table4[ID], Table4[Meats], "Not Found", 0)</f>
        <v>613</v>
      </c>
      <c r="N1107" s="5">
        <f>_xlfn.XLOOKUP(CustomerCombined[[#This Row],[ID]], Table4[ID], Table4[Seafood], "Not Found", 0)</f>
        <v>33</v>
      </c>
      <c r="O1107" s="5">
        <f>_xlfn.XLOOKUP(CustomerCombined[[#This Row],[ID]], Table4[ID], Table4[Sweets], "Not Found", 0)</f>
        <v>137</v>
      </c>
      <c r="P1107" s="5">
        <f>_xlfn.XLOOKUP(CustomerCombined[[#This Row],[ID]], Table4[ID], Table4[Premium], "Not Found", 0)</f>
        <v>137</v>
      </c>
      <c r="Q1107" s="5">
        <f>_xlfn.XLOOKUP(CustomerCombined[[#This Row],[ID]], Table4[ID], Table4[Regular], "Not Found", 0)</f>
        <v>1257</v>
      </c>
      <c r="R1107" s="5">
        <f>_xlfn.XLOOKUP(CustomerCombined[[#This Row],[ID]], Table4[ID], Table4[Deals], "Not Found", 0)</f>
        <v>2</v>
      </c>
      <c r="S1107" s="5">
        <f>_xlfn.XLOOKUP(CustomerCombined[[#This Row],[ID]], Table4[ID], Table4[Website], "Not Found", 0)</f>
        <v>5</v>
      </c>
      <c r="T1107" s="5">
        <f>_xlfn.XLOOKUP(CustomerCombined[[#This Row],[ID]], Table4[ID], Table4[Catalog], "Not Found", 0)</f>
        <v>5</v>
      </c>
      <c r="U1107" s="5">
        <f>_xlfn.XLOOKUP(CustomerCombined[[#This Row],[ID]], Table4[ID], Table4[Store], "Not Found", 0)</f>
        <v>7</v>
      </c>
      <c r="V1107" s="5">
        <f>_xlfn.XLOOKUP(CustomerCombined[[#This Row],[ID]], Table4[ID], Table4[Visits], "Not Found", 0)</f>
        <v>4</v>
      </c>
      <c r="W1107" s="8">
        <f>_xlfn.XLOOKUP(CustomerCombined[[#This Row],[ID]], Table2[ID],Table2[Complaint], "Not Found", 0 )</f>
        <v>0</v>
      </c>
      <c r="X1107" s="8">
        <f>_xlfn.XLOOKUP(CustomerCombined[[#This Row],[ID]], Table2[ID],Table2[Pilot], "Not Found", 0 )</f>
        <v>1</v>
      </c>
      <c r="Y1107" s="8">
        <f>_xlfn.XLOOKUP(CustomerCombined[[#This Row],[ID]], Table2[ID],Table2[MC1], "Not Found", 0 )</f>
        <v>0</v>
      </c>
      <c r="Z1107" s="8">
        <f>_xlfn.XLOOKUP(CustomerCombined[[#This Row],[ID]], Table2[ID],Table2[MC2], "Not Found", 0 )</f>
        <v>0</v>
      </c>
      <c r="AA1107" s="8">
        <f>_xlfn.XLOOKUP(CustomerCombined[[#This Row],[ID]], Table2[ID],Table2[MC3], "Not Found", 0 )</f>
        <v>0</v>
      </c>
      <c r="AB1107" s="8">
        <f>_xlfn.XLOOKUP(CustomerCombined[[#This Row],[ID]], Table2[ID],Table2[MC4], "Not Found", 0 )</f>
        <v>0</v>
      </c>
      <c r="AC1107" s="8">
        <f>_xlfn.XLOOKUP(CustomerCombined[[#This Row],[ID]], Table2[ID],Table2[MC5], "Not Found", 0 )</f>
        <v>0</v>
      </c>
    </row>
    <row r="1108" spans="1:29" x14ac:dyDescent="0.3">
      <c r="A1108" s="6">
        <v>1557</v>
      </c>
      <c r="B1108" s="6">
        <v>164413</v>
      </c>
      <c r="C1108" s="6">
        <v>0</v>
      </c>
      <c r="D1108" s="6">
        <v>1</v>
      </c>
      <c r="E1108" s="6">
        <v>50</v>
      </c>
      <c r="F1108" s="5" t="s">
        <v>8</v>
      </c>
      <c r="G1108" s="5" t="s">
        <v>13</v>
      </c>
      <c r="H1108" s="3">
        <v>43983</v>
      </c>
      <c r="I1108" s="5" t="s">
        <v>435</v>
      </c>
      <c r="J1108" s="5">
        <f>_xlfn.XLOOKUP(CustomerCombined[[#This Row],[ID]], Table4[ID], Table4[Recency], "Not Found", 0)</f>
        <v>27</v>
      </c>
      <c r="K1108" s="5">
        <f>_xlfn.XLOOKUP(CustomerCombined[[#This Row],[ID]], Table4[ID], Table4[Teas], "Not Found", 0)</f>
        <v>510</v>
      </c>
      <c r="L1108" s="5">
        <f>_xlfn.XLOOKUP(CustomerCombined[[#This Row],[ID]], Table4[ID], Table4[Fruits], "Not Found", 0)</f>
        <v>13</v>
      </c>
      <c r="M1108" s="5">
        <f>_xlfn.XLOOKUP(CustomerCombined[[#This Row],[ID]], Table4[ID], Table4[Meats], "Not Found", 0)</f>
        <v>112</v>
      </c>
      <c r="N1108" s="5">
        <f>_xlfn.XLOOKUP(CustomerCombined[[#This Row],[ID]], Table4[ID], Table4[Seafood], "Not Found", 0)</f>
        <v>0</v>
      </c>
      <c r="O1108" s="5">
        <f>_xlfn.XLOOKUP(CustomerCombined[[#This Row],[ID]], Table4[ID], Table4[Sweets], "Not Found", 0)</f>
        <v>26</v>
      </c>
      <c r="P1108" s="5">
        <f>_xlfn.XLOOKUP(CustomerCombined[[#This Row],[ID]], Table4[ID], Table4[Premium], "Not Found", 0)</f>
        <v>51</v>
      </c>
      <c r="Q1108" s="5">
        <f>_xlfn.XLOOKUP(CustomerCombined[[#This Row],[ID]], Table4[ID], Table4[Regular], "Not Found", 0)</f>
        <v>610</v>
      </c>
      <c r="R1108" s="5">
        <f>_xlfn.XLOOKUP(CustomerCombined[[#This Row],[ID]], Table4[ID], Table4[Deals], "Not Found", 0)</f>
        <v>1</v>
      </c>
      <c r="S1108" s="5">
        <f>_xlfn.XLOOKUP(CustomerCombined[[#This Row],[ID]], Table4[ID], Table4[Website], "Not Found", 0)</f>
        <v>5</v>
      </c>
      <c r="T1108" s="5">
        <f>_xlfn.XLOOKUP(CustomerCombined[[#This Row],[ID]], Table4[ID], Table4[Catalog], "Not Found", 0)</f>
        <v>1</v>
      </c>
      <c r="U1108" s="5">
        <f>_xlfn.XLOOKUP(CustomerCombined[[#This Row],[ID]], Table4[ID], Table4[Store], "Not Found", 0)</f>
        <v>5</v>
      </c>
      <c r="V1108" s="5">
        <f>_xlfn.XLOOKUP(CustomerCombined[[#This Row],[ID]], Table4[ID], Table4[Visits], "Not Found", 0)</f>
        <v>5</v>
      </c>
      <c r="W1108" s="8">
        <f>_xlfn.XLOOKUP(CustomerCombined[[#This Row],[ID]], Table2[ID],Table2[Complaint], "Not Found", 0 )</f>
        <v>0</v>
      </c>
      <c r="X1108" s="8">
        <f>_xlfn.XLOOKUP(CustomerCombined[[#This Row],[ID]], Table2[ID],Table2[Pilot], "Not Found", 0 )</f>
        <v>0</v>
      </c>
      <c r="Y1108" s="8">
        <f>_xlfn.XLOOKUP(CustomerCombined[[#This Row],[ID]], Table2[ID],Table2[MC1], "Not Found", 0 )</f>
        <v>0</v>
      </c>
      <c r="Z1108" s="8">
        <f>_xlfn.XLOOKUP(CustomerCombined[[#This Row],[ID]], Table2[ID],Table2[MC2], "Not Found", 0 )</f>
        <v>0</v>
      </c>
      <c r="AA1108" s="8">
        <f>_xlfn.XLOOKUP(CustomerCombined[[#This Row],[ID]], Table2[ID],Table2[MC3], "Not Found", 0 )</f>
        <v>0</v>
      </c>
      <c r="AB1108" s="8">
        <f>_xlfn.XLOOKUP(CustomerCombined[[#This Row],[ID]], Table2[ID],Table2[MC4], "Not Found", 0 )</f>
        <v>0</v>
      </c>
      <c r="AC1108" s="8">
        <f>_xlfn.XLOOKUP(CustomerCombined[[#This Row],[ID]], Table2[ID],Table2[MC5], "Not Found", 0 )</f>
        <v>0</v>
      </c>
    </row>
    <row r="1109" spans="1:29" x14ac:dyDescent="0.3">
      <c r="A1109" s="6">
        <v>2981</v>
      </c>
      <c r="B1109" s="6">
        <v>163684</v>
      </c>
      <c r="C1109" s="6">
        <v>0</v>
      </c>
      <c r="D1109" s="6">
        <v>1</v>
      </c>
      <c r="E1109" s="6">
        <v>50</v>
      </c>
      <c r="F1109" s="5" t="s">
        <v>6</v>
      </c>
      <c r="G1109" s="5" t="s">
        <v>11</v>
      </c>
      <c r="H1109" s="3">
        <v>43529</v>
      </c>
      <c r="I1109" s="5" t="s">
        <v>434</v>
      </c>
      <c r="J1109" s="5">
        <f>_xlfn.XLOOKUP(CustomerCombined[[#This Row],[ID]], Table4[ID], Table4[Recency], "Not Found", 0)</f>
        <v>61</v>
      </c>
      <c r="K1109" s="5">
        <f>_xlfn.XLOOKUP(CustomerCombined[[#This Row],[ID]], Table4[ID], Table4[Teas], "Not Found", 0)</f>
        <v>1478</v>
      </c>
      <c r="L1109" s="5">
        <f>_xlfn.XLOOKUP(CustomerCombined[[#This Row],[ID]], Table4[ID], Table4[Fruits], "Not Found", 0)</f>
        <v>206</v>
      </c>
      <c r="M1109" s="5">
        <f>_xlfn.XLOOKUP(CustomerCombined[[#This Row],[ID]], Table4[ID], Table4[Meats], "Not Found", 0)</f>
        <v>1100</v>
      </c>
      <c r="N1109" s="5">
        <f>_xlfn.XLOOKUP(CustomerCombined[[#This Row],[ID]], Table4[ID], Table4[Seafood], "Not Found", 0)</f>
        <v>535</v>
      </c>
      <c r="O1109" s="5">
        <f>_xlfn.XLOOKUP(CustomerCombined[[#This Row],[ID]], Table4[ID], Table4[Sweets], "Not Found", 0)</f>
        <v>239</v>
      </c>
      <c r="P1109" s="5">
        <f>_xlfn.XLOOKUP(CustomerCombined[[#This Row],[ID]], Table4[ID], Table4[Premium], "Not Found", 0)</f>
        <v>206</v>
      </c>
      <c r="Q1109" s="5">
        <f>_xlfn.XLOOKUP(CustomerCombined[[#This Row],[ID]], Table4[ID], Table4[Regular], "Not Found", 0)</f>
        <v>3352</v>
      </c>
      <c r="R1109" s="5">
        <f>_xlfn.XLOOKUP(CustomerCombined[[#This Row],[ID]], Table4[ID], Table4[Deals], "Not Found", 0)</f>
        <v>3</v>
      </c>
      <c r="S1109" s="5">
        <f>_xlfn.XLOOKUP(CustomerCombined[[#This Row],[ID]], Table4[ID], Table4[Website], "Not Found", 0)</f>
        <v>8</v>
      </c>
      <c r="T1109" s="5">
        <f>_xlfn.XLOOKUP(CustomerCombined[[#This Row],[ID]], Table4[ID], Table4[Catalog], "Not Found", 0)</f>
        <v>4</v>
      </c>
      <c r="U1109" s="5">
        <f>_xlfn.XLOOKUP(CustomerCombined[[#This Row],[ID]], Table4[ID], Table4[Store], "Not Found", 0)</f>
        <v>8</v>
      </c>
      <c r="V1109" s="5">
        <f>_xlfn.XLOOKUP(CustomerCombined[[#This Row],[ID]], Table4[ID], Table4[Visits], "Not Found", 0)</f>
        <v>5</v>
      </c>
      <c r="W1109" s="8">
        <f>_xlfn.XLOOKUP(CustomerCombined[[#This Row],[ID]], Table2[ID],Table2[Complaint], "Not Found", 0 )</f>
        <v>0</v>
      </c>
      <c r="X1109" s="8">
        <f>_xlfn.XLOOKUP(CustomerCombined[[#This Row],[ID]], Table2[ID],Table2[Pilot], "Not Found", 0 )</f>
        <v>0</v>
      </c>
      <c r="Y1109" s="8">
        <f>_xlfn.XLOOKUP(CustomerCombined[[#This Row],[ID]], Table2[ID],Table2[MC1], "Not Found", 0 )</f>
        <v>0</v>
      </c>
      <c r="Z1109" s="8">
        <f>_xlfn.XLOOKUP(CustomerCombined[[#This Row],[ID]], Table2[ID],Table2[MC2], "Not Found", 0 )</f>
        <v>0</v>
      </c>
      <c r="AA1109" s="8">
        <f>_xlfn.XLOOKUP(CustomerCombined[[#This Row],[ID]], Table2[ID],Table2[MC3], "Not Found", 0 )</f>
        <v>0</v>
      </c>
      <c r="AB1109" s="8">
        <f>_xlfn.XLOOKUP(CustomerCombined[[#This Row],[ID]], Table2[ID],Table2[MC4], "Not Found", 0 )</f>
        <v>0</v>
      </c>
      <c r="AC1109" s="8">
        <f>_xlfn.XLOOKUP(CustomerCombined[[#This Row],[ID]], Table2[ID],Table2[MC5], "Not Found", 0 )</f>
        <v>0</v>
      </c>
    </row>
    <row r="1110" spans="1:29" x14ac:dyDescent="0.3">
      <c r="A1110" s="6">
        <v>1547</v>
      </c>
      <c r="B1110" s="6">
        <v>162466</v>
      </c>
      <c r="C1110" s="6">
        <v>0</v>
      </c>
      <c r="D1110" s="6">
        <v>1</v>
      </c>
      <c r="E1110" s="6">
        <v>50</v>
      </c>
      <c r="F1110" s="5" t="s">
        <v>6</v>
      </c>
      <c r="G1110" s="5" t="s">
        <v>442</v>
      </c>
      <c r="H1110" s="3" t="s">
        <v>115</v>
      </c>
      <c r="I1110" s="5" t="s">
        <v>434</v>
      </c>
      <c r="J1110" s="5">
        <f>_xlfn.XLOOKUP(CustomerCombined[[#This Row],[ID]], Table4[ID], Table4[Recency], "Not Found", 0)</f>
        <v>13</v>
      </c>
      <c r="K1110" s="5">
        <f>_xlfn.XLOOKUP(CustomerCombined[[#This Row],[ID]], Table4[ID], Table4[Teas], "Not Found", 0)</f>
        <v>336</v>
      </c>
      <c r="L1110" s="5">
        <f>_xlfn.XLOOKUP(CustomerCombined[[#This Row],[ID]], Table4[ID], Table4[Fruits], "Not Found", 0)</f>
        <v>336</v>
      </c>
      <c r="M1110" s="5">
        <f>_xlfn.XLOOKUP(CustomerCombined[[#This Row],[ID]], Table4[ID], Table4[Meats], "Not Found", 0)</f>
        <v>674</v>
      </c>
      <c r="N1110" s="5">
        <f>_xlfn.XLOOKUP(CustomerCombined[[#This Row],[ID]], Table4[ID], Table4[Seafood], "Not Found", 0)</f>
        <v>437</v>
      </c>
      <c r="O1110" s="5">
        <f>_xlfn.XLOOKUP(CustomerCombined[[#This Row],[ID]], Table4[ID], Table4[Sweets], "Not Found", 0)</f>
        <v>315</v>
      </c>
      <c r="P1110" s="5">
        <f>_xlfn.XLOOKUP(CustomerCombined[[#This Row],[ID]], Table4[ID], Table4[Premium], "Not Found", 0)</f>
        <v>216</v>
      </c>
      <c r="Q1110" s="5">
        <f>_xlfn.XLOOKUP(CustomerCombined[[#This Row],[ID]], Table4[ID], Table4[Regular], "Not Found", 0)</f>
        <v>1880</v>
      </c>
      <c r="R1110" s="5">
        <f>_xlfn.XLOOKUP(CustomerCombined[[#This Row],[ID]], Table4[ID], Table4[Deals], "Not Found", 0)</f>
        <v>5</v>
      </c>
      <c r="S1110" s="5">
        <f>_xlfn.XLOOKUP(CustomerCombined[[#This Row],[ID]], Table4[ID], Table4[Website], "Not Found", 0)</f>
        <v>6</v>
      </c>
      <c r="T1110" s="5">
        <f>_xlfn.XLOOKUP(CustomerCombined[[#This Row],[ID]], Table4[ID], Table4[Catalog], "Not Found", 0)</f>
        <v>3</v>
      </c>
      <c r="U1110" s="5">
        <f>_xlfn.XLOOKUP(CustomerCombined[[#This Row],[ID]], Table4[ID], Table4[Store], "Not Found", 0)</f>
        <v>12</v>
      </c>
      <c r="V1110" s="5">
        <f>_xlfn.XLOOKUP(CustomerCombined[[#This Row],[ID]], Table4[ID], Table4[Visits], "Not Found", 0)</f>
        <v>4</v>
      </c>
      <c r="W1110" s="8">
        <f>_xlfn.XLOOKUP(CustomerCombined[[#This Row],[ID]], Table2[ID],Table2[Complaint], "Not Found", 0 )</f>
        <v>0</v>
      </c>
      <c r="X1110" s="8">
        <f>_xlfn.XLOOKUP(CustomerCombined[[#This Row],[ID]], Table2[ID],Table2[Pilot], "Not Found", 0 )</f>
        <v>0</v>
      </c>
      <c r="Y1110" s="8">
        <f>_xlfn.XLOOKUP(CustomerCombined[[#This Row],[ID]], Table2[ID],Table2[MC1], "Not Found", 0 )</f>
        <v>0</v>
      </c>
      <c r="Z1110" s="8">
        <f>_xlfn.XLOOKUP(CustomerCombined[[#This Row],[ID]], Table2[ID],Table2[MC2], "Not Found", 0 )</f>
        <v>0</v>
      </c>
      <c r="AA1110" s="8">
        <f>_xlfn.XLOOKUP(CustomerCombined[[#This Row],[ID]], Table2[ID],Table2[MC3], "Not Found", 0 )</f>
        <v>0</v>
      </c>
      <c r="AB1110" s="8">
        <f>_xlfn.XLOOKUP(CustomerCombined[[#This Row],[ID]], Table2[ID],Table2[MC4], "Not Found", 0 )</f>
        <v>0</v>
      </c>
      <c r="AC1110" s="8">
        <f>_xlfn.XLOOKUP(CustomerCombined[[#This Row],[ID]], Table2[ID],Table2[MC5], "Not Found", 0 )</f>
        <v>0</v>
      </c>
    </row>
    <row r="1111" spans="1:29" x14ac:dyDescent="0.3">
      <c r="A1111" s="6">
        <v>1615</v>
      </c>
      <c r="B1111" s="6">
        <v>162466</v>
      </c>
      <c r="C1111" s="6">
        <v>0</v>
      </c>
      <c r="D1111" s="6">
        <v>1</v>
      </c>
      <c r="E1111" s="6">
        <v>50</v>
      </c>
      <c r="F1111" s="5" t="s">
        <v>6</v>
      </c>
      <c r="G1111" s="5" t="s">
        <v>442</v>
      </c>
      <c r="H1111" s="3" t="s">
        <v>115</v>
      </c>
      <c r="I1111" s="5" t="s">
        <v>437</v>
      </c>
      <c r="J1111" s="5">
        <f>_xlfn.XLOOKUP(CustomerCombined[[#This Row],[ID]], Table4[ID], Table4[Recency], "Not Found", 0)</f>
        <v>13</v>
      </c>
      <c r="K1111" s="5">
        <f>_xlfn.XLOOKUP(CustomerCombined[[#This Row],[ID]], Table4[ID], Table4[Teas], "Not Found", 0)</f>
        <v>336</v>
      </c>
      <c r="L1111" s="5">
        <f>_xlfn.XLOOKUP(CustomerCombined[[#This Row],[ID]], Table4[ID], Table4[Fruits], "Not Found", 0)</f>
        <v>336</v>
      </c>
      <c r="M1111" s="5">
        <f>_xlfn.XLOOKUP(CustomerCombined[[#This Row],[ID]], Table4[ID], Table4[Meats], "Not Found", 0)</f>
        <v>674</v>
      </c>
      <c r="N1111" s="5">
        <f>_xlfn.XLOOKUP(CustomerCombined[[#This Row],[ID]], Table4[ID], Table4[Seafood], "Not Found", 0)</f>
        <v>437</v>
      </c>
      <c r="O1111" s="5">
        <f>_xlfn.XLOOKUP(CustomerCombined[[#This Row],[ID]], Table4[ID], Table4[Sweets], "Not Found", 0)</f>
        <v>315</v>
      </c>
      <c r="P1111" s="5">
        <f>_xlfn.XLOOKUP(CustomerCombined[[#This Row],[ID]], Table4[ID], Table4[Premium], "Not Found", 0)</f>
        <v>216</v>
      </c>
      <c r="Q1111" s="5">
        <f>_xlfn.XLOOKUP(CustomerCombined[[#This Row],[ID]], Table4[ID], Table4[Regular], "Not Found", 0)</f>
        <v>1880</v>
      </c>
      <c r="R1111" s="5">
        <f>_xlfn.XLOOKUP(CustomerCombined[[#This Row],[ID]], Table4[ID], Table4[Deals], "Not Found", 0)</f>
        <v>5</v>
      </c>
      <c r="S1111" s="5">
        <f>_xlfn.XLOOKUP(CustomerCombined[[#This Row],[ID]], Table4[ID], Table4[Website], "Not Found", 0)</f>
        <v>6</v>
      </c>
      <c r="T1111" s="5">
        <f>_xlfn.XLOOKUP(CustomerCombined[[#This Row],[ID]], Table4[ID], Table4[Catalog], "Not Found", 0)</f>
        <v>3</v>
      </c>
      <c r="U1111" s="5">
        <f>_xlfn.XLOOKUP(CustomerCombined[[#This Row],[ID]], Table4[ID], Table4[Store], "Not Found", 0)</f>
        <v>12</v>
      </c>
      <c r="V1111" s="5">
        <f>_xlfn.XLOOKUP(CustomerCombined[[#This Row],[ID]], Table4[ID], Table4[Visits], "Not Found", 0)</f>
        <v>4</v>
      </c>
      <c r="W1111" s="8">
        <f>_xlfn.XLOOKUP(CustomerCombined[[#This Row],[ID]], Table2[ID],Table2[Complaint], "Not Found", 0 )</f>
        <v>0</v>
      </c>
      <c r="X1111" s="8">
        <f>_xlfn.XLOOKUP(CustomerCombined[[#This Row],[ID]], Table2[ID],Table2[Pilot], "Not Found", 0 )</f>
        <v>0</v>
      </c>
      <c r="Y1111" s="8">
        <f>_xlfn.XLOOKUP(CustomerCombined[[#This Row],[ID]], Table2[ID],Table2[MC1], "Not Found", 0 )</f>
        <v>0</v>
      </c>
      <c r="Z1111" s="8">
        <f>_xlfn.XLOOKUP(CustomerCombined[[#This Row],[ID]], Table2[ID],Table2[MC2], "Not Found", 0 )</f>
        <v>0</v>
      </c>
      <c r="AA1111" s="8">
        <f>_xlfn.XLOOKUP(CustomerCombined[[#This Row],[ID]], Table2[ID],Table2[MC3], "Not Found", 0 )</f>
        <v>0</v>
      </c>
      <c r="AB1111" s="8">
        <f>_xlfn.XLOOKUP(CustomerCombined[[#This Row],[ID]], Table2[ID],Table2[MC4], "Not Found", 0 )</f>
        <v>0</v>
      </c>
      <c r="AC1111" s="8">
        <f>_xlfn.XLOOKUP(CustomerCombined[[#This Row],[ID]], Table2[ID],Table2[MC5], "Not Found", 0 )</f>
        <v>0</v>
      </c>
    </row>
    <row r="1112" spans="1:29" x14ac:dyDescent="0.3">
      <c r="A1112" s="6">
        <v>1781</v>
      </c>
      <c r="B1112" s="6">
        <v>161872</v>
      </c>
      <c r="C1112" s="6">
        <v>0</v>
      </c>
      <c r="D1112" s="6">
        <v>1</v>
      </c>
      <c r="E1112" s="6">
        <v>50</v>
      </c>
      <c r="F1112" s="5" t="s">
        <v>6</v>
      </c>
      <c r="G1112" s="5" t="s">
        <v>12</v>
      </c>
      <c r="H1112" s="3" t="s">
        <v>135</v>
      </c>
      <c r="I1112" s="5" t="s">
        <v>434</v>
      </c>
      <c r="J1112" s="5">
        <f>_xlfn.XLOOKUP(CustomerCombined[[#This Row],[ID]], Table4[ID], Table4[Recency], "Not Found", 0)</f>
        <v>81</v>
      </c>
      <c r="K1112" s="5">
        <f>_xlfn.XLOOKUP(CustomerCombined[[#This Row],[ID]], Table4[ID], Table4[Teas], "Not Found", 0)</f>
        <v>863</v>
      </c>
      <c r="L1112" s="5">
        <f>_xlfn.XLOOKUP(CustomerCombined[[#This Row],[ID]], Table4[ID], Table4[Fruits], "Not Found", 0)</f>
        <v>13</v>
      </c>
      <c r="M1112" s="5">
        <f>_xlfn.XLOOKUP(CustomerCombined[[#This Row],[ID]], Table4[ID], Table4[Meats], "Not Found", 0)</f>
        <v>416</v>
      </c>
      <c r="N1112" s="5">
        <f>_xlfn.XLOOKUP(CustomerCombined[[#This Row],[ID]], Table4[ID], Table4[Seafood], "Not Found", 0)</f>
        <v>94</v>
      </c>
      <c r="O1112" s="5">
        <f>_xlfn.XLOOKUP(CustomerCombined[[#This Row],[ID]], Table4[ID], Table4[Sweets], "Not Found", 0)</f>
        <v>71</v>
      </c>
      <c r="P1112" s="5">
        <f>_xlfn.XLOOKUP(CustomerCombined[[#This Row],[ID]], Table4[ID], Table4[Premium], "Not Found", 0)</f>
        <v>42</v>
      </c>
      <c r="Q1112" s="5">
        <f>_xlfn.XLOOKUP(CustomerCombined[[#This Row],[ID]], Table4[ID], Table4[Regular], "Not Found", 0)</f>
        <v>1415</v>
      </c>
      <c r="R1112" s="5">
        <f>_xlfn.XLOOKUP(CustomerCombined[[#This Row],[ID]], Table4[ID], Table4[Deals], "Not Found", 0)</f>
        <v>4</v>
      </c>
      <c r="S1112" s="5">
        <f>_xlfn.XLOOKUP(CustomerCombined[[#This Row],[ID]], Table4[ID], Table4[Website], "Not Found", 0)</f>
        <v>4</v>
      </c>
      <c r="T1112" s="5">
        <f>_xlfn.XLOOKUP(CustomerCombined[[#This Row],[ID]], Table4[ID], Table4[Catalog], "Not Found", 0)</f>
        <v>4</v>
      </c>
      <c r="U1112" s="5">
        <f>_xlfn.XLOOKUP(CustomerCombined[[#This Row],[ID]], Table4[ID], Table4[Store], "Not Found", 0)</f>
        <v>9</v>
      </c>
      <c r="V1112" s="5">
        <f>_xlfn.XLOOKUP(CustomerCombined[[#This Row],[ID]], Table4[ID], Table4[Visits], "Not Found", 0)</f>
        <v>4</v>
      </c>
      <c r="W1112" s="8">
        <f>_xlfn.XLOOKUP(CustomerCombined[[#This Row],[ID]], Table2[ID],Table2[Complaint], "Not Found", 0 )</f>
        <v>0</v>
      </c>
      <c r="X1112" s="8">
        <f>_xlfn.XLOOKUP(CustomerCombined[[#This Row],[ID]], Table2[ID],Table2[Pilot], "Not Found", 0 )</f>
        <v>0</v>
      </c>
      <c r="Y1112" s="8">
        <f>_xlfn.XLOOKUP(CustomerCombined[[#This Row],[ID]], Table2[ID],Table2[MC1], "Not Found", 0 )</f>
        <v>0</v>
      </c>
      <c r="Z1112" s="8">
        <f>_xlfn.XLOOKUP(CustomerCombined[[#This Row],[ID]], Table2[ID],Table2[MC2], "Not Found", 0 )</f>
        <v>0</v>
      </c>
      <c r="AA1112" s="8">
        <f>_xlfn.XLOOKUP(CustomerCombined[[#This Row],[ID]], Table2[ID],Table2[MC3], "Not Found", 0 )</f>
        <v>0</v>
      </c>
      <c r="AB1112" s="8">
        <f>_xlfn.XLOOKUP(CustomerCombined[[#This Row],[ID]], Table2[ID],Table2[MC4], "Not Found", 0 )</f>
        <v>0</v>
      </c>
      <c r="AC1112" s="8">
        <f>_xlfn.XLOOKUP(CustomerCombined[[#This Row],[ID]], Table2[ID],Table2[MC5], "Not Found", 0 )</f>
        <v>0</v>
      </c>
    </row>
    <row r="1113" spans="1:29" x14ac:dyDescent="0.3">
      <c r="A1113" s="6">
        <v>3213</v>
      </c>
      <c r="B1113" s="6">
        <v>161757</v>
      </c>
      <c r="C1113" s="6">
        <v>0</v>
      </c>
      <c r="D1113" s="6">
        <v>0</v>
      </c>
      <c r="E1113" s="6">
        <v>50</v>
      </c>
      <c r="F1113" s="5" t="s">
        <v>7</v>
      </c>
      <c r="G1113" s="5" t="s">
        <v>12</v>
      </c>
      <c r="H1113" s="3" t="s">
        <v>407</v>
      </c>
      <c r="I1113" s="5" t="s">
        <v>435</v>
      </c>
      <c r="J1113" s="5">
        <f>_xlfn.XLOOKUP(CustomerCombined[[#This Row],[ID]], Table4[ID], Table4[Recency], "Not Found", 0)</f>
        <v>71</v>
      </c>
      <c r="K1113" s="5">
        <f>_xlfn.XLOOKUP(CustomerCombined[[#This Row],[ID]], Table4[ID], Table4[Teas], "Not Found", 0)</f>
        <v>2234</v>
      </c>
      <c r="L1113" s="5">
        <f>_xlfn.XLOOKUP(CustomerCombined[[#This Row],[ID]], Table4[ID], Table4[Fruits], "Not Found", 0)</f>
        <v>26</v>
      </c>
      <c r="M1113" s="5">
        <f>_xlfn.XLOOKUP(CustomerCombined[[#This Row],[ID]], Table4[ID], Table4[Meats], "Not Found", 0)</f>
        <v>375</v>
      </c>
      <c r="N1113" s="5">
        <f>_xlfn.XLOOKUP(CustomerCombined[[#This Row],[ID]], Table4[ID], Table4[Seafood], "Not Found", 0)</f>
        <v>-34</v>
      </c>
      <c r="O1113" s="5">
        <f>_xlfn.XLOOKUP(CustomerCombined[[#This Row],[ID]], Table4[ID], Table4[Sweets], "Not Found", 0)</f>
        <v>26</v>
      </c>
      <c r="P1113" s="5">
        <f>_xlfn.XLOOKUP(CustomerCombined[[#This Row],[ID]], Table4[ID], Table4[Premium], "Not Found", 0)</f>
        <v>52</v>
      </c>
      <c r="Q1113" s="5">
        <f>_xlfn.XLOOKUP(CustomerCombined[[#This Row],[ID]], Table4[ID], Table4[Regular], "Not Found", 0)</f>
        <v>2643</v>
      </c>
      <c r="R1113" s="5">
        <f>_xlfn.XLOOKUP(CustomerCombined[[#This Row],[ID]], Table4[ID], Table4[Deals], "Not Found", 0)</f>
        <v>2</v>
      </c>
      <c r="S1113" s="5">
        <f>_xlfn.XLOOKUP(CustomerCombined[[#This Row],[ID]], Table4[ID], Table4[Website], "Not Found", 0)</f>
        <v>9</v>
      </c>
      <c r="T1113" s="5">
        <f>_xlfn.XLOOKUP(CustomerCombined[[#This Row],[ID]], Table4[ID], Table4[Catalog], "Not Found", 0)</f>
        <v>4</v>
      </c>
      <c r="U1113" s="5">
        <f>_xlfn.XLOOKUP(CustomerCombined[[#This Row],[ID]], Table4[ID], Table4[Store], "Not Found", 0)</f>
        <v>12</v>
      </c>
      <c r="V1113" s="5">
        <f>_xlfn.XLOOKUP(CustomerCombined[[#This Row],[ID]], Table4[ID], Table4[Visits], "Not Found", 0)</f>
        <v>8</v>
      </c>
      <c r="W1113" s="8">
        <f>_xlfn.XLOOKUP(CustomerCombined[[#This Row],[ID]], Table2[ID],Table2[Complaint], "Not Found", 0 )</f>
        <v>0</v>
      </c>
      <c r="X1113" s="8">
        <f>_xlfn.XLOOKUP(CustomerCombined[[#This Row],[ID]], Table2[ID],Table2[Pilot], "Not Found", 0 )</f>
        <v>0</v>
      </c>
      <c r="Y1113" s="8">
        <f>_xlfn.XLOOKUP(CustomerCombined[[#This Row],[ID]], Table2[ID],Table2[MC1], "Not Found", 0 )</f>
        <v>0</v>
      </c>
      <c r="Z1113" s="8">
        <f>_xlfn.XLOOKUP(CustomerCombined[[#This Row],[ID]], Table2[ID],Table2[MC2], "Not Found", 0 )</f>
        <v>0</v>
      </c>
      <c r="AA1113" s="8">
        <f>_xlfn.XLOOKUP(CustomerCombined[[#This Row],[ID]], Table2[ID],Table2[MC3], "Not Found", 0 )</f>
        <v>0</v>
      </c>
      <c r="AB1113" s="8">
        <f>_xlfn.XLOOKUP(CustomerCombined[[#This Row],[ID]], Table2[ID],Table2[MC4], "Not Found", 0 )</f>
        <v>0</v>
      </c>
      <c r="AC1113" s="8">
        <f>_xlfn.XLOOKUP(CustomerCombined[[#This Row],[ID]], Table2[ID],Table2[MC5], "Not Found", 0 )</f>
        <v>0</v>
      </c>
    </row>
    <row r="1114" spans="1:29" x14ac:dyDescent="0.3">
      <c r="A1114" s="6">
        <v>1672</v>
      </c>
      <c r="B1114" s="6">
        <v>161209</v>
      </c>
      <c r="C1114" s="6">
        <v>0</v>
      </c>
      <c r="D1114" s="6">
        <v>0</v>
      </c>
      <c r="E1114" s="6">
        <v>50</v>
      </c>
      <c r="F1114" s="5" t="s">
        <v>7</v>
      </c>
      <c r="G1114" s="5" t="s">
        <v>11</v>
      </c>
      <c r="H1114" s="3" t="s">
        <v>192</v>
      </c>
      <c r="I1114" s="5" t="s">
        <v>439</v>
      </c>
      <c r="J1114" s="5">
        <f>_xlfn.XLOOKUP(CustomerCombined[[#This Row],[ID]], Table4[ID], Table4[Recency], "Not Found", 0)</f>
        <v>73</v>
      </c>
      <c r="K1114" s="5">
        <f>_xlfn.XLOOKUP(CustomerCombined[[#This Row],[ID]], Table4[ID], Table4[Teas], "Not Found", 0)</f>
        <v>1227</v>
      </c>
      <c r="L1114" s="5">
        <f>_xlfn.XLOOKUP(CustomerCombined[[#This Row],[ID]], Table4[ID], Table4[Fruits], "Not Found", 0)</f>
        <v>0</v>
      </c>
      <c r="M1114" s="5">
        <f>_xlfn.XLOOKUP(CustomerCombined[[#This Row],[ID]], Table4[ID], Table4[Meats], "Not Found", 0)</f>
        <v>590</v>
      </c>
      <c r="N1114" s="5">
        <f>_xlfn.XLOOKUP(CustomerCombined[[#This Row],[ID]], Table4[ID], Table4[Seafood], "Not Found", 0)</f>
        <v>313</v>
      </c>
      <c r="O1114" s="5">
        <f>_xlfn.XLOOKUP(CustomerCombined[[#This Row],[ID]], Table4[ID], Table4[Sweets], "Not Found", 0)</f>
        <v>129</v>
      </c>
      <c r="P1114" s="5">
        <f>_xlfn.XLOOKUP(CustomerCombined[[#This Row],[ID]], Table4[ID], Table4[Premium], "Not Found", 0)</f>
        <v>261</v>
      </c>
      <c r="Q1114" s="5">
        <f>_xlfn.XLOOKUP(CustomerCombined[[#This Row],[ID]], Table4[ID], Table4[Regular], "Not Found", 0)</f>
        <v>1999</v>
      </c>
      <c r="R1114" s="5">
        <f>_xlfn.XLOOKUP(CustomerCombined[[#This Row],[ID]], Table4[ID], Table4[Deals], "Not Found", 0)</f>
        <v>1</v>
      </c>
      <c r="S1114" s="5">
        <f>_xlfn.XLOOKUP(CustomerCombined[[#This Row],[ID]], Table4[ID], Table4[Website], "Not Found", 0)</f>
        <v>5</v>
      </c>
      <c r="T1114" s="5">
        <f>_xlfn.XLOOKUP(CustomerCombined[[#This Row],[ID]], Table4[ID], Table4[Catalog], "Not Found", 0)</f>
        <v>3</v>
      </c>
      <c r="U1114" s="5">
        <f>_xlfn.XLOOKUP(CustomerCombined[[#This Row],[ID]], Table4[ID], Table4[Store], "Not Found", 0)</f>
        <v>4</v>
      </c>
      <c r="V1114" s="5">
        <f>_xlfn.XLOOKUP(CustomerCombined[[#This Row],[ID]], Table4[ID], Table4[Visits], "Not Found", 0)</f>
        <v>2</v>
      </c>
      <c r="W1114" s="8">
        <f>_xlfn.XLOOKUP(CustomerCombined[[#This Row],[ID]], Table2[ID],Table2[Complaint], "Not Found", 0 )</f>
        <v>0</v>
      </c>
      <c r="X1114" s="8">
        <f>_xlfn.XLOOKUP(CustomerCombined[[#This Row],[ID]], Table2[ID],Table2[Pilot], "Not Found", 0 )</f>
        <v>0</v>
      </c>
      <c r="Y1114" s="8">
        <f>_xlfn.XLOOKUP(CustomerCombined[[#This Row],[ID]], Table2[ID],Table2[MC1], "Not Found", 0 )</f>
        <v>0</v>
      </c>
      <c r="Z1114" s="8">
        <f>_xlfn.XLOOKUP(CustomerCombined[[#This Row],[ID]], Table2[ID],Table2[MC2], "Not Found", 0 )</f>
        <v>0</v>
      </c>
      <c r="AA1114" s="8">
        <f>_xlfn.XLOOKUP(CustomerCombined[[#This Row],[ID]], Table2[ID],Table2[MC3], "Not Found", 0 )</f>
        <v>0</v>
      </c>
      <c r="AB1114" s="8">
        <f>_xlfn.XLOOKUP(CustomerCombined[[#This Row],[ID]], Table2[ID],Table2[MC4], "Not Found", 0 )</f>
        <v>0</v>
      </c>
      <c r="AC1114" s="8">
        <f>_xlfn.XLOOKUP(CustomerCombined[[#This Row],[ID]], Table2[ID],Table2[MC5], "Not Found", 0 )</f>
        <v>0</v>
      </c>
    </row>
    <row r="1115" spans="1:29" x14ac:dyDescent="0.3">
      <c r="A1115" s="6">
        <v>2453</v>
      </c>
      <c r="B1115" s="6">
        <v>159892</v>
      </c>
      <c r="C1115" s="6">
        <v>0</v>
      </c>
      <c r="D1115" s="6">
        <v>1</v>
      </c>
      <c r="E1115" s="6">
        <v>50</v>
      </c>
      <c r="F1115" s="5" t="s">
        <v>6</v>
      </c>
      <c r="G1115" s="5" t="s">
        <v>13</v>
      </c>
      <c r="H1115" s="3">
        <v>44047</v>
      </c>
      <c r="I1115" s="5" t="s">
        <v>434</v>
      </c>
      <c r="J1115" s="5">
        <f>_xlfn.XLOOKUP(CustomerCombined[[#This Row],[ID]], Table4[ID], Table4[Recency], "Not Found", 0)</f>
        <v>26</v>
      </c>
      <c r="K1115" s="5">
        <f>_xlfn.XLOOKUP(CustomerCombined[[#This Row],[ID]], Table4[ID], Table4[Teas], "Not Found", 0)</f>
        <v>195</v>
      </c>
      <c r="L1115" s="5">
        <f>_xlfn.XLOOKUP(CustomerCombined[[#This Row],[ID]], Table4[ID], Table4[Fruits], "Not Found", 0)</f>
        <v>0</v>
      </c>
      <c r="M1115" s="5">
        <f>_xlfn.XLOOKUP(CustomerCombined[[#This Row],[ID]], Table4[ID], Table4[Meats], "Not Found", 0)</f>
        <v>35</v>
      </c>
      <c r="N1115" s="5">
        <f>_xlfn.XLOOKUP(CustomerCombined[[#This Row],[ID]], Table4[ID], Table4[Seafood], "Not Found", 0)</f>
        <v>0</v>
      </c>
      <c r="O1115" s="5">
        <f>_xlfn.XLOOKUP(CustomerCombined[[#This Row],[ID]], Table4[ID], Table4[Sweets], "Not Found", 0)</f>
        <v>3</v>
      </c>
      <c r="P1115" s="5">
        <f>_xlfn.XLOOKUP(CustomerCombined[[#This Row],[ID]], Table4[ID], Table4[Premium], "Not Found", 0)</f>
        <v>0</v>
      </c>
      <c r="Q1115" s="5">
        <f>_xlfn.XLOOKUP(CustomerCombined[[#This Row],[ID]], Table4[ID], Table4[Regular], "Not Found", 0)</f>
        <v>232</v>
      </c>
      <c r="R1115" s="5">
        <f>_xlfn.XLOOKUP(CustomerCombined[[#This Row],[ID]], Table4[ID], Table4[Deals], "Not Found", 0)</f>
        <v>1</v>
      </c>
      <c r="S1115" s="5">
        <f>_xlfn.XLOOKUP(CustomerCombined[[#This Row],[ID]], Table4[ID], Table4[Website], "Not Found", 0)</f>
        <v>2</v>
      </c>
      <c r="T1115" s="5">
        <f>_xlfn.XLOOKUP(CustomerCombined[[#This Row],[ID]], Table4[ID], Table4[Catalog], "Not Found", 0)</f>
        <v>1</v>
      </c>
      <c r="U1115" s="5">
        <f>_xlfn.XLOOKUP(CustomerCombined[[#This Row],[ID]], Table4[ID], Table4[Store], "Not Found", 0)</f>
        <v>3</v>
      </c>
      <c r="V1115" s="5">
        <f>_xlfn.XLOOKUP(CustomerCombined[[#This Row],[ID]], Table4[ID], Table4[Visits], "Not Found", 0)</f>
        <v>3</v>
      </c>
      <c r="W1115" s="8">
        <f>_xlfn.XLOOKUP(CustomerCombined[[#This Row],[ID]], Table2[ID],Table2[Complaint], "Not Found", 0 )</f>
        <v>0</v>
      </c>
      <c r="X1115" s="8">
        <f>_xlfn.XLOOKUP(CustomerCombined[[#This Row],[ID]], Table2[ID],Table2[Pilot], "Not Found", 0 )</f>
        <v>0</v>
      </c>
      <c r="Y1115" s="8">
        <f>_xlfn.XLOOKUP(CustomerCombined[[#This Row],[ID]], Table2[ID],Table2[MC1], "Not Found", 0 )</f>
        <v>0</v>
      </c>
      <c r="Z1115" s="8">
        <f>_xlfn.XLOOKUP(CustomerCombined[[#This Row],[ID]], Table2[ID],Table2[MC2], "Not Found", 0 )</f>
        <v>0</v>
      </c>
      <c r="AA1115" s="8">
        <f>_xlfn.XLOOKUP(CustomerCombined[[#This Row],[ID]], Table2[ID],Table2[MC3], "Not Found", 0 )</f>
        <v>0</v>
      </c>
      <c r="AB1115" s="8">
        <f>_xlfn.XLOOKUP(CustomerCombined[[#This Row],[ID]], Table2[ID],Table2[MC4], "Not Found", 0 )</f>
        <v>0</v>
      </c>
      <c r="AC1115" s="8">
        <f>_xlfn.XLOOKUP(CustomerCombined[[#This Row],[ID]], Table2[ID],Table2[MC5], "Not Found", 0 )</f>
        <v>0</v>
      </c>
    </row>
    <row r="1116" spans="1:29" x14ac:dyDescent="0.3">
      <c r="A1116" s="6">
        <v>1699</v>
      </c>
      <c r="B1116" s="6">
        <v>158710</v>
      </c>
      <c r="C1116" s="6">
        <v>0</v>
      </c>
      <c r="D1116" s="6">
        <v>1</v>
      </c>
      <c r="E1116" s="6">
        <v>50</v>
      </c>
      <c r="F1116" s="5" t="s">
        <v>5</v>
      </c>
      <c r="G1116" s="5" t="s">
        <v>11</v>
      </c>
      <c r="H1116" s="3">
        <v>43594</v>
      </c>
      <c r="I1116" s="5" t="s">
        <v>437</v>
      </c>
      <c r="J1116" s="5">
        <f>_xlfn.XLOOKUP(CustomerCombined[[#This Row],[ID]], Table4[ID], Table4[Recency], "Not Found", 0)</f>
        <v>77</v>
      </c>
      <c r="K1116" s="5">
        <f>_xlfn.XLOOKUP(CustomerCombined[[#This Row],[ID]], Table4[ID], Table4[Teas], "Not Found", 0)</f>
        <v>1189</v>
      </c>
      <c r="L1116" s="5">
        <f>_xlfn.XLOOKUP(CustomerCombined[[#This Row],[ID]], Table4[ID], Table4[Fruits], "Not Found", 0)</f>
        <v>219</v>
      </c>
      <c r="M1116" s="5">
        <f>_xlfn.XLOOKUP(CustomerCombined[[#This Row],[ID]], Table4[ID], Table4[Meats], "Not Found", 0)</f>
        <v>995</v>
      </c>
      <c r="N1116" s="5">
        <f>_xlfn.XLOOKUP(CustomerCombined[[#This Row],[ID]], Table4[ID], Table4[Seafood], "Not Found", 0)</f>
        <v>0</v>
      </c>
      <c r="O1116" s="5">
        <f>_xlfn.XLOOKUP(CustomerCombined[[#This Row],[ID]], Table4[ID], Table4[Sweets], "Not Found", 0)</f>
        <v>330</v>
      </c>
      <c r="P1116" s="5">
        <f>_xlfn.XLOOKUP(CustomerCombined[[#This Row],[ID]], Table4[ID], Table4[Premium], "Not Found", 0)</f>
        <v>470</v>
      </c>
      <c r="Q1116" s="5">
        <f>_xlfn.XLOOKUP(CustomerCombined[[#This Row],[ID]], Table4[ID], Table4[Regular], "Not Found", 0)</f>
        <v>2263</v>
      </c>
      <c r="R1116" s="5">
        <f>_xlfn.XLOOKUP(CustomerCombined[[#This Row],[ID]], Table4[ID], Table4[Deals], "Not Found", 0)</f>
        <v>6</v>
      </c>
      <c r="S1116" s="5">
        <f>_xlfn.XLOOKUP(CustomerCombined[[#This Row],[ID]], Table4[ID], Table4[Website], "Not Found", 0)</f>
        <v>11</v>
      </c>
      <c r="T1116" s="5">
        <f>_xlfn.XLOOKUP(CustomerCombined[[#This Row],[ID]], Table4[ID], Table4[Catalog], "Not Found", 0)</f>
        <v>5</v>
      </c>
      <c r="U1116" s="5">
        <f>_xlfn.XLOOKUP(CustomerCombined[[#This Row],[ID]], Table4[ID], Table4[Store], "Not Found", 0)</f>
        <v>9</v>
      </c>
      <c r="V1116" s="5">
        <f>_xlfn.XLOOKUP(CustomerCombined[[#This Row],[ID]], Table4[ID], Table4[Visits], "Not Found", 0)</f>
        <v>6</v>
      </c>
      <c r="W1116" s="8">
        <f>_xlfn.XLOOKUP(CustomerCombined[[#This Row],[ID]], Table2[ID],Table2[Complaint], "Not Found", 0 )</f>
        <v>0</v>
      </c>
      <c r="X1116" s="8">
        <f>_xlfn.XLOOKUP(CustomerCombined[[#This Row],[ID]], Table2[ID],Table2[Pilot], "Not Found", 0 )</f>
        <v>0</v>
      </c>
      <c r="Y1116" s="8">
        <f>_xlfn.XLOOKUP(CustomerCombined[[#This Row],[ID]], Table2[ID],Table2[MC1], "Not Found", 0 )</f>
        <v>0</v>
      </c>
      <c r="Z1116" s="8">
        <f>_xlfn.XLOOKUP(CustomerCombined[[#This Row],[ID]], Table2[ID],Table2[MC2], "Not Found", 0 )</f>
        <v>0</v>
      </c>
      <c r="AA1116" s="8">
        <f>_xlfn.XLOOKUP(CustomerCombined[[#This Row],[ID]], Table2[ID],Table2[MC3], "Not Found", 0 )</f>
        <v>0</v>
      </c>
      <c r="AB1116" s="8">
        <f>_xlfn.XLOOKUP(CustomerCombined[[#This Row],[ID]], Table2[ID],Table2[MC4], "Not Found", 0 )</f>
        <v>0</v>
      </c>
      <c r="AC1116" s="8">
        <f>_xlfn.XLOOKUP(CustomerCombined[[#This Row],[ID]], Table2[ID],Table2[MC5], "Not Found", 0 )</f>
        <v>0</v>
      </c>
    </row>
    <row r="1117" spans="1:29" x14ac:dyDescent="0.3">
      <c r="A1117" s="6">
        <v>3192</v>
      </c>
      <c r="B1117" s="6">
        <v>157642</v>
      </c>
      <c r="C1117" s="6">
        <v>0</v>
      </c>
      <c r="D1117" s="6">
        <v>1</v>
      </c>
      <c r="E1117" s="6">
        <v>50</v>
      </c>
      <c r="F1117" s="5" t="s">
        <v>7</v>
      </c>
      <c r="G1117" s="5" t="s">
        <v>13</v>
      </c>
      <c r="H1117" s="3" t="s">
        <v>121</v>
      </c>
      <c r="I1117" s="5" t="s">
        <v>436</v>
      </c>
      <c r="J1117" s="5">
        <f>_xlfn.XLOOKUP(CustomerCombined[[#This Row],[ID]], Table4[ID], Table4[Recency], "Not Found", 0)</f>
        <v>24</v>
      </c>
      <c r="K1117" s="5">
        <f>_xlfn.XLOOKUP(CustomerCombined[[#This Row],[ID]], Table4[ID], Table4[Teas], "Not Found", 0)</f>
        <v>1586</v>
      </c>
      <c r="L1117" s="5">
        <f>_xlfn.XLOOKUP(CustomerCombined[[#This Row],[ID]], Table4[ID], Table4[Fruits], "Not Found", 0)</f>
        <v>16</v>
      </c>
      <c r="M1117" s="5">
        <f>_xlfn.XLOOKUP(CustomerCombined[[#This Row],[ID]], Table4[ID], Table4[Meats], "Not Found", 0)</f>
        <v>159</v>
      </c>
      <c r="N1117" s="5">
        <f>_xlfn.XLOOKUP(CustomerCombined[[#This Row],[ID]], Table4[ID], Table4[Seafood], "Not Found", 0)</f>
        <v>22</v>
      </c>
      <c r="O1117" s="5">
        <f>_xlfn.XLOOKUP(CustomerCombined[[#This Row],[ID]], Table4[ID], Table4[Sweets], "Not Found", 0)</f>
        <v>0</v>
      </c>
      <c r="P1117" s="5">
        <f>_xlfn.XLOOKUP(CustomerCombined[[#This Row],[ID]], Table4[ID], Table4[Premium], "Not Found", 0)</f>
        <v>74</v>
      </c>
      <c r="Q1117" s="5">
        <f>_xlfn.XLOOKUP(CustomerCombined[[#This Row],[ID]], Table4[ID], Table4[Regular], "Not Found", 0)</f>
        <v>1709</v>
      </c>
      <c r="R1117" s="5">
        <f>_xlfn.XLOOKUP(CustomerCombined[[#This Row],[ID]], Table4[ID], Table4[Deals], "Not Found", 0)</f>
        <v>3</v>
      </c>
      <c r="S1117" s="5">
        <f>_xlfn.XLOOKUP(CustomerCombined[[#This Row],[ID]], Table4[ID], Table4[Website], "Not Found", 0)</f>
        <v>7</v>
      </c>
      <c r="T1117" s="5">
        <f>_xlfn.XLOOKUP(CustomerCombined[[#This Row],[ID]], Table4[ID], Table4[Catalog], "Not Found", 0)</f>
        <v>6</v>
      </c>
      <c r="U1117" s="5">
        <f>_xlfn.XLOOKUP(CustomerCombined[[#This Row],[ID]], Table4[ID], Table4[Store], "Not Found", 0)</f>
        <v>6</v>
      </c>
      <c r="V1117" s="5">
        <f>_xlfn.XLOOKUP(CustomerCombined[[#This Row],[ID]], Table4[ID], Table4[Visits], "Not Found", 0)</f>
        <v>4</v>
      </c>
      <c r="W1117" s="8">
        <f>_xlfn.XLOOKUP(CustomerCombined[[#This Row],[ID]], Table2[ID],Table2[Complaint], "Not Found", 0 )</f>
        <v>0</v>
      </c>
      <c r="X1117" s="8">
        <f>_xlfn.XLOOKUP(CustomerCombined[[#This Row],[ID]], Table2[ID],Table2[Pilot], "Not Found", 0 )</f>
        <v>0</v>
      </c>
      <c r="Y1117" s="8">
        <f>_xlfn.XLOOKUP(CustomerCombined[[#This Row],[ID]], Table2[ID],Table2[MC1], "Not Found", 0 )</f>
        <v>0</v>
      </c>
      <c r="Z1117" s="8">
        <f>_xlfn.XLOOKUP(CustomerCombined[[#This Row],[ID]], Table2[ID],Table2[MC2], "Not Found", 0 )</f>
        <v>0</v>
      </c>
      <c r="AA1117" s="8">
        <f>_xlfn.XLOOKUP(CustomerCombined[[#This Row],[ID]], Table2[ID],Table2[MC3], "Not Found", 0 )</f>
        <v>1</v>
      </c>
      <c r="AB1117" s="8">
        <f>_xlfn.XLOOKUP(CustomerCombined[[#This Row],[ID]], Table2[ID],Table2[MC4], "Not Found", 0 )</f>
        <v>0</v>
      </c>
      <c r="AC1117" s="8">
        <f>_xlfn.XLOOKUP(CustomerCombined[[#This Row],[ID]], Table2[ID],Table2[MC5], "Not Found", 0 )</f>
        <v>0</v>
      </c>
    </row>
    <row r="1118" spans="1:29" x14ac:dyDescent="0.3">
      <c r="A1118" s="6">
        <v>1630</v>
      </c>
      <c r="B1118" s="6">
        <v>155282</v>
      </c>
      <c r="C1118" s="6">
        <v>1</v>
      </c>
      <c r="D1118" s="6">
        <v>0</v>
      </c>
      <c r="E1118" s="6">
        <v>50</v>
      </c>
      <c r="F1118" s="5" t="s">
        <v>5</v>
      </c>
      <c r="G1118" s="5" t="s">
        <v>12</v>
      </c>
      <c r="H1118" s="3" t="s">
        <v>135</v>
      </c>
      <c r="I1118" s="5" t="s">
        <v>439</v>
      </c>
      <c r="J1118" s="5">
        <f>_xlfn.XLOOKUP(CustomerCombined[[#This Row],[ID]], Table4[ID], Table4[Recency], "Not Found", 0)</f>
        <v>9</v>
      </c>
      <c r="K1118" s="5">
        <f>_xlfn.XLOOKUP(CustomerCombined[[#This Row],[ID]], Table4[ID], Table4[Teas], "Not Found", 0)</f>
        <v>351</v>
      </c>
      <c r="L1118" s="5">
        <f>_xlfn.XLOOKUP(CustomerCombined[[#This Row],[ID]], Table4[ID], Table4[Fruits], "Not Found", 0)</f>
        <v>17</v>
      </c>
      <c r="M1118" s="5">
        <f>_xlfn.XLOOKUP(CustomerCombined[[#This Row],[ID]], Table4[ID], Table4[Meats], "Not Found", 0)</f>
        <v>205</v>
      </c>
      <c r="N1118" s="5">
        <f>_xlfn.XLOOKUP(CustomerCombined[[#This Row],[ID]], Table4[ID], Table4[Seafood], "Not Found", 0)</f>
        <v>22</v>
      </c>
      <c r="O1118" s="5">
        <f>_xlfn.XLOOKUP(CustomerCombined[[#This Row],[ID]], Table4[ID], Table4[Sweets], "Not Found", 0)</f>
        <v>11</v>
      </c>
      <c r="P1118" s="5">
        <f>_xlfn.XLOOKUP(CustomerCombined[[#This Row],[ID]], Table4[ID], Table4[Premium], "Not Found", 0)</f>
        <v>53</v>
      </c>
      <c r="Q1118" s="5">
        <f>_xlfn.XLOOKUP(CustomerCombined[[#This Row],[ID]], Table4[ID], Table4[Regular], "Not Found", 0)</f>
        <v>553</v>
      </c>
      <c r="R1118" s="5">
        <f>_xlfn.XLOOKUP(CustomerCombined[[#This Row],[ID]], Table4[ID], Table4[Deals], "Not Found", 0)</f>
        <v>1</v>
      </c>
      <c r="S1118" s="5">
        <f>_xlfn.XLOOKUP(CustomerCombined[[#This Row],[ID]], Table4[ID], Table4[Website], "Not Found", 0)</f>
        <v>3</v>
      </c>
      <c r="T1118" s="5">
        <f>_xlfn.XLOOKUP(CustomerCombined[[#This Row],[ID]], Table4[ID], Table4[Catalog], "Not Found", 0)</f>
        <v>1</v>
      </c>
      <c r="U1118" s="5">
        <f>_xlfn.XLOOKUP(CustomerCombined[[#This Row],[ID]], Table4[ID], Table4[Store], "Not Found", 0)</f>
        <v>6</v>
      </c>
      <c r="V1118" s="5">
        <f>_xlfn.XLOOKUP(CustomerCombined[[#This Row],[ID]], Table4[ID], Table4[Visits], "Not Found", 0)</f>
        <v>4</v>
      </c>
      <c r="W1118" s="8">
        <f>_xlfn.XLOOKUP(CustomerCombined[[#This Row],[ID]], Table2[ID],Table2[Complaint], "Not Found", 0 )</f>
        <v>0</v>
      </c>
      <c r="X1118" s="8">
        <f>_xlfn.XLOOKUP(CustomerCombined[[#This Row],[ID]], Table2[ID],Table2[Pilot], "Not Found", 0 )</f>
        <v>0</v>
      </c>
      <c r="Y1118" s="8">
        <f>_xlfn.XLOOKUP(CustomerCombined[[#This Row],[ID]], Table2[ID],Table2[MC1], "Not Found", 0 )</f>
        <v>0</v>
      </c>
      <c r="Z1118" s="8">
        <f>_xlfn.XLOOKUP(CustomerCombined[[#This Row],[ID]], Table2[ID],Table2[MC2], "Not Found", 0 )</f>
        <v>0</v>
      </c>
      <c r="AA1118" s="8">
        <f>_xlfn.XLOOKUP(CustomerCombined[[#This Row],[ID]], Table2[ID],Table2[MC3], "Not Found", 0 )</f>
        <v>0</v>
      </c>
      <c r="AB1118" s="8">
        <f>_xlfn.XLOOKUP(CustomerCombined[[#This Row],[ID]], Table2[ID],Table2[MC4], "Not Found", 0 )</f>
        <v>0</v>
      </c>
      <c r="AC1118" s="8">
        <f>_xlfn.XLOOKUP(CustomerCombined[[#This Row],[ID]], Table2[ID],Table2[MC5], "Not Found", 0 )</f>
        <v>0</v>
      </c>
    </row>
    <row r="1119" spans="1:29" x14ac:dyDescent="0.3">
      <c r="A1119" s="6">
        <v>2236</v>
      </c>
      <c r="B1119" s="6">
        <v>155158</v>
      </c>
      <c r="C1119" s="6">
        <v>1</v>
      </c>
      <c r="D1119" s="6">
        <v>1</v>
      </c>
      <c r="E1119" s="6">
        <v>50</v>
      </c>
      <c r="F1119" s="5" t="s">
        <v>6</v>
      </c>
      <c r="G1119" s="5" t="s">
        <v>13</v>
      </c>
      <c r="H1119" s="3">
        <v>43556</v>
      </c>
      <c r="I1119" s="5" t="s">
        <v>439</v>
      </c>
      <c r="J1119" s="5">
        <f>_xlfn.XLOOKUP(CustomerCombined[[#This Row],[ID]], Table4[ID], Table4[Recency], "Not Found", 0)</f>
        <v>72</v>
      </c>
      <c r="K1119" s="5">
        <f>_xlfn.XLOOKUP(CustomerCombined[[#This Row],[ID]], Table4[ID], Table4[Teas], "Not Found", 0)</f>
        <v>824</v>
      </c>
      <c r="L1119" s="5">
        <f>_xlfn.XLOOKUP(CustomerCombined[[#This Row],[ID]], Table4[ID], Table4[Fruits], "Not Found", 0)</f>
        <v>0</v>
      </c>
      <c r="M1119" s="5">
        <f>_xlfn.XLOOKUP(CustomerCombined[[#This Row],[ID]], Table4[ID], Table4[Meats], "Not Found", 0)</f>
        <v>245</v>
      </c>
      <c r="N1119" s="5">
        <f>_xlfn.XLOOKUP(CustomerCombined[[#This Row],[ID]], Table4[ID], Table4[Seafood], "Not Found", 0)</f>
        <v>11</v>
      </c>
      <c r="O1119" s="5">
        <f>_xlfn.XLOOKUP(CustomerCombined[[#This Row],[ID]], Table4[ID], Table4[Sweets], "Not Found", 0)</f>
        <v>31</v>
      </c>
      <c r="P1119" s="5">
        <f>_xlfn.XLOOKUP(CustomerCombined[[#This Row],[ID]], Table4[ID], Table4[Premium], "Not Found", 0)</f>
        <v>65</v>
      </c>
      <c r="Q1119" s="5">
        <f>_xlfn.XLOOKUP(CustomerCombined[[#This Row],[ID]], Table4[ID], Table4[Regular], "Not Found", 0)</f>
        <v>1046</v>
      </c>
      <c r="R1119" s="5">
        <f>_xlfn.XLOOKUP(CustomerCombined[[#This Row],[ID]], Table4[ID], Table4[Deals], "Not Found", 0)</f>
        <v>4</v>
      </c>
      <c r="S1119" s="5">
        <f>_xlfn.XLOOKUP(CustomerCombined[[#This Row],[ID]], Table4[ID], Table4[Website], "Not Found", 0)</f>
        <v>7</v>
      </c>
      <c r="T1119" s="5">
        <f>_xlfn.XLOOKUP(CustomerCombined[[#This Row],[ID]], Table4[ID], Table4[Catalog], "Not Found", 0)</f>
        <v>2</v>
      </c>
      <c r="U1119" s="5">
        <f>_xlfn.XLOOKUP(CustomerCombined[[#This Row],[ID]], Table4[ID], Table4[Store], "Not Found", 0)</f>
        <v>5</v>
      </c>
      <c r="V1119" s="5">
        <f>_xlfn.XLOOKUP(CustomerCombined[[#This Row],[ID]], Table4[ID], Table4[Visits], "Not Found", 0)</f>
        <v>7</v>
      </c>
      <c r="W1119" s="8">
        <f>_xlfn.XLOOKUP(CustomerCombined[[#This Row],[ID]], Table2[ID],Table2[Complaint], "Not Found", 0 )</f>
        <v>0</v>
      </c>
      <c r="X1119" s="8">
        <f>_xlfn.XLOOKUP(CustomerCombined[[#This Row],[ID]], Table2[ID],Table2[Pilot], "Not Found", 0 )</f>
        <v>1</v>
      </c>
      <c r="Y1119" s="8">
        <f>_xlfn.XLOOKUP(CustomerCombined[[#This Row],[ID]], Table2[ID],Table2[MC1], "Not Found", 0 )</f>
        <v>0</v>
      </c>
      <c r="Z1119" s="8">
        <f>_xlfn.XLOOKUP(CustomerCombined[[#This Row],[ID]], Table2[ID],Table2[MC2], "Not Found", 0 )</f>
        <v>0</v>
      </c>
      <c r="AA1119" s="8">
        <f>_xlfn.XLOOKUP(CustomerCombined[[#This Row],[ID]], Table2[ID],Table2[MC3], "Not Found", 0 )</f>
        <v>0</v>
      </c>
      <c r="AB1119" s="8">
        <f>_xlfn.XLOOKUP(CustomerCombined[[#This Row],[ID]], Table2[ID],Table2[MC4], "Not Found", 0 )</f>
        <v>0</v>
      </c>
      <c r="AC1119" s="8">
        <f>_xlfn.XLOOKUP(CustomerCombined[[#This Row],[ID]], Table2[ID],Table2[MC5], "Not Found", 0 )</f>
        <v>0</v>
      </c>
    </row>
    <row r="1120" spans="1:29" x14ac:dyDescent="0.3">
      <c r="A1120" s="6">
        <v>1882</v>
      </c>
      <c r="B1120" s="6">
        <v>154137</v>
      </c>
      <c r="C1120" s="6">
        <v>0</v>
      </c>
      <c r="D1120" s="6">
        <v>1</v>
      </c>
      <c r="E1120" s="6">
        <v>50</v>
      </c>
      <c r="F1120" s="5" t="s">
        <v>5</v>
      </c>
      <c r="G1120" s="5" t="s">
        <v>11</v>
      </c>
      <c r="H1120" s="3" t="s">
        <v>201</v>
      </c>
      <c r="I1120" s="5" t="s">
        <v>439</v>
      </c>
      <c r="J1120" s="5">
        <f>_xlfn.XLOOKUP(CustomerCombined[[#This Row],[ID]], Table4[ID], Table4[Recency], "Not Found", 0)</f>
        <v>46</v>
      </c>
      <c r="K1120" s="5">
        <f>_xlfn.XLOOKUP(CustomerCombined[[#This Row],[ID]], Table4[ID], Table4[Teas], "Not Found", 0)</f>
        <v>487</v>
      </c>
      <c r="L1120" s="5">
        <f>_xlfn.XLOOKUP(CustomerCombined[[#This Row],[ID]], Table4[ID], Table4[Fruits], "Not Found", 0)</f>
        <v>0</v>
      </c>
      <c r="M1120" s="5">
        <f>_xlfn.XLOOKUP(CustomerCombined[[#This Row],[ID]], Table4[ID], Table4[Meats], "Not Found", 0)</f>
        <v>31</v>
      </c>
      <c r="N1120" s="5">
        <f>_xlfn.XLOOKUP(CustomerCombined[[#This Row],[ID]], Table4[ID], Table4[Seafood], "Not Found", 0)</f>
        <v>0</v>
      </c>
      <c r="O1120" s="5">
        <f>_xlfn.XLOOKUP(CustomerCombined[[#This Row],[ID]], Table4[ID], Table4[Sweets], "Not Found", 0)</f>
        <v>3</v>
      </c>
      <c r="P1120" s="5">
        <f>_xlfn.XLOOKUP(CustomerCombined[[#This Row],[ID]], Table4[ID], Table4[Premium], "Not Found", 0)</f>
        <v>57</v>
      </c>
      <c r="Q1120" s="5">
        <f>_xlfn.XLOOKUP(CustomerCombined[[#This Row],[ID]], Table4[ID], Table4[Regular], "Not Found", 0)</f>
        <v>464</v>
      </c>
      <c r="R1120" s="5">
        <f>_xlfn.XLOOKUP(CustomerCombined[[#This Row],[ID]], Table4[ID], Table4[Deals], "Not Found", 0)</f>
        <v>2</v>
      </c>
      <c r="S1120" s="5">
        <f>_xlfn.XLOOKUP(CustomerCombined[[#This Row],[ID]], Table4[ID], Table4[Website], "Not Found", 0)</f>
        <v>4</v>
      </c>
      <c r="T1120" s="5">
        <f>_xlfn.XLOOKUP(CustomerCombined[[#This Row],[ID]], Table4[ID], Table4[Catalog], "Not Found", 0)</f>
        <v>1</v>
      </c>
      <c r="U1120" s="5">
        <f>_xlfn.XLOOKUP(CustomerCombined[[#This Row],[ID]], Table4[ID], Table4[Store], "Not Found", 0)</f>
        <v>4</v>
      </c>
      <c r="V1120" s="5">
        <f>_xlfn.XLOOKUP(CustomerCombined[[#This Row],[ID]], Table4[ID], Table4[Visits], "Not Found", 0)</f>
        <v>6</v>
      </c>
      <c r="W1120" s="8">
        <f>_xlfn.XLOOKUP(CustomerCombined[[#This Row],[ID]], Table2[ID],Table2[Complaint], "Not Found", 0 )</f>
        <v>0</v>
      </c>
      <c r="X1120" s="8">
        <f>_xlfn.XLOOKUP(CustomerCombined[[#This Row],[ID]], Table2[ID],Table2[Pilot], "Not Found", 0 )</f>
        <v>0</v>
      </c>
      <c r="Y1120" s="8">
        <f>_xlfn.XLOOKUP(CustomerCombined[[#This Row],[ID]], Table2[ID],Table2[MC1], "Not Found", 0 )</f>
        <v>0</v>
      </c>
      <c r="Z1120" s="8">
        <f>_xlfn.XLOOKUP(CustomerCombined[[#This Row],[ID]], Table2[ID],Table2[MC2], "Not Found", 0 )</f>
        <v>0</v>
      </c>
      <c r="AA1120" s="8">
        <f>_xlfn.XLOOKUP(CustomerCombined[[#This Row],[ID]], Table2[ID],Table2[MC3], "Not Found", 0 )</f>
        <v>0</v>
      </c>
      <c r="AB1120" s="8">
        <f>_xlfn.XLOOKUP(CustomerCombined[[#This Row],[ID]], Table2[ID],Table2[MC4], "Not Found", 0 )</f>
        <v>0</v>
      </c>
      <c r="AC1120" s="8">
        <f>_xlfn.XLOOKUP(CustomerCombined[[#This Row],[ID]], Table2[ID],Table2[MC5], "Not Found", 0 )</f>
        <v>0</v>
      </c>
    </row>
    <row r="1121" spans="1:29" x14ac:dyDescent="0.3">
      <c r="A1121" s="6">
        <v>2084</v>
      </c>
      <c r="B1121" s="6">
        <v>153187</v>
      </c>
      <c r="C1121" s="6">
        <v>1</v>
      </c>
      <c r="D1121" s="6">
        <v>0</v>
      </c>
      <c r="E1121" s="6">
        <v>50</v>
      </c>
      <c r="F1121" s="5" t="s">
        <v>8</v>
      </c>
      <c r="G1121" s="5" t="s">
        <v>11</v>
      </c>
      <c r="H1121" s="3">
        <v>43834</v>
      </c>
      <c r="I1121" s="5" t="s">
        <v>438</v>
      </c>
      <c r="J1121" s="5">
        <f>_xlfn.XLOOKUP(CustomerCombined[[#This Row],[ID]], Table4[ID], Table4[Recency], "Not Found", 0)</f>
        <v>66</v>
      </c>
      <c r="K1121" s="5">
        <f>_xlfn.XLOOKUP(CustomerCombined[[#This Row],[ID]], Table4[ID], Table4[Teas], "Not Found", 0)</f>
        <v>608</v>
      </c>
      <c r="L1121" s="5">
        <f>_xlfn.XLOOKUP(CustomerCombined[[#This Row],[ID]], Table4[ID], Table4[Fruits], "Not Found", 0)</f>
        <v>6</v>
      </c>
      <c r="M1121" s="5">
        <f>_xlfn.XLOOKUP(CustomerCombined[[#This Row],[ID]], Table4[ID], Table4[Meats], "Not Found", 0)</f>
        <v>86</v>
      </c>
      <c r="N1121" s="5">
        <f>_xlfn.XLOOKUP(CustomerCombined[[#This Row],[ID]], Table4[ID], Table4[Seafood], "Not Found", 0)</f>
        <v>20</v>
      </c>
      <c r="O1121" s="5">
        <f>_xlfn.XLOOKUP(CustomerCombined[[#This Row],[ID]], Table4[ID], Table4[Sweets], "Not Found", 0)</f>
        <v>20</v>
      </c>
      <c r="P1121" s="5">
        <f>_xlfn.XLOOKUP(CustomerCombined[[#This Row],[ID]], Table4[ID], Table4[Premium], "Not Found", 0)</f>
        <v>29</v>
      </c>
      <c r="Q1121" s="5">
        <f>_xlfn.XLOOKUP(CustomerCombined[[#This Row],[ID]], Table4[ID], Table4[Regular], "Not Found", 0)</f>
        <v>711</v>
      </c>
      <c r="R1121" s="5">
        <f>_xlfn.XLOOKUP(CustomerCombined[[#This Row],[ID]], Table4[ID], Table4[Deals], "Not Found", 0)</f>
        <v>2</v>
      </c>
      <c r="S1121" s="5">
        <f>_xlfn.XLOOKUP(CustomerCombined[[#This Row],[ID]], Table4[ID], Table4[Website], "Not Found", 0)</f>
        <v>4</v>
      </c>
      <c r="T1121" s="5">
        <f>_xlfn.XLOOKUP(CustomerCombined[[#This Row],[ID]], Table4[ID], Table4[Catalog], "Not Found", 0)</f>
        <v>1</v>
      </c>
      <c r="U1121" s="5">
        <f>_xlfn.XLOOKUP(CustomerCombined[[#This Row],[ID]], Table4[ID], Table4[Store], "Not Found", 0)</f>
        <v>6</v>
      </c>
      <c r="V1121" s="5">
        <f>_xlfn.XLOOKUP(CustomerCombined[[#This Row],[ID]], Table4[ID], Table4[Visits], "Not Found", 0)</f>
        <v>5</v>
      </c>
      <c r="W1121" s="8">
        <f>_xlfn.XLOOKUP(CustomerCombined[[#This Row],[ID]], Table2[ID],Table2[Complaint], "Not Found", 0 )</f>
        <v>0</v>
      </c>
      <c r="X1121" s="8">
        <f>_xlfn.XLOOKUP(CustomerCombined[[#This Row],[ID]], Table2[ID],Table2[Pilot], "Not Found", 0 )</f>
        <v>0</v>
      </c>
      <c r="Y1121" s="8">
        <f>_xlfn.XLOOKUP(CustomerCombined[[#This Row],[ID]], Table2[ID],Table2[MC1], "Not Found", 0 )</f>
        <v>0</v>
      </c>
      <c r="Z1121" s="8">
        <f>_xlfn.XLOOKUP(CustomerCombined[[#This Row],[ID]], Table2[ID],Table2[MC2], "Not Found", 0 )</f>
        <v>0</v>
      </c>
      <c r="AA1121" s="8">
        <f>_xlfn.XLOOKUP(CustomerCombined[[#This Row],[ID]], Table2[ID],Table2[MC3], "Not Found", 0 )</f>
        <v>0</v>
      </c>
      <c r="AB1121" s="8">
        <f>_xlfn.XLOOKUP(CustomerCombined[[#This Row],[ID]], Table2[ID],Table2[MC4], "Not Found", 0 )</f>
        <v>0</v>
      </c>
      <c r="AC1121" s="8">
        <f>_xlfn.XLOOKUP(CustomerCombined[[#This Row],[ID]], Table2[ID],Table2[MC5], "Not Found", 0 )</f>
        <v>0</v>
      </c>
    </row>
    <row r="1122" spans="1:29" x14ac:dyDescent="0.3">
      <c r="A1122" s="6">
        <v>1161</v>
      </c>
      <c r="B1122" s="6">
        <v>150447</v>
      </c>
      <c r="C1122" s="6">
        <v>2</v>
      </c>
      <c r="D1122" s="6">
        <v>0</v>
      </c>
      <c r="E1122" s="6">
        <v>50</v>
      </c>
      <c r="F1122" s="5" t="s">
        <v>6</v>
      </c>
      <c r="G1122" s="5" t="s">
        <v>11</v>
      </c>
      <c r="H1122" s="3" t="s">
        <v>61</v>
      </c>
      <c r="I1122" s="5" t="s">
        <v>435</v>
      </c>
      <c r="J1122" s="5">
        <f>_xlfn.XLOOKUP(CustomerCombined[[#This Row],[ID]], Table4[ID], Table4[Recency], "Not Found", 0)</f>
        <v>4</v>
      </c>
      <c r="K1122" s="5">
        <f>_xlfn.XLOOKUP(CustomerCombined[[#This Row],[ID]], Table4[ID], Table4[Teas], "Not Found", 0)</f>
        <v>253</v>
      </c>
      <c r="L1122" s="5">
        <f>_xlfn.XLOOKUP(CustomerCombined[[#This Row],[ID]], Table4[ID], Table4[Fruits], "Not Found", 0)</f>
        <v>21</v>
      </c>
      <c r="M1122" s="5">
        <f>_xlfn.XLOOKUP(CustomerCombined[[#This Row],[ID]], Table4[ID], Table4[Meats], "Not Found", 0)</f>
        <v>72</v>
      </c>
      <c r="N1122" s="5">
        <f>_xlfn.XLOOKUP(CustomerCombined[[#This Row],[ID]], Table4[ID], Table4[Seafood], "Not Found", 0)</f>
        <v>6</v>
      </c>
      <c r="O1122" s="5">
        <f>_xlfn.XLOOKUP(CustomerCombined[[#This Row],[ID]], Table4[ID], Table4[Sweets], "Not Found", 0)</f>
        <v>9</v>
      </c>
      <c r="P1122" s="5">
        <f>_xlfn.XLOOKUP(CustomerCombined[[#This Row],[ID]], Table4[ID], Table4[Premium], "Not Found", 0)</f>
        <v>81</v>
      </c>
      <c r="Q1122" s="5">
        <f>_xlfn.XLOOKUP(CustomerCombined[[#This Row],[ID]], Table4[ID], Table4[Regular], "Not Found", 0)</f>
        <v>280</v>
      </c>
      <c r="R1122" s="5">
        <f>_xlfn.XLOOKUP(CustomerCombined[[#This Row],[ID]], Table4[ID], Table4[Deals], "Not Found", 0)</f>
        <v>1</v>
      </c>
      <c r="S1122" s="5">
        <f>_xlfn.XLOOKUP(CustomerCombined[[#This Row],[ID]], Table4[ID], Table4[Website], "Not Found", 0)</f>
        <v>3</v>
      </c>
      <c r="T1122" s="5">
        <f>_xlfn.XLOOKUP(CustomerCombined[[#This Row],[ID]], Table4[ID], Table4[Catalog], "Not Found", 0)</f>
        <v>1</v>
      </c>
      <c r="U1122" s="5">
        <f>_xlfn.XLOOKUP(CustomerCombined[[#This Row],[ID]], Table4[ID], Table4[Store], "Not Found", 0)</f>
        <v>3</v>
      </c>
      <c r="V1122" s="5">
        <f>_xlfn.XLOOKUP(CustomerCombined[[#This Row],[ID]], Table4[ID], Table4[Visits], "Not Found", 0)</f>
        <v>6</v>
      </c>
      <c r="W1122" s="8">
        <f>_xlfn.XLOOKUP(CustomerCombined[[#This Row],[ID]], Table2[ID],Table2[Complaint], "Not Found", 0 )</f>
        <v>0</v>
      </c>
      <c r="X1122" s="8">
        <f>_xlfn.XLOOKUP(CustomerCombined[[#This Row],[ID]], Table2[ID],Table2[Pilot], "Not Found", 0 )</f>
        <v>0</v>
      </c>
      <c r="Y1122" s="8">
        <f>_xlfn.XLOOKUP(CustomerCombined[[#This Row],[ID]], Table2[ID],Table2[MC1], "Not Found", 0 )</f>
        <v>0</v>
      </c>
      <c r="Z1122" s="8">
        <f>_xlfn.XLOOKUP(CustomerCombined[[#This Row],[ID]], Table2[ID],Table2[MC2], "Not Found", 0 )</f>
        <v>0</v>
      </c>
      <c r="AA1122" s="8">
        <f>_xlfn.XLOOKUP(CustomerCombined[[#This Row],[ID]], Table2[ID],Table2[MC3], "Not Found", 0 )</f>
        <v>0</v>
      </c>
      <c r="AB1122" s="8">
        <f>_xlfn.XLOOKUP(CustomerCombined[[#This Row],[ID]], Table2[ID],Table2[MC4], "Not Found", 0 )</f>
        <v>0</v>
      </c>
      <c r="AC1122" s="8">
        <f>_xlfn.XLOOKUP(CustomerCombined[[#This Row],[ID]], Table2[ID],Table2[MC5], "Not Found", 0 )</f>
        <v>0</v>
      </c>
    </row>
    <row r="1123" spans="1:29" x14ac:dyDescent="0.3">
      <c r="A1123" s="6">
        <v>3198</v>
      </c>
      <c r="B1123" s="6">
        <v>144802</v>
      </c>
      <c r="C1123" s="6">
        <v>0</v>
      </c>
      <c r="D1123" s="6">
        <v>0</v>
      </c>
      <c r="E1123" s="6">
        <v>50</v>
      </c>
      <c r="F1123" s="5" t="s">
        <v>7</v>
      </c>
      <c r="G1123" s="5" t="s">
        <v>12</v>
      </c>
      <c r="H1123" s="3" t="s">
        <v>407</v>
      </c>
      <c r="I1123" s="5" t="s">
        <v>436</v>
      </c>
      <c r="J1123" s="5">
        <f>_xlfn.XLOOKUP(CustomerCombined[[#This Row],[ID]], Table4[ID], Table4[Recency], "Not Found", 0)</f>
        <v>71</v>
      </c>
      <c r="K1123" s="5">
        <f>_xlfn.XLOOKUP(CustomerCombined[[#This Row],[ID]], Table4[ID], Table4[Teas], "Not Found", 0)</f>
        <v>2757</v>
      </c>
      <c r="L1123" s="5">
        <f>_xlfn.XLOOKUP(CustomerCombined[[#This Row],[ID]], Table4[ID], Table4[Fruits], "Not Found", 0)</f>
        <v>32</v>
      </c>
      <c r="M1123" s="5">
        <f>_xlfn.XLOOKUP(CustomerCombined[[#This Row],[ID]], Table4[ID], Table4[Meats], "Not Found", 0)</f>
        <v>462</v>
      </c>
      <c r="N1123" s="5">
        <f>_xlfn.XLOOKUP(CustomerCombined[[#This Row],[ID]], Table4[ID], Table4[Seafood], "Not Found", 0)</f>
        <v>42</v>
      </c>
      <c r="O1123" s="5">
        <f>_xlfn.XLOOKUP(CustomerCombined[[#This Row],[ID]], Table4[ID], Table4[Sweets], "Not Found", 0)</f>
        <v>32</v>
      </c>
      <c r="P1123" s="5">
        <f>_xlfn.XLOOKUP(CustomerCombined[[#This Row],[ID]], Table4[ID], Table4[Premium], "Not Found", 0)</f>
        <v>65</v>
      </c>
      <c r="Q1123" s="5">
        <f>_xlfn.XLOOKUP(CustomerCombined[[#This Row],[ID]], Table4[ID], Table4[Regular], "Not Found", 0)</f>
        <v>3261</v>
      </c>
      <c r="R1123" s="5">
        <f>_xlfn.XLOOKUP(CustomerCombined[[#This Row],[ID]], Table4[ID], Table4[Deals], "Not Found", 0)</f>
        <v>2</v>
      </c>
      <c r="S1123" s="5">
        <f>_xlfn.XLOOKUP(CustomerCombined[[#This Row],[ID]], Table4[ID], Table4[Website], "Not Found", 0)</f>
        <v>9</v>
      </c>
      <c r="T1123" s="5">
        <f>_xlfn.XLOOKUP(CustomerCombined[[#This Row],[ID]], Table4[ID], Table4[Catalog], "Not Found", 0)</f>
        <v>4</v>
      </c>
      <c r="U1123" s="5">
        <f>_xlfn.XLOOKUP(CustomerCombined[[#This Row],[ID]], Table4[ID], Table4[Store], "Not Found", 0)</f>
        <v>12</v>
      </c>
      <c r="V1123" s="5">
        <f>_xlfn.XLOOKUP(CustomerCombined[[#This Row],[ID]], Table4[ID], Table4[Visits], "Not Found", 0)</f>
        <v>8</v>
      </c>
      <c r="W1123" s="8">
        <f>_xlfn.XLOOKUP(CustomerCombined[[#This Row],[ID]], Table2[ID],Table2[Complaint], "Not Found", 0 )</f>
        <v>0</v>
      </c>
      <c r="X1123" s="8">
        <f>_xlfn.XLOOKUP(CustomerCombined[[#This Row],[ID]], Table2[ID],Table2[Pilot], "Not Found", 0 )</f>
        <v>0</v>
      </c>
      <c r="Y1123" s="8">
        <f>_xlfn.XLOOKUP(CustomerCombined[[#This Row],[ID]], Table2[ID],Table2[MC1], "Not Found", 0 )</f>
        <v>0</v>
      </c>
      <c r="Z1123" s="8">
        <f>_xlfn.XLOOKUP(CustomerCombined[[#This Row],[ID]], Table2[ID],Table2[MC2], "Not Found", 0 )</f>
        <v>0</v>
      </c>
      <c r="AA1123" s="8">
        <f>_xlfn.XLOOKUP(CustomerCombined[[#This Row],[ID]], Table2[ID],Table2[MC3], "Not Found", 0 )</f>
        <v>0</v>
      </c>
      <c r="AB1123" s="8">
        <f>_xlfn.XLOOKUP(CustomerCombined[[#This Row],[ID]], Table2[ID],Table2[MC4], "Not Found", 0 )</f>
        <v>0</v>
      </c>
      <c r="AC1123" s="8">
        <f>_xlfn.XLOOKUP(CustomerCombined[[#This Row],[ID]], Table2[ID],Table2[MC5], "Not Found", 0 )</f>
        <v>0</v>
      </c>
    </row>
    <row r="1124" spans="1:29" x14ac:dyDescent="0.3">
      <c r="A1124" s="6">
        <v>2380</v>
      </c>
      <c r="B1124" s="6">
        <v>144511</v>
      </c>
      <c r="C1124" s="6">
        <v>1</v>
      </c>
      <c r="D1124" s="6">
        <v>0</v>
      </c>
      <c r="E1124" s="6">
        <v>50</v>
      </c>
      <c r="F1124" s="5" t="s">
        <v>6</v>
      </c>
      <c r="G1124" s="5" t="s">
        <v>12</v>
      </c>
      <c r="H1124" s="3" t="s">
        <v>382</v>
      </c>
      <c r="I1124" s="5" t="s">
        <v>439</v>
      </c>
      <c r="J1124" s="5">
        <f>_xlfn.XLOOKUP(CustomerCombined[[#This Row],[ID]], Table4[ID], Table4[Recency], "Not Found", 0)</f>
        <v>39</v>
      </c>
      <c r="K1124" s="5">
        <f>_xlfn.XLOOKUP(CustomerCombined[[#This Row],[ID]], Table4[ID], Table4[Teas], "Not Found", 0)</f>
        <v>1666</v>
      </c>
      <c r="L1124" s="5">
        <f>_xlfn.XLOOKUP(CustomerCombined[[#This Row],[ID]], Table4[ID], Table4[Fruits], "Not Found", 0)</f>
        <v>23</v>
      </c>
      <c r="M1124" s="5">
        <f>_xlfn.XLOOKUP(CustomerCombined[[#This Row],[ID]], Table4[ID], Table4[Meats], "Not Found", 0)</f>
        <v>432</v>
      </c>
      <c r="N1124" s="5">
        <f>_xlfn.XLOOKUP(CustomerCombined[[#This Row],[ID]], Table4[ID], Table4[Seafood], "Not Found", 0)</f>
        <v>149</v>
      </c>
      <c r="O1124" s="5">
        <f>_xlfn.XLOOKUP(CustomerCombined[[#This Row],[ID]], Table4[ID], Table4[Sweets], "Not Found", 0)</f>
        <v>45</v>
      </c>
      <c r="P1124" s="5">
        <f>_xlfn.XLOOKUP(CustomerCombined[[#This Row],[ID]], Table4[ID], Table4[Premium], "Not Found", 0)</f>
        <v>45</v>
      </c>
      <c r="Q1124" s="5">
        <f>_xlfn.XLOOKUP(CustomerCombined[[#This Row],[ID]], Table4[ID], Table4[Regular], "Not Found", 0)</f>
        <v>2269</v>
      </c>
      <c r="R1124" s="5">
        <f>_xlfn.XLOOKUP(CustomerCombined[[#This Row],[ID]], Table4[ID], Table4[Deals], "Not Found", 0)</f>
        <v>6</v>
      </c>
      <c r="S1124" s="5">
        <f>_xlfn.XLOOKUP(CustomerCombined[[#This Row],[ID]], Table4[ID], Table4[Website], "Not Found", 0)</f>
        <v>8</v>
      </c>
      <c r="T1124" s="5">
        <f>_xlfn.XLOOKUP(CustomerCombined[[#This Row],[ID]], Table4[ID], Table4[Catalog], "Not Found", 0)</f>
        <v>4</v>
      </c>
      <c r="U1124" s="5">
        <f>_xlfn.XLOOKUP(CustomerCombined[[#This Row],[ID]], Table4[ID], Table4[Store], "Not Found", 0)</f>
        <v>8</v>
      </c>
      <c r="V1124" s="5">
        <f>_xlfn.XLOOKUP(CustomerCombined[[#This Row],[ID]], Table4[ID], Table4[Visits], "Not Found", 0)</f>
        <v>8</v>
      </c>
      <c r="W1124" s="8">
        <f>_xlfn.XLOOKUP(CustomerCombined[[#This Row],[ID]], Table2[ID],Table2[Complaint], "Not Found", 0 )</f>
        <v>0</v>
      </c>
      <c r="X1124" s="8">
        <f>_xlfn.XLOOKUP(CustomerCombined[[#This Row],[ID]], Table2[ID],Table2[Pilot], "Not Found", 0 )</f>
        <v>0</v>
      </c>
      <c r="Y1124" s="8">
        <f>_xlfn.XLOOKUP(CustomerCombined[[#This Row],[ID]], Table2[ID],Table2[MC1], "Not Found", 0 )</f>
        <v>0</v>
      </c>
      <c r="Z1124" s="8">
        <f>_xlfn.XLOOKUP(CustomerCombined[[#This Row],[ID]], Table2[ID],Table2[MC2], "Not Found", 0 )</f>
        <v>0</v>
      </c>
      <c r="AA1124" s="8">
        <f>_xlfn.XLOOKUP(CustomerCombined[[#This Row],[ID]], Table2[ID],Table2[MC3], "Not Found", 0 )</f>
        <v>0</v>
      </c>
      <c r="AB1124" s="8">
        <f>_xlfn.XLOOKUP(CustomerCombined[[#This Row],[ID]], Table2[ID],Table2[MC4], "Not Found", 0 )</f>
        <v>0</v>
      </c>
      <c r="AC1124" s="8">
        <f>_xlfn.XLOOKUP(CustomerCombined[[#This Row],[ID]], Table2[ID],Table2[MC5], "Not Found", 0 )</f>
        <v>0</v>
      </c>
    </row>
    <row r="1125" spans="1:29" x14ac:dyDescent="0.3">
      <c r="A1125" s="6">
        <v>2283</v>
      </c>
      <c r="B1125" s="6">
        <v>144267</v>
      </c>
      <c r="C1125" s="6">
        <v>1</v>
      </c>
      <c r="D1125" s="6">
        <v>1</v>
      </c>
      <c r="E1125" s="6">
        <v>50</v>
      </c>
      <c r="F1125" s="5" t="s">
        <v>5</v>
      </c>
      <c r="G1125" s="5" t="s">
        <v>11</v>
      </c>
      <c r="H1125" s="3">
        <v>43504</v>
      </c>
      <c r="I1125" s="5" t="s">
        <v>435</v>
      </c>
      <c r="J1125" s="5">
        <f>_xlfn.XLOOKUP(CustomerCombined[[#This Row],[ID]], Table4[ID], Table4[Recency], "Not Found", 0)</f>
        <v>48</v>
      </c>
      <c r="K1125" s="5">
        <f>_xlfn.XLOOKUP(CustomerCombined[[#This Row],[ID]], Table4[ID], Table4[Teas], "Not Found", 0)</f>
        <v>596</v>
      </c>
      <c r="L1125" s="5">
        <f>_xlfn.XLOOKUP(CustomerCombined[[#This Row],[ID]], Table4[ID], Table4[Fruits], "Not Found", 0)</f>
        <v>16</v>
      </c>
      <c r="M1125" s="5">
        <f>_xlfn.XLOOKUP(CustomerCombined[[#This Row],[ID]], Table4[ID], Table4[Meats], "Not Found", 0)</f>
        <v>212</v>
      </c>
      <c r="N1125" s="5">
        <f>_xlfn.XLOOKUP(CustomerCombined[[#This Row],[ID]], Table4[ID], Table4[Seafood], "Not Found", 0)</f>
        <v>10</v>
      </c>
      <c r="O1125" s="5">
        <f>_xlfn.XLOOKUP(CustomerCombined[[#This Row],[ID]], Table4[ID], Table4[Sweets], "Not Found", 0)</f>
        <v>16</v>
      </c>
      <c r="P1125" s="5">
        <f>_xlfn.XLOOKUP(CustomerCombined[[#This Row],[ID]], Table4[ID], Table4[Premium], "Not Found", 0)</f>
        <v>160</v>
      </c>
      <c r="Q1125" s="5">
        <f>_xlfn.XLOOKUP(CustomerCombined[[#This Row],[ID]], Table4[ID], Table4[Regular], "Not Found", 0)</f>
        <v>691</v>
      </c>
      <c r="R1125" s="5">
        <f>_xlfn.XLOOKUP(CustomerCombined[[#This Row],[ID]], Table4[ID], Table4[Deals], "Not Found", 0)</f>
        <v>5</v>
      </c>
      <c r="S1125" s="5">
        <f>_xlfn.XLOOKUP(CustomerCombined[[#This Row],[ID]], Table4[ID], Table4[Website], "Not Found", 0)</f>
        <v>5</v>
      </c>
      <c r="T1125" s="5">
        <f>_xlfn.XLOOKUP(CustomerCombined[[#This Row],[ID]], Table4[ID], Table4[Catalog], "Not Found", 0)</f>
        <v>2</v>
      </c>
      <c r="U1125" s="5">
        <f>_xlfn.XLOOKUP(CustomerCombined[[#This Row],[ID]], Table4[ID], Table4[Store], "Not Found", 0)</f>
        <v>4</v>
      </c>
      <c r="V1125" s="5">
        <f>_xlfn.XLOOKUP(CustomerCombined[[#This Row],[ID]], Table4[ID], Table4[Visits], "Not Found", 0)</f>
        <v>9</v>
      </c>
      <c r="W1125" s="8">
        <f>_xlfn.XLOOKUP(CustomerCombined[[#This Row],[ID]], Table2[ID],Table2[Complaint], "Not Found", 0 )</f>
        <v>0</v>
      </c>
      <c r="X1125" s="8">
        <f>_xlfn.XLOOKUP(CustomerCombined[[#This Row],[ID]], Table2[ID],Table2[Pilot], "Not Found", 0 )</f>
        <v>0</v>
      </c>
      <c r="Y1125" s="8">
        <f>_xlfn.XLOOKUP(CustomerCombined[[#This Row],[ID]], Table2[ID],Table2[MC1], "Not Found", 0 )</f>
        <v>0</v>
      </c>
      <c r="Z1125" s="8">
        <f>_xlfn.XLOOKUP(CustomerCombined[[#This Row],[ID]], Table2[ID],Table2[MC2], "Not Found", 0 )</f>
        <v>0</v>
      </c>
      <c r="AA1125" s="8">
        <f>_xlfn.XLOOKUP(CustomerCombined[[#This Row],[ID]], Table2[ID],Table2[MC3], "Not Found", 0 )</f>
        <v>0</v>
      </c>
      <c r="AB1125" s="8">
        <f>_xlfn.XLOOKUP(CustomerCombined[[#This Row],[ID]], Table2[ID],Table2[MC4], "Not Found", 0 )</f>
        <v>0</v>
      </c>
      <c r="AC1125" s="8">
        <f>_xlfn.XLOOKUP(CustomerCombined[[#This Row],[ID]], Table2[ID],Table2[MC5], "Not Found", 0 )</f>
        <v>0</v>
      </c>
    </row>
    <row r="1126" spans="1:29" x14ac:dyDescent="0.3">
      <c r="A1126" s="6">
        <v>1249</v>
      </c>
      <c r="B1126" s="6">
        <v>144159</v>
      </c>
      <c r="C1126" s="6">
        <v>1</v>
      </c>
      <c r="D1126" s="6">
        <v>0</v>
      </c>
      <c r="E1126" s="6">
        <v>50</v>
      </c>
      <c r="F1126" s="5" t="s">
        <v>6</v>
      </c>
      <c r="G1126" s="5" t="s">
        <v>12</v>
      </c>
      <c r="H1126" s="3" t="s">
        <v>32</v>
      </c>
      <c r="I1126" s="5" t="s">
        <v>437</v>
      </c>
      <c r="J1126" s="5">
        <f>_xlfn.XLOOKUP(CustomerCombined[[#This Row],[ID]], Table4[ID], Table4[Recency], "Not Found", 0)</f>
        <v>85</v>
      </c>
      <c r="K1126" s="5">
        <f>_xlfn.XLOOKUP(CustomerCombined[[#This Row],[ID]], Table4[ID], Table4[Teas], "Not Found", 0)</f>
        <v>545</v>
      </c>
      <c r="L1126" s="5">
        <f>_xlfn.XLOOKUP(CustomerCombined[[#This Row],[ID]], Table4[ID], Table4[Fruits], "Not Found", 0)</f>
        <v>7</v>
      </c>
      <c r="M1126" s="5">
        <f>_xlfn.XLOOKUP(CustomerCombined[[#This Row],[ID]], Table4[ID], Table4[Meats], "Not Found", 0)</f>
        <v>202</v>
      </c>
      <c r="N1126" s="5">
        <f>_xlfn.XLOOKUP(CustomerCombined[[#This Row],[ID]], Table4[ID], Table4[Seafood], "Not Found", 0)</f>
        <v>78</v>
      </c>
      <c r="O1126" s="5">
        <f>_xlfn.XLOOKUP(CustomerCombined[[#This Row],[ID]], Table4[ID], Table4[Sweets], "Not Found", 0)</f>
        <v>42</v>
      </c>
      <c r="P1126" s="5">
        <f>_xlfn.XLOOKUP(CustomerCombined[[#This Row],[ID]], Table4[ID], Table4[Premium], "Not Found", 0)</f>
        <v>23</v>
      </c>
      <c r="Q1126" s="5">
        <f>_xlfn.XLOOKUP(CustomerCombined[[#This Row],[ID]], Table4[ID], Table4[Regular], "Not Found", 0)</f>
        <v>852</v>
      </c>
      <c r="R1126" s="5">
        <f>_xlfn.XLOOKUP(CustomerCombined[[#This Row],[ID]], Table4[ID], Table4[Deals], "Not Found", 0)</f>
        <v>4</v>
      </c>
      <c r="S1126" s="5">
        <f>_xlfn.XLOOKUP(CustomerCombined[[#This Row],[ID]], Table4[ID], Table4[Website], "Not Found", 0)</f>
        <v>4</v>
      </c>
      <c r="T1126" s="5">
        <f>_xlfn.XLOOKUP(CustomerCombined[[#This Row],[ID]], Table4[ID], Table4[Catalog], "Not Found", 0)</f>
        <v>1</v>
      </c>
      <c r="U1126" s="5">
        <f>_xlfn.XLOOKUP(CustomerCombined[[#This Row],[ID]], Table4[ID], Table4[Store], "Not Found", 0)</f>
        <v>6</v>
      </c>
      <c r="V1126" s="5">
        <f>_xlfn.XLOOKUP(CustomerCombined[[#This Row],[ID]], Table4[ID], Table4[Visits], "Not Found", 0)</f>
        <v>5</v>
      </c>
      <c r="W1126" s="8">
        <f>_xlfn.XLOOKUP(CustomerCombined[[#This Row],[ID]], Table2[ID],Table2[Complaint], "Not Found", 0 )</f>
        <v>0</v>
      </c>
      <c r="X1126" s="8">
        <f>_xlfn.XLOOKUP(CustomerCombined[[#This Row],[ID]], Table2[ID],Table2[Pilot], "Not Found", 0 )</f>
        <v>0</v>
      </c>
      <c r="Y1126" s="8">
        <f>_xlfn.XLOOKUP(CustomerCombined[[#This Row],[ID]], Table2[ID],Table2[MC1], "Not Found", 0 )</f>
        <v>0</v>
      </c>
      <c r="Z1126" s="8">
        <f>_xlfn.XLOOKUP(CustomerCombined[[#This Row],[ID]], Table2[ID],Table2[MC2], "Not Found", 0 )</f>
        <v>0</v>
      </c>
      <c r="AA1126" s="8">
        <f>_xlfn.XLOOKUP(CustomerCombined[[#This Row],[ID]], Table2[ID],Table2[MC3], "Not Found", 0 )</f>
        <v>0</v>
      </c>
      <c r="AB1126" s="8">
        <f>_xlfn.XLOOKUP(CustomerCombined[[#This Row],[ID]], Table2[ID],Table2[MC4], "Not Found", 0 )</f>
        <v>0</v>
      </c>
      <c r="AC1126" s="8">
        <f>_xlfn.XLOOKUP(CustomerCombined[[#This Row],[ID]], Table2[ID],Table2[MC5], "Not Found", 0 )</f>
        <v>0</v>
      </c>
    </row>
    <row r="1127" spans="1:29" x14ac:dyDescent="0.3">
      <c r="A1127" s="6">
        <v>3020</v>
      </c>
      <c r="B1127" s="6">
        <v>143020</v>
      </c>
      <c r="C1127" s="6">
        <v>1</v>
      </c>
      <c r="D1127" s="6">
        <v>0</v>
      </c>
      <c r="E1127" s="6">
        <v>50</v>
      </c>
      <c r="F1127" s="5" t="s">
        <v>7</v>
      </c>
      <c r="G1127" s="5" t="s">
        <v>11</v>
      </c>
      <c r="H1127" s="3">
        <v>43987</v>
      </c>
      <c r="I1127" s="5" t="s">
        <v>438</v>
      </c>
      <c r="J1127" s="5">
        <f>_xlfn.XLOOKUP(CustomerCombined[[#This Row],[ID]], Table4[ID], Table4[Recency], "Not Found", 0)</f>
        <v>79</v>
      </c>
      <c r="K1127" s="5">
        <f>_xlfn.XLOOKUP(CustomerCombined[[#This Row],[ID]], Table4[ID], Table4[Teas], "Not Found", 0)</f>
        <v>150</v>
      </c>
      <c r="L1127" s="5">
        <f>_xlfn.XLOOKUP(CustomerCombined[[#This Row],[ID]], Table4[ID], Table4[Fruits], "Not Found", 0)</f>
        <v>23</v>
      </c>
      <c r="M1127" s="5">
        <f>_xlfn.XLOOKUP(CustomerCombined[[#This Row],[ID]], Table4[ID], Table4[Meats], "Not Found", 0)</f>
        <v>329</v>
      </c>
      <c r="N1127" s="5">
        <f>_xlfn.XLOOKUP(CustomerCombined[[#This Row],[ID]], Table4[ID], Table4[Seafood], "Not Found", 0)</f>
        <v>13</v>
      </c>
      <c r="O1127" s="5">
        <f>_xlfn.XLOOKUP(CustomerCombined[[#This Row],[ID]], Table4[ID], Table4[Sweets], "Not Found", 0)</f>
        <v>83</v>
      </c>
      <c r="P1127" s="5">
        <f>_xlfn.XLOOKUP(CustomerCombined[[#This Row],[ID]], Table4[ID], Table4[Premium], "Not Found", 0)</f>
        <v>143</v>
      </c>
      <c r="Q1127" s="5">
        <f>_xlfn.XLOOKUP(CustomerCombined[[#This Row],[ID]], Table4[ID], Table4[Regular], "Not Found", 0)</f>
        <v>455</v>
      </c>
      <c r="R1127" s="5">
        <f>_xlfn.XLOOKUP(CustomerCombined[[#This Row],[ID]], Table4[ID], Table4[Deals], "Not Found", 0)</f>
        <v>3</v>
      </c>
      <c r="S1127" s="5">
        <f>_xlfn.XLOOKUP(CustomerCombined[[#This Row],[ID]], Table4[ID], Table4[Website], "Not Found", 0)</f>
        <v>4</v>
      </c>
      <c r="T1127" s="5">
        <f>_xlfn.XLOOKUP(CustomerCombined[[#This Row],[ID]], Table4[ID], Table4[Catalog], "Not Found", 0)</f>
        <v>1</v>
      </c>
      <c r="U1127" s="5">
        <f>_xlfn.XLOOKUP(CustomerCombined[[#This Row],[ID]], Table4[ID], Table4[Store], "Not Found", 0)</f>
        <v>4</v>
      </c>
      <c r="V1127" s="5">
        <f>_xlfn.XLOOKUP(CustomerCombined[[#This Row],[ID]], Table4[ID], Table4[Visits], "Not Found", 0)</f>
        <v>6</v>
      </c>
      <c r="W1127" s="8">
        <f>_xlfn.XLOOKUP(CustomerCombined[[#This Row],[ID]], Table2[ID],Table2[Complaint], "Not Found", 0 )</f>
        <v>0</v>
      </c>
      <c r="X1127" s="8">
        <f>_xlfn.XLOOKUP(CustomerCombined[[#This Row],[ID]], Table2[ID],Table2[Pilot], "Not Found", 0 )</f>
        <v>0</v>
      </c>
      <c r="Y1127" s="8">
        <f>_xlfn.XLOOKUP(CustomerCombined[[#This Row],[ID]], Table2[ID],Table2[MC1], "Not Found", 0 )</f>
        <v>0</v>
      </c>
      <c r="Z1127" s="8">
        <f>_xlfn.XLOOKUP(CustomerCombined[[#This Row],[ID]], Table2[ID],Table2[MC2], "Not Found", 0 )</f>
        <v>0</v>
      </c>
      <c r="AA1127" s="8">
        <f>_xlfn.XLOOKUP(CustomerCombined[[#This Row],[ID]], Table2[ID],Table2[MC3], "Not Found", 0 )</f>
        <v>0</v>
      </c>
      <c r="AB1127" s="8">
        <f>_xlfn.XLOOKUP(CustomerCombined[[#This Row],[ID]], Table2[ID],Table2[MC4], "Not Found", 0 )</f>
        <v>0</v>
      </c>
      <c r="AC1127" s="8">
        <f>_xlfn.XLOOKUP(CustomerCombined[[#This Row],[ID]], Table2[ID],Table2[MC5], "Not Found", 0 )</f>
        <v>0</v>
      </c>
    </row>
    <row r="1128" spans="1:29" x14ac:dyDescent="0.3">
      <c r="A1128" s="6">
        <v>1031</v>
      </c>
      <c r="B1128" s="6">
        <v>140548</v>
      </c>
      <c r="C1128" s="6">
        <v>0</v>
      </c>
      <c r="D1128" s="6">
        <v>1</v>
      </c>
      <c r="E1128" s="6">
        <v>50</v>
      </c>
      <c r="F1128" s="5" t="s">
        <v>8</v>
      </c>
      <c r="G1128" s="5" t="s">
        <v>11</v>
      </c>
      <c r="H1128" s="3" t="s">
        <v>384</v>
      </c>
      <c r="I1128" s="5" t="s">
        <v>434</v>
      </c>
      <c r="J1128" s="5">
        <f>_xlfn.XLOOKUP(CustomerCombined[[#This Row],[ID]], Table4[ID], Table4[Recency], "Not Found", 0)</f>
        <v>31</v>
      </c>
      <c r="K1128" s="5">
        <f>_xlfn.XLOOKUP(CustomerCombined[[#This Row],[ID]], Table4[ID], Table4[Teas], "Not Found", 0)</f>
        <v>381</v>
      </c>
      <c r="L1128" s="5">
        <f>_xlfn.XLOOKUP(CustomerCombined[[#This Row],[ID]], Table4[ID], Table4[Fruits], "Not Found", 0)</f>
        <v>0</v>
      </c>
      <c r="M1128" s="5">
        <f>_xlfn.XLOOKUP(CustomerCombined[[#This Row],[ID]], Table4[ID], Table4[Meats], "Not Found", 0)</f>
        <v>17</v>
      </c>
      <c r="N1128" s="5">
        <f>_xlfn.XLOOKUP(CustomerCombined[[#This Row],[ID]], Table4[ID], Table4[Seafood], "Not Found", 0)</f>
        <v>7</v>
      </c>
      <c r="O1128" s="5">
        <f>_xlfn.XLOOKUP(CustomerCombined[[#This Row],[ID]], Table4[ID], Table4[Sweets], "Not Found", 0)</f>
        <v>0</v>
      </c>
      <c r="P1128" s="5">
        <f>_xlfn.XLOOKUP(CustomerCombined[[#This Row],[ID]], Table4[ID], Table4[Premium], "Not Found", 0)</f>
        <v>10</v>
      </c>
      <c r="Q1128" s="5">
        <f>_xlfn.XLOOKUP(CustomerCombined[[#This Row],[ID]], Table4[ID], Table4[Regular], "Not Found", 0)</f>
        <v>395</v>
      </c>
      <c r="R1128" s="5">
        <f>_xlfn.XLOOKUP(CustomerCombined[[#This Row],[ID]], Table4[ID], Table4[Deals], "Not Found", 0)</f>
        <v>2</v>
      </c>
      <c r="S1128" s="5">
        <f>_xlfn.XLOOKUP(CustomerCombined[[#This Row],[ID]], Table4[ID], Table4[Website], "Not Found", 0)</f>
        <v>2</v>
      </c>
      <c r="T1128" s="5">
        <f>_xlfn.XLOOKUP(CustomerCombined[[#This Row],[ID]], Table4[ID], Table4[Catalog], "Not Found", 0)</f>
        <v>1</v>
      </c>
      <c r="U1128" s="5">
        <f>_xlfn.XLOOKUP(CustomerCombined[[#This Row],[ID]], Table4[ID], Table4[Store], "Not Found", 0)</f>
        <v>4</v>
      </c>
      <c r="V1128" s="5">
        <f>_xlfn.XLOOKUP(CustomerCombined[[#This Row],[ID]], Table4[ID], Table4[Visits], "Not Found", 0)</f>
        <v>5</v>
      </c>
      <c r="W1128" s="8">
        <f>_xlfn.XLOOKUP(CustomerCombined[[#This Row],[ID]], Table2[ID],Table2[Complaint], "Not Found", 0 )</f>
        <v>0</v>
      </c>
      <c r="X1128" s="8">
        <f>_xlfn.XLOOKUP(CustomerCombined[[#This Row],[ID]], Table2[ID],Table2[Pilot], "Not Found", 0 )</f>
        <v>0</v>
      </c>
      <c r="Y1128" s="8">
        <f>_xlfn.XLOOKUP(CustomerCombined[[#This Row],[ID]], Table2[ID],Table2[MC1], "Not Found", 0 )</f>
        <v>0</v>
      </c>
      <c r="Z1128" s="8">
        <f>_xlfn.XLOOKUP(CustomerCombined[[#This Row],[ID]], Table2[ID],Table2[MC2], "Not Found", 0 )</f>
        <v>0</v>
      </c>
      <c r="AA1128" s="8">
        <f>_xlfn.XLOOKUP(CustomerCombined[[#This Row],[ID]], Table2[ID],Table2[MC3], "Not Found", 0 )</f>
        <v>0</v>
      </c>
      <c r="AB1128" s="8">
        <f>_xlfn.XLOOKUP(CustomerCombined[[#This Row],[ID]], Table2[ID],Table2[MC4], "Not Found", 0 )</f>
        <v>1</v>
      </c>
      <c r="AC1128" s="8">
        <f>_xlfn.XLOOKUP(CustomerCombined[[#This Row],[ID]], Table2[ID],Table2[MC5], "Not Found", 0 )</f>
        <v>0</v>
      </c>
    </row>
    <row r="1129" spans="1:29" x14ac:dyDescent="0.3">
      <c r="A1129" s="6">
        <v>1166</v>
      </c>
      <c r="B1129" s="6">
        <v>138853</v>
      </c>
      <c r="C1129" s="6">
        <v>1</v>
      </c>
      <c r="D1129" s="6">
        <v>1</v>
      </c>
      <c r="E1129" s="6">
        <v>50</v>
      </c>
      <c r="F1129" s="5" t="s">
        <v>6</v>
      </c>
      <c r="G1129" s="5" t="s">
        <v>13</v>
      </c>
      <c r="H1129" s="3" t="s">
        <v>44</v>
      </c>
      <c r="I1129" s="5" t="s">
        <v>438</v>
      </c>
      <c r="J1129" s="5">
        <f>_xlfn.XLOOKUP(CustomerCombined[[#This Row],[ID]], Table4[ID], Table4[Recency], "Not Found", 0)</f>
        <v>90</v>
      </c>
      <c r="K1129" s="5">
        <f>_xlfn.XLOOKUP(CustomerCombined[[#This Row],[ID]], Table4[ID], Table4[Teas], "Not Found", 0)</f>
        <v>104</v>
      </c>
      <c r="L1129" s="5">
        <f>_xlfn.XLOOKUP(CustomerCombined[[#This Row],[ID]], Table4[ID], Table4[Fruits], "Not Found", 0)</f>
        <v>0</v>
      </c>
      <c r="M1129" s="5">
        <f>_xlfn.XLOOKUP(CustomerCombined[[#This Row],[ID]], Table4[ID], Table4[Meats], "Not Found", 0)</f>
        <v>50</v>
      </c>
      <c r="N1129" s="5">
        <f>_xlfn.XLOOKUP(CustomerCombined[[#This Row],[ID]], Table4[ID], Table4[Seafood], "Not Found", 0)</f>
        <v>0</v>
      </c>
      <c r="O1129" s="5">
        <f>_xlfn.XLOOKUP(CustomerCombined[[#This Row],[ID]], Table4[ID], Table4[Sweets], "Not Found", 0)</f>
        <v>0</v>
      </c>
      <c r="P1129" s="5">
        <f>_xlfn.XLOOKUP(CustomerCombined[[#This Row],[ID]], Table4[ID], Table4[Premium], "Not Found", 0)</f>
        <v>7</v>
      </c>
      <c r="Q1129" s="5">
        <f>_xlfn.XLOOKUP(CustomerCombined[[#This Row],[ID]], Table4[ID], Table4[Regular], "Not Found", 0)</f>
        <v>147</v>
      </c>
      <c r="R1129" s="5">
        <f>_xlfn.XLOOKUP(CustomerCombined[[#This Row],[ID]], Table4[ID], Table4[Deals], "Not Found", 0)</f>
        <v>2</v>
      </c>
      <c r="S1129" s="5">
        <f>_xlfn.XLOOKUP(CustomerCombined[[#This Row],[ID]], Table4[ID], Table4[Website], "Not Found", 0)</f>
        <v>2</v>
      </c>
      <c r="T1129" s="5">
        <f>_xlfn.XLOOKUP(CustomerCombined[[#This Row],[ID]], Table4[ID], Table4[Catalog], "Not Found", 0)</f>
        <v>0</v>
      </c>
      <c r="U1129" s="5">
        <f>_xlfn.XLOOKUP(CustomerCombined[[#This Row],[ID]], Table4[ID], Table4[Store], "Not Found", 0)</f>
        <v>3</v>
      </c>
      <c r="V1129" s="5">
        <f>_xlfn.XLOOKUP(CustomerCombined[[#This Row],[ID]], Table4[ID], Table4[Visits], "Not Found", 0)</f>
        <v>7</v>
      </c>
      <c r="W1129" s="8">
        <f>_xlfn.XLOOKUP(CustomerCombined[[#This Row],[ID]], Table2[ID],Table2[Complaint], "Not Found", 0 )</f>
        <v>0</v>
      </c>
      <c r="X1129" s="8">
        <f>_xlfn.XLOOKUP(CustomerCombined[[#This Row],[ID]], Table2[ID],Table2[Pilot], "Not Found", 0 )</f>
        <v>0</v>
      </c>
      <c r="Y1129" s="8">
        <f>_xlfn.XLOOKUP(CustomerCombined[[#This Row],[ID]], Table2[ID],Table2[MC1], "Not Found", 0 )</f>
        <v>0</v>
      </c>
      <c r="Z1129" s="8">
        <f>_xlfn.XLOOKUP(CustomerCombined[[#This Row],[ID]], Table2[ID],Table2[MC2], "Not Found", 0 )</f>
        <v>0</v>
      </c>
      <c r="AA1129" s="8">
        <f>_xlfn.XLOOKUP(CustomerCombined[[#This Row],[ID]], Table2[ID],Table2[MC3], "Not Found", 0 )</f>
        <v>0</v>
      </c>
      <c r="AB1129" s="8">
        <f>_xlfn.XLOOKUP(CustomerCombined[[#This Row],[ID]], Table2[ID],Table2[MC4], "Not Found", 0 )</f>
        <v>0</v>
      </c>
      <c r="AC1129" s="8">
        <f>_xlfn.XLOOKUP(CustomerCombined[[#This Row],[ID]], Table2[ID],Table2[MC5], "Not Found", 0 )</f>
        <v>0</v>
      </c>
    </row>
    <row r="1130" spans="1:29" x14ac:dyDescent="0.3">
      <c r="A1130" s="6">
        <v>1553</v>
      </c>
      <c r="B1130" s="6">
        <v>138200</v>
      </c>
      <c r="C1130" s="6">
        <v>1</v>
      </c>
      <c r="D1130" s="6">
        <v>1</v>
      </c>
      <c r="E1130" s="6">
        <v>50</v>
      </c>
      <c r="F1130" s="5" t="s">
        <v>8</v>
      </c>
      <c r="G1130" s="5" t="s">
        <v>11</v>
      </c>
      <c r="H1130" s="3" t="s">
        <v>351</v>
      </c>
      <c r="I1130" s="5" t="s">
        <v>434</v>
      </c>
      <c r="J1130" s="5">
        <f>_xlfn.XLOOKUP(CustomerCombined[[#This Row],[ID]], Table4[ID], Table4[Recency], "Not Found", 0)</f>
        <v>19</v>
      </c>
      <c r="K1130" s="5">
        <f>_xlfn.XLOOKUP(CustomerCombined[[#This Row],[ID]], Table4[ID], Table4[Teas], "Not Found", 0)</f>
        <v>43</v>
      </c>
      <c r="L1130" s="5">
        <f>_xlfn.XLOOKUP(CustomerCombined[[#This Row],[ID]], Table4[ID], Table4[Fruits], "Not Found", 0)</f>
        <v>0</v>
      </c>
      <c r="M1130" s="5">
        <f>_xlfn.XLOOKUP(CustomerCombined[[#This Row],[ID]], Table4[ID], Table4[Meats], "Not Found", 0)</f>
        <v>14</v>
      </c>
      <c r="N1130" s="5">
        <f>_xlfn.XLOOKUP(CustomerCombined[[#This Row],[ID]], Table4[ID], Table4[Seafood], "Not Found", 0)</f>
        <v>0</v>
      </c>
      <c r="O1130" s="5">
        <f>_xlfn.XLOOKUP(CustomerCombined[[#This Row],[ID]], Table4[ID], Table4[Sweets], "Not Found", 0)</f>
        <v>0</v>
      </c>
      <c r="P1130" s="5">
        <f>_xlfn.XLOOKUP(CustomerCombined[[#This Row],[ID]], Table4[ID], Table4[Premium], "Not Found", 0)</f>
        <v>4</v>
      </c>
      <c r="Q1130" s="5">
        <f>_xlfn.XLOOKUP(CustomerCombined[[#This Row],[ID]], Table4[ID], Table4[Regular], "Not Found", 0)</f>
        <v>54</v>
      </c>
      <c r="R1130" s="5">
        <f>_xlfn.XLOOKUP(CustomerCombined[[#This Row],[ID]], Table4[ID], Table4[Deals], "Not Found", 0)</f>
        <v>1</v>
      </c>
      <c r="S1130" s="5">
        <f>_xlfn.XLOOKUP(CustomerCombined[[#This Row],[ID]], Table4[ID], Table4[Website], "Not Found", 0)</f>
        <v>1</v>
      </c>
      <c r="T1130" s="5">
        <f>_xlfn.XLOOKUP(CustomerCombined[[#This Row],[ID]], Table4[ID], Table4[Catalog], "Not Found", 0)</f>
        <v>0</v>
      </c>
      <c r="U1130" s="5">
        <f>_xlfn.XLOOKUP(CustomerCombined[[#This Row],[ID]], Table4[ID], Table4[Store], "Not Found", 0)</f>
        <v>2</v>
      </c>
      <c r="V1130" s="5">
        <f>_xlfn.XLOOKUP(CustomerCombined[[#This Row],[ID]], Table4[ID], Table4[Visits], "Not Found", 0)</f>
        <v>7</v>
      </c>
      <c r="W1130" s="8">
        <f>_xlfn.XLOOKUP(CustomerCombined[[#This Row],[ID]], Table2[ID],Table2[Complaint], "Not Found", 0 )</f>
        <v>0</v>
      </c>
      <c r="X1130" s="8">
        <f>_xlfn.XLOOKUP(CustomerCombined[[#This Row],[ID]], Table2[ID],Table2[Pilot], "Not Found", 0 )</f>
        <v>0</v>
      </c>
      <c r="Y1130" s="8">
        <f>_xlfn.XLOOKUP(CustomerCombined[[#This Row],[ID]], Table2[ID],Table2[MC1], "Not Found", 0 )</f>
        <v>0</v>
      </c>
      <c r="Z1130" s="8">
        <f>_xlfn.XLOOKUP(CustomerCombined[[#This Row],[ID]], Table2[ID],Table2[MC2], "Not Found", 0 )</f>
        <v>0</v>
      </c>
      <c r="AA1130" s="8">
        <f>_xlfn.XLOOKUP(CustomerCombined[[#This Row],[ID]], Table2[ID],Table2[MC3], "Not Found", 0 )</f>
        <v>0</v>
      </c>
      <c r="AB1130" s="8">
        <f>_xlfn.XLOOKUP(CustomerCombined[[#This Row],[ID]], Table2[ID],Table2[MC4], "Not Found", 0 )</f>
        <v>0</v>
      </c>
      <c r="AC1130" s="8">
        <f>_xlfn.XLOOKUP(CustomerCombined[[#This Row],[ID]], Table2[ID],Table2[MC5], "Not Found", 0 )</f>
        <v>0</v>
      </c>
    </row>
    <row r="1131" spans="1:29" x14ac:dyDescent="0.3">
      <c r="A1131" s="6">
        <v>1254</v>
      </c>
      <c r="B1131" s="6">
        <v>138097</v>
      </c>
      <c r="C1131" s="6">
        <v>1</v>
      </c>
      <c r="D1131" s="6">
        <v>1</v>
      </c>
      <c r="E1131" s="6">
        <v>50</v>
      </c>
      <c r="F1131" s="5" t="s">
        <v>6</v>
      </c>
      <c r="G1131" s="5" t="s">
        <v>13</v>
      </c>
      <c r="H1131" s="3" t="s">
        <v>379</v>
      </c>
      <c r="I1131" s="5" t="s">
        <v>436</v>
      </c>
      <c r="J1131" s="5">
        <f>_xlfn.XLOOKUP(CustomerCombined[[#This Row],[ID]], Table4[ID], Table4[Recency], "Not Found", 0)</f>
        <v>70</v>
      </c>
      <c r="K1131" s="5">
        <f>_xlfn.XLOOKUP(CustomerCombined[[#This Row],[ID]], Table4[ID], Table4[Teas], "Not Found", 0)</f>
        <v>279</v>
      </c>
      <c r="L1131" s="5">
        <f>_xlfn.XLOOKUP(CustomerCombined[[#This Row],[ID]], Table4[ID], Table4[Fruits], "Not Found", 0)</f>
        <v>7</v>
      </c>
      <c r="M1131" s="5">
        <f>_xlfn.XLOOKUP(CustomerCombined[[#This Row],[ID]], Table4[ID], Table4[Meats], "Not Found", 0)</f>
        <v>127</v>
      </c>
      <c r="N1131" s="5">
        <f>_xlfn.XLOOKUP(CustomerCombined[[#This Row],[ID]], Table4[ID], Table4[Seafood], "Not Found", 0)</f>
        <v>0</v>
      </c>
      <c r="O1131" s="5">
        <f>_xlfn.XLOOKUP(CustomerCombined[[#This Row],[ID]], Table4[ID], Table4[Sweets], "Not Found", 0)</f>
        <v>4</v>
      </c>
      <c r="P1131" s="5">
        <f>_xlfn.XLOOKUP(CustomerCombined[[#This Row],[ID]], Table4[ID], Table4[Premium], "Not Found", 0)</f>
        <v>250</v>
      </c>
      <c r="Q1131" s="5">
        <f>_xlfn.XLOOKUP(CustomerCombined[[#This Row],[ID]], Table4[ID], Table4[Regular], "Not Found", 0)</f>
        <v>167</v>
      </c>
      <c r="R1131" s="5">
        <f>_xlfn.XLOOKUP(CustomerCombined[[#This Row],[ID]], Table4[ID], Table4[Deals], "Not Found", 0)</f>
        <v>4</v>
      </c>
      <c r="S1131" s="5">
        <f>_xlfn.XLOOKUP(CustomerCombined[[#This Row],[ID]], Table4[ID], Table4[Website], "Not Found", 0)</f>
        <v>3</v>
      </c>
      <c r="T1131" s="5">
        <f>_xlfn.XLOOKUP(CustomerCombined[[#This Row],[ID]], Table4[ID], Table4[Catalog], "Not Found", 0)</f>
        <v>2</v>
      </c>
      <c r="U1131" s="5">
        <f>_xlfn.XLOOKUP(CustomerCombined[[#This Row],[ID]], Table4[ID], Table4[Store], "Not Found", 0)</f>
        <v>2</v>
      </c>
      <c r="V1131" s="5">
        <f>_xlfn.XLOOKUP(CustomerCombined[[#This Row],[ID]], Table4[ID], Table4[Visits], "Not Found", 0)</f>
        <v>7</v>
      </c>
      <c r="W1131" s="8">
        <f>_xlfn.XLOOKUP(CustomerCombined[[#This Row],[ID]], Table2[ID],Table2[Complaint], "Not Found", 0 )</f>
        <v>0</v>
      </c>
      <c r="X1131" s="8">
        <f>_xlfn.XLOOKUP(CustomerCombined[[#This Row],[ID]], Table2[ID],Table2[Pilot], "Not Found", 0 )</f>
        <v>1</v>
      </c>
      <c r="Y1131" s="8">
        <f>_xlfn.XLOOKUP(CustomerCombined[[#This Row],[ID]], Table2[ID],Table2[MC1], "Not Found", 0 )</f>
        <v>0</v>
      </c>
      <c r="Z1131" s="8">
        <f>_xlfn.XLOOKUP(CustomerCombined[[#This Row],[ID]], Table2[ID],Table2[MC2], "Not Found", 0 )</f>
        <v>0</v>
      </c>
      <c r="AA1131" s="8">
        <f>_xlfn.XLOOKUP(CustomerCombined[[#This Row],[ID]], Table2[ID],Table2[MC3], "Not Found", 0 )</f>
        <v>1</v>
      </c>
      <c r="AB1131" s="8">
        <f>_xlfn.XLOOKUP(CustomerCombined[[#This Row],[ID]], Table2[ID],Table2[MC4], "Not Found", 0 )</f>
        <v>0</v>
      </c>
      <c r="AC1131" s="8">
        <f>_xlfn.XLOOKUP(CustomerCombined[[#This Row],[ID]], Table2[ID],Table2[MC5], "Not Found", 0 )</f>
        <v>0</v>
      </c>
    </row>
    <row r="1132" spans="1:29" x14ac:dyDescent="0.3">
      <c r="A1132" s="6">
        <v>1081</v>
      </c>
      <c r="B1132" s="6">
        <v>136138</v>
      </c>
      <c r="C1132" s="6">
        <v>1</v>
      </c>
      <c r="D1132" s="6">
        <v>1</v>
      </c>
      <c r="E1132" s="6">
        <v>50</v>
      </c>
      <c r="F1132" s="5" t="s">
        <v>6</v>
      </c>
      <c r="G1132" s="5" t="s">
        <v>12</v>
      </c>
      <c r="H1132" s="3" t="s">
        <v>220</v>
      </c>
      <c r="I1132" s="5" t="s">
        <v>437</v>
      </c>
      <c r="J1132" s="5">
        <f>_xlfn.XLOOKUP(CustomerCombined[[#This Row],[ID]], Table4[ID], Table4[Recency], "Not Found", 0)</f>
        <v>48</v>
      </c>
      <c r="K1132" s="5">
        <f>_xlfn.XLOOKUP(CustomerCombined[[#This Row],[ID]], Table4[ID], Table4[Teas], "Not Found", 0)</f>
        <v>490</v>
      </c>
      <c r="L1132" s="5">
        <f>_xlfn.XLOOKUP(CustomerCombined[[#This Row],[ID]], Table4[ID], Table4[Fruits], "Not Found", 0)</f>
        <v>0</v>
      </c>
      <c r="M1132" s="5">
        <f>_xlfn.XLOOKUP(CustomerCombined[[#This Row],[ID]], Table4[ID], Table4[Meats], "Not Found", 0)</f>
        <v>60</v>
      </c>
      <c r="N1132" s="5">
        <f>_xlfn.XLOOKUP(CustomerCombined[[#This Row],[ID]], Table4[ID], Table4[Seafood], "Not Found", 0)</f>
        <v>0</v>
      </c>
      <c r="O1132" s="5">
        <f>_xlfn.XLOOKUP(CustomerCombined[[#This Row],[ID]], Table4[ID], Table4[Sweets], "Not Found", 0)</f>
        <v>0</v>
      </c>
      <c r="P1132" s="5">
        <f>_xlfn.XLOOKUP(CustomerCombined[[#This Row],[ID]], Table4[ID], Table4[Premium], "Not Found", 0)</f>
        <v>19</v>
      </c>
      <c r="Q1132" s="5">
        <f>_xlfn.XLOOKUP(CustomerCombined[[#This Row],[ID]], Table4[ID], Table4[Regular], "Not Found", 0)</f>
        <v>531</v>
      </c>
      <c r="R1132" s="5">
        <f>_xlfn.XLOOKUP(CustomerCombined[[#This Row],[ID]], Table4[ID], Table4[Deals], "Not Found", 0)</f>
        <v>5</v>
      </c>
      <c r="S1132" s="5">
        <f>_xlfn.XLOOKUP(CustomerCombined[[#This Row],[ID]], Table4[ID], Table4[Website], "Not Found", 0)</f>
        <v>3</v>
      </c>
      <c r="T1132" s="5">
        <f>_xlfn.XLOOKUP(CustomerCombined[[#This Row],[ID]], Table4[ID], Table4[Catalog], "Not Found", 0)</f>
        <v>1</v>
      </c>
      <c r="U1132" s="5">
        <f>_xlfn.XLOOKUP(CustomerCombined[[#This Row],[ID]], Table4[ID], Table4[Store], "Not Found", 0)</f>
        <v>4</v>
      </c>
      <c r="V1132" s="5">
        <f>_xlfn.XLOOKUP(CustomerCombined[[#This Row],[ID]], Table4[ID], Table4[Visits], "Not Found", 0)</f>
        <v>7</v>
      </c>
      <c r="W1132" s="8">
        <f>_xlfn.XLOOKUP(CustomerCombined[[#This Row],[ID]], Table2[ID],Table2[Complaint], "Not Found", 0 )</f>
        <v>0</v>
      </c>
      <c r="X1132" s="8">
        <f>_xlfn.XLOOKUP(CustomerCombined[[#This Row],[ID]], Table2[ID],Table2[Pilot], "Not Found", 0 )</f>
        <v>0</v>
      </c>
      <c r="Y1132" s="8">
        <f>_xlfn.XLOOKUP(CustomerCombined[[#This Row],[ID]], Table2[ID],Table2[MC1], "Not Found", 0 )</f>
        <v>0</v>
      </c>
      <c r="Z1132" s="8">
        <f>_xlfn.XLOOKUP(CustomerCombined[[#This Row],[ID]], Table2[ID],Table2[MC2], "Not Found", 0 )</f>
        <v>0</v>
      </c>
      <c r="AA1132" s="8">
        <f>_xlfn.XLOOKUP(CustomerCombined[[#This Row],[ID]], Table2[ID],Table2[MC3], "Not Found", 0 )</f>
        <v>0</v>
      </c>
      <c r="AB1132" s="8">
        <f>_xlfn.XLOOKUP(CustomerCombined[[#This Row],[ID]], Table2[ID],Table2[MC4], "Not Found", 0 )</f>
        <v>1</v>
      </c>
      <c r="AC1132" s="8">
        <f>_xlfn.XLOOKUP(CustomerCombined[[#This Row],[ID]], Table2[ID],Table2[MC5], "Not Found", 0 )</f>
        <v>0</v>
      </c>
    </row>
    <row r="1133" spans="1:29" x14ac:dyDescent="0.3">
      <c r="A1133" s="6">
        <v>1687</v>
      </c>
      <c r="B1133" s="6">
        <v>135682</v>
      </c>
      <c r="C1133" s="6">
        <v>1</v>
      </c>
      <c r="D1133" s="6">
        <v>0</v>
      </c>
      <c r="E1133" s="6">
        <v>50</v>
      </c>
      <c r="F1133" s="5" t="s">
        <v>5</v>
      </c>
      <c r="G1133" s="5" t="s">
        <v>13</v>
      </c>
      <c r="H1133" s="3">
        <v>43842</v>
      </c>
      <c r="I1133" s="5" t="s">
        <v>437</v>
      </c>
      <c r="J1133" s="5">
        <f>_xlfn.XLOOKUP(CustomerCombined[[#This Row],[ID]], Table4[ID], Table4[Recency], "Not Found", 0)</f>
        <v>34</v>
      </c>
      <c r="K1133" s="5">
        <f>_xlfn.XLOOKUP(CustomerCombined[[#This Row],[ID]], Table4[ID], Table4[Teas], "Not Found", 0)</f>
        <v>87</v>
      </c>
      <c r="L1133" s="5">
        <f>_xlfn.XLOOKUP(CustomerCombined[[#This Row],[ID]], Table4[ID], Table4[Fruits], "Not Found", 0)</f>
        <v>0</v>
      </c>
      <c r="M1133" s="5">
        <f>_xlfn.XLOOKUP(CustomerCombined[[#This Row],[ID]], Table4[ID], Table4[Meats], "Not Found", 0)</f>
        <v>30</v>
      </c>
      <c r="N1133" s="5">
        <f>_xlfn.XLOOKUP(CustomerCombined[[#This Row],[ID]], Table4[ID], Table4[Seafood], "Not Found", 0)</f>
        <v>23</v>
      </c>
      <c r="O1133" s="5">
        <f>_xlfn.XLOOKUP(CustomerCombined[[#This Row],[ID]], Table4[ID], Table4[Sweets], "Not Found", 0)</f>
        <v>8</v>
      </c>
      <c r="P1133" s="5">
        <f>_xlfn.XLOOKUP(CustomerCombined[[#This Row],[ID]], Table4[ID], Table4[Premium], "Not Found", 0)</f>
        <v>68</v>
      </c>
      <c r="Q1133" s="5">
        <f>_xlfn.XLOOKUP(CustomerCombined[[#This Row],[ID]], Table4[ID], Table4[Regular], "Not Found", 0)</f>
        <v>80</v>
      </c>
      <c r="R1133" s="5">
        <f>_xlfn.XLOOKUP(CustomerCombined[[#This Row],[ID]], Table4[ID], Table4[Deals], "Not Found", 0)</f>
        <v>1</v>
      </c>
      <c r="S1133" s="5">
        <f>_xlfn.XLOOKUP(CustomerCombined[[#This Row],[ID]], Table4[ID], Table4[Website], "Not Found", 0)</f>
        <v>1</v>
      </c>
      <c r="T1133" s="5">
        <f>_xlfn.XLOOKUP(CustomerCombined[[#This Row],[ID]], Table4[ID], Table4[Catalog], "Not Found", 0)</f>
        <v>1</v>
      </c>
      <c r="U1133" s="5">
        <f>_xlfn.XLOOKUP(CustomerCombined[[#This Row],[ID]], Table4[ID], Table4[Store], "Not Found", 0)</f>
        <v>3</v>
      </c>
      <c r="V1133" s="5">
        <f>_xlfn.XLOOKUP(CustomerCombined[[#This Row],[ID]], Table4[ID], Table4[Visits], "Not Found", 0)</f>
        <v>2</v>
      </c>
      <c r="W1133" s="8">
        <f>_xlfn.XLOOKUP(CustomerCombined[[#This Row],[ID]], Table2[ID],Table2[Complaint], "Not Found", 0 )</f>
        <v>0</v>
      </c>
      <c r="X1133" s="8">
        <f>_xlfn.XLOOKUP(CustomerCombined[[#This Row],[ID]], Table2[ID],Table2[Pilot], "Not Found", 0 )</f>
        <v>0</v>
      </c>
      <c r="Y1133" s="8">
        <f>_xlfn.XLOOKUP(CustomerCombined[[#This Row],[ID]], Table2[ID],Table2[MC1], "Not Found", 0 )</f>
        <v>0</v>
      </c>
      <c r="Z1133" s="8">
        <f>_xlfn.XLOOKUP(CustomerCombined[[#This Row],[ID]], Table2[ID],Table2[MC2], "Not Found", 0 )</f>
        <v>0</v>
      </c>
      <c r="AA1133" s="8">
        <f>_xlfn.XLOOKUP(CustomerCombined[[#This Row],[ID]], Table2[ID],Table2[MC3], "Not Found", 0 )</f>
        <v>0</v>
      </c>
      <c r="AB1133" s="8">
        <f>_xlfn.XLOOKUP(CustomerCombined[[#This Row],[ID]], Table2[ID],Table2[MC4], "Not Found", 0 )</f>
        <v>0</v>
      </c>
      <c r="AC1133" s="8">
        <f>_xlfn.XLOOKUP(CustomerCombined[[#This Row],[ID]], Table2[ID],Table2[MC5], "Not Found", 0 )</f>
        <v>0</v>
      </c>
    </row>
    <row r="1134" spans="1:29" x14ac:dyDescent="0.3">
      <c r="A1134" s="6">
        <v>2266</v>
      </c>
      <c r="B1134" s="6">
        <v>133986</v>
      </c>
      <c r="C1134" s="6">
        <v>1</v>
      </c>
      <c r="D1134" s="6">
        <v>0</v>
      </c>
      <c r="E1134" s="6">
        <v>50</v>
      </c>
      <c r="F1134" s="5" t="s">
        <v>5</v>
      </c>
      <c r="G1134" s="5" t="s">
        <v>11</v>
      </c>
      <c r="H1134" s="3" t="s">
        <v>294</v>
      </c>
      <c r="I1134" s="5" t="s">
        <v>439</v>
      </c>
      <c r="J1134" s="5">
        <f>_xlfn.XLOOKUP(CustomerCombined[[#This Row],[ID]], Table4[ID], Table4[Recency], "Not Found", 0)</f>
        <v>43</v>
      </c>
      <c r="K1134" s="5">
        <f>_xlfn.XLOOKUP(CustomerCombined[[#This Row],[ID]], Table4[ID], Table4[Teas], "Not Found", 0)</f>
        <v>63</v>
      </c>
      <c r="L1134" s="5">
        <f>_xlfn.XLOOKUP(CustomerCombined[[#This Row],[ID]], Table4[ID], Table4[Fruits], "Not Found", 0)</f>
        <v>8</v>
      </c>
      <c r="M1134" s="5">
        <f>_xlfn.XLOOKUP(CustomerCombined[[#This Row],[ID]], Table4[ID], Table4[Meats], "Not Found", 0)</f>
        <v>71</v>
      </c>
      <c r="N1134" s="5">
        <f>_xlfn.XLOOKUP(CustomerCombined[[#This Row],[ID]], Table4[ID], Table4[Seafood], "Not Found", 0)</f>
        <v>8</v>
      </c>
      <c r="O1134" s="5">
        <f>_xlfn.XLOOKUP(CustomerCombined[[#This Row],[ID]], Table4[ID], Table4[Sweets], "Not Found", 0)</f>
        <v>4</v>
      </c>
      <c r="P1134" s="5">
        <f>_xlfn.XLOOKUP(CustomerCombined[[#This Row],[ID]], Table4[ID], Table4[Premium], "Not Found", 0)</f>
        <v>20</v>
      </c>
      <c r="Q1134" s="5">
        <f>_xlfn.XLOOKUP(CustomerCombined[[#This Row],[ID]], Table4[ID], Table4[Regular], "Not Found", 0)</f>
        <v>134</v>
      </c>
      <c r="R1134" s="5">
        <f>_xlfn.XLOOKUP(CustomerCombined[[#This Row],[ID]], Table4[ID], Table4[Deals], "Not Found", 0)</f>
        <v>1</v>
      </c>
      <c r="S1134" s="5">
        <f>_xlfn.XLOOKUP(CustomerCombined[[#This Row],[ID]], Table4[ID], Table4[Website], "Not Found", 0)</f>
        <v>1</v>
      </c>
      <c r="T1134" s="5">
        <f>_xlfn.XLOOKUP(CustomerCombined[[#This Row],[ID]], Table4[ID], Table4[Catalog], "Not Found", 0)</f>
        <v>0</v>
      </c>
      <c r="U1134" s="5">
        <f>_xlfn.XLOOKUP(CustomerCombined[[#This Row],[ID]], Table4[ID], Table4[Store], "Not Found", 0)</f>
        <v>3</v>
      </c>
      <c r="V1134" s="5">
        <f>_xlfn.XLOOKUP(CustomerCombined[[#This Row],[ID]], Table4[ID], Table4[Visits], "Not Found", 0)</f>
        <v>7</v>
      </c>
      <c r="W1134" s="8">
        <f>_xlfn.XLOOKUP(CustomerCombined[[#This Row],[ID]], Table2[ID],Table2[Complaint], "Not Found", 0 )</f>
        <v>0</v>
      </c>
      <c r="X1134" s="8">
        <f>_xlfn.XLOOKUP(CustomerCombined[[#This Row],[ID]], Table2[ID],Table2[Pilot], "Not Found", 0 )</f>
        <v>0</v>
      </c>
      <c r="Y1134" s="8">
        <f>_xlfn.XLOOKUP(CustomerCombined[[#This Row],[ID]], Table2[ID],Table2[MC1], "Not Found", 0 )</f>
        <v>0</v>
      </c>
      <c r="Z1134" s="8">
        <f>_xlfn.XLOOKUP(CustomerCombined[[#This Row],[ID]], Table2[ID],Table2[MC2], "Not Found", 0 )</f>
        <v>0</v>
      </c>
      <c r="AA1134" s="8">
        <f>_xlfn.XLOOKUP(CustomerCombined[[#This Row],[ID]], Table2[ID],Table2[MC3], "Not Found", 0 )</f>
        <v>0</v>
      </c>
      <c r="AB1134" s="8">
        <f>_xlfn.XLOOKUP(CustomerCombined[[#This Row],[ID]], Table2[ID],Table2[MC4], "Not Found", 0 )</f>
        <v>0</v>
      </c>
      <c r="AC1134" s="8">
        <f>_xlfn.XLOOKUP(CustomerCombined[[#This Row],[ID]], Table2[ID],Table2[MC5], "Not Found", 0 )</f>
        <v>0</v>
      </c>
    </row>
    <row r="1135" spans="1:29" x14ac:dyDescent="0.3">
      <c r="A1135" s="6">
        <v>1729</v>
      </c>
      <c r="B1135" s="6">
        <v>133697</v>
      </c>
      <c r="C1135" s="6">
        <v>1</v>
      </c>
      <c r="D1135" s="6">
        <v>0</v>
      </c>
      <c r="E1135" s="6">
        <v>50</v>
      </c>
      <c r="F1135" s="5" t="s">
        <v>7</v>
      </c>
      <c r="G1135" s="5" t="s">
        <v>11</v>
      </c>
      <c r="H1135" s="3" t="s">
        <v>184</v>
      </c>
      <c r="I1135" s="5" t="s">
        <v>437</v>
      </c>
      <c r="J1135" s="5">
        <f>_xlfn.XLOOKUP(CustomerCombined[[#This Row],[ID]], Table4[ID], Table4[Recency], "Not Found", 0)</f>
        <v>34</v>
      </c>
      <c r="K1135" s="5">
        <f>_xlfn.XLOOKUP(CustomerCombined[[#This Row],[ID]], Table4[ID], Table4[Teas], "Not Found", 0)</f>
        <v>16</v>
      </c>
      <c r="L1135" s="5">
        <f>_xlfn.XLOOKUP(CustomerCombined[[#This Row],[ID]], Table4[ID], Table4[Fruits], "Not Found", 0)</f>
        <v>12</v>
      </c>
      <c r="M1135" s="5">
        <f>_xlfn.XLOOKUP(CustomerCombined[[#This Row],[ID]], Table4[ID], Table4[Meats], "Not Found", 0)</f>
        <v>28</v>
      </c>
      <c r="N1135" s="5">
        <f>_xlfn.XLOOKUP(CustomerCombined[[#This Row],[ID]], Table4[ID], Table4[Seafood], "Not Found", 0)</f>
        <v>0</v>
      </c>
      <c r="O1135" s="5">
        <f>_xlfn.XLOOKUP(CustomerCombined[[#This Row],[ID]], Table4[ID], Table4[Sweets], "Not Found", 0)</f>
        <v>12</v>
      </c>
      <c r="P1135" s="5">
        <f>_xlfn.XLOOKUP(CustomerCombined[[#This Row],[ID]], Table4[ID], Table4[Premium], "Not Found", 0)</f>
        <v>44</v>
      </c>
      <c r="Q1135" s="5">
        <f>_xlfn.XLOOKUP(CustomerCombined[[#This Row],[ID]], Table4[ID], Table4[Regular], "Not Found", 0)</f>
        <v>24</v>
      </c>
      <c r="R1135" s="5">
        <f>_xlfn.XLOOKUP(CustomerCombined[[#This Row],[ID]], Table4[ID], Table4[Deals], "Not Found", 0)</f>
        <v>1</v>
      </c>
      <c r="S1135" s="5">
        <f>_xlfn.XLOOKUP(CustomerCombined[[#This Row],[ID]], Table4[ID], Table4[Website], "Not Found", 0)</f>
        <v>1</v>
      </c>
      <c r="T1135" s="5">
        <f>_xlfn.XLOOKUP(CustomerCombined[[#This Row],[ID]], Table4[ID], Table4[Catalog], "Not Found", 0)</f>
        <v>0</v>
      </c>
      <c r="U1135" s="5">
        <f>_xlfn.XLOOKUP(CustomerCombined[[#This Row],[ID]], Table4[ID], Table4[Store], "Not Found", 0)</f>
        <v>2</v>
      </c>
      <c r="V1135" s="5">
        <f>_xlfn.XLOOKUP(CustomerCombined[[#This Row],[ID]], Table4[ID], Table4[Visits], "Not Found", 0)</f>
        <v>7</v>
      </c>
      <c r="W1135" s="8">
        <f>_xlfn.XLOOKUP(CustomerCombined[[#This Row],[ID]], Table2[ID],Table2[Complaint], "Not Found", 0 )</f>
        <v>0</v>
      </c>
      <c r="X1135" s="8">
        <f>_xlfn.XLOOKUP(CustomerCombined[[#This Row],[ID]], Table2[ID],Table2[Pilot], "Not Found", 0 )</f>
        <v>0</v>
      </c>
      <c r="Y1135" s="8">
        <f>_xlfn.XLOOKUP(CustomerCombined[[#This Row],[ID]], Table2[ID],Table2[MC1], "Not Found", 0 )</f>
        <v>0</v>
      </c>
      <c r="Z1135" s="8">
        <f>_xlfn.XLOOKUP(CustomerCombined[[#This Row],[ID]], Table2[ID],Table2[MC2], "Not Found", 0 )</f>
        <v>0</v>
      </c>
      <c r="AA1135" s="8">
        <f>_xlfn.XLOOKUP(CustomerCombined[[#This Row],[ID]], Table2[ID],Table2[MC3], "Not Found", 0 )</f>
        <v>1</v>
      </c>
      <c r="AB1135" s="8">
        <f>_xlfn.XLOOKUP(CustomerCombined[[#This Row],[ID]], Table2[ID],Table2[MC4], "Not Found", 0 )</f>
        <v>0</v>
      </c>
      <c r="AC1135" s="8">
        <f>_xlfn.XLOOKUP(CustomerCombined[[#This Row],[ID]], Table2[ID],Table2[MC5], "Not Found", 0 )</f>
        <v>0</v>
      </c>
    </row>
    <row r="1136" spans="1:29" x14ac:dyDescent="0.3">
      <c r="A1136" s="6">
        <v>1175</v>
      </c>
      <c r="B1136" s="6">
        <v>132303</v>
      </c>
      <c r="C1136" s="6">
        <v>0</v>
      </c>
      <c r="D1136" s="6">
        <v>1</v>
      </c>
      <c r="E1136" s="6">
        <v>50</v>
      </c>
      <c r="F1136" s="5" t="s">
        <v>7</v>
      </c>
      <c r="G1136" s="5" t="s">
        <v>13</v>
      </c>
      <c r="H1136" s="3">
        <v>44173</v>
      </c>
      <c r="I1136" s="5" t="s">
        <v>434</v>
      </c>
      <c r="J1136" s="5">
        <f>_xlfn.XLOOKUP(CustomerCombined[[#This Row],[ID]], Table4[ID], Table4[Recency], "Not Found", 0)</f>
        <v>63</v>
      </c>
      <c r="K1136" s="5">
        <f>_xlfn.XLOOKUP(CustomerCombined[[#This Row],[ID]], Table4[ID], Table4[Teas], "Not Found", 0)</f>
        <v>143</v>
      </c>
      <c r="L1136" s="5">
        <f>_xlfn.XLOOKUP(CustomerCombined[[#This Row],[ID]], Table4[ID], Table4[Fruits], "Not Found", 0)</f>
        <v>0</v>
      </c>
      <c r="M1136" s="5">
        <f>_xlfn.XLOOKUP(CustomerCombined[[#This Row],[ID]], Table4[ID], Table4[Meats], "Not Found", 0)</f>
        <v>8</v>
      </c>
      <c r="N1136" s="5">
        <f>_xlfn.XLOOKUP(CustomerCombined[[#This Row],[ID]], Table4[ID], Table4[Seafood], "Not Found", 0)</f>
        <v>0</v>
      </c>
      <c r="O1136" s="5">
        <f>_xlfn.XLOOKUP(CustomerCombined[[#This Row],[ID]], Table4[ID], Table4[Sweets], "Not Found", 0)</f>
        <v>0</v>
      </c>
      <c r="P1136" s="5">
        <f>_xlfn.XLOOKUP(CustomerCombined[[#This Row],[ID]], Table4[ID], Table4[Premium], "Not Found", 0)</f>
        <v>8</v>
      </c>
      <c r="Q1136" s="5">
        <f>_xlfn.XLOOKUP(CustomerCombined[[#This Row],[ID]], Table4[ID], Table4[Regular], "Not Found", 0)</f>
        <v>143</v>
      </c>
      <c r="R1136" s="5">
        <f>_xlfn.XLOOKUP(CustomerCombined[[#This Row],[ID]], Table4[ID], Table4[Deals], "Not Found", 0)</f>
        <v>2</v>
      </c>
      <c r="S1136" s="5">
        <f>_xlfn.XLOOKUP(CustomerCombined[[#This Row],[ID]], Table4[ID], Table4[Website], "Not Found", 0)</f>
        <v>1</v>
      </c>
      <c r="T1136" s="5">
        <f>_xlfn.XLOOKUP(CustomerCombined[[#This Row],[ID]], Table4[ID], Table4[Catalog], "Not Found", 0)</f>
        <v>0</v>
      </c>
      <c r="U1136" s="5">
        <f>_xlfn.XLOOKUP(CustomerCombined[[#This Row],[ID]], Table4[ID], Table4[Store], "Not Found", 0)</f>
        <v>4</v>
      </c>
      <c r="V1136" s="5">
        <f>_xlfn.XLOOKUP(CustomerCombined[[#This Row],[ID]], Table4[ID], Table4[Visits], "Not Found", 0)</f>
        <v>5</v>
      </c>
      <c r="W1136" s="8">
        <f>_xlfn.XLOOKUP(CustomerCombined[[#This Row],[ID]], Table2[ID],Table2[Complaint], "Not Found", 0 )</f>
        <v>0</v>
      </c>
      <c r="X1136" s="8">
        <f>_xlfn.XLOOKUP(CustomerCombined[[#This Row],[ID]], Table2[ID],Table2[Pilot], "Not Found", 0 )</f>
        <v>0</v>
      </c>
      <c r="Y1136" s="8">
        <f>_xlfn.XLOOKUP(CustomerCombined[[#This Row],[ID]], Table2[ID],Table2[MC1], "Not Found", 0 )</f>
        <v>0</v>
      </c>
      <c r="Z1136" s="8">
        <f>_xlfn.XLOOKUP(CustomerCombined[[#This Row],[ID]], Table2[ID],Table2[MC2], "Not Found", 0 )</f>
        <v>0</v>
      </c>
      <c r="AA1136" s="8">
        <f>_xlfn.XLOOKUP(CustomerCombined[[#This Row],[ID]], Table2[ID],Table2[MC3], "Not Found", 0 )</f>
        <v>0</v>
      </c>
      <c r="AB1136" s="8">
        <f>_xlfn.XLOOKUP(CustomerCombined[[#This Row],[ID]], Table2[ID],Table2[MC4], "Not Found", 0 )</f>
        <v>0</v>
      </c>
      <c r="AC1136" s="8">
        <f>_xlfn.XLOOKUP(CustomerCombined[[#This Row],[ID]], Table2[ID],Table2[MC5], "Not Found", 0 )</f>
        <v>0</v>
      </c>
    </row>
    <row r="1137" spans="1:29" x14ac:dyDescent="0.3">
      <c r="A1137" s="6">
        <v>1451</v>
      </c>
      <c r="B1137" s="6">
        <v>131880</v>
      </c>
      <c r="C1137" s="6">
        <v>1</v>
      </c>
      <c r="D1137" s="6">
        <v>0</v>
      </c>
      <c r="E1137" s="6">
        <v>50</v>
      </c>
      <c r="F1137" s="5" t="s">
        <v>9</v>
      </c>
      <c r="G1137" s="5" t="s">
        <v>11</v>
      </c>
      <c r="H1137" s="3">
        <v>43650</v>
      </c>
      <c r="I1137" s="5" t="s">
        <v>434</v>
      </c>
      <c r="J1137" s="5">
        <f>_xlfn.XLOOKUP(CustomerCombined[[#This Row],[ID]], Table4[ID], Table4[Recency], "Not Found", 0)</f>
        <v>13</v>
      </c>
      <c r="K1137" s="5">
        <f>_xlfn.XLOOKUP(CustomerCombined[[#This Row],[ID]], Table4[ID], Table4[Teas], "Not Found", 0)</f>
        <v>17</v>
      </c>
      <c r="L1137" s="5">
        <f>_xlfn.XLOOKUP(CustomerCombined[[#This Row],[ID]], Table4[ID], Table4[Fruits], "Not Found", 0)</f>
        <v>4</v>
      </c>
      <c r="M1137" s="5">
        <f>_xlfn.XLOOKUP(CustomerCombined[[#This Row],[ID]], Table4[ID], Table4[Meats], "Not Found", 0)</f>
        <v>21</v>
      </c>
      <c r="N1137" s="5">
        <f>_xlfn.XLOOKUP(CustomerCombined[[#This Row],[ID]], Table4[ID], Table4[Seafood], "Not Found", 0)</f>
        <v>8</v>
      </c>
      <c r="O1137" s="5">
        <f>_xlfn.XLOOKUP(CustomerCombined[[#This Row],[ID]], Table4[ID], Table4[Sweets], "Not Found", 0)</f>
        <v>0</v>
      </c>
      <c r="P1137" s="5">
        <f>_xlfn.XLOOKUP(CustomerCombined[[#This Row],[ID]], Table4[ID], Table4[Premium], "Not Found", 0)</f>
        <v>12</v>
      </c>
      <c r="Q1137" s="5">
        <f>_xlfn.XLOOKUP(CustomerCombined[[#This Row],[ID]], Table4[ID], Table4[Regular], "Not Found", 0)</f>
        <v>37</v>
      </c>
      <c r="R1137" s="5">
        <f>_xlfn.XLOOKUP(CustomerCombined[[#This Row],[ID]], Table4[ID], Table4[Deals], "Not Found", 0)</f>
        <v>1</v>
      </c>
      <c r="S1137" s="5">
        <f>_xlfn.XLOOKUP(CustomerCombined[[#This Row],[ID]], Table4[ID], Table4[Website], "Not Found", 0)</f>
        <v>1</v>
      </c>
      <c r="T1137" s="5">
        <f>_xlfn.XLOOKUP(CustomerCombined[[#This Row],[ID]], Table4[ID], Table4[Catalog], "Not Found", 0)</f>
        <v>0</v>
      </c>
      <c r="U1137" s="5">
        <f>_xlfn.XLOOKUP(CustomerCombined[[#This Row],[ID]], Table4[ID], Table4[Store], "Not Found", 0)</f>
        <v>2</v>
      </c>
      <c r="V1137" s="5">
        <f>_xlfn.XLOOKUP(CustomerCombined[[#This Row],[ID]], Table4[ID], Table4[Visits], "Not Found", 0)</f>
        <v>8</v>
      </c>
      <c r="W1137" s="8">
        <f>_xlfn.XLOOKUP(CustomerCombined[[#This Row],[ID]], Table2[ID],Table2[Complaint], "Not Found", 0 )</f>
        <v>0</v>
      </c>
      <c r="X1137" s="8">
        <f>_xlfn.XLOOKUP(CustomerCombined[[#This Row],[ID]], Table2[ID],Table2[Pilot], "Not Found", 0 )</f>
        <v>0</v>
      </c>
      <c r="Y1137" s="8">
        <f>_xlfn.XLOOKUP(CustomerCombined[[#This Row],[ID]], Table2[ID],Table2[MC1], "Not Found", 0 )</f>
        <v>0</v>
      </c>
      <c r="Z1137" s="8">
        <f>_xlfn.XLOOKUP(CustomerCombined[[#This Row],[ID]], Table2[ID],Table2[MC2], "Not Found", 0 )</f>
        <v>0</v>
      </c>
      <c r="AA1137" s="8">
        <f>_xlfn.XLOOKUP(CustomerCombined[[#This Row],[ID]], Table2[ID],Table2[MC3], "Not Found", 0 )</f>
        <v>0</v>
      </c>
      <c r="AB1137" s="8">
        <f>_xlfn.XLOOKUP(CustomerCombined[[#This Row],[ID]], Table2[ID],Table2[MC4], "Not Found", 0 )</f>
        <v>0</v>
      </c>
      <c r="AC1137" s="8">
        <f>_xlfn.XLOOKUP(CustomerCombined[[#This Row],[ID]], Table2[ID],Table2[MC5], "Not Found", 0 )</f>
        <v>0</v>
      </c>
    </row>
    <row r="1138" spans="1:29" x14ac:dyDescent="0.3">
      <c r="A1138" s="6">
        <v>1418</v>
      </c>
      <c r="B1138" s="6">
        <v>130015</v>
      </c>
      <c r="C1138" s="6">
        <v>1</v>
      </c>
      <c r="D1138" s="6">
        <v>0</v>
      </c>
      <c r="E1138" s="6">
        <v>50</v>
      </c>
      <c r="F1138" s="5" t="s">
        <v>7</v>
      </c>
      <c r="G1138" s="5" t="s">
        <v>11</v>
      </c>
      <c r="H1138" s="3">
        <v>44081</v>
      </c>
      <c r="I1138" s="5" t="s">
        <v>438</v>
      </c>
      <c r="J1138" s="5">
        <f>_xlfn.XLOOKUP(CustomerCombined[[#This Row],[ID]], Table4[ID], Table4[Recency], "Not Found", 0)</f>
        <v>28</v>
      </c>
      <c r="K1138" s="5">
        <f>_xlfn.XLOOKUP(CustomerCombined[[#This Row],[ID]], Table4[ID], Table4[Teas], "Not Found", 0)</f>
        <v>108</v>
      </c>
      <c r="L1138" s="5">
        <f>_xlfn.XLOOKUP(CustomerCombined[[#This Row],[ID]], Table4[ID], Table4[Fruits], "Not Found", 0)</f>
        <v>0</v>
      </c>
      <c r="M1138" s="5">
        <f>_xlfn.XLOOKUP(CustomerCombined[[#This Row],[ID]], Table4[ID], Table4[Meats], "Not Found", 0)</f>
        <v>95</v>
      </c>
      <c r="N1138" s="5">
        <f>_xlfn.XLOOKUP(CustomerCombined[[#This Row],[ID]], Table4[ID], Table4[Seafood], "Not Found", 0)</f>
        <v>9</v>
      </c>
      <c r="O1138" s="5">
        <f>_xlfn.XLOOKUP(CustomerCombined[[#This Row],[ID]], Table4[ID], Table4[Sweets], "Not Found", 0)</f>
        <v>13</v>
      </c>
      <c r="P1138" s="5">
        <f>_xlfn.XLOOKUP(CustomerCombined[[#This Row],[ID]], Table4[ID], Table4[Premium], "Not Found", 0)</f>
        <v>22</v>
      </c>
      <c r="Q1138" s="5">
        <f>_xlfn.XLOOKUP(CustomerCombined[[#This Row],[ID]], Table4[ID], Table4[Regular], "Not Found", 0)</f>
        <v>204</v>
      </c>
      <c r="R1138" s="5">
        <f>_xlfn.XLOOKUP(CustomerCombined[[#This Row],[ID]], Table4[ID], Table4[Deals], "Not Found", 0)</f>
        <v>2</v>
      </c>
      <c r="S1138" s="5">
        <f>_xlfn.XLOOKUP(CustomerCombined[[#This Row],[ID]], Table4[ID], Table4[Website], "Not Found", 0)</f>
        <v>1</v>
      </c>
      <c r="T1138" s="5">
        <f>_xlfn.XLOOKUP(CustomerCombined[[#This Row],[ID]], Table4[ID], Table4[Catalog], "Not Found", 0)</f>
        <v>0</v>
      </c>
      <c r="U1138" s="5">
        <f>_xlfn.XLOOKUP(CustomerCombined[[#This Row],[ID]], Table4[ID], Table4[Store], "Not Found", 0)</f>
        <v>4</v>
      </c>
      <c r="V1138" s="5">
        <f>_xlfn.XLOOKUP(CustomerCombined[[#This Row],[ID]], Table4[ID], Table4[Visits], "Not Found", 0)</f>
        <v>5</v>
      </c>
      <c r="W1138" s="8">
        <f>_xlfn.XLOOKUP(CustomerCombined[[#This Row],[ID]], Table2[ID],Table2[Complaint], "Not Found", 0 )</f>
        <v>0</v>
      </c>
      <c r="X1138" s="8">
        <f>_xlfn.XLOOKUP(CustomerCombined[[#This Row],[ID]], Table2[ID],Table2[Pilot], "Not Found", 0 )</f>
        <v>0</v>
      </c>
      <c r="Y1138" s="8">
        <f>_xlfn.XLOOKUP(CustomerCombined[[#This Row],[ID]], Table2[ID],Table2[MC1], "Not Found", 0 )</f>
        <v>0</v>
      </c>
      <c r="Z1138" s="8">
        <f>_xlfn.XLOOKUP(CustomerCombined[[#This Row],[ID]], Table2[ID],Table2[MC2], "Not Found", 0 )</f>
        <v>0</v>
      </c>
      <c r="AA1138" s="8">
        <f>_xlfn.XLOOKUP(CustomerCombined[[#This Row],[ID]], Table2[ID],Table2[MC3], "Not Found", 0 )</f>
        <v>0</v>
      </c>
      <c r="AB1138" s="8">
        <f>_xlfn.XLOOKUP(CustomerCombined[[#This Row],[ID]], Table2[ID],Table2[MC4], "Not Found", 0 )</f>
        <v>0</v>
      </c>
      <c r="AC1138" s="8">
        <f>_xlfn.XLOOKUP(CustomerCombined[[#This Row],[ID]], Table2[ID],Table2[MC5], "Not Found", 0 )</f>
        <v>0</v>
      </c>
    </row>
    <row r="1139" spans="1:29" x14ac:dyDescent="0.3">
      <c r="A1139" s="6">
        <v>1356</v>
      </c>
      <c r="B1139" s="6">
        <v>129548</v>
      </c>
      <c r="C1139" s="6">
        <v>1</v>
      </c>
      <c r="D1139" s="6">
        <v>0</v>
      </c>
      <c r="E1139" s="6">
        <v>50</v>
      </c>
      <c r="F1139" s="5" t="s">
        <v>7</v>
      </c>
      <c r="G1139" s="5" t="s">
        <v>12</v>
      </c>
      <c r="H1139" s="3">
        <v>43892</v>
      </c>
      <c r="I1139" s="5" t="s">
        <v>436</v>
      </c>
      <c r="J1139" s="5">
        <f>_xlfn.XLOOKUP(CustomerCombined[[#This Row],[ID]], Table4[ID], Table4[Recency], "Not Found", 0)</f>
        <v>52</v>
      </c>
      <c r="K1139" s="5">
        <f>_xlfn.XLOOKUP(CustomerCombined[[#This Row],[ID]], Table4[ID], Table4[Teas], "Not Found", 0)</f>
        <v>31</v>
      </c>
      <c r="L1139" s="5">
        <f>_xlfn.XLOOKUP(CustomerCombined[[#This Row],[ID]], Table4[ID], Table4[Fruits], "Not Found", 0)</f>
        <v>4</v>
      </c>
      <c r="M1139" s="5">
        <f>_xlfn.XLOOKUP(CustomerCombined[[#This Row],[ID]], Table4[ID], Table4[Meats], "Not Found", 0)</f>
        <v>26</v>
      </c>
      <c r="N1139" s="5">
        <f>_xlfn.XLOOKUP(CustomerCombined[[#This Row],[ID]], Table4[ID], Table4[Seafood], "Not Found", 0)</f>
        <v>13</v>
      </c>
      <c r="O1139" s="5">
        <f>_xlfn.XLOOKUP(CustomerCombined[[#This Row],[ID]], Table4[ID], Table4[Sweets], "Not Found", 0)</f>
        <v>4</v>
      </c>
      <c r="P1139" s="5">
        <f>_xlfn.XLOOKUP(CustomerCombined[[#This Row],[ID]], Table4[ID], Table4[Premium], "Not Found", 0)</f>
        <v>48</v>
      </c>
      <c r="Q1139" s="5">
        <f>_xlfn.XLOOKUP(CustomerCombined[[#This Row],[ID]], Table4[ID], Table4[Regular], "Not Found", 0)</f>
        <v>31</v>
      </c>
      <c r="R1139" s="5">
        <f>_xlfn.XLOOKUP(CustomerCombined[[#This Row],[ID]], Table4[ID], Table4[Deals], "Not Found", 0)</f>
        <v>1</v>
      </c>
      <c r="S1139" s="5">
        <f>_xlfn.XLOOKUP(CustomerCombined[[#This Row],[ID]], Table4[ID], Table4[Website], "Not Found", 0)</f>
        <v>1</v>
      </c>
      <c r="T1139" s="5">
        <f>_xlfn.XLOOKUP(CustomerCombined[[#This Row],[ID]], Table4[ID], Table4[Catalog], "Not Found", 0)</f>
        <v>1</v>
      </c>
      <c r="U1139" s="5">
        <f>_xlfn.XLOOKUP(CustomerCombined[[#This Row],[ID]], Table4[ID], Table4[Store], "Not Found", 0)</f>
        <v>2</v>
      </c>
      <c r="V1139" s="5">
        <f>_xlfn.XLOOKUP(CustomerCombined[[#This Row],[ID]], Table4[ID], Table4[Visits], "Not Found", 0)</f>
        <v>4</v>
      </c>
      <c r="W1139" s="8">
        <f>_xlfn.XLOOKUP(CustomerCombined[[#This Row],[ID]], Table2[ID],Table2[Complaint], "Not Found", 0 )</f>
        <v>0</v>
      </c>
      <c r="X1139" s="8">
        <f>_xlfn.XLOOKUP(CustomerCombined[[#This Row],[ID]], Table2[ID],Table2[Pilot], "Not Found", 0 )</f>
        <v>0</v>
      </c>
      <c r="Y1139" s="8">
        <f>_xlfn.XLOOKUP(CustomerCombined[[#This Row],[ID]], Table2[ID],Table2[MC1], "Not Found", 0 )</f>
        <v>0</v>
      </c>
      <c r="Z1139" s="8">
        <f>_xlfn.XLOOKUP(CustomerCombined[[#This Row],[ID]], Table2[ID],Table2[MC2], "Not Found", 0 )</f>
        <v>0</v>
      </c>
      <c r="AA1139" s="8">
        <f>_xlfn.XLOOKUP(CustomerCombined[[#This Row],[ID]], Table2[ID],Table2[MC3], "Not Found", 0 )</f>
        <v>1</v>
      </c>
      <c r="AB1139" s="8">
        <f>_xlfn.XLOOKUP(CustomerCombined[[#This Row],[ID]], Table2[ID],Table2[MC4], "Not Found", 0 )</f>
        <v>0</v>
      </c>
      <c r="AC1139" s="8">
        <f>_xlfn.XLOOKUP(CustomerCombined[[#This Row],[ID]], Table2[ID],Table2[MC5], "Not Found", 0 )</f>
        <v>0</v>
      </c>
    </row>
    <row r="1140" spans="1:29" x14ac:dyDescent="0.3">
      <c r="A1140" s="6">
        <v>2401</v>
      </c>
      <c r="B1140" s="6">
        <v>128164</v>
      </c>
      <c r="C1140" s="6">
        <v>1</v>
      </c>
      <c r="D1140" s="6">
        <v>0</v>
      </c>
      <c r="E1140" s="6">
        <v>50</v>
      </c>
      <c r="F1140" s="5" t="s">
        <v>6</v>
      </c>
      <c r="G1140" s="5" t="s">
        <v>11</v>
      </c>
      <c r="H1140" s="3">
        <v>43718</v>
      </c>
      <c r="I1140" s="5" t="s">
        <v>437</v>
      </c>
      <c r="J1140" s="5">
        <f>_xlfn.XLOOKUP(CustomerCombined[[#This Row],[ID]], Table4[ID], Table4[Recency], "Not Found", 0)</f>
        <v>23</v>
      </c>
      <c r="K1140" s="5">
        <f>_xlfn.XLOOKUP(CustomerCombined[[#This Row],[ID]], Table4[ID], Table4[Teas], "Not Found", 0)</f>
        <v>14</v>
      </c>
      <c r="L1140" s="5">
        <f>_xlfn.XLOOKUP(CustomerCombined[[#This Row],[ID]], Table4[ID], Table4[Fruits], "Not Found", 0)</f>
        <v>82</v>
      </c>
      <c r="M1140" s="5">
        <f>_xlfn.XLOOKUP(CustomerCombined[[#This Row],[ID]], Table4[ID], Table4[Meats], "Not Found", 0)</f>
        <v>118</v>
      </c>
      <c r="N1140" s="5">
        <f>_xlfn.XLOOKUP(CustomerCombined[[#This Row],[ID]], Table4[ID], Table4[Seafood], "Not Found", 0)</f>
        <v>50</v>
      </c>
      <c r="O1140" s="5">
        <f>_xlfn.XLOOKUP(CustomerCombined[[#This Row],[ID]], Table4[ID], Table4[Sweets], "Not Found", 0)</f>
        <v>36</v>
      </c>
      <c r="P1140" s="5">
        <f>_xlfn.XLOOKUP(CustomerCombined[[#This Row],[ID]], Table4[ID], Table4[Premium], "Not Found", 0)</f>
        <v>55</v>
      </c>
      <c r="Q1140" s="5">
        <f>_xlfn.XLOOKUP(CustomerCombined[[#This Row],[ID]], Table4[ID], Table4[Regular], "Not Found", 0)</f>
        <v>246</v>
      </c>
      <c r="R1140" s="5">
        <f>_xlfn.XLOOKUP(CustomerCombined[[#This Row],[ID]], Table4[ID], Table4[Deals], "Not Found", 0)</f>
        <v>3</v>
      </c>
      <c r="S1140" s="5">
        <f>_xlfn.XLOOKUP(CustomerCombined[[#This Row],[ID]], Table4[ID], Table4[Website], "Not Found", 0)</f>
        <v>2</v>
      </c>
      <c r="T1140" s="5">
        <f>_xlfn.XLOOKUP(CustomerCombined[[#This Row],[ID]], Table4[ID], Table4[Catalog], "Not Found", 0)</f>
        <v>0</v>
      </c>
      <c r="U1140" s="5">
        <f>_xlfn.XLOOKUP(CustomerCombined[[#This Row],[ID]], Table4[ID], Table4[Store], "Not Found", 0)</f>
        <v>4</v>
      </c>
      <c r="V1140" s="5">
        <f>_xlfn.XLOOKUP(CustomerCombined[[#This Row],[ID]], Table4[ID], Table4[Visits], "Not Found", 0)</f>
        <v>7</v>
      </c>
      <c r="W1140" s="8">
        <f>_xlfn.XLOOKUP(CustomerCombined[[#This Row],[ID]], Table2[ID],Table2[Complaint], "Not Found", 0 )</f>
        <v>0</v>
      </c>
      <c r="X1140" s="8">
        <f>_xlfn.XLOOKUP(CustomerCombined[[#This Row],[ID]], Table2[ID],Table2[Pilot], "Not Found", 0 )</f>
        <v>0</v>
      </c>
      <c r="Y1140" s="8">
        <f>_xlfn.XLOOKUP(CustomerCombined[[#This Row],[ID]], Table2[ID],Table2[MC1], "Not Found", 0 )</f>
        <v>0</v>
      </c>
      <c r="Z1140" s="8">
        <f>_xlfn.XLOOKUP(CustomerCombined[[#This Row],[ID]], Table2[ID],Table2[MC2], "Not Found", 0 )</f>
        <v>0</v>
      </c>
      <c r="AA1140" s="8">
        <f>_xlfn.XLOOKUP(CustomerCombined[[#This Row],[ID]], Table2[ID],Table2[MC3], "Not Found", 0 )</f>
        <v>0</v>
      </c>
      <c r="AB1140" s="8">
        <f>_xlfn.XLOOKUP(CustomerCombined[[#This Row],[ID]], Table2[ID],Table2[MC4], "Not Found", 0 )</f>
        <v>0</v>
      </c>
      <c r="AC1140" s="8">
        <f>_xlfn.XLOOKUP(CustomerCombined[[#This Row],[ID]], Table2[ID],Table2[MC5], "Not Found", 0 )</f>
        <v>0</v>
      </c>
    </row>
    <row r="1141" spans="1:29" x14ac:dyDescent="0.3">
      <c r="A1141" s="6">
        <v>2495</v>
      </c>
      <c r="B1141" s="6">
        <v>127242</v>
      </c>
      <c r="C1141" s="6">
        <v>1</v>
      </c>
      <c r="D1141" s="6">
        <v>0</v>
      </c>
      <c r="E1141" s="6">
        <v>50</v>
      </c>
      <c r="F1141" s="5" t="s">
        <v>7</v>
      </c>
      <c r="G1141" s="5" t="s">
        <v>11</v>
      </c>
      <c r="H1141" s="3" t="s">
        <v>364</v>
      </c>
      <c r="I1141" s="5" t="s">
        <v>434</v>
      </c>
      <c r="J1141" s="5">
        <f>_xlfn.XLOOKUP(CustomerCombined[[#This Row],[ID]], Table4[ID], Table4[Recency], "Not Found", 0)</f>
        <v>2</v>
      </c>
      <c r="K1141" s="5">
        <f>_xlfn.XLOOKUP(CustomerCombined[[#This Row],[ID]], Table4[ID], Table4[Teas], "Not Found", 0)</f>
        <v>14</v>
      </c>
      <c r="L1141" s="5">
        <f>_xlfn.XLOOKUP(CustomerCombined[[#This Row],[ID]], Table4[ID], Table4[Fruits], "Not Found", 0)</f>
        <v>79</v>
      </c>
      <c r="M1141" s="5">
        <f>_xlfn.XLOOKUP(CustomerCombined[[#This Row],[ID]], Table4[ID], Table4[Meats], "Not Found", 0)</f>
        <v>121</v>
      </c>
      <c r="N1141" s="5">
        <f>_xlfn.XLOOKUP(CustomerCombined[[#This Row],[ID]], Table4[ID], Table4[Seafood], "Not Found", 0)</f>
        <v>93</v>
      </c>
      <c r="O1141" s="5">
        <f>_xlfn.XLOOKUP(CustomerCombined[[#This Row],[ID]], Table4[ID], Table4[Sweets], "Not Found", 0)</f>
        <v>5</v>
      </c>
      <c r="P1141" s="5">
        <f>_xlfn.XLOOKUP(CustomerCombined[[#This Row],[ID]], Table4[ID], Table4[Premium], "Not Found", 0)</f>
        <v>182</v>
      </c>
      <c r="Q1141" s="5">
        <f>_xlfn.XLOOKUP(CustomerCombined[[#This Row],[ID]], Table4[ID], Table4[Regular], "Not Found", 0)</f>
        <v>131</v>
      </c>
      <c r="R1141" s="5">
        <f>_xlfn.XLOOKUP(CustomerCombined[[#This Row],[ID]], Table4[ID], Table4[Deals], "Not Found", 0)</f>
        <v>2</v>
      </c>
      <c r="S1141" s="5">
        <f>_xlfn.XLOOKUP(CustomerCombined[[#This Row],[ID]], Table4[ID], Table4[Website], "Not Found", 0)</f>
        <v>2</v>
      </c>
      <c r="T1141" s="5">
        <f>_xlfn.XLOOKUP(CustomerCombined[[#This Row],[ID]], Table4[ID], Table4[Catalog], "Not Found", 0)</f>
        <v>0</v>
      </c>
      <c r="U1141" s="5">
        <f>_xlfn.XLOOKUP(CustomerCombined[[#This Row],[ID]], Table4[ID], Table4[Store], "Not Found", 0)</f>
        <v>3</v>
      </c>
      <c r="V1141" s="5">
        <f>_xlfn.XLOOKUP(CustomerCombined[[#This Row],[ID]], Table4[ID], Table4[Visits], "Not Found", 0)</f>
        <v>9</v>
      </c>
      <c r="W1141" s="8">
        <f>_xlfn.XLOOKUP(CustomerCombined[[#This Row],[ID]], Table2[ID],Table2[Complaint], "Not Found", 0 )</f>
        <v>0</v>
      </c>
      <c r="X1141" s="8">
        <f>_xlfn.XLOOKUP(CustomerCombined[[#This Row],[ID]], Table2[ID],Table2[Pilot], "Not Found", 0 )</f>
        <v>1</v>
      </c>
      <c r="Y1141" s="8">
        <f>_xlfn.XLOOKUP(CustomerCombined[[#This Row],[ID]], Table2[ID],Table2[MC1], "Not Found", 0 )</f>
        <v>0</v>
      </c>
      <c r="Z1141" s="8">
        <f>_xlfn.XLOOKUP(CustomerCombined[[#This Row],[ID]], Table2[ID],Table2[MC2], "Not Found", 0 )</f>
        <v>0</v>
      </c>
      <c r="AA1141" s="8">
        <f>_xlfn.XLOOKUP(CustomerCombined[[#This Row],[ID]], Table2[ID],Table2[MC3], "Not Found", 0 )</f>
        <v>0</v>
      </c>
      <c r="AB1141" s="8">
        <f>_xlfn.XLOOKUP(CustomerCombined[[#This Row],[ID]], Table2[ID],Table2[MC4], "Not Found", 0 )</f>
        <v>0</v>
      </c>
      <c r="AC1141" s="8">
        <f>_xlfn.XLOOKUP(CustomerCombined[[#This Row],[ID]], Table2[ID],Table2[MC5], "Not Found", 0 )</f>
        <v>0</v>
      </c>
    </row>
    <row r="1142" spans="1:29" x14ac:dyDescent="0.3">
      <c r="A1142" s="6">
        <v>2034</v>
      </c>
      <c r="B1142" s="6">
        <v>125959</v>
      </c>
      <c r="C1142" s="6">
        <v>1</v>
      </c>
      <c r="D1142" s="6">
        <v>1</v>
      </c>
      <c r="E1142" s="6">
        <v>50</v>
      </c>
      <c r="F1142" s="5" t="s">
        <v>5</v>
      </c>
      <c r="G1142" s="5" t="s">
        <v>442</v>
      </c>
      <c r="H1142" s="3" t="s">
        <v>309</v>
      </c>
      <c r="I1142" s="5" t="s">
        <v>436</v>
      </c>
      <c r="J1142" s="5">
        <f>_xlfn.XLOOKUP(CustomerCombined[[#This Row],[ID]], Table4[ID], Table4[Recency], "Not Found", 0)</f>
        <v>1</v>
      </c>
      <c r="K1142" s="5">
        <f>_xlfn.XLOOKUP(CustomerCombined[[#This Row],[ID]], Table4[ID], Table4[Teas], "Not Found", 0)</f>
        <v>19</v>
      </c>
      <c r="L1142" s="5">
        <f>_xlfn.XLOOKUP(CustomerCombined[[#This Row],[ID]], Table4[ID], Table4[Fruits], "Not Found", 0)</f>
        <v>10</v>
      </c>
      <c r="M1142" s="5">
        <f>_xlfn.XLOOKUP(CustomerCombined[[#This Row],[ID]], Table4[ID], Table4[Meats], "Not Found", 0)</f>
        <v>58</v>
      </c>
      <c r="N1142" s="5">
        <f>_xlfn.XLOOKUP(CustomerCombined[[#This Row],[ID]], Table4[ID], Table4[Seafood], "Not Found", 0)</f>
        <v>34</v>
      </c>
      <c r="O1142" s="5">
        <f>_xlfn.XLOOKUP(CustomerCombined[[#This Row],[ID]], Table4[ID], Table4[Sweets], "Not Found", 0)</f>
        <v>24</v>
      </c>
      <c r="P1142" s="5">
        <f>_xlfn.XLOOKUP(CustomerCombined[[#This Row],[ID]], Table4[ID], Table4[Premium], "Not Found", 0)</f>
        <v>126</v>
      </c>
      <c r="Q1142" s="5">
        <f>_xlfn.XLOOKUP(CustomerCombined[[#This Row],[ID]], Table4[ID], Table4[Regular], "Not Found", 0)</f>
        <v>19</v>
      </c>
      <c r="R1142" s="5">
        <f>_xlfn.XLOOKUP(CustomerCombined[[#This Row],[ID]], Table4[ID], Table4[Deals], "Not Found", 0)</f>
        <v>2</v>
      </c>
      <c r="S1142" s="5">
        <f>_xlfn.XLOOKUP(CustomerCombined[[#This Row],[ID]], Table4[ID], Table4[Website], "Not Found", 0)</f>
        <v>1</v>
      </c>
      <c r="T1142" s="5">
        <f>_xlfn.XLOOKUP(CustomerCombined[[#This Row],[ID]], Table4[ID], Table4[Catalog], "Not Found", 0)</f>
        <v>2</v>
      </c>
      <c r="U1142" s="5">
        <f>_xlfn.XLOOKUP(CustomerCombined[[#This Row],[ID]], Table4[ID], Table4[Store], "Not Found", 0)</f>
        <v>2</v>
      </c>
      <c r="V1142" s="5">
        <f>_xlfn.XLOOKUP(CustomerCombined[[#This Row],[ID]], Table4[ID], Table4[Visits], "Not Found", 0)</f>
        <v>6</v>
      </c>
      <c r="W1142" s="8">
        <f>_xlfn.XLOOKUP(CustomerCombined[[#This Row],[ID]], Table2[ID],Table2[Complaint], "Not Found", 0 )</f>
        <v>0</v>
      </c>
      <c r="X1142" s="8">
        <f>_xlfn.XLOOKUP(CustomerCombined[[#This Row],[ID]], Table2[ID],Table2[Pilot], "Not Found", 0 )</f>
        <v>1</v>
      </c>
      <c r="Y1142" s="8">
        <f>_xlfn.XLOOKUP(CustomerCombined[[#This Row],[ID]], Table2[ID],Table2[MC1], "Not Found", 0 )</f>
        <v>0</v>
      </c>
      <c r="Z1142" s="8">
        <f>_xlfn.XLOOKUP(CustomerCombined[[#This Row],[ID]], Table2[ID],Table2[MC2], "Not Found", 0 )</f>
        <v>0</v>
      </c>
      <c r="AA1142" s="8">
        <f>_xlfn.XLOOKUP(CustomerCombined[[#This Row],[ID]], Table2[ID],Table2[MC3], "Not Found", 0 )</f>
        <v>0</v>
      </c>
      <c r="AB1142" s="8">
        <f>_xlfn.XLOOKUP(CustomerCombined[[#This Row],[ID]], Table2[ID],Table2[MC4], "Not Found", 0 )</f>
        <v>0</v>
      </c>
      <c r="AC1142" s="8">
        <f>_xlfn.XLOOKUP(CustomerCombined[[#This Row],[ID]], Table2[ID],Table2[MC5], "Not Found", 0 )</f>
        <v>0</v>
      </c>
    </row>
    <row r="1143" spans="1:29" x14ac:dyDescent="0.3">
      <c r="A1143" s="6">
        <v>2975</v>
      </c>
      <c r="B1143" s="6">
        <v>124206</v>
      </c>
      <c r="C1143" s="6">
        <v>1</v>
      </c>
      <c r="D1143" s="6">
        <v>0</v>
      </c>
      <c r="E1143" s="6">
        <v>50</v>
      </c>
      <c r="F1143" s="5" t="s">
        <v>7</v>
      </c>
      <c r="G1143" s="5" t="s">
        <v>11</v>
      </c>
      <c r="H1143" s="3" t="s">
        <v>299</v>
      </c>
      <c r="I1143" s="5" t="s">
        <v>434</v>
      </c>
      <c r="J1143" s="5">
        <f>_xlfn.XLOOKUP(CustomerCombined[[#This Row],[ID]], Table4[ID], Table4[Recency], "Not Found", 0)</f>
        <v>66</v>
      </c>
      <c r="K1143" s="5">
        <f>_xlfn.XLOOKUP(CustomerCombined[[#This Row],[ID]], Table4[ID], Table4[Teas], "Not Found", 0)</f>
        <v>36</v>
      </c>
      <c r="L1143" s="5">
        <f>_xlfn.XLOOKUP(CustomerCombined[[#This Row],[ID]], Table4[ID], Table4[Fruits], "Not Found", 0)</f>
        <v>10</v>
      </c>
      <c r="M1143" s="5">
        <f>_xlfn.XLOOKUP(CustomerCombined[[#This Row],[ID]], Table4[ID], Table4[Meats], "Not Found", 0)</f>
        <v>41</v>
      </c>
      <c r="N1143" s="5">
        <f>_xlfn.XLOOKUP(CustomerCombined[[#This Row],[ID]], Table4[ID], Table4[Seafood], "Not Found", 0)</f>
        <v>15</v>
      </c>
      <c r="O1143" s="5">
        <f>_xlfn.XLOOKUP(CustomerCombined[[#This Row],[ID]], Table4[ID], Table4[Sweets], "Not Found", 0)</f>
        <v>10</v>
      </c>
      <c r="P1143" s="5">
        <f>_xlfn.XLOOKUP(CustomerCombined[[#This Row],[ID]], Table4[ID], Table4[Premium], "Not Found", 0)</f>
        <v>15</v>
      </c>
      <c r="Q1143" s="5">
        <f>_xlfn.XLOOKUP(CustomerCombined[[#This Row],[ID]], Table4[ID], Table4[Regular], "Not Found", 0)</f>
        <v>97</v>
      </c>
      <c r="R1143" s="5">
        <f>_xlfn.XLOOKUP(CustomerCombined[[#This Row],[ID]], Table4[ID], Table4[Deals], "Not Found", 0)</f>
        <v>1</v>
      </c>
      <c r="S1143" s="5">
        <f>_xlfn.XLOOKUP(CustomerCombined[[#This Row],[ID]], Table4[ID], Table4[Website], "Not Found", 0)</f>
        <v>1</v>
      </c>
      <c r="T1143" s="5">
        <f>_xlfn.XLOOKUP(CustomerCombined[[#This Row],[ID]], Table4[ID], Table4[Catalog], "Not Found", 0)</f>
        <v>0</v>
      </c>
      <c r="U1143" s="5">
        <f>_xlfn.XLOOKUP(CustomerCombined[[#This Row],[ID]], Table4[ID], Table4[Store], "Not Found", 0)</f>
        <v>3</v>
      </c>
      <c r="V1143" s="5">
        <f>_xlfn.XLOOKUP(CustomerCombined[[#This Row],[ID]], Table4[ID], Table4[Visits], "Not Found", 0)</f>
        <v>6</v>
      </c>
      <c r="W1143" s="8">
        <f>_xlfn.XLOOKUP(CustomerCombined[[#This Row],[ID]], Table2[ID],Table2[Complaint], "Not Found", 0 )</f>
        <v>0</v>
      </c>
      <c r="X1143" s="8">
        <f>_xlfn.XLOOKUP(CustomerCombined[[#This Row],[ID]], Table2[ID],Table2[Pilot], "Not Found", 0 )</f>
        <v>0</v>
      </c>
      <c r="Y1143" s="8">
        <f>_xlfn.XLOOKUP(CustomerCombined[[#This Row],[ID]], Table2[ID],Table2[MC1], "Not Found", 0 )</f>
        <v>0</v>
      </c>
      <c r="Z1143" s="8">
        <f>_xlfn.XLOOKUP(CustomerCombined[[#This Row],[ID]], Table2[ID],Table2[MC2], "Not Found", 0 )</f>
        <v>0</v>
      </c>
      <c r="AA1143" s="8">
        <f>_xlfn.XLOOKUP(CustomerCombined[[#This Row],[ID]], Table2[ID],Table2[MC3], "Not Found", 0 )</f>
        <v>0</v>
      </c>
      <c r="AB1143" s="8">
        <f>_xlfn.XLOOKUP(CustomerCombined[[#This Row],[ID]], Table2[ID],Table2[MC4], "Not Found", 0 )</f>
        <v>0</v>
      </c>
      <c r="AC1143" s="8">
        <f>_xlfn.XLOOKUP(CustomerCombined[[#This Row],[ID]], Table2[ID],Table2[MC5], "Not Found", 0 )</f>
        <v>0</v>
      </c>
    </row>
    <row r="1144" spans="1:29" x14ac:dyDescent="0.3">
      <c r="A1144" s="6">
        <v>2067</v>
      </c>
      <c r="B1144" s="6">
        <v>124163</v>
      </c>
      <c r="C1144" s="6">
        <v>1</v>
      </c>
      <c r="D1144" s="6">
        <v>1</v>
      </c>
      <c r="E1144" s="6">
        <v>50</v>
      </c>
      <c r="F1144" s="5" t="s">
        <v>7</v>
      </c>
      <c r="G1144" s="5" t="s">
        <v>11</v>
      </c>
      <c r="H1144" s="3" t="s">
        <v>170</v>
      </c>
      <c r="I1144" s="5" t="s">
        <v>435</v>
      </c>
      <c r="J1144" s="5">
        <f>_xlfn.XLOOKUP(CustomerCombined[[#This Row],[ID]], Table4[ID], Table4[Recency], "Not Found", 0)</f>
        <v>3</v>
      </c>
      <c r="K1144" s="5">
        <f>_xlfn.XLOOKUP(CustomerCombined[[#This Row],[ID]], Table4[ID], Table4[Teas], "Not Found", 0)</f>
        <v>21</v>
      </c>
      <c r="L1144" s="5">
        <f>_xlfn.XLOOKUP(CustomerCombined[[#This Row],[ID]], Table4[ID], Table4[Fruits], "Not Found", 0)</f>
        <v>5</v>
      </c>
      <c r="M1144" s="5">
        <f>_xlfn.XLOOKUP(CustomerCombined[[#This Row],[ID]], Table4[ID], Table4[Meats], "Not Found", 0)</f>
        <v>36</v>
      </c>
      <c r="N1144" s="5">
        <f>_xlfn.XLOOKUP(CustomerCombined[[#This Row],[ID]], Table4[ID], Table4[Seafood], "Not Found", 0)</f>
        <v>10</v>
      </c>
      <c r="O1144" s="5">
        <f>_xlfn.XLOOKUP(CustomerCombined[[#This Row],[ID]], Table4[ID], Table4[Sweets], "Not Found", 0)</f>
        <v>5</v>
      </c>
      <c r="P1144" s="5">
        <f>_xlfn.XLOOKUP(CustomerCombined[[#This Row],[ID]], Table4[ID], Table4[Premium], "Not Found", 0)</f>
        <v>10</v>
      </c>
      <c r="Q1144" s="5">
        <f>_xlfn.XLOOKUP(CustomerCombined[[#This Row],[ID]], Table4[ID], Table4[Regular], "Not Found", 0)</f>
        <v>67</v>
      </c>
      <c r="R1144" s="5">
        <f>_xlfn.XLOOKUP(CustomerCombined[[#This Row],[ID]], Table4[ID], Table4[Deals], "Not Found", 0)</f>
        <v>2</v>
      </c>
      <c r="S1144" s="5">
        <f>_xlfn.XLOOKUP(CustomerCombined[[#This Row],[ID]], Table4[ID], Table4[Website], "Not Found", 0)</f>
        <v>1</v>
      </c>
      <c r="T1144" s="5">
        <f>_xlfn.XLOOKUP(CustomerCombined[[#This Row],[ID]], Table4[ID], Table4[Catalog], "Not Found", 0)</f>
        <v>0</v>
      </c>
      <c r="U1144" s="5">
        <f>_xlfn.XLOOKUP(CustomerCombined[[#This Row],[ID]], Table4[ID], Table4[Store], "Not Found", 0)</f>
        <v>3</v>
      </c>
      <c r="V1144" s="5">
        <f>_xlfn.XLOOKUP(CustomerCombined[[#This Row],[ID]], Table4[ID], Table4[Visits], "Not Found", 0)</f>
        <v>4</v>
      </c>
      <c r="W1144" s="8">
        <f>_xlfn.XLOOKUP(CustomerCombined[[#This Row],[ID]], Table2[ID],Table2[Complaint], "Not Found", 0 )</f>
        <v>0</v>
      </c>
      <c r="X1144" s="8">
        <f>_xlfn.XLOOKUP(CustomerCombined[[#This Row],[ID]], Table2[ID],Table2[Pilot], "Not Found", 0 )</f>
        <v>0</v>
      </c>
      <c r="Y1144" s="8">
        <f>_xlfn.XLOOKUP(CustomerCombined[[#This Row],[ID]], Table2[ID],Table2[MC1], "Not Found", 0 )</f>
        <v>0</v>
      </c>
      <c r="Z1144" s="8">
        <f>_xlfn.XLOOKUP(CustomerCombined[[#This Row],[ID]], Table2[ID],Table2[MC2], "Not Found", 0 )</f>
        <v>0</v>
      </c>
      <c r="AA1144" s="8">
        <f>_xlfn.XLOOKUP(CustomerCombined[[#This Row],[ID]], Table2[ID],Table2[MC3], "Not Found", 0 )</f>
        <v>0</v>
      </c>
      <c r="AB1144" s="8">
        <f>_xlfn.XLOOKUP(CustomerCombined[[#This Row],[ID]], Table2[ID],Table2[MC4], "Not Found", 0 )</f>
        <v>0</v>
      </c>
      <c r="AC1144" s="8">
        <f>_xlfn.XLOOKUP(CustomerCombined[[#This Row],[ID]], Table2[ID],Table2[MC5], "Not Found", 0 )</f>
        <v>0</v>
      </c>
    </row>
    <row r="1145" spans="1:29" x14ac:dyDescent="0.3">
      <c r="A1145" s="6">
        <v>1086</v>
      </c>
      <c r="B1145" s="6">
        <v>123626</v>
      </c>
      <c r="C1145" s="6">
        <v>1</v>
      </c>
      <c r="D1145" s="6">
        <v>0</v>
      </c>
      <c r="E1145" s="6">
        <v>50</v>
      </c>
      <c r="F1145" s="5" t="s">
        <v>6</v>
      </c>
      <c r="G1145" s="5" t="s">
        <v>13</v>
      </c>
      <c r="H1145" s="3" t="s">
        <v>43</v>
      </c>
      <c r="I1145" s="5" t="s">
        <v>436</v>
      </c>
      <c r="J1145" s="5">
        <f>_xlfn.XLOOKUP(CustomerCombined[[#This Row],[ID]], Table4[ID], Table4[Recency], "Not Found", 0)</f>
        <v>84</v>
      </c>
      <c r="K1145" s="5">
        <f>_xlfn.XLOOKUP(CustomerCombined[[#This Row],[ID]], Table4[ID], Table4[Teas], "Not Found", 0)</f>
        <v>141</v>
      </c>
      <c r="L1145" s="5">
        <f>_xlfn.XLOOKUP(CustomerCombined[[#This Row],[ID]], Table4[ID], Table4[Fruits], "Not Found", 0)</f>
        <v>10</v>
      </c>
      <c r="M1145" s="5">
        <f>_xlfn.XLOOKUP(CustomerCombined[[#This Row],[ID]], Table4[ID], Table4[Meats], "Not Found", 0)</f>
        <v>73</v>
      </c>
      <c r="N1145" s="5">
        <f>_xlfn.XLOOKUP(CustomerCombined[[#This Row],[ID]], Table4[ID], Table4[Seafood], "Not Found", 0)</f>
        <v>0</v>
      </c>
      <c r="O1145" s="5">
        <f>_xlfn.XLOOKUP(CustomerCombined[[#This Row],[ID]], Table4[ID], Table4[Sweets], "Not Found", 0)</f>
        <v>0</v>
      </c>
      <c r="P1145" s="5">
        <f>_xlfn.XLOOKUP(CustomerCombined[[#This Row],[ID]], Table4[ID], Table4[Premium], "Not Found", 0)</f>
        <v>0</v>
      </c>
      <c r="Q1145" s="5">
        <f>_xlfn.XLOOKUP(CustomerCombined[[#This Row],[ID]], Table4[ID], Table4[Regular], "Not Found", 0)</f>
        <v>225</v>
      </c>
      <c r="R1145" s="5">
        <f>_xlfn.XLOOKUP(CustomerCombined[[#This Row],[ID]], Table4[ID], Table4[Deals], "Not Found", 0)</f>
        <v>3</v>
      </c>
      <c r="S1145" s="5">
        <f>_xlfn.XLOOKUP(CustomerCombined[[#This Row],[ID]], Table4[ID], Table4[Website], "Not Found", 0)</f>
        <v>3</v>
      </c>
      <c r="T1145" s="5">
        <f>_xlfn.XLOOKUP(CustomerCombined[[#This Row],[ID]], Table4[ID], Table4[Catalog], "Not Found", 0)</f>
        <v>1</v>
      </c>
      <c r="U1145" s="5">
        <f>_xlfn.XLOOKUP(CustomerCombined[[#This Row],[ID]], Table4[ID], Table4[Store], "Not Found", 0)</f>
        <v>3</v>
      </c>
      <c r="V1145" s="5">
        <f>_xlfn.XLOOKUP(CustomerCombined[[#This Row],[ID]], Table4[ID], Table4[Visits], "Not Found", 0)</f>
        <v>5</v>
      </c>
      <c r="W1145" s="8">
        <f>_xlfn.XLOOKUP(CustomerCombined[[#This Row],[ID]], Table2[ID],Table2[Complaint], "Not Found", 0 )</f>
        <v>0</v>
      </c>
      <c r="X1145" s="8">
        <f>_xlfn.XLOOKUP(CustomerCombined[[#This Row],[ID]], Table2[ID],Table2[Pilot], "Not Found", 0 )</f>
        <v>0</v>
      </c>
      <c r="Y1145" s="8">
        <f>_xlfn.XLOOKUP(CustomerCombined[[#This Row],[ID]], Table2[ID],Table2[MC1], "Not Found", 0 )</f>
        <v>0</v>
      </c>
      <c r="Z1145" s="8">
        <f>_xlfn.XLOOKUP(CustomerCombined[[#This Row],[ID]], Table2[ID],Table2[MC2], "Not Found", 0 )</f>
        <v>0</v>
      </c>
      <c r="AA1145" s="8">
        <f>_xlfn.XLOOKUP(CustomerCombined[[#This Row],[ID]], Table2[ID],Table2[MC3], "Not Found", 0 )</f>
        <v>0</v>
      </c>
      <c r="AB1145" s="8">
        <f>_xlfn.XLOOKUP(CustomerCombined[[#This Row],[ID]], Table2[ID],Table2[MC4], "Not Found", 0 )</f>
        <v>0</v>
      </c>
      <c r="AC1145" s="8">
        <f>_xlfn.XLOOKUP(CustomerCombined[[#This Row],[ID]], Table2[ID],Table2[MC5], "Not Found", 0 )</f>
        <v>0</v>
      </c>
    </row>
    <row r="1146" spans="1:29" x14ac:dyDescent="0.3">
      <c r="A1146" s="6">
        <v>2446</v>
      </c>
      <c r="B1146" s="6">
        <v>123162</v>
      </c>
      <c r="C1146" s="6">
        <v>1</v>
      </c>
      <c r="D1146" s="6">
        <v>1</v>
      </c>
      <c r="E1146" s="6">
        <v>50</v>
      </c>
      <c r="F1146" s="5" t="s">
        <v>6</v>
      </c>
      <c r="G1146" s="5" t="s">
        <v>442</v>
      </c>
      <c r="H1146" s="3" t="s">
        <v>127</v>
      </c>
      <c r="I1146" s="5" t="s">
        <v>439</v>
      </c>
      <c r="J1146" s="5">
        <f>_xlfn.XLOOKUP(CustomerCombined[[#This Row],[ID]], Table4[ID], Table4[Recency], "Not Found", 0)</f>
        <v>82</v>
      </c>
      <c r="K1146" s="5">
        <f>_xlfn.XLOOKUP(CustomerCombined[[#This Row],[ID]], Table4[ID], Table4[Teas], "Not Found", 0)</f>
        <v>43</v>
      </c>
      <c r="L1146" s="5">
        <f>_xlfn.XLOOKUP(CustomerCombined[[#This Row],[ID]], Table4[ID], Table4[Fruits], "Not Found", 0)</f>
        <v>16</v>
      </c>
      <c r="M1146" s="5">
        <f>_xlfn.XLOOKUP(CustomerCombined[[#This Row],[ID]], Table4[ID], Table4[Meats], "Not Found", 0)</f>
        <v>48</v>
      </c>
      <c r="N1146" s="5">
        <f>_xlfn.XLOOKUP(CustomerCombined[[#This Row],[ID]], Table4[ID], Table4[Seafood], "Not Found", 0)</f>
        <v>101</v>
      </c>
      <c r="O1146" s="5">
        <f>_xlfn.XLOOKUP(CustomerCombined[[#This Row],[ID]], Table4[ID], Table4[Sweets], "Not Found", 0)</f>
        <v>21</v>
      </c>
      <c r="P1146" s="5">
        <f>_xlfn.XLOOKUP(CustomerCombined[[#This Row],[ID]], Table4[ID], Table4[Premium], "Not Found", 0)</f>
        <v>117</v>
      </c>
      <c r="Q1146" s="5">
        <f>_xlfn.XLOOKUP(CustomerCombined[[#This Row],[ID]], Table4[ID], Table4[Regular], "Not Found", 0)</f>
        <v>112</v>
      </c>
      <c r="R1146" s="5">
        <f>_xlfn.XLOOKUP(CustomerCombined[[#This Row],[ID]], Table4[ID], Table4[Deals], "Not Found", 0)</f>
        <v>3</v>
      </c>
      <c r="S1146" s="5">
        <f>_xlfn.XLOOKUP(CustomerCombined[[#This Row],[ID]], Table4[ID], Table4[Website], "Not Found", 0)</f>
        <v>1</v>
      </c>
      <c r="T1146" s="5">
        <f>_xlfn.XLOOKUP(CustomerCombined[[#This Row],[ID]], Table4[ID], Table4[Catalog], "Not Found", 0)</f>
        <v>1</v>
      </c>
      <c r="U1146" s="5">
        <f>_xlfn.XLOOKUP(CustomerCombined[[#This Row],[ID]], Table4[ID], Table4[Store], "Not Found", 0)</f>
        <v>3</v>
      </c>
      <c r="V1146" s="5">
        <f>_xlfn.XLOOKUP(CustomerCombined[[#This Row],[ID]], Table4[ID], Table4[Visits], "Not Found", 0)</f>
        <v>6</v>
      </c>
      <c r="W1146" s="8">
        <f>_xlfn.XLOOKUP(CustomerCombined[[#This Row],[ID]], Table2[ID],Table2[Complaint], "Not Found", 0 )</f>
        <v>0</v>
      </c>
      <c r="X1146" s="8">
        <f>_xlfn.XLOOKUP(CustomerCombined[[#This Row],[ID]], Table2[ID],Table2[Pilot], "Not Found", 0 )</f>
        <v>0</v>
      </c>
      <c r="Y1146" s="8">
        <f>_xlfn.XLOOKUP(CustomerCombined[[#This Row],[ID]], Table2[ID],Table2[MC1], "Not Found", 0 )</f>
        <v>0</v>
      </c>
      <c r="Z1146" s="8">
        <f>_xlfn.XLOOKUP(CustomerCombined[[#This Row],[ID]], Table2[ID],Table2[MC2], "Not Found", 0 )</f>
        <v>0</v>
      </c>
      <c r="AA1146" s="8">
        <f>_xlfn.XLOOKUP(CustomerCombined[[#This Row],[ID]], Table2[ID],Table2[MC3], "Not Found", 0 )</f>
        <v>0</v>
      </c>
      <c r="AB1146" s="8">
        <f>_xlfn.XLOOKUP(CustomerCombined[[#This Row],[ID]], Table2[ID],Table2[MC4], "Not Found", 0 )</f>
        <v>0</v>
      </c>
      <c r="AC1146" s="8">
        <f>_xlfn.XLOOKUP(CustomerCombined[[#This Row],[ID]], Table2[ID],Table2[MC5], "Not Found", 0 )</f>
        <v>0</v>
      </c>
    </row>
    <row r="1147" spans="1:29" x14ac:dyDescent="0.3">
      <c r="A1147" s="6">
        <v>2977</v>
      </c>
      <c r="B1147" s="6">
        <v>122979</v>
      </c>
      <c r="C1147" s="6">
        <v>1</v>
      </c>
      <c r="D1147" s="6">
        <v>0</v>
      </c>
      <c r="E1147" s="6">
        <v>50</v>
      </c>
      <c r="F1147" s="5" t="s">
        <v>6</v>
      </c>
      <c r="G1147" s="5" t="s">
        <v>11</v>
      </c>
      <c r="H1147" s="3">
        <v>43771</v>
      </c>
      <c r="I1147" s="5" t="s">
        <v>437</v>
      </c>
      <c r="J1147" s="5">
        <f>_xlfn.XLOOKUP(CustomerCombined[[#This Row],[ID]], Table4[ID], Table4[Recency], "Not Found", 0)</f>
        <v>29</v>
      </c>
      <c r="K1147" s="5">
        <f>_xlfn.XLOOKUP(CustomerCombined[[#This Row],[ID]], Table4[ID], Table4[Teas], "Not Found", 0)</f>
        <v>86</v>
      </c>
      <c r="L1147" s="5">
        <f>_xlfn.XLOOKUP(CustomerCombined[[#This Row],[ID]], Table4[ID], Table4[Fruits], "Not Found", 0)</f>
        <v>91</v>
      </c>
      <c r="M1147" s="5">
        <f>_xlfn.XLOOKUP(CustomerCombined[[#This Row],[ID]], Table4[ID], Table4[Meats], "Not Found", 0)</f>
        <v>102</v>
      </c>
      <c r="N1147" s="5">
        <f>_xlfn.XLOOKUP(CustomerCombined[[#This Row],[ID]], Table4[ID], Table4[Seafood], "Not Found", 0)</f>
        <v>107</v>
      </c>
      <c r="O1147" s="5">
        <f>_xlfn.XLOOKUP(CustomerCombined[[#This Row],[ID]], Table4[ID], Table4[Sweets], "Not Found", 0)</f>
        <v>112</v>
      </c>
      <c r="P1147" s="5">
        <f>_xlfn.XLOOKUP(CustomerCombined[[#This Row],[ID]], Table4[ID], Table4[Premium], "Not Found", 0)</f>
        <v>118</v>
      </c>
      <c r="Q1147" s="5">
        <f>_xlfn.XLOOKUP(CustomerCombined[[#This Row],[ID]], Table4[ID], Table4[Regular], "Not Found", 0)</f>
        <v>380</v>
      </c>
      <c r="R1147" s="5">
        <f>_xlfn.XLOOKUP(CustomerCombined[[#This Row],[ID]], Table4[ID], Table4[Deals], "Not Found", 0)</f>
        <v>3</v>
      </c>
      <c r="S1147" s="5">
        <f>_xlfn.XLOOKUP(CustomerCombined[[#This Row],[ID]], Table4[ID], Table4[Website], "Not Found", 0)</f>
        <v>3</v>
      </c>
      <c r="T1147" s="5">
        <f>_xlfn.XLOOKUP(CustomerCombined[[#This Row],[ID]], Table4[ID], Table4[Catalog], "Not Found", 0)</f>
        <v>2</v>
      </c>
      <c r="U1147" s="5">
        <f>_xlfn.XLOOKUP(CustomerCombined[[#This Row],[ID]], Table4[ID], Table4[Store], "Not Found", 0)</f>
        <v>2</v>
      </c>
      <c r="V1147" s="5">
        <f>_xlfn.XLOOKUP(CustomerCombined[[#This Row],[ID]], Table4[ID], Table4[Visits], "Not Found", 0)</f>
        <v>8</v>
      </c>
      <c r="W1147" s="8">
        <f>_xlfn.XLOOKUP(CustomerCombined[[#This Row],[ID]], Table2[ID],Table2[Complaint], "Not Found", 0 )</f>
        <v>0</v>
      </c>
      <c r="X1147" s="8">
        <f>_xlfn.XLOOKUP(CustomerCombined[[#This Row],[ID]], Table2[ID],Table2[Pilot], "Not Found", 0 )</f>
        <v>1</v>
      </c>
      <c r="Y1147" s="8">
        <f>_xlfn.XLOOKUP(CustomerCombined[[#This Row],[ID]], Table2[ID],Table2[MC1], "Not Found", 0 )</f>
        <v>0</v>
      </c>
      <c r="Z1147" s="8">
        <f>_xlfn.XLOOKUP(CustomerCombined[[#This Row],[ID]], Table2[ID],Table2[MC2], "Not Found", 0 )</f>
        <v>0</v>
      </c>
      <c r="AA1147" s="8">
        <f>_xlfn.XLOOKUP(CustomerCombined[[#This Row],[ID]], Table2[ID],Table2[MC3], "Not Found", 0 )</f>
        <v>0</v>
      </c>
      <c r="AB1147" s="8">
        <f>_xlfn.XLOOKUP(CustomerCombined[[#This Row],[ID]], Table2[ID],Table2[MC4], "Not Found", 0 )</f>
        <v>0</v>
      </c>
      <c r="AC1147" s="8">
        <f>_xlfn.XLOOKUP(CustomerCombined[[#This Row],[ID]], Table2[ID],Table2[MC5], "Not Found", 0 )</f>
        <v>0</v>
      </c>
    </row>
    <row r="1148" spans="1:29" x14ac:dyDescent="0.3">
      <c r="A1148" s="6">
        <v>1360</v>
      </c>
      <c r="B1148" s="6">
        <v>122585</v>
      </c>
      <c r="C1148" s="6">
        <v>0</v>
      </c>
      <c r="D1148" s="6">
        <v>0</v>
      </c>
      <c r="E1148" s="6">
        <v>50</v>
      </c>
      <c r="F1148" s="5" t="s">
        <v>7</v>
      </c>
      <c r="G1148" s="5" t="s">
        <v>11</v>
      </c>
      <c r="H1148" s="3" t="s">
        <v>290</v>
      </c>
      <c r="I1148" s="5" t="s">
        <v>439</v>
      </c>
      <c r="J1148" s="5">
        <f>_xlfn.XLOOKUP(CustomerCombined[[#This Row],[ID]], Table4[ID], Table4[Recency], "Not Found", 0)</f>
        <v>23</v>
      </c>
      <c r="K1148" s="5">
        <f>_xlfn.XLOOKUP(CustomerCombined[[#This Row],[ID]], Table4[ID], Table4[Teas], "Not Found", 0)</f>
        <v>16</v>
      </c>
      <c r="L1148" s="5">
        <f>_xlfn.XLOOKUP(CustomerCombined[[#This Row],[ID]], Table4[ID], Table4[Fruits], "Not Found", 0)</f>
        <v>49</v>
      </c>
      <c r="M1148" s="5">
        <f>_xlfn.XLOOKUP(CustomerCombined[[#This Row],[ID]], Table4[ID], Table4[Meats], "Not Found", 0)</f>
        <v>81</v>
      </c>
      <c r="N1148" s="5">
        <f>_xlfn.XLOOKUP(CustomerCombined[[#This Row],[ID]], Table4[ID], Table4[Seafood], "Not Found", 0)</f>
        <v>71</v>
      </c>
      <c r="O1148" s="5">
        <f>_xlfn.XLOOKUP(CustomerCombined[[#This Row],[ID]], Table4[ID], Table4[Sweets], "Not Found", 0)</f>
        <v>11</v>
      </c>
      <c r="P1148" s="5">
        <f>_xlfn.XLOOKUP(CustomerCombined[[#This Row],[ID]], Table4[ID], Table4[Premium], "Not Found", 0)</f>
        <v>212</v>
      </c>
      <c r="Q1148" s="5">
        <f>_xlfn.XLOOKUP(CustomerCombined[[#This Row],[ID]], Table4[ID], Table4[Regular], "Not Found", 0)</f>
        <v>16</v>
      </c>
      <c r="R1148" s="5">
        <f>_xlfn.XLOOKUP(CustomerCombined[[#This Row],[ID]], Table4[ID], Table4[Deals], "Not Found", 0)</f>
        <v>1</v>
      </c>
      <c r="S1148" s="5">
        <f>_xlfn.XLOOKUP(CustomerCombined[[#This Row],[ID]], Table4[ID], Table4[Website], "Not Found", 0)</f>
        <v>1</v>
      </c>
      <c r="T1148" s="5">
        <f>_xlfn.XLOOKUP(CustomerCombined[[#This Row],[ID]], Table4[ID], Table4[Catalog], "Not Found", 0)</f>
        <v>1</v>
      </c>
      <c r="U1148" s="5">
        <f>_xlfn.XLOOKUP(CustomerCombined[[#This Row],[ID]], Table4[ID], Table4[Store], "Not Found", 0)</f>
        <v>2</v>
      </c>
      <c r="V1148" s="5">
        <f>_xlfn.XLOOKUP(CustomerCombined[[#This Row],[ID]], Table4[ID], Table4[Visits], "Not Found", 0)</f>
        <v>9</v>
      </c>
      <c r="W1148" s="8">
        <f>_xlfn.XLOOKUP(CustomerCombined[[#This Row],[ID]], Table2[ID],Table2[Complaint], "Not Found", 0 )</f>
        <v>0</v>
      </c>
      <c r="X1148" s="8">
        <f>_xlfn.XLOOKUP(CustomerCombined[[#This Row],[ID]], Table2[ID],Table2[Pilot], "Not Found", 0 )</f>
        <v>1</v>
      </c>
      <c r="Y1148" s="8">
        <f>_xlfn.XLOOKUP(CustomerCombined[[#This Row],[ID]], Table2[ID],Table2[MC1], "Not Found", 0 )</f>
        <v>0</v>
      </c>
      <c r="Z1148" s="8">
        <f>_xlfn.XLOOKUP(CustomerCombined[[#This Row],[ID]], Table2[ID],Table2[MC2], "Not Found", 0 )</f>
        <v>0</v>
      </c>
      <c r="AA1148" s="8">
        <f>_xlfn.XLOOKUP(CustomerCombined[[#This Row],[ID]], Table2[ID],Table2[MC3], "Not Found", 0 )</f>
        <v>1</v>
      </c>
      <c r="AB1148" s="8">
        <f>_xlfn.XLOOKUP(CustomerCombined[[#This Row],[ID]], Table2[ID],Table2[MC4], "Not Found", 0 )</f>
        <v>0</v>
      </c>
      <c r="AC1148" s="8">
        <f>_xlfn.XLOOKUP(CustomerCombined[[#This Row],[ID]], Table2[ID],Table2[MC5], "Not Found", 0 )</f>
        <v>0</v>
      </c>
    </row>
    <row r="1149" spans="1:29" x14ac:dyDescent="0.3">
      <c r="A1149" s="6">
        <v>1256</v>
      </c>
      <c r="B1149" s="6">
        <v>122070</v>
      </c>
      <c r="C1149" s="6">
        <v>1</v>
      </c>
      <c r="D1149" s="6">
        <v>0</v>
      </c>
      <c r="E1149" s="6">
        <v>50</v>
      </c>
      <c r="F1149" s="5" t="s">
        <v>8</v>
      </c>
      <c r="G1149" s="5" t="s">
        <v>11</v>
      </c>
      <c r="H1149" s="3">
        <v>44107</v>
      </c>
      <c r="I1149" s="5" t="s">
        <v>438</v>
      </c>
      <c r="J1149" s="5">
        <f>_xlfn.XLOOKUP(CustomerCombined[[#This Row],[ID]], Table4[ID], Table4[Recency], "Not Found", 0)</f>
        <v>11</v>
      </c>
      <c r="K1149" s="5">
        <f>_xlfn.XLOOKUP(CustomerCombined[[#This Row],[ID]], Table4[ID], Table4[Teas], "Not Found", 0)</f>
        <v>55</v>
      </c>
      <c r="L1149" s="5">
        <f>_xlfn.XLOOKUP(CustomerCombined[[#This Row],[ID]], Table4[ID], Table4[Fruits], "Not Found", 0)</f>
        <v>39</v>
      </c>
      <c r="M1149" s="5">
        <f>_xlfn.XLOOKUP(CustomerCombined[[#This Row],[ID]], Table4[ID], Table4[Meats], "Not Found", 0)</f>
        <v>105</v>
      </c>
      <c r="N1149" s="5">
        <f>_xlfn.XLOOKUP(CustomerCombined[[#This Row],[ID]], Table4[ID], Table4[Seafood], "Not Found", 0)</f>
        <v>44</v>
      </c>
      <c r="O1149" s="5">
        <f>_xlfn.XLOOKUP(CustomerCombined[[#This Row],[ID]], Table4[ID], Table4[Sweets], "Not Found", 0)</f>
        <v>11</v>
      </c>
      <c r="P1149" s="5">
        <f>_xlfn.XLOOKUP(CustomerCombined[[#This Row],[ID]], Table4[ID], Table4[Premium], "Not Found", 0)</f>
        <v>116</v>
      </c>
      <c r="Q1149" s="5">
        <f>_xlfn.XLOOKUP(CustomerCombined[[#This Row],[ID]], Table4[ID], Table4[Regular], "Not Found", 0)</f>
        <v>138</v>
      </c>
      <c r="R1149" s="5">
        <f>_xlfn.XLOOKUP(CustomerCombined[[#This Row],[ID]], Table4[ID], Table4[Deals], "Not Found", 0)</f>
        <v>2</v>
      </c>
      <c r="S1149" s="5">
        <f>_xlfn.XLOOKUP(CustomerCombined[[#This Row],[ID]], Table4[ID], Table4[Website], "Not Found", 0)</f>
        <v>2</v>
      </c>
      <c r="T1149" s="5">
        <f>_xlfn.XLOOKUP(CustomerCombined[[#This Row],[ID]], Table4[ID], Table4[Catalog], "Not Found", 0)</f>
        <v>2</v>
      </c>
      <c r="U1149" s="5">
        <f>_xlfn.XLOOKUP(CustomerCombined[[#This Row],[ID]], Table4[ID], Table4[Store], "Not Found", 0)</f>
        <v>2</v>
      </c>
      <c r="V1149" s="5">
        <f>_xlfn.XLOOKUP(CustomerCombined[[#This Row],[ID]], Table4[ID], Table4[Visits], "Not Found", 0)</f>
        <v>6</v>
      </c>
      <c r="W1149" s="8">
        <f>_xlfn.XLOOKUP(CustomerCombined[[#This Row],[ID]], Table2[ID],Table2[Complaint], "Not Found", 0 )</f>
        <v>0</v>
      </c>
      <c r="X1149" s="8">
        <f>_xlfn.XLOOKUP(CustomerCombined[[#This Row],[ID]], Table2[ID],Table2[Pilot], "Not Found", 0 )</f>
        <v>0</v>
      </c>
      <c r="Y1149" s="8">
        <f>_xlfn.XLOOKUP(CustomerCombined[[#This Row],[ID]], Table2[ID],Table2[MC1], "Not Found", 0 )</f>
        <v>0</v>
      </c>
      <c r="Z1149" s="8">
        <f>_xlfn.XLOOKUP(CustomerCombined[[#This Row],[ID]], Table2[ID],Table2[MC2], "Not Found", 0 )</f>
        <v>0</v>
      </c>
      <c r="AA1149" s="8">
        <f>_xlfn.XLOOKUP(CustomerCombined[[#This Row],[ID]], Table2[ID],Table2[MC3], "Not Found", 0 )</f>
        <v>0</v>
      </c>
      <c r="AB1149" s="8">
        <f>_xlfn.XLOOKUP(CustomerCombined[[#This Row],[ID]], Table2[ID],Table2[MC4], "Not Found", 0 )</f>
        <v>0</v>
      </c>
      <c r="AC1149" s="8">
        <f>_xlfn.XLOOKUP(CustomerCombined[[#This Row],[ID]], Table2[ID],Table2[MC5], "Not Found", 0 )</f>
        <v>0</v>
      </c>
    </row>
    <row r="1150" spans="1:29" x14ac:dyDescent="0.3">
      <c r="A1150" s="6">
        <v>1763</v>
      </c>
      <c r="B1150" s="6">
        <v>120587</v>
      </c>
      <c r="C1150" s="6">
        <v>1</v>
      </c>
      <c r="D1150" s="6">
        <v>0</v>
      </c>
      <c r="E1150" s="6">
        <v>50</v>
      </c>
      <c r="F1150" s="5" t="s">
        <v>7</v>
      </c>
      <c r="G1150" s="5" t="s">
        <v>11</v>
      </c>
      <c r="H1150" s="3" t="s">
        <v>53</v>
      </c>
      <c r="I1150" s="5" t="s">
        <v>434</v>
      </c>
      <c r="J1150" s="5">
        <f>_xlfn.XLOOKUP(CustomerCombined[[#This Row],[ID]], Table4[ID], Table4[Recency], "Not Found", 0)</f>
        <v>39</v>
      </c>
      <c r="K1150" s="5">
        <f>_xlfn.XLOOKUP(CustomerCombined[[#This Row],[ID]], Table4[ID], Table4[Teas], "Not Found", 0)</f>
        <v>12</v>
      </c>
      <c r="L1150" s="5">
        <f>_xlfn.XLOOKUP(CustomerCombined[[#This Row],[ID]], Table4[ID], Table4[Fruits], "Not Found", 0)</f>
        <v>18</v>
      </c>
      <c r="M1150" s="5">
        <f>_xlfn.XLOOKUP(CustomerCombined[[#This Row],[ID]], Table4[ID], Table4[Meats], "Not Found", 0)</f>
        <v>35</v>
      </c>
      <c r="N1150" s="5">
        <f>_xlfn.XLOOKUP(CustomerCombined[[#This Row],[ID]], Table4[ID], Table4[Seafood], "Not Found", 0)</f>
        <v>23</v>
      </c>
      <c r="O1150" s="5">
        <f>_xlfn.XLOOKUP(CustomerCombined[[#This Row],[ID]], Table4[ID], Table4[Sweets], "Not Found", 0)</f>
        <v>6</v>
      </c>
      <c r="P1150" s="5">
        <f>_xlfn.XLOOKUP(CustomerCombined[[#This Row],[ID]], Table4[ID], Table4[Premium], "Not Found", 0)</f>
        <v>53</v>
      </c>
      <c r="Q1150" s="5">
        <f>_xlfn.XLOOKUP(CustomerCombined[[#This Row],[ID]], Table4[ID], Table4[Regular], "Not Found", 0)</f>
        <v>41</v>
      </c>
      <c r="R1150" s="5">
        <f>_xlfn.XLOOKUP(CustomerCombined[[#This Row],[ID]], Table4[ID], Table4[Deals], "Not Found", 0)</f>
        <v>1</v>
      </c>
      <c r="S1150" s="5">
        <f>_xlfn.XLOOKUP(CustomerCombined[[#This Row],[ID]], Table4[ID], Table4[Website], "Not Found", 0)</f>
        <v>1</v>
      </c>
      <c r="T1150" s="5">
        <f>_xlfn.XLOOKUP(CustomerCombined[[#This Row],[ID]], Table4[ID], Table4[Catalog], "Not Found", 0)</f>
        <v>1</v>
      </c>
      <c r="U1150" s="5">
        <f>_xlfn.XLOOKUP(CustomerCombined[[#This Row],[ID]], Table4[ID], Table4[Store], "Not Found", 0)</f>
        <v>2</v>
      </c>
      <c r="V1150" s="5">
        <f>_xlfn.XLOOKUP(CustomerCombined[[#This Row],[ID]], Table4[ID], Table4[Visits], "Not Found", 0)</f>
        <v>7</v>
      </c>
      <c r="W1150" s="8">
        <f>_xlfn.XLOOKUP(CustomerCombined[[#This Row],[ID]], Table2[ID],Table2[Complaint], "Not Found", 0 )</f>
        <v>0</v>
      </c>
      <c r="X1150" s="8">
        <f>_xlfn.XLOOKUP(CustomerCombined[[#This Row],[ID]], Table2[ID],Table2[Pilot], "Not Found", 0 )</f>
        <v>0</v>
      </c>
      <c r="Y1150" s="8">
        <f>_xlfn.XLOOKUP(CustomerCombined[[#This Row],[ID]], Table2[ID],Table2[MC1], "Not Found", 0 )</f>
        <v>0</v>
      </c>
      <c r="Z1150" s="8">
        <f>_xlfn.XLOOKUP(CustomerCombined[[#This Row],[ID]], Table2[ID],Table2[MC2], "Not Found", 0 )</f>
        <v>0</v>
      </c>
      <c r="AA1150" s="8">
        <f>_xlfn.XLOOKUP(CustomerCombined[[#This Row],[ID]], Table2[ID],Table2[MC3], "Not Found", 0 )</f>
        <v>0</v>
      </c>
      <c r="AB1150" s="8">
        <f>_xlfn.XLOOKUP(CustomerCombined[[#This Row],[ID]], Table2[ID],Table2[MC4], "Not Found", 0 )</f>
        <v>0</v>
      </c>
      <c r="AC1150" s="8">
        <f>_xlfn.XLOOKUP(CustomerCombined[[#This Row],[ID]], Table2[ID],Table2[MC5], "Not Found", 0 )</f>
        <v>0</v>
      </c>
    </row>
    <row r="1151" spans="1:29" x14ac:dyDescent="0.3">
      <c r="A1151" s="6">
        <v>3105</v>
      </c>
      <c r="B1151" s="6">
        <v>120587</v>
      </c>
      <c r="C1151" s="6">
        <v>1</v>
      </c>
      <c r="D1151" s="6">
        <v>0</v>
      </c>
      <c r="E1151" s="6">
        <v>50</v>
      </c>
      <c r="F1151" s="5" t="s">
        <v>7</v>
      </c>
      <c r="G1151" s="5" t="s">
        <v>11</v>
      </c>
      <c r="H1151" s="3" t="s">
        <v>53</v>
      </c>
      <c r="I1151" s="5" t="s">
        <v>435</v>
      </c>
      <c r="J1151" s="5">
        <f>_xlfn.XLOOKUP(CustomerCombined[[#This Row],[ID]], Table4[ID], Table4[Recency], "Not Found", 0)</f>
        <v>39</v>
      </c>
      <c r="K1151" s="5">
        <f>_xlfn.XLOOKUP(CustomerCombined[[#This Row],[ID]], Table4[ID], Table4[Teas], "Not Found", 0)</f>
        <v>12</v>
      </c>
      <c r="L1151" s="5">
        <f>_xlfn.XLOOKUP(CustomerCombined[[#This Row],[ID]], Table4[ID], Table4[Fruits], "Not Found", 0)</f>
        <v>18</v>
      </c>
      <c r="M1151" s="5">
        <f>_xlfn.XLOOKUP(CustomerCombined[[#This Row],[ID]], Table4[ID], Table4[Meats], "Not Found", 0)</f>
        <v>35</v>
      </c>
      <c r="N1151" s="5">
        <f>_xlfn.XLOOKUP(CustomerCombined[[#This Row],[ID]], Table4[ID], Table4[Seafood], "Not Found", 0)</f>
        <v>23</v>
      </c>
      <c r="O1151" s="5">
        <f>_xlfn.XLOOKUP(CustomerCombined[[#This Row],[ID]], Table4[ID], Table4[Sweets], "Not Found", 0)</f>
        <v>6</v>
      </c>
      <c r="P1151" s="5">
        <f>_xlfn.XLOOKUP(CustomerCombined[[#This Row],[ID]], Table4[ID], Table4[Premium], "Not Found", 0)</f>
        <v>53</v>
      </c>
      <c r="Q1151" s="5">
        <f>_xlfn.XLOOKUP(CustomerCombined[[#This Row],[ID]], Table4[ID], Table4[Regular], "Not Found", 0)</f>
        <v>41</v>
      </c>
      <c r="R1151" s="5">
        <f>_xlfn.XLOOKUP(CustomerCombined[[#This Row],[ID]], Table4[ID], Table4[Deals], "Not Found", 0)</f>
        <v>1</v>
      </c>
      <c r="S1151" s="5">
        <f>_xlfn.XLOOKUP(CustomerCombined[[#This Row],[ID]], Table4[ID], Table4[Website], "Not Found", 0)</f>
        <v>1</v>
      </c>
      <c r="T1151" s="5">
        <f>_xlfn.XLOOKUP(CustomerCombined[[#This Row],[ID]], Table4[ID], Table4[Catalog], "Not Found", 0)</f>
        <v>1</v>
      </c>
      <c r="U1151" s="5">
        <f>_xlfn.XLOOKUP(CustomerCombined[[#This Row],[ID]], Table4[ID], Table4[Store], "Not Found", 0)</f>
        <v>2</v>
      </c>
      <c r="V1151" s="5">
        <f>_xlfn.XLOOKUP(CustomerCombined[[#This Row],[ID]], Table4[ID], Table4[Visits], "Not Found", 0)</f>
        <v>7</v>
      </c>
      <c r="W1151" s="8">
        <f>_xlfn.XLOOKUP(CustomerCombined[[#This Row],[ID]], Table2[ID],Table2[Complaint], "Not Found", 0 )</f>
        <v>0</v>
      </c>
      <c r="X1151" s="8">
        <f>_xlfn.XLOOKUP(CustomerCombined[[#This Row],[ID]], Table2[ID],Table2[Pilot], "Not Found", 0 )</f>
        <v>0</v>
      </c>
      <c r="Y1151" s="8">
        <f>_xlfn.XLOOKUP(CustomerCombined[[#This Row],[ID]], Table2[ID],Table2[MC1], "Not Found", 0 )</f>
        <v>0</v>
      </c>
      <c r="Z1151" s="8">
        <f>_xlfn.XLOOKUP(CustomerCombined[[#This Row],[ID]], Table2[ID],Table2[MC2], "Not Found", 0 )</f>
        <v>0</v>
      </c>
      <c r="AA1151" s="8">
        <f>_xlfn.XLOOKUP(CustomerCombined[[#This Row],[ID]], Table2[ID],Table2[MC3], "Not Found", 0 )</f>
        <v>0</v>
      </c>
      <c r="AB1151" s="8">
        <f>_xlfn.XLOOKUP(CustomerCombined[[#This Row],[ID]], Table2[ID],Table2[MC4], "Not Found", 0 )</f>
        <v>0</v>
      </c>
      <c r="AC1151" s="8">
        <f>_xlfn.XLOOKUP(CustomerCombined[[#This Row],[ID]], Table2[ID],Table2[MC5], "Not Found", 0 )</f>
        <v>0</v>
      </c>
    </row>
    <row r="1152" spans="1:29" x14ac:dyDescent="0.3">
      <c r="A1152" s="6">
        <v>2248</v>
      </c>
      <c r="B1152" s="6">
        <v>119656</v>
      </c>
      <c r="C1152" s="6">
        <v>1</v>
      </c>
      <c r="D1152" s="6">
        <v>0</v>
      </c>
      <c r="E1152" s="6">
        <v>50</v>
      </c>
      <c r="F1152" s="5" t="s">
        <v>8</v>
      </c>
      <c r="G1152" s="5" t="s">
        <v>11</v>
      </c>
      <c r="H1152" s="3" t="s">
        <v>315</v>
      </c>
      <c r="I1152" s="5" t="s">
        <v>439</v>
      </c>
      <c r="J1152" s="5">
        <f>_xlfn.XLOOKUP(CustomerCombined[[#This Row],[ID]], Table4[ID], Table4[Recency], "Not Found", 0)</f>
        <v>94</v>
      </c>
      <c r="K1152" s="5">
        <f>_xlfn.XLOOKUP(CustomerCombined[[#This Row],[ID]], Table4[ID], Table4[Teas], "Not Found", 0)</f>
        <v>152</v>
      </c>
      <c r="L1152" s="5">
        <f>_xlfn.XLOOKUP(CustomerCombined[[#This Row],[ID]], Table4[ID], Table4[Fruits], "Not Found", 0)</f>
        <v>24</v>
      </c>
      <c r="M1152" s="5">
        <f>_xlfn.XLOOKUP(CustomerCombined[[#This Row],[ID]], Table4[ID], Table4[Meats], "Not Found", 0)</f>
        <v>55</v>
      </c>
      <c r="N1152" s="5">
        <f>_xlfn.XLOOKUP(CustomerCombined[[#This Row],[ID]], Table4[ID], Table4[Seafood], "Not Found", 0)</f>
        <v>37</v>
      </c>
      <c r="O1152" s="5">
        <f>_xlfn.XLOOKUP(CustomerCombined[[#This Row],[ID]], Table4[ID], Table4[Sweets], "Not Found", 0)</f>
        <v>49</v>
      </c>
      <c r="P1152" s="5">
        <f>_xlfn.XLOOKUP(CustomerCombined[[#This Row],[ID]], Table4[ID], Table4[Premium], "Not Found", 0)</f>
        <v>195</v>
      </c>
      <c r="Q1152" s="5">
        <f>_xlfn.XLOOKUP(CustomerCombined[[#This Row],[ID]], Table4[ID], Table4[Regular], "Not Found", 0)</f>
        <v>122</v>
      </c>
      <c r="R1152" s="5">
        <f>_xlfn.XLOOKUP(CustomerCombined[[#This Row],[ID]], Table4[ID], Table4[Deals], "Not Found", 0)</f>
        <v>3</v>
      </c>
      <c r="S1152" s="5">
        <f>_xlfn.XLOOKUP(CustomerCombined[[#This Row],[ID]], Table4[ID], Table4[Website], "Not Found", 0)</f>
        <v>2</v>
      </c>
      <c r="T1152" s="5">
        <f>_xlfn.XLOOKUP(CustomerCombined[[#This Row],[ID]], Table4[ID], Table4[Catalog], "Not Found", 0)</f>
        <v>1</v>
      </c>
      <c r="U1152" s="5">
        <f>_xlfn.XLOOKUP(CustomerCombined[[#This Row],[ID]], Table4[ID], Table4[Store], "Not Found", 0)</f>
        <v>3</v>
      </c>
      <c r="V1152" s="5">
        <f>_xlfn.XLOOKUP(CustomerCombined[[#This Row],[ID]], Table4[ID], Table4[Visits], "Not Found", 0)</f>
        <v>7</v>
      </c>
      <c r="W1152" s="8">
        <f>_xlfn.XLOOKUP(CustomerCombined[[#This Row],[ID]], Table2[ID],Table2[Complaint], "Not Found", 0 )</f>
        <v>0</v>
      </c>
      <c r="X1152" s="8">
        <f>_xlfn.XLOOKUP(CustomerCombined[[#This Row],[ID]], Table2[ID],Table2[Pilot], "Not Found", 0 )</f>
        <v>0</v>
      </c>
      <c r="Y1152" s="8">
        <f>_xlfn.XLOOKUP(CustomerCombined[[#This Row],[ID]], Table2[ID],Table2[MC1], "Not Found", 0 )</f>
        <v>0</v>
      </c>
      <c r="Z1152" s="8">
        <f>_xlfn.XLOOKUP(CustomerCombined[[#This Row],[ID]], Table2[ID],Table2[MC2], "Not Found", 0 )</f>
        <v>0</v>
      </c>
      <c r="AA1152" s="8">
        <f>_xlfn.XLOOKUP(CustomerCombined[[#This Row],[ID]], Table2[ID],Table2[MC3], "Not Found", 0 )</f>
        <v>0</v>
      </c>
      <c r="AB1152" s="8">
        <f>_xlfn.XLOOKUP(CustomerCombined[[#This Row],[ID]], Table2[ID],Table2[MC4], "Not Found", 0 )</f>
        <v>0</v>
      </c>
      <c r="AC1152" s="8">
        <f>_xlfn.XLOOKUP(CustomerCombined[[#This Row],[ID]], Table2[ID],Table2[MC5], "Not Found", 0 )</f>
        <v>0</v>
      </c>
    </row>
    <row r="1153" spans="1:29" x14ac:dyDescent="0.3">
      <c r="A1153" s="6">
        <v>1542</v>
      </c>
      <c r="B1153" s="6">
        <v>115315</v>
      </c>
      <c r="C1153" s="6">
        <v>0</v>
      </c>
      <c r="D1153" s="6">
        <v>0</v>
      </c>
      <c r="E1153" s="6">
        <v>50</v>
      </c>
      <c r="F1153" s="5" t="s">
        <v>6</v>
      </c>
      <c r="G1153" s="5" t="s">
        <v>442</v>
      </c>
      <c r="H1153" s="3">
        <v>44044</v>
      </c>
      <c r="I1153" s="5" t="s">
        <v>436</v>
      </c>
      <c r="J1153" s="5">
        <f>_xlfn.XLOOKUP(CustomerCombined[[#This Row],[ID]], Table4[ID], Table4[Recency], "Not Found", 0)</f>
        <v>27</v>
      </c>
      <c r="K1153" s="5">
        <f>_xlfn.XLOOKUP(CustomerCombined[[#This Row],[ID]], Table4[ID], Table4[Teas], "Not Found", 0)</f>
        <v>53</v>
      </c>
      <c r="L1153" s="5">
        <f>_xlfn.XLOOKUP(CustomerCombined[[#This Row],[ID]], Table4[ID], Table4[Fruits], "Not Found", 0)</f>
        <v>30</v>
      </c>
      <c r="M1153" s="5">
        <f>_xlfn.XLOOKUP(CustomerCombined[[#This Row],[ID]], Table4[ID], Table4[Meats], "Not Found", 0)</f>
        <v>98</v>
      </c>
      <c r="N1153" s="5">
        <f>_xlfn.XLOOKUP(CustomerCombined[[#This Row],[ID]], Table4[ID], Table4[Seafood], "Not Found", 0)</f>
        <v>113</v>
      </c>
      <c r="O1153" s="5">
        <f>_xlfn.XLOOKUP(CustomerCombined[[#This Row],[ID]], Table4[ID], Table4[Sweets], "Not Found", 0)</f>
        <v>60</v>
      </c>
      <c r="P1153" s="5">
        <f>_xlfn.XLOOKUP(CustomerCombined[[#This Row],[ID]], Table4[ID], Table4[Premium], "Not Found", 0)</f>
        <v>128</v>
      </c>
      <c r="Q1153" s="5">
        <f>_xlfn.XLOOKUP(CustomerCombined[[#This Row],[ID]], Table4[ID], Table4[Regular], "Not Found", 0)</f>
        <v>226</v>
      </c>
      <c r="R1153" s="5">
        <f>_xlfn.XLOOKUP(CustomerCombined[[#This Row],[ID]], Table4[ID], Table4[Deals], "Not Found", 0)</f>
        <v>2</v>
      </c>
      <c r="S1153" s="5">
        <f>_xlfn.XLOOKUP(CustomerCombined[[#This Row],[ID]], Table4[ID], Table4[Website], "Not Found", 0)</f>
        <v>2</v>
      </c>
      <c r="T1153" s="5">
        <f>_xlfn.XLOOKUP(CustomerCombined[[#This Row],[ID]], Table4[ID], Table4[Catalog], "Not Found", 0)</f>
        <v>0</v>
      </c>
      <c r="U1153" s="5">
        <f>_xlfn.XLOOKUP(CustomerCombined[[#This Row],[ID]], Table4[ID], Table4[Store], "Not Found", 0)</f>
        <v>4</v>
      </c>
      <c r="V1153" s="5">
        <f>_xlfn.XLOOKUP(CustomerCombined[[#This Row],[ID]], Table4[ID], Table4[Visits], "Not Found", 0)</f>
        <v>5</v>
      </c>
      <c r="W1153" s="8">
        <f>_xlfn.XLOOKUP(CustomerCombined[[#This Row],[ID]], Table2[ID],Table2[Complaint], "Not Found", 0 )</f>
        <v>0</v>
      </c>
      <c r="X1153" s="8">
        <f>_xlfn.XLOOKUP(CustomerCombined[[#This Row],[ID]], Table2[ID],Table2[Pilot], "Not Found", 0 )</f>
        <v>0</v>
      </c>
      <c r="Y1153" s="8">
        <f>_xlfn.XLOOKUP(CustomerCombined[[#This Row],[ID]], Table2[ID],Table2[MC1], "Not Found", 0 )</f>
        <v>0</v>
      </c>
      <c r="Z1153" s="8">
        <f>_xlfn.XLOOKUP(CustomerCombined[[#This Row],[ID]], Table2[ID],Table2[MC2], "Not Found", 0 )</f>
        <v>0</v>
      </c>
      <c r="AA1153" s="8">
        <f>_xlfn.XLOOKUP(CustomerCombined[[#This Row],[ID]], Table2[ID],Table2[MC3], "Not Found", 0 )</f>
        <v>0</v>
      </c>
      <c r="AB1153" s="8">
        <f>_xlfn.XLOOKUP(CustomerCombined[[#This Row],[ID]], Table2[ID],Table2[MC4], "Not Found", 0 )</f>
        <v>0</v>
      </c>
      <c r="AC1153" s="8">
        <f>_xlfn.XLOOKUP(CustomerCombined[[#This Row],[ID]], Table2[ID],Table2[MC5], "Not Found", 0 )</f>
        <v>0</v>
      </c>
    </row>
    <row r="1154" spans="1:29" x14ac:dyDescent="0.3">
      <c r="A1154" s="6">
        <v>2088</v>
      </c>
      <c r="B1154" s="6">
        <v>115315</v>
      </c>
      <c r="C1154" s="6">
        <v>0</v>
      </c>
      <c r="D1154" s="6">
        <v>0</v>
      </c>
      <c r="E1154" s="6">
        <v>50</v>
      </c>
      <c r="F1154" s="5" t="s">
        <v>6</v>
      </c>
      <c r="G1154" s="5" t="s">
        <v>442</v>
      </c>
      <c r="H1154" s="3">
        <v>44044</v>
      </c>
      <c r="I1154" s="5" t="s">
        <v>436</v>
      </c>
      <c r="J1154" s="5">
        <f>_xlfn.XLOOKUP(CustomerCombined[[#This Row],[ID]], Table4[ID], Table4[Recency], "Not Found", 0)</f>
        <v>27</v>
      </c>
      <c r="K1154" s="5">
        <f>_xlfn.XLOOKUP(CustomerCombined[[#This Row],[ID]], Table4[ID], Table4[Teas], "Not Found", 0)</f>
        <v>53</v>
      </c>
      <c r="L1154" s="5">
        <f>_xlfn.XLOOKUP(CustomerCombined[[#This Row],[ID]], Table4[ID], Table4[Fruits], "Not Found", 0)</f>
        <v>30</v>
      </c>
      <c r="M1154" s="5">
        <f>_xlfn.XLOOKUP(CustomerCombined[[#This Row],[ID]], Table4[ID], Table4[Meats], "Not Found", 0)</f>
        <v>98</v>
      </c>
      <c r="N1154" s="5">
        <f>_xlfn.XLOOKUP(CustomerCombined[[#This Row],[ID]], Table4[ID], Table4[Seafood], "Not Found", 0)</f>
        <v>113</v>
      </c>
      <c r="O1154" s="5">
        <f>_xlfn.XLOOKUP(CustomerCombined[[#This Row],[ID]], Table4[ID], Table4[Sweets], "Not Found", 0)</f>
        <v>60</v>
      </c>
      <c r="P1154" s="5">
        <f>_xlfn.XLOOKUP(CustomerCombined[[#This Row],[ID]], Table4[ID], Table4[Premium], "Not Found", 0)</f>
        <v>128</v>
      </c>
      <c r="Q1154" s="5">
        <f>_xlfn.XLOOKUP(CustomerCombined[[#This Row],[ID]], Table4[ID], Table4[Regular], "Not Found", 0)</f>
        <v>226</v>
      </c>
      <c r="R1154" s="5">
        <f>_xlfn.XLOOKUP(CustomerCombined[[#This Row],[ID]], Table4[ID], Table4[Deals], "Not Found", 0)</f>
        <v>2</v>
      </c>
      <c r="S1154" s="5">
        <f>_xlfn.XLOOKUP(CustomerCombined[[#This Row],[ID]], Table4[ID], Table4[Website], "Not Found", 0)</f>
        <v>2</v>
      </c>
      <c r="T1154" s="5">
        <f>_xlfn.XLOOKUP(CustomerCombined[[#This Row],[ID]], Table4[ID], Table4[Catalog], "Not Found", 0)</f>
        <v>0</v>
      </c>
      <c r="U1154" s="5">
        <f>_xlfn.XLOOKUP(CustomerCombined[[#This Row],[ID]], Table4[ID], Table4[Store], "Not Found", 0)</f>
        <v>4</v>
      </c>
      <c r="V1154" s="5">
        <f>_xlfn.XLOOKUP(CustomerCombined[[#This Row],[ID]], Table4[ID], Table4[Visits], "Not Found", 0)</f>
        <v>5</v>
      </c>
      <c r="W1154" s="8">
        <f>_xlfn.XLOOKUP(CustomerCombined[[#This Row],[ID]], Table2[ID],Table2[Complaint], "Not Found", 0 )</f>
        <v>0</v>
      </c>
      <c r="X1154" s="8">
        <f>_xlfn.XLOOKUP(CustomerCombined[[#This Row],[ID]], Table2[ID],Table2[Pilot], "Not Found", 0 )</f>
        <v>0</v>
      </c>
      <c r="Y1154" s="8">
        <f>_xlfn.XLOOKUP(CustomerCombined[[#This Row],[ID]], Table2[ID],Table2[MC1], "Not Found", 0 )</f>
        <v>0</v>
      </c>
      <c r="Z1154" s="8">
        <f>_xlfn.XLOOKUP(CustomerCombined[[#This Row],[ID]], Table2[ID],Table2[MC2], "Not Found", 0 )</f>
        <v>0</v>
      </c>
      <c r="AA1154" s="8">
        <f>_xlfn.XLOOKUP(CustomerCombined[[#This Row],[ID]], Table2[ID],Table2[MC3], "Not Found", 0 )</f>
        <v>0</v>
      </c>
      <c r="AB1154" s="8">
        <f>_xlfn.XLOOKUP(CustomerCombined[[#This Row],[ID]], Table2[ID],Table2[MC4], "Not Found", 0 )</f>
        <v>0</v>
      </c>
      <c r="AC1154" s="8">
        <f>_xlfn.XLOOKUP(CustomerCombined[[#This Row],[ID]], Table2[ID],Table2[MC5], "Not Found", 0 )</f>
        <v>0</v>
      </c>
    </row>
    <row r="1155" spans="1:29" x14ac:dyDescent="0.3">
      <c r="A1155" s="6">
        <v>1561</v>
      </c>
      <c r="B1155" s="6">
        <v>113260</v>
      </c>
      <c r="C1155" s="6">
        <v>1</v>
      </c>
      <c r="D1155" s="6">
        <v>1</v>
      </c>
      <c r="E1155" s="6">
        <v>50</v>
      </c>
      <c r="F1155" s="5" t="s">
        <v>6</v>
      </c>
      <c r="G1155" s="5" t="s">
        <v>11</v>
      </c>
      <c r="H1155" s="3" t="s">
        <v>194</v>
      </c>
      <c r="I1155" s="5" t="s">
        <v>437</v>
      </c>
      <c r="J1155" s="5">
        <f>_xlfn.XLOOKUP(CustomerCombined[[#This Row],[ID]], Table4[ID], Table4[Recency], "Not Found", 0)</f>
        <v>48</v>
      </c>
      <c r="K1155" s="5">
        <f>_xlfn.XLOOKUP(CustomerCombined[[#This Row],[ID]], Table4[ID], Table4[Teas], "Not Found", 0)</f>
        <v>77</v>
      </c>
      <c r="L1155" s="5">
        <f>_xlfn.XLOOKUP(CustomerCombined[[#This Row],[ID]], Table4[ID], Table4[Fruits], "Not Found", 0)</f>
        <v>34</v>
      </c>
      <c r="M1155" s="5">
        <f>_xlfn.XLOOKUP(CustomerCombined[[#This Row],[ID]], Table4[ID], Table4[Meats], "Not Found", 0)</f>
        <v>145</v>
      </c>
      <c r="N1155" s="5">
        <f>_xlfn.XLOOKUP(CustomerCombined[[#This Row],[ID]], Table4[ID], Table4[Seafood], "Not Found", 0)</f>
        <v>85</v>
      </c>
      <c r="O1155" s="5">
        <f>_xlfn.XLOOKUP(CustomerCombined[[#This Row],[ID]], Table4[ID], Table4[Sweets], "Not Found", 0)</f>
        <v>17</v>
      </c>
      <c r="P1155" s="5">
        <f>_xlfn.XLOOKUP(CustomerCombined[[#This Row],[ID]], Table4[ID], Table4[Premium], "Not Found", 0)</f>
        <v>60</v>
      </c>
      <c r="Q1155" s="5">
        <f>_xlfn.XLOOKUP(CustomerCombined[[#This Row],[ID]], Table4[ID], Table4[Regular], "Not Found", 0)</f>
        <v>299</v>
      </c>
      <c r="R1155" s="5">
        <f>_xlfn.XLOOKUP(CustomerCombined[[#This Row],[ID]], Table4[ID], Table4[Deals], "Not Found", 0)</f>
        <v>4</v>
      </c>
      <c r="S1155" s="5">
        <f>_xlfn.XLOOKUP(CustomerCombined[[#This Row],[ID]], Table4[ID], Table4[Website], "Not Found", 0)</f>
        <v>3</v>
      </c>
      <c r="T1155" s="5">
        <f>_xlfn.XLOOKUP(CustomerCombined[[#This Row],[ID]], Table4[ID], Table4[Catalog], "Not Found", 0)</f>
        <v>0</v>
      </c>
      <c r="U1155" s="5">
        <f>_xlfn.XLOOKUP(CustomerCombined[[#This Row],[ID]], Table4[ID], Table4[Store], "Not Found", 0)</f>
        <v>3</v>
      </c>
      <c r="V1155" s="5">
        <f>_xlfn.XLOOKUP(CustomerCombined[[#This Row],[ID]], Table4[ID], Table4[Visits], "Not Found", 0)</f>
        <v>8</v>
      </c>
      <c r="W1155" s="8">
        <f>_xlfn.XLOOKUP(CustomerCombined[[#This Row],[ID]], Table2[ID],Table2[Complaint], "Not Found", 0 )</f>
        <v>0</v>
      </c>
      <c r="X1155" s="8">
        <f>_xlfn.XLOOKUP(CustomerCombined[[#This Row],[ID]], Table2[ID],Table2[Pilot], "Not Found", 0 )</f>
        <v>0</v>
      </c>
      <c r="Y1155" s="8">
        <f>_xlfn.XLOOKUP(CustomerCombined[[#This Row],[ID]], Table2[ID],Table2[MC1], "Not Found", 0 )</f>
        <v>0</v>
      </c>
      <c r="Z1155" s="8">
        <f>_xlfn.XLOOKUP(CustomerCombined[[#This Row],[ID]], Table2[ID],Table2[MC2], "Not Found", 0 )</f>
        <v>0</v>
      </c>
      <c r="AA1155" s="8">
        <f>_xlfn.XLOOKUP(CustomerCombined[[#This Row],[ID]], Table2[ID],Table2[MC3], "Not Found", 0 )</f>
        <v>0</v>
      </c>
      <c r="AB1155" s="8">
        <f>_xlfn.XLOOKUP(CustomerCombined[[#This Row],[ID]], Table2[ID],Table2[MC4], "Not Found", 0 )</f>
        <v>0</v>
      </c>
      <c r="AC1155" s="8">
        <f>_xlfn.XLOOKUP(CustomerCombined[[#This Row],[ID]], Table2[ID],Table2[MC5], "Not Found", 0 )</f>
        <v>0</v>
      </c>
    </row>
    <row r="1156" spans="1:29" x14ac:dyDescent="0.3">
      <c r="A1156" s="6">
        <v>3207</v>
      </c>
      <c r="B1156" s="6">
        <v>0</v>
      </c>
      <c r="C1156" s="6">
        <v>0</v>
      </c>
      <c r="D1156" s="6">
        <v>1</v>
      </c>
      <c r="E1156" s="6">
        <v>50</v>
      </c>
      <c r="F1156" s="5" t="s">
        <v>7</v>
      </c>
      <c r="G1156" s="5" t="s">
        <v>13</v>
      </c>
      <c r="H1156" s="3" t="s">
        <v>121</v>
      </c>
      <c r="I1156" s="5" t="s">
        <v>435</v>
      </c>
      <c r="J1156" s="5">
        <f>_xlfn.XLOOKUP(CustomerCombined[[#This Row],[ID]], Table4[ID], Table4[Recency], "Not Found", 0)</f>
        <v>24</v>
      </c>
      <c r="K1156" s="5">
        <f>_xlfn.XLOOKUP(CustomerCombined[[#This Row],[ID]], Table4[ID], Table4[Teas], "Not Found", 0)</f>
        <v>0</v>
      </c>
      <c r="L1156" s="5">
        <f>_xlfn.XLOOKUP(CustomerCombined[[#This Row],[ID]], Table4[ID], Table4[Fruits], "Not Found", 0)</f>
        <v>0</v>
      </c>
      <c r="M1156" s="5">
        <f>_xlfn.XLOOKUP(CustomerCombined[[#This Row],[ID]], Table4[ID], Table4[Meats], "Not Found", 0)</f>
        <v>0</v>
      </c>
      <c r="N1156" s="5">
        <f>_xlfn.XLOOKUP(CustomerCombined[[#This Row],[ID]], Table4[ID], Table4[Seafood], "Not Found", 0)</f>
        <v>0</v>
      </c>
      <c r="O1156" s="5">
        <f>_xlfn.XLOOKUP(CustomerCombined[[#This Row],[ID]], Table4[ID], Table4[Sweets], "Not Found", 0)</f>
        <v>0</v>
      </c>
      <c r="P1156" s="5">
        <f>_xlfn.XLOOKUP(CustomerCombined[[#This Row],[ID]], Table4[ID], Table4[Premium], "Not Found", 0)</f>
        <v>0</v>
      </c>
      <c r="Q1156" s="5">
        <f>_xlfn.XLOOKUP(CustomerCombined[[#This Row],[ID]], Table4[ID], Table4[Regular], "Not Found", 0)</f>
        <v>0</v>
      </c>
      <c r="R1156" s="5">
        <f>_xlfn.XLOOKUP(CustomerCombined[[#This Row],[ID]], Table4[ID], Table4[Deals], "Not Found", 0)</f>
        <v>3</v>
      </c>
      <c r="S1156" s="5">
        <f>_xlfn.XLOOKUP(CustomerCombined[[#This Row],[ID]], Table4[ID], Table4[Website], "Not Found", 0)</f>
        <v>7</v>
      </c>
      <c r="T1156" s="5">
        <f>_xlfn.XLOOKUP(CustomerCombined[[#This Row],[ID]], Table4[ID], Table4[Catalog], "Not Found", 0)</f>
        <v>6</v>
      </c>
      <c r="U1156" s="5">
        <f>_xlfn.XLOOKUP(CustomerCombined[[#This Row],[ID]], Table4[ID], Table4[Store], "Not Found", 0)</f>
        <v>6</v>
      </c>
      <c r="V1156" s="5">
        <f>_xlfn.XLOOKUP(CustomerCombined[[#This Row],[ID]], Table4[ID], Table4[Visits], "Not Found", 0)</f>
        <v>4</v>
      </c>
      <c r="W1156" s="8">
        <f>_xlfn.XLOOKUP(CustomerCombined[[#This Row],[ID]], Table2[ID],Table2[Complaint], "Not Found", 0 )</f>
        <v>0</v>
      </c>
      <c r="X1156" s="8">
        <f>_xlfn.XLOOKUP(CustomerCombined[[#This Row],[ID]], Table2[ID],Table2[Pilot], "Not Found", 0 )</f>
        <v>0</v>
      </c>
      <c r="Y1156" s="8">
        <f>_xlfn.XLOOKUP(CustomerCombined[[#This Row],[ID]], Table2[ID],Table2[MC1], "Not Found", 0 )</f>
        <v>0</v>
      </c>
      <c r="Z1156" s="8">
        <f>_xlfn.XLOOKUP(CustomerCombined[[#This Row],[ID]], Table2[ID],Table2[MC2], "Not Found", 0 )</f>
        <v>0</v>
      </c>
      <c r="AA1156" s="8">
        <f>_xlfn.XLOOKUP(CustomerCombined[[#This Row],[ID]], Table2[ID],Table2[MC3], "Not Found", 0 )</f>
        <v>1</v>
      </c>
      <c r="AB1156" s="8">
        <f>_xlfn.XLOOKUP(CustomerCombined[[#This Row],[ID]], Table2[ID],Table2[MC4], "Not Found", 0 )</f>
        <v>0</v>
      </c>
      <c r="AC1156" s="8">
        <f>_xlfn.XLOOKUP(CustomerCombined[[#This Row],[ID]], Table2[ID],Table2[MC5], "Not Found", 0 )</f>
        <v>0</v>
      </c>
    </row>
    <row r="1157" spans="1:29" x14ac:dyDescent="0.3">
      <c r="A1157" s="6">
        <v>2449</v>
      </c>
      <c r="B1157" s="6">
        <v>194871</v>
      </c>
      <c r="C1157" s="6">
        <v>0</v>
      </c>
      <c r="D1157" s="6">
        <v>2</v>
      </c>
      <c r="E1157" s="6">
        <v>51</v>
      </c>
      <c r="F1157" s="5" t="s">
        <v>6</v>
      </c>
      <c r="G1157" s="5" t="s">
        <v>13</v>
      </c>
      <c r="H1157" s="3">
        <v>43618</v>
      </c>
      <c r="I1157" s="5" t="s">
        <v>437</v>
      </c>
      <c r="J1157" s="5">
        <f>_xlfn.XLOOKUP(CustomerCombined[[#This Row],[ID]], Table4[ID], Table4[Recency], "Not Found", 0)</f>
        <v>99</v>
      </c>
      <c r="K1157" s="5">
        <f>_xlfn.XLOOKUP(CustomerCombined[[#This Row],[ID]], Table4[ID], Table4[Teas], "Not Found", 0)</f>
        <v>347</v>
      </c>
      <c r="L1157" s="5">
        <f>_xlfn.XLOOKUP(CustomerCombined[[#This Row],[ID]], Table4[ID], Table4[Fruits], "Not Found", 0)</f>
        <v>49</v>
      </c>
      <c r="M1157" s="5">
        <f>_xlfn.XLOOKUP(CustomerCombined[[#This Row],[ID]], Table4[ID], Table4[Meats], "Not Found", 0)</f>
        <v>1136</v>
      </c>
      <c r="N1157" s="5">
        <f>_xlfn.XLOOKUP(CustomerCombined[[#This Row],[ID]], Table4[ID], Table4[Seafood], "Not Found", 0)</f>
        <v>386</v>
      </c>
      <c r="O1157" s="5">
        <f>_xlfn.XLOOKUP(CustomerCombined[[#This Row],[ID]], Table4[ID], Table4[Sweets], "Not Found", 0)</f>
        <v>0</v>
      </c>
      <c r="P1157" s="5">
        <f>_xlfn.XLOOKUP(CustomerCombined[[#This Row],[ID]], Table4[ID], Table4[Premium], "Not Found", 0)</f>
        <v>296</v>
      </c>
      <c r="Q1157" s="5">
        <f>_xlfn.XLOOKUP(CustomerCombined[[#This Row],[ID]], Table4[ID], Table4[Regular], "Not Found", 0)</f>
        <v>1623</v>
      </c>
      <c r="R1157" s="5">
        <f>_xlfn.XLOOKUP(CustomerCombined[[#This Row],[ID]], Table4[ID], Table4[Deals], "Not Found", 0)</f>
        <v>1</v>
      </c>
      <c r="S1157" s="5">
        <f>_xlfn.XLOOKUP(CustomerCombined[[#This Row],[ID]], Table4[ID], Table4[Website], "Not Found", 0)</f>
        <v>8</v>
      </c>
      <c r="T1157" s="5">
        <f>_xlfn.XLOOKUP(CustomerCombined[[#This Row],[ID]], Table4[ID], Table4[Catalog], "Not Found", 0)</f>
        <v>5</v>
      </c>
      <c r="U1157" s="5">
        <f>_xlfn.XLOOKUP(CustomerCombined[[#This Row],[ID]], Table4[ID], Table4[Store], "Not Found", 0)</f>
        <v>4</v>
      </c>
      <c r="V1157" s="5">
        <f>_xlfn.XLOOKUP(CustomerCombined[[#This Row],[ID]], Table4[ID], Table4[Visits], "Not Found", 0)</f>
        <v>7</v>
      </c>
      <c r="W1157" s="8">
        <f>_xlfn.XLOOKUP(CustomerCombined[[#This Row],[ID]], Table2[ID],Table2[Complaint], "Not Found", 0 )</f>
        <v>0</v>
      </c>
      <c r="X1157" s="8">
        <f>_xlfn.XLOOKUP(CustomerCombined[[#This Row],[ID]], Table2[ID],Table2[Pilot], "Not Found", 0 )</f>
        <v>1</v>
      </c>
      <c r="Y1157" s="8">
        <f>_xlfn.XLOOKUP(CustomerCombined[[#This Row],[ID]], Table2[ID],Table2[MC1], "Not Found", 0 )</f>
        <v>0</v>
      </c>
      <c r="Z1157" s="8">
        <f>_xlfn.XLOOKUP(CustomerCombined[[#This Row],[ID]], Table2[ID],Table2[MC2], "Not Found", 0 )</f>
        <v>0</v>
      </c>
      <c r="AA1157" s="8">
        <f>_xlfn.XLOOKUP(CustomerCombined[[#This Row],[ID]], Table2[ID],Table2[MC3], "Not Found", 0 )</f>
        <v>0</v>
      </c>
      <c r="AB1157" s="8">
        <f>_xlfn.XLOOKUP(CustomerCombined[[#This Row],[ID]], Table2[ID],Table2[MC4], "Not Found", 0 )</f>
        <v>1</v>
      </c>
      <c r="AC1157" s="8">
        <f>_xlfn.XLOOKUP(CustomerCombined[[#This Row],[ID]], Table2[ID],Table2[MC5], "Not Found", 0 )</f>
        <v>1</v>
      </c>
    </row>
    <row r="1158" spans="1:29" x14ac:dyDescent="0.3">
      <c r="A1158" s="6">
        <v>2150</v>
      </c>
      <c r="B1158" s="6">
        <v>181657</v>
      </c>
      <c r="C1158" s="6">
        <v>0</v>
      </c>
      <c r="D1158" s="6">
        <v>0</v>
      </c>
      <c r="E1158" s="6">
        <v>51</v>
      </c>
      <c r="F1158" s="5" t="s">
        <v>7</v>
      </c>
      <c r="G1158" s="5" t="s">
        <v>11</v>
      </c>
      <c r="H1158" s="3" t="s">
        <v>110</v>
      </c>
      <c r="I1158" s="5" t="s">
        <v>438</v>
      </c>
      <c r="J1158" s="5">
        <f>_xlfn.XLOOKUP(CustomerCombined[[#This Row],[ID]], Table4[ID], Table4[Recency], "Not Found", 0)</f>
        <v>69</v>
      </c>
      <c r="K1158" s="5">
        <f>_xlfn.XLOOKUP(CustomerCombined[[#This Row],[ID]], Table4[ID], Table4[Teas], "Not Found", 0)</f>
        <v>810</v>
      </c>
      <c r="L1158" s="5">
        <f>_xlfn.XLOOKUP(CustomerCombined[[#This Row],[ID]], Table4[ID], Table4[Fruits], "Not Found", 0)</f>
        <v>89</v>
      </c>
      <c r="M1158" s="5">
        <f>_xlfn.XLOOKUP(CustomerCombined[[#This Row],[ID]], Table4[ID], Table4[Meats], "Not Found", 0)</f>
        <v>945</v>
      </c>
      <c r="N1158" s="5">
        <f>_xlfn.XLOOKUP(CustomerCombined[[#This Row],[ID]], Table4[ID], Table4[Seafood], "Not Found", 0)</f>
        <v>351</v>
      </c>
      <c r="O1158" s="5">
        <f>_xlfn.XLOOKUP(CustomerCombined[[#This Row],[ID]], Table4[ID], Table4[Sweets], "Not Found", 0)</f>
        <v>133</v>
      </c>
      <c r="P1158" s="5">
        <f>_xlfn.XLOOKUP(CustomerCombined[[#This Row],[ID]], Table4[ID], Table4[Premium], "Not Found", 0)</f>
        <v>111</v>
      </c>
      <c r="Q1158" s="5">
        <f>_xlfn.XLOOKUP(CustomerCombined[[#This Row],[ID]], Table4[ID], Table4[Regular], "Not Found", 0)</f>
        <v>2218</v>
      </c>
      <c r="R1158" s="5">
        <f>_xlfn.XLOOKUP(CustomerCombined[[#This Row],[ID]], Table4[ID], Table4[Deals], "Not Found", 0)</f>
        <v>1</v>
      </c>
      <c r="S1158" s="5">
        <f>_xlfn.XLOOKUP(CustomerCombined[[#This Row],[ID]], Table4[ID], Table4[Website], "Not Found", 0)</f>
        <v>3</v>
      </c>
      <c r="T1158" s="5">
        <f>_xlfn.XLOOKUP(CustomerCombined[[#This Row],[ID]], Table4[ID], Table4[Catalog], "Not Found", 0)</f>
        <v>4</v>
      </c>
      <c r="U1158" s="5">
        <f>_xlfn.XLOOKUP(CustomerCombined[[#This Row],[ID]], Table4[ID], Table4[Store], "Not Found", 0)</f>
        <v>8</v>
      </c>
      <c r="V1158" s="5">
        <f>_xlfn.XLOOKUP(CustomerCombined[[#This Row],[ID]], Table4[ID], Table4[Visits], "Not Found", 0)</f>
        <v>1</v>
      </c>
      <c r="W1158" s="8">
        <f>_xlfn.XLOOKUP(CustomerCombined[[#This Row],[ID]], Table2[ID],Table2[Complaint], "Not Found", 0 )</f>
        <v>0</v>
      </c>
      <c r="X1158" s="8">
        <f>_xlfn.XLOOKUP(CustomerCombined[[#This Row],[ID]], Table2[ID],Table2[Pilot], "Not Found", 0 )</f>
        <v>0</v>
      </c>
      <c r="Y1158" s="8">
        <f>_xlfn.XLOOKUP(CustomerCombined[[#This Row],[ID]], Table2[ID],Table2[MC1], "Not Found", 0 )</f>
        <v>0</v>
      </c>
      <c r="Z1158" s="8">
        <f>_xlfn.XLOOKUP(CustomerCombined[[#This Row],[ID]], Table2[ID],Table2[MC2], "Not Found", 0 )</f>
        <v>0</v>
      </c>
      <c r="AA1158" s="8">
        <f>_xlfn.XLOOKUP(CustomerCombined[[#This Row],[ID]], Table2[ID],Table2[MC3], "Not Found", 0 )</f>
        <v>0</v>
      </c>
      <c r="AB1158" s="8">
        <f>_xlfn.XLOOKUP(CustomerCombined[[#This Row],[ID]], Table2[ID],Table2[MC4], "Not Found", 0 )</f>
        <v>0</v>
      </c>
      <c r="AC1158" s="8">
        <f>_xlfn.XLOOKUP(CustomerCombined[[#This Row],[ID]], Table2[ID],Table2[MC5], "Not Found", 0 )</f>
        <v>0</v>
      </c>
    </row>
    <row r="1159" spans="1:29" x14ac:dyDescent="0.3">
      <c r="A1159" s="6">
        <v>1734</v>
      </c>
      <c r="B1159" s="6">
        <v>180952</v>
      </c>
      <c r="C1159" s="6">
        <v>0</v>
      </c>
      <c r="D1159" s="6">
        <v>0</v>
      </c>
      <c r="E1159" s="6">
        <v>51</v>
      </c>
      <c r="F1159" s="5" t="s">
        <v>6</v>
      </c>
      <c r="G1159" s="5" t="s">
        <v>11</v>
      </c>
      <c r="H1159" s="3">
        <v>43593</v>
      </c>
      <c r="I1159" s="5" t="s">
        <v>436</v>
      </c>
      <c r="J1159" s="5">
        <f>_xlfn.XLOOKUP(CustomerCombined[[#This Row],[ID]], Table4[ID], Table4[Recency], "Not Found", 0)</f>
        <v>20</v>
      </c>
      <c r="K1159" s="5">
        <f>_xlfn.XLOOKUP(CustomerCombined[[#This Row],[ID]], Table4[ID], Table4[Teas], "Not Found", 0)</f>
        <v>1739</v>
      </c>
      <c r="L1159" s="5">
        <f>_xlfn.XLOOKUP(CustomerCombined[[#This Row],[ID]], Table4[ID], Table4[Fruits], "Not Found", 0)</f>
        <v>398</v>
      </c>
      <c r="M1159" s="5">
        <f>_xlfn.XLOOKUP(CustomerCombined[[#This Row],[ID]], Table4[ID], Table4[Meats], "Not Found", 0)</f>
        <v>1540</v>
      </c>
      <c r="N1159" s="5">
        <f>_xlfn.XLOOKUP(CustomerCombined[[#This Row],[ID]], Table4[ID], Table4[Seafood], "Not Found", 0)</f>
        <v>92</v>
      </c>
      <c r="O1159" s="5">
        <f>_xlfn.XLOOKUP(CustomerCombined[[#This Row],[ID]], Table4[ID], Table4[Sweets], "Not Found", 0)</f>
        <v>60</v>
      </c>
      <c r="P1159" s="5">
        <f>_xlfn.XLOOKUP(CustomerCombined[[#This Row],[ID]], Table4[ID], Table4[Premium], "Not Found", 0)</f>
        <v>98</v>
      </c>
      <c r="Q1159" s="5">
        <f>_xlfn.XLOOKUP(CustomerCombined[[#This Row],[ID]], Table4[ID], Table4[Regular], "Not Found", 0)</f>
        <v>3731</v>
      </c>
      <c r="R1159" s="5">
        <f>_xlfn.XLOOKUP(CustomerCombined[[#This Row],[ID]], Table4[ID], Table4[Deals], "Not Found", 0)</f>
        <v>1</v>
      </c>
      <c r="S1159" s="5">
        <f>_xlfn.XLOOKUP(CustomerCombined[[#This Row],[ID]], Table4[ID], Table4[Website], "Not Found", 0)</f>
        <v>8</v>
      </c>
      <c r="T1159" s="5">
        <f>_xlfn.XLOOKUP(CustomerCombined[[#This Row],[ID]], Table4[ID], Table4[Catalog], "Not Found", 0)</f>
        <v>5</v>
      </c>
      <c r="U1159" s="5">
        <f>_xlfn.XLOOKUP(CustomerCombined[[#This Row],[ID]], Table4[ID], Table4[Store], "Not Found", 0)</f>
        <v>11</v>
      </c>
      <c r="V1159" s="5">
        <f>_xlfn.XLOOKUP(CustomerCombined[[#This Row],[ID]], Table4[ID], Table4[Visits], "Not Found", 0)</f>
        <v>8</v>
      </c>
      <c r="W1159" s="8">
        <f>_xlfn.XLOOKUP(CustomerCombined[[#This Row],[ID]], Table2[ID],Table2[Complaint], "Not Found", 0 )</f>
        <v>0</v>
      </c>
      <c r="X1159" s="8">
        <f>_xlfn.XLOOKUP(CustomerCombined[[#This Row],[ID]], Table2[ID],Table2[Pilot], "Not Found", 0 )</f>
        <v>1</v>
      </c>
      <c r="Y1159" s="8">
        <f>_xlfn.XLOOKUP(CustomerCombined[[#This Row],[ID]], Table2[ID],Table2[MC1], "Not Found", 0 )</f>
        <v>1</v>
      </c>
      <c r="Z1159" s="8">
        <f>_xlfn.XLOOKUP(CustomerCombined[[#This Row],[ID]], Table2[ID],Table2[MC2], "Not Found", 0 )</f>
        <v>0</v>
      </c>
      <c r="AA1159" s="8">
        <f>_xlfn.XLOOKUP(CustomerCombined[[#This Row],[ID]], Table2[ID],Table2[MC3], "Not Found", 0 )</f>
        <v>0</v>
      </c>
      <c r="AB1159" s="8">
        <f>_xlfn.XLOOKUP(CustomerCombined[[#This Row],[ID]], Table2[ID],Table2[MC4], "Not Found", 0 )</f>
        <v>1</v>
      </c>
      <c r="AC1159" s="8">
        <f>_xlfn.XLOOKUP(CustomerCombined[[#This Row],[ID]], Table2[ID],Table2[MC5], "Not Found", 0 )</f>
        <v>1</v>
      </c>
    </row>
    <row r="1160" spans="1:29" x14ac:dyDescent="0.3">
      <c r="A1160" s="6">
        <v>2787</v>
      </c>
      <c r="B1160" s="6">
        <v>179734</v>
      </c>
      <c r="C1160" s="6">
        <v>0</v>
      </c>
      <c r="D1160" s="6">
        <v>0</v>
      </c>
      <c r="E1160" s="6">
        <v>51</v>
      </c>
      <c r="F1160" s="5" t="s">
        <v>6</v>
      </c>
      <c r="G1160" s="5" t="s">
        <v>12</v>
      </c>
      <c r="H1160" s="3">
        <v>43873</v>
      </c>
      <c r="I1160" s="5" t="s">
        <v>435</v>
      </c>
      <c r="J1160" s="5">
        <f>_xlfn.XLOOKUP(CustomerCombined[[#This Row],[ID]], Table4[ID], Table4[Recency], "Not Found", 0)</f>
        <v>72</v>
      </c>
      <c r="K1160" s="5">
        <f>_xlfn.XLOOKUP(CustomerCombined[[#This Row],[ID]], Table4[ID], Table4[Teas], "Not Found", 0)</f>
        <v>1289</v>
      </c>
      <c r="L1160" s="5">
        <f>_xlfn.XLOOKUP(CustomerCombined[[#This Row],[ID]], Table4[ID], Table4[Fruits], "Not Found", 0)</f>
        <v>18</v>
      </c>
      <c r="M1160" s="5">
        <f>_xlfn.XLOOKUP(CustomerCombined[[#This Row],[ID]], Table4[ID], Table4[Meats], "Not Found", 0)</f>
        <v>523</v>
      </c>
      <c r="N1160" s="5">
        <f>_xlfn.XLOOKUP(CustomerCombined[[#This Row],[ID]], Table4[ID], Table4[Seafood], "Not Found", 0)</f>
        <v>52</v>
      </c>
      <c r="O1160" s="5">
        <f>_xlfn.XLOOKUP(CustomerCombined[[#This Row],[ID]], Table4[ID], Table4[Sweets], "Not Found", 0)</f>
        <v>140</v>
      </c>
      <c r="P1160" s="5">
        <f>_xlfn.XLOOKUP(CustomerCombined[[#This Row],[ID]], Table4[ID], Table4[Premium], "Not Found", 0)</f>
        <v>38</v>
      </c>
      <c r="Q1160" s="5">
        <f>_xlfn.XLOOKUP(CustomerCombined[[#This Row],[ID]], Table4[ID], Table4[Regular], "Not Found", 0)</f>
        <v>1984</v>
      </c>
      <c r="R1160" s="5">
        <f>_xlfn.XLOOKUP(CustomerCombined[[#This Row],[ID]], Table4[ID], Table4[Deals], "Not Found", 0)</f>
        <v>1</v>
      </c>
      <c r="S1160" s="5">
        <f>_xlfn.XLOOKUP(CustomerCombined[[#This Row],[ID]], Table4[ID], Table4[Website], "Not Found", 0)</f>
        <v>4</v>
      </c>
      <c r="T1160" s="5">
        <f>_xlfn.XLOOKUP(CustomerCombined[[#This Row],[ID]], Table4[ID], Table4[Catalog], "Not Found", 0)</f>
        <v>3</v>
      </c>
      <c r="U1160" s="5">
        <f>_xlfn.XLOOKUP(CustomerCombined[[#This Row],[ID]], Table4[ID], Table4[Store], "Not Found", 0)</f>
        <v>6</v>
      </c>
      <c r="V1160" s="5">
        <f>_xlfn.XLOOKUP(CustomerCombined[[#This Row],[ID]], Table4[ID], Table4[Visits], "Not Found", 0)</f>
        <v>1</v>
      </c>
      <c r="W1160" s="8">
        <f>_xlfn.XLOOKUP(CustomerCombined[[#This Row],[ID]], Table2[ID],Table2[Complaint], "Not Found", 0 )</f>
        <v>0</v>
      </c>
      <c r="X1160" s="8">
        <f>_xlfn.XLOOKUP(CustomerCombined[[#This Row],[ID]], Table2[ID],Table2[Pilot], "Not Found", 0 )</f>
        <v>0</v>
      </c>
      <c r="Y1160" s="8">
        <f>_xlfn.XLOOKUP(CustomerCombined[[#This Row],[ID]], Table2[ID],Table2[MC1], "Not Found", 0 )</f>
        <v>1</v>
      </c>
      <c r="Z1160" s="8">
        <f>_xlfn.XLOOKUP(CustomerCombined[[#This Row],[ID]], Table2[ID],Table2[MC2], "Not Found", 0 )</f>
        <v>0</v>
      </c>
      <c r="AA1160" s="8">
        <f>_xlfn.XLOOKUP(CustomerCombined[[#This Row],[ID]], Table2[ID],Table2[MC3], "Not Found", 0 )</f>
        <v>0</v>
      </c>
      <c r="AB1160" s="8">
        <f>_xlfn.XLOOKUP(CustomerCombined[[#This Row],[ID]], Table2[ID],Table2[MC4], "Not Found", 0 )</f>
        <v>0</v>
      </c>
      <c r="AC1160" s="8">
        <f>_xlfn.XLOOKUP(CustomerCombined[[#This Row],[ID]], Table2[ID],Table2[MC5], "Not Found", 0 )</f>
        <v>0</v>
      </c>
    </row>
    <row r="1161" spans="1:29" x14ac:dyDescent="0.3">
      <c r="A1161" s="6">
        <v>2240</v>
      </c>
      <c r="B1161" s="6">
        <v>176653</v>
      </c>
      <c r="C1161" s="6">
        <v>0</v>
      </c>
      <c r="D1161" s="6">
        <v>0</v>
      </c>
      <c r="E1161" s="6">
        <v>51</v>
      </c>
      <c r="F1161" s="5" t="s">
        <v>8</v>
      </c>
      <c r="G1161" s="5" t="s">
        <v>11</v>
      </c>
      <c r="H1161" s="3" t="s">
        <v>201</v>
      </c>
      <c r="I1161" s="5" t="s">
        <v>438</v>
      </c>
      <c r="J1161" s="5">
        <f>_xlfn.XLOOKUP(CustomerCombined[[#This Row],[ID]], Table4[ID], Table4[Recency], "Not Found", 0)</f>
        <v>91</v>
      </c>
      <c r="K1161" s="5">
        <f>_xlfn.XLOOKUP(CustomerCombined[[#This Row],[ID]], Table4[ID], Table4[Teas], "Not Found", 0)</f>
        <v>1696</v>
      </c>
      <c r="L1161" s="5">
        <f>_xlfn.XLOOKUP(CustomerCombined[[#This Row],[ID]], Table4[ID], Table4[Fruits], "Not Found", 0)</f>
        <v>145</v>
      </c>
      <c r="M1161" s="5">
        <f>_xlfn.XLOOKUP(CustomerCombined[[#This Row],[ID]], Table4[ID], Table4[Meats], "Not Found", 0)</f>
        <v>2180</v>
      </c>
      <c r="N1161" s="5">
        <f>_xlfn.XLOOKUP(CustomerCombined[[#This Row],[ID]], Table4[ID], Table4[Seafood], "Not Found", 0)</f>
        <v>505</v>
      </c>
      <c r="O1161" s="5">
        <f>_xlfn.XLOOKUP(CustomerCombined[[#This Row],[ID]], Table4[ID], Table4[Sweets], "Not Found", 0)</f>
        <v>436</v>
      </c>
      <c r="P1161" s="5">
        <f>_xlfn.XLOOKUP(CustomerCombined[[#This Row],[ID]], Table4[ID], Table4[Premium], "Not Found", 0)</f>
        <v>290</v>
      </c>
      <c r="Q1161" s="5">
        <f>_xlfn.XLOOKUP(CustomerCombined[[#This Row],[ID]], Table4[ID], Table4[Regular], "Not Found", 0)</f>
        <v>4671</v>
      </c>
      <c r="R1161" s="5">
        <f>_xlfn.XLOOKUP(CustomerCombined[[#This Row],[ID]], Table4[ID], Table4[Deals], "Not Found", 0)</f>
        <v>1</v>
      </c>
      <c r="S1161" s="5">
        <f>_xlfn.XLOOKUP(CustomerCombined[[#This Row],[ID]], Table4[ID], Table4[Website], "Not Found", 0)</f>
        <v>4</v>
      </c>
      <c r="T1161" s="5">
        <f>_xlfn.XLOOKUP(CustomerCombined[[#This Row],[ID]], Table4[ID], Table4[Catalog], "Not Found", 0)</f>
        <v>7</v>
      </c>
      <c r="U1161" s="5">
        <f>_xlfn.XLOOKUP(CustomerCombined[[#This Row],[ID]], Table4[ID], Table4[Store], "Not Found", 0)</f>
        <v>11</v>
      </c>
      <c r="V1161" s="5">
        <f>_xlfn.XLOOKUP(CustomerCombined[[#This Row],[ID]], Table4[ID], Table4[Visits], "Not Found", 0)</f>
        <v>2</v>
      </c>
      <c r="W1161" s="8">
        <f>_xlfn.XLOOKUP(CustomerCombined[[#This Row],[ID]], Table2[ID],Table2[Complaint], "Not Found", 0 )</f>
        <v>0</v>
      </c>
      <c r="X1161" s="8">
        <f>_xlfn.XLOOKUP(CustomerCombined[[#This Row],[ID]], Table2[ID],Table2[Pilot], "Not Found", 0 )</f>
        <v>0</v>
      </c>
      <c r="Y1161" s="8">
        <f>_xlfn.XLOOKUP(CustomerCombined[[#This Row],[ID]], Table2[ID],Table2[MC1], "Not Found", 0 )</f>
        <v>1</v>
      </c>
      <c r="Z1161" s="8">
        <f>_xlfn.XLOOKUP(CustomerCombined[[#This Row],[ID]], Table2[ID],Table2[MC2], "Not Found", 0 )</f>
        <v>0</v>
      </c>
      <c r="AA1161" s="8">
        <f>_xlfn.XLOOKUP(CustomerCombined[[#This Row],[ID]], Table2[ID],Table2[MC3], "Not Found", 0 )</f>
        <v>0</v>
      </c>
      <c r="AB1161" s="8">
        <f>_xlfn.XLOOKUP(CustomerCombined[[#This Row],[ID]], Table2[ID],Table2[MC4], "Not Found", 0 )</f>
        <v>0</v>
      </c>
      <c r="AC1161" s="8">
        <f>_xlfn.XLOOKUP(CustomerCombined[[#This Row],[ID]], Table2[ID],Table2[MC5], "Not Found", 0 )</f>
        <v>1</v>
      </c>
    </row>
    <row r="1162" spans="1:29" x14ac:dyDescent="0.3">
      <c r="A1162" s="6">
        <v>1968</v>
      </c>
      <c r="B1162" s="6">
        <v>175759</v>
      </c>
      <c r="C1162" s="6">
        <v>0</v>
      </c>
      <c r="D1162" s="6">
        <v>0</v>
      </c>
      <c r="E1162" s="6">
        <v>51</v>
      </c>
      <c r="F1162" s="5" t="s">
        <v>6</v>
      </c>
      <c r="G1162" s="5" t="s">
        <v>11</v>
      </c>
      <c r="H1162" s="3" t="s">
        <v>157</v>
      </c>
      <c r="I1162" s="5" t="s">
        <v>436</v>
      </c>
      <c r="J1162" s="5">
        <f>_xlfn.XLOOKUP(CustomerCombined[[#This Row],[ID]], Table4[ID], Table4[Recency], "Not Found", 0)</f>
        <v>46</v>
      </c>
      <c r="K1162" s="5">
        <f>_xlfn.XLOOKUP(CustomerCombined[[#This Row],[ID]], Table4[ID], Table4[Teas], "Not Found", 0)</f>
        <v>3234</v>
      </c>
      <c r="L1162" s="5">
        <f>_xlfn.XLOOKUP(CustomerCombined[[#This Row],[ID]], Table4[ID], Table4[Fruits], "Not Found", 0)</f>
        <v>51</v>
      </c>
      <c r="M1162" s="5">
        <f>_xlfn.XLOOKUP(CustomerCombined[[#This Row],[ID]], Table4[ID], Table4[Meats], "Not Found", 0)</f>
        <v>1643</v>
      </c>
      <c r="N1162" s="5">
        <f>_xlfn.XLOOKUP(CustomerCombined[[#This Row],[ID]], Table4[ID], Table4[Seafood], "Not Found", 0)</f>
        <v>206</v>
      </c>
      <c r="O1162" s="5">
        <f>_xlfn.XLOOKUP(CustomerCombined[[#This Row],[ID]], Table4[ID], Table4[Sweets], "Not Found", 0)</f>
        <v>211</v>
      </c>
      <c r="P1162" s="5">
        <f>_xlfn.XLOOKUP(CustomerCombined[[#This Row],[ID]], Table4[ID], Table4[Premium], "Not Found", 0)</f>
        <v>422</v>
      </c>
      <c r="Q1162" s="5">
        <f>_xlfn.XLOOKUP(CustomerCombined[[#This Row],[ID]], Table4[ID], Table4[Regular], "Not Found", 0)</f>
        <v>4923</v>
      </c>
      <c r="R1162" s="5">
        <f>_xlfn.XLOOKUP(CustomerCombined[[#This Row],[ID]], Table4[ID], Table4[Deals], "Not Found", 0)</f>
        <v>1</v>
      </c>
      <c r="S1162" s="5">
        <f>_xlfn.XLOOKUP(CustomerCombined[[#This Row],[ID]], Table4[ID], Table4[Website], "Not Found", 0)</f>
        <v>9</v>
      </c>
      <c r="T1162" s="5">
        <f>_xlfn.XLOOKUP(CustomerCombined[[#This Row],[ID]], Table4[ID], Table4[Catalog], "Not Found", 0)</f>
        <v>7</v>
      </c>
      <c r="U1162" s="5">
        <f>_xlfn.XLOOKUP(CustomerCombined[[#This Row],[ID]], Table4[ID], Table4[Store], "Not Found", 0)</f>
        <v>9</v>
      </c>
      <c r="V1162" s="5">
        <f>_xlfn.XLOOKUP(CustomerCombined[[#This Row],[ID]], Table4[ID], Table4[Visits], "Not Found", 0)</f>
        <v>5</v>
      </c>
      <c r="W1162" s="8">
        <f>_xlfn.XLOOKUP(CustomerCombined[[#This Row],[ID]], Table2[ID],Table2[Complaint], "Not Found", 0 )</f>
        <v>0</v>
      </c>
      <c r="X1162" s="8">
        <f>_xlfn.XLOOKUP(CustomerCombined[[#This Row],[ID]], Table2[ID],Table2[Pilot], "Not Found", 0 )</f>
        <v>1</v>
      </c>
      <c r="Y1162" s="8">
        <f>_xlfn.XLOOKUP(CustomerCombined[[#This Row],[ID]], Table2[ID],Table2[MC1], "Not Found", 0 )</f>
        <v>1</v>
      </c>
      <c r="Z1162" s="8">
        <f>_xlfn.XLOOKUP(CustomerCombined[[#This Row],[ID]], Table2[ID],Table2[MC2], "Not Found", 0 )</f>
        <v>0</v>
      </c>
      <c r="AA1162" s="8">
        <f>_xlfn.XLOOKUP(CustomerCombined[[#This Row],[ID]], Table2[ID],Table2[MC3], "Not Found", 0 )</f>
        <v>1</v>
      </c>
      <c r="AB1162" s="8">
        <f>_xlfn.XLOOKUP(CustomerCombined[[#This Row],[ID]], Table2[ID],Table2[MC4], "Not Found", 0 )</f>
        <v>0</v>
      </c>
      <c r="AC1162" s="8">
        <f>_xlfn.XLOOKUP(CustomerCombined[[#This Row],[ID]], Table2[ID],Table2[MC5], "Not Found", 0 )</f>
        <v>1</v>
      </c>
    </row>
    <row r="1163" spans="1:29" x14ac:dyDescent="0.3">
      <c r="A1163" s="6">
        <v>2194</v>
      </c>
      <c r="B1163" s="6">
        <v>174918</v>
      </c>
      <c r="C1163" s="6">
        <v>0</v>
      </c>
      <c r="D1163" s="6">
        <v>0</v>
      </c>
      <c r="E1163" s="6">
        <v>51</v>
      </c>
      <c r="F1163" s="5" t="s">
        <v>8</v>
      </c>
      <c r="G1163" s="5" t="s">
        <v>11</v>
      </c>
      <c r="H1163" s="3" t="s">
        <v>295</v>
      </c>
      <c r="I1163" s="5" t="s">
        <v>439</v>
      </c>
      <c r="J1163" s="5">
        <f>_xlfn.XLOOKUP(CustomerCombined[[#This Row],[ID]], Table4[ID], Table4[Recency], "Not Found", 0)</f>
        <v>78</v>
      </c>
      <c r="K1163" s="5">
        <f>_xlfn.XLOOKUP(CustomerCombined[[#This Row],[ID]], Table4[ID], Table4[Teas], "Not Found", 0)</f>
        <v>2269</v>
      </c>
      <c r="L1163" s="5">
        <f>_xlfn.XLOOKUP(CustomerCombined[[#This Row],[ID]], Table4[ID], Table4[Fruits], "Not Found", 0)</f>
        <v>138</v>
      </c>
      <c r="M1163" s="5">
        <f>_xlfn.XLOOKUP(CustomerCombined[[#This Row],[ID]], Table4[ID], Table4[Meats], "Not Found", 0)</f>
        <v>2132</v>
      </c>
      <c r="N1163" s="5">
        <f>_xlfn.XLOOKUP(CustomerCombined[[#This Row],[ID]], Table4[ID], Table4[Seafood], "Not Found", 0)</f>
        <v>58</v>
      </c>
      <c r="O1163" s="5">
        <f>_xlfn.XLOOKUP(CustomerCombined[[#This Row],[ID]], Table4[ID], Table4[Sweets], "Not Found", 0)</f>
        <v>44</v>
      </c>
      <c r="P1163" s="5">
        <f>_xlfn.XLOOKUP(CustomerCombined[[#This Row],[ID]], Table4[ID], Table4[Premium], "Not Found", 0)</f>
        <v>138</v>
      </c>
      <c r="Q1163" s="5">
        <f>_xlfn.XLOOKUP(CustomerCombined[[#This Row],[ID]], Table4[ID], Table4[Regular], "Not Found", 0)</f>
        <v>4504</v>
      </c>
      <c r="R1163" s="5">
        <f>_xlfn.XLOOKUP(CustomerCombined[[#This Row],[ID]], Table4[ID], Table4[Deals], "Not Found", 0)</f>
        <v>1</v>
      </c>
      <c r="S1163" s="5">
        <f>_xlfn.XLOOKUP(CustomerCombined[[#This Row],[ID]], Table4[ID], Table4[Website], "Not Found", 0)</f>
        <v>5</v>
      </c>
      <c r="T1163" s="5">
        <f>_xlfn.XLOOKUP(CustomerCombined[[#This Row],[ID]], Table4[ID], Table4[Catalog], "Not Found", 0)</f>
        <v>9</v>
      </c>
      <c r="U1163" s="5">
        <f>_xlfn.XLOOKUP(CustomerCombined[[#This Row],[ID]], Table4[ID], Table4[Store], "Not Found", 0)</f>
        <v>6</v>
      </c>
      <c r="V1163" s="5">
        <f>_xlfn.XLOOKUP(CustomerCombined[[#This Row],[ID]], Table4[ID], Table4[Visits], "Not Found", 0)</f>
        <v>3</v>
      </c>
      <c r="W1163" s="8">
        <f>_xlfn.XLOOKUP(CustomerCombined[[#This Row],[ID]], Table2[ID],Table2[Complaint], "Not Found", 0 )</f>
        <v>0</v>
      </c>
      <c r="X1163" s="8">
        <f>_xlfn.XLOOKUP(CustomerCombined[[#This Row],[ID]], Table2[ID],Table2[Pilot], "Not Found", 0 )</f>
        <v>0</v>
      </c>
      <c r="Y1163" s="8">
        <f>_xlfn.XLOOKUP(CustomerCombined[[#This Row],[ID]], Table2[ID],Table2[MC1], "Not Found", 0 )</f>
        <v>0</v>
      </c>
      <c r="Z1163" s="8">
        <f>_xlfn.XLOOKUP(CustomerCombined[[#This Row],[ID]], Table2[ID],Table2[MC2], "Not Found", 0 )</f>
        <v>0</v>
      </c>
      <c r="AA1163" s="8">
        <f>_xlfn.XLOOKUP(CustomerCombined[[#This Row],[ID]], Table2[ID],Table2[MC3], "Not Found", 0 )</f>
        <v>0</v>
      </c>
      <c r="AB1163" s="8">
        <f>_xlfn.XLOOKUP(CustomerCombined[[#This Row],[ID]], Table2[ID],Table2[MC4], "Not Found", 0 )</f>
        <v>0</v>
      </c>
      <c r="AC1163" s="8">
        <f>_xlfn.XLOOKUP(CustomerCombined[[#This Row],[ID]], Table2[ID],Table2[MC5], "Not Found", 0 )</f>
        <v>1</v>
      </c>
    </row>
    <row r="1164" spans="1:29" x14ac:dyDescent="0.3">
      <c r="A1164" s="6">
        <v>1123</v>
      </c>
      <c r="B1164" s="6">
        <v>173448</v>
      </c>
      <c r="C1164" s="6">
        <v>0</v>
      </c>
      <c r="D1164" s="6">
        <v>0</v>
      </c>
      <c r="E1164" s="6">
        <v>51</v>
      </c>
      <c r="F1164" s="5" t="s">
        <v>6</v>
      </c>
      <c r="G1164" s="5" t="s">
        <v>11</v>
      </c>
      <c r="H1164" s="3" t="s">
        <v>103</v>
      </c>
      <c r="I1164" s="5" t="s">
        <v>437</v>
      </c>
      <c r="J1164" s="5">
        <f>_xlfn.XLOOKUP(CustomerCombined[[#This Row],[ID]], Table4[ID], Table4[Recency], "Not Found", 0)</f>
        <v>10</v>
      </c>
      <c r="K1164" s="5">
        <f>_xlfn.XLOOKUP(CustomerCombined[[#This Row],[ID]], Table4[ID], Table4[Teas], "Not Found", 0)</f>
        <v>557</v>
      </c>
      <c r="L1164" s="5">
        <f>_xlfn.XLOOKUP(CustomerCombined[[#This Row],[ID]], Table4[ID], Table4[Fruits], "Not Found", 0)</f>
        <v>250</v>
      </c>
      <c r="M1164" s="5">
        <f>_xlfn.XLOOKUP(CustomerCombined[[#This Row],[ID]], Table4[ID], Table4[Meats], "Not Found", 0)</f>
        <v>446</v>
      </c>
      <c r="N1164" s="5">
        <f>_xlfn.XLOOKUP(CustomerCombined[[#This Row],[ID]], Table4[ID], Table4[Seafood], "Not Found", 0)</f>
        <v>54</v>
      </c>
      <c r="O1164" s="5">
        <f>_xlfn.XLOOKUP(CustomerCombined[[#This Row],[ID]], Table4[ID], Table4[Sweets], "Not Found", 0)</f>
        <v>97</v>
      </c>
      <c r="P1164" s="5">
        <f>_xlfn.XLOOKUP(CustomerCombined[[#This Row],[ID]], Table4[ID], Table4[Premium], "Not Found", 0)</f>
        <v>307</v>
      </c>
      <c r="Q1164" s="5">
        <f>_xlfn.XLOOKUP(CustomerCombined[[#This Row],[ID]], Table4[ID], Table4[Regular], "Not Found", 0)</f>
        <v>1098</v>
      </c>
      <c r="R1164" s="5">
        <f>_xlfn.XLOOKUP(CustomerCombined[[#This Row],[ID]], Table4[ID], Table4[Deals], "Not Found", 0)</f>
        <v>1</v>
      </c>
      <c r="S1164" s="5">
        <f>_xlfn.XLOOKUP(CustomerCombined[[#This Row],[ID]], Table4[ID], Table4[Website], "Not Found", 0)</f>
        <v>7</v>
      </c>
      <c r="T1164" s="5">
        <f>_xlfn.XLOOKUP(CustomerCombined[[#This Row],[ID]], Table4[ID], Table4[Catalog], "Not Found", 0)</f>
        <v>2</v>
      </c>
      <c r="U1164" s="5">
        <f>_xlfn.XLOOKUP(CustomerCombined[[#This Row],[ID]], Table4[ID], Table4[Store], "Not Found", 0)</f>
        <v>9</v>
      </c>
      <c r="V1164" s="5">
        <f>_xlfn.XLOOKUP(CustomerCombined[[#This Row],[ID]], Table4[ID], Table4[Visits], "Not Found", 0)</f>
        <v>4</v>
      </c>
      <c r="W1164" s="8">
        <f>_xlfn.XLOOKUP(CustomerCombined[[#This Row],[ID]], Table2[ID],Table2[Complaint], "Not Found", 0 )</f>
        <v>0</v>
      </c>
      <c r="X1164" s="8">
        <f>_xlfn.XLOOKUP(CustomerCombined[[#This Row],[ID]], Table2[ID],Table2[Pilot], "Not Found", 0 )</f>
        <v>0</v>
      </c>
      <c r="Y1164" s="8">
        <f>_xlfn.XLOOKUP(CustomerCombined[[#This Row],[ID]], Table2[ID],Table2[MC1], "Not Found", 0 )</f>
        <v>0</v>
      </c>
      <c r="Z1164" s="8">
        <f>_xlfn.XLOOKUP(CustomerCombined[[#This Row],[ID]], Table2[ID],Table2[MC2], "Not Found", 0 )</f>
        <v>0</v>
      </c>
      <c r="AA1164" s="8">
        <f>_xlfn.XLOOKUP(CustomerCombined[[#This Row],[ID]], Table2[ID],Table2[MC3], "Not Found", 0 )</f>
        <v>0</v>
      </c>
      <c r="AB1164" s="8">
        <f>_xlfn.XLOOKUP(CustomerCombined[[#This Row],[ID]], Table2[ID],Table2[MC4], "Not Found", 0 )</f>
        <v>0</v>
      </c>
      <c r="AC1164" s="8">
        <f>_xlfn.XLOOKUP(CustomerCombined[[#This Row],[ID]], Table2[ID],Table2[MC5], "Not Found", 0 )</f>
        <v>0</v>
      </c>
    </row>
    <row r="1165" spans="1:29" x14ac:dyDescent="0.3">
      <c r="A1165" s="6">
        <v>1515</v>
      </c>
      <c r="B1165" s="6">
        <v>172679</v>
      </c>
      <c r="C1165" s="6">
        <v>0</v>
      </c>
      <c r="D1165" s="6">
        <v>1</v>
      </c>
      <c r="E1165" s="6">
        <v>51</v>
      </c>
      <c r="F1165" s="5" t="s">
        <v>7</v>
      </c>
      <c r="G1165" s="5" t="s">
        <v>11</v>
      </c>
      <c r="H1165" s="3" t="s">
        <v>181</v>
      </c>
      <c r="I1165" s="5" t="s">
        <v>435</v>
      </c>
      <c r="J1165" s="5">
        <f>_xlfn.XLOOKUP(CustomerCombined[[#This Row],[ID]], Table4[ID], Table4[Recency], "Not Found", 0)</f>
        <v>65</v>
      </c>
      <c r="K1165" s="5">
        <f>_xlfn.XLOOKUP(CustomerCombined[[#This Row],[ID]], Table4[ID], Table4[Teas], "Not Found", 0)</f>
        <v>1471</v>
      </c>
      <c r="L1165" s="5">
        <f>_xlfn.XLOOKUP(CustomerCombined[[#This Row],[ID]], Table4[ID], Table4[Fruits], "Not Found", 0)</f>
        <v>128</v>
      </c>
      <c r="M1165" s="5">
        <f>_xlfn.XLOOKUP(CustomerCombined[[#This Row],[ID]], Table4[ID], Table4[Meats], "Not Found", 0)</f>
        <v>618</v>
      </c>
      <c r="N1165" s="5">
        <f>_xlfn.XLOOKUP(CustomerCombined[[#This Row],[ID]], Table4[ID], Table4[Seafood], "Not Found", 0)</f>
        <v>302</v>
      </c>
      <c r="O1165" s="5">
        <f>_xlfn.XLOOKUP(CustomerCombined[[#This Row],[ID]], Table4[ID], Table4[Sweets], "Not Found", 0)</f>
        <v>128</v>
      </c>
      <c r="P1165" s="5">
        <f>_xlfn.XLOOKUP(CustomerCombined[[#This Row],[ID]], Table4[ID], Table4[Premium], "Not Found", 0)</f>
        <v>128</v>
      </c>
      <c r="Q1165" s="5">
        <f>_xlfn.XLOOKUP(CustomerCombined[[#This Row],[ID]], Table4[ID], Table4[Regular], "Not Found", 0)</f>
        <v>2518</v>
      </c>
      <c r="R1165" s="5">
        <f>_xlfn.XLOOKUP(CustomerCombined[[#This Row],[ID]], Table4[ID], Table4[Deals], "Not Found", 0)</f>
        <v>1</v>
      </c>
      <c r="S1165" s="5">
        <f>_xlfn.XLOOKUP(CustomerCombined[[#This Row],[ID]], Table4[ID], Table4[Website], "Not Found", 0)</f>
        <v>4</v>
      </c>
      <c r="T1165" s="5">
        <f>_xlfn.XLOOKUP(CustomerCombined[[#This Row],[ID]], Table4[ID], Table4[Catalog], "Not Found", 0)</f>
        <v>7</v>
      </c>
      <c r="U1165" s="5">
        <f>_xlfn.XLOOKUP(CustomerCombined[[#This Row],[ID]], Table4[ID], Table4[Store], "Not Found", 0)</f>
        <v>5</v>
      </c>
      <c r="V1165" s="5">
        <f>_xlfn.XLOOKUP(CustomerCombined[[#This Row],[ID]], Table4[ID], Table4[Visits], "Not Found", 0)</f>
        <v>1</v>
      </c>
      <c r="W1165" s="8">
        <f>_xlfn.XLOOKUP(CustomerCombined[[#This Row],[ID]], Table2[ID],Table2[Complaint], "Not Found", 0 )</f>
        <v>0</v>
      </c>
      <c r="X1165" s="8">
        <f>_xlfn.XLOOKUP(CustomerCombined[[#This Row],[ID]], Table2[ID],Table2[Pilot], "Not Found", 0 )</f>
        <v>0</v>
      </c>
      <c r="Y1165" s="8">
        <f>_xlfn.XLOOKUP(CustomerCombined[[#This Row],[ID]], Table2[ID],Table2[MC1], "Not Found", 0 )</f>
        <v>0</v>
      </c>
      <c r="Z1165" s="8">
        <f>_xlfn.XLOOKUP(CustomerCombined[[#This Row],[ID]], Table2[ID],Table2[MC2], "Not Found", 0 )</f>
        <v>0</v>
      </c>
      <c r="AA1165" s="8">
        <f>_xlfn.XLOOKUP(CustomerCombined[[#This Row],[ID]], Table2[ID],Table2[MC3], "Not Found", 0 )</f>
        <v>0</v>
      </c>
      <c r="AB1165" s="8">
        <f>_xlfn.XLOOKUP(CustomerCombined[[#This Row],[ID]], Table2[ID],Table2[MC4], "Not Found", 0 )</f>
        <v>0</v>
      </c>
      <c r="AC1165" s="8">
        <f>_xlfn.XLOOKUP(CustomerCombined[[#This Row],[ID]], Table2[ID],Table2[MC5], "Not Found", 0 )</f>
        <v>0</v>
      </c>
    </row>
    <row r="1166" spans="1:29" x14ac:dyDescent="0.3">
      <c r="A1166" s="6">
        <v>1209</v>
      </c>
      <c r="B1166" s="6">
        <v>172460</v>
      </c>
      <c r="C1166" s="6">
        <v>0</v>
      </c>
      <c r="D1166" s="6">
        <v>0</v>
      </c>
      <c r="E1166" s="6">
        <v>51</v>
      </c>
      <c r="F1166" s="5" t="s">
        <v>6</v>
      </c>
      <c r="G1166" s="5" t="s">
        <v>11</v>
      </c>
      <c r="H1166" s="3" t="s">
        <v>150</v>
      </c>
      <c r="I1166" s="5" t="s">
        <v>435</v>
      </c>
      <c r="J1166" s="5">
        <f>_xlfn.XLOOKUP(CustomerCombined[[#This Row],[ID]], Table4[ID], Table4[Recency], "Not Found", 0)</f>
        <v>56</v>
      </c>
      <c r="K1166" s="5">
        <f>_xlfn.XLOOKUP(CustomerCombined[[#This Row],[ID]], Table4[ID], Table4[Teas], "Not Found", 0)</f>
        <v>897</v>
      </c>
      <c r="L1166" s="5">
        <f>_xlfn.XLOOKUP(CustomerCombined[[#This Row],[ID]], Table4[ID], Table4[Fruits], "Not Found", 0)</f>
        <v>24</v>
      </c>
      <c r="M1166" s="5">
        <f>_xlfn.XLOOKUP(CustomerCombined[[#This Row],[ID]], Table4[ID], Table4[Meats], "Not Found", 0)</f>
        <v>1285</v>
      </c>
      <c r="N1166" s="5">
        <f>_xlfn.XLOOKUP(CustomerCombined[[#This Row],[ID]], Table4[ID], Table4[Seafood], "Not Found", 0)</f>
        <v>190</v>
      </c>
      <c r="O1166" s="5">
        <f>_xlfn.XLOOKUP(CustomerCombined[[#This Row],[ID]], Table4[ID], Table4[Sweets], "Not Found", 0)</f>
        <v>71</v>
      </c>
      <c r="P1166" s="5">
        <f>_xlfn.XLOOKUP(CustomerCombined[[#This Row],[ID]], Table4[ID], Table4[Premium], "Not Found", 0)</f>
        <v>24</v>
      </c>
      <c r="Q1166" s="5">
        <f>_xlfn.XLOOKUP(CustomerCombined[[#This Row],[ID]], Table4[ID], Table4[Regular], "Not Found", 0)</f>
        <v>2444</v>
      </c>
      <c r="R1166" s="5">
        <f>_xlfn.XLOOKUP(CustomerCombined[[#This Row],[ID]], Table4[ID], Table4[Deals], "Not Found", 0)</f>
        <v>1</v>
      </c>
      <c r="S1166" s="5">
        <f>_xlfn.XLOOKUP(CustomerCombined[[#This Row],[ID]], Table4[ID], Table4[Website], "Not Found", 0)</f>
        <v>3</v>
      </c>
      <c r="T1166" s="5">
        <f>_xlfn.XLOOKUP(CustomerCombined[[#This Row],[ID]], Table4[ID], Table4[Catalog], "Not Found", 0)</f>
        <v>5</v>
      </c>
      <c r="U1166" s="5">
        <f>_xlfn.XLOOKUP(CustomerCombined[[#This Row],[ID]], Table4[ID], Table4[Store], "Not Found", 0)</f>
        <v>7</v>
      </c>
      <c r="V1166" s="5">
        <f>_xlfn.XLOOKUP(CustomerCombined[[#This Row],[ID]], Table4[ID], Table4[Visits], "Not Found", 0)</f>
        <v>1</v>
      </c>
      <c r="W1166" s="8">
        <f>_xlfn.XLOOKUP(CustomerCombined[[#This Row],[ID]], Table2[ID],Table2[Complaint], "Not Found", 0 )</f>
        <v>0</v>
      </c>
      <c r="X1166" s="8">
        <f>_xlfn.XLOOKUP(CustomerCombined[[#This Row],[ID]], Table2[ID],Table2[Pilot], "Not Found", 0 )</f>
        <v>0</v>
      </c>
      <c r="Y1166" s="8">
        <f>_xlfn.XLOOKUP(CustomerCombined[[#This Row],[ID]], Table2[ID],Table2[MC1], "Not Found", 0 )</f>
        <v>0</v>
      </c>
      <c r="Z1166" s="8">
        <f>_xlfn.XLOOKUP(CustomerCombined[[#This Row],[ID]], Table2[ID],Table2[MC2], "Not Found", 0 )</f>
        <v>0</v>
      </c>
      <c r="AA1166" s="8">
        <f>_xlfn.XLOOKUP(CustomerCombined[[#This Row],[ID]], Table2[ID],Table2[MC3], "Not Found", 0 )</f>
        <v>0</v>
      </c>
      <c r="AB1166" s="8">
        <f>_xlfn.XLOOKUP(CustomerCombined[[#This Row],[ID]], Table2[ID],Table2[MC4], "Not Found", 0 )</f>
        <v>0</v>
      </c>
      <c r="AC1166" s="8">
        <f>_xlfn.XLOOKUP(CustomerCombined[[#This Row],[ID]], Table2[ID],Table2[MC5], "Not Found", 0 )</f>
        <v>0</v>
      </c>
    </row>
    <row r="1167" spans="1:29" x14ac:dyDescent="0.3">
      <c r="A1167" s="6">
        <v>2178</v>
      </c>
      <c r="B1167" s="6">
        <v>170091</v>
      </c>
      <c r="C1167" s="6">
        <v>1</v>
      </c>
      <c r="D1167" s="6">
        <v>0</v>
      </c>
      <c r="E1167" s="6">
        <v>51</v>
      </c>
      <c r="F1167" s="5" t="s">
        <v>6</v>
      </c>
      <c r="G1167" s="5" t="s">
        <v>12</v>
      </c>
      <c r="H1167" s="3">
        <v>43594</v>
      </c>
      <c r="I1167" s="5" t="s">
        <v>436</v>
      </c>
      <c r="J1167" s="5">
        <f>_xlfn.XLOOKUP(CustomerCombined[[#This Row],[ID]], Table4[ID], Table4[Recency], "Not Found", 0)</f>
        <v>11</v>
      </c>
      <c r="K1167" s="5">
        <f>_xlfn.XLOOKUP(CustomerCombined[[#This Row],[ID]], Table4[ID], Table4[Teas], "Not Found", 0)</f>
        <v>2339</v>
      </c>
      <c r="L1167" s="5">
        <f>_xlfn.XLOOKUP(CustomerCombined[[#This Row],[ID]], Table4[ID], Table4[Fruits], "Not Found", 0)</f>
        <v>83</v>
      </c>
      <c r="M1167" s="5">
        <f>_xlfn.XLOOKUP(CustomerCombined[[#This Row],[ID]], Table4[ID], Table4[Meats], "Not Found", 0)</f>
        <v>332</v>
      </c>
      <c r="N1167" s="5">
        <f>_xlfn.XLOOKUP(CustomerCombined[[#This Row],[ID]], Table4[ID], Table4[Seafood], "Not Found", 0)</f>
        <v>36</v>
      </c>
      <c r="O1167" s="5">
        <f>_xlfn.XLOOKUP(CustomerCombined[[#This Row],[ID]], Table4[ID], Table4[Sweets], "Not Found", 0)</f>
        <v>0</v>
      </c>
      <c r="P1167" s="5">
        <f>_xlfn.XLOOKUP(CustomerCombined[[#This Row],[ID]], Table4[ID], Table4[Premium], "Not Found", 0)</f>
        <v>27</v>
      </c>
      <c r="Q1167" s="5">
        <f>_xlfn.XLOOKUP(CustomerCombined[[#This Row],[ID]], Table4[ID], Table4[Regular], "Not Found", 0)</f>
        <v>2764</v>
      </c>
      <c r="R1167" s="5">
        <f>_xlfn.XLOOKUP(CustomerCombined[[#This Row],[ID]], Table4[ID], Table4[Deals], "Not Found", 0)</f>
        <v>2</v>
      </c>
      <c r="S1167" s="5">
        <f>_xlfn.XLOOKUP(CustomerCombined[[#This Row],[ID]], Table4[ID], Table4[Website], "Not Found", 0)</f>
        <v>5</v>
      </c>
      <c r="T1167" s="5">
        <f>_xlfn.XLOOKUP(CustomerCombined[[#This Row],[ID]], Table4[ID], Table4[Catalog], "Not Found", 0)</f>
        <v>2</v>
      </c>
      <c r="U1167" s="5">
        <f>_xlfn.XLOOKUP(CustomerCombined[[#This Row],[ID]], Table4[ID], Table4[Store], "Not Found", 0)</f>
        <v>10</v>
      </c>
      <c r="V1167" s="5">
        <f>_xlfn.XLOOKUP(CustomerCombined[[#This Row],[ID]], Table4[ID], Table4[Visits], "Not Found", 0)</f>
        <v>8</v>
      </c>
      <c r="W1167" s="8">
        <f>_xlfn.XLOOKUP(CustomerCombined[[#This Row],[ID]], Table2[ID],Table2[Complaint], "Not Found", 0 )</f>
        <v>0</v>
      </c>
      <c r="X1167" s="8">
        <f>_xlfn.XLOOKUP(CustomerCombined[[#This Row],[ID]], Table2[ID],Table2[Pilot], "Not Found", 0 )</f>
        <v>0</v>
      </c>
      <c r="Y1167" s="8">
        <f>_xlfn.XLOOKUP(CustomerCombined[[#This Row],[ID]], Table2[ID],Table2[MC1], "Not Found", 0 )</f>
        <v>0</v>
      </c>
      <c r="Z1167" s="8">
        <f>_xlfn.XLOOKUP(CustomerCombined[[#This Row],[ID]], Table2[ID],Table2[MC2], "Not Found", 0 )</f>
        <v>0</v>
      </c>
      <c r="AA1167" s="8">
        <f>_xlfn.XLOOKUP(CustomerCombined[[#This Row],[ID]], Table2[ID],Table2[MC3], "Not Found", 0 )</f>
        <v>0</v>
      </c>
      <c r="AB1167" s="8">
        <f>_xlfn.XLOOKUP(CustomerCombined[[#This Row],[ID]], Table2[ID],Table2[MC4], "Not Found", 0 )</f>
        <v>1</v>
      </c>
      <c r="AC1167" s="8">
        <f>_xlfn.XLOOKUP(CustomerCombined[[#This Row],[ID]], Table2[ID],Table2[MC5], "Not Found", 0 )</f>
        <v>0</v>
      </c>
    </row>
    <row r="1168" spans="1:29" x14ac:dyDescent="0.3">
      <c r="A1168" s="6">
        <v>2723</v>
      </c>
      <c r="B1168" s="6">
        <v>169901</v>
      </c>
      <c r="C1168" s="6">
        <v>0</v>
      </c>
      <c r="D1168" s="6">
        <v>1</v>
      </c>
      <c r="E1168" s="6">
        <v>51</v>
      </c>
      <c r="F1168" s="5" t="s">
        <v>5</v>
      </c>
      <c r="G1168" s="5" t="s">
        <v>11</v>
      </c>
      <c r="H1168" s="3">
        <v>43535</v>
      </c>
      <c r="I1168" s="5" t="s">
        <v>434</v>
      </c>
      <c r="J1168" s="5">
        <f>_xlfn.XLOOKUP(CustomerCombined[[#This Row],[ID]], Table4[ID], Table4[Recency], "Not Found", 0)</f>
        <v>95</v>
      </c>
      <c r="K1168" s="5">
        <f>_xlfn.XLOOKUP(CustomerCombined[[#This Row],[ID]], Table4[ID], Table4[Teas], "Not Found", 0)</f>
        <v>758</v>
      </c>
      <c r="L1168" s="5">
        <f>_xlfn.XLOOKUP(CustomerCombined[[#This Row],[ID]], Table4[ID], Table4[Fruits], "Not Found", 0)</f>
        <v>51</v>
      </c>
      <c r="M1168" s="5">
        <f>_xlfn.XLOOKUP(CustomerCombined[[#This Row],[ID]], Table4[ID], Table4[Meats], "Not Found", 0)</f>
        <v>501</v>
      </c>
      <c r="N1168" s="5">
        <f>_xlfn.XLOOKUP(CustomerCombined[[#This Row],[ID]], Table4[ID], Table4[Seafood], "Not Found", 0)</f>
        <v>248</v>
      </c>
      <c r="O1168" s="5">
        <f>_xlfn.XLOOKUP(CustomerCombined[[#This Row],[ID]], Table4[ID], Table4[Sweets], "Not Found", 0)</f>
        <v>224</v>
      </c>
      <c r="P1168" s="5">
        <f>_xlfn.XLOOKUP(CustomerCombined[[#This Row],[ID]], Table4[ID], Table4[Premium], "Not Found", 0)</f>
        <v>362</v>
      </c>
      <c r="Q1168" s="5">
        <f>_xlfn.XLOOKUP(CustomerCombined[[#This Row],[ID]], Table4[ID], Table4[Regular], "Not Found", 0)</f>
        <v>1419</v>
      </c>
      <c r="R1168" s="5">
        <f>_xlfn.XLOOKUP(CustomerCombined[[#This Row],[ID]], Table4[ID], Table4[Deals], "Not Found", 0)</f>
        <v>3</v>
      </c>
      <c r="S1168" s="5">
        <f>_xlfn.XLOOKUP(CustomerCombined[[#This Row],[ID]], Table4[ID], Table4[Website], "Not Found", 0)</f>
        <v>7</v>
      </c>
      <c r="T1168" s="5">
        <f>_xlfn.XLOOKUP(CustomerCombined[[#This Row],[ID]], Table4[ID], Table4[Catalog], "Not Found", 0)</f>
        <v>3</v>
      </c>
      <c r="U1168" s="5">
        <f>_xlfn.XLOOKUP(CustomerCombined[[#This Row],[ID]], Table4[ID], Table4[Store], "Not Found", 0)</f>
        <v>10</v>
      </c>
      <c r="V1168" s="5">
        <f>_xlfn.XLOOKUP(CustomerCombined[[#This Row],[ID]], Table4[ID], Table4[Visits], "Not Found", 0)</f>
        <v>5</v>
      </c>
      <c r="W1168" s="8">
        <f>_xlfn.XLOOKUP(CustomerCombined[[#This Row],[ID]], Table2[ID],Table2[Complaint], "Not Found", 0 )</f>
        <v>0</v>
      </c>
      <c r="X1168" s="8">
        <f>_xlfn.XLOOKUP(CustomerCombined[[#This Row],[ID]], Table2[ID],Table2[Pilot], "Not Found", 0 )</f>
        <v>0</v>
      </c>
      <c r="Y1168" s="8">
        <f>_xlfn.XLOOKUP(CustomerCombined[[#This Row],[ID]], Table2[ID],Table2[MC1], "Not Found", 0 )</f>
        <v>0</v>
      </c>
      <c r="Z1168" s="8">
        <f>_xlfn.XLOOKUP(CustomerCombined[[#This Row],[ID]], Table2[ID],Table2[MC2], "Not Found", 0 )</f>
        <v>0</v>
      </c>
      <c r="AA1168" s="8">
        <f>_xlfn.XLOOKUP(CustomerCombined[[#This Row],[ID]], Table2[ID],Table2[MC3], "Not Found", 0 )</f>
        <v>0</v>
      </c>
      <c r="AB1168" s="8">
        <f>_xlfn.XLOOKUP(CustomerCombined[[#This Row],[ID]], Table2[ID],Table2[MC4], "Not Found", 0 )</f>
        <v>0</v>
      </c>
      <c r="AC1168" s="8">
        <f>_xlfn.XLOOKUP(CustomerCombined[[#This Row],[ID]], Table2[ID],Table2[MC5], "Not Found", 0 )</f>
        <v>0</v>
      </c>
    </row>
    <row r="1169" spans="1:29" x14ac:dyDescent="0.3">
      <c r="A1169" s="6">
        <v>1670</v>
      </c>
      <c r="B1169" s="6">
        <v>169476</v>
      </c>
      <c r="C1169" s="6">
        <v>0</v>
      </c>
      <c r="D1169" s="6">
        <v>0</v>
      </c>
      <c r="E1169" s="6">
        <v>51</v>
      </c>
      <c r="F1169" s="5" t="s">
        <v>8</v>
      </c>
      <c r="G1169" s="5" t="s">
        <v>13</v>
      </c>
      <c r="H1169" s="3">
        <v>43985</v>
      </c>
      <c r="I1169" s="5" t="s">
        <v>438</v>
      </c>
      <c r="J1169" s="5">
        <f>_xlfn.XLOOKUP(CustomerCombined[[#This Row],[ID]], Table4[ID], Table4[Recency], "Not Found", 0)</f>
        <v>3</v>
      </c>
      <c r="K1169" s="5">
        <f>_xlfn.XLOOKUP(CustomerCombined[[#This Row],[ID]], Table4[ID], Table4[Teas], "Not Found", 0)</f>
        <v>634</v>
      </c>
      <c r="L1169" s="5">
        <f>_xlfn.XLOOKUP(CustomerCombined[[#This Row],[ID]], Table4[ID], Table4[Fruits], "Not Found", 0)</f>
        <v>210</v>
      </c>
      <c r="M1169" s="5">
        <f>_xlfn.XLOOKUP(CustomerCombined[[#This Row],[ID]], Table4[ID], Table4[Meats], "Not Found", 0)</f>
        <v>1364</v>
      </c>
      <c r="N1169" s="5">
        <f>_xlfn.XLOOKUP(CustomerCombined[[#This Row],[ID]], Table4[ID], Table4[Seafood], "Not Found", 0)</f>
        <v>154</v>
      </c>
      <c r="O1169" s="5">
        <f>_xlfn.XLOOKUP(CustomerCombined[[#This Row],[ID]], Table4[ID], Table4[Sweets], "Not Found", 0)</f>
        <v>22</v>
      </c>
      <c r="P1169" s="5">
        <f>_xlfn.XLOOKUP(CustomerCombined[[#This Row],[ID]], Table4[ID], Table4[Premium], "Not Found", 0)</f>
        <v>163</v>
      </c>
      <c r="Q1169" s="5">
        <f>_xlfn.XLOOKUP(CustomerCombined[[#This Row],[ID]], Table4[ID], Table4[Regular], "Not Found", 0)</f>
        <v>2220</v>
      </c>
      <c r="R1169" s="5">
        <f>_xlfn.XLOOKUP(CustomerCombined[[#This Row],[ID]], Table4[ID], Table4[Deals], "Not Found", 0)</f>
        <v>1</v>
      </c>
      <c r="S1169" s="5">
        <f>_xlfn.XLOOKUP(CustomerCombined[[#This Row],[ID]], Table4[ID], Table4[Website], "Not Found", 0)</f>
        <v>4</v>
      </c>
      <c r="T1169" s="5">
        <f>_xlfn.XLOOKUP(CustomerCombined[[#This Row],[ID]], Table4[ID], Table4[Catalog], "Not Found", 0)</f>
        <v>6</v>
      </c>
      <c r="U1169" s="5">
        <f>_xlfn.XLOOKUP(CustomerCombined[[#This Row],[ID]], Table4[ID], Table4[Store], "Not Found", 0)</f>
        <v>4</v>
      </c>
      <c r="V1169" s="5">
        <f>_xlfn.XLOOKUP(CustomerCombined[[#This Row],[ID]], Table4[ID], Table4[Visits], "Not Found", 0)</f>
        <v>2</v>
      </c>
      <c r="W1169" s="8">
        <f>_xlfn.XLOOKUP(CustomerCombined[[#This Row],[ID]], Table2[ID],Table2[Complaint], "Not Found", 0 )</f>
        <v>0</v>
      </c>
      <c r="X1169" s="8">
        <f>_xlfn.XLOOKUP(CustomerCombined[[#This Row],[ID]], Table2[ID],Table2[Pilot], "Not Found", 0 )</f>
        <v>0</v>
      </c>
      <c r="Y1169" s="8">
        <f>_xlfn.XLOOKUP(CustomerCombined[[#This Row],[ID]], Table2[ID],Table2[MC1], "Not Found", 0 )</f>
        <v>0</v>
      </c>
      <c r="Z1169" s="8">
        <f>_xlfn.XLOOKUP(CustomerCombined[[#This Row],[ID]], Table2[ID],Table2[MC2], "Not Found", 0 )</f>
        <v>0</v>
      </c>
      <c r="AA1169" s="8">
        <f>_xlfn.XLOOKUP(CustomerCombined[[#This Row],[ID]], Table2[ID],Table2[MC3], "Not Found", 0 )</f>
        <v>0</v>
      </c>
      <c r="AB1169" s="8">
        <f>_xlfn.XLOOKUP(CustomerCombined[[#This Row],[ID]], Table2[ID],Table2[MC4], "Not Found", 0 )</f>
        <v>0</v>
      </c>
      <c r="AC1169" s="8">
        <f>_xlfn.XLOOKUP(CustomerCombined[[#This Row],[ID]], Table2[ID],Table2[MC5], "Not Found", 0 )</f>
        <v>0</v>
      </c>
    </row>
    <row r="1170" spans="1:29" x14ac:dyDescent="0.3">
      <c r="A1170" s="6">
        <v>2013</v>
      </c>
      <c r="B1170" s="6">
        <v>168695</v>
      </c>
      <c r="C1170" s="6">
        <v>0</v>
      </c>
      <c r="D1170" s="6">
        <v>0</v>
      </c>
      <c r="E1170" s="6">
        <v>51</v>
      </c>
      <c r="F1170" s="5" t="s">
        <v>8</v>
      </c>
      <c r="G1170" s="5" t="s">
        <v>11</v>
      </c>
      <c r="H1170" s="3" t="s">
        <v>24</v>
      </c>
      <c r="I1170" s="5" t="s">
        <v>435</v>
      </c>
      <c r="J1170" s="5">
        <f>_xlfn.XLOOKUP(CustomerCombined[[#This Row],[ID]], Table4[ID], Table4[Recency], "Not Found", 0)</f>
        <v>3</v>
      </c>
      <c r="K1170" s="5">
        <f>_xlfn.XLOOKUP(CustomerCombined[[#This Row],[ID]], Table4[ID], Table4[Teas], "Not Found", 0)</f>
        <v>1125</v>
      </c>
      <c r="L1170" s="5">
        <f>_xlfn.XLOOKUP(CustomerCombined[[#This Row],[ID]], Table4[ID], Table4[Fruits], "Not Found", 0)</f>
        <v>199</v>
      </c>
      <c r="M1170" s="5">
        <f>_xlfn.XLOOKUP(CustomerCombined[[#This Row],[ID]], Table4[ID], Table4[Meats], "Not Found", 0)</f>
        <v>874</v>
      </c>
      <c r="N1170" s="5">
        <f>_xlfn.XLOOKUP(CustomerCombined[[#This Row],[ID]], Table4[ID], Table4[Seafood], "Not Found", 0)</f>
        <v>260</v>
      </c>
      <c r="O1170" s="5">
        <f>_xlfn.XLOOKUP(CustomerCombined[[#This Row],[ID]], Table4[ID], Table4[Sweets], "Not Found", 0)</f>
        <v>123</v>
      </c>
      <c r="P1170" s="5">
        <f>_xlfn.XLOOKUP(CustomerCombined[[#This Row],[ID]], Table4[ID], Table4[Premium], "Not Found", 0)</f>
        <v>98</v>
      </c>
      <c r="Q1170" s="5">
        <f>_xlfn.XLOOKUP(CustomerCombined[[#This Row],[ID]], Table4[ID], Table4[Regular], "Not Found", 0)</f>
        <v>2483</v>
      </c>
      <c r="R1170" s="5">
        <f>_xlfn.XLOOKUP(CustomerCombined[[#This Row],[ID]], Table4[ID], Table4[Deals], "Not Found", 0)</f>
        <v>1</v>
      </c>
      <c r="S1170" s="5">
        <f>_xlfn.XLOOKUP(CustomerCombined[[#This Row],[ID]], Table4[ID], Table4[Website], "Not Found", 0)</f>
        <v>4</v>
      </c>
      <c r="T1170" s="5">
        <f>_xlfn.XLOOKUP(CustomerCombined[[#This Row],[ID]], Table4[ID], Table4[Catalog], "Not Found", 0)</f>
        <v>4</v>
      </c>
      <c r="U1170" s="5">
        <f>_xlfn.XLOOKUP(CustomerCombined[[#This Row],[ID]], Table4[ID], Table4[Store], "Not Found", 0)</f>
        <v>7</v>
      </c>
      <c r="V1170" s="5">
        <f>_xlfn.XLOOKUP(CustomerCombined[[#This Row],[ID]], Table4[ID], Table4[Visits], "Not Found", 0)</f>
        <v>2</v>
      </c>
      <c r="W1170" s="8">
        <f>_xlfn.XLOOKUP(CustomerCombined[[#This Row],[ID]], Table2[ID],Table2[Complaint], "Not Found", 0 )</f>
        <v>0</v>
      </c>
      <c r="X1170" s="8">
        <f>_xlfn.XLOOKUP(CustomerCombined[[#This Row],[ID]], Table2[ID],Table2[Pilot], "Not Found", 0 )</f>
        <v>0</v>
      </c>
      <c r="Y1170" s="8">
        <f>_xlfn.XLOOKUP(CustomerCombined[[#This Row],[ID]], Table2[ID],Table2[MC1], "Not Found", 0 )</f>
        <v>0</v>
      </c>
      <c r="Z1170" s="8">
        <f>_xlfn.XLOOKUP(CustomerCombined[[#This Row],[ID]], Table2[ID],Table2[MC2], "Not Found", 0 )</f>
        <v>0</v>
      </c>
      <c r="AA1170" s="8">
        <f>_xlfn.XLOOKUP(CustomerCombined[[#This Row],[ID]], Table2[ID],Table2[MC3], "Not Found", 0 )</f>
        <v>0</v>
      </c>
      <c r="AB1170" s="8">
        <f>_xlfn.XLOOKUP(CustomerCombined[[#This Row],[ID]], Table2[ID],Table2[MC4], "Not Found", 0 )</f>
        <v>0</v>
      </c>
      <c r="AC1170" s="8">
        <f>_xlfn.XLOOKUP(CustomerCombined[[#This Row],[ID]], Table2[ID],Table2[MC5], "Not Found", 0 )</f>
        <v>0</v>
      </c>
    </row>
    <row r="1171" spans="1:29" x14ac:dyDescent="0.3">
      <c r="A1171" s="6">
        <v>2431</v>
      </c>
      <c r="B1171" s="6">
        <v>168695</v>
      </c>
      <c r="C1171" s="6">
        <v>0</v>
      </c>
      <c r="D1171" s="6">
        <v>0</v>
      </c>
      <c r="E1171" s="6">
        <v>51</v>
      </c>
      <c r="F1171" s="5" t="s">
        <v>8</v>
      </c>
      <c r="G1171" s="5" t="s">
        <v>11</v>
      </c>
      <c r="H1171" s="3" t="s">
        <v>24</v>
      </c>
      <c r="I1171" s="5" t="s">
        <v>437</v>
      </c>
      <c r="J1171" s="5">
        <f>_xlfn.XLOOKUP(CustomerCombined[[#This Row],[ID]], Table4[ID], Table4[Recency], "Not Found", 0)</f>
        <v>3</v>
      </c>
      <c r="K1171" s="5">
        <f>_xlfn.XLOOKUP(CustomerCombined[[#This Row],[ID]], Table4[ID], Table4[Teas], "Not Found", 0)</f>
        <v>1125</v>
      </c>
      <c r="L1171" s="5">
        <f>_xlfn.XLOOKUP(CustomerCombined[[#This Row],[ID]], Table4[ID], Table4[Fruits], "Not Found", 0)</f>
        <v>199</v>
      </c>
      <c r="M1171" s="5">
        <f>_xlfn.XLOOKUP(CustomerCombined[[#This Row],[ID]], Table4[ID], Table4[Meats], "Not Found", 0)</f>
        <v>874</v>
      </c>
      <c r="N1171" s="5">
        <f>_xlfn.XLOOKUP(CustomerCombined[[#This Row],[ID]], Table4[ID], Table4[Seafood], "Not Found", 0)</f>
        <v>260</v>
      </c>
      <c r="O1171" s="5">
        <f>_xlfn.XLOOKUP(CustomerCombined[[#This Row],[ID]], Table4[ID], Table4[Sweets], "Not Found", 0)</f>
        <v>123</v>
      </c>
      <c r="P1171" s="5">
        <f>_xlfn.XLOOKUP(CustomerCombined[[#This Row],[ID]], Table4[ID], Table4[Premium], "Not Found", 0)</f>
        <v>98</v>
      </c>
      <c r="Q1171" s="5">
        <f>_xlfn.XLOOKUP(CustomerCombined[[#This Row],[ID]], Table4[ID], Table4[Regular], "Not Found", 0)</f>
        <v>2483</v>
      </c>
      <c r="R1171" s="5">
        <f>_xlfn.XLOOKUP(CustomerCombined[[#This Row],[ID]], Table4[ID], Table4[Deals], "Not Found", 0)</f>
        <v>1</v>
      </c>
      <c r="S1171" s="5">
        <f>_xlfn.XLOOKUP(CustomerCombined[[#This Row],[ID]], Table4[ID], Table4[Website], "Not Found", 0)</f>
        <v>4</v>
      </c>
      <c r="T1171" s="5">
        <f>_xlfn.XLOOKUP(CustomerCombined[[#This Row],[ID]], Table4[ID], Table4[Catalog], "Not Found", 0)</f>
        <v>4</v>
      </c>
      <c r="U1171" s="5">
        <f>_xlfn.XLOOKUP(CustomerCombined[[#This Row],[ID]], Table4[ID], Table4[Store], "Not Found", 0)</f>
        <v>7</v>
      </c>
      <c r="V1171" s="5">
        <f>_xlfn.XLOOKUP(CustomerCombined[[#This Row],[ID]], Table4[ID], Table4[Visits], "Not Found", 0)</f>
        <v>2</v>
      </c>
      <c r="W1171" s="8">
        <f>_xlfn.XLOOKUP(CustomerCombined[[#This Row],[ID]], Table2[ID],Table2[Complaint], "Not Found", 0 )</f>
        <v>0</v>
      </c>
      <c r="X1171" s="8">
        <f>_xlfn.XLOOKUP(CustomerCombined[[#This Row],[ID]], Table2[ID],Table2[Pilot], "Not Found", 0 )</f>
        <v>0</v>
      </c>
      <c r="Y1171" s="8">
        <f>_xlfn.XLOOKUP(CustomerCombined[[#This Row],[ID]], Table2[ID],Table2[MC1], "Not Found", 0 )</f>
        <v>0</v>
      </c>
      <c r="Z1171" s="8">
        <f>_xlfn.XLOOKUP(CustomerCombined[[#This Row],[ID]], Table2[ID],Table2[MC2], "Not Found", 0 )</f>
        <v>0</v>
      </c>
      <c r="AA1171" s="8">
        <f>_xlfn.XLOOKUP(CustomerCombined[[#This Row],[ID]], Table2[ID],Table2[MC3], "Not Found", 0 )</f>
        <v>0</v>
      </c>
      <c r="AB1171" s="8">
        <f>_xlfn.XLOOKUP(CustomerCombined[[#This Row],[ID]], Table2[ID],Table2[MC4], "Not Found", 0 )</f>
        <v>0</v>
      </c>
      <c r="AC1171" s="8">
        <f>_xlfn.XLOOKUP(CustomerCombined[[#This Row],[ID]], Table2[ID],Table2[MC5], "Not Found", 0 )</f>
        <v>0</v>
      </c>
    </row>
    <row r="1172" spans="1:29" x14ac:dyDescent="0.3">
      <c r="A1172" s="6">
        <v>1341</v>
      </c>
      <c r="B1172" s="6">
        <v>168462</v>
      </c>
      <c r="C1172" s="6">
        <v>0</v>
      </c>
      <c r="D1172" s="6">
        <v>0</v>
      </c>
      <c r="E1172" s="6">
        <v>51</v>
      </c>
      <c r="F1172" s="5" t="s">
        <v>6</v>
      </c>
      <c r="G1172" s="5" t="s">
        <v>13</v>
      </c>
      <c r="H1172" s="3" t="s">
        <v>346</v>
      </c>
      <c r="I1172" s="5" t="s">
        <v>435</v>
      </c>
      <c r="J1172" s="5">
        <f>_xlfn.XLOOKUP(CustomerCombined[[#This Row],[ID]], Table4[ID], Table4[Recency], "Not Found", 0)</f>
        <v>6</v>
      </c>
      <c r="K1172" s="5">
        <f>_xlfn.XLOOKUP(CustomerCombined[[#This Row],[ID]], Table4[ID], Table4[Teas], "Not Found", 0)</f>
        <v>1380</v>
      </c>
      <c r="L1172" s="5">
        <f>_xlfn.XLOOKUP(CustomerCombined[[#This Row],[ID]], Table4[ID], Table4[Fruits], "Not Found", 0)</f>
        <v>157</v>
      </c>
      <c r="M1172" s="5">
        <f>_xlfn.XLOOKUP(CustomerCombined[[#This Row],[ID]], Table4[ID], Table4[Meats], "Not Found", 0)</f>
        <v>1932</v>
      </c>
      <c r="N1172" s="5">
        <f>_xlfn.XLOOKUP(CustomerCombined[[#This Row],[ID]], Table4[ID], Table4[Seafood], "Not Found", 0)</f>
        <v>207</v>
      </c>
      <c r="O1172" s="5">
        <f>_xlfn.XLOOKUP(CustomerCombined[[#This Row],[ID]], Table4[ID], Table4[Sweets], "Not Found", 0)</f>
        <v>315</v>
      </c>
      <c r="P1172" s="5">
        <f>_xlfn.XLOOKUP(CustomerCombined[[#This Row],[ID]], Table4[ID], Table4[Premium], "Not Found", 0)</f>
        <v>118</v>
      </c>
      <c r="Q1172" s="5">
        <f>_xlfn.XLOOKUP(CustomerCombined[[#This Row],[ID]], Table4[ID], Table4[Regular], "Not Found", 0)</f>
        <v>3873</v>
      </c>
      <c r="R1172" s="5">
        <f>_xlfn.XLOOKUP(CustomerCombined[[#This Row],[ID]], Table4[ID], Table4[Deals], "Not Found", 0)</f>
        <v>1</v>
      </c>
      <c r="S1172" s="5">
        <f>_xlfn.XLOOKUP(CustomerCombined[[#This Row],[ID]], Table4[ID], Table4[Website], "Not Found", 0)</f>
        <v>3</v>
      </c>
      <c r="T1172" s="5">
        <f>_xlfn.XLOOKUP(CustomerCombined[[#This Row],[ID]], Table4[ID], Table4[Catalog], "Not Found", 0)</f>
        <v>3</v>
      </c>
      <c r="U1172" s="5">
        <f>_xlfn.XLOOKUP(CustomerCombined[[#This Row],[ID]], Table4[ID], Table4[Store], "Not Found", 0)</f>
        <v>8</v>
      </c>
      <c r="V1172" s="5">
        <f>_xlfn.XLOOKUP(CustomerCombined[[#This Row],[ID]], Table4[ID], Table4[Visits], "Not Found", 0)</f>
        <v>1</v>
      </c>
      <c r="W1172" s="8">
        <f>_xlfn.XLOOKUP(CustomerCombined[[#This Row],[ID]], Table2[ID],Table2[Complaint], "Not Found", 0 )</f>
        <v>0</v>
      </c>
      <c r="X1172" s="8">
        <f>_xlfn.XLOOKUP(CustomerCombined[[#This Row],[ID]], Table2[ID],Table2[Pilot], "Not Found", 0 )</f>
        <v>0</v>
      </c>
      <c r="Y1172" s="8">
        <f>_xlfn.XLOOKUP(CustomerCombined[[#This Row],[ID]], Table2[ID],Table2[MC1], "Not Found", 0 )</f>
        <v>0</v>
      </c>
      <c r="Z1172" s="8">
        <f>_xlfn.XLOOKUP(CustomerCombined[[#This Row],[ID]], Table2[ID],Table2[MC2], "Not Found", 0 )</f>
        <v>0</v>
      </c>
      <c r="AA1172" s="8">
        <f>_xlfn.XLOOKUP(CustomerCombined[[#This Row],[ID]], Table2[ID],Table2[MC3], "Not Found", 0 )</f>
        <v>0</v>
      </c>
      <c r="AB1172" s="8">
        <f>_xlfn.XLOOKUP(CustomerCombined[[#This Row],[ID]], Table2[ID],Table2[MC4], "Not Found", 0 )</f>
        <v>0</v>
      </c>
      <c r="AC1172" s="8">
        <f>_xlfn.XLOOKUP(CustomerCombined[[#This Row],[ID]], Table2[ID],Table2[MC5], "Not Found", 0 )</f>
        <v>0</v>
      </c>
    </row>
    <row r="1173" spans="1:29" x14ac:dyDescent="0.3">
      <c r="A1173" s="6">
        <v>2172</v>
      </c>
      <c r="B1173" s="6">
        <v>167369</v>
      </c>
      <c r="C1173" s="6">
        <v>0</v>
      </c>
      <c r="D1173" s="6">
        <v>1</v>
      </c>
      <c r="E1173" s="6">
        <v>51</v>
      </c>
      <c r="F1173" s="5" t="s">
        <v>9</v>
      </c>
      <c r="G1173" s="5" t="s">
        <v>12</v>
      </c>
      <c r="H1173" s="3" t="s">
        <v>359</v>
      </c>
      <c r="I1173" s="5" t="s">
        <v>436</v>
      </c>
      <c r="J1173" s="5">
        <f>_xlfn.XLOOKUP(CustomerCombined[[#This Row],[ID]], Table4[ID], Table4[Recency], "Not Found", 0)</f>
        <v>81</v>
      </c>
      <c r="K1173" s="5">
        <f>_xlfn.XLOOKUP(CustomerCombined[[#This Row],[ID]], Table4[ID], Table4[Teas], "Not Found", 0)</f>
        <v>3225</v>
      </c>
      <c r="L1173" s="5">
        <f>_xlfn.XLOOKUP(CustomerCombined[[#This Row],[ID]], Table4[ID], Table4[Fruits], "Not Found", 0)</f>
        <v>0</v>
      </c>
      <c r="M1173" s="5">
        <f>_xlfn.XLOOKUP(CustomerCombined[[#This Row],[ID]], Table4[ID], Table4[Meats], "Not Found", 0)</f>
        <v>174</v>
      </c>
      <c r="N1173" s="5">
        <f>_xlfn.XLOOKUP(CustomerCombined[[#This Row],[ID]], Table4[ID], Table4[Seafood], "Not Found", 0)</f>
        <v>92</v>
      </c>
      <c r="O1173" s="5">
        <f>_xlfn.XLOOKUP(CustomerCombined[[#This Row],[ID]], Table4[ID], Table4[Sweets], "Not Found", 0)</f>
        <v>35</v>
      </c>
      <c r="P1173" s="5">
        <f>_xlfn.XLOOKUP(CustomerCombined[[#This Row],[ID]], Table4[ID], Table4[Premium], "Not Found", 0)</f>
        <v>104</v>
      </c>
      <c r="Q1173" s="5">
        <f>_xlfn.XLOOKUP(CustomerCombined[[#This Row],[ID]], Table4[ID], Table4[Regular], "Not Found", 0)</f>
        <v>3421</v>
      </c>
      <c r="R1173" s="5">
        <f>_xlfn.XLOOKUP(CustomerCombined[[#This Row],[ID]], Table4[ID], Table4[Deals], "Not Found", 0)</f>
        <v>4</v>
      </c>
      <c r="S1173" s="5">
        <f>_xlfn.XLOOKUP(CustomerCombined[[#This Row],[ID]], Table4[ID], Table4[Website], "Not Found", 0)</f>
        <v>7</v>
      </c>
      <c r="T1173" s="5">
        <f>_xlfn.XLOOKUP(CustomerCombined[[#This Row],[ID]], Table4[ID], Table4[Catalog], "Not Found", 0)</f>
        <v>4</v>
      </c>
      <c r="U1173" s="5">
        <f>_xlfn.XLOOKUP(CustomerCombined[[#This Row],[ID]], Table4[ID], Table4[Store], "Not Found", 0)</f>
        <v>10</v>
      </c>
      <c r="V1173" s="5">
        <f>_xlfn.XLOOKUP(CustomerCombined[[#This Row],[ID]], Table4[ID], Table4[Visits], "Not Found", 0)</f>
        <v>4</v>
      </c>
      <c r="W1173" s="8">
        <f>_xlfn.XLOOKUP(CustomerCombined[[#This Row],[ID]], Table2[ID],Table2[Complaint], "Not Found", 0 )</f>
        <v>0</v>
      </c>
      <c r="X1173" s="8">
        <f>_xlfn.XLOOKUP(CustomerCombined[[#This Row],[ID]], Table2[ID],Table2[Pilot], "Not Found", 0 )</f>
        <v>1</v>
      </c>
      <c r="Y1173" s="8">
        <f>_xlfn.XLOOKUP(CustomerCombined[[#This Row],[ID]], Table2[ID],Table2[MC1], "Not Found", 0 )</f>
        <v>0</v>
      </c>
      <c r="Z1173" s="8">
        <f>_xlfn.XLOOKUP(CustomerCombined[[#This Row],[ID]], Table2[ID],Table2[MC2], "Not Found", 0 )</f>
        <v>0</v>
      </c>
      <c r="AA1173" s="8">
        <f>_xlfn.XLOOKUP(CustomerCombined[[#This Row],[ID]], Table2[ID],Table2[MC3], "Not Found", 0 )</f>
        <v>0</v>
      </c>
      <c r="AB1173" s="8">
        <f>_xlfn.XLOOKUP(CustomerCombined[[#This Row],[ID]], Table2[ID],Table2[MC4], "Not Found", 0 )</f>
        <v>1</v>
      </c>
      <c r="AC1173" s="8">
        <f>_xlfn.XLOOKUP(CustomerCombined[[#This Row],[ID]], Table2[ID],Table2[MC5], "Not Found", 0 )</f>
        <v>1</v>
      </c>
    </row>
    <row r="1174" spans="1:29" x14ac:dyDescent="0.3">
      <c r="A1174" s="6">
        <v>1449</v>
      </c>
      <c r="B1174" s="6">
        <v>166582</v>
      </c>
      <c r="C1174" s="6">
        <v>0</v>
      </c>
      <c r="D1174" s="6">
        <v>0</v>
      </c>
      <c r="E1174" s="6">
        <v>51</v>
      </c>
      <c r="F1174" s="5" t="s">
        <v>7</v>
      </c>
      <c r="G1174" s="5" t="s">
        <v>13</v>
      </c>
      <c r="H1174" s="3">
        <v>44020</v>
      </c>
      <c r="I1174" s="5" t="s">
        <v>435</v>
      </c>
      <c r="J1174" s="5">
        <f>_xlfn.XLOOKUP(CustomerCombined[[#This Row],[ID]], Table4[ID], Table4[Recency], "Not Found", 0)</f>
        <v>83</v>
      </c>
      <c r="K1174" s="5">
        <f>_xlfn.XLOOKUP(CustomerCombined[[#This Row],[ID]], Table4[ID], Table4[Teas], "Not Found", 0)</f>
        <v>1974</v>
      </c>
      <c r="L1174" s="5">
        <f>_xlfn.XLOOKUP(CustomerCombined[[#This Row],[ID]], Table4[ID], Table4[Fruits], "Not Found", 0)</f>
        <v>63</v>
      </c>
      <c r="M1174" s="5">
        <f>_xlfn.XLOOKUP(CustomerCombined[[#This Row],[ID]], Table4[ID], Table4[Meats], "Not Found", 0)</f>
        <v>1051</v>
      </c>
      <c r="N1174" s="5">
        <f>_xlfn.XLOOKUP(CustomerCombined[[#This Row],[ID]], Table4[ID], Table4[Seafood], "Not Found", 0)</f>
        <v>40</v>
      </c>
      <c r="O1174" s="5">
        <f>_xlfn.XLOOKUP(CustomerCombined[[#This Row],[ID]], Table4[ID], Table4[Sweets], "Not Found", 0)</f>
        <v>95</v>
      </c>
      <c r="P1174" s="5">
        <f>_xlfn.XLOOKUP(CustomerCombined[[#This Row],[ID]], Table4[ID], Table4[Premium], "Not Found", 0)</f>
        <v>0</v>
      </c>
      <c r="Q1174" s="5">
        <f>_xlfn.XLOOKUP(CustomerCombined[[#This Row],[ID]], Table4[ID], Table4[Regular], "Not Found", 0)</f>
        <v>3222</v>
      </c>
      <c r="R1174" s="5">
        <f>_xlfn.XLOOKUP(CustomerCombined[[#This Row],[ID]], Table4[ID], Table4[Deals], "Not Found", 0)</f>
        <v>1</v>
      </c>
      <c r="S1174" s="5">
        <f>_xlfn.XLOOKUP(CustomerCombined[[#This Row],[ID]], Table4[ID], Table4[Website], "Not Found", 0)</f>
        <v>2</v>
      </c>
      <c r="T1174" s="5">
        <f>_xlfn.XLOOKUP(CustomerCombined[[#This Row],[ID]], Table4[ID], Table4[Catalog], "Not Found", 0)</f>
        <v>8</v>
      </c>
      <c r="U1174" s="5">
        <f>_xlfn.XLOOKUP(CustomerCombined[[#This Row],[ID]], Table4[ID], Table4[Store], "Not Found", 0)</f>
        <v>9</v>
      </c>
      <c r="V1174" s="5">
        <f>_xlfn.XLOOKUP(CustomerCombined[[#This Row],[ID]], Table4[ID], Table4[Visits], "Not Found", 0)</f>
        <v>1</v>
      </c>
      <c r="W1174" s="8">
        <f>_xlfn.XLOOKUP(CustomerCombined[[#This Row],[ID]], Table2[ID],Table2[Complaint], "Not Found", 0 )</f>
        <v>0</v>
      </c>
      <c r="X1174" s="8">
        <f>_xlfn.XLOOKUP(CustomerCombined[[#This Row],[ID]], Table2[ID],Table2[Pilot], "Not Found", 0 )</f>
        <v>0</v>
      </c>
      <c r="Y1174" s="8">
        <f>_xlfn.XLOOKUP(CustomerCombined[[#This Row],[ID]], Table2[ID],Table2[MC1], "Not Found", 0 )</f>
        <v>0</v>
      </c>
      <c r="Z1174" s="8">
        <f>_xlfn.XLOOKUP(CustomerCombined[[#This Row],[ID]], Table2[ID],Table2[MC2], "Not Found", 0 )</f>
        <v>0</v>
      </c>
      <c r="AA1174" s="8">
        <f>_xlfn.XLOOKUP(CustomerCombined[[#This Row],[ID]], Table2[ID],Table2[MC3], "Not Found", 0 )</f>
        <v>0</v>
      </c>
      <c r="AB1174" s="8">
        <f>_xlfn.XLOOKUP(CustomerCombined[[#This Row],[ID]], Table2[ID],Table2[MC4], "Not Found", 0 )</f>
        <v>0</v>
      </c>
      <c r="AC1174" s="8">
        <f>_xlfn.XLOOKUP(CustomerCombined[[#This Row],[ID]], Table2[ID],Table2[MC5], "Not Found", 0 )</f>
        <v>0</v>
      </c>
    </row>
    <row r="1175" spans="1:29" x14ac:dyDescent="0.3">
      <c r="A1175" s="6">
        <v>3084</v>
      </c>
      <c r="B1175" s="6">
        <v>166476</v>
      </c>
      <c r="C1175" s="6">
        <v>0</v>
      </c>
      <c r="D1175" s="6">
        <v>1</v>
      </c>
      <c r="E1175" s="6">
        <v>51</v>
      </c>
      <c r="F1175" s="5" t="s">
        <v>8</v>
      </c>
      <c r="G1175" s="5" t="s">
        <v>12</v>
      </c>
      <c r="H1175" s="3">
        <v>44109</v>
      </c>
      <c r="I1175" s="5" t="s">
        <v>436</v>
      </c>
      <c r="J1175" s="5">
        <f>_xlfn.XLOOKUP(CustomerCombined[[#This Row],[ID]], Table4[ID], Table4[Recency], "Not Found", 0)</f>
        <v>80</v>
      </c>
      <c r="K1175" s="5">
        <f>_xlfn.XLOOKUP(CustomerCombined[[#This Row],[ID]], Table4[ID], Table4[Teas], "Not Found", 0)</f>
        <v>1858</v>
      </c>
      <c r="L1175" s="5">
        <f>_xlfn.XLOOKUP(CustomerCombined[[#This Row],[ID]], Table4[ID], Table4[Fruits], "Not Found", 0)</f>
        <v>70</v>
      </c>
      <c r="M1175" s="5">
        <f>_xlfn.XLOOKUP(CustomerCombined[[#This Row],[ID]], Table4[ID], Table4[Meats], "Not Found", 0)</f>
        <v>381</v>
      </c>
      <c r="N1175" s="5">
        <f>_xlfn.XLOOKUP(CustomerCombined[[#This Row],[ID]], Table4[ID], Table4[Seafood], "Not Found", 0)</f>
        <v>63</v>
      </c>
      <c r="O1175" s="5">
        <f>_xlfn.XLOOKUP(CustomerCombined[[#This Row],[ID]], Table4[ID], Table4[Sweets], "Not Found", 0)</f>
        <v>23</v>
      </c>
      <c r="P1175" s="5">
        <f>_xlfn.XLOOKUP(CustomerCombined[[#This Row],[ID]], Table4[ID], Table4[Premium], "Not Found", 0)</f>
        <v>143</v>
      </c>
      <c r="Q1175" s="5">
        <f>_xlfn.XLOOKUP(CustomerCombined[[#This Row],[ID]], Table4[ID], Table4[Regular], "Not Found", 0)</f>
        <v>2251</v>
      </c>
      <c r="R1175" s="5">
        <f>_xlfn.XLOOKUP(CustomerCombined[[#This Row],[ID]], Table4[ID], Table4[Deals], "Not Found", 0)</f>
        <v>2</v>
      </c>
      <c r="S1175" s="5">
        <f>_xlfn.XLOOKUP(CustomerCombined[[#This Row],[ID]], Table4[ID], Table4[Website], "Not Found", 0)</f>
        <v>6</v>
      </c>
      <c r="T1175" s="5">
        <f>_xlfn.XLOOKUP(CustomerCombined[[#This Row],[ID]], Table4[ID], Table4[Catalog], "Not Found", 0)</f>
        <v>8</v>
      </c>
      <c r="U1175" s="5">
        <f>_xlfn.XLOOKUP(CustomerCombined[[#This Row],[ID]], Table4[ID], Table4[Store], "Not Found", 0)</f>
        <v>10</v>
      </c>
      <c r="V1175" s="5">
        <f>_xlfn.XLOOKUP(CustomerCombined[[#This Row],[ID]], Table4[ID], Table4[Visits], "Not Found", 0)</f>
        <v>4</v>
      </c>
      <c r="W1175" s="8">
        <f>_xlfn.XLOOKUP(CustomerCombined[[#This Row],[ID]], Table2[ID],Table2[Complaint], "Not Found", 0 )</f>
        <v>0</v>
      </c>
      <c r="X1175" s="8">
        <f>_xlfn.XLOOKUP(CustomerCombined[[#This Row],[ID]], Table2[ID],Table2[Pilot], "Not Found", 0 )</f>
        <v>0</v>
      </c>
      <c r="Y1175" s="8">
        <f>_xlfn.XLOOKUP(CustomerCombined[[#This Row],[ID]], Table2[ID],Table2[MC1], "Not Found", 0 )</f>
        <v>0</v>
      </c>
      <c r="Z1175" s="8">
        <f>_xlfn.XLOOKUP(CustomerCombined[[#This Row],[ID]], Table2[ID],Table2[MC2], "Not Found", 0 )</f>
        <v>0</v>
      </c>
      <c r="AA1175" s="8">
        <f>_xlfn.XLOOKUP(CustomerCombined[[#This Row],[ID]], Table2[ID],Table2[MC3], "Not Found", 0 )</f>
        <v>0</v>
      </c>
      <c r="AB1175" s="8">
        <f>_xlfn.XLOOKUP(CustomerCombined[[#This Row],[ID]], Table2[ID],Table2[MC4], "Not Found", 0 )</f>
        <v>0</v>
      </c>
      <c r="AC1175" s="8">
        <f>_xlfn.XLOOKUP(CustomerCombined[[#This Row],[ID]], Table2[ID],Table2[MC5], "Not Found", 0 )</f>
        <v>0</v>
      </c>
    </row>
    <row r="1176" spans="1:29" x14ac:dyDescent="0.3">
      <c r="A1176" s="6">
        <v>1141</v>
      </c>
      <c r="B1176" s="6">
        <v>165747</v>
      </c>
      <c r="C1176" s="6">
        <v>0</v>
      </c>
      <c r="D1176" s="6">
        <v>1</v>
      </c>
      <c r="E1176" s="6">
        <v>51</v>
      </c>
      <c r="F1176" s="5" t="s">
        <v>6</v>
      </c>
      <c r="G1176" s="5" t="s">
        <v>11</v>
      </c>
      <c r="H1176" s="3">
        <v>44143</v>
      </c>
      <c r="I1176" s="5" t="s">
        <v>437</v>
      </c>
      <c r="J1176" s="5">
        <f>_xlfn.XLOOKUP(CustomerCombined[[#This Row],[ID]], Table4[ID], Table4[Recency], "Not Found", 0)</f>
        <v>96</v>
      </c>
      <c r="K1176" s="5">
        <f>_xlfn.XLOOKUP(CustomerCombined[[#This Row],[ID]], Table4[ID], Table4[Teas], "Not Found", 0)</f>
        <v>872</v>
      </c>
      <c r="L1176" s="5">
        <f>_xlfn.XLOOKUP(CustomerCombined[[#This Row],[ID]], Table4[ID], Table4[Fruits], "Not Found", 0)</f>
        <v>43</v>
      </c>
      <c r="M1176" s="5">
        <f>_xlfn.XLOOKUP(CustomerCombined[[#This Row],[ID]], Table4[ID], Table4[Meats], "Not Found", 0)</f>
        <v>121</v>
      </c>
      <c r="N1176" s="5">
        <f>_xlfn.XLOOKUP(CustomerCombined[[#This Row],[ID]], Table4[ID], Table4[Seafood], "Not Found", 0)</f>
        <v>58</v>
      </c>
      <c r="O1176" s="5">
        <f>_xlfn.XLOOKUP(CustomerCombined[[#This Row],[ID]], Table4[ID], Table4[Sweets], "Not Found", 0)</f>
        <v>33</v>
      </c>
      <c r="P1176" s="5">
        <f>_xlfn.XLOOKUP(CustomerCombined[[#This Row],[ID]], Table4[ID], Table4[Premium], "Not Found", 0)</f>
        <v>33</v>
      </c>
      <c r="Q1176" s="5">
        <f>_xlfn.XLOOKUP(CustomerCombined[[#This Row],[ID]], Table4[ID], Table4[Regular], "Not Found", 0)</f>
        <v>1094</v>
      </c>
      <c r="R1176" s="5">
        <f>_xlfn.XLOOKUP(CustomerCombined[[#This Row],[ID]], Table4[ID], Table4[Deals], "Not Found", 0)</f>
        <v>4</v>
      </c>
      <c r="S1176" s="5">
        <f>_xlfn.XLOOKUP(CustomerCombined[[#This Row],[ID]], Table4[ID], Table4[Website], "Not Found", 0)</f>
        <v>8</v>
      </c>
      <c r="T1176" s="5">
        <f>_xlfn.XLOOKUP(CustomerCombined[[#This Row],[ID]], Table4[ID], Table4[Catalog], "Not Found", 0)</f>
        <v>1</v>
      </c>
      <c r="U1176" s="5">
        <f>_xlfn.XLOOKUP(CustomerCombined[[#This Row],[ID]], Table4[ID], Table4[Store], "Not Found", 0)</f>
        <v>6</v>
      </c>
      <c r="V1176" s="5">
        <f>_xlfn.XLOOKUP(CustomerCombined[[#This Row],[ID]], Table4[ID], Table4[Visits], "Not Found", 0)</f>
        <v>6</v>
      </c>
      <c r="W1176" s="8">
        <f>_xlfn.XLOOKUP(CustomerCombined[[#This Row],[ID]], Table2[ID],Table2[Complaint], "Not Found", 0 )</f>
        <v>0</v>
      </c>
      <c r="X1176" s="8">
        <f>_xlfn.XLOOKUP(CustomerCombined[[#This Row],[ID]], Table2[ID],Table2[Pilot], "Not Found", 0 )</f>
        <v>0</v>
      </c>
      <c r="Y1176" s="8">
        <f>_xlfn.XLOOKUP(CustomerCombined[[#This Row],[ID]], Table2[ID],Table2[MC1], "Not Found", 0 )</f>
        <v>0</v>
      </c>
      <c r="Z1176" s="8">
        <f>_xlfn.XLOOKUP(CustomerCombined[[#This Row],[ID]], Table2[ID],Table2[MC2], "Not Found", 0 )</f>
        <v>0</v>
      </c>
      <c r="AA1176" s="8">
        <f>_xlfn.XLOOKUP(CustomerCombined[[#This Row],[ID]], Table2[ID],Table2[MC3], "Not Found", 0 )</f>
        <v>0</v>
      </c>
      <c r="AB1176" s="8">
        <f>_xlfn.XLOOKUP(CustomerCombined[[#This Row],[ID]], Table2[ID],Table2[MC4], "Not Found", 0 )</f>
        <v>1</v>
      </c>
      <c r="AC1176" s="8">
        <f>_xlfn.XLOOKUP(CustomerCombined[[#This Row],[ID]], Table2[ID],Table2[MC5], "Not Found", 0 )</f>
        <v>0</v>
      </c>
    </row>
    <row r="1177" spans="1:29" x14ac:dyDescent="0.3">
      <c r="A1177" s="6">
        <v>1236</v>
      </c>
      <c r="B1177" s="6">
        <v>165176</v>
      </c>
      <c r="C1177" s="6">
        <v>0</v>
      </c>
      <c r="D1177" s="6">
        <v>1</v>
      </c>
      <c r="E1177" s="6">
        <v>51</v>
      </c>
      <c r="F1177" s="5" t="s">
        <v>8</v>
      </c>
      <c r="G1177" s="5" t="s">
        <v>12</v>
      </c>
      <c r="H1177" s="3">
        <v>43589</v>
      </c>
      <c r="I1177" s="5" t="s">
        <v>436</v>
      </c>
      <c r="J1177" s="5">
        <f>_xlfn.XLOOKUP(CustomerCombined[[#This Row],[ID]], Table4[ID], Table4[Recency], "Not Found", 0)</f>
        <v>57</v>
      </c>
      <c r="K1177" s="5">
        <f>_xlfn.XLOOKUP(CustomerCombined[[#This Row],[ID]], Table4[ID], Table4[Teas], "Not Found", 0)</f>
        <v>2433</v>
      </c>
      <c r="L1177" s="5">
        <f>_xlfn.XLOOKUP(CustomerCombined[[#This Row],[ID]], Table4[ID], Table4[Fruits], "Not Found", 0)</f>
        <v>71</v>
      </c>
      <c r="M1177" s="5">
        <f>_xlfn.XLOOKUP(CustomerCombined[[#This Row],[ID]], Table4[ID], Table4[Meats], "Not Found", 0)</f>
        <v>464</v>
      </c>
      <c r="N1177" s="5">
        <f>_xlfn.XLOOKUP(CustomerCombined[[#This Row],[ID]], Table4[ID], Table4[Seafood], "Not Found", 0)</f>
        <v>558</v>
      </c>
      <c r="O1177" s="5">
        <f>_xlfn.XLOOKUP(CustomerCombined[[#This Row],[ID]], Table4[ID], Table4[Sweets], "Not Found", 0)</f>
        <v>177</v>
      </c>
      <c r="P1177" s="5">
        <f>_xlfn.XLOOKUP(CustomerCombined[[#This Row],[ID]], Table4[ID], Table4[Premium], "Not Found", 0)</f>
        <v>177</v>
      </c>
      <c r="Q1177" s="5">
        <f>_xlfn.XLOOKUP(CustomerCombined[[#This Row],[ID]], Table4[ID], Table4[Regular], "Not Found", 0)</f>
        <v>3525</v>
      </c>
      <c r="R1177" s="5">
        <f>_xlfn.XLOOKUP(CustomerCombined[[#This Row],[ID]], Table4[ID], Table4[Deals], "Not Found", 0)</f>
        <v>4</v>
      </c>
      <c r="S1177" s="5">
        <f>_xlfn.XLOOKUP(CustomerCombined[[#This Row],[ID]], Table4[ID], Table4[Website], "Not Found", 0)</f>
        <v>9</v>
      </c>
      <c r="T1177" s="5">
        <f>_xlfn.XLOOKUP(CustomerCombined[[#This Row],[ID]], Table4[ID], Table4[Catalog], "Not Found", 0)</f>
        <v>6</v>
      </c>
      <c r="U1177" s="5">
        <f>_xlfn.XLOOKUP(CustomerCombined[[#This Row],[ID]], Table4[ID], Table4[Store], "Not Found", 0)</f>
        <v>6</v>
      </c>
      <c r="V1177" s="5">
        <f>_xlfn.XLOOKUP(CustomerCombined[[#This Row],[ID]], Table4[ID], Table4[Visits], "Not Found", 0)</f>
        <v>6</v>
      </c>
      <c r="W1177" s="8">
        <f>_xlfn.XLOOKUP(CustomerCombined[[#This Row],[ID]], Table2[ID],Table2[Complaint], "Not Found", 0 )</f>
        <v>0</v>
      </c>
      <c r="X1177" s="8">
        <f>_xlfn.XLOOKUP(CustomerCombined[[#This Row],[ID]], Table2[ID],Table2[Pilot], "Not Found", 0 )</f>
        <v>0</v>
      </c>
      <c r="Y1177" s="8">
        <f>_xlfn.XLOOKUP(CustomerCombined[[#This Row],[ID]], Table2[ID],Table2[MC1], "Not Found", 0 )</f>
        <v>0</v>
      </c>
      <c r="Z1177" s="8">
        <f>_xlfn.XLOOKUP(CustomerCombined[[#This Row],[ID]], Table2[ID],Table2[MC2], "Not Found", 0 )</f>
        <v>0</v>
      </c>
      <c r="AA1177" s="8">
        <f>_xlfn.XLOOKUP(CustomerCombined[[#This Row],[ID]], Table2[ID],Table2[MC3], "Not Found", 0 )</f>
        <v>0</v>
      </c>
      <c r="AB1177" s="8">
        <f>_xlfn.XLOOKUP(CustomerCombined[[#This Row],[ID]], Table2[ID],Table2[MC4], "Not Found", 0 )</f>
        <v>0</v>
      </c>
      <c r="AC1177" s="8">
        <f>_xlfn.XLOOKUP(CustomerCombined[[#This Row],[ID]], Table2[ID],Table2[MC5], "Not Found", 0 )</f>
        <v>0</v>
      </c>
    </row>
    <row r="1178" spans="1:29" x14ac:dyDescent="0.3">
      <c r="A1178" s="6">
        <v>1720</v>
      </c>
      <c r="B1178" s="6">
        <v>162882</v>
      </c>
      <c r="C1178" s="6">
        <v>0</v>
      </c>
      <c r="D1178" s="6">
        <v>1</v>
      </c>
      <c r="E1178" s="6">
        <v>51</v>
      </c>
      <c r="F1178" s="5" t="s">
        <v>8</v>
      </c>
      <c r="G1178" s="5" t="s">
        <v>11</v>
      </c>
      <c r="H1178" s="3" t="s">
        <v>419</v>
      </c>
      <c r="I1178" s="5" t="s">
        <v>439</v>
      </c>
      <c r="J1178" s="5">
        <f>_xlfn.XLOOKUP(CustomerCombined[[#This Row],[ID]], Table4[ID], Table4[Recency], "Not Found", 0)</f>
        <v>26</v>
      </c>
      <c r="K1178" s="5">
        <f>_xlfn.XLOOKUP(CustomerCombined[[#This Row],[ID]], Table4[ID], Table4[Teas], "Not Found", 0)</f>
        <v>1318</v>
      </c>
      <c r="L1178" s="5">
        <f>_xlfn.XLOOKUP(CustomerCombined[[#This Row],[ID]], Table4[ID], Table4[Fruits], "Not Found", 0)</f>
        <v>345</v>
      </c>
      <c r="M1178" s="5">
        <f>_xlfn.XLOOKUP(CustomerCombined[[#This Row],[ID]], Table4[ID], Table4[Meats], "Not Found", 0)</f>
        <v>1287</v>
      </c>
      <c r="N1178" s="5">
        <f>_xlfn.XLOOKUP(CustomerCombined[[#This Row],[ID]], Table4[ID], Table4[Seafood], "Not Found", 0)</f>
        <v>202</v>
      </c>
      <c r="O1178" s="5">
        <f>_xlfn.XLOOKUP(CustomerCombined[[#This Row],[ID]], Table4[ID], Table4[Sweets], "Not Found", 0)</f>
        <v>62</v>
      </c>
      <c r="P1178" s="5">
        <f>_xlfn.XLOOKUP(CustomerCombined[[#This Row],[ID]], Table4[ID], Table4[Premium], "Not Found", 0)</f>
        <v>251</v>
      </c>
      <c r="Q1178" s="5">
        <f>_xlfn.XLOOKUP(CustomerCombined[[#This Row],[ID]], Table4[ID], Table4[Regular], "Not Found", 0)</f>
        <v>2963</v>
      </c>
      <c r="R1178" s="5">
        <f>_xlfn.XLOOKUP(CustomerCombined[[#This Row],[ID]], Table4[ID], Table4[Deals], "Not Found", 0)</f>
        <v>2</v>
      </c>
      <c r="S1178" s="5">
        <f>_xlfn.XLOOKUP(CustomerCombined[[#This Row],[ID]], Table4[ID], Table4[Website], "Not Found", 0)</f>
        <v>7</v>
      </c>
      <c r="T1178" s="5">
        <f>_xlfn.XLOOKUP(CustomerCombined[[#This Row],[ID]], Table4[ID], Table4[Catalog], "Not Found", 0)</f>
        <v>5</v>
      </c>
      <c r="U1178" s="5">
        <f>_xlfn.XLOOKUP(CustomerCombined[[#This Row],[ID]], Table4[ID], Table4[Store], "Not Found", 0)</f>
        <v>6</v>
      </c>
      <c r="V1178" s="5">
        <f>_xlfn.XLOOKUP(CustomerCombined[[#This Row],[ID]], Table4[ID], Table4[Visits], "Not Found", 0)</f>
        <v>4</v>
      </c>
      <c r="W1178" s="8">
        <f>_xlfn.XLOOKUP(CustomerCombined[[#This Row],[ID]], Table2[ID],Table2[Complaint], "Not Found", 0 )</f>
        <v>0</v>
      </c>
      <c r="X1178" s="8">
        <f>_xlfn.XLOOKUP(CustomerCombined[[#This Row],[ID]], Table2[ID],Table2[Pilot], "Not Found", 0 )</f>
        <v>0</v>
      </c>
      <c r="Y1178" s="8">
        <f>_xlfn.XLOOKUP(CustomerCombined[[#This Row],[ID]], Table2[ID],Table2[MC1], "Not Found", 0 )</f>
        <v>0</v>
      </c>
      <c r="Z1178" s="8">
        <f>_xlfn.XLOOKUP(CustomerCombined[[#This Row],[ID]], Table2[ID],Table2[MC2], "Not Found", 0 )</f>
        <v>0</v>
      </c>
      <c r="AA1178" s="8">
        <f>_xlfn.XLOOKUP(CustomerCombined[[#This Row],[ID]], Table2[ID],Table2[MC3], "Not Found", 0 )</f>
        <v>0</v>
      </c>
      <c r="AB1178" s="8">
        <f>_xlfn.XLOOKUP(CustomerCombined[[#This Row],[ID]], Table2[ID],Table2[MC4], "Not Found", 0 )</f>
        <v>0</v>
      </c>
      <c r="AC1178" s="8">
        <f>_xlfn.XLOOKUP(CustomerCombined[[#This Row],[ID]], Table2[ID],Table2[MC5], "Not Found", 0 )</f>
        <v>0</v>
      </c>
    </row>
    <row r="1179" spans="1:29" x14ac:dyDescent="0.3">
      <c r="A1179" s="6">
        <v>2858</v>
      </c>
      <c r="B1179" s="6">
        <v>162772</v>
      </c>
      <c r="C1179" s="6">
        <v>0</v>
      </c>
      <c r="D1179" s="6">
        <v>1</v>
      </c>
      <c r="E1179" s="6">
        <v>51</v>
      </c>
      <c r="F1179" s="5" t="s">
        <v>7</v>
      </c>
      <c r="G1179" s="5" t="s">
        <v>12</v>
      </c>
      <c r="H1179" s="3" t="s">
        <v>252</v>
      </c>
      <c r="I1179" s="5" t="s">
        <v>438</v>
      </c>
      <c r="J1179" s="5">
        <f>_xlfn.XLOOKUP(CustomerCombined[[#This Row],[ID]], Table4[ID], Table4[Recency], "Not Found", 0)</f>
        <v>74</v>
      </c>
      <c r="K1179" s="5">
        <f>_xlfn.XLOOKUP(CustomerCombined[[#This Row],[ID]], Table4[ID], Table4[Teas], "Not Found", 0)</f>
        <v>1507</v>
      </c>
      <c r="L1179" s="5">
        <f>_xlfn.XLOOKUP(CustomerCombined[[#This Row],[ID]], Table4[ID], Table4[Fruits], "Not Found", 0)</f>
        <v>127</v>
      </c>
      <c r="M1179" s="5">
        <f>_xlfn.XLOOKUP(CustomerCombined[[#This Row],[ID]], Table4[ID], Table4[Meats], "Not Found", 0)</f>
        <v>407</v>
      </c>
      <c r="N1179" s="5">
        <f>_xlfn.XLOOKUP(CustomerCombined[[#This Row],[ID]], Table4[ID], Table4[Seafood], "Not Found", 0)</f>
        <v>112</v>
      </c>
      <c r="O1179" s="5">
        <f>_xlfn.XLOOKUP(CustomerCombined[[#This Row],[ID]], Table4[ID], Table4[Sweets], "Not Found", 0)</f>
        <v>21</v>
      </c>
      <c r="P1179" s="5">
        <f>_xlfn.XLOOKUP(CustomerCombined[[#This Row],[ID]], Table4[ID], Table4[Premium], "Not Found", 0)</f>
        <v>280</v>
      </c>
      <c r="Q1179" s="5">
        <f>_xlfn.XLOOKUP(CustomerCombined[[#This Row],[ID]], Table4[ID], Table4[Regular], "Not Found", 0)</f>
        <v>1893</v>
      </c>
      <c r="R1179" s="5">
        <f>_xlfn.XLOOKUP(CustomerCombined[[#This Row],[ID]], Table4[ID], Table4[Deals], "Not Found", 0)</f>
        <v>1</v>
      </c>
      <c r="S1179" s="5">
        <f>_xlfn.XLOOKUP(CustomerCombined[[#This Row],[ID]], Table4[ID], Table4[Website], "Not Found", 0)</f>
        <v>5</v>
      </c>
      <c r="T1179" s="5">
        <f>_xlfn.XLOOKUP(CustomerCombined[[#This Row],[ID]], Table4[ID], Table4[Catalog], "Not Found", 0)</f>
        <v>6</v>
      </c>
      <c r="U1179" s="5">
        <f>_xlfn.XLOOKUP(CustomerCombined[[#This Row],[ID]], Table4[ID], Table4[Store], "Not Found", 0)</f>
        <v>11</v>
      </c>
      <c r="V1179" s="5">
        <f>_xlfn.XLOOKUP(CustomerCombined[[#This Row],[ID]], Table4[ID], Table4[Visits], "Not Found", 0)</f>
        <v>2</v>
      </c>
      <c r="W1179" s="8">
        <f>_xlfn.XLOOKUP(CustomerCombined[[#This Row],[ID]], Table2[ID],Table2[Complaint], "Not Found", 0 )</f>
        <v>0</v>
      </c>
      <c r="X1179" s="8">
        <f>_xlfn.XLOOKUP(CustomerCombined[[#This Row],[ID]], Table2[ID],Table2[Pilot], "Not Found", 0 )</f>
        <v>0</v>
      </c>
      <c r="Y1179" s="8">
        <f>_xlfn.XLOOKUP(CustomerCombined[[#This Row],[ID]], Table2[ID],Table2[MC1], "Not Found", 0 )</f>
        <v>0</v>
      </c>
      <c r="Z1179" s="8">
        <f>_xlfn.XLOOKUP(CustomerCombined[[#This Row],[ID]], Table2[ID],Table2[MC2], "Not Found", 0 )</f>
        <v>0</v>
      </c>
      <c r="AA1179" s="8">
        <f>_xlfn.XLOOKUP(CustomerCombined[[#This Row],[ID]], Table2[ID],Table2[MC3], "Not Found", 0 )</f>
        <v>0</v>
      </c>
      <c r="AB1179" s="8">
        <f>_xlfn.XLOOKUP(CustomerCombined[[#This Row],[ID]], Table2[ID],Table2[MC4], "Not Found", 0 )</f>
        <v>1</v>
      </c>
      <c r="AC1179" s="8">
        <f>_xlfn.XLOOKUP(CustomerCombined[[#This Row],[ID]], Table2[ID],Table2[MC5], "Not Found", 0 )</f>
        <v>0</v>
      </c>
    </row>
    <row r="1180" spans="1:29" x14ac:dyDescent="0.3">
      <c r="A1180" s="6">
        <v>1345</v>
      </c>
      <c r="B1180" s="6">
        <v>162187</v>
      </c>
      <c r="C1180" s="6">
        <v>0</v>
      </c>
      <c r="D1180" s="6">
        <v>1</v>
      </c>
      <c r="E1180" s="6">
        <v>51</v>
      </c>
      <c r="F1180" s="5" t="s">
        <v>9</v>
      </c>
      <c r="G1180" s="5" t="s">
        <v>13</v>
      </c>
      <c r="H1180" s="3" t="s">
        <v>79</v>
      </c>
      <c r="I1180" s="5" t="s">
        <v>437</v>
      </c>
      <c r="J1180" s="5">
        <f>_xlfn.XLOOKUP(CustomerCombined[[#This Row],[ID]], Table4[ID], Table4[Recency], "Not Found", 0)</f>
        <v>38</v>
      </c>
      <c r="K1180" s="5">
        <f>_xlfn.XLOOKUP(CustomerCombined[[#This Row],[ID]], Table4[ID], Table4[Teas], "Not Found", 0)</f>
        <v>1335</v>
      </c>
      <c r="L1180" s="5">
        <f>_xlfn.XLOOKUP(CustomerCombined[[#This Row],[ID]], Table4[ID], Table4[Fruits], "Not Found", 0)</f>
        <v>0</v>
      </c>
      <c r="M1180" s="5">
        <f>_xlfn.XLOOKUP(CustomerCombined[[#This Row],[ID]], Table4[ID], Table4[Meats], "Not Found", 0)</f>
        <v>216</v>
      </c>
      <c r="N1180" s="5">
        <f>_xlfn.XLOOKUP(CustomerCombined[[#This Row],[ID]], Table4[ID], Table4[Seafood], "Not Found", 0)</f>
        <v>0</v>
      </c>
      <c r="O1180" s="5">
        <f>_xlfn.XLOOKUP(CustomerCombined[[#This Row],[ID]], Table4[ID], Table4[Sweets], "Not Found", 0)</f>
        <v>0</v>
      </c>
      <c r="P1180" s="5">
        <f>_xlfn.XLOOKUP(CustomerCombined[[#This Row],[ID]], Table4[ID], Table4[Premium], "Not Found", 0)</f>
        <v>107</v>
      </c>
      <c r="Q1180" s="5">
        <f>_xlfn.XLOOKUP(CustomerCombined[[#This Row],[ID]], Table4[ID], Table4[Regular], "Not Found", 0)</f>
        <v>1445</v>
      </c>
      <c r="R1180" s="5">
        <f>_xlfn.XLOOKUP(CustomerCombined[[#This Row],[ID]], Table4[ID], Table4[Deals], "Not Found", 0)</f>
        <v>3</v>
      </c>
      <c r="S1180" s="5">
        <f>_xlfn.XLOOKUP(CustomerCombined[[#This Row],[ID]], Table4[ID], Table4[Website], "Not Found", 0)</f>
        <v>6</v>
      </c>
      <c r="T1180" s="5">
        <f>_xlfn.XLOOKUP(CustomerCombined[[#This Row],[ID]], Table4[ID], Table4[Catalog], "Not Found", 0)</f>
        <v>2</v>
      </c>
      <c r="U1180" s="5">
        <f>_xlfn.XLOOKUP(CustomerCombined[[#This Row],[ID]], Table4[ID], Table4[Store], "Not Found", 0)</f>
        <v>10</v>
      </c>
      <c r="V1180" s="5">
        <f>_xlfn.XLOOKUP(CustomerCombined[[#This Row],[ID]], Table4[ID], Table4[Visits], "Not Found", 0)</f>
        <v>4</v>
      </c>
      <c r="W1180" s="8">
        <f>_xlfn.XLOOKUP(CustomerCombined[[#This Row],[ID]], Table2[ID],Table2[Complaint], "Not Found", 0 )</f>
        <v>0</v>
      </c>
      <c r="X1180" s="8">
        <f>_xlfn.XLOOKUP(CustomerCombined[[#This Row],[ID]], Table2[ID],Table2[Pilot], "Not Found", 0 )</f>
        <v>0</v>
      </c>
      <c r="Y1180" s="8">
        <f>_xlfn.XLOOKUP(CustomerCombined[[#This Row],[ID]], Table2[ID],Table2[MC1], "Not Found", 0 )</f>
        <v>0</v>
      </c>
      <c r="Z1180" s="8">
        <f>_xlfn.XLOOKUP(CustomerCombined[[#This Row],[ID]], Table2[ID],Table2[MC2], "Not Found", 0 )</f>
        <v>0</v>
      </c>
      <c r="AA1180" s="8">
        <f>_xlfn.XLOOKUP(CustomerCombined[[#This Row],[ID]], Table2[ID],Table2[MC3], "Not Found", 0 )</f>
        <v>0</v>
      </c>
      <c r="AB1180" s="8">
        <f>_xlfn.XLOOKUP(CustomerCombined[[#This Row],[ID]], Table2[ID],Table2[MC4], "Not Found", 0 )</f>
        <v>0</v>
      </c>
      <c r="AC1180" s="8">
        <f>_xlfn.XLOOKUP(CustomerCombined[[#This Row],[ID]], Table2[ID],Table2[MC5], "Not Found", 0 )</f>
        <v>0</v>
      </c>
    </row>
    <row r="1181" spans="1:29" x14ac:dyDescent="0.3">
      <c r="A1181" s="6">
        <v>1885</v>
      </c>
      <c r="B1181" s="6">
        <v>158917</v>
      </c>
      <c r="C1181" s="6">
        <v>1</v>
      </c>
      <c r="D1181" s="6">
        <v>2</v>
      </c>
      <c r="E1181" s="6">
        <v>51</v>
      </c>
      <c r="F1181" s="5" t="s">
        <v>8</v>
      </c>
      <c r="G1181" s="5" t="s">
        <v>11</v>
      </c>
      <c r="H1181" s="3" t="s">
        <v>284</v>
      </c>
      <c r="I1181" s="5" t="s">
        <v>437</v>
      </c>
      <c r="J1181" s="5">
        <f>_xlfn.XLOOKUP(CustomerCombined[[#This Row],[ID]], Table4[ID], Table4[Recency], "Not Found", 0)</f>
        <v>10</v>
      </c>
      <c r="K1181" s="5">
        <f>_xlfn.XLOOKUP(CustomerCombined[[#This Row],[ID]], Table4[ID], Table4[Teas], "Not Found", 0)</f>
        <v>407</v>
      </c>
      <c r="L1181" s="5">
        <f>_xlfn.XLOOKUP(CustomerCombined[[#This Row],[ID]], Table4[ID], Table4[Fruits], "Not Found", 0)</f>
        <v>19</v>
      </c>
      <c r="M1181" s="5">
        <f>_xlfn.XLOOKUP(CustomerCombined[[#This Row],[ID]], Table4[ID], Table4[Meats], "Not Found", 0)</f>
        <v>240</v>
      </c>
      <c r="N1181" s="5">
        <f>_xlfn.XLOOKUP(CustomerCombined[[#This Row],[ID]], Table4[ID], Table4[Seafood], "Not Found", 0)</f>
        <v>0</v>
      </c>
      <c r="O1181" s="5">
        <f>_xlfn.XLOOKUP(CustomerCombined[[#This Row],[ID]], Table4[ID], Table4[Sweets], "Not Found", 0)</f>
        <v>19</v>
      </c>
      <c r="P1181" s="5">
        <f>_xlfn.XLOOKUP(CustomerCombined[[#This Row],[ID]], Table4[ID], Table4[Premium], "Not Found", 0)</f>
        <v>76</v>
      </c>
      <c r="Q1181" s="5">
        <f>_xlfn.XLOOKUP(CustomerCombined[[#This Row],[ID]], Table4[ID], Table4[Regular], "Not Found", 0)</f>
        <v>610</v>
      </c>
      <c r="R1181" s="5">
        <f>_xlfn.XLOOKUP(CustomerCombined[[#This Row],[ID]], Table4[ID], Table4[Deals], "Not Found", 0)</f>
        <v>5</v>
      </c>
      <c r="S1181" s="5">
        <f>_xlfn.XLOOKUP(CustomerCombined[[#This Row],[ID]], Table4[ID], Table4[Website], "Not Found", 0)</f>
        <v>4</v>
      </c>
      <c r="T1181" s="5">
        <f>_xlfn.XLOOKUP(CustomerCombined[[#This Row],[ID]], Table4[ID], Table4[Catalog], "Not Found", 0)</f>
        <v>1</v>
      </c>
      <c r="U1181" s="5">
        <f>_xlfn.XLOOKUP(CustomerCombined[[#This Row],[ID]], Table4[ID], Table4[Store], "Not Found", 0)</f>
        <v>6</v>
      </c>
      <c r="V1181" s="5">
        <f>_xlfn.XLOOKUP(CustomerCombined[[#This Row],[ID]], Table4[ID], Table4[Visits], "Not Found", 0)</f>
        <v>5</v>
      </c>
      <c r="W1181" s="8">
        <f>_xlfn.XLOOKUP(CustomerCombined[[#This Row],[ID]], Table2[ID],Table2[Complaint], "Not Found", 0 )</f>
        <v>0</v>
      </c>
      <c r="X1181" s="8">
        <f>_xlfn.XLOOKUP(CustomerCombined[[#This Row],[ID]], Table2[ID],Table2[Pilot], "Not Found", 0 )</f>
        <v>0</v>
      </c>
      <c r="Y1181" s="8">
        <f>_xlfn.XLOOKUP(CustomerCombined[[#This Row],[ID]], Table2[ID],Table2[MC1], "Not Found", 0 )</f>
        <v>0</v>
      </c>
      <c r="Z1181" s="8">
        <f>_xlfn.XLOOKUP(CustomerCombined[[#This Row],[ID]], Table2[ID],Table2[MC2], "Not Found", 0 )</f>
        <v>0</v>
      </c>
      <c r="AA1181" s="8">
        <f>_xlfn.XLOOKUP(CustomerCombined[[#This Row],[ID]], Table2[ID],Table2[MC3], "Not Found", 0 )</f>
        <v>0</v>
      </c>
      <c r="AB1181" s="8">
        <f>_xlfn.XLOOKUP(CustomerCombined[[#This Row],[ID]], Table2[ID],Table2[MC4], "Not Found", 0 )</f>
        <v>0</v>
      </c>
      <c r="AC1181" s="8">
        <f>_xlfn.XLOOKUP(CustomerCombined[[#This Row],[ID]], Table2[ID],Table2[MC5], "Not Found", 0 )</f>
        <v>0</v>
      </c>
    </row>
    <row r="1182" spans="1:29" x14ac:dyDescent="0.3">
      <c r="A1182" s="6">
        <v>2719</v>
      </c>
      <c r="B1182" s="6">
        <v>158086</v>
      </c>
      <c r="C1182" s="6">
        <v>0</v>
      </c>
      <c r="D1182" s="6">
        <v>1</v>
      </c>
      <c r="E1182" s="6">
        <v>51</v>
      </c>
      <c r="F1182" s="5" t="s">
        <v>5</v>
      </c>
      <c r="G1182" s="5" t="s">
        <v>13</v>
      </c>
      <c r="H1182" s="3" t="s">
        <v>321</v>
      </c>
      <c r="I1182" s="5" t="s">
        <v>437</v>
      </c>
      <c r="J1182" s="5">
        <f>_xlfn.XLOOKUP(CustomerCombined[[#This Row],[ID]], Table4[ID], Table4[Recency], "Not Found", 0)</f>
        <v>80</v>
      </c>
      <c r="K1182" s="5">
        <f>_xlfn.XLOOKUP(CustomerCombined[[#This Row],[ID]], Table4[ID], Table4[Teas], "Not Found", 0)</f>
        <v>1927</v>
      </c>
      <c r="L1182" s="5">
        <f>_xlfn.XLOOKUP(CustomerCombined[[#This Row],[ID]], Table4[ID], Table4[Fruits], "Not Found", 0)</f>
        <v>19</v>
      </c>
      <c r="M1182" s="5">
        <f>_xlfn.XLOOKUP(CustomerCombined[[#This Row],[ID]], Table4[ID], Table4[Meats], "Not Found", 0)</f>
        <v>169</v>
      </c>
      <c r="N1182" s="5">
        <f>_xlfn.XLOOKUP(CustomerCombined[[#This Row],[ID]], Table4[ID], Table4[Seafood], "Not Found", 0)</f>
        <v>0</v>
      </c>
      <c r="O1182" s="5">
        <f>_xlfn.XLOOKUP(CustomerCombined[[#This Row],[ID]], Table4[ID], Table4[Sweets], "Not Found", 0)</f>
        <v>0</v>
      </c>
      <c r="P1182" s="5">
        <f>_xlfn.XLOOKUP(CustomerCombined[[#This Row],[ID]], Table4[ID], Table4[Premium], "Not Found", 0)</f>
        <v>41</v>
      </c>
      <c r="Q1182" s="5">
        <f>_xlfn.XLOOKUP(CustomerCombined[[#This Row],[ID]], Table4[ID], Table4[Regular], "Not Found", 0)</f>
        <v>2074</v>
      </c>
      <c r="R1182" s="5">
        <f>_xlfn.XLOOKUP(CustomerCombined[[#This Row],[ID]], Table4[ID], Table4[Deals], "Not Found", 0)</f>
        <v>2</v>
      </c>
      <c r="S1182" s="5">
        <f>_xlfn.XLOOKUP(CustomerCombined[[#This Row],[ID]], Table4[ID], Table4[Website], "Not Found", 0)</f>
        <v>11</v>
      </c>
      <c r="T1182" s="5">
        <f>_xlfn.XLOOKUP(CustomerCombined[[#This Row],[ID]], Table4[ID], Table4[Catalog], "Not Found", 0)</f>
        <v>3</v>
      </c>
      <c r="U1182" s="5">
        <f>_xlfn.XLOOKUP(CustomerCombined[[#This Row],[ID]], Table4[ID], Table4[Store], "Not Found", 0)</f>
        <v>7</v>
      </c>
      <c r="V1182" s="5">
        <f>_xlfn.XLOOKUP(CustomerCombined[[#This Row],[ID]], Table4[ID], Table4[Visits], "Not Found", 0)</f>
        <v>8</v>
      </c>
      <c r="W1182" s="8">
        <f>_xlfn.XLOOKUP(CustomerCombined[[#This Row],[ID]], Table2[ID],Table2[Complaint], "Not Found", 0 )</f>
        <v>0</v>
      </c>
      <c r="X1182" s="8">
        <f>_xlfn.XLOOKUP(CustomerCombined[[#This Row],[ID]], Table2[ID],Table2[Pilot], "Not Found", 0 )</f>
        <v>0</v>
      </c>
      <c r="Y1182" s="8">
        <f>_xlfn.XLOOKUP(CustomerCombined[[#This Row],[ID]], Table2[ID],Table2[MC1], "Not Found", 0 )</f>
        <v>0</v>
      </c>
      <c r="Z1182" s="8">
        <f>_xlfn.XLOOKUP(CustomerCombined[[#This Row],[ID]], Table2[ID],Table2[MC2], "Not Found", 0 )</f>
        <v>0</v>
      </c>
      <c r="AA1182" s="8">
        <f>_xlfn.XLOOKUP(CustomerCombined[[#This Row],[ID]], Table2[ID],Table2[MC3], "Not Found", 0 )</f>
        <v>0</v>
      </c>
      <c r="AB1182" s="8">
        <f>_xlfn.XLOOKUP(CustomerCombined[[#This Row],[ID]], Table2[ID],Table2[MC4], "Not Found", 0 )</f>
        <v>0</v>
      </c>
      <c r="AC1182" s="8">
        <f>_xlfn.XLOOKUP(CustomerCombined[[#This Row],[ID]], Table2[ID],Table2[MC5], "Not Found", 0 )</f>
        <v>0</v>
      </c>
    </row>
    <row r="1183" spans="1:29" x14ac:dyDescent="0.3">
      <c r="A1183" s="6">
        <v>3169</v>
      </c>
      <c r="B1183" s="6">
        <v>157731</v>
      </c>
      <c r="C1183" s="6">
        <v>0</v>
      </c>
      <c r="D1183" s="6">
        <v>1</v>
      </c>
      <c r="E1183" s="6">
        <v>51</v>
      </c>
      <c r="F1183" s="5" t="s">
        <v>7</v>
      </c>
      <c r="G1183" s="5" t="s">
        <v>11</v>
      </c>
      <c r="H1183" s="3" t="s">
        <v>353</v>
      </c>
      <c r="I1183" s="5" t="s">
        <v>437</v>
      </c>
      <c r="J1183" s="5">
        <f>_xlfn.XLOOKUP(CustomerCombined[[#This Row],[ID]], Table4[ID], Table4[Recency], "Not Found", 0)</f>
        <v>0</v>
      </c>
      <c r="K1183" s="5">
        <f>_xlfn.XLOOKUP(CustomerCombined[[#This Row],[ID]], Table4[ID], Table4[Teas], "Not Found", 0)</f>
        <v>727</v>
      </c>
      <c r="L1183" s="5">
        <f>_xlfn.XLOOKUP(CustomerCombined[[#This Row],[ID]], Table4[ID], Table4[Fruits], "Not Found", 0)</f>
        <v>57</v>
      </c>
      <c r="M1183" s="5">
        <f>_xlfn.XLOOKUP(CustomerCombined[[#This Row],[ID]], Table4[ID], Table4[Meats], "Not Found", 0)</f>
        <v>820</v>
      </c>
      <c r="N1183" s="5">
        <f>_xlfn.XLOOKUP(CustomerCombined[[#This Row],[ID]], Table4[ID], Table4[Seafood], "Not Found", 0)</f>
        <v>178</v>
      </c>
      <c r="O1183" s="5">
        <f>_xlfn.XLOOKUP(CustomerCombined[[#This Row],[ID]], Table4[ID], Table4[Sweets], "Not Found", 0)</f>
        <v>22</v>
      </c>
      <c r="P1183" s="5">
        <f>_xlfn.XLOOKUP(CustomerCombined[[#This Row],[ID]], Table4[ID], Table4[Premium], "Not Found", 0)</f>
        <v>120</v>
      </c>
      <c r="Q1183" s="5">
        <f>_xlfn.XLOOKUP(CustomerCombined[[#This Row],[ID]], Table4[ID], Table4[Regular], "Not Found", 0)</f>
        <v>1683</v>
      </c>
      <c r="R1183" s="5">
        <f>_xlfn.XLOOKUP(CustomerCombined[[#This Row],[ID]], Table4[ID], Table4[Deals], "Not Found", 0)</f>
        <v>4</v>
      </c>
      <c r="S1183" s="5">
        <f>_xlfn.XLOOKUP(CustomerCombined[[#This Row],[ID]], Table4[ID], Table4[Website], "Not Found", 0)</f>
        <v>8</v>
      </c>
      <c r="T1183" s="5">
        <f>_xlfn.XLOOKUP(CustomerCombined[[#This Row],[ID]], Table4[ID], Table4[Catalog], "Not Found", 0)</f>
        <v>8</v>
      </c>
      <c r="U1183" s="5">
        <f>_xlfn.XLOOKUP(CustomerCombined[[#This Row],[ID]], Table4[ID], Table4[Store], "Not Found", 0)</f>
        <v>6</v>
      </c>
      <c r="V1183" s="5">
        <f>_xlfn.XLOOKUP(CustomerCombined[[#This Row],[ID]], Table4[ID], Table4[Visits], "Not Found", 0)</f>
        <v>6</v>
      </c>
      <c r="W1183" s="8">
        <f>_xlfn.XLOOKUP(CustomerCombined[[#This Row],[ID]], Table2[ID],Table2[Complaint], "Not Found", 0 )</f>
        <v>0</v>
      </c>
      <c r="X1183" s="8">
        <f>_xlfn.XLOOKUP(CustomerCombined[[#This Row],[ID]], Table2[ID],Table2[Pilot], "Not Found", 0 )</f>
        <v>0</v>
      </c>
      <c r="Y1183" s="8">
        <f>_xlfn.XLOOKUP(CustomerCombined[[#This Row],[ID]], Table2[ID],Table2[MC1], "Not Found", 0 )</f>
        <v>0</v>
      </c>
      <c r="Z1183" s="8">
        <f>_xlfn.XLOOKUP(CustomerCombined[[#This Row],[ID]], Table2[ID],Table2[MC2], "Not Found", 0 )</f>
        <v>0</v>
      </c>
      <c r="AA1183" s="8">
        <f>_xlfn.XLOOKUP(CustomerCombined[[#This Row],[ID]], Table2[ID],Table2[MC3], "Not Found", 0 )</f>
        <v>0</v>
      </c>
      <c r="AB1183" s="8">
        <f>_xlfn.XLOOKUP(CustomerCombined[[#This Row],[ID]], Table2[ID],Table2[MC4], "Not Found", 0 )</f>
        <v>0</v>
      </c>
      <c r="AC1183" s="8">
        <f>_xlfn.XLOOKUP(CustomerCombined[[#This Row],[ID]], Table2[ID],Table2[MC5], "Not Found", 0 )</f>
        <v>0</v>
      </c>
    </row>
    <row r="1184" spans="1:29" x14ac:dyDescent="0.3">
      <c r="A1184" s="6">
        <v>1435</v>
      </c>
      <c r="B1184" s="6">
        <v>156796</v>
      </c>
      <c r="C1184" s="6">
        <v>0</v>
      </c>
      <c r="D1184" s="6">
        <v>1</v>
      </c>
      <c r="E1184" s="6">
        <v>51</v>
      </c>
      <c r="F1184" s="5" t="s">
        <v>6</v>
      </c>
      <c r="G1184" s="5" t="s">
        <v>11</v>
      </c>
      <c r="H1184" s="3" t="s">
        <v>307</v>
      </c>
      <c r="I1184" s="5" t="s">
        <v>437</v>
      </c>
      <c r="J1184" s="5">
        <f>_xlfn.XLOOKUP(CustomerCombined[[#This Row],[ID]], Table4[ID], Table4[Recency], "Not Found", 0)</f>
        <v>24</v>
      </c>
      <c r="K1184" s="5">
        <f>_xlfn.XLOOKUP(CustomerCombined[[#This Row],[ID]], Table4[ID], Table4[Teas], "Not Found", 0)</f>
        <v>1811</v>
      </c>
      <c r="L1184" s="5">
        <f>_xlfn.XLOOKUP(CustomerCombined[[#This Row],[ID]], Table4[ID], Table4[Fruits], "Not Found", 0)</f>
        <v>105</v>
      </c>
      <c r="M1184" s="5">
        <f>_xlfn.XLOOKUP(CustomerCombined[[#This Row],[ID]], Table4[ID], Table4[Meats], "Not Found", 0)</f>
        <v>444</v>
      </c>
      <c r="N1184" s="5">
        <f>_xlfn.XLOOKUP(CustomerCombined[[#This Row],[ID]], Table4[ID], Table4[Seafood], "Not Found", 0)</f>
        <v>171</v>
      </c>
      <c r="O1184" s="5">
        <f>_xlfn.XLOOKUP(CustomerCombined[[#This Row],[ID]], Table4[ID], Table4[Sweets], "Not Found", 0)</f>
        <v>130</v>
      </c>
      <c r="P1184" s="5">
        <f>_xlfn.XLOOKUP(CustomerCombined[[#This Row],[ID]], Table4[ID], Table4[Premium], "Not Found", 0)</f>
        <v>102</v>
      </c>
      <c r="Q1184" s="5">
        <f>_xlfn.XLOOKUP(CustomerCombined[[#This Row],[ID]], Table4[ID], Table4[Regular], "Not Found", 0)</f>
        <v>2559</v>
      </c>
      <c r="R1184" s="5">
        <f>_xlfn.XLOOKUP(CustomerCombined[[#This Row],[ID]], Table4[ID], Table4[Deals], "Not Found", 0)</f>
        <v>3</v>
      </c>
      <c r="S1184" s="5">
        <f>_xlfn.XLOOKUP(CustomerCombined[[#This Row],[ID]], Table4[ID], Table4[Website], "Not Found", 0)</f>
        <v>8</v>
      </c>
      <c r="T1184" s="5">
        <f>_xlfn.XLOOKUP(CustomerCombined[[#This Row],[ID]], Table4[ID], Table4[Catalog], "Not Found", 0)</f>
        <v>9</v>
      </c>
      <c r="U1184" s="5">
        <f>_xlfn.XLOOKUP(CustomerCombined[[#This Row],[ID]], Table4[ID], Table4[Store], "Not Found", 0)</f>
        <v>7</v>
      </c>
      <c r="V1184" s="5">
        <f>_xlfn.XLOOKUP(CustomerCombined[[#This Row],[ID]], Table4[ID], Table4[Visits], "Not Found", 0)</f>
        <v>7</v>
      </c>
      <c r="W1184" s="8">
        <f>_xlfn.XLOOKUP(CustomerCombined[[#This Row],[ID]], Table2[ID],Table2[Complaint], "Not Found", 0 )</f>
        <v>0</v>
      </c>
      <c r="X1184" s="8">
        <f>_xlfn.XLOOKUP(CustomerCombined[[#This Row],[ID]], Table2[ID],Table2[Pilot], "Not Found", 0 )</f>
        <v>0</v>
      </c>
      <c r="Y1184" s="8">
        <f>_xlfn.XLOOKUP(CustomerCombined[[#This Row],[ID]], Table2[ID],Table2[MC1], "Not Found", 0 )</f>
        <v>0</v>
      </c>
      <c r="Z1184" s="8">
        <f>_xlfn.XLOOKUP(CustomerCombined[[#This Row],[ID]], Table2[ID],Table2[MC2], "Not Found", 0 )</f>
        <v>0</v>
      </c>
      <c r="AA1184" s="8">
        <f>_xlfn.XLOOKUP(CustomerCombined[[#This Row],[ID]], Table2[ID],Table2[MC3], "Not Found", 0 )</f>
        <v>0</v>
      </c>
      <c r="AB1184" s="8">
        <f>_xlfn.XLOOKUP(CustomerCombined[[#This Row],[ID]], Table2[ID],Table2[MC4], "Not Found", 0 )</f>
        <v>0</v>
      </c>
      <c r="AC1184" s="8">
        <f>_xlfn.XLOOKUP(CustomerCombined[[#This Row],[ID]], Table2[ID],Table2[MC5], "Not Found", 0 )</f>
        <v>0</v>
      </c>
    </row>
    <row r="1185" spans="1:29" x14ac:dyDescent="0.3">
      <c r="A1185" s="6">
        <v>3054</v>
      </c>
      <c r="B1185" s="6">
        <v>156796</v>
      </c>
      <c r="C1185" s="6">
        <v>0</v>
      </c>
      <c r="D1185" s="6">
        <v>1</v>
      </c>
      <c r="E1185" s="6">
        <v>51</v>
      </c>
      <c r="F1185" s="5" t="s">
        <v>6</v>
      </c>
      <c r="G1185" s="5" t="s">
        <v>11</v>
      </c>
      <c r="H1185" s="3" t="s">
        <v>307</v>
      </c>
      <c r="I1185" s="5" t="s">
        <v>436</v>
      </c>
      <c r="J1185" s="5">
        <f>_xlfn.XLOOKUP(CustomerCombined[[#This Row],[ID]], Table4[ID], Table4[Recency], "Not Found", 0)</f>
        <v>24</v>
      </c>
      <c r="K1185" s="5">
        <f>_xlfn.XLOOKUP(CustomerCombined[[#This Row],[ID]], Table4[ID], Table4[Teas], "Not Found", 0)</f>
        <v>1811</v>
      </c>
      <c r="L1185" s="5">
        <f>_xlfn.XLOOKUP(CustomerCombined[[#This Row],[ID]], Table4[ID], Table4[Fruits], "Not Found", 0)</f>
        <v>105</v>
      </c>
      <c r="M1185" s="5">
        <f>_xlfn.XLOOKUP(CustomerCombined[[#This Row],[ID]], Table4[ID], Table4[Meats], "Not Found", 0)</f>
        <v>444</v>
      </c>
      <c r="N1185" s="5">
        <f>_xlfn.XLOOKUP(CustomerCombined[[#This Row],[ID]], Table4[ID], Table4[Seafood], "Not Found", 0)</f>
        <v>171</v>
      </c>
      <c r="O1185" s="5">
        <f>_xlfn.XLOOKUP(CustomerCombined[[#This Row],[ID]], Table4[ID], Table4[Sweets], "Not Found", 0)</f>
        <v>130</v>
      </c>
      <c r="P1185" s="5">
        <f>_xlfn.XLOOKUP(CustomerCombined[[#This Row],[ID]], Table4[ID], Table4[Premium], "Not Found", 0)</f>
        <v>102</v>
      </c>
      <c r="Q1185" s="5">
        <f>_xlfn.XLOOKUP(CustomerCombined[[#This Row],[ID]], Table4[ID], Table4[Regular], "Not Found", 0)</f>
        <v>2559</v>
      </c>
      <c r="R1185" s="5">
        <f>_xlfn.XLOOKUP(CustomerCombined[[#This Row],[ID]], Table4[ID], Table4[Deals], "Not Found", 0)</f>
        <v>3</v>
      </c>
      <c r="S1185" s="5">
        <f>_xlfn.XLOOKUP(CustomerCombined[[#This Row],[ID]], Table4[ID], Table4[Website], "Not Found", 0)</f>
        <v>8</v>
      </c>
      <c r="T1185" s="5">
        <f>_xlfn.XLOOKUP(CustomerCombined[[#This Row],[ID]], Table4[ID], Table4[Catalog], "Not Found", 0)</f>
        <v>9</v>
      </c>
      <c r="U1185" s="5">
        <f>_xlfn.XLOOKUP(CustomerCombined[[#This Row],[ID]], Table4[ID], Table4[Store], "Not Found", 0)</f>
        <v>7</v>
      </c>
      <c r="V1185" s="5">
        <f>_xlfn.XLOOKUP(CustomerCombined[[#This Row],[ID]], Table4[ID], Table4[Visits], "Not Found", 0)</f>
        <v>7</v>
      </c>
      <c r="W1185" s="8">
        <f>_xlfn.XLOOKUP(CustomerCombined[[#This Row],[ID]], Table2[ID],Table2[Complaint], "Not Found", 0 )</f>
        <v>0</v>
      </c>
      <c r="X1185" s="8">
        <f>_xlfn.XLOOKUP(CustomerCombined[[#This Row],[ID]], Table2[ID],Table2[Pilot], "Not Found", 0 )</f>
        <v>0</v>
      </c>
      <c r="Y1185" s="8">
        <f>_xlfn.XLOOKUP(CustomerCombined[[#This Row],[ID]], Table2[ID],Table2[MC1], "Not Found", 0 )</f>
        <v>0</v>
      </c>
      <c r="Z1185" s="8">
        <f>_xlfn.XLOOKUP(CustomerCombined[[#This Row],[ID]], Table2[ID],Table2[MC2], "Not Found", 0 )</f>
        <v>0</v>
      </c>
      <c r="AA1185" s="8">
        <f>_xlfn.XLOOKUP(CustomerCombined[[#This Row],[ID]], Table2[ID],Table2[MC3], "Not Found", 0 )</f>
        <v>0</v>
      </c>
      <c r="AB1185" s="8">
        <f>_xlfn.XLOOKUP(CustomerCombined[[#This Row],[ID]], Table2[ID],Table2[MC4], "Not Found", 0 )</f>
        <v>0</v>
      </c>
      <c r="AC1185" s="8">
        <f>_xlfn.XLOOKUP(CustomerCombined[[#This Row],[ID]], Table2[ID],Table2[MC5], "Not Found", 0 )</f>
        <v>0</v>
      </c>
    </row>
    <row r="1186" spans="1:29" x14ac:dyDescent="0.3">
      <c r="A1186" s="6">
        <v>2354</v>
      </c>
      <c r="B1186" s="6">
        <v>156242</v>
      </c>
      <c r="C1186" s="6">
        <v>0</v>
      </c>
      <c r="D1186" s="6">
        <v>1</v>
      </c>
      <c r="E1186" s="6">
        <v>51</v>
      </c>
      <c r="F1186" s="5" t="s">
        <v>6</v>
      </c>
      <c r="G1186" s="5" t="s">
        <v>13</v>
      </c>
      <c r="H1186" s="3">
        <v>43685</v>
      </c>
      <c r="I1186" s="5" t="s">
        <v>438</v>
      </c>
      <c r="J1186" s="5">
        <f>_xlfn.XLOOKUP(CustomerCombined[[#This Row],[ID]], Table4[ID], Table4[Recency], "Not Found", 0)</f>
        <v>72</v>
      </c>
      <c r="K1186" s="5">
        <f>_xlfn.XLOOKUP(CustomerCombined[[#This Row],[ID]], Table4[ID], Table4[Teas], "Not Found", 0)</f>
        <v>1914</v>
      </c>
      <c r="L1186" s="5">
        <f>_xlfn.XLOOKUP(CustomerCombined[[#This Row],[ID]], Table4[ID], Table4[Fruits], "Not Found", 0)</f>
        <v>22</v>
      </c>
      <c r="M1186" s="5">
        <f>_xlfn.XLOOKUP(CustomerCombined[[#This Row],[ID]], Table4[ID], Table4[Meats], "Not Found", 0)</f>
        <v>464</v>
      </c>
      <c r="N1186" s="5">
        <f>_xlfn.XLOOKUP(CustomerCombined[[#This Row],[ID]], Table4[ID], Table4[Seafood], "Not Found", 0)</f>
        <v>31</v>
      </c>
      <c r="O1186" s="5">
        <f>_xlfn.XLOOKUP(CustomerCombined[[#This Row],[ID]], Table4[ID], Table4[Sweets], "Not Found", 0)</f>
        <v>22</v>
      </c>
      <c r="P1186" s="5">
        <f>_xlfn.XLOOKUP(CustomerCombined[[#This Row],[ID]], Table4[ID], Table4[Premium], "Not Found", 0)</f>
        <v>244</v>
      </c>
      <c r="Q1186" s="5">
        <f>_xlfn.XLOOKUP(CustomerCombined[[#This Row],[ID]], Table4[ID], Table4[Regular], "Not Found", 0)</f>
        <v>2209</v>
      </c>
      <c r="R1186" s="5">
        <f>_xlfn.XLOOKUP(CustomerCombined[[#This Row],[ID]], Table4[ID], Table4[Deals], "Not Found", 0)</f>
        <v>5</v>
      </c>
      <c r="S1186" s="5">
        <f>_xlfn.XLOOKUP(CustomerCombined[[#This Row],[ID]], Table4[ID], Table4[Website], "Not Found", 0)</f>
        <v>8</v>
      </c>
      <c r="T1186" s="5">
        <f>_xlfn.XLOOKUP(CustomerCombined[[#This Row],[ID]], Table4[ID], Table4[Catalog], "Not Found", 0)</f>
        <v>4</v>
      </c>
      <c r="U1186" s="5">
        <f>_xlfn.XLOOKUP(CustomerCombined[[#This Row],[ID]], Table4[ID], Table4[Store], "Not Found", 0)</f>
        <v>11</v>
      </c>
      <c r="V1186" s="5">
        <f>_xlfn.XLOOKUP(CustomerCombined[[#This Row],[ID]], Table4[ID], Table4[Visits], "Not Found", 0)</f>
        <v>6</v>
      </c>
      <c r="W1186" s="8">
        <f>_xlfn.XLOOKUP(CustomerCombined[[#This Row],[ID]], Table2[ID],Table2[Complaint], "Not Found", 0 )</f>
        <v>0</v>
      </c>
      <c r="X1186" s="8">
        <f>_xlfn.XLOOKUP(CustomerCombined[[#This Row],[ID]], Table2[ID],Table2[Pilot], "Not Found", 0 )</f>
        <v>0</v>
      </c>
      <c r="Y1186" s="8">
        <f>_xlfn.XLOOKUP(CustomerCombined[[#This Row],[ID]], Table2[ID],Table2[MC1], "Not Found", 0 )</f>
        <v>0</v>
      </c>
      <c r="Z1186" s="8">
        <f>_xlfn.XLOOKUP(CustomerCombined[[#This Row],[ID]], Table2[ID],Table2[MC2], "Not Found", 0 )</f>
        <v>0</v>
      </c>
      <c r="AA1186" s="8">
        <f>_xlfn.XLOOKUP(CustomerCombined[[#This Row],[ID]], Table2[ID],Table2[MC3], "Not Found", 0 )</f>
        <v>0</v>
      </c>
      <c r="AB1186" s="8">
        <f>_xlfn.XLOOKUP(CustomerCombined[[#This Row],[ID]], Table2[ID],Table2[MC4], "Not Found", 0 )</f>
        <v>0</v>
      </c>
      <c r="AC1186" s="8">
        <f>_xlfn.XLOOKUP(CustomerCombined[[#This Row],[ID]], Table2[ID],Table2[MC5], "Not Found", 0 )</f>
        <v>0</v>
      </c>
    </row>
    <row r="1187" spans="1:29" x14ac:dyDescent="0.3">
      <c r="A1187" s="6">
        <v>1326</v>
      </c>
      <c r="B1187" s="6">
        <v>155212</v>
      </c>
      <c r="C1187" s="6">
        <v>0</v>
      </c>
      <c r="D1187" s="6">
        <v>1</v>
      </c>
      <c r="E1187" s="6">
        <v>51</v>
      </c>
      <c r="F1187" s="5" t="s">
        <v>6</v>
      </c>
      <c r="G1187" s="5" t="s">
        <v>13</v>
      </c>
      <c r="H1187" s="3" t="s">
        <v>353</v>
      </c>
      <c r="I1187" s="5" t="s">
        <v>436</v>
      </c>
      <c r="J1187" s="5">
        <f>_xlfn.XLOOKUP(CustomerCombined[[#This Row],[ID]], Table4[ID], Table4[Recency], "Not Found", 0)</f>
        <v>65</v>
      </c>
      <c r="K1187" s="5">
        <f>_xlfn.XLOOKUP(CustomerCombined[[#This Row],[ID]], Table4[ID], Table4[Teas], "Not Found", 0)</f>
        <v>3101</v>
      </c>
      <c r="L1187" s="5">
        <f>_xlfn.XLOOKUP(CustomerCombined[[#This Row],[ID]], Table4[ID], Table4[Fruits], "Not Found", 0)</f>
        <v>0</v>
      </c>
      <c r="M1187" s="5">
        <f>_xlfn.XLOOKUP(CustomerCombined[[#This Row],[ID]], Table4[ID], Table4[Meats], "Not Found", 0)</f>
        <v>127</v>
      </c>
      <c r="N1187" s="5">
        <f>_xlfn.XLOOKUP(CustomerCombined[[#This Row],[ID]], Table4[ID], Table4[Seafood], "Not Found", 0)</f>
        <v>0</v>
      </c>
      <c r="O1187" s="5">
        <f>_xlfn.XLOOKUP(CustomerCombined[[#This Row],[ID]], Table4[ID], Table4[Sweets], "Not Found", 0)</f>
        <v>0</v>
      </c>
      <c r="P1187" s="5">
        <f>_xlfn.XLOOKUP(CustomerCombined[[#This Row],[ID]], Table4[ID], Table4[Premium], "Not Found", 0)</f>
        <v>96</v>
      </c>
      <c r="Q1187" s="5">
        <f>_xlfn.XLOOKUP(CustomerCombined[[#This Row],[ID]], Table4[ID], Table4[Regular], "Not Found", 0)</f>
        <v>3132</v>
      </c>
      <c r="R1187" s="5">
        <f>_xlfn.XLOOKUP(CustomerCombined[[#This Row],[ID]], Table4[ID], Table4[Deals], "Not Found", 0)</f>
        <v>3</v>
      </c>
      <c r="S1187" s="5">
        <f>_xlfn.XLOOKUP(CustomerCombined[[#This Row],[ID]], Table4[ID], Table4[Website], "Not Found", 0)</f>
        <v>4</v>
      </c>
      <c r="T1187" s="5">
        <f>_xlfn.XLOOKUP(CustomerCombined[[#This Row],[ID]], Table4[ID], Table4[Catalog], "Not Found", 0)</f>
        <v>2</v>
      </c>
      <c r="U1187" s="5">
        <f>_xlfn.XLOOKUP(CustomerCombined[[#This Row],[ID]], Table4[ID], Table4[Store], "Not Found", 0)</f>
        <v>11</v>
      </c>
      <c r="V1187" s="5">
        <f>_xlfn.XLOOKUP(CustomerCombined[[#This Row],[ID]], Table4[ID], Table4[Visits], "Not Found", 0)</f>
        <v>8</v>
      </c>
      <c r="W1187" s="8">
        <f>_xlfn.XLOOKUP(CustomerCombined[[#This Row],[ID]], Table2[ID],Table2[Complaint], "Not Found", 0 )</f>
        <v>0</v>
      </c>
      <c r="X1187" s="8">
        <f>_xlfn.XLOOKUP(CustomerCombined[[#This Row],[ID]], Table2[ID],Table2[Pilot], "Not Found", 0 )</f>
        <v>0</v>
      </c>
      <c r="Y1187" s="8">
        <f>_xlfn.XLOOKUP(CustomerCombined[[#This Row],[ID]], Table2[ID],Table2[MC1], "Not Found", 0 )</f>
        <v>0</v>
      </c>
      <c r="Z1187" s="8">
        <f>_xlfn.XLOOKUP(CustomerCombined[[#This Row],[ID]], Table2[ID],Table2[MC2], "Not Found", 0 )</f>
        <v>1</v>
      </c>
      <c r="AA1187" s="8">
        <f>_xlfn.XLOOKUP(CustomerCombined[[#This Row],[ID]], Table2[ID],Table2[MC3], "Not Found", 0 )</f>
        <v>0</v>
      </c>
      <c r="AB1187" s="8">
        <f>_xlfn.XLOOKUP(CustomerCombined[[#This Row],[ID]], Table2[ID],Table2[MC4], "Not Found", 0 )</f>
        <v>1</v>
      </c>
      <c r="AC1187" s="8">
        <f>_xlfn.XLOOKUP(CustomerCombined[[#This Row],[ID]], Table2[ID],Table2[MC5], "Not Found", 0 )</f>
        <v>0</v>
      </c>
    </row>
    <row r="1188" spans="1:29" x14ac:dyDescent="0.3">
      <c r="A1188" s="6">
        <v>2901</v>
      </c>
      <c r="B1188" s="6">
        <v>155212</v>
      </c>
      <c r="C1188" s="6">
        <v>0</v>
      </c>
      <c r="D1188" s="6">
        <v>1</v>
      </c>
      <c r="E1188" s="6">
        <v>51</v>
      </c>
      <c r="F1188" s="5" t="s">
        <v>6</v>
      </c>
      <c r="G1188" s="5" t="s">
        <v>13</v>
      </c>
      <c r="H1188" s="3" t="s">
        <v>353</v>
      </c>
      <c r="I1188" s="5" t="s">
        <v>435</v>
      </c>
      <c r="J1188" s="5">
        <f>_xlfn.XLOOKUP(CustomerCombined[[#This Row],[ID]], Table4[ID], Table4[Recency], "Not Found", 0)</f>
        <v>65</v>
      </c>
      <c r="K1188" s="5">
        <f>_xlfn.XLOOKUP(CustomerCombined[[#This Row],[ID]], Table4[ID], Table4[Teas], "Not Found", 0)</f>
        <v>3101</v>
      </c>
      <c r="L1188" s="5">
        <f>_xlfn.XLOOKUP(CustomerCombined[[#This Row],[ID]], Table4[ID], Table4[Fruits], "Not Found", 0)</f>
        <v>0</v>
      </c>
      <c r="M1188" s="5">
        <f>_xlfn.XLOOKUP(CustomerCombined[[#This Row],[ID]], Table4[ID], Table4[Meats], "Not Found", 0)</f>
        <v>127</v>
      </c>
      <c r="N1188" s="5">
        <f>_xlfn.XLOOKUP(CustomerCombined[[#This Row],[ID]], Table4[ID], Table4[Seafood], "Not Found", 0)</f>
        <v>0</v>
      </c>
      <c r="O1188" s="5">
        <f>_xlfn.XLOOKUP(CustomerCombined[[#This Row],[ID]], Table4[ID], Table4[Sweets], "Not Found", 0)</f>
        <v>0</v>
      </c>
      <c r="P1188" s="5">
        <f>_xlfn.XLOOKUP(CustomerCombined[[#This Row],[ID]], Table4[ID], Table4[Premium], "Not Found", 0)</f>
        <v>96</v>
      </c>
      <c r="Q1188" s="5">
        <f>_xlfn.XLOOKUP(CustomerCombined[[#This Row],[ID]], Table4[ID], Table4[Regular], "Not Found", 0)</f>
        <v>3132</v>
      </c>
      <c r="R1188" s="5">
        <f>_xlfn.XLOOKUP(CustomerCombined[[#This Row],[ID]], Table4[ID], Table4[Deals], "Not Found", 0)</f>
        <v>3</v>
      </c>
      <c r="S1188" s="5">
        <f>_xlfn.XLOOKUP(CustomerCombined[[#This Row],[ID]], Table4[ID], Table4[Website], "Not Found", 0)</f>
        <v>4</v>
      </c>
      <c r="T1188" s="5">
        <f>_xlfn.XLOOKUP(CustomerCombined[[#This Row],[ID]], Table4[ID], Table4[Catalog], "Not Found", 0)</f>
        <v>2</v>
      </c>
      <c r="U1188" s="5">
        <f>_xlfn.XLOOKUP(CustomerCombined[[#This Row],[ID]], Table4[ID], Table4[Store], "Not Found", 0)</f>
        <v>11</v>
      </c>
      <c r="V1188" s="5">
        <f>_xlfn.XLOOKUP(CustomerCombined[[#This Row],[ID]], Table4[ID], Table4[Visits], "Not Found", 0)</f>
        <v>8</v>
      </c>
      <c r="W1188" s="8">
        <f>_xlfn.XLOOKUP(CustomerCombined[[#This Row],[ID]], Table2[ID],Table2[Complaint], "Not Found", 0 )</f>
        <v>0</v>
      </c>
      <c r="X1188" s="8">
        <f>_xlfn.XLOOKUP(CustomerCombined[[#This Row],[ID]], Table2[ID],Table2[Pilot], "Not Found", 0 )</f>
        <v>0</v>
      </c>
      <c r="Y1188" s="8">
        <f>_xlfn.XLOOKUP(CustomerCombined[[#This Row],[ID]], Table2[ID],Table2[MC1], "Not Found", 0 )</f>
        <v>0</v>
      </c>
      <c r="Z1188" s="8">
        <f>_xlfn.XLOOKUP(CustomerCombined[[#This Row],[ID]], Table2[ID],Table2[MC2], "Not Found", 0 )</f>
        <v>1</v>
      </c>
      <c r="AA1188" s="8">
        <f>_xlfn.XLOOKUP(CustomerCombined[[#This Row],[ID]], Table2[ID],Table2[MC3], "Not Found", 0 )</f>
        <v>0</v>
      </c>
      <c r="AB1188" s="8">
        <f>_xlfn.XLOOKUP(CustomerCombined[[#This Row],[ID]], Table2[ID],Table2[MC4], "Not Found", 0 )</f>
        <v>1</v>
      </c>
      <c r="AC1188" s="8">
        <f>_xlfn.XLOOKUP(CustomerCombined[[#This Row],[ID]], Table2[ID],Table2[MC5], "Not Found", 0 )</f>
        <v>0</v>
      </c>
    </row>
    <row r="1189" spans="1:29" x14ac:dyDescent="0.3">
      <c r="A1189" s="6">
        <v>1349</v>
      </c>
      <c r="B1189" s="6">
        <v>154803</v>
      </c>
      <c r="C1189" s="6">
        <v>0</v>
      </c>
      <c r="D1189" s="6">
        <v>1</v>
      </c>
      <c r="E1189" s="6">
        <v>51</v>
      </c>
      <c r="F1189" s="5" t="s">
        <v>7</v>
      </c>
      <c r="G1189" s="5" t="s">
        <v>11</v>
      </c>
      <c r="H1189" s="3" t="s">
        <v>407</v>
      </c>
      <c r="I1189" s="5" t="s">
        <v>434</v>
      </c>
      <c r="J1189" s="5">
        <f>_xlfn.XLOOKUP(CustomerCombined[[#This Row],[ID]], Table4[ID], Table4[Recency], "Not Found", 0)</f>
        <v>65</v>
      </c>
      <c r="K1189" s="5">
        <f>_xlfn.XLOOKUP(CustomerCombined[[#This Row],[ID]], Table4[ID], Table4[Teas], "Not Found", 0)</f>
        <v>1141</v>
      </c>
      <c r="L1189" s="5">
        <f>_xlfn.XLOOKUP(CustomerCombined[[#This Row],[ID]], Table4[ID], Table4[Fruits], "Not Found", 0)</f>
        <v>0</v>
      </c>
      <c r="M1189" s="5">
        <f>_xlfn.XLOOKUP(CustomerCombined[[#This Row],[ID]], Table4[ID], Table4[Meats], "Not Found", 0)</f>
        <v>260</v>
      </c>
      <c r="N1189" s="5">
        <f>_xlfn.XLOOKUP(CustomerCombined[[#This Row],[ID]], Table4[ID], Table4[Seafood], "Not Found", 0)</f>
        <v>79</v>
      </c>
      <c r="O1189" s="5">
        <f>_xlfn.XLOOKUP(CustomerCombined[[#This Row],[ID]], Table4[ID], Table4[Sweets], "Not Found", 0)</f>
        <v>76</v>
      </c>
      <c r="P1189" s="5">
        <f>_xlfn.XLOOKUP(CustomerCombined[[#This Row],[ID]], Table4[ID], Table4[Premium], "Not Found", 0)</f>
        <v>401</v>
      </c>
      <c r="Q1189" s="5">
        <f>_xlfn.XLOOKUP(CustomerCombined[[#This Row],[ID]], Table4[ID], Table4[Regular], "Not Found", 0)</f>
        <v>1155</v>
      </c>
      <c r="R1189" s="5">
        <f>_xlfn.XLOOKUP(CustomerCombined[[#This Row],[ID]], Table4[ID], Table4[Deals], "Not Found", 0)</f>
        <v>2</v>
      </c>
      <c r="S1189" s="5">
        <f>_xlfn.XLOOKUP(CustomerCombined[[#This Row],[ID]], Table4[ID], Table4[Website], "Not Found", 0)</f>
        <v>6</v>
      </c>
      <c r="T1189" s="5">
        <f>_xlfn.XLOOKUP(CustomerCombined[[#This Row],[ID]], Table4[ID], Table4[Catalog], "Not Found", 0)</f>
        <v>2</v>
      </c>
      <c r="U1189" s="5">
        <f>_xlfn.XLOOKUP(CustomerCombined[[#This Row],[ID]], Table4[ID], Table4[Store], "Not Found", 0)</f>
        <v>9</v>
      </c>
      <c r="V1189" s="5">
        <f>_xlfn.XLOOKUP(CustomerCombined[[#This Row],[ID]], Table4[ID], Table4[Visits], "Not Found", 0)</f>
        <v>4</v>
      </c>
      <c r="W1189" s="8">
        <f>_xlfn.XLOOKUP(CustomerCombined[[#This Row],[ID]], Table2[ID],Table2[Complaint], "Not Found", 0 )</f>
        <v>0</v>
      </c>
      <c r="X1189" s="8">
        <f>_xlfn.XLOOKUP(CustomerCombined[[#This Row],[ID]], Table2[ID],Table2[Pilot], "Not Found", 0 )</f>
        <v>0</v>
      </c>
      <c r="Y1189" s="8">
        <f>_xlfn.XLOOKUP(CustomerCombined[[#This Row],[ID]], Table2[ID],Table2[MC1], "Not Found", 0 )</f>
        <v>0</v>
      </c>
      <c r="Z1189" s="8">
        <f>_xlfn.XLOOKUP(CustomerCombined[[#This Row],[ID]], Table2[ID],Table2[MC2], "Not Found", 0 )</f>
        <v>0</v>
      </c>
      <c r="AA1189" s="8">
        <f>_xlfn.XLOOKUP(CustomerCombined[[#This Row],[ID]], Table2[ID],Table2[MC3], "Not Found", 0 )</f>
        <v>0</v>
      </c>
      <c r="AB1189" s="8">
        <f>_xlfn.XLOOKUP(CustomerCombined[[#This Row],[ID]], Table2[ID],Table2[MC4], "Not Found", 0 )</f>
        <v>0</v>
      </c>
      <c r="AC1189" s="8">
        <f>_xlfn.XLOOKUP(CustomerCombined[[#This Row],[ID]], Table2[ID],Table2[MC5], "Not Found", 0 )</f>
        <v>0</v>
      </c>
    </row>
    <row r="1190" spans="1:29" x14ac:dyDescent="0.3">
      <c r="A1190" s="6">
        <v>1998</v>
      </c>
      <c r="B1190" s="6">
        <v>154165</v>
      </c>
      <c r="C1190" s="6">
        <v>0</v>
      </c>
      <c r="D1190" s="6">
        <v>0</v>
      </c>
      <c r="E1190" s="6">
        <v>51</v>
      </c>
      <c r="F1190" s="5" t="s">
        <v>8</v>
      </c>
      <c r="G1190" s="5" t="s">
        <v>11</v>
      </c>
      <c r="H1190" s="3">
        <v>43507</v>
      </c>
      <c r="I1190" s="5" t="s">
        <v>436</v>
      </c>
      <c r="J1190" s="5">
        <f>_xlfn.XLOOKUP(CustomerCombined[[#This Row],[ID]], Table4[ID], Table4[Recency], "Not Found", 0)</f>
        <v>72</v>
      </c>
      <c r="K1190" s="5">
        <f>_xlfn.XLOOKUP(CustomerCombined[[#This Row],[ID]], Table4[ID], Table4[Teas], "Not Found", 0)</f>
        <v>361</v>
      </c>
      <c r="L1190" s="5">
        <f>_xlfn.XLOOKUP(CustomerCombined[[#This Row],[ID]], Table4[ID], Table4[Fruits], "Not Found", 0)</f>
        <v>11</v>
      </c>
      <c r="M1190" s="5">
        <f>_xlfn.XLOOKUP(CustomerCombined[[#This Row],[ID]], Table4[ID], Table4[Meats], "Not Found", 0)</f>
        <v>208</v>
      </c>
      <c r="N1190" s="5">
        <f>_xlfn.XLOOKUP(CustomerCombined[[#This Row],[ID]], Table4[ID], Table4[Seafood], "Not Found", 0)</f>
        <v>43</v>
      </c>
      <c r="O1190" s="5">
        <f>_xlfn.XLOOKUP(CustomerCombined[[#This Row],[ID]], Table4[ID], Table4[Sweets], "Not Found", 0)</f>
        <v>17</v>
      </c>
      <c r="P1190" s="5">
        <f>_xlfn.XLOOKUP(CustomerCombined[[#This Row],[ID]], Table4[ID], Table4[Premium], "Not Found", 0)</f>
        <v>31</v>
      </c>
      <c r="Q1190" s="5">
        <f>_xlfn.XLOOKUP(CustomerCombined[[#This Row],[ID]], Table4[ID], Table4[Regular], "Not Found", 0)</f>
        <v>609</v>
      </c>
      <c r="R1190" s="5">
        <f>_xlfn.XLOOKUP(CustomerCombined[[#This Row],[ID]], Table4[ID], Table4[Deals], "Not Found", 0)</f>
        <v>1</v>
      </c>
      <c r="S1190" s="5">
        <f>_xlfn.XLOOKUP(CustomerCombined[[#This Row],[ID]], Table4[ID], Table4[Website], "Not Found", 0)</f>
        <v>2</v>
      </c>
      <c r="T1190" s="5">
        <f>_xlfn.XLOOKUP(CustomerCombined[[#This Row],[ID]], Table4[ID], Table4[Catalog], "Not Found", 0)</f>
        <v>1</v>
      </c>
      <c r="U1190" s="5">
        <f>_xlfn.XLOOKUP(CustomerCombined[[#This Row],[ID]], Table4[ID], Table4[Store], "Not Found", 0)</f>
        <v>7</v>
      </c>
      <c r="V1190" s="5">
        <f>_xlfn.XLOOKUP(CustomerCombined[[#This Row],[ID]], Table4[ID], Table4[Visits], "Not Found", 0)</f>
        <v>2</v>
      </c>
      <c r="W1190" s="8">
        <f>_xlfn.XLOOKUP(CustomerCombined[[#This Row],[ID]], Table2[ID],Table2[Complaint], "Not Found", 0 )</f>
        <v>0</v>
      </c>
      <c r="X1190" s="8">
        <f>_xlfn.XLOOKUP(CustomerCombined[[#This Row],[ID]], Table2[ID],Table2[Pilot], "Not Found", 0 )</f>
        <v>0</v>
      </c>
      <c r="Y1190" s="8">
        <f>_xlfn.XLOOKUP(CustomerCombined[[#This Row],[ID]], Table2[ID],Table2[MC1], "Not Found", 0 )</f>
        <v>0</v>
      </c>
      <c r="Z1190" s="8">
        <f>_xlfn.XLOOKUP(CustomerCombined[[#This Row],[ID]], Table2[ID],Table2[MC2], "Not Found", 0 )</f>
        <v>0</v>
      </c>
      <c r="AA1190" s="8">
        <f>_xlfn.XLOOKUP(CustomerCombined[[#This Row],[ID]], Table2[ID],Table2[MC3], "Not Found", 0 )</f>
        <v>0</v>
      </c>
      <c r="AB1190" s="8">
        <f>_xlfn.XLOOKUP(CustomerCombined[[#This Row],[ID]], Table2[ID],Table2[MC4], "Not Found", 0 )</f>
        <v>0</v>
      </c>
      <c r="AC1190" s="8">
        <f>_xlfn.XLOOKUP(CustomerCombined[[#This Row],[ID]], Table2[ID],Table2[MC5], "Not Found", 0 )</f>
        <v>0</v>
      </c>
    </row>
    <row r="1191" spans="1:29" x14ac:dyDescent="0.3">
      <c r="A1191" s="6">
        <v>2399</v>
      </c>
      <c r="B1191" s="6">
        <v>154132</v>
      </c>
      <c r="C1191" s="6">
        <v>0</v>
      </c>
      <c r="D1191" s="6">
        <v>1</v>
      </c>
      <c r="E1191" s="6">
        <v>51</v>
      </c>
      <c r="F1191" s="5" t="s">
        <v>8</v>
      </c>
      <c r="G1191" s="5" t="s">
        <v>13</v>
      </c>
      <c r="H1191" s="3" t="s">
        <v>97</v>
      </c>
      <c r="I1191" s="5" t="s">
        <v>434</v>
      </c>
      <c r="J1191" s="5">
        <f>_xlfn.XLOOKUP(CustomerCombined[[#This Row],[ID]], Table4[ID], Table4[Recency], "Not Found", 0)</f>
        <v>81</v>
      </c>
      <c r="K1191" s="5">
        <f>_xlfn.XLOOKUP(CustomerCombined[[#This Row],[ID]], Table4[ID], Table4[Teas], "Not Found", 0)</f>
        <v>85</v>
      </c>
      <c r="L1191" s="5">
        <f>_xlfn.XLOOKUP(CustomerCombined[[#This Row],[ID]], Table4[ID], Table4[Fruits], "Not Found", 0)</f>
        <v>3</v>
      </c>
      <c r="M1191" s="5">
        <f>_xlfn.XLOOKUP(CustomerCombined[[#This Row],[ID]], Table4[ID], Table4[Meats], "Not Found", 0)</f>
        <v>23</v>
      </c>
      <c r="N1191" s="5">
        <f>_xlfn.XLOOKUP(CustomerCombined[[#This Row],[ID]], Table4[ID], Table4[Seafood], "Not Found", 0)</f>
        <v>0</v>
      </c>
      <c r="O1191" s="5">
        <f>_xlfn.XLOOKUP(CustomerCombined[[#This Row],[ID]], Table4[ID], Table4[Sweets], "Not Found", 0)</f>
        <v>0</v>
      </c>
      <c r="P1191" s="5">
        <f>_xlfn.XLOOKUP(CustomerCombined[[#This Row],[ID]], Table4[ID], Table4[Premium], "Not Found", 0)</f>
        <v>9</v>
      </c>
      <c r="Q1191" s="5">
        <f>_xlfn.XLOOKUP(CustomerCombined[[#This Row],[ID]], Table4[ID], Table4[Regular], "Not Found", 0)</f>
        <v>103</v>
      </c>
      <c r="R1191" s="5">
        <f>_xlfn.XLOOKUP(CustomerCombined[[#This Row],[ID]], Table4[ID], Table4[Deals], "Not Found", 0)</f>
        <v>1</v>
      </c>
      <c r="S1191" s="5">
        <f>_xlfn.XLOOKUP(CustomerCombined[[#This Row],[ID]], Table4[ID], Table4[Website], "Not Found", 0)</f>
        <v>1</v>
      </c>
      <c r="T1191" s="5">
        <f>_xlfn.XLOOKUP(CustomerCombined[[#This Row],[ID]], Table4[ID], Table4[Catalog], "Not Found", 0)</f>
        <v>0</v>
      </c>
      <c r="U1191" s="5">
        <f>_xlfn.XLOOKUP(CustomerCombined[[#This Row],[ID]], Table4[ID], Table4[Store], "Not Found", 0)</f>
        <v>3</v>
      </c>
      <c r="V1191" s="5">
        <f>_xlfn.XLOOKUP(CustomerCombined[[#This Row],[ID]], Table4[ID], Table4[Visits], "Not Found", 0)</f>
        <v>7</v>
      </c>
      <c r="W1191" s="8">
        <f>_xlfn.XLOOKUP(CustomerCombined[[#This Row],[ID]], Table2[ID],Table2[Complaint], "Not Found", 0 )</f>
        <v>0</v>
      </c>
      <c r="X1191" s="8">
        <f>_xlfn.XLOOKUP(CustomerCombined[[#This Row],[ID]], Table2[ID],Table2[Pilot], "Not Found", 0 )</f>
        <v>0</v>
      </c>
      <c r="Y1191" s="8">
        <f>_xlfn.XLOOKUP(CustomerCombined[[#This Row],[ID]], Table2[ID],Table2[MC1], "Not Found", 0 )</f>
        <v>0</v>
      </c>
      <c r="Z1191" s="8">
        <f>_xlfn.XLOOKUP(CustomerCombined[[#This Row],[ID]], Table2[ID],Table2[MC2], "Not Found", 0 )</f>
        <v>0</v>
      </c>
      <c r="AA1191" s="8">
        <f>_xlfn.XLOOKUP(CustomerCombined[[#This Row],[ID]], Table2[ID],Table2[MC3], "Not Found", 0 )</f>
        <v>0</v>
      </c>
      <c r="AB1191" s="8">
        <f>_xlfn.XLOOKUP(CustomerCombined[[#This Row],[ID]], Table2[ID],Table2[MC4], "Not Found", 0 )</f>
        <v>0</v>
      </c>
      <c r="AC1191" s="8">
        <f>_xlfn.XLOOKUP(CustomerCombined[[#This Row],[ID]], Table2[ID],Table2[MC5], "Not Found", 0 )</f>
        <v>0</v>
      </c>
    </row>
    <row r="1192" spans="1:29" x14ac:dyDescent="0.3">
      <c r="A1192" s="6">
        <v>2473</v>
      </c>
      <c r="B1192" s="6">
        <v>153374</v>
      </c>
      <c r="C1192" s="6">
        <v>0</v>
      </c>
      <c r="D1192" s="6">
        <v>1</v>
      </c>
      <c r="E1192" s="6">
        <v>51</v>
      </c>
      <c r="F1192" s="5" t="s">
        <v>8</v>
      </c>
      <c r="G1192" s="5" t="s">
        <v>13</v>
      </c>
      <c r="H1192" s="3" t="s">
        <v>412</v>
      </c>
      <c r="I1192" s="5" t="s">
        <v>437</v>
      </c>
      <c r="J1192" s="5">
        <f>_xlfn.XLOOKUP(CustomerCombined[[#This Row],[ID]], Table4[ID], Table4[Recency], "Not Found", 0)</f>
        <v>34</v>
      </c>
      <c r="K1192" s="5">
        <f>_xlfn.XLOOKUP(CustomerCombined[[#This Row],[ID]], Table4[ID], Table4[Teas], "Not Found", 0)</f>
        <v>2575</v>
      </c>
      <c r="L1192" s="5">
        <f>_xlfn.XLOOKUP(CustomerCombined[[#This Row],[ID]], Table4[ID], Table4[Fruits], "Not Found", 0)</f>
        <v>29</v>
      </c>
      <c r="M1192" s="5">
        <f>_xlfn.XLOOKUP(CustomerCombined[[#This Row],[ID]], Table4[ID], Table4[Meats], "Not Found", 0)</f>
        <v>290</v>
      </c>
      <c r="N1192" s="5">
        <f>_xlfn.XLOOKUP(CustomerCombined[[#This Row],[ID]], Table4[ID], Table4[Seafood], "Not Found", 0)</f>
        <v>37</v>
      </c>
      <c r="O1192" s="5">
        <f>_xlfn.XLOOKUP(CustomerCombined[[#This Row],[ID]], Table4[ID], Table4[Sweets], "Not Found", 0)</f>
        <v>29</v>
      </c>
      <c r="P1192" s="5">
        <f>_xlfn.XLOOKUP(CustomerCombined[[#This Row],[ID]], Table4[ID], Table4[Premium], "Not Found", 0)</f>
        <v>98</v>
      </c>
      <c r="Q1192" s="5">
        <f>_xlfn.XLOOKUP(CustomerCombined[[#This Row],[ID]], Table4[ID], Table4[Regular], "Not Found", 0)</f>
        <v>2862</v>
      </c>
      <c r="R1192" s="5">
        <f>_xlfn.XLOOKUP(CustomerCombined[[#This Row],[ID]], Table4[ID], Table4[Deals], "Not Found", 0)</f>
        <v>6</v>
      </c>
      <c r="S1192" s="5">
        <f>_xlfn.XLOOKUP(CustomerCombined[[#This Row],[ID]], Table4[ID], Table4[Website], "Not Found", 0)</f>
        <v>4</v>
      </c>
      <c r="T1192" s="5">
        <f>_xlfn.XLOOKUP(CustomerCombined[[#This Row],[ID]], Table4[ID], Table4[Catalog], "Not Found", 0)</f>
        <v>2</v>
      </c>
      <c r="U1192" s="5">
        <f>_xlfn.XLOOKUP(CustomerCombined[[#This Row],[ID]], Table4[ID], Table4[Store], "Not Found", 0)</f>
        <v>9</v>
      </c>
      <c r="V1192" s="5">
        <f>_xlfn.XLOOKUP(CustomerCombined[[#This Row],[ID]], Table4[ID], Table4[Visits], "Not Found", 0)</f>
        <v>9</v>
      </c>
      <c r="W1192" s="8">
        <f>_xlfn.XLOOKUP(CustomerCombined[[#This Row],[ID]], Table2[ID],Table2[Complaint], "Not Found", 0 )</f>
        <v>0</v>
      </c>
      <c r="X1192" s="8">
        <f>_xlfn.XLOOKUP(CustomerCombined[[#This Row],[ID]], Table2[ID],Table2[Pilot], "Not Found", 0 )</f>
        <v>1</v>
      </c>
      <c r="Y1192" s="8">
        <f>_xlfn.XLOOKUP(CustomerCombined[[#This Row],[ID]], Table2[ID],Table2[MC1], "Not Found", 0 )</f>
        <v>0</v>
      </c>
      <c r="Z1192" s="8">
        <f>_xlfn.XLOOKUP(CustomerCombined[[#This Row],[ID]], Table2[ID],Table2[MC2], "Not Found", 0 )</f>
        <v>0</v>
      </c>
      <c r="AA1192" s="8">
        <f>_xlfn.XLOOKUP(CustomerCombined[[#This Row],[ID]], Table2[ID],Table2[MC3], "Not Found", 0 )</f>
        <v>1</v>
      </c>
      <c r="AB1192" s="8">
        <f>_xlfn.XLOOKUP(CustomerCombined[[#This Row],[ID]], Table2[ID],Table2[MC4], "Not Found", 0 )</f>
        <v>0</v>
      </c>
      <c r="AC1192" s="8">
        <f>_xlfn.XLOOKUP(CustomerCombined[[#This Row],[ID]], Table2[ID],Table2[MC5], "Not Found", 0 )</f>
        <v>0</v>
      </c>
    </row>
    <row r="1193" spans="1:29" x14ac:dyDescent="0.3">
      <c r="A1193" s="6">
        <v>1099</v>
      </c>
      <c r="B1193" s="6">
        <v>152413</v>
      </c>
      <c r="C1193" s="6">
        <v>0</v>
      </c>
      <c r="D1193" s="6">
        <v>2</v>
      </c>
      <c r="E1193" s="6">
        <v>51</v>
      </c>
      <c r="F1193" s="5" t="s">
        <v>6</v>
      </c>
      <c r="G1193" s="5" t="s">
        <v>11</v>
      </c>
      <c r="H1193" s="3">
        <v>43745</v>
      </c>
      <c r="I1193" s="5" t="s">
        <v>437</v>
      </c>
      <c r="J1193" s="5">
        <f>_xlfn.XLOOKUP(CustomerCombined[[#This Row],[ID]], Table4[ID], Table4[Recency], "Not Found", 0)</f>
        <v>56</v>
      </c>
      <c r="K1193" s="5">
        <f>_xlfn.XLOOKUP(CustomerCombined[[#This Row],[ID]], Table4[ID], Table4[Teas], "Not Found", 0)</f>
        <v>858</v>
      </c>
      <c r="L1193" s="5">
        <f>_xlfn.XLOOKUP(CustomerCombined[[#This Row],[ID]], Table4[ID], Table4[Fruits], "Not Found", 0)</f>
        <v>308</v>
      </c>
      <c r="M1193" s="5">
        <f>_xlfn.XLOOKUP(CustomerCombined[[#This Row],[ID]], Table4[ID], Table4[Meats], "Not Found", 0)</f>
        <v>788</v>
      </c>
      <c r="N1193" s="5">
        <f>_xlfn.XLOOKUP(CustomerCombined[[#This Row],[ID]], Table4[ID], Table4[Seafood], "Not Found", 0)</f>
        <v>218</v>
      </c>
      <c r="O1193" s="5">
        <f>_xlfn.XLOOKUP(CustomerCombined[[#This Row],[ID]], Table4[ID], Table4[Sweets], "Not Found", 0)</f>
        <v>285</v>
      </c>
      <c r="P1193" s="5">
        <f>_xlfn.XLOOKUP(CustomerCombined[[#This Row],[ID]], Table4[ID], Table4[Premium], "Not Found", 0)</f>
        <v>189</v>
      </c>
      <c r="Q1193" s="5">
        <f>_xlfn.XLOOKUP(CustomerCombined[[#This Row],[ID]], Table4[ID], Table4[Regular], "Not Found", 0)</f>
        <v>2268</v>
      </c>
      <c r="R1193" s="5">
        <f>_xlfn.XLOOKUP(CustomerCombined[[#This Row],[ID]], Table4[ID], Table4[Deals], "Not Found", 0)</f>
        <v>4</v>
      </c>
      <c r="S1193" s="5">
        <f>_xlfn.XLOOKUP(CustomerCombined[[#This Row],[ID]], Table4[ID], Table4[Website], "Not Found", 0)</f>
        <v>6</v>
      </c>
      <c r="T1193" s="5">
        <f>_xlfn.XLOOKUP(CustomerCombined[[#This Row],[ID]], Table4[ID], Table4[Catalog], "Not Found", 0)</f>
        <v>4</v>
      </c>
      <c r="U1193" s="5">
        <f>_xlfn.XLOOKUP(CustomerCombined[[#This Row],[ID]], Table4[ID], Table4[Store], "Not Found", 0)</f>
        <v>12</v>
      </c>
      <c r="V1193" s="5">
        <f>_xlfn.XLOOKUP(CustomerCombined[[#This Row],[ID]], Table4[ID], Table4[Visits], "Not Found", 0)</f>
        <v>6</v>
      </c>
      <c r="W1193" s="8">
        <f>_xlfn.XLOOKUP(CustomerCombined[[#This Row],[ID]], Table2[ID],Table2[Complaint], "Not Found", 0 )</f>
        <v>0</v>
      </c>
      <c r="X1193" s="8">
        <f>_xlfn.XLOOKUP(CustomerCombined[[#This Row],[ID]], Table2[ID],Table2[Pilot], "Not Found", 0 )</f>
        <v>0</v>
      </c>
      <c r="Y1193" s="8">
        <f>_xlfn.XLOOKUP(CustomerCombined[[#This Row],[ID]], Table2[ID],Table2[MC1], "Not Found", 0 )</f>
        <v>0</v>
      </c>
      <c r="Z1193" s="8">
        <f>_xlfn.XLOOKUP(CustomerCombined[[#This Row],[ID]], Table2[ID],Table2[MC2], "Not Found", 0 )</f>
        <v>0</v>
      </c>
      <c r="AA1193" s="8">
        <f>_xlfn.XLOOKUP(CustomerCombined[[#This Row],[ID]], Table2[ID],Table2[MC3], "Not Found", 0 )</f>
        <v>0</v>
      </c>
      <c r="AB1193" s="8">
        <f>_xlfn.XLOOKUP(CustomerCombined[[#This Row],[ID]], Table2[ID],Table2[MC4], "Not Found", 0 )</f>
        <v>0</v>
      </c>
      <c r="AC1193" s="8">
        <f>_xlfn.XLOOKUP(CustomerCombined[[#This Row],[ID]], Table2[ID],Table2[MC5], "Not Found", 0 )</f>
        <v>0</v>
      </c>
    </row>
    <row r="1194" spans="1:29" x14ac:dyDescent="0.3">
      <c r="A1194" s="6">
        <v>2375</v>
      </c>
      <c r="B1194" s="6">
        <v>151039</v>
      </c>
      <c r="C1194" s="6">
        <v>1</v>
      </c>
      <c r="D1194" s="6">
        <v>1</v>
      </c>
      <c r="E1194" s="6">
        <v>51</v>
      </c>
      <c r="F1194" s="5" t="s">
        <v>6</v>
      </c>
      <c r="G1194" s="5" t="s">
        <v>13</v>
      </c>
      <c r="H1194" s="3" t="s">
        <v>348</v>
      </c>
      <c r="I1194" s="5" t="s">
        <v>434</v>
      </c>
      <c r="J1194" s="5">
        <f>_xlfn.XLOOKUP(CustomerCombined[[#This Row],[ID]], Table4[ID], Table4[Recency], "Not Found", 0)</f>
        <v>11</v>
      </c>
      <c r="K1194" s="5">
        <f>_xlfn.XLOOKUP(CustomerCombined[[#This Row],[ID]], Table4[ID], Table4[Teas], "Not Found", 0)</f>
        <v>296</v>
      </c>
      <c r="L1194" s="5">
        <f>_xlfn.XLOOKUP(CustomerCombined[[#This Row],[ID]], Table4[ID], Table4[Fruits], "Not Found", 0)</f>
        <v>189</v>
      </c>
      <c r="M1194" s="5">
        <f>_xlfn.XLOOKUP(CustomerCombined[[#This Row],[ID]], Table4[ID], Table4[Meats], "Not Found", 0)</f>
        <v>234</v>
      </c>
      <c r="N1194" s="5">
        <f>_xlfn.XLOOKUP(CustomerCombined[[#This Row],[ID]], Table4[ID], Table4[Seafood], "Not Found", 0)</f>
        <v>192</v>
      </c>
      <c r="O1194" s="5">
        <f>_xlfn.XLOOKUP(CustomerCombined[[#This Row],[ID]], Table4[ID], Table4[Sweets], "Not Found", 0)</f>
        <v>0</v>
      </c>
      <c r="P1194" s="5">
        <f>_xlfn.XLOOKUP(CustomerCombined[[#This Row],[ID]], Table4[ID], Table4[Premium], "Not Found", 0)</f>
        <v>323</v>
      </c>
      <c r="Q1194" s="5">
        <f>_xlfn.XLOOKUP(CustomerCombined[[#This Row],[ID]], Table4[ID], Table4[Regular], "Not Found", 0)</f>
        <v>589</v>
      </c>
      <c r="R1194" s="5">
        <f>_xlfn.XLOOKUP(CustomerCombined[[#This Row],[ID]], Table4[ID], Table4[Deals], "Not Found", 0)</f>
        <v>2</v>
      </c>
      <c r="S1194" s="5">
        <f>_xlfn.XLOOKUP(CustomerCombined[[#This Row],[ID]], Table4[ID], Table4[Website], "Not Found", 0)</f>
        <v>6</v>
      </c>
      <c r="T1194" s="5">
        <f>_xlfn.XLOOKUP(CustomerCombined[[#This Row],[ID]], Table4[ID], Table4[Catalog], "Not Found", 0)</f>
        <v>2</v>
      </c>
      <c r="U1194" s="5">
        <f>_xlfn.XLOOKUP(CustomerCombined[[#This Row],[ID]], Table4[ID], Table4[Store], "Not Found", 0)</f>
        <v>4</v>
      </c>
      <c r="V1194" s="5">
        <f>_xlfn.XLOOKUP(CustomerCombined[[#This Row],[ID]], Table4[ID], Table4[Visits], "Not Found", 0)</f>
        <v>7</v>
      </c>
      <c r="W1194" s="8">
        <f>_xlfn.XLOOKUP(CustomerCombined[[#This Row],[ID]], Table2[ID],Table2[Complaint], "Not Found", 0 )</f>
        <v>0</v>
      </c>
      <c r="X1194" s="8">
        <f>_xlfn.XLOOKUP(CustomerCombined[[#This Row],[ID]], Table2[ID],Table2[Pilot], "Not Found", 0 )</f>
        <v>0</v>
      </c>
      <c r="Y1194" s="8">
        <f>_xlfn.XLOOKUP(CustomerCombined[[#This Row],[ID]], Table2[ID],Table2[MC1], "Not Found", 0 )</f>
        <v>0</v>
      </c>
      <c r="Z1194" s="8">
        <f>_xlfn.XLOOKUP(CustomerCombined[[#This Row],[ID]], Table2[ID],Table2[MC2], "Not Found", 0 )</f>
        <v>0</v>
      </c>
      <c r="AA1194" s="8">
        <f>_xlfn.XLOOKUP(CustomerCombined[[#This Row],[ID]], Table2[ID],Table2[MC3], "Not Found", 0 )</f>
        <v>0</v>
      </c>
      <c r="AB1194" s="8">
        <f>_xlfn.XLOOKUP(CustomerCombined[[#This Row],[ID]], Table2[ID],Table2[MC4], "Not Found", 0 )</f>
        <v>0</v>
      </c>
      <c r="AC1194" s="8">
        <f>_xlfn.XLOOKUP(CustomerCombined[[#This Row],[ID]], Table2[ID],Table2[MC5], "Not Found", 0 )</f>
        <v>0</v>
      </c>
    </row>
    <row r="1195" spans="1:29" x14ac:dyDescent="0.3">
      <c r="A1195" s="6">
        <v>2311</v>
      </c>
      <c r="B1195" s="6">
        <v>148752</v>
      </c>
      <c r="C1195" s="6">
        <v>1</v>
      </c>
      <c r="D1195" s="6">
        <v>1</v>
      </c>
      <c r="E1195" s="6">
        <v>51</v>
      </c>
      <c r="F1195" s="5" t="s">
        <v>6</v>
      </c>
      <c r="G1195" s="5" t="s">
        <v>11</v>
      </c>
      <c r="H1195" s="3" t="s">
        <v>346</v>
      </c>
      <c r="I1195" s="5" t="s">
        <v>437</v>
      </c>
      <c r="J1195" s="5">
        <f>_xlfn.XLOOKUP(CustomerCombined[[#This Row],[ID]], Table4[ID], Table4[Recency], "Not Found", 0)</f>
        <v>8</v>
      </c>
      <c r="K1195" s="5">
        <f>_xlfn.XLOOKUP(CustomerCombined[[#This Row],[ID]], Table4[ID], Table4[Teas], "Not Found", 0)</f>
        <v>223</v>
      </c>
      <c r="L1195" s="5">
        <f>_xlfn.XLOOKUP(CustomerCombined[[#This Row],[ID]], Table4[ID], Table4[Fruits], "Not Found", 0)</f>
        <v>174</v>
      </c>
      <c r="M1195" s="5">
        <f>_xlfn.XLOOKUP(CustomerCombined[[#This Row],[ID]], Table4[ID], Table4[Meats], "Not Found", 0)</f>
        <v>305</v>
      </c>
      <c r="N1195" s="5">
        <f>_xlfn.XLOOKUP(CustomerCombined[[#This Row],[ID]], Table4[ID], Table4[Seafood], "Not Found", 0)</f>
        <v>217</v>
      </c>
      <c r="O1195" s="5">
        <f>_xlfn.XLOOKUP(CustomerCombined[[#This Row],[ID]], Table4[ID], Table4[Sweets], "Not Found", 0)</f>
        <v>46</v>
      </c>
      <c r="P1195" s="5">
        <f>_xlfn.XLOOKUP(CustomerCombined[[#This Row],[ID]], Table4[ID], Table4[Premium], "Not Found", 0)</f>
        <v>0</v>
      </c>
      <c r="Q1195" s="5">
        <f>_xlfn.XLOOKUP(CustomerCombined[[#This Row],[ID]], Table4[ID], Table4[Regular], "Not Found", 0)</f>
        <v>964</v>
      </c>
      <c r="R1195" s="5">
        <f>_xlfn.XLOOKUP(CustomerCombined[[#This Row],[ID]], Table4[ID], Table4[Deals], "Not Found", 0)</f>
        <v>5</v>
      </c>
      <c r="S1195" s="5">
        <f>_xlfn.XLOOKUP(CustomerCombined[[#This Row],[ID]], Table4[ID], Table4[Website], "Not Found", 0)</f>
        <v>6</v>
      </c>
      <c r="T1195" s="5">
        <f>_xlfn.XLOOKUP(CustomerCombined[[#This Row],[ID]], Table4[ID], Table4[Catalog], "Not Found", 0)</f>
        <v>1</v>
      </c>
      <c r="U1195" s="5">
        <f>_xlfn.XLOOKUP(CustomerCombined[[#This Row],[ID]], Table4[ID], Table4[Store], "Not Found", 0)</f>
        <v>5</v>
      </c>
      <c r="V1195" s="5">
        <f>_xlfn.XLOOKUP(CustomerCombined[[#This Row],[ID]], Table4[ID], Table4[Visits], "Not Found", 0)</f>
        <v>9</v>
      </c>
      <c r="W1195" s="8">
        <f>_xlfn.XLOOKUP(CustomerCombined[[#This Row],[ID]], Table2[ID],Table2[Complaint], "Not Found", 0 )</f>
        <v>0</v>
      </c>
      <c r="X1195" s="8">
        <f>_xlfn.XLOOKUP(CustomerCombined[[#This Row],[ID]], Table2[ID],Table2[Pilot], "Not Found", 0 )</f>
        <v>1</v>
      </c>
      <c r="Y1195" s="8">
        <f>_xlfn.XLOOKUP(CustomerCombined[[#This Row],[ID]], Table2[ID],Table2[MC1], "Not Found", 0 )</f>
        <v>0</v>
      </c>
      <c r="Z1195" s="8">
        <f>_xlfn.XLOOKUP(CustomerCombined[[#This Row],[ID]], Table2[ID],Table2[MC2], "Not Found", 0 )</f>
        <v>0</v>
      </c>
      <c r="AA1195" s="8">
        <f>_xlfn.XLOOKUP(CustomerCombined[[#This Row],[ID]], Table2[ID],Table2[MC3], "Not Found", 0 )</f>
        <v>0</v>
      </c>
      <c r="AB1195" s="8">
        <f>_xlfn.XLOOKUP(CustomerCombined[[#This Row],[ID]], Table2[ID],Table2[MC4], "Not Found", 0 )</f>
        <v>0</v>
      </c>
      <c r="AC1195" s="8">
        <f>_xlfn.XLOOKUP(CustomerCombined[[#This Row],[ID]], Table2[ID],Table2[MC5], "Not Found", 0 )</f>
        <v>0</v>
      </c>
    </row>
    <row r="1196" spans="1:29" x14ac:dyDescent="0.3">
      <c r="A1196" s="6">
        <v>1598</v>
      </c>
      <c r="B1196" s="6">
        <v>148240</v>
      </c>
      <c r="C1196" s="6">
        <v>0</v>
      </c>
      <c r="D1196" s="6">
        <v>0</v>
      </c>
      <c r="E1196" s="6">
        <v>51</v>
      </c>
      <c r="F1196" s="5" t="s">
        <v>7</v>
      </c>
      <c r="G1196" s="5" t="s">
        <v>13</v>
      </c>
      <c r="H1196" s="3" t="s">
        <v>366</v>
      </c>
      <c r="I1196" s="5" t="s">
        <v>438</v>
      </c>
      <c r="J1196" s="5">
        <f>_xlfn.XLOOKUP(CustomerCombined[[#This Row],[ID]], Table4[ID], Table4[Recency], "Not Found", 0)</f>
        <v>73</v>
      </c>
      <c r="K1196" s="5">
        <f>_xlfn.XLOOKUP(CustomerCombined[[#This Row],[ID]], Table4[ID], Table4[Teas], "Not Found", 0)</f>
        <v>1195</v>
      </c>
      <c r="L1196" s="5">
        <f>_xlfn.XLOOKUP(CustomerCombined[[#This Row],[ID]], Table4[ID], Table4[Fruits], "Not Found", 0)</f>
        <v>280</v>
      </c>
      <c r="M1196" s="5">
        <f>_xlfn.XLOOKUP(CustomerCombined[[#This Row],[ID]], Table4[ID], Table4[Meats], "Not Found", 0)</f>
        <v>762</v>
      </c>
      <c r="N1196" s="5">
        <f>_xlfn.XLOOKUP(CustomerCombined[[#This Row],[ID]], Table4[ID], Table4[Seafood], "Not Found", 0)</f>
        <v>197</v>
      </c>
      <c r="O1196" s="5">
        <f>_xlfn.XLOOKUP(CustomerCombined[[#This Row],[ID]], Table4[ID], Table4[Sweets], "Not Found", 0)</f>
        <v>151</v>
      </c>
      <c r="P1196" s="5">
        <f>_xlfn.XLOOKUP(CustomerCombined[[#This Row],[ID]], Table4[ID], Table4[Premium], "Not Found", 0)</f>
        <v>126</v>
      </c>
      <c r="Q1196" s="5">
        <f>_xlfn.XLOOKUP(CustomerCombined[[#This Row],[ID]], Table4[ID], Table4[Regular], "Not Found", 0)</f>
        <v>2458</v>
      </c>
      <c r="R1196" s="5">
        <f>_xlfn.XLOOKUP(CustomerCombined[[#This Row],[ID]], Table4[ID], Table4[Deals], "Not Found", 0)</f>
        <v>3</v>
      </c>
      <c r="S1196" s="5">
        <f>_xlfn.XLOOKUP(CustomerCombined[[#This Row],[ID]], Table4[ID], Table4[Website], "Not Found", 0)</f>
        <v>6</v>
      </c>
      <c r="T1196" s="5">
        <f>_xlfn.XLOOKUP(CustomerCombined[[#This Row],[ID]], Table4[ID], Table4[Catalog], "Not Found", 0)</f>
        <v>3</v>
      </c>
      <c r="U1196" s="5">
        <f>_xlfn.XLOOKUP(CustomerCombined[[#This Row],[ID]], Table4[ID], Table4[Store], "Not Found", 0)</f>
        <v>13</v>
      </c>
      <c r="V1196" s="5">
        <f>_xlfn.XLOOKUP(CustomerCombined[[#This Row],[ID]], Table4[ID], Table4[Visits], "Not Found", 0)</f>
        <v>5</v>
      </c>
      <c r="W1196" s="8">
        <f>_xlfn.XLOOKUP(CustomerCombined[[#This Row],[ID]], Table2[ID],Table2[Complaint], "Not Found", 0 )</f>
        <v>0</v>
      </c>
      <c r="X1196" s="8">
        <f>_xlfn.XLOOKUP(CustomerCombined[[#This Row],[ID]], Table2[ID],Table2[Pilot], "Not Found", 0 )</f>
        <v>1</v>
      </c>
      <c r="Y1196" s="8">
        <f>_xlfn.XLOOKUP(CustomerCombined[[#This Row],[ID]], Table2[ID],Table2[MC1], "Not Found", 0 )</f>
        <v>0</v>
      </c>
      <c r="Z1196" s="8">
        <f>_xlfn.XLOOKUP(CustomerCombined[[#This Row],[ID]], Table2[ID],Table2[MC2], "Not Found", 0 )</f>
        <v>0</v>
      </c>
      <c r="AA1196" s="8">
        <f>_xlfn.XLOOKUP(CustomerCombined[[#This Row],[ID]], Table2[ID],Table2[MC3], "Not Found", 0 )</f>
        <v>0</v>
      </c>
      <c r="AB1196" s="8">
        <f>_xlfn.XLOOKUP(CustomerCombined[[#This Row],[ID]], Table2[ID],Table2[MC4], "Not Found", 0 )</f>
        <v>0</v>
      </c>
      <c r="AC1196" s="8">
        <f>_xlfn.XLOOKUP(CustomerCombined[[#This Row],[ID]], Table2[ID],Table2[MC5], "Not Found", 0 )</f>
        <v>0</v>
      </c>
    </row>
    <row r="1197" spans="1:29" x14ac:dyDescent="0.3">
      <c r="A1197" s="6">
        <v>2268</v>
      </c>
      <c r="B1197" s="6">
        <v>146831</v>
      </c>
      <c r="C1197" s="6">
        <v>1</v>
      </c>
      <c r="D1197" s="6">
        <v>1</v>
      </c>
      <c r="E1197" s="6">
        <v>51</v>
      </c>
      <c r="F1197" s="5" t="s">
        <v>6</v>
      </c>
      <c r="G1197" s="5" t="s">
        <v>442</v>
      </c>
      <c r="H1197" s="3" t="s">
        <v>244</v>
      </c>
      <c r="I1197" s="5" t="s">
        <v>436</v>
      </c>
      <c r="J1197" s="5">
        <f>_xlfn.XLOOKUP(CustomerCombined[[#This Row],[ID]], Table4[ID], Table4[Recency], "Not Found", 0)</f>
        <v>84</v>
      </c>
      <c r="K1197" s="5">
        <f>_xlfn.XLOOKUP(CustomerCombined[[#This Row],[ID]], Table4[ID], Table4[Teas], "Not Found", 0)</f>
        <v>69</v>
      </c>
      <c r="L1197" s="5">
        <f>_xlfn.XLOOKUP(CustomerCombined[[#This Row],[ID]], Table4[ID], Table4[Fruits], "Not Found", 0)</f>
        <v>6</v>
      </c>
      <c r="M1197" s="5">
        <f>_xlfn.XLOOKUP(CustomerCombined[[#This Row],[ID]], Table4[ID], Table4[Meats], "Not Found", 0)</f>
        <v>31</v>
      </c>
      <c r="N1197" s="5">
        <f>_xlfn.XLOOKUP(CustomerCombined[[#This Row],[ID]], Table4[ID], Table4[Seafood], "Not Found", 0)</f>
        <v>19</v>
      </c>
      <c r="O1197" s="5">
        <f>_xlfn.XLOOKUP(CustomerCombined[[#This Row],[ID]], Table4[ID], Table4[Sweets], "Not Found", 0)</f>
        <v>13</v>
      </c>
      <c r="P1197" s="5">
        <f>_xlfn.XLOOKUP(CustomerCombined[[#This Row],[ID]], Table4[ID], Table4[Premium], "Not Found", 0)</f>
        <v>107</v>
      </c>
      <c r="Q1197" s="5">
        <f>_xlfn.XLOOKUP(CustomerCombined[[#This Row],[ID]], Table4[ID], Table4[Regular], "Not Found", 0)</f>
        <v>31</v>
      </c>
      <c r="R1197" s="5">
        <f>_xlfn.XLOOKUP(CustomerCombined[[#This Row],[ID]], Table4[ID], Table4[Deals], "Not Found", 0)</f>
        <v>2</v>
      </c>
      <c r="S1197" s="5">
        <f>_xlfn.XLOOKUP(CustomerCombined[[#This Row],[ID]], Table4[ID], Table4[Website], "Not Found", 0)</f>
        <v>1</v>
      </c>
      <c r="T1197" s="5">
        <f>_xlfn.XLOOKUP(CustomerCombined[[#This Row],[ID]], Table4[ID], Table4[Catalog], "Not Found", 0)</f>
        <v>2</v>
      </c>
      <c r="U1197" s="5">
        <f>_xlfn.XLOOKUP(CustomerCombined[[#This Row],[ID]], Table4[ID], Table4[Store], "Not Found", 0)</f>
        <v>2</v>
      </c>
      <c r="V1197" s="5">
        <f>_xlfn.XLOOKUP(CustomerCombined[[#This Row],[ID]], Table4[ID], Table4[Visits], "Not Found", 0)</f>
        <v>4</v>
      </c>
      <c r="W1197" s="8">
        <f>_xlfn.XLOOKUP(CustomerCombined[[#This Row],[ID]], Table2[ID],Table2[Complaint], "Not Found", 0 )</f>
        <v>0</v>
      </c>
      <c r="X1197" s="8">
        <f>_xlfn.XLOOKUP(CustomerCombined[[#This Row],[ID]], Table2[ID],Table2[Pilot], "Not Found", 0 )</f>
        <v>0</v>
      </c>
      <c r="Y1197" s="8">
        <f>_xlfn.XLOOKUP(CustomerCombined[[#This Row],[ID]], Table2[ID],Table2[MC1], "Not Found", 0 )</f>
        <v>0</v>
      </c>
      <c r="Z1197" s="8">
        <f>_xlfn.XLOOKUP(CustomerCombined[[#This Row],[ID]], Table2[ID],Table2[MC2], "Not Found", 0 )</f>
        <v>0</v>
      </c>
      <c r="AA1197" s="8">
        <f>_xlfn.XLOOKUP(CustomerCombined[[#This Row],[ID]], Table2[ID],Table2[MC3], "Not Found", 0 )</f>
        <v>0</v>
      </c>
      <c r="AB1197" s="8">
        <f>_xlfn.XLOOKUP(CustomerCombined[[#This Row],[ID]], Table2[ID],Table2[MC4], "Not Found", 0 )</f>
        <v>0</v>
      </c>
      <c r="AC1197" s="8">
        <f>_xlfn.XLOOKUP(CustomerCombined[[#This Row],[ID]], Table2[ID],Table2[MC5], "Not Found", 0 )</f>
        <v>0</v>
      </c>
    </row>
    <row r="1198" spans="1:29" x14ac:dyDescent="0.3">
      <c r="A1198" s="6">
        <v>1842</v>
      </c>
      <c r="B1198" s="6">
        <v>144602</v>
      </c>
      <c r="C1198" s="6">
        <v>1</v>
      </c>
      <c r="D1198" s="6">
        <v>1</v>
      </c>
      <c r="E1198" s="6">
        <v>51</v>
      </c>
      <c r="F1198" s="5" t="s">
        <v>8</v>
      </c>
      <c r="G1198" s="5" t="s">
        <v>12</v>
      </c>
      <c r="H1198" s="3" t="s">
        <v>98</v>
      </c>
      <c r="I1198" s="5" t="s">
        <v>436</v>
      </c>
      <c r="J1198" s="5">
        <f>_xlfn.XLOOKUP(CustomerCombined[[#This Row],[ID]], Table4[ID], Table4[Recency], "Not Found", 0)</f>
        <v>35</v>
      </c>
      <c r="K1198" s="5">
        <f>_xlfn.XLOOKUP(CustomerCombined[[#This Row],[ID]], Table4[ID], Table4[Teas], "Not Found", 0)</f>
        <v>541</v>
      </c>
      <c r="L1198" s="5">
        <f>_xlfn.XLOOKUP(CustomerCombined[[#This Row],[ID]], Table4[ID], Table4[Fruits], "Not Found", 0)</f>
        <v>6</v>
      </c>
      <c r="M1198" s="5">
        <f>_xlfn.XLOOKUP(CustomerCombined[[#This Row],[ID]], Table4[ID], Table4[Meats], "Not Found", 0)</f>
        <v>289</v>
      </c>
      <c r="N1198" s="5">
        <f>_xlfn.XLOOKUP(CustomerCombined[[#This Row],[ID]], Table4[ID], Table4[Seafood], "Not Found", 0)</f>
        <v>0</v>
      </c>
      <c r="O1198" s="5">
        <f>_xlfn.XLOOKUP(CustomerCombined[[#This Row],[ID]], Table4[ID], Table4[Sweets], "Not Found", 0)</f>
        <v>0</v>
      </c>
      <c r="P1198" s="5">
        <f>_xlfn.XLOOKUP(CustomerCombined[[#This Row],[ID]], Table4[ID], Table4[Premium], "Not Found", 0)</f>
        <v>110</v>
      </c>
      <c r="Q1198" s="5">
        <f>_xlfn.XLOOKUP(CustomerCombined[[#This Row],[ID]], Table4[ID], Table4[Regular], "Not Found", 0)</f>
        <v>726</v>
      </c>
      <c r="R1198" s="5">
        <f>_xlfn.XLOOKUP(CustomerCombined[[#This Row],[ID]], Table4[ID], Table4[Deals], "Not Found", 0)</f>
        <v>6</v>
      </c>
      <c r="S1198" s="5">
        <f>_xlfn.XLOOKUP(CustomerCombined[[#This Row],[ID]], Table4[ID], Table4[Website], "Not Found", 0)</f>
        <v>6</v>
      </c>
      <c r="T1198" s="5">
        <f>_xlfn.XLOOKUP(CustomerCombined[[#This Row],[ID]], Table4[ID], Table4[Catalog], "Not Found", 0)</f>
        <v>1</v>
      </c>
      <c r="U1198" s="5">
        <f>_xlfn.XLOOKUP(CustomerCombined[[#This Row],[ID]], Table4[ID], Table4[Store], "Not Found", 0)</f>
        <v>4</v>
      </c>
      <c r="V1198" s="5">
        <f>_xlfn.XLOOKUP(CustomerCombined[[#This Row],[ID]], Table4[ID], Table4[Visits], "Not Found", 0)</f>
        <v>8</v>
      </c>
      <c r="W1198" s="8">
        <f>_xlfn.XLOOKUP(CustomerCombined[[#This Row],[ID]], Table2[ID],Table2[Complaint], "Not Found", 0 )</f>
        <v>0</v>
      </c>
      <c r="X1198" s="8">
        <f>_xlfn.XLOOKUP(CustomerCombined[[#This Row],[ID]], Table2[ID],Table2[Pilot], "Not Found", 0 )</f>
        <v>0</v>
      </c>
      <c r="Y1198" s="8">
        <f>_xlfn.XLOOKUP(CustomerCombined[[#This Row],[ID]], Table2[ID],Table2[MC1], "Not Found", 0 )</f>
        <v>0</v>
      </c>
      <c r="Z1198" s="8">
        <f>_xlfn.XLOOKUP(CustomerCombined[[#This Row],[ID]], Table2[ID],Table2[MC2], "Not Found", 0 )</f>
        <v>0</v>
      </c>
      <c r="AA1198" s="8">
        <f>_xlfn.XLOOKUP(CustomerCombined[[#This Row],[ID]], Table2[ID],Table2[MC3], "Not Found", 0 )</f>
        <v>0</v>
      </c>
      <c r="AB1198" s="8">
        <f>_xlfn.XLOOKUP(CustomerCombined[[#This Row],[ID]], Table2[ID],Table2[MC4], "Not Found", 0 )</f>
        <v>0</v>
      </c>
      <c r="AC1198" s="8">
        <f>_xlfn.XLOOKUP(CustomerCombined[[#This Row],[ID]], Table2[ID],Table2[MC5], "Not Found", 0 )</f>
        <v>0</v>
      </c>
    </row>
    <row r="1199" spans="1:29" x14ac:dyDescent="0.3">
      <c r="A1199" s="6">
        <v>2614</v>
      </c>
      <c r="B1199" s="6">
        <v>144078</v>
      </c>
      <c r="C1199" s="6">
        <v>1</v>
      </c>
      <c r="D1199" s="6">
        <v>1</v>
      </c>
      <c r="E1199" s="6">
        <v>51</v>
      </c>
      <c r="F1199" s="5" t="s">
        <v>6</v>
      </c>
      <c r="G1199" s="5" t="s">
        <v>11</v>
      </c>
      <c r="H1199" s="3" t="s">
        <v>30</v>
      </c>
      <c r="I1199" s="5" t="s">
        <v>439</v>
      </c>
      <c r="J1199" s="5">
        <f>_xlfn.XLOOKUP(CustomerCombined[[#This Row],[ID]], Table4[ID], Table4[Recency], "Not Found", 0)</f>
        <v>17</v>
      </c>
      <c r="K1199" s="5">
        <f>_xlfn.XLOOKUP(CustomerCombined[[#This Row],[ID]], Table4[ID], Table4[Teas], "Not Found", 0)</f>
        <v>78</v>
      </c>
      <c r="L1199" s="5">
        <f>_xlfn.XLOOKUP(CustomerCombined[[#This Row],[ID]], Table4[ID], Table4[Fruits], "Not Found", 0)</f>
        <v>3</v>
      </c>
      <c r="M1199" s="5">
        <f>_xlfn.XLOOKUP(CustomerCombined[[#This Row],[ID]], Table4[ID], Table4[Meats], "Not Found", 0)</f>
        <v>33</v>
      </c>
      <c r="N1199" s="5">
        <f>_xlfn.XLOOKUP(CustomerCombined[[#This Row],[ID]], Table4[ID], Table4[Seafood], "Not Found", 0)</f>
        <v>7</v>
      </c>
      <c r="O1199" s="5">
        <f>_xlfn.XLOOKUP(CustomerCombined[[#This Row],[ID]], Table4[ID], Table4[Sweets], "Not Found", 0)</f>
        <v>0</v>
      </c>
      <c r="P1199" s="5">
        <f>_xlfn.XLOOKUP(CustomerCombined[[#This Row],[ID]], Table4[ID], Table4[Premium], "Not Found", 0)</f>
        <v>13</v>
      </c>
      <c r="Q1199" s="5">
        <f>_xlfn.XLOOKUP(CustomerCombined[[#This Row],[ID]], Table4[ID], Table4[Regular], "Not Found", 0)</f>
        <v>108</v>
      </c>
      <c r="R1199" s="5">
        <f>_xlfn.XLOOKUP(CustomerCombined[[#This Row],[ID]], Table4[ID], Table4[Deals], "Not Found", 0)</f>
        <v>2</v>
      </c>
      <c r="S1199" s="5">
        <f>_xlfn.XLOOKUP(CustomerCombined[[#This Row],[ID]], Table4[ID], Table4[Website], "Not Found", 0)</f>
        <v>2</v>
      </c>
      <c r="T1199" s="5">
        <f>_xlfn.XLOOKUP(CustomerCombined[[#This Row],[ID]], Table4[ID], Table4[Catalog], "Not Found", 0)</f>
        <v>0</v>
      </c>
      <c r="U1199" s="5">
        <f>_xlfn.XLOOKUP(CustomerCombined[[#This Row],[ID]], Table4[ID], Table4[Store], "Not Found", 0)</f>
        <v>3</v>
      </c>
      <c r="V1199" s="5">
        <f>_xlfn.XLOOKUP(CustomerCombined[[#This Row],[ID]], Table4[ID], Table4[Visits], "Not Found", 0)</f>
        <v>5</v>
      </c>
      <c r="W1199" s="8">
        <f>_xlfn.XLOOKUP(CustomerCombined[[#This Row],[ID]], Table2[ID],Table2[Complaint], "Not Found", 0 )</f>
        <v>0</v>
      </c>
      <c r="X1199" s="8">
        <f>_xlfn.XLOOKUP(CustomerCombined[[#This Row],[ID]], Table2[ID],Table2[Pilot], "Not Found", 0 )</f>
        <v>0</v>
      </c>
      <c r="Y1199" s="8">
        <f>_xlfn.XLOOKUP(CustomerCombined[[#This Row],[ID]], Table2[ID],Table2[MC1], "Not Found", 0 )</f>
        <v>0</v>
      </c>
      <c r="Z1199" s="8">
        <f>_xlfn.XLOOKUP(CustomerCombined[[#This Row],[ID]], Table2[ID],Table2[MC2], "Not Found", 0 )</f>
        <v>0</v>
      </c>
      <c r="AA1199" s="8">
        <f>_xlfn.XLOOKUP(CustomerCombined[[#This Row],[ID]], Table2[ID],Table2[MC3], "Not Found", 0 )</f>
        <v>0</v>
      </c>
      <c r="AB1199" s="8">
        <f>_xlfn.XLOOKUP(CustomerCombined[[#This Row],[ID]], Table2[ID],Table2[MC4], "Not Found", 0 )</f>
        <v>0</v>
      </c>
      <c r="AC1199" s="8">
        <f>_xlfn.XLOOKUP(CustomerCombined[[#This Row],[ID]], Table2[ID],Table2[MC5], "Not Found", 0 )</f>
        <v>0</v>
      </c>
    </row>
    <row r="1200" spans="1:29" x14ac:dyDescent="0.3">
      <c r="A1200" s="6">
        <v>2175</v>
      </c>
      <c r="B1200" s="6">
        <v>143641</v>
      </c>
      <c r="C1200" s="6">
        <v>1</v>
      </c>
      <c r="D1200" s="6">
        <v>1</v>
      </c>
      <c r="E1200" s="6">
        <v>51</v>
      </c>
      <c r="F1200" s="5" t="s">
        <v>6</v>
      </c>
      <c r="G1200" s="5" t="s">
        <v>12</v>
      </c>
      <c r="H1200" s="3" t="s">
        <v>267</v>
      </c>
      <c r="I1200" s="5" t="s">
        <v>435</v>
      </c>
      <c r="J1200" s="5">
        <f>_xlfn.XLOOKUP(CustomerCombined[[#This Row],[ID]], Table4[ID], Table4[Recency], "Not Found", 0)</f>
        <v>50</v>
      </c>
      <c r="K1200" s="5">
        <f>_xlfn.XLOOKUP(CustomerCombined[[#This Row],[ID]], Table4[ID], Table4[Teas], "Not Found", 0)</f>
        <v>188</v>
      </c>
      <c r="L1200" s="5">
        <f>_xlfn.XLOOKUP(CustomerCombined[[#This Row],[ID]], Table4[ID], Table4[Fruits], "Not Found", 0)</f>
        <v>7</v>
      </c>
      <c r="M1200" s="5">
        <f>_xlfn.XLOOKUP(CustomerCombined[[#This Row],[ID]], Table4[ID], Table4[Meats], "Not Found", 0)</f>
        <v>168</v>
      </c>
      <c r="N1200" s="5">
        <f>_xlfn.XLOOKUP(CustomerCombined[[#This Row],[ID]], Table4[ID], Table4[Seafood], "Not Found", 0)</f>
        <v>13</v>
      </c>
      <c r="O1200" s="5">
        <f>_xlfn.XLOOKUP(CustomerCombined[[#This Row],[ID]], Table4[ID], Table4[Sweets], "Not Found", 0)</f>
        <v>7</v>
      </c>
      <c r="P1200" s="5">
        <f>_xlfn.XLOOKUP(CustomerCombined[[#This Row],[ID]], Table4[ID], Table4[Premium], "Not Found", 0)</f>
        <v>76</v>
      </c>
      <c r="Q1200" s="5">
        <f>_xlfn.XLOOKUP(CustomerCombined[[#This Row],[ID]], Table4[ID], Table4[Regular], "Not Found", 0)</f>
        <v>306</v>
      </c>
      <c r="R1200" s="5">
        <f>_xlfn.XLOOKUP(CustomerCombined[[#This Row],[ID]], Table4[ID], Table4[Deals], "Not Found", 0)</f>
        <v>3</v>
      </c>
      <c r="S1200" s="5">
        <f>_xlfn.XLOOKUP(CustomerCombined[[#This Row],[ID]], Table4[ID], Table4[Website], "Not Found", 0)</f>
        <v>2</v>
      </c>
      <c r="T1200" s="5">
        <f>_xlfn.XLOOKUP(CustomerCombined[[#This Row],[ID]], Table4[ID], Table4[Catalog], "Not Found", 0)</f>
        <v>1</v>
      </c>
      <c r="U1200" s="5">
        <f>_xlfn.XLOOKUP(CustomerCombined[[#This Row],[ID]], Table4[ID], Table4[Store], "Not Found", 0)</f>
        <v>4</v>
      </c>
      <c r="V1200" s="5">
        <f>_xlfn.XLOOKUP(CustomerCombined[[#This Row],[ID]], Table4[ID], Table4[Visits], "Not Found", 0)</f>
        <v>6</v>
      </c>
      <c r="W1200" s="8">
        <f>_xlfn.XLOOKUP(CustomerCombined[[#This Row],[ID]], Table2[ID],Table2[Complaint], "Not Found", 0 )</f>
        <v>0</v>
      </c>
      <c r="X1200" s="8">
        <f>_xlfn.XLOOKUP(CustomerCombined[[#This Row],[ID]], Table2[ID],Table2[Pilot], "Not Found", 0 )</f>
        <v>0</v>
      </c>
      <c r="Y1200" s="8">
        <f>_xlfn.XLOOKUP(CustomerCombined[[#This Row],[ID]], Table2[ID],Table2[MC1], "Not Found", 0 )</f>
        <v>0</v>
      </c>
      <c r="Z1200" s="8">
        <f>_xlfn.XLOOKUP(CustomerCombined[[#This Row],[ID]], Table2[ID],Table2[MC2], "Not Found", 0 )</f>
        <v>0</v>
      </c>
      <c r="AA1200" s="8">
        <f>_xlfn.XLOOKUP(CustomerCombined[[#This Row],[ID]], Table2[ID],Table2[MC3], "Not Found", 0 )</f>
        <v>0</v>
      </c>
      <c r="AB1200" s="8">
        <f>_xlfn.XLOOKUP(CustomerCombined[[#This Row],[ID]], Table2[ID],Table2[MC4], "Not Found", 0 )</f>
        <v>0</v>
      </c>
      <c r="AC1200" s="8">
        <f>_xlfn.XLOOKUP(CustomerCombined[[#This Row],[ID]], Table2[ID],Table2[MC5], "Not Found", 0 )</f>
        <v>0</v>
      </c>
    </row>
    <row r="1201" spans="1:29" x14ac:dyDescent="0.3">
      <c r="A1201" s="6">
        <v>1525</v>
      </c>
      <c r="B1201" s="6">
        <v>143638</v>
      </c>
      <c r="C1201" s="6">
        <v>0</v>
      </c>
      <c r="D1201" s="6">
        <v>1</v>
      </c>
      <c r="E1201" s="6">
        <v>51</v>
      </c>
      <c r="F1201" s="5" t="s">
        <v>9</v>
      </c>
      <c r="G1201" s="5" t="s">
        <v>11</v>
      </c>
      <c r="H1201" s="3">
        <v>43770</v>
      </c>
      <c r="I1201" s="5" t="s">
        <v>437</v>
      </c>
      <c r="J1201" s="5">
        <f>_xlfn.XLOOKUP(CustomerCombined[[#This Row],[ID]], Table4[ID], Table4[Recency], "Not Found", 0)</f>
        <v>37</v>
      </c>
      <c r="K1201" s="5">
        <f>_xlfn.XLOOKUP(CustomerCombined[[#This Row],[ID]], Table4[ID], Table4[Teas], "Not Found", 0)</f>
        <v>207</v>
      </c>
      <c r="L1201" s="5">
        <f>_xlfn.XLOOKUP(CustomerCombined[[#This Row],[ID]], Table4[ID], Table4[Fruits], "Not Found", 0)</f>
        <v>33</v>
      </c>
      <c r="M1201" s="5">
        <f>_xlfn.XLOOKUP(CustomerCombined[[#This Row],[ID]], Table4[ID], Table4[Meats], "Not Found", 0)</f>
        <v>273</v>
      </c>
      <c r="N1201" s="5">
        <f>_xlfn.XLOOKUP(CustomerCombined[[#This Row],[ID]], Table4[ID], Table4[Seafood], "Not Found", 0)</f>
        <v>23</v>
      </c>
      <c r="O1201" s="5">
        <f>_xlfn.XLOOKUP(CustomerCombined[[#This Row],[ID]], Table4[ID], Table4[Sweets], "Not Found", 0)</f>
        <v>63</v>
      </c>
      <c r="P1201" s="5">
        <f>_xlfn.XLOOKUP(CustomerCombined[[#This Row],[ID]], Table4[ID], Table4[Premium], "Not Found", 0)</f>
        <v>63</v>
      </c>
      <c r="Q1201" s="5">
        <f>_xlfn.XLOOKUP(CustomerCombined[[#This Row],[ID]], Table4[ID], Table4[Regular], "Not Found", 0)</f>
        <v>537</v>
      </c>
      <c r="R1201" s="5">
        <f>_xlfn.XLOOKUP(CustomerCombined[[#This Row],[ID]], Table4[ID], Table4[Deals], "Not Found", 0)</f>
        <v>2</v>
      </c>
      <c r="S1201" s="5">
        <f>_xlfn.XLOOKUP(CustomerCombined[[#This Row],[ID]], Table4[ID], Table4[Website], "Not Found", 0)</f>
        <v>4</v>
      </c>
      <c r="T1201" s="5">
        <f>_xlfn.XLOOKUP(CustomerCombined[[#This Row],[ID]], Table4[ID], Table4[Catalog], "Not Found", 0)</f>
        <v>1</v>
      </c>
      <c r="U1201" s="5">
        <f>_xlfn.XLOOKUP(CustomerCombined[[#This Row],[ID]], Table4[ID], Table4[Store], "Not Found", 0)</f>
        <v>4</v>
      </c>
      <c r="V1201" s="5">
        <f>_xlfn.XLOOKUP(CustomerCombined[[#This Row],[ID]], Table4[ID], Table4[Visits], "Not Found", 0)</f>
        <v>7</v>
      </c>
      <c r="W1201" s="8">
        <f>_xlfn.XLOOKUP(CustomerCombined[[#This Row],[ID]], Table2[ID],Table2[Complaint], "Not Found", 0 )</f>
        <v>0</v>
      </c>
      <c r="X1201" s="8">
        <f>_xlfn.XLOOKUP(CustomerCombined[[#This Row],[ID]], Table2[ID],Table2[Pilot], "Not Found", 0 )</f>
        <v>0</v>
      </c>
      <c r="Y1201" s="8">
        <f>_xlfn.XLOOKUP(CustomerCombined[[#This Row],[ID]], Table2[ID],Table2[MC1], "Not Found", 0 )</f>
        <v>0</v>
      </c>
      <c r="Z1201" s="8">
        <f>_xlfn.XLOOKUP(CustomerCombined[[#This Row],[ID]], Table2[ID],Table2[MC2], "Not Found", 0 )</f>
        <v>0</v>
      </c>
      <c r="AA1201" s="8">
        <f>_xlfn.XLOOKUP(CustomerCombined[[#This Row],[ID]], Table2[ID],Table2[MC3], "Not Found", 0 )</f>
        <v>0</v>
      </c>
      <c r="AB1201" s="8">
        <f>_xlfn.XLOOKUP(CustomerCombined[[#This Row],[ID]], Table2[ID],Table2[MC4], "Not Found", 0 )</f>
        <v>0</v>
      </c>
      <c r="AC1201" s="8">
        <f>_xlfn.XLOOKUP(CustomerCombined[[#This Row],[ID]], Table2[ID],Table2[MC5], "Not Found", 0 )</f>
        <v>0</v>
      </c>
    </row>
    <row r="1202" spans="1:29" x14ac:dyDescent="0.3">
      <c r="A1202" s="6">
        <v>2388</v>
      </c>
      <c r="B1202" s="6">
        <v>143142</v>
      </c>
      <c r="C1202" s="6">
        <v>1</v>
      </c>
      <c r="D1202" s="6">
        <v>1</v>
      </c>
      <c r="E1202" s="6">
        <v>51</v>
      </c>
      <c r="F1202" s="5" t="s">
        <v>6</v>
      </c>
      <c r="G1202" s="5" t="s">
        <v>12</v>
      </c>
      <c r="H1202" s="3" t="s">
        <v>95</v>
      </c>
      <c r="I1202" s="5" t="s">
        <v>436</v>
      </c>
      <c r="J1202" s="5">
        <f>_xlfn.XLOOKUP(CustomerCombined[[#This Row],[ID]], Table4[ID], Table4[Recency], "Not Found", 0)</f>
        <v>84</v>
      </c>
      <c r="K1202" s="5">
        <f>_xlfn.XLOOKUP(CustomerCombined[[#This Row],[ID]], Table4[ID], Table4[Teas], "Not Found", 0)</f>
        <v>17</v>
      </c>
      <c r="L1202" s="5">
        <f>_xlfn.XLOOKUP(CustomerCombined[[#This Row],[ID]], Table4[ID], Table4[Fruits], "Not Found", 0)</f>
        <v>3</v>
      </c>
      <c r="M1202" s="5">
        <f>_xlfn.XLOOKUP(CustomerCombined[[#This Row],[ID]], Table4[ID], Table4[Meats], "Not Found", 0)</f>
        <v>23</v>
      </c>
      <c r="N1202" s="5">
        <f>_xlfn.XLOOKUP(CustomerCombined[[#This Row],[ID]], Table4[ID], Table4[Seafood], "Not Found", 0)</f>
        <v>7</v>
      </c>
      <c r="O1202" s="5">
        <f>_xlfn.XLOOKUP(CustomerCombined[[#This Row],[ID]], Table4[ID], Table4[Sweets], "Not Found", 0)</f>
        <v>3</v>
      </c>
      <c r="P1202" s="5">
        <f>_xlfn.XLOOKUP(CustomerCombined[[#This Row],[ID]], Table4[ID], Table4[Premium], "Not Found", 0)</f>
        <v>13</v>
      </c>
      <c r="Q1202" s="5">
        <f>_xlfn.XLOOKUP(CustomerCombined[[#This Row],[ID]], Table4[ID], Table4[Regular], "Not Found", 0)</f>
        <v>40</v>
      </c>
      <c r="R1202" s="5">
        <f>_xlfn.XLOOKUP(CustomerCombined[[#This Row],[ID]], Table4[ID], Table4[Deals], "Not Found", 0)</f>
        <v>1</v>
      </c>
      <c r="S1202" s="5">
        <f>_xlfn.XLOOKUP(CustomerCombined[[#This Row],[ID]], Table4[ID], Table4[Website], "Not Found", 0)</f>
        <v>1</v>
      </c>
      <c r="T1202" s="5">
        <f>_xlfn.XLOOKUP(CustomerCombined[[#This Row],[ID]], Table4[ID], Table4[Catalog], "Not Found", 0)</f>
        <v>0</v>
      </c>
      <c r="U1202" s="5">
        <f>_xlfn.XLOOKUP(CustomerCombined[[#This Row],[ID]], Table4[ID], Table4[Store], "Not Found", 0)</f>
        <v>2</v>
      </c>
      <c r="V1202" s="5">
        <f>_xlfn.XLOOKUP(CustomerCombined[[#This Row],[ID]], Table4[ID], Table4[Visits], "Not Found", 0)</f>
        <v>7</v>
      </c>
      <c r="W1202" s="8">
        <f>_xlfn.XLOOKUP(CustomerCombined[[#This Row],[ID]], Table2[ID],Table2[Complaint], "Not Found", 0 )</f>
        <v>0</v>
      </c>
      <c r="X1202" s="8">
        <f>_xlfn.XLOOKUP(CustomerCombined[[#This Row],[ID]], Table2[ID],Table2[Pilot], "Not Found", 0 )</f>
        <v>0</v>
      </c>
      <c r="Y1202" s="8">
        <f>_xlfn.XLOOKUP(CustomerCombined[[#This Row],[ID]], Table2[ID],Table2[MC1], "Not Found", 0 )</f>
        <v>0</v>
      </c>
      <c r="Z1202" s="8">
        <f>_xlfn.XLOOKUP(CustomerCombined[[#This Row],[ID]], Table2[ID],Table2[MC2], "Not Found", 0 )</f>
        <v>0</v>
      </c>
      <c r="AA1202" s="8">
        <f>_xlfn.XLOOKUP(CustomerCombined[[#This Row],[ID]], Table2[ID],Table2[MC3], "Not Found", 0 )</f>
        <v>0</v>
      </c>
      <c r="AB1202" s="8">
        <f>_xlfn.XLOOKUP(CustomerCombined[[#This Row],[ID]], Table2[ID],Table2[MC4], "Not Found", 0 )</f>
        <v>0</v>
      </c>
      <c r="AC1202" s="8">
        <f>_xlfn.XLOOKUP(CustomerCombined[[#This Row],[ID]], Table2[ID],Table2[MC5], "Not Found", 0 )</f>
        <v>0</v>
      </c>
    </row>
    <row r="1203" spans="1:29" x14ac:dyDescent="0.3">
      <c r="A1203" s="6">
        <v>2607</v>
      </c>
      <c r="B1203" s="6">
        <v>142731</v>
      </c>
      <c r="C1203" s="6">
        <v>1</v>
      </c>
      <c r="D1203" s="6">
        <v>0</v>
      </c>
      <c r="E1203" s="6">
        <v>51</v>
      </c>
      <c r="F1203" s="5" t="s">
        <v>8</v>
      </c>
      <c r="G1203" s="5" t="s">
        <v>13</v>
      </c>
      <c r="H1203" s="3" t="s">
        <v>161</v>
      </c>
      <c r="I1203" s="5" t="s">
        <v>435</v>
      </c>
      <c r="J1203" s="5">
        <f>_xlfn.XLOOKUP(CustomerCombined[[#This Row],[ID]], Table4[ID], Table4[Recency], "Not Found", 0)</f>
        <v>64</v>
      </c>
      <c r="K1203" s="5">
        <f>_xlfn.XLOOKUP(CustomerCombined[[#This Row],[ID]], Table4[ID], Table4[Teas], "Not Found", 0)</f>
        <v>531</v>
      </c>
      <c r="L1203" s="5">
        <f>_xlfn.XLOOKUP(CustomerCombined[[#This Row],[ID]], Table4[ID], Table4[Fruits], "Not Found", 0)</f>
        <v>7</v>
      </c>
      <c r="M1203" s="5">
        <f>_xlfn.XLOOKUP(CustomerCombined[[#This Row],[ID]], Table4[ID], Table4[Meats], "Not Found", 0)</f>
        <v>170</v>
      </c>
      <c r="N1203" s="5">
        <f>_xlfn.XLOOKUP(CustomerCombined[[#This Row],[ID]], Table4[ID], Table4[Seafood], "Not Found", 0)</f>
        <v>20</v>
      </c>
      <c r="O1203" s="5">
        <f>_xlfn.XLOOKUP(CustomerCombined[[#This Row],[ID]], Table4[ID], Table4[Sweets], "Not Found", 0)</f>
        <v>7</v>
      </c>
      <c r="P1203" s="5">
        <f>_xlfn.XLOOKUP(CustomerCombined[[#This Row],[ID]], Table4[ID], Table4[Premium], "Not Found", 0)</f>
        <v>80</v>
      </c>
      <c r="Q1203" s="5">
        <f>_xlfn.XLOOKUP(CustomerCombined[[#This Row],[ID]], Table4[ID], Table4[Regular], "Not Found", 0)</f>
        <v>655</v>
      </c>
      <c r="R1203" s="5">
        <f>_xlfn.XLOOKUP(CustomerCombined[[#This Row],[ID]], Table4[ID], Table4[Deals], "Not Found", 0)</f>
        <v>3</v>
      </c>
      <c r="S1203" s="5">
        <f>_xlfn.XLOOKUP(CustomerCombined[[#This Row],[ID]], Table4[ID], Table4[Website], "Not Found", 0)</f>
        <v>4</v>
      </c>
      <c r="T1203" s="5">
        <f>_xlfn.XLOOKUP(CustomerCombined[[#This Row],[ID]], Table4[ID], Table4[Catalog], "Not Found", 0)</f>
        <v>1</v>
      </c>
      <c r="U1203" s="5">
        <f>_xlfn.XLOOKUP(CustomerCombined[[#This Row],[ID]], Table4[ID], Table4[Store], "Not Found", 0)</f>
        <v>5</v>
      </c>
      <c r="V1203" s="5">
        <f>_xlfn.XLOOKUP(CustomerCombined[[#This Row],[ID]], Table4[ID], Table4[Visits], "Not Found", 0)</f>
        <v>5</v>
      </c>
      <c r="W1203" s="8">
        <f>_xlfn.XLOOKUP(CustomerCombined[[#This Row],[ID]], Table2[ID],Table2[Complaint], "Not Found", 0 )</f>
        <v>0</v>
      </c>
      <c r="X1203" s="8">
        <f>_xlfn.XLOOKUP(CustomerCombined[[#This Row],[ID]], Table2[ID],Table2[Pilot], "Not Found", 0 )</f>
        <v>0</v>
      </c>
      <c r="Y1203" s="8">
        <f>_xlfn.XLOOKUP(CustomerCombined[[#This Row],[ID]], Table2[ID],Table2[MC1], "Not Found", 0 )</f>
        <v>0</v>
      </c>
      <c r="Z1203" s="8">
        <f>_xlfn.XLOOKUP(CustomerCombined[[#This Row],[ID]], Table2[ID],Table2[MC2], "Not Found", 0 )</f>
        <v>0</v>
      </c>
      <c r="AA1203" s="8">
        <f>_xlfn.XLOOKUP(CustomerCombined[[#This Row],[ID]], Table2[ID],Table2[MC3], "Not Found", 0 )</f>
        <v>0</v>
      </c>
      <c r="AB1203" s="8">
        <f>_xlfn.XLOOKUP(CustomerCombined[[#This Row],[ID]], Table2[ID],Table2[MC4], "Not Found", 0 )</f>
        <v>0</v>
      </c>
      <c r="AC1203" s="8">
        <f>_xlfn.XLOOKUP(CustomerCombined[[#This Row],[ID]], Table2[ID],Table2[MC5], "Not Found", 0 )</f>
        <v>0</v>
      </c>
    </row>
    <row r="1204" spans="1:29" x14ac:dyDescent="0.3">
      <c r="A1204" s="6">
        <v>2660</v>
      </c>
      <c r="B1204" s="6">
        <v>142231</v>
      </c>
      <c r="C1204" s="6">
        <v>1</v>
      </c>
      <c r="D1204" s="6">
        <v>1</v>
      </c>
      <c r="E1204" s="6">
        <v>51</v>
      </c>
      <c r="F1204" s="5" t="s">
        <v>6</v>
      </c>
      <c r="G1204" s="5" t="s">
        <v>11</v>
      </c>
      <c r="H1204" s="3" t="s">
        <v>76</v>
      </c>
      <c r="I1204" s="5" t="s">
        <v>438</v>
      </c>
      <c r="J1204" s="5">
        <f>_xlfn.XLOOKUP(CustomerCombined[[#This Row],[ID]], Table4[ID], Table4[Recency], "Not Found", 0)</f>
        <v>99</v>
      </c>
      <c r="K1204" s="5">
        <f>_xlfn.XLOOKUP(CustomerCombined[[#This Row],[ID]], Table4[ID], Table4[Teas], "Not Found", 0)</f>
        <v>81</v>
      </c>
      <c r="L1204" s="5">
        <f>_xlfn.XLOOKUP(CustomerCombined[[#This Row],[ID]], Table4[ID], Table4[Fruits], "Not Found", 0)</f>
        <v>0</v>
      </c>
      <c r="M1204" s="5">
        <f>_xlfn.XLOOKUP(CustomerCombined[[#This Row],[ID]], Table4[ID], Table4[Meats], "Not Found", 0)</f>
        <v>27</v>
      </c>
      <c r="N1204" s="5">
        <f>_xlfn.XLOOKUP(CustomerCombined[[#This Row],[ID]], Table4[ID], Table4[Seafood], "Not Found", 0)</f>
        <v>0</v>
      </c>
      <c r="O1204" s="5">
        <f>_xlfn.XLOOKUP(CustomerCombined[[#This Row],[ID]], Table4[ID], Table4[Sweets], "Not Found", 0)</f>
        <v>3</v>
      </c>
      <c r="P1204" s="5">
        <f>_xlfn.XLOOKUP(CustomerCombined[[#This Row],[ID]], Table4[ID], Table4[Premium], "Not Found", 0)</f>
        <v>13</v>
      </c>
      <c r="Q1204" s="5">
        <f>_xlfn.XLOOKUP(CustomerCombined[[#This Row],[ID]], Table4[ID], Table4[Regular], "Not Found", 0)</f>
        <v>98</v>
      </c>
      <c r="R1204" s="5">
        <f>_xlfn.XLOOKUP(CustomerCombined[[#This Row],[ID]], Table4[ID], Table4[Deals], "Not Found", 0)</f>
        <v>1</v>
      </c>
      <c r="S1204" s="5">
        <f>_xlfn.XLOOKUP(CustomerCombined[[#This Row],[ID]], Table4[ID], Table4[Website], "Not Found", 0)</f>
        <v>1</v>
      </c>
      <c r="T1204" s="5">
        <f>_xlfn.XLOOKUP(CustomerCombined[[#This Row],[ID]], Table4[ID], Table4[Catalog], "Not Found", 0)</f>
        <v>0</v>
      </c>
      <c r="U1204" s="5">
        <f>_xlfn.XLOOKUP(CustomerCombined[[#This Row],[ID]], Table4[ID], Table4[Store], "Not Found", 0)</f>
        <v>3</v>
      </c>
      <c r="V1204" s="5">
        <f>_xlfn.XLOOKUP(CustomerCombined[[#This Row],[ID]], Table4[ID], Table4[Visits], "Not Found", 0)</f>
        <v>5</v>
      </c>
      <c r="W1204" s="8">
        <f>_xlfn.XLOOKUP(CustomerCombined[[#This Row],[ID]], Table2[ID],Table2[Complaint], "Not Found", 0 )</f>
        <v>0</v>
      </c>
      <c r="X1204" s="8">
        <f>_xlfn.XLOOKUP(CustomerCombined[[#This Row],[ID]], Table2[ID],Table2[Pilot], "Not Found", 0 )</f>
        <v>0</v>
      </c>
      <c r="Y1204" s="8">
        <f>_xlfn.XLOOKUP(CustomerCombined[[#This Row],[ID]], Table2[ID],Table2[MC1], "Not Found", 0 )</f>
        <v>0</v>
      </c>
      <c r="Z1204" s="8">
        <f>_xlfn.XLOOKUP(CustomerCombined[[#This Row],[ID]], Table2[ID],Table2[MC2], "Not Found", 0 )</f>
        <v>0</v>
      </c>
      <c r="AA1204" s="8">
        <f>_xlfn.XLOOKUP(CustomerCombined[[#This Row],[ID]], Table2[ID],Table2[MC3], "Not Found", 0 )</f>
        <v>0</v>
      </c>
      <c r="AB1204" s="8">
        <f>_xlfn.XLOOKUP(CustomerCombined[[#This Row],[ID]], Table2[ID],Table2[MC4], "Not Found", 0 )</f>
        <v>0</v>
      </c>
      <c r="AC1204" s="8">
        <f>_xlfn.XLOOKUP(CustomerCombined[[#This Row],[ID]], Table2[ID],Table2[MC5], "Not Found", 0 )</f>
        <v>0</v>
      </c>
    </row>
    <row r="1205" spans="1:29" x14ac:dyDescent="0.3">
      <c r="A1205" s="6">
        <v>1581</v>
      </c>
      <c r="B1205" s="6">
        <v>142169</v>
      </c>
      <c r="C1205" s="6">
        <v>1</v>
      </c>
      <c r="D1205" s="6">
        <v>1</v>
      </c>
      <c r="E1205" s="6">
        <v>51</v>
      </c>
      <c r="F1205" s="5" t="s">
        <v>6</v>
      </c>
      <c r="G1205" s="5" t="s">
        <v>12</v>
      </c>
      <c r="H1205" s="3" t="s">
        <v>163</v>
      </c>
      <c r="I1205" s="5" t="s">
        <v>435</v>
      </c>
      <c r="J1205" s="5">
        <f>_xlfn.XLOOKUP(CustomerCombined[[#This Row],[ID]], Table4[ID], Table4[Recency], "Not Found", 0)</f>
        <v>20</v>
      </c>
      <c r="K1205" s="5">
        <f>_xlfn.XLOOKUP(CustomerCombined[[#This Row],[ID]], Table4[ID], Table4[Teas], "Not Found", 0)</f>
        <v>64</v>
      </c>
      <c r="L1205" s="5">
        <f>_xlfn.XLOOKUP(CustomerCombined[[#This Row],[ID]], Table4[ID], Table4[Fruits], "Not Found", 0)</f>
        <v>0</v>
      </c>
      <c r="M1205" s="5">
        <f>_xlfn.XLOOKUP(CustomerCombined[[#This Row],[ID]], Table4[ID], Table4[Meats], "Not Found", 0)</f>
        <v>30</v>
      </c>
      <c r="N1205" s="5">
        <f>_xlfn.XLOOKUP(CustomerCombined[[#This Row],[ID]], Table4[ID], Table4[Seafood], "Not Found", 0)</f>
        <v>0</v>
      </c>
      <c r="O1205" s="5">
        <f>_xlfn.XLOOKUP(CustomerCombined[[#This Row],[ID]], Table4[ID], Table4[Sweets], "Not Found", 0)</f>
        <v>0</v>
      </c>
      <c r="P1205" s="5">
        <f>_xlfn.XLOOKUP(CustomerCombined[[#This Row],[ID]], Table4[ID], Table4[Premium], "Not Found", 0)</f>
        <v>7</v>
      </c>
      <c r="Q1205" s="5">
        <f>_xlfn.XLOOKUP(CustomerCombined[[#This Row],[ID]], Table4[ID], Table4[Regular], "Not Found", 0)</f>
        <v>88</v>
      </c>
      <c r="R1205" s="5">
        <f>_xlfn.XLOOKUP(CustomerCombined[[#This Row],[ID]], Table4[ID], Table4[Deals], "Not Found", 0)</f>
        <v>2</v>
      </c>
      <c r="S1205" s="5">
        <f>_xlfn.XLOOKUP(CustomerCombined[[#This Row],[ID]], Table4[ID], Table4[Website], "Not Found", 0)</f>
        <v>1</v>
      </c>
      <c r="T1205" s="5">
        <f>_xlfn.XLOOKUP(CustomerCombined[[#This Row],[ID]], Table4[ID], Table4[Catalog], "Not Found", 0)</f>
        <v>0</v>
      </c>
      <c r="U1205" s="5">
        <f>_xlfn.XLOOKUP(CustomerCombined[[#This Row],[ID]], Table4[ID], Table4[Store], "Not Found", 0)</f>
        <v>3</v>
      </c>
      <c r="V1205" s="5">
        <f>_xlfn.XLOOKUP(CustomerCombined[[#This Row],[ID]], Table4[ID], Table4[Visits], "Not Found", 0)</f>
        <v>8</v>
      </c>
      <c r="W1205" s="8">
        <f>_xlfn.XLOOKUP(CustomerCombined[[#This Row],[ID]], Table2[ID],Table2[Complaint], "Not Found", 0 )</f>
        <v>0</v>
      </c>
      <c r="X1205" s="8">
        <f>_xlfn.XLOOKUP(CustomerCombined[[#This Row],[ID]], Table2[ID],Table2[Pilot], "Not Found", 0 )</f>
        <v>0</v>
      </c>
      <c r="Y1205" s="8">
        <f>_xlfn.XLOOKUP(CustomerCombined[[#This Row],[ID]], Table2[ID],Table2[MC1], "Not Found", 0 )</f>
        <v>0</v>
      </c>
      <c r="Z1205" s="8">
        <f>_xlfn.XLOOKUP(CustomerCombined[[#This Row],[ID]], Table2[ID],Table2[MC2], "Not Found", 0 )</f>
        <v>0</v>
      </c>
      <c r="AA1205" s="8">
        <f>_xlfn.XLOOKUP(CustomerCombined[[#This Row],[ID]], Table2[ID],Table2[MC3], "Not Found", 0 )</f>
        <v>0</v>
      </c>
      <c r="AB1205" s="8">
        <f>_xlfn.XLOOKUP(CustomerCombined[[#This Row],[ID]], Table2[ID],Table2[MC4], "Not Found", 0 )</f>
        <v>0</v>
      </c>
      <c r="AC1205" s="8">
        <f>_xlfn.XLOOKUP(CustomerCombined[[#This Row],[ID]], Table2[ID],Table2[MC5], "Not Found", 0 )</f>
        <v>0</v>
      </c>
    </row>
    <row r="1206" spans="1:29" x14ac:dyDescent="0.3">
      <c r="A1206" s="6">
        <v>1943</v>
      </c>
      <c r="B1206" s="6">
        <v>141021</v>
      </c>
      <c r="C1206" s="6">
        <v>1</v>
      </c>
      <c r="D1206" s="6">
        <v>0</v>
      </c>
      <c r="E1206" s="6">
        <v>51</v>
      </c>
      <c r="F1206" s="5" t="s">
        <v>8</v>
      </c>
      <c r="G1206" s="5" t="s">
        <v>12</v>
      </c>
      <c r="H1206" s="3">
        <v>43622</v>
      </c>
      <c r="I1206" s="5" t="s">
        <v>434</v>
      </c>
      <c r="J1206" s="5">
        <f>_xlfn.XLOOKUP(CustomerCombined[[#This Row],[ID]], Table4[ID], Table4[Recency], "Not Found", 0)</f>
        <v>12</v>
      </c>
      <c r="K1206" s="5">
        <f>_xlfn.XLOOKUP(CustomerCombined[[#This Row],[ID]], Table4[ID], Table4[Teas], "Not Found", 0)</f>
        <v>48</v>
      </c>
      <c r="L1206" s="5">
        <f>_xlfn.XLOOKUP(CustomerCombined[[#This Row],[ID]], Table4[ID], Table4[Fruits], "Not Found", 0)</f>
        <v>24</v>
      </c>
      <c r="M1206" s="5">
        <f>_xlfn.XLOOKUP(CustomerCombined[[#This Row],[ID]], Table4[ID], Table4[Meats], "Not Found", 0)</f>
        <v>31</v>
      </c>
      <c r="N1206" s="5">
        <f>_xlfn.XLOOKUP(CustomerCombined[[#This Row],[ID]], Table4[ID], Table4[Seafood], "Not Found", 0)</f>
        <v>21</v>
      </c>
      <c r="O1206" s="5">
        <f>_xlfn.XLOOKUP(CustomerCombined[[#This Row],[ID]], Table4[ID], Table4[Sweets], "Not Found", 0)</f>
        <v>55</v>
      </c>
      <c r="P1206" s="5">
        <f>_xlfn.XLOOKUP(CustomerCombined[[#This Row],[ID]], Table4[ID], Table4[Premium], "Not Found", 0)</f>
        <v>41</v>
      </c>
      <c r="Q1206" s="5">
        <f>_xlfn.XLOOKUP(CustomerCombined[[#This Row],[ID]], Table4[ID], Table4[Regular], "Not Found", 0)</f>
        <v>138</v>
      </c>
      <c r="R1206" s="5">
        <f>_xlfn.XLOOKUP(CustomerCombined[[#This Row],[ID]], Table4[ID], Table4[Deals], "Not Found", 0)</f>
        <v>2</v>
      </c>
      <c r="S1206" s="5">
        <f>_xlfn.XLOOKUP(CustomerCombined[[#This Row],[ID]], Table4[ID], Table4[Website], "Not Found", 0)</f>
        <v>2</v>
      </c>
      <c r="T1206" s="5">
        <f>_xlfn.XLOOKUP(CustomerCombined[[#This Row],[ID]], Table4[ID], Table4[Catalog], "Not Found", 0)</f>
        <v>0</v>
      </c>
      <c r="U1206" s="5">
        <f>_xlfn.XLOOKUP(CustomerCombined[[#This Row],[ID]], Table4[ID], Table4[Store], "Not Found", 0)</f>
        <v>3</v>
      </c>
      <c r="V1206" s="5">
        <f>_xlfn.XLOOKUP(CustomerCombined[[#This Row],[ID]], Table4[ID], Table4[Visits], "Not Found", 0)</f>
        <v>6</v>
      </c>
      <c r="W1206" s="8">
        <f>_xlfn.XLOOKUP(CustomerCombined[[#This Row],[ID]], Table2[ID],Table2[Complaint], "Not Found", 0 )</f>
        <v>0</v>
      </c>
      <c r="X1206" s="8">
        <f>_xlfn.XLOOKUP(CustomerCombined[[#This Row],[ID]], Table2[ID],Table2[Pilot], "Not Found", 0 )</f>
        <v>1</v>
      </c>
      <c r="Y1206" s="8">
        <f>_xlfn.XLOOKUP(CustomerCombined[[#This Row],[ID]], Table2[ID],Table2[MC1], "Not Found", 0 )</f>
        <v>0</v>
      </c>
      <c r="Z1206" s="8">
        <f>_xlfn.XLOOKUP(CustomerCombined[[#This Row],[ID]], Table2[ID],Table2[MC2], "Not Found", 0 )</f>
        <v>0</v>
      </c>
      <c r="AA1206" s="8">
        <f>_xlfn.XLOOKUP(CustomerCombined[[#This Row],[ID]], Table2[ID],Table2[MC3], "Not Found", 0 )</f>
        <v>0</v>
      </c>
      <c r="AB1206" s="8">
        <f>_xlfn.XLOOKUP(CustomerCombined[[#This Row],[ID]], Table2[ID],Table2[MC4], "Not Found", 0 )</f>
        <v>0</v>
      </c>
      <c r="AC1206" s="8">
        <f>_xlfn.XLOOKUP(CustomerCombined[[#This Row],[ID]], Table2[ID],Table2[MC5], "Not Found", 0 )</f>
        <v>0</v>
      </c>
    </row>
    <row r="1207" spans="1:29" x14ac:dyDescent="0.3">
      <c r="A1207" s="6">
        <v>3104</v>
      </c>
      <c r="B1207" s="6">
        <v>140590</v>
      </c>
      <c r="C1207" s="6">
        <v>1</v>
      </c>
      <c r="D1207" s="6">
        <v>1</v>
      </c>
      <c r="E1207" s="6">
        <v>51</v>
      </c>
      <c r="F1207" s="5" t="s">
        <v>9</v>
      </c>
      <c r="G1207" s="5" t="s">
        <v>11</v>
      </c>
      <c r="H1207" s="3">
        <v>44046</v>
      </c>
      <c r="I1207" s="5" t="s">
        <v>438</v>
      </c>
      <c r="J1207" s="5">
        <f>_xlfn.XLOOKUP(CustomerCombined[[#This Row],[ID]], Table4[ID], Table4[Recency], "Not Found", 0)</f>
        <v>30</v>
      </c>
      <c r="K1207" s="5">
        <f>_xlfn.XLOOKUP(CustomerCombined[[#This Row],[ID]], Table4[ID], Table4[Teas], "Not Found", 0)</f>
        <v>533</v>
      </c>
      <c r="L1207" s="5">
        <f>_xlfn.XLOOKUP(CustomerCombined[[#This Row],[ID]], Table4[ID], Table4[Fruits], "Not Found", 0)</f>
        <v>0</v>
      </c>
      <c r="M1207" s="5">
        <f>_xlfn.XLOOKUP(CustomerCombined[[#This Row],[ID]], Table4[ID], Table4[Meats], "Not Found", 0)</f>
        <v>173</v>
      </c>
      <c r="N1207" s="5">
        <f>_xlfn.XLOOKUP(CustomerCombined[[#This Row],[ID]], Table4[ID], Table4[Seafood], "Not Found", 0)</f>
        <v>21</v>
      </c>
      <c r="O1207" s="5">
        <f>_xlfn.XLOOKUP(CustomerCombined[[#This Row],[ID]], Table4[ID], Table4[Sweets], "Not Found", 0)</f>
        <v>38</v>
      </c>
      <c r="P1207" s="5">
        <f>_xlfn.XLOOKUP(CustomerCombined[[#This Row],[ID]], Table4[ID], Table4[Premium], "Not Found", 0)</f>
        <v>128</v>
      </c>
      <c r="Q1207" s="5">
        <f>_xlfn.XLOOKUP(CustomerCombined[[#This Row],[ID]], Table4[ID], Table4[Regular], "Not Found", 0)</f>
        <v>637</v>
      </c>
      <c r="R1207" s="5">
        <f>_xlfn.XLOOKUP(CustomerCombined[[#This Row],[ID]], Table4[ID], Table4[Deals], "Not Found", 0)</f>
        <v>5</v>
      </c>
      <c r="S1207" s="5">
        <f>_xlfn.XLOOKUP(CustomerCombined[[#This Row],[ID]], Table4[ID], Table4[Website], "Not Found", 0)</f>
        <v>3</v>
      </c>
      <c r="T1207" s="5">
        <f>_xlfn.XLOOKUP(CustomerCombined[[#This Row],[ID]], Table4[ID], Table4[Catalog], "Not Found", 0)</f>
        <v>4</v>
      </c>
      <c r="U1207" s="5">
        <f>_xlfn.XLOOKUP(CustomerCombined[[#This Row],[ID]], Table4[ID], Table4[Store], "Not Found", 0)</f>
        <v>3</v>
      </c>
      <c r="V1207" s="5">
        <f>_xlfn.XLOOKUP(CustomerCombined[[#This Row],[ID]], Table4[ID], Table4[Visits], "Not Found", 0)</f>
        <v>6</v>
      </c>
      <c r="W1207" s="8">
        <f>_xlfn.XLOOKUP(CustomerCombined[[#This Row],[ID]], Table2[ID],Table2[Complaint], "Not Found", 0 )</f>
        <v>0</v>
      </c>
      <c r="X1207" s="8">
        <f>_xlfn.XLOOKUP(CustomerCombined[[#This Row],[ID]], Table2[ID],Table2[Pilot], "Not Found", 0 )</f>
        <v>0</v>
      </c>
      <c r="Y1207" s="8">
        <f>_xlfn.XLOOKUP(CustomerCombined[[#This Row],[ID]], Table2[ID],Table2[MC1], "Not Found", 0 )</f>
        <v>0</v>
      </c>
      <c r="Z1207" s="8">
        <f>_xlfn.XLOOKUP(CustomerCombined[[#This Row],[ID]], Table2[ID],Table2[MC2], "Not Found", 0 )</f>
        <v>0</v>
      </c>
      <c r="AA1207" s="8">
        <f>_xlfn.XLOOKUP(CustomerCombined[[#This Row],[ID]], Table2[ID],Table2[MC3], "Not Found", 0 )</f>
        <v>1</v>
      </c>
      <c r="AB1207" s="8">
        <f>_xlfn.XLOOKUP(CustomerCombined[[#This Row],[ID]], Table2[ID],Table2[MC4], "Not Found", 0 )</f>
        <v>0</v>
      </c>
      <c r="AC1207" s="8">
        <f>_xlfn.XLOOKUP(CustomerCombined[[#This Row],[ID]], Table2[ID],Table2[MC5], "Not Found", 0 )</f>
        <v>0</v>
      </c>
    </row>
    <row r="1208" spans="1:29" x14ac:dyDescent="0.3">
      <c r="A1208" s="6">
        <v>3121</v>
      </c>
      <c r="B1208" s="6">
        <v>140590</v>
      </c>
      <c r="C1208" s="6">
        <v>1</v>
      </c>
      <c r="D1208" s="6">
        <v>1</v>
      </c>
      <c r="E1208" s="6">
        <v>51</v>
      </c>
      <c r="F1208" s="5" t="s">
        <v>9</v>
      </c>
      <c r="G1208" s="5" t="s">
        <v>11</v>
      </c>
      <c r="H1208" s="3">
        <v>44046</v>
      </c>
      <c r="I1208" s="5" t="s">
        <v>437</v>
      </c>
      <c r="J1208" s="5">
        <f>_xlfn.XLOOKUP(CustomerCombined[[#This Row],[ID]], Table4[ID], Table4[Recency], "Not Found", 0)</f>
        <v>30</v>
      </c>
      <c r="K1208" s="5">
        <f>_xlfn.XLOOKUP(CustomerCombined[[#This Row],[ID]], Table4[ID], Table4[Teas], "Not Found", 0)</f>
        <v>533</v>
      </c>
      <c r="L1208" s="5">
        <f>_xlfn.XLOOKUP(CustomerCombined[[#This Row],[ID]], Table4[ID], Table4[Fruits], "Not Found", 0)</f>
        <v>0</v>
      </c>
      <c r="M1208" s="5">
        <f>_xlfn.XLOOKUP(CustomerCombined[[#This Row],[ID]], Table4[ID], Table4[Meats], "Not Found", 0)</f>
        <v>173</v>
      </c>
      <c r="N1208" s="5">
        <f>_xlfn.XLOOKUP(CustomerCombined[[#This Row],[ID]], Table4[ID], Table4[Seafood], "Not Found", 0)</f>
        <v>21</v>
      </c>
      <c r="O1208" s="5">
        <f>_xlfn.XLOOKUP(CustomerCombined[[#This Row],[ID]], Table4[ID], Table4[Sweets], "Not Found", 0)</f>
        <v>38</v>
      </c>
      <c r="P1208" s="5">
        <f>_xlfn.XLOOKUP(CustomerCombined[[#This Row],[ID]], Table4[ID], Table4[Premium], "Not Found", 0)</f>
        <v>128</v>
      </c>
      <c r="Q1208" s="5">
        <f>_xlfn.XLOOKUP(CustomerCombined[[#This Row],[ID]], Table4[ID], Table4[Regular], "Not Found", 0)</f>
        <v>637</v>
      </c>
      <c r="R1208" s="5">
        <f>_xlfn.XLOOKUP(CustomerCombined[[#This Row],[ID]], Table4[ID], Table4[Deals], "Not Found", 0)</f>
        <v>5</v>
      </c>
      <c r="S1208" s="5">
        <f>_xlfn.XLOOKUP(CustomerCombined[[#This Row],[ID]], Table4[ID], Table4[Website], "Not Found", 0)</f>
        <v>3</v>
      </c>
      <c r="T1208" s="5">
        <f>_xlfn.XLOOKUP(CustomerCombined[[#This Row],[ID]], Table4[ID], Table4[Catalog], "Not Found", 0)</f>
        <v>4</v>
      </c>
      <c r="U1208" s="5">
        <f>_xlfn.XLOOKUP(CustomerCombined[[#This Row],[ID]], Table4[ID], Table4[Store], "Not Found", 0)</f>
        <v>3</v>
      </c>
      <c r="V1208" s="5">
        <f>_xlfn.XLOOKUP(CustomerCombined[[#This Row],[ID]], Table4[ID], Table4[Visits], "Not Found", 0)</f>
        <v>6</v>
      </c>
      <c r="W1208" s="8">
        <f>_xlfn.XLOOKUP(CustomerCombined[[#This Row],[ID]], Table2[ID],Table2[Complaint], "Not Found", 0 )</f>
        <v>0</v>
      </c>
      <c r="X1208" s="8">
        <f>_xlfn.XLOOKUP(CustomerCombined[[#This Row],[ID]], Table2[ID],Table2[Pilot], "Not Found", 0 )</f>
        <v>0</v>
      </c>
      <c r="Y1208" s="8">
        <f>_xlfn.XLOOKUP(CustomerCombined[[#This Row],[ID]], Table2[ID],Table2[MC1], "Not Found", 0 )</f>
        <v>0</v>
      </c>
      <c r="Z1208" s="8">
        <f>_xlfn.XLOOKUP(CustomerCombined[[#This Row],[ID]], Table2[ID],Table2[MC2], "Not Found", 0 )</f>
        <v>0</v>
      </c>
      <c r="AA1208" s="8">
        <f>_xlfn.XLOOKUP(CustomerCombined[[#This Row],[ID]], Table2[ID],Table2[MC3], "Not Found", 0 )</f>
        <v>1</v>
      </c>
      <c r="AB1208" s="8">
        <f>_xlfn.XLOOKUP(CustomerCombined[[#This Row],[ID]], Table2[ID],Table2[MC4], "Not Found", 0 )</f>
        <v>0</v>
      </c>
      <c r="AC1208" s="8">
        <f>_xlfn.XLOOKUP(CustomerCombined[[#This Row],[ID]], Table2[ID],Table2[MC5], "Not Found", 0 )</f>
        <v>0</v>
      </c>
    </row>
    <row r="1209" spans="1:29" x14ac:dyDescent="0.3">
      <c r="A1209" s="6">
        <v>1903</v>
      </c>
      <c r="B1209" s="6">
        <v>139858</v>
      </c>
      <c r="C1209" s="6">
        <v>1</v>
      </c>
      <c r="D1209" s="6">
        <v>0</v>
      </c>
      <c r="E1209" s="6">
        <v>51</v>
      </c>
      <c r="F1209" s="5" t="s">
        <v>7</v>
      </c>
      <c r="G1209" s="5" t="s">
        <v>12</v>
      </c>
      <c r="H1209" s="3">
        <v>43472</v>
      </c>
      <c r="I1209" s="5" t="s">
        <v>437</v>
      </c>
      <c r="J1209" s="5">
        <f>_xlfn.XLOOKUP(CustomerCombined[[#This Row],[ID]], Table4[ID], Table4[Recency], "Not Found", 0)</f>
        <v>67</v>
      </c>
      <c r="K1209" s="5">
        <f>_xlfn.XLOOKUP(CustomerCombined[[#This Row],[ID]], Table4[ID], Table4[Teas], "Not Found", 0)</f>
        <v>53</v>
      </c>
      <c r="L1209" s="5">
        <f>_xlfn.XLOOKUP(CustomerCombined[[#This Row],[ID]], Table4[ID], Table4[Fruits], "Not Found", 0)</f>
        <v>70</v>
      </c>
      <c r="M1209" s="5">
        <f>_xlfn.XLOOKUP(CustomerCombined[[#This Row],[ID]], Table4[ID], Table4[Meats], "Not Found", 0)</f>
        <v>88</v>
      </c>
      <c r="N1209" s="5">
        <f>_xlfn.XLOOKUP(CustomerCombined[[#This Row],[ID]], Table4[ID], Table4[Seafood], "Not Found", 0)</f>
        <v>7</v>
      </c>
      <c r="O1209" s="5">
        <f>_xlfn.XLOOKUP(CustomerCombined[[#This Row],[ID]], Table4[ID], Table4[Sweets], "Not Found", 0)</f>
        <v>25</v>
      </c>
      <c r="P1209" s="5">
        <f>_xlfn.XLOOKUP(CustomerCombined[[#This Row],[ID]], Table4[ID], Table4[Premium], "Not Found", 0)</f>
        <v>91</v>
      </c>
      <c r="Q1209" s="5">
        <f>_xlfn.XLOOKUP(CustomerCombined[[#This Row],[ID]], Table4[ID], Table4[Regular], "Not Found", 0)</f>
        <v>151</v>
      </c>
      <c r="R1209" s="5">
        <f>_xlfn.XLOOKUP(CustomerCombined[[#This Row],[ID]], Table4[ID], Table4[Deals], "Not Found", 0)</f>
        <v>1</v>
      </c>
      <c r="S1209" s="5">
        <f>_xlfn.XLOOKUP(CustomerCombined[[#This Row],[ID]], Table4[ID], Table4[Website], "Not Found", 0)</f>
        <v>2</v>
      </c>
      <c r="T1209" s="5">
        <f>_xlfn.XLOOKUP(CustomerCombined[[#This Row],[ID]], Table4[ID], Table4[Catalog], "Not Found", 0)</f>
        <v>0</v>
      </c>
      <c r="U1209" s="5">
        <f>_xlfn.XLOOKUP(CustomerCombined[[#This Row],[ID]], Table4[ID], Table4[Store], "Not Found", 0)</f>
        <v>4</v>
      </c>
      <c r="V1209" s="5">
        <f>_xlfn.XLOOKUP(CustomerCombined[[#This Row],[ID]], Table4[ID], Table4[Visits], "Not Found", 0)</f>
        <v>6</v>
      </c>
      <c r="W1209" s="8">
        <f>_xlfn.XLOOKUP(CustomerCombined[[#This Row],[ID]], Table2[ID],Table2[Complaint], "Not Found", 0 )</f>
        <v>0</v>
      </c>
      <c r="X1209" s="8">
        <f>_xlfn.XLOOKUP(CustomerCombined[[#This Row],[ID]], Table2[ID],Table2[Pilot], "Not Found", 0 )</f>
        <v>1</v>
      </c>
      <c r="Y1209" s="8">
        <f>_xlfn.XLOOKUP(CustomerCombined[[#This Row],[ID]], Table2[ID],Table2[MC1], "Not Found", 0 )</f>
        <v>0</v>
      </c>
      <c r="Z1209" s="8">
        <f>_xlfn.XLOOKUP(CustomerCombined[[#This Row],[ID]], Table2[ID],Table2[MC2], "Not Found", 0 )</f>
        <v>0</v>
      </c>
      <c r="AA1209" s="8">
        <f>_xlfn.XLOOKUP(CustomerCombined[[#This Row],[ID]], Table2[ID],Table2[MC3], "Not Found", 0 )</f>
        <v>0</v>
      </c>
      <c r="AB1209" s="8">
        <f>_xlfn.XLOOKUP(CustomerCombined[[#This Row],[ID]], Table2[ID],Table2[MC4], "Not Found", 0 )</f>
        <v>0</v>
      </c>
      <c r="AC1209" s="8">
        <f>_xlfn.XLOOKUP(CustomerCombined[[#This Row],[ID]], Table2[ID],Table2[MC5], "Not Found", 0 )</f>
        <v>0</v>
      </c>
    </row>
    <row r="1210" spans="1:29" x14ac:dyDescent="0.3">
      <c r="A1210" s="6">
        <v>1278</v>
      </c>
      <c r="B1210" s="6">
        <v>138361</v>
      </c>
      <c r="C1210" s="6">
        <v>1</v>
      </c>
      <c r="D1210" s="6">
        <v>0</v>
      </c>
      <c r="E1210" s="6">
        <v>51</v>
      </c>
      <c r="F1210" s="5" t="s">
        <v>8</v>
      </c>
      <c r="G1210" s="5" t="s">
        <v>11</v>
      </c>
      <c r="H1210" s="3">
        <v>43867</v>
      </c>
      <c r="I1210" s="5" t="s">
        <v>436</v>
      </c>
      <c r="J1210" s="5">
        <f>_xlfn.XLOOKUP(CustomerCombined[[#This Row],[ID]], Table4[ID], Table4[Recency], "Not Found", 0)</f>
        <v>74</v>
      </c>
      <c r="K1210" s="5">
        <f>_xlfn.XLOOKUP(CustomerCombined[[#This Row],[ID]], Table4[ID], Table4[Teas], "Not Found", 0)</f>
        <v>141</v>
      </c>
      <c r="L1210" s="5">
        <f>_xlfn.XLOOKUP(CustomerCombined[[#This Row],[ID]], Table4[ID], Table4[Fruits], "Not Found", 0)</f>
        <v>0</v>
      </c>
      <c r="M1210" s="5">
        <f>_xlfn.XLOOKUP(CustomerCombined[[#This Row],[ID]], Table4[ID], Table4[Meats], "Not Found", 0)</f>
        <v>202</v>
      </c>
      <c r="N1210" s="5">
        <f>_xlfn.XLOOKUP(CustomerCombined[[#This Row],[ID]], Table4[ID], Table4[Seafood], "Not Found", 0)</f>
        <v>72</v>
      </c>
      <c r="O1210" s="5">
        <f>_xlfn.XLOOKUP(CustomerCombined[[#This Row],[ID]], Table4[ID], Table4[Sweets], "Not Found", 0)</f>
        <v>29</v>
      </c>
      <c r="P1210" s="5">
        <f>_xlfn.XLOOKUP(CustomerCombined[[#This Row],[ID]], Table4[ID], Table4[Premium], "Not Found", 0)</f>
        <v>50</v>
      </c>
      <c r="Q1210" s="5">
        <f>_xlfn.XLOOKUP(CustomerCombined[[#This Row],[ID]], Table4[ID], Table4[Regular], "Not Found", 0)</f>
        <v>393</v>
      </c>
      <c r="R1210" s="5">
        <f>_xlfn.XLOOKUP(CustomerCombined[[#This Row],[ID]], Table4[ID], Table4[Deals], "Not Found", 0)</f>
        <v>3</v>
      </c>
      <c r="S1210" s="5">
        <f>_xlfn.XLOOKUP(CustomerCombined[[#This Row],[ID]], Table4[ID], Table4[Website], "Not Found", 0)</f>
        <v>3</v>
      </c>
      <c r="T1210" s="5">
        <f>_xlfn.XLOOKUP(CustomerCombined[[#This Row],[ID]], Table4[ID], Table4[Catalog], "Not Found", 0)</f>
        <v>1</v>
      </c>
      <c r="U1210" s="5">
        <f>_xlfn.XLOOKUP(CustomerCombined[[#This Row],[ID]], Table4[ID], Table4[Store], "Not Found", 0)</f>
        <v>3</v>
      </c>
      <c r="V1210" s="5">
        <f>_xlfn.XLOOKUP(CustomerCombined[[#This Row],[ID]], Table4[ID], Table4[Visits], "Not Found", 0)</f>
        <v>7</v>
      </c>
      <c r="W1210" s="8">
        <f>_xlfn.XLOOKUP(CustomerCombined[[#This Row],[ID]], Table2[ID],Table2[Complaint], "Not Found", 0 )</f>
        <v>0</v>
      </c>
      <c r="X1210" s="8">
        <f>_xlfn.XLOOKUP(CustomerCombined[[#This Row],[ID]], Table2[ID],Table2[Pilot], "Not Found", 0 )</f>
        <v>0</v>
      </c>
      <c r="Y1210" s="8">
        <f>_xlfn.XLOOKUP(CustomerCombined[[#This Row],[ID]], Table2[ID],Table2[MC1], "Not Found", 0 )</f>
        <v>0</v>
      </c>
      <c r="Z1210" s="8">
        <f>_xlfn.XLOOKUP(CustomerCombined[[#This Row],[ID]], Table2[ID],Table2[MC2], "Not Found", 0 )</f>
        <v>0</v>
      </c>
      <c r="AA1210" s="8">
        <f>_xlfn.XLOOKUP(CustomerCombined[[#This Row],[ID]], Table2[ID],Table2[MC3], "Not Found", 0 )</f>
        <v>0</v>
      </c>
      <c r="AB1210" s="8">
        <f>_xlfn.XLOOKUP(CustomerCombined[[#This Row],[ID]], Table2[ID],Table2[MC4], "Not Found", 0 )</f>
        <v>0</v>
      </c>
      <c r="AC1210" s="8">
        <f>_xlfn.XLOOKUP(CustomerCombined[[#This Row],[ID]], Table2[ID],Table2[MC5], "Not Found", 0 )</f>
        <v>0</v>
      </c>
    </row>
    <row r="1211" spans="1:29" x14ac:dyDescent="0.3">
      <c r="A1211" s="6">
        <v>3034</v>
      </c>
      <c r="B1211" s="6">
        <v>138361</v>
      </c>
      <c r="C1211" s="6">
        <v>1</v>
      </c>
      <c r="D1211" s="6">
        <v>0</v>
      </c>
      <c r="E1211" s="6">
        <v>51</v>
      </c>
      <c r="F1211" s="5" t="s">
        <v>8</v>
      </c>
      <c r="G1211" s="5" t="s">
        <v>11</v>
      </c>
      <c r="H1211" s="3">
        <v>43867</v>
      </c>
      <c r="I1211" s="5" t="s">
        <v>439</v>
      </c>
      <c r="J1211" s="5">
        <f>_xlfn.XLOOKUP(CustomerCombined[[#This Row],[ID]], Table4[ID], Table4[Recency], "Not Found", 0)</f>
        <v>74</v>
      </c>
      <c r="K1211" s="5">
        <f>_xlfn.XLOOKUP(CustomerCombined[[#This Row],[ID]], Table4[ID], Table4[Teas], "Not Found", 0)</f>
        <v>141</v>
      </c>
      <c r="L1211" s="5">
        <f>_xlfn.XLOOKUP(CustomerCombined[[#This Row],[ID]], Table4[ID], Table4[Fruits], "Not Found", 0)</f>
        <v>0</v>
      </c>
      <c r="M1211" s="5">
        <f>_xlfn.XLOOKUP(CustomerCombined[[#This Row],[ID]], Table4[ID], Table4[Meats], "Not Found", 0)</f>
        <v>202</v>
      </c>
      <c r="N1211" s="5">
        <f>_xlfn.XLOOKUP(CustomerCombined[[#This Row],[ID]], Table4[ID], Table4[Seafood], "Not Found", 0)</f>
        <v>72</v>
      </c>
      <c r="O1211" s="5">
        <f>_xlfn.XLOOKUP(CustomerCombined[[#This Row],[ID]], Table4[ID], Table4[Sweets], "Not Found", 0)</f>
        <v>29</v>
      </c>
      <c r="P1211" s="5">
        <f>_xlfn.XLOOKUP(CustomerCombined[[#This Row],[ID]], Table4[ID], Table4[Premium], "Not Found", 0)</f>
        <v>50</v>
      </c>
      <c r="Q1211" s="5">
        <f>_xlfn.XLOOKUP(CustomerCombined[[#This Row],[ID]], Table4[ID], Table4[Regular], "Not Found", 0)</f>
        <v>393</v>
      </c>
      <c r="R1211" s="5">
        <f>_xlfn.XLOOKUP(CustomerCombined[[#This Row],[ID]], Table4[ID], Table4[Deals], "Not Found", 0)</f>
        <v>3</v>
      </c>
      <c r="S1211" s="5">
        <f>_xlfn.XLOOKUP(CustomerCombined[[#This Row],[ID]], Table4[ID], Table4[Website], "Not Found", 0)</f>
        <v>3</v>
      </c>
      <c r="T1211" s="5">
        <f>_xlfn.XLOOKUP(CustomerCombined[[#This Row],[ID]], Table4[ID], Table4[Catalog], "Not Found", 0)</f>
        <v>1</v>
      </c>
      <c r="U1211" s="5">
        <f>_xlfn.XLOOKUP(CustomerCombined[[#This Row],[ID]], Table4[ID], Table4[Store], "Not Found", 0)</f>
        <v>3</v>
      </c>
      <c r="V1211" s="5">
        <f>_xlfn.XLOOKUP(CustomerCombined[[#This Row],[ID]], Table4[ID], Table4[Visits], "Not Found", 0)</f>
        <v>7</v>
      </c>
      <c r="W1211" s="8">
        <f>_xlfn.XLOOKUP(CustomerCombined[[#This Row],[ID]], Table2[ID],Table2[Complaint], "Not Found", 0 )</f>
        <v>0</v>
      </c>
      <c r="X1211" s="8">
        <f>_xlfn.XLOOKUP(CustomerCombined[[#This Row],[ID]], Table2[ID],Table2[Pilot], "Not Found", 0 )</f>
        <v>0</v>
      </c>
      <c r="Y1211" s="8">
        <f>_xlfn.XLOOKUP(CustomerCombined[[#This Row],[ID]], Table2[ID],Table2[MC1], "Not Found", 0 )</f>
        <v>0</v>
      </c>
      <c r="Z1211" s="8">
        <f>_xlfn.XLOOKUP(CustomerCombined[[#This Row],[ID]], Table2[ID],Table2[MC2], "Not Found", 0 )</f>
        <v>0</v>
      </c>
      <c r="AA1211" s="8">
        <f>_xlfn.XLOOKUP(CustomerCombined[[#This Row],[ID]], Table2[ID],Table2[MC3], "Not Found", 0 )</f>
        <v>0</v>
      </c>
      <c r="AB1211" s="8">
        <f>_xlfn.XLOOKUP(CustomerCombined[[#This Row],[ID]], Table2[ID],Table2[MC4], "Not Found", 0 )</f>
        <v>0</v>
      </c>
      <c r="AC1211" s="8">
        <f>_xlfn.XLOOKUP(CustomerCombined[[#This Row],[ID]], Table2[ID],Table2[MC5], "Not Found", 0 )</f>
        <v>0</v>
      </c>
    </row>
    <row r="1212" spans="1:29" x14ac:dyDescent="0.3">
      <c r="A1212" s="6">
        <v>2616</v>
      </c>
      <c r="B1212" s="6">
        <v>135924</v>
      </c>
      <c r="C1212" s="6">
        <v>1</v>
      </c>
      <c r="D1212" s="6">
        <v>1</v>
      </c>
      <c r="E1212" s="6">
        <v>51</v>
      </c>
      <c r="F1212" s="5" t="s">
        <v>8</v>
      </c>
      <c r="G1212" s="5" t="s">
        <v>12</v>
      </c>
      <c r="H1212" s="3" t="s">
        <v>78</v>
      </c>
      <c r="I1212" s="5" t="s">
        <v>436</v>
      </c>
      <c r="J1212" s="5">
        <f>_xlfn.XLOOKUP(CustomerCombined[[#This Row],[ID]], Table4[ID], Table4[Recency], "Not Found", 0)</f>
        <v>56</v>
      </c>
      <c r="K1212" s="5">
        <f>_xlfn.XLOOKUP(CustomerCombined[[#This Row],[ID]], Table4[ID], Table4[Teas], "Not Found", 0)</f>
        <v>30</v>
      </c>
      <c r="L1212" s="5">
        <f>_xlfn.XLOOKUP(CustomerCombined[[#This Row],[ID]], Table4[ID], Table4[Fruits], "Not Found", 0)</f>
        <v>0</v>
      </c>
      <c r="M1212" s="5">
        <f>_xlfn.XLOOKUP(CustomerCombined[[#This Row],[ID]], Table4[ID], Table4[Meats], "Not Found", 0)</f>
        <v>53</v>
      </c>
      <c r="N1212" s="5">
        <f>_xlfn.XLOOKUP(CustomerCombined[[#This Row],[ID]], Table4[ID], Table4[Seafood], "Not Found", 0)</f>
        <v>8</v>
      </c>
      <c r="O1212" s="5">
        <f>_xlfn.XLOOKUP(CustomerCombined[[#This Row],[ID]], Table4[ID], Table4[Sweets], "Not Found", 0)</f>
        <v>11</v>
      </c>
      <c r="P1212" s="5">
        <f>_xlfn.XLOOKUP(CustomerCombined[[#This Row],[ID]], Table4[ID], Table4[Premium], "Not Found", 0)</f>
        <v>26</v>
      </c>
      <c r="Q1212" s="5">
        <f>_xlfn.XLOOKUP(CustomerCombined[[#This Row],[ID]], Table4[ID], Table4[Regular], "Not Found", 0)</f>
        <v>76</v>
      </c>
      <c r="R1212" s="5">
        <f>_xlfn.XLOOKUP(CustomerCombined[[#This Row],[ID]], Table4[ID], Table4[Deals], "Not Found", 0)</f>
        <v>1</v>
      </c>
      <c r="S1212" s="5">
        <f>_xlfn.XLOOKUP(CustomerCombined[[#This Row],[ID]], Table4[ID], Table4[Website], "Not Found", 0)</f>
        <v>1</v>
      </c>
      <c r="T1212" s="5">
        <f>_xlfn.XLOOKUP(CustomerCombined[[#This Row],[ID]], Table4[ID], Table4[Catalog], "Not Found", 0)</f>
        <v>0</v>
      </c>
      <c r="U1212" s="5">
        <f>_xlfn.XLOOKUP(CustomerCombined[[#This Row],[ID]], Table4[ID], Table4[Store], "Not Found", 0)</f>
        <v>3</v>
      </c>
      <c r="V1212" s="5">
        <f>_xlfn.XLOOKUP(CustomerCombined[[#This Row],[ID]], Table4[ID], Table4[Visits], "Not Found", 0)</f>
        <v>5</v>
      </c>
      <c r="W1212" s="8">
        <f>_xlfn.XLOOKUP(CustomerCombined[[#This Row],[ID]], Table2[ID],Table2[Complaint], "Not Found", 0 )</f>
        <v>0</v>
      </c>
      <c r="X1212" s="8">
        <f>_xlfn.XLOOKUP(CustomerCombined[[#This Row],[ID]], Table2[ID],Table2[Pilot], "Not Found", 0 )</f>
        <v>0</v>
      </c>
      <c r="Y1212" s="8">
        <f>_xlfn.XLOOKUP(CustomerCombined[[#This Row],[ID]], Table2[ID],Table2[MC1], "Not Found", 0 )</f>
        <v>0</v>
      </c>
      <c r="Z1212" s="8">
        <f>_xlfn.XLOOKUP(CustomerCombined[[#This Row],[ID]], Table2[ID],Table2[MC2], "Not Found", 0 )</f>
        <v>0</v>
      </c>
      <c r="AA1212" s="8">
        <f>_xlfn.XLOOKUP(CustomerCombined[[#This Row],[ID]], Table2[ID],Table2[MC3], "Not Found", 0 )</f>
        <v>0</v>
      </c>
      <c r="AB1212" s="8">
        <f>_xlfn.XLOOKUP(CustomerCombined[[#This Row],[ID]], Table2[ID],Table2[MC4], "Not Found", 0 )</f>
        <v>0</v>
      </c>
      <c r="AC1212" s="8">
        <f>_xlfn.XLOOKUP(CustomerCombined[[#This Row],[ID]], Table2[ID],Table2[MC5], "Not Found", 0 )</f>
        <v>0</v>
      </c>
    </row>
    <row r="1213" spans="1:29" x14ac:dyDescent="0.3">
      <c r="A1213" s="6">
        <v>1364</v>
      </c>
      <c r="B1213" s="6">
        <v>133581</v>
      </c>
      <c r="C1213" s="6">
        <v>2</v>
      </c>
      <c r="D1213" s="6">
        <v>0</v>
      </c>
      <c r="E1213" s="6">
        <v>51</v>
      </c>
      <c r="F1213" s="5" t="s">
        <v>6</v>
      </c>
      <c r="G1213" s="5" t="s">
        <v>13</v>
      </c>
      <c r="H1213" s="3" t="s">
        <v>332</v>
      </c>
      <c r="I1213" s="5" t="s">
        <v>438</v>
      </c>
      <c r="J1213" s="5">
        <f>_xlfn.XLOOKUP(CustomerCombined[[#This Row],[ID]], Table4[ID], Table4[Recency], "Not Found", 0)</f>
        <v>38</v>
      </c>
      <c r="K1213" s="5">
        <f>_xlfn.XLOOKUP(CustomerCombined[[#This Row],[ID]], Table4[ID], Table4[Teas], "Not Found", 0)</f>
        <v>44</v>
      </c>
      <c r="L1213" s="5">
        <f>_xlfn.XLOOKUP(CustomerCombined[[#This Row],[ID]], Table4[ID], Table4[Fruits], "Not Found", 0)</f>
        <v>0</v>
      </c>
      <c r="M1213" s="5">
        <f>_xlfn.XLOOKUP(CustomerCombined[[#This Row],[ID]], Table4[ID], Table4[Meats], "Not Found", 0)</f>
        <v>20</v>
      </c>
      <c r="N1213" s="5">
        <f>_xlfn.XLOOKUP(CustomerCombined[[#This Row],[ID]], Table4[ID], Table4[Seafood], "Not Found", 0)</f>
        <v>0</v>
      </c>
      <c r="O1213" s="5">
        <f>_xlfn.XLOOKUP(CustomerCombined[[#This Row],[ID]], Table4[ID], Table4[Sweets], "Not Found", 0)</f>
        <v>0</v>
      </c>
      <c r="P1213" s="5">
        <f>_xlfn.XLOOKUP(CustomerCombined[[#This Row],[ID]], Table4[ID], Table4[Premium], "Not Found", 0)</f>
        <v>4</v>
      </c>
      <c r="Q1213" s="5">
        <f>_xlfn.XLOOKUP(CustomerCombined[[#This Row],[ID]], Table4[ID], Table4[Regular], "Not Found", 0)</f>
        <v>60</v>
      </c>
      <c r="R1213" s="5">
        <f>_xlfn.XLOOKUP(CustomerCombined[[#This Row],[ID]], Table4[ID], Table4[Deals], "Not Found", 0)</f>
        <v>1</v>
      </c>
      <c r="S1213" s="5">
        <f>_xlfn.XLOOKUP(CustomerCombined[[#This Row],[ID]], Table4[ID], Table4[Website], "Not Found", 0)</f>
        <v>1</v>
      </c>
      <c r="T1213" s="5">
        <f>_xlfn.XLOOKUP(CustomerCombined[[#This Row],[ID]], Table4[ID], Table4[Catalog], "Not Found", 0)</f>
        <v>0</v>
      </c>
      <c r="U1213" s="5">
        <f>_xlfn.XLOOKUP(CustomerCombined[[#This Row],[ID]], Table4[ID], Table4[Store], "Not Found", 0)</f>
        <v>2</v>
      </c>
      <c r="V1213" s="5">
        <f>_xlfn.XLOOKUP(CustomerCombined[[#This Row],[ID]], Table4[ID], Table4[Visits], "Not Found", 0)</f>
        <v>8</v>
      </c>
      <c r="W1213" s="8">
        <f>_xlfn.XLOOKUP(CustomerCombined[[#This Row],[ID]], Table2[ID],Table2[Complaint], "Not Found", 0 )</f>
        <v>0</v>
      </c>
      <c r="X1213" s="8">
        <f>_xlfn.XLOOKUP(CustomerCombined[[#This Row],[ID]], Table2[ID],Table2[Pilot], "Not Found", 0 )</f>
        <v>0</v>
      </c>
      <c r="Y1213" s="8">
        <f>_xlfn.XLOOKUP(CustomerCombined[[#This Row],[ID]], Table2[ID],Table2[MC1], "Not Found", 0 )</f>
        <v>0</v>
      </c>
      <c r="Z1213" s="8">
        <f>_xlfn.XLOOKUP(CustomerCombined[[#This Row],[ID]], Table2[ID],Table2[MC2], "Not Found", 0 )</f>
        <v>0</v>
      </c>
      <c r="AA1213" s="8">
        <f>_xlfn.XLOOKUP(CustomerCombined[[#This Row],[ID]], Table2[ID],Table2[MC3], "Not Found", 0 )</f>
        <v>0</v>
      </c>
      <c r="AB1213" s="8">
        <f>_xlfn.XLOOKUP(CustomerCombined[[#This Row],[ID]], Table2[ID],Table2[MC4], "Not Found", 0 )</f>
        <v>0</v>
      </c>
      <c r="AC1213" s="8">
        <f>_xlfn.XLOOKUP(CustomerCombined[[#This Row],[ID]], Table2[ID],Table2[MC5], "Not Found", 0 )</f>
        <v>0</v>
      </c>
    </row>
    <row r="1214" spans="1:29" x14ac:dyDescent="0.3">
      <c r="A1214" s="6">
        <v>1363</v>
      </c>
      <c r="B1214" s="6">
        <v>130822</v>
      </c>
      <c r="C1214" s="6">
        <v>1</v>
      </c>
      <c r="D1214" s="6">
        <v>0</v>
      </c>
      <c r="E1214" s="6">
        <v>51</v>
      </c>
      <c r="F1214" s="5" t="s">
        <v>7</v>
      </c>
      <c r="G1214" s="5" t="s">
        <v>11</v>
      </c>
      <c r="H1214" s="3" t="s">
        <v>238</v>
      </c>
      <c r="I1214" s="5" t="s">
        <v>437</v>
      </c>
      <c r="J1214" s="5">
        <f>_xlfn.XLOOKUP(CustomerCombined[[#This Row],[ID]], Table4[ID], Table4[Recency], "Not Found", 0)</f>
        <v>92</v>
      </c>
      <c r="K1214" s="5">
        <f>_xlfn.XLOOKUP(CustomerCombined[[#This Row],[ID]], Table4[ID], Table4[Teas], "Not Found", 0)</f>
        <v>13</v>
      </c>
      <c r="L1214" s="5">
        <f>_xlfn.XLOOKUP(CustomerCombined[[#This Row],[ID]], Table4[ID], Table4[Fruits], "Not Found", 0)</f>
        <v>38</v>
      </c>
      <c r="M1214" s="5">
        <f>_xlfn.XLOOKUP(CustomerCombined[[#This Row],[ID]], Table4[ID], Table4[Meats], "Not Found", 0)</f>
        <v>55</v>
      </c>
      <c r="N1214" s="5">
        <f>_xlfn.XLOOKUP(CustomerCombined[[#This Row],[ID]], Table4[ID], Table4[Seafood], "Not Found", 0)</f>
        <v>8</v>
      </c>
      <c r="O1214" s="5">
        <f>_xlfn.XLOOKUP(CustomerCombined[[#This Row],[ID]], Table4[ID], Table4[Sweets], "Not Found", 0)</f>
        <v>51</v>
      </c>
      <c r="P1214" s="5">
        <f>_xlfn.XLOOKUP(CustomerCombined[[#This Row],[ID]], Table4[ID], Table4[Premium], "Not Found", 0)</f>
        <v>51</v>
      </c>
      <c r="Q1214" s="5">
        <f>_xlfn.XLOOKUP(CustomerCombined[[#This Row],[ID]], Table4[ID], Table4[Regular], "Not Found", 0)</f>
        <v>115</v>
      </c>
      <c r="R1214" s="5">
        <f>_xlfn.XLOOKUP(CustomerCombined[[#This Row],[ID]], Table4[ID], Table4[Deals], "Not Found", 0)</f>
        <v>1</v>
      </c>
      <c r="S1214" s="5">
        <f>_xlfn.XLOOKUP(CustomerCombined[[#This Row],[ID]], Table4[ID], Table4[Website], "Not Found", 0)</f>
        <v>1</v>
      </c>
      <c r="T1214" s="5">
        <f>_xlfn.XLOOKUP(CustomerCombined[[#This Row],[ID]], Table4[ID], Table4[Catalog], "Not Found", 0)</f>
        <v>0</v>
      </c>
      <c r="U1214" s="5">
        <f>_xlfn.XLOOKUP(CustomerCombined[[#This Row],[ID]], Table4[ID], Table4[Store], "Not Found", 0)</f>
        <v>3</v>
      </c>
      <c r="V1214" s="5">
        <f>_xlfn.XLOOKUP(CustomerCombined[[#This Row],[ID]], Table4[ID], Table4[Visits], "Not Found", 0)</f>
        <v>7</v>
      </c>
      <c r="W1214" s="8">
        <f>_xlfn.XLOOKUP(CustomerCombined[[#This Row],[ID]], Table2[ID],Table2[Complaint], "Not Found", 0 )</f>
        <v>0</v>
      </c>
      <c r="X1214" s="8">
        <f>_xlfn.XLOOKUP(CustomerCombined[[#This Row],[ID]], Table2[ID],Table2[Pilot], "Not Found", 0 )</f>
        <v>0</v>
      </c>
      <c r="Y1214" s="8">
        <f>_xlfn.XLOOKUP(CustomerCombined[[#This Row],[ID]], Table2[ID],Table2[MC1], "Not Found", 0 )</f>
        <v>0</v>
      </c>
      <c r="Z1214" s="8">
        <f>_xlfn.XLOOKUP(CustomerCombined[[#This Row],[ID]], Table2[ID],Table2[MC2], "Not Found", 0 )</f>
        <v>0</v>
      </c>
      <c r="AA1214" s="8">
        <f>_xlfn.XLOOKUP(CustomerCombined[[#This Row],[ID]], Table2[ID],Table2[MC3], "Not Found", 0 )</f>
        <v>0</v>
      </c>
      <c r="AB1214" s="8">
        <f>_xlfn.XLOOKUP(CustomerCombined[[#This Row],[ID]], Table2[ID],Table2[MC4], "Not Found", 0 )</f>
        <v>0</v>
      </c>
      <c r="AC1214" s="8">
        <f>_xlfn.XLOOKUP(CustomerCombined[[#This Row],[ID]], Table2[ID],Table2[MC5], "Not Found", 0 )</f>
        <v>0</v>
      </c>
    </row>
    <row r="1215" spans="1:29" x14ac:dyDescent="0.3">
      <c r="A1215" s="6">
        <v>2856</v>
      </c>
      <c r="B1215" s="6">
        <v>130396</v>
      </c>
      <c r="C1215" s="6">
        <v>1</v>
      </c>
      <c r="D1215" s="6">
        <v>0</v>
      </c>
      <c r="E1215" s="6">
        <v>51</v>
      </c>
      <c r="F1215" s="5" t="s">
        <v>6</v>
      </c>
      <c r="G1215" s="5" t="s">
        <v>13</v>
      </c>
      <c r="H1215" s="3">
        <v>43931</v>
      </c>
      <c r="I1215" s="5" t="s">
        <v>436</v>
      </c>
      <c r="J1215" s="5">
        <f>_xlfn.XLOOKUP(CustomerCombined[[#This Row],[ID]], Table4[ID], Table4[Recency], "Not Found", 0)</f>
        <v>22</v>
      </c>
      <c r="K1215" s="5">
        <f>_xlfn.XLOOKUP(CustomerCombined[[#This Row],[ID]], Table4[ID], Table4[Teas], "Not Found", 0)</f>
        <v>64</v>
      </c>
      <c r="L1215" s="5">
        <f>_xlfn.XLOOKUP(CustomerCombined[[#This Row],[ID]], Table4[ID], Table4[Fruits], "Not Found", 0)</f>
        <v>0</v>
      </c>
      <c r="M1215" s="5">
        <f>_xlfn.XLOOKUP(CustomerCombined[[#This Row],[ID]], Table4[ID], Table4[Meats], "Not Found", 0)</f>
        <v>26</v>
      </c>
      <c r="N1215" s="5">
        <f>_xlfn.XLOOKUP(CustomerCombined[[#This Row],[ID]], Table4[ID], Table4[Seafood], "Not Found", 0)</f>
        <v>0</v>
      </c>
      <c r="O1215" s="5">
        <f>_xlfn.XLOOKUP(CustomerCombined[[#This Row],[ID]], Table4[ID], Table4[Sweets], "Not Found", 0)</f>
        <v>4</v>
      </c>
      <c r="P1215" s="5">
        <f>_xlfn.XLOOKUP(CustomerCombined[[#This Row],[ID]], Table4[ID], Table4[Premium], "Not Found", 0)</f>
        <v>51</v>
      </c>
      <c r="Q1215" s="5">
        <f>_xlfn.XLOOKUP(CustomerCombined[[#This Row],[ID]], Table4[ID], Table4[Regular], "Not Found", 0)</f>
        <v>43</v>
      </c>
      <c r="R1215" s="5">
        <f>_xlfn.XLOOKUP(CustomerCombined[[#This Row],[ID]], Table4[ID], Table4[Deals], "Not Found", 0)</f>
        <v>2</v>
      </c>
      <c r="S1215" s="5">
        <f>_xlfn.XLOOKUP(CustomerCombined[[#This Row],[ID]], Table4[ID], Table4[Website], "Not Found", 0)</f>
        <v>1</v>
      </c>
      <c r="T1215" s="5">
        <f>_xlfn.XLOOKUP(CustomerCombined[[#This Row],[ID]], Table4[ID], Table4[Catalog], "Not Found", 0)</f>
        <v>1</v>
      </c>
      <c r="U1215" s="5">
        <f>_xlfn.XLOOKUP(CustomerCombined[[#This Row],[ID]], Table4[ID], Table4[Store], "Not Found", 0)</f>
        <v>2</v>
      </c>
      <c r="V1215" s="5">
        <f>_xlfn.XLOOKUP(CustomerCombined[[#This Row],[ID]], Table4[ID], Table4[Visits], "Not Found", 0)</f>
        <v>7</v>
      </c>
      <c r="W1215" s="8">
        <f>_xlfn.XLOOKUP(CustomerCombined[[#This Row],[ID]], Table2[ID],Table2[Complaint], "Not Found", 0 )</f>
        <v>0</v>
      </c>
      <c r="X1215" s="8">
        <f>_xlfn.XLOOKUP(CustomerCombined[[#This Row],[ID]], Table2[ID],Table2[Pilot], "Not Found", 0 )</f>
        <v>1</v>
      </c>
      <c r="Y1215" s="8">
        <f>_xlfn.XLOOKUP(CustomerCombined[[#This Row],[ID]], Table2[ID],Table2[MC1], "Not Found", 0 )</f>
        <v>0</v>
      </c>
      <c r="Z1215" s="8">
        <f>_xlfn.XLOOKUP(CustomerCombined[[#This Row],[ID]], Table2[ID],Table2[MC2], "Not Found", 0 )</f>
        <v>0</v>
      </c>
      <c r="AA1215" s="8">
        <f>_xlfn.XLOOKUP(CustomerCombined[[#This Row],[ID]], Table2[ID],Table2[MC3], "Not Found", 0 )</f>
        <v>1</v>
      </c>
      <c r="AB1215" s="8">
        <f>_xlfn.XLOOKUP(CustomerCombined[[#This Row],[ID]], Table2[ID],Table2[MC4], "Not Found", 0 )</f>
        <v>0</v>
      </c>
      <c r="AC1215" s="8">
        <f>_xlfn.XLOOKUP(CustomerCombined[[#This Row],[ID]], Table2[ID],Table2[MC5], "Not Found", 0 )</f>
        <v>0</v>
      </c>
    </row>
    <row r="1216" spans="1:29" x14ac:dyDescent="0.3">
      <c r="A1216" s="6">
        <v>1594</v>
      </c>
      <c r="B1216" s="6">
        <v>126877</v>
      </c>
      <c r="C1216" s="6">
        <v>0</v>
      </c>
      <c r="D1216" s="6">
        <v>0</v>
      </c>
      <c r="E1216" s="6">
        <v>51</v>
      </c>
      <c r="F1216" s="5" t="s">
        <v>7</v>
      </c>
      <c r="G1216" s="5" t="s">
        <v>12</v>
      </c>
      <c r="H1216" s="3" t="s">
        <v>198</v>
      </c>
      <c r="I1216" s="5" t="s">
        <v>439</v>
      </c>
      <c r="J1216" s="5">
        <f>_xlfn.XLOOKUP(CustomerCombined[[#This Row],[ID]], Table4[ID], Table4[Recency], "Not Found", 0)</f>
        <v>74</v>
      </c>
      <c r="K1216" s="5">
        <f>_xlfn.XLOOKUP(CustomerCombined[[#This Row],[ID]], Table4[ID], Table4[Teas], "Not Found", 0)</f>
        <v>477</v>
      </c>
      <c r="L1216" s="5">
        <f>_xlfn.XLOOKUP(CustomerCombined[[#This Row],[ID]], Table4[ID], Table4[Fruits], "Not Found", 0)</f>
        <v>61</v>
      </c>
      <c r="M1216" s="5">
        <f>_xlfn.XLOOKUP(CustomerCombined[[#This Row],[ID]], Table4[ID], Table4[Meats], "Not Found", 0)</f>
        <v>359</v>
      </c>
      <c r="N1216" s="5">
        <f>_xlfn.XLOOKUP(CustomerCombined[[#This Row],[ID]], Table4[ID], Table4[Seafood], "Not Found", 0)</f>
        <v>94</v>
      </c>
      <c r="O1216" s="5">
        <f>_xlfn.XLOOKUP(CustomerCombined[[#This Row],[ID]], Table4[ID], Table4[Sweets], "Not Found", 0)</f>
        <v>85</v>
      </c>
      <c r="P1216" s="5">
        <f>_xlfn.XLOOKUP(CustomerCombined[[#This Row],[ID]], Table4[ID], Table4[Premium], "Not Found", 0)</f>
        <v>189</v>
      </c>
      <c r="Q1216" s="5">
        <f>_xlfn.XLOOKUP(CustomerCombined[[#This Row],[ID]], Table4[ID], Table4[Regular], "Not Found", 0)</f>
        <v>887</v>
      </c>
      <c r="R1216" s="5">
        <f>_xlfn.XLOOKUP(CustomerCombined[[#This Row],[ID]], Table4[ID], Table4[Deals], "Not Found", 0)</f>
        <v>2</v>
      </c>
      <c r="S1216" s="5">
        <f>_xlfn.XLOOKUP(CustomerCombined[[#This Row],[ID]], Table4[ID], Table4[Website], "Not Found", 0)</f>
        <v>3</v>
      </c>
      <c r="T1216" s="5">
        <f>_xlfn.XLOOKUP(CustomerCombined[[#This Row],[ID]], Table4[ID], Table4[Catalog], "Not Found", 0)</f>
        <v>1</v>
      </c>
      <c r="U1216" s="5">
        <f>_xlfn.XLOOKUP(CustomerCombined[[#This Row],[ID]], Table4[ID], Table4[Store], "Not Found", 0)</f>
        <v>6</v>
      </c>
      <c r="V1216" s="5">
        <f>_xlfn.XLOOKUP(CustomerCombined[[#This Row],[ID]], Table4[ID], Table4[Visits], "Not Found", 0)</f>
        <v>6</v>
      </c>
      <c r="W1216" s="8">
        <f>_xlfn.XLOOKUP(CustomerCombined[[#This Row],[ID]], Table2[ID],Table2[Complaint], "Not Found", 0 )</f>
        <v>0</v>
      </c>
      <c r="X1216" s="8">
        <f>_xlfn.XLOOKUP(CustomerCombined[[#This Row],[ID]], Table2[ID],Table2[Pilot], "Not Found", 0 )</f>
        <v>0</v>
      </c>
      <c r="Y1216" s="8">
        <f>_xlfn.XLOOKUP(CustomerCombined[[#This Row],[ID]], Table2[ID],Table2[MC1], "Not Found", 0 )</f>
        <v>0</v>
      </c>
      <c r="Z1216" s="8">
        <f>_xlfn.XLOOKUP(CustomerCombined[[#This Row],[ID]], Table2[ID],Table2[MC2], "Not Found", 0 )</f>
        <v>0</v>
      </c>
      <c r="AA1216" s="8">
        <f>_xlfn.XLOOKUP(CustomerCombined[[#This Row],[ID]], Table2[ID],Table2[MC3], "Not Found", 0 )</f>
        <v>0</v>
      </c>
      <c r="AB1216" s="8">
        <f>_xlfn.XLOOKUP(CustomerCombined[[#This Row],[ID]], Table2[ID],Table2[MC4], "Not Found", 0 )</f>
        <v>0</v>
      </c>
      <c r="AC1216" s="8">
        <f>_xlfn.XLOOKUP(CustomerCombined[[#This Row],[ID]], Table2[ID],Table2[MC5], "Not Found", 0 )</f>
        <v>0</v>
      </c>
    </row>
    <row r="1217" spans="1:29" x14ac:dyDescent="0.3">
      <c r="A1217" s="6">
        <v>1076</v>
      </c>
      <c r="B1217" s="6">
        <v>126304</v>
      </c>
      <c r="C1217" s="6">
        <v>1</v>
      </c>
      <c r="D1217" s="6">
        <v>0</v>
      </c>
      <c r="E1217" s="6">
        <v>51</v>
      </c>
      <c r="F1217" s="5" t="s">
        <v>6</v>
      </c>
      <c r="G1217" s="5" t="s">
        <v>11</v>
      </c>
      <c r="H1217" s="3" t="s">
        <v>230</v>
      </c>
      <c r="I1217" s="5" t="s">
        <v>438</v>
      </c>
      <c r="J1217" s="5">
        <f>_xlfn.XLOOKUP(CustomerCombined[[#This Row],[ID]], Table4[ID], Table4[Recency], "Not Found", 0)</f>
        <v>5</v>
      </c>
      <c r="K1217" s="5">
        <f>_xlfn.XLOOKUP(CustomerCombined[[#This Row],[ID]], Table4[ID], Table4[Teas], "Not Found", 0)</f>
        <v>19</v>
      </c>
      <c r="L1217" s="5">
        <f>_xlfn.XLOOKUP(CustomerCombined[[#This Row],[ID]], Table4[ID], Table4[Fruits], "Not Found", 0)</f>
        <v>5</v>
      </c>
      <c r="M1217" s="5">
        <f>_xlfn.XLOOKUP(CustomerCombined[[#This Row],[ID]], Table4[ID], Table4[Meats], "Not Found", 0)</f>
        <v>24</v>
      </c>
      <c r="N1217" s="5">
        <f>_xlfn.XLOOKUP(CustomerCombined[[#This Row],[ID]], Table4[ID], Table4[Seafood], "Not Found", 0)</f>
        <v>10</v>
      </c>
      <c r="O1217" s="5">
        <f>_xlfn.XLOOKUP(CustomerCombined[[#This Row],[ID]], Table4[ID], Table4[Sweets], "Not Found", 0)</f>
        <v>0</v>
      </c>
      <c r="P1217" s="5">
        <f>_xlfn.XLOOKUP(CustomerCombined[[#This Row],[ID]], Table4[ID], Table4[Premium], "Not Found", 0)</f>
        <v>19</v>
      </c>
      <c r="Q1217" s="5">
        <f>_xlfn.XLOOKUP(CustomerCombined[[#This Row],[ID]], Table4[ID], Table4[Regular], "Not Found", 0)</f>
        <v>38</v>
      </c>
      <c r="R1217" s="5">
        <f>_xlfn.XLOOKUP(CustomerCombined[[#This Row],[ID]], Table4[ID], Table4[Deals], "Not Found", 0)</f>
        <v>1</v>
      </c>
      <c r="S1217" s="5">
        <f>_xlfn.XLOOKUP(CustomerCombined[[#This Row],[ID]], Table4[ID], Table4[Website], "Not Found", 0)</f>
        <v>1</v>
      </c>
      <c r="T1217" s="5">
        <f>_xlfn.XLOOKUP(CustomerCombined[[#This Row],[ID]], Table4[ID], Table4[Catalog], "Not Found", 0)</f>
        <v>0</v>
      </c>
      <c r="U1217" s="5">
        <f>_xlfn.XLOOKUP(CustomerCombined[[#This Row],[ID]], Table4[ID], Table4[Store], "Not Found", 0)</f>
        <v>2</v>
      </c>
      <c r="V1217" s="5">
        <f>_xlfn.XLOOKUP(CustomerCombined[[#This Row],[ID]], Table4[ID], Table4[Visits], "Not Found", 0)</f>
        <v>7</v>
      </c>
      <c r="W1217" s="8">
        <f>_xlfn.XLOOKUP(CustomerCombined[[#This Row],[ID]], Table2[ID],Table2[Complaint], "Not Found", 0 )</f>
        <v>0</v>
      </c>
      <c r="X1217" s="8">
        <f>_xlfn.XLOOKUP(CustomerCombined[[#This Row],[ID]], Table2[ID],Table2[Pilot], "Not Found", 0 )</f>
        <v>0</v>
      </c>
      <c r="Y1217" s="8">
        <f>_xlfn.XLOOKUP(CustomerCombined[[#This Row],[ID]], Table2[ID],Table2[MC1], "Not Found", 0 )</f>
        <v>0</v>
      </c>
      <c r="Z1217" s="8">
        <f>_xlfn.XLOOKUP(CustomerCombined[[#This Row],[ID]], Table2[ID],Table2[MC2], "Not Found", 0 )</f>
        <v>0</v>
      </c>
      <c r="AA1217" s="8">
        <f>_xlfn.XLOOKUP(CustomerCombined[[#This Row],[ID]], Table2[ID],Table2[MC3], "Not Found", 0 )</f>
        <v>0</v>
      </c>
      <c r="AB1217" s="8">
        <f>_xlfn.XLOOKUP(CustomerCombined[[#This Row],[ID]], Table2[ID],Table2[MC4], "Not Found", 0 )</f>
        <v>0</v>
      </c>
      <c r="AC1217" s="8">
        <f>_xlfn.XLOOKUP(CustomerCombined[[#This Row],[ID]], Table2[ID],Table2[MC5], "Not Found", 0 )</f>
        <v>0</v>
      </c>
    </row>
    <row r="1218" spans="1:29" x14ac:dyDescent="0.3">
      <c r="A1218" s="6">
        <v>2800</v>
      </c>
      <c r="B1218" s="6">
        <v>125293</v>
      </c>
      <c r="C1218" s="6">
        <v>1</v>
      </c>
      <c r="D1218" s="6">
        <v>0</v>
      </c>
      <c r="E1218" s="6">
        <v>51</v>
      </c>
      <c r="F1218" s="5" t="s">
        <v>6</v>
      </c>
      <c r="G1218" s="5" t="s">
        <v>11</v>
      </c>
      <c r="H1218" s="3" t="s">
        <v>184</v>
      </c>
      <c r="I1218" s="5" t="s">
        <v>439</v>
      </c>
      <c r="J1218" s="5">
        <f>_xlfn.XLOOKUP(CustomerCombined[[#This Row],[ID]], Table4[ID], Table4[Recency], "Not Found", 0)</f>
        <v>51</v>
      </c>
      <c r="K1218" s="5">
        <f>_xlfn.XLOOKUP(CustomerCombined[[#This Row],[ID]], Table4[ID], Table4[Teas], "Not Found", 0)</f>
        <v>74</v>
      </c>
      <c r="L1218" s="5">
        <f>_xlfn.XLOOKUP(CustomerCombined[[#This Row],[ID]], Table4[ID], Table4[Fruits], "Not Found", 0)</f>
        <v>0</v>
      </c>
      <c r="M1218" s="5">
        <f>_xlfn.XLOOKUP(CustomerCombined[[#This Row],[ID]], Table4[ID], Table4[Meats], "Not Found", 0)</f>
        <v>54</v>
      </c>
      <c r="N1218" s="5">
        <f>_xlfn.XLOOKUP(CustomerCombined[[#This Row],[ID]], Table4[ID], Table4[Seafood], "Not Found", 0)</f>
        <v>0</v>
      </c>
      <c r="O1218" s="5">
        <f>_xlfn.XLOOKUP(CustomerCombined[[#This Row],[ID]], Table4[ID], Table4[Sweets], "Not Found", 0)</f>
        <v>10</v>
      </c>
      <c r="P1218" s="5">
        <f>_xlfn.XLOOKUP(CustomerCombined[[#This Row],[ID]], Table4[ID], Table4[Premium], "Not Found", 0)</f>
        <v>45</v>
      </c>
      <c r="Q1218" s="5">
        <f>_xlfn.XLOOKUP(CustomerCombined[[#This Row],[ID]], Table4[ID], Table4[Regular], "Not Found", 0)</f>
        <v>94</v>
      </c>
      <c r="R1218" s="5">
        <f>_xlfn.XLOOKUP(CustomerCombined[[#This Row],[ID]], Table4[ID], Table4[Deals], "Not Found", 0)</f>
        <v>1</v>
      </c>
      <c r="S1218" s="5">
        <f>_xlfn.XLOOKUP(CustomerCombined[[#This Row],[ID]], Table4[ID], Table4[Website], "Not Found", 0)</f>
        <v>1</v>
      </c>
      <c r="T1218" s="5">
        <f>_xlfn.XLOOKUP(CustomerCombined[[#This Row],[ID]], Table4[ID], Table4[Catalog], "Not Found", 0)</f>
        <v>1</v>
      </c>
      <c r="U1218" s="5">
        <f>_xlfn.XLOOKUP(CustomerCombined[[#This Row],[ID]], Table4[ID], Table4[Store], "Not Found", 0)</f>
        <v>2</v>
      </c>
      <c r="V1218" s="5">
        <f>_xlfn.XLOOKUP(CustomerCombined[[#This Row],[ID]], Table4[ID], Table4[Visits], "Not Found", 0)</f>
        <v>8</v>
      </c>
      <c r="W1218" s="8">
        <f>_xlfn.XLOOKUP(CustomerCombined[[#This Row],[ID]], Table2[ID],Table2[Complaint], "Not Found", 0 )</f>
        <v>0</v>
      </c>
      <c r="X1218" s="8">
        <f>_xlfn.XLOOKUP(CustomerCombined[[#This Row],[ID]], Table2[ID],Table2[Pilot], "Not Found", 0 )</f>
        <v>0</v>
      </c>
      <c r="Y1218" s="8">
        <f>_xlfn.XLOOKUP(CustomerCombined[[#This Row],[ID]], Table2[ID],Table2[MC1], "Not Found", 0 )</f>
        <v>0</v>
      </c>
      <c r="Z1218" s="8">
        <f>_xlfn.XLOOKUP(CustomerCombined[[#This Row],[ID]], Table2[ID],Table2[MC2], "Not Found", 0 )</f>
        <v>0</v>
      </c>
      <c r="AA1218" s="8">
        <f>_xlfn.XLOOKUP(CustomerCombined[[#This Row],[ID]], Table2[ID],Table2[MC3], "Not Found", 0 )</f>
        <v>0</v>
      </c>
      <c r="AB1218" s="8">
        <f>_xlfn.XLOOKUP(CustomerCombined[[#This Row],[ID]], Table2[ID],Table2[MC4], "Not Found", 0 )</f>
        <v>0</v>
      </c>
      <c r="AC1218" s="8">
        <f>_xlfn.XLOOKUP(CustomerCombined[[#This Row],[ID]], Table2[ID],Table2[MC5], "Not Found", 0 )</f>
        <v>0</v>
      </c>
    </row>
    <row r="1219" spans="1:29" x14ac:dyDescent="0.3">
      <c r="A1219" s="6">
        <v>3045</v>
      </c>
      <c r="B1219" s="6">
        <v>125293</v>
      </c>
      <c r="C1219" s="6">
        <v>1</v>
      </c>
      <c r="D1219" s="6">
        <v>0</v>
      </c>
      <c r="E1219" s="6">
        <v>51</v>
      </c>
      <c r="F1219" s="5" t="s">
        <v>6</v>
      </c>
      <c r="G1219" s="5" t="s">
        <v>11</v>
      </c>
      <c r="H1219" s="3" t="s">
        <v>184</v>
      </c>
      <c r="I1219" s="5" t="s">
        <v>435</v>
      </c>
      <c r="J1219" s="5">
        <f>_xlfn.XLOOKUP(CustomerCombined[[#This Row],[ID]], Table4[ID], Table4[Recency], "Not Found", 0)</f>
        <v>51</v>
      </c>
      <c r="K1219" s="5">
        <f>_xlfn.XLOOKUP(CustomerCombined[[#This Row],[ID]], Table4[ID], Table4[Teas], "Not Found", 0)</f>
        <v>74</v>
      </c>
      <c r="L1219" s="5">
        <f>_xlfn.XLOOKUP(CustomerCombined[[#This Row],[ID]], Table4[ID], Table4[Fruits], "Not Found", 0)</f>
        <v>0</v>
      </c>
      <c r="M1219" s="5">
        <f>_xlfn.XLOOKUP(CustomerCombined[[#This Row],[ID]], Table4[ID], Table4[Meats], "Not Found", 0)</f>
        <v>54</v>
      </c>
      <c r="N1219" s="5">
        <f>_xlfn.XLOOKUP(CustomerCombined[[#This Row],[ID]], Table4[ID], Table4[Seafood], "Not Found", 0)</f>
        <v>0</v>
      </c>
      <c r="O1219" s="5">
        <f>_xlfn.XLOOKUP(CustomerCombined[[#This Row],[ID]], Table4[ID], Table4[Sweets], "Not Found", 0)</f>
        <v>10</v>
      </c>
      <c r="P1219" s="5">
        <f>_xlfn.XLOOKUP(CustomerCombined[[#This Row],[ID]], Table4[ID], Table4[Premium], "Not Found", 0)</f>
        <v>45</v>
      </c>
      <c r="Q1219" s="5">
        <f>_xlfn.XLOOKUP(CustomerCombined[[#This Row],[ID]], Table4[ID], Table4[Regular], "Not Found", 0)</f>
        <v>94</v>
      </c>
      <c r="R1219" s="5">
        <f>_xlfn.XLOOKUP(CustomerCombined[[#This Row],[ID]], Table4[ID], Table4[Deals], "Not Found", 0)</f>
        <v>1</v>
      </c>
      <c r="S1219" s="5">
        <f>_xlfn.XLOOKUP(CustomerCombined[[#This Row],[ID]], Table4[ID], Table4[Website], "Not Found", 0)</f>
        <v>1</v>
      </c>
      <c r="T1219" s="5">
        <f>_xlfn.XLOOKUP(CustomerCombined[[#This Row],[ID]], Table4[ID], Table4[Catalog], "Not Found", 0)</f>
        <v>1</v>
      </c>
      <c r="U1219" s="5">
        <f>_xlfn.XLOOKUP(CustomerCombined[[#This Row],[ID]], Table4[ID], Table4[Store], "Not Found", 0)</f>
        <v>2</v>
      </c>
      <c r="V1219" s="5">
        <f>_xlfn.XLOOKUP(CustomerCombined[[#This Row],[ID]], Table4[ID], Table4[Visits], "Not Found", 0)</f>
        <v>8</v>
      </c>
      <c r="W1219" s="8">
        <f>_xlfn.XLOOKUP(CustomerCombined[[#This Row],[ID]], Table2[ID],Table2[Complaint], "Not Found", 0 )</f>
        <v>0</v>
      </c>
      <c r="X1219" s="8">
        <f>_xlfn.XLOOKUP(CustomerCombined[[#This Row],[ID]], Table2[ID],Table2[Pilot], "Not Found", 0 )</f>
        <v>0</v>
      </c>
      <c r="Y1219" s="8">
        <f>_xlfn.XLOOKUP(CustomerCombined[[#This Row],[ID]], Table2[ID],Table2[MC1], "Not Found", 0 )</f>
        <v>0</v>
      </c>
      <c r="Z1219" s="8">
        <f>_xlfn.XLOOKUP(CustomerCombined[[#This Row],[ID]], Table2[ID],Table2[MC2], "Not Found", 0 )</f>
        <v>0</v>
      </c>
      <c r="AA1219" s="8">
        <f>_xlfn.XLOOKUP(CustomerCombined[[#This Row],[ID]], Table2[ID],Table2[MC3], "Not Found", 0 )</f>
        <v>0</v>
      </c>
      <c r="AB1219" s="8">
        <f>_xlfn.XLOOKUP(CustomerCombined[[#This Row],[ID]], Table2[ID],Table2[MC4], "Not Found", 0 )</f>
        <v>0</v>
      </c>
      <c r="AC1219" s="8">
        <f>_xlfn.XLOOKUP(CustomerCombined[[#This Row],[ID]], Table2[ID],Table2[MC5], "Not Found", 0 )</f>
        <v>0</v>
      </c>
    </row>
    <row r="1220" spans="1:29" x14ac:dyDescent="0.3">
      <c r="A1220" s="6">
        <v>1580</v>
      </c>
      <c r="B1220" s="6">
        <v>123910</v>
      </c>
      <c r="C1220" s="6">
        <v>1</v>
      </c>
      <c r="D1220" s="6">
        <v>0</v>
      </c>
      <c r="E1220" s="6">
        <v>51</v>
      </c>
      <c r="F1220" s="5" t="s">
        <v>5</v>
      </c>
      <c r="G1220" s="5" t="s">
        <v>11</v>
      </c>
      <c r="H1220" s="3">
        <v>43500</v>
      </c>
      <c r="I1220" s="5" t="s">
        <v>438</v>
      </c>
      <c r="J1220" s="5">
        <f>_xlfn.XLOOKUP(CustomerCombined[[#This Row],[ID]], Table4[ID], Table4[Recency], "Not Found", 0)</f>
        <v>80</v>
      </c>
      <c r="K1220" s="5">
        <f>_xlfn.XLOOKUP(CustomerCombined[[#This Row],[ID]], Table4[ID], Table4[Teas], "Not Found", 0)</f>
        <v>83</v>
      </c>
      <c r="L1220" s="5">
        <f>_xlfn.XLOOKUP(CustomerCombined[[#This Row],[ID]], Table4[ID], Table4[Fruits], "Not Found", 0)</f>
        <v>62</v>
      </c>
      <c r="M1220" s="5">
        <f>_xlfn.XLOOKUP(CustomerCombined[[#This Row],[ID]], Table4[ID], Table4[Meats], "Not Found", 0)</f>
        <v>93</v>
      </c>
      <c r="N1220" s="5">
        <f>_xlfn.XLOOKUP(CustomerCombined[[#This Row],[ID]], Table4[ID], Table4[Seafood], "Not Found", 0)</f>
        <v>36</v>
      </c>
      <c r="O1220" s="5">
        <f>_xlfn.XLOOKUP(CustomerCombined[[#This Row],[ID]], Table4[ID], Table4[Sweets], "Not Found", 0)</f>
        <v>5</v>
      </c>
      <c r="P1220" s="5">
        <f>_xlfn.XLOOKUP(CustomerCombined[[#This Row],[ID]], Table4[ID], Table4[Premium], "Not Found", 0)</f>
        <v>67</v>
      </c>
      <c r="Q1220" s="5">
        <f>_xlfn.XLOOKUP(CustomerCombined[[#This Row],[ID]], Table4[ID], Table4[Regular], "Not Found", 0)</f>
        <v>212</v>
      </c>
      <c r="R1220" s="5">
        <f>_xlfn.XLOOKUP(CustomerCombined[[#This Row],[ID]], Table4[ID], Table4[Deals], "Not Found", 0)</f>
        <v>1</v>
      </c>
      <c r="S1220" s="5">
        <f>_xlfn.XLOOKUP(CustomerCombined[[#This Row],[ID]], Table4[ID], Table4[Website], "Not Found", 0)</f>
        <v>2</v>
      </c>
      <c r="T1220" s="5">
        <f>_xlfn.XLOOKUP(CustomerCombined[[#This Row],[ID]], Table4[ID], Table4[Catalog], "Not Found", 0)</f>
        <v>0</v>
      </c>
      <c r="U1220" s="5">
        <f>_xlfn.XLOOKUP(CustomerCombined[[#This Row],[ID]], Table4[ID], Table4[Store], "Not Found", 0)</f>
        <v>3</v>
      </c>
      <c r="V1220" s="5">
        <f>_xlfn.XLOOKUP(CustomerCombined[[#This Row],[ID]], Table4[ID], Table4[Visits], "Not Found", 0)</f>
        <v>7</v>
      </c>
      <c r="W1220" s="8">
        <f>_xlfn.XLOOKUP(CustomerCombined[[#This Row],[ID]], Table2[ID],Table2[Complaint], "Not Found", 0 )</f>
        <v>0</v>
      </c>
      <c r="X1220" s="8">
        <f>_xlfn.XLOOKUP(CustomerCombined[[#This Row],[ID]], Table2[ID],Table2[Pilot], "Not Found", 0 )</f>
        <v>0</v>
      </c>
      <c r="Y1220" s="8">
        <f>_xlfn.XLOOKUP(CustomerCombined[[#This Row],[ID]], Table2[ID],Table2[MC1], "Not Found", 0 )</f>
        <v>0</v>
      </c>
      <c r="Z1220" s="8">
        <f>_xlfn.XLOOKUP(CustomerCombined[[#This Row],[ID]], Table2[ID],Table2[MC2], "Not Found", 0 )</f>
        <v>0</v>
      </c>
      <c r="AA1220" s="8">
        <f>_xlfn.XLOOKUP(CustomerCombined[[#This Row],[ID]], Table2[ID],Table2[MC3], "Not Found", 0 )</f>
        <v>0</v>
      </c>
      <c r="AB1220" s="8">
        <f>_xlfn.XLOOKUP(CustomerCombined[[#This Row],[ID]], Table2[ID],Table2[MC4], "Not Found", 0 )</f>
        <v>0</v>
      </c>
      <c r="AC1220" s="8">
        <f>_xlfn.XLOOKUP(CustomerCombined[[#This Row],[ID]], Table2[ID],Table2[MC5], "Not Found", 0 )</f>
        <v>0</v>
      </c>
    </row>
    <row r="1221" spans="1:29" x14ac:dyDescent="0.3">
      <c r="A1221" s="6">
        <v>1841</v>
      </c>
      <c r="B1221" s="6">
        <v>123228</v>
      </c>
      <c r="C1221" s="6">
        <v>1</v>
      </c>
      <c r="D1221" s="6">
        <v>0</v>
      </c>
      <c r="E1221" s="6">
        <v>51</v>
      </c>
      <c r="F1221" s="5" t="s">
        <v>8</v>
      </c>
      <c r="G1221" s="5" t="s">
        <v>11</v>
      </c>
      <c r="H1221" s="3">
        <v>43868</v>
      </c>
      <c r="I1221" s="5" t="s">
        <v>434</v>
      </c>
      <c r="J1221" s="5">
        <f>_xlfn.XLOOKUP(CustomerCombined[[#This Row],[ID]], Table4[ID], Table4[Recency], "Not Found", 0)</f>
        <v>71</v>
      </c>
      <c r="K1221" s="5">
        <f>_xlfn.XLOOKUP(CustomerCombined[[#This Row],[ID]], Table4[ID], Table4[Teas], "Not Found", 0)</f>
        <v>69</v>
      </c>
      <c r="L1221" s="5">
        <f>_xlfn.XLOOKUP(CustomerCombined[[#This Row],[ID]], Table4[ID], Table4[Fruits], "Not Found", 0)</f>
        <v>11</v>
      </c>
      <c r="M1221" s="5">
        <f>_xlfn.XLOOKUP(CustomerCombined[[#This Row],[ID]], Table4[ID], Table4[Meats], "Not Found", 0)</f>
        <v>95</v>
      </c>
      <c r="N1221" s="5">
        <f>_xlfn.XLOOKUP(CustomerCombined[[#This Row],[ID]], Table4[ID], Table4[Seafood], "Not Found", 0)</f>
        <v>32</v>
      </c>
      <c r="O1221" s="5">
        <f>_xlfn.XLOOKUP(CustomerCombined[[#This Row],[ID]], Table4[ID], Table4[Sweets], "Not Found", 0)</f>
        <v>5</v>
      </c>
      <c r="P1221" s="5">
        <f>_xlfn.XLOOKUP(CustomerCombined[[#This Row],[ID]], Table4[ID], Table4[Premium], "Not Found", 0)</f>
        <v>0</v>
      </c>
      <c r="Q1221" s="5">
        <f>_xlfn.XLOOKUP(CustomerCombined[[#This Row],[ID]], Table4[ID], Table4[Regular], "Not Found", 0)</f>
        <v>212</v>
      </c>
      <c r="R1221" s="5">
        <f>_xlfn.XLOOKUP(CustomerCombined[[#This Row],[ID]], Table4[ID], Table4[Deals], "Not Found", 0)</f>
        <v>2</v>
      </c>
      <c r="S1221" s="5">
        <f>_xlfn.XLOOKUP(CustomerCombined[[#This Row],[ID]], Table4[ID], Table4[Website], "Not Found", 0)</f>
        <v>2</v>
      </c>
      <c r="T1221" s="5">
        <f>_xlfn.XLOOKUP(CustomerCombined[[#This Row],[ID]], Table4[ID], Table4[Catalog], "Not Found", 0)</f>
        <v>0</v>
      </c>
      <c r="U1221" s="5">
        <f>_xlfn.XLOOKUP(CustomerCombined[[#This Row],[ID]], Table4[ID], Table4[Store], "Not Found", 0)</f>
        <v>3</v>
      </c>
      <c r="V1221" s="5">
        <f>_xlfn.XLOOKUP(CustomerCombined[[#This Row],[ID]], Table4[ID], Table4[Visits], "Not Found", 0)</f>
        <v>8</v>
      </c>
      <c r="W1221" s="8">
        <f>_xlfn.XLOOKUP(CustomerCombined[[#This Row],[ID]], Table2[ID],Table2[Complaint], "Not Found", 0 )</f>
        <v>0</v>
      </c>
      <c r="X1221" s="8">
        <f>_xlfn.XLOOKUP(CustomerCombined[[#This Row],[ID]], Table2[ID],Table2[Pilot], "Not Found", 0 )</f>
        <v>0</v>
      </c>
      <c r="Y1221" s="8">
        <f>_xlfn.XLOOKUP(CustomerCombined[[#This Row],[ID]], Table2[ID],Table2[MC1], "Not Found", 0 )</f>
        <v>0</v>
      </c>
      <c r="Z1221" s="8">
        <f>_xlfn.XLOOKUP(CustomerCombined[[#This Row],[ID]], Table2[ID],Table2[MC2], "Not Found", 0 )</f>
        <v>0</v>
      </c>
      <c r="AA1221" s="8">
        <f>_xlfn.XLOOKUP(CustomerCombined[[#This Row],[ID]], Table2[ID],Table2[MC3], "Not Found", 0 )</f>
        <v>0</v>
      </c>
      <c r="AB1221" s="8">
        <f>_xlfn.XLOOKUP(CustomerCombined[[#This Row],[ID]], Table2[ID],Table2[MC4], "Not Found", 0 )</f>
        <v>0</v>
      </c>
      <c r="AC1221" s="8">
        <f>_xlfn.XLOOKUP(CustomerCombined[[#This Row],[ID]], Table2[ID],Table2[MC5], "Not Found", 0 )</f>
        <v>0</v>
      </c>
    </row>
    <row r="1222" spans="1:29" x14ac:dyDescent="0.3">
      <c r="A1222" s="6">
        <v>3060</v>
      </c>
      <c r="B1222" s="6">
        <v>122390</v>
      </c>
      <c r="C1222" s="6">
        <v>0</v>
      </c>
      <c r="D1222" s="6">
        <v>0</v>
      </c>
      <c r="E1222" s="6">
        <v>51</v>
      </c>
      <c r="F1222" s="5" t="s">
        <v>8</v>
      </c>
      <c r="G1222" s="5" t="s">
        <v>10</v>
      </c>
      <c r="H1222" s="3" t="s">
        <v>161</v>
      </c>
      <c r="I1222" s="5" t="s">
        <v>436</v>
      </c>
      <c r="J1222" s="5">
        <f>_xlfn.XLOOKUP(CustomerCombined[[#This Row],[ID]], Table4[ID], Table4[Recency], "Not Found", 0)</f>
        <v>49</v>
      </c>
      <c r="K1222" s="5">
        <f>_xlfn.XLOOKUP(CustomerCombined[[#This Row],[ID]], Table4[ID], Table4[Teas], "Not Found", 0)</f>
        <v>0</v>
      </c>
      <c r="L1222" s="5">
        <f>_xlfn.XLOOKUP(CustomerCombined[[#This Row],[ID]], Table4[ID], Table4[Fruits], "Not Found", 0)</f>
        <v>5</v>
      </c>
      <c r="M1222" s="5">
        <f>_xlfn.XLOOKUP(CustomerCombined[[#This Row],[ID]], Table4[ID], Table4[Meats], "Not Found", 0)</f>
        <v>22</v>
      </c>
      <c r="N1222" s="5">
        <f>_xlfn.XLOOKUP(CustomerCombined[[#This Row],[ID]], Table4[ID], Table4[Seafood], "Not Found", 0)</f>
        <v>82</v>
      </c>
      <c r="O1222" s="5">
        <f>_xlfn.XLOOKUP(CustomerCombined[[#This Row],[ID]], Table4[ID], Table4[Sweets], "Not Found", 0)</f>
        <v>5</v>
      </c>
      <c r="P1222" s="5">
        <f>_xlfn.XLOOKUP(CustomerCombined[[#This Row],[ID]], Table4[ID], Table4[Premium], "Not Found", 0)</f>
        <v>27</v>
      </c>
      <c r="Q1222" s="5">
        <f>_xlfn.XLOOKUP(CustomerCombined[[#This Row],[ID]], Table4[ID], Table4[Regular], "Not Found", 0)</f>
        <v>87</v>
      </c>
      <c r="R1222" s="5">
        <f>_xlfn.XLOOKUP(CustomerCombined[[#This Row],[ID]], Table4[ID], Table4[Deals], "Not Found", 0)</f>
        <v>1</v>
      </c>
      <c r="S1222" s="5">
        <f>_xlfn.XLOOKUP(CustomerCombined[[#This Row],[ID]], Table4[ID], Table4[Website], "Not Found", 0)</f>
        <v>1</v>
      </c>
      <c r="T1222" s="5">
        <f>_xlfn.XLOOKUP(CustomerCombined[[#This Row],[ID]], Table4[ID], Table4[Catalog], "Not Found", 0)</f>
        <v>0</v>
      </c>
      <c r="U1222" s="5">
        <f>_xlfn.XLOOKUP(CustomerCombined[[#This Row],[ID]], Table4[ID], Table4[Store], "Not Found", 0)</f>
        <v>2</v>
      </c>
      <c r="V1222" s="5">
        <f>_xlfn.XLOOKUP(CustomerCombined[[#This Row],[ID]], Table4[ID], Table4[Visits], "Not Found", 0)</f>
        <v>7</v>
      </c>
      <c r="W1222" s="8">
        <f>_xlfn.XLOOKUP(CustomerCombined[[#This Row],[ID]], Table2[ID],Table2[Complaint], "Not Found", 0 )</f>
        <v>0</v>
      </c>
      <c r="X1222" s="8">
        <f>_xlfn.XLOOKUP(CustomerCombined[[#This Row],[ID]], Table2[ID],Table2[Pilot], "Not Found", 0 )</f>
        <v>0</v>
      </c>
      <c r="Y1222" s="8">
        <f>_xlfn.XLOOKUP(CustomerCombined[[#This Row],[ID]], Table2[ID],Table2[MC1], "Not Found", 0 )</f>
        <v>0</v>
      </c>
      <c r="Z1222" s="8">
        <f>_xlfn.XLOOKUP(CustomerCombined[[#This Row],[ID]], Table2[ID],Table2[MC2], "Not Found", 0 )</f>
        <v>0</v>
      </c>
      <c r="AA1222" s="8">
        <f>_xlfn.XLOOKUP(CustomerCombined[[#This Row],[ID]], Table2[ID],Table2[MC3], "Not Found", 0 )</f>
        <v>0</v>
      </c>
      <c r="AB1222" s="8">
        <f>_xlfn.XLOOKUP(CustomerCombined[[#This Row],[ID]], Table2[ID],Table2[MC4], "Not Found", 0 )</f>
        <v>0</v>
      </c>
      <c r="AC1222" s="8">
        <f>_xlfn.XLOOKUP(CustomerCombined[[#This Row],[ID]], Table2[ID],Table2[MC5], "Not Found", 0 )</f>
        <v>0</v>
      </c>
    </row>
    <row r="1223" spans="1:29" x14ac:dyDescent="0.3">
      <c r="A1223" s="6">
        <v>1111</v>
      </c>
      <c r="B1223" s="6">
        <v>121918</v>
      </c>
      <c r="C1223" s="6">
        <v>1</v>
      </c>
      <c r="D1223" s="6">
        <v>0</v>
      </c>
      <c r="E1223" s="6">
        <v>51</v>
      </c>
      <c r="F1223" s="5" t="s">
        <v>8</v>
      </c>
      <c r="G1223" s="5" t="s">
        <v>11</v>
      </c>
      <c r="H1223" s="3" t="s">
        <v>150</v>
      </c>
      <c r="I1223" s="5" t="s">
        <v>437</v>
      </c>
      <c r="J1223" s="5">
        <f>_xlfn.XLOOKUP(CustomerCombined[[#This Row],[ID]], Table4[ID], Table4[Recency], "Not Found", 0)</f>
        <v>37</v>
      </c>
      <c r="K1223" s="5">
        <f>_xlfn.XLOOKUP(CustomerCombined[[#This Row],[ID]], Table4[ID], Table4[Teas], "Not Found", 0)</f>
        <v>6</v>
      </c>
      <c r="L1223" s="5">
        <f>_xlfn.XLOOKUP(CustomerCombined[[#This Row],[ID]], Table4[ID], Table4[Fruits], "Not Found", 0)</f>
        <v>33</v>
      </c>
      <c r="M1223" s="5">
        <f>_xlfn.XLOOKUP(CustomerCombined[[#This Row],[ID]], Table4[ID], Table4[Meats], "Not Found", 0)</f>
        <v>39</v>
      </c>
      <c r="N1223" s="5">
        <f>_xlfn.XLOOKUP(CustomerCombined[[#This Row],[ID]], Table4[ID], Table4[Seafood], "Not Found", 0)</f>
        <v>61</v>
      </c>
      <c r="O1223" s="5">
        <f>_xlfn.XLOOKUP(CustomerCombined[[#This Row],[ID]], Table4[ID], Table4[Sweets], "Not Found", 0)</f>
        <v>28</v>
      </c>
      <c r="P1223" s="5">
        <f>_xlfn.XLOOKUP(CustomerCombined[[#This Row],[ID]], Table4[ID], Table4[Premium], "Not Found", 0)</f>
        <v>17</v>
      </c>
      <c r="Q1223" s="5">
        <f>_xlfn.XLOOKUP(CustomerCombined[[#This Row],[ID]], Table4[ID], Table4[Regular], "Not Found", 0)</f>
        <v>150</v>
      </c>
      <c r="R1223" s="5">
        <f>_xlfn.XLOOKUP(CustomerCombined[[#This Row],[ID]], Table4[ID], Table4[Deals], "Not Found", 0)</f>
        <v>2</v>
      </c>
      <c r="S1223" s="5">
        <f>_xlfn.XLOOKUP(CustomerCombined[[#This Row],[ID]], Table4[ID], Table4[Website], "Not Found", 0)</f>
        <v>2</v>
      </c>
      <c r="T1223" s="5">
        <f>_xlfn.XLOOKUP(CustomerCombined[[#This Row],[ID]], Table4[ID], Table4[Catalog], "Not Found", 0)</f>
        <v>0</v>
      </c>
      <c r="U1223" s="5">
        <f>_xlfn.XLOOKUP(CustomerCombined[[#This Row],[ID]], Table4[ID], Table4[Store], "Not Found", 0)</f>
        <v>3</v>
      </c>
      <c r="V1223" s="5">
        <f>_xlfn.XLOOKUP(CustomerCombined[[#This Row],[ID]], Table4[ID], Table4[Visits], "Not Found", 0)</f>
        <v>6</v>
      </c>
      <c r="W1223" s="8">
        <f>_xlfn.XLOOKUP(CustomerCombined[[#This Row],[ID]], Table2[ID],Table2[Complaint], "Not Found", 0 )</f>
        <v>0</v>
      </c>
      <c r="X1223" s="8">
        <f>_xlfn.XLOOKUP(CustomerCombined[[#This Row],[ID]], Table2[ID],Table2[Pilot], "Not Found", 0 )</f>
        <v>0</v>
      </c>
      <c r="Y1223" s="8">
        <f>_xlfn.XLOOKUP(CustomerCombined[[#This Row],[ID]], Table2[ID],Table2[MC1], "Not Found", 0 )</f>
        <v>0</v>
      </c>
      <c r="Z1223" s="8">
        <f>_xlfn.XLOOKUP(CustomerCombined[[#This Row],[ID]], Table2[ID],Table2[MC2], "Not Found", 0 )</f>
        <v>0</v>
      </c>
      <c r="AA1223" s="8">
        <f>_xlfn.XLOOKUP(CustomerCombined[[#This Row],[ID]], Table2[ID],Table2[MC3], "Not Found", 0 )</f>
        <v>0</v>
      </c>
      <c r="AB1223" s="8">
        <f>_xlfn.XLOOKUP(CustomerCombined[[#This Row],[ID]], Table2[ID],Table2[MC4], "Not Found", 0 )</f>
        <v>0</v>
      </c>
      <c r="AC1223" s="8">
        <f>_xlfn.XLOOKUP(CustomerCombined[[#This Row],[ID]], Table2[ID],Table2[MC5], "Not Found", 0 )</f>
        <v>0</v>
      </c>
    </row>
    <row r="1224" spans="1:29" x14ac:dyDescent="0.3">
      <c r="A1224" s="6">
        <v>1025</v>
      </c>
      <c r="B1224" s="6">
        <v>118589</v>
      </c>
      <c r="C1224" s="6">
        <v>0</v>
      </c>
      <c r="D1224" s="6">
        <v>0</v>
      </c>
      <c r="E1224" s="6">
        <v>51</v>
      </c>
      <c r="F1224" s="5" t="s">
        <v>7</v>
      </c>
      <c r="G1224" s="5" t="s">
        <v>11</v>
      </c>
      <c r="H1224" s="3">
        <v>43714</v>
      </c>
      <c r="I1224" s="5" t="s">
        <v>434</v>
      </c>
      <c r="J1224" s="5">
        <f>_xlfn.XLOOKUP(CustomerCombined[[#This Row],[ID]], Table4[ID], Table4[Recency], "Not Found", 0)</f>
        <v>89</v>
      </c>
      <c r="K1224" s="5">
        <f>_xlfn.XLOOKUP(CustomerCombined[[#This Row],[ID]], Table4[ID], Table4[Teas], "Not Found", 0)</f>
        <v>38</v>
      </c>
      <c r="L1224" s="5">
        <f>_xlfn.XLOOKUP(CustomerCombined[[#This Row],[ID]], Table4[ID], Table4[Fruits], "Not Found", 0)</f>
        <v>26</v>
      </c>
      <c r="M1224" s="5">
        <f>_xlfn.XLOOKUP(CustomerCombined[[#This Row],[ID]], Table4[ID], Table4[Meats], "Not Found", 0)</f>
        <v>159</v>
      </c>
      <c r="N1224" s="5">
        <f>_xlfn.XLOOKUP(CustomerCombined[[#This Row],[ID]], Table4[ID], Table4[Seafood], "Not Found", 0)</f>
        <v>96</v>
      </c>
      <c r="O1224" s="5">
        <f>_xlfn.XLOOKUP(CustomerCombined[[#This Row],[ID]], Table4[ID], Table4[Sweets], "Not Found", 0)</f>
        <v>77</v>
      </c>
      <c r="P1224" s="5">
        <f>_xlfn.XLOOKUP(CustomerCombined[[#This Row],[ID]], Table4[ID], Table4[Premium], "Not Found", 0)</f>
        <v>83</v>
      </c>
      <c r="Q1224" s="5">
        <f>_xlfn.XLOOKUP(CustomerCombined[[#This Row],[ID]], Table4[ID], Table4[Regular], "Not Found", 0)</f>
        <v>313</v>
      </c>
      <c r="R1224" s="5">
        <f>_xlfn.XLOOKUP(CustomerCombined[[#This Row],[ID]], Table4[ID], Table4[Deals], "Not Found", 0)</f>
        <v>2</v>
      </c>
      <c r="S1224" s="5">
        <f>_xlfn.XLOOKUP(CustomerCombined[[#This Row],[ID]], Table4[ID], Table4[Website], "Not Found", 0)</f>
        <v>2</v>
      </c>
      <c r="T1224" s="5">
        <f>_xlfn.XLOOKUP(CustomerCombined[[#This Row],[ID]], Table4[ID], Table4[Catalog], "Not Found", 0)</f>
        <v>1</v>
      </c>
      <c r="U1224" s="5">
        <f>_xlfn.XLOOKUP(CustomerCombined[[#This Row],[ID]], Table4[ID], Table4[Store], "Not Found", 0)</f>
        <v>3</v>
      </c>
      <c r="V1224" s="5">
        <f>_xlfn.XLOOKUP(CustomerCombined[[#This Row],[ID]], Table4[ID], Table4[Visits], "Not Found", 0)</f>
        <v>7</v>
      </c>
      <c r="W1224" s="8">
        <f>_xlfn.XLOOKUP(CustomerCombined[[#This Row],[ID]], Table2[ID],Table2[Complaint], "Not Found", 0 )</f>
        <v>0</v>
      </c>
      <c r="X1224" s="8">
        <f>_xlfn.XLOOKUP(CustomerCombined[[#This Row],[ID]], Table2[ID],Table2[Pilot], "Not Found", 0 )</f>
        <v>0</v>
      </c>
      <c r="Y1224" s="8">
        <f>_xlfn.XLOOKUP(CustomerCombined[[#This Row],[ID]], Table2[ID],Table2[MC1], "Not Found", 0 )</f>
        <v>0</v>
      </c>
      <c r="Z1224" s="8">
        <f>_xlfn.XLOOKUP(CustomerCombined[[#This Row],[ID]], Table2[ID],Table2[MC2], "Not Found", 0 )</f>
        <v>0</v>
      </c>
      <c r="AA1224" s="8">
        <f>_xlfn.XLOOKUP(CustomerCombined[[#This Row],[ID]], Table2[ID],Table2[MC3], "Not Found", 0 )</f>
        <v>0</v>
      </c>
      <c r="AB1224" s="8">
        <f>_xlfn.XLOOKUP(CustomerCombined[[#This Row],[ID]], Table2[ID],Table2[MC4], "Not Found", 0 )</f>
        <v>0</v>
      </c>
      <c r="AC1224" s="8">
        <f>_xlfn.XLOOKUP(CustomerCombined[[#This Row],[ID]], Table2[ID],Table2[MC5], "Not Found", 0 )</f>
        <v>0</v>
      </c>
    </row>
    <row r="1225" spans="1:29" x14ac:dyDescent="0.3">
      <c r="A1225" s="6">
        <v>1472</v>
      </c>
      <c r="B1225" s="6">
        <v>114045</v>
      </c>
      <c r="C1225" s="6">
        <v>1</v>
      </c>
      <c r="D1225" s="6">
        <v>0</v>
      </c>
      <c r="E1225" s="6">
        <v>51</v>
      </c>
      <c r="F1225" s="5" t="s">
        <v>6</v>
      </c>
      <c r="G1225" s="5" t="s">
        <v>11</v>
      </c>
      <c r="H1225" s="3">
        <v>43868</v>
      </c>
      <c r="I1225" s="5" t="s">
        <v>438</v>
      </c>
      <c r="J1225" s="5">
        <f>_xlfn.XLOOKUP(CustomerCombined[[#This Row],[ID]], Table4[ID], Table4[Recency], "Not Found", 0)</f>
        <v>24</v>
      </c>
      <c r="K1225" s="5">
        <f>_xlfn.XLOOKUP(CustomerCombined[[#This Row],[ID]], Table4[ID], Table4[Teas], "Not Found", 0)</f>
        <v>89</v>
      </c>
      <c r="L1225" s="5">
        <f>_xlfn.XLOOKUP(CustomerCombined[[#This Row],[ID]], Table4[ID], Table4[Fruits], "Not Found", 0)</f>
        <v>0</v>
      </c>
      <c r="M1225" s="5">
        <f>_xlfn.XLOOKUP(CustomerCombined[[#This Row],[ID]], Table4[ID], Table4[Meats], "Not Found", 0)</f>
        <v>41</v>
      </c>
      <c r="N1225" s="5">
        <f>_xlfn.XLOOKUP(CustomerCombined[[#This Row],[ID]], Table4[ID], Table4[Seafood], "Not Found", 0)</f>
        <v>16</v>
      </c>
      <c r="O1225" s="5">
        <f>_xlfn.XLOOKUP(CustomerCombined[[#This Row],[ID]], Table4[ID], Table4[Sweets], "Not Found", 0)</f>
        <v>8</v>
      </c>
      <c r="P1225" s="5">
        <f>_xlfn.XLOOKUP(CustomerCombined[[#This Row],[ID]], Table4[ID], Table4[Premium], "Not Found", 0)</f>
        <v>8</v>
      </c>
      <c r="Q1225" s="5">
        <f>_xlfn.XLOOKUP(CustomerCombined[[#This Row],[ID]], Table4[ID], Table4[Regular], "Not Found", 0)</f>
        <v>146</v>
      </c>
      <c r="R1225" s="5">
        <f>_xlfn.XLOOKUP(CustomerCombined[[#This Row],[ID]], Table4[ID], Table4[Deals], "Not Found", 0)</f>
        <v>1</v>
      </c>
      <c r="S1225" s="5">
        <f>_xlfn.XLOOKUP(CustomerCombined[[#This Row],[ID]], Table4[ID], Table4[Website], "Not Found", 0)</f>
        <v>1</v>
      </c>
      <c r="T1225" s="5">
        <f>_xlfn.XLOOKUP(CustomerCombined[[#This Row],[ID]], Table4[ID], Table4[Catalog], "Not Found", 0)</f>
        <v>0</v>
      </c>
      <c r="U1225" s="5">
        <f>_xlfn.XLOOKUP(CustomerCombined[[#This Row],[ID]], Table4[ID], Table4[Store], "Not Found", 0)</f>
        <v>3</v>
      </c>
      <c r="V1225" s="5">
        <f>_xlfn.XLOOKUP(CustomerCombined[[#This Row],[ID]], Table4[ID], Table4[Visits], "Not Found", 0)</f>
        <v>7</v>
      </c>
      <c r="W1225" s="8">
        <f>_xlfn.XLOOKUP(CustomerCombined[[#This Row],[ID]], Table2[ID],Table2[Complaint], "Not Found", 0 )</f>
        <v>0</v>
      </c>
      <c r="X1225" s="8">
        <f>_xlfn.XLOOKUP(CustomerCombined[[#This Row],[ID]], Table2[ID],Table2[Pilot], "Not Found", 0 )</f>
        <v>0</v>
      </c>
      <c r="Y1225" s="8">
        <f>_xlfn.XLOOKUP(CustomerCombined[[#This Row],[ID]], Table2[ID],Table2[MC1], "Not Found", 0 )</f>
        <v>0</v>
      </c>
      <c r="Z1225" s="8">
        <f>_xlfn.XLOOKUP(CustomerCombined[[#This Row],[ID]], Table2[ID],Table2[MC2], "Not Found", 0 )</f>
        <v>0</v>
      </c>
      <c r="AA1225" s="8">
        <f>_xlfn.XLOOKUP(CustomerCombined[[#This Row],[ID]], Table2[ID],Table2[MC3], "Not Found", 0 )</f>
        <v>0</v>
      </c>
      <c r="AB1225" s="8">
        <f>_xlfn.XLOOKUP(CustomerCombined[[#This Row],[ID]], Table2[ID],Table2[MC4], "Not Found", 0 )</f>
        <v>0</v>
      </c>
      <c r="AC1225" s="8">
        <f>_xlfn.XLOOKUP(CustomerCombined[[#This Row],[ID]], Table2[ID],Table2[MC5], "Not Found", 0 )</f>
        <v>0</v>
      </c>
    </row>
    <row r="1226" spans="1:29" x14ac:dyDescent="0.3">
      <c r="A1226" s="6">
        <v>2950</v>
      </c>
      <c r="B1226" s="6">
        <v>104428</v>
      </c>
      <c r="C1226" s="6">
        <v>0</v>
      </c>
      <c r="D1226" s="6">
        <v>1</v>
      </c>
      <c r="E1226" s="6">
        <v>51</v>
      </c>
      <c r="F1226" s="5" t="s">
        <v>6</v>
      </c>
      <c r="G1226" s="5" t="s">
        <v>11</v>
      </c>
      <c r="H1226" s="3">
        <v>44138</v>
      </c>
      <c r="I1226" s="5" t="s">
        <v>439</v>
      </c>
      <c r="J1226" s="5">
        <f>_xlfn.XLOOKUP(CustomerCombined[[#This Row],[ID]], Table4[ID], Table4[Recency], "Not Found", 0)</f>
        <v>0</v>
      </c>
      <c r="K1226" s="5">
        <f>_xlfn.XLOOKUP(CustomerCombined[[#This Row],[ID]], Table4[ID], Table4[Teas], "Not Found", 0)</f>
        <v>377</v>
      </c>
      <c r="L1226" s="5">
        <f>_xlfn.XLOOKUP(CustomerCombined[[#This Row],[ID]], Table4[ID], Table4[Fruits], "Not Found", 0)</f>
        <v>94</v>
      </c>
      <c r="M1226" s="5">
        <f>_xlfn.XLOOKUP(CustomerCombined[[#This Row],[ID]], Table4[ID], Table4[Meats], "Not Found", 0)</f>
        <v>283</v>
      </c>
      <c r="N1226" s="5">
        <f>_xlfn.XLOOKUP(CustomerCombined[[#This Row],[ID]], Table4[ID], Table4[Seafood], "Not Found", 0)</f>
        <v>47</v>
      </c>
      <c r="O1226" s="5">
        <f>_xlfn.XLOOKUP(CustomerCombined[[#This Row],[ID]], Table4[ID], Table4[Sweets], "Not Found", 0)</f>
        <v>94</v>
      </c>
      <c r="P1226" s="5">
        <f>_xlfn.XLOOKUP(CustomerCombined[[#This Row],[ID]], Table4[ID], Table4[Premium], "Not Found", 0)</f>
        <v>7570</v>
      </c>
      <c r="Q1226" s="5">
        <f>_xlfn.XLOOKUP(CustomerCombined[[#This Row],[ID]], Table4[ID], Table4[Regular], "Not Found", 0)</f>
        <v>-6674</v>
      </c>
      <c r="R1226" s="5">
        <f>_xlfn.XLOOKUP(CustomerCombined[[#This Row],[ID]], Table4[ID], Table4[Deals], "Not Found", 0)</f>
        <v>0</v>
      </c>
      <c r="S1226" s="5">
        <f>_xlfn.XLOOKUP(CustomerCombined[[#This Row],[ID]], Table4[ID], Table4[Website], "Not Found", 0)</f>
        <v>25</v>
      </c>
      <c r="T1226" s="5">
        <f>_xlfn.XLOOKUP(CustomerCombined[[#This Row],[ID]], Table4[ID], Table4[Catalog], "Not Found", 0)</f>
        <v>0</v>
      </c>
      <c r="U1226" s="5">
        <f>_xlfn.XLOOKUP(CustomerCombined[[#This Row],[ID]], Table4[ID], Table4[Store], "Not Found", 0)</f>
        <v>0</v>
      </c>
      <c r="V1226" s="5">
        <f>_xlfn.XLOOKUP(CustomerCombined[[#This Row],[ID]], Table4[ID], Table4[Visits], "Not Found", 0)</f>
        <v>1</v>
      </c>
      <c r="W1226" s="8">
        <f>_xlfn.XLOOKUP(CustomerCombined[[#This Row],[ID]], Table2[ID],Table2[Complaint], "Not Found", 0 )</f>
        <v>0</v>
      </c>
      <c r="X1226" s="8">
        <f>_xlfn.XLOOKUP(CustomerCombined[[#This Row],[ID]], Table2[ID],Table2[Pilot], "Not Found", 0 )</f>
        <v>0</v>
      </c>
      <c r="Y1226" s="8">
        <f>_xlfn.XLOOKUP(CustomerCombined[[#This Row],[ID]], Table2[ID],Table2[MC1], "Not Found", 0 )</f>
        <v>0</v>
      </c>
      <c r="Z1226" s="8">
        <f>_xlfn.XLOOKUP(CustomerCombined[[#This Row],[ID]], Table2[ID],Table2[MC2], "Not Found", 0 )</f>
        <v>0</v>
      </c>
      <c r="AA1226" s="8">
        <f>_xlfn.XLOOKUP(CustomerCombined[[#This Row],[ID]], Table2[ID],Table2[MC3], "Not Found", 0 )</f>
        <v>0</v>
      </c>
      <c r="AB1226" s="8">
        <f>_xlfn.XLOOKUP(CustomerCombined[[#This Row],[ID]], Table2[ID],Table2[MC4], "Not Found", 0 )</f>
        <v>0</v>
      </c>
      <c r="AC1226" s="8">
        <f>_xlfn.XLOOKUP(CustomerCombined[[#This Row],[ID]], Table2[ID],Table2[MC5], "Not Found", 0 )</f>
        <v>0</v>
      </c>
    </row>
    <row r="1227" spans="1:29" x14ac:dyDescent="0.3">
      <c r="A1227" s="6">
        <v>1373</v>
      </c>
      <c r="B1227" s="6">
        <v>183664</v>
      </c>
      <c r="C1227" s="6">
        <v>1</v>
      </c>
      <c r="D1227" s="6">
        <v>1</v>
      </c>
      <c r="E1227" s="6">
        <v>52</v>
      </c>
      <c r="F1227" s="5" t="s">
        <v>5</v>
      </c>
      <c r="G1227" s="5" t="s">
        <v>13</v>
      </c>
      <c r="H1227" s="3" t="s">
        <v>263</v>
      </c>
      <c r="I1227" s="5" t="s">
        <v>434</v>
      </c>
      <c r="J1227" s="5">
        <f>_xlfn.XLOOKUP(CustomerCombined[[#This Row],[ID]], Table4[ID], Table4[Recency], "Not Found", 0)</f>
        <v>57</v>
      </c>
      <c r="K1227" s="5">
        <f>_xlfn.XLOOKUP(CustomerCombined[[#This Row],[ID]], Table4[ID], Table4[Teas], "Not Found", 0)</f>
        <v>1901</v>
      </c>
      <c r="L1227" s="5">
        <f>_xlfn.XLOOKUP(CustomerCombined[[#This Row],[ID]], Table4[ID], Table4[Fruits], "Not Found", 0)</f>
        <v>46</v>
      </c>
      <c r="M1227" s="5">
        <f>_xlfn.XLOOKUP(CustomerCombined[[#This Row],[ID]], Table4[ID], Table4[Meats], "Not Found", 0)</f>
        <v>331</v>
      </c>
      <c r="N1227" s="5">
        <f>_xlfn.XLOOKUP(CustomerCombined[[#This Row],[ID]], Table4[ID], Table4[Seafood], "Not Found", 0)</f>
        <v>61</v>
      </c>
      <c r="O1227" s="5">
        <f>_xlfn.XLOOKUP(CustomerCombined[[#This Row],[ID]], Table4[ID], Table4[Sweets], "Not Found", 0)</f>
        <v>46</v>
      </c>
      <c r="P1227" s="5">
        <f>_xlfn.XLOOKUP(CustomerCombined[[#This Row],[ID]], Table4[ID], Table4[Premium], "Not Found", 0)</f>
        <v>189</v>
      </c>
      <c r="Q1227" s="5">
        <f>_xlfn.XLOOKUP(CustomerCombined[[#This Row],[ID]], Table4[ID], Table4[Regular], "Not Found", 0)</f>
        <v>2197</v>
      </c>
      <c r="R1227" s="5">
        <f>_xlfn.XLOOKUP(CustomerCombined[[#This Row],[ID]], Table4[ID], Table4[Deals], "Not Found", 0)</f>
        <v>3</v>
      </c>
      <c r="S1227" s="5">
        <f>_xlfn.XLOOKUP(CustomerCombined[[#This Row],[ID]], Table4[ID], Table4[Website], "Not Found", 0)</f>
        <v>2</v>
      </c>
      <c r="T1227" s="5">
        <f>_xlfn.XLOOKUP(CustomerCombined[[#This Row],[ID]], Table4[ID], Table4[Catalog], "Not Found", 0)</f>
        <v>2</v>
      </c>
      <c r="U1227" s="5">
        <f>_xlfn.XLOOKUP(CustomerCombined[[#This Row],[ID]], Table4[ID], Table4[Store], "Not Found", 0)</f>
        <v>12</v>
      </c>
      <c r="V1227" s="5">
        <f>_xlfn.XLOOKUP(CustomerCombined[[#This Row],[ID]], Table4[ID], Table4[Visits], "Not Found", 0)</f>
        <v>5</v>
      </c>
      <c r="W1227" s="8">
        <f>_xlfn.XLOOKUP(CustomerCombined[[#This Row],[ID]], Table2[ID],Table2[Complaint], "Not Found", 0 )</f>
        <v>0</v>
      </c>
      <c r="X1227" s="8">
        <f>_xlfn.XLOOKUP(CustomerCombined[[#This Row],[ID]], Table2[ID],Table2[Pilot], "Not Found", 0 )</f>
        <v>0</v>
      </c>
      <c r="Y1227" s="8">
        <f>_xlfn.XLOOKUP(CustomerCombined[[#This Row],[ID]], Table2[ID],Table2[MC1], "Not Found", 0 )</f>
        <v>0</v>
      </c>
      <c r="Z1227" s="8">
        <f>_xlfn.XLOOKUP(CustomerCombined[[#This Row],[ID]], Table2[ID],Table2[MC2], "Not Found", 0 )</f>
        <v>0</v>
      </c>
      <c r="AA1227" s="8">
        <f>_xlfn.XLOOKUP(CustomerCombined[[#This Row],[ID]], Table2[ID],Table2[MC3], "Not Found", 0 )</f>
        <v>0</v>
      </c>
      <c r="AB1227" s="8">
        <f>_xlfn.XLOOKUP(CustomerCombined[[#This Row],[ID]], Table2[ID],Table2[MC4], "Not Found", 0 )</f>
        <v>0</v>
      </c>
      <c r="AC1227" s="8">
        <f>_xlfn.XLOOKUP(CustomerCombined[[#This Row],[ID]], Table2[ID],Table2[MC5], "Not Found", 0 )</f>
        <v>0</v>
      </c>
    </row>
    <row r="1228" spans="1:29" x14ac:dyDescent="0.3">
      <c r="A1228" s="6">
        <v>2302</v>
      </c>
      <c r="B1228" s="6">
        <v>177382</v>
      </c>
      <c r="C1228" s="6">
        <v>0</v>
      </c>
      <c r="D1228" s="6">
        <v>1</v>
      </c>
      <c r="E1228" s="6">
        <v>52</v>
      </c>
      <c r="F1228" s="5" t="s">
        <v>8</v>
      </c>
      <c r="G1228" s="5" t="s">
        <v>11</v>
      </c>
      <c r="H1228" s="3" t="s">
        <v>122</v>
      </c>
      <c r="I1228" s="5" t="s">
        <v>439</v>
      </c>
      <c r="J1228" s="5">
        <f>_xlfn.XLOOKUP(CustomerCombined[[#This Row],[ID]], Table4[ID], Table4[Recency], "Not Found", 0)</f>
        <v>36</v>
      </c>
      <c r="K1228" s="5">
        <f>_xlfn.XLOOKUP(CustomerCombined[[#This Row],[ID]], Table4[ID], Table4[Teas], "Not Found", 0)</f>
        <v>1126</v>
      </c>
      <c r="L1228" s="5">
        <f>_xlfn.XLOOKUP(CustomerCombined[[#This Row],[ID]], Table4[ID], Table4[Fruits], "Not Found", 0)</f>
        <v>110</v>
      </c>
      <c r="M1228" s="5">
        <f>_xlfn.XLOOKUP(CustomerCombined[[#This Row],[ID]], Table4[ID], Table4[Meats], "Not Found", 0)</f>
        <v>530</v>
      </c>
      <c r="N1228" s="5">
        <f>_xlfn.XLOOKUP(CustomerCombined[[#This Row],[ID]], Table4[ID], Table4[Seafood], "Not Found", 0)</f>
        <v>257</v>
      </c>
      <c r="O1228" s="5">
        <f>_xlfn.XLOOKUP(CustomerCombined[[#This Row],[ID]], Table4[ID], Table4[Sweets], "Not Found", 0)</f>
        <v>241</v>
      </c>
      <c r="P1228" s="5">
        <f>_xlfn.XLOOKUP(CustomerCombined[[#This Row],[ID]], Table4[ID], Table4[Premium], "Not Found", 0)</f>
        <v>307</v>
      </c>
      <c r="Q1228" s="5">
        <f>_xlfn.XLOOKUP(CustomerCombined[[#This Row],[ID]], Table4[ID], Table4[Regular], "Not Found", 0)</f>
        <v>1955</v>
      </c>
      <c r="R1228" s="5">
        <f>_xlfn.XLOOKUP(CustomerCombined[[#This Row],[ID]], Table4[ID], Table4[Deals], "Not Found", 0)</f>
        <v>2</v>
      </c>
      <c r="S1228" s="5">
        <f>_xlfn.XLOOKUP(CustomerCombined[[#This Row],[ID]], Table4[ID], Table4[Website], "Not Found", 0)</f>
        <v>5</v>
      </c>
      <c r="T1228" s="5">
        <f>_xlfn.XLOOKUP(CustomerCombined[[#This Row],[ID]], Table4[ID], Table4[Catalog], "Not Found", 0)</f>
        <v>7</v>
      </c>
      <c r="U1228" s="5">
        <f>_xlfn.XLOOKUP(CustomerCombined[[#This Row],[ID]], Table4[ID], Table4[Store], "Not Found", 0)</f>
        <v>12</v>
      </c>
      <c r="V1228" s="5">
        <f>_xlfn.XLOOKUP(CustomerCombined[[#This Row],[ID]], Table4[ID], Table4[Visits], "Not Found", 0)</f>
        <v>1</v>
      </c>
      <c r="W1228" s="8">
        <f>_xlfn.XLOOKUP(CustomerCombined[[#This Row],[ID]], Table2[ID],Table2[Complaint], "Not Found", 0 )</f>
        <v>0</v>
      </c>
      <c r="X1228" s="8">
        <f>_xlfn.XLOOKUP(CustomerCombined[[#This Row],[ID]], Table2[ID],Table2[Pilot], "Not Found", 0 )</f>
        <v>0</v>
      </c>
      <c r="Y1228" s="8">
        <f>_xlfn.XLOOKUP(CustomerCombined[[#This Row],[ID]], Table2[ID],Table2[MC1], "Not Found", 0 )</f>
        <v>0</v>
      </c>
      <c r="Z1228" s="8">
        <f>_xlfn.XLOOKUP(CustomerCombined[[#This Row],[ID]], Table2[ID],Table2[MC2], "Not Found", 0 )</f>
        <v>0</v>
      </c>
      <c r="AA1228" s="8">
        <f>_xlfn.XLOOKUP(CustomerCombined[[#This Row],[ID]], Table2[ID],Table2[MC3], "Not Found", 0 )</f>
        <v>0</v>
      </c>
      <c r="AB1228" s="8">
        <f>_xlfn.XLOOKUP(CustomerCombined[[#This Row],[ID]], Table2[ID],Table2[MC4], "Not Found", 0 )</f>
        <v>0</v>
      </c>
      <c r="AC1228" s="8">
        <f>_xlfn.XLOOKUP(CustomerCombined[[#This Row],[ID]], Table2[ID],Table2[MC5], "Not Found", 0 )</f>
        <v>1</v>
      </c>
    </row>
    <row r="1229" spans="1:29" x14ac:dyDescent="0.3">
      <c r="A1229" s="6">
        <v>1189</v>
      </c>
      <c r="B1229" s="6">
        <v>175922</v>
      </c>
      <c r="C1229" s="6">
        <v>0</v>
      </c>
      <c r="D1229" s="6">
        <v>0</v>
      </c>
      <c r="E1229" s="6">
        <v>52</v>
      </c>
      <c r="F1229" s="5" t="s">
        <v>7</v>
      </c>
      <c r="G1229" s="5" t="s">
        <v>11</v>
      </c>
      <c r="H1229" s="3" t="s">
        <v>139</v>
      </c>
      <c r="I1229" s="5" t="s">
        <v>437</v>
      </c>
      <c r="J1229" s="5">
        <f>_xlfn.XLOOKUP(CustomerCombined[[#This Row],[ID]], Table4[ID], Table4[Recency], "Not Found", 0)</f>
        <v>60</v>
      </c>
      <c r="K1229" s="5">
        <f>_xlfn.XLOOKUP(CustomerCombined[[#This Row],[ID]], Table4[ID], Table4[Teas], "Not Found", 0)</f>
        <v>614</v>
      </c>
      <c r="L1229" s="5">
        <f>_xlfn.XLOOKUP(CustomerCombined[[#This Row],[ID]], Table4[ID], Table4[Fruits], "Not Found", 0)</f>
        <v>320</v>
      </c>
      <c r="M1229" s="5">
        <f>_xlfn.XLOOKUP(CustomerCombined[[#This Row],[ID]], Table4[ID], Table4[Meats], "Not Found", 0)</f>
        <v>1281</v>
      </c>
      <c r="N1229" s="5">
        <f>_xlfn.XLOOKUP(CustomerCombined[[#This Row],[ID]], Table4[ID], Table4[Seafood], "Not Found", 0)</f>
        <v>519</v>
      </c>
      <c r="O1229" s="5">
        <f>_xlfn.XLOOKUP(CustomerCombined[[#This Row],[ID]], Table4[ID], Table4[Sweets], "Not Found", 0)</f>
        <v>53</v>
      </c>
      <c r="P1229" s="5">
        <f>_xlfn.XLOOKUP(CustomerCombined[[#This Row],[ID]], Table4[ID], Table4[Premium], "Not Found", 0)</f>
        <v>213</v>
      </c>
      <c r="Q1229" s="5">
        <f>_xlfn.XLOOKUP(CustomerCombined[[#This Row],[ID]], Table4[ID], Table4[Regular], "Not Found", 0)</f>
        <v>2574</v>
      </c>
      <c r="R1229" s="5">
        <f>_xlfn.XLOOKUP(CustomerCombined[[#This Row],[ID]], Table4[ID], Table4[Deals], "Not Found", 0)</f>
        <v>1</v>
      </c>
      <c r="S1229" s="5">
        <f>_xlfn.XLOOKUP(CustomerCombined[[#This Row],[ID]], Table4[ID], Table4[Website], "Not Found", 0)</f>
        <v>4</v>
      </c>
      <c r="T1229" s="5">
        <f>_xlfn.XLOOKUP(CustomerCombined[[#This Row],[ID]], Table4[ID], Table4[Catalog], "Not Found", 0)</f>
        <v>4</v>
      </c>
      <c r="U1229" s="5">
        <f>_xlfn.XLOOKUP(CustomerCombined[[#This Row],[ID]], Table4[ID], Table4[Store], "Not Found", 0)</f>
        <v>9</v>
      </c>
      <c r="V1229" s="5">
        <f>_xlfn.XLOOKUP(CustomerCombined[[#This Row],[ID]], Table4[ID], Table4[Visits], "Not Found", 0)</f>
        <v>1</v>
      </c>
      <c r="W1229" s="8">
        <f>_xlfn.XLOOKUP(CustomerCombined[[#This Row],[ID]], Table2[ID],Table2[Complaint], "Not Found", 0 )</f>
        <v>0</v>
      </c>
      <c r="X1229" s="8">
        <f>_xlfn.XLOOKUP(CustomerCombined[[#This Row],[ID]], Table2[ID],Table2[Pilot], "Not Found", 0 )</f>
        <v>0</v>
      </c>
      <c r="Y1229" s="8">
        <f>_xlfn.XLOOKUP(CustomerCombined[[#This Row],[ID]], Table2[ID],Table2[MC1], "Not Found", 0 )</f>
        <v>0</v>
      </c>
      <c r="Z1229" s="8">
        <f>_xlfn.XLOOKUP(CustomerCombined[[#This Row],[ID]], Table2[ID],Table2[MC2], "Not Found", 0 )</f>
        <v>0</v>
      </c>
      <c r="AA1229" s="8">
        <f>_xlfn.XLOOKUP(CustomerCombined[[#This Row],[ID]], Table2[ID],Table2[MC3], "Not Found", 0 )</f>
        <v>0</v>
      </c>
      <c r="AB1229" s="8">
        <f>_xlfn.XLOOKUP(CustomerCombined[[#This Row],[ID]], Table2[ID],Table2[MC4], "Not Found", 0 )</f>
        <v>0</v>
      </c>
      <c r="AC1229" s="8">
        <f>_xlfn.XLOOKUP(CustomerCombined[[#This Row],[ID]], Table2[ID],Table2[MC5], "Not Found", 0 )</f>
        <v>0</v>
      </c>
    </row>
    <row r="1230" spans="1:29" x14ac:dyDescent="0.3">
      <c r="A1230" s="6">
        <v>1321</v>
      </c>
      <c r="B1230" s="6">
        <v>175693</v>
      </c>
      <c r="C1230" s="6">
        <v>0</v>
      </c>
      <c r="D1230" s="6">
        <v>0</v>
      </c>
      <c r="E1230" s="6">
        <v>52</v>
      </c>
      <c r="F1230" s="5" t="s">
        <v>5</v>
      </c>
      <c r="G1230" s="5" t="s">
        <v>11</v>
      </c>
      <c r="H1230" s="3" t="s">
        <v>352</v>
      </c>
      <c r="I1230" s="5" t="s">
        <v>437</v>
      </c>
      <c r="J1230" s="5">
        <f>_xlfn.XLOOKUP(CustomerCombined[[#This Row],[ID]], Table4[ID], Table4[Recency], "Not Found", 0)</f>
        <v>10</v>
      </c>
      <c r="K1230" s="5">
        <f>_xlfn.XLOOKUP(CustomerCombined[[#This Row],[ID]], Table4[ID], Table4[Teas], "Not Found", 0)</f>
        <v>1850</v>
      </c>
      <c r="L1230" s="5">
        <f>_xlfn.XLOOKUP(CustomerCombined[[#This Row],[ID]], Table4[ID], Table4[Fruits], "Not Found", 0)</f>
        <v>355</v>
      </c>
      <c r="M1230" s="5">
        <f>_xlfn.XLOOKUP(CustomerCombined[[#This Row],[ID]], Table4[ID], Table4[Meats], "Not Found", 0)</f>
        <v>680</v>
      </c>
      <c r="N1230" s="5">
        <f>_xlfn.XLOOKUP(CustomerCombined[[#This Row],[ID]], Table4[ID], Table4[Seafood], "Not Found", 0)</f>
        <v>167</v>
      </c>
      <c r="O1230" s="5">
        <f>_xlfn.XLOOKUP(CustomerCombined[[#This Row],[ID]], Table4[ID], Table4[Sweets], "Not Found", 0)</f>
        <v>225</v>
      </c>
      <c r="P1230" s="5">
        <f>_xlfn.XLOOKUP(CustomerCombined[[#This Row],[ID]], Table4[ID], Table4[Premium], "Not Found", 0)</f>
        <v>70</v>
      </c>
      <c r="Q1230" s="5">
        <f>_xlfn.XLOOKUP(CustomerCombined[[#This Row],[ID]], Table4[ID], Table4[Regular], "Not Found", 0)</f>
        <v>3208</v>
      </c>
      <c r="R1230" s="5">
        <f>_xlfn.XLOOKUP(CustomerCombined[[#This Row],[ID]], Table4[ID], Table4[Deals], "Not Found", 0)</f>
        <v>1</v>
      </c>
      <c r="S1230" s="5">
        <f>_xlfn.XLOOKUP(CustomerCombined[[#This Row],[ID]], Table4[ID], Table4[Website], "Not Found", 0)</f>
        <v>11</v>
      </c>
      <c r="T1230" s="5">
        <f>_xlfn.XLOOKUP(CustomerCombined[[#This Row],[ID]], Table4[ID], Table4[Catalog], "Not Found", 0)</f>
        <v>4</v>
      </c>
      <c r="U1230" s="5">
        <f>_xlfn.XLOOKUP(CustomerCombined[[#This Row],[ID]], Table4[ID], Table4[Store], "Not Found", 0)</f>
        <v>6</v>
      </c>
      <c r="V1230" s="5">
        <f>_xlfn.XLOOKUP(CustomerCombined[[#This Row],[ID]], Table4[ID], Table4[Visits], "Not Found", 0)</f>
        <v>4</v>
      </c>
      <c r="W1230" s="8">
        <f>_xlfn.XLOOKUP(CustomerCombined[[#This Row],[ID]], Table2[ID],Table2[Complaint], "Not Found", 0 )</f>
        <v>0</v>
      </c>
      <c r="X1230" s="8">
        <f>_xlfn.XLOOKUP(CustomerCombined[[#This Row],[ID]], Table2[ID],Table2[Pilot], "Not Found", 0 )</f>
        <v>1</v>
      </c>
      <c r="Y1230" s="8">
        <f>_xlfn.XLOOKUP(CustomerCombined[[#This Row],[ID]], Table2[ID],Table2[MC1], "Not Found", 0 )</f>
        <v>1</v>
      </c>
      <c r="Z1230" s="8">
        <f>_xlfn.XLOOKUP(CustomerCombined[[#This Row],[ID]], Table2[ID],Table2[MC2], "Not Found", 0 )</f>
        <v>0</v>
      </c>
      <c r="AA1230" s="8">
        <f>_xlfn.XLOOKUP(CustomerCombined[[#This Row],[ID]], Table2[ID],Table2[MC3], "Not Found", 0 )</f>
        <v>0</v>
      </c>
      <c r="AB1230" s="8">
        <f>_xlfn.XLOOKUP(CustomerCombined[[#This Row],[ID]], Table2[ID],Table2[MC4], "Not Found", 0 )</f>
        <v>1</v>
      </c>
      <c r="AC1230" s="8">
        <f>_xlfn.XLOOKUP(CustomerCombined[[#This Row],[ID]], Table2[ID],Table2[MC5], "Not Found", 0 )</f>
        <v>1</v>
      </c>
    </row>
    <row r="1231" spans="1:29" x14ac:dyDescent="0.3">
      <c r="A1231" s="6">
        <v>1227</v>
      </c>
      <c r="B1231" s="6">
        <v>173455</v>
      </c>
      <c r="C1231" s="6">
        <v>0</v>
      </c>
      <c r="D1231" s="6">
        <v>0</v>
      </c>
      <c r="E1231" s="6">
        <v>52</v>
      </c>
      <c r="F1231" s="5" t="s">
        <v>9</v>
      </c>
      <c r="G1231" s="5" t="s">
        <v>11</v>
      </c>
      <c r="H1231" s="3">
        <v>43894</v>
      </c>
      <c r="I1231" s="5" t="s">
        <v>435</v>
      </c>
      <c r="J1231" s="5">
        <f>_xlfn.XLOOKUP(CustomerCombined[[#This Row],[ID]], Table4[ID], Table4[Recency], "Not Found", 0)</f>
        <v>98</v>
      </c>
      <c r="K1231" s="5">
        <f>_xlfn.XLOOKUP(CustomerCombined[[#This Row],[ID]], Table4[ID], Table4[Teas], "Not Found", 0)</f>
        <v>2128</v>
      </c>
      <c r="L1231" s="5">
        <f>_xlfn.XLOOKUP(CustomerCombined[[#This Row],[ID]], Table4[ID], Table4[Fruits], "Not Found", 0)</f>
        <v>144</v>
      </c>
      <c r="M1231" s="5">
        <f>_xlfn.XLOOKUP(CustomerCombined[[#This Row],[ID]], Table4[ID], Table4[Meats], "Not Found", 0)</f>
        <v>1788</v>
      </c>
      <c r="N1231" s="5">
        <f>_xlfn.XLOOKUP(CustomerCombined[[#This Row],[ID]], Table4[ID], Table4[Seafood], "Not Found", 0)</f>
        <v>439</v>
      </c>
      <c r="O1231" s="5">
        <f>_xlfn.XLOOKUP(CustomerCombined[[#This Row],[ID]], Table4[ID], Table4[Sweets], "Not Found", 0)</f>
        <v>385</v>
      </c>
      <c r="P1231" s="5">
        <f>_xlfn.XLOOKUP(CustomerCombined[[#This Row],[ID]], Table4[ID], Table4[Premium], "Not Found", 0)</f>
        <v>47</v>
      </c>
      <c r="Q1231" s="5">
        <f>_xlfn.XLOOKUP(CustomerCombined[[#This Row],[ID]], Table4[ID], Table4[Regular], "Not Found", 0)</f>
        <v>4836</v>
      </c>
      <c r="R1231" s="5">
        <f>_xlfn.XLOOKUP(CustomerCombined[[#This Row],[ID]], Table4[ID], Table4[Deals], "Not Found", 0)</f>
        <v>1</v>
      </c>
      <c r="S1231" s="5">
        <f>_xlfn.XLOOKUP(CustomerCombined[[#This Row],[ID]], Table4[ID], Table4[Website], "Not Found", 0)</f>
        <v>6</v>
      </c>
      <c r="T1231" s="5">
        <f>_xlfn.XLOOKUP(CustomerCombined[[#This Row],[ID]], Table4[ID], Table4[Catalog], "Not Found", 0)</f>
        <v>5</v>
      </c>
      <c r="U1231" s="5">
        <f>_xlfn.XLOOKUP(CustomerCombined[[#This Row],[ID]], Table4[ID], Table4[Store], "Not Found", 0)</f>
        <v>10</v>
      </c>
      <c r="V1231" s="5">
        <f>_xlfn.XLOOKUP(CustomerCombined[[#This Row],[ID]], Table4[ID], Table4[Visits], "Not Found", 0)</f>
        <v>3</v>
      </c>
      <c r="W1231" s="8">
        <f>_xlfn.XLOOKUP(CustomerCombined[[#This Row],[ID]], Table2[ID],Table2[Complaint], "Not Found", 0 )</f>
        <v>0</v>
      </c>
      <c r="X1231" s="8">
        <f>_xlfn.XLOOKUP(CustomerCombined[[#This Row],[ID]], Table2[ID],Table2[Pilot], "Not Found", 0 )</f>
        <v>0</v>
      </c>
      <c r="Y1231" s="8">
        <f>_xlfn.XLOOKUP(CustomerCombined[[#This Row],[ID]], Table2[ID],Table2[MC1], "Not Found", 0 )</f>
        <v>0</v>
      </c>
      <c r="Z1231" s="8">
        <f>_xlfn.XLOOKUP(CustomerCombined[[#This Row],[ID]], Table2[ID],Table2[MC2], "Not Found", 0 )</f>
        <v>0</v>
      </c>
      <c r="AA1231" s="8">
        <f>_xlfn.XLOOKUP(CustomerCombined[[#This Row],[ID]], Table2[ID],Table2[MC3], "Not Found", 0 )</f>
        <v>0</v>
      </c>
      <c r="AB1231" s="8">
        <f>_xlfn.XLOOKUP(CustomerCombined[[#This Row],[ID]], Table2[ID],Table2[MC4], "Not Found", 0 )</f>
        <v>1</v>
      </c>
      <c r="AC1231" s="8">
        <f>_xlfn.XLOOKUP(CustomerCombined[[#This Row],[ID]], Table2[ID],Table2[MC5], "Not Found", 0 )</f>
        <v>0</v>
      </c>
    </row>
    <row r="1232" spans="1:29" x14ac:dyDescent="0.3">
      <c r="A1232" s="6">
        <v>1378</v>
      </c>
      <c r="B1232" s="6">
        <v>170777</v>
      </c>
      <c r="C1232" s="6">
        <v>0</v>
      </c>
      <c r="D1232" s="6">
        <v>1</v>
      </c>
      <c r="E1232" s="6">
        <v>52</v>
      </c>
      <c r="F1232" s="5" t="s">
        <v>6</v>
      </c>
      <c r="G1232" s="5" t="s">
        <v>12</v>
      </c>
      <c r="H1232" s="3">
        <v>43838</v>
      </c>
      <c r="I1232" s="5" t="s">
        <v>439</v>
      </c>
      <c r="J1232" s="5">
        <f>_xlfn.XLOOKUP(CustomerCombined[[#This Row],[ID]], Table4[ID], Table4[Recency], "Not Found", 0)</f>
        <v>80</v>
      </c>
      <c r="K1232" s="5">
        <f>_xlfn.XLOOKUP(CustomerCombined[[#This Row],[ID]], Table4[ID], Table4[Teas], "Not Found", 0)</f>
        <v>1337</v>
      </c>
      <c r="L1232" s="5">
        <f>_xlfn.XLOOKUP(CustomerCombined[[#This Row],[ID]], Table4[ID], Table4[Fruits], "Not Found", 0)</f>
        <v>84</v>
      </c>
      <c r="M1232" s="5">
        <f>_xlfn.XLOOKUP(CustomerCombined[[#This Row],[ID]], Table4[ID], Table4[Meats], "Not Found", 0)</f>
        <v>273</v>
      </c>
      <c r="N1232" s="5">
        <f>_xlfn.XLOOKUP(CustomerCombined[[#This Row],[ID]], Table4[ID], Table4[Seafood], "Not Found", 0)</f>
        <v>0</v>
      </c>
      <c r="O1232" s="5">
        <f>_xlfn.XLOOKUP(CustomerCombined[[#This Row],[ID]], Table4[ID], Table4[Sweets], "Not Found", 0)</f>
        <v>17</v>
      </c>
      <c r="P1232" s="5">
        <f>_xlfn.XLOOKUP(CustomerCombined[[#This Row],[ID]], Table4[ID], Table4[Premium], "Not Found", 0)</f>
        <v>188</v>
      </c>
      <c r="Q1232" s="5">
        <f>_xlfn.XLOOKUP(CustomerCombined[[#This Row],[ID]], Table4[ID], Table4[Regular], "Not Found", 0)</f>
        <v>1523</v>
      </c>
      <c r="R1232" s="5">
        <f>_xlfn.XLOOKUP(CustomerCombined[[#This Row],[ID]], Table4[ID], Table4[Deals], "Not Found", 0)</f>
        <v>3</v>
      </c>
      <c r="S1232" s="5">
        <f>_xlfn.XLOOKUP(CustomerCombined[[#This Row],[ID]], Table4[ID], Table4[Website], "Not Found", 0)</f>
        <v>5</v>
      </c>
      <c r="T1232" s="5">
        <f>_xlfn.XLOOKUP(CustomerCombined[[#This Row],[ID]], Table4[ID], Table4[Catalog], "Not Found", 0)</f>
        <v>3</v>
      </c>
      <c r="U1232" s="5">
        <f>_xlfn.XLOOKUP(CustomerCombined[[#This Row],[ID]], Table4[ID], Table4[Store], "Not Found", 0)</f>
        <v>12</v>
      </c>
      <c r="V1232" s="5">
        <f>_xlfn.XLOOKUP(CustomerCombined[[#This Row],[ID]], Table4[ID], Table4[Visits], "Not Found", 0)</f>
        <v>3</v>
      </c>
      <c r="W1232" s="8">
        <f>_xlfn.XLOOKUP(CustomerCombined[[#This Row],[ID]], Table2[ID],Table2[Complaint], "Not Found", 0 )</f>
        <v>0</v>
      </c>
      <c r="X1232" s="8">
        <f>_xlfn.XLOOKUP(CustomerCombined[[#This Row],[ID]], Table2[ID],Table2[Pilot], "Not Found", 0 )</f>
        <v>0</v>
      </c>
      <c r="Y1232" s="8">
        <f>_xlfn.XLOOKUP(CustomerCombined[[#This Row],[ID]], Table2[ID],Table2[MC1], "Not Found", 0 )</f>
        <v>0</v>
      </c>
      <c r="Z1232" s="8">
        <f>_xlfn.XLOOKUP(CustomerCombined[[#This Row],[ID]], Table2[ID],Table2[MC2], "Not Found", 0 )</f>
        <v>0</v>
      </c>
      <c r="AA1232" s="8">
        <f>_xlfn.XLOOKUP(CustomerCombined[[#This Row],[ID]], Table2[ID],Table2[MC3], "Not Found", 0 )</f>
        <v>0</v>
      </c>
      <c r="AB1232" s="8">
        <f>_xlfn.XLOOKUP(CustomerCombined[[#This Row],[ID]], Table2[ID],Table2[MC4], "Not Found", 0 )</f>
        <v>0</v>
      </c>
      <c r="AC1232" s="8">
        <f>_xlfn.XLOOKUP(CustomerCombined[[#This Row],[ID]], Table2[ID],Table2[MC5], "Not Found", 0 )</f>
        <v>0</v>
      </c>
    </row>
    <row r="1233" spans="1:29" x14ac:dyDescent="0.3">
      <c r="A1233" s="6">
        <v>2101</v>
      </c>
      <c r="B1233" s="6">
        <v>170566</v>
      </c>
      <c r="C1233" s="6">
        <v>0</v>
      </c>
      <c r="D1233" s="6">
        <v>1</v>
      </c>
      <c r="E1233" s="6">
        <v>52</v>
      </c>
      <c r="F1233" s="5" t="s">
        <v>7</v>
      </c>
      <c r="G1233" s="5" t="s">
        <v>11</v>
      </c>
      <c r="H1233" s="3">
        <v>44168</v>
      </c>
      <c r="I1233" s="5" t="s">
        <v>437</v>
      </c>
      <c r="J1233" s="5">
        <f>_xlfn.XLOOKUP(CustomerCombined[[#This Row],[ID]], Table4[ID], Table4[Recency], "Not Found", 0)</f>
        <v>4</v>
      </c>
      <c r="K1233" s="5">
        <f>_xlfn.XLOOKUP(CustomerCombined[[#This Row],[ID]], Table4[ID], Table4[Teas], "Not Found", 0)</f>
        <v>921</v>
      </c>
      <c r="L1233" s="5">
        <f>_xlfn.XLOOKUP(CustomerCombined[[#This Row],[ID]], Table4[ID], Table4[Fruits], "Not Found", 0)</f>
        <v>68</v>
      </c>
      <c r="M1233" s="5">
        <f>_xlfn.XLOOKUP(CustomerCombined[[#This Row],[ID]], Table4[ID], Table4[Meats], "Not Found", 0)</f>
        <v>520</v>
      </c>
      <c r="N1233" s="5">
        <f>_xlfn.XLOOKUP(CustomerCombined[[#This Row],[ID]], Table4[ID], Table4[Seafood], "Not Found", 0)</f>
        <v>203</v>
      </c>
      <c r="O1233" s="5">
        <f>_xlfn.XLOOKUP(CustomerCombined[[#This Row],[ID]], Table4[ID], Table4[Sweets], "Not Found", 0)</f>
        <v>68</v>
      </c>
      <c r="P1233" s="5">
        <f>_xlfn.XLOOKUP(CustomerCombined[[#This Row],[ID]], Table4[ID], Table4[Premium], "Not Found", 0)</f>
        <v>51</v>
      </c>
      <c r="Q1233" s="5">
        <f>_xlfn.XLOOKUP(CustomerCombined[[#This Row],[ID]], Table4[ID], Table4[Regular], "Not Found", 0)</f>
        <v>1728</v>
      </c>
      <c r="R1233" s="5">
        <f>_xlfn.XLOOKUP(CustomerCombined[[#This Row],[ID]], Table4[ID], Table4[Deals], "Not Found", 0)</f>
        <v>2</v>
      </c>
      <c r="S1233" s="5">
        <f>_xlfn.XLOOKUP(CustomerCombined[[#This Row],[ID]], Table4[ID], Table4[Website], "Not Found", 0)</f>
        <v>6</v>
      </c>
      <c r="T1233" s="5">
        <f>_xlfn.XLOOKUP(CustomerCombined[[#This Row],[ID]], Table4[ID], Table4[Catalog], "Not Found", 0)</f>
        <v>5</v>
      </c>
      <c r="U1233" s="5">
        <f>_xlfn.XLOOKUP(CustomerCombined[[#This Row],[ID]], Table4[ID], Table4[Store], "Not Found", 0)</f>
        <v>9</v>
      </c>
      <c r="V1233" s="5">
        <f>_xlfn.XLOOKUP(CustomerCombined[[#This Row],[ID]], Table4[ID], Table4[Visits], "Not Found", 0)</f>
        <v>3</v>
      </c>
      <c r="W1233" s="8">
        <f>_xlfn.XLOOKUP(CustomerCombined[[#This Row],[ID]], Table2[ID],Table2[Complaint], "Not Found", 0 )</f>
        <v>0</v>
      </c>
      <c r="X1233" s="8">
        <f>_xlfn.XLOOKUP(CustomerCombined[[#This Row],[ID]], Table2[ID],Table2[Pilot], "Not Found", 0 )</f>
        <v>0</v>
      </c>
      <c r="Y1233" s="8">
        <f>_xlfn.XLOOKUP(CustomerCombined[[#This Row],[ID]], Table2[ID],Table2[MC1], "Not Found", 0 )</f>
        <v>0</v>
      </c>
      <c r="Z1233" s="8">
        <f>_xlfn.XLOOKUP(CustomerCombined[[#This Row],[ID]], Table2[ID],Table2[MC2], "Not Found", 0 )</f>
        <v>0</v>
      </c>
      <c r="AA1233" s="8">
        <f>_xlfn.XLOOKUP(CustomerCombined[[#This Row],[ID]], Table2[ID],Table2[MC3], "Not Found", 0 )</f>
        <v>0</v>
      </c>
      <c r="AB1233" s="8">
        <f>_xlfn.XLOOKUP(CustomerCombined[[#This Row],[ID]], Table2[ID],Table2[MC4], "Not Found", 0 )</f>
        <v>0</v>
      </c>
      <c r="AC1233" s="8">
        <f>_xlfn.XLOOKUP(CustomerCombined[[#This Row],[ID]], Table2[ID],Table2[MC5], "Not Found", 0 )</f>
        <v>0</v>
      </c>
    </row>
    <row r="1234" spans="1:29" x14ac:dyDescent="0.3">
      <c r="A1234" s="6">
        <v>1248</v>
      </c>
      <c r="B1234" s="6">
        <v>169674</v>
      </c>
      <c r="C1234" s="6">
        <v>0</v>
      </c>
      <c r="D1234" s="6">
        <v>2</v>
      </c>
      <c r="E1234" s="6">
        <v>52</v>
      </c>
      <c r="F1234" s="5" t="s">
        <v>5</v>
      </c>
      <c r="G1234" s="5" t="s">
        <v>13</v>
      </c>
      <c r="H1234" s="3" t="s">
        <v>249</v>
      </c>
      <c r="I1234" s="5" t="s">
        <v>436</v>
      </c>
      <c r="J1234" s="5">
        <f>_xlfn.XLOOKUP(CustomerCombined[[#This Row],[ID]], Table4[ID], Table4[Recency], "Not Found", 0)</f>
        <v>46</v>
      </c>
      <c r="K1234" s="5">
        <f>_xlfn.XLOOKUP(CustomerCombined[[#This Row],[ID]], Table4[ID], Table4[Teas], "Not Found", 0)</f>
        <v>1349</v>
      </c>
      <c r="L1234" s="5">
        <f>_xlfn.XLOOKUP(CustomerCombined[[#This Row],[ID]], Table4[ID], Table4[Fruits], "Not Found", 0)</f>
        <v>100</v>
      </c>
      <c r="M1234" s="5">
        <f>_xlfn.XLOOKUP(CustomerCombined[[#This Row],[ID]], Table4[ID], Table4[Meats], "Not Found", 0)</f>
        <v>524</v>
      </c>
      <c r="N1234" s="5">
        <f>_xlfn.XLOOKUP(CustomerCombined[[#This Row],[ID]], Table4[ID], Table4[Seafood], "Not Found", 0)</f>
        <v>27</v>
      </c>
      <c r="O1234" s="5">
        <f>_xlfn.XLOOKUP(CustomerCombined[[#This Row],[ID]], Table4[ID], Table4[Sweets], "Not Found", 0)</f>
        <v>0</v>
      </c>
      <c r="P1234" s="5">
        <f>_xlfn.XLOOKUP(CustomerCombined[[#This Row],[ID]], Table4[ID], Table4[Premium], "Not Found", 0)</f>
        <v>58</v>
      </c>
      <c r="Q1234" s="5">
        <f>_xlfn.XLOOKUP(CustomerCombined[[#This Row],[ID]], Table4[ID], Table4[Regular], "Not Found", 0)</f>
        <v>1941</v>
      </c>
      <c r="R1234" s="5">
        <f>_xlfn.XLOOKUP(CustomerCombined[[#This Row],[ID]], Table4[ID], Table4[Deals], "Not Found", 0)</f>
        <v>3</v>
      </c>
      <c r="S1234" s="5">
        <f>_xlfn.XLOOKUP(CustomerCombined[[#This Row],[ID]], Table4[ID], Table4[Website], "Not Found", 0)</f>
        <v>10</v>
      </c>
      <c r="T1234" s="5">
        <f>_xlfn.XLOOKUP(CustomerCombined[[#This Row],[ID]], Table4[ID], Table4[Catalog], "Not Found", 0)</f>
        <v>2</v>
      </c>
      <c r="U1234" s="5">
        <f>_xlfn.XLOOKUP(CustomerCombined[[#This Row],[ID]], Table4[ID], Table4[Store], "Not Found", 0)</f>
        <v>10</v>
      </c>
      <c r="V1234" s="5">
        <f>_xlfn.XLOOKUP(CustomerCombined[[#This Row],[ID]], Table4[ID], Table4[Visits], "Not Found", 0)</f>
        <v>5</v>
      </c>
      <c r="W1234" s="8">
        <f>_xlfn.XLOOKUP(CustomerCombined[[#This Row],[ID]], Table2[ID],Table2[Complaint], "Not Found", 0 )</f>
        <v>0</v>
      </c>
      <c r="X1234" s="8">
        <f>_xlfn.XLOOKUP(CustomerCombined[[#This Row],[ID]], Table2[ID],Table2[Pilot], "Not Found", 0 )</f>
        <v>0</v>
      </c>
      <c r="Y1234" s="8">
        <f>_xlfn.XLOOKUP(CustomerCombined[[#This Row],[ID]], Table2[ID],Table2[MC1], "Not Found", 0 )</f>
        <v>0</v>
      </c>
      <c r="Z1234" s="8">
        <f>_xlfn.XLOOKUP(CustomerCombined[[#This Row],[ID]], Table2[ID],Table2[MC2], "Not Found", 0 )</f>
        <v>0</v>
      </c>
      <c r="AA1234" s="8">
        <f>_xlfn.XLOOKUP(CustomerCombined[[#This Row],[ID]], Table2[ID],Table2[MC3], "Not Found", 0 )</f>
        <v>0</v>
      </c>
      <c r="AB1234" s="8">
        <f>_xlfn.XLOOKUP(CustomerCombined[[#This Row],[ID]], Table2[ID],Table2[MC4], "Not Found", 0 )</f>
        <v>0</v>
      </c>
      <c r="AC1234" s="8">
        <f>_xlfn.XLOOKUP(CustomerCombined[[#This Row],[ID]], Table2[ID],Table2[MC5], "Not Found", 0 )</f>
        <v>0</v>
      </c>
    </row>
    <row r="1235" spans="1:29" x14ac:dyDescent="0.3">
      <c r="A1235" s="6">
        <v>2757</v>
      </c>
      <c r="B1235" s="6">
        <v>164590</v>
      </c>
      <c r="C1235" s="6">
        <v>0</v>
      </c>
      <c r="D1235" s="6">
        <v>0</v>
      </c>
      <c r="E1235" s="6">
        <v>52</v>
      </c>
      <c r="F1235" s="5" t="s">
        <v>6</v>
      </c>
      <c r="G1235" s="5" t="s">
        <v>11</v>
      </c>
      <c r="H1235" s="3" t="s">
        <v>380</v>
      </c>
      <c r="I1235" s="5" t="s">
        <v>435</v>
      </c>
      <c r="J1235" s="5">
        <f>_xlfn.XLOOKUP(CustomerCombined[[#This Row],[ID]], Table4[ID], Table4[Recency], "Not Found", 0)</f>
        <v>98</v>
      </c>
      <c r="K1235" s="5">
        <f>_xlfn.XLOOKUP(CustomerCombined[[#This Row],[ID]], Table4[ID], Table4[Teas], "Not Found", 0)</f>
        <v>2344</v>
      </c>
      <c r="L1235" s="5">
        <f>_xlfn.XLOOKUP(CustomerCombined[[#This Row],[ID]], Table4[ID], Table4[Fruits], "Not Found", 0)</f>
        <v>352</v>
      </c>
      <c r="M1235" s="5">
        <f>_xlfn.XLOOKUP(CustomerCombined[[#This Row],[ID]], Table4[ID], Table4[Meats], "Not Found", 0)</f>
        <v>428</v>
      </c>
      <c r="N1235" s="5">
        <f>_xlfn.XLOOKUP(CustomerCombined[[#This Row],[ID]], Table4[ID], Table4[Seafood], "Not Found", 0)</f>
        <v>92</v>
      </c>
      <c r="O1235" s="5">
        <f>_xlfn.XLOOKUP(CustomerCombined[[#This Row],[ID]], Table4[ID], Table4[Sweets], "Not Found", 0)</f>
        <v>117</v>
      </c>
      <c r="P1235" s="5">
        <f>_xlfn.XLOOKUP(CustomerCombined[[#This Row],[ID]], Table4[ID], Table4[Premium], "Not Found", 0)</f>
        <v>76</v>
      </c>
      <c r="Q1235" s="5">
        <f>_xlfn.XLOOKUP(CustomerCombined[[#This Row],[ID]], Table4[ID], Table4[Regular], "Not Found", 0)</f>
        <v>3257</v>
      </c>
      <c r="R1235" s="5">
        <f>_xlfn.XLOOKUP(CustomerCombined[[#This Row],[ID]], Table4[ID], Table4[Deals], "Not Found", 0)</f>
        <v>1</v>
      </c>
      <c r="S1235" s="5">
        <f>_xlfn.XLOOKUP(CustomerCombined[[#This Row],[ID]], Table4[ID], Table4[Website], "Not Found", 0)</f>
        <v>9</v>
      </c>
      <c r="T1235" s="5">
        <f>_xlfn.XLOOKUP(CustomerCombined[[#This Row],[ID]], Table4[ID], Table4[Catalog], "Not Found", 0)</f>
        <v>4</v>
      </c>
      <c r="U1235" s="5">
        <f>_xlfn.XLOOKUP(CustomerCombined[[#This Row],[ID]], Table4[ID], Table4[Store], "Not Found", 0)</f>
        <v>10</v>
      </c>
      <c r="V1235" s="5">
        <f>_xlfn.XLOOKUP(CustomerCombined[[#This Row],[ID]], Table4[ID], Table4[Visits], "Not Found", 0)</f>
        <v>6</v>
      </c>
      <c r="W1235" s="8">
        <f>_xlfn.XLOOKUP(CustomerCombined[[#This Row],[ID]], Table2[ID],Table2[Complaint], "Not Found", 0 )</f>
        <v>0</v>
      </c>
      <c r="X1235" s="8">
        <f>_xlfn.XLOOKUP(CustomerCombined[[#This Row],[ID]], Table2[ID],Table2[Pilot], "Not Found", 0 )</f>
        <v>0</v>
      </c>
      <c r="Y1235" s="8">
        <f>_xlfn.XLOOKUP(CustomerCombined[[#This Row],[ID]], Table2[ID],Table2[MC1], "Not Found", 0 )</f>
        <v>0</v>
      </c>
      <c r="Z1235" s="8">
        <f>_xlfn.XLOOKUP(CustomerCombined[[#This Row],[ID]], Table2[ID],Table2[MC2], "Not Found", 0 )</f>
        <v>0</v>
      </c>
      <c r="AA1235" s="8">
        <f>_xlfn.XLOOKUP(CustomerCombined[[#This Row],[ID]], Table2[ID],Table2[MC3], "Not Found", 0 )</f>
        <v>0</v>
      </c>
      <c r="AB1235" s="8">
        <f>_xlfn.XLOOKUP(CustomerCombined[[#This Row],[ID]], Table2[ID],Table2[MC4], "Not Found", 0 )</f>
        <v>0</v>
      </c>
      <c r="AC1235" s="8">
        <f>_xlfn.XLOOKUP(CustomerCombined[[#This Row],[ID]], Table2[ID],Table2[MC5], "Not Found", 0 )</f>
        <v>0</v>
      </c>
    </row>
    <row r="1236" spans="1:29" x14ac:dyDescent="0.3">
      <c r="A1236" s="6">
        <v>2798</v>
      </c>
      <c r="B1236" s="6">
        <v>163967</v>
      </c>
      <c r="C1236" s="6">
        <v>0</v>
      </c>
      <c r="D1236" s="6">
        <v>1</v>
      </c>
      <c r="E1236" s="6">
        <v>52</v>
      </c>
      <c r="F1236" s="5" t="s">
        <v>6</v>
      </c>
      <c r="G1236" s="5" t="s">
        <v>11</v>
      </c>
      <c r="H1236" s="3" t="s">
        <v>208</v>
      </c>
      <c r="I1236" s="5" t="s">
        <v>438</v>
      </c>
      <c r="J1236" s="5">
        <f>_xlfn.XLOOKUP(CustomerCombined[[#This Row],[ID]], Table4[ID], Table4[Recency], "Not Found", 0)</f>
        <v>57</v>
      </c>
      <c r="K1236" s="5">
        <f>_xlfn.XLOOKUP(CustomerCombined[[#This Row],[ID]], Table4[ID], Table4[Teas], "Not Found", 0)</f>
        <v>992</v>
      </c>
      <c r="L1236" s="5">
        <f>_xlfn.XLOOKUP(CustomerCombined[[#This Row],[ID]], Table4[ID], Table4[Fruits], "Not Found", 0)</f>
        <v>215</v>
      </c>
      <c r="M1236" s="5">
        <f>_xlfn.XLOOKUP(CustomerCombined[[#This Row],[ID]], Table4[ID], Table4[Meats], "Not Found", 0)</f>
        <v>361</v>
      </c>
      <c r="N1236" s="5">
        <f>_xlfn.XLOOKUP(CustomerCombined[[#This Row],[ID]], Table4[ID], Table4[Seafood], "Not Found", 0)</f>
        <v>187</v>
      </c>
      <c r="O1236" s="5">
        <f>_xlfn.XLOOKUP(CustomerCombined[[#This Row],[ID]], Table4[ID], Table4[Sweets], "Not Found", 0)</f>
        <v>90</v>
      </c>
      <c r="P1236" s="5">
        <f>_xlfn.XLOOKUP(CustomerCombined[[#This Row],[ID]], Table4[ID], Table4[Premium], "Not Found", 0)</f>
        <v>415</v>
      </c>
      <c r="Q1236" s="5">
        <f>_xlfn.XLOOKUP(CustomerCombined[[#This Row],[ID]], Table4[ID], Table4[Regular], "Not Found", 0)</f>
        <v>1430</v>
      </c>
      <c r="R1236" s="5">
        <f>_xlfn.XLOOKUP(CustomerCombined[[#This Row],[ID]], Table4[ID], Table4[Deals], "Not Found", 0)</f>
        <v>3</v>
      </c>
      <c r="S1236" s="5">
        <f>_xlfn.XLOOKUP(CustomerCombined[[#This Row],[ID]], Table4[ID], Table4[Website], "Not Found", 0)</f>
        <v>4</v>
      </c>
      <c r="T1236" s="5">
        <f>_xlfn.XLOOKUP(CustomerCombined[[#This Row],[ID]], Table4[ID], Table4[Catalog], "Not Found", 0)</f>
        <v>4</v>
      </c>
      <c r="U1236" s="5">
        <f>_xlfn.XLOOKUP(CustomerCombined[[#This Row],[ID]], Table4[ID], Table4[Store], "Not Found", 0)</f>
        <v>12</v>
      </c>
      <c r="V1236" s="5">
        <f>_xlfn.XLOOKUP(CustomerCombined[[#This Row],[ID]], Table4[ID], Table4[Visits], "Not Found", 0)</f>
        <v>2</v>
      </c>
      <c r="W1236" s="8">
        <f>_xlfn.XLOOKUP(CustomerCombined[[#This Row],[ID]], Table2[ID],Table2[Complaint], "Not Found", 0 )</f>
        <v>0</v>
      </c>
      <c r="X1236" s="8">
        <f>_xlfn.XLOOKUP(CustomerCombined[[#This Row],[ID]], Table2[ID],Table2[Pilot], "Not Found", 0 )</f>
        <v>0</v>
      </c>
      <c r="Y1236" s="8">
        <f>_xlfn.XLOOKUP(CustomerCombined[[#This Row],[ID]], Table2[ID],Table2[MC1], "Not Found", 0 )</f>
        <v>0</v>
      </c>
      <c r="Z1236" s="8">
        <f>_xlfn.XLOOKUP(CustomerCombined[[#This Row],[ID]], Table2[ID],Table2[MC2], "Not Found", 0 )</f>
        <v>0</v>
      </c>
      <c r="AA1236" s="8">
        <f>_xlfn.XLOOKUP(CustomerCombined[[#This Row],[ID]], Table2[ID],Table2[MC3], "Not Found", 0 )</f>
        <v>0</v>
      </c>
      <c r="AB1236" s="8">
        <f>_xlfn.XLOOKUP(CustomerCombined[[#This Row],[ID]], Table2[ID],Table2[MC4], "Not Found", 0 )</f>
        <v>0</v>
      </c>
      <c r="AC1236" s="8">
        <f>_xlfn.XLOOKUP(CustomerCombined[[#This Row],[ID]], Table2[ID],Table2[MC5], "Not Found", 0 )</f>
        <v>0</v>
      </c>
    </row>
    <row r="1237" spans="1:29" x14ac:dyDescent="0.3">
      <c r="A1237" s="6">
        <v>1266</v>
      </c>
      <c r="B1237" s="6">
        <v>163841</v>
      </c>
      <c r="C1237" s="6">
        <v>0</v>
      </c>
      <c r="D1237" s="6">
        <v>1</v>
      </c>
      <c r="E1237" s="6">
        <v>52</v>
      </c>
      <c r="F1237" s="5" t="s">
        <v>5</v>
      </c>
      <c r="G1237" s="5" t="s">
        <v>12</v>
      </c>
      <c r="H1237" s="3" t="s">
        <v>268</v>
      </c>
      <c r="I1237" s="5" t="s">
        <v>436</v>
      </c>
      <c r="J1237" s="5">
        <f>_xlfn.XLOOKUP(CustomerCombined[[#This Row],[ID]], Table4[ID], Table4[Recency], "Not Found", 0)</f>
        <v>64</v>
      </c>
      <c r="K1237" s="5">
        <f>_xlfn.XLOOKUP(CustomerCombined[[#This Row],[ID]], Table4[ID], Table4[Teas], "Not Found", 0)</f>
        <v>1630</v>
      </c>
      <c r="L1237" s="5">
        <f>_xlfn.XLOOKUP(CustomerCombined[[#This Row],[ID]], Table4[ID], Table4[Fruits], "Not Found", 0)</f>
        <v>38</v>
      </c>
      <c r="M1237" s="5">
        <f>_xlfn.XLOOKUP(CustomerCombined[[#This Row],[ID]], Table4[ID], Table4[Meats], "Not Found", 0)</f>
        <v>257</v>
      </c>
      <c r="N1237" s="5">
        <f>_xlfn.XLOOKUP(CustomerCombined[[#This Row],[ID]], Table4[ID], Table4[Seafood], "Not Found", 0)</f>
        <v>51</v>
      </c>
      <c r="O1237" s="5">
        <f>_xlfn.XLOOKUP(CustomerCombined[[#This Row],[ID]], Table4[ID], Table4[Sweets], "Not Found", 0)</f>
        <v>18</v>
      </c>
      <c r="P1237" s="5">
        <f>_xlfn.XLOOKUP(CustomerCombined[[#This Row],[ID]], Table4[ID], Table4[Premium], "Not Found", 0)</f>
        <v>336</v>
      </c>
      <c r="Q1237" s="5">
        <f>_xlfn.XLOOKUP(CustomerCombined[[#This Row],[ID]], Table4[ID], Table4[Regular], "Not Found", 0)</f>
        <v>1658</v>
      </c>
      <c r="R1237" s="5">
        <f>_xlfn.XLOOKUP(CustomerCombined[[#This Row],[ID]], Table4[ID], Table4[Deals], "Not Found", 0)</f>
        <v>1</v>
      </c>
      <c r="S1237" s="5">
        <f>_xlfn.XLOOKUP(CustomerCombined[[#This Row],[ID]], Table4[ID], Table4[Website], "Not Found", 0)</f>
        <v>9</v>
      </c>
      <c r="T1237" s="5">
        <f>_xlfn.XLOOKUP(CustomerCombined[[#This Row],[ID]], Table4[ID], Table4[Catalog], "Not Found", 0)</f>
        <v>3</v>
      </c>
      <c r="U1237" s="5">
        <f>_xlfn.XLOOKUP(CustomerCombined[[#This Row],[ID]], Table4[ID], Table4[Store], "Not Found", 0)</f>
        <v>9</v>
      </c>
      <c r="V1237" s="5">
        <f>_xlfn.XLOOKUP(CustomerCombined[[#This Row],[ID]], Table4[ID], Table4[Visits], "Not Found", 0)</f>
        <v>6</v>
      </c>
      <c r="W1237" s="8">
        <f>_xlfn.XLOOKUP(CustomerCombined[[#This Row],[ID]], Table2[ID],Table2[Complaint], "Not Found", 0 )</f>
        <v>0</v>
      </c>
      <c r="X1237" s="8">
        <f>_xlfn.XLOOKUP(CustomerCombined[[#This Row],[ID]], Table2[ID],Table2[Pilot], "Not Found", 0 )</f>
        <v>0</v>
      </c>
      <c r="Y1237" s="8">
        <f>_xlfn.XLOOKUP(CustomerCombined[[#This Row],[ID]], Table2[ID],Table2[MC1], "Not Found", 0 )</f>
        <v>0</v>
      </c>
      <c r="Z1237" s="8">
        <f>_xlfn.XLOOKUP(CustomerCombined[[#This Row],[ID]], Table2[ID],Table2[MC2], "Not Found", 0 )</f>
        <v>0</v>
      </c>
      <c r="AA1237" s="8">
        <f>_xlfn.XLOOKUP(CustomerCombined[[#This Row],[ID]], Table2[ID],Table2[MC3], "Not Found", 0 )</f>
        <v>0</v>
      </c>
      <c r="AB1237" s="8">
        <f>_xlfn.XLOOKUP(CustomerCombined[[#This Row],[ID]], Table2[ID],Table2[MC4], "Not Found", 0 )</f>
        <v>0</v>
      </c>
      <c r="AC1237" s="8">
        <f>_xlfn.XLOOKUP(CustomerCombined[[#This Row],[ID]], Table2[ID],Table2[MC5], "Not Found", 0 )</f>
        <v>0</v>
      </c>
    </row>
    <row r="1238" spans="1:29" x14ac:dyDescent="0.3">
      <c r="A1238" s="6">
        <v>2176</v>
      </c>
      <c r="B1238" s="6">
        <v>163841</v>
      </c>
      <c r="C1238" s="6">
        <v>0</v>
      </c>
      <c r="D1238" s="6">
        <v>1</v>
      </c>
      <c r="E1238" s="6">
        <v>52</v>
      </c>
      <c r="F1238" s="5" t="s">
        <v>5</v>
      </c>
      <c r="G1238" s="5" t="s">
        <v>12</v>
      </c>
      <c r="H1238" s="3" t="s">
        <v>268</v>
      </c>
      <c r="I1238" s="5" t="s">
        <v>439</v>
      </c>
      <c r="J1238" s="5">
        <f>_xlfn.XLOOKUP(CustomerCombined[[#This Row],[ID]], Table4[ID], Table4[Recency], "Not Found", 0)</f>
        <v>64</v>
      </c>
      <c r="K1238" s="5">
        <f>_xlfn.XLOOKUP(CustomerCombined[[#This Row],[ID]], Table4[ID], Table4[Teas], "Not Found", 0)</f>
        <v>1630</v>
      </c>
      <c r="L1238" s="5">
        <f>_xlfn.XLOOKUP(CustomerCombined[[#This Row],[ID]], Table4[ID], Table4[Fruits], "Not Found", 0)</f>
        <v>38</v>
      </c>
      <c r="M1238" s="5">
        <f>_xlfn.XLOOKUP(CustomerCombined[[#This Row],[ID]], Table4[ID], Table4[Meats], "Not Found", 0)</f>
        <v>257</v>
      </c>
      <c r="N1238" s="5">
        <f>_xlfn.XLOOKUP(CustomerCombined[[#This Row],[ID]], Table4[ID], Table4[Seafood], "Not Found", 0)</f>
        <v>51</v>
      </c>
      <c r="O1238" s="5">
        <f>_xlfn.XLOOKUP(CustomerCombined[[#This Row],[ID]], Table4[ID], Table4[Sweets], "Not Found", 0)</f>
        <v>18</v>
      </c>
      <c r="P1238" s="5">
        <f>_xlfn.XLOOKUP(CustomerCombined[[#This Row],[ID]], Table4[ID], Table4[Premium], "Not Found", 0)</f>
        <v>336</v>
      </c>
      <c r="Q1238" s="5">
        <f>_xlfn.XLOOKUP(CustomerCombined[[#This Row],[ID]], Table4[ID], Table4[Regular], "Not Found", 0)</f>
        <v>1658</v>
      </c>
      <c r="R1238" s="5">
        <f>_xlfn.XLOOKUP(CustomerCombined[[#This Row],[ID]], Table4[ID], Table4[Deals], "Not Found", 0)</f>
        <v>1</v>
      </c>
      <c r="S1238" s="5">
        <f>_xlfn.XLOOKUP(CustomerCombined[[#This Row],[ID]], Table4[ID], Table4[Website], "Not Found", 0)</f>
        <v>9</v>
      </c>
      <c r="T1238" s="5">
        <f>_xlfn.XLOOKUP(CustomerCombined[[#This Row],[ID]], Table4[ID], Table4[Catalog], "Not Found", 0)</f>
        <v>3</v>
      </c>
      <c r="U1238" s="5">
        <f>_xlfn.XLOOKUP(CustomerCombined[[#This Row],[ID]], Table4[ID], Table4[Store], "Not Found", 0)</f>
        <v>9</v>
      </c>
      <c r="V1238" s="5">
        <f>_xlfn.XLOOKUP(CustomerCombined[[#This Row],[ID]], Table4[ID], Table4[Visits], "Not Found", 0)</f>
        <v>6</v>
      </c>
      <c r="W1238" s="8">
        <f>_xlfn.XLOOKUP(CustomerCombined[[#This Row],[ID]], Table2[ID],Table2[Complaint], "Not Found", 0 )</f>
        <v>0</v>
      </c>
      <c r="X1238" s="8">
        <f>_xlfn.XLOOKUP(CustomerCombined[[#This Row],[ID]], Table2[ID],Table2[Pilot], "Not Found", 0 )</f>
        <v>0</v>
      </c>
      <c r="Y1238" s="8">
        <f>_xlfn.XLOOKUP(CustomerCombined[[#This Row],[ID]], Table2[ID],Table2[MC1], "Not Found", 0 )</f>
        <v>0</v>
      </c>
      <c r="Z1238" s="8">
        <f>_xlfn.XLOOKUP(CustomerCombined[[#This Row],[ID]], Table2[ID],Table2[MC2], "Not Found", 0 )</f>
        <v>0</v>
      </c>
      <c r="AA1238" s="8">
        <f>_xlfn.XLOOKUP(CustomerCombined[[#This Row],[ID]], Table2[ID],Table2[MC3], "Not Found", 0 )</f>
        <v>0</v>
      </c>
      <c r="AB1238" s="8">
        <f>_xlfn.XLOOKUP(CustomerCombined[[#This Row],[ID]], Table2[ID],Table2[MC4], "Not Found", 0 )</f>
        <v>0</v>
      </c>
      <c r="AC1238" s="8">
        <f>_xlfn.XLOOKUP(CustomerCombined[[#This Row],[ID]], Table2[ID],Table2[MC5], "Not Found", 0 )</f>
        <v>0</v>
      </c>
    </row>
    <row r="1239" spans="1:29" x14ac:dyDescent="0.3">
      <c r="A1239" s="6">
        <v>2374</v>
      </c>
      <c r="B1239" s="6">
        <v>163841</v>
      </c>
      <c r="C1239" s="6">
        <v>0</v>
      </c>
      <c r="D1239" s="6">
        <v>1</v>
      </c>
      <c r="E1239" s="6">
        <v>52</v>
      </c>
      <c r="F1239" s="5" t="s">
        <v>5</v>
      </c>
      <c r="G1239" s="5" t="s">
        <v>12</v>
      </c>
      <c r="H1239" s="3" t="s">
        <v>268</v>
      </c>
      <c r="I1239" s="5" t="s">
        <v>439</v>
      </c>
      <c r="J1239" s="5">
        <f>_xlfn.XLOOKUP(CustomerCombined[[#This Row],[ID]], Table4[ID], Table4[Recency], "Not Found", 0)</f>
        <v>64</v>
      </c>
      <c r="K1239" s="5">
        <f>_xlfn.XLOOKUP(CustomerCombined[[#This Row],[ID]], Table4[ID], Table4[Teas], "Not Found", 0)</f>
        <v>1630</v>
      </c>
      <c r="L1239" s="5">
        <f>_xlfn.XLOOKUP(CustomerCombined[[#This Row],[ID]], Table4[ID], Table4[Fruits], "Not Found", 0)</f>
        <v>38</v>
      </c>
      <c r="M1239" s="5">
        <f>_xlfn.XLOOKUP(CustomerCombined[[#This Row],[ID]], Table4[ID], Table4[Meats], "Not Found", 0)</f>
        <v>257</v>
      </c>
      <c r="N1239" s="5">
        <f>_xlfn.XLOOKUP(CustomerCombined[[#This Row],[ID]], Table4[ID], Table4[Seafood], "Not Found", 0)</f>
        <v>51</v>
      </c>
      <c r="O1239" s="5">
        <f>_xlfn.XLOOKUP(CustomerCombined[[#This Row],[ID]], Table4[ID], Table4[Sweets], "Not Found", 0)</f>
        <v>18</v>
      </c>
      <c r="P1239" s="5">
        <f>_xlfn.XLOOKUP(CustomerCombined[[#This Row],[ID]], Table4[ID], Table4[Premium], "Not Found", 0)</f>
        <v>336</v>
      </c>
      <c r="Q1239" s="5">
        <f>_xlfn.XLOOKUP(CustomerCombined[[#This Row],[ID]], Table4[ID], Table4[Regular], "Not Found", 0)</f>
        <v>1658</v>
      </c>
      <c r="R1239" s="5">
        <f>_xlfn.XLOOKUP(CustomerCombined[[#This Row],[ID]], Table4[ID], Table4[Deals], "Not Found", 0)</f>
        <v>1</v>
      </c>
      <c r="S1239" s="5">
        <f>_xlfn.XLOOKUP(CustomerCombined[[#This Row],[ID]], Table4[ID], Table4[Website], "Not Found", 0)</f>
        <v>9</v>
      </c>
      <c r="T1239" s="5">
        <f>_xlfn.XLOOKUP(CustomerCombined[[#This Row],[ID]], Table4[ID], Table4[Catalog], "Not Found", 0)</f>
        <v>3</v>
      </c>
      <c r="U1239" s="5">
        <f>_xlfn.XLOOKUP(CustomerCombined[[#This Row],[ID]], Table4[ID], Table4[Store], "Not Found", 0)</f>
        <v>9</v>
      </c>
      <c r="V1239" s="5">
        <f>_xlfn.XLOOKUP(CustomerCombined[[#This Row],[ID]], Table4[ID], Table4[Visits], "Not Found", 0)</f>
        <v>6</v>
      </c>
      <c r="W1239" s="8">
        <f>_xlfn.XLOOKUP(CustomerCombined[[#This Row],[ID]], Table2[ID],Table2[Complaint], "Not Found", 0 )</f>
        <v>0</v>
      </c>
      <c r="X1239" s="8">
        <f>_xlfn.XLOOKUP(CustomerCombined[[#This Row],[ID]], Table2[ID],Table2[Pilot], "Not Found", 0 )</f>
        <v>0</v>
      </c>
      <c r="Y1239" s="8">
        <f>_xlfn.XLOOKUP(CustomerCombined[[#This Row],[ID]], Table2[ID],Table2[MC1], "Not Found", 0 )</f>
        <v>0</v>
      </c>
      <c r="Z1239" s="8">
        <f>_xlfn.XLOOKUP(CustomerCombined[[#This Row],[ID]], Table2[ID],Table2[MC2], "Not Found", 0 )</f>
        <v>0</v>
      </c>
      <c r="AA1239" s="8">
        <f>_xlfn.XLOOKUP(CustomerCombined[[#This Row],[ID]], Table2[ID],Table2[MC3], "Not Found", 0 )</f>
        <v>0</v>
      </c>
      <c r="AB1239" s="8">
        <f>_xlfn.XLOOKUP(CustomerCombined[[#This Row],[ID]], Table2[ID],Table2[MC4], "Not Found", 0 )</f>
        <v>0</v>
      </c>
      <c r="AC1239" s="8">
        <f>_xlfn.XLOOKUP(CustomerCombined[[#This Row],[ID]], Table2[ID],Table2[MC5], "Not Found", 0 )</f>
        <v>0</v>
      </c>
    </row>
    <row r="1240" spans="1:29" x14ac:dyDescent="0.3">
      <c r="A1240" s="6">
        <v>2868</v>
      </c>
      <c r="B1240" s="6">
        <v>161671</v>
      </c>
      <c r="C1240" s="6">
        <v>0</v>
      </c>
      <c r="D1240" s="6">
        <v>1</v>
      </c>
      <c r="E1240" s="6">
        <v>52</v>
      </c>
      <c r="F1240" s="5" t="s">
        <v>5</v>
      </c>
      <c r="G1240" s="5" t="s">
        <v>11</v>
      </c>
      <c r="H1240" s="3">
        <v>44023</v>
      </c>
      <c r="I1240" s="5" t="s">
        <v>436</v>
      </c>
      <c r="J1240" s="5">
        <f>_xlfn.XLOOKUP(CustomerCombined[[#This Row],[ID]], Table4[ID], Table4[Recency], "Not Found", 0)</f>
        <v>23</v>
      </c>
      <c r="K1240" s="5">
        <f>_xlfn.XLOOKUP(CustomerCombined[[#This Row],[ID]], Table4[ID], Table4[Teas], "Not Found", 0)</f>
        <v>1680</v>
      </c>
      <c r="L1240" s="5">
        <f>_xlfn.XLOOKUP(CustomerCombined[[#This Row],[ID]], Table4[ID], Table4[Fruits], "Not Found", 0)</f>
        <v>18</v>
      </c>
      <c r="M1240" s="5">
        <f>_xlfn.XLOOKUP(CustomerCombined[[#This Row],[ID]], Table4[ID], Table4[Meats], "Not Found", 0)</f>
        <v>147</v>
      </c>
      <c r="N1240" s="5">
        <f>_xlfn.XLOOKUP(CustomerCombined[[#This Row],[ID]], Table4[ID], Table4[Seafood], "Not Found", 0)</f>
        <v>0</v>
      </c>
      <c r="O1240" s="5">
        <f>_xlfn.XLOOKUP(CustomerCombined[[#This Row],[ID]], Table4[ID], Table4[Sweets], "Not Found", 0)</f>
        <v>0</v>
      </c>
      <c r="P1240" s="5">
        <f>_xlfn.XLOOKUP(CustomerCombined[[#This Row],[ID]], Table4[ID], Table4[Premium], "Not Found", 0)</f>
        <v>73</v>
      </c>
      <c r="Q1240" s="5">
        <f>_xlfn.XLOOKUP(CustomerCombined[[#This Row],[ID]], Table4[ID], Table4[Regular], "Not Found", 0)</f>
        <v>1772</v>
      </c>
      <c r="R1240" s="5">
        <f>_xlfn.XLOOKUP(CustomerCombined[[#This Row],[ID]], Table4[ID], Table4[Deals], "Not Found", 0)</f>
        <v>8</v>
      </c>
      <c r="S1240" s="5">
        <f>_xlfn.XLOOKUP(CustomerCombined[[#This Row],[ID]], Table4[ID], Table4[Website], "Not Found", 0)</f>
        <v>10</v>
      </c>
      <c r="T1240" s="5">
        <f>_xlfn.XLOOKUP(CustomerCombined[[#This Row],[ID]], Table4[ID], Table4[Catalog], "Not Found", 0)</f>
        <v>4</v>
      </c>
      <c r="U1240" s="5">
        <f>_xlfn.XLOOKUP(CustomerCombined[[#This Row],[ID]], Table4[ID], Table4[Store], "Not Found", 0)</f>
        <v>6</v>
      </c>
      <c r="V1240" s="5">
        <f>_xlfn.XLOOKUP(CustomerCombined[[#This Row],[ID]], Table4[ID], Table4[Visits], "Not Found", 0)</f>
        <v>8</v>
      </c>
      <c r="W1240" s="8">
        <f>_xlfn.XLOOKUP(CustomerCombined[[#This Row],[ID]], Table2[ID],Table2[Complaint], "Not Found", 0 )</f>
        <v>0</v>
      </c>
      <c r="X1240" s="8">
        <f>_xlfn.XLOOKUP(CustomerCombined[[#This Row],[ID]], Table2[ID],Table2[Pilot], "Not Found", 0 )</f>
        <v>0</v>
      </c>
      <c r="Y1240" s="8">
        <f>_xlfn.XLOOKUP(CustomerCombined[[#This Row],[ID]], Table2[ID],Table2[MC1], "Not Found", 0 )</f>
        <v>1</v>
      </c>
      <c r="Z1240" s="8">
        <f>_xlfn.XLOOKUP(CustomerCombined[[#This Row],[ID]], Table2[ID],Table2[MC2], "Not Found", 0 )</f>
        <v>0</v>
      </c>
      <c r="AA1240" s="8">
        <f>_xlfn.XLOOKUP(CustomerCombined[[#This Row],[ID]], Table2[ID],Table2[MC3], "Not Found", 0 )</f>
        <v>0</v>
      </c>
      <c r="AB1240" s="8">
        <f>_xlfn.XLOOKUP(CustomerCombined[[#This Row],[ID]], Table2[ID],Table2[MC4], "Not Found", 0 )</f>
        <v>1</v>
      </c>
      <c r="AC1240" s="8">
        <f>_xlfn.XLOOKUP(CustomerCombined[[#This Row],[ID]], Table2[ID],Table2[MC5], "Not Found", 0 )</f>
        <v>0</v>
      </c>
    </row>
    <row r="1241" spans="1:29" x14ac:dyDescent="0.3">
      <c r="A1241" s="6">
        <v>1413</v>
      </c>
      <c r="B1241" s="6">
        <v>161314</v>
      </c>
      <c r="C1241" s="6">
        <v>0</v>
      </c>
      <c r="D1241" s="6">
        <v>1</v>
      </c>
      <c r="E1241" s="6">
        <v>52</v>
      </c>
      <c r="F1241" s="5" t="s">
        <v>6</v>
      </c>
      <c r="G1241" s="5" t="s">
        <v>11</v>
      </c>
      <c r="H1241" s="3" t="s">
        <v>264</v>
      </c>
      <c r="I1241" s="5" t="s">
        <v>435</v>
      </c>
      <c r="J1241" s="5">
        <f>_xlfn.XLOOKUP(CustomerCombined[[#This Row],[ID]], Table4[ID], Table4[Recency], "Not Found", 0)</f>
        <v>1</v>
      </c>
      <c r="K1241" s="5">
        <f>_xlfn.XLOOKUP(CustomerCombined[[#This Row],[ID]], Table4[ID], Table4[Teas], "Not Found", 0)</f>
        <v>994</v>
      </c>
      <c r="L1241" s="5">
        <f>_xlfn.XLOOKUP(CustomerCombined[[#This Row],[ID]], Table4[ID], Table4[Fruits], "Not Found", 0)</f>
        <v>0</v>
      </c>
      <c r="M1241" s="5">
        <f>_xlfn.XLOOKUP(CustomerCombined[[#This Row],[ID]], Table4[ID], Table4[Meats], "Not Found", 0)</f>
        <v>497</v>
      </c>
      <c r="N1241" s="5">
        <f>_xlfn.XLOOKUP(CustomerCombined[[#This Row],[ID]], Table4[ID], Table4[Seafood], "Not Found", 0)</f>
        <v>255</v>
      </c>
      <c r="O1241" s="5">
        <f>_xlfn.XLOOKUP(CustomerCombined[[#This Row],[ID]], Table4[ID], Table4[Sweets], "Not Found", 0)</f>
        <v>453</v>
      </c>
      <c r="P1241" s="5">
        <f>_xlfn.XLOOKUP(CustomerCombined[[#This Row],[ID]], Table4[ID], Table4[Premium], "Not Found", 0)</f>
        <v>453</v>
      </c>
      <c r="Q1241" s="5">
        <f>_xlfn.XLOOKUP(CustomerCombined[[#This Row],[ID]], Table4[ID], Table4[Regular], "Not Found", 0)</f>
        <v>1747</v>
      </c>
      <c r="R1241" s="5">
        <f>_xlfn.XLOOKUP(CustomerCombined[[#This Row],[ID]], Table4[ID], Table4[Deals], "Not Found", 0)</f>
        <v>2</v>
      </c>
      <c r="S1241" s="5">
        <f>_xlfn.XLOOKUP(CustomerCombined[[#This Row],[ID]], Table4[ID], Table4[Website], "Not Found", 0)</f>
        <v>5</v>
      </c>
      <c r="T1241" s="5">
        <f>_xlfn.XLOOKUP(CustomerCombined[[#This Row],[ID]], Table4[ID], Table4[Catalog], "Not Found", 0)</f>
        <v>5</v>
      </c>
      <c r="U1241" s="5">
        <f>_xlfn.XLOOKUP(CustomerCombined[[#This Row],[ID]], Table4[ID], Table4[Store], "Not Found", 0)</f>
        <v>12</v>
      </c>
      <c r="V1241" s="5">
        <f>_xlfn.XLOOKUP(CustomerCombined[[#This Row],[ID]], Table4[ID], Table4[Visits], "Not Found", 0)</f>
        <v>3</v>
      </c>
      <c r="W1241" s="8">
        <f>_xlfn.XLOOKUP(CustomerCombined[[#This Row],[ID]], Table2[ID],Table2[Complaint], "Not Found", 0 )</f>
        <v>0</v>
      </c>
      <c r="X1241" s="8">
        <f>_xlfn.XLOOKUP(CustomerCombined[[#This Row],[ID]], Table2[ID],Table2[Pilot], "Not Found", 0 )</f>
        <v>0</v>
      </c>
      <c r="Y1241" s="8">
        <f>_xlfn.XLOOKUP(CustomerCombined[[#This Row],[ID]], Table2[ID],Table2[MC1], "Not Found", 0 )</f>
        <v>0</v>
      </c>
      <c r="Z1241" s="8">
        <f>_xlfn.XLOOKUP(CustomerCombined[[#This Row],[ID]], Table2[ID],Table2[MC2], "Not Found", 0 )</f>
        <v>0</v>
      </c>
      <c r="AA1241" s="8">
        <f>_xlfn.XLOOKUP(CustomerCombined[[#This Row],[ID]], Table2[ID],Table2[MC3], "Not Found", 0 )</f>
        <v>0</v>
      </c>
      <c r="AB1241" s="8">
        <f>_xlfn.XLOOKUP(CustomerCombined[[#This Row],[ID]], Table2[ID],Table2[MC4], "Not Found", 0 )</f>
        <v>0</v>
      </c>
      <c r="AC1241" s="8">
        <f>_xlfn.XLOOKUP(CustomerCombined[[#This Row],[ID]], Table2[ID],Table2[MC5], "Not Found", 0 )</f>
        <v>0</v>
      </c>
    </row>
    <row r="1242" spans="1:29" x14ac:dyDescent="0.3">
      <c r="A1242" s="6">
        <v>2340</v>
      </c>
      <c r="B1242" s="6">
        <v>158554</v>
      </c>
      <c r="C1242" s="6">
        <v>1</v>
      </c>
      <c r="D1242" s="6">
        <v>1</v>
      </c>
      <c r="E1242" s="6">
        <v>52</v>
      </c>
      <c r="F1242" s="5" t="s">
        <v>8</v>
      </c>
      <c r="G1242" s="5" t="s">
        <v>11</v>
      </c>
      <c r="H1242" s="3">
        <v>43527</v>
      </c>
      <c r="I1242" s="5" t="s">
        <v>436</v>
      </c>
      <c r="J1242" s="5">
        <f>_xlfn.XLOOKUP(CustomerCombined[[#This Row],[ID]], Table4[ID], Table4[Recency], "Not Found", 0)</f>
        <v>55</v>
      </c>
      <c r="K1242" s="5">
        <f>_xlfn.XLOOKUP(CustomerCombined[[#This Row],[ID]], Table4[ID], Table4[Teas], "Not Found", 0)</f>
        <v>996</v>
      </c>
      <c r="L1242" s="5">
        <f>_xlfn.XLOOKUP(CustomerCombined[[#This Row],[ID]], Table4[ID], Table4[Fruits], "Not Found", 0)</f>
        <v>65</v>
      </c>
      <c r="M1242" s="5">
        <f>_xlfn.XLOOKUP(CustomerCombined[[#This Row],[ID]], Table4[ID], Table4[Meats], "Not Found", 0)</f>
        <v>184</v>
      </c>
      <c r="N1242" s="5">
        <f>_xlfn.XLOOKUP(CustomerCombined[[#This Row],[ID]], Table4[ID], Table4[Seafood], "Not Found", 0)</f>
        <v>103</v>
      </c>
      <c r="O1242" s="5">
        <f>_xlfn.XLOOKUP(CustomerCombined[[#This Row],[ID]], Table4[ID], Table4[Sweets], "Not Found", 0)</f>
        <v>0</v>
      </c>
      <c r="P1242" s="5">
        <f>_xlfn.XLOOKUP(CustomerCombined[[#This Row],[ID]], Table4[ID], Table4[Premium], "Not Found", 0)</f>
        <v>238</v>
      </c>
      <c r="Q1242" s="5">
        <f>_xlfn.XLOOKUP(CustomerCombined[[#This Row],[ID]], Table4[ID], Table4[Regular], "Not Found", 0)</f>
        <v>1110</v>
      </c>
      <c r="R1242" s="5">
        <f>_xlfn.XLOOKUP(CustomerCombined[[#This Row],[ID]], Table4[ID], Table4[Deals], "Not Found", 0)</f>
        <v>6</v>
      </c>
      <c r="S1242" s="5">
        <f>_xlfn.XLOOKUP(CustomerCombined[[#This Row],[ID]], Table4[ID], Table4[Website], "Not Found", 0)</f>
        <v>8</v>
      </c>
      <c r="T1242" s="5">
        <f>_xlfn.XLOOKUP(CustomerCombined[[#This Row],[ID]], Table4[ID], Table4[Catalog], "Not Found", 0)</f>
        <v>2</v>
      </c>
      <c r="U1242" s="5">
        <f>_xlfn.XLOOKUP(CustomerCombined[[#This Row],[ID]], Table4[ID], Table4[Store], "Not Found", 0)</f>
        <v>6</v>
      </c>
      <c r="V1242" s="5">
        <f>_xlfn.XLOOKUP(CustomerCombined[[#This Row],[ID]], Table4[ID], Table4[Visits], "Not Found", 0)</f>
        <v>7</v>
      </c>
      <c r="W1242" s="8">
        <f>_xlfn.XLOOKUP(CustomerCombined[[#This Row],[ID]], Table2[ID],Table2[Complaint], "Not Found", 0 )</f>
        <v>0</v>
      </c>
      <c r="X1242" s="8">
        <f>_xlfn.XLOOKUP(CustomerCombined[[#This Row],[ID]], Table2[ID],Table2[Pilot], "Not Found", 0 )</f>
        <v>0</v>
      </c>
      <c r="Y1242" s="8">
        <f>_xlfn.XLOOKUP(CustomerCombined[[#This Row],[ID]], Table2[ID],Table2[MC1], "Not Found", 0 )</f>
        <v>0</v>
      </c>
      <c r="Z1242" s="8">
        <f>_xlfn.XLOOKUP(CustomerCombined[[#This Row],[ID]], Table2[ID],Table2[MC2], "Not Found", 0 )</f>
        <v>0</v>
      </c>
      <c r="AA1242" s="8">
        <f>_xlfn.XLOOKUP(CustomerCombined[[#This Row],[ID]], Table2[ID],Table2[MC3], "Not Found", 0 )</f>
        <v>0</v>
      </c>
      <c r="AB1242" s="8">
        <f>_xlfn.XLOOKUP(CustomerCombined[[#This Row],[ID]], Table2[ID],Table2[MC4], "Not Found", 0 )</f>
        <v>0</v>
      </c>
      <c r="AC1242" s="8">
        <f>_xlfn.XLOOKUP(CustomerCombined[[#This Row],[ID]], Table2[ID],Table2[MC5], "Not Found", 0 )</f>
        <v>0</v>
      </c>
    </row>
    <row r="1243" spans="1:29" x14ac:dyDescent="0.3">
      <c r="A1243" s="6">
        <v>3193</v>
      </c>
      <c r="B1243" s="6">
        <v>158554</v>
      </c>
      <c r="C1243" s="6">
        <v>1</v>
      </c>
      <c r="D1243" s="6">
        <v>1</v>
      </c>
      <c r="E1243" s="6">
        <v>52</v>
      </c>
      <c r="F1243" s="5" t="s">
        <v>8</v>
      </c>
      <c r="G1243" s="5" t="s">
        <v>11</v>
      </c>
      <c r="H1243" s="3">
        <v>43527</v>
      </c>
      <c r="I1243" s="5" t="s">
        <v>437</v>
      </c>
      <c r="J1243" s="5">
        <f>_xlfn.XLOOKUP(CustomerCombined[[#This Row],[ID]], Table4[ID], Table4[Recency], "Not Found", 0)</f>
        <v>55</v>
      </c>
      <c r="K1243" s="5">
        <f>_xlfn.XLOOKUP(CustomerCombined[[#This Row],[ID]], Table4[ID], Table4[Teas], "Not Found", 0)</f>
        <v>996</v>
      </c>
      <c r="L1243" s="5">
        <f>_xlfn.XLOOKUP(CustomerCombined[[#This Row],[ID]], Table4[ID], Table4[Fruits], "Not Found", 0)</f>
        <v>65</v>
      </c>
      <c r="M1243" s="5">
        <f>_xlfn.XLOOKUP(CustomerCombined[[#This Row],[ID]], Table4[ID], Table4[Meats], "Not Found", 0)</f>
        <v>184</v>
      </c>
      <c r="N1243" s="5">
        <f>_xlfn.XLOOKUP(CustomerCombined[[#This Row],[ID]], Table4[ID], Table4[Seafood], "Not Found", 0)</f>
        <v>103</v>
      </c>
      <c r="O1243" s="5">
        <f>_xlfn.XLOOKUP(CustomerCombined[[#This Row],[ID]], Table4[ID], Table4[Sweets], "Not Found", 0)</f>
        <v>0</v>
      </c>
      <c r="P1243" s="5">
        <f>_xlfn.XLOOKUP(CustomerCombined[[#This Row],[ID]], Table4[ID], Table4[Premium], "Not Found", 0)</f>
        <v>238</v>
      </c>
      <c r="Q1243" s="5">
        <f>_xlfn.XLOOKUP(CustomerCombined[[#This Row],[ID]], Table4[ID], Table4[Regular], "Not Found", 0)</f>
        <v>1110</v>
      </c>
      <c r="R1243" s="5">
        <f>_xlfn.XLOOKUP(CustomerCombined[[#This Row],[ID]], Table4[ID], Table4[Deals], "Not Found", 0)</f>
        <v>6</v>
      </c>
      <c r="S1243" s="5">
        <f>_xlfn.XLOOKUP(CustomerCombined[[#This Row],[ID]], Table4[ID], Table4[Website], "Not Found", 0)</f>
        <v>8</v>
      </c>
      <c r="T1243" s="5">
        <f>_xlfn.XLOOKUP(CustomerCombined[[#This Row],[ID]], Table4[ID], Table4[Catalog], "Not Found", 0)</f>
        <v>2</v>
      </c>
      <c r="U1243" s="5">
        <f>_xlfn.XLOOKUP(CustomerCombined[[#This Row],[ID]], Table4[ID], Table4[Store], "Not Found", 0)</f>
        <v>6</v>
      </c>
      <c r="V1243" s="5">
        <f>_xlfn.XLOOKUP(CustomerCombined[[#This Row],[ID]], Table4[ID], Table4[Visits], "Not Found", 0)</f>
        <v>7</v>
      </c>
      <c r="W1243" s="8">
        <f>_xlfn.XLOOKUP(CustomerCombined[[#This Row],[ID]], Table2[ID],Table2[Complaint], "Not Found", 0 )</f>
        <v>0</v>
      </c>
      <c r="X1243" s="8">
        <f>_xlfn.XLOOKUP(CustomerCombined[[#This Row],[ID]], Table2[ID],Table2[Pilot], "Not Found", 0 )</f>
        <v>0</v>
      </c>
      <c r="Y1243" s="8">
        <f>_xlfn.XLOOKUP(CustomerCombined[[#This Row],[ID]], Table2[ID],Table2[MC1], "Not Found", 0 )</f>
        <v>0</v>
      </c>
      <c r="Z1243" s="8">
        <f>_xlfn.XLOOKUP(CustomerCombined[[#This Row],[ID]], Table2[ID],Table2[MC2], "Not Found", 0 )</f>
        <v>0</v>
      </c>
      <c r="AA1243" s="8">
        <f>_xlfn.XLOOKUP(CustomerCombined[[#This Row],[ID]], Table2[ID],Table2[MC3], "Not Found", 0 )</f>
        <v>0</v>
      </c>
      <c r="AB1243" s="8">
        <f>_xlfn.XLOOKUP(CustomerCombined[[#This Row],[ID]], Table2[ID],Table2[MC4], "Not Found", 0 )</f>
        <v>0</v>
      </c>
      <c r="AC1243" s="8">
        <f>_xlfn.XLOOKUP(CustomerCombined[[#This Row],[ID]], Table2[ID],Table2[MC5], "Not Found", 0 )</f>
        <v>0</v>
      </c>
    </row>
    <row r="1244" spans="1:29" x14ac:dyDescent="0.3">
      <c r="A1244" s="6">
        <v>2890</v>
      </c>
      <c r="B1244" s="6">
        <v>157107</v>
      </c>
      <c r="C1244" s="6">
        <v>0</v>
      </c>
      <c r="D1244" s="6">
        <v>1</v>
      </c>
      <c r="E1244" s="6">
        <v>52</v>
      </c>
      <c r="F1244" s="5" t="s">
        <v>7</v>
      </c>
      <c r="G1244" s="5" t="s">
        <v>11</v>
      </c>
      <c r="H1244" s="3" t="s">
        <v>404</v>
      </c>
      <c r="I1244" s="5" t="s">
        <v>439</v>
      </c>
      <c r="J1244" s="5">
        <f>_xlfn.XLOOKUP(CustomerCombined[[#This Row],[ID]], Table4[ID], Table4[Recency], "Not Found", 0)</f>
        <v>44</v>
      </c>
      <c r="K1244" s="5">
        <f>_xlfn.XLOOKUP(CustomerCombined[[#This Row],[ID]], Table4[ID], Table4[Teas], "Not Found", 0)</f>
        <v>437</v>
      </c>
      <c r="L1244" s="5">
        <f>_xlfn.XLOOKUP(CustomerCombined[[#This Row],[ID]], Table4[ID], Table4[Fruits], "Not Found", 0)</f>
        <v>0</v>
      </c>
      <c r="M1244" s="5">
        <f>_xlfn.XLOOKUP(CustomerCombined[[#This Row],[ID]], Table4[ID], Table4[Meats], "Not Found", 0)</f>
        <v>330</v>
      </c>
      <c r="N1244" s="5">
        <f>_xlfn.XLOOKUP(CustomerCombined[[#This Row],[ID]], Table4[ID], Table4[Seafood], "Not Found", 0)</f>
        <v>0</v>
      </c>
      <c r="O1244" s="5">
        <f>_xlfn.XLOOKUP(CustomerCombined[[#This Row],[ID]], Table4[ID], Table4[Sweets], "Not Found", 0)</f>
        <v>0</v>
      </c>
      <c r="P1244" s="5">
        <f>_xlfn.XLOOKUP(CustomerCombined[[#This Row],[ID]], Table4[ID], Table4[Premium], "Not Found", 0)</f>
        <v>377</v>
      </c>
      <c r="Q1244" s="5">
        <f>_xlfn.XLOOKUP(CustomerCombined[[#This Row],[ID]], Table4[ID], Table4[Regular], "Not Found", 0)</f>
        <v>391</v>
      </c>
      <c r="R1244" s="5">
        <f>_xlfn.XLOOKUP(CustomerCombined[[#This Row],[ID]], Table4[ID], Table4[Deals], "Not Found", 0)</f>
        <v>7</v>
      </c>
      <c r="S1244" s="5">
        <f>_xlfn.XLOOKUP(CustomerCombined[[#This Row],[ID]], Table4[ID], Table4[Website], "Not Found", 0)</f>
        <v>4</v>
      </c>
      <c r="T1244" s="5">
        <f>_xlfn.XLOOKUP(CustomerCombined[[#This Row],[ID]], Table4[ID], Table4[Catalog], "Not Found", 0)</f>
        <v>4</v>
      </c>
      <c r="U1244" s="5">
        <f>_xlfn.XLOOKUP(CustomerCombined[[#This Row],[ID]], Table4[ID], Table4[Store], "Not Found", 0)</f>
        <v>8</v>
      </c>
      <c r="V1244" s="5">
        <f>_xlfn.XLOOKUP(CustomerCombined[[#This Row],[ID]], Table4[ID], Table4[Visits], "Not Found", 0)</f>
        <v>8</v>
      </c>
      <c r="W1244" s="8">
        <f>_xlfn.XLOOKUP(CustomerCombined[[#This Row],[ID]], Table2[ID],Table2[Complaint], "Not Found", 0 )</f>
        <v>0</v>
      </c>
      <c r="X1244" s="8">
        <f>_xlfn.XLOOKUP(CustomerCombined[[#This Row],[ID]], Table2[ID],Table2[Pilot], "Not Found", 0 )</f>
        <v>1</v>
      </c>
      <c r="Y1244" s="8">
        <f>_xlfn.XLOOKUP(CustomerCombined[[#This Row],[ID]], Table2[ID],Table2[MC1], "Not Found", 0 )</f>
        <v>0</v>
      </c>
      <c r="Z1244" s="8">
        <f>_xlfn.XLOOKUP(CustomerCombined[[#This Row],[ID]], Table2[ID],Table2[MC2], "Not Found", 0 )</f>
        <v>1</v>
      </c>
      <c r="AA1244" s="8">
        <f>_xlfn.XLOOKUP(CustomerCombined[[#This Row],[ID]], Table2[ID],Table2[MC3], "Not Found", 0 )</f>
        <v>0</v>
      </c>
      <c r="AB1244" s="8">
        <f>_xlfn.XLOOKUP(CustomerCombined[[#This Row],[ID]], Table2[ID],Table2[MC4], "Not Found", 0 )</f>
        <v>1</v>
      </c>
      <c r="AC1244" s="8">
        <f>_xlfn.XLOOKUP(CustomerCombined[[#This Row],[ID]], Table2[ID],Table2[MC5], "Not Found", 0 )</f>
        <v>0</v>
      </c>
    </row>
    <row r="1245" spans="1:29" x14ac:dyDescent="0.3">
      <c r="A1245" s="6">
        <v>2662</v>
      </c>
      <c r="B1245" s="6">
        <v>156534</v>
      </c>
      <c r="C1245" s="6">
        <v>0</v>
      </c>
      <c r="D1245" s="6">
        <v>1</v>
      </c>
      <c r="E1245" s="6">
        <v>52</v>
      </c>
      <c r="F1245" s="5" t="s">
        <v>8</v>
      </c>
      <c r="G1245" s="5" t="s">
        <v>11</v>
      </c>
      <c r="H1245" s="3" t="s">
        <v>213</v>
      </c>
      <c r="I1245" s="5" t="s">
        <v>439</v>
      </c>
      <c r="J1245" s="5">
        <f>_xlfn.XLOOKUP(CustomerCombined[[#This Row],[ID]], Table4[ID], Table4[Recency], "Not Found", 0)</f>
        <v>35</v>
      </c>
      <c r="K1245" s="5">
        <f>_xlfn.XLOOKUP(CustomerCombined[[#This Row],[ID]], Table4[ID], Table4[Teas], "Not Found", 0)</f>
        <v>1913</v>
      </c>
      <c r="L1245" s="5">
        <f>_xlfn.XLOOKUP(CustomerCombined[[#This Row],[ID]], Table4[ID], Table4[Fruits], "Not Found", 0)</f>
        <v>19</v>
      </c>
      <c r="M1245" s="5">
        <f>_xlfn.XLOOKUP(CustomerCombined[[#This Row],[ID]], Table4[ID], Table4[Meats], "Not Found", 0)</f>
        <v>169</v>
      </c>
      <c r="N1245" s="5">
        <f>_xlfn.XLOOKUP(CustomerCombined[[#This Row],[ID]], Table4[ID], Table4[Seafood], "Not Found", 0)</f>
        <v>28</v>
      </c>
      <c r="O1245" s="5">
        <f>_xlfn.XLOOKUP(CustomerCombined[[#This Row],[ID]], Table4[ID], Table4[Sweets], "Not Found", 0)</f>
        <v>0</v>
      </c>
      <c r="P1245" s="5">
        <f>_xlfn.XLOOKUP(CustomerCombined[[#This Row],[ID]], Table4[ID], Table4[Premium], "Not Found", 0)</f>
        <v>127</v>
      </c>
      <c r="Q1245" s="5">
        <f>_xlfn.XLOOKUP(CustomerCombined[[#This Row],[ID]], Table4[ID], Table4[Regular], "Not Found", 0)</f>
        <v>2002</v>
      </c>
      <c r="R1245" s="5">
        <f>_xlfn.XLOOKUP(CustomerCombined[[#This Row],[ID]], Table4[ID], Table4[Deals], "Not Found", 0)</f>
        <v>4</v>
      </c>
      <c r="S1245" s="5">
        <f>_xlfn.XLOOKUP(CustomerCombined[[#This Row],[ID]], Table4[ID], Table4[Website], "Not Found", 0)</f>
        <v>10</v>
      </c>
      <c r="T1245" s="5">
        <f>_xlfn.XLOOKUP(CustomerCombined[[#This Row],[ID]], Table4[ID], Table4[Catalog], "Not Found", 0)</f>
        <v>4</v>
      </c>
      <c r="U1245" s="5">
        <f>_xlfn.XLOOKUP(CustomerCombined[[#This Row],[ID]], Table4[ID], Table4[Store], "Not Found", 0)</f>
        <v>7</v>
      </c>
      <c r="V1245" s="5">
        <f>_xlfn.XLOOKUP(CustomerCombined[[#This Row],[ID]], Table4[ID], Table4[Visits], "Not Found", 0)</f>
        <v>8</v>
      </c>
      <c r="W1245" s="8">
        <f>_xlfn.XLOOKUP(CustomerCombined[[#This Row],[ID]], Table2[ID],Table2[Complaint], "Not Found", 0 )</f>
        <v>0</v>
      </c>
      <c r="X1245" s="8">
        <f>_xlfn.XLOOKUP(CustomerCombined[[#This Row],[ID]], Table2[ID],Table2[Pilot], "Not Found", 0 )</f>
        <v>1</v>
      </c>
      <c r="Y1245" s="8">
        <f>_xlfn.XLOOKUP(CustomerCombined[[#This Row],[ID]], Table2[ID],Table2[MC1], "Not Found", 0 )</f>
        <v>0</v>
      </c>
      <c r="Z1245" s="8">
        <f>_xlfn.XLOOKUP(CustomerCombined[[#This Row],[ID]], Table2[ID],Table2[MC2], "Not Found", 0 )</f>
        <v>1</v>
      </c>
      <c r="AA1245" s="8">
        <f>_xlfn.XLOOKUP(CustomerCombined[[#This Row],[ID]], Table2[ID],Table2[MC3], "Not Found", 0 )</f>
        <v>0</v>
      </c>
      <c r="AB1245" s="8">
        <f>_xlfn.XLOOKUP(CustomerCombined[[#This Row],[ID]], Table2[ID],Table2[MC4], "Not Found", 0 )</f>
        <v>1</v>
      </c>
      <c r="AC1245" s="8">
        <f>_xlfn.XLOOKUP(CustomerCombined[[#This Row],[ID]], Table2[ID],Table2[MC5], "Not Found", 0 )</f>
        <v>0</v>
      </c>
    </row>
    <row r="1246" spans="1:29" x14ac:dyDescent="0.3">
      <c r="A1246" s="6">
        <v>3208</v>
      </c>
      <c r="B1246" s="6">
        <v>156202</v>
      </c>
      <c r="C1246" s="6">
        <v>0.1</v>
      </c>
      <c r="D1246" s="6">
        <v>1</v>
      </c>
      <c r="E1246" s="6">
        <v>52</v>
      </c>
      <c r="F1246" s="5" t="s">
        <v>8</v>
      </c>
      <c r="G1246" s="5" t="s">
        <v>11</v>
      </c>
      <c r="H1246" s="3">
        <v>43527</v>
      </c>
      <c r="I1246" s="5" t="s">
        <v>439</v>
      </c>
      <c r="J1246" s="5">
        <f>_xlfn.XLOOKUP(CustomerCombined[[#This Row],[ID]], Table4[ID], Table4[Recency], "Not Found", 0)</f>
        <v>55</v>
      </c>
      <c r="K1246" s="5">
        <f>_xlfn.XLOOKUP(CustomerCombined[[#This Row],[ID]], Table4[ID], Table4[Teas], "Not Found", 0)</f>
        <v>1023</v>
      </c>
      <c r="L1246" s="5">
        <f>_xlfn.XLOOKUP(CustomerCombined[[#This Row],[ID]], Table4[ID], Table4[Fruits], "Not Found", 0)</f>
        <v>67</v>
      </c>
      <c r="M1246" s="5">
        <f>_xlfn.XLOOKUP(CustomerCombined[[#This Row],[ID]], Table4[ID], Table4[Meats], "Not Found", 0)</f>
        <v>189</v>
      </c>
      <c r="N1246" s="5">
        <f>_xlfn.XLOOKUP(CustomerCombined[[#This Row],[ID]], Table4[ID], Table4[Seafood], "Not Found", 0)</f>
        <v>106</v>
      </c>
      <c r="O1246" s="5">
        <f>_xlfn.XLOOKUP(CustomerCombined[[#This Row],[ID]], Table4[ID], Table4[Sweets], "Not Found", 0)</f>
        <v>0</v>
      </c>
      <c r="P1246" s="5">
        <f>_xlfn.XLOOKUP(CustomerCombined[[#This Row],[ID]], Table4[ID], Table4[Premium], "Not Found", 0)</f>
        <v>245</v>
      </c>
      <c r="Q1246" s="5">
        <f>_xlfn.XLOOKUP(CustomerCombined[[#This Row],[ID]], Table4[ID], Table4[Regular], "Not Found", 0)</f>
        <v>1140</v>
      </c>
      <c r="R1246" s="5">
        <f>_xlfn.XLOOKUP(CustomerCombined[[#This Row],[ID]], Table4[ID], Table4[Deals], "Not Found", 0)</f>
        <v>6</v>
      </c>
      <c r="S1246" s="5">
        <f>_xlfn.XLOOKUP(CustomerCombined[[#This Row],[ID]], Table4[ID], Table4[Website], "Not Found", 0)</f>
        <v>8</v>
      </c>
      <c r="T1246" s="5">
        <f>_xlfn.XLOOKUP(CustomerCombined[[#This Row],[ID]], Table4[ID], Table4[Catalog], "Not Found", 0)</f>
        <v>2</v>
      </c>
      <c r="U1246" s="5">
        <f>_xlfn.XLOOKUP(CustomerCombined[[#This Row],[ID]], Table4[ID], Table4[Store], "Not Found", 0)</f>
        <v>6</v>
      </c>
      <c r="V1246" s="5">
        <f>_xlfn.XLOOKUP(CustomerCombined[[#This Row],[ID]], Table4[ID], Table4[Visits], "Not Found", 0)</f>
        <v>7</v>
      </c>
      <c r="W1246" s="8">
        <f>_xlfn.XLOOKUP(CustomerCombined[[#This Row],[ID]], Table2[ID],Table2[Complaint], "Not Found", 0 )</f>
        <v>0</v>
      </c>
      <c r="X1246" s="8">
        <f>_xlfn.XLOOKUP(CustomerCombined[[#This Row],[ID]], Table2[ID],Table2[Pilot], "Not Found", 0 )</f>
        <v>0</v>
      </c>
      <c r="Y1246" s="8">
        <f>_xlfn.XLOOKUP(CustomerCombined[[#This Row],[ID]], Table2[ID],Table2[MC1], "Not Found", 0 )</f>
        <v>0</v>
      </c>
      <c r="Z1246" s="8">
        <f>_xlfn.XLOOKUP(CustomerCombined[[#This Row],[ID]], Table2[ID],Table2[MC2], "Not Found", 0 )</f>
        <v>0</v>
      </c>
      <c r="AA1246" s="8">
        <f>_xlfn.XLOOKUP(CustomerCombined[[#This Row],[ID]], Table2[ID],Table2[MC3], "Not Found", 0 )</f>
        <v>0</v>
      </c>
      <c r="AB1246" s="8">
        <f>_xlfn.XLOOKUP(CustomerCombined[[#This Row],[ID]], Table2[ID],Table2[MC4], "Not Found", 0 )</f>
        <v>0</v>
      </c>
      <c r="AC1246" s="8">
        <f>_xlfn.XLOOKUP(CustomerCombined[[#This Row],[ID]], Table2[ID],Table2[MC5], "Not Found", 0 )</f>
        <v>0</v>
      </c>
    </row>
    <row r="1247" spans="1:29" x14ac:dyDescent="0.3">
      <c r="A1247" s="6">
        <v>1055</v>
      </c>
      <c r="B1247" s="6">
        <v>155954</v>
      </c>
      <c r="C1247" s="6">
        <v>0</v>
      </c>
      <c r="D1247" s="6">
        <v>1</v>
      </c>
      <c r="E1247" s="6">
        <v>52</v>
      </c>
      <c r="F1247" s="5" t="s">
        <v>6</v>
      </c>
      <c r="G1247" s="5" t="s">
        <v>13</v>
      </c>
      <c r="H1247" s="3">
        <v>44020</v>
      </c>
      <c r="I1247" s="5" t="s">
        <v>434</v>
      </c>
      <c r="J1247" s="5">
        <f>_xlfn.XLOOKUP(CustomerCombined[[#This Row],[ID]], Table4[ID], Table4[Recency], "Not Found", 0)</f>
        <v>63</v>
      </c>
      <c r="K1247" s="5">
        <f>_xlfn.XLOOKUP(CustomerCombined[[#This Row],[ID]], Table4[ID], Table4[Teas], "Not Found", 0)</f>
        <v>1246</v>
      </c>
      <c r="L1247" s="5">
        <f>_xlfn.XLOOKUP(CustomerCombined[[#This Row],[ID]], Table4[ID], Table4[Fruits], "Not Found", 0)</f>
        <v>0</v>
      </c>
      <c r="M1247" s="5">
        <f>_xlfn.XLOOKUP(CustomerCombined[[#This Row],[ID]], Table4[ID], Table4[Meats], "Not Found", 0)</f>
        <v>78</v>
      </c>
      <c r="N1247" s="5">
        <f>_xlfn.XLOOKUP(CustomerCombined[[#This Row],[ID]], Table4[ID], Table4[Seafood], "Not Found", 0)</f>
        <v>0</v>
      </c>
      <c r="O1247" s="5">
        <f>_xlfn.XLOOKUP(CustomerCombined[[#This Row],[ID]], Table4[ID], Table4[Sweets], "Not Found", 0)</f>
        <v>0</v>
      </c>
      <c r="P1247" s="5">
        <f>_xlfn.XLOOKUP(CustomerCombined[[#This Row],[ID]], Table4[ID], Table4[Premium], "Not Found", 0)</f>
        <v>120</v>
      </c>
      <c r="Q1247" s="5">
        <f>_xlfn.XLOOKUP(CustomerCombined[[#This Row],[ID]], Table4[ID], Table4[Regular], "Not Found", 0)</f>
        <v>1204</v>
      </c>
      <c r="R1247" s="5">
        <f>_xlfn.XLOOKUP(CustomerCombined[[#This Row],[ID]], Table4[ID], Table4[Deals], "Not Found", 0)</f>
        <v>3</v>
      </c>
      <c r="S1247" s="5">
        <f>_xlfn.XLOOKUP(CustomerCombined[[#This Row],[ID]], Table4[ID], Table4[Website], "Not Found", 0)</f>
        <v>8</v>
      </c>
      <c r="T1247" s="5">
        <f>_xlfn.XLOOKUP(CustomerCombined[[#This Row],[ID]], Table4[ID], Table4[Catalog], "Not Found", 0)</f>
        <v>2</v>
      </c>
      <c r="U1247" s="5">
        <f>_xlfn.XLOOKUP(CustomerCombined[[#This Row],[ID]], Table4[ID], Table4[Store], "Not Found", 0)</f>
        <v>6</v>
      </c>
      <c r="V1247" s="5">
        <f>_xlfn.XLOOKUP(CustomerCombined[[#This Row],[ID]], Table4[ID], Table4[Visits], "Not Found", 0)</f>
        <v>7</v>
      </c>
      <c r="W1247" s="8">
        <f>_xlfn.XLOOKUP(CustomerCombined[[#This Row],[ID]], Table2[ID],Table2[Complaint], "Not Found", 0 )</f>
        <v>0</v>
      </c>
      <c r="X1247" s="8">
        <f>_xlfn.XLOOKUP(CustomerCombined[[#This Row],[ID]], Table2[ID],Table2[Pilot], "Not Found", 0 )</f>
        <v>0</v>
      </c>
      <c r="Y1247" s="8">
        <f>_xlfn.XLOOKUP(CustomerCombined[[#This Row],[ID]], Table2[ID],Table2[MC1], "Not Found", 0 )</f>
        <v>0</v>
      </c>
      <c r="Z1247" s="8">
        <f>_xlfn.XLOOKUP(CustomerCombined[[#This Row],[ID]], Table2[ID],Table2[MC2], "Not Found", 0 )</f>
        <v>0</v>
      </c>
      <c r="AA1247" s="8">
        <f>_xlfn.XLOOKUP(CustomerCombined[[#This Row],[ID]], Table2[ID],Table2[MC3], "Not Found", 0 )</f>
        <v>0</v>
      </c>
      <c r="AB1247" s="8">
        <f>_xlfn.XLOOKUP(CustomerCombined[[#This Row],[ID]], Table2[ID],Table2[MC4], "Not Found", 0 )</f>
        <v>0</v>
      </c>
      <c r="AC1247" s="8">
        <f>_xlfn.XLOOKUP(CustomerCombined[[#This Row],[ID]], Table2[ID],Table2[MC5], "Not Found", 0 )</f>
        <v>0</v>
      </c>
    </row>
    <row r="1248" spans="1:29" x14ac:dyDescent="0.3">
      <c r="A1248" s="6">
        <v>1560</v>
      </c>
      <c r="B1248" s="6">
        <v>151287</v>
      </c>
      <c r="C1248" s="6">
        <v>1</v>
      </c>
      <c r="D1248" s="6">
        <v>1</v>
      </c>
      <c r="E1248" s="6">
        <v>52</v>
      </c>
      <c r="F1248" s="5" t="s">
        <v>6</v>
      </c>
      <c r="G1248" s="5" t="s">
        <v>11</v>
      </c>
      <c r="H1248" s="3">
        <v>43960</v>
      </c>
      <c r="I1248" s="5" t="s">
        <v>436</v>
      </c>
      <c r="J1248" s="5">
        <f>_xlfn.XLOOKUP(CustomerCombined[[#This Row],[ID]], Table4[ID], Table4[Recency], "Not Found", 0)</f>
        <v>10</v>
      </c>
      <c r="K1248" s="5">
        <f>_xlfn.XLOOKUP(CustomerCombined[[#This Row],[ID]], Table4[ID], Table4[Teas], "Not Found", 0)</f>
        <v>345</v>
      </c>
      <c r="L1248" s="5">
        <f>_xlfn.XLOOKUP(CustomerCombined[[#This Row],[ID]], Table4[ID], Table4[Fruits], "Not Found", 0)</f>
        <v>0</v>
      </c>
      <c r="M1248" s="5">
        <f>_xlfn.XLOOKUP(CustomerCombined[[#This Row],[ID]], Table4[ID], Table4[Meats], "Not Found", 0)</f>
        <v>65</v>
      </c>
      <c r="N1248" s="5">
        <f>_xlfn.XLOOKUP(CustomerCombined[[#This Row],[ID]], Table4[ID], Table4[Seafood], "Not Found", 0)</f>
        <v>38</v>
      </c>
      <c r="O1248" s="5">
        <f>_xlfn.XLOOKUP(CustomerCombined[[#This Row],[ID]], Table4[ID], Table4[Sweets], "Not Found", 0)</f>
        <v>0</v>
      </c>
      <c r="P1248" s="5">
        <f>_xlfn.XLOOKUP(CustomerCombined[[#This Row],[ID]], Table4[ID], Table4[Premium], "Not Found", 0)</f>
        <v>88</v>
      </c>
      <c r="Q1248" s="5">
        <f>_xlfn.XLOOKUP(CustomerCombined[[#This Row],[ID]], Table4[ID], Table4[Regular], "Not Found", 0)</f>
        <v>360</v>
      </c>
      <c r="R1248" s="5">
        <f>_xlfn.XLOOKUP(CustomerCombined[[#This Row],[ID]], Table4[ID], Table4[Deals], "Not Found", 0)</f>
        <v>3</v>
      </c>
      <c r="S1248" s="5">
        <f>_xlfn.XLOOKUP(CustomerCombined[[#This Row],[ID]], Table4[ID], Table4[Website], "Not Found", 0)</f>
        <v>4</v>
      </c>
      <c r="T1248" s="5">
        <f>_xlfn.XLOOKUP(CustomerCombined[[#This Row],[ID]], Table4[ID], Table4[Catalog], "Not Found", 0)</f>
        <v>1</v>
      </c>
      <c r="U1248" s="5">
        <f>_xlfn.XLOOKUP(CustomerCombined[[#This Row],[ID]], Table4[ID], Table4[Store], "Not Found", 0)</f>
        <v>3</v>
      </c>
      <c r="V1248" s="5">
        <f>_xlfn.XLOOKUP(CustomerCombined[[#This Row],[ID]], Table4[ID], Table4[Visits], "Not Found", 0)</f>
        <v>7</v>
      </c>
      <c r="W1248" s="8">
        <f>_xlfn.XLOOKUP(CustomerCombined[[#This Row],[ID]], Table2[ID],Table2[Complaint], "Not Found", 0 )</f>
        <v>0</v>
      </c>
      <c r="X1248" s="8">
        <f>_xlfn.XLOOKUP(CustomerCombined[[#This Row],[ID]], Table2[ID],Table2[Pilot], "Not Found", 0 )</f>
        <v>0</v>
      </c>
      <c r="Y1248" s="8">
        <f>_xlfn.XLOOKUP(CustomerCombined[[#This Row],[ID]], Table2[ID],Table2[MC1], "Not Found", 0 )</f>
        <v>0</v>
      </c>
      <c r="Z1248" s="8">
        <f>_xlfn.XLOOKUP(CustomerCombined[[#This Row],[ID]], Table2[ID],Table2[MC2], "Not Found", 0 )</f>
        <v>0</v>
      </c>
      <c r="AA1248" s="8">
        <f>_xlfn.XLOOKUP(CustomerCombined[[#This Row],[ID]], Table2[ID],Table2[MC3], "Not Found", 0 )</f>
        <v>0</v>
      </c>
      <c r="AB1248" s="8">
        <f>_xlfn.XLOOKUP(CustomerCombined[[#This Row],[ID]], Table2[ID],Table2[MC4], "Not Found", 0 )</f>
        <v>0</v>
      </c>
      <c r="AC1248" s="8">
        <f>_xlfn.XLOOKUP(CustomerCombined[[#This Row],[ID]], Table2[ID],Table2[MC5], "Not Found", 0 )</f>
        <v>0</v>
      </c>
    </row>
    <row r="1249" spans="1:29" x14ac:dyDescent="0.3">
      <c r="A1249" s="6">
        <v>2857</v>
      </c>
      <c r="B1249" s="6">
        <v>150616</v>
      </c>
      <c r="C1249" s="6">
        <v>0</v>
      </c>
      <c r="D1249" s="6">
        <v>1</v>
      </c>
      <c r="E1249" s="6">
        <v>52</v>
      </c>
      <c r="F1249" s="5" t="s">
        <v>5</v>
      </c>
      <c r="G1249" s="5" t="s">
        <v>13</v>
      </c>
      <c r="H1249" s="3" t="s">
        <v>64</v>
      </c>
      <c r="I1249" s="5" t="s">
        <v>437</v>
      </c>
      <c r="J1249" s="5">
        <f>_xlfn.XLOOKUP(CustomerCombined[[#This Row],[ID]], Table4[ID], Table4[Recency], "Not Found", 0)</f>
        <v>56</v>
      </c>
      <c r="K1249" s="5">
        <f>_xlfn.XLOOKUP(CustomerCombined[[#This Row],[ID]], Table4[ID], Table4[Teas], "Not Found", 0)</f>
        <v>381</v>
      </c>
      <c r="L1249" s="5">
        <f>_xlfn.XLOOKUP(CustomerCombined[[#This Row],[ID]], Table4[ID], Table4[Fruits], "Not Found", 0)</f>
        <v>0</v>
      </c>
      <c r="M1249" s="5">
        <f>_xlfn.XLOOKUP(CustomerCombined[[#This Row],[ID]], Table4[ID], Table4[Meats], "Not Found", 0)</f>
        <v>48</v>
      </c>
      <c r="N1249" s="5">
        <f>_xlfn.XLOOKUP(CustomerCombined[[#This Row],[ID]], Table4[ID], Table4[Seafood], "Not Found", 0)</f>
        <v>0</v>
      </c>
      <c r="O1249" s="5">
        <f>_xlfn.XLOOKUP(CustomerCombined[[#This Row],[ID]], Table4[ID], Table4[Sweets], "Not Found", 0)</f>
        <v>3</v>
      </c>
      <c r="P1249" s="5">
        <f>_xlfn.XLOOKUP(CustomerCombined[[#This Row],[ID]], Table4[ID], Table4[Premium], "Not Found", 0)</f>
        <v>12</v>
      </c>
      <c r="Q1249" s="5">
        <f>_xlfn.XLOOKUP(CustomerCombined[[#This Row],[ID]], Table4[ID], Table4[Regular], "Not Found", 0)</f>
        <v>420</v>
      </c>
      <c r="R1249" s="5">
        <f>_xlfn.XLOOKUP(CustomerCombined[[#This Row],[ID]], Table4[ID], Table4[Deals], "Not Found", 0)</f>
        <v>2</v>
      </c>
      <c r="S1249" s="5">
        <f>_xlfn.XLOOKUP(CustomerCombined[[#This Row],[ID]], Table4[ID], Table4[Website], "Not Found", 0)</f>
        <v>4</v>
      </c>
      <c r="T1249" s="5">
        <f>_xlfn.XLOOKUP(CustomerCombined[[#This Row],[ID]], Table4[ID], Table4[Catalog], "Not Found", 0)</f>
        <v>0</v>
      </c>
      <c r="U1249" s="5">
        <f>_xlfn.XLOOKUP(CustomerCombined[[#This Row],[ID]], Table4[ID], Table4[Store], "Not Found", 0)</f>
        <v>4</v>
      </c>
      <c r="V1249" s="5">
        <f>_xlfn.XLOOKUP(CustomerCombined[[#This Row],[ID]], Table4[ID], Table4[Visits], "Not Found", 0)</f>
        <v>7</v>
      </c>
      <c r="W1249" s="8">
        <f>_xlfn.XLOOKUP(CustomerCombined[[#This Row],[ID]], Table2[ID],Table2[Complaint], "Not Found", 0 )</f>
        <v>0</v>
      </c>
      <c r="X1249" s="8">
        <f>_xlfn.XLOOKUP(CustomerCombined[[#This Row],[ID]], Table2[ID],Table2[Pilot], "Not Found", 0 )</f>
        <v>0</v>
      </c>
      <c r="Y1249" s="8">
        <f>_xlfn.XLOOKUP(CustomerCombined[[#This Row],[ID]], Table2[ID],Table2[MC1], "Not Found", 0 )</f>
        <v>0</v>
      </c>
      <c r="Z1249" s="8">
        <f>_xlfn.XLOOKUP(CustomerCombined[[#This Row],[ID]], Table2[ID],Table2[MC2], "Not Found", 0 )</f>
        <v>0</v>
      </c>
      <c r="AA1249" s="8">
        <f>_xlfn.XLOOKUP(CustomerCombined[[#This Row],[ID]], Table2[ID],Table2[MC3], "Not Found", 0 )</f>
        <v>0</v>
      </c>
      <c r="AB1249" s="8">
        <f>_xlfn.XLOOKUP(CustomerCombined[[#This Row],[ID]], Table2[ID],Table2[MC4], "Not Found", 0 )</f>
        <v>0</v>
      </c>
      <c r="AC1249" s="8">
        <f>_xlfn.XLOOKUP(CustomerCombined[[#This Row],[ID]], Table2[ID],Table2[MC5], "Not Found", 0 )</f>
        <v>0</v>
      </c>
    </row>
    <row r="1250" spans="1:29" x14ac:dyDescent="0.3">
      <c r="A1250" s="6">
        <v>2059</v>
      </c>
      <c r="B1250" s="6">
        <v>150014</v>
      </c>
      <c r="C1250" s="6">
        <v>1</v>
      </c>
      <c r="D1250" s="6">
        <v>0</v>
      </c>
      <c r="E1250" s="6">
        <v>52</v>
      </c>
      <c r="F1250" s="5" t="s">
        <v>7</v>
      </c>
      <c r="G1250" s="5" t="s">
        <v>12</v>
      </c>
      <c r="H1250" s="3" t="s">
        <v>110</v>
      </c>
      <c r="I1250" s="5" t="s">
        <v>437</v>
      </c>
      <c r="J1250" s="5">
        <f>_xlfn.XLOOKUP(CustomerCombined[[#This Row],[ID]], Table4[ID], Table4[Recency], "Not Found", 0)</f>
        <v>9</v>
      </c>
      <c r="K1250" s="5">
        <f>_xlfn.XLOOKUP(CustomerCombined[[#This Row],[ID]], Table4[ID], Table4[Teas], "Not Found", 0)</f>
        <v>702</v>
      </c>
      <c r="L1250" s="5">
        <f>_xlfn.XLOOKUP(CustomerCombined[[#This Row],[ID]], Table4[ID], Table4[Fruits], "Not Found", 0)</f>
        <v>42</v>
      </c>
      <c r="M1250" s="5">
        <f>_xlfn.XLOOKUP(CustomerCombined[[#This Row],[ID]], Table4[ID], Table4[Meats], "Not Found", 0)</f>
        <v>231</v>
      </c>
      <c r="N1250" s="5">
        <f>_xlfn.XLOOKUP(CustomerCombined[[#This Row],[ID]], Table4[ID], Table4[Seafood], "Not Found", 0)</f>
        <v>57</v>
      </c>
      <c r="O1250" s="5">
        <f>_xlfn.XLOOKUP(CustomerCombined[[#This Row],[ID]], Table4[ID], Table4[Sweets], "Not Found", 0)</f>
        <v>30</v>
      </c>
      <c r="P1250" s="5">
        <f>_xlfn.XLOOKUP(CustomerCombined[[#This Row],[ID]], Table4[ID], Table4[Premium], "Not Found", 0)</f>
        <v>126</v>
      </c>
      <c r="Q1250" s="5">
        <f>_xlfn.XLOOKUP(CustomerCombined[[#This Row],[ID]], Table4[ID], Table4[Regular], "Not Found", 0)</f>
        <v>936</v>
      </c>
      <c r="R1250" s="5">
        <f>_xlfn.XLOOKUP(CustomerCombined[[#This Row],[ID]], Table4[ID], Table4[Deals], "Not Found", 0)</f>
        <v>2</v>
      </c>
      <c r="S1250" s="5">
        <f>_xlfn.XLOOKUP(CustomerCombined[[#This Row],[ID]], Table4[ID], Table4[Website], "Not Found", 0)</f>
        <v>4</v>
      </c>
      <c r="T1250" s="5">
        <f>_xlfn.XLOOKUP(CustomerCombined[[#This Row],[ID]], Table4[ID], Table4[Catalog], "Not Found", 0)</f>
        <v>1</v>
      </c>
      <c r="U1250" s="5">
        <f>_xlfn.XLOOKUP(CustomerCombined[[#This Row],[ID]], Table4[ID], Table4[Store], "Not Found", 0)</f>
        <v>8</v>
      </c>
      <c r="V1250" s="5">
        <f>_xlfn.XLOOKUP(CustomerCombined[[#This Row],[ID]], Table4[ID], Table4[Visits], "Not Found", 0)</f>
        <v>5</v>
      </c>
      <c r="W1250" s="8">
        <f>_xlfn.XLOOKUP(CustomerCombined[[#This Row],[ID]], Table2[ID],Table2[Complaint], "Not Found", 0 )</f>
        <v>0</v>
      </c>
      <c r="X1250" s="8">
        <f>_xlfn.XLOOKUP(CustomerCombined[[#This Row],[ID]], Table2[ID],Table2[Pilot], "Not Found", 0 )</f>
        <v>0</v>
      </c>
      <c r="Y1250" s="8">
        <f>_xlfn.XLOOKUP(CustomerCombined[[#This Row],[ID]], Table2[ID],Table2[MC1], "Not Found", 0 )</f>
        <v>0</v>
      </c>
      <c r="Z1250" s="8">
        <f>_xlfn.XLOOKUP(CustomerCombined[[#This Row],[ID]], Table2[ID],Table2[MC2], "Not Found", 0 )</f>
        <v>0</v>
      </c>
      <c r="AA1250" s="8">
        <f>_xlfn.XLOOKUP(CustomerCombined[[#This Row],[ID]], Table2[ID],Table2[MC3], "Not Found", 0 )</f>
        <v>0</v>
      </c>
      <c r="AB1250" s="8">
        <f>_xlfn.XLOOKUP(CustomerCombined[[#This Row],[ID]], Table2[ID],Table2[MC4], "Not Found", 0 )</f>
        <v>0</v>
      </c>
      <c r="AC1250" s="8">
        <f>_xlfn.XLOOKUP(CustomerCombined[[#This Row],[ID]], Table2[ID],Table2[MC5], "Not Found", 0 )</f>
        <v>0</v>
      </c>
    </row>
    <row r="1251" spans="1:29" x14ac:dyDescent="0.3">
      <c r="A1251" s="6">
        <v>2147</v>
      </c>
      <c r="B1251" s="6">
        <v>148985</v>
      </c>
      <c r="C1251" s="6">
        <v>0</v>
      </c>
      <c r="D1251" s="6">
        <v>1</v>
      </c>
      <c r="E1251" s="6">
        <v>52</v>
      </c>
      <c r="F1251" s="5" t="s">
        <v>6</v>
      </c>
      <c r="G1251" s="5" t="s">
        <v>442</v>
      </c>
      <c r="H1251" s="3">
        <v>43750</v>
      </c>
      <c r="I1251" s="5" t="s">
        <v>434</v>
      </c>
      <c r="J1251" s="5">
        <f>_xlfn.XLOOKUP(CustomerCombined[[#This Row],[ID]], Table4[ID], Table4[Recency], "Not Found", 0)</f>
        <v>13</v>
      </c>
      <c r="K1251" s="5">
        <f>_xlfn.XLOOKUP(CustomerCombined[[#This Row],[ID]], Table4[ID], Table4[Teas], "Not Found", 0)</f>
        <v>58</v>
      </c>
      <c r="L1251" s="5">
        <f>_xlfn.XLOOKUP(CustomerCombined[[#This Row],[ID]], Table4[ID], Table4[Fruits], "Not Found", 0)</f>
        <v>40</v>
      </c>
      <c r="M1251" s="5">
        <f>_xlfn.XLOOKUP(CustomerCombined[[#This Row],[ID]], Table4[ID], Table4[Meats], "Not Found", 0)</f>
        <v>55</v>
      </c>
      <c r="N1251" s="5">
        <f>_xlfn.XLOOKUP(CustomerCombined[[#This Row],[ID]], Table4[ID], Table4[Seafood], "Not Found", 0)</f>
        <v>30</v>
      </c>
      <c r="O1251" s="5">
        <f>_xlfn.XLOOKUP(CustomerCombined[[#This Row],[ID]], Table4[ID], Table4[Sweets], "Not Found", 0)</f>
        <v>21</v>
      </c>
      <c r="P1251" s="5">
        <f>_xlfn.XLOOKUP(CustomerCombined[[#This Row],[ID]], Table4[ID], Table4[Premium], "Not Found", 0)</f>
        <v>24</v>
      </c>
      <c r="Q1251" s="5">
        <f>_xlfn.XLOOKUP(CustomerCombined[[#This Row],[ID]], Table4[ID], Table4[Regular], "Not Found", 0)</f>
        <v>179</v>
      </c>
      <c r="R1251" s="5">
        <f>_xlfn.XLOOKUP(CustomerCombined[[#This Row],[ID]], Table4[ID], Table4[Deals], "Not Found", 0)</f>
        <v>1</v>
      </c>
      <c r="S1251" s="5">
        <f>_xlfn.XLOOKUP(CustomerCombined[[#This Row],[ID]], Table4[ID], Table4[Website], "Not Found", 0)</f>
        <v>1</v>
      </c>
      <c r="T1251" s="5">
        <f>_xlfn.XLOOKUP(CustomerCombined[[#This Row],[ID]], Table4[ID], Table4[Catalog], "Not Found", 0)</f>
        <v>1</v>
      </c>
      <c r="U1251" s="5">
        <f>_xlfn.XLOOKUP(CustomerCombined[[#This Row],[ID]], Table4[ID], Table4[Store], "Not Found", 0)</f>
        <v>3</v>
      </c>
      <c r="V1251" s="5">
        <f>_xlfn.XLOOKUP(CustomerCombined[[#This Row],[ID]], Table4[ID], Table4[Visits], "Not Found", 0)</f>
        <v>3</v>
      </c>
      <c r="W1251" s="8">
        <f>_xlfn.XLOOKUP(CustomerCombined[[#This Row],[ID]], Table2[ID],Table2[Complaint], "Not Found", 0 )</f>
        <v>0</v>
      </c>
      <c r="X1251" s="8">
        <f>_xlfn.XLOOKUP(CustomerCombined[[#This Row],[ID]], Table2[ID],Table2[Pilot], "Not Found", 0 )</f>
        <v>0</v>
      </c>
      <c r="Y1251" s="8">
        <f>_xlfn.XLOOKUP(CustomerCombined[[#This Row],[ID]], Table2[ID],Table2[MC1], "Not Found", 0 )</f>
        <v>0</v>
      </c>
      <c r="Z1251" s="8">
        <f>_xlfn.XLOOKUP(CustomerCombined[[#This Row],[ID]], Table2[ID],Table2[MC2], "Not Found", 0 )</f>
        <v>0</v>
      </c>
      <c r="AA1251" s="8">
        <f>_xlfn.XLOOKUP(CustomerCombined[[#This Row],[ID]], Table2[ID],Table2[MC3], "Not Found", 0 )</f>
        <v>0</v>
      </c>
      <c r="AB1251" s="8">
        <f>_xlfn.XLOOKUP(CustomerCombined[[#This Row],[ID]], Table2[ID],Table2[MC4], "Not Found", 0 )</f>
        <v>0</v>
      </c>
      <c r="AC1251" s="8">
        <f>_xlfn.XLOOKUP(CustomerCombined[[#This Row],[ID]], Table2[ID],Table2[MC5], "Not Found", 0 )</f>
        <v>0</v>
      </c>
    </row>
    <row r="1252" spans="1:29" x14ac:dyDescent="0.3">
      <c r="A1252" s="6">
        <v>2879</v>
      </c>
      <c r="B1252" s="6">
        <v>145688</v>
      </c>
      <c r="C1252" s="6">
        <v>0</v>
      </c>
      <c r="D1252" s="6">
        <v>1</v>
      </c>
      <c r="E1252" s="6">
        <v>52</v>
      </c>
      <c r="F1252" s="5" t="s">
        <v>6</v>
      </c>
      <c r="G1252" s="5" t="s">
        <v>11</v>
      </c>
      <c r="H1252" s="3">
        <v>43837</v>
      </c>
      <c r="I1252" s="5" t="s">
        <v>434</v>
      </c>
      <c r="J1252" s="5">
        <f>_xlfn.XLOOKUP(CustomerCombined[[#This Row],[ID]], Table4[ID], Table4[Recency], "Not Found", 0)</f>
        <v>20</v>
      </c>
      <c r="K1252" s="5">
        <f>_xlfn.XLOOKUP(CustomerCombined[[#This Row],[ID]], Table4[ID], Table4[Teas], "Not Found", 0)</f>
        <v>890</v>
      </c>
      <c r="L1252" s="5">
        <f>_xlfn.XLOOKUP(CustomerCombined[[#This Row],[ID]], Table4[ID], Table4[Fruits], "Not Found", 0)</f>
        <v>0</v>
      </c>
      <c r="M1252" s="5">
        <f>_xlfn.XLOOKUP(CustomerCombined[[#This Row],[ID]], Table4[ID], Table4[Meats], "Not Found", 0)</f>
        <v>57</v>
      </c>
      <c r="N1252" s="5">
        <f>_xlfn.XLOOKUP(CustomerCombined[[#This Row],[ID]], Table4[ID], Table4[Seafood], "Not Found", 0)</f>
        <v>0</v>
      </c>
      <c r="O1252" s="5">
        <f>_xlfn.XLOOKUP(CustomerCombined[[#This Row],[ID]], Table4[ID], Table4[Sweets], "Not Found", 0)</f>
        <v>0</v>
      </c>
      <c r="P1252" s="5">
        <f>_xlfn.XLOOKUP(CustomerCombined[[#This Row],[ID]], Table4[ID], Table4[Premium], "Not Found", 0)</f>
        <v>29</v>
      </c>
      <c r="Q1252" s="5">
        <f>_xlfn.XLOOKUP(CustomerCombined[[#This Row],[ID]], Table4[ID], Table4[Regular], "Not Found", 0)</f>
        <v>918</v>
      </c>
      <c r="R1252" s="5">
        <f>_xlfn.XLOOKUP(CustomerCombined[[#This Row],[ID]], Table4[ID], Table4[Deals], "Not Found", 0)</f>
        <v>2</v>
      </c>
      <c r="S1252" s="5">
        <f>_xlfn.XLOOKUP(CustomerCombined[[#This Row],[ID]], Table4[ID], Table4[Website], "Not Found", 0)</f>
        <v>3</v>
      </c>
      <c r="T1252" s="5">
        <f>_xlfn.XLOOKUP(CustomerCombined[[#This Row],[ID]], Table4[ID], Table4[Catalog], "Not Found", 0)</f>
        <v>1</v>
      </c>
      <c r="U1252" s="5">
        <f>_xlfn.XLOOKUP(CustomerCombined[[#This Row],[ID]], Table4[ID], Table4[Store], "Not Found", 0)</f>
        <v>8</v>
      </c>
      <c r="V1252" s="5">
        <f>_xlfn.XLOOKUP(CustomerCombined[[#This Row],[ID]], Table4[ID], Table4[Visits], "Not Found", 0)</f>
        <v>4</v>
      </c>
      <c r="W1252" s="8">
        <f>_xlfn.XLOOKUP(CustomerCombined[[#This Row],[ID]], Table2[ID],Table2[Complaint], "Not Found", 0 )</f>
        <v>0</v>
      </c>
      <c r="X1252" s="8">
        <f>_xlfn.XLOOKUP(CustomerCombined[[#This Row],[ID]], Table2[ID],Table2[Pilot], "Not Found", 0 )</f>
        <v>0</v>
      </c>
      <c r="Y1252" s="8">
        <f>_xlfn.XLOOKUP(CustomerCombined[[#This Row],[ID]], Table2[ID],Table2[MC1], "Not Found", 0 )</f>
        <v>0</v>
      </c>
      <c r="Z1252" s="8">
        <f>_xlfn.XLOOKUP(CustomerCombined[[#This Row],[ID]], Table2[ID],Table2[MC2], "Not Found", 0 )</f>
        <v>0</v>
      </c>
      <c r="AA1252" s="8">
        <f>_xlfn.XLOOKUP(CustomerCombined[[#This Row],[ID]], Table2[ID],Table2[MC3], "Not Found", 0 )</f>
        <v>0</v>
      </c>
      <c r="AB1252" s="8">
        <f>_xlfn.XLOOKUP(CustomerCombined[[#This Row],[ID]], Table2[ID],Table2[MC4], "Not Found", 0 )</f>
        <v>1</v>
      </c>
      <c r="AC1252" s="8">
        <f>_xlfn.XLOOKUP(CustomerCombined[[#This Row],[ID]], Table2[ID],Table2[MC5], "Not Found", 0 )</f>
        <v>0</v>
      </c>
    </row>
    <row r="1253" spans="1:29" x14ac:dyDescent="0.3">
      <c r="A1253" s="6">
        <v>1200</v>
      </c>
      <c r="B1253" s="6">
        <v>144377</v>
      </c>
      <c r="C1253" s="6">
        <v>1</v>
      </c>
      <c r="D1253" s="6">
        <v>1</v>
      </c>
      <c r="E1253" s="6">
        <v>52</v>
      </c>
      <c r="F1253" s="5" t="s">
        <v>6</v>
      </c>
      <c r="G1253" s="5" t="s">
        <v>13</v>
      </c>
      <c r="H1253" s="3">
        <v>43802</v>
      </c>
      <c r="I1253" s="5" t="s">
        <v>436</v>
      </c>
      <c r="J1253" s="5">
        <f>_xlfn.XLOOKUP(CustomerCombined[[#This Row],[ID]], Table4[ID], Table4[Recency], "Not Found", 0)</f>
        <v>70</v>
      </c>
      <c r="K1253" s="5">
        <f>_xlfn.XLOOKUP(CustomerCombined[[#This Row],[ID]], Table4[ID], Table4[Teas], "Not Found", 0)</f>
        <v>729</v>
      </c>
      <c r="L1253" s="5">
        <f>_xlfn.XLOOKUP(CustomerCombined[[#This Row],[ID]], Table4[ID], Table4[Fruits], "Not Found", 0)</f>
        <v>0</v>
      </c>
      <c r="M1253" s="5">
        <f>_xlfn.XLOOKUP(CustomerCombined[[#This Row],[ID]], Table4[ID], Table4[Meats], "Not Found", 0)</f>
        <v>98</v>
      </c>
      <c r="N1253" s="5">
        <f>_xlfn.XLOOKUP(CustomerCombined[[#This Row],[ID]], Table4[ID], Table4[Seafood], "Not Found", 0)</f>
        <v>0</v>
      </c>
      <c r="O1253" s="5">
        <f>_xlfn.XLOOKUP(CustomerCombined[[#This Row],[ID]], Table4[ID], Table4[Sweets], "Not Found", 0)</f>
        <v>0</v>
      </c>
      <c r="P1253" s="5">
        <f>_xlfn.XLOOKUP(CustomerCombined[[#This Row],[ID]], Table4[ID], Table4[Premium], "Not Found", 0)</f>
        <v>33</v>
      </c>
      <c r="Q1253" s="5">
        <f>_xlfn.XLOOKUP(CustomerCombined[[#This Row],[ID]], Table4[ID], Table4[Regular], "Not Found", 0)</f>
        <v>794</v>
      </c>
      <c r="R1253" s="5">
        <f>_xlfn.XLOOKUP(CustomerCombined[[#This Row],[ID]], Table4[ID], Table4[Deals], "Not Found", 0)</f>
        <v>8</v>
      </c>
      <c r="S1253" s="5">
        <f>_xlfn.XLOOKUP(CustomerCombined[[#This Row],[ID]], Table4[ID], Table4[Website], "Not Found", 0)</f>
        <v>5</v>
      </c>
      <c r="T1253" s="5">
        <f>_xlfn.XLOOKUP(CustomerCombined[[#This Row],[ID]], Table4[ID], Table4[Catalog], "Not Found", 0)</f>
        <v>1</v>
      </c>
      <c r="U1253" s="5">
        <f>_xlfn.XLOOKUP(CustomerCombined[[#This Row],[ID]], Table4[ID], Table4[Store], "Not Found", 0)</f>
        <v>5</v>
      </c>
      <c r="V1253" s="5">
        <f>_xlfn.XLOOKUP(CustomerCombined[[#This Row],[ID]], Table4[ID], Table4[Visits], "Not Found", 0)</f>
        <v>8</v>
      </c>
      <c r="W1253" s="8">
        <f>_xlfn.XLOOKUP(CustomerCombined[[#This Row],[ID]], Table2[ID],Table2[Complaint], "Not Found", 0 )</f>
        <v>0</v>
      </c>
      <c r="X1253" s="8">
        <f>_xlfn.XLOOKUP(CustomerCombined[[#This Row],[ID]], Table2[ID],Table2[Pilot], "Not Found", 0 )</f>
        <v>0</v>
      </c>
      <c r="Y1253" s="8">
        <f>_xlfn.XLOOKUP(CustomerCombined[[#This Row],[ID]], Table2[ID],Table2[MC1], "Not Found", 0 )</f>
        <v>0</v>
      </c>
      <c r="Z1253" s="8">
        <f>_xlfn.XLOOKUP(CustomerCombined[[#This Row],[ID]], Table2[ID],Table2[MC2], "Not Found", 0 )</f>
        <v>0</v>
      </c>
      <c r="AA1253" s="8">
        <f>_xlfn.XLOOKUP(CustomerCombined[[#This Row],[ID]], Table2[ID],Table2[MC3], "Not Found", 0 )</f>
        <v>0</v>
      </c>
      <c r="AB1253" s="8">
        <f>_xlfn.XLOOKUP(CustomerCombined[[#This Row],[ID]], Table2[ID],Table2[MC4], "Not Found", 0 )</f>
        <v>0</v>
      </c>
      <c r="AC1253" s="8">
        <f>_xlfn.XLOOKUP(CustomerCombined[[#This Row],[ID]], Table2[ID],Table2[MC5], "Not Found", 0 )</f>
        <v>0</v>
      </c>
    </row>
    <row r="1254" spans="1:29" x14ac:dyDescent="0.3">
      <c r="A1254" s="6">
        <v>1370</v>
      </c>
      <c r="B1254" s="6">
        <v>143795</v>
      </c>
      <c r="C1254" s="6">
        <v>0</v>
      </c>
      <c r="D1254" s="6">
        <v>1</v>
      </c>
      <c r="E1254" s="6">
        <v>52</v>
      </c>
      <c r="F1254" s="5" t="s">
        <v>8</v>
      </c>
      <c r="G1254" s="5" t="s">
        <v>12</v>
      </c>
      <c r="H1254" s="3" t="s">
        <v>166</v>
      </c>
      <c r="I1254" s="5" t="s">
        <v>438</v>
      </c>
      <c r="J1254" s="5">
        <f>_xlfn.XLOOKUP(CustomerCombined[[#This Row],[ID]], Table4[ID], Table4[Recency], "Not Found", 0)</f>
        <v>11</v>
      </c>
      <c r="K1254" s="5">
        <f>_xlfn.XLOOKUP(CustomerCombined[[#This Row],[ID]], Table4[ID], Table4[Teas], "Not Found", 0)</f>
        <v>1031</v>
      </c>
      <c r="L1254" s="5">
        <f>_xlfn.XLOOKUP(CustomerCombined[[#This Row],[ID]], Table4[ID], Table4[Fruits], "Not Found", 0)</f>
        <v>36</v>
      </c>
      <c r="M1254" s="5">
        <f>_xlfn.XLOOKUP(CustomerCombined[[#This Row],[ID]], Table4[ID], Table4[Meats], "Not Found", 0)</f>
        <v>174</v>
      </c>
      <c r="N1254" s="5">
        <f>_xlfn.XLOOKUP(CustomerCombined[[#This Row],[ID]], Table4[ID], Table4[Seafood], "Not Found", 0)</f>
        <v>13</v>
      </c>
      <c r="O1254" s="5">
        <f>_xlfn.XLOOKUP(CustomerCombined[[#This Row],[ID]], Table4[ID], Table4[Sweets], "Not Found", 0)</f>
        <v>10</v>
      </c>
      <c r="P1254" s="5">
        <f>_xlfn.XLOOKUP(CustomerCombined[[#This Row],[ID]], Table4[ID], Table4[Premium], "Not Found", 0)</f>
        <v>351</v>
      </c>
      <c r="Q1254" s="5">
        <f>_xlfn.XLOOKUP(CustomerCombined[[#This Row],[ID]], Table4[ID], Table4[Regular], "Not Found", 0)</f>
        <v>913</v>
      </c>
      <c r="R1254" s="5">
        <f>_xlfn.XLOOKUP(CustomerCombined[[#This Row],[ID]], Table4[ID], Table4[Deals], "Not Found", 0)</f>
        <v>3</v>
      </c>
      <c r="S1254" s="5">
        <f>_xlfn.XLOOKUP(CustomerCombined[[#This Row],[ID]], Table4[ID], Table4[Website], "Not Found", 0)</f>
        <v>7</v>
      </c>
      <c r="T1254" s="5">
        <f>_xlfn.XLOOKUP(CustomerCombined[[#This Row],[ID]], Table4[ID], Table4[Catalog], "Not Found", 0)</f>
        <v>3</v>
      </c>
      <c r="U1254" s="5">
        <f>_xlfn.XLOOKUP(CustomerCombined[[#This Row],[ID]], Table4[ID], Table4[Store], "Not Found", 0)</f>
        <v>4</v>
      </c>
      <c r="V1254" s="5">
        <f>_xlfn.XLOOKUP(CustomerCombined[[#This Row],[ID]], Table4[ID], Table4[Visits], "Not Found", 0)</f>
        <v>7</v>
      </c>
      <c r="W1254" s="8">
        <f>_xlfn.XLOOKUP(CustomerCombined[[#This Row],[ID]], Table2[ID],Table2[Complaint], "Not Found", 0 )</f>
        <v>0</v>
      </c>
      <c r="X1254" s="8">
        <f>_xlfn.XLOOKUP(CustomerCombined[[#This Row],[ID]], Table2[ID],Table2[Pilot], "Not Found", 0 )</f>
        <v>1</v>
      </c>
      <c r="Y1254" s="8">
        <f>_xlfn.XLOOKUP(CustomerCombined[[#This Row],[ID]], Table2[ID],Table2[MC1], "Not Found", 0 )</f>
        <v>0</v>
      </c>
      <c r="Z1254" s="8">
        <f>_xlfn.XLOOKUP(CustomerCombined[[#This Row],[ID]], Table2[ID],Table2[MC2], "Not Found", 0 )</f>
        <v>0</v>
      </c>
      <c r="AA1254" s="8">
        <f>_xlfn.XLOOKUP(CustomerCombined[[#This Row],[ID]], Table2[ID],Table2[MC3], "Not Found", 0 )</f>
        <v>0</v>
      </c>
      <c r="AB1254" s="8">
        <f>_xlfn.XLOOKUP(CustomerCombined[[#This Row],[ID]], Table2[ID],Table2[MC4], "Not Found", 0 )</f>
        <v>1</v>
      </c>
      <c r="AC1254" s="8">
        <f>_xlfn.XLOOKUP(CustomerCombined[[#This Row],[ID]], Table2[ID],Table2[MC5], "Not Found", 0 )</f>
        <v>0</v>
      </c>
    </row>
    <row r="1255" spans="1:29" x14ac:dyDescent="0.3">
      <c r="A1255" s="6">
        <v>1768</v>
      </c>
      <c r="B1255" s="6">
        <v>142564</v>
      </c>
      <c r="C1255" s="6">
        <v>0</v>
      </c>
      <c r="D1255" s="6">
        <v>1</v>
      </c>
      <c r="E1255" s="6">
        <v>52</v>
      </c>
      <c r="F1255" s="5" t="s">
        <v>5</v>
      </c>
      <c r="G1255" s="5" t="s">
        <v>13</v>
      </c>
      <c r="H1255" s="3">
        <v>43714</v>
      </c>
      <c r="I1255" s="5" t="s">
        <v>439</v>
      </c>
      <c r="J1255" s="5">
        <f>_xlfn.XLOOKUP(CustomerCombined[[#This Row],[ID]], Table4[ID], Table4[Recency], "Not Found", 0)</f>
        <v>28</v>
      </c>
      <c r="K1255" s="5">
        <f>_xlfn.XLOOKUP(CustomerCombined[[#This Row],[ID]], Table4[ID], Table4[Teas], "Not Found", 0)</f>
        <v>1085</v>
      </c>
      <c r="L1255" s="5">
        <f>_xlfn.XLOOKUP(CustomerCombined[[#This Row],[ID]], Table4[ID], Table4[Fruits], "Not Found", 0)</f>
        <v>161</v>
      </c>
      <c r="M1255" s="5">
        <f>_xlfn.XLOOKUP(CustomerCombined[[#This Row],[ID]], Table4[ID], Table4[Meats], "Not Found", 0)</f>
        <v>623</v>
      </c>
      <c r="N1255" s="5">
        <f>_xlfn.XLOOKUP(CustomerCombined[[#This Row],[ID]], Table4[ID], Table4[Seafood], "Not Found", 0)</f>
        <v>131</v>
      </c>
      <c r="O1255" s="5">
        <f>_xlfn.XLOOKUP(CustomerCombined[[#This Row],[ID]], Table4[ID], Table4[Sweets], "Not Found", 0)</f>
        <v>60</v>
      </c>
      <c r="P1255" s="5">
        <f>_xlfn.XLOOKUP(CustomerCombined[[#This Row],[ID]], Table4[ID], Table4[Premium], "Not Found", 0)</f>
        <v>663</v>
      </c>
      <c r="Q1255" s="5">
        <f>_xlfn.XLOOKUP(CustomerCombined[[#This Row],[ID]], Table4[ID], Table4[Regular], "Not Found", 0)</f>
        <v>1397</v>
      </c>
      <c r="R1255" s="5">
        <f>_xlfn.XLOOKUP(CustomerCombined[[#This Row],[ID]], Table4[ID], Table4[Deals], "Not Found", 0)</f>
        <v>6</v>
      </c>
      <c r="S1255" s="5">
        <f>_xlfn.XLOOKUP(CustomerCombined[[#This Row],[ID]], Table4[ID], Table4[Website], "Not Found", 0)</f>
        <v>6</v>
      </c>
      <c r="T1255" s="5">
        <f>_xlfn.XLOOKUP(CustomerCombined[[#This Row],[ID]], Table4[ID], Table4[Catalog], "Not Found", 0)</f>
        <v>8</v>
      </c>
      <c r="U1255" s="5">
        <f>_xlfn.XLOOKUP(CustomerCombined[[#This Row],[ID]], Table4[ID], Table4[Store], "Not Found", 0)</f>
        <v>4</v>
      </c>
      <c r="V1255" s="5">
        <f>_xlfn.XLOOKUP(CustomerCombined[[#This Row],[ID]], Table4[ID], Table4[Visits], "Not Found", 0)</f>
        <v>7</v>
      </c>
      <c r="W1255" s="8">
        <f>_xlfn.XLOOKUP(CustomerCombined[[#This Row],[ID]], Table2[ID],Table2[Complaint], "Not Found", 0 )</f>
        <v>0</v>
      </c>
      <c r="X1255" s="8">
        <f>_xlfn.XLOOKUP(CustomerCombined[[#This Row],[ID]], Table2[ID],Table2[Pilot], "Not Found", 0 )</f>
        <v>1</v>
      </c>
      <c r="Y1255" s="8">
        <f>_xlfn.XLOOKUP(CustomerCombined[[#This Row],[ID]], Table2[ID],Table2[MC1], "Not Found", 0 )</f>
        <v>0</v>
      </c>
      <c r="Z1255" s="8">
        <f>_xlfn.XLOOKUP(CustomerCombined[[#This Row],[ID]], Table2[ID],Table2[MC2], "Not Found", 0 )</f>
        <v>0</v>
      </c>
      <c r="AA1255" s="8">
        <f>_xlfn.XLOOKUP(CustomerCombined[[#This Row],[ID]], Table2[ID],Table2[MC3], "Not Found", 0 )</f>
        <v>1</v>
      </c>
      <c r="AB1255" s="8">
        <f>_xlfn.XLOOKUP(CustomerCombined[[#This Row],[ID]], Table2[ID],Table2[MC4], "Not Found", 0 )</f>
        <v>0</v>
      </c>
      <c r="AC1255" s="8">
        <f>_xlfn.XLOOKUP(CustomerCombined[[#This Row],[ID]], Table2[ID],Table2[MC5], "Not Found", 0 )</f>
        <v>0</v>
      </c>
    </row>
    <row r="1256" spans="1:29" x14ac:dyDescent="0.3">
      <c r="A1256" s="6">
        <v>1045</v>
      </c>
      <c r="B1256" s="6">
        <v>141728</v>
      </c>
      <c r="C1256" s="6">
        <v>1</v>
      </c>
      <c r="D1256" s="6">
        <v>0</v>
      </c>
      <c r="E1256" s="6">
        <v>52</v>
      </c>
      <c r="F1256" s="5" t="s">
        <v>8</v>
      </c>
      <c r="G1256" s="5" t="s">
        <v>11</v>
      </c>
      <c r="H1256" s="3" t="s">
        <v>247</v>
      </c>
      <c r="I1256" s="5" t="s">
        <v>437</v>
      </c>
      <c r="J1256" s="5">
        <f>_xlfn.XLOOKUP(CustomerCombined[[#This Row],[ID]], Table4[ID], Table4[Recency], "Not Found", 0)</f>
        <v>92</v>
      </c>
      <c r="K1256" s="5">
        <f>_xlfn.XLOOKUP(CustomerCombined[[#This Row],[ID]], Table4[ID], Table4[Teas], "Not Found", 0)</f>
        <v>44</v>
      </c>
      <c r="L1256" s="5">
        <f>_xlfn.XLOOKUP(CustomerCombined[[#This Row],[ID]], Table4[ID], Table4[Fruits], "Not Found", 0)</f>
        <v>20</v>
      </c>
      <c r="M1256" s="5">
        <f>_xlfn.XLOOKUP(CustomerCombined[[#This Row],[ID]], Table4[ID], Table4[Meats], "Not Found", 0)</f>
        <v>51</v>
      </c>
      <c r="N1256" s="5">
        <f>_xlfn.XLOOKUP(CustomerCombined[[#This Row],[ID]], Table4[ID], Table4[Seafood], "Not Found", 0)</f>
        <v>10</v>
      </c>
      <c r="O1256" s="5">
        <f>_xlfn.XLOOKUP(CustomerCombined[[#This Row],[ID]], Table4[ID], Table4[Sweets], "Not Found", 0)</f>
        <v>17</v>
      </c>
      <c r="P1256" s="5">
        <f>_xlfn.XLOOKUP(CustomerCombined[[#This Row],[ID]], Table4[ID], Table4[Premium], "Not Found", 0)</f>
        <v>44</v>
      </c>
      <c r="Q1256" s="5">
        <f>_xlfn.XLOOKUP(CustomerCombined[[#This Row],[ID]], Table4[ID], Table4[Regular], "Not Found", 0)</f>
        <v>98</v>
      </c>
      <c r="R1256" s="5">
        <f>_xlfn.XLOOKUP(CustomerCombined[[#This Row],[ID]], Table4[ID], Table4[Deals], "Not Found", 0)</f>
        <v>1</v>
      </c>
      <c r="S1256" s="5">
        <f>_xlfn.XLOOKUP(CustomerCombined[[#This Row],[ID]], Table4[ID], Table4[Website], "Not Found", 0)</f>
        <v>2</v>
      </c>
      <c r="T1256" s="5">
        <f>_xlfn.XLOOKUP(CustomerCombined[[#This Row],[ID]], Table4[ID], Table4[Catalog], "Not Found", 0)</f>
        <v>0</v>
      </c>
      <c r="U1256" s="5">
        <f>_xlfn.XLOOKUP(CustomerCombined[[#This Row],[ID]], Table4[ID], Table4[Store], "Not Found", 0)</f>
        <v>2</v>
      </c>
      <c r="V1256" s="5">
        <f>_xlfn.XLOOKUP(CustomerCombined[[#This Row],[ID]], Table4[ID], Table4[Visits], "Not Found", 0)</f>
        <v>10</v>
      </c>
      <c r="W1256" s="8">
        <f>_xlfn.XLOOKUP(CustomerCombined[[#This Row],[ID]], Table2[ID],Table2[Complaint], "Not Found", 0 )</f>
        <v>0</v>
      </c>
      <c r="X1256" s="8">
        <f>_xlfn.XLOOKUP(CustomerCombined[[#This Row],[ID]], Table2[ID],Table2[Pilot], "Not Found", 0 )</f>
        <v>0</v>
      </c>
      <c r="Y1256" s="8">
        <f>_xlfn.XLOOKUP(CustomerCombined[[#This Row],[ID]], Table2[ID],Table2[MC1], "Not Found", 0 )</f>
        <v>0</v>
      </c>
      <c r="Z1256" s="8">
        <f>_xlfn.XLOOKUP(CustomerCombined[[#This Row],[ID]], Table2[ID],Table2[MC2], "Not Found", 0 )</f>
        <v>0</v>
      </c>
      <c r="AA1256" s="8">
        <f>_xlfn.XLOOKUP(CustomerCombined[[#This Row],[ID]], Table2[ID],Table2[MC3], "Not Found", 0 )</f>
        <v>0</v>
      </c>
      <c r="AB1256" s="8">
        <f>_xlfn.XLOOKUP(CustomerCombined[[#This Row],[ID]], Table2[ID],Table2[MC4], "Not Found", 0 )</f>
        <v>0</v>
      </c>
      <c r="AC1256" s="8">
        <f>_xlfn.XLOOKUP(CustomerCombined[[#This Row],[ID]], Table2[ID],Table2[MC5], "Not Found", 0 )</f>
        <v>0</v>
      </c>
    </row>
    <row r="1257" spans="1:29" x14ac:dyDescent="0.3">
      <c r="A1257" s="6">
        <v>1685</v>
      </c>
      <c r="B1257" s="6">
        <v>141335</v>
      </c>
      <c r="C1257" s="6">
        <v>1</v>
      </c>
      <c r="D1257" s="6">
        <v>0</v>
      </c>
      <c r="E1257" s="6">
        <v>52</v>
      </c>
      <c r="F1257" s="5" t="s">
        <v>5</v>
      </c>
      <c r="G1257" s="5" t="s">
        <v>12</v>
      </c>
      <c r="H1257" s="3">
        <v>43836</v>
      </c>
      <c r="I1257" s="5" t="s">
        <v>434</v>
      </c>
      <c r="J1257" s="5">
        <f>_xlfn.XLOOKUP(CustomerCombined[[#This Row],[ID]], Table4[ID], Table4[Recency], "Not Found", 0)</f>
        <v>24</v>
      </c>
      <c r="K1257" s="5">
        <f>_xlfn.XLOOKUP(CustomerCombined[[#This Row],[ID]], Table4[ID], Table4[Teas], "Not Found", 0)</f>
        <v>383</v>
      </c>
      <c r="L1257" s="5">
        <f>_xlfn.XLOOKUP(CustomerCombined[[#This Row],[ID]], Table4[ID], Table4[Fruits], "Not Found", 0)</f>
        <v>65</v>
      </c>
      <c r="M1257" s="5">
        <f>_xlfn.XLOOKUP(CustomerCombined[[#This Row],[ID]], Table4[ID], Table4[Meats], "Not Found", 0)</f>
        <v>72</v>
      </c>
      <c r="N1257" s="5">
        <f>_xlfn.XLOOKUP(CustomerCombined[[#This Row],[ID]], Table4[ID], Table4[Seafood], "Not Found", 0)</f>
        <v>55</v>
      </c>
      <c r="O1257" s="5">
        <f>_xlfn.XLOOKUP(CustomerCombined[[#This Row],[ID]], Table4[ID], Table4[Sweets], "Not Found", 0)</f>
        <v>48</v>
      </c>
      <c r="P1257" s="5">
        <f>_xlfn.XLOOKUP(CustomerCombined[[#This Row],[ID]], Table4[ID], Table4[Premium], "Not Found", 0)</f>
        <v>17</v>
      </c>
      <c r="Q1257" s="5">
        <f>_xlfn.XLOOKUP(CustomerCombined[[#This Row],[ID]], Table4[ID], Table4[Regular], "Not Found", 0)</f>
        <v>605</v>
      </c>
      <c r="R1257" s="5">
        <f>_xlfn.XLOOKUP(CustomerCombined[[#This Row],[ID]], Table4[ID], Table4[Deals], "Not Found", 0)</f>
        <v>3</v>
      </c>
      <c r="S1257" s="5">
        <f>_xlfn.XLOOKUP(CustomerCombined[[#This Row],[ID]], Table4[ID], Table4[Website], "Not Found", 0)</f>
        <v>4</v>
      </c>
      <c r="T1257" s="5">
        <f>_xlfn.XLOOKUP(CustomerCombined[[#This Row],[ID]], Table4[ID], Table4[Catalog], "Not Found", 0)</f>
        <v>1</v>
      </c>
      <c r="U1257" s="5">
        <f>_xlfn.XLOOKUP(CustomerCombined[[#This Row],[ID]], Table4[ID], Table4[Store], "Not Found", 0)</f>
        <v>4</v>
      </c>
      <c r="V1257" s="5">
        <f>_xlfn.XLOOKUP(CustomerCombined[[#This Row],[ID]], Table4[ID], Table4[Visits], "Not Found", 0)</f>
        <v>7</v>
      </c>
      <c r="W1257" s="8">
        <f>_xlfn.XLOOKUP(CustomerCombined[[#This Row],[ID]], Table2[ID],Table2[Complaint], "Not Found", 0 )</f>
        <v>0</v>
      </c>
      <c r="X1257" s="8">
        <f>_xlfn.XLOOKUP(CustomerCombined[[#This Row],[ID]], Table2[ID],Table2[Pilot], "Not Found", 0 )</f>
        <v>0</v>
      </c>
      <c r="Y1257" s="8">
        <f>_xlfn.XLOOKUP(CustomerCombined[[#This Row],[ID]], Table2[ID],Table2[MC1], "Not Found", 0 )</f>
        <v>0</v>
      </c>
      <c r="Z1257" s="8">
        <f>_xlfn.XLOOKUP(CustomerCombined[[#This Row],[ID]], Table2[ID],Table2[MC2], "Not Found", 0 )</f>
        <v>0</v>
      </c>
      <c r="AA1257" s="8">
        <f>_xlfn.XLOOKUP(CustomerCombined[[#This Row],[ID]], Table2[ID],Table2[MC3], "Not Found", 0 )</f>
        <v>0</v>
      </c>
      <c r="AB1257" s="8">
        <f>_xlfn.XLOOKUP(CustomerCombined[[#This Row],[ID]], Table2[ID],Table2[MC4], "Not Found", 0 )</f>
        <v>0</v>
      </c>
      <c r="AC1257" s="8">
        <f>_xlfn.XLOOKUP(CustomerCombined[[#This Row],[ID]], Table2[ID],Table2[MC5], "Not Found", 0 )</f>
        <v>0</v>
      </c>
    </row>
    <row r="1258" spans="1:29" x14ac:dyDescent="0.3">
      <c r="A1258" s="6">
        <v>2348</v>
      </c>
      <c r="B1258" s="6">
        <v>141335</v>
      </c>
      <c r="C1258" s="6">
        <v>1</v>
      </c>
      <c r="D1258" s="6">
        <v>0</v>
      </c>
      <c r="E1258" s="6">
        <v>52</v>
      </c>
      <c r="F1258" s="5" t="s">
        <v>5</v>
      </c>
      <c r="G1258" s="5" t="s">
        <v>12</v>
      </c>
      <c r="H1258" s="3">
        <v>43836</v>
      </c>
      <c r="I1258" s="5" t="s">
        <v>438</v>
      </c>
      <c r="J1258" s="5">
        <f>_xlfn.XLOOKUP(CustomerCombined[[#This Row],[ID]], Table4[ID], Table4[Recency], "Not Found", 0)</f>
        <v>24</v>
      </c>
      <c r="K1258" s="5">
        <f>_xlfn.XLOOKUP(CustomerCombined[[#This Row],[ID]], Table4[ID], Table4[Teas], "Not Found", 0)</f>
        <v>383</v>
      </c>
      <c r="L1258" s="5">
        <f>_xlfn.XLOOKUP(CustomerCombined[[#This Row],[ID]], Table4[ID], Table4[Fruits], "Not Found", 0)</f>
        <v>65</v>
      </c>
      <c r="M1258" s="5">
        <f>_xlfn.XLOOKUP(CustomerCombined[[#This Row],[ID]], Table4[ID], Table4[Meats], "Not Found", 0)</f>
        <v>72</v>
      </c>
      <c r="N1258" s="5">
        <f>_xlfn.XLOOKUP(CustomerCombined[[#This Row],[ID]], Table4[ID], Table4[Seafood], "Not Found", 0)</f>
        <v>55</v>
      </c>
      <c r="O1258" s="5">
        <f>_xlfn.XLOOKUP(CustomerCombined[[#This Row],[ID]], Table4[ID], Table4[Sweets], "Not Found", 0)</f>
        <v>48</v>
      </c>
      <c r="P1258" s="5">
        <f>_xlfn.XLOOKUP(CustomerCombined[[#This Row],[ID]], Table4[ID], Table4[Premium], "Not Found", 0)</f>
        <v>17</v>
      </c>
      <c r="Q1258" s="5">
        <f>_xlfn.XLOOKUP(CustomerCombined[[#This Row],[ID]], Table4[ID], Table4[Regular], "Not Found", 0)</f>
        <v>605</v>
      </c>
      <c r="R1258" s="5">
        <f>_xlfn.XLOOKUP(CustomerCombined[[#This Row],[ID]], Table4[ID], Table4[Deals], "Not Found", 0)</f>
        <v>3</v>
      </c>
      <c r="S1258" s="5">
        <f>_xlfn.XLOOKUP(CustomerCombined[[#This Row],[ID]], Table4[ID], Table4[Website], "Not Found", 0)</f>
        <v>4</v>
      </c>
      <c r="T1258" s="5">
        <f>_xlfn.XLOOKUP(CustomerCombined[[#This Row],[ID]], Table4[ID], Table4[Catalog], "Not Found", 0)</f>
        <v>1</v>
      </c>
      <c r="U1258" s="5">
        <f>_xlfn.XLOOKUP(CustomerCombined[[#This Row],[ID]], Table4[ID], Table4[Store], "Not Found", 0)</f>
        <v>4</v>
      </c>
      <c r="V1258" s="5">
        <f>_xlfn.XLOOKUP(CustomerCombined[[#This Row],[ID]], Table4[ID], Table4[Visits], "Not Found", 0)</f>
        <v>7</v>
      </c>
      <c r="W1258" s="8">
        <f>_xlfn.XLOOKUP(CustomerCombined[[#This Row],[ID]], Table2[ID],Table2[Complaint], "Not Found", 0 )</f>
        <v>0</v>
      </c>
      <c r="X1258" s="8">
        <f>_xlfn.XLOOKUP(CustomerCombined[[#This Row],[ID]], Table2[ID],Table2[Pilot], "Not Found", 0 )</f>
        <v>0</v>
      </c>
      <c r="Y1258" s="8">
        <f>_xlfn.XLOOKUP(CustomerCombined[[#This Row],[ID]], Table2[ID],Table2[MC1], "Not Found", 0 )</f>
        <v>0</v>
      </c>
      <c r="Z1258" s="8">
        <f>_xlfn.XLOOKUP(CustomerCombined[[#This Row],[ID]], Table2[ID],Table2[MC2], "Not Found", 0 )</f>
        <v>0</v>
      </c>
      <c r="AA1258" s="8">
        <f>_xlfn.XLOOKUP(CustomerCombined[[#This Row],[ID]], Table2[ID],Table2[MC3], "Not Found", 0 )</f>
        <v>0</v>
      </c>
      <c r="AB1258" s="8">
        <f>_xlfn.XLOOKUP(CustomerCombined[[#This Row],[ID]], Table2[ID],Table2[MC4], "Not Found", 0 )</f>
        <v>0</v>
      </c>
      <c r="AC1258" s="8">
        <f>_xlfn.XLOOKUP(CustomerCombined[[#This Row],[ID]], Table2[ID],Table2[MC5], "Not Found", 0 )</f>
        <v>0</v>
      </c>
    </row>
    <row r="1259" spans="1:29" x14ac:dyDescent="0.3">
      <c r="A1259" s="6">
        <v>2731</v>
      </c>
      <c r="B1259" s="6">
        <v>141120</v>
      </c>
      <c r="C1259" s="6">
        <v>1</v>
      </c>
      <c r="D1259" s="6">
        <v>1</v>
      </c>
      <c r="E1259" s="6">
        <v>52</v>
      </c>
      <c r="F1259" s="5" t="s">
        <v>6</v>
      </c>
      <c r="G1259" s="5" t="s">
        <v>11</v>
      </c>
      <c r="H1259" s="3">
        <v>44169</v>
      </c>
      <c r="I1259" s="5" t="s">
        <v>437</v>
      </c>
      <c r="J1259" s="5">
        <f>_xlfn.XLOOKUP(CustomerCombined[[#This Row],[ID]], Table4[ID], Table4[Recency], "Not Found", 0)</f>
        <v>80</v>
      </c>
      <c r="K1259" s="5">
        <f>_xlfn.XLOOKUP(CustomerCombined[[#This Row],[ID]], Table4[ID], Table4[Teas], "Not Found", 0)</f>
        <v>82</v>
      </c>
      <c r="L1259" s="5">
        <f>_xlfn.XLOOKUP(CustomerCombined[[#This Row],[ID]], Table4[ID], Table4[Fruits], "Not Found", 0)</f>
        <v>7</v>
      </c>
      <c r="M1259" s="5">
        <f>_xlfn.XLOOKUP(CustomerCombined[[#This Row],[ID]], Table4[ID], Table4[Meats], "Not Found", 0)</f>
        <v>79</v>
      </c>
      <c r="N1259" s="5">
        <f>_xlfn.XLOOKUP(CustomerCombined[[#This Row],[ID]], Table4[ID], Table4[Seafood], "Not Found", 0)</f>
        <v>0</v>
      </c>
      <c r="O1259" s="5">
        <f>_xlfn.XLOOKUP(CustomerCombined[[#This Row],[ID]], Table4[ID], Table4[Sweets], "Not Found", 0)</f>
        <v>27</v>
      </c>
      <c r="P1259" s="5">
        <f>_xlfn.XLOOKUP(CustomerCombined[[#This Row],[ID]], Table4[ID], Table4[Premium], "Not Found", 0)</f>
        <v>82</v>
      </c>
      <c r="Q1259" s="5">
        <f>_xlfn.XLOOKUP(CustomerCombined[[#This Row],[ID]], Table4[ID], Table4[Regular], "Not Found", 0)</f>
        <v>113</v>
      </c>
      <c r="R1259" s="5">
        <f>_xlfn.XLOOKUP(CustomerCombined[[#This Row],[ID]], Table4[ID], Table4[Deals], "Not Found", 0)</f>
        <v>3</v>
      </c>
      <c r="S1259" s="5">
        <f>_xlfn.XLOOKUP(CustomerCombined[[#This Row],[ID]], Table4[ID], Table4[Website], "Not Found", 0)</f>
        <v>2</v>
      </c>
      <c r="T1259" s="5">
        <f>_xlfn.XLOOKUP(CustomerCombined[[#This Row],[ID]], Table4[ID], Table4[Catalog], "Not Found", 0)</f>
        <v>1</v>
      </c>
      <c r="U1259" s="5">
        <f>_xlfn.XLOOKUP(CustomerCombined[[#This Row],[ID]], Table4[ID], Table4[Store], "Not Found", 0)</f>
        <v>3</v>
      </c>
      <c r="V1259" s="5">
        <f>_xlfn.XLOOKUP(CustomerCombined[[#This Row],[ID]], Table4[ID], Table4[Visits], "Not Found", 0)</f>
        <v>6</v>
      </c>
      <c r="W1259" s="8">
        <f>_xlfn.XLOOKUP(CustomerCombined[[#This Row],[ID]], Table2[ID],Table2[Complaint], "Not Found", 0 )</f>
        <v>0</v>
      </c>
      <c r="X1259" s="8">
        <f>_xlfn.XLOOKUP(CustomerCombined[[#This Row],[ID]], Table2[ID],Table2[Pilot], "Not Found", 0 )</f>
        <v>0</v>
      </c>
      <c r="Y1259" s="8">
        <f>_xlfn.XLOOKUP(CustomerCombined[[#This Row],[ID]], Table2[ID],Table2[MC1], "Not Found", 0 )</f>
        <v>0</v>
      </c>
      <c r="Z1259" s="8">
        <f>_xlfn.XLOOKUP(CustomerCombined[[#This Row],[ID]], Table2[ID],Table2[MC2], "Not Found", 0 )</f>
        <v>0</v>
      </c>
      <c r="AA1259" s="8">
        <f>_xlfn.XLOOKUP(CustomerCombined[[#This Row],[ID]], Table2[ID],Table2[MC3], "Not Found", 0 )</f>
        <v>0</v>
      </c>
      <c r="AB1259" s="8">
        <f>_xlfn.XLOOKUP(CustomerCombined[[#This Row],[ID]], Table2[ID],Table2[MC4], "Not Found", 0 )</f>
        <v>0</v>
      </c>
      <c r="AC1259" s="8">
        <f>_xlfn.XLOOKUP(CustomerCombined[[#This Row],[ID]], Table2[ID],Table2[MC5], "Not Found", 0 )</f>
        <v>0</v>
      </c>
    </row>
    <row r="1260" spans="1:29" x14ac:dyDescent="0.3">
      <c r="A1260" s="6">
        <v>1952</v>
      </c>
      <c r="B1260" s="6">
        <v>140706</v>
      </c>
      <c r="C1260" s="6">
        <v>2</v>
      </c>
      <c r="D1260" s="6">
        <v>1</v>
      </c>
      <c r="E1260" s="6">
        <v>52</v>
      </c>
      <c r="F1260" s="5" t="s">
        <v>8</v>
      </c>
      <c r="G1260" s="5" t="s">
        <v>13</v>
      </c>
      <c r="H1260" s="3" t="s">
        <v>323</v>
      </c>
      <c r="I1260" s="5" t="s">
        <v>438</v>
      </c>
      <c r="J1260" s="5">
        <f>_xlfn.XLOOKUP(CustomerCombined[[#This Row],[ID]], Table4[ID], Table4[Recency], "Not Found", 0)</f>
        <v>37</v>
      </c>
      <c r="K1260" s="5">
        <f>_xlfn.XLOOKUP(CustomerCombined[[#This Row],[ID]], Table4[ID], Table4[Teas], "Not Found", 0)</f>
        <v>204</v>
      </c>
      <c r="L1260" s="5">
        <f>_xlfn.XLOOKUP(CustomerCombined[[#This Row],[ID]], Table4[ID], Table4[Fruits], "Not Found", 0)</f>
        <v>0</v>
      </c>
      <c r="M1260" s="5">
        <f>_xlfn.XLOOKUP(CustomerCombined[[#This Row],[ID]], Table4[ID], Table4[Meats], "Not Found", 0)</f>
        <v>38</v>
      </c>
      <c r="N1260" s="5">
        <f>_xlfn.XLOOKUP(CustomerCombined[[#This Row],[ID]], Table4[ID], Table4[Seafood], "Not Found", 0)</f>
        <v>14</v>
      </c>
      <c r="O1260" s="5">
        <f>_xlfn.XLOOKUP(CustomerCombined[[#This Row],[ID]], Table4[ID], Table4[Sweets], "Not Found", 0)</f>
        <v>7</v>
      </c>
      <c r="P1260" s="5">
        <f>_xlfn.XLOOKUP(CustomerCombined[[#This Row],[ID]], Table4[ID], Table4[Premium], "Not Found", 0)</f>
        <v>17</v>
      </c>
      <c r="Q1260" s="5">
        <f>_xlfn.XLOOKUP(CustomerCombined[[#This Row],[ID]], Table4[ID], Table4[Regular], "Not Found", 0)</f>
        <v>245</v>
      </c>
      <c r="R1260" s="5">
        <f>_xlfn.XLOOKUP(CustomerCombined[[#This Row],[ID]], Table4[ID], Table4[Deals], "Not Found", 0)</f>
        <v>4</v>
      </c>
      <c r="S1260" s="5">
        <f>_xlfn.XLOOKUP(CustomerCombined[[#This Row],[ID]], Table4[ID], Table4[Website], "Not Found", 0)</f>
        <v>3</v>
      </c>
      <c r="T1260" s="5">
        <f>_xlfn.XLOOKUP(CustomerCombined[[#This Row],[ID]], Table4[ID], Table4[Catalog], "Not Found", 0)</f>
        <v>0</v>
      </c>
      <c r="U1260" s="5">
        <f>_xlfn.XLOOKUP(CustomerCombined[[#This Row],[ID]], Table4[ID], Table4[Store], "Not Found", 0)</f>
        <v>4</v>
      </c>
      <c r="V1260" s="5">
        <f>_xlfn.XLOOKUP(CustomerCombined[[#This Row],[ID]], Table4[ID], Table4[Visits], "Not Found", 0)</f>
        <v>7</v>
      </c>
      <c r="W1260" s="8">
        <f>_xlfn.XLOOKUP(CustomerCombined[[#This Row],[ID]], Table2[ID],Table2[Complaint], "Not Found", 0 )</f>
        <v>0</v>
      </c>
      <c r="X1260" s="8">
        <f>_xlfn.XLOOKUP(CustomerCombined[[#This Row],[ID]], Table2[ID],Table2[Pilot], "Not Found", 0 )</f>
        <v>0</v>
      </c>
      <c r="Y1260" s="8">
        <f>_xlfn.XLOOKUP(CustomerCombined[[#This Row],[ID]], Table2[ID],Table2[MC1], "Not Found", 0 )</f>
        <v>0</v>
      </c>
      <c r="Z1260" s="8">
        <f>_xlfn.XLOOKUP(CustomerCombined[[#This Row],[ID]], Table2[ID],Table2[MC2], "Not Found", 0 )</f>
        <v>0</v>
      </c>
      <c r="AA1260" s="8">
        <f>_xlfn.XLOOKUP(CustomerCombined[[#This Row],[ID]], Table2[ID],Table2[MC3], "Not Found", 0 )</f>
        <v>0</v>
      </c>
      <c r="AB1260" s="8">
        <f>_xlfn.XLOOKUP(CustomerCombined[[#This Row],[ID]], Table2[ID],Table2[MC4], "Not Found", 0 )</f>
        <v>0</v>
      </c>
      <c r="AC1260" s="8">
        <f>_xlfn.XLOOKUP(CustomerCombined[[#This Row],[ID]], Table2[ID],Table2[MC5], "Not Found", 0 )</f>
        <v>0</v>
      </c>
    </row>
    <row r="1261" spans="1:29" x14ac:dyDescent="0.3">
      <c r="A1261" s="6">
        <v>2228</v>
      </c>
      <c r="B1261" s="6">
        <v>140521</v>
      </c>
      <c r="C1261" s="6">
        <v>1</v>
      </c>
      <c r="D1261" s="6">
        <v>1</v>
      </c>
      <c r="E1261" s="6">
        <v>52</v>
      </c>
      <c r="F1261" s="5" t="s">
        <v>8</v>
      </c>
      <c r="G1261" s="5" t="s">
        <v>11</v>
      </c>
      <c r="H1261" s="3">
        <v>43747</v>
      </c>
      <c r="I1261" s="5" t="s">
        <v>438</v>
      </c>
      <c r="J1261" s="5">
        <f>_xlfn.XLOOKUP(CustomerCombined[[#This Row],[ID]], Table4[ID], Table4[Recency], "Not Found", 0)</f>
        <v>82</v>
      </c>
      <c r="K1261" s="5">
        <f>_xlfn.XLOOKUP(CustomerCombined[[#This Row],[ID]], Table4[ID], Table4[Teas], "Not Found", 0)</f>
        <v>42</v>
      </c>
      <c r="L1261" s="5">
        <f>_xlfn.XLOOKUP(CustomerCombined[[#This Row],[ID]], Table4[ID], Table4[Fruits], "Not Found", 0)</f>
        <v>0</v>
      </c>
      <c r="M1261" s="5">
        <f>_xlfn.XLOOKUP(CustomerCombined[[#This Row],[ID]], Table4[ID], Table4[Meats], "Not Found", 0)</f>
        <v>17</v>
      </c>
      <c r="N1261" s="5">
        <f>_xlfn.XLOOKUP(CustomerCombined[[#This Row],[ID]], Table4[ID], Table4[Seafood], "Not Found", 0)</f>
        <v>0</v>
      </c>
      <c r="O1261" s="5">
        <f>_xlfn.XLOOKUP(CustomerCombined[[#This Row],[ID]], Table4[ID], Table4[Sweets], "Not Found", 0)</f>
        <v>0</v>
      </c>
      <c r="P1261" s="5">
        <f>_xlfn.XLOOKUP(CustomerCombined[[#This Row],[ID]], Table4[ID], Table4[Premium], "Not Found", 0)</f>
        <v>14</v>
      </c>
      <c r="Q1261" s="5">
        <f>_xlfn.XLOOKUP(CustomerCombined[[#This Row],[ID]], Table4[ID], Table4[Regular], "Not Found", 0)</f>
        <v>45</v>
      </c>
      <c r="R1261" s="5">
        <f>_xlfn.XLOOKUP(CustomerCombined[[#This Row],[ID]], Table4[ID], Table4[Deals], "Not Found", 0)</f>
        <v>1</v>
      </c>
      <c r="S1261" s="5">
        <f>_xlfn.XLOOKUP(CustomerCombined[[#This Row],[ID]], Table4[ID], Table4[Website], "Not Found", 0)</f>
        <v>0</v>
      </c>
      <c r="T1261" s="5">
        <f>_xlfn.XLOOKUP(CustomerCombined[[#This Row],[ID]], Table4[ID], Table4[Catalog], "Not Found", 0)</f>
        <v>1</v>
      </c>
      <c r="U1261" s="5">
        <f>_xlfn.XLOOKUP(CustomerCombined[[#This Row],[ID]], Table4[ID], Table4[Store], "Not Found", 0)</f>
        <v>2</v>
      </c>
      <c r="V1261" s="5">
        <f>_xlfn.XLOOKUP(CustomerCombined[[#This Row],[ID]], Table4[ID], Table4[Visits], "Not Found", 0)</f>
        <v>5</v>
      </c>
      <c r="W1261" s="8">
        <f>_xlfn.XLOOKUP(CustomerCombined[[#This Row],[ID]], Table2[ID],Table2[Complaint], "Not Found", 0 )</f>
        <v>0</v>
      </c>
      <c r="X1261" s="8">
        <f>_xlfn.XLOOKUP(CustomerCombined[[#This Row],[ID]], Table2[ID],Table2[Pilot], "Not Found", 0 )</f>
        <v>0</v>
      </c>
      <c r="Y1261" s="8">
        <f>_xlfn.XLOOKUP(CustomerCombined[[#This Row],[ID]], Table2[ID],Table2[MC1], "Not Found", 0 )</f>
        <v>0</v>
      </c>
      <c r="Z1261" s="8">
        <f>_xlfn.XLOOKUP(CustomerCombined[[#This Row],[ID]], Table2[ID],Table2[MC2], "Not Found", 0 )</f>
        <v>0</v>
      </c>
      <c r="AA1261" s="8">
        <f>_xlfn.XLOOKUP(CustomerCombined[[#This Row],[ID]], Table2[ID],Table2[MC3], "Not Found", 0 )</f>
        <v>0</v>
      </c>
      <c r="AB1261" s="8">
        <f>_xlfn.XLOOKUP(CustomerCombined[[#This Row],[ID]], Table2[ID],Table2[MC4], "Not Found", 0 )</f>
        <v>0</v>
      </c>
      <c r="AC1261" s="8">
        <f>_xlfn.XLOOKUP(CustomerCombined[[#This Row],[ID]], Table2[ID],Table2[MC5], "Not Found", 0 )</f>
        <v>0</v>
      </c>
    </row>
    <row r="1262" spans="1:29" x14ac:dyDescent="0.3">
      <c r="A1262" s="6">
        <v>1555</v>
      </c>
      <c r="B1262" s="6">
        <v>138443</v>
      </c>
      <c r="C1262" s="6">
        <v>1</v>
      </c>
      <c r="D1262" s="6">
        <v>1</v>
      </c>
      <c r="E1262" s="6">
        <v>52</v>
      </c>
      <c r="F1262" s="5" t="s">
        <v>6</v>
      </c>
      <c r="G1262" s="5" t="s">
        <v>13</v>
      </c>
      <c r="H1262" s="3">
        <v>43897</v>
      </c>
      <c r="I1262" s="5" t="s">
        <v>437</v>
      </c>
      <c r="J1262" s="5">
        <f>_xlfn.XLOOKUP(CustomerCombined[[#This Row],[ID]], Table4[ID], Table4[Recency], "Not Found", 0)</f>
        <v>58</v>
      </c>
      <c r="K1262" s="5">
        <f>_xlfn.XLOOKUP(CustomerCombined[[#This Row],[ID]], Table4[ID], Table4[Teas], "Not Found", 0)</f>
        <v>115</v>
      </c>
      <c r="L1262" s="5">
        <f>_xlfn.XLOOKUP(CustomerCombined[[#This Row],[ID]], Table4[ID], Table4[Fruits], "Not Found", 0)</f>
        <v>0</v>
      </c>
      <c r="M1262" s="5">
        <f>_xlfn.XLOOKUP(CustomerCombined[[#This Row],[ID]], Table4[ID], Table4[Meats], "Not Found", 0)</f>
        <v>18</v>
      </c>
      <c r="N1262" s="5">
        <f>_xlfn.XLOOKUP(CustomerCombined[[#This Row],[ID]], Table4[ID], Table4[Seafood], "Not Found", 0)</f>
        <v>0</v>
      </c>
      <c r="O1262" s="5">
        <f>_xlfn.XLOOKUP(CustomerCombined[[#This Row],[ID]], Table4[ID], Table4[Sweets], "Not Found", 0)</f>
        <v>0</v>
      </c>
      <c r="P1262" s="5">
        <f>_xlfn.XLOOKUP(CustomerCombined[[#This Row],[ID]], Table4[ID], Table4[Premium], "Not Found", 0)</f>
        <v>4</v>
      </c>
      <c r="Q1262" s="5">
        <f>_xlfn.XLOOKUP(CustomerCombined[[#This Row],[ID]], Table4[ID], Table4[Regular], "Not Found", 0)</f>
        <v>130</v>
      </c>
      <c r="R1262" s="5">
        <f>_xlfn.XLOOKUP(CustomerCombined[[#This Row],[ID]], Table4[ID], Table4[Deals], "Not Found", 0)</f>
        <v>2</v>
      </c>
      <c r="S1262" s="5">
        <f>_xlfn.XLOOKUP(CustomerCombined[[#This Row],[ID]], Table4[ID], Table4[Website], "Not Found", 0)</f>
        <v>1</v>
      </c>
      <c r="T1262" s="5">
        <f>_xlfn.XLOOKUP(CustomerCombined[[#This Row],[ID]], Table4[ID], Table4[Catalog], "Not Found", 0)</f>
        <v>0</v>
      </c>
      <c r="U1262" s="5">
        <f>_xlfn.XLOOKUP(CustomerCombined[[#This Row],[ID]], Table4[ID], Table4[Store], "Not Found", 0)</f>
        <v>3</v>
      </c>
      <c r="V1262" s="5">
        <f>_xlfn.XLOOKUP(CustomerCombined[[#This Row],[ID]], Table4[ID], Table4[Visits], "Not Found", 0)</f>
        <v>7</v>
      </c>
      <c r="W1262" s="8">
        <f>_xlfn.XLOOKUP(CustomerCombined[[#This Row],[ID]], Table2[ID],Table2[Complaint], "Not Found", 0 )</f>
        <v>0</v>
      </c>
      <c r="X1262" s="8">
        <f>_xlfn.XLOOKUP(CustomerCombined[[#This Row],[ID]], Table2[ID],Table2[Pilot], "Not Found", 0 )</f>
        <v>0</v>
      </c>
      <c r="Y1262" s="8">
        <f>_xlfn.XLOOKUP(CustomerCombined[[#This Row],[ID]], Table2[ID],Table2[MC1], "Not Found", 0 )</f>
        <v>0</v>
      </c>
      <c r="Z1262" s="8">
        <f>_xlfn.XLOOKUP(CustomerCombined[[#This Row],[ID]], Table2[ID],Table2[MC2], "Not Found", 0 )</f>
        <v>0</v>
      </c>
      <c r="AA1262" s="8">
        <f>_xlfn.XLOOKUP(CustomerCombined[[#This Row],[ID]], Table2[ID],Table2[MC3], "Not Found", 0 )</f>
        <v>0</v>
      </c>
      <c r="AB1262" s="8">
        <f>_xlfn.XLOOKUP(CustomerCombined[[#This Row],[ID]], Table2[ID],Table2[MC4], "Not Found", 0 )</f>
        <v>0</v>
      </c>
      <c r="AC1262" s="8">
        <f>_xlfn.XLOOKUP(CustomerCombined[[#This Row],[ID]], Table2[ID],Table2[MC5], "Not Found", 0 )</f>
        <v>0</v>
      </c>
    </row>
    <row r="1263" spans="1:29" x14ac:dyDescent="0.3">
      <c r="A1263" s="6">
        <v>2952</v>
      </c>
      <c r="B1263" s="6">
        <v>138236</v>
      </c>
      <c r="C1263" s="6">
        <v>1</v>
      </c>
      <c r="D1263" s="6">
        <v>1</v>
      </c>
      <c r="E1263" s="6">
        <v>52</v>
      </c>
      <c r="F1263" s="5" t="s">
        <v>7</v>
      </c>
      <c r="G1263" s="5" t="s">
        <v>13</v>
      </c>
      <c r="H1263" s="3" t="s">
        <v>179</v>
      </c>
      <c r="I1263" s="5" t="s">
        <v>436</v>
      </c>
      <c r="J1263" s="5">
        <f>_xlfn.XLOOKUP(CustomerCombined[[#This Row],[ID]], Table4[ID], Table4[Recency], "Not Found", 0)</f>
        <v>2</v>
      </c>
      <c r="K1263" s="5">
        <f>_xlfn.XLOOKUP(CustomerCombined[[#This Row],[ID]], Table4[ID], Table4[Teas], "Not Found", 0)</f>
        <v>210</v>
      </c>
      <c r="L1263" s="5">
        <f>_xlfn.XLOOKUP(CustomerCombined[[#This Row],[ID]], Table4[ID], Table4[Fruits], "Not Found", 0)</f>
        <v>0</v>
      </c>
      <c r="M1263" s="5">
        <f>_xlfn.XLOOKUP(CustomerCombined[[#This Row],[ID]], Table4[ID], Table4[Meats], "Not Found", 0)</f>
        <v>65</v>
      </c>
      <c r="N1263" s="5">
        <f>_xlfn.XLOOKUP(CustomerCombined[[#This Row],[ID]], Table4[ID], Table4[Seafood], "Not Found", 0)</f>
        <v>7</v>
      </c>
      <c r="O1263" s="5">
        <f>_xlfn.XLOOKUP(CustomerCombined[[#This Row],[ID]], Table4[ID], Table4[Sweets], "Not Found", 0)</f>
        <v>0</v>
      </c>
      <c r="P1263" s="5">
        <f>_xlfn.XLOOKUP(CustomerCombined[[#This Row],[ID]], Table4[ID], Table4[Premium], "Not Found", 0)</f>
        <v>36</v>
      </c>
      <c r="Q1263" s="5">
        <f>_xlfn.XLOOKUP(CustomerCombined[[#This Row],[ID]], Table4[ID], Table4[Regular], "Not Found", 0)</f>
        <v>246</v>
      </c>
      <c r="R1263" s="5">
        <f>_xlfn.XLOOKUP(CustomerCombined[[#This Row],[ID]], Table4[ID], Table4[Deals], "Not Found", 0)</f>
        <v>4</v>
      </c>
      <c r="S1263" s="5">
        <f>_xlfn.XLOOKUP(CustomerCombined[[#This Row],[ID]], Table4[ID], Table4[Website], "Not Found", 0)</f>
        <v>3</v>
      </c>
      <c r="T1263" s="5">
        <f>_xlfn.XLOOKUP(CustomerCombined[[#This Row],[ID]], Table4[ID], Table4[Catalog], "Not Found", 0)</f>
        <v>0</v>
      </c>
      <c r="U1263" s="5">
        <f>_xlfn.XLOOKUP(CustomerCombined[[#This Row],[ID]], Table4[ID], Table4[Store], "Not Found", 0)</f>
        <v>4</v>
      </c>
      <c r="V1263" s="5">
        <f>_xlfn.XLOOKUP(CustomerCombined[[#This Row],[ID]], Table4[ID], Table4[Visits], "Not Found", 0)</f>
        <v>7</v>
      </c>
      <c r="W1263" s="8">
        <f>_xlfn.XLOOKUP(CustomerCombined[[#This Row],[ID]], Table2[ID],Table2[Complaint], "Not Found", 0 )</f>
        <v>0</v>
      </c>
      <c r="X1263" s="8">
        <f>_xlfn.XLOOKUP(CustomerCombined[[#This Row],[ID]], Table2[ID],Table2[Pilot], "Not Found", 0 )</f>
        <v>0</v>
      </c>
      <c r="Y1263" s="8">
        <f>_xlfn.XLOOKUP(CustomerCombined[[#This Row],[ID]], Table2[ID],Table2[MC1], "Not Found", 0 )</f>
        <v>0</v>
      </c>
      <c r="Z1263" s="8">
        <f>_xlfn.XLOOKUP(CustomerCombined[[#This Row],[ID]], Table2[ID],Table2[MC2], "Not Found", 0 )</f>
        <v>0</v>
      </c>
      <c r="AA1263" s="8">
        <f>_xlfn.XLOOKUP(CustomerCombined[[#This Row],[ID]], Table2[ID],Table2[MC3], "Not Found", 0 )</f>
        <v>0</v>
      </c>
      <c r="AB1263" s="8">
        <f>_xlfn.XLOOKUP(CustomerCombined[[#This Row],[ID]], Table2[ID],Table2[MC4], "Not Found", 0 )</f>
        <v>0</v>
      </c>
      <c r="AC1263" s="8">
        <f>_xlfn.XLOOKUP(CustomerCombined[[#This Row],[ID]], Table2[ID],Table2[MC5], "Not Found", 0 )</f>
        <v>0</v>
      </c>
    </row>
    <row r="1264" spans="1:29" x14ac:dyDescent="0.3">
      <c r="A1264" s="6">
        <v>3110</v>
      </c>
      <c r="B1264" s="6">
        <v>136997</v>
      </c>
      <c r="C1264" s="6">
        <v>1</v>
      </c>
      <c r="D1264" s="6">
        <v>1</v>
      </c>
      <c r="E1264" s="6">
        <v>52</v>
      </c>
      <c r="F1264" s="5" t="s">
        <v>5</v>
      </c>
      <c r="G1264" s="5" t="s">
        <v>11</v>
      </c>
      <c r="H1264" s="3">
        <v>43715</v>
      </c>
      <c r="I1264" s="5" t="s">
        <v>438</v>
      </c>
      <c r="J1264" s="5">
        <f>_xlfn.XLOOKUP(CustomerCombined[[#This Row],[ID]], Table4[ID], Table4[Recency], "Not Found", 0)</f>
        <v>72</v>
      </c>
      <c r="K1264" s="5">
        <f>_xlfn.XLOOKUP(CustomerCombined[[#This Row],[ID]], Table4[ID], Table4[Teas], "Not Found", 0)</f>
        <v>159</v>
      </c>
      <c r="L1264" s="5">
        <f>_xlfn.XLOOKUP(CustomerCombined[[#This Row],[ID]], Table4[ID], Table4[Fruits], "Not Found", 0)</f>
        <v>15</v>
      </c>
      <c r="M1264" s="5">
        <f>_xlfn.XLOOKUP(CustomerCombined[[#This Row],[ID]], Table4[ID], Table4[Meats], "Not Found", 0)</f>
        <v>44</v>
      </c>
      <c r="N1264" s="5">
        <f>_xlfn.XLOOKUP(CustomerCombined[[#This Row],[ID]], Table4[ID], Table4[Seafood], "Not Found", 0)</f>
        <v>30</v>
      </c>
      <c r="O1264" s="5">
        <f>_xlfn.XLOOKUP(CustomerCombined[[#This Row],[ID]], Table4[ID], Table4[Sweets], "Not Found", 0)</f>
        <v>0</v>
      </c>
      <c r="P1264" s="5">
        <f>_xlfn.XLOOKUP(CustomerCombined[[#This Row],[ID]], Table4[ID], Table4[Premium], "Not Found", 0)</f>
        <v>100</v>
      </c>
      <c r="Q1264" s="5">
        <f>_xlfn.XLOOKUP(CustomerCombined[[#This Row],[ID]], Table4[ID], Table4[Regular], "Not Found", 0)</f>
        <v>148</v>
      </c>
      <c r="R1264" s="5">
        <f>_xlfn.XLOOKUP(CustomerCombined[[#This Row],[ID]], Table4[ID], Table4[Deals], "Not Found", 0)</f>
        <v>5</v>
      </c>
      <c r="S1264" s="5">
        <f>_xlfn.XLOOKUP(CustomerCombined[[#This Row],[ID]], Table4[ID], Table4[Website], "Not Found", 0)</f>
        <v>2</v>
      </c>
      <c r="T1264" s="5">
        <f>_xlfn.XLOOKUP(CustomerCombined[[#This Row],[ID]], Table4[ID], Table4[Catalog], "Not Found", 0)</f>
        <v>1</v>
      </c>
      <c r="U1264" s="5">
        <f>_xlfn.XLOOKUP(CustomerCombined[[#This Row],[ID]], Table4[ID], Table4[Store], "Not Found", 0)</f>
        <v>4</v>
      </c>
      <c r="V1264" s="5">
        <f>_xlfn.XLOOKUP(CustomerCombined[[#This Row],[ID]], Table4[ID], Table4[Visits], "Not Found", 0)</f>
        <v>5</v>
      </c>
      <c r="W1264" s="8">
        <f>_xlfn.XLOOKUP(CustomerCombined[[#This Row],[ID]], Table2[ID],Table2[Complaint], "Not Found", 0 )</f>
        <v>0</v>
      </c>
      <c r="X1264" s="8">
        <f>_xlfn.XLOOKUP(CustomerCombined[[#This Row],[ID]], Table2[ID],Table2[Pilot], "Not Found", 0 )</f>
        <v>0</v>
      </c>
      <c r="Y1264" s="8">
        <f>_xlfn.XLOOKUP(CustomerCombined[[#This Row],[ID]], Table2[ID],Table2[MC1], "Not Found", 0 )</f>
        <v>0</v>
      </c>
      <c r="Z1264" s="8">
        <f>_xlfn.XLOOKUP(CustomerCombined[[#This Row],[ID]], Table2[ID],Table2[MC2], "Not Found", 0 )</f>
        <v>0</v>
      </c>
      <c r="AA1264" s="8">
        <f>_xlfn.XLOOKUP(CustomerCombined[[#This Row],[ID]], Table2[ID],Table2[MC3], "Not Found", 0 )</f>
        <v>0</v>
      </c>
      <c r="AB1264" s="8">
        <f>_xlfn.XLOOKUP(CustomerCombined[[#This Row],[ID]], Table2[ID],Table2[MC4], "Not Found", 0 )</f>
        <v>0</v>
      </c>
      <c r="AC1264" s="8">
        <f>_xlfn.XLOOKUP(CustomerCombined[[#This Row],[ID]], Table2[ID],Table2[MC5], "Not Found", 0 )</f>
        <v>0</v>
      </c>
    </row>
    <row r="1265" spans="1:29" x14ac:dyDescent="0.3">
      <c r="A1265" s="6">
        <v>2117</v>
      </c>
      <c r="B1265" s="6">
        <v>136778</v>
      </c>
      <c r="C1265" s="6">
        <v>1</v>
      </c>
      <c r="D1265" s="6">
        <v>1</v>
      </c>
      <c r="E1265" s="6">
        <v>52</v>
      </c>
      <c r="F1265" s="5" t="s">
        <v>6</v>
      </c>
      <c r="G1265" s="5" t="s">
        <v>13</v>
      </c>
      <c r="H1265" s="3">
        <v>43739</v>
      </c>
      <c r="I1265" s="5" t="s">
        <v>434</v>
      </c>
      <c r="J1265" s="5">
        <f>_xlfn.XLOOKUP(CustomerCombined[[#This Row],[ID]], Table4[ID], Table4[Recency], "Not Found", 0)</f>
        <v>63</v>
      </c>
      <c r="K1265" s="5">
        <f>_xlfn.XLOOKUP(CustomerCombined[[#This Row],[ID]], Table4[ID], Table4[Teas], "Not Found", 0)</f>
        <v>108</v>
      </c>
      <c r="L1265" s="5">
        <f>_xlfn.XLOOKUP(CustomerCombined[[#This Row],[ID]], Table4[ID], Table4[Fruits], "Not Found", 0)</f>
        <v>15</v>
      </c>
      <c r="M1265" s="5">
        <f>_xlfn.XLOOKUP(CustomerCombined[[#This Row],[ID]], Table4[ID], Table4[Meats], "Not Found", 0)</f>
        <v>126</v>
      </c>
      <c r="N1265" s="5">
        <f>_xlfn.XLOOKUP(CustomerCombined[[#This Row],[ID]], Table4[ID], Table4[Seafood], "Not Found", 0)</f>
        <v>7</v>
      </c>
      <c r="O1265" s="5">
        <f>_xlfn.XLOOKUP(CustomerCombined[[#This Row],[ID]], Table4[ID], Table4[Sweets], "Not Found", 0)</f>
        <v>15</v>
      </c>
      <c r="P1265" s="5">
        <f>_xlfn.XLOOKUP(CustomerCombined[[#This Row],[ID]], Table4[ID], Table4[Premium], "Not Found", 0)</f>
        <v>15</v>
      </c>
      <c r="Q1265" s="5">
        <f>_xlfn.XLOOKUP(CustomerCombined[[#This Row],[ID]], Table4[ID], Table4[Regular], "Not Found", 0)</f>
        <v>257</v>
      </c>
      <c r="R1265" s="5">
        <f>_xlfn.XLOOKUP(CustomerCombined[[#This Row],[ID]], Table4[ID], Table4[Deals], "Not Found", 0)</f>
        <v>3</v>
      </c>
      <c r="S1265" s="5">
        <f>_xlfn.XLOOKUP(CustomerCombined[[#This Row],[ID]], Table4[ID], Table4[Website], "Not Found", 0)</f>
        <v>3</v>
      </c>
      <c r="T1265" s="5">
        <f>_xlfn.XLOOKUP(CustomerCombined[[#This Row],[ID]], Table4[ID], Table4[Catalog], "Not Found", 0)</f>
        <v>0</v>
      </c>
      <c r="U1265" s="5">
        <f>_xlfn.XLOOKUP(CustomerCombined[[#This Row],[ID]], Table4[ID], Table4[Store], "Not Found", 0)</f>
        <v>3</v>
      </c>
      <c r="V1265" s="5">
        <f>_xlfn.XLOOKUP(CustomerCombined[[#This Row],[ID]], Table4[ID], Table4[Visits], "Not Found", 0)</f>
        <v>9</v>
      </c>
      <c r="W1265" s="8">
        <f>_xlfn.XLOOKUP(CustomerCombined[[#This Row],[ID]], Table2[ID],Table2[Complaint], "Not Found", 0 )</f>
        <v>0</v>
      </c>
      <c r="X1265" s="8">
        <f>_xlfn.XLOOKUP(CustomerCombined[[#This Row],[ID]], Table2[ID],Table2[Pilot], "Not Found", 0 )</f>
        <v>0</v>
      </c>
      <c r="Y1265" s="8">
        <f>_xlfn.XLOOKUP(CustomerCombined[[#This Row],[ID]], Table2[ID],Table2[MC1], "Not Found", 0 )</f>
        <v>0</v>
      </c>
      <c r="Z1265" s="8">
        <f>_xlfn.XLOOKUP(CustomerCombined[[#This Row],[ID]], Table2[ID],Table2[MC2], "Not Found", 0 )</f>
        <v>0</v>
      </c>
      <c r="AA1265" s="8">
        <f>_xlfn.XLOOKUP(CustomerCombined[[#This Row],[ID]], Table2[ID],Table2[MC3], "Not Found", 0 )</f>
        <v>0</v>
      </c>
      <c r="AB1265" s="8">
        <f>_xlfn.XLOOKUP(CustomerCombined[[#This Row],[ID]], Table2[ID],Table2[MC4], "Not Found", 0 )</f>
        <v>0</v>
      </c>
      <c r="AC1265" s="8">
        <f>_xlfn.XLOOKUP(CustomerCombined[[#This Row],[ID]], Table2[ID],Table2[MC5], "Not Found", 0 )</f>
        <v>0</v>
      </c>
    </row>
    <row r="1266" spans="1:29" x14ac:dyDescent="0.3">
      <c r="A1266" s="6">
        <v>2923</v>
      </c>
      <c r="B1266" s="6">
        <v>136065</v>
      </c>
      <c r="C1266" s="6">
        <v>1</v>
      </c>
      <c r="D1266" s="6">
        <v>1</v>
      </c>
      <c r="E1266" s="6">
        <v>52</v>
      </c>
      <c r="F1266" s="5" t="s">
        <v>7</v>
      </c>
      <c r="G1266" s="5" t="s">
        <v>11</v>
      </c>
      <c r="H1266" s="3">
        <v>43594</v>
      </c>
      <c r="I1266" s="5" t="s">
        <v>437</v>
      </c>
      <c r="J1266" s="5">
        <f>_xlfn.XLOOKUP(CustomerCombined[[#This Row],[ID]], Table4[ID], Table4[Recency], "Not Found", 0)</f>
        <v>54</v>
      </c>
      <c r="K1266" s="5">
        <f>_xlfn.XLOOKUP(CustomerCombined[[#This Row],[ID]], Table4[ID], Table4[Teas], "Not Found", 0)</f>
        <v>68</v>
      </c>
      <c r="L1266" s="5">
        <f>_xlfn.XLOOKUP(CustomerCombined[[#This Row],[ID]], Table4[ID], Table4[Fruits], "Not Found", 0)</f>
        <v>26</v>
      </c>
      <c r="M1266" s="5">
        <f>_xlfn.XLOOKUP(CustomerCombined[[#This Row],[ID]], Table4[ID], Table4[Meats], "Not Found", 0)</f>
        <v>128</v>
      </c>
      <c r="N1266" s="5">
        <f>_xlfn.XLOOKUP(CustomerCombined[[#This Row],[ID]], Table4[ID], Table4[Seafood], "Not Found", 0)</f>
        <v>38</v>
      </c>
      <c r="O1266" s="5">
        <f>_xlfn.XLOOKUP(CustomerCombined[[#This Row],[ID]], Table4[ID], Table4[Sweets], "Not Found", 0)</f>
        <v>8</v>
      </c>
      <c r="P1266" s="5">
        <f>_xlfn.XLOOKUP(CustomerCombined[[#This Row],[ID]], Table4[ID], Table4[Premium], "Not Found", 0)</f>
        <v>11</v>
      </c>
      <c r="Q1266" s="5">
        <f>_xlfn.XLOOKUP(CustomerCombined[[#This Row],[ID]], Table4[ID], Table4[Regular], "Not Found", 0)</f>
        <v>257</v>
      </c>
      <c r="R1266" s="5">
        <f>_xlfn.XLOOKUP(CustomerCombined[[#This Row],[ID]], Table4[ID], Table4[Deals], "Not Found", 0)</f>
        <v>3</v>
      </c>
      <c r="S1266" s="5">
        <f>_xlfn.XLOOKUP(CustomerCombined[[#This Row],[ID]], Table4[ID], Table4[Website], "Not Found", 0)</f>
        <v>3</v>
      </c>
      <c r="T1266" s="5">
        <f>_xlfn.XLOOKUP(CustomerCombined[[#This Row],[ID]], Table4[ID], Table4[Catalog], "Not Found", 0)</f>
        <v>0</v>
      </c>
      <c r="U1266" s="5">
        <f>_xlfn.XLOOKUP(CustomerCombined[[#This Row],[ID]], Table4[ID], Table4[Store], "Not Found", 0)</f>
        <v>3</v>
      </c>
      <c r="V1266" s="5">
        <f>_xlfn.XLOOKUP(CustomerCombined[[#This Row],[ID]], Table4[ID], Table4[Visits], "Not Found", 0)</f>
        <v>8</v>
      </c>
      <c r="W1266" s="8">
        <f>_xlfn.XLOOKUP(CustomerCombined[[#This Row],[ID]], Table2[ID],Table2[Complaint], "Not Found", 0 )</f>
        <v>0</v>
      </c>
      <c r="X1266" s="8">
        <f>_xlfn.XLOOKUP(CustomerCombined[[#This Row],[ID]], Table2[ID],Table2[Pilot], "Not Found", 0 )</f>
        <v>0</v>
      </c>
      <c r="Y1266" s="8">
        <f>_xlfn.XLOOKUP(CustomerCombined[[#This Row],[ID]], Table2[ID],Table2[MC1], "Not Found", 0 )</f>
        <v>0</v>
      </c>
      <c r="Z1266" s="8">
        <f>_xlfn.XLOOKUP(CustomerCombined[[#This Row],[ID]], Table2[ID],Table2[MC2], "Not Found", 0 )</f>
        <v>0</v>
      </c>
      <c r="AA1266" s="8">
        <f>_xlfn.XLOOKUP(CustomerCombined[[#This Row],[ID]], Table2[ID],Table2[MC3], "Not Found", 0 )</f>
        <v>0</v>
      </c>
      <c r="AB1266" s="8">
        <f>_xlfn.XLOOKUP(CustomerCombined[[#This Row],[ID]], Table2[ID],Table2[MC4], "Not Found", 0 )</f>
        <v>0</v>
      </c>
      <c r="AC1266" s="8">
        <f>_xlfn.XLOOKUP(CustomerCombined[[#This Row],[ID]], Table2[ID],Table2[MC5], "Not Found", 0 )</f>
        <v>0</v>
      </c>
    </row>
    <row r="1267" spans="1:29" x14ac:dyDescent="0.3">
      <c r="A1267" s="6">
        <v>3173</v>
      </c>
      <c r="B1267" s="6">
        <v>135893</v>
      </c>
      <c r="C1267" s="6">
        <v>1</v>
      </c>
      <c r="D1267" s="6">
        <v>1</v>
      </c>
      <c r="E1267" s="6">
        <v>52</v>
      </c>
      <c r="F1267" s="5" t="s">
        <v>7</v>
      </c>
      <c r="G1267" s="5" t="s">
        <v>11</v>
      </c>
      <c r="H1267" s="3" t="s">
        <v>379</v>
      </c>
      <c r="I1267" s="5" t="s">
        <v>434</v>
      </c>
      <c r="J1267" s="5">
        <f>_xlfn.XLOOKUP(CustomerCombined[[#This Row],[ID]], Table4[ID], Table4[Recency], "Not Found", 0)</f>
        <v>80</v>
      </c>
      <c r="K1267" s="5">
        <f>_xlfn.XLOOKUP(CustomerCombined[[#This Row],[ID]], Table4[ID], Table4[Teas], "Not Found", 0)</f>
        <v>598</v>
      </c>
      <c r="L1267" s="5">
        <f>_xlfn.XLOOKUP(CustomerCombined[[#This Row],[ID]], Table4[ID], Table4[Fruits], "Not Found", 0)</f>
        <v>0</v>
      </c>
      <c r="M1267" s="5">
        <f>_xlfn.XLOOKUP(CustomerCombined[[#This Row],[ID]], Table4[ID], Table4[Meats], "Not Found", 0)</f>
        <v>87</v>
      </c>
      <c r="N1267" s="5">
        <f>_xlfn.XLOOKUP(CustomerCombined[[#This Row],[ID]], Table4[ID], Table4[Seafood], "Not Found", 0)</f>
        <v>0</v>
      </c>
      <c r="O1267" s="5">
        <f>_xlfn.XLOOKUP(CustomerCombined[[#This Row],[ID]], Table4[ID], Table4[Sweets], "Not Found", 0)</f>
        <v>0</v>
      </c>
      <c r="P1267" s="5">
        <f>_xlfn.XLOOKUP(CustomerCombined[[#This Row],[ID]], Table4[ID], Table4[Premium], "Not Found", 0)</f>
        <v>68</v>
      </c>
      <c r="Q1267" s="5">
        <f>_xlfn.XLOOKUP(CustomerCombined[[#This Row],[ID]], Table4[ID], Table4[Regular], "Not Found", 0)</f>
        <v>617</v>
      </c>
      <c r="R1267" s="5">
        <f>_xlfn.XLOOKUP(CustomerCombined[[#This Row],[ID]], Table4[ID], Table4[Deals], "Not Found", 0)</f>
        <v>6</v>
      </c>
      <c r="S1267" s="5">
        <f>_xlfn.XLOOKUP(CustomerCombined[[#This Row],[ID]], Table4[ID], Table4[Website], "Not Found", 0)</f>
        <v>3</v>
      </c>
      <c r="T1267" s="5">
        <f>_xlfn.XLOOKUP(CustomerCombined[[#This Row],[ID]], Table4[ID], Table4[Catalog], "Not Found", 0)</f>
        <v>1</v>
      </c>
      <c r="U1267" s="5">
        <f>_xlfn.XLOOKUP(CustomerCombined[[#This Row],[ID]], Table4[ID], Table4[Store], "Not Found", 0)</f>
        <v>5</v>
      </c>
      <c r="V1267" s="5">
        <f>_xlfn.XLOOKUP(CustomerCombined[[#This Row],[ID]], Table4[ID], Table4[Visits], "Not Found", 0)</f>
        <v>8</v>
      </c>
      <c r="W1267" s="8">
        <f>_xlfn.XLOOKUP(CustomerCombined[[#This Row],[ID]], Table2[ID],Table2[Complaint], "Not Found", 0 )</f>
        <v>0</v>
      </c>
      <c r="X1267" s="8">
        <f>_xlfn.XLOOKUP(CustomerCombined[[#This Row],[ID]], Table2[ID],Table2[Pilot], "Not Found", 0 )</f>
        <v>0</v>
      </c>
      <c r="Y1267" s="8">
        <f>_xlfn.XLOOKUP(CustomerCombined[[#This Row],[ID]], Table2[ID],Table2[MC1], "Not Found", 0 )</f>
        <v>0</v>
      </c>
      <c r="Z1267" s="8">
        <f>_xlfn.XLOOKUP(CustomerCombined[[#This Row],[ID]], Table2[ID],Table2[MC2], "Not Found", 0 )</f>
        <v>0</v>
      </c>
      <c r="AA1267" s="8">
        <f>_xlfn.XLOOKUP(CustomerCombined[[#This Row],[ID]], Table2[ID],Table2[MC3], "Not Found", 0 )</f>
        <v>0</v>
      </c>
      <c r="AB1267" s="8">
        <f>_xlfn.XLOOKUP(CustomerCombined[[#This Row],[ID]], Table2[ID],Table2[MC4], "Not Found", 0 )</f>
        <v>0</v>
      </c>
      <c r="AC1267" s="8">
        <f>_xlfn.XLOOKUP(CustomerCombined[[#This Row],[ID]], Table2[ID],Table2[MC5], "Not Found", 0 )</f>
        <v>0</v>
      </c>
    </row>
    <row r="1268" spans="1:29" x14ac:dyDescent="0.3">
      <c r="A1268" s="6">
        <v>2148</v>
      </c>
      <c r="B1268" s="6">
        <v>135322</v>
      </c>
      <c r="C1268" s="6">
        <v>1</v>
      </c>
      <c r="D1268" s="6">
        <v>2</v>
      </c>
      <c r="E1268" s="6">
        <v>52</v>
      </c>
      <c r="F1268" s="5" t="s">
        <v>8</v>
      </c>
      <c r="G1268" s="5" t="s">
        <v>11</v>
      </c>
      <c r="H1268" s="3" t="s">
        <v>406</v>
      </c>
      <c r="I1268" s="5" t="s">
        <v>436</v>
      </c>
      <c r="J1268" s="5">
        <f>_xlfn.XLOOKUP(CustomerCombined[[#This Row],[ID]], Table4[ID], Table4[Recency], "Not Found", 0)</f>
        <v>34</v>
      </c>
      <c r="K1268" s="5">
        <f>_xlfn.XLOOKUP(CustomerCombined[[#This Row],[ID]], Table4[ID], Table4[Teas], "Not Found", 0)</f>
        <v>107</v>
      </c>
      <c r="L1268" s="5">
        <f>_xlfn.XLOOKUP(CustomerCombined[[#This Row],[ID]], Table4[ID], Table4[Fruits], "Not Found", 0)</f>
        <v>34</v>
      </c>
      <c r="M1268" s="5">
        <f>_xlfn.XLOOKUP(CustomerCombined[[#This Row],[ID]], Table4[ID], Table4[Meats], "Not Found", 0)</f>
        <v>142</v>
      </c>
      <c r="N1268" s="5">
        <f>_xlfn.XLOOKUP(CustomerCombined[[#This Row],[ID]], Table4[ID], Table4[Seafood], "Not Found", 0)</f>
        <v>46</v>
      </c>
      <c r="O1268" s="5">
        <f>_xlfn.XLOOKUP(CustomerCombined[[#This Row],[ID]], Table4[ID], Table4[Sweets], "Not Found", 0)</f>
        <v>27</v>
      </c>
      <c r="P1268" s="5">
        <f>_xlfn.XLOOKUP(CustomerCombined[[#This Row],[ID]], Table4[ID], Table4[Premium], "Not Found", 0)</f>
        <v>50</v>
      </c>
      <c r="Q1268" s="5">
        <f>_xlfn.XLOOKUP(CustomerCombined[[#This Row],[ID]], Table4[ID], Table4[Regular], "Not Found", 0)</f>
        <v>306</v>
      </c>
      <c r="R1268" s="5">
        <f>_xlfn.XLOOKUP(CustomerCombined[[#This Row],[ID]], Table4[ID], Table4[Deals], "Not Found", 0)</f>
        <v>3</v>
      </c>
      <c r="S1268" s="5">
        <f>_xlfn.XLOOKUP(CustomerCombined[[#This Row],[ID]], Table4[ID], Table4[Website], "Not Found", 0)</f>
        <v>2</v>
      </c>
      <c r="T1268" s="5">
        <f>_xlfn.XLOOKUP(CustomerCombined[[#This Row],[ID]], Table4[ID], Table4[Catalog], "Not Found", 0)</f>
        <v>0</v>
      </c>
      <c r="U1268" s="5">
        <f>_xlfn.XLOOKUP(CustomerCombined[[#This Row],[ID]], Table4[ID], Table4[Store], "Not Found", 0)</f>
        <v>4</v>
      </c>
      <c r="V1268" s="5">
        <f>_xlfn.XLOOKUP(CustomerCombined[[#This Row],[ID]], Table4[ID], Table4[Visits], "Not Found", 0)</f>
        <v>8</v>
      </c>
      <c r="W1268" s="8">
        <f>_xlfn.XLOOKUP(CustomerCombined[[#This Row],[ID]], Table2[ID],Table2[Complaint], "Not Found", 0 )</f>
        <v>0</v>
      </c>
      <c r="X1268" s="8">
        <f>_xlfn.XLOOKUP(CustomerCombined[[#This Row],[ID]], Table2[ID],Table2[Pilot], "Not Found", 0 )</f>
        <v>0</v>
      </c>
      <c r="Y1268" s="8">
        <f>_xlfn.XLOOKUP(CustomerCombined[[#This Row],[ID]], Table2[ID],Table2[MC1], "Not Found", 0 )</f>
        <v>0</v>
      </c>
      <c r="Z1268" s="8">
        <f>_xlfn.XLOOKUP(CustomerCombined[[#This Row],[ID]], Table2[ID],Table2[MC2], "Not Found", 0 )</f>
        <v>0</v>
      </c>
      <c r="AA1268" s="8">
        <f>_xlfn.XLOOKUP(CustomerCombined[[#This Row],[ID]], Table2[ID],Table2[MC3], "Not Found", 0 )</f>
        <v>0</v>
      </c>
      <c r="AB1268" s="8">
        <f>_xlfn.XLOOKUP(CustomerCombined[[#This Row],[ID]], Table2[ID],Table2[MC4], "Not Found", 0 )</f>
        <v>0</v>
      </c>
      <c r="AC1268" s="8">
        <f>_xlfn.XLOOKUP(CustomerCombined[[#This Row],[ID]], Table2[ID],Table2[MC5], "Not Found", 0 )</f>
        <v>0</v>
      </c>
    </row>
    <row r="1269" spans="1:29" x14ac:dyDescent="0.3">
      <c r="A1269" s="6">
        <v>2636</v>
      </c>
      <c r="B1269" s="6">
        <v>134916</v>
      </c>
      <c r="C1269" s="6">
        <v>2</v>
      </c>
      <c r="D1269" s="6">
        <v>0</v>
      </c>
      <c r="E1269" s="6">
        <v>52</v>
      </c>
      <c r="F1269" s="5" t="s">
        <v>8</v>
      </c>
      <c r="G1269" s="5" t="s">
        <v>11</v>
      </c>
      <c r="H1269" s="3" t="s">
        <v>256</v>
      </c>
      <c r="I1269" s="5" t="s">
        <v>438</v>
      </c>
      <c r="J1269" s="5">
        <f>_xlfn.XLOOKUP(CustomerCombined[[#This Row],[ID]], Table4[ID], Table4[Recency], "Not Found", 0)</f>
        <v>89</v>
      </c>
      <c r="K1269" s="5">
        <f>_xlfn.XLOOKUP(CustomerCombined[[#This Row],[ID]], Table4[ID], Table4[Teas], "Not Found", 0)</f>
        <v>197</v>
      </c>
      <c r="L1269" s="5">
        <f>_xlfn.XLOOKUP(CustomerCombined[[#This Row],[ID]], Table4[ID], Table4[Fruits], "Not Found", 0)</f>
        <v>89</v>
      </c>
      <c r="M1269" s="5">
        <f>_xlfn.XLOOKUP(CustomerCombined[[#This Row],[ID]], Table4[ID], Table4[Meats], "Not Found", 0)</f>
        <v>317</v>
      </c>
      <c r="N1269" s="5">
        <f>_xlfn.XLOOKUP(CustomerCombined[[#This Row],[ID]], Table4[ID], Table4[Seafood], "Not Found", 0)</f>
        <v>128</v>
      </c>
      <c r="O1269" s="5">
        <f>_xlfn.XLOOKUP(CustomerCombined[[#This Row],[ID]], Table4[ID], Table4[Sweets], "Not Found", 0)</f>
        <v>0</v>
      </c>
      <c r="P1269" s="5">
        <f>_xlfn.XLOOKUP(CustomerCombined[[#This Row],[ID]], Table4[ID], Table4[Premium], "Not Found", 0)</f>
        <v>162</v>
      </c>
      <c r="Q1269" s="5">
        <f>_xlfn.XLOOKUP(CustomerCombined[[#This Row],[ID]], Table4[ID], Table4[Regular], "Not Found", 0)</f>
        <v>568</v>
      </c>
      <c r="R1269" s="5">
        <f>_xlfn.XLOOKUP(CustomerCombined[[#This Row],[ID]], Table4[ID], Table4[Deals], "Not Found", 0)</f>
        <v>4</v>
      </c>
      <c r="S1269" s="5">
        <f>_xlfn.XLOOKUP(CustomerCombined[[#This Row],[ID]], Table4[ID], Table4[Website], "Not Found", 0)</f>
        <v>5</v>
      </c>
      <c r="T1269" s="5">
        <f>_xlfn.XLOOKUP(CustomerCombined[[#This Row],[ID]], Table4[ID], Table4[Catalog], "Not Found", 0)</f>
        <v>1</v>
      </c>
      <c r="U1269" s="5">
        <f>_xlfn.XLOOKUP(CustomerCombined[[#This Row],[ID]], Table4[ID], Table4[Store], "Not Found", 0)</f>
        <v>3</v>
      </c>
      <c r="V1269" s="5">
        <f>_xlfn.XLOOKUP(CustomerCombined[[#This Row],[ID]], Table4[ID], Table4[Visits], "Not Found", 0)</f>
        <v>9</v>
      </c>
      <c r="W1269" s="8">
        <f>_xlfn.XLOOKUP(CustomerCombined[[#This Row],[ID]], Table2[ID],Table2[Complaint], "Not Found", 0 )</f>
        <v>0</v>
      </c>
      <c r="X1269" s="8">
        <f>_xlfn.XLOOKUP(CustomerCombined[[#This Row],[ID]], Table2[ID],Table2[Pilot], "Not Found", 0 )</f>
        <v>0</v>
      </c>
      <c r="Y1269" s="8">
        <f>_xlfn.XLOOKUP(CustomerCombined[[#This Row],[ID]], Table2[ID],Table2[MC1], "Not Found", 0 )</f>
        <v>0</v>
      </c>
      <c r="Z1269" s="8">
        <f>_xlfn.XLOOKUP(CustomerCombined[[#This Row],[ID]], Table2[ID],Table2[MC2], "Not Found", 0 )</f>
        <v>0</v>
      </c>
      <c r="AA1269" s="8">
        <f>_xlfn.XLOOKUP(CustomerCombined[[#This Row],[ID]], Table2[ID],Table2[MC3], "Not Found", 0 )</f>
        <v>0</v>
      </c>
      <c r="AB1269" s="8">
        <f>_xlfn.XLOOKUP(CustomerCombined[[#This Row],[ID]], Table2[ID],Table2[MC4], "Not Found", 0 )</f>
        <v>0</v>
      </c>
      <c r="AC1269" s="8">
        <f>_xlfn.XLOOKUP(CustomerCombined[[#This Row],[ID]], Table2[ID],Table2[MC5], "Not Found", 0 )</f>
        <v>0</v>
      </c>
    </row>
    <row r="1270" spans="1:29" x14ac:dyDescent="0.3">
      <c r="A1270" s="6">
        <v>1994</v>
      </c>
      <c r="B1270" s="6">
        <v>134053</v>
      </c>
      <c r="C1270" s="6">
        <v>0</v>
      </c>
      <c r="D1270" s="6">
        <v>1</v>
      </c>
      <c r="E1270" s="6">
        <v>52</v>
      </c>
      <c r="F1270" s="5" t="s">
        <v>8</v>
      </c>
      <c r="G1270" s="5" t="s">
        <v>12</v>
      </c>
      <c r="H1270" s="3" t="s">
        <v>399</v>
      </c>
      <c r="I1270" s="5" t="s">
        <v>438</v>
      </c>
      <c r="J1270" s="5">
        <f>_xlfn.XLOOKUP(CustomerCombined[[#This Row],[ID]], Table4[ID], Table4[Recency], "Not Found", 0)</f>
        <v>14</v>
      </c>
      <c r="K1270" s="5">
        <f>_xlfn.XLOOKUP(CustomerCombined[[#This Row],[ID]], Table4[ID], Table4[Teas], "Not Found", 0)</f>
        <v>248</v>
      </c>
      <c r="L1270" s="5">
        <f>_xlfn.XLOOKUP(CustomerCombined[[#This Row],[ID]], Table4[ID], Table4[Fruits], "Not Found", 0)</f>
        <v>0</v>
      </c>
      <c r="M1270" s="5">
        <f>_xlfn.XLOOKUP(CustomerCombined[[#This Row],[ID]], Table4[ID], Table4[Meats], "Not Found", 0)</f>
        <v>83</v>
      </c>
      <c r="N1270" s="5">
        <f>_xlfn.XLOOKUP(CustomerCombined[[#This Row],[ID]], Table4[ID], Table4[Seafood], "Not Found", 0)</f>
        <v>28</v>
      </c>
      <c r="O1270" s="5">
        <f>_xlfn.XLOOKUP(CustomerCombined[[#This Row],[ID]], Table4[ID], Table4[Sweets], "Not Found", 0)</f>
        <v>0</v>
      </c>
      <c r="P1270" s="5">
        <f>_xlfn.XLOOKUP(CustomerCombined[[#This Row],[ID]], Table4[ID], Table4[Premium], "Not Found", 0)</f>
        <v>47</v>
      </c>
      <c r="Q1270" s="5">
        <f>_xlfn.XLOOKUP(CustomerCombined[[#This Row],[ID]], Table4[ID], Table4[Regular], "Not Found", 0)</f>
        <v>311</v>
      </c>
      <c r="R1270" s="5">
        <f>_xlfn.XLOOKUP(CustomerCombined[[#This Row],[ID]], Table4[ID], Table4[Deals], "Not Found", 0)</f>
        <v>1</v>
      </c>
      <c r="S1270" s="5">
        <f>_xlfn.XLOOKUP(CustomerCombined[[#This Row],[ID]], Table4[ID], Table4[Website], "Not Found", 0)</f>
        <v>3</v>
      </c>
      <c r="T1270" s="5">
        <f>_xlfn.XLOOKUP(CustomerCombined[[#This Row],[ID]], Table4[ID], Table4[Catalog], "Not Found", 0)</f>
        <v>0</v>
      </c>
      <c r="U1270" s="5">
        <f>_xlfn.XLOOKUP(CustomerCombined[[#This Row],[ID]], Table4[ID], Table4[Store], "Not Found", 0)</f>
        <v>3</v>
      </c>
      <c r="V1270" s="5">
        <f>_xlfn.XLOOKUP(CustomerCombined[[#This Row],[ID]], Table4[ID], Table4[Visits], "Not Found", 0)</f>
        <v>8</v>
      </c>
      <c r="W1270" s="8">
        <f>_xlfn.XLOOKUP(CustomerCombined[[#This Row],[ID]], Table2[ID],Table2[Complaint], "Not Found", 0 )</f>
        <v>0</v>
      </c>
      <c r="X1270" s="8">
        <f>_xlfn.XLOOKUP(CustomerCombined[[#This Row],[ID]], Table2[ID],Table2[Pilot], "Not Found", 0 )</f>
        <v>0</v>
      </c>
      <c r="Y1270" s="8">
        <f>_xlfn.XLOOKUP(CustomerCombined[[#This Row],[ID]], Table2[ID],Table2[MC1], "Not Found", 0 )</f>
        <v>0</v>
      </c>
      <c r="Z1270" s="8">
        <f>_xlfn.XLOOKUP(CustomerCombined[[#This Row],[ID]], Table2[ID],Table2[MC2], "Not Found", 0 )</f>
        <v>0</v>
      </c>
      <c r="AA1270" s="8">
        <f>_xlfn.XLOOKUP(CustomerCombined[[#This Row],[ID]], Table2[ID],Table2[MC3], "Not Found", 0 )</f>
        <v>0</v>
      </c>
      <c r="AB1270" s="8">
        <f>_xlfn.XLOOKUP(CustomerCombined[[#This Row],[ID]], Table2[ID],Table2[MC4], "Not Found", 0 )</f>
        <v>0</v>
      </c>
      <c r="AC1270" s="8">
        <f>_xlfn.XLOOKUP(CustomerCombined[[#This Row],[ID]], Table2[ID],Table2[MC5], "Not Found", 0 )</f>
        <v>0</v>
      </c>
    </row>
    <row r="1271" spans="1:29" x14ac:dyDescent="0.3">
      <c r="A1271" s="6">
        <v>2841</v>
      </c>
      <c r="B1271" s="6">
        <v>132889</v>
      </c>
      <c r="C1271" s="6">
        <v>1</v>
      </c>
      <c r="D1271" s="6">
        <v>1</v>
      </c>
      <c r="E1271" s="6">
        <v>52</v>
      </c>
      <c r="F1271" s="5" t="s">
        <v>8</v>
      </c>
      <c r="G1271" s="5" t="s">
        <v>12</v>
      </c>
      <c r="H1271" s="3">
        <v>44137</v>
      </c>
      <c r="I1271" s="5" t="s">
        <v>435</v>
      </c>
      <c r="J1271" s="5">
        <f>_xlfn.XLOOKUP(CustomerCombined[[#This Row],[ID]], Table4[ID], Table4[Recency], "Not Found", 0)</f>
        <v>78</v>
      </c>
      <c r="K1271" s="5">
        <f>_xlfn.XLOOKUP(CustomerCombined[[#This Row],[ID]], Table4[ID], Table4[Teas], "Not Found", 0)</f>
        <v>113</v>
      </c>
      <c r="L1271" s="5">
        <f>_xlfn.XLOOKUP(CustomerCombined[[#This Row],[ID]], Table4[ID], Table4[Fruits], "Not Found", 0)</f>
        <v>0</v>
      </c>
      <c r="M1271" s="5">
        <f>_xlfn.XLOOKUP(CustomerCombined[[#This Row],[ID]], Table4[ID], Table4[Meats], "Not Found", 0)</f>
        <v>53</v>
      </c>
      <c r="N1271" s="5">
        <f>_xlfn.XLOOKUP(CustomerCombined[[#This Row],[ID]], Table4[ID], Table4[Seafood], "Not Found", 0)</f>
        <v>16</v>
      </c>
      <c r="O1271" s="5">
        <f>_xlfn.XLOOKUP(CustomerCombined[[#This Row],[ID]], Table4[ID], Table4[Sweets], "Not Found", 0)</f>
        <v>8</v>
      </c>
      <c r="P1271" s="5">
        <f>_xlfn.XLOOKUP(CustomerCombined[[#This Row],[ID]], Table4[ID], Table4[Premium], "Not Found", 0)</f>
        <v>32</v>
      </c>
      <c r="Q1271" s="5">
        <f>_xlfn.XLOOKUP(CustomerCombined[[#This Row],[ID]], Table4[ID], Table4[Regular], "Not Found", 0)</f>
        <v>158</v>
      </c>
      <c r="R1271" s="5">
        <f>_xlfn.XLOOKUP(CustomerCombined[[#This Row],[ID]], Table4[ID], Table4[Deals], "Not Found", 0)</f>
        <v>3</v>
      </c>
      <c r="S1271" s="5">
        <f>_xlfn.XLOOKUP(CustomerCombined[[#This Row],[ID]], Table4[ID], Table4[Website], "Not Found", 0)</f>
        <v>2</v>
      </c>
      <c r="T1271" s="5">
        <f>_xlfn.XLOOKUP(CustomerCombined[[#This Row],[ID]], Table4[ID], Table4[Catalog], "Not Found", 0)</f>
        <v>1</v>
      </c>
      <c r="U1271" s="5">
        <f>_xlfn.XLOOKUP(CustomerCombined[[#This Row],[ID]], Table4[ID], Table4[Store], "Not Found", 0)</f>
        <v>3</v>
      </c>
      <c r="V1271" s="5">
        <f>_xlfn.XLOOKUP(CustomerCombined[[#This Row],[ID]], Table4[ID], Table4[Visits], "Not Found", 0)</f>
        <v>5</v>
      </c>
      <c r="W1271" s="8">
        <f>_xlfn.XLOOKUP(CustomerCombined[[#This Row],[ID]], Table2[ID],Table2[Complaint], "Not Found", 0 )</f>
        <v>0</v>
      </c>
      <c r="X1271" s="8">
        <f>_xlfn.XLOOKUP(CustomerCombined[[#This Row],[ID]], Table2[ID],Table2[Pilot], "Not Found", 0 )</f>
        <v>0</v>
      </c>
      <c r="Y1271" s="8">
        <f>_xlfn.XLOOKUP(CustomerCombined[[#This Row],[ID]], Table2[ID],Table2[MC1], "Not Found", 0 )</f>
        <v>0</v>
      </c>
      <c r="Z1271" s="8">
        <f>_xlfn.XLOOKUP(CustomerCombined[[#This Row],[ID]], Table2[ID],Table2[MC2], "Not Found", 0 )</f>
        <v>0</v>
      </c>
      <c r="AA1271" s="8">
        <f>_xlfn.XLOOKUP(CustomerCombined[[#This Row],[ID]], Table2[ID],Table2[MC3], "Not Found", 0 )</f>
        <v>0</v>
      </c>
      <c r="AB1271" s="8">
        <f>_xlfn.XLOOKUP(CustomerCombined[[#This Row],[ID]], Table2[ID],Table2[MC4], "Not Found", 0 )</f>
        <v>0</v>
      </c>
      <c r="AC1271" s="8">
        <f>_xlfn.XLOOKUP(CustomerCombined[[#This Row],[ID]], Table2[ID],Table2[MC5], "Not Found", 0 )</f>
        <v>0</v>
      </c>
    </row>
    <row r="1272" spans="1:29" x14ac:dyDescent="0.3">
      <c r="A1272" s="6">
        <v>2908</v>
      </c>
      <c r="B1272" s="6">
        <v>129543</v>
      </c>
      <c r="C1272" s="6">
        <v>2</v>
      </c>
      <c r="D1272" s="6">
        <v>0</v>
      </c>
      <c r="E1272" s="6">
        <v>52</v>
      </c>
      <c r="F1272" s="5" t="s">
        <v>6</v>
      </c>
      <c r="G1272" s="5" t="s">
        <v>12</v>
      </c>
      <c r="H1272" s="3">
        <v>43960</v>
      </c>
      <c r="I1272" s="5" t="s">
        <v>439</v>
      </c>
      <c r="J1272" s="5">
        <f>_xlfn.XLOOKUP(CustomerCombined[[#This Row],[ID]], Table4[ID], Table4[Recency], "Not Found", 0)</f>
        <v>47</v>
      </c>
      <c r="K1272" s="5">
        <f>_xlfn.XLOOKUP(CustomerCombined[[#This Row],[ID]], Table4[ID], Table4[Teas], "Not Found", 0)</f>
        <v>75</v>
      </c>
      <c r="L1272" s="5">
        <f>_xlfn.XLOOKUP(CustomerCombined[[#This Row],[ID]], Table4[ID], Table4[Fruits], "Not Found", 0)</f>
        <v>13</v>
      </c>
      <c r="M1272" s="5">
        <f>_xlfn.XLOOKUP(CustomerCombined[[#This Row],[ID]], Table4[ID], Table4[Meats], "Not Found", 0)</f>
        <v>79</v>
      </c>
      <c r="N1272" s="5">
        <f>_xlfn.XLOOKUP(CustomerCombined[[#This Row],[ID]], Table4[ID], Table4[Seafood], "Not Found", 0)</f>
        <v>13</v>
      </c>
      <c r="O1272" s="5">
        <f>_xlfn.XLOOKUP(CustomerCombined[[#This Row],[ID]], Table4[ID], Table4[Sweets], "Not Found", 0)</f>
        <v>18</v>
      </c>
      <c r="P1272" s="5">
        <f>_xlfn.XLOOKUP(CustomerCombined[[#This Row],[ID]], Table4[ID], Table4[Premium], "Not Found", 0)</f>
        <v>79</v>
      </c>
      <c r="Q1272" s="5">
        <f>_xlfn.XLOOKUP(CustomerCombined[[#This Row],[ID]], Table4[ID], Table4[Regular], "Not Found", 0)</f>
        <v>118</v>
      </c>
      <c r="R1272" s="5">
        <f>_xlfn.XLOOKUP(CustomerCombined[[#This Row],[ID]], Table4[ID], Table4[Deals], "Not Found", 0)</f>
        <v>2</v>
      </c>
      <c r="S1272" s="5">
        <f>_xlfn.XLOOKUP(CustomerCombined[[#This Row],[ID]], Table4[ID], Table4[Website], "Not Found", 0)</f>
        <v>3</v>
      </c>
      <c r="T1272" s="5">
        <f>_xlfn.XLOOKUP(CustomerCombined[[#This Row],[ID]], Table4[ID], Table4[Catalog], "Not Found", 0)</f>
        <v>1</v>
      </c>
      <c r="U1272" s="5">
        <f>_xlfn.XLOOKUP(CustomerCombined[[#This Row],[ID]], Table4[ID], Table4[Store], "Not Found", 0)</f>
        <v>2</v>
      </c>
      <c r="V1272" s="5">
        <f>_xlfn.XLOOKUP(CustomerCombined[[#This Row],[ID]], Table4[ID], Table4[Visits], "Not Found", 0)</f>
        <v>7</v>
      </c>
      <c r="W1272" s="8">
        <f>_xlfn.XLOOKUP(CustomerCombined[[#This Row],[ID]], Table2[ID],Table2[Complaint], "Not Found", 0 )</f>
        <v>0</v>
      </c>
      <c r="X1272" s="8">
        <f>_xlfn.XLOOKUP(CustomerCombined[[#This Row],[ID]], Table2[ID],Table2[Pilot], "Not Found", 0 )</f>
        <v>0</v>
      </c>
      <c r="Y1272" s="8">
        <f>_xlfn.XLOOKUP(CustomerCombined[[#This Row],[ID]], Table2[ID],Table2[MC1], "Not Found", 0 )</f>
        <v>0</v>
      </c>
      <c r="Z1272" s="8">
        <f>_xlfn.XLOOKUP(CustomerCombined[[#This Row],[ID]], Table2[ID],Table2[MC2], "Not Found", 0 )</f>
        <v>0</v>
      </c>
      <c r="AA1272" s="8">
        <f>_xlfn.XLOOKUP(CustomerCombined[[#This Row],[ID]], Table2[ID],Table2[MC3], "Not Found", 0 )</f>
        <v>0</v>
      </c>
      <c r="AB1272" s="8">
        <f>_xlfn.XLOOKUP(CustomerCombined[[#This Row],[ID]], Table2[ID],Table2[MC4], "Not Found", 0 )</f>
        <v>0</v>
      </c>
      <c r="AC1272" s="8">
        <f>_xlfn.XLOOKUP(CustomerCombined[[#This Row],[ID]], Table2[ID],Table2[MC5], "Not Found", 0 )</f>
        <v>0</v>
      </c>
    </row>
    <row r="1273" spans="1:29" x14ac:dyDescent="0.3">
      <c r="A1273" s="6">
        <v>1650</v>
      </c>
      <c r="B1273" s="6">
        <v>129187</v>
      </c>
      <c r="C1273" s="6">
        <v>1</v>
      </c>
      <c r="D1273" s="6">
        <v>0</v>
      </c>
      <c r="E1273" s="6">
        <v>52</v>
      </c>
      <c r="F1273" s="5" t="s">
        <v>6</v>
      </c>
      <c r="G1273" s="5" t="s">
        <v>13</v>
      </c>
      <c r="H1273" s="3" t="s">
        <v>262</v>
      </c>
      <c r="I1273" s="5" t="s">
        <v>436</v>
      </c>
      <c r="J1273" s="5">
        <f>_xlfn.XLOOKUP(CustomerCombined[[#This Row],[ID]], Table4[ID], Table4[Recency], "Not Found", 0)</f>
        <v>43</v>
      </c>
      <c r="K1273" s="5">
        <f>_xlfn.XLOOKUP(CustomerCombined[[#This Row],[ID]], Table4[ID], Table4[Teas], "Not Found", 0)</f>
        <v>115</v>
      </c>
      <c r="L1273" s="5">
        <f>_xlfn.XLOOKUP(CustomerCombined[[#This Row],[ID]], Table4[ID], Table4[Fruits], "Not Found", 0)</f>
        <v>0</v>
      </c>
      <c r="M1273" s="5">
        <f>_xlfn.XLOOKUP(CustomerCombined[[#This Row],[ID]], Table4[ID], Table4[Meats], "Not Found", 0)</f>
        <v>27</v>
      </c>
      <c r="N1273" s="5">
        <f>_xlfn.XLOOKUP(CustomerCombined[[#This Row],[ID]], Table4[ID], Table4[Seafood], "Not Found", 0)</f>
        <v>0</v>
      </c>
      <c r="O1273" s="5">
        <f>_xlfn.XLOOKUP(CustomerCombined[[#This Row],[ID]], Table4[ID], Table4[Sweets], "Not Found", 0)</f>
        <v>0</v>
      </c>
      <c r="P1273" s="5">
        <f>_xlfn.XLOOKUP(CustomerCombined[[#This Row],[ID]], Table4[ID], Table4[Premium], "Not Found", 0)</f>
        <v>9</v>
      </c>
      <c r="Q1273" s="5">
        <f>_xlfn.XLOOKUP(CustomerCombined[[#This Row],[ID]], Table4[ID], Table4[Regular], "Not Found", 0)</f>
        <v>133</v>
      </c>
      <c r="R1273" s="5">
        <f>_xlfn.XLOOKUP(CustomerCombined[[#This Row],[ID]], Table4[ID], Table4[Deals], "Not Found", 0)</f>
        <v>1</v>
      </c>
      <c r="S1273" s="5">
        <f>_xlfn.XLOOKUP(CustomerCombined[[#This Row],[ID]], Table4[ID], Table4[Website], "Not Found", 0)</f>
        <v>1</v>
      </c>
      <c r="T1273" s="5">
        <f>_xlfn.XLOOKUP(CustomerCombined[[#This Row],[ID]], Table4[ID], Table4[Catalog], "Not Found", 0)</f>
        <v>0</v>
      </c>
      <c r="U1273" s="5">
        <f>_xlfn.XLOOKUP(CustomerCombined[[#This Row],[ID]], Table4[ID], Table4[Store], "Not Found", 0)</f>
        <v>3</v>
      </c>
      <c r="V1273" s="5">
        <f>_xlfn.XLOOKUP(CustomerCombined[[#This Row],[ID]], Table4[ID], Table4[Visits], "Not Found", 0)</f>
        <v>8</v>
      </c>
      <c r="W1273" s="8">
        <f>_xlfn.XLOOKUP(CustomerCombined[[#This Row],[ID]], Table2[ID],Table2[Complaint], "Not Found", 0 )</f>
        <v>0</v>
      </c>
      <c r="X1273" s="8">
        <f>_xlfn.XLOOKUP(CustomerCombined[[#This Row],[ID]], Table2[ID],Table2[Pilot], "Not Found", 0 )</f>
        <v>0</v>
      </c>
      <c r="Y1273" s="8">
        <f>_xlfn.XLOOKUP(CustomerCombined[[#This Row],[ID]], Table2[ID],Table2[MC1], "Not Found", 0 )</f>
        <v>0</v>
      </c>
      <c r="Z1273" s="8">
        <f>_xlfn.XLOOKUP(CustomerCombined[[#This Row],[ID]], Table2[ID],Table2[MC2], "Not Found", 0 )</f>
        <v>0</v>
      </c>
      <c r="AA1273" s="8">
        <f>_xlfn.XLOOKUP(CustomerCombined[[#This Row],[ID]], Table2[ID],Table2[MC3], "Not Found", 0 )</f>
        <v>0</v>
      </c>
      <c r="AB1273" s="8">
        <f>_xlfn.XLOOKUP(CustomerCombined[[#This Row],[ID]], Table2[ID],Table2[MC4], "Not Found", 0 )</f>
        <v>0</v>
      </c>
      <c r="AC1273" s="8">
        <f>_xlfn.XLOOKUP(CustomerCombined[[#This Row],[ID]], Table2[ID],Table2[MC5], "Not Found", 0 )</f>
        <v>0</v>
      </c>
    </row>
    <row r="1274" spans="1:29" x14ac:dyDescent="0.3">
      <c r="A1274" s="6">
        <v>2817</v>
      </c>
      <c r="B1274" s="6">
        <v>127071</v>
      </c>
      <c r="C1274" s="6">
        <v>1</v>
      </c>
      <c r="D1274" s="6">
        <v>0</v>
      </c>
      <c r="E1274" s="6">
        <v>52</v>
      </c>
      <c r="F1274" s="5" t="s">
        <v>5</v>
      </c>
      <c r="G1274" s="5" t="s">
        <v>12</v>
      </c>
      <c r="H1274" s="3" t="s">
        <v>59</v>
      </c>
      <c r="I1274" s="5" t="s">
        <v>435</v>
      </c>
      <c r="J1274" s="5">
        <f>_xlfn.XLOOKUP(CustomerCombined[[#This Row],[ID]], Table4[ID], Table4[Recency], "Not Found", 0)</f>
        <v>90</v>
      </c>
      <c r="K1274" s="5">
        <f>_xlfn.XLOOKUP(CustomerCombined[[#This Row],[ID]], Table4[ID], Table4[Teas], "Not Found", 0)</f>
        <v>38</v>
      </c>
      <c r="L1274" s="5">
        <f>_xlfn.XLOOKUP(CustomerCombined[[#This Row],[ID]], Table4[ID], Table4[Fruits], "Not Found", 0)</f>
        <v>14</v>
      </c>
      <c r="M1274" s="5">
        <f>_xlfn.XLOOKUP(CustomerCombined[[#This Row],[ID]], Table4[ID], Table4[Meats], "Not Found", 0)</f>
        <v>89</v>
      </c>
      <c r="N1274" s="5">
        <f>_xlfn.XLOOKUP(CustomerCombined[[#This Row],[ID]], Table4[ID], Table4[Seafood], "Not Found", 0)</f>
        <v>0</v>
      </c>
      <c r="O1274" s="5">
        <f>_xlfn.XLOOKUP(CustomerCombined[[#This Row],[ID]], Table4[ID], Table4[Sweets], "Not Found", 0)</f>
        <v>9</v>
      </c>
      <c r="P1274" s="5">
        <f>_xlfn.XLOOKUP(CustomerCombined[[#This Row],[ID]], Table4[ID], Table4[Premium], "Not Found", 0)</f>
        <v>14</v>
      </c>
      <c r="Q1274" s="5">
        <f>_xlfn.XLOOKUP(CustomerCombined[[#This Row],[ID]], Table4[ID], Table4[Regular], "Not Found", 0)</f>
        <v>136</v>
      </c>
      <c r="R1274" s="5">
        <f>_xlfn.XLOOKUP(CustomerCombined[[#This Row],[ID]], Table4[ID], Table4[Deals], "Not Found", 0)</f>
        <v>2</v>
      </c>
      <c r="S1274" s="5">
        <f>_xlfn.XLOOKUP(CustomerCombined[[#This Row],[ID]], Table4[ID], Table4[Website], "Not Found", 0)</f>
        <v>2</v>
      </c>
      <c r="T1274" s="5">
        <f>_xlfn.XLOOKUP(CustomerCombined[[#This Row],[ID]], Table4[ID], Table4[Catalog], "Not Found", 0)</f>
        <v>0</v>
      </c>
      <c r="U1274" s="5">
        <f>_xlfn.XLOOKUP(CustomerCombined[[#This Row],[ID]], Table4[ID], Table4[Store], "Not Found", 0)</f>
        <v>3</v>
      </c>
      <c r="V1274" s="5">
        <f>_xlfn.XLOOKUP(CustomerCombined[[#This Row],[ID]], Table4[ID], Table4[Visits], "Not Found", 0)</f>
        <v>6</v>
      </c>
      <c r="W1274" s="8">
        <f>_xlfn.XLOOKUP(CustomerCombined[[#This Row],[ID]], Table2[ID],Table2[Complaint], "Not Found", 0 )</f>
        <v>0</v>
      </c>
      <c r="X1274" s="8">
        <f>_xlfn.XLOOKUP(CustomerCombined[[#This Row],[ID]], Table2[ID],Table2[Pilot], "Not Found", 0 )</f>
        <v>0</v>
      </c>
      <c r="Y1274" s="8">
        <f>_xlfn.XLOOKUP(CustomerCombined[[#This Row],[ID]], Table2[ID],Table2[MC1], "Not Found", 0 )</f>
        <v>0</v>
      </c>
      <c r="Z1274" s="8">
        <f>_xlfn.XLOOKUP(CustomerCombined[[#This Row],[ID]], Table2[ID],Table2[MC2], "Not Found", 0 )</f>
        <v>0</v>
      </c>
      <c r="AA1274" s="8">
        <f>_xlfn.XLOOKUP(CustomerCombined[[#This Row],[ID]], Table2[ID],Table2[MC3], "Not Found", 0 )</f>
        <v>0</v>
      </c>
      <c r="AB1274" s="8">
        <f>_xlfn.XLOOKUP(CustomerCombined[[#This Row],[ID]], Table2[ID],Table2[MC4], "Not Found", 0 )</f>
        <v>0</v>
      </c>
      <c r="AC1274" s="8">
        <f>_xlfn.XLOOKUP(CustomerCombined[[#This Row],[ID]], Table2[ID],Table2[MC5], "Not Found", 0 )</f>
        <v>0</v>
      </c>
    </row>
    <row r="1275" spans="1:29" x14ac:dyDescent="0.3">
      <c r="A1275" s="6">
        <v>2255</v>
      </c>
      <c r="B1275" s="6">
        <v>123748</v>
      </c>
      <c r="C1275" s="6">
        <v>1</v>
      </c>
      <c r="D1275" s="6">
        <v>0</v>
      </c>
      <c r="E1275" s="6">
        <v>52</v>
      </c>
      <c r="F1275" s="5" t="s">
        <v>5</v>
      </c>
      <c r="G1275" s="5" t="s">
        <v>12</v>
      </c>
      <c r="H1275" s="3" t="s">
        <v>355</v>
      </c>
      <c r="I1275" s="5" t="s">
        <v>434</v>
      </c>
      <c r="J1275" s="5">
        <f>_xlfn.XLOOKUP(CustomerCombined[[#This Row],[ID]], Table4[ID], Table4[Recency], "Not Found", 0)</f>
        <v>97</v>
      </c>
      <c r="K1275" s="5">
        <f>_xlfn.XLOOKUP(CustomerCombined[[#This Row],[ID]], Table4[ID], Table4[Teas], "Not Found", 0)</f>
        <v>31</v>
      </c>
      <c r="L1275" s="5">
        <f>_xlfn.XLOOKUP(CustomerCombined[[#This Row],[ID]], Table4[ID], Table4[Fruits], "Not Found", 0)</f>
        <v>31</v>
      </c>
      <c r="M1275" s="5">
        <f>_xlfn.XLOOKUP(CustomerCombined[[#This Row],[ID]], Table4[ID], Table4[Meats], "Not Found", 0)</f>
        <v>151</v>
      </c>
      <c r="N1275" s="5">
        <f>_xlfn.XLOOKUP(CustomerCombined[[#This Row],[ID]], Table4[ID], Table4[Seafood], "Not Found", 0)</f>
        <v>63</v>
      </c>
      <c r="O1275" s="5">
        <f>_xlfn.XLOOKUP(CustomerCombined[[#This Row],[ID]], Table4[ID], Table4[Sweets], "Not Found", 0)</f>
        <v>78</v>
      </c>
      <c r="P1275" s="5">
        <f>_xlfn.XLOOKUP(CustomerCombined[[#This Row],[ID]], Table4[ID], Table4[Premium], "Not Found", 0)</f>
        <v>42</v>
      </c>
      <c r="Q1275" s="5">
        <f>_xlfn.XLOOKUP(CustomerCombined[[#This Row],[ID]], Table4[ID], Table4[Regular], "Not Found", 0)</f>
        <v>313</v>
      </c>
      <c r="R1275" s="5">
        <f>_xlfn.XLOOKUP(CustomerCombined[[#This Row],[ID]], Table4[ID], Table4[Deals], "Not Found", 0)</f>
        <v>3</v>
      </c>
      <c r="S1275" s="5">
        <f>_xlfn.XLOOKUP(CustomerCombined[[#This Row],[ID]], Table4[ID], Table4[Website], "Not Found", 0)</f>
        <v>2</v>
      </c>
      <c r="T1275" s="5">
        <f>_xlfn.XLOOKUP(CustomerCombined[[#This Row],[ID]], Table4[ID], Table4[Catalog], "Not Found", 0)</f>
        <v>1</v>
      </c>
      <c r="U1275" s="5">
        <f>_xlfn.XLOOKUP(CustomerCombined[[#This Row],[ID]], Table4[ID], Table4[Store], "Not Found", 0)</f>
        <v>3</v>
      </c>
      <c r="V1275" s="5">
        <f>_xlfn.XLOOKUP(CustomerCombined[[#This Row],[ID]], Table4[ID], Table4[Visits], "Not Found", 0)</f>
        <v>8</v>
      </c>
      <c r="W1275" s="8">
        <f>_xlfn.XLOOKUP(CustomerCombined[[#This Row],[ID]], Table2[ID],Table2[Complaint], "Not Found", 0 )</f>
        <v>0</v>
      </c>
      <c r="X1275" s="8">
        <f>_xlfn.XLOOKUP(CustomerCombined[[#This Row],[ID]], Table2[ID],Table2[Pilot], "Not Found", 0 )</f>
        <v>0</v>
      </c>
      <c r="Y1275" s="8">
        <f>_xlfn.XLOOKUP(CustomerCombined[[#This Row],[ID]], Table2[ID],Table2[MC1], "Not Found", 0 )</f>
        <v>0</v>
      </c>
      <c r="Z1275" s="8">
        <f>_xlfn.XLOOKUP(CustomerCombined[[#This Row],[ID]], Table2[ID],Table2[MC2], "Not Found", 0 )</f>
        <v>0</v>
      </c>
      <c r="AA1275" s="8">
        <f>_xlfn.XLOOKUP(CustomerCombined[[#This Row],[ID]], Table2[ID],Table2[MC3], "Not Found", 0 )</f>
        <v>0</v>
      </c>
      <c r="AB1275" s="8">
        <f>_xlfn.XLOOKUP(CustomerCombined[[#This Row],[ID]], Table2[ID],Table2[MC4], "Not Found", 0 )</f>
        <v>0</v>
      </c>
      <c r="AC1275" s="8">
        <f>_xlfn.XLOOKUP(CustomerCombined[[#This Row],[ID]], Table2[ID],Table2[MC5], "Not Found", 0 )</f>
        <v>0</v>
      </c>
    </row>
    <row r="1276" spans="1:29" x14ac:dyDescent="0.3">
      <c r="A1276" s="6">
        <v>1532</v>
      </c>
      <c r="B1276" s="6">
        <v>119514</v>
      </c>
      <c r="C1276" s="6">
        <v>1</v>
      </c>
      <c r="D1276" s="6">
        <v>1</v>
      </c>
      <c r="E1276" s="6">
        <v>52</v>
      </c>
      <c r="F1276" s="5" t="s">
        <v>6</v>
      </c>
      <c r="G1276" s="5" t="s">
        <v>11</v>
      </c>
      <c r="H1276" s="3">
        <v>43868</v>
      </c>
      <c r="I1276" s="5" t="s">
        <v>438</v>
      </c>
      <c r="J1276" s="5">
        <f>_xlfn.XLOOKUP(CustomerCombined[[#This Row],[ID]], Table4[ID], Table4[Recency], "Not Found", 0)</f>
        <v>47</v>
      </c>
      <c r="K1276" s="5">
        <f>_xlfn.XLOOKUP(CustomerCombined[[#This Row],[ID]], Table4[ID], Table4[Teas], "Not Found", 0)</f>
        <v>86</v>
      </c>
      <c r="L1276" s="5">
        <f>_xlfn.XLOOKUP(CustomerCombined[[#This Row],[ID]], Table4[ID], Table4[Fruits], "Not Found", 0)</f>
        <v>18</v>
      </c>
      <c r="M1276" s="5">
        <f>_xlfn.XLOOKUP(CustomerCombined[[#This Row],[ID]], Table4[ID], Table4[Meats], "Not Found", 0)</f>
        <v>129</v>
      </c>
      <c r="N1276" s="5">
        <f>_xlfn.XLOOKUP(CustomerCombined[[#This Row],[ID]], Table4[ID], Table4[Seafood], "Not Found", 0)</f>
        <v>12</v>
      </c>
      <c r="O1276" s="5">
        <f>_xlfn.XLOOKUP(CustomerCombined[[#This Row],[ID]], Table4[ID], Table4[Sweets], "Not Found", 0)</f>
        <v>6</v>
      </c>
      <c r="P1276" s="5">
        <f>_xlfn.XLOOKUP(CustomerCombined[[#This Row],[ID]], Table4[ID], Table4[Premium], "Not Found", 0)</f>
        <v>171</v>
      </c>
      <c r="Q1276" s="5">
        <f>_xlfn.XLOOKUP(CustomerCombined[[#This Row],[ID]], Table4[ID], Table4[Regular], "Not Found", 0)</f>
        <v>80</v>
      </c>
      <c r="R1276" s="5">
        <f>_xlfn.XLOOKUP(CustomerCombined[[#This Row],[ID]], Table4[ID], Table4[Deals], "Not Found", 0)</f>
        <v>4</v>
      </c>
      <c r="S1276" s="5">
        <f>_xlfn.XLOOKUP(CustomerCombined[[#This Row],[ID]], Table4[ID], Table4[Website], "Not Found", 0)</f>
        <v>3</v>
      </c>
      <c r="T1276" s="5">
        <f>_xlfn.XLOOKUP(CustomerCombined[[#This Row],[ID]], Table4[ID], Table4[Catalog], "Not Found", 0)</f>
        <v>1</v>
      </c>
      <c r="U1276" s="5">
        <f>_xlfn.XLOOKUP(CustomerCombined[[#This Row],[ID]], Table4[ID], Table4[Store], "Not Found", 0)</f>
        <v>2</v>
      </c>
      <c r="V1276" s="5">
        <f>_xlfn.XLOOKUP(CustomerCombined[[#This Row],[ID]], Table4[ID], Table4[Visits], "Not Found", 0)</f>
        <v>8</v>
      </c>
      <c r="W1276" s="8">
        <f>_xlfn.XLOOKUP(CustomerCombined[[#This Row],[ID]], Table2[ID],Table2[Complaint], "Not Found", 0 )</f>
        <v>0</v>
      </c>
      <c r="X1276" s="8">
        <f>_xlfn.XLOOKUP(CustomerCombined[[#This Row],[ID]], Table2[ID],Table2[Pilot], "Not Found", 0 )</f>
        <v>1</v>
      </c>
      <c r="Y1276" s="8">
        <f>_xlfn.XLOOKUP(CustomerCombined[[#This Row],[ID]], Table2[ID],Table2[MC1], "Not Found", 0 )</f>
        <v>0</v>
      </c>
      <c r="Z1276" s="8">
        <f>_xlfn.XLOOKUP(CustomerCombined[[#This Row],[ID]], Table2[ID],Table2[MC2], "Not Found", 0 )</f>
        <v>0</v>
      </c>
      <c r="AA1276" s="8">
        <f>_xlfn.XLOOKUP(CustomerCombined[[#This Row],[ID]], Table2[ID],Table2[MC3], "Not Found", 0 )</f>
        <v>1</v>
      </c>
      <c r="AB1276" s="8">
        <f>_xlfn.XLOOKUP(CustomerCombined[[#This Row],[ID]], Table2[ID],Table2[MC4], "Not Found", 0 )</f>
        <v>0</v>
      </c>
      <c r="AC1276" s="8">
        <f>_xlfn.XLOOKUP(CustomerCombined[[#This Row],[ID]], Table2[ID],Table2[MC5], "Not Found", 0 )</f>
        <v>0</v>
      </c>
    </row>
    <row r="1277" spans="1:29" x14ac:dyDescent="0.3">
      <c r="A1277" s="6">
        <v>1989</v>
      </c>
      <c r="B1277" s="6">
        <v>119514</v>
      </c>
      <c r="C1277" s="6">
        <v>1</v>
      </c>
      <c r="D1277" s="6">
        <v>1</v>
      </c>
      <c r="E1277" s="6">
        <v>52</v>
      </c>
      <c r="F1277" s="5" t="s">
        <v>6</v>
      </c>
      <c r="G1277" s="5" t="s">
        <v>11</v>
      </c>
      <c r="H1277" s="3">
        <v>43868</v>
      </c>
      <c r="I1277" s="5" t="s">
        <v>435</v>
      </c>
      <c r="J1277" s="5">
        <f>_xlfn.XLOOKUP(CustomerCombined[[#This Row],[ID]], Table4[ID], Table4[Recency], "Not Found", 0)</f>
        <v>47</v>
      </c>
      <c r="K1277" s="5">
        <f>_xlfn.XLOOKUP(CustomerCombined[[#This Row],[ID]], Table4[ID], Table4[Teas], "Not Found", 0)</f>
        <v>86</v>
      </c>
      <c r="L1277" s="5">
        <f>_xlfn.XLOOKUP(CustomerCombined[[#This Row],[ID]], Table4[ID], Table4[Fruits], "Not Found", 0)</f>
        <v>18</v>
      </c>
      <c r="M1277" s="5">
        <f>_xlfn.XLOOKUP(CustomerCombined[[#This Row],[ID]], Table4[ID], Table4[Meats], "Not Found", 0)</f>
        <v>129</v>
      </c>
      <c r="N1277" s="5">
        <f>_xlfn.XLOOKUP(CustomerCombined[[#This Row],[ID]], Table4[ID], Table4[Seafood], "Not Found", 0)</f>
        <v>12</v>
      </c>
      <c r="O1277" s="5">
        <f>_xlfn.XLOOKUP(CustomerCombined[[#This Row],[ID]], Table4[ID], Table4[Sweets], "Not Found", 0)</f>
        <v>6</v>
      </c>
      <c r="P1277" s="5">
        <f>_xlfn.XLOOKUP(CustomerCombined[[#This Row],[ID]], Table4[ID], Table4[Premium], "Not Found", 0)</f>
        <v>171</v>
      </c>
      <c r="Q1277" s="5">
        <f>_xlfn.XLOOKUP(CustomerCombined[[#This Row],[ID]], Table4[ID], Table4[Regular], "Not Found", 0)</f>
        <v>80</v>
      </c>
      <c r="R1277" s="5">
        <f>_xlfn.XLOOKUP(CustomerCombined[[#This Row],[ID]], Table4[ID], Table4[Deals], "Not Found", 0)</f>
        <v>4</v>
      </c>
      <c r="S1277" s="5">
        <f>_xlfn.XLOOKUP(CustomerCombined[[#This Row],[ID]], Table4[ID], Table4[Website], "Not Found", 0)</f>
        <v>3</v>
      </c>
      <c r="T1277" s="5">
        <f>_xlfn.XLOOKUP(CustomerCombined[[#This Row],[ID]], Table4[ID], Table4[Catalog], "Not Found", 0)</f>
        <v>1</v>
      </c>
      <c r="U1277" s="5">
        <f>_xlfn.XLOOKUP(CustomerCombined[[#This Row],[ID]], Table4[ID], Table4[Store], "Not Found", 0)</f>
        <v>2</v>
      </c>
      <c r="V1277" s="5">
        <f>_xlfn.XLOOKUP(CustomerCombined[[#This Row],[ID]], Table4[ID], Table4[Visits], "Not Found", 0)</f>
        <v>8</v>
      </c>
      <c r="W1277" s="8">
        <f>_xlfn.XLOOKUP(CustomerCombined[[#This Row],[ID]], Table2[ID],Table2[Complaint], "Not Found", 0 )</f>
        <v>0</v>
      </c>
      <c r="X1277" s="8">
        <f>_xlfn.XLOOKUP(CustomerCombined[[#This Row],[ID]], Table2[ID],Table2[Pilot], "Not Found", 0 )</f>
        <v>0</v>
      </c>
      <c r="Y1277" s="8">
        <f>_xlfn.XLOOKUP(CustomerCombined[[#This Row],[ID]], Table2[ID],Table2[MC1], "Not Found", 0 )</f>
        <v>0</v>
      </c>
      <c r="Z1277" s="8">
        <f>_xlfn.XLOOKUP(CustomerCombined[[#This Row],[ID]], Table2[ID],Table2[MC2], "Not Found", 0 )</f>
        <v>0</v>
      </c>
      <c r="AA1277" s="8">
        <f>_xlfn.XLOOKUP(CustomerCombined[[#This Row],[ID]], Table2[ID],Table2[MC3], "Not Found", 0 )</f>
        <v>1</v>
      </c>
      <c r="AB1277" s="8">
        <f>_xlfn.XLOOKUP(CustomerCombined[[#This Row],[ID]], Table2[ID],Table2[MC4], "Not Found", 0 )</f>
        <v>0</v>
      </c>
      <c r="AC1277" s="8">
        <f>_xlfn.XLOOKUP(CustomerCombined[[#This Row],[ID]], Table2[ID],Table2[MC5], "Not Found", 0 )</f>
        <v>0</v>
      </c>
    </row>
    <row r="1278" spans="1:29" x14ac:dyDescent="0.3">
      <c r="A1278" s="6">
        <v>1780</v>
      </c>
      <c r="B1278" s="6">
        <v>119329</v>
      </c>
      <c r="C1278" s="6">
        <v>1</v>
      </c>
      <c r="D1278" s="6">
        <v>0</v>
      </c>
      <c r="E1278" s="6">
        <v>52</v>
      </c>
      <c r="F1278" s="5" t="s">
        <v>6</v>
      </c>
      <c r="G1278" s="5" t="s">
        <v>11</v>
      </c>
      <c r="H1278" s="3" t="s">
        <v>134</v>
      </c>
      <c r="I1278" s="5" t="s">
        <v>439</v>
      </c>
      <c r="J1278" s="5">
        <f>_xlfn.XLOOKUP(CustomerCombined[[#This Row],[ID]], Table4[ID], Table4[Recency], "Not Found", 0)</f>
        <v>39</v>
      </c>
      <c r="K1278" s="5">
        <f>_xlfn.XLOOKUP(CustomerCombined[[#This Row],[ID]], Table4[ID], Table4[Teas], "Not Found", 0)</f>
        <v>148</v>
      </c>
      <c r="L1278" s="5">
        <f>_xlfn.XLOOKUP(CustomerCombined[[#This Row],[ID]], Table4[ID], Table4[Fruits], "Not Found", 0)</f>
        <v>6</v>
      </c>
      <c r="M1278" s="5">
        <f>_xlfn.XLOOKUP(CustomerCombined[[#This Row],[ID]], Table4[ID], Table4[Meats], "Not Found", 0)</f>
        <v>99</v>
      </c>
      <c r="N1278" s="5">
        <f>_xlfn.XLOOKUP(CustomerCombined[[#This Row],[ID]], Table4[ID], Table4[Seafood], "Not Found", 0)</f>
        <v>74</v>
      </c>
      <c r="O1278" s="5">
        <f>_xlfn.XLOOKUP(CustomerCombined[[#This Row],[ID]], Table4[ID], Table4[Sweets], "Not Found", 0)</f>
        <v>12</v>
      </c>
      <c r="P1278" s="5">
        <f>_xlfn.XLOOKUP(CustomerCombined[[#This Row],[ID]], Table4[ID], Table4[Premium], "Not Found", 0)</f>
        <v>31</v>
      </c>
      <c r="Q1278" s="5">
        <f>_xlfn.XLOOKUP(CustomerCombined[[#This Row],[ID]], Table4[ID], Table4[Regular], "Not Found", 0)</f>
        <v>309</v>
      </c>
      <c r="R1278" s="5">
        <f>_xlfn.XLOOKUP(CustomerCombined[[#This Row],[ID]], Table4[ID], Table4[Deals], "Not Found", 0)</f>
        <v>3</v>
      </c>
      <c r="S1278" s="5">
        <f>_xlfn.XLOOKUP(CustomerCombined[[#This Row],[ID]], Table4[ID], Table4[Website], "Not Found", 0)</f>
        <v>4</v>
      </c>
      <c r="T1278" s="5">
        <f>_xlfn.XLOOKUP(CustomerCombined[[#This Row],[ID]], Table4[ID], Table4[Catalog], "Not Found", 0)</f>
        <v>0</v>
      </c>
      <c r="U1278" s="5">
        <f>_xlfn.XLOOKUP(CustomerCombined[[#This Row],[ID]], Table4[ID], Table4[Store], "Not Found", 0)</f>
        <v>3</v>
      </c>
      <c r="V1278" s="5">
        <f>_xlfn.XLOOKUP(CustomerCombined[[#This Row],[ID]], Table4[ID], Table4[Visits], "Not Found", 0)</f>
        <v>8</v>
      </c>
      <c r="W1278" s="8">
        <f>_xlfn.XLOOKUP(CustomerCombined[[#This Row],[ID]], Table2[ID],Table2[Complaint], "Not Found", 0 )</f>
        <v>0</v>
      </c>
      <c r="X1278" s="8">
        <f>_xlfn.XLOOKUP(CustomerCombined[[#This Row],[ID]], Table2[ID],Table2[Pilot], "Not Found", 0 )</f>
        <v>0</v>
      </c>
      <c r="Y1278" s="8">
        <f>_xlfn.XLOOKUP(CustomerCombined[[#This Row],[ID]], Table2[ID],Table2[MC1], "Not Found", 0 )</f>
        <v>0</v>
      </c>
      <c r="Z1278" s="8">
        <f>_xlfn.XLOOKUP(CustomerCombined[[#This Row],[ID]], Table2[ID],Table2[MC2], "Not Found", 0 )</f>
        <v>0</v>
      </c>
      <c r="AA1278" s="8">
        <f>_xlfn.XLOOKUP(CustomerCombined[[#This Row],[ID]], Table2[ID],Table2[MC3], "Not Found", 0 )</f>
        <v>0</v>
      </c>
      <c r="AB1278" s="8">
        <f>_xlfn.XLOOKUP(CustomerCombined[[#This Row],[ID]], Table2[ID],Table2[MC4], "Not Found", 0 )</f>
        <v>0</v>
      </c>
      <c r="AC1278" s="8">
        <f>_xlfn.XLOOKUP(CustomerCombined[[#This Row],[ID]], Table2[ID],Table2[MC5], "Not Found", 0 )</f>
        <v>0</v>
      </c>
    </row>
    <row r="1279" spans="1:29" x14ac:dyDescent="0.3">
      <c r="A1279" s="6">
        <v>3144</v>
      </c>
      <c r="B1279" s="6">
        <v>181380</v>
      </c>
      <c r="C1279" s="6">
        <v>0</v>
      </c>
      <c r="D1279" s="6">
        <v>0</v>
      </c>
      <c r="E1279" s="6">
        <v>53</v>
      </c>
      <c r="F1279" s="5" t="s">
        <v>5</v>
      </c>
      <c r="G1279" s="5" t="s">
        <v>12</v>
      </c>
      <c r="H1279" s="3" t="s">
        <v>337</v>
      </c>
      <c r="I1279" s="5" t="s">
        <v>436</v>
      </c>
      <c r="J1279" s="5">
        <f>_xlfn.XLOOKUP(CustomerCombined[[#This Row],[ID]], Table4[ID], Table4[Recency], "Not Found", 0)</f>
        <v>51</v>
      </c>
      <c r="K1279" s="5">
        <f>_xlfn.XLOOKUP(CustomerCombined[[#This Row],[ID]], Table4[ID], Table4[Teas], "Not Found", 0)</f>
        <v>1652</v>
      </c>
      <c r="L1279" s="5">
        <f>_xlfn.XLOOKUP(CustomerCombined[[#This Row],[ID]], Table4[ID], Table4[Fruits], "Not Found", 0)</f>
        <v>152</v>
      </c>
      <c r="M1279" s="5">
        <f>_xlfn.XLOOKUP(CustomerCombined[[#This Row],[ID]], Table4[ID], Table4[Meats], "Not Found", 0)</f>
        <v>1536</v>
      </c>
      <c r="N1279" s="5">
        <f>_xlfn.XLOOKUP(CustomerCombined[[#This Row],[ID]], Table4[ID], Table4[Seafood], "Not Found", 0)</f>
        <v>499</v>
      </c>
      <c r="O1279" s="5">
        <f>_xlfn.XLOOKUP(CustomerCombined[[#This Row],[ID]], Table4[ID], Table4[Sweets], "Not Found", 0)</f>
        <v>152</v>
      </c>
      <c r="P1279" s="5">
        <f>_xlfn.XLOOKUP(CustomerCombined[[#This Row],[ID]], Table4[ID], Table4[Premium], "Not Found", 0)</f>
        <v>230</v>
      </c>
      <c r="Q1279" s="5">
        <f>_xlfn.XLOOKUP(CustomerCombined[[#This Row],[ID]], Table4[ID], Table4[Regular], "Not Found", 0)</f>
        <v>3760</v>
      </c>
      <c r="R1279" s="5">
        <f>_xlfn.XLOOKUP(CustomerCombined[[#This Row],[ID]], Table4[ID], Table4[Deals], "Not Found", 0)</f>
        <v>1</v>
      </c>
      <c r="S1279" s="5">
        <f>_xlfn.XLOOKUP(CustomerCombined[[#This Row],[ID]], Table4[ID], Table4[Website], "Not Found", 0)</f>
        <v>4</v>
      </c>
      <c r="T1279" s="5">
        <f>_xlfn.XLOOKUP(CustomerCombined[[#This Row],[ID]], Table4[ID], Table4[Catalog], "Not Found", 0)</f>
        <v>2</v>
      </c>
      <c r="U1279" s="5">
        <f>_xlfn.XLOOKUP(CustomerCombined[[#This Row],[ID]], Table4[ID], Table4[Store], "Not Found", 0)</f>
        <v>10</v>
      </c>
      <c r="V1279" s="5">
        <f>_xlfn.XLOOKUP(CustomerCombined[[#This Row],[ID]], Table4[ID], Table4[Visits], "Not Found", 0)</f>
        <v>2</v>
      </c>
      <c r="W1279" s="8">
        <f>_xlfn.XLOOKUP(CustomerCombined[[#This Row],[ID]], Table2[ID],Table2[Complaint], "Not Found", 0 )</f>
        <v>0</v>
      </c>
      <c r="X1279" s="8">
        <f>_xlfn.XLOOKUP(CustomerCombined[[#This Row],[ID]], Table2[ID],Table2[Pilot], "Not Found", 0 )</f>
        <v>0</v>
      </c>
      <c r="Y1279" s="8">
        <f>_xlfn.XLOOKUP(CustomerCombined[[#This Row],[ID]], Table2[ID],Table2[MC1], "Not Found", 0 )</f>
        <v>0</v>
      </c>
      <c r="Z1279" s="8">
        <f>_xlfn.XLOOKUP(CustomerCombined[[#This Row],[ID]], Table2[ID],Table2[MC2], "Not Found", 0 )</f>
        <v>0</v>
      </c>
      <c r="AA1279" s="8">
        <f>_xlfn.XLOOKUP(CustomerCombined[[#This Row],[ID]], Table2[ID],Table2[MC3], "Not Found", 0 )</f>
        <v>0</v>
      </c>
      <c r="AB1279" s="8">
        <f>_xlfn.XLOOKUP(CustomerCombined[[#This Row],[ID]], Table2[ID],Table2[MC4], "Not Found", 0 )</f>
        <v>0</v>
      </c>
      <c r="AC1279" s="8">
        <f>_xlfn.XLOOKUP(CustomerCombined[[#This Row],[ID]], Table2[ID],Table2[MC5], "Not Found", 0 )</f>
        <v>0</v>
      </c>
    </row>
    <row r="1280" spans="1:29" x14ac:dyDescent="0.3">
      <c r="A1280" s="6">
        <v>1742</v>
      </c>
      <c r="B1280" s="6">
        <v>179146</v>
      </c>
      <c r="C1280" s="6">
        <v>1</v>
      </c>
      <c r="D1280" s="6">
        <v>1</v>
      </c>
      <c r="E1280" s="6">
        <v>53</v>
      </c>
      <c r="F1280" s="5" t="s">
        <v>7</v>
      </c>
      <c r="G1280" s="5" t="s">
        <v>11</v>
      </c>
      <c r="H1280" s="3" t="s">
        <v>58</v>
      </c>
      <c r="I1280" s="5" t="s">
        <v>438</v>
      </c>
      <c r="J1280" s="5">
        <f>_xlfn.XLOOKUP(CustomerCombined[[#This Row],[ID]], Table4[ID], Table4[Recency], "Not Found", 0)</f>
        <v>33</v>
      </c>
      <c r="K1280" s="5">
        <f>_xlfn.XLOOKUP(CustomerCombined[[#This Row],[ID]], Table4[ID], Table4[Teas], "Not Found", 0)</f>
        <v>555</v>
      </c>
      <c r="L1280" s="5">
        <f>_xlfn.XLOOKUP(CustomerCombined[[#This Row],[ID]], Table4[ID], Table4[Fruits], "Not Found", 0)</f>
        <v>36</v>
      </c>
      <c r="M1280" s="5">
        <f>_xlfn.XLOOKUP(CustomerCombined[[#This Row],[ID]], Table4[ID], Table4[Meats], "Not Found", 0)</f>
        <v>505</v>
      </c>
      <c r="N1280" s="5">
        <f>_xlfn.XLOOKUP(CustomerCombined[[#This Row],[ID]], Table4[ID], Table4[Seafood], "Not Found", 0)</f>
        <v>48</v>
      </c>
      <c r="O1280" s="5">
        <f>_xlfn.XLOOKUP(CustomerCombined[[#This Row],[ID]], Table4[ID], Table4[Sweets], "Not Found", 0)</f>
        <v>97</v>
      </c>
      <c r="P1280" s="5">
        <f>_xlfn.XLOOKUP(CustomerCombined[[#This Row],[ID]], Table4[ID], Table4[Premium], "Not Found", 0)</f>
        <v>36</v>
      </c>
      <c r="Q1280" s="5">
        <f>_xlfn.XLOOKUP(CustomerCombined[[#This Row],[ID]], Table4[ID], Table4[Regular], "Not Found", 0)</f>
        <v>1204</v>
      </c>
      <c r="R1280" s="5">
        <f>_xlfn.XLOOKUP(CustomerCombined[[#This Row],[ID]], Table4[ID], Table4[Deals], "Not Found", 0)</f>
        <v>2</v>
      </c>
      <c r="S1280" s="5">
        <f>_xlfn.XLOOKUP(CustomerCombined[[#This Row],[ID]], Table4[ID], Table4[Website], "Not Found", 0)</f>
        <v>8</v>
      </c>
      <c r="T1280" s="5">
        <f>_xlfn.XLOOKUP(CustomerCombined[[#This Row],[ID]], Table4[ID], Table4[Catalog], "Not Found", 0)</f>
        <v>1</v>
      </c>
      <c r="U1280" s="5">
        <f>_xlfn.XLOOKUP(CustomerCombined[[#This Row],[ID]], Table4[ID], Table4[Store], "Not Found", 0)</f>
        <v>8</v>
      </c>
      <c r="V1280" s="5">
        <f>_xlfn.XLOOKUP(CustomerCombined[[#This Row],[ID]], Table4[ID], Table4[Visits], "Not Found", 0)</f>
        <v>6</v>
      </c>
      <c r="W1280" s="8">
        <f>_xlfn.XLOOKUP(CustomerCombined[[#This Row],[ID]], Table2[ID],Table2[Complaint], "Not Found", 0 )</f>
        <v>0</v>
      </c>
      <c r="X1280" s="8">
        <f>_xlfn.XLOOKUP(CustomerCombined[[#This Row],[ID]], Table2[ID],Table2[Pilot], "Not Found", 0 )</f>
        <v>0</v>
      </c>
      <c r="Y1280" s="8">
        <f>_xlfn.XLOOKUP(CustomerCombined[[#This Row],[ID]], Table2[ID],Table2[MC1], "Not Found", 0 )</f>
        <v>0</v>
      </c>
      <c r="Z1280" s="8">
        <f>_xlfn.XLOOKUP(CustomerCombined[[#This Row],[ID]], Table2[ID],Table2[MC2], "Not Found", 0 )</f>
        <v>0</v>
      </c>
      <c r="AA1280" s="8">
        <f>_xlfn.XLOOKUP(CustomerCombined[[#This Row],[ID]], Table2[ID],Table2[MC3], "Not Found", 0 )</f>
        <v>0</v>
      </c>
      <c r="AB1280" s="8">
        <f>_xlfn.XLOOKUP(CustomerCombined[[#This Row],[ID]], Table2[ID],Table2[MC4], "Not Found", 0 )</f>
        <v>0</v>
      </c>
      <c r="AC1280" s="8">
        <f>_xlfn.XLOOKUP(CustomerCombined[[#This Row],[ID]], Table2[ID],Table2[MC5], "Not Found", 0 )</f>
        <v>0</v>
      </c>
    </row>
    <row r="1281" spans="1:29" x14ac:dyDescent="0.3">
      <c r="A1281" s="6">
        <v>2711</v>
      </c>
      <c r="B1281" s="6">
        <v>179146</v>
      </c>
      <c r="C1281" s="6">
        <v>1</v>
      </c>
      <c r="D1281" s="6">
        <v>1</v>
      </c>
      <c r="E1281" s="6">
        <v>53</v>
      </c>
      <c r="F1281" s="5" t="s">
        <v>7</v>
      </c>
      <c r="G1281" s="5" t="s">
        <v>11</v>
      </c>
      <c r="H1281" s="3" t="s">
        <v>58</v>
      </c>
      <c r="I1281" s="5" t="s">
        <v>434</v>
      </c>
      <c r="J1281" s="5">
        <f>_xlfn.XLOOKUP(CustomerCombined[[#This Row],[ID]], Table4[ID], Table4[Recency], "Not Found", 0)</f>
        <v>33</v>
      </c>
      <c r="K1281" s="5">
        <f>_xlfn.XLOOKUP(CustomerCombined[[#This Row],[ID]], Table4[ID], Table4[Teas], "Not Found", 0)</f>
        <v>555</v>
      </c>
      <c r="L1281" s="5">
        <f>_xlfn.XLOOKUP(CustomerCombined[[#This Row],[ID]], Table4[ID], Table4[Fruits], "Not Found", 0)</f>
        <v>36</v>
      </c>
      <c r="M1281" s="5">
        <f>_xlfn.XLOOKUP(CustomerCombined[[#This Row],[ID]], Table4[ID], Table4[Meats], "Not Found", 0)</f>
        <v>505</v>
      </c>
      <c r="N1281" s="5">
        <f>_xlfn.XLOOKUP(CustomerCombined[[#This Row],[ID]], Table4[ID], Table4[Seafood], "Not Found", 0)</f>
        <v>48</v>
      </c>
      <c r="O1281" s="5">
        <f>_xlfn.XLOOKUP(CustomerCombined[[#This Row],[ID]], Table4[ID], Table4[Sweets], "Not Found", 0)</f>
        <v>97</v>
      </c>
      <c r="P1281" s="5">
        <f>_xlfn.XLOOKUP(CustomerCombined[[#This Row],[ID]], Table4[ID], Table4[Premium], "Not Found", 0)</f>
        <v>36</v>
      </c>
      <c r="Q1281" s="5">
        <f>_xlfn.XLOOKUP(CustomerCombined[[#This Row],[ID]], Table4[ID], Table4[Regular], "Not Found", 0)</f>
        <v>1204</v>
      </c>
      <c r="R1281" s="5">
        <f>_xlfn.XLOOKUP(CustomerCombined[[#This Row],[ID]], Table4[ID], Table4[Deals], "Not Found", 0)</f>
        <v>2</v>
      </c>
      <c r="S1281" s="5">
        <f>_xlfn.XLOOKUP(CustomerCombined[[#This Row],[ID]], Table4[ID], Table4[Website], "Not Found", 0)</f>
        <v>8</v>
      </c>
      <c r="T1281" s="5">
        <f>_xlfn.XLOOKUP(CustomerCombined[[#This Row],[ID]], Table4[ID], Table4[Catalog], "Not Found", 0)</f>
        <v>1</v>
      </c>
      <c r="U1281" s="5">
        <f>_xlfn.XLOOKUP(CustomerCombined[[#This Row],[ID]], Table4[ID], Table4[Store], "Not Found", 0)</f>
        <v>8</v>
      </c>
      <c r="V1281" s="5">
        <f>_xlfn.XLOOKUP(CustomerCombined[[#This Row],[ID]], Table4[ID], Table4[Visits], "Not Found", 0)</f>
        <v>6</v>
      </c>
      <c r="W1281" s="8">
        <f>_xlfn.XLOOKUP(CustomerCombined[[#This Row],[ID]], Table2[ID],Table2[Complaint], "Not Found", 0 )</f>
        <v>0</v>
      </c>
      <c r="X1281" s="8">
        <f>_xlfn.XLOOKUP(CustomerCombined[[#This Row],[ID]], Table2[ID],Table2[Pilot], "Not Found", 0 )</f>
        <v>0</v>
      </c>
      <c r="Y1281" s="8">
        <f>_xlfn.XLOOKUP(CustomerCombined[[#This Row],[ID]], Table2[ID],Table2[MC1], "Not Found", 0 )</f>
        <v>0</v>
      </c>
      <c r="Z1281" s="8">
        <f>_xlfn.XLOOKUP(CustomerCombined[[#This Row],[ID]], Table2[ID],Table2[MC2], "Not Found", 0 )</f>
        <v>0</v>
      </c>
      <c r="AA1281" s="8">
        <f>_xlfn.XLOOKUP(CustomerCombined[[#This Row],[ID]], Table2[ID],Table2[MC3], "Not Found", 0 )</f>
        <v>0</v>
      </c>
      <c r="AB1281" s="8">
        <f>_xlfn.XLOOKUP(CustomerCombined[[#This Row],[ID]], Table2[ID],Table2[MC4], "Not Found", 0 )</f>
        <v>0</v>
      </c>
      <c r="AC1281" s="8">
        <f>_xlfn.XLOOKUP(CustomerCombined[[#This Row],[ID]], Table2[ID],Table2[MC5], "Not Found", 0 )</f>
        <v>0</v>
      </c>
    </row>
    <row r="1282" spans="1:29" x14ac:dyDescent="0.3">
      <c r="A1282" s="6">
        <v>2888</v>
      </c>
      <c r="B1282" s="6">
        <v>177870</v>
      </c>
      <c r="C1282" s="6">
        <v>0</v>
      </c>
      <c r="D1282" s="6">
        <v>1</v>
      </c>
      <c r="E1282" s="6">
        <v>53</v>
      </c>
      <c r="F1282" s="5" t="s">
        <v>6</v>
      </c>
      <c r="G1282" s="5" t="s">
        <v>11</v>
      </c>
      <c r="H1282" s="3" t="s">
        <v>406</v>
      </c>
      <c r="I1282" s="5" t="s">
        <v>438</v>
      </c>
      <c r="J1282" s="5">
        <f>_xlfn.XLOOKUP(CustomerCombined[[#This Row],[ID]], Table4[ID], Table4[Recency], "Not Found", 0)</f>
        <v>93</v>
      </c>
      <c r="K1282" s="5">
        <f>_xlfn.XLOOKUP(CustomerCombined[[#This Row],[ID]], Table4[ID], Table4[Teas], "Not Found", 0)</f>
        <v>2323</v>
      </c>
      <c r="L1282" s="5">
        <f>_xlfn.XLOOKUP(CustomerCombined[[#This Row],[ID]], Table4[ID], Table4[Fruits], "Not Found", 0)</f>
        <v>114</v>
      </c>
      <c r="M1282" s="5">
        <f>_xlfn.XLOOKUP(CustomerCombined[[#This Row],[ID]], Table4[ID], Table4[Meats], "Not Found", 0)</f>
        <v>1142</v>
      </c>
      <c r="N1282" s="5">
        <f>_xlfn.XLOOKUP(CustomerCombined[[#This Row],[ID]], Table4[ID], Table4[Seafood], "Not Found", 0)</f>
        <v>148</v>
      </c>
      <c r="O1282" s="5">
        <f>_xlfn.XLOOKUP(CustomerCombined[[#This Row],[ID]], Table4[ID], Table4[Sweets], "Not Found", 0)</f>
        <v>114</v>
      </c>
      <c r="P1282" s="5">
        <f>_xlfn.XLOOKUP(CustomerCombined[[#This Row],[ID]], Table4[ID], Table4[Premium], "Not Found", 0)</f>
        <v>304</v>
      </c>
      <c r="Q1282" s="5">
        <f>_xlfn.XLOOKUP(CustomerCombined[[#This Row],[ID]], Table4[ID], Table4[Regular], "Not Found", 0)</f>
        <v>3538</v>
      </c>
      <c r="R1282" s="5">
        <f>_xlfn.XLOOKUP(CustomerCombined[[#This Row],[ID]], Table4[ID], Table4[Deals], "Not Found", 0)</f>
        <v>3</v>
      </c>
      <c r="S1282" s="5">
        <f>_xlfn.XLOOKUP(CustomerCombined[[#This Row],[ID]], Table4[ID], Table4[Website], "Not Found", 0)</f>
        <v>5</v>
      </c>
      <c r="T1282" s="5">
        <f>_xlfn.XLOOKUP(CustomerCombined[[#This Row],[ID]], Table4[ID], Table4[Catalog], "Not Found", 0)</f>
        <v>5</v>
      </c>
      <c r="U1282" s="5">
        <f>_xlfn.XLOOKUP(CustomerCombined[[#This Row],[ID]], Table4[ID], Table4[Store], "Not Found", 0)</f>
        <v>5</v>
      </c>
      <c r="V1282" s="5">
        <f>_xlfn.XLOOKUP(CustomerCombined[[#This Row],[ID]], Table4[ID], Table4[Visits], "Not Found", 0)</f>
        <v>8</v>
      </c>
      <c r="W1282" s="8">
        <f>_xlfn.XLOOKUP(CustomerCombined[[#This Row],[ID]], Table2[ID],Table2[Complaint], "Not Found", 0 )</f>
        <v>0</v>
      </c>
      <c r="X1282" s="8">
        <f>_xlfn.XLOOKUP(CustomerCombined[[#This Row],[ID]], Table2[ID],Table2[Pilot], "Not Found", 0 )</f>
        <v>1</v>
      </c>
      <c r="Y1282" s="8">
        <f>_xlfn.XLOOKUP(CustomerCombined[[#This Row],[ID]], Table2[ID],Table2[MC1], "Not Found", 0 )</f>
        <v>1</v>
      </c>
      <c r="Z1282" s="8">
        <f>_xlfn.XLOOKUP(CustomerCombined[[#This Row],[ID]], Table2[ID],Table2[MC2], "Not Found", 0 )</f>
        <v>0</v>
      </c>
      <c r="AA1282" s="8">
        <f>_xlfn.XLOOKUP(CustomerCombined[[#This Row],[ID]], Table2[ID],Table2[MC3], "Not Found", 0 )</f>
        <v>0</v>
      </c>
      <c r="AB1282" s="8">
        <f>_xlfn.XLOOKUP(CustomerCombined[[#This Row],[ID]], Table2[ID],Table2[MC4], "Not Found", 0 )</f>
        <v>1</v>
      </c>
      <c r="AC1282" s="8">
        <f>_xlfn.XLOOKUP(CustomerCombined[[#This Row],[ID]], Table2[ID],Table2[MC5], "Not Found", 0 )</f>
        <v>0</v>
      </c>
    </row>
    <row r="1283" spans="1:29" x14ac:dyDescent="0.3">
      <c r="A1283" s="6">
        <v>2233</v>
      </c>
      <c r="B1283" s="6">
        <v>177766</v>
      </c>
      <c r="C1283" s="6">
        <v>0</v>
      </c>
      <c r="D1283" s="6">
        <v>1</v>
      </c>
      <c r="E1283" s="6">
        <v>53</v>
      </c>
      <c r="F1283" s="5" t="s">
        <v>6</v>
      </c>
      <c r="G1283" s="5" t="s">
        <v>13</v>
      </c>
      <c r="H1283" s="3" t="s">
        <v>301</v>
      </c>
      <c r="I1283" s="5" t="s">
        <v>437</v>
      </c>
      <c r="J1283" s="5">
        <f>_xlfn.XLOOKUP(CustomerCombined[[#This Row],[ID]], Table4[ID], Table4[Recency], "Not Found", 0)</f>
        <v>97</v>
      </c>
      <c r="K1283" s="5">
        <f>_xlfn.XLOOKUP(CustomerCombined[[#This Row],[ID]], Table4[ID], Table4[Teas], "Not Found", 0)</f>
        <v>2295</v>
      </c>
      <c r="L1283" s="5">
        <f>_xlfn.XLOOKUP(CustomerCombined[[#This Row],[ID]], Table4[ID], Table4[Fruits], "Not Found", 0)</f>
        <v>135</v>
      </c>
      <c r="M1283" s="5">
        <f>_xlfn.XLOOKUP(CustomerCombined[[#This Row],[ID]], Table4[ID], Table4[Meats], "Not Found", 0)</f>
        <v>606</v>
      </c>
      <c r="N1283" s="5">
        <f>_xlfn.XLOOKUP(CustomerCombined[[#This Row],[ID]], Table4[ID], Table4[Seafood], "Not Found", 0)</f>
        <v>263</v>
      </c>
      <c r="O1283" s="5">
        <f>_xlfn.XLOOKUP(CustomerCombined[[#This Row],[ID]], Table4[ID], Table4[Sweets], "Not Found", 0)</f>
        <v>135</v>
      </c>
      <c r="P1283" s="5">
        <f>_xlfn.XLOOKUP(CustomerCombined[[#This Row],[ID]], Table4[ID], Table4[Premium], "Not Found", 0)</f>
        <v>62</v>
      </c>
      <c r="Q1283" s="5">
        <f>_xlfn.XLOOKUP(CustomerCombined[[#This Row],[ID]], Table4[ID], Table4[Regular], "Not Found", 0)</f>
        <v>3372</v>
      </c>
      <c r="R1283" s="5">
        <f>_xlfn.XLOOKUP(CustomerCombined[[#This Row],[ID]], Table4[ID], Table4[Deals], "Not Found", 0)</f>
        <v>2</v>
      </c>
      <c r="S1283" s="5">
        <f>_xlfn.XLOOKUP(CustomerCombined[[#This Row],[ID]], Table4[ID], Table4[Website], "Not Found", 0)</f>
        <v>11</v>
      </c>
      <c r="T1283" s="5">
        <f>_xlfn.XLOOKUP(CustomerCombined[[#This Row],[ID]], Table4[ID], Table4[Catalog], "Not Found", 0)</f>
        <v>10</v>
      </c>
      <c r="U1283" s="5">
        <f>_xlfn.XLOOKUP(CustomerCombined[[#This Row],[ID]], Table4[ID], Table4[Store], "Not Found", 0)</f>
        <v>11</v>
      </c>
      <c r="V1283" s="5">
        <f>_xlfn.XLOOKUP(CustomerCombined[[#This Row],[ID]], Table4[ID], Table4[Visits], "Not Found", 0)</f>
        <v>6</v>
      </c>
      <c r="W1283" s="8">
        <f>_xlfn.XLOOKUP(CustomerCombined[[#This Row],[ID]], Table2[ID],Table2[Complaint], "Not Found", 0 )</f>
        <v>0</v>
      </c>
      <c r="X1283" s="8">
        <f>_xlfn.XLOOKUP(CustomerCombined[[#This Row],[ID]], Table2[ID],Table2[Pilot], "Not Found", 0 )</f>
        <v>1</v>
      </c>
      <c r="Y1283" s="8">
        <f>_xlfn.XLOOKUP(CustomerCombined[[#This Row],[ID]], Table2[ID],Table2[MC1], "Not Found", 0 )</f>
        <v>0</v>
      </c>
      <c r="Z1283" s="8">
        <f>_xlfn.XLOOKUP(CustomerCombined[[#This Row],[ID]], Table2[ID],Table2[MC2], "Not Found", 0 )</f>
        <v>0</v>
      </c>
      <c r="AA1283" s="8">
        <f>_xlfn.XLOOKUP(CustomerCombined[[#This Row],[ID]], Table2[ID],Table2[MC3], "Not Found", 0 )</f>
        <v>1</v>
      </c>
      <c r="AB1283" s="8">
        <f>_xlfn.XLOOKUP(CustomerCombined[[#This Row],[ID]], Table2[ID],Table2[MC4], "Not Found", 0 )</f>
        <v>0</v>
      </c>
      <c r="AC1283" s="8">
        <f>_xlfn.XLOOKUP(CustomerCombined[[#This Row],[ID]], Table2[ID],Table2[MC5], "Not Found", 0 )</f>
        <v>0</v>
      </c>
    </row>
    <row r="1284" spans="1:29" x14ac:dyDescent="0.3">
      <c r="A1284" s="6">
        <v>2644</v>
      </c>
      <c r="B1284" s="6">
        <v>177766</v>
      </c>
      <c r="C1284" s="6">
        <v>0</v>
      </c>
      <c r="D1284" s="6">
        <v>1</v>
      </c>
      <c r="E1284" s="6">
        <v>53</v>
      </c>
      <c r="F1284" s="5" t="s">
        <v>6</v>
      </c>
      <c r="G1284" s="5" t="s">
        <v>13</v>
      </c>
      <c r="H1284" s="3" t="s">
        <v>301</v>
      </c>
      <c r="I1284" s="5" t="s">
        <v>439</v>
      </c>
      <c r="J1284" s="5">
        <f>_xlfn.XLOOKUP(CustomerCombined[[#This Row],[ID]], Table4[ID], Table4[Recency], "Not Found", 0)</f>
        <v>97</v>
      </c>
      <c r="K1284" s="5">
        <f>_xlfn.XLOOKUP(CustomerCombined[[#This Row],[ID]], Table4[ID], Table4[Teas], "Not Found", 0)</f>
        <v>2295</v>
      </c>
      <c r="L1284" s="5">
        <f>_xlfn.XLOOKUP(CustomerCombined[[#This Row],[ID]], Table4[ID], Table4[Fruits], "Not Found", 0)</f>
        <v>135</v>
      </c>
      <c r="M1284" s="5">
        <f>_xlfn.XLOOKUP(CustomerCombined[[#This Row],[ID]], Table4[ID], Table4[Meats], "Not Found", 0)</f>
        <v>606</v>
      </c>
      <c r="N1284" s="5">
        <f>_xlfn.XLOOKUP(CustomerCombined[[#This Row],[ID]], Table4[ID], Table4[Seafood], "Not Found", 0)</f>
        <v>263</v>
      </c>
      <c r="O1284" s="5">
        <f>_xlfn.XLOOKUP(CustomerCombined[[#This Row],[ID]], Table4[ID], Table4[Sweets], "Not Found", 0)</f>
        <v>135</v>
      </c>
      <c r="P1284" s="5">
        <f>_xlfn.XLOOKUP(CustomerCombined[[#This Row],[ID]], Table4[ID], Table4[Premium], "Not Found", 0)</f>
        <v>62</v>
      </c>
      <c r="Q1284" s="5">
        <f>_xlfn.XLOOKUP(CustomerCombined[[#This Row],[ID]], Table4[ID], Table4[Regular], "Not Found", 0)</f>
        <v>3372</v>
      </c>
      <c r="R1284" s="5">
        <f>_xlfn.XLOOKUP(CustomerCombined[[#This Row],[ID]], Table4[ID], Table4[Deals], "Not Found", 0)</f>
        <v>2</v>
      </c>
      <c r="S1284" s="5">
        <f>_xlfn.XLOOKUP(CustomerCombined[[#This Row],[ID]], Table4[ID], Table4[Website], "Not Found", 0)</f>
        <v>11</v>
      </c>
      <c r="T1284" s="5">
        <f>_xlfn.XLOOKUP(CustomerCombined[[#This Row],[ID]], Table4[ID], Table4[Catalog], "Not Found", 0)</f>
        <v>10</v>
      </c>
      <c r="U1284" s="5">
        <f>_xlfn.XLOOKUP(CustomerCombined[[#This Row],[ID]], Table4[ID], Table4[Store], "Not Found", 0)</f>
        <v>11</v>
      </c>
      <c r="V1284" s="5">
        <f>_xlfn.XLOOKUP(CustomerCombined[[#This Row],[ID]], Table4[ID], Table4[Visits], "Not Found", 0)</f>
        <v>6</v>
      </c>
      <c r="W1284" s="8">
        <f>_xlfn.XLOOKUP(CustomerCombined[[#This Row],[ID]], Table2[ID],Table2[Complaint], "Not Found", 0 )</f>
        <v>0</v>
      </c>
      <c r="X1284" s="8">
        <f>_xlfn.XLOOKUP(CustomerCombined[[#This Row],[ID]], Table2[ID],Table2[Pilot], "Not Found", 0 )</f>
        <v>1</v>
      </c>
      <c r="Y1284" s="8">
        <f>_xlfn.XLOOKUP(CustomerCombined[[#This Row],[ID]], Table2[ID],Table2[MC1], "Not Found", 0 )</f>
        <v>0</v>
      </c>
      <c r="Z1284" s="8">
        <f>_xlfn.XLOOKUP(CustomerCombined[[#This Row],[ID]], Table2[ID],Table2[MC2], "Not Found", 0 )</f>
        <v>0</v>
      </c>
      <c r="AA1284" s="8">
        <f>_xlfn.XLOOKUP(CustomerCombined[[#This Row],[ID]], Table2[ID],Table2[MC3], "Not Found", 0 )</f>
        <v>1</v>
      </c>
      <c r="AB1284" s="8">
        <f>_xlfn.XLOOKUP(CustomerCombined[[#This Row],[ID]], Table2[ID],Table2[MC4], "Not Found", 0 )</f>
        <v>0</v>
      </c>
      <c r="AC1284" s="8">
        <f>_xlfn.XLOOKUP(CustomerCombined[[#This Row],[ID]], Table2[ID],Table2[MC5], "Not Found", 0 )</f>
        <v>0</v>
      </c>
    </row>
    <row r="1285" spans="1:29" x14ac:dyDescent="0.3">
      <c r="A1285" s="6">
        <v>1521</v>
      </c>
      <c r="B1285" s="6">
        <v>176982</v>
      </c>
      <c r="C1285" s="6">
        <v>0</v>
      </c>
      <c r="D1285" s="6">
        <v>0</v>
      </c>
      <c r="E1285" s="6">
        <v>53</v>
      </c>
      <c r="F1285" s="5" t="s">
        <v>5</v>
      </c>
      <c r="G1285" s="5" t="s">
        <v>11</v>
      </c>
      <c r="H1285" s="3" t="s">
        <v>98</v>
      </c>
      <c r="I1285" s="5" t="s">
        <v>435</v>
      </c>
      <c r="J1285" s="5">
        <f>_xlfn.XLOOKUP(CustomerCombined[[#This Row],[ID]], Table4[ID], Table4[Recency], "Not Found", 0)</f>
        <v>19</v>
      </c>
      <c r="K1285" s="5">
        <f>_xlfn.XLOOKUP(CustomerCombined[[#This Row],[ID]], Table4[ID], Table4[Teas], "Not Found", 0)</f>
        <v>1067</v>
      </c>
      <c r="L1285" s="5">
        <f>_xlfn.XLOOKUP(CustomerCombined[[#This Row],[ID]], Table4[ID], Table4[Fruits], "Not Found", 0)</f>
        <v>347</v>
      </c>
      <c r="M1285" s="5">
        <f>_xlfn.XLOOKUP(CustomerCombined[[#This Row],[ID]], Table4[ID], Table4[Meats], "Not Found", 0)</f>
        <v>671</v>
      </c>
      <c r="N1285" s="5">
        <f>_xlfn.XLOOKUP(CustomerCombined[[#This Row],[ID]], Table4[ID], Table4[Seafood], "Not Found", 0)</f>
        <v>149</v>
      </c>
      <c r="O1285" s="5">
        <f>_xlfn.XLOOKUP(CustomerCombined[[#This Row],[ID]], Table4[ID], Table4[Sweets], "Not Found", 0)</f>
        <v>138</v>
      </c>
      <c r="P1285" s="5">
        <f>_xlfn.XLOOKUP(CustomerCombined[[#This Row],[ID]], Table4[ID], Table4[Premium], "Not Found", 0)</f>
        <v>69</v>
      </c>
      <c r="Q1285" s="5">
        <f>_xlfn.XLOOKUP(CustomerCombined[[#This Row],[ID]], Table4[ID], Table4[Regular], "Not Found", 0)</f>
        <v>2304</v>
      </c>
      <c r="R1285" s="5">
        <f>_xlfn.XLOOKUP(CustomerCombined[[#This Row],[ID]], Table4[ID], Table4[Deals], "Not Found", 0)</f>
        <v>1</v>
      </c>
      <c r="S1285" s="5">
        <f>_xlfn.XLOOKUP(CustomerCombined[[#This Row],[ID]], Table4[ID], Table4[Website], "Not Found", 0)</f>
        <v>8</v>
      </c>
      <c r="T1285" s="5">
        <f>_xlfn.XLOOKUP(CustomerCombined[[#This Row],[ID]], Table4[ID], Table4[Catalog], "Not Found", 0)</f>
        <v>3</v>
      </c>
      <c r="U1285" s="5">
        <f>_xlfn.XLOOKUP(CustomerCombined[[#This Row],[ID]], Table4[ID], Table4[Store], "Not Found", 0)</f>
        <v>4</v>
      </c>
      <c r="V1285" s="5">
        <f>_xlfn.XLOOKUP(CustomerCombined[[#This Row],[ID]], Table4[ID], Table4[Visits], "Not Found", 0)</f>
        <v>4</v>
      </c>
      <c r="W1285" s="8">
        <f>_xlfn.XLOOKUP(CustomerCombined[[#This Row],[ID]], Table2[ID],Table2[Complaint], "Not Found", 0 )</f>
        <v>0</v>
      </c>
      <c r="X1285" s="8">
        <f>_xlfn.XLOOKUP(CustomerCombined[[#This Row],[ID]], Table2[ID],Table2[Pilot], "Not Found", 0 )</f>
        <v>1</v>
      </c>
      <c r="Y1285" s="8">
        <f>_xlfn.XLOOKUP(CustomerCombined[[#This Row],[ID]], Table2[ID],Table2[MC1], "Not Found", 0 )</f>
        <v>0</v>
      </c>
      <c r="Z1285" s="8">
        <f>_xlfn.XLOOKUP(CustomerCombined[[#This Row],[ID]], Table2[ID],Table2[MC2], "Not Found", 0 )</f>
        <v>0</v>
      </c>
      <c r="AA1285" s="8">
        <f>_xlfn.XLOOKUP(CustomerCombined[[#This Row],[ID]], Table2[ID],Table2[MC3], "Not Found", 0 )</f>
        <v>0</v>
      </c>
      <c r="AB1285" s="8">
        <f>_xlfn.XLOOKUP(CustomerCombined[[#This Row],[ID]], Table2[ID],Table2[MC4], "Not Found", 0 )</f>
        <v>0</v>
      </c>
      <c r="AC1285" s="8">
        <f>_xlfn.XLOOKUP(CustomerCombined[[#This Row],[ID]], Table2[ID],Table2[MC5], "Not Found", 0 )</f>
        <v>1</v>
      </c>
    </row>
    <row r="1286" spans="1:29" x14ac:dyDescent="0.3">
      <c r="A1286" s="6">
        <v>1241</v>
      </c>
      <c r="B1286" s="6">
        <v>175702</v>
      </c>
      <c r="C1286" s="6">
        <v>1</v>
      </c>
      <c r="D1286" s="6">
        <v>1</v>
      </c>
      <c r="E1286" s="6">
        <v>53</v>
      </c>
      <c r="F1286" s="5" t="s">
        <v>8</v>
      </c>
      <c r="G1286" s="5" t="s">
        <v>11</v>
      </c>
      <c r="H1286" s="3">
        <v>43526</v>
      </c>
      <c r="I1286" s="5" t="s">
        <v>434</v>
      </c>
      <c r="J1286" s="5">
        <f>_xlfn.XLOOKUP(CustomerCombined[[#This Row],[ID]], Table4[ID], Table4[Recency], "Not Found", 0)</f>
        <v>77</v>
      </c>
      <c r="K1286" s="5">
        <f>_xlfn.XLOOKUP(CustomerCombined[[#This Row],[ID]], Table4[ID], Table4[Teas], "Not Found", 0)</f>
        <v>1509</v>
      </c>
      <c r="L1286" s="5">
        <f>_xlfn.XLOOKUP(CustomerCombined[[#This Row],[ID]], Table4[ID], Table4[Fruits], "Not Found", 0)</f>
        <v>65</v>
      </c>
      <c r="M1286" s="5">
        <f>_xlfn.XLOOKUP(CustomerCombined[[#This Row],[ID]], Table4[ID], Table4[Meats], "Not Found", 0)</f>
        <v>819</v>
      </c>
      <c r="N1286" s="5">
        <f>_xlfn.XLOOKUP(CustomerCombined[[#This Row],[ID]], Table4[ID], Table4[Seafood], "Not Found", 0)</f>
        <v>104</v>
      </c>
      <c r="O1286" s="5">
        <f>_xlfn.XLOOKUP(CustomerCombined[[#This Row],[ID]], Table4[ID], Table4[Sweets], "Not Found", 0)</f>
        <v>97</v>
      </c>
      <c r="P1286" s="5">
        <f>_xlfn.XLOOKUP(CustomerCombined[[#This Row],[ID]], Table4[ID], Table4[Premium], "Not Found", 0)</f>
        <v>70</v>
      </c>
      <c r="Q1286" s="5">
        <f>_xlfn.XLOOKUP(CustomerCombined[[#This Row],[ID]], Table4[ID], Table4[Regular], "Not Found", 0)</f>
        <v>2525</v>
      </c>
      <c r="R1286" s="5">
        <f>_xlfn.XLOOKUP(CustomerCombined[[#This Row],[ID]], Table4[ID], Table4[Deals], "Not Found", 0)</f>
        <v>5</v>
      </c>
      <c r="S1286" s="5">
        <f>_xlfn.XLOOKUP(CustomerCombined[[#This Row],[ID]], Table4[ID], Table4[Website], "Not Found", 0)</f>
        <v>4</v>
      </c>
      <c r="T1286" s="5">
        <f>_xlfn.XLOOKUP(CustomerCombined[[#This Row],[ID]], Table4[ID], Table4[Catalog], "Not Found", 0)</f>
        <v>6</v>
      </c>
      <c r="U1286" s="5">
        <f>_xlfn.XLOOKUP(CustomerCombined[[#This Row],[ID]], Table4[ID], Table4[Store], "Not Found", 0)</f>
        <v>11</v>
      </c>
      <c r="V1286" s="5">
        <f>_xlfn.XLOOKUP(CustomerCombined[[#This Row],[ID]], Table4[ID], Table4[Visits], "Not Found", 0)</f>
        <v>8</v>
      </c>
      <c r="W1286" s="8">
        <f>_xlfn.XLOOKUP(CustomerCombined[[#This Row],[ID]], Table2[ID],Table2[Complaint], "Not Found", 0 )</f>
        <v>0</v>
      </c>
      <c r="X1286" s="8">
        <f>_xlfn.XLOOKUP(CustomerCombined[[#This Row],[ID]], Table2[ID],Table2[Pilot], "Not Found", 0 )</f>
        <v>0</v>
      </c>
      <c r="Y1286" s="8">
        <f>_xlfn.XLOOKUP(CustomerCombined[[#This Row],[ID]], Table2[ID],Table2[MC1], "Not Found", 0 )</f>
        <v>0</v>
      </c>
      <c r="Z1286" s="8">
        <f>_xlfn.XLOOKUP(CustomerCombined[[#This Row],[ID]], Table2[ID],Table2[MC2], "Not Found", 0 )</f>
        <v>0</v>
      </c>
      <c r="AA1286" s="8">
        <f>_xlfn.XLOOKUP(CustomerCombined[[#This Row],[ID]], Table2[ID],Table2[MC3], "Not Found", 0 )</f>
        <v>0</v>
      </c>
      <c r="AB1286" s="8">
        <f>_xlfn.XLOOKUP(CustomerCombined[[#This Row],[ID]], Table2[ID],Table2[MC4], "Not Found", 0 )</f>
        <v>0</v>
      </c>
      <c r="AC1286" s="8">
        <f>_xlfn.XLOOKUP(CustomerCombined[[#This Row],[ID]], Table2[ID],Table2[MC5], "Not Found", 0 )</f>
        <v>0</v>
      </c>
    </row>
    <row r="1287" spans="1:29" x14ac:dyDescent="0.3">
      <c r="A1287" s="6">
        <v>2410</v>
      </c>
      <c r="B1287" s="6">
        <v>170844</v>
      </c>
      <c r="C1287" s="6">
        <v>1</v>
      </c>
      <c r="D1287" s="6">
        <v>1</v>
      </c>
      <c r="E1287" s="6">
        <v>53</v>
      </c>
      <c r="F1287" s="5" t="s">
        <v>5</v>
      </c>
      <c r="G1287" s="5" t="s">
        <v>11</v>
      </c>
      <c r="H1287" s="3">
        <v>43955</v>
      </c>
      <c r="I1287" s="5" t="s">
        <v>439</v>
      </c>
      <c r="J1287" s="5">
        <f>_xlfn.XLOOKUP(CustomerCombined[[#This Row],[ID]], Table4[ID], Table4[Recency], "Not Found", 0)</f>
        <v>16</v>
      </c>
      <c r="K1287" s="5">
        <f>_xlfn.XLOOKUP(CustomerCombined[[#This Row],[ID]], Table4[ID], Table4[Teas], "Not Found", 0)</f>
        <v>311</v>
      </c>
      <c r="L1287" s="5">
        <f>_xlfn.XLOOKUP(CustomerCombined[[#This Row],[ID]], Table4[ID], Table4[Fruits], "Not Found", 0)</f>
        <v>63</v>
      </c>
      <c r="M1287" s="5">
        <f>_xlfn.XLOOKUP(CustomerCombined[[#This Row],[ID]], Table4[ID], Table4[Meats], "Not Found", 0)</f>
        <v>162</v>
      </c>
      <c r="N1287" s="5">
        <f>_xlfn.XLOOKUP(CustomerCombined[[#This Row],[ID]], Table4[ID], Table4[Seafood], "Not Found", 0)</f>
        <v>7</v>
      </c>
      <c r="O1287" s="5">
        <f>_xlfn.XLOOKUP(CustomerCombined[[#This Row],[ID]], Table4[ID], Table4[Sweets], "Not Found", 0)</f>
        <v>162</v>
      </c>
      <c r="P1287" s="5">
        <f>_xlfn.XLOOKUP(CustomerCombined[[#This Row],[ID]], Table4[ID], Table4[Premium], "Not Found", 0)</f>
        <v>5</v>
      </c>
      <c r="Q1287" s="5">
        <f>_xlfn.XLOOKUP(CustomerCombined[[#This Row],[ID]], Table4[ID], Table4[Regular], "Not Found", 0)</f>
        <v>699</v>
      </c>
      <c r="R1287" s="5">
        <f>_xlfn.XLOOKUP(CustomerCombined[[#This Row],[ID]], Table4[ID], Table4[Deals], "Not Found", 0)</f>
        <v>5</v>
      </c>
      <c r="S1287" s="5">
        <f>_xlfn.XLOOKUP(CustomerCombined[[#This Row],[ID]], Table4[ID], Table4[Website], "Not Found", 0)</f>
        <v>6</v>
      </c>
      <c r="T1287" s="5">
        <f>_xlfn.XLOOKUP(CustomerCombined[[#This Row],[ID]], Table4[ID], Table4[Catalog], "Not Found", 0)</f>
        <v>1</v>
      </c>
      <c r="U1287" s="5">
        <f>_xlfn.XLOOKUP(CustomerCombined[[#This Row],[ID]], Table4[ID], Table4[Store], "Not Found", 0)</f>
        <v>5</v>
      </c>
      <c r="V1287" s="5">
        <f>_xlfn.XLOOKUP(CustomerCombined[[#This Row],[ID]], Table4[ID], Table4[Visits], "Not Found", 0)</f>
        <v>7</v>
      </c>
      <c r="W1287" s="8">
        <f>_xlfn.XLOOKUP(CustomerCombined[[#This Row],[ID]], Table2[ID],Table2[Complaint], "Not Found", 0 )</f>
        <v>0</v>
      </c>
      <c r="X1287" s="8">
        <f>_xlfn.XLOOKUP(CustomerCombined[[#This Row],[ID]], Table2[ID],Table2[Pilot], "Not Found", 0 )</f>
        <v>0</v>
      </c>
      <c r="Y1287" s="8">
        <f>_xlfn.XLOOKUP(CustomerCombined[[#This Row],[ID]], Table2[ID],Table2[MC1], "Not Found", 0 )</f>
        <v>0</v>
      </c>
      <c r="Z1287" s="8">
        <f>_xlfn.XLOOKUP(CustomerCombined[[#This Row],[ID]], Table2[ID],Table2[MC2], "Not Found", 0 )</f>
        <v>0</v>
      </c>
      <c r="AA1287" s="8">
        <f>_xlfn.XLOOKUP(CustomerCombined[[#This Row],[ID]], Table2[ID],Table2[MC3], "Not Found", 0 )</f>
        <v>0</v>
      </c>
      <c r="AB1287" s="8">
        <f>_xlfn.XLOOKUP(CustomerCombined[[#This Row],[ID]], Table2[ID],Table2[MC4], "Not Found", 0 )</f>
        <v>0</v>
      </c>
      <c r="AC1287" s="8">
        <f>_xlfn.XLOOKUP(CustomerCombined[[#This Row],[ID]], Table2[ID],Table2[MC5], "Not Found", 0 )</f>
        <v>0</v>
      </c>
    </row>
    <row r="1288" spans="1:29" x14ac:dyDescent="0.3">
      <c r="A1288" s="6">
        <v>1941</v>
      </c>
      <c r="B1288" s="6">
        <v>170647</v>
      </c>
      <c r="C1288" s="6">
        <v>0</v>
      </c>
      <c r="D1288" s="6">
        <v>1</v>
      </c>
      <c r="E1288" s="6">
        <v>53</v>
      </c>
      <c r="F1288" s="5" t="s">
        <v>5</v>
      </c>
      <c r="G1288" s="5" t="s">
        <v>11</v>
      </c>
      <c r="H1288" s="3" t="s">
        <v>390</v>
      </c>
      <c r="I1288" s="5" t="s">
        <v>435</v>
      </c>
      <c r="J1288" s="5">
        <f>_xlfn.XLOOKUP(CustomerCombined[[#This Row],[ID]], Table4[ID], Table4[Recency], "Not Found", 0)</f>
        <v>65</v>
      </c>
      <c r="K1288" s="5">
        <f>_xlfn.XLOOKUP(CustomerCombined[[#This Row],[ID]], Table4[ID], Table4[Teas], "Not Found", 0)</f>
        <v>1355</v>
      </c>
      <c r="L1288" s="5">
        <f>_xlfn.XLOOKUP(CustomerCombined[[#This Row],[ID]], Table4[ID], Table4[Fruits], "Not Found", 0)</f>
        <v>205</v>
      </c>
      <c r="M1288" s="5">
        <f>_xlfn.XLOOKUP(CustomerCombined[[#This Row],[ID]], Table4[ID], Table4[Meats], "Not Found", 0)</f>
        <v>413</v>
      </c>
      <c r="N1288" s="5">
        <f>_xlfn.XLOOKUP(CustomerCombined[[#This Row],[ID]], Table4[ID], Table4[Seafood], "Not Found", 0)</f>
        <v>60</v>
      </c>
      <c r="O1288" s="5">
        <f>_xlfn.XLOOKUP(CustomerCombined[[#This Row],[ID]], Table4[ID], Table4[Sweets], "Not Found", 0)</f>
        <v>297</v>
      </c>
      <c r="P1288" s="5">
        <f>_xlfn.XLOOKUP(CustomerCombined[[#This Row],[ID]], Table4[ID], Table4[Premium], "Not Found", 0)</f>
        <v>275</v>
      </c>
      <c r="Q1288" s="5">
        <f>_xlfn.XLOOKUP(CustomerCombined[[#This Row],[ID]], Table4[ID], Table4[Regular], "Not Found", 0)</f>
        <v>2056</v>
      </c>
      <c r="R1288" s="5">
        <f>_xlfn.XLOOKUP(CustomerCombined[[#This Row],[ID]], Table4[ID], Table4[Deals], "Not Found", 0)</f>
        <v>2</v>
      </c>
      <c r="S1288" s="5">
        <f>_xlfn.XLOOKUP(CustomerCombined[[#This Row],[ID]], Table4[ID], Table4[Website], "Not Found", 0)</f>
        <v>4</v>
      </c>
      <c r="T1288" s="5">
        <f>_xlfn.XLOOKUP(CustomerCombined[[#This Row],[ID]], Table4[ID], Table4[Catalog], "Not Found", 0)</f>
        <v>7</v>
      </c>
      <c r="U1288" s="5">
        <f>_xlfn.XLOOKUP(CustomerCombined[[#This Row],[ID]], Table4[ID], Table4[Store], "Not Found", 0)</f>
        <v>13</v>
      </c>
      <c r="V1288" s="5">
        <f>_xlfn.XLOOKUP(CustomerCombined[[#This Row],[ID]], Table4[ID], Table4[Visits], "Not Found", 0)</f>
        <v>2</v>
      </c>
      <c r="W1288" s="8">
        <f>_xlfn.XLOOKUP(CustomerCombined[[#This Row],[ID]], Table2[ID],Table2[Complaint], "Not Found", 0 )</f>
        <v>0</v>
      </c>
      <c r="X1288" s="8">
        <f>_xlfn.XLOOKUP(CustomerCombined[[#This Row],[ID]], Table2[ID],Table2[Pilot], "Not Found", 0 )</f>
        <v>0</v>
      </c>
      <c r="Y1288" s="8">
        <f>_xlfn.XLOOKUP(CustomerCombined[[#This Row],[ID]], Table2[ID],Table2[MC1], "Not Found", 0 )</f>
        <v>0</v>
      </c>
      <c r="Z1288" s="8">
        <f>_xlfn.XLOOKUP(CustomerCombined[[#This Row],[ID]], Table2[ID],Table2[MC2], "Not Found", 0 )</f>
        <v>0</v>
      </c>
      <c r="AA1288" s="8">
        <f>_xlfn.XLOOKUP(CustomerCombined[[#This Row],[ID]], Table2[ID],Table2[MC3], "Not Found", 0 )</f>
        <v>0</v>
      </c>
      <c r="AB1288" s="8">
        <f>_xlfn.XLOOKUP(CustomerCombined[[#This Row],[ID]], Table2[ID],Table2[MC4], "Not Found", 0 )</f>
        <v>0</v>
      </c>
      <c r="AC1288" s="8">
        <f>_xlfn.XLOOKUP(CustomerCombined[[#This Row],[ID]], Table2[ID],Table2[MC5], "Not Found", 0 )</f>
        <v>0</v>
      </c>
    </row>
    <row r="1289" spans="1:29" x14ac:dyDescent="0.3">
      <c r="A1289" s="6">
        <v>1663</v>
      </c>
      <c r="B1289" s="6">
        <v>168743</v>
      </c>
      <c r="C1289" s="6">
        <v>0</v>
      </c>
      <c r="D1289" s="6">
        <v>0</v>
      </c>
      <c r="E1289" s="6">
        <v>53</v>
      </c>
      <c r="F1289" s="5" t="s">
        <v>5</v>
      </c>
      <c r="G1289" s="5" t="s">
        <v>11</v>
      </c>
      <c r="H1289" s="3">
        <v>43557</v>
      </c>
      <c r="I1289" s="5" t="s">
        <v>437</v>
      </c>
      <c r="J1289" s="5">
        <f>_xlfn.XLOOKUP(CustomerCombined[[#This Row],[ID]], Table4[ID], Table4[Recency], "Not Found", 0)</f>
        <v>81</v>
      </c>
      <c r="K1289" s="5">
        <f>_xlfn.XLOOKUP(CustomerCombined[[#This Row],[ID]], Table4[ID], Table4[Teas], "Not Found", 0)</f>
        <v>2779</v>
      </c>
      <c r="L1289" s="5">
        <f>_xlfn.XLOOKUP(CustomerCombined[[#This Row],[ID]], Table4[ID], Table4[Fruits], "Not Found", 0)</f>
        <v>329</v>
      </c>
      <c r="M1289" s="5">
        <f>_xlfn.XLOOKUP(CustomerCombined[[#This Row],[ID]], Table4[ID], Table4[Meats], "Not Found", 0)</f>
        <v>943</v>
      </c>
      <c r="N1289" s="5">
        <f>_xlfn.XLOOKUP(CustomerCombined[[#This Row],[ID]], Table4[ID], Table4[Seafood], "Not Found", 0)</f>
        <v>430</v>
      </c>
      <c r="O1289" s="5">
        <f>_xlfn.XLOOKUP(CustomerCombined[[#This Row],[ID]], Table4[ID], Table4[Sweets], "Not Found", 0)</f>
        <v>329</v>
      </c>
      <c r="P1289" s="5">
        <f>_xlfn.XLOOKUP(CustomerCombined[[#This Row],[ID]], Table4[ID], Table4[Premium], "Not Found", 0)</f>
        <v>282</v>
      </c>
      <c r="Q1289" s="5">
        <f>_xlfn.XLOOKUP(CustomerCombined[[#This Row],[ID]], Table4[ID], Table4[Regular], "Not Found", 0)</f>
        <v>4526</v>
      </c>
      <c r="R1289" s="5">
        <f>_xlfn.XLOOKUP(CustomerCombined[[#This Row],[ID]], Table4[ID], Table4[Deals], "Not Found", 0)</f>
        <v>1</v>
      </c>
      <c r="S1289" s="5">
        <f>_xlfn.XLOOKUP(CustomerCombined[[#This Row],[ID]], Table4[ID], Table4[Website], "Not Found", 0)</f>
        <v>11</v>
      </c>
      <c r="T1289" s="5">
        <f>_xlfn.XLOOKUP(CustomerCombined[[#This Row],[ID]], Table4[ID], Table4[Catalog], "Not Found", 0)</f>
        <v>5</v>
      </c>
      <c r="U1289" s="5">
        <f>_xlfn.XLOOKUP(CustomerCombined[[#This Row],[ID]], Table4[ID], Table4[Store], "Not Found", 0)</f>
        <v>13</v>
      </c>
      <c r="V1289" s="5">
        <f>_xlfn.XLOOKUP(CustomerCombined[[#This Row],[ID]], Table4[ID], Table4[Visits], "Not Found", 0)</f>
        <v>7</v>
      </c>
      <c r="W1289" s="8">
        <f>_xlfn.XLOOKUP(CustomerCombined[[#This Row],[ID]], Table2[ID],Table2[Complaint], "Not Found", 0 )</f>
        <v>0</v>
      </c>
      <c r="X1289" s="8">
        <f>_xlfn.XLOOKUP(CustomerCombined[[#This Row],[ID]], Table2[ID],Table2[Pilot], "Not Found", 0 )</f>
        <v>0</v>
      </c>
      <c r="Y1289" s="8">
        <f>_xlfn.XLOOKUP(CustomerCombined[[#This Row],[ID]], Table2[ID],Table2[MC1], "Not Found", 0 )</f>
        <v>0</v>
      </c>
      <c r="Z1289" s="8">
        <f>_xlfn.XLOOKUP(CustomerCombined[[#This Row],[ID]], Table2[ID],Table2[MC2], "Not Found", 0 )</f>
        <v>0</v>
      </c>
      <c r="AA1289" s="8">
        <f>_xlfn.XLOOKUP(CustomerCombined[[#This Row],[ID]], Table2[ID],Table2[MC3], "Not Found", 0 )</f>
        <v>0</v>
      </c>
      <c r="AB1289" s="8">
        <f>_xlfn.XLOOKUP(CustomerCombined[[#This Row],[ID]], Table2[ID],Table2[MC4], "Not Found", 0 )</f>
        <v>0</v>
      </c>
      <c r="AC1289" s="8">
        <f>_xlfn.XLOOKUP(CustomerCombined[[#This Row],[ID]], Table2[ID],Table2[MC5], "Not Found", 0 )</f>
        <v>0</v>
      </c>
    </row>
    <row r="1290" spans="1:29" x14ac:dyDescent="0.3">
      <c r="A1290" s="6">
        <v>1416</v>
      </c>
      <c r="B1290" s="6">
        <v>167309</v>
      </c>
      <c r="C1290" s="6">
        <v>1</v>
      </c>
      <c r="D1290" s="6">
        <v>1</v>
      </c>
      <c r="E1290" s="6">
        <v>53</v>
      </c>
      <c r="F1290" s="5" t="s">
        <v>8</v>
      </c>
      <c r="G1290" s="5" t="s">
        <v>442</v>
      </c>
      <c r="H1290" s="3" t="s">
        <v>318</v>
      </c>
      <c r="I1290" s="5" t="s">
        <v>436</v>
      </c>
      <c r="J1290" s="5">
        <f>_xlfn.XLOOKUP(CustomerCombined[[#This Row],[ID]], Table4[ID], Table4[Recency], "Not Found", 0)</f>
        <v>76</v>
      </c>
      <c r="K1290" s="5">
        <f>_xlfn.XLOOKUP(CustomerCombined[[#This Row],[ID]], Table4[ID], Table4[Teas], "Not Found", 0)</f>
        <v>1280</v>
      </c>
      <c r="L1290" s="5">
        <f>_xlfn.XLOOKUP(CustomerCombined[[#This Row],[ID]], Table4[ID], Table4[Fruits], "Not Found", 0)</f>
        <v>117</v>
      </c>
      <c r="M1290" s="5">
        <f>_xlfn.XLOOKUP(CustomerCombined[[#This Row],[ID]], Table4[ID], Table4[Meats], "Not Found", 0)</f>
        <v>450</v>
      </c>
      <c r="N1290" s="5">
        <f>_xlfn.XLOOKUP(CustomerCombined[[#This Row],[ID]], Table4[ID], Table4[Seafood], "Not Found", 0)</f>
        <v>370</v>
      </c>
      <c r="O1290" s="5">
        <f>_xlfn.XLOOKUP(CustomerCombined[[#This Row],[ID]], Table4[ID], Table4[Sweets], "Not Found", 0)</f>
        <v>236</v>
      </c>
      <c r="P1290" s="5">
        <f>_xlfn.XLOOKUP(CustomerCombined[[#This Row],[ID]], Table4[ID], Table4[Premium], "Not Found", 0)</f>
        <v>236</v>
      </c>
      <c r="Q1290" s="5">
        <f>_xlfn.XLOOKUP(CustomerCombined[[#This Row],[ID]], Table4[ID], Table4[Regular], "Not Found", 0)</f>
        <v>2217</v>
      </c>
      <c r="R1290" s="5">
        <f>_xlfn.XLOOKUP(CustomerCombined[[#This Row],[ID]], Table4[ID], Table4[Deals], "Not Found", 0)</f>
        <v>15</v>
      </c>
      <c r="S1290" s="5">
        <f>_xlfn.XLOOKUP(CustomerCombined[[#This Row],[ID]], Table4[ID], Table4[Website], "Not Found", 0)</f>
        <v>9</v>
      </c>
      <c r="T1290" s="5">
        <f>_xlfn.XLOOKUP(CustomerCombined[[#This Row],[ID]], Table4[ID], Table4[Catalog], "Not Found", 0)</f>
        <v>6</v>
      </c>
      <c r="U1290" s="5">
        <f>_xlfn.XLOOKUP(CustomerCombined[[#This Row],[ID]], Table4[ID], Table4[Store], "Not Found", 0)</f>
        <v>9</v>
      </c>
      <c r="V1290" s="5">
        <f>_xlfn.XLOOKUP(CustomerCombined[[#This Row],[ID]], Table4[ID], Table4[Visits], "Not Found", 0)</f>
        <v>7</v>
      </c>
      <c r="W1290" s="8">
        <f>_xlfn.XLOOKUP(CustomerCombined[[#This Row],[ID]], Table2[ID],Table2[Complaint], "Not Found", 0 )</f>
        <v>0</v>
      </c>
      <c r="X1290" s="8">
        <f>_xlfn.XLOOKUP(CustomerCombined[[#This Row],[ID]], Table2[ID],Table2[Pilot], "Not Found", 0 )</f>
        <v>0</v>
      </c>
      <c r="Y1290" s="8">
        <f>_xlfn.XLOOKUP(CustomerCombined[[#This Row],[ID]], Table2[ID],Table2[MC1], "Not Found", 0 )</f>
        <v>0</v>
      </c>
      <c r="Z1290" s="8">
        <f>_xlfn.XLOOKUP(CustomerCombined[[#This Row],[ID]], Table2[ID],Table2[MC2], "Not Found", 0 )</f>
        <v>0</v>
      </c>
      <c r="AA1290" s="8">
        <f>_xlfn.XLOOKUP(CustomerCombined[[#This Row],[ID]], Table2[ID],Table2[MC3], "Not Found", 0 )</f>
        <v>0</v>
      </c>
      <c r="AB1290" s="8">
        <f>_xlfn.XLOOKUP(CustomerCombined[[#This Row],[ID]], Table2[ID],Table2[MC4], "Not Found", 0 )</f>
        <v>0</v>
      </c>
      <c r="AC1290" s="8">
        <f>_xlfn.XLOOKUP(CustomerCombined[[#This Row],[ID]], Table2[ID],Table2[MC5], "Not Found", 0 )</f>
        <v>0</v>
      </c>
    </row>
    <row r="1291" spans="1:29" x14ac:dyDescent="0.3">
      <c r="A1291" s="6">
        <v>1883</v>
      </c>
      <c r="B1291" s="6">
        <v>166825</v>
      </c>
      <c r="C1291" s="6">
        <v>0</v>
      </c>
      <c r="D1291" s="6">
        <v>0</v>
      </c>
      <c r="E1291" s="6">
        <v>53</v>
      </c>
      <c r="F1291" s="5" t="s">
        <v>8</v>
      </c>
      <c r="G1291" s="5" t="s">
        <v>11</v>
      </c>
      <c r="H1291" s="3" t="s">
        <v>222</v>
      </c>
      <c r="I1291" s="5" t="s">
        <v>434</v>
      </c>
      <c r="J1291" s="5">
        <f>_xlfn.XLOOKUP(CustomerCombined[[#This Row],[ID]], Table4[ID], Table4[Recency], "Not Found", 0)</f>
        <v>73</v>
      </c>
      <c r="K1291" s="5">
        <f>_xlfn.XLOOKUP(CustomerCombined[[#This Row],[ID]], Table4[ID], Table4[Teas], "Not Found", 0)</f>
        <v>607</v>
      </c>
      <c r="L1291" s="5">
        <f>_xlfn.XLOOKUP(CustomerCombined[[#This Row],[ID]], Table4[ID], Table4[Fruits], "Not Found", 0)</f>
        <v>252</v>
      </c>
      <c r="M1291" s="5">
        <f>_xlfn.XLOOKUP(CustomerCombined[[#This Row],[ID]], Table4[ID], Table4[Meats], "Not Found", 0)</f>
        <v>1011</v>
      </c>
      <c r="N1291" s="5">
        <f>_xlfn.XLOOKUP(CustomerCombined[[#This Row],[ID]], Table4[ID], Table4[Seafood], "Not Found", 0)</f>
        <v>72</v>
      </c>
      <c r="O1291" s="5">
        <f>_xlfn.XLOOKUP(CustomerCombined[[#This Row],[ID]], Table4[ID], Table4[Sweets], "Not Found", 0)</f>
        <v>100</v>
      </c>
      <c r="P1291" s="5">
        <f>_xlfn.XLOOKUP(CustomerCombined[[#This Row],[ID]], Table4[ID], Table4[Premium], "Not Found", 0)</f>
        <v>100</v>
      </c>
      <c r="Q1291" s="5">
        <f>_xlfn.XLOOKUP(CustomerCombined[[#This Row],[ID]], Table4[ID], Table4[Regular], "Not Found", 0)</f>
        <v>1942</v>
      </c>
      <c r="R1291" s="5">
        <f>_xlfn.XLOOKUP(CustomerCombined[[#This Row],[ID]], Table4[ID], Table4[Deals], "Not Found", 0)</f>
        <v>1</v>
      </c>
      <c r="S1291" s="5">
        <f>_xlfn.XLOOKUP(CustomerCombined[[#This Row],[ID]], Table4[ID], Table4[Website], "Not Found", 0)</f>
        <v>4</v>
      </c>
      <c r="T1291" s="5">
        <f>_xlfn.XLOOKUP(CustomerCombined[[#This Row],[ID]], Table4[ID], Table4[Catalog], "Not Found", 0)</f>
        <v>5</v>
      </c>
      <c r="U1291" s="5">
        <f>_xlfn.XLOOKUP(CustomerCombined[[#This Row],[ID]], Table4[ID], Table4[Store], "Not Found", 0)</f>
        <v>6</v>
      </c>
      <c r="V1291" s="5">
        <f>_xlfn.XLOOKUP(CustomerCombined[[#This Row],[ID]], Table4[ID], Table4[Visits], "Not Found", 0)</f>
        <v>2</v>
      </c>
      <c r="W1291" s="8">
        <f>_xlfn.XLOOKUP(CustomerCombined[[#This Row],[ID]], Table2[ID],Table2[Complaint], "Not Found", 0 )</f>
        <v>0</v>
      </c>
      <c r="X1291" s="8">
        <f>_xlfn.XLOOKUP(CustomerCombined[[#This Row],[ID]], Table2[ID],Table2[Pilot], "Not Found", 0 )</f>
        <v>0</v>
      </c>
      <c r="Y1291" s="8">
        <f>_xlfn.XLOOKUP(CustomerCombined[[#This Row],[ID]], Table2[ID],Table2[MC1], "Not Found", 0 )</f>
        <v>0</v>
      </c>
      <c r="Z1291" s="8">
        <f>_xlfn.XLOOKUP(CustomerCombined[[#This Row],[ID]], Table2[ID],Table2[MC2], "Not Found", 0 )</f>
        <v>0</v>
      </c>
      <c r="AA1291" s="8">
        <f>_xlfn.XLOOKUP(CustomerCombined[[#This Row],[ID]], Table2[ID],Table2[MC3], "Not Found", 0 )</f>
        <v>0</v>
      </c>
      <c r="AB1291" s="8">
        <f>_xlfn.XLOOKUP(CustomerCombined[[#This Row],[ID]], Table2[ID],Table2[MC4], "Not Found", 0 )</f>
        <v>0</v>
      </c>
      <c r="AC1291" s="8">
        <f>_xlfn.XLOOKUP(CustomerCombined[[#This Row],[ID]], Table2[ID],Table2[MC5], "Not Found", 0 )</f>
        <v>0</v>
      </c>
    </row>
    <row r="1292" spans="1:29" x14ac:dyDescent="0.3">
      <c r="A1292" s="6">
        <v>1666</v>
      </c>
      <c r="B1292" s="6">
        <v>165777</v>
      </c>
      <c r="C1292" s="6">
        <v>0</v>
      </c>
      <c r="D1292" s="6">
        <v>0</v>
      </c>
      <c r="E1292" s="6">
        <v>53</v>
      </c>
      <c r="F1292" s="5" t="s">
        <v>8</v>
      </c>
      <c r="G1292" s="5" t="s">
        <v>11</v>
      </c>
      <c r="H1292" s="3" t="s">
        <v>129</v>
      </c>
      <c r="I1292" s="5" t="s">
        <v>439</v>
      </c>
      <c r="J1292" s="5">
        <f>_xlfn.XLOOKUP(CustomerCombined[[#This Row],[ID]], Table4[ID], Table4[Recency], "Not Found", 0)</f>
        <v>87</v>
      </c>
      <c r="K1292" s="5">
        <f>_xlfn.XLOOKUP(CustomerCombined[[#This Row],[ID]], Table4[ID], Table4[Teas], "Not Found", 0)</f>
        <v>1424</v>
      </c>
      <c r="L1292" s="5">
        <f>_xlfn.XLOOKUP(CustomerCombined[[#This Row],[ID]], Table4[ID], Table4[Fruits], "Not Found", 0)</f>
        <v>81</v>
      </c>
      <c r="M1292" s="5">
        <f>_xlfn.XLOOKUP(CustomerCombined[[#This Row],[ID]], Table4[ID], Table4[Meats], "Not Found", 0)</f>
        <v>1096</v>
      </c>
      <c r="N1292" s="5">
        <f>_xlfn.XLOOKUP(CustomerCombined[[#This Row],[ID]], Table4[ID], Table4[Seafood], "Not Found", 0)</f>
        <v>71</v>
      </c>
      <c r="O1292" s="5">
        <f>_xlfn.XLOOKUP(CustomerCombined[[#This Row],[ID]], Table4[ID], Table4[Sweets], "Not Found", 0)</f>
        <v>81</v>
      </c>
      <c r="P1292" s="5">
        <f>_xlfn.XLOOKUP(CustomerCombined[[#This Row],[ID]], Table4[ID], Table4[Premium], "Not Found", 0)</f>
        <v>136</v>
      </c>
      <c r="Q1292" s="5">
        <f>_xlfn.XLOOKUP(CustomerCombined[[#This Row],[ID]], Table4[ID], Table4[Regular], "Not Found", 0)</f>
        <v>2616</v>
      </c>
      <c r="R1292" s="5">
        <f>_xlfn.XLOOKUP(CustomerCombined[[#This Row],[ID]], Table4[ID], Table4[Deals], "Not Found", 0)</f>
        <v>1</v>
      </c>
      <c r="S1292" s="5">
        <f>_xlfn.XLOOKUP(CustomerCombined[[#This Row],[ID]], Table4[ID], Table4[Website], "Not Found", 0)</f>
        <v>2</v>
      </c>
      <c r="T1292" s="5">
        <f>_xlfn.XLOOKUP(CustomerCombined[[#This Row],[ID]], Table4[ID], Table4[Catalog], "Not Found", 0)</f>
        <v>8</v>
      </c>
      <c r="U1292" s="5">
        <f>_xlfn.XLOOKUP(CustomerCombined[[#This Row],[ID]], Table4[ID], Table4[Store], "Not Found", 0)</f>
        <v>6</v>
      </c>
      <c r="V1292" s="5">
        <f>_xlfn.XLOOKUP(CustomerCombined[[#This Row],[ID]], Table4[ID], Table4[Visits], "Not Found", 0)</f>
        <v>1</v>
      </c>
      <c r="W1292" s="8">
        <f>_xlfn.XLOOKUP(CustomerCombined[[#This Row],[ID]], Table2[ID],Table2[Complaint], "Not Found", 0 )</f>
        <v>0</v>
      </c>
      <c r="X1292" s="8">
        <f>_xlfn.XLOOKUP(CustomerCombined[[#This Row],[ID]], Table2[ID],Table2[Pilot], "Not Found", 0 )</f>
        <v>0</v>
      </c>
      <c r="Y1292" s="8">
        <f>_xlfn.XLOOKUP(CustomerCombined[[#This Row],[ID]], Table2[ID],Table2[MC1], "Not Found", 0 )</f>
        <v>0</v>
      </c>
      <c r="Z1292" s="8">
        <f>_xlfn.XLOOKUP(CustomerCombined[[#This Row],[ID]], Table2[ID],Table2[MC2], "Not Found", 0 )</f>
        <v>0</v>
      </c>
      <c r="AA1292" s="8">
        <f>_xlfn.XLOOKUP(CustomerCombined[[#This Row],[ID]], Table2[ID],Table2[MC3], "Not Found", 0 )</f>
        <v>0</v>
      </c>
      <c r="AB1292" s="8">
        <f>_xlfn.XLOOKUP(CustomerCombined[[#This Row],[ID]], Table2[ID],Table2[MC4], "Not Found", 0 )</f>
        <v>0</v>
      </c>
      <c r="AC1292" s="8">
        <f>_xlfn.XLOOKUP(CustomerCombined[[#This Row],[ID]], Table2[ID],Table2[MC5], "Not Found", 0 )</f>
        <v>0</v>
      </c>
    </row>
    <row r="1293" spans="1:29" x14ac:dyDescent="0.3">
      <c r="A1293" s="6">
        <v>3216</v>
      </c>
      <c r="B1293" s="6">
        <v>165090</v>
      </c>
      <c r="C1293" s="6">
        <v>0</v>
      </c>
      <c r="D1293" s="6">
        <v>1</v>
      </c>
      <c r="E1293" s="6">
        <v>53</v>
      </c>
      <c r="F1293" s="5" t="s">
        <v>6</v>
      </c>
      <c r="G1293" s="5" t="s">
        <v>11</v>
      </c>
      <c r="H1293" s="3" t="s">
        <v>239</v>
      </c>
      <c r="I1293" s="5" t="s">
        <v>436</v>
      </c>
      <c r="J1293" s="5">
        <f>_xlfn.XLOOKUP(CustomerCombined[[#This Row],[ID]], Table4[ID], Table4[Recency], "Not Found", 0)</f>
        <v>46</v>
      </c>
      <c r="K1293" s="5">
        <f>_xlfn.XLOOKUP(CustomerCombined[[#This Row],[ID]], Table4[ID], Table4[Teas], "Not Found", 0)</f>
        <v>1798</v>
      </c>
      <c r="L1293" s="5">
        <f>_xlfn.XLOOKUP(CustomerCombined[[#This Row],[ID]], Table4[ID], Table4[Fruits], "Not Found", 0)</f>
        <v>109</v>
      </c>
      <c r="M1293" s="5">
        <f>_xlfn.XLOOKUP(CustomerCombined[[#This Row],[ID]], Table4[ID], Table4[Meats], "Not Found", 0)</f>
        <v>462</v>
      </c>
      <c r="N1293" s="5">
        <f>_xlfn.XLOOKUP(CustomerCombined[[#This Row],[ID]], Table4[ID], Table4[Seafood], "Not Found", 0)</f>
        <v>107</v>
      </c>
      <c r="O1293" s="5">
        <f>_xlfn.XLOOKUP(CustomerCombined[[#This Row],[ID]], Table4[ID], Table4[Sweets], "Not Found", 0)</f>
        <v>299</v>
      </c>
      <c r="P1293" s="5">
        <f>_xlfn.XLOOKUP(CustomerCombined[[#This Row],[ID]], Table4[ID], Table4[Premium], "Not Found", 0)</f>
        <v>626</v>
      </c>
      <c r="Q1293" s="5">
        <f>_xlfn.XLOOKUP(CustomerCombined[[#This Row],[ID]], Table4[ID], Table4[Regular], "Not Found", 0)</f>
        <v>2148</v>
      </c>
      <c r="R1293" s="5">
        <f>_xlfn.XLOOKUP(CustomerCombined[[#This Row],[ID]], Table4[ID], Table4[Deals], "Not Found", 0)</f>
        <v>2</v>
      </c>
      <c r="S1293" s="5">
        <f>_xlfn.XLOOKUP(CustomerCombined[[#This Row],[ID]], Table4[ID], Table4[Website], "Not Found", 0)</f>
        <v>0</v>
      </c>
      <c r="T1293" s="5">
        <f>_xlfn.XLOOKUP(CustomerCombined[[#This Row],[ID]], Table4[ID], Table4[Catalog], "Not Found", 0)</f>
        <v>3</v>
      </c>
      <c r="U1293" s="5">
        <f>_xlfn.XLOOKUP(CustomerCombined[[#This Row],[ID]], Table4[ID], Table4[Store], "Not Found", 0)</f>
        <v>4</v>
      </c>
      <c r="V1293" s="5">
        <f>_xlfn.XLOOKUP(CustomerCombined[[#This Row],[ID]], Table4[ID], Table4[Visits], "Not Found", 0)</f>
        <v>5</v>
      </c>
      <c r="W1293" s="8">
        <f>_xlfn.XLOOKUP(CustomerCombined[[#This Row],[ID]], Table2[ID],Table2[Complaint], "Not Found", 0 )</f>
        <v>0</v>
      </c>
      <c r="X1293" s="8">
        <f>_xlfn.XLOOKUP(CustomerCombined[[#This Row],[ID]], Table2[ID],Table2[Pilot], "Not Found", 0 )</f>
        <v>0</v>
      </c>
      <c r="Y1293" s="8">
        <f>_xlfn.XLOOKUP(CustomerCombined[[#This Row],[ID]], Table2[ID],Table2[MC1], "Not Found", 0 )</f>
        <v>0</v>
      </c>
      <c r="Z1293" s="8">
        <f>_xlfn.XLOOKUP(CustomerCombined[[#This Row],[ID]], Table2[ID],Table2[MC2], "Not Found", 0 )</f>
        <v>0</v>
      </c>
      <c r="AA1293" s="8">
        <f>_xlfn.XLOOKUP(CustomerCombined[[#This Row],[ID]], Table2[ID],Table2[MC3], "Not Found", 0 )</f>
        <v>0</v>
      </c>
      <c r="AB1293" s="8">
        <f>_xlfn.XLOOKUP(CustomerCombined[[#This Row],[ID]], Table2[ID],Table2[MC4], "Not Found", 0 )</f>
        <v>0</v>
      </c>
      <c r="AC1293" s="8">
        <f>_xlfn.XLOOKUP(CustomerCombined[[#This Row],[ID]], Table2[ID],Table2[MC5], "Not Found", 0 )</f>
        <v>0</v>
      </c>
    </row>
    <row r="1294" spans="1:29" x14ac:dyDescent="0.3">
      <c r="A1294" s="6">
        <v>2641</v>
      </c>
      <c r="B1294" s="6">
        <v>163246</v>
      </c>
      <c r="C1294" s="6">
        <v>0</v>
      </c>
      <c r="D1294" s="6">
        <v>2</v>
      </c>
      <c r="E1294" s="6">
        <v>53</v>
      </c>
      <c r="F1294" s="5" t="s">
        <v>6</v>
      </c>
      <c r="G1294" s="5" t="s">
        <v>13</v>
      </c>
      <c r="H1294" s="3" t="s">
        <v>197</v>
      </c>
      <c r="I1294" s="5" t="s">
        <v>437</v>
      </c>
      <c r="J1294" s="5">
        <f>_xlfn.XLOOKUP(CustomerCombined[[#This Row],[ID]], Table4[ID], Table4[Recency], "Not Found", 0)</f>
        <v>60</v>
      </c>
      <c r="K1294" s="5">
        <f>_xlfn.XLOOKUP(CustomerCombined[[#This Row],[ID]], Table4[ID], Table4[Teas], "Not Found", 0)</f>
        <v>1531</v>
      </c>
      <c r="L1294" s="5">
        <f>_xlfn.XLOOKUP(CustomerCombined[[#This Row],[ID]], Table4[ID], Table4[Fruits], "Not Found", 0)</f>
        <v>77</v>
      </c>
      <c r="M1294" s="5">
        <f>_xlfn.XLOOKUP(CustomerCombined[[#This Row],[ID]], Table4[ID], Table4[Meats], "Not Found", 0)</f>
        <v>235</v>
      </c>
      <c r="N1294" s="5">
        <f>_xlfn.XLOOKUP(CustomerCombined[[#This Row],[ID]], Table4[ID], Table4[Seafood], "Not Found", 0)</f>
        <v>75</v>
      </c>
      <c r="O1294" s="5">
        <f>_xlfn.XLOOKUP(CustomerCombined[[#This Row],[ID]], Table4[ID], Table4[Sweets], "Not Found", 0)</f>
        <v>57</v>
      </c>
      <c r="P1294" s="5">
        <f>_xlfn.XLOOKUP(CustomerCombined[[#This Row],[ID]], Table4[ID], Table4[Premium], "Not Found", 0)</f>
        <v>18</v>
      </c>
      <c r="Q1294" s="5">
        <f>_xlfn.XLOOKUP(CustomerCombined[[#This Row],[ID]], Table4[ID], Table4[Regular], "Not Found", 0)</f>
        <v>1956</v>
      </c>
      <c r="R1294" s="5">
        <f>_xlfn.XLOOKUP(CustomerCombined[[#This Row],[ID]], Table4[ID], Table4[Deals], "Not Found", 0)</f>
        <v>1</v>
      </c>
      <c r="S1294" s="5">
        <f>_xlfn.XLOOKUP(CustomerCombined[[#This Row],[ID]], Table4[ID], Table4[Website], "Not Found", 0)</f>
        <v>6</v>
      </c>
      <c r="T1294" s="5">
        <f>_xlfn.XLOOKUP(CustomerCombined[[#This Row],[ID]], Table4[ID], Table4[Catalog], "Not Found", 0)</f>
        <v>3</v>
      </c>
      <c r="U1294" s="5">
        <f>_xlfn.XLOOKUP(CustomerCombined[[#This Row],[ID]], Table4[ID], Table4[Store], "Not Found", 0)</f>
        <v>12</v>
      </c>
      <c r="V1294" s="5">
        <f>_xlfn.XLOOKUP(CustomerCombined[[#This Row],[ID]], Table4[ID], Table4[Visits], "Not Found", 0)</f>
        <v>4</v>
      </c>
      <c r="W1294" s="8">
        <f>_xlfn.XLOOKUP(CustomerCombined[[#This Row],[ID]], Table2[ID],Table2[Complaint], "Not Found", 0 )</f>
        <v>0</v>
      </c>
      <c r="X1294" s="8">
        <f>_xlfn.XLOOKUP(CustomerCombined[[#This Row],[ID]], Table2[ID],Table2[Pilot], "Not Found", 0 )</f>
        <v>0</v>
      </c>
      <c r="Y1294" s="8">
        <f>_xlfn.XLOOKUP(CustomerCombined[[#This Row],[ID]], Table2[ID],Table2[MC1], "Not Found", 0 )</f>
        <v>0</v>
      </c>
      <c r="Z1294" s="8">
        <f>_xlfn.XLOOKUP(CustomerCombined[[#This Row],[ID]], Table2[ID],Table2[MC2], "Not Found", 0 )</f>
        <v>0</v>
      </c>
      <c r="AA1294" s="8">
        <f>_xlfn.XLOOKUP(CustomerCombined[[#This Row],[ID]], Table2[ID],Table2[MC3], "Not Found", 0 )</f>
        <v>0</v>
      </c>
      <c r="AB1294" s="8">
        <f>_xlfn.XLOOKUP(CustomerCombined[[#This Row],[ID]], Table2[ID],Table2[MC4], "Not Found", 0 )</f>
        <v>0</v>
      </c>
      <c r="AC1294" s="8">
        <f>_xlfn.XLOOKUP(CustomerCombined[[#This Row],[ID]], Table2[ID],Table2[MC5], "Not Found", 0 )</f>
        <v>0</v>
      </c>
    </row>
    <row r="1295" spans="1:29" x14ac:dyDescent="0.3">
      <c r="A1295" s="6">
        <v>1125</v>
      </c>
      <c r="B1295" s="6">
        <v>162981</v>
      </c>
      <c r="C1295" s="6">
        <v>0</v>
      </c>
      <c r="D1295" s="6">
        <v>0</v>
      </c>
      <c r="E1295" s="6">
        <v>53</v>
      </c>
      <c r="F1295" s="5" t="s">
        <v>8</v>
      </c>
      <c r="G1295" s="5" t="s">
        <v>13</v>
      </c>
      <c r="H1295" s="3" t="s">
        <v>291</v>
      </c>
      <c r="I1295" s="5" t="s">
        <v>435</v>
      </c>
      <c r="J1295" s="5">
        <f>_xlfn.XLOOKUP(CustomerCombined[[#This Row],[ID]], Table4[ID], Table4[Recency], "Not Found", 0)</f>
        <v>21</v>
      </c>
      <c r="K1295" s="5">
        <f>_xlfn.XLOOKUP(CustomerCombined[[#This Row],[ID]], Table4[ID], Table4[Teas], "Not Found", 0)</f>
        <v>2060</v>
      </c>
      <c r="L1295" s="5">
        <f>_xlfn.XLOOKUP(CustomerCombined[[#This Row],[ID]], Table4[ID], Table4[Fruits], "Not Found", 0)</f>
        <v>36</v>
      </c>
      <c r="M1295" s="5">
        <f>_xlfn.XLOOKUP(CustomerCombined[[#This Row],[ID]], Table4[ID], Table4[Meats], "Not Found", 0)</f>
        <v>1527</v>
      </c>
      <c r="N1295" s="5">
        <f>_xlfn.XLOOKUP(CustomerCombined[[#This Row],[ID]], Table4[ID], Table4[Seafood], "Not Found", 0)</f>
        <v>98</v>
      </c>
      <c r="O1295" s="5">
        <f>_xlfn.XLOOKUP(CustomerCombined[[#This Row],[ID]], Table4[ID], Table4[Sweets], "Not Found", 0)</f>
        <v>114</v>
      </c>
      <c r="P1295" s="5">
        <f>_xlfn.XLOOKUP(CustomerCombined[[#This Row],[ID]], Table4[ID], Table4[Premium], "Not Found", 0)</f>
        <v>0</v>
      </c>
      <c r="Q1295" s="5">
        <f>_xlfn.XLOOKUP(CustomerCombined[[#This Row],[ID]], Table4[ID], Table4[Regular], "Not Found", 0)</f>
        <v>3835</v>
      </c>
      <c r="R1295" s="5">
        <f>_xlfn.XLOOKUP(CustomerCombined[[#This Row],[ID]], Table4[ID], Table4[Deals], "Not Found", 0)</f>
        <v>1</v>
      </c>
      <c r="S1295" s="5">
        <f>_xlfn.XLOOKUP(CustomerCombined[[#This Row],[ID]], Table4[ID], Table4[Website], "Not Found", 0)</f>
        <v>4</v>
      </c>
      <c r="T1295" s="5">
        <f>_xlfn.XLOOKUP(CustomerCombined[[#This Row],[ID]], Table4[ID], Table4[Catalog], "Not Found", 0)</f>
        <v>5</v>
      </c>
      <c r="U1295" s="5">
        <f>_xlfn.XLOOKUP(CustomerCombined[[#This Row],[ID]], Table4[ID], Table4[Store], "Not Found", 0)</f>
        <v>13</v>
      </c>
      <c r="V1295" s="5">
        <f>_xlfn.XLOOKUP(CustomerCombined[[#This Row],[ID]], Table4[ID], Table4[Visits], "Not Found", 0)</f>
        <v>3</v>
      </c>
      <c r="W1295" s="8">
        <f>_xlfn.XLOOKUP(CustomerCombined[[#This Row],[ID]], Table2[ID],Table2[Complaint], "Not Found", 0 )</f>
        <v>0</v>
      </c>
      <c r="X1295" s="8">
        <f>_xlfn.XLOOKUP(CustomerCombined[[#This Row],[ID]], Table2[ID],Table2[Pilot], "Not Found", 0 )</f>
        <v>0</v>
      </c>
      <c r="Y1295" s="8">
        <f>_xlfn.XLOOKUP(CustomerCombined[[#This Row],[ID]], Table2[ID],Table2[MC1], "Not Found", 0 )</f>
        <v>0</v>
      </c>
      <c r="Z1295" s="8">
        <f>_xlfn.XLOOKUP(CustomerCombined[[#This Row],[ID]], Table2[ID],Table2[MC2], "Not Found", 0 )</f>
        <v>0</v>
      </c>
      <c r="AA1295" s="8">
        <f>_xlfn.XLOOKUP(CustomerCombined[[#This Row],[ID]], Table2[ID],Table2[MC3], "Not Found", 0 )</f>
        <v>0</v>
      </c>
      <c r="AB1295" s="8">
        <f>_xlfn.XLOOKUP(CustomerCombined[[#This Row],[ID]], Table2[ID],Table2[MC4], "Not Found", 0 )</f>
        <v>1</v>
      </c>
      <c r="AC1295" s="8">
        <f>_xlfn.XLOOKUP(CustomerCombined[[#This Row],[ID]], Table2[ID],Table2[MC5], "Not Found", 0 )</f>
        <v>0</v>
      </c>
    </row>
    <row r="1296" spans="1:29" x14ac:dyDescent="0.3">
      <c r="A1296" s="6">
        <v>1006</v>
      </c>
      <c r="B1296" s="6">
        <v>162513</v>
      </c>
      <c r="C1296" s="6">
        <v>0</v>
      </c>
      <c r="D1296" s="6">
        <v>1</v>
      </c>
      <c r="E1296" s="6">
        <v>53</v>
      </c>
      <c r="F1296" s="5" t="s">
        <v>8</v>
      </c>
      <c r="G1296" s="5" t="s">
        <v>12</v>
      </c>
      <c r="H1296" s="3" t="s">
        <v>190</v>
      </c>
      <c r="I1296" s="5" t="s">
        <v>439</v>
      </c>
      <c r="J1296" s="5">
        <f>_xlfn.XLOOKUP(CustomerCombined[[#This Row],[ID]], Table4[ID], Table4[Recency], "Not Found", 0)</f>
        <v>16</v>
      </c>
      <c r="K1296" s="5">
        <f>_xlfn.XLOOKUP(CustomerCombined[[#This Row],[ID]], Table4[ID], Table4[Teas], "Not Found", 0)</f>
        <v>1352</v>
      </c>
      <c r="L1296" s="5">
        <f>_xlfn.XLOOKUP(CustomerCombined[[#This Row],[ID]], Table4[ID], Table4[Fruits], "Not Found", 0)</f>
        <v>109</v>
      </c>
      <c r="M1296" s="5">
        <f>_xlfn.XLOOKUP(CustomerCombined[[#This Row],[ID]], Table4[ID], Table4[Meats], "Not Found", 0)</f>
        <v>255</v>
      </c>
      <c r="N1296" s="5">
        <f>_xlfn.XLOOKUP(CustomerCombined[[#This Row],[ID]], Table4[ID], Table4[Seafood], "Not Found", 0)</f>
        <v>0</v>
      </c>
      <c r="O1296" s="5">
        <f>_xlfn.XLOOKUP(CustomerCombined[[#This Row],[ID]], Table4[ID], Table4[Sweets], "Not Found", 0)</f>
        <v>109</v>
      </c>
      <c r="P1296" s="5">
        <f>_xlfn.XLOOKUP(CustomerCombined[[#This Row],[ID]], Table4[ID], Table4[Premium], "Not Found", 0)</f>
        <v>36</v>
      </c>
      <c r="Q1296" s="5">
        <f>_xlfn.XLOOKUP(CustomerCombined[[#This Row],[ID]], Table4[ID], Table4[Regular], "Not Found", 0)</f>
        <v>1789</v>
      </c>
      <c r="R1296" s="5">
        <f>_xlfn.XLOOKUP(CustomerCombined[[#This Row],[ID]], Table4[ID], Table4[Deals], "Not Found", 0)</f>
        <v>2</v>
      </c>
      <c r="S1296" s="5">
        <f>_xlfn.XLOOKUP(CustomerCombined[[#This Row],[ID]], Table4[ID], Table4[Website], "Not Found", 0)</f>
        <v>6</v>
      </c>
      <c r="T1296" s="5">
        <f>_xlfn.XLOOKUP(CustomerCombined[[#This Row],[ID]], Table4[ID], Table4[Catalog], "Not Found", 0)</f>
        <v>4</v>
      </c>
      <c r="U1296" s="5">
        <f>_xlfn.XLOOKUP(CustomerCombined[[#This Row],[ID]], Table4[ID], Table4[Store], "Not Found", 0)</f>
        <v>10</v>
      </c>
      <c r="V1296" s="5">
        <f>_xlfn.XLOOKUP(CustomerCombined[[#This Row],[ID]], Table4[ID], Table4[Visits], "Not Found", 0)</f>
        <v>6</v>
      </c>
      <c r="W1296" s="8">
        <f>_xlfn.XLOOKUP(CustomerCombined[[#This Row],[ID]], Table2[ID],Table2[Complaint], "Not Found", 0 )</f>
        <v>0</v>
      </c>
      <c r="X1296" s="8">
        <f>_xlfn.XLOOKUP(CustomerCombined[[#This Row],[ID]], Table2[ID],Table2[Pilot], "Not Found", 0 )</f>
        <v>0</v>
      </c>
      <c r="Y1296" s="8">
        <f>_xlfn.XLOOKUP(CustomerCombined[[#This Row],[ID]], Table2[ID],Table2[MC1], "Not Found", 0 )</f>
        <v>0</v>
      </c>
      <c r="Z1296" s="8">
        <f>_xlfn.XLOOKUP(CustomerCombined[[#This Row],[ID]], Table2[ID],Table2[MC2], "Not Found", 0 )</f>
        <v>0</v>
      </c>
      <c r="AA1296" s="8">
        <f>_xlfn.XLOOKUP(CustomerCombined[[#This Row],[ID]], Table2[ID],Table2[MC3], "Not Found", 0 )</f>
        <v>0</v>
      </c>
      <c r="AB1296" s="8">
        <f>_xlfn.XLOOKUP(CustomerCombined[[#This Row],[ID]], Table2[ID],Table2[MC4], "Not Found", 0 )</f>
        <v>0</v>
      </c>
      <c r="AC1296" s="8">
        <f>_xlfn.XLOOKUP(CustomerCombined[[#This Row],[ID]], Table2[ID],Table2[MC5], "Not Found", 0 )</f>
        <v>0</v>
      </c>
    </row>
    <row r="1297" spans="1:29" x14ac:dyDescent="0.3">
      <c r="A1297" s="6">
        <v>3201</v>
      </c>
      <c r="B1297" s="6">
        <v>161223</v>
      </c>
      <c r="C1297" s="6">
        <v>0</v>
      </c>
      <c r="D1297" s="6">
        <v>1</v>
      </c>
      <c r="E1297" s="6">
        <v>53</v>
      </c>
      <c r="F1297" s="5" t="s">
        <v>6</v>
      </c>
      <c r="G1297" s="5" t="s">
        <v>11</v>
      </c>
      <c r="H1297" s="3" t="s">
        <v>239</v>
      </c>
      <c r="I1297" s="5" t="s">
        <v>435</v>
      </c>
      <c r="J1297" s="5">
        <f>_xlfn.XLOOKUP(CustomerCombined[[#This Row],[ID]], Table4[ID], Table4[Recency], "Not Found", 0)</f>
        <v>46</v>
      </c>
      <c r="K1297" s="5">
        <f>_xlfn.XLOOKUP(CustomerCombined[[#This Row],[ID]], Table4[ID], Table4[Teas], "Not Found", 0)</f>
        <v>1867</v>
      </c>
      <c r="L1297" s="5">
        <f>_xlfn.XLOOKUP(CustomerCombined[[#This Row],[ID]], Table4[ID], Table4[Fruits], "Not Found", 0)</f>
        <v>113</v>
      </c>
      <c r="M1297" s="5">
        <f>_xlfn.XLOOKUP(CustomerCombined[[#This Row],[ID]], Table4[ID], Table4[Meats], "Not Found", 0)</f>
        <v>479</v>
      </c>
      <c r="N1297" s="5">
        <f>_xlfn.XLOOKUP(CustomerCombined[[#This Row],[ID]], Table4[ID], Table4[Seafood], "Not Found", 0)</f>
        <v>111</v>
      </c>
      <c r="O1297" s="5">
        <f>_xlfn.XLOOKUP(CustomerCombined[[#This Row],[ID]], Table4[ID], Table4[Sweets], "Not Found", 0)</f>
        <v>311</v>
      </c>
      <c r="P1297" s="5">
        <f>_xlfn.XLOOKUP(CustomerCombined[[#This Row],[ID]], Table4[ID], Table4[Premium], "Not Found", 0)</f>
        <v>650</v>
      </c>
      <c r="Q1297" s="5">
        <f>_xlfn.XLOOKUP(CustomerCombined[[#This Row],[ID]], Table4[ID], Table4[Regular], "Not Found", 0)</f>
        <v>2230</v>
      </c>
      <c r="R1297" s="5">
        <f>_xlfn.XLOOKUP(CustomerCombined[[#This Row],[ID]], Table4[ID], Table4[Deals], "Not Found", 0)</f>
        <v>2</v>
      </c>
      <c r="S1297" s="5">
        <f>_xlfn.XLOOKUP(CustomerCombined[[#This Row],[ID]], Table4[ID], Table4[Website], "Not Found", 0)</f>
        <v>9</v>
      </c>
      <c r="T1297" s="5">
        <f>_xlfn.XLOOKUP(CustomerCombined[[#This Row],[ID]], Table4[ID], Table4[Catalog], "Not Found", 0)</f>
        <v>3</v>
      </c>
      <c r="U1297" s="5">
        <f>_xlfn.XLOOKUP(CustomerCombined[[#This Row],[ID]], Table4[ID], Table4[Store], "Not Found", 0)</f>
        <v>4</v>
      </c>
      <c r="V1297" s="5">
        <f>_xlfn.XLOOKUP(CustomerCombined[[#This Row],[ID]], Table4[ID], Table4[Visits], "Not Found", 0)</f>
        <v>5</v>
      </c>
      <c r="W1297" s="8">
        <f>_xlfn.XLOOKUP(CustomerCombined[[#This Row],[ID]], Table2[ID],Table2[Complaint], "Not Found", 0 )</f>
        <v>0</v>
      </c>
      <c r="X1297" s="8">
        <f>_xlfn.XLOOKUP(CustomerCombined[[#This Row],[ID]], Table2[ID],Table2[Pilot], "Not Found", 0 )</f>
        <v>0</v>
      </c>
      <c r="Y1297" s="8">
        <f>_xlfn.XLOOKUP(CustomerCombined[[#This Row],[ID]], Table2[ID],Table2[MC1], "Not Found", 0 )</f>
        <v>0</v>
      </c>
      <c r="Z1297" s="8">
        <f>_xlfn.XLOOKUP(CustomerCombined[[#This Row],[ID]], Table2[ID],Table2[MC2], "Not Found", 0 )</f>
        <v>0</v>
      </c>
      <c r="AA1297" s="8">
        <f>_xlfn.XLOOKUP(CustomerCombined[[#This Row],[ID]], Table2[ID],Table2[MC3], "Not Found", 0 )</f>
        <v>0</v>
      </c>
      <c r="AB1297" s="8">
        <f>_xlfn.XLOOKUP(CustomerCombined[[#This Row],[ID]], Table2[ID],Table2[MC4], "Not Found", 0 )</f>
        <v>0</v>
      </c>
      <c r="AC1297" s="8">
        <f>_xlfn.XLOOKUP(CustomerCombined[[#This Row],[ID]], Table2[ID],Table2[MC5], "Not Found", 0 )</f>
        <v>0</v>
      </c>
    </row>
    <row r="1298" spans="1:29" x14ac:dyDescent="0.3">
      <c r="A1298" s="6">
        <v>2515</v>
      </c>
      <c r="B1298" s="6">
        <v>159235</v>
      </c>
      <c r="C1298" s="6">
        <v>1</v>
      </c>
      <c r="D1298" s="6">
        <v>0</v>
      </c>
      <c r="E1298" s="6">
        <v>53</v>
      </c>
      <c r="F1298" s="5" t="s">
        <v>7</v>
      </c>
      <c r="G1298" s="5" t="s">
        <v>12</v>
      </c>
      <c r="H1298" s="3" t="s">
        <v>328</v>
      </c>
      <c r="I1298" s="5" t="s">
        <v>437</v>
      </c>
      <c r="J1298" s="5">
        <f>_xlfn.XLOOKUP(CustomerCombined[[#This Row],[ID]], Table4[ID], Table4[Recency], "Not Found", 0)</f>
        <v>4</v>
      </c>
      <c r="K1298" s="5">
        <f>_xlfn.XLOOKUP(CustomerCombined[[#This Row],[ID]], Table4[ID], Table4[Teas], "Not Found", 0)</f>
        <v>1204</v>
      </c>
      <c r="L1298" s="5">
        <f>_xlfn.XLOOKUP(CustomerCombined[[#This Row],[ID]], Table4[ID], Table4[Fruits], "Not Found", 0)</f>
        <v>108</v>
      </c>
      <c r="M1298" s="5">
        <f>_xlfn.XLOOKUP(CustomerCombined[[#This Row],[ID]], Table4[ID], Table4[Meats], "Not Found", 0)</f>
        <v>1261</v>
      </c>
      <c r="N1298" s="5">
        <f>_xlfn.XLOOKUP(CustomerCombined[[#This Row],[ID]], Table4[ID], Table4[Seafood], "Not Found", 0)</f>
        <v>215</v>
      </c>
      <c r="O1298" s="5">
        <f>_xlfn.XLOOKUP(CustomerCombined[[#This Row],[ID]], Table4[ID], Table4[Sweets], "Not Found", 0)</f>
        <v>0</v>
      </c>
      <c r="P1298" s="5">
        <f>_xlfn.XLOOKUP(CustomerCombined[[#This Row],[ID]], Table4[ID], Table4[Premium], "Not Found", 0)</f>
        <v>245</v>
      </c>
      <c r="Q1298" s="5">
        <f>_xlfn.XLOOKUP(CustomerCombined[[#This Row],[ID]], Table4[ID], Table4[Regular], "Not Found", 0)</f>
        <v>2543</v>
      </c>
      <c r="R1298" s="5">
        <f>_xlfn.XLOOKUP(CustomerCombined[[#This Row],[ID]], Table4[ID], Table4[Deals], "Not Found", 0)</f>
        <v>3</v>
      </c>
      <c r="S1298" s="5">
        <f>_xlfn.XLOOKUP(CustomerCombined[[#This Row],[ID]], Table4[ID], Table4[Website], "Not Found", 0)</f>
        <v>11</v>
      </c>
      <c r="T1298" s="5">
        <f>_xlfn.XLOOKUP(CustomerCombined[[#This Row],[ID]], Table4[ID], Table4[Catalog], "Not Found", 0)</f>
        <v>2</v>
      </c>
      <c r="U1298" s="5">
        <f>_xlfn.XLOOKUP(CustomerCombined[[#This Row],[ID]], Table4[ID], Table4[Store], "Not Found", 0)</f>
        <v>12</v>
      </c>
      <c r="V1298" s="5">
        <f>_xlfn.XLOOKUP(CustomerCombined[[#This Row],[ID]], Table4[ID], Table4[Visits], "Not Found", 0)</f>
        <v>7</v>
      </c>
      <c r="W1298" s="8">
        <f>_xlfn.XLOOKUP(CustomerCombined[[#This Row],[ID]], Table2[ID],Table2[Complaint], "Not Found", 0 )</f>
        <v>0</v>
      </c>
      <c r="X1298" s="8">
        <f>_xlfn.XLOOKUP(CustomerCombined[[#This Row],[ID]], Table2[ID],Table2[Pilot], "Not Found", 0 )</f>
        <v>0</v>
      </c>
      <c r="Y1298" s="8">
        <f>_xlfn.XLOOKUP(CustomerCombined[[#This Row],[ID]], Table2[ID],Table2[MC1], "Not Found", 0 )</f>
        <v>0</v>
      </c>
      <c r="Z1298" s="8">
        <f>_xlfn.XLOOKUP(CustomerCombined[[#This Row],[ID]], Table2[ID],Table2[MC2], "Not Found", 0 )</f>
        <v>0</v>
      </c>
      <c r="AA1298" s="8">
        <f>_xlfn.XLOOKUP(CustomerCombined[[#This Row],[ID]], Table2[ID],Table2[MC3], "Not Found", 0 )</f>
        <v>0</v>
      </c>
      <c r="AB1298" s="8">
        <f>_xlfn.XLOOKUP(CustomerCombined[[#This Row],[ID]], Table2[ID],Table2[MC4], "Not Found", 0 )</f>
        <v>0</v>
      </c>
      <c r="AC1298" s="8">
        <f>_xlfn.XLOOKUP(CustomerCombined[[#This Row],[ID]], Table2[ID],Table2[MC5], "Not Found", 0 )</f>
        <v>0</v>
      </c>
    </row>
    <row r="1299" spans="1:29" x14ac:dyDescent="0.3">
      <c r="A1299" s="6">
        <v>2222</v>
      </c>
      <c r="B1299" s="6">
        <v>159062</v>
      </c>
      <c r="C1299" s="6">
        <v>2</v>
      </c>
      <c r="D1299" s="6">
        <v>1</v>
      </c>
      <c r="E1299" s="6">
        <v>53</v>
      </c>
      <c r="F1299" s="5" t="s">
        <v>6</v>
      </c>
      <c r="G1299" s="5" t="s">
        <v>13</v>
      </c>
      <c r="H1299" s="3">
        <v>44077</v>
      </c>
      <c r="I1299" s="5" t="s">
        <v>438</v>
      </c>
      <c r="J1299" s="5">
        <f>_xlfn.XLOOKUP(CustomerCombined[[#This Row],[ID]], Table4[ID], Table4[Recency], "Not Found", 0)</f>
        <v>74</v>
      </c>
      <c r="K1299" s="5">
        <f>_xlfn.XLOOKUP(CustomerCombined[[#This Row],[ID]], Table4[ID], Table4[Teas], "Not Found", 0)</f>
        <v>124</v>
      </c>
      <c r="L1299" s="5">
        <f>_xlfn.XLOOKUP(CustomerCombined[[#This Row],[ID]], Table4[ID], Table4[Fruits], "Not Found", 0)</f>
        <v>3</v>
      </c>
      <c r="M1299" s="5">
        <f>_xlfn.XLOOKUP(CustomerCombined[[#This Row],[ID]], Table4[ID], Table4[Meats], "Not Found", 0)</f>
        <v>32</v>
      </c>
      <c r="N1299" s="5">
        <f>_xlfn.XLOOKUP(CustomerCombined[[#This Row],[ID]], Table4[ID], Table4[Seafood], "Not Found", 0)</f>
        <v>8</v>
      </c>
      <c r="O1299" s="5">
        <f>_xlfn.XLOOKUP(CustomerCombined[[#This Row],[ID]], Table4[ID], Table4[Sweets], "Not Found", 0)</f>
        <v>0</v>
      </c>
      <c r="P1299" s="5">
        <f>_xlfn.XLOOKUP(CustomerCombined[[#This Row],[ID]], Table4[ID], Table4[Premium], "Not Found", 0)</f>
        <v>24</v>
      </c>
      <c r="Q1299" s="5">
        <f>_xlfn.XLOOKUP(CustomerCombined[[#This Row],[ID]], Table4[ID], Table4[Regular], "Not Found", 0)</f>
        <v>143</v>
      </c>
      <c r="R1299" s="5">
        <f>_xlfn.XLOOKUP(CustomerCombined[[#This Row],[ID]], Table4[ID], Table4[Deals], "Not Found", 0)</f>
        <v>2</v>
      </c>
      <c r="S1299" s="5">
        <f>_xlfn.XLOOKUP(CustomerCombined[[#This Row],[ID]], Table4[ID], Table4[Website], "Not Found", 0)</f>
        <v>2</v>
      </c>
      <c r="T1299" s="5">
        <f>_xlfn.XLOOKUP(CustomerCombined[[#This Row],[ID]], Table4[ID], Table4[Catalog], "Not Found", 0)</f>
        <v>0</v>
      </c>
      <c r="U1299" s="5">
        <f>_xlfn.XLOOKUP(CustomerCombined[[#This Row],[ID]], Table4[ID], Table4[Store], "Not Found", 0)</f>
        <v>3</v>
      </c>
      <c r="V1299" s="5">
        <f>_xlfn.XLOOKUP(CustomerCombined[[#This Row],[ID]], Table4[ID], Table4[Visits], "Not Found", 0)</f>
        <v>4</v>
      </c>
      <c r="W1299" s="8">
        <f>_xlfn.XLOOKUP(CustomerCombined[[#This Row],[ID]], Table2[ID],Table2[Complaint], "Not Found", 0 )</f>
        <v>0</v>
      </c>
      <c r="X1299" s="8">
        <f>_xlfn.XLOOKUP(CustomerCombined[[#This Row],[ID]], Table2[ID],Table2[Pilot], "Not Found", 0 )</f>
        <v>0</v>
      </c>
      <c r="Y1299" s="8">
        <f>_xlfn.XLOOKUP(CustomerCombined[[#This Row],[ID]], Table2[ID],Table2[MC1], "Not Found", 0 )</f>
        <v>0</v>
      </c>
      <c r="Z1299" s="8">
        <f>_xlfn.XLOOKUP(CustomerCombined[[#This Row],[ID]], Table2[ID],Table2[MC2], "Not Found", 0 )</f>
        <v>0</v>
      </c>
      <c r="AA1299" s="8">
        <f>_xlfn.XLOOKUP(CustomerCombined[[#This Row],[ID]], Table2[ID],Table2[MC3], "Not Found", 0 )</f>
        <v>0</v>
      </c>
      <c r="AB1299" s="8">
        <f>_xlfn.XLOOKUP(CustomerCombined[[#This Row],[ID]], Table2[ID],Table2[MC4], "Not Found", 0 )</f>
        <v>0</v>
      </c>
      <c r="AC1299" s="8">
        <f>_xlfn.XLOOKUP(CustomerCombined[[#This Row],[ID]], Table2[ID],Table2[MC5], "Not Found", 0 )</f>
        <v>0</v>
      </c>
    </row>
    <row r="1300" spans="1:29" x14ac:dyDescent="0.3">
      <c r="A1300" s="6">
        <v>2624</v>
      </c>
      <c r="B1300" s="6">
        <v>157136</v>
      </c>
      <c r="C1300" s="6">
        <v>0</v>
      </c>
      <c r="D1300" s="6">
        <v>0</v>
      </c>
      <c r="E1300" s="6">
        <v>53</v>
      </c>
      <c r="F1300" s="5" t="s">
        <v>5</v>
      </c>
      <c r="G1300" s="5" t="s">
        <v>11</v>
      </c>
      <c r="H1300" s="3" t="s">
        <v>253</v>
      </c>
      <c r="I1300" s="5" t="s">
        <v>438</v>
      </c>
      <c r="J1300" s="5">
        <f>_xlfn.XLOOKUP(CustomerCombined[[#This Row],[ID]], Table4[ID], Table4[Recency], "Not Found", 0)</f>
        <v>18</v>
      </c>
      <c r="K1300" s="5">
        <f>_xlfn.XLOOKUP(CustomerCombined[[#This Row],[ID]], Table4[ID], Table4[Teas], "Not Found", 0)</f>
        <v>734</v>
      </c>
      <c r="L1300" s="5">
        <f>_xlfn.XLOOKUP(CustomerCombined[[#This Row],[ID]], Table4[ID], Table4[Fruits], "Not Found", 0)</f>
        <v>385</v>
      </c>
      <c r="M1300" s="5">
        <f>_xlfn.XLOOKUP(CustomerCombined[[#This Row],[ID]], Table4[ID], Table4[Meats], "Not Found", 0)</f>
        <v>1647</v>
      </c>
      <c r="N1300" s="5">
        <f>_xlfn.XLOOKUP(CustomerCombined[[#This Row],[ID]], Table4[ID], Table4[Seafood], "Not Found", 0)</f>
        <v>94</v>
      </c>
      <c r="O1300" s="5">
        <f>_xlfn.XLOOKUP(CustomerCombined[[#This Row],[ID]], Table4[ID], Table4[Sweets], "Not Found", 0)</f>
        <v>33</v>
      </c>
      <c r="P1300" s="5">
        <f>_xlfn.XLOOKUP(CustomerCombined[[#This Row],[ID]], Table4[ID], Table4[Premium], "Not Found", 0)</f>
        <v>349</v>
      </c>
      <c r="Q1300" s="5">
        <f>_xlfn.XLOOKUP(CustomerCombined[[#This Row],[ID]], Table4[ID], Table4[Regular], "Not Found", 0)</f>
        <v>2544</v>
      </c>
      <c r="R1300" s="5">
        <f>_xlfn.XLOOKUP(CustomerCombined[[#This Row],[ID]], Table4[ID], Table4[Deals], "Not Found", 0)</f>
        <v>1</v>
      </c>
      <c r="S1300" s="5">
        <f>_xlfn.XLOOKUP(CustomerCombined[[#This Row],[ID]], Table4[ID], Table4[Website], "Not Found", 0)</f>
        <v>7</v>
      </c>
      <c r="T1300" s="5">
        <f>_xlfn.XLOOKUP(CustomerCombined[[#This Row],[ID]], Table4[ID], Table4[Catalog], "Not Found", 0)</f>
        <v>5</v>
      </c>
      <c r="U1300" s="5">
        <f>_xlfn.XLOOKUP(CustomerCombined[[#This Row],[ID]], Table4[ID], Table4[Store], "Not Found", 0)</f>
        <v>7</v>
      </c>
      <c r="V1300" s="5">
        <f>_xlfn.XLOOKUP(CustomerCombined[[#This Row],[ID]], Table4[ID], Table4[Visits], "Not Found", 0)</f>
        <v>6</v>
      </c>
      <c r="W1300" s="8">
        <f>_xlfn.XLOOKUP(CustomerCombined[[#This Row],[ID]], Table2[ID],Table2[Complaint], "Not Found", 0 )</f>
        <v>0</v>
      </c>
      <c r="X1300" s="8">
        <f>_xlfn.XLOOKUP(CustomerCombined[[#This Row],[ID]], Table2[ID],Table2[Pilot], "Not Found", 0 )</f>
        <v>1</v>
      </c>
      <c r="Y1300" s="8">
        <f>_xlfn.XLOOKUP(CustomerCombined[[#This Row],[ID]], Table2[ID],Table2[MC1], "Not Found", 0 )</f>
        <v>0</v>
      </c>
      <c r="Z1300" s="8">
        <f>_xlfn.XLOOKUP(CustomerCombined[[#This Row],[ID]], Table2[ID],Table2[MC2], "Not Found", 0 )</f>
        <v>0</v>
      </c>
      <c r="AA1300" s="8">
        <f>_xlfn.XLOOKUP(CustomerCombined[[#This Row],[ID]], Table2[ID],Table2[MC3], "Not Found", 0 )</f>
        <v>0</v>
      </c>
      <c r="AB1300" s="8">
        <f>_xlfn.XLOOKUP(CustomerCombined[[#This Row],[ID]], Table2[ID],Table2[MC4], "Not Found", 0 )</f>
        <v>0</v>
      </c>
      <c r="AC1300" s="8">
        <f>_xlfn.XLOOKUP(CustomerCombined[[#This Row],[ID]], Table2[ID],Table2[MC5], "Not Found", 0 )</f>
        <v>0</v>
      </c>
    </row>
    <row r="1301" spans="1:29" x14ac:dyDescent="0.3">
      <c r="A1301" s="6">
        <v>1813</v>
      </c>
      <c r="B1301" s="6">
        <v>156575</v>
      </c>
      <c r="C1301" s="6">
        <v>0</v>
      </c>
      <c r="D1301" s="6">
        <v>2</v>
      </c>
      <c r="E1301" s="6">
        <v>53</v>
      </c>
      <c r="F1301" s="5" t="s">
        <v>8</v>
      </c>
      <c r="G1301" s="5" t="s">
        <v>13</v>
      </c>
      <c r="H1301" s="3">
        <v>43748</v>
      </c>
      <c r="I1301" s="5" t="s">
        <v>437</v>
      </c>
      <c r="J1301" s="5">
        <f>_xlfn.XLOOKUP(CustomerCombined[[#This Row],[ID]], Table4[ID], Table4[Recency], "Not Found", 0)</f>
        <v>42</v>
      </c>
      <c r="K1301" s="5">
        <f>_xlfn.XLOOKUP(CustomerCombined[[#This Row],[ID]], Table4[ID], Table4[Teas], "Not Found", 0)</f>
        <v>1165</v>
      </c>
      <c r="L1301" s="5">
        <f>_xlfn.XLOOKUP(CustomerCombined[[#This Row],[ID]], Table4[ID], Table4[Fruits], "Not Found", 0)</f>
        <v>14</v>
      </c>
      <c r="M1301" s="5">
        <f>_xlfn.XLOOKUP(CustomerCombined[[#This Row],[ID]], Table4[ID], Table4[Meats], "Not Found", 0)</f>
        <v>249</v>
      </c>
      <c r="N1301" s="5">
        <f>_xlfn.XLOOKUP(CustomerCombined[[#This Row],[ID]], Table4[ID], Table4[Seafood], "Not Found", 0)</f>
        <v>0</v>
      </c>
      <c r="O1301" s="5">
        <f>_xlfn.XLOOKUP(CustomerCombined[[#This Row],[ID]], Table4[ID], Table4[Sweets], "Not Found", 0)</f>
        <v>44</v>
      </c>
      <c r="P1301" s="5">
        <f>_xlfn.XLOOKUP(CustomerCombined[[#This Row],[ID]], Table4[ID], Table4[Premium], "Not Found", 0)</f>
        <v>28</v>
      </c>
      <c r="Q1301" s="5">
        <f>_xlfn.XLOOKUP(CustomerCombined[[#This Row],[ID]], Table4[ID], Table4[Regular], "Not Found", 0)</f>
        <v>1445</v>
      </c>
      <c r="R1301" s="5">
        <f>_xlfn.XLOOKUP(CustomerCombined[[#This Row],[ID]], Table4[ID], Table4[Deals], "Not Found", 0)</f>
        <v>3</v>
      </c>
      <c r="S1301" s="5">
        <f>_xlfn.XLOOKUP(CustomerCombined[[#This Row],[ID]], Table4[ID], Table4[Website], "Not Found", 0)</f>
        <v>7</v>
      </c>
      <c r="T1301" s="5">
        <f>_xlfn.XLOOKUP(CustomerCombined[[#This Row],[ID]], Table4[ID], Table4[Catalog], "Not Found", 0)</f>
        <v>3</v>
      </c>
      <c r="U1301" s="5">
        <f>_xlfn.XLOOKUP(CustomerCombined[[#This Row],[ID]], Table4[ID], Table4[Store], "Not Found", 0)</f>
        <v>7</v>
      </c>
      <c r="V1301" s="5">
        <f>_xlfn.XLOOKUP(CustomerCombined[[#This Row],[ID]], Table4[ID], Table4[Visits], "Not Found", 0)</f>
        <v>5</v>
      </c>
      <c r="W1301" s="8">
        <f>_xlfn.XLOOKUP(CustomerCombined[[#This Row],[ID]], Table2[ID],Table2[Complaint], "Not Found", 0 )</f>
        <v>0</v>
      </c>
      <c r="X1301" s="8">
        <f>_xlfn.XLOOKUP(CustomerCombined[[#This Row],[ID]], Table2[ID],Table2[Pilot], "Not Found", 0 )</f>
        <v>0</v>
      </c>
      <c r="Y1301" s="8">
        <f>_xlfn.XLOOKUP(CustomerCombined[[#This Row],[ID]], Table2[ID],Table2[MC1], "Not Found", 0 )</f>
        <v>0</v>
      </c>
      <c r="Z1301" s="8">
        <f>_xlfn.XLOOKUP(CustomerCombined[[#This Row],[ID]], Table2[ID],Table2[MC2], "Not Found", 0 )</f>
        <v>0</v>
      </c>
      <c r="AA1301" s="8">
        <f>_xlfn.XLOOKUP(CustomerCombined[[#This Row],[ID]], Table2[ID],Table2[MC3], "Not Found", 0 )</f>
        <v>0</v>
      </c>
      <c r="AB1301" s="8">
        <f>_xlfn.XLOOKUP(CustomerCombined[[#This Row],[ID]], Table2[ID],Table2[MC4], "Not Found", 0 )</f>
        <v>0</v>
      </c>
      <c r="AC1301" s="8">
        <f>_xlfn.XLOOKUP(CustomerCombined[[#This Row],[ID]], Table2[ID],Table2[MC5], "Not Found", 0 )</f>
        <v>0</v>
      </c>
    </row>
    <row r="1302" spans="1:29" x14ac:dyDescent="0.3">
      <c r="A1302" s="6">
        <v>2006</v>
      </c>
      <c r="B1302" s="6">
        <v>156320</v>
      </c>
      <c r="C1302" s="6">
        <v>0</v>
      </c>
      <c r="D1302" s="6">
        <v>1</v>
      </c>
      <c r="E1302" s="6">
        <v>53</v>
      </c>
      <c r="F1302" s="5" t="s">
        <v>6</v>
      </c>
      <c r="G1302" s="5" t="s">
        <v>13</v>
      </c>
      <c r="H1302" s="3" t="s">
        <v>281</v>
      </c>
      <c r="I1302" s="5" t="s">
        <v>438</v>
      </c>
      <c r="J1302" s="5">
        <f>_xlfn.XLOOKUP(CustomerCombined[[#This Row],[ID]], Table4[ID], Table4[Recency], "Not Found", 0)</f>
        <v>11</v>
      </c>
      <c r="K1302" s="5">
        <f>_xlfn.XLOOKUP(CustomerCombined[[#This Row],[ID]], Table4[ID], Table4[Teas], "Not Found", 0)</f>
        <v>558</v>
      </c>
      <c r="L1302" s="5">
        <f>_xlfn.XLOOKUP(CustomerCombined[[#This Row],[ID]], Table4[ID], Table4[Fruits], "Not Found", 0)</f>
        <v>147</v>
      </c>
      <c r="M1302" s="5">
        <f>_xlfn.XLOOKUP(CustomerCombined[[#This Row],[ID]], Table4[ID], Table4[Meats], "Not Found", 0)</f>
        <v>477</v>
      </c>
      <c r="N1302" s="5">
        <f>_xlfn.XLOOKUP(CustomerCombined[[#This Row],[ID]], Table4[ID], Table4[Seafood], "Not Found", 0)</f>
        <v>322</v>
      </c>
      <c r="O1302" s="5">
        <f>_xlfn.XLOOKUP(CustomerCombined[[#This Row],[ID]], Table4[ID], Table4[Sweets], "Not Found", 0)</f>
        <v>214</v>
      </c>
      <c r="P1302" s="5">
        <f>_xlfn.XLOOKUP(CustomerCombined[[#This Row],[ID]], Table4[ID], Table4[Premium], "Not Found", 0)</f>
        <v>230</v>
      </c>
      <c r="Q1302" s="5">
        <f>_xlfn.XLOOKUP(CustomerCombined[[#This Row],[ID]], Table4[ID], Table4[Regular], "Not Found", 0)</f>
        <v>1488</v>
      </c>
      <c r="R1302" s="5">
        <f>_xlfn.XLOOKUP(CustomerCombined[[#This Row],[ID]], Table4[ID], Table4[Deals], "Not Found", 0)</f>
        <v>3</v>
      </c>
      <c r="S1302" s="5">
        <f>_xlfn.XLOOKUP(CustomerCombined[[#This Row],[ID]], Table4[ID], Table4[Website], "Not Found", 0)</f>
        <v>5</v>
      </c>
      <c r="T1302" s="5">
        <f>_xlfn.XLOOKUP(CustomerCombined[[#This Row],[ID]], Table4[ID], Table4[Catalog], "Not Found", 0)</f>
        <v>4</v>
      </c>
      <c r="U1302" s="5">
        <f>_xlfn.XLOOKUP(CustomerCombined[[#This Row],[ID]], Table4[ID], Table4[Store], "Not Found", 0)</f>
        <v>9</v>
      </c>
      <c r="V1302" s="5">
        <f>_xlfn.XLOOKUP(CustomerCombined[[#This Row],[ID]], Table4[ID], Table4[Visits], "Not Found", 0)</f>
        <v>4</v>
      </c>
      <c r="W1302" s="8">
        <f>_xlfn.XLOOKUP(CustomerCombined[[#This Row],[ID]], Table2[ID],Table2[Complaint], "Not Found", 0 )</f>
        <v>0</v>
      </c>
      <c r="X1302" s="8">
        <f>_xlfn.XLOOKUP(CustomerCombined[[#This Row],[ID]], Table2[ID],Table2[Pilot], "Not Found", 0 )</f>
        <v>0</v>
      </c>
      <c r="Y1302" s="8">
        <f>_xlfn.XLOOKUP(CustomerCombined[[#This Row],[ID]], Table2[ID],Table2[MC1], "Not Found", 0 )</f>
        <v>0</v>
      </c>
      <c r="Z1302" s="8">
        <f>_xlfn.XLOOKUP(CustomerCombined[[#This Row],[ID]], Table2[ID],Table2[MC2], "Not Found", 0 )</f>
        <v>0</v>
      </c>
      <c r="AA1302" s="8">
        <f>_xlfn.XLOOKUP(CustomerCombined[[#This Row],[ID]], Table2[ID],Table2[MC3], "Not Found", 0 )</f>
        <v>0</v>
      </c>
      <c r="AB1302" s="8">
        <f>_xlfn.XLOOKUP(CustomerCombined[[#This Row],[ID]], Table2[ID],Table2[MC4], "Not Found", 0 )</f>
        <v>0</v>
      </c>
      <c r="AC1302" s="8">
        <f>_xlfn.XLOOKUP(CustomerCombined[[#This Row],[ID]], Table2[ID],Table2[MC5], "Not Found", 0 )</f>
        <v>0</v>
      </c>
    </row>
    <row r="1303" spans="1:29" x14ac:dyDescent="0.3">
      <c r="A1303" s="6">
        <v>1084</v>
      </c>
      <c r="B1303" s="6">
        <v>154178</v>
      </c>
      <c r="C1303" s="6">
        <v>0</v>
      </c>
      <c r="D1303" s="6">
        <v>1</v>
      </c>
      <c r="E1303" s="6">
        <v>53</v>
      </c>
      <c r="F1303" s="5" t="s">
        <v>8</v>
      </c>
      <c r="G1303" s="5" t="s">
        <v>11</v>
      </c>
      <c r="H1303" s="3" t="s">
        <v>111</v>
      </c>
      <c r="I1303" s="5" t="s">
        <v>439</v>
      </c>
      <c r="J1303" s="5">
        <f>_xlfn.XLOOKUP(CustomerCombined[[#This Row],[ID]], Table4[ID], Table4[Recency], "Not Found", 0)</f>
        <v>79</v>
      </c>
      <c r="K1303" s="5">
        <f>_xlfn.XLOOKUP(CustomerCombined[[#This Row],[ID]], Table4[ID], Table4[Teas], "Not Found", 0)</f>
        <v>384</v>
      </c>
      <c r="L1303" s="5">
        <f>_xlfn.XLOOKUP(CustomerCombined[[#This Row],[ID]], Table4[ID], Table4[Fruits], "Not Found", 0)</f>
        <v>26</v>
      </c>
      <c r="M1303" s="5">
        <f>_xlfn.XLOOKUP(CustomerCombined[[#This Row],[ID]], Table4[ID], Table4[Meats], "Not Found", 0)</f>
        <v>111</v>
      </c>
      <c r="N1303" s="5">
        <f>_xlfn.XLOOKUP(CustomerCombined[[#This Row],[ID]], Table4[ID], Table4[Seafood], "Not Found", 0)</f>
        <v>11</v>
      </c>
      <c r="O1303" s="5">
        <f>_xlfn.XLOOKUP(CustomerCombined[[#This Row],[ID]], Table4[ID], Table4[Sweets], "Not Found", 0)</f>
        <v>0</v>
      </c>
      <c r="P1303" s="5">
        <f>_xlfn.XLOOKUP(CustomerCombined[[#This Row],[ID]], Table4[ID], Table4[Premium], "Not Found", 0)</f>
        <v>20</v>
      </c>
      <c r="Q1303" s="5">
        <f>_xlfn.XLOOKUP(CustomerCombined[[#This Row],[ID]], Table4[ID], Table4[Regular], "Not Found", 0)</f>
        <v>512</v>
      </c>
      <c r="R1303" s="5">
        <f>_xlfn.XLOOKUP(CustomerCombined[[#This Row],[ID]], Table4[ID], Table4[Deals], "Not Found", 0)</f>
        <v>1</v>
      </c>
      <c r="S1303" s="5">
        <f>_xlfn.XLOOKUP(CustomerCombined[[#This Row],[ID]], Table4[ID], Table4[Website], "Not Found", 0)</f>
        <v>2</v>
      </c>
      <c r="T1303" s="5">
        <f>_xlfn.XLOOKUP(CustomerCombined[[#This Row],[ID]], Table4[ID], Table4[Catalog], "Not Found", 0)</f>
        <v>2</v>
      </c>
      <c r="U1303" s="5">
        <f>_xlfn.XLOOKUP(CustomerCombined[[#This Row],[ID]], Table4[ID], Table4[Store], "Not Found", 0)</f>
        <v>5</v>
      </c>
      <c r="V1303" s="5">
        <f>_xlfn.XLOOKUP(CustomerCombined[[#This Row],[ID]], Table4[ID], Table4[Visits], "Not Found", 0)</f>
        <v>2</v>
      </c>
      <c r="W1303" s="8">
        <f>_xlfn.XLOOKUP(CustomerCombined[[#This Row],[ID]], Table2[ID],Table2[Complaint], "Not Found", 0 )</f>
        <v>0</v>
      </c>
      <c r="X1303" s="8">
        <f>_xlfn.XLOOKUP(CustomerCombined[[#This Row],[ID]], Table2[ID],Table2[Pilot], "Not Found", 0 )</f>
        <v>0</v>
      </c>
      <c r="Y1303" s="8">
        <f>_xlfn.XLOOKUP(CustomerCombined[[#This Row],[ID]], Table2[ID],Table2[MC1], "Not Found", 0 )</f>
        <v>0</v>
      </c>
      <c r="Z1303" s="8">
        <f>_xlfn.XLOOKUP(CustomerCombined[[#This Row],[ID]], Table2[ID],Table2[MC2], "Not Found", 0 )</f>
        <v>0</v>
      </c>
      <c r="AA1303" s="8">
        <f>_xlfn.XLOOKUP(CustomerCombined[[#This Row],[ID]], Table2[ID],Table2[MC3], "Not Found", 0 )</f>
        <v>0</v>
      </c>
      <c r="AB1303" s="8">
        <f>_xlfn.XLOOKUP(CustomerCombined[[#This Row],[ID]], Table2[ID],Table2[MC4], "Not Found", 0 )</f>
        <v>0</v>
      </c>
      <c r="AC1303" s="8">
        <f>_xlfn.XLOOKUP(CustomerCombined[[#This Row],[ID]], Table2[ID],Table2[MC5], "Not Found", 0 )</f>
        <v>0</v>
      </c>
    </row>
    <row r="1304" spans="1:29" x14ac:dyDescent="0.3">
      <c r="A1304" s="6">
        <v>2570</v>
      </c>
      <c r="B1304" s="6">
        <v>152569</v>
      </c>
      <c r="C1304" s="6">
        <v>0</v>
      </c>
      <c r="D1304" s="6">
        <v>1</v>
      </c>
      <c r="E1304" s="6">
        <v>53</v>
      </c>
      <c r="F1304" s="5" t="s">
        <v>7</v>
      </c>
      <c r="G1304" s="5" t="s">
        <v>13</v>
      </c>
      <c r="H1304" s="3">
        <v>44083</v>
      </c>
      <c r="I1304" s="5" t="s">
        <v>438</v>
      </c>
      <c r="J1304" s="5">
        <f>_xlfn.XLOOKUP(CustomerCombined[[#This Row],[ID]], Table4[ID], Table4[Recency], "Not Found", 0)</f>
        <v>54</v>
      </c>
      <c r="K1304" s="5">
        <f>_xlfn.XLOOKUP(CustomerCombined[[#This Row],[ID]], Table4[ID], Table4[Teas], "Not Found", 0)</f>
        <v>247</v>
      </c>
      <c r="L1304" s="5">
        <f>_xlfn.XLOOKUP(CustomerCombined[[#This Row],[ID]], Table4[ID], Table4[Fruits], "Not Found", 0)</f>
        <v>0</v>
      </c>
      <c r="M1304" s="5">
        <f>_xlfn.XLOOKUP(CustomerCombined[[#This Row],[ID]], Table4[ID], Table4[Meats], "Not Found", 0)</f>
        <v>9</v>
      </c>
      <c r="N1304" s="5">
        <f>_xlfn.XLOOKUP(CustomerCombined[[#This Row],[ID]], Table4[ID], Table4[Seafood], "Not Found", 0)</f>
        <v>0</v>
      </c>
      <c r="O1304" s="5">
        <f>_xlfn.XLOOKUP(CustomerCombined[[#This Row],[ID]], Table4[ID], Table4[Sweets], "Not Found", 0)</f>
        <v>0</v>
      </c>
      <c r="P1304" s="5">
        <f>_xlfn.XLOOKUP(CustomerCombined[[#This Row],[ID]], Table4[ID], Table4[Premium], "Not Found", 0)</f>
        <v>20</v>
      </c>
      <c r="Q1304" s="5">
        <f>_xlfn.XLOOKUP(CustomerCombined[[#This Row],[ID]], Table4[ID], Table4[Regular], "Not Found", 0)</f>
        <v>235</v>
      </c>
      <c r="R1304" s="5">
        <f>_xlfn.XLOOKUP(CustomerCombined[[#This Row],[ID]], Table4[ID], Table4[Deals], "Not Found", 0)</f>
        <v>1</v>
      </c>
      <c r="S1304" s="5">
        <f>_xlfn.XLOOKUP(CustomerCombined[[#This Row],[ID]], Table4[ID], Table4[Website], "Not Found", 0)</f>
        <v>2</v>
      </c>
      <c r="T1304" s="5">
        <f>_xlfn.XLOOKUP(CustomerCombined[[#This Row],[ID]], Table4[ID], Table4[Catalog], "Not Found", 0)</f>
        <v>0</v>
      </c>
      <c r="U1304" s="5">
        <f>_xlfn.XLOOKUP(CustomerCombined[[#This Row],[ID]], Table4[ID], Table4[Store], "Not Found", 0)</f>
        <v>4</v>
      </c>
      <c r="V1304" s="5">
        <f>_xlfn.XLOOKUP(CustomerCombined[[#This Row],[ID]], Table4[ID], Table4[Visits], "Not Found", 0)</f>
        <v>3</v>
      </c>
      <c r="W1304" s="8">
        <f>_xlfn.XLOOKUP(CustomerCombined[[#This Row],[ID]], Table2[ID],Table2[Complaint], "Not Found", 0 )</f>
        <v>0</v>
      </c>
      <c r="X1304" s="8">
        <f>_xlfn.XLOOKUP(CustomerCombined[[#This Row],[ID]], Table2[ID],Table2[Pilot], "Not Found", 0 )</f>
        <v>0</v>
      </c>
      <c r="Y1304" s="8">
        <f>_xlfn.XLOOKUP(CustomerCombined[[#This Row],[ID]], Table2[ID],Table2[MC1], "Not Found", 0 )</f>
        <v>0</v>
      </c>
      <c r="Z1304" s="8">
        <f>_xlfn.XLOOKUP(CustomerCombined[[#This Row],[ID]], Table2[ID],Table2[MC2], "Not Found", 0 )</f>
        <v>0</v>
      </c>
      <c r="AA1304" s="8">
        <f>_xlfn.XLOOKUP(CustomerCombined[[#This Row],[ID]], Table2[ID],Table2[MC3], "Not Found", 0 )</f>
        <v>0</v>
      </c>
      <c r="AB1304" s="8">
        <f>_xlfn.XLOOKUP(CustomerCombined[[#This Row],[ID]], Table2[ID],Table2[MC4], "Not Found", 0 )</f>
        <v>0</v>
      </c>
      <c r="AC1304" s="8">
        <f>_xlfn.XLOOKUP(CustomerCombined[[#This Row],[ID]], Table2[ID],Table2[MC5], "Not Found", 0 )</f>
        <v>0</v>
      </c>
    </row>
    <row r="1305" spans="1:29" x14ac:dyDescent="0.3">
      <c r="A1305" s="6">
        <v>1163</v>
      </c>
      <c r="B1305" s="6">
        <v>152074</v>
      </c>
      <c r="C1305" s="6">
        <v>0</v>
      </c>
      <c r="D1305" s="6">
        <v>1</v>
      </c>
      <c r="E1305" s="6">
        <v>53</v>
      </c>
      <c r="F1305" s="5" t="s">
        <v>7</v>
      </c>
      <c r="G1305" s="5" t="s">
        <v>11</v>
      </c>
      <c r="H1305" s="3">
        <v>44052</v>
      </c>
      <c r="I1305" s="5" t="s">
        <v>434</v>
      </c>
      <c r="J1305" s="5">
        <f>_xlfn.XLOOKUP(CustomerCombined[[#This Row],[ID]], Table4[ID], Table4[Recency], "Not Found", 0)</f>
        <v>77</v>
      </c>
      <c r="K1305" s="5">
        <f>_xlfn.XLOOKUP(CustomerCombined[[#This Row],[ID]], Table4[ID], Table4[Teas], "Not Found", 0)</f>
        <v>172</v>
      </c>
      <c r="L1305" s="5">
        <f>_xlfn.XLOOKUP(CustomerCombined[[#This Row],[ID]], Table4[ID], Table4[Fruits], "Not Found", 0)</f>
        <v>0</v>
      </c>
      <c r="M1305" s="5">
        <f>_xlfn.XLOOKUP(CustomerCombined[[#This Row],[ID]], Table4[ID], Table4[Meats], "Not Found", 0)</f>
        <v>35</v>
      </c>
      <c r="N1305" s="5">
        <f>_xlfn.XLOOKUP(CustomerCombined[[#This Row],[ID]], Table4[ID], Table4[Seafood], "Not Found", 0)</f>
        <v>0</v>
      </c>
      <c r="O1305" s="5">
        <f>_xlfn.XLOOKUP(CustomerCombined[[#This Row],[ID]], Table4[ID], Table4[Sweets], "Not Found", 0)</f>
        <v>0</v>
      </c>
      <c r="P1305" s="5">
        <f>_xlfn.XLOOKUP(CustomerCombined[[#This Row],[ID]], Table4[ID], Table4[Premium], "Not Found", 0)</f>
        <v>140</v>
      </c>
      <c r="Q1305" s="5">
        <f>_xlfn.XLOOKUP(CustomerCombined[[#This Row],[ID]], Table4[ID], Table4[Regular], "Not Found", 0)</f>
        <v>67</v>
      </c>
      <c r="R1305" s="5">
        <f>_xlfn.XLOOKUP(CustomerCombined[[#This Row],[ID]], Table4[ID], Table4[Deals], "Not Found", 0)</f>
        <v>1</v>
      </c>
      <c r="S1305" s="5">
        <f>_xlfn.XLOOKUP(CustomerCombined[[#This Row],[ID]], Table4[ID], Table4[Website], "Not Found", 0)</f>
        <v>2</v>
      </c>
      <c r="T1305" s="5">
        <f>_xlfn.XLOOKUP(CustomerCombined[[#This Row],[ID]], Table4[ID], Table4[Catalog], "Not Found", 0)</f>
        <v>2</v>
      </c>
      <c r="U1305" s="5">
        <f>_xlfn.XLOOKUP(CustomerCombined[[#This Row],[ID]], Table4[ID], Table4[Store], "Not Found", 0)</f>
        <v>2</v>
      </c>
      <c r="V1305" s="5">
        <f>_xlfn.XLOOKUP(CustomerCombined[[#This Row],[ID]], Table4[ID], Table4[Visits], "Not Found", 0)</f>
        <v>4</v>
      </c>
      <c r="W1305" s="8">
        <f>_xlfn.XLOOKUP(CustomerCombined[[#This Row],[ID]], Table2[ID],Table2[Complaint], "Not Found", 0 )</f>
        <v>0</v>
      </c>
      <c r="X1305" s="8">
        <f>_xlfn.XLOOKUP(CustomerCombined[[#This Row],[ID]], Table2[ID],Table2[Pilot], "Not Found", 0 )</f>
        <v>0</v>
      </c>
      <c r="Y1305" s="8">
        <f>_xlfn.XLOOKUP(CustomerCombined[[#This Row],[ID]], Table2[ID],Table2[MC1], "Not Found", 0 )</f>
        <v>0</v>
      </c>
      <c r="Z1305" s="8">
        <f>_xlfn.XLOOKUP(CustomerCombined[[#This Row],[ID]], Table2[ID],Table2[MC2], "Not Found", 0 )</f>
        <v>0</v>
      </c>
      <c r="AA1305" s="8">
        <f>_xlfn.XLOOKUP(CustomerCombined[[#This Row],[ID]], Table2[ID],Table2[MC3], "Not Found", 0 )</f>
        <v>1</v>
      </c>
      <c r="AB1305" s="8">
        <f>_xlfn.XLOOKUP(CustomerCombined[[#This Row],[ID]], Table2[ID],Table2[MC4], "Not Found", 0 )</f>
        <v>0</v>
      </c>
      <c r="AC1305" s="8">
        <f>_xlfn.XLOOKUP(CustomerCombined[[#This Row],[ID]], Table2[ID],Table2[MC5], "Not Found", 0 )</f>
        <v>0</v>
      </c>
    </row>
    <row r="1306" spans="1:29" x14ac:dyDescent="0.3">
      <c r="A1306" s="6">
        <v>1348</v>
      </c>
      <c r="B1306" s="6">
        <v>151479</v>
      </c>
      <c r="C1306" s="6">
        <v>1</v>
      </c>
      <c r="D1306" s="6">
        <v>1</v>
      </c>
      <c r="E1306" s="6">
        <v>53</v>
      </c>
      <c r="F1306" s="5" t="s">
        <v>6</v>
      </c>
      <c r="G1306" s="5" t="s">
        <v>11</v>
      </c>
      <c r="H1306" s="3">
        <v>43561</v>
      </c>
      <c r="I1306" s="5" t="s">
        <v>439</v>
      </c>
      <c r="J1306" s="5">
        <f>_xlfn.XLOOKUP(CustomerCombined[[#This Row],[ID]], Table4[ID], Table4[Recency], "Not Found", 0)</f>
        <v>67</v>
      </c>
      <c r="K1306" s="5">
        <f>_xlfn.XLOOKUP(CustomerCombined[[#This Row],[ID]], Table4[ID], Table4[Teas], "Not Found", 0)</f>
        <v>727</v>
      </c>
      <c r="L1306" s="5">
        <f>_xlfn.XLOOKUP(CustomerCombined[[#This Row],[ID]], Table4[ID], Table4[Fruits], "Not Found", 0)</f>
        <v>24</v>
      </c>
      <c r="M1306" s="5">
        <f>_xlfn.XLOOKUP(CustomerCombined[[#This Row],[ID]], Table4[ID], Table4[Meats], "Not Found", 0)</f>
        <v>471</v>
      </c>
      <c r="N1306" s="5">
        <f>_xlfn.XLOOKUP(CustomerCombined[[#This Row],[ID]], Table4[ID], Table4[Seafood], "Not Found", 0)</f>
        <v>18</v>
      </c>
      <c r="O1306" s="5">
        <f>_xlfn.XLOOKUP(CustomerCombined[[#This Row],[ID]], Table4[ID], Table4[Sweets], "Not Found", 0)</f>
        <v>24</v>
      </c>
      <c r="P1306" s="5">
        <f>_xlfn.XLOOKUP(CustomerCombined[[#This Row],[ID]], Table4[ID], Table4[Premium], "Not Found", 0)</f>
        <v>191</v>
      </c>
      <c r="Q1306" s="5">
        <f>_xlfn.XLOOKUP(CustomerCombined[[#This Row],[ID]], Table4[ID], Table4[Regular], "Not Found", 0)</f>
        <v>1071</v>
      </c>
      <c r="R1306" s="5">
        <f>_xlfn.XLOOKUP(CustomerCombined[[#This Row],[ID]], Table4[ID], Table4[Deals], "Not Found", 0)</f>
        <v>7</v>
      </c>
      <c r="S1306" s="5">
        <f>_xlfn.XLOOKUP(CustomerCombined[[#This Row],[ID]], Table4[ID], Table4[Website], "Not Found", 0)</f>
        <v>6</v>
      </c>
      <c r="T1306" s="5">
        <f>_xlfn.XLOOKUP(CustomerCombined[[#This Row],[ID]], Table4[ID], Table4[Catalog], "Not Found", 0)</f>
        <v>3</v>
      </c>
      <c r="U1306" s="5">
        <f>_xlfn.XLOOKUP(CustomerCombined[[#This Row],[ID]], Table4[ID], Table4[Store], "Not Found", 0)</f>
        <v>6</v>
      </c>
      <c r="V1306" s="5">
        <f>_xlfn.XLOOKUP(CustomerCombined[[#This Row],[ID]], Table4[ID], Table4[Visits], "Not Found", 0)</f>
        <v>7</v>
      </c>
      <c r="W1306" s="8">
        <f>_xlfn.XLOOKUP(CustomerCombined[[#This Row],[ID]], Table2[ID],Table2[Complaint], "Not Found", 0 )</f>
        <v>0</v>
      </c>
      <c r="X1306" s="8">
        <f>_xlfn.XLOOKUP(CustomerCombined[[#This Row],[ID]], Table2[ID],Table2[Pilot], "Not Found", 0 )</f>
        <v>0</v>
      </c>
      <c r="Y1306" s="8">
        <f>_xlfn.XLOOKUP(CustomerCombined[[#This Row],[ID]], Table2[ID],Table2[MC1], "Not Found", 0 )</f>
        <v>0</v>
      </c>
      <c r="Z1306" s="8">
        <f>_xlfn.XLOOKUP(CustomerCombined[[#This Row],[ID]], Table2[ID],Table2[MC2], "Not Found", 0 )</f>
        <v>0</v>
      </c>
      <c r="AA1306" s="8">
        <f>_xlfn.XLOOKUP(CustomerCombined[[#This Row],[ID]], Table2[ID],Table2[MC3], "Not Found", 0 )</f>
        <v>0</v>
      </c>
      <c r="AB1306" s="8">
        <f>_xlfn.XLOOKUP(CustomerCombined[[#This Row],[ID]], Table2[ID],Table2[MC4], "Not Found", 0 )</f>
        <v>0</v>
      </c>
      <c r="AC1306" s="8">
        <f>_xlfn.XLOOKUP(CustomerCombined[[#This Row],[ID]], Table2[ID],Table2[MC5], "Not Found", 0 )</f>
        <v>0</v>
      </c>
    </row>
    <row r="1307" spans="1:29" x14ac:dyDescent="0.3">
      <c r="A1307" s="6">
        <v>1566</v>
      </c>
      <c r="B1307" s="6">
        <v>147821</v>
      </c>
      <c r="C1307" s="6">
        <v>1</v>
      </c>
      <c r="D1307" s="6">
        <v>1</v>
      </c>
      <c r="E1307" s="6">
        <v>53</v>
      </c>
      <c r="F1307" s="5" t="s">
        <v>8</v>
      </c>
      <c r="G1307" s="5" t="s">
        <v>442</v>
      </c>
      <c r="H1307" s="3" t="s">
        <v>162</v>
      </c>
      <c r="I1307" s="5" t="s">
        <v>436</v>
      </c>
      <c r="J1307" s="5">
        <f>_xlfn.XLOOKUP(CustomerCombined[[#This Row],[ID]], Table4[ID], Table4[Recency], "Not Found", 0)</f>
        <v>54</v>
      </c>
      <c r="K1307" s="5">
        <f>_xlfn.XLOOKUP(CustomerCombined[[#This Row],[ID]], Table4[ID], Table4[Teas], "Not Found", 0)</f>
        <v>28</v>
      </c>
      <c r="L1307" s="5">
        <f>_xlfn.XLOOKUP(CustomerCombined[[#This Row],[ID]], Table4[ID], Table4[Fruits], "Not Found", 0)</f>
        <v>0</v>
      </c>
      <c r="M1307" s="5">
        <f>_xlfn.XLOOKUP(CustomerCombined[[#This Row],[ID]], Table4[ID], Table4[Meats], "Not Found", 0)</f>
        <v>49</v>
      </c>
      <c r="N1307" s="5">
        <f>_xlfn.XLOOKUP(CustomerCombined[[#This Row],[ID]], Table4[ID], Table4[Seafood], "Not Found", 0)</f>
        <v>19</v>
      </c>
      <c r="O1307" s="5">
        <f>_xlfn.XLOOKUP(CustomerCombined[[#This Row],[ID]], Table4[ID], Table4[Sweets], "Not Found", 0)</f>
        <v>19</v>
      </c>
      <c r="P1307" s="5">
        <f>_xlfn.XLOOKUP(CustomerCombined[[#This Row],[ID]], Table4[ID], Table4[Premium], "Not Found", 0)</f>
        <v>31</v>
      </c>
      <c r="Q1307" s="5">
        <f>_xlfn.XLOOKUP(CustomerCombined[[#This Row],[ID]], Table4[ID], Table4[Regular], "Not Found", 0)</f>
        <v>83</v>
      </c>
      <c r="R1307" s="5">
        <f>_xlfn.XLOOKUP(CustomerCombined[[#This Row],[ID]], Table4[ID], Table4[Deals], "Not Found", 0)</f>
        <v>1</v>
      </c>
      <c r="S1307" s="5">
        <f>_xlfn.XLOOKUP(CustomerCombined[[#This Row],[ID]], Table4[ID], Table4[Website], "Not Found", 0)</f>
        <v>1</v>
      </c>
      <c r="T1307" s="5">
        <f>_xlfn.XLOOKUP(CustomerCombined[[#This Row],[ID]], Table4[ID], Table4[Catalog], "Not Found", 0)</f>
        <v>0</v>
      </c>
      <c r="U1307" s="5">
        <f>_xlfn.XLOOKUP(CustomerCombined[[#This Row],[ID]], Table4[ID], Table4[Store], "Not Found", 0)</f>
        <v>3</v>
      </c>
      <c r="V1307" s="5">
        <f>_xlfn.XLOOKUP(CustomerCombined[[#This Row],[ID]], Table4[ID], Table4[Visits], "Not Found", 0)</f>
        <v>8</v>
      </c>
      <c r="W1307" s="8">
        <f>_xlfn.XLOOKUP(CustomerCombined[[#This Row],[ID]], Table2[ID],Table2[Complaint], "Not Found", 0 )</f>
        <v>0</v>
      </c>
      <c r="X1307" s="8">
        <f>_xlfn.XLOOKUP(CustomerCombined[[#This Row],[ID]], Table2[ID],Table2[Pilot], "Not Found", 0 )</f>
        <v>0</v>
      </c>
      <c r="Y1307" s="8">
        <f>_xlfn.XLOOKUP(CustomerCombined[[#This Row],[ID]], Table2[ID],Table2[MC1], "Not Found", 0 )</f>
        <v>0</v>
      </c>
      <c r="Z1307" s="8">
        <f>_xlfn.XLOOKUP(CustomerCombined[[#This Row],[ID]], Table2[ID],Table2[MC2], "Not Found", 0 )</f>
        <v>0</v>
      </c>
      <c r="AA1307" s="8">
        <f>_xlfn.XLOOKUP(CustomerCombined[[#This Row],[ID]], Table2[ID],Table2[MC3], "Not Found", 0 )</f>
        <v>0</v>
      </c>
      <c r="AB1307" s="8">
        <f>_xlfn.XLOOKUP(CustomerCombined[[#This Row],[ID]], Table2[ID],Table2[MC4], "Not Found", 0 )</f>
        <v>0</v>
      </c>
      <c r="AC1307" s="8">
        <f>_xlfn.XLOOKUP(CustomerCombined[[#This Row],[ID]], Table2[ID],Table2[MC5], "Not Found", 0 )</f>
        <v>0</v>
      </c>
    </row>
    <row r="1308" spans="1:29" x14ac:dyDescent="0.3">
      <c r="A1308" s="6">
        <v>2760</v>
      </c>
      <c r="B1308" s="6">
        <v>146904</v>
      </c>
      <c r="C1308" s="6">
        <v>1</v>
      </c>
      <c r="D1308" s="6">
        <v>1</v>
      </c>
      <c r="E1308" s="6">
        <v>53</v>
      </c>
      <c r="F1308" s="5" t="s">
        <v>7</v>
      </c>
      <c r="G1308" s="5" t="s">
        <v>11</v>
      </c>
      <c r="H1308" s="3">
        <v>43742</v>
      </c>
      <c r="I1308" s="5" t="s">
        <v>436</v>
      </c>
      <c r="J1308" s="5">
        <f>_xlfn.XLOOKUP(CustomerCombined[[#This Row],[ID]], Table4[ID], Table4[Recency], "Not Found", 0)</f>
        <v>20</v>
      </c>
      <c r="K1308" s="5">
        <f>_xlfn.XLOOKUP(CustomerCombined[[#This Row],[ID]], Table4[ID], Table4[Teas], "Not Found", 0)</f>
        <v>479</v>
      </c>
      <c r="L1308" s="5">
        <f>_xlfn.XLOOKUP(CustomerCombined[[#This Row],[ID]], Table4[ID], Table4[Fruits], "Not Found", 0)</f>
        <v>13</v>
      </c>
      <c r="M1308" s="5">
        <f>_xlfn.XLOOKUP(CustomerCombined[[#This Row],[ID]], Table4[ID], Table4[Meats], "Not Found", 0)</f>
        <v>175</v>
      </c>
      <c r="N1308" s="5">
        <f>_xlfn.XLOOKUP(CustomerCombined[[#This Row],[ID]], Table4[ID], Table4[Seafood], "Not Found", 0)</f>
        <v>0</v>
      </c>
      <c r="O1308" s="5">
        <f>_xlfn.XLOOKUP(CustomerCombined[[#This Row],[ID]], Table4[ID], Table4[Sweets], "Not Found", 0)</f>
        <v>28</v>
      </c>
      <c r="P1308" s="5">
        <f>_xlfn.XLOOKUP(CustomerCombined[[#This Row],[ID]], Table4[ID], Table4[Premium], "Not Found", 0)</f>
        <v>97</v>
      </c>
      <c r="Q1308" s="5">
        <f>_xlfn.XLOOKUP(CustomerCombined[[#This Row],[ID]], Table4[ID], Table4[Regular], "Not Found", 0)</f>
        <v>598</v>
      </c>
      <c r="R1308" s="5">
        <f>_xlfn.XLOOKUP(CustomerCombined[[#This Row],[ID]], Table4[ID], Table4[Deals], "Not Found", 0)</f>
        <v>4</v>
      </c>
      <c r="S1308" s="5">
        <f>_xlfn.XLOOKUP(CustomerCombined[[#This Row],[ID]], Table4[ID], Table4[Website], "Not Found", 0)</f>
        <v>5</v>
      </c>
      <c r="T1308" s="5">
        <f>_xlfn.XLOOKUP(CustomerCombined[[#This Row],[ID]], Table4[ID], Table4[Catalog], "Not Found", 0)</f>
        <v>1</v>
      </c>
      <c r="U1308" s="5">
        <f>_xlfn.XLOOKUP(CustomerCombined[[#This Row],[ID]], Table4[ID], Table4[Store], "Not Found", 0)</f>
        <v>4</v>
      </c>
      <c r="V1308" s="5">
        <f>_xlfn.XLOOKUP(CustomerCombined[[#This Row],[ID]], Table4[ID], Table4[Visits], "Not Found", 0)</f>
        <v>8</v>
      </c>
      <c r="W1308" s="8">
        <f>_xlfn.XLOOKUP(CustomerCombined[[#This Row],[ID]], Table2[ID],Table2[Complaint], "Not Found", 0 )</f>
        <v>0</v>
      </c>
      <c r="X1308" s="8">
        <f>_xlfn.XLOOKUP(CustomerCombined[[#This Row],[ID]], Table2[ID],Table2[Pilot], "Not Found", 0 )</f>
        <v>0</v>
      </c>
      <c r="Y1308" s="8">
        <f>_xlfn.XLOOKUP(CustomerCombined[[#This Row],[ID]], Table2[ID],Table2[MC1], "Not Found", 0 )</f>
        <v>0</v>
      </c>
      <c r="Z1308" s="8">
        <f>_xlfn.XLOOKUP(CustomerCombined[[#This Row],[ID]], Table2[ID],Table2[MC2], "Not Found", 0 )</f>
        <v>0</v>
      </c>
      <c r="AA1308" s="8">
        <f>_xlfn.XLOOKUP(CustomerCombined[[#This Row],[ID]], Table2[ID],Table2[MC3], "Not Found", 0 )</f>
        <v>0</v>
      </c>
      <c r="AB1308" s="8">
        <f>_xlfn.XLOOKUP(CustomerCombined[[#This Row],[ID]], Table2[ID],Table2[MC4], "Not Found", 0 )</f>
        <v>0</v>
      </c>
      <c r="AC1308" s="8">
        <f>_xlfn.XLOOKUP(CustomerCombined[[#This Row],[ID]], Table2[ID],Table2[MC5], "Not Found", 0 )</f>
        <v>0</v>
      </c>
    </row>
    <row r="1309" spans="1:29" x14ac:dyDescent="0.3">
      <c r="A1309" s="6">
        <v>1520</v>
      </c>
      <c r="B1309" s="6">
        <v>144931</v>
      </c>
      <c r="C1309" s="6">
        <v>0</v>
      </c>
      <c r="D1309" s="6">
        <v>1</v>
      </c>
      <c r="E1309" s="6">
        <v>53</v>
      </c>
      <c r="F1309" s="5" t="s">
        <v>8</v>
      </c>
      <c r="G1309" s="5" t="s">
        <v>11</v>
      </c>
      <c r="H1309" s="3" t="s">
        <v>113</v>
      </c>
      <c r="I1309" s="5" t="s">
        <v>438</v>
      </c>
      <c r="J1309" s="5">
        <f>_xlfn.XLOOKUP(CustomerCombined[[#This Row],[ID]], Table4[ID], Table4[Recency], "Not Found", 0)</f>
        <v>0</v>
      </c>
      <c r="K1309" s="5">
        <f>_xlfn.XLOOKUP(CustomerCombined[[#This Row],[ID]], Table4[ID], Table4[Teas], "Not Found", 0)</f>
        <v>252</v>
      </c>
      <c r="L1309" s="5">
        <f>_xlfn.XLOOKUP(CustomerCombined[[#This Row],[ID]], Table4[ID], Table4[Fruits], "Not Found", 0)</f>
        <v>0</v>
      </c>
      <c r="M1309" s="5">
        <f>_xlfn.XLOOKUP(CustomerCombined[[#This Row],[ID]], Table4[ID], Table4[Meats], "Not Found", 0)</f>
        <v>35</v>
      </c>
      <c r="N1309" s="5">
        <f>_xlfn.XLOOKUP(CustomerCombined[[#This Row],[ID]], Table4[ID], Table4[Seafood], "Not Found", 0)</f>
        <v>0</v>
      </c>
      <c r="O1309" s="5">
        <f>_xlfn.XLOOKUP(CustomerCombined[[#This Row],[ID]], Table4[ID], Table4[Sweets], "Not Found", 0)</f>
        <v>0</v>
      </c>
      <c r="P1309" s="5">
        <f>_xlfn.XLOOKUP(CustomerCombined[[#This Row],[ID]], Table4[ID], Table4[Premium], "Not Found", 0)</f>
        <v>23</v>
      </c>
      <c r="Q1309" s="5">
        <f>_xlfn.XLOOKUP(CustomerCombined[[#This Row],[ID]], Table4[ID], Table4[Regular], "Not Found", 0)</f>
        <v>265</v>
      </c>
      <c r="R1309" s="5">
        <f>_xlfn.XLOOKUP(CustomerCombined[[#This Row],[ID]], Table4[ID], Table4[Deals], "Not Found", 0)</f>
        <v>1</v>
      </c>
      <c r="S1309" s="5">
        <f>_xlfn.XLOOKUP(CustomerCombined[[#This Row],[ID]], Table4[ID], Table4[Website], "Not Found", 0)</f>
        <v>2</v>
      </c>
      <c r="T1309" s="5">
        <f>_xlfn.XLOOKUP(CustomerCombined[[#This Row],[ID]], Table4[ID], Table4[Catalog], "Not Found", 0)</f>
        <v>1</v>
      </c>
      <c r="U1309" s="5">
        <f>_xlfn.XLOOKUP(CustomerCombined[[#This Row],[ID]], Table4[ID], Table4[Store], "Not Found", 0)</f>
        <v>3</v>
      </c>
      <c r="V1309" s="5">
        <f>_xlfn.XLOOKUP(CustomerCombined[[#This Row],[ID]], Table4[ID], Table4[Visits], "Not Found", 0)</f>
        <v>5</v>
      </c>
      <c r="W1309" s="8">
        <f>_xlfn.XLOOKUP(CustomerCombined[[#This Row],[ID]], Table2[ID],Table2[Complaint], "Not Found", 0 )</f>
        <v>0</v>
      </c>
      <c r="X1309" s="8">
        <f>_xlfn.XLOOKUP(CustomerCombined[[#This Row],[ID]], Table2[ID],Table2[Pilot], "Not Found", 0 )</f>
        <v>0</v>
      </c>
      <c r="Y1309" s="8">
        <f>_xlfn.XLOOKUP(CustomerCombined[[#This Row],[ID]], Table2[ID],Table2[MC1], "Not Found", 0 )</f>
        <v>0</v>
      </c>
      <c r="Z1309" s="8">
        <f>_xlfn.XLOOKUP(CustomerCombined[[#This Row],[ID]], Table2[ID],Table2[MC2], "Not Found", 0 )</f>
        <v>0</v>
      </c>
      <c r="AA1309" s="8">
        <f>_xlfn.XLOOKUP(CustomerCombined[[#This Row],[ID]], Table2[ID],Table2[MC3], "Not Found", 0 )</f>
        <v>0</v>
      </c>
      <c r="AB1309" s="8">
        <f>_xlfn.XLOOKUP(CustomerCombined[[#This Row],[ID]], Table2[ID],Table2[MC4], "Not Found", 0 )</f>
        <v>0</v>
      </c>
      <c r="AC1309" s="8">
        <f>_xlfn.XLOOKUP(CustomerCombined[[#This Row],[ID]], Table2[ID],Table2[MC5], "Not Found", 0 )</f>
        <v>0</v>
      </c>
    </row>
    <row r="1310" spans="1:29" x14ac:dyDescent="0.3">
      <c r="A1310" s="6">
        <v>2749</v>
      </c>
      <c r="B1310" s="6">
        <v>142664</v>
      </c>
      <c r="C1310" s="6">
        <v>0</v>
      </c>
      <c r="D1310" s="6">
        <v>1</v>
      </c>
      <c r="E1310" s="6">
        <v>53</v>
      </c>
      <c r="F1310" s="5" t="s">
        <v>6</v>
      </c>
      <c r="G1310" s="5" t="s">
        <v>11</v>
      </c>
      <c r="H1310" s="3" t="s">
        <v>83</v>
      </c>
      <c r="I1310" s="5" t="s">
        <v>437</v>
      </c>
      <c r="J1310" s="5">
        <f>_xlfn.XLOOKUP(CustomerCombined[[#This Row],[ID]], Table4[ID], Table4[Recency], "Not Found", 0)</f>
        <v>44</v>
      </c>
      <c r="K1310" s="5">
        <f>_xlfn.XLOOKUP(CustomerCombined[[#This Row],[ID]], Table4[ID], Table4[Teas], "Not Found", 0)</f>
        <v>70</v>
      </c>
      <c r="L1310" s="5">
        <f>_xlfn.XLOOKUP(CustomerCombined[[#This Row],[ID]], Table4[ID], Table4[Fruits], "Not Found", 0)</f>
        <v>0</v>
      </c>
      <c r="M1310" s="5">
        <f>_xlfn.XLOOKUP(CustomerCombined[[#This Row],[ID]], Table4[ID], Table4[Meats], "Not Found", 0)</f>
        <v>10</v>
      </c>
      <c r="N1310" s="5">
        <f>_xlfn.XLOOKUP(CustomerCombined[[#This Row],[ID]], Table4[ID], Table4[Seafood], "Not Found", 0)</f>
        <v>0</v>
      </c>
      <c r="O1310" s="5">
        <f>_xlfn.XLOOKUP(CustomerCombined[[#This Row],[ID]], Table4[ID], Table4[Sweets], "Not Found", 0)</f>
        <v>0</v>
      </c>
      <c r="P1310" s="5">
        <f>_xlfn.XLOOKUP(CustomerCombined[[#This Row],[ID]], Table4[ID], Table4[Premium], "Not Found", 0)</f>
        <v>0</v>
      </c>
      <c r="Q1310" s="5">
        <f>_xlfn.XLOOKUP(CustomerCombined[[#This Row],[ID]], Table4[ID], Table4[Regular], "Not Found", 0)</f>
        <v>80</v>
      </c>
      <c r="R1310" s="5">
        <f>_xlfn.XLOOKUP(CustomerCombined[[#This Row],[ID]], Table4[ID], Table4[Deals], "Not Found", 0)</f>
        <v>1</v>
      </c>
      <c r="S1310" s="5">
        <f>_xlfn.XLOOKUP(CustomerCombined[[#This Row],[ID]], Table4[ID], Table4[Website], "Not Found", 0)</f>
        <v>1</v>
      </c>
      <c r="T1310" s="5">
        <f>_xlfn.XLOOKUP(CustomerCombined[[#This Row],[ID]], Table4[ID], Table4[Catalog], "Not Found", 0)</f>
        <v>0</v>
      </c>
      <c r="U1310" s="5">
        <f>_xlfn.XLOOKUP(CustomerCombined[[#This Row],[ID]], Table4[ID], Table4[Store], "Not Found", 0)</f>
        <v>3</v>
      </c>
      <c r="V1310" s="5">
        <f>_xlfn.XLOOKUP(CustomerCombined[[#This Row],[ID]], Table4[ID], Table4[Visits], "Not Found", 0)</f>
        <v>6</v>
      </c>
      <c r="W1310" s="8">
        <f>_xlfn.XLOOKUP(CustomerCombined[[#This Row],[ID]], Table2[ID],Table2[Complaint], "Not Found", 0 )</f>
        <v>0</v>
      </c>
      <c r="X1310" s="8">
        <f>_xlfn.XLOOKUP(CustomerCombined[[#This Row],[ID]], Table2[ID],Table2[Pilot], "Not Found", 0 )</f>
        <v>0</v>
      </c>
      <c r="Y1310" s="8">
        <f>_xlfn.XLOOKUP(CustomerCombined[[#This Row],[ID]], Table2[ID],Table2[MC1], "Not Found", 0 )</f>
        <v>0</v>
      </c>
      <c r="Z1310" s="8">
        <f>_xlfn.XLOOKUP(CustomerCombined[[#This Row],[ID]], Table2[ID],Table2[MC2], "Not Found", 0 )</f>
        <v>0</v>
      </c>
      <c r="AA1310" s="8">
        <f>_xlfn.XLOOKUP(CustomerCombined[[#This Row],[ID]], Table2[ID],Table2[MC3], "Not Found", 0 )</f>
        <v>0</v>
      </c>
      <c r="AB1310" s="8">
        <f>_xlfn.XLOOKUP(CustomerCombined[[#This Row],[ID]], Table2[ID],Table2[MC4], "Not Found", 0 )</f>
        <v>0</v>
      </c>
      <c r="AC1310" s="8">
        <f>_xlfn.XLOOKUP(CustomerCombined[[#This Row],[ID]], Table2[ID],Table2[MC5], "Not Found", 0 )</f>
        <v>0</v>
      </c>
    </row>
    <row r="1311" spans="1:29" x14ac:dyDescent="0.3">
      <c r="A1311" s="6">
        <v>2429</v>
      </c>
      <c r="B1311" s="6">
        <v>140304</v>
      </c>
      <c r="C1311" s="6">
        <v>1</v>
      </c>
      <c r="D1311" s="6">
        <v>0</v>
      </c>
      <c r="E1311" s="6">
        <v>53</v>
      </c>
      <c r="F1311" s="5" t="s">
        <v>7</v>
      </c>
      <c r="G1311" s="5" t="s">
        <v>13</v>
      </c>
      <c r="H1311" s="3">
        <v>43985</v>
      </c>
      <c r="I1311" s="5" t="s">
        <v>434</v>
      </c>
      <c r="J1311" s="5">
        <f>_xlfn.XLOOKUP(CustomerCombined[[#This Row],[ID]], Table4[ID], Table4[Recency], "Not Found", 0)</f>
        <v>82</v>
      </c>
      <c r="K1311" s="5">
        <f>_xlfn.XLOOKUP(CustomerCombined[[#This Row],[ID]], Table4[ID], Table4[Teas], "Not Found", 0)</f>
        <v>129</v>
      </c>
      <c r="L1311" s="5">
        <f>_xlfn.XLOOKUP(CustomerCombined[[#This Row],[ID]], Table4[ID], Table4[Fruits], "Not Found", 0)</f>
        <v>0</v>
      </c>
      <c r="M1311" s="5">
        <f>_xlfn.XLOOKUP(CustomerCombined[[#This Row],[ID]], Table4[ID], Table4[Meats], "Not Found", 0)</f>
        <v>59</v>
      </c>
      <c r="N1311" s="5">
        <f>_xlfn.XLOOKUP(CustomerCombined[[#This Row],[ID]], Table4[ID], Table4[Seafood], "Not Found", 0)</f>
        <v>0</v>
      </c>
      <c r="O1311" s="5">
        <f>_xlfn.XLOOKUP(CustomerCombined[[#This Row],[ID]], Table4[ID], Table4[Sweets], "Not Found", 0)</f>
        <v>0</v>
      </c>
      <c r="P1311" s="5">
        <f>_xlfn.XLOOKUP(CustomerCombined[[#This Row],[ID]], Table4[ID], Table4[Premium], "Not Found", 0)</f>
        <v>10</v>
      </c>
      <c r="Q1311" s="5">
        <f>_xlfn.XLOOKUP(CustomerCombined[[#This Row],[ID]], Table4[ID], Table4[Regular], "Not Found", 0)</f>
        <v>178</v>
      </c>
      <c r="R1311" s="5">
        <f>_xlfn.XLOOKUP(CustomerCombined[[#This Row],[ID]], Table4[ID], Table4[Deals], "Not Found", 0)</f>
        <v>1</v>
      </c>
      <c r="S1311" s="5">
        <f>_xlfn.XLOOKUP(CustomerCombined[[#This Row],[ID]], Table4[ID], Table4[Website], "Not Found", 0)</f>
        <v>2</v>
      </c>
      <c r="T1311" s="5">
        <f>_xlfn.XLOOKUP(CustomerCombined[[#This Row],[ID]], Table4[ID], Table4[Catalog], "Not Found", 0)</f>
        <v>0</v>
      </c>
      <c r="U1311" s="5">
        <f>_xlfn.XLOOKUP(CustomerCombined[[#This Row],[ID]], Table4[ID], Table4[Store], "Not Found", 0)</f>
        <v>3</v>
      </c>
      <c r="V1311" s="5">
        <f>_xlfn.XLOOKUP(CustomerCombined[[#This Row],[ID]], Table4[ID], Table4[Visits], "Not Found", 0)</f>
        <v>7</v>
      </c>
      <c r="W1311" s="8">
        <f>_xlfn.XLOOKUP(CustomerCombined[[#This Row],[ID]], Table2[ID],Table2[Complaint], "Not Found", 0 )</f>
        <v>0</v>
      </c>
      <c r="X1311" s="8">
        <f>_xlfn.XLOOKUP(CustomerCombined[[#This Row],[ID]], Table2[ID],Table2[Pilot], "Not Found", 0 )</f>
        <v>0</v>
      </c>
      <c r="Y1311" s="8">
        <f>_xlfn.XLOOKUP(CustomerCombined[[#This Row],[ID]], Table2[ID],Table2[MC1], "Not Found", 0 )</f>
        <v>0</v>
      </c>
      <c r="Z1311" s="8">
        <f>_xlfn.XLOOKUP(CustomerCombined[[#This Row],[ID]], Table2[ID],Table2[MC2], "Not Found", 0 )</f>
        <v>0</v>
      </c>
      <c r="AA1311" s="8">
        <f>_xlfn.XLOOKUP(CustomerCombined[[#This Row],[ID]], Table2[ID],Table2[MC3], "Not Found", 0 )</f>
        <v>0</v>
      </c>
      <c r="AB1311" s="8">
        <f>_xlfn.XLOOKUP(CustomerCombined[[#This Row],[ID]], Table2[ID],Table2[MC4], "Not Found", 0 )</f>
        <v>0</v>
      </c>
      <c r="AC1311" s="8">
        <f>_xlfn.XLOOKUP(CustomerCombined[[#This Row],[ID]], Table2[ID],Table2[MC5], "Not Found", 0 )</f>
        <v>0</v>
      </c>
    </row>
    <row r="1312" spans="1:29" x14ac:dyDescent="0.3">
      <c r="A1312" s="6">
        <v>2531</v>
      </c>
      <c r="B1312" s="6">
        <v>137054</v>
      </c>
      <c r="C1312" s="6">
        <v>1</v>
      </c>
      <c r="D1312" s="6">
        <v>1</v>
      </c>
      <c r="E1312" s="6">
        <v>53</v>
      </c>
      <c r="F1312" s="5" t="s">
        <v>6</v>
      </c>
      <c r="G1312" s="5" t="s">
        <v>12</v>
      </c>
      <c r="H1312" s="3" t="s">
        <v>184</v>
      </c>
      <c r="I1312" s="5" t="s">
        <v>434</v>
      </c>
      <c r="J1312" s="5">
        <f>_xlfn.XLOOKUP(CustomerCombined[[#This Row],[ID]], Table4[ID], Table4[Recency], "Not Found", 0)</f>
        <v>89</v>
      </c>
      <c r="K1312" s="5">
        <f>_xlfn.XLOOKUP(CustomerCombined[[#This Row],[ID]], Table4[ID], Table4[Teas], "Not Found", 0)</f>
        <v>44</v>
      </c>
      <c r="L1312" s="5">
        <f>_xlfn.XLOOKUP(CustomerCombined[[#This Row],[ID]], Table4[ID], Table4[Fruits], "Not Found", 0)</f>
        <v>4</v>
      </c>
      <c r="M1312" s="5">
        <f>_xlfn.XLOOKUP(CustomerCombined[[#This Row],[ID]], Table4[ID], Table4[Meats], "Not Found", 0)</f>
        <v>22</v>
      </c>
      <c r="N1312" s="5">
        <f>_xlfn.XLOOKUP(CustomerCombined[[#This Row],[ID]], Table4[ID], Table4[Seafood], "Not Found", 0)</f>
        <v>0</v>
      </c>
      <c r="O1312" s="5">
        <f>_xlfn.XLOOKUP(CustomerCombined[[#This Row],[ID]], Table4[ID], Table4[Sweets], "Not Found", 0)</f>
        <v>4</v>
      </c>
      <c r="P1312" s="5">
        <f>_xlfn.XLOOKUP(CustomerCombined[[#This Row],[ID]], Table4[ID], Table4[Premium], "Not Found", 0)</f>
        <v>18</v>
      </c>
      <c r="Q1312" s="5">
        <f>_xlfn.XLOOKUP(CustomerCombined[[#This Row],[ID]], Table4[ID], Table4[Regular], "Not Found", 0)</f>
        <v>55</v>
      </c>
      <c r="R1312" s="5">
        <f>_xlfn.XLOOKUP(CustomerCombined[[#This Row],[ID]], Table4[ID], Table4[Deals], "Not Found", 0)</f>
        <v>2</v>
      </c>
      <c r="S1312" s="5">
        <f>_xlfn.XLOOKUP(CustomerCombined[[#This Row],[ID]], Table4[ID], Table4[Website], "Not Found", 0)</f>
        <v>1</v>
      </c>
      <c r="T1312" s="5">
        <f>_xlfn.XLOOKUP(CustomerCombined[[#This Row],[ID]], Table4[ID], Table4[Catalog], "Not Found", 0)</f>
        <v>0</v>
      </c>
      <c r="U1312" s="5">
        <f>_xlfn.XLOOKUP(CustomerCombined[[#This Row],[ID]], Table4[ID], Table4[Store], "Not Found", 0)</f>
        <v>3</v>
      </c>
      <c r="V1312" s="5">
        <f>_xlfn.XLOOKUP(CustomerCombined[[#This Row],[ID]], Table4[ID], Table4[Visits], "Not Found", 0)</f>
        <v>7</v>
      </c>
      <c r="W1312" s="8">
        <f>_xlfn.XLOOKUP(CustomerCombined[[#This Row],[ID]], Table2[ID],Table2[Complaint], "Not Found", 0 )</f>
        <v>0</v>
      </c>
      <c r="X1312" s="8">
        <f>_xlfn.XLOOKUP(CustomerCombined[[#This Row],[ID]], Table2[ID],Table2[Pilot], "Not Found", 0 )</f>
        <v>0</v>
      </c>
      <c r="Y1312" s="8">
        <f>_xlfn.XLOOKUP(CustomerCombined[[#This Row],[ID]], Table2[ID],Table2[MC1], "Not Found", 0 )</f>
        <v>0</v>
      </c>
      <c r="Z1312" s="8">
        <f>_xlfn.XLOOKUP(CustomerCombined[[#This Row],[ID]], Table2[ID],Table2[MC2], "Not Found", 0 )</f>
        <v>0</v>
      </c>
      <c r="AA1312" s="8">
        <f>_xlfn.XLOOKUP(CustomerCombined[[#This Row],[ID]], Table2[ID],Table2[MC3], "Not Found", 0 )</f>
        <v>0</v>
      </c>
      <c r="AB1312" s="8">
        <f>_xlfn.XLOOKUP(CustomerCombined[[#This Row],[ID]], Table2[ID],Table2[MC4], "Not Found", 0 )</f>
        <v>0</v>
      </c>
      <c r="AC1312" s="8">
        <f>_xlfn.XLOOKUP(CustomerCombined[[#This Row],[ID]], Table2[ID],Table2[MC5], "Not Found", 0 )</f>
        <v>0</v>
      </c>
    </row>
    <row r="1313" spans="1:29" x14ac:dyDescent="0.3">
      <c r="A1313" s="6">
        <v>2381</v>
      </c>
      <c r="B1313" s="6">
        <v>136947</v>
      </c>
      <c r="C1313" s="6">
        <v>1</v>
      </c>
      <c r="D1313" s="6">
        <v>1</v>
      </c>
      <c r="E1313" s="6">
        <v>53</v>
      </c>
      <c r="F1313" s="5" t="s">
        <v>6</v>
      </c>
      <c r="G1313" s="5" t="s">
        <v>13</v>
      </c>
      <c r="H1313" s="3">
        <v>43800</v>
      </c>
      <c r="I1313" s="5" t="s">
        <v>434</v>
      </c>
      <c r="J1313" s="5">
        <f>_xlfn.XLOOKUP(CustomerCombined[[#This Row],[ID]], Table4[ID], Table4[Recency], "Not Found", 0)</f>
        <v>49</v>
      </c>
      <c r="K1313" s="5">
        <f>_xlfn.XLOOKUP(CustomerCombined[[#This Row],[ID]], Table4[ID], Table4[Teas], "Not Found", 0)</f>
        <v>326</v>
      </c>
      <c r="L1313" s="5">
        <f>_xlfn.XLOOKUP(CustomerCombined[[#This Row],[ID]], Table4[ID], Table4[Fruits], "Not Found", 0)</f>
        <v>11</v>
      </c>
      <c r="M1313" s="5">
        <f>_xlfn.XLOOKUP(CustomerCombined[[#This Row],[ID]], Table4[ID], Table4[Meats], "Not Found", 0)</f>
        <v>78</v>
      </c>
      <c r="N1313" s="5">
        <f>_xlfn.XLOOKUP(CustomerCombined[[#This Row],[ID]], Table4[ID], Table4[Seafood], "Not Found", 0)</f>
        <v>15</v>
      </c>
      <c r="O1313" s="5">
        <f>_xlfn.XLOOKUP(CustomerCombined[[#This Row],[ID]], Table4[ID], Table4[Sweets], "Not Found", 0)</f>
        <v>4</v>
      </c>
      <c r="P1313" s="5">
        <f>_xlfn.XLOOKUP(CustomerCombined[[#This Row],[ID]], Table4[ID], Table4[Premium], "Not Found", 0)</f>
        <v>107</v>
      </c>
      <c r="Q1313" s="5">
        <f>_xlfn.XLOOKUP(CustomerCombined[[#This Row],[ID]], Table4[ID], Table4[Regular], "Not Found", 0)</f>
        <v>326</v>
      </c>
      <c r="R1313" s="5">
        <f>_xlfn.XLOOKUP(CustomerCombined[[#This Row],[ID]], Table4[ID], Table4[Deals], "Not Found", 0)</f>
        <v>4</v>
      </c>
      <c r="S1313" s="5">
        <f>_xlfn.XLOOKUP(CustomerCombined[[#This Row],[ID]], Table4[ID], Table4[Website], "Not Found", 0)</f>
        <v>3</v>
      </c>
      <c r="T1313" s="5">
        <f>_xlfn.XLOOKUP(CustomerCombined[[#This Row],[ID]], Table4[ID], Table4[Catalog], "Not Found", 0)</f>
        <v>0</v>
      </c>
      <c r="U1313" s="5">
        <f>_xlfn.XLOOKUP(CustomerCombined[[#This Row],[ID]], Table4[ID], Table4[Store], "Not Found", 0)</f>
        <v>4</v>
      </c>
      <c r="V1313" s="5">
        <f>_xlfn.XLOOKUP(CustomerCombined[[#This Row],[ID]], Table4[ID], Table4[Visits], "Not Found", 0)</f>
        <v>9</v>
      </c>
      <c r="W1313" s="8">
        <f>_xlfn.XLOOKUP(CustomerCombined[[#This Row],[ID]], Table2[ID],Table2[Complaint], "Not Found", 0 )</f>
        <v>0</v>
      </c>
      <c r="X1313" s="8">
        <f>_xlfn.XLOOKUP(CustomerCombined[[#This Row],[ID]], Table2[ID],Table2[Pilot], "Not Found", 0 )</f>
        <v>0</v>
      </c>
      <c r="Y1313" s="8">
        <f>_xlfn.XLOOKUP(CustomerCombined[[#This Row],[ID]], Table2[ID],Table2[MC1], "Not Found", 0 )</f>
        <v>0</v>
      </c>
      <c r="Z1313" s="8">
        <f>_xlfn.XLOOKUP(CustomerCombined[[#This Row],[ID]], Table2[ID],Table2[MC2], "Not Found", 0 )</f>
        <v>0</v>
      </c>
      <c r="AA1313" s="8">
        <f>_xlfn.XLOOKUP(CustomerCombined[[#This Row],[ID]], Table2[ID],Table2[MC3], "Not Found", 0 )</f>
        <v>0</v>
      </c>
      <c r="AB1313" s="8">
        <f>_xlfn.XLOOKUP(CustomerCombined[[#This Row],[ID]], Table2[ID],Table2[MC4], "Not Found", 0 )</f>
        <v>0</v>
      </c>
      <c r="AC1313" s="8">
        <f>_xlfn.XLOOKUP(CustomerCombined[[#This Row],[ID]], Table2[ID],Table2[MC5], "Not Found", 0 )</f>
        <v>0</v>
      </c>
    </row>
    <row r="1314" spans="1:29" x14ac:dyDescent="0.3">
      <c r="A1314" s="6">
        <v>1815</v>
      </c>
      <c r="B1314" s="6">
        <v>135441</v>
      </c>
      <c r="C1314" s="6">
        <v>1</v>
      </c>
      <c r="D1314" s="6">
        <v>1</v>
      </c>
      <c r="E1314" s="6">
        <v>53</v>
      </c>
      <c r="F1314" s="5" t="s">
        <v>6</v>
      </c>
      <c r="G1314" s="5" t="s">
        <v>11</v>
      </c>
      <c r="H1314" s="3" t="s">
        <v>309</v>
      </c>
      <c r="I1314" s="5" t="s">
        <v>435</v>
      </c>
      <c r="J1314" s="5">
        <f>_xlfn.XLOOKUP(CustomerCombined[[#This Row],[ID]], Table4[ID], Table4[Recency], "Not Found", 0)</f>
        <v>94</v>
      </c>
      <c r="K1314" s="5">
        <f>_xlfn.XLOOKUP(CustomerCombined[[#This Row],[ID]], Table4[ID], Table4[Teas], "Not Found", 0)</f>
        <v>96</v>
      </c>
      <c r="L1314" s="5">
        <f>_xlfn.XLOOKUP(CustomerCombined[[#This Row],[ID]], Table4[ID], Table4[Fruits], "Not Found", 0)</f>
        <v>4</v>
      </c>
      <c r="M1314" s="5">
        <f>_xlfn.XLOOKUP(CustomerCombined[[#This Row],[ID]], Table4[ID], Table4[Meats], "Not Found", 0)</f>
        <v>34</v>
      </c>
      <c r="N1314" s="5">
        <f>_xlfn.XLOOKUP(CustomerCombined[[#This Row],[ID]], Table4[ID], Table4[Seafood], "Not Found", 0)</f>
        <v>8</v>
      </c>
      <c r="O1314" s="5">
        <f>_xlfn.XLOOKUP(CustomerCombined[[#This Row],[ID]], Table4[ID], Table4[Sweets], "Not Found", 0)</f>
        <v>4</v>
      </c>
      <c r="P1314" s="5">
        <f>_xlfn.XLOOKUP(CustomerCombined[[#This Row],[ID]], Table4[ID], Table4[Premium], "Not Found", 0)</f>
        <v>4</v>
      </c>
      <c r="Q1314" s="5">
        <f>_xlfn.XLOOKUP(CustomerCombined[[#This Row],[ID]], Table4[ID], Table4[Regular], "Not Found", 0)</f>
        <v>141</v>
      </c>
      <c r="R1314" s="5">
        <f>_xlfn.XLOOKUP(CustomerCombined[[#This Row],[ID]], Table4[ID], Table4[Deals], "Not Found", 0)</f>
        <v>2</v>
      </c>
      <c r="S1314" s="5">
        <f>_xlfn.XLOOKUP(CustomerCombined[[#This Row],[ID]], Table4[ID], Table4[Website], "Not Found", 0)</f>
        <v>1</v>
      </c>
      <c r="T1314" s="5">
        <f>_xlfn.XLOOKUP(CustomerCombined[[#This Row],[ID]], Table4[ID], Table4[Catalog], "Not Found", 0)</f>
        <v>0</v>
      </c>
      <c r="U1314" s="5">
        <f>_xlfn.XLOOKUP(CustomerCombined[[#This Row],[ID]], Table4[ID], Table4[Store], "Not Found", 0)</f>
        <v>3</v>
      </c>
      <c r="V1314" s="5">
        <f>_xlfn.XLOOKUP(CustomerCombined[[#This Row],[ID]], Table4[ID], Table4[Visits], "Not Found", 0)</f>
        <v>8</v>
      </c>
      <c r="W1314" s="8">
        <f>_xlfn.XLOOKUP(CustomerCombined[[#This Row],[ID]], Table2[ID],Table2[Complaint], "Not Found", 0 )</f>
        <v>0</v>
      </c>
      <c r="X1314" s="8">
        <f>_xlfn.XLOOKUP(CustomerCombined[[#This Row],[ID]], Table2[ID],Table2[Pilot], "Not Found", 0 )</f>
        <v>0</v>
      </c>
      <c r="Y1314" s="8">
        <f>_xlfn.XLOOKUP(CustomerCombined[[#This Row],[ID]], Table2[ID],Table2[MC1], "Not Found", 0 )</f>
        <v>0</v>
      </c>
      <c r="Z1314" s="8">
        <f>_xlfn.XLOOKUP(CustomerCombined[[#This Row],[ID]], Table2[ID],Table2[MC2], "Not Found", 0 )</f>
        <v>0</v>
      </c>
      <c r="AA1314" s="8">
        <f>_xlfn.XLOOKUP(CustomerCombined[[#This Row],[ID]], Table2[ID],Table2[MC3], "Not Found", 0 )</f>
        <v>0</v>
      </c>
      <c r="AB1314" s="8">
        <f>_xlfn.XLOOKUP(CustomerCombined[[#This Row],[ID]], Table2[ID],Table2[MC4], "Not Found", 0 )</f>
        <v>0</v>
      </c>
      <c r="AC1314" s="8">
        <f>_xlfn.XLOOKUP(CustomerCombined[[#This Row],[ID]], Table2[ID],Table2[MC5], "Not Found", 0 )</f>
        <v>0</v>
      </c>
    </row>
    <row r="1315" spans="1:29" x14ac:dyDescent="0.3">
      <c r="A1315" s="6">
        <v>1113</v>
      </c>
      <c r="B1315" s="6">
        <v>132557</v>
      </c>
      <c r="C1315" s="6">
        <v>1</v>
      </c>
      <c r="D1315" s="6">
        <v>0</v>
      </c>
      <c r="E1315" s="6">
        <v>53</v>
      </c>
      <c r="F1315" s="5" t="s">
        <v>7</v>
      </c>
      <c r="G1315" s="5" t="s">
        <v>12</v>
      </c>
      <c r="H1315" s="3" t="s">
        <v>91</v>
      </c>
      <c r="I1315" s="5" t="s">
        <v>435</v>
      </c>
      <c r="J1315" s="5">
        <f>_xlfn.XLOOKUP(CustomerCombined[[#This Row],[ID]], Table4[ID], Table4[Recency], "Not Found", 0)</f>
        <v>13</v>
      </c>
      <c r="K1315" s="5">
        <f>_xlfn.XLOOKUP(CustomerCombined[[#This Row],[ID]], Table4[ID], Table4[Teas], "Not Found", 0)</f>
        <v>138</v>
      </c>
      <c r="L1315" s="5">
        <f>_xlfn.XLOOKUP(CustomerCombined[[#This Row],[ID]], Table4[ID], Table4[Fruits], "Not Found", 0)</f>
        <v>12</v>
      </c>
      <c r="M1315" s="5">
        <f>_xlfn.XLOOKUP(CustomerCombined[[#This Row],[ID]], Table4[ID], Table4[Meats], "Not Found", 0)</f>
        <v>118</v>
      </c>
      <c r="N1315" s="5">
        <f>_xlfn.XLOOKUP(CustomerCombined[[#This Row],[ID]], Table4[ID], Table4[Seafood], "Not Found", 0)</f>
        <v>0</v>
      </c>
      <c r="O1315" s="5">
        <f>_xlfn.XLOOKUP(CustomerCombined[[#This Row],[ID]], Table4[ID], Table4[Sweets], "Not Found", 0)</f>
        <v>16</v>
      </c>
      <c r="P1315" s="5">
        <f>_xlfn.XLOOKUP(CustomerCombined[[#This Row],[ID]], Table4[ID], Table4[Premium], "Not Found", 0)</f>
        <v>41</v>
      </c>
      <c r="Q1315" s="5">
        <f>_xlfn.XLOOKUP(CustomerCombined[[#This Row],[ID]], Table4[ID], Table4[Regular], "Not Found", 0)</f>
        <v>244</v>
      </c>
      <c r="R1315" s="5">
        <f>_xlfn.XLOOKUP(CustomerCombined[[#This Row],[ID]], Table4[ID], Table4[Deals], "Not Found", 0)</f>
        <v>3</v>
      </c>
      <c r="S1315" s="5">
        <f>_xlfn.XLOOKUP(CustomerCombined[[#This Row],[ID]], Table4[ID], Table4[Website], "Not Found", 0)</f>
        <v>2</v>
      </c>
      <c r="T1315" s="5">
        <f>_xlfn.XLOOKUP(CustomerCombined[[#This Row],[ID]], Table4[ID], Table4[Catalog], "Not Found", 0)</f>
        <v>1</v>
      </c>
      <c r="U1315" s="5">
        <f>_xlfn.XLOOKUP(CustomerCombined[[#This Row],[ID]], Table4[ID], Table4[Store], "Not Found", 0)</f>
        <v>3</v>
      </c>
      <c r="V1315" s="5">
        <f>_xlfn.XLOOKUP(CustomerCombined[[#This Row],[ID]], Table4[ID], Table4[Visits], "Not Found", 0)</f>
        <v>5</v>
      </c>
      <c r="W1315" s="8">
        <f>_xlfn.XLOOKUP(CustomerCombined[[#This Row],[ID]], Table2[ID],Table2[Complaint], "Not Found", 0 )</f>
        <v>0</v>
      </c>
      <c r="X1315" s="8">
        <f>_xlfn.XLOOKUP(CustomerCombined[[#This Row],[ID]], Table2[ID],Table2[Pilot], "Not Found", 0 )</f>
        <v>1</v>
      </c>
      <c r="Y1315" s="8">
        <f>_xlfn.XLOOKUP(CustomerCombined[[#This Row],[ID]], Table2[ID],Table2[MC1], "Not Found", 0 )</f>
        <v>0</v>
      </c>
      <c r="Z1315" s="8">
        <f>_xlfn.XLOOKUP(CustomerCombined[[#This Row],[ID]], Table2[ID],Table2[MC2], "Not Found", 0 )</f>
        <v>0</v>
      </c>
      <c r="AA1315" s="8">
        <f>_xlfn.XLOOKUP(CustomerCombined[[#This Row],[ID]], Table2[ID],Table2[MC3], "Not Found", 0 )</f>
        <v>0</v>
      </c>
      <c r="AB1315" s="8">
        <f>_xlfn.XLOOKUP(CustomerCombined[[#This Row],[ID]], Table2[ID],Table2[MC4], "Not Found", 0 )</f>
        <v>0</v>
      </c>
      <c r="AC1315" s="8">
        <f>_xlfn.XLOOKUP(CustomerCombined[[#This Row],[ID]], Table2[ID],Table2[MC5], "Not Found", 0 )</f>
        <v>0</v>
      </c>
    </row>
    <row r="1316" spans="1:29" x14ac:dyDescent="0.3">
      <c r="A1316" s="6">
        <v>1062</v>
      </c>
      <c r="B1316" s="6">
        <v>132474</v>
      </c>
      <c r="C1316" s="6">
        <v>1</v>
      </c>
      <c r="D1316" s="6">
        <v>1</v>
      </c>
      <c r="E1316" s="6">
        <v>53</v>
      </c>
      <c r="F1316" s="5" t="s">
        <v>8</v>
      </c>
      <c r="G1316" s="5" t="s">
        <v>11</v>
      </c>
      <c r="H1316" s="3" t="s">
        <v>53</v>
      </c>
      <c r="I1316" s="5" t="s">
        <v>436</v>
      </c>
      <c r="J1316" s="5">
        <f>_xlfn.XLOOKUP(CustomerCombined[[#This Row],[ID]], Table4[ID], Table4[Recency], "Not Found", 0)</f>
        <v>0</v>
      </c>
      <c r="K1316" s="5">
        <f>_xlfn.XLOOKUP(CustomerCombined[[#This Row],[ID]], Table4[ID], Table4[Teas], "Not Found", 0)</f>
        <v>41</v>
      </c>
      <c r="L1316" s="5">
        <f>_xlfn.XLOOKUP(CustomerCombined[[#This Row],[ID]], Table4[ID], Table4[Fruits], "Not Found", 0)</f>
        <v>0</v>
      </c>
      <c r="M1316" s="5">
        <f>_xlfn.XLOOKUP(CustomerCombined[[#This Row],[ID]], Table4[ID], Table4[Meats], "Not Found", 0)</f>
        <v>4</v>
      </c>
      <c r="N1316" s="5">
        <f>_xlfn.XLOOKUP(CustomerCombined[[#This Row],[ID]], Table4[ID], Table4[Seafood], "Not Found", 0)</f>
        <v>0</v>
      </c>
      <c r="O1316" s="5">
        <f>_xlfn.XLOOKUP(CustomerCombined[[#This Row],[ID]], Table4[ID], Table4[Sweets], "Not Found", 0)</f>
        <v>0</v>
      </c>
      <c r="P1316" s="5">
        <f>_xlfn.XLOOKUP(CustomerCombined[[#This Row],[ID]], Table4[ID], Table4[Premium], "Not Found", 0)</f>
        <v>0</v>
      </c>
      <c r="Q1316" s="5">
        <f>_xlfn.XLOOKUP(CustomerCombined[[#This Row],[ID]], Table4[ID], Table4[Regular], "Not Found", 0)</f>
        <v>45</v>
      </c>
      <c r="R1316" s="5">
        <f>_xlfn.XLOOKUP(CustomerCombined[[#This Row],[ID]], Table4[ID], Table4[Deals], "Not Found", 0)</f>
        <v>1</v>
      </c>
      <c r="S1316" s="5">
        <f>_xlfn.XLOOKUP(CustomerCombined[[#This Row],[ID]], Table4[ID], Table4[Website], "Not Found", 0)</f>
        <v>1</v>
      </c>
      <c r="T1316" s="5">
        <f>_xlfn.XLOOKUP(CustomerCombined[[#This Row],[ID]], Table4[ID], Table4[Catalog], "Not Found", 0)</f>
        <v>0</v>
      </c>
      <c r="U1316" s="5">
        <f>_xlfn.XLOOKUP(CustomerCombined[[#This Row],[ID]], Table4[ID], Table4[Store], "Not Found", 0)</f>
        <v>2</v>
      </c>
      <c r="V1316" s="5">
        <f>_xlfn.XLOOKUP(CustomerCombined[[#This Row],[ID]], Table4[ID], Table4[Visits], "Not Found", 0)</f>
        <v>7</v>
      </c>
      <c r="W1316" s="8">
        <f>_xlfn.XLOOKUP(CustomerCombined[[#This Row],[ID]], Table2[ID],Table2[Complaint], "Not Found", 0 )</f>
        <v>0</v>
      </c>
      <c r="X1316" s="8">
        <f>_xlfn.XLOOKUP(CustomerCombined[[#This Row],[ID]], Table2[ID],Table2[Pilot], "Not Found", 0 )</f>
        <v>0</v>
      </c>
      <c r="Y1316" s="8">
        <f>_xlfn.XLOOKUP(CustomerCombined[[#This Row],[ID]], Table2[ID],Table2[MC1], "Not Found", 0 )</f>
        <v>0</v>
      </c>
      <c r="Z1316" s="8">
        <f>_xlfn.XLOOKUP(CustomerCombined[[#This Row],[ID]], Table2[ID],Table2[MC2], "Not Found", 0 )</f>
        <v>0</v>
      </c>
      <c r="AA1316" s="8">
        <f>_xlfn.XLOOKUP(CustomerCombined[[#This Row],[ID]], Table2[ID],Table2[MC3], "Not Found", 0 )</f>
        <v>0</v>
      </c>
      <c r="AB1316" s="8">
        <f>_xlfn.XLOOKUP(CustomerCombined[[#This Row],[ID]], Table2[ID],Table2[MC4], "Not Found", 0 )</f>
        <v>0</v>
      </c>
      <c r="AC1316" s="8">
        <f>_xlfn.XLOOKUP(CustomerCombined[[#This Row],[ID]], Table2[ID],Table2[MC5], "Not Found", 0 )</f>
        <v>0</v>
      </c>
    </row>
    <row r="1317" spans="1:29" x14ac:dyDescent="0.3">
      <c r="A1317" s="6">
        <v>1110</v>
      </c>
      <c r="B1317" s="6">
        <v>130753</v>
      </c>
      <c r="C1317" s="6">
        <v>1</v>
      </c>
      <c r="D1317" s="6">
        <v>1</v>
      </c>
      <c r="E1317" s="6">
        <v>53</v>
      </c>
      <c r="F1317" s="5" t="s">
        <v>8</v>
      </c>
      <c r="G1317" s="5" t="s">
        <v>442</v>
      </c>
      <c r="H1317" s="3" t="s">
        <v>225</v>
      </c>
      <c r="I1317" s="5" t="s">
        <v>436</v>
      </c>
      <c r="J1317" s="5">
        <f>_xlfn.XLOOKUP(CustomerCombined[[#This Row],[ID]], Table4[ID], Table4[Recency], "Not Found", 0)</f>
        <v>85</v>
      </c>
      <c r="K1317" s="5">
        <f>_xlfn.XLOOKUP(CustomerCombined[[#This Row],[ID]], Table4[ID], Table4[Teas], "Not Found", 0)</f>
        <v>51</v>
      </c>
      <c r="L1317" s="5">
        <f>_xlfn.XLOOKUP(CustomerCombined[[#This Row],[ID]], Table4[ID], Table4[Fruits], "Not Found", 0)</f>
        <v>21</v>
      </c>
      <c r="M1317" s="5">
        <f>_xlfn.XLOOKUP(CustomerCombined[[#This Row],[ID]], Table4[ID], Table4[Meats], "Not Found", 0)</f>
        <v>106</v>
      </c>
      <c r="N1317" s="5">
        <f>_xlfn.XLOOKUP(CustomerCombined[[#This Row],[ID]], Table4[ID], Table4[Seafood], "Not Found", 0)</f>
        <v>0</v>
      </c>
      <c r="O1317" s="5">
        <f>_xlfn.XLOOKUP(CustomerCombined[[#This Row],[ID]], Table4[ID], Table4[Sweets], "Not Found", 0)</f>
        <v>38</v>
      </c>
      <c r="P1317" s="5">
        <f>_xlfn.XLOOKUP(CustomerCombined[[#This Row],[ID]], Table4[ID], Table4[Premium], "Not Found", 0)</f>
        <v>128</v>
      </c>
      <c r="Q1317" s="5">
        <f>_xlfn.XLOOKUP(CustomerCombined[[#This Row],[ID]], Table4[ID], Table4[Regular], "Not Found", 0)</f>
        <v>89</v>
      </c>
      <c r="R1317" s="5">
        <f>_xlfn.XLOOKUP(CustomerCombined[[#This Row],[ID]], Table4[ID], Table4[Deals], "Not Found", 0)</f>
        <v>2</v>
      </c>
      <c r="S1317" s="5">
        <f>_xlfn.XLOOKUP(CustomerCombined[[#This Row],[ID]], Table4[ID], Table4[Website], "Not Found", 0)</f>
        <v>1</v>
      </c>
      <c r="T1317" s="5">
        <f>_xlfn.XLOOKUP(CustomerCombined[[#This Row],[ID]], Table4[ID], Table4[Catalog], "Not Found", 0)</f>
        <v>1</v>
      </c>
      <c r="U1317" s="5">
        <f>_xlfn.XLOOKUP(CustomerCombined[[#This Row],[ID]], Table4[ID], Table4[Store], "Not Found", 0)</f>
        <v>3</v>
      </c>
      <c r="V1317" s="5">
        <f>_xlfn.XLOOKUP(CustomerCombined[[#This Row],[ID]], Table4[ID], Table4[Visits], "Not Found", 0)</f>
        <v>5</v>
      </c>
      <c r="W1317" s="8">
        <f>_xlfn.XLOOKUP(CustomerCombined[[#This Row],[ID]], Table2[ID],Table2[Complaint], "Not Found", 0 )</f>
        <v>0</v>
      </c>
      <c r="X1317" s="8">
        <f>_xlfn.XLOOKUP(CustomerCombined[[#This Row],[ID]], Table2[ID],Table2[Pilot], "Not Found", 0 )</f>
        <v>0</v>
      </c>
      <c r="Y1317" s="8">
        <f>_xlfn.XLOOKUP(CustomerCombined[[#This Row],[ID]], Table2[ID],Table2[MC1], "Not Found", 0 )</f>
        <v>0</v>
      </c>
      <c r="Z1317" s="8">
        <f>_xlfn.XLOOKUP(CustomerCombined[[#This Row],[ID]], Table2[ID],Table2[MC2], "Not Found", 0 )</f>
        <v>0</v>
      </c>
      <c r="AA1317" s="8">
        <f>_xlfn.XLOOKUP(CustomerCombined[[#This Row],[ID]], Table2[ID],Table2[MC3], "Not Found", 0 )</f>
        <v>0</v>
      </c>
      <c r="AB1317" s="8">
        <f>_xlfn.XLOOKUP(CustomerCombined[[#This Row],[ID]], Table2[ID],Table2[MC4], "Not Found", 0 )</f>
        <v>0</v>
      </c>
      <c r="AC1317" s="8">
        <f>_xlfn.XLOOKUP(CustomerCombined[[#This Row],[ID]], Table2[ID],Table2[MC5], "Not Found", 0 )</f>
        <v>0</v>
      </c>
    </row>
    <row r="1318" spans="1:29" x14ac:dyDescent="0.3">
      <c r="A1318" s="6">
        <v>2976</v>
      </c>
      <c r="B1318" s="6">
        <v>128420</v>
      </c>
      <c r="C1318" s="6">
        <v>1</v>
      </c>
      <c r="D1318" s="6">
        <v>0</v>
      </c>
      <c r="E1318" s="6">
        <v>53</v>
      </c>
      <c r="F1318" s="5" t="s">
        <v>5</v>
      </c>
      <c r="G1318" s="5" t="s">
        <v>13</v>
      </c>
      <c r="H1318" s="3" t="s">
        <v>124</v>
      </c>
      <c r="I1318" s="5" t="s">
        <v>436</v>
      </c>
      <c r="J1318" s="5">
        <f>_xlfn.XLOOKUP(CustomerCombined[[#This Row],[ID]], Table4[ID], Table4[Recency], "Not Found", 0)</f>
        <v>36</v>
      </c>
      <c r="K1318" s="5">
        <f>_xlfn.XLOOKUP(CustomerCombined[[#This Row],[ID]], Table4[ID], Table4[Teas], "Not Found", 0)</f>
        <v>18</v>
      </c>
      <c r="L1318" s="5">
        <f>_xlfn.XLOOKUP(CustomerCombined[[#This Row],[ID]], Table4[ID], Table4[Fruits], "Not Found", 0)</f>
        <v>9</v>
      </c>
      <c r="M1318" s="5">
        <f>_xlfn.XLOOKUP(CustomerCombined[[#This Row],[ID]], Table4[ID], Table4[Meats], "Not Found", 0)</f>
        <v>23</v>
      </c>
      <c r="N1318" s="5">
        <f>_xlfn.XLOOKUP(CustomerCombined[[#This Row],[ID]], Table4[ID], Table4[Seafood], "Not Found", 0)</f>
        <v>9</v>
      </c>
      <c r="O1318" s="5">
        <f>_xlfn.XLOOKUP(CustomerCombined[[#This Row],[ID]], Table4[ID], Table4[Sweets], "Not Found", 0)</f>
        <v>0</v>
      </c>
      <c r="P1318" s="5">
        <f>_xlfn.XLOOKUP(CustomerCombined[[#This Row],[ID]], Table4[ID], Table4[Premium], "Not Found", 0)</f>
        <v>0</v>
      </c>
      <c r="Q1318" s="5">
        <f>_xlfn.XLOOKUP(CustomerCombined[[#This Row],[ID]], Table4[ID], Table4[Regular], "Not Found", 0)</f>
        <v>59</v>
      </c>
      <c r="R1318" s="5">
        <f>_xlfn.XLOOKUP(CustomerCombined[[#This Row],[ID]], Table4[ID], Table4[Deals], "Not Found", 0)</f>
        <v>1</v>
      </c>
      <c r="S1318" s="5">
        <f>_xlfn.XLOOKUP(CustomerCombined[[#This Row],[ID]], Table4[ID], Table4[Website], "Not Found", 0)</f>
        <v>1</v>
      </c>
      <c r="T1318" s="5">
        <f>_xlfn.XLOOKUP(CustomerCombined[[#This Row],[ID]], Table4[ID], Table4[Catalog], "Not Found", 0)</f>
        <v>0</v>
      </c>
      <c r="U1318" s="5">
        <f>_xlfn.XLOOKUP(CustomerCombined[[#This Row],[ID]], Table4[ID], Table4[Store], "Not Found", 0)</f>
        <v>2</v>
      </c>
      <c r="V1318" s="5">
        <f>_xlfn.XLOOKUP(CustomerCombined[[#This Row],[ID]], Table4[ID], Table4[Visits], "Not Found", 0)</f>
        <v>6</v>
      </c>
      <c r="W1318" s="8">
        <f>_xlfn.XLOOKUP(CustomerCombined[[#This Row],[ID]], Table2[ID],Table2[Complaint], "Not Found", 0 )</f>
        <v>0</v>
      </c>
      <c r="X1318" s="8">
        <f>_xlfn.XLOOKUP(CustomerCombined[[#This Row],[ID]], Table2[ID],Table2[Pilot], "Not Found", 0 )</f>
        <v>0</v>
      </c>
      <c r="Y1318" s="8">
        <f>_xlfn.XLOOKUP(CustomerCombined[[#This Row],[ID]], Table2[ID],Table2[MC1], "Not Found", 0 )</f>
        <v>0</v>
      </c>
      <c r="Z1318" s="8">
        <f>_xlfn.XLOOKUP(CustomerCombined[[#This Row],[ID]], Table2[ID],Table2[MC2], "Not Found", 0 )</f>
        <v>0</v>
      </c>
      <c r="AA1318" s="8">
        <f>_xlfn.XLOOKUP(CustomerCombined[[#This Row],[ID]], Table2[ID],Table2[MC3], "Not Found", 0 )</f>
        <v>0</v>
      </c>
      <c r="AB1318" s="8">
        <f>_xlfn.XLOOKUP(CustomerCombined[[#This Row],[ID]], Table2[ID],Table2[MC4], "Not Found", 0 )</f>
        <v>0</v>
      </c>
      <c r="AC1318" s="8">
        <f>_xlfn.XLOOKUP(CustomerCombined[[#This Row],[ID]], Table2[ID],Table2[MC5], "Not Found", 0 )</f>
        <v>0</v>
      </c>
    </row>
    <row r="1319" spans="1:29" x14ac:dyDescent="0.3">
      <c r="A1319" s="6">
        <v>2992</v>
      </c>
      <c r="B1319" s="6">
        <v>127943</v>
      </c>
      <c r="C1319" s="6">
        <v>1</v>
      </c>
      <c r="D1319" s="6">
        <v>1</v>
      </c>
      <c r="E1319" s="6">
        <v>53</v>
      </c>
      <c r="F1319" s="5" t="s">
        <v>8</v>
      </c>
      <c r="G1319" s="5" t="s">
        <v>11</v>
      </c>
      <c r="H1319" s="3" t="s">
        <v>274</v>
      </c>
      <c r="I1319" s="5" t="s">
        <v>439</v>
      </c>
      <c r="J1319" s="5">
        <f>_xlfn.XLOOKUP(CustomerCombined[[#This Row],[ID]], Table4[ID], Table4[Recency], "Not Found", 0)</f>
        <v>89</v>
      </c>
      <c r="K1319" s="5">
        <f>_xlfn.XLOOKUP(CustomerCombined[[#This Row],[ID]], Table4[ID], Table4[Teas], "Not Found", 0)</f>
        <v>55</v>
      </c>
      <c r="L1319" s="5">
        <f>_xlfn.XLOOKUP(CustomerCombined[[#This Row],[ID]], Table4[ID], Table4[Fruits], "Not Found", 0)</f>
        <v>5</v>
      </c>
      <c r="M1319" s="5">
        <f>_xlfn.XLOOKUP(CustomerCombined[[#This Row],[ID]], Table4[ID], Table4[Meats], "Not Found", 0)</f>
        <v>73</v>
      </c>
      <c r="N1319" s="5">
        <f>_xlfn.XLOOKUP(CustomerCombined[[#This Row],[ID]], Table4[ID], Table4[Seafood], "Not Found", 0)</f>
        <v>18</v>
      </c>
      <c r="O1319" s="5">
        <f>_xlfn.XLOOKUP(CustomerCombined[[#This Row],[ID]], Table4[ID], Table4[Sweets], "Not Found", 0)</f>
        <v>5</v>
      </c>
      <c r="P1319" s="5">
        <f>_xlfn.XLOOKUP(CustomerCombined[[#This Row],[ID]], Table4[ID], Table4[Premium], "Not Found", 0)</f>
        <v>14</v>
      </c>
      <c r="Q1319" s="5">
        <f>_xlfn.XLOOKUP(CustomerCombined[[#This Row],[ID]], Table4[ID], Table4[Regular], "Not Found", 0)</f>
        <v>142</v>
      </c>
      <c r="R1319" s="5">
        <f>_xlfn.XLOOKUP(CustomerCombined[[#This Row],[ID]], Table4[ID], Table4[Deals], "Not Found", 0)</f>
        <v>3</v>
      </c>
      <c r="S1319" s="5">
        <f>_xlfn.XLOOKUP(CustomerCombined[[#This Row],[ID]], Table4[ID], Table4[Website], "Not Found", 0)</f>
        <v>2</v>
      </c>
      <c r="T1319" s="5">
        <f>_xlfn.XLOOKUP(CustomerCombined[[#This Row],[ID]], Table4[ID], Table4[Catalog], "Not Found", 0)</f>
        <v>0</v>
      </c>
      <c r="U1319" s="5">
        <f>_xlfn.XLOOKUP(CustomerCombined[[#This Row],[ID]], Table4[ID], Table4[Store], "Not Found", 0)</f>
        <v>3</v>
      </c>
      <c r="V1319" s="5">
        <f>_xlfn.XLOOKUP(CustomerCombined[[#This Row],[ID]], Table4[ID], Table4[Visits], "Not Found", 0)</f>
        <v>8</v>
      </c>
      <c r="W1319" s="8">
        <f>_xlfn.XLOOKUP(CustomerCombined[[#This Row],[ID]], Table2[ID],Table2[Complaint], "Not Found", 0 )</f>
        <v>0</v>
      </c>
      <c r="X1319" s="8">
        <f>_xlfn.XLOOKUP(CustomerCombined[[#This Row],[ID]], Table2[ID],Table2[Pilot], "Not Found", 0 )</f>
        <v>0</v>
      </c>
      <c r="Y1319" s="8">
        <f>_xlfn.XLOOKUP(CustomerCombined[[#This Row],[ID]], Table2[ID],Table2[MC1], "Not Found", 0 )</f>
        <v>0</v>
      </c>
      <c r="Z1319" s="8">
        <f>_xlfn.XLOOKUP(CustomerCombined[[#This Row],[ID]], Table2[ID],Table2[MC2], "Not Found", 0 )</f>
        <v>0</v>
      </c>
      <c r="AA1319" s="8">
        <f>_xlfn.XLOOKUP(CustomerCombined[[#This Row],[ID]], Table2[ID],Table2[MC3], "Not Found", 0 )</f>
        <v>0</v>
      </c>
      <c r="AB1319" s="8">
        <f>_xlfn.XLOOKUP(CustomerCombined[[#This Row],[ID]], Table2[ID],Table2[MC4], "Not Found", 0 )</f>
        <v>0</v>
      </c>
      <c r="AC1319" s="8">
        <f>_xlfn.XLOOKUP(CustomerCombined[[#This Row],[ID]], Table2[ID],Table2[MC5], "Not Found", 0 )</f>
        <v>0</v>
      </c>
    </row>
    <row r="1320" spans="1:29" x14ac:dyDescent="0.3">
      <c r="A1320" s="6">
        <v>2845</v>
      </c>
      <c r="B1320" s="6">
        <v>126642</v>
      </c>
      <c r="C1320" s="6">
        <v>1</v>
      </c>
      <c r="D1320" s="6">
        <v>0</v>
      </c>
      <c r="E1320" s="6">
        <v>53</v>
      </c>
      <c r="F1320" s="5" t="s">
        <v>5</v>
      </c>
      <c r="G1320" s="5" t="s">
        <v>13</v>
      </c>
      <c r="H1320" s="3">
        <v>43959</v>
      </c>
      <c r="I1320" s="5" t="s">
        <v>437</v>
      </c>
      <c r="J1320" s="5">
        <f>_xlfn.XLOOKUP(CustomerCombined[[#This Row],[ID]], Table4[ID], Table4[Recency], "Not Found", 0)</f>
        <v>71</v>
      </c>
      <c r="K1320" s="5">
        <f>_xlfn.XLOOKUP(CustomerCombined[[#This Row],[ID]], Table4[ID], Table4[Teas], "Not Found", 0)</f>
        <v>62</v>
      </c>
      <c r="L1320" s="5">
        <f>_xlfn.XLOOKUP(CustomerCombined[[#This Row],[ID]], Table4[ID], Table4[Fruits], "Not Found", 0)</f>
        <v>10</v>
      </c>
      <c r="M1320" s="5">
        <f>_xlfn.XLOOKUP(CustomerCombined[[#This Row],[ID]], Table4[ID], Table4[Meats], "Not Found", 0)</f>
        <v>71</v>
      </c>
      <c r="N1320" s="5">
        <f>_xlfn.XLOOKUP(CustomerCombined[[#This Row],[ID]], Table4[ID], Table4[Seafood], "Not Found", 0)</f>
        <v>10</v>
      </c>
      <c r="O1320" s="5">
        <f>_xlfn.XLOOKUP(CustomerCombined[[#This Row],[ID]], Table4[ID], Table4[Sweets], "Not Found", 0)</f>
        <v>10</v>
      </c>
      <c r="P1320" s="5">
        <f>_xlfn.XLOOKUP(CustomerCombined[[#This Row],[ID]], Table4[ID], Table4[Premium], "Not Found", 0)</f>
        <v>38</v>
      </c>
      <c r="Q1320" s="5">
        <f>_xlfn.XLOOKUP(CustomerCombined[[#This Row],[ID]], Table4[ID], Table4[Regular], "Not Found", 0)</f>
        <v>124</v>
      </c>
      <c r="R1320" s="5">
        <f>_xlfn.XLOOKUP(CustomerCombined[[#This Row],[ID]], Table4[ID], Table4[Deals], "Not Found", 0)</f>
        <v>2</v>
      </c>
      <c r="S1320" s="5">
        <f>_xlfn.XLOOKUP(CustomerCombined[[#This Row],[ID]], Table4[ID], Table4[Website], "Not Found", 0)</f>
        <v>2</v>
      </c>
      <c r="T1320" s="5">
        <f>_xlfn.XLOOKUP(CustomerCombined[[#This Row],[ID]], Table4[ID], Table4[Catalog], "Not Found", 0)</f>
        <v>0</v>
      </c>
      <c r="U1320" s="5">
        <f>_xlfn.XLOOKUP(CustomerCombined[[#This Row],[ID]], Table4[ID], Table4[Store], "Not Found", 0)</f>
        <v>3</v>
      </c>
      <c r="V1320" s="5">
        <f>_xlfn.XLOOKUP(CustomerCombined[[#This Row],[ID]], Table4[ID], Table4[Visits], "Not Found", 0)</f>
        <v>6</v>
      </c>
      <c r="W1320" s="8">
        <f>_xlfn.XLOOKUP(CustomerCombined[[#This Row],[ID]], Table2[ID],Table2[Complaint], "Not Found", 0 )</f>
        <v>0</v>
      </c>
      <c r="X1320" s="8">
        <f>_xlfn.XLOOKUP(CustomerCombined[[#This Row],[ID]], Table2[ID],Table2[Pilot], "Not Found", 0 )</f>
        <v>0</v>
      </c>
      <c r="Y1320" s="8">
        <f>_xlfn.XLOOKUP(CustomerCombined[[#This Row],[ID]], Table2[ID],Table2[MC1], "Not Found", 0 )</f>
        <v>0</v>
      </c>
      <c r="Z1320" s="8">
        <f>_xlfn.XLOOKUP(CustomerCombined[[#This Row],[ID]], Table2[ID],Table2[MC2], "Not Found", 0 )</f>
        <v>0</v>
      </c>
      <c r="AA1320" s="8">
        <f>_xlfn.XLOOKUP(CustomerCombined[[#This Row],[ID]], Table2[ID],Table2[MC3], "Not Found", 0 )</f>
        <v>0</v>
      </c>
      <c r="AB1320" s="8">
        <f>_xlfn.XLOOKUP(CustomerCombined[[#This Row],[ID]], Table2[ID],Table2[MC4], "Not Found", 0 )</f>
        <v>0</v>
      </c>
      <c r="AC1320" s="8">
        <f>_xlfn.XLOOKUP(CustomerCombined[[#This Row],[ID]], Table2[ID],Table2[MC5], "Not Found", 0 )</f>
        <v>0</v>
      </c>
    </row>
    <row r="1321" spans="1:29" x14ac:dyDescent="0.3">
      <c r="A1321" s="6">
        <v>2112</v>
      </c>
      <c r="B1321" s="6">
        <v>125930</v>
      </c>
      <c r="C1321" s="6">
        <v>1</v>
      </c>
      <c r="D1321" s="6">
        <v>1</v>
      </c>
      <c r="E1321" s="6">
        <v>53</v>
      </c>
      <c r="F1321" s="5" t="s">
        <v>7</v>
      </c>
      <c r="G1321" s="5" t="s">
        <v>11</v>
      </c>
      <c r="H1321" s="3" t="s">
        <v>172</v>
      </c>
      <c r="I1321" s="5" t="s">
        <v>436</v>
      </c>
      <c r="J1321" s="5">
        <f>_xlfn.XLOOKUP(CustomerCombined[[#This Row],[ID]], Table4[ID], Table4[Recency], "Not Found", 0)</f>
        <v>87</v>
      </c>
      <c r="K1321" s="5">
        <f>_xlfn.XLOOKUP(CustomerCombined[[#This Row],[ID]], Table4[ID], Table4[Teas], "Not Found", 0)</f>
        <v>29</v>
      </c>
      <c r="L1321" s="5">
        <f>_xlfn.XLOOKUP(CustomerCombined[[#This Row],[ID]], Table4[ID], Table4[Fruits], "Not Found", 0)</f>
        <v>5</v>
      </c>
      <c r="M1321" s="5">
        <f>_xlfn.XLOOKUP(CustomerCombined[[#This Row],[ID]], Table4[ID], Table4[Meats], "Not Found", 0)</f>
        <v>10</v>
      </c>
      <c r="N1321" s="5">
        <f>_xlfn.XLOOKUP(CustomerCombined[[#This Row],[ID]], Table4[ID], Table4[Seafood], "Not Found", 0)</f>
        <v>10</v>
      </c>
      <c r="O1321" s="5">
        <f>_xlfn.XLOOKUP(CustomerCombined[[#This Row],[ID]], Table4[ID], Table4[Sweets], "Not Found", 0)</f>
        <v>0</v>
      </c>
      <c r="P1321" s="5">
        <f>_xlfn.XLOOKUP(CustomerCombined[[#This Row],[ID]], Table4[ID], Table4[Premium], "Not Found", 0)</f>
        <v>19</v>
      </c>
      <c r="Q1321" s="5">
        <f>_xlfn.XLOOKUP(CustomerCombined[[#This Row],[ID]], Table4[ID], Table4[Regular], "Not Found", 0)</f>
        <v>34</v>
      </c>
      <c r="R1321" s="5">
        <f>_xlfn.XLOOKUP(CustomerCombined[[#This Row],[ID]], Table4[ID], Table4[Deals], "Not Found", 0)</f>
        <v>1</v>
      </c>
      <c r="S1321" s="5">
        <f>_xlfn.XLOOKUP(CustomerCombined[[#This Row],[ID]], Table4[ID], Table4[Website], "Not Found", 0)</f>
        <v>1</v>
      </c>
      <c r="T1321" s="5">
        <f>_xlfn.XLOOKUP(CustomerCombined[[#This Row],[ID]], Table4[ID], Table4[Catalog], "Not Found", 0)</f>
        <v>0</v>
      </c>
      <c r="U1321" s="5">
        <f>_xlfn.XLOOKUP(CustomerCombined[[#This Row],[ID]], Table4[ID], Table4[Store], "Not Found", 0)</f>
        <v>2</v>
      </c>
      <c r="V1321" s="5">
        <f>_xlfn.XLOOKUP(CustomerCombined[[#This Row],[ID]], Table4[ID], Table4[Visits], "Not Found", 0)</f>
        <v>7</v>
      </c>
      <c r="W1321" s="8">
        <f>_xlfn.XLOOKUP(CustomerCombined[[#This Row],[ID]], Table2[ID],Table2[Complaint], "Not Found", 0 )</f>
        <v>0</v>
      </c>
      <c r="X1321" s="8">
        <f>_xlfn.XLOOKUP(CustomerCombined[[#This Row],[ID]], Table2[ID],Table2[Pilot], "Not Found", 0 )</f>
        <v>0</v>
      </c>
      <c r="Y1321" s="8">
        <f>_xlfn.XLOOKUP(CustomerCombined[[#This Row],[ID]], Table2[ID],Table2[MC1], "Not Found", 0 )</f>
        <v>0</v>
      </c>
      <c r="Z1321" s="8">
        <f>_xlfn.XLOOKUP(CustomerCombined[[#This Row],[ID]], Table2[ID],Table2[MC2], "Not Found", 0 )</f>
        <v>0</v>
      </c>
      <c r="AA1321" s="8">
        <f>_xlfn.XLOOKUP(CustomerCombined[[#This Row],[ID]], Table2[ID],Table2[MC3], "Not Found", 0 )</f>
        <v>0</v>
      </c>
      <c r="AB1321" s="8">
        <f>_xlfn.XLOOKUP(CustomerCombined[[#This Row],[ID]], Table2[ID],Table2[MC4], "Not Found", 0 )</f>
        <v>0</v>
      </c>
      <c r="AC1321" s="8">
        <f>_xlfn.XLOOKUP(CustomerCombined[[#This Row],[ID]], Table2[ID],Table2[MC5], "Not Found", 0 )</f>
        <v>0</v>
      </c>
    </row>
    <row r="1322" spans="1:29" x14ac:dyDescent="0.3">
      <c r="A1322" s="6">
        <v>1298</v>
      </c>
      <c r="B1322" s="6">
        <v>122574</v>
      </c>
      <c r="C1322" s="6">
        <v>2</v>
      </c>
      <c r="D1322" s="6">
        <v>1</v>
      </c>
      <c r="E1322" s="6">
        <v>53</v>
      </c>
      <c r="F1322" s="5" t="s">
        <v>6</v>
      </c>
      <c r="G1322" s="5" t="s">
        <v>11</v>
      </c>
      <c r="H1322" s="3">
        <v>43894</v>
      </c>
      <c r="I1322" s="5" t="s">
        <v>438</v>
      </c>
      <c r="J1322" s="5">
        <f>_xlfn.XLOOKUP(CustomerCombined[[#This Row],[ID]], Table4[ID], Table4[Recency], "Not Found", 0)</f>
        <v>28</v>
      </c>
      <c r="K1322" s="5">
        <f>_xlfn.XLOOKUP(CustomerCombined[[#This Row],[ID]], Table4[ID], Table4[Teas], "Not Found", 0)</f>
        <v>136</v>
      </c>
      <c r="L1322" s="5">
        <f>_xlfn.XLOOKUP(CustomerCombined[[#This Row],[ID]], Table4[ID], Table4[Fruits], "Not Found", 0)</f>
        <v>0</v>
      </c>
      <c r="M1322" s="5">
        <f>_xlfn.XLOOKUP(CustomerCombined[[#This Row],[ID]], Table4[ID], Table4[Meats], "Not Found", 0)</f>
        <v>43</v>
      </c>
      <c r="N1322" s="5">
        <f>_xlfn.XLOOKUP(CustomerCombined[[#This Row],[ID]], Table4[ID], Table4[Seafood], "Not Found", 0)</f>
        <v>11</v>
      </c>
      <c r="O1322" s="5">
        <f>_xlfn.XLOOKUP(CustomerCombined[[#This Row],[ID]], Table4[ID], Table4[Sweets], "Not Found", 0)</f>
        <v>0</v>
      </c>
      <c r="P1322" s="5">
        <f>_xlfn.XLOOKUP(CustomerCombined[[#This Row],[ID]], Table4[ID], Table4[Premium], "Not Found", 0)</f>
        <v>11</v>
      </c>
      <c r="Q1322" s="5">
        <f>_xlfn.XLOOKUP(CustomerCombined[[#This Row],[ID]], Table4[ID], Table4[Regular], "Not Found", 0)</f>
        <v>179</v>
      </c>
      <c r="R1322" s="5">
        <f>_xlfn.XLOOKUP(CustomerCombined[[#This Row],[ID]], Table4[ID], Table4[Deals], "Not Found", 0)</f>
        <v>2</v>
      </c>
      <c r="S1322" s="5">
        <f>_xlfn.XLOOKUP(CustomerCombined[[#This Row],[ID]], Table4[ID], Table4[Website], "Not Found", 0)</f>
        <v>2</v>
      </c>
      <c r="T1322" s="5">
        <f>_xlfn.XLOOKUP(CustomerCombined[[#This Row],[ID]], Table4[ID], Table4[Catalog], "Not Found", 0)</f>
        <v>0</v>
      </c>
      <c r="U1322" s="5">
        <f>_xlfn.XLOOKUP(CustomerCombined[[#This Row],[ID]], Table4[ID], Table4[Store], "Not Found", 0)</f>
        <v>3</v>
      </c>
      <c r="V1322" s="5">
        <f>_xlfn.XLOOKUP(CustomerCombined[[#This Row],[ID]], Table4[ID], Table4[Visits], "Not Found", 0)</f>
        <v>7</v>
      </c>
      <c r="W1322" s="8">
        <f>_xlfn.XLOOKUP(CustomerCombined[[#This Row],[ID]], Table2[ID],Table2[Complaint], "Not Found", 0 )</f>
        <v>0</v>
      </c>
      <c r="X1322" s="8">
        <f>_xlfn.XLOOKUP(CustomerCombined[[#This Row],[ID]], Table2[ID],Table2[Pilot], "Not Found", 0 )</f>
        <v>0</v>
      </c>
      <c r="Y1322" s="8">
        <f>_xlfn.XLOOKUP(CustomerCombined[[#This Row],[ID]], Table2[ID],Table2[MC1], "Not Found", 0 )</f>
        <v>0</v>
      </c>
      <c r="Z1322" s="8">
        <f>_xlfn.XLOOKUP(CustomerCombined[[#This Row],[ID]], Table2[ID],Table2[MC2], "Not Found", 0 )</f>
        <v>0</v>
      </c>
      <c r="AA1322" s="8">
        <f>_xlfn.XLOOKUP(CustomerCombined[[#This Row],[ID]], Table2[ID],Table2[MC3], "Not Found", 0 )</f>
        <v>0</v>
      </c>
      <c r="AB1322" s="8">
        <f>_xlfn.XLOOKUP(CustomerCombined[[#This Row],[ID]], Table2[ID],Table2[MC4], "Not Found", 0 )</f>
        <v>0</v>
      </c>
      <c r="AC1322" s="8">
        <f>_xlfn.XLOOKUP(CustomerCombined[[#This Row],[ID]], Table2[ID],Table2[MC5], "Not Found", 0 )</f>
        <v>0</v>
      </c>
    </row>
    <row r="1323" spans="1:29" x14ac:dyDescent="0.3">
      <c r="A1323" s="6">
        <v>1597</v>
      </c>
      <c r="B1323" s="6">
        <v>122574</v>
      </c>
      <c r="C1323" s="6">
        <v>2</v>
      </c>
      <c r="D1323" s="6">
        <v>1</v>
      </c>
      <c r="E1323" s="6">
        <v>53</v>
      </c>
      <c r="F1323" s="5" t="s">
        <v>6</v>
      </c>
      <c r="G1323" s="5" t="s">
        <v>11</v>
      </c>
      <c r="H1323" s="3">
        <v>43894</v>
      </c>
      <c r="I1323" s="5" t="s">
        <v>437</v>
      </c>
      <c r="J1323" s="5">
        <f>_xlfn.XLOOKUP(CustomerCombined[[#This Row],[ID]], Table4[ID], Table4[Recency], "Not Found", 0)</f>
        <v>28</v>
      </c>
      <c r="K1323" s="5">
        <f>_xlfn.XLOOKUP(CustomerCombined[[#This Row],[ID]], Table4[ID], Table4[Teas], "Not Found", 0)</f>
        <v>136</v>
      </c>
      <c r="L1323" s="5">
        <f>_xlfn.XLOOKUP(CustomerCombined[[#This Row],[ID]], Table4[ID], Table4[Fruits], "Not Found", 0)</f>
        <v>0</v>
      </c>
      <c r="M1323" s="5">
        <f>_xlfn.XLOOKUP(CustomerCombined[[#This Row],[ID]], Table4[ID], Table4[Meats], "Not Found", 0)</f>
        <v>43</v>
      </c>
      <c r="N1323" s="5">
        <f>_xlfn.XLOOKUP(CustomerCombined[[#This Row],[ID]], Table4[ID], Table4[Seafood], "Not Found", 0)</f>
        <v>11</v>
      </c>
      <c r="O1323" s="5">
        <f>_xlfn.XLOOKUP(CustomerCombined[[#This Row],[ID]], Table4[ID], Table4[Sweets], "Not Found", 0)</f>
        <v>0</v>
      </c>
      <c r="P1323" s="5">
        <f>_xlfn.XLOOKUP(CustomerCombined[[#This Row],[ID]], Table4[ID], Table4[Premium], "Not Found", 0)</f>
        <v>11</v>
      </c>
      <c r="Q1323" s="5">
        <f>_xlfn.XLOOKUP(CustomerCombined[[#This Row],[ID]], Table4[ID], Table4[Regular], "Not Found", 0)</f>
        <v>179</v>
      </c>
      <c r="R1323" s="5">
        <f>_xlfn.XLOOKUP(CustomerCombined[[#This Row],[ID]], Table4[ID], Table4[Deals], "Not Found", 0)</f>
        <v>2</v>
      </c>
      <c r="S1323" s="5">
        <f>_xlfn.XLOOKUP(CustomerCombined[[#This Row],[ID]], Table4[ID], Table4[Website], "Not Found", 0)</f>
        <v>2</v>
      </c>
      <c r="T1323" s="5">
        <f>_xlfn.XLOOKUP(CustomerCombined[[#This Row],[ID]], Table4[ID], Table4[Catalog], "Not Found", 0)</f>
        <v>0</v>
      </c>
      <c r="U1323" s="5">
        <f>_xlfn.XLOOKUP(CustomerCombined[[#This Row],[ID]], Table4[ID], Table4[Store], "Not Found", 0)</f>
        <v>3</v>
      </c>
      <c r="V1323" s="5">
        <f>_xlfn.XLOOKUP(CustomerCombined[[#This Row],[ID]], Table4[ID], Table4[Visits], "Not Found", 0)</f>
        <v>7</v>
      </c>
      <c r="W1323" s="8">
        <f>_xlfn.XLOOKUP(CustomerCombined[[#This Row],[ID]], Table2[ID],Table2[Complaint], "Not Found", 0 )</f>
        <v>0</v>
      </c>
      <c r="X1323" s="8">
        <f>_xlfn.XLOOKUP(CustomerCombined[[#This Row],[ID]], Table2[ID],Table2[Pilot], "Not Found", 0 )</f>
        <v>0</v>
      </c>
      <c r="Y1323" s="8">
        <f>_xlfn.XLOOKUP(CustomerCombined[[#This Row],[ID]], Table2[ID],Table2[MC1], "Not Found", 0 )</f>
        <v>0</v>
      </c>
      <c r="Z1323" s="8">
        <f>_xlfn.XLOOKUP(CustomerCombined[[#This Row],[ID]], Table2[ID],Table2[MC2], "Not Found", 0 )</f>
        <v>0</v>
      </c>
      <c r="AA1323" s="8">
        <f>_xlfn.XLOOKUP(CustomerCombined[[#This Row],[ID]], Table2[ID],Table2[MC3], "Not Found", 0 )</f>
        <v>0</v>
      </c>
      <c r="AB1323" s="8">
        <f>_xlfn.XLOOKUP(CustomerCombined[[#This Row],[ID]], Table2[ID],Table2[MC4], "Not Found", 0 )</f>
        <v>0</v>
      </c>
      <c r="AC1323" s="8">
        <f>_xlfn.XLOOKUP(CustomerCombined[[#This Row],[ID]], Table2[ID],Table2[MC5], "Not Found", 0 )</f>
        <v>0</v>
      </c>
    </row>
    <row r="1324" spans="1:29" x14ac:dyDescent="0.3">
      <c r="A1324" s="6">
        <v>1440</v>
      </c>
      <c r="B1324" s="6">
        <v>189572</v>
      </c>
      <c r="C1324" s="6">
        <v>0</v>
      </c>
      <c r="D1324" s="6">
        <v>0</v>
      </c>
      <c r="E1324" s="6">
        <v>54</v>
      </c>
      <c r="F1324" s="5" t="s">
        <v>7</v>
      </c>
      <c r="G1324" s="5" t="s">
        <v>442</v>
      </c>
      <c r="H1324" s="3" t="s">
        <v>395</v>
      </c>
      <c r="I1324" s="5" t="s">
        <v>436</v>
      </c>
      <c r="J1324" s="5">
        <f>_xlfn.XLOOKUP(CustomerCombined[[#This Row],[ID]], Table4[ID], Table4[Recency], "Not Found", 0)</f>
        <v>44</v>
      </c>
      <c r="K1324" s="5">
        <f>_xlfn.XLOOKUP(CustomerCombined[[#This Row],[ID]], Table4[ID], Table4[Teas], "Not Found", 0)</f>
        <v>1283</v>
      </c>
      <c r="L1324" s="5">
        <f>_xlfn.XLOOKUP(CustomerCombined[[#This Row],[ID]], Table4[ID], Table4[Fruits], "Not Found", 0)</f>
        <v>51</v>
      </c>
      <c r="M1324" s="5">
        <f>_xlfn.XLOOKUP(CustomerCombined[[#This Row],[ID]], Table4[ID], Table4[Meats], "Not Found", 0)</f>
        <v>2061</v>
      </c>
      <c r="N1324" s="5">
        <f>_xlfn.XLOOKUP(CustomerCombined[[#This Row],[ID]], Table4[ID], Table4[Seafood], "Not Found", 0)</f>
        <v>417</v>
      </c>
      <c r="O1324" s="5">
        <f>_xlfn.XLOOKUP(CustomerCombined[[#This Row],[ID]], Table4[ID], Table4[Sweets], "Not Found", 0)</f>
        <v>411</v>
      </c>
      <c r="P1324" s="5">
        <f>_xlfn.XLOOKUP(CustomerCombined[[#This Row],[ID]], Table4[ID], Table4[Premium], "Not Found", 0)</f>
        <v>135</v>
      </c>
      <c r="Q1324" s="5">
        <f>_xlfn.XLOOKUP(CustomerCombined[[#This Row],[ID]], Table4[ID], Table4[Regular], "Not Found", 0)</f>
        <v>4087</v>
      </c>
      <c r="R1324" s="5">
        <f>_xlfn.XLOOKUP(CustomerCombined[[#This Row],[ID]], Table4[ID], Table4[Deals], "Not Found", 0)</f>
        <v>1</v>
      </c>
      <c r="S1324" s="5">
        <f>_xlfn.XLOOKUP(CustomerCombined[[#This Row],[ID]], Table4[ID], Table4[Website], "Not Found", 0)</f>
        <v>7</v>
      </c>
      <c r="T1324" s="5">
        <f>_xlfn.XLOOKUP(CustomerCombined[[#This Row],[ID]], Table4[ID], Table4[Catalog], "Not Found", 0)</f>
        <v>7</v>
      </c>
      <c r="U1324" s="5">
        <f>_xlfn.XLOOKUP(CustomerCombined[[#This Row],[ID]], Table4[ID], Table4[Store], "Not Found", 0)</f>
        <v>9</v>
      </c>
      <c r="V1324" s="5">
        <f>_xlfn.XLOOKUP(CustomerCombined[[#This Row],[ID]], Table4[ID], Table4[Visits], "Not Found", 0)</f>
        <v>4</v>
      </c>
      <c r="W1324" s="8">
        <f>_xlfn.XLOOKUP(CustomerCombined[[#This Row],[ID]], Table2[ID],Table2[Complaint], "Not Found", 0 )</f>
        <v>0</v>
      </c>
      <c r="X1324" s="8">
        <f>_xlfn.XLOOKUP(CustomerCombined[[#This Row],[ID]], Table2[ID],Table2[Pilot], "Not Found", 0 )</f>
        <v>1</v>
      </c>
      <c r="Y1324" s="8">
        <f>_xlfn.XLOOKUP(CustomerCombined[[#This Row],[ID]], Table2[ID],Table2[MC1], "Not Found", 0 )</f>
        <v>1</v>
      </c>
      <c r="Z1324" s="8">
        <f>_xlfn.XLOOKUP(CustomerCombined[[#This Row],[ID]], Table2[ID],Table2[MC2], "Not Found", 0 )</f>
        <v>0</v>
      </c>
      <c r="AA1324" s="8">
        <f>_xlfn.XLOOKUP(CustomerCombined[[#This Row],[ID]], Table2[ID],Table2[MC3], "Not Found", 0 )</f>
        <v>0</v>
      </c>
      <c r="AB1324" s="8">
        <f>_xlfn.XLOOKUP(CustomerCombined[[#This Row],[ID]], Table2[ID],Table2[MC4], "Not Found", 0 )</f>
        <v>1</v>
      </c>
      <c r="AC1324" s="8">
        <f>_xlfn.XLOOKUP(CustomerCombined[[#This Row],[ID]], Table2[ID],Table2[MC5], "Not Found", 0 )</f>
        <v>0</v>
      </c>
    </row>
    <row r="1325" spans="1:29" x14ac:dyDescent="0.3">
      <c r="A1325" s="6">
        <v>2107</v>
      </c>
      <c r="B1325" s="6">
        <v>186358</v>
      </c>
      <c r="C1325" s="6">
        <v>1</v>
      </c>
      <c r="D1325" s="6">
        <v>1</v>
      </c>
      <c r="E1325" s="6">
        <v>54</v>
      </c>
      <c r="F1325" s="5" t="s">
        <v>7</v>
      </c>
      <c r="G1325" s="5" t="s">
        <v>11</v>
      </c>
      <c r="H1325" s="3" t="s">
        <v>420</v>
      </c>
      <c r="I1325" s="5" t="s">
        <v>437</v>
      </c>
      <c r="J1325" s="5">
        <f>_xlfn.XLOOKUP(CustomerCombined[[#This Row],[ID]], Table4[ID], Table4[Recency], "Not Found", 0)</f>
        <v>78</v>
      </c>
      <c r="K1325" s="5">
        <f>_xlfn.XLOOKUP(CustomerCombined[[#This Row],[ID]], Table4[ID], Table4[Teas], "Not Found", 0)</f>
        <v>2065</v>
      </c>
      <c r="L1325" s="5">
        <f>_xlfn.XLOOKUP(CustomerCombined[[#This Row],[ID]], Table4[ID], Table4[Fruits], "Not Found", 0)</f>
        <v>101</v>
      </c>
      <c r="M1325" s="5">
        <f>_xlfn.XLOOKUP(CustomerCombined[[#This Row],[ID]], Table4[ID], Table4[Meats], "Not Found", 0)</f>
        <v>1066</v>
      </c>
      <c r="N1325" s="5">
        <f>_xlfn.XLOOKUP(CustomerCombined[[#This Row],[ID]], Table4[ID], Table4[Seafood], "Not Found", 0)</f>
        <v>177</v>
      </c>
      <c r="O1325" s="5">
        <f>_xlfn.XLOOKUP(CustomerCombined[[#This Row],[ID]], Table4[ID], Table4[Sweets], "Not Found", 0)</f>
        <v>101</v>
      </c>
      <c r="P1325" s="5">
        <f>_xlfn.XLOOKUP(CustomerCombined[[#This Row],[ID]], Table4[ID], Table4[Premium], "Not Found", 0)</f>
        <v>205</v>
      </c>
      <c r="Q1325" s="5">
        <f>_xlfn.XLOOKUP(CustomerCombined[[#This Row],[ID]], Table4[ID], Table4[Regular], "Not Found", 0)</f>
        <v>3306</v>
      </c>
      <c r="R1325" s="5">
        <f>_xlfn.XLOOKUP(CustomerCombined[[#This Row],[ID]], Table4[ID], Table4[Deals], "Not Found", 0)</f>
        <v>4</v>
      </c>
      <c r="S1325" s="5">
        <f>_xlfn.XLOOKUP(CustomerCombined[[#This Row],[ID]], Table4[ID], Table4[Website], "Not Found", 0)</f>
        <v>5</v>
      </c>
      <c r="T1325" s="5">
        <f>_xlfn.XLOOKUP(CustomerCombined[[#This Row],[ID]], Table4[ID], Table4[Catalog], "Not Found", 0)</f>
        <v>3</v>
      </c>
      <c r="U1325" s="5">
        <f>_xlfn.XLOOKUP(CustomerCombined[[#This Row],[ID]], Table4[ID], Table4[Store], "Not Found", 0)</f>
        <v>6</v>
      </c>
      <c r="V1325" s="5">
        <f>_xlfn.XLOOKUP(CustomerCombined[[#This Row],[ID]], Table4[ID], Table4[Visits], "Not Found", 0)</f>
        <v>8</v>
      </c>
      <c r="W1325" s="8">
        <f>_xlfn.XLOOKUP(CustomerCombined[[#This Row],[ID]], Table2[ID],Table2[Complaint], "Not Found", 0 )</f>
        <v>0</v>
      </c>
      <c r="X1325" s="8">
        <f>_xlfn.XLOOKUP(CustomerCombined[[#This Row],[ID]], Table2[ID],Table2[Pilot], "Not Found", 0 )</f>
        <v>0</v>
      </c>
      <c r="Y1325" s="8">
        <f>_xlfn.XLOOKUP(CustomerCombined[[#This Row],[ID]], Table2[ID],Table2[MC1], "Not Found", 0 )</f>
        <v>0</v>
      </c>
      <c r="Z1325" s="8">
        <f>_xlfn.XLOOKUP(CustomerCombined[[#This Row],[ID]], Table2[ID],Table2[MC2], "Not Found", 0 )</f>
        <v>0</v>
      </c>
      <c r="AA1325" s="8">
        <f>_xlfn.XLOOKUP(CustomerCombined[[#This Row],[ID]], Table2[ID],Table2[MC3], "Not Found", 0 )</f>
        <v>0</v>
      </c>
      <c r="AB1325" s="8">
        <f>_xlfn.XLOOKUP(CustomerCombined[[#This Row],[ID]], Table2[ID],Table2[MC4], "Not Found", 0 )</f>
        <v>0</v>
      </c>
      <c r="AC1325" s="8">
        <f>_xlfn.XLOOKUP(CustomerCombined[[#This Row],[ID]], Table2[ID],Table2[MC5], "Not Found", 0 )</f>
        <v>0</v>
      </c>
    </row>
    <row r="1326" spans="1:29" x14ac:dyDescent="0.3">
      <c r="A1326" s="6">
        <v>2708</v>
      </c>
      <c r="B1326" s="6">
        <v>182427</v>
      </c>
      <c r="C1326" s="6">
        <v>0</v>
      </c>
      <c r="D1326" s="6">
        <v>0</v>
      </c>
      <c r="E1326" s="6">
        <v>54</v>
      </c>
      <c r="F1326" s="5" t="s">
        <v>8</v>
      </c>
      <c r="G1326" s="5" t="s">
        <v>11</v>
      </c>
      <c r="H1326" s="3" t="s">
        <v>87</v>
      </c>
      <c r="I1326" s="5" t="s">
        <v>438</v>
      </c>
      <c r="J1326" s="5">
        <f>_xlfn.XLOOKUP(CustomerCombined[[#This Row],[ID]], Table4[ID], Table4[Recency], "Not Found", 0)</f>
        <v>35</v>
      </c>
      <c r="K1326" s="5">
        <f>_xlfn.XLOOKUP(CustomerCombined[[#This Row],[ID]], Table4[ID], Table4[Teas], "Not Found", 0)</f>
        <v>1067</v>
      </c>
      <c r="L1326" s="5">
        <f>_xlfn.XLOOKUP(CustomerCombined[[#This Row],[ID]], Table4[ID], Table4[Fruits], "Not Found", 0)</f>
        <v>325</v>
      </c>
      <c r="M1326" s="5">
        <f>_xlfn.XLOOKUP(CustomerCombined[[#This Row],[ID]], Table4[ID], Table4[Meats], "Not Found", 0)</f>
        <v>1127</v>
      </c>
      <c r="N1326" s="5">
        <f>_xlfn.XLOOKUP(CustomerCombined[[#This Row],[ID]], Table4[ID], Table4[Seafood], "Not Found", 0)</f>
        <v>230</v>
      </c>
      <c r="O1326" s="5">
        <f>_xlfn.XLOOKUP(CustomerCombined[[#This Row],[ID]], Table4[ID], Table4[Sweets], "Not Found", 0)</f>
        <v>237</v>
      </c>
      <c r="P1326" s="5">
        <f>_xlfn.XLOOKUP(CustomerCombined[[#This Row],[ID]], Table4[ID], Table4[Premium], "Not Found", 0)</f>
        <v>237</v>
      </c>
      <c r="Q1326" s="5">
        <f>_xlfn.XLOOKUP(CustomerCombined[[#This Row],[ID]], Table4[ID], Table4[Regular], "Not Found", 0)</f>
        <v>2749</v>
      </c>
      <c r="R1326" s="5">
        <f>_xlfn.XLOOKUP(CustomerCombined[[#This Row],[ID]], Table4[ID], Table4[Deals], "Not Found", 0)</f>
        <v>1</v>
      </c>
      <c r="S1326" s="5">
        <f>_xlfn.XLOOKUP(CustomerCombined[[#This Row],[ID]], Table4[ID], Table4[Website], "Not Found", 0)</f>
        <v>3</v>
      </c>
      <c r="T1326" s="5">
        <f>_xlfn.XLOOKUP(CustomerCombined[[#This Row],[ID]], Table4[ID], Table4[Catalog], "Not Found", 0)</f>
        <v>5</v>
      </c>
      <c r="U1326" s="5">
        <f>_xlfn.XLOOKUP(CustomerCombined[[#This Row],[ID]], Table4[ID], Table4[Store], "Not Found", 0)</f>
        <v>12</v>
      </c>
      <c r="V1326" s="5">
        <f>_xlfn.XLOOKUP(CustomerCombined[[#This Row],[ID]], Table4[ID], Table4[Visits], "Not Found", 0)</f>
        <v>1</v>
      </c>
      <c r="W1326" s="8">
        <f>_xlfn.XLOOKUP(CustomerCombined[[#This Row],[ID]], Table2[ID],Table2[Complaint], "Not Found", 0 )</f>
        <v>0</v>
      </c>
      <c r="X1326" s="8">
        <f>_xlfn.XLOOKUP(CustomerCombined[[#This Row],[ID]], Table2[ID],Table2[Pilot], "Not Found", 0 )</f>
        <v>0</v>
      </c>
      <c r="Y1326" s="8">
        <f>_xlfn.XLOOKUP(CustomerCombined[[#This Row],[ID]], Table2[ID],Table2[MC1], "Not Found", 0 )</f>
        <v>0</v>
      </c>
      <c r="Z1326" s="8">
        <f>_xlfn.XLOOKUP(CustomerCombined[[#This Row],[ID]], Table2[ID],Table2[MC2], "Not Found", 0 )</f>
        <v>0</v>
      </c>
      <c r="AA1326" s="8">
        <f>_xlfn.XLOOKUP(CustomerCombined[[#This Row],[ID]], Table2[ID],Table2[MC3], "Not Found", 0 )</f>
        <v>0</v>
      </c>
      <c r="AB1326" s="8">
        <f>_xlfn.XLOOKUP(CustomerCombined[[#This Row],[ID]], Table2[ID],Table2[MC4], "Not Found", 0 )</f>
        <v>0</v>
      </c>
      <c r="AC1326" s="8">
        <f>_xlfn.XLOOKUP(CustomerCombined[[#This Row],[ID]], Table2[ID],Table2[MC5], "Not Found", 0 )</f>
        <v>1</v>
      </c>
    </row>
    <row r="1327" spans="1:29" x14ac:dyDescent="0.3">
      <c r="A1327" s="6">
        <v>2688</v>
      </c>
      <c r="B1327" s="6">
        <v>180398</v>
      </c>
      <c r="C1327" s="6">
        <v>0</v>
      </c>
      <c r="D1327" s="6">
        <v>0</v>
      </c>
      <c r="E1327" s="6">
        <v>54</v>
      </c>
      <c r="F1327" s="5" t="s">
        <v>6</v>
      </c>
      <c r="G1327" s="5" t="s">
        <v>11</v>
      </c>
      <c r="H1327" s="3" t="s">
        <v>365</v>
      </c>
      <c r="I1327" s="5" t="s">
        <v>436</v>
      </c>
      <c r="J1327" s="5">
        <f>_xlfn.XLOOKUP(CustomerCombined[[#This Row],[ID]], Table4[ID], Table4[Recency], "Not Found", 0)</f>
        <v>92</v>
      </c>
      <c r="K1327" s="5">
        <f>_xlfn.XLOOKUP(CustomerCombined[[#This Row],[ID]], Table4[ID], Table4[Teas], "Not Found", 0)</f>
        <v>767</v>
      </c>
      <c r="L1327" s="5">
        <f>_xlfn.XLOOKUP(CustomerCombined[[#This Row],[ID]], Table4[ID], Table4[Fruits], "Not Found", 0)</f>
        <v>114</v>
      </c>
      <c r="M1327" s="5">
        <f>_xlfn.XLOOKUP(CustomerCombined[[#This Row],[ID]], Table4[ID], Table4[Meats], "Not Found", 0)</f>
        <v>2100</v>
      </c>
      <c r="N1327" s="5">
        <f>_xlfn.XLOOKUP(CustomerCombined[[#This Row],[ID]], Table4[ID], Table4[Seafood], "Not Found", 0)</f>
        <v>464</v>
      </c>
      <c r="O1327" s="5">
        <f>_xlfn.XLOOKUP(CustomerCombined[[#This Row],[ID]], Table4[ID], Table4[Sweets], "Not Found", 0)</f>
        <v>79</v>
      </c>
      <c r="P1327" s="5">
        <f>_xlfn.XLOOKUP(CustomerCombined[[#This Row],[ID]], Table4[ID], Table4[Premium], "Not Found", 0)</f>
        <v>58</v>
      </c>
      <c r="Q1327" s="5">
        <f>_xlfn.XLOOKUP(CustomerCombined[[#This Row],[ID]], Table4[ID], Table4[Regular], "Not Found", 0)</f>
        <v>3467</v>
      </c>
      <c r="R1327" s="5">
        <f>_xlfn.XLOOKUP(CustomerCombined[[#This Row],[ID]], Table4[ID], Table4[Deals], "Not Found", 0)</f>
        <v>1</v>
      </c>
      <c r="S1327" s="5">
        <f>_xlfn.XLOOKUP(CustomerCombined[[#This Row],[ID]], Table4[ID], Table4[Website], "Not Found", 0)</f>
        <v>5</v>
      </c>
      <c r="T1327" s="5">
        <f>_xlfn.XLOOKUP(CustomerCombined[[#This Row],[ID]], Table4[ID], Table4[Catalog], "Not Found", 0)</f>
        <v>8</v>
      </c>
      <c r="U1327" s="5">
        <f>_xlfn.XLOOKUP(CustomerCombined[[#This Row],[ID]], Table4[ID], Table4[Store], "Not Found", 0)</f>
        <v>12</v>
      </c>
      <c r="V1327" s="5">
        <f>_xlfn.XLOOKUP(CustomerCombined[[#This Row],[ID]], Table4[ID], Table4[Visits], "Not Found", 0)</f>
        <v>3</v>
      </c>
      <c r="W1327" s="8">
        <f>_xlfn.XLOOKUP(CustomerCombined[[#This Row],[ID]], Table2[ID],Table2[Complaint], "Not Found", 0 )</f>
        <v>0</v>
      </c>
      <c r="X1327" s="8">
        <f>_xlfn.XLOOKUP(CustomerCombined[[#This Row],[ID]], Table2[ID],Table2[Pilot], "Not Found", 0 )</f>
        <v>0</v>
      </c>
      <c r="Y1327" s="8">
        <f>_xlfn.XLOOKUP(CustomerCombined[[#This Row],[ID]], Table2[ID],Table2[MC1], "Not Found", 0 )</f>
        <v>0</v>
      </c>
      <c r="Z1327" s="8">
        <f>_xlfn.XLOOKUP(CustomerCombined[[#This Row],[ID]], Table2[ID],Table2[MC2], "Not Found", 0 )</f>
        <v>0</v>
      </c>
      <c r="AA1327" s="8">
        <f>_xlfn.XLOOKUP(CustomerCombined[[#This Row],[ID]], Table2[ID],Table2[MC3], "Not Found", 0 )</f>
        <v>0</v>
      </c>
      <c r="AB1327" s="8">
        <f>_xlfn.XLOOKUP(CustomerCombined[[#This Row],[ID]], Table2[ID],Table2[MC4], "Not Found", 0 )</f>
        <v>0</v>
      </c>
      <c r="AC1327" s="8">
        <f>_xlfn.XLOOKUP(CustomerCombined[[#This Row],[ID]], Table2[ID],Table2[MC5], "Not Found", 0 )</f>
        <v>1</v>
      </c>
    </row>
    <row r="1328" spans="1:29" x14ac:dyDescent="0.3">
      <c r="A1328" s="6">
        <v>1275</v>
      </c>
      <c r="B1328" s="6">
        <v>179946</v>
      </c>
      <c r="C1328" s="6">
        <v>0</v>
      </c>
      <c r="D1328" s="6">
        <v>0</v>
      </c>
      <c r="E1328" s="6">
        <v>54</v>
      </c>
      <c r="F1328" s="5" t="s">
        <v>9</v>
      </c>
      <c r="G1328" s="5" t="s">
        <v>11</v>
      </c>
      <c r="H1328" s="3" t="s">
        <v>52</v>
      </c>
      <c r="I1328" s="5" t="s">
        <v>435</v>
      </c>
      <c r="J1328" s="5">
        <f>_xlfn.XLOOKUP(CustomerCombined[[#This Row],[ID]], Table4[ID], Table4[Recency], "Not Found", 0)</f>
        <v>19</v>
      </c>
      <c r="K1328" s="5">
        <f>_xlfn.XLOOKUP(CustomerCombined[[#This Row],[ID]], Table4[ID], Table4[Teas], "Not Found", 0)</f>
        <v>889</v>
      </c>
      <c r="L1328" s="5">
        <f>_xlfn.XLOOKUP(CustomerCombined[[#This Row],[ID]], Table4[ID], Table4[Fruits], "Not Found", 0)</f>
        <v>412</v>
      </c>
      <c r="M1328" s="5">
        <f>_xlfn.XLOOKUP(CustomerCombined[[#This Row],[ID]], Table4[ID], Table4[Meats], "Not Found", 0)</f>
        <v>1272</v>
      </c>
      <c r="N1328" s="5">
        <f>_xlfn.XLOOKUP(CustomerCombined[[#This Row],[ID]], Table4[ID], Table4[Seafood], "Not Found", 0)</f>
        <v>374</v>
      </c>
      <c r="O1328" s="5">
        <f>_xlfn.XLOOKUP(CustomerCombined[[#This Row],[ID]], Table4[ID], Table4[Sweets], "Not Found", 0)</f>
        <v>317</v>
      </c>
      <c r="P1328" s="5">
        <f>_xlfn.XLOOKUP(CustomerCombined[[#This Row],[ID]], Table4[ID], Table4[Premium], "Not Found", 0)</f>
        <v>63</v>
      </c>
      <c r="Q1328" s="5">
        <f>_xlfn.XLOOKUP(CustomerCombined[[#This Row],[ID]], Table4[ID], Table4[Regular], "Not Found", 0)</f>
        <v>3201</v>
      </c>
      <c r="R1328" s="5">
        <f>_xlfn.XLOOKUP(CustomerCombined[[#This Row],[ID]], Table4[ID], Table4[Deals], "Not Found", 0)</f>
        <v>1</v>
      </c>
      <c r="S1328" s="5">
        <f>_xlfn.XLOOKUP(CustomerCombined[[#This Row],[ID]], Table4[ID], Table4[Website], "Not Found", 0)</f>
        <v>5</v>
      </c>
      <c r="T1328" s="5">
        <f>_xlfn.XLOOKUP(CustomerCombined[[#This Row],[ID]], Table4[ID], Table4[Catalog], "Not Found", 0)</f>
        <v>11</v>
      </c>
      <c r="U1328" s="5">
        <f>_xlfn.XLOOKUP(CustomerCombined[[#This Row],[ID]], Table4[ID], Table4[Store], "Not Found", 0)</f>
        <v>5</v>
      </c>
      <c r="V1328" s="5">
        <f>_xlfn.XLOOKUP(CustomerCombined[[#This Row],[ID]], Table4[ID], Table4[Visits], "Not Found", 0)</f>
        <v>3</v>
      </c>
      <c r="W1328" s="8">
        <f>_xlfn.XLOOKUP(CustomerCombined[[#This Row],[ID]], Table2[ID],Table2[Complaint], "Not Found", 0 )</f>
        <v>0</v>
      </c>
      <c r="X1328" s="8">
        <f>_xlfn.XLOOKUP(CustomerCombined[[#This Row],[ID]], Table2[ID],Table2[Pilot], "Not Found", 0 )</f>
        <v>0</v>
      </c>
      <c r="Y1328" s="8">
        <f>_xlfn.XLOOKUP(CustomerCombined[[#This Row],[ID]], Table2[ID],Table2[MC1], "Not Found", 0 )</f>
        <v>0</v>
      </c>
      <c r="Z1328" s="8">
        <f>_xlfn.XLOOKUP(CustomerCombined[[#This Row],[ID]], Table2[ID],Table2[MC2], "Not Found", 0 )</f>
        <v>0</v>
      </c>
      <c r="AA1328" s="8">
        <f>_xlfn.XLOOKUP(CustomerCombined[[#This Row],[ID]], Table2[ID],Table2[MC3], "Not Found", 0 )</f>
        <v>0</v>
      </c>
      <c r="AB1328" s="8">
        <f>_xlfn.XLOOKUP(CustomerCombined[[#This Row],[ID]], Table2[ID],Table2[MC4], "Not Found", 0 )</f>
        <v>0</v>
      </c>
      <c r="AC1328" s="8">
        <f>_xlfn.XLOOKUP(CustomerCombined[[#This Row],[ID]], Table2[ID],Table2[MC5], "Not Found", 0 )</f>
        <v>0</v>
      </c>
    </row>
    <row r="1329" spans="1:29" x14ac:dyDescent="0.3">
      <c r="A1329" s="6">
        <v>1891</v>
      </c>
      <c r="B1329" s="6">
        <v>178420</v>
      </c>
      <c r="C1329" s="6">
        <v>0</v>
      </c>
      <c r="D1329" s="6">
        <v>0</v>
      </c>
      <c r="E1329" s="6">
        <v>54</v>
      </c>
      <c r="F1329" s="5" t="s">
        <v>7</v>
      </c>
      <c r="G1329" s="5" t="s">
        <v>13</v>
      </c>
      <c r="H1329" s="3">
        <v>43567</v>
      </c>
      <c r="I1329" s="5" t="s">
        <v>437</v>
      </c>
      <c r="J1329" s="5">
        <f>_xlfn.XLOOKUP(CustomerCombined[[#This Row],[ID]], Table4[ID], Table4[Recency], "Not Found", 0)</f>
        <v>75</v>
      </c>
      <c r="K1329" s="5">
        <f>_xlfn.XLOOKUP(CustomerCombined[[#This Row],[ID]], Table4[ID], Table4[Teas], "Not Found", 0)</f>
        <v>1374</v>
      </c>
      <c r="L1329" s="5">
        <f>_xlfn.XLOOKUP(CustomerCombined[[#This Row],[ID]], Table4[ID], Table4[Fruits], "Not Found", 0)</f>
        <v>64</v>
      </c>
      <c r="M1329" s="5">
        <f>_xlfn.XLOOKUP(CustomerCombined[[#This Row],[ID]], Table4[ID], Table4[Meats], "Not Found", 0)</f>
        <v>1533</v>
      </c>
      <c r="N1329" s="5">
        <f>_xlfn.XLOOKUP(CustomerCombined[[#This Row],[ID]], Table4[ID], Table4[Seafood], "Not Found", 0)</f>
        <v>207</v>
      </c>
      <c r="O1329" s="5">
        <f>_xlfn.XLOOKUP(CustomerCombined[[#This Row],[ID]], Table4[ID], Table4[Sweets], "Not Found", 0)</f>
        <v>64</v>
      </c>
      <c r="P1329" s="5">
        <f>_xlfn.XLOOKUP(CustomerCombined[[#This Row],[ID]], Table4[ID], Table4[Premium], "Not Found", 0)</f>
        <v>64</v>
      </c>
      <c r="Q1329" s="5">
        <f>_xlfn.XLOOKUP(CustomerCombined[[#This Row],[ID]], Table4[ID], Table4[Regular], "Not Found", 0)</f>
        <v>3178</v>
      </c>
      <c r="R1329" s="5">
        <f>_xlfn.XLOOKUP(CustomerCombined[[#This Row],[ID]], Table4[ID], Table4[Deals], "Not Found", 0)</f>
        <v>1</v>
      </c>
      <c r="S1329" s="5">
        <f>_xlfn.XLOOKUP(CustomerCombined[[#This Row],[ID]], Table4[ID], Table4[Website], "Not Found", 0)</f>
        <v>3</v>
      </c>
      <c r="T1329" s="5">
        <f>_xlfn.XLOOKUP(CustomerCombined[[#This Row],[ID]], Table4[ID], Table4[Catalog], "Not Found", 0)</f>
        <v>10</v>
      </c>
      <c r="U1329" s="5">
        <f>_xlfn.XLOOKUP(CustomerCombined[[#This Row],[ID]], Table4[ID], Table4[Store], "Not Found", 0)</f>
        <v>8</v>
      </c>
      <c r="V1329" s="5">
        <f>_xlfn.XLOOKUP(CustomerCombined[[#This Row],[ID]], Table4[ID], Table4[Visits], "Not Found", 0)</f>
        <v>1</v>
      </c>
      <c r="W1329" s="8">
        <f>_xlfn.XLOOKUP(CustomerCombined[[#This Row],[ID]], Table2[ID],Table2[Complaint], "Not Found", 0 )</f>
        <v>0</v>
      </c>
      <c r="X1329" s="8">
        <f>_xlfn.XLOOKUP(CustomerCombined[[#This Row],[ID]], Table2[ID],Table2[Pilot], "Not Found", 0 )</f>
        <v>0</v>
      </c>
      <c r="Y1329" s="8">
        <f>_xlfn.XLOOKUP(CustomerCombined[[#This Row],[ID]], Table2[ID],Table2[MC1], "Not Found", 0 )</f>
        <v>0</v>
      </c>
      <c r="Z1329" s="8">
        <f>_xlfn.XLOOKUP(CustomerCombined[[#This Row],[ID]], Table2[ID],Table2[MC2], "Not Found", 0 )</f>
        <v>0</v>
      </c>
      <c r="AA1329" s="8">
        <f>_xlfn.XLOOKUP(CustomerCombined[[#This Row],[ID]], Table2[ID],Table2[MC3], "Not Found", 0 )</f>
        <v>0</v>
      </c>
      <c r="AB1329" s="8">
        <f>_xlfn.XLOOKUP(CustomerCombined[[#This Row],[ID]], Table2[ID],Table2[MC4], "Not Found", 0 )</f>
        <v>0</v>
      </c>
      <c r="AC1329" s="8">
        <f>_xlfn.XLOOKUP(CustomerCombined[[#This Row],[ID]], Table2[ID],Table2[MC5], "Not Found", 0 )</f>
        <v>0</v>
      </c>
    </row>
    <row r="1330" spans="1:29" x14ac:dyDescent="0.3">
      <c r="A1330" s="6">
        <v>2052</v>
      </c>
      <c r="B1330" s="6">
        <v>170713</v>
      </c>
      <c r="C1330" s="6">
        <v>0</v>
      </c>
      <c r="D1330" s="6">
        <v>1</v>
      </c>
      <c r="E1330" s="6">
        <v>54</v>
      </c>
      <c r="F1330" s="5" t="s">
        <v>8</v>
      </c>
      <c r="G1330" s="5" t="s">
        <v>11</v>
      </c>
      <c r="H1330" s="3">
        <v>43743</v>
      </c>
      <c r="I1330" s="5" t="s">
        <v>436</v>
      </c>
      <c r="J1330" s="5">
        <f>_xlfn.XLOOKUP(CustomerCombined[[#This Row],[ID]], Table4[ID], Table4[Recency], "Not Found", 0)</f>
        <v>23</v>
      </c>
      <c r="K1330" s="5">
        <f>_xlfn.XLOOKUP(CustomerCombined[[#This Row],[ID]], Table4[ID], Table4[Teas], "Not Found", 0)</f>
        <v>1777</v>
      </c>
      <c r="L1330" s="5">
        <f>_xlfn.XLOOKUP(CustomerCombined[[#This Row],[ID]], Table4[ID], Table4[Fruits], "Not Found", 0)</f>
        <v>275</v>
      </c>
      <c r="M1330" s="5">
        <f>_xlfn.XLOOKUP(CustomerCombined[[#This Row],[ID]], Table4[ID], Table4[Meats], "Not Found", 0)</f>
        <v>674</v>
      </c>
      <c r="N1330" s="5">
        <f>_xlfn.XLOOKUP(CustomerCombined[[#This Row],[ID]], Table4[ID], Table4[Seafood], "Not Found", 0)</f>
        <v>198</v>
      </c>
      <c r="O1330" s="5">
        <f>_xlfn.XLOOKUP(CustomerCombined[[#This Row],[ID]], Table4[ID], Table4[Sweets], "Not Found", 0)</f>
        <v>183</v>
      </c>
      <c r="P1330" s="5">
        <f>_xlfn.XLOOKUP(CustomerCombined[[#This Row],[ID]], Table4[ID], Table4[Premium], "Not Found", 0)</f>
        <v>459</v>
      </c>
      <c r="Q1330" s="5">
        <f>_xlfn.XLOOKUP(CustomerCombined[[#This Row],[ID]], Table4[ID], Table4[Regular], "Not Found", 0)</f>
        <v>2648</v>
      </c>
      <c r="R1330" s="5">
        <f>_xlfn.XLOOKUP(CustomerCombined[[#This Row],[ID]], Table4[ID], Table4[Deals], "Not Found", 0)</f>
        <v>6</v>
      </c>
      <c r="S1330" s="5">
        <f>_xlfn.XLOOKUP(CustomerCombined[[#This Row],[ID]], Table4[ID], Table4[Website], "Not Found", 0)</f>
        <v>5</v>
      </c>
      <c r="T1330" s="5">
        <f>_xlfn.XLOOKUP(CustomerCombined[[#This Row],[ID]], Table4[ID], Table4[Catalog], "Not Found", 0)</f>
        <v>6</v>
      </c>
      <c r="U1330" s="5">
        <f>_xlfn.XLOOKUP(CustomerCombined[[#This Row],[ID]], Table4[ID], Table4[Store], "Not Found", 0)</f>
        <v>8</v>
      </c>
      <c r="V1330" s="5">
        <f>_xlfn.XLOOKUP(CustomerCombined[[#This Row],[ID]], Table4[ID], Table4[Visits], "Not Found", 0)</f>
        <v>3</v>
      </c>
      <c r="W1330" s="8">
        <f>_xlfn.XLOOKUP(CustomerCombined[[#This Row],[ID]], Table2[ID],Table2[Complaint], "Not Found", 0 )</f>
        <v>0</v>
      </c>
      <c r="X1330" s="8">
        <f>_xlfn.XLOOKUP(CustomerCombined[[#This Row],[ID]], Table2[ID],Table2[Pilot], "Not Found", 0 )</f>
        <v>0</v>
      </c>
      <c r="Y1330" s="8">
        <f>_xlfn.XLOOKUP(CustomerCombined[[#This Row],[ID]], Table2[ID],Table2[MC1], "Not Found", 0 )</f>
        <v>0</v>
      </c>
      <c r="Z1330" s="8">
        <f>_xlfn.XLOOKUP(CustomerCombined[[#This Row],[ID]], Table2[ID],Table2[MC2], "Not Found", 0 )</f>
        <v>0</v>
      </c>
      <c r="AA1330" s="8">
        <f>_xlfn.XLOOKUP(CustomerCombined[[#This Row],[ID]], Table2[ID],Table2[MC3], "Not Found", 0 )</f>
        <v>0</v>
      </c>
      <c r="AB1330" s="8">
        <f>_xlfn.XLOOKUP(CustomerCombined[[#This Row],[ID]], Table2[ID],Table2[MC4], "Not Found", 0 )</f>
        <v>0</v>
      </c>
      <c r="AC1330" s="8">
        <f>_xlfn.XLOOKUP(CustomerCombined[[#This Row],[ID]], Table2[ID],Table2[MC5], "Not Found", 0 )</f>
        <v>0</v>
      </c>
    </row>
    <row r="1331" spans="1:29" x14ac:dyDescent="0.3">
      <c r="A1331" s="6">
        <v>1053</v>
      </c>
      <c r="B1331" s="6">
        <v>170287</v>
      </c>
      <c r="C1331" s="6">
        <v>0</v>
      </c>
      <c r="D1331" s="6">
        <v>0</v>
      </c>
      <c r="E1331" s="6">
        <v>54</v>
      </c>
      <c r="F1331" s="5" t="s">
        <v>5</v>
      </c>
      <c r="G1331" s="5" t="s">
        <v>11</v>
      </c>
      <c r="H1331" s="3">
        <v>43655</v>
      </c>
      <c r="I1331" s="5" t="s">
        <v>435</v>
      </c>
      <c r="J1331" s="5">
        <f>_xlfn.XLOOKUP(CustomerCombined[[#This Row],[ID]], Table4[ID], Table4[Recency], "Not Found", 0)</f>
        <v>30</v>
      </c>
      <c r="K1331" s="5">
        <f>_xlfn.XLOOKUP(CustomerCombined[[#This Row],[ID]], Table4[ID], Table4[Teas], "Not Found", 0)</f>
        <v>715</v>
      </c>
      <c r="L1331" s="5">
        <f>_xlfn.XLOOKUP(CustomerCombined[[#This Row],[ID]], Table4[ID], Table4[Fruits], "Not Found", 0)</f>
        <v>85</v>
      </c>
      <c r="M1331" s="5">
        <f>_xlfn.XLOOKUP(CustomerCombined[[#This Row],[ID]], Table4[ID], Table4[Meats], "Not Found", 0)</f>
        <v>1168</v>
      </c>
      <c r="N1331" s="5">
        <f>_xlfn.XLOOKUP(CustomerCombined[[#This Row],[ID]], Table4[ID], Table4[Seafood], "Not Found", 0)</f>
        <v>293</v>
      </c>
      <c r="O1331" s="5">
        <f>_xlfn.XLOOKUP(CustomerCombined[[#This Row],[ID]], Table4[ID], Table4[Sweets], "Not Found", 0)</f>
        <v>291</v>
      </c>
      <c r="P1331" s="5">
        <f>_xlfn.XLOOKUP(CustomerCombined[[#This Row],[ID]], Table4[ID], Table4[Premium], "Not Found", 0)</f>
        <v>97</v>
      </c>
      <c r="Q1331" s="5">
        <f>_xlfn.XLOOKUP(CustomerCombined[[#This Row],[ID]], Table4[ID], Table4[Regular], "Not Found", 0)</f>
        <v>2454</v>
      </c>
      <c r="R1331" s="5">
        <f>_xlfn.XLOOKUP(CustomerCombined[[#This Row],[ID]], Table4[ID], Table4[Deals], "Not Found", 0)</f>
        <v>1</v>
      </c>
      <c r="S1331" s="5">
        <f>_xlfn.XLOOKUP(CustomerCombined[[#This Row],[ID]], Table4[ID], Table4[Website], "Not Found", 0)</f>
        <v>5</v>
      </c>
      <c r="T1331" s="5">
        <f>_xlfn.XLOOKUP(CustomerCombined[[#This Row],[ID]], Table4[ID], Table4[Catalog], "Not Found", 0)</f>
        <v>5</v>
      </c>
      <c r="U1331" s="5">
        <f>_xlfn.XLOOKUP(CustomerCombined[[#This Row],[ID]], Table4[ID], Table4[Store], "Not Found", 0)</f>
        <v>10</v>
      </c>
      <c r="V1331" s="5">
        <f>_xlfn.XLOOKUP(CustomerCombined[[#This Row],[ID]], Table4[ID], Table4[Visits], "Not Found", 0)</f>
        <v>3</v>
      </c>
      <c r="W1331" s="8">
        <f>_xlfn.XLOOKUP(CustomerCombined[[#This Row],[ID]], Table2[ID],Table2[Complaint], "Not Found", 0 )</f>
        <v>0</v>
      </c>
      <c r="X1331" s="8">
        <f>_xlfn.XLOOKUP(CustomerCombined[[#This Row],[ID]], Table2[ID],Table2[Pilot], "Not Found", 0 )</f>
        <v>1</v>
      </c>
      <c r="Y1331" s="8">
        <f>_xlfn.XLOOKUP(CustomerCombined[[#This Row],[ID]], Table2[ID],Table2[MC1], "Not Found", 0 )</f>
        <v>0</v>
      </c>
      <c r="Z1331" s="8">
        <f>_xlfn.XLOOKUP(CustomerCombined[[#This Row],[ID]], Table2[ID],Table2[MC2], "Not Found", 0 )</f>
        <v>0</v>
      </c>
      <c r="AA1331" s="8">
        <f>_xlfn.XLOOKUP(CustomerCombined[[#This Row],[ID]], Table2[ID],Table2[MC3], "Not Found", 0 )</f>
        <v>0</v>
      </c>
      <c r="AB1331" s="8">
        <f>_xlfn.XLOOKUP(CustomerCombined[[#This Row],[ID]], Table2[ID],Table2[MC4], "Not Found", 0 )</f>
        <v>0</v>
      </c>
      <c r="AC1331" s="8">
        <f>_xlfn.XLOOKUP(CustomerCombined[[#This Row],[ID]], Table2[ID],Table2[MC5], "Not Found", 0 )</f>
        <v>0</v>
      </c>
    </row>
    <row r="1332" spans="1:29" x14ac:dyDescent="0.3">
      <c r="A1332" s="6">
        <v>1336</v>
      </c>
      <c r="B1332" s="6">
        <v>169759</v>
      </c>
      <c r="C1332" s="6">
        <v>0</v>
      </c>
      <c r="D1332" s="6">
        <v>0</v>
      </c>
      <c r="E1332" s="6">
        <v>54</v>
      </c>
      <c r="F1332" s="5" t="s">
        <v>7</v>
      </c>
      <c r="G1332" s="5" t="s">
        <v>13</v>
      </c>
      <c r="H1332" s="3">
        <v>43894</v>
      </c>
      <c r="I1332" s="5" t="s">
        <v>439</v>
      </c>
      <c r="J1332" s="5">
        <f>_xlfn.XLOOKUP(CustomerCombined[[#This Row],[ID]], Table4[ID], Table4[Recency], "Not Found", 0)</f>
        <v>38</v>
      </c>
      <c r="K1332" s="5">
        <f>_xlfn.XLOOKUP(CustomerCombined[[#This Row],[ID]], Table4[ID], Table4[Teas], "Not Found", 0)</f>
        <v>1100</v>
      </c>
      <c r="L1332" s="5">
        <f>_xlfn.XLOOKUP(CustomerCombined[[#This Row],[ID]], Table4[ID], Table4[Fruits], "Not Found", 0)</f>
        <v>49</v>
      </c>
      <c r="M1332" s="5">
        <f>_xlfn.XLOOKUP(CustomerCombined[[#This Row],[ID]], Table4[ID], Table4[Meats], "Not Found", 0)</f>
        <v>1251</v>
      </c>
      <c r="N1332" s="5">
        <f>_xlfn.XLOOKUP(CustomerCombined[[#This Row],[ID]], Table4[ID], Table4[Seafood], "Not Found", 0)</f>
        <v>32</v>
      </c>
      <c r="O1332" s="5">
        <f>_xlfn.XLOOKUP(CustomerCombined[[#This Row],[ID]], Table4[ID], Table4[Sweets], "Not Found", 0)</f>
        <v>73</v>
      </c>
      <c r="P1332" s="5">
        <f>_xlfn.XLOOKUP(CustomerCombined[[#This Row],[ID]], Table4[ID], Table4[Premium], "Not Found", 0)</f>
        <v>0</v>
      </c>
      <c r="Q1332" s="5">
        <f>_xlfn.XLOOKUP(CustomerCombined[[#This Row],[ID]], Table4[ID], Table4[Regular], "Not Found", 0)</f>
        <v>2504</v>
      </c>
      <c r="R1332" s="5">
        <f>_xlfn.XLOOKUP(CustomerCombined[[#This Row],[ID]], Table4[ID], Table4[Deals], "Not Found", 0)</f>
        <v>3</v>
      </c>
      <c r="S1332" s="5">
        <f>_xlfn.XLOOKUP(CustomerCombined[[#This Row],[ID]], Table4[ID], Table4[Website], "Not Found", 0)</f>
        <v>4</v>
      </c>
      <c r="T1332" s="5">
        <f>_xlfn.XLOOKUP(CustomerCombined[[#This Row],[ID]], Table4[ID], Table4[Catalog], "Not Found", 0)</f>
        <v>6</v>
      </c>
      <c r="U1332" s="5">
        <f>_xlfn.XLOOKUP(CustomerCombined[[#This Row],[ID]], Table4[ID], Table4[Store], "Not Found", 0)</f>
        <v>5</v>
      </c>
      <c r="V1332" s="5">
        <f>_xlfn.XLOOKUP(CustomerCombined[[#This Row],[ID]], Table4[ID], Table4[Visits], "Not Found", 0)</f>
        <v>3</v>
      </c>
      <c r="W1332" s="8">
        <f>_xlfn.XLOOKUP(CustomerCombined[[#This Row],[ID]], Table2[ID],Table2[Complaint], "Not Found", 0 )</f>
        <v>0</v>
      </c>
      <c r="X1332" s="8">
        <f>_xlfn.XLOOKUP(CustomerCombined[[#This Row],[ID]], Table2[ID],Table2[Pilot], "Not Found", 0 )</f>
        <v>1</v>
      </c>
      <c r="Y1332" s="8">
        <f>_xlfn.XLOOKUP(CustomerCombined[[#This Row],[ID]], Table2[ID],Table2[MC1], "Not Found", 0 )</f>
        <v>0</v>
      </c>
      <c r="Z1332" s="8">
        <f>_xlfn.XLOOKUP(CustomerCombined[[#This Row],[ID]], Table2[ID],Table2[MC2], "Not Found", 0 )</f>
        <v>0</v>
      </c>
      <c r="AA1332" s="8">
        <f>_xlfn.XLOOKUP(CustomerCombined[[#This Row],[ID]], Table2[ID],Table2[MC3], "Not Found", 0 )</f>
        <v>0</v>
      </c>
      <c r="AB1332" s="8">
        <f>_xlfn.XLOOKUP(CustomerCombined[[#This Row],[ID]], Table2[ID],Table2[MC4], "Not Found", 0 )</f>
        <v>0</v>
      </c>
      <c r="AC1332" s="8">
        <f>_xlfn.XLOOKUP(CustomerCombined[[#This Row],[ID]], Table2[ID],Table2[MC5], "Not Found", 0 )</f>
        <v>0</v>
      </c>
    </row>
    <row r="1333" spans="1:29" x14ac:dyDescent="0.3">
      <c r="A1333" s="6">
        <v>2835</v>
      </c>
      <c r="B1333" s="6">
        <v>169063</v>
      </c>
      <c r="C1333" s="6">
        <v>0</v>
      </c>
      <c r="D1333" s="6">
        <v>1</v>
      </c>
      <c r="E1333" s="6">
        <v>54</v>
      </c>
      <c r="F1333" s="5" t="s">
        <v>6</v>
      </c>
      <c r="G1333" s="5" t="s">
        <v>13</v>
      </c>
      <c r="H1333" s="3" t="s">
        <v>368</v>
      </c>
      <c r="I1333" s="5" t="s">
        <v>435</v>
      </c>
      <c r="J1333" s="5">
        <f>_xlfn.XLOOKUP(CustomerCombined[[#This Row],[ID]], Table4[ID], Table4[Recency], "Not Found", 0)</f>
        <v>16</v>
      </c>
      <c r="K1333" s="5">
        <f>_xlfn.XLOOKUP(CustomerCombined[[#This Row],[ID]], Table4[ID], Table4[Teas], "Not Found", 0)</f>
        <v>1630</v>
      </c>
      <c r="L1333" s="5">
        <f>_xlfn.XLOOKUP(CustomerCombined[[#This Row],[ID]], Table4[ID], Table4[Fruits], "Not Found", 0)</f>
        <v>86</v>
      </c>
      <c r="M1333" s="5">
        <f>_xlfn.XLOOKUP(CustomerCombined[[#This Row],[ID]], Table4[ID], Table4[Meats], "Not Found", 0)</f>
        <v>304</v>
      </c>
      <c r="N1333" s="5">
        <f>_xlfn.XLOOKUP(CustomerCombined[[#This Row],[ID]], Table4[ID], Table4[Seafood], "Not Found", 0)</f>
        <v>169</v>
      </c>
      <c r="O1333" s="5">
        <f>_xlfn.XLOOKUP(CustomerCombined[[#This Row],[ID]], Table4[ID], Table4[Sweets], "Not Found", 0)</f>
        <v>20</v>
      </c>
      <c r="P1333" s="5">
        <f>_xlfn.XLOOKUP(CustomerCombined[[#This Row],[ID]], Table4[ID], Table4[Premium], "Not Found", 0)</f>
        <v>64</v>
      </c>
      <c r="Q1333" s="5">
        <f>_xlfn.XLOOKUP(CustomerCombined[[#This Row],[ID]], Table4[ID], Table4[Regular], "Not Found", 0)</f>
        <v>2144</v>
      </c>
      <c r="R1333" s="5">
        <f>_xlfn.XLOOKUP(CustomerCombined[[#This Row],[ID]], Table4[ID], Table4[Deals], "Not Found", 0)</f>
        <v>1</v>
      </c>
      <c r="S1333" s="5">
        <f>_xlfn.XLOOKUP(CustomerCombined[[#This Row],[ID]], Table4[ID], Table4[Website], "Not Found", 0)</f>
        <v>5</v>
      </c>
      <c r="T1333" s="5">
        <f>_xlfn.XLOOKUP(CustomerCombined[[#This Row],[ID]], Table4[ID], Table4[Catalog], "Not Found", 0)</f>
        <v>3</v>
      </c>
      <c r="U1333" s="5">
        <f>_xlfn.XLOOKUP(CustomerCombined[[#This Row],[ID]], Table4[ID], Table4[Store], "Not Found", 0)</f>
        <v>5</v>
      </c>
      <c r="V1333" s="5">
        <f>_xlfn.XLOOKUP(CustomerCombined[[#This Row],[ID]], Table4[ID], Table4[Visits], "Not Found", 0)</f>
        <v>3</v>
      </c>
      <c r="W1333" s="8">
        <f>_xlfn.XLOOKUP(CustomerCombined[[#This Row],[ID]], Table2[ID],Table2[Complaint], "Not Found", 0 )</f>
        <v>0</v>
      </c>
      <c r="X1333" s="8">
        <f>_xlfn.XLOOKUP(CustomerCombined[[#This Row],[ID]], Table2[ID],Table2[Pilot], "Not Found", 0 )</f>
        <v>0</v>
      </c>
      <c r="Y1333" s="8">
        <f>_xlfn.XLOOKUP(CustomerCombined[[#This Row],[ID]], Table2[ID],Table2[MC1], "Not Found", 0 )</f>
        <v>0</v>
      </c>
      <c r="Z1333" s="8">
        <f>_xlfn.XLOOKUP(CustomerCombined[[#This Row],[ID]], Table2[ID],Table2[MC2], "Not Found", 0 )</f>
        <v>0</v>
      </c>
      <c r="AA1333" s="8">
        <f>_xlfn.XLOOKUP(CustomerCombined[[#This Row],[ID]], Table2[ID],Table2[MC3], "Not Found", 0 )</f>
        <v>0</v>
      </c>
      <c r="AB1333" s="8">
        <f>_xlfn.XLOOKUP(CustomerCombined[[#This Row],[ID]], Table2[ID],Table2[MC4], "Not Found", 0 )</f>
        <v>0</v>
      </c>
      <c r="AC1333" s="8">
        <f>_xlfn.XLOOKUP(CustomerCombined[[#This Row],[ID]], Table2[ID],Table2[MC5], "Not Found", 0 )</f>
        <v>0</v>
      </c>
    </row>
    <row r="1334" spans="1:29" x14ac:dyDescent="0.3">
      <c r="A1334" s="6">
        <v>1420</v>
      </c>
      <c r="B1334" s="6">
        <v>167272</v>
      </c>
      <c r="C1334" s="6">
        <v>0</v>
      </c>
      <c r="D1334" s="6">
        <v>1</v>
      </c>
      <c r="E1334" s="6">
        <v>54</v>
      </c>
      <c r="F1334" s="5" t="s">
        <v>5</v>
      </c>
      <c r="G1334" s="5" t="s">
        <v>11</v>
      </c>
      <c r="H1334" s="3" t="s">
        <v>127</v>
      </c>
      <c r="I1334" s="5" t="s">
        <v>439</v>
      </c>
      <c r="J1334" s="5">
        <f>_xlfn.XLOOKUP(CustomerCombined[[#This Row],[ID]], Table4[ID], Table4[Recency], "Not Found", 0)</f>
        <v>12</v>
      </c>
      <c r="K1334" s="5">
        <f>_xlfn.XLOOKUP(CustomerCombined[[#This Row],[ID]], Table4[ID], Table4[Teas], "Not Found", 0)</f>
        <v>888</v>
      </c>
      <c r="L1334" s="5">
        <f>_xlfn.XLOOKUP(CustomerCombined[[#This Row],[ID]], Table4[ID], Table4[Fruits], "Not Found", 0)</f>
        <v>87</v>
      </c>
      <c r="M1334" s="5">
        <f>_xlfn.XLOOKUP(CustomerCombined[[#This Row],[ID]], Table4[ID], Table4[Meats], "Not Found", 0)</f>
        <v>674</v>
      </c>
      <c r="N1334" s="5">
        <f>_xlfn.XLOOKUP(CustomerCombined[[#This Row],[ID]], Table4[ID], Table4[Seafood], "Not Found", 0)</f>
        <v>70</v>
      </c>
      <c r="O1334" s="5">
        <f>_xlfn.XLOOKUP(CustomerCombined[[#This Row],[ID]], Table4[ID], Table4[Sweets], "Not Found", 0)</f>
        <v>70</v>
      </c>
      <c r="P1334" s="5">
        <f>_xlfn.XLOOKUP(CustomerCombined[[#This Row],[ID]], Table4[ID], Table4[Premium], "Not Found", 0)</f>
        <v>35</v>
      </c>
      <c r="Q1334" s="5">
        <f>_xlfn.XLOOKUP(CustomerCombined[[#This Row],[ID]], Table4[ID], Table4[Regular], "Not Found", 0)</f>
        <v>1753</v>
      </c>
      <c r="R1334" s="5">
        <f>_xlfn.XLOOKUP(CustomerCombined[[#This Row],[ID]], Table4[ID], Table4[Deals], "Not Found", 0)</f>
        <v>3</v>
      </c>
      <c r="S1334" s="5">
        <f>_xlfn.XLOOKUP(CustomerCombined[[#This Row],[ID]], Table4[ID], Table4[Website], "Not Found", 0)</f>
        <v>6</v>
      </c>
      <c r="T1334" s="5">
        <f>_xlfn.XLOOKUP(CustomerCombined[[#This Row],[ID]], Table4[ID], Table4[Catalog], "Not Found", 0)</f>
        <v>2</v>
      </c>
      <c r="U1334" s="5">
        <f>_xlfn.XLOOKUP(CustomerCombined[[#This Row],[ID]], Table4[ID], Table4[Store], "Not Found", 0)</f>
        <v>12</v>
      </c>
      <c r="V1334" s="5">
        <f>_xlfn.XLOOKUP(CustomerCombined[[#This Row],[ID]], Table4[ID], Table4[Visits], "Not Found", 0)</f>
        <v>5</v>
      </c>
      <c r="W1334" s="8">
        <f>_xlfn.XLOOKUP(CustomerCombined[[#This Row],[ID]], Table2[ID],Table2[Complaint], "Not Found", 0 )</f>
        <v>0</v>
      </c>
      <c r="X1334" s="8">
        <f>_xlfn.XLOOKUP(CustomerCombined[[#This Row],[ID]], Table2[ID],Table2[Pilot], "Not Found", 0 )</f>
        <v>0</v>
      </c>
      <c r="Y1334" s="8">
        <f>_xlfn.XLOOKUP(CustomerCombined[[#This Row],[ID]], Table2[ID],Table2[MC1], "Not Found", 0 )</f>
        <v>0</v>
      </c>
      <c r="Z1334" s="8">
        <f>_xlfn.XLOOKUP(CustomerCombined[[#This Row],[ID]], Table2[ID],Table2[MC2], "Not Found", 0 )</f>
        <v>0</v>
      </c>
      <c r="AA1334" s="8">
        <f>_xlfn.XLOOKUP(CustomerCombined[[#This Row],[ID]], Table2[ID],Table2[MC3], "Not Found", 0 )</f>
        <v>0</v>
      </c>
      <c r="AB1334" s="8">
        <f>_xlfn.XLOOKUP(CustomerCombined[[#This Row],[ID]], Table2[ID],Table2[MC4], "Not Found", 0 )</f>
        <v>0</v>
      </c>
      <c r="AC1334" s="8">
        <f>_xlfn.XLOOKUP(CustomerCombined[[#This Row],[ID]], Table2[ID],Table2[MC5], "Not Found", 0 )</f>
        <v>0</v>
      </c>
    </row>
    <row r="1335" spans="1:29" x14ac:dyDescent="0.3">
      <c r="A1335" s="6">
        <v>2984</v>
      </c>
      <c r="B1335" s="6">
        <v>165814</v>
      </c>
      <c r="C1335" s="6">
        <v>0</v>
      </c>
      <c r="D1335" s="6">
        <v>1</v>
      </c>
      <c r="E1335" s="6">
        <v>54</v>
      </c>
      <c r="F1335" s="5" t="s">
        <v>8</v>
      </c>
      <c r="G1335" s="5" t="s">
        <v>13</v>
      </c>
      <c r="H1335" s="3">
        <v>43990</v>
      </c>
      <c r="I1335" s="5" t="s">
        <v>438</v>
      </c>
      <c r="J1335" s="5">
        <f>_xlfn.XLOOKUP(CustomerCombined[[#This Row],[ID]], Table4[ID], Table4[Recency], "Not Found", 0)</f>
        <v>90</v>
      </c>
      <c r="K1335" s="5">
        <f>_xlfn.XLOOKUP(CustomerCombined[[#This Row],[ID]], Table4[ID], Table4[Teas], "Not Found", 0)</f>
        <v>1413</v>
      </c>
      <c r="L1335" s="5">
        <f>_xlfn.XLOOKUP(CustomerCombined[[#This Row],[ID]], Table4[ID], Table4[Fruits], "Not Found", 0)</f>
        <v>35</v>
      </c>
      <c r="M1335" s="5">
        <f>_xlfn.XLOOKUP(CustomerCombined[[#This Row],[ID]], Table4[ID], Table4[Meats], "Not Found", 0)</f>
        <v>285</v>
      </c>
      <c r="N1335" s="5">
        <f>_xlfn.XLOOKUP(CustomerCombined[[#This Row],[ID]], Table4[ID], Table4[Seafood], "Not Found", 0)</f>
        <v>25</v>
      </c>
      <c r="O1335" s="5">
        <f>_xlfn.XLOOKUP(CustomerCombined[[#This Row],[ID]], Table4[ID], Table4[Sweets], "Not Found", 0)</f>
        <v>35</v>
      </c>
      <c r="P1335" s="5">
        <f>_xlfn.XLOOKUP(CustomerCombined[[#This Row],[ID]], Table4[ID], Table4[Premium], "Not Found", 0)</f>
        <v>88</v>
      </c>
      <c r="Q1335" s="5">
        <f>_xlfn.XLOOKUP(CustomerCombined[[#This Row],[ID]], Table4[ID], Table4[Regular], "Not Found", 0)</f>
        <v>1706</v>
      </c>
      <c r="R1335" s="5">
        <f>_xlfn.XLOOKUP(CustomerCombined[[#This Row],[ID]], Table4[ID], Table4[Deals], "Not Found", 0)</f>
        <v>3</v>
      </c>
      <c r="S1335" s="5">
        <f>_xlfn.XLOOKUP(CustomerCombined[[#This Row],[ID]], Table4[ID], Table4[Website], "Not Found", 0)</f>
        <v>8</v>
      </c>
      <c r="T1335" s="5">
        <f>_xlfn.XLOOKUP(CustomerCombined[[#This Row],[ID]], Table4[ID], Table4[Catalog], "Not Found", 0)</f>
        <v>2</v>
      </c>
      <c r="U1335" s="5">
        <f>_xlfn.XLOOKUP(CustomerCombined[[#This Row],[ID]], Table4[ID], Table4[Store], "Not Found", 0)</f>
        <v>10</v>
      </c>
      <c r="V1335" s="5">
        <f>_xlfn.XLOOKUP(CustomerCombined[[#This Row],[ID]], Table4[ID], Table4[Visits], "Not Found", 0)</f>
        <v>5</v>
      </c>
      <c r="W1335" s="8">
        <f>_xlfn.XLOOKUP(CustomerCombined[[#This Row],[ID]], Table2[ID],Table2[Complaint], "Not Found", 0 )</f>
        <v>0</v>
      </c>
      <c r="X1335" s="8">
        <f>_xlfn.XLOOKUP(CustomerCombined[[#This Row],[ID]], Table2[ID],Table2[Pilot], "Not Found", 0 )</f>
        <v>0</v>
      </c>
      <c r="Y1335" s="8">
        <f>_xlfn.XLOOKUP(CustomerCombined[[#This Row],[ID]], Table2[ID],Table2[MC1], "Not Found", 0 )</f>
        <v>0</v>
      </c>
      <c r="Z1335" s="8">
        <f>_xlfn.XLOOKUP(CustomerCombined[[#This Row],[ID]], Table2[ID],Table2[MC2], "Not Found", 0 )</f>
        <v>0</v>
      </c>
      <c r="AA1335" s="8">
        <f>_xlfn.XLOOKUP(CustomerCombined[[#This Row],[ID]], Table2[ID],Table2[MC3], "Not Found", 0 )</f>
        <v>0</v>
      </c>
      <c r="AB1335" s="8">
        <f>_xlfn.XLOOKUP(CustomerCombined[[#This Row],[ID]], Table2[ID],Table2[MC4], "Not Found", 0 )</f>
        <v>0</v>
      </c>
      <c r="AC1335" s="8">
        <f>_xlfn.XLOOKUP(CustomerCombined[[#This Row],[ID]], Table2[ID],Table2[MC5], "Not Found", 0 )</f>
        <v>0</v>
      </c>
    </row>
    <row r="1336" spans="1:29" x14ac:dyDescent="0.3">
      <c r="A1336" s="6">
        <v>1357</v>
      </c>
      <c r="B1336" s="6">
        <v>163810</v>
      </c>
      <c r="C1336" s="6">
        <v>0</v>
      </c>
      <c r="D1336" s="6">
        <v>1</v>
      </c>
      <c r="E1336" s="6">
        <v>54</v>
      </c>
      <c r="F1336" s="5" t="s">
        <v>7</v>
      </c>
      <c r="G1336" s="5" t="s">
        <v>11</v>
      </c>
      <c r="H1336" s="3" t="s">
        <v>364</v>
      </c>
      <c r="I1336" s="5" t="s">
        <v>437</v>
      </c>
      <c r="J1336" s="5">
        <f>_xlfn.XLOOKUP(CustomerCombined[[#This Row],[ID]], Table4[ID], Table4[Recency], "Not Found", 0)</f>
        <v>45</v>
      </c>
      <c r="K1336" s="5">
        <f>_xlfn.XLOOKUP(CustomerCombined[[#This Row],[ID]], Table4[ID], Table4[Teas], "Not Found", 0)</f>
        <v>2508</v>
      </c>
      <c r="L1336" s="5">
        <f>_xlfn.XLOOKUP(CustomerCombined[[#This Row],[ID]], Table4[ID], Table4[Fruits], "Not Found", 0)</f>
        <v>31</v>
      </c>
      <c r="M1336" s="5">
        <f>_xlfn.XLOOKUP(CustomerCombined[[#This Row],[ID]], Table4[ID], Table4[Meats], "Not Found", 0)</f>
        <v>649</v>
      </c>
      <c r="N1336" s="5">
        <f>_xlfn.XLOOKUP(CustomerCombined[[#This Row],[ID]], Table4[ID], Table4[Seafood], "Not Found", 0)</f>
        <v>41</v>
      </c>
      <c r="O1336" s="5">
        <f>_xlfn.XLOOKUP(CustomerCombined[[#This Row],[ID]], Table4[ID], Table4[Sweets], "Not Found", 0)</f>
        <v>31</v>
      </c>
      <c r="P1336" s="5">
        <f>_xlfn.XLOOKUP(CustomerCombined[[#This Row],[ID]], Table4[ID], Table4[Premium], "Not Found", 0)</f>
        <v>259</v>
      </c>
      <c r="Q1336" s="5">
        <f>_xlfn.XLOOKUP(CustomerCombined[[#This Row],[ID]], Table4[ID], Table4[Regular], "Not Found", 0)</f>
        <v>3001</v>
      </c>
      <c r="R1336" s="5">
        <f>_xlfn.XLOOKUP(CustomerCombined[[#This Row],[ID]], Table4[ID], Table4[Deals], "Not Found", 0)</f>
        <v>4</v>
      </c>
      <c r="S1336" s="5">
        <f>_xlfn.XLOOKUP(CustomerCombined[[#This Row],[ID]], Table4[ID], Table4[Website], "Not Found", 0)</f>
        <v>4</v>
      </c>
      <c r="T1336" s="5">
        <f>_xlfn.XLOOKUP(CustomerCombined[[#This Row],[ID]], Table4[ID], Table4[Catalog], "Not Found", 0)</f>
        <v>3</v>
      </c>
      <c r="U1336" s="5">
        <f>_xlfn.XLOOKUP(CustomerCombined[[#This Row],[ID]], Table4[ID], Table4[Store], "Not Found", 0)</f>
        <v>12</v>
      </c>
      <c r="V1336" s="5">
        <f>_xlfn.XLOOKUP(CustomerCombined[[#This Row],[ID]], Table4[ID], Table4[Visits], "Not Found", 0)</f>
        <v>8</v>
      </c>
      <c r="W1336" s="8">
        <f>_xlfn.XLOOKUP(CustomerCombined[[#This Row],[ID]], Table2[ID],Table2[Complaint], "Not Found", 0 )</f>
        <v>0</v>
      </c>
      <c r="X1336" s="8">
        <f>_xlfn.XLOOKUP(CustomerCombined[[#This Row],[ID]], Table2[ID],Table2[Pilot], "Not Found", 0 )</f>
        <v>0</v>
      </c>
      <c r="Y1336" s="8">
        <f>_xlfn.XLOOKUP(CustomerCombined[[#This Row],[ID]], Table2[ID],Table2[MC1], "Not Found", 0 )</f>
        <v>0</v>
      </c>
      <c r="Z1336" s="8">
        <f>_xlfn.XLOOKUP(CustomerCombined[[#This Row],[ID]], Table2[ID],Table2[MC2], "Not Found", 0 )</f>
        <v>0</v>
      </c>
      <c r="AA1336" s="8">
        <f>_xlfn.XLOOKUP(CustomerCombined[[#This Row],[ID]], Table2[ID],Table2[MC3], "Not Found", 0 )</f>
        <v>0</v>
      </c>
      <c r="AB1336" s="8">
        <f>_xlfn.XLOOKUP(CustomerCombined[[#This Row],[ID]], Table2[ID],Table2[MC4], "Not Found", 0 )</f>
        <v>1</v>
      </c>
      <c r="AC1336" s="8">
        <f>_xlfn.XLOOKUP(CustomerCombined[[#This Row],[ID]], Table2[ID],Table2[MC5], "Not Found", 0 )</f>
        <v>0</v>
      </c>
    </row>
    <row r="1337" spans="1:29" x14ac:dyDescent="0.3">
      <c r="A1337" s="6">
        <v>2398</v>
      </c>
      <c r="B1337" s="6">
        <v>163810</v>
      </c>
      <c r="C1337" s="6">
        <v>0</v>
      </c>
      <c r="D1337" s="6">
        <v>1</v>
      </c>
      <c r="E1337" s="6">
        <v>54</v>
      </c>
      <c r="F1337" s="5" t="s">
        <v>7</v>
      </c>
      <c r="G1337" s="5" t="s">
        <v>11</v>
      </c>
      <c r="H1337" s="3" t="s">
        <v>364</v>
      </c>
      <c r="I1337" s="5" t="s">
        <v>439</v>
      </c>
      <c r="J1337" s="5">
        <f>_xlfn.XLOOKUP(CustomerCombined[[#This Row],[ID]], Table4[ID], Table4[Recency], "Not Found", 0)</f>
        <v>45</v>
      </c>
      <c r="K1337" s="5">
        <f>_xlfn.XLOOKUP(CustomerCombined[[#This Row],[ID]], Table4[ID], Table4[Teas], "Not Found", 0)</f>
        <v>2508</v>
      </c>
      <c r="L1337" s="5">
        <f>_xlfn.XLOOKUP(CustomerCombined[[#This Row],[ID]], Table4[ID], Table4[Fruits], "Not Found", 0)</f>
        <v>31</v>
      </c>
      <c r="M1337" s="5">
        <f>_xlfn.XLOOKUP(CustomerCombined[[#This Row],[ID]], Table4[ID], Table4[Meats], "Not Found", 0)</f>
        <v>649</v>
      </c>
      <c r="N1337" s="5">
        <f>_xlfn.XLOOKUP(CustomerCombined[[#This Row],[ID]], Table4[ID], Table4[Seafood], "Not Found", 0)</f>
        <v>41</v>
      </c>
      <c r="O1337" s="5">
        <f>_xlfn.XLOOKUP(CustomerCombined[[#This Row],[ID]], Table4[ID], Table4[Sweets], "Not Found", 0)</f>
        <v>31</v>
      </c>
      <c r="P1337" s="5">
        <f>_xlfn.XLOOKUP(CustomerCombined[[#This Row],[ID]], Table4[ID], Table4[Premium], "Not Found", 0)</f>
        <v>259</v>
      </c>
      <c r="Q1337" s="5">
        <f>_xlfn.XLOOKUP(CustomerCombined[[#This Row],[ID]], Table4[ID], Table4[Regular], "Not Found", 0)</f>
        <v>3001</v>
      </c>
      <c r="R1337" s="5">
        <f>_xlfn.XLOOKUP(CustomerCombined[[#This Row],[ID]], Table4[ID], Table4[Deals], "Not Found", 0)</f>
        <v>4</v>
      </c>
      <c r="S1337" s="5">
        <f>_xlfn.XLOOKUP(CustomerCombined[[#This Row],[ID]], Table4[ID], Table4[Website], "Not Found", 0)</f>
        <v>4</v>
      </c>
      <c r="T1337" s="5">
        <f>_xlfn.XLOOKUP(CustomerCombined[[#This Row],[ID]], Table4[ID], Table4[Catalog], "Not Found", 0)</f>
        <v>3</v>
      </c>
      <c r="U1337" s="5">
        <f>_xlfn.XLOOKUP(CustomerCombined[[#This Row],[ID]], Table4[ID], Table4[Store], "Not Found", 0)</f>
        <v>12</v>
      </c>
      <c r="V1337" s="5">
        <f>_xlfn.XLOOKUP(CustomerCombined[[#This Row],[ID]], Table4[ID], Table4[Visits], "Not Found", 0)</f>
        <v>8</v>
      </c>
      <c r="W1337" s="8">
        <f>_xlfn.XLOOKUP(CustomerCombined[[#This Row],[ID]], Table2[ID],Table2[Complaint], "Not Found", 0 )</f>
        <v>0</v>
      </c>
      <c r="X1337" s="8">
        <f>_xlfn.XLOOKUP(CustomerCombined[[#This Row],[ID]], Table2[ID],Table2[Pilot], "Not Found", 0 )</f>
        <v>0</v>
      </c>
      <c r="Y1337" s="8">
        <f>_xlfn.XLOOKUP(CustomerCombined[[#This Row],[ID]], Table2[ID],Table2[MC1], "Not Found", 0 )</f>
        <v>0</v>
      </c>
      <c r="Z1337" s="8">
        <f>_xlfn.XLOOKUP(CustomerCombined[[#This Row],[ID]], Table2[ID],Table2[MC2], "Not Found", 0 )</f>
        <v>0</v>
      </c>
      <c r="AA1337" s="8">
        <f>_xlfn.XLOOKUP(CustomerCombined[[#This Row],[ID]], Table2[ID],Table2[MC3], "Not Found", 0 )</f>
        <v>0</v>
      </c>
      <c r="AB1337" s="8">
        <f>_xlfn.XLOOKUP(CustomerCombined[[#This Row],[ID]], Table2[ID],Table2[MC4], "Not Found", 0 )</f>
        <v>1</v>
      </c>
      <c r="AC1337" s="8">
        <f>_xlfn.XLOOKUP(CustomerCombined[[#This Row],[ID]], Table2[ID],Table2[MC5], "Not Found", 0 )</f>
        <v>0</v>
      </c>
    </row>
    <row r="1338" spans="1:29" x14ac:dyDescent="0.3">
      <c r="A1338" s="6">
        <v>1176</v>
      </c>
      <c r="B1338" s="6">
        <v>161286</v>
      </c>
      <c r="C1338" s="6">
        <v>0</v>
      </c>
      <c r="D1338" s="6">
        <v>1</v>
      </c>
      <c r="E1338" s="6">
        <v>54</v>
      </c>
      <c r="F1338" s="5" t="s">
        <v>6</v>
      </c>
      <c r="G1338" s="5" t="s">
        <v>11</v>
      </c>
      <c r="H1338" s="3">
        <v>44013</v>
      </c>
      <c r="I1338" s="5" t="s">
        <v>436</v>
      </c>
      <c r="J1338" s="5">
        <f>_xlfn.XLOOKUP(CustomerCombined[[#This Row],[ID]], Table4[ID], Table4[Recency], "Not Found", 0)</f>
        <v>34</v>
      </c>
      <c r="K1338" s="5">
        <f>_xlfn.XLOOKUP(CustomerCombined[[#This Row],[ID]], Table4[ID], Table4[Teas], "Not Found", 0)</f>
        <v>937</v>
      </c>
      <c r="L1338" s="5">
        <f>_xlfn.XLOOKUP(CustomerCombined[[#This Row],[ID]], Table4[ID], Table4[Fruits], "Not Found", 0)</f>
        <v>0</v>
      </c>
      <c r="M1338" s="5">
        <f>_xlfn.XLOOKUP(CustomerCombined[[#This Row],[ID]], Table4[ID], Table4[Meats], "Not Found", 0)</f>
        <v>282</v>
      </c>
      <c r="N1338" s="5">
        <f>_xlfn.XLOOKUP(CustomerCombined[[#This Row],[ID]], Table4[ID], Table4[Seafood], "Not Found", 0)</f>
        <v>50</v>
      </c>
      <c r="O1338" s="5">
        <f>_xlfn.XLOOKUP(CustomerCombined[[#This Row],[ID]], Table4[ID], Table4[Sweets], "Not Found", 0)</f>
        <v>24</v>
      </c>
      <c r="P1338" s="5">
        <f>_xlfn.XLOOKUP(CustomerCombined[[#This Row],[ID]], Table4[ID], Table4[Premium], "Not Found", 0)</f>
        <v>308</v>
      </c>
      <c r="Q1338" s="5">
        <f>_xlfn.XLOOKUP(CustomerCombined[[#This Row],[ID]], Table4[ID], Table4[Regular], "Not Found", 0)</f>
        <v>984</v>
      </c>
      <c r="R1338" s="5">
        <f>_xlfn.XLOOKUP(CustomerCombined[[#This Row],[ID]], Table4[ID], Table4[Deals], "Not Found", 0)</f>
        <v>2</v>
      </c>
      <c r="S1338" s="5">
        <f>_xlfn.XLOOKUP(CustomerCombined[[#This Row],[ID]], Table4[ID], Table4[Website], "Not Found", 0)</f>
        <v>7</v>
      </c>
      <c r="T1338" s="5">
        <f>_xlfn.XLOOKUP(CustomerCombined[[#This Row],[ID]], Table4[ID], Table4[Catalog], "Not Found", 0)</f>
        <v>1</v>
      </c>
      <c r="U1338" s="5">
        <f>_xlfn.XLOOKUP(CustomerCombined[[#This Row],[ID]], Table4[ID], Table4[Store], "Not Found", 0)</f>
        <v>8</v>
      </c>
      <c r="V1338" s="5">
        <f>_xlfn.XLOOKUP(CustomerCombined[[#This Row],[ID]], Table4[ID], Table4[Visits], "Not Found", 0)</f>
        <v>5</v>
      </c>
      <c r="W1338" s="8">
        <f>_xlfn.XLOOKUP(CustomerCombined[[#This Row],[ID]], Table2[ID],Table2[Complaint], "Not Found", 0 )</f>
        <v>0</v>
      </c>
      <c r="X1338" s="8">
        <f>_xlfn.XLOOKUP(CustomerCombined[[#This Row],[ID]], Table2[ID],Table2[Pilot], "Not Found", 0 )</f>
        <v>0</v>
      </c>
      <c r="Y1338" s="8">
        <f>_xlfn.XLOOKUP(CustomerCombined[[#This Row],[ID]], Table2[ID],Table2[MC1], "Not Found", 0 )</f>
        <v>0</v>
      </c>
      <c r="Z1338" s="8">
        <f>_xlfn.XLOOKUP(CustomerCombined[[#This Row],[ID]], Table2[ID],Table2[MC2], "Not Found", 0 )</f>
        <v>0</v>
      </c>
      <c r="AA1338" s="8">
        <f>_xlfn.XLOOKUP(CustomerCombined[[#This Row],[ID]], Table2[ID],Table2[MC3], "Not Found", 0 )</f>
        <v>0</v>
      </c>
      <c r="AB1338" s="8">
        <f>_xlfn.XLOOKUP(CustomerCombined[[#This Row],[ID]], Table2[ID],Table2[MC4], "Not Found", 0 )</f>
        <v>0</v>
      </c>
      <c r="AC1338" s="8">
        <f>_xlfn.XLOOKUP(CustomerCombined[[#This Row],[ID]], Table2[ID],Table2[MC5], "Not Found", 0 )</f>
        <v>0</v>
      </c>
    </row>
    <row r="1339" spans="1:29" x14ac:dyDescent="0.3">
      <c r="A1339" s="6">
        <v>3095</v>
      </c>
      <c r="B1339" s="6">
        <v>161286</v>
      </c>
      <c r="C1339" s="6">
        <v>0</v>
      </c>
      <c r="D1339" s="6">
        <v>1</v>
      </c>
      <c r="E1339" s="6">
        <v>54</v>
      </c>
      <c r="F1339" s="5" t="s">
        <v>6</v>
      </c>
      <c r="G1339" s="5" t="s">
        <v>11</v>
      </c>
      <c r="H1339" s="3">
        <v>44013</v>
      </c>
      <c r="I1339" s="5" t="s">
        <v>434</v>
      </c>
      <c r="J1339" s="5">
        <f>_xlfn.XLOOKUP(CustomerCombined[[#This Row],[ID]], Table4[ID], Table4[Recency], "Not Found", 0)</f>
        <v>34</v>
      </c>
      <c r="K1339" s="5">
        <f>_xlfn.XLOOKUP(CustomerCombined[[#This Row],[ID]], Table4[ID], Table4[Teas], "Not Found", 0)</f>
        <v>937</v>
      </c>
      <c r="L1339" s="5">
        <f>_xlfn.XLOOKUP(CustomerCombined[[#This Row],[ID]], Table4[ID], Table4[Fruits], "Not Found", 0)</f>
        <v>0</v>
      </c>
      <c r="M1339" s="5">
        <f>_xlfn.XLOOKUP(CustomerCombined[[#This Row],[ID]], Table4[ID], Table4[Meats], "Not Found", 0)</f>
        <v>282</v>
      </c>
      <c r="N1339" s="5">
        <f>_xlfn.XLOOKUP(CustomerCombined[[#This Row],[ID]], Table4[ID], Table4[Seafood], "Not Found", 0)</f>
        <v>50</v>
      </c>
      <c r="O1339" s="5">
        <f>_xlfn.XLOOKUP(CustomerCombined[[#This Row],[ID]], Table4[ID], Table4[Sweets], "Not Found", 0)</f>
        <v>24</v>
      </c>
      <c r="P1339" s="5">
        <f>_xlfn.XLOOKUP(CustomerCombined[[#This Row],[ID]], Table4[ID], Table4[Premium], "Not Found", 0)</f>
        <v>308</v>
      </c>
      <c r="Q1339" s="5">
        <f>_xlfn.XLOOKUP(CustomerCombined[[#This Row],[ID]], Table4[ID], Table4[Regular], "Not Found", 0)</f>
        <v>984</v>
      </c>
      <c r="R1339" s="5">
        <f>_xlfn.XLOOKUP(CustomerCombined[[#This Row],[ID]], Table4[ID], Table4[Deals], "Not Found", 0)</f>
        <v>2</v>
      </c>
      <c r="S1339" s="5">
        <f>_xlfn.XLOOKUP(CustomerCombined[[#This Row],[ID]], Table4[ID], Table4[Website], "Not Found", 0)</f>
        <v>7</v>
      </c>
      <c r="T1339" s="5">
        <f>_xlfn.XLOOKUP(CustomerCombined[[#This Row],[ID]], Table4[ID], Table4[Catalog], "Not Found", 0)</f>
        <v>1</v>
      </c>
      <c r="U1339" s="5">
        <f>_xlfn.XLOOKUP(CustomerCombined[[#This Row],[ID]], Table4[ID], Table4[Store], "Not Found", 0)</f>
        <v>8</v>
      </c>
      <c r="V1339" s="5">
        <f>_xlfn.XLOOKUP(CustomerCombined[[#This Row],[ID]], Table4[ID], Table4[Visits], "Not Found", 0)</f>
        <v>5</v>
      </c>
      <c r="W1339" s="8">
        <f>_xlfn.XLOOKUP(CustomerCombined[[#This Row],[ID]], Table2[ID],Table2[Complaint], "Not Found", 0 )</f>
        <v>0</v>
      </c>
      <c r="X1339" s="8">
        <f>_xlfn.XLOOKUP(CustomerCombined[[#This Row],[ID]], Table2[ID],Table2[Pilot], "Not Found", 0 )</f>
        <v>0</v>
      </c>
      <c r="Y1339" s="8">
        <f>_xlfn.XLOOKUP(CustomerCombined[[#This Row],[ID]], Table2[ID],Table2[MC1], "Not Found", 0 )</f>
        <v>0</v>
      </c>
      <c r="Z1339" s="8">
        <f>_xlfn.XLOOKUP(CustomerCombined[[#This Row],[ID]], Table2[ID],Table2[MC2], "Not Found", 0 )</f>
        <v>0</v>
      </c>
      <c r="AA1339" s="8">
        <f>_xlfn.XLOOKUP(CustomerCombined[[#This Row],[ID]], Table2[ID],Table2[MC3], "Not Found", 0 )</f>
        <v>0</v>
      </c>
      <c r="AB1339" s="8">
        <f>_xlfn.XLOOKUP(CustomerCombined[[#This Row],[ID]], Table2[ID],Table2[MC4], "Not Found", 0 )</f>
        <v>0</v>
      </c>
      <c r="AC1339" s="8">
        <f>_xlfn.XLOOKUP(CustomerCombined[[#This Row],[ID]], Table2[ID],Table2[MC5], "Not Found", 0 )</f>
        <v>0</v>
      </c>
    </row>
    <row r="1340" spans="1:29" x14ac:dyDescent="0.3">
      <c r="A1340" s="6">
        <v>2285</v>
      </c>
      <c r="B1340" s="6">
        <v>160894</v>
      </c>
      <c r="C1340" s="6">
        <v>0</v>
      </c>
      <c r="D1340" s="6">
        <v>1</v>
      </c>
      <c r="E1340" s="6">
        <v>54</v>
      </c>
      <c r="F1340" s="5" t="s">
        <v>8</v>
      </c>
      <c r="G1340" s="5" t="s">
        <v>11</v>
      </c>
      <c r="H1340" s="3">
        <v>43536</v>
      </c>
      <c r="I1340" s="5" t="s">
        <v>434</v>
      </c>
      <c r="J1340" s="5">
        <f>_xlfn.XLOOKUP(CustomerCombined[[#This Row],[ID]], Table4[ID], Table4[Recency], "Not Found", 0)</f>
        <v>61</v>
      </c>
      <c r="K1340" s="5">
        <f>_xlfn.XLOOKUP(CustomerCombined[[#This Row],[ID]], Table4[ID], Table4[Teas], "Not Found", 0)</f>
        <v>1601</v>
      </c>
      <c r="L1340" s="5">
        <f>_xlfn.XLOOKUP(CustomerCombined[[#This Row],[ID]], Table4[ID], Table4[Fruits], "Not Found", 0)</f>
        <v>18</v>
      </c>
      <c r="M1340" s="5">
        <f>_xlfn.XLOOKUP(CustomerCombined[[#This Row],[ID]], Table4[ID], Table4[Meats], "Not Found", 0)</f>
        <v>410</v>
      </c>
      <c r="N1340" s="5">
        <f>_xlfn.XLOOKUP(CustomerCombined[[#This Row],[ID]], Table4[ID], Table4[Seafood], "Not Found", 0)</f>
        <v>26</v>
      </c>
      <c r="O1340" s="5">
        <f>_xlfn.XLOOKUP(CustomerCombined[[#This Row],[ID]], Table4[ID], Table4[Sweets], "Not Found", 0)</f>
        <v>0</v>
      </c>
      <c r="P1340" s="5">
        <f>_xlfn.XLOOKUP(CustomerCombined[[#This Row],[ID]], Table4[ID], Table4[Premium], "Not Found", 0)</f>
        <v>143</v>
      </c>
      <c r="Q1340" s="5">
        <f>_xlfn.XLOOKUP(CustomerCombined[[#This Row],[ID]], Table4[ID], Table4[Regular], "Not Found", 0)</f>
        <v>1913</v>
      </c>
      <c r="R1340" s="5">
        <f>_xlfn.XLOOKUP(CustomerCombined[[#This Row],[ID]], Table4[ID], Table4[Deals], "Not Found", 0)</f>
        <v>5</v>
      </c>
      <c r="S1340" s="5">
        <f>_xlfn.XLOOKUP(CustomerCombined[[#This Row],[ID]], Table4[ID], Table4[Website], "Not Found", 0)</f>
        <v>10</v>
      </c>
      <c r="T1340" s="5">
        <f>_xlfn.XLOOKUP(CustomerCombined[[#This Row],[ID]], Table4[ID], Table4[Catalog], "Not Found", 0)</f>
        <v>3</v>
      </c>
      <c r="U1340" s="5">
        <f>_xlfn.XLOOKUP(CustomerCombined[[#This Row],[ID]], Table4[ID], Table4[Store], "Not Found", 0)</f>
        <v>8</v>
      </c>
      <c r="V1340" s="5">
        <f>_xlfn.XLOOKUP(CustomerCombined[[#This Row],[ID]], Table4[ID], Table4[Visits], "Not Found", 0)</f>
        <v>7</v>
      </c>
      <c r="W1340" s="8">
        <f>_xlfn.XLOOKUP(CustomerCombined[[#This Row],[ID]], Table2[ID],Table2[Complaint], "Not Found", 0 )</f>
        <v>0</v>
      </c>
      <c r="X1340" s="8">
        <f>_xlfn.XLOOKUP(CustomerCombined[[#This Row],[ID]], Table2[ID],Table2[Pilot], "Not Found", 0 )</f>
        <v>0</v>
      </c>
      <c r="Y1340" s="8">
        <f>_xlfn.XLOOKUP(CustomerCombined[[#This Row],[ID]], Table2[ID],Table2[MC1], "Not Found", 0 )</f>
        <v>0</v>
      </c>
      <c r="Z1340" s="8">
        <f>_xlfn.XLOOKUP(CustomerCombined[[#This Row],[ID]], Table2[ID],Table2[MC2], "Not Found", 0 )</f>
        <v>0</v>
      </c>
      <c r="AA1340" s="8">
        <f>_xlfn.XLOOKUP(CustomerCombined[[#This Row],[ID]], Table2[ID],Table2[MC3], "Not Found", 0 )</f>
        <v>0</v>
      </c>
      <c r="AB1340" s="8">
        <f>_xlfn.XLOOKUP(CustomerCombined[[#This Row],[ID]], Table2[ID],Table2[MC4], "Not Found", 0 )</f>
        <v>0</v>
      </c>
      <c r="AC1340" s="8">
        <f>_xlfn.XLOOKUP(CustomerCombined[[#This Row],[ID]], Table2[ID],Table2[MC5], "Not Found", 0 )</f>
        <v>0</v>
      </c>
    </row>
    <row r="1341" spans="1:29" x14ac:dyDescent="0.3">
      <c r="A1341" s="6">
        <v>2278</v>
      </c>
      <c r="B1341" s="6">
        <v>157811</v>
      </c>
      <c r="C1341" s="6">
        <v>0</v>
      </c>
      <c r="D1341" s="6">
        <v>1</v>
      </c>
      <c r="E1341" s="6">
        <v>54</v>
      </c>
      <c r="F1341" s="5" t="s">
        <v>8</v>
      </c>
      <c r="G1341" s="5" t="s">
        <v>11</v>
      </c>
      <c r="H1341" s="3" t="s">
        <v>229</v>
      </c>
      <c r="I1341" s="5" t="s">
        <v>439</v>
      </c>
      <c r="J1341" s="5">
        <f>_xlfn.XLOOKUP(CustomerCombined[[#This Row],[ID]], Table4[ID], Table4[Recency], "Not Found", 0)</f>
        <v>49</v>
      </c>
      <c r="K1341" s="5">
        <f>_xlfn.XLOOKUP(CustomerCombined[[#This Row],[ID]], Table4[ID], Table4[Teas], "Not Found", 0)</f>
        <v>1488</v>
      </c>
      <c r="L1341" s="5">
        <f>_xlfn.XLOOKUP(CustomerCombined[[#This Row],[ID]], Table4[ID], Table4[Fruits], "Not Found", 0)</f>
        <v>19</v>
      </c>
      <c r="M1341" s="5">
        <f>_xlfn.XLOOKUP(CustomerCombined[[#This Row],[ID]], Table4[ID], Table4[Meats], "Not Found", 0)</f>
        <v>311</v>
      </c>
      <c r="N1341" s="5">
        <f>_xlfn.XLOOKUP(CustomerCombined[[#This Row],[ID]], Table4[ID], Table4[Seafood], "Not Found", 0)</f>
        <v>101</v>
      </c>
      <c r="O1341" s="5">
        <f>_xlfn.XLOOKUP(CustomerCombined[[#This Row],[ID]], Table4[ID], Table4[Sweets], "Not Found", 0)</f>
        <v>57</v>
      </c>
      <c r="P1341" s="5">
        <f>_xlfn.XLOOKUP(CustomerCombined[[#This Row],[ID]], Table4[ID], Table4[Premium], "Not Found", 0)</f>
        <v>213</v>
      </c>
      <c r="Q1341" s="5">
        <f>_xlfn.XLOOKUP(CustomerCombined[[#This Row],[ID]], Table4[ID], Table4[Regular], "Not Found", 0)</f>
        <v>1763</v>
      </c>
      <c r="R1341" s="5">
        <f>_xlfn.XLOOKUP(CustomerCombined[[#This Row],[ID]], Table4[ID], Table4[Deals], "Not Found", 0)</f>
        <v>5</v>
      </c>
      <c r="S1341" s="5">
        <f>_xlfn.XLOOKUP(CustomerCombined[[#This Row],[ID]], Table4[ID], Table4[Website], "Not Found", 0)</f>
        <v>7</v>
      </c>
      <c r="T1341" s="5">
        <f>_xlfn.XLOOKUP(CustomerCombined[[#This Row],[ID]], Table4[ID], Table4[Catalog], "Not Found", 0)</f>
        <v>2</v>
      </c>
      <c r="U1341" s="5">
        <f>_xlfn.XLOOKUP(CustomerCombined[[#This Row],[ID]], Table4[ID], Table4[Store], "Not Found", 0)</f>
        <v>11</v>
      </c>
      <c r="V1341" s="5">
        <f>_xlfn.XLOOKUP(CustomerCombined[[#This Row],[ID]], Table4[ID], Table4[Visits], "Not Found", 0)</f>
        <v>5</v>
      </c>
      <c r="W1341" s="8">
        <f>_xlfn.XLOOKUP(CustomerCombined[[#This Row],[ID]], Table2[ID],Table2[Complaint], "Not Found", 0 )</f>
        <v>0</v>
      </c>
      <c r="X1341" s="8">
        <f>_xlfn.XLOOKUP(CustomerCombined[[#This Row],[ID]], Table2[ID],Table2[Pilot], "Not Found", 0 )</f>
        <v>0</v>
      </c>
      <c r="Y1341" s="8">
        <f>_xlfn.XLOOKUP(CustomerCombined[[#This Row],[ID]], Table2[ID],Table2[MC1], "Not Found", 0 )</f>
        <v>0</v>
      </c>
      <c r="Z1341" s="8">
        <f>_xlfn.XLOOKUP(CustomerCombined[[#This Row],[ID]], Table2[ID],Table2[MC2], "Not Found", 0 )</f>
        <v>0</v>
      </c>
      <c r="AA1341" s="8">
        <f>_xlfn.XLOOKUP(CustomerCombined[[#This Row],[ID]], Table2[ID],Table2[MC3], "Not Found", 0 )</f>
        <v>0</v>
      </c>
      <c r="AB1341" s="8">
        <f>_xlfn.XLOOKUP(CustomerCombined[[#This Row],[ID]], Table2[ID],Table2[MC4], "Not Found", 0 )</f>
        <v>1</v>
      </c>
      <c r="AC1341" s="8">
        <f>_xlfn.XLOOKUP(CustomerCombined[[#This Row],[ID]], Table2[ID],Table2[MC5], "Not Found", 0 )</f>
        <v>0</v>
      </c>
    </row>
    <row r="1342" spans="1:29" x14ac:dyDescent="0.3">
      <c r="A1342" s="6">
        <v>2823</v>
      </c>
      <c r="B1342" s="6">
        <v>157705</v>
      </c>
      <c r="C1342" s="6">
        <v>0</v>
      </c>
      <c r="D1342" s="6">
        <v>1</v>
      </c>
      <c r="E1342" s="6">
        <v>54</v>
      </c>
      <c r="F1342" s="5" t="s">
        <v>6</v>
      </c>
      <c r="G1342" s="5" t="s">
        <v>13</v>
      </c>
      <c r="H1342" s="3" t="s">
        <v>119</v>
      </c>
      <c r="I1342" s="5" t="s">
        <v>435</v>
      </c>
      <c r="J1342" s="5">
        <f>_xlfn.XLOOKUP(CustomerCombined[[#This Row],[ID]], Table4[ID], Table4[Recency], "Not Found", 0)</f>
        <v>14</v>
      </c>
      <c r="K1342" s="5">
        <f>_xlfn.XLOOKUP(CustomerCombined[[#This Row],[ID]], Table4[ID], Table4[Teas], "Not Found", 0)</f>
        <v>1047</v>
      </c>
      <c r="L1342" s="5">
        <f>_xlfn.XLOOKUP(CustomerCombined[[#This Row],[ID]], Table4[ID], Table4[Fruits], "Not Found", 0)</f>
        <v>0</v>
      </c>
      <c r="M1342" s="5">
        <f>_xlfn.XLOOKUP(CustomerCombined[[#This Row],[ID]], Table4[ID], Table4[Meats], "Not Found", 0)</f>
        <v>145</v>
      </c>
      <c r="N1342" s="5">
        <f>_xlfn.XLOOKUP(CustomerCombined[[#This Row],[ID]], Table4[ID], Table4[Seafood], "Not Found", 0)</f>
        <v>16</v>
      </c>
      <c r="O1342" s="5">
        <f>_xlfn.XLOOKUP(CustomerCombined[[#This Row],[ID]], Table4[ID], Table4[Sweets], "Not Found", 0)</f>
        <v>11</v>
      </c>
      <c r="P1342" s="5">
        <f>_xlfn.XLOOKUP(CustomerCombined[[#This Row],[ID]], Table4[ID], Table4[Premium], "Not Found", 0)</f>
        <v>109</v>
      </c>
      <c r="Q1342" s="5">
        <f>_xlfn.XLOOKUP(CustomerCombined[[#This Row],[ID]], Table4[ID], Table4[Regular], "Not Found", 0)</f>
        <v>1110</v>
      </c>
      <c r="R1342" s="5">
        <f>_xlfn.XLOOKUP(CustomerCombined[[#This Row],[ID]], Table4[ID], Table4[Deals], "Not Found", 0)</f>
        <v>3</v>
      </c>
      <c r="S1342" s="5">
        <f>_xlfn.XLOOKUP(CustomerCombined[[#This Row],[ID]], Table4[ID], Table4[Website], "Not Found", 0)</f>
        <v>8</v>
      </c>
      <c r="T1342" s="5">
        <f>_xlfn.XLOOKUP(CustomerCombined[[#This Row],[ID]], Table4[ID], Table4[Catalog], "Not Found", 0)</f>
        <v>1</v>
      </c>
      <c r="U1342" s="5">
        <f>_xlfn.XLOOKUP(CustomerCombined[[#This Row],[ID]], Table4[ID], Table4[Store], "Not Found", 0)</f>
        <v>6</v>
      </c>
      <c r="V1342" s="5">
        <f>_xlfn.XLOOKUP(CustomerCombined[[#This Row],[ID]], Table4[ID], Table4[Visits], "Not Found", 0)</f>
        <v>6</v>
      </c>
      <c r="W1342" s="8">
        <f>_xlfn.XLOOKUP(CustomerCombined[[#This Row],[ID]], Table2[ID],Table2[Complaint], "Not Found", 0 )</f>
        <v>0</v>
      </c>
      <c r="X1342" s="8">
        <f>_xlfn.XLOOKUP(CustomerCombined[[#This Row],[ID]], Table2[ID],Table2[Pilot], "Not Found", 0 )</f>
        <v>0</v>
      </c>
      <c r="Y1342" s="8">
        <f>_xlfn.XLOOKUP(CustomerCombined[[#This Row],[ID]], Table2[ID],Table2[MC1], "Not Found", 0 )</f>
        <v>0</v>
      </c>
      <c r="Z1342" s="8">
        <f>_xlfn.XLOOKUP(CustomerCombined[[#This Row],[ID]], Table2[ID],Table2[MC2], "Not Found", 0 )</f>
        <v>0</v>
      </c>
      <c r="AA1342" s="8">
        <f>_xlfn.XLOOKUP(CustomerCombined[[#This Row],[ID]], Table2[ID],Table2[MC3], "Not Found", 0 )</f>
        <v>0</v>
      </c>
      <c r="AB1342" s="8">
        <f>_xlfn.XLOOKUP(CustomerCombined[[#This Row],[ID]], Table2[ID],Table2[MC4], "Not Found", 0 )</f>
        <v>0</v>
      </c>
      <c r="AC1342" s="8">
        <f>_xlfn.XLOOKUP(CustomerCombined[[#This Row],[ID]], Table2[ID],Table2[MC5], "Not Found", 0 )</f>
        <v>0</v>
      </c>
    </row>
    <row r="1343" spans="1:29" x14ac:dyDescent="0.3">
      <c r="A1343" s="6">
        <v>2254</v>
      </c>
      <c r="B1343" s="6">
        <v>157183</v>
      </c>
      <c r="C1343" s="6">
        <v>1</v>
      </c>
      <c r="D1343" s="6">
        <v>1</v>
      </c>
      <c r="E1343" s="6">
        <v>54</v>
      </c>
      <c r="F1343" s="5" t="s">
        <v>6</v>
      </c>
      <c r="G1343" s="5" t="s">
        <v>12</v>
      </c>
      <c r="H1343" s="3" t="s">
        <v>289</v>
      </c>
      <c r="I1343" s="5" t="s">
        <v>439</v>
      </c>
      <c r="J1343" s="5">
        <f>_xlfn.XLOOKUP(CustomerCombined[[#This Row],[ID]], Table4[ID], Table4[Recency], "Not Found", 0)</f>
        <v>51</v>
      </c>
      <c r="K1343" s="5">
        <f>_xlfn.XLOOKUP(CustomerCombined[[#This Row],[ID]], Table4[ID], Table4[Teas], "Not Found", 0)</f>
        <v>1275</v>
      </c>
      <c r="L1343" s="5">
        <f>_xlfn.XLOOKUP(CustomerCombined[[#This Row],[ID]], Table4[ID], Table4[Fruits], "Not Found", 0)</f>
        <v>14</v>
      </c>
      <c r="M1343" s="5">
        <f>_xlfn.XLOOKUP(CustomerCombined[[#This Row],[ID]], Table4[ID], Table4[Meats], "Not Found", 0)</f>
        <v>176</v>
      </c>
      <c r="N1343" s="5">
        <f>_xlfn.XLOOKUP(CustomerCombined[[#This Row],[ID]], Table4[ID], Table4[Seafood], "Not Found", 0)</f>
        <v>19</v>
      </c>
      <c r="O1343" s="5">
        <f>_xlfn.XLOOKUP(CustomerCombined[[#This Row],[ID]], Table4[ID], Table4[Sweets], "Not Found", 0)</f>
        <v>0</v>
      </c>
      <c r="P1343" s="5">
        <f>_xlfn.XLOOKUP(CustomerCombined[[#This Row],[ID]], Table4[ID], Table4[Premium], "Not Found", 0)</f>
        <v>192</v>
      </c>
      <c r="Q1343" s="5">
        <f>_xlfn.XLOOKUP(CustomerCombined[[#This Row],[ID]], Table4[ID], Table4[Regular], "Not Found", 0)</f>
        <v>1292</v>
      </c>
      <c r="R1343" s="5">
        <f>_xlfn.XLOOKUP(CustomerCombined[[#This Row],[ID]], Table4[ID], Table4[Deals], "Not Found", 0)</f>
        <v>8</v>
      </c>
      <c r="S1343" s="5">
        <f>_xlfn.XLOOKUP(CustomerCombined[[#This Row],[ID]], Table4[ID], Table4[Website], "Not Found", 0)</f>
        <v>9</v>
      </c>
      <c r="T1343" s="5">
        <f>_xlfn.XLOOKUP(CustomerCombined[[#This Row],[ID]], Table4[ID], Table4[Catalog], "Not Found", 0)</f>
        <v>1</v>
      </c>
      <c r="U1343" s="5">
        <f>_xlfn.XLOOKUP(CustomerCombined[[#This Row],[ID]], Table4[ID], Table4[Store], "Not Found", 0)</f>
        <v>7</v>
      </c>
      <c r="V1343" s="5">
        <f>_xlfn.XLOOKUP(CustomerCombined[[#This Row],[ID]], Table4[ID], Table4[Visits], "Not Found", 0)</f>
        <v>8</v>
      </c>
      <c r="W1343" s="8">
        <f>_xlfn.XLOOKUP(CustomerCombined[[#This Row],[ID]], Table2[ID],Table2[Complaint], "Not Found", 0 )</f>
        <v>0</v>
      </c>
      <c r="X1343" s="8">
        <f>_xlfn.XLOOKUP(CustomerCombined[[#This Row],[ID]], Table2[ID],Table2[Pilot], "Not Found", 0 )</f>
        <v>0</v>
      </c>
      <c r="Y1343" s="8">
        <f>_xlfn.XLOOKUP(CustomerCombined[[#This Row],[ID]], Table2[ID],Table2[MC1], "Not Found", 0 )</f>
        <v>0</v>
      </c>
      <c r="Z1343" s="8">
        <f>_xlfn.XLOOKUP(CustomerCombined[[#This Row],[ID]], Table2[ID],Table2[MC2], "Not Found", 0 )</f>
        <v>0</v>
      </c>
      <c r="AA1343" s="8">
        <f>_xlfn.XLOOKUP(CustomerCombined[[#This Row],[ID]], Table2[ID],Table2[MC3], "Not Found", 0 )</f>
        <v>0</v>
      </c>
      <c r="AB1343" s="8">
        <f>_xlfn.XLOOKUP(CustomerCombined[[#This Row],[ID]], Table2[ID],Table2[MC4], "Not Found", 0 )</f>
        <v>0</v>
      </c>
      <c r="AC1343" s="8">
        <f>_xlfn.XLOOKUP(CustomerCombined[[#This Row],[ID]], Table2[ID],Table2[MC5], "Not Found", 0 )</f>
        <v>0</v>
      </c>
    </row>
    <row r="1344" spans="1:29" x14ac:dyDescent="0.3">
      <c r="A1344" s="6">
        <v>2945</v>
      </c>
      <c r="B1344" s="6">
        <v>155686</v>
      </c>
      <c r="C1344" s="6">
        <v>0</v>
      </c>
      <c r="D1344" s="6">
        <v>1</v>
      </c>
      <c r="E1344" s="6">
        <v>54</v>
      </c>
      <c r="F1344" s="5" t="s">
        <v>5</v>
      </c>
      <c r="G1344" s="5" t="s">
        <v>11</v>
      </c>
      <c r="H1344" s="3" t="s">
        <v>309</v>
      </c>
      <c r="I1344" s="5" t="s">
        <v>434</v>
      </c>
      <c r="J1344" s="5">
        <f>_xlfn.XLOOKUP(CustomerCombined[[#This Row],[ID]], Table4[ID], Table4[Recency], "Not Found", 0)</f>
        <v>27</v>
      </c>
      <c r="K1344" s="5">
        <f>_xlfn.XLOOKUP(CustomerCombined[[#This Row],[ID]], Table4[ID], Table4[Teas], "Not Found", 0)</f>
        <v>1882</v>
      </c>
      <c r="L1344" s="5">
        <f>_xlfn.XLOOKUP(CustomerCombined[[#This Row],[ID]], Table4[ID], Table4[Fruits], "Not Found", 0)</f>
        <v>0</v>
      </c>
      <c r="M1344" s="5">
        <f>_xlfn.XLOOKUP(CustomerCombined[[#This Row],[ID]], Table4[ID], Table4[Meats], "Not Found", 0)</f>
        <v>556</v>
      </c>
      <c r="N1344" s="5">
        <f>_xlfn.XLOOKUP(CustomerCombined[[#This Row],[ID]], Table4[ID], Table4[Seafood], "Not Found", 0)</f>
        <v>103</v>
      </c>
      <c r="O1344" s="5">
        <f>_xlfn.XLOOKUP(CustomerCombined[[#This Row],[ID]], Table4[ID], Table4[Sweets], "Not Found", 0)</f>
        <v>131</v>
      </c>
      <c r="P1344" s="5">
        <f>_xlfn.XLOOKUP(CustomerCombined[[#This Row],[ID]], Table4[ID], Table4[Premium], "Not Found", 0)</f>
        <v>73</v>
      </c>
      <c r="Q1344" s="5">
        <f>_xlfn.XLOOKUP(CustomerCombined[[#This Row],[ID]], Table4[ID], Table4[Regular], "Not Found", 0)</f>
        <v>2600</v>
      </c>
      <c r="R1344" s="5">
        <f>_xlfn.XLOOKUP(CustomerCombined[[#This Row],[ID]], Table4[ID], Table4[Deals], "Not Found", 0)</f>
        <v>2</v>
      </c>
      <c r="S1344" s="5">
        <f>_xlfn.XLOOKUP(CustomerCombined[[#This Row],[ID]], Table4[ID], Table4[Website], "Not Found", 0)</f>
        <v>6</v>
      </c>
      <c r="T1344" s="5">
        <f>_xlfn.XLOOKUP(CustomerCombined[[#This Row],[ID]], Table4[ID], Table4[Catalog], "Not Found", 0)</f>
        <v>3</v>
      </c>
      <c r="U1344" s="5">
        <f>_xlfn.XLOOKUP(CustomerCombined[[#This Row],[ID]], Table4[ID], Table4[Store], "Not Found", 0)</f>
        <v>5</v>
      </c>
      <c r="V1344" s="5">
        <f>_xlfn.XLOOKUP(CustomerCombined[[#This Row],[ID]], Table4[ID], Table4[Visits], "Not Found", 0)</f>
        <v>4</v>
      </c>
      <c r="W1344" s="8">
        <f>_xlfn.XLOOKUP(CustomerCombined[[#This Row],[ID]], Table2[ID],Table2[Complaint], "Not Found", 0 )</f>
        <v>0</v>
      </c>
      <c r="X1344" s="8">
        <f>_xlfn.XLOOKUP(CustomerCombined[[#This Row],[ID]], Table2[ID],Table2[Pilot], "Not Found", 0 )</f>
        <v>0</v>
      </c>
      <c r="Y1344" s="8">
        <f>_xlfn.XLOOKUP(CustomerCombined[[#This Row],[ID]], Table2[ID],Table2[MC1], "Not Found", 0 )</f>
        <v>0</v>
      </c>
      <c r="Z1344" s="8">
        <f>_xlfn.XLOOKUP(CustomerCombined[[#This Row],[ID]], Table2[ID],Table2[MC2], "Not Found", 0 )</f>
        <v>0</v>
      </c>
      <c r="AA1344" s="8">
        <f>_xlfn.XLOOKUP(CustomerCombined[[#This Row],[ID]], Table2[ID],Table2[MC3], "Not Found", 0 )</f>
        <v>1</v>
      </c>
      <c r="AB1344" s="8">
        <f>_xlfn.XLOOKUP(CustomerCombined[[#This Row],[ID]], Table2[ID],Table2[MC4], "Not Found", 0 )</f>
        <v>0</v>
      </c>
      <c r="AC1344" s="8">
        <f>_xlfn.XLOOKUP(CustomerCombined[[#This Row],[ID]], Table2[ID],Table2[MC5], "Not Found", 0 )</f>
        <v>0</v>
      </c>
    </row>
    <row r="1345" spans="1:29" x14ac:dyDescent="0.3">
      <c r="A1345" s="6">
        <v>1300</v>
      </c>
      <c r="B1345" s="6">
        <v>154198</v>
      </c>
      <c r="C1345" s="6">
        <v>1</v>
      </c>
      <c r="D1345" s="6">
        <v>1</v>
      </c>
      <c r="E1345" s="6">
        <v>54</v>
      </c>
      <c r="F1345" s="5" t="s">
        <v>6</v>
      </c>
      <c r="G1345" s="5" t="s">
        <v>11</v>
      </c>
      <c r="H1345" s="3" t="s">
        <v>131</v>
      </c>
      <c r="I1345" s="5" t="s">
        <v>439</v>
      </c>
      <c r="J1345" s="5">
        <f>_xlfn.XLOOKUP(CustomerCombined[[#This Row],[ID]], Table4[ID], Table4[Recency], "Not Found", 0)</f>
        <v>13</v>
      </c>
      <c r="K1345" s="5">
        <f>_xlfn.XLOOKUP(CustomerCombined[[#This Row],[ID]], Table4[ID], Table4[Teas], "Not Found", 0)</f>
        <v>526</v>
      </c>
      <c r="L1345" s="5">
        <f>_xlfn.XLOOKUP(CustomerCombined[[#This Row],[ID]], Table4[ID], Table4[Fruits], "Not Found", 0)</f>
        <v>0</v>
      </c>
      <c r="M1345" s="5">
        <f>_xlfn.XLOOKUP(CustomerCombined[[#This Row],[ID]], Table4[ID], Table4[Meats], "Not Found", 0)</f>
        <v>80</v>
      </c>
      <c r="N1345" s="5">
        <f>_xlfn.XLOOKUP(CustomerCombined[[#This Row],[ID]], Table4[ID], Table4[Seafood], "Not Found", 0)</f>
        <v>9</v>
      </c>
      <c r="O1345" s="5">
        <f>_xlfn.XLOOKUP(CustomerCombined[[#This Row],[ID]], Table4[ID], Table4[Sweets], "Not Found", 0)</f>
        <v>6</v>
      </c>
      <c r="P1345" s="5">
        <f>_xlfn.XLOOKUP(CustomerCombined[[#This Row],[ID]], Table4[ID], Table4[Premium], "Not Found", 0)</f>
        <v>48</v>
      </c>
      <c r="Q1345" s="5">
        <f>_xlfn.XLOOKUP(CustomerCombined[[#This Row],[ID]], Table4[ID], Table4[Regular], "Not Found", 0)</f>
        <v>572</v>
      </c>
      <c r="R1345" s="5">
        <f>_xlfn.XLOOKUP(CustomerCombined[[#This Row],[ID]], Table4[ID], Table4[Deals], "Not Found", 0)</f>
        <v>6</v>
      </c>
      <c r="S1345" s="5">
        <f>_xlfn.XLOOKUP(CustomerCombined[[#This Row],[ID]], Table4[ID], Table4[Website], "Not Found", 0)</f>
        <v>3</v>
      </c>
      <c r="T1345" s="5">
        <f>_xlfn.XLOOKUP(CustomerCombined[[#This Row],[ID]], Table4[ID], Table4[Catalog], "Not Found", 0)</f>
        <v>1</v>
      </c>
      <c r="U1345" s="5">
        <f>_xlfn.XLOOKUP(CustomerCombined[[#This Row],[ID]], Table4[ID], Table4[Store], "Not Found", 0)</f>
        <v>6</v>
      </c>
      <c r="V1345" s="5">
        <f>_xlfn.XLOOKUP(CustomerCombined[[#This Row],[ID]], Table4[ID], Table4[Visits], "Not Found", 0)</f>
        <v>4</v>
      </c>
      <c r="W1345" s="8">
        <f>_xlfn.XLOOKUP(CustomerCombined[[#This Row],[ID]], Table2[ID],Table2[Complaint], "Not Found", 0 )</f>
        <v>0</v>
      </c>
      <c r="X1345" s="8">
        <f>_xlfn.XLOOKUP(CustomerCombined[[#This Row],[ID]], Table2[ID],Table2[Pilot], "Not Found", 0 )</f>
        <v>0</v>
      </c>
      <c r="Y1345" s="8">
        <f>_xlfn.XLOOKUP(CustomerCombined[[#This Row],[ID]], Table2[ID],Table2[MC1], "Not Found", 0 )</f>
        <v>0</v>
      </c>
      <c r="Z1345" s="8">
        <f>_xlfn.XLOOKUP(CustomerCombined[[#This Row],[ID]], Table2[ID],Table2[MC2], "Not Found", 0 )</f>
        <v>0</v>
      </c>
      <c r="AA1345" s="8">
        <f>_xlfn.XLOOKUP(CustomerCombined[[#This Row],[ID]], Table2[ID],Table2[MC3], "Not Found", 0 )</f>
        <v>0</v>
      </c>
      <c r="AB1345" s="8">
        <f>_xlfn.XLOOKUP(CustomerCombined[[#This Row],[ID]], Table2[ID],Table2[MC4], "Not Found", 0 )</f>
        <v>0</v>
      </c>
      <c r="AC1345" s="8">
        <f>_xlfn.XLOOKUP(CustomerCombined[[#This Row],[ID]], Table2[ID],Table2[MC5], "Not Found", 0 )</f>
        <v>0</v>
      </c>
    </row>
    <row r="1346" spans="1:29" x14ac:dyDescent="0.3">
      <c r="A1346" s="6">
        <v>1588</v>
      </c>
      <c r="B1346" s="6">
        <v>149618</v>
      </c>
      <c r="C1346" s="6">
        <v>1</v>
      </c>
      <c r="D1346" s="6">
        <v>1</v>
      </c>
      <c r="E1346" s="6">
        <v>54</v>
      </c>
      <c r="F1346" s="5" t="s">
        <v>8</v>
      </c>
      <c r="G1346" s="5" t="s">
        <v>12</v>
      </c>
      <c r="H1346" s="3">
        <v>43531</v>
      </c>
      <c r="I1346" s="5" t="s">
        <v>439</v>
      </c>
      <c r="J1346" s="5">
        <f>_xlfn.XLOOKUP(CustomerCombined[[#This Row],[ID]], Table4[ID], Table4[Recency], "Not Found", 0)</f>
        <v>77</v>
      </c>
      <c r="K1346" s="5">
        <f>_xlfn.XLOOKUP(CustomerCombined[[#This Row],[ID]], Table4[ID], Table4[Teas], "Not Found", 0)</f>
        <v>241</v>
      </c>
      <c r="L1346" s="5">
        <f>_xlfn.XLOOKUP(CustomerCombined[[#This Row],[ID]], Table4[ID], Table4[Fruits], "Not Found", 0)</f>
        <v>9</v>
      </c>
      <c r="M1346" s="5">
        <f>_xlfn.XLOOKUP(CustomerCombined[[#This Row],[ID]], Table4[ID], Table4[Meats], "Not Found", 0)</f>
        <v>78</v>
      </c>
      <c r="N1346" s="5">
        <f>_xlfn.XLOOKUP(CustomerCombined[[#This Row],[ID]], Table4[ID], Table4[Seafood], "Not Found", 0)</f>
        <v>12</v>
      </c>
      <c r="O1346" s="5">
        <f>_xlfn.XLOOKUP(CustomerCombined[[#This Row],[ID]], Table4[ID], Table4[Sweets], "Not Found", 0)</f>
        <v>6</v>
      </c>
      <c r="P1346" s="5">
        <f>_xlfn.XLOOKUP(CustomerCombined[[#This Row],[ID]], Table4[ID], Table4[Premium], "Not Found", 0)</f>
        <v>42</v>
      </c>
      <c r="Q1346" s="5">
        <f>_xlfn.XLOOKUP(CustomerCombined[[#This Row],[ID]], Table4[ID], Table4[Regular], "Not Found", 0)</f>
        <v>305</v>
      </c>
      <c r="R1346" s="5">
        <f>_xlfn.XLOOKUP(CustomerCombined[[#This Row],[ID]], Table4[ID], Table4[Deals], "Not Found", 0)</f>
        <v>4</v>
      </c>
      <c r="S1346" s="5">
        <f>_xlfn.XLOOKUP(CustomerCombined[[#This Row],[ID]], Table4[ID], Table4[Website], "Not Found", 0)</f>
        <v>3</v>
      </c>
      <c r="T1346" s="5">
        <f>_xlfn.XLOOKUP(CustomerCombined[[#This Row],[ID]], Table4[ID], Table4[Catalog], "Not Found", 0)</f>
        <v>1</v>
      </c>
      <c r="U1346" s="5">
        <f>_xlfn.XLOOKUP(CustomerCombined[[#This Row],[ID]], Table4[ID], Table4[Store], "Not Found", 0)</f>
        <v>3</v>
      </c>
      <c r="V1346" s="5">
        <f>_xlfn.XLOOKUP(CustomerCombined[[#This Row],[ID]], Table4[ID], Table4[Visits], "Not Found", 0)</f>
        <v>7</v>
      </c>
      <c r="W1346" s="8">
        <f>_xlfn.XLOOKUP(CustomerCombined[[#This Row],[ID]], Table2[ID],Table2[Complaint], "Not Found", 0 )</f>
        <v>0</v>
      </c>
      <c r="X1346" s="8">
        <f>_xlfn.XLOOKUP(CustomerCombined[[#This Row],[ID]], Table2[ID],Table2[Pilot], "Not Found", 0 )</f>
        <v>0</v>
      </c>
      <c r="Y1346" s="8">
        <f>_xlfn.XLOOKUP(CustomerCombined[[#This Row],[ID]], Table2[ID],Table2[MC1], "Not Found", 0 )</f>
        <v>0</v>
      </c>
      <c r="Z1346" s="8">
        <f>_xlfn.XLOOKUP(CustomerCombined[[#This Row],[ID]], Table2[ID],Table2[MC2], "Not Found", 0 )</f>
        <v>0</v>
      </c>
      <c r="AA1346" s="8">
        <f>_xlfn.XLOOKUP(CustomerCombined[[#This Row],[ID]], Table2[ID],Table2[MC3], "Not Found", 0 )</f>
        <v>0</v>
      </c>
      <c r="AB1346" s="8">
        <f>_xlfn.XLOOKUP(CustomerCombined[[#This Row],[ID]], Table2[ID],Table2[MC4], "Not Found", 0 )</f>
        <v>0</v>
      </c>
      <c r="AC1346" s="8">
        <f>_xlfn.XLOOKUP(CustomerCombined[[#This Row],[ID]], Table2[ID],Table2[MC5], "Not Found", 0 )</f>
        <v>0</v>
      </c>
    </row>
    <row r="1347" spans="1:29" x14ac:dyDescent="0.3">
      <c r="A1347" s="6">
        <v>1139</v>
      </c>
      <c r="B1347" s="6">
        <v>149605</v>
      </c>
      <c r="C1347" s="6">
        <v>0</v>
      </c>
      <c r="D1347" s="6">
        <v>0</v>
      </c>
      <c r="E1347" s="6">
        <v>54</v>
      </c>
      <c r="F1347" s="5" t="s">
        <v>6</v>
      </c>
      <c r="G1347" s="5" t="s">
        <v>12</v>
      </c>
      <c r="H1347" s="3" t="s">
        <v>28</v>
      </c>
      <c r="I1347" s="5" t="s">
        <v>434</v>
      </c>
      <c r="J1347" s="5">
        <f>_xlfn.XLOOKUP(CustomerCombined[[#This Row],[ID]], Table4[ID], Table4[Recency], "Not Found", 0)</f>
        <v>65</v>
      </c>
      <c r="K1347" s="5">
        <f>_xlfn.XLOOKUP(CustomerCombined[[#This Row],[ID]], Table4[ID], Table4[Teas], "Not Found", 0)</f>
        <v>127</v>
      </c>
      <c r="L1347" s="5">
        <f>_xlfn.XLOOKUP(CustomerCombined[[#This Row],[ID]], Table4[ID], Table4[Fruits], "Not Found", 0)</f>
        <v>48</v>
      </c>
      <c r="M1347" s="5">
        <f>_xlfn.XLOOKUP(CustomerCombined[[#This Row],[ID]], Table4[ID], Table4[Meats], "Not Found", 0)</f>
        <v>87</v>
      </c>
      <c r="N1347" s="5">
        <f>_xlfn.XLOOKUP(CustomerCombined[[#This Row],[ID]], Table4[ID], Table4[Seafood], "Not Found", 0)</f>
        <v>36</v>
      </c>
      <c r="O1347" s="5">
        <f>_xlfn.XLOOKUP(CustomerCombined[[#This Row],[ID]], Table4[ID], Table4[Sweets], "Not Found", 0)</f>
        <v>60</v>
      </c>
      <c r="P1347" s="5">
        <f>_xlfn.XLOOKUP(CustomerCombined[[#This Row],[ID]], Table4[ID], Table4[Premium], "Not Found", 0)</f>
        <v>24</v>
      </c>
      <c r="Q1347" s="5">
        <f>_xlfn.XLOOKUP(CustomerCombined[[#This Row],[ID]], Table4[ID], Table4[Regular], "Not Found", 0)</f>
        <v>335</v>
      </c>
      <c r="R1347" s="5">
        <f>_xlfn.XLOOKUP(CustomerCombined[[#This Row],[ID]], Table4[ID], Table4[Deals], "Not Found", 0)</f>
        <v>1</v>
      </c>
      <c r="S1347" s="5">
        <f>_xlfn.XLOOKUP(CustomerCombined[[#This Row],[ID]], Table4[ID], Table4[Website], "Not Found", 0)</f>
        <v>2</v>
      </c>
      <c r="T1347" s="5">
        <f>_xlfn.XLOOKUP(CustomerCombined[[#This Row],[ID]], Table4[ID], Table4[Catalog], "Not Found", 0)</f>
        <v>1</v>
      </c>
      <c r="U1347" s="5">
        <f>_xlfn.XLOOKUP(CustomerCombined[[#This Row],[ID]], Table4[ID], Table4[Store], "Not Found", 0)</f>
        <v>4</v>
      </c>
      <c r="V1347" s="5">
        <f>_xlfn.XLOOKUP(CustomerCombined[[#This Row],[ID]], Table4[ID], Table4[Visits], "Not Found", 0)</f>
        <v>3</v>
      </c>
      <c r="W1347" s="8">
        <f>_xlfn.XLOOKUP(CustomerCombined[[#This Row],[ID]], Table2[ID],Table2[Complaint], "Not Found", 0 )</f>
        <v>0</v>
      </c>
      <c r="X1347" s="8">
        <f>_xlfn.XLOOKUP(CustomerCombined[[#This Row],[ID]], Table2[ID],Table2[Pilot], "Not Found", 0 )</f>
        <v>0</v>
      </c>
      <c r="Y1347" s="8">
        <f>_xlfn.XLOOKUP(CustomerCombined[[#This Row],[ID]], Table2[ID],Table2[MC1], "Not Found", 0 )</f>
        <v>0</v>
      </c>
      <c r="Z1347" s="8">
        <f>_xlfn.XLOOKUP(CustomerCombined[[#This Row],[ID]], Table2[ID],Table2[MC2], "Not Found", 0 )</f>
        <v>0</v>
      </c>
      <c r="AA1347" s="8">
        <f>_xlfn.XLOOKUP(CustomerCombined[[#This Row],[ID]], Table2[ID],Table2[MC3], "Not Found", 0 )</f>
        <v>0</v>
      </c>
      <c r="AB1347" s="8">
        <f>_xlfn.XLOOKUP(CustomerCombined[[#This Row],[ID]], Table2[ID],Table2[MC4], "Not Found", 0 )</f>
        <v>0</v>
      </c>
      <c r="AC1347" s="8">
        <f>_xlfn.XLOOKUP(CustomerCombined[[#This Row],[ID]], Table2[ID],Table2[MC5], "Not Found", 0 )</f>
        <v>0</v>
      </c>
    </row>
    <row r="1348" spans="1:29" x14ac:dyDescent="0.3">
      <c r="A1348" s="6">
        <v>2939</v>
      </c>
      <c r="B1348" s="6">
        <v>148877</v>
      </c>
      <c r="C1348" s="6">
        <v>0</v>
      </c>
      <c r="D1348" s="6">
        <v>1</v>
      </c>
      <c r="E1348" s="6">
        <v>54</v>
      </c>
      <c r="F1348" s="5" t="s">
        <v>5</v>
      </c>
      <c r="G1348" s="5" t="s">
        <v>11</v>
      </c>
      <c r="H1348" s="3">
        <v>44141</v>
      </c>
      <c r="I1348" s="5" t="s">
        <v>434</v>
      </c>
      <c r="J1348" s="5">
        <f>_xlfn.XLOOKUP(CustomerCombined[[#This Row],[ID]], Table4[ID], Table4[Recency], "Not Found", 0)</f>
        <v>27</v>
      </c>
      <c r="K1348" s="5">
        <f>_xlfn.XLOOKUP(CustomerCombined[[#This Row],[ID]], Table4[ID], Table4[Teas], "Not Found", 0)</f>
        <v>311</v>
      </c>
      <c r="L1348" s="5">
        <f>_xlfn.XLOOKUP(CustomerCombined[[#This Row],[ID]], Table4[ID], Table4[Fruits], "Not Found", 0)</f>
        <v>3</v>
      </c>
      <c r="M1348" s="5">
        <f>_xlfn.XLOOKUP(CustomerCombined[[#This Row],[ID]], Table4[ID], Table4[Meats], "Not Found", 0)</f>
        <v>46</v>
      </c>
      <c r="N1348" s="5">
        <f>_xlfn.XLOOKUP(CustomerCombined[[#This Row],[ID]], Table4[ID], Table4[Seafood], "Not Found", 0)</f>
        <v>6</v>
      </c>
      <c r="O1348" s="5">
        <f>_xlfn.XLOOKUP(CustomerCombined[[#This Row],[ID]], Table4[ID], Table4[Sweets], "Not Found", 0)</f>
        <v>0</v>
      </c>
      <c r="P1348" s="5">
        <f>_xlfn.XLOOKUP(CustomerCombined[[#This Row],[ID]], Table4[ID], Table4[Premium], "Not Found", 0)</f>
        <v>73</v>
      </c>
      <c r="Q1348" s="5">
        <f>_xlfn.XLOOKUP(CustomerCombined[[#This Row],[ID]], Table4[ID], Table4[Regular], "Not Found", 0)</f>
        <v>292</v>
      </c>
      <c r="R1348" s="5">
        <f>_xlfn.XLOOKUP(CustomerCombined[[#This Row],[ID]], Table4[ID], Table4[Deals], "Not Found", 0)</f>
        <v>1</v>
      </c>
      <c r="S1348" s="5">
        <f>_xlfn.XLOOKUP(CustomerCombined[[#This Row],[ID]], Table4[ID], Table4[Website], "Not Found", 0)</f>
        <v>3</v>
      </c>
      <c r="T1348" s="5">
        <f>_xlfn.XLOOKUP(CustomerCombined[[#This Row],[ID]], Table4[ID], Table4[Catalog], "Not Found", 0)</f>
        <v>0</v>
      </c>
      <c r="U1348" s="5">
        <f>_xlfn.XLOOKUP(CustomerCombined[[#This Row],[ID]], Table4[ID], Table4[Store], "Not Found", 0)</f>
        <v>4</v>
      </c>
      <c r="V1348" s="5">
        <f>_xlfn.XLOOKUP(CustomerCombined[[#This Row],[ID]], Table4[ID], Table4[Visits], "Not Found", 0)</f>
        <v>7</v>
      </c>
      <c r="W1348" s="8">
        <f>_xlfn.XLOOKUP(CustomerCombined[[#This Row],[ID]], Table2[ID],Table2[Complaint], "Not Found", 0 )</f>
        <v>0</v>
      </c>
      <c r="X1348" s="8">
        <f>_xlfn.XLOOKUP(CustomerCombined[[#This Row],[ID]], Table2[ID],Table2[Pilot], "Not Found", 0 )</f>
        <v>0</v>
      </c>
      <c r="Y1348" s="8">
        <f>_xlfn.XLOOKUP(CustomerCombined[[#This Row],[ID]], Table2[ID],Table2[MC1], "Not Found", 0 )</f>
        <v>0</v>
      </c>
      <c r="Z1348" s="8">
        <f>_xlfn.XLOOKUP(CustomerCombined[[#This Row],[ID]], Table2[ID],Table2[MC2], "Not Found", 0 )</f>
        <v>0</v>
      </c>
      <c r="AA1348" s="8">
        <f>_xlfn.XLOOKUP(CustomerCombined[[#This Row],[ID]], Table2[ID],Table2[MC3], "Not Found", 0 )</f>
        <v>0</v>
      </c>
      <c r="AB1348" s="8">
        <f>_xlfn.XLOOKUP(CustomerCombined[[#This Row],[ID]], Table2[ID],Table2[MC4], "Not Found", 0 )</f>
        <v>0</v>
      </c>
      <c r="AC1348" s="8">
        <f>_xlfn.XLOOKUP(CustomerCombined[[#This Row],[ID]], Table2[ID],Table2[MC5], "Not Found", 0 )</f>
        <v>0</v>
      </c>
    </row>
    <row r="1349" spans="1:29" x14ac:dyDescent="0.3">
      <c r="A1349" s="6">
        <v>1562</v>
      </c>
      <c r="B1349" s="6">
        <v>147472</v>
      </c>
      <c r="C1349" s="6">
        <v>1</v>
      </c>
      <c r="D1349" s="6">
        <v>1</v>
      </c>
      <c r="E1349" s="6">
        <v>54</v>
      </c>
      <c r="F1349" s="5" t="s">
        <v>8</v>
      </c>
      <c r="G1349" s="5" t="s">
        <v>13</v>
      </c>
      <c r="H1349" s="3" t="s">
        <v>183</v>
      </c>
      <c r="I1349" s="5" t="s">
        <v>438</v>
      </c>
      <c r="J1349" s="5">
        <f>_xlfn.XLOOKUP(CustomerCombined[[#This Row],[ID]], Table4[ID], Table4[Recency], "Not Found", 0)</f>
        <v>39</v>
      </c>
      <c r="K1349" s="5">
        <f>_xlfn.XLOOKUP(CustomerCombined[[#This Row],[ID]], Table4[ID], Table4[Teas], "Not Found", 0)</f>
        <v>174</v>
      </c>
      <c r="L1349" s="5">
        <f>_xlfn.XLOOKUP(CustomerCombined[[#This Row],[ID]], Table4[ID], Table4[Fruits], "Not Found", 0)</f>
        <v>0</v>
      </c>
      <c r="M1349" s="5">
        <f>_xlfn.XLOOKUP(CustomerCombined[[#This Row],[ID]], Table4[ID], Table4[Meats], "Not Found", 0)</f>
        <v>34</v>
      </c>
      <c r="N1349" s="5">
        <f>_xlfn.XLOOKUP(CustomerCombined[[#This Row],[ID]], Table4[ID], Table4[Seafood], "Not Found", 0)</f>
        <v>0</v>
      </c>
      <c r="O1349" s="5">
        <f>_xlfn.XLOOKUP(CustomerCombined[[#This Row],[ID]], Table4[ID], Table4[Sweets], "Not Found", 0)</f>
        <v>0</v>
      </c>
      <c r="P1349" s="5">
        <f>_xlfn.XLOOKUP(CustomerCombined[[#This Row],[ID]], Table4[ID], Table4[Premium], "Not Found", 0)</f>
        <v>25</v>
      </c>
      <c r="Q1349" s="5">
        <f>_xlfn.XLOOKUP(CustomerCombined[[#This Row],[ID]], Table4[ID], Table4[Regular], "Not Found", 0)</f>
        <v>183</v>
      </c>
      <c r="R1349" s="5">
        <f>_xlfn.XLOOKUP(CustomerCombined[[#This Row],[ID]], Table4[ID], Table4[Deals], "Not Found", 0)</f>
        <v>2</v>
      </c>
      <c r="S1349" s="5">
        <f>_xlfn.XLOOKUP(CustomerCombined[[#This Row],[ID]], Table4[ID], Table4[Website], "Not Found", 0)</f>
        <v>2</v>
      </c>
      <c r="T1349" s="5">
        <f>_xlfn.XLOOKUP(CustomerCombined[[#This Row],[ID]], Table4[ID], Table4[Catalog], "Not Found", 0)</f>
        <v>0</v>
      </c>
      <c r="U1349" s="5">
        <f>_xlfn.XLOOKUP(CustomerCombined[[#This Row],[ID]], Table4[ID], Table4[Store], "Not Found", 0)</f>
        <v>4</v>
      </c>
      <c r="V1349" s="5">
        <f>_xlfn.XLOOKUP(CustomerCombined[[#This Row],[ID]], Table4[ID], Table4[Visits], "Not Found", 0)</f>
        <v>5</v>
      </c>
      <c r="W1349" s="8">
        <f>_xlfn.XLOOKUP(CustomerCombined[[#This Row],[ID]], Table2[ID],Table2[Complaint], "Not Found", 0 )</f>
        <v>0</v>
      </c>
      <c r="X1349" s="8">
        <f>_xlfn.XLOOKUP(CustomerCombined[[#This Row],[ID]], Table2[ID],Table2[Pilot], "Not Found", 0 )</f>
        <v>0</v>
      </c>
      <c r="Y1349" s="8">
        <f>_xlfn.XLOOKUP(CustomerCombined[[#This Row],[ID]], Table2[ID],Table2[MC1], "Not Found", 0 )</f>
        <v>0</v>
      </c>
      <c r="Z1349" s="8">
        <f>_xlfn.XLOOKUP(CustomerCombined[[#This Row],[ID]], Table2[ID],Table2[MC2], "Not Found", 0 )</f>
        <v>0</v>
      </c>
      <c r="AA1349" s="8">
        <f>_xlfn.XLOOKUP(CustomerCombined[[#This Row],[ID]], Table2[ID],Table2[MC3], "Not Found", 0 )</f>
        <v>0</v>
      </c>
      <c r="AB1349" s="8">
        <f>_xlfn.XLOOKUP(CustomerCombined[[#This Row],[ID]], Table2[ID],Table2[MC4], "Not Found", 0 )</f>
        <v>0</v>
      </c>
      <c r="AC1349" s="8">
        <f>_xlfn.XLOOKUP(CustomerCombined[[#This Row],[ID]], Table2[ID],Table2[MC5], "Not Found", 0 )</f>
        <v>0</v>
      </c>
    </row>
    <row r="1350" spans="1:29" x14ac:dyDescent="0.3">
      <c r="A1350" s="6">
        <v>1641</v>
      </c>
      <c r="B1350" s="6">
        <v>146734</v>
      </c>
      <c r="C1350" s="6">
        <v>1</v>
      </c>
      <c r="D1350" s="6">
        <v>2</v>
      </c>
      <c r="E1350" s="6">
        <v>54</v>
      </c>
      <c r="F1350" s="5" t="s">
        <v>7</v>
      </c>
      <c r="G1350" s="5" t="s">
        <v>13</v>
      </c>
      <c r="H1350" s="3" t="s">
        <v>161</v>
      </c>
      <c r="I1350" s="5" t="s">
        <v>435</v>
      </c>
      <c r="J1350" s="5">
        <f>_xlfn.XLOOKUP(CustomerCombined[[#This Row],[ID]], Table4[ID], Table4[Recency], "Not Found", 0)</f>
        <v>86</v>
      </c>
      <c r="K1350" s="5">
        <f>_xlfn.XLOOKUP(CustomerCombined[[#This Row],[ID]], Table4[ID], Table4[Teas], "Not Found", 0)</f>
        <v>314</v>
      </c>
      <c r="L1350" s="5">
        <f>_xlfn.XLOOKUP(CustomerCombined[[#This Row],[ID]], Table4[ID], Table4[Fruits], "Not Found", 0)</f>
        <v>3</v>
      </c>
      <c r="M1350" s="5">
        <f>_xlfn.XLOOKUP(CustomerCombined[[#This Row],[ID]], Table4[ID], Table4[Meats], "Not Found", 0)</f>
        <v>122</v>
      </c>
      <c r="N1350" s="5">
        <f>_xlfn.XLOOKUP(CustomerCombined[[#This Row],[ID]], Table4[ID], Table4[Seafood], "Not Found", 0)</f>
        <v>19</v>
      </c>
      <c r="O1350" s="5">
        <f>_xlfn.XLOOKUP(CustomerCombined[[#This Row],[ID]], Table4[ID], Table4[Sweets], "Not Found", 0)</f>
        <v>3</v>
      </c>
      <c r="P1350" s="5">
        <f>_xlfn.XLOOKUP(CustomerCombined[[#This Row],[ID]], Table4[ID], Table4[Premium], "Not Found", 0)</f>
        <v>239</v>
      </c>
      <c r="Q1350" s="5">
        <f>_xlfn.XLOOKUP(CustomerCombined[[#This Row],[ID]], Table4[ID], Table4[Regular], "Not Found", 0)</f>
        <v>223</v>
      </c>
      <c r="R1350" s="5">
        <f>_xlfn.XLOOKUP(CustomerCombined[[#This Row],[ID]], Table4[ID], Table4[Deals], "Not Found", 0)</f>
        <v>4</v>
      </c>
      <c r="S1350" s="5">
        <f>_xlfn.XLOOKUP(CustomerCombined[[#This Row],[ID]], Table4[ID], Table4[Website], "Not Found", 0)</f>
        <v>3</v>
      </c>
      <c r="T1350" s="5">
        <f>_xlfn.XLOOKUP(CustomerCombined[[#This Row],[ID]], Table4[ID], Table4[Catalog], "Not Found", 0)</f>
        <v>2</v>
      </c>
      <c r="U1350" s="5">
        <f>_xlfn.XLOOKUP(CustomerCombined[[#This Row],[ID]], Table4[ID], Table4[Store], "Not Found", 0)</f>
        <v>3</v>
      </c>
      <c r="V1350" s="5">
        <f>_xlfn.XLOOKUP(CustomerCombined[[#This Row],[ID]], Table4[ID], Table4[Visits], "Not Found", 0)</f>
        <v>6</v>
      </c>
      <c r="W1350" s="8">
        <f>_xlfn.XLOOKUP(CustomerCombined[[#This Row],[ID]], Table2[ID],Table2[Complaint], "Not Found", 0 )</f>
        <v>0</v>
      </c>
      <c r="X1350" s="8">
        <f>_xlfn.XLOOKUP(CustomerCombined[[#This Row],[ID]], Table2[ID],Table2[Pilot], "Not Found", 0 )</f>
        <v>0</v>
      </c>
      <c r="Y1350" s="8">
        <f>_xlfn.XLOOKUP(CustomerCombined[[#This Row],[ID]], Table2[ID],Table2[MC1], "Not Found", 0 )</f>
        <v>0</v>
      </c>
      <c r="Z1350" s="8">
        <f>_xlfn.XLOOKUP(CustomerCombined[[#This Row],[ID]], Table2[ID],Table2[MC2], "Not Found", 0 )</f>
        <v>0</v>
      </c>
      <c r="AA1350" s="8">
        <f>_xlfn.XLOOKUP(CustomerCombined[[#This Row],[ID]], Table2[ID],Table2[MC3], "Not Found", 0 )</f>
        <v>1</v>
      </c>
      <c r="AB1350" s="8">
        <f>_xlfn.XLOOKUP(CustomerCombined[[#This Row],[ID]], Table2[ID],Table2[MC4], "Not Found", 0 )</f>
        <v>0</v>
      </c>
      <c r="AC1350" s="8">
        <f>_xlfn.XLOOKUP(CustomerCombined[[#This Row],[ID]], Table2[ID],Table2[MC5], "Not Found", 0 )</f>
        <v>0</v>
      </c>
    </row>
    <row r="1351" spans="1:29" x14ac:dyDescent="0.3">
      <c r="A1351" s="6">
        <v>2559</v>
      </c>
      <c r="B1351" s="6">
        <v>145903</v>
      </c>
      <c r="C1351" s="6">
        <v>0</v>
      </c>
      <c r="D1351" s="6">
        <v>1</v>
      </c>
      <c r="E1351" s="6">
        <v>54</v>
      </c>
      <c r="F1351" s="5" t="s">
        <v>8</v>
      </c>
      <c r="G1351" s="5" t="s">
        <v>12</v>
      </c>
      <c r="H1351" s="3" t="s">
        <v>59</v>
      </c>
      <c r="I1351" s="5" t="s">
        <v>435</v>
      </c>
      <c r="J1351" s="5">
        <f>_xlfn.XLOOKUP(CustomerCombined[[#This Row],[ID]], Table4[ID], Table4[Recency], "Not Found", 0)</f>
        <v>80</v>
      </c>
      <c r="K1351" s="5">
        <f>_xlfn.XLOOKUP(CustomerCombined[[#This Row],[ID]], Table4[ID], Table4[Teas], "Not Found", 0)</f>
        <v>105</v>
      </c>
      <c r="L1351" s="5">
        <f>_xlfn.XLOOKUP(CustomerCombined[[#This Row],[ID]], Table4[ID], Table4[Fruits], "Not Found", 0)</f>
        <v>25</v>
      </c>
      <c r="M1351" s="5">
        <f>_xlfn.XLOOKUP(CustomerCombined[[#This Row],[ID]], Table4[ID], Table4[Meats], "Not Found", 0)</f>
        <v>32</v>
      </c>
      <c r="N1351" s="5">
        <f>_xlfn.XLOOKUP(CustomerCombined[[#This Row],[ID]], Table4[ID], Table4[Seafood], "Not Found", 0)</f>
        <v>6</v>
      </c>
      <c r="O1351" s="5">
        <f>_xlfn.XLOOKUP(CustomerCombined[[#This Row],[ID]], Table4[ID], Table4[Sweets], "Not Found", 0)</f>
        <v>32</v>
      </c>
      <c r="P1351" s="5">
        <f>_xlfn.XLOOKUP(CustomerCombined[[#This Row],[ID]], Table4[ID], Table4[Premium], "Not Found", 0)</f>
        <v>10</v>
      </c>
      <c r="Q1351" s="5">
        <f>_xlfn.XLOOKUP(CustomerCombined[[#This Row],[ID]], Table4[ID], Table4[Regular], "Not Found", 0)</f>
        <v>191</v>
      </c>
      <c r="R1351" s="5">
        <f>_xlfn.XLOOKUP(CustomerCombined[[#This Row],[ID]], Table4[ID], Table4[Deals], "Not Found", 0)</f>
        <v>2</v>
      </c>
      <c r="S1351" s="5">
        <f>_xlfn.XLOOKUP(CustomerCombined[[#This Row],[ID]], Table4[ID], Table4[Website], "Not Found", 0)</f>
        <v>2</v>
      </c>
      <c r="T1351" s="5">
        <f>_xlfn.XLOOKUP(CustomerCombined[[#This Row],[ID]], Table4[ID], Table4[Catalog], "Not Found", 0)</f>
        <v>1</v>
      </c>
      <c r="U1351" s="5">
        <f>_xlfn.XLOOKUP(CustomerCombined[[#This Row],[ID]], Table4[ID], Table4[Store], "Not Found", 0)</f>
        <v>3</v>
      </c>
      <c r="V1351" s="5">
        <f>_xlfn.XLOOKUP(CustomerCombined[[#This Row],[ID]], Table4[ID], Table4[Visits], "Not Found", 0)</f>
        <v>4</v>
      </c>
      <c r="W1351" s="8">
        <f>_xlfn.XLOOKUP(CustomerCombined[[#This Row],[ID]], Table2[ID],Table2[Complaint], "Not Found", 0 )</f>
        <v>0</v>
      </c>
      <c r="X1351" s="8">
        <f>_xlfn.XLOOKUP(CustomerCombined[[#This Row],[ID]], Table2[ID],Table2[Pilot], "Not Found", 0 )</f>
        <v>0</v>
      </c>
      <c r="Y1351" s="8">
        <f>_xlfn.XLOOKUP(CustomerCombined[[#This Row],[ID]], Table2[ID],Table2[MC1], "Not Found", 0 )</f>
        <v>0</v>
      </c>
      <c r="Z1351" s="8">
        <f>_xlfn.XLOOKUP(CustomerCombined[[#This Row],[ID]], Table2[ID],Table2[MC2], "Not Found", 0 )</f>
        <v>0</v>
      </c>
      <c r="AA1351" s="8">
        <f>_xlfn.XLOOKUP(CustomerCombined[[#This Row],[ID]], Table2[ID],Table2[MC3], "Not Found", 0 )</f>
        <v>0</v>
      </c>
      <c r="AB1351" s="8">
        <f>_xlfn.XLOOKUP(CustomerCombined[[#This Row],[ID]], Table2[ID],Table2[MC4], "Not Found", 0 )</f>
        <v>0</v>
      </c>
      <c r="AC1351" s="8">
        <f>_xlfn.XLOOKUP(CustomerCombined[[#This Row],[ID]], Table2[ID],Table2[MC5], "Not Found", 0 )</f>
        <v>0</v>
      </c>
    </row>
    <row r="1352" spans="1:29" x14ac:dyDescent="0.3">
      <c r="A1352" s="6">
        <v>1196</v>
      </c>
      <c r="B1352" s="6">
        <v>144794</v>
      </c>
      <c r="C1352" s="6">
        <v>0</v>
      </c>
      <c r="D1352" s="6">
        <v>1</v>
      </c>
      <c r="E1352" s="6">
        <v>54</v>
      </c>
      <c r="F1352" s="5" t="s">
        <v>6</v>
      </c>
      <c r="G1352" s="5" t="s">
        <v>11</v>
      </c>
      <c r="H1352" s="3">
        <v>44176</v>
      </c>
      <c r="I1352" s="5" t="s">
        <v>438</v>
      </c>
      <c r="J1352" s="5">
        <f>_xlfn.XLOOKUP(CustomerCombined[[#This Row],[ID]], Table4[ID], Table4[Recency], "Not Found", 0)</f>
        <v>99</v>
      </c>
      <c r="K1352" s="5">
        <f>_xlfn.XLOOKUP(CustomerCombined[[#This Row],[ID]], Table4[ID], Table4[Teas], "Not Found", 0)</f>
        <v>175</v>
      </c>
      <c r="L1352" s="5">
        <f>_xlfn.XLOOKUP(CustomerCombined[[#This Row],[ID]], Table4[ID], Table4[Fruits], "Not Found", 0)</f>
        <v>0</v>
      </c>
      <c r="M1352" s="5">
        <f>_xlfn.XLOOKUP(CustomerCombined[[#This Row],[ID]], Table4[ID], Table4[Meats], "Not Found", 0)</f>
        <v>23</v>
      </c>
      <c r="N1352" s="5">
        <f>_xlfn.XLOOKUP(CustomerCombined[[#This Row],[ID]], Table4[ID], Table4[Seafood], "Not Found", 0)</f>
        <v>0</v>
      </c>
      <c r="O1352" s="5">
        <f>_xlfn.XLOOKUP(CustomerCombined[[#This Row],[ID]], Table4[ID], Table4[Sweets], "Not Found", 0)</f>
        <v>0</v>
      </c>
      <c r="P1352" s="5">
        <f>_xlfn.XLOOKUP(CustomerCombined[[#This Row],[ID]], Table4[ID], Table4[Premium], "Not Found", 0)</f>
        <v>13</v>
      </c>
      <c r="Q1352" s="5">
        <f>_xlfn.XLOOKUP(CustomerCombined[[#This Row],[ID]], Table4[ID], Table4[Regular], "Not Found", 0)</f>
        <v>184</v>
      </c>
      <c r="R1352" s="5">
        <f>_xlfn.XLOOKUP(CustomerCombined[[#This Row],[ID]], Table4[ID], Table4[Deals], "Not Found", 0)</f>
        <v>1</v>
      </c>
      <c r="S1352" s="5">
        <f>_xlfn.XLOOKUP(CustomerCombined[[#This Row],[ID]], Table4[ID], Table4[Website], "Not Found", 0)</f>
        <v>2</v>
      </c>
      <c r="T1352" s="5">
        <f>_xlfn.XLOOKUP(CustomerCombined[[#This Row],[ID]], Table4[ID], Table4[Catalog], "Not Found", 0)</f>
        <v>0</v>
      </c>
      <c r="U1352" s="5">
        <f>_xlfn.XLOOKUP(CustomerCombined[[#This Row],[ID]], Table4[ID], Table4[Store], "Not Found", 0)</f>
        <v>3</v>
      </c>
      <c r="V1352" s="5">
        <f>_xlfn.XLOOKUP(CustomerCombined[[#This Row],[ID]], Table4[ID], Table4[Visits], "Not Found", 0)</f>
        <v>6</v>
      </c>
      <c r="W1352" s="8">
        <f>_xlfn.XLOOKUP(CustomerCombined[[#This Row],[ID]], Table2[ID],Table2[Complaint], "Not Found", 0 )</f>
        <v>0</v>
      </c>
      <c r="X1352" s="8">
        <f>_xlfn.XLOOKUP(CustomerCombined[[#This Row],[ID]], Table2[ID],Table2[Pilot], "Not Found", 0 )</f>
        <v>0</v>
      </c>
      <c r="Y1352" s="8">
        <f>_xlfn.XLOOKUP(CustomerCombined[[#This Row],[ID]], Table2[ID],Table2[MC1], "Not Found", 0 )</f>
        <v>0</v>
      </c>
      <c r="Z1352" s="8">
        <f>_xlfn.XLOOKUP(CustomerCombined[[#This Row],[ID]], Table2[ID],Table2[MC2], "Not Found", 0 )</f>
        <v>0</v>
      </c>
      <c r="AA1352" s="8">
        <f>_xlfn.XLOOKUP(CustomerCombined[[#This Row],[ID]], Table2[ID],Table2[MC3], "Not Found", 0 )</f>
        <v>0</v>
      </c>
      <c r="AB1352" s="8">
        <f>_xlfn.XLOOKUP(CustomerCombined[[#This Row],[ID]], Table2[ID],Table2[MC4], "Not Found", 0 )</f>
        <v>0</v>
      </c>
      <c r="AC1352" s="8">
        <f>_xlfn.XLOOKUP(CustomerCombined[[#This Row],[ID]], Table2[ID],Table2[MC5], "Not Found", 0 )</f>
        <v>0</v>
      </c>
    </row>
    <row r="1353" spans="1:29" x14ac:dyDescent="0.3">
      <c r="A1353" s="6">
        <v>1706</v>
      </c>
      <c r="B1353" s="6">
        <v>144794</v>
      </c>
      <c r="C1353" s="6">
        <v>0</v>
      </c>
      <c r="D1353" s="6">
        <v>1</v>
      </c>
      <c r="E1353" s="6">
        <v>54</v>
      </c>
      <c r="F1353" s="5" t="s">
        <v>6</v>
      </c>
      <c r="G1353" s="5" t="s">
        <v>11</v>
      </c>
      <c r="H1353" s="3">
        <v>44176</v>
      </c>
      <c r="I1353" s="5" t="s">
        <v>438</v>
      </c>
      <c r="J1353" s="5">
        <f>_xlfn.XLOOKUP(CustomerCombined[[#This Row],[ID]], Table4[ID], Table4[Recency], "Not Found", 0)</f>
        <v>99</v>
      </c>
      <c r="K1353" s="5">
        <f>_xlfn.XLOOKUP(CustomerCombined[[#This Row],[ID]], Table4[ID], Table4[Teas], "Not Found", 0)</f>
        <v>175</v>
      </c>
      <c r="L1353" s="5">
        <f>_xlfn.XLOOKUP(CustomerCombined[[#This Row],[ID]], Table4[ID], Table4[Fruits], "Not Found", 0)</f>
        <v>0</v>
      </c>
      <c r="M1353" s="5">
        <f>_xlfn.XLOOKUP(CustomerCombined[[#This Row],[ID]], Table4[ID], Table4[Meats], "Not Found", 0)</f>
        <v>23</v>
      </c>
      <c r="N1353" s="5">
        <f>_xlfn.XLOOKUP(CustomerCombined[[#This Row],[ID]], Table4[ID], Table4[Seafood], "Not Found", 0)</f>
        <v>0</v>
      </c>
      <c r="O1353" s="5">
        <f>_xlfn.XLOOKUP(CustomerCombined[[#This Row],[ID]], Table4[ID], Table4[Sweets], "Not Found", 0)</f>
        <v>0</v>
      </c>
      <c r="P1353" s="5">
        <f>_xlfn.XLOOKUP(CustomerCombined[[#This Row],[ID]], Table4[ID], Table4[Premium], "Not Found", 0)</f>
        <v>13</v>
      </c>
      <c r="Q1353" s="5">
        <f>_xlfn.XLOOKUP(CustomerCombined[[#This Row],[ID]], Table4[ID], Table4[Regular], "Not Found", 0)</f>
        <v>184</v>
      </c>
      <c r="R1353" s="5">
        <f>_xlfn.XLOOKUP(CustomerCombined[[#This Row],[ID]], Table4[ID], Table4[Deals], "Not Found", 0)</f>
        <v>1</v>
      </c>
      <c r="S1353" s="5">
        <f>_xlfn.XLOOKUP(CustomerCombined[[#This Row],[ID]], Table4[ID], Table4[Website], "Not Found", 0)</f>
        <v>2</v>
      </c>
      <c r="T1353" s="5">
        <f>_xlfn.XLOOKUP(CustomerCombined[[#This Row],[ID]], Table4[ID], Table4[Catalog], "Not Found", 0)</f>
        <v>0</v>
      </c>
      <c r="U1353" s="5">
        <f>_xlfn.XLOOKUP(CustomerCombined[[#This Row],[ID]], Table4[ID], Table4[Store], "Not Found", 0)</f>
        <v>3</v>
      </c>
      <c r="V1353" s="5">
        <f>_xlfn.XLOOKUP(CustomerCombined[[#This Row],[ID]], Table4[ID], Table4[Visits], "Not Found", 0)</f>
        <v>6</v>
      </c>
      <c r="W1353" s="8">
        <f>_xlfn.XLOOKUP(CustomerCombined[[#This Row],[ID]], Table2[ID],Table2[Complaint], "Not Found", 0 )</f>
        <v>0</v>
      </c>
      <c r="X1353" s="8">
        <f>_xlfn.XLOOKUP(CustomerCombined[[#This Row],[ID]], Table2[ID],Table2[Pilot], "Not Found", 0 )</f>
        <v>0</v>
      </c>
      <c r="Y1353" s="8">
        <f>_xlfn.XLOOKUP(CustomerCombined[[#This Row],[ID]], Table2[ID],Table2[MC1], "Not Found", 0 )</f>
        <v>0</v>
      </c>
      <c r="Z1353" s="8">
        <f>_xlfn.XLOOKUP(CustomerCombined[[#This Row],[ID]], Table2[ID],Table2[MC2], "Not Found", 0 )</f>
        <v>0</v>
      </c>
      <c r="AA1353" s="8">
        <f>_xlfn.XLOOKUP(CustomerCombined[[#This Row],[ID]], Table2[ID],Table2[MC3], "Not Found", 0 )</f>
        <v>0</v>
      </c>
      <c r="AB1353" s="8">
        <f>_xlfn.XLOOKUP(CustomerCombined[[#This Row],[ID]], Table2[ID],Table2[MC4], "Not Found", 0 )</f>
        <v>0</v>
      </c>
      <c r="AC1353" s="8">
        <f>_xlfn.XLOOKUP(CustomerCombined[[#This Row],[ID]], Table2[ID],Table2[MC5], "Not Found", 0 )</f>
        <v>0</v>
      </c>
    </row>
    <row r="1354" spans="1:29" x14ac:dyDescent="0.3">
      <c r="A1354" s="6">
        <v>2030</v>
      </c>
      <c r="B1354" s="6">
        <v>144529</v>
      </c>
      <c r="C1354" s="6">
        <v>0</v>
      </c>
      <c r="D1354" s="6">
        <v>1</v>
      </c>
      <c r="E1354" s="6">
        <v>54</v>
      </c>
      <c r="F1354" s="5" t="s">
        <v>6</v>
      </c>
      <c r="G1354" s="5" t="s">
        <v>11</v>
      </c>
      <c r="H1354" s="3">
        <v>43750</v>
      </c>
      <c r="I1354" s="5" t="s">
        <v>438</v>
      </c>
      <c r="J1354" s="5">
        <f>_xlfn.XLOOKUP(CustomerCombined[[#This Row],[ID]], Table4[ID], Table4[Recency], "Not Found", 0)</f>
        <v>98</v>
      </c>
      <c r="K1354" s="5">
        <f>_xlfn.XLOOKUP(CustomerCombined[[#This Row],[ID]], Table4[ID], Table4[Teas], "Not Found", 0)</f>
        <v>1746</v>
      </c>
      <c r="L1354" s="5">
        <f>_xlfn.XLOOKUP(CustomerCombined[[#This Row],[ID]], Table4[ID], Table4[Fruits], "Not Found", 0)</f>
        <v>42</v>
      </c>
      <c r="M1354" s="5">
        <f>_xlfn.XLOOKUP(CustomerCombined[[#This Row],[ID]], Table4[ID], Table4[Meats], "Not Found", 0)</f>
        <v>295</v>
      </c>
      <c r="N1354" s="5">
        <f>_xlfn.XLOOKUP(CustomerCombined[[#This Row],[ID]], Table4[ID], Table4[Seafood], "Not Found", 0)</f>
        <v>55</v>
      </c>
      <c r="O1354" s="5">
        <f>_xlfn.XLOOKUP(CustomerCombined[[#This Row],[ID]], Table4[ID], Table4[Sweets], "Not Found", 0)</f>
        <v>19</v>
      </c>
      <c r="P1354" s="5">
        <f>_xlfn.XLOOKUP(CustomerCombined[[#This Row],[ID]], Table4[ID], Table4[Premium], "Not Found", 0)</f>
        <v>84</v>
      </c>
      <c r="Q1354" s="5">
        <f>_xlfn.XLOOKUP(CustomerCombined[[#This Row],[ID]], Table4[ID], Table4[Regular], "Not Found", 0)</f>
        <v>2074</v>
      </c>
      <c r="R1354" s="5">
        <f>_xlfn.XLOOKUP(CustomerCombined[[#This Row],[ID]], Table4[ID], Table4[Deals], "Not Found", 0)</f>
        <v>6</v>
      </c>
      <c r="S1354" s="5">
        <f>_xlfn.XLOOKUP(CustomerCombined[[#This Row],[ID]], Table4[ID], Table4[Website], "Not Found", 0)</f>
        <v>6</v>
      </c>
      <c r="T1354" s="5">
        <f>_xlfn.XLOOKUP(CustomerCombined[[#This Row],[ID]], Table4[ID], Table4[Catalog], "Not Found", 0)</f>
        <v>2</v>
      </c>
      <c r="U1354" s="5">
        <f>_xlfn.XLOOKUP(CustomerCombined[[#This Row],[ID]], Table4[ID], Table4[Store], "Not Found", 0)</f>
        <v>11</v>
      </c>
      <c r="V1354" s="5">
        <f>_xlfn.XLOOKUP(CustomerCombined[[#This Row],[ID]], Table4[ID], Table4[Visits], "Not Found", 0)</f>
        <v>5</v>
      </c>
      <c r="W1354" s="8">
        <f>_xlfn.XLOOKUP(CustomerCombined[[#This Row],[ID]], Table2[ID],Table2[Complaint], "Not Found", 0 )</f>
        <v>0</v>
      </c>
      <c r="X1354" s="8">
        <f>_xlfn.XLOOKUP(CustomerCombined[[#This Row],[ID]], Table2[ID],Table2[Pilot], "Not Found", 0 )</f>
        <v>0</v>
      </c>
      <c r="Y1354" s="8">
        <f>_xlfn.XLOOKUP(CustomerCombined[[#This Row],[ID]], Table2[ID],Table2[MC1], "Not Found", 0 )</f>
        <v>0</v>
      </c>
      <c r="Z1354" s="8">
        <f>_xlfn.XLOOKUP(CustomerCombined[[#This Row],[ID]], Table2[ID],Table2[MC2], "Not Found", 0 )</f>
        <v>0</v>
      </c>
      <c r="AA1354" s="8">
        <f>_xlfn.XLOOKUP(CustomerCombined[[#This Row],[ID]], Table2[ID],Table2[MC3], "Not Found", 0 )</f>
        <v>0</v>
      </c>
      <c r="AB1354" s="8">
        <f>_xlfn.XLOOKUP(CustomerCombined[[#This Row],[ID]], Table2[ID],Table2[MC4], "Not Found", 0 )</f>
        <v>1</v>
      </c>
      <c r="AC1354" s="8">
        <f>_xlfn.XLOOKUP(CustomerCombined[[#This Row],[ID]], Table2[ID],Table2[MC5], "Not Found", 0 )</f>
        <v>0</v>
      </c>
    </row>
    <row r="1355" spans="1:29" x14ac:dyDescent="0.3">
      <c r="A1355" s="6">
        <v>2638</v>
      </c>
      <c r="B1355" s="6">
        <v>143602</v>
      </c>
      <c r="C1355" s="6">
        <v>1</v>
      </c>
      <c r="D1355" s="6">
        <v>1</v>
      </c>
      <c r="E1355" s="6">
        <v>54</v>
      </c>
      <c r="F1355" s="5" t="s">
        <v>7</v>
      </c>
      <c r="G1355" s="5" t="s">
        <v>11</v>
      </c>
      <c r="H1355" s="3" t="s">
        <v>120</v>
      </c>
      <c r="I1355" s="5" t="s">
        <v>439</v>
      </c>
      <c r="J1355" s="5">
        <f>_xlfn.XLOOKUP(CustomerCombined[[#This Row],[ID]], Table4[ID], Table4[Recency], "Not Found", 0)</f>
        <v>45</v>
      </c>
      <c r="K1355" s="5">
        <f>_xlfn.XLOOKUP(CustomerCombined[[#This Row],[ID]], Table4[ID], Table4[Teas], "Not Found", 0)</f>
        <v>63</v>
      </c>
      <c r="L1355" s="5">
        <f>_xlfn.XLOOKUP(CustomerCombined[[#This Row],[ID]], Table4[ID], Table4[Fruits], "Not Found", 0)</f>
        <v>16</v>
      </c>
      <c r="M1355" s="5">
        <f>_xlfn.XLOOKUP(CustomerCombined[[#This Row],[ID]], Table4[ID], Table4[Meats], "Not Found", 0)</f>
        <v>40</v>
      </c>
      <c r="N1355" s="5">
        <f>_xlfn.XLOOKUP(CustomerCombined[[#This Row],[ID]], Table4[ID], Table4[Seafood], "Not Found", 0)</f>
        <v>33</v>
      </c>
      <c r="O1355" s="5">
        <f>_xlfn.XLOOKUP(CustomerCombined[[#This Row],[ID]], Table4[ID], Table4[Sweets], "Not Found", 0)</f>
        <v>10</v>
      </c>
      <c r="P1355" s="5">
        <f>_xlfn.XLOOKUP(CustomerCombined[[#This Row],[ID]], Table4[ID], Table4[Premium], "Not Found", 0)</f>
        <v>63</v>
      </c>
      <c r="Q1355" s="5">
        <f>_xlfn.XLOOKUP(CustomerCombined[[#This Row],[ID]], Table4[ID], Table4[Regular], "Not Found", 0)</f>
        <v>99</v>
      </c>
      <c r="R1355" s="5">
        <f>_xlfn.XLOOKUP(CustomerCombined[[#This Row],[ID]], Table4[ID], Table4[Deals], "Not Found", 0)</f>
        <v>3</v>
      </c>
      <c r="S1355" s="5">
        <f>_xlfn.XLOOKUP(CustomerCombined[[#This Row],[ID]], Table4[ID], Table4[Website], "Not Found", 0)</f>
        <v>3</v>
      </c>
      <c r="T1355" s="5">
        <f>_xlfn.XLOOKUP(CustomerCombined[[#This Row],[ID]], Table4[ID], Table4[Catalog], "Not Found", 0)</f>
        <v>1</v>
      </c>
      <c r="U1355" s="5">
        <f>_xlfn.XLOOKUP(CustomerCombined[[#This Row],[ID]], Table4[ID], Table4[Store], "Not Found", 0)</f>
        <v>2</v>
      </c>
      <c r="V1355" s="5">
        <f>_xlfn.XLOOKUP(CustomerCombined[[#This Row],[ID]], Table4[ID], Table4[Visits], "Not Found", 0)</f>
        <v>6</v>
      </c>
      <c r="W1355" s="8">
        <f>_xlfn.XLOOKUP(CustomerCombined[[#This Row],[ID]], Table2[ID],Table2[Complaint], "Not Found", 0 )</f>
        <v>0</v>
      </c>
      <c r="X1355" s="8">
        <f>_xlfn.XLOOKUP(CustomerCombined[[#This Row],[ID]], Table2[ID],Table2[Pilot], "Not Found", 0 )</f>
        <v>0</v>
      </c>
      <c r="Y1355" s="8">
        <f>_xlfn.XLOOKUP(CustomerCombined[[#This Row],[ID]], Table2[ID],Table2[MC1], "Not Found", 0 )</f>
        <v>0</v>
      </c>
      <c r="Z1355" s="8">
        <f>_xlfn.XLOOKUP(CustomerCombined[[#This Row],[ID]], Table2[ID],Table2[MC2], "Not Found", 0 )</f>
        <v>0</v>
      </c>
      <c r="AA1355" s="8">
        <f>_xlfn.XLOOKUP(CustomerCombined[[#This Row],[ID]], Table2[ID],Table2[MC3], "Not Found", 0 )</f>
        <v>0</v>
      </c>
      <c r="AB1355" s="8">
        <f>_xlfn.XLOOKUP(CustomerCombined[[#This Row],[ID]], Table2[ID],Table2[MC4], "Not Found", 0 )</f>
        <v>0</v>
      </c>
      <c r="AC1355" s="8">
        <f>_xlfn.XLOOKUP(CustomerCombined[[#This Row],[ID]], Table2[ID],Table2[MC5], "Not Found", 0 )</f>
        <v>0</v>
      </c>
    </row>
    <row r="1356" spans="1:29" x14ac:dyDescent="0.3">
      <c r="A1356" s="6">
        <v>1154</v>
      </c>
      <c r="B1356" s="6">
        <v>143482</v>
      </c>
      <c r="C1356" s="6">
        <v>2</v>
      </c>
      <c r="D1356" s="6">
        <v>1</v>
      </c>
      <c r="E1356" s="6">
        <v>54</v>
      </c>
      <c r="F1356" s="5" t="s">
        <v>8</v>
      </c>
      <c r="G1356" s="5" t="s">
        <v>11</v>
      </c>
      <c r="H1356" s="3" t="s">
        <v>151</v>
      </c>
      <c r="I1356" s="5" t="s">
        <v>438</v>
      </c>
      <c r="J1356" s="5">
        <f>_xlfn.XLOOKUP(CustomerCombined[[#This Row],[ID]], Table4[ID], Table4[Recency], "Not Found", 0)</f>
        <v>83</v>
      </c>
      <c r="K1356" s="5">
        <f>_xlfn.XLOOKUP(CustomerCombined[[#This Row],[ID]], Table4[ID], Table4[Teas], "Not Found", 0)</f>
        <v>59</v>
      </c>
      <c r="L1356" s="5">
        <f>_xlfn.XLOOKUP(CustomerCombined[[#This Row],[ID]], Table4[ID], Table4[Fruits], "Not Found", 0)</f>
        <v>3</v>
      </c>
      <c r="M1356" s="5">
        <f>_xlfn.XLOOKUP(CustomerCombined[[#This Row],[ID]], Table4[ID], Table4[Meats], "Not Found", 0)</f>
        <v>106</v>
      </c>
      <c r="N1356" s="5">
        <f>_xlfn.XLOOKUP(CustomerCombined[[#This Row],[ID]], Table4[ID], Table4[Seafood], "Not Found", 0)</f>
        <v>20</v>
      </c>
      <c r="O1356" s="5">
        <f>_xlfn.XLOOKUP(CustomerCombined[[#This Row],[ID]], Table4[ID], Table4[Sweets], "Not Found", 0)</f>
        <v>10</v>
      </c>
      <c r="P1356" s="5">
        <f>_xlfn.XLOOKUP(CustomerCombined[[#This Row],[ID]], Table4[ID], Table4[Premium], "Not Found", 0)</f>
        <v>92</v>
      </c>
      <c r="Q1356" s="5">
        <f>_xlfn.XLOOKUP(CustomerCombined[[#This Row],[ID]], Table4[ID], Table4[Regular], "Not Found", 0)</f>
        <v>106</v>
      </c>
      <c r="R1356" s="5">
        <f>_xlfn.XLOOKUP(CustomerCombined[[#This Row],[ID]], Table4[ID], Table4[Deals], "Not Found", 0)</f>
        <v>3</v>
      </c>
      <c r="S1356" s="5">
        <f>_xlfn.XLOOKUP(CustomerCombined[[#This Row],[ID]], Table4[ID], Table4[Website], "Not Found", 0)</f>
        <v>2</v>
      </c>
      <c r="T1356" s="5">
        <f>_xlfn.XLOOKUP(CustomerCombined[[#This Row],[ID]], Table4[ID], Table4[Catalog], "Not Found", 0)</f>
        <v>0</v>
      </c>
      <c r="U1356" s="5">
        <f>_xlfn.XLOOKUP(CustomerCombined[[#This Row],[ID]], Table4[ID], Table4[Store], "Not Found", 0)</f>
        <v>4</v>
      </c>
      <c r="V1356" s="5">
        <f>_xlfn.XLOOKUP(CustomerCombined[[#This Row],[ID]], Table4[ID], Table4[Visits], "Not Found", 0)</f>
        <v>6</v>
      </c>
      <c r="W1356" s="8">
        <f>_xlfn.XLOOKUP(CustomerCombined[[#This Row],[ID]], Table2[ID],Table2[Complaint], "Not Found", 0 )</f>
        <v>0</v>
      </c>
      <c r="X1356" s="8">
        <f>_xlfn.XLOOKUP(CustomerCombined[[#This Row],[ID]], Table2[ID],Table2[Pilot], "Not Found", 0 )</f>
        <v>0</v>
      </c>
      <c r="Y1356" s="8">
        <f>_xlfn.XLOOKUP(CustomerCombined[[#This Row],[ID]], Table2[ID],Table2[MC1], "Not Found", 0 )</f>
        <v>0</v>
      </c>
      <c r="Z1356" s="8">
        <f>_xlfn.XLOOKUP(CustomerCombined[[#This Row],[ID]], Table2[ID],Table2[MC2], "Not Found", 0 )</f>
        <v>0</v>
      </c>
      <c r="AA1356" s="8">
        <f>_xlfn.XLOOKUP(CustomerCombined[[#This Row],[ID]], Table2[ID],Table2[MC3], "Not Found", 0 )</f>
        <v>0</v>
      </c>
      <c r="AB1356" s="8">
        <f>_xlfn.XLOOKUP(CustomerCombined[[#This Row],[ID]], Table2[ID],Table2[MC4], "Not Found", 0 )</f>
        <v>0</v>
      </c>
      <c r="AC1356" s="8">
        <f>_xlfn.XLOOKUP(CustomerCombined[[#This Row],[ID]], Table2[ID],Table2[MC5], "Not Found", 0 )</f>
        <v>0</v>
      </c>
    </row>
    <row r="1357" spans="1:29" x14ac:dyDescent="0.3">
      <c r="A1357" s="6">
        <v>1847</v>
      </c>
      <c r="B1357" s="6">
        <v>143456</v>
      </c>
      <c r="C1357" s="6">
        <v>0</v>
      </c>
      <c r="D1357" s="6">
        <v>1</v>
      </c>
      <c r="E1357" s="6">
        <v>54</v>
      </c>
      <c r="F1357" s="5" t="s">
        <v>7</v>
      </c>
      <c r="G1357" s="5" t="s">
        <v>12</v>
      </c>
      <c r="H1357" s="3" t="s">
        <v>282</v>
      </c>
      <c r="I1357" s="5" t="s">
        <v>434</v>
      </c>
      <c r="J1357" s="5">
        <f>_xlfn.XLOOKUP(CustomerCombined[[#This Row],[ID]], Table4[ID], Table4[Recency], "Not Found", 0)</f>
        <v>0</v>
      </c>
      <c r="K1357" s="5">
        <f>_xlfn.XLOOKUP(CustomerCombined[[#This Row],[ID]], Table4[ID], Table4[Teas], "Not Found", 0)</f>
        <v>908</v>
      </c>
      <c r="L1357" s="5">
        <f>_xlfn.XLOOKUP(CustomerCombined[[#This Row],[ID]], Table4[ID], Table4[Fruits], "Not Found", 0)</f>
        <v>36</v>
      </c>
      <c r="M1357" s="5">
        <f>_xlfn.XLOOKUP(CustomerCombined[[#This Row],[ID]], Table4[ID], Table4[Meats], "Not Found", 0)</f>
        <v>224</v>
      </c>
      <c r="N1357" s="5">
        <f>_xlfn.XLOOKUP(CustomerCombined[[#This Row],[ID]], Table4[ID], Table4[Seafood], "Not Found", 0)</f>
        <v>83</v>
      </c>
      <c r="O1357" s="5">
        <f>_xlfn.XLOOKUP(CustomerCombined[[#This Row],[ID]], Table4[ID], Table4[Sweets], "Not Found", 0)</f>
        <v>23</v>
      </c>
      <c r="P1357" s="5">
        <f>_xlfn.XLOOKUP(CustomerCombined[[#This Row],[ID]], Table4[ID], Table4[Premium], "Not Found", 0)</f>
        <v>23</v>
      </c>
      <c r="Q1357" s="5">
        <f>_xlfn.XLOOKUP(CustomerCombined[[#This Row],[ID]], Table4[ID], Table4[Regular], "Not Found", 0)</f>
        <v>1251</v>
      </c>
      <c r="R1357" s="5">
        <f>_xlfn.XLOOKUP(CustomerCombined[[#This Row],[ID]], Table4[ID], Table4[Deals], "Not Found", 0)</f>
        <v>3</v>
      </c>
      <c r="S1357" s="5">
        <f>_xlfn.XLOOKUP(CustomerCombined[[#This Row],[ID]], Table4[ID], Table4[Website], "Not Found", 0)</f>
        <v>5</v>
      </c>
      <c r="T1357" s="5">
        <f>_xlfn.XLOOKUP(CustomerCombined[[#This Row],[ID]], Table4[ID], Table4[Catalog], "Not Found", 0)</f>
        <v>1</v>
      </c>
      <c r="U1357" s="5">
        <f>_xlfn.XLOOKUP(CustomerCombined[[#This Row],[ID]], Table4[ID], Table4[Store], "Not Found", 0)</f>
        <v>8</v>
      </c>
      <c r="V1357" s="5">
        <f>_xlfn.XLOOKUP(CustomerCombined[[#This Row],[ID]], Table4[ID], Table4[Visits], "Not Found", 0)</f>
        <v>5</v>
      </c>
      <c r="W1357" s="8">
        <f>_xlfn.XLOOKUP(CustomerCombined[[#This Row],[ID]], Table2[ID],Table2[Complaint], "Not Found", 0 )</f>
        <v>0</v>
      </c>
      <c r="X1357" s="8">
        <f>_xlfn.XLOOKUP(CustomerCombined[[#This Row],[ID]], Table2[ID],Table2[Pilot], "Not Found", 0 )</f>
        <v>0</v>
      </c>
      <c r="Y1357" s="8">
        <f>_xlfn.XLOOKUP(CustomerCombined[[#This Row],[ID]], Table2[ID],Table2[MC1], "Not Found", 0 )</f>
        <v>0</v>
      </c>
      <c r="Z1357" s="8">
        <f>_xlfn.XLOOKUP(CustomerCombined[[#This Row],[ID]], Table2[ID],Table2[MC2], "Not Found", 0 )</f>
        <v>0</v>
      </c>
      <c r="AA1357" s="8">
        <f>_xlfn.XLOOKUP(CustomerCombined[[#This Row],[ID]], Table2[ID],Table2[MC3], "Not Found", 0 )</f>
        <v>0</v>
      </c>
      <c r="AB1357" s="8">
        <f>_xlfn.XLOOKUP(CustomerCombined[[#This Row],[ID]], Table2[ID],Table2[MC4], "Not Found", 0 )</f>
        <v>0</v>
      </c>
      <c r="AC1357" s="8">
        <f>_xlfn.XLOOKUP(CustomerCombined[[#This Row],[ID]], Table2[ID],Table2[MC5], "Not Found", 0 )</f>
        <v>0</v>
      </c>
    </row>
    <row r="1358" spans="1:29" x14ac:dyDescent="0.3">
      <c r="A1358" s="6">
        <v>1252</v>
      </c>
      <c r="B1358" s="6">
        <v>138179</v>
      </c>
      <c r="C1358" s="6">
        <v>1</v>
      </c>
      <c r="D1358" s="6">
        <v>1</v>
      </c>
      <c r="E1358" s="6">
        <v>54</v>
      </c>
      <c r="F1358" s="5" t="s">
        <v>6</v>
      </c>
      <c r="G1358" s="5" t="s">
        <v>12</v>
      </c>
      <c r="H1358" s="3" t="s">
        <v>294</v>
      </c>
      <c r="I1358" s="5" t="s">
        <v>439</v>
      </c>
      <c r="J1358" s="5">
        <f>_xlfn.XLOOKUP(CustomerCombined[[#This Row],[ID]], Table4[ID], Table4[Recency], "Not Found", 0)</f>
        <v>30</v>
      </c>
      <c r="K1358" s="5">
        <f>_xlfn.XLOOKUP(CustomerCombined[[#This Row],[ID]], Table4[ID], Table4[Teas], "Not Found", 0)</f>
        <v>138</v>
      </c>
      <c r="L1358" s="5">
        <f>_xlfn.XLOOKUP(CustomerCombined[[#This Row],[ID]], Table4[ID], Table4[Fruits], "Not Found", 0)</f>
        <v>14</v>
      </c>
      <c r="M1358" s="5">
        <f>_xlfn.XLOOKUP(CustomerCombined[[#This Row],[ID]], Table4[ID], Table4[Meats], "Not Found", 0)</f>
        <v>80</v>
      </c>
      <c r="N1358" s="5">
        <f>_xlfn.XLOOKUP(CustomerCombined[[#This Row],[ID]], Table4[ID], Table4[Seafood], "Not Found", 0)</f>
        <v>14</v>
      </c>
      <c r="O1358" s="5">
        <f>_xlfn.XLOOKUP(CustomerCombined[[#This Row],[ID]], Table4[ID], Table4[Sweets], "Not Found", 0)</f>
        <v>7</v>
      </c>
      <c r="P1358" s="5">
        <f>_xlfn.XLOOKUP(CustomerCombined[[#This Row],[ID]], Table4[ID], Table4[Premium], "Not Found", 0)</f>
        <v>72</v>
      </c>
      <c r="Q1358" s="5">
        <f>_xlfn.XLOOKUP(CustomerCombined[[#This Row],[ID]], Table4[ID], Table4[Regular], "Not Found", 0)</f>
        <v>181</v>
      </c>
      <c r="R1358" s="5">
        <f>_xlfn.XLOOKUP(CustomerCombined[[#This Row],[ID]], Table4[ID], Table4[Deals], "Not Found", 0)</f>
        <v>4</v>
      </c>
      <c r="S1358" s="5">
        <f>_xlfn.XLOOKUP(CustomerCombined[[#This Row],[ID]], Table4[ID], Table4[Website], "Not Found", 0)</f>
        <v>3</v>
      </c>
      <c r="T1358" s="5">
        <f>_xlfn.XLOOKUP(CustomerCombined[[#This Row],[ID]], Table4[ID], Table4[Catalog], "Not Found", 0)</f>
        <v>1</v>
      </c>
      <c r="U1358" s="5">
        <f>_xlfn.XLOOKUP(CustomerCombined[[#This Row],[ID]], Table4[ID], Table4[Store], "Not Found", 0)</f>
        <v>3</v>
      </c>
      <c r="V1358" s="5">
        <f>_xlfn.XLOOKUP(CustomerCombined[[#This Row],[ID]], Table4[ID], Table4[Visits], "Not Found", 0)</f>
        <v>7</v>
      </c>
      <c r="W1358" s="8">
        <f>_xlfn.XLOOKUP(CustomerCombined[[#This Row],[ID]], Table2[ID],Table2[Complaint], "Not Found", 0 )</f>
        <v>0</v>
      </c>
      <c r="X1358" s="8">
        <f>_xlfn.XLOOKUP(CustomerCombined[[#This Row],[ID]], Table2[ID],Table2[Pilot], "Not Found", 0 )</f>
        <v>0</v>
      </c>
      <c r="Y1358" s="8">
        <f>_xlfn.XLOOKUP(CustomerCombined[[#This Row],[ID]], Table2[ID],Table2[MC1], "Not Found", 0 )</f>
        <v>0</v>
      </c>
      <c r="Z1358" s="8">
        <f>_xlfn.XLOOKUP(CustomerCombined[[#This Row],[ID]], Table2[ID],Table2[MC2], "Not Found", 0 )</f>
        <v>0</v>
      </c>
      <c r="AA1358" s="8">
        <f>_xlfn.XLOOKUP(CustomerCombined[[#This Row],[ID]], Table2[ID],Table2[MC3], "Not Found", 0 )</f>
        <v>0</v>
      </c>
      <c r="AB1358" s="8">
        <f>_xlfn.XLOOKUP(CustomerCombined[[#This Row],[ID]], Table2[ID],Table2[MC4], "Not Found", 0 )</f>
        <v>0</v>
      </c>
      <c r="AC1358" s="8">
        <f>_xlfn.XLOOKUP(CustomerCombined[[#This Row],[ID]], Table2[ID],Table2[MC5], "Not Found", 0 )</f>
        <v>0</v>
      </c>
    </row>
    <row r="1359" spans="1:29" x14ac:dyDescent="0.3">
      <c r="A1359" s="6">
        <v>1839</v>
      </c>
      <c r="B1359" s="6">
        <v>137758</v>
      </c>
      <c r="C1359" s="6">
        <v>1</v>
      </c>
      <c r="D1359" s="6">
        <v>1</v>
      </c>
      <c r="E1359" s="6">
        <v>54</v>
      </c>
      <c r="F1359" s="5" t="s">
        <v>8</v>
      </c>
      <c r="G1359" s="5" t="s">
        <v>11</v>
      </c>
      <c r="H1359" s="3">
        <v>43772</v>
      </c>
      <c r="I1359" s="5" t="s">
        <v>435</v>
      </c>
      <c r="J1359" s="5">
        <f>_xlfn.XLOOKUP(CustomerCombined[[#This Row],[ID]], Table4[ID], Table4[Recency], "Not Found", 0)</f>
        <v>49</v>
      </c>
      <c r="K1359" s="5">
        <f>_xlfn.XLOOKUP(CustomerCombined[[#This Row],[ID]], Table4[ID], Table4[Teas], "Not Found", 0)</f>
        <v>99</v>
      </c>
      <c r="L1359" s="5">
        <f>_xlfn.XLOOKUP(CustomerCombined[[#This Row],[ID]], Table4[ID], Table4[Fruits], "Not Found", 0)</f>
        <v>7</v>
      </c>
      <c r="M1359" s="5">
        <f>_xlfn.XLOOKUP(CustomerCombined[[#This Row],[ID]], Table4[ID], Table4[Meats], "Not Found", 0)</f>
        <v>36</v>
      </c>
      <c r="N1359" s="5">
        <f>_xlfn.XLOOKUP(CustomerCombined[[#This Row],[ID]], Table4[ID], Table4[Seafood], "Not Found", 0)</f>
        <v>0</v>
      </c>
      <c r="O1359" s="5">
        <f>_xlfn.XLOOKUP(CustomerCombined[[#This Row],[ID]], Table4[ID], Table4[Sweets], "Not Found", 0)</f>
        <v>0</v>
      </c>
      <c r="P1359" s="5">
        <f>_xlfn.XLOOKUP(CustomerCombined[[#This Row],[ID]], Table4[ID], Table4[Premium], "Not Found", 0)</f>
        <v>4</v>
      </c>
      <c r="Q1359" s="5">
        <f>_xlfn.XLOOKUP(CustomerCombined[[#This Row],[ID]], Table4[ID], Table4[Regular], "Not Found", 0)</f>
        <v>139</v>
      </c>
      <c r="R1359" s="5">
        <f>_xlfn.XLOOKUP(CustomerCombined[[#This Row],[ID]], Table4[ID], Table4[Deals], "Not Found", 0)</f>
        <v>2</v>
      </c>
      <c r="S1359" s="5">
        <f>_xlfn.XLOOKUP(CustomerCombined[[#This Row],[ID]], Table4[ID], Table4[Website], "Not Found", 0)</f>
        <v>1</v>
      </c>
      <c r="T1359" s="5">
        <f>_xlfn.XLOOKUP(CustomerCombined[[#This Row],[ID]], Table4[ID], Table4[Catalog], "Not Found", 0)</f>
        <v>0</v>
      </c>
      <c r="U1359" s="5">
        <f>_xlfn.XLOOKUP(CustomerCombined[[#This Row],[ID]], Table4[ID], Table4[Store], "Not Found", 0)</f>
        <v>3</v>
      </c>
      <c r="V1359" s="5">
        <f>_xlfn.XLOOKUP(CustomerCombined[[#This Row],[ID]], Table4[ID], Table4[Visits], "Not Found", 0)</f>
        <v>8</v>
      </c>
      <c r="W1359" s="8">
        <f>_xlfn.XLOOKUP(CustomerCombined[[#This Row],[ID]], Table2[ID],Table2[Complaint], "Not Found", 0 )</f>
        <v>0</v>
      </c>
      <c r="X1359" s="8">
        <f>_xlfn.XLOOKUP(CustomerCombined[[#This Row],[ID]], Table2[ID],Table2[Pilot], "Not Found", 0 )</f>
        <v>0</v>
      </c>
      <c r="Y1359" s="8">
        <f>_xlfn.XLOOKUP(CustomerCombined[[#This Row],[ID]], Table2[ID],Table2[MC1], "Not Found", 0 )</f>
        <v>0</v>
      </c>
      <c r="Z1359" s="8">
        <f>_xlfn.XLOOKUP(CustomerCombined[[#This Row],[ID]], Table2[ID],Table2[MC2], "Not Found", 0 )</f>
        <v>0</v>
      </c>
      <c r="AA1359" s="8">
        <f>_xlfn.XLOOKUP(CustomerCombined[[#This Row],[ID]], Table2[ID],Table2[MC3], "Not Found", 0 )</f>
        <v>0</v>
      </c>
      <c r="AB1359" s="8">
        <f>_xlfn.XLOOKUP(CustomerCombined[[#This Row],[ID]], Table2[ID],Table2[MC4], "Not Found", 0 )</f>
        <v>0</v>
      </c>
      <c r="AC1359" s="8">
        <f>_xlfn.XLOOKUP(CustomerCombined[[#This Row],[ID]], Table2[ID],Table2[MC5], "Not Found", 0 )</f>
        <v>0</v>
      </c>
    </row>
    <row r="1360" spans="1:29" x14ac:dyDescent="0.3">
      <c r="A1360" s="6">
        <v>2785</v>
      </c>
      <c r="B1360" s="6">
        <v>137758</v>
      </c>
      <c r="C1360" s="6">
        <v>1</v>
      </c>
      <c r="D1360" s="6">
        <v>1</v>
      </c>
      <c r="E1360" s="6">
        <v>54</v>
      </c>
      <c r="F1360" s="5" t="s">
        <v>8</v>
      </c>
      <c r="G1360" s="5" t="s">
        <v>11</v>
      </c>
      <c r="H1360" s="3">
        <v>43772</v>
      </c>
      <c r="I1360" s="5" t="s">
        <v>437</v>
      </c>
      <c r="J1360" s="5">
        <f>_xlfn.XLOOKUP(CustomerCombined[[#This Row],[ID]], Table4[ID], Table4[Recency], "Not Found", 0)</f>
        <v>49</v>
      </c>
      <c r="K1360" s="5">
        <f>_xlfn.XLOOKUP(CustomerCombined[[#This Row],[ID]], Table4[ID], Table4[Teas], "Not Found", 0)</f>
        <v>99</v>
      </c>
      <c r="L1360" s="5">
        <f>_xlfn.XLOOKUP(CustomerCombined[[#This Row],[ID]], Table4[ID], Table4[Fruits], "Not Found", 0)</f>
        <v>7</v>
      </c>
      <c r="M1360" s="5">
        <f>_xlfn.XLOOKUP(CustomerCombined[[#This Row],[ID]], Table4[ID], Table4[Meats], "Not Found", 0)</f>
        <v>36</v>
      </c>
      <c r="N1360" s="5">
        <f>_xlfn.XLOOKUP(CustomerCombined[[#This Row],[ID]], Table4[ID], Table4[Seafood], "Not Found", 0)</f>
        <v>0</v>
      </c>
      <c r="O1360" s="5">
        <f>_xlfn.XLOOKUP(CustomerCombined[[#This Row],[ID]], Table4[ID], Table4[Sweets], "Not Found", 0)</f>
        <v>0</v>
      </c>
      <c r="P1360" s="5">
        <f>_xlfn.XLOOKUP(CustomerCombined[[#This Row],[ID]], Table4[ID], Table4[Premium], "Not Found", 0)</f>
        <v>4</v>
      </c>
      <c r="Q1360" s="5">
        <f>_xlfn.XLOOKUP(CustomerCombined[[#This Row],[ID]], Table4[ID], Table4[Regular], "Not Found", 0)</f>
        <v>139</v>
      </c>
      <c r="R1360" s="5">
        <f>_xlfn.XLOOKUP(CustomerCombined[[#This Row],[ID]], Table4[ID], Table4[Deals], "Not Found", 0)</f>
        <v>2</v>
      </c>
      <c r="S1360" s="5">
        <f>_xlfn.XLOOKUP(CustomerCombined[[#This Row],[ID]], Table4[ID], Table4[Website], "Not Found", 0)</f>
        <v>1</v>
      </c>
      <c r="T1360" s="5">
        <f>_xlfn.XLOOKUP(CustomerCombined[[#This Row],[ID]], Table4[ID], Table4[Catalog], "Not Found", 0)</f>
        <v>0</v>
      </c>
      <c r="U1360" s="5">
        <f>_xlfn.XLOOKUP(CustomerCombined[[#This Row],[ID]], Table4[ID], Table4[Store], "Not Found", 0)</f>
        <v>3</v>
      </c>
      <c r="V1360" s="5">
        <f>_xlfn.XLOOKUP(CustomerCombined[[#This Row],[ID]], Table4[ID], Table4[Visits], "Not Found", 0)</f>
        <v>8</v>
      </c>
      <c r="W1360" s="8">
        <f>_xlfn.XLOOKUP(CustomerCombined[[#This Row],[ID]], Table2[ID],Table2[Complaint], "Not Found", 0 )</f>
        <v>0</v>
      </c>
      <c r="X1360" s="8">
        <f>_xlfn.XLOOKUP(CustomerCombined[[#This Row],[ID]], Table2[ID],Table2[Pilot], "Not Found", 0 )</f>
        <v>0</v>
      </c>
      <c r="Y1360" s="8">
        <f>_xlfn.XLOOKUP(CustomerCombined[[#This Row],[ID]], Table2[ID],Table2[MC1], "Not Found", 0 )</f>
        <v>0</v>
      </c>
      <c r="Z1360" s="8">
        <f>_xlfn.XLOOKUP(CustomerCombined[[#This Row],[ID]], Table2[ID],Table2[MC2], "Not Found", 0 )</f>
        <v>0</v>
      </c>
      <c r="AA1360" s="8">
        <f>_xlfn.XLOOKUP(CustomerCombined[[#This Row],[ID]], Table2[ID],Table2[MC3], "Not Found", 0 )</f>
        <v>0</v>
      </c>
      <c r="AB1360" s="8">
        <f>_xlfn.XLOOKUP(CustomerCombined[[#This Row],[ID]], Table2[ID],Table2[MC4], "Not Found", 0 )</f>
        <v>0</v>
      </c>
      <c r="AC1360" s="8">
        <f>_xlfn.XLOOKUP(CustomerCombined[[#This Row],[ID]], Table2[ID],Table2[MC5], "Not Found", 0 )</f>
        <v>0</v>
      </c>
    </row>
    <row r="1361" spans="1:29" x14ac:dyDescent="0.3">
      <c r="A1361" s="6">
        <v>1218</v>
      </c>
      <c r="B1361" s="6">
        <v>137070</v>
      </c>
      <c r="C1361" s="6">
        <v>1</v>
      </c>
      <c r="D1361" s="6">
        <v>1</v>
      </c>
      <c r="E1361" s="6">
        <v>54</v>
      </c>
      <c r="F1361" s="5" t="s">
        <v>7</v>
      </c>
      <c r="G1361" s="5" t="s">
        <v>11</v>
      </c>
      <c r="H1361" s="3" t="s">
        <v>288</v>
      </c>
      <c r="I1361" s="5" t="s">
        <v>436</v>
      </c>
      <c r="J1361" s="5">
        <f>_xlfn.XLOOKUP(CustomerCombined[[#This Row],[ID]], Table4[ID], Table4[Recency], "Not Found", 0)</f>
        <v>30</v>
      </c>
      <c r="K1361" s="5">
        <f>_xlfn.XLOOKUP(CustomerCombined[[#This Row],[ID]], Table4[ID], Table4[Teas], "Not Found", 0)</f>
        <v>854</v>
      </c>
      <c r="L1361" s="5">
        <f>_xlfn.XLOOKUP(CustomerCombined[[#This Row],[ID]], Table4[ID], Table4[Fruits], "Not Found", 0)</f>
        <v>26</v>
      </c>
      <c r="M1361" s="5">
        <f>_xlfn.XLOOKUP(CustomerCombined[[#This Row],[ID]], Table4[ID], Table4[Meats], "Not Found", 0)</f>
        <v>507</v>
      </c>
      <c r="N1361" s="5">
        <f>_xlfn.XLOOKUP(CustomerCombined[[#This Row],[ID]], Table4[ID], Table4[Seafood], "Not Found", 0)</f>
        <v>15</v>
      </c>
      <c r="O1361" s="5">
        <f>_xlfn.XLOOKUP(CustomerCombined[[#This Row],[ID]], Table4[ID], Table4[Sweets], "Not Found", 0)</f>
        <v>55</v>
      </c>
      <c r="P1361" s="5">
        <f>_xlfn.XLOOKUP(CustomerCombined[[#This Row],[ID]], Table4[ID], Table4[Premium], "Not Found", 0)</f>
        <v>144</v>
      </c>
      <c r="Q1361" s="5">
        <f>_xlfn.XLOOKUP(CustomerCombined[[#This Row],[ID]], Table4[ID], Table4[Regular], "Not Found", 0)</f>
        <v>1313</v>
      </c>
      <c r="R1361" s="5">
        <f>_xlfn.XLOOKUP(CustomerCombined[[#This Row],[ID]], Table4[ID], Table4[Deals], "Not Found", 0)</f>
        <v>9</v>
      </c>
      <c r="S1361" s="5">
        <f>_xlfn.XLOOKUP(CustomerCombined[[#This Row],[ID]], Table4[ID], Table4[Website], "Not Found", 0)</f>
        <v>5</v>
      </c>
      <c r="T1361" s="5">
        <f>_xlfn.XLOOKUP(CustomerCombined[[#This Row],[ID]], Table4[ID], Table4[Catalog], "Not Found", 0)</f>
        <v>1</v>
      </c>
      <c r="U1361" s="5">
        <f>_xlfn.XLOOKUP(CustomerCombined[[#This Row],[ID]], Table4[ID], Table4[Store], "Not Found", 0)</f>
        <v>8</v>
      </c>
      <c r="V1361" s="5">
        <f>_xlfn.XLOOKUP(CustomerCombined[[#This Row],[ID]], Table4[ID], Table4[Visits], "Not Found", 0)</f>
        <v>7</v>
      </c>
      <c r="W1361" s="8">
        <f>_xlfn.XLOOKUP(CustomerCombined[[#This Row],[ID]], Table2[ID],Table2[Complaint], "Not Found", 0 )</f>
        <v>0</v>
      </c>
      <c r="X1361" s="8">
        <f>_xlfn.XLOOKUP(CustomerCombined[[#This Row],[ID]], Table2[ID],Table2[Pilot], "Not Found", 0 )</f>
        <v>1</v>
      </c>
      <c r="Y1361" s="8">
        <f>_xlfn.XLOOKUP(CustomerCombined[[#This Row],[ID]], Table2[ID],Table2[MC1], "Not Found", 0 )</f>
        <v>0</v>
      </c>
      <c r="Z1361" s="8">
        <f>_xlfn.XLOOKUP(CustomerCombined[[#This Row],[ID]], Table2[ID],Table2[MC2], "Not Found", 0 )</f>
        <v>0</v>
      </c>
      <c r="AA1361" s="8">
        <f>_xlfn.XLOOKUP(CustomerCombined[[#This Row],[ID]], Table2[ID],Table2[MC3], "Not Found", 0 )</f>
        <v>0</v>
      </c>
      <c r="AB1361" s="8">
        <f>_xlfn.XLOOKUP(CustomerCombined[[#This Row],[ID]], Table2[ID],Table2[MC4], "Not Found", 0 )</f>
        <v>0</v>
      </c>
      <c r="AC1361" s="8">
        <f>_xlfn.XLOOKUP(CustomerCombined[[#This Row],[ID]], Table2[ID],Table2[MC5], "Not Found", 0 )</f>
        <v>0</v>
      </c>
    </row>
    <row r="1362" spans="1:29" x14ac:dyDescent="0.3">
      <c r="A1362" s="6">
        <v>2778</v>
      </c>
      <c r="B1362" s="6">
        <v>137070</v>
      </c>
      <c r="C1362" s="6">
        <v>1</v>
      </c>
      <c r="D1362" s="6">
        <v>1</v>
      </c>
      <c r="E1362" s="6">
        <v>54</v>
      </c>
      <c r="F1362" s="5" t="s">
        <v>7</v>
      </c>
      <c r="G1362" s="5" t="s">
        <v>11</v>
      </c>
      <c r="H1362" s="3" t="s">
        <v>288</v>
      </c>
      <c r="I1362" s="5" t="s">
        <v>436</v>
      </c>
      <c r="J1362" s="5">
        <f>_xlfn.XLOOKUP(CustomerCombined[[#This Row],[ID]], Table4[ID], Table4[Recency], "Not Found", 0)</f>
        <v>30</v>
      </c>
      <c r="K1362" s="5">
        <f>_xlfn.XLOOKUP(CustomerCombined[[#This Row],[ID]], Table4[ID], Table4[Teas], "Not Found", 0)</f>
        <v>854</v>
      </c>
      <c r="L1362" s="5">
        <f>_xlfn.XLOOKUP(CustomerCombined[[#This Row],[ID]], Table4[ID], Table4[Fruits], "Not Found", 0)</f>
        <v>26</v>
      </c>
      <c r="M1362" s="5">
        <f>_xlfn.XLOOKUP(CustomerCombined[[#This Row],[ID]], Table4[ID], Table4[Meats], "Not Found", 0)</f>
        <v>507</v>
      </c>
      <c r="N1362" s="5">
        <f>_xlfn.XLOOKUP(CustomerCombined[[#This Row],[ID]], Table4[ID], Table4[Seafood], "Not Found", 0)</f>
        <v>15</v>
      </c>
      <c r="O1362" s="5">
        <f>_xlfn.XLOOKUP(CustomerCombined[[#This Row],[ID]], Table4[ID], Table4[Sweets], "Not Found", 0)</f>
        <v>55</v>
      </c>
      <c r="P1362" s="5">
        <f>_xlfn.XLOOKUP(CustomerCombined[[#This Row],[ID]], Table4[ID], Table4[Premium], "Not Found", 0)</f>
        <v>144</v>
      </c>
      <c r="Q1362" s="5">
        <f>_xlfn.XLOOKUP(CustomerCombined[[#This Row],[ID]], Table4[ID], Table4[Regular], "Not Found", 0)</f>
        <v>1313</v>
      </c>
      <c r="R1362" s="5">
        <f>_xlfn.XLOOKUP(CustomerCombined[[#This Row],[ID]], Table4[ID], Table4[Deals], "Not Found", 0)</f>
        <v>9</v>
      </c>
      <c r="S1362" s="5">
        <f>_xlfn.XLOOKUP(CustomerCombined[[#This Row],[ID]], Table4[ID], Table4[Website], "Not Found", 0)</f>
        <v>5</v>
      </c>
      <c r="T1362" s="5">
        <f>_xlfn.XLOOKUP(CustomerCombined[[#This Row],[ID]], Table4[ID], Table4[Catalog], "Not Found", 0)</f>
        <v>1</v>
      </c>
      <c r="U1362" s="5">
        <f>_xlfn.XLOOKUP(CustomerCombined[[#This Row],[ID]], Table4[ID], Table4[Store], "Not Found", 0)</f>
        <v>8</v>
      </c>
      <c r="V1362" s="5">
        <f>_xlfn.XLOOKUP(CustomerCombined[[#This Row],[ID]], Table4[ID], Table4[Visits], "Not Found", 0)</f>
        <v>7</v>
      </c>
      <c r="W1362" s="8">
        <f>_xlfn.XLOOKUP(CustomerCombined[[#This Row],[ID]], Table2[ID],Table2[Complaint], "Not Found", 0 )</f>
        <v>0</v>
      </c>
      <c r="X1362" s="8">
        <f>_xlfn.XLOOKUP(CustomerCombined[[#This Row],[ID]], Table2[ID],Table2[Pilot], "Not Found", 0 )</f>
        <v>1</v>
      </c>
      <c r="Y1362" s="8">
        <f>_xlfn.XLOOKUP(CustomerCombined[[#This Row],[ID]], Table2[ID],Table2[MC1], "Not Found", 0 )</f>
        <v>0</v>
      </c>
      <c r="Z1362" s="8">
        <f>_xlfn.XLOOKUP(CustomerCombined[[#This Row],[ID]], Table2[ID],Table2[MC2], "Not Found", 0 )</f>
        <v>0</v>
      </c>
      <c r="AA1362" s="8">
        <f>_xlfn.XLOOKUP(CustomerCombined[[#This Row],[ID]], Table2[ID],Table2[MC3], "Not Found", 0 )</f>
        <v>0</v>
      </c>
      <c r="AB1362" s="8">
        <f>_xlfn.XLOOKUP(CustomerCombined[[#This Row],[ID]], Table2[ID],Table2[MC4], "Not Found", 0 )</f>
        <v>0</v>
      </c>
      <c r="AC1362" s="8">
        <f>_xlfn.XLOOKUP(CustomerCombined[[#This Row],[ID]], Table2[ID],Table2[MC5], "Not Found", 0 )</f>
        <v>0</v>
      </c>
    </row>
    <row r="1363" spans="1:29" x14ac:dyDescent="0.3">
      <c r="A1363" s="6">
        <v>2448</v>
      </c>
      <c r="B1363" s="6">
        <v>134704</v>
      </c>
      <c r="C1363" s="6">
        <v>0</v>
      </c>
      <c r="D1363" s="6">
        <v>1</v>
      </c>
      <c r="E1363" s="6">
        <v>54</v>
      </c>
      <c r="F1363" s="5" t="s">
        <v>7</v>
      </c>
      <c r="G1363" s="5" t="s">
        <v>11</v>
      </c>
      <c r="H1363" s="3">
        <v>43506</v>
      </c>
      <c r="I1363" s="5" t="s">
        <v>436</v>
      </c>
      <c r="J1363" s="5">
        <f>_xlfn.XLOOKUP(CustomerCombined[[#This Row],[ID]], Table4[ID], Table4[Recency], "Not Found", 0)</f>
        <v>65</v>
      </c>
      <c r="K1363" s="5">
        <f>_xlfn.XLOOKUP(CustomerCombined[[#This Row],[ID]], Table4[ID], Table4[Teas], "Not Found", 0)</f>
        <v>113</v>
      </c>
      <c r="L1363" s="5">
        <f>_xlfn.XLOOKUP(CustomerCombined[[#This Row],[ID]], Table4[ID], Table4[Fruits], "Not Found", 0)</f>
        <v>0</v>
      </c>
      <c r="M1363" s="5">
        <f>_xlfn.XLOOKUP(CustomerCombined[[#This Row],[ID]], Table4[ID], Table4[Meats], "Not Found", 0)</f>
        <v>19</v>
      </c>
      <c r="N1363" s="5">
        <f>_xlfn.XLOOKUP(CustomerCombined[[#This Row],[ID]], Table4[ID], Table4[Seafood], "Not Found", 0)</f>
        <v>0</v>
      </c>
      <c r="O1363" s="5">
        <f>_xlfn.XLOOKUP(CustomerCombined[[#This Row],[ID]], Table4[ID], Table4[Sweets], "Not Found", 0)</f>
        <v>4</v>
      </c>
      <c r="P1363" s="5">
        <f>_xlfn.XLOOKUP(CustomerCombined[[#This Row],[ID]], Table4[ID], Table4[Premium], "Not Found", 0)</f>
        <v>19</v>
      </c>
      <c r="Q1363" s="5">
        <f>_xlfn.XLOOKUP(CustomerCombined[[#This Row],[ID]], Table4[ID], Table4[Regular], "Not Found", 0)</f>
        <v>116</v>
      </c>
      <c r="R1363" s="5">
        <f>_xlfn.XLOOKUP(CustomerCombined[[#This Row],[ID]], Table4[ID], Table4[Deals], "Not Found", 0)</f>
        <v>1</v>
      </c>
      <c r="S1363" s="5">
        <f>_xlfn.XLOOKUP(CustomerCombined[[#This Row],[ID]], Table4[ID], Table4[Website], "Not Found", 0)</f>
        <v>1</v>
      </c>
      <c r="T1363" s="5">
        <f>_xlfn.XLOOKUP(CustomerCombined[[#This Row],[ID]], Table4[ID], Table4[Catalog], "Not Found", 0)</f>
        <v>0</v>
      </c>
      <c r="U1363" s="5">
        <f>_xlfn.XLOOKUP(CustomerCombined[[#This Row],[ID]], Table4[ID], Table4[Store], "Not Found", 0)</f>
        <v>3</v>
      </c>
      <c r="V1363" s="5">
        <f>_xlfn.XLOOKUP(CustomerCombined[[#This Row],[ID]], Table4[ID], Table4[Visits], "Not Found", 0)</f>
        <v>5</v>
      </c>
      <c r="W1363" s="8">
        <f>_xlfn.XLOOKUP(CustomerCombined[[#This Row],[ID]], Table2[ID],Table2[Complaint], "Not Found", 0 )</f>
        <v>0</v>
      </c>
      <c r="X1363" s="8">
        <f>_xlfn.XLOOKUP(CustomerCombined[[#This Row],[ID]], Table2[ID],Table2[Pilot], "Not Found", 0 )</f>
        <v>0</v>
      </c>
      <c r="Y1363" s="8">
        <f>_xlfn.XLOOKUP(CustomerCombined[[#This Row],[ID]], Table2[ID],Table2[MC1], "Not Found", 0 )</f>
        <v>0</v>
      </c>
      <c r="Z1363" s="8">
        <f>_xlfn.XLOOKUP(CustomerCombined[[#This Row],[ID]], Table2[ID],Table2[MC2], "Not Found", 0 )</f>
        <v>0</v>
      </c>
      <c r="AA1363" s="8">
        <f>_xlfn.XLOOKUP(CustomerCombined[[#This Row],[ID]], Table2[ID],Table2[MC3], "Not Found", 0 )</f>
        <v>0</v>
      </c>
      <c r="AB1363" s="8">
        <f>_xlfn.XLOOKUP(CustomerCombined[[#This Row],[ID]], Table2[ID],Table2[MC4], "Not Found", 0 )</f>
        <v>0</v>
      </c>
      <c r="AC1363" s="8">
        <f>_xlfn.XLOOKUP(CustomerCombined[[#This Row],[ID]], Table2[ID],Table2[MC5], "Not Found", 0 )</f>
        <v>0</v>
      </c>
    </row>
    <row r="1364" spans="1:29" x14ac:dyDescent="0.3">
      <c r="A1364" s="6">
        <v>2027</v>
      </c>
      <c r="B1364" s="6">
        <v>133585</v>
      </c>
      <c r="C1364" s="6">
        <v>0</v>
      </c>
      <c r="D1364" s="6">
        <v>1</v>
      </c>
      <c r="E1364" s="6">
        <v>54</v>
      </c>
      <c r="F1364" s="5" t="s">
        <v>6</v>
      </c>
      <c r="G1364" s="5" t="s">
        <v>12</v>
      </c>
      <c r="H1364" s="3">
        <v>43833</v>
      </c>
      <c r="I1364" s="5" t="s">
        <v>434</v>
      </c>
      <c r="J1364" s="5">
        <f>_xlfn.XLOOKUP(CustomerCombined[[#This Row],[ID]], Table4[ID], Table4[Recency], "Not Found", 0)</f>
        <v>91</v>
      </c>
      <c r="K1364" s="5">
        <f>_xlfn.XLOOKUP(CustomerCombined[[#This Row],[ID]], Table4[ID], Table4[Teas], "Not Found", 0)</f>
        <v>119</v>
      </c>
      <c r="L1364" s="5">
        <f>_xlfn.XLOOKUP(CustomerCombined[[#This Row],[ID]], Table4[ID], Table4[Fruits], "Not Found", 0)</f>
        <v>44</v>
      </c>
      <c r="M1364" s="5">
        <f>_xlfn.XLOOKUP(CustomerCombined[[#This Row],[ID]], Table4[ID], Table4[Meats], "Not Found", 0)</f>
        <v>131</v>
      </c>
      <c r="N1364" s="5">
        <f>_xlfn.XLOOKUP(CustomerCombined[[#This Row],[ID]], Table4[ID], Table4[Seafood], "Not Found", 0)</f>
        <v>52</v>
      </c>
      <c r="O1364" s="5">
        <f>_xlfn.XLOOKUP(CustomerCombined[[#This Row],[ID]], Table4[ID], Table4[Sweets], "Not Found", 0)</f>
        <v>24</v>
      </c>
      <c r="P1364" s="5">
        <f>_xlfn.XLOOKUP(CustomerCombined[[#This Row],[ID]], Table4[ID], Table4[Premium], "Not Found", 0)</f>
        <v>115</v>
      </c>
      <c r="Q1364" s="5">
        <f>_xlfn.XLOOKUP(CustomerCombined[[#This Row],[ID]], Table4[ID], Table4[Regular], "Not Found", 0)</f>
        <v>255</v>
      </c>
      <c r="R1364" s="5">
        <f>_xlfn.XLOOKUP(CustomerCombined[[#This Row],[ID]], Table4[ID], Table4[Deals], "Not Found", 0)</f>
        <v>1</v>
      </c>
      <c r="S1364" s="5">
        <f>_xlfn.XLOOKUP(CustomerCombined[[#This Row],[ID]], Table4[ID], Table4[Website], "Not Found", 0)</f>
        <v>2</v>
      </c>
      <c r="T1364" s="5">
        <f>_xlfn.XLOOKUP(CustomerCombined[[#This Row],[ID]], Table4[ID], Table4[Catalog], "Not Found", 0)</f>
        <v>0</v>
      </c>
      <c r="U1364" s="5">
        <f>_xlfn.XLOOKUP(CustomerCombined[[#This Row],[ID]], Table4[ID], Table4[Store], "Not Found", 0)</f>
        <v>4</v>
      </c>
      <c r="V1364" s="5">
        <f>_xlfn.XLOOKUP(CustomerCombined[[#This Row],[ID]], Table4[ID], Table4[Visits], "Not Found", 0)</f>
        <v>4</v>
      </c>
      <c r="W1364" s="8">
        <f>_xlfn.XLOOKUP(CustomerCombined[[#This Row],[ID]], Table2[ID],Table2[Complaint], "Not Found", 0 )</f>
        <v>0</v>
      </c>
      <c r="X1364" s="8">
        <f>_xlfn.XLOOKUP(CustomerCombined[[#This Row],[ID]], Table2[ID],Table2[Pilot], "Not Found", 0 )</f>
        <v>0</v>
      </c>
      <c r="Y1364" s="8">
        <f>_xlfn.XLOOKUP(CustomerCombined[[#This Row],[ID]], Table2[ID],Table2[MC1], "Not Found", 0 )</f>
        <v>0</v>
      </c>
      <c r="Z1364" s="8">
        <f>_xlfn.XLOOKUP(CustomerCombined[[#This Row],[ID]], Table2[ID],Table2[MC2], "Not Found", 0 )</f>
        <v>0</v>
      </c>
      <c r="AA1364" s="8">
        <f>_xlfn.XLOOKUP(CustomerCombined[[#This Row],[ID]], Table2[ID],Table2[MC3], "Not Found", 0 )</f>
        <v>0</v>
      </c>
      <c r="AB1364" s="8">
        <f>_xlfn.XLOOKUP(CustomerCombined[[#This Row],[ID]], Table2[ID],Table2[MC4], "Not Found", 0 )</f>
        <v>0</v>
      </c>
      <c r="AC1364" s="8">
        <f>_xlfn.XLOOKUP(CustomerCombined[[#This Row],[ID]], Table2[ID],Table2[MC5], "Not Found", 0 )</f>
        <v>0</v>
      </c>
    </row>
    <row r="1365" spans="1:29" x14ac:dyDescent="0.3">
      <c r="A1365" s="6">
        <v>2004</v>
      </c>
      <c r="B1365" s="6">
        <v>133564</v>
      </c>
      <c r="C1365" s="6">
        <v>0</v>
      </c>
      <c r="D1365" s="6">
        <v>1</v>
      </c>
      <c r="E1365" s="6">
        <v>54</v>
      </c>
      <c r="F1365" s="5" t="s">
        <v>8</v>
      </c>
      <c r="G1365" s="5" t="s">
        <v>12</v>
      </c>
      <c r="H1365" s="3" t="s">
        <v>25</v>
      </c>
      <c r="I1365" s="5" t="s">
        <v>436</v>
      </c>
      <c r="J1365" s="5">
        <f>_xlfn.XLOOKUP(CustomerCombined[[#This Row],[ID]], Table4[ID], Table4[Recency], "Not Found", 0)</f>
        <v>51</v>
      </c>
      <c r="K1365" s="5">
        <f>_xlfn.XLOOKUP(CustomerCombined[[#This Row],[ID]], Table4[ID], Table4[Teas], "Not Found", 0)</f>
        <v>243</v>
      </c>
      <c r="L1365" s="5">
        <f>_xlfn.XLOOKUP(CustomerCombined[[#This Row],[ID]], Table4[ID], Table4[Fruits], "Not Found", 0)</f>
        <v>0</v>
      </c>
      <c r="M1365" s="5">
        <f>_xlfn.XLOOKUP(CustomerCombined[[#This Row],[ID]], Table4[ID], Table4[Meats], "Not Found", 0)</f>
        <v>12</v>
      </c>
      <c r="N1365" s="5">
        <f>_xlfn.XLOOKUP(CustomerCombined[[#This Row],[ID]], Table4[ID], Table4[Seafood], "Not Found", 0)</f>
        <v>0</v>
      </c>
      <c r="O1365" s="5">
        <f>_xlfn.XLOOKUP(CustomerCombined[[#This Row],[ID]], Table4[ID], Table4[Sweets], "Not Found", 0)</f>
        <v>0</v>
      </c>
      <c r="P1365" s="5">
        <f>_xlfn.XLOOKUP(CustomerCombined[[#This Row],[ID]], Table4[ID], Table4[Premium], "Not Found", 0)</f>
        <v>28</v>
      </c>
      <c r="Q1365" s="5">
        <f>_xlfn.XLOOKUP(CustomerCombined[[#This Row],[ID]], Table4[ID], Table4[Regular], "Not Found", 0)</f>
        <v>227</v>
      </c>
      <c r="R1365" s="5">
        <f>_xlfn.XLOOKUP(CustomerCombined[[#This Row],[ID]], Table4[ID], Table4[Deals], "Not Found", 0)</f>
        <v>1</v>
      </c>
      <c r="S1365" s="5">
        <f>_xlfn.XLOOKUP(CustomerCombined[[#This Row],[ID]], Table4[ID], Table4[Website], "Not Found", 0)</f>
        <v>1</v>
      </c>
      <c r="T1365" s="5">
        <f>_xlfn.XLOOKUP(CustomerCombined[[#This Row],[ID]], Table4[ID], Table4[Catalog], "Not Found", 0)</f>
        <v>1</v>
      </c>
      <c r="U1365" s="5">
        <f>_xlfn.XLOOKUP(CustomerCombined[[#This Row],[ID]], Table4[ID], Table4[Store], "Not Found", 0)</f>
        <v>3</v>
      </c>
      <c r="V1365" s="5">
        <f>_xlfn.XLOOKUP(CustomerCombined[[#This Row],[ID]], Table4[ID], Table4[Visits], "Not Found", 0)</f>
        <v>5</v>
      </c>
      <c r="W1365" s="8">
        <f>_xlfn.XLOOKUP(CustomerCombined[[#This Row],[ID]], Table2[ID],Table2[Complaint], "Not Found", 0 )</f>
        <v>0</v>
      </c>
      <c r="X1365" s="8">
        <f>_xlfn.XLOOKUP(CustomerCombined[[#This Row],[ID]], Table2[ID],Table2[Pilot], "Not Found", 0 )</f>
        <v>0</v>
      </c>
      <c r="Y1365" s="8">
        <f>_xlfn.XLOOKUP(CustomerCombined[[#This Row],[ID]], Table2[ID],Table2[MC1], "Not Found", 0 )</f>
        <v>0</v>
      </c>
      <c r="Z1365" s="8">
        <f>_xlfn.XLOOKUP(CustomerCombined[[#This Row],[ID]], Table2[ID],Table2[MC2], "Not Found", 0 )</f>
        <v>0</v>
      </c>
      <c r="AA1365" s="8">
        <f>_xlfn.XLOOKUP(CustomerCombined[[#This Row],[ID]], Table2[ID],Table2[MC3], "Not Found", 0 )</f>
        <v>0</v>
      </c>
      <c r="AB1365" s="8">
        <f>_xlfn.XLOOKUP(CustomerCombined[[#This Row],[ID]], Table2[ID],Table2[MC4], "Not Found", 0 )</f>
        <v>0</v>
      </c>
      <c r="AC1365" s="8">
        <f>_xlfn.XLOOKUP(CustomerCombined[[#This Row],[ID]], Table2[ID],Table2[MC5], "Not Found", 0 )</f>
        <v>0</v>
      </c>
    </row>
    <row r="1366" spans="1:29" x14ac:dyDescent="0.3">
      <c r="A1366" s="6">
        <v>2978</v>
      </c>
      <c r="B1366" s="6">
        <v>133279</v>
      </c>
      <c r="C1366" s="6">
        <v>0</v>
      </c>
      <c r="D1366" s="6">
        <v>0</v>
      </c>
      <c r="E1366" s="6">
        <v>54</v>
      </c>
      <c r="F1366" s="5" t="s">
        <v>7</v>
      </c>
      <c r="G1366" s="5" t="s">
        <v>11</v>
      </c>
      <c r="H1366" s="3" t="s">
        <v>37</v>
      </c>
      <c r="I1366" s="5" t="s">
        <v>438</v>
      </c>
      <c r="J1366" s="5">
        <f>_xlfn.XLOOKUP(CustomerCombined[[#This Row],[ID]], Table4[ID], Table4[Recency], "Not Found", 0)</f>
        <v>29</v>
      </c>
      <c r="K1366" s="5">
        <f>_xlfn.XLOOKUP(CustomerCombined[[#This Row],[ID]], Table4[ID], Table4[Teas], "Not Found", 0)</f>
        <v>40</v>
      </c>
      <c r="L1366" s="5">
        <f>_xlfn.XLOOKUP(CustomerCombined[[#This Row],[ID]], Table4[ID], Table4[Fruits], "Not Found", 0)</f>
        <v>12</v>
      </c>
      <c r="M1366" s="5">
        <f>_xlfn.XLOOKUP(CustomerCombined[[#This Row],[ID]], Table4[ID], Table4[Meats], "Not Found", 0)</f>
        <v>12</v>
      </c>
      <c r="N1366" s="5">
        <f>_xlfn.XLOOKUP(CustomerCombined[[#This Row],[ID]], Table4[ID], Table4[Seafood], "Not Found", 0)</f>
        <v>0</v>
      </c>
      <c r="O1366" s="5">
        <f>_xlfn.XLOOKUP(CustomerCombined[[#This Row],[ID]], Table4[ID], Table4[Sweets], "Not Found", 0)</f>
        <v>0</v>
      </c>
      <c r="P1366" s="5">
        <f>_xlfn.XLOOKUP(CustomerCombined[[#This Row],[ID]], Table4[ID], Table4[Premium], "Not Found", 0)</f>
        <v>0</v>
      </c>
      <c r="Q1366" s="5">
        <f>_xlfn.XLOOKUP(CustomerCombined[[#This Row],[ID]], Table4[ID], Table4[Regular], "Not Found", 0)</f>
        <v>64</v>
      </c>
      <c r="R1366" s="5">
        <f>_xlfn.XLOOKUP(CustomerCombined[[#This Row],[ID]], Table4[ID], Table4[Deals], "Not Found", 0)</f>
        <v>1</v>
      </c>
      <c r="S1366" s="5">
        <f>_xlfn.XLOOKUP(CustomerCombined[[#This Row],[ID]], Table4[ID], Table4[Website], "Not Found", 0)</f>
        <v>0</v>
      </c>
      <c r="T1366" s="5">
        <f>_xlfn.XLOOKUP(CustomerCombined[[#This Row],[ID]], Table4[ID], Table4[Catalog], "Not Found", 0)</f>
        <v>0</v>
      </c>
      <c r="U1366" s="5">
        <f>_xlfn.XLOOKUP(CustomerCombined[[#This Row],[ID]], Table4[ID], Table4[Store], "Not Found", 0)</f>
        <v>3</v>
      </c>
      <c r="V1366" s="5">
        <f>_xlfn.XLOOKUP(CustomerCombined[[#This Row],[ID]], Table4[ID], Table4[Visits], "Not Found", 0)</f>
        <v>3</v>
      </c>
      <c r="W1366" s="8">
        <f>_xlfn.XLOOKUP(CustomerCombined[[#This Row],[ID]], Table2[ID],Table2[Complaint], "Not Found", 0 )</f>
        <v>0</v>
      </c>
      <c r="X1366" s="8">
        <f>_xlfn.XLOOKUP(CustomerCombined[[#This Row],[ID]], Table2[ID],Table2[Pilot], "Not Found", 0 )</f>
        <v>0</v>
      </c>
      <c r="Y1366" s="8">
        <f>_xlfn.XLOOKUP(CustomerCombined[[#This Row],[ID]], Table2[ID],Table2[MC1], "Not Found", 0 )</f>
        <v>0</v>
      </c>
      <c r="Z1366" s="8">
        <f>_xlfn.XLOOKUP(CustomerCombined[[#This Row],[ID]], Table2[ID],Table2[MC2], "Not Found", 0 )</f>
        <v>0</v>
      </c>
      <c r="AA1366" s="8">
        <f>_xlfn.XLOOKUP(CustomerCombined[[#This Row],[ID]], Table2[ID],Table2[MC3], "Not Found", 0 )</f>
        <v>0</v>
      </c>
      <c r="AB1366" s="8">
        <f>_xlfn.XLOOKUP(CustomerCombined[[#This Row],[ID]], Table2[ID],Table2[MC4], "Not Found", 0 )</f>
        <v>0</v>
      </c>
      <c r="AC1366" s="8">
        <f>_xlfn.XLOOKUP(CustomerCombined[[#This Row],[ID]], Table2[ID],Table2[MC5], "Not Found", 0 )</f>
        <v>0</v>
      </c>
    </row>
    <row r="1367" spans="1:29" x14ac:dyDescent="0.3">
      <c r="A1367" s="6">
        <v>1834</v>
      </c>
      <c r="B1367" s="6">
        <v>130843</v>
      </c>
      <c r="C1367" s="6">
        <v>1</v>
      </c>
      <c r="D1367" s="6">
        <v>1</v>
      </c>
      <c r="E1367" s="6">
        <v>54</v>
      </c>
      <c r="F1367" s="5" t="s">
        <v>8</v>
      </c>
      <c r="G1367" s="5" t="s">
        <v>13</v>
      </c>
      <c r="H1367" s="3" t="s">
        <v>41</v>
      </c>
      <c r="I1367" s="5" t="s">
        <v>439</v>
      </c>
      <c r="J1367" s="5">
        <f>_xlfn.XLOOKUP(CustomerCombined[[#This Row],[ID]], Table4[ID], Table4[Recency], "Not Found", 0)</f>
        <v>43</v>
      </c>
      <c r="K1367" s="5">
        <f>_xlfn.XLOOKUP(CustomerCombined[[#This Row],[ID]], Table4[ID], Table4[Teas], "Not Found", 0)</f>
        <v>102</v>
      </c>
      <c r="L1367" s="5">
        <f>_xlfn.XLOOKUP(CustomerCombined[[#This Row],[ID]], Table4[ID], Table4[Fruits], "Not Found", 0)</f>
        <v>0</v>
      </c>
      <c r="M1367" s="5">
        <f>_xlfn.XLOOKUP(CustomerCombined[[#This Row],[ID]], Table4[ID], Table4[Meats], "Not Found", 0)</f>
        <v>8</v>
      </c>
      <c r="N1367" s="5">
        <f>_xlfn.XLOOKUP(CustomerCombined[[#This Row],[ID]], Table4[ID], Table4[Seafood], "Not Found", 0)</f>
        <v>0</v>
      </c>
      <c r="O1367" s="5">
        <f>_xlfn.XLOOKUP(CustomerCombined[[#This Row],[ID]], Table4[ID], Table4[Sweets], "Not Found", 0)</f>
        <v>0</v>
      </c>
      <c r="P1367" s="5">
        <f>_xlfn.XLOOKUP(CustomerCombined[[#This Row],[ID]], Table4[ID], Table4[Premium], "Not Found", 0)</f>
        <v>38</v>
      </c>
      <c r="Q1367" s="5">
        <f>_xlfn.XLOOKUP(CustomerCombined[[#This Row],[ID]], Table4[ID], Table4[Regular], "Not Found", 0)</f>
        <v>72</v>
      </c>
      <c r="R1367" s="5">
        <f>_xlfn.XLOOKUP(CustomerCombined[[#This Row],[ID]], Table4[ID], Table4[Deals], "Not Found", 0)</f>
        <v>2</v>
      </c>
      <c r="S1367" s="5">
        <f>_xlfn.XLOOKUP(CustomerCombined[[#This Row],[ID]], Table4[ID], Table4[Website], "Not Found", 0)</f>
        <v>1</v>
      </c>
      <c r="T1367" s="5">
        <f>_xlfn.XLOOKUP(CustomerCombined[[#This Row],[ID]], Table4[ID], Table4[Catalog], "Not Found", 0)</f>
        <v>1</v>
      </c>
      <c r="U1367" s="5">
        <f>_xlfn.XLOOKUP(CustomerCombined[[#This Row],[ID]], Table4[ID], Table4[Store], "Not Found", 0)</f>
        <v>2</v>
      </c>
      <c r="V1367" s="5">
        <f>_xlfn.XLOOKUP(CustomerCombined[[#This Row],[ID]], Table4[ID], Table4[Visits], "Not Found", 0)</f>
        <v>5</v>
      </c>
      <c r="W1367" s="8">
        <f>_xlfn.XLOOKUP(CustomerCombined[[#This Row],[ID]], Table2[ID],Table2[Complaint], "Not Found", 0 )</f>
        <v>0</v>
      </c>
      <c r="X1367" s="8">
        <f>_xlfn.XLOOKUP(CustomerCombined[[#This Row],[ID]], Table2[ID],Table2[Pilot], "Not Found", 0 )</f>
        <v>0</v>
      </c>
      <c r="Y1367" s="8">
        <f>_xlfn.XLOOKUP(CustomerCombined[[#This Row],[ID]], Table2[ID],Table2[MC1], "Not Found", 0 )</f>
        <v>0</v>
      </c>
      <c r="Z1367" s="8">
        <f>_xlfn.XLOOKUP(CustomerCombined[[#This Row],[ID]], Table2[ID],Table2[MC2], "Not Found", 0 )</f>
        <v>0</v>
      </c>
      <c r="AA1367" s="8">
        <f>_xlfn.XLOOKUP(CustomerCombined[[#This Row],[ID]], Table2[ID],Table2[MC3], "Not Found", 0 )</f>
        <v>1</v>
      </c>
      <c r="AB1367" s="8">
        <f>_xlfn.XLOOKUP(CustomerCombined[[#This Row],[ID]], Table2[ID],Table2[MC4], "Not Found", 0 )</f>
        <v>0</v>
      </c>
      <c r="AC1367" s="8">
        <f>_xlfn.XLOOKUP(CustomerCombined[[#This Row],[ID]], Table2[ID],Table2[MC5], "Not Found", 0 )</f>
        <v>0</v>
      </c>
    </row>
    <row r="1368" spans="1:29" x14ac:dyDescent="0.3">
      <c r="A1368" s="6">
        <v>3107</v>
      </c>
      <c r="B1368" s="6">
        <v>129435</v>
      </c>
      <c r="C1368" s="6">
        <v>1</v>
      </c>
      <c r="D1368" s="6">
        <v>1</v>
      </c>
      <c r="E1368" s="6">
        <v>54</v>
      </c>
      <c r="F1368" s="5" t="s">
        <v>5</v>
      </c>
      <c r="G1368" s="5" t="s">
        <v>12</v>
      </c>
      <c r="H1368" s="3">
        <v>43770</v>
      </c>
      <c r="I1368" s="5" t="s">
        <v>434</v>
      </c>
      <c r="J1368" s="5">
        <f>_xlfn.XLOOKUP(CustomerCombined[[#This Row],[ID]], Table4[ID], Table4[Recency], "Not Found", 0)</f>
        <v>11</v>
      </c>
      <c r="K1368" s="5">
        <f>_xlfn.XLOOKUP(CustomerCombined[[#This Row],[ID]], Table4[ID], Table4[Teas], "Not Found", 0)</f>
        <v>308</v>
      </c>
      <c r="L1368" s="5">
        <f>_xlfn.XLOOKUP(CustomerCombined[[#This Row],[ID]], Table4[ID], Table4[Fruits], "Not Found", 0)</f>
        <v>13</v>
      </c>
      <c r="M1368" s="5">
        <f>_xlfn.XLOOKUP(CustomerCombined[[#This Row],[ID]], Table4[ID], Table4[Meats], "Not Found", 0)</f>
        <v>163</v>
      </c>
      <c r="N1368" s="5">
        <f>_xlfn.XLOOKUP(CustomerCombined[[#This Row],[ID]], Table4[ID], Table4[Seafood], "Not Found", 0)</f>
        <v>18</v>
      </c>
      <c r="O1368" s="5">
        <f>_xlfn.XLOOKUP(CustomerCombined[[#This Row],[ID]], Table4[ID], Table4[Sweets], "Not Found", 0)</f>
        <v>9</v>
      </c>
      <c r="P1368" s="5">
        <f>_xlfn.XLOOKUP(CustomerCombined[[#This Row],[ID]], Table4[ID], Table4[Premium], "Not Found", 0)</f>
        <v>281</v>
      </c>
      <c r="Q1368" s="5">
        <f>_xlfn.XLOOKUP(CustomerCombined[[#This Row],[ID]], Table4[ID], Table4[Regular], "Not Found", 0)</f>
        <v>229</v>
      </c>
      <c r="R1368" s="5">
        <f>_xlfn.XLOOKUP(CustomerCombined[[#This Row],[ID]], Table4[ID], Table4[Deals], "Not Found", 0)</f>
        <v>4</v>
      </c>
      <c r="S1368" s="5">
        <f>_xlfn.XLOOKUP(CustomerCombined[[#This Row],[ID]], Table4[ID], Table4[Website], "Not Found", 0)</f>
        <v>3</v>
      </c>
      <c r="T1368" s="5">
        <f>_xlfn.XLOOKUP(CustomerCombined[[#This Row],[ID]], Table4[ID], Table4[Catalog], "Not Found", 0)</f>
        <v>2</v>
      </c>
      <c r="U1368" s="5">
        <f>_xlfn.XLOOKUP(CustomerCombined[[#This Row],[ID]], Table4[ID], Table4[Store], "Not Found", 0)</f>
        <v>2</v>
      </c>
      <c r="V1368" s="5">
        <f>_xlfn.XLOOKUP(CustomerCombined[[#This Row],[ID]], Table4[ID], Table4[Visits], "Not Found", 0)</f>
        <v>9</v>
      </c>
      <c r="W1368" s="8">
        <f>_xlfn.XLOOKUP(CustomerCombined[[#This Row],[ID]], Table2[ID],Table2[Complaint], "Not Found", 0 )</f>
        <v>0</v>
      </c>
      <c r="X1368" s="8">
        <f>_xlfn.XLOOKUP(CustomerCombined[[#This Row],[ID]], Table2[ID],Table2[Pilot], "Not Found", 0 )</f>
        <v>1</v>
      </c>
      <c r="Y1368" s="8">
        <f>_xlfn.XLOOKUP(CustomerCombined[[#This Row],[ID]], Table2[ID],Table2[MC1], "Not Found", 0 )</f>
        <v>0</v>
      </c>
      <c r="Z1368" s="8">
        <f>_xlfn.XLOOKUP(CustomerCombined[[#This Row],[ID]], Table2[ID],Table2[MC2], "Not Found", 0 )</f>
        <v>0</v>
      </c>
      <c r="AA1368" s="8">
        <f>_xlfn.XLOOKUP(CustomerCombined[[#This Row],[ID]], Table2[ID],Table2[MC3], "Not Found", 0 )</f>
        <v>0</v>
      </c>
      <c r="AB1368" s="8">
        <f>_xlfn.XLOOKUP(CustomerCombined[[#This Row],[ID]], Table2[ID],Table2[MC4], "Not Found", 0 )</f>
        <v>0</v>
      </c>
      <c r="AC1368" s="8">
        <f>_xlfn.XLOOKUP(CustomerCombined[[#This Row],[ID]], Table2[ID],Table2[MC5], "Not Found", 0 )</f>
        <v>0</v>
      </c>
    </row>
    <row r="1369" spans="1:29" x14ac:dyDescent="0.3">
      <c r="A1369" s="6">
        <v>2032</v>
      </c>
      <c r="B1369" s="6">
        <v>128764</v>
      </c>
      <c r="C1369" s="6">
        <v>1</v>
      </c>
      <c r="D1369" s="6">
        <v>1</v>
      </c>
      <c r="E1369" s="6">
        <v>54</v>
      </c>
      <c r="F1369" s="5" t="s">
        <v>8</v>
      </c>
      <c r="G1369" s="5" t="s">
        <v>13</v>
      </c>
      <c r="H1369" s="3">
        <v>44085</v>
      </c>
      <c r="I1369" s="5" t="s">
        <v>439</v>
      </c>
      <c r="J1369" s="5">
        <f>_xlfn.XLOOKUP(CustomerCombined[[#This Row],[ID]], Table4[ID], Table4[Recency], "Not Found", 0)</f>
        <v>16</v>
      </c>
      <c r="K1369" s="5">
        <f>_xlfn.XLOOKUP(CustomerCombined[[#This Row],[ID]], Table4[ID], Table4[Teas], "Not Found", 0)</f>
        <v>36</v>
      </c>
      <c r="L1369" s="5">
        <f>_xlfn.XLOOKUP(CustomerCombined[[#This Row],[ID]], Table4[ID], Table4[Fruits], "Not Found", 0)</f>
        <v>0</v>
      </c>
      <c r="M1369" s="5">
        <f>_xlfn.XLOOKUP(CustomerCombined[[#This Row],[ID]], Table4[ID], Table4[Meats], "Not Found", 0)</f>
        <v>13</v>
      </c>
      <c r="N1369" s="5">
        <f>_xlfn.XLOOKUP(CustomerCombined[[#This Row],[ID]], Table4[ID], Table4[Seafood], "Not Found", 0)</f>
        <v>0</v>
      </c>
      <c r="O1369" s="5">
        <f>_xlfn.XLOOKUP(CustomerCombined[[#This Row],[ID]], Table4[ID], Table4[Sweets], "Not Found", 0)</f>
        <v>0</v>
      </c>
      <c r="P1369" s="5">
        <f>_xlfn.XLOOKUP(CustomerCombined[[#This Row],[ID]], Table4[ID], Table4[Premium], "Not Found", 0)</f>
        <v>4</v>
      </c>
      <c r="Q1369" s="5">
        <f>_xlfn.XLOOKUP(CustomerCombined[[#This Row],[ID]], Table4[ID], Table4[Regular], "Not Found", 0)</f>
        <v>45</v>
      </c>
      <c r="R1369" s="5">
        <f>_xlfn.XLOOKUP(CustomerCombined[[#This Row],[ID]], Table4[ID], Table4[Deals], "Not Found", 0)</f>
        <v>1</v>
      </c>
      <c r="S1369" s="5">
        <f>_xlfn.XLOOKUP(CustomerCombined[[#This Row],[ID]], Table4[ID], Table4[Website], "Not Found", 0)</f>
        <v>1</v>
      </c>
      <c r="T1369" s="5">
        <f>_xlfn.XLOOKUP(CustomerCombined[[#This Row],[ID]], Table4[ID], Table4[Catalog], "Not Found", 0)</f>
        <v>0</v>
      </c>
      <c r="U1369" s="5">
        <f>_xlfn.XLOOKUP(CustomerCombined[[#This Row],[ID]], Table4[ID], Table4[Store], "Not Found", 0)</f>
        <v>2</v>
      </c>
      <c r="V1369" s="5">
        <f>_xlfn.XLOOKUP(CustomerCombined[[#This Row],[ID]], Table4[ID], Table4[Visits], "Not Found", 0)</f>
        <v>8</v>
      </c>
      <c r="W1369" s="8">
        <f>_xlfn.XLOOKUP(CustomerCombined[[#This Row],[ID]], Table2[ID],Table2[Complaint], "Not Found", 0 )</f>
        <v>0</v>
      </c>
      <c r="X1369" s="8">
        <f>_xlfn.XLOOKUP(CustomerCombined[[#This Row],[ID]], Table2[ID],Table2[Pilot], "Not Found", 0 )</f>
        <v>0</v>
      </c>
      <c r="Y1369" s="8">
        <f>_xlfn.XLOOKUP(CustomerCombined[[#This Row],[ID]], Table2[ID],Table2[MC1], "Not Found", 0 )</f>
        <v>0</v>
      </c>
      <c r="Z1369" s="8">
        <f>_xlfn.XLOOKUP(CustomerCombined[[#This Row],[ID]], Table2[ID],Table2[MC2], "Not Found", 0 )</f>
        <v>0</v>
      </c>
      <c r="AA1369" s="8">
        <f>_xlfn.XLOOKUP(CustomerCombined[[#This Row],[ID]], Table2[ID],Table2[MC3], "Not Found", 0 )</f>
        <v>1</v>
      </c>
      <c r="AB1369" s="8">
        <f>_xlfn.XLOOKUP(CustomerCombined[[#This Row],[ID]], Table2[ID],Table2[MC4], "Not Found", 0 )</f>
        <v>0</v>
      </c>
      <c r="AC1369" s="8">
        <f>_xlfn.XLOOKUP(CustomerCombined[[#This Row],[ID]], Table2[ID],Table2[MC5], "Not Found", 0 )</f>
        <v>0</v>
      </c>
    </row>
    <row r="1370" spans="1:29" x14ac:dyDescent="0.3">
      <c r="A1370" s="6">
        <v>1293</v>
      </c>
      <c r="B1370" s="6">
        <v>127038</v>
      </c>
      <c r="C1370" s="6">
        <v>0</v>
      </c>
      <c r="D1370" s="6">
        <v>0</v>
      </c>
      <c r="E1370" s="6">
        <v>54</v>
      </c>
      <c r="F1370" s="5" t="s">
        <v>9</v>
      </c>
      <c r="G1370" s="5" t="s">
        <v>11</v>
      </c>
      <c r="H1370" s="3" t="s">
        <v>393</v>
      </c>
      <c r="I1370" s="5" t="s">
        <v>435</v>
      </c>
      <c r="J1370" s="5">
        <f>_xlfn.XLOOKUP(CustomerCombined[[#This Row],[ID]], Table4[ID], Table4[Recency], "Not Found", 0)</f>
        <v>64</v>
      </c>
      <c r="K1370" s="5">
        <f>_xlfn.XLOOKUP(CustomerCombined[[#This Row],[ID]], Table4[ID], Table4[Teas], "Not Found", 0)</f>
        <v>5</v>
      </c>
      <c r="L1370" s="5">
        <f>_xlfn.XLOOKUP(CustomerCombined[[#This Row],[ID]], Table4[ID], Table4[Fruits], "Not Found", 0)</f>
        <v>122</v>
      </c>
      <c r="M1370" s="5">
        <f>_xlfn.XLOOKUP(CustomerCombined[[#This Row],[ID]], Table4[ID], Table4[Meats], "Not Found", 0)</f>
        <v>117</v>
      </c>
      <c r="N1370" s="5">
        <f>_xlfn.XLOOKUP(CustomerCombined[[#This Row],[ID]], Table4[ID], Table4[Seafood], "Not Found", 0)</f>
        <v>80</v>
      </c>
      <c r="O1370" s="5">
        <f>_xlfn.XLOOKUP(CustomerCombined[[#This Row],[ID]], Table4[ID], Table4[Sweets], "Not Found", 0)</f>
        <v>108</v>
      </c>
      <c r="P1370" s="5">
        <f>_xlfn.XLOOKUP(CustomerCombined[[#This Row],[ID]], Table4[ID], Table4[Premium], "Not Found", 0)</f>
        <v>70</v>
      </c>
      <c r="Q1370" s="5">
        <f>_xlfn.XLOOKUP(CustomerCombined[[#This Row],[ID]], Table4[ID], Table4[Regular], "Not Found", 0)</f>
        <v>362</v>
      </c>
      <c r="R1370" s="5">
        <f>_xlfn.XLOOKUP(CustomerCombined[[#This Row],[ID]], Table4[ID], Table4[Deals], "Not Found", 0)</f>
        <v>1</v>
      </c>
      <c r="S1370" s="5">
        <f>_xlfn.XLOOKUP(CustomerCombined[[#This Row],[ID]], Table4[ID], Table4[Website], "Not Found", 0)</f>
        <v>3</v>
      </c>
      <c r="T1370" s="5">
        <f>_xlfn.XLOOKUP(CustomerCombined[[#This Row],[ID]], Table4[ID], Table4[Catalog], "Not Found", 0)</f>
        <v>0</v>
      </c>
      <c r="U1370" s="5">
        <f>_xlfn.XLOOKUP(CustomerCombined[[#This Row],[ID]], Table4[ID], Table4[Store], "Not Found", 0)</f>
        <v>3</v>
      </c>
      <c r="V1370" s="5">
        <f>_xlfn.XLOOKUP(CustomerCombined[[#This Row],[ID]], Table4[ID], Table4[Visits], "Not Found", 0)</f>
        <v>9</v>
      </c>
      <c r="W1370" s="8">
        <f>_xlfn.XLOOKUP(CustomerCombined[[#This Row],[ID]], Table2[ID],Table2[Complaint], "Not Found", 0 )</f>
        <v>0</v>
      </c>
      <c r="X1370" s="8">
        <f>_xlfn.XLOOKUP(CustomerCombined[[#This Row],[ID]], Table2[ID],Table2[Pilot], "Not Found", 0 )</f>
        <v>1</v>
      </c>
      <c r="Y1370" s="8">
        <f>_xlfn.XLOOKUP(CustomerCombined[[#This Row],[ID]], Table2[ID],Table2[MC1], "Not Found", 0 )</f>
        <v>0</v>
      </c>
      <c r="Z1370" s="8">
        <f>_xlfn.XLOOKUP(CustomerCombined[[#This Row],[ID]], Table2[ID],Table2[MC2], "Not Found", 0 )</f>
        <v>0</v>
      </c>
      <c r="AA1370" s="8">
        <f>_xlfn.XLOOKUP(CustomerCombined[[#This Row],[ID]], Table2[ID],Table2[MC3], "Not Found", 0 )</f>
        <v>0</v>
      </c>
      <c r="AB1370" s="8">
        <f>_xlfn.XLOOKUP(CustomerCombined[[#This Row],[ID]], Table2[ID],Table2[MC4], "Not Found", 0 )</f>
        <v>0</v>
      </c>
      <c r="AC1370" s="8">
        <f>_xlfn.XLOOKUP(CustomerCombined[[#This Row],[ID]], Table2[ID],Table2[MC5], "Not Found", 0 )</f>
        <v>0</v>
      </c>
    </row>
    <row r="1371" spans="1:29" x14ac:dyDescent="0.3">
      <c r="A1371" s="6">
        <v>2099</v>
      </c>
      <c r="B1371" s="6">
        <v>122634</v>
      </c>
      <c r="C1371" s="6">
        <v>0</v>
      </c>
      <c r="D1371" s="6">
        <v>0</v>
      </c>
      <c r="E1371" s="6">
        <v>54</v>
      </c>
      <c r="F1371" s="5" t="s">
        <v>8</v>
      </c>
      <c r="G1371" s="5" t="s">
        <v>10</v>
      </c>
      <c r="H1371" s="3" t="s">
        <v>324</v>
      </c>
      <c r="I1371" s="5" t="s">
        <v>434</v>
      </c>
      <c r="J1371" s="5">
        <f>_xlfn.XLOOKUP(CustomerCombined[[#This Row],[ID]], Table4[ID], Table4[Recency], "Not Found", 0)</f>
        <v>47</v>
      </c>
      <c r="K1371" s="5">
        <f>_xlfn.XLOOKUP(CustomerCombined[[#This Row],[ID]], Table4[ID], Table4[Teas], "Not Found", 0)</f>
        <v>11</v>
      </c>
      <c r="L1371" s="5">
        <f>_xlfn.XLOOKUP(CustomerCombined[[#This Row],[ID]], Table4[ID], Table4[Fruits], "Not Found", 0)</f>
        <v>125</v>
      </c>
      <c r="M1371" s="5">
        <f>_xlfn.XLOOKUP(CustomerCombined[[#This Row],[ID]], Table4[ID], Table4[Meats], "Not Found", 0)</f>
        <v>60</v>
      </c>
      <c r="N1371" s="5">
        <f>_xlfn.XLOOKUP(CustomerCombined[[#This Row],[ID]], Table4[ID], Table4[Seafood], "Not Found", 0)</f>
        <v>43</v>
      </c>
      <c r="O1371" s="5">
        <f>_xlfn.XLOOKUP(CustomerCombined[[#This Row],[ID]], Table4[ID], Table4[Sweets], "Not Found", 0)</f>
        <v>33</v>
      </c>
      <c r="P1371" s="5">
        <f>_xlfn.XLOOKUP(CustomerCombined[[#This Row],[ID]], Table4[ID], Table4[Premium], "Not Found", 0)</f>
        <v>249</v>
      </c>
      <c r="Q1371" s="5">
        <f>_xlfn.XLOOKUP(CustomerCombined[[#This Row],[ID]], Table4[ID], Table4[Regular], "Not Found", 0)</f>
        <v>22</v>
      </c>
      <c r="R1371" s="5">
        <f>_xlfn.XLOOKUP(CustomerCombined[[#This Row],[ID]], Table4[ID], Table4[Deals], "Not Found", 0)</f>
        <v>1</v>
      </c>
      <c r="S1371" s="5">
        <f>_xlfn.XLOOKUP(CustomerCombined[[#This Row],[ID]], Table4[ID], Table4[Website], "Not Found", 0)</f>
        <v>2</v>
      </c>
      <c r="T1371" s="5">
        <f>_xlfn.XLOOKUP(CustomerCombined[[#This Row],[ID]], Table4[ID], Table4[Catalog], "Not Found", 0)</f>
        <v>1</v>
      </c>
      <c r="U1371" s="5">
        <f>_xlfn.XLOOKUP(CustomerCombined[[#This Row],[ID]], Table4[ID], Table4[Store], "Not Found", 0)</f>
        <v>2</v>
      </c>
      <c r="V1371" s="5">
        <f>_xlfn.XLOOKUP(CustomerCombined[[#This Row],[ID]], Table4[ID], Table4[Visits], "Not Found", 0)</f>
        <v>8</v>
      </c>
      <c r="W1371" s="8">
        <f>_xlfn.XLOOKUP(CustomerCombined[[#This Row],[ID]], Table2[ID],Table2[Complaint], "Not Found", 0 )</f>
        <v>0</v>
      </c>
      <c r="X1371" s="8">
        <f>_xlfn.XLOOKUP(CustomerCombined[[#This Row],[ID]], Table2[ID],Table2[Pilot], "Not Found", 0 )</f>
        <v>0</v>
      </c>
      <c r="Y1371" s="8">
        <f>_xlfn.XLOOKUP(CustomerCombined[[#This Row],[ID]], Table2[ID],Table2[MC1], "Not Found", 0 )</f>
        <v>0</v>
      </c>
      <c r="Z1371" s="8">
        <f>_xlfn.XLOOKUP(CustomerCombined[[#This Row],[ID]], Table2[ID],Table2[MC2], "Not Found", 0 )</f>
        <v>0</v>
      </c>
      <c r="AA1371" s="8">
        <f>_xlfn.XLOOKUP(CustomerCombined[[#This Row],[ID]], Table2[ID],Table2[MC3], "Not Found", 0 )</f>
        <v>0</v>
      </c>
      <c r="AB1371" s="8">
        <f>_xlfn.XLOOKUP(CustomerCombined[[#This Row],[ID]], Table2[ID],Table2[MC4], "Not Found", 0 )</f>
        <v>0</v>
      </c>
      <c r="AC1371" s="8">
        <f>_xlfn.XLOOKUP(CustomerCombined[[#This Row],[ID]], Table2[ID],Table2[MC5], "Not Found", 0 )</f>
        <v>0</v>
      </c>
    </row>
    <row r="1372" spans="1:29" x14ac:dyDescent="0.3">
      <c r="A1372" s="6">
        <v>2392</v>
      </c>
      <c r="B1372" s="6">
        <v>122634</v>
      </c>
      <c r="C1372" s="6">
        <v>0</v>
      </c>
      <c r="D1372" s="6">
        <v>0</v>
      </c>
      <c r="E1372" s="6">
        <v>54</v>
      </c>
      <c r="F1372" s="5" t="s">
        <v>8</v>
      </c>
      <c r="G1372" s="5" t="s">
        <v>10</v>
      </c>
      <c r="H1372" s="3" t="s">
        <v>324</v>
      </c>
      <c r="I1372" s="5" t="s">
        <v>439</v>
      </c>
      <c r="J1372" s="5">
        <f>_xlfn.XLOOKUP(CustomerCombined[[#This Row],[ID]], Table4[ID], Table4[Recency], "Not Found", 0)</f>
        <v>47</v>
      </c>
      <c r="K1372" s="5">
        <f>_xlfn.XLOOKUP(CustomerCombined[[#This Row],[ID]], Table4[ID], Table4[Teas], "Not Found", 0)</f>
        <v>11</v>
      </c>
      <c r="L1372" s="5">
        <f>_xlfn.XLOOKUP(CustomerCombined[[#This Row],[ID]], Table4[ID], Table4[Fruits], "Not Found", 0)</f>
        <v>125</v>
      </c>
      <c r="M1372" s="5">
        <f>_xlfn.XLOOKUP(CustomerCombined[[#This Row],[ID]], Table4[ID], Table4[Meats], "Not Found", 0)</f>
        <v>60</v>
      </c>
      <c r="N1372" s="5">
        <f>_xlfn.XLOOKUP(CustomerCombined[[#This Row],[ID]], Table4[ID], Table4[Seafood], "Not Found", 0)</f>
        <v>43</v>
      </c>
      <c r="O1372" s="5">
        <f>_xlfn.XLOOKUP(CustomerCombined[[#This Row],[ID]], Table4[ID], Table4[Sweets], "Not Found", 0)</f>
        <v>33</v>
      </c>
      <c r="P1372" s="5">
        <f>_xlfn.XLOOKUP(CustomerCombined[[#This Row],[ID]], Table4[ID], Table4[Premium], "Not Found", 0)</f>
        <v>249</v>
      </c>
      <c r="Q1372" s="5">
        <f>_xlfn.XLOOKUP(CustomerCombined[[#This Row],[ID]], Table4[ID], Table4[Regular], "Not Found", 0)</f>
        <v>22</v>
      </c>
      <c r="R1372" s="5">
        <f>_xlfn.XLOOKUP(CustomerCombined[[#This Row],[ID]], Table4[ID], Table4[Deals], "Not Found", 0)</f>
        <v>1</v>
      </c>
      <c r="S1372" s="5">
        <f>_xlfn.XLOOKUP(CustomerCombined[[#This Row],[ID]], Table4[ID], Table4[Website], "Not Found", 0)</f>
        <v>2</v>
      </c>
      <c r="T1372" s="5">
        <f>_xlfn.XLOOKUP(CustomerCombined[[#This Row],[ID]], Table4[ID], Table4[Catalog], "Not Found", 0)</f>
        <v>1</v>
      </c>
      <c r="U1372" s="5">
        <f>_xlfn.XLOOKUP(CustomerCombined[[#This Row],[ID]], Table4[ID], Table4[Store], "Not Found", 0)</f>
        <v>2</v>
      </c>
      <c r="V1372" s="5">
        <f>_xlfn.XLOOKUP(CustomerCombined[[#This Row],[ID]], Table4[ID], Table4[Visits], "Not Found", 0)</f>
        <v>8</v>
      </c>
      <c r="W1372" s="8">
        <f>_xlfn.XLOOKUP(CustomerCombined[[#This Row],[ID]], Table2[ID],Table2[Complaint], "Not Found", 0 )</f>
        <v>0</v>
      </c>
      <c r="X1372" s="8">
        <f>_xlfn.XLOOKUP(CustomerCombined[[#This Row],[ID]], Table2[ID],Table2[Pilot], "Not Found", 0 )</f>
        <v>0</v>
      </c>
      <c r="Y1372" s="8">
        <f>_xlfn.XLOOKUP(CustomerCombined[[#This Row],[ID]], Table2[ID],Table2[MC1], "Not Found", 0 )</f>
        <v>0</v>
      </c>
      <c r="Z1372" s="8">
        <f>_xlfn.XLOOKUP(CustomerCombined[[#This Row],[ID]], Table2[ID],Table2[MC2], "Not Found", 0 )</f>
        <v>0</v>
      </c>
      <c r="AA1372" s="8">
        <f>_xlfn.XLOOKUP(CustomerCombined[[#This Row],[ID]], Table2[ID],Table2[MC3], "Not Found", 0 )</f>
        <v>0</v>
      </c>
      <c r="AB1372" s="8">
        <f>_xlfn.XLOOKUP(CustomerCombined[[#This Row],[ID]], Table2[ID],Table2[MC4], "Not Found", 0 )</f>
        <v>0</v>
      </c>
      <c r="AC1372" s="8">
        <f>_xlfn.XLOOKUP(CustomerCombined[[#This Row],[ID]], Table2[ID],Table2[MC5], "Not Found", 0 )</f>
        <v>0</v>
      </c>
    </row>
    <row r="1373" spans="1:29" x14ac:dyDescent="0.3">
      <c r="A1373" s="6">
        <v>2781</v>
      </c>
      <c r="B1373" s="6">
        <v>107144</v>
      </c>
      <c r="C1373" s="6">
        <v>0</v>
      </c>
      <c r="D1373" s="6">
        <v>2</v>
      </c>
      <c r="E1373" s="6">
        <v>54</v>
      </c>
      <c r="F1373" s="5" t="s">
        <v>7</v>
      </c>
      <c r="G1373" s="5" t="s">
        <v>13</v>
      </c>
      <c r="H1373" s="3" t="s">
        <v>141</v>
      </c>
      <c r="I1373" s="5" t="s">
        <v>435</v>
      </c>
      <c r="J1373" s="5">
        <f>_xlfn.XLOOKUP(CustomerCombined[[#This Row],[ID]], Table4[ID], Table4[Recency], "Not Found", 0)</f>
        <v>92</v>
      </c>
      <c r="K1373" s="5">
        <f>_xlfn.XLOOKUP(CustomerCombined[[#This Row],[ID]], Table4[ID], Table4[Teas], "Not Found", 0)</f>
        <v>1215</v>
      </c>
      <c r="L1373" s="5">
        <f>_xlfn.XLOOKUP(CustomerCombined[[#This Row],[ID]], Table4[ID], Table4[Fruits], "Not Found", 0)</f>
        <v>60</v>
      </c>
      <c r="M1373" s="5">
        <f>_xlfn.XLOOKUP(CustomerCombined[[#This Row],[ID]], Table4[ID], Table4[Meats], "Not Found", 0)</f>
        <v>495</v>
      </c>
      <c r="N1373" s="5">
        <f>_xlfn.XLOOKUP(CustomerCombined[[#This Row],[ID]], Table4[ID], Table4[Seafood], "Not Found", 0)</f>
        <v>75</v>
      </c>
      <c r="O1373" s="5">
        <f>_xlfn.XLOOKUP(CustomerCombined[[#This Row],[ID]], Table4[ID], Table4[Sweets], "Not Found", 0)</f>
        <v>30</v>
      </c>
      <c r="P1373" s="5">
        <f>_xlfn.XLOOKUP(CustomerCombined[[#This Row],[ID]], Table4[ID], Table4[Premium], "Not Found", 0)</f>
        <v>4364</v>
      </c>
      <c r="Q1373" s="5">
        <f>_xlfn.XLOOKUP(CustomerCombined[[#This Row],[ID]], Table4[ID], Table4[Regular], "Not Found", 0)</f>
        <v>-2490</v>
      </c>
      <c r="R1373" s="5">
        <f>_xlfn.XLOOKUP(CustomerCombined[[#This Row],[ID]], Table4[ID], Table4[Deals], "Not Found", 0)</f>
        <v>0</v>
      </c>
      <c r="S1373" s="5">
        <f>_xlfn.XLOOKUP(CustomerCombined[[#This Row],[ID]], Table4[ID], Table4[Website], "Not Found", 0)</f>
        <v>23</v>
      </c>
      <c r="T1373" s="5">
        <f>_xlfn.XLOOKUP(CustomerCombined[[#This Row],[ID]], Table4[ID], Table4[Catalog], "Not Found", 0)</f>
        <v>1</v>
      </c>
      <c r="U1373" s="5">
        <f>_xlfn.XLOOKUP(CustomerCombined[[#This Row],[ID]], Table4[ID], Table4[Store], "Not Found", 0)</f>
        <v>1</v>
      </c>
      <c r="V1373" s="5">
        <f>_xlfn.XLOOKUP(CustomerCombined[[#This Row],[ID]], Table4[ID], Table4[Visits], "Not Found", 0)</f>
        <v>0</v>
      </c>
      <c r="W1373" s="8">
        <f>_xlfn.XLOOKUP(CustomerCombined[[#This Row],[ID]], Table2[ID],Table2[Complaint], "Not Found", 0 )</f>
        <v>0</v>
      </c>
      <c r="X1373" s="8">
        <f>_xlfn.XLOOKUP(CustomerCombined[[#This Row],[ID]], Table2[ID],Table2[Pilot], "Not Found", 0 )</f>
        <v>0</v>
      </c>
      <c r="Y1373" s="8">
        <f>_xlfn.XLOOKUP(CustomerCombined[[#This Row],[ID]], Table2[ID],Table2[MC1], "Not Found", 0 )</f>
        <v>0</v>
      </c>
      <c r="Z1373" s="8">
        <f>_xlfn.XLOOKUP(CustomerCombined[[#This Row],[ID]], Table2[ID],Table2[MC2], "Not Found", 0 )</f>
        <v>0</v>
      </c>
      <c r="AA1373" s="8">
        <f>_xlfn.XLOOKUP(CustomerCombined[[#This Row],[ID]], Table2[ID],Table2[MC3], "Not Found", 0 )</f>
        <v>0</v>
      </c>
      <c r="AB1373" s="8">
        <f>_xlfn.XLOOKUP(CustomerCombined[[#This Row],[ID]], Table2[ID],Table2[MC4], "Not Found", 0 )</f>
        <v>0</v>
      </c>
      <c r="AC1373" s="8">
        <f>_xlfn.XLOOKUP(CustomerCombined[[#This Row],[ID]], Table2[ID],Table2[MC5], "Not Found", 0 )</f>
        <v>0</v>
      </c>
    </row>
    <row r="1374" spans="1:29" x14ac:dyDescent="0.3">
      <c r="A1374" s="6">
        <v>1028</v>
      </c>
      <c r="B1374" s="6">
        <v>184618</v>
      </c>
      <c r="C1374" s="6">
        <v>0</v>
      </c>
      <c r="D1374" s="6">
        <v>0</v>
      </c>
      <c r="E1374" s="6">
        <v>55</v>
      </c>
      <c r="F1374" s="5" t="s">
        <v>6</v>
      </c>
      <c r="G1374" s="5" t="s">
        <v>13</v>
      </c>
      <c r="H1374" s="3" t="s">
        <v>143</v>
      </c>
      <c r="I1374" s="5" t="s">
        <v>438</v>
      </c>
      <c r="J1374" s="5">
        <f>_xlfn.XLOOKUP(CustomerCombined[[#This Row],[ID]], Table4[ID], Table4[Recency], "Not Found", 0)</f>
        <v>96</v>
      </c>
      <c r="K1374" s="5">
        <f>_xlfn.XLOOKUP(CustomerCombined[[#This Row],[ID]], Table4[ID], Table4[Teas], "Not Found", 0)</f>
        <v>1492</v>
      </c>
      <c r="L1374" s="5">
        <f>_xlfn.XLOOKUP(CustomerCombined[[#This Row],[ID]], Table4[ID], Table4[Fruits], "Not Found", 0)</f>
        <v>218</v>
      </c>
      <c r="M1374" s="5">
        <f>_xlfn.XLOOKUP(CustomerCombined[[#This Row],[ID]], Table4[ID], Table4[Meats], "Not Found", 0)</f>
        <v>1748</v>
      </c>
      <c r="N1374" s="5">
        <f>_xlfn.XLOOKUP(CustomerCombined[[#This Row],[ID]], Table4[ID], Table4[Seafood], "Not Found", 0)</f>
        <v>46</v>
      </c>
      <c r="O1374" s="5">
        <f>_xlfn.XLOOKUP(CustomerCombined[[#This Row],[ID]], Table4[ID], Table4[Sweets], "Not Found", 0)</f>
        <v>144</v>
      </c>
      <c r="P1374" s="5">
        <f>_xlfn.XLOOKUP(CustomerCombined[[#This Row],[ID]], Table4[ID], Table4[Premium], "Not Found", 0)</f>
        <v>0</v>
      </c>
      <c r="Q1374" s="5">
        <f>_xlfn.XLOOKUP(CustomerCombined[[#This Row],[ID]], Table4[ID], Table4[Regular], "Not Found", 0)</f>
        <v>3648</v>
      </c>
      <c r="R1374" s="5">
        <f>_xlfn.XLOOKUP(CustomerCombined[[#This Row],[ID]], Table4[ID], Table4[Deals], "Not Found", 0)</f>
        <v>1</v>
      </c>
      <c r="S1374" s="5">
        <f>_xlfn.XLOOKUP(CustomerCombined[[#This Row],[ID]], Table4[ID], Table4[Website], "Not Found", 0)</f>
        <v>6</v>
      </c>
      <c r="T1374" s="5">
        <f>_xlfn.XLOOKUP(CustomerCombined[[#This Row],[ID]], Table4[ID], Table4[Catalog], "Not Found", 0)</f>
        <v>9</v>
      </c>
      <c r="U1374" s="5">
        <f>_xlfn.XLOOKUP(CustomerCombined[[#This Row],[ID]], Table4[ID], Table4[Store], "Not Found", 0)</f>
        <v>10</v>
      </c>
      <c r="V1374" s="5">
        <f>_xlfn.XLOOKUP(CustomerCombined[[#This Row],[ID]], Table4[ID], Table4[Visits], "Not Found", 0)</f>
        <v>2</v>
      </c>
      <c r="W1374" s="8">
        <f>_xlfn.XLOOKUP(CustomerCombined[[#This Row],[ID]], Table2[ID],Table2[Complaint], "Not Found", 0 )</f>
        <v>0</v>
      </c>
      <c r="X1374" s="8">
        <f>_xlfn.XLOOKUP(CustomerCombined[[#This Row],[ID]], Table2[ID],Table2[Pilot], "Not Found", 0 )</f>
        <v>0</v>
      </c>
      <c r="Y1374" s="8">
        <f>_xlfn.XLOOKUP(CustomerCombined[[#This Row],[ID]], Table2[ID],Table2[MC1], "Not Found", 0 )</f>
        <v>0</v>
      </c>
      <c r="Z1374" s="8">
        <f>_xlfn.XLOOKUP(CustomerCombined[[#This Row],[ID]], Table2[ID],Table2[MC2], "Not Found", 0 )</f>
        <v>0</v>
      </c>
      <c r="AA1374" s="8">
        <f>_xlfn.XLOOKUP(CustomerCombined[[#This Row],[ID]], Table2[ID],Table2[MC3], "Not Found", 0 )</f>
        <v>0</v>
      </c>
      <c r="AB1374" s="8">
        <f>_xlfn.XLOOKUP(CustomerCombined[[#This Row],[ID]], Table2[ID],Table2[MC4], "Not Found", 0 )</f>
        <v>0</v>
      </c>
      <c r="AC1374" s="8">
        <f>_xlfn.XLOOKUP(CustomerCombined[[#This Row],[ID]], Table2[ID],Table2[MC5], "Not Found", 0 )</f>
        <v>1</v>
      </c>
    </row>
    <row r="1375" spans="1:29" x14ac:dyDescent="0.3">
      <c r="A1375" s="6">
        <v>2187</v>
      </c>
      <c r="B1375" s="6">
        <v>184618</v>
      </c>
      <c r="C1375" s="6">
        <v>0</v>
      </c>
      <c r="D1375" s="6">
        <v>0</v>
      </c>
      <c r="E1375" s="6">
        <v>55</v>
      </c>
      <c r="F1375" s="5" t="s">
        <v>6</v>
      </c>
      <c r="G1375" s="5" t="s">
        <v>13</v>
      </c>
      <c r="H1375" s="3" t="s">
        <v>143</v>
      </c>
      <c r="I1375" s="5" t="s">
        <v>435</v>
      </c>
      <c r="J1375" s="5">
        <f>_xlfn.XLOOKUP(CustomerCombined[[#This Row],[ID]], Table4[ID], Table4[Recency], "Not Found", 0)</f>
        <v>96</v>
      </c>
      <c r="K1375" s="5">
        <f>_xlfn.XLOOKUP(CustomerCombined[[#This Row],[ID]], Table4[ID], Table4[Teas], "Not Found", 0)</f>
        <v>1492</v>
      </c>
      <c r="L1375" s="5">
        <f>_xlfn.XLOOKUP(CustomerCombined[[#This Row],[ID]], Table4[ID], Table4[Fruits], "Not Found", 0)</f>
        <v>218</v>
      </c>
      <c r="M1375" s="5">
        <f>_xlfn.XLOOKUP(CustomerCombined[[#This Row],[ID]], Table4[ID], Table4[Meats], "Not Found", 0)</f>
        <v>1748</v>
      </c>
      <c r="N1375" s="5">
        <f>_xlfn.XLOOKUP(CustomerCombined[[#This Row],[ID]], Table4[ID], Table4[Seafood], "Not Found", 0)</f>
        <v>46</v>
      </c>
      <c r="O1375" s="5">
        <f>_xlfn.XLOOKUP(CustomerCombined[[#This Row],[ID]], Table4[ID], Table4[Sweets], "Not Found", 0)</f>
        <v>144</v>
      </c>
      <c r="P1375" s="5">
        <f>_xlfn.XLOOKUP(CustomerCombined[[#This Row],[ID]], Table4[ID], Table4[Premium], "Not Found", 0)</f>
        <v>0</v>
      </c>
      <c r="Q1375" s="5">
        <f>_xlfn.XLOOKUP(CustomerCombined[[#This Row],[ID]], Table4[ID], Table4[Regular], "Not Found", 0)</f>
        <v>3648</v>
      </c>
      <c r="R1375" s="5">
        <f>_xlfn.XLOOKUP(CustomerCombined[[#This Row],[ID]], Table4[ID], Table4[Deals], "Not Found", 0)</f>
        <v>1</v>
      </c>
      <c r="S1375" s="5">
        <f>_xlfn.XLOOKUP(CustomerCombined[[#This Row],[ID]], Table4[ID], Table4[Website], "Not Found", 0)</f>
        <v>6</v>
      </c>
      <c r="T1375" s="5">
        <f>_xlfn.XLOOKUP(CustomerCombined[[#This Row],[ID]], Table4[ID], Table4[Catalog], "Not Found", 0)</f>
        <v>9</v>
      </c>
      <c r="U1375" s="5">
        <f>_xlfn.XLOOKUP(CustomerCombined[[#This Row],[ID]], Table4[ID], Table4[Store], "Not Found", 0)</f>
        <v>10</v>
      </c>
      <c r="V1375" s="5">
        <f>_xlfn.XLOOKUP(CustomerCombined[[#This Row],[ID]], Table4[ID], Table4[Visits], "Not Found", 0)</f>
        <v>2</v>
      </c>
      <c r="W1375" s="8">
        <f>_xlfn.XLOOKUP(CustomerCombined[[#This Row],[ID]], Table2[ID],Table2[Complaint], "Not Found", 0 )</f>
        <v>0</v>
      </c>
      <c r="X1375" s="8">
        <f>_xlfn.XLOOKUP(CustomerCombined[[#This Row],[ID]], Table2[ID],Table2[Pilot], "Not Found", 0 )</f>
        <v>0</v>
      </c>
      <c r="Y1375" s="8">
        <f>_xlfn.XLOOKUP(CustomerCombined[[#This Row],[ID]], Table2[ID],Table2[MC1], "Not Found", 0 )</f>
        <v>0</v>
      </c>
      <c r="Z1375" s="8">
        <f>_xlfn.XLOOKUP(CustomerCombined[[#This Row],[ID]], Table2[ID],Table2[MC2], "Not Found", 0 )</f>
        <v>0</v>
      </c>
      <c r="AA1375" s="8">
        <f>_xlfn.XLOOKUP(CustomerCombined[[#This Row],[ID]], Table2[ID],Table2[MC3], "Not Found", 0 )</f>
        <v>0</v>
      </c>
      <c r="AB1375" s="8">
        <f>_xlfn.XLOOKUP(CustomerCombined[[#This Row],[ID]], Table2[ID],Table2[MC4], "Not Found", 0 )</f>
        <v>0</v>
      </c>
      <c r="AC1375" s="8">
        <f>_xlfn.XLOOKUP(CustomerCombined[[#This Row],[ID]], Table2[ID],Table2[MC5], "Not Found", 0 )</f>
        <v>1</v>
      </c>
    </row>
    <row r="1376" spans="1:29" x14ac:dyDescent="0.3">
      <c r="A1376" s="6">
        <v>1323</v>
      </c>
      <c r="B1376" s="6">
        <v>183003</v>
      </c>
      <c r="C1376" s="6">
        <v>0</v>
      </c>
      <c r="D1376" s="6">
        <v>0</v>
      </c>
      <c r="E1376" s="6">
        <v>55</v>
      </c>
      <c r="F1376" s="5" t="s">
        <v>8</v>
      </c>
      <c r="G1376" s="5" t="s">
        <v>11</v>
      </c>
      <c r="H1376" s="3">
        <v>43685</v>
      </c>
      <c r="I1376" s="5" t="s">
        <v>435</v>
      </c>
      <c r="J1376" s="5">
        <f>_xlfn.XLOOKUP(CustomerCombined[[#This Row],[ID]], Table4[ID], Table4[Recency], "Not Found", 0)</f>
        <v>18</v>
      </c>
      <c r="K1376" s="5">
        <f>_xlfn.XLOOKUP(CustomerCombined[[#This Row],[ID]], Table4[ID], Table4[Teas], "Not Found", 0)</f>
        <v>1887</v>
      </c>
      <c r="L1376" s="5">
        <f>_xlfn.XLOOKUP(CustomerCombined[[#This Row],[ID]], Table4[ID], Table4[Fruits], "Not Found", 0)</f>
        <v>134</v>
      </c>
      <c r="M1376" s="5">
        <f>_xlfn.XLOOKUP(CustomerCombined[[#This Row],[ID]], Table4[ID], Table4[Meats], "Not Found", 0)</f>
        <v>1257</v>
      </c>
      <c r="N1376" s="5">
        <f>_xlfn.XLOOKUP(CustomerCombined[[#This Row],[ID]], Table4[ID], Table4[Seafood], "Not Found", 0)</f>
        <v>88</v>
      </c>
      <c r="O1376" s="5">
        <f>_xlfn.XLOOKUP(CustomerCombined[[#This Row],[ID]], Table4[ID], Table4[Sweets], "Not Found", 0)</f>
        <v>55</v>
      </c>
      <c r="P1376" s="5">
        <f>_xlfn.XLOOKUP(CustomerCombined[[#This Row],[ID]], Table4[ID], Table4[Premium], "Not Found", 0)</f>
        <v>269</v>
      </c>
      <c r="Q1376" s="5">
        <f>_xlfn.XLOOKUP(CustomerCombined[[#This Row],[ID]], Table4[ID], Table4[Regular], "Not Found", 0)</f>
        <v>3153</v>
      </c>
      <c r="R1376" s="5">
        <f>_xlfn.XLOOKUP(CustomerCombined[[#This Row],[ID]], Table4[ID], Table4[Deals], "Not Found", 0)</f>
        <v>1</v>
      </c>
      <c r="S1376" s="5">
        <f>_xlfn.XLOOKUP(CustomerCombined[[#This Row],[ID]], Table4[ID], Table4[Website], "Not Found", 0)</f>
        <v>7</v>
      </c>
      <c r="T1376" s="5">
        <f>_xlfn.XLOOKUP(CustomerCombined[[#This Row],[ID]], Table4[ID], Table4[Catalog], "Not Found", 0)</f>
        <v>6</v>
      </c>
      <c r="U1376" s="5">
        <f>_xlfn.XLOOKUP(CustomerCombined[[#This Row],[ID]], Table4[ID], Table4[Store], "Not Found", 0)</f>
        <v>8</v>
      </c>
      <c r="V1376" s="5">
        <f>_xlfn.XLOOKUP(CustomerCombined[[#This Row],[ID]], Table4[ID], Table4[Visits], "Not Found", 0)</f>
        <v>3</v>
      </c>
      <c r="W1376" s="8">
        <f>_xlfn.XLOOKUP(CustomerCombined[[#This Row],[ID]], Table2[ID],Table2[Complaint], "Not Found", 0 )</f>
        <v>0</v>
      </c>
      <c r="X1376" s="8">
        <f>_xlfn.XLOOKUP(CustomerCombined[[#This Row],[ID]], Table2[ID],Table2[Pilot], "Not Found", 0 )</f>
        <v>1</v>
      </c>
      <c r="Y1376" s="8">
        <f>_xlfn.XLOOKUP(CustomerCombined[[#This Row],[ID]], Table2[ID],Table2[MC1], "Not Found", 0 )</f>
        <v>0</v>
      </c>
      <c r="Z1376" s="8">
        <f>_xlfn.XLOOKUP(CustomerCombined[[#This Row],[ID]], Table2[ID],Table2[MC2], "Not Found", 0 )</f>
        <v>0</v>
      </c>
      <c r="AA1376" s="8">
        <f>_xlfn.XLOOKUP(CustomerCombined[[#This Row],[ID]], Table2[ID],Table2[MC3], "Not Found", 0 )</f>
        <v>0</v>
      </c>
      <c r="AB1376" s="8">
        <f>_xlfn.XLOOKUP(CustomerCombined[[#This Row],[ID]], Table2[ID],Table2[MC4], "Not Found", 0 )</f>
        <v>0</v>
      </c>
      <c r="AC1376" s="8">
        <f>_xlfn.XLOOKUP(CustomerCombined[[#This Row],[ID]], Table2[ID],Table2[MC5], "Not Found", 0 )</f>
        <v>1</v>
      </c>
    </row>
    <row r="1377" spans="1:29" x14ac:dyDescent="0.3">
      <c r="A1377" s="6">
        <v>1593</v>
      </c>
      <c r="B1377" s="6">
        <v>181168</v>
      </c>
      <c r="C1377" s="6">
        <v>0</v>
      </c>
      <c r="D1377" s="6">
        <v>0</v>
      </c>
      <c r="E1377" s="6">
        <v>55</v>
      </c>
      <c r="F1377" s="5" t="s">
        <v>6</v>
      </c>
      <c r="G1377" s="5" t="s">
        <v>11</v>
      </c>
      <c r="H1377" s="3">
        <v>44145</v>
      </c>
      <c r="I1377" s="5" t="s">
        <v>435</v>
      </c>
      <c r="J1377" s="5">
        <f>_xlfn.XLOOKUP(CustomerCombined[[#This Row],[ID]], Table4[ID], Table4[Recency], "Not Found", 0)</f>
        <v>84</v>
      </c>
      <c r="K1377" s="5">
        <f>_xlfn.XLOOKUP(CustomerCombined[[#This Row],[ID]], Table4[ID], Table4[Teas], "Not Found", 0)</f>
        <v>915</v>
      </c>
      <c r="L1377" s="5">
        <f>_xlfn.XLOOKUP(CustomerCombined[[#This Row],[ID]], Table4[ID], Table4[Fruits], "Not Found", 0)</f>
        <v>0</v>
      </c>
      <c r="M1377" s="5">
        <f>_xlfn.XLOOKUP(CustomerCombined[[#This Row],[ID]], Table4[ID], Table4[Meats], "Not Found", 0)</f>
        <v>1321</v>
      </c>
      <c r="N1377" s="5">
        <f>_xlfn.XLOOKUP(CustomerCombined[[#This Row],[ID]], Table4[ID], Table4[Seafood], "Not Found", 0)</f>
        <v>328</v>
      </c>
      <c r="O1377" s="5">
        <f>_xlfn.XLOOKUP(CustomerCombined[[#This Row],[ID]], Table4[ID], Table4[Sweets], "Not Found", 0)</f>
        <v>49</v>
      </c>
      <c r="P1377" s="5">
        <f>_xlfn.XLOOKUP(CustomerCombined[[#This Row],[ID]], Table4[ID], Table4[Premium], "Not Found", 0)</f>
        <v>49</v>
      </c>
      <c r="Q1377" s="5">
        <f>_xlfn.XLOOKUP(CustomerCombined[[#This Row],[ID]], Table4[ID], Table4[Regular], "Not Found", 0)</f>
        <v>2565</v>
      </c>
      <c r="R1377" s="5">
        <f>_xlfn.XLOOKUP(CustomerCombined[[#This Row],[ID]], Table4[ID], Table4[Deals], "Not Found", 0)</f>
        <v>1</v>
      </c>
      <c r="S1377" s="5">
        <f>_xlfn.XLOOKUP(CustomerCombined[[#This Row],[ID]], Table4[ID], Table4[Website], "Not Found", 0)</f>
        <v>6</v>
      </c>
      <c r="T1377" s="5">
        <f>_xlfn.XLOOKUP(CustomerCombined[[#This Row],[ID]], Table4[ID], Table4[Catalog], "Not Found", 0)</f>
        <v>4</v>
      </c>
      <c r="U1377" s="5">
        <f>_xlfn.XLOOKUP(CustomerCombined[[#This Row],[ID]], Table4[ID], Table4[Store], "Not Found", 0)</f>
        <v>7</v>
      </c>
      <c r="V1377" s="5">
        <f>_xlfn.XLOOKUP(CustomerCombined[[#This Row],[ID]], Table4[ID], Table4[Visits], "Not Found", 0)</f>
        <v>3</v>
      </c>
      <c r="W1377" s="8">
        <f>_xlfn.XLOOKUP(CustomerCombined[[#This Row],[ID]], Table2[ID],Table2[Complaint], "Not Found", 0 )</f>
        <v>0</v>
      </c>
      <c r="X1377" s="8">
        <f>_xlfn.XLOOKUP(CustomerCombined[[#This Row],[ID]], Table2[ID],Table2[Pilot], "Not Found", 0 )</f>
        <v>0</v>
      </c>
      <c r="Y1377" s="8">
        <f>_xlfn.XLOOKUP(CustomerCombined[[#This Row],[ID]], Table2[ID],Table2[MC1], "Not Found", 0 )</f>
        <v>1</v>
      </c>
      <c r="Z1377" s="8">
        <f>_xlfn.XLOOKUP(CustomerCombined[[#This Row],[ID]], Table2[ID],Table2[MC2], "Not Found", 0 )</f>
        <v>0</v>
      </c>
      <c r="AA1377" s="8">
        <f>_xlfn.XLOOKUP(CustomerCombined[[#This Row],[ID]], Table2[ID],Table2[MC3], "Not Found", 0 )</f>
        <v>0</v>
      </c>
      <c r="AB1377" s="8">
        <f>_xlfn.XLOOKUP(CustomerCombined[[#This Row],[ID]], Table2[ID],Table2[MC4], "Not Found", 0 )</f>
        <v>0</v>
      </c>
      <c r="AC1377" s="8">
        <f>_xlfn.XLOOKUP(CustomerCombined[[#This Row],[ID]], Table2[ID],Table2[MC5], "Not Found", 0 )</f>
        <v>0</v>
      </c>
    </row>
    <row r="1378" spans="1:29" x14ac:dyDescent="0.3">
      <c r="A1378" s="6">
        <v>2287</v>
      </c>
      <c r="B1378" s="6">
        <v>181051</v>
      </c>
      <c r="C1378" s="6">
        <v>0</v>
      </c>
      <c r="D1378" s="6">
        <v>0</v>
      </c>
      <c r="E1378" s="6">
        <v>55</v>
      </c>
      <c r="F1378" s="5" t="s">
        <v>6</v>
      </c>
      <c r="G1378" s="5" t="s">
        <v>13</v>
      </c>
      <c r="H1378" s="3" t="s">
        <v>44</v>
      </c>
      <c r="I1378" s="5" t="s">
        <v>437</v>
      </c>
      <c r="J1378" s="5">
        <f>_xlfn.XLOOKUP(CustomerCombined[[#This Row],[ID]], Table4[ID], Table4[Recency], "Not Found", 0)</f>
        <v>43</v>
      </c>
      <c r="K1378" s="5">
        <f>_xlfn.XLOOKUP(CustomerCombined[[#This Row],[ID]], Table4[ID], Table4[Teas], "Not Found", 0)</f>
        <v>2551</v>
      </c>
      <c r="L1378" s="5">
        <f>_xlfn.XLOOKUP(CustomerCombined[[#This Row],[ID]], Table4[ID], Table4[Fruits], "Not Found", 0)</f>
        <v>65</v>
      </c>
      <c r="M1378" s="5">
        <f>_xlfn.XLOOKUP(CustomerCombined[[#This Row],[ID]], Table4[ID], Table4[Meats], "Not Found", 0)</f>
        <v>556</v>
      </c>
      <c r="N1378" s="5">
        <f>_xlfn.XLOOKUP(CustomerCombined[[#This Row],[ID]], Table4[ID], Table4[Seafood], "Not Found", 0)</f>
        <v>85</v>
      </c>
      <c r="O1378" s="5">
        <f>_xlfn.XLOOKUP(CustomerCombined[[#This Row],[ID]], Table4[ID], Table4[Sweets], "Not Found", 0)</f>
        <v>65</v>
      </c>
      <c r="P1378" s="5">
        <f>_xlfn.XLOOKUP(CustomerCombined[[#This Row],[ID]], Table4[ID], Table4[Premium], "Not Found", 0)</f>
        <v>31</v>
      </c>
      <c r="Q1378" s="5">
        <f>_xlfn.XLOOKUP(CustomerCombined[[#This Row],[ID]], Table4[ID], Table4[Regular], "Not Found", 0)</f>
        <v>3290</v>
      </c>
      <c r="R1378" s="5">
        <f>_xlfn.XLOOKUP(CustomerCombined[[#This Row],[ID]], Table4[ID], Table4[Deals], "Not Found", 0)</f>
        <v>1</v>
      </c>
      <c r="S1378" s="5">
        <f>_xlfn.XLOOKUP(CustomerCombined[[#This Row],[ID]], Table4[ID], Table4[Website], "Not Found", 0)</f>
        <v>5</v>
      </c>
      <c r="T1378" s="5">
        <f>_xlfn.XLOOKUP(CustomerCombined[[#This Row],[ID]], Table4[ID], Table4[Catalog], "Not Found", 0)</f>
        <v>5</v>
      </c>
      <c r="U1378" s="5">
        <f>_xlfn.XLOOKUP(CustomerCombined[[#This Row],[ID]], Table4[ID], Table4[Store], "Not Found", 0)</f>
        <v>12</v>
      </c>
      <c r="V1378" s="5">
        <f>_xlfn.XLOOKUP(CustomerCombined[[#This Row],[ID]], Table4[ID], Table4[Visits], "Not Found", 0)</f>
        <v>2</v>
      </c>
      <c r="W1378" s="8">
        <f>_xlfn.XLOOKUP(CustomerCombined[[#This Row],[ID]], Table2[ID],Table2[Complaint], "Not Found", 0 )</f>
        <v>0</v>
      </c>
      <c r="X1378" s="8">
        <f>_xlfn.XLOOKUP(CustomerCombined[[#This Row],[ID]], Table2[ID],Table2[Pilot], "Not Found", 0 )</f>
        <v>0</v>
      </c>
      <c r="Y1378" s="8">
        <f>_xlfn.XLOOKUP(CustomerCombined[[#This Row],[ID]], Table2[ID],Table2[MC1], "Not Found", 0 )</f>
        <v>0</v>
      </c>
      <c r="Z1378" s="8">
        <f>_xlfn.XLOOKUP(CustomerCombined[[#This Row],[ID]], Table2[ID],Table2[MC2], "Not Found", 0 )</f>
        <v>0</v>
      </c>
      <c r="AA1378" s="8">
        <f>_xlfn.XLOOKUP(CustomerCombined[[#This Row],[ID]], Table2[ID],Table2[MC3], "Not Found", 0 )</f>
        <v>0</v>
      </c>
      <c r="AB1378" s="8">
        <f>_xlfn.XLOOKUP(CustomerCombined[[#This Row],[ID]], Table2[ID],Table2[MC4], "Not Found", 0 )</f>
        <v>1</v>
      </c>
      <c r="AC1378" s="8">
        <f>_xlfn.XLOOKUP(CustomerCombined[[#This Row],[ID]], Table2[ID],Table2[MC5], "Not Found", 0 )</f>
        <v>1</v>
      </c>
    </row>
    <row r="1379" spans="1:29" x14ac:dyDescent="0.3">
      <c r="A1379" s="6">
        <v>2427</v>
      </c>
      <c r="B1379" s="6">
        <v>177343</v>
      </c>
      <c r="C1379" s="6">
        <v>0</v>
      </c>
      <c r="D1379" s="6">
        <v>0</v>
      </c>
      <c r="E1379" s="6">
        <v>55</v>
      </c>
      <c r="F1379" s="5" t="s">
        <v>6</v>
      </c>
      <c r="G1379" s="5" t="s">
        <v>11</v>
      </c>
      <c r="H1379" s="3" t="s">
        <v>40</v>
      </c>
      <c r="I1379" s="5" t="s">
        <v>435</v>
      </c>
      <c r="J1379" s="5">
        <f>_xlfn.XLOOKUP(CustomerCombined[[#This Row],[ID]], Table4[ID], Table4[Recency], "Not Found", 0)</f>
        <v>28</v>
      </c>
      <c r="K1379" s="5">
        <f>_xlfn.XLOOKUP(CustomerCombined[[#This Row],[ID]], Table4[ID], Table4[Teas], "Not Found", 0)</f>
        <v>520</v>
      </c>
      <c r="L1379" s="5">
        <f>_xlfn.XLOOKUP(CustomerCombined[[#This Row],[ID]], Table4[ID], Table4[Fruits], "Not Found", 0)</f>
        <v>346</v>
      </c>
      <c r="M1379" s="5">
        <f>_xlfn.XLOOKUP(CustomerCombined[[#This Row],[ID]], Table4[ID], Table4[Meats], "Not Found", 0)</f>
        <v>1314</v>
      </c>
      <c r="N1379" s="5">
        <f>_xlfn.XLOOKUP(CustomerCombined[[#This Row],[ID]], Table4[ID], Table4[Seafood], "Not Found", 0)</f>
        <v>225</v>
      </c>
      <c r="O1379" s="5">
        <f>_xlfn.XLOOKUP(CustomerCombined[[#This Row],[ID]], Table4[ID], Table4[Sweets], "Not Found", 0)</f>
        <v>124</v>
      </c>
      <c r="P1379" s="5">
        <f>_xlfn.XLOOKUP(CustomerCombined[[#This Row],[ID]], Table4[ID], Table4[Premium], "Not Found", 0)</f>
        <v>71</v>
      </c>
      <c r="Q1379" s="5">
        <f>_xlfn.XLOOKUP(CustomerCombined[[#This Row],[ID]], Table4[ID], Table4[Regular], "Not Found", 0)</f>
        <v>2458</v>
      </c>
      <c r="R1379" s="5">
        <f>_xlfn.XLOOKUP(CustomerCombined[[#This Row],[ID]], Table4[ID], Table4[Deals], "Not Found", 0)</f>
        <v>1</v>
      </c>
      <c r="S1379" s="5">
        <f>_xlfn.XLOOKUP(CustomerCombined[[#This Row],[ID]], Table4[ID], Table4[Website], "Not Found", 0)</f>
        <v>3</v>
      </c>
      <c r="T1379" s="5">
        <f>_xlfn.XLOOKUP(CustomerCombined[[#This Row],[ID]], Table4[ID], Table4[Catalog], "Not Found", 0)</f>
        <v>4</v>
      </c>
      <c r="U1379" s="5">
        <f>_xlfn.XLOOKUP(CustomerCombined[[#This Row],[ID]], Table4[ID], Table4[Store], "Not Found", 0)</f>
        <v>9</v>
      </c>
      <c r="V1379" s="5">
        <f>_xlfn.XLOOKUP(CustomerCombined[[#This Row],[ID]], Table4[ID], Table4[Visits], "Not Found", 0)</f>
        <v>1</v>
      </c>
      <c r="W1379" s="8">
        <f>_xlfn.XLOOKUP(CustomerCombined[[#This Row],[ID]], Table2[ID],Table2[Complaint], "Not Found", 0 )</f>
        <v>0</v>
      </c>
      <c r="X1379" s="8">
        <f>_xlfn.XLOOKUP(CustomerCombined[[#This Row],[ID]], Table2[ID],Table2[Pilot], "Not Found", 0 )</f>
        <v>0</v>
      </c>
      <c r="Y1379" s="8">
        <f>_xlfn.XLOOKUP(CustomerCombined[[#This Row],[ID]], Table2[ID],Table2[MC1], "Not Found", 0 )</f>
        <v>0</v>
      </c>
      <c r="Z1379" s="8">
        <f>_xlfn.XLOOKUP(CustomerCombined[[#This Row],[ID]], Table2[ID],Table2[MC2], "Not Found", 0 )</f>
        <v>0</v>
      </c>
      <c r="AA1379" s="8">
        <f>_xlfn.XLOOKUP(CustomerCombined[[#This Row],[ID]], Table2[ID],Table2[MC3], "Not Found", 0 )</f>
        <v>0</v>
      </c>
      <c r="AB1379" s="8">
        <f>_xlfn.XLOOKUP(CustomerCombined[[#This Row],[ID]], Table2[ID],Table2[MC4], "Not Found", 0 )</f>
        <v>0</v>
      </c>
      <c r="AC1379" s="8">
        <f>_xlfn.XLOOKUP(CustomerCombined[[#This Row],[ID]], Table2[ID],Table2[MC5], "Not Found", 0 )</f>
        <v>0</v>
      </c>
    </row>
    <row r="1380" spans="1:29" x14ac:dyDescent="0.3">
      <c r="A1380" s="6">
        <v>2527</v>
      </c>
      <c r="B1380" s="6">
        <v>176800</v>
      </c>
      <c r="C1380" s="6">
        <v>0</v>
      </c>
      <c r="D1380" s="6">
        <v>0</v>
      </c>
      <c r="E1380" s="6">
        <v>55</v>
      </c>
      <c r="F1380" s="5" t="s">
        <v>6</v>
      </c>
      <c r="G1380" s="5" t="s">
        <v>442</v>
      </c>
      <c r="H1380" s="3">
        <v>44173</v>
      </c>
      <c r="I1380" s="5" t="s">
        <v>437</v>
      </c>
      <c r="J1380" s="5">
        <f>_xlfn.XLOOKUP(CustomerCombined[[#This Row],[ID]], Table4[ID], Table4[Recency], "Not Found", 0)</f>
        <v>33</v>
      </c>
      <c r="K1380" s="5">
        <f>_xlfn.XLOOKUP(CustomerCombined[[#This Row],[ID]], Table4[ID], Table4[Teas], "Not Found", 0)</f>
        <v>398</v>
      </c>
      <c r="L1380" s="5">
        <f>_xlfn.XLOOKUP(CustomerCombined[[#This Row],[ID]], Table4[ID], Table4[Fruits], "Not Found", 0)</f>
        <v>60</v>
      </c>
      <c r="M1380" s="5">
        <f>_xlfn.XLOOKUP(CustomerCombined[[#This Row],[ID]], Table4[ID], Table4[Meats], "Not Found", 0)</f>
        <v>587</v>
      </c>
      <c r="N1380" s="5">
        <f>_xlfn.XLOOKUP(CustomerCombined[[#This Row],[ID]], Table4[ID], Table4[Seafood], "Not Found", 0)</f>
        <v>81</v>
      </c>
      <c r="O1380" s="5">
        <f>_xlfn.XLOOKUP(CustomerCombined[[#This Row],[ID]], Table4[ID], Table4[Sweets], "Not Found", 0)</f>
        <v>163</v>
      </c>
      <c r="P1380" s="5">
        <f>_xlfn.XLOOKUP(CustomerCombined[[#This Row],[ID]], Table4[ID], Table4[Premium], "Not Found", 0)</f>
        <v>186</v>
      </c>
      <c r="Q1380" s="5">
        <f>_xlfn.XLOOKUP(CustomerCombined[[#This Row],[ID]], Table4[ID], Table4[Regular], "Not Found", 0)</f>
        <v>1103</v>
      </c>
      <c r="R1380" s="5">
        <f>_xlfn.XLOOKUP(CustomerCombined[[#This Row],[ID]], Table4[ID], Table4[Deals], "Not Found", 0)</f>
        <v>1</v>
      </c>
      <c r="S1380" s="5">
        <f>_xlfn.XLOOKUP(CustomerCombined[[#This Row],[ID]], Table4[ID], Table4[Website], "Not Found", 0)</f>
        <v>4</v>
      </c>
      <c r="T1380" s="5">
        <f>_xlfn.XLOOKUP(CustomerCombined[[#This Row],[ID]], Table4[ID], Table4[Catalog], "Not Found", 0)</f>
        <v>4</v>
      </c>
      <c r="U1380" s="5">
        <f>_xlfn.XLOOKUP(CustomerCombined[[#This Row],[ID]], Table4[ID], Table4[Store], "Not Found", 0)</f>
        <v>7</v>
      </c>
      <c r="V1380" s="5">
        <f>_xlfn.XLOOKUP(CustomerCombined[[#This Row],[ID]], Table4[ID], Table4[Visits], "Not Found", 0)</f>
        <v>1</v>
      </c>
      <c r="W1380" s="8">
        <f>_xlfn.XLOOKUP(CustomerCombined[[#This Row],[ID]], Table2[ID],Table2[Complaint], "Not Found", 0 )</f>
        <v>0</v>
      </c>
      <c r="X1380" s="8">
        <f>_xlfn.XLOOKUP(CustomerCombined[[#This Row],[ID]], Table2[ID],Table2[Pilot], "Not Found", 0 )</f>
        <v>0</v>
      </c>
      <c r="Y1380" s="8">
        <f>_xlfn.XLOOKUP(CustomerCombined[[#This Row],[ID]], Table2[ID],Table2[MC1], "Not Found", 0 )</f>
        <v>0</v>
      </c>
      <c r="Z1380" s="8">
        <f>_xlfn.XLOOKUP(CustomerCombined[[#This Row],[ID]], Table2[ID],Table2[MC2], "Not Found", 0 )</f>
        <v>0</v>
      </c>
      <c r="AA1380" s="8">
        <f>_xlfn.XLOOKUP(CustomerCombined[[#This Row],[ID]], Table2[ID],Table2[MC3], "Not Found", 0 )</f>
        <v>0</v>
      </c>
      <c r="AB1380" s="8">
        <f>_xlfn.XLOOKUP(CustomerCombined[[#This Row],[ID]], Table2[ID],Table2[MC4], "Not Found", 0 )</f>
        <v>0</v>
      </c>
      <c r="AC1380" s="8">
        <f>_xlfn.XLOOKUP(CustomerCombined[[#This Row],[ID]], Table2[ID],Table2[MC5], "Not Found", 0 )</f>
        <v>0</v>
      </c>
    </row>
    <row r="1381" spans="1:29" x14ac:dyDescent="0.3">
      <c r="A1381" s="6">
        <v>1385</v>
      </c>
      <c r="B1381" s="6">
        <v>175276</v>
      </c>
      <c r="C1381" s="6">
        <v>0</v>
      </c>
      <c r="D1381" s="6">
        <v>0</v>
      </c>
      <c r="E1381" s="6">
        <v>55</v>
      </c>
      <c r="F1381" s="5" t="s">
        <v>8</v>
      </c>
      <c r="G1381" s="5" t="s">
        <v>11</v>
      </c>
      <c r="H1381" s="3">
        <v>43558</v>
      </c>
      <c r="I1381" s="5" t="s">
        <v>434</v>
      </c>
      <c r="J1381" s="5">
        <f>_xlfn.XLOOKUP(CustomerCombined[[#This Row],[ID]], Table4[ID], Table4[Recency], "Not Found", 0)</f>
        <v>2</v>
      </c>
      <c r="K1381" s="5">
        <f>_xlfn.XLOOKUP(CustomerCombined[[#This Row],[ID]], Table4[ID], Table4[Teas], "Not Found", 0)</f>
        <v>1420</v>
      </c>
      <c r="L1381" s="5">
        <f>_xlfn.XLOOKUP(CustomerCombined[[#This Row],[ID]], Table4[ID], Table4[Fruits], "Not Found", 0)</f>
        <v>244</v>
      </c>
      <c r="M1381" s="5">
        <f>_xlfn.XLOOKUP(CustomerCombined[[#This Row],[ID]], Table4[ID], Table4[Meats], "Not Found", 0)</f>
        <v>291</v>
      </c>
      <c r="N1381" s="5">
        <f>_xlfn.XLOOKUP(CustomerCombined[[#This Row],[ID]], Table4[ID], Table4[Seafood], "Not Found", 0)</f>
        <v>319</v>
      </c>
      <c r="O1381" s="5">
        <f>_xlfn.XLOOKUP(CustomerCombined[[#This Row],[ID]], Table4[ID], Table4[Sweets], "Not Found", 0)</f>
        <v>98</v>
      </c>
      <c r="P1381" s="5">
        <f>_xlfn.XLOOKUP(CustomerCombined[[#This Row],[ID]], Table4[ID], Table4[Premium], "Not Found", 0)</f>
        <v>49</v>
      </c>
      <c r="Q1381" s="5">
        <f>_xlfn.XLOOKUP(CustomerCombined[[#This Row],[ID]], Table4[ID], Table4[Regular], "Not Found", 0)</f>
        <v>2324</v>
      </c>
      <c r="R1381" s="5">
        <f>_xlfn.XLOOKUP(CustomerCombined[[#This Row],[ID]], Table4[ID], Table4[Deals], "Not Found", 0)</f>
        <v>1</v>
      </c>
      <c r="S1381" s="5">
        <f>_xlfn.XLOOKUP(CustomerCombined[[#This Row],[ID]], Table4[ID], Table4[Website], "Not Found", 0)</f>
        <v>9</v>
      </c>
      <c r="T1381" s="5">
        <f>_xlfn.XLOOKUP(CustomerCombined[[#This Row],[ID]], Table4[ID], Table4[Catalog], "Not Found", 0)</f>
        <v>4</v>
      </c>
      <c r="U1381" s="5">
        <f>_xlfn.XLOOKUP(CustomerCombined[[#This Row],[ID]], Table4[ID], Table4[Store], "Not Found", 0)</f>
        <v>9</v>
      </c>
      <c r="V1381" s="5">
        <f>_xlfn.XLOOKUP(CustomerCombined[[#This Row],[ID]], Table4[ID], Table4[Visits], "Not Found", 0)</f>
        <v>5</v>
      </c>
      <c r="W1381" s="8">
        <f>_xlfn.XLOOKUP(CustomerCombined[[#This Row],[ID]], Table2[ID],Table2[Complaint], "Not Found", 0 )</f>
        <v>0</v>
      </c>
      <c r="X1381" s="8">
        <f>_xlfn.XLOOKUP(CustomerCombined[[#This Row],[ID]], Table2[ID],Table2[Pilot], "Not Found", 0 )</f>
        <v>0</v>
      </c>
      <c r="Y1381" s="8">
        <f>_xlfn.XLOOKUP(CustomerCombined[[#This Row],[ID]], Table2[ID],Table2[MC1], "Not Found", 0 )</f>
        <v>0</v>
      </c>
      <c r="Z1381" s="8">
        <f>_xlfn.XLOOKUP(CustomerCombined[[#This Row],[ID]], Table2[ID],Table2[MC2], "Not Found", 0 )</f>
        <v>0</v>
      </c>
      <c r="AA1381" s="8">
        <f>_xlfn.XLOOKUP(CustomerCombined[[#This Row],[ID]], Table2[ID],Table2[MC3], "Not Found", 0 )</f>
        <v>0</v>
      </c>
      <c r="AB1381" s="8">
        <f>_xlfn.XLOOKUP(CustomerCombined[[#This Row],[ID]], Table2[ID],Table2[MC4], "Not Found", 0 )</f>
        <v>0</v>
      </c>
      <c r="AC1381" s="8">
        <f>_xlfn.XLOOKUP(CustomerCombined[[#This Row],[ID]], Table2[ID],Table2[MC5], "Not Found", 0 )</f>
        <v>0</v>
      </c>
    </row>
    <row r="1382" spans="1:29" x14ac:dyDescent="0.3">
      <c r="A1382" s="6">
        <v>1701</v>
      </c>
      <c r="B1382" s="6">
        <v>174806</v>
      </c>
      <c r="C1382" s="6">
        <v>0</v>
      </c>
      <c r="D1382" s="6">
        <v>1</v>
      </c>
      <c r="E1382" s="6">
        <v>55</v>
      </c>
      <c r="F1382" s="5" t="s">
        <v>6</v>
      </c>
      <c r="G1382" s="5" t="s">
        <v>12</v>
      </c>
      <c r="H1382" s="3" t="s">
        <v>340</v>
      </c>
      <c r="I1382" s="5" t="s">
        <v>435</v>
      </c>
      <c r="J1382" s="5">
        <f>_xlfn.XLOOKUP(CustomerCombined[[#This Row],[ID]], Table4[ID], Table4[Recency], "Not Found", 0)</f>
        <v>1</v>
      </c>
      <c r="K1382" s="5">
        <f>_xlfn.XLOOKUP(CustomerCombined[[#This Row],[ID]], Table4[ID], Table4[Teas], "Not Found", 0)</f>
        <v>1566</v>
      </c>
      <c r="L1382" s="5">
        <f>_xlfn.XLOOKUP(CustomerCombined[[#This Row],[ID]], Table4[ID], Table4[Fruits], "Not Found", 0)</f>
        <v>21</v>
      </c>
      <c r="M1382" s="5">
        <f>_xlfn.XLOOKUP(CustomerCombined[[#This Row],[ID]], Table4[ID], Table4[Meats], "Not Found", 0)</f>
        <v>582</v>
      </c>
      <c r="N1382" s="5">
        <f>_xlfn.XLOOKUP(CustomerCombined[[#This Row],[ID]], Table4[ID], Table4[Seafood], "Not Found", 0)</f>
        <v>0</v>
      </c>
      <c r="O1382" s="5">
        <f>_xlfn.XLOOKUP(CustomerCombined[[#This Row],[ID]], Table4[ID], Table4[Sweets], "Not Found", 0)</f>
        <v>65</v>
      </c>
      <c r="P1382" s="5">
        <f>_xlfn.XLOOKUP(CustomerCombined[[#This Row],[ID]], Table4[ID], Table4[Premium], "Not Found", 0)</f>
        <v>21</v>
      </c>
      <c r="Q1382" s="5">
        <f>_xlfn.XLOOKUP(CustomerCombined[[#This Row],[ID]], Table4[ID], Table4[Regular], "Not Found", 0)</f>
        <v>2213</v>
      </c>
      <c r="R1382" s="5">
        <f>_xlfn.XLOOKUP(CustomerCombined[[#This Row],[ID]], Table4[ID], Table4[Deals], "Not Found", 0)</f>
        <v>2</v>
      </c>
      <c r="S1382" s="5">
        <f>_xlfn.XLOOKUP(CustomerCombined[[#This Row],[ID]], Table4[ID], Table4[Website], "Not Found", 0)</f>
        <v>5</v>
      </c>
      <c r="T1382" s="5">
        <f>_xlfn.XLOOKUP(CustomerCombined[[#This Row],[ID]], Table4[ID], Table4[Catalog], "Not Found", 0)</f>
        <v>4</v>
      </c>
      <c r="U1382" s="5">
        <f>_xlfn.XLOOKUP(CustomerCombined[[#This Row],[ID]], Table4[ID], Table4[Store], "Not Found", 0)</f>
        <v>5</v>
      </c>
      <c r="V1382" s="5">
        <f>_xlfn.XLOOKUP(CustomerCombined[[#This Row],[ID]], Table4[ID], Table4[Visits], "Not Found", 0)</f>
        <v>4</v>
      </c>
      <c r="W1382" s="8">
        <f>_xlfn.XLOOKUP(CustomerCombined[[#This Row],[ID]], Table2[ID],Table2[Complaint], "Not Found", 0 )</f>
        <v>0</v>
      </c>
      <c r="X1382" s="8">
        <f>_xlfn.XLOOKUP(CustomerCombined[[#This Row],[ID]], Table2[ID],Table2[Pilot], "Not Found", 0 )</f>
        <v>0</v>
      </c>
      <c r="Y1382" s="8">
        <f>_xlfn.XLOOKUP(CustomerCombined[[#This Row],[ID]], Table2[ID],Table2[MC1], "Not Found", 0 )</f>
        <v>0</v>
      </c>
      <c r="Z1382" s="8">
        <f>_xlfn.XLOOKUP(CustomerCombined[[#This Row],[ID]], Table2[ID],Table2[MC2], "Not Found", 0 )</f>
        <v>0</v>
      </c>
      <c r="AA1382" s="8">
        <f>_xlfn.XLOOKUP(CustomerCombined[[#This Row],[ID]], Table2[ID],Table2[MC3], "Not Found", 0 )</f>
        <v>0</v>
      </c>
      <c r="AB1382" s="8">
        <f>_xlfn.XLOOKUP(CustomerCombined[[#This Row],[ID]], Table2[ID],Table2[MC4], "Not Found", 0 )</f>
        <v>0</v>
      </c>
      <c r="AC1382" s="8">
        <f>_xlfn.XLOOKUP(CustomerCombined[[#This Row],[ID]], Table2[ID],Table2[MC5], "Not Found", 0 )</f>
        <v>0</v>
      </c>
    </row>
    <row r="1383" spans="1:29" x14ac:dyDescent="0.3">
      <c r="A1383" s="6">
        <v>2488</v>
      </c>
      <c r="B1383" s="6">
        <v>173538</v>
      </c>
      <c r="C1383" s="6">
        <v>0</v>
      </c>
      <c r="D1383" s="6">
        <v>1</v>
      </c>
      <c r="E1383" s="6">
        <v>55</v>
      </c>
      <c r="F1383" s="5" t="s">
        <v>6</v>
      </c>
      <c r="G1383" s="5" t="s">
        <v>11</v>
      </c>
      <c r="H1383" s="3">
        <v>43501</v>
      </c>
      <c r="I1383" s="5" t="s">
        <v>439</v>
      </c>
      <c r="J1383" s="5">
        <f>_xlfn.XLOOKUP(CustomerCombined[[#This Row],[ID]], Table4[ID], Table4[Recency], "Not Found", 0)</f>
        <v>92</v>
      </c>
      <c r="K1383" s="5">
        <f>_xlfn.XLOOKUP(CustomerCombined[[#This Row],[ID]], Table4[ID], Table4[Teas], "Not Found", 0)</f>
        <v>1914</v>
      </c>
      <c r="L1383" s="5">
        <f>_xlfn.XLOOKUP(CustomerCombined[[#This Row],[ID]], Table4[ID], Table4[Fruits], "Not Found", 0)</f>
        <v>179</v>
      </c>
      <c r="M1383" s="5">
        <f>_xlfn.XLOOKUP(CustomerCombined[[#This Row],[ID]], Table4[ID], Table4[Meats], "Not Found", 0)</f>
        <v>1010</v>
      </c>
      <c r="N1383" s="5">
        <f>_xlfn.XLOOKUP(CustomerCombined[[#This Row],[ID]], Table4[ID], Table4[Seafood], "Not Found", 0)</f>
        <v>234</v>
      </c>
      <c r="O1383" s="5">
        <f>_xlfn.XLOOKUP(CustomerCombined[[#This Row],[ID]], Table4[ID], Table4[Sweets], "Not Found", 0)</f>
        <v>323</v>
      </c>
      <c r="P1383" s="5">
        <f>_xlfn.XLOOKUP(CustomerCombined[[#This Row],[ID]], Table4[ID], Table4[Premium], "Not Found", 0)</f>
        <v>253</v>
      </c>
      <c r="Q1383" s="5">
        <f>_xlfn.XLOOKUP(CustomerCombined[[#This Row],[ID]], Table4[ID], Table4[Regular], "Not Found", 0)</f>
        <v>3408</v>
      </c>
      <c r="R1383" s="5">
        <f>_xlfn.XLOOKUP(CustomerCombined[[#This Row],[ID]], Table4[ID], Table4[Deals], "Not Found", 0)</f>
        <v>3</v>
      </c>
      <c r="S1383" s="5">
        <f>_xlfn.XLOOKUP(CustomerCombined[[#This Row],[ID]], Table4[ID], Table4[Website], "Not Found", 0)</f>
        <v>10</v>
      </c>
      <c r="T1383" s="5">
        <f>_xlfn.XLOOKUP(CustomerCombined[[#This Row],[ID]], Table4[ID], Table4[Catalog], "Not Found", 0)</f>
        <v>4</v>
      </c>
      <c r="U1383" s="5">
        <f>_xlfn.XLOOKUP(CustomerCombined[[#This Row],[ID]], Table4[ID], Table4[Store], "Not Found", 0)</f>
        <v>9</v>
      </c>
      <c r="V1383" s="5">
        <f>_xlfn.XLOOKUP(CustomerCombined[[#This Row],[ID]], Table4[ID], Table4[Visits], "Not Found", 0)</f>
        <v>7</v>
      </c>
      <c r="W1383" s="8">
        <f>_xlfn.XLOOKUP(CustomerCombined[[#This Row],[ID]], Table2[ID],Table2[Complaint], "Not Found", 0 )</f>
        <v>0</v>
      </c>
      <c r="X1383" s="8">
        <f>_xlfn.XLOOKUP(CustomerCombined[[#This Row],[ID]], Table2[ID],Table2[Pilot], "Not Found", 0 )</f>
        <v>0</v>
      </c>
      <c r="Y1383" s="8">
        <f>_xlfn.XLOOKUP(CustomerCombined[[#This Row],[ID]], Table2[ID],Table2[MC1], "Not Found", 0 )</f>
        <v>0</v>
      </c>
      <c r="Z1383" s="8">
        <f>_xlfn.XLOOKUP(CustomerCombined[[#This Row],[ID]], Table2[ID],Table2[MC2], "Not Found", 0 )</f>
        <v>0</v>
      </c>
      <c r="AA1383" s="8">
        <f>_xlfn.XLOOKUP(CustomerCombined[[#This Row],[ID]], Table2[ID],Table2[MC3], "Not Found", 0 )</f>
        <v>0</v>
      </c>
      <c r="AB1383" s="8">
        <f>_xlfn.XLOOKUP(CustomerCombined[[#This Row],[ID]], Table2[ID],Table2[MC4], "Not Found", 0 )</f>
        <v>0</v>
      </c>
      <c r="AC1383" s="8">
        <f>_xlfn.XLOOKUP(CustomerCombined[[#This Row],[ID]], Table2[ID],Table2[MC5], "Not Found", 0 )</f>
        <v>0</v>
      </c>
    </row>
    <row r="1384" spans="1:29" x14ac:dyDescent="0.3">
      <c r="A1384" s="6">
        <v>1704</v>
      </c>
      <c r="B1384" s="6">
        <v>172190</v>
      </c>
      <c r="C1384" s="6">
        <v>0</v>
      </c>
      <c r="D1384" s="6">
        <v>0</v>
      </c>
      <c r="E1384" s="6">
        <v>55</v>
      </c>
      <c r="F1384" s="5" t="s">
        <v>6</v>
      </c>
      <c r="G1384" s="5" t="s">
        <v>11</v>
      </c>
      <c r="H1384" s="3" t="s">
        <v>310</v>
      </c>
      <c r="I1384" s="5" t="s">
        <v>436</v>
      </c>
      <c r="J1384" s="5">
        <f>_xlfn.XLOOKUP(CustomerCombined[[#This Row],[ID]], Table4[ID], Table4[Recency], "Not Found", 0)</f>
        <v>79</v>
      </c>
      <c r="K1384" s="5">
        <f>_xlfn.XLOOKUP(CustomerCombined[[#This Row],[ID]], Table4[ID], Table4[Teas], "Not Found", 0)</f>
        <v>1424</v>
      </c>
      <c r="L1384" s="5">
        <f>_xlfn.XLOOKUP(CustomerCombined[[#This Row],[ID]], Table4[ID], Table4[Fruits], "Not Found", 0)</f>
        <v>396</v>
      </c>
      <c r="M1384" s="5">
        <f>_xlfn.XLOOKUP(CustomerCombined[[#This Row],[ID]], Table4[ID], Table4[Meats], "Not Found", 0)</f>
        <v>1424</v>
      </c>
      <c r="N1384" s="5">
        <f>_xlfn.XLOOKUP(CustomerCombined[[#This Row],[ID]], Table4[ID], Table4[Seafood], "Not Found", 0)</f>
        <v>410</v>
      </c>
      <c r="O1384" s="5">
        <f>_xlfn.XLOOKUP(CustomerCombined[[#This Row],[ID]], Table4[ID], Table4[Sweets], "Not Found", 0)</f>
        <v>396</v>
      </c>
      <c r="P1384" s="5">
        <f>_xlfn.XLOOKUP(CustomerCombined[[#This Row],[ID]], Table4[ID], Table4[Premium], "Not Found", 0)</f>
        <v>594</v>
      </c>
      <c r="Q1384" s="5">
        <f>_xlfn.XLOOKUP(CustomerCombined[[#This Row],[ID]], Table4[ID], Table4[Regular], "Not Found", 0)</f>
        <v>3456</v>
      </c>
      <c r="R1384" s="5">
        <f>_xlfn.XLOOKUP(CustomerCombined[[#This Row],[ID]], Table4[ID], Table4[Deals], "Not Found", 0)</f>
        <v>1</v>
      </c>
      <c r="S1384" s="5">
        <f>_xlfn.XLOOKUP(CustomerCombined[[#This Row],[ID]], Table4[ID], Table4[Website], "Not Found", 0)</f>
        <v>5</v>
      </c>
      <c r="T1384" s="5">
        <f>_xlfn.XLOOKUP(CustomerCombined[[#This Row],[ID]], Table4[ID], Table4[Catalog], "Not Found", 0)</f>
        <v>6</v>
      </c>
      <c r="U1384" s="5">
        <f>_xlfn.XLOOKUP(CustomerCombined[[#This Row],[ID]], Table4[ID], Table4[Store], "Not Found", 0)</f>
        <v>4</v>
      </c>
      <c r="V1384" s="5">
        <f>_xlfn.XLOOKUP(CustomerCombined[[#This Row],[ID]], Table4[ID], Table4[Visits], "Not Found", 0)</f>
        <v>3</v>
      </c>
      <c r="W1384" s="8">
        <f>_xlfn.XLOOKUP(CustomerCombined[[#This Row],[ID]], Table2[ID],Table2[Complaint], "Not Found", 0 )</f>
        <v>0</v>
      </c>
      <c r="X1384" s="8">
        <f>_xlfn.XLOOKUP(CustomerCombined[[#This Row],[ID]], Table2[ID],Table2[Pilot], "Not Found", 0 )</f>
        <v>0</v>
      </c>
      <c r="Y1384" s="8">
        <f>_xlfn.XLOOKUP(CustomerCombined[[#This Row],[ID]], Table2[ID],Table2[MC1], "Not Found", 0 )</f>
        <v>0</v>
      </c>
      <c r="Z1384" s="8">
        <f>_xlfn.XLOOKUP(CustomerCombined[[#This Row],[ID]], Table2[ID],Table2[MC2], "Not Found", 0 )</f>
        <v>0</v>
      </c>
      <c r="AA1384" s="8">
        <f>_xlfn.XLOOKUP(CustomerCombined[[#This Row],[ID]], Table2[ID],Table2[MC3], "Not Found", 0 )</f>
        <v>0</v>
      </c>
      <c r="AB1384" s="8">
        <f>_xlfn.XLOOKUP(CustomerCombined[[#This Row],[ID]], Table2[ID],Table2[MC4], "Not Found", 0 )</f>
        <v>0</v>
      </c>
      <c r="AC1384" s="8">
        <f>_xlfn.XLOOKUP(CustomerCombined[[#This Row],[ID]], Table2[ID],Table2[MC5], "Not Found", 0 )</f>
        <v>0</v>
      </c>
    </row>
    <row r="1385" spans="1:29" x14ac:dyDescent="0.3">
      <c r="A1385" s="6">
        <v>1003</v>
      </c>
      <c r="B1385" s="6">
        <v>171613</v>
      </c>
      <c r="C1385" s="6">
        <v>0</v>
      </c>
      <c r="D1385" s="6">
        <v>0</v>
      </c>
      <c r="E1385" s="6">
        <v>55</v>
      </c>
      <c r="F1385" s="5" t="s">
        <v>8</v>
      </c>
      <c r="G1385" s="5" t="s">
        <v>11</v>
      </c>
      <c r="H1385" s="3" t="s">
        <v>196</v>
      </c>
      <c r="I1385" s="5" t="s">
        <v>437</v>
      </c>
      <c r="J1385" s="5">
        <f>_xlfn.XLOOKUP(CustomerCombined[[#This Row],[ID]], Table4[ID], Table4[Recency], "Not Found", 0)</f>
        <v>26</v>
      </c>
      <c r="K1385" s="5">
        <f>_xlfn.XLOOKUP(CustomerCombined[[#This Row],[ID]], Table4[ID], Table4[Teas], "Not Found", 0)</f>
        <v>1021</v>
      </c>
      <c r="L1385" s="5">
        <f>_xlfn.XLOOKUP(CustomerCombined[[#This Row],[ID]], Table4[ID], Table4[Fruits], "Not Found", 0)</f>
        <v>117</v>
      </c>
      <c r="M1385" s="5">
        <f>_xlfn.XLOOKUP(CustomerCombined[[#This Row],[ID]], Table4[ID], Table4[Meats], "Not Found", 0)</f>
        <v>304</v>
      </c>
      <c r="N1385" s="5">
        <f>_xlfn.XLOOKUP(CustomerCombined[[#This Row],[ID]], Table4[ID], Table4[Seafood], "Not Found", 0)</f>
        <v>266</v>
      </c>
      <c r="O1385" s="5">
        <f>_xlfn.XLOOKUP(CustomerCombined[[#This Row],[ID]], Table4[ID], Table4[Sweets], "Not Found", 0)</f>
        <v>50</v>
      </c>
      <c r="P1385" s="5">
        <f>_xlfn.XLOOKUP(CustomerCombined[[#This Row],[ID]], Table4[ID], Table4[Premium], "Not Found", 0)</f>
        <v>101</v>
      </c>
      <c r="Q1385" s="5">
        <f>_xlfn.XLOOKUP(CustomerCombined[[#This Row],[ID]], Table4[ID], Table4[Regular], "Not Found", 0)</f>
        <v>1658</v>
      </c>
      <c r="R1385" s="5">
        <f>_xlfn.XLOOKUP(CustomerCombined[[#This Row],[ID]], Table4[ID], Table4[Deals], "Not Found", 0)</f>
        <v>1</v>
      </c>
      <c r="S1385" s="5">
        <f>_xlfn.XLOOKUP(CustomerCombined[[#This Row],[ID]], Table4[ID], Table4[Website], "Not Found", 0)</f>
        <v>8</v>
      </c>
      <c r="T1385" s="5">
        <f>_xlfn.XLOOKUP(CustomerCombined[[#This Row],[ID]], Table4[ID], Table4[Catalog], "Not Found", 0)</f>
        <v>2</v>
      </c>
      <c r="U1385" s="5">
        <f>_xlfn.XLOOKUP(CustomerCombined[[#This Row],[ID]], Table4[ID], Table4[Store], "Not Found", 0)</f>
        <v>10</v>
      </c>
      <c r="V1385" s="5">
        <f>_xlfn.XLOOKUP(CustomerCombined[[#This Row],[ID]], Table4[ID], Table4[Visits], "Not Found", 0)</f>
        <v>4</v>
      </c>
      <c r="W1385" s="8">
        <f>_xlfn.XLOOKUP(CustomerCombined[[#This Row],[ID]], Table2[ID],Table2[Complaint], "Not Found", 0 )</f>
        <v>0</v>
      </c>
      <c r="X1385" s="8">
        <f>_xlfn.XLOOKUP(CustomerCombined[[#This Row],[ID]], Table2[ID],Table2[Pilot], "Not Found", 0 )</f>
        <v>0</v>
      </c>
      <c r="Y1385" s="8">
        <f>_xlfn.XLOOKUP(CustomerCombined[[#This Row],[ID]], Table2[ID],Table2[MC1], "Not Found", 0 )</f>
        <v>0</v>
      </c>
      <c r="Z1385" s="8">
        <f>_xlfn.XLOOKUP(CustomerCombined[[#This Row],[ID]], Table2[ID],Table2[MC2], "Not Found", 0 )</f>
        <v>0</v>
      </c>
      <c r="AA1385" s="8">
        <f>_xlfn.XLOOKUP(CustomerCombined[[#This Row],[ID]], Table2[ID],Table2[MC3], "Not Found", 0 )</f>
        <v>0</v>
      </c>
      <c r="AB1385" s="8">
        <f>_xlfn.XLOOKUP(CustomerCombined[[#This Row],[ID]], Table2[ID],Table2[MC4], "Not Found", 0 )</f>
        <v>0</v>
      </c>
      <c r="AC1385" s="8">
        <f>_xlfn.XLOOKUP(CustomerCombined[[#This Row],[ID]], Table2[ID],Table2[MC5], "Not Found", 0 )</f>
        <v>0</v>
      </c>
    </row>
    <row r="1386" spans="1:29" x14ac:dyDescent="0.3">
      <c r="A1386" s="6">
        <v>1117</v>
      </c>
      <c r="B1386" s="6">
        <v>171488</v>
      </c>
      <c r="C1386" s="6">
        <v>0</v>
      </c>
      <c r="D1386" s="6">
        <v>0</v>
      </c>
      <c r="E1386" s="6">
        <v>55</v>
      </c>
      <c r="F1386" s="5" t="s">
        <v>8</v>
      </c>
      <c r="G1386" s="5" t="s">
        <v>442</v>
      </c>
      <c r="H1386" s="3" t="s">
        <v>305</v>
      </c>
      <c r="I1386" s="5" t="s">
        <v>437</v>
      </c>
      <c r="J1386" s="5">
        <f>_xlfn.XLOOKUP(CustomerCombined[[#This Row],[ID]], Table4[ID], Table4[Recency], "Not Found", 0)</f>
        <v>87</v>
      </c>
      <c r="K1386" s="5">
        <f>_xlfn.XLOOKUP(CustomerCombined[[#This Row],[ID]], Table4[ID], Table4[Teas], "Not Found", 0)</f>
        <v>389</v>
      </c>
      <c r="L1386" s="5">
        <f>_xlfn.XLOOKUP(CustomerCombined[[#This Row],[ID]], Table4[ID], Table4[Fruits], "Not Found", 0)</f>
        <v>79</v>
      </c>
      <c r="M1386" s="5">
        <f>_xlfn.XLOOKUP(CustomerCombined[[#This Row],[ID]], Table4[ID], Table4[Meats], "Not Found", 0)</f>
        <v>297</v>
      </c>
      <c r="N1386" s="5">
        <f>_xlfn.XLOOKUP(CustomerCombined[[#This Row],[ID]], Table4[ID], Table4[Seafood], "Not Found", 0)</f>
        <v>96</v>
      </c>
      <c r="O1386" s="5">
        <f>_xlfn.XLOOKUP(CustomerCombined[[#This Row],[ID]], Table4[ID], Table4[Sweets], "Not Found", 0)</f>
        <v>67</v>
      </c>
      <c r="P1386" s="5">
        <f>_xlfn.XLOOKUP(CustomerCombined[[#This Row],[ID]], Table4[ID], Table4[Premium], "Not Found", 0)</f>
        <v>413</v>
      </c>
      <c r="Q1386" s="5">
        <f>_xlfn.XLOOKUP(CustomerCombined[[#This Row],[ID]], Table4[ID], Table4[Regular], "Not Found", 0)</f>
        <v>516</v>
      </c>
      <c r="R1386" s="5">
        <f>_xlfn.XLOOKUP(CustomerCombined[[#This Row],[ID]], Table4[ID], Table4[Deals], "Not Found", 0)</f>
        <v>2</v>
      </c>
      <c r="S1386" s="5">
        <f>_xlfn.XLOOKUP(CustomerCombined[[#This Row],[ID]], Table4[ID], Table4[Website], "Not Found", 0)</f>
        <v>3</v>
      </c>
      <c r="T1386" s="5">
        <f>_xlfn.XLOOKUP(CustomerCombined[[#This Row],[ID]], Table4[ID], Table4[Catalog], "Not Found", 0)</f>
        <v>4</v>
      </c>
      <c r="U1386" s="5">
        <f>_xlfn.XLOOKUP(CustomerCombined[[#This Row],[ID]], Table4[ID], Table4[Store], "Not Found", 0)</f>
        <v>7</v>
      </c>
      <c r="V1386" s="5">
        <f>_xlfn.XLOOKUP(CustomerCombined[[#This Row],[ID]], Table4[ID], Table4[Visits], "Not Found", 0)</f>
        <v>1</v>
      </c>
      <c r="W1386" s="8">
        <f>_xlfn.XLOOKUP(CustomerCombined[[#This Row],[ID]], Table2[ID],Table2[Complaint], "Not Found", 0 )</f>
        <v>0</v>
      </c>
      <c r="X1386" s="8">
        <f>_xlfn.XLOOKUP(CustomerCombined[[#This Row],[ID]], Table2[ID],Table2[Pilot], "Not Found", 0 )</f>
        <v>0</v>
      </c>
      <c r="Y1386" s="8">
        <f>_xlfn.XLOOKUP(CustomerCombined[[#This Row],[ID]], Table2[ID],Table2[MC1], "Not Found", 0 )</f>
        <v>0</v>
      </c>
      <c r="Z1386" s="8">
        <f>_xlfn.XLOOKUP(CustomerCombined[[#This Row],[ID]], Table2[ID],Table2[MC2], "Not Found", 0 )</f>
        <v>0</v>
      </c>
      <c r="AA1386" s="8">
        <f>_xlfn.XLOOKUP(CustomerCombined[[#This Row],[ID]], Table2[ID],Table2[MC3], "Not Found", 0 )</f>
        <v>0</v>
      </c>
      <c r="AB1386" s="8">
        <f>_xlfn.XLOOKUP(CustomerCombined[[#This Row],[ID]], Table2[ID],Table2[MC4], "Not Found", 0 )</f>
        <v>0</v>
      </c>
      <c r="AC1386" s="8">
        <f>_xlfn.XLOOKUP(CustomerCombined[[#This Row],[ID]], Table2[ID],Table2[MC5], "Not Found", 0 )</f>
        <v>0</v>
      </c>
    </row>
    <row r="1387" spans="1:29" x14ac:dyDescent="0.3">
      <c r="A1387" s="6">
        <v>2999</v>
      </c>
      <c r="B1387" s="6">
        <v>171322</v>
      </c>
      <c r="C1387" s="6">
        <v>0</v>
      </c>
      <c r="D1387" s="6">
        <v>1</v>
      </c>
      <c r="E1387" s="6">
        <v>55</v>
      </c>
      <c r="F1387" s="5" t="s">
        <v>6</v>
      </c>
      <c r="G1387" s="5" t="s">
        <v>13</v>
      </c>
      <c r="H1387" s="3" t="s">
        <v>307</v>
      </c>
      <c r="I1387" s="5" t="s">
        <v>434</v>
      </c>
      <c r="J1387" s="5">
        <f>_xlfn.XLOOKUP(CustomerCombined[[#This Row],[ID]], Table4[ID], Table4[Recency], "Not Found", 0)</f>
        <v>57</v>
      </c>
      <c r="K1387" s="5">
        <f>_xlfn.XLOOKUP(CustomerCombined[[#This Row],[ID]], Table4[ID], Table4[Teas], "Not Found", 0)</f>
        <v>1809</v>
      </c>
      <c r="L1387" s="5">
        <f>_xlfn.XLOOKUP(CustomerCombined[[#This Row],[ID]], Table4[ID], Table4[Fruits], "Not Found", 0)</f>
        <v>103</v>
      </c>
      <c r="M1387" s="5">
        <f>_xlfn.XLOOKUP(CustomerCombined[[#This Row],[ID]], Table4[ID], Table4[Meats], "Not Found", 0)</f>
        <v>543</v>
      </c>
      <c r="N1387" s="5">
        <f>_xlfn.XLOOKUP(CustomerCombined[[#This Row],[ID]], Table4[ID], Table4[Seafood], "Not Found", 0)</f>
        <v>166</v>
      </c>
      <c r="O1387" s="5">
        <f>_xlfn.XLOOKUP(CustomerCombined[[#This Row],[ID]], Table4[ID], Table4[Sweets], "Not Found", 0)</f>
        <v>24</v>
      </c>
      <c r="P1387" s="5">
        <f>_xlfn.XLOOKUP(CustomerCombined[[#This Row],[ID]], Table4[ID], Table4[Premium], "Not Found", 0)</f>
        <v>490</v>
      </c>
      <c r="Q1387" s="5">
        <f>_xlfn.XLOOKUP(CustomerCombined[[#This Row],[ID]], Table4[ID], Table4[Regular], "Not Found", 0)</f>
        <v>2155</v>
      </c>
      <c r="R1387" s="5">
        <f>_xlfn.XLOOKUP(CustomerCombined[[#This Row],[ID]], Table4[ID], Table4[Deals], "Not Found", 0)</f>
        <v>2</v>
      </c>
      <c r="S1387" s="5">
        <f>_xlfn.XLOOKUP(CustomerCombined[[#This Row],[ID]], Table4[ID], Table4[Website], "Not Found", 0)</f>
        <v>8</v>
      </c>
      <c r="T1387" s="5">
        <f>_xlfn.XLOOKUP(CustomerCombined[[#This Row],[ID]], Table4[ID], Table4[Catalog], "Not Found", 0)</f>
        <v>5</v>
      </c>
      <c r="U1387" s="5">
        <f>_xlfn.XLOOKUP(CustomerCombined[[#This Row],[ID]], Table4[ID], Table4[Store], "Not Found", 0)</f>
        <v>13</v>
      </c>
      <c r="V1387" s="5">
        <f>_xlfn.XLOOKUP(CustomerCombined[[#This Row],[ID]], Table4[ID], Table4[Visits], "Not Found", 0)</f>
        <v>4</v>
      </c>
      <c r="W1387" s="8">
        <f>_xlfn.XLOOKUP(CustomerCombined[[#This Row],[ID]], Table2[ID],Table2[Complaint], "Not Found", 0 )</f>
        <v>0</v>
      </c>
      <c r="X1387" s="8">
        <f>_xlfn.XLOOKUP(CustomerCombined[[#This Row],[ID]], Table2[ID],Table2[Pilot], "Not Found", 0 )</f>
        <v>0</v>
      </c>
      <c r="Y1387" s="8">
        <f>_xlfn.XLOOKUP(CustomerCombined[[#This Row],[ID]], Table2[ID],Table2[MC1], "Not Found", 0 )</f>
        <v>0</v>
      </c>
      <c r="Z1387" s="8">
        <f>_xlfn.XLOOKUP(CustomerCombined[[#This Row],[ID]], Table2[ID],Table2[MC2], "Not Found", 0 )</f>
        <v>0</v>
      </c>
      <c r="AA1387" s="8">
        <f>_xlfn.XLOOKUP(CustomerCombined[[#This Row],[ID]], Table2[ID],Table2[MC3], "Not Found", 0 )</f>
        <v>0</v>
      </c>
      <c r="AB1387" s="8">
        <f>_xlfn.XLOOKUP(CustomerCombined[[#This Row],[ID]], Table2[ID],Table2[MC4], "Not Found", 0 )</f>
        <v>0</v>
      </c>
      <c r="AC1387" s="8">
        <f>_xlfn.XLOOKUP(CustomerCombined[[#This Row],[ID]], Table2[ID],Table2[MC5], "Not Found", 0 )</f>
        <v>0</v>
      </c>
    </row>
    <row r="1388" spans="1:29" x14ac:dyDescent="0.3">
      <c r="A1388" s="6">
        <v>1997</v>
      </c>
      <c r="B1388" s="6">
        <v>170924</v>
      </c>
      <c r="C1388" s="6">
        <v>0</v>
      </c>
      <c r="D1388" s="6">
        <v>0</v>
      </c>
      <c r="E1388" s="6">
        <v>55</v>
      </c>
      <c r="F1388" s="5" t="s">
        <v>6</v>
      </c>
      <c r="G1388" s="5" t="s">
        <v>442</v>
      </c>
      <c r="H1388" s="3">
        <v>44144</v>
      </c>
      <c r="I1388" s="5" t="s">
        <v>434</v>
      </c>
      <c r="J1388" s="5">
        <f>_xlfn.XLOOKUP(CustomerCombined[[#This Row],[ID]], Table4[ID], Table4[Recency], "Not Found", 0)</f>
        <v>41</v>
      </c>
      <c r="K1388" s="5">
        <f>_xlfn.XLOOKUP(CustomerCombined[[#This Row],[ID]], Table4[ID], Table4[Teas], "Not Found", 0)</f>
        <v>1530</v>
      </c>
      <c r="L1388" s="5">
        <f>_xlfn.XLOOKUP(CustomerCombined[[#This Row],[ID]], Table4[ID], Table4[Fruits], "Not Found", 0)</f>
        <v>275</v>
      </c>
      <c r="M1388" s="5">
        <f>_xlfn.XLOOKUP(CustomerCombined[[#This Row],[ID]], Table4[ID], Table4[Meats], "Not Found", 0)</f>
        <v>612</v>
      </c>
      <c r="N1388" s="5">
        <f>_xlfn.XLOOKUP(CustomerCombined[[#This Row],[ID]], Table4[ID], Table4[Seafood], "Not Found", 0)</f>
        <v>318</v>
      </c>
      <c r="O1388" s="5">
        <f>_xlfn.XLOOKUP(CustomerCombined[[#This Row],[ID]], Table4[ID], Table4[Sweets], "Not Found", 0)</f>
        <v>366</v>
      </c>
      <c r="P1388" s="5">
        <f>_xlfn.XLOOKUP(CustomerCombined[[#This Row],[ID]], Table4[ID], Table4[Premium], "Not Found", 0)</f>
        <v>183</v>
      </c>
      <c r="Q1388" s="5">
        <f>_xlfn.XLOOKUP(CustomerCombined[[#This Row],[ID]], Table4[ID], Table4[Regular], "Not Found", 0)</f>
        <v>2918</v>
      </c>
      <c r="R1388" s="5">
        <f>_xlfn.XLOOKUP(CustomerCombined[[#This Row],[ID]], Table4[ID], Table4[Deals], "Not Found", 0)</f>
        <v>1</v>
      </c>
      <c r="S1388" s="5">
        <f>_xlfn.XLOOKUP(CustomerCombined[[#This Row],[ID]], Table4[ID], Table4[Website], "Not Found", 0)</f>
        <v>6</v>
      </c>
      <c r="T1388" s="5">
        <f>_xlfn.XLOOKUP(CustomerCombined[[#This Row],[ID]], Table4[ID], Table4[Catalog], "Not Found", 0)</f>
        <v>6</v>
      </c>
      <c r="U1388" s="5">
        <f>_xlfn.XLOOKUP(CustomerCombined[[#This Row],[ID]], Table4[ID], Table4[Store], "Not Found", 0)</f>
        <v>7</v>
      </c>
      <c r="V1388" s="5">
        <f>_xlfn.XLOOKUP(CustomerCombined[[#This Row],[ID]], Table4[ID], Table4[Visits], "Not Found", 0)</f>
        <v>3</v>
      </c>
      <c r="W1388" s="8">
        <f>_xlfn.XLOOKUP(CustomerCombined[[#This Row],[ID]], Table2[ID],Table2[Complaint], "Not Found", 0 )</f>
        <v>0</v>
      </c>
      <c r="X1388" s="8">
        <f>_xlfn.XLOOKUP(CustomerCombined[[#This Row],[ID]], Table2[ID],Table2[Pilot], "Not Found", 0 )</f>
        <v>0</v>
      </c>
      <c r="Y1388" s="8">
        <f>_xlfn.XLOOKUP(CustomerCombined[[#This Row],[ID]], Table2[ID],Table2[MC1], "Not Found", 0 )</f>
        <v>0</v>
      </c>
      <c r="Z1388" s="8">
        <f>_xlfn.XLOOKUP(CustomerCombined[[#This Row],[ID]], Table2[ID],Table2[MC2], "Not Found", 0 )</f>
        <v>0</v>
      </c>
      <c r="AA1388" s="8">
        <f>_xlfn.XLOOKUP(CustomerCombined[[#This Row],[ID]], Table2[ID],Table2[MC3], "Not Found", 0 )</f>
        <v>0</v>
      </c>
      <c r="AB1388" s="8">
        <f>_xlfn.XLOOKUP(CustomerCombined[[#This Row],[ID]], Table2[ID],Table2[MC4], "Not Found", 0 )</f>
        <v>0</v>
      </c>
      <c r="AC1388" s="8">
        <f>_xlfn.XLOOKUP(CustomerCombined[[#This Row],[ID]], Table2[ID],Table2[MC5], "Not Found", 0 )</f>
        <v>1</v>
      </c>
    </row>
    <row r="1389" spans="1:29" x14ac:dyDescent="0.3">
      <c r="A1389" s="6">
        <v>2031</v>
      </c>
      <c r="B1389" s="6">
        <v>170924</v>
      </c>
      <c r="C1389" s="6">
        <v>0</v>
      </c>
      <c r="D1389" s="6">
        <v>0</v>
      </c>
      <c r="E1389" s="6">
        <v>55</v>
      </c>
      <c r="F1389" s="5" t="s">
        <v>6</v>
      </c>
      <c r="G1389" s="5" t="s">
        <v>442</v>
      </c>
      <c r="H1389" s="3">
        <v>44144</v>
      </c>
      <c r="I1389" s="5" t="s">
        <v>435</v>
      </c>
      <c r="J1389" s="5">
        <f>_xlfn.XLOOKUP(CustomerCombined[[#This Row],[ID]], Table4[ID], Table4[Recency], "Not Found", 0)</f>
        <v>41</v>
      </c>
      <c r="K1389" s="5">
        <f>_xlfn.XLOOKUP(CustomerCombined[[#This Row],[ID]], Table4[ID], Table4[Teas], "Not Found", 0)</f>
        <v>1530</v>
      </c>
      <c r="L1389" s="5">
        <f>_xlfn.XLOOKUP(CustomerCombined[[#This Row],[ID]], Table4[ID], Table4[Fruits], "Not Found", 0)</f>
        <v>275</v>
      </c>
      <c r="M1389" s="5">
        <f>_xlfn.XLOOKUP(CustomerCombined[[#This Row],[ID]], Table4[ID], Table4[Meats], "Not Found", 0)</f>
        <v>612</v>
      </c>
      <c r="N1389" s="5">
        <f>_xlfn.XLOOKUP(CustomerCombined[[#This Row],[ID]], Table4[ID], Table4[Seafood], "Not Found", 0)</f>
        <v>318</v>
      </c>
      <c r="O1389" s="5">
        <f>_xlfn.XLOOKUP(CustomerCombined[[#This Row],[ID]], Table4[ID], Table4[Sweets], "Not Found", 0)</f>
        <v>366</v>
      </c>
      <c r="P1389" s="5">
        <f>_xlfn.XLOOKUP(CustomerCombined[[#This Row],[ID]], Table4[ID], Table4[Premium], "Not Found", 0)</f>
        <v>183</v>
      </c>
      <c r="Q1389" s="5">
        <f>_xlfn.XLOOKUP(CustomerCombined[[#This Row],[ID]], Table4[ID], Table4[Regular], "Not Found", 0)</f>
        <v>2918</v>
      </c>
      <c r="R1389" s="5">
        <f>_xlfn.XLOOKUP(CustomerCombined[[#This Row],[ID]], Table4[ID], Table4[Deals], "Not Found", 0)</f>
        <v>1</v>
      </c>
      <c r="S1389" s="5">
        <f>_xlfn.XLOOKUP(CustomerCombined[[#This Row],[ID]], Table4[ID], Table4[Website], "Not Found", 0)</f>
        <v>6</v>
      </c>
      <c r="T1389" s="5">
        <f>_xlfn.XLOOKUP(CustomerCombined[[#This Row],[ID]], Table4[ID], Table4[Catalog], "Not Found", 0)</f>
        <v>6</v>
      </c>
      <c r="U1389" s="5">
        <f>_xlfn.XLOOKUP(CustomerCombined[[#This Row],[ID]], Table4[ID], Table4[Store], "Not Found", 0)</f>
        <v>7</v>
      </c>
      <c r="V1389" s="5">
        <f>_xlfn.XLOOKUP(CustomerCombined[[#This Row],[ID]], Table4[ID], Table4[Visits], "Not Found", 0)</f>
        <v>3</v>
      </c>
      <c r="W1389" s="8">
        <f>_xlfn.XLOOKUP(CustomerCombined[[#This Row],[ID]], Table2[ID],Table2[Complaint], "Not Found", 0 )</f>
        <v>0</v>
      </c>
      <c r="X1389" s="8">
        <f>_xlfn.XLOOKUP(CustomerCombined[[#This Row],[ID]], Table2[ID],Table2[Pilot], "Not Found", 0 )</f>
        <v>0</v>
      </c>
      <c r="Y1389" s="8">
        <f>_xlfn.XLOOKUP(CustomerCombined[[#This Row],[ID]], Table2[ID],Table2[MC1], "Not Found", 0 )</f>
        <v>0</v>
      </c>
      <c r="Z1389" s="8">
        <f>_xlfn.XLOOKUP(CustomerCombined[[#This Row],[ID]], Table2[ID],Table2[MC2], "Not Found", 0 )</f>
        <v>0</v>
      </c>
      <c r="AA1389" s="8">
        <f>_xlfn.XLOOKUP(CustomerCombined[[#This Row],[ID]], Table2[ID],Table2[MC3], "Not Found", 0 )</f>
        <v>0</v>
      </c>
      <c r="AB1389" s="8">
        <f>_xlfn.XLOOKUP(CustomerCombined[[#This Row],[ID]], Table2[ID],Table2[MC4], "Not Found", 0 )</f>
        <v>0</v>
      </c>
      <c r="AC1389" s="8">
        <f>_xlfn.XLOOKUP(CustomerCombined[[#This Row],[ID]], Table2[ID],Table2[MC5], "Not Found", 0 )</f>
        <v>1</v>
      </c>
    </row>
    <row r="1390" spans="1:29" x14ac:dyDescent="0.3">
      <c r="A1390" s="6">
        <v>2935</v>
      </c>
      <c r="B1390" s="6">
        <v>170053</v>
      </c>
      <c r="C1390" s="6">
        <v>0</v>
      </c>
      <c r="D1390" s="6">
        <v>1</v>
      </c>
      <c r="E1390" s="6">
        <v>55</v>
      </c>
      <c r="F1390" s="5" t="s">
        <v>6</v>
      </c>
      <c r="G1390" s="5" t="s">
        <v>12</v>
      </c>
      <c r="H1390" s="3">
        <v>43689</v>
      </c>
      <c r="I1390" s="5" t="s">
        <v>437</v>
      </c>
      <c r="J1390" s="5">
        <f>_xlfn.XLOOKUP(CustomerCombined[[#This Row],[ID]], Table4[ID], Table4[Recency], "Not Found", 0)</f>
        <v>38</v>
      </c>
      <c r="K1390" s="5">
        <f>_xlfn.XLOOKUP(CustomerCombined[[#This Row],[ID]], Table4[ID], Table4[Teas], "Not Found", 0)</f>
        <v>1243</v>
      </c>
      <c r="L1390" s="5">
        <f>_xlfn.XLOOKUP(CustomerCombined[[#This Row],[ID]], Table4[ID], Table4[Fruits], "Not Found", 0)</f>
        <v>129</v>
      </c>
      <c r="M1390" s="5">
        <f>_xlfn.XLOOKUP(CustomerCombined[[#This Row],[ID]], Table4[ID], Table4[Meats], "Not Found", 0)</f>
        <v>238</v>
      </c>
      <c r="N1390" s="5">
        <f>_xlfn.XLOOKUP(CustomerCombined[[#This Row],[ID]], Table4[ID], Table4[Seafood], "Not Found", 0)</f>
        <v>197</v>
      </c>
      <c r="O1390" s="5">
        <f>_xlfn.XLOOKUP(CustomerCombined[[#This Row],[ID]], Table4[ID], Table4[Sweets], "Not Found", 0)</f>
        <v>435</v>
      </c>
      <c r="P1390" s="5">
        <f>_xlfn.XLOOKUP(CustomerCombined[[#This Row],[ID]], Table4[ID], Table4[Premium], "Not Found", 0)</f>
        <v>216</v>
      </c>
      <c r="Q1390" s="5">
        <f>_xlfn.XLOOKUP(CustomerCombined[[#This Row],[ID]], Table4[ID], Table4[Regular], "Not Found", 0)</f>
        <v>2025</v>
      </c>
      <c r="R1390" s="5">
        <f>_xlfn.XLOOKUP(CustomerCombined[[#This Row],[ID]], Table4[ID], Table4[Deals], "Not Found", 0)</f>
        <v>3</v>
      </c>
      <c r="S1390" s="5">
        <f>_xlfn.XLOOKUP(CustomerCombined[[#This Row],[ID]], Table4[ID], Table4[Website], "Not Found", 0)</f>
        <v>8</v>
      </c>
      <c r="T1390" s="5">
        <f>_xlfn.XLOOKUP(CustomerCombined[[#This Row],[ID]], Table4[ID], Table4[Catalog], "Not Found", 0)</f>
        <v>5</v>
      </c>
      <c r="U1390" s="5">
        <f>_xlfn.XLOOKUP(CustomerCombined[[#This Row],[ID]], Table4[ID], Table4[Store], "Not Found", 0)</f>
        <v>10</v>
      </c>
      <c r="V1390" s="5">
        <f>_xlfn.XLOOKUP(CustomerCombined[[#This Row],[ID]], Table4[ID], Table4[Visits], "Not Found", 0)</f>
        <v>5</v>
      </c>
      <c r="W1390" s="8">
        <f>_xlfn.XLOOKUP(CustomerCombined[[#This Row],[ID]], Table2[ID],Table2[Complaint], "Not Found", 0 )</f>
        <v>0</v>
      </c>
      <c r="X1390" s="8">
        <f>_xlfn.XLOOKUP(CustomerCombined[[#This Row],[ID]], Table2[ID],Table2[Pilot], "Not Found", 0 )</f>
        <v>0</v>
      </c>
      <c r="Y1390" s="8">
        <f>_xlfn.XLOOKUP(CustomerCombined[[#This Row],[ID]], Table2[ID],Table2[MC1], "Not Found", 0 )</f>
        <v>0</v>
      </c>
      <c r="Z1390" s="8">
        <f>_xlfn.XLOOKUP(CustomerCombined[[#This Row],[ID]], Table2[ID],Table2[MC2], "Not Found", 0 )</f>
        <v>0</v>
      </c>
      <c r="AA1390" s="8">
        <f>_xlfn.XLOOKUP(CustomerCombined[[#This Row],[ID]], Table2[ID],Table2[MC3], "Not Found", 0 )</f>
        <v>0</v>
      </c>
      <c r="AB1390" s="8">
        <f>_xlfn.XLOOKUP(CustomerCombined[[#This Row],[ID]], Table2[ID],Table2[MC4], "Not Found", 0 )</f>
        <v>0</v>
      </c>
      <c r="AC1390" s="8">
        <f>_xlfn.XLOOKUP(CustomerCombined[[#This Row],[ID]], Table2[ID],Table2[MC5], "Not Found", 0 )</f>
        <v>0</v>
      </c>
    </row>
    <row r="1391" spans="1:29" x14ac:dyDescent="0.3">
      <c r="A1391" s="6">
        <v>2231</v>
      </c>
      <c r="B1391" s="6">
        <v>169969</v>
      </c>
      <c r="C1391" s="6">
        <v>0</v>
      </c>
      <c r="D1391" s="6">
        <v>0</v>
      </c>
      <c r="E1391" s="6">
        <v>55</v>
      </c>
      <c r="F1391" s="5" t="s">
        <v>6</v>
      </c>
      <c r="G1391" s="5" t="s">
        <v>13</v>
      </c>
      <c r="H1391" s="3">
        <v>43832</v>
      </c>
      <c r="I1391" s="5" t="s">
        <v>434</v>
      </c>
      <c r="J1391" s="5">
        <f>_xlfn.XLOOKUP(CustomerCombined[[#This Row],[ID]], Table4[ID], Table4[Recency], "Not Found", 0)</f>
        <v>64</v>
      </c>
      <c r="K1391" s="5">
        <f>_xlfn.XLOOKUP(CustomerCombined[[#This Row],[ID]], Table4[ID], Table4[Teas], "Not Found", 0)</f>
        <v>2143</v>
      </c>
      <c r="L1391" s="5">
        <f>_xlfn.XLOOKUP(CustomerCombined[[#This Row],[ID]], Table4[ID], Table4[Fruits], "Not Found", 0)</f>
        <v>70</v>
      </c>
      <c r="M1391" s="5">
        <f>_xlfn.XLOOKUP(CustomerCombined[[#This Row],[ID]], Table4[ID], Table4[Meats], "Not Found", 0)</f>
        <v>1249</v>
      </c>
      <c r="N1391" s="5">
        <f>_xlfn.XLOOKUP(CustomerCombined[[#This Row],[ID]], Table4[ID], Table4[Seafood], "Not Found", 0)</f>
        <v>92</v>
      </c>
      <c r="O1391" s="5">
        <f>_xlfn.XLOOKUP(CustomerCombined[[#This Row],[ID]], Table4[ID], Table4[Sweets], "Not Found", 0)</f>
        <v>70</v>
      </c>
      <c r="P1391" s="5">
        <f>_xlfn.XLOOKUP(CustomerCombined[[#This Row],[ID]], Table4[ID], Table4[Premium], "Not Found", 0)</f>
        <v>107</v>
      </c>
      <c r="Q1391" s="5">
        <f>_xlfn.XLOOKUP(CustomerCombined[[#This Row],[ID]], Table4[ID], Table4[Regular], "Not Found", 0)</f>
        <v>3517</v>
      </c>
      <c r="R1391" s="5">
        <f>_xlfn.XLOOKUP(CustomerCombined[[#This Row],[ID]], Table4[ID], Table4[Deals], "Not Found", 0)</f>
        <v>1</v>
      </c>
      <c r="S1391" s="5">
        <f>_xlfn.XLOOKUP(CustomerCombined[[#This Row],[ID]], Table4[ID], Table4[Website], "Not Found", 0)</f>
        <v>4</v>
      </c>
      <c r="T1391" s="5">
        <f>_xlfn.XLOOKUP(CustomerCombined[[#This Row],[ID]], Table4[ID], Table4[Catalog], "Not Found", 0)</f>
        <v>2</v>
      </c>
      <c r="U1391" s="5">
        <f>_xlfn.XLOOKUP(CustomerCombined[[#This Row],[ID]], Table4[ID], Table4[Store], "Not Found", 0)</f>
        <v>6</v>
      </c>
      <c r="V1391" s="5">
        <f>_xlfn.XLOOKUP(CustomerCombined[[#This Row],[ID]], Table4[ID], Table4[Visits], "Not Found", 0)</f>
        <v>3</v>
      </c>
      <c r="W1391" s="8">
        <f>_xlfn.XLOOKUP(CustomerCombined[[#This Row],[ID]], Table2[ID],Table2[Complaint], "Not Found", 0 )</f>
        <v>0</v>
      </c>
      <c r="X1391" s="8">
        <f>_xlfn.XLOOKUP(CustomerCombined[[#This Row],[ID]], Table2[ID],Table2[Pilot], "Not Found", 0 )</f>
        <v>1</v>
      </c>
      <c r="Y1391" s="8">
        <f>_xlfn.XLOOKUP(CustomerCombined[[#This Row],[ID]], Table2[ID],Table2[MC1], "Not Found", 0 )</f>
        <v>1</v>
      </c>
      <c r="Z1391" s="8">
        <f>_xlfn.XLOOKUP(CustomerCombined[[#This Row],[ID]], Table2[ID],Table2[MC2], "Not Found", 0 )</f>
        <v>0</v>
      </c>
      <c r="AA1391" s="8">
        <f>_xlfn.XLOOKUP(CustomerCombined[[#This Row],[ID]], Table2[ID],Table2[MC3], "Not Found", 0 )</f>
        <v>0</v>
      </c>
      <c r="AB1391" s="8">
        <f>_xlfn.XLOOKUP(CustomerCombined[[#This Row],[ID]], Table2[ID],Table2[MC4], "Not Found", 0 )</f>
        <v>0</v>
      </c>
      <c r="AC1391" s="8">
        <f>_xlfn.XLOOKUP(CustomerCombined[[#This Row],[ID]], Table2[ID],Table2[MC5], "Not Found", 0 )</f>
        <v>1</v>
      </c>
    </row>
    <row r="1392" spans="1:29" x14ac:dyDescent="0.3">
      <c r="A1392" s="6">
        <v>1576</v>
      </c>
      <c r="B1392" s="6">
        <v>169882</v>
      </c>
      <c r="C1392" s="6">
        <v>0</v>
      </c>
      <c r="D1392" s="6">
        <v>0</v>
      </c>
      <c r="E1392" s="6">
        <v>55</v>
      </c>
      <c r="F1392" s="5" t="s">
        <v>7</v>
      </c>
      <c r="G1392" s="5" t="s">
        <v>12</v>
      </c>
      <c r="H1392" s="3" t="s">
        <v>153</v>
      </c>
      <c r="I1392" s="5" t="s">
        <v>439</v>
      </c>
      <c r="J1392" s="5">
        <f>_xlfn.XLOOKUP(CustomerCombined[[#This Row],[ID]], Table4[ID], Table4[Recency], "Not Found", 0)</f>
        <v>94</v>
      </c>
      <c r="K1392" s="5">
        <f>_xlfn.XLOOKUP(CustomerCombined[[#This Row],[ID]], Table4[ID], Table4[Teas], "Not Found", 0)</f>
        <v>710</v>
      </c>
      <c r="L1392" s="5">
        <f>_xlfn.XLOOKUP(CustomerCombined[[#This Row],[ID]], Table4[ID], Table4[Fruits], "Not Found", 0)</f>
        <v>309</v>
      </c>
      <c r="M1392" s="5">
        <f>_xlfn.XLOOKUP(CustomerCombined[[#This Row],[ID]], Table4[ID], Table4[Meats], "Not Found", 0)</f>
        <v>1544</v>
      </c>
      <c r="N1392" s="5">
        <f>_xlfn.XLOOKUP(CustomerCombined[[#This Row],[ID]], Table4[ID], Table4[Seafood], "Not Found", 0)</f>
        <v>321</v>
      </c>
      <c r="O1392" s="5">
        <f>_xlfn.XLOOKUP(CustomerCombined[[#This Row],[ID]], Table4[ID], Table4[Sweets], "Not Found", 0)</f>
        <v>309</v>
      </c>
      <c r="P1392" s="5">
        <f>_xlfn.XLOOKUP(CustomerCombined[[#This Row],[ID]], Table4[ID], Table4[Premium], "Not Found", 0)</f>
        <v>401</v>
      </c>
      <c r="Q1392" s="5">
        <f>_xlfn.XLOOKUP(CustomerCombined[[#This Row],[ID]], Table4[ID], Table4[Regular], "Not Found", 0)</f>
        <v>2791</v>
      </c>
      <c r="R1392" s="5">
        <f>_xlfn.XLOOKUP(CustomerCombined[[#This Row],[ID]], Table4[ID], Table4[Deals], "Not Found", 0)</f>
        <v>1</v>
      </c>
      <c r="S1392" s="5">
        <f>_xlfn.XLOOKUP(CustomerCombined[[#This Row],[ID]], Table4[ID], Table4[Website], "Not Found", 0)</f>
        <v>3</v>
      </c>
      <c r="T1392" s="5">
        <f>_xlfn.XLOOKUP(CustomerCombined[[#This Row],[ID]], Table4[ID], Table4[Catalog], "Not Found", 0)</f>
        <v>7</v>
      </c>
      <c r="U1392" s="5">
        <f>_xlfn.XLOOKUP(CustomerCombined[[#This Row],[ID]], Table4[ID], Table4[Store], "Not Found", 0)</f>
        <v>9</v>
      </c>
      <c r="V1392" s="5">
        <f>_xlfn.XLOOKUP(CustomerCombined[[#This Row],[ID]], Table4[ID], Table4[Visits], "Not Found", 0)</f>
        <v>1</v>
      </c>
      <c r="W1392" s="8">
        <f>_xlfn.XLOOKUP(CustomerCombined[[#This Row],[ID]], Table2[ID],Table2[Complaint], "Not Found", 0 )</f>
        <v>0</v>
      </c>
      <c r="X1392" s="8">
        <f>_xlfn.XLOOKUP(CustomerCombined[[#This Row],[ID]], Table2[ID],Table2[Pilot], "Not Found", 0 )</f>
        <v>0</v>
      </c>
      <c r="Y1392" s="8">
        <f>_xlfn.XLOOKUP(CustomerCombined[[#This Row],[ID]], Table2[ID],Table2[MC1], "Not Found", 0 )</f>
        <v>0</v>
      </c>
      <c r="Z1392" s="8">
        <f>_xlfn.XLOOKUP(CustomerCombined[[#This Row],[ID]], Table2[ID],Table2[MC2], "Not Found", 0 )</f>
        <v>0</v>
      </c>
      <c r="AA1392" s="8">
        <f>_xlfn.XLOOKUP(CustomerCombined[[#This Row],[ID]], Table2[ID],Table2[MC3], "Not Found", 0 )</f>
        <v>0</v>
      </c>
      <c r="AB1392" s="8">
        <f>_xlfn.XLOOKUP(CustomerCombined[[#This Row],[ID]], Table2[ID],Table2[MC4], "Not Found", 0 )</f>
        <v>0</v>
      </c>
      <c r="AC1392" s="8">
        <f>_xlfn.XLOOKUP(CustomerCombined[[#This Row],[ID]], Table2[ID],Table2[MC5], "Not Found", 0 )</f>
        <v>0</v>
      </c>
    </row>
    <row r="1393" spans="1:29" x14ac:dyDescent="0.3">
      <c r="A1393" s="6">
        <v>3138</v>
      </c>
      <c r="B1393" s="6">
        <v>169263</v>
      </c>
      <c r="C1393" s="6">
        <v>0</v>
      </c>
      <c r="D1393" s="6">
        <v>1</v>
      </c>
      <c r="E1393" s="6">
        <v>55</v>
      </c>
      <c r="F1393" s="5" t="s">
        <v>7</v>
      </c>
      <c r="G1393" s="5" t="s">
        <v>11</v>
      </c>
      <c r="H1393" s="3">
        <v>44082</v>
      </c>
      <c r="I1393" s="5" t="s">
        <v>436</v>
      </c>
      <c r="J1393" s="5">
        <f>_xlfn.XLOOKUP(CustomerCombined[[#This Row],[ID]], Table4[ID], Table4[Recency], "Not Found", 0)</f>
        <v>14</v>
      </c>
      <c r="K1393" s="5">
        <f>_xlfn.XLOOKUP(CustomerCombined[[#This Row],[ID]], Table4[ID], Table4[Teas], "Not Found", 0)</f>
        <v>1202</v>
      </c>
      <c r="L1393" s="5">
        <f>_xlfn.XLOOKUP(CustomerCombined[[#This Row],[ID]], Table4[ID], Table4[Fruits], "Not Found", 0)</f>
        <v>12</v>
      </c>
      <c r="M1393" s="5">
        <f>_xlfn.XLOOKUP(CustomerCombined[[#This Row],[ID]], Table4[ID], Table4[Meats], "Not Found", 0)</f>
        <v>78</v>
      </c>
      <c r="N1393" s="5">
        <f>_xlfn.XLOOKUP(CustomerCombined[[#This Row],[ID]], Table4[ID], Table4[Seafood], "Not Found", 0)</f>
        <v>32</v>
      </c>
      <c r="O1393" s="5">
        <f>_xlfn.XLOOKUP(CustomerCombined[[#This Row],[ID]], Table4[ID], Table4[Sweets], "Not Found", 0)</f>
        <v>12</v>
      </c>
      <c r="P1393" s="5">
        <f>_xlfn.XLOOKUP(CustomerCombined[[#This Row],[ID]], Table4[ID], Table4[Premium], "Not Found", 0)</f>
        <v>51</v>
      </c>
      <c r="Q1393" s="5">
        <f>_xlfn.XLOOKUP(CustomerCombined[[#This Row],[ID]], Table4[ID], Table4[Regular], "Not Found", 0)</f>
        <v>1285</v>
      </c>
      <c r="R1393" s="5">
        <f>_xlfn.XLOOKUP(CustomerCombined[[#This Row],[ID]], Table4[ID], Table4[Deals], "Not Found", 0)</f>
        <v>1</v>
      </c>
      <c r="S1393" s="5">
        <f>_xlfn.XLOOKUP(CustomerCombined[[#This Row],[ID]], Table4[ID], Table4[Website], "Not Found", 0)</f>
        <v>9</v>
      </c>
      <c r="T1393" s="5">
        <f>_xlfn.XLOOKUP(CustomerCombined[[#This Row],[ID]], Table4[ID], Table4[Catalog], "Not Found", 0)</f>
        <v>1</v>
      </c>
      <c r="U1393" s="5">
        <f>_xlfn.XLOOKUP(CustomerCombined[[#This Row],[ID]], Table4[ID], Table4[Store], "Not Found", 0)</f>
        <v>7</v>
      </c>
      <c r="V1393" s="5">
        <f>_xlfn.XLOOKUP(CustomerCombined[[#This Row],[ID]], Table4[ID], Table4[Visits], "Not Found", 0)</f>
        <v>6</v>
      </c>
      <c r="W1393" s="8">
        <f>_xlfn.XLOOKUP(CustomerCombined[[#This Row],[ID]], Table2[ID],Table2[Complaint], "Not Found", 0 )</f>
        <v>0</v>
      </c>
      <c r="X1393" s="8">
        <f>_xlfn.XLOOKUP(CustomerCombined[[#This Row],[ID]], Table2[ID],Table2[Pilot], "Not Found", 0 )</f>
        <v>0</v>
      </c>
      <c r="Y1393" s="8">
        <f>_xlfn.XLOOKUP(CustomerCombined[[#This Row],[ID]], Table2[ID],Table2[MC1], "Not Found", 0 )</f>
        <v>0</v>
      </c>
      <c r="Z1393" s="8">
        <f>_xlfn.XLOOKUP(CustomerCombined[[#This Row],[ID]], Table2[ID],Table2[MC2], "Not Found", 0 )</f>
        <v>0</v>
      </c>
      <c r="AA1393" s="8">
        <f>_xlfn.XLOOKUP(CustomerCombined[[#This Row],[ID]], Table2[ID],Table2[MC3], "Not Found", 0 )</f>
        <v>0</v>
      </c>
      <c r="AB1393" s="8">
        <f>_xlfn.XLOOKUP(CustomerCombined[[#This Row],[ID]], Table2[ID],Table2[MC4], "Not Found", 0 )</f>
        <v>1</v>
      </c>
      <c r="AC1393" s="8">
        <f>_xlfn.XLOOKUP(CustomerCombined[[#This Row],[ID]], Table2[ID],Table2[MC5], "Not Found", 0 )</f>
        <v>0</v>
      </c>
    </row>
    <row r="1394" spans="1:29" x14ac:dyDescent="0.3">
      <c r="A1394" s="6">
        <v>2333</v>
      </c>
      <c r="B1394" s="6">
        <v>169139</v>
      </c>
      <c r="C1394" s="6">
        <v>0</v>
      </c>
      <c r="D1394" s="6">
        <v>1</v>
      </c>
      <c r="E1394" s="6">
        <v>55</v>
      </c>
      <c r="F1394" s="5" t="s">
        <v>6</v>
      </c>
      <c r="G1394" s="5" t="s">
        <v>11</v>
      </c>
      <c r="H1394" s="3">
        <v>43897</v>
      </c>
      <c r="I1394" s="5" t="s">
        <v>434</v>
      </c>
      <c r="J1394" s="5">
        <f>_xlfn.XLOOKUP(CustomerCombined[[#This Row],[ID]], Table4[ID], Table4[Recency], "Not Found", 0)</f>
        <v>23</v>
      </c>
      <c r="K1394" s="5">
        <f>_xlfn.XLOOKUP(CustomerCombined[[#This Row],[ID]], Table4[ID], Table4[Teas], "Not Found", 0)</f>
        <v>210</v>
      </c>
      <c r="L1394" s="5">
        <f>_xlfn.XLOOKUP(CustomerCombined[[#This Row],[ID]], Table4[ID], Table4[Fruits], "Not Found", 0)</f>
        <v>29</v>
      </c>
      <c r="M1394" s="5">
        <f>_xlfn.XLOOKUP(CustomerCombined[[#This Row],[ID]], Table4[ID], Table4[Meats], "Not Found", 0)</f>
        <v>183</v>
      </c>
      <c r="N1394" s="5">
        <f>_xlfn.XLOOKUP(CustomerCombined[[#This Row],[ID]], Table4[ID], Table4[Seafood], "Not Found", 0)</f>
        <v>81</v>
      </c>
      <c r="O1394" s="5">
        <f>_xlfn.XLOOKUP(CustomerCombined[[#This Row],[ID]], Table4[ID], Table4[Sweets], "Not Found", 0)</f>
        <v>37</v>
      </c>
      <c r="P1394" s="5">
        <f>_xlfn.XLOOKUP(CustomerCombined[[#This Row],[ID]], Table4[ID], Table4[Premium], "Not Found", 0)</f>
        <v>15</v>
      </c>
      <c r="Q1394" s="5">
        <f>_xlfn.XLOOKUP(CustomerCombined[[#This Row],[ID]], Table4[ID], Table4[Regular], "Not Found", 0)</f>
        <v>526</v>
      </c>
      <c r="R1394" s="5">
        <f>_xlfn.XLOOKUP(CustomerCombined[[#This Row],[ID]], Table4[ID], Table4[Deals], "Not Found", 0)</f>
        <v>1</v>
      </c>
      <c r="S1394" s="5">
        <f>_xlfn.XLOOKUP(CustomerCombined[[#This Row],[ID]], Table4[ID], Table4[Website], "Not Found", 0)</f>
        <v>4</v>
      </c>
      <c r="T1394" s="5">
        <f>_xlfn.XLOOKUP(CustomerCombined[[#This Row],[ID]], Table4[ID], Table4[Catalog], "Not Found", 0)</f>
        <v>1</v>
      </c>
      <c r="U1394" s="5">
        <f>_xlfn.XLOOKUP(CustomerCombined[[#This Row],[ID]], Table4[ID], Table4[Store], "Not Found", 0)</f>
        <v>5</v>
      </c>
      <c r="V1394" s="5">
        <f>_xlfn.XLOOKUP(CustomerCombined[[#This Row],[ID]], Table4[ID], Table4[Visits], "Not Found", 0)</f>
        <v>4</v>
      </c>
      <c r="W1394" s="8">
        <f>_xlfn.XLOOKUP(CustomerCombined[[#This Row],[ID]], Table2[ID],Table2[Complaint], "Not Found", 0 )</f>
        <v>0</v>
      </c>
      <c r="X1394" s="8">
        <f>_xlfn.XLOOKUP(CustomerCombined[[#This Row],[ID]], Table2[ID],Table2[Pilot], "Not Found", 0 )</f>
        <v>0</v>
      </c>
      <c r="Y1394" s="8">
        <f>_xlfn.XLOOKUP(CustomerCombined[[#This Row],[ID]], Table2[ID],Table2[MC1], "Not Found", 0 )</f>
        <v>0</v>
      </c>
      <c r="Z1394" s="8">
        <f>_xlfn.XLOOKUP(CustomerCombined[[#This Row],[ID]], Table2[ID],Table2[MC2], "Not Found", 0 )</f>
        <v>0</v>
      </c>
      <c r="AA1394" s="8">
        <f>_xlfn.XLOOKUP(CustomerCombined[[#This Row],[ID]], Table2[ID],Table2[MC3], "Not Found", 0 )</f>
        <v>0</v>
      </c>
      <c r="AB1394" s="8">
        <f>_xlfn.XLOOKUP(CustomerCombined[[#This Row],[ID]], Table2[ID],Table2[MC4], "Not Found", 0 )</f>
        <v>0</v>
      </c>
      <c r="AC1394" s="8">
        <f>_xlfn.XLOOKUP(CustomerCombined[[#This Row],[ID]], Table2[ID],Table2[MC5], "Not Found", 0 )</f>
        <v>0</v>
      </c>
    </row>
    <row r="1395" spans="1:29" x14ac:dyDescent="0.3">
      <c r="A1395" s="6">
        <v>2594</v>
      </c>
      <c r="B1395" s="6">
        <v>169139</v>
      </c>
      <c r="C1395" s="6">
        <v>0</v>
      </c>
      <c r="D1395" s="6">
        <v>1</v>
      </c>
      <c r="E1395" s="6">
        <v>55</v>
      </c>
      <c r="F1395" s="5" t="s">
        <v>6</v>
      </c>
      <c r="G1395" s="5" t="s">
        <v>11</v>
      </c>
      <c r="H1395" s="3">
        <v>43897</v>
      </c>
      <c r="I1395" s="5" t="s">
        <v>438</v>
      </c>
      <c r="J1395" s="5">
        <f>_xlfn.XLOOKUP(CustomerCombined[[#This Row],[ID]], Table4[ID], Table4[Recency], "Not Found", 0)</f>
        <v>23</v>
      </c>
      <c r="K1395" s="5">
        <f>_xlfn.XLOOKUP(CustomerCombined[[#This Row],[ID]], Table4[ID], Table4[Teas], "Not Found", 0)</f>
        <v>210</v>
      </c>
      <c r="L1395" s="5">
        <f>_xlfn.XLOOKUP(CustomerCombined[[#This Row],[ID]], Table4[ID], Table4[Fruits], "Not Found", 0)</f>
        <v>29</v>
      </c>
      <c r="M1395" s="5">
        <f>_xlfn.XLOOKUP(CustomerCombined[[#This Row],[ID]], Table4[ID], Table4[Meats], "Not Found", 0)</f>
        <v>183</v>
      </c>
      <c r="N1395" s="5">
        <f>_xlfn.XLOOKUP(CustomerCombined[[#This Row],[ID]], Table4[ID], Table4[Seafood], "Not Found", 0)</f>
        <v>81</v>
      </c>
      <c r="O1395" s="5">
        <f>_xlfn.XLOOKUP(CustomerCombined[[#This Row],[ID]], Table4[ID], Table4[Sweets], "Not Found", 0)</f>
        <v>37</v>
      </c>
      <c r="P1395" s="5">
        <f>_xlfn.XLOOKUP(CustomerCombined[[#This Row],[ID]], Table4[ID], Table4[Premium], "Not Found", 0)</f>
        <v>15</v>
      </c>
      <c r="Q1395" s="5">
        <f>_xlfn.XLOOKUP(CustomerCombined[[#This Row],[ID]], Table4[ID], Table4[Regular], "Not Found", 0)</f>
        <v>526</v>
      </c>
      <c r="R1395" s="5">
        <f>_xlfn.XLOOKUP(CustomerCombined[[#This Row],[ID]], Table4[ID], Table4[Deals], "Not Found", 0)</f>
        <v>1</v>
      </c>
      <c r="S1395" s="5">
        <f>_xlfn.XLOOKUP(CustomerCombined[[#This Row],[ID]], Table4[ID], Table4[Website], "Not Found", 0)</f>
        <v>4</v>
      </c>
      <c r="T1395" s="5">
        <f>_xlfn.XLOOKUP(CustomerCombined[[#This Row],[ID]], Table4[ID], Table4[Catalog], "Not Found", 0)</f>
        <v>1</v>
      </c>
      <c r="U1395" s="5">
        <f>_xlfn.XLOOKUP(CustomerCombined[[#This Row],[ID]], Table4[ID], Table4[Store], "Not Found", 0)</f>
        <v>5</v>
      </c>
      <c r="V1395" s="5">
        <f>_xlfn.XLOOKUP(CustomerCombined[[#This Row],[ID]], Table4[ID], Table4[Visits], "Not Found", 0)</f>
        <v>4</v>
      </c>
      <c r="W1395" s="8">
        <f>_xlfn.XLOOKUP(CustomerCombined[[#This Row],[ID]], Table2[ID],Table2[Complaint], "Not Found", 0 )</f>
        <v>0</v>
      </c>
      <c r="X1395" s="8">
        <f>_xlfn.XLOOKUP(CustomerCombined[[#This Row],[ID]], Table2[ID],Table2[Pilot], "Not Found", 0 )</f>
        <v>0</v>
      </c>
      <c r="Y1395" s="8">
        <f>_xlfn.XLOOKUP(CustomerCombined[[#This Row],[ID]], Table2[ID],Table2[MC1], "Not Found", 0 )</f>
        <v>0</v>
      </c>
      <c r="Z1395" s="8">
        <f>_xlfn.XLOOKUP(CustomerCombined[[#This Row],[ID]], Table2[ID],Table2[MC2], "Not Found", 0 )</f>
        <v>0</v>
      </c>
      <c r="AA1395" s="8">
        <f>_xlfn.XLOOKUP(CustomerCombined[[#This Row],[ID]], Table2[ID],Table2[MC3], "Not Found", 0 )</f>
        <v>0</v>
      </c>
      <c r="AB1395" s="8">
        <f>_xlfn.XLOOKUP(CustomerCombined[[#This Row],[ID]], Table2[ID],Table2[MC4], "Not Found", 0 )</f>
        <v>0</v>
      </c>
      <c r="AC1395" s="8">
        <f>_xlfn.XLOOKUP(CustomerCombined[[#This Row],[ID]], Table2[ID],Table2[MC5], "Not Found", 0 )</f>
        <v>0</v>
      </c>
    </row>
    <row r="1396" spans="1:29" x14ac:dyDescent="0.3">
      <c r="A1396" s="6">
        <v>2090</v>
      </c>
      <c r="B1396" s="6">
        <v>166480</v>
      </c>
      <c r="C1396" s="6">
        <v>1</v>
      </c>
      <c r="D1396" s="6">
        <v>1</v>
      </c>
      <c r="E1396" s="6">
        <v>55</v>
      </c>
      <c r="F1396" s="5" t="s">
        <v>6</v>
      </c>
      <c r="G1396" s="5" t="s">
        <v>11</v>
      </c>
      <c r="H1396" s="3">
        <v>43932</v>
      </c>
      <c r="I1396" s="5" t="s">
        <v>438</v>
      </c>
      <c r="J1396" s="5">
        <f>_xlfn.XLOOKUP(CustomerCombined[[#This Row],[ID]], Table4[ID], Table4[Recency], "Not Found", 0)</f>
        <v>71</v>
      </c>
      <c r="K1396" s="5">
        <f>_xlfn.XLOOKUP(CustomerCombined[[#This Row],[ID]], Table4[ID], Table4[Teas], "Not Found", 0)</f>
        <v>498</v>
      </c>
      <c r="L1396" s="5">
        <f>_xlfn.XLOOKUP(CustomerCombined[[#This Row],[ID]], Table4[ID], Table4[Fruits], "Not Found", 0)</f>
        <v>23</v>
      </c>
      <c r="M1396" s="5">
        <f>_xlfn.XLOOKUP(CustomerCombined[[#This Row],[ID]], Table4[ID], Table4[Meats], "Not Found", 0)</f>
        <v>143</v>
      </c>
      <c r="N1396" s="5">
        <f>_xlfn.XLOOKUP(CustomerCombined[[#This Row],[ID]], Table4[ID], Table4[Seafood], "Not Found", 0)</f>
        <v>50</v>
      </c>
      <c r="O1396" s="5">
        <f>_xlfn.XLOOKUP(CustomerCombined[[#This Row],[ID]], Table4[ID], Table4[Sweets], "Not Found", 0)</f>
        <v>53</v>
      </c>
      <c r="P1396" s="5">
        <f>_xlfn.XLOOKUP(CustomerCombined[[#This Row],[ID]], Table4[ID], Table4[Premium], "Not Found", 0)</f>
        <v>15</v>
      </c>
      <c r="Q1396" s="5">
        <f>_xlfn.XLOOKUP(CustomerCombined[[#This Row],[ID]], Table4[ID], Table4[Regular], "Not Found", 0)</f>
        <v>751</v>
      </c>
      <c r="R1396" s="5">
        <f>_xlfn.XLOOKUP(CustomerCombined[[#This Row],[ID]], Table4[ID], Table4[Deals], "Not Found", 0)</f>
        <v>7</v>
      </c>
      <c r="S1396" s="5">
        <f>_xlfn.XLOOKUP(CustomerCombined[[#This Row],[ID]], Table4[ID], Table4[Website], "Not Found", 0)</f>
        <v>4</v>
      </c>
      <c r="T1396" s="5">
        <f>_xlfn.XLOOKUP(CustomerCombined[[#This Row],[ID]], Table4[ID], Table4[Catalog], "Not Found", 0)</f>
        <v>1</v>
      </c>
      <c r="U1396" s="5">
        <f>_xlfn.XLOOKUP(CustomerCombined[[#This Row],[ID]], Table4[ID], Table4[Store], "Not Found", 0)</f>
        <v>7</v>
      </c>
      <c r="V1396" s="5">
        <f>_xlfn.XLOOKUP(CustomerCombined[[#This Row],[ID]], Table4[ID], Table4[Visits], "Not Found", 0)</f>
        <v>4</v>
      </c>
      <c r="W1396" s="8">
        <f>_xlfn.XLOOKUP(CustomerCombined[[#This Row],[ID]], Table2[ID],Table2[Complaint], "Not Found", 0 )</f>
        <v>0</v>
      </c>
      <c r="X1396" s="8">
        <f>_xlfn.XLOOKUP(CustomerCombined[[#This Row],[ID]], Table2[ID],Table2[Pilot], "Not Found", 0 )</f>
        <v>0</v>
      </c>
      <c r="Y1396" s="8">
        <f>_xlfn.XLOOKUP(CustomerCombined[[#This Row],[ID]], Table2[ID],Table2[MC1], "Not Found", 0 )</f>
        <v>0</v>
      </c>
      <c r="Z1396" s="8">
        <f>_xlfn.XLOOKUP(CustomerCombined[[#This Row],[ID]], Table2[ID],Table2[MC2], "Not Found", 0 )</f>
        <v>0</v>
      </c>
      <c r="AA1396" s="8">
        <f>_xlfn.XLOOKUP(CustomerCombined[[#This Row],[ID]], Table2[ID],Table2[MC3], "Not Found", 0 )</f>
        <v>0</v>
      </c>
      <c r="AB1396" s="8">
        <f>_xlfn.XLOOKUP(CustomerCombined[[#This Row],[ID]], Table2[ID],Table2[MC4], "Not Found", 0 )</f>
        <v>0</v>
      </c>
      <c r="AC1396" s="8">
        <f>_xlfn.XLOOKUP(CustomerCombined[[#This Row],[ID]], Table2[ID],Table2[MC5], "Not Found", 0 )</f>
        <v>0</v>
      </c>
    </row>
    <row r="1397" spans="1:29" x14ac:dyDescent="0.3">
      <c r="A1397" s="6">
        <v>2061</v>
      </c>
      <c r="B1397" s="6">
        <v>166294</v>
      </c>
      <c r="C1397" s="6">
        <v>0</v>
      </c>
      <c r="D1397" s="6">
        <v>0</v>
      </c>
      <c r="E1397" s="6">
        <v>55</v>
      </c>
      <c r="F1397" s="5" t="s">
        <v>7</v>
      </c>
      <c r="G1397" s="5" t="s">
        <v>11</v>
      </c>
      <c r="H1397" s="3" t="s">
        <v>84</v>
      </c>
      <c r="I1397" s="5" t="s">
        <v>435</v>
      </c>
      <c r="J1397" s="5">
        <f>_xlfn.XLOOKUP(CustomerCombined[[#This Row],[ID]], Table4[ID], Table4[Recency], "Not Found", 0)</f>
        <v>68</v>
      </c>
      <c r="K1397" s="5">
        <f>_xlfn.XLOOKUP(CustomerCombined[[#This Row],[ID]], Table4[ID], Table4[Teas], "Not Found", 0)</f>
        <v>630</v>
      </c>
      <c r="L1397" s="5">
        <f>_xlfn.XLOOKUP(CustomerCombined[[#This Row],[ID]], Table4[ID], Table4[Fruits], "Not Found", 0)</f>
        <v>271</v>
      </c>
      <c r="M1397" s="5">
        <f>_xlfn.XLOOKUP(CustomerCombined[[#This Row],[ID]], Table4[ID], Table4[Meats], "Not Found", 0)</f>
        <v>838</v>
      </c>
      <c r="N1397" s="5">
        <f>_xlfn.XLOOKUP(CustomerCombined[[#This Row],[ID]], Table4[ID], Table4[Seafood], "Not Found", 0)</f>
        <v>163</v>
      </c>
      <c r="O1397" s="5">
        <f>_xlfn.XLOOKUP(CustomerCombined[[#This Row],[ID]], Table4[ID], Table4[Sweets], "Not Found", 0)</f>
        <v>231</v>
      </c>
      <c r="P1397" s="5">
        <f>_xlfn.XLOOKUP(CustomerCombined[[#This Row],[ID]], Table4[ID], Table4[Premium], "Not Found", 0)</f>
        <v>293</v>
      </c>
      <c r="Q1397" s="5">
        <f>_xlfn.XLOOKUP(CustomerCombined[[#This Row],[ID]], Table4[ID], Table4[Regular], "Not Found", 0)</f>
        <v>1839</v>
      </c>
      <c r="R1397" s="5">
        <f>_xlfn.XLOOKUP(CustomerCombined[[#This Row],[ID]], Table4[ID], Table4[Deals], "Not Found", 0)</f>
        <v>1</v>
      </c>
      <c r="S1397" s="5">
        <f>_xlfn.XLOOKUP(CustomerCombined[[#This Row],[ID]], Table4[ID], Table4[Website], "Not Found", 0)</f>
        <v>4</v>
      </c>
      <c r="T1397" s="5">
        <f>_xlfn.XLOOKUP(CustomerCombined[[#This Row],[ID]], Table4[ID], Table4[Catalog], "Not Found", 0)</f>
        <v>3</v>
      </c>
      <c r="U1397" s="5">
        <f>_xlfn.XLOOKUP(CustomerCombined[[#This Row],[ID]], Table4[ID], Table4[Store], "Not Found", 0)</f>
        <v>5</v>
      </c>
      <c r="V1397" s="5">
        <f>_xlfn.XLOOKUP(CustomerCombined[[#This Row],[ID]], Table4[ID], Table4[Visits], "Not Found", 0)</f>
        <v>2</v>
      </c>
      <c r="W1397" s="8">
        <f>_xlfn.XLOOKUP(CustomerCombined[[#This Row],[ID]], Table2[ID],Table2[Complaint], "Not Found", 0 )</f>
        <v>0</v>
      </c>
      <c r="X1397" s="8">
        <f>_xlfn.XLOOKUP(CustomerCombined[[#This Row],[ID]], Table2[ID],Table2[Pilot], "Not Found", 0 )</f>
        <v>0</v>
      </c>
      <c r="Y1397" s="8">
        <f>_xlfn.XLOOKUP(CustomerCombined[[#This Row],[ID]], Table2[ID],Table2[MC1], "Not Found", 0 )</f>
        <v>0</v>
      </c>
      <c r="Z1397" s="8">
        <f>_xlfn.XLOOKUP(CustomerCombined[[#This Row],[ID]], Table2[ID],Table2[MC2], "Not Found", 0 )</f>
        <v>0</v>
      </c>
      <c r="AA1397" s="8">
        <f>_xlfn.XLOOKUP(CustomerCombined[[#This Row],[ID]], Table2[ID],Table2[MC3], "Not Found", 0 )</f>
        <v>0</v>
      </c>
      <c r="AB1397" s="8">
        <f>_xlfn.XLOOKUP(CustomerCombined[[#This Row],[ID]], Table2[ID],Table2[MC4], "Not Found", 0 )</f>
        <v>0</v>
      </c>
      <c r="AC1397" s="8">
        <f>_xlfn.XLOOKUP(CustomerCombined[[#This Row],[ID]], Table2[ID],Table2[MC5], "Not Found", 0 )</f>
        <v>0</v>
      </c>
    </row>
    <row r="1398" spans="1:29" x14ac:dyDescent="0.3">
      <c r="A1398" s="6">
        <v>2819</v>
      </c>
      <c r="B1398" s="6">
        <v>165735</v>
      </c>
      <c r="C1398" s="6">
        <v>1</v>
      </c>
      <c r="D1398" s="6">
        <v>1</v>
      </c>
      <c r="E1398" s="6">
        <v>55</v>
      </c>
      <c r="F1398" s="5" t="s">
        <v>8</v>
      </c>
      <c r="G1398" s="5" t="s">
        <v>12</v>
      </c>
      <c r="H1398" s="3" t="s">
        <v>141</v>
      </c>
      <c r="I1398" s="5" t="s">
        <v>434</v>
      </c>
      <c r="J1398" s="5">
        <f>_xlfn.XLOOKUP(CustomerCombined[[#This Row],[ID]], Table4[ID], Table4[Recency], "Not Found", 0)</f>
        <v>37</v>
      </c>
      <c r="K1398" s="5">
        <f>_xlfn.XLOOKUP(CustomerCombined[[#This Row],[ID]], Table4[ID], Table4[Teas], "Not Found", 0)</f>
        <v>603</v>
      </c>
      <c r="L1398" s="5">
        <f>_xlfn.XLOOKUP(CustomerCombined[[#This Row],[ID]], Table4[ID], Table4[Fruits], "Not Found", 0)</f>
        <v>18</v>
      </c>
      <c r="M1398" s="5">
        <f>_xlfn.XLOOKUP(CustomerCombined[[#This Row],[ID]], Table4[ID], Table4[Meats], "Not Found", 0)</f>
        <v>300</v>
      </c>
      <c r="N1398" s="5">
        <f>_xlfn.XLOOKUP(CustomerCombined[[#This Row],[ID]], Table4[ID], Table4[Seafood], "Not Found", 0)</f>
        <v>10</v>
      </c>
      <c r="O1398" s="5">
        <f>_xlfn.XLOOKUP(CustomerCombined[[#This Row],[ID]], Table4[ID], Table4[Sweets], "Not Found", 0)</f>
        <v>38</v>
      </c>
      <c r="P1398" s="5">
        <f>_xlfn.XLOOKUP(CustomerCombined[[#This Row],[ID]], Table4[ID], Table4[Premium], "Not Found", 0)</f>
        <v>28</v>
      </c>
      <c r="Q1398" s="5">
        <f>_xlfn.XLOOKUP(CustomerCombined[[#This Row],[ID]], Table4[ID], Table4[Regular], "Not Found", 0)</f>
        <v>940</v>
      </c>
      <c r="R1398" s="5">
        <f>_xlfn.XLOOKUP(CustomerCombined[[#This Row],[ID]], Table4[ID], Table4[Deals], "Not Found", 0)</f>
        <v>5</v>
      </c>
      <c r="S1398" s="5">
        <f>_xlfn.XLOOKUP(CustomerCombined[[#This Row],[ID]], Table4[ID], Table4[Website], "Not Found", 0)</f>
        <v>6</v>
      </c>
      <c r="T1398" s="5">
        <f>_xlfn.XLOOKUP(CustomerCombined[[#This Row],[ID]], Table4[ID], Table4[Catalog], "Not Found", 0)</f>
        <v>2</v>
      </c>
      <c r="U1398" s="5">
        <f>_xlfn.XLOOKUP(CustomerCombined[[#This Row],[ID]], Table4[ID], Table4[Store], "Not Found", 0)</f>
        <v>6</v>
      </c>
      <c r="V1398" s="5">
        <f>_xlfn.XLOOKUP(CustomerCombined[[#This Row],[ID]], Table4[ID], Table4[Visits], "Not Found", 0)</f>
        <v>7</v>
      </c>
      <c r="W1398" s="8">
        <f>_xlfn.XLOOKUP(CustomerCombined[[#This Row],[ID]], Table2[ID],Table2[Complaint], "Not Found", 0 )</f>
        <v>0</v>
      </c>
      <c r="X1398" s="8">
        <f>_xlfn.XLOOKUP(CustomerCombined[[#This Row],[ID]], Table2[ID],Table2[Pilot], "Not Found", 0 )</f>
        <v>0</v>
      </c>
      <c r="Y1398" s="8">
        <f>_xlfn.XLOOKUP(CustomerCombined[[#This Row],[ID]], Table2[ID],Table2[MC1], "Not Found", 0 )</f>
        <v>0</v>
      </c>
      <c r="Z1398" s="8">
        <f>_xlfn.XLOOKUP(CustomerCombined[[#This Row],[ID]], Table2[ID],Table2[MC2], "Not Found", 0 )</f>
        <v>0</v>
      </c>
      <c r="AA1398" s="8">
        <f>_xlfn.XLOOKUP(CustomerCombined[[#This Row],[ID]], Table2[ID],Table2[MC3], "Not Found", 0 )</f>
        <v>0</v>
      </c>
      <c r="AB1398" s="8">
        <f>_xlfn.XLOOKUP(CustomerCombined[[#This Row],[ID]], Table2[ID],Table2[MC4], "Not Found", 0 )</f>
        <v>0</v>
      </c>
      <c r="AC1398" s="8">
        <f>_xlfn.XLOOKUP(CustomerCombined[[#This Row],[ID]], Table2[ID],Table2[MC5], "Not Found", 0 )</f>
        <v>0</v>
      </c>
    </row>
    <row r="1399" spans="1:29" x14ac:dyDescent="0.3">
      <c r="A1399" s="6">
        <v>3097</v>
      </c>
      <c r="B1399" s="6">
        <v>165220</v>
      </c>
      <c r="C1399" s="6">
        <v>0</v>
      </c>
      <c r="D1399" s="6">
        <v>0</v>
      </c>
      <c r="E1399" s="6">
        <v>55</v>
      </c>
      <c r="F1399" s="5" t="s">
        <v>8</v>
      </c>
      <c r="G1399" s="5" t="s">
        <v>13</v>
      </c>
      <c r="H1399" s="3">
        <v>43679</v>
      </c>
      <c r="I1399" s="5" t="s">
        <v>437</v>
      </c>
      <c r="J1399" s="5">
        <f>_xlfn.XLOOKUP(CustomerCombined[[#This Row],[ID]], Table4[ID], Table4[Recency], "Not Found", 0)</f>
        <v>3</v>
      </c>
      <c r="K1399" s="5">
        <f>_xlfn.XLOOKUP(CustomerCombined[[#This Row],[ID]], Table4[ID], Table4[Teas], "Not Found", 0)</f>
        <v>2255</v>
      </c>
      <c r="L1399" s="5">
        <f>_xlfn.XLOOKUP(CustomerCombined[[#This Row],[ID]], Table4[ID], Table4[Fruits], "Not Found", 0)</f>
        <v>160</v>
      </c>
      <c r="M1399" s="5">
        <f>_xlfn.XLOOKUP(CustomerCombined[[#This Row],[ID]], Table4[ID], Table4[Meats], "Not Found", 0)</f>
        <v>740</v>
      </c>
      <c r="N1399" s="5">
        <f>_xlfn.XLOOKUP(CustomerCombined[[#This Row],[ID]], Table4[ID], Table4[Seafood], "Not Found", 0)</f>
        <v>0</v>
      </c>
      <c r="O1399" s="5">
        <f>_xlfn.XLOOKUP(CustomerCombined[[#This Row],[ID]], Table4[ID], Table4[Sweets], "Not Found", 0)</f>
        <v>63</v>
      </c>
      <c r="P1399" s="5">
        <f>_xlfn.XLOOKUP(CustomerCombined[[#This Row],[ID]], Table4[ID], Table4[Premium], "Not Found", 0)</f>
        <v>30</v>
      </c>
      <c r="Q1399" s="5">
        <f>_xlfn.XLOOKUP(CustomerCombined[[#This Row],[ID]], Table4[ID], Table4[Regular], "Not Found", 0)</f>
        <v>3187</v>
      </c>
      <c r="R1399" s="5">
        <f>_xlfn.XLOOKUP(CustomerCombined[[#This Row],[ID]], Table4[ID], Table4[Deals], "Not Found", 0)</f>
        <v>4</v>
      </c>
      <c r="S1399" s="5">
        <f>_xlfn.XLOOKUP(CustomerCombined[[#This Row],[ID]], Table4[ID], Table4[Website], "Not Found", 0)</f>
        <v>8</v>
      </c>
      <c r="T1399" s="5">
        <f>_xlfn.XLOOKUP(CustomerCombined[[#This Row],[ID]], Table4[ID], Table4[Catalog], "Not Found", 0)</f>
        <v>4</v>
      </c>
      <c r="U1399" s="5">
        <f>_xlfn.XLOOKUP(CustomerCombined[[#This Row],[ID]], Table4[ID], Table4[Store], "Not Found", 0)</f>
        <v>7</v>
      </c>
      <c r="V1399" s="5">
        <f>_xlfn.XLOOKUP(CustomerCombined[[#This Row],[ID]], Table4[ID], Table4[Visits], "Not Found", 0)</f>
        <v>6</v>
      </c>
      <c r="W1399" s="8">
        <f>_xlfn.XLOOKUP(CustomerCombined[[#This Row],[ID]], Table2[ID],Table2[Complaint], "Not Found", 0 )</f>
        <v>0</v>
      </c>
      <c r="X1399" s="8">
        <f>_xlfn.XLOOKUP(CustomerCombined[[#This Row],[ID]], Table2[ID],Table2[Pilot], "Not Found", 0 )</f>
        <v>1</v>
      </c>
      <c r="Y1399" s="8">
        <f>_xlfn.XLOOKUP(CustomerCombined[[#This Row],[ID]], Table2[ID],Table2[MC1], "Not Found", 0 )</f>
        <v>0</v>
      </c>
      <c r="Z1399" s="8">
        <f>_xlfn.XLOOKUP(CustomerCombined[[#This Row],[ID]], Table2[ID],Table2[MC2], "Not Found", 0 )</f>
        <v>0</v>
      </c>
      <c r="AA1399" s="8">
        <f>_xlfn.XLOOKUP(CustomerCombined[[#This Row],[ID]], Table2[ID],Table2[MC3], "Not Found", 0 )</f>
        <v>0</v>
      </c>
      <c r="AB1399" s="8">
        <f>_xlfn.XLOOKUP(CustomerCombined[[#This Row],[ID]], Table2[ID],Table2[MC4], "Not Found", 0 )</f>
        <v>0</v>
      </c>
      <c r="AC1399" s="8">
        <f>_xlfn.XLOOKUP(CustomerCombined[[#This Row],[ID]], Table2[ID],Table2[MC5], "Not Found", 0 )</f>
        <v>0</v>
      </c>
    </row>
    <row r="1400" spans="1:29" x14ac:dyDescent="0.3">
      <c r="A1400" s="6">
        <v>2048</v>
      </c>
      <c r="B1400" s="6">
        <v>164176</v>
      </c>
      <c r="C1400" s="6">
        <v>0</v>
      </c>
      <c r="D1400" s="6">
        <v>1</v>
      </c>
      <c r="E1400" s="6">
        <v>55</v>
      </c>
      <c r="F1400" s="5" t="s">
        <v>5</v>
      </c>
      <c r="G1400" s="5" t="s">
        <v>442</v>
      </c>
      <c r="H1400" s="3">
        <v>43678</v>
      </c>
      <c r="I1400" s="5" t="s">
        <v>438</v>
      </c>
      <c r="J1400" s="5">
        <f>_xlfn.XLOOKUP(CustomerCombined[[#This Row],[ID]], Table4[ID], Table4[Recency], "Not Found", 0)</f>
        <v>52</v>
      </c>
      <c r="K1400" s="5">
        <f>_xlfn.XLOOKUP(CustomerCombined[[#This Row],[ID]], Table4[ID], Table4[Teas], "Not Found", 0)</f>
        <v>3108</v>
      </c>
      <c r="L1400" s="5">
        <f>_xlfn.XLOOKUP(CustomerCombined[[#This Row],[ID]], Table4[ID], Table4[Fruits], "Not Found", 0)</f>
        <v>84</v>
      </c>
      <c r="M1400" s="5">
        <f>_xlfn.XLOOKUP(CustomerCombined[[#This Row],[ID]], Table4[ID], Table4[Meats], "Not Found", 0)</f>
        <v>637</v>
      </c>
      <c r="N1400" s="5">
        <f>_xlfn.XLOOKUP(CustomerCombined[[#This Row],[ID]], Table4[ID], Table4[Seafood], "Not Found", 0)</f>
        <v>164</v>
      </c>
      <c r="O1400" s="5">
        <f>_xlfn.XLOOKUP(CustomerCombined[[#This Row],[ID]], Table4[ID], Table4[Sweets], "Not Found", 0)</f>
        <v>297</v>
      </c>
      <c r="P1400" s="5">
        <f>_xlfn.XLOOKUP(CustomerCombined[[#This Row],[ID]], Table4[ID], Table4[Premium], "Not Found", 0)</f>
        <v>381</v>
      </c>
      <c r="Q1400" s="5">
        <f>_xlfn.XLOOKUP(CustomerCombined[[#This Row],[ID]], Table4[ID], Table4[Regular], "Not Found", 0)</f>
        <v>3909</v>
      </c>
      <c r="R1400" s="5">
        <f>_xlfn.XLOOKUP(CustomerCombined[[#This Row],[ID]], Table4[ID], Table4[Deals], "Not Found", 0)</f>
        <v>8</v>
      </c>
      <c r="S1400" s="5">
        <f>_xlfn.XLOOKUP(CustomerCombined[[#This Row],[ID]], Table4[ID], Table4[Website], "Not Found", 0)</f>
        <v>8</v>
      </c>
      <c r="T1400" s="5">
        <f>_xlfn.XLOOKUP(CustomerCombined[[#This Row],[ID]], Table4[ID], Table4[Catalog], "Not Found", 0)</f>
        <v>9</v>
      </c>
      <c r="U1400" s="5">
        <f>_xlfn.XLOOKUP(CustomerCombined[[#This Row],[ID]], Table4[ID], Table4[Store], "Not Found", 0)</f>
        <v>8</v>
      </c>
      <c r="V1400" s="5">
        <f>_xlfn.XLOOKUP(CustomerCombined[[#This Row],[ID]], Table4[ID], Table4[Visits], "Not Found", 0)</f>
        <v>6</v>
      </c>
      <c r="W1400" s="8">
        <f>_xlfn.XLOOKUP(CustomerCombined[[#This Row],[ID]], Table2[ID],Table2[Complaint], "Not Found", 0 )</f>
        <v>0</v>
      </c>
      <c r="X1400" s="8">
        <f>_xlfn.XLOOKUP(CustomerCombined[[#This Row],[ID]], Table2[ID],Table2[Pilot], "Not Found", 0 )</f>
        <v>0</v>
      </c>
      <c r="Y1400" s="8">
        <f>_xlfn.XLOOKUP(CustomerCombined[[#This Row],[ID]], Table2[ID],Table2[MC1], "Not Found", 0 )</f>
        <v>0</v>
      </c>
      <c r="Z1400" s="8">
        <f>_xlfn.XLOOKUP(CustomerCombined[[#This Row],[ID]], Table2[ID],Table2[MC2], "Not Found", 0 )</f>
        <v>0</v>
      </c>
      <c r="AA1400" s="8">
        <f>_xlfn.XLOOKUP(CustomerCombined[[#This Row],[ID]], Table2[ID],Table2[MC3], "Not Found", 0 )</f>
        <v>0</v>
      </c>
      <c r="AB1400" s="8">
        <f>_xlfn.XLOOKUP(CustomerCombined[[#This Row],[ID]], Table2[ID],Table2[MC4], "Not Found", 0 )</f>
        <v>0</v>
      </c>
      <c r="AC1400" s="8">
        <f>_xlfn.XLOOKUP(CustomerCombined[[#This Row],[ID]], Table2[ID],Table2[MC5], "Not Found", 0 )</f>
        <v>0</v>
      </c>
    </row>
    <row r="1401" spans="1:29" x14ac:dyDescent="0.3">
      <c r="A1401" s="6">
        <v>1222</v>
      </c>
      <c r="B1401" s="6">
        <v>162745</v>
      </c>
      <c r="C1401" s="6">
        <v>0</v>
      </c>
      <c r="D1401" s="6">
        <v>1</v>
      </c>
      <c r="E1401" s="6">
        <v>55</v>
      </c>
      <c r="F1401" s="5" t="s">
        <v>6</v>
      </c>
      <c r="G1401" s="5" t="s">
        <v>13</v>
      </c>
      <c r="H1401" s="3" t="s">
        <v>285</v>
      </c>
      <c r="I1401" s="5" t="s">
        <v>439</v>
      </c>
      <c r="J1401" s="5">
        <f>_xlfn.XLOOKUP(CustomerCombined[[#This Row],[ID]], Table4[ID], Table4[Recency], "Not Found", 0)</f>
        <v>89</v>
      </c>
      <c r="K1401" s="5">
        <f>_xlfn.XLOOKUP(CustomerCombined[[#This Row],[ID]], Table4[ID], Table4[Teas], "Not Found", 0)</f>
        <v>1458</v>
      </c>
      <c r="L1401" s="5">
        <f>_xlfn.XLOOKUP(CustomerCombined[[#This Row],[ID]], Table4[ID], Table4[Fruits], "Not Found", 0)</f>
        <v>54</v>
      </c>
      <c r="M1401" s="5">
        <f>_xlfn.XLOOKUP(CustomerCombined[[#This Row],[ID]], Table4[ID], Table4[Meats], "Not Found", 0)</f>
        <v>1204</v>
      </c>
      <c r="N1401" s="5">
        <f>_xlfn.XLOOKUP(CustomerCombined[[#This Row],[ID]], Table4[ID], Table4[Seafood], "Not Found", 0)</f>
        <v>73</v>
      </c>
      <c r="O1401" s="5">
        <f>_xlfn.XLOOKUP(CustomerCombined[[#This Row],[ID]], Table4[ID], Table4[Sweets], "Not Found", 0)</f>
        <v>26</v>
      </c>
      <c r="P1401" s="5">
        <f>_xlfn.XLOOKUP(CustomerCombined[[#This Row],[ID]], Table4[ID], Table4[Premium], "Not Found", 0)</f>
        <v>83</v>
      </c>
      <c r="Q1401" s="5">
        <f>_xlfn.XLOOKUP(CustomerCombined[[#This Row],[ID]], Table4[ID], Table4[Regular], "Not Found", 0)</f>
        <v>2731</v>
      </c>
      <c r="R1401" s="5">
        <f>_xlfn.XLOOKUP(CustomerCombined[[#This Row],[ID]], Table4[ID], Table4[Deals], "Not Found", 0)</f>
        <v>3</v>
      </c>
      <c r="S1401" s="5">
        <f>_xlfn.XLOOKUP(CustomerCombined[[#This Row],[ID]], Table4[ID], Table4[Website], "Not Found", 0)</f>
        <v>7</v>
      </c>
      <c r="T1401" s="5">
        <f>_xlfn.XLOOKUP(CustomerCombined[[#This Row],[ID]], Table4[ID], Table4[Catalog], "Not Found", 0)</f>
        <v>8</v>
      </c>
      <c r="U1401" s="5">
        <f>_xlfn.XLOOKUP(CustomerCombined[[#This Row],[ID]], Table4[ID], Table4[Store], "Not Found", 0)</f>
        <v>11</v>
      </c>
      <c r="V1401" s="5">
        <f>_xlfn.XLOOKUP(CustomerCombined[[#This Row],[ID]], Table4[ID], Table4[Visits], "Not Found", 0)</f>
        <v>5</v>
      </c>
      <c r="W1401" s="8">
        <f>_xlfn.XLOOKUP(CustomerCombined[[#This Row],[ID]], Table2[ID],Table2[Complaint], "Not Found", 0 )</f>
        <v>0</v>
      </c>
      <c r="X1401" s="8">
        <f>_xlfn.XLOOKUP(CustomerCombined[[#This Row],[ID]], Table2[ID],Table2[Pilot], "Not Found", 0 )</f>
        <v>0</v>
      </c>
      <c r="Y1401" s="8">
        <f>_xlfn.XLOOKUP(CustomerCombined[[#This Row],[ID]], Table2[ID],Table2[MC1], "Not Found", 0 )</f>
        <v>0</v>
      </c>
      <c r="Z1401" s="8">
        <f>_xlfn.XLOOKUP(CustomerCombined[[#This Row],[ID]], Table2[ID],Table2[MC2], "Not Found", 0 )</f>
        <v>0</v>
      </c>
      <c r="AA1401" s="8">
        <f>_xlfn.XLOOKUP(CustomerCombined[[#This Row],[ID]], Table2[ID],Table2[MC3], "Not Found", 0 )</f>
        <v>0</v>
      </c>
      <c r="AB1401" s="8">
        <f>_xlfn.XLOOKUP(CustomerCombined[[#This Row],[ID]], Table2[ID],Table2[MC4], "Not Found", 0 )</f>
        <v>0</v>
      </c>
      <c r="AC1401" s="8">
        <f>_xlfn.XLOOKUP(CustomerCombined[[#This Row],[ID]], Table2[ID],Table2[MC5], "Not Found", 0 )</f>
        <v>0</v>
      </c>
    </row>
    <row r="1402" spans="1:29" x14ac:dyDescent="0.3">
      <c r="A1402" s="6">
        <v>2904</v>
      </c>
      <c r="B1402" s="6">
        <v>162694</v>
      </c>
      <c r="C1402" s="6">
        <v>1</v>
      </c>
      <c r="D1402" s="6">
        <v>1</v>
      </c>
      <c r="E1402" s="6">
        <v>55</v>
      </c>
      <c r="F1402" s="5" t="s">
        <v>6</v>
      </c>
      <c r="G1402" s="5" t="s">
        <v>12</v>
      </c>
      <c r="H1402" s="3" t="s">
        <v>236</v>
      </c>
      <c r="I1402" s="5" t="s">
        <v>436</v>
      </c>
      <c r="J1402" s="5">
        <f>_xlfn.XLOOKUP(CustomerCombined[[#This Row],[ID]], Table4[ID], Table4[Recency], "Not Found", 0)</f>
        <v>29</v>
      </c>
      <c r="K1402" s="5">
        <f>_xlfn.XLOOKUP(CustomerCombined[[#This Row],[ID]], Table4[ID], Table4[Teas], "Not Found", 0)</f>
        <v>984</v>
      </c>
      <c r="L1402" s="5">
        <f>_xlfn.XLOOKUP(CustomerCombined[[#This Row],[ID]], Table4[ID], Table4[Fruits], "Not Found", 0)</f>
        <v>16</v>
      </c>
      <c r="M1402" s="5">
        <f>_xlfn.XLOOKUP(CustomerCombined[[#This Row],[ID]], Table4[ID], Table4[Meats], "Not Found", 0)</f>
        <v>407</v>
      </c>
      <c r="N1402" s="5">
        <f>_xlfn.XLOOKUP(CustomerCombined[[#This Row],[ID]], Table4[ID], Table4[Seafood], "Not Found", 0)</f>
        <v>65</v>
      </c>
      <c r="O1402" s="5">
        <f>_xlfn.XLOOKUP(CustomerCombined[[#This Row],[ID]], Table4[ID], Table4[Sweets], "Not Found", 0)</f>
        <v>236</v>
      </c>
      <c r="P1402" s="5">
        <f>_xlfn.XLOOKUP(CustomerCombined[[#This Row],[ID]], Table4[ID], Table4[Premium], "Not Found", 0)</f>
        <v>236</v>
      </c>
      <c r="Q1402" s="5">
        <f>_xlfn.XLOOKUP(CustomerCombined[[#This Row],[ID]], Table4[ID], Table4[Regular], "Not Found", 0)</f>
        <v>1471</v>
      </c>
      <c r="R1402" s="5">
        <f>_xlfn.XLOOKUP(CustomerCombined[[#This Row],[ID]], Table4[ID], Table4[Deals], "Not Found", 0)</f>
        <v>5</v>
      </c>
      <c r="S1402" s="5">
        <f>_xlfn.XLOOKUP(CustomerCombined[[#This Row],[ID]], Table4[ID], Table4[Website], "Not Found", 0)</f>
        <v>9</v>
      </c>
      <c r="T1402" s="5">
        <f>_xlfn.XLOOKUP(CustomerCombined[[#This Row],[ID]], Table4[ID], Table4[Catalog], "Not Found", 0)</f>
        <v>3</v>
      </c>
      <c r="U1402" s="5">
        <f>_xlfn.XLOOKUP(CustomerCombined[[#This Row],[ID]], Table4[ID], Table4[Store], "Not Found", 0)</f>
        <v>7</v>
      </c>
      <c r="V1402" s="5">
        <f>_xlfn.XLOOKUP(CustomerCombined[[#This Row],[ID]], Table4[ID], Table4[Visits], "Not Found", 0)</f>
        <v>7</v>
      </c>
      <c r="W1402" s="8">
        <f>_xlfn.XLOOKUP(CustomerCombined[[#This Row],[ID]], Table2[ID],Table2[Complaint], "Not Found", 0 )</f>
        <v>0</v>
      </c>
      <c r="X1402" s="8">
        <f>_xlfn.XLOOKUP(CustomerCombined[[#This Row],[ID]], Table2[ID],Table2[Pilot], "Not Found", 0 )</f>
        <v>0</v>
      </c>
      <c r="Y1402" s="8">
        <f>_xlfn.XLOOKUP(CustomerCombined[[#This Row],[ID]], Table2[ID],Table2[MC1], "Not Found", 0 )</f>
        <v>0</v>
      </c>
      <c r="Z1402" s="8">
        <f>_xlfn.XLOOKUP(CustomerCombined[[#This Row],[ID]], Table2[ID],Table2[MC2], "Not Found", 0 )</f>
        <v>0</v>
      </c>
      <c r="AA1402" s="8">
        <f>_xlfn.XLOOKUP(CustomerCombined[[#This Row],[ID]], Table2[ID],Table2[MC3], "Not Found", 0 )</f>
        <v>0</v>
      </c>
      <c r="AB1402" s="8">
        <f>_xlfn.XLOOKUP(CustomerCombined[[#This Row],[ID]], Table2[ID],Table2[MC4], "Not Found", 0 )</f>
        <v>0</v>
      </c>
      <c r="AC1402" s="8">
        <f>_xlfn.XLOOKUP(CustomerCombined[[#This Row],[ID]], Table2[ID],Table2[MC5], "Not Found", 0 )</f>
        <v>0</v>
      </c>
    </row>
    <row r="1403" spans="1:29" x14ac:dyDescent="0.3">
      <c r="A1403" s="6">
        <v>2197</v>
      </c>
      <c r="B1403" s="6">
        <v>161559</v>
      </c>
      <c r="C1403" s="6">
        <v>0</v>
      </c>
      <c r="D1403" s="6">
        <v>1</v>
      </c>
      <c r="E1403" s="6">
        <v>55</v>
      </c>
      <c r="F1403" s="5" t="s">
        <v>7</v>
      </c>
      <c r="G1403" s="5" t="s">
        <v>11</v>
      </c>
      <c r="H1403" s="3" t="s">
        <v>219</v>
      </c>
      <c r="I1403" s="5" t="s">
        <v>437</v>
      </c>
      <c r="J1403" s="5">
        <f>_xlfn.XLOOKUP(CustomerCombined[[#This Row],[ID]], Table4[ID], Table4[Recency], "Not Found", 0)</f>
        <v>8</v>
      </c>
      <c r="K1403" s="5">
        <f>_xlfn.XLOOKUP(CustomerCombined[[#This Row],[ID]], Table4[ID], Table4[Teas], "Not Found", 0)</f>
        <v>732</v>
      </c>
      <c r="L1403" s="5">
        <f>_xlfn.XLOOKUP(CustomerCombined[[#This Row],[ID]], Table4[ID], Table4[Fruits], "Not Found", 0)</f>
        <v>218</v>
      </c>
      <c r="M1403" s="5">
        <f>_xlfn.XLOOKUP(CustomerCombined[[#This Row],[ID]], Table4[ID], Table4[Meats], "Not Found", 0)</f>
        <v>231</v>
      </c>
      <c r="N1403" s="5">
        <f>_xlfn.XLOOKUP(CustomerCombined[[#This Row],[ID]], Table4[ID], Table4[Seafood], "Not Found", 0)</f>
        <v>84</v>
      </c>
      <c r="O1403" s="5">
        <f>_xlfn.XLOOKUP(CustomerCombined[[#This Row],[ID]], Table4[ID], Table4[Sweets], "Not Found", 0)</f>
        <v>37</v>
      </c>
      <c r="P1403" s="5">
        <f>_xlfn.XLOOKUP(CustomerCombined[[#This Row],[ID]], Table4[ID], Table4[Premium], "Not Found", 0)</f>
        <v>89</v>
      </c>
      <c r="Q1403" s="5">
        <f>_xlfn.XLOOKUP(CustomerCombined[[#This Row],[ID]], Table4[ID], Table4[Regular], "Not Found", 0)</f>
        <v>1212</v>
      </c>
      <c r="R1403" s="5">
        <f>_xlfn.XLOOKUP(CustomerCombined[[#This Row],[ID]], Table4[ID], Table4[Deals], "Not Found", 0)</f>
        <v>1</v>
      </c>
      <c r="S1403" s="5">
        <f>_xlfn.XLOOKUP(CustomerCombined[[#This Row],[ID]], Table4[ID], Table4[Website], "Not Found", 0)</f>
        <v>4</v>
      </c>
      <c r="T1403" s="5">
        <f>_xlfn.XLOOKUP(CustomerCombined[[#This Row],[ID]], Table4[ID], Table4[Catalog], "Not Found", 0)</f>
        <v>2</v>
      </c>
      <c r="U1403" s="5">
        <f>_xlfn.XLOOKUP(CustomerCombined[[#This Row],[ID]], Table4[ID], Table4[Store], "Not Found", 0)</f>
        <v>10</v>
      </c>
      <c r="V1403" s="5">
        <f>_xlfn.XLOOKUP(CustomerCombined[[#This Row],[ID]], Table4[ID], Table4[Visits], "Not Found", 0)</f>
        <v>3</v>
      </c>
      <c r="W1403" s="8">
        <f>_xlfn.XLOOKUP(CustomerCombined[[#This Row],[ID]], Table2[ID],Table2[Complaint], "Not Found", 0 )</f>
        <v>0</v>
      </c>
      <c r="X1403" s="8">
        <f>_xlfn.XLOOKUP(CustomerCombined[[#This Row],[ID]], Table2[ID],Table2[Pilot], "Not Found", 0 )</f>
        <v>0</v>
      </c>
      <c r="Y1403" s="8">
        <f>_xlfn.XLOOKUP(CustomerCombined[[#This Row],[ID]], Table2[ID],Table2[MC1], "Not Found", 0 )</f>
        <v>0</v>
      </c>
      <c r="Z1403" s="8">
        <f>_xlfn.XLOOKUP(CustomerCombined[[#This Row],[ID]], Table2[ID],Table2[MC2], "Not Found", 0 )</f>
        <v>0</v>
      </c>
      <c r="AA1403" s="8">
        <f>_xlfn.XLOOKUP(CustomerCombined[[#This Row],[ID]], Table2[ID],Table2[MC3], "Not Found", 0 )</f>
        <v>0</v>
      </c>
      <c r="AB1403" s="8">
        <f>_xlfn.XLOOKUP(CustomerCombined[[#This Row],[ID]], Table2[ID],Table2[MC4], "Not Found", 0 )</f>
        <v>0</v>
      </c>
      <c r="AC1403" s="8">
        <f>_xlfn.XLOOKUP(CustomerCombined[[#This Row],[ID]], Table2[ID],Table2[MC5], "Not Found", 0 )</f>
        <v>0</v>
      </c>
    </row>
    <row r="1404" spans="1:29" x14ac:dyDescent="0.3">
      <c r="A1404" s="6">
        <v>2563</v>
      </c>
      <c r="B1404" s="6">
        <v>161482</v>
      </c>
      <c r="C1404" s="6">
        <v>0</v>
      </c>
      <c r="D1404" s="6">
        <v>0</v>
      </c>
      <c r="E1404" s="6">
        <v>55</v>
      </c>
      <c r="F1404" s="5" t="s">
        <v>6</v>
      </c>
      <c r="G1404" s="5" t="s">
        <v>11</v>
      </c>
      <c r="H1404" s="3">
        <v>43842</v>
      </c>
      <c r="I1404" s="5" t="s">
        <v>437</v>
      </c>
      <c r="J1404" s="5">
        <f>_xlfn.XLOOKUP(CustomerCombined[[#This Row],[ID]], Table4[ID], Table4[Recency], "Not Found", 0)</f>
        <v>39</v>
      </c>
      <c r="K1404" s="5">
        <f>_xlfn.XLOOKUP(CustomerCombined[[#This Row],[ID]], Table4[ID], Table4[Teas], "Not Found", 0)</f>
        <v>126</v>
      </c>
      <c r="L1404" s="5">
        <f>_xlfn.XLOOKUP(CustomerCombined[[#This Row],[ID]], Table4[ID], Table4[Fruits], "Not Found", 0)</f>
        <v>152</v>
      </c>
      <c r="M1404" s="5">
        <f>_xlfn.XLOOKUP(CustomerCombined[[#This Row],[ID]], Table4[ID], Table4[Meats], "Not Found", 0)</f>
        <v>179</v>
      </c>
      <c r="N1404" s="5">
        <f>_xlfn.XLOOKUP(CustomerCombined[[#This Row],[ID]], Table4[ID], Table4[Seafood], "Not Found", 0)</f>
        <v>42</v>
      </c>
      <c r="O1404" s="5">
        <f>_xlfn.XLOOKUP(CustomerCombined[[#This Row],[ID]], Table4[ID], Table4[Sweets], "Not Found", 0)</f>
        <v>173</v>
      </c>
      <c r="P1404" s="5">
        <f>_xlfn.XLOOKUP(CustomerCombined[[#This Row],[ID]], Table4[ID], Table4[Premium], "Not Found", 0)</f>
        <v>113</v>
      </c>
      <c r="Q1404" s="5">
        <f>_xlfn.XLOOKUP(CustomerCombined[[#This Row],[ID]], Table4[ID], Table4[Regular], "Not Found", 0)</f>
        <v>559</v>
      </c>
      <c r="R1404" s="5">
        <f>_xlfn.XLOOKUP(CustomerCombined[[#This Row],[ID]], Table4[ID], Table4[Deals], "Not Found", 0)</f>
        <v>1</v>
      </c>
      <c r="S1404" s="5">
        <f>_xlfn.XLOOKUP(CustomerCombined[[#This Row],[ID]], Table4[ID], Table4[Website], "Not Found", 0)</f>
        <v>3</v>
      </c>
      <c r="T1404" s="5">
        <f>_xlfn.XLOOKUP(CustomerCombined[[#This Row],[ID]], Table4[ID], Table4[Catalog], "Not Found", 0)</f>
        <v>2</v>
      </c>
      <c r="U1404" s="5">
        <f>_xlfn.XLOOKUP(CustomerCombined[[#This Row],[ID]], Table4[ID], Table4[Store], "Not Found", 0)</f>
        <v>6</v>
      </c>
      <c r="V1404" s="5">
        <f>_xlfn.XLOOKUP(CustomerCombined[[#This Row],[ID]], Table4[ID], Table4[Visits], "Not Found", 0)</f>
        <v>2</v>
      </c>
      <c r="W1404" s="8">
        <f>_xlfn.XLOOKUP(CustomerCombined[[#This Row],[ID]], Table2[ID],Table2[Complaint], "Not Found", 0 )</f>
        <v>0</v>
      </c>
      <c r="X1404" s="8">
        <f>_xlfn.XLOOKUP(CustomerCombined[[#This Row],[ID]], Table2[ID],Table2[Pilot], "Not Found", 0 )</f>
        <v>0</v>
      </c>
      <c r="Y1404" s="8">
        <f>_xlfn.XLOOKUP(CustomerCombined[[#This Row],[ID]], Table2[ID],Table2[MC1], "Not Found", 0 )</f>
        <v>0</v>
      </c>
      <c r="Z1404" s="8">
        <f>_xlfn.XLOOKUP(CustomerCombined[[#This Row],[ID]], Table2[ID],Table2[MC2], "Not Found", 0 )</f>
        <v>0</v>
      </c>
      <c r="AA1404" s="8">
        <f>_xlfn.XLOOKUP(CustomerCombined[[#This Row],[ID]], Table2[ID],Table2[MC3], "Not Found", 0 )</f>
        <v>0</v>
      </c>
      <c r="AB1404" s="8">
        <f>_xlfn.XLOOKUP(CustomerCombined[[#This Row],[ID]], Table2[ID],Table2[MC4], "Not Found", 0 )</f>
        <v>0</v>
      </c>
      <c r="AC1404" s="8">
        <f>_xlfn.XLOOKUP(CustomerCombined[[#This Row],[ID]], Table2[ID],Table2[MC5], "Not Found", 0 )</f>
        <v>0</v>
      </c>
    </row>
    <row r="1405" spans="1:29" x14ac:dyDescent="0.3">
      <c r="A1405" s="6">
        <v>1778</v>
      </c>
      <c r="B1405" s="6">
        <v>160161</v>
      </c>
      <c r="C1405" s="6">
        <v>0</v>
      </c>
      <c r="D1405" s="6">
        <v>1</v>
      </c>
      <c r="E1405" s="6">
        <v>55</v>
      </c>
      <c r="F1405" s="5" t="s">
        <v>5</v>
      </c>
      <c r="G1405" s="5" t="s">
        <v>442</v>
      </c>
      <c r="H1405" s="3" t="s">
        <v>371</v>
      </c>
      <c r="I1405" s="5" t="s">
        <v>438</v>
      </c>
      <c r="J1405" s="5">
        <f>_xlfn.XLOOKUP(CustomerCombined[[#This Row],[ID]], Table4[ID], Table4[Recency], "Not Found", 0)</f>
        <v>17</v>
      </c>
      <c r="K1405" s="5">
        <f>_xlfn.XLOOKUP(CustomerCombined[[#This Row],[ID]], Table4[ID], Table4[Teas], "Not Found", 0)</f>
        <v>1555</v>
      </c>
      <c r="L1405" s="5">
        <f>_xlfn.XLOOKUP(CustomerCombined[[#This Row],[ID]], Table4[ID], Table4[Fruits], "Not Found", 0)</f>
        <v>117</v>
      </c>
      <c r="M1405" s="5">
        <f>_xlfn.XLOOKUP(CustomerCombined[[#This Row],[ID]], Table4[ID], Table4[Meats], "Not Found", 0)</f>
        <v>564</v>
      </c>
      <c r="N1405" s="5">
        <f>_xlfn.XLOOKUP(CustomerCombined[[#This Row],[ID]], Table4[ID], Table4[Seafood], "Not Found", 0)</f>
        <v>122</v>
      </c>
      <c r="O1405" s="5">
        <f>_xlfn.XLOOKUP(CustomerCombined[[#This Row],[ID]], Table4[ID], Table4[Sweets], "Not Found", 0)</f>
        <v>21</v>
      </c>
      <c r="P1405" s="5">
        <f>_xlfn.XLOOKUP(CustomerCombined[[#This Row],[ID]], Table4[ID], Table4[Premium], "Not Found", 0)</f>
        <v>471</v>
      </c>
      <c r="Q1405" s="5">
        <f>_xlfn.XLOOKUP(CustomerCombined[[#This Row],[ID]], Table4[ID], Table4[Regular], "Not Found", 0)</f>
        <v>1909</v>
      </c>
      <c r="R1405" s="5">
        <f>_xlfn.XLOOKUP(CustomerCombined[[#This Row],[ID]], Table4[ID], Table4[Deals], "Not Found", 0)</f>
        <v>3</v>
      </c>
      <c r="S1405" s="5">
        <f>_xlfn.XLOOKUP(CustomerCombined[[#This Row],[ID]], Table4[ID], Table4[Website], "Not Found", 0)</f>
        <v>11</v>
      </c>
      <c r="T1405" s="5">
        <f>_xlfn.XLOOKUP(CustomerCombined[[#This Row],[ID]], Table4[ID], Table4[Catalog], "Not Found", 0)</f>
        <v>4</v>
      </c>
      <c r="U1405" s="5">
        <f>_xlfn.XLOOKUP(CustomerCombined[[#This Row],[ID]], Table4[ID], Table4[Store], "Not Found", 0)</f>
        <v>8</v>
      </c>
      <c r="V1405" s="5">
        <f>_xlfn.XLOOKUP(CustomerCombined[[#This Row],[ID]], Table4[ID], Table4[Visits], "Not Found", 0)</f>
        <v>8</v>
      </c>
      <c r="W1405" s="8">
        <f>_xlfn.XLOOKUP(CustomerCombined[[#This Row],[ID]], Table2[ID],Table2[Complaint], "Not Found", 0 )</f>
        <v>0</v>
      </c>
      <c r="X1405" s="8">
        <f>_xlfn.XLOOKUP(CustomerCombined[[#This Row],[ID]], Table2[ID],Table2[Pilot], "Not Found", 0 )</f>
        <v>0</v>
      </c>
      <c r="Y1405" s="8">
        <f>_xlfn.XLOOKUP(CustomerCombined[[#This Row],[ID]], Table2[ID],Table2[MC1], "Not Found", 0 )</f>
        <v>0</v>
      </c>
      <c r="Z1405" s="8">
        <f>_xlfn.XLOOKUP(CustomerCombined[[#This Row],[ID]], Table2[ID],Table2[MC2], "Not Found", 0 )</f>
        <v>0</v>
      </c>
      <c r="AA1405" s="8">
        <f>_xlfn.XLOOKUP(CustomerCombined[[#This Row],[ID]], Table2[ID],Table2[MC3], "Not Found", 0 )</f>
        <v>0</v>
      </c>
      <c r="AB1405" s="8">
        <f>_xlfn.XLOOKUP(CustomerCombined[[#This Row],[ID]], Table2[ID],Table2[MC4], "Not Found", 0 )</f>
        <v>0</v>
      </c>
      <c r="AC1405" s="8">
        <f>_xlfn.XLOOKUP(CustomerCombined[[#This Row],[ID]], Table2[ID],Table2[MC5], "Not Found", 0 )</f>
        <v>0</v>
      </c>
    </row>
    <row r="1406" spans="1:29" x14ac:dyDescent="0.3">
      <c r="A1406" s="6">
        <v>1937</v>
      </c>
      <c r="B1406" s="6">
        <v>159754</v>
      </c>
      <c r="C1406" s="6">
        <v>0</v>
      </c>
      <c r="D1406" s="6">
        <v>1</v>
      </c>
      <c r="E1406" s="6">
        <v>55</v>
      </c>
      <c r="F1406" s="5" t="s">
        <v>6</v>
      </c>
      <c r="G1406" s="5" t="s">
        <v>11</v>
      </c>
      <c r="H1406" s="3">
        <v>43682</v>
      </c>
      <c r="I1406" s="5" t="s">
        <v>434</v>
      </c>
      <c r="J1406" s="5">
        <f>_xlfn.XLOOKUP(CustomerCombined[[#This Row],[ID]], Table4[ID], Table4[Recency], "Not Found", 0)</f>
        <v>96</v>
      </c>
      <c r="K1406" s="5">
        <f>_xlfn.XLOOKUP(CustomerCombined[[#This Row],[ID]], Table4[ID], Table4[Teas], "Not Found", 0)</f>
        <v>307</v>
      </c>
      <c r="L1406" s="5">
        <f>_xlfn.XLOOKUP(CustomerCombined[[#This Row],[ID]], Table4[ID], Table4[Fruits], "Not Found", 0)</f>
        <v>72</v>
      </c>
      <c r="M1406" s="5">
        <f>_xlfn.XLOOKUP(CustomerCombined[[#This Row],[ID]], Table4[ID], Table4[Meats], "Not Found", 0)</f>
        <v>118</v>
      </c>
      <c r="N1406" s="5">
        <f>_xlfn.XLOOKUP(CustomerCombined[[#This Row],[ID]], Table4[ID], Table4[Seafood], "Not Found", 0)</f>
        <v>11</v>
      </c>
      <c r="O1406" s="5">
        <f>_xlfn.XLOOKUP(CustomerCombined[[#This Row],[ID]], Table4[ID], Table4[Sweets], "Not Found", 0)</f>
        <v>390</v>
      </c>
      <c r="P1406" s="5">
        <f>_xlfn.XLOOKUP(CustomerCombined[[#This Row],[ID]], Table4[ID], Table4[Premium], "Not Found", 0)</f>
        <v>372</v>
      </c>
      <c r="Q1406" s="5">
        <f>_xlfn.XLOOKUP(CustomerCombined[[#This Row],[ID]], Table4[ID], Table4[Regular], "Not Found", 0)</f>
        <v>527</v>
      </c>
      <c r="R1406" s="5">
        <f>_xlfn.XLOOKUP(CustomerCombined[[#This Row],[ID]], Table4[ID], Table4[Deals], "Not Found", 0)</f>
        <v>3</v>
      </c>
      <c r="S1406" s="5">
        <f>_xlfn.XLOOKUP(CustomerCombined[[#This Row],[ID]], Table4[ID], Table4[Website], "Not Found", 0)</f>
        <v>5</v>
      </c>
      <c r="T1406" s="5">
        <f>_xlfn.XLOOKUP(CustomerCombined[[#This Row],[ID]], Table4[ID], Table4[Catalog], "Not Found", 0)</f>
        <v>2</v>
      </c>
      <c r="U1406" s="5">
        <f>_xlfn.XLOOKUP(CustomerCombined[[#This Row],[ID]], Table4[ID], Table4[Store], "Not Found", 0)</f>
        <v>6</v>
      </c>
      <c r="V1406" s="5">
        <f>_xlfn.XLOOKUP(CustomerCombined[[#This Row],[ID]], Table4[ID], Table4[Visits], "Not Found", 0)</f>
        <v>5</v>
      </c>
      <c r="W1406" s="8">
        <f>_xlfn.XLOOKUP(CustomerCombined[[#This Row],[ID]], Table2[ID],Table2[Complaint], "Not Found", 0 )</f>
        <v>0</v>
      </c>
      <c r="X1406" s="8">
        <f>_xlfn.XLOOKUP(CustomerCombined[[#This Row],[ID]], Table2[ID],Table2[Pilot], "Not Found", 0 )</f>
        <v>1</v>
      </c>
      <c r="Y1406" s="8">
        <f>_xlfn.XLOOKUP(CustomerCombined[[#This Row],[ID]], Table2[ID],Table2[MC1], "Not Found", 0 )</f>
        <v>0</v>
      </c>
      <c r="Z1406" s="8">
        <f>_xlfn.XLOOKUP(CustomerCombined[[#This Row],[ID]], Table2[ID],Table2[MC2], "Not Found", 0 )</f>
        <v>0</v>
      </c>
      <c r="AA1406" s="8">
        <f>_xlfn.XLOOKUP(CustomerCombined[[#This Row],[ID]], Table2[ID],Table2[MC3], "Not Found", 0 )</f>
        <v>0</v>
      </c>
      <c r="AB1406" s="8">
        <f>_xlfn.XLOOKUP(CustomerCombined[[#This Row],[ID]], Table2[ID],Table2[MC4], "Not Found", 0 )</f>
        <v>0</v>
      </c>
      <c r="AC1406" s="8">
        <f>_xlfn.XLOOKUP(CustomerCombined[[#This Row],[ID]], Table2[ID],Table2[MC5], "Not Found", 0 )</f>
        <v>0</v>
      </c>
    </row>
    <row r="1407" spans="1:29" x14ac:dyDescent="0.3">
      <c r="A1407" s="6">
        <v>3127</v>
      </c>
      <c r="B1407" s="6">
        <v>159686</v>
      </c>
      <c r="C1407" s="6">
        <v>0</v>
      </c>
      <c r="D1407" s="6">
        <v>1</v>
      </c>
      <c r="E1407" s="6">
        <v>55</v>
      </c>
      <c r="F1407" s="5" t="s">
        <v>7</v>
      </c>
      <c r="G1407" s="5" t="s">
        <v>11</v>
      </c>
      <c r="H1407" s="3">
        <v>43837</v>
      </c>
      <c r="I1407" s="5" t="s">
        <v>437</v>
      </c>
      <c r="J1407" s="5">
        <f>_xlfn.XLOOKUP(CustomerCombined[[#This Row],[ID]], Table4[ID], Table4[Recency], "Not Found", 0)</f>
        <v>78</v>
      </c>
      <c r="K1407" s="5">
        <f>_xlfn.XLOOKUP(CustomerCombined[[#This Row],[ID]], Table4[ID], Table4[Teas], "Not Found", 0)</f>
        <v>238</v>
      </c>
      <c r="L1407" s="5">
        <f>_xlfn.XLOOKUP(CustomerCombined[[#This Row],[ID]], Table4[ID], Table4[Fruits], "Not Found", 0)</f>
        <v>40</v>
      </c>
      <c r="M1407" s="5">
        <f>_xlfn.XLOOKUP(CustomerCombined[[#This Row],[ID]], Table4[ID], Table4[Meats], "Not Found", 0)</f>
        <v>238</v>
      </c>
      <c r="N1407" s="5">
        <f>_xlfn.XLOOKUP(CustomerCombined[[#This Row],[ID]], Table4[ID], Table4[Seafood], "Not Found", 0)</f>
        <v>91</v>
      </c>
      <c r="O1407" s="5">
        <f>_xlfn.XLOOKUP(CustomerCombined[[#This Row],[ID]], Table4[ID], Table4[Sweets], "Not Found", 0)</f>
        <v>112</v>
      </c>
      <c r="P1407" s="5">
        <f>_xlfn.XLOOKUP(CustomerCombined[[#This Row],[ID]], Table4[ID], Table4[Premium], "Not Found", 0)</f>
        <v>13</v>
      </c>
      <c r="Q1407" s="5">
        <f>_xlfn.XLOOKUP(CustomerCombined[[#This Row],[ID]], Table4[ID], Table4[Regular], "Not Found", 0)</f>
        <v>706</v>
      </c>
      <c r="R1407" s="5">
        <f>_xlfn.XLOOKUP(CustomerCombined[[#This Row],[ID]], Table4[ID], Table4[Deals], "Not Found", 0)</f>
        <v>1</v>
      </c>
      <c r="S1407" s="5">
        <f>_xlfn.XLOOKUP(CustomerCombined[[#This Row],[ID]], Table4[ID], Table4[Website], "Not Found", 0)</f>
        <v>4</v>
      </c>
      <c r="T1407" s="5">
        <f>_xlfn.XLOOKUP(CustomerCombined[[#This Row],[ID]], Table4[ID], Table4[Catalog], "Not Found", 0)</f>
        <v>1</v>
      </c>
      <c r="U1407" s="5">
        <f>_xlfn.XLOOKUP(CustomerCombined[[#This Row],[ID]], Table4[ID], Table4[Store], "Not Found", 0)</f>
        <v>6</v>
      </c>
      <c r="V1407" s="5">
        <f>_xlfn.XLOOKUP(CustomerCombined[[#This Row],[ID]], Table4[ID], Table4[Visits], "Not Found", 0)</f>
        <v>4</v>
      </c>
      <c r="W1407" s="8">
        <f>_xlfn.XLOOKUP(CustomerCombined[[#This Row],[ID]], Table2[ID],Table2[Complaint], "Not Found", 0 )</f>
        <v>0</v>
      </c>
      <c r="X1407" s="8">
        <f>_xlfn.XLOOKUP(CustomerCombined[[#This Row],[ID]], Table2[ID],Table2[Pilot], "Not Found", 0 )</f>
        <v>0</v>
      </c>
      <c r="Y1407" s="8">
        <f>_xlfn.XLOOKUP(CustomerCombined[[#This Row],[ID]], Table2[ID],Table2[MC1], "Not Found", 0 )</f>
        <v>0</v>
      </c>
      <c r="Z1407" s="8">
        <f>_xlfn.XLOOKUP(CustomerCombined[[#This Row],[ID]], Table2[ID],Table2[MC2], "Not Found", 0 )</f>
        <v>0</v>
      </c>
      <c r="AA1407" s="8">
        <f>_xlfn.XLOOKUP(CustomerCombined[[#This Row],[ID]], Table2[ID],Table2[MC3], "Not Found", 0 )</f>
        <v>0</v>
      </c>
      <c r="AB1407" s="8">
        <f>_xlfn.XLOOKUP(CustomerCombined[[#This Row],[ID]], Table2[ID],Table2[MC4], "Not Found", 0 )</f>
        <v>0</v>
      </c>
      <c r="AC1407" s="8">
        <f>_xlfn.XLOOKUP(CustomerCombined[[#This Row],[ID]], Table2[ID],Table2[MC5], "Not Found", 0 )</f>
        <v>0</v>
      </c>
    </row>
    <row r="1408" spans="1:29" x14ac:dyDescent="0.3">
      <c r="A1408" s="6">
        <v>2143</v>
      </c>
      <c r="B1408" s="6">
        <v>159594</v>
      </c>
      <c r="C1408" s="6">
        <v>0</v>
      </c>
      <c r="D1408" s="6">
        <v>1</v>
      </c>
      <c r="E1408" s="6">
        <v>55</v>
      </c>
      <c r="F1408" s="5" t="s">
        <v>6</v>
      </c>
      <c r="G1408" s="5" t="s">
        <v>11</v>
      </c>
      <c r="H1408" s="3" t="s">
        <v>374</v>
      </c>
      <c r="I1408" s="5" t="s">
        <v>437</v>
      </c>
      <c r="J1408" s="5">
        <f>_xlfn.XLOOKUP(CustomerCombined[[#This Row],[ID]], Table4[ID], Table4[Recency], "Not Found", 0)</f>
        <v>74</v>
      </c>
      <c r="K1408" s="5">
        <f>_xlfn.XLOOKUP(CustomerCombined[[#This Row],[ID]], Table4[ID], Table4[Teas], "Not Found", 0)</f>
        <v>1224</v>
      </c>
      <c r="L1408" s="5">
        <f>_xlfn.XLOOKUP(CustomerCombined[[#This Row],[ID]], Table4[ID], Table4[Fruits], "Not Found", 0)</f>
        <v>11</v>
      </c>
      <c r="M1408" s="5">
        <f>_xlfn.XLOOKUP(CustomerCombined[[#This Row],[ID]], Table4[ID], Table4[Meats], "Not Found", 0)</f>
        <v>78</v>
      </c>
      <c r="N1408" s="5">
        <f>_xlfn.XLOOKUP(CustomerCombined[[#This Row],[ID]], Table4[ID], Table4[Seafood], "Not Found", 0)</f>
        <v>0</v>
      </c>
      <c r="O1408" s="5">
        <f>_xlfn.XLOOKUP(CustomerCombined[[#This Row],[ID]], Table4[ID], Table4[Sweets], "Not Found", 0)</f>
        <v>0</v>
      </c>
      <c r="P1408" s="5">
        <f>_xlfn.XLOOKUP(CustomerCombined[[#This Row],[ID]], Table4[ID], Table4[Premium], "Not Found", 0)</f>
        <v>24</v>
      </c>
      <c r="Q1408" s="5">
        <f>_xlfn.XLOOKUP(CustomerCombined[[#This Row],[ID]], Table4[ID], Table4[Regular], "Not Found", 0)</f>
        <v>1288</v>
      </c>
      <c r="R1408" s="5">
        <f>_xlfn.XLOOKUP(CustomerCombined[[#This Row],[ID]], Table4[ID], Table4[Deals], "Not Found", 0)</f>
        <v>1</v>
      </c>
      <c r="S1408" s="5">
        <f>_xlfn.XLOOKUP(CustomerCombined[[#This Row],[ID]], Table4[ID], Table4[Website], "Not Found", 0)</f>
        <v>8</v>
      </c>
      <c r="T1408" s="5">
        <f>_xlfn.XLOOKUP(CustomerCombined[[#This Row],[ID]], Table4[ID], Table4[Catalog], "Not Found", 0)</f>
        <v>1</v>
      </c>
      <c r="U1408" s="5">
        <f>_xlfn.XLOOKUP(CustomerCombined[[#This Row],[ID]], Table4[ID], Table4[Store], "Not Found", 0)</f>
        <v>7</v>
      </c>
      <c r="V1408" s="5">
        <f>_xlfn.XLOOKUP(CustomerCombined[[#This Row],[ID]], Table4[ID], Table4[Visits], "Not Found", 0)</f>
        <v>7</v>
      </c>
      <c r="W1408" s="8">
        <f>_xlfn.XLOOKUP(CustomerCombined[[#This Row],[ID]], Table2[ID],Table2[Complaint], "Not Found", 0 )</f>
        <v>0</v>
      </c>
      <c r="X1408" s="8">
        <f>_xlfn.XLOOKUP(CustomerCombined[[#This Row],[ID]], Table2[ID],Table2[Pilot], "Not Found", 0 )</f>
        <v>0</v>
      </c>
      <c r="Y1408" s="8">
        <f>_xlfn.XLOOKUP(CustomerCombined[[#This Row],[ID]], Table2[ID],Table2[MC1], "Not Found", 0 )</f>
        <v>0</v>
      </c>
      <c r="Z1408" s="8">
        <f>_xlfn.XLOOKUP(CustomerCombined[[#This Row],[ID]], Table2[ID],Table2[MC2], "Not Found", 0 )</f>
        <v>0</v>
      </c>
      <c r="AA1408" s="8">
        <f>_xlfn.XLOOKUP(CustomerCombined[[#This Row],[ID]], Table2[ID],Table2[MC3], "Not Found", 0 )</f>
        <v>0</v>
      </c>
      <c r="AB1408" s="8">
        <f>_xlfn.XLOOKUP(CustomerCombined[[#This Row],[ID]], Table2[ID],Table2[MC4], "Not Found", 0 )</f>
        <v>1</v>
      </c>
      <c r="AC1408" s="8">
        <f>_xlfn.XLOOKUP(CustomerCombined[[#This Row],[ID]], Table2[ID],Table2[MC5], "Not Found", 0 )</f>
        <v>0</v>
      </c>
    </row>
    <row r="1409" spans="1:29" x14ac:dyDescent="0.3">
      <c r="A1409" s="6">
        <v>3103</v>
      </c>
      <c r="B1409" s="6">
        <v>158692</v>
      </c>
      <c r="C1409" s="6">
        <v>0</v>
      </c>
      <c r="D1409" s="6">
        <v>1</v>
      </c>
      <c r="E1409" s="6">
        <v>55</v>
      </c>
      <c r="F1409" s="5" t="s">
        <v>6</v>
      </c>
      <c r="G1409" s="5" t="s">
        <v>11</v>
      </c>
      <c r="H1409" s="3">
        <v>44113</v>
      </c>
      <c r="I1409" s="5" t="s">
        <v>437</v>
      </c>
      <c r="J1409" s="5">
        <f>_xlfn.XLOOKUP(CustomerCombined[[#This Row],[ID]], Table4[ID], Table4[Recency], "Not Found", 0)</f>
        <v>21</v>
      </c>
      <c r="K1409" s="5">
        <f>_xlfn.XLOOKUP(CustomerCombined[[#This Row],[ID]], Table4[ID], Table4[Teas], "Not Found", 0)</f>
        <v>814</v>
      </c>
      <c r="L1409" s="5">
        <f>_xlfn.XLOOKUP(CustomerCombined[[#This Row],[ID]], Table4[ID], Table4[Fruits], "Not Found", 0)</f>
        <v>30</v>
      </c>
      <c r="M1409" s="5">
        <f>_xlfn.XLOOKUP(CustomerCombined[[#This Row],[ID]], Table4[ID], Table4[Meats], "Not Found", 0)</f>
        <v>165</v>
      </c>
      <c r="N1409" s="5">
        <f>_xlfn.XLOOKUP(CustomerCombined[[#This Row],[ID]], Table4[ID], Table4[Seafood], "Not Found", 0)</f>
        <v>11</v>
      </c>
      <c r="O1409" s="5">
        <f>_xlfn.XLOOKUP(CustomerCombined[[#This Row],[ID]], Table4[ID], Table4[Sweets], "Not Found", 0)</f>
        <v>19</v>
      </c>
      <c r="P1409" s="5">
        <f>_xlfn.XLOOKUP(CustomerCombined[[#This Row],[ID]], Table4[ID], Table4[Premium], "Not Found", 0)</f>
        <v>30</v>
      </c>
      <c r="Q1409" s="5">
        <f>_xlfn.XLOOKUP(CustomerCombined[[#This Row],[ID]], Table4[ID], Table4[Regular], "Not Found", 0)</f>
        <v>1009</v>
      </c>
      <c r="R1409" s="5">
        <f>_xlfn.XLOOKUP(CustomerCombined[[#This Row],[ID]], Table4[ID], Table4[Deals], "Not Found", 0)</f>
        <v>1</v>
      </c>
      <c r="S1409" s="5">
        <f>_xlfn.XLOOKUP(CustomerCombined[[#This Row],[ID]], Table4[ID], Table4[Website], "Not Found", 0)</f>
        <v>8</v>
      </c>
      <c r="T1409" s="5">
        <f>_xlfn.XLOOKUP(CustomerCombined[[#This Row],[ID]], Table4[ID], Table4[Catalog], "Not Found", 0)</f>
        <v>2</v>
      </c>
      <c r="U1409" s="5">
        <f>_xlfn.XLOOKUP(CustomerCombined[[#This Row],[ID]], Table4[ID], Table4[Store], "Not Found", 0)</f>
        <v>4</v>
      </c>
      <c r="V1409" s="5">
        <f>_xlfn.XLOOKUP(CustomerCombined[[#This Row],[ID]], Table4[ID], Table4[Visits], "Not Found", 0)</f>
        <v>7</v>
      </c>
      <c r="W1409" s="8">
        <f>_xlfn.XLOOKUP(CustomerCombined[[#This Row],[ID]], Table2[ID],Table2[Complaint], "Not Found", 0 )</f>
        <v>0</v>
      </c>
      <c r="X1409" s="8">
        <f>_xlfn.XLOOKUP(CustomerCombined[[#This Row],[ID]], Table2[ID],Table2[Pilot], "Not Found", 0 )</f>
        <v>0</v>
      </c>
      <c r="Y1409" s="8">
        <f>_xlfn.XLOOKUP(CustomerCombined[[#This Row],[ID]], Table2[ID],Table2[MC1], "Not Found", 0 )</f>
        <v>0</v>
      </c>
      <c r="Z1409" s="8">
        <f>_xlfn.XLOOKUP(CustomerCombined[[#This Row],[ID]], Table2[ID],Table2[MC2], "Not Found", 0 )</f>
        <v>0</v>
      </c>
      <c r="AA1409" s="8">
        <f>_xlfn.XLOOKUP(CustomerCombined[[#This Row],[ID]], Table2[ID],Table2[MC3], "Not Found", 0 )</f>
        <v>0</v>
      </c>
      <c r="AB1409" s="8">
        <f>_xlfn.XLOOKUP(CustomerCombined[[#This Row],[ID]], Table2[ID],Table2[MC4], "Not Found", 0 )</f>
        <v>0</v>
      </c>
      <c r="AC1409" s="8">
        <f>_xlfn.XLOOKUP(CustomerCombined[[#This Row],[ID]], Table2[ID],Table2[MC5], "Not Found", 0 )</f>
        <v>0</v>
      </c>
    </row>
    <row r="1410" spans="1:29" x14ac:dyDescent="0.3">
      <c r="A1410" s="6">
        <v>1286</v>
      </c>
      <c r="B1410" s="6">
        <v>157912</v>
      </c>
      <c r="C1410" s="6">
        <v>0</v>
      </c>
      <c r="D1410" s="6">
        <v>1</v>
      </c>
      <c r="E1410" s="6">
        <v>55</v>
      </c>
      <c r="F1410" s="5" t="s">
        <v>5</v>
      </c>
      <c r="G1410" s="5" t="s">
        <v>13</v>
      </c>
      <c r="H1410" s="3" t="s">
        <v>84</v>
      </c>
      <c r="I1410" s="5" t="s">
        <v>438</v>
      </c>
      <c r="J1410" s="5">
        <f>_xlfn.XLOOKUP(CustomerCombined[[#This Row],[ID]], Table4[ID], Table4[Recency], "Not Found", 0)</f>
        <v>34</v>
      </c>
      <c r="K1410" s="5">
        <f>_xlfn.XLOOKUP(CustomerCombined[[#This Row],[ID]], Table4[ID], Table4[Teas], "Not Found", 0)</f>
        <v>2184</v>
      </c>
      <c r="L1410" s="5">
        <f>_xlfn.XLOOKUP(CustomerCombined[[#This Row],[ID]], Table4[ID], Table4[Fruits], "Not Found", 0)</f>
        <v>0</v>
      </c>
      <c r="M1410" s="5">
        <f>_xlfn.XLOOKUP(CustomerCombined[[#This Row],[ID]], Table4[ID], Table4[Meats], "Not Found", 0)</f>
        <v>218</v>
      </c>
      <c r="N1410" s="5">
        <f>_xlfn.XLOOKUP(CustomerCombined[[#This Row],[ID]], Table4[ID], Table4[Seafood], "Not Found", 0)</f>
        <v>0</v>
      </c>
      <c r="O1410" s="5">
        <f>_xlfn.XLOOKUP(CustomerCombined[[#This Row],[ID]], Table4[ID], Table4[Sweets], "Not Found", 0)</f>
        <v>0</v>
      </c>
      <c r="P1410" s="5">
        <f>_xlfn.XLOOKUP(CustomerCombined[[#This Row],[ID]], Table4[ID], Table4[Premium], "Not Found", 0)</f>
        <v>95</v>
      </c>
      <c r="Q1410" s="5">
        <f>_xlfn.XLOOKUP(CustomerCombined[[#This Row],[ID]], Table4[ID], Table4[Regular], "Not Found", 0)</f>
        <v>2307</v>
      </c>
      <c r="R1410" s="5">
        <f>_xlfn.XLOOKUP(CustomerCombined[[#This Row],[ID]], Table4[ID], Table4[Deals], "Not Found", 0)</f>
        <v>5</v>
      </c>
      <c r="S1410" s="5">
        <f>_xlfn.XLOOKUP(CustomerCombined[[#This Row],[ID]], Table4[ID], Table4[Website], "Not Found", 0)</f>
        <v>8</v>
      </c>
      <c r="T1410" s="5">
        <f>_xlfn.XLOOKUP(CustomerCombined[[#This Row],[ID]], Table4[ID], Table4[Catalog], "Not Found", 0)</f>
        <v>3</v>
      </c>
      <c r="U1410" s="5">
        <f>_xlfn.XLOOKUP(CustomerCombined[[#This Row],[ID]], Table4[ID], Table4[Store], "Not Found", 0)</f>
        <v>12</v>
      </c>
      <c r="V1410" s="5">
        <f>_xlfn.XLOOKUP(CustomerCombined[[#This Row],[ID]], Table4[ID], Table4[Visits], "Not Found", 0)</f>
        <v>5</v>
      </c>
      <c r="W1410" s="8">
        <f>_xlfn.XLOOKUP(CustomerCombined[[#This Row],[ID]], Table2[ID],Table2[Complaint], "Not Found", 0 )</f>
        <v>0</v>
      </c>
      <c r="X1410" s="8">
        <f>_xlfn.XLOOKUP(CustomerCombined[[#This Row],[ID]], Table2[ID],Table2[Pilot], "Not Found", 0 )</f>
        <v>0</v>
      </c>
      <c r="Y1410" s="8">
        <f>_xlfn.XLOOKUP(CustomerCombined[[#This Row],[ID]], Table2[ID],Table2[MC1], "Not Found", 0 )</f>
        <v>0</v>
      </c>
      <c r="Z1410" s="8">
        <f>_xlfn.XLOOKUP(CustomerCombined[[#This Row],[ID]], Table2[ID],Table2[MC2], "Not Found", 0 )</f>
        <v>0</v>
      </c>
      <c r="AA1410" s="8">
        <f>_xlfn.XLOOKUP(CustomerCombined[[#This Row],[ID]], Table2[ID],Table2[MC3], "Not Found", 0 )</f>
        <v>0</v>
      </c>
      <c r="AB1410" s="8">
        <f>_xlfn.XLOOKUP(CustomerCombined[[#This Row],[ID]], Table2[ID],Table2[MC4], "Not Found", 0 )</f>
        <v>1</v>
      </c>
      <c r="AC1410" s="8">
        <f>_xlfn.XLOOKUP(CustomerCombined[[#This Row],[ID]], Table2[ID],Table2[MC5], "Not Found", 0 )</f>
        <v>0</v>
      </c>
    </row>
    <row r="1411" spans="1:29" x14ac:dyDescent="0.3">
      <c r="A1411" s="6">
        <v>2075</v>
      </c>
      <c r="B1411" s="6">
        <v>157236</v>
      </c>
      <c r="C1411" s="6">
        <v>1</v>
      </c>
      <c r="D1411" s="6">
        <v>1</v>
      </c>
      <c r="E1411" s="6">
        <v>55</v>
      </c>
      <c r="F1411" s="5" t="s">
        <v>6</v>
      </c>
      <c r="G1411" s="5" t="s">
        <v>13</v>
      </c>
      <c r="H1411" s="3" t="s">
        <v>87</v>
      </c>
      <c r="I1411" s="5" t="s">
        <v>434</v>
      </c>
      <c r="J1411" s="5">
        <f>_xlfn.XLOOKUP(CustomerCombined[[#This Row],[ID]], Table4[ID], Table4[Recency], "Not Found", 0)</f>
        <v>22</v>
      </c>
      <c r="K1411" s="5">
        <f>_xlfn.XLOOKUP(CustomerCombined[[#This Row],[ID]], Table4[ID], Table4[Teas], "Not Found", 0)</f>
        <v>288</v>
      </c>
      <c r="L1411" s="5">
        <f>_xlfn.XLOOKUP(CustomerCombined[[#This Row],[ID]], Table4[ID], Table4[Fruits], "Not Found", 0)</f>
        <v>0</v>
      </c>
      <c r="M1411" s="5">
        <f>_xlfn.XLOOKUP(CustomerCombined[[#This Row],[ID]], Table4[ID], Table4[Meats], "Not Found", 0)</f>
        <v>25</v>
      </c>
      <c r="N1411" s="5">
        <f>_xlfn.XLOOKUP(CustomerCombined[[#This Row],[ID]], Table4[ID], Table4[Seafood], "Not Found", 0)</f>
        <v>5</v>
      </c>
      <c r="O1411" s="5">
        <f>_xlfn.XLOOKUP(CustomerCombined[[#This Row],[ID]], Table4[ID], Table4[Sweets], "Not Found", 0)</f>
        <v>3</v>
      </c>
      <c r="P1411" s="5">
        <f>_xlfn.XLOOKUP(CustomerCombined[[#This Row],[ID]], Table4[ID], Table4[Premium], "Not Found", 0)</f>
        <v>11</v>
      </c>
      <c r="Q1411" s="5">
        <f>_xlfn.XLOOKUP(CustomerCombined[[#This Row],[ID]], Table4[ID], Table4[Regular], "Not Found", 0)</f>
        <v>310</v>
      </c>
      <c r="R1411" s="5">
        <f>_xlfn.XLOOKUP(CustomerCombined[[#This Row],[ID]], Table4[ID], Table4[Deals], "Not Found", 0)</f>
        <v>3</v>
      </c>
      <c r="S1411" s="5">
        <f>_xlfn.XLOOKUP(CustomerCombined[[#This Row],[ID]], Table4[ID], Table4[Website], "Not Found", 0)</f>
        <v>2</v>
      </c>
      <c r="T1411" s="5">
        <f>_xlfn.XLOOKUP(CustomerCombined[[#This Row],[ID]], Table4[ID], Table4[Catalog], "Not Found", 0)</f>
        <v>1</v>
      </c>
      <c r="U1411" s="5">
        <f>_xlfn.XLOOKUP(CustomerCombined[[#This Row],[ID]], Table4[ID], Table4[Store], "Not Found", 0)</f>
        <v>4</v>
      </c>
      <c r="V1411" s="5">
        <f>_xlfn.XLOOKUP(CustomerCombined[[#This Row],[ID]], Table4[ID], Table4[Visits], "Not Found", 0)</f>
        <v>3</v>
      </c>
      <c r="W1411" s="8">
        <f>_xlfn.XLOOKUP(CustomerCombined[[#This Row],[ID]], Table2[ID],Table2[Complaint], "Not Found", 0 )</f>
        <v>0</v>
      </c>
      <c r="X1411" s="8">
        <f>_xlfn.XLOOKUP(CustomerCombined[[#This Row],[ID]], Table2[ID],Table2[Pilot], "Not Found", 0 )</f>
        <v>0</v>
      </c>
      <c r="Y1411" s="8">
        <f>_xlfn.XLOOKUP(CustomerCombined[[#This Row],[ID]], Table2[ID],Table2[MC1], "Not Found", 0 )</f>
        <v>0</v>
      </c>
      <c r="Z1411" s="8">
        <f>_xlfn.XLOOKUP(CustomerCombined[[#This Row],[ID]], Table2[ID],Table2[MC2], "Not Found", 0 )</f>
        <v>0</v>
      </c>
      <c r="AA1411" s="8">
        <f>_xlfn.XLOOKUP(CustomerCombined[[#This Row],[ID]], Table2[ID],Table2[MC3], "Not Found", 0 )</f>
        <v>0</v>
      </c>
      <c r="AB1411" s="8">
        <f>_xlfn.XLOOKUP(CustomerCombined[[#This Row],[ID]], Table2[ID],Table2[MC4], "Not Found", 0 )</f>
        <v>0</v>
      </c>
      <c r="AC1411" s="8">
        <f>_xlfn.XLOOKUP(CustomerCombined[[#This Row],[ID]], Table2[ID],Table2[MC5], "Not Found", 0 )</f>
        <v>0</v>
      </c>
    </row>
    <row r="1412" spans="1:29" x14ac:dyDescent="0.3">
      <c r="A1412" s="6">
        <v>1709</v>
      </c>
      <c r="B1412" s="6">
        <v>156962</v>
      </c>
      <c r="C1412" s="6">
        <v>2</v>
      </c>
      <c r="D1412" s="6">
        <v>1</v>
      </c>
      <c r="E1412" s="6">
        <v>55</v>
      </c>
      <c r="F1412" s="5" t="s">
        <v>6</v>
      </c>
      <c r="G1412" s="5" t="s">
        <v>12</v>
      </c>
      <c r="H1412" s="3" t="s">
        <v>171</v>
      </c>
      <c r="I1412" s="5" t="s">
        <v>434</v>
      </c>
      <c r="J1412" s="5">
        <f>_xlfn.XLOOKUP(CustomerCombined[[#This Row],[ID]], Table4[ID], Table4[Recency], "Not Found", 0)</f>
        <v>60</v>
      </c>
      <c r="K1412" s="5">
        <f>_xlfn.XLOOKUP(CustomerCombined[[#This Row],[ID]], Table4[ID], Table4[Teas], "Not Found", 0)</f>
        <v>805</v>
      </c>
      <c r="L1412" s="5">
        <f>_xlfn.XLOOKUP(CustomerCombined[[#This Row],[ID]], Table4[ID], Table4[Fruits], "Not Found", 0)</f>
        <v>8</v>
      </c>
      <c r="M1412" s="5">
        <f>_xlfn.XLOOKUP(CustomerCombined[[#This Row],[ID]], Table4[ID], Table4[Meats], "Not Found", 0)</f>
        <v>212</v>
      </c>
      <c r="N1412" s="5">
        <f>_xlfn.XLOOKUP(CustomerCombined[[#This Row],[ID]], Table4[ID], Table4[Seafood], "Not Found", 0)</f>
        <v>28</v>
      </c>
      <c r="O1412" s="5">
        <f>_xlfn.XLOOKUP(CustomerCombined[[#This Row],[ID]], Table4[ID], Table4[Sweets], "Not Found", 0)</f>
        <v>8</v>
      </c>
      <c r="P1412" s="5">
        <f>_xlfn.XLOOKUP(CustomerCombined[[#This Row],[ID]], Table4[ID], Table4[Premium], "Not Found", 0)</f>
        <v>72</v>
      </c>
      <c r="Q1412" s="5">
        <f>_xlfn.XLOOKUP(CustomerCombined[[#This Row],[ID]], Table4[ID], Table4[Regular], "Not Found", 0)</f>
        <v>989</v>
      </c>
      <c r="R1412" s="5">
        <f>_xlfn.XLOOKUP(CustomerCombined[[#This Row],[ID]], Table4[ID], Table4[Deals], "Not Found", 0)</f>
        <v>7</v>
      </c>
      <c r="S1412" s="5">
        <f>_xlfn.XLOOKUP(CustomerCombined[[#This Row],[ID]], Table4[ID], Table4[Website], "Not Found", 0)</f>
        <v>6</v>
      </c>
      <c r="T1412" s="5">
        <f>_xlfn.XLOOKUP(CustomerCombined[[#This Row],[ID]], Table4[ID], Table4[Catalog], "Not Found", 0)</f>
        <v>3</v>
      </c>
      <c r="U1412" s="5">
        <f>_xlfn.XLOOKUP(CustomerCombined[[#This Row],[ID]], Table4[ID], Table4[Store], "Not Found", 0)</f>
        <v>5</v>
      </c>
      <c r="V1412" s="5">
        <f>_xlfn.XLOOKUP(CustomerCombined[[#This Row],[ID]], Table4[ID], Table4[Visits], "Not Found", 0)</f>
        <v>7</v>
      </c>
      <c r="W1412" s="8">
        <f>_xlfn.XLOOKUP(CustomerCombined[[#This Row],[ID]], Table2[ID],Table2[Complaint], "Not Found", 0 )</f>
        <v>0</v>
      </c>
      <c r="X1412" s="8">
        <f>_xlfn.XLOOKUP(CustomerCombined[[#This Row],[ID]], Table2[ID],Table2[Pilot], "Not Found", 0 )</f>
        <v>0</v>
      </c>
      <c r="Y1412" s="8">
        <f>_xlfn.XLOOKUP(CustomerCombined[[#This Row],[ID]], Table2[ID],Table2[MC1], "Not Found", 0 )</f>
        <v>0</v>
      </c>
      <c r="Z1412" s="8">
        <f>_xlfn.XLOOKUP(CustomerCombined[[#This Row],[ID]], Table2[ID],Table2[MC2], "Not Found", 0 )</f>
        <v>0</v>
      </c>
      <c r="AA1412" s="8">
        <f>_xlfn.XLOOKUP(CustomerCombined[[#This Row],[ID]], Table2[ID],Table2[MC3], "Not Found", 0 )</f>
        <v>0</v>
      </c>
      <c r="AB1412" s="8">
        <f>_xlfn.XLOOKUP(CustomerCombined[[#This Row],[ID]], Table2[ID],Table2[MC4], "Not Found", 0 )</f>
        <v>0</v>
      </c>
      <c r="AC1412" s="8">
        <f>_xlfn.XLOOKUP(CustomerCombined[[#This Row],[ID]], Table2[ID],Table2[MC5], "Not Found", 0 )</f>
        <v>0</v>
      </c>
    </row>
    <row r="1413" spans="1:29" x14ac:dyDescent="0.3">
      <c r="A1413" s="6">
        <v>1958</v>
      </c>
      <c r="B1413" s="6">
        <v>156962</v>
      </c>
      <c r="C1413" s="6">
        <v>2</v>
      </c>
      <c r="D1413" s="6">
        <v>1</v>
      </c>
      <c r="E1413" s="6">
        <v>55</v>
      </c>
      <c r="F1413" s="5" t="s">
        <v>6</v>
      </c>
      <c r="G1413" s="5" t="s">
        <v>12</v>
      </c>
      <c r="H1413" s="3" t="s">
        <v>171</v>
      </c>
      <c r="I1413" s="5" t="s">
        <v>438</v>
      </c>
      <c r="J1413" s="5">
        <f>_xlfn.XLOOKUP(CustomerCombined[[#This Row],[ID]], Table4[ID], Table4[Recency], "Not Found", 0)</f>
        <v>60</v>
      </c>
      <c r="K1413" s="5">
        <f>_xlfn.XLOOKUP(CustomerCombined[[#This Row],[ID]], Table4[ID], Table4[Teas], "Not Found", 0)</f>
        <v>805</v>
      </c>
      <c r="L1413" s="5">
        <f>_xlfn.XLOOKUP(CustomerCombined[[#This Row],[ID]], Table4[ID], Table4[Fruits], "Not Found", 0)</f>
        <v>8</v>
      </c>
      <c r="M1413" s="5">
        <f>_xlfn.XLOOKUP(CustomerCombined[[#This Row],[ID]], Table4[ID], Table4[Meats], "Not Found", 0)</f>
        <v>212</v>
      </c>
      <c r="N1413" s="5">
        <f>_xlfn.XLOOKUP(CustomerCombined[[#This Row],[ID]], Table4[ID], Table4[Seafood], "Not Found", 0)</f>
        <v>28</v>
      </c>
      <c r="O1413" s="5">
        <f>_xlfn.XLOOKUP(CustomerCombined[[#This Row],[ID]], Table4[ID], Table4[Sweets], "Not Found", 0)</f>
        <v>8</v>
      </c>
      <c r="P1413" s="5">
        <f>_xlfn.XLOOKUP(CustomerCombined[[#This Row],[ID]], Table4[ID], Table4[Premium], "Not Found", 0)</f>
        <v>72</v>
      </c>
      <c r="Q1413" s="5">
        <f>_xlfn.XLOOKUP(CustomerCombined[[#This Row],[ID]], Table4[ID], Table4[Regular], "Not Found", 0)</f>
        <v>989</v>
      </c>
      <c r="R1413" s="5">
        <f>_xlfn.XLOOKUP(CustomerCombined[[#This Row],[ID]], Table4[ID], Table4[Deals], "Not Found", 0)</f>
        <v>7</v>
      </c>
      <c r="S1413" s="5">
        <f>_xlfn.XLOOKUP(CustomerCombined[[#This Row],[ID]], Table4[ID], Table4[Website], "Not Found", 0)</f>
        <v>6</v>
      </c>
      <c r="T1413" s="5">
        <f>_xlfn.XLOOKUP(CustomerCombined[[#This Row],[ID]], Table4[ID], Table4[Catalog], "Not Found", 0)</f>
        <v>3</v>
      </c>
      <c r="U1413" s="5">
        <f>_xlfn.XLOOKUP(CustomerCombined[[#This Row],[ID]], Table4[ID], Table4[Store], "Not Found", 0)</f>
        <v>5</v>
      </c>
      <c r="V1413" s="5">
        <f>_xlfn.XLOOKUP(CustomerCombined[[#This Row],[ID]], Table4[ID], Table4[Visits], "Not Found", 0)</f>
        <v>7</v>
      </c>
      <c r="W1413" s="8">
        <f>_xlfn.XLOOKUP(CustomerCombined[[#This Row],[ID]], Table2[ID],Table2[Complaint], "Not Found", 0 )</f>
        <v>0</v>
      </c>
      <c r="X1413" s="8">
        <f>_xlfn.XLOOKUP(CustomerCombined[[#This Row],[ID]], Table2[ID],Table2[Pilot], "Not Found", 0 )</f>
        <v>0</v>
      </c>
      <c r="Y1413" s="8">
        <f>_xlfn.XLOOKUP(CustomerCombined[[#This Row],[ID]], Table2[ID],Table2[MC1], "Not Found", 0 )</f>
        <v>0</v>
      </c>
      <c r="Z1413" s="8">
        <f>_xlfn.XLOOKUP(CustomerCombined[[#This Row],[ID]], Table2[ID],Table2[MC2], "Not Found", 0 )</f>
        <v>0</v>
      </c>
      <c r="AA1413" s="8">
        <f>_xlfn.XLOOKUP(CustomerCombined[[#This Row],[ID]], Table2[ID],Table2[MC3], "Not Found", 0 )</f>
        <v>0</v>
      </c>
      <c r="AB1413" s="8">
        <f>_xlfn.XLOOKUP(CustomerCombined[[#This Row],[ID]], Table2[ID],Table2[MC4], "Not Found", 0 )</f>
        <v>0</v>
      </c>
      <c r="AC1413" s="8">
        <f>_xlfn.XLOOKUP(CustomerCombined[[#This Row],[ID]], Table2[ID],Table2[MC5], "Not Found", 0 )</f>
        <v>0</v>
      </c>
    </row>
    <row r="1414" spans="1:29" x14ac:dyDescent="0.3">
      <c r="A1414" s="6">
        <v>1074</v>
      </c>
      <c r="B1414" s="6">
        <v>156046</v>
      </c>
      <c r="C1414" s="6">
        <v>0</v>
      </c>
      <c r="D1414" s="6">
        <v>0</v>
      </c>
      <c r="E1414" s="6">
        <v>55</v>
      </c>
      <c r="F1414" s="5" t="s">
        <v>8</v>
      </c>
      <c r="G1414" s="5" t="s">
        <v>11</v>
      </c>
      <c r="H1414" s="3">
        <v>43714</v>
      </c>
      <c r="I1414" s="5" t="s">
        <v>436</v>
      </c>
      <c r="J1414" s="5">
        <f>_xlfn.XLOOKUP(CustomerCombined[[#This Row],[ID]], Table4[ID], Table4[Recency], "Not Found", 0)</f>
        <v>9</v>
      </c>
      <c r="K1414" s="5">
        <f>_xlfn.XLOOKUP(CustomerCombined[[#This Row],[ID]], Table4[ID], Table4[Teas], "Not Found", 0)</f>
        <v>1607</v>
      </c>
      <c r="L1414" s="5">
        <f>_xlfn.XLOOKUP(CustomerCombined[[#This Row],[ID]], Table4[ID], Table4[Fruits], "Not Found", 0)</f>
        <v>0</v>
      </c>
      <c r="M1414" s="5">
        <f>_xlfn.XLOOKUP(CustomerCombined[[#This Row],[ID]], Table4[ID], Table4[Meats], "Not Found", 0)</f>
        <v>178</v>
      </c>
      <c r="N1414" s="5">
        <f>_xlfn.XLOOKUP(CustomerCombined[[#This Row],[ID]], Table4[ID], Table4[Seafood], "Not Found", 0)</f>
        <v>0</v>
      </c>
      <c r="O1414" s="5">
        <f>_xlfn.XLOOKUP(CustomerCombined[[#This Row],[ID]], Table4[ID], Table4[Sweets], "Not Found", 0)</f>
        <v>0</v>
      </c>
      <c r="P1414" s="5">
        <f>_xlfn.XLOOKUP(CustomerCombined[[#This Row],[ID]], Table4[ID], Table4[Premium], "Not Found", 0)</f>
        <v>142</v>
      </c>
      <c r="Q1414" s="5">
        <f>_xlfn.XLOOKUP(CustomerCombined[[#This Row],[ID]], Table4[ID], Table4[Regular], "Not Found", 0)</f>
        <v>1643</v>
      </c>
      <c r="R1414" s="5">
        <f>_xlfn.XLOOKUP(CustomerCombined[[#This Row],[ID]], Table4[ID], Table4[Deals], "Not Found", 0)</f>
        <v>2</v>
      </c>
      <c r="S1414" s="5">
        <f>_xlfn.XLOOKUP(CustomerCombined[[#This Row],[ID]], Table4[ID], Table4[Website], "Not Found", 0)</f>
        <v>10</v>
      </c>
      <c r="T1414" s="5">
        <f>_xlfn.XLOOKUP(CustomerCombined[[#This Row],[ID]], Table4[ID], Table4[Catalog], "Not Found", 0)</f>
        <v>1</v>
      </c>
      <c r="U1414" s="5">
        <f>_xlfn.XLOOKUP(CustomerCombined[[#This Row],[ID]], Table4[ID], Table4[Store], "Not Found", 0)</f>
        <v>8</v>
      </c>
      <c r="V1414" s="5">
        <f>_xlfn.XLOOKUP(CustomerCombined[[#This Row],[ID]], Table4[ID], Table4[Visits], "Not Found", 0)</f>
        <v>8</v>
      </c>
      <c r="W1414" s="8">
        <f>_xlfn.XLOOKUP(CustomerCombined[[#This Row],[ID]], Table2[ID],Table2[Complaint], "Not Found", 0 )</f>
        <v>0</v>
      </c>
      <c r="X1414" s="8">
        <f>_xlfn.XLOOKUP(CustomerCombined[[#This Row],[ID]], Table2[ID],Table2[Pilot], "Not Found", 0 )</f>
        <v>1</v>
      </c>
      <c r="Y1414" s="8">
        <f>_xlfn.XLOOKUP(CustomerCombined[[#This Row],[ID]], Table2[ID],Table2[MC1], "Not Found", 0 )</f>
        <v>0</v>
      </c>
      <c r="Z1414" s="8">
        <f>_xlfn.XLOOKUP(CustomerCombined[[#This Row],[ID]], Table2[ID],Table2[MC2], "Not Found", 0 )</f>
        <v>0</v>
      </c>
      <c r="AA1414" s="8">
        <f>_xlfn.XLOOKUP(CustomerCombined[[#This Row],[ID]], Table2[ID],Table2[MC3], "Not Found", 0 )</f>
        <v>1</v>
      </c>
      <c r="AB1414" s="8">
        <f>_xlfn.XLOOKUP(CustomerCombined[[#This Row],[ID]], Table2[ID],Table2[MC4], "Not Found", 0 )</f>
        <v>0</v>
      </c>
      <c r="AC1414" s="8">
        <f>_xlfn.XLOOKUP(CustomerCombined[[#This Row],[ID]], Table2[ID],Table2[MC5], "Not Found", 0 )</f>
        <v>0</v>
      </c>
    </row>
    <row r="1415" spans="1:29" x14ac:dyDescent="0.3">
      <c r="A1415" s="6">
        <v>1692</v>
      </c>
      <c r="B1415" s="6">
        <v>155250</v>
      </c>
      <c r="C1415" s="6">
        <v>0</v>
      </c>
      <c r="D1415" s="6">
        <v>1</v>
      </c>
      <c r="E1415" s="6">
        <v>55</v>
      </c>
      <c r="F1415" s="5" t="s">
        <v>7</v>
      </c>
      <c r="G1415" s="5" t="s">
        <v>12</v>
      </c>
      <c r="H1415" s="3" t="s">
        <v>373</v>
      </c>
      <c r="I1415" s="5" t="s">
        <v>436</v>
      </c>
      <c r="J1415" s="5">
        <f>_xlfn.XLOOKUP(CustomerCombined[[#This Row],[ID]], Table4[ID], Table4[Recency], "Not Found", 0)</f>
        <v>49</v>
      </c>
      <c r="K1415" s="5">
        <f>_xlfn.XLOOKUP(CustomerCombined[[#This Row],[ID]], Table4[ID], Table4[Teas], "Not Found", 0)</f>
        <v>1866</v>
      </c>
      <c r="L1415" s="5">
        <f>_xlfn.XLOOKUP(CustomerCombined[[#This Row],[ID]], Table4[ID], Table4[Fruits], "Not Found", 0)</f>
        <v>163</v>
      </c>
      <c r="M1415" s="5">
        <f>_xlfn.XLOOKUP(CustomerCombined[[#This Row],[ID]], Table4[ID], Table4[Meats], "Not Found", 0)</f>
        <v>233</v>
      </c>
      <c r="N1415" s="5">
        <f>_xlfn.XLOOKUP(CustomerCombined[[#This Row],[ID]], Table4[ID], Table4[Seafood], "Not Found", 0)</f>
        <v>90</v>
      </c>
      <c r="O1415" s="5">
        <f>_xlfn.XLOOKUP(CustomerCombined[[#This Row],[ID]], Table4[ID], Table4[Sweets], "Not Found", 0)</f>
        <v>0</v>
      </c>
      <c r="P1415" s="5">
        <f>_xlfn.XLOOKUP(CustomerCombined[[#This Row],[ID]], Table4[ID], Table4[Premium], "Not Found", 0)</f>
        <v>185</v>
      </c>
      <c r="Q1415" s="5">
        <f>_xlfn.XLOOKUP(CustomerCombined[[#This Row],[ID]], Table4[ID], Table4[Regular], "Not Found", 0)</f>
        <v>2166</v>
      </c>
      <c r="R1415" s="5">
        <f>_xlfn.XLOOKUP(CustomerCombined[[#This Row],[ID]], Table4[ID], Table4[Deals], "Not Found", 0)</f>
        <v>4</v>
      </c>
      <c r="S1415" s="5">
        <f>_xlfn.XLOOKUP(CustomerCombined[[#This Row],[ID]], Table4[ID], Table4[Website], "Not Found", 0)</f>
        <v>7</v>
      </c>
      <c r="T1415" s="5">
        <f>_xlfn.XLOOKUP(CustomerCombined[[#This Row],[ID]], Table4[ID], Table4[Catalog], "Not Found", 0)</f>
        <v>5</v>
      </c>
      <c r="U1415" s="5">
        <f>_xlfn.XLOOKUP(CustomerCombined[[#This Row],[ID]], Table4[ID], Table4[Store], "Not Found", 0)</f>
        <v>10</v>
      </c>
      <c r="V1415" s="5">
        <f>_xlfn.XLOOKUP(CustomerCombined[[#This Row],[ID]], Table4[ID], Table4[Visits], "Not Found", 0)</f>
        <v>5</v>
      </c>
      <c r="W1415" s="8">
        <f>_xlfn.XLOOKUP(CustomerCombined[[#This Row],[ID]], Table2[ID],Table2[Complaint], "Not Found", 0 )</f>
        <v>0</v>
      </c>
      <c r="X1415" s="8">
        <f>_xlfn.XLOOKUP(CustomerCombined[[#This Row],[ID]], Table2[ID],Table2[Pilot], "Not Found", 0 )</f>
        <v>0</v>
      </c>
      <c r="Y1415" s="8">
        <f>_xlfn.XLOOKUP(CustomerCombined[[#This Row],[ID]], Table2[ID],Table2[MC1], "Not Found", 0 )</f>
        <v>0</v>
      </c>
      <c r="Z1415" s="8">
        <f>_xlfn.XLOOKUP(CustomerCombined[[#This Row],[ID]], Table2[ID],Table2[MC2], "Not Found", 0 )</f>
        <v>0</v>
      </c>
      <c r="AA1415" s="8">
        <f>_xlfn.XLOOKUP(CustomerCombined[[#This Row],[ID]], Table2[ID],Table2[MC3], "Not Found", 0 )</f>
        <v>0</v>
      </c>
      <c r="AB1415" s="8">
        <f>_xlfn.XLOOKUP(CustomerCombined[[#This Row],[ID]], Table2[ID],Table2[MC4], "Not Found", 0 )</f>
        <v>0</v>
      </c>
      <c r="AC1415" s="8">
        <f>_xlfn.XLOOKUP(CustomerCombined[[#This Row],[ID]], Table2[ID],Table2[MC5], "Not Found", 0 )</f>
        <v>0</v>
      </c>
    </row>
    <row r="1416" spans="1:29" x14ac:dyDescent="0.3">
      <c r="A1416" s="6">
        <v>2801</v>
      </c>
      <c r="B1416" s="6">
        <v>154111</v>
      </c>
      <c r="C1416" s="6">
        <v>0</v>
      </c>
      <c r="D1416" s="6">
        <v>1</v>
      </c>
      <c r="E1416" s="6">
        <v>55</v>
      </c>
      <c r="F1416" s="5" t="s">
        <v>9</v>
      </c>
      <c r="G1416" s="5" t="s">
        <v>13</v>
      </c>
      <c r="H1416" s="3" t="s">
        <v>192</v>
      </c>
      <c r="I1416" s="5" t="s">
        <v>434</v>
      </c>
      <c r="J1416" s="5">
        <f>_xlfn.XLOOKUP(CustomerCombined[[#This Row],[ID]], Table4[ID], Table4[Recency], "Not Found", 0)</f>
        <v>97</v>
      </c>
      <c r="K1416" s="5">
        <f>_xlfn.XLOOKUP(CustomerCombined[[#This Row],[ID]], Table4[ID], Table4[Teas], "Not Found", 0)</f>
        <v>760</v>
      </c>
      <c r="L1416" s="5">
        <f>_xlfn.XLOOKUP(CustomerCombined[[#This Row],[ID]], Table4[ID], Table4[Fruits], "Not Found", 0)</f>
        <v>17</v>
      </c>
      <c r="M1416" s="5">
        <f>_xlfn.XLOOKUP(CustomerCombined[[#This Row],[ID]], Table4[ID], Table4[Meats], "Not Found", 0)</f>
        <v>154</v>
      </c>
      <c r="N1416" s="5">
        <f>_xlfn.XLOOKUP(CustomerCombined[[#This Row],[ID]], Table4[ID], Table4[Seafood], "Not Found", 0)</f>
        <v>23</v>
      </c>
      <c r="O1416" s="5">
        <f>_xlfn.XLOOKUP(CustomerCombined[[#This Row],[ID]], Table4[ID], Table4[Sweets], "Not Found", 0)</f>
        <v>9</v>
      </c>
      <c r="P1416" s="5">
        <f>_xlfn.XLOOKUP(CustomerCombined[[#This Row],[ID]], Table4[ID], Table4[Premium], "Not Found", 0)</f>
        <v>142</v>
      </c>
      <c r="Q1416" s="5">
        <f>_xlfn.XLOOKUP(CustomerCombined[[#This Row],[ID]], Table4[ID], Table4[Regular], "Not Found", 0)</f>
        <v>820</v>
      </c>
      <c r="R1416" s="5">
        <f>_xlfn.XLOOKUP(CustomerCombined[[#This Row],[ID]], Table4[ID], Table4[Deals], "Not Found", 0)</f>
        <v>2</v>
      </c>
      <c r="S1416" s="5">
        <f>_xlfn.XLOOKUP(CustomerCombined[[#This Row],[ID]], Table4[ID], Table4[Website], "Not Found", 0)</f>
        <v>5</v>
      </c>
      <c r="T1416" s="5">
        <f>_xlfn.XLOOKUP(CustomerCombined[[#This Row],[ID]], Table4[ID], Table4[Catalog], "Not Found", 0)</f>
        <v>2</v>
      </c>
      <c r="U1416" s="5">
        <f>_xlfn.XLOOKUP(CustomerCombined[[#This Row],[ID]], Table4[ID], Table4[Store], "Not Found", 0)</f>
        <v>6</v>
      </c>
      <c r="V1416" s="5">
        <f>_xlfn.XLOOKUP(CustomerCombined[[#This Row],[ID]], Table4[ID], Table4[Visits], "Not Found", 0)</f>
        <v>5</v>
      </c>
      <c r="W1416" s="8">
        <f>_xlfn.XLOOKUP(CustomerCombined[[#This Row],[ID]], Table2[ID],Table2[Complaint], "Not Found", 0 )</f>
        <v>0</v>
      </c>
      <c r="X1416" s="8">
        <f>_xlfn.XLOOKUP(CustomerCombined[[#This Row],[ID]], Table2[ID],Table2[Pilot], "Not Found", 0 )</f>
        <v>0</v>
      </c>
      <c r="Y1416" s="8">
        <f>_xlfn.XLOOKUP(CustomerCombined[[#This Row],[ID]], Table2[ID],Table2[MC1], "Not Found", 0 )</f>
        <v>0</v>
      </c>
      <c r="Z1416" s="8">
        <f>_xlfn.XLOOKUP(CustomerCombined[[#This Row],[ID]], Table2[ID],Table2[MC2], "Not Found", 0 )</f>
        <v>0</v>
      </c>
      <c r="AA1416" s="8">
        <f>_xlfn.XLOOKUP(CustomerCombined[[#This Row],[ID]], Table2[ID],Table2[MC3], "Not Found", 0 )</f>
        <v>0</v>
      </c>
      <c r="AB1416" s="8">
        <f>_xlfn.XLOOKUP(CustomerCombined[[#This Row],[ID]], Table2[ID],Table2[MC4], "Not Found", 0 )</f>
        <v>0</v>
      </c>
      <c r="AC1416" s="8">
        <f>_xlfn.XLOOKUP(CustomerCombined[[#This Row],[ID]], Table2[ID],Table2[MC5], "Not Found", 0 )</f>
        <v>0</v>
      </c>
    </row>
    <row r="1417" spans="1:29" x14ac:dyDescent="0.3">
      <c r="A1417" s="6">
        <v>2576</v>
      </c>
      <c r="B1417" s="6">
        <v>153843</v>
      </c>
      <c r="C1417" s="6">
        <v>0</v>
      </c>
      <c r="D1417" s="6">
        <v>1</v>
      </c>
      <c r="E1417" s="6">
        <v>55</v>
      </c>
      <c r="F1417" s="5" t="s">
        <v>6</v>
      </c>
      <c r="G1417" s="5" t="s">
        <v>12</v>
      </c>
      <c r="H1417" s="3">
        <v>43508</v>
      </c>
      <c r="I1417" s="5" t="s">
        <v>438</v>
      </c>
      <c r="J1417" s="5">
        <f>_xlfn.XLOOKUP(CustomerCombined[[#This Row],[ID]], Table4[ID], Table4[Recency], "Not Found", 0)</f>
        <v>64</v>
      </c>
      <c r="K1417" s="5">
        <f>_xlfn.XLOOKUP(CustomerCombined[[#This Row],[ID]], Table4[ID], Table4[Teas], "Not Found", 0)</f>
        <v>1080</v>
      </c>
      <c r="L1417" s="5">
        <f>_xlfn.XLOOKUP(CustomerCombined[[#This Row],[ID]], Table4[ID], Table4[Fruits], "Not Found", 0)</f>
        <v>0</v>
      </c>
      <c r="M1417" s="5">
        <f>_xlfn.XLOOKUP(CustomerCombined[[#This Row],[ID]], Table4[ID], Table4[Meats], "Not Found", 0)</f>
        <v>251</v>
      </c>
      <c r="N1417" s="5">
        <f>_xlfn.XLOOKUP(CustomerCombined[[#This Row],[ID]], Table4[ID], Table4[Seafood], "Not Found", 0)</f>
        <v>54</v>
      </c>
      <c r="O1417" s="5">
        <f>_xlfn.XLOOKUP(CustomerCombined[[#This Row],[ID]], Table4[ID], Table4[Sweets], "Not Found", 0)</f>
        <v>11</v>
      </c>
      <c r="P1417" s="5">
        <f>_xlfn.XLOOKUP(CustomerCombined[[#This Row],[ID]], Table4[ID], Table4[Premium], "Not Found", 0)</f>
        <v>209</v>
      </c>
      <c r="Q1417" s="5">
        <f>_xlfn.XLOOKUP(CustomerCombined[[#This Row],[ID]], Table4[ID], Table4[Regular], "Not Found", 0)</f>
        <v>1189</v>
      </c>
      <c r="R1417" s="5">
        <f>_xlfn.XLOOKUP(CustomerCombined[[#This Row],[ID]], Table4[ID], Table4[Deals], "Not Found", 0)</f>
        <v>4</v>
      </c>
      <c r="S1417" s="5">
        <f>_xlfn.XLOOKUP(CustomerCombined[[#This Row],[ID]], Table4[ID], Table4[Website], "Not Found", 0)</f>
        <v>8</v>
      </c>
      <c r="T1417" s="5">
        <f>_xlfn.XLOOKUP(CustomerCombined[[#This Row],[ID]], Table4[ID], Table4[Catalog], "Not Found", 0)</f>
        <v>5</v>
      </c>
      <c r="U1417" s="5">
        <f>_xlfn.XLOOKUP(CustomerCombined[[#This Row],[ID]], Table4[ID], Table4[Store], "Not Found", 0)</f>
        <v>3</v>
      </c>
      <c r="V1417" s="5">
        <f>_xlfn.XLOOKUP(CustomerCombined[[#This Row],[ID]], Table4[ID], Table4[Visits], "Not Found", 0)</f>
        <v>7</v>
      </c>
      <c r="W1417" s="8">
        <f>_xlfn.XLOOKUP(CustomerCombined[[#This Row],[ID]], Table2[ID],Table2[Complaint], "Not Found", 0 )</f>
        <v>0</v>
      </c>
      <c r="X1417" s="8">
        <f>_xlfn.XLOOKUP(CustomerCombined[[#This Row],[ID]], Table2[ID],Table2[Pilot], "Not Found", 0 )</f>
        <v>0</v>
      </c>
      <c r="Y1417" s="8">
        <f>_xlfn.XLOOKUP(CustomerCombined[[#This Row],[ID]], Table2[ID],Table2[MC1], "Not Found", 0 )</f>
        <v>0</v>
      </c>
      <c r="Z1417" s="8">
        <f>_xlfn.XLOOKUP(CustomerCombined[[#This Row],[ID]], Table2[ID],Table2[MC2], "Not Found", 0 )</f>
        <v>0</v>
      </c>
      <c r="AA1417" s="8">
        <f>_xlfn.XLOOKUP(CustomerCombined[[#This Row],[ID]], Table2[ID],Table2[MC3], "Not Found", 0 )</f>
        <v>0</v>
      </c>
      <c r="AB1417" s="8">
        <f>_xlfn.XLOOKUP(CustomerCombined[[#This Row],[ID]], Table2[ID],Table2[MC4], "Not Found", 0 )</f>
        <v>0</v>
      </c>
      <c r="AC1417" s="8">
        <f>_xlfn.XLOOKUP(CustomerCombined[[#This Row],[ID]], Table2[ID],Table2[MC5], "Not Found", 0 )</f>
        <v>0</v>
      </c>
    </row>
    <row r="1418" spans="1:29" x14ac:dyDescent="0.3">
      <c r="A1418" s="6">
        <v>2682</v>
      </c>
      <c r="B1418" s="6">
        <v>152117</v>
      </c>
      <c r="C1418" s="6">
        <v>0</v>
      </c>
      <c r="D1418" s="6">
        <v>1</v>
      </c>
      <c r="E1418" s="6">
        <v>55</v>
      </c>
      <c r="F1418" s="5" t="s">
        <v>8</v>
      </c>
      <c r="G1418" s="5" t="s">
        <v>11</v>
      </c>
      <c r="H1418" s="3" t="s">
        <v>412</v>
      </c>
      <c r="I1418" s="5" t="s">
        <v>436</v>
      </c>
      <c r="J1418" s="5">
        <f>_xlfn.XLOOKUP(CustomerCombined[[#This Row],[ID]], Table4[ID], Table4[Recency], "Not Found", 0)</f>
        <v>55</v>
      </c>
      <c r="K1418" s="5">
        <f>_xlfn.XLOOKUP(CustomerCombined[[#This Row],[ID]], Table4[ID], Table4[Teas], "Not Found", 0)</f>
        <v>327</v>
      </c>
      <c r="L1418" s="5">
        <f>_xlfn.XLOOKUP(CustomerCombined[[#This Row],[ID]], Table4[ID], Table4[Fruits], "Not Found", 0)</f>
        <v>29</v>
      </c>
      <c r="M1418" s="5">
        <f>_xlfn.XLOOKUP(CustomerCombined[[#This Row],[ID]], Table4[ID], Table4[Meats], "Not Found", 0)</f>
        <v>312</v>
      </c>
      <c r="N1418" s="5">
        <f>_xlfn.XLOOKUP(CustomerCombined[[#This Row],[ID]], Table4[ID], Table4[Seafood], "Not Found", 0)</f>
        <v>88</v>
      </c>
      <c r="O1418" s="5">
        <f>_xlfn.XLOOKUP(CustomerCombined[[#This Row],[ID]], Table4[ID], Table4[Sweets], "Not Found", 0)</f>
        <v>0</v>
      </c>
      <c r="P1418" s="5">
        <f>_xlfn.XLOOKUP(CustomerCombined[[#This Row],[ID]], Table4[ID], Table4[Premium], "Not Found", 0)</f>
        <v>58</v>
      </c>
      <c r="Q1418" s="5">
        <f>_xlfn.XLOOKUP(CustomerCombined[[#This Row],[ID]], Table4[ID], Table4[Regular], "Not Found", 0)</f>
        <v>698</v>
      </c>
      <c r="R1418" s="5">
        <f>_xlfn.XLOOKUP(CustomerCombined[[#This Row],[ID]], Table4[ID], Table4[Deals], "Not Found", 0)</f>
        <v>2</v>
      </c>
      <c r="S1418" s="5">
        <f>_xlfn.XLOOKUP(CustomerCombined[[#This Row],[ID]], Table4[ID], Table4[Website], "Not Found", 0)</f>
        <v>5</v>
      </c>
      <c r="T1418" s="5">
        <f>_xlfn.XLOOKUP(CustomerCombined[[#This Row],[ID]], Table4[ID], Table4[Catalog], "Not Found", 0)</f>
        <v>2</v>
      </c>
      <c r="U1418" s="5">
        <f>_xlfn.XLOOKUP(CustomerCombined[[#This Row],[ID]], Table4[ID], Table4[Store], "Not Found", 0)</f>
        <v>4</v>
      </c>
      <c r="V1418" s="5">
        <f>_xlfn.XLOOKUP(CustomerCombined[[#This Row],[ID]], Table4[ID], Table4[Visits], "Not Found", 0)</f>
        <v>7</v>
      </c>
      <c r="W1418" s="8">
        <f>_xlfn.XLOOKUP(CustomerCombined[[#This Row],[ID]], Table2[ID],Table2[Complaint], "Not Found", 0 )</f>
        <v>0</v>
      </c>
      <c r="X1418" s="8">
        <f>_xlfn.XLOOKUP(CustomerCombined[[#This Row],[ID]], Table2[ID],Table2[Pilot], "Not Found", 0 )</f>
        <v>0</v>
      </c>
      <c r="Y1418" s="8">
        <f>_xlfn.XLOOKUP(CustomerCombined[[#This Row],[ID]], Table2[ID],Table2[MC1], "Not Found", 0 )</f>
        <v>0</v>
      </c>
      <c r="Z1418" s="8">
        <f>_xlfn.XLOOKUP(CustomerCombined[[#This Row],[ID]], Table2[ID],Table2[MC2], "Not Found", 0 )</f>
        <v>0</v>
      </c>
      <c r="AA1418" s="8">
        <f>_xlfn.XLOOKUP(CustomerCombined[[#This Row],[ID]], Table2[ID],Table2[MC3], "Not Found", 0 )</f>
        <v>0</v>
      </c>
      <c r="AB1418" s="8">
        <f>_xlfn.XLOOKUP(CustomerCombined[[#This Row],[ID]], Table2[ID],Table2[MC4], "Not Found", 0 )</f>
        <v>0</v>
      </c>
      <c r="AC1418" s="8">
        <f>_xlfn.XLOOKUP(CustomerCombined[[#This Row],[ID]], Table2[ID],Table2[MC5], "Not Found", 0 )</f>
        <v>0</v>
      </c>
    </row>
    <row r="1419" spans="1:29" x14ac:dyDescent="0.3">
      <c r="A1419" s="6">
        <v>2596</v>
      </c>
      <c r="B1419" s="6">
        <v>151717</v>
      </c>
      <c r="C1419" s="6">
        <v>0</v>
      </c>
      <c r="D1419" s="6">
        <v>1</v>
      </c>
      <c r="E1419" s="6">
        <v>55</v>
      </c>
      <c r="F1419" s="5" t="s">
        <v>8</v>
      </c>
      <c r="G1419" s="5" t="s">
        <v>13</v>
      </c>
      <c r="H1419" s="3" t="s">
        <v>197</v>
      </c>
      <c r="I1419" s="5" t="s">
        <v>439</v>
      </c>
      <c r="J1419" s="5">
        <f>_xlfn.XLOOKUP(CustomerCombined[[#This Row],[ID]], Table4[ID], Table4[Recency], "Not Found", 0)</f>
        <v>55</v>
      </c>
      <c r="K1419" s="5">
        <f>_xlfn.XLOOKUP(CustomerCombined[[#This Row],[ID]], Table4[ID], Table4[Teas], "Not Found", 0)</f>
        <v>287</v>
      </c>
      <c r="L1419" s="5">
        <f>_xlfn.XLOOKUP(CustomerCombined[[#This Row],[ID]], Table4[ID], Table4[Fruits], "Not Found", 0)</f>
        <v>3</v>
      </c>
      <c r="M1419" s="5">
        <f>_xlfn.XLOOKUP(CustomerCombined[[#This Row],[ID]], Table4[ID], Table4[Meats], "Not Found", 0)</f>
        <v>50</v>
      </c>
      <c r="N1419" s="5">
        <f>_xlfn.XLOOKUP(CustomerCombined[[#This Row],[ID]], Table4[ID], Table4[Seafood], "Not Found", 0)</f>
        <v>0</v>
      </c>
      <c r="O1419" s="5">
        <f>_xlfn.XLOOKUP(CustomerCombined[[#This Row],[ID]], Table4[ID], Table4[Sweets], "Not Found", 0)</f>
        <v>3</v>
      </c>
      <c r="P1419" s="5">
        <f>_xlfn.XLOOKUP(CustomerCombined[[#This Row],[ID]], Table4[ID], Table4[Premium], "Not Found", 0)</f>
        <v>15</v>
      </c>
      <c r="Q1419" s="5">
        <f>_xlfn.XLOOKUP(CustomerCombined[[#This Row],[ID]], Table4[ID], Table4[Regular], "Not Found", 0)</f>
        <v>329</v>
      </c>
      <c r="R1419" s="5">
        <f>_xlfn.XLOOKUP(CustomerCombined[[#This Row],[ID]], Table4[ID], Table4[Deals], "Not Found", 0)</f>
        <v>1</v>
      </c>
      <c r="S1419" s="5">
        <f>_xlfn.XLOOKUP(CustomerCombined[[#This Row],[ID]], Table4[ID], Table4[Website], "Not Found", 0)</f>
        <v>3</v>
      </c>
      <c r="T1419" s="5">
        <f>_xlfn.XLOOKUP(CustomerCombined[[#This Row],[ID]], Table4[ID], Table4[Catalog], "Not Found", 0)</f>
        <v>0</v>
      </c>
      <c r="U1419" s="5">
        <f>_xlfn.XLOOKUP(CustomerCombined[[#This Row],[ID]], Table4[ID], Table4[Store], "Not Found", 0)</f>
        <v>4</v>
      </c>
      <c r="V1419" s="5">
        <f>_xlfn.XLOOKUP(CustomerCombined[[#This Row],[ID]], Table4[ID], Table4[Visits], "Not Found", 0)</f>
        <v>7</v>
      </c>
      <c r="W1419" s="8">
        <f>_xlfn.XLOOKUP(CustomerCombined[[#This Row],[ID]], Table2[ID],Table2[Complaint], "Not Found", 0 )</f>
        <v>0</v>
      </c>
      <c r="X1419" s="8">
        <f>_xlfn.XLOOKUP(CustomerCombined[[#This Row],[ID]], Table2[ID],Table2[Pilot], "Not Found", 0 )</f>
        <v>0</v>
      </c>
      <c r="Y1419" s="8">
        <f>_xlfn.XLOOKUP(CustomerCombined[[#This Row],[ID]], Table2[ID],Table2[MC1], "Not Found", 0 )</f>
        <v>0</v>
      </c>
      <c r="Z1419" s="8">
        <f>_xlfn.XLOOKUP(CustomerCombined[[#This Row],[ID]], Table2[ID],Table2[MC2], "Not Found", 0 )</f>
        <v>0</v>
      </c>
      <c r="AA1419" s="8">
        <f>_xlfn.XLOOKUP(CustomerCombined[[#This Row],[ID]], Table2[ID],Table2[MC3], "Not Found", 0 )</f>
        <v>0</v>
      </c>
      <c r="AB1419" s="8">
        <f>_xlfn.XLOOKUP(CustomerCombined[[#This Row],[ID]], Table2[ID],Table2[MC4], "Not Found", 0 )</f>
        <v>1</v>
      </c>
      <c r="AC1419" s="8">
        <f>_xlfn.XLOOKUP(CustomerCombined[[#This Row],[ID]], Table2[ID],Table2[MC5], "Not Found", 0 )</f>
        <v>0</v>
      </c>
    </row>
    <row r="1420" spans="1:29" x14ac:dyDescent="0.3">
      <c r="A1420" s="6">
        <v>1872</v>
      </c>
      <c r="B1420" s="6">
        <v>151390</v>
      </c>
      <c r="C1420" s="6">
        <v>1</v>
      </c>
      <c r="D1420" s="6">
        <v>1</v>
      </c>
      <c r="E1420" s="6">
        <v>55</v>
      </c>
      <c r="F1420" s="5" t="s">
        <v>9</v>
      </c>
      <c r="G1420" s="5" t="s">
        <v>12</v>
      </c>
      <c r="H1420" s="3" t="s">
        <v>401</v>
      </c>
      <c r="I1420" s="5" t="s">
        <v>436</v>
      </c>
      <c r="J1420" s="5">
        <f>_xlfn.XLOOKUP(CustomerCombined[[#This Row],[ID]], Table4[ID], Table4[Recency], "Not Found", 0)</f>
        <v>54</v>
      </c>
      <c r="K1420" s="5">
        <f>_xlfn.XLOOKUP(CustomerCombined[[#This Row],[ID]], Table4[ID], Table4[Teas], "Not Found", 0)</f>
        <v>604</v>
      </c>
      <c r="L1420" s="5">
        <f>_xlfn.XLOOKUP(CustomerCombined[[#This Row],[ID]], Table4[ID], Table4[Fruits], "Not Found", 0)</f>
        <v>59</v>
      </c>
      <c r="M1420" s="5">
        <f>_xlfn.XLOOKUP(CustomerCombined[[#This Row],[ID]], Table4[ID], Table4[Meats], "Not Found", 0)</f>
        <v>138</v>
      </c>
      <c r="N1420" s="5">
        <f>_xlfn.XLOOKUP(CustomerCombined[[#This Row],[ID]], Table4[ID], Table4[Seafood], "Not Found", 0)</f>
        <v>68</v>
      </c>
      <c r="O1420" s="5">
        <f>_xlfn.XLOOKUP(CustomerCombined[[#This Row],[ID]], Table4[ID], Table4[Sweets], "Not Found", 0)</f>
        <v>6</v>
      </c>
      <c r="P1420" s="5">
        <f>_xlfn.XLOOKUP(CustomerCombined[[#This Row],[ID]], Table4[ID], Table4[Premium], "Not Found", 0)</f>
        <v>165</v>
      </c>
      <c r="Q1420" s="5">
        <f>_xlfn.XLOOKUP(CustomerCombined[[#This Row],[ID]], Table4[ID], Table4[Regular], "Not Found", 0)</f>
        <v>710</v>
      </c>
      <c r="R1420" s="5">
        <f>_xlfn.XLOOKUP(CustomerCombined[[#This Row],[ID]], Table4[ID], Table4[Deals], "Not Found", 0)</f>
        <v>6</v>
      </c>
      <c r="S1420" s="5">
        <f>_xlfn.XLOOKUP(CustomerCombined[[#This Row],[ID]], Table4[ID], Table4[Website], "Not Found", 0)</f>
        <v>5</v>
      </c>
      <c r="T1420" s="5">
        <f>_xlfn.XLOOKUP(CustomerCombined[[#This Row],[ID]], Table4[ID], Table4[Catalog], "Not Found", 0)</f>
        <v>2</v>
      </c>
      <c r="U1420" s="5">
        <f>_xlfn.XLOOKUP(CustomerCombined[[#This Row],[ID]], Table4[ID], Table4[Store], "Not Found", 0)</f>
        <v>5</v>
      </c>
      <c r="V1420" s="5">
        <f>_xlfn.XLOOKUP(CustomerCombined[[#This Row],[ID]], Table4[ID], Table4[Visits], "Not Found", 0)</f>
        <v>5</v>
      </c>
      <c r="W1420" s="8">
        <f>_xlfn.XLOOKUP(CustomerCombined[[#This Row],[ID]], Table2[ID],Table2[Complaint], "Not Found", 0 )</f>
        <v>0</v>
      </c>
      <c r="X1420" s="8">
        <f>_xlfn.XLOOKUP(CustomerCombined[[#This Row],[ID]], Table2[ID],Table2[Pilot], "Not Found", 0 )</f>
        <v>0</v>
      </c>
      <c r="Y1420" s="8">
        <f>_xlfn.XLOOKUP(CustomerCombined[[#This Row],[ID]], Table2[ID],Table2[MC1], "Not Found", 0 )</f>
        <v>0</v>
      </c>
      <c r="Z1420" s="8">
        <f>_xlfn.XLOOKUP(CustomerCombined[[#This Row],[ID]], Table2[ID],Table2[MC2], "Not Found", 0 )</f>
        <v>0</v>
      </c>
      <c r="AA1420" s="8">
        <f>_xlfn.XLOOKUP(CustomerCombined[[#This Row],[ID]], Table2[ID],Table2[MC3], "Not Found", 0 )</f>
        <v>0</v>
      </c>
      <c r="AB1420" s="8">
        <f>_xlfn.XLOOKUP(CustomerCombined[[#This Row],[ID]], Table2[ID],Table2[MC4], "Not Found", 0 )</f>
        <v>0</v>
      </c>
      <c r="AC1420" s="8">
        <f>_xlfn.XLOOKUP(CustomerCombined[[#This Row],[ID]], Table2[ID],Table2[MC5], "Not Found", 0 )</f>
        <v>0</v>
      </c>
    </row>
    <row r="1421" spans="1:29" x14ac:dyDescent="0.3">
      <c r="A1421" s="6">
        <v>1389</v>
      </c>
      <c r="B1421" s="6">
        <v>148006</v>
      </c>
      <c r="C1421" s="6">
        <v>1</v>
      </c>
      <c r="D1421" s="6">
        <v>1</v>
      </c>
      <c r="E1421" s="6">
        <v>55</v>
      </c>
      <c r="F1421" s="5" t="s">
        <v>6</v>
      </c>
      <c r="G1421" s="5" t="s">
        <v>11</v>
      </c>
      <c r="H1421" s="3" t="s">
        <v>40</v>
      </c>
      <c r="I1421" s="5" t="s">
        <v>435</v>
      </c>
      <c r="J1421" s="5">
        <f>_xlfn.XLOOKUP(CustomerCombined[[#This Row],[ID]], Table4[ID], Table4[Recency], "Not Found", 0)</f>
        <v>55</v>
      </c>
      <c r="K1421" s="5">
        <f>_xlfn.XLOOKUP(CustomerCombined[[#This Row],[ID]], Table4[ID], Table4[Teas], "Not Found", 0)</f>
        <v>71</v>
      </c>
      <c r="L1421" s="5">
        <f>_xlfn.XLOOKUP(CustomerCombined[[#This Row],[ID]], Table4[ID], Table4[Fruits], "Not Found", 0)</f>
        <v>0</v>
      </c>
      <c r="M1421" s="5">
        <f>_xlfn.XLOOKUP(CustomerCombined[[#This Row],[ID]], Table4[ID], Table4[Meats], "Not Found", 0)</f>
        <v>34</v>
      </c>
      <c r="N1421" s="5">
        <f>_xlfn.XLOOKUP(CustomerCombined[[#This Row],[ID]], Table4[ID], Table4[Seafood], "Not Found", 0)</f>
        <v>9</v>
      </c>
      <c r="O1421" s="5">
        <f>_xlfn.XLOOKUP(CustomerCombined[[#This Row],[ID]], Table4[ID], Table4[Sweets], "Not Found", 0)</f>
        <v>6</v>
      </c>
      <c r="P1421" s="5">
        <f>_xlfn.XLOOKUP(CustomerCombined[[#This Row],[ID]], Table4[ID], Table4[Premium], "Not Found", 0)</f>
        <v>6</v>
      </c>
      <c r="Q1421" s="5">
        <f>_xlfn.XLOOKUP(CustomerCombined[[#This Row],[ID]], Table4[ID], Table4[Regular], "Not Found", 0)</f>
        <v>114</v>
      </c>
      <c r="R1421" s="5">
        <f>_xlfn.XLOOKUP(CustomerCombined[[#This Row],[ID]], Table4[ID], Table4[Deals], "Not Found", 0)</f>
        <v>1</v>
      </c>
      <c r="S1421" s="5">
        <f>_xlfn.XLOOKUP(CustomerCombined[[#This Row],[ID]], Table4[ID], Table4[Website], "Not Found", 0)</f>
        <v>1</v>
      </c>
      <c r="T1421" s="5">
        <f>_xlfn.XLOOKUP(CustomerCombined[[#This Row],[ID]], Table4[ID], Table4[Catalog], "Not Found", 0)</f>
        <v>0</v>
      </c>
      <c r="U1421" s="5">
        <f>_xlfn.XLOOKUP(CustomerCombined[[#This Row],[ID]], Table4[ID], Table4[Store], "Not Found", 0)</f>
        <v>3</v>
      </c>
      <c r="V1421" s="5">
        <f>_xlfn.XLOOKUP(CustomerCombined[[#This Row],[ID]], Table4[ID], Table4[Visits], "Not Found", 0)</f>
        <v>6</v>
      </c>
      <c r="W1421" s="8">
        <f>_xlfn.XLOOKUP(CustomerCombined[[#This Row],[ID]], Table2[ID],Table2[Complaint], "Not Found", 0 )</f>
        <v>0</v>
      </c>
      <c r="X1421" s="8">
        <f>_xlfn.XLOOKUP(CustomerCombined[[#This Row],[ID]], Table2[ID],Table2[Pilot], "Not Found", 0 )</f>
        <v>0</v>
      </c>
      <c r="Y1421" s="8">
        <f>_xlfn.XLOOKUP(CustomerCombined[[#This Row],[ID]], Table2[ID],Table2[MC1], "Not Found", 0 )</f>
        <v>0</v>
      </c>
      <c r="Z1421" s="8">
        <f>_xlfn.XLOOKUP(CustomerCombined[[#This Row],[ID]], Table2[ID],Table2[MC2], "Not Found", 0 )</f>
        <v>0</v>
      </c>
      <c r="AA1421" s="8">
        <f>_xlfn.XLOOKUP(CustomerCombined[[#This Row],[ID]], Table2[ID],Table2[MC3], "Not Found", 0 )</f>
        <v>0</v>
      </c>
      <c r="AB1421" s="8">
        <f>_xlfn.XLOOKUP(CustomerCombined[[#This Row],[ID]], Table2[ID],Table2[MC4], "Not Found", 0 )</f>
        <v>0</v>
      </c>
      <c r="AC1421" s="8">
        <f>_xlfn.XLOOKUP(CustomerCombined[[#This Row],[ID]], Table2[ID],Table2[MC5], "Not Found", 0 )</f>
        <v>0</v>
      </c>
    </row>
    <row r="1422" spans="1:29" x14ac:dyDescent="0.3">
      <c r="A1422" s="6">
        <v>1307</v>
      </c>
      <c r="B1422" s="6">
        <v>147025</v>
      </c>
      <c r="C1422" s="6">
        <v>1</v>
      </c>
      <c r="D1422" s="6">
        <v>1</v>
      </c>
      <c r="E1422" s="6">
        <v>55</v>
      </c>
      <c r="F1422" s="5" t="s">
        <v>5</v>
      </c>
      <c r="G1422" s="5" t="s">
        <v>13</v>
      </c>
      <c r="H1422" s="3" t="s">
        <v>104</v>
      </c>
      <c r="I1422" s="5" t="s">
        <v>434</v>
      </c>
      <c r="J1422" s="5">
        <f>_xlfn.XLOOKUP(CustomerCombined[[#This Row],[ID]], Table4[ID], Table4[Recency], "Not Found", 0)</f>
        <v>6</v>
      </c>
      <c r="K1422" s="5">
        <f>_xlfn.XLOOKUP(CustomerCombined[[#This Row],[ID]], Table4[ID], Table4[Teas], "Not Found", 0)</f>
        <v>50</v>
      </c>
      <c r="L1422" s="5">
        <f>_xlfn.XLOOKUP(CustomerCombined[[#This Row],[ID]], Table4[ID], Table4[Fruits], "Not Found", 0)</f>
        <v>0</v>
      </c>
      <c r="M1422" s="5">
        <f>_xlfn.XLOOKUP(CustomerCombined[[#This Row],[ID]], Table4[ID], Table4[Meats], "Not Found", 0)</f>
        <v>9</v>
      </c>
      <c r="N1422" s="5">
        <f>_xlfn.XLOOKUP(CustomerCombined[[#This Row],[ID]], Table4[ID], Table4[Seafood], "Not Found", 0)</f>
        <v>0</v>
      </c>
      <c r="O1422" s="5">
        <f>_xlfn.XLOOKUP(CustomerCombined[[#This Row],[ID]], Table4[ID], Table4[Sweets], "Not Found", 0)</f>
        <v>0</v>
      </c>
      <c r="P1422" s="5">
        <f>_xlfn.XLOOKUP(CustomerCombined[[#This Row],[ID]], Table4[ID], Table4[Premium], "Not Found", 0)</f>
        <v>3</v>
      </c>
      <c r="Q1422" s="5">
        <f>_xlfn.XLOOKUP(CustomerCombined[[#This Row],[ID]], Table4[ID], Table4[Regular], "Not Found", 0)</f>
        <v>56</v>
      </c>
      <c r="R1422" s="5">
        <f>_xlfn.XLOOKUP(CustomerCombined[[#This Row],[ID]], Table4[ID], Table4[Deals], "Not Found", 0)</f>
        <v>1</v>
      </c>
      <c r="S1422" s="5">
        <f>_xlfn.XLOOKUP(CustomerCombined[[#This Row],[ID]], Table4[ID], Table4[Website], "Not Found", 0)</f>
        <v>1</v>
      </c>
      <c r="T1422" s="5">
        <f>_xlfn.XLOOKUP(CustomerCombined[[#This Row],[ID]], Table4[ID], Table4[Catalog], "Not Found", 0)</f>
        <v>0</v>
      </c>
      <c r="U1422" s="5">
        <f>_xlfn.XLOOKUP(CustomerCombined[[#This Row],[ID]], Table4[ID], Table4[Store], "Not Found", 0)</f>
        <v>2</v>
      </c>
      <c r="V1422" s="5">
        <f>_xlfn.XLOOKUP(CustomerCombined[[#This Row],[ID]], Table4[ID], Table4[Visits], "Not Found", 0)</f>
        <v>7</v>
      </c>
      <c r="W1422" s="8">
        <f>_xlfn.XLOOKUP(CustomerCombined[[#This Row],[ID]], Table2[ID],Table2[Complaint], "Not Found", 0 )</f>
        <v>0</v>
      </c>
      <c r="X1422" s="8">
        <f>_xlfn.XLOOKUP(CustomerCombined[[#This Row],[ID]], Table2[ID],Table2[Pilot], "Not Found", 0 )</f>
        <v>0</v>
      </c>
      <c r="Y1422" s="8">
        <f>_xlfn.XLOOKUP(CustomerCombined[[#This Row],[ID]], Table2[ID],Table2[MC1], "Not Found", 0 )</f>
        <v>0</v>
      </c>
      <c r="Z1422" s="8">
        <f>_xlfn.XLOOKUP(CustomerCombined[[#This Row],[ID]], Table2[ID],Table2[MC2], "Not Found", 0 )</f>
        <v>0</v>
      </c>
      <c r="AA1422" s="8">
        <f>_xlfn.XLOOKUP(CustomerCombined[[#This Row],[ID]], Table2[ID],Table2[MC3], "Not Found", 0 )</f>
        <v>0</v>
      </c>
      <c r="AB1422" s="8">
        <f>_xlfn.XLOOKUP(CustomerCombined[[#This Row],[ID]], Table2[ID],Table2[MC4], "Not Found", 0 )</f>
        <v>0</v>
      </c>
      <c r="AC1422" s="8">
        <f>_xlfn.XLOOKUP(CustomerCombined[[#This Row],[ID]], Table2[ID],Table2[MC5], "Not Found", 0 )</f>
        <v>0</v>
      </c>
    </row>
    <row r="1423" spans="1:29" x14ac:dyDescent="0.3">
      <c r="A1423" s="6">
        <v>2296</v>
      </c>
      <c r="B1423" s="6">
        <v>147009</v>
      </c>
      <c r="C1423" s="6">
        <v>0</v>
      </c>
      <c r="D1423" s="6">
        <v>1</v>
      </c>
      <c r="E1423" s="6">
        <v>55</v>
      </c>
      <c r="F1423" s="5" t="s">
        <v>8</v>
      </c>
      <c r="G1423" s="5" t="s">
        <v>11</v>
      </c>
      <c r="H1423" s="3">
        <v>44015</v>
      </c>
      <c r="I1423" s="5" t="s">
        <v>439</v>
      </c>
      <c r="J1423" s="5">
        <f>_xlfn.XLOOKUP(CustomerCombined[[#This Row],[ID]], Table4[ID], Table4[Recency], "Not Found", 0)</f>
        <v>89</v>
      </c>
      <c r="K1423" s="5">
        <f>_xlfn.XLOOKUP(CustomerCombined[[#This Row],[ID]], Table4[ID], Table4[Teas], "Not Found", 0)</f>
        <v>535</v>
      </c>
      <c r="L1423" s="5">
        <f>_xlfn.XLOOKUP(CustomerCombined[[#This Row],[ID]], Table4[ID], Table4[Fruits], "Not Found", 0)</f>
        <v>141</v>
      </c>
      <c r="M1423" s="5">
        <f>_xlfn.XLOOKUP(CustomerCombined[[#This Row],[ID]], Table4[ID], Table4[Meats], "Not Found", 0)</f>
        <v>228</v>
      </c>
      <c r="N1423" s="5">
        <f>_xlfn.XLOOKUP(CustomerCombined[[#This Row],[ID]], Table4[ID], Table4[Seafood], "Not Found", 0)</f>
        <v>185</v>
      </c>
      <c r="O1423" s="5">
        <f>_xlfn.XLOOKUP(CustomerCombined[[#This Row],[ID]], Table4[ID], Table4[Sweets], "Not Found", 0)</f>
        <v>31</v>
      </c>
      <c r="P1423" s="5">
        <f>_xlfn.XLOOKUP(CustomerCombined[[#This Row],[ID]], Table4[ID], Table4[Premium], "Not Found", 0)</f>
        <v>281</v>
      </c>
      <c r="Q1423" s="5">
        <f>_xlfn.XLOOKUP(CustomerCombined[[#This Row],[ID]], Table4[ID], Table4[Regular], "Not Found", 0)</f>
        <v>838</v>
      </c>
      <c r="R1423" s="5">
        <f>_xlfn.XLOOKUP(CustomerCombined[[#This Row],[ID]], Table4[ID], Table4[Deals], "Not Found", 0)</f>
        <v>4</v>
      </c>
      <c r="S1423" s="5">
        <f>_xlfn.XLOOKUP(CustomerCombined[[#This Row],[ID]], Table4[ID], Table4[Website], "Not Found", 0)</f>
        <v>3</v>
      </c>
      <c r="T1423" s="5">
        <f>_xlfn.XLOOKUP(CustomerCombined[[#This Row],[ID]], Table4[ID], Table4[Catalog], "Not Found", 0)</f>
        <v>2</v>
      </c>
      <c r="U1423" s="5">
        <f>_xlfn.XLOOKUP(CustomerCombined[[#This Row],[ID]], Table4[ID], Table4[Store], "Not Found", 0)</f>
        <v>8</v>
      </c>
      <c r="V1423" s="5">
        <f>_xlfn.XLOOKUP(CustomerCombined[[#This Row],[ID]], Table4[ID], Table4[Visits], "Not Found", 0)</f>
        <v>4</v>
      </c>
      <c r="W1423" s="8">
        <f>_xlfn.XLOOKUP(CustomerCombined[[#This Row],[ID]], Table2[ID],Table2[Complaint], "Not Found", 0 )</f>
        <v>0</v>
      </c>
      <c r="X1423" s="8">
        <f>_xlfn.XLOOKUP(CustomerCombined[[#This Row],[ID]], Table2[ID],Table2[Pilot], "Not Found", 0 )</f>
        <v>0</v>
      </c>
      <c r="Y1423" s="8">
        <f>_xlfn.XLOOKUP(CustomerCombined[[#This Row],[ID]], Table2[ID],Table2[MC1], "Not Found", 0 )</f>
        <v>0</v>
      </c>
      <c r="Z1423" s="8">
        <f>_xlfn.XLOOKUP(CustomerCombined[[#This Row],[ID]], Table2[ID],Table2[MC2], "Not Found", 0 )</f>
        <v>0</v>
      </c>
      <c r="AA1423" s="8">
        <f>_xlfn.XLOOKUP(CustomerCombined[[#This Row],[ID]], Table2[ID],Table2[MC3], "Not Found", 0 )</f>
        <v>0</v>
      </c>
      <c r="AB1423" s="8">
        <f>_xlfn.XLOOKUP(CustomerCombined[[#This Row],[ID]], Table2[ID],Table2[MC4], "Not Found", 0 )</f>
        <v>0</v>
      </c>
      <c r="AC1423" s="8">
        <f>_xlfn.XLOOKUP(CustomerCombined[[#This Row],[ID]], Table2[ID],Table2[MC5], "Not Found", 0 )</f>
        <v>0</v>
      </c>
    </row>
    <row r="1424" spans="1:29" x14ac:dyDescent="0.3">
      <c r="A1424" s="6">
        <v>1749</v>
      </c>
      <c r="B1424" s="6">
        <v>146891</v>
      </c>
      <c r="C1424" s="6">
        <v>0</v>
      </c>
      <c r="D1424" s="6">
        <v>1</v>
      </c>
      <c r="E1424" s="6">
        <v>55</v>
      </c>
      <c r="F1424" s="5" t="s">
        <v>6</v>
      </c>
      <c r="G1424" s="5" t="s">
        <v>442</v>
      </c>
      <c r="H1424" s="3">
        <v>43984</v>
      </c>
      <c r="I1424" s="5" t="s">
        <v>435</v>
      </c>
      <c r="J1424" s="5">
        <f>_xlfn.XLOOKUP(CustomerCombined[[#This Row],[ID]], Table4[ID], Table4[Recency], "Not Found", 0)</f>
        <v>91</v>
      </c>
      <c r="K1424" s="5">
        <f>_xlfn.XLOOKUP(CustomerCombined[[#This Row],[ID]], Table4[ID], Table4[Teas], "Not Found", 0)</f>
        <v>135</v>
      </c>
      <c r="L1424" s="5">
        <f>_xlfn.XLOOKUP(CustomerCombined[[#This Row],[ID]], Table4[ID], Table4[Fruits], "Not Found", 0)</f>
        <v>38</v>
      </c>
      <c r="M1424" s="5">
        <f>_xlfn.XLOOKUP(CustomerCombined[[#This Row],[ID]], Table4[ID], Table4[Meats], "Not Found", 0)</f>
        <v>72</v>
      </c>
      <c r="N1424" s="5">
        <f>_xlfn.XLOOKUP(CustomerCombined[[#This Row],[ID]], Table4[ID], Table4[Seafood], "Not Found", 0)</f>
        <v>91</v>
      </c>
      <c r="O1424" s="5">
        <f>_xlfn.XLOOKUP(CustomerCombined[[#This Row],[ID]], Table4[ID], Table4[Sweets], "Not Found", 0)</f>
        <v>47</v>
      </c>
      <c r="P1424" s="5">
        <f>_xlfn.XLOOKUP(CustomerCombined[[#This Row],[ID]], Table4[ID], Table4[Premium], "Not Found", 0)</f>
        <v>191</v>
      </c>
      <c r="Q1424" s="5">
        <f>_xlfn.XLOOKUP(CustomerCombined[[#This Row],[ID]], Table4[ID], Table4[Regular], "Not Found", 0)</f>
        <v>191</v>
      </c>
      <c r="R1424" s="5">
        <f>_xlfn.XLOOKUP(CustomerCombined[[#This Row],[ID]], Table4[ID], Table4[Deals], "Not Found", 0)</f>
        <v>1</v>
      </c>
      <c r="S1424" s="5">
        <f>_xlfn.XLOOKUP(CustomerCombined[[#This Row],[ID]], Table4[ID], Table4[Website], "Not Found", 0)</f>
        <v>2</v>
      </c>
      <c r="T1424" s="5">
        <f>_xlfn.XLOOKUP(CustomerCombined[[#This Row],[ID]], Table4[ID], Table4[Catalog], "Not Found", 0)</f>
        <v>1</v>
      </c>
      <c r="U1424" s="5">
        <f>_xlfn.XLOOKUP(CustomerCombined[[#This Row],[ID]], Table4[ID], Table4[Store], "Not Found", 0)</f>
        <v>4</v>
      </c>
      <c r="V1424" s="5">
        <f>_xlfn.XLOOKUP(CustomerCombined[[#This Row],[ID]], Table4[ID], Table4[Visits], "Not Found", 0)</f>
        <v>4</v>
      </c>
      <c r="W1424" s="8">
        <f>_xlfn.XLOOKUP(CustomerCombined[[#This Row],[ID]], Table2[ID],Table2[Complaint], "Not Found", 0 )</f>
        <v>0</v>
      </c>
      <c r="X1424" s="8">
        <f>_xlfn.XLOOKUP(CustomerCombined[[#This Row],[ID]], Table2[ID],Table2[Pilot], "Not Found", 0 )</f>
        <v>0</v>
      </c>
      <c r="Y1424" s="8">
        <f>_xlfn.XLOOKUP(CustomerCombined[[#This Row],[ID]], Table2[ID],Table2[MC1], "Not Found", 0 )</f>
        <v>0</v>
      </c>
      <c r="Z1424" s="8">
        <f>_xlfn.XLOOKUP(CustomerCombined[[#This Row],[ID]], Table2[ID],Table2[MC2], "Not Found", 0 )</f>
        <v>0</v>
      </c>
      <c r="AA1424" s="8">
        <f>_xlfn.XLOOKUP(CustomerCombined[[#This Row],[ID]], Table2[ID],Table2[MC3], "Not Found", 0 )</f>
        <v>0</v>
      </c>
      <c r="AB1424" s="8">
        <f>_xlfn.XLOOKUP(CustomerCombined[[#This Row],[ID]], Table2[ID],Table2[MC4], "Not Found", 0 )</f>
        <v>0</v>
      </c>
      <c r="AC1424" s="8">
        <f>_xlfn.XLOOKUP(CustomerCombined[[#This Row],[ID]], Table2[ID],Table2[MC5], "Not Found", 0 )</f>
        <v>0</v>
      </c>
    </row>
    <row r="1425" spans="1:29" x14ac:dyDescent="0.3">
      <c r="A1425" s="6">
        <v>2177</v>
      </c>
      <c r="B1425" s="6">
        <v>146891</v>
      </c>
      <c r="C1425" s="6">
        <v>0</v>
      </c>
      <c r="D1425" s="6">
        <v>1</v>
      </c>
      <c r="E1425" s="6">
        <v>55</v>
      </c>
      <c r="F1425" s="5" t="s">
        <v>6</v>
      </c>
      <c r="G1425" s="5" t="s">
        <v>442</v>
      </c>
      <c r="H1425" s="3">
        <v>43984</v>
      </c>
      <c r="I1425" s="5" t="s">
        <v>434</v>
      </c>
      <c r="J1425" s="5">
        <f>_xlfn.XLOOKUP(CustomerCombined[[#This Row],[ID]], Table4[ID], Table4[Recency], "Not Found", 0)</f>
        <v>91</v>
      </c>
      <c r="K1425" s="5">
        <f>_xlfn.XLOOKUP(CustomerCombined[[#This Row],[ID]], Table4[ID], Table4[Teas], "Not Found", 0)</f>
        <v>135</v>
      </c>
      <c r="L1425" s="5">
        <f>_xlfn.XLOOKUP(CustomerCombined[[#This Row],[ID]], Table4[ID], Table4[Fruits], "Not Found", 0)</f>
        <v>38</v>
      </c>
      <c r="M1425" s="5">
        <f>_xlfn.XLOOKUP(CustomerCombined[[#This Row],[ID]], Table4[ID], Table4[Meats], "Not Found", 0)</f>
        <v>72</v>
      </c>
      <c r="N1425" s="5">
        <f>_xlfn.XLOOKUP(CustomerCombined[[#This Row],[ID]], Table4[ID], Table4[Seafood], "Not Found", 0)</f>
        <v>91</v>
      </c>
      <c r="O1425" s="5">
        <f>_xlfn.XLOOKUP(CustomerCombined[[#This Row],[ID]], Table4[ID], Table4[Sweets], "Not Found", 0)</f>
        <v>47</v>
      </c>
      <c r="P1425" s="5">
        <f>_xlfn.XLOOKUP(CustomerCombined[[#This Row],[ID]], Table4[ID], Table4[Premium], "Not Found", 0)</f>
        <v>191</v>
      </c>
      <c r="Q1425" s="5">
        <f>_xlfn.XLOOKUP(CustomerCombined[[#This Row],[ID]], Table4[ID], Table4[Regular], "Not Found", 0)</f>
        <v>191</v>
      </c>
      <c r="R1425" s="5">
        <f>_xlfn.XLOOKUP(CustomerCombined[[#This Row],[ID]], Table4[ID], Table4[Deals], "Not Found", 0)</f>
        <v>1</v>
      </c>
      <c r="S1425" s="5">
        <f>_xlfn.XLOOKUP(CustomerCombined[[#This Row],[ID]], Table4[ID], Table4[Website], "Not Found", 0)</f>
        <v>2</v>
      </c>
      <c r="T1425" s="5">
        <f>_xlfn.XLOOKUP(CustomerCombined[[#This Row],[ID]], Table4[ID], Table4[Catalog], "Not Found", 0)</f>
        <v>1</v>
      </c>
      <c r="U1425" s="5">
        <f>_xlfn.XLOOKUP(CustomerCombined[[#This Row],[ID]], Table4[ID], Table4[Store], "Not Found", 0)</f>
        <v>4</v>
      </c>
      <c r="V1425" s="5">
        <f>_xlfn.XLOOKUP(CustomerCombined[[#This Row],[ID]], Table4[ID], Table4[Visits], "Not Found", 0)</f>
        <v>4</v>
      </c>
      <c r="W1425" s="8">
        <f>_xlfn.XLOOKUP(CustomerCombined[[#This Row],[ID]], Table2[ID],Table2[Complaint], "Not Found", 0 )</f>
        <v>0</v>
      </c>
      <c r="X1425" s="8">
        <f>_xlfn.XLOOKUP(CustomerCombined[[#This Row],[ID]], Table2[ID],Table2[Pilot], "Not Found", 0 )</f>
        <v>0</v>
      </c>
      <c r="Y1425" s="8">
        <f>_xlfn.XLOOKUP(CustomerCombined[[#This Row],[ID]], Table2[ID],Table2[MC1], "Not Found", 0 )</f>
        <v>0</v>
      </c>
      <c r="Z1425" s="8">
        <f>_xlfn.XLOOKUP(CustomerCombined[[#This Row],[ID]], Table2[ID],Table2[MC2], "Not Found", 0 )</f>
        <v>0</v>
      </c>
      <c r="AA1425" s="8">
        <f>_xlfn.XLOOKUP(CustomerCombined[[#This Row],[ID]], Table2[ID],Table2[MC3], "Not Found", 0 )</f>
        <v>0</v>
      </c>
      <c r="AB1425" s="8">
        <f>_xlfn.XLOOKUP(CustomerCombined[[#This Row],[ID]], Table2[ID],Table2[MC4], "Not Found", 0 )</f>
        <v>0</v>
      </c>
      <c r="AC1425" s="8">
        <f>_xlfn.XLOOKUP(CustomerCombined[[#This Row],[ID]], Table2[ID],Table2[MC5], "Not Found", 0 )</f>
        <v>0</v>
      </c>
    </row>
    <row r="1426" spans="1:29" x14ac:dyDescent="0.3">
      <c r="A1426" s="6">
        <v>2292</v>
      </c>
      <c r="B1426" s="6">
        <v>145143</v>
      </c>
      <c r="C1426" s="6">
        <v>0</v>
      </c>
      <c r="D1426" s="6">
        <v>1</v>
      </c>
      <c r="E1426" s="6">
        <v>55</v>
      </c>
      <c r="F1426" s="5" t="s">
        <v>8</v>
      </c>
      <c r="G1426" s="5" t="s">
        <v>12</v>
      </c>
      <c r="H1426" s="3" t="s">
        <v>191</v>
      </c>
      <c r="I1426" s="5" t="s">
        <v>436</v>
      </c>
      <c r="J1426" s="5">
        <f>_xlfn.XLOOKUP(CustomerCombined[[#This Row],[ID]], Table4[ID], Table4[Recency], "Not Found", 0)</f>
        <v>74</v>
      </c>
      <c r="K1426" s="5">
        <f>_xlfn.XLOOKUP(CustomerCombined[[#This Row],[ID]], Table4[ID], Table4[Teas], "Not Found", 0)</f>
        <v>649</v>
      </c>
      <c r="L1426" s="5">
        <f>_xlfn.XLOOKUP(CustomerCombined[[#This Row],[ID]], Table4[ID], Table4[Fruits], "Not Found", 0)</f>
        <v>16</v>
      </c>
      <c r="M1426" s="5">
        <f>_xlfn.XLOOKUP(CustomerCombined[[#This Row],[ID]], Table4[ID], Table4[Meats], "Not Found", 0)</f>
        <v>238</v>
      </c>
      <c r="N1426" s="5">
        <f>_xlfn.XLOOKUP(CustomerCombined[[#This Row],[ID]], Table4[ID], Table4[Seafood], "Not Found", 0)</f>
        <v>35</v>
      </c>
      <c r="O1426" s="5">
        <f>_xlfn.XLOOKUP(CustomerCombined[[#This Row],[ID]], Table4[ID], Table4[Sweets], "Not Found", 0)</f>
        <v>16</v>
      </c>
      <c r="P1426" s="5">
        <f>_xlfn.XLOOKUP(CustomerCombined[[#This Row],[ID]], Table4[ID], Table4[Premium], "Not Found", 0)</f>
        <v>45</v>
      </c>
      <c r="Q1426" s="5">
        <f>_xlfn.XLOOKUP(CustomerCombined[[#This Row],[ID]], Table4[ID], Table4[Regular], "Not Found", 0)</f>
        <v>910</v>
      </c>
      <c r="R1426" s="5">
        <f>_xlfn.XLOOKUP(CustomerCombined[[#This Row],[ID]], Table4[ID], Table4[Deals], "Not Found", 0)</f>
        <v>3</v>
      </c>
      <c r="S1426" s="5">
        <f>_xlfn.XLOOKUP(CustomerCombined[[#This Row],[ID]], Table4[ID], Table4[Website], "Not Found", 0)</f>
        <v>6</v>
      </c>
      <c r="T1426" s="5">
        <f>_xlfn.XLOOKUP(CustomerCombined[[#This Row],[ID]], Table4[ID], Table4[Catalog], "Not Found", 0)</f>
        <v>1</v>
      </c>
      <c r="U1426" s="5">
        <f>_xlfn.XLOOKUP(CustomerCombined[[#This Row],[ID]], Table4[ID], Table4[Store], "Not Found", 0)</f>
        <v>5</v>
      </c>
      <c r="V1426" s="5">
        <f>_xlfn.XLOOKUP(CustomerCombined[[#This Row],[ID]], Table4[ID], Table4[Visits], "Not Found", 0)</f>
        <v>7</v>
      </c>
      <c r="W1426" s="8">
        <f>_xlfn.XLOOKUP(CustomerCombined[[#This Row],[ID]], Table2[ID],Table2[Complaint], "Not Found", 0 )</f>
        <v>0</v>
      </c>
      <c r="X1426" s="8">
        <f>_xlfn.XLOOKUP(CustomerCombined[[#This Row],[ID]], Table2[ID],Table2[Pilot], "Not Found", 0 )</f>
        <v>0</v>
      </c>
      <c r="Y1426" s="8">
        <f>_xlfn.XLOOKUP(CustomerCombined[[#This Row],[ID]], Table2[ID],Table2[MC1], "Not Found", 0 )</f>
        <v>0</v>
      </c>
      <c r="Z1426" s="8">
        <f>_xlfn.XLOOKUP(CustomerCombined[[#This Row],[ID]], Table2[ID],Table2[MC2], "Not Found", 0 )</f>
        <v>0</v>
      </c>
      <c r="AA1426" s="8">
        <f>_xlfn.XLOOKUP(CustomerCombined[[#This Row],[ID]], Table2[ID],Table2[MC3], "Not Found", 0 )</f>
        <v>0</v>
      </c>
      <c r="AB1426" s="8">
        <f>_xlfn.XLOOKUP(CustomerCombined[[#This Row],[ID]], Table2[ID],Table2[MC4], "Not Found", 0 )</f>
        <v>0</v>
      </c>
      <c r="AC1426" s="8">
        <f>_xlfn.XLOOKUP(CustomerCombined[[#This Row],[ID]], Table2[ID],Table2[MC5], "Not Found", 0 )</f>
        <v>0</v>
      </c>
    </row>
    <row r="1427" spans="1:29" x14ac:dyDescent="0.3">
      <c r="A1427" s="6">
        <v>2569</v>
      </c>
      <c r="B1427" s="6">
        <v>145143</v>
      </c>
      <c r="C1427" s="6">
        <v>0</v>
      </c>
      <c r="D1427" s="6">
        <v>1</v>
      </c>
      <c r="E1427" s="6">
        <v>55</v>
      </c>
      <c r="F1427" s="5" t="s">
        <v>8</v>
      </c>
      <c r="G1427" s="5" t="s">
        <v>12</v>
      </c>
      <c r="H1427" s="3" t="s">
        <v>191</v>
      </c>
      <c r="I1427" s="5" t="s">
        <v>437</v>
      </c>
      <c r="J1427" s="5">
        <f>_xlfn.XLOOKUP(CustomerCombined[[#This Row],[ID]], Table4[ID], Table4[Recency], "Not Found", 0)</f>
        <v>74</v>
      </c>
      <c r="K1427" s="5">
        <f>_xlfn.XLOOKUP(CustomerCombined[[#This Row],[ID]], Table4[ID], Table4[Teas], "Not Found", 0)</f>
        <v>649</v>
      </c>
      <c r="L1427" s="5">
        <f>_xlfn.XLOOKUP(CustomerCombined[[#This Row],[ID]], Table4[ID], Table4[Fruits], "Not Found", 0)</f>
        <v>16</v>
      </c>
      <c r="M1427" s="5">
        <f>_xlfn.XLOOKUP(CustomerCombined[[#This Row],[ID]], Table4[ID], Table4[Meats], "Not Found", 0)</f>
        <v>238</v>
      </c>
      <c r="N1427" s="5">
        <f>_xlfn.XLOOKUP(CustomerCombined[[#This Row],[ID]], Table4[ID], Table4[Seafood], "Not Found", 0)</f>
        <v>35</v>
      </c>
      <c r="O1427" s="5">
        <f>_xlfn.XLOOKUP(CustomerCombined[[#This Row],[ID]], Table4[ID], Table4[Sweets], "Not Found", 0)</f>
        <v>16</v>
      </c>
      <c r="P1427" s="5">
        <f>_xlfn.XLOOKUP(CustomerCombined[[#This Row],[ID]], Table4[ID], Table4[Premium], "Not Found", 0)</f>
        <v>45</v>
      </c>
      <c r="Q1427" s="5">
        <f>_xlfn.XLOOKUP(CustomerCombined[[#This Row],[ID]], Table4[ID], Table4[Regular], "Not Found", 0)</f>
        <v>910</v>
      </c>
      <c r="R1427" s="5">
        <f>_xlfn.XLOOKUP(CustomerCombined[[#This Row],[ID]], Table4[ID], Table4[Deals], "Not Found", 0)</f>
        <v>3</v>
      </c>
      <c r="S1427" s="5">
        <f>_xlfn.XLOOKUP(CustomerCombined[[#This Row],[ID]], Table4[ID], Table4[Website], "Not Found", 0)</f>
        <v>6</v>
      </c>
      <c r="T1427" s="5">
        <f>_xlfn.XLOOKUP(CustomerCombined[[#This Row],[ID]], Table4[ID], Table4[Catalog], "Not Found", 0)</f>
        <v>1</v>
      </c>
      <c r="U1427" s="5">
        <f>_xlfn.XLOOKUP(CustomerCombined[[#This Row],[ID]], Table4[ID], Table4[Store], "Not Found", 0)</f>
        <v>5</v>
      </c>
      <c r="V1427" s="5">
        <f>_xlfn.XLOOKUP(CustomerCombined[[#This Row],[ID]], Table4[ID], Table4[Visits], "Not Found", 0)</f>
        <v>7</v>
      </c>
      <c r="W1427" s="8">
        <f>_xlfn.XLOOKUP(CustomerCombined[[#This Row],[ID]], Table2[ID],Table2[Complaint], "Not Found", 0 )</f>
        <v>0</v>
      </c>
      <c r="X1427" s="8">
        <f>_xlfn.XLOOKUP(CustomerCombined[[#This Row],[ID]], Table2[ID],Table2[Pilot], "Not Found", 0 )</f>
        <v>0</v>
      </c>
      <c r="Y1427" s="8">
        <f>_xlfn.XLOOKUP(CustomerCombined[[#This Row],[ID]], Table2[ID],Table2[MC1], "Not Found", 0 )</f>
        <v>0</v>
      </c>
      <c r="Z1427" s="8">
        <f>_xlfn.XLOOKUP(CustomerCombined[[#This Row],[ID]], Table2[ID],Table2[MC2], "Not Found", 0 )</f>
        <v>0</v>
      </c>
      <c r="AA1427" s="8">
        <f>_xlfn.XLOOKUP(CustomerCombined[[#This Row],[ID]], Table2[ID],Table2[MC3], "Not Found", 0 )</f>
        <v>0</v>
      </c>
      <c r="AB1427" s="8">
        <f>_xlfn.XLOOKUP(CustomerCombined[[#This Row],[ID]], Table2[ID],Table2[MC4], "Not Found", 0 )</f>
        <v>0</v>
      </c>
      <c r="AC1427" s="8">
        <f>_xlfn.XLOOKUP(CustomerCombined[[#This Row],[ID]], Table2[ID],Table2[MC5], "Not Found", 0 )</f>
        <v>0</v>
      </c>
    </row>
    <row r="1428" spans="1:29" x14ac:dyDescent="0.3">
      <c r="A1428" s="6">
        <v>2167</v>
      </c>
      <c r="B1428" s="6">
        <v>144393</v>
      </c>
      <c r="C1428" s="6">
        <v>1</v>
      </c>
      <c r="D1428" s="6">
        <v>1</v>
      </c>
      <c r="E1428" s="6">
        <v>55</v>
      </c>
      <c r="F1428" s="5" t="s">
        <v>6</v>
      </c>
      <c r="G1428" s="5" t="s">
        <v>11</v>
      </c>
      <c r="H1428" s="3" t="s">
        <v>195</v>
      </c>
      <c r="I1428" s="5" t="s">
        <v>437</v>
      </c>
      <c r="J1428" s="5">
        <f>_xlfn.XLOOKUP(CustomerCombined[[#This Row],[ID]], Table4[ID], Table4[Recency], "Not Found", 0)</f>
        <v>86</v>
      </c>
      <c r="K1428" s="5">
        <f>_xlfn.XLOOKUP(CustomerCombined[[#This Row],[ID]], Table4[ID], Table4[Teas], "Not Found", 0)</f>
        <v>78</v>
      </c>
      <c r="L1428" s="5">
        <f>_xlfn.XLOOKUP(CustomerCombined[[#This Row],[ID]], Table4[ID], Table4[Fruits], "Not Found", 0)</f>
        <v>7</v>
      </c>
      <c r="M1428" s="5">
        <f>_xlfn.XLOOKUP(CustomerCombined[[#This Row],[ID]], Table4[ID], Table4[Meats], "Not Found", 0)</f>
        <v>65</v>
      </c>
      <c r="N1428" s="5">
        <f>_xlfn.XLOOKUP(CustomerCombined[[#This Row],[ID]], Table4[ID], Table4[Seafood], "Not Found", 0)</f>
        <v>7</v>
      </c>
      <c r="O1428" s="5">
        <f>_xlfn.XLOOKUP(CustomerCombined[[#This Row],[ID]], Table4[ID], Table4[Sweets], "Not Found", 0)</f>
        <v>7</v>
      </c>
      <c r="P1428" s="5">
        <f>_xlfn.XLOOKUP(CustomerCombined[[#This Row],[ID]], Table4[ID], Table4[Premium], "Not Found", 0)</f>
        <v>33</v>
      </c>
      <c r="Q1428" s="5">
        <f>_xlfn.XLOOKUP(CustomerCombined[[#This Row],[ID]], Table4[ID], Table4[Regular], "Not Found", 0)</f>
        <v>130</v>
      </c>
      <c r="R1428" s="5">
        <f>_xlfn.XLOOKUP(CustomerCombined[[#This Row],[ID]], Table4[ID], Table4[Deals], "Not Found", 0)</f>
        <v>2</v>
      </c>
      <c r="S1428" s="5">
        <f>_xlfn.XLOOKUP(CustomerCombined[[#This Row],[ID]], Table4[ID], Table4[Website], "Not Found", 0)</f>
        <v>1</v>
      </c>
      <c r="T1428" s="5">
        <f>_xlfn.XLOOKUP(CustomerCombined[[#This Row],[ID]], Table4[ID], Table4[Catalog], "Not Found", 0)</f>
        <v>0</v>
      </c>
      <c r="U1428" s="5">
        <f>_xlfn.XLOOKUP(CustomerCombined[[#This Row],[ID]], Table4[ID], Table4[Store], "Not Found", 0)</f>
        <v>4</v>
      </c>
      <c r="V1428" s="5">
        <f>_xlfn.XLOOKUP(CustomerCombined[[#This Row],[ID]], Table4[ID], Table4[Visits], "Not Found", 0)</f>
        <v>4</v>
      </c>
      <c r="W1428" s="8">
        <f>_xlfn.XLOOKUP(CustomerCombined[[#This Row],[ID]], Table2[ID],Table2[Complaint], "Not Found", 0 )</f>
        <v>0</v>
      </c>
      <c r="X1428" s="8">
        <f>_xlfn.XLOOKUP(CustomerCombined[[#This Row],[ID]], Table2[ID],Table2[Pilot], "Not Found", 0 )</f>
        <v>0</v>
      </c>
      <c r="Y1428" s="8">
        <f>_xlfn.XLOOKUP(CustomerCombined[[#This Row],[ID]], Table2[ID],Table2[MC1], "Not Found", 0 )</f>
        <v>0</v>
      </c>
      <c r="Z1428" s="8">
        <f>_xlfn.XLOOKUP(CustomerCombined[[#This Row],[ID]], Table2[ID],Table2[MC2], "Not Found", 0 )</f>
        <v>0</v>
      </c>
      <c r="AA1428" s="8">
        <f>_xlfn.XLOOKUP(CustomerCombined[[#This Row],[ID]], Table2[ID],Table2[MC3], "Not Found", 0 )</f>
        <v>0</v>
      </c>
      <c r="AB1428" s="8">
        <f>_xlfn.XLOOKUP(CustomerCombined[[#This Row],[ID]], Table2[ID],Table2[MC4], "Not Found", 0 )</f>
        <v>0</v>
      </c>
      <c r="AC1428" s="8">
        <f>_xlfn.XLOOKUP(CustomerCombined[[#This Row],[ID]], Table2[ID],Table2[MC5], "Not Found", 0 )</f>
        <v>0</v>
      </c>
    </row>
    <row r="1429" spans="1:29" x14ac:dyDescent="0.3">
      <c r="A1429" s="6">
        <v>2141</v>
      </c>
      <c r="B1429" s="6">
        <v>144375</v>
      </c>
      <c r="C1429" s="6">
        <v>0</v>
      </c>
      <c r="D1429" s="6">
        <v>1</v>
      </c>
      <c r="E1429" s="6">
        <v>55</v>
      </c>
      <c r="F1429" s="5" t="s">
        <v>6</v>
      </c>
      <c r="G1429" s="5" t="s">
        <v>11</v>
      </c>
      <c r="H1429" s="3" t="s">
        <v>78</v>
      </c>
      <c r="I1429" s="5" t="s">
        <v>434</v>
      </c>
      <c r="J1429" s="5">
        <f>_xlfn.XLOOKUP(CustomerCombined[[#This Row],[ID]], Table4[ID], Table4[Recency], "Not Found", 0)</f>
        <v>73</v>
      </c>
      <c r="K1429" s="5">
        <f>_xlfn.XLOOKUP(CustomerCombined[[#This Row],[ID]], Table4[ID], Table4[Teas], "Not Found", 0)</f>
        <v>693</v>
      </c>
      <c r="L1429" s="5">
        <f>_xlfn.XLOOKUP(CustomerCombined[[#This Row],[ID]], Table4[ID], Table4[Fruits], "Not Found", 0)</f>
        <v>16</v>
      </c>
      <c r="M1429" s="5">
        <f>_xlfn.XLOOKUP(CustomerCombined[[#This Row],[ID]], Table4[ID], Table4[Meats], "Not Found", 0)</f>
        <v>91</v>
      </c>
      <c r="N1429" s="5">
        <f>_xlfn.XLOOKUP(CustomerCombined[[#This Row],[ID]], Table4[ID], Table4[Seafood], "Not Found", 0)</f>
        <v>23</v>
      </c>
      <c r="O1429" s="5">
        <f>_xlfn.XLOOKUP(CustomerCombined[[#This Row],[ID]], Table4[ID], Table4[Sweets], "Not Found", 0)</f>
        <v>23</v>
      </c>
      <c r="P1429" s="5">
        <f>_xlfn.XLOOKUP(CustomerCombined[[#This Row],[ID]], Table4[ID], Table4[Premium], "Not Found", 0)</f>
        <v>133</v>
      </c>
      <c r="Q1429" s="5">
        <f>_xlfn.XLOOKUP(CustomerCombined[[#This Row],[ID]], Table4[ID], Table4[Regular], "Not Found", 0)</f>
        <v>713</v>
      </c>
      <c r="R1429" s="5">
        <f>_xlfn.XLOOKUP(CustomerCombined[[#This Row],[ID]], Table4[ID], Table4[Deals], "Not Found", 0)</f>
        <v>1</v>
      </c>
      <c r="S1429" s="5">
        <f>_xlfn.XLOOKUP(CustomerCombined[[#This Row],[ID]], Table4[ID], Table4[Website], "Not Found", 0)</f>
        <v>4</v>
      </c>
      <c r="T1429" s="5">
        <f>_xlfn.XLOOKUP(CustomerCombined[[#This Row],[ID]], Table4[ID], Table4[Catalog], "Not Found", 0)</f>
        <v>1</v>
      </c>
      <c r="U1429" s="5">
        <f>_xlfn.XLOOKUP(CustomerCombined[[#This Row],[ID]], Table4[ID], Table4[Store], "Not Found", 0)</f>
        <v>6</v>
      </c>
      <c r="V1429" s="5">
        <f>_xlfn.XLOOKUP(CustomerCombined[[#This Row],[ID]], Table4[ID], Table4[Visits], "Not Found", 0)</f>
        <v>5</v>
      </c>
      <c r="W1429" s="8">
        <f>_xlfn.XLOOKUP(CustomerCombined[[#This Row],[ID]], Table2[ID],Table2[Complaint], "Not Found", 0 )</f>
        <v>0</v>
      </c>
      <c r="X1429" s="8">
        <f>_xlfn.XLOOKUP(CustomerCombined[[#This Row],[ID]], Table2[ID],Table2[Pilot], "Not Found", 0 )</f>
        <v>0</v>
      </c>
      <c r="Y1429" s="8">
        <f>_xlfn.XLOOKUP(CustomerCombined[[#This Row],[ID]], Table2[ID],Table2[MC1], "Not Found", 0 )</f>
        <v>0</v>
      </c>
      <c r="Z1429" s="8">
        <f>_xlfn.XLOOKUP(CustomerCombined[[#This Row],[ID]], Table2[ID],Table2[MC2], "Not Found", 0 )</f>
        <v>0</v>
      </c>
      <c r="AA1429" s="8">
        <f>_xlfn.XLOOKUP(CustomerCombined[[#This Row],[ID]], Table2[ID],Table2[MC3], "Not Found", 0 )</f>
        <v>0</v>
      </c>
      <c r="AB1429" s="8">
        <f>_xlfn.XLOOKUP(CustomerCombined[[#This Row],[ID]], Table2[ID],Table2[MC4], "Not Found", 0 )</f>
        <v>0</v>
      </c>
      <c r="AC1429" s="8">
        <f>_xlfn.XLOOKUP(CustomerCombined[[#This Row],[ID]], Table2[ID],Table2[MC5], "Not Found", 0 )</f>
        <v>0</v>
      </c>
    </row>
    <row r="1430" spans="1:29" x14ac:dyDescent="0.3">
      <c r="A1430" s="6">
        <v>1330</v>
      </c>
      <c r="B1430" s="6">
        <v>144300</v>
      </c>
      <c r="C1430" s="6">
        <v>1</v>
      </c>
      <c r="D1430" s="6">
        <v>1</v>
      </c>
      <c r="E1430" s="6">
        <v>55</v>
      </c>
      <c r="F1430" s="5" t="s">
        <v>6</v>
      </c>
      <c r="G1430" s="5" t="s">
        <v>11</v>
      </c>
      <c r="H1430" s="3" t="s">
        <v>230</v>
      </c>
      <c r="I1430" s="5" t="s">
        <v>439</v>
      </c>
      <c r="J1430" s="5">
        <f>_xlfn.XLOOKUP(CustomerCombined[[#This Row],[ID]], Table4[ID], Table4[Recency], "Not Found", 0)</f>
        <v>65</v>
      </c>
      <c r="K1430" s="5">
        <f>_xlfn.XLOOKUP(CustomerCombined[[#This Row],[ID]], Table4[ID], Table4[Teas], "Not Found", 0)</f>
        <v>98</v>
      </c>
      <c r="L1430" s="5">
        <f>_xlfn.XLOOKUP(CustomerCombined[[#This Row],[ID]], Table4[ID], Table4[Fruits], "Not Found", 0)</f>
        <v>0</v>
      </c>
      <c r="M1430" s="5">
        <f>_xlfn.XLOOKUP(CustomerCombined[[#This Row],[ID]], Table4[ID], Table4[Meats], "Not Found", 0)</f>
        <v>29</v>
      </c>
      <c r="N1430" s="5">
        <f>_xlfn.XLOOKUP(CustomerCombined[[#This Row],[ID]], Table4[ID], Table4[Seafood], "Not Found", 0)</f>
        <v>0</v>
      </c>
      <c r="O1430" s="5">
        <f>_xlfn.XLOOKUP(CustomerCombined[[#This Row],[ID]], Table4[ID], Table4[Sweets], "Not Found", 0)</f>
        <v>0</v>
      </c>
      <c r="P1430" s="5">
        <f>_xlfn.XLOOKUP(CustomerCombined[[#This Row],[ID]], Table4[ID], Table4[Premium], "Not Found", 0)</f>
        <v>10</v>
      </c>
      <c r="Q1430" s="5">
        <f>_xlfn.XLOOKUP(CustomerCombined[[#This Row],[ID]], Table4[ID], Table4[Regular], "Not Found", 0)</f>
        <v>117</v>
      </c>
      <c r="R1430" s="5">
        <f>_xlfn.XLOOKUP(CustomerCombined[[#This Row],[ID]], Table4[ID], Table4[Deals], "Not Found", 0)</f>
        <v>2</v>
      </c>
      <c r="S1430" s="5">
        <f>_xlfn.XLOOKUP(CustomerCombined[[#This Row],[ID]], Table4[ID], Table4[Website], "Not Found", 0)</f>
        <v>1</v>
      </c>
      <c r="T1430" s="5">
        <f>_xlfn.XLOOKUP(CustomerCombined[[#This Row],[ID]], Table4[ID], Table4[Catalog], "Not Found", 0)</f>
        <v>0</v>
      </c>
      <c r="U1430" s="5">
        <f>_xlfn.XLOOKUP(CustomerCombined[[#This Row],[ID]], Table4[ID], Table4[Store], "Not Found", 0)</f>
        <v>3</v>
      </c>
      <c r="V1430" s="5">
        <f>_xlfn.XLOOKUP(CustomerCombined[[#This Row],[ID]], Table4[ID], Table4[Visits], "Not Found", 0)</f>
        <v>6</v>
      </c>
      <c r="W1430" s="8">
        <f>_xlfn.XLOOKUP(CustomerCombined[[#This Row],[ID]], Table2[ID],Table2[Complaint], "Not Found", 0 )</f>
        <v>0</v>
      </c>
      <c r="X1430" s="8">
        <f>_xlfn.XLOOKUP(CustomerCombined[[#This Row],[ID]], Table2[ID],Table2[Pilot], "Not Found", 0 )</f>
        <v>0</v>
      </c>
      <c r="Y1430" s="8">
        <f>_xlfn.XLOOKUP(CustomerCombined[[#This Row],[ID]], Table2[ID],Table2[MC1], "Not Found", 0 )</f>
        <v>0</v>
      </c>
      <c r="Z1430" s="8">
        <f>_xlfn.XLOOKUP(CustomerCombined[[#This Row],[ID]], Table2[ID],Table2[MC2], "Not Found", 0 )</f>
        <v>0</v>
      </c>
      <c r="AA1430" s="8">
        <f>_xlfn.XLOOKUP(CustomerCombined[[#This Row],[ID]], Table2[ID],Table2[MC3], "Not Found", 0 )</f>
        <v>0</v>
      </c>
      <c r="AB1430" s="8">
        <f>_xlfn.XLOOKUP(CustomerCombined[[#This Row],[ID]], Table2[ID],Table2[MC4], "Not Found", 0 )</f>
        <v>0</v>
      </c>
      <c r="AC1430" s="8">
        <f>_xlfn.XLOOKUP(CustomerCombined[[#This Row],[ID]], Table2[ID],Table2[MC5], "Not Found", 0 )</f>
        <v>0</v>
      </c>
    </row>
    <row r="1431" spans="1:29" x14ac:dyDescent="0.3">
      <c r="A1431" s="6">
        <v>1753</v>
      </c>
      <c r="B1431" s="6">
        <v>142720</v>
      </c>
      <c r="C1431" s="6">
        <v>1</v>
      </c>
      <c r="D1431" s="6">
        <v>1</v>
      </c>
      <c r="E1431" s="6">
        <v>55</v>
      </c>
      <c r="F1431" s="5" t="s">
        <v>7</v>
      </c>
      <c r="G1431" s="5" t="s">
        <v>11</v>
      </c>
      <c r="H1431" s="3" t="s">
        <v>265</v>
      </c>
      <c r="I1431" s="5" t="s">
        <v>437</v>
      </c>
      <c r="J1431" s="5">
        <f>_xlfn.XLOOKUP(CustomerCombined[[#This Row],[ID]], Table4[ID], Table4[Recency], "Not Found", 0)</f>
        <v>9</v>
      </c>
      <c r="K1431" s="5">
        <f>_xlfn.XLOOKUP(CustomerCombined[[#This Row],[ID]], Table4[ID], Table4[Teas], "Not Found", 0)</f>
        <v>1310</v>
      </c>
      <c r="L1431" s="5">
        <f>_xlfn.XLOOKUP(CustomerCombined[[#This Row],[ID]], Table4[ID], Table4[Fruits], "Not Found", 0)</f>
        <v>17</v>
      </c>
      <c r="M1431" s="5">
        <f>_xlfn.XLOOKUP(CustomerCombined[[#This Row],[ID]], Table4[ID], Table4[Meats], "Not Found", 0)</f>
        <v>304</v>
      </c>
      <c r="N1431" s="5">
        <f>_xlfn.XLOOKUP(CustomerCombined[[#This Row],[ID]], Table4[ID], Table4[Seafood], "Not Found", 0)</f>
        <v>94</v>
      </c>
      <c r="O1431" s="5">
        <f>_xlfn.XLOOKUP(CustomerCombined[[#This Row],[ID]], Table4[ID], Table4[Sweets], "Not Found", 0)</f>
        <v>87</v>
      </c>
      <c r="P1431" s="5">
        <f>_xlfn.XLOOKUP(CustomerCombined[[#This Row],[ID]], Table4[ID], Table4[Premium], "Not Found", 0)</f>
        <v>374</v>
      </c>
      <c r="Q1431" s="5">
        <f>_xlfn.XLOOKUP(CustomerCombined[[#This Row],[ID]], Table4[ID], Table4[Regular], "Not Found", 0)</f>
        <v>1437</v>
      </c>
      <c r="R1431" s="5">
        <f>_xlfn.XLOOKUP(CustomerCombined[[#This Row],[ID]], Table4[ID], Table4[Deals], "Not Found", 0)</f>
        <v>8</v>
      </c>
      <c r="S1431" s="5">
        <f>_xlfn.XLOOKUP(CustomerCombined[[#This Row],[ID]], Table4[ID], Table4[Website], "Not Found", 0)</f>
        <v>7</v>
      </c>
      <c r="T1431" s="5">
        <f>_xlfn.XLOOKUP(CustomerCombined[[#This Row],[ID]], Table4[ID], Table4[Catalog], "Not Found", 0)</f>
        <v>3</v>
      </c>
      <c r="U1431" s="5">
        <f>_xlfn.XLOOKUP(CustomerCombined[[#This Row],[ID]], Table4[ID], Table4[Store], "Not Found", 0)</f>
        <v>7</v>
      </c>
      <c r="V1431" s="5">
        <f>_xlfn.XLOOKUP(CustomerCombined[[#This Row],[ID]], Table4[ID], Table4[Visits], "Not Found", 0)</f>
        <v>8</v>
      </c>
      <c r="W1431" s="8">
        <f>_xlfn.XLOOKUP(CustomerCombined[[#This Row],[ID]], Table2[ID],Table2[Complaint], "Not Found", 0 )</f>
        <v>0</v>
      </c>
      <c r="X1431" s="8">
        <f>_xlfn.XLOOKUP(CustomerCombined[[#This Row],[ID]], Table2[ID],Table2[Pilot], "Not Found", 0 )</f>
        <v>1</v>
      </c>
      <c r="Y1431" s="8">
        <f>_xlfn.XLOOKUP(CustomerCombined[[#This Row],[ID]], Table2[ID],Table2[MC1], "Not Found", 0 )</f>
        <v>0</v>
      </c>
      <c r="Z1431" s="8">
        <f>_xlfn.XLOOKUP(CustomerCombined[[#This Row],[ID]], Table2[ID],Table2[MC2], "Not Found", 0 )</f>
        <v>0</v>
      </c>
      <c r="AA1431" s="8">
        <f>_xlfn.XLOOKUP(CustomerCombined[[#This Row],[ID]], Table2[ID],Table2[MC3], "Not Found", 0 )</f>
        <v>0</v>
      </c>
      <c r="AB1431" s="8">
        <f>_xlfn.XLOOKUP(CustomerCombined[[#This Row],[ID]], Table2[ID],Table2[MC4], "Not Found", 0 )</f>
        <v>0</v>
      </c>
      <c r="AC1431" s="8">
        <f>_xlfn.XLOOKUP(CustomerCombined[[#This Row],[ID]], Table2[ID],Table2[MC5], "Not Found", 0 )</f>
        <v>0</v>
      </c>
    </row>
    <row r="1432" spans="1:29" x14ac:dyDescent="0.3">
      <c r="A1432" s="6">
        <v>1757</v>
      </c>
      <c r="B1432" s="6">
        <v>140760</v>
      </c>
      <c r="C1432" s="6">
        <v>0</v>
      </c>
      <c r="D1432" s="6">
        <v>1</v>
      </c>
      <c r="E1432" s="6">
        <v>55</v>
      </c>
      <c r="F1432" s="5" t="s">
        <v>7</v>
      </c>
      <c r="G1432" s="5" t="s">
        <v>13</v>
      </c>
      <c r="H1432" s="3">
        <v>43923</v>
      </c>
      <c r="I1432" s="5" t="s">
        <v>434</v>
      </c>
      <c r="J1432" s="5">
        <f>_xlfn.XLOOKUP(CustomerCombined[[#This Row],[ID]], Table4[ID], Table4[Recency], "Not Found", 0)</f>
        <v>64</v>
      </c>
      <c r="K1432" s="5">
        <f>_xlfn.XLOOKUP(CustomerCombined[[#This Row],[ID]], Table4[ID], Table4[Teas], "Not Found", 0)</f>
        <v>242</v>
      </c>
      <c r="L1432" s="5">
        <f>_xlfn.XLOOKUP(CustomerCombined[[#This Row],[ID]], Table4[ID], Table4[Fruits], "Not Found", 0)</f>
        <v>0</v>
      </c>
      <c r="M1432" s="5">
        <f>_xlfn.XLOOKUP(CustomerCombined[[#This Row],[ID]], Table4[ID], Table4[Meats], "Not Found", 0)</f>
        <v>59</v>
      </c>
      <c r="N1432" s="5">
        <f>_xlfn.XLOOKUP(CustomerCombined[[#This Row],[ID]], Table4[ID], Table4[Seafood], "Not Found", 0)</f>
        <v>0</v>
      </c>
      <c r="O1432" s="5">
        <f>_xlfn.XLOOKUP(CustomerCombined[[#This Row],[ID]], Table4[ID], Table4[Sweets], "Not Found", 0)</f>
        <v>0</v>
      </c>
      <c r="P1432" s="5">
        <f>_xlfn.XLOOKUP(CustomerCombined[[#This Row],[ID]], Table4[ID], Table4[Premium], "Not Found", 0)</f>
        <v>21</v>
      </c>
      <c r="Q1432" s="5">
        <f>_xlfn.XLOOKUP(CustomerCombined[[#This Row],[ID]], Table4[ID], Table4[Regular], "Not Found", 0)</f>
        <v>280</v>
      </c>
      <c r="R1432" s="5">
        <f>_xlfn.XLOOKUP(CustomerCombined[[#This Row],[ID]], Table4[ID], Table4[Deals], "Not Found", 0)</f>
        <v>2</v>
      </c>
      <c r="S1432" s="5">
        <f>_xlfn.XLOOKUP(CustomerCombined[[#This Row],[ID]], Table4[ID], Table4[Website], "Not Found", 0)</f>
        <v>2</v>
      </c>
      <c r="T1432" s="5">
        <f>_xlfn.XLOOKUP(CustomerCombined[[#This Row],[ID]], Table4[ID], Table4[Catalog], "Not Found", 0)</f>
        <v>1</v>
      </c>
      <c r="U1432" s="5">
        <f>_xlfn.XLOOKUP(CustomerCombined[[#This Row],[ID]], Table4[ID], Table4[Store], "Not Found", 0)</f>
        <v>3</v>
      </c>
      <c r="V1432" s="5">
        <f>_xlfn.XLOOKUP(CustomerCombined[[#This Row],[ID]], Table4[ID], Table4[Visits], "Not Found", 0)</f>
        <v>6</v>
      </c>
      <c r="W1432" s="8">
        <f>_xlfn.XLOOKUP(CustomerCombined[[#This Row],[ID]], Table2[ID],Table2[Complaint], "Not Found", 0 )</f>
        <v>0</v>
      </c>
      <c r="X1432" s="8">
        <f>_xlfn.XLOOKUP(CustomerCombined[[#This Row],[ID]], Table2[ID],Table2[Pilot], "Not Found", 0 )</f>
        <v>0</v>
      </c>
      <c r="Y1432" s="8">
        <f>_xlfn.XLOOKUP(CustomerCombined[[#This Row],[ID]], Table2[ID],Table2[MC1], "Not Found", 0 )</f>
        <v>0</v>
      </c>
      <c r="Z1432" s="8">
        <f>_xlfn.XLOOKUP(CustomerCombined[[#This Row],[ID]], Table2[ID],Table2[MC2], "Not Found", 0 )</f>
        <v>0</v>
      </c>
      <c r="AA1432" s="8">
        <f>_xlfn.XLOOKUP(CustomerCombined[[#This Row],[ID]], Table2[ID],Table2[MC3], "Not Found", 0 )</f>
        <v>0</v>
      </c>
      <c r="AB1432" s="8">
        <f>_xlfn.XLOOKUP(CustomerCombined[[#This Row],[ID]], Table2[ID],Table2[MC4], "Not Found", 0 )</f>
        <v>0</v>
      </c>
      <c r="AC1432" s="8">
        <f>_xlfn.XLOOKUP(CustomerCombined[[#This Row],[ID]], Table2[ID],Table2[MC5], "Not Found", 0 )</f>
        <v>0</v>
      </c>
    </row>
    <row r="1433" spans="1:29" x14ac:dyDescent="0.3">
      <c r="A1433" s="6">
        <v>1192</v>
      </c>
      <c r="B1433" s="6">
        <v>140637</v>
      </c>
      <c r="C1433" s="6">
        <v>1</v>
      </c>
      <c r="D1433" s="6">
        <v>1</v>
      </c>
      <c r="E1433" s="6">
        <v>55</v>
      </c>
      <c r="F1433" s="5" t="s">
        <v>7</v>
      </c>
      <c r="G1433" s="5" t="s">
        <v>13</v>
      </c>
      <c r="H1433" s="3" t="s">
        <v>219</v>
      </c>
      <c r="I1433" s="5" t="s">
        <v>439</v>
      </c>
      <c r="J1433" s="5">
        <f>_xlfn.XLOOKUP(CustomerCombined[[#This Row],[ID]], Table4[ID], Table4[Recency], "Not Found", 0)</f>
        <v>72</v>
      </c>
      <c r="K1433" s="5">
        <f>_xlfn.XLOOKUP(CustomerCombined[[#This Row],[ID]], Table4[ID], Table4[Teas], "Not Found", 0)</f>
        <v>76</v>
      </c>
      <c r="L1433" s="5">
        <f>_xlfn.XLOOKUP(CustomerCombined[[#This Row],[ID]], Table4[ID], Table4[Fruits], "Not Found", 0)</f>
        <v>0</v>
      </c>
      <c r="M1433" s="5">
        <f>_xlfn.XLOOKUP(CustomerCombined[[#This Row],[ID]], Table4[ID], Table4[Meats], "Not Found", 0)</f>
        <v>45</v>
      </c>
      <c r="N1433" s="5">
        <f>_xlfn.XLOOKUP(CustomerCombined[[#This Row],[ID]], Table4[ID], Table4[Seafood], "Not Found", 0)</f>
        <v>0</v>
      </c>
      <c r="O1433" s="5">
        <f>_xlfn.XLOOKUP(CustomerCombined[[#This Row],[ID]], Table4[ID], Table4[Sweets], "Not Found", 0)</f>
        <v>0</v>
      </c>
      <c r="P1433" s="5">
        <f>_xlfn.XLOOKUP(CustomerCombined[[#This Row],[ID]], Table4[ID], Table4[Premium], "Not Found", 0)</f>
        <v>10</v>
      </c>
      <c r="Q1433" s="5">
        <f>_xlfn.XLOOKUP(CustomerCombined[[#This Row],[ID]], Table4[ID], Table4[Regular], "Not Found", 0)</f>
        <v>111</v>
      </c>
      <c r="R1433" s="5">
        <f>_xlfn.XLOOKUP(CustomerCombined[[#This Row],[ID]], Table4[ID], Table4[Deals], "Not Found", 0)</f>
        <v>2</v>
      </c>
      <c r="S1433" s="5">
        <f>_xlfn.XLOOKUP(CustomerCombined[[#This Row],[ID]], Table4[ID], Table4[Website], "Not Found", 0)</f>
        <v>1</v>
      </c>
      <c r="T1433" s="5">
        <f>_xlfn.XLOOKUP(CustomerCombined[[#This Row],[ID]], Table4[ID], Table4[Catalog], "Not Found", 0)</f>
        <v>0</v>
      </c>
      <c r="U1433" s="5">
        <f>_xlfn.XLOOKUP(CustomerCombined[[#This Row],[ID]], Table4[ID], Table4[Store], "Not Found", 0)</f>
        <v>3</v>
      </c>
      <c r="V1433" s="5">
        <f>_xlfn.XLOOKUP(CustomerCombined[[#This Row],[ID]], Table4[ID], Table4[Visits], "Not Found", 0)</f>
        <v>7</v>
      </c>
      <c r="W1433" s="8">
        <f>_xlfn.XLOOKUP(CustomerCombined[[#This Row],[ID]], Table2[ID],Table2[Complaint], "Not Found", 0 )</f>
        <v>0</v>
      </c>
      <c r="X1433" s="8">
        <f>_xlfn.XLOOKUP(CustomerCombined[[#This Row],[ID]], Table2[ID],Table2[Pilot], "Not Found", 0 )</f>
        <v>0</v>
      </c>
      <c r="Y1433" s="8">
        <f>_xlfn.XLOOKUP(CustomerCombined[[#This Row],[ID]], Table2[ID],Table2[MC1], "Not Found", 0 )</f>
        <v>0</v>
      </c>
      <c r="Z1433" s="8">
        <f>_xlfn.XLOOKUP(CustomerCombined[[#This Row],[ID]], Table2[ID],Table2[MC2], "Not Found", 0 )</f>
        <v>0</v>
      </c>
      <c r="AA1433" s="8">
        <f>_xlfn.XLOOKUP(CustomerCombined[[#This Row],[ID]], Table2[ID],Table2[MC3], "Not Found", 0 )</f>
        <v>0</v>
      </c>
      <c r="AB1433" s="8">
        <f>_xlfn.XLOOKUP(CustomerCombined[[#This Row],[ID]], Table2[ID],Table2[MC4], "Not Found", 0 )</f>
        <v>0</v>
      </c>
      <c r="AC1433" s="8">
        <f>_xlfn.XLOOKUP(CustomerCombined[[#This Row],[ID]], Table2[ID],Table2[MC5], "Not Found", 0 )</f>
        <v>0</v>
      </c>
    </row>
    <row r="1434" spans="1:29" x14ac:dyDescent="0.3">
      <c r="A1434" s="6">
        <v>1129</v>
      </c>
      <c r="B1434" s="6">
        <v>136921</v>
      </c>
      <c r="C1434" s="6">
        <v>1</v>
      </c>
      <c r="D1434" s="6">
        <v>1</v>
      </c>
      <c r="E1434" s="6">
        <v>55</v>
      </c>
      <c r="F1434" s="5" t="s">
        <v>5</v>
      </c>
      <c r="G1434" s="5" t="s">
        <v>13</v>
      </c>
      <c r="H1434" s="3">
        <v>43862</v>
      </c>
      <c r="I1434" s="5" t="s">
        <v>437</v>
      </c>
      <c r="J1434" s="5">
        <f>_xlfn.XLOOKUP(CustomerCombined[[#This Row],[ID]], Table4[ID], Table4[Recency], "Not Found", 0)</f>
        <v>74</v>
      </c>
      <c r="K1434" s="5">
        <f>_xlfn.XLOOKUP(CustomerCombined[[#This Row],[ID]], Table4[ID], Table4[Teas], "Not Found", 0)</f>
        <v>63</v>
      </c>
      <c r="L1434" s="5">
        <f>_xlfn.XLOOKUP(CustomerCombined[[#This Row],[ID]], Table4[ID], Table4[Fruits], "Not Found", 0)</f>
        <v>4</v>
      </c>
      <c r="M1434" s="5">
        <f>_xlfn.XLOOKUP(CustomerCombined[[#This Row],[ID]], Table4[ID], Table4[Meats], "Not Found", 0)</f>
        <v>45</v>
      </c>
      <c r="N1434" s="5">
        <f>_xlfn.XLOOKUP(CustomerCombined[[#This Row],[ID]], Table4[ID], Table4[Seafood], "Not Found", 0)</f>
        <v>11</v>
      </c>
      <c r="O1434" s="5">
        <f>_xlfn.XLOOKUP(CustomerCombined[[#This Row],[ID]], Table4[ID], Table4[Sweets], "Not Found", 0)</f>
        <v>4</v>
      </c>
      <c r="P1434" s="5">
        <f>_xlfn.XLOOKUP(CustomerCombined[[#This Row],[ID]], Table4[ID], Table4[Premium], "Not Found", 0)</f>
        <v>15</v>
      </c>
      <c r="Q1434" s="5">
        <f>_xlfn.XLOOKUP(CustomerCombined[[#This Row],[ID]], Table4[ID], Table4[Regular], "Not Found", 0)</f>
        <v>111</v>
      </c>
      <c r="R1434" s="5">
        <f>_xlfn.XLOOKUP(CustomerCombined[[#This Row],[ID]], Table4[ID], Table4[Deals], "Not Found", 0)</f>
        <v>2</v>
      </c>
      <c r="S1434" s="5">
        <f>_xlfn.XLOOKUP(CustomerCombined[[#This Row],[ID]], Table4[ID], Table4[Website], "Not Found", 0)</f>
        <v>2</v>
      </c>
      <c r="T1434" s="5">
        <f>_xlfn.XLOOKUP(CustomerCombined[[#This Row],[ID]], Table4[ID], Table4[Catalog], "Not Found", 0)</f>
        <v>0</v>
      </c>
      <c r="U1434" s="5">
        <f>_xlfn.XLOOKUP(CustomerCombined[[#This Row],[ID]], Table4[ID], Table4[Store], "Not Found", 0)</f>
        <v>3</v>
      </c>
      <c r="V1434" s="5">
        <f>_xlfn.XLOOKUP(CustomerCombined[[#This Row],[ID]], Table4[ID], Table4[Visits], "Not Found", 0)</f>
        <v>7</v>
      </c>
      <c r="W1434" s="8">
        <f>_xlfn.XLOOKUP(CustomerCombined[[#This Row],[ID]], Table2[ID],Table2[Complaint], "Not Found", 0 )</f>
        <v>0</v>
      </c>
      <c r="X1434" s="8">
        <f>_xlfn.XLOOKUP(CustomerCombined[[#This Row],[ID]], Table2[ID],Table2[Pilot], "Not Found", 0 )</f>
        <v>0</v>
      </c>
      <c r="Y1434" s="8">
        <f>_xlfn.XLOOKUP(CustomerCombined[[#This Row],[ID]], Table2[ID],Table2[MC1], "Not Found", 0 )</f>
        <v>0</v>
      </c>
      <c r="Z1434" s="8">
        <f>_xlfn.XLOOKUP(CustomerCombined[[#This Row],[ID]], Table2[ID],Table2[MC2], "Not Found", 0 )</f>
        <v>0</v>
      </c>
      <c r="AA1434" s="8">
        <f>_xlfn.XLOOKUP(CustomerCombined[[#This Row],[ID]], Table2[ID],Table2[MC3], "Not Found", 0 )</f>
        <v>0</v>
      </c>
      <c r="AB1434" s="8">
        <f>_xlfn.XLOOKUP(CustomerCombined[[#This Row],[ID]], Table2[ID],Table2[MC4], "Not Found", 0 )</f>
        <v>0</v>
      </c>
      <c r="AC1434" s="8">
        <f>_xlfn.XLOOKUP(CustomerCombined[[#This Row],[ID]], Table2[ID],Table2[MC5], "Not Found", 0 )</f>
        <v>0</v>
      </c>
    </row>
    <row r="1435" spans="1:29" x14ac:dyDescent="0.3">
      <c r="A1435" s="6">
        <v>2190</v>
      </c>
      <c r="B1435" s="6">
        <v>136317</v>
      </c>
      <c r="C1435" s="6">
        <v>0</v>
      </c>
      <c r="D1435" s="6">
        <v>1</v>
      </c>
      <c r="E1435" s="6">
        <v>55</v>
      </c>
      <c r="F1435" s="5" t="s">
        <v>8</v>
      </c>
      <c r="G1435" s="5" t="s">
        <v>11</v>
      </c>
      <c r="H1435" s="3" t="s">
        <v>249</v>
      </c>
      <c r="I1435" s="5" t="s">
        <v>436</v>
      </c>
      <c r="J1435" s="5">
        <f>_xlfn.XLOOKUP(CustomerCombined[[#This Row],[ID]], Table4[ID], Table4[Recency], "Not Found", 0)</f>
        <v>53</v>
      </c>
      <c r="K1435" s="5">
        <f>_xlfn.XLOOKUP(CustomerCombined[[#This Row],[ID]], Table4[ID], Table4[Teas], "Not Found", 0)</f>
        <v>327</v>
      </c>
      <c r="L1435" s="5">
        <f>_xlfn.XLOOKUP(CustomerCombined[[#This Row],[ID]], Table4[ID], Table4[Fruits], "Not Found", 0)</f>
        <v>11</v>
      </c>
      <c r="M1435" s="5">
        <f>_xlfn.XLOOKUP(CustomerCombined[[#This Row],[ID]], Table4[ID], Table4[Meats], "Not Found", 0)</f>
        <v>94</v>
      </c>
      <c r="N1435" s="5">
        <f>_xlfn.XLOOKUP(CustomerCombined[[#This Row],[ID]], Table4[ID], Table4[Seafood], "Not Found", 0)</f>
        <v>11</v>
      </c>
      <c r="O1435" s="5">
        <f>_xlfn.XLOOKUP(CustomerCombined[[#This Row],[ID]], Table4[ID], Table4[Sweets], "Not Found", 0)</f>
        <v>8</v>
      </c>
      <c r="P1435" s="5">
        <f>_xlfn.XLOOKUP(CustomerCombined[[#This Row],[ID]], Table4[ID], Table4[Premium], "Not Found", 0)</f>
        <v>49</v>
      </c>
      <c r="Q1435" s="5">
        <f>_xlfn.XLOOKUP(CustomerCombined[[#This Row],[ID]], Table4[ID], Table4[Regular], "Not Found", 0)</f>
        <v>402</v>
      </c>
      <c r="R1435" s="5">
        <f>_xlfn.XLOOKUP(CustomerCombined[[#This Row],[ID]], Table4[ID], Table4[Deals], "Not Found", 0)</f>
        <v>2</v>
      </c>
      <c r="S1435" s="5">
        <f>_xlfn.XLOOKUP(CustomerCombined[[#This Row],[ID]], Table4[ID], Table4[Website], "Not Found", 0)</f>
        <v>3</v>
      </c>
      <c r="T1435" s="5">
        <f>_xlfn.XLOOKUP(CustomerCombined[[#This Row],[ID]], Table4[ID], Table4[Catalog], "Not Found", 0)</f>
        <v>0</v>
      </c>
      <c r="U1435" s="5">
        <f>_xlfn.XLOOKUP(CustomerCombined[[#This Row],[ID]], Table4[ID], Table4[Store], "Not Found", 0)</f>
        <v>4</v>
      </c>
      <c r="V1435" s="5">
        <f>_xlfn.XLOOKUP(CustomerCombined[[#This Row],[ID]], Table4[ID], Table4[Visits], "Not Found", 0)</f>
        <v>7</v>
      </c>
      <c r="W1435" s="8">
        <f>_xlfn.XLOOKUP(CustomerCombined[[#This Row],[ID]], Table2[ID],Table2[Complaint], "Not Found", 0 )</f>
        <v>0</v>
      </c>
      <c r="X1435" s="8">
        <f>_xlfn.XLOOKUP(CustomerCombined[[#This Row],[ID]], Table2[ID],Table2[Pilot], "Not Found", 0 )</f>
        <v>0</v>
      </c>
      <c r="Y1435" s="8">
        <f>_xlfn.XLOOKUP(CustomerCombined[[#This Row],[ID]], Table2[ID],Table2[MC1], "Not Found", 0 )</f>
        <v>0</v>
      </c>
      <c r="Z1435" s="8">
        <f>_xlfn.XLOOKUP(CustomerCombined[[#This Row],[ID]], Table2[ID],Table2[MC2], "Not Found", 0 )</f>
        <v>0</v>
      </c>
      <c r="AA1435" s="8">
        <f>_xlfn.XLOOKUP(CustomerCombined[[#This Row],[ID]], Table2[ID],Table2[MC3], "Not Found", 0 )</f>
        <v>0</v>
      </c>
      <c r="AB1435" s="8">
        <f>_xlfn.XLOOKUP(CustomerCombined[[#This Row],[ID]], Table2[ID],Table2[MC4], "Not Found", 0 )</f>
        <v>0</v>
      </c>
      <c r="AC1435" s="8">
        <f>_xlfn.XLOOKUP(CustomerCombined[[#This Row],[ID]], Table2[ID],Table2[MC5], "Not Found", 0 )</f>
        <v>0</v>
      </c>
    </row>
    <row r="1436" spans="1:29" x14ac:dyDescent="0.3">
      <c r="A1436" s="6">
        <v>1600</v>
      </c>
      <c r="B1436" s="6">
        <v>135791</v>
      </c>
      <c r="C1436" s="6">
        <v>2</v>
      </c>
      <c r="D1436" s="6">
        <v>1</v>
      </c>
      <c r="E1436" s="6">
        <v>55</v>
      </c>
      <c r="F1436" s="5" t="s">
        <v>7</v>
      </c>
      <c r="G1436" s="5" t="s">
        <v>12</v>
      </c>
      <c r="H1436" s="3">
        <v>43779</v>
      </c>
      <c r="I1436" s="5" t="s">
        <v>439</v>
      </c>
      <c r="J1436" s="5">
        <f>_xlfn.XLOOKUP(CustomerCombined[[#This Row],[ID]], Table4[ID], Table4[Recency], "Not Found", 0)</f>
        <v>94</v>
      </c>
      <c r="K1436" s="5">
        <f>_xlfn.XLOOKUP(CustomerCombined[[#This Row],[ID]], Table4[ID], Table4[Teas], "Not Found", 0)</f>
        <v>102</v>
      </c>
      <c r="L1436" s="5">
        <f>_xlfn.XLOOKUP(CustomerCombined[[#This Row],[ID]], Table4[ID], Table4[Fruits], "Not Found", 0)</f>
        <v>0</v>
      </c>
      <c r="M1436" s="5">
        <f>_xlfn.XLOOKUP(CustomerCombined[[#This Row],[ID]], Table4[ID], Table4[Meats], "Not Found", 0)</f>
        <v>19</v>
      </c>
      <c r="N1436" s="5">
        <f>_xlfn.XLOOKUP(CustomerCombined[[#This Row],[ID]], Table4[ID], Table4[Seafood], "Not Found", 0)</f>
        <v>0</v>
      </c>
      <c r="O1436" s="5">
        <f>_xlfn.XLOOKUP(CustomerCombined[[#This Row],[ID]], Table4[ID], Table4[Sweets], "Not Found", 0)</f>
        <v>0</v>
      </c>
      <c r="P1436" s="5">
        <f>_xlfn.XLOOKUP(CustomerCombined[[#This Row],[ID]], Table4[ID], Table4[Premium], "Not Found", 0)</f>
        <v>11</v>
      </c>
      <c r="Q1436" s="5">
        <f>_xlfn.XLOOKUP(CustomerCombined[[#This Row],[ID]], Table4[ID], Table4[Regular], "Not Found", 0)</f>
        <v>110</v>
      </c>
      <c r="R1436" s="5">
        <f>_xlfn.XLOOKUP(CustomerCombined[[#This Row],[ID]], Table4[ID], Table4[Deals], "Not Found", 0)</f>
        <v>2</v>
      </c>
      <c r="S1436" s="5">
        <f>_xlfn.XLOOKUP(CustomerCombined[[#This Row],[ID]], Table4[ID], Table4[Website], "Not Found", 0)</f>
        <v>1</v>
      </c>
      <c r="T1436" s="5">
        <f>_xlfn.XLOOKUP(CustomerCombined[[#This Row],[ID]], Table4[ID], Table4[Catalog], "Not Found", 0)</f>
        <v>0</v>
      </c>
      <c r="U1436" s="5">
        <f>_xlfn.XLOOKUP(CustomerCombined[[#This Row],[ID]], Table4[ID], Table4[Store], "Not Found", 0)</f>
        <v>3</v>
      </c>
      <c r="V1436" s="5">
        <f>_xlfn.XLOOKUP(CustomerCombined[[#This Row],[ID]], Table4[ID], Table4[Visits], "Not Found", 0)</f>
        <v>8</v>
      </c>
      <c r="W1436" s="8">
        <f>_xlfn.XLOOKUP(CustomerCombined[[#This Row],[ID]], Table2[ID],Table2[Complaint], "Not Found", 0 )</f>
        <v>0</v>
      </c>
      <c r="X1436" s="8">
        <f>_xlfn.XLOOKUP(CustomerCombined[[#This Row],[ID]], Table2[ID],Table2[Pilot], "Not Found", 0 )</f>
        <v>0</v>
      </c>
      <c r="Y1436" s="8">
        <f>_xlfn.XLOOKUP(CustomerCombined[[#This Row],[ID]], Table2[ID],Table2[MC1], "Not Found", 0 )</f>
        <v>0</v>
      </c>
      <c r="Z1436" s="8">
        <f>_xlfn.XLOOKUP(CustomerCombined[[#This Row],[ID]], Table2[ID],Table2[MC2], "Not Found", 0 )</f>
        <v>0</v>
      </c>
      <c r="AA1436" s="8">
        <f>_xlfn.XLOOKUP(CustomerCombined[[#This Row],[ID]], Table2[ID],Table2[MC3], "Not Found", 0 )</f>
        <v>0</v>
      </c>
      <c r="AB1436" s="8">
        <f>_xlfn.XLOOKUP(CustomerCombined[[#This Row],[ID]], Table2[ID],Table2[MC4], "Not Found", 0 )</f>
        <v>0</v>
      </c>
      <c r="AC1436" s="8">
        <f>_xlfn.XLOOKUP(CustomerCombined[[#This Row],[ID]], Table2[ID],Table2[MC5], "Not Found", 0 )</f>
        <v>0</v>
      </c>
    </row>
    <row r="1437" spans="1:29" x14ac:dyDescent="0.3">
      <c r="A1437" s="6">
        <v>2352</v>
      </c>
      <c r="B1437" s="6">
        <v>135791</v>
      </c>
      <c r="C1437" s="6">
        <v>2</v>
      </c>
      <c r="D1437" s="6">
        <v>1</v>
      </c>
      <c r="E1437" s="6">
        <v>55</v>
      </c>
      <c r="F1437" s="5" t="s">
        <v>7</v>
      </c>
      <c r="G1437" s="5" t="s">
        <v>12</v>
      </c>
      <c r="H1437" s="3">
        <v>43779</v>
      </c>
      <c r="I1437" s="5" t="s">
        <v>436</v>
      </c>
      <c r="J1437" s="5">
        <f>_xlfn.XLOOKUP(CustomerCombined[[#This Row],[ID]], Table4[ID], Table4[Recency], "Not Found", 0)</f>
        <v>94</v>
      </c>
      <c r="K1437" s="5">
        <f>_xlfn.XLOOKUP(CustomerCombined[[#This Row],[ID]], Table4[ID], Table4[Teas], "Not Found", 0)</f>
        <v>102</v>
      </c>
      <c r="L1437" s="5">
        <f>_xlfn.XLOOKUP(CustomerCombined[[#This Row],[ID]], Table4[ID], Table4[Fruits], "Not Found", 0)</f>
        <v>0</v>
      </c>
      <c r="M1437" s="5">
        <f>_xlfn.XLOOKUP(CustomerCombined[[#This Row],[ID]], Table4[ID], Table4[Meats], "Not Found", 0)</f>
        <v>19</v>
      </c>
      <c r="N1437" s="5">
        <f>_xlfn.XLOOKUP(CustomerCombined[[#This Row],[ID]], Table4[ID], Table4[Seafood], "Not Found", 0)</f>
        <v>0</v>
      </c>
      <c r="O1437" s="5">
        <f>_xlfn.XLOOKUP(CustomerCombined[[#This Row],[ID]], Table4[ID], Table4[Sweets], "Not Found", 0)</f>
        <v>0</v>
      </c>
      <c r="P1437" s="5">
        <f>_xlfn.XLOOKUP(CustomerCombined[[#This Row],[ID]], Table4[ID], Table4[Premium], "Not Found", 0)</f>
        <v>11</v>
      </c>
      <c r="Q1437" s="5">
        <f>_xlfn.XLOOKUP(CustomerCombined[[#This Row],[ID]], Table4[ID], Table4[Regular], "Not Found", 0)</f>
        <v>110</v>
      </c>
      <c r="R1437" s="5">
        <f>_xlfn.XLOOKUP(CustomerCombined[[#This Row],[ID]], Table4[ID], Table4[Deals], "Not Found", 0)</f>
        <v>2</v>
      </c>
      <c r="S1437" s="5">
        <f>_xlfn.XLOOKUP(CustomerCombined[[#This Row],[ID]], Table4[ID], Table4[Website], "Not Found", 0)</f>
        <v>1</v>
      </c>
      <c r="T1437" s="5">
        <f>_xlfn.XLOOKUP(CustomerCombined[[#This Row],[ID]], Table4[ID], Table4[Catalog], "Not Found", 0)</f>
        <v>0</v>
      </c>
      <c r="U1437" s="5">
        <f>_xlfn.XLOOKUP(CustomerCombined[[#This Row],[ID]], Table4[ID], Table4[Store], "Not Found", 0)</f>
        <v>3</v>
      </c>
      <c r="V1437" s="5">
        <f>_xlfn.XLOOKUP(CustomerCombined[[#This Row],[ID]], Table4[ID], Table4[Visits], "Not Found", 0)</f>
        <v>8</v>
      </c>
      <c r="W1437" s="8">
        <f>_xlfn.XLOOKUP(CustomerCombined[[#This Row],[ID]], Table2[ID],Table2[Complaint], "Not Found", 0 )</f>
        <v>0</v>
      </c>
      <c r="X1437" s="8">
        <f>_xlfn.XLOOKUP(CustomerCombined[[#This Row],[ID]], Table2[ID],Table2[Pilot], "Not Found", 0 )</f>
        <v>0</v>
      </c>
      <c r="Y1437" s="8">
        <f>_xlfn.XLOOKUP(CustomerCombined[[#This Row],[ID]], Table2[ID],Table2[MC1], "Not Found", 0 )</f>
        <v>0</v>
      </c>
      <c r="Z1437" s="8">
        <f>_xlfn.XLOOKUP(CustomerCombined[[#This Row],[ID]], Table2[ID],Table2[MC2], "Not Found", 0 )</f>
        <v>0</v>
      </c>
      <c r="AA1437" s="8">
        <f>_xlfn.XLOOKUP(CustomerCombined[[#This Row],[ID]], Table2[ID],Table2[MC3], "Not Found", 0 )</f>
        <v>0</v>
      </c>
      <c r="AB1437" s="8">
        <f>_xlfn.XLOOKUP(CustomerCombined[[#This Row],[ID]], Table2[ID],Table2[MC4], "Not Found", 0 )</f>
        <v>0</v>
      </c>
      <c r="AC1437" s="8">
        <f>_xlfn.XLOOKUP(CustomerCombined[[#This Row],[ID]], Table2[ID],Table2[MC5], "Not Found", 0 )</f>
        <v>0</v>
      </c>
    </row>
    <row r="1438" spans="1:29" x14ac:dyDescent="0.3">
      <c r="A1438" s="6">
        <v>2894</v>
      </c>
      <c r="B1438" s="6">
        <v>134230</v>
      </c>
      <c r="C1438" s="6">
        <v>1</v>
      </c>
      <c r="D1438" s="6">
        <v>1</v>
      </c>
      <c r="E1438" s="6">
        <v>55</v>
      </c>
      <c r="F1438" s="5" t="s">
        <v>8</v>
      </c>
      <c r="G1438" s="5" t="s">
        <v>13</v>
      </c>
      <c r="H1438" s="3">
        <v>43502</v>
      </c>
      <c r="I1438" s="5" t="s">
        <v>438</v>
      </c>
      <c r="J1438" s="5">
        <f>_xlfn.XLOOKUP(CustomerCombined[[#This Row],[ID]], Table4[ID], Table4[Recency], "Not Found", 0)</f>
        <v>72</v>
      </c>
      <c r="K1438" s="5">
        <f>_xlfn.XLOOKUP(CustomerCombined[[#This Row],[ID]], Table4[ID], Table4[Teas], "Not Found", 0)</f>
        <v>59</v>
      </c>
      <c r="L1438" s="5">
        <f>_xlfn.XLOOKUP(CustomerCombined[[#This Row],[ID]], Table4[ID], Table4[Fruits], "Not Found", 0)</f>
        <v>0</v>
      </c>
      <c r="M1438" s="5">
        <f>_xlfn.XLOOKUP(CustomerCombined[[#This Row],[ID]], Table4[ID], Table4[Meats], "Not Found", 0)</f>
        <v>16</v>
      </c>
      <c r="N1438" s="5">
        <f>_xlfn.XLOOKUP(CustomerCombined[[#This Row],[ID]], Table4[ID], Table4[Seafood], "Not Found", 0)</f>
        <v>0</v>
      </c>
      <c r="O1438" s="5">
        <f>_xlfn.XLOOKUP(CustomerCombined[[#This Row],[ID]], Table4[ID], Table4[Sweets], "Not Found", 0)</f>
        <v>0</v>
      </c>
      <c r="P1438" s="5">
        <f>_xlfn.XLOOKUP(CustomerCombined[[#This Row],[ID]], Table4[ID], Table4[Premium], "Not Found", 0)</f>
        <v>8</v>
      </c>
      <c r="Q1438" s="5">
        <f>_xlfn.XLOOKUP(CustomerCombined[[#This Row],[ID]], Table4[ID], Table4[Regular], "Not Found", 0)</f>
        <v>67</v>
      </c>
      <c r="R1438" s="5">
        <f>_xlfn.XLOOKUP(CustomerCombined[[#This Row],[ID]], Table4[ID], Table4[Deals], "Not Found", 0)</f>
        <v>1</v>
      </c>
      <c r="S1438" s="5">
        <f>_xlfn.XLOOKUP(CustomerCombined[[#This Row],[ID]], Table4[ID], Table4[Website], "Not Found", 0)</f>
        <v>1</v>
      </c>
      <c r="T1438" s="5">
        <f>_xlfn.XLOOKUP(CustomerCombined[[#This Row],[ID]], Table4[ID], Table4[Catalog], "Not Found", 0)</f>
        <v>0</v>
      </c>
      <c r="U1438" s="5">
        <f>_xlfn.XLOOKUP(CustomerCombined[[#This Row],[ID]], Table4[ID], Table4[Store], "Not Found", 0)</f>
        <v>2</v>
      </c>
      <c r="V1438" s="5">
        <f>_xlfn.XLOOKUP(CustomerCombined[[#This Row],[ID]], Table4[ID], Table4[Visits], "Not Found", 0)</f>
        <v>7</v>
      </c>
      <c r="W1438" s="8">
        <f>_xlfn.XLOOKUP(CustomerCombined[[#This Row],[ID]], Table2[ID],Table2[Complaint], "Not Found", 0 )</f>
        <v>0</v>
      </c>
      <c r="X1438" s="8">
        <f>_xlfn.XLOOKUP(CustomerCombined[[#This Row],[ID]], Table2[ID],Table2[Pilot], "Not Found", 0 )</f>
        <v>0</v>
      </c>
      <c r="Y1438" s="8">
        <f>_xlfn.XLOOKUP(CustomerCombined[[#This Row],[ID]], Table2[ID],Table2[MC1], "Not Found", 0 )</f>
        <v>0</v>
      </c>
      <c r="Z1438" s="8">
        <f>_xlfn.XLOOKUP(CustomerCombined[[#This Row],[ID]], Table2[ID],Table2[MC2], "Not Found", 0 )</f>
        <v>0</v>
      </c>
      <c r="AA1438" s="8">
        <f>_xlfn.XLOOKUP(CustomerCombined[[#This Row],[ID]], Table2[ID],Table2[MC3], "Not Found", 0 )</f>
        <v>0</v>
      </c>
      <c r="AB1438" s="8">
        <f>_xlfn.XLOOKUP(CustomerCombined[[#This Row],[ID]], Table2[ID],Table2[MC4], "Not Found", 0 )</f>
        <v>0</v>
      </c>
      <c r="AC1438" s="8">
        <f>_xlfn.XLOOKUP(CustomerCombined[[#This Row],[ID]], Table2[ID],Table2[MC5], "Not Found", 0 )</f>
        <v>0</v>
      </c>
    </row>
    <row r="1439" spans="1:29" x14ac:dyDescent="0.3">
      <c r="A1439" s="6">
        <v>1159</v>
      </c>
      <c r="B1439" s="6">
        <v>133456</v>
      </c>
      <c r="C1439" s="6">
        <v>1</v>
      </c>
      <c r="D1439" s="6">
        <v>1</v>
      </c>
      <c r="E1439" s="6">
        <v>55</v>
      </c>
      <c r="F1439" s="5" t="s">
        <v>8</v>
      </c>
      <c r="G1439" s="5" t="s">
        <v>11</v>
      </c>
      <c r="H1439" s="3" t="s">
        <v>61</v>
      </c>
      <c r="I1439" s="5" t="s">
        <v>437</v>
      </c>
      <c r="J1439" s="5">
        <f>_xlfn.XLOOKUP(CustomerCombined[[#This Row],[ID]], Table4[ID], Table4[Recency], "Not Found", 0)</f>
        <v>58</v>
      </c>
      <c r="K1439" s="5">
        <f>_xlfn.XLOOKUP(CustomerCombined[[#This Row],[ID]], Table4[ID], Table4[Teas], "Not Found", 0)</f>
        <v>28</v>
      </c>
      <c r="L1439" s="5">
        <f>_xlfn.XLOOKUP(CustomerCombined[[#This Row],[ID]], Table4[ID], Table4[Fruits], "Not Found", 0)</f>
        <v>12</v>
      </c>
      <c r="M1439" s="5">
        <f>_xlfn.XLOOKUP(CustomerCombined[[#This Row],[ID]], Table4[ID], Table4[Meats], "Not Found", 0)</f>
        <v>40</v>
      </c>
      <c r="N1439" s="5">
        <f>_xlfn.XLOOKUP(CustomerCombined[[#This Row],[ID]], Table4[ID], Table4[Seafood], "Not Found", 0)</f>
        <v>32</v>
      </c>
      <c r="O1439" s="5">
        <f>_xlfn.XLOOKUP(CustomerCombined[[#This Row],[ID]], Table4[ID], Table4[Sweets], "Not Found", 0)</f>
        <v>4</v>
      </c>
      <c r="P1439" s="5">
        <f>_xlfn.XLOOKUP(CustomerCombined[[#This Row],[ID]], Table4[ID], Table4[Premium], "Not Found", 0)</f>
        <v>28</v>
      </c>
      <c r="Q1439" s="5">
        <f>_xlfn.XLOOKUP(CustomerCombined[[#This Row],[ID]], Table4[ID], Table4[Regular], "Not Found", 0)</f>
        <v>88</v>
      </c>
      <c r="R1439" s="5">
        <f>_xlfn.XLOOKUP(CustomerCombined[[#This Row],[ID]], Table4[ID], Table4[Deals], "Not Found", 0)</f>
        <v>2</v>
      </c>
      <c r="S1439" s="5">
        <f>_xlfn.XLOOKUP(CustomerCombined[[#This Row],[ID]], Table4[ID], Table4[Website], "Not Found", 0)</f>
        <v>1</v>
      </c>
      <c r="T1439" s="5">
        <f>_xlfn.XLOOKUP(CustomerCombined[[#This Row],[ID]], Table4[ID], Table4[Catalog], "Not Found", 0)</f>
        <v>0</v>
      </c>
      <c r="U1439" s="5">
        <f>_xlfn.XLOOKUP(CustomerCombined[[#This Row],[ID]], Table4[ID], Table4[Store], "Not Found", 0)</f>
        <v>3</v>
      </c>
      <c r="V1439" s="5">
        <f>_xlfn.XLOOKUP(CustomerCombined[[#This Row],[ID]], Table4[ID], Table4[Visits], "Not Found", 0)</f>
        <v>7</v>
      </c>
      <c r="W1439" s="8">
        <f>_xlfn.XLOOKUP(CustomerCombined[[#This Row],[ID]], Table2[ID],Table2[Complaint], "Not Found", 0 )</f>
        <v>0</v>
      </c>
      <c r="X1439" s="8">
        <f>_xlfn.XLOOKUP(CustomerCombined[[#This Row],[ID]], Table2[ID],Table2[Pilot], "Not Found", 0 )</f>
        <v>0</v>
      </c>
      <c r="Y1439" s="8">
        <f>_xlfn.XLOOKUP(CustomerCombined[[#This Row],[ID]], Table2[ID],Table2[MC1], "Not Found", 0 )</f>
        <v>0</v>
      </c>
      <c r="Z1439" s="8">
        <f>_xlfn.XLOOKUP(CustomerCombined[[#This Row],[ID]], Table2[ID],Table2[MC2], "Not Found", 0 )</f>
        <v>0</v>
      </c>
      <c r="AA1439" s="8">
        <f>_xlfn.XLOOKUP(CustomerCombined[[#This Row],[ID]], Table2[ID],Table2[MC3], "Not Found", 0 )</f>
        <v>0</v>
      </c>
      <c r="AB1439" s="8">
        <f>_xlfn.XLOOKUP(CustomerCombined[[#This Row],[ID]], Table2[ID],Table2[MC4], "Not Found", 0 )</f>
        <v>0</v>
      </c>
      <c r="AC1439" s="8">
        <f>_xlfn.XLOOKUP(CustomerCombined[[#This Row],[ID]], Table2[ID],Table2[MC5], "Not Found", 0 )</f>
        <v>0</v>
      </c>
    </row>
    <row r="1440" spans="1:29" x14ac:dyDescent="0.3">
      <c r="A1440" s="6">
        <v>2026</v>
      </c>
      <c r="B1440" s="6">
        <v>133168</v>
      </c>
      <c r="C1440" s="6">
        <v>0</v>
      </c>
      <c r="D1440" s="6">
        <v>1</v>
      </c>
      <c r="E1440" s="6">
        <v>55</v>
      </c>
      <c r="F1440" s="5" t="s">
        <v>7</v>
      </c>
      <c r="G1440" s="5" t="s">
        <v>12</v>
      </c>
      <c r="H1440" s="3" t="s">
        <v>381</v>
      </c>
      <c r="I1440" s="5" t="s">
        <v>439</v>
      </c>
      <c r="J1440" s="5">
        <f>_xlfn.XLOOKUP(CustomerCombined[[#This Row],[ID]], Table4[ID], Table4[Recency], "Not Found", 0)</f>
        <v>0</v>
      </c>
      <c r="K1440" s="5">
        <f>_xlfn.XLOOKUP(CustomerCombined[[#This Row],[ID]], Table4[ID], Table4[Teas], "Not Found", 0)</f>
        <v>321</v>
      </c>
      <c r="L1440" s="5">
        <f>_xlfn.XLOOKUP(CustomerCombined[[#This Row],[ID]], Table4[ID], Table4[Fruits], "Not Found", 0)</f>
        <v>4</v>
      </c>
      <c r="M1440" s="5">
        <f>_xlfn.XLOOKUP(CustomerCombined[[#This Row],[ID]], Table4[ID], Table4[Meats], "Not Found", 0)</f>
        <v>149</v>
      </c>
      <c r="N1440" s="5">
        <f>_xlfn.XLOOKUP(CustomerCombined[[#This Row],[ID]], Table4[ID], Table4[Seafood], "Not Found", 0)</f>
        <v>0</v>
      </c>
      <c r="O1440" s="5">
        <f>_xlfn.XLOOKUP(CustomerCombined[[#This Row],[ID]], Table4[ID], Table4[Sweets], "Not Found", 0)</f>
        <v>4</v>
      </c>
      <c r="P1440" s="5">
        <f>_xlfn.XLOOKUP(CustomerCombined[[#This Row],[ID]], Table4[ID], Table4[Premium], "Not Found", 0)</f>
        <v>12</v>
      </c>
      <c r="Q1440" s="5">
        <f>_xlfn.XLOOKUP(CustomerCombined[[#This Row],[ID]], Table4[ID], Table4[Regular], "Not Found", 0)</f>
        <v>466</v>
      </c>
      <c r="R1440" s="5">
        <f>_xlfn.XLOOKUP(CustomerCombined[[#This Row],[ID]], Table4[ID], Table4[Deals], "Not Found", 0)</f>
        <v>3</v>
      </c>
      <c r="S1440" s="5">
        <f>_xlfn.XLOOKUP(CustomerCombined[[#This Row],[ID]], Table4[ID], Table4[Website], "Not Found", 0)</f>
        <v>2</v>
      </c>
      <c r="T1440" s="5">
        <f>_xlfn.XLOOKUP(CustomerCombined[[#This Row],[ID]], Table4[ID], Table4[Catalog], "Not Found", 0)</f>
        <v>1</v>
      </c>
      <c r="U1440" s="5">
        <f>_xlfn.XLOOKUP(CustomerCombined[[#This Row],[ID]], Table4[ID], Table4[Store], "Not Found", 0)</f>
        <v>4</v>
      </c>
      <c r="V1440" s="5">
        <f>_xlfn.XLOOKUP(CustomerCombined[[#This Row],[ID]], Table4[ID], Table4[Visits], "Not Found", 0)</f>
        <v>7</v>
      </c>
      <c r="W1440" s="8">
        <f>_xlfn.XLOOKUP(CustomerCombined[[#This Row],[ID]], Table2[ID],Table2[Complaint], "Not Found", 0 )</f>
        <v>0</v>
      </c>
      <c r="X1440" s="8">
        <f>_xlfn.XLOOKUP(CustomerCombined[[#This Row],[ID]], Table2[ID],Table2[Pilot], "Not Found", 0 )</f>
        <v>0</v>
      </c>
      <c r="Y1440" s="8">
        <f>_xlfn.XLOOKUP(CustomerCombined[[#This Row],[ID]], Table2[ID],Table2[MC1], "Not Found", 0 )</f>
        <v>0</v>
      </c>
      <c r="Z1440" s="8">
        <f>_xlfn.XLOOKUP(CustomerCombined[[#This Row],[ID]], Table2[ID],Table2[MC2], "Not Found", 0 )</f>
        <v>0</v>
      </c>
      <c r="AA1440" s="8">
        <f>_xlfn.XLOOKUP(CustomerCombined[[#This Row],[ID]], Table2[ID],Table2[MC3], "Not Found", 0 )</f>
        <v>0</v>
      </c>
      <c r="AB1440" s="8">
        <f>_xlfn.XLOOKUP(CustomerCombined[[#This Row],[ID]], Table2[ID],Table2[MC4], "Not Found", 0 )</f>
        <v>0</v>
      </c>
      <c r="AC1440" s="8">
        <f>_xlfn.XLOOKUP(CustomerCombined[[#This Row],[ID]], Table2[ID],Table2[MC5], "Not Found", 0 )</f>
        <v>0</v>
      </c>
    </row>
    <row r="1441" spans="1:29" x14ac:dyDescent="0.3">
      <c r="A1441" s="6">
        <v>2430</v>
      </c>
      <c r="B1441" s="6">
        <v>132727</v>
      </c>
      <c r="C1441" s="6">
        <v>0</v>
      </c>
      <c r="D1441" s="6">
        <v>0</v>
      </c>
      <c r="E1441" s="6">
        <v>55</v>
      </c>
      <c r="F1441" s="5" t="s">
        <v>8</v>
      </c>
      <c r="G1441" s="5" t="s">
        <v>13</v>
      </c>
      <c r="H1441" s="3">
        <v>43498</v>
      </c>
      <c r="I1441" s="5" t="s">
        <v>436</v>
      </c>
      <c r="J1441" s="5">
        <f>_xlfn.XLOOKUP(CustomerCombined[[#This Row],[ID]], Table4[ID], Table4[Recency], "Not Found", 0)</f>
        <v>38</v>
      </c>
      <c r="K1441" s="5">
        <f>_xlfn.XLOOKUP(CustomerCombined[[#This Row],[ID]], Table4[ID], Table4[Teas], "Not Found", 0)</f>
        <v>677</v>
      </c>
      <c r="L1441" s="5">
        <f>_xlfn.XLOOKUP(CustomerCombined[[#This Row],[ID]], Table4[ID], Table4[Fruits], "Not Found", 0)</f>
        <v>53</v>
      </c>
      <c r="M1441" s="5">
        <f>_xlfn.XLOOKUP(CustomerCombined[[#This Row],[ID]], Table4[ID], Table4[Meats], "Not Found", 0)</f>
        <v>730</v>
      </c>
      <c r="N1441" s="5">
        <f>_xlfn.XLOOKUP(CustomerCombined[[#This Row],[ID]], Table4[ID], Table4[Seafood], "Not Found", 0)</f>
        <v>349</v>
      </c>
      <c r="O1441" s="5">
        <f>_xlfn.XLOOKUP(CustomerCombined[[#This Row],[ID]], Table4[ID], Table4[Sweets], "Not Found", 0)</f>
        <v>53</v>
      </c>
      <c r="P1441" s="5">
        <f>_xlfn.XLOOKUP(CustomerCombined[[#This Row],[ID]], Table4[ID], Table4[Premium], "Not Found", 0)</f>
        <v>284</v>
      </c>
      <c r="Q1441" s="5">
        <f>_xlfn.XLOOKUP(CustomerCombined[[#This Row],[ID]], Table4[ID], Table4[Regular], "Not Found", 0)</f>
        <v>1578</v>
      </c>
      <c r="R1441" s="5">
        <f>_xlfn.XLOOKUP(CustomerCombined[[#This Row],[ID]], Table4[ID], Table4[Deals], "Not Found", 0)</f>
        <v>2</v>
      </c>
      <c r="S1441" s="5">
        <f>_xlfn.XLOOKUP(CustomerCombined[[#This Row],[ID]], Table4[ID], Table4[Website], "Not Found", 0)</f>
        <v>7</v>
      </c>
      <c r="T1441" s="5">
        <f>_xlfn.XLOOKUP(CustomerCombined[[#This Row],[ID]], Table4[ID], Table4[Catalog], "Not Found", 0)</f>
        <v>3</v>
      </c>
      <c r="U1441" s="5">
        <f>_xlfn.XLOOKUP(CustomerCombined[[#This Row],[ID]], Table4[ID], Table4[Store], "Not Found", 0)</f>
        <v>5</v>
      </c>
      <c r="V1441" s="5">
        <f>_xlfn.XLOOKUP(CustomerCombined[[#This Row],[ID]], Table4[ID], Table4[Visits], "Not Found", 0)</f>
        <v>8</v>
      </c>
      <c r="W1441" s="8">
        <f>_xlfn.XLOOKUP(CustomerCombined[[#This Row],[ID]], Table2[ID],Table2[Complaint], "Not Found", 0 )</f>
        <v>0</v>
      </c>
      <c r="X1441" s="8">
        <f>_xlfn.XLOOKUP(CustomerCombined[[#This Row],[ID]], Table2[ID],Table2[Pilot], "Not Found", 0 )</f>
        <v>0</v>
      </c>
      <c r="Y1441" s="8">
        <f>_xlfn.XLOOKUP(CustomerCombined[[#This Row],[ID]], Table2[ID],Table2[MC1], "Not Found", 0 )</f>
        <v>0</v>
      </c>
      <c r="Z1441" s="8">
        <f>_xlfn.XLOOKUP(CustomerCombined[[#This Row],[ID]], Table2[ID],Table2[MC2], "Not Found", 0 )</f>
        <v>0</v>
      </c>
      <c r="AA1441" s="8">
        <f>_xlfn.XLOOKUP(CustomerCombined[[#This Row],[ID]], Table2[ID],Table2[MC3], "Not Found", 0 )</f>
        <v>0</v>
      </c>
      <c r="AB1441" s="8">
        <f>_xlfn.XLOOKUP(CustomerCombined[[#This Row],[ID]], Table2[ID],Table2[MC4], "Not Found", 0 )</f>
        <v>0</v>
      </c>
      <c r="AC1441" s="8">
        <f>_xlfn.XLOOKUP(CustomerCombined[[#This Row],[ID]], Table2[ID],Table2[MC5], "Not Found", 0 )</f>
        <v>0</v>
      </c>
    </row>
    <row r="1442" spans="1:29" x14ac:dyDescent="0.3">
      <c r="A1442" s="6">
        <v>1504</v>
      </c>
      <c r="B1442" s="6">
        <v>130630</v>
      </c>
      <c r="C1442" s="6">
        <v>1</v>
      </c>
      <c r="D1442" s="6">
        <v>1</v>
      </c>
      <c r="E1442" s="6">
        <v>55</v>
      </c>
      <c r="F1442" s="5" t="s">
        <v>5</v>
      </c>
      <c r="G1442" s="5" t="s">
        <v>11</v>
      </c>
      <c r="H1442" s="3">
        <v>43897</v>
      </c>
      <c r="I1442" s="5" t="s">
        <v>439</v>
      </c>
      <c r="J1442" s="5">
        <f>_xlfn.XLOOKUP(CustomerCombined[[#This Row],[ID]], Table4[ID], Table4[Recency], "Not Found", 0)</f>
        <v>67</v>
      </c>
      <c r="K1442" s="5">
        <f>_xlfn.XLOOKUP(CustomerCombined[[#This Row],[ID]], Table4[ID], Table4[Teas], "Not Found", 0)</f>
        <v>115</v>
      </c>
      <c r="L1442" s="5">
        <f>_xlfn.XLOOKUP(CustomerCombined[[#This Row],[ID]], Table4[ID], Table4[Fruits], "Not Found", 0)</f>
        <v>4</v>
      </c>
      <c r="M1442" s="5">
        <f>_xlfn.XLOOKUP(CustomerCombined[[#This Row],[ID]], Table4[ID], Table4[Meats], "Not Found", 0)</f>
        <v>51</v>
      </c>
      <c r="N1442" s="5">
        <f>_xlfn.XLOOKUP(CustomerCombined[[#This Row],[ID]], Table4[ID], Table4[Seafood], "Not Found", 0)</f>
        <v>9</v>
      </c>
      <c r="O1442" s="5">
        <f>_xlfn.XLOOKUP(CustomerCombined[[#This Row],[ID]], Table4[ID], Table4[Sweets], "Not Found", 0)</f>
        <v>0</v>
      </c>
      <c r="P1442" s="5">
        <f>_xlfn.XLOOKUP(CustomerCombined[[#This Row],[ID]], Table4[ID], Table4[Premium], "Not Found", 0)</f>
        <v>43</v>
      </c>
      <c r="Q1442" s="5">
        <f>_xlfn.XLOOKUP(CustomerCombined[[#This Row],[ID]], Table4[ID], Table4[Regular], "Not Found", 0)</f>
        <v>136</v>
      </c>
      <c r="R1442" s="5">
        <f>_xlfn.XLOOKUP(CustomerCombined[[#This Row],[ID]], Table4[ID], Table4[Deals], "Not Found", 0)</f>
        <v>2</v>
      </c>
      <c r="S1442" s="5">
        <f>_xlfn.XLOOKUP(CustomerCombined[[#This Row],[ID]], Table4[ID], Table4[Website], "Not Found", 0)</f>
        <v>2</v>
      </c>
      <c r="T1442" s="5">
        <f>_xlfn.XLOOKUP(CustomerCombined[[#This Row],[ID]], Table4[ID], Table4[Catalog], "Not Found", 0)</f>
        <v>0</v>
      </c>
      <c r="U1442" s="5">
        <f>_xlfn.XLOOKUP(CustomerCombined[[#This Row],[ID]], Table4[ID], Table4[Store], "Not Found", 0)</f>
        <v>3</v>
      </c>
      <c r="V1442" s="5">
        <f>_xlfn.XLOOKUP(CustomerCombined[[#This Row],[ID]], Table4[ID], Table4[Visits], "Not Found", 0)</f>
        <v>7</v>
      </c>
      <c r="W1442" s="8">
        <f>_xlfn.XLOOKUP(CustomerCombined[[#This Row],[ID]], Table2[ID],Table2[Complaint], "Not Found", 0 )</f>
        <v>0</v>
      </c>
      <c r="X1442" s="8">
        <f>_xlfn.XLOOKUP(CustomerCombined[[#This Row],[ID]], Table2[ID],Table2[Pilot], "Not Found", 0 )</f>
        <v>0</v>
      </c>
      <c r="Y1442" s="8">
        <f>_xlfn.XLOOKUP(CustomerCombined[[#This Row],[ID]], Table2[ID],Table2[MC1], "Not Found", 0 )</f>
        <v>0</v>
      </c>
      <c r="Z1442" s="8">
        <f>_xlfn.XLOOKUP(CustomerCombined[[#This Row],[ID]], Table2[ID],Table2[MC2], "Not Found", 0 )</f>
        <v>0</v>
      </c>
      <c r="AA1442" s="8">
        <f>_xlfn.XLOOKUP(CustomerCombined[[#This Row],[ID]], Table2[ID],Table2[MC3], "Not Found", 0 )</f>
        <v>0</v>
      </c>
      <c r="AB1442" s="8">
        <f>_xlfn.XLOOKUP(CustomerCombined[[#This Row],[ID]], Table2[ID],Table2[MC4], "Not Found", 0 )</f>
        <v>0</v>
      </c>
      <c r="AC1442" s="8">
        <f>_xlfn.XLOOKUP(CustomerCombined[[#This Row],[ID]], Table2[ID],Table2[MC5], "Not Found", 0 )</f>
        <v>0</v>
      </c>
    </row>
    <row r="1443" spans="1:29" x14ac:dyDescent="0.3">
      <c r="A1443" s="6">
        <v>1281</v>
      </c>
      <c r="B1443" s="6">
        <v>129672</v>
      </c>
      <c r="C1443" s="6">
        <v>1</v>
      </c>
      <c r="D1443" s="6">
        <v>1</v>
      </c>
      <c r="E1443" s="6">
        <v>55</v>
      </c>
      <c r="F1443" s="5" t="s">
        <v>8</v>
      </c>
      <c r="G1443" s="5" t="s">
        <v>11</v>
      </c>
      <c r="H1443" s="3" t="s">
        <v>295</v>
      </c>
      <c r="I1443" s="5" t="s">
        <v>435</v>
      </c>
      <c r="J1443" s="5">
        <f>_xlfn.XLOOKUP(CustomerCombined[[#This Row],[ID]], Table4[ID], Table4[Recency], "Not Found", 0)</f>
        <v>6</v>
      </c>
      <c r="K1443" s="5">
        <f>_xlfn.XLOOKUP(CustomerCombined[[#This Row],[ID]], Table4[ID], Table4[Teas], "Not Found", 0)</f>
        <v>39</v>
      </c>
      <c r="L1443" s="5">
        <f>_xlfn.XLOOKUP(CustomerCombined[[#This Row],[ID]], Table4[ID], Table4[Fruits], "Not Found", 0)</f>
        <v>4</v>
      </c>
      <c r="M1443" s="5">
        <f>_xlfn.XLOOKUP(CustomerCombined[[#This Row],[ID]], Table4[ID], Table4[Meats], "Not Found", 0)</f>
        <v>13</v>
      </c>
      <c r="N1443" s="5">
        <f>_xlfn.XLOOKUP(CustomerCombined[[#This Row],[ID]], Table4[ID], Table4[Seafood], "Not Found", 0)</f>
        <v>0</v>
      </c>
      <c r="O1443" s="5">
        <f>_xlfn.XLOOKUP(CustomerCombined[[#This Row],[ID]], Table4[ID], Table4[Sweets], "Not Found", 0)</f>
        <v>17</v>
      </c>
      <c r="P1443" s="5">
        <f>_xlfn.XLOOKUP(CustomerCombined[[#This Row],[ID]], Table4[ID], Table4[Premium], "Not Found", 0)</f>
        <v>35</v>
      </c>
      <c r="Q1443" s="5">
        <f>_xlfn.XLOOKUP(CustomerCombined[[#This Row],[ID]], Table4[ID], Table4[Regular], "Not Found", 0)</f>
        <v>39</v>
      </c>
      <c r="R1443" s="5">
        <f>_xlfn.XLOOKUP(CustomerCombined[[#This Row],[ID]], Table4[ID], Table4[Deals], "Not Found", 0)</f>
        <v>1</v>
      </c>
      <c r="S1443" s="5">
        <f>_xlfn.XLOOKUP(CustomerCombined[[#This Row],[ID]], Table4[ID], Table4[Website], "Not Found", 0)</f>
        <v>0</v>
      </c>
      <c r="T1443" s="5">
        <f>_xlfn.XLOOKUP(CustomerCombined[[#This Row],[ID]], Table4[ID], Table4[Catalog], "Not Found", 0)</f>
        <v>0</v>
      </c>
      <c r="U1443" s="5">
        <f>_xlfn.XLOOKUP(CustomerCombined[[#This Row],[ID]], Table4[ID], Table4[Store], "Not Found", 0)</f>
        <v>3</v>
      </c>
      <c r="V1443" s="5">
        <f>_xlfn.XLOOKUP(CustomerCombined[[#This Row],[ID]], Table4[ID], Table4[Visits], "Not Found", 0)</f>
        <v>6</v>
      </c>
      <c r="W1443" s="8">
        <f>_xlfn.XLOOKUP(CustomerCombined[[#This Row],[ID]], Table2[ID],Table2[Complaint], "Not Found", 0 )</f>
        <v>0</v>
      </c>
      <c r="X1443" s="8">
        <f>_xlfn.XLOOKUP(CustomerCombined[[#This Row],[ID]], Table2[ID],Table2[Pilot], "Not Found", 0 )</f>
        <v>0</v>
      </c>
      <c r="Y1443" s="8">
        <f>_xlfn.XLOOKUP(CustomerCombined[[#This Row],[ID]], Table2[ID],Table2[MC1], "Not Found", 0 )</f>
        <v>0</v>
      </c>
      <c r="Z1443" s="8">
        <f>_xlfn.XLOOKUP(CustomerCombined[[#This Row],[ID]], Table2[ID],Table2[MC2], "Not Found", 0 )</f>
        <v>0</v>
      </c>
      <c r="AA1443" s="8">
        <f>_xlfn.XLOOKUP(CustomerCombined[[#This Row],[ID]], Table2[ID],Table2[MC3], "Not Found", 0 )</f>
        <v>0</v>
      </c>
      <c r="AB1443" s="8">
        <f>_xlfn.XLOOKUP(CustomerCombined[[#This Row],[ID]], Table2[ID],Table2[MC4], "Not Found", 0 )</f>
        <v>0</v>
      </c>
      <c r="AC1443" s="8">
        <f>_xlfn.XLOOKUP(CustomerCombined[[#This Row],[ID]], Table2[ID],Table2[MC5], "Not Found", 0 )</f>
        <v>0</v>
      </c>
    </row>
    <row r="1444" spans="1:29" x14ac:dyDescent="0.3">
      <c r="A1444" s="6">
        <v>3001</v>
      </c>
      <c r="B1444" s="6">
        <v>129672</v>
      </c>
      <c r="C1444" s="6">
        <v>1</v>
      </c>
      <c r="D1444" s="6">
        <v>1</v>
      </c>
      <c r="E1444" s="6">
        <v>55</v>
      </c>
      <c r="F1444" s="5" t="s">
        <v>8</v>
      </c>
      <c r="G1444" s="5" t="s">
        <v>11</v>
      </c>
      <c r="H1444" s="3" t="s">
        <v>295</v>
      </c>
      <c r="I1444" s="5" t="s">
        <v>437</v>
      </c>
      <c r="J1444" s="5">
        <f>_xlfn.XLOOKUP(CustomerCombined[[#This Row],[ID]], Table4[ID], Table4[Recency], "Not Found", 0)</f>
        <v>6</v>
      </c>
      <c r="K1444" s="5">
        <f>_xlfn.XLOOKUP(CustomerCombined[[#This Row],[ID]], Table4[ID], Table4[Teas], "Not Found", 0)</f>
        <v>39</v>
      </c>
      <c r="L1444" s="5">
        <f>_xlfn.XLOOKUP(CustomerCombined[[#This Row],[ID]], Table4[ID], Table4[Fruits], "Not Found", 0)</f>
        <v>4</v>
      </c>
      <c r="M1444" s="5">
        <f>_xlfn.XLOOKUP(CustomerCombined[[#This Row],[ID]], Table4[ID], Table4[Meats], "Not Found", 0)</f>
        <v>13</v>
      </c>
      <c r="N1444" s="5">
        <f>_xlfn.XLOOKUP(CustomerCombined[[#This Row],[ID]], Table4[ID], Table4[Seafood], "Not Found", 0)</f>
        <v>0</v>
      </c>
      <c r="O1444" s="5">
        <f>_xlfn.XLOOKUP(CustomerCombined[[#This Row],[ID]], Table4[ID], Table4[Sweets], "Not Found", 0)</f>
        <v>17</v>
      </c>
      <c r="P1444" s="5">
        <f>_xlfn.XLOOKUP(CustomerCombined[[#This Row],[ID]], Table4[ID], Table4[Premium], "Not Found", 0)</f>
        <v>35</v>
      </c>
      <c r="Q1444" s="5">
        <f>_xlfn.XLOOKUP(CustomerCombined[[#This Row],[ID]], Table4[ID], Table4[Regular], "Not Found", 0)</f>
        <v>39</v>
      </c>
      <c r="R1444" s="5">
        <f>_xlfn.XLOOKUP(CustomerCombined[[#This Row],[ID]], Table4[ID], Table4[Deals], "Not Found", 0)</f>
        <v>1</v>
      </c>
      <c r="S1444" s="5">
        <f>_xlfn.XLOOKUP(CustomerCombined[[#This Row],[ID]], Table4[ID], Table4[Website], "Not Found", 0)</f>
        <v>0</v>
      </c>
      <c r="T1444" s="5">
        <f>_xlfn.XLOOKUP(CustomerCombined[[#This Row],[ID]], Table4[ID], Table4[Catalog], "Not Found", 0)</f>
        <v>0</v>
      </c>
      <c r="U1444" s="5">
        <f>_xlfn.XLOOKUP(CustomerCombined[[#This Row],[ID]], Table4[ID], Table4[Store], "Not Found", 0)</f>
        <v>3</v>
      </c>
      <c r="V1444" s="5">
        <f>_xlfn.XLOOKUP(CustomerCombined[[#This Row],[ID]], Table4[ID], Table4[Visits], "Not Found", 0)</f>
        <v>6</v>
      </c>
      <c r="W1444" s="8">
        <f>_xlfn.XLOOKUP(CustomerCombined[[#This Row],[ID]], Table2[ID],Table2[Complaint], "Not Found", 0 )</f>
        <v>0</v>
      </c>
      <c r="X1444" s="8">
        <f>_xlfn.XLOOKUP(CustomerCombined[[#This Row],[ID]], Table2[ID],Table2[Pilot], "Not Found", 0 )</f>
        <v>0</v>
      </c>
      <c r="Y1444" s="8">
        <f>_xlfn.XLOOKUP(CustomerCombined[[#This Row],[ID]], Table2[ID],Table2[MC1], "Not Found", 0 )</f>
        <v>0</v>
      </c>
      <c r="Z1444" s="8">
        <f>_xlfn.XLOOKUP(CustomerCombined[[#This Row],[ID]], Table2[ID],Table2[MC2], "Not Found", 0 )</f>
        <v>0</v>
      </c>
      <c r="AA1444" s="8">
        <f>_xlfn.XLOOKUP(CustomerCombined[[#This Row],[ID]], Table2[ID],Table2[MC3], "Not Found", 0 )</f>
        <v>0</v>
      </c>
      <c r="AB1444" s="8">
        <f>_xlfn.XLOOKUP(CustomerCombined[[#This Row],[ID]], Table2[ID],Table2[MC4], "Not Found", 0 )</f>
        <v>0</v>
      </c>
      <c r="AC1444" s="8">
        <f>_xlfn.XLOOKUP(CustomerCombined[[#This Row],[ID]], Table2[ID],Table2[MC5], "Not Found", 0 )</f>
        <v>0</v>
      </c>
    </row>
    <row r="1445" spans="1:29" x14ac:dyDescent="0.3">
      <c r="A1445" s="6">
        <v>2702</v>
      </c>
      <c r="B1445" s="6">
        <v>123529</v>
      </c>
      <c r="C1445" s="6">
        <v>0</v>
      </c>
      <c r="D1445" s="6">
        <v>1</v>
      </c>
      <c r="E1445" s="6">
        <v>55</v>
      </c>
      <c r="F1445" s="5" t="s">
        <v>7</v>
      </c>
      <c r="G1445" s="5" t="s">
        <v>10</v>
      </c>
      <c r="H1445" s="3" t="s">
        <v>333</v>
      </c>
      <c r="I1445" s="5" t="s">
        <v>438</v>
      </c>
      <c r="J1445" s="5">
        <f>_xlfn.XLOOKUP(CustomerCombined[[#This Row],[ID]], Table4[ID], Table4[Recency], "Not Found", 0)</f>
        <v>67</v>
      </c>
      <c r="K1445" s="5">
        <f>_xlfn.XLOOKUP(CustomerCombined[[#This Row],[ID]], Table4[ID], Table4[Teas], "Not Found", 0)</f>
        <v>47</v>
      </c>
      <c r="L1445" s="5">
        <f>_xlfn.XLOOKUP(CustomerCombined[[#This Row],[ID]], Table4[ID], Table4[Fruits], "Not Found", 0)</f>
        <v>37</v>
      </c>
      <c r="M1445" s="5">
        <f>_xlfn.XLOOKUP(CustomerCombined[[#This Row],[ID]], Table4[ID], Table4[Meats], "Not Found", 0)</f>
        <v>68</v>
      </c>
      <c r="N1445" s="5">
        <f>_xlfn.XLOOKUP(CustomerCombined[[#This Row],[ID]], Table4[ID], Table4[Seafood], "Not Found", 0)</f>
        <v>16</v>
      </c>
      <c r="O1445" s="5">
        <f>_xlfn.XLOOKUP(CustomerCombined[[#This Row],[ID]], Table4[ID], Table4[Sweets], "Not Found", 0)</f>
        <v>11</v>
      </c>
      <c r="P1445" s="5">
        <f>_xlfn.XLOOKUP(CustomerCombined[[#This Row],[ID]], Table4[ID], Table4[Premium], "Not Found", 0)</f>
        <v>105</v>
      </c>
      <c r="Q1445" s="5">
        <f>_xlfn.XLOOKUP(CustomerCombined[[#This Row],[ID]], Table4[ID], Table4[Regular], "Not Found", 0)</f>
        <v>74</v>
      </c>
      <c r="R1445" s="5">
        <f>_xlfn.XLOOKUP(CustomerCombined[[#This Row],[ID]], Table4[ID], Table4[Deals], "Not Found", 0)</f>
        <v>1</v>
      </c>
      <c r="S1445" s="5">
        <f>_xlfn.XLOOKUP(CustomerCombined[[#This Row],[ID]], Table4[ID], Table4[Website], "Not Found", 0)</f>
        <v>1</v>
      </c>
      <c r="T1445" s="5">
        <f>_xlfn.XLOOKUP(CustomerCombined[[#This Row],[ID]], Table4[ID], Table4[Catalog], "Not Found", 0)</f>
        <v>1</v>
      </c>
      <c r="U1445" s="5">
        <f>_xlfn.XLOOKUP(CustomerCombined[[#This Row],[ID]], Table4[ID], Table4[Store], "Not Found", 0)</f>
        <v>2</v>
      </c>
      <c r="V1445" s="5">
        <f>_xlfn.XLOOKUP(CustomerCombined[[#This Row],[ID]], Table4[ID], Table4[Visits], "Not Found", 0)</f>
        <v>6</v>
      </c>
      <c r="W1445" s="8">
        <f>_xlfn.XLOOKUP(CustomerCombined[[#This Row],[ID]], Table2[ID],Table2[Complaint], "Not Found", 0 )</f>
        <v>0</v>
      </c>
      <c r="X1445" s="8">
        <f>_xlfn.XLOOKUP(CustomerCombined[[#This Row],[ID]], Table2[ID],Table2[Pilot], "Not Found", 0 )</f>
        <v>0</v>
      </c>
      <c r="Y1445" s="8">
        <f>_xlfn.XLOOKUP(CustomerCombined[[#This Row],[ID]], Table2[ID],Table2[MC1], "Not Found", 0 )</f>
        <v>0</v>
      </c>
      <c r="Z1445" s="8">
        <f>_xlfn.XLOOKUP(CustomerCombined[[#This Row],[ID]], Table2[ID],Table2[MC2], "Not Found", 0 )</f>
        <v>0</v>
      </c>
      <c r="AA1445" s="8">
        <f>_xlfn.XLOOKUP(CustomerCombined[[#This Row],[ID]], Table2[ID],Table2[MC3], "Not Found", 0 )</f>
        <v>0</v>
      </c>
      <c r="AB1445" s="8">
        <f>_xlfn.XLOOKUP(CustomerCombined[[#This Row],[ID]], Table2[ID],Table2[MC4], "Not Found", 0 )</f>
        <v>0</v>
      </c>
      <c r="AC1445" s="8">
        <f>_xlfn.XLOOKUP(CustomerCombined[[#This Row],[ID]], Table2[ID],Table2[MC5], "Not Found", 0 )</f>
        <v>0</v>
      </c>
    </row>
    <row r="1446" spans="1:29" x14ac:dyDescent="0.3">
      <c r="A1446" s="6">
        <v>3030</v>
      </c>
      <c r="B1446" s="6">
        <v>123478</v>
      </c>
      <c r="C1446" s="6">
        <v>0</v>
      </c>
      <c r="D1446" s="6">
        <v>0</v>
      </c>
      <c r="E1446" s="6">
        <v>55</v>
      </c>
      <c r="F1446" s="5" t="s">
        <v>7</v>
      </c>
      <c r="G1446" s="5" t="s">
        <v>11</v>
      </c>
      <c r="H1446" s="3" t="s">
        <v>289</v>
      </c>
      <c r="I1446" s="5" t="s">
        <v>436</v>
      </c>
      <c r="J1446" s="5">
        <f>_xlfn.XLOOKUP(CustomerCombined[[#This Row],[ID]], Table4[ID], Table4[Recency], "Not Found", 0)</f>
        <v>51</v>
      </c>
      <c r="K1446" s="5">
        <f>_xlfn.XLOOKUP(CustomerCombined[[#This Row],[ID]], Table4[ID], Table4[Teas], "Not Found", 0)</f>
        <v>147</v>
      </c>
      <c r="L1446" s="5">
        <f>_xlfn.XLOOKUP(CustomerCombined[[#This Row],[ID]], Table4[ID], Table4[Fruits], "Not Found", 0)</f>
        <v>32</v>
      </c>
      <c r="M1446" s="5">
        <f>_xlfn.XLOOKUP(CustomerCombined[[#This Row],[ID]], Table4[ID], Table4[Meats], "Not Found", 0)</f>
        <v>142</v>
      </c>
      <c r="N1446" s="5">
        <f>_xlfn.XLOOKUP(CustomerCombined[[#This Row],[ID]], Table4[ID], Table4[Seafood], "Not Found", 0)</f>
        <v>63</v>
      </c>
      <c r="O1446" s="5">
        <f>_xlfn.XLOOKUP(CustomerCombined[[#This Row],[ID]], Table4[ID], Table4[Sweets], "Not Found", 0)</f>
        <v>89</v>
      </c>
      <c r="P1446" s="5">
        <f>_xlfn.XLOOKUP(CustomerCombined[[#This Row],[ID]], Table4[ID], Table4[Premium], "Not Found", 0)</f>
        <v>205</v>
      </c>
      <c r="Q1446" s="5">
        <f>_xlfn.XLOOKUP(CustomerCombined[[#This Row],[ID]], Table4[ID], Table4[Regular], "Not Found", 0)</f>
        <v>268</v>
      </c>
      <c r="R1446" s="5">
        <f>_xlfn.XLOOKUP(CustomerCombined[[#This Row],[ID]], Table4[ID], Table4[Deals], "Not Found", 0)</f>
        <v>1</v>
      </c>
      <c r="S1446" s="5">
        <f>_xlfn.XLOOKUP(CustomerCombined[[#This Row],[ID]], Table4[ID], Table4[Website], "Not Found", 0)</f>
        <v>3</v>
      </c>
      <c r="T1446" s="5">
        <f>_xlfn.XLOOKUP(CustomerCombined[[#This Row],[ID]], Table4[ID], Table4[Catalog], "Not Found", 0)</f>
        <v>0</v>
      </c>
      <c r="U1446" s="5">
        <f>_xlfn.XLOOKUP(CustomerCombined[[#This Row],[ID]], Table4[ID], Table4[Store], "Not Found", 0)</f>
        <v>3</v>
      </c>
      <c r="V1446" s="5">
        <f>_xlfn.XLOOKUP(CustomerCombined[[#This Row],[ID]], Table4[ID], Table4[Visits], "Not Found", 0)</f>
        <v>8</v>
      </c>
      <c r="W1446" s="8">
        <f>_xlfn.XLOOKUP(CustomerCombined[[#This Row],[ID]], Table2[ID],Table2[Complaint], "Not Found", 0 )</f>
        <v>0</v>
      </c>
      <c r="X1446" s="8">
        <f>_xlfn.XLOOKUP(CustomerCombined[[#This Row],[ID]], Table2[ID],Table2[Pilot], "Not Found", 0 )</f>
        <v>0</v>
      </c>
      <c r="Y1446" s="8">
        <f>_xlfn.XLOOKUP(CustomerCombined[[#This Row],[ID]], Table2[ID],Table2[MC1], "Not Found", 0 )</f>
        <v>0</v>
      </c>
      <c r="Z1446" s="8">
        <f>_xlfn.XLOOKUP(CustomerCombined[[#This Row],[ID]], Table2[ID],Table2[MC2], "Not Found", 0 )</f>
        <v>0</v>
      </c>
      <c r="AA1446" s="8">
        <f>_xlfn.XLOOKUP(CustomerCombined[[#This Row],[ID]], Table2[ID],Table2[MC3], "Not Found", 0 )</f>
        <v>0</v>
      </c>
      <c r="AB1446" s="8">
        <f>_xlfn.XLOOKUP(CustomerCombined[[#This Row],[ID]], Table2[ID],Table2[MC4], "Not Found", 0 )</f>
        <v>0</v>
      </c>
      <c r="AC1446" s="8">
        <f>_xlfn.XLOOKUP(CustomerCombined[[#This Row],[ID]], Table2[ID],Table2[MC5], "Not Found", 0 )</f>
        <v>0</v>
      </c>
    </row>
    <row r="1447" spans="1:29" x14ac:dyDescent="0.3">
      <c r="A1447" s="6">
        <v>1962</v>
      </c>
      <c r="B1447" s="6">
        <v>104861</v>
      </c>
      <c r="C1447" s="6">
        <v>0</v>
      </c>
      <c r="D1447" s="6">
        <v>0</v>
      </c>
      <c r="E1447" s="6">
        <v>55</v>
      </c>
      <c r="F1447" s="5" t="s">
        <v>5</v>
      </c>
      <c r="G1447" s="5" t="s">
        <v>11</v>
      </c>
      <c r="H1447" s="3" t="s">
        <v>27</v>
      </c>
      <c r="I1447" s="5" t="s">
        <v>436</v>
      </c>
      <c r="J1447" s="5">
        <f>_xlfn.XLOOKUP(CustomerCombined[[#This Row],[ID]], Table4[ID], Table4[Recency], "Not Found", 0)</f>
        <v>20</v>
      </c>
      <c r="K1447" s="5">
        <f>_xlfn.XLOOKUP(CustomerCombined[[#This Row],[ID]], Table4[ID], Table4[Teas], "Not Found", 0)</f>
        <v>43</v>
      </c>
      <c r="L1447" s="5">
        <f>_xlfn.XLOOKUP(CustomerCombined[[#This Row],[ID]], Table4[ID], Table4[Fruits], "Not Found", 0)</f>
        <v>22</v>
      </c>
      <c r="M1447" s="5">
        <f>_xlfn.XLOOKUP(CustomerCombined[[#This Row],[ID]], Table4[ID], Table4[Meats], "Not Found", 0)</f>
        <v>22</v>
      </c>
      <c r="N1447" s="5">
        <f>_xlfn.XLOOKUP(CustomerCombined[[#This Row],[ID]], Table4[ID], Table4[Seafood], "Not Found", 0)</f>
        <v>22</v>
      </c>
      <c r="O1447" s="5">
        <f>_xlfn.XLOOKUP(CustomerCombined[[#This Row],[ID]], Table4[ID], Table4[Sweets], "Not Found", 0)</f>
        <v>0</v>
      </c>
      <c r="P1447" s="5">
        <f>_xlfn.XLOOKUP(CustomerCombined[[#This Row],[ID]], Table4[ID], Table4[Premium], "Not Found", 0)</f>
        <v>22</v>
      </c>
      <c r="Q1447" s="5">
        <f>_xlfn.XLOOKUP(CustomerCombined[[#This Row],[ID]], Table4[ID], Table4[Regular], "Not Found", 0)</f>
        <v>86</v>
      </c>
      <c r="R1447" s="5">
        <f>_xlfn.XLOOKUP(CustomerCombined[[#This Row],[ID]], Table4[ID], Table4[Deals], "Not Found", 0)</f>
        <v>0</v>
      </c>
      <c r="S1447" s="5">
        <f>_xlfn.XLOOKUP(CustomerCombined[[#This Row],[ID]], Table4[ID], Table4[Website], "Not Found", 0)</f>
        <v>0</v>
      </c>
      <c r="T1447" s="5">
        <f>_xlfn.XLOOKUP(CustomerCombined[[#This Row],[ID]], Table4[ID], Table4[Catalog], "Not Found", 0)</f>
        <v>0</v>
      </c>
      <c r="U1447" s="5">
        <f>_xlfn.XLOOKUP(CustomerCombined[[#This Row],[ID]], Table4[ID], Table4[Store], "Not Found", 0)</f>
        <v>0</v>
      </c>
      <c r="V1447" s="5">
        <f>_xlfn.XLOOKUP(CustomerCombined[[#This Row],[ID]], Table4[ID], Table4[Visits], "Not Found", 0)</f>
        <v>14</v>
      </c>
      <c r="W1447" s="8">
        <f>_xlfn.XLOOKUP(CustomerCombined[[#This Row],[ID]], Table2[ID],Table2[Complaint], "Not Found", 0 )</f>
        <v>0</v>
      </c>
      <c r="X1447" s="8">
        <f>_xlfn.XLOOKUP(CustomerCombined[[#This Row],[ID]], Table2[ID],Table2[Pilot], "Not Found", 0 )</f>
        <v>0</v>
      </c>
      <c r="Y1447" s="8">
        <f>_xlfn.XLOOKUP(CustomerCombined[[#This Row],[ID]], Table2[ID],Table2[MC1], "Not Found", 0 )</f>
        <v>0</v>
      </c>
      <c r="Z1447" s="8">
        <f>_xlfn.XLOOKUP(CustomerCombined[[#This Row],[ID]], Table2[ID],Table2[MC2], "Not Found", 0 )</f>
        <v>0</v>
      </c>
      <c r="AA1447" s="8">
        <f>_xlfn.XLOOKUP(CustomerCombined[[#This Row],[ID]], Table2[ID],Table2[MC3], "Not Found", 0 )</f>
        <v>0</v>
      </c>
      <c r="AB1447" s="8">
        <f>_xlfn.XLOOKUP(CustomerCombined[[#This Row],[ID]], Table2[ID],Table2[MC4], "Not Found", 0 )</f>
        <v>0</v>
      </c>
      <c r="AC1447" s="8">
        <f>_xlfn.XLOOKUP(CustomerCombined[[#This Row],[ID]], Table2[ID],Table2[MC5], "Not Found", 0 )</f>
        <v>0</v>
      </c>
    </row>
    <row r="1448" spans="1:29" x14ac:dyDescent="0.3">
      <c r="A1448" s="6">
        <v>1530</v>
      </c>
      <c r="B1448" s="6">
        <v>185620</v>
      </c>
      <c r="C1448" s="6">
        <v>0</v>
      </c>
      <c r="D1448" s="6">
        <v>0</v>
      </c>
      <c r="E1448" s="6">
        <v>56</v>
      </c>
      <c r="F1448" s="5" t="s">
        <v>9</v>
      </c>
      <c r="G1448" s="5" t="s">
        <v>11</v>
      </c>
      <c r="H1448" s="3" t="s">
        <v>122</v>
      </c>
      <c r="I1448" s="5" t="s">
        <v>436</v>
      </c>
      <c r="J1448" s="5">
        <f>_xlfn.XLOOKUP(CustomerCombined[[#This Row],[ID]], Table4[ID], Table4[Recency], "Not Found", 0)</f>
        <v>68</v>
      </c>
      <c r="K1448" s="5">
        <f>_xlfn.XLOOKUP(CustomerCombined[[#This Row],[ID]], Table4[ID], Table4[Teas], "Not Found", 0)</f>
        <v>902</v>
      </c>
      <c r="L1448" s="5">
        <f>_xlfn.XLOOKUP(CustomerCombined[[#This Row],[ID]], Table4[ID], Table4[Fruits], "Not Found", 0)</f>
        <v>100</v>
      </c>
      <c r="M1448" s="5">
        <f>_xlfn.XLOOKUP(CustomerCombined[[#This Row],[ID]], Table4[ID], Table4[Meats], "Not Found", 0)</f>
        <v>2005</v>
      </c>
      <c r="N1448" s="5">
        <f>_xlfn.XLOOKUP(CustomerCombined[[#This Row],[ID]], Table4[ID], Table4[Seafood], "Not Found", 0)</f>
        <v>130</v>
      </c>
      <c r="O1448" s="5">
        <f>_xlfn.XLOOKUP(CustomerCombined[[#This Row],[ID]], Table4[ID], Table4[Sweets], "Not Found", 0)</f>
        <v>232</v>
      </c>
      <c r="P1448" s="5">
        <f>_xlfn.XLOOKUP(CustomerCombined[[#This Row],[ID]], Table4[ID], Table4[Premium], "Not Found", 0)</f>
        <v>100</v>
      </c>
      <c r="Q1448" s="5">
        <f>_xlfn.XLOOKUP(CustomerCombined[[#This Row],[ID]], Table4[ID], Table4[Regular], "Not Found", 0)</f>
        <v>3269</v>
      </c>
      <c r="R1448" s="5">
        <f>_xlfn.XLOOKUP(CustomerCombined[[#This Row],[ID]], Table4[ID], Table4[Deals], "Not Found", 0)</f>
        <v>1</v>
      </c>
      <c r="S1448" s="5">
        <f>_xlfn.XLOOKUP(CustomerCombined[[#This Row],[ID]], Table4[ID], Table4[Website], "Not Found", 0)</f>
        <v>3</v>
      </c>
      <c r="T1448" s="5">
        <f>_xlfn.XLOOKUP(CustomerCombined[[#This Row],[ID]], Table4[ID], Table4[Catalog], "Not Found", 0)</f>
        <v>6</v>
      </c>
      <c r="U1448" s="5">
        <f>_xlfn.XLOOKUP(CustomerCombined[[#This Row],[ID]], Table4[ID], Table4[Store], "Not Found", 0)</f>
        <v>4</v>
      </c>
      <c r="V1448" s="5">
        <f>_xlfn.XLOOKUP(CustomerCombined[[#This Row],[ID]], Table4[ID], Table4[Visits], "Not Found", 0)</f>
        <v>1</v>
      </c>
      <c r="W1448" s="8">
        <f>_xlfn.XLOOKUP(CustomerCombined[[#This Row],[ID]], Table2[ID],Table2[Complaint], "Not Found", 0 )</f>
        <v>0</v>
      </c>
      <c r="X1448" s="8">
        <f>_xlfn.XLOOKUP(CustomerCombined[[#This Row],[ID]], Table2[ID],Table2[Pilot], "Not Found", 0 )</f>
        <v>1</v>
      </c>
      <c r="Y1448" s="8">
        <f>_xlfn.XLOOKUP(CustomerCombined[[#This Row],[ID]], Table2[ID],Table2[MC1], "Not Found", 0 )</f>
        <v>0</v>
      </c>
      <c r="Z1448" s="8">
        <f>_xlfn.XLOOKUP(CustomerCombined[[#This Row],[ID]], Table2[ID],Table2[MC2], "Not Found", 0 )</f>
        <v>0</v>
      </c>
      <c r="AA1448" s="8">
        <f>_xlfn.XLOOKUP(CustomerCombined[[#This Row],[ID]], Table2[ID],Table2[MC3], "Not Found", 0 )</f>
        <v>0</v>
      </c>
      <c r="AB1448" s="8">
        <f>_xlfn.XLOOKUP(CustomerCombined[[#This Row],[ID]], Table2[ID],Table2[MC4], "Not Found", 0 )</f>
        <v>0</v>
      </c>
      <c r="AC1448" s="8">
        <f>_xlfn.XLOOKUP(CustomerCombined[[#This Row],[ID]], Table2[ID],Table2[MC5], "Not Found", 0 )</f>
        <v>0</v>
      </c>
    </row>
    <row r="1449" spans="1:29" x14ac:dyDescent="0.3">
      <c r="A1449" s="6">
        <v>1725</v>
      </c>
      <c r="B1449" s="6">
        <v>182224</v>
      </c>
      <c r="C1449" s="6">
        <v>0</v>
      </c>
      <c r="D1449" s="6">
        <v>0</v>
      </c>
      <c r="E1449" s="6">
        <v>56</v>
      </c>
      <c r="F1449" s="5" t="s">
        <v>6</v>
      </c>
      <c r="G1449" s="5" t="s">
        <v>11</v>
      </c>
      <c r="H1449" s="3">
        <v>43837</v>
      </c>
      <c r="I1449" s="5" t="s">
        <v>435</v>
      </c>
      <c r="J1449" s="5">
        <f>_xlfn.XLOOKUP(CustomerCombined[[#This Row],[ID]], Table4[ID], Table4[Recency], "Not Found", 0)</f>
        <v>83</v>
      </c>
      <c r="K1449" s="5">
        <f>_xlfn.XLOOKUP(CustomerCombined[[#This Row],[ID]], Table4[ID], Table4[Teas], "Not Found", 0)</f>
        <v>680</v>
      </c>
      <c r="L1449" s="5">
        <f>_xlfn.XLOOKUP(CustomerCombined[[#This Row],[ID]], Table4[ID], Table4[Fruits], "Not Found", 0)</f>
        <v>58</v>
      </c>
      <c r="M1449" s="5">
        <f>_xlfn.XLOOKUP(CustomerCombined[[#This Row],[ID]], Table4[ID], Table4[Meats], "Not Found", 0)</f>
        <v>798</v>
      </c>
      <c r="N1449" s="5">
        <f>_xlfn.XLOOKUP(CustomerCombined[[#This Row],[ID]], Table4[ID], Table4[Seafood], "Not Found", 0)</f>
        <v>306</v>
      </c>
      <c r="O1449" s="5">
        <f>_xlfn.XLOOKUP(CustomerCombined[[#This Row],[ID]], Table4[ID], Table4[Sweets], "Not Found", 0)</f>
        <v>69</v>
      </c>
      <c r="P1449" s="5">
        <f>_xlfn.XLOOKUP(CustomerCombined[[#This Row],[ID]], Table4[ID], Table4[Premium], "Not Found", 0)</f>
        <v>89</v>
      </c>
      <c r="Q1449" s="5">
        <f>_xlfn.XLOOKUP(CustomerCombined[[#This Row],[ID]], Table4[ID], Table4[Regular], "Not Found", 0)</f>
        <v>1822</v>
      </c>
      <c r="R1449" s="5">
        <f>_xlfn.XLOOKUP(CustomerCombined[[#This Row],[ID]], Table4[ID], Table4[Deals], "Not Found", 0)</f>
        <v>1</v>
      </c>
      <c r="S1449" s="5">
        <f>_xlfn.XLOOKUP(CustomerCombined[[#This Row],[ID]], Table4[ID], Table4[Website], "Not Found", 0)</f>
        <v>6</v>
      </c>
      <c r="T1449" s="5">
        <f>_xlfn.XLOOKUP(CustomerCombined[[#This Row],[ID]], Table4[ID], Table4[Catalog], "Not Found", 0)</f>
        <v>9</v>
      </c>
      <c r="U1449" s="5">
        <f>_xlfn.XLOOKUP(CustomerCombined[[#This Row],[ID]], Table4[ID], Table4[Store], "Not Found", 0)</f>
        <v>5</v>
      </c>
      <c r="V1449" s="5">
        <f>_xlfn.XLOOKUP(CustomerCombined[[#This Row],[ID]], Table4[ID], Table4[Visits], "Not Found", 0)</f>
        <v>3</v>
      </c>
      <c r="W1449" s="8">
        <f>_xlfn.XLOOKUP(CustomerCombined[[#This Row],[ID]], Table2[ID],Table2[Complaint], "Not Found", 0 )</f>
        <v>0</v>
      </c>
      <c r="X1449" s="8">
        <f>_xlfn.XLOOKUP(CustomerCombined[[#This Row],[ID]], Table2[ID],Table2[Pilot], "Not Found", 0 )</f>
        <v>0</v>
      </c>
      <c r="Y1449" s="8">
        <f>_xlfn.XLOOKUP(CustomerCombined[[#This Row],[ID]], Table2[ID],Table2[MC1], "Not Found", 0 )</f>
        <v>1</v>
      </c>
      <c r="Z1449" s="8">
        <f>_xlfn.XLOOKUP(CustomerCombined[[#This Row],[ID]], Table2[ID],Table2[MC2], "Not Found", 0 )</f>
        <v>0</v>
      </c>
      <c r="AA1449" s="8">
        <f>_xlfn.XLOOKUP(CustomerCombined[[#This Row],[ID]], Table2[ID],Table2[MC3], "Not Found", 0 )</f>
        <v>0</v>
      </c>
      <c r="AB1449" s="8">
        <f>_xlfn.XLOOKUP(CustomerCombined[[#This Row],[ID]], Table2[ID],Table2[MC4], "Not Found", 0 )</f>
        <v>0</v>
      </c>
      <c r="AC1449" s="8">
        <f>_xlfn.XLOOKUP(CustomerCombined[[#This Row],[ID]], Table2[ID],Table2[MC5], "Not Found", 0 )</f>
        <v>0</v>
      </c>
    </row>
    <row r="1450" spans="1:29" x14ac:dyDescent="0.3">
      <c r="A1450" s="6">
        <v>1431</v>
      </c>
      <c r="B1450" s="6">
        <v>181246</v>
      </c>
      <c r="C1450" s="6">
        <v>0</v>
      </c>
      <c r="D1450" s="6">
        <v>0</v>
      </c>
      <c r="E1450" s="6">
        <v>56</v>
      </c>
      <c r="F1450" s="5" t="s">
        <v>7</v>
      </c>
      <c r="G1450" s="5" t="s">
        <v>11</v>
      </c>
      <c r="H1450" s="3">
        <v>43927</v>
      </c>
      <c r="I1450" s="5" t="s">
        <v>435</v>
      </c>
      <c r="J1450" s="5">
        <f>_xlfn.XLOOKUP(CustomerCombined[[#This Row],[ID]], Table4[ID], Table4[Recency], "Not Found", 0)</f>
        <v>87</v>
      </c>
      <c r="K1450" s="5">
        <f>_xlfn.XLOOKUP(CustomerCombined[[#This Row],[ID]], Table4[ID], Table4[Teas], "Not Found", 0)</f>
        <v>888</v>
      </c>
      <c r="L1450" s="5">
        <f>_xlfn.XLOOKUP(CustomerCombined[[#This Row],[ID]], Table4[ID], Table4[Fruits], "Not Found", 0)</f>
        <v>424</v>
      </c>
      <c r="M1450" s="5">
        <f>_xlfn.XLOOKUP(CustomerCombined[[#This Row],[ID]], Table4[ID], Table4[Meats], "Not Found", 0)</f>
        <v>1198</v>
      </c>
      <c r="N1450" s="5">
        <f>_xlfn.XLOOKUP(CustomerCombined[[#This Row],[ID]], Table4[ID], Table4[Seafood], "Not Found", 0)</f>
        <v>136</v>
      </c>
      <c r="O1450" s="5">
        <f>_xlfn.XLOOKUP(CustomerCombined[[#This Row],[ID]], Table4[ID], Table4[Sweets], "Not Found", 0)</f>
        <v>348</v>
      </c>
      <c r="P1450" s="5">
        <f>_xlfn.XLOOKUP(CustomerCombined[[#This Row],[ID]], Table4[ID], Table4[Premium], "Not Found", 0)</f>
        <v>83</v>
      </c>
      <c r="Q1450" s="5">
        <f>_xlfn.XLOOKUP(CustomerCombined[[#This Row],[ID]], Table4[ID], Table4[Regular], "Not Found", 0)</f>
        <v>2911</v>
      </c>
      <c r="R1450" s="5">
        <f>_xlfn.XLOOKUP(CustomerCombined[[#This Row],[ID]], Table4[ID], Table4[Deals], "Not Found", 0)</f>
        <v>1</v>
      </c>
      <c r="S1450" s="5">
        <f>_xlfn.XLOOKUP(CustomerCombined[[#This Row],[ID]], Table4[ID], Table4[Website], "Not Found", 0)</f>
        <v>4</v>
      </c>
      <c r="T1450" s="5">
        <f>_xlfn.XLOOKUP(CustomerCombined[[#This Row],[ID]], Table4[ID], Table4[Catalog], "Not Found", 0)</f>
        <v>5</v>
      </c>
      <c r="U1450" s="5">
        <f>_xlfn.XLOOKUP(CustomerCombined[[#This Row],[ID]], Table4[ID], Table4[Store], "Not Found", 0)</f>
        <v>7</v>
      </c>
      <c r="V1450" s="5">
        <f>_xlfn.XLOOKUP(CustomerCombined[[#This Row],[ID]], Table4[ID], Table4[Visits], "Not Found", 0)</f>
        <v>1</v>
      </c>
      <c r="W1450" s="8">
        <f>_xlfn.XLOOKUP(CustomerCombined[[#This Row],[ID]], Table2[ID],Table2[Complaint], "Not Found", 0 )</f>
        <v>0</v>
      </c>
      <c r="X1450" s="8">
        <f>_xlfn.XLOOKUP(CustomerCombined[[#This Row],[ID]], Table2[ID],Table2[Pilot], "Not Found", 0 )</f>
        <v>0</v>
      </c>
      <c r="Y1450" s="8">
        <f>_xlfn.XLOOKUP(CustomerCombined[[#This Row],[ID]], Table2[ID],Table2[MC1], "Not Found", 0 )</f>
        <v>1</v>
      </c>
      <c r="Z1450" s="8">
        <f>_xlfn.XLOOKUP(CustomerCombined[[#This Row],[ID]], Table2[ID],Table2[MC2], "Not Found", 0 )</f>
        <v>0</v>
      </c>
      <c r="AA1450" s="8">
        <f>_xlfn.XLOOKUP(CustomerCombined[[#This Row],[ID]], Table2[ID],Table2[MC3], "Not Found", 0 )</f>
        <v>1</v>
      </c>
      <c r="AB1450" s="8">
        <f>_xlfn.XLOOKUP(CustomerCombined[[#This Row],[ID]], Table2[ID],Table2[MC4], "Not Found", 0 )</f>
        <v>0</v>
      </c>
      <c r="AC1450" s="8">
        <f>_xlfn.XLOOKUP(CustomerCombined[[#This Row],[ID]], Table2[ID],Table2[MC5], "Not Found", 0 )</f>
        <v>0</v>
      </c>
    </row>
    <row r="1451" spans="1:29" x14ac:dyDescent="0.3">
      <c r="A1451" s="6">
        <v>1048</v>
      </c>
      <c r="B1451" s="6">
        <v>179143</v>
      </c>
      <c r="C1451" s="6">
        <v>0</v>
      </c>
      <c r="D1451" s="6">
        <v>0</v>
      </c>
      <c r="E1451" s="6">
        <v>56</v>
      </c>
      <c r="F1451" s="5" t="s">
        <v>6</v>
      </c>
      <c r="G1451" s="5" t="s">
        <v>12</v>
      </c>
      <c r="H1451" s="3" t="s">
        <v>417</v>
      </c>
      <c r="I1451" s="5" t="s">
        <v>439</v>
      </c>
      <c r="J1451" s="5">
        <f>_xlfn.XLOOKUP(CustomerCombined[[#This Row],[ID]], Table4[ID], Table4[Recency], "Not Found", 0)</f>
        <v>2</v>
      </c>
      <c r="K1451" s="5">
        <f>_xlfn.XLOOKUP(CustomerCombined[[#This Row],[ID]], Table4[ID], Table4[Teas], "Not Found", 0)</f>
        <v>1471</v>
      </c>
      <c r="L1451" s="5">
        <f>_xlfn.XLOOKUP(CustomerCombined[[#This Row],[ID]], Table4[ID], Table4[Fruits], "Not Found", 0)</f>
        <v>84</v>
      </c>
      <c r="M1451" s="5">
        <f>_xlfn.XLOOKUP(CustomerCombined[[#This Row],[ID]], Table4[ID], Table4[Meats], "Not Found", 0)</f>
        <v>1766</v>
      </c>
      <c r="N1451" s="5">
        <f>_xlfn.XLOOKUP(CustomerCombined[[#This Row],[ID]], Table4[ID], Table4[Seafood], "Not Found", 0)</f>
        <v>61</v>
      </c>
      <c r="O1451" s="5">
        <f>_xlfn.XLOOKUP(CustomerCombined[[#This Row],[ID]], Table4[ID], Table4[Sweets], "Not Found", 0)</f>
        <v>378</v>
      </c>
      <c r="P1451" s="5">
        <f>_xlfn.XLOOKUP(CustomerCombined[[#This Row],[ID]], Table4[ID], Table4[Premium], "Not Found", 0)</f>
        <v>72</v>
      </c>
      <c r="Q1451" s="5">
        <f>_xlfn.XLOOKUP(CustomerCombined[[#This Row],[ID]], Table4[ID], Table4[Regular], "Not Found", 0)</f>
        <v>3687</v>
      </c>
      <c r="R1451" s="5">
        <f>_xlfn.XLOOKUP(CustomerCombined[[#This Row],[ID]], Table4[ID], Table4[Deals], "Not Found", 0)</f>
        <v>1</v>
      </c>
      <c r="S1451" s="5">
        <f>_xlfn.XLOOKUP(CustomerCombined[[#This Row],[ID]], Table4[ID], Table4[Website], "Not Found", 0)</f>
        <v>6</v>
      </c>
      <c r="T1451" s="5">
        <f>_xlfn.XLOOKUP(CustomerCombined[[#This Row],[ID]], Table4[ID], Table4[Catalog], "Not Found", 0)</f>
        <v>9</v>
      </c>
      <c r="U1451" s="5">
        <f>_xlfn.XLOOKUP(CustomerCombined[[#This Row],[ID]], Table4[ID], Table4[Store], "Not Found", 0)</f>
        <v>13</v>
      </c>
      <c r="V1451" s="5">
        <f>_xlfn.XLOOKUP(CustomerCombined[[#This Row],[ID]], Table4[ID], Table4[Visits], "Not Found", 0)</f>
        <v>3</v>
      </c>
      <c r="W1451" s="8">
        <f>_xlfn.XLOOKUP(CustomerCombined[[#This Row],[ID]], Table2[ID],Table2[Complaint], "Not Found", 0 )</f>
        <v>0</v>
      </c>
      <c r="X1451" s="8">
        <f>_xlfn.XLOOKUP(CustomerCombined[[#This Row],[ID]], Table2[ID],Table2[Pilot], "Not Found", 0 )</f>
        <v>0</v>
      </c>
      <c r="Y1451" s="8">
        <f>_xlfn.XLOOKUP(CustomerCombined[[#This Row],[ID]], Table2[ID],Table2[MC1], "Not Found", 0 )</f>
        <v>0</v>
      </c>
      <c r="Z1451" s="8">
        <f>_xlfn.XLOOKUP(CustomerCombined[[#This Row],[ID]], Table2[ID],Table2[MC2], "Not Found", 0 )</f>
        <v>0</v>
      </c>
      <c r="AA1451" s="8">
        <f>_xlfn.XLOOKUP(CustomerCombined[[#This Row],[ID]], Table2[ID],Table2[MC3], "Not Found", 0 )</f>
        <v>0</v>
      </c>
      <c r="AB1451" s="8">
        <f>_xlfn.XLOOKUP(CustomerCombined[[#This Row],[ID]], Table2[ID],Table2[MC4], "Not Found", 0 )</f>
        <v>0</v>
      </c>
      <c r="AC1451" s="8">
        <f>_xlfn.XLOOKUP(CustomerCombined[[#This Row],[ID]], Table2[ID],Table2[MC5], "Not Found", 0 )</f>
        <v>0</v>
      </c>
    </row>
    <row r="1452" spans="1:29" x14ac:dyDescent="0.3">
      <c r="A1452" s="6">
        <v>1469</v>
      </c>
      <c r="B1452" s="6">
        <v>178825</v>
      </c>
      <c r="C1452" s="6">
        <v>0</v>
      </c>
      <c r="D1452" s="6">
        <v>0</v>
      </c>
      <c r="E1452" s="6">
        <v>56</v>
      </c>
      <c r="F1452" s="5" t="s">
        <v>5</v>
      </c>
      <c r="G1452" s="5" t="s">
        <v>13</v>
      </c>
      <c r="H1452" s="3" t="s">
        <v>396</v>
      </c>
      <c r="I1452" s="5" t="s">
        <v>434</v>
      </c>
      <c r="J1452" s="5">
        <f>_xlfn.XLOOKUP(CustomerCombined[[#This Row],[ID]], Table4[ID], Table4[Recency], "Not Found", 0)</f>
        <v>35</v>
      </c>
      <c r="K1452" s="5">
        <f>_xlfn.XLOOKUP(CustomerCombined[[#This Row],[ID]], Table4[ID], Table4[Teas], "Not Found", 0)</f>
        <v>1096</v>
      </c>
      <c r="L1452" s="5">
        <f>_xlfn.XLOOKUP(CustomerCombined[[#This Row],[ID]], Table4[ID], Table4[Fruits], "Not Found", 0)</f>
        <v>168</v>
      </c>
      <c r="M1452" s="5">
        <f>_xlfn.XLOOKUP(CustomerCombined[[#This Row],[ID]], Table4[ID], Table4[Meats], "Not Found", 0)</f>
        <v>259</v>
      </c>
      <c r="N1452" s="5">
        <f>_xlfn.XLOOKUP(CustomerCombined[[#This Row],[ID]], Table4[ID], Table4[Seafood], "Not Found", 0)</f>
        <v>383</v>
      </c>
      <c r="O1452" s="5">
        <f>_xlfn.XLOOKUP(CustomerCombined[[#This Row],[ID]], Table4[ID], Table4[Sweets], "Not Found", 0)</f>
        <v>84</v>
      </c>
      <c r="P1452" s="5">
        <f>_xlfn.XLOOKUP(CustomerCombined[[#This Row],[ID]], Table4[ID], Table4[Premium], "Not Found", 0)</f>
        <v>41</v>
      </c>
      <c r="Q1452" s="5">
        <f>_xlfn.XLOOKUP(CustomerCombined[[#This Row],[ID]], Table4[ID], Table4[Regular], "Not Found", 0)</f>
        <v>1949</v>
      </c>
      <c r="R1452" s="5">
        <f>_xlfn.XLOOKUP(CustomerCombined[[#This Row],[ID]], Table4[ID], Table4[Deals], "Not Found", 0)</f>
        <v>1</v>
      </c>
      <c r="S1452" s="5">
        <f>_xlfn.XLOOKUP(CustomerCombined[[#This Row],[ID]], Table4[ID], Table4[Website], "Not Found", 0)</f>
        <v>5</v>
      </c>
      <c r="T1452" s="5">
        <f>_xlfn.XLOOKUP(CustomerCombined[[#This Row],[ID]], Table4[ID], Table4[Catalog], "Not Found", 0)</f>
        <v>10</v>
      </c>
      <c r="U1452" s="5">
        <f>_xlfn.XLOOKUP(CustomerCombined[[#This Row],[ID]], Table4[ID], Table4[Store], "Not Found", 0)</f>
        <v>13</v>
      </c>
      <c r="V1452" s="5">
        <f>_xlfn.XLOOKUP(CustomerCombined[[#This Row],[ID]], Table4[ID], Table4[Visits], "Not Found", 0)</f>
        <v>3</v>
      </c>
      <c r="W1452" s="8">
        <f>_xlfn.XLOOKUP(CustomerCombined[[#This Row],[ID]], Table2[ID],Table2[Complaint], "Not Found", 0 )</f>
        <v>0</v>
      </c>
      <c r="X1452" s="8">
        <f>_xlfn.XLOOKUP(CustomerCombined[[#This Row],[ID]], Table2[ID],Table2[Pilot], "Not Found", 0 )</f>
        <v>1</v>
      </c>
      <c r="Y1452" s="8">
        <f>_xlfn.XLOOKUP(CustomerCombined[[#This Row],[ID]], Table2[ID],Table2[MC1], "Not Found", 0 )</f>
        <v>0</v>
      </c>
      <c r="Z1452" s="8">
        <f>_xlfn.XLOOKUP(CustomerCombined[[#This Row],[ID]], Table2[ID],Table2[MC2], "Not Found", 0 )</f>
        <v>0</v>
      </c>
      <c r="AA1452" s="8">
        <f>_xlfn.XLOOKUP(CustomerCombined[[#This Row],[ID]], Table2[ID],Table2[MC3], "Not Found", 0 )</f>
        <v>0</v>
      </c>
      <c r="AB1452" s="8">
        <f>_xlfn.XLOOKUP(CustomerCombined[[#This Row],[ID]], Table2[ID],Table2[MC4], "Not Found", 0 )</f>
        <v>0</v>
      </c>
      <c r="AC1452" s="8">
        <f>_xlfn.XLOOKUP(CustomerCombined[[#This Row],[ID]], Table2[ID],Table2[MC5], "Not Found", 0 )</f>
        <v>0</v>
      </c>
    </row>
    <row r="1453" spans="1:29" x14ac:dyDescent="0.3">
      <c r="A1453" s="6">
        <v>1417</v>
      </c>
      <c r="B1453" s="6">
        <v>175236</v>
      </c>
      <c r="C1453" s="6">
        <v>0</v>
      </c>
      <c r="D1453" s="6">
        <v>1</v>
      </c>
      <c r="E1453" s="6">
        <v>56</v>
      </c>
      <c r="F1453" s="5" t="s">
        <v>6</v>
      </c>
      <c r="G1453" s="5" t="s">
        <v>11</v>
      </c>
      <c r="H1453" s="3">
        <v>43835</v>
      </c>
      <c r="I1453" s="5" t="s">
        <v>437</v>
      </c>
      <c r="J1453" s="5">
        <f>_xlfn.XLOOKUP(CustomerCombined[[#This Row],[ID]], Table4[ID], Table4[Recency], "Not Found", 0)</f>
        <v>27</v>
      </c>
      <c r="K1453" s="5">
        <f>_xlfn.XLOOKUP(CustomerCombined[[#This Row],[ID]], Table4[ID], Table4[Teas], "Not Found", 0)</f>
        <v>1020</v>
      </c>
      <c r="L1453" s="5">
        <f>_xlfn.XLOOKUP(CustomerCombined[[#This Row],[ID]], Table4[ID], Table4[Fruits], "Not Found", 0)</f>
        <v>154</v>
      </c>
      <c r="M1453" s="5">
        <f>_xlfn.XLOOKUP(CustomerCombined[[#This Row],[ID]], Table4[ID], Table4[Meats], "Not Found", 0)</f>
        <v>932</v>
      </c>
      <c r="N1453" s="5">
        <f>_xlfn.XLOOKUP(CustomerCombined[[#This Row],[ID]], Table4[ID], Table4[Seafood], "Not Found", 0)</f>
        <v>28</v>
      </c>
      <c r="O1453" s="5">
        <f>_xlfn.XLOOKUP(CustomerCombined[[#This Row],[ID]], Table4[ID], Table4[Sweets], "Not Found", 0)</f>
        <v>89</v>
      </c>
      <c r="P1453" s="5">
        <f>_xlfn.XLOOKUP(CustomerCombined[[#This Row],[ID]], Table4[ID], Table4[Premium], "Not Found", 0)</f>
        <v>266</v>
      </c>
      <c r="Q1453" s="5">
        <f>_xlfn.XLOOKUP(CustomerCombined[[#This Row],[ID]], Table4[ID], Table4[Regular], "Not Found", 0)</f>
        <v>1956</v>
      </c>
      <c r="R1453" s="5">
        <f>_xlfn.XLOOKUP(CustomerCombined[[#This Row],[ID]], Table4[ID], Table4[Deals], "Not Found", 0)</f>
        <v>1</v>
      </c>
      <c r="S1453" s="5">
        <f>_xlfn.XLOOKUP(CustomerCombined[[#This Row],[ID]], Table4[ID], Table4[Website], "Not Found", 0)</f>
        <v>8</v>
      </c>
      <c r="T1453" s="5">
        <f>_xlfn.XLOOKUP(CustomerCombined[[#This Row],[ID]], Table4[ID], Table4[Catalog], "Not Found", 0)</f>
        <v>3</v>
      </c>
      <c r="U1453" s="5">
        <f>_xlfn.XLOOKUP(CustomerCombined[[#This Row],[ID]], Table4[ID], Table4[Store], "Not Found", 0)</f>
        <v>13</v>
      </c>
      <c r="V1453" s="5">
        <f>_xlfn.XLOOKUP(CustomerCombined[[#This Row],[ID]], Table4[ID], Table4[Visits], "Not Found", 0)</f>
        <v>4</v>
      </c>
      <c r="W1453" s="8">
        <f>_xlfn.XLOOKUP(CustomerCombined[[#This Row],[ID]], Table2[ID],Table2[Complaint], "Not Found", 0 )</f>
        <v>0</v>
      </c>
      <c r="X1453" s="8">
        <f>_xlfn.XLOOKUP(CustomerCombined[[#This Row],[ID]], Table2[ID],Table2[Pilot], "Not Found", 0 )</f>
        <v>0</v>
      </c>
      <c r="Y1453" s="8">
        <f>_xlfn.XLOOKUP(CustomerCombined[[#This Row],[ID]], Table2[ID],Table2[MC1], "Not Found", 0 )</f>
        <v>0</v>
      </c>
      <c r="Z1453" s="8">
        <f>_xlfn.XLOOKUP(CustomerCombined[[#This Row],[ID]], Table2[ID],Table2[MC2], "Not Found", 0 )</f>
        <v>0</v>
      </c>
      <c r="AA1453" s="8">
        <f>_xlfn.XLOOKUP(CustomerCombined[[#This Row],[ID]], Table2[ID],Table2[MC3], "Not Found", 0 )</f>
        <v>0</v>
      </c>
      <c r="AB1453" s="8">
        <f>_xlfn.XLOOKUP(CustomerCombined[[#This Row],[ID]], Table2[ID],Table2[MC4], "Not Found", 0 )</f>
        <v>0</v>
      </c>
      <c r="AC1453" s="8">
        <f>_xlfn.XLOOKUP(CustomerCombined[[#This Row],[ID]], Table2[ID],Table2[MC5], "Not Found", 0 )</f>
        <v>0</v>
      </c>
    </row>
    <row r="1454" spans="1:29" x14ac:dyDescent="0.3">
      <c r="A1454" s="6">
        <v>2846</v>
      </c>
      <c r="B1454" s="6">
        <v>169932</v>
      </c>
      <c r="C1454" s="6">
        <v>0</v>
      </c>
      <c r="D1454" s="6">
        <v>1</v>
      </c>
      <c r="E1454" s="6">
        <v>56</v>
      </c>
      <c r="F1454" s="5" t="s">
        <v>5</v>
      </c>
      <c r="G1454" s="5" t="s">
        <v>11</v>
      </c>
      <c r="H1454" s="3" t="s">
        <v>240</v>
      </c>
      <c r="I1454" s="5" t="s">
        <v>438</v>
      </c>
      <c r="J1454" s="5">
        <f>_xlfn.XLOOKUP(CustomerCombined[[#This Row],[ID]], Table4[ID], Table4[Recency], "Not Found", 0)</f>
        <v>97</v>
      </c>
      <c r="K1454" s="5">
        <f>_xlfn.XLOOKUP(CustomerCombined[[#This Row],[ID]], Table4[ID], Table4[Teas], "Not Found", 0)</f>
        <v>1001</v>
      </c>
      <c r="L1454" s="5">
        <f>_xlfn.XLOOKUP(CustomerCombined[[#This Row],[ID]], Table4[ID], Table4[Fruits], "Not Found", 0)</f>
        <v>418</v>
      </c>
      <c r="M1454" s="5">
        <f>_xlfn.XLOOKUP(CustomerCombined[[#This Row],[ID]], Table4[ID], Table4[Meats], "Not Found", 0)</f>
        <v>372</v>
      </c>
      <c r="N1454" s="5">
        <f>_xlfn.XLOOKUP(CustomerCombined[[#This Row],[ID]], Table4[ID], Table4[Seafood], "Not Found", 0)</f>
        <v>364</v>
      </c>
      <c r="O1454" s="5">
        <f>_xlfn.XLOOKUP(CustomerCombined[[#This Row],[ID]], Table4[ID], Table4[Sweets], "Not Found", 0)</f>
        <v>255</v>
      </c>
      <c r="P1454" s="5">
        <f>_xlfn.XLOOKUP(CustomerCombined[[#This Row],[ID]], Table4[ID], Table4[Premium], "Not Found", 0)</f>
        <v>139</v>
      </c>
      <c r="Q1454" s="5">
        <f>_xlfn.XLOOKUP(CustomerCombined[[#This Row],[ID]], Table4[ID], Table4[Regular], "Not Found", 0)</f>
        <v>2272</v>
      </c>
      <c r="R1454" s="5">
        <f>_xlfn.XLOOKUP(CustomerCombined[[#This Row],[ID]], Table4[ID], Table4[Deals], "Not Found", 0)</f>
        <v>2</v>
      </c>
      <c r="S1454" s="5">
        <f>_xlfn.XLOOKUP(CustomerCombined[[#This Row],[ID]], Table4[ID], Table4[Website], "Not Found", 0)</f>
        <v>7</v>
      </c>
      <c r="T1454" s="5">
        <f>_xlfn.XLOOKUP(CustomerCombined[[#This Row],[ID]], Table4[ID], Table4[Catalog], "Not Found", 0)</f>
        <v>6</v>
      </c>
      <c r="U1454" s="5">
        <f>_xlfn.XLOOKUP(CustomerCombined[[#This Row],[ID]], Table4[ID], Table4[Store], "Not Found", 0)</f>
        <v>11</v>
      </c>
      <c r="V1454" s="5">
        <f>_xlfn.XLOOKUP(CustomerCombined[[#This Row],[ID]], Table4[ID], Table4[Visits], "Not Found", 0)</f>
        <v>4</v>
      </c>
      <c r="W1454" s="8">
        <f>_xlfn.XLOOKUP(CustomerCombined[[#This Row],[ID]], Table2[ID],Table2[Complaint], "Not Found", 0 )</f>
        <v>0</v>
      </c>
      <c r="X1454" s="8">
        <f>_xlfn.XLOOKUP(CustomerCombined[[#This Row],[ID]], Table2[ID],Table2[Pilot], "Not Found", 0 )</f>
        <v>0</v>
      </c>
      <c r="Y1454" s="8">
        <f>_xlfn.XLOOKUP(CustomerCombined[[#This Row],[ID]], Table2[ID],Table2[MC1], "Not Found", 0 )</f>
        <v>0</v>
      </c>
      <c r="Z1454" s="8">
        <f>_xlfn.XLOOKUP(CustomerCombined[[#This Row],[ID]], Table2[ID],Table2[MC2], "Not Found", 0 )</f>
        <v>0</v>
      </c>
      <c r="AA1454" s="8">
        <f>_xlfn.XLOOKUP(CustomerCombined[[#This Row],[ID]], Table2[ID],Table2[MC3], "Not Found", 0 )</f>
        <v>0</v>
      </c>
      <c r="AB1454" s="8">
        <f>_xlfn.XLOOKUP(CustomerCombined[[#This Row],[ID]], Table2[ID],Table2[MC4], "Not Found", 0 )</f>
        <v>0</v>
      </c>
      <c r="AC1454" s="8">
        <f>_xlfn.XLOOKUP(CustomerCombined[[#This Row],[ID]], Table2[ID],Table2[MC5], "Not Found", 0 )</f>
        <v>0</v>
      </c>
    </row>
    <row r="1455" spans="1:29" x14ac:dyDescent="0.3">
      <c r="A1455" s="6">
        <v>2010</v>
      </c>
      <c r="B1455" s="6">
        <v>168316</v>
      </c>
      <c r="C1455" s="6">
        <v>0</v>
      </c>
      <c r="D1455" s="6">
        <v>1</v>
      </c>
      <c r="E1455" s="6">
        <v>56</v>
      </c>
      <c r="F1455" s="5" t="s">
        <v>8</v>
      </c>
      <c r="G1455" s="5" t="s">
        <v>442</v>
      </c>
      <c r="H1455" s="3">
        <v>43773</v>
      </c>
      <c r="I1455" s="5" t="s">
        <v>436</v>
      </c>
      <c r="J1455" s="5">
        <f>_xlfn.XLOOKUP(CustomerCombined[[#This Row],[ID]], Table4[ID], Table4[Recency], "Not Found", 0)</f>
        <v>54</v>
      </c>
      <c r="K1455" s="5">
        <f>_xlfn.XLOOKUP(CustomerCombined[[#This Row],[ID]], Table4[ID], Table4[Teas], "Not Found", 0)</f>
        <v>1986</v>
      </c>
      <c r="L1455" s="5">
        <f>_xlfn.XLOOKUP(CustomerCombined[[#This Row],[ID]], Table4[ID], Table4[Fruits], "Not Found", 0)</f>
        <v>197</v>
      </c>
      <c r="M1455" s="5">
        <f>_xlfn.XLOOKUP(CustomerCombined[[#This Row],[ID]], Table4[ID], Table4[Meats], "Not Found", 0)</f>
        <v>397</v>
      </c>
      <c r="N1455" s="5">
        <f>_xlfn.XLOOKUP(CustomerCombined[[#This Row],[ID]], Table4[ID], Table4[Seafood], "Not Found", 0)</f>
        <v>296</v>
      </c>
      <c r="O1455" s="5">
        <f>_xlfn.XLOOKUP(CustomerCombined[[#This Row],[ID]], Table4[ID], Table4[Sweets], "Not Found", 0)</f>
        <v>27</v>
      </c>
      <c r="P1455" s="5">
        <f>_xlfn.XLOOKUP(CustomerCombined[[#This Row],[ID]], Table4[ID], Table4[Premium], "Not Found", 0)</f>
        <v>81</v>
      </c>
      <c r="Q1455" s="5">
        <f>_xlfn.XLOOKUP(CustomerCombined[[#This Row],[ID]], Table4[ID], Table4[Regular], "Not Found", 0)</f>
        <v>2821</v>
      </c>
      <c r="R1455" s="5">
        <f>_xlfn.XLOOKUP(CustomerCombined[[#This Row],[ID]], Table4[ID], Table4[Deals], "Not Found", 0)</f>
        <v>5</v>
      </c>
      <c r="S1455" s="5">
        <f>_xlfn.XLOOKUP(CustomerCombined[[#This Row],[ID]], Table4[ID], Table4[Website], "Not Found", 0)</f>
        <v>10</v>
      </c>
      <c r="T1455" s="5">
        <f>_xlfn.XLOOKUP(CustomerCombined[[#This Row],[ID]], Table4[ID], Table4[Catalog], "Not Found", 0)</f>
        <v>7</v>
      </c>
      <c r="U1455" s="5">
        <f>_xlfn.XLOOKUP(CustomerCombined[[#This Row],[ID]], Table4[ID], Table4[Store], "Not Found", 0)</f>
        <v>10</v>
      </c>
      <c r="V1455" s="5">
        <f>_xlfn.XLOOKUP(CustomerCombined[[#This Row],[ID]], Table4[ID], Table4[Visits], "Not Found", 0)</f>
        <v>6</v>
      </c>
      <c r="W1455" s="8">
        <f>_xlfn.XLOOKUP(CustomerCombined[[#This Row],[ID]], Table2[ID],Table2[Complaint], "Not Found", 0 )</f>
        <v>0</v>
      </c>
      <c r="X1455" s="8">
        <f>_xlfn.XLOOKUP(CustomerCombined[[#This Row],[ID]], Table2[ID],Table2[Pilot], "Not Found", 0 )</f>
        <v>0</v>
      </c>
      <c r="Y1455" s="8">
        <f>_xlfn.XLOOKUP(CustomerCombined[[#This Row],[ID]], Table2[ID],Table2[MC1], "Not Found", 0 )</f>
        <v>0</v>
      </c>
      <c r="Z1455" s="8">
        <f>_xlfn.XLOOKUP(CustomerCombined[[#This Row],[ID]], Table2[ID],Table2[MC2], "Not Found", 0 )</f>
        <v>0</v>
      </c>
      <c r="AA1455" s="8">
        <f>_xlfn.XLOOKUP(CustomerCombined[[#This Row],[ID]], Table2[ID],Table2[MC3], "Not Found", 0 )</f>
        <v>0</v>
      </c>
      <c r="AB1455" s="8">
        <f>_xlfn.XLOOKUP(CustomerCombined[[#This Row],[ID]], Table2[ID],Table2[MC4], "Not Found", 0 )</f>
        <v>0</v>
      </c>
      <c r="AC1455" s="8">
        <f>_xlfn.XLOOKUP(CustomerCombined[[#This Row],[ID]], Table2[ID],Table2[MC5], "Not Found", 0 )</f>
        <v>0</v>
      </c>
    </row>
    <row r="1456" spans="1:29" x14ac:dyDescent="0.3">
      <c r="A1456" s="6">
        <v>2132</v>
      </c>
      <c r="B1456" s="6">
        <v>168142</v>
      </c>
      <c r="C1456" s="6">
        <v>0</v>
      </c>
      <c r="D1456" s="6">
        <v>1</v>
      </c>
      <c r="E1456" s="6">
        <v>56</v>
      </c>
      <c r="F1456" s="5" t="s">
        <v>8</v>
      </c>
      <c r="G1456" s="5" t="s">
        <v>11</v>
      </c>
      <c r="H1456" s="3">
        <v>43526</v>
      </c>
      <c r="I1456" s="5" t="s">
        <v>438</v>
      </c>
      <c r="J1456" s="5">
        <f>_xlfn.XLOOKUP(CustomerCombined[[#This Row],[ID]], Table4[ID], Table4[Recency], "Not Found", 0)</f>
        <v>96</v>
      </c>
      <c r="K1456" s="5">
        <f>_xlfn.XLOOKUP(CustomerCombined[[#This Row],[ID]], Table4[ID], Table4[Teas], "Not Found", 0)</f>
        <v>2213</v>
      </c>
      <c r="L1456" s="5">
        <f>_xlfn.XLOOKUP(CustomerCombined[[#This Row],[ID]], Table4[ID], Table4[Fruits], "Not Found", 0)</f>
        <v>311</v>
      </c>
      <c r="M1456" s="5">
        <f>_xlfn.XLOOKUP(CustomerCombined[[#This Row],[ID]], Table4[ID], Table4[Meats], "Not Found", 0)</f>
        <v>484</v>
      </c>
      <c r="N1456" s="5">
        <f>_xlfn.XLOOKUP(CustomerCombined[[#This Row],[ID]], Table4[ID], Table4[Seafood], "Not Found", 0)</f>
        <v>225</v>
      </c>
      <c r="O1456" s="5">
        <f>_xlfn.XLOOKUP(CustomerCombined[[#This Row],[ID]], Table4[ID], Table4[Sweets], "Not Found", 0)</f>
        <v>276</v>
      </c>
      <c r="P1456" s="5">
        <f>_xlfn.XLOOKUP(CustomerCombined[[#This Row],[ID]], Table4[ID], Table4[Premium], "Not Found", 0)</f>
        <v>91</v>
      </c>
      <c r="Q1456" s="5">
        <f>_xlfn.XLOOKUP(CustomerCombined[[#This Row],[ID]], Table4[ID], Table4[Regular], "Not Found", 0)</f>
        <v>3418</v>
      </c>
      <c r="R1456" s="5">
        <f>_xlfn.XLOOKUP(CustomerCombined[[#This Row],[ID]], Table4[ID], Table4[Deals], "Not Found", 0)</f>
        <v>3</v>
      </c>
      <c r="S1456" s="5">
        <f>_xlfn.XLOOKUP(CustomerCombined[[#This Row],[ID]], Table4[ID], Table4[Website], "Not Found", 0)</f>
        <v>10</v>
      </c>
      <c r="T1456" s="5">
        <f>_xlfn.XLOOKUP(CustomerCombined[[#This Row],[ID]], Table4[ID], Table4[Catalog], "Not Found", 0)</f>
        <v>4</v>
      </c>
      <c r="U1456" s="5">
        <f>_xlfn.XLOOKUP(CustomerCombined[[#This Row],[ID]], Table4[ID], Table4[Store], "Not Found", 0)</f>
        <v>7</v>
      </c>
      <c r="V1456" s="5">
        <f>_xlfn.XLOOKUP(CustomerCombined[[#This Row],[ID]], Table4[ID], Table4[Visits], "Not Found", 0)</f>
        <v>6</v>
      </c>
      <c r="W1456" s="8">
        <f>_xlfn.XLOOKUP(CustomerCombined[[#This Row],[ID]], Table2[ID],Table2[Complaint], "Not Found", 0 )</f>
        <v>0</v>
      </c>
      <c r="X1456" s="8">
        <f>_xlfn.XLOOKUP(CustomerCombined[[#This Row],[ID]], Table2[ID],Table2[Pilot], "Not Found", 0 )</f>
        <v>0</v>
      </c>
      <c r="Y1456" s="8">
        <f>_xlfn.XLOOKUP(CustomerCombined[[#This Row],[ID]], Table2[ID],Table2[MC1], "Not Found", 0 )</f>
        <v>0</v>
      </c>
      <c r="Z1456" s="8">
        <f>_xlfn.XLOOKUP(CustomerCombined[[#This Row],[ID]], Table2[ID],Table2[MC2], "Not Found", 0 )</f>
        <v>0</v>
      </c>
      <c r="AA1456" s="8">
        <f>_xlfn.XLOOKUP(CustomerCombined[[#This Row],[ID]], Table2[ID],Table2[MC3], "Not Found", 0 )</f>
        <v>0</v>
      </c>
      <c r="AB1456" s="8">
        <f>_xlfn.XLOOKUP(CustomerCombined[[#This Row],[ID]], Table2[ID],Table2[MC4], "Not Found", 0 )</f>
        <v>0</v>
      </c>
      <c r="AC1456" s="8">
        <f>_xlfn.XLOOKUP(CustomerCombined[[#This Row],[ID]], Table2[ID],Table2[MC5], "Not Found", 0 )</f>
        <v>0</v>
      </c>
    </row>
    <row r="1457" spans="1:29" x14ac:dyDescent="0.3">
      <c r="A1457" s="6">
        <v>2045</v>
      </c>
      <c r="B1457" s="6">
        <v>165526</v>
      </c>
      <c r="C1457" s="6">
        <v>0</v>
      </c>
      <c r="D1457" s="6">
        <v>1</v>
      </c>
      <c r="E1457" s="6">
        <v>56</v>
      </c>
      <c r="F1457" s="5" t="s">
        <v>6</v>
      </c>
      <c r="G1457" s="5" t="s">
        <v>13</v>
      </c>
      <c r="H1457" s="3" t="s">
        <v>71</v>
      </c>
      <c r="I1457" s="5" t="s">
        <v>434</v>
      </c>
      <c r="J1457" s="5">
        <f>_xlfn.XLOOKUP(CustomerCombined[[#This Row],[ID]], Table4[ID], Table4[Recency], "Not Found", 0)</f>
        <v>22</v>
      </c>
      <c r="K1457" s="5">
        <f>_xlfn.XLOOKUP(CustomerCombined[[#This Row],[ID]], Table4[ID], Table4[Teas], "Not Found", 0)</f>
        <v>1003</v>
      </c>
      <c r="L1457" s="5">
        <f>_xlfn.XLOOKUP(CustomerCombined[[#This Row],[ID]], Table4[ID], Table4[Fruits], "Not Found", 0)</f>
        <v>48</v>
      </c>
      <c r="M1457" s="5">
        <f>_xlfn.XLOOKUP(CustomerCombined[[#This Row],[ID]], Table4[ID], Table4[Meats], "Not Found", 0)</f>
        <v>174</v>
      </c>
      <c r="N1457" s="5">
        <f>_xlfn.XLOOKUP(CustomerCombined[[#This Row],[ID]], Table4[ID], Table4[Seafood], "Not Found", 0)</f>
        <v>30</v>
      </c>
      <c r="O1457" s="5">
        <f>_xlfn.XLOOKUP(CustomerCombined[[#This Row],[ID]], Table4[ID], Table4[Sweets], "Not Found", 0)</f>
        <v>0</v>
      </c>
      <c r="P1457" s="5">
        <f>_xlfn.XLOOKUP(CustomerCombined[[#This Row],[ID]], Table4[ID], Table4[Premium], "Not Found", 0)</f>
        <v>23</v>
      </c>
      <c r="Q1457" s="5">
        <f>_xlfn.XLOOKUP(CustomerCombined[[#This Row],[ID]], Table4[ID], Table4[Regular], "Not Found", 0)</f>
        <v>1233</v>
      </c>
      <c r="R1457" s="5">
        <f>_xlfn.XLOOKUP(CustomerCombined[[#This Row],[ID]], Table4[ID], Table4[Deals], "Not Found", 0)</f>
        <v>1</v>
      </c>
      <c r="S1457" s="5">
        <f>_xlfn.XLOOKUP(CustomerCombined[[#This Row],[ID]], Table4[ID], Table4[Website], "Not Found", 0)</f>
        <v>4</v>
      </c>
      <c r="T1457" s="5">
        <f>_xlfn.XLOOKUP(CustomerCombined[[#This Row],[ID]], Table4[ID], Table4[Catalog], "Not Found", 0)</f>
        <v>4</v>
      </c>
      <c r="U1457" s="5">
        <f>_xlfn.XLOOKUP(CustomerCombined[[#This Row],[ID]], Table4[ID], Table4[Store], "Not Found", 0)</f>
        <v>8</v>
      </c>
      <c r="V1457" s="5">
        <f>_xlfn.XLOOKUP(CustomerCombined[[#This Row],[ID]], Table4[ID], Table4[Visits], "Not Found", 0)</f>
        <v>2</v>
      </c>
      <c r="W1457" s="8">
        <f>_xlfn.XLOOKUP(CustomerCombined[[#This Row],[ID]], Table2[ID],Table2[Complaint], "Not Found", 0 )</f>
        <v>0</v>
      </c>
      <c r="X1457" s="8">
        <f>_xlfn.XLOOKUP(CustomerCombined[[#This Row],[ID]], Table2[ID],Table2[Pilot], "Not Found", 0 )</f>
        <v>0</v>
      </c>
      <c r="Y1457" s="8">
        <f>_xlfn.XLOOKUP(CustomerCombined[[#This Row],[ID]], Table2[ID],Table2[MC1], "Not Found", 0 )</f>
        <v>0</v>
      </c>
      <c r="Z1457" s="8">
        <f>_xlfn.XLOOKUP(CustomerCombined[[#This Row],[ID]], Table2[ID],Table2[MC2], "Not Found", 0 )</f>
        <v>0</v>
      </c>
      <c r="AA1457" s="8">
        <f>_xlfn.XLOOKUP(CustomerCombined[[#This Row],[ID]], Table2[ID],Table2[MC3], "Not Found", 0 )</f>
        <v>0</v>
      </c>
      <c r="AB1457" s="8">
        <f>_xlfn.XLOOKUP(CustomerCombined[[#This Row],[ID]], Table2[ID],Table2[MC4], "Not Found", 0 )</f>
        <v>0</v>
      </c>
      <c r="AC1457" s="8">
        <f>_xlfn.XLOOKUP(CustomerCombined[[#This Row],[ID]], Table2[ID],Table2[MC5], "Not Found", 0 )</f>
        <v>0</v>
      </c>
    </row>
    <row r="1458" spans="1:29" x14ac:dyDescent="0.3">
      <c r="A1458" s="6">
        <v>2585</v>
      </c>
      <c r="B1458" s="6">
        <v>165526</v>
      </c>
      <c r="C1458" s="6">
        <v>0</v>
      </c>
      <c r="D1458" s="6">
        <v>1</v>
      </c>
      <c r="E1458" s="6">
        <v>56</v>
      </c>
      <c r="F1458" s="5" t="s">
        <v>6</v>
      </c>
      <c r="G1458" s="5" t="s">
        <v>13</v>
      </c>
      <c r="H1458" s="3" t="s">
        <v>71</v>
      </c>
      <c r="I1458" s="5" t="s">
        <v>434</v>
      </c>
      <c r="J1458" s="5">
        <f>_xlfn.XLOOKUP(CustomerCombined[[#This Row],[ID]], Table4[ID], Table4[Recency], "Not Found", 0)</f>
        <v>22</v>
      </c>
      <c r="K1458" s="5">
        <f>_xlfn.XLOOKUP(CustomerCombined[[#This Row],[ID]], Table4[ID], Table4[Teas], "Not Found", 0)</f>
        <v>1003</v>
      </c>
      <c r="L1458" s="5">
        <f>_xlfn.XLOOKUP(CustomerCombined[[#This Row],[ID]], Table4[ID], Table4[Fruits], "Not Found", 0)</f>
        <v>48</v>
      </c>
      <c r="M1458" s="5">
        <f>_xlfn.XLOOKUP(CustomerCombined[[#This Row],[ID]], Table4[ID], Table4[Meats], "Not Found", 0)</f>
        <v>174</v>
      </c>
      <c r="N1458" s="5">
        <f>_xlfn.XLOOKUP(CustomerCombined[[#This Row],[ID]], Table4[ID], Table4[Seafood], "Not Found", 0)</f>
        <v>30</v>
      </c>
      <c r="O1458" s="5">
        <f>_xlfn.XLOOKUP(CustomerCombined[[#This Row],[ID]], Table4[ID], Table4[Sweets], "Not Found", 0)</f>
        <v>0</v>
      </c>
      <c r="P1458" s="5">
        <f>_xlfn.XLOOKUP(CustomerCombined[[#This Row],[ID]], Table4[ID], Table4[Premium], "Not Found", 0)</f>
        <v>23</v>
      </c>
      <c r="Q1458" s="5">
        <f>_xlfn.XLOOKUP(CustomerCombined[[#This Row],[ID]], Table4[ID], Table4[Regular], "Not Found", 0)</f>
        <v>1233</v>
      </c>
      <c r="R1458" s="5">
        <f>_xlfn.XLOOKUP(CustomerCombined[[#This Row],[ID]], Table4[ID], Table4[Deals], "Not Found", 0)</f>
        <v>1</v>
      </c>
      <c r="S1458" s="5">
        <f>_xlfn.XLOOKUP(CustomerCombined[[#This Row],[ID]], Table4[ID], Table4[Website], "Not Found", 0)</f>
        <v>4</v>
      </c>
      <c r="T1458" s="5">
        <f>_xlfn.XLOOKUP(CustomerCombined[[#This Row],[ID]], Table4[ID], Table4[Catalog], "Not Found", 0)</f>
        <v>4</v>
      </c>
      <c r="U1458" s="5">
        <f>_xlfn.XLOOKUP(CustomerCombined[[#This Row],[ID]], Table4[ID], Table4[Store], "Not Found", 0)</f>
        <v>8</v>
      </c>
      <c r="V1458" s="5">
        <f>_xlfn.XLOOKUP(CustomerCombined[[#This Row],[ID]], Table4[ID], Table4[Visits], "Not Found", 0)</f>
        <v>2</v>
      </c>
      <c r="W1458" s="8">
        <f>_xlfn.XLOOKUP(CustomerCombined[[#This Row],[ID]], Table2[ID],Table2[Complaint], "Not Found", 0 )</f>
        <v>0</v>
      </c>
      <c r="X1458" s="8">
        <f>_xlfn.XLOOKUP(CustomerCombined[[#This Row],[ID]], Table2[ID],Table2[Pilot], "Not Found", 0 )</f>
        <v>0</v>
      </c>
      <c r="Y1458" s="8">
        <f>_xlfn.XLOOKUP(CustomerCombined[[#This Row],[ID]], Table2[ID],Table2[MC1], "Not Found", 0 )</f>
        <v>0</v>
      </c>
      <c r="Z1458" s="8">
        <f>_xlfn.XLOOKUP(CustomerCombined[[#This Row],[ID]], Table2[ID],Table2[MC2], "Not Found", 0 )</f>
        <v>0</v>
      </c>
      <c r="AA1458" s="8">
        <f>_xlfn.XLOOKUP(CustomerCombined[[#This Row],[ID]], Table2[ID],Table2[MC3], "Not Found", 0 )</f>
        <v>0</v>
      </c>
      <c r="AB1458" s="8">
        <f>_xlfn.XLOOKUP(CustomerCombined[[#This Row],[ID]], Table2[ID],Table2[MC4], "Not Found", 0 )</f>
        <v>0</v>
      </c>
      <c r="AC1458" s="8">
        <f>_xlfn.XLOOKUP(CustomerCombined[[#This Row],[ID]], Table2[ID],Table2[MC5], "Not Found", 0 )</f>
        <v>0</v>
      </c>
    </row>
    <row r="1459" spans="1:29" x14ac:dyDescent="0.3">
      <c r="A1459" s="6">
        <v>2617</v>
      </c>
      <c r="B1459" s="6">
        <v>164140</v>
      </c>
      <c r="C1459" s="6">
        <v>0</v>
      </c>
      <c r="D1459" s="6">
        <v>2</v>
      </c>
      <c r="E1459" s="6">
        <v>56</v>
      </c>
      <c r="F1459" s="5" t="s">
        <v>5</v>
      </c>
      <c r="G1459" s="5" t="s">
        <v>13</v>
      </c>
      <c r="H1459" s="3" t="s">
        <v>176</v>
      </c>
      <c r="I1459" s="5" t="s">
        <v>437</v>
      </c>
      <c r="J1459" s="5">
        <f>_xlfn.XLOOKUP(CustomerCombined[[#This Row],[ID]], Table4[ID], Table4[Recency], "Not Found", 0)</f>
        <v>71</v>
      </c>
      <c r="K1459" s="5">
        <f>_xlfn.XLOOKUP(CustomerCombined[[#This Row],[ID]], Table4[ID], Table4[Teas], "Not Found", 0)</f>
        <v>3734</v>
      </c>
      <c r="L1459" s="5">
        <f>_xlfn.XLOOKUP(CustomerCombined[[#This Row],[ID]], Table4[ID], Table4[Fruits], "Not Found", 0)</f>
        <v>0</v>
      </c>
      <c r="M1459" s="5">
        <f>_xlfn.XLOOKUP(CustomerCombined[[#This Row],[ID]], Table4[ID], Table4[Meats], "Not Found", 0)</f>
        <v>156</v>
      </c>
      <c r="N1459" s="5">
        <f>_xlfn.XLOOKUP(CustomerCombined[[#This Row],[ID]], Table4[ID], Table4[Seafood], "Not Found", 0)</f>
        <v>0</v>
      </c>
      <c r="O1459" s="5">
        <f>_xlfn.XLOOKUP(CustomerCombined[[#This Row],[ID]], Table4[ID], Table4[Sweets], "Not Found", 0)</f>
        <v>38</v>
      </c>
      <c r="P1459" s="5">
        <f>_xlfn.XLOOKUP(CustomerCombined[[#This Row],[ID]], Table4[ID], Table4[Premium], "Not Found", 0)</f>
        <v>550</v>
      </c>
      <c r="Q1459" s="5">
        <f>_xlfn.XLOOKUP(CustomerCombined[[#This Row],[ID]], Table4[ID], Table4[Regular], "Not Found", 0)</f>
        <v>3378</v>
      </c>
      <c r="R1459" s="5">
        <f>_xlfn.XLOOKUP(CustomerCombined[[#This Row],[ID]], Table4[ID], Table4[Deals], "Not Found", 0)</f>
        <v>5</v>
      </c>
      <c r="S1459" s="5">
        <f>_xlfn.XLOOKUP(CustomerCombined[[#This Row],[ID]], Table4[ID], Table4[Website], "Not Found", 0)</f>
        <v>2</v>
      </c>
      <c r="T1459" s="5">
        <f>_xlfn.XLOOKUP(CustomerCombined[[#This Row],[ID]], Table4[ID], Table4[Catalog], "Not Found", 0)</f>
        <v>5</v>
      </c>
      <c r="U1459" s="5">
        <f>_xlfn.XLOOKUP(CustomerCombined[[#This Row],[ID]], Table4[ID], Table4[Store], "Not Found", 0)</f>
        <v>6</v>
      </c>
      <c r="V1459" s="5">
        <f>_xlfn.XLOOKUP(CustomerCombined[[#This Row],[ID]], Table4[ID], Table4[Visits], "Not Found", 0)</f>
        <v>5</v>
      </c>
      <c r="W1459" s="8">
        <f>_xlfn.XLOOKUP(CustomerCombined[[#This Row],[ID]], Table2[ID],Table2[Complaint], "Not Found", 0 )</f>
        <v>0</v>
      </c>
      <c r="X1459" s="8">
        <f>_xlfn.XLOOKUP(CustomerCombined[[#This Row],[ID]], Table2[ID],Table2[Pilot], "Not Found", 0 )</f>
        <v>1</v>
      </c>
      <c r="Y1459" s="8">
        <f>_xlfn.XLOOKUP(CustomerCombined[[#This Row],[ID]], Table2[ID],Table2[MC1], "Not Found", 0 )</f>
        <v>0</v>
      </c>
      <c r="Z1459" s="8">
        <f>_xlfn.XLOOKUP(CustomerCombined[[#This Row],[ID]], Table2[ID],Table2[MC2], "Not Found", 0 )</f>
        <v>1</v>
      </c>
      <c r="AA1459" s="8">
        <f>_xlfn.XLOOKUP(CustomerCombined[[#This Row],[ID]], Table2[ID],Table2[MC3], "Not Found", 0 )</f>
        <v>1</v>
      </c>
      <c r="AB1459" s="8">
        <f>_xlfn.XLOOKUP(CustomerCombined[[#This Row],[ID]], Table2[ID],Table2[MC4], "Not Found", 0 )</f>
        <v>0</v>
      </c>
      <c r="AC1459" s="8">
        <f>_xlfn.XLOOKUP(CustomerCombined[[#This Row],[ID]], Table2[ID],Table2[MC5], "Not Found", 0 )</f>
        <v>1</v>
      </c>
    </row>
    <row r="1460" spans="1:29" x14ac:dyDescent="0.3">
      <c r="A1460" s="6">
        <v>1295</v>
      </c>
      <c r="B1460" s="6">
        <v>164100</v>
      </c>
      <c r="C1460" s="6">
        <v>0</v>
      </c>
      <c r="D1460" s="6">
        <v>1</v>
      </c>
      <c r="E1460" s="6">
        <v>56</v>
      </c>
      <c r="F1460" s="5" t="s">
        <v>6</v>
      </c>
      <c r="G1460" s="5" t="s">
        <v>12</v>
      </c>
      <c r="H1460" s="3" t="s">
        <v>189</v>
      </c>
      <c r="I1460" s="5" t="s">
        <v>434</v>
      </c>
      <c r="J1460" s="5">
        <f>_xlfn.XLOOKUP(CustomerCombined[[#This Row],[ID]], Table4[ID], Table4[Recency], "Not Found", 0)</f>
        <v>93</v>
      </c>
      <c r="K1460" s="5">
        <f>_xlfn.XLOOKUP(CustomerCombined[[#This Row],[ID]], Table4[ID], Table4[Teas], "Not Found", 0)</f>
        <v>1303</v>
      </c>
      <c r="L1460" s="5">
        <f>_xlfn.XLOOKUP(CustomerCombined[[#This Row],[ID]], Table4[ID], Table4[Fruits], "Not Found", 0)</f>
        <v>0</v>
      </c>
      <c r="M1460" s="5">
        <f>_xlfn.XLOOKUP(CustomerCombined[[#This Row],[ID]], Table4[ID], Table4[Meats], "Not Found", 0)</f>
        <v>69</v>
      </c>
      <c r="N1460" s="5">
        <f>_xlfn.XLOOKUP(CustomerCombined[[#This Row],[ID]], Table4[ID], Table4[Seafood], "Not Found", 0)</f>
        <v>0</v>
      </c>
      <c r="O1460" s="5">
        <f>_xlfn.XLOOKUP(CustomerCombined[[#This Row],[ID]], Table4[ID], Table4[Sweets], "Not Found", 0)</f>
        <v>0</v>
      </c>
      <c r="P1460" s="5">
        <f>_xlfn.XLOOKUP(CustomerCombined[[#This Row],[ID]], Table4[ID], Table4[Premium], "Not Found", 0)</f>
        <v>26</v>
      </c>
      <c r="Q1460" s="5">
        <f>_xlfn.XLOOKUP(CustomerCombined[[#This Row],[ID]], Table4[ID], Table4[Regular], "Not Found", 0)</f>
        <v>1347</v>
      </c>
      <c r="R1460" s="5">
        <f>_xlfn.XLOOKUP(CustomerCombined[[#This Row],[ID]], Table4[ID], Table4[Deals], "Not Found", 0)</f>
        <v>1</v>
      </c>
      <c r="S1460" s="5">
        <f>_xlfn.XLOOKUP(CustomerCombined[[#This Row],[ID]], Table4[ID], Table4[Website], "Not Found", 0)</f>
        <v>8</v>
      </c>
      <c r="T1460" s="5">
        <f>_xlfn.XLOOKUP(CustomerCombined[[#This Row],[ID]], Table4[ID], Table4[Catalog], "Not Found", 0)</f>
        <v>3</v>
      </c>
      <c r="U1460" s="5">
        <f>_xlfn.XLOOKUP(CustomerCombined[[#This Row],[ID]], Table4[ID], Table4[Store], "Not Found", 0)</f>
        <v>6</v>
      </c>
      <c r="V1460" s="5">
        <f>_xlfn.XLOOKUP(CustomerCombined[[#This Row],[ID]], Table4[ID], Table4[Visits], "Not Found", 0)</f>
        <v>7</v>
      </c>
      <c r="W1460" s="8">
        <f>_xlfn.XLOOKUP(CustomerCombined[[#This Row],[ID]], Table2[ID],Table2[Complaint], "Not Found", 0 )</f>
        <v>0</v>
      </c>
      <c r="X1460" s="8">
        <f>_xlfn.XLOOKUP(CustomerCombined[[#This Row],[ID]], Table2[ID],Table2[Pilot], "Not Found", 0 )</f>
        <v>0</v>
      </c>
      <c r="Y1460" s="8">
        <f>_xlfn.XLOOKUP(CustomerCombined[[#This Row],[ID]], Table2[ID],Table2[MC1], "Not Found", 0 )</f>
        <v>0</v>
      </c>
      <c r="Z1460" s="8">
        <f>_xlfn.XLOOKUP(CustomerCombined[[#This Row],[ID]], Table2[ID],Table2[MC2], "Not Found", 0 )</f>
        <v>0</v>
      </c>
      <c r="AA1460" s="8">
        <f>_xlfn.XLOOKUP(CustomerCombined[[#This Row],[ID]], Table2[ID],Table2[MC3], "Not Found", 0 )</f>
        <v>0</v>
      </c>
      <c r="AB1460" s="8">
        <f>_xlfn.XLOOKUP(CustomerCombined[[#This Row],[ID]], Table2[ID],Table2[MC4], "Not Found", 0 )</f>
        <v>1</v>
      </c>
      <c r="AC1460" s="8">
        <f>_xlfn.XLOOKUP(CustomerCombined[[#This Row],[ID]], Table2[ID],Table2[MC5], "Not Found", 0 )</f>
        <v>0</v>
      </c>
    </row>
    <row r="1461" spans="1:29" x14ac:dyDescent="0.3">
      <c r="A1461" s="6">
        <v>2542</v>
      </c>
      <c r="B1461" s="6">
        <v>163972</v>
      </c>
      <c r="C1461" s="6">
        <v>0</v>
      </c>
      <c r="D1461" s="6">
        <v>1</v>
      </c>
      <c r="E1461" s="6">
        <v>56</v>
      </c>
      <c r="F1461" s="5" t="s">
        <v>7</v>
      </c>
      <c r="G1461" s="5" t="s">
        <v>12</v>
      </c>
      <c r="H1461" s="3">
        <v>43713</v>
      </c>
      <c r="I1461" s="5" t="s">
        <v>439</v>
      </c>
      <c r="J1461" s="5">
        <f>_xlfn.XLOOKUP(CustomerCombined[[#This Row],[ID]], Table4[ID], Table4[Recency], "Not Found", 0)</f>
        <v>93</v>
      </c>
      <c r="K1461" s="5">
        <f>_xlfn.XLOOKUP(CustomerCombined[[#This Row],[ID]], Table4[ID], Table4[Teas], "Not Found", 0)</f>
        <v>2379</v>
      </c>
      <c r="L1461" s="5">
        <f>_xlfn.XLOOKUP(CustomerCombined[[#This Row],[ID]], Table4[ID], Table4[Fruits], "Not Found", 0)</f>
        <v>161</v>
      </c>
      <c r="M1461" s="5">
        <f>_xlfn.XLOOKUP(CustomerCombined[[#This Row],[ID]], Table4[ID], Table4[Meats], "Not Found", 0)</f>
        <v>651</v>
      </c>
      <c r="N1461" s="5">
        <f>_xlfn.XLOOKUP(CustomerCombined[[#This Row],[ID]], Table4[ID], Table4[Seafood], "Not Found", 0)</f>
        <v>0</v>
      </c>
      <c r="O1461" s="5">
        <f>_xlfn.XLOOKUP(CustomerCombined[[#This Row],[ID]], Table4[ID], Table4[Sweets], "Not Found", 0)</f>
        <v>31</v>
      </c>
      <c r="P1461" s="5">
        <f>_xlfn.XLOOKUP(CustomerCombined[[#This Row],[ID]], Table4[ID], Table4[Premium], "Not Found", 0)</f>
        <v>31</v>
      </c>
      <c r="Q1461" s="5">
        <f>_xlfn.XLOOKUP(CustomerCombined[[#This Row],[ID]], Table4[ID], Table4[Regular], "Not Found", 0)</f>
        <v>3191</v>
      </c>
      <c r="R1461" s="5">
        <f>_xlfn.XLOOKUP(CustomerCombined[[#This Row],[ID]], Table4[ID], Table4[Deals], "Not Found", 0)</f>
        <v>4</v>
      </c>
      <c r="S1461" s="5">
        <f>_xlfn.XLOOKUP(CustomerCombined[[#This Row],[ID]], Table4[ID], Table4[Website], "Not Found", 0)</f>
        <v>5</v>
      </c>
      <c r="T1461" s="5">
        <f>_xlfn.XLOOKUP(CustomerCombined[[#This Row],[ID]], Table4[ID], Table4[Catalog], "Not Found", 0)</f>
        <v>4</v>
      </c>
      <c r="U1461" s="5">
        <f>_xlfn.XLOOKUP(CustomerCombined[[#This Row],[ID]], Table4[ID], Table4[Store], "Not Found", 0)</f>
        <v>10</v>
      </c>
      <c r="V1461" s="5">
        <f>_xlfn.XLOOKUP(CustomerCombined[[#This Row],[ID]], Table4[ID], Table4[Visits], "Not Found", 0)</f>
        <v>4</v>
      </c>
      <c r="W1461" s="8">
        <f>_xlfn.XLOOKUP(CustomerCombined[[#This Row],[ID]], Table2[ID],Table2[Complaint], "Not Found", 0 )</f>
        <v>0</v>
      </c>
      <c r="X1461" s="8">
        <f>_xlfn.XLOOKUP(CustomerCombined[[#This Row],[ID]], Table2[ID],Table2[Pilot], "Not Found", 0 )</f>
        <v>0</v>
      </c>
      <c r="Y1461" s="8">
        <f>_xlfn.XLOOKUP(CustomerCombined[[#This Row],[ID]], Table2[ID],Table2[MC1], "Not Found", 0 )</f>
        <v>0</v>
      </c>
      <c r="Z1461" s="8">
        <f>_xlfn.XLOOKUP(CustomerCombined[[#This Row],[ID]], Table2[ID],Table2[MC2], "Not Found", 0 )</f>
        <v>0</v>
      </c>
      <c r="AA1461" s="8">
        <f>_xlfn.XLOOKUP(CustomerCombined[[#This Row],[ID]], Table2[ID],Table2[MC3], "Not Found", 0 )</f>
        <v>0</v>
      </c>
      <c r="AB1461" s="8">
        <f>_xlfn.XLOOKUP(CustomerCombined[[#This Row],[ID]], Table2[ID],Table2[MC4], "Not Found", 0 )</f>
        <v>1</v>
      </c>
      <c r="AC1461" s="8">
        <f>_xlfn.XLOOKUP(CustomerCombined[[#This Row],[ID]], Table2[ID],Table2[MC5], "Not Found", 0 )</f>
        <v>0</v>
      </c>
    </row>
    <row r="1462" spans="1:29" x14ac:dyDescent="0.3">
      <c r="A1462" s="6">
        <v>2773</v>
      </c>
      <c r="B1462" s="6">
        <v>163404</v>
      </c>
      <c r="C1462" s="6">
        <v>0</v>
      </c>
      <c r="D1462" s="6">
        <v>2</v>
      </c>
      <c r="E1462" s="6">
        <v>56</v>
      </c>
      <c r="F1462" s="5" t="s">
        <v>8</v>
      </c>
      <c r="G1462" s="5" t="s">
        <v>11</v>
      </c>
      <c r="H1462" s="3">
        <v>44115</v>
      </c>
      <c r="I1462" s="5" t="s">
        <v>437</v>
      </c>
      <c r="J1462" s="5">
        <f>_xlfn.XLOOKUP(CustomerCombined[[#This Row],[ID]], Table4[ID], Table4[Recency], "Not Found", 0)</f>
        <v>97</v>
      </c>
      <c r="K1462" s="5">
        <f>_xlfn.XLOOKUP(CustomerCombined[[#This Row],[ID]], Table4[ID], Table4[Teas], "Not Found", 0)</f>
        <v>1892</v>
      </c>
      <c r="L1462" s="5">
        <f>_xlfn.XLOOKUP(CustomerCombined[[#This Row],[ID]], Table4[ID], Table4[Fruits], "Not Found", 0)</f>
        <v>67</v>
      </c>
      <c r="M1462" s="5">
        <f>_xlfn.XLOOKUP(CustomerCombined[[#This Row],[ID]], Table4[ID], Table4[Meats], "Not Found", 0)</f>
        <v>180</v>
      </c>
      <c r="N1462" s="5">
        <f>_xlfn.XLOOKUP(CustomerCombined[[#This Row],[ID]], Table4[ID], Table4[Seafood], "Not Found", 0)</f>
        <v>28</v>
      </c>
      <c r="O1462" s="5">
        <f>_xlfn.XLOOKUP(CustomerCombined[[#This Row],[ID]], Table4[ID], Table4[Sweets], "Not Found", 0)</f>
        <v>113</v>
      </c>
      <c r="P1462" s="5">
        <f>_xlfn.XLOOKUP(CustomerCombined[[#This Row],[ID]], Table4[ID], Table4[Premium], "Not Found", 0)</f>
        <v>44</v>
      </c>
      <c r="Q1462" s="5">
        <f>_xlfn.XLOOKUP(CustomerCombined[[#This Row],[ID]], Table4[ID], Table4[Regular], "Not Found", 0)</f>
        <v>2237</v>
      </c>
      <c r="R1462" s="5">
        <f>_xlfn.XLOOKUP(CustomerCombined[[#This Row],[ID]], Table4[ID], Table4[Deals], "Not Found", 0)</f>
        <v>2</v>
      </c>
      <c r="S1462" s="5">
        <f>_xlfn.XLOOKUP(CustomerCombined[[#This Row],[ID]], Table4[ID], Table4[Website], "Not Found", 0)</f>
        <v>6</v>
      </c>
      <c r="T1462" s="5">
        <f>_xlfn.XLOOKUP(CustomerCombined[[#This Row],[ID]], Table4[ID], Table4[Catalog], "Not Found", 0)</f>
        <v>3</v>
      </c>
      <c r="U1462" s="5">
        <f>_xlfn.XLOOKUP(CustomerCombined[[#This Row],[ID]], Table4[ID], Table4[Store], "Not Found", 0)</f>
        <v>4</v>
      </c>
      <c r="V1462" s="5">
        <f>_xlfn.XLOOKUP(CustomerCombined[[#This Row],[ID]], Table4[ID], Table4[Visits], "Not Found", 0)</f>
        <v>4</v>
      </c>
      <c r="W1462" s="8">
        <f>_xlfn.XLOOKUP(CustomerCombined[[#This Row],[ID]], Table2[ID],Table2[Complaint], "Not Found", 0 )</f>
        <v>0</v>
      </c>
      <c r="X1462" s="8">
        <f>_xlfn.XLOOKUP(CustomerCombined[[#This Row],[ID]], Table2[ID],Table2[Pilot], "Not Found", 0 )</f>
        <v>0</v>
      </c>
      <c r="Y1462" s="8">
        <f>_xlfn.XLOOKUP(CustomerCombined[[#This Row],[ID]], Table2[ID],Table2[MC1], "Not Found", 0 )</f>
        <v>1</v>
      </c>
      <c r="Z1462" s="8">
        <f>_xlfn.XLOOKUP(CustomerCombined[[#This Row],[ID]], Table2[ID],Table2[MC2], "Not Found", 0 )</f>
        <v>0</v>
      </c>
      <c r="AA1462" s="8">
        <f>_xlfn.XLOOKUP(CustomerCombined[[#This Row],[ID]], Table2[ID],Table2[MC3], "Not Found", 0 )</f>
        <v>0</v>
      </c>
      <c r="AB1462" s="8">
        <f>_xlfn.XLOOKUP(CustomerCombined[[#This Row],[ID]], Table2[ID],Table2[MC4], "Not Found", 0 )</f>
        <v>0</v>
      </c>
      <c r="AC1462" s="8">
        <f>_xlfn.XLOOKUP(CustomerCombined[[#This Row],[ID]], Table2[ID],Table2[MC5], "Not Found", 0 )</f>
        <v>0</v>
      </c>
    </row>
    <row r="1463" spans="1:29" x14ac:dyDescent="0.3">
      <c r="A1463" s="6">
        <v>2735</v>
      </c>
      <c r="B1463" s="6">
        <v>162905</v>
      </c>
      <c r="C1463" s="6">
        <v>0</v>
      </c>
      <c r="D1463" s="6">
        <v>1</v>
      </c>
      <c r="E1463" s="6">
        <v>56</v>
      </c>
      <c r="F1463" s="5" t="s">
        <v>6</v>
      </c>
      <c r="G1463" s="5" t="s">
        <v>442</v>
      </c>
      <c r="H1463" s="3" t="s">
        <v>189</v>
      </c>
      <c r="I1463" s="5" t="s">
        <v>434</v>
      </c>
      <c r="J1463" s="5">
        <f>_xlfn.XLOOKUP(CustomerCombined[[#This Row],[ID]], Table4[ID], Table4[Recency], "Not Found", 0)</f>
        <v>68</v>
      </c>
      <c r="K1463" s="5">
        <f>_xlfn.XLOOKUP(CustomerCombined[[#This Row],[ID]], Table4[ID], Table4[Teas], "Not Found", 0)</f>
        <v>430</v>
      </c>
      <c r="L1463" s="5">
        <f>_xlfn.XLOOKUP(CustomerCombined[[#This Row],[ID]], Table4[ID], Table4[Fruits], "Not Found", 0)</f>
        <v>194</v>
      </c>
      <c r="M1463" s="5">
        <f>_xlfn.XLOOKUP(CustomerCombined[[#This Row],[ID]], Table4[ID], Table4[Meats], "Not Found", 0)</f>
        <v>249</v>
      </c>
      <c r="N1463" s="5">
        <f>_xlfn.XLOOKUP(CustomerCombined[[#This Row],[ID]], Table4[ID], Table4[Seafood], "Not Found", 0)</f>
        <v>308</v>
      </c>
      <c r="O1463" s="5">
        <f>_xlfn.XLOOKUP(CustomerCombined[[#This Row],[ID]], Table4[ID], Table4[Sweets], "Not Found", 0)</f>
        <v>277</v>
      </c>
      <c r="P1463" s="5">
        <f>_xlfn.XLOOKUP(CustomerCombined[[#This Row],[ID]], Table4[ID], Table4[Premium], "Not Found", 0)</f>
        <v>153</v>
      </c>
      <c r="Q1463" s="5">
        <f>_xlfn.XLOOKUP(CustomerCombined[[#This Row],[ID]], Table4[ID], Table4[Regular], "Not Found", 0)</f>
        <v>1305</v>
      </c>
      <c r="R1463" s="5">
        <f>_xlfn.XLOOKUP(CustomerCombined[[#This Row],[ID]], Table4[ID], Table4[Deals], "Not Found", 0)</f>
        <v>3</v>
      </c>
      <c r="S1463" s="5">
        <f>_xlfn.XLOOKUP(CustomerCombined[[#This Row],[ID]], Table4[ID], Table4[Website], "Not Found", 0)</f>
        <v>7</v>
      </c>
      <c r="T1463" s="5">
        <f>_xlfn.XLOOKUP(CustomerCombined[[#This Row],[ID]], Table4[ID], Table4[Catalog], "Not Found", 0)</f>
        <v>2</v>
      </c>
      <c r="U1463" s="5">
        <f>_xlfn.XLOOKUP(CustomerCombined[[#This Row],[ID]], Table4[ID], Table4[Store], "Not Found", 0)</f>
        <v>8</v>
      </c>
      <c r="V1463" s="5">
        <f>_xlfn.XLOOKUP(CustomerCombined[[#This Row],[ID]], Table4[ID], Table4[Visits], "Not Found", 0)</f>
        <v>4</v>
      </c>
      <c r="W1463" s="8">
        <f>_xlfn.XLOOKUP(CustomerCombined[[#This Row],[ID]], Table2[ID],Table2[Complaint], "Not Found", 0 )</f>
        <v>0</v>
      </c>
      <c r="X1463" s="8">
        <f>_xlfn.XLOOKUP(CustomerCombined[[#This Row],[ID]], Table2[ID],Table2[Pilot], "Not Found", 0 )</f>
        <v>0</v>
      </c>
      <c r="Y1463" s="8">
        <f>_xlfn.XLOOKUP(CustomerCombined[[#This Row],[ID]], Table2[ID],Table2[MC1], "Not Found", 0 )</f>
        <v>0</v>
      </c>
      <c r="Z1463" s="8">
        <f>_xlfn.XLOOKUP(CustomerCombined[[#This Row],[ID]], Table2[ID],Table2[MC2], "Not Found", 0 )</f>
        <v>0</v>
      </c>
      <c r="AA1463" s="8">
        <f>_xlfn.XLOOKUP(CustomerCombined[[#This Row],[ID]], Table2[ID],Table2[MC3], "Not Found", 0 )</f>
        <v>0</v>
      </c>
      <c r="AB1463" s="8">
        <f>_xlfn.XLOOKUP(CustomerCombined[[#This Row],[ID]], Table2[ID],Table2[MC4], "Not Found", 0 )</f>
        <v>0</v>
      </c>
      <c r="AC1463" s="8">
        <f>_xlfn.XLOOKUP(CustomerCombined[[#This Row],[ID]], Table2[ID],Table2[MC5], "Not Found", 0 )</f>
        <v>0</v>
      </c>
    </row>
    <row r="1464" spans="1:29" x14ac:dyDescent="0.3">
      <c r="A1464" s="6">
        <v>1512</v>
      </c>
      <c r="B1464" s="6">
        <v>161839</v>
      </c>
      <c r="C1464" s="6">
        <v>0</v>
      </c>
      <c r="D1464" s="6">
        <v>0</v>
      </c>
      <c r="E1464" s="6">
        <v>56</v>
      </c>
      <c r="F1464" s="5" t="s">
        <v>7</v>
      </c>
      <c r="G1464" s="5" t="s">
        <v>11</v>
      </c>
      <c r="H1464" s="3" t="s">
        <v>416</v>
      </c>
      <c r="I1464" s="5" t="s">
        <v>436</v>
      </c>
      <c r="J1464" s="5">
        <f>_xlfn.XLOOKUP(CustomerCombined[[#This Row],[ID]], Table4[ID], Table4[Recency], "Not Found", 0)</f>
        <v>20</v>
      </c>
      <c r="K1464" s="5">
        <f>_xlfn.XLOOKUP(CustomerCombined[[#This Row],[ID]], Table4[ID], Table4[Teas], "Not Found", 0)</f>
        <v>2617</v>
      </c>
      <c r="L1464" s="5">
        <f>_xlfn.XLOOKUP(CustomerCombined[[#This Row],[ID]], Table4[ID], Table4[Fruits], "Not Found", 0)</f>
        <v>406</v>
      </c>
      <c r="M1464" s="5">
        <f>_xlfn.XLOOKUP(CustomerCombined[[#This Row],[ID]], Table4[ID], Table4[Meats], "Not Found", 0)</f>
        <v>992</v>
      </c>
      <c r="N1464" s="5">
        <f>_xlfn.XLOOKUP(CustomerCombined[[#This Row],[ID]], Table4[ID], Table4[Seafood], "Not Found", 0)</f>
        <v>586</v>
      </c>
      <c r="O1464" s="5">
        <f>_xlfn.XLOOKUP(CustomerCombined[[#This Row],[ID]], Table4[ID], Table4[Sweets], "Not Found", 0)</f>
        <v>44</v>
      </c>
      <c r="P1464" s="5">
        <f>_xlfn.XLOOKUP(CustomerCombined[[#This Row],[ID]], Table4[ID], Table4[Premium], "Not Found", 0)</f>
        <v>314</v>
      </c>
      <c r="Q1464" s="5">
        <f>_xlfn.XLOOKUP(CustomerCombined[[#This Row],[ID]], Table4[ID], Table4[Regular], "Not Found", 0)</f>
        <v>4331</v>
      </c>
      <c r="R1464" s="5">
        <f>_xlfn.XLOOKUP(CustomerCombined[[#This Row],[ID]], Table4[ID], Table4[Deals], "Not Found", 0)</f>
        <v>1</v>
      </c>
      <c r="S1464" s="5">
        <f>_xlfn.XLOOKUP(CustomerCombined[[#This Row],[ID]], Table4[ID], Table4[Website], "Not Found", 0)</f>
        <v>4</v>
      </c>
      <c r="T1464" s="5">
        <f>_xlfn.XLOOKUP(CustomerCombined[[#This Row],[ID]], Table4[ID], Table4[Catalog], "Not Found", 0)</f>
        <v>8</v>
      </c>
      <c r="U1464" s="5">
        <f>_xlfn.XLOOKUP(CustomerCombined[[#This Row],[ID]], Table4[ID], Table4[Store], "Not Found", 0)</f>
        <v>4</v>
      </c>
      <c r="V1464" s="5">
        <f>_xlfn.XLOOKUP(CustomerCombined[[#This Row],[ID]], Table4[ID], Table4[Visits], "Not Found", 0)</f>
        <v>8</v>
      </c>
      <c r="W1464" s="8">
        <f>_xlfn.XLOOKUP(CustomerCombined[[#This Row],[ID]], Table2[ID],Table2[Complaint], "Not Found", 0 )</f>
        <v>0</v>
      </c>
      <c r="X1464" s="8">
        <f>_xlfn.XLOOKUP(CustomerCombined[[#This Row],[ID]], Table2[ID],Table2[Pilot], "Not Found", 0 )</f>
        <v>0</v>
      </c>
      <c r="Y1464" s="8">
        <f>_xlfn.XLOOKUP(CustomerCombined[[#This Row],[ID]], Table2[ID],Table2[MC1], "Not Found", 0 )</f>
        <v>0</v>
      </c>
      <c r="Z1464" s="8">
        <f>_xlfn.XLOOKUP(CustomerCombined[[#This Row],[ID]], Table2[ID],Table2[MC2], "Not Found", 0 )</f>
        <v>0</v>
      </c>
      <c r="AA1464" s="8">
        <f>_xlfn.XLOOKUP(CustomerCombined[[#This Row],[ID]], Table2[ID],Table2[MC3], "Not Found", 0 )</f>
        <v>0</v>
      </c>
      <c r="AB1464" s="8">
        <f>_xlfn.XLOOKUP(CustomerCombined[[#This Row],[ID]], Table2[ID],Table2[MC4], "Not Found", 0 )</f>
        <v>0</v>
      </c>
      <c r="AC1464" s="8">
        <f>_xlfn.XLOOKUP(CustomerCombined[[#This Row],[ID]], Table2[ID],Table2[MC5], "Not Found", 0 )</f>
        <v>0</v>
      </c>
    </row>
    <row r="1465" spans="1:29" x14ac:dyDescent="0.3">
      <c r="A1465" s="6">
        <v>2929</v>
      </c>
      <c r="B1465" s="6">
        <v>161798</v>
      </c>
      <c r="C1465" s="6">
        <v>0</v>
      </c>
      <c r="D1465" s="6">
        <v>0</v>
      </c>
      <c r="E1465" s="6">
        <v>56</v>
      </c>
      <c r="F1465" s="5" t="s">
        <v>7</v>
      </c>
      <c r="G1465" s="5" t="s">
        <v>13</v>
      </c>
      <c r="H1465" s="3" t="s">
        <v>142</v>
      </c>
      <c r="I1465" s="5" t="s">
        <v>437</v>
      </c>
      <c r="J1465" s="5">
        <f>_xlfn.XLOOKUP(CustomerCombined[[#This Row],[ID]], Table4[ID], Table4[Recency], "Not Found", 0)</f>
        <v>13</v>
      </c>
      <c r="K1465" s="5">
        <f>_xlfn.XLOOKUP(CustomerCombined[[#This Row],[ID]], Table4[ID], Table4[Teas], "Not Found", 0)</f>
        <v>885</v>
      </c>
      <c r="L1465" s="5">
        <f>_xlfn.XLOOKUP(CustomerCombined[[#This Row],[ID]], Table4[ID], Table4[Fruits], "Not Found", 0)</f>
        <v>10</v>
      </c>
      <c r="M1465" s="5">
        <f>_xlfn.XLOOKUP(CustomerCombined[[#This Row],[ID]], Table4[ID], Table4[Meats], "Not Found", 0)</f>
        <v>233</v>
      </c>
      <c r="N1465" s="5">
        <f>_xlfn.XLOOKUP(CustomerCombined[[#This Row],[ID]], Table4[ID], Table4[Seafood], "Not Found", 0)</f>
        <v>29</v>
      </c>
      <c r="O1465" s="5">
        <f>_xlfn.XLOOKUP(CustomerCombined[[#This Row],[ID]], Table4[ID], Table4[Sweets], "Not Found", 0)</f>
        <v>21</v>
      </c>
      <c r="P1465" s="5">
        <f>_xlfn.XLOOKUP(CustomerCombined[[#This Row],[ID]], Table4[ID], Table4[Premium], "Not Found", 0)</f>
        <v>34</v>
      </c>
      <c r="Q1465" s="5">
        <f>_xlfn.XLOOKUP(CustomerCombined[[#This Row],[ID]], Table4[ID], Table4[Regular], "Not Found", 0)</f>
        <v>1144</v>
      </c>
      <c r="R1465" s="5">
        <f>_xlfn.XLOOKUP(CustomerCombined[[#This Row],[ID]], Table4[ID], Table4[Deals], "Not Found", 0)</f>
        <v>1</v>
      </c>
      <c r="S1465" s="5">
        <f>_xlfn.XLOOKUP(CustomerCombined[[#This Row],[ID]], Table4[ID], Table4[Website], "Not Found", 0)</f>
        <v>4</v>
      </c>
      <c r="T1465" s="5">
        <f>_xlfn.XLOOKUP(CustomerCombined[[#This Row],[ID]], Table4[ID], Table4[Catalog], "Not Found", 0)</f>
        <v>2</v>
      </c>
      <c r="U1465" s="5">
        <f>_xlfn.XLOOKUP(CustomerCombined[[#This Row],[ID]], Table4[ID], Table4[Store], "Not Found", 0)</f>
        <v>9</v>
      </c>
      <c r="V1465" s="5">
        <f>_xlfn.XLOOKUP(CustomerCombined[[#This Row],[ID]], Table4[ID], Table4[Visits], "Not Found", 0)</f>
        <v>4</v>
      </c>
      <c r="W1465" s="8">
        <f>_xlfn.XLOOKUP(CustomerCombined[[#This Row],[ID]], Table2[ID],Table2[Complaint], "Not Found", 0 )</f>
        <v>0</v>
      </c>
      <c r="X1465" s="8">
        <f>_xlfn.XLOOKUP(CustomerCombined[[#This Row],[ID]], Table2[ID],Table2[Pilot], "Not Found", 0 )</f>
        <v>0</v>
      </c>
      <c r="Y1465" s="8">
        <f>_xlfn.XLOOKUP(CustomerCombined[[#This Row],[ID]], Table2[ID],Table2[MC1], "Not Found", 0 )</f>
        <v>0</v>
      </c>
      <c r="Z1465" s="8">
        <f>_xlfn.XLOOKUP(CustomerCombined[[#This Row],[ID]], Table2[ID],Table2[MC2], "Not Found", 0 )</f>
        <v>0</v>
      </c>
      <c r="AA1465" s="8">
        <f>_xlfn.XLOOKUP(CustomerCombined[[#This Row],[ID]], Table2[ID],Table2[MC3], "Not Found", 0 )</f>
        <v>0</v>
      </c>
      <c r="AB1465" s="8">
        <f>_xlfn.XLOOKUP(CustomerCombined[[#This Row],[ID]], Table2[ID],Table2[MC4], "Not Found", 0 )</f>
        <v>0</v>
      </c>
      <c r="AC1465" s="8">
        <f>_xlfn.XLOOKUP(CustomerCombined[[#This Row],[ID]], Table2[ID],Table2[MC5], "Not Found", 0 )</f>
        <v>0</v>
      </c>
    </row>
    <row r="1466" spans="1:29" x14ac:dyDescent="0.3">
      <c r="A1466" s="6">
        <v>3128</v>
      </c>
      <c r="B1466" s="6">
        <v>160896</v>
      </c>
      <c r="C1466" s="6">
        <v>0</v>
      </c>
      <c r="D1466" s="6">
        <v>1</v>
      </c>
      <c r="E1466" s="6">
        <v>56</v>
      </c>
      <c r="F1466" s="5" t="s">
        <v>6</v>
      </c>
      <c r="G1466" s="5" t="s">
        <v>13</v>
      </c>
      <c r="H1466" s="3" t="s">
        <v>383</v>
      </c>
      <c r="I1466" s="5" t="s">
        <v>438</v>
      </c>
      <c r="J1466" s="5">
        <f>_xlfn.XLOOKUP(CustomerCombined[[#This Row],[ID]], Table4[ID], Table4[Recency], "Not Found", 0)</f>
        <v>90</v>
      </c>
      <c r="K1466" s="5">
        <f>_xlfn.XLOOKUP(CustomerCombined[[#This Row],[ID]], Table4[ID], Table4[Teas], "Not Found", 0)</f>
        <v>2676</v>
      </c>
      <c r="L1466" s="5">
        <f>_xlfn.XLOOKUP(CustomerCombined[[#This Row],[ID]], Table4[ID], Table4[Fruits], "Not Found", 0)</f>
        <v>79</v>
      </c>
      <c r="M1466" s="5">
        <f>_xlfn.XLOOKUP(CustomerCombined[[#This Row],[ID]], Table4[ID], Table4[Meats], "Not Found", 0)</f>
        <v>1054</v>
      </c>
      <c r="N1466" s="5">
        <f>_xlfn.XLOOKUP(CustomerCombined[[#This Row],[ID]], Table4[ID], Table4[Seafood], "Not Found", 0)</f>
        <v>159</v>
      </c>
      <c r="O1466" s="5">
        <f>_xlfn.XLOOKUP(CustomerCombined[[#This Row],[ID]], Table4[ID], Table4[Sweets], "Not Found", 0)</f>
        <v>122</v>
      </c>
      <c r="P1466" s="5">
        <f>_xlfn.XLOOKUP(CustomerCombined[[#This Row],[ID]], Table4[ID], Table4[Premium], "Not Found", 0)</f>
        <v>404</v>
      </c>
      <c r="Q1466" s="5">
        <f>_xlfn.XLOOKUP(CustomerCombined[[#This Row],[ID]], Table4[ID], Table4[Regular], "Not Found", 0)</f>
        <v>3686</v>
      </c>
      <c r="R1466" s="5">
        <f>_xlfn.XLOOKUP(CustomerCombined[[#This Row],[ID]], Table4[ID], Table4[Deals], "Not Found", 0)</f>
        <v>3</v>
      </c>
      <c r="S1466" s="5">
        <f>_xlfn.XLOOKUP(CustomerCombined[[#This Row],[ID]], Table4[ID], Table4[Website], "Not Found", 0)</f>
        <v>9</v>
      </c>
      <c r="T1466" s="5">
        <f>_xlfn.XLOOKUP(CustomerCombined[[#This Row],[ID]], Table4[ID], Table4[Catalog], "Not Found", 0)</f>
        <v>10</v>
      </c>
      <c r="U1466" s="5">
        <f>_xlfn.XLOOKUP(CustomerCombined[[#This Row],[ID]], Table4[ID], Table4[Store], "Not Found", 0)</f>
        <v>4</v>
      </c>
      <c r="V1466" s="5">
        <f>_xlfn.XLOOKUP(CustomerCombined[[#This Row],[ID]], Table4[ID], Table4[Visits], "Not Found", 0)</f>
        <v>6</v>
      </c>
      <c r="W1466" s="8">
        <f>_xlfn.XLOOKUP(CustomerCombined[[#This Row],[ID]], Table2[ID],Table2[Complaint], "Not Found", 0 )</f>
        <v>0</v>
      </c>
      <c r="X1466" s="8">
        <f>_xlfn.XLOOKUP(CustomerCombined[[#This Row],[ID]], Table2[ID],Table2[Pilot], "Not Found", 0 )</f>
        <v>1</v>
      </c>
      <c r="Y1466" s="8">
        <f>_xlfn.XLOOKUP(CustomerCombined[[#This Row],[ID]], Table2[ID],Table2[MC1], "Not Found", 0 )</f>
        <v>0</v>
      </c>
      <c r="Z1466" s="8">
        <f>_xlfn.XLOOKUP(CustomerCombined[[#This Row],[ID]], Table2[ID],Table2[MC2], "Not Found", 0 )</f>
        <v>0</v>
      </c>
      <c r="AA1466" s="8">
        <f>_xlfn.XLOOKUP(CustomerCombined[[#This Row],[ID]], Table2[ID],Table2[MC3], "Not Found", 0 )</f>
        <v>0</v>
      </c>
      <c r="AB1466" s="8">
        <f>_xlfn.XLOOKUP(CustomerCombined[[#This Row],[ID]], Table2[ID],Table2[MC4], "Not Found", 0 )</f>
        <v>0</v>
      </c>
      <c r="AC1466" s="8">
        <f>_xlfn.XLOOKUP(CustomerCombined[[#This Row],[ID]], Table2[ID],Table2[MC5], "Not Found", 0 )</f>
        <v>0</v>
      </c>
    </row>
    <row r="1467" spans="1:29" x14ac:dyDescent="0.3">
      <c r="A1467" s="6">
        <v>1444</v>
      </c>
      <c r="B1467" s="6">
        <v>160597</v>
      </c>
      <c r="C1467" s="6">
        <v>0</v>
      </c>
      <c r="D1467" s="6">
        <v>1</v>
      </c>
      <c r="E1467" s="6">
        <v>56</v>
      </c>
      <c r="F1467" s="5" t="s">
        <v>6</v>
      </c>
      <c r="G1467" s="5" t="s">
        <v>11</v>
      </c>
      <c r="H1467" s="3">
        <v>44018</v>
      </c>
      <c r="I1467" s="5" t="s">
        <v>439</v>
      </c>
      <c r="J1467" s="5">
        <f>_xlfn.XLOOKUP(CustomerCombined[[#This Row],[ID]], Table4[ID], Table4[Recency], "Not Found", 0)</f>
        <v>2</v>
      </c>
      <c r="K1467" s="5">
        <f>_xlfn.XLOOKUP(CustomerCombined[[#This Row],[ID]], Table4[ID], Table4[Teas], "Not Found", 0)</f>
        <v>1383</v>
      </c>
      <c r="L1467" s="5">
        <f>_xlfn.XLOOKUP(CustomerCombined[[#This Row],[ID]], Table4[ID], Table4[Fruits], "Not Found", 0)</f>
        <v>0</v>
      </c>
      <c r="M1467" s="5">
        <f>_xlfn.XLOOKUP(CustomerCombined[[#This Row],[ID]], Table4[ID], Table4[Meats], "Not Found", 0)</f>
        <v>681</v>
      </c>
      <c r="N1467" s="5">
        <f>_xlfn.XLOOKUP(CustomerCombined[[#This Row],[ID]], Table4[ID], Table4[Seafood], "Not Found", 0)</f>
        <v>85</v>
      </c>
      <c r="O1467" s="5">
        <f>_xlfn.XLOOKUP(CustomerCombined[[#This Row],[ID]], Table4[ID], Table4[Sweets], "Not Found", 0)</f>
        <v>42</v>
      </c>
      <c r="P1467" s="5">
        <f>_xlfn.XLOOKUP(CustomerCombined[[#This Row],[ID]], Table4[ID], Table4[Premium], "Not Found", 0)</f>
        <v>175</v>
      </c>
      <c r="Q1467" s="5">
        <f>_xlfn.XLOOKUP(CustomerCombined[[#This Row],[ID]], Table4[ID], Table4[Regular], "Not Found", 0)</f>
        <v>2017</v>
      </c>
      <c r="R1467" s="5">
        <f>_xlfn.XLOOKUP(CustomerCombined[[#This Row],[ID]], Table4[ID], Table4[Deals], "Not Found", 0)</f>
        <v>4</v>
      </c>
      <c r="S1467" s="5">
        <f>_xlfn.XLOOKUP(CustomerCombined[[#This Row],[ID]], Table4[ID], Table4[Website], "Not Found", 0)</f>
        <v>2</v>
      </c>
      <c r="T1467" s="5">
        <f>_xlfn.XLOOKUP(CustomerCombined[[#This Row],[ID]], Table4[ID], Table4[Catalog], "Not Found", 0)</f>
        <v>2</v>
      </c>
      <c r="U1467" s="5">
        <f>_xlfn.XLOOKUP(CustomerCombined[[#This Row],[ID]], Table4[ID], Table4[Store], "Not Found", 0)</f>
        <v>8</v>
      </c>
      <c r="V1467" s="5">
        <f>_xlfn.XLOOKUP(CustomerCombined[[#This Row],[ID]], Table4[ID], Table4[Visits], "Not Found", 0)</f>
        <v>7</v>
      </c>
      <c r="W1467" s="8">
        <f>_xlfn.XLOOKUP(CustomerCombined[[#This Row],[ID]], Table2[ID],Table2[Complaint], "Not Found", 0 )</f>
        <v>0</v>
      </c>
      <c r="X1467" s="8">
        <f>_xlfn.XLOOKUP(CustomerCombined[[#This Row],[ID]], Table2[ID],Table2[Pilot], "Not Found", 0 )</f>
        <v>1</v>
      </c>
      <c r="Y1467" s="8">
        <f>_xlfn.XLOOKUP(CustomerCombined[[#This Row],[ID]], Table2[ID],Table2[MC1], "Not Found", 0 )</f>
        <v>1</v>
      </c>
      <c r="Z1467" s="8">
        <f>_xlfn.XLOOKUP(CustomerCombined[[#This Row],[ID]], Table2[ID],Table2[MC2], "Not Found", 0 )</f>
        <v>0</v>
      </c>
      <c r="AA1467" s="8">
        <f>_xlfn.XLOOKUP(CustomerCombined[[#This Row],[ID]], Table2[ID],Table2[MC3], "Not Found", 0 )</f>
        <v>0</v>
      </c>
      <c r="AB1467" s="8">
        <f>_xlfn.XLOOKUP(CustomerCombined[[#This Row],[ID]], Table2[ID],Table2[MC4], "Not Found", 0 )</f>
        <v>0</v>
      </c>
      <c r="AC1467" s="8">
        <f>_xlfn.XLOOKUP(CustomerCombined[[#This Row],[ID]], Table2[ID],Table2[MC5], "Not Found", 0 )</f>
        <v>0</v>
      </c>
    </row>
    <row r="1468" spans="1:29" x14ac:dyDescent="0.3">
      <c r="A1468" s="6">
        <v>1652</v>
      </c>
      <c r="B1468" s="6">
        <v>159304</v>
      </c>
      <c r="C1468" s="6">
        <v>0</v>
      </c>
      <c r="D1468" s="6">
        <v>1</v>
      </c>
      <c r="E1468" s="6">
        <v>56</v>
      </c>
      <c r="F1468" s="5" t="s">
        <v>6</v>
      </c>
      <c r="G1468" s="5" t="s">
        <v>13</v>
      </c>
      <c r="H1468" s="3">
        <v>43891</v>
      </c>
      <c r="I1468" s="5" t="s">
        <v>438</v>
      </c>
      <c r="J1468" s="5">
        <f>_xlfn.XLOOKUP(CustomerCombined[[#This Row],[ID]], Table4[ID], Table4[Recency], "Not Found", 0)</f>
        <v>81</v>
      </c>
      <c r="K1468" s="5">
        <f>_xlfn.XLOOKUP(CustomerCombined[[#This Row],[ID]], Table4[ID], Table4[Teas], "Not Found", 0)</f>
        <v>1123</v>
      </c>
      <c r="L1468" s="5">
        <f>_xlfn.XLOOKUP(CustomerCombined[[#This Row],[ID]], Table4[ID], Table4[Fruits], "Not Found", 0)</f>
        <v>164</v>
      </c>
      <c r="M1468" s="5">
        <f>_xlfn.XLOOKUP(CustomerCombined[[#This Row],[ID]], Table4[ID], Table4[Meats], "Not Found", 0)</f>
        <v>1150</v>
      </c>
      <c r="N1468" s="5">
        <f>_xlfn.XLOOKUP(CustomerCombined[[#This Row],[ID]], Table4[ID], Table4[Seafood], "Not Found", 0)</f>
        <v>215</v>
      </c>
      <c r="O1468" s="5">
        <f>_xlfn.XLOOKUP(CustomerCombined[[#This Row],[ID]], Table4[ID], Table4[Sweets], "Not Found", 0)</f>
        <v>137</v>
      </c>
      <c r="P1468" s="5">
        <f>_xlfn.XLOOKUP(CustomerCombined[[#This Row],[ID]], Table4[ID], Table4[Premium], "Not Found", 0)</f>
        <v>27</v>
      </c>
      <c r="Q1468" s="5">
        <f>_xlfn.XLOOKUP(CustomerCombined[[#This Row],[ID]], Table4[ID], Table4[Regular], "Not Found", 0)</f>
        <v>2761</v>
      </c>
      <c r="R1468" s="5">
        <f>_xlfn.XLOOKUP(CustomerCombined[[#This Row],[ID]], Table4[ID], Table4[Deals], "Not Found", 0)</f>
        <v>3</v>
      </c>
      <c r="S1468" s="5">
        <f>_xlfn.XLOOKUP(CustomerCombined[[#This Row],[ID]], Table4[ID], Table4[Website], "Not Found", 0)</f>
        <v>7</v>
      </c>
      <c r="T1468" s="5">
        <f>_xlfn.XLOOKUP(CustomerCombined[[#This Row],[ID]], Table4[ID], Table4[Catalog], "Not Found", 0)</f>
        <v>8</v>
      </c>
      <c r="U1468" s="5">
        <f>_xlfn.XLOOKUP(CustomerCombined[[#This Row],[ID]], Table4[ID], Table4[Store], "Not Found", 0)</f>
        <v>10</v>
      </c>
      <c r="V1468" s="5">
        <f>_xlfn.XLOOKUP(CustomerCombined[[#This Row],[ID]], Table4[ID], Table4[Visits], "Not Found", 0)</f>
        <v>5</v>
      </c>
      <c r="W1468" s="8">
        <f>_xlfn.XLOOKUP(CustomerCombined[[#This Row],[ID]], Table2[ID],Table2[Complaint], "Not Found", 0 )</f>
        <v>0</v>
      </c>
      <c r="X1468" s="8">
        <f>_xlfn.XLOOKUP(CustomerCombined[[#This Row],[ID]], Table2[ID],Table2[Pilot], "Not Found", 0 )</f>
        <v>0</v>
      </c>
      <c r="Y1468" s="8">
        <f>_xlfn.XLOOKUP(CustomerCombined[[#This Row],[ID]], Table2[ID],Table2[MC1], "Not Found", 0 )</f>
        <v>0</v>
      </c>
      <c r="Z1468" s="8">
        <f>_xlfn.XLOOKUP(CustomerCombined[[#This Row],[ID]], Table2[ID],Table2[MC2], "Not Found", 0 )</f>
        <v>0</v>
      </c>
      <c r="AA1468" s="8">
        <f>_xlfn.XLOOKUP(CustomerCombined[[#This Row],[ID]], Table2[ID],Table2[MC3], "Not Found", 0 )</f>
        <v>0</v>
      </c>
      <c r="AB1468" s="8">
        <f>_xlfn.XLOOKUP(CustomerCombined[[#This Row],[ID]], Table2[ID],Table2[MC4], "Not Found", 0 )</f>
        <v>0</v>
      </c>
      <c r="AC1468" s="8">
        <f>_xlfn.XLOOKUP(CustomerCombined[[#This Row],[ID]], Table2[ID],Table2[MC5], "Not Found", 0 )</f>
        <v>0</v>
      </c>
    </row>
    <row r="1469" spans="1:29" x14ac:dyDescent="0.3">
      <c r="A1469" s="6">
        <v>1738</v>
      </c>
      <c r="B1469" s="6">
        <v>158512</v>
      </c>
      <c r="C1469" s="6">
        <v>0</v>
      </c>
      <c r="D1469" s="6">
        <v>1</v>
      </c>
      <c r="E1469" s="6">
        <v>56</v>
      </c>
      <c r="F1469" s="5" t="s">
        <v>6</v>
      </c>
      <c r="G1469" s="5" t="s">
        <v>11</v>
      </c>
      <c r="H1469" s="3" t="s">
        <v>180</v>
      </c>
      <c r="I1469" s="5" t="s">
        <v>439</v>
      </c>
      <c r="J1469" s="5">
        <f>_xlfn.XLOOKUP(CustomerCombined[[#This Row],[ID]], Table4[ID], Table4[Recency], "Not Found", 0)</f>
        <v>25</v>
      </c>
      <c r="K1469" s="5">
        <f>_xlfn.XLOOKUP(CustomerCombined[[#This Row],[ID]], Table4[ID], Table4[Teas], "Not Found", 0)</f>
        <v>2425</v>
      </c>
      <c r="L1469" s="5">
        <f>_xlfn.XLOOKUP(CustomerCombined[[#This Row],[ID]], Table4[ID], Table4[Fruits], "Not Found", 0)</f>
        <v>27</v>
      </c>
      <c r="M1469" s="5">
        <f>_xlfn.XLOOKUP(CustomerCombined[[#This Row],[ID]], Table4[ID], Table4[Meats], "Not Found", 0)</f>
        <v>274</v>
      </c>
      <c r="N1469" s="5">
        <f>_xlfn.XLOOKUP(CustomerCombined[[#This Row],[ID]], Table4[ID], Table4[Seafood], "Not Found", 0)</f>
        <v>35</v>
      </c>
      <c r="O1469" s="5">
        <f>_xlfn.XLOOKUP(CustomerCombined[[#This Row],[ID]], Table4[ID], Table4[Sweets], "Not Found", 0)</f>
        <v>0</v>
      </c>
      <c r="P1469" s="5">
        <f>_xlfn.XLOOKUP(CustomerCombined[[#This Row],[ID]], Table4[ID], Table4[Premium], "Not Found", 0)</f>
        <v>412</v>
      </c>
      <c r="Q1469" s="5">
        <f>_xlfn.XLOOKUP(CustomerCombined[[#This Row],[ID]], Table4[ID], Table4[Regular], "Not Found", 0)</f>
        <v>2349</v>
      </c>
      <c r="R1469" s="5">
        <f>_xlfn.XLOOKUP(CustomerCombined[[#This Row],[ID]], Table4[ID], Table4[Deals], "Not Found", 0)</f>
        <v>5</v>
      </c>
      <c r="S1469" s="5">
        <f>_xlfn.XLOOKUP(CustomerCombined[[#This Row],[ID]], Table4[ID], Table4[Website], "Not Found", 0)</f>
        <v>3</v>
      </c>
      <c r="T1469" s="5">
        <f>_xlfn.XLOOKUP(CustomerCombined[[#This Row],[ID]], Table4[ID], Table4[Catalog], "Not Found", 0)</f>
        <v>4</v>
      </c>
      <c r="U1469" s="5">
        <f>_xlfn.XLOOKUP(CustomerCombined[[#This Row],[ID]], Table4[ID], Table4[Store], "Not Found", 0)</f>
        <v>8</v>
      </c>
      <c r="V1469" s="5">
        <f>_xlfn.XLOOKUP(CustomerCombined[[#This Row],[ID]], Table4[ID], Table4[Visits], "Not Found", 0)</f>
        <v>8</v>
      </c>
      <c r="W1469" s="8">
        <f>_xlfn.XLOOKUP(CustomerCombined[[#This Row],[ID]], Table2[ID],Table2[Complaint], "Not Found", 0 )</f>
        <v>0</v>
      </c>
      <c r="X1469" s="8">
        <f>_xlfn.XLOOKUP(CustomerCombined[[#This Row],[ID]], Table2[ID],Table2[Pilot], "Not Found", 0 )</f>
        <v>0</v>
      </c>
      <c r="Y1469" s="8">
        <f>_xlfn.XLOOKUP(CustomerCombined[[#This Row],[ID]], Table2[ID],Table2[MC1], "Not Found", 0 )</f>
        <v>0</v>
      </c>
      <c r="Z1469" s="8">
        <f>_xlfn.XLOOKUP(CustomerCombined[[#This Row],[ID]], Table2[ID],Table2[MC2], "Not Found", 0 )</f>
        <v>0</v>
      </c>
      <c r="AA1469" s="8">
        <f>_xlfn.XLOOKUP(CustomerCombined[[#This Row],[ID]], Table2[ID],Table2[MC3], "Not Found", 0 )</f>
        <v>0</v>
      </c>
      <c r="AB1469" s="8">
        <f>_xlfn.XLOOKUP(CustomerCombined[[#This Row],[ID]], Table2[ID],Table2[MC4], "Not Found", 0 )</f>
        <v>0</v>
      </c>
      <c r="AC1469" s="8">
        <f>_xlfn.XLOOKUP(CustomerCombined[[#This Row],[ID]], Table2[ID],Table2[MC5], "Not Found", 0 )</f>
        <v>0</v>
      </c>
    </row>
    <row r="1470" spans="1:29" x14ac:dyDescent="0.3">
      <c r="A1470" s="6">
        <v>1477</v>
      </c>
      <c r="B1470" s="6">
        <v>158308</v>
      </c>
      <c r="C1470" s="6">
        <v>0</v>
      </c>
      <c r="D1470" s="6">
        <v>1</v>
      </c>
      <c r="E1470" s="6">
        <v>56</v>
      </c>
      <c r="F1470" s="5" t="s">
        <v>7</v>
      </c>
      <c r="G1470" s="5" t="s">
        <v>12</v>
      </c>
      <c r="H1470" s="3" t="s">
        <v>328</v>
      </c>
      <c r="I1470" s="5" t="s">
        <v>437</v>
      </c>
      <c r="J1470" s="5">
        <f>_xlfn.XLOOKUP(CustomerCombined[[#This Row],[ID]], Table4[ID], Table4[Recency], "Not Found", 0)</f>
        <v>77</v>
      </c>
      <c r="K1470" s="5">
        <f>_xlfn.XLOOKUP(CustomerCombined[[#This Row],[ID]], Table4[ID], Table4[Teas], "Not Found", 0)</f>
        <v>1876</v>
      </c>
      <c r="L1470" s="5">
        <f>_xlfn.XLOOKUP(CustomerCombined[[#This Row],[ID]], Table4[ID], Table4[Fruits], "Not Found", 0)</f>
        <v>0</v>
      </c>
      <c r="M1470" s="5">
        <f>_xlfn.XLOOKUP(CustomerCombined[[#This Row],[ID]], Table4[ID], Table4[Meats], "Not Found", 0)</f>
        <v>187</v>
      </c>
      <c r="N1470" s="5">
        <f>_xlfn.XLOOKUP(CustomerCombined[[#This Row],[ID]], Table4[ID], Table4[Seafood], "Not Found", 0)</f>
        <v>27</v>
      </c>
      <c r="O1470" s="5">
        <f>_xlfn.XLOOKUP(CustomerCombined[[#This Row],[ID]], Table4[ID], Table4[Sweets], "Not Found", 0)</f>
        <v>0</v>
      </c>
      <c r="P1470" s="5">
        <f>_xlfn.XLOOKUP(CustomerCombined[[#This Row],[ID]], Table4[ID], Table4[Premium], "Not Found", 0)</f>
        <v>353</v>
      </c>
      <c r="Q1470" s="5">
        <f>_xlfn.XLOOKUP(CustomerCombined[[#This Row],[ID]], Table4[ID], Table4[Regular], "Not Found", 0)</f>
        <v>1738</v>
      </c>
      <c r="R1470" s="5">
        <f>_xlfn.XLOOKUP(CustomerCombined[[#This Row],[ID]], Table4[ID], Table4[Deals], "Not Found", 0)</f>
        <v>4</v>
      </c>
      <c r="S1470" s="5">
        <f>_xlfn.XLOOKUP(CustomerCombined[[#This Row],[ID]], Table4[ID], Table4[Website], "Not Found", 0)</f>
        <v>2</v>
      </c>
      <c r="T1470" s="5">
        <f>_xlfn.XLOOKUP(CustomerCombined[[#This Row],[ID]], Table4[ID], Table4[Catalog], "Not Found", 0)</f>
        <v>6</v>
      </c>
      <c r="U1470" s="5">
        <f>_xlfn.XLOOKUP(CustomerCombined[[#This Row],[ID]], Table4[ID], Table4[Store], "Not Found", 0)</f>
        <v>3</v>
      </c>
      <c r="V1470" s="5">
        <f>_xlfn.XLOOKUP(CustomerCombined[[#This Row],[ID]], Table4[ID], Table4[Visits], "Not Found", 0)</f>
        <v>8</v>
      </c>
      <c r="W1470" s="8">
        <f>_xlfn.XLOOKUP(CustomerCombined[[#This Row],[ID]], Table2[ID],Table2[Complaint], "Not Found", 0 )</f>
        <v>0</v>
      </c>
      <c r="X1470" s="8">
        <f>_xlfn.XLOOKUP(CustomerCombined[[#This Row],[ID]], Table2[ID],Table2[Pilot], "Not Found", 0 )</f>
        <v>0</v>
      </c>
      <c r="Y1470" s="8">
        <f>_xlfn.XLOOKUP(CustomerCombined[[#This Row],[ID]], Table2[ID],Table2[MC1], "Not Found", 0 )</f>
        <v>0</v>
      </c>
      <c r="Z1470" s="8">
        <f>_xlfn.XLOOKUP(CustomerCombined[[#This Row],[ID]], Table2[ID],Table2[MC2], "Not Found", 0 )</f>
        <v>0</v>
      </c>
      <c r="AA1470" s="8">
        <f>_xlfn.XLOOKUP(CustomerCombined[[#This Row],[ID]], Table2[ID],Table2[MC3], "Not Found", 0 )</f>
        <v>0</v>
      </c>
      <c r="AB1470" s="8">
        <f>_xlfn.XLOOKUP(CustomerCombined[[#This Row],[ID]], Table2[ID],Table2[MC4], "Not Found", 0 )</f>
        <v>0</v>
      </c>
      <c r="AC1470" s="8">
        <f>_xlfn.XLOOKUP(CustomerCombined[[#This Row],[ID]], Table2[ID],Table2[MC5], "Not Found", 0 )</f>
        <v>0</v>
      </c>
    </row>
    <row r="1471" spans="1:29" x14ac:dyDescent="0.3">
      <c r="A1471" s="6">
        <v>2715</v>
      </c>
      <c r="B1471" s="6">
        <v>155761</v>
      </c>
      <c r="C1471" s="6">
        <v>0</v>
      </c>
      <c r="D1471" s="6">
        <v>1</v>
      </c>
      <c r="E1471" s="6">
        <v>56</v>
      </c>
      <c r="F1471" s="5" t="s">
        <v>8</v>
      </c>
      <c r="G1471" s="5" t="s">
        <v>11</v>
      </c>
      <c r="H1471" s="3" t="s">
        <v>58</v>
      </c>
      <c r="I1471" s="5" t="s">
        <v>435</v>
      </c>
      <c r="J1471" s="5">
        <f>_xlfn.XLOOKUP(CustomerCombined[[#This Row],[ID]], Table4[ID], Table4[Recency], "Not Found", 0)</f>
        <v>97</v>
      </c>
      <c r="K1471" s="5">
        <f>_xlfn.XLOOKUP(CustomerCombined[[#This Row],[ID]], Table4[ID], Table4[Teas], "Not Found", 0)</f>
        <v>380</v>
      </c>
      <c r="L1471" s="5">
        <f>_xlfn.XLOOKUP(CustomerCombined[[#This Row],[ID]], Table4[ID], Table4[Fruits], "Not Found", 0)</f>
        <v>3</v>
      </c>
      <c r="M1471" s="5">
        <f>_xlfn.XLOOKUP(CustomerCombined[[#This Row],[ID]], Table4[ID], Table4[Meats], "Not Found", 0)</f>
        <v>34</v>
      </c>
      <c r="N1471" s="5">
        <f>_xlfn.XLOOKUP(CustomerCombined[[#This Row],[ID]], Table4[ID], Table4[Seafood], "Not Found", 0)</f>
        <v>0</v>
      </c>
      <c r="O1471" s="5">
        <f>_xlfn.XLOOKUP(CustomerCombined[[#This Row],[ID]], Table4[ID], Table4[Sweets], "Not Found", 0)</f>
        <v>8</v>
      </c>
      <c r="P1471" s="5">
        <f>_xlfn.XLOOKUP(CustomerCombined[[#This Row],[ID]], Table4[ID], Table4[Premium], "Not Found", 0)</f>
        <v>89</v>
      </c>
      <c r="Q1471" s="5">
        <f>_xlfn.XLOOKUP(CustomerCombined[[#This Row],[ID]], Table4[ID], Table4[Regular], "Not Found", 0)</f>
        <v>335</v>
      </c>
      <c r="R1471" s="5">
        <f>_xlfn.XLOOKUP(CustomerCombined[[#This Row],[ID]], Table4[ID], Table4[Deals], "Not Found", 0)</f>
        <v>2</v>
      </c>
      <c r="S1471" s="5">
        <f>_xlfn.XLOOKUP(CustomerCombined[[#This Row],[ID]], Table4[ID], Table4[Website], "Not Found", 0)</f>
        <v>4</v>
      </c>
      <c r="T1471" s="5">
        <f>_xlfn.XLOOKUP(CustomerCombined[[#This Row],[ID]], Table4[ID], Table4[Catalog], "Not Found", 0)</f>
        <v>1</v>
      </c>
      <c r="U1471" s="5">
        <f>_xlfn.XLOOKUP(CustomerCombined[[#This Row],[ID]], Table4[ID], Table4[Store], "Not Found", 0)</f>
        <v>3</v>
      </c>
      <c r="V1471" s="5">
        <f>_xlfn.XLOOKUP(CustomerCombined[[#This Row],[ID]], Table4[ID], Table4[Visits], "Not Found", 0)</f>
        <v>6</v>
      </c>
      <c r="W1471" s="8">
        <f>_xlfn.XLOOKUP(CustomerCombined[[#This Row],[ID]], Table2[ID],Table2[Complaint], "Not Found", 0 )</f>
        <v>0</v>
      </c>
      <c r="X1471" s="8">
        <f>_xlfn.XLOOKUP(CustomerCombined[[#This Row],[ID]], Table2[ID],Table2[Pilot], "Not Found", 0 )</f>
        <v>0</v>
      </c>
      <c r="Y1471" s="8">
        <f>_xlfn.XLOOKUP(CustomerCombined[[#This Row],[ID]], Table2[ID],Table2[MC1], "Not Found", 0 )</f>
        <v>0</v>
      </c>
      <c r="Z1471" s="8">
        <f>_xlfn.XLOOKUP(CustomerCombined[[#This Row],[ID]], Table2[ID],Table2[MC2], "Not Found", 0 )</f>
        <v>0</v>
      </c>
      <c r="AA1471" s="8">
        <f>_xlfn.XLOOKUP(CustomerCombined[[#This Row],[ID]], Table2[ID],Table2[MC3], "Not Found", 0 )</f>
        <v>0</v>
      </c>
      <c r="AB1471" s="8">
        <f>_xlfn.XLOOKUP(CustomerCombined[[#This Row],[ID]], Table2[ID],Table2[MC4], "Not Found", 0 )</f>
        <v>1</v>
      </c>
      <c r="AC1471" s="8">
        <f>_xlfn.XLOOKUP(CustomerCombined[[#This Row],[ID]], Table2[ID],Table2[MC5], "Not Found", 0 )</f>
        <v>0</v>
      </c>
    </row>
    <row r="1472" spans="1:29" x14ac:dyDescent="0.3">
      <c r="A1472" s="6">
        <v>2520</v>
      </c>
      <c r="B1472" s="6">
        <v>151983</v>
      </c>
      <c r="C1472" s="6">
        <v>0</v>
      </c>
      <c r="D1472" s="6">
        <v>1</v>
      </c>
      <c r="E1472" s="6">
        <v>56</v>
      </c>
      <c r="F1472" s="5" t="s">
        <v>5</v>
      </c>
      <c r="G1472" s="5" t="s">
        <v>11</v>
      </c>
      <c r="H1472" s="3">
        <v>43587</v>
      </c>
      <c r="I1472" s="5" t="s">
        <v>436</v>
      </c>
      <c r="J1472" s="5">
        <f>_xlfn.XLOOKUP(CustomerCombined[[#This Row],[ID]], Table4[ID], Table4[Recency], "Not Found", 0)</f>
        <v>95</v>
      </c>
      <c r="K1472" s="5">
        <f>_xlfn.XLOOKUP(CustomerCombined[[#This Row],[ID]], Table4[ID], Table4[Teas], "Not Found", 0)</f>
        <v>1845</v>
      </c>
      <c r="L1472" s="5">
        <f>_xlfn.XLOOKUP(CustomerCombined[[#This Row],[ID]], Table4[ID], Table4[Fruits], "Not Found", 0)</f>
        <v>0</v>
      </c>
      <c r="M1472" s="5">
        <f>_xlfn.XLOOKUP(CustomerCombined[[#This Row],[ID]], Table4[ID], Table4[Meats], "Not Found", 0)</f>
        <v>336</v>
      </c>
      <c r="N1472" s="5">
        <f>_xlfn.XLOOKUP(CustomerCombined[[#This Row],[ID]], Table4[ID], Table4[Seafood], "Not Found", 0)</f>
        <v>29</v>
      </c>
      <c r="O1472" s="5">
        <f>_xlfn.XLOOKUP(CustomerCombined[[#This Row],[ID]], Table4[ID], Table4[Sweets], "Not Found", 0)</f>
        <v>20</v>
      </c>
      <c r="P1472" s="5">
        <f>_xlfn.XLOOKUP(CustomerCombined[[#This Row],[ID]], Table4[ID], Table4[Premium], "Not Found", 0)</f>
        <v>88</v>
      </c>
      <c r="Q1472" s="5">
        <f>_xlfn.XLOOKUP(CustomerCombined[[#This Row],[ID]], Table4[ID], Table4[Regular], "Not Found", 0)</f>
        <v>2143</v>
      </c>
      <c r="R1472" s="5">
        <f>_xlfn.XLOOKUP(CustomerCombined[[#This Row],[ID]], Table4[ID], Table4[Deals], "Not Found", 0)</f>
        <v>3</v>
      </c>
      <c r="S1472" s="5">
        <f>_xlfn.XLOOKUP(CustomerCombined[[#This Row],[ID]], Table4[ID], Table4[Website], "Not Found", 0)</f>
        <v>9</v>
      </c>
      <c r="T1472" s="5">
        <f>_xlfn.XLOOKUP(CustomerCombined[[#This Row],[ID]], Table4[ID], Table4[Catalog], "Not Found", 0)</f>
        <v>2</v>
      </c>
      <c r="U1472" s="5">
        <f>_xlfn.XLOOKUP(CustomerCombined[[#This Row],[ID]], Table4[ID], Table4[Store], "Not Found", 0)</f>
        <v>10</v>
      </c>
      <c r="V1472" s="5">
        <f>_xlfn.XLOOKUP(CustomerCombined[[#This Row],[ID]], Table4[ID], Table4[Visits], "Not Found", 0)</f>
        <v>7</v>
      </c>
      <c r="W1472" s="8">
        <f>_xlfn.XLOOKUP(CustomerCombined[[#This Row],[ID]], Table2[ID],Table2[Complaint], "Not Found", 0 )</f>
        <v>0</v>
      </c>
      <c r="X1472" s="8">
        <f>_xlfn.XLOOKUP(CustomerCombined[[#This Row],[ID]], Table2[ID],Table2[Pilot], "Not Found", 0 )</f>
        <v>0</v>
      </c>
      <c r="Y1472" s="8">
        <f>_xlfn.XLOOKUP(CustomerCombined[[#This Row],[ID]], Table2[ID],Table2[MC1], "Not Found", 0 )</f>
        <v>0</v>
      </c>
      <c r="Z1472" s="8">
        <f>_xlfn.XLOOKUP(CustomerCombined[[#This Row],[ID]], Table2[ID],Table2[MC2], "Not Found", 0 )</f>
        <v>0</v>
      </c>
      <c r="AA1472" s="8">
        <f>_xlfn.XLOOKUP(CustomerCombined[[#This Row],[ID]], Table2[ID],Table2[MC3], "Not Found", 0 )</f>
        <v>0</v>
      </c>
      <c r="AB1472" s="8">
        <f>_xlfn.XLOOKUP(CustomerCombined[[#This Row],[ID]], Table2[ID],Table2[MC4], "Not Found", 0 )</f>
        <v>0</v>
      </c>
      <c r="AC1472" s="8">
        <f>_xlfn.XLOOKUP(CustomerCombined[[#This Row],[ID]], Table2[ID],Table2[MC5], "Not Found", 0 )</f>
        <v>0</v>
      </c>
    </row>
    <row r="1473" spans="1:29" x14ac:dyDescent="0.3">
      <c r="A1473" s="6">
        <v>1098</v>
      </c>
      <c r="B1473" s="6">
        <v>149096</v>
      </c>
      <c r="C1473" s="6">
        <v>1</v>
      </c>
      <c r="D1473" s="6">
        <v>1</v>
      </c>
      <c r="E1473" s="6">
        <v>56</v>
      </c>
      <c r="F1473" s="5" t="s">
        <v>6</v>
      </c>
      <c r="G1473" s="5" t="s">
        <v>11</v>
      </c>
      <c r="H1473" s="3" t="s">
        <v>175</v>
      </c>
      <c r="I1473" s="5" t="s">
        <v>436</v>
      </c>
      <c r="J1473" s="5">
        <f>_xlfn.XLOOKUP(CustomerCombined[[#This Row],[ID]], Table4[ID], Table4[Recency], "Not Found", 0)</f>
        <v>15</v>
      </c>
      <c r="K1473" s="5">
        <f>_xlfn.XLOOKUP(CustomerCombined[[#This Row],[ID]], Table4[ID], Table4[Teas], "Not Found", 0)</f>
        <v>437</v>
      </c>
      <c r="L1473" s="5">
        <f>_xlfn.XLOOKUP(CustomerCombined[[#This Row],[ID]], Table4[ID], Table4[Fruits], "Not Found", 0)</f>
        <v>3</v>
      </c>
      <c r="M1473" s="5">
        <f>_xlfn.XLOOKUP(CustomerCombined[[#This Row],[ID]], Table4[ID], Table4[Meats], "Not Found", 0)</f>
        <v>97</v>
      </c>
      <c r="N1473" s="5">
        <f>_xlfn.XLOOKUP(CustomerCombined[[#This Row],[ID]], Table4[ID], Table4[Seafood], "Not Found", 0)</f>
        <v>6</v>
      </c>
      <c r="O1473" s="5">
        <f>_xlfn.XLOOKUP(CustomerCombined[[#This Row],[ID]], Table4[ID], Table4[Sweets], "Not Found", 0)</f>
        <v>3</v>
      </c>
      <c r="P1473" s="5">
        <f>_xlfn.XLOOKUP(CustomerCombined[[#This Row],[ID]], Table4[ID], Table4[Premium], "Not Found", 0)</f>
        <v>21</v>
      </c>
      <c r="Q1473" s="5">
        <f>_xlfn.XLOOKUP(CustomerCombined[[#This Row],[ID]], Table4[ID], Table4[Regular], "Not Found", 0)</f>
        <v>525</v>
      </c>
      <c r="R1473" s="5">
        <f>_xlfn.XLOOKUP(CustomerCombined[[#This Row],[ID]], Table4[ID], Table4[Deals], "Not Found", 0)</f>
        <v>4</v>
      </c>
      <c r="S1473" s="5">
        <f>_xlfn.XLOOKUP(CustomerCombined[[#This Row],[ID]], Table4[ID], Table4[Website], "Not Found", 0)</f>
        <v>4</v>
      </c>
      <c r="T1473" s="5">
        <f>_xlfn.XLOOKUP(CustomerCombined[[#This Row],[ID]], Table4[ID], Table4[Catalog], "Not Found", 0)</f>
        <v>1</v>
      </c>
      <c r="U1473" s="5">
        <f>_xlfn.XLOOKUP(CustomerCombined[[#This Row],[ID]], Table4[ID], Table4[Store], "Not Found", 0)</f>
        <v>4</v>
      </c>
      <c r="V1473" s="5">
        <f>_xlfn.XLOOKUP(CustomerCombined[[#This Row],[ID]], Table4[ID], Table4[Visits], "Not Found", 0)</f>
        <v>7</v>
      </c>
      <c r="W1473" s="8">
        <f>_xlfn.XLOOKUP(CustomerCombined[[#This Row],[ID]], Table2[ID],Table2[Complaint], "Not Found", 0 )</f>
        <v>0</v>
      </c>
      <c r="X1473" s="8">
        <f>_xlfn.XLOOKUP(CustomerCombined[[#This Row],[ID]], Table2[ID],Table2[Pilot], "Not Found", 0 )</f>
        <v>0</v>
      </c>
      <c r="Y1473" s="8">
        <f>_xlfn.XLOOKUP(CustomerCombined[[#This Row],[ID]], Table2[ID],Table2[MC1], "Not Found", 0 )</f>
        <v>0</v>
      </c>
      <c r="Z1473" s="8">
        <f>_xlfn.XLOOKUP(CustomerCombined[[#This Row],[ID]], Table2[ID],Table2[MC2], "Not Found", 0 )</f>
        <v>0</v>
      </c>
      <c r="AA1473" s="8">
        <f>_xlfn.XLOOKUP(CustomerCombined[[#This Row],[ID]], Table2[ID],Table2[MC3], "Not Found", 0 )</f>
        <v>0</v>
      </c>
      <c r="AB1473" s="8">
        <f>_xlfn.XLOOKUP(CustomerCombined[[#This Row],[ID]], Table2[ID],Table2[MC4], "Not Found", 0 )</f>
        <v>0</v>
      </c>
      <c r="AC1473" s="8">
        <f>_xlfn.XLOOKUP(CustomerCombined[[#This Row],[ID]], Table2[ID],Table2[MC5], "Not Found", 0 )</f>
        <v>0</v>
      </c>
    </row>
    <row r="1474" spans="1:29" x14ac:dyDescent="0.3">
      <c r="A1474" s="6">
        <v>1496</v>
      </c>
      <c r="B1474" s="6">
        <v>148920</v>
      </c>
      <c r="C1474" s="6">
        <v>0</v>
      </c>
      <c r="D1474" s="6">
        <v>2</v>
      </c>
      <c r="E1474" s="6">
        <v>56</v>
      </c>
      <c r="F1474" s="5" t="s">
        <v>6</v>
      </c>
      <c r="G1474" s="5" t="s">
        <v>11</v>
      </c>
      <c r="H1474" s="3" t="s">
        <v>162</v>
      </c>
      <c r="I1474" s="5" t="s">
        <v>438</v>
      </c>
      <c r="J1474" s="5">
        <f>_xlfn.XLOOKUP(CustomerCombined[[#This Row],[ID]], Table4[ID], Table4[Recency], "Not Found", 0)</f>
        <v>93</v>
      </c>
      <c r="K1474" s="5">
        <f>_xlfn.XLOOKUP(CustomerCombined[[#This Row],[ID]], Table4[ID], Table4[Teas], "Not Found", 0)</f>
        <v>725</v>
      </c>
      <c r="L1474" s="5">
        <f>_xlfn.XLOOKUP(CustomerCombined[[#This Row],[ID]], Table4[ID], Table4[Fruits], "Not Found", 0)</f>
        <v>52</v>
      </c>
      <c r="M1474" s="5">
        <f>_xlfn.XLOOKUP(CustomerCombined[[#This Row],[ID]], Table4[ID], Table4[Meats], "Not Found", 0)</f>
        <v>207</v>
      </c>
      <c r="N1474" s="5">
        <f>_xlfn.XLOOKUP(CustomerCombined[[#This Row],[ID]], Table4[ID], Table4[Seafood], "Not Found", 0)</f>
        <v>24</v>
      </c>
      <c r="O1474" s="5">
        <f>_xlfn.XLOOKUP(CustomerCombined[[#This Row],[ID]], Table4[ID], Table4[Sweets], "Not Found", 0)</f>
        <v>30</v>
      </c>
      <c r="P1474" s="5">
        <f>_xlfn.XLOOKUP(CustomerCombined[[#This Row],[ID]], Table4[ID], Table4[Premium], "Not Found", 0)</f>
        <v>18</v>
      </c>
      <c r="Q1474" s="5">
        <f>_xlfn.XLOOKUP(CustomerCombined[[#This Row],[ID]], Table4[ID], Table4[Regular], "Not Found", 0)</f>
        <v>1020</v>
      </c>
      <c r="R1474" s="5">
        <f>_xlfn.XLOOKUP(CustomerCombined[[#This Row],[ID]], Table4[ID], Table4[Deals], "Not Found", 0)</f>
        <v>3</v>
      </c>
      <c r="S1474" s="5">
        <f>_xlfn.XLOOKUP(CustomerCombined[[#This Row],[ID]], Table4[ID], Table4[Website], "Not Found", 0)</f>
        <v>6</v>
      </c>
      <c r="T1474" s="5">
        <f>_xlfn.XLOOKUP(CustomerCombined[[#This Row],[ID]], Table4[ID], Table4[Catalog], "Not Found", 0)</f>
        <v>2</v>
      </c>
      <c r="U1474" s="5">
        <f>_xlfn.XLOOKUP(CustomerCombined[[#This Row],[ID]], Table4[ID], Table4[Store], "Not Found", 0)</f>
        <v>5</v>
      </c>
      <c r="V1474" s="5">
        <f>_xlfn.XLOOKUP(CustomerCombined[[#This Row],[ID]], Table4[ID], Table4[Visits], "Not Found", 0)</f>
        <v>7</v>
      </c>
      <c r="W1474" s="8">
        <f>_xlfn.XLOOKUP(CustomerCombined[[#This Row],[ID]], Table2[ID],Table2[Complaint], "Not Found", 0 )</f>
        <v>0</v>
      </c>
      <c r="X1474" s="8">
        <f>_xlfn.XLOOKUP(CustomerCombined[[#This Row],[ID]], Table2[ID],Table2[Pilot], "Not Found", 0 )</f>
        <v>0</v>
      </c>
      <c r="Y1474" s="8">
        <f>_xlfn.XLOOKUP(CustomerCombined[[#This Row],[ID]], Table2[ID],Table2[MC1], "Not Found", 0 )</f>
        <v>0</v>
      </c>
      <c r="Z1474" s="8">
        <f>_xlfn.XLOOKUP(CustomerCombined[[#This Row],[ID]], Table2[ID],Table2[MC2], "Not Found", 0 )</f>
        <v>0</v>
      </c>
      <c r="AA1474" s="8">
        <f>_xlfn.XLOOKUP(CustomerCombined[[#This Row],[ID]], Table2[ID],Table2[MC3], "Not Found", 0 )</f>
        <v>0</v>
      </c>
      <c r="AB1474" s="8">
        <f>_xlfn.XLOOKUP(CustomerCombined[[#This Row],[ID]], Table2[ID],Table2[MC4], "Not Found", 0 )</f>
        <v>1</v>
      </c>
      <c r="AC1474" s="8">
        <f>_xlfn.XLOOKUP(CustomerCombined[[#This Row],[ID]], Table2[ID],Table2[MC5], "Not Found", 0 )</f>
        <v>0</v>
      </c>
    </row>
    <row r="1475" spans="1:29" x14ac:dyDescent="0.3">
      <c r="A1475" s="6">
        <v>2705</v>
      </c>
      <c r="B1475" s="6">
        <v>146910</v>
      </c>
      <c r="C1475" s="6">
        <v>1</v>
      </c>
      <c r="D1475" s="6">
        <v>1</v>
      </c>
      <c r="E1475" s="6">
        <v>56</v>
      </c>
      <c r="F1475" s="5" t="s">
        <v>8</v>
      </c>
      <c r="G1475" s="5" t="s">
        <v>13</v>
      </c>
      <c r="H1475" s="3" t="s">
        <v>78</v>
      </c>
      <c r="I1475" s="5" t="s">
        <v>434</v>
      </c>
      <c r="J1475" s="5">
        <f>_xlfn.XLOOKUP(CustomerCombined[[#This Row],[ID]], Table4[ID], Table4[Recency], "Not Found", 0)</f>
        <v>36</v>
      </c>
      <c r="K1475" s="5">
        <f>_xlfn.XLOOKUP(CustomerCombined[[#This Row],[ID]], Table4[ID], Table4[Teas], "Not Found", 0)</f>
        <v>150</v>
      </c>
      <c r="L1475" s="5">
        <f>_xlfn.XLOOKUP(CustomerCombined[[#This Row],[ID]], Table4[ID], Table4[Fruits], "Not Found", 0)</f>
        <v>0</v>
      </c>
      <c r="M1475" s="5">
        <f>_xlfn.XLOOKUP(CustomerCombined[[#This Row],[ID]], Table4[ID], Table4[Meats], "Not Found", 0)</f>
        <v>44</v>
      </c>
      <c r="N1475" s="5">
        <f>_xlfn.XLOOKUP(CustomerCombined[[#This Row],[ID]], Table4[ID], Table4[Seafood], "Not Found", 0)</f>
        <v>0</v>
      </c>
      <c r="O1475" s="5">
        <f>_xlfn.XLOOKUP(CustomerCombined[[#This Row],[ID]], Table4[ID], Table4[Sweets], "Not Found", 0)</f>
        <v>0</v>
      </c>
      <c r="P1475" s="5">
        <f>_xlfn.XLOOKUP(CustomerCombined[[#This Row],[ID]], Table4[ID], Table4[Premium], "Not Found", 0)</f>
        <v>19</v>
      </c>
      <c r="Q1475" s="5">
        <f>_xlfn.XLOOKUP(CustomerCombined[[#This Row],[ID]], Table4[ID], Table4[Regular], "Not Found", 0)</f>
        <v>175</v>
      </c>
      <c r="R1475" s="5">
        <f>_xlfn.XLOOKUP(CustomerCombined[[#This Row],[ID]], Table4[ID], Table4[Deals], "Not Found", 0)</f>
        <v>2</v>
      </c>
      <c r="S1475" s="5">
        <f>_xlfn.XLOOKUP(CustomerCombined[[#This Row],[ID]], Table4[ID], Table4[Website], "Not Found", 0)</f>
        <v>2</v>
      </c>
      <c r="T1475" s="5">
        <f>_xlfn.XLOOKUP(CustomerCombined[[#This Row],[ID]], Table4[ID], Table4[Catalog], "Not Found", 0)</f>
        <v>0</v>
      </c>
      <c r="U1475" s="5">
        <f>_xlfn.XLOOKUP(CustomerCombined[[#This Row],[ID]], Table4[ID], Table4[Store], "Not Found", 0)</f>
        <v>3</v>
      </c>
      <c r="V1475" s="5">
        <f>_xlfn.XLOOKUP(CustomerCombined[[#This Row],[ID]], Table4[ID], Table4[Visits], "Not Found", 0)</f>
        <v>6</v>
      </c>
      <c r="W1475" s="8">
        <f>_xlfn.XLOOKUP(CustomerCombined[[#This Row],[ID]], Table2[ID],Table2[Complaint], "Not Found", 0 )</f>
        <v>0</v>
      </c>
      <c r="X1475" s="8">
        <f>_xlfn.XLOOKUP(CustomerCombined[[#This Row],[ID]], Table2[ID],Table2[Pilot], "Not Found", 0 )</f>
        <v>0</v>
      </c>
      <c r="Y1475" s="8">
        <f>_xlfn.XLOOKUP(CustomerCombined[[#This Row],[ID]], Table2[ID],Table2[MC1], "Not Found", 0 )</f>
        <v>0</v>
      </c>
      <c r="Z1475" s="8">
        <f>_xlfn.XLOOKUP(CustomerCombined[[#This Row],[ID]], Table2[ID],Table2[MC2], "Not Found", 0 )</f>
        <v>0</v>
      </c>
      <c r="AA1475" s="8">
        <f>_xlfn.XLOOKUP(CustomerCombined[[#This Row],[ID]], Table2[ID],Table2[MC3], "Not Found", 0 )</f>
        <v>0</v>
      </c>
      <c r="AB1475" s="8">
        <f>_xlfn.XLOOKUP(CustomerCombined[[#This Row],[ID]], Table2[ID],Table2[MC4], "Not Found", 0 )</f>
        <v>0</v>
      </c>
      <c r="AC1475" s="8">
        <f>_xlfn.XLOOKUP(CustomerCombined[[#This Row],[ID]], Table2[ID],Table2[MC5], "Not Found", 0 )</f>
        <v>0</v>
      </c>
    </row>
    <row r="1476" spans="1:29" x14ac:dyDescent="0.3">
      <c r="A1476" s="6">
        <v>1244</v>
      </c>
      <c r="B1476" s="6">
        <v>145989</v>
      </c>
      <c r="C1476" s="6">
        <v>0</v>
      </c>
      <c r="D1476" s="6">
        <v>1</v>
      </c>
      <c r="E1476" s="6">
        <v>56</v>
      </c>
      <c r="F1476" s="5" t="s">
        <v>7</v>
      </c>
      <c r="G1476" s="5" t="s">
        <v>11</v>
      </c>
      <c r="H1476" s="3" t="s">
        <v>372</v>
      </c>
      <c r="I1476" s="5" t="s">
        <v>438</v>
      </c>
      <c r="J1476" s="5">
        <f>_xlfn.XLOOKUP(CustomerCombined[[#This Row],[ID]], Table4[ID], Table4[Recency], "Not Found", 0)</f>
        <v>97</v>
      </c>
      <c r="K1476" s="5">
        <f>_xlfn.XLOOKUP(CustomerCombined[[#This Row],[ID]], Table4[ID], Table4[Teas], "Not Found", 0)</f>
        <v>438</v>
      </c>
      <c r="L1476" s="5">
        <f>_xlfn.XLOOKUP(CustomerCombined[[#This Row],[ID]], Table4[ID], Table4[Fruits], "Not Found", 0)</f>
        <v>105</v>
      </c>
      <c r="M1476" s="5">
        <f>_xlfn.XLOOKUP(CustomerCombined[[#This Row],[ID]], Table4[ID], Table4[Meats], "Not Found", 0)</f>
        <v>276</v>
      </c>
      <c r="N1476" s="5">
        <f>_xlfn.XLOOKUP(CustomerCombined[[#This Row],[ID]], Table4[ID], Table4[Seafood], "Not Found", 0)</f>
        <v>89</v>
      </c>
      <c r="O1476" s="5">
        <f>_xlfn.XLOOKUP(CustomerCombined[[#This Row],[ID]], Table4[ID], Table4[Sweets], "Not Found", 0)</f>
        <v>76</v>
      </c>
      <c r="P1476" s="5">
        <f>_xlfn.XLOOKUP(CustomerCombined[[#This Row],[ID]], Table4[ID], Table4[Premium], "Not Found", 0)</f>
        <v>38</v>
      </c>
      <c r="Q1476" s="5">
        <f>_xlfn.XLOOKUP(CustomerCombined[[#This Row],[ID]], Table4[ID], Table4[Regular], "Not Found", 0)</f>
        <v>946</v>
      </c>
      <c r="R1476" s="5">
        <f>_xlfn.XLOOKUP(CustomerCombined[[#This Row],[ID]], Table4[ID], Table4[Deals], "Not Found", 0)</f>
        <v>4</v>
      </c>
      <c r="S1476" s="5">
        <f>_xlfn.XLOOKUP(CustomerCombined[[#This Row],[ID]], Table4[ID], Table4[Website], "Not Found", 0)</f>
        <v>3</v>
      </c>
      <c r="T1476" s="5">
        <f>_xlfn.XLOOKUP(CustomerCombined[[#This Row],[ID]], Table4[ID], Table4[Catalog], "Not Found", 0)</f>
        <v>2</v>
      </c>
      <c r="U1476" s="5">
        <f>_xlfn.XLOOKUP(CustomerCombined[[#This Row],[ID]], Table4[ID], Table4[Store], "Not Found", 0)</f>
        <v>7</v>
      </c>
      <c r="V1476" s="5">
        <f>_xlfn.XLOOKUP(CustomerCombined[[#This Row],[ID]], Table4[ID], Table4[Visits], "Not Found", 0)</f>
        <v>3</v>
      </c>
      <c r="W1476" s="8">
        <f>_xlfn.XLOOKUP(CustomerCombined[[#This Row],[ID]], Table2[ID],Table2[Complaint], "Not Found", 0 )</f>
        <v>0</v>
      </c>
      <c r="X1476" s="8">
        <f>_xlfn.XLOOKUP(CustomerCombined[[#This Row],[ID]], Table2[ID],Table2[Pilot], "Not Found", 0 )</f>
        <v>0</v>
      </c>
      <c r="Y1476" s="8">
        <f>_xlfn.XLOOKUP(CustomerCombined[[#This Row],[ID]], Table2[ID],Table2[MC1], "Not Found", 0 )</f>
        <v>0</v>
      </c>
      <c r="Z1476" s="8">
        <f>_xlfn.XLOOKUP(CustomerCombined[[#This Row],[ID]], Table2[ID],Table2[MC2], "Not Found", 0 )</f>
        <v>0</v>
      </c>
      <c r="AA1476" s="8">
        <f>_xlfn.XLOOKUP(CustomerCombined[[#This Row],[ID]], Table2[ID],Table2[MC3], "Not Found", 0 )</f>
        <v>0</v>
      </c>
      <c r="AB1476" s="8">
        <f>_xlfn.XLOOKUP(CustomerCombined[[#This Row],[ID]], Table2[ID],Table2[MC4], "Not Found", 0 )</f>
        <v>0</v>
      </c>
      <c r="AC1476" s="8">
        <f>_xlfn.XLOOKUP(CustomerCombined[[#This Row],[ID]], Table2[ID],Table2[MC5], "Not Found", 0 )</f>
        <v>0</v>
      </c>
    </row>
    <row r="1477" spans="1:29" x14ac:dyDescent="0.3">
      <c r="A1477" s="6">
        <v>1626</v>
      </c>
      <c r="B1477" s="6">
        <v>145906</v>
      </c>
      <c r="C1477" s="6">
        <v>0</v>
      </c>
      <c r="D1477" s="6">
        <v>1</v>
      </c>
      <c r="E1477" s="6">
        <v>56</v>
      </c>
      <c r="F1477" s="5" t="s">
        <v>7</v>
      </c>
      <c r="G1477" s="5" t="s">
        <v>11</v>
      </c>
      <c r="H1477" s="3">
        <v>43809</v>
      </c>
      <c r="I1477" s="5" t="s">
        <v>436</v>
      </c>
      <c r="J1477" s="5">
        <f>_xlfn.XLOOKUP(CustomerCombined[[#This Row],[ID]], Table4[ID], Table4[Recency], "Not Found", 0)</f>
        <v>20</v>
      </c>
      <c r="K1477" s="5">
        <f>_xlfn.XLOOKUP(CustomerCombined[[#This Row],[ID]], Table4[ID], Table4[Teas], "Not Found", 0)</f>
        <v>969</v>
      </c>
      <c r="L1477" s="5">
        <f>_xlfn.XLOOKUP(CustomerCombined[[#This Row],[ID]], Table4[ID], Table4[Fruits], "Not Found", 0)</f>
        <v>10</v>
      </c>
      <c r="M1477" s="5">
        <f>_xlfn.XLOOKUP(CustomerCombined[[#This Row],[ID]], Table4[ID], Table4[Meats], "Not Found", 0)</f>
        <v>86</v>
      </c>
      <c r="N1477" s="5">
        <f>_xlfn.XLOOKUP(CustomerCombined[[#This Row],[ID]], Table4[ID], Table4[Seafood], "Not Found", 0)</f>
        <v>13</v>
      </c>
      <c r="O1477" s="5">
        <f>_xlfn.XLOOKUP(CustomerCombined[[#This Row],[ID]], Table4[ID], Table4[Sweets], "Not Found", 0)</f>
        <v>10</v>
      </c>
      <c r="P1477" s="5">
        <f>_xlfn.XLOOKUP(CustomerCombined[[#This Row],[ID]], Table4[ID], Table4[Premium], "Not Found", 0)</f>
        <v>458</v>
      </c>
      <c r="Q1477" s="5">
        <f>_xlfn.XLOOKUP(CustomerCombined[[#This Row],[ID]], Table4[ID], Table4[Regular], "Not Found", 0)</f>
        <v>629</v>
      </c>
      <c r="R1477" s="5">
        <f>_xlfn.XLOOKUP(CustomerCombined[[#This Row],[ID]], Table4[ID], Table4[Deals], "Not Found", 0)</f>
        <v>2</v>
      </c>
      <c r="S1477" s="5">
        <f>_xlfn.XLOOKUP(CustomerCombined[[#This Row],[ID]], Table4[ID], Table4[Website], "Not Found", 0)</f>
        <v>5</v>
      </c>
      <c r="T1477" s="5">
        <f>_xlfn.XLOOKUP(CustomerCombined[[#This Row],[ID]], Table4[ID], Table4[Catalog], "Not Found", 0)</f>
        <v>4</v>
      </c>
      <c r="U1477" s="5">
        <f>_xlfn.XLOOKUP(CustomerCombined[[#This Row],[ID]], Table4[ID], Table4[Store], "Not Found", 0)</f>
        <v>4</v>
      </c>
      <c r="V1477" s="5">
        <f>_xlfn.XLOOKUP(CustomerCombined[[#This Row],[ID]], Table4[ID], Table4[Visits], "Not Found", 0)</f>
        <v>5</v>
      </c>
      <c r="W1477" s="8">
        <f>_xlfn.XLOOKUP(CustomerCombined[[#This Row],[ID]], Table2[ID],Table2[Complaint], "Not Found", 0 )</f>
        <v>0</v>
      </c>
      <c r="X1477" s="8">
        <f>_xlfn.XLOOKUP(CustomerCombined[[#This Row],[ID]], Table2[ID],Table2[Pilot], "Not Found", 0 )</f>
        <v>0</v>
      </c>
      <c r="Y1477" s="8">
        <f>_xlfn.XLOOKUP(CustomerCombined[[#This Row],[ID]], Table2[ID],Table2[MC1], "Not Found", 0 )</f>
        <v>0</v>
      </c>
      <c r="Z1477" s="8">
        <f>_xlfn.XLOOKUP(CustomerCombined[[#This Row],[ID]], Table2[ID],Table2[MC2], "Not Found", 0 )</f>
        <v>0</v>
      </c>
      <c r="AA1477" s="8">
        <f>_xlfn.XLOOKUP(CustomerCombined[[#This Row],[ID]], Table2[ID],Table2[MC3], "Not Found", 0 )</f>
        <v>1</v>
      </c>
      <c r="AB1477" s="8">
        <f>_xlfn.XLOOKUP(CustomerCombined[[#This Row],[ID]], Table2[ID],Table2[MC4], "Not Found", 0 )</f>
        <v>0</v>
      </c>
      <c r="AC1477" s="8">
        <f>_xlfn.XLOOKUP(CustomerCombined[[#This Row],[ID]], Table2[ID],Table2[MC5], "Not Found", 0 )</f>
        <v>0</v>
      </c>
    </row>
    <row r="1478" spans="1:29" x14ac:dyDescent="0.3">
      <c r="A1478" s="6">
        <v>1178</v>
      </c>
      <c r="B1478" s="6">
        <v>145759</v>
      </c>
      <c r="C1478" s="6">
        <v>1</v>
      </c>
      <c r="D1478" s="6">
        <v>1</v>
      </c>
      <c r="E1478" s="6">
        <v>56</v>
      </c>
      <c r="F1478" s="5" t="s">
        <v>6</v>
      </c>
      <c r="G1478" s="5" t="s">
        <v>13</v>
      </c>
      <c r="H1478" s="3" t="s">
        <v>300</v>
      </c>
      <c r="I1478" s="5" t="s">
        <v>438</v>
      </c>
      <c r="J1478" s="5">
        <f>_xlfn.XLOOKUP(CustomerCombined[[#This Row],[ID]], Table4[ID], Table4[Recency], "Not Found", 0)</f>
        <v>13</v>
      </c>
      <c r="K1478" s="5">
        <f>_xlfn.XLOOKUP(CustomerCombined[[#This Row],[ID]], Table4[ID], Table4[Teas], "Not Found", 0)</f>
        <v>134</v>
      </c>
      <c r="L1478" s="5">
        <f>_xlfn.XLOOKUP(CustomerCombined[[#This Row],[ID]], Table4[ID], Table4[Fruits], "Not Found", 0)</f>
        <v>3</v>
      </c>
      <c r="M1478" s="5">
        <f>_xlfn.XLOOKUP(CustomerCombined[[#This Row],[ID]], Table4[ID], Table4[Meats], "Not Found", 0)</f>
        <v>57</v>
      </c>
      <c r="N1478" s="5">
        <f>_xlfn.XLOOKUP(CustomerCombined[[#This Row],[ID]], Table4[ID], Table4[Seafood], "Not Found", 0)</f>
        <v>10</v>
      </c>
      <c r="O1478" s="5">
        <f>_xlfn.XLOOKUP(CustomerCombined[[#This Row],[ID]], Table4[ID], Table4[Sweets], "Not Found", 0)</f>
        <v>0</v>
      </c>
      <c r="P1478" s="5">
        <f>_xlfn.XLOOKUP(CustomerCombined[[#This Row],[ID]], Table4[ID], Table4[Premium], "Not Found", 0)</f>
        <v>13</v>
      </c>
      <c r="Q1478" s="5">
        <f>_xlfn.XLOOKUP(CustomerCombined[[#This Row],[ID]], Table4[ID], Table4[Regular], "Not Found", 0)</f>
        <v>191</v>
      </c>
      <c r="R1478" s="5">
        <f>_xlfn.XLOOKUP(CustomerCombined[[#This Row],[ID]], Table4[ID], Table4[Deals], "Not Found", 0)</f>
        <v>2</v>
      </c>
      <c r="S1478" s="5">
        <f>_xlfn.XLOOKUP(CustomerCombined[[#This Row],[ID]], Table4[ID], Table4[Website], "Not Found", 0)</f>
        <v>2</v>
      </c>
      <c r="T1478" s="5">
        <f>_xlfn.XLOOKUP(CustomerCombined[[#This Row],[ID]], Table4[ID], Table4[Catalog], "Not Found", 0)</f>
        <v>0</v>
      </c>
      <c r="U1478" s="5">
        <f>_xlfn.XLOOKUP(CustomerCombined[[#This Row],[ID]], Table4[ID], Table4[Store], "Not Found", 0)</f>
        <v>3</v>
      </c>
      <c r="V1478" s="5">
        <f>_xlfn.XLOOKUP(CustomerCombined[[#This Row],[ID]], Table4[ID], Table4[Visits], "Not Found", 0)</f>
        <v>7</v>
      </c>
      <c r="W1478" s="8">
        <f>_xlfn.XLOOKUP(CustomerCombined[[#This Row],[ID]], Table2[ID],Table2[Complaint], "Not Found", 0 )</f>
        <v>0</v>
      </c>
      <c r="X1478" s="8">
        <f>_xlfn.XLOOKUP(CustomerCombined[[#This Row],[ID]], Table2[ID],Table2[Pilot], "Not Found", 0 )</f>
        <v>0</v>
      </c>
      <c r="Y1478" s="8">
        <f>_xlfn.XLOOKUP(CustomerCombined[[#This Row],[ID]], Table2[ID],Table2[MC1], "Not Found", 0 )</f>
        <v>0</v>
      </c>
      <c r="Z1478" s="8">
        <f>_xlfn.XLOOKUP(CustomerCombined[[#This Row],[ID]], Table2[ID],Table2[MC2], "Not Found", 0 )</f>
        <v>0</v>
      </c>
      <c r="AA1478" s="8">
        <f>_xlfn.XLOOKUP(CustomerCombined[[#This Row],[ID]], Table2[ID],Table2[MC3], "Not Found", 0 )</f>
        <v>0</v>
      </c>
      <c r="AB1478" s="8">
        <f>_xlfn.XLOOKUP(CustomerCombined[[#This Row],[ID]], Table2[ID],Table2[MC4], "Not Found", 0 )</f>
        <v>0</v>
      </c>
      <c r="AC1478" s="8">
        <f>_xlfn.XLOOKUP(CustomerCombined[[#This Row],[ID]], Table2[ID],Table2[MC5], "Not Found", 0 )</f>
        <v>0</v>
      </c>
    </row>
    <row r="1479" spans="1:29" x14ac:dyDescent="0.3">
      <c r="A1479" s="6">
        <v>2875</v>
      </c>
      <c r="B1479" s="6">
        <v>145759</v>
      </c>
      <c r="C1479" s="6">
        <v>1</v>
      </c>
      <c r="D1479" s="6">
        <v>1</v>
      </c>
      <c r="E1479" s="6">
        <v>56</v>
      </c>
      <c r="F1479" s="5" t="s">
        <v>6</v>
      </c>
      <c r="G1479" s="5" t="s">
        <v>13</v>
      </c>
      <c r="H1479" s="3" t="s">
        <v>300</v>
      </c>
      <c r="I1479" s="5" t="s">
        <v>437</v>
      </c>
      <c r="J1479" s="5">
        <f>_xlfn.XLOOKUP(CustomerCombined[[#This Row],[ID]], Table4[ID], Table4[Recency], "Not Found", 0)</f>
        <v>13</v>
      </c>
      <c r="K1479" s="5">
        <f>_xlfn.XLOOKUP(CustomerCombined[[#This Row],[ID]], Table4[ID], Table4[Teas], "Not Found", 0)</f>
        <v>134</v>
      </c>
      <c r="L1479" s="5">
        <f>_xlfn.XLOOKUP(CustomerCombined[[#This Row],[ID]], Table4[ID], Table4[Fruits], "Not Found", 0)</f>
        <v>3</v>
      </c>
      <c r="M1479" s="5">
        <f>_xlfn.XLOOKUP(CustomerCombined[[#This Row],[ID]], Table4[ID], Table4[Meats], "Not Found", 0)</f>
        <v>57</v>
      </c>
      <c r="N1479" s="5">
        <f>_xlfn.XLOOKUP(CustomerCombined[[#This Row],[ID]], Table4[ID], Table4[Seafood], "Not Found", 0)</f>
        <v>10</v>
      </c>
      <c r="O1479" s="5">
        <f>_xlfn.XLOOKUP(CustomerCombined[[#This Row],[ID]], Table4[ID], Table4[Sweets], "Not Found", 0)</f>
        <v>0</v>
      </c>
      <c r="P1479" s="5">
        <f>_xlfn.XLOOKUP(CustomerCombined[[#This Row],[ID]], Table4[ID], Table4[Premium], "Not Found", 0)</f>
        <v>13</v>
      </c>
      <c r="Q1479" s="5">
        <f>_xlfn.XLOOKUP(CustomerCombined[[#This Row],[ID]], Table4[ID], Table4[Regular], "Not Found", 0)</f>
        <v>191</v>
      </c>
      <c r="R1479" s="5">
        <f>_xlfn.XLOOKUP(CustomerCombined[[#This Row],[ID]], Table4[ID], Table4[Deals], "Not Found", 0)</f>
        <v>2</v>
      </c>
      <c r="S1479" s="5">
        <f>_xlfn.XLOOKUP(CustomerCombined[[#This Row],[ID]], Table4[ID], Table4[Website], "Not Found", 0)</f>
        <v>2</v>
      </c>
      <c r="T1479" s="5">
        <f>_xlfn.XLOOKUP(CustomerCombined[[#This Row],[ID]], Table4[ID], Table4[Catalog], "Not Found", 0)</f>
        <v>0</v>
      </c>
      <c r="U1479" s="5">
        <f>_xlfn.XLOOKUP(CustomerCombined[[#This Row],[ID]], Table4[ID], Table4[Store], "Not Found", 0)</f>
        <v>3</v>
      </c>
      <c r="V1479" s="5">
        <f>_xlfn.XLOOKUP(CustomerCombined[[#This Row],[ID]], Table4[ID], Table4[Visits], "Not Found", 0)</f>
        <v>7</v>
      </c>
      <c r="W1479" s="8">
        <f>_xlfn.XLOOKUP(CustomerCombined[[#This Row],[ID]], Table2[ID],Table2[Complaint], "Not Found", 0 )</f>
        <v>0</v>
      </c>
      <c r="X1479" s="8">
        <f>_xlfn.XLOOKUP(CustomerCombined[[#This Row],[ID]], Table2[ID],Table2[Pilot], "Not Found", 0 )</f>
        <v>0</v>
      </c>
      <c r="Y1479" s="8">
        <f>_xlfn.XLOOKUP(CustomerCombined[[#This Row],[ID]], Table2[ID],Table2[MC1], "Not Found", 0 )</f>
        <v>0</v>
      </c>
      <c r="Z1479" s="8">
        <f>_xlfn.XLOOKUP(CustomerCombined[[#This Row],[ID]], Table2[ID],Table2[MC2], "Not Found", 0 )</f>
        <v>0</v>
      </c>
      <c r="AA1479" s="8">
        <f>_xlfn.XLOOKUP(CustomerCombined[[#This Row],[ID]], Table2[ID],Table2[MC3], "Not Found", 0 )</f>
        <v>0</v>
      </c>
      <c r="AB1479" s="8">
        <f>_xlfn.XLOOKUP(CustomerCombined[[#This Row],[ID]], Table2[ID],Table2[MC4], "Not Found", 0 )</f>
        <v>0</v>
      </c>
      <c r="AC1479" s="8">
        <f>_xlfn.XLOOKUP(CustomerCombined[[#This Row],[ID]], Table2[ID],Table2[MC5], "Not Found", 0 )</f>
        <v>0</v>
      </c>
    </row>
    <row r="1480" spans="1:29" x14ac:dyDescent="0.3">
      <c r="A1480" s="6">
        <v>2414</v>
      </c>
      <c r="B1480" s="6">
        <v>142523</v>
      </c>
      <c r="C1480" s="6">
        <v>0</v>
      </c>
      <c r="D1480" s="6">
        <v>0</v>
      </c>
      <c r="E1480" s="6">
        <v>56</v>
      </c>
      <c r="F1480" s="5" t="s">
        <v>6</v>
      </c>
      <c r="G1480" s="5" t="s">
        <v>11</v>
      </c>
      <c r="H1480" s="3" t="s">
        <v>59</v>
      </c>
      <c r="I1480" s="5" t="s">
        <v>438</v>
      </c>
      <c r="J1480" s="5">
        <f>_xlfn.XLOOKUP(CustomerCombined[[#This Row],[ID]], Table4[ID], Table4[Recency], "Not Found", 0)</f>
        <v>96</v>
      </c>
      <c r="K1480" s="5">
        <f>_xlfn.XLOOKUP(CustomerCombined[[#This Row],[ID]], Table4[ID], Table4[Teas], "Not Found", 0)</f>
        <v>47</v>
      </c>
      <c r="L1480" s="5">
        <f>_xlfn.XLOOKUP(CustomerCombined[[#This Row],[ID]], Table4[ID], Table4[Fruits], "Not Found", 0)</f>
        <v>121</v>
      </c>
      <c r="M1480" s="5">
        <f>_xlfn.XLOOKUP(CustomerCombined[[#This Row],[ID]], Table4[ID], Table4[Meats], "Not Found", 0)</f>
        <v>37</v>
      </c>
      <c r="N1480" s="5">
        <f>_xlfn.XLOOKUP(CustomerCombined[[#This Row],[ID]], Table4[ID], Table4[Seafood], "Not Found", 0)</f>
        <v>10</v>
      </c>
      <c r="O1480" s="5">
        <f>_xlfn.XLOOKUP(CustomerCombined[[#This Row],[ID]], Table4[ID], Table4[Sweets], "Not Found", 0)</f>
        <v>87</v>
      </c>
      <c r="P1480" s="5">
        <f>_xlfn.XLOOKUP(CustomerCombined[[#This Row],[ID]], Table4[ID], Table4[Premium], "Not Found", 0)</f>
        <v>117</v>
      </c>
      <c r="Q1480" s="5">
        <f>_xlfn.XLOOKUP(CustomerCombined[[#This Row],[ID]], Table4[ID], Table4[Regular], "Not Found", 0)</f>
        <v>184</v>
      </c>
      <c r="R1480" s="5">
        <f>_xlfn.XLOOKUP(CustomerCombined[[#This Row],[ID]], Table4[ID], Table4[Deals], "Not Found", 0)</f>
        <v>1</v>
      </c>
      <c r="S1480" s="5">
        <f>_xlfn.XLOOKUP(CustomerCombined[[#This Row],[ID]], Table4[ID], Table4[Website], "Not Found", 0)</f>
        <v>1</v>
      </c>
      <c r="T1480" s="5">
        <f>_xlfn.XLOOKUP(CustomerCombined[[#This Row],[ID]], Table4[ID], Table4[Catalog], "Not Found", 0)</f>
        <v>1</v>
      </c>
      <c r="U1480" s="5">
        <f>_xlfn.XLOOKUP(CustomerCombined[[#This Row],[ID]], Table4[ID], Table4[Store], "Not Found", 0)</f>
        <v>4</v>
      </c>
      <c r="V1480" s="5">
        <f>_xlfn.XLOOKUP(CustomerCombined[[#This Row],[ID]], Table4[ID], Table4[Visits], "Not Found", 0)</f>
        <v>2</v>
      </c>
      <c r="W1480" s="8">
        <f>_xlfn.XLOOKUP(CustomerCombined[[#This Row],[ID]], Table2[ID],Table2[Complaint], "Not Found", 0 )</f>
        <v>0</v>
      </c>
      <c r="X1480" s="8">
        <f>_xlfn.XLOOKUP(CustomerCombined[[#This Row],[ID]], Table2[ID],Table2[Pilot], "Not Found", 0 )</f>
        <v>0</v>
      </c>
      <c r="Y1480" s="8">
        <f>_xlfn.XLOOKUP(CustomerCombined[[#This Row],[ID]], Table2[ID],Table2[MC1], "Not Found", 0 )</f>
        <v>0</v>
      </c>
      <c r="Z1480" s="8">
        <f>_xlfn.XLOOKUP(CustomerCombined[[#This Row],[ID]], Table2[ID],Table2[MC2], "Not Found", 0 )</f>
        <v>0</v>
      </c>
      <c r="AA1480" s="8">
        <f>_xlfn.XLOOKUP(CustomerCombined[[#This Row],[ID]], Table2[ID],Table2[MC3], "Not Found", 0 )</f>
        <v>0</v>
      </c>
      <c r="AB1480" s="8">
        <f>_xlfn.XLOOKUP(CustomerCombined[[#This Row],[ID]], Table2[ID],Table2[MC4], "Not Found", 0 )</f>
        <v>0</v>
      </c>
      <c r="AC1480" s="8">
        <f>_xlfn.XLOOKUP(CustomerCombined[[#This Row],[ID]], Table2[ID],Table2[MC5], "Not Found", 0 )</f>
        <v>0</v>
      </c>
    </row>
    <row r="1481" spans="1:29" x14ac:dyDescent="0.3">
      <c r="A1481" s="6">
        <v>3150</v>
      </c>
      <c r="B1481" s="6">
        <v>142523</v>
      </c>
      <c r="C1481" s="6">
        <v>0</v>
      </c>
      <c r="D1481" s="6">
        <v>0</v>
      </c>
      <c r="E1481" s="6">
        <v>56</v>
      </c>
      <c r="F1481" s="5" t="s">
        <v>6</v>
      </c>
      <c r="G1481" s="5" t="s">
        <v>11</v>
      </c>
      <c r="H1481" s="3" t="s">
        <v>59</v>
      </c>
      <c r="I1481" s="5" t="s">
        <v>436</v>
      </c>
      <c r="J1481" s="5">
        <f>_xlfn.XLOOKUP(CustomerCombined[[#This Row],[ID]], Table4[ID], Table4[Recency], "Not Found", 0)</f>
        <v>96</v>
      </c>
      <c r="K1481" s="5">
        <f>_xlfn.XLOOKUP(CustomerCombined[[#This Row],[ID]], Table4[ID], Table4[Teas], "Not Found", 0)</f>
        <v>47</v>
      </c>
      <c r="L1481" s="5">
        <f>_xlfn.XLOOKUP(CustomerCombined[[#This Row],[ID]], Table4[ID], Table4[Fruits], "Not Found", 0)</f>
        <v>121</v>
      </c>
      <c r="M1481" s="5">
        <f>_xlfn.XLOOKUP(CustomerCombined[[#This Row],[ID]], Table4[ID], Table4[Meats], "Not Found", 0)</f>
        <v>37</v>
      </c>
      <c r="N1481" s="5">
        <f>_xlfn.XLOOKUP(CustomerCombined[[#This Row],[ID]], Table4[ID], Table4[Seafood], "Not Found", 0)</f>
        <v>10</v>
      </c>
      <c r="O1481" s="5">
        <f>_xlfn.XLOOKUP(CustomerCombined[[#This Row],[ID]], Table4[ID], Table4[Sweets], "Not Found", 0)</f>
        <v>87</v>
      </c>
      <c r="P1481" s="5">
        <f>_xlfn.XLOOKUP(CustomerCombined[[#This Row],[ID]], Table4[ID], Table4[Premium], "Not Found", 0)</f>
        <v>117</v>
      </c>
      <c r="Q1481" s="5">
        <f>_xlfn.XLOOKUP(CustomerCombined[[#This Row],[ID]], Table4[ID], Table4[Regular], "Not Found", 0)</f>
        <v>184</v>
      </c>
      <c r="R1481" s="5">
        <f>_xlfn.XLOOKUP(CustomerCombined[[#This Row],[ID]], Table4[ID], Table4[Deals], "Not Found", 0)</f>
        <v>1</v>
      </c>
      <c r="S1481" s="5">
        <f>_xlfn.XLOOKUP(CustomerCombined[[#This Row],[ID]], Table4[ID], Table4[Website], "Not Found", 0)</f>
        <v>1</v>
      </c>
      <c r="T1481" s="5">
        <f>_xlfn.XLOOKUP(CustomerCombined[[#This Row],[ID]], Table4[ID], Table4[Catalog], "Not Found", 0)</f>
        <v>1</v>
      </c>
      <c r="U1481" s="5">
        <f>_xlfn.XLOOKUP(CustomerCombined[[#This Row],[ID]], Table4[ID], Table4[Store], "Not Found", 0)</f>
        <v>4</v>
      </c>
      <c r="V1481" s="5">
        <f>_xlfn.XLOOKUP(CustomerCombined[[#This Row],[ID]], Table4[ID], Table4[Visits], "Not Found", 0)</f>
        <v>2</v>
      </c>
      <c r="W1481" s="8">
        <f>_xlfn.XLOOKUP(CustomerCombined[[#This Row],[ID]], Table2[ID],Table2[Complaint], "Not Found", 0 )</f>
        <v>0</v>
      </c>
      <c r="X1481" s="8">
        <f>_xlfn.XLOOKUP(CustomerCombined[[#This Row],[ID]], Table2[ID],Table2[Pilot], "Not Found", 0 )</f>
        <v>0</v>
      </c>
      <c r="Y1481" s="8">
        <f>_xlfn.XLOOKUP(CustomerCombined[[#This Row],[ID]], Table2[ID],Table2[MC1], "Not Found", 0 )</f>
        <v>0</v>
      </c>
      <c r="Z1481" s="8">
        <f>_xlfn.XLOOKUP(CustomerCombined[[#This Row],[ID]], Table2[ID],Table2[MC2], "Not Found", 0 )</f>
        <v>0</v>
      </c>
      <c r="AA1481" s="8">
        <f>_xlfn.XLOOKUP(CustomerCombined[[#This Row],[ID]], Table2[ID],Table2[MC3], "Not Found", 0 )</f>
        <v>0</v>
      </c>
      <c r="AB1481" s="8">
        <f>_xlfn.XLOOKUP(CustomerCombined[[#This Row],[ID]], Table2[ID],Table2[MC4], "Not Found", 0 )</f>
        <v>0</v>
      </c>
      <c r="AC1481" s="8">
        <f>_xlfn.XLOOKUP(CustomerCombined[[#This Row],[ID]], Table2[ID],Table2[MC5], "Not Found", 0 )</f>
        <v>0</v>
      </c>
    </row>
    <row r="1482" spans="1:29" x14ac:dyDescent="0.3">
      <c r="A1482" s="6">
        <v>3124</v>
      </c>
      <c r="B1482" s="6">
        <v>141713</v>
      </c>
      <c r="C1482" s="6">
        <v>1</v>
      </c>
      <c r="D1482" s="6">
        <v>1</v>
      </c>
      <c r="E1482" s="6">
        <v>56</v>
      </c>
      <c r="F1482" s="5" t="s">
        <v>5</v>
      </c>
      <c r="G1482" s="5" t="s">
        <v>442</v>
      </c>
      <c r="H1482" s="3">
        <v>43900</v>
      </c>
      <c r="I1482" s="5" t="s">
        <v>439</v>
      </c>
      <c r="J1482" s="5">
        <f>_xlfn.XLOOKUP(CustomerCombined[[#This Row],[ID]], Table4[ID], Table4[Recency], "Not Found", 0)</f>
        <v>57</v>
      </c>
      <c r="K1482" s="5">
        <f>_xlfn.XLOOKUP(CustomerCombined[[#This Row],[ID]], Table4[ID], Table4[Teas], "Not Found", 0)</f>
        <v>262</v>
      </c>
      <c r="L1482" s="5">
        <f>_xlfn.XLOOKUP(CustomerCombined[[#This Row],[ID]], Table4[ID], Table4[Fruits], "Not Found", 0)</f>
        <v>27</v>
      </c>
      <c r="M1482" s="5">
        <f>_xlfn.XLOOKUP(CustomerCombined[[#This Row],[ID]], Table4[ID], Table4[Meats], "Not Found", 0)</f>
        <v>149</v>
      </c>
      <c r="N1482" s="5">
        <f>_xlfn.XLOOKUP(CustomerCombined[[#This Row],[ID]], Table4[ID], Table4[Seafood], "Not Found", 0)</f>
        <v>34</v>
      </c>
      <c r="O1482" s="5">
        <f>_xlfn.XLOOKUP(CustomerCombined[[#This Row],[ID]], Table4[ID], Table4[Sweets], "Not Found", 0)</f>
        <v>34</v>
      </c>
      <c r="P1482" s="5">
        <f>_xlfn.XLOOKUP(CustomerCombined[[#This Row],[ID]], Table4[ID], Table4[Premium], "Not Found", 0)</f>
        <v>85</v>
      </c>
      <c r="Q1482" s="5">
        <f>_xlfn.XLOOKUP(CustomerCombined[[#This Row],[ID]], Table4[ID], Table4[Regular], "Not Found", 0)</f>
        <v>421</v>
      </c>
      <c r="R1482" s="5">
        <f>_xlfn.XLOOKUP(CustomerCombined[[#This Row],[ID]], Table4[ID], Table4[Deals], "Not Found", 0)</f>
        <v>5</v>
      </c>
      <c r="S1482" s="5">
        <f>_xlfn.XLOOKUP(CustomerCombined[[#This Row],[ID]], Table4[ID], Table4[Website], "Not Found", 0)</f>
        <v>3</v>
      </c>
      <c r="T1482" s="5">
        <f>_xlfn.XLOOKUP(CustomerCombined[[#This Row],[ID]], Table4[ID], Table4[Catalog], "Not Found", 0)</f>
        <v>1</v>
      </c>
      <c r="U1482" s="5">
        <f>_xlfn.XLOOKUP(CustomerCombined[[#This Row],[ID]], Table4[ID], Table4[Store], "Not Found", 0)</f>
        <v>4</v>
      </c>
      <c r="V1482" s="5">
        <f>_xlfn.XLOOKUP(CustomerCombined[[#This Row],[ID]], Table4[ID], Table4[Visits], "Not Found", 0)</f>
        <v>6</v>
      </c>
      <c r="W1482" s="8">
        <f>_xlfn.XLOOKUP(CustomerCombined[[#This Row],[ID]], Table2[ID],Table2[Complaint], "Not Found", 0 )</f>
        <v>0</v>
      </c>
      <c r="X1482" s="8">
        <f>_xlfn.XLOOKUP(CustomerCombined[[#This Row],[ID]], Table2[ID],Table2[Pilot], "Not Found", 0 )</f>
        <v>0</v>
      </c>
      <c r="Y1482" s="8">
        <f>_xlfn.XLOOKUP(CustomerCombined[[#This Row],[ID]], Table2[ID],Table2[MC1], "Not Found", 0 )</f>
        <v>0</v>
      </c>
      <c r="Z1482" s="8">
        <f>_xlfn.XLOOKUP(CustomerCombined[[#This Row],[ID]], Table2[ID],Table2[MC2], "Not Found", 0 )</f>
        <v>0</v>
      </c>
      <c r="AA1482" s="8">
        <f>_xlfn.XLOOKUP(CustomerCombined[[#This Row],[ID]], Table2[ID],Table2[MC3], "Not Found", 0 )</f>
        <v>0</v>
      </c>
      <c r="AB1482" s="8">
        <f>_xlfn.XLOOKUP(CustomerCombined[[#This Row],[ID]], Table2[ID],Table2[MC4], "Not Found", 0 )</f>
        <v>0</v>
      </c>
      <c r="AC1482" s="8">
        <f>_xlfn.XLOOKUP(CustomerCombined[[#This Row],[ID]], Table2[ID],Table2[MC5], "Not Found", 0 )</f>
        <v>0</v>
      </c>
    </row>
    <row r="1483" spans="1:29" x14ac:dyDescent="0.3">
      <c r="A1483" s="6">
        <v>2982</v>
      </c>
      <c r="B1483" s="6">
        <v>141638</v>
      </c>
      <c r="C1483" s="6">
        <v>0</v>
      </c>
      <c r="D1483" s="6">
        <v>1</v>
      </c>
      <c r="E1483" s="6">
        <v>56</v>
      </c>
      <c r="F1483" s="5" t="s">
        <v>5</v>
      </c>
      <c r="G1483" s="5" t="s">
        <v>11</v>
      </c>
      <c r="H1483" s="3" t="s">
        <v>310</v>
      </c>
      <c r="I1483" s="5" t="s">
        <v>436</v>
      </c>
      <c r="J1483" s="5">
        <f>_xlfn.XLOOKUP(CustomerCombined[[#This Row],[ID]], Table4[ID], Table4[Recency], "Not Found", 0)</f>
        <v>68</v>
      </c>
      <c r="K1483" s="5">
        <f>_xlfn.XLOOKUP(CustomerCombined[[#This Row],[ID]], Table4[ID], Table4[Teas], "Not Found", 0)</f>
        <v>1072</v>
      </c>
      <c r="L1483" s="5">
        <f>_xlfn.XLOOKUP(CustomerCombined[[#This Row],[ID]], Table4[ID], Table4[Fruits], "Not Found", 0)</f>
        <v>0</v>
      </c>
      <c r="M1483" s="5">
        <f>_xlfn.XLOOKUP(CustomerCombined[[#This Row],[ID]], Table4[ID], Table4[Meats], "Not Found", 0)</f>
        <v>105</v>
      </c>
      <c r="N1483" s="5">
        <f>_xlfn.XLOOKUP(CustomerCombined[[#This Row],[ID]], Table4[ID], Table4[Seafood], "Not Found", 0)</f>
        <v>14</v>
      </c>
      <c r="O1483" s="5">
        <f>_xlfn.XLOOKUP(CustomerCombined[[#This Row],[ID]], Table4[ID], Table4[Sweets], "Not Found", 0)</f>
        <v>0</v>
      </c>
      <c r="P1483" s="5">
        <f>_xlfn.XLOOKUP(CustomerCombined[[#This Row],[ID]], Table4[ID], Table4[Premium], "Not Found", 0)</f>
        <v>310</v>
      </c>
      <c r="Q1483" s="5">
        <f>_xlfn.XLOOKUP(CustomerCombined[[#This Row],[ID]], Table4[ID], Table4[Regular], "Not Found", 0)</f>
        <v>881</v>
      </c>
      <c r="R1483" s="5">
        <f>_xlfn.XLOOKUP(CustomerCombined[[#This Row],[ID]], Table4[ID], Table4[Deals], "Not Found", 0)</f>
        <v>4</v>
      </c>
      <c r="S1483" s="5">
        <f>_xlfn.XLOOKUP(CustomerCombined[[#This Row],[ID]], Table4[ID], Table4[Website], "Not Found", 0)</f>
        <v>5</v>
      </c>
      <c r="T1483" s="5">
        <f>_xlfn.XLOOKUP(CustomerCombined[[#This Row],[ID]], Table4[ID], Table4[Catalog], "Not Found", 0)</f>
        <v>5</v>
      </c>
      <c r="U1483" s="5">
        <f>_xlfn.XLOOKUP(CustomerCombined[[#This Row],[ID]], Table4[ID], Table4[Store], "Not Found", 0)</f>
        <v>3</v>
      </c>
      <c r="V1483" s="5">
        <f>_xlfn.XLOOKUP(CustomerCombined[[#This Row],[ID]], Table4[ID], Table4[Visits], "Not Found", 0)</f>
        <v>8</v>
      </c>
      <c r="W1483" s="8">
        <f>_xlfn.XLOOKUP(CustomerCombined[[#This Row],[ID]], Table2[ID],Table2[Complaint], "Not Found", 0 )</f>
        <v>0</v>
      </c>
      <c r="X1483" s="8">
        <f>_xlfn.XLOOKUP(CustomerCombined[[#This Row],[ID]], Table2[ID],Table2[Pilot], "Not Found", 0 )</f>
        <v>0</v>
      </c>
      <c r="Y1483" s="8">
        <f>_xlfn.XLOOKUP(CustomerCombined[[#This Row],[ID]], Table2[ID],Table2[MC1], "Not Found", 0 )</f>
        <v>0</v>
      </c>
      <c r="Z1483" s="8">
        <f>_xlfn.XLOOKUP(CustomerCombined[[#This Row],[ID]], Table2[ID],Table2[MC2], "Not Found", 0 )</f>
        <v>0</v>
      </c>
      <c r="AA1483" s="8">
        <f>_xlfn.XLOOKUP(CustomerCombined[[#This Row],[ID]], Table2[ID],Table2[MC3], "Not Found", 0 )</f>
        <v>1</v>
      </c>
      <c r="AB1483" s="8">
        <f>_xlfn.XLOOKUP(CustomerCombined[[#This Row],[ID]], Table2[ID],Table2[MC4], "Not Found", 0 )</f>
        <v>0</v>
      </c>
      <c r="AC1483" s="8">
        <f>_xlfn.XLOOKUP(CustomerCombined[[#This Row],[ID]], Table2[ID],Table2[MC5], "Not Found", 0 )</f>
        <v>0</v>
      </c>
    </row>
    <row r="1484" spans="1:29" x14ac:dyDescent="0.3">
      <c r="A1484" s="6">
        <v>1124</v>
      </c>
      <c r="B1484" s="6">
        <v>141551</v>
      </c>
      <c r="C1484" s="6">
        <v>1</v>
      </c>
      <c r="D1484" s="6">
        <v>1</v>
      </c>
      <c r="E1484" s="6">
        <v>56</v>
      </c>
      <c r="F1484" s="5" t="s">
        <v>6</v>
      </c>
      <c r="G1484" s="5" t="s">
        <v>13</v>
      </c>
      <c r="H1484" s="3" t="s">
        <v>203</v>
      </c>
      <c r="I1484" s="5" t="s">
        <v>438</v>
      </c>
      <c r="J1484" s="5">
        <f>_xlfn.XLOOKUP(CustomerCombined[[#This Row],[ID]], Table4[ID], Table4[Recency], "Not Found", 0)</f>
        <v>51</v>
      </c>
      <c r="K1484" s="5">
        <f>_xlfn.XLOOKUP(CustomerCombined[[#This Row],[ID]], Table4[ID], Table4[Teas], "Not Found", 0)</f>
        <v>749</v>
      </c>
      <c r="L1484" s="5">
        <f>_xlfn.XLOOKUP(CustomerCombined[[#This Row],[ID]], Table4[ID], Table4[Fruits], "Not Found", 0)</f>
        <v>0</v>
      </c>
      <c r="M1484" s="5">
        <f>_xlfn.XLOOKUP(CustomerCombined[[#This Row],[ID]], Table4[ID], Table4[Meats], "Not Found", 0)</f>
        <v>112</v>
      </c>
      <c r="N1484" s="5">
        <f>_xlfn.XLOOKUP(CustomerCombined[[#This Row],[ID]], Table4[ID], Table4[Seafood], "Not Found", 0)</f>
        <v>10</v>
      </c>
      <c r="O1484" s="5">
        <f>_xlfn.XLOOKUP(CustomerCombined[[#This Row],[ID]], Table4[ID], Table4[Sweets], "Not Found", 0)</f>
        <v>0</v>
      </c>
      <c r="P1484" s="5">
        <f>_xlfn.XLOOKUP(CustomerCombined[[#This Row],[ID]], Table4[ID], Table4[Premium], "Not Found", 0)</f>
        <v>78</v>
      </c>
      <c r="Q1484" s="5">
        <f>_xlfn.XLOOKUP(CustomerCombined[[#This Row],[ID]], Table4[ID], Table4[Regular], "Not Found", 0)</f>
        <v>794</v>
      </c>
      <c r="R1484" s="5">
        <f>_xlfn.XLOOKUP(CustomerCombined[[#This Row],[ID]], Table4[ID], Table4[Deals], "Not Found", 0)</f>
        <v>5</v>
      </c>
      <c r="S1484" s="5">
        <f>_xlfn.XLOOKUP(CustomerCombined[[#This Row],[ID]], Table4[ID], Table4[Website], "Not Found", 0)</f>
        <v>5</v>
      </c>
      <c r="T1484" s="5">
        <f>_xlfn.XLOOKUP(CustomerCombined[[#This Row],[ID]], Table4[ID], Table4[Catalog], "Not Found", 0)</f>
        <v>1</v>
      </c>
      <c r="U1484" s="5">
        <f>_xlfn.XLOOKUP(CustomerCombined[[#This Row],[ID]], Table4[ID], Table4[Store], "Not Found", 0)</f>
        <v>5</v>
      </c>
      <c r="V1484" s="5">
        <f>_xlfn.XLOOKUP(CustomerCombined[[#This Row],[ID]], Table4[ID], Table4[Visits], "Not Found", 0)</f>
        <v>8</v>
      </c>
      <c r="W1484" s="8">
        <f>_xlfn.XLOOKUP(CustomerCombined[[#This Row],[ID]], Table2[ID],Table2[Complaint], "Not Found", 0 )</f>
        <v>0</v>
      </c>
      <c r="X1484" s="8">
        <f>_xlfn.XLOOKUP(CustomerCombined[[#This Row],[ID]], Table2[ID],Table2[Pilot], "Not Found", 0 )</f>
        <v>0</v>
      </c>
      <c r="Y1484" s="8">
        <f>_xlfn.XLOOKUP(CustomerCombined[[#This Row],[ID]], Table2[ID],Table2[MC1], "Not Found", 0 )</f>
        <v>0</v>
      </c>
      <c r="Z1484" s="8">
        <f>_xlfn.XLOOKUP(CustomerCombined[[#This Row],[ID]], Table2[ID],Table2[MC2], "Not Found", 0 )</f>
        <v>0</v>
      </c>
      <c r="AA1484" s="8">
        <f>_xlfn.XLOOKUP(CustomerCombined[[#This Row],[ID]], Table2[ID],Table2[MC3], "Not Found", 0 )</f>
        <v>0</v>
      </c>
      <c r="AB1484" s="8">
        <f>_xlfn.XLOOKUP(CustomerCombined[[#This Row],[ID]], Table2[ID],Table2[MC4], "Not Found", 0 )</f>
        <v>0</v>
      </c>
      <c r="AC1484" s="8">
        <f>_xlfn.XLOOKUP(CustomerCombined[[#This Row],[ID]], Table2[ID],Table2[MC5], "Not Found", 0 )</f>
        <v>0</v>
      </c>
    </row>
    <row r="1485" spans="1:29" x14ac:dyDescent="0.3">
      <c r="A1485" s="6">
        <v>2258</v>
      </c>
      <c r="B1485" s="6">
        <v>140800</v>
      </c>
      <c r="C1485" s="6">
        <v>1</v>
      </c>
      <c r="D1485" s="6">
        <v>2</v>
      </c>
      <c r="E1485" s="6">
        <v>56</v>
      </c>
      <c r="F1485" s="5" t="s">
        <v>6</v>
      </c>
      <c r="G1485" s="5" t="s">
        <v>11</v>
      </c>
      <c r="H1485" s="3">
        <v>43683</v>
      </c>
      <c r="I1485" s="5" t="s">
        <v>438</v>
      </c>
      <c r="J1485" s="5">
        <f>_xlfn.XLOOKUP(CustomerCombined[[#This Row],[ID]], Table4[ID], Table4[Recency], "Not Found", 0)</f>
        <v>77</v>
      </c>
      <c r="K1485" s="5">
        <f>_xlfn.XLOOKUP(CustomerCombined[[#This Row],[ID]], Table4[ID], Table4[Teas], "Not Found", 0)</f>
        <v>83</v>
      </c>
      <c r="L1485" s="5">
        <f>_xlfn.XLOOKUP(CustomerCombined[[#This Row],[ID]], Table4[ID], Table4[Fruits], "Not Found", 0)</f>
        <v>0</v>
      </c>
      <c r="M1485" s="5">
        <f>_xlfn.XLOOKUP(CustomerCombined[[#This Row],[ID]], Table4[ID], Table4[Meats], "Not Found", 0)</f>
        <v>93</v>
      </c>
      <c r="N1485" s="5">
        <f>_xlfn.XLOOKUP(CustomerCombined[[#This Row],[ID]], Table4[ID], Table4[Seafood], "Not Found", 0)</f>
        <v>28</v>
      </c>
      <c r="O1485" s="5">
        <f>_xlfn.XLOOKUP(CustomerCombined[[#This Row],[ID]], Table4[ID], Table4[Sweets], "Not Found", 0)</f>
        <v>104</v>
      </c>
      <c r="P1485" s="5">
        <f>_xlfn.XLOOKUP(CustomerCombined[[#This Row],[ID]], Table4[ID], Table4[Premium], "Not Found", 0)</f>
        <v>35</v>
      </c>
      <c r="Q1485" s="5">
        <f>_xlfn.XLOOKUP(CustomerCombined[[#This Row],[ID]], Table4[ID], Table4[Regular], "Not Found", 0)</f>
        <v>273</v>
      </c>
      <c r="R1485" s="5">
        <f>_xlfn.XLOOKUP(CustomerCombined[[#This Row],[ID]], Table4[ID], Table4[Deals], "Not Found", 0)</f>
        <v>2</v>
      </c>
      <c r="S1485" s="5">
        <f>_xlfn.XLOOKUP(CustomerCombined[[#This Row],[ID]], Table4[ID], Table4[Website], "Not Found", 0)</f>
        <v>3</v>
      </c>
      <c r="T1485" s="5">
        <f>_xlfn.XLOOKUP(CustomerCombined[[#This Row],[ID]], Table4[ID], Table4[Catalog], "Not Found", 0)</f>
        <v>0</v>
      </c>
      <c r="U1485" s="5">
        <f>_xlfn.XLOOKUP(CustomerCombined[[#This Row],[ID]], Table4[ID], Table4[Store], "Not Found", 0)</f>
        <v>3</v>
      </c>
      <c r="V1485" s="5">
        <f>_xlfn.XLOOKUP(CustomerCombined[[#This Row],[ID]], Table4[ID], Table4[Visits], "Not Found", 0)</f>
        <v>7</v>
      </c>
      <c r="W1485" s="8">
        <f>_xlfn.XLOOKUP(CustomerCombined[[#This Row],[ID]], Table2[ID],Table2[Complaint], "Not Found", 0 )</f>
        <v>1</v>
      </c>
      <c r="X1485" s="8">
        <f>_xlfn.XLOOKUP(CustomerCombined[[#This Row],[ID]], Table2[ID],Table2[Pilot], "Not Found", 0 )</f>
        <v>0</v>
      </c>
      <c r="Y1485" s="8">
        <f>_xlfn.XLOOKUP(CustomerCombined[[#This Row],[ID]], Table2[ID],Table2[MC1], "Not Found", 0 )</f>
        <v>0</v>
      </c>
      <c r="Z1485" s="8">
        <f>_xlfn.XLOOKUP(CustomerCombined[[#This Row],[ID]], Table2[ID],Table2[MC2], "Not Found", 0 )</f>
        <v>0</v>
      </c>
      <c r="AA1485" s="8">
        <f>_xlfn.XLOOKUP(CustomerCombined[[#This Row],[ID]], Table2[ID],Table2[MC3], "Not Found", 0 )</f>
        <v>0</v>
      </c>
      <c r="AB1485" s="8">
        <f>_xlfn.XLOOKUP(CustomerCombined[[#This Row],[ID]], Table2[ID],Table2[MC4], "Not Found", 0 )</f>
        <v>0</v>
      </c>
      <c r="AC1485" s="8">
        <f>_xlfn.XLOOKUP(CustomerCombined[[#This Row],[ID]], Table2[ID],Table2[MC5], "Not Found", 0 )</f>
        <v>0</v>
      </c>
    </row>
    <row r="1486" spans="1:29" x14ac:dyDescent="0.3">
      <c r="A1486" s="6">
        <v>1232</v>
      </c>
      <c r="B1486" s="6">
        <v>131686</v>
      </c>
      <c r="C1486" s="6">
        <v>1</v>
      </c>
      <c r="D1486" s="6">
        <v>1</v>
      </c>
      <c r="E1486" s="6">
        <v>56</v>
      </c>
      <c r="F1486" s="5" t="s">
        <v>6</v>
      </c>
      <c r="G1486" s="5" t="s">
        <v>13</v>
      </c>
      <c r="H1486" s="3">
        <v>44085</v>
      </c>
      <c r="I1486" s="5" t="s">
        <v>438</v>
      </c>
      <c r="J1486" s="5">
        <f>_xlfn.XLOOKUP(CustomerCombined[[#This Row],[ID]], Table4[ID], Table4[Recency], "Not Found", 0)</f>
        <v>31</v>
      </c>
      <c r="K1486" s="5">
        <f>_xlfn.XLOOKUP(CustomerCombined[[#This Row],[ID]], Table4[ID], Table4[Teas], "Not Found", 0)</f>
        <v>46</v>
      </c>
      <c r="L1486" s="5">
        <f>_xlfn.XLOOKUP(CustomerCombined[[#This Row],[ID]], Table4[ID], Table4[Fruits], "Not Found", 0)</f>
        <v>0</v>
      </c>
      <c r="M1486" s="5">
        <f>_xlfn.XLOOKUP(CustomerCombined[[#This Row],[ID]], Table4[ID], Table4[Meats], "Not Found", 0)</f>
        <v>21</v>
      </c>
      <c r="N1486" s="5">
        <f>_xlfn.XLOOKUP(CustomerCombined[[#This Row],[ID]], Table4[ID], Table4[Seafood], "Not Found", 0)</f>
        <v>0</v>
      </c>
      <c r="O1486" s="5">
        <f>_xlfn.XLOOKUP(CustomerCombined[[#This Row],[ID]], Table4[ID], Table4[Sweets], "Not Found", 0)</f>
        <v>0</v>
      </c>
      <c r="P1486" s="5">
        <f>_xlfn.XLOOKUP(CustomerCombined[[#This Row],[ID]], Table4[ID], Table4[Premium], "Not Found", 0)</f>
        <v>4</v>
      </c>
      <c r="Q1486" s="5">
        <f>_xlfn.XLOOKUP(CustomerCombined[[#This Row],[ID]], Table4[ID], Table4[Regular], "Not Found", 0)</f>
        <v>62</v>
      </c>
      <c r="R1486" s="5">
        <f>_xlfn.XLOOKUP(CustomerCombined[[#This Row],[ID]], Table4[ID], Table4[Deals], "Not Found", 0)</f>
        <v>2</v>
      </c>
      <c r="S1486" s="5">
        <f>_xlfn.XLOOKUP(CustomerCombined[[#This Row],[ID]], Table4[ID], Table4[Website], "Not Found", 0)</f>
        <v>1</v>
      </c>
      <c r="T1486" s="5">
        <f>_xlfn.XLOOKUP(CustomerCombined[[#This Row],[ID]], Table4[ID], Table4[Catalog], "Not Found", 0)</f>
        <v>0</v>
      </c>
      <c r="U1486" s="5">
        <f>_xlfn.XLOOKUP(CustomerCombined[[#This Row],[ID]], Table4[ID], Table4[Store], "Not Found", 0)</f>
        <v>3</v>
      </c>
      <c r="V1486" s="5">
        <f>_xlfn.XLOOKUP(CustomerCombined[[#This Row],[ID]], Table4[ID], Table4[Visits], "Not Found", 0)</f>
        <v>6</v>
      </c>
      <c r="W1486" s="8">
        <f>_xlfn.XLOOKUP(CustomerCombined[[#This Row],[ID]], Table2[ID],Table2[Complaint], "Not Found", 0 )</f>
        <v>0</v>
      </c>
      <c r="X1486" s="8">
        <f>_xlfn.XLOOKUP(CustomerCombined[[#This Row],[ID]], Table2[ID],Table2[Pilot], "Not Found", 0 )</f>
        <v>0</v>
      </c>
      <c r="Y1486" s="8">
        <f>_xlfn.XLOOKUP(CustomerCombined[[#This Row],[ID]], Table2[ID],Table2[MC1], "Not Found", 0 )</f>
        <v>0</v>
      </c>
      <c r="Z1486" s="8">
        <f>_xlfn.XLOOKUP(CustomerCombined[[#This Row],[ID]], Table2[ID],Table2[MC2], "Not Found", 0 )</f>
        <v>0</v>
      </c>
      <c r="AA1486" s="8">
        <f>_xlfn.XLOOKUP(CustomerCombined[[#This Row],[ID]], Table2[ID],Table2[MC3], "Not Found", 0 )</f>
        <v>0</v>
      </c>
      <c r="AB1486" s="8">
        <f>_xlfn.XLOOKUP(CustomerCombined[[#This Row],[ID]], Table2[ID],Table2[MC4], "Not Found", 0 )</f>
        <v>0</v>
      </c>
      <c r="AC1486" s="8">
        <f>_xlfn.XLOOKUP(CustomerCombined[[#This Row],[ID]], Table2[ID],Table2[MC5], "Not Found", 0 )</f>
        <v>0</v>
      </c>
    </row>
    <row r="1487" spans="1:29" x14ac:dyDescent="0.3">
      <c r="A1487" s="6">
        <v>1245</v>
      </c>
      <c r="B1487" s="6">
        <v>118701</v>
      </c>
      <c r="C1487" s="6">
        <v>1</v>
      </c>
      <c r="D1487" s="6">
        <v>1</v>
      </c>
      <c r="E1487" s="6">
        <v>56</v>
      </c>
      <c r="F1487" s="5" t="s">
        <v>7</v>
      </c>
      <c r="G1487" s="5" t="s">
        <v>11</v>
      </c>
      <c r="H1487" s="3">
        <v>43719</v>
      </c>
      <c r="I1487" s="5" t="s">
        <v>435</v>
      </c>
      <c r="J1487" s="5">
        <f>_xlfn.XLOOKUP(CustomerCombined[[#This Row],[ID]], Table4[ID], Table4[Recency], "Not Found", 0)</f>
        <v>95</v>
      </c>
      <c r="K1487" s="5">
        <f>_xlfn.XLOOKUP(CustomerCombined[[#This Row],[ID]], Table4[ID], Table4[Teas], "Not Found", 0)</f>
        <v>76</v>
      </c>
      <c r="L1487" s="5">
        <f>_xlfn.XLOOKUP(CustomerCombined[[#This Row],[ID]], Table4[ID], Table4[Fruits], "Not Found", 0)</f>
        <v>25</v>
      </c>
      <c r="M1487" s="5">
        <f>_xlfn.XLOOKUP(CustomerCombined[[#This Row],[ID]], Table4[ID], Table4[Meats], "Not Found", 0)</f>
        <v>13</v>
      </c>
      <c r="N1487" s="5">
        <f>_xlfn.XLOOKUP(CustomerCombined[[#This Row],[ID]], Table4[ID], Table4[Seafood], "Not Found", 0)</f>
        <v>63</v>
      </c>
      <c r="O1487" s="5">
        <f>_xlfn.XLOOKUP(CustomerCombined[[#This Row],[ID]], Table4[ID], Table4[Sweets], "Not Found", 0)</f>
        <v>38</v>
      </c>
      <c r="P1487" s="5">
        <f>_xlfn.XLOOKUP(CustomerCombined[[#This Row],[ID]], Table4[ID], Table4[Premium], "Not Found", 0)</f>
        <v>63</v>
      </c>
      <c r="Q1487" s="5">
        <f>_xlfn.XLOOKUP(CustomerCombined[[#This Row],[ID]], Table4[ID], Table4[Regular], "Not Found", 0)</f>
        <v>152</v>
      </c>
      <c r="R1487" s="5">
        <f>_xlfn.XLOOKUP(CustomerCombined[[#This Row],[ID]], Table4[ID], Table4[Deals], "Not Found", 0)</f>
        <v>4</v>
      </c>
      <c r="S1487" s="5">
        <f>_xlfn.XLOOKUP(CustomerCombined[[#This Row],[ID]], Table4[ID], Table4[Website], "Not Found", 0)</f>
        <v>2</v>
      </c>
      <c r="T1487" s="5">
        <f>_xlfn.XLOOKUP(CustomerCombined[[#This Row],[ID]], Table4[ID], Table4[Catalog], "Not Found", 0)</f>
        <v>0</v>
      </c>
      <c r="U1487" s="5">
        <f>_xlfn.XLOOKUP(CustomerCombined[[#This Row],[ID]], Table4[ID], Table4[Store], "Not Found", 0)</f>
        <v>4</v>
      </c>
      <c r="V1487" s="5">
        <f>_xlfn.XLOOKUP(CustomerCombined[[#This Row],[ID]], Table4[ID], Table4[Visits], "Not Found", 0)</f>
        <v>5</v>
      </c>
      <c r="W1487" s="8">
        <f>_xlfn.XLOOKUP(CustomerCombined[[#This Row],[ID]], Table2[ID],Table2[Complaint], "Not Found", 0 )</f>
        <v>0</v>
      </c>
      <c r="X1487" s="8">
        <f>_xlfn.XLOOKUP(CustomerCombined[[#This Row],[ID]], Table2[ID],Table2[Pilot], "Not Found", 0 )</f>
        <v>0</v>
      </c>
      <c r="Y1487" s="8">
        <f>_xlfn.XLOOKUP(CustomerCombined[[#This Row],[ID]], Table2[ID],Table2[MC1], "Not Found", 0 )</f>
        <v>0</v>
      </c>
      <c r="Z1487" s="8">
        <f>_xlfn.XLOOKUP(CustomerCombined[[#This Row],[ID]], Table2[ID],Table2[MC2], "Not Found", 0 )</f>
        <v>0</v>
      </c>
      <c r="AA1487" s="8">
        <f>_xlfn.XLOOKUP(CustomerCombined[[#This Row],[ID]], Table2[ID],Table2[MC3], "Not Found", 0 )</f>
        <v>0</v>
      </c>
      <c r="AB1487" s="8">
        <f>_xlfn.XLOOKUP(CustomerCombined[[#This Row],[ID]], Table2[ID],Table2[MC4], "Not Found", 0 )</f>
        <v>0</v>
      </c>
      <c r="AC1487" s="8">
        <f>_xlfn.XLOOKUP(CustomerCombined[[#This Row],[ID]], Table2[ID],Table2[MC5], "Not Found", 0 )</f>
        <v>0</v>
      </c>
    </row>
    <row r="1488" spans="1:29" x14ac:dyDescent="0.3">
      <c r="A1488" s="6">
        <v>2782</v>
      </c>
      <c r="B1488" s="6">
        <v>118701</v>
      </c>
      <c r="C1488" s="6">
        <v>1</v>
      </c>
      <c r="D1488" s="6">
        <v>1</v>
      </c>
      <c r="E1488" s="6">
        <v>56</v>
      </c>
      <c r="F1488" s="5" t="s">
        <v>7</v>
      </c>
      <c r="G1488" s="5" t="s">
        <v>11</v>
      </c>
      <c r="H1488" s="3">
        <v>43719</v>
      </c>
      <c r="I1488" s="5" t="s">
        <v>439</v>
      </c>
      <c r="J1488" s="5">
        <f>_xlfn.XLOOKUP(CustomerCombined[[#This Row],[ID]], Table4[ID], Table4[Recency], "Not Found", 0)</f>
        <v>95</v>
      </c>
      <c r="K1488" s="5">
        <f>_xlfn.XLOOKUP(CustomerCombined[[#This Row],[ID]], Table4[ID], Table4[Teas], "Not Found", 0)</f>
        <v>76</v>
      </c>
      <c r="L1488" s="5">
        <f>_xlfn.XLOOKUP(CustomerCombined[[#This Row],[ID]], Table4[ID], Table4[Fruits], "Not Found", 0)</f>
        <v>25</v>
      </c>
      <c r="M1488" s="5">
        <f>_xlfn.XLOOKUP(CustomerCombined[[#This Row],[ID]], Table4[ID], Table4[Meats], "Not Found", 0)</f>
        <v>13</v>
      </c>
      <c r="N1488" s="5">
        <f>_xlfn.XLOOKUP(CustomerCombined[[#This Row],[ID]], Table4[ID], Table4[Seafood], "Not Found", 0)</f>
        <v>63</v>
      </c>
      <c r="O1488" s="5">
        <f>_xlfn.XLOOKUP(CustomerCombined[[#This Row],[ID]], Table4[ID], Table4[Sweets], "Not Found", 0)</f>
        <v>38</v>
      </c>
      <c r="P1488" s="5">
        <f>_xlfn.XLOOKUP(CustomerCombined[[#This Row],[ID]], Table4[ID], Table4[Premium], "Not Found", 0)</f>
        <v>63</v>
      </c>
      <c r="Q1488" s="5">
        <f>_xlfn.XLOOKUP(CustomerCombined[[#This Row],[ID]], Table4[ID], Table4[Regular], "Not Found", 0)</f>
        <v>152</v>
      </c>
      <c r="R1488" s="5">
        <f>_xlfn.XLOOKUP(CustomerCombined[[#This Row],[ID]], Table4[ID], Table4[Deals], "Not Found", 0)</f>
        <v>4</v>
      </c>
      <c r="S1488" s="5">
        <f>_xlfn.XLOOKUP(CustomerCombined[[#This Row],[ID]], Table4[ID], Table4[Website], "Not Found", 0)</f>
        <v>2</v>
      </c>
      <c r="T1488" s="5">
        <f>_xlfn.XLOOKUP(CustomerCombined[[#This Row],[ID]], Table4[ID], Table4[Catalog], "Not Found", 0)</f>
        <v>0</v>
      </c>
      <c r="U1488" s="5">
        <f>_xlfn.XLOOKUP(CustomerCombined[[#This Row],[ID]], Table4[ID], Table4[Store], "Not Found", 0)</f>
        <v>4</v>
      </c>
      <c r="V1488" s="5">
        <f>_xlfn.XLOOKUP(CustomerCombined[[#This Row],[ID]], Table4[ID], Table4[Visits], "Not Found", 0)</f>
        <v>5</v>
      </c>
      <c r="W1488" s="8">
        <f>_xlfn.XLOOKUP(CustomerCombined[[#This Row],[ID]], Table2[ID],Table2[Complaint], "Not Found", 0 )</f>
        <v>0</v>
      </c>
      <c r="X1488" s="8">
        <f>_xlfn.XLOOKUP(CustomerCombined[[#This Row],[ID]], Table2[ID],Table2[Pilot], "Not Found", 0 )</f>
        <v>0</v>
      </c>
      <c r="Y1488" s="8">
        <f>_xlfn.XLOOKUP(CustomerCombined[[#This Row],[ID]], Table2[ID],Table2[MC1], "Not Found", 0 )</f>
        <v>0</v>
      </c>
      <c r="Z1488" s="8">
        <f>_xlfn.XLOOKUP(CustomerCombined[[#This Row],[ID]], Table2[ID],Table2[MC2], "Not Found", 0 )</f>
        <v>0</v>
      </c>
      <c r="AA1488" s="8">
        <f>_xlfn.XLOOKUP(CustomerCombined[[#This Row],[ID]], Table2[ID],Table2[MC3], "Not Found", 0 )</f>
        <v>0</v>
      </c>
      <c r="AB1488" s="8">
        <f>_xlfn.XLOOKUP(CustomerCombined[[#This Row],[ID]], Table2[ID],Table2[MC4], "Not Found", 0 )</f>
        <v>0</v>
      </c>
      <c r="AC1488" s="8">
        <f>_xlfn.XLOOKUP(CustomerCombined[[#This Row],[ID]], Table2[ID],Table2[MC5], "Not Found", 0 )</f>
        <v>0</v>
      </c>
    </row>
    <row r="1489" spans="1:29" x14ac:dyDescent="0.3">
      <c r="A1489" s="6">
        <v>1658</v>
      </c>
      <c r="B1489" s="6">
        <v>181300</v>
      </c>
      <c r="C1489" s="6">
        <v>0</v>
      </c>
      <c r="D1489" s="6">
        <v>1</v>
      </c>
      <c r="E1489" s="6">
        <v>57</v>
      </c>
      <c r="F1489" s="5" t="s">
        <v>6</v>
      </c>
      <c r="G1489" s="5" t="s">
        <v>13</v>
      </c>
      <c r="H1489" s="3">
        <v>43620</v>
      </c>
      <c r="I1489" s="5" t="s">
        <v>438</v>
      </c>
      <c r="J1489" s="5">
        <f>_xlfn.XLOOKUP(CustomerCombined[[#This Row],[ID]], Table4[ID], Table4[Recency], "Not Found", 0)</f>
        <v>17</v>
      </c>
      <c r="K1489" s="5">
        <f>_xlfn.XLOOKUP(CustomerCombined[[#This Row],[ID]], Table4[ID], Table4[Teas], "Not Found", 0)</f>
        <v>2239</v>
      </c>
      <c r="L1489" s="5">
        <f>_xlfn.XLOOKUP(CustomerCombined[[#This Row],[ID]], Table4[ID], Table4[Fruits], "Not Found", 0)</f>
        <v>27</v>
      </c>
      <c r="M1489" s="5">
        <f>_xlfn.XLOOKUP(CustomerCombined[[#This Row],[ID]], Table4[ID], Table4[Meats], "Not Found", 0)</f>
        <v>323</v>
      </c>
      <c r="N1489" s="5">
        <f>_xlfn.XLOOKUP(CustomerCombined[[#This Row],[ID]], Table4[ID], Table4[Seafood], "Not Found", 0)</f>
        <v>71</v>
      </c>
      <c r="O1489" s="5">
        <f>_xlfn.XLOOKUP(CustomerCombined[[#This Row],[ID]], Table4[ID], Table4[Sweets], "Not Found", 0)</f>
        <v>27</v>
      </c>
      <c r="P1489" s="5">
        <f>_xlfn.XLOOKUP(CustomerCombined[[#This Row],[ID]], Table4[ID], Table4[Premium], "Not Found", 0)</f>
        <v>80</v>
      </c>
      <c r="Q1489" s="5">
        <f>_xlfn.XLOOKUP(CustomerCombined[[#This Row],[ID]], Table4[ID], Table4[Regular], "Not Found", 0)</f>
        <v>2607</v>
      </c>
      <c r="R1489" s="5">
        <f>_xlfn.XLOOKUP(CustomerCombined[[#This Row],[ID]], Table4[ID], Table4[Deals], "Not Found", 0)</f>
        <v>3</v>
      </c>
      <c r="S1489" s="5">
        <f>_xlfn.XLOOKUP(CustomerCombined[[#This Row],[ID]], Table4[ID], Table4[Website], "Not Found", 0)</f>
        <v>10</v>
      </c>
      <c r="T1489" s="5">
        <f>_xlfn.XLOOKUP(CustomerCombined[[#This Row],[ID]], Table4[ID], Table4[Catalog], "Not Found", 0)</f>
        <v>3</v>
      </c>
      <c r="U1489" s="5">
        <f>_xlfn.XLOOKUP(CustomerCombined[[#This Row],[ID]], Table4[ID], Table4[Store], "Not Found", 0)</f>
        <v>5</v>
      </c>
      <c r="V1489" s="5">
        <f>_xlfn.XLOOKUP(CustomerCombined[[#This Row],[ID]], Table4[ID], Table4[Visits], "Not Found", 0)</f>
        <v>5</v>
      </c>
      <c r="W1489" s="8">
        <f>_xlfn.XLOOKUP(CustomerCombined[[#This Row],[ID]], Table2[ID],Table2[Complaint], "Not Found", 0 )</f>
        <v>0</v>
      </c>
      <c r="X1489" s="8">
        <f>_xlfn.XLOOKUP(CustomerCombined[[#This Row],[ID]], Table2[ID],Table2[Pilot], "Not Found", 0 )</f>
        <v>1</v>
      </c>
      <c r="Y1489" s="8">
        <f>_xlfn.XLOOKUP(CustomerCombined[[#This Row],[ID]], Table2[ID],Table2[MC1], "Not Found", 0 )</f>
        <v>1</v>
      </c>
      <c r="Z1489" s="8">
        <f>_xlfn.XLOOKUP(CustomerCombined[[#This Row],[ID]], Table2[ID],Table2[MC2], "Not Found", 0 )</f>
        <v>0</v>
      </c>
      <c r="AA1489" s="8">
        <f>_xlfn.XLOOKUP(CustomerCombined[[#This Row],[ID]], Table2[ID],Table2[MC3], "Not Found", 0 )</f>
        <v>0</v>
      </c>
      <c r="AB1489" s="8">
        <f>_xlfn.XLOOKUP(CustomerCombined[[#This Row],[ID]], Table2[ID],Table2[MC4], "Not Found", 0 )</f>
        <v>0</v>
      </c>
      <c r="AC1489" s="8">
        <f>_xlfn.XLOOKUP(CustomerCombined[[#This Row],[ID]], Table2[ID],Table2[MC5], "Not Found", 0 )</f>
        <v>0</v>
      </c>
    </row>
    <row r="1490" spans="1:29" x14ac:dyDescent="0.3">
      <c r="A1490" s="6">
        <v>2338</v>
      </c>
      <c r="B1490" s="6">
        <v>180695</v>
      </c>
      <c r="C1490" s="6">
        <v>0</v>
      </c>
      <c r="D1490" s="6">
        <v>0</v>
      </c>
      <c r="E1490" s="6">
        <v>57</v>
      </c>
      <c r="F1490" s="5" t="s">
        <v>7</v>
      </c>
      <c r="G1490" s="5" t="s">
        <v>11</v>
      </c>
      <c r="H1490" s="3">
        <v>43927</v>
      </c>
      <c r="I1490" s="5" t="s">
        <v>439</v>
      </c>
      <c r="J1490" s="5">
        <f>_xlfn.XLOOKUP(CustomerCombined[[#This Row],[ID]], Table4[ID], Table4[Recency], "Not Found", 0)</f>
        <v>85</v>
      </c>
      <c r="K1490" s="5">
        <f>_xlfn.XLOOKUP(CustomerCombined[[#This Row],[ID]], Table4[ID], Table4[Teas], "Not Found", 0)</f>
        <v>1247</v>
      </c>
      <c r="L1490" s="5">
        <f>_xlfn.XLOOKUP(CustomerCombined[[#This Row],[ID]], Table4[ID], Table4[Fruits], "Not Found", 0)</f>
        <v>289</v>
      </c>
      <c r="M1490" s="5">
        <f>_xlfn.XLOOKUP(CustomerCombined[[#This Row],[ID]], Table4[ID], Table4[Meats], "Not Found", 0)</f>
        <v>2203</v>
      </c>
      <c r="N1490" s="5">
        <f>_xlfn.XLOOKUP(CustomerCombined[[#This Row],[ID]], Table4[ID], Table4[Seafood], "Not Found", 0)</f>
        <v>432</v>
      </c>
      <c r="O1490" s="5">
        <f>_xlfn.XLOOKUP(CustomerCombined[[#This Row],[ID]], Table4[ID], Table4[Sweets], "Not Found", 0)</f>
        <v>83</v>
      </c>
      <c r="P1490" s="5">
        <f>_xlfn.XLOOKUP(CustomerCombined[[#This Row],[ID]], Table4[ID], Table4[Premium], "Not Found", 0)</f>
        <v>40</v>
      </c>
      <c r="Q1490" s="5">
        <f>_xlfn.XLOOKUP(CustomerCombined[[#This Row],[ID]], Table4[ID], Table4[Regular], "Not Found", 0)</f>
        <v>4214</v>
      </c>
      <c r="R1490" s="5">
        <f>_xlfn.XLOOKUP(CustomerCombined[[#This Row],[ID]], Table4[ID], Table4[Deals], "Not Found", 0)</f>
        <v>1</v>
      </c>
      <c r="S1490" s="5">
        <f>_xlfn.XLOOKUP(CustomerCombined[[#This Row],[ID]], Table4[ID], Table4[Website], "Not Found", 0)</f>
        <v>5</v>
      </c>
      <c r="T1490" s="5">
        <f>_xlfn.XLOOKUP(CustomerCombined[[#This Row],[ID]], Table4[ID], Table4[Catalog], "Not Found", 0)</f>
        <v>8</v>
      </c>
      <c r="U1490" s="5">
        <f>_xlfn.XLOOKUP(CustomerCombined[[#This Row],[ID]], Table4[ID], Table4[Store], "Not Found", 0)</f>
        <v>5</v>
      </c>
      <c r="V1490" s="5">
        <f>_xlfn.XLOOKUP(CustomerCombined[[#This Row],[ID]], Table4[ID], Table4[Visits], "Not Found", 0)</f>
        <v>2</v>
      </c>
      <c r="W1490" s="8">
        <f>_xlfn.XLOOKUP(CustomerCombined[[#This Row],[ID]], Table2[ID],Table2[Complaint], "Not Found", 0 )</f>
        <v>0</v>
      </c>
      <c r="X1490" s="8">
        <f>_xlfn.XLOOKUP(CustomerCombined[[#This Row],[ID]], Table2[ID],Table2[Pilot], "Not Found", 0 )</f>
        <v>0</v>
      </c>
      <c r="Y1490" s="8">
        <f>_xlfn.XLOOKUP(CustomerCombined[[#This Row],[ID]], Table2[ID],Table2[MC1], "Not Found", 0 )</f>
        <v>0</v>
      </c>
      <c r="Z1490" s="8">
        <f>_xlfn.XLOOKUP(CustomerCombined[[#This Row],[ID]], Table2[ID],Table2[MC2], "Not Found", 0 )</f>
        <v>0</v>
      </c>
      <c r="AA1490" s="8">
        <f>_xlfn.XLOOKUP(CustomerCombined[[#This Row],[ID]], Table2[ID],Table2[MC3], "Not Found", 0 )</f>
        <v>0</v>
      </c>
      <c r="AB1490" s="8">
        <f>_xlfn.XLOOKUP(CustomerCombined[[#This Row],[ID]], Table2[ID],Table2[MC4], "Not Found", 0 )</f>
        <v>0</v>
      </c>
      <c r="AC1490" s="8">
        <f>_xlfn.XLOOKUP(CustomerCombined[[#This Row],[ID]], Table2[ID],Table2[MC5], "Not Found", 0 )</f>
        <v>0</v>
      </c>
    </row>
    <row r="1491" spans="1:29" x14ac:dyDescent="0.3">
      <c r="A1491" s="6">
        <v>1253</v>
      </c>
      <c r="B1491" s="6">
        <v>180124</v>
      </c>
      <c r="C1491" s="6">
        <v>0</v>
      </c>
      <c r="D1491" s="6">
        <v>0</v>
      </c>
      <c r="E1491" s="6">
        <v>57</v>
      </c>
      <c r="F1491" s="5" t="s">
        <v>6</v>
      </c>
      <c r="G1491" s="5" t="s">
        <v>11</v>
      </c>
      <c r="H1491" s="3" t="s">
        <v>23</v>
      </c>
      <c r="I1491" s="5" t="s">
        <v>434</v>
      </c>
      <c r="J1491" s="5">
        <f>_xlfn.XLOOKUP(CustomerCombined[[#This Row],[ID]], Table4[ID], Table4[Recency], "Not Found", 0)</f>
        <v>47</v>
      </c>
      <c r="K1491" s="5">
        <f>_xlfn.XLOOKUP(CustomerCombined[[#This Row],[ID]], Table4[ID], Table4[Teas], "Not Found", 0)</f>
        <v>1086</v>
      </c>
      <c r="L1491" s="5">
        <f>_xlfn.XLOOKUP(CustomerCombined[[#This Row],[ID]], Table4[ID], Table4[Fruits], "Not Found", 0)</f>
        <v>189</v>
      </c>
      <c r="M1491" s="5">
        <f>_xlfn.XLOOKUP(CustomerCombined[[#This Row],[ID]], Table4[ID], Table4[Meats], "Not Found", 0)</f>
        <v>895</v>
      </c>
      <c r="N1491" s="5">
        <f>_xlfn.XLOOKUP(CustomerCombined[[#This Row],[ID]], Table4[ID], Table4[Seafood], "Not Found", 0)</f>
        <v>461</v>
      </c>
      <c r="O1491" s="5">
        <f>_xlfn.XLOOKUP(CustomerCombined[[#This Row],[ID]], Table4[ID], Table4[Sweets], "Not Found", 0)</f>
        <v>189</v>
      </c>
      <c r="P1491" s="5">
        <f>_xlfn.XLOOKUP(CustomerCombined[[#This Row],[ID]], Table4[ID], Table4[Premium], "Not Found", 0)</f>
        <v>542</v>
      </c>
      <c r="Q1491" s="5">
        <f>_xlfn.XLOOKUP(CustomerCombined[[#This Row],[ID]], Table4[ID], Table4[Regular], "Not Found", 0)</f>
        <v>2277</v>
      </c>
      <c r="R1491" s="5">
        <f>_xlfn.XLOOKUP(CustomerCombined[[#This Row],[ID]], Table4[ID], Table4[Deals], "Not Found", 0)</f>
        <v>1</v>
      </c>
      <c r="S1491" s="5">
        <f>_xlfn.XLOOKUP(CustomerCombined[[#This Row],[ID]], Table4[ID], Table4[Website], "Not Found", 0)</f>
        <v>3</v>
      </c>
      <c r="T1491" s="5">
        <f>_xlfn.XLOOKUP(CustomerCombined[[#This Row],[ID]], Table4[ID], Table4[Catalog], "Not Found", 0)</f>
        <v>7</v>
      </c>
      <c r="U1491" s="5">
        <f>_xlfn.XLOOKUP(CustomerCombined[[#This Row],[ID]], Table4[ID], Table4[Store], "Not Found", 0)</f>
        <v>8</v>
      </c>
      <c r="V1491" s="5">
        <f>_xlfn.XLOOKUP(CustomerCombined[[#This Row],[ID]], Table4[ID], Table4[Visits], "Not Found", 0)</f>
        <v>1</v>
      </c>
      <c r="W1491" s="8">
        <f>_xlfn.XLOOKUP(CustomerCombined[[#This Row],[ID]], Table2[ID],Table2[Complaint], "Not Found", 0 )</f>
        <v>0</v>
      </c>
      <c r="X1491" s="8">
        <f>_xlfn.XLOOKUP(CustomerCombined[[#This Row],[ID]], Table2[ID],Table2[Pilot], "Not Found", 0 )</f>
        <v>0</v>
      </c>
      <c r="Y1491" s="8">
        <f>_xlfn.XLOOKUP(CustomerCombined[[#This Row],[ID]], Table2[ID],Table2[MC1], "Not Found", 0 )</f>
        <v>0</v>
      </c>
      <c r="Z1491" s="8">
        <f>_xlfn.XLOOKUP(CustomerCombined[[#This Row],[ID]], Table2[ID],Table2[MC2], "Not Found", 0 )</f>
        <v>0</v>
      </c>
      <c r="AA1491" s="8">
        <f>_xlfn.XLOOKUP(CustomerCombined[[#This Row],[ID]], Table2[ID],Table2[MC3], "Not Found", 0 )</f>
        <v>1</v>
      </c>
      <c r="AB1491" s="8">
        <f>_xlfn.XLOOKUP(CustomerCombined[[#This Row],[ID]], Table2[ID],Table2[MC4], "Not Found", 0 )</f>
        <v>0</v>
      </c>
      <c r="AC1491" s="8">
        <f>_xlfn.XLOOKUP(CustomerCombined[[#This Row],[ID]], Table2[ID],Table2[MC5], "Not Found", 0 )</f>
        <v>0</v>
      </c>
    </row>
    <row r="1492" spans="1:29" x14ac:dyDescent="0.3">
      <c r="A1492" s="6">
        <v>1447</v>
      </c>
      <c r="B1492" s="6">
        <v>180124</v>
      </c>
      <c r="C1492" s="6">
        <v>0</v>
      </c>
      <c r="D1492" s="6">
        <v>0</v>
      </c>
      <c r="E1492" s="6">
        <v>57</v>
      </c>
      <c r="F1492" s="5" t="s">
        <v>6</v>
      </c>
      <c r="G1492" s="5" t="s">
        <v>11</v>
      </c>
      <c r="H1492" s="3" t="s">
        <v>23</v>
      </c>
      <c r="I1492" s="5" t="s">
        <v>437</v>
      </c>
      <c r="J1492" s="5">
        <f>_xlfn.XLOOKUP(CustomerCombined[[#This Row],[ID]], Table4[ID], Table4[Recency], "Not Found", 0)</f>
        <v>47</v>
      </c>
      <c r="K1492" s="5">
        <f>_xlfn.XLOOKUP(CustomerCombined[[#This Row],[ID]], Table4[ID], Table4[Teas], "Not Found", 0)</f>
        <v>1086</v>
      </c>
      <c r="L1492" s="5">
        <f>_xlfn.XLOOKUP(CustomerCombined[[#This Row],[ID]], Table4[ID], Table4[Fruits], "Not Found", 0)</f>
        <v>189</v>
      </c>
      <c r="M1492" s="5">
        <f>_xlfn.XLOOKUP(CustomerCombined[[#This Row],[ID]], Table4[ID], Table4[Meats], "Not Found", 0)</f>
        <v>895</v>
      </c>
      <c r="N1492" s="5">
        <f>_xlfn.XLOOKUP(CustomerCombined[[#This Row],[ID]], Table4[ID], Table4[Seafood], "Not Found", 0)</f>
        <v>461</v>
      </c>
      <c r="O1492" s="5">
        <f>_xlfn.XLOOKUP(CustomerCombined[[#This Row],[ID]], Table4[ID], Table4[Sweets], "Not Found", 0)</f>
        <v>189</v>
      </c>
      <c r="P1492" s="5">
        <f>_xlfn.XLOOKUP(CustomerCombined[[#This Row],[ID]], Table4[ID], Table4[Premium], "Not Found", 0)</f>
        <v>542</v>
      </c>
      <c r="Q1492" s="5">
        <f>_xlfn.XLOOKUP(CustomerCombined[[#This Row],[ID]], Table4[ID], Table4[Regular], "Not Found", 0)</f>
        <v>2277</v>
      </c>
      <c r="R1492" s="5">
        <f>_xlfn.XLOOKUP(CustomerCombined[[#This Row],[ID]], Table4[ID], Table4[Deals], "Not Found", 0)</f>
        <v>1</v>
      </c>
      <c r="S1492" s="5">
        <f>_xlfn.XLOOKUP(CustomerCombined[[#This Row],[ID]], Table4[ID], Table4[Website], "Not Found", 0)</f>
        <v>3</v>
      </c>
      <c r="T1492" s="5">
        <f>_xlfn.XLOOKUP(CustomerCombined[[#This Row],[ID]], Table4[ID], Table4[Catalog], "Not Found", 0)</f>
        <v>7</v>
      </c>
      <c r="U1492" s="5">
        <f>_xlfn.XLOOKUP(CustomerCombined[[#This Row],[ID]], Table4[ID], Table4[Store], "Not Found", 0)</f>
        <v>8</v>
      </c>
      <c r="V1492" s="5">
        <f>_xlfn.XLOOKUP(CustomerCombined[[#This Row],[ID]], Table4[ID], Table4[Visits], "Not Found", 0)</f>
        <v>1</v>
      </c>
      <c r="W1492" s="8">
        <f>_xlfn.XLOOKUP(CustomerCombined[[#This Row],[ID]], Table2[ID],Table2[Complaint], "Not Found", 0 )</f>
        <v>0</v>
      </c>
      <c r="X1492" s="8">
        <f>_xlfn.XLOOKUP(CustomerCombined[[#This Row],[ID]], Table2[ID],Table2[Pilot], "Not Found", 0 )</f>
        <v>0</v>
      </c>
      <c r="Y1492" s="8">
        <f>_xlfn.XLOOKUP(CustomerCombined[[#This Row],[ID]], Table2[ID],Table2[MC1], "Not Found", 0 )</f>
        <v>0</v>
      </c>
      <c r="Z1492" s="8">
        <f>_xlfn.XLOOKUP(CustomerCombined[[#This Row],[ID]], Table2[ID],Table2[MC2], "Not Found", 0 )</f>
        <v>0</v>
      </c>
      <c r="AA1492" s="8">
        <f>_xlfn.XLOOKUP(CustomerCombined[[#This Row],[ID]], Table2[ID],Table2[MC3], "Not Found", 0 )</f>
        <v>1</v>
      </c>
      <c r="AB1492" s="8">
        <f>_xlfn.XLOOKUP(CustomerCombined[[#This Row],[ID]], Table2[ID],Table2[MC4], "Not Found", 0 )</f>
        <v>0</v>
      </c>
      <c r="AC1492" s="8">
        <f>_xlfn.XLOOKUP(CustomerCombined[[#This Row],[ID]], Table2[ID],Table2[MC5], "Not Found", 0 )</f>
        <v>0</v>
      </c>
    </row>
    <row r="1493" spans="1:29" x14ac:dyDescent="0.3">
      <c r="A1493" s="6">
        <v>2712</v>
      </c>
      <c r="B1493" s="6">
        <v>177437</v>
      </c>
      <c r="C1493" s="6">
        <v>0</v>
      </c>
      <c r="D1493" s="6">
        <v>0</v>
      </c>
      <c r="E1493" s="6">
        <v>57</v>
      </c>
      <c r="F1493" s="5" t="s">
        <v>6</v>
      </c>
      <c r="G1493" s="5" t="s">
        <v>11</v>
      </c>
      <c r="H1493" s="3">
        <v>43866</v>
      </c>
      <c r="I1493" s="5" t="s">
        <v>436</v>
      </c>
      <c r="J1493" s="5">
        <f>_xlfn.XLOOKUP(CustomerCombined[[#This Row],[ID]], Table4[ID], Table4[Recency], "Not Found", 0)</f>
        <v>70</v>
      </c>
      <c r="K1493" s="5">
        <f>_xlfn.XLOOKUP(CustomerCombined[[#This Row],[ID]], Table4[ID], Table4[Teas], "Not Found", 0)</f>
        <v>1283</v>
      </c>
      <c r="L1493" s="5">
        <f>_xlfn.XLOOKUP(CustomerCombined[[#This Row],[ID]], Table4[ID], Table4[Fruits], "Not Found", 0)</f>
        <v>48</v>
      </c>
      <c r="M1493" s="5">
        <f>_xlfn.XLOOKUP(CustomerCombined[[#This Row],[ID]], Table4[ID], Table4[Meats], "Not Found", 0)</f>
        <v>1013</v>
      </c>
      <c r="N1493" s="5">
        <f>_xlfn.XLOOKUP(CustomerCombined[[#This Row],[ID]], Table4[ID], Table4[Seafood], "Not Found", 0)</f>
        <v>66</v>
      </c>
      <c r="O1493" s="5">
        <f>_xlfn.XLOOKUP(CustomerCombined[[#This Row],[ID]], Table4[ID], Table4[Sweets], "Not Found", 0)</f>
        <v>101</v>
      </c>
      <c r="P1493" s="5">
        <f>_xlfn.XLOOKUP(CustomerCombined[[#This Row],[ID]], Table4[ID], Table4[Premium], "Not Found", 0)</f>
        <v>66</v>
      </c>
      <c r="Q1493" s="5">
        <f>_xlfn.XLOOKUP(CustomerCombined[[#This Row],[ID]], Table4[ID], Table4[Regular], "Not Found", 0)</f>
        <v>2445</v>
      </c>
      <c r="R1493" s="5">
        <f>_xlfn.XLOOKUP(CustomerCombined[[#This Row],[ID]], Table4[ID], Table4[Deals], "Not Found", 0)</f>
        <v>1</v>
      </c>
      <c r="S1493" s="5">
        <f>_xlfn.XLOOKUP(CustomerCombined[[#This Row],[ID]], Table4[ID], Table4[Website], "Not Found", 0)</f>
        <v>4</v>
      </c>
      <c r="T1493" s="5">
        <f>_xlfn.XLOOKUP(CustomerCombined[[#This Row],[ID]], Table4[ID], Table4[Catalog], "Not Found", 0)</f>
        <v>5</v>
      </c>
      <c r="U1493" s="5">
        <f>_xlfn.XLOOKUP(CustomerCombined[[#This Row],[ID]], Table4[ID], Table4[Store], "Not Found", 0)</f>
        <v>13</v>
      </c>
      <c r="V1493" s="5">
        <f>_xlfn.XLOOKUP(CustomerCombined[[#This Row],[ID]], Table4[ID], Table4[Visits], "Not Found", 0)</f>
        <v>1</v>
      </c>
      <c r="W1493" s="8">
        <f>_xlfn.XLOOKUP(CustomerCombined[[#This Row],[ID]], Table2[ID],Table2[Complaint], "Not Found", 0 )</f>
        <v>0</v>
      </c>
      <c r="X1493" s="8">
        <f>_xlfn.XLOOKUP(CustomerCombined[[#This Row],[ID]], Table2[ID],Table2[Pilot], "Not Found", 0 )</f>
        <v>0</v>
      </c>
      <c r="Y1493" s="8">
        <f>_xlfn.XLOOKUP(CustomerCombined[[#This Row],[ID]], Table2[ID],Table2[MC1], "Not Found", 0 )</f>
        <v>0</v>
      </c>
      <c r="Z1493" s="8">
        <f>_xlfn.XLOOKUP(CustomerCombined[[#This Row],[ID]], Table2[ID],Table2[MC2], "Not Found", 0 )</f>
        <v>0</v>
      </c>
      <c r="AA1493" s="8">
        <f>_xlfn.XLOOKUP(CustomerCombined[[#This Row],[ID]], Table2[ID],Table2[MC3], "Not Found", 0 )</f>
        <v>0</v>
      </c>
      <c r="AB1493" s="8">
        <f>_xlfn.XLOOKUP(CustomerCombined[[#This Row],[ID]], Table2[ID],Table2[MC4], "Not Found", 0 )</f>
        <v>0</v>
      </c>
      <c r="AC1493" s="8">
        <f>_xlfn.XLOOKUP(CustomerCombined[[#This Row],[ID]], Table2[ID],Table2[MC5], "Not Found", 0 )</f>
        <v>1</v>
      </c>
    </row>
    <row r="1494" spans="1:29" x14ac:dyDescent="0.3">
      <c r="A1494" s="6">
        <v>2942</v>
      </c>
      <c r="B1494" s="6">
        <v>177226</v>
      </c>
      <c r="C1494" s="6">
        <v>0</v>
      </c>
      <c r="D1494" s="6">
        <v>1</v>
      </c>
      <c r="E1494" s="6">
        <v>57</v>
      </c>
      <c r="F1494" s="5" t="s">
        <v>8</v>
      </c>
      <c r="G1494" s="5" t="s">
        <v>11</v>
      </c>
      <c r="H1494" s="3">
        <v>43929</v>
      </c>
      <c r="I1494" s="5" t="s">
        <v>438</v>
      </c>
      <c r="J1494" s="5">
        <f>_xlfn.XLOOKUP(CustomerCombined[[#This Row],[ID]], Table4[ID], Table4[Recency], "Not Found", 0)</f>
        <v>29</v>
      </c>
      <c r="K1494" s="5">
        <f>_xlfn.XLOOKUP(CustomerCombined[[#This Row],[ID]], Table4[ID], Table4[Teas], "Not Found", 0)</f>
        <v>1448</v>
      </c>
      <c r="L1494" s="5">
        <f>_xlfn.XLOOKUP(CustomerCombined[[#This Row],[ID]], Table4[ID], Table4[Fruits], "Not Found", 0)</f>
        <v>99</v>
      </c>
      <c r="M1494" s="5">
        <f>_xlfn.XLOOKUP(CustomerCombined[[#This Row],[ID]], Table4[ID], Table4[Meats], "Not Found", 0)</f>
        <v>548</v>
      </c>
      <c r="N1494" s="5">
        <f>_xlfn.XLOOKUP(CustomerCombined[[#This Row],[ID]], Table4[ID], Table4[Seafood], "Not Found", 0)</f>
        <v>294</v>
      </c>
      <c r="O1494" s="5">
        <f>_xlfn.XLOOKUP(CustomerCombined[[#This Row],[ID]], Table4[ID], Table4[Sweets], "Not Found", 0)</f>
        <v>174</v>
      </c>
      <c r="P1494" s="5">
        <f>_xlfn.XLOOKUP(CustomerCombined[[#This Row],[ID]], Table4[ID], Table4[Premium], "Not Found", 0)</f>
        <v>48</v>
      </c>
      <c r="Q1494" s="5">
        <f>_xlfn.XLOOKUP(CustomerCombined[[#This Row],[ID]], Table4[ID], Table4[Regular], "Not Found", 0)</f>
        <v>2515</v>
      </c>
      <c r="R1494" s="5">
        <f>_xlfn.XLOOKUP(CustomerCombined[[#This Row],[ID]], Table4[ID], Table4[Deals], "Not Found", 0)</f>
        <v>2</v>
      </c>
      <c r="S1494" s="5">
        <f>_xlfn.XLOOKUP(CustomerCombined[[#This Row],[ID]], Table4[ID], Table4[Website], "Not Found", 0)</f>
        <v>6</v>
      </c>
      <c r="T1494" s="5">
        <f>_xlfn.XLOOKUP(CustomerCombined[[#This Row],[ID]], Table4[ID], Table4[Catalog], "Not Found", 0)</f>
        <v>8</v>
      </c>
      <c r="U1494" s="5">
        <f>_xlfn.XLOOKUP(CustomerCombined[[#This Row],[ID]], Table4[ID], Table4[Store], "Not Found", 0)</f>
        <v>12</v>
      </c>
      <c r="V1494" s="5">
        <f>_xlfn.XLOOKUP(CustomerCombined[[#This Row],[ID]], Table4[ID], Table4[Visits], "Not Found", 0)</f>
        <v>3</v>
      </c>
      <c r="W1494" s="8">
        <f>_xlfn.XLOOKUP(CustomerCombined[[#This Row],[ID]], Table2[ID],Table2[Complaint], "Not Found", 0 )</f>
        <v>0</v>
      </c>
      <c r="X1494" s="8">
        <f>_xlfn.XLOOKUP(CustomerCombined[[#This Row],[ID]], Table2[ID],Table2[Pilot], "Not Found", 0 )</f>
        <v>0</v>
      </c>
      <c r="Y1494" s="8">
        <f>_xlfn.XLOOKUP(CustomerCombined[[#This Row],[ID]], Table2[ID],Table2[MC1], "Not Found", 0 )</f>
        <v>0</v>
      </c>
      <c r="Z1494" s="8">
        <f>_xlfn.XLOOKUP(CustomerCombined[[#This Row],[ID]], Table2[ID],Table2[MC2], "Not Found", 0 )</f>
        <v>0</v>
      </c>
      <c r="AA1494" s="8">
        <f>_xlfn.XLOOKUP(CustomerCombined[[#This Row],[ID]], Table2[ID],Table2[MC3], "Not Found", 0 )</f>
        <v>0</v>
      </c>
      <c r="AB1494" s="8">
        <f>_xlfn.XLOOKUP(CustomerCombined[[#This Row],[ID]], Table2[ID],Table2[MC4], "Not Found", 0 )</f>
        <v>0</v>
      </c>
      <c r="AC1494" s="8">
        <f>_xlfn.XLOOKUP(CustomerCombined[[#This Row],[ID]], Table2[ID],Table2[MC5], "Not Found", 0 )</f>
        <v>0</v>
      </c>
    </row>
    <row r="1495" spans="1:29" x14ac:dyDescent="0.3">
      <c r="A1495" s="6">
        <v>2965</v>
      </c>
      <c r="B1495" s="6">
        <v>172968</v>
      </c>
      <c r="C1495" s="6">
        <v>0</v>
      </c>
      <c r="D1495" s="6">
        <v>0</v>
      </c>
      <c r="E1495" s="6">
        <v>57</v>
      </c>
      <c r="F1495" s="5" t="s">
        <v>5</v>
      </c>
      <c r="G1495" s="5" t="s">
        <v>13</v>
      </c>
      <c r="H1495" s="3" t="s">
        <v>132</v>
      </c>
      <c r="I1495" s="5" t="s">
        <v>437</v>
      </c>
      <c r="J1495" s="5">
        <f>_xlfn.XLOOKUP(CustomerCombined[[#This Row],[ID]], Table4[ID], Table4[Recency], "Not Found", 0)</f>
        <v>8</v>
      </c>
      <c r="K1495" s="5">
        <f>_xlfn.XLOOKUP(CustomerCombined[[#This Row],[ID]], Table4[ID], Table4[Teas], "Not Found", 0)</f>
        <v>2589</v>
      </c>
      <c r="L1495" s="5">
        <f>_xlfn.XLOOKUP(CustomerCombined[[#This Row],[ID]], Table4[ID], Table4[Fruits], "Not Found", 0)</f>
        <v>88</v>
      </c>
      <c r="M1495" s="5">
        <f>_xlfn.XLOOKUP(CustomerCombined[[#This Row],[ID]], Table4[ID], Table4[Meats], "Not Found", 0)</f>
        <v>1403</v>
      </c>
      <c r="N1495" s="5">
        <f>_xlfn.XLOOKUP(CustomerCombined[[#This Row],[ID]], Table4[ID], Table4[Seafood], "Not Found", 0)</f>
        <v>344</v>
      </c>
      <c r="O1495" s="5">
        <f>_xlfn.XLOOKUP(CustomerCombined[[#This Row],[ID]], Table4[ID], Table4[Sweets], "Not Found", 0)</f>
        <v>88</v>
      </c>
      <c r="P1495" s="5">
        <f>_xlfn.XLOOKUP(CustomerCombined[[#This Row],[ID]], Table4[ID], Table4[Premium], "Not Found", 0)</f>
        <v>130</v>
      </c>
      <c r="Q1495" s="5">
        <f>_xlfn.XLOOKUP(CustomerCombined[[#This Row],[ID]], Table4[ID], Table4[Regular], "Not Found", 0)</f>
        <v>4381</v>
      </c>
      <c r="R1495" s="5">
        <f>_xlfn.XLOOKUP(CustomerCombined[[#This Row],[ID]], Table4[ID], Table4[Deals], "Not Found", 0)</f>
        <v>1</v>
      </c>
      <c r="S1495" s="5">
        <f>_xlfn.XLOOKUP(CustomerCombined[[#This Row],[ID]], Table4[ID], Table4[Website], "Not Found", 0)</f>
        <v>5</v>
      </c>
      <c r="T1495" s="5">
        <f>_xlfn.XLOOKUP(CustomerCombined[[#This Row],[ID]], Table4[ID], Table4[Catalog], "Not Found", 0)</f>
        <v>5</v>
      </c>
      <c r="U1495" s="5">
        <f>_xlfn.XLOOKUP(CustomerCombined[[#This Row],[ID]], Table4[ID], Table4[Store], "Not Found", 0)</f>
        <v>8</v>
      </c>
      <c r="V1495" s="5">
        <f>_xlfn.XLOOKUP(CustomerCombined[[#This Row],[ID]], Table4[ID], Table4[Visits], "Not Found", 0)</f>
        <v>3</v>
      </c>
      <c r="W1495" s="8">
        <f>_xlfn.XLOOKUP(CustomerCombined[[#This Row],[ID]], Table2[ID],Table2[Complaint], "Not Found", 0 )</f>
        <v>0</v>
      </c>
      <c r="X1495" s="8">
        <f>_xlfn.XLOOKUP(CustomerCombined[[#This Row],[ID]], Table2[ID],Table2[Pilot], "Not Found", 0 )</f>
        <v>1</v>
      </c>
      <c r="Y1495" s="8">
        <f>_xlfn.XLOOKUP(CustomerCombined[[#This Row],[ID]], Table2[ID],Table2[MC1], "Not Found", 0 )</f>
        <v>1</v>
      </c>
      <c r="Z1495" s="8">
        <f>_xlfn.XLOOKUP(CustomerCombined[[#This Row],[ID]], Table2[ID],Table2[MC2], "Not Found", 0 )</f>
        <v>0</v>
      </c>
      <c r="AA1495" s="8">
        <f>_xlfn.XLOOKUP(CustomerCombined[[#This Row],[ID]], Table2[ID],Table2[MC3], "Not Found", 0 )</f>
        <v>0</v>
      </c>
      <c r="AB1495" s="8">
        <f>_xlfn.XLOOKUP(CustomerCombined[[#This Row],[ID]], Table2[ID],Table2[MC4], "Not Found", 0 )</f>
        <v>0</v>
      </c>
      <c r="AC1495" s="8">
        <f>_xlfn.XLOOKUP(CustomerCombined[[#This Row],[ID]], Table2[ID],Table2[MC5], "Not Found", 0 )</f>
        <v>0</v>
      </c>
    </row>
    <row r="1496" spans="1:29" x14ac:dyDescent="0.3">
      <c r="A1496" s="6">
        <v>1662</v>
      </c>
      <c r="B1496" s="6">
        <v>168118</v>
      </c>
      <c r="C1496" s="6">
        <v>0</v>
      </c>
      <c r="D1496" s="6">
        <v>1</v>
      </c>
      <c r="E1496" s="6">
        <v>57</v>
      </c>
      <c r="F1496" s="5" t="s">
        <v>5</v>
      </c>
      <c r="G1496" s="5" t="s">
        <v>11</v>
      </c>
      <c r="H1496" s="3" t="s">
        <v>164</v>
      </c>
      <c r="I1496" s="5" t="s">
        <v>436</v>
      </c>
      <c r="J1496" s="5">
        <f>_xlfn.XLOOKUP(CustomerCombined[[#This Row],[ID]], Table4[ID], Table4[Recency], "Not Found", 0)</f>
        <v>51</v>
      </c>
      <c r="K1496" s="5">
        <f>_xlfn.XLOOKUP(CustomerCombined[[#This Row],[ID]], Table4[ID], Table4[Teas], "Not Found", 0)</f>
        <v>1468</v>
      </c>
      <c r="L1496" s="5">
        <f>_xlfn.XLOOKUP(CustomerCombined[[#This Row],[ID]], Table4[ID], Table4[Fruits], "Not Found", 0)</f>
        <v>57</v>
      </c>
      <c r="M1496" s="5">
        <f>_xlfn.XLOOKUP(CustomerCombined[[#This Row],[ID]], Table4[ID], Table4[Meats], "Not Found", 0)</f>
        <v>304</v>
      </c>
      <c r="N1496" s="5">
        <f>_xlfn.XLOOKUP(CustomerCombined[[#This Row],[ID]], Table4[ID], Table4[Seafood], "Not Found", 0)</f>
        <v>25</v>
      </c>
      <c r="O1496" s="5">
        <f>_xlfn.XLOOKUP(CustomerCombined[[#This Row],[ID]], Table4[ID], Table4[Sweets], "Not Found", 0)</f>
        <v>57</v>
      </c>
      <c r="P1496" s="5">
        <f>_xlfn.XLOOKUP(CustomerCombined[[#This Row],[ID]], Table4[ID], Table4[Premium], "Not Found", 0)</f>
        <v>380</v>
      </c>
      <c r="Q1496" s="5">
        <f>_xlfn.XLOOKUP(CustomerCombined[[#This Row],[ID]], Table4[ID], Table4[Regular], "Not Found", 0)</f>
        <v>1530</v>
      </c>
      <c r="R1496" s="5">
        <f>_xlfn.XLOOKUP(CustomerCombined[[#This Row],[ID]], Table4[ID], Table4[Deals], "Not Found", 0)</f>
        <v>2</v>
      </c>
      <c r="S1496" s="5">
        <f>_xlfn.XLOOKUP(CustomerCombined[[#This Row],[ID]], Table4[ID], Table4[Website], "Not Found", 0)</f>
        <v>8</v>
      </c>
      <c r="T1496" s="5">
        <f>_xlfn.XLOOKUP(CustomerCombined[[#This Row],[ID]], Table4[ID], Table4[Catalog], "Not Found", 0)</f>
        <v>9</v>
      </c>
      <c r="U1496" s="5">
        <f>_xlfn.XLOOKUP(CustomerCombined[[#This Row],[ID]], Table4[ID], Table4[Store], "Not Found", 0)</f>
        <v>4</v>
      </c>
      <c r="V1496" s="5">
        <f>_xlfn.XLOOKUP(CustomerCombined[[#This Row],[ID]], Table4[ID], Table4[Visits], "Not Found", 0)</f>
        <v>6</v>
      </c>
      <c r="W1496" s="8">
        <f>_xlfn.XLOOKUP(CustomerCombined[[#This Row],[ID]], Table2[ID],Table2[Complaint], "Not Found", 0 )</f>
        <v>0</v>
      </c>
      <c r="X1496" s="8">
        <f>_xlfn.XLOOKUP(CustomerCombined[[#This Row],[ID]], Table2[ID],Table2[Pilot], "Not Found", 0 )</f>
        <v>0</v>
      </c>
      <c r="Y1496" s="8">
        <f>_xlfn.XLOOKUP(CustomerCombined[[#This Row],[ID]], Table2[ID],Table2[MC1], "Not Found", 0 )</f>
        <v>0</v>
      </c>
      <c r="Z1496" s="8">
        <f>_xlfn.XLOOKUP(CustomerCombined[[#This Row],[ID]], Table2[ID],Table2[MC2], "Not Found", 0 )</f>
        <v>0</v>
      </c>
      <c r="AA1496" s="8">
        <f>_xlfn.XLOOKUP(CustomerCombined[[#This Row],[ID]], Table2[ID],Table2[MC3], "Not Found", 0 )</f>
        <v>0</v>
      </c>
      <c r="AB1496" s="8">
        <f>_xlfn.XLOOKUP(CustomerCombined[[#This Row],[ID]], Table2[ID],Table2[MC4], "Not Found", 0 )</f>
        <v>0</v>
      </c>
      <c r="AC1496" s="8">
        <f>_xlfn.XLOOKUP(CustomerCombined[[#This Row],[ID]], Table2[ID],Table2[MC5], "Not Found", 0 )</f>
        <v>0</v>
      </c>
    </row>
    <row r="1497" spans="1:29" x14ac:dyDescent="0.3">
      <c r="A1497" s="6">
        <v>2235</v>
      </c>
      <c r="B1497" s="6">
        <v>168118</v>
      </c>
      <c r="C1497" s="6">
        <v>0</v>
      </c>
      <c r="D1497" s="6">
        <v>1</v>
      </c>
      <c r="E1497" s="6">
        <v>57</v>
      </c>
      <c r="F1497" s="5" t="s">
        <v>5</v>
      </c>
      <c r="G1497" s="5" t="s">
        <v>11</v>
      </c>
      <c r="H1497" s="3" t="s">
        <v>164</v>
      </c>
      <c r="I1497" s="5" t="s">
        <v>435</v>
      </c>
      <c r="J1497" s="5">
        <f>_xlfn.XLOOKUP(CustomerCombined[[#This Row],[ID]], Table4[ID], Table4[Recency], "Not Found", 0)</f>
        <v>51</v>
      </c>
      <c r="K1497" s="5">
        <f>_xlfn.XLOOKUP(CustomerCombined[[#This Row],[ID]], Table4[ID], Table4[Teas], "Not Found", 0)</f>
        <v>1468</v>
      </c>
      <c r="L1497" s="5">
        <f>_xlfn.XLOOKUP(CustomerCombined[[#This Row],[ID]], Table4[ID], Table4[Fruits], "Not Found", 0)</f>
        <v>57</v>
      </c>
      <c r="M1497" s="5">
        <f>_xlfn.XLOOKUP(CustomerCombined[[#This Row],[ID]], Table4[ID], Table4[Meats], "Not Found", 0)</f>
        <v>304</v>
      </c>
      <c r="N1497" s="5">
        <f>_xlfn.XLOOKUP(CustomerCombined[[#This Row],[ID]], Table4[ID], Table4[Seafood], "Not Found", 0)</f>
        <v>25</v>
      </c>
      <c r="O1497" s="5">
        <f>_xlfn.XLOOKUP(CustomerCombined[[#This Row],[ID]], Table4[ID], Table4[Sweets], "Not Found", 0)</f>
        <v>57</v>
      </c>
      <c r="P1497" s="5">
        <f>_xlfn.XLOOKUP(CustomerCombined[[#This Row],[ID]], Table4[ID], Table4[Premium], "Not Found", 0)</f>
        <v>380</v>
      </c>
      <c r="Q1497" s="5">
        <f>_xlfn.XLOOKUP(CustomerCombined[[#This Row],[ID]], Table4[ID], Table4[Regular], "Not Found", 0)</f>
        <v>1530</v>
      </c>
      <c r="R1497" s="5">
        <f>_xlfn.XLOOKUP(CustomerCombined[[#This Row],[ID]], Table4[ID], Table4[Deals], "Not Found", 0)</f>
        <v>2</v>
      </c>
      <c r="S1497" s="5">
        <f>_xlfn.XLOOKUP(CustomerCombined[[#This Row],[ID]], Table4[ID], Table4[Website], "Not Found", 0)</f>
        <v>8</v>
      </c>
      <c r="T1497" s="5">
        <f>_xlfn.XLOOKUP(CustomerCombined[[#This Row],[ID]], Table4[ID], Table4[Catalog], "Not Found", 0)</f>
        <v>9</v>
      </c>
      <c r="U1497" s="5">
        <f>_xlfn.XLOOKUP(CustomerCombined[[#This Row],[ID]], Table4[ID], Table4[Store], "Not Found", 0)</f>
        <v>4</v>
      </c>
      <c r="V1497" s="5">
        <f>_xlfn.XLOOKUP(CustomerCombined[[#This Row],[ID]], Table4[ID], Table4[Visits], "Not Found", 0)</f>
        <v>6</v>
      </c>
      <c r="W1497" s="8">
        <f>_xlfn.XLOOKUP(CustomerCombined[[#This Row],[ID]], Table2[ID],Table2[Complaint], "Not Found", 0 )</f>
        <v>0</v>
      </c>
      <c r="X1497" s="8">
        <f>_xlfn.XLOOKUP(CustomerCombined[[#This Row],[ID]], Table2[ID],Table2[Pilot], "Not Found", 0 )</f>
        <v>0</v>
      </c>
      <c r="Y1497" s="8">
        <f>_xlfn.XLOOKUP(CustomerCombined[[#This Row],[ID]], Table2[ID],Table2[MC1], "Not Found", 0 )</f>
        <v>0</v>
      </c>
      <c r="Z1497" s="8">
        <f>_xlfn.XLOOKUP(CustomerCombined[[#This Row],[ID]], Table2[ID],Table2[MC2], "Not Found", 0 )</f>
        <v>0</v>
      </c>
      <c r="AA1497" s="8">
        <f>_xlfn.XLOOKUP(CustomerCombined[[#This Row],[ID]], Table2[ID],Table2[MC3], "Not Found", 0 )</f>
        <v>0</v>
      </c>
      <c r="AB1497" s="8">
        <f>_xlfn.XLOOKUP(CustomerCombined[[#This Row],[ID]], Table2[ID],Table2[MC4], "Not Found", 0 )</f>
        <v>0</v>
      </c>
      <c r="AC1497" s="8">
        <f>_xlfn.XLOOKUP(CustomerCombined[[#This Row],[ID]], Table2[ID],Table2[MC5], "Not Found", 0 )</f>
        <v>0</v>
      </c>
    </row>
    <row r="1498" spans="1:29" x14ac:dyDescent="0.3">
      <c r="A1498" s="6">
        <v>1262</v>
      </c>
      <c r="B1498" s="6">
        <v>166313</v>
      </c>
      <c r="C1498" s="6">
        <v>0</v>
      </c>
      <c r="D1498" s="6">
        <v>1</v>
      </c>
      <c r="E1498" s="6">
        <v>57</v>
      </c>
      <c r="F1498" s="5" t="s">
        <v>8</v>
      </c>
      <c r="G1498" s="5" t="s">
        <v>13</v>
      </c>
      <c r="H1498" s="3" t="s">
        <v>183</v>
      </c>
      <c r="I1498" s="5" t="s">
        <v>438</v>
      </c>
      <c r="J1498" s="5">
        <f>_xlfn.XLOOKUP(CustomerCombined[[#This Row],[ID]], Table4[ID], Table4[Recency], "Not Found", 0)</f>
        <v>86</v>
      </c>
      <c r="K1498" s="5">
        <f>_xlfn.XLOOKUP(CustomerCombined[[#This Row],[ID]], Table4[ID], Table4[Teas], "Not Found", 0)</f>
        <v>1567</v>
      </c>
      <c r="L1498" s="5">
        <f>_xlfn.XLOOKUP(CustomerCombined[[#This Row],[ID]], Table4[ID], Table4[Fruits], "Not Found", 0)</f>
        <v>18</v>
      </c>
      <c r="M1498" s="5">
        <f>_xlfn.XLOOKUP(CustomerCombined[[#This Row],[ID]], Table4[ID], Table4[Meats], "Not Found", 0)</f>
        <v>248</v>
      </c>
      <c r="N1498" s="5">
        <f>_xlfn.XLOOKUP(CustomerCombined[[#This Row],[ID]], Table4[ID], Table4[Seafood], "Not Found", 0)</f>
        <v>25</v>
      </c>
      <c r="O1498" s="5">
        <f>_xlfn.XLOOKUP(CustomerCombined[[#This Row],[ID]], Table4[ID], Table4[Sweets], "Not Found", 0)</f>
        <v>55</v>
      </c>
      <c r="P1498" s="5">
        <f>_xlfn.XLOOKUP(CustomerCombined[[#This Row],[ID]], Table4[ID], Table4[Premium], "Not Found", 0)</f>
        <v>18</v>
      </c>
      <c r="Q1498" s="5">
        <f>_xlfn.XLOOKUP(CustomerCombined[[#This Row],[ID]], Table4[ID], Table4[Regular], "Not Found", 0)</f>
        <v>1896</v>
      </c>
      <c r="R1498" s="5">
        <f>_xlfn.XLOOKUP(CustomerCombined[[#This Row],[ID]], Table4[ID], Table4[Deals], "Not Found", 0)</f>
        <v>2</v>
      </c>
      <c r="S1498" s="5">
        <f>_xlfn.XLOOKUP(CustomerCombined[[#This Row],[ID]], Table4[ID], Table4[Website], "Not Found", 0)</f>
        <v>6</v>
      </c>
      <c r="T1498" s="5">
        <f>_xlfn.XLOOKUP(CustomerCombined[[#This Row],[ID]], Table4[ID], Table4[Catalog], "Not Found", 0)</f>
        <v>3</v>
      </c>
      <c r="U1498" s="5">
        <f>_xlfn.XLOOKUP(CustomerCombined[[#This Row],[ID]], Table4[ID], Table4[Store], "Not Found", 0)</f>
        <v>12</v>
      </c>
      <c r="V1498" s="5">
        <f>_xlfn.XLOOKUP(CustomerCombined[[#This Row],[ID]], Table4[ID], Table4[Visits], "Not Found", 0)</f>
        <v>4</v>
      </c>
      <c r="W1498" s="8">
        <f>_xlfn.XLOOKUP(CustomerCombined[[#This Row],[ID]], Table2[ID],Table2[Complaint], "Not Found", 0 )</f>
        <v>0</v>
      </c>
      <c r="X1498" s="8">
        <f>_xlfn.XLOOKUP(CustomerCombined[[#This Row],[ID]], Table2[ID],Table2[Pilot], "Not Found", 0 )</f>
        <v>0</v>
      </c>
      <c r="Y1498" s="8">
        <f>_xlfn.XLOOKUP(CustomerCombined[[#This Row],[ID]], Table2[ID],Table2[MC1], "Not Found", 0 )</f>
        <v>0</v>
      </c>
      <c r="Z1498" s="8">
        <f>_xlfn.XLOOKUP(CustomerCombined[[#This Row],[ID]], Table2[ID],Table2[MC2], "Not Found", 0 )</f>
        <v>0</v>
      </c>
      <c r="AA1498" s="8">
        <f>_xlfn.XLOOKUP(CustomerCombined[[#This Row],[ID]], Table2[ID],Table2[MC3], "Not Found", 0 )</f>
        <v>0</v>
      </c>
      <c r="AB1498" s="8">
        <f>_xlfn.XLOOKUP(CustomerCombined[[#This Row],[ID]], Table2[ID],Table2[MC4], "Not Found", 0 )</f>
        <v>0</v>
      </c>
      <c r="AC1498" s="8">
        <f>_xlfn.XLOOKUP(CustomerCombined[[#This Row],[ID]], Table2[ID],Table2[MC5], "Not Found", 0 )</f>
        <v>0</v>
      </c>
    </row>
    <row r="1499" spans="1:29" x14ac:dyDescent="0.3">
      <c r="A1499" s="6">
        <v>2252</v>
      </c>
      <c r="B1499" s="6">
        <v>164191</v>
      </c>
      <c r="C1499" s="6">
        <v>0</v>
      </c>
      <c r="D1499" s="6">
        <v>1</v>
      </c>
      <c r="E1499" s="6">
        <v>57</v>
      </c>
      <c r="F1499" s="5" t="s">
        <v>7</v>
      </c>
      <c r="G1499" s="5" t="s">
        <v>12</v>
      </c>
      <c r="H1499" s="3" t="s">
        <v>319</v>
      </c>
      <c r="I1499" s="5" t="s">
        <v>438</v>
      </c>
      <c r="J1499" s="5">
        <f>_xlfn.XLOOKUP(CustomerCombined[[#This Row],[ID]], Table4[ID], Table4[Recency], "Not Found", 0)</f>
        <v>30</v>
      </c>
      <c r="K1499" s="5">
        <f>_xlfn.XLOOKUP(CustomerCombined[[#This Row],[ID]], Table4[ID], Table4[Teas], "Not Found", 0)</f>
        <v>1074</v>
      </c>
      <c r="L1499" s="5">
        <f>_xlfn.XLOOKUP(CustomerCombined[[#This Row],[ID]], Table4[ID], Table4[Fruits], "Not Found", 0)</f>
        <v>38</v>
      </c>
      <c r="M1499" s="5">
        <f>_xlfn.XLOOKUP(CustomerCombined[[#This Row],[ID]], Table4[ID], Table4[Meats], "Not Found", 0)</f>
        <v>476</v>
      </c>
      <c r="N1499" s="5">
        <f>_xlfn.XLOOKUP(CustomerCombined[[#This Row],[ID]], Table4[ID], Table4[Seafood], "Not Found", 0)</f>
        <v>386</v>
      </c>
      <c r="O1499" s="5">
        <f>_xlfn.XLOOKUP(CustomerCombined[[#This Row],[ID]], Table4[ID], Table4[Sweets], "Not Found", 0)</f>
        <v>97</v>
      </c>
      <c r="P1499" s="5">
        <f>_xlfn.XLOOKUP(CustomerCombined[[#This Row],[ID]], Table4[ID], Table4[Premium], "Not Found", 0)</f>
        <v>38</v>
      </c>
      <c r="Q1499" s="5">
        <f>_xlfn.XLOOKUP(CustomerCombined[[#This Row],[ID]], Table4[ID], Table4[Regular], "Not Found", 0)</f>
        <v>2033</v>
      </c>
      <c r="R1499" s="5">
        <f>_xlfn.XLOOKUP(CustomerCombined[[#This Row],[ID]], Table4[ID], Table4[Deals], "Not Found", 0)</f>
        <v>3</v>
      </c>
      <c r="S1499" s="5">
        <f>_xlfn.XLOOKUP(CustomerCombined[[#This Row],[ID]], Table4[ID], Table4[Website], "Not Found", 0)</f>
        <v>5</v>
      </c>
      <c r="T1499" s="5">
        <f>_xlfn.XLOOKUP(CustomerCombined[[#This Row],[ID]], Table4[ID], Table4[Catalog], "Not Found", 0)</f>
        <v>3</v>
      </c>
      <c r="U1499" s="5">
        <f>_xlfn.XLOOKUP(CustomerCombined[[#This Row],[ID]], Table4[ID], Table4[Store], "Not Found", 0)</f>
        <v>13</v>
      </c>
      <c r="V1499" s="5">
        <f>_xlfn.XLOOKUP(CustomerCombined[[#This Row],[ID]], Table4[ID], Table4[Visits], "Not Found", 0)</f>
        <v>3</v>
      </c>
      <c r="W1499" s="8">
        <f>_xlfn.XLOOKUP(CustomerCombined[[#This Row],[ID]], Table2[ID],Table2[Complaint], "Not Found", 0 )</f>
        <v>0</v>
      </c>
      <c r="X1499" s="8">
        <f>_xlfn.XLOOKUP(CustomerCombined[[#This Row],[ID]], Table2[ID],Table2[Pilot], "Not Found", 0 )</f>
        <v>0</v>
      </c>
      <c r="Y1499" s="8">
        <f>_xlfn.XLOOKUP(CustomerCombined[[#This Row],[ID]], Table2[ID],Table2[MC1], "Not Found", 0 )</f>
        <v>0</v>
      </c>
      <c r="Z1499" s="8">
        <f>_xlfn.XLOOKUP(CustomerCombined[[#This Row],[ID]], Table2[ID],Table2[MC2], "Not Found", 0 )</f>
        <v>0</v>
      </c>
      <c r="AA1499" s="8">
        <f>_xlfn.XLOOKUP(CustomerCombined[[#This Row],[ID]], Table2[ID],Table2[MC3], "Not Found", 0 )</f>
        <v>0</v>
      </c>
      <c r="AB1499" s="8">
        <f>_xlfn.XLOOKUP(CustomerCombined[[#This Row],[ID]], Table2[ID],Table2[MC4], "Not Found", 0 )</f>
        <v>0</v>
      </c>
      <c r="AC1499" s="8">
        <f>_xlfn.XLOOKUP(CustomerCombined[[#This Row],[ID]], Table2[ID],Table2[MC5], "Not Found", 0 )</f>
        <v>0</v>
      </c>
    </row>
    <row r="1500" spans="1:29" x14ac:dyDescent="0.3">
      <c r="A1500" s="6">
        <v>1104</v>
      </c>
      <c r="B1500" s="6">
        <v>157288</v>
      </c>
      <c r="C1500" s="6">
        <v>0</v>
      </c>
      <c r="D1500" s="6">
        <v>1</v>
      </c>
      <c r="E1500" s="6">
        <v>57</v>
      </c>
      <c r="F1500" s="5" t="s">
        <v>8</v>
      </c>
      <c r="G1500" s="5" t="s">
        <v>12</v>
      </c>
      <c r="H1500" s="3" t="s">
        <v>24</v>
      </c>
      <c r="I1500" s="5" t="s">
        <v>436</v>
      </c>
      <c r="J1500" s="5">
        <f>_xlfn.XLOOKUP(CustomerCombined[[#This Row],[ID]], Table4[ID], Table4[Recency], "Not Found", 0)</f>
        <v>27</v>
      </c>
      <c r="K1500" s="5">
        <f>_xlfn.XLOOKUP(CustomerCombined[[#This Row],[ID]], Table4[ID], Table4[Teas], "Not Found", 0)</f>
        <v>1447</v>
      </c>
      <c r="L1500" s="5">
        <f>_xlfn.XLOOKUP(CustomerCombined[[#This Row],[ID]], Table4[ID], Table4[Fruits], "Not Found", 0)</f>
        <v>0</v>
      </c>
      <c r="M1500" s="5">
        <f>_xlfn.XLOOKUP(CustomerCombined[[#This Row],[ID]], Table4[ID], Table4[Meats], "Not Found", 0)</f>
        <v>58</v>
      </c>
      <c r="N1500" s="5">
        <f>_xlfn.XLOOKUP(CustomerCombined[[#This Row],[ID]], Table4[ID], Table4[Seafood], "Not Found", 0)</f>
        <v>0</v>
      </c>
      <c r="O1500" s="5">
        <f>_xlfn.XLOOKUP(CustomerCombined[[#This Row],[ID]], Table4[ID], Table4[Sweets], "Not Found", 0)</f>
        <v>0</v>
      </c>
      <c r="P1500" s="5">
        <f>_xlfn.XLOOKUP(CustomerCombined[[#This Row],[ID]], Table4[ID], Table4[Premium], "Not Found", 0)</f>
        <v>165</v>
      </c>
      <c r="Q1500" s="5">
        <f>_xlfn.XLOOKUP(CustomerCombined[[#This Row],[ID]], Table4[ID], Table4[Regular], "Not Found", 0)</f>
        <v>1340</v>
      </c>
      <c r="R1500" s="5">
        <f>_xlfn.XLOOKUP(CustomerCombined[[#This Row],[ID]], Table4[ID], Table4[Deals], "Not Found", 0)</f>
        <v>3</v>
      </c>
      <c r="S1500" s="5">
        <f>_xlfn.XLOOKUP(CustomerCombined[[#This Row],[ID]], Table4[ID], Table4[Website], "Not Found", 0)</f>
        <v>8</v>
      </c>
      <c r="T1500" s="5">
        <f>_xlfn.XLOOKUP(CustomerCombined[[#This Row],[ID]], Table4[ID], Table4[Catalog], "Not Found", 0)</f>
        <v>1</v>
      </c>
      <c r="U1500" s="5">
        <f>_xlfn.XLOOKUP(CustomerCombined[[#This Row],[ID]], Table4[ID], Table4[Store], "Not Found", 0)</f>
        <v>8</v>
      </c>
      <c r="V1500" s="5">
        <f>_xlfn.XLOOKUP(CustomerCombined[[#This Row],[ID]], Table4[ID], Table4[Visits], "Not Found", 0)</f>
        <v>6</v>
      </c>
      <c r="W1500" s="8">
        <f>_xlfn.XLOOKUP(CustomerCombined[[#This Row],[ID]], Table2[ID],Table2[Complaint], "Not Found", 0 )</f>
        <v>0</v>
      </c>
      <c r="X1500" s="8">
        <f>_xlfn.XLOOKUP(CustomerCombined[[#This Row],[ID]], Table2[ID],Table2[Pilot], "Not Found", 0 )</f>
        <v>0</v>
      </c>
      <c r="Y1500" s="8">
        <f>_xlfn.XLOOKUP(CustomerCombined[[#This Row],[ID]], Table2[ID],Table2[MC1], "Not Found", 0 )</f>
        <v>0</v>
      </c>
      <c r="Z1500" s="8">
        <f>_xlfn.XLOOKUP(CustomerCombined[[#This Row],[ID]], Table2[ID],Table2[MC2], "Not Found", 0 )</f>
        <v>0</v>
      </c>
      <c r="AA1500" s="8">
        <f>_xlfn.XLOOKUP(CustomerCombined[[#This Row],[ID]], Table2[ID],Table2[MC3], "Not Found", 0 )</f>
        <v>0</v>
      </c>
      <c r="AB1500" s="8">
        <f>_xlfn.XLOOKUP(CustomerCombined[[#This Row],[ID]], Table2[ID],Table2[MC4], "Not Found", 0 )</f>
        <v>1</v>
      </c>
      <c r="AC1500" s="8">
        <f>_xlfn.XLOOKUP(CustomerCombined[[#This Row],[ID]], Table2[ID],Table2[MC5], "Not Found", 0 )</f>
        <v>0</v>
      </c>
    </row>
    <row r="1501" spans="1:29" x14ac:dyDescent="0.3">
      <c r="A1501" s="6">
        <v>1642</v>
      </c>
      <c r="B1501" s="6">
        <v>156253</v>
      </c>
      <c r="C1501" s="6">
        <v>0</v>
      </c>
      <c r="D1501" s="6">
        <v>1</v>
      </c>
      <c r="E1501" s="6">
        <v>57</v>
      </c>
      <c r="F1501" s="5" t="s">
        <v>8</v>
      </c>
      <c r="G1501" s="5" t="s">
        <v>11</v>
      </c>
      <c r="H1501" s="3" t="s">
        <v>351</v>
      </c>
      <c r="I1501" s="5" t="s">
        <v>439</v>
      </c>
      <c r="J1501" s="5">
        <f>_xlfn.XLOOKUP(CustomerCombined[[#This Row],[ID]], Table4[ID], Table4[Recency], "Not Found", 0)</f>
        <v>83</v>
      </c>
      <c r="K1501" s="5">
        <f>_xlfn.XLOOKUP(CustomerCombined[[#This Row],[ID]], Table4[ID], Table4[Teas], "Not Found", 0)</f>
        <v>1414</v>
      </c>
      <c r="L1501" s="5">
        <f>_xlfn.XLOOKUP(CustomerCombined[[#This Row],[ID]], Table4[ID], Table4[Fruits], "Not Found", 0)</f>
        <v>0</v>
      </c>
      <c r="M1501" s="5">
        <f>_xlfn.XLOOKUP(CustomerCombined[[#This Row],[ID]], Table4[ID], Table4[Meats], "Not Found", 0)</f>
        <v>181</v>
      </c>
      <c r="N1501" s="5">
        <f>_xlfn.XLOOKUP(CustomerCombined[[#This Row],[ID]], Table4[ID], Table4[Seafood], "Not Found", 0)</f>
        <v>19</v>
      </c>
      <c r="O1501" s="5">
        <f>_xlfn.XLOOKUP(CustomerCombined[[#This Row],[ID]], Table4[ID], Table4[Sweets], "Not Found", 0)</f>
        <v>31</v>
      </c>
      <c r="P1501" s="5">
        <f>_xlfn.XLOOKUP(CustomerCombined[[#This Row],[ID]], Table4[ID], Table4[Premium], "Not Found", 0)</f>
        <v>14</v>
      </c>
      <c r="Q1501" s="5">
        <f>_xlfn.XLOOKUP(CustomerCombined[[#This Row],[ID]], Table4[ID], Table4[Regular], "Not Found", 0)</f>
        <v>1630</v>
      </c>
      <c r="R1501" s="5">
        <f>_xlfn.XLOOKUP(CustomerCombined[[#This Row],[ID]], Table4[ID], Table4[Deals], "Not Found", 0)</f>
        <v>4</v>
      </c>
      <c r="S1501" s="5">
        <f>_xlfn.XLOOKUP(CustomerCombined[[#This Row],[ID]], Table4[ID], Table4[Website], "Not Found", 0)</f>
        <v>7</v>
      </c>
      <c r="T1501" s="5">
        <f>_xlfn.XLOOKUP(CustomerCombined[[#This Row],[ID]], Table4[ID], Table4[Catalog], "Not Found", 0)</f>
        <v>2</v>
      </c>
      <c r="U1501" s="5">
        <f>_xlfn.XLOOKUP(CustomerCombined[[#This Row],[ID]], Table4[ID], Table4[Store], "Not Found", 0)</f>
        <v>9</v>
      </c>
      <c r="V1501" s="5">
        <f>_xlfn.XLOOKUP(CustomerCombined[[#This Row],[ID]], Table4[ID], Table4[Visits], "Not Found", 0)</f>
        <v>6</v>
      </c>
      <c r="W1501" s="8">
        <f>_xlfn.XLOOKUP(CustomerCombined[[#This Row],[ID]], Table2[ID],Table2[Complaint], "Not Found", 0 )</f>
        <v>0</v>
      </c>
      <c r="X1501" s="8">
        <f>_xlfn.XLOOKUP(CustomerCombined[[#This Row],[ID]], Table2[ID],Table2[Pilot], "Not Found", 0 )</f>
        <v>0</v>
      </c>
      <c r="Y1501" s="8">
        <f>_xlfn.XLOOKUP(CustomerCombined[[#This Row],[ID]], Table2[ID],Table2[MC1], "Not Found", 0 )</f>
        <v>0</v>
      </c>
      <c r="Z1501" s="8">
        <f>_xlfn.XLOOKUP(CustomerCombined[[#This Row],[ID]], Table2[ID],Table2[MC2], "Not Found", 0 )</f>
        <v>0</v>
      </c>
      <c r="AA1501" s="8">
        <f>_xlfn.XLOOKUP(CustomerCombined[[#This Row],[ID]], Table2[ID],Table2[MC3], "Not Found", 0 )</f>
        <v>0</v>
      </c>
      <c r="AB1501" s="8">
        <f>_xlfn.XLOOKUP(CustomerCombined[[#This Row],[ID]], Table2[ID],Table2[MC4], "Not Found", 0 )</f>
        <v>0</v>
      </c>
      <c r="AC1501" s="8">
        <f>_xlfn.XLOOKUP(CustomerCombined[[#This Row],[ID]], Table2[ID],Table2[MC5], "Not Found", 0 )</f>
        <v>0</v>
      </c>
    </row>
    <row r="1502" spans="1:29" x14ac:dyDescent="0.3">
      <c r="A1502" s="6">
        <v>2600</v>
      </c>
      <c r="B1502" s="6">
        <v>154414</v>
      </c>
      <c r="C1502" s="6">
        <v>1</v>
      </c>
      <c r="D1502" s="6">
        <v>1</v>
      </c>
      <c r="E1502" s="6">
        <v>57</v>
      </c>
      <c r="F1502" s="5" t="s">
        <v>8</v>
      </c>
      <c r="G1502" s="5" t="s">
        <v>11</v>
      </c>
      <c r="H1502" s="3" t="s">
        <v>318</v>
      </c>
      <c r="I1502" s="5" t="s">
        <v>438</v>
      </c>
      <c r="J1502" s="5">
        <f>_xlfn.XLOOKUP(CustomerCombined[[#This Row],[ID]], Table4[ID], Table4[Recency], "Not Found", 0)</f>
        <v>49</v>
      </c>
      <c r="K1502" s="5">
        <f>_xlfn.XLOOKUP(CustomerCombined[[#This Row],[ID]], Table4[ID], Table4[Teas], "Not Found", 0)</f>
        <v>309</v>
      </c>
      <c r="L1502" s="5">
        <f>_xlfn.XLOOKUP(CustomerCombined[[#This Row],[ID]], Table4[ID], Table4[Fruits], "Not Found", 0)</f>
        <v>51</v>
      </c>
      <c r="M1502" s="5">
        <f>_xlfn.XLOOKUP(CustomerCombined[[#This Row],[ID]], Table4[ID], Table4[Meats], "Not Found", 0)</f>
        <v>45</v>
      </c>
      <c r="N1502" s="5">
        <f>_xlfn.XLOOKUP(CustomerCombined[[#This Row],[ID]], Table4[ID], Table4[Seafood], "Not Found", 0)</f>
        <v>68</v>
      </c>
      <c r="O1502" s="5">
        <f>_xlfn.XLOOKUP(CustomerCombined[[#This Row],[ID]], Table4[ID], Table4[Sweets], "Not Found", 0)</f>
        <v>74</v>
      </c>
      <c r="P1502" s="5">
        <f>_xlfn.XLOOKUP(CustomerCombined[[#This Row],[ID]], Table4[ID], Table4[Premium], "Not Found", 0)</f>
        <v>51</v>
      </c>
      <c r="Q1502" s="5">
        <f>_xlfn.XLOOKUP(CustomerCombined[[#This Row],[ID]], Table4[ID], Table4[Regular], "Not Found", 0)</f>
        <v>497</v>
      </c>
      <c r="R1502" s="5">
        <f>_xlfn.XLOOKUP(CustomerCombined[[#This Row],[ID]], Table4[ID], Table4[Deals], "Not Found", 0)</f>
        <v>4</v>
      </c>
      <c r="S1502" s="5">
        <f>_xlfn.XLOOKUP(CustomerCombined[[#This Row],[ID]], Table4[ID], Table4[Website], "Not Found", 0)</f>
        <v>3</v>
      </c>
      <c r="T1502" s="5">
        <f>_xlfn.XLOOKUP(CustomerCombined[[#This Row],[ID]], Table4[ID], Table4[Catalog], "Not Found", 0)</f>
        <v>1</v>
      </c>
      <c r="U1502" s="5">
        <f>_xlfn.XLOOKUP(CustomerCombined[[#This Row],[ID]], Table4[ID], Table4[Store], "Not Found", 0)</f>
        <v>5</v>
      </c>
      <c r="V1502" s="5">
        <f>_xlfn.XLOOKUP(CustomerCombined[[#This Row],[ID]], Table4[ID], Table4[Visits], "Not Found", 0)</f>
        <v>4</v>
      </c>
      <c r="W1502" s="8">
        <f>_xlfn.XLOOKUP(CustomerCombined[[#This Row],[ID]], Table2[ID],Table2[Complaint], "Not Found", 0 )</f>
        <v>0</v>
      </c>
      <c r="X1502" s="8">
        <f>_xlfn.XLOOKUP(CustomerCombined[[#This Row],[ID]], Table2[ID],Table2[Pilot], "Not Found", 0 )</f>
        <v>0</v>
      </c>
      <c r="Y1502" s="8">
        <f>_xlfn.XLOOKUP(CustomerCombined[[#This Row],[ID]], Table2[ID],Table2[MC1], "Not Found", 0 )</f>
        <v>0</v>
      </c>
      <c r="Z1502" s="8">
        <f>_xlfn.XLOOKUP(CustomerCombined[[#This Row],[ID]], Table2[ID],Table2[MC2], "Not Found", 0 )</f>
        <v>0</v>
      </c>
      <c r="AA1502" s="8">
        <f>_xlfn.XLOOKUP(CustomerCombined[[#This Row],[ID]], Table2[ID],Table2[MC3], "Not Found", 0 )</f>
        <v>0</v>
      </c>
      <c r="AB1502" s="8">
        <f>_xlfn.XLOOKUP(CustomerCombined[[#This Row],[ID]], Table2[ID],Table2[MC4], "Not Found", 0 )</f>
        <v>0</v>
      </c>
      <c r="AC1502" s="8">
        <f>_xlfn.XLOOKUP(CustomerCombined[[#This Row],[ID]], Table2[ID],Table2[MC5], "Not Found", 0 )</f>
        <v>0</v>
      </c>
    </row>
    <row r="1503" spans="1:29" x14ac:dyDescent="0.3">
      <c r="A1503" s="6">
        <v>2581</v>
      </c>
      <c r="B1503" s="6">
        <v>154072</v>
      </c>
      <c r="C1503" s="6">
        <v>1</v>
      </c>
      <c r="D1503" s="6">
        <v>1</v>
      </c>
      <c r="E1503" s="6">
        <v>57</v>
      </c>
      <c r="F1503" s="5" t="s">
        <v>6</v>
      </c>
      <c r="G1503" s="5" t="s">
        <v>13</v>
      </c>
      <c r="H1503" s="3">
        <v>43831</v>
      </c>
      <c r="I1503" s="5" t="s">
        <v>437</v>
      </c>
      <c r="J1503" s="5">
        <f>_xlfn.XLOOKUP(CustomerCombined[[#This Row],[ID]], Table4[ID], Table4[Recency], "Not Found", 0)</f>
        <v>71</v>
      </c>
      <c r="K1503" s="5">
        <f>_xlfn.XLOOKUP(CustomerCombined[[#This Row],[ID]], Table4[ID], Table4[Teas], "Not Found", 0)</f>
        <v>100</v>
      </c>
      <c r="L1503" s="5">
        <f>_xlfn.XLOOKUP(CustomerCombined[[#This Row],[ID]], Table4[ID], Table4[Fruits], "Not Found", 0)</f>
        <v>0</v>
      </c>
      <c r="M1503" s="5">
        <f>_xlfn.XLOOKUP(CustomerCombined[[#This Row],[ID]], Table4[ID], Table4[Meats], "Not Found", 0)</f>
        <v>11</v>
      </c>
      <c r="N1503" s="5">
        <f>_xlfn.XLOOKUP(CustomerCombined[[#This Row],[ID]], Table4[ID], Table4[Seafood], "Not Found", 0)</f>
        <v>0</v>
      </c>
      <c r="O1503" s="5">
        <f>_xlfn.XLOOKUP(CustomerCombined[[#This Row],[ID]], Table4[ID], Table4[Sweets], "Not Found", 0)</f>
        <v>0</v>
      </c>
      <c r="P1503" s="5">
        <f>_xlfn.XLOOKUP(CustomerCombined[[#This Row],[ID]], Table4[ID], Table4[Premium], "Not Found", 0)</f>
        <v>0</v>
      </c>
      <c r="Q1503" s="5">
        <f>_xlfn.XLOOKUP(CustomerCombined[[#This Row],[ID]], Table4[ID], Table4[Regular], "Not Found", 0)</f>
        <v>111</v>
      </c>
      <c r="R1503" s="5">
        <f>_xlfn.XLOOKUP(CustomerCombined[[#This Row],[ID]], Table4[ID], Table4[Deals], "Not Found", 0)</f>
        <v>1</v>
      </c>
      <c r="S1503" s="5">
        <f>_xlfn.XLOOKUP(CustomerCombined[[#This Row],[ID]], Table4[ID], Table4[Website], "Not Found", 0)</f>
        <v>2</v>
      </c>
      <c r="T1503" s="5">
        <f>_xlfn.XLOOKUP(CustomerCombined[[#This Row],[ID]], Table4[ID], Table4[Catalog], "Not Found", 0)</f>
        <v>0</v>
      </c>
      <c r="U1503" s="5">
        <f>_xlfn.XLOOKUP(CustomerCombined[[#This Row],[ID]], Table4[ID], Table4[Store], "Not Found", 0)</f>
        <v>2</v>
      </c>
      <c r="V1503" s="5">
        <f>_xlfn.XLOOKUP(CustomerCombined[[#This Row],[ID]], Table4[ID], Table4[Visits], "Not Found", 0)</f>
        <v>8</v>
      </c>
      <c r="W1503" s="8">
        <f>_xlfn.XLOOKUP(CustomerCombined[[#This Row],[ID]], Table2[ID],Table2[Complaint], "Not Found", 0 )</f>
        <v>0</v>
      </c>
      <c r="X1503" s="8">
        <f>_xlfn.XLOOKUP(CustomerCombined[[#This Row],[ID]], Table2[ID],Table2[Pilot], "Not Found", 0 )</f>
        <v>0</v>
      </c>
      <c r="Y1503" s="8">
        <f>_xlfn.XLOOKUP(CustomerCombined[[#This Row],[ID]], Table2[ID],Table2[MC1], "Not Found", 0 )</f>
        <v>0</v>
      </c>
      <c r="Z1503" s="8">
        <f>_xlfn.XLOOKUP(CustomerCombined[[#This Row],[ID]], Table2[ID],Table2[MC2], "Not Found", 0 )</f>
        <v>0</v>
      </c>
      <c r="AA1503" s="8">
        <f>_xlfn.XLOOKUP(CustomerCombined[[#This Row],[ID]], Table2[ID],Table2[MC3], "Not Found", 0 )</f>
        <v>0</v>
      </c>
      <c r="AB1503" s="8">
        <f>_xlfn.XLOOKUP(CustomerCombined[[#This Row],[ID]], Table2[ID],Table2[MC4], "Not Found", 0 )</f>
        <v>0</v>
      </c>
      <c r="AC1503" s="8">
        <f>_xlfn.XLOOKUP(CustomerCombined[[#This Row],[ID]], Table2[ID],Table2[MC5], "Not Found", 0 )</f>
        <v>0</v>
      </c>
    </row>
    <row r="1504" spans="1:29" x14ac:dyDescent="0.3">
      <c r="A1504" s="6">
        <v>2247</v>
      </c>
      <c r="B1504" s="6">
        <v>153378</v>
      </c>
      <c r="C1504" s="6">
        <v>1</v>
      </c>
      <c r="D1504" s="6">
        <v>1</v>
      </c>
      <c r="E1504" s="6">
        <v>57</v>
      </c>
      <c r="F1504" s="5" t="s">
        <v>6</v>
      </c>
      <c r="G1504" s="5" t="s">
        <v>13</v>
      </c>
      <c r="H1504" s="3">
        <v>43468</v>
      </c>
      <c r="I1504" s="5" t="s">
        <v>435</v>
      </c>
      <c r="J1504" s="5">
        <f>_xlfn.XLOOKUP(CustomerCombined[[#This Row],[ID]], Table4[ID], Table4[Recency], "Not Found", 0)</f>
        <v>41</v>
      </c>
      <c r="K1504" s="5">
        <f>_xlfn.XLOOKUP(CustomerCombined[[#This Row],[ID]], Table4[ID], Table4[Teas], "Not Found", 0)</f>
        <v>1405</v>
      </c>
      <c r="L1504" s="5">
        <f>_xlfn.XLOOKUP(CustomerCombined[[#This Row],[ID]], Table4[ID], Table4[Fruits], "Not Found", 0)</f>
        <v>17</v>
      </c>
      <c r="M1504" s="5">
        <f>_xlfn.XLOOKUP(CustomerCombined[[#This Row],[ID]], Table4[ID], Table4[Meats], "Not Found", 0)</f>
        <v>437</v>
      </c>
      <c r="N1504" s="5">
        <f>_xlfn.XLOOKUP(CustomerCombined[[#This Row],[ID]], Table4[ID], Table4[Seafood], "Not Found", 0)</f>
        <v>23</v>
      </c>
      <c r="O1504" s="5">
        <f>_xlfn.XLOOKUP(CustomerCombined[[#This Row],[ID]], Table4[ID], Table4[Sweets], "Not Found", 0)</f>
        <v>17</v>
      </c>
      <c r="P1504" s="5">
        <f>_xlfn.XLOOKUP(CustomerCombined[[#This Row],[ID]], Table4[ID], Table4[Premium], "Not Found", 0)</f>
        <v>379</v>
      </c>
      <c r="Q1504" s="5">
        <f>_xlfn.XLOOKUP(CustomerCombined[[#This Row],[ID]], Table4[ID], Table4[Regular], "Not Found", 0)</f>
        <v>1520</v>
      </c>
      <c r="R1504" s="5">
        <f>_xlfn.XLOOKUP(CustomerCombined[[#This Row],[ID]], Table4[ID], Table4[Deals], "Not Found", 0)</f>
        <v>10</v>
      </c>
      <c r="S1504" s="5">
        <f>_xlfn.XLOOKUP(CustomerCombined[[#This Row],[ID]], Table4[ID], Table4[Website], "Not Found", 0)</f>
        <v>9</v>
      </c>
      <c r="T1504" s="5">
        <f>_xlfn.XLOOKUP(CustomerCombined[[#This Row],[ID]], Table4[ID], Table4[Catalog], "Not Found", 0)</f>
        <v>4</v>
      </c>
      <c r="U1504" s="5">
        <f>_xlfn.XLOOKUP(CustomerCombined[[#This Row],[ID]], Table4[ID], Table4[Store], "Not Found", 0)</f>
        <v>6</v>
      </c>
      <c r="V1504" s="5">
        <f>_xlfn.XLOOKUP(CustomerCombined[[#This Row],[ID]], Table4[ID], Table4[Visits], "Not Found", 0)</f>
        <v>8</v>
      </c>
      <c r="W1504" s="8">
        <f>_xlfn.XLOOKUP(CustomerCombined[[#This Row],[ID]], Table2[ID],Table2[Complaint], "Not Found", 0 )</f>
        <v>0</v>
      </c>
      <c r="X1504" s="8">
        <f>_xlfn.XLOOKUP(CustomerCombined[[#This Row],[ID]], Table2[ID],Table2[Pilot], "Not Found", 0 )</f>
        <v>1</v>
      </c>
      <c r="Y1504" s="8">
        <f>_xlfn.XLOOKUP(CustomerCombined[[#This Row],[ID]], Table2[ID],Table2[MC1], "Not Found", 0 )</f>
        <v>0</v>
      </c>
      <c r="Z1504" s="8">
        <f>_xlfn.XLOOKUP(CustomerCombined[[#This Row],[ID]], Table2[ID],Table2[MC2], "Not Found", 0 )</f>
        <v>0</v>
      </c>
      <c r="AA1504" s="8">
        <f>_xlfn.XLOOKUP(CustomerCombined[[#This Row],[ID]], Table2[ID],Table2[MC3], "Not Found", 0 )</f>
        <v>0</v>
      </c>
      <c r="AB1504" s="8">
        <f>_xlfn.XLOOKUP(CustomerCombined[[#This Row],[ID]], Table2[ID],Table2[MC4], "Not Found", 0 )</f>
        <v>0</v>
      </c>
      <c r="AC1504" s="8">
        <f>_xlfn.XLOOKUP(CustomerCombined[[#This Row],[ID]], Table2[ID],Table2[MC5], "Not Found", 0 )</f>
        <v>0</v>
      </c>
    </row>
    <row r="1505" spans="1:29" x14ac:dyDescent="0.3">
      <c r="A1505" s="6">
        <v>1893</v>
      </c>
      <c r="B1505" s="6">
        <v>152278</v>
      </c>
      <c r="C1505" s="6">
        <v>0</v>
      </c>
      <c r="D1505" s="6">
        <v>1</v>
      </c>
      <c r="E1505" s="6">
        <v>57</v>
      </c>
      <c r="F1505" s="5" t="s">
        <v>9</v>
      </c>
      <c r="G1505" s="5" t="s">
        <v>13</v>
      </c>
      <c r="H1505" s="3">
        <v>43503</v>
      </c>
      <c r="I1505" s="5" t="s">
        <v>435</v>
      </c>
      <c r="J1505" s="5">
        <f>_xlfn.XLOOKUP(CustomerCombined[[#This Row],[ID]], Table4[ID], Table4[Recency], "Not Found", 0)</f>
        <v>24</v>
      </c>
      <c r="K1505" s="5">
        <f>_xlfn.XLOOKUP(CustomerCombined[[#This Row],[ID]], Table4[ID], Table4[Teas], "Not Found", 0)</f>
        <v>2776</v>
      </c>
      <c r="L1505" s="5">
        <f>_xlfn.XLOOKUP(CustomerCombined[[#This Row],[ID]], Table4[ID], Table4[Fruits], "Not Found", 0)</f>
        <v>0</v>
      </c>
      <c r="M1505" s="5">
        <f>_xlfn.XLOOKUP(CustomerCombined[[#This Row],[ID]], Table4[ID], Table4[Meats], "Not Found", 0)</f>
        <v>207</v>
      </c>
      <c r="N1505" s="5">
        <f>_xlfn.XLOOKUP(CustomerCombined[[#This Row],[ID]], Table4[ID], Table4[Seafood], "Not Found", 0)</f>
        <v>0</v>
      </c>
      <c r="O1505" s="5">
        <f>_xlfn.XLOOKUP(CustomerCombined[[#This Row],[ID]], Table4[ID], Table4[Sweets], "Not Found", 0)</f>
        <v>0</v>
      </c>
      <c r="P1505" s="5">
        <f>_xlfn.XLOOKUP(CustomerCombined[[#This Row],[ID]], Table4[ID], Table4[Premium], "Not Found", 0)</f>
        <v>507</v>
      </c>
      <c r="Q1505" s="5">
        <f>_xlfn.XLOOKUP(CustomerCombined[[#This Row],[ID]], Table4[ID], Table4[Regular], "Not Found", 0)</f>
        <v>2476</v>
      </c>
      <c r="R1505" s="5">
        <f>_xlfn.XLOOKUP(CustomerCombined[[#This Row],[ID]], Table4[ID], Table4[Deals], "Not Found", 0)</f>
        <v>6</v>
      </c>
      <c r="S1505" s="5">
        <f>_xlfn.XLOOKUP(CustomerCombined[[#This Row],[ID]], Table4[ID], Table4[Website], "Not Found", 0)</f>
        <v>10</v>
      </c>
      <c r="T1505" s="5">
        <f>_xlfn.XLOOKUP(CustomerCombined[[#This Row],[ID]], Table4[ID], Table4[Catalog], "Not Found", 0)</f>
        <v>5</v>
      </c>
      <c r="U1505" s="5">
        <f>_xlfn.XLOOKUP(CustomerCombined[[#This Row],[ID]], Table4[ID], Table4[Store], "Not Found", 0)</f>
        <v>10</v>
      </c>
      <c r="V1505" s="5">
        <f>_xlfn.XLOOKUP(CustomerCombined[[#This Row],[ID]], Table4[ID], Table4[Visits], "Not Found", 0)</f>
        <v>8</v>
      </c>
      <c r="W1505" s="8">
        <f>_xlfn.XLOOKUP(CustomerCombined[[#This Row],[ID]], Table2[ID],Table2[Complaint], "Not Found", 0 )</f>
        <v>0</v>
      </c>
      <c r="X1505" s="8">
        <f>_xlfn.XLOOKUP(CustomerCombined[[#This Row],[ID]], Table2[ID],Table2[Pilot], "Not Found", 0 )</f>
        <v>1</v>
      </c>
      <c r="Y1505" s="8">
        <f>_xlfn.XLOOKUP(CustomerCombined[[#This Row],[ID]], Table2[ID],Table2[MC1], "Not Found", 0 )</f>
        <v>0</v>
      </c>
      <c r="Z1505" s="8">
        <f>_xlfn.XLOOKUP(CustomerCombined[[#This Row],[ID]], Table2[ID],Table2[MC2], "Not Found", 0 )</f>
        <v>0</v>
      </c>
      <c r="AA1505" s="8">
        <f>_xlfn.XLOOKUP(CustomerCombined[[#This Row],[ID]], Table2[ID],Table2[MC3], "Not Found", 0 )</f>
        <v>0</v>
      </c>
      <c r="AB1505" s="8">
        <f>_xlfn.XLOOKUP(CustomerCombined[[#This Row],[ID]], Table2[ID],Table2[MC4], "Not Found", 0 )</f>
        <v>0</v>
      </c>
      <c r="AC1505" s="8">
        <f>_xlfn.XLOOKUP(CustomerCombined[[#This Row],[ID]], Table2[ID],Table2[MC5], "Not Found", 0 )</f>
        <v>0</v>
      </c>
    </row>
    <row r="1506" spans="1:29" x14ac:dyDescent="0.3">
      <c r="A1506" s="6">
        <v>2889</v>
      </c>
      <c r="B1506" s="6">
        <v>152278</v>
      </c>
      <c r="C1506" s="6">
        <v>0</v>
      </c>
      <c r="D1506" s="6">
        <v>1</v>
      </c>
      <c r="E1506" s="6">
        <v>57</v>
      </c>
      <c r="F1506" s="5" t="s">
        <v>9</v>
      </c>
      <c r="G1506" s="5" t="s">
        <v>13</v>
      </c>
      <c r="H1506" s="3">
        <v>43503</v>
      </c>
      <c r="I1506" s="5" t="s">
        <v>435</v>
      </c>
      <c r="J1506" s="5">
        <f>_xlfn.XLOOKUP(CustomerCombined[[#This Row],[ID]], Table4[ID], Table4[Recency], "Not Found", 0)</f>
        <v>24</v>
      </c>
      <c r="K1506" s="5">
        <f>_xlfn.XLOOKUP(CustomerCombined[[#This Row],[ID]], Table4[ID], Table4[Teas], "Not Found", 0)</f>
        <v>2776</v>
      </c>
      <c r="L1506" s="5">
        <f>_xlfn.XLOOKUP(CustomerCombined[[#This Row],[ID]], Table4[ID], Table4[Fruits], "Not Found", 0)</f>
        <v>0</v>
      </c>
      <c r="M1506" s="5">
        <f>_xlfn.XLOOKUP(CustomerCombined[[#This Row],[ID]], Table4[ID], Table4[Meats], "Not Found", 0)</f>
        <v>207</v>
      </c>
      <c r="N1506" s="5">
        <f>_xlfn.XLOOKUP(CustomerCombined[[#This Row],[ID]], Table4[ID], Table4[Seafood], "Not Found", 0)</f>
        <v>0</v>
      </c>
      <c r="O1506" s="5">
        <f>_xlfn.XLOOKUP(CustomerCombined[[#This Row],[ID]], Table4[ID], Table4[Sweets], "Not Found", 0)</f>
        <v>0</v>
      </c>
      <c r="P1506" s="5">
        <f>_xlfn.XLOOKUP(CustomerCombined[[#This Row],[ID]], Table4[ID], Table4[Premium], "Not Found", 0)</f>
        <v>507</v>
      </c>
      <c r="Q1506" s="5">
        <f>_xlfn.XLOOKUP(CustomerCombined[[#This Row],[ID]], Table4[ID], Table4[Regular], "Not Found", 0)</f>
        <v>2476</v>
      </c>
      <c r="R1506" s="5">
        <f>_xlfn.XLOOKUP(CustomerCombined[[#This Row],[ID]], Table4[ID], Table4[Deals], "Not Found", 0)</f>
        <v>6</v>
      </c>
      <c r="S1506" s="5">
        <f>_xlfn.XLOOKUP(CustomerCombined[[#This Row],[ID]], Table4[ID], Table4[Website], "Not Found", 0)</f>
        <v>10</v>
      </c>
      <c r="T1506" s="5">
        <f>_xlfn.XLOOKUP(CustomerCombined[[#This Row],[ID]], Table4[ID], Table4[Catalog], "Not Found", 0)</f>
        <v>5</v>
      </c>
      <c r="U1506" s="5">
        <f>_xlfn.XLOOKUP(CustomerCombined[[#This Row],[ID]], Table4[ID], Table4[Store], "Not Found", 0)</f>
        <v>10</v>
      </c>
      <c r="V1506" s="5">
        <f>_xlfn.XLOOKUP(CustomerCombined[[#This Row],[ID]], Table4[ID], Table4[Visits], "Not Found", 0)</f>
        <v>8</v>
      </c>
      <c r="W1506" s="8">
        <f>_xlfn.XLOOKUP(CustomerCombined[[#This Row],[ID]], Table2[ID],Table2[Complaint], "Not Found", 0 )</f>
        <v>0</v>
      </c>
      <c r="X1506" s="8">
        <f>_xlfn.XLOOKUP(CustomerCombined[[#This Row],[ID]], Table2[ID],Table2[Pilot], "Not Found", 0 )</f>
        <v>0</v>
      </c>
      <c r="Y1506" s="8">
        <f>_xlfn.XLOOKUP(CustomerCombined[[#This Row],[ID]], Table2[ID],Table2[MC1], "Not Found", 0 )</f>
        <v>0</v>
      </c>
      <c r="Z1506" s="8">
        <f>_xlfn.XLOOKUP(CustomerCombined[[#This Row],[ID]], Table2[ID],Table2[MC2], "Not Found", 0 )</f>
        <v>0</v>
      </c>
      <c r="AA1506" s="8">
        <f>_xlfn.XLOOKUP(CustomerCombined[[#This Row],[ID]], Table2[ID],Table2[MC3], "Not Found", 0 )</f>
        <v>0</v>
      </c>
      <c r="AB1506" s="8">
        <f>_xlfn.XLOOKUP(CustomerCombined[[#This Row],[ID]], Table2[ID],Table2[MC4], "Not Found", 0 )</f>
        <v>0</v>
      </c>
      <c r="AC1506" s="8">
        <f>_xlfn.XLOOKUP(CustomerCombined[[#This Row],[ID]], Table2[ID],Table2[MC5], "Not Found", 0 )</f>
        <v>0</v>
      </c>
    </row>
    <row r="1507" spans="1:29" x14ac:dyDescent="0.3">
      <c r="A1507" s="6">
        <v>1393</v>
      </c>
      <c r="B1507" s="6">
        <v>150437</v>
      </c>
      <c r="C1507" s="6">
        <v>0</v>
      </c>
      <c r="D1507" s="6">
        <v>2</v>
      </c>
      <c r="E1507" s="6">
        <v>57</v>
      </c>
      <c r="F1507" s="5" t="s">
        <v>6</v>
      </c>
      <c r="G1507" s="5" t="s">
        <v>11</v>
      </c>
      <c r="H1507" s="3" t="s">
        <v>377</v>
      </c>
      <c r="I1507" s="5" t="s">
        <v>437</v>
      </c>
      <c r="J1507" s="5">
        <f>_xlfn.XLOOKUP(CustomerCombined[[#This Row],[ID]], Table4[ID], Table4[Recency], "Not Found", 0)</f>
        <v>28</v>
      </c>
      <c r="K1507" s="5">
        <f>_xlfn.XLOOKUP(CustomerCombined[[#This Row],[ID]], Table4[ID], Table4[Teas], "Not Found", 0)</f>
        <v>1104</v>
      </c>
      <c r="L1507" s="5">
        <f>_xlfn.XLOOKUP(CustomerCombined[[#This Row],[ID]], Table4[ID], Table4[Fruits], "Not Found", 0)</f>
        <v>27</v>
      </c>
      <c r="M1507" s="5">
        <f>_xlfn.XLOOKUP(CustomerCombined[[#This Row],[ID]], Table4[ID], Table4[Meats], "Not Found", 0)</f>
        <v>274</v>
      </c>
      <c r="N1507" s="5">
        <f>_xlfn.XLOOKUP(CustomerCombined[[#This Row],[ID]], Table4[ID], Table4[Seafood], "Not Found", 0)</f>
        <v>18</v>
      </c>
      <c r="O1507" s="5">
        <f>_xlfn.XLOOKUP(CustomerCombined[[#This Row],[ID]], Table4[ID], Table4[Sweets], "Not Found", 0)</f>
        <v>27</v>
      </c>
      <c r="P1507" s="5">
        <f>_xlfn.XLOOKUP(CustomerCombined[[#This Row],[ID]], Table4[ID], Table4[Premium], "Not Found", 0)</f>
        <v>12</v>
      </c>
      <c r="Q1507" s="5">
        <f>_xlfn.XLOOKUP(CustomerCombined[[#This Row],[ID]], Table4[ID], Table4[Regular], "Not Found", 0)</f>
        <v>1438</v>
      </c>
      <c r="R1507" s="5">
        <f>_xlfn.XLOOKUP(CustomerCombined[[#This Row],[ID]], Table4[ID], Table4[Deals], "Not Found", 0)</f>
        <v>3</v>
      </c>
      <c r="S1507" s="5">
        <f>_xlfn.XLOOKUP(CustomerCombined[[#This Row],[ID]], Table4[ID], Table4[Website], "Not Found", 0)</f>
        <v>7</v>
      </c>
      <c r="T1507" s="5">
        <f>_xlfn.XLOOKUP(CustomerCombined[[#This Row],[ID]], Table4[ID], Table4[Catalog], "Not Found", 0)</f>
        <v>1</v>
      </c>
      <c r="U1507" s="5">
        <f>_xlfn.XLOOKUP(CustomerCombined[[#This Row],[ID]], Table4[ID], Table4[Store], "Not Found", 0)</f>
        <v>8</v>
      </c>
      <c r="V1507" s="5">
        <f>_xlfn.XLOOKUP(CustomerCombined[[#This Row],[ID]], Table4[ID], Table4[Visits], "Not Found", 0)</f>
        <v>7</v>
      </c>
      <c r="W1507" s="8">
        <f>_xlfn.XLOOKUP(CustomerCombined[[#This Row],[ID]], Table2[ID],Table2[Complaint], "Not Found", 0 )</f>
        <v>0</v>
      </c>
      <c r="X1507" s="8">
        <f>_xlfn.XLOOKUP(CustomerCombined[[#This Row],[ID]], Table2[ID],Table2[Pilot], "Not Found", 0 )</f>
        <v>0</v>
      </c>
      <c r="Y1507" s="8">
        <f>_xlfn.XLOOKUP(CustomerCombined[[#This Row],[ID]], Table2[ID],Table2[MC1], "Not Found", 0 )</f>
        <v>0</v>
      </c>
      <c r="Z1507" s="8">
        <f>_xlfn.XLOOKUP(CustomerCombined[[#This Row],[ID]], Table2[ID],Table2[MC2], "Not Found", 0 )</f>
        <v>0</v>
      </c>
      <c r="AA1507" s="8">
        <f>_xlfn.XLOOKUP(CustomerCombined[[#This Row],[ID]], Table2[ID],Table2[MC3], "Not Found", 0 )</f>
        <v>0</v>
      </c>
      <c r="AB1507" s="8">
        <f>_xlfn.XLOOKUP(CustomerCombined[[#This Row],[ID]], Table2[ID],Table2[MC4], "Not Found", 0 )</f>
        <v>0</v>
      </c>
      <c r="AC1507" s="8">
        <f>_xlfn.XLOOKUP(CustomerCombined[[#This Row],[ID]], Table2[ID],Table2[MC5], "Not Found", 0 )</f>
        <v>0</v>
      </c>
    </row>
    <row r="1508" spans="1:29" x14ac:dyDescent="0.3">
      <c r="A1508" s="6">
        <v>1829</v>
      </c>
      <c r="B1508" s="6">
        <v>149980</v>
      </c>
      <c r="C1508" s="6">
        <v>0</v>
      </c>
      <c r="D1508" s="6">
        <v>1</v>
      </c>
      <c r="E1508" s="6">
        <v>57</v>
      </c>
      <c r="F1508" s="5" t="s">
        <v>7</v>
      </c>
      <c r="G1508" s="5" t="s">
        <v>11</v>
      </c>
      <c r="H1508" s="3" t="s">
        <v>159</v>
      </c>
      <c r="I1508" s="5" t="s">
        <v>434</v>
      </c>
      <c r="J1508" s="5">
        <f>_xlfn.XLOOKUP(CustomerCombined[[#This Row],[ID]], Table4[ID], Table4[Recency], "Not Found", 0)</f>
        <v>79</v>
      </c>
      <c r="K1508" s="5">
        <f>_xlfn.XLOOKUP(CustomerCombined[[#This Row],[ID]], Table4[ID], Table4[Teas], "Not Found", 0)</f>
        <v>312</v>
      </c>
      <c r="L1508" s="5">
        <f>_xlfn.XLOOKUP(CustomerCombined[[#This Row],[ID]], Table4[ID], Table4[Fruits], "Not Found", 0)</f>
        <v>3</v>
      </c>
      <c r="M1508" s="5">
        <f>_xlfn.XLOOKUP(CustomerCombined[[#This Row],[ID]], Table4[ID], Table4[Meats], "Not Found", 0)</f>
        <v>162</v>
      </c>
      <c r="N1508" s="5">
        <f>_xlfn.XLOOKUP(CustomerCombined[[#This Row],[ID]], Table4[ID], Table4[Seafood], "Not Found", 0)</f>
        <v>39</v>
      </c>
      <c r="O1508" s="5">
        <f>_xlfn.XLOOKUP(CustomerCombined[[#This Row],[ID]], Table4[ID], Table4[Sweets], "Not Found", 0)</f>
        <v>27</v>
      </c>
      <c r="P1508" s="5">
        <f>_xlfn.XLOOKUP(CustomerCombined[[#This Row],[ID]], Table4[ID], Table4[Premium], "Not Found", 0)</f>
        <v>42</v>
      </c>
      <c r="Q1508" s="5">
        <f>_xlfn.XLOOKUP(CustomerCombined[[#This Row],[ID]], Table4[ID], Table4[Regular], "Not Found", 0)</f>
        <v>501</v>
      </c>
      <c r="R1508" s="5">
        <f>_xlfn.XLOOKUP(CustomerCombined[[#This Row],[ID]], Table4[ID], Table4[Deals], "Not Found", 0)</f>
        <v>2</v>
      </c>
      <c r="S1508" s="5">
        <f>_xlfn.XLOOKUP(CustomerCombined[[#This Row],[ID]], Table4[ID], Table4[Website], "Not Found", 0)</f>
        <v>3</v>
      </c>
      <c r="T1508" s="5">
        <f>_xlfn.XLOOKUP(CustomerCombined[[#This Row],[ID]], Table4[ID], Table4[Catalog], "Not Found", 0)</f>
        <v>1</v>
      </c>
      <c r="U1508" s="5">
        <f>_xlfn.XLOOKUP(CustomerCombined[[#This Row],[ID]], Table4[ID], Table4[Store], "Not Found", 0)</f>
        <v>5</v>
      </c>
      <c r="V1508" s="5">
        <f>_xlfn.XLOOKUP(CustomerCombined[[#This Row],[ID]], Table4[ID], Table4[Visits], "Not Found", 0)</f>
        <v>5</v>
      </c>
      <c r="W1508" s="8">
        <f>_xlfn.XLOOKUP(CustomerCombined[[#This Row],[ID]], Table2[ID],Table2[Complaint], "Not Found", 0 )</f>
        <v>0</v>
      </c>
      <c r="X1508" s="8">
        <f>_xlfn.XLOOKUP(CustomerCombined[[#This Row],[ID]], Table2[ID],Table2[Pilot], "Not Found", 0 )</f>
        <v>0</v>
      </c>
      <c r="Y1508" s="8">
        <f>_xlfn.XLOOKUP(CustomerCombined[[#This Row],[ID]], Table2[ID],Table2[MC1], "Not Found", 0 )</f>
        <v>0</v>
      </c>
      <c r="Z1508" s="8">
        <f>_xlfn.XLOOKUP(CustomerCombined[[#This Row],[ID]], Table2[ID],Table2[MC2], "Not Found", 0 )</f>
        <v>0</v>
      </c>
      <c r="AA1508" s="8">
        <f>_xlfn.XLOOKUP(CustomerCombined[[#This Row],[ID]], Table2[ID],Table2[MC3], "Not Found", 0 )</f>
        <v>0</v>
      </c>
      <c r="AB1508" s="8">
        <f>_xlfn.XLOOKUP(CustomerCombined[[#This Row],[ID]], Table2[ID],Table2[MC4], "Not Found", 0 )</f>
        <v>0</v>
      </c>
      <c r="AC1508" s="8">
        <f>_xlfn.XLOOKUP(CustomerCombined[[#This Row],[ID]], Table2[ID],Table2[MC5], "Not Found", 0 )</f>
        <v>0</v>
      </c>
    </row>
    <row r="1509" spans="1:29" x14ac:dyDescent="0.3">
      <c r="A1509" s="6">
        <v>2441</v>
      </c>
      <c r="B1509" s="6">
        <v>149476</v>
      </c>
      <c r="C1509" s="6">
        <v>0</v>
      </c>
      <c r="D1509" s="6">
        <v>1</v>
      </c>
      <c r="E1509" s="6">
        <v>57</v>
      </c>
      <c r="F1509" s="5" t="s">
        <v>5</v>
      </c>
      <c r="G1509" s="5" t="s">
        <v>12</v>
      </c>
      <c r="H1509" s="3" t="s">
        <v>233</v>
      </c>
      <c r="I1509" s="5" t="s">
        <v>434</v>
      </c>
      <c r="J1509" s="5">
        <f>_xlfn.XLOOKUP(CustomerCombined[[#This Row],[ID]], Table4[ID], Table4[Recency], "Not Found", 0)</f>
        <v>29</v>
      </c>
      <c r="K1509" s="5">
        <f>_xlfn.XLOOKUP(CustomerCombined[[#This Row],[ID]], Table4[ID], Table4[Teas], "Not Found", 0)</f>
        <v>1166</v>
      </c>
      <c r="L1509" s="5">
        <f>_xlfn.XLOOKUP(CustomerCombined[[#This Row],[ID]], Table4[ID], Table4[Fruits], "Not Found", 0)</f>
        <v>69</v>
      </c>
      <c r="M1509" s="5">
        <f>_xlfn.XLOOKUP(CustomerCombined[[#This Row],[ID]], Table4[ID], Table4[Meats], "Not Found", 0)</f>
        <v>287</v>
      </c>
      <c r="N1509" s="5">
        <f>_xlfn.XLOOKUP(CustomerCombined[[#This Row],[ID]], Table4[ID], Table4[Seafood], "Not Found", 0)</f>
        <v>163</v>
      </c>
      <c r="O1509" s="5">
        <f>_xlfn.XLOOKUP(CustomerCombined[[#This Row],[ID]], Table4[ID], Table4[Sweets], "Not Found", 0)</f>
        <v>124</v>
      </c>
      <c r="P1509" s="5">
        <f>_xlfn.XLOOKUP(CustomerCombined[[#This Row],[ID]], Table4[ID], Table4[Premium], "Not Found", 0)</f>
        <v>592</v>
      </c>
      <c r="Q1509" s="5">
        <f>_xlfn.XLOOKUP(CustomerCombined[[#This Row],[ID]], Table4[ID], Table4[Regular], "Not Found", 0)</f>
        <v>1218</v>
      </c>
      <c r="R1509" s="5">
        <f>_xlfn.XLOOKUP(CustomerCombined[[#This Row],[ID]], Table4[ID], Table4[Deals], "Not Found", 0)</f>
        <v>4</v>
      </c>
      <c r="S1509" s="5">
        <f>_xlfn.XLOOKUP(CustomerCombined[[#This Row],[ID]], Table4[ID], Table4[Website], "Not Found", 0)</f>
        <v>2</v>
      </c>
      <c r="T1509" s="5">
        <f>_xlfn.XLOOKUP(CustomerCombined[[#This Row],[ID]], Table4[ID], Table4[Catalog], "Not Found", 0)</f>
        <v>11</v>
      </c>
      <c r="U1509" s="5">
        <f>_xlfn.XLOOKUP(CustomerCombined[[#This Row],[ID]], Table4[ID], Table4[Store], "Not Found", 0)</f>
        <v>5</v>
      </c>
      <c r="V1509" s="5">
        <f>_xlfn.XLOOKUP(CustomerCombined[[#This Row],[ID]], Table4[ID], Table4[Visits], "Not Found", 0)</f>
        <v>2</v>
      </c>
      <c r="W1509" s="8">
        <f>_xlfn.XLOOKUP(CustomerCombined[[#This Row],[ID]], Table2[ID],Table2[Complaint], "Not Found", 0 )</f>
        <v>0</v>
      </c>
      <c r="X1509" s="8">
        <f>_xlfn.XLOOKUP(CustomerCombined[[#This Row],[ID]], Table2[ID],Table2[Pilot], "Not Found", 0 )</f>
        <v>0</v>
      </c>
      <c r="Y1509" s="8">
        <f>_xlfn.XLOOKUP(CustomerCombined[[#This Row],[ID]], Table2[ID],Table2[MC1], "Not Found", 0 )</f>
        <v>0</v>
      </c>
      <c r="Z1509" s="8">
        <f>_xlfn.XLOOKUP(CustomerCombined[[#This Row],[ID]], Table2[ID],Table2[MC2], "Not Found", 0 )</f>
        <v>0</v>
      </c>
      <c r="AA1509" s="8">
        <f>_xlfn.XLOOKUP(CustomerCombined[[#This Row],[ID]], Table2[ID],Table2[MC3], "Not Found", 0 )</f>
        <v>0</v>
      </c>
      <c r="AB1509" s="8">
        <f>_xlfn.XLOOKUP(CustomerCombined[[#This Row],[ID]], Table2[ID],Table2[MC4], "Not Found", 0 )</f>
        <v>0</v>
      </c>
      <c r="AC1509" s="8">
        <f>_xlfn.XLOOKUP(CustomerCombined[[#This Row],[ID]], Table2[ID],Table2[MC5], "Not Found", 0 )</f>
        <v>0</v>
      </c>
    </row>
    <row r="1510" spans="1:29" x14ac:dyDescent="0.3">
      <c r="A1510" s="6">
        <v>2275</v>
      </c>
      <c r="B1510" s="6">
        <v>148918</v>
      </c>
      <c r="C1510" s="6">
        <v>1</v>
      </c>
      <c r="D1510" s="6">
        <v>1</v>
      </c>
      <c r="E1510" s="6">
        <v>57</v>
      </c>
      <c r="F1510" s="5" t="s">
        <v>7</v>
      </c>
      <c r="G1510" s="5" t="s">
        <v>13</v>
      </c>
      <c r="H1510" s="3" t="s">
        <v>70</v>
      </c>
      <c r="I1510" s="5" t="s">
        <v>437</v>
      </c>
      <c r="J1510" s="5">
        <f>_xlfn.XLOOKUP(CustomerCombined[[#This Row],[ID]], Table4[ID], Table4[Recency], "Not Found", 0)</f>
        <v>21</v>
      </c>
      <c r="K1510" s="5">
        <f>_xlfn.XLOOKUP(CustomerCombined[[#This Row],[ID]], Table4[ID], Table4[Teas], "Not Found", 0)</f>
        <v>158</v>
      </c>
      <c r="L1510" s="5">
        <f>_xlfn.XLOOKUP(CustomerCombined[[#This Row],[ID]], Table4[ID], Table4[Fruits], "Not Found", 0)</f>
        <v>0</v>
      </c>
      <c r="M1510" s="5">
        <f>_xlfn.XLOOKUP(CustomerCombined[[#This Row],[ID]], Table4[ID], Table4[Meats], "Not Found", 0)</f>
        <v>27</v>
      </c>
      <c r="N1510" s="5">
        <f>_xlfn.XLOOKUP(CustomerCombined[[#This Row],[ID]], Table4[ID], Table4[Seafood], "Not Found", 0)</f>
        <v>0</v>
      </c>
      <c r="O1510" s="5">
        <f>_xlfn.XLOOKUP(CustomerCombined[[#This Row],[ID]], Table4[ID], Table4[Sweets], "Not Found", 0)</f>
        <v>0</v>
      </c>
      <c r="P1510" s="5">
        <f>_xlfn.XLOOKUP(CustomerCombined[[#This Row],[ID]], Table4[ID], Table4[Premium], "Not Found", 0)</f>
        <v>3</v>
      </c>
      <c r="Q1510" s="5">
        <f>_xlfn.XLOOKUP(CustomerCombined[[#This Row],[ID]], Table4[ID], Table4[Regular], "Not Found", 0)</f>
        <v>183</v>
      </c>
      <c r="R1510" s="5">
        <f>_xlfn.XLOOKUP(CustomerCombined[[#This Row],[ID]], Table4[ID], Table4[Deals], "Not Found", 0)</f>
        <v>2</v>
      </c>
      <c r="S1510" s="5">
        <f>_xlfn.XLOOKUP(CustomerCombined[[#This Row],[ID]], Table4[ID], Table4[Website], "Not Found", 0)</f>
        <v>1</v>
      </c>
      <c r="T1510" s="5">
        <f>_xlfn.XLOOKUP(CustomerCombined[[#This Row],[ID]], Table4[ID], Table4[Catalog], "Not Found", 0)</f>
        <v>0</v>
      </c>
      <c r="U1510" s="5">
        <f>_xlfn.XLOOKUP(CustomerCombined[[#This Row],[ID]], Table4[ID], Table4[Store], "Not Found", 0)</f>
        <v>4</v>
      </c>
      <c r="V1510" s="5">
        <f>_xlfn.XLOOKUP(CustomerCombined[[#This Row],[ID]], Table4[ID], Table4[Visits], "Not Found", 0)</f>
        <v>4</v>
      </c>
      <c r="W1510" s="8">
        <f>_xlfn.XLOOKUP(CustomerCombined[[#This Row],[ID]], Table2[ID],Table2[Complaint], "Not Found", 0 )</f>
        <v>0</v>
      </c>
      <c r="X1510" s="8">
        <f>_xlfn.XLOOKUP(CustomerCombined[[#This Row],[ID]], Table2[ID],Table2[Pilot], "Not Found", 0 )</f>
        <v>0</v>
      </c>
      <c r="Y1510" s="8">
        <f>_xlfn.XLOOKUP(CustomerCombined[[#This Row],[ID]], Table2[ID],Table2[MC1], "Not Found", 0 )</f>
        <v>0</v>
      </c>
      <c r="Z1510" s="8">
        <f>_xlfn.XLOOKUP(CustomerCombined[[#This Row],[ID]], Table2[ID],Table2[MC2], "Not Found", 0 )</f>
        <v>0</v>
      </c>
      <c r="AA1510" s="8">
        <f>_xlfn.XLOOKUP(CustomerCombined[[#This Row],[ID]], Table2[ID],Table2[MC3], "Not Found", 0 )</f>
        <v>0</v>
      </c>
      <c r="AB1510" s="8">
        <f>_xlfn.XLOOKUP(CustomerCombined[[#This Row],[ID]], Table2[ID],Table2[MC4], "Not Found", 0 )</f>
        <v>0</v>
      </c>
      <c r="AC1510" s="8">
        <f>_xlfn.XLOOKUP(CustomerCombined[[#This Row],[ID]], Table2[ID],Table2[MC5], "Not Found", 0 )</f>
        <v>0</v>
      </c>
    </row>
    <row r="1511" spans="1:29" x14ac:dyDescent="0.3">
      <c r="A1511" s="6">
        <v>2766</v>
      </c>
      <c r="B1511" s="6">
        <v>148918</v>
      </c>
      <c r="C1511" s="6">
        <v>1</v>
      </c>
      <c r="D1511" s="6">
        <v>1</v>
      </c>
      <c r="E1511" s="6">
        <v>57</v>
      </c>
      <c r="F1511" s="5" t="s">
        <v>7</v>
      </c>
      <c r="G1511" s="5" t="s">
        <v>13</v>
      </c>
      <c r="H1511" s="3" t="s">
        <v>70</v>
      </c>
      <c r="I1511" s="5" t="s">
        <v>436</v>
      </c>
      <c r="J1511" s="5">
        <f>_xlfn.XLOOKUP(CustomerCombined[[#This Row],[ID]], Table4[ID], Table4[Recency], "Not Found", 0)</f>
        <v>21</v>
      </c>
      <c r="K1511" s="5">
        <f>_xlfn.XLOOKUP(CustomerCombined[[#This Row],[ID]], Table4[ID], Table4[Teas], "Not Found", 0)</f>
        <v>158</v>
      </c>
      <c r="L1511" s="5">
        <f>_xlfn.XLOOKUP(CustomerCombined[[#This Row],[ID]], Table4[ID], Table4[Fruits], "Not Found", 0)</f>
        <v>0</v>
      </c>
      <c r="M1511" s="5">
        <f>_xlfn.XLOOKUP(CustomerCombined[[#This Row],[ID]], Table4[ID], Table4[Meats], "Not Found", 0)</f>
        <v>27</v>
      </c>
      <c r="N1511" s="5">
        <f>_xlfn.XLOOKUP(CustomerCombined[[#This Row],[ID]], Table4[ID], Table4[Seafood], "Not Found", 0)</f>
        <v>0</v>
      </c>
      <c r="O1511" s="5">
        <f>_xlfn.XLOOKUP(CustomerCombined[[#This Row],[ID]], Table4[ID], Table4[Sweets], "Not Found", 0)</f>
        <v>0</v>
      </c>
      <c r="P1511" s="5">
        <f>_xlfn.XLOOKUP(CustomerCombined[[#This Row],[ID]], Table4[ID], Table4[Premium], "Not Found", 0)</f>
        <v>3</v>
      </c>
      <c r="Q1511" s="5">
        <f>_xlfn.XLOOKUP(CustomerCombined[[#This Row],[ID]], Table4[ID], Table4[Regular], "Not Found", 0)</f>
        <v>183</v>
      </c>
      <c r="R1511" s="5">
        <f>_xlfn.XLOOKUP(CustomerCombined[[#This Row],[ID]], Table4[ID], Table4[Deals], "Not Found", 0)</f>
        <v>2</v>
      </c>
      <c r="S1511" s="5">
        <f>_xlfn.XLOOKUP(CustomerCombined[[#This Row],[ID]], Table4[ID], Table4[Website], "Not Found", 0)</f>
        <v>1</v>
      </c>
      <c r="T1511" s="5">
        <f>_xlfn.XLOOKUP(CustomerCombined[[#This Row],[ID]], Table4[ID], Table4[Catalog], "Not Found", 0)</f>
        <v>0</v>
      </c>
      <c r="U1511" s="5">
        <f>_xlfn.XLOOKUP(CustomerCombined[[#This Row],[ID]], Table4[ID], Table4[Store], "Not Found", 0)</f>
        <v>4</v>
      </c>
      <c r="V1511" s="5">
        <f>_xlfn.XLOOKUP(CustomerCombined[[#This Row],[ID]], Table4[ID], Table4[Visits], "Not Found", 0)</f>
        <v>4</v>
      </c>
      <c r="W1511" s="8">
        <f>_xlfn.XLOOKUP(CustomerCombined[[#This Row],[ID]], Table2[ID],Table2[Complaint], "Not Found", 0 )</f>
        <v>0</v>
      </c>
      <c r="X1511" s="8">
        <f>_xlfn.XLOOKUP(CustomerCombined[[#This Row],[ID]], Table2[ID],Table2[Pilot], "Not Found", 0 )</f>
        <v>0</v>
      </c>
      <c r="Y1511" s="8">
        <f>_xlfn.XLOOKUP(CustomerCombined[[#This Row],[ID]], Table2[ID],Table2[MC1], "Not Found", 0 )</f>
        <v>0</v>
      </c>
      <c r="Z1511" s="8">
        <f>_xlfn.XLOOKUP(CustomerCombined[[#This Row],[ID]], Table2[ID],Table2[MC2], "Not Found", 0 )</f>
        <v>0</v>
      </c>
      <c r="AA1511" s="8">
        <f>_xlfn.XLOOKUP(CustomerCombined[[#This Row],[ID]], Table2[ID],Table2[MC3], "Not Found", 0 )</f>
        <v>0</v>
      </c>
      <c r="AB1511" s="8">
        <f>_xlfn.XLOOKUP(CustomerCombined[[#This Row],[ID]], Table2[ID],Table2[MC4], "Not Found", 0 )</f>
        <v>0</v>
      </c>
      <c r="AC1511" s="8">
        <f>_xlfn.XLOOKUP(CustomerCombined[[#This Row],[ID]], Table2[ID],Table2[MC5], "Not Found", 0 )</f>
        <v>0</v>
      </c>
    </row>
    <row r="1512" spans="1:29" x14ac:dyDescent="0.3">
      <c r="A1512" s="6">
        <v>1548</v>
      </c>
      <c r="B1512" s="6">
        <v>148799</v>
      </c>
      <c r="C1512" s="6">
        <v>0</v>
      </c>
      <c r="D1512" s="6">
        <v>1</v>
      </c>
      <c r="E1512" s="6">
        <v>57</v>
      </c>
      <c r="F1512" s="5" t="s">
        <v>5</v>
      </c>
      <c r="G1512" s="5" t="s">
        <v>13</v>
      </c>
      <c r="H1512" s="3">
        <v>44139</v>
      </c>
      <c r="I1512" s="5" t="s">
        <v>436</v>
      </c>
      <c r="J1512" s="5">
        <f>_xlfn.XLOOKUP(CustomerCombined[[#This Row],[ID]], Table4[ID], Table4[Recency], "Not Found", 0)</f>
        <v>9</v>
      </c>
      <c r="K1512" s="5">
        <f>_xlfn.XLOOKUP(CustomerCombined[[#This Row],[ID]], Table4[ID], Table4[Teas], "Not Found", 0)</f>
        <v>531</v>
      </c>
      <c r="L1512" s="5">
        <f>_xlfn.XLOOKUP(CustomerCombined[[#This Row],[ID]], Table4[ID], Table4[Fruits], "Not Found", 0)</f>
        <v>55</v>
      </c>
      <c r="M1512" s="5">
        <f>_xlfn.XLOOKUP(CustomerCombined[[#This Row],[ID]], Table4[ID], Table4[Meats], "Not Found", 0)</f>
        <v>247</v>
      </c>
      <c r="N1512" s="5">
        <f>_xlfn.XLOOKUP(CustomerCombined[[#This Row],[ID]], Table4[ID], Table4[Seafood], "Not Found", 0)</f>
        <v>85</v>
      </c>
      <c r="O1512" s="5">
        <f>_xlfn.XLOOKUP(CustomerCombined[[#This Row],[ID]], Table4[ID], Table4[Sweets], "Not Found", 0)</f>
        <v>18</v>
      </c>
      <c r="P1512" s="5">
        <f>_xlfn.XLOOKUP(CustomerCombined[[#This Row],[ID]], Table4[ID], Table4[Premium], "Not Found", 0)</f>
        <v>73</v>
      </c>
      <c r="Q1512" s="5">
        <f>_xlfn.XLOOKUP(CustomerCombined[[#This Row],[ID]], Table4[ID], Table4[Regular], "Not Found", 0)</f>
        <v>863</v>
      </c>
      <c r="R1512" s="5">
        <f>_xlfn.XLOOKUP(CustomerCombined[[#This Row],[ID]], Table4[ID], Table4[Deals], "Not Found", 0)</f>
        <v>3</v>
      </c>
      <c r="S1512" s="5">
        <f>_xlfn.XLOOKUP(CustomerCombined[[#This Row],[ID]], Table4[ID], Table4[Website], "Not Found", 0)</f>
        <v>3</v>
      </c>
      <c r="T1512" s="5">
        <f>_xlfn.XLOOKUP(CustomerCombined[[#This Row],[ID]], Table4[ID], Table4[Catalog], "Not Found", 0)</f>
        <v>2</v>
      </c>
      <c r="U1512" s="5">
        <f>_xlfn.XLOOKUP(CustomerCombined[[#This Row],[ID]], Table4[ID], Table4[Store], "Not Found", 0)</f>
        <v>7</v>
      </c>
      <c r="V1512" s="5">
        <f>_xlfn.XLOOKUP(CustomerCombined[[#This Row],[ID]], Table4[ID], Table4[Visits], "Not Found", 0)</f>
        <v>3</v>
      </c>
      <c r="W1512" s="8">
        <f>_xlfn.XLOOKUP(CustomerCombined[[#This Row],[ID]], Table2[ID],Table2[Complaint], "Not Found", 0 )</f>
        <v>0</v>
      </c>
      <c r="X1512" s="8">
        <f>_xlfn.XLOOKUP(CustomerCombined[[#This Row],[ID]], Table2[ID],Table2[Pilot], "Not Found", 0 )</f>
        <v>0</v>
      </c>
      <c r="Y1512" s="8">
        <f>_xlfn.XLOOKUP(CustomerCombined[[#This Row],[ID]], Table2[ID],Table2[MC1], "Not Found", 0 )</f>
        <v>0</v>
      </c>
      <c r="Z1512" s="8">
        <f>_xlfn.XLOOKUP(CustomerCombined[[#This Row],[ID]], Table2[ID],Table2[MC2], "Not Found", 0 )</f>
        <v>0</v>
      </c>
      <c r="AA1512" s="8">
        <f>_xlfn.XLOOKUP(CustomerCombined[[#This Row],[ID]], Table2[ID],Table2[MC3], "Not Found", 0 )</f>
        <v>0</v>
      </c>
      <c r="AB1512" s="8">
        <f>_xlfn.XLOOKUP(CustomerCombined[[#This Row],[ID]], Table2[ID],Table2[MC4], "Not Found", 0 )</f>
        <v>0</v>
      </c>
      <c r="AC1512" s="8">
        <f>_xlfn.XLOOKUP(CustomerCombined[[#This Row],[ID]], Table2[ID],Table2[MC5], "Not Found", 0 )</f>
        <v>0</v>
      </c>
    </row>
    <row r="1513" spans="1:29" x14ac:dyDescent="0.3">
      <c r="A1513" s="6">
        <v>1195</v>
      </c>
      <c r="B1513" s="6">
        <v>148721</v>
      </c>
      <c r="C1513" s="6">
        <v>1</v>
      </c>
      <c r="D1513" s="6">
        <v>1</v>
      </c>
      <c r="E1513" s="6">
        <v>57</v>
      </c>
      <c r="F1513" s="5" t="s">
        <v>5</v>
      </c>
      <c r="G1513" s="5" t="s">
        <v>12</v>
      </c>
      <c r="H1513" s="3" t="s">
        <v>258</v>
      </c>
      <c r="I1513" s="5" t="s">
        <v>437</v>
      </c>
      <c r="J1513" s="5">
        <f>_xlfn.XLOOKUP(CustomerCombined[[#This Row],[ID]], Table4[ID], Table4[Recency], "Not Found", 0)</f>
        <v>50</v>
      </c>
      <c r="K1513" s="5">
        <f>_xlfn.XLOOKUP(CustomerCombined[[#This Row],[ID]], Table4[ID], Table4[Teas], "Not Found", 0)</f>
        <v>247</v>
      </c>
      <c r="L1513" s="5">
        <f>_xlfn.XLOOKUP(CustomerCombined[[#This Row],[ID]], Table4[ID], Table4[Fruits], "Not Found", 0)</f>
        <v>55</v>
      </c>
      <c r="M1513" s="5">
        <f>_xlfn.XLOOKUP(CustomerCombined[[#This Row],[ID]], Table4[ID], Table4[Meats], "Not Found", 0)</f>
        <v>345</v>
      </c>
      <c r="N1513" s="5">
        <f>_xlfn.XLOOKUP(CustomerCombined[[#This Row],[ID]], Table4[ID], Table4[Seafood], "Not Found", 0)</f>
        <v>143</v>
      </c>
      <c r="O1513" s="5">
        <f>_xlfn.XLOOKUP(CustomerCombined[[#This Row],[ID]], Table4[ID], Table4[Sweets], "Not Found", 0)</f>
        <v>40</v>
      </c>
      <c r="P1513" s="5">
        <f>_xlfn.XLOOKUP(CustomerCombined[[#This Row],[ID]], Table4[ID], Table4[Premium], "Not Found", 0)</f>
        <v>64</v>
      </c>
      <c r="Q1513" s="5">
        <f>_xlfn.XLOOKUP(CustomerCombined[[#This Row],[ID]], Table4[ID], Table4[Regular], "Not Found", 0)</f>
        <v>766</v>
      </c>
      <c r="R1513" s="5">
        <f>_xlfn.XLOOKUP(CustomerCombined[[#This Row],[ID]], Table4[ID], Table4[Deals], "Not Found", 0)</f>
        <v>6</v>
      </c>
      <c r="S1513" s="5">
        <f>_xlfn.XLOOKUP(CustomerCombined[[#This Row],[ID]], Table4[ID], Table4[Website], "Not Found", 0)</f>
        <v>4</v>
      </c>
      <c r="T1513" s="5">
        <f>_xlfn.XLOOKUP(CustomerCombined[[#This Row],[ID]], Table4[ID], Table4[Catalog], "Not Found", 0)</f>
        <v>2</v>
      </c>
      <c r="U1513" s="5">
        <f>_xlfn.XLOOKUP(CustomerCombined[[#This Row],[ID]], Table4[ID], Table4[Store], "Not Found", 0)</f>
        <v>5</v>
      </c>
      <c r="V1513" s="5">
        <f>_xlfn.XLOOKUP(CustomerCombined[[#This Row],[ID]], Table4[ID], Table4[Visits], "Not Found", 0)</f>
        <v>6</v>
      </c>
      <c r="W1513" s="8">
        <f>_xlfn.XLOOKUP(CustomerCombined[[#This Row],[ID]], Table2[ID],Table2[Complaint], "Not Found", 0 )</f>
        <v>0</v>
      </c>
      <c r="X1513" s="8">
        <f>_xlfn.XLOOKUP(CustomerCombined[[#This Row],[ID]], Table2[ID],Table2[Pilot], "Not Found", 0 )</f>
        <v>0</v>
      </c>
      <c r="Y1513" s="8">
        <f>_xlfn.XLOOKUP(CustomerCombined[[#This Row],[ID]], Table2[ID],Table2[MC1], "Not Found", 0 )</f>
        <v>0</v>
      </c>
      <c r="Z1513" s="8">
        <f>_xlfn.XLOOKUP(CustomerCombined[[#This Row],[ID]], Table2[ID],Table2[MC2], "Not Found", 0 )</f>
        <v>0</v>
      </c>
      <c r="AA1513" s="8">
        <f>_xlfn.XLOOKUP(CustomerCombined[[#This Row],[ID]], Table2[ID],Table2[MC3], "Not Found", 0 )</f>
        <v>0</v>
      </c>
      <c r="AB1513" s="8">
        <f>_xlfn.XLOOKUP(CustomerCombined[[#This Row],[ID]], Table2[ID],Table2[MC4], "Not Found", 0 )</f>
        <v>0</v>
      </c>
      <c r="AC1513" s="8">
        <f>_xlfn.XLOOKUP(CustomerCombined[[#This Row],[ID]], Table2[ID],Table2[MC5], "Not Found", 0 )</f>
        <v>0</v>
      </c>
    </row>
    <row r="1514" spans="1:29" x14ac:dyDescent="0.3">
      <c r="A1514" s="6">
        <v>2786</v>
      </c>
      <c r="B1514" s="6">
        <v>146757</v>
      </c>
      <c r="C1514" s="6">
        <v>0</v>
      </c>
      <c r="D1514" s="6">
        <v>1</v>
      </c>
      <c r="E1514" s="6">
        <v>57</v>
      </c>
      <c r="F1514" s="5" t="s">
        <v>7</v>
      </c>
      <c r="G1514" s="5" t="s">
        <v>13</v>
      </c>
      <c r="H1514" s="3" t="s">
        <v>360</v>
      </c>
      <c r="I1514" s="5" t="s">
        <v>438</v>
      </c>
      <c r="J1514" s="5">
        <f>_xlfn.XLOOKUP(CustomerCombined[[#This Row],[ID]], Table4[ID], Table4[Recency], "Not Found", 0)</f>
        <v>71</v>
      </c>
      <c r="K1514" s="5">
        <f>_xlfn.XLOOKUP(CustomerCombined[[#This Row],[ID]], Table4[ID], Table4[Teas], "Not Found", 0)</f>
        <v>2439</v>
      </c>
      <c r="L1514" s="5">
        <f>_xlfn.XLOOKUP(CustomerCombined[[#This Row],[ID]], Table4[ID], Table4[Fruits], "Not Found", 0)</f>
        <v>94</v>
      </c>
      <c r="M1514" s="5">
        <f>_xlfn.XLOOKUP(CustomerCombined[[#This Row],[ID]], Table4[ID], Table4[Meats], "Not Found", 0)</f>
        <v>512</v>
      </c>
      <c r="N1514" s="5">
        <f>_xlfn.XLOOKUP(CustomerCombined[[#This Row],[ID]], Table4[ID], Table4[Seafood], "Not Found", 0)</f>
        <v>0</v>
      </c>
      <c r="O1514" s="5">
        <f>_xlfn.XLOOKUP(CustomerCombined[[#This Row],[ID]], Table4[ID], Table4[Sweets], "Not Found", 0)</f>
        <v>160</v>
      </c>
      <c r="P1514" s="5">
        <f>_xlfn.XLOOKUP(CustomerCombined[[#This Row],[ID]], Table4[ID], Table4[Premium], "Not Found", 0)</f>
        <v>383</v>
      </c>
      <c r="Q1514" s="5">
        <f>_xlfn.XLOOKUP(CustomerCombined[[#This Row],[ID]], Table4[ID], Table4[Regular], "Not Found", 0)</f>
        <v>2822</v>
      </c>
      <c r="R1514" s="5">
        <f>_xlfn.XLOOKUP(CustomerCombined[[#This Row],[ID]], Table4[ID], Table4[Deals], "Not Found", 0)</f>
        <v>6</v>
      </c>
      <c r="S1514" s="5">
        <f>_xlfn.XLOOKUP(CustomerCombined[[#This Row],[ID]], Table4[ID], Table4[Website], "Not Found", 0)</f>
        <v>4</v>
      </c>
      <c r="T1514" s="5">
        <f>_xlfn.XLOOKUP(CustomerCombined[[#This Row],[ID]], Table4[ID], Table4[Catalog], "Not Found", 0)</f>
        <v>4</v>
      </c>
      <c r="U1514" s="5">
        <f>_xlfn.XLOOKUP(CustomerCombined[[#This Row],[ID]], Table4[ID], Table4[Store], "Not Found", 0)</f>
        <v>7</v>
      </c>
      <c r="V1514" s="5">
        <f>_xlfn.XLOOKUP(CustomerCombined[[#This Row],[ID]], Table4[ID], Table4[Visits], "Not Found", 0)</f>
        <v>9</v>
      </c>
      <c r="W1514" s="8">
        <f>_xlfn.XLOOKUP(CustomerCombined[[#This Row],[ID]], Table2[ID],Table2[Complaint], "Not Found", 0 )</f>
        <v>0</v>
      </c>
      <c r="X1514" s="8">
        <f>_xlfn.XLOOKUP(CustomerCombined[[#This Row],[ID]], Table2[ID],Table2[Pilot], "Not Found", 0 )</f>
        <v>0</v>
      </c>
      <c r="Y1514" s="8">
        <f>_xlfn.XLOOKUP(CustomerCombined[[#This Row],[ID]], Table2[ID],Table2[MC1], "Not Found", 0 )</f>
        <v>0</v>
      </c>
      <c r="Z1514" s="8">
        <f>_xlfn.XLOOKUP(CustomerCombined[[#This Row],[ID]], Table2[ID],Table2[MC2], "Not Found", 0 )</f>
        <v>0</v>
      </c>
      <c r="AA1514" s="8">
        <f>_xlfn.XLOOKUP(CustomerCombined[[#This Row],[ID]], Table2[ID],Table2[MC3], "Not Found", 0 )</f>
        <v>0</v>
      </c>
      <c r="AB1514" s="8">
        <f>_xlfn.XLOOKUP(CustomerCombined[[#This Row],[ID]], Table2[ID],Table2[MC4], "Not Found", 0 )</f>
        <v>0</v>
      </c>
      <c r="AC1514" s="8">
        <f>_xlfn.XLOOKUP(CustomerCombined[[#This Row],[ID]], Table2[ID],Table2[MC5], "Not Found", 0 )</f>
        <v>0</v>
      </c>
    </row>
    <row r="1515" spans="1:29" x14ac:dyDescent="0.3">
      <c r="A1515" s="6">
        <v>3177</v>
      </c>
      <c r="B1515" s="6">
        <v>145146</v>
      </c>
      <c r="C1515" s="6">
        <v>1</v>
      </c>
      <c r="D1515" s="6">
        <v>1</v>
      </c>
      <c r="E1515" s="6">
        <v>57</v>
      </c>
      <c r="F1515" s="5" t="s">
        <v>5</v>
      </c>
      <c r="G1515" s="5" t="s">
        <v>11</v>
      </c>
      <c r="H1515" s="3" t="s">
        <v>221</v>
      </c>
      <c r="I1515" s="5" t="s">
        <v>435</v>
      </c>
      <c r="J1515" s="5">
        <f>_xlfn.XLOOKUP(CustomerCombined[[#This Row],[ID]], Table4[ID], Table4[Recency], "Not Found", 0)</f>
        <v>28</v>
      </c>
      <c r="K1515" s="5">
        <f>_xlfn.XLOOKUP(CustomerCombined[[#This Row],[ID]], Table4[ID], Table4[Teas], "Not Found", 0)</f>
        <v>106</v>
      </c>
      <c r="L1515" s="5">
        <f>_xlfn.XLOOKUP(CustomerCombined[[#This Row],[ID]], Table4[ID], Table4[Fruits], "Not Found", 0)</f>
        <v>0</v>
      </c>
      <c r="M1515" s="5">
        <f>_xlfn.XLOOKUP(CustomerCombined[[#This Row],[ID]], Table4[ID], Table4[Meats], "Not Found", 0)</f>
        <v>16</v>
      </c>
      <c r="N1515" s="5">
        <f>_xlfn.XLOOKUP(CustomerCombined[[#This Row],[ID]], Table4[ID], Table4[Seafood], "Not Found", 0)</f>
        <v>0</v>
      </c>
      <c r="O1515" s="5">
        <f>_xlfn.XLOOKUP(CustomerCombined[[#This Row],[ID]], Table4[ID], Table4[Sweets], "Not Found", 0)</f>
        <v>0</v>
      </c>
      <c r="P1515" s="5">
        <f>_xlfn.XLOOKUP(CustomerCombined[[#This Row],[ID]], Table4[ID], Table4[Premium], "Not Found", 0)</f>
        <v>48</v>
      </c>
      <c r="Q1515" s="5">
        <f>_xlfn.XLOOKUP(CustomerCombined[[#This Row],[ID]], Table4[ID], Table4[Regular], "Not Found", 0)</f>
        <v>74</v>
      </c>
      <c r="R1515" s="5">
        <f>_xlfn.XLOOKUP(CustomerCombined[[#This Row],[ID]], Table4[ID], Table4[Deals], "Not Found", 0)</f>
        <v>2</v>
      </c>
      <c r="S1515" s="5">
        <f>_xlfn.XLOOKUP(CustomerCombined[[#This Row],[ID]], Table4[ID], Table4[Website], "Not Found", 0)</f>
        <v>1</v>
      </c>
      <c r="T1515" s="5">
        <f>_xlfn.XLOOKUP(CustomerCombined[[#This Row],[ID]], Table4[ID], Table4[Catalog], "Not Found", 0)</f>
        <v>1</v>
      </c>
      <c r="U1515" s="5">
        <f>_xlfn.XLOOKUP(CustomerCombined[[#This Row],[ID]], Table4[ID], Table4[Store], "Not Found", 0)</f>
        <v>2</v>
      </c>
      <c r="V1515" s="5">
        <f>_xlfn.XLOOKUP(CustomerCombined[[#This Row],[ID]], Table4[ID], Table4[Visits], "Not Found", 0)</f>
        <v>4</v>
      </c>
      <c r="W1515" s="8">
        <f>_xlfn.XLOOKUP(CustomerCombined[[#This Row],[ID]], Table2[ID],Table2[Complaint], "Not Found", 0 )</f>
        <v>0</v>
      </c>
      <c r="X1515" s="8">
        <f>_xlfn.XLOOKUP(CustomerCombined[[#This Row],[ID]], Table2[ID],Table2[Pilot], "Not Found", 0 )</f>
        <v>0</v>
      </c>
      <c r="Y1515" s="8">
        <f>_xlfn.XLOOKUP(CustomerCombined[[#This Row],[ID]], Table2[ID],Table2[MC1], "Not Found", 0 )</f>
        <v>0</v>
      </c>
      <c r="Z1515" s="8">
        <f>_xlfn.XLOOKUP(CustomerCombined[[#This Row],[ID]], Table2[ID],Table2[MC2], "Not Found", 0 )</f>
        <v>0</v>
      </c>
      <c r="AA1515" s="8">
        <f>_xlfn.XLOOKUP(CustomerCombined[[#This Row],[ID]], Table2[ID],Table2[MC3], "Not Found", 0 )</f>
        <v>0</v>
      </c>
      <c r="AB1515" s="8">
        <f>_xlfn.XLOOKUP(CustomerCombined[[#This Row],[ID]], Table2[ID],Table2[MC4], "Not Found", 0 )</f>
        <v>0</v>
      </c>
      <c r="AC1515" s="8">
        <f>_xlfn.XLOOKUP(CustomerCombined[[#This Row],[ID]], Table2[ID],Table2[MC5], "Not Found", 0 )</f>
        <v>0</v>
      </c>
    </row>
    <row r="1516" spans="1:29" x14ac:dyDescent="0.3">
      <c r="A1516" s="6">
        <v>2603</v>
      </c>
      <c r="B1516" s="6">
        <v>141003</v>
      </c>
      <c r="C1516" s="6">
        <v>0</v>
      </c>
      <c r="D1516" s="6">
        <v>0</v>
      </c>
      <c r="E1516" s="6">
        <v>57</v>
      </c>
      <c r="F1516" s="5" t="s">
        <v>5</v>
      </c>
      <c r="G1516" s="5" t="s">
        <v>13</v>
      </c>
      <c r="H1516" s="3" t="s">
        <v>291</v>
      </c>
      <c r="I1516" s="5" t="s">
        <v>434</v>
      </c>
      <c r="J1516" s="5">
        <f>_xlfn.XLOOKUP(CustomerCombined[[#This Row],[ID]], Table4[ID], Table4[Recency], "Not Found", 0)</f>
        <v>11</v>
      </c>
      <c r="K1516" s="5">
        <f>_xlfn.XLOOKUP(CustomerCombined[[#This Row],[ID]], Table4[ID], Table4[Teas], "Not Found", 0)</f>
        <v>423</v>
      </c>
      <c r="L1516" s="5">
        <f>_xlfn.XLOOKUP(CustomerCombined[[#This Row],[ID]], Table4[ID], Table4[Fruits], "Not Found", 0)</f>
        <v>457</v>
      </c>
      <c r="M1516" s="5">
        <f>_xlfn.XLOOKUP(CustomerCombined[[#This Row],[ID]], Table4[ID], Table4[Meats], "Not Found", 0)</f>
        <v>488</v>
      </c>
      <c r="N1516" s="5">
        <f>_xlfn.XLOOKUP(CustomerCombined[[#This Row],[ID]], Table4[ID], Table4[Seafood], "Not Found", 0)</f>
        <v>244</v>
      </c>
      <c r="O1516" s="5">
        <f>_xlfn.XLOOKUP(CustomerCombined[[#This Row],[ID]], Table4[ID], Table4[Sweets], "Not Found", 0)</f>
        <v>151</v>
      </c>
      <c r="P1516" s="5">
        <f>_xlfn.XLOOKUP(CustomerCombined[[#This Row],[ID]], Table4[ID], Table4[Premium], "Not Found", 0)</f>
        <v>303</v>
      </c>
      <c r="Q1516" s="5">
        <f>_xlfn.XLOOKUP(CustomerCombined[[#This Row],[ID]], Table4[ID], Table4[Regular], "Not Found", 0)</f>
        <v>1462</v>
      </c>
      <c r="R1516" s="5">
        <f>_xlfn.XLOOKUP(CustomerCombined[[#This Row],[ID]], Table4[ID], Table4[Deals], "Not Found", 0)</f>
        <v>1</v>
      </c>
      <c r="S1516" s="5">
        <f>_xlfn.XLOOKUP(CustomerCombined[[#This Row],[ID]], Table4[ID], Table4[Website], "Not Found", 0)</f>
        <v>6</v>
      </c>
      <c r="T1516" s="5">
        <f>_xlfn.XLOOKUP(CustomerCombined[[#This Row],[ID]], Table4[ID], Table4[Catalog], "Not Found", 0)</f>
        <v>2</v>
      </c>
      <c r="U1516" s="5">
        <f>_xlfn.XLOOKUP(CustomerCombined[[#This Row],[ID]], Table4[ID], Table4[Store], "Not Found", 0)</f>
        <v>8</v>
      </c>
      <c r="V1516" s="5">
        <f>_xlfn.XLOOKUP(CustomerCombined[[#This Row],[ID]], Table4[ID], Table4[Visits], "Not Found", 0)</f>
        <v>6</v>
      </c>
      <c r="W1516" s="8">
        <f>_xlfn.XLOOKUP(CustomerCombined[[#This Row],[ID]], Table2[ID],Table2[Complaint], "Not Found", 0 )</f>
        <v>0</v>
      </c>
      <c r="X1516" s="8">
        <f>_xlfn.XLOOKUP(CustomerCombined[[#This Row],[ID]], Table2[ID],Table2[Pilot], "Not Found", 0 )</f>
        <v>0</v>
      </c>
      <c r="Y1516" s="8">
        <f>_xlfn.XLOOKUP(CustomerCombined[[#This Row],[ID]], Table2[ID],Table2[MC1], "Not Found", 0 )</f>
        <v>0</v>
      </c>
      <c r="Z1516" s="8">
        <f>_xlfn.XLOOKUP(CustomerCombined[[#This Row],[ID]], Table2[ID],Table2[MC2], "Not Found", 0 )</f>
        <v>0</v>
      </c>
      <c r="AA1516" s="8">
        <f>_xlfn.XLOOKUP(CustomerCombined[[#This Row],[ID]], Table2[ID],Table2[MC3], "Not Found", 0 )</f>
        <v>0</v>
      </c>
      <c r="AB1516" s="8">
        <f>_xlfn.XLOOKUP(CustomerCombined[[#This Row],[ID]], Table2[ID],Table2[MC4], "Not Found", 0 )</f>
        <v>0</v>
      </c>
      <c r="AC1516" s="8">
        <f>_xlfn.XLOOKUP(CustomerCombined[[#This Row],[ID]], Table2[ID],Table2[MC5], "Not Found", 0 )</f>
        <v>0</v>
      </c>
    </row>
    <row r="1517" spans="1:29" x14ac:dyDescent="0.3">
      <c r="A1517" s="6">
        <v>1534</v>
      </c>
      <c r="B1517" s="6">
        <v>139548</v>
      </c>
      <c r="C1517" s="6">
        <v>1</v>
      </c>
      <c r="D1517" s="6">
        <v>1</v>
      </c>
      <c r="E1517" s="6">
        <v>57</v>
      </c>
      <c r="F1517" s="5" t="s">
        <v>7</v>
      </c>
      <c r="G1517" s="5" t="s">
        <v>442</v>
      </c>
      <c r="H1517" s="3">
        <v>43930</v>
      </c>
      <c r="I1517" s="5" t="s">
        <v>439</v>
      </c>
      <c r="J1517" s="5">
        <f>_xlfn.XLOOKUP(CustomerCombined[[#This Row],[ID]], Table4[ID], Table4[Recency], "Not Found", 0)</f>
        <v>87</v>
      </c>
      <c r="K1517" s="5">
        <f>_xlfn.XLOOKUP(CustomerCombined[[#This Row],[ID]], Table4[ID], Table4[Teas], "Not Found", 0)</f>
        <v>53</v>
      </c>
      <c r="L1517" s="5">
        <f>_xlfn.XLOOKUP(CustomerCombined[[#This Row],[ID]], Table4[ID], Table4[Fruits], "Not Found", 0)</f>
        <v>14</v>
      </c>
      <c r="M1517" s="5">
        <f>_xlfn.XLOOKUP(CustomerCombined[[#This Row],[ID]], Table4[ID], Table4[Meats], "Not Found", 0)</f>
        <v>35</v>
      </c>
      <c r="N1517" s="5">
        <f>_xlfn.XLOOKUP(CustomerCombined[[#This Row],[ID]], Table4[ID], Table4[Seafood], "Not Found", 0)</f>
        <v>11</v>
      </c>
      <c r="O1517" s="5">
        <f>_xlfn.XLOOKUP(CustomerCombined[[#This Row],[ID]], Table4[ID], Table4[Sweets], "Not Found", 0)</f>
        <v>14</v>
      </c>
      <c r="P1517" s="5">
        <f>_xlfn.XLOOKUP(CustomerCombined[[#This Row],[ID]], Table4[ID], Table4[Premium], "Not Found", 0)</f>
        <v>64</v>
      </c>
      <c r="Q1517" s="5">
        <f>_xlfn.XLOOKUP(CustomerCombined[[#This Row],[ID]], Table4[ID], Table4[Regular], "Not Found", 0)</f>
        <v>64</v>
      </c>
      <c r="R1517" s="5">
        <f>_xlfn.XLOOKUP(CustomerCombined[[#This Row],[ID]], Table4[ID], Table4[Deals], "Not Found", 0)</f>
        <v>2</v>
      </c>
      <c r="S1517" s="5">
        <f>_xlfn.XLOOKUP(CustomerCombined[[#This Row],[ID]], Table4[ID], Table4[Website], "Not Found", 0)</f>
        <v>1</v>
      </c>
      <c r="T1517" s="5">
        <f>_xlfn.XLOOKUP(CustomerCombined[[#This Row],[ID]], Table4[ID], Table4[Catalog], "Not Found", 0)</f>
        <v>1</v>
      </c>
      <c r="U1517" s="5">
        <f>_xlfn.XLOOKUP(CustomerCombined[[#This Row],[ID]], Table4[ID], Table4[Store], "Not Found", 0)</f>
        <v>3</v>
      </c>
      <c r="V1517" s="5">
        <f>_xlfn.XLOOKUP(CustomerCombined[[#This Row],[ID]], Table4[ID], Table4[Visits], "Not Found", 0)</f>
        <v>3</v>
      </c>
      <c r="W1517" s="8">
        <f>_xlfn.XLOOKUP(CustomerCombined[[#This Row],[ID]], Table2[ID],Table2[Complaint], "Not Found", 0 )</f>
        <v>0</v>
      </c>
      <c r="X1517" s="8">
        <f>_xlfn.XLOOKUP(CustomerCombined[[#This Row],[ID]], Table2[ID],Table2[Pilot], "Not Found", 0 )</f>
        <v>0</v>
      </c>
      <c r="Y1517" s="8">
        <f>_xlfn.XLOOKUP(CustomerCombined[[#This Row],[ID]], Table2[ID],Table2[MC1], "Not Found", 0 )</f>
        <v>0</v>
      </c>
      <c r="Z1517" s="8">
        <f>_xlfn.XLOOKUP(CustomerCombined[[#This Row],[ID]], Table2[ID],Table2[MC2], "Not Found", 0 )</f>
        <v>0</v>
      </c>
      <c r="AA1517" s="8">
        <f>_xlfn.XLOOKUP(CustomerCombined[[#This Row],[ID]], Table2[ID],Table2[MC3], "Not Found", 0 )</f>
        <v>0</v>
      </c>
      <c r="AB1517" s="8">
        <f>_xlfn.XLOOKUP(CustomerCombined[[#This Row],[ID]], Table2[ID],Table2[MC4], "Not Found", 0 )</f>
        <v>0</v>
      </c>
      <c r="AC1517" s="8">
        <f>_xlfn.XLOOKUP(CustomerCombined[[#This Row],[ID]], Table2[ID],Table2[MC5], "Not Found", 0 )</f>
        <v>0</v>
      </c>
    </row>
    <row r="1518" spans="1:29" x14ac:dyDescent="0.3">
      <c r="A1518" s="6">
        <v>1030</v>
      </c>
      <c r="B1518" s="6">
        <v>138620</v>
      </c>
      <c r="C1518" s="6">
        <v>0</v>
      </c>
      <c r="D1518" s="6">
        <v>0</v>
      </c>
      <c r="E1518" s="6">
        <v>57</v>
      </c>
      <c r="F1518" s="5" t="s">
        <v>8</v>
      </c>
      <c r="G1518" s="5" t="s">
        <v>12</v>
      </c>
      <c r="H1518" s="3" t="s">
        <v>260</v>
      </c>
      <c r="I1518" s="5" t="s">
        <v>439</v>
      </c>
      <c r="J1518" s="5">
        <f>_xlfn.XLOOKUP(CustomerCombined[[#This Row],[ID]], Table4[ID], Table4[Recency], "Not Found", 0)</f>
        <v>56</v>
      </c>
      <c r="K1518" s="5">
        <f>_xlfn.XLOOKUP(CustomerCombined[[#This Row],[ID]], Table4[ID], Table4[Teas], "Not Found", 0)</f>
        <v>402</v>
      </c>
      <c r="L1518" s="5">
        <f>_xlfn.XLOOKUP(CustomerCombined[[#This Row],[ID]], Table4[ID], Table4[Fruits], "Not Found", 0)</f>
        <v>61</v>
      </c>
      <c r="M1518" s="5">
        <f>_xlfn.XLOOKUP(CustomerCombined[[#This Row],[ID]], Table4[ID], Table4[Meats], "Not Found", 0)</f>
        <v>158</v>
      </c>
      <c r="N1518" s="5">
        <f>_xlfn.XLOOKUP(CustomerCombined[[#This Row],[ID]], Table4[ID], Table4[Seafood], "Not Found", 0)</f>
        <v>122</v>
      </c>
      <c r="O1518" s="5">
        <f>_xlfn.XLOOKUP(CustomerCombined[[#This Row],[ID]], Table4[ID], Table4[Sweets], "Not Found", 0)</f>
        <v>79</v>
      </c>
      <c r="P1518" s="5">
        <f>_xlfn.XLOOKUP(CustomerCombined[[#This Row],[ID]], Table4[ID], Table4[Premium], "Not Found", 0)</f>
        <v>319</v>
      </c>
      <c r="Q1518" s="5">
        <f>_xlfn.XLOOKUP(CustomerCombined[[#This Row],[ID]], Table4[ID], Table4[Regular], "Not Found", 0)</f>
        <v>503</v>
      </c>
      <c r="R1518" s="5">
        <f>_xlfn.XLOOKUP(CustomerCombined[[#This Row],[ID]], Table4[ID], Table4[Deals], "Not Found", 0)</f>
        <v>1</v>
      </c>
      <c r="S1518" s="5">
        <f>_xlfn.XLOOKUP(CustomerCombined[[#This Row],[ID]], Table4[ID], Table4[Website], "Not Found", 0)</f>
        <v>2</v>
      </c>
      <c r="T1518" s="5">
        <f>_xlfn.XLOOKUP(CustomerCombined[[#This Row],[ID]], Table4[ID], Table4[Catalog], "Not Found", 0)</f>
        <v>5</v>
      </c>
      <c r="U1518" s="5">
        <f>_xlfn.XLOOKUP(CustomerCombined[[#This Row],[ID]], Table4[ID], Table4[Store], "Not Found", 0)</f>
        <v>3</v>
      </c>
      <c r="V1518" s="5">
        <f>_xlfn.XLOOKUP(CustomerCombined[[#This Row],[ID]], Table4[ID], Table4[Visits], "Not Found", 0)</f>
        <v>3</v>
      </c>
      <c r="W1518" s="8">
        <f>_xlfn.XLOOKUP(CustomerCombined[[#This Row],[ID]], Table2[ID],Table2[Complaint], "Not Found", 0 )</f>
        <v>0</v>
      </c>
      <c r="X1518" s="8">
        <f>_xlfn.XLOOKUP(CustomerCombined[[#This Row],[ID]], Table2[ID],Table2[Pilot], "Not Found", 0 )</f>
        <v>0</v>
      </c>
      <c r="Y1518" s="8">
        <f>_xlfn.XLOOKUP(CustomerCombined[[#This Row],[ID]], Table2[ID],Table2[MC1], "Not Found", 0 )</f>
        <v>0</v>
      </c>
      <c r="Z1518" s="8">
        <f>_xlfn.XLOOKUP(CustomerCombined[[#This Row],[ID]], Table2[ID],Table2[MC2], "Not Found", 0 )</f>
        <v>0</v>
      </c>
      <c r="AA1518" s="8">
        <f>_xlfn.XLOOKUP(CustomerCombined[[#This Row],[ID]], Table2[ID],Table2[MC3], "Not Found", 0 )</f>
        <v>0</v>
      </c>
      <c r="AB1518" s="8">
        <f>_xlfn.XLOOKUP(CustomerCombined[[#This Row],[ID]], Table2[ID],Table2[MC4], "Not Found", 0 )</f>
        <v>0</v>
      </c>
      <c r="AC1518" s="8">
        <f>_xlfn.XLOOKUP(CustomerCombined[[#This Row],[ID]], Table2[ID],Table2[MC5], "Not Found", 0 )</f>
        <v>0</v>
      </c>
    </row>
    <row r="1519" spans="1:29" x14ac:dyDescent="0.3">
      <c r="A1519" s="6">
        <v>1078</v>
      </c>
      <c r="B1519" s="6">
        <v>138620</v>
      </c>
      <c r="C1519" s="6">
        <v>0</v>
      </c>
      <c r="D1519" s="6">
        <v>0</v>
      </c>
      <c r="E1519" s="6">
        <v>57</v>
      </c>
      <c r="F1519" s="5" t="s">
        <v>8</v>
      </c>
      <c r="G1519" s="5" t="s">
        <v>12</v>
      </c>
      <c r="H1519" s="3" t="s">
        <v>260</v>
      </c>
      <c r="I1519" s="5" t="s">
        <v>439</v>
      </c>
      <c r="J1519" s="5">
        <f>_xlfn.XLOOKUP(CustomerCombined[[#This Row],[ID]], Table4[ID], Table4[Recency], "Not Found", 0)</f>
        <v>56</v>
      </c>
      <c r="K1519" s="5">
        <f>_xlfn.XLOOKUP(CustomerCombined[[#This Row],[ID]], Table4[ID], Table4[Teas], "Not Found", 0)</f>
        <v>402</v>
      </c>
      <c r="L1519" s="5">
        <f>_xlfn.XLOOKUP(CustomerCombined[[#This Row],[ID]], Table4[ID], Table4[Fruits], "Not Found", 0)</f>
        <v>61</v>
      </c>
      <c r="M1519" s="5">
        <f>_xlfn.XLOOKUP(CustomerCombined[[#This Row],[ID]], Table4[ID], Table4[Meats], "Not Found", 0)</f>
        <v>158</v>
      </c>
      <c r="N1519" s="5">
        <f>_xlfn.XLOOKUP(CustomerCombined[[#This Row],[ID]], Table4[ID], Table4[Seafood], "Not Found", 0)</f>
        <v>122</v>
      </c>
      <c r="O1519" s="5">
        <f>_xlfn.XLOOKUP(CustomerCombined[[#This Row],[ID]], Table4[ID], Table4[Sweets], "Not Found", 0)</f>
        <v>79</v>
      </c>
      <c r="P1519" s="5">
        <f>_xlfn.XLOOKUP(CustomerCombined[[#This Row],[ID]], Table4[ID], Table4[Premium], "Not Found", 0)</f>
        <v>319</v>
      </c>
      <c r="Q1519" s="5">
        <f>_xlfn.XLOOKUP(CustomerCombined[[#This Row],[ID]], Table4[ID], Table4[Regular], "Not Found", 0)</f>
        <v>503</v>
      </c>
      <c r="R1519" s="5">
        <f>_xlfn.XLOOKUP(CustomerCombined[[#This Row],[ID]], Table4[ID], Table4[Deals], "Not Found", 0)</f>
        <v>1</v>
      </c>
      <c r="S1519" s="5">
        <f>_xlfn.XLOOKUP(CustomerCombined[[#This Row],[ID]], Table4[ID], Table4[Website], "Not Found", 0)</f>
        <v>2</v>
      </c>
      <c r="T1519" s="5">
        <f>_xlfn.XLOOKUP(CustomerCombined[[#This Row],[ID]], Table4[ID], Table4[Catalog], "Not Found", 0)</f>
        <v>5</v>
      </c>
      <c r="U1519" s="5">
        <f>_xlfn.XLOOKUP(CustomerCombined[[#This Row],[ID]], Table4[ID], Table4[Store], "Not Found", 0)</f>
        <v>3</v>
      </c>
      <c r="V1519" s="5">
        <f>_xlfn.XLOOKUP(CustomerCombined[[#This Row],[ID]], Table4[ID], Table4[Visits], "Not Found", 0)</f>
        <v>3</v>
      </c>
      <c r="W1519" s="8">
        <f>_xlfn.XLOOKUP(CustomerCombined[[#This Row],[ID]], Table2[ID],Table2[Complaint], "Not Found", 0 )</f>
        <v>0</v>
      </c>
      <c r="X1519" s="8">
        <f>_xlfn.XLOOKUP(CustomerCombined[[#This Row],[ID]], Table2[ID],Table2[Pilot], "Not Found", 0 )</f>
        <v>0</v>
      </c>
      <c r="Y1519" s="8">
        <f>_xlfn.XLOOKUP(CustomerCombined[[#This Row],[ID]], Table2[ID],Table2[MC1], "Not Found", 0 )</f>
        <v>0</v>
      </c>
      <c r="Z1519" s="8">
        <f>_xlfn.XLOOKUP(CustomerCombined[[#This Row],[ID]], Table2[ID],Table2[MC2], "Not Found", 0 )</f>
        <v>0</v>
      </c>
      <c r="AA1519" s="8">
        <f>_xlfn.XLOOKUP(CustomerCombined[[#This Row],[ID]], Table2[ID],Table2[MC3], "Not Found", 0 )</f>
        <v>0</v>
      </c>
      <c r="AB1519" s="8">
        <f>_xlfn.XLOOKUP(CustomerCombined[[#This Row],[ID]], Table2[ID],Table2[MC4], "Not Found", 0 )</f>
        <v>0</v>
      </c>
      <c r="AC1519" s="8">
        <f>_xlfn.XLOOKUP(CustomerCombined[[#This Row],[ID]], Table2[ID],Table2[MC5], "Not Found", 0 )</f>
        <v>0</v>
      </c>
    </row>
    <row r="1520" spans="1:29" x14ac:dyDescent="0.3">
      <c r="A1520" s="6">
        <v>1990</v>
      </c>
      <c r="B1520" s="6">
        <v>136736</v>
      </c>
      <c r="C1520" s="6">
        <v>1</v>
      </c>
      <c r="D1520" s="6">
        <v>1</v>
      </c>
      <c r="E1520" s="6">
        <v>57</v>
      </c>
      <c r="F1520" s="5" t="s">
        <v>7</v>
      </c>
      <c r="G1520" s="5" t="s">
        <v>13</v>
      </c>
      <c r="H1520" s="3" t="s">
        <v>261</v>
      </c>
      <c r="I1520" s="5" t="s">
        <v>439</v>
      </c>
      <c r="J1520" s="5">
        <f>_xlfn.XLOOKUP(CustomerCombined[[#This Row],[ID]], Table4[ID], Table4[Recency], "Not Found", 0)</f>
        <v>52</v>
      </c>
      <c r="K1520" s="5">
        <f>_xlfn.XLOOKUP(CustomerCombined[[#This Row],[ID]], Table4[ID], Table4[Teas], "Not Found", 0)</f>
        <v>37</v>
      </c>
      <c r="L1520" s="5">
        <f>_xlfn.XLOOKUP(CustomerCombined[[#This Row],[ID]], Table4[ID], Table4[Fruits], "Not Found", 0)</f>
        <v>0</v>
      </c>
      <c r="M1520" s="5">
        <f>_xlfn.XLOOKUP(CustomerCombined[[#This Row],[ID]], Table4[ID], Table4[Meats], "Not Found", 0)</f>
        <v>11</v>
      </c>
      <c r="N1520" s="5">
        <f>_xlfn.XLOOKUP(CustomerCombined[[#This Row],[ID]], Table4[ID], Table4[Seafood], "Not Found", 0)</f>
        <v>0</v>
      </c>
      <c r="O1520" s="5">
        <f>_xlfn.XLOOKUP(CustomerCombined[[#This Row],[ID]], Table4[ID], Table4[Sweets], "Not Found", 0)</f>
        <v>0</v>
      </c>
      <c r="P1520" s="5">
        <f>_xlfn.XLOOKUP(CustomerCombined[[#This Row],[ID]], Table4[ID], Table4[Premium], "Not Found", 0)</f>
        <v>15</v>
      </c>
      <c r="Q1520" s="5">
        <f>_xlfn.XLOOKUP(CustomerCombined[[#This Row],[ID]], Table4[ID], Table4[Regular], "Not Found", 0)</f>
        <v>33</v>
      </c>
      <c r="R1520" s="5">
        <f>_xlfn.XLOOKUP(CustomerCombined[[#This Row],[ID]], Table4[ID], Table4[Deals], "Not Found", 0)</f>
        <v>1</v>
      </c>
      <c r="S1520" s="5">
        <f>_xlfn.XLOOKUP(CustomerCombined[[#This Row],[ID]], Table4[ID], Table4[Website], "Not Found", 0)</f>
        <v>1</v>
      </c>
      <c r="T1520" s="5">
        <f>_xlfn.XLOOKUP(CustomerCombined[[#This Row],[ID]], Table4[ID], Table4[Catalog], "Not Found", 0)</f>
        <v>0</v>
      </c>
      <c r="U1520" s="5">
        <f>_xlfn.XLOOKUP(CustomerCombined[[#This Row],[ID]], Table4[ID], Table4[Store], "Not Found", 0)</f>
        <v>2</v>
      </c>
      <c r="V1520" s="5">
        <f>_xlfn.XLOOKUP(CustomerCombined[[#This Row],[ID]], Table4[ID], Table4[Visits], "Not Found", 0)</f>
        <v>6</v>
      </c>
      <c r="W1520" s="8">
        <f>_xlfn.XLOOKUP(CustomerCombined[[#This Row],[ID]], Table2[ID],Table2[Complaint], "Not Found", 0 )</f>
        <v>0</v>
      </c>
      <c r="X1520" s="8">
        <f>_xlfn.XLOOKUP(CustomerCombined[[#This Row],[ID]], Table2[ID],Table2[Pilot], "Not Found", 0 )</f>
        <v>0</v>
      </c>
      <c r="Y1520" s="8">
        <f>_xlfn.XLOOKUP(CustomerCombined[[#This Row],[ID]], Table2[ID],Table2[MC1], "Not Found", 0 )</f>
        <v>0</v>
      </c>
      <c r="Z1520" s="8">
        <f>_xlfn.XLOOKUP(CustomerCombined[[#This Row],[ID]], Table2[ID],Table2[MC2], "Not Found", 0 )</f>
        <v>0</v>
      </c>
      <c r="AA1520" s="8">
        <f>_xlfn.XLOOKUP(CustomerCombined[[#This Row],[ID]], Table2[ID],Table2[MC3], "Not Found", 0 )</f>
        <v>0</v>
      </c>
      <c r="AB1520" s="8">
        <f>_xlfn.XLOOKUP(CustomerCombined[[#This Row],[ID]], Table2[ID],Table2[MC4], "Not Found", 0 )</f>
        <v>0</v>
      </c>
      <c r="AC1520" s="8">
        <f>_xlfn.XLOOKUP(CustomerCombined[[#This Row],[ID]], Table2[ID],Table2[MC5], "Not Found", 0 )</f>
        <v>0</v>
      </c>
    </row>
    <row r="1521" spans="1:29" x14ac:dyDescent="0.3">
      <c r="A1521" s="6">
        <v>2200</v>
      </c>
      <c r="B1521" s="6">
        <v>134377</v>
      </c>
      <c r="C1521" s="6">
        <v>0</v>
      </c>
      <c r="D1521" s="6">
        <v>1</v>
      </c>
      <c r="E1521" s="6">
        <v>57</v>
      </c>
      <c r="F1521" s="5" t="s">
        <v>7</v>
      </c>
      <c r="G1521" s="5" t="s">
        <v>11</v>
      </c>
      <c r="H1521" s="3" t="s">
        <v>322</v>
      </c>
      <c r="I1521" s="5" t="s">
        <v>439</v>
      </c>
      <c r="J1521" s="5">
        <f>_xlfn.XLOOKUP(CustomerCombined[[#This Row],[ID]], Table4[ID], Table4[Recency], "Not Found", 0)</f>
        <v>55</v>
      </c>
      <c r="K1521" s="5">
        <f>_xlfn.XLOOKUP(CustomerCombined[[#This Row],[ID]], Table4[ID], Table4[Teas], "Not Found", 0)</f>
        <v>242</v>
      </c>
      <c r="L1521" s="5">
        <f>_xlfn.XLOOKUP(CustomerCombined[[#This Row],[ID]], Table4[ID], Table4[Fruits], "Not Found", 0)</f>
        <v>0</v>
      </c>
      <c r="M1521" s="5">
        <f>_xlfn.XLOOKUP(CustomerCombined[[#This Row],[ID]], Table4[ID], Table4[Meats], "Not Found", 0)</f>
        <v>86</v>
      </c>
      <c r="N1521" s="5">
        <f>_xlfn.XLOOKUP(CustomerCombined[[#This Row],[ID]], Table4[ID], Table4[Seafood], "Not Found", 0)</f>
        <v>12</v>
      </c>
      <c r="O1521" s="5">
        <f>_xlfn.XLOOKUP(CustomerCombined[[#This Row],[ID]], Table4[ID], Table4[Sweets], "Not Found", 0)</f>
        <v>4</v>
      </c>
      <c r="P1521" s="5">
        <f>_xlfn.XLOOKUP(CustomerCombined[[#This Row],[ID]], Table4[ID], Table4[Premium], "Not Found", 0)</f>
        <v>102</v>
      </c>
      <c r="Q1521" s="5">
        <f>_xlfn.XLOOKUP(CustomerCombined[[#This Row],[ID]], Table4[ID], Table4[Regular], "Not Found", 0)</f>
        <v>242</v>
      </c>
      <c r="R1521" s="5">
        <f>_xlfn.XLOOKUP(CustomerCombined[[#This Row],[ID]], Table4[ID], Table4[Deals], "Not Found", 0)</f>
        <v>2</v>
      </c>
      <c r="S1521" s="5">
        <f>_xlfn.XLOOKUP(CustomerCombined[[#This Row],[ID]], Table4[ID], Table4[Website], "Not Found", 0)</f>
        <v>2</v>
      </c>
      <c r="T1521" s="5">
        <f>_xlfn.XLOOKUP(CustomerCombined[[#This Row],[ID]], Table4[ID], Table4[Catalog], "Not Found", 0)</f>
        <v>2</v>
      </c>
      <c r="U1521" s="5">
        <f>_xlfn.XLOOKUP(CustomerCombined[[#This Row],[ID]], Table4[ID], Table4[Store], "Not Found", 0)</f>
        <v>2</v>
      </c>
      <c r="V1521" s="5">
        <f>_xlfn.XLOOKUP(CustomerCombined[[#This Row],[ID]], Table4[ID], Table4[Visits], "Not Found", 0)</f>
        <v>7</v>
      </c>
      <c r="W1521" s="8">
        <f>_xlfn.XLOOKUP(CustomerCombined[[#This Row],[ID]], Table2[ID],Table2[Complaint], "Not Found", 0 )</f>
        <v>0</v>
      </c>
      <c r="X1521" s="8">
        <f>_xlfn.XLOOKUP(CustomerCombined[[#This Row],[ID]], Table2[ID],Table2[Pilot], "Not Found", 0 )</f>
        <v>0</v>
      </c>
      <c r="Y1521" s="8">
        <f>_xlfn.XLOOKUP(CustomerCombined[[#This Row],[ID]], Table2[ID],Table2[MC1], "Not Found", 0 )</f>
        <v>0</v>
      </c>
      <c r="Z1521" s="8">
        <f>_xlfn.XLOOKUP(CustomerCombined[[#This Row],[ID]], Table2[ID],Table2[MC2], "Not Found", 0 )</f>
        <v>0</v>
      </c>
      <c r="AA1521" s="8">
        <f>_xlfn.XLOOKUP(CustomerCombined[[#This Row],[ID]], Table2[ID],Table2[MC3], "Not Found", 0 )</f>
        <v>0</v>
      </c>
      <c r="AB1521" s="8">
        <f>_xlfn.XLOOKUP(CustomerCombined[[#This Row],[ID]], Table2[ID],Table2[MC4], "Not Found", 0 )</f>
        <v>0</v>
      </c>
      <c r="AC1521" s="8">
        <f>_xlfn.XLOOKUP(CustomerCombined[[#This Row],[ID]], Table2[ID],Table2[MC5], "Not Found", 0 )</f>
        <v>0</v>
      </c>
    </row>
    <row r="1522" spans="1:29" x14ac:dyDescent="0.3">
      <c r="A1522" s="6">
        <v>2628</v>
      </c>
      <c r="B1522" s="6">
        <v>134213</v>
      </c>
      <c r="C1522" s="6">
        <v>1</v>
      </c>
      <c r="D1522" s="6">
        <v>1</v>
      </c>
      <c r="E1522" s="6">
        <v>57</v>
      </c>
      <c r="F1522" s="5" t="s">
        <v>9</v>
      </c>
      <c r="G1522" s="5" t="s">
        <v>11</v>
      </c>
      <c r="H1522" s="3">
        <v>43801</v>
      </c>
      <c r="I1522" s="5" t="s">
        <v>436</v>
      </c>
      <c r="J1522" s="5">
        <f>_xlfn.XLOOKUP(CustomerCombined[[#This Row],[ID]], Table4[ID], Table4[Recency], "Not Found", 0)</f>
        <v>2</v>
      </c>
      <c r="K1522" s="5">
        <f>_xlfn.XLOOKUP(CustomerCombined[[#This Row],[ID]], Table4[ID], Table4[Teas], "Not Found", 0)</f>
        <v>196</v>
      </c>
      <c r="L1522" s="5">
        <f>_xlfn.XLOOKUP(CustomerCombined[[#This Row],[ID]], Table4[ID], Table4[Fruits], "Not Found", 0)</f>
        <v>16</v>
      </c>
      <c r="M1522" s="5">
        <f>_xlfn.XLOOKUP(CustomerCombined[[#This Row],[ID]], Table4[ID], Table4[Meats], "Not Found", 0)</f>
        <v>110</v>
      </c>
      <c r="N1522" s="5">
        <f>_xlfn.XLOOKUP(CustomerCombined[[#This Row],[ID]], Table4[ID], Table4[Seafood], "Not Found", 0)</f>
        <v>24</v>
      </c>
      <c r="O1522" s="5">
        <f>_xlfn.XLOOKUP(CustomerCombined[[#This Row],[ID]], Table4[ID], Table4[Sweets], "Not Found", 0)</f>
        <v>12</v>
      </c>
      <c r="P1522" s="5">
        <f>_xlfn.XLOOKUP(CustomerCombined[[#This Row],[ID]], Table4[ID], Table4[Premium], "Not Found", 0)</f>
        <v>102</v>
      </c>
      <c r="Q1522" s="5">
        <f>_xlfn.XLOOKUP(CustomerCombined[[#This Row],[ID]], Table4[ID], Table4[Regular], "Not Found", 0)</f>
        <v>255</v>
      </c>
      <c r="R1522" s="5">
        <f>_xlfn.XLOOKUP(CustomerCombined[[#This Row],[ID]], Table4[ID], Table4[Deals], "Not Found", 0)</f>
        <v>3</v>
      </c>
      <c r="S1522" s="5">
        <f>_xlfn.XLOOKUP(CustomerCombined[[#This Row],[ID]], Table4[ID], Table4[Website], "Not Found", 0)</f>
        <v>3</v>
      </c>
      <c r="T1522" s="5">
        <f>_xlfn.XLOOKUP(CustomerCombined[[#This Row],[ID]], Table4[ID], Table4[Catalog], "Not Found", 0)</f>
        <v>1</v>
      </c>
      <c r="U1522" s="5">
        <f>_xlfn.XLOOKUP(CustomerCombined[[#This Row],[ID]], Table4[ID], Table4[Store], "Not Found", 0)</f>
        <v>2</v>
      </c>
      <c r="V1522" s="5">
        <f>_xlfn.XLOOKUP(CustomerCombined[[#This Row],[ID]], Table4[ID], Table4[Visits], "Not Found", 0)</f>
        <v>9</v>
      </c>
      <c r="W1522" s="8">
        <f>_xlfn.XLOOKUP(CustomerCombined[[#This Row],[ID]], Table2[ID],Table2[Complaint], "Not Found", 0 )</f>
        <v>0</v>
      </c>
      <c r="X1522" s="8">
        <f>_xlfn.XLOOKUP(CustomerCombined[[#This Row],[ID]], Table2[ID],Table2[Pilot], "Not Found", 0 )</f>
        <v>1</v>
      </c>
      <c r="Y1522" s="8">
        <f>_xlfn.XLOOKUP(CustomerCombined[[#This Row],[ID]], Table2[ID],Table2[MC1], "Not Found", 0 )</f>
        <v>0</v>
      </c>
      <c r="Z1522" s="8">
        <f>_xlfn.XLOOKUP(CustomerCombined[[#This Row],[ID]], Table2[ID],Table2[MC2], "Not Found", 0 )</f>
        <v>0</v>
      </c>
      <c r="AA1522" s="8">
        <f>_xlfn.XLOOKUP(CustomerCombined[[#This Row],[ID]], Table2[ID],Table2[MC3], "Not Found", 0 )</f>
        <v>0</v>
      </c>
      <c r="AB1522" s="8">
        <f>_xlfn.XLOOKUP(CustomerCombined[[#This Row],[ID]], Table2[ID],Table2[MC4], "Not Found", 0 )</f>
        <v>0</v>
      </c>
      <c r="AC1522" s="8">
        <f>_xlfn.XLOOKUP(CustomerCombined[[#This Row],[ID]], Table2[ID],Table2[MC5], "Not Found", 0 )</f>
        <v>0</v>
      </c>
    </row>
    <row r="1523" spans="1:29" x14ac:dyDescent="0.3">
      <c r="A1523" s="6">
        <v>2198</v>
      </c>
      <c r="B1523" s="6">
        <v>133629</v>
      </c>
      <c r="C1523" s="6">
        <v>1</v>
      </c>
      <c r="D1523" s="6">
        <v>1</v>
      </c>
      <c r="E1523" s="6">
        <v>57</v>
      </c>
      <c r="F1523" s="5" t="s">
        <v>8</v>
      </c>
      <c r="G1523" s="5" t="s">
        <v>13</v>
      </c>
      <c r="H1523" s="3" t="s">
        <v>420</v>
      </c>
      <c r="I1523" s="5" t="s">
        <v>438</v>
      </c>
      <c r="J1523" s="5">
        <f>_xlfn.XLOOKUP(CustomerCombined[[#This Row],[ID]], Table4[ID], Table4[Recency], "Not Found", 0)</f>
        <v>49</v>
      </c>
      <c r="K1523" s="5">
        <f>_xlfn.XLOOKUP(CustomerCombined[[#This Row],[ID]], Table4[ID], Table4[Teas], "Not Found", 0)</f>
        <v>525</v>
      </c>
      <c r="L1523" s="5">
        <f>_xlfn.XLOOKUP(CustomerCombined[[#This Row],[ID]], Table4[ID], Table4[Fruits], "Not Found", 0)</f>
        <v>0</v>
      </c>
      <c r="M1523" s="5">
        <f>_xlfn.XLOOKUP(CustomerCombined[[#This Row],[ID]], Table4[ID], Table4[Meats], "Not Found", 0)</f>
        <v>64</v>
      </c>
      <c r="N1523" s="5">
        <f>_xlfn.XLOOKUP(CustomerCombined[[#This Row],[ID]], Table4[ID], Table4[Seafood], "Not Found", 0)</f>
        <v>0</v>
      </c>
      <c r="O1523" s="5">
        <f>_xlfn.XLOOKUP(CustomerCombined[[#This Row],[ID]], Table4[ID], Table4[Sweets], "Not Found", 0)</f>
        <v>0</v>
      </c>
      <c r="P1523" s="5">
        <f>_xlfn.XLOOKUP(CustomerCombined[[#This Row],[ID]], Table4[ID], Table4[Premium], "Not Found", 0)</f>
        <v>16</v>
      </c>
      <c r="Q1523" s="5">
        <f>_xlfn.XLOOKUP(CustomerCombined[[#This Row],[ID]], Table4[ID], Table4[Regular], "Not Found", 0)</f>
        <v>572</v>
      </c>
      <c r="R1523" s="5">
        <f>_xlfn.XLOOKUP(CustomerCombined[[#This Row],[ID]], Table4[ID], Table4[Deals], "Not Found", 0)</f>
        <v>5</v>
      </c>
      <c r="S1523" s="5">
        <f>_xlfn.XLOOKUP(CustomerCombined[[#This Row],[ID]], Table4[ID], Table4[Website], "Not Found", 0)</f>
        <v>3</v>
      </c>
      <c r="T1523" s="5">
        <f>_xlfn.XLOOKUP(CustomerCombined[[#This Row],[ID]], Table4[ID], Table4[Catalog], "Not Found", 0)</f>
        <v>1</v>
      </c>
      <c r="U1523" s="5">
        <f>_xlfn.XLOOKUP(CustomerCombined[[#This Row],[ID]], Table4[ID], Table4[Store], "Not Found", 0)</f>
        <v>4</v>
      </c>
      <c r="V1523" s="5">
        <f>_xlfn.XLOOKUP(CustomerCombined[[#This Row],[ID]], Table4[ID], Table4[Visits], "Not Found", 0)</f>
        <v>9</v>
      </c>
      <c r="W1523" s="8">
        <f>_xlfn.XLOOKUP(CustomerCombined[[#This Row],[ID]], Table2[ID],Table2[Complaint], "Not Found", 0 )</f>
        <v>0</v>
      </c>
      <c r="X1523" s="8">
        <f>_xlfn.XLOOKUP(CustomerCombined[[#This Row],[ID]], Table2[ID],Table2[Pilot], "Not Found", 0 )</f>
        <v>0</v>
      </c>
      <c r="Y1523" s="8">
        <f>_xlfn.XLOOKUP(CustomerCombined[[#This Row],[ID]], Table2[ID],Table2[MC1], "Not Found", 0 )</f>
        <v>0</v>
      </c>
      <c r="Z1523" s="8">
        <f>_xlfn.XLOOKUP(CustomerCombined[[#This Row],[ID]], Table2[ID],Table2[MC2], "Not Found", 0 )</f>
        <v>0</v>
      </c>
      <c r="AA1523" s="8">
        <f>_xlfn.XLOOKUP(CustomerCombined[[#This Row],[ID]], Table2[ID],Table2[MC3], "Not Found", 0 )</f>
        <v>0</v>
      </c>
      <c r="AB1523" s="8">
        <f>_xlfn.XLOOKUP(CustomerCombined[[#This Row],[ID]], Table2[ID],Table2[MC4], "Not Found", 0 )</f>
        <v>0</v>
      </c>
      <c r="AC1523" s="8">
        <f>_xlfn.XLOOKUP(CustomerCombined[[#This Row],[ID]], Table2[ID],Table2[MC5], "Not Found", 0 )</f>
        <v>0</v>
      </c>
    </row>
    <row r="1524" spans="1:29" x14ac:dyDescent="0.3">
      <c r="A1524" s="6">
        <v>3191</v>
      </c>
      <c r="B1524" s="6">
        <v>133562</v>
      </c>
      <c r="C1524" s="6">
        <v>1</v>
      </c>
      <c r="D1524" s="6">
        <v>2</v>
      </c>
      <c r="E1524" s="6">
        <v>57</v>
      </c>
      <c r="F1524" s="5" t="s">
        <v>6</v>
      </c>
      <c r="G1524" s="5" t="s">
        <v>12</v>
      </c>
      <c r="H1524" s="3" t="s">
        <v>24</v>
      </c>
      <c r="I1524" s="5" t="s">
        <v>434</v>
      </c>
      <c r="J1524" s="5">
        <f>_xlfn.XLOOKUP(CustomerCombined[[#This Row],[ID]], Table4[ID], Table4[Recency], "Not Found", 0)</f>
        <v>33</v>
      </c>
      <c r="K1524" s="5">
        <f>_xlfn.XLOOKUP(CustomerCombined[[#This Row],[ID]], Table4[ID], Table4[Teas], "Not Found", 0)</f>
        <v>84</v>
      </c>
      <c r="L1524" s="5">
        <f>_xlfn.XLOOKUP(CustomerCombined[[#This Row],[ID]], Table4[ID], Table4[Fruits], "Not Found", 0)</f>
        <v>48</v>
      </c>
      <c r="M1524" s="5">
        <f>_xlfn.XLOOKUP(CustomerCombined[[#This Row],[ID]], Table4[ID], Table4[Meats], "Not Found", 0)</f>
        <v>48</v>
      </c>
      <c r="N1524" s="5">
        <f>_xlfn.XLOOKUP(CustomerCombined[[#This Row],[ID]], Table4[ID], Table4[Seafood], "Not Found", 0)</f>
        <v>0</v>
      </c>
      <c r="O1524" s="5">
        <f>_xlfn.XLOOKUP(CustomerCombined[[#This Row],[ID]], Table4[ID], Table4[Sweets], "Not Found", 0)</f>
        <v>12</v>
      </c>
      <c r="P1524" s="5">
        <f>_xlfn.XLOOKUP(CustomerCombined[[#This Row],[ID]], Table4[ID], Table4[Premium], "Not Found", 0)</f>
        <v>12</v>
      </c>
      <c r="Q1524" s="5">
        <f>_xlfn.XLOOKUP(CustomerCombined[[#This Row],[ID]], Table4[ID], Table4[Regular], "Not Found", 0)</f>
        <v>179</v>
      </c>
      <c r="R1524" s="5">
        <f>_xlfn.XLOOKUP(CustomerCombined[[#This Row],[ID]], Table4[ID], Table4[Deals], "Not Found", 0)</f>
        <v>3</v>
      </c>
      <c r="S1524" s="5">
        <f>_xlfn.XLOOKUP(CustomerCombined[[#This Row],[ID]], Table4[ID], Table4[Website], "Not Found", 0)</f>
        <v>2</v>
      </c>
      <c r="T1524" s="5">
        <f>_xlfn.XLOOKUP(CustomerCombined[[#This Row],[ID]], Table4[ID], Table4[Catalog], "Not Found", 0)</f>
        <v>0</v>
      </c>
      <c r="U1524" s="5">
        <f>_xlfn.XLOOKUP(CustomerCombined[[#This Row],[ID]], Table4[ID], Table4[Store], "Not Found", 0)</f>
        <v>4</v>
      </c>
      <c r="V1524" s="5">
        <f>_xlfn.XLOOKUP(CustomerCombined[[#This Row],[ID]], Table4[ID], Table4[Visits], "Not Found", 0)</f>
        <v>4</v>
      </c>
      <c r="W1524" s="8">
        <f>_xlfn.XLOOKUP(CustomerCombined[[#This Row],[ID]], Table2[ID],Table2[Complaint], "Not Found", 0 )</f>
        <v>0</v>
      </c>
      <c r="X1524" s="8">
        <f>_xlfn.XLOOKUP(CustomerCombined[[#This Row],[ID]], Table2[ID],Table2[Pilot], "Not Found", 0 )</f>
        <v>0</v>
      </c>
      <c r="Y1524" s="8">
        <f>_xlfn.XLOOKUP(CustomerCombined[[#This Row],[ID]], Table2[ID],Table2[MC1], "Not Found", 0 )</f>
        <v>0</v>
      </c>
      <c r="Z1524" s="8">
        <f>_xlfn.XLOOKUP(CustomerCombined[[#This Row],[ID]], Table2[ID],Table2[MC2], "Not Found", 0 )</f>
        <v>0</v>
      </c>
      <c r="AA1524" s="8">
        <f>_xlfn.XLOOKUP(CustomerCombined[[#This Row],[ID]], Table2[ID],Table2[MC3], "Not Found", 0 )</f>
        <v>0</v>
      </c>
      <c r="AB1524" s="8">
        <f>_xlfn.XLOOKUP(CustomerCombined[[#This Row],[ID]], Table2[ID],Table2[MC4], "Not Found", 0 )</f>
        <v>0</v>
      </c>
      <c r="AC1524" s="8">
        <f>_xlfn.XLOOKUP(CustomerCombined[[#This Row],[ID]], Table2[ID],Table2[MC5], "Not Found", 0 )</f>
        <v>0</v>
      </c>
    </row>
    <row r="1525" spans="1:29" x14ac:dyDescent="0.3">
      <c r="A1525" s="6">
        <v>1261</v>
      </c>
      <c r="B1525" s="6">
        <v>133378</v>
      </c>
      <c r="C1525" s="6">
        <v>1</v>
      </c>
      <c r="D1525" s="6">
        <v>1</v>
      </c>
      <c r="E1525" s="6">
        <v>57</v>
      </c>
      <c r="F1525" s="5" t="s">
        <v>5</v>
      </c>
      <c r="G1525" s="5" t="s">
        <v>11</v>
      </c>
      <c r="H1525" s="3" t="s">
        <v>317</v>
      </c>
      <c r="I1525" s="5" t="s">
        <v>437</v>
      </c>
      <c r="J1525" s="5">
        <f>_xlfn.XLOOKUP(CustomerCombined[[#This Row],[ID]], Table4[ID], Table4[Recency], "Not Found", 0)</f>
        <v>38</v>
      </c>
      <c r="K1525" s="5">
        <f>_xlfn.XLOOKUP(CustomerCombined[[#This Row],[ID]], Table4[ID], Table4[Teas], "Not Found", 0)</f>
        <v>132</v>
      </c>
      <c r="L1525" s="5">
        <f>_xlfn.XLOOKUP(CustomerCombined[[#This Row],[ID]], Table4[ID], Table4[Fruits], "Not Found", 0)</f>
        <v>24</v>
      </c>
      <c r="M1525" s="5">
        <f>_xlfn.XLOOKUP(CustomerCombined[[#This Row],[ID]], Table4[ID], Table4[Meats], "Not Found", 0)</f>
        <v>160</v>
      </c>
      <c r="N1525" s="5">
        <f>_xlfn.XLOOKUP(CustomerCombined[[#This Row],[ID]], Table4[ID], Table4[Seafood], "Not Found", 0)</f>
        <v>12</v>
      </c>
      <c r="O1525" s="5">
        <f>_xlfn.XLOOKUP(CustomerCombined[[#This Row],[ID]], Table4[ID], Table4[Sweets], "Not Found", 0)</f>
        <v>28</v>
      </c>
      <c r="P1525" s="5">
        <f>_xlfn.XLOOKUP(CustomerCombined[[#This Row],[ID]], Table4[ID], Table4[Premium], "Not Found", 0)</f>
        <v>40</v>
      </c>
      <c r="Q1525" s="5">
        <f>_xlfn.XLOOKUP(CustomerCombined[[#This Row],[ID]], Table4[ID], Table4[Regular], "Not Found", 0)</f>
        <v>316</v>
      </c>
      <c r="R1525" s="5">
        <f>_xlfn.XLOOKUP(CustomerCombined[[#This Row],[ID]], Table4[ID], Table4[Deals], "Not Found", 0)</f>
        <v>3</v>
      </c>
      <c r="S1525" s="5">
        <f>_xlfn.XLOOKUP(CustomerCombined[[#This Row],[ID]], Table4[ID], Table4[Website], "Not Found", 0)</f>
        <v>2</v>
      </c>
      <c r="T1525" s="5">
        <f>_xlfn.XLOOKUP(CustomerCombined[[#This Row],[ID]], Table4[ID], Table4[Catalog], "Not Found", 0)</f>
        <v>0</v>
      </c>
      <c r="U1525" s="5">
        <f>_xlfn.XLOOKUP(CustomerCombined[[#This Row],[ID]], Table4[ID], Table4[Store], "Not Found", 0)</f>
        <v>4</v>
      </c>
      <c r="V1525" s="5">
        <f>_xlfn.XLOOKUP(CustomerCombined[[#This Row],[ID]], Table4[ID], Table4[Visits], "Not Found", 0)</f>
        <v>7</v>
      </c>
      <c r="W1525" s="8">
        <f>_xlfn.XLOOKUP(CustomerCombined[[#This Row],[ID]], Table2[ID],Table2[Complaint], "Not Found", 0 )</f>
        <v>0</v>
      </c>
      <c r="X1525" s="8">
        <f>_xlfn.XLOOKUP(CustomerCombined[[#This Row],[ID]], Table2[ID],Table2[Pilot], "Not Found", 0 )</f>
        <v>0</v>
      </c>
      <c r="Y1525" s="8">
        <f>_xlfn.XLOOKUP(CustomerCombined[[#This Row],[ID]], Table2[ID],Table2[MC1], "Not Found", 0 )</f>
        <v>0</v>
      </c>
      <c r="Z1525" s="8">
        <f>_xlfn.XLOOKUP(CustomerCombined[[#This Row],[ID]], Table2[ID],Table2[MC2], "Not Found", 0 )</f>
        <v>0</v>
      </c>
      <c r="AA1525" s="8">
        <f>_xlfn.XLOOKUP(CustomerCombined[[#This Row],[ID]], Table2[ID],Table2[MC3], "Not Found", 0 )</f>
        <v>0</v>
      </c>
      <c r="AB1525" s="8">
        <f>_xlfn.XLOOKUP(CustomerCombined[[#This Row],[ID]], Table2[ID],Table2[MC4], "Not Found", 0 )</f>
        <v>0</v>
      </c>
      <c r="AC1525" s="8">
        <f>_xlfn.XLOOKUP(CustomerCombined[[#This Row],[ID]], Table2[ID],Table2[MC5], "Not Found", 0 )</f>
        <v>0</v>
      </c>
    </row>
    <row r="1526" spans="1:29" x14ac:dyDescent="0.3">
      <c r="A1526" s="6">
        <v>2951</v>
      </c>
      <c r="B1526" s="6">
        <v>132632</v>
      </c>
      <c r="C1526" s="6">
        <v>0</v>
      </c>
      <c r="D1526" s="6">
        <v>0</v>
      </c>
      <c r="E1526" s="6">
        <v>57</v>
      </c>
      <c r="F1526" s="5" t="s">
        <v>6</v>
      </c>
      <c r="G1526" s="5" t="s">
        <v>442</v>
      </c>
      <c r="H1526" s="3">
        <v>43647</v>
      </c>
      <c r="I1526" s="5" t="s">
        <v>434</v>
      </c>
      <c r="J1526" s="5">
        <f>_xlfn.XLOOKUP(CustomerCombined[[#This Row],[ID]], Table4[ID], Table4[Recency], "Not Found", 0)</f>
        <v>32</v>
      </c>
      <c r="K1526" s="5">
        <f>_xlfn.XLOOKUP(CustomerCombined[[#This Row],[ID]], Table4[ID], Table4[Teas], "Not Found", 0)</f>
        <v>256</v>
      </c>
      <c r="L1526" s="5">
        <f>_xlfn.XLOOKUP(CustomerCombined[[#This Row],[ID]], Table4[ID], Table4[Fruits], "Not Found", 0)</f>
        <v>614</v>
      </c>
      <c r="M1526" s="5">
        <f>_xlfn.XLOOKUP(CustomerCombined[[#This Row],[ID]], Table4[ID], Table4[Meats], "Not Found", 0)</f>
        <v>557</v>
      </c>
      <c r="N1526" s="5">
        <f>_xlfn.XLOOKUP(CustomerCombined[[#This Row],[ID]], Table4[ID], Table4[Seafood], "Not Found", 0)</f>
        <v>622</v>
      </c>
      <c r="O1526" s="5">
        <f>_xlfn.XLOOKUP(CustomerCombined[[#This Row],[ID]], Table4[ID], Table4[Sweets], "Not Found", 0)</f>
        <v>77</v>
      </c>
      <c r="P1526" s="5">
        <f>_xlfn.XLOOKUP(CustomerCombined[[#This Row],[ID]], Table4[ID], Table4[Premium], "Not Found", 0)</f>
        <v>215</v>
      </c>
      <c r="Q1526" s="5">
        <f>_xlfn.XLOOKUP(CustomerCombined[[#This Row],[ID]], Table4[ID], Table4[Regular], "Not Found", 0)</f>
        <v>1910</v>
      </c>
      <c r="R1526" s="5">
        <f>_xlfn.XLOOKUP(CustomerCombined[[#This Row],[ID]], Table4[ID], Table4[Deals], "Not Found", 0)</f>
        <v>2</v>
      </c>
      <c r="S1526" s="5">
        <f>_xlfn.XLOOKUP(CustomerCombined[[#This Row],[ID]], Table4[ID], Table4[Website], "Not Found", 0)</f>
        <v>4</v>
      </c>
      <c r="T1526" s="5">
        <f>_xlfn.XLOOKUP(CustomerCombined[[#This Row],[ID]], Table4[ID], Table4[Catalog], "Not Found", 0)</f>
        <v>4</v>
      </c>
      <c r="U1526" s="5">
        <f>_xlfn.XLOOKUP(CustomerCombined[[#This Row],[ID]], Table4[ID], Table4[Store], "Not Found", 0)</f>
        <v>8</v>
      </c>
      <c r="V1526" s="5">
        <f>_xlfn.XLOOKUP(CustomerCombined[[#This Row],[ID]], Table4[ID], Table4[Visits], "Not Found", 0)</f>
        <v>5</v>
      </c>
      <c r="W1526" s="8">
        <f>_xlfn.XLOOKUP(CustomerCombined[[#This Row],[ID]], Table2[ID],Table2[Complaint], "Not Found", 0 )</f>
        <v>0</v>
      </c>
      <c r="X1526" s="8">
        <f>_xlfn.XLOOKUP(CustomerCombined[[#This Row],[ID]], Table2[ID],Table2[Pilot], "Not Found", 0 )</f>
        <v>0</v>
      </c>
      <c r="Y1526" s="8">
        <f>_xlfn.XLOOKUP(CustomerCombined[[#This Row],[ID]], Table2[ID],Table2[MC1], "Not Found", 0 )</f>
        <v>0</v>
      </c>
      <c r="Z1526" s="8">
        <f>_xlfn.XLOOKUP(CustomerCombined[[#This Row],[ID]], Table2[ID],Table2[MC2], "Not Found", 0 )</f>
        <v>0</v>
      </c>
      <c r="AA1526" s="8">
        <f>_xlfn.XLOOKUP(CustomerCombined[[#This Row],[ID]], Table2[ID],Table2[MC3], "Not Found", 0 )</f>
        <v>0</v>
      </c>
      <c r="AB1526" s="8">
        <f>_xlfn.XLOOKUP(CustomerCombined[[#This Row],[ID]], Table2[ID],Table2[MC4], "Not Found", 0 )</f>
        <v>0</v>
      </c>
      <c r="AC1526" s="8">
        <f>_xlfn.XLOOKUP(CustomerCombined[[#This Row],[ID]], Table2[ID],Table2[MC5], "Not Found", 0 )</f>
        <v>0</v>
      </c>
    </row>
    <row r="1527" spans="1:29" x14ac:dyDescent="0.3">
      <c r="A1527" s="6">
        <v>2523</v>
      </c>
      <c r="B1527" s="6">
        <v>130983</v>
      </c>
      <c r="C1527" s="6">
        <v>0</v>
      </c>
      <c r="D1527" s="6">
        <v>0</v>
      </c>
      <c r="E1527" s="6">
        <v>57</v>
      </c>
      <c r="F1527" s="5" t="s">
        <v>7</v>
      </c>
      <c r="G1527" s="5" t="s">
        <v>11</v>
      </c>
      <c r="H1527" s="3" t="s">
        <v>366</v>
      </c>
      <c r="I1527" s="5" t="s">
        <v>435</v>
      </c>
      <c r="J1527" s="5">
        <f>_xlfn.XLOOKUP(CustomerCombined[[#This Row],[ID]], Table4[ID], Table4[Recency], "Not Found", 0)</f>
        <v>50</v>
      </c>
      <c r="K1527" s="5">
        <f>_xlfn.XLOOKUP(CustomerCombined[[#This Row],[ID]], Table4[ID], Table4[Teas], "Not Found", 0)</f>
        <v>216</v>
      </c>
      <c r="L1527" s="5">
        <f>_xlfn.XLOOKUP(CustomerCombined[[#This Row],[ID]], Table4[ID], Table4[Fruits], "Not Found", 0)</f>
        <v>17</v>
      </c>
      <c r="M1527" s="5">
        <f>_xlfn.XLOOKUP(CustomerCombined[[#This Row],[ID]], Table4[ID], Table4[Meats], "Not Found", 0)</f>
        <v>211</v>
      </c>
      <c r="N1527" s="5">
        <f>_xlfn.XLOOKUP(CustomerCombined[[#This Row],[ID]], Table4[ID], Table4[Seafood], "Not Found", 0)</f>
        <v>51</v>
      </c>
      <c r="O1527" s="5">
        <f>_xlfn.XLOOKUP(CustomerCombined[[#This Row],[ID]], Table4[ID], Table4[Sweets], "Not Found", 0)</f>
        <v>4</v>
      </c>
      <c r="P1527" s="5">
        <f>_xlfn.XLOOKUP(CustomerCombined[[#This Row],[ID]], Table4[ID], Table4[Premium], "Not Found", 0)</f>
        <v>207</v>
      </c>
      <c r="Q1527" s="5">
        <f>_xlfn.XLOOKUP(CustomerCombined[[#This Row],[ID]], Table4[ID], Table4[Regular], "Not Found", 0)</f>
        <v>292</v>
      </c>
      <c r="R1527" s="5">
        <f>_xlfn.XLOOKUP(CustomerCombined[[#This Row],[ID]], Table4[ID], Table4[Deals], "Not Found", 0)</f>
        <v>1</v>
      </c>
      <c r="S1527" s="5">
        <f>_xlfn.XLOOKUP(CustomerCombined[[#This Row],[ID]], Table4[ID], Table4[Website], "Not Found", 0)</f>
        <v>4</v>
      </c>
      <c r="T1527" s="5">
        <f>_xlfn.XLOOKUP(CustomerCombined[[#This Row],[ID]], Table4[ID], Table4[Catalog], "Not Found", 0)</f>
        <v>0</v>
      </c>
      <c r="U1527" s="5">
        <f>_xlfn.XLOOKUP(CustomerCombined[[#This Row],[ID]], Table4[ID], Table4[Store], "Not Found", 0)</f>
        <v>3</v>
      </c>
      <c r="V1527" s="5">
        <f>_xlfn.XLOOKUP(CustomerCombined[[#This Row],[ID]], Table4[ID], Table4[Visits], "Not Found", 0)</f>
        <v>8</v>
      </c>
      <c r="W1527" s="8">
        <f>_xlfn.XLOOKUP(CustomerCombined[[#This Row],[ID]], Table2[ID],Table2[Complaint], "Not Found", 0 )</f>
        <v>0</v>
      </c>
      <c r="X1527" s="8">
        <f>_xlfn.XLOOKUP(CustomerCombined[[#This Row],[ID]], Table2[ID],Table2[Pilot], "Not Found", 0 )</f>
        <v>1</v>
      </c>
      <c r="Y1527" s="8">
        <f>_xlfn.XLOOKUP(CustomerCombined[[#This Row],[ID]], Table2[ID],Table2[MC1], "Not Found", 0 )</f>
        <v>0</v>
      </c>
      <c r="Z1527" s="8">
        <f>_xlfn.XLOOKUP(CustomerCombined[[#This Row],[ID]], Table2[ID],Table2[MC2], "Not Found", 0 )</f>
        <v>0</v>
      </c>
      <c r="AA1527" s="8">
        <f>_xlfn.XLOOKUP(CustomerCombined[[#This Row],[ID]], Table2[ID],Table2[MC3], "Not Found", 0 )</f>
        <v>0</v>
      </c>
      <c r="AB1527" s="8">
        <f>_xlfn.XLOOKUP(CustomerCombined[[#This Row],[ID]], Table2[ID],Table2[MC4], "Not Found", 0 )</f>
        <v>0</v>
      </c>
      <c r="AC1527" s="8">
        <f>_xlfn.XLOOKUP(CustomerCombined[[#This Row],[ID]], Table2[ID],Table2[MC5], "Not Found", 0 )</f>
        <v>0</v>
      </c>
    </row>
    <row r="1528" spans="1:29" x14ac:dyDescent="0.3">
      <c r="A1528" s="6">
        <v>2136</v>
      </c>
      <c r="B1528" s="6">
        <v>123091</v>
      </c>
      <c r="C1528" s="6">
        <v>1</v>
      </c>
      <c r="D1528" s="6">
        <v>1</v>
      </c>
      <c r="E1528" s="6">
        <v>57</v>
      </c>
      <c r="F1528" s="5" t="s">
        <v>7</v>
      </c>
      <c r="G1528" s="5" t="s">
        <v>13</v>
      </c>
      <c r="H1528" s="3">
        <v>43841</v>
      </c>
      <c r="I1528" s="5" t="s">
        <v>436</v>
      </c>
      <c r="J1528" s="5">
        <f>_xlfn.XLOOKUP(CustomerCombined[[#This Row],[ID]], Table4[ID], Table4[Recency], "Not Found", 0)</f>
        <v>98</v>
      </c>
      <c r="K1528" s="5">
        <f>_xlfn.XLOOKUP(CustomerCombined[[#This Row],[ID]], Table4[ID], Table4[Teas], "Not Found", 0)</f>
        <v>187</v>
      </c>
      <c r="L1528" s="5">
        <f>_xlfn.XLOOKUP(CustomerCombined[[#This Row],[ID]], Table4[ID], Table4[Fruits], "Not Found", 0)</f>
        <v>0</v>
      </c>
      <c r="M1528" s="5">
        <f>_xlfn.XLOOKUP(CustomerCombined[[#This Row],[ID]], Table4[ID], Table4[Meats], "Not Found", 0)</f>
        <v>59</v>
      </c>
      <c r="N1528" s="5">
        <f>_xlfn.XLOOKUP(CustomerCombined[[#This Row],[ID]], Table4[ID], Table4[Seafood], "Not Found", 0)</f>
        <v>0</v>
      </c>
      <c r="O1528" s="5">
        <f>_xlfn.XLOOKUP(CustomerCombined[[#This Row],[ID]], Table4[ID], Table4[Sweets], "Not Found", 0)</f>
        <v>0</v>
      </c>
      <c r="P1528" s="5">
        <f>_xlfn.XLOOKUP(CustomerCombined[[#This Row],[ID]], Table4[ID], Table4[Premium], "Not Found", 0)</f>
        <v>11</v>
      </c>
      <c r="Q1528" s="5">
        <f>_xlfn.XLOOKUP(CustomerCombined[[#This Row],[ID]], Table4[ID], Table4[Regular], "Not Found", 0)</f>
        <v>235</v>
      </c>
      <c r="R1528" s="5">
        <f>_xlfn.XLOOKUP(CustomerCombined[[#This Row],[ID]], Table4[ID], Table4[Deals], "Not Found", 0)</f>
        <v>4</v>
      </c>
      <c r="S1528" s="5">
        <f>_xlfn.XLOOKUP(CustomerCombined[[#This Row],[ID]], Table4[ID], Table4[Website], "Not Found", 0)</f>
        <v>2</v>
      </c>
      <c r="T1528" s="5">
        <f>_xlfn.XLOOKUP(CustomerCombined[[#This Row],[ID]], Table4[ID], Table4[Catalog], "Not Found", 0)</f>
        <v>1</v>
      </c>
      <c r="U1528" s="5">
        <f>_xlfn.XLOOKUP(CustomerCombined[[#This Row],[ID]], Table4[ID], Table4[Store], "Not Found", 0)</f>
        <v>3</v>
      </c>
      <c r="V1528" s="5">
        <f>_xlfn.XLOOKUP(CustomerCombined[[#This Row],[ID]], Table4[ID], Table4[Visits], "Not Found", 0)</f>
        <v>7</v>
      </c>
      <c r="W1528" s="8">
        <f>_xlfn.XLOOKUP(CustomerCombined[[#This Row],[ID]], Table2[ID],Table2[Complaint], "Not Found", 0 )</f>
        <v>0</v>
      </c>
      <c r="X1528" s="8">
        <f>_xlfn.XLOOKUP(CustomerCombined[[#This Row],[ID]], Table2[ID],Table2[Pilot], "Not Found", 0 )</f>
        <v>0</v>
      </c>
      <c r="Y1528" s="8">
        <f>_xlfn.XLOOKUP(CustomerCombined[[#This Row],[ID]], Table2[ID],Table2[MC1], "Not Found", 0 )</f>
        <v>0</v>
      </c>
      <c r="Z1528" s="8">
        <f>_xlfn.XLOOKUP(CustomerCombined[[#This Row],[ID]], Table2[ID],Table2[MC2], "Not Found", 0 )</f>
        <v>0</v>
      </c>
      <c r="AA1528" s="8">
        <f>_xlfn.XLOOKUP(CustomerCombined[[#This Row],[ID]], Table2[ID],Table2[MC3], "Not Found", 0 )</f>
        <v>0</v>
      </c>
      <c r="AB1528" s="8">
        <f>_xlfn.XLOOKUP(CustomerCombined[[#This Row],[ID]], Table2[ID],Table2[MC4], "Not Found", 0 )</f>
        <v>0</v>
      </c>
      <c r="AC1528" s="8">
        <f>_xlfn.XLOOKUP(CustomerCombined[[#This Row],[ID]], Table2[ID],Table2[MC5], "Not Found", 0 )</f>
        <v>0</v>
      </c>
    </row>
    <row r="1529" spans="1:29" x14ac:dyDescent="0.3">
      <c r="A1529" s="6">
        <v>1537</v>
      </c>
      <c r="B1529" s="6">
        <v>122419</v>
      </c>
      <c r="C1529" s="6">
        <v>0</v>
      </c>
      <c r="D1529" s="6">
        <v>0</v>
      </c>
      <c r="E1529" s="6">
        <v>57</v>
      </c>
      <c r="F1529" s="5" t="s">
        <v>6</v>
      </c>
      <c r="G1529" s="5" t="s">
        <v>11</v>
      </c>
      <c r="H1529" s="3" t="s">
        <v>271</v>
      </c>
      <c r="I1529" s="5" t="s">
        <v>437</v>
      </c>
      <c r="J1529" s="5">
        <f>_xlfn.XLOOKUP(CustomerCombined[[#This Row],[ID]], Table4[ID], Table4[Recency], "Not Found", 0)</f>
        <v>74</v>
      </c>
      <c r="K1529" s="5">
        <f>_xlfn.XLOOKUP(CustomerCombined[[#This Row],[ID]], Table4[ID], Table4[Teas], "Not Found", 0)</f>
        <v>164</v>
      </c>
      <c r="L1529" s="5">
        <f>_xlfn.XLOOKUP(CustomerCombined[[#This Row],[ID]], Table4[ID], Table4[Fruits], "Not Found", 0)</f>
        <v>16</v>
      </c>
      <c r="M1529" s="5">
        <f>_xlfn.XLOOKUP(CustomerCombined[[#This Row],[ID]], Table4[ID], Table4[Meats], "Not Found", 0)</f>
        <v>257</v>
      </c>
      <c r="N1529" s="5">
        <f>_xlfn.XLOOKUP(CustomerCombined[[#This Row],[ID]], Table4[ID], Table4[Seafood], "Not Found", 0)</f>
        <v>104</v>
      </c>
      <c r="O1529" s="5">
        <f>_xlfn.XLOOKUP(CustomerCombined[[#This Row],[ID]], Table4[ID], Table4[Sweets], "Not Found", 0)</f>
        <v>115</v>
      </c>
      <c r="P1529" s="5">
        <f>_xlfn.XLOOKUP(CustomerCombined[[#This Row],[ID]], Table4[ID], Table4[Premium], "Not Found", 0)</f>
        <v>229</v>
      </c>
      <c r="Q1529" s="5">
        <f>_xlfn.XLOOKUP(CustomerCombined[[#This Row],[ID]], Table4[ID], Table4[Regular], "Not Found", 0)</f>
        <v>426</v>
      </c>
      <c r="R1529" s="5">
        <f>_xlfn.XLOOKUP(CustomerCombined[[#This Row],[ID]], Table4[ID], Table4[Deals], "Not Found", 0)</f>
        <v>1</v>
      </c>
      <c r="S1529" s="5">
        <f>_xlfn.XLOOKUP(CustomerCombined[[#This Row],[ID]], Table4[ID], Table4[Website], "Not Found", 0)</f>
        <v>3</v>
      </c>
      <c r="T1529" s="5">
        <f>_xlfn.XLOOKUP(CustomerCombined[[#This Row],[ID]], Table4[ID], Table4[Catalog], "Not Found", 0)</f>
        <v>2</v>
      </c>
      <c r="U1529" s="5">
        <f>_xlfn.XLOOKUP(CustomerCombined[[#This Row],[ID]], Table4[ID], Table4[Store], "Not Found", 0)</f>
        <v>2</v>
      </c>
      <c r="V1529" s="5">
        <f>_xlfn.XLOOKUP(CustomerCombined[[#This Row],[ID]], Table4[ID], Table4[Visits], "Not Found", 0)</f>
        <v>8</v>
      </c>
      <c r="W1529" s="8">
        <f>_xlfn.XLOOKUP(CustomerCombined[[#This Row],[ID]], Table2[ID],Table2[Complaint], "Not Found", 0 )</f>
        <v>0</v>
      </c>
      <c r="X1529" s="8">
        <f>_xlfn.XLOOKUP(CustomerCombined[[#This Row],[ID]], Table2[ID],Table2[Pilot], "Not Found", 0 )</f>
        <v>0</v>
      </c>
      <c r="Y1529" s="8">
        <f>_xlfn.XLOOKUP(CustomerCombined[[#This Row],[ID]], Table2[ID],Table2[MC1], "Not Found", 0 )</f>
        <v>0</v>
      </c>
      <c r="Z1529" s="8">
        <f>_xlfn.XLOOKUP(CustomerCombined[[#This Row],[ID]], Table2[ID],Table2[MC2], "Not Found", 0 )</f>
        <v>0</v>
      </c>
      <c r="AA1529" s="8">
        <f>_xlfn.XLOOKUP(CustomerCombined[[#This Row],[ID]], Table2[ID],Table2[MC3], "Not Found", 0 )</f>
        <v>0</v>
      </c>
      <c r="AB1529" s="8">
        <f>_xlfn.XLOOKUP(CustomerCombined[[#This Row],[ID]], Table2[ID],Table2[MC4], "Not Found", 0 )</f>
        <v>0</v>
      </c>
      <c r="AC1529" s="8">
        <f>_xlfn.XLOOKUP(CustomerCombined[[#This Row],[ID]], Table2[ID],Table2[MC5], "Not Found", 0 )</f>
        <v>0</v>
      </c>
    </row>
    <row r="1530" spans="1:29" x14ac:dyDescent="0.3">
      <c r="A1530" s="6">
        <v>1804</v>
      </c>
      <c r="B1530" s="6">
        <v>122419</v>
      </c>
      <c r="C1530" s="6">
        <v>0</v>
      </c>
      <c r="D1530" s="6">
        <v>0</v>
      </c>
      <c r="E1530" s="6">
        <v>57</v>
      </c>
      <c r="F1530" s="5" t="s">
        <v>6</v>
      </c>
      <c r="G1530" s="5" t="s">
        <v>11</v>
      </c>
      <c r="H1530" s="3" t="s">
        <v>271</v>
      </c>
      <c r="I1530" s="5" t="s">
        <v>439</v>
      </c>
      <c r="J1530" s="5">
        <f>_xlfn.XLOOKUP(CustomerCombined[[#This Row],[ID]], Table4[ID], Table4[Recency], "Not Found", 0)</f>
        <v>74</v>
      </c>
      <c r="K1530" s="5">
        <f>_xlfn.XLOOKUP(CustomerCombined[[#This Row],[ID]], Table4[ID], Table4[Teas], "Not Found", 0)</f>
        <v>164</v>
      </c>
      <c r="L1530" s="5">
        <f>_xlfn.XLOOKUP(CustomerCombined[[#This Row],[ID]], Table4[ID], Table4[Fruits], "Not Found", 0)</f>
        <v>16</v>
      </c>
      <c r="M1530" s="5">
        <f>_xlfn.XLOOKUP(CustomerCombined[[#This Row],[ID]], Table4[ID], Table4[Meats], "Not Found", 0)</f>
        <v>257</v>
      </c>
      <c r="N1530" s="5">
        <f>_xlfn.XLOOKUP(CustomerCombined[[#This Row],[ID]], Table4[ID], Table4[Seafood], "Not Found", 0)</f>
        <v>104</v>
      </c>
      <c r="O1530" s="5">
        <f>_xlfn.XLOOKUP(CustomerCombined[[#This Row],[ID]], Table4[ID], Table4[Sweets], "Not Found", 0)</f>
        <v>115</v>
      </c>
      <c r="P1530" s="5">
        <f>_xlfn.XLOOKUP(CustomerCombined[[#This Row],[ID]], Table4[ID], Table4[Premium], "Not Found", 0)</f>
        <v>229</v>
      </c>
      <c r="Q1530" s="5">
        <f>_xlfn.XLOOKUP(CustomerCombined[[#This Row],[ID]], Table4[ID], Table4[Regular], "Not Found", 0)</f>
        <v>426</v>
      </c>
      <c r="R1530" s="5">
        <f>_xlfn.XLOOKUP(CustomerCombined[[#This Row],[ID]], Table4[ID], Table4[Deals], "Not Found", 0)</f>
        <v>1</v>
      </c>
      <c r="S1530" s="5">
        <f>_xlfn.XLOOKUP(CustomerCombined[[#This Row],[ID]], Table4[ID], Table4[Website], "Not Found", 0)</f>
        <v>3</v>
      </c>
      <c r="T1530" s="5">
        <f>_xlfn.XLOOKUP(CustomerCombined[[#This Row],[ID]], Table4[ID], Table4[Catalog], "Not Found", 0)</f>
        <v>2</v>
      </c>
      <c r="U1530" s="5">
        <f>_xlfn.XLOOKUP(CustomerCombined[[#This Row],[ID]], Table4[ID], Table4[Store], "Not Found", 0)</f>
        <v>2</v>
      </c>
      <c r="V1530" s="5">
        <f>_xlfn.XLOOKUP(CustomerCombined[[#This Row],[ID]], Table4[ID], Table4[Visits], "Not Found", 0)</f>
        <v>8</v>
      </c>
      <c r="W1530" s="8">
        <f>_xlfn.XLOOKUP(CustomerCombined[[#This Row],[ID]], Table2[ID],Table2[Complaint], "Not Found", 0 )</f>
        <v>0</v>
      </c>
      <c r="X1530" s="8">
        <f>_xlfn.XLOOKUP(CustomerCombined[[#This Row],[ID]], Table2[ID],Table2[Pilot], "Not Found", 0 )</f>
        <v>0</v>
      </c>
      <c r="Y1530" s="8">
        <f>_xlfn.XLOOKUP(CustomerCombined[[#This Row],[ID]], Table2[ID],Table2[MC1], "Not Found", 0 )</f>
        <v>0</v>
      </c>
      <c r="Z1530" s="8">
        <f>_xlfn.XLOOKUP(CustomerCombined[[#This Row],[ID]], Table2[ID],Table2[MC2], "Not Found", 0 )</f>
        <v>0</v>
      </c>
      <c r="AA1530" s="8">
        <f>_xlfn.XLOOKUP(CustomerCombined[[#This Row],[ID]], Table2[ID],Table2[MC3], "Not Found", 0 )</f>
        <v>0</v>
      </c>
      <c r="AB1530" s="8">
        <f>_xlfn.XLOOKUP(CustomerCombined[[#This Row],[ID]], Table2[ID],Table2[MC4], "Not Found", 0 )</f>
        <v>0</v>
      </c>
      <c r="AC1530" s="8">
        <f>_xlfn.XLOOKUP(CustomerCombined[[#This Row],[ID]], Table2[ID],Table2[MC5], "Not Found", 0 )</f>
        <v>0</v>
      </c>
    </row>
    <row r="1531" spans="1:29" x14ac:dyDescent="0.3">
      <c r="A1531" s="6">
        <v>3176</v>
      </c>
      <c r="B1531" s="6">
        <v>114918</v>
      </c>
      <c r="C1531" s="6">
        <v>0</v>
      </c>
      <c r="D1531" s="6">
        <v>1</v>
      </c>
      <c r="E1531" s="6">
        <v>57</v>
      </c>
      <c r="F1531" s="5" t="s">
        <v>8</v>
      </c>
      <c r="G1531" s="5" t="s">
        <v>10</v>
      </c>
      <c r="H1531" s="3" t="s">
        <v>351</v>
      </c>
      <c r="I1531" s="5" t="s">
        <v>438</v>
      </c>
      <c r="J1531" s="5">
        <f>_xlfn.XLOOKUP(CustomerCombined[[#This Row],[ID]], Table4[ID], Table4[Recency], "Not Found", 0)</f>
        <v>52</v>
      </c>
      <c r="K1531" s="5">
        <f>_xlfn.XLOOKUP(CustomerCombined[[#This Row],[ID]], Table4[ID], Table4[Teas], "Not Found", 0)</f>
        <v>23</v>
      </c>
      <c r="L1531" s="5">
        <f>_xlfn.XLOOKUP(CustomerCombined[[#This Row],[ID]], Table4[ID], Table4[Fruits], "Not Found", 0)</f>
        <v>23</v>
      </c>
      <c r="M1531" s="5">
        <f>_xlfn.XLOOKUP(CustomerCombined[[#This Row],[ID]], Table4[ID], Table4[Meats], "Not Found", 0)</f>
        <v>23</v>
      </c>
      <c r="N1531" s="5">
        <f>_xlfn.XLOOKUP(CustomerCombined[[#This Row],[ID]], Table4[ID], Table4[Seafood], "Not Found", 0)</f>
        <v>116</v>
      </c>
      <c r="O1531" s="5">
        <f>_xlfn.XLOOKUP(CustomerCombined[[#This Row],[ID]], Table4[ID], Table4[Sweets], "Not Found", 0)</f>
        <v>31</v>
      </c>
      <c r="P1531" s="5">
        <f>_xlfn.XLOOKUP(CustomerCombined[[#This Row],[ID]], Table4[ID], Table4[Premium], "Not Found", 0)</f>
        <v>116</v>
      </c>
      <c r="Q1531" s="5">
        <f>_xlfn.XLOOKUP(CustomerCombined[[#This Row],[ID]], Table4[ID], Table4[Regular], "Not Found", 0)</f>
        <v>100</v>
      </c>
      <c r="R1531" s="5">
        <f>_xlfn.XLOOKUP(CustomerCombined[[#This Row],[ID]], Table4[ID], Table4[Deals], "Not Found", 0)</f>
        <v>1</v>
      </c>
      <c r="S1531" s="5">
        <f>_xlfn.XLOOKUP(CustomerCombined[[#This Row],[ID]], Table4[ID], Table4[Website], "Not Found", 0)</f>
        <v>1</v>
      </c>
      <c r="T1531" s="5">
        <f>_xlfn.XLOOKUP(CustomerCombined[[#This Row],[ID]], Table4[ID], Table4[Catalog], "Not Found", 0)</f>
        <v>0</v>
      </c>
      <c r="U1531" s="5">
        <f>_xlfn.XLOOKUP(CustomerCombined[[#This Row],[ID]], Table4[ID], Table4[Store], "Not Found", 0)</f>
        <v>3</v>
      </c>
      <c r="V1531" s="5">
        <f>_xlfn.XLOOKUP(CustomerCombined[[#This Row],[ID]], Table4[ID], Table4[Visits], "Not Found", 0)</f>
        <v>6</v>
      </c>
      <c r="W1531" s="8">
        <f>_xlfn.XLOOKUP(CustomerCombined[[#This Row],[ID]], Table2[ID],Table2[Complaint], "Not Found", 0 )</f>
        <v>0</v>
      </c>
      <c r="X1531" s="8">
        <f>_xlfn.XLOOKUP(CustomerCombined[[#This Row],[ID]], Table2[ID],Table2[Pilot], "Not Found", 0 )</f>
        <v>0</v>
      </c>
      <c r="Y1531" s="8">
        <f>_xlfn.XLOOKUP(CustomerCombined[[#This Row],[ID]], Table2[ID],Table2[MC1], "Not Found", 0 )</f>
        <v>0</v>
      </c>
      <c r="Z1531" s="8">
        <f>_xlfn.XLOOKUP(CustomerCombined[[#This Row],[ID]], Table2[ID],Table2[MC2], "Not Found", 0 )</f>
        <v>0</v>
      </c>
      <c r="AA1531" s="8">
        <f>_xlfn.XLOOKUP(CustomerCombined[[#This Row],[ID]], Table2[ID],Table2[MC3], "Not Found", 0 )</f>
        <v>0</v>
      </c>
      <c r="AB1531" s="8">
        <f>_xlfn.XLOOKUP(CustomerCombined[[#This Row],[ID]], Table2[ID],Table2[MC4], "Not Found", 0 )</f>
        <v>0</v>
      </c>
      <c r="AC1531" s="8">
        <f>_xlfn.XLOOKUP(CustomerCombined[[#This Row],[ID]], Table2[ID],Table2[MC5], "Not Found", 0 )</f>
        <v>0</v>
      </c>
    </row>
    <row r="1532" spans="1:29" x14ac:dyDescent="0.3">
      <c r="A1532" s="6">
        <v>2821</v>
      </c>
      <c r="B1532" s="6">
        <v>104023</v>
      </c>
      <c r="C1532" s="6">
        <v>1</v>
      </c>
      <c r="D1532" s="6">
        <v>1</v>
      </c>
      <c r="E1532" s="6">
        <v>57</v>
      </c>
      <c r="F1532" s="5" t="s">
        <v>6</v>
      </c>
      <c r="G1532" s="5" t="s">
        <v>13</v>
      </c>
      <c r="H1532" s="3" t="s">
        <v>26</v>
      </c>
      <c r="I1532" s="5" t="s">
        <v>437</v>
      </c>
      <c r="J1532" s="5">
        <f>_xlfn.XLOOKUP(CustomerCombined[[#This Row],[ID]], Table4[ID], Table4[Recency], "Not Found", 0)</f>
        <v>29</v>
      </c>
      <c r="K1532" s="5">
        <f>_xlfn.XLOOKUP(CustomerCombined[[#This Row],[ID]], Table4[ID], Table4[Teas], "Not Found", 0)</f>
        <v>129</v>
      </c>
      <c r="L1532" s="5">
        <f>_xlfn.XLOOKUP(CustomerCombined[[#This Row],[ID]], Table4[ID], Table4[Fruits], "Not Found", 0)</f>
        <v>0</v>
      </c>
      <c r="M1532" s="5">
        <f>_xlfn.XLOOKUP(CustomerCombined[[#This Row],[ID]], Table4[ID], Table4[Meats], "Not Found", 0)</f>
        <v>26</v>
      </c>
      <c r="N1532" s="5">
        <f>_xlfn.XLOOKUP(CustomerCombined[[#This Row],[ID]], Table4[ID], Table4[Seafood], "Not Found", 0)</f>
        <v>26</v>
      </c>
      <c r="O1532" s="5">
        <f>_xlfn.XLOOKUP(CustomerCombined[[#This Row],[ID]], Table4[ID], Table4[Sweets], "Not Found", 0)</f>
        <v>26</v>
      </c>
      <c r="P1532" s="5">
        <f>_xlfn.XLOOKUP(CustomerCombined[[#This Row],[ID]], Table4[ID], Table4[Premium], "Not Found", 0)</f>
        <v>26</v>
      </c>
      <c r="Q1532" s="5">
        <f>_xlfn.XLOOKUP(CustomerCombined[[#This Row],[ID]], Table4[ID], Table4[Regular], "Not Found", 0)</f>
        <v>181</v>
      </c>
      <c r="R1532" s="5">
        <f>_xlfn.XLOOKUP(CustomerCombined[[#This Row],[ID]], Table4[ID], Table4[Deals], "Not Found", 0)</f>
        <v>15</v>
      </c>
      <c r="S1532" s="5">
        <f>_xlfn.XLOOKUP(CustomerCombined[[#This Row],[ID]], Table4[ID], Table4[Website], "Not Found", 0)</f>
        <v>0</v>
      </c>
      <c r="T1532" s="5">
        <f>_xlfn.XLOOKUP(CustomerCombined[[#This Row],[ID]], Table4[ID], Table4[Catalog], "Not Found", 0)</f>
        <v>0</v>
      </c>
      <c r="U1532" s="5">
        <f>_xlfn.XLOOKUP(CustomerCombined[[#This Row],[ID]], Table4[ID], Table4[Store], "Not Found", 0)</f>
        <v>0</v>
      </c>
      <c r="V1532" s="5">
        <f>_xlfn.XLOOKUP(CustomerCombined[[#This Row],[ID]], Table4[ID], Table4[Visits], "Not Found", 0)</f>
        <v>19</v>
      </c>
      <c r="W1532" s="8">
        <f>_xlfn.XLOOKUP(CustomerCombined[[#This Row],[ID]], Table2[ID],Table2[Complaint], "Not Found", 0 )</f>
        <v>0</v>
      </c>
      <c r="X1532" s="8">
        <f>_xlfn.XLOOKUP(CustomerCombined[[#This Row],[ID]], Table2[ID],Table2[Pilot], "Not Found", 0 )</f>
        <v>0</v>
      </c>
      <c r="Y1532" s="8">
        <f>_xlfn.XLOOKUP(CustomerCombined[[#This Row],[ID]], Table2[ID],Table2[MC1], "Not Found", 0 )</f>
        <v>0</v>
      </c>
      <c r="Z1532" s="8">
        <f>_xlfn.XLOOKUP(CustomerCombined[[#This Row],[ID]], Table2[ID],Table2[MC2], "Not Found", 0 )</f>
        <v>0</v>
      </c>
      <c r="AA1532" s="8">
        <f>_xlfn.XLOOKUP(CustomerCombined[[#This Row],[ID]], Table2[ID],Table2[MC3], "Not Found", 0 )</f>
        <v>0</v>
      </c>
      <c r="AB1532" s="8">
        <f>_xlfn.XLOOKUP(CustomerCombined[[#This Row],[ID]], Table2[ID],Table2[MC4], "Not Found", 0 )</f>
        <v>0</v>
      </c>
      <c r="AC1532" s="8">
        <f>_xlfn.XLOOKUP(CustomerCombined[[#This Row],[ID]], Table2[ID],Table2[MC5], "Not Found", 0 )</f>
        <v>0</v>
      </c>
    </row>
    <row r="1533" spans="1:29" x14ac:dyDescent="0.3">
      <c r="A1533" s="6">
        <v>3206</v>
      </c>
      <c r="B1533" s="6">
        <v>0</v>
      </c>
      <c r="C1533" s="6">
        <v>1</v>
      </c>
      <c r="D1533" s="6">
        <v>2</v>
      </c>
      <c r="E1533" s="6">
        <v>57</v>
      </c>
      <c r="F1533" s="5" t="s">
        <v>6</v>
      </c>
      <c r="G1533" s="5" t="s">
        <v>12</v>
      </c>
      <c r="H1533" s="3" t="s">
        <v>24</v>
      </c>
      <c r="I1533" s="5" t="s">
        <v>438</v>
      </c>
      <c r="J1533" s="5">
        <f>_xlfn.XLOOKUP(CustomerCombined[[#This Row],[ID]], Table4[ID], Table4[Recency], "Not Found", 0)</f>
        <v>33</v>
      </c>
      <c r="K1533" s="5">
        <f>_xlfn.XLOOKUP(CustomerCombined[[#This Row],[ID]], Table4[ID], Table4[Teas], "Not Found", 0)</f>
        <v>0</v>
      </c>
      <c r="L1533" s="5">
        <f>_xlfn.XLOOKUP(CustomerCombined[[#This Row],[ID]], Table4[ID], Table4[Fruits], "Not Found", 0)</f>
        <v>0</v>
      </c>
      <c r="M1533" s="5">
        <f>_xlfn.XLOOKUP(CustomerCombined[[#This Row],[ID]], Table4[ID], Table4[Meats], "Not Found", 0)</f>
        <v>0</v>
      </c>
      <c r="N1533" s="5">
        <f>_xlfn.XLOOKUP(CustomerCombined[[#This Row],[ID]], Table4[ID], Table4[Seafood], "Not Found", 0)</f>
        <v>0</v>
      </c>
      <c r="O1533" s="5">
        <f>_xlfn.XLOOKUP(CustomerCombined[[#This Row],[ID]], Table4[ID], Table4[Sweets], "Not Found", 0)</f>
        <v>0</v>
      </c>
      <c r="P1533" s="5">
        <f>_xlfn.XLOOKUP(CustomerCombined[[#This Row],[ID]], Table4[ID], Table4[Premium], "Not Found", 0)</f>
        <v>0</v>
      </c>
      <c r="Q1533" s="5">
        <f>_xlfn.XLOOKUP(CustomerCombined[[#This Row],[ID]], Table4[ID], Table4[Regular], "Not Found", 0)</f>
        <v>0</v>
      </c>
      <c r="R1533" s="5">
        <f>_xlfn.XLOOKUP(CustomerCombined[[#This Row],[ID]], Table4[ID], Table4[Deals], "Not Found", 0)</f>
        <v>3</v>
      </c>
      <c r="S1533" s="5">
        <f>_xlfn.XLOOKUP(CustomerCombined[[#This Row],[ID]], Table4[ID], Table4[Website], "Not Found", 0)</f>
        <v>2</v>
      </c>
      <c r="T1533" s="5">
        <f>_xlfn.XLOOKUP(CustomerCombined[[#This Row],[ID]], Table4[ID], Table4[Catalog], "Not Found", 0)</f>
        <v>0</v>
      </c>
      <c r="U1533" s="5">
        <f>_xlfn.XLOOKUP(CustomerCombined[[#This Row],[ID]], Table4[ID], Table4[Store], "Not Found", 0)</f>
        <v>4</v>
      </c>
      <c r="V1533" s="5">
        <f>_xlfn.XLOOKUP(CustomerCombined[[#This Row],[ID]], Table4[ID], Table4[Visits], "Not Found", 0)</f>
        <v>4</v>
      </c>
      <c r="W1533" s="8">
        <f>_xlfn.XLOOKUP(CustomerCombined[[#This Row],[ID]], Table2[ID],Table2[Complaint], "Not Found", 0 )</f>
        <v>0</v>
      </c>
      <c r="X1533" s="8">
        <f>_xlfn.XLOOKUP(CustomerCombined[[#This Row],[ID]], Table2[ID],Table2[Pilot], "Not Found", 0 )</f>
        <v>0</v>
      </c>
      <c r="Y1533" s="8">
        <f>_xlfn.XLOOKUP(CustomerCombined[[#This Row],[ID]], Table2[ID],Table2[MC1], "Not Found", 0 )</f>
        <v>0</v>
      </c>
      <c r="Z1533" s="8">
        <f>_xlfn.XLOOKUP(CustomerCombined[[#This Row],[ID]], Table2[ID],Table2[MC2], "Not Found", 0 )</f>
        <v>0</v>
      </c>
      <c r="AA1533" s="8">
        <f>_xlfn.XLOOKUP(CustomerCombined[[#This Row],[ID]], Table2[ID],Table2[MC3], "Not Found", 0 )</f>
        <v>0</v>
      </c>
      <c r="AB1533" s="8">
        <f>_xlfn.XLOOKUP(CustomerCombined[[#This Row],[ID]], Table2[ID],Table2[MC4], "Not Found", 0 )</f>
        <v>0</v>
      </c>
      <c r="AC1533" s="8">
        <f>_xlfn.XLOOKUP(CustomerCombined[[#This Row],[ID]], Table2[ID],Table2[MC5], "Not Found", 0 )</f>
        <v>0</v>
      </c>
    </row>
    <row r="1534" spans="1:29" x14ac:dyDescent="0.3">
      <c r="A1534" s="6">
        <v>1132</v>
      </c>
      <c r="B1534" s="6">
        <v>186111</v>
      </c>
      <c r="C1534" s="6">
        <v>0</v>
      </c>
      <c r="D1534" s="6">
        <v>0</v>
      </c>
      <c r="E1534" s="6">
        <v>58</v>
      </c>
      <c r="F1534" s="5" t="s">
        <v>6</v>
      </c>
      <c r="G1534" s="5" t="s">
        <v>11</v>
      </c>
      <c r="H1534" s="3" t="s">
        <v>270</v>
      </c>
      <c r="I1534" s="5" t="s">
        <v>439</v>
      </c>
      <c r="J1534" s="5">
        <f>_xlfn.XLOOKUP(CustomerCombined[[#This Row],[ID]], Table4[ID], Table4[Recency], "Not Found", 0)</f>
        <v>73</v>
      </c>
      <c r="K1534" s="5">
        <f>_xlfn.XLOOKUP(CustomerCombined[[#This Row],[ID]], Table4[ID], Table4[Teas], "Not Found", 0)</f>
        <v>862</v>
      </c>
      <c r="L1534" s="5">
        <f>_xlfn.XLOOKUP(CustomerCombined[[#This Row],[ID]], Table4[ID], Table4[Fruits], "Not Found", 0)</f>
        <v>61</v>
      </c>
      <c r="M1534" s="5">
        <f>_xlfn.XLOOKUP(CustomerCombined[[#This Row],[ID]], Table4[ID], Table4[Meats], "Not Found", 0)</f>
        <v>1634</v>
      </c>
      <c r="N1534" s="5">
        <f>_xlfn.XLOOKUP(CustomerCombined[[#This Row],[ID]], Table4[ID], Table4[Seafood], "Not Found", 0)</f>
        <v>78</v>
      </c>
      <c r="O1534" s="5">
        <f>_xlfn.XLOOKUP(CustomerCombined[[#This Row],[ID]], Table4[ID], Table4[Sweets], "Not Found", 0)</f>
        <v>86</v>
      </c>
      <c r="P1534" s="5">
        <f>_xlfn.XLOOKUP(CustomerCombined[[#This Row],[ID]], Table4[ID], Table4[Premium], "Not Found", 0)</f>
        <v>272</v>
      </c>
      <c r="Q1534" s="5">
        <f>_xlfn.XLOOKUP(CustomerCombined[[#This Row],[ID]], Table4[ID], Table4[Regular], "Not Found", 0)</f>
        <v>2449</v>
      </c>
      <c r="R1534" s="5">
        <f>_xlfn.XLOOKUP(CustomerCombined[[#This Row],[ID]], Table4[ID], Table4[Deals], "Not Found", 0)</f>
        <v>1</v>
      </c>
      <c r="S1534" s="5">
        <f>_xlfn.XLOOKUP(CustomerCombined[[#This Row],[ID]], Table4[ID], Table4[Website], "Not Found", 0)</f>
        <v>5</v>
      </c>
      <c r="T1534" s="5">
        <f>_xlfn.XLOOKUP(CustomerCombined[[#This Row],[ID]], Table4[ID], Table4[Catalog], "Not Found", 0)</f>
        <v>7</v>
      </c>
      <c r="U1534" s="5">
        <f>_xlfn.XLOOKUP(CustomerCombined[[#This Row],[ID]], Table4[ID], Table4[Store], "Not Found", 0)</f>
        <v>10</v>
      </c>
      <c r="V1534" s="5">
        <f>_xlfn.XLOOKUP(CustomerCombined[[#This Row],[ID]], Table4[ID], Table4[Visits], "Not Found", 0)</f>
        <v>2</v>
      </c>
      <c r="W1534" s="8">
        <f>_xlfn.XLOOKUP(CustomerCombined[[#This Row],[ID]], Table2[ID],Table2[Complaint], "Not Found", 0 )</f>
        <v>0</v>
      </c>
      <c r="X1534" s="8">
        <f>_xlfn.XLOOKUP(CustomerCombined[[#This Row],[ID]], Table2[ID],Table2[Pilot], "Not Found", 0 )</f>
        <v>0</v>
      </c>
      <c r="Y1534" s="8">
        <f>_xlfn.XLOOKUP(CustomerCombined[[#This Row],[ID]], Table2[ID],Table2[MC1], "Not Found", 0 )</f>
        <v>0</v>
      </c>
      <c r="Z1534" s="8">
        <f>_xlfn.XLOOKUP(CustomerCombined[[#This Row],[ID]], Table2[ID],Table2[MC2], "Not Found", 0 )</f>
        <v>0</v>
      </c>
      <c r="AA1534" s="8">
        <f>_xlfn.XLOOKUP(CustomerCombined[[#This Row],[ID]], Table2[ID],Table2[MC3], "Not Found", 0 )</f>
        <v>0</v>
      </c>
      <c r="AB1534" s="8">
        <f>_xlfn.XLOOKUP(CustomerCombined[[#This Row],[ID]], Table2[ID],Table2[MC4], "Not Found", 0 )</f>
        <v>0</v>
      </c>
      <c r="AC1534" s="8">
        <f>_xlfn.XLOOKUP(CustomerCombined[[#This Row],[ID]], Table2[ID],Table2[MC5], "Not Found", 0 )</f>
        <v>0</v>
      </c>
    </row>
    <row r="1535" spans="1:29" x14ac:dyDescent="0.3">
      <c r="A1535" s="6">
        <v>2118</v>
      </c>
      <c r="B1535" s="6">
        <v>185696</v>
      </c>
      <c r="C1535" s="6">
        <v>0</v>
      </c>
      <c r="D1535" s="6">
        <v>0</v>
      </c>
      <c r="E1535" s="6">
        <v>58</v>
      </c>
      <c r="F1535" s="5" t="s">
        <v>5</v>
      </c>
      <c r="G1535" s="5" t="s">
        <v>13</v>
      </c>
      <c r="H1535" s="3">
        <v>43687</v>
      </c>
      <c r="I1535" s="5" t="s">
        <v>436</v>
      </c>
      <c r="J1535" s="5">
        <f>_xlfn.XLOOKUP(CustomerCombined[[#This Row],[ID]], Table4[ID], Table4[Recency], "Not Found", 0)</f>
        <v>88</v>
      </c>
      <c r="K1535" s="5">
        <f>_xlfn.XLOOKUP(CustomerCombined[[#This Row],[ID]], Table4[ID], Table4[Teas], "Not Found", 0)</f>
        <v>1547</v>
      </c>
      <c r="L1535" s="5">
        <f>_xlfn.XLOOKUP(CustomerCombined[[#This Row],[ID]], Table4[ID], Table4[Fruits], "Not Found", 0)</f>
        <v>165</v>
      </c>
      <c r="M1535" s="5">
        <f>_xlfn.XLOOKUP(CustomerCombined[[#This Row],[ID]], Table4[ID], Table4[Meats], "Not Found", 0)</f>
        <v>856</v>
      </c>
      <c r="N1535" s="5">
        <f>_xlfn.XLOOKUP(CustomerCombined[[#This Row],[ID]], Table4[ID], Table4[Seafood], "Not Found", 0)</f>
        <v>251</v>
      </c>
      <c r="O1535" s="5">
        <f>_xlfn.XLOOKUP(CustomerCombined[[#This Row],[ID]], Table4[ID], Table4[Sweets], "Not Found", 0)</f>
        <v>0</v>
      </c>
      <c r="P1535" s="5">
        <f>_xlfn.XLOOKUP(CustomerCombined[[#This Row],[ID]], Table4[ID], Table4[Premium], "Not Found", 0)</f>
        <v>26</v>
      </c>
      <c r="Q1535" s="5">
        <f>_xlfn.XLOOKUP(CustomerCombined[[#This Row],[ID]], Table4[ID], Table4[Regular], "Not Found", 0)</f>
        <v>2793</v>
      </c>
      <c r="R1535" s="5">
        <f>_xlfn.XLOOKUP(CustomerCombined[[#This Row],[ID]], Table4[ID], Table4[Deals], "Not Found", 0)</f>
        <v>1</v>
      </c>
      <c r="S1535" s="5">
        <f>_xlfn.XLOOKUP(CustomerCombined[[#This Row],[ID]], Table4[ID], Table4[Website], "Not Found", 0)</f>
        <v>4</v>
      </c>
      <c r="T1535" s="5">
        <f>_xlfn.XLOOKUP(CustomerCombined[[#This Row],[ID]], Table4[ID], Table4[Catalog], "Not Found", 0)</f>
        <v>6</v>
      </c>
      <c r="U1535" s="5">
        <f>_xlfn.XLOOKUP(CustomerCombined[[#This Row],[ID]], Table4[ID], Table4[Store], "Not Found", 0)</f>
        <v>9</v>
      </c>
      <c r="V1535" s="5">
        <f>_xlfn.XLOOKUP(CustomerCombined[[#This Row],[ID]], Table4[ID], Table4[Visits], "Not Found", 0)</f>
        <v>1</v>
      </c>
      <c r="W1535" s="8">
        <f>_xlfn.XLOOKUP(CustomerCombined[[#This Row],[ID]], Table2[ID],Table2[Complaint], "Not Found", 0 )</f>
        <v>0</v>
      </c>
      <c r="X1535" s="8">
        <f>_xlfn.XLOOKUP(CustomerCombined[[#This Row],[ID]], Table2[ID],Table2[Pilot], "Not Found", 0 )</f>
        <v>1</v>
      </c>
      <c r="Y1535" s="8">
        <f>_xlfn.XLOOKUP(CustomerCombined[[#This Row],[ID]], Table2[ID],Table2[MC1], "Not Found", 0 )</f>
        <v>0</v>
      </c>
      <c r="Z1535" s="8">
        <f>_xlfn.XLOOKUP(CustomerCombined[[#This Row],[ID]], Table2[ID],Table2[MC2], "Not Found", 0 )</f>
        <v>0</v>
      </c>
      <c r="AA1535" s="8">
        <f>_xlfn.XLOOKUP(CustomerCombined[[#This Row],[ID]], Table2[ID],Table2[MC3], "Not Found", 0 )</f>
        <v>0</v>
      </c>
      <c r="AB1535" s="8">
        <f>_xlfn.XLOOKUP(CustomerCombined[[#This Row],[ID]], Table2[ID],Table2[MC4], "Not Found", 0 )</f>
        <v>0</v>
      </c>
      <c r="AC1535" s="8">
        <f>_xlfn.XLOOKUP(CustomerCombined[[#This Row],[ID]], Table2[ID],Table2[MC5], "Not Found", 0 )</f>
        <v>0</v>
      </c>
    </row>
    <row r="1536" spans="1:29" x14ac:dyDescent="0.3">
      <c r="A1536" s="6">
        <v>2329</v>
      </c>
      <c r="B1536" s="6">
        <v>185696</v>
      </c>
      <c r="C1536" s="6">
        <v>0</v>
      </c>
      <c r="D1536" s="6">
        <v>0</v>
      </c>
      <c r="E1536" s="6">
        <v>58</v>
      </c>
      <c r="F1536" s="5" t="s">
        <v>5</v>
      </c>
      <c r="G1536" s="5" t="s">
        <v>13</v>
      </c>
      <c r="H1536" s="3">
        <v>43687</v>
      </c>
      <c r="I1536" s="5" t="s">
        <v>437</v>
      </c>
      <c r="J1536" s="5">
        <f>_xlfn.XLOOKUP(CustomerCombined[[#This Row],[ID]], Table4[ID], Table4[Recency], "Not Found", 0)</f>
        <v>88</v>
      </c>
      <c r="K1536" s="5">
        <f>_xlfn.XLOOKUP(CustomerCombined[[#This Row],[ID]], Table4[ID], Table4[Teas], "Not Found", 0)</f>
        <v>1547</v>
      </c>
      <c r="L1536" s="5">
        <f>_xlfn.XLOOKUP(CustomerCombined[[#This Row],[ID]], Table4[ID], Table4[Fruits], "Not Found", 0)</f>
        <v>165</v>
      </c>
      <c r="M1536" s="5">
        <f>_xlfn.XLOOKUP(CustomerCombined[[#This Row],[ID]], Table4[ID], Table4[Meats], "Not Found", 0)</f>
        <v>856</v>
      </c>
      <c r="N1536" s="5">
        <f>_xlfn.XLOOKUP(CustomerCombined[[#This Row],[ID]], Table4[ID], Table4[Seafood], "Not Found", 0)</f>
        <v>251</v>
      </c>
      <c r="O1536" s="5">
        <f>_xlfn.XLOOKUP(CustomerCombined[[#This Row],[ID]], Table4[ID], Table4[Sweets], "Not Found", 0)</f>
        <v>0</v>
      </c>
      <c r="P1536" s="5">
        <f>_xlfn.XLOOKUP(CustomerCombined[[#This Row],[ID]], Table4[ID], Table4[Premium], "Not Found", 0)</f>
        <v>26</v>
      </c>
      <c r="Q1536" s="5">
        <f>_xlfn.XLOOKUP(CustomerCombined[[#This Row],[ID]], Table4[ID], Table4[Regular], "Not Found", 0)</f>
        <v>2793</v>
      </c>
      <c r="R1536" s="5">
        <f>_xlfn.XLOOKUP(CustomerCombined[[#This Row],[ID]], Table4[ID], Table4[Deals], "Not Found", 0)</f>
        <v>1</v>
      </c>
      <c r="S1536" s="5">
        <f>_xlfn.XLOOKUP(CustomerCombined[[#This Row],[ID]], Table4[ID], Table4[Website], "Not Found", 0)</f>
        <v>4</v>
      </c>
      <c r="T1536" s="5">
        <f>_xlfn.XLOOKUP(CustomerCombined[[#This Row],[ID]], Table4[ID], Table4[Catalog], "Not Found", 0)</f>
        <v>6</v>
      </c>
      <c r="U1536" s="5">
        <f>_xlfn.XLOOKUP(CustomerCombined[[#This Row],[ID]], Table4[ID], Table4[Store], "Not Found", 0)</f>
        <v>9</v>
      </c>
      <c r="V1536" s="5">
        <f>_xlfn.XLOOKUP(CustomerCombined[[#This Row],[ID]], Table4[ID], Table4[Visits], "Not Found", 0)</f>
        <v>1</v>
      </c>
      <c r="W1536" s="8">
        <f>_xlfn.XLOOKUP(CustomerCombined[[#This Row],[ID]], Table2[ID],Table2[Complaint], "Not Found", 0 )</f>
        <v>0</v>
      </c>
      <c r="X1536" s="8">
        <f>_xlfn.XLOOKUP(CustomerCombined[[#This Row],[ID]], Table2[ID],Table2[Pilot], "Not Found", 0 )</f>
        <v>1</v>
      </c>
      <c r="Y1536" s="8">
        <f>_xlfn.XLOOKUP(CustomerCombined[[#This Row],[ID]], Table2[ID],Table2[MC1], "Not Found", 0 )</f>
        <v>0</v>
      </c>
      <c r="Z1536" s="8">
        <f>_xlfn.XLOOKUP(CustomerCombined[[#This Row],[ID]], Table2[ID],Table2[MC2], "Not Found", 0 )</f>
        <v>0</v>
      </c>
      <c r="AA1536" s="8">
        <f>_xlfn.XLOOKUP(CustomerCombined[[#This Row],[ID]], Table2[ID],Table2[MC3], "Not Found", 0 )</f>
        <v>0</v>
      </c>
      <c r="AB1536" s="8">
        <f>_xlfn.XLOOKUP(CustomerCombined[[#This Row],[ID]], Table2[ID],Table2[MC4], "Not Found", 0 )</f>
        <v>0</v>
      </c>
      <c r="AC1536" s="8">
        <f>_xlfn.XLOOKUP(CustomerCombined[[#This Row],[ID]], Table2[ID],Table2[MC5], "Not Found", 0 )</f>
        <v>0</v>
      </c>
    </row>
    <row r="1537" spans="1:29" x14ac:dyDescent="0.3">
      <c r="A1537" s="6">
        <v>1956</v>
      </c>
      <c r="B1537" s="6">
        <v>183715</v>
      </c>
      <c r="C1537" s="6">
        <v>0</v>
      </c>
      <c r="D1537" s="6">
        <v>0</v>
      </c>
      <c r="E1537" s="6">
        <v>58</v>
      </c>
      <c r="F1537" s="5" t="s">
        <v>6</v>
      </c>
      <c r="G1537" s="5" t="s">
        <v>11</v>
      </c>
      <c r="H1537" s="3">
        <v>44111</v>
      </c>
      <c r="I1537" s="5" t="s">
        <v>436</v>
      </c>
      <c r="J1537" s="5">
        <f>_xlfn.XLOOKUP(CustomerCombined[[#This Row],[ID]], Table4[ID], Table4[Recency], "Not Found", 0)</f>
        <v>2</v>
      </c>
      <c r="K1537" s="5">
        <f>_xlfn.XLOOKUP(CustomerCombined[[#This Row],[ID]], Table4[ID], Table4[Teas], "Not Found", 0)</f>
        <v>698</v>
      </c>
      <c r="L1537" s="5">
        <f>_xlfn.XLOOKUP(CustomerCombined[[#This Row],[ID]], Table4[ID], Table4[Fruits], "Not Found", 0)</f>
        <v>18</v>
      </c>
      <c r="M1537" s="5">
        <f>_xlfn.XLOOKUP(CustomerCombined[[#This Row],[ID]], Table4[ID], Table4[Meats], "Not Found", 0)</f>
        <v>893</v>
      </c>
      <c r="N1537" s="5">
        <f>_xlfn.XLOOKUP(CustomerCombined[[#This Row],[ID]], Table4[ID], Table4[Seafood], "Not Found", 0)</f>
        <v>329</v>
      </c>
      <c r="O1537" s="5">
        <f>_xlfn.XLOOKUP(CustomerCombined[[#This Row],[ID]], Table4[ID], Table4[Sweets], "Not Found", 0)</f>
        <v>77</v>
      </c>
      <c r="P1537" s="5">
        <f>_xlfn.XLOOKUP(CustomerCombined[[#This Row],[ID]], Table4[ID], Table4[Premium], "Not Found", 0)</f>
        <v>18</v>
      </c>
      <c r="Q1537" s="5">
        <f>_xlfn.XLOOKUP(CustomerCombined[[#This Row],[ID]], Table4[ID], Table4[Regular], "Not Found", 0)</f>
        <v>1997</v>
      </c>
      <c r="R1537" s="5">
        <f>_xlfn.XLOOKUP(CustomerCombined[[#This Row],[ID]], Table4[ID], Table4[Deals], "Not Found", 0)</f>
        <v>1</v>
      </c>
      <c r="S1537" s="5">
        <f>_xlfn.XLOOKUP(CustomerCombined[[#This Row],[ID]], Table4[ID], Table4[Website], "Not Found", 0)</f>
        <v>2</v>
      </c>
      <c r="T1537" s="5">
        <f>_xlfn.XLOOKUP(CustomerCombined[[#This Row],[ID]], Table4[ID], Table4[Catalog], "Not Found", 0)</f>
        <v>8</v>
      </c>
      <c r="U1537" s="5">
        <f>_xlfn.XLOOKUP(CustomerCombined[[#This Row],[ID]], Table4[ID], Table4[Store], "Not Found", 0)</f>
        <v>13</v>
      </c>
      <c r="V1537" s="5">
        <f>_xlfn.XLOOKUP(CustomerCombined[[#This Row],[ID]], Table4[ID], Table4[Visits], "Not Found", 0)</f>
        <v>0</v>
      </c>
      <c r="W1537" s="8">
        <f>_xlfn.XLOOKUP(CustomerCombined[[#This Row],[ID]], Table2[ID],Table2[Complaint], "Not Found", 0 )</f>
        <v>0</v>
      </c>
      <c r="X1537" s="8">
        <f>_xlfn.XLOOKUP(CustomerCombined[[#This Row],[ID]], Table2[ID],Table2[Pilot], "Not Found", 0 )</f>
        <v>0</v>
      </c>
      <c r="Y1537" s="8">
        <f>_xlfn.XLOOKUP(CustomerCombined[[#This Row],[ID]], Table2[ID],Table2[MC1], "Not Found", 0 )</f>
        <v>0</v>
      </c>
      <c r="Z1537" s="8">
        <f>_xlfn.XLOOKUP(CustomerCombined[[#This Row],[ID]], Table2[ID],Table2[MC2], "Not Found", 0 )</f>
        <v>0</v>
      </c>
      <c r="AA1537" s="8">
        <f>_xlfn.XLOOKUP(CustomerCombined[[#This Row],[ID]], Table2[ID],Table2[MC3], "Not Found", 0 )</f>
        <v>0</v>
      </c>
      <c r="AB1537" s="8">
        <f>_xlfn.XLOOKUP(CustomerCombined[[#This Row],[ID]], Table2[ID],Table2[MC4], "Not Found", 0 )</f>
        <v>0</v>
      </c>
      <c r="AC1537" s="8">
        <f>_xlfn.XLOOKUP(CustomerCombined[[#This Row],[ID]], Table2[ID],Table2[MC5], "Not Found", 0 )</f>
        <v>0</v>
      </c>
    </row>
    <row r="1538" spans="1:29" x14ac:dyDescent="0.3">
      <c r="A1538" s="6">
        <v>2698</v>
      </c>
      <c r="B1538" s="6">
        <v>182571</v>
      </c>
      <c r="C1538" s="6">
        <v>0</v>
      </c>
      <c r="D1538" s="6">
        <v>0</v>
      </c>
      <c r="E1538" s="6">
        <v>58</v>
      </c>
      <c r="F1538" s="5" t="s">
        <v>9</v>
      </c>
      <c r="G1538" s="5" t="s">
        <v>13</v>
      </c>
      <c r="H1538" s="3">
        <v>43991</v>
      </c>
      <c r="I1538" s="5" t="s">
        <v>439</v>
      </c>
      <c r="J1538" s="5">
        <f>_xlfn.XLOOKUP(CustomerCombined[[#This Row],[ID]], Table4[ID], Table4[Recency], "Not Found", 0)</f>
        <v>28</v>
      </c>
      <c r="K1538" s="5">
        <f>_xlfn.XLOOKUP(CustomerCombined[[#This Row],[ID]], Table4[ID], Table4[Teas], "Not Found", 0)</f>
        <v>1904</v>
      </c>
      <c r="L1538" s="5">
        <f>_xlfn.XLOOKUP(CustomerCombined[[#This Row],[ID]], Table4[ID], Table4[Fruits], "Not Found", 0)</f>
        <v>69</v>
      </c>
      <c r="M1538" s="5">
        <f>_xlfn.XLOOKUP(CustomerCombined[[#This Row],[ID]], Table4[ID], Table4[Meats], "Not Found", 0)</f>
        <v>1234</v>
      </c>
      <c r="N1538" s="5">
        <f>_xlfn.XLOOKUP(CustomerCombined[[#This Row],[ID]], Table4[ID], Table4[Seafood], "Not Found", 0)</f>
        <v>137</v>
      </c>
      <c r="O1538" s="5">
        <f>_xlfn.XLOOKUP(CustomerCombined[[#This Row],[ID]], Table4[ID], Table4[Sweets], "Not Found", 0)</f>
        <v>210</v>
      </c>
      <c r="P1538" s="5">
        <f>_xlfn.XLOOKUP(CustomerCombined[[#This Row],[ID]], Table4[ID], Table4[Premium], "Not Found", 0)</f>
        <v>175</v>
      </c>
      <c r="Q1538" s="5">
        <f>_xlfn.XLOOKUP(CustomerCombined[[#This Row],[ID]], Table4[ID], Table4[Regular], "Not Found", 0)</f>
        <v>3379</v>
      </c>
      <c r="R1538" s="5">
        <f>_xlfn.XLOOKUP(CustomerCombined[[#This Row],[ID]], Table4[ID], Table4[Deals], "Not Found", 0)</f>
        <v>0</v>
      </c>
      <c r="S1538" s="5">
        <f>_xlfn.XLOOKUP(CustomerCombined[[#This Row],[ID]], Table4[ID], Table4[Website], "Not Found", 0)</f>
        <v>6</v>
      </c>
      <c r="T1538" s="5">
        <f>_xlfn.XLOOKUP(CustomerCombined[[#This Row],[ID]], Table4[ID], Table4[Catalog], "Not Found", 0)</f>
        <v>5</v>
      </c>
      <c r="U1538" s="5">
        <f>_xlfn.XLOOKUP(CustomerCombined[[#This Row],[ID]], Table4[ID], Table4[Store], "Not Found", 0)</f>
        <v>13</v>
      </c>
      <c r="V1538" s="5">
        <f>_xlfn.XLOOKUP(CustomerCombined[[#This Row],[ID]], Table4[ID], Table4[Visits], "Not Found", 0)</f>
        <v>2</v>
      </c>
      <c r="W1538" s="8">
        <f>_xlfn.XLOOKUP(CustomerCombined[[#This Row],[ID]], Table2[ID],Table2[Complaint], "Not Found", 0 )</f>
        <v>0</v>
      </c>
      <c r="X1538" s="8">
        <f>_xlfn.XLOOKUP(CustomerCombined[[#This Row],[ID]], Table2[ID],Table2[Pilot], "Not Found", 0 )</f>
        <v>0</v>
      </c>
      <c r="Y1538" s="8">
        <f>_xlfn.XLOOKUP(CustomerCombined[[#This Row],[ID]], Table2[ID],Table2[MC1], "Not Found", 0 )</f>
        <v>0</v>
      </c>
      <c r="Z1538" s="8">
        <f>_xlfn.XLOOKUP(CustomerCombined[[#This Row],[ID]], Table2[ID],Table2[MC2], "Not Found", 0 )</f>
        <v>0</v>
      </c>
      <c r="AA1538" s="8">
        <f>_xlfn.XLOOKUP(CustomerCombined[[#This Row],[ID]], Table2[ID],Table2[MC3], "Not Found", 0 )</f>
        <v>0</v>
      </c>
      <c r="AB1538" s="8">
        <f>_xlfn.XLOOKUP(CustomerCombined[[#This Row],[ID]], Table2[ID],Table2[MC4], "Not Found", 0 )</f>
        <v>0</v>
      </c>
      <c r="AC1538" s="8">
        <f>_xlfn.XLOOKUP(CustomerCombined[[#This Row],[ID]], Table2[ID],Table2[MC5], "Not Found", 0 )</f>
        <v>1</v>
      </c>
    </row>
    <row r="1539" spans="1:29" x14ac:dyDescent="0.3">
      <c r="A1539" s="6">
        <v>2767</v>
      </c>
      <c r="B1539" s="6">
        <v>182122</v>
      </c>
      <c r="C1539" s="6">
        <v>0</v>
      </c>
      <c r="D1539" s="6">
        <v>0</v>
      </c>
      <c r="E1539" s="6">
        <v>58</v>
      </c>
      <c r="F1539" s="5" t="s">
        <v>8</v>
      </c>
      <c r="G1539" s="5" t="s">
        <v>442</v>
      </c>
      <c r="H1539" s="3" t="s">
        <v>202</v>
      </c>
      <c r="I1539" s="5" t="s">
        <v>437</v>
      </c>
      <c r="J1539" s="5">
        <f>_xlfn.XLOOKUP(CustomerCombined[[#This Row],[ID]], Table4[ID], Table4[Recency], "Not Found", 0)</f>
        <v>89</v>
      </c>
      <c r="K1539" s="5">
        <f>_xlfn.XLOOKUP(CustomerCombined[[#This Row],[ID]], Table4[ID], Table4[Teas], "Not Found", 0)</f>
        <v>1628</v>
      </c>
      <c r="L1539" s="5">
        <f>_xlfn.XLOOKUP(CustomerCombined[[#This Row],[ID]], Table4[ID], Table4[Fruits], "Not Found", 0)</f>
        <v>49</v>
      </c>
      <c r="M1539" s="5">
        <f>_xlfn.XLOOKUP(CustomerCombined[[#This Row],[ID]], Table4[ID], Table4[Meats], "Not Found", 0)</f>
        <v>776</v>
      </c>
      <c r="N1539" s="5">
        <f>_xlfn.XLOOKUP(CustomerCombined[[#This Row],[ID]], Table4[ID], Table4[Seafood], "Not Found", 0)</f>
        <v>335</v>
      </c>
      <c r="O1539" s="5">
        <f>_xlfn.XLOOKUP(CustomerCombined[[#This Row],[ID]], Table4[ID], Table4[Sweets], "Not Found", 0)</f>
        <v>55</v>
      </c>
      <c r="P1539" s="5">
        <f>_xlfn.XLOOKUP(CustomerCombined[[#This Row],[ID]], Table4[ID], Table4[Premium], "Not Found", 0)</f>
        <v>222</v>
      </c>
      <c r="Q1539" s="5">
        <f>_xlfn.XLOOKUP(CustomerCombined[[#This Row],[ID]], Table4[ID], Table4[Regular], "Not Found", 0)</f>
        <v>2621</v>
      </c>
      <c r="R1539" s="5">
        <f>_xlfn.XLOOKUP(CustomerCombined[[#This Row],[ID]], Table4[ID], Table4[Deals], "Not Found", 0)</f>
        <v>1</v>
      </c>
      <c r="S1539" s="5">
        <f>_xlfn.XLOOKUP(CustomerCombined[[#This Row],[ID]], Table4[ID], Table4[Website], "Not Found", 0)</f>
        <v>3</v>
      </c>
      <c r="T1539" s="5">
        <f>_xlfn.XLOOKUP(CustomerCombined[[#This Row],[ID]], Table4[ID], Table4[Catalog], "Not Found", 0)</f>
        <v>9</v>
      </c>
      <c r="U1539" s="5">
        <f>_xlfn.XLOOKUP(CustomerCombined[[#This Row],[ID]], Table4[ID], Table4[Store], "Not Found", 0)</f>
        <v>13</v>
      </c>
      <c r="V1539" s="5">
        <f>_xlfn.XLOOKUP(CustomerCombined[[#This Row],[ID]], Table4[ID], Table4[Visits], "Not Found", 0)</f>
        <v>1</v>
      </c>
      <c r="W1539" s="8">
        <f>_xlfn.XLOOKUP(CustomerCombined[[#This Row],[ID]], Table2[ID],Table2[Complaint], "Not Found", 0 )</f>
        <v>0</v>
      </c>
      <c r="X1539" s="8">
        <f>_xlfn.XLOOKUP(CustomerCombined[[#This Row],[ID]], Table2[ID],Table2[Pilot], "Not Found", 0 )</f>
        <v>0</v>
      </c>
      <c r="Y1539" s="8">
        <f>_xlfn.XLOOKUP(CustomerCombined[[#This Row],[ID]], Table2[ID],Table2[MC1], "Not Found", 0 )</f>
        <v>0</v>
      </c>
      <c r="Z1539" s="8">
        <f>_xlfn.XLOOKUP(CustomerCombined[[#This Row],[ID]], Table2[ID],Table2[MC2], "Not Found", 0 )</f>
        <v>0</v>
      </c>
      <c r="AA1539" s="8">
        <f>_xlfn.XLOOKUP(CustomerCombined[[#This Row],[ID]], Table2[ID],Table2[MC3], "Not Found", 0 )</f>
        <v>0</v>
      </c>
      <c r="AB1539" s="8">
        <f>_xlfn.XLOOKUP(CustomerCombined[[#This Row],[ID]], Table2[ID],Table2[MC4], "Not Found", 0 )</f>
        <v>0</v>
      </c>
      <c r="AC1539" s="8">
        <f>_xlfn.XLOOKUP(CustomerCombined[[#This Row],[ID]], Table2[ID],Table2[MC5], "Not Found", 0 )</f>
        <v>1</v>
      </c>
    </row>
    <row r="1540" spans="1:29" x14ac:dyDescent="0.3">
      <c r="A1540" s="6">
        <v>1219</v>
      </c>
      <c r="B1540" s="6">
        <v>181975</v>
      </c>
      <c r="C1540" s="6">
        <v>0</v>
      </c>
      <c r="D1540" s="6">
        <v>1</v>
      </c>
      <c r="E1540" s="6">
        <v>58</v>
      </c>
      <c r="F1540" s="5" t="s">
        <v>5</v>
      </c>
      <c r="G1540" s="5" t="s">
        <v>442</v>
      </c>
      <c r="H1540" s="3">
        <v>43805</v>
      </c>
      <c r="I1540" s="5" t="s">
        <v>437</v>
      </c>
      <c r="J1540" s="5">
        <f>_xlfn.XLOOKUP(CustomerCombined[[#This Row],[ID]], Table4[ID], Table4[Recency], "Not Found", 0)</f>
        <v>2</v>
      </c>
      <c r="K1540" s="5">
        <f>_xlfn.XLOOKUP(CustomerCombined[[#This Row],[ID]], Table4[ID], Table4[Teas], "Not Found", 0)</f>
        <v>2182</v>
      </c>
      <c r="L1540" s="5">
        <f>_xlfn.XLOOKUP(CustomerCombined[[#This Row],[ID]], Table4[ID], Table4[Fruits], "Not Found", 0)</f>
        <v>169</v>
      </c>
      <c r="M1540" s="5">
        <f>_xlfn.XLOOKUP(CustomerCombined[[#This Row],[ID]], Table4[ID], Table4[Meats], "Not Found", 0)</f>
        <v>408</v>
      </c>
      <c r="N1540" s="5">
        <f>_xlfn.XLOOKUP(CustomerCombined[[#This Row],[ID]], Table4[ID], Table4[Seafood], "Not Found", 0)</f>
        <v>400</v>
      </c>
      <c r="O1540" s="5">
        <f>_xlfn.XLOOKUP(CustomerCombined[[#This Row],[ID]], Table4[ID], Table4[Sweets], "Not Found", 0)</f>
        <v>306</v>
      </c>
      <c r="P1540" s="5">
        <f>_xlfn.XLOOKUP(CustomerCombined[[#This Row],[ID]], Table4[ID], Table4[Premium], "Not Found", 0)</f>
        <v>60</v>
      </c>
      <c r="Q1540" s="5">
        <f>_xlfn.XLOOKUP(CustomerCombined[[#This Row],[ID]], Table4[ID], Table4[Regular], "Not Found", 0)</f>
        <v>3405</v>
      </c>
      <c r="R1540" s="5">
        <f>_xlfn.XLOOKUP(CustomerCombined[[#This Row],[ID]], Table4[ID], Table4[Deals], "Not Found", 0)</f>
        <v>1</v>
      </c>
      <c r="S1540" s="5">
        <f>_xlfn.XLOOKUP(CustomerCombined[[#This Row],[ID]], Table4[ID], Table4[Website], "Not Found", 0)</f>
        <v>6</v>
      </c>
      <c r="T1540" s="5">
        <f>_xlfn.XLOOKUP(CustomerCombined[[#This Row],[ID]], Table4[ID], Table4[Catalog], "Not Found", 0)</f>
        <v>3</v>
      </c>
      <c r="U1540" s="5">
        <f>_xlfn.XLOOKUP(CustomerCombined[[#This Row],[ID]], Table4[ID], Table4[Store], "Not Found", 0)</f>
        <v>4</v>
      </c>
      <c r="V1540" s="5">
        <f>_xlfn.XLOOKUP(CustomerCombined[[#This Row],[ID]], Table4[ID], Table4[Visits], "Not Found", 0)</f>
        <v>7</v>
      </c>
      <c r="W1540" s="8">
        <f>_xlfn.XLOOKUP(CustomerCombined[[#This Row],[ID]], Table2[ID],Table2[Complaint], "Not Found", 0 )</f>
        <v>0</v>
      </c>
      <c r="X1540" s="8">
        <f>_xlfn.XLOOKUP(CustomerCombined[[#This Row],[ID]], Table2[ID],Table2[Pilot], "Not Found", 0 )</f>
        <v>0</v>
      </c>
      <c r="Y1540" s="8">
        <f>_xlfn.XLOOKUP(CustomerCombined[[#This Row],[ID]], Table2[ID],Table2[MC1], "Not Found", 0 )</f>
        <v>0</v>
      </c>
      <c r="Z1540" s="8">
        <f>_xlfn.XLOOKUP(CustomerCombined[[#This Row],[ID]], Table2[ID],Table2[MC2], "Not Found", 0 )</f>
        <v>0</v>
      </c>
      <c r="AA1540" s="8">
        <f>_xlfn.XLOOKUP(CustomerCombined[[#This Row],[ID]], Table2[ID],Table2[MC3], "Not Found", 0 )</f>
        <v>0</v>
      </c>
      <c r="AB1540" s="8">
        <f>_xlfn.XLOOKUP(CustomerCombined[[#This Row],[ID]], Table2[ID],Table2[MC4], "Not Found", 0 )</f>
        <v>0</v>
      </c>
      <c r="AC1540" s="8">
        <f>_xlfn.XLOOKUP(CustomerCombined[[#This Row],[ID]], Table2[ID],Table2[MC5], "Not Found", 0 )</f>
        <v>1</v>
      </c>
    </row>
    <row r="1541" spans="1:29" x14ac:dyDescent="0.3">
      <c r="A1541" s="6">
        <v>2223</v>
      </c>
      <c r="B1541" s="6">
        <v>176624</v>
      </c>
      <c r="C1541" s="6">
        <v>0</v>
      </c>
      <c r="D1541" s="6">
        <v>1</v>
      </c>
      <c r="E1541" s="6">
        <v>58</v>
      </c>
      <c r="F1541" s="5" t="s">
        <v>7</v>
      </c>
      <c r="G1541" s="5" t="s">
        <v>11</v>
      </c>
      <c r="H1541" s="3" t="s">
        <v>43</v>
      </c>
      <c r="I1541" s="5" t="s">
        <v>435</v>
      </c>
      <c r="J1541" s="5">
        <f>_xlfn.XLOOKUP(CustomerCombined[[#This Row],[ID]], Table4[ID], Table4[Recency], "Not Found", 0)</f>
        <v>68</v>
      </c>
      <c r="K1541" s="5">
        <f>_xlfn.XLOOKUP(CustomerCombined[[#This Row],[ID]], Table4[ID], Table4[Teas], "Not Found", 0)</f>
        <v>947</v>
      </c>
      <c r="L1541" s="5">
        <f>_xlfn.XLOOKUP(CustomerCombined[[#This Row],[ID]], Table4[ID], Table4[Fruits], "Not Found", 0)</f>
        <v>244</v>
      </c>
      <c r="M1541" s="5">
        <f>_xlfn.XLOOKUP(CustomerCombined[[#This Row],[ID]], Table4[ID], Table4[Meats], "Not Found", 0)</f>
        <v>339</v>
      </c>
      <c r="N1541" s="5">
        <f>_xlfn.XLOOKUP(CustomerCombined[[#This Row],[ID]], Table4[ID], Table4[Seafood], "Not Found", 0)</f>
        <v>124</v>
      </c>
      <c r="O1541" s="5">
        <f>_xlfn.XLOOKUP(CustomerCombined[[#This Row],[ID]], Table4[ID], Table4[Sweets], "Not Found", 0)</f>
        <v>265</v>
      </c>
      <c r="P1541" s="5">
        <f>_xlfn.XLOOKUP(CustomerCombined[[#This Row],[ID]], Table4[ID], Table4[Premium], "Not Found", 0)</f>
        <v>152</v>
      </c>
      <c r="Q1541" s="5">
        <f>_xlfn.XLOOKUP(CustomerCombined[[#This Row],[ID]], Table4[ID], Table4[Regular], "Not Found", 0)</f>
        <v>1768</v>
      </c>
      <c r="R1541" s="5">
        <f>_xlfn.XLOOKUP(CustomerCombined[[#This Row],[ID]], Table4[ID], Table4[Deals], "Not Found", 0)</f>
        <v>1</v>
      </c>
      <c r="S1541" s="5">
        <f>_xlfn.XLOOKUP(CustomerCombined[[#This Row],[ID]], Table4[ID], Table4[Website], "Not Found", 0)</f>
        <v>5</v>
      </c>
      <c r="T1541" s="5">
        <f>_xlfn.XLOOKUP(CustomerCombined[[#This Row],[ID]], Table4[ID], Table4[Catalog], "Not Found", 0)</f>
        <v>10</v>
      </c>
      <c r="U1541" s="5">
        <f>_xlfn.XLOOKUP(CustomerCombined[[#This Row],[ID]], Table4[ID], Table4[Store], "Not Found", 0)</f>
        <v>7</v>
      </c>
      <c r="V1541" s="5">
        <f>_xlfn.XLOOKUP(CustomerCombined[[#This Row],[ID]], Table4[ID], Table4[Visits], "Not Found", 0)</f>
        <v>1</v>
      </c>
      <c r="W1541" s="8">
        <f>_xlfn.XLOOKUP(CustomerCombined[[#This Row],[ID]], Table2[ID],Table2[Complaint], "Not Found", 0 )</f>
        <v>0</v>
      </c>
      <c r="X1541" s="8">
        <f>_xlfn.XLOOKUP(CustomerCombined[[#This Row],[ID]], Table2[ID],Table2[Pilot], "Not Found", 0 )</f>
        <v>0</v>
      </c>
      <c r="Y1541" s="8">
        <f>_xlfn.XLOOKUP(CustomerCombined[[#This Row],[ID]], Table2[ID],Table2[MC1], "Not Found", 0 )</f>
        <v>0</v>
      </c>
      <c r="Z1541" s="8">
        <f>_xlfn.XLOOKUP(CustomerCombined[[#This Row],[ID]], Table2[ID],Table2[MC2], "Not Found", 0 )</f>
        <v>0</v>
      </c>
      <c r="AA1541" s="8">
        <f>_xlfn.XLOOKUP(CustomerCombined[[#This Row],[ID]], Table2[ID],Table2[MC3], "Not Found", 0 )</f>
        <v>1</v>
      </c>
      <c r="AB1541" s="8">
        <f>_xlfn.XLOOKUP(CustomerCombined[[#This Row],[ID]], Table2[ID],Table2[MC4], "Not Found", 0 )</f>
        <v>0</v>
      </c>
      <c r="AC1541" s="8">
        <f>_xlfn.XLOOKUP(CustomerCombined[[#This Row],[ID]], Table2[ID],Table2[MC5], "Not Found", 0 )</f>
        <v>0</v>
      </c>
    </row>
    <row r="1542" spans="1:29" x14ac:dyDescent="0.3">
      <c r="A1542" s="6">
        <v>2024</v>
      </c>
      <c r="B1542" s="6">
        <v>176081</v>
      </c>
      <c r="C1542" s="6">
        <v>0</v>
      </c>
      <c r="D1542" s="6">
        <v>0</v>
      </c>
      <c r="E1542" s="6">
        <v>58</v>
      </c>
      <c r="F1542" s="5" t="s">
        <v>8</v>
      </c>
      <c r="G1542" s="5" t="s">
        <v>11</v>
      </c>
      <c r="H1542" s="3" t="s">
        <v>44</v>
      </c>
      <c r="I1542" s="5" t="s">
        <v>438</v>
      </c>
      <c r="J1542" s="5">
        <f>_xlfn.XLOOKUP(CustomerCombined[[#This Row],[ID]], Table4[ID], Table4[Recency], "Not Found", 0)</f>
        <v>85</v>
      </c>
      <c r="K1542" s="5">
        <f>_xlfn.XLOOKUP(CustomerCombined[[#This Row],[ID]], Table4[ID], Table4[Teas], "Not Found", 0)</f>
        <v>676</v>
      </c>
      <c r="L1542" s="5">
        <f>_xlfn.XLOOKUP(CustomerCombined[[#This Row],[ID]], Table4[ID], Table4[Fruits], "Not Found", 0)</f>
        <v>69</v>
      </c>
      <c r="M1542" s="5">
        <f>_xlfn.XLOOKUP(CustomerCombined[[#This Row],[ID]], Table4[ID], Table4[Meats], "Not Found", 0)</f>
        <v>960</v>
      </c>
      <c r="N1542" s="5">
        <f>_xlfn.XLOOKUP(CustomerCombined[[#This Row],[ID]], Table4[ID], Table4[Seafood], "Not Found", 0)</f>
        <v>146</v>
      </c>
      <c r="O1542" s="5">
        <f>_xlfn.XLOOKUP(CustomerCombined[[#This Row],[ID]], Table4[ID], Table4[Sweets], "Not Found", 0)</f>
        <v>76</v>
      </c>
      <c r="P1542" s="5">
        <f>_xlfn.XLOOKUP(CustomerCombined[[#This Row],[ID]], Table4[ID], Table4[Premium], "Not Found", 0)</f>
        <v>463</v>
      </c>
      <c r="Q1542" s="5">
        <f>_xlfn.XLOOKUP(CustomerCombined[[#This Row],[ID]], Table4[ID], Table4[Regular], "Not Found", 0)</f>
        <v>1465</v>
      </c>
      <c r="R1542" s="5">
        <f>_xlfn.XLOOKUP(CustomerCombined[[#This Row],[ID]], Table4[ID], Table4[Deals], "Not Found", 0)</f>
        <v>1</v>
      </c>
      <c r="S1542" s="5">
        <f>_xlfn.XLOOKUP(CustomerCombined[[#This Row],[ID]], Table4[ID], Table4[Website], "Not Found", 0)</f>
        <v>4</v>
      </c>
      <c r="T1542" s="5">
        <f>_xlfn.XLOOKUP(CustomerCombined[[#This Row],[ID]], Table4[ID], Table4[Catalog], "Not Found", 0)</f>
        <v>5</v>
      </c>
      <c r="U1542" s="5">
        <f>_xlfn.XLOOKUP(CustomerCombined[[#This Row],[ID]], Table4[ID], Table4[Store], "Not Found", 0)</f>
        <v>4</v>
      </c>
      <c r="V1542" s="5">
        <f>_xlfn.XLOOKUP(CustomerCombined[[#This Row],[ID]], Table4[ID], Table4[Visits], "Not Found", 0)</f>
        <v>2</v>
      </c>
      <c r="W1542" s="8">
        <f>_xlfn.XLOOKUP(CustomerCombined[[#This Row],[ID]], Table2[ID],Table2[Complaint], "Not Found", 0 )</f>
        <v>0</v>
      </c>
      <c r="X1542" s="8">
        <f>_xlfn.XLOOKUP(CustomerCombined[[#This Row],[ID]], Table2[ID],Table2[Pilot], "Not Found", 0 )</f>
        <v>0</v>
      </c>
      <c r="Y1542" s="8">
        <f>_xlfn.XLOOKUP(CustomerCombined[[#This Row],[ID]], Table2[ID],Table2[MC1], "Not Found", 0 )</f>
        <v>1</v>
      </c>
      <c r="Z1542" s="8">
        <f>_xlfn.XLOOKUP(CustomerCombined[[#This Row],[ID]], Table2[ID],Table2[MC2], "Not Found", 0 )</f>
        <v>0</v>
      </c>
      <c r="AA1542" s="8">
        <f>_xlfn.XLOOKUP(CustomerCombined[[#This Row],[ID]], Table2[ID],Table2[MC3], "Not Found", 0 )</f>
        <v>0</v>
      </c>
      <c r="AB1542" s="8">
        <f>_xlfn.XLOOKUP(CustomerCombined[[#This Row],[ID]], Table2[ID],Table2[MC4], "Not Found", 0 )</f>
        <v>0</v>
      </c>
      <c r="AC1542" s="8">
        <f>_xlfn.XLOOKUP(CustomerCombined[[#This Row],[ID]], Table2[ID],Table2[MC5], "Not Found", 0 )</f>
        <v>0</v>
      </c>
    </row>
    <row r="1543" spans="1:29" x14ac:dyDescent="0.3">
      <c r="A1543" s="6">
        <v>2529</v>
      </c>
      <c r="B1543" s="6">
        <v>176081</v>
      </c>
      <c r="C1543" s="6">
        <v>0</v>
      </c>
      <c r="D1543" s="6">
        <v>0</v>
      </c>
      <c r="E1543" s="6">
        <v>58</v>
      </c>
      <c r="F1543" s="5" t="s">
        <v>8</v>
      </c>
      <c r="G1543" s="5" t="s">
        <v>11</v>
      </c>
      <c r="H1543" s="3" t="s">
        <v>44</v>
      </c>
      <c r="I1543" s="5" t="s">
        <v>435</v>
      </c>
      <c r="J1543" s="5">
        <f>_xlfn.XLOOKUP(CustomerCombined[[#This Row],[ID]], Table4[ID], Table4[Recency], "Not Found", 0)</f>
        <v>85</v>
      </c>
      <c r="K1543" s="5">
        <f>_xlfn.XLOOKUP(CustomerCombined[[#This Row],[ID]], Table4[ID], Table4[Teas], "Not Found", 0)</f>
        <v>676</v>
      </c>
      <c r="L1543" s="5">
        <f>_xlfn.XLOOKUP(CustomerCombined[[#This Row],[ID]], Table4[ID], Table4[Fruits], "Not Found", 0)</f>
        <v>69</v>
      </c>
      <c r="M1543" s="5">
        <f>_xlfn.XLOOKUP(CustomerCombined[[#This Row],[ID]], Table4[ID], Table4[Meats], "Not Found", 0)</f>
        <v>960</v>
      </c>
      <c r="N1543" s="5">
        <f>_xlfn.XLOOKUP(CustomerCombined[[#This Row],[ID]], Table4[ID], Table4[Seafood], "Not Found", 0)</f>
        <v>146</v>
      </c>
      <c r="O1543" s="5">
        <f>_xlfn.XLOOKUP(CustomerCombined[[#This Row],[ID]], Table4[ID], Table4[Sweets], "Not Found", 0)</f>
        <v>76</v>
      </c>
      <c r="P1543" s="5">
        <f>_xlfn.XLOOKUP(CustomerCombined[[#This Row],[ID]], Table4[ID], Table4[Premium], "Not Found", 0)</f>
        <v>463</v>
      </c>
      <c r="Q1543" s="5">
        <f>_xlfn.XLOOKUP(CustomerCombined[[#This Row],[ID]], Table4[ID], Table4[Regular], "Not Found", 0)</f>
        <v>1465</v>
      </c>
      <c r="R1543" s="5">
        <f>_xlfn.XLOOKUP(CustomerCombined[[#This Row],[ID]], Table4[ID], Table4[Deals], "Not Found", 0)</f>
        <v>1</v>
      </c>
      <c r="S1543" s="5">
        <f>_xlfn.XLOOKUP(CustomerCombined[[#This Row],[ID]], Table4[ID], Table4[Website], "Not Found", 0)</f>
        <v>4</v>
      </c>
      <c r="T1543" s="5">
        <f>_xlfn.XLOOKUP(CustomerCombined[[#This Row],[ID]], Table4[ID], Table4[Catalog], "Not Found", 0)</f>
        <v>5</v>
      </c>
      <c r="U1543" s="5">
        <f>_xlfn.XLOOKUP(CustomerCombined[[#This Row],[ID]], Table4[ID], Table4[Store], "Not Found", 0)</f>
        <v>4</v>
      </c>
      <c r="V1543" s="5">
        <f>_xlfn.XLOOKUP(CustomerCombined[[#This Row],[ID]], Table4[ID], Table4[Visits], "Not Found", 0)</f>
        <v>2</v>
      </c>
      <c r="W1543" s="8">
        <f>_xlfn.XLOOKUP(CustomerCombined[[#This Row],[ID]], Table2[ID],Table2[Complaint], "Not Found", 0 )</f>
        <v>0</v>
      </c>
      <c r="X1543" s="8">
        <f>_xlfn.XLOOKUP(CustomerCombined[[#This Row],[ID]], Table2[ID],Table2[Pilot], "Not Found", 0 )</f>
        <v>0</v>
      </c>
      <c r="Y1543" s="8">
        <f>_xlfn.XLOOKUP(CustomerCombined[[#This Row],[ID]], Table2[ID],Table2[MC1], "Not Found", 0 )</f>
        <v>1</v>
      </c>
      <c r="Z1543" s="8">
        <f>_xlfn.XLOOKUP(CustomerCombined[[#This Row],[ID]], Table2[ID],Table2[MC2], "Not Found", 0 )</f>
        <v>0</v>
      </c>
      <c r="AA1543" s="8">
        <f>_xlfn.XLOOKUP(CustomerCombined[[#This Row],[ID]], Table2[ID],Table2[MC3], "Not Found", 0 )</f>
        <v>0</v>
      </c>
      <c r="AB1543" s="8">
        <f>_xlfn.XLOOKUP(CustomerCombined[[#This Row],[ID]], Table2[ID],Table2[MC4], "Not Found", 0 )</f>
        <v>0</v>
      </c>
      <c r="AC1543" s="8">
        <f>_xlfn.XLOOKUP(CustomerCombined[[#This Row],[ID]], Table2[ID],Table2[MC5], "Not Found", 0 )</f>
        <v>0</v>
      </c>
    </row>
    <row r="1544" spans="1:29" x14ac:dyDescent="0.3">
      <c r="A1544" s="6">
        <v>1398</v>
      </c>
      <c r="B1544" s="6">
        <v>175072</v>
      </c>
      <c r="C1544" s="6">
        <v>0</v>
      </c>
      <c r="D1544" s="6">
        <v>1</v>
      </c>
      <c r="E1544" s="6">
        <v>58</v>
      </c>
      <c r="F1544" s="5" t="s">
        <v>8</v>
      </c>
      <c r="G1544" s="5" t="s">
        <v>11</v>
      </c>
      <c r="H1544" s="3" t="s">
        <v>318</v>
      </c>
      <c r="I1544" s="5" t="s">
        <v>436</v>
      </c>
      <c r="J1544" s="5">
        <f>_xlfn.XLOOKUP(CustomerCombined[[#This Row],[ID]], Table4[ID], Table4[Recency], "Not Found", 0)</f>
        <v>83</v>
      </c>
      <c r="K1544" s="5">
        <f>_xlfn.XLOOKUP(CustomerCombined[[#This Row],[ID]], Table4[ID], Table4[Teas], "Not Found", 0)</f>
        <v>1360</v>
      </c>
      <c r="L1544" s="5">
        <f>_xlfn.XLOOKUP(CustomerCombined[[#This Row],[ID]], Table4[ID], Table4[Fruits], "Not Found", 0)</f>
        <v>79</v>
      </c>
      <c r="M1544" s="5">
        <f>_xlfn.XLOOKUP(CustomerCombined[[#This Row],[ID]], Table4[ID], Table4[Meats], "Not Found", 0)</f>
        <v>721</v>
      </c>
      <c r="N1544" s="5">
        <f>_xlfn.XLOOKUP(CustomerCombined[[#This Row],[ID]], Table4[ID], Table4[Seafood], "Not Found", 0)</f>
        <v>0</v>
      </c>
      <c r="O1544" s="5">
        <f>_xlfn.XLOOKUP(CustomerCombined[[#This Row],[ID]], Table4[ID], Table4[Sweets], "Not Found", 0)</f>
        <v>51</v>
      </c>
      <c r="P1544" s="5">
        <f>_xlfn.XLOOKUP(CustomerCombined[[#This Row],[ID]], Table4[ID], Table4[Premium], "Not Found", 0)</f>
        <v>292</v>
      </c>
      <c r="Q1544" s="5">
        <f>_xlfn.XLOOKUP(CustomerCombined[[#This Row],[ID]], Table4[ID], Table4[Regular], "Not Found", 0)</f>
        <v>1919</v>
      </c>
      <c r="R1544" s="5">
        <f>_xlfn.XLOOKUP(CustomerCombined[[#This Row],[ID]], Table4[ID], Table4[Deals], "Not Found", 0)</f>
        <v>2</v>
      </c>
      <c r="S1544" s="5">
        <f>_xlfn.XLOOKUP(CustomerCombined[[#This Row],[ID]], Table4[ID], Table4[Website], "Not Found", 0)</f>
        <v>5</v>
      </c>
      <c r="T1544" s="5">
        <f>_xlfn.XLOOKUP(CustomerCombined[[#This Row],[ID]], Table4[ID], Table4[Catalog], "Not Found", 0)</f>
        <v>4</v>
      </c>
      <c r="U1544" s="5">
        <f>_xlfn.XLOOKUP(CustomerCombined[[#This Row],[ID]], Table4[ID], Table4[Store], "Not Found", 0)</f>
        <v>8</v>
      </c>
      <c r="V1544" s="5">
        <f>_xlfn.XLOOKUP(CustomerCombined[[#This Row],[ID]], Table4[ID], Table4[Visits], "Not Found", 0)</f>
        <v>3</v>
      </c>
      <c r="W1544" s="8">
        <f>_xlfn.XLOOKUP(CustomerCombined[[#This Row],[ID]], Table2[ID],Table2[Complaint], "Not Found", 0 )</f>
        <v>0</v>
      </c>
      <c r="X1544" s="8">
        <f>_xlfn.XLOOKUP(CustomerCombined[[#This Row],[ID]], Table2[ID],Table2[Pilot], "Not Found", 0 )</f>
        <v>0</v>
      </c>
      <c r="Y1544" s="8">
        <f>_xlfn.XLOOKUP(CustomerCombined[[#This Row],[ID]], Table2[ID],Table2[MC1], "Not Found", 0 )</f>
        <v>0</v>
      </c>
      <c r="Z1544" s="8">
        <f>_xlfn.XLOOKUP(CustomerCombined[[#This Row],[ID]], Table2[ID],Table2[MC2], "Not Found", 0 )</f>
        <v>0</v>
      </c>
      <c r="AA1544" s="8">
        <f>_xlfn.XLOOKUP(CustomerCombined[[#This Row],[ID]], Table2[ID],Table2[MC3], "Not Found", 0 )</f>
        <v>0</v>
      </c>
      <c r="AB1544" s="8">
        <f>_xlfn.XLOOKUP(CustomerCombined[[#This Row],[ID]], Table2[ID],Table2[MC4], "Not Found", 0 )</f>
        <v>0</v>
      </c>
      <c r="AC1544" s="8">
        <f>_xlfn.XLOOKUP(CustomerCombined[[#This Row],[ID]], Table2[ID],Table2[MC5], "Not Found", 0 )</f>
        <v>0</v>
      </c>
    </row>
    <row r="1545" spans="1:29" x14ac:dyDescent="0.3">
      <c r="A1545" s="6">
        <v>2305</v>
      </c>
      <c r="B1545" s="6">
        <v>172828</v>
      </c>
      <c r="C1545" s="6">
        <v>0</v>
      </c>
      <c r="D1545" s="6">
        <v>1</v>
      </c>
      <c r="E1545" s="6">
        <v>58</v>
      </c>
      <c r="F1545" s="5" t="s">
        <v>6</v>
      </c>
      <c r="G1545" s="5" t="s">
        <v>12</v>
      </c>
      <c r="H1545" s="3" t="s">
        <v>309</v>
      </c>
      <c r="I1545" s="5" t="s">
        <v>437</v>
      </c>
      <c r="J1545" s="5">
        <f>_xlfn.XLOOKUP(CustomerCombined[[#This Row],[ID]], Table4[ID], Table4[Recency], "Not Found", 0)</f>
        <v>17</v>
      </c>
      <c r="K1545" s="5">
        <f>_xlfn.XLOOKUP(CustomerCombined[[#This Row],[ID]], Table4[ID], Table4[Teas], "Not Found", 0)</f>
        <v>2860</v>
      </c>
      <c r="L1545" s="5">
        <f>_xlfn.XLOOKUP(CustomerCombined[[#This Row],[ID]], Table4[ID], Table4[Fruits], "Not Found", 0)</f>
        <v>0</v>
      </c>
      <c r="M1545" s="5">
        <f>_xlfn.XLOOKUP(CustomerCombined[[#This Row],[ID]], Table4[ID], Table4[Meats], "Not Found", 0)</f>
        <v>558</v>
      </c>
      <c r="N1545" s="5">
        <f>_xlfn.XLOOKUP(CustomerCombined[[#This Row],[ID]], Table4[ID], Table4[Seafood], "Not Found", 0)</f>
        <v>45</v>
      </c>
      <c r="O1545" s="5">
        <f>_xlfn.XLOOKUP(CustomerCombined[[#This Row],[ID]], Table4[ID], Table4[Sweets], "Not Found", 0)</f>
        <v>33</v>
      </c>
      <c r="P1545" s="5">
        <f>_xlfn.XLOOKUP(CustomerCombined[[#This Row],[ID]], Table4[ID], Table4[Premium], "Not Found", 0)</f>
        <v>486</v>
      </c>
      <c r="Q1545" s="5">
        <f>_xlfn.XLOOKUP(CustomerCombined[[#This Row],[ID]], Table4[ID], Table4[Regular], "Not Found", 0)</f>
        <v>3009</v>
      </c>
      <c r="R1545" s="5">
        <f>_xlfn.XLOOKUP(CustomerCombined[[#This Row],[ID]], Table4[ID], Table4[Deals], "Not Found", 0)</f>
        <v>6</v>
      </c>
      <c r="S1545" s="5">
        <f>_xlfn.XLOOKUP(CustomerCombined[[#This Row],[ID]], Table4[ID], Table4[Website], "Not Found", 0)</f>
        <v>6</v>
      </c>
      <c r="T1545" s="5">
        <f>_xlfn.XLOOKUP(CustomerCombined[[#This Row],[ID]], Table4[ID], Table4[Catalog], "Not Found", 0)</f>
        <v>3</v>
      </c>
      <c r="U1545" s="5">
        <f>_xlfn.XLOOKUP(CustomerCombined[[#This Row],[ID]], Table4[ID], Table4[Store], "Not Found", 0)</f>
        <v>13</v>
      </c>
      <c r="V1545" s="5">
        <f>_xlfn.XLOOKUP(CustomerCombined[[#This Row],[ID]], Table4[ID], Table4[Visits], "Not Found", 0)</f>
        <v>7</v>
      </c>
      <c r="W1545" s="8">
        <f>_xlfn.XLOOKUP(CustomerCombined[[#This Row],[ID]], Table2[ID],Table2[Complaint], "Not Found", 0 )</f>
        <v>0</v>
      </c>
      <c r="X1545" s="8">
        <f>_xlfn.XLOOKUP(CustomerCombined[[#This Row],[ID]], Table2[ID],Table2[Pilot], "Not Found", 0 )</f>
        <v>0</v>
      </c>
      <c r="Y1545" s="8">
        <f>_xlfn.XLOOKUP(CustomerCombined[[#This Row],[ID]], Table2[ID],Table2[MC1], "Not Found", 0 )</f>
        <v>0</v>
      </c>
      <c r="Z1545" s="8">
        <f>_xlfn.XLOOKUP(CustomerCombined[[#This Row],[ID]], Table2[ID],Table2[MC2], "Not Found", 0 )</f>
        <v>0</v>
      </c>
      <c r="AA1545" s="8">
        <f>_xlfn.XLOOKUP(CustomerCombined[[#This Row],[ID]], Table2[ID],Table2[MC3], "Not Found", 0 )</f>
        <v>0</v>
      </c>
      <c r="AB1545" s="8">
        <f>_xlfn.XLOOKUP(CustomerCombined[[#This Row],[ID]], Table2[ID],Table2[MC4], "Not Found", 0 )</f>
        <v>0</v>
      </c>
      <c r="AC1545" s="8">
        <f>_xlfn.XLOOKUP(CustomerCombined[[#This Row],[ID]], Table2[ID],Table2[MC5], "Not Found", 0 )</f>
        <v>0</v>
      </c>
    </row>
    <row r="1546" spans="1:29" x14ac:dyDescent="0.3">
      <c r="A1546" s="6">
        <v>3087</v>
      </c>
      <c r="B1546" s="6">
        <v>172217</v>
      </c>
      <c r="C1546" s="6">
        <v>0</v>
      </c>
      <c r="D1546" s="6">
        <v>0</v>
      </c>
      <c r="E1546" s="6">
        <v>58</v>
      </c>
      <c r="F1546" s="5" t="s">
        <v>7</v>
      </c>
      <c r="G1546" s="5" t="s">
        <v>12</v>
      </c>
      <c r="H1546" s="3" t="s">
        <v>279</v>
      </c>
      <c r="I1546" s="5" t="s">
        <v>435</v>
      </c>
      <c r="J1546" s="5">
        <f>_xlfn.XLOOKUP(CustomerCombined[[#This Row],[ID]], Table4[ID], Table4[Recency], "Not Found", 0)</f>
        <v>93</v>
      </c>
      <c r="K1546" s="5">
        <f>_xlfn.XLOOKUP(CustomerCombined[[#This Row],[ID]], Table4[ID], Table4[Teas], "Not Found", 0)</f>
        <v>1946</v>
      </c>
      <c r="L1546" s="5">
        <f>_xlfn.XLOOKUP(CustomerCombined[[#This Row],[ID]], Table4[ID], Table4[Fruits], "Not Found", 0)</f>
        <v>100</v>
      </c>
      <c r="M1546" s="5">
        <f>_xlfn.XLOOKUP(CustomerCombined[[#This Row],[ID]], Table4[ID], Table4[Meats], "Not Found", 0)</f>
        <v>1073</v>
      </c>
      <c r="N1546" s="5">
        <f>_xlfn.XLOOKUP(CustomerCombined[[#This Row],[ID]], Table4[ID], Table4[Seafood], "Not Found", 0)</f>
        <v>131</v>
      </c>
      <c r="O1546" s="5">
        <f>_xlfn.XLOOKUP(CustomerCombined[[#This Row],[ID]], Table4[ID], Table4[Sweets], "Not Found", 0)</f>
        <v>134</v>
      </c>
      <c r="P1546" s="5">
        <f>_xlfn.XLOOKUP(CustomerCombined[[#This Row],[ID]], Table4[ID], Table4[Premium], "Not Found", 0)</f>
        <v>367</v>
      </c>
      <c r="Q1546" s="5">
        <f>_xlfn.XLOOKUP(CustomerCombined[[#This Row],[ID]], Table4[ID], Table4[Regular], "Not Found", 0)</f>
        <v>3017</v>
      </c>
      <c r="R1546" s="5">
        <f>_xlfn.XLOOKUP(CustomerCombined[[#This Row],[ID]], Table4[ID], Table4[Deals], "Not Found", 0)</f>
        <v>1</v>
      </c>
      <c r="S1546" s="5">
        <f>_xlfn.XLOOKUP(CustomerCombined[[#This Row],[ID]], Table4[ID], Table4[Website], "Not Found", 0)</f>
        <v>3</v>
      </c>
      <c r="T1546" s="5">
        <f>_xlfn.XLOOKUP(CustomerCombined[[#This Row],[ID]], Table4[ID], Table4[Catalog], "Not Found", 0)</f>
        <v>10</v>
      </c>
      <c r="U1546" s="5">
        <f>_xlfn.XLOOKUP(CustomerCombined[[#This Row],[ID]], Table4[ID], Table4[Store], "Not Found", 0)</f>
        <v>8</v>
      </c>
      <c r="V1546" s="5">
        <f>_xlfn.XLOOKUP(CustomerCombined[[#This Row],[ID]], Table4[ID], Table4[Visits], "Not Found", 0)</f>
        <v>2</v>
      </c>
      <c r="W1546" s="8">
        <f>_xlfn.XLOOKUP(CustomerCombined[[#This Row],[ID]], Table2[ID],Table2[Complaint], "Not Found", 0 )</f>
        <v>0</v>
      </c>
      <c r="X1546" s="8">
        <f>_xlfn.XLOOKUP(CustomerCombined[[#This Row],[ID]], Table2[ID],Table2[Pilot], "Not Found", 0 )</f>
        <v>0</v>
      </c>
      <c r="Y1546" s="8">
        <f>_xlfn.XLOOKUP(CustomerCombined[[#This Row],[ID]], Table2[ID],Table2[MC1], "Not Found", 0 )</f>
        <v>0</v>
      </c>
      <c r="Z1546" s="8">
        <f>_xlfn.XLOOKUP(CustomerCombined[[#This Row],[ID]], Table2[ID],Table2[MC2], "Not Found", 0 )</f>
        <v>0</v>
      </c>
      <c r="AA1546" s="8">
        <f>_xlfn.XLOOKUP(CustomerCombined[[#This Row],[ID]], Table2[ID],Table2[MC3], "Not Found", 0 )</f>
        <v>0</v>
      </c>
      <c r="AB1546" s="8">
        <f>_xlfn.XLOOKUP(CustomerCombined[[#This Row],[ID]], Table2[ID],Table2[MC4], "Not Found", 0 )</f>
        <v>0</v>
      </c>
      <c r="AC1546" s="8">
        <f>_xlfn.XLOOKUP(CustomerCombined[[#This Row],[ID]], Table2[ID],Table2[MC5], "Not Found", 0 )</f>
        <v>0</v>
      </c>
    </row>
    <row r="1547" spans="1:29" x14ac:dyDescent="0.3">
      <c r="A1547" s="6">
        <v>1352</v>
      </c>
      <c r="B1547" s="6">
        <v>172025</v>
      </c>
      <c r="C1547" s="6">
        <v>0</v>
      </c>
      <c r="D1547" s="6">
        <v>0</v>
      </c>
      <c r="E1547" s="6">
        <v>58</v>
      </c>
      <c r="F1547" s="5" t="s">
        <v>8</v>
      </c>
      <c r="G1547" s="5" t="s">
        <v>11</v>
      </c>
      <c r="H1547" s="3" t="s">
        <v>359</v>
      </c>
      <c r="I1547" s="5" t="s">
        <v>438</v>
      </c>
      <c r="J1547" s="5">
        <f>_xlfn.XLOOKUP(CustomerCombined[[#This Row],[ID]], Table4[ID], Table4[Recency], "Not Found", 0)</f>
        <v>27</v>
      </c>
      <c r="K1547" s="5">
        <f>_xlfn.XLOOKUP(CustomerCombined[[#This Row],[ID]], Table4[ID], Table4[Teas], "Not Found", 0)</f>
        <v>1990</v>
      </c>
      <c r="L1547" s="5">
        <f>_xlfn.XLOOKUP(CustomerCombined[[#This Row],[ID]], Table4[ID], Table4[Fruits], "Not Found", 0)</f>
        <v>79</v>
      </c>
      <c r="M1547" s="5">
        <f>_xlfn.XLOOKUP(CustomerCombined[[#This Row],[ID]], Table4[ID], Table4[Meats], "Not Found", 0)</f>
        <v>1311</v>
      </c>
      <c r="N1547" s="5">
        <f>_xlfn.XLOOKUP(CustomerCombined[[#This Row],[ID]], Table4[ID], Table4[Seafood], "Not Found", 0)</f>
        <v>361</v>
      </c>
      <c r="O1547" s="5">
        <f>_xlfn.XLOOKUP(CustomerCombined[[#This Row],[ID]], Table4[ID], Table4[Sweets], "Not Found", 0)</f>
        <v>318</v>
      </c>
      <c r="P1547" s="5">
        <f>_xlfn.XLOOKUP(CustomerCombined[[#This Row],[ID]], Table4[ID], Table4[Premium], "Not Found", 0)</f>
        <v>556</v>
      </c>
      <c r="Q1547" s="5">
        <f>_xlfn.XLOOKUP(CustomerCombined[[#This Row],[ID]], Table4[ID], Table4[Regular], "Not Found", 0)</f>
        <v>3501</v>
      </c>
      <c r="R1547" s="5">
        <f>_xlfn.XLOOKUP(CustomerCombined[[#This Row],[ID]], Table4[ID], Table4[Deals], "Not Found", 0)</f>
        <v>1</v>
      </c>
      <c r="S1547" s="5">
        <f>_xlfn.XLOOKUP(CustomerCombined[[#This Row],[ID]], Table4[ID], Table4[Website], "Not Found", 0)</f>
        <v>4</v>
      </c>
      <c r="T1547" s="5">
        <f>_xlfn.XLOOKUP(CustomerCombined[[#This Row],[ID]], Table4[ID], Table4[Catalog], "Not Found", 0)</f>
        <v>3</v>
      </c>
      <c r="U1547" s="5">
        <f>_xlfn.XLOOKUP(CustomerCombined[[#This Row],[ID]], Table4[ID], Table4[Store], "Not Found", 0)</f>
        <v>8</v>
      </c>
      <c r="V1547" s="5">
        <f>_xlfn.XLOOKUP(CustomerCombined[[#This Row],[ID]], Table4[ID], Table4[Visits], "Not Found", 0)</f>
        <v>3</v>
      </c>
      <c r="W1547" s="8">
        <f>_xlfn.XLOOKUP(CustomerCombined[[#This Row],[ID]], Table2[ID],Table2[Complaint], "Not Found", 0 )</f>
        <v>0</v>
      </c>
      <c r="X1547" s="8">
        <f>_xlfn.XLOOKUP(CustomerCombined[[#This Row],[ID]], Table2[ID],Table2[Pilot], "Not Found", 0 )</f>
        <v>0</v>
      </c>
      <c r="Y1547" s="8">
        <f>_xlfn.XLOOKUP(CustomerCombined[[#This Row],[ID]], Table2[ID],Table2[MC1], "Not Found", 0 )</f>
        <v>0</v>
      </c>
      <c r="Z1547" s="8">
        <f>_xlfn.XLOOKUP(CustomerCombined[[#This Row],[ID]], Table2[ID],Table2[MC2], "Not Found", 0 )</f>
        <v>0</v>
      </c>
      <c r="AA1547" s="8">
        <f>_xlfn.XLOOKUP(CustomerCombined[[#This Row],[ID]], Table2[ID],Table2[MC3], "Not Found", 0 )</f>
        <v>0</v>
      </c>
      <c r="AB1547" s="8">
        <f>_xlfn.XLOOKUP(CustomerCombined[[#This Row],[ID]], Table2[ID],Table2[MC4], "Not Found", 0 )</f>
        <v>0</v>
      </c>
      <c r="AC1547" s="8">
        <f>_xlfn.XLOOKUP(CustomerCombined[[#This Row],[ID]], Table2[ID],Table2[MC5], "Not Found", 0 )</f>
        <v>0</v>
      </c>
    </row>
    <row r="1548" spans="1:29" x14ac:dyDescent="0.3">
      <c r="A1548" s="6">
        <v>2936</v>
      </c>
      <c r="B1548" s="6">
        <v>171670</v>
      </c>
      <c r="C1548" s="6">
        <v>0</v>
      </c>
      <c r="D1548" s="6">
        <v>0</v>
      </c>
      <c r="E1548" s="6">
        <v>58</v>
      </c>
      <c r="F1548" s="5" t="s">
        <v>9</v>
      </c>
      <c r="G1548" s="5" t="s">
        <v>13</v>
      </c>
      <c r="H1548" s="3" t="s">
        <v>226</v>
      </c>
      <c r="I1548" s="5" t="s">
        <v>438</v>
      </c>
      <c r="J1548" s="5">
        <f>_xlfn.XLOOKUP(CustomerCombined[[#This Row],[ID]], Table4[ID], Table4[Recency], "Not Found", 0)</f>
        <v>8</v>
      </c>
      <c r="K1548" s="5">
        <f>_xlfn.XLOOKUP(CustomerCombined[[#This Row],[ID]], Table4[ID], Table4[Teas], "Not Found", 0)</f>
        <v>3502</v>
      </c>
      <c r="L1548" s="5">
        <f>_xlfn.XLOOKUP(CustomerCombined[[#This Row],[ID]], Table4[ID], Table4[Fruits], "Not Found", 0)</f>
        <v>38</v>
      </c>
      <c r="M1548" s="5">
        <f>_xlfn.XLOOKUP(CustomerCombined[[#This Row],[ID]], Table4[ID], Table4[Meats], "Not Found", 0)</f>
        <v>307</v>
      </c>
      <c r="N1548" s="5">
        <f>_xlfn.XLOOKUP(CustomerCombined[[#This Row],[ID]], Table4[ID], Table4[Seafood], "Not Found", 0)</f>
        <v>0</v>
      </c>
      <c r="O1548" s="5">
        <f>_xlfn.XLOOKUP(CustomerCombined[[#This Row],[ID]], Table4[ID], Table4[Sweets], "Not Found", 0)</f>
        <v>0</v>
      </c>
      <c r="P1548" s="5">
        <f>_xlfn.XLOOKUP(CustomerCombined[[#This Row],[ID]], Table4[ID], Table4[Premium], "Not Found", 0)</f>
        <v>383</v>
      </c>
      <c r="Q1548" s="5">
        <f>_xlfn.XLOOKUP(CustomerCombined[[#This Row],[ID]], Table4[ID], Table4[Regular], "Not Found", 0)</f>
        <v>3464</v>
      </c>
      <c r="R1548" s="5">
        <f>_xlfn.XLOOKUP(CustomerCombined[[#This Row],[ID]], Table4[ID], Table4[Deals], "Not Found", 0)</f>
        <v>1</v>
      </c>
      <c r="S1548" s="5">
        <f>_xlfn.XLOOKUP(CustomerCombined[[#This Row],[ID]], Table4[ID], Table4[Website], "Not Found", 0)</f>
        <v>5</v>
      </c>
      <c r="T1548" s="5">
        <f>_xlfn.XLOOKUP(CustomerCombined[[#This Row],[ID]], Table4[ID], Table4[Catalog], "Not Found", 0)</f>
        <v>3</v>
      </c>
      <c r="U1548" s="5">
        <f>_xlfn.XLOOKUP(CustomerCombined[[#This Row],[ID]], Table4[ID], Table4[Store], "Not Found", 0)</f>
        <v>6</v>
      </c>
      <c r="V1548" s="5">
        <f>_xlfn.XLOOKUP(CustomerCombined[[#This Row],[ID]], Table4[ID], Table4[Visits], "Not Found", 0)</f>
        <v>6</v>
      </c>
      <c r="W1548" s="8">
        <f>_xlfn.XLOOKUP(CustomerCombined[[#This Row],[ID]], Table2[ID],Table2[Complaint], "Not Found", 0 )</f>
        <v>0</v>
      </c>
      <c r="X1548" s="8">
        <f>_xlfn.XLOOKUP(CustomerCombined[[#This Row],[ID]], Table2[ID],Table2[Pilot], "Not Found", 0 )</f>
        <v>1</v>
      </c>
      <c r="Y1548" s="8">
        <f>_xlfn.XLOOKUP(CustomerCombined[[#This Row],[ID]], Table2[ID],Table2[MC1], "Not Found", 0 )</f>
        <v>0</v>
      </c>
      <c r="Z1548" s="8">
        <f>_xlfn.XLOOKUP(CustomerCombined[[#This Row],[ID]], Table2[ID],Table2[MC2], "Not Found", 0 )</f>
        <v>1</v>
      </c>
      <c r="AA1548" s="8">
        <f>_xlfn.XLOOKUP(CustomerCombined[[#This Row],[ID]], Table2[ID],Table2[MC3], "Not Found", 0 )</f>
        <v>0</v>
      </c>
      <c r="AB1548" s="8">
        <f>_xlfn.XLOOKUP(CustomerCombined[[#This Row],[ID]], Table2[ID],Table2[MC4], "Not Found", 0 )</f>
        <v>1</v>
      </c>
      <c r="AC1548" s="8">
        <f>_xlfn.XLOOKUP(CustomerCombined[[#This Row],[ID]], Table2[ID],Table2[MC5], "Not Found", 0 )</f>
        <v>1</v>
      </c>
    </row>
    <row r="1549" spans="1:29" x14ac:dyDescent="0.3">
      <c r="A1549" s="6">
        <v>2312</v>
      </c>
      <c r="B1549" s="6">
        <v>171434</v>
      </c>
      <c r="C1549" s="6">
        <v>0</v>
      </c>
      <c r="D1549" s="6">
        <v>1</v>
      </c>
      <c r="E1549" s="6">
        <v>58</v>
      </c>
      <c r="F1549" s="5" t="s">
        <v>6</v>
      </c>
      <c r="G1549" s="5" t="s">
        <v>11</v>
      </c>
      <c r="H1549" s="3" t="s">
        <v>181</v>
      </c>
      <c r="I1549" s="5" t="s">
        <v>438</v>
      </c>
      <c r="J1549" s="5">
        <f>_xlfn.XLOOKUP(CustomerCombined[[#This Row],[ID]], Table4[ID], Table4[Recency], "Not Found", 0)</f>
        <v>4</v>
      </c>
      <c r="K1549" s="5">
        <f>_xlfn.XLOOKUP(CustomerCombined[[#This Row],[ID]], Table4[ID], Table4[Teas], "Not Found", 0)</f>
        <v>1706</v>
      </c>
      <c r="L1549" s="5">
        <f>_xlfn.XLOOKUP(CustomerCombined[[#This Row],[ID]], Table4[ID], Table4[Fruits], "Not Found", 0)</f>
        <v>86</v>
      </c>
      <c r="M1549" s="5">
        <f>_xlfn.XLOOKUP(CustomerCombined[[#This Row],[ID]], Table4[ID], Table4[Meats], "Not Found", 0)</f>
        <v>521</v>
      </c>
      <c r="N1549" s="5">
        <f>_xlfn.XLOOKUP(CustomerCombined[[#This Row],[ID]], Table4[ID], Table4[Seafood], "Not Found", 0)</f>
        <v>413</v>
      </c>
      <c r="O1549" s="5">
        <f>_xlfn.XLOOKUP(CustomerCombined[[#This Row],[ID]], Table4[ID], Table4[Sweets], "Not Found", 0)</f>
        <v>230</v>
      </c>
      <c r="P1549" s="5">
        <f>_xlfn.XLOOKUP(CustomerCombined[[#This Row],[ID]], Table4[ID], Table4[Premium], "Not Found", 0)</f>
        <v>403</v>
      </c>
      <c r="Q1549" s="5">
        <f>_xlfn.XLOOKUP(CustomerCombined[[#This Row],[ID]], Table4[ID], Table4[Regular], "Not Found", 0)</f>
        <v>2553</v>
      </c>
      <c r="R1549" s="5">
        <f>_xlfn.XLOOKUP(CustomerCombined[[#This Row],[ID]], Table4[ID], Table4[Deals], "Not Found", 0)</f>
        <v>3</v>
      </c>
      <c r="S1549" s="5">
        <f>_xlfn.XLOOKUP(CustomerCombined[[#This Row],[ID]], Table4[ID], Table4[Website], "Not Found", 0)</f>
        <v>7</v>
      </c>
      <c r="T1549" s="5">
        <f>_xlfn.XLOOKUP(CustomerCombined[[#This Row],[ID]], Table4[ID], Table4[Catalog], "Not Found", 0)</f>
        <v>4</v>
      </c>
      <c r="U1549" s="5">
        <f>_xlfn.XLOOKUP(CustomerCombined[[#This Row],[ID]], Table4[ID], Table4[Store], "Not Found", 0)</f>
        <v>7</v>
      </c>
      <c r="V1549" s="5">
        <f>_xlfn.XLOOKUP(CustomerCombined[[#This Row],[ID]], Table4[ID], Table4[Visits], "Not Found", 0)</f>
        <v>4</v>
      </c>
      <c r="W1549" s="8">
        <f>_xlfn.XLOOKUP(CustomerCombined[[#This Row],[ID]], Table2[ID],Table2[Complaint], "Not Found", 0 )</f>
        <v>0</v>
      </c>
      <c r="X1549" s="8">
        <f>_xlfn.XLOOKUP(CustomerCombined[[#This Row],[ID]], Table2[ID],Table2[Pilot], "Not Found", 0 )</f>
        <v>0</v>
      </c>
      <c r="Y1549" s="8">
        <f>_xlfn.XLOOKUP(CustomerCombined[[#This Row],[ID]], Table2[ID],Table2[MC1], "Not Found", 0 )</f>
        <v>1</v>
      </c>
      <c r="Z1549" s="8">
        <f>_xlfn.XLOOKUP(CustomerCombined[[#This Row],[ID]], Table2[ID],Table2[MC2], "Not Found", 0 )</f>
        <v>0</v>
      </c>
      <c r="AA1549" s="8">
        <f>_xlfn.XLOOKUP(CustomerCombined[[#This Row],[ID]], Table2[ID],Table2[MC3], "Not Found", 0 )</f>
        <v>0</v>
      </c>
      <c r="AB1549" s="8">
        <f>_xlfn.XLOOKUP(CustomerCombined[[#This Row],[ID]], Table2[ID],Table2[MC4], "Not Found", 0 )</f>
        <v>1</v>
      </c>
      <c r="AC1549" s="8">
        <f>_xlfn.XLOOKUP(CustomerCombined[[#This Row],[ID]], Table2[ID],Table2[MC5], "Not Found", 0 )</f>
        <v>0</v>
      </c>
    </row>
    <row r="1550" spans="1:29" x14ac:dyDescent="0.3">
      <c r="A1550" s="6">
        <v>2335</v>
      </c>
      <c r="B1550" s="6">
        <v>169627</v>
      </c>
      <c r="C1550" s="6">
        <v>0</v>
      </c>
      <c r="D1550" s="6">
        <v>1</v>
      </c>
      <c r="E1550" s="6">
        <v>58</v>
      </c>
      <c r="F1550" s="5" t="s">
        <v>7</v>
      </c>
      <c r="G1550" s="5" t="s">
        <v>11</v>
      </c>
      <c r="H1550" s="3" t="s">
        <v>291</v>
      </c>
      <c r="I1550" s="5" t="s">
        <v>437</v>
      </c>
      <c r="J1550" s="5">
        <f>_xlfn.XLOOKUP(CustomerCombined[[#This Row],[ID]], Table4[ID], Table4[Recency], "Not Found", 0)</f>
        <v>35</v>
      </c>
      <c r="K1550" s="5">
        <f>_xlfn.XLOOKUP(CustomerCombined[[#This Row],[ID]], Table4[ID], Table4[Teas], "Not Found", 0)</f>
        <v>563</v>
      </c>
      <c r="L1550" s="5">
        <f>_xlfn.XLOOKUP(CustomerCombined[[#This Row],[ID]], Table4[ID], Table4[Fruits], "Not Found", 0)</f>
        <v>392</v>
      </c>
      <c r="M1550" s="5">
        <f>_xlfn.XLOOKUP(CustomerCombined[[#This Row],[ID]], Table4[ID], Table4[Meats], "Not Found", 0)</f>
        <v>524</v>
      </c>
      <c r="N1550" s="5">
        <f>_xlfn.XLOOKUP(CustomerCombined[[#This Row],[ID]], Table4[ID], Table4[Seafood], "Not Found", 0)</f>
        <v>417</v>
      </c>
      <c r="O1550" s="5">
        <f>_xlfn.XLOOKUP(CustomerCombined[[#This Row],[ID]], Table4[ID], Table4[Sweets], "Not Found", 0)</f>
        <v>73</v>
      </c>
      <c r="P1550" s="5">
        <f>_xlfn.XLOOKUP(CustomerCombined[[#This Row],[ID]], Table4[ID], Table4[Premium], "Not Found", 0)</f>
        <v>129</v>
      </c>
      <c r="Q1550" s="5">
        <f>_xlfn.XLOOKUP(CustomerCombined[[#This Row],[ID]], Table4[ID], Table4[Regular], "Not Found", 0)</f>
        <v>1839</v>
      </c>
      <c r="R1550" s="5">
        <f>_xlfn.XLOOKUP(CustomerCombined[[#This Row],[ID]], Table4[ID], Table4[Deals], "Not Found", 0)</f>
        <v>2</v>
      </c>
      <c r="S1550" s="5">
        <f>_xlfn.XLOOKUP(CustomerCombined[[#This Row],[ID]], Table4[ID], Table4[Website], "Not Found", 0)</f>
        <v>8</v>
      </c>
      <c r="T1550" s="5">
        <f>_xlfn.XLOOKUP(CustomerCombined[[#This Row],[ID]], Table4[ID], Table4[Catalog], "Not Found", 0)</f>
        <v>2</v>
      </c>
      <c r="U1550" s="5">
        <f>_xlfn.XLOOKUP(CustomerCombined[[#This Row],[ID]], Table4[ID], Table4[Store], "Not Found", 0)</f>
        <v>11</v>
      </c>
      <c r="V1550" s="5">
        <f>_xlfn.XLOOKUP(CustomerCombined[[#This Row],[ID]], Table4[ID], Table4[Visits], "Not Found", 0)</f>
        <v>5</v>
      </c>
      <c r="W1550" s="8">
        <f>_xlfn.XLOOKUP(CustomerCombined[[#This Row],[ID]], Table2[ID],Table2[Complaint], "Not Found", 0 )</f>
        <v>0</v>
      </c>
      <c r="X1550" s="8">
        <f>_xlfn.XLOOKUP(CustomerCombined[[#This Row],[ID]], Table2[ID],Table2[Pilot], "Not Found", 0 )</f>
        <v>0</v>
      </c>
      <c r="Y1550" s="8">
        <f>_xlfn.XLOOKUP(CustomerCombined[[#This Row],[ID]], Table2[ID],Table2[MC1], "Not Found", 0 )</f>
        <v>0</v>
      </c>
      <c r="Z1550" s="8">
        <f>_xlfn.XLOOKUP(CustomerCombined[[#This Row],[ID]], Table2[ID],Table2[MC2], "Not Found", 0 )</f>
        <v>0</v>
      </c>
      <c r="AA1550" s="8">
        <f>_xlfn.XLOOKUP(CustomerCombined[[#This Row],[ID]], Table2[ID],Table2[MC3], "Not Found", 0 )</f>
        <v>0</v>
      </c>
      <c r="AB1550" s="8">
        <f>_xlfn.XLOOKUP(CustomerCombined[[#This Row],[ID]], Table2[ID],Table2[MC4], "Not Found", 0 )</f>
        <v>0</v>
      </c>
      <c r="AC1550" s="8">
        <f>_xlfn.XLOOKUP(CustomerCombined[[#This Row],[ID]], Table2[ID],Table2[MC5], "Not Found", 0 )</f>
        <v>0</v>
      </c>
    </row>
    <row r="1551" spans="1:29" x14ac:dyDescent="0.3">
      <c r="A1551" s="6">
        <v>1550</v>
      </c>
      <c r="B1551" s="6">
        <v>166565</v>
      </c>
      <c r="C1551" s="6">
        <v>0</v>
      </c>
      <c r="D1551" s="6">
        <v>1</v>
      </c>
      <c r="E1551" s="6">
        <v>58</v>
      </c>
      <c r="F1551" s="5" t="s">
        <v>7</v>
      </c>
      <c r="G1551" s="5" t="s">
        <v>11</v>
      </c>
      <c r="H1551" s="3">
        <v>43804</v>
      </c>
      <c r="I1551" s="5" t="s">
        <v>438</v>
      </c>
      <c r="J1551" s="5">
        <f>_xlfn.XLOOKUP(CustomerCombined[[#This Row],[ID]], Table4[ID], Table4[Recency], "Not Found", 0)</f>
        <v>80</v>
      </c>
      <c r="K1551" s="5">
        <f>_xlfn.XLOOKUP(CustomerCombined[[#This Row],[ID]], Table4[ID], Table4[Teas], "Not Found", 0)</f>
        <v>1869</v>
      </c>
      <c r="L1551" s="5">
        <f>_xlfn.XLOOKUP(CustomerCombined[[#This Row],[ID]], Table4[ID], Table4[Fruits], "Not Found", 0)</f>
        <v>25</v>
      </c>
      <c r="M1551" s="5">
        <f>_xlfn.XLOOKUP(CustomerCombined[[#This Row],[ID]], Table4[ID], Table4[Meats], "Not Found", 0)</f>
        <v>403</v>
      </c>
      <c r="N1551" s="5">
        <f>_xlfn.XLOOKUP(CustomerCombined[[#This Row],[ID]], Table4[ID], Table4[Seafood], "Not Found", 0)</f>
        <v>163</v>
      </c>
      <c r="O1551" s="5">
        <f>_xlfn.XLOOKUP(CustomerCombined[[#This Row],[ID]], Table4[ID], Table4[Sweets], "Not Found", 0)</f>
        <v>100</v>
      </c>
      <c r="P1551" s="5">
        <f>_xlfn.XLOOKUP(CustomerCombined[[#This Row],[ID]], Table4[ID], Table4[Premium], "Not Found", 0)</f>
        <v>105</v>
      </c>
      <c r="Q1551" s="5">
        <f>_xlfn.XLOOKUP(CustomerCombined[[#This Row],[ID]], Table4[ID], Table4[Regular], "Not Found", 0)</f>
        <v>2455</v>
      </c>
      <c r="R1551" s="5">
        <f>_xlfn.XLOOKUP(CustomerCombined[[#This Row],[ID]], Table4[ID], Table4[Deals], "Not Found", 0)</f>
        <v>4</v>
      </c>
      <c r="S1551" s="5">
        <f>_xlfn.XLOOKUP(CustomerCombined[[#This Row],[ID]], Table4[ID], Table4[Website], "Not Found", 0)</f>
        <v>4</v>
      </c>
      <c r="T1551" s="5">
        <f>_xlfn.XLOOKUP(CustomerCombined[[#This Row],[ID]], Table4[ID], Table4[Catalog], "Not Found", 0)</f>
        <v>2</v>
      </c>
      <c r="U1551" s="5">
        <f>_xlfn.XLOOKUP(CustomerCombined[[#This Row],[ID]], Table4[ID], Table4[Store], "Not Found", 0)</f>
        <v>9</v>
      </c>
      <c r="V1551" s="5">
        <f>_xlfn.XLOOKUP(CustomerCombined[[#This Row],[ID]], Table4[ID], Table4[Visits], "Not Found", 0)</f>
        <v>8</v>
      </c>
      <c r="W1551" s="8">
        <f>_xlfn.XLOOKUP(CustomerCombined[[#This Row],[ID]], Table2[ID],Table2[Complaint], "Not Found", 0 )</f>
        <v>0</v>
      </c>
      <c r="X1551" s="8">
        <f>_xlfn.XLOOKUP(CustomerCombined[[#This Row],[ID]], Table2[ID],Table2[Pilot], "Not Found", 0 )</f>
        <v>0</v>
      </c>
      <c r="Y1551" s="8">
        <f>_xlfn.XLOOKUP(CustomerCombined[[#This Row],[ID]], Table2[ID],Table2[MC1], "Not Found", 0 )</f>
        <v>0</v>
      </c>
      <c r="Z1551" s="8">
        <f>_xlfn.XLOOKUP(CustomerCombined[[#This Row],[ID]], Table2[ID],Table2[MC2], "Not Found", 0 )</f>
        <v>0</v>
      </c>
      <c r="AA1551" s="8">
        <f>_xlfn.XLOOKUP(CustomerCombined[[#This Row],[ID]], Table2[ID],Table2[MC3], "Not Found", 0 )</f>
        <v>0</v>
      </c>
      <c r="AB1551" s="8">
        <f>_xlfn.XLOOKUP(CustomerCombined[[#This Row],[ID]], Table2[ID],Table2[MC4], "Not Found", 0 )</f>
        <v>0</v>
      </c>
      <c r="AC1551" s="8">
        <f>_xlfn.XLOOKUP(CustomerCombined[[#This Row],[ID]], Table2[ID],Table2[MC5], "Not Found", 0 )</f>
        <v>0</v>
      </c>
    </row>
    <row r="1552" spans="1:29" x14ac:dyDescent="0.3">
      <c r="A1552" s="6">
        <v>1517</v>
      </c>
      <c r="B1552" s="6">
        <v>165316</v>
      </c>
      <c r="C1552" s="6">
        <v>1</v>
      </c>
      <c r="D1552" s="6">
        <v>1</v>
      </c>
      <c r="E1552" s="6">
        <v>58</v>
      </c>
      <c r="F1552" s="5" t="s">
        <v>6</v>
      </c>
      <c r="G1552" s="5" t="s">
        <v>11</v>
      </c>
      <c r="H1552" s="3" t="s">
        <v>265</v>
      </c>
      <c r="I1552" s="5" t="s">
        <v>434</v>
      </c>
      <c r="J1552" s="5">
        <f>_xlfn.XLOOKUP(CustomerCombined[[#This Row],[ID]], Table4[ID], Table4[Recency], "Not Found", 0)</f>
        <v>65</v>
      </c>
      <c r="K1552" s="5">
        <f>_xlfn.XLOOKUP(CustomerCombined[[#This Row],[ID]], Table4[ID], Table4[Teas], "Not Found", 0)</f>
        <v>283</v>
      </c>
      <c r="L1552" s="5">
        <f>_xlfn.XLOOKUP(CustomerCombined[[#This Row],[ID]], Table4[ID], Table4[Fruits], "Not Found", 0)</f>
        <v>15</v>
      </c>
      <c r="M1552" s="5">
        <f>_xlfn.XLOOKUP(CustomerCombined[[#This Row],[ID]], Table4[ID], Table4[Meats], "Not Found", 0)</f>
        <v>233</v>
      </c>
      <c r="N1552" s="5">
        <f>_xlfn.XLOOKUP(CustomerCombined[[#This Row],[ID]], Table4[ID], Table4[Seafood], "Not Found", 0)</f>
        <v>8</v>
      </c>
      <c r="O1552" s="5">
        <f>_xlfn.XLOOKUP(CustomerCombined[[#This Row],[ID]], Table4[ID], Table4[Sweets], "Not Found", 0)</f>
        <v>23</v>
      </c>
      <c r="P1552" s="5">
        <f>_xlfn.XLOOKUP(CustomerCombined[[#This Row],[ID]], Table4[ID], Table4[Premium], "Not Found", 0)</f>
        <v>96</v>
      </c>
      <c r="Q1552" s="5">
        <f>_xlfn.XLOOKUP(CustomerCombined[[#This Row],[ID]], Table4[ID], Table4[Regular], "Not Found", 0)</f>
        <v>466</v>
      </c>
      <c r="R1552" s="5">
        <f>_xlfn.XLOOKUP(CustomerCombined[[#This Row],[ID]], Table4[ID], Table4[Deals], "Not Found", 0)</f>
        <v>2</v>
      </c>
      <c r="S1552" s="5">
        <f>_xlfn.XLOOKUP(CustomerCombined[[#This Row],[ID]], Table4[ID], Table4[Website], "Not Found", 0)</f>
        <v>3</v>
      </c>
      <c r="T1552" s="5">
        <f>_xlfn.XLOOKUP(CustomerCombined[[#This Row],[ID]], Table4[ID], Table4[Catalog], "Not Found", 0)</f>
        <v>2</v>
      </c>
      <c r="U1552" s="5">
        <f>_xlfn.XLOOKUP(CustomerCombined[[#This Row],[ID]], Table4[ID], Table4[Store], "Not Found", 0)</f>
        <v>5</v>
      </c>
      <c r="V1552" s="5">
        <f>_xlfn.XLOOKUP(CustomerCombined[[#This Row],[ID]], Table4[ID], Table4[Visits], "Not Found", 0)</f>
        <v>4</v>
      </c>
      <c r="W1552" s="8">
        <f>_xlfn.XLOOKUP(CustomerCombined[[#This Row],[ID]], Table2[ID],Table2[Complaint], "Not Found", 0 )</f>
        <v>0</v>
      </c>
      <c r="X1552" s="8">
        <f>_xlfn.XLOOKUP(CustomerCombined[[#This Row],[ID]], Table2[ID],Table2[Pilot], "Not Found", 0 )</f>
        <v>0</v>
      </c>
      <c r="Y1552" s="8">
        <f>_xlfn.XLOOKUP(CustomerCombined[[#This Row],[ID]], Table2[ID],Table2[MC1], "Not Found", 0 )</f>
        <v>0</v>
      </c>
      <c r="Z1552" s="8">
        <f>_xlfn.XLOOKUP(CustomerCombined[[#This Row],[ID]], Table2[ID],Table2[MC2], "Not Found", 0 )</f>
        <v>0</v>
      </c>
      <c r="AA1552" s="8">
        <f>_xlfn.XLOOKUP(CustomerCombined[[#This Row],[ID]], Table2[ID],Table2[MC3], "Not Found", 0 )</f>
        <v>0</v>
      </c>
      <c r="AB1552" s="8">
        <f>_xlfn.XLOOKUP(CustomerCombined[[#This Row],[ID]], Table2[ID],Table2[MC4], "Not Found", 0 )</f>
        <v>0</v>
      </c>
      <c r="AC1552" s="8">
        <f>_xlfn.XLOOKUP(CustomerCombined[[#This Row],[ID]], Table2[ID],Table2[MC5], "Not Found", 0 )</f>
        <v>0</v>
      </c>
    </row>
    <row r="1553" spans="1:29" x14ac:dyDescent="0.3">
      <c r="A1553" s="6">
        <v>1212</v>
      </c>
      <c r="B1553" s="6">
        <v>163887</v>
      </c>
      <c r="C1553" s="6">
        <v>0</v>
      </c>
      <c r="D1553" s="6">
        <v>1</v>
      </c>
      <c r="E1553" s="6">
        <v>58</v>
      </c>
      <c r="F1553" s="5" t="s">
        <v>5</v>
      </c>
      <c r="G1553" s="5" t="s">
        <v>11</v>
      </c>
      <c r="H1553" s="3" t="s">
        <v>401</v>
      </c>
      <c r="I1553" s="5" t="s">
        <v>436</v>
      </c>
      <c r="J1553" s="5">
        <f>_xlfn.XLOOKUP(CustomerCombined[[#This Row],[ID]], Table4[ID], Table4[Recency], "Not Found", 0)</f>
        <v>38</v>
      </c>
      <c r="K1553" s="5">
        <f>_xlfn.XLOOKUP(CustomerCombined[[#This Row],[ID]], Table4[ID], Table4[Teas], "Not Found", 0)</f>
        <v>2301</v>
      </c>
      <c r="L1553" s="5">
        <f>_xlfn.XLOOKUP(CustomerCombined[[#This Row],[ID]], Table4[ID], Table4[Fruits], "Not Found", 0)</f>
        <v>59</v>
      </c>
      <c r="M1553" s="5">
        <f>_xlfn.XLOOKUP(CustomerCombined[[#This Row],[ID]], Table4[ID], Table4[Meats], "Not Found", 0)</f>
        <v>531</v>
      </c>
      <c r="N1553" s="5">
        <f>_xlfn.XLOOKUP(CustomerCombined[[#This Row],[ID]], Table4[ID], Table4[Seafood], "Not Found", 0)</f>
        <v>38</v>
      </c>
      <c r="O1553" s="5">
        <f>_xlfn.XLOOKUP(CustomerCombined[[#This Row],[ID]], Table4[ID], Table4[Sweets], "Not Found", 0)</f>
        <v>28</v>
      </c>
      <c r="P1553" s="5">
        <f>_xlfn.XLOOKUP(CustomerCombined[[#This Row],[ID]], Table4[ID], Table4[Premium], "Not Found", 0)</f>
        <v>236</v>
      </c>
      <c r="Q1553" s="5">
        <f>_xlfn.XLOOKUP(CustomerCombined[[#This Row],[ID]], Table4[ID], Table4[Regular], "Not Found", 0)</f>
        <v>2722</v>
      </c>
      <c r="R1553" s="5">
        <f>_xlfn.XLOOKUP(CustomerCombined[[#This Row],[ID]], Table4[ID], Table4[Deals], "Not Found", 0)</f>
        <v>5</v>
      </c>
      <c r="S1553" s="5">
        <f>_xlfn.XLOOKUP(CustomerCombined[[#This Row],[ID]], Table4[ID], Table4[Website], "Not Found", 0)</f>
        <v>9</v>
      </c>
      <c r="T1553" s="5">
        <f>_xlfn.XLOOKUP(CustomerCombined[[#This Row],[ID]], Table4[ID], Table4[Catalog], "Not Found", 0)</f>
        <v>6</v>
      </c>
      <c r="U1553" s="5">
        <f>_xlfn.XLOOKUP(CustomerCombined[[#This Row],[ID]], Table4[ID], Table4[Store], "Not Found", 0)</f>
        <v>12</v>
      </c>
      <c r="V1553" s="5">
        <f>_xlfn.XLOOKUP(CustomerCombined[[#This Row],[ID]], Table4[ID], Table4[Visits], "Not Found", 0)</f>
        <v>6</v>
      </c>
      <c r="W1553" s="8">
        <f>_xlfn.XLOOKUP(CustomerCombined[[#This Row],[ID]], Table2[ID],Table2[Complaint], "Not Found", 0 )</f>
        <v>0</v>
      </c>
      <c r="X1553" s="8">
        <f>_xlfn.XLOOKUP(CustomerCombined[[#This Row],[ID]], Table2[ID],Table2[Pilot], "Not Found", 0 )</f>
        <v>0</v>
      </c>
      <c r="Y1553" s="8">
        <f>_xlfn.XLOOKUP(CustomerCombined[[#This Row],[ID]], Table2[ID],Table2[MC1], "Not Found", 0 )</f>
        <v>0</v>
      </c>
      <c r="Z1553" s="8">
        <f>_xlfn.XLOOKUP(CustomerCombined[[#This Row],[ID]], Table2[ID],Table2[MC2], "Not Found", 0 )</f>
        <v>0</v>
      </c>
      <c r="AA1553" s="8">
        <f>_xlfn.XLOOKUP(CustomerCombined[[#This Row],[ID]], Table2[ID],Table2[MC3], "Not Found", 0 )</f>
        <v>0</v>
      </c>
      <c r="AB1553" s="8">
        <f>_xlfn.XLOOKUP(CustomerCombined[[#This Row],[ID]], Table2[ID],Table2[MC4], "Not Found", 0 )</f>
        <v>0</v>
      </c>
      <c r="AC1553" s="8">
        <f>_xlfn.XLOOKUP(CustomerCombined[[#This Row],[ID]], Table2[ID],Table2[MC5], "Not Found", 0 )</f>
        <v>0</v>
      </c>
    </row>
    <row r="1554" spans="1:29" x14ac:dyDescent="0.3">
      <c r="A1554" s="6">
        <v>2795</v>
      </c>
      <c r="B1554" s="6">
        <v>162568</v>
      </c>
      <c r="C1554" s="6">
        <v>0</v>
      </c>
      <c r="D1554" s="6">
        <v>1</v>
      </c>
      <c r="E1554" s="6">
        <v>58</v>
      </c>
      <c r="F1554" s="5" t="s">
        <v>8</v>
      </c>
      <c r="G1554" s="5" t="s">
        <v>11</v>
      </c>
      <c r="H1554" s="3">
        <v>44144</v>
      </c>
      <c r="I1554" s="5" t="s">
        <v>434</v>
      </c>
      <c r="J1554" s="5">
        <f>_xlfn.XLOOKUP(CustomerCombined[[#This Row],[ID]], Table4[ID], Table4[Recency], "Not Found", 0)</f>
        <v>99</v>
      </c>
      <c r="K1554" s="5">
        <f>_xlfn.XLOOKUP(CustomerCombined[[#This Row],[ID]], Table4[ID], Table4[Teas], "Not Found", 0)</f>
        <v>941</v>
      </c>
      <c r="L1554" s="5">
        <f>_xlfn.XLOOKUP(CustomerCombined[[#This Row],[ID]], Table4[ID], Table4[Fruits], "Not Found", 0)</f>
        <v>44</v>
      </c>
      <c r="M1554" s="5">
        <f>_xlfn.XLOOKUP(CustomerCombined[[#This Row],[ID]], Table4[ID], Table4[Meats], "Not Found", 0)</f>
        <v>1034</v>
      </c>
      <c r="N1554" s="5">
        <f>_xlfn.XLOOKUP(CustomerCombined[[#This Row],[ID]], Table4[ID], Table4[Seafood], "Not Found", 0)</f>
        <v>208</v>
      </c>
      <c r="O1554" s="5">
        <f>_xlfn.XLOOKUP(CustomerCombined[[#This Row],[ID]], Table4[ID], Table4[Sweets], "Not Found", 0)</f>
        <v>91</v>
      </c>
      <c r="P1554" s="5">
        <f>_xlfn.XLOOKUP(CustomerCombined[[#This Row],[ID]], Table4[ID], Table4[Premium], "Not Found", 0)</f>
        <v>158</v>
      </c>
      <c r="Q1554" s="5">
        <f>_xlfn.XLOOKUP(CustomerCombined[[#This Row],[ID]], Table4[ID], Table4[Regular], "Not Found", 0)</f>
        <v>2159</v>
      </c>
      <c r="R1554" s="5">
        <f>_xlfn.XLOOKUP(CustomerCombined[[#This Row],[ID]], Table4[ID], Table4[Deals], "Not Found", 0)</f>
        <v>3</v>
      </c>
      <c r="S1554" s="5">
        <f>_xlfn.XLOOKUP(CustomerCombined[[#This Row],[ID]], Table4[ID], Table4[Website], "Not Found", 0)</f>
        <v>5</v>
      </c>
      <c r="T1554" s="5">
        <f>_xlfn.XLOOKUP(CustomerCombined[[#This Row],[ID]], Table4[ID], Table4[Catalog], "Not Found", 0)</f>
        <v>3</v>
      </c>
      <c r="U1554" s="5">
        <f>_xlfn.XLOOKUP(CustomerCombined[[#This Row],[ID]], Table4[ID], Table4[Store], "Not Found", 0)</f>
        <v>5</v>
      </c>
      <c r="V1554" s="5">
        <f>_xlfn.XLOOKUP(CustomerCombined[[#This Row],[ID]], Table4[ID], Table4[Visits], "Not Found", 0)</f>
        <v>4</v>
      </c>
      <c r="W1554" s="8">
        <f>_xlfn.XLOOKUP(CustomerCombined[[#This Row],[ID]], Table2[ID],Table2[Complaint], "Not Found", 0 )</f>
        <v>0</v>
      </c>
      <c r="X1554" s="8">
        <f>_xlfn.XLOOKUP(CustomerCombined[[#This Row],[ID]], Table2[ID],Table2[Pilot], "Not Found", 0 )</f>
        <v>0</v>
      </c>
      <c r="Y1554" s="8">
        <f>_xlfn.XLOOKUP(CustomerCombined[[#This Row],[ID]], Table2[ID],Table2[MC1], "Not Found", 0 )</f>
        <v>1</v>
      </c>
      <c r="Z1554" s="8">
        <f>_xlfn.XLOOKUP(CustomerCombined[[#This Row],[ID]], Table2[ID],Table2[MC2], "Not Found", 0 )</f>
        <v>0</v>
      </c>
      <c r="AA1554" s="8">
        <f>_xlfn.XLOOKUP(CustomerCombined[[#This Row],[ID]], Table2[ID],Table2[MC3], "Not Found", 0 )</f>
        <v>0</v>
      </c>
      <c r="AB1554" s="8">
        <f>_xlfn.XLOOKUP(CustomerCombined[[#This Row],[ID]], Table2[ID],Table2[MC4], "Not Found", 0 )</f>
        <v>0</v>
      </c>
      <c r="AC1554" s="8">
        <f>_xlfn.XLOOKUP(CustomerCombined[[#This Row],[ID]], Table2[ID],Table2[MC5], "Not Found", 0 )</f>
        <v>0</v>
      </c>
    </row>
    <row r="1555" spans="1:29" x14ac:dyDescent="0.3">
      <c r="A1555" s="6">
        <v>1479</v>
      </c>
      <c r="B1555" s="6">
        <v>159432</v>
      </c>
      <c r="C1555" s="6">
        <v>0</v>
      </c>
      <c r="D1555" s="6">
        <v>1</v>
      </c>
      <c r="E1555" s="6">
        <v>58</v>
      </c>
      <c r="F1555" s="5" t="s">
        <v>5</v>
      </c>
      <c r="G1555" s="5" t="s">
        <v>12</v>
      </c>
      <c r="H1555" s="3" t="s">
        <v>276</v>
      </c>
      <c r="I1555" s="5" t="s">
        <v>435</v>
      </c>
      <c r="J1555" s="5">
        <f>_xlfn.XLOOKUP(CustomerCombined[[#This Row],[ID]], Table4[ID], Table4[Recency], "Not Found", 0)</f>
        <v>88</v>
      </c>
      <c r="K1555" s="5">
        <f>_xlfn.XLOOKUP(CustomerCombined[[#This Row],[ID]], Table4[ID], Table4[Teas], "Not Found", 0)</f>
        <v>850</v>
      </c>
      <c r="L1555" s="5">
        <f>_xlfn.XLOOKUP(CustomerCombined[[#This Row],[ID]], Table4[ID], Table4[Fruits], "Not Found", 0)</f>
        <v>67</v>
      </c>
      <c r="M1555" s="5">
        <f>_xlfn.XLOOKUP(CustomerCombined[[#This Row],[ID]], Table4[ID], Table4[Meats], "Not Found", 0)</f>
        <v>711</v>
      </c>
      <c r="N1555" s="5">
        <f>_xlfn.XLOOKUP(CustomerCombined[[#This Row],[ID]], Table4[ID], Table4[Seafood], "Not Found", 0)</f>
        <v>67</v>
      </c>
      <c r="O1555" s="5">
        <f>_xlfn.XLOOKUP(CustomerCombined[[#This Row],[ID]], Table4[ID], Table4[Sweets], "Not Found", 0)</f>
        <v>51</v>
      </c>
      <c r="P1555" s="5">
        <f>_xlfn.XLOOKUP(CustomerCombined[[#This Row],[ID]], Table4[ID], Table4[Premium], "Not Found", 0)</f>
        <v>32</v>
      </c>
      <c r="Q1555" s="5">
        <f>_xlfn.XLOOKUP(CustomerCombined[[#This Row],[ID]], Table4[ID], Table4[Regular], "Not Found", 0)</f>
        <v>1714</v>
      </c>
      <c r="R1555" s="5">
        <f>_xlfn.XLOOKUP(CustomerCombined[[#This Row],[ID]], Table4[ID], Table4[Deals], "Not Found", 0)</f>
        <v>3</v>
      </c>
      <c r="S1555" s="5">
        <f>_xlfn.XLOOKUP(CustomerCombined[[#This Row],[ID]], Table4[ID], Table4[Website], "Not Found", 0)</f>
        <v>5</v>
      </c>
      <c r="T1555" s="5">
        <f>_xlfn.XLOOKUP(CustomerCombined[[#This Row],[ID]], Table4[ID], Table4[Catalog], "Not Found", 0)</f>
        <v>3</v>
      </c>
      <c r="U1555" s="5">
        <f>_xlfn.XLOOKUP(CustomerCombined[[#This Row],[ID]], Table4[ID], Table4[Store], "Not Found", 0)</f>
        <v>11</v>
      </c>
      <c r="V1555" s="5">
        <f>_xlfn.XLOOKUP(CustomerCombined[[#This Row],[ID]], Table4[ID], Table4[Visits], "Not Found", 0)</f>
        <v>5</v>
      </c>
      <c r="W1555" s="8">
        <f>_xlfn.XLOOKUP(CustomerCombined[[#This Row],[ID]], Table2[ID],Table2[Complaint], "Not Found", 0 )</f>
        <v>0</v>
      </c>
      <c r="X1555" s="8">
        <f>_xlfn.XLOOKUP(CustomerCombined[[#This Row],[ID]], Table2[ID],Table2[Pilot], "Not Found", 0 )</f>
        <v>0</v>
      </c>
      <c r="Y1555" s="8">
        <f>_xlfn.XLOOKUP(CustomerCombined[[#This Row],[ID]], Table2[ID],Table2[MC1], "Not Found", 0 )</f>
        <v>0</v>
      </c>
      <c r="Z1555" s="8">
        <f>_xlfn.XLOOKUP(CustomerCombined[[#This Row],[ID]], Table2[ID],Table2[MC2], "Not Found", 0 )</f>
        <v>0</v>
      </c>
      <c r="AA1555" s="8">
        <f>_xlfn.XLOOKUP(CustomerCombined[[#This Row],[ID]], Table2[ID],Table2[MC3], "Not Found", 0 )</f>
        <v>0</v>
      </c>
      <c r="AB1555" s="8">
        <f>_xlfn.XLOOKUP(CustomerCombined[[#This Row],[ID]], Table2[ID],Table2[MC4], "Not Found", 0 )</f>
        <v>0</v>
      </c>
      <c r="AC1555" s="8">
        <f>_xlfn.XLOOKUP(CustomerCombined[[#This Row],[ID]], Table2[ID],Table2[MC5], "Not Found", 0 )</f>
        <v>0</v>
      </c>
    </row>
    <row r="1556" spans="1:29" x14ac:dyDescent="0.3">
      <c r="A1556" s="6">
        <v>1653</v>
      </c>
      <c r="B1556" s="6">
        <v>159247</v>
      </c>
      <c r="C1556" s="6">
        <v>0</v>
      </c>
      <c r="D1556" s="6">
        <v>2</v>
      </c>
      <c r="E1556" s="6">
        <v>58</v>
      </c>
      <c r="F1556" s="5" t="s">
        <v>7</v>
      </c>
      <c r="G1556" s="5" t="s">
        <v>12</v>
      </c>
      <c r="H1556" s="3" t="s">
        <v>155</v>
      </c>
      <c r="I1556" s="5" t="s">
        <v>435</v>
      </c>
      <c r="J1556" s="5">
        <f>_xlfn.XLOOKUP(CustomerCombined[[#This Row],[ID]], Table4[ID], Table4[Recency], "Not Found", 0)</f>
        <v>87</v>
      </c>
      <c r="K1556" s="5">
        <f>_xlfn.XLOOKUP(CustomerCombined[[#This Row],[ID]], Table4[ID], Table4[Teas], "Not Found", 0)</f>
        <v>879</v>
      </c>
      <c r="L1556" s="5">
        <f>_xlfn.XLOOKUP(CustomerCombined[[#This Row],[ID]], Table4[ID], Table4[Fruits], "Not Found", 0)</f>
        <v>24</v>
      </c>
      <c r="M1556" s="5">
        <f>_xlfn.XLOOKUP(CustomerCombined[[#This Row],[ID]], Table4[ID], Table4[Meats], "Not Found", 0)</f>
        <v>328</v>
      </c>
      <c r="N1556" s="5">
        <f>_xlfn.XLOOKUP(CustomerCombined[[#This Row],[ID]], Table4[ID], Table4[Seafood], "Not Found", 0)</f>
        <v>51</v>
      </c>
      <c r="O1556" s="5">
        <f>_xlfn.XLOOKUP(CustomerCombined[[#This Row],[ID]], Table4[ID], Table4[Sweets], "Not Found", 0)</f>
        <v>38</v>
      </c>
      <c r="P1556" s="5">
        <f>_xlfn.XLOOKUP(CustomerCombined[[#This Row],[ID]], Table4[ID], Table4[Premium], "Not Found", 0)</f>
        <v>223</v>
      </c>
      <c r="Q1556" s="5">
        <f>_xlfn.XLOOKUP(CustomerCombined[[#This Row],[ID]], Table4[ID], Table4[Regular], "Not Found", 0)</f>
        <v>1097</v>
      </c>
      <c r="R1556" s="5">
        <f>_xlfn.XLOOKUP(CustomerCombined[[#This Row],[ID]], Table4[ID], Table4[Deals], "Not Found", 0)</f>
        <v>5</v>
      </c>
      <c r="S1556" s="5">
        <f>_xlfn.XLOOKUP(CustomerCombined[[#This Row],[ID]], Table4[ID], Table4[Website], "Not Found", 0)</f>
        <v>5</v>
      </c>
      <c r="T1556" s="5">
        <f>_xlfn.XLOOKUP(CustomerCombined[[#This Row],[ID]], Table4[ID], Table4[Catalog], "Not Found", 0)</f>
        <v>2</v>
      </c>
      <c r="U1556" s="5">
        <f>_xlfn.XLOOKUP(CustomerCombined[[#This Row],[ID]], Table4[ID], Table4[Store], "Not Found", 0)</f>
        <v>9</v>
      </c>
      <c r="V1556" s="5">
        <f>_xlfn.XLOOKUP(CustomerCombined[[#This Row],[ID]], Table4[ID], Table4[Visits], "Not Found", 0)</f>
        <v>6</v>
      </c>
      <c r="W1556" s="8">
        <f>_xlfn.XLOOKUP(CustomerCombined[[#This Row],[ID]], Table2[ID],Table2[Complaint], "Not Found", 0 )</f>
        <v>0</v>
      </c>
      <c r="X1556" s="8">
        <f>_xlfn.XLOOKUP(CustomerCombined[[#This Row],[ID]], Table2[ID],Table2[Pilot], "Not Found", 0 )</f>
        <v>0</v>
      </c>
      <c r="Y1556" s="8">
        <f>_xlfn.XLOOKUP(CustomerCombined[[#This Row],[ID]], Table2[ID],Table2[MC1], "Not Found", 0 )</f>
        <v>0</v>
      </c>
      <c r="Z1556" s="8">
        <f>_xlfn.XLOOKUP(CustomerCombined[[#This Row],[ID]], Table2[ID],Table2[MC2], "Not Found", 0 )</f>
        <v>0</v>
      </c>
      <c r="AA1556" s="8">
        <f>_xlfn.XLOOKUP(CustomerCombined[[#This Row],[ID]], Table2[ID],Table2[MC3], "Not Found", 0 )</f>
        <v>0</v>
      </c>
      <c r="AB1556" s="8">
        <f>_xlfn.XLOOKUP(CustomerCombined[[#This Row],[ID]], Table2[ID],Table2[MC4], "Not Found", 0 )</f>
        <v>0</v>
      </c>
      <c r="AC1556" s="8">
        <f>_xlfn.XLOOKUP(CustomerCombined[[#This Row],[ID]], Table2[ID],Table2[MC5], "Not Found", 0 )</f>
        <v>0</v>
      </c>
    </row>
    <row r="1557" spans="1:29" x14ac:dyDescent="0.3">
      <c r="A1557" s="6">
        <v>2958</v>
      </c>
      <c r="B1557" s="6">
        <v>158646</v>
      </c>
      <c r="C1557" s="6">
        <v>0</v>
      </c>
      <c r="D1557" s="6">
        <v>1</v>
      </c>
      <c r="E1557" s="6">
        <v>58</v>
      </c>
      <c r="F1557" s="5" t="s">
        <v>6</v>
      </c>
      <c r="G1557" s="5" t="s">
        <v>12</v>
      </c>
      <c r="H1557" s="3" t="s">
        <v>242</v>
      </c>
      <c r="I1557" s="5" t="s">
        <v>436</v>
      </c>
      <c r="J1557" s="5">
        <f>_xlfn.XLOOKUP(CustomerCombined[[#This Row],[ID]], Table4[ID], Table4[Recency], "Not Found", 0)</f>
        <v>3</v>
      </c>
      <c r="K1557" s="5">
        <f>_xlfn.XLOOKUP(CustomerCombined[[#This Row],[ID]], Table4[ID], Table4[Teas], "Not Found", 0)</f>
        <v>168</v>
      </c>
      <c r="L1557" s="5">
        <f>_xlfn.XLOOKUP(CustomerCombined[[#This Row],[ID]], Table4[ID], Table4[Fruits], "Not Found", 0)</f>
        <v>3</v>
      </c>
      <c r="M1557" s="5">
        <f>_xlfn.XLOOKUP(CustomerCombined[[#This Row],[ID]], Table4[ID], Table4[Meats], "Not Found", 0)</f>
        <v>119</v>
      </c>
      <c r="N1557" s="5">
        <f>_xlfn.XLOOKUP(CustomerCombined[[#This Row],[ID]], Table4[ID], Table4[Seafood], "Not Found", 0)</f>
        <v>16</v>
      </c>
      <c r="O1557" s="5">
        <f>_xlfn.XLOOKUP(CustomerCombined[[#This Row],[ID]], Table4[ID], Table4[Sweets], "Not Found", 0)</f>
        <v>14</v>
      </c>
      <c r="P1557" s="5">
        <f>_xlfn.XLOOKUP(CustomerCombined[[#This Row],[ID]], Table4[ID], Table4[Premium], "Not Found", 0)</f>
        <v>60</v>
      </c>
      <c r="Q1557" s="5">
        <f>_xlfn.XLOOKUP(CustomerCombined[[#This Row],[ID]], Table4[ID], Table4[Regular], "Not Found", 0)</f>
        <v>260</v>
      </c>
      <c r="R1557" s="5">
        <f>_xlfn.XLOOKUP(CustomerCombined[[#This Row],[ID]], Table4[ID], Table4[Deals], "Not Found", 0)</f>
        <v>1</v>
      </c>
      <c r="S1557" s="5">
        <f>_xlfn.XLOOKUP(CustomerCombined[[#This Row],[ID]], Table4[ID], Table4[Website], "Not Found", 0)</f>
        <v>2</v>
      </c>
      <c r="T1557" s="5">
        <f>_xlfn.XLOOKUP(CustomerCombined[[#This Row],[ID]], Table4[ID], Table4[Catalog], "Not Found", 0)</f>
        <v>1</v>
      </c>
      <c r="U1557" s="5">
        <f>_xlfn.XLOOKUP(CustomerCombined[[#This Row],[ID]], Table4[ID], Table4[Store], "Not Found", 0)</f>
        <v>4</v>
      </c>
      <c r="V1557" s="5">
        <f>_xlfn.XLOOKUP(CustomerCombined[[#This Row],[ID]], Table4[ID], Table4[Visits], "Not Found", 0)</f>
        <v>4</v>
      </c>
      <c r="W1557" s="8">
        <f>_xlfn.XLOOKUP(CustomerCombined[[#This Row],[ID]], Table2[ID],Table2[Complaint], "Not Found", 0 )</f>
        <v>0</v>
      </c>
      <c r="X1557" s="8">
        <f>_xlfn.XLOOKUP(CustomerCombined[[#This Row],[ID]], Table2[ID],Table2[Pilot], "Not Found", 0 )</f>
        <v>0</v>
      </c>
      <c r="Y1557" s="8">
        <f>_xlfn.XLOOKUP(CustomerCombined[[#This Row],[ID]], Table2[ID],Table2[MC1], "Not Found", 0 )</f>
        <v>0</v>
      </c>
      <c r="Z1557" s="8">
        <f>_xlfn.XLOOKUP(CustomerCombined[[#This Row],[ID]], Table2[ID],Table2[MC2], "Not Found", 0 )</f>
        <v>0</v>
      </c>
      <c r="AA1557" s="8">
        <f>_xlfn.XLOOKUP(CustomerCombined[[#This Row],[ID]], Table2[ID],Table2[MC3], "Not Found", 0 )</f>
        <v>0</v>
      </c>
      <c r="AB1557" s="8">
        <f>_xlfn.XLOOKUP(CustomerCombined[[#This Row],[ID]], Table2[ID],Table2[MC4], "Not Found", 0 )</f>
        <v>0</v>
      </c>
      <c r="AC1557" s="8">
        <f>_xlfn.XLOOKUP(CustomerCombined[[#This Row],[ID]], Table2[ID],Table2[MC5], "Not Found", 0 )</f>
        <v>0</v>
      </c>
    </row>
    <row r="1558" spans="1:29" x14ac:dyDescent="0.3">
      <c r="A1558" s="6">
        <v>3075</v>
      </c>
      <c r="B1558" s="6">
        <v>158646</v>
      </c>
      <c r="C1558" s="6">
        <v>0</v>
      </c>
      <c r="D1558" s="6">
        <v>1</v>
      </c>
      <c r="E1558" s="6">
        <v>58</v>
      </c>
      <c r="F1558" s="5" t="s">
        <v>6</v>
      </c>
      <c r="G1558" s="5" t="s">
        <v>12</v>
      </c>
      <c r="H1558" s="3" t="s">
        <v>242</v>
      </c>
      <c r="I1558" s="5" t="s">
        <v>435</v>
      </c>
      <c r="J1558" s="5">
        <f>_xlfn.XLOOKUP(CustomerCombined[[#This Row],[ID]], Table4[ID], Table4[Recency], "Not Found", 0)</f>
        <v>3</v>
      </c>
      <c r="K1558" s="5">
        <f>_xlfn.XLOOKUP(CustomerCombined[[#This Row],[ID]], Table4[ID], Table4[Teas], "Not Found", 0)</f>
        <v>168</v>
      </c>
      <c r="L1558" s="5">
        <f>_xlfn.XLOOKUP(CustomerCombined[[#This Row],[ID]], Table4[ID], Table4[Fruits], "Not Found", 0)</f>
        <v>3</v>
      </c>
      <c r="M1558" s="5">
        <f>_xlfn.XLOOKUP(CustomerCombined[[#This Row],[ID]], Table4[ID], Table4[Meats], "Not Found", 0)</f>
        <v>119</v>
      </c>
      <c r="N1558" s="5">
        <f>_xlfn.XLOOKUP(CustomerCombined[[#This Row],[ID]], Table4[ID], Table4[Seafood], "Not Found", 0)</f>
        <v>16</v>
      </c>
      <c r="O1558" s="5">
        <f>_xlfn.XLOOKUP(CustomerCombined[[#This Row],[ID]], Table4[ID], Table4[Sweets], "Not Found", 0)</f>
        <v>14</v>
      </c>
      <c r="P1558" s="5">
        <f>_xlfn.XLOOKUP(CustomerCombined[[#This Row],[ID]], Table4[ID], Table4[Premium], "Not Found", 0)</f>
        <v>60</v>
      </c>
      <c r="Q1558" s="5">
        <f>_xlfn.XLOOKUP(CustomerCombined[[#This Row],[ID]], Table4[ID], Table4[Regular], "Not Found", 0)</f>
        <v>260</v>
      </c>
      <c r="R1558" s="5">
        <f>_xlfn.XLOOKUP(CustomerCombined[[#This Row],[ID]], Table4[ID], Table4[Deals], "Not Found", 0)</f>
        <v>1</v>
      </c>
      <c r="S1558" s="5">
        <f>_xlfn.XLOOKUP(CustomerCombined[[#This Row],[ID]], Table4[ID], Table4[Website], "Not Found", 0)</f>
        <v>2</v>
      </c>
      <c r="T1558" s="5">
        <f>_xlfn.XLOOKUP(CustomerCombined[[#This Row],[ID]], Table4[ID], Table4[Catalog], "Not Found", 0)</f>
        <v>1</v>
      </c>
      <c r="U1558" s="5">
        <f>_xlfn.XLOOKUP(CustomerCombined[[#This Row],[ID]], Table4[ID], Table4[Store], "Not Found", 0)</f>
        <v>4</v>
      </c>
      <c r="V1558" s="5">
        <f>_xlfn.XLOOKUP(CustomerCombined[[#This Row],[ID]], Table4[ID], Table4[Visits], "Not Found", 0)</f>
        <v>4</v>
      </c>
      <c r="W1558" s="8">
        <f>_xlfn.XLOOKUP(CustomerCombined[[#This Row],[ID]], Table2[ID],Table2[Complaint], "Not Found", 0 )</f>
        <v>0</v>
      </c>
      <c r="X1558" s="8">
        <f>_xlfn.XLOOKUP(CustomerCombined[[#This Row],[ID]], Table2[ID],Table2[Pilot], "Not Found", 0 )</f>
        <v>0</v>
      </c>
      <c r="Y1558" s="8">
        <f>_xlfn.XLOOKUP(CustomerCombined[[#This Row],[ID]], Table2[ID],Table2[MC1], "Not Found", 0 )</f>
        <v>0</v>
      </c>
      <c r="Z1558" s="8">
        <f>_xlfn.XLOOKUP(CustomerCombined[[#This Row],[ID]], Table2[ID],Table2[MC2], "Not Found", 0 )</f>
        <v>0</v>
      </c>
      <c r="AA1558" s="8">
        <f>_xlfn.XLOOKUP(CustomerCombined[[#This Row],[ID]], Table2[ID],Table2[MC3], "Not Found", 0 )</f>
        <v>0</v>
      </c>
      <c r="AB1558" s="8">
        <f>_xlfn.XLOOKUP(CustomerCombined[[#This Row],[ID]], Table2[ID],Table2[MC4], "Not Found", 0 )</f>
        <v>0</v>
      </c>
      <c r="AC1558" s="8">
        <f>_xlfn.XLOOKUP(CustomerCombined[[#This Row],[ID]], Table2[ID],Table2[MC5], "Not Found", 0 )</f>
        <v>0</v>
      </c>
    </row>
    <row r="1559" spans="1:29" x14ac:dyDescent="0.3">
      <c r="A1559" s="6">
        <v>3210</v>
      </c>
      <c r="B1559" s="6">
        <v>158424</v>
      </c>
      <c r="C1559" s="6">
        <v>0</v>
      </c>
      <c r="D1559" s="6">
        <v>1</v>
      </c>
      <c r="E1559" s="6">
        <v>58</v>
      </c>
      <c r="F1559" s="5" t="s">
        <v>7</v>
      </c>
      <c r="G1559" s="5" t="s">
        <v>11</v>
      </c>
      <c r="H1559" s="3">
        <v>43685</v>
      </c>
      <c r="I1559" s="5" t="s">
        <v>436</v>
      </c>
      <c r="J1559" s="5">
        <f>_xlfn.XLOOKUP(CustomerCombined[[#This Row],[ID]], Table4[ID], Table4[Recency], "Not Found", 0)</f>
        <v>39</v>
      </c>
      <c r="K1559" s="5">
        <f>_xlfn.XLOOKUP(CustomerCombined[[#This Row],[ID]], Table4[ID], Table4[Teas], "Not Found", 0)</f>
        <v>-621</v>
      </c>
      <c r="L1559" s="5">
        <f>_xlfn.XLOOKUP(CustomerCombined[[#This Row],[ID]], Table4[ID], Table4[Fruits], "Not Found", 0)</f>
        <v>19</v>
      </c>
      <c r="M1559" s="5">
        <f>_xlfn.XLOOKUP(CustomerCombined[[#This Row],[ID]], Table4[ID], Table4[Meats], "Not Found", 0)</f>
        <v>371</v>
      </c>
      <c r="N1559" s="5">
        <f>_xlfn.XLOOKUP(CustomerCombined[[#This Row],[ID]], Table4[ID], Table4[Seafood], "Not Found", 0)</f>
        <v>11</v>
      </c>
      <c r="O1559" s="5">
        <f>_xlfn.XLOOKUP(CustomerCombined[[#This Row],[ID]], Table4[ID], Table4[Sweets], "Not Found", 0)</f>
        <v>0</v>
      </c>
      <c r="P1559" s="5">
        <f>_xlfn.XLOOKUP(CustomerCombined[[#This Row],[ID]], Table4[ID], Table4[Premium], "Not Found", 0)</f>
        <v>247</v>
      </c>
      <c r="Q1559" s="5">
        <f>_xlfn.XLOOKUP(CustomerCombined[[#This Row],[ID]], Table4[ID], Table4[Regular], "Not Found", 0)</f>
        <v>776</v>
      </c>
      <c r="R1559" s="5">
        <f>_xlfn.XLOOKUP(CustomerCombined[[#This Row],[ID]], Table4[ID], Table4[Deals], "Not Found", 0)</f>
        <v>5</v>
      </c>
      <c r="S1559" s="5">
        <f>_xlfn.XLOOKUP(CustomerCombined[[#This Row],[ID]], Table4[ID], Table4[Website], "Not Found", 0)</f>
        <v>4</v>
      </c>
      <c r="T1559" s="5">
        <f>_xlfn.XLOOKUP(CustomerCombined[[#This Row],[ID]], Table4[ID], Table4[Catalog], "Not Found", 0)</f>
        <v>2</v>
      </c>
      <c r="U1559" s="5">
        <f>_xlfn.XLOOKUP(CustomerCombined[[#This Row],[ID]], Table4[ID], Table4[Store], "Not Found", 0)</f>
        <v>8</v>
      </c>
      <c r="V1559" s="5">
        <f>_xlfn.XLOOKUP(CustomerCombined[[#This Row],[ID]], Table4[ID], Table4[Visits], "Not Found", 0)</f>
        <v>5</v>
      </c>
      <c r="W1559" s="8">
        <f>_xlfn.XLOOKUP(CustomerCombined[[#This Row],[ID]], Table2[ID],Table2[Complaint], "Not Found", 0 )</f>
        <v>0</v>
      </c>
      <c r="X1559" s="8">
        <f>_xlfn.XLOOKUP(CustomerCombined[[#This Row],[ID]], Table2[ID],Table2[Pilot], "Not Found", 0 )</f>
        <v>0</v>
      </c>
      <c r="Y1559" s="8">
        <f>_xlfn.XLOOKUP(CustomerCombined[[#This Row],[ID]], Table2[ID],Table2[MC1], "Not Found", 0 )</f>
        <v>0</v>
      </c>
      <c r="Z1559" s="8">
        <f>_xlfn.XLOOKUP(CustomerCombined[[#This Row],[ID]], Table2[ID],Table2[MC2], "Not Found", 0 )</f>
        <v>0</v>
      </c>
      <c r="AA1559" s="8">
        <f>_xlfn.XLOOKUP(CustomerCombined[[#This Row],[ID]], Table2[ID],Table2[MC3], "Not Found", 0 )</f>
        <v>0</v>
      </c>
      <c r="AB1559" s="8">
        <f>_xlfn.XLOOKUP(CustomerCombined[[#This Row],[ID]], Table2[ID],Table2[MC4], "Not Found", 0 )</f>
        <v>0</v>
      </c>
      <c r="AC1559" s="8">
        <f>_xlfn.XLOOKUP(CustomerCombined[[#This Row],[ID]], Table2[ID],Table2[MC5], "Not Found", 0 )</f>
        <v>0</v>
      </c>
    </row>
    <row r="1560" spans="1:29" x14ac:dyDescent="0.3">
      <c r="A1560" s="6">
        <v>3195</v>
      </c>
      <c r="B1560" s="6">
        <v>157967</v>
      </c>
      <c r="C1560" s="6">
        <v>0</v>
      </c>
      <c r="D1560" s="6">
        <v>1</v>
      </c>
      <c r="E1560" s="6">
        <v>58</v>
      </c>
      <c r="F1560" s="5" t="s">
        <v>7</v>
      </c>
      <c r="G1560" s="5" t="s">
        <v>11</v>
      </c>
      <c r="H1560" s="3">
        <v>43685</v>
      </c>
      <c r="I1560" s="5" t="s">
        <v>435</v>
      </c>
      <c r="J1560" s="5">
        <f>_xlfn.XLOOKUP(CustomerCombined[[#This Row],[ID]], Table4[ID], Table4[Recency], "Not Found", 0)</f>
        <v>39</v>
      </c>
      <c r="K1560" s="5">
        <f>_xlfn.XLOOKUP(CustomerCombined[[#This Row],[ID]], Table4[ID], Table4[Teas], "Not Found", 0)</f>
        <v>624</v>
      </c>
      <c r="L1560" s="5">
        <f>_xlfn.XLOOKUP(CustomerCombined[[#This Row],[ID]], Table4[ID], Table4[Fruits], "Not Found", 0)</f>
        <v>19</v>
      </c>
      <c r="M1560" s="5">
        <f>_xlfn.XLOOKUP(CustomerCombined[[#This Row],[ID]], Table4[ID], Table4[Meats], "Not Found", 0)</f>
        <v>373</v>
      </c>
      <c r="N1560" s="5">
        <f>_xlfn.XLOOKUP(CustomerCombined[[#This Row],[ID]], Table4[ID], Table4[Seafood], "Not Found", 0)</f>
        <v>11</v>
      </c>
      <c r="O1560" s="5">
        <f>_xlfn.XLOOKUP(CustomerCombined[[#This Row],[ID]], Table4[ID], Table4[Sweets], "Not Found", 0)</f>
        <v>0</v>
      </c>
      <c r="P1560" s="5">
        <f>_xlfn.XLOOKUP(CustomerCombined[[#This Row],[ID]], Table4[ID], Table4[Premium], "Not Found", 0)</f>
        <v>248</v>
      </c>
      <c r="Q1560" s="5">
        <f>_xlfn.XLOOKUP(CustomerCombined[[#This Row],[ID]], Table4[ID], Table4[Regular], "Not Found", 0)</f>
        <v>779</v>
      </c>
      <c r="R1560" s="5">
        <f>_xlfn.XLOOKUP(CustomerCombined[[#This Row],[ID]], Table4[ID], Table4[Deals], "Not Found", 0)</f>
        <v>5</v>
      </c>
      <c r="S1560" s="5">
        <f>_xlfn.XLOOKUP(CustomerCombined[[#This Row],[ID]], Table4[ID], Table4[Website], "Not Found", 0)</f>
        <v>4</v>
      </c>
      <c r="T1560" s="5">
        <f>_xlfn.XLOOKUP(CustomerCombined[[#This Row],[ID]], Table4[ID], Table4[Catalog], "Not Found", 0)</f>
        <v>2</v>
      </c>
      <c r="U1560" s="5">
        <f>_xlfn.XLOOKUP(CustomerCombined[[#This Row],[ID]], Table4[ID], Table4[Store], "Not Found", 0)</f>
        <v>8</v>
      </c>
      <c r="V1560" s="5">
        <f>_xlfn.XLOOKUP(CustomerCombined[[#This Row],[ID]], Table4[ID], Table4[Visits], "Not Found", 0)</f>
        <v>5</v>
      </c>
      <c r="W1560" s="8">
        <f>_xlfn.XLOOKUP(CustomerCombined[[#This Row],[ID]], Table2[ID],Table2[Complaint], "Not Found", 0 )</f>
        <v>0</v>
      </c>
      <c r="X1560" s="8">
        <f>_xlfn.XLOOKUP(CustomerCombined[[#This Row],[ID]], Table2[ID],Table2[Pilot], "Not Found", 0 )</f>
        <v>0</v>
      </c>
      <c r="Y1560" s="8">
        <f>_xlfn.XLOOKUP(CustomerCombined[[#This Row],[ID]], Table2[ID],Table2[MC1], "Not Found", 0 )</f>
        <v>0</v>
      </c>
      <c r="Z1560" s="8">
        <f>_xlfn.XLOOKUP(CustomerCombined[[#This Row],[ID]], Table2[ID],Table2[MC2], "Not Found", 0 )</f>
        <v>0</v>
      </c>
      <c r="AA1560" s="8">
        <f>_xlfn.XLOOKUP(CustomerCombined[[#This Row],[ID]], Table2[ID],Table2[MC3], "Not Found", 0 )</f>
        <v>0</v>
      </c>
      <c r="AB1560" s="8">
        <f>_xlfn.XLOOKUP(CustomerCombined[[#This Row],[ID]], Table2[ID],Table2[MC4], "Not Found", 0 )</f>
        <v>0</v>
      </c>
      <c r="AC1560" s="8">
        <f>_xlfn.XLOOKUP(CustomerCombined[[#This Row],[ID]], Table2[ID],Table2[MC5], "Not Found", 0 )</f>
        <v>0</v>
      </c>
    </row>
    <row r="1561" spans="1:29" x14ac:dyDescent="0.3">
      <c r="A1561" s="6">
        <v>1620</v>
      </c>
      <c r="B1561" s="6">
        <v>156181</v>
      </c>
      <c r="C1561" s="6">
        <v>0</v>
      </c>
      <c r="D1561" s="6">
        <v>1</v>
      </c>
      <c r="E1561" s="6">
        <v>58</v>
      </c>
      <c r="F1561" s="5" t="s">
        <v>6</v>
      </c>
      <c r="G1561" s="5" t="s">
        <v>11</v>
      </c>
      <c r="H1561" s="3" t="s">
        <v>332</v>
      </c>
      <c r="I1561" s="5" t="s">
        <v>436</v>
      </c>
      <c r="J1561" s="5">
        <f>_xlfn.XLOOKUP(CustomerCombined[[#This Row],[ID]], Table4[ID], Table4[Recency], "Not Found", 0)</f>
        <v>6</v>
      </c>
      <c r="K1561" s="5">
        <f>_xlfn.XLOOKUP(CustomerCombined[[#This Row],[ID]], Table4[ID], Table4[Teas], "Not Found", 0)</f>
        <v>336</v>
      </c>
      <c r="L1561" s="5">
        <f>_xlfn.XLOOKUP(CustomerCombined[[#This Row],[ID]], Table4[ID], Table4[Fruits], "Not Found", 0)</f>
        <v>286</v>
      </c>
      <c r="M1561" s="5">
        <f>_xlfn.XLOOKUP(CustomerCombined[[#This Row],[ID]], Table4[ID], Table4[Meats], "Not Found", 0)</f>
        <v>192</v>
      </c>
      <c r="N1561" s="5">
        <f>_xlfn.XLOOKUP(CustomerCombined[[#This Row],[ID]], Table4[ID], Table4[Seafood], "Not Found", 0)</f>
        <v>22</v>
      </c>
      <c r="O1561" s="5">
        <f>_xlfn.XLOOKUP(CustomerCombined[[#This Row],[ID]], Table4[ID], Table4[Sweets], "Not Found", 0)</f>
        <v>122</v>
      </c>
      <c r="P1561" s="5">
        <f>_xlfn.XLOOKUP(CustomerCombined[[#This Row],[ID]], Table4[ID], Table4[Premium], "Not Found", 0)</f>
        <v>133</v>
      </c>
      <c r="Q1561" s="5">
        <f>_xlfn.XLOOKUP(CustomerCombined[[#This Row],[ID]], Table4[ID], Table4[Regular], "Not Found", 0)</f>
        <v>826</v>
      </c>
      <c r="R1561" s="5">
        <f>_xlfn.XLOOKUP(CustomerCombined[[#This Row],[ID]], Table4[ID], Table4[Deals], "Not Found", 0)</f>
        <v>1</v>
      </c>
      <c r="S1561" s="5">
        <f>_xlfn.XLOOKUP(CustomerCombined[[#This Row],[ID]], Table4[ID], Table4[Website], "Not Found", 0)</f>
        <v>4</v>
      </c>
      <c r="T1561" s="5">
        <f>_xlfn.XLOOKUP(CustomerCombined[[#This Row],[ID]], Table4[ID], Table4[Catalog], "Not Found", 0)</f>
        <v>2</v>
      </c>
      <c r="U1561" s="5">
        <f>_xlfn.XLOOKUP(CustomerCombined[[#This Row],[ID]], Table4[ID], Table4[Store], "Not Found", 0)</f>
        <v>7</v>
      </c>
      <c r="V1561" s="5">
        <f>_xlfn.XLOOKUP(CustomerCombined[[#This Row],[ID]], Table4[ID], Table4[Visits], "Not Found", 0)</f>
        <v>4</v>
      </c>
      <c r="W1561" s="8">
        <f>_xlfn.XLOOKUP(CustomerCombined[[#This Row],[ID]], Table2[ID],Table2[Complaint], "Not Found", 0 )</f>
        <v>0</v>
      </c>
      <c r="X1561" s="8">
        <f>_xlfn.XLOOKUP(CustomerCombined[[#This Row],[ID]], Table2[ID],Table2[Pilot], "Not Found", 0 )</f>
        <v>0</v>
      </c>
      <c r="Y1561" s="8">
        <f>_xlfn.XLOOKUP(CustomerCombined[[#This Row],[ID]], Table2[ID],Table2[MC1], "Not Found", 0 )</f>
        <v>0</v>
      </c>
      <c r="Z1561" s="8">
        <f>_xlfn.XLOOKUP(CustomerCombined[[#This Row],[ID]], Table2[ID],Table2[MC2], "Not Found", 0 )</f>
        <v>0</v>
      </c>
      <c r="AA1561" s="8">
        <f>_xlfn.XLOOKUP(CustomerCombined[[#This Row],[ID]], Table2[ID],Table2[MC3], "Not Found", 0 )</f>
        <v>0</v>
      </c>
      <c r="AB1561" s="8">
        <f>_xlfn.XLOOKUP(CustomerCombined[[#This Row],[ID]], Table2[ID],Table2[MC4], "Not Found", 0 )</f>
        <v>0</v>
      </c>
      <c r="AC1561" s="8">
        <f>_xlfn.XLOOKUP(CustomerCombined[[#This Row],[ID]], Table2[ID],Table2[MC5], "Not Found", 0 )</f>
        <v>0</v>
      </c>
    </row>
    <row r="1562" spans="1:29" x14ac:dyDescent="0.3">
      <c r="A1562" s="6">
        <v>1922</v>
      </c>
      <c r="B1562" s="6">
        <v>156067</v>
      </c>
      <c r="C1562" s="6">
        <v>0</v>
      </c>
      <c r="D1562" s="6">
        <v>1</v>
      </c>
      <c r="E1562" s="6">
        <v>58</v>
      </c>
      <c r="F1562" s="5" t="s">
        <v>8</v>
      </c>
      <c r="G1562" s="5" t="s">
        <v>13</v>
      </c>
      <c r="H1562" s="3" t="s">
        <v>216</v>
      </c>
      <c r="I1562" s="5" t="s">
        <v>438</v>
      </c>
      <c r="J1562" s="5">
        <f>_xlfn.XLOOKUP(CustomerCombined[[#This Row],[ID]], Table4[ID], Table4[Recency], "Not Found", 0)</f>
        <v>51</v>
      </c>
      <c r="K1562" s="5">
        <f>_xlfn.XLOOKUP(CustomerCombined[[#This Row],[ID]], Table4[ID], Table4[Teas], "Not Found", 0)</f>
        <v>1439</v>
      </c>
      <c r="L1562" s="5">
        <f>_xlfn.XLOOKUP(CustomerCombined[[#This Row],[ID]], Table4[ID], Table4[Fruits], "Not Found", 0)</f>
        <v>33</v>
      </c>
      <c r="M1562" s="5">
        <f>_xlfn.XLOOKUP(CustomerCombined[[#This Row],[ID]], Table4[ID], Table4[Meats], "Not Found", 0)</f>
        <v>150</v>
      </c>
      <c r="N1562" s="5">
        <f>_xlfn.XLOOKUP(CustomerCombined[[#This Row],[ID]], Table4[ID], Table4[Seafood], "Not Found", 0)</f>
        <v>45</v>
      </c>
      <c r="O1562" s="5">
        <f>_xlfn.XLOOKUP(CustomerCombined[[#This Row],[ID]], Table4[ID], Table4[Sweets], "Not Found", 0)</f>
        <v>17</v>
      </c>
      <c r="P1562" s="5">
        <f>_xlfn.XLOOKUP(CustomerCombined[[#This Row],[ID]], Table4[ID], Table4[Premium], "Not Found", 0)</f>
        <v>334</v>
      </c>
      <c r="Q1562" s="5">
        <f>_xlfn.XLOOKUP(CustomerCombined[[#This Row],[ID]], Table4[ID], Table4[Regular], "Not Found", 0)</f>
        <v>1350</v>
      </c>
      <c r="R1562" s="5">
        <f>_xlfn.XLOOKUP(CustomerCombined[[#This Row],[ID]], Table4[ID], Table4[Deals], "Not Found", 0)</f>
        <v>2</v>
      </c>
      <c r="S1562" s="5">
        <f>_xlfn.XLOOKUP(CustomerCombined[[#This Row],[ID]], Table4[ID], Table4[Website], "Not Found", 0)</f>
        <v>7</v>
      </c>
      <c r="T1562" s="5">
        <f>_xlfn.XLOOKUP(CustomerCombined[[#This Row],[ID]], Table4[ID], Table4[Catalog], "Not Found", 0)</f>
        <v>4</v>
      </c>
      <c r="U1562" s="5">
        <f>_xlfn.XLOOKUP(CustomerCombined[[#This Row],[ID]], Table4[ID], Table4[Store], "Not Found", 0)</f>
        <v>7</v>
      </c>
      <c r="V1562" s="5">
        <f>_xlfn.XLOOKUP(CustomerCombined[[#This Row],[ID]], Table4[ID], Table4[Visits], "Not Found", 0)</f>
        <v>5</v>
      </c>
      <c r="W1562" s="8">
        <f>_xlfn.XLOOKUP(CustomerCombined[[#This Row],[ID]], Table2[ID],Table2[Complaint], "Not Found", 0 )</f>
        <v>0</v>
      </c>
      <c r="X1562" s="8">
        <f>_xlfn.XLOOKUP(CustomerCombined[[#This Row],[ID]], Table2[ID],Table2[Pilot], "Not Found", 0 )</f>
        <v>0</v>
      </c>
      <c r="Y1562" s="8">
        <f>_xlfn.XLOOKUP(CustomerCombined[[#This Row],[ID]], Table2[ID],Table2[MC1], "Not Found", 0 )</f>
        <v>0</v>
      </c>
      <c r="Z1562" s="8">
        <f>_xlfn.XLOOKUP(CustomerCombined[[#This Row],[ID]], Table2[ID],Table2[MC2], "Not Found", 0 )</f>
        <v>0</v>
      </c>
      <c r="AA1562" s="8">
        <f>_xlfn.XLOOKUP(CustomerCombined[[#This Row],[ID]], Table2[ID],Table2[MC3], "Not Found", 0 )</f>
        <v>0</v>
      </c>
      <c r="AB1562" s="8">
        <f>_xlfn.XLOOKUP(CustomerCombined[[#This Row],[ID]], Table2[ID],Table2[MC4], "Not Found", 0 )</f>
        <v>0</v>
      </c>
      <c r="AC1562" s="8">
        <f>_xlfn.XLOOKUP(CustomerCombined[[#This Row],[ID]], Table2[ID],Table2[MC5], "Not Found", 0 )</f>
        <v>0</v>
      </c>
    </row>
    <row r="1563" spans="1:29" x14ac:dyDescent="0.3">
      <c r="A1563" s="6">
        <v>2492</v>
      </c>
      <c r="B1563" s="6">
        <v>155759</v>
      </c>
      <c r="C1563" s="6">
        <v>0</v>
      </c>
      <c r="D1563" s="6">
        <v>1</v>
      </c>
      <c r="E1563" s="6">
        <v>58</v>
      </c>
      <c r="F1563" s="5" t="s">
        <v>6</v>
      </c>
      <c r="G1563" s="5" t="s">
        <v>11</v>
      </c>
      <c r="H1563" s="3">
        <v>43590</v>
      </c>
      <c r="I1563" s="5" t="s">
        <v>438</v>
      </c>
      <c r="J1563" s="5">
        <f>_xlfn.XLOOKUP(CustomerCombined[[#This Row],[ID]], Table4[ID], Table4[Recency], "Not Found", 0)</f>
        <v>84</v>
      </c>
      <c r="K1563" s="5">
        <f>_xlfn.XLOOKUP(CustomerCombined[[#This Row],[ID]], Table4[ID], Table4[Teas], "Not Found", 0)</f>
        <v>1886</v>
      </c>
      <c r="L1563" s="5">
        <f>_xlfn.XLOOKUP(CustomerCombined[[#This Row],[ID]], Table4[ID], Table4[Fruits], "Not Found", 0)</f>
        <v>0</v>
      </c>
      <c r="M1563" s="5">
        <f>_xlfn.XLOOKUP(CustomerCombined[[#This Row],[ID]], Table4[ID], Table4[Meats], "Not Found", 0)</f>
        <v>237</v>
      </c>
      <c r="N1563" s="5">
        <f>_xlfn.XLOOKUP(CustomerCombined[[#This Row],[ID]], Table4[ID], Table4[Seafood], "Not Found", 0)</f>
        <v>28</v>
      </c>
      <c r="O1563" s="5">
        <f>_xlfn.XLOOKUP(CustomerCombined[[#This Row],[ID]], Table4[ID], Table4[Sweets], "Not Found", 0)</f>
        <v>20</v>
      </c>
      <c r="P1563" s="5">
        <f>_xlfn.XLOOKUP(CustomerCombined[[#This Row],[ID]], Table4[ID], Table4[Premium], "Not Found", 0)</f>
        <v>215</v>
      </c>
      <c r="Q1563" s="5">
        <f>_xlfn.XLOOKUP(CustomerCombined[[#This Row],[ID]], Table4[ID], Table4[Regular], "Not Found", 0)</f>
        <v>1955</v>
      </c>
      <c r="R1563" s="5">
        <f>_xlfn.XLOOKUP(CustomerCombined[[#This Row],[ID]], Table4[ID], Table4[Deals], "Not Found", 0)</f>
        <v>5</v>
      </c>
      <c r="S1563" s="5">
        <f>_xlfn.XLOOKUP(CustomerCombined[[#This Row],[ID]], Table4[ID], Table4[Website], "Not Found", 0)</f>
        <v>10</v>
      </c>
      <c r="T1563" s="5">
        <f>_xlfn.XLOOKUP(CustomerCombined[[#This Row],[ID]], Table4[ID], Table4[Catalog], "Not Found", 0)</f>
        <v>3</v>
      </c>
      <c r="U1563" s="5">
        <f>_xlfn.XLOOKUP(CustomerCombined[[#This Row],[ID]], Table4[ID], Table4[Store], "Not Found", 0)</f>
        <v>8</v>
      </c>
      <c r="V1563" s="5">
        <f>_xlfn.XLOOKUP(CustomerCombined[[#This Row],[ID]], Table4[ID], Table4[Visits], "Not Found", 0)</f>
        <v>8</v>
      </c>
      <c r="W1563" s="8">
        <f>_xlfn.XLOOKUP(CustomerCombined[[#This Row],[ID]], Table2[ID],Table2[Complaint], "Not Found", 0 )</f>
        <v>0</v>
      </c>
      <c r="X1563" s="8">
        <f>_xlfn.XLOOKUP(CustomerCombined[[#This Row],[ID]], Table2[ID],Table2[Pilot], "Not Found", 0 )</f>
        <v>0</v>
      </c>
      <c r="Y1563" s="8">
        <f>_xlfn.XLOOKUP(CustomerCombined[[#This Row],[ID]], Table2[ID],Table2[MC1], "Not Found", 0 )</f>
        <v>0</v>
      </c>
      <c r="Z1563" s="8">
        <f>_xlfn.XLOOKUP(CustomerCombined[[#This Row],[ID]], Table2[ID],Table2[MC2], "Not Found", 0 )</f>
        <v>0</v>
      </c>
      <c r="AA1563" s="8">
        <f>_xlfn.XLOOKUP(CustomerCombined[[#This Row],[ID]], Table2[ID],Table2[MC3], "Not Found", 0 )</f>
        <v>0</v>
      </c>
      <c r="AB1563" s="8">
        <f>_xlfn.XLOOKUP(CustomerCombined[[#This Row],[ID]], Table2[ID],Table2[MC4], "Not Found", 0 )</f>
        <v>0</v>
      </c>
      <c r="AC1563" s="8">
        <f>_xlfn.XLOOKUP(CustomerCombined[[#This Row],[ID]], Table2[ID],Table2[MC5], "Not Found", 0 )</f>
        <v>0</v>
      </c>
    </row>
    <row r="1564" spans="1:29" x14ac:dyDescent="0.3">
      <c r="A1564" s="6">
        <v>2807</v>
      </c>
      <c r="B1564" s="6">
        <v>154693</v>
      </c>
      <c r="C1564" s="6">
        <v>0</v>
      </c>
      <c r="D1564" s="6">
        <v>1</v>
      </c>
      <c r="E1564" s="6">
        <v>58</v>
      </c>
      <c r="F1564" s="5" t="s">
        <v>6</v>
      </c>
      <c r="G1564" s="5" t="s">
        <v>13</v>
      </c>
      <c r="H1564" s="3" t="s">
        <v>306</v>
      </c>
      <c r="I1564" s="5" t="s">
        <v>434</v>
      </c>
      <c r="J1564" s="5">
        <f>_xlfn.XLOOKUP(CustomerCombined[[#This Row],[ID]], Table4[ID], Table4[Recency], "Not Found", 0)</f>
        <v>72</v>
      </c>
      <c r="K1564" s="5">
        <f>_xlfn.XLOOKUP(CustomerCombined[[#This Row],[ID]], Table4[ID], Table4[Teas], "Not Found", 0)</f>
        <v>1940</v>
      </c>
      <c r="L1564" s="5">
        <f>_xlfn.XLOOKUP(CustomerCombined[[#This Row],[ID]], Table4[ID], Table4[Fruits], "Not Found", 0)</f>
        <v>48</v>
      </c>
      <c r="M1564" s="5">
        <f>_xlfn.XLOOKUP(CustomerCombined[[#This Row],[ID]], Table4[ID], Table4[Meats], "Not Found", 0)</f>
        <v>402</v>
      </c>
      <c r="N1564" s="5">
        <f>_xlfn.XLOOKUP(CustomerCombined[[#This Row],[ID]], Table4[ID], Table4[Seafood], "Not Found", 0)</f>
        <v>65</v>
      </c>
      <c r="O1564" s="5">
        <f>_xlfn.XLOOKUP(CustomerCombined[[#This Row],[ID]], Table4[ID], Table4[Sweets], "Not Found", 0)</f>
        <v>74</v>
      </c>
      <c r="P1564" s="5">
        <f>_xlfn.XLOOKUP(CustomerCombined[[#This Row],[ID]], Table4[ID], Table4[Premium], "Not Found", 0)</f>
        <v>99</v>
      </c>
      <c r="Q1564" s="5">
        <f>_xlfn.XLOOKUP(CustomerCombined[[#This Row],[ID]], Table4[ID], Table4[Regular], "Not Found", 0)</f>
        <v>2430</v>
      </c>
      <c r="R1564" s="5">
        <f>_xlfn.XLOOKUP(CustomerCombined[[#This Row],[ID]], Table4[ID], Table4[Deals], "Not Found", 0)</f>
        <v>8</v>
      </c>
      <c r="S1564" s="5">
        <f>_xlfn.XLOOKUP(CustomerCombined[[#This Row],[ID]], Table4[ID], Table4[Website], "Not Found", 0)</f>
        <v>6</v>
      </c>
      <c r="T1564" s="5">
        <f>_xlfn.XLOOKUP(CustomerCombined[[#This Row],[ID]], Table4[ID], Table4[Catalog], "Not Found", 0)</f>
        <v>4</v>
      </c>
      <c r="U1564" s="5">
        <f>_xlfn.XLOOKUP(CustomerCombined[[#This Row],[ID]], Table4[ID], Table4[Store], "Not Found", 0)</f>
        <v>13</v>
      </c>
      <c r="V1564" s="5">
        <f>_xlfn.XLOOKUP(CustomerCombined[[#This Row],[ID]], Table4[ID], Table4[Visits], "Not Found", 0)</f>
        <v>6</v>
      </c>
      <c r="W1564" s="8">
        <f>_xlfn.XLOOKUP(CustomerCombined[[#This Row],[ID]], Table2[ID],Table2[Complaint], "Not Found", 0 )</f>
        <v>0</v>
      </c>
      <c r="X1564" s="8">
        <f>_xlfn.XLOOKUP(CustomerCombined[[#This Row],[ID]], Table2[ID],Table2[Pilot], "Not Found", 0 )</f>
        <v>0</v>
      </c>
      <c r="Y1564" s="8">
        <f>_xlfn.XLOOKUP(CustomerCombined[[#This Row],[ID]], Table2[ID],Table2[MC1], "Not Found", 0 )</f>
        <v>0</v>
      </c>
      <c r="Z1564" s="8">
        <f>_xlfn.XLOOKUP(CustomerCombined[[#This Row],[ID]], Table2[ID],Table2[MC2], "Not Found", 0 )</f>
        <v>0</v>
      </c>
      <c r="AA1564" s="8">
        <f>_xlfn.XLOOKUP(CustomerCombined[[#This Row],[ID]], Table2[ID],Table2[MC3], "Not Found", 0 )</f>
        <v>0</v>
      </c>
      <c r="AB1564" s="8">
        <f>_xlfn.XLOOKUP(CustomerCombined[[#This Row],[ID]], Table2[ID],Table2[MC4], "Not Found", 0 )</f>
        <v>0</v>
      </c>
      <c r="AC1564" s="8">
        <f>_xlfn.XLOOKUP(CustomerCombined[[#This Row],[ID]], Table2[ID],Table2[MC5], "Not Found", 0 )</f>
        <v>0</v>
      </c>
    </row>
    <row r="1565" spans="1:29" x14ac:dyDescent="0.3">
      <c r="A1565" s="6">
        <v>1942</v>
      </c>
      <c r="B1565" s="6">
        <v>152597</v>
      </c>
      <c r="C1565" s="6">
        <v>0</v>
      </c>
      <c r="D1565" s="6">
        <v>1</v>
      </c>
      <c r="E1565" s="6">
        <v>58</v>
      </c>
      <c r="F1565" s="5" t="s">
        <v>7</v>
      </c>
      <c r="G1565" s="5" t="s">
        <v>13</v>
      </c>
      <c r="H1565" s="3">
        <v>44145</v>
      </c>
      <c r="I1565" s="5" t="s">
        <v>439</v>
      </c>
      <c r="J1565" s="5">
        <f>_xlfn.XLOOKUP(CustomerCombined[[#This Row],[ID]], Table4[ID], Table4[Recency], "Not Found", 0)</f>
        <v>69</v>
      </c>
      <c r="K1565" s="5">
        <f>_xlfn.XLOOKUP(CustomerCombined[[#This Row],[ID]], Table4[ID], Table4[Teas], "Not Found", 0)</f>
        <v>1427</v>
      </c>
      <c r="L1565" s="5">
        <f>_xlfn.XLOOKUP(CustomerCombined[[#This Row],[ID]], Table4[ID], Table4[Fruits], "Not Found", 0)</f>
        <v>0</v>
      </c>
      <c r="M1565" s="5">
        <f>_xlfn.XLOOKUP(CustomerCombined[[#This Row],[ID]], Table4[ID], Table4[Meats], "Not Found", 0)</f>
        <v>107</v>
      </c>
      <c r="N1565" s="5">
        <f>_xlfn.XLOOKUP(CustomerCombined[[#This Row],[ID]], Table4[ID], Table4[Seafood], "Not Found", 0)</f>
        <v>20</v>
      </c>
      <c r="O1565" s="5">
        <f>_xlfn.XLOOKUP(CustomerCombined[[#This Row],[ID]], Table4[ID], Table4[Sweets], "Not Found", 0)</f>
        <v>0</v>
      </c>
      <c r="P1565" s="5">
        <f>_xlfn.XLOOKUP(CustomerCombined[[#This Row],[ID]], Table4[ID], Table4[Premium], "Not Found", 0)</f>
        <v>122</v>
      </c>
      <c r="Q1565" s="5">
        <f>_xlfn.XLOOKUP(CustomerCombined[[#This Row],[ID]], Table4[ID], Table4[Regular], "Not Found", 0)</f>
        <v>1433</v>
      </c>
      <c r="R1565" s="5">
        <f>_xlfn.XLOOKUP(CustomerCombined[[#This Row],[ID]], Table4[ID], Table4[Deals], "Not Found", 0)</f>
        <v>3</v>
      </c>
      <c r="S1565" s="5">
        <f>_xlfn.XLOOKUP(CustomerCombined[[#This Row],[ID]], Table4[ID], Table4[Website], "Not Found", 0)</f>
        <v>6</v>
      </c>
      <c r="T1565" s="5">
        <f>_xlfn.XLOOKUP(CustomerCombined[[#This Row],[ID]], Table4[ID], Table4[Catalog], "Not Found", 0)</f>
        <v>3</v>
      </c>
      <c r="U1565" s="5">
        <f>_xlfn.XLOOKUP(CustomerCombined[[#This Row],[ID]], Table4[ID], Table4[Store], "Not Found", 0)</f>
        <v>8</v>
      </c>
      <c r="V1565" s="5">
        <f>_xlfn.XLOOKUP(CustomerCombined[[#This Row],[ID]], Table4[ID], Table4[Visits], "Not Found", 0)</f>
        <v>5</v>
      </c>
      <c r="W1565" s="8">
        <f>_xlfn.XLOOKUP(CustomerCombined[[#This Row],[ID]], Table2[ID],Table2[Complaint], "Not Found", 0 )</f>
        <v>0</v>
      </c>
      <c r="X1565" s="8">
        <f>_xlfn.XLOOKUP(CustomerCombined[[#This Row],[ID]], Table2[ID],Table2[Pilot], "Not Found", 0 )</f>
        <v>0</v>
      </c>
      <c r="Y1565" s="8">
        <f>_xlfn.XLOOKUP(CustomerCombined[[#This Row],[ID]], Table2[ID],Table2[MC1], "Not Found", 0 )</f>
        <v>0</v>
      </c>
      <c r="Z1565" s="8">
        <f>_xlfn.XLOOKUP(CustomerCombined[[#This Row],[ID]], Table2[ID],Table2[MC2], "Not Found", 0 )</f>
        <v>0</v>
      </c>
      <c r="AA1565" s="8">
        <f>_xlfn.XLOOKUP(CustomerCombined[[#This Row],[ID]], Table2[ID],Table2[MC3], "Not Found", 0 )</f>
        <v>0</v>
      </c>
      <c r="AB1565" s="8">
        <f>_xlfn.XLOOKUP(CustomerCombined[[#This Row],[ID]], Table2[ID],Table2[MC4], "Not Found", 0 )</f>
        <v>0</v>
      </c>
      <c r="AC1565" s="8">
        <f>_xlfn.XLOOKUP(CustomerCombined[[#This Row],[ID]], Table2[ID],Table2[MC5], "Not Found", 0 )</f>
        <v>0</v>
      </c>
    </row>
    <row r="1566" spans="1:29" x14ac:dyDescent="0.3">
      <c r="A1566" s="6">
        <v>1869</v>
      </c>
      <c r="B1566" s="6">
        <v>151195</v>
      </c>
      <c r="C1566" s="6">
        <v>1</v>
      </c>
      <c r="D1566" s="6">
        <v>1</v>
      </c>
      <c r="E1566" s="6">
        <v>58</v>
      </c>
      <c r="F1566" s="5" t="s">
        <v>8</v>
      </c>
      <c r="G1566" s="5" t="s">
        <v>11</v>
      </c>
      <c r="H1566" s="3">
        <v>43625</v>
      </c>
      <c r="I1566" s="5" t="s">
        <v>435</v>
      </c>
      <c r="J1566" s="5">
        <f>_xlfn.XLOOKUP(CustomerCombined[[#This Row],[ID]], Table4[ID], Table4[Recency], "Not Found", 0)</f>
        <v>46</v>
      </c>
      <c r="K1566" s="5">
        <f>_xlfn.XLOOKUP(CustomerCombined[[#This Row],[ID]], Table4[ID], Table4[Teas], "Not Found", 0)</f>
        <v>679</v>
      </c>
      <c r="L1566" s="5">
        <f>_xlfn.XLOOKUP(CustomerCombined[[#This Row],[ID]], Table4[ID], Table4[Fruits], "Not Found", 0)</f>
        <v>41</v>
      </c>
      <c r="M1566" s="5">
        <f>_xlfn.XLOOKUP(CustomerCombined[[#This Row],[ID]], Table4[ID], Table4[Meats], "Not Found", 0)</f>
        <v>461</v>
      </c>
      <c r="N1566" s="5">
        <f>_xlfn.XLOOKUP(CustomerCombined[[#This Row],[ID]], Table4[ID], Table4[Seafood], "Not Found", 0)</f>
        <v>242</v>
      </c>
      <c r="O1566" s="5">
        <f>_xlfn.XLOOKUP(CustomerCombined[[#This Row],[ID]], Table4[ID], Table4[Sweets], "Not Found", 0)</f>
        <v>71</v>
      </c>
      <c r="P1566" s="5">
        <f>_xlfn.XLOOKUP(CustomerCombined[[#This Row],[ID]], Table4[ID], Table4[Premium], "Not Found", 0)</f>
        <v>171</v>
      </c>
      <c r="Q1566" s="5">
        <f>_xlfn.XLOOKUP(CustomerCombined[[#This Row],[ID]], Table4[ID], Table4[Regular], "Not Found", 0)</f>
        <v>1323</v>
      </c>
      <c r="R1566" s="5">
        <f>_xlfn.XLOOKUP(CustomerCombined[[#This Row],[ID]], Table4[ID], Table4[Deals], "Not Found", 0)</f>
        <v>8</v>
      </c>
      <c r="S1566" s="5">
        <f>_xlfn.XLOOKUP(CustomerCombined[[#This Row],[ID]], Table4[ID], Table4[Website], "Not Found", 0)</f>
        <v>9</v>
      </c>
      <c r="T1566" s="5">
        <f>_xlfn.XLOOKUP(CustomerCombined[[#This Row],[ID]], Table4[ID], Table4[Catalog], "Not Found", 0)</f>
        <v>2</v>
      </c>
      <c r="U1566" s="5">
        <f>_xlfn.XLOOKUP(CustomerCombined[[#This Row],[ID]], Table4[ID], Table4[Store], "Not Found", 0)</f>
        <v>5</v>
      </c>
      <c r="V1566" s="5">
        <f>_xlfn.XLOOKUP(CustomerCombined[[#This Row],[ID]], Table4[ID], Table4[Visits], "Not Found", 0)</f>
        <v>8</v>
      </c>
      <c r="W1566" s="8">
        <f>_xlfn.XLOOKUP(CustomerCombined[[#This Row],[ID]], Table2[ID],Table2[Complaint], "Not Found", 0 )</f>
        <v>0</v>
      </c>
      <c r="X1566" s="8">
        <f>_xlfn.XLOOKUP(CustomerCombined[[#This Row],[ID]], Table2[ID],Table2[Pilot], "Not Found", 0 )</f>
        <v>0</v>
      </c>
      <c r="Y1566" s="8">
        <f>_xlfn.XLOOKUP(CustomerCombined[[#This Row],[ID]], Table2[ID],Table2[MC1], "Not Found", 0 )</f>
        <v>0</v>
      </c>
      <c r="Z1566" s="8">
        <f>_xlfn.XLOOKUP(CustomerCombined[[#This Row],[ID]], Table2[ID],Table2[MC2], "Not Found", 0 )</f>
        <v>0</v>
      </c>
      <c r="AA1566" s="8">
        <f>_xlfn.XLOOKUP(CustomerCombined[[#This Row],[ID]], Table2[ID],Table2[MC3], "Not Found", 0 )</f>
        <v>0</v>
      </c>
      <c r="AB1566" s="8">
        <f>_xlfn.XLOOKUP(CustomerCombined[[#This Row],[ID]], Table2[ID],Table2[MC4], "Not Found", 0 )</f>
        <v>0</v>
      </c>
      <c r="AC1566" s="8">
        <f>_xlfn.XLOOKUP(CustomerCombined[[#This Row],[ID]], Table2[ID],Table2[MC5], "Not Found", 0 )</f>
        <v>0</v>
      </c>
    </row>
    <row r="1567" spans="1:29" x14ac:dyDescent="0.3">
      <c r="A1567" s="6">
        <v>1107</v>
      </c>
      <c r="B1567" s="6">
        <v>150785</v>
      </c>
      <c r="C1567" s="6">
        <v>1</v>
      </c>
      <c r="D1567" s="6">
        <v>1</v>
      </c>
      <c r="E1567" s="6">
        <v>58</v>
      </c>
      <c r="F1567" s="5" t="s">
        <v>7</v>
      </c>
      <c r="G1567" s="5" t="s">
        <v>11</v>
      </c>
      <c r="H1567" s="3" t="s">
        <v>189</v>
      </c>
      <c r="I1567" s="5" t="s">
        <v>435</v>
      </c>
      <c r="J1567" s="5">
        <f>_xlfn.XLOOKUP(CustomerCombined[[#This Row],[ID]], Table4[ID], Table4[Recency], "Not Found", 0)</f>
        <v>27</v>
      </c>
      <c r="K1567" s="5">
        <f>_xlfn.XLOOKUP(CustomerCombined[[#This Row],[ID]], Table4[ID], Table4[Teas], "Not Found", 0)</f>
        <v>190</v>
      </c>
      <c r="L1567" s="5">
        <f>_xlfn.XLOOKUP(CustomerCombined[[#This Row],[ID]], Table4[ID], Table4[Fruits], "Not Found", 0)</f>
        <v>3</v>
      </c>
      <c r="M1567" s="5">
        <f>_xlfn.XLOOKUP(CustomerCombined[[#This Row],[ID]], Table4[ID], Table4[Meats], "Not Found", 0)</f>
        <v>62</v>
      </c>
      <c r="N1567" s="5">
        <f>_xlfn.XLOOKUP(CustomerCombined[[#This Row],[ID]], Table4[ID], Table4[Seafood], "Not Found", 0)</f>
        <v>0</v>
      </c>
      <c r="O1567" s="5">
        <f>_xlfn.XLOOKUP(CustomerCombined[[#This Row],[ID]], Table4[ID], Table4[Sweets], "Not Found", 0)</f>
        <v>3</v>
      </c>
      <c r="P1567" s="5">
        <f>_xlfn.XLOOKUP(CustomerCombined[[#This Row],[ID]], Table4[ID], Table4[Premium], "Not Found", 0)</f>
        <v>80</v>
      </c>
      <c r="Q1567" s="5">
        <f>_xlfn.XLOOKUP(CustomerCombined[[#This Row],[ID]], Table4[ID], Table4[Regular], "Not Found", 0)</f>
        <v>178</v>
      </c>
      <c r="R1567" s="5">
        <f>_xlfn.XLOOKUP(CustomerCombined[[#This Row],[ID]], Table4[ID], Table4[Deals], "Not Found", 0)</f>
        <v>2</v>
      </c>
      <c r="S1567" s="5">
        <f>_xlfn.XLOOKUP(CustomerCombined[[#This Row],[ID]], Table4[ID], Table4[Website], "Not Found", 0)</f>
        <v>2</v>
      </c>
      <c r="T1567" s="5">
        <f>_xlfn.XLOOKUP(CustomerCombined[[#This Row],[ID]], Table4[ID], Table4[Catalog], "Not Found", 0)</f>
        <v>1</v>
      </c>
      <c r="U1567" s="5">
        <f>_xlfn.XLOOKUP(CustomerCombined[[#This Row],[ID]], Table4[ID], Table4[Store], "Not Found", 0)</f>
        <v>3</v>
      </c>
      <c r="V1567" s="5">
        <f>_xlfn.XLOOKUP(CustomerCombined[[#This Row],[ID]], Table4[ID], Table4[Visits], "Not Found", 0)</f>
        <v>6</v>
      </c>
      <c r="W1567" s="8">
        <f>_xlfn.XLOOKUP(CustomerCombined[[#This Row],[ID]], Table2[ID],Table2[Complaint], "Not Found", 0 )</f>
        <v>0</v>
      </c>
      <c r="X1567" s="8">
        <f>_xlfn.XLOOKUP(CustomerCombined[[#This Row],[ID]], Table2[ID],Table2[Pilot], "Not Found", 0 )</f>
        <v>0</v>
      </c>
      <c r="Y1567" s="8">
        <f>_xlfn.XLOOKUP(CustomerCombined[[#This Row],[ID]], Table2[ID],Table2[MC1], "Not Found", 0 )</f>
        <v>0</v>
      </c>
      <c r="Z1567" s="8">
        <f>_xlfn.XLOOKUP(CustomerCombined[[#This Row],[ID]], Table2[ID],Table2[MC2], "Not Found", 0 )</f>
        <v>0</v>
      </c>
      <c r="AA1567" s="8">
        <f>_xlfn.XLOOKUP(CustomerCombined[[#This Row],[ID]], Table2[ID],Table2[MC3], "Not Found", 0 )</f>
        <v>0</v>
      </c>
      <c r="AB1567" s="8">
        <f>_xlfn.XLOOKUP(CustomerCombined[[#This Row],[ID]], Table2[ID],Table2[MC4], "Not Found", 0 )</f>
        <v>0</v>
      </c>
      <c r="AC1567" s="8">
        <f>_xlfn.XLOOKUP(CustomerCombined[[#This Row],[ID]], Table2[ID],Table2[MC5], "Not Found", 0 )</f>
        <v>0</v>
      </c>
    </row>
    <row r="1568" spans="1:29" x14ac:dyDescent="0.3">
      <c r="A1568" s="6">
        <v>2320</v>
      </c>
      <c r="B1568" s="6">
        <v>150127</v>
      </c>
      <c r="C1568" s="6">
        <v>0</v>
      </c>
      <c r="D1568" s="6">
        <v>1</v>
      </c>
      <c r="E1568" s="6">
        <v>58</v>
      </c>
      <c r="F1568" s="5" t="s">
        <v>8</v>
      </c>
      <c r="G1568" s="5" t="s">
        <v>11</v>
      </c>
      <c r="H1568" s="3">
        <v>43872</v>
      </c>
      <c r="I1568" s="5" t="s">
        <v>439</v>
      </c>
      <c r="J1568" s="5">
        <f>_xlfn.XLOOKUP(CustomerCombined[[#This Row],[ID]], Table4[ID], Table4[Recency], "Not Found", 0)</f>
        <v>88</v>
      </c>
      <c r="K1568" s="5">
        <f>_xlfn.XLOOKUP(CustomerCombined[[#This Row],[ID]], Table4[ID], Table4[Teas], "Not Found", 0)</f>
        <v>821</v>
      </c>
      <c r="L1568" s="5">
        <f>_xlfn.XLOOKUP(CustomerCombined[[#This Row],[ID]], Table4[ID], Table4[Fruits], "Not Found", 0)</f>
        <v>0</v>
      </c>
      <c r="M1568" s="5">
        <f>_xlfn.XLOOKUP(CustomerCombined[[#This Row],[ID]], Table4[ID], Table4[Meats], "Not Found", 0)</f>
        <v>63</v>
      </c>
      <c r="N1568" s="5">
        <f>_xlfn.XLOOKUP(CustomerCombined[[#This Row],[ID]], Table4[ID], Table4[Seafood], "Not Found", 0)</f>
        <v>12</v>
      </c>
      <c r="O1568" s="5">
        <f>_xlfn.XLOOKUP(CustomerCombined[[#This Row],[ID]], Table4[ID], Table4[Sweets], "Not Found", 0)</f>
        <v>18</v>
      </c>
      <c r="P1568" s="5">
        <f>_xlfn.XLOOKUP(CustomerCombined[[#This Row],[ID]], Table4[ID], Table4[Premium], "Not Found", 0)</f>
        <v>45</v>
      </c>
      <c r="Q1568" s="5">
        <f>_xlfn.XLOOKUP(CustomerCombined[[#This Row],[ID]], Table4[ID], Table4[Regular], "Not Found", 0)</f>
        <v>869</v>
      </c>
      <c r="R1568" s="5">
        <f>_xlfn.XLOOKUP(CustomerCombined[[#This Row],[ID]], Table4[ID], Table4[Deals], "Not Found", 0)</f>
        <v>1</v>
      </c>
      <c r="S1568" s="5">
        <f>_xlfn.XLOOKUP(CustomerCombined[[#This Row],[ID]], Table4[ID], Table4[Website], "Not Found", 0)</f>
        <v>5</v>
      </c>
      <c r="T1568" s="5">
        <f>_xlfn.XLOOKUP(CustomerCombined[[#This Row],[ID]], Table4[ID], Table4[Catalog], "Not Found", 0)</f>
        <v>1</v>
      </c>
      <c r="U1568" s="5">
        <f>_xlfn.XLOOKUP(CustomerCombined[[#This Row],[ID]], Table4[ID], Table4[Store], "Not Found", 0)</f>
        <v>6</v>
      </c>
      <c r="V1568" s="5">
        <f>_xlfn.XLOOKUP(CustomerCombined[[#This Row],[ID]], Table4[ID], Table4[Visits], "Not Found", 0)</f>
        <v>6</v>
      </c>
      <c r="W1568" s="8">
        <f>_xlfn.XLOOKUP(CustomerCombined[[#This Row],[ID]], Table2[ID],Table2[Complaint], "Not Found", 0 )</f>
        <v>0</v>
      </c>
      <c r="X1568" s="8">
        <f>_xlfn.XLOOKUP(CustomerCombined[[#This Row],[ID]], Table2[ID],Table2[Pilot], "Not Found", 0 )</f>
        <v>0</v>
      </c>
      <c r="Y1568" s="8">
        <f>_xlfn.XLOOKUP(CustomerCombined[[#This Row],[ID]], Table2[ID],Table2[MC1], "Not Found", 0 )</f>
        <v>0</v>
      </c>
      <c r="Z1568" s="8">
        <f>_xlfn.XLOOKUP(CustomerCombined[[#This Row],[ID]], Table2[ID],Table2[MC2], "Not Found", 0 )</f>
        <v>0</v>
      </c>
      <c r="AA1568" s="8">
        <f>_xlfn.XLOOKUP(CustomerCombined[[#This Row],[ID]], Table2[ID],Table2[MC3], "Not Found", 0 )</f>
        <v>0</v>
      </c>
      <c r="AB1568" s="8">
        <f>_xlfn.XLOOKUP(CustomerCombined[[#This Row],[ID]], Table2[ID],Table2[MC4], "Not Found", 0 )</f>
        <v>1</v>
      </c>
      <c r="AC1568" s="8">
        <f>_xlfn.XLOOKUP(CustomerCombined[[#This Row],[ID]], Table2[ID],Table2[MC5], "Not Found", 0 )</f>
        <v>0</v>
      </c>
    </row>
    <row r="1569" spans="1:29" x14ac:dyDescent="0.3">
      <c r="A1569" s="6">
        <v>2532</v>
      </c>
      <c r="B1569" s="6">
        <v>147175</v>
      </c>
      <c r="C1569" s="6">
        <v>1</v>
      </c>
      <c r="D1569" s="6">
        <v>1</v>
      </c>
      <c r="E1569" s="6">
        <v>58</v>
      </c>
      <c r="F1569" s="5" t="s">
        <v>8</v>
      </c>
      <c r="G1569" s="5" t="s">
        <v>12</v>
      </c>
      <c r="H1569" s="3">
        <v>43559</v>
      </c>
      <c r="I1569" s="5" t="s">
        <v>436</v>
      </c>
      <c r="J1569" s="5">
        <f>_xlfn.XLOOKUP(CustomerCombined[[#This Row],[ID]], Table4[ID], Table4[Recency], "Not Found", 0)</f>
        <v>81</v>
      </c>
      <c r="K1569" s="5">
        <f>_xlfn.XLOOKUP(CustomerCombined[[#This Row],[ID]], Table4[ID], Table4[Teas], "Not Found", 0)</f>
        <v>521</v>
      </c>
      <c r="L1569" s="5">
        <f>_xlfn.XLOOKUP(CustomerCombined[[#This Row],[ID]], Table4[ID], Table4[Fruits], "Not Found", 0)</f>
        <v>6</v>
      </c>
      <c r="M1569" s="5">
        <f>_xlfn.XLOOKUP(CustomerCombined[[#This Row],[ID]], Table4[ID], Table4[Meats], "Not Found", 0)</f>
        <v>137</v>
      </c>
      <c r="N1569" s="5">
        <f>_xlfn.XLOOKUP(CustomerCombined[[#This Row],[ID]], Table4[ID], Table4[Seafood], "Not Found", 0)</f>
        <v>19</v>
      </c>
      <c r="O1569" s="5">
        <f>_xlfn.XLOOKUP(CustomerCombined[[#This Row],[ID]], Table4[ID], Table4[Sweets], "Not Found", 0)</f>
        <v>6</v>
      </c>
      <c r="P1569" s="5">
        <f>_xlfn.XLOOKUP(CustomerCombined[[#This Row],[ID]], Table4[ID], Table4[Premium], "Not Found", 0)</f>
        <v>59</v>
      </c>
      <c r="Q1569" s="5">
        <f>_xlfn.XLOOKUP(CustomerCombined[[#This Row],[ID]], Table4[ID], Table4[Regular], "Not Found", 0)</f>
        <v>630</v>
      </c>
      <c r="R1569" s="5">
        <f>_xlfn.XLOOKUP(CustomerCombined[[#This Row],[ID]], Table4[ID], Table4[Deals], "Not Found", 0)</f>
        <v>7</v>
      </c>
      <c r="S1569" s="5">
        <f>_xlfn.XLOOKUP(CustomerCombined[[#This Row],[ID]], Table4[ID], Table4[Website], "Not Found", 0)</f>
        <v>4</v>
      </c>
      <c r="T1569" s="5">
        <f>_xlfn.XLOOKUP(CustomerCombined[[#This Row],[ID]], Table4[ID], Table4[Catalog], "Not Found", 0)</f>
        <v>2</v>
      </c>
      <c r="U1569" s="5">
        <f>_xlfn.XLOOKUP(CustomerCombined[[#This Row],[ID]], Table4[ID], Table4[Store], "Not Found", 0)</f>
        <v>4</v>
      </c>
      <c r="V1569" s="5">
        <f>_xlfn.XLOOKUP(CustomerCombined[[#This Row],[ID]], Table4[ID], Table4[Visits], "Not Found", 0)</f>
        <v>8</v>
      </c>
      <c r="W1569" s="8">
        <f>_xlfn.XLOOKUP(CustomerCombined[[#This Row],[ID]], Table2[ID],Table2[Complaint], "Not Found", 0 )</f>
        <v>0</v>
      </c>
      <c r="X1569" s="8">
        <f>_xlfn.XLOOKUP(CustomerCombined[[#This Row],[ID]], Table2[ID],Table2[Pilot], "Not Found", 0 )</f>
        <v>1</v>
      </c>
      <c r="Y1569" s="8">
        <f>_xlfn.XLOOKUP(CustomerCombined[[#This Row],[ID]], Table2[ID],Table2[MC1], "Not Found", 0 )</f>
        <v>0</v>
      </c>
      <c r="Z1569" s="8">
        <f>_xlfn.XLOOKUP(CustomerCombined[[#This Row],[ID]], Table2[ID],Table2[MC2], "Not Found", 0 )</f>
        <v>0</v>
      </c>
      <c r="AA1569" s="8">
        <f>_xlfn.XLOOKUP(CustomerCombined[[#This Row],[ID]], Table2[ID],Table2[MC3], "Not Found", 0 )</f>
        <v>1</v>
      </c>
      <c r="AB1569" s="8">
        <f>_xlfn.XLOOKUP(CustomerCombined[[#This Row],[ID]], Table2[ID],Table2[MC4], "Not Found", 0 )</f>
        <v>0</v>
      </c>
      <c r="AC1569" s="8">
        <f>_xlfn.XLOOKUP(CustomerCombined[[#This Row],[ID]], Table2[ID],Table2[MC5], "Not Found", 0 )</f>
        <v>0</v>
      </c>
    </row>
    <row r="1570" spans="1:29" x14ac:dyDescent="0.3">
      <c r="A1570" s="6">
        <v>1618</v>
      </c>
      <c r="B1570" s="6">
        <v>146102</v>
      </c>
      <c r="C1570" s="6">
        <v>2</v>
      </c>
      <c r="D1570" s="6">
        <v>1</v>
      </c>
      <c r="E1570" s="6">
        <v>58</v>
      </c>
      <c r="F1570" s="5" t="s">
        <v>5</v>
      </c>
      <c r="G1570" s="5" t="s">
        <v>11</v>
      </c>
      <c r="H1570" s="3" t="s">
        <v>89</v>
      </c>
      <c r="I1570" s="5" t="s">
        <v>439</v>
      </c>
      <c r="J1570" s="5">
        <f>_xlfn.XLOOKUP(CustomerCombined[[#This Row],[ID]], Table4[ID], Table4[Recency], "Not Found", 0)</f>
        <v>3</v>
      </c>
      <c r="K1570" s="5">
        <f>_xlfn.XLOOKUP(CustomerCombined[[#This Row],[ID]], Table4[ID], Table4[Teas], "Not Found", 0)</f>
        <v>44</v>
      </c>
      <c r="L1570" s="5">
        <f>_xlfn.XLOOKUP(CustomerCombined[[#This Row],[ID]], Table4[ID], Table4[Fruits], "Not Found", 0)</f>
        <v>0</v>
      </c>
      <c r="M1570" s="5">
        <f>_xlfn.XLOOKUP(CustomerCombined[[#This Row],[ID]], Table4[ID], Table4[Meats], "Not Found", 0)</f>
        <v>3</v>
      </c>
      <c r="N1570" s="5">
        <f>_xlfn.XLOOKUP(CustomerCombined[[#This Row],[ID]], Table4[ID], Table4[Seafood], "Not Found", 0)</f>
        <v>0</v>
      </c>
      <c r="O1570" s="5">
        <f>_xlfn.XLOOKUP(CustomerCombined[[#This Row],[ID]], Table4[ID], Table4[Sweets], "Not Found", 0)</f>
        <v>0</v>
      </c>
      <c r="P1570" s="5">
        <f>_xlfn.XLOOKUP(CustomerCombined[[#This Row],[ID]], Table4[ID], Table4[Premium], "Not Found", 0)</f>
        <v>3</v>
      </c>
      <c r="Q1570" s="5">
        <f>_xlfn.XLOOKUP(CustomerCombined[[#This Row],[ID]], Table4[ID], Table4[Regular], "Not Found", 0)</f>
        <v>44</v>
      </c>
      <c r="R1570" s="5">
        <f>_xlfn.XLOOKUP(CustomerCombined[[#This Row],[ID]], Table4[ID], Table4[Deals], "Not Found", 0)</f>
        <v>1</v>
      </c>
      <c r="S1570" s="5">
        <f>_xlfn.XLOOKUP(CustomerCombined[[#This Row],[ID]], Table4[ID], Table4[Website], "Not Found", 0)</f>
        <v>1</v>
      </c>
      <c r="T1570" s="5">
        <f>_xlfn.XLOOKUP(CustomerCombined[[#This Row],[ID]], Table4[ID], Table4[Catalog], "Not Found", 0)</f>
        <v>0</v>
      </c>
      <c r="U1570" s="5">
        <f>_xlfn.XLOOKUP(CustomerCombined[[#This Row],[ID]], Table4[ID], Table4[Store], "Not Found", 0)</f>
        <v>2</v>
      </c>
      <c r="V1570" s="5">
        <f>_xlfn.XLOOKUP(CustomerCombined[[#This Row],[ID]], Table4[ID], Table4[Visits], "Not Found", 0)</f>
        <v>7</v>
      </c>
      <c r="W1570" s="8">
        <f>_xlfn.XLOOKUP(CustomerCombined[[#This Row],[ID]], Table2[ID],Table2[Complaint], "Not Found", 0 )</f>
        <v>0</v>
      </c>
      <c r="X1570" s="8">
        <f>_xlfn.XLOOKUP(CustomerCombined[[#This Row],[ID]], Table2[ID],Table2[Pilot], "Not Found", 0 )</f>
        <v>0</v>
      </c>
      <c r="Y1570" s="8">
        <f>_xlfn.XLOOKUP(CustomerCombined[[#This Row],[ID]], Table2[ID],Table2[MC1], "Not Found", 0 )</f>
        <v>0</v>
      </c>
      <c r="Z1570" s="8">
        <f>_xlfn.XLOOKUP(CustomerCombined[[#This Row],[ID]], Table2[ID],Table2[MC2], "Not Found", 0 )</f>
        <v>0</v>
      </c>
      <c r="AA1570" s="8">
        <f>_xlfn.XLOOKUP(CustomerCombined[[#This Row],[ID]], Table2[ID],Table2[MC3], "Not Found", 0 )</f>
        <v>0</v>
      </c>
      <c r="AB1570" s="8">
        <f>_xlfn.XLOOKUP(CustomerCombined[[#This Row],[ID]], Table2[ID],Table2[MC4], "Not Found", 0 )</f>
        <v>0</v>
      </c>
      <c r="AC1570" s="8">
        <f>_xlfn.XLOOKUP(CustomerCombined[[#This Row],[ID]], Table2[ID],Table2[MC5], "Not Found", 0 )</f>
        <v>0</v>
      </c>
    </row>
    <row r="1571" spans="1:29" x14ac:dyDescent="0.3">
      <c r="A1571" s="6">
        <v>1776</v>
      </c>
      <c r="B1571" s="6">
        <v>145183</v>
      </c>
      <c r="C1571" s="6">
        <v>0</v>
      </c>
      <c r="D1571" s="6">
        <v>0</v>
      </c>
      <c r="E1571" s="6">
        <v>58</v>
      </c>
      <c r="F1571" s="5" t="s">
        <v>7</v>
      </c>
      <c r="G1571" s="5" t="s">
        <v>12</v>
      </c>
      <c r="H1571" s="3" t="s">
        <v>321</v>
      </c>
      <c r="I1571" s="5" t="s">
        <v>436</v>
      </c>
      <c r="J1571" s="5">
        <f>_xlfn.XLOOKUP(CustomerCombined[[#This Row],[ID]], Table4[ID], Table4[Recency], "Not Found", 0)</f>
        <v>33</v>
      </c>
      <c r="K1571" s="5">
        <f>_xlfn.XLOOKUP(CustomerCombined[[#This Row],[ID]], Table4[ID], Table4[Teas], "Not Found", 0)</f>
        <v>704</v>
      </c>
      <c r="L1571" s="5">
        <f>_xlfn.XLOOKUP(CustomerCombined[[#This Row],[ID]], Table4[ID], Table4[Fruits], "Not Found", 0)</f>
        <v>10</v>
      </c>
      <c r="M1571" s="5">
        <f>_xlfn.XLOOKUP(CustomerCombined[[#This Row],[ID]], Table4[ID], Table4[Meats], "Not Found", 0)</f>
        <v>193</v>
      </c>
      <c r="N1571" s="5">
        <f>_xlfn.XLOOKUP(CustomerCombined[[#This Row],[ID]], Table4[ID], Table4[Seafood], "Not Found", 0)</f>
        <v>39</v>
      </c>
      <c r="O1571" s="5">
        <f>_xlfn.XLOOKUP(CustomerCombined[[#This Row],[ID]], Table4[ID], Table4[Sweets], "Not Found", 0)</f>
        <v>29</v>
      </c>
      <c r="P1571" s="5">
        <f>_xlfn.XLOOKUP(CustomerCombined[[#This Row],[ID]], Table4[ID], Table4[Premium], "Not Found", 0)</f>
        <v>39</v>
      </c>
      <c r="Q1571" s="5">
        <f>_xlfn.XLOOKUP(CustomerCombined[[#This Row],[ID]], Table4[ID], Table4[Regular], "Not Found", 0)</f>
        <v>935</v>
      </c>
      <c r="R1571" s="5">
        <f>_xlfn.XLOOKUP(CustomerCombined[[#This Row],[ID]], Table4[ID], Table4[Deals], "Not Found", 0)</f>
        <v>1</v>
      </c>
      <c r="S1571" s="5">
        <f>_xlfn.XLOOKUP(CustomerCombined[[#This Row],[ID]], Table4[ID], Table4[Website], "Not Found", 0)</f>
        <v>4</v>
      </c>
      <c r="T1571" s="5">
        <f>_xlfn.XLOOKUP(CustomerCombined[[#This Row],[ID]], Table4[ID], Table4[Catalog], "Not Found", 0)</f>
        <v>1</v>
      </c>
      <c r="U1571" s="5">
        <f>_xlfn.XLOOKUP(CustomerCombined[[#This Row],[ID]], Table4[ID], Table4[Store], "Not Found", 0)</f>
        <v>7</v>
      </c>
      <c r="V1571" s="5">
        <f>_xlfn.XLOOKUP(CustomerCombined[[#This Row],[ID]], Table4[ID], Table4[Visits], "Not Found", 0)</f>
        <v>7</v>
      </c>
      <c r="W1571" s="8">
        <f>_xlfn.XLOOKUP(CustomerCombined[[#This Row],[ID]], Table2[ID],Table2[Complaint], "Not Found", 0 )</f>
        <v>0</v>
      </c>
      <c r="X1571" s="8">
        <f>_xlfn.XLOOKUP(CustomerCombined[[#This Row],[ID]], Table2[ID],Table2[Pilot], "Not Found", 0 )</f>
        <v>0</v>
      </c>
      <c r="Y1571" s="8">
        <f>_xlfn.XLOOKUP(CustomerCombined[[#This Row],[ID]], Table2[ID],Table2[MC1], "Not Found", 0 )</f>
        <v>0</v>
      </c>
      <c r="Z1571" s="8">
        <f>_xlfn.XLOOKUP(CustomerCombined[[#This Row],[ID]], Table2[ID],Table2[MC2], "Not Found", 0 )</f>
        <v>0</v>
      </c>
      <c r="AA1571" s="8">
        <f>_xlfn.XLOOKUP(CustomerCombined[[#This Row],[ID]], Table2[ID],Table2[MC3], "Not Found", 0 )</f>
        <v>0</v>
      </c>
      <c r="AB1571" s="8">
        <f>_xlfn.XLOOKUP(CustomerCombined[[#This Row],[ID]], Table2[ID],Table2[MC4], "Not Found", 0 )</f>
        <v>1</v>
      </c>
      <c r="AC1571" s="8">
        <f>_xlfn.XLOOKUP(CustomerCombined[[#This Row],[ID]], Table2[ID],Table2[MC5], "Not Found", 0 )</f>
        <v>0</v>
      </c>
    </row>
    <row r="1572" spans="1:29" x14ac:dyDescent="0.3">
      <c r="A1572" s="6">
        <v>3117</v>
      </c>
      <c r="B1572" s="6">
        <v>142769</v>
      </c>
      <c r="C1572" s="6">
        <v>0</v>
      </c>
      <c r="D1572" s="6">
        <v>1</v>
      </c>
      <c r="E1572" s="6">
        <v>58</v>
      </c>
      <c r="F1572" s="5" t="s">
        <v>6</v>
      </c>
      <c r="G1572" s="5" t="s">
        <v>13</v>
      </c>
      <c r="H1572" s="3" t="s">
        <v>170</v>
      </c>
      <c r="I1572" s="5" t="s">
        <v>435</v>
      </c>
      <c r="J1572" s="5">
        <f>_xlfn.XLOOKUP(CustomerCombined[[#This Row],[ID]], Table4[ID], Table4[Recency], "Not Found", 0)</f>
        <v>15</v>
      </c>
      <c r="K1572" s="5">
        <f>_xlfn.XLOOKUP(CustomerCombined[[#This Row],[ID]], Table4[ID], Table4[Teas], "Not Found", 0)</f>
        <v>237</v>
      </c>
      <c r="L1572" s="5">
        <f>_xlfn.XLOOKUP(CustomerCombined[[#This Row],[ID]], Table4[ID], Table4[Fruits], "Not Found", 0)</f>
        <v>0</v>
      </c>
      <c r="M1572" s="5">
        <f>_xlfn.XLOOKUP(CustomerCombined[[#This Row],[ID]], Table4[ID], Table4[Meats], "Not Found", 0)</f>
        <v>43</v>
      </c>
      <c r="N1572" s="5">
        <f>_xlfn.XLOOKUP(CustomerCombined[[#This Row],[ID]], Table4[ID], Table4[Seafood], "Not Found", 0)</f>
        <v>10</v>
      </c>
      <c r="O1572" s="5">
        <f>_xlfn.XLOOKUP(CustomerCombined[[#This Row],[ID]], Table4[ID], Table4[Sweets], "Not Found", 0)</f>
        <v>3</v>
      </c>
      <c r="P1572" s="5">
        <f>_xlfn.XLOOKUP(CustomerCombined[[#This Row],[ID]], Table4[ID], Table4[Premium], "Not Found", 0)</f>
        <v>0</v>
      </c>
      <c r="Q1572" s="5">
        <f>_xlfn.XLOOKUP(CustomerCombined[[#This Row],[ID]], Table4[ID], Table4[Regular], "Not Found", 0)</f>
        <v>294</v>
      </c>
      <c r="R1572" s="5">
        <f>_xlfn.XLOOKUP(CustomerCombined[[#This Row],[ID]], Table4[ID], Table4[Deals], "Not Found", 0)</f>
        <v>2</v>
      </c>
      <c r="S1572" s="5">
        <f>_xlfn.XLOOKUP(CustomerCombined[[#This Row],[ID]], Table4[ID], Table4[Website], "Not Found", 0)</f>
        <v>1</v>
      </c>
      <c r="T1572" s="5">
        <f>_xlfn.XLOOKUP(CustomerCombined[[#This Row],[ID]], Table4[ID], Table4[Catalog], "Not Found", 0)</f>
        <v>1</v>
      </c>
      <c r="U1572" s="5">
        <f>_xlfn.XLOOKUP(CustomerCombined[[#This Row],[ID]], Table4[ID], Table4[Store], "Not Found", 0)</f>
        <v>4</v>
      </c>
      <c r="V1572" s="5">
        <f>_xlfn.XLOOKUP(CustomerCombined[[#This Row],[ID]], Table4[ID], Table4[Visits], "Not Found", 0)</f>
        <v>4</v>
      </c>
      <c r="W1572" s="8">
        <f>_xlfn.XLOOKUP(CustomerCombined[[#This Row],[ID]], Table2[ID],Table2[Complaint], "Not Found", 0 )</f>
        <v>0</v>
      </c>
      <c r="X1572" s="8">
        <f>_xlfn.XLOOKUP(CustomerCombined[[#This Row],[ID]], Table2[ID],Table2[Pilot], "Not Found", 0 )</f>
        <v>0</v>
      </c>
      <c r="Y1572" s="8">
        <f>_xlfn.XLOOKUP(CustomerCombined[[#This Row],[ID]], Table2[ID],Table2[MC1], "Not Found", 0 )</f>
        <v>0</v>
      </c>
      <c r="Z1572" s="8">
        <f>_xlfn.XLOOKUP(CustomerCombined[[#This Row],[ID]], Table2[ID],Table2[MC2], "Not Found", 0 )</f>
        <v>0</v>
      </c>
      <c r="AA1572" s="8">
        <f>_xlfn.XLOOKUP(CustomerCombined[[#This Row],[ID]], Table2[ID],Table2[MC3], "Not Found", 0 )</f>
        <v>0</v>
      </c>
      <c r="AB1572" s="8">
        <f>_xlfn.XLOOKUP(CustomerCombined[[#This Row],[ID]], Table2[ID],Table2[MC4], "Not Found", 0 )</f>
        <v>0</v>
      </c>
      <c r="AC1572" s="8">
        <f>_xlfn.XLOOKUP(CustomerCombined[[#This Row],[ID]], Table2[ID],Table2[MC5], "Not Found", 0 )</f>
        <v>0</v>
      </c>
    </row>
    <row r="1573" spans="1:29" x14ac:dyDescent="0.3">
      <c r="A1573" s="6">
        <v>2106</v>
      </c>
      <c r="B1573" s="6">
        <v>139552</v>
      </c>
      <c r="C1573" s="6">
        <v>1</v>
      </c>
      <c r="D1573" s="6">
        <v>1</v>
      </c>
      <c r="E1573" s="6">
        <v>58</v>
      </c>
      <c r="F1573" s="5" t="s">
        <v>5</v>
      </c>
      <c r="G1573" s="5" t="s">
        <v>11</v>
      </c>
      <c r="H1573" s="3" t="s">
        <v>341</v>
      </c>
      <c r="I1573" s="5" t="s">
        <v>436</v>
      </c>
      <c r="J1573" s="5">
        <f>_xlfn.XLOOKUP(CustomerCombined[[#This Row],[ID]], Table4[ID], Table4[Recency], "Not Found", 0)</f>
        <v>54</v>
      </c>
      <c r="K1573" s="5">
        <f>_xlfn.XLOOKUP(CustomerCombined[[#This Row],[ID]], Table4[ID], Table4[Teas], "Not Found", 0)</f>
        <v>582</v>
      </c>
      <c r="L1573" s="5">
        <f>_xlfn.XLOOKUP(CustomerCombined[[#This Row],[ID]], Table4[ID], Table4[Fruits], "Not Found", 0)</f>
        <v>11</v>
      </c>
      <c r="M1573" s="5">
        <f>_xlfn.XLOOKUP(CustomerCombined[[#This Row],[ID]], Table4[ID], Table4[Meats], "Not Found", 0)</f>
        <v>519</v>
      </c>
      <c r="N1573" s="5">
        <f>_xlfn.XLOOKUP(CustomerCombined[[#This Row],[ID]], Table4[ID], Table4[Seafood], "Not Found", 0)</f>
        <v>14</v>
      </c>
      <c r="O1573" s="5">
        <f>_xlfn.XLOOKUP(CustomerCombined[[#This Row],[ID]], Table4[ID], Table4[Sweets], "Not Found", 0)</f>
        <v>85</v>
      </c>
      <c r="P1573" s="5">
        <f>_xlfn.XLOOKUP(CustomerCombined[[#This Row],[ID]], Table4[ID], Table4[Premium], "Not Found", 0)</f>
        <v>145</v>
      </c>
      <c r="Q1573" s="5">
        <f>_xlfn.XLOOKUP(CustomerCombined[[#This Row],[ID]], Table4[ID], Table4[Regular], "Not Found", 0)</f>
        <v>1066</v>
      </c>
      <c r="R1573" s="5">
        <f>_xlfn.XLOOKUP(CustomerCombined[[#This Row],[ID]], Table4[ID], Table4[Deals], "Not Found", 0)</f>
        <v>7</v>
      </c>
      <c r="S1573" s="5">
        <f>_xlfn.XLOOKUP(CustomerCombined[[#This Row],[ID]], Table4[ID], Table4[Website], "Not Found", 0)</f>
        <v>6</v>
      </c>
      <c r="T1573" s="5">
        <f>_xlfn.XLOOKUP(CustomerCombined[[#This Row],[ID]], Table4[ID], Table4[Catalog], "Not Found", 0)</f>
        <v>2</v>
      </c>
      <c r="U1573" s="5">
        <f>_xlfn.XLOOKUP(CustomerCombined[[#This Row],[ID]], Table4[ID], Table4[Store], "Not Found", 0)</f>
        <v>5</v>
      </c>
      <c r="V1573" s="5">
        <f>_xlfn.XLOOKUP(CustomerCombined[[#This Row],[ID]], Table4[ID], Table4[Visits], "Not Found", 0)</f>
        <v>8</v>
      </c>
      <c r="W1573" s="8">
        <f>_xlfn.XLOOKUP(CustomerCombined[[#This Row],[ID]], Table2[ID],Table2[Complaint], "Not Found", 0 )</f>
        <v>0</v>
      </c>
      <c r="X1573" s="8">
        <f>_xlfn.XLOOKUP(CustomerCombined[[#This Row],[ID]], Table2[ID],Table2[Pilot], "Not Found", 0 )</f>
        <v>1</v>
      </c>
      <c r="Y1573" s="8">
        <f>_xlfn.XLOOKUP(CustomerCombined[[#This Row],[ID]], Table2[ID],Table2[MC1], "Not Found", 0 )</f>
        <v>0</v>
      </c>
      <c r="Z1573" s="8">
        <f>_xlfn.XLOOKUP(CustomerCombined[[#This Row],[ID]], Table2[ID],Table2[MC2], "Not Found", 0 )</f>
        <v>0</v>
      </c>
      <c r="AA1573" s="8">
        <f>_xlfn.XLOOKUP(CustomerCombined[[#This Row],[ID]], Table2[ID],Table2[MC3], "Not Found", 0 )</f>
        <v>0</v>
      </c>
      <c r="AB1573" s="8">
        <f>_xlfn.XLOOKUP(CustomerCombined[[#This Row],[ID]], Table2[ID],Table2[MC4], "Not Found", 0 )</f>
        <v>0</v>
      </c>
      <c r="AC1573" s="8">
        <f>_xlfn.XLOOKUP(CustomerCombined[[#This Row],[ID]], Table2[ID],Table2[MC5], "Not Found", 0 )</f>
        <v>0</v>
      </c>
    </row>
    <row r="1574" spans="1:29" x14ac:dyDescent="0.3">
      <c r="A1574" s="6">
        <v>1808</v>
      </c>
      <c r="B1574" s="6">
        <v>137859</v>
      </c>
      <c r="C1574" s="6">
        <v>1</v>
      </c>
      <c r="D1574" s="6">
        <v>2</v>
      </c>
      <c r="E1574" s="6">
        <v>58</v>
      </c>
      <c r="F1574" s="5" t="s">
        <v>5</v>
      </c>
      <c r="G1574" s="5" t="s">
        <v>11</v>
      </c>
      <c r="H1574" s="3" t="s">
        <v>328</v>
      </c>
      <c r="I1574" s="5" t="s">
        <v>438</v>
      </c>
      <c r="J1574" s="5">
        <f>_xlfn.XLOOKUP(CustomerCombined[[#This Row],[ID]], Table4[ID], Table4[Recency], "Not Found", 0)</f>
        <v>75</v>
      </c>
      <c r="K1574" s="5">
        <f>_xlfn.XLOOKUP(CustomerCombined[[#This Row],[ID]], Table4[ID], Table4[Teas], "Not Found", 0)</f>
        <v>80</v>
      </c>
      <c r="L1574" s="5">
        <f>_xlfn.XLOOKUP(CustomerCombined[[#This Row],[ID]], Table4[ID], Table4[Fruits], "Not Found", 0)</f>
        <v>4</v>
      </c>
      <c r="M1574" s="5">
        <f>_xlfn.XLOOKUP(CustomerCombined[[#This Row],[ID]], Table4[ID], Table4[Meats], "Not Found", 0)</f>
        <v>29</v>
      </c>
      <c r="N1574" s="5">
        <f>_xlfn.XLOOKUP(CustomerCombined[[#This Row],[ID]], Table4[ID], Table4[Seafood], "Not Found", 0)</f>
        <v>7</v>
      </c>
      <c r="O1574" s="5">
        <f>_xlfn.XLOOKUP(CustomerCombined[[#This Row],[ID]], Table4[ID], Table4[Sweets], "Not Found", 0)</f>
        <v>4</v>
      </c>
      <c r="P1574" s="5">
        <f>_xlfn.XLOOKUP(CustomerCombined[[#This Row],[ID]], Table4[ID], Table4[Premium], "Not Found", 0)</f>
        <v>7</v>
      </c>
      <c r="Q1574" s="5">
        <f>_xlfn.XLOOKUP(CustomerCombined[[#This Row],[ID]], Table4[ID], Table4[Regular], "Not Found", 0)</f>
        <v>117</v>
      </c>
      <c r="R1574" s="5">
        <f>_xlfn.XLOOKUP(CustomerCombined[[#This Row],[ID]], Table4[ID], Table4[Deals], "Not Found", 0)</f>
        <v>2</v>
      </c>
      <c r="S1574" s="5">
        <f>_xlfn.XLOOKUP(CustomerCombined[[#This Row],[ID]], Table4[ID], Table4[Website], "Not Found", 0)</f>
        <v>1</v>
      </c>
      <c r="T1574" s="5">
        <f>_xlfn.XLOOKUP(CustomerCombined[[#This Row],[ID]], Table4[ID], Table4[Catalog], "Not Found", 0)</f>
        <v>0</v>
      </c>
      <c r="U1574" s="5">
        <f>_xlfn.XLOOKUP(CustomerCombined[[#This Row],[ID]], Table4[ID], Table4[Store], "Not Found", 0)</f>
        <v>3</v>
      </c>
      <c r="V1574" s="5">
        <f>_xlfn.XLOOKUP(CustomerCombined[[#This Row],[ID]], Table4[ID], Table4[Visits], "Not Found", 0)</f>
        <v>8</v>
      </c>
      <c r="W1574" s="8">
        <f>_xlfn.XLOOKUP(CustomerCombined[[#This Row],[ID]], Table2[ID],Table2[Complaint], "Not Found", 0 )</f>
        <v>0</v>
      </c>
      <c r="X1574" s="8">
        <f>_xlfn.XLOOKUP(CustomerCombined[[#This Row],[ID]], Table2[ID],Table2[Pilot], "Not Found", 0 )</f>
        <v>0</v>
      </c>
      <c r="Y1574" s="8">
        <f>_xlfn.XLOOKUP(CustomerCombined[[#This Row],[ID]], Table2[ID],Table2[MC1], "Not Found", 0 )</f>
        <v>0</v>
      </c>
      <c r="Z1574" s="8">
        <f>_xlfn.XLOOKUP(CustomerCombined[[#This Row],[ID]], Table2[ID],Table2[MC2], "Not Found", 0 )</f>
        <v>0</v>
      </c>
      <c r="AA1574" s="8">
        <f>_xlfn.XLOOKUP(CustomerCombined[[#This Row],[ID]], Table2[ID],Table2[MC3], "Not Found", 0 )</f>
        <v>0</v>
      </c>
      <c r="AB1574" s="8">
        <f>_xlfn.XLOOKUP(CustomerCombined[[#This Row],[ID]], Table2[ID],Table2[MC4], "Not Found", 0 )</f>
        <v>0</v>
      </c>
      <c r="AC1574" s="8">
        <f>_xlfn.XLOOKUP(CustomerCombined[[#This Row],[ID]], Table2[ID],Table2[MC5], "Not Found", 0 )</f>
        <v>0</v>
      </c>
    </row>
    <row r="1575" spans="1:29" x14ac:dyDescent="0.3">
      <c r="A1575" s="6">
        <v>2124</v>
      </c>
      <c r="B1575" s="6">
        <v>133419</v>
      </c>
      <c r="C1575" s="6">
        <v>0</v>
      </c>
      <c r="D1575" s="6">
        <v>1</v>
      </c>
      <c r="E1575" s="6">
        <v>58</v>
      </c>
      <c r="F1575" s="5" t="s">
        <v>7</v>
      </c>
      <c r="G1575" s="5" t="s">
        <v>13</v>
      </c>
      <c r="H1575" s="3" t="s">
        <v>200</v>
      </c>
      <c r="I1575" s="5" t="s">
        <v>436</v>
      </c>
      <c r="J1575" s="5">
        <f>_xlfn.XLOOKUP(CustomerCombined[[#This Row],[ID]], Table4[ID], Table4[Recency], "Not Found", 0)</f>
        <v>76</v>
      </c>
      <c r="K1575" s="5">
        <f>_xlfn.XLOOKUP(CustomerCombined[[#This Row],[ID]], Table4[ID], Table4[Teas], "Not Found", 0)</f>
        <v>224</v>
      </c>
      <c r="L1575" s="5">
        <f>_xlfn.XLOOKUP(CustomerCombined[[#This Row],[ID]], Table4[ID], Table4[Fruits], "Not Found", 0)</f>
        <v>0</v>
      </c>
      <c r="M1575" s="5">
        <f>_xlfn.XLOOKUP(CustomerCombined[[#This Row],[ID]], Table4[ID], Table4[Meats], "Not Found", 0)</f>
        <v>48</v>
      </c>
      <c r="N1575" s="5">
        <f>_xlfn.XLOOKUP(CustomerCombined[[#This Row],[ID]], Table4[ID], Table4[Seafood], "Not Found", 0)</f>
        <v>0</v>
      </c>
      <c r="O1575" s="5">
        <f>_xlfn.XLOOKUP(CustomerCombined[[#This Row],[ID]], Table4[ID], Table4[Sweets], "Not Found", 0)</f>
        <v>0</v>
      </c>
      <c r="P1575" s="5">
        <f>_xlfn.XLOOKUP(CustomerCombined[[#This Row],[ID]], Table4[ID], Table4[Premium], "Not Found", 0)</f>
        <v>72</v>
      </c>
      <c r="Q1575" s="5">
        <f>_xlfn.XLOOKUP(CustomerCombined[[#This Row],[ID]], Table4[ID], Table4[Regular], "Not Found", 0)</f>
        <v>200</v>
      </c>
      <c r="R1575" s="5">
        <f>_xlfn.XLOOKUP(CustomerCombined[[#This Row],[ID]], Table4[ID], Table4[Deals], "Not Found", 0)</f>
        <v>2</v>
      </c>
      <c r="S1575" s="5">
        <f>_xlfn.XLOOKUP(CustomerCombined[[#This Row],[ID]], Table4[ID], Table4[Website], "Not Found", 0)</f>
        <v>2</v>
      </c>
      <c r="T1575" s="5">
        <f>_xlfn.XLOOKUP(CustomerCombined[[#This Row],[ID]], Table4[ID], Table4[Catalog], "Not Found", 0)</f>
        <v>0</v>
      </c>
      <c r="U1575" s="5">
        <f>_xlfn.XLOOKUP(CustomerCombined[[#This Row],[ID]], Table4[ID], Table4[Store], "Not Found", 0)</f>
        <v>4</v>
      </c>
      <c r="V1575" s="5">
        <f>_xlfn.XLOOKUP(CustomerCombined[[#This Row],[ID]], Table4[ID], Table4[Visits], "Not Found", 0)</f>
        <v>7</v>
      </c>
      <c r="W1575" s="8">
        <f>_xlfn.XLOOKUP(CustomerCombined[[#This Row],[ID]], Table2[ID],Table2[Complaint], "Not Found", 0 )</f>
        <v>0</v>
      </c>
      <c r="X1575" s="8">
        <f>_xlfn.XLOOKUP(CustomerCombined[[#This Row],[ID]], Table2[ID],Table2[Pilot], "Not Found", 0 )</f>
        <v>0</v>
      </c>
      <c r="Y1575" s="8">
        <f>_xlfn.XLOOKUP(CustomerCombined[[#This Row],[ID]], Table2[ID],Table2[MC1], "Not Found", 0 )</f>
        <v>0</v>
      </c>
      <c r="Z1575" s="8">
        <f>_xlfn.XLOOKUP(CustomerCombined[[#This Row],[ID]], Table2[ID],Table2[MC2], "Not Found", 0 )</f>
        <v>0</v>
      </c>
      <c r="AA1575" s="8">
        <f>_xlfn.XLOOKUP(CustomerCombined[[#This Row],[ID]], Table2[ID],Table2[MC3], "Not Found", 0 )</f>
        <v>0</v>
      </c>
      <c r="AB1575" s="8">
        <f>_xlfn.XLOOKUP(CustomerCombined[[#This Row],[ID]], Table2[ID],Table2[MC4], "Not Found", 0 )</f>
        <v>0</v>
      </c>
      <c r="AC1575" s="8">
        <f>_xlfn.XLOOKUP(CustomerCombined[[#This Row],[ID]], Table2[ID],Table2[MC5], "Not Found", 0 )</f>
        <v>0</v>
      </c>
    </row>
    <row r="1576" spans="1:29" x14ac:dyDescent="0.3">
      <c r="A1576" s="6">
        <v>2169</v>
      </c>
      <c r="B1576" s="6">
        <v>131497</v>
      </c>
      <c r="C1576" s="6">
        <v>0</v>
      </c>
      <c r="D1576" s="6">
        <v>1</v>
      </c>
      <c r="E1576" s="6">
        <v>58</v>
      </c>
      <c r="F1576" s="5" t="s">
        <v>8</v>
      </c>
      <c r="G1576" s="5" t="s">
        <v>13</v>
      </c>
      <c r="H1576" s="3" t="s">
        <v>352</v>
      </c>
      <c r="I1576" s="5" t="s">
        <v>435</v>
      </c>
      <c r="J1576" s="5">
        <f>_xlfn.XLOOKUP(CustomerCombined[[#This Row],[ID]], Table4[ID], Table4[Recency], "Not Found", 0)</f>
        <v>22</v>
      </c>
      <c r="K1576" s="5">
        <f>_xlfn.XLOOKUP(CustomerCombined[[#This Row],[ID]], Table4[ID], Table4[Teas], "Not Found", 0)</f>
        <v>451</v>
      </c>
      <c r="L1576" s="5">
        <f>_xlfn.XLOOKUP(CustomerCombined[[#This Row],[ID]], Table4[ID], Table4[Fruits], "Not Found", 0)</f>
        <v>4</v>
      </c>
      <c r="M1576" s="5">
        <f>_xlfn.XLOOKUP(CustomerCombined[[#This Row],[ID]], Table4[ID], Table4[Meats], "Not Found", 0)</f>
        <v>117</v>
      </c>
      <c r="N1576" s="5">
        <f>_xlfn.XLOOKUP(CustomerCombined[[#This Row],[ID]], Table4[ID], Table4[Seafood], "Not Found", 0)</f>
        <v>54</v>
      </c>
      <c r="O1576" s="5">
        <f>_xlfn.XLOOKUP(CustomerCombined[[#This Row],[ID]], Table4[ID], Table4[Sweets], "Not Found", 0)</f>
        <v>4</v>
      </c>
      <c r="P1576" s="5">
        <f>_xlfn.XLOOKUP(CustomerCombined[[#This Row],[ID]], Table4[ID], Table4[Premium], "Not Found", 0)</f>
        <v>17</v>
      </c>
      <c r="Q1576" s="5">
        <f>_xlfn.XLOOKUP(CustomerCombined[[#This Row],[ID]], Table4[ID], Table4[Regular], "Not Found", 0)</f>
        <v>614</v>
      </c>
      <c r="R1576" s="5">
        <f>_xlfn.XLOOKUP(CustomerCombined[[#This Row],[ID]], Table4[ID], Table4[Deals], "Not Found", 0)</f>
        <v>2</v>
      </c>
      <c r="S1576" s="5">
        <f>_xlfn.XLOOKUP(CustomerCombined[[#This Row],[ID]], Table4[ID], Table4[Website], "Not Found", 0)</f>
        <v>3</v>
      </c>
      <c r="T1576" s="5">
        <f>_xlfn.XLOOKUP(CustomerCombined[[#This Row],[ID]], Table4[ID], Table4[Catalog], "Not Found", 0)</f>
        <v>1</v>
      </c>
      <c r="U1576" s="5">
        <f>_xlfn.XLOOKUP(CustomerCombined[[#This Row],[ID]], Table4[ID], Table4[Store], "Not Found", 0)</f>
        <v>4</v>
      </c>
      <c r="V1576" s="5">
        <f>_xlfn.XLOOKUP(CustomerCombined[[#This Row],[ID]], Table4[ID], Table4[Visits], "Not Found", 0)</f>
        <v>8</v>
      </c>
      <c r="W1576" s="8">
        <f>_xlfn.XLOOKUP(CustomerCombined[[#This Row],[ID]], Table2[ID],Table2[Complaint], "Not Found", 0 )</f>
        <v>0</v>
      </c>
      <c r="X1576" s="8">
        <f>_xlfn.XLOOKUP(CustomerCombined[[#This Row],[ID]], Table2[ID],Table2[Pilot], "Not Found", 0 )</f>
        <v>0</v>
      </c>
      <c r="Y1576" s="8">
        <f>_xlfn.XLOOKUP(CustomerCombined[[#This Row],[ID]], Table2[ID],Table2[MC1], "Not Found", 0 )</f>
        <v>0</v>
      </c>
      <c r="Z1576" s="8">
        <f>_xlfn.XLOOKUP(CustomerCombined[[#This Row],[ID]], Table2[ID],Table2[MC2], "Not Found", 0 )</f>
        <v>0</v>
      </c>
      <c r="AA1576" s="8">
        <f>_xlfn.XLOOKUP(CustomerCombined[[#This Row],[ID]], Table2[ID],Table2[MC3], "Not Found", 0 )</f>
        <v>0</v>
      </c>
      <c r="AB1576" s="8">
        <f>_xlfn.XLOOKUP(CustomerCombined[[#This Row],[ID]], Table2[ID],Table2[MC4], "Not Found", 0 )</f>
        <v>0</v>
      </c>
      <c r="AC1576" s="8">
        <f>_xlfn.XLOOKUP(CustomerCombined[[#This Row],[ID]], Table2[ID],Table2[MC5], "Not Found", 0 )</f>
        <v>0</v>
      </c>
    </row>
    <row r="1577" spans="1:29" x14ac:dyDescent="0.3">
      <c r="A1577" s="6">
        <v>2566</v>
      </c>
      <c r="B1577" s="6">
        <v>131497</v>
      </c>
      <c r="C1577" s="6">
        <v>0</v>
      </c>
      <c r="D1577" s="6">
        <v>1</v>
      </c>
      <c r="E1577" s="6">
        <v>58</v>
      </c>
      <c r="F1577" s="5" t="s">
        <v>8</v>
      </c>
      <c r="G1577" s="5" t="s">
        <v>13</v>
      </c>
      <c r="H1577" s="3" t="s">
        <v>352</v>
      </c>
      <c r="I1577" s="5" t="s">
        <v>439</v>
      </c>
      <c r="J1577" s="5">
        <f>_xlfn.XLOOKUP(CustomerCombined[[#This Row],[ID]], Table4[ID], Table4[Recency], "Not Found", 0)</f>
        <v>22</v>
      </c>
      <c r="K1577" s="5">
        <f>_xlfn.XLOOKUP(CustomerCombined[[#This Row],[ID]], Table4[ID], Table4[Teas], "Not Found", 0)</f>
        <v>451</v>
      </c>
      <c r="L1577" s="5">
        <f>_xlfn.XLOOKUP(CustomerCombined[[#This Row],[ID]], Table4[ID], Table4[Fruits], "Not Found", 0)</f>
        <v>4</v>
      </c>
      <c r="M1577" s="5">
        <f>_xlfn.XLOOKUP(CustomerCombined[[#This Row],[ID]], Table4[ID], Table4[Meats], "Not Found", 0)</f>
        <v>117</v>
      </c>
      <c r="N1577" s="5">
        <f>_xlfn.XLOOKUP(CustomerCombined[[#This Row],[ID]], Table4[ID], Table4[Seafood], "Not Found", 0)</f>
        <v>54</v>
      </c>
      <c r="O1577" s="5">
        <f>_xlfn.XLOOKUP(CustomerCombined[[#This Row],[ID]], Table4[ID], Table4[Sweets], "Not Found", 0)</f>
        <v>4</v>
      </c>
      <c r="P1577" s="5">
        <f>_xlfn.XLOOKUP(CustomerCombined[[#This Row],[ID]], Table4[ID], Table4[Premium], "Not Found", 0)</f>
        <v>17</v>
      </c>
      <c r="Q1577" s="5">
        <f>_xlfn.XLOOKUP(CustomerCombined[[#This Row],[ID]], Table4[ID], Table4[Regular], "Not Found", 0)</f>
        <v>614</v>
      </c>
      <c r="R1577" s="5">
        <f>_xlfn.XLOOKUP(CustomerCombined[[#This Row],[ID]], Table4[ID], Table4[Deals], "Not Found", 0)</f>
        <v>2</v>
      </c>
      <c r="S1577" s="5">
        <f>_xlfn.XLOOKUP(CustomerCombined[[#This Row],[ID]], Table4[ID], Table4[Website], "Not Found", 0)</f>
        <v>3</v>
      </c>
      <c r="T1577" s="5">
        <f>_xlfn.XLOOKUP(CustomerCombined[[#This Row],[ID]], Table4[ID], Table4[Catalog], "Not Found", 0)</f>
        <v>1</v>
      </c>
      <c r="U1577" s="5">
        <f>_xlfn.XLOOKUP(CustomerCombined[[#This Row],[ID]], Table4[ID], Table4[Store], "Not Found", 0)</f>
        <v>4</v>
      </c>
      <c r="V1577" s="5">
        <f>_xlfn.XLOOKUP(CustomerCombined[[#This Row],[ID]], Table4[ID], Table4[Visits], "Not Found", 0)</f>
        <v>8</v>
      </c>
      <c r="W1577" s="8">
        <f>_xlfn.XLOOKUP(CustomerCombined[[#This Row],[ID]], Table2[ID],Table2[Complaint], "Not Found", 0 )</f>
        <v>0</v>
      </c>
      <c r="X1577" s="8">
        <f>_xlfn.XLOOKUP(CustomerCombined[[#This Row],[ID]], Table2[ID],Table2[Pilot], "Not Found", 0 )</f>
        <v>0</v>
      </c>
      <c r="Y1577" s="8">
        <f>_xlfn.XLOOKUP(CustomerCombined[[#This Row],[ID]], Table2[ID],Table2[MC1], "Not Found", 0 )</f>
        <v>0</v>
      </c>
      <c r="Z1577" s="8">
        <f>_xlfn.XLOOKUP(CustomerCombined[[#This Row],[ID]], Table2[ID],Table2[MC2], "Not Found", 0 )</f>
        <v>0</v>
      </c>
      <c r="AA1577" s="8">
        <f>_xlfn.XLOOKUP(CustomerCombined[[#This Row],[ID]], Table2[ID],Table2[MC3], "Not Found", 0 )</f>
        <v>0</v>
      </c>
      <c r="AB1577" s="8">
        <f>_xlfn.XLOOKUP(CustomerCombined[[#This Row],[ID]], Table2[ID],Table2[MC4], "Not Found", 0 )</f>
        <v>0</v>
      </c>
      <c r="AC1577" s="8">
        <f>_xlfn.XLOOKUP(CustomerCombined[[#This Row],[ID]], Table2[ID],Table2[MC5], "Not Found", 0 )</f>
        <v>0</v>
      </c>
    </row>
    <row r="1578" spans="1:29" x14ac:dyDescent="0.3">
      <c r="A1578" s="6">
        <v>2295</v>
      </c>
      <c r="B1578" s="6">
        <v>127238</v>
      </c>
      <c r="C1578" s="6">
        <v>1</v>
      </c>
      <c r="D1578" s="6">
        <v>1</v>
      </c>
      <c r="E1578" s="6">
        <v>58</v>
      </c>
      <c r="F1578" s="5" t="s">
        <v>7</v>
      </c>
      <c r="G1578" s="5" t="s">
        <v>13</v>
      </c>
      <c r="H1578" s="3" t="s">
        <v>269</v>
      </c>
      <c r="I1578" s="5" t="s">
        <v>435</v>
      </c>
      <c r="J1578" s="5">
        <f>_xlfn.XLOOKUP(CustomerCombined[[#This Row],[ID]], Table4[ID], Table4[Recency], "Not Found", 0)</f>
        <v>39</v>
      </c>
      <c r="K1578" s="5">
        <f>_xlfn.XLOOKUP(CustomerCombined[[#This Row],[ID]], Table4[ID], Table4[Teas], "Not Found", 0)</f>
        <v>173</v>
      </c>
      <c r="L1578" s="5">
        <f>_xlfn.XLOOKUP(CustomerCombined[[#This Row],[ID]], Table4[ID], Table4[Fruits], "Not Found", 0)</f>
        <v>0</v>
      </c>
      <c r="M1578" s="5">
        <f>_xlfn.XLOOKUP(CustomerCombined[[#This Row],[ID]], Table4[ID], Table4[Meats], "Not Found", 0)</f>
        <v>79</v>
      </c>
      <c r="N1578" s="5">
        <f>_xlfn.XLOOKUP(CustomerCombined[[#This Row],[ID]], Table4[ID], Table4[Seafood], "Not Found", 0)</f>
        <v>0</v>
      </c>
      <c r="O1578" s="5">
        <f>_xlfn.XLOOKUP(CustomerCombined[[#This Row],[ID]], Table4[ID], Table4[Sweets], "Not Found", 0)</f>
        <v>0</v>
      </c>
      <c r="P1578" s="5">
        <f>_xlfn.XLOOKUP(CustomerCombined[[#This Row],[ID]], Table4[ID], Table4[Premium], "Not Found", 0)</f>
        <v>14</v>
      </c>
      <c r="Q1578" s="5">
        <f>_xlfn.XLOOKUP(CustomerCombined[[#This Row],[ID]], Table4[ID], Table4[Regular], "Not Found", 0)</f>
        <v>238</v>
      </c>
      <c r="R1578" s="5">
        <f>_xlfn.XLOOKUP(CustomerCombined[[#This Row],[ID]], Table4[ID], Table4[Deals], "Not Found", 0)</f>
        <v>3</v>
      </c>
      <c r="S1578" s="5">
        <f>_xlfn.XLOOKUP(CustomerCombined[[#This Row],[ID]], Table4[ID], Table4[Website], "Not Found", 0)</f>
        <v>3</v>
      </c>
      <c r="T1578" s="5">
        <f>_xlfn.XLOOKUP(CustomerCombined[[#This Row],[ID]], Table4[ID], Table4[Catalog], "Not Found", 0)</f>
        <v>0</v>
      </c>
      <c r="U1578" s="5">
        <f>_xlfn.XLOOKUP(CustomerCombined[[#This Row],[ID]], Table4[ID], Table4[Store], "Not Found", 0)</f>
        <v>3</v>
      </c>
      <c r="V1578" s="5">
        <f>_xlfn.XLOOKUP(CustomerCombined[[#This Row],[ID]], Table4[ID], Table4[Visits], "Not Found", 0)</f>
        <v>9</v>
      </c>
      <c r="W1578" s="8">
        <f>_xlfn.XLOOKUP(CustomerCombined[[#This Row],[ID]], Table2[ID],Table2[Complaint], "Not Found", 0 )</f>
        <v>0</v>
      </c>
      <c r="X1578" s="8">
        <f>_xlfn.XLOOKUP(CustomerCombined[[#This Row],[ID]], Table2[ID],Table2[Pilot], "Not Found", 0 )</f>
        <v>0</v>
      </c>
      <c r="Y1578" s="8">
        <f>_xlfn.XLOOKUP(CustomerCombined[[#This Row],[ID]], Table2[ID],Table2[MC1], "Not Found", 0 )</f>
        <v>0</v>
      </c>
      <c r="Z1578" s="8">
        <f>_xlfn.XLOOKUP(CustomerCombined[[#This Row],[ID]], Table2[ID],Table2[MC2], "Not Found", 0 )</f>
        <v>0</v>
      </c>
      <c r="AA1578" s="8">
        <f>_xlfn.XLOOKUP(CustomerCombined[[#This Row],[ID]], Table2[ID],Table2[MC3], "Not Found", 0 )</f>
        <v>0</v>
      </c>
      <c r="AB1578" s="8">
        <f>_xlfn.XLOOKUP(CustomerCombined[[#This Row],[ID]], Table2[ID],Table2[MC4], "Not Found", 0 )</f>
        <v>0</v>
      </c>
      <c r="AC1578" s="8">
        <f>_xlfn.XLOOKUP(CustomerCombined[[#This Row],[ID]], Table2[ID],Table2[MC5], "Not Found", 0 )</f>
        <v>0</v>
      </c>
    </row>
    <row r="1579" spans="1:29" x14ac:dyDescent="0.3">
      <c r="A1579" s="6">
        <v>2056</v>
      </c>
      <c r="B1579" s="6">
        <v>188347</v>
      </c>
      <c r="C1579" s="6">
        <v>0</v>
      </c>
      <c r="D1579" s="6">
        <v>0</v>
      </c>
      <c r="E1579" s="6">
        <v>59</v>
      </c>
      <c r="F1579" s="5" t="s">
        <v>8</v>
      </c>
      <c r="G1579" s="5" t="s">
        <v>11</v>
      </c>
      <c r="H1579" s="3">
        <v>43689</v>
      </c>
      <c r="I1579" s="5" t="s">
        <v>439</v>
      </c>
      <c r="J1579" s="5">
        <f>_xlfn.XLOOKUP(CustomerCombined[[#This Row],[ID]], Table4[ID], Table4[Recency], "Not Found", 0)</f>
        <v>32</v>
      </c>
      <c r="K1579" s="5">
        <f>_xlfn.XLOOKUP(CustomerCombined[[#This Row],[ID]], Table4[ID], Table4[Teas], "Not Found", 0)</f>
        <v>2238</v>
      </c>
      <c r="L1579" s="5">
        <f>_xlfn.XLOOKUP(CustomerCombined[[#This Row],[ID]], Table4[ID], Table4[Fruits], "Not Found", 0)</f>
        <v>379</v>
      </c>
      <c r="M1579" s="5">
        <f>_xlfn.XLOOKUP(CustomerCombined[[#This Row],[ID]], Table4[ID], Table4[Meats], "Not Found", 0)</f>
        <v>1183</v>
      </c>
      <c r="N1579" s="5">
        <f>_xlfn.XLOOKUP(CustomerCombined[[#This Row],[ID]], Table4[ID], Table4[Seafood], "Not Found", 0)</f>
        <v>164</v>
      </c>
      <c r="O1579" s="5">
        <f>_xlfn.XLOOKUP(CustomerCombined[[#This Row],[ID]], Table4[ID], Table4[Sweets], "Not Found", 0)</f>
        <v>294</v>
      </c>
      <c r="P1579" s="5">
        <f>_xlfn.XLOOKUP(CustomerCombined[[#This Row],[ID]], Table4[ID], Table4[Premium], "Not Found", 0)</f>
        <v>252</v>
      </c>
      <c r="Q1579" s="5">
        <f>_xlfn.XLOOKUP(CustomerCombined[[#This Row],[ID]], Table4[ID], Table4[Regular], "Not Found", 0)</f>
        <v>4008</v>
      </c>
      <c r="R1579" s="5">
        <f>_xlfn.XLOOKUP(CustomerCombined[[#This Row],[ID]], Table4[ID], Table4[Deals], "Not Found", 0)</f>
        <v>1</v>
      </c>
      <c r="S1579" s="5">
        <f>_xlfn.XLOOKUP(CustomerCombined[[#This Row],[ID]], Table4[ID], Table4[Website], "Not Found", 0)</f>
        <v>4</v>
      </c>
      <c r="T1579" s="5">
        <f>_xlfn.XLOOKUP(CustomerCombined[[#This Row],[ID]], Table4[ID], Table4[Catalog], "Not Found", 0)</f>
        <v>7</v>
      </c>
      <c r="U1579" s="5">
        <f>_xlfn.XLOOKUP(CustomerCombined[[#This Row],[ID]], Table4[ID], Table4[Store], "Not Found", 0)</f>
        <v>9</v>
      </c>
      <c r="V1579" s="5">
        <f>_xlfn.XLOOKUP(CustomerCombined[[#This Row],[ID]], Table4[ID], Table4[Visits], "Not Found", 0)</f>
        <v>1</v>
      </c>
      <c r="W1579" s="8">
        <f>_xlfn.XLOOKUP(CustomerCombined[[#This Row],[ID]], Table2[ID],Table2[Complaint], "Not Found", 0 )</f>
        <v>0</v>
      </c>
      <c r="X1579" s="8">
        <f>_xlfn.XLOOKUP(CustomerCombined[[#This Row],[ID]], Table2[ID],Table2[Pilot], "Not Found", 0 )</f>
        <v>0</v>
      </c>
      <c r="Y1579" s="8">
        <f>_xlfn.XLOOKUP(CustomerCombined[[#This Row],[ID]], Table2[ID],Table2[MC1], "Not Found", 0 )</f>
        <v>1</v>
      </c>
      <c r="Z1579" s="8">
        <f>_xlfn.XLOOKUP(CustomerCombined[[#This Row],[ID]], Table2[ID],Table2[MC2], "Not Found", 0 )</f>
        <v>0</v>
      </c>
      <c r="AA1579" s="8">
        <f>_xlfn.XLOOKUP(CustomerCombined[[#This Row],[ID]], Table2[ID],Table2[MC3], "Not Found", 0 )</f>
        <v>0</v>
      </c>
      <c r="AB1579" s="8">
        <f>_xlfn.XLOOKUP(CustomerCombined[[#This Row],[ID]], Table2[ID],Table2[MC4], "Not Found", 0 )</f>
        <v>0</v>
      </c>
      <c r="AC1579" s="8">
        <f>_xlfn.XLOOKUP(CustomerCombined[[#This Row],[ID]], Table2[ID],Table2[MC5], "Not Found", 0 )</f>
        <v>0</v>
      </c>
    </row>
    <row r="1580" spans="1:29" x14ac:dyDescent="0.3">
      <c r="A1580" s="6">
        <v>1887</v>
      </c>
      <c r="B1580" s="6">
        <v>186429</v>
      </c>
      <c r="C1580" s="6">
        <v>0</v>
      </c>
      <c r="D1580" s="6">
        <v>0</v>
      </c>
      <c r="E1580" s="6">
        <v>59</v>
      </c>
      <c r="F1580" s="5" t="s">
        <v>7</v>
      </c>
      <c r="G1580" s="5" t="s">
        <v>11</v>
      </c>
      <c r="H1580" s="3" t="s">
        <v>144</v>
      </c>
      <c r="I1580" s="5" t="s">
        <v>435</v>
      </c>
      <c r="J1580" s="5">
        <f>_xlfn.XLOOKUP(CustomerCombined[[#This Row],[ID]], Table4[ID], Table4[Recency], "Not Found", 0)</f>
        <v>10</v>
      </c>
      <c r="K1580" s="5">
        <f>_xlfn.XLOOKUP(CustomerCombined[[#This Row],[ID]], Table4[ID], Table4[Teas], "Not Found", 0)</f>
        <v>1001</v>
      </c>
      <c r="L1580" s="5">
        <f>_xlfn.XLOOKUP(CustomerCombined[[#This Row],[ID]], Table4[ID], Table4[Fruits], "Not Found", 0)</f>
        <v>60</v>
      </c>
      <c r="M1580" s="5">
        <f>_xlfn.XLOOKUP(CustomerCombined[[#This Row],[ID]], Table4[ID], Table4[Meats], "Not Found", 0)</f>
        <v>1883</v>
      </c>
      <c r="N1580" s="5">
        <f>_xlfn.XLOOKUP(CustomerCombined[[#This Row],[ID]], Table4[ID], Table4[Seafood], "Not Found", 0)</f>
        <v>63</v>
      </c>
      <c r="O1580" s="5">
        <f>_xlfn.XLOOKUP(CustomerCombined[[#This Row],[ID]], Table4[ID], Table4[Sweets], "Not Found", 0)</f>
        <v>39</v>
      </c>
      <c r="P1580" s="5">
        <f>_xlfn.XLOOKUP(CustomerCombined[[#This Row],[ID]], Table4[ID], Table4[Premium], "Not Found", 0)</f>
        <v>80</v>
      </c>
      <c r="Q1580" s="5">
        <f>_xlfn.XLOOKUP(CustomerCombined[[#This Row],[ID]], Table4[ID], Table4[Regular], "Not Found", 0)</f>
        <v>2966</v>
      </c>
      <c r="R1580" s="5">
        <f>_xlfn.XLOOKUP(CustomerCombined[[#This Row],[ID]], Table4[ID], Table4[Deals], "Not Found", 0)</f>
        <v>0</v>
      </c>
      <c r="S1580" s="5">
        <f>_xlfn.XLOOKUP(CustomerCombined[[#This Row],[ID]], Table4[ID], Table4[Website], "Not Found", 0)</f>
        <v>7</v>
      </c>
      <c r="T1580" s="5">
        <f>_xlfn.XLOOKUP(CustomerCombined[[#This Row],[ID]], Table4[ID], Table4[Catalog], "Not Found", 0)</f>
        <v>4</v>
      </c>
      <c r="U1580" s="5">
        <f>_xlfn.XLOOKUP(CustomerCombined[[#This Row],[ID]], Table4[ID], Table4[Store], "Not Found", 0)</f>
        <v>7</v>
      </c>
      <c r="V1580" s="5">
        <f>_xlfn.XLOOKUP(CustomerCombined[[#This Row],[ID]], Table4[ID], Table4[Visits], "Not Found", 0)</f>
        <v>2</v>
      </c>
      <c r="W1580" s="8">
        <f>_xlfn.XLOOKUP(CustomerCombined[[#This Row],[ID]], Table2[ID],Table2[Complaint], "Not Found", 0 )</f>
        <v>0</v>
      </c>
      <c r="X1580" s="8">
        <f>_xlfn.XLOOKUP(CustomerCombined[[#This Row],[ID]], Table2[ID],Table2[Pilot], "Not Found", 0 )</f>
        <v>1</v>
      </c>
      <c r="Y1580" s="8">
        <f>_xlfn.XLOOKUP(CustomerCombined[[#This Row],[ID]], Table2[ID],Table2[MC1], "Not Found", 0 )</f>
        <v>1</v>
      </c>
      <c r="Z1580" s="8">
        <f>_xlfn.XLOOKUP(CustomerCombined[[#This Row],[ID]], Table2[ID],Table2[MC2], "Not Found", 0 )</f>
        <v>0</v>
      </c>
      <c r="AA1580" s="8">
        <f>_xlfn.XLOOKUP(CustomerCombined[[#This Row],[ID]], Table2[ID],Table2[MC3], "Not Found", 0 )</f>
        <v>0</v>
      </c>
      <c r="AB1580" s="8">
        <f>_xlfn.XLOOKUP(CustomerCombined[[#This Row],[ID]], Table2[ID],Table2[MC4], "Not Found", 0 )</f>
        <v>0</v>
      </c>
      <c r="AC1580" s="8">
        <f>_xlfn.XLOOKUP(CustomerCombined[[#This Row],[ID]], Table2[ID],Table2[MC5], "Not Found", 0 )</f>
        <v>0</v>
      </c>
    </row>
    <row r="1581" spans="1:29" x14ac:dyDescent="0.3">
      <c r="A1581" s="6">
        <v>1414</v>
      </c>
      <c r="B1581" s="6">
        <v>184865</v>
      </c>
      <c r="C1581" s="6">
        <v>0</v>
      </c>
      <c r="D1581" s="6">
        <v>0</v>
      </c>
      <c r="E1581" s="6">
        <v>59</v>
      </c>
      <c r="F1581" s="5" t="s">
        <v>7</v>
      </c>
      <c r="G1581" s="5" t="s">
        <v>13</v>
      </c>
      <c r="H1581" s="3" t="s">
        <v>262</v>
      </c>
      <c r="I1581" s="5" t="s">
        <v>439</v>
      </c>
      <c r="J1581" s="5">
        <f>_xlfn.XLOOKUP(CustomerCombined[[#This Row],[ID]], Table4[ID], Table4[Recency], "Not Found", 0)</f>
        <v>1</v>
      </c>
      <c r="K1581" s="5">
        <f>_xlfn.XLOOKUP(CustomerCombined[[#This Row],[ID]], Table4[ID], Table4[Teas], "Not Found", 0)</f>
        <v>2719</v>
      </c>
      <c r="L1581" s="5">
        <f>_xlfn.XLOOKUP(CustomerCombined[[#This Row],[ID]], Table4[ID], Table4[Fruits], "Not Found", 0)</f>
        <v>35</v>
      </c>
      <c r="M1581" s="5">
        <f>_xlfn.XLOOKUP(CustomerCombined[[#This Row],[ID]], Table4[ID], Table4[Meats], "Not Found", 0)</f>
        <v>760</v>
      </c>
      <c r="N1581" s="5">
        <f>_xlfn.XLOOKUP(CustomerCombined[[#This Row],[ID]], Table4[ID], Table4[Seafood], "Not Found", 0)</f>
        <v>94</v>
      </c>
      <c r="O1581" s="5">
        <f>_xlfn.XLOOKUP(CustomerCombined[[#This Row],[ID]], Table4[ID], Table4[Sweets], "Not Found", 0)</f>
        <v>35</v>
      </c>
      <c r="P1581" s="5">
        <f>_xlfn.XLOOKUP(CustomerCombined[[#This Row],[ID]], Table4[ID], Table4[Premium], "Not Found", 0)</f>
        <v>35</v>
      </c>
      <c r="Q1581" s="5">
        <f>_xlfn.XLOOKUP(CustomerCombined[[#This Row],[ID]], Table4[ID], Table4[Regular], "Not Found", 0)</f>
        <v>3607</v>
      </c>
      <c r="R1581" s="5">
        <f>_xlfn.XLOOKUP(CustomerCombined[[#This Row],[ID]], Table4[ID], Table4[Deals], "Not Found", 0)</f>
        <v>1</v>
      </c>
      <c r="S1581" s="5">
        <f>_xlfn.XLOOKUP(CustomerCombined[[#This Row],[ID]], Table4[ID], Table4[Website], "Not Found", 0)</f>
        <v>2</v>
      </c>
      <c r="T1581" s="5">
        <f>_xlfn.XLOOKUP(CustomerCombined[[#This Row],[ID]], Table4[ID], Table4[Catalog], "Not Found", 0)</f>
        <v>4</v>
      </c>
      <c r="U1581" s="5">
        <f>_xlfn.XLOOKUP(CustomerCombined[[#This Row],[ID]], Table4[ID], Table4[Store], "Not Found", 0)</f>
        <v>9</v>
      </c>
      <c r="V1581" s="5">
        <f>_xlfn.XLOOKUP(CustomerCombined[[#This Row],[ID]], Table4[ID], Table4[Visits], "Not Found", 0)</f>
        <v>4</v>
      </c>
      <c r="W1581" s="8">
        <f>_xlfn.XLOOKUP(CustomerCombined[[#This Row],[ID]], Table2[ID],Table2[Complaint], "Not Found", 0 )</f>
        <v>0</v>
      </c>
      <c r="X1581" s="8">
        <f>_xlfn.XLOOKUP(CustomerCombined[[#This Row],[ID]], Table2[ID],Table2[Pilot], "Not Found", 0 )</f>
        <v>1</v>
      </c>
      <c r="Y1581" s="8">
        <f>_xlfn.XLOOKUP(CustomerCombined[[#This Row],[ID]], Table2[ID],Table2[MC1], "Not Found", 0 )</f>
        <v>1</v>
      </c>
      <c r="Z1581" s="8">
        <f>_xlfn.XLOOKUP(CustomerCombined[[#This Row],[ID]], Table2[ID],Table2[MC2], "Not Found", 0 )</f>
        <v>1</v>
      </c>
      <c r="AA1581" s="8">
        <f>_xlfn.XLOOKUP(CustomerCombined[[#This Row],[ID]], Table2[ID],Table2[MC3], "Not Found", 0 )</f>
        <v>0</v>
      </c>
      <c r="AB1581" s="8">
        <f>_xlfn.XLOOKUP(CustomerCombined[[#This Row],[ID]], Table2[ID],Table2[MC4], "Not Found", 0 )</f>
        <v>1</v>
      </c>
      <c r="AC1581" s="8">
        <f>_xlfn.XLOOKUP(CustomerCombined[[#This Row],[ID]], Table2[ID],Table2[MC5], "Not Found", 0 )</f>
        <v>1</v>
      </c>
    </row>
    <row r="1582" spans="1:29" x14ac:dyDescent="0.3">
      <c r="A1582" s="6">
        <v>3078</v>
      </c>
      <c r="B1582" s="6">
        <v>182332</v>
      </c>
      <c r="C1582" s="6">
        <v>0</v>
      </c>
      <c r="D1582" s="6">
        <v>0</v>
      </c>
      <c r="E1582" s="6">
        <v>59</v>
      </c>
      <c r="F1582" s="5" t="s">
        <v>7</v>
      </c>
      <c r="G1582" s="5" t="s">
        <v>11</v>
      </c>
      <c r="H1582" s="3" t="s">
        <v>394</v>
      </c>
      <c r="I1582" s="5" t="s">
        <v>436</v>
      </c>
      <c r="J1582" s="5">
        <f>_xlfn.XLOOKUP(CustomerCombined[[#This Row],[ID]], Table4[ID], Table4[Recency], "Not Found", 0)</f>
        <v>89</v>
      </c>
      <c r="K1582" s="5">
        <f>_xlfn.XLOOKUP(CustomerCombined[[#This Row],[ID]], Table4[ID], Table4[Teas], "Not Found", 0)</f>
        <v>1838</v>
      </c>
      <c r="L1582" s="5">
        <f>_xlfn.XLOOKUP(CustomerCombined[[#This Row],[ID]], Table4[ID], Table4[Fruits], "Not Found", 0)</f>
        <v>131</v>
      </c>
      <c r="M1582" s="5">
        <f>_xlfn.XLOOKUP(CustomerCombined[[#This Row],[ID]], Table4[ID], Table4[Meats], "Not Found", 0)</f>
        <v>2144</v>
      </c>
      <c r="N1582" s="5">
        <f>_xlfn.XLOOKUP(CustomerCombined[[#This Row],[ID]], Table4[ID], Table4[Seafood], "Not Found", 0)</f>
        <v>113</v>
      </c>
      <c r="O1582" s="5">
        <f>_xlfn.XLOOKUP(CustomerCombined[[#This Row],[ID]], Table4[ID], Table4[Sweets], "Not Found", 0)</f>
        <v>175</v>
      </c>
      <c r="P1582" s="5">
        <f>_xlfn.XLOOKUP(CustomerCombined[[#This Row],[ID]], Table4[ID], Table4[Premium], "Not Found", 0)</f>
        <v>42</v>
      </c>
      <c r="Q1582" s="5">
        <f>_xlfn.XLOOKUP(CustomerCombined[[#This Row],[ID]], Table4[ID], Table4[Regular], "Not Found", 0)</f>
        <v>4358</v>
      </c>
      <c r="R1582" s="5">
        <f>_xlfn.XLOOKUP(CustomerCombined[[#This Row],[ID]], Table4[ID], Table4[Deals], "Not Found", 0)</f>
        <v>1</v>
      </c>
      <c r="S1582" s="5">
        <f>_xlfn.XLOOKUP(CustomerCombined[[#This Row],[ID]], Table4[ID], Table4[Website], "Not Found", 0)</f>
        <v>5</v>
      </c>
      <c r="T1582" s="5">
        <f>_xlfn.XLOOKUP(CustomerCombined[[#This Row],[ID]], Table4[ID], Table4[Catalog], "Not Found", 0)</f>
        <v>3</v>
      </c>
      <c r="U1582" s="5">
        <f>_xlfn.XLOOKUP(CustomerCombined[[#This Row],[ID]], Table4[ID], Table4[Store], "Not Found", 0)</f>
        <v>12</v>
      </c>
      <c r="V1582" s="5">
        <f>_xlfn.XLOOKUP(CustomerCombined[[#This Row],[ID]], Table4[ID], Table4[Visits], "Not Found", 0)</f>
        <v>2</v>
      </c>
      <c r="W1582" s="8">
        <f>_xlfn.XLOOKUP(CustomerCombined[[#This Row],[ID]], Table2[ID],Table2[Complaint], "Not Found", 0 )</f>
        <v>0</v>
      </c>
      <c r="X1582" s="8">
        <f>_xlfn.XLOOKUP(CustomerCombined[[#This Row],[ID]], Table2[ID],Table2[Pilot], "Not Found", 0 )</f>
        <v>1</v>
      </c>
      <c r="Y1582" s="8">
        <f>_xlfn.XLOOKUP(CustomerCombined[[#This Row],[ID]], Table2[ID],Table2[MC1], "Not Found", 0 )</f>
        <v>0</v>
      </c>
      <c r="Z1582" s="8">
        <f>_xlfn.XLOOKUP(CustomerCombined[[#This Row],[ID]], Table2[ID],Table2[MC2], "Not Found", 0 )</f>
        <v>0</v>
      </c>
      <c r="AA1582" s="8">
        <f>_xlfn.XLOOKUP(CustomerCombined[[#This Row],[ID]], Table2[ID],Table2[MC3], "Not Found", 0 )</f>
        <v>0</v>
      </c>
      <c r="AB1582" s="8">
        <f>_xlfn.XLOOKUP(CustomerCombined[[#This Row],[ID]], Table2[ID],Table2[MC4], "Not Found", 0 )</f>
        <v>0</v>
      </c>
      <c r="AC1582" s="8">
        <f>_xlfn.XLOOKUP(CustomerCombined[[#This Row],[ID]], Table2[ID],Table2[MC5], "Not Found", 0 )</f>
        <v>1</v>
      </c>
    </row>
    <row r="1583" spans="1:29" x14ac:dyDescent="0.3">
      <c r="A1583" s="6">
        <v>2627</v>
      </c>
      <c r="B1583" s="6">
        <v>182014</v>
      </c>
      <c r="C1583" s="6">
        <v>0</v>
      </c>
      <c r="D1583" s="6">
        <v>0</v>
      </c>
      <c r="E1583" s="6">
        <v>59</v>
      </c>
      <c r="F1583" s="5" t="s">
        <v>7</v>
      </c>
      <c r="G1583" s="5" t="s">
        <v>11</v>
      </c>
      <c r="H1583" s="3" t="s">
        <v>408</v>
      </c>
      <c r="I1583" s="5" t="s">
        <v>434</v>
      </c>
      <c r="J1583" s="5">
        <f>_xlfn.XLOOKUP(CustomerCombined[[#This Row],[ID]], Table4[ID], Table4[Recency], "Not Found", 0)</f>
        <v>48</v>
      </c>
      <c r="K1583" s="5">
        <f>_xlfn.XLOOKUP(CustomerCombined[[#This Row],[ID]], Table4[ID], Table4[Teas], "Not Found", 0)</f>
        <v>2175</v>
      </c>
      <c r="L1583" s="5">
        <f>_xlfn.XLOOKUP(CustomerCombined[[#This Row],[ID]], Table4[ID], Table4[Fruits], "Not Found", 0)</f>
        <v>82</v>
      </c>
      <c r="M1583" s="5">
        <f>_xlfn.XLOOKUP(CustomerCombined[[#This Row],[ID]], Table4[ID], Table4[Meats], "Not Found", 0)</f>
        <v>588</v>
      </c>
      <c r="N1583" s="5">
        <f>_xlfn.XLOOKUP(CustomerCombined[[#This Row],[ID]], Table4[ID], Table4[Seafood], "Not Found", 0)</f>
        <v>78</v>
      </c>
      <c r="O1583" s="5">
        <f>_xlfn.XLOOKUP(CustomerCombined[[#This Row],[ID]], Table4[ID], Table4[Sweets], "Not Found", 0)</f>
        <v>362</v>
      </c>
      <c r="P1583" s="5">
        <f>_xlfn.XLOOKUP(CustomerCombined[[#This Row],[ID]], Table4[ID], Table4[Premium], "Not Found", 0)</f>
        <v>69</v>
      </c>
      <c r="Q1583" s="5">
        <f>_xlfn.XLOOKUP(CustomerCombined[[#This Row],[ID]], Table4[ID], Table4[Regular], "Not Found", 0)</f>
        <v>3216</v>
      </c>
      <c r="R1583" s="5">
        <f>_xlfn.XLOOKUP(CustomerCombined[[#This Row],[ID]], Table4[ID], Table4[Deals], "Not Found", 0)</f>
        <v>1</v>
      </c>
      <c r="S1583" s="5">
        <f>_xlfn.XLOOKUP(CustomerCombined[[#This Row],[ID]], Table4[ID], Table4[Website], "Not Found", 0)</f>
        <v>3</v>
      </c>
      <c r="T1583" s="5">
        <f>_xlfn.XLOOKUP(CustomerCombined[[#This Row],[ID]], Table4[ID], Table4[Catalog], "Not Found", 0)</f>
        <v>6</v>
      </c>
      <c r="U1583" s="5">
        <f>_xlfn.XLOOKUP(CustomerCombined[[#This Row],[ID]], Table4[ID], Table4[Store], "Not Found", 0)</f>
        <v>12</v>
      </c>
      <c r="V1583" s="5">
        <f>_xlfn.XLOOKUP(CustomerCombined[[#This Row],[ID]], Table4[ID], Table4[Visits], "Not Found", 0)</f>
        <v>6</v>
      </c>
      <c r="W1583" s="8">
        <f>_xlfn.XLOOKUP(CustomerCombined[[#This Row],[ID]], Table2[ID],Table2[Complaint], "Not Found", 0 )</f>
        <v>0</v>
      </c>
      <c r="X1583" s="8">
        <f>_xlfn.XLOOKUP(CustomerCombined[[#This Row],[ID]], Table2[ID],Table2[Pilot], "Not Found", 0 )</f>
        <v>1</v>
      </c>
      <c r="Y1583" s="8">
        <f>_xlfn.XLOOKUP(CustomerCombined[[#This Row],[ID]], Table2[ID],Table2[MC1], "Not Found", 0 )</f>
        <v>0</v>
      </c>
      <c r="Z1583" s="8">
        <f>_xlfn.XLOOKUP(CustomerCombined[[#This Row],[ID]], Table2[ID],Table2[MC2], "Not Found", 0 )</f>
        <v>0</v>
      </c>
      <c r="AA1583" s="8">
        <f>_xlfn.XLOOKUP(CustomerCombined[[#This Row],[ID]], Table2[ID],Table2[MC3], "Not Found", 0 )</f>
        <v>0</v>
      </c>
      <c r="AB1583" s="8">
        <f>_xlfn.XLOOKUP(CustomerCombined[[#This Row],[ID]], Table2[ID],Table2[MC4], "Not Found", 0 )</f>
        <v>0</v>
      </c>
      <c r="AC1583" s="8">
        <f>_xlfn.XLOOKUP(CustomerCombined[[#This Row],[ID]], Table2[ID],Table2[MC5], "Not Found", 0 )</f>
        <v>0</v>
      </c>
    </row>
    <row r="1584" spans="1:29" x14ac:dyDescent="0.3">
      <c r="A1584" s="6">
        <v>1292</v>
      </c>
      <c r="B1584" s="6">
        <v>180950</v>
      </c>
      <c r="C1584" s="6">
        <v>0</v>
      </c>
      <c r="D1584" s="6">
        <v>0</v>
      </c>
      <c r="E1584" s="6">
        <v>59</v>
      </c>
      <c r="F1584" s="5" t="s">
        <v>6</v>
      </c>
      <c r="G1584" s="5" t="s">
        <v>12</v>
      </c>
      <c r="H1584" s="3">
        <v>43505</v>
      </c>
      <c r="I1584" s="5" t="s">
        <v>438</v>
      </c>
      <c r="J1584" s="5">
        <f>_xlfn.XLOOKUP(CustomerCombined[[#This Row],[ID]], Table4[ID], Table4[Recency], "Not Found", 0)</f>
        <v>44</v>
      </c>
      <c r="K1584" s="5">
        <f>_xlfn.XLOOKUP(CustomerCombined[[#This Row],[ID]], Table4[ID], Table4[Teas], "Not Found", 0)</f>
        <v>1174</v>
      </c>
      <c r="L1584" s="5">
        <f>_xlfn.XLOOKUP(CustomerCombined[[#This Row],[ID]], Table4[ID], Table4[Fruits], "Not Found", 0)</f>
        <v>329</v>
      </c>
      <c r="M1584" s="5">
        <f>_xlfn.XLOOKUP(CustomerCombined[[#This Row],[ID]], Table4[ID], Table4[Meats], "Not Found", 0)</f>
        <v>250</v>
      </c>
      <c r="N1584" s="5">
        <f>_xlfn.XLOOKUP(CustomerCombined[[#This Row],[ID]], Table4[ID], Table4[Seafood], "Not Found", 0)</f>
        <v>490</v>
      </c>
      <c r="O1584" s="5">
        <f>_xlfn.XLOOKUP(CustomerCombined[[#This Row],[ID]], Table4[ID], Table4[Sweets], "Not Found", 0)</f>
        <v>329</v>
      </c>
      <c r="P1584" s="5">
        <f>_xlfn.XLOOKUP(CustomerCombined[[#This Row],[ID]], Table4[ID], Table4[Premium], "Not Found", 0)</f>
        <v>141</v>
      </c>
      <c r="Q1584" s="5">
        <f>_xlfn.XLOOKUP(CustomerCombined[[#This Row],[ID]], Table4[ID], Table4[Regular], "Not Found", 0)</f>
        <v>2430</v>
      </c>
      <c r="R1584" s="5">
        <f>_xlfn.XLOOKUP(CustomerCombined[[#This Row],[ID]], Table4[ID], Table4[Deals], "Not Found", 0)</f>
        <v>1</v>
      </c>
      <c r="S1584" s="5">
        <f>_xlfn.XLOOKUP(CustomerCombined[[#This Row],[ID]], Table4[ID], Table4[Website], "Not Found", 0)</f>
        <v>6</v>
      </c>
      <c r="T1584" s="5">
        <f>_xlfn.XLOOKUP(CustomerCombined[[#This Row],[ID]], Table4[ID], Table4[Catalog], "Not Found", 0)</f>
        <v>7</v>
      </c>
      <c r="U1584" s="5">
        <f>_xlfn.XLOOKUP(CustomerCombined[[#This Row],[ID]], Table4[ID], Table4[Store], "Not Found", 0)</f>
        <v>9</v>
      </c>
      <c r="V1584" s="5">
        <f>_xlfn.XLOOKUP(CustomerCombined[[#This Row],[ID]], Table4[ID], Table4[Visits], "Not Found", 0)</f>
        <v>2</v>
      </c>
      <c r="W1584" s="8">
        <f>_xlfn.XLOOKUP(CustomerCombined[[#This Row],[ID]], Table2[ID],Table2[Complaint], "Not Found", 0 )</f>
        <v>0</v>
      </c>
      <c r="X1584" s="8">
        <f>_xlfn.XLOOKUP(CustomerCombined[[#This Row],[ID]], Table2[ID],Table2[Pilot], "Not Found", 0 )</f>
        <v>0</v>
      </c>
      <c r="Y1584" s="8">
        <f>_xlfn.XLOOKUP(CustomerCombined[[#This Row],[ID]], Table2[ID],Table2[MC1], "Not Found", 0 )</f>
        <v>1</v>
      </c>
      <c r="Z1584" s="8">
        <f>_xlfn.XLOOKUP(CustomerCombined[[#This Row],[ID]], Table2[ID],Table2[MC2], "Not Found", 0 )</f>
        <v>0</v>
      </c>
      <c r="AA1584" s="8">
        <f>_xlfn.XLOOKUP(CustomerCombined[[#This Row],[ID]], Table2[ID],Table2[MC3], "Not Found", 0 )</f>
        <v>0</v>
      </c>
      <c r="AB1584" s="8">
        <f>_xlfn.XLOOKUP(CustomerCombined[[#This Row],[ID]], Table2[ID],Table2[MC4], "Not Found", 0 )</f>
        <v>0</v>
      </c>
      <c r="AC1584" s="8">
        <f>_xlfn.XLOOKUP(CustomerCombined[[#This Row],[ID]], Table2[ID],Table2[MC5], "Not Found", 0 )</f>
        <v>0</v>
      </c>
    </row>
    <row r="1585" spans="1:29" x14ac:dyDescent="0.3">
      <c r="A1585" s="6">
        <v>2139</v>
      </c>
      <c r="B1585" s="6">
        <v>179410</v>
      </c>
      <c r="C1585" s="6">
        <v>0</v>
      </c>
      <c r="D1585" s="6">
        <v>0</v>
      </c>
      <c r="E1585" s="6">
        <v>59</v>
      </c>
      <c r="F1585" s="5" t="s">
        <v>6</v>
      </c>
      <c r="G1585" s="5" t="s">
        <v>11</v>
      </c>
      <c r="H1585" s="3">
        <v>43872</v>
      </c>
      <c r="I1585" s="5" t="s">
        <v>435</v>
      </c>
      <c r="J1585" s="5">
        <f>_xlfn.XLOOKUP(CustomerCombined[[#This Row],[ID]], Table4[ID], Table4[Recency], "Not Found", 0)</f>
        <v>19</v>
      </c>
      <c r="K1585" s="5">
        <f>_xlfn.XLOOKUP(CustomerCombined[[#This Row],[ID]], Table4[ID], Table4[Teas], "Not Found", 0)</f>
        <v>1487</v>
      </c>
      <c r="L1585" s="5">
        <f>_xlfn.XLOOKUP(CustomerCombined[[#This Row],[ID]], Table4[ID], Table4[Fruits], "Not Found", 0)</f>
        <v>181</v>
      </c>
      <c r="M1585" s="5">
        <f>_xlfn.XLOOKUP(CustomerCombined[[#This Row],[ID]], Table4[ID], Table4[Meats], "Not Found", 0)</f>
        <v>1091</v>
      </c>
      <c r="N1585" s="5">
        <f>_xlfn.XLOOKUP(CustomerCombined[[#This Row],[ID]], Table4[ID], Table4[Seafood], "Not Found", 0)</f>
        <v>278</v>
      </c>
      <c r="O1585" s="5">
        <f>_xlfn.XLOOKUP(CustomerCombined[[#This Row],[ID]], Table4[ID], Table4[Sweets], "Not Found", 0)</f>
        <v>29</v>
      </c>
      <c r="P1585" s="5">
        <f>_xlfn.XLOOKUP(CustomerCombined[[#This Row],[ID]], Table4[ID], Table4[Premium], "Not Found", 0)</f>
        <v>29</v>
      </c>
      <c r="Q1585" s="5">
        <f>_xlfn.XLOOKUP(CustomerCombined[[#This Row],[ID]], Table4[ID], Table4[Regular], "Not Found", 0)</f>
        <v>3036</v>
      </c>
      <c r="R1585" s="5">
        <f>_xlfn.XLOOKUP(CustomerCombined[[#This Row],[ID]], Table4[ID], Table4[Deals], "Not Found", 0)</f>
        <v>1</v>
      </c>
      <c r="S1585" s="5">
        <f>_xlfn.XLOOKUP(CustomerCombined[[#This Row],[ID]], Table4[ID], Table4[Website], "Not Found", 0)</f>
        <v>3</v>
      </c>
      <c r="T1585" s="5">
        <f>_xlfn.XLOOKUP(CustomerCombined[[#This Row],[ID]], Table4[ID], Table4[Catalog], "Not Found", 0)</f>
        <v>2</v>
      </c>
      <c r="U1585" s="5">
        <f>_xlfn.XLOOKUP(CustomerCombined[[#This Row],[ID]], Table4[ID], Table4[Store], "Not Found", 0)</f>
        <v>5</v>
      </c>
      <c r="V1585" s="5">
        <f>_xlfn.XLOOKUP(CustomerCombined[[#This Row],[ID]], Table4[ID], Table4[Visits], "Not Found", 0)</f>
        <v>1</v>
      </c>
      <c r="W1585" s="8">
        <f>_xlfn.XLOOKUP(CustomerCombined[[#This Row],[ID]], Table2[ID],Table2[Complaint], "Not Found", 0 )</f>
        <v>0</v>
      </c>
      <c r="X1585" s="8">
        <f>_xlfn.XLOOKUP(CustomerCombined[[#This Row],[ID]], Table2[ID],Table2[Pilot], "Not Found", 0 )</f>
        <v>0</v>
      </c>
      <c r="Y1585" s="8">
        <f>_xlfn.XLOOKUP(CustomerCombined[[#This Row],[ID]], Table2[ID],Table2[MC1], "Not Found", 0 )</f>
        <v>0</v>
      </c>
      <c r="Z1585" s="8">
        <f>_xlfn.XLOOKUP(CustomerCombined[[#This Row],[ID]], Table2[ID],Table2[MC2], "Not Found", 0 )</f>
        <v>0</v>
      </c>
      <c r="AA1585" s="8">
        <f>_xlfn.XLOOKUP(CustomerCombined[[#This Row],[ID]], Table2[ID],Table2[MC3], "Not Found", 0 )</f>
        <v>0</v>
      </c>
      <c r="AB1585" s="8">
        <f>_xlfn.XLOOKUP(CustomerCombined[[#This Row],[ID]], Table2[ID],Table2[MC4], "Not Found", 0 )</f>
        <v>0</v>
      </c>
      <c r="AC1585" s="8">
        <f>_xlfn.XLOOKUP(CustomerCombined[[#This Row],[ID]], Table2[ID],Table2[MC5], "Not Found", 0 )</f>
        <v>0</v>
      </c>
    </row>
    <row r="1586" spans="1:29" x14ac:dyDescent="0.3">
      <c r="A1586" s="6">
        <v>2517</v>
      </c>
      <c r="B1586" s="6">
        <v>174881</v>
      </c>
      <c r="C1586" s="6">
        <v>1</v>
      </c>
      <c r="D1586" s="6">
        <v>1</v>
      </c>
      <c r="E1586" s="6">
        <v>59</v>
      </c>
      <c r="F1586" s="5" t="s">
        <v>8</v>
      </c>
      <c r="G1586" s="5" t="s">
        <v>12</v>
      </c>
      <c r="H1586" s="3" t="s">
        <v>299</v>
      </c>
      <c r="I1586" s="5" t="s">
        <v>435</v>
      </c>
      <c r="J1586" s="5">
        <f>_xlfn.XLOOKUP(CustomerCombined[[#This Row],[ID]], Table4[ID], Table4[Recency], "Not Found", 0)</f>
        <v>48</v>
      </c>
      <c r="K1586" s="5">
        <f>_xlfn.XLOOKUP(CustomerCombined[[#This Row],[ID]], Table4[ID], Table4[Teas], "Not Found", 0)</f>
        <v>1179</v>
      </c>
      <c r="L1586" s="5">
        <f>_xlfn.XLOOKUP(CustomerCombined[[#This Row],[ID]], Table4[ID], Table4[Fruits], "Not Found", 0)</f>
        <v>168</v>
      </c>
      <c r="M1586" s="5">
        <f>_xlfn.XLOOKUP(CustomerCombined[[#This Row],[ID]], Table4[ID], Table4[Meats], "Not Found", 0)</f>
        <v>631</v>
      </c>
      <c r="N1586" s="5">
        <f>_xlfn.XLOOKUP(CustomerCombined[[#This Row],[ID]], Table4[ID], Table4[Seafood], "Not Found", 0)</f>
        <v>84</v>
      </c>
      <c r="O1586" s="5">
        <f>_xlfn.XLOOKUP(CustomerCombined[[#This Row],[ID]], Table4[ID], Table4[Sweets], "Not Found", 0)</f>
        <v>63</v>
      </c>
      <c r="P1586" s="5">
        <f>_xlfn.XLOOKUP(CustomerCombined[[#This Row],[ID]], Table4[ID], Table4[Premium], "Not Found", 0)</f>
        <v>126</v>
      </c>
      <c r="Q1586" s="5">
        <f>_xlfn.XLOOKUP(CustomerCombined[[#This Row],[ID]], Table4[ID], Table4[Regular], "Not Found", 0)</f>
        <v>1999</v>
      </c>
      <c r="R1586" s="5">
        <f>_xlfn.XLOOKUP(CustomerCombined[[#This Row],[ID]], Table4[ID], Table4[Deals], "Not Found", 0)</f>
        <v>4</v>
      </c>
      <c r="S1586" s="5">
        <f>_xlfn.XLOOKUP(CustomerCombined[[#This Row],[ID]], Table4[ID], Table4[Website], "Not Found", 0)</f>
        <v>9</v>
      </c>
      <c r="T1586" s="5">
        <f>_xlfn.XLOOKUP(CustomerCombined[[#This Row],[ID]], Table4[ID], Table4[Catalog], "Not Found", 0)</f>
        <v>2</v>
      </c>
      <c r="U1586" s="5">
        <f>_xlfn.XLOOKUP(CustomerCombined[[#This Row],[ID]], Table4[ID], Table4[Store], "Not Found", 0)</f>
        <v>12</v>
      </c>
      <c r="V1586" s="5">
        <f>_xlfn.XLOOKUP(CustomerCombined[[#This Row],[ID]], Table4[ID], Table4[Visits], "Not Found", 0)</f>
        <v>5</v>
      </c>
      <c r="W1586" s="8">
        <f>_xlfn.XLOOKUP(CustomerCombined[[#This Row],[ID]], Table2[ID],Table2[Complaint], "Not Found", 0 )</f>
        <v>0</v>
      </c>
      <c r="X1586" s="8">
        <f>_xlfn.XLOOKUP(CustomerCombined[[#This Row],[ID]], Table2[ID],Table2[Pilot], "Not Found", 0 )</f>
        <v>0</v>
      </c>
      <c r="Y1586" s="8">
        <f>_xlfn.XLOOKUP(CustomerCombined[[#This Row],[ID]], Table2[ID],Table2[MC1], "Not Found", 0 )</f>
        <v>0</v>
      </c>
      <c r="Z1586" s="8">
        <f>_xlfn.XLOOKUP(CustomerCombined[[#This Row],[ID]], Table2[ID],Table2[MC2], "Not Found", 0 )</f>
        <v>0</v>
      </c>
      <c r="AA1586" s="8">
        <f>_xlfn.XLOOKUP(CustomerCombined[[#This Row],[ID]], Table2[ID],Table2[MC3], "Not Found", 0 )</f>
        <v>0</v>
      </c>
      <c r="AB1586" s="8">
        <f>_xlfn.XLOOKUP(CustomerCombined[[#This Row],[ID]], Table2[ID],Table2[MC4], "Not Found", 0 )</f>
        <v>0</v>
      </c>
      <c r="AC1586" s="8">
        <f>_xlfn.XLOOKUP(CustomerCombined[[#This Row],[ID]], Table2[ID],Table2[MC5], "Not Found", 0 )</f>
        <v>0</v>
      </c>
    </row>
    <row r="1587" spans="1:29" x14ac:dyDescent="0.3">
      <c r="A1587" s="6">
        <v>2703</v>
      </c>
      <c r="B1587" s="6">
        <v>174881</v>
      </c>
      <c r="C1587" s="6">
        <v>1</v>
      </c>
      <c r="D1587" s="6">
        <v>1</v>
      </c>
      <c r="E1587" s="6">
        <v>59</v>
      </c>
      <c r="F1587" s="5" t="s">
        <v>8</v>
      </c>
      <c r="G1587" s="5" t="s">
        <v>12</v>
      </c>
      <c r="H1587" s="3" t="s">
        <v>299</v>
      </c>
      <c r="I1587" s="5" t="s">
        <v>435</v>
      </c>
      <c r="J1587" s="5">
        <f>_xlfn.XLOOKUP(CustomerCombined[[#This Row],[ID]], Table4[ID], Table4[Recency], "Not Found", 0)</f>
        <v>48</v>
      </c>
      <c r="K1587" s="5">
        <f>_xlfn.XLOOKUP(CustomerCombined[[#This Row],[ID]], Table4[ID], Table4[Teas], "Not Found", 0)</f>
        <v>1179</v>
      </c>
      <c r="L1587" s="5">
        <f>_xlfn.XLOOKUP(CustomerCombined[[#This Row],[ID]], Table4[ID], Table4[Fruits], "Not Found", 0)</f>
        <v>168</v>
      </c>
      <c r="M1587" s="5">
        <f>_xlfn.XLOOKUP(CustomerCombined[[#This Row],[ID]], Table4[ID], Table4[Meats], "Not Found", 0)</f>
        <v>631</v>
      </c>
      <c r="N1587" s="5">
        <f>_xlfn.XLOOKUP(CustomerCombined[[#This Row],[ID]], Table4[ID], Table4[Seafood], "Not Found", 0)</f>
        <v>84</v>
      </c>
      <c r="O1587" s="5">
        <f>_xlfn.XLOOKUP(CustomerCombined[[#This Row],[ID]], Table4[ID], Table4[Sweets], "Not Found", 0)</f>
        <v>63</v>
      </c>
      <c r="P1587" s="5">
        <f>_xlfn.XLOOKUP(CustomerCombined[[#This Row],[ID]], Table4[ID], Table4[Premium], "Not Found", 0)</f>
        <v>126</v>
      </c>
      <c r="Q1587" s="5">
        <f>_xlfn.XLOOKUP(CustomerCombined[[#This Row],[ID]], Table4[ID], Table4[Regular], "Not Found", 0)</f>
        <v>1999</v>
      </c>
      <c r="R1587" s="5">
        <f>_xlfn.XLOOKUP(CustomerCombined[[#This Row],[ID]], Table4[ID], Table4[Deals], "Not Found", 0)</f>
        <v>4</v>
      </c>
      <c r="S1587" s="5">
        <f>_xlfn.XLOOKUP(CustomerCombined[[#This Row],[ID]], Table4[ID], Table4[Website], "Not Found", 0)</f>
        <v>9</v>
      </c>
      <c r="T1587" s="5">
        <f>_xlfn.XLOOKUP(CustomerCombined[[#This Row],[ID]], Table4[ID], Table4[Catalog], "Not Found", 0)</f>
        <v>2</v>
      </c>
      <c r="U1587" s="5">
        <f>_xlfn.XLOOKUP(CustomerCombined[[#This Row],[ID]], Table4[ID], Table4[Store], "Not Found", 0)</f>
        <v>12</v>
      </c>
      <c r="V1587" s="5">
        <f>_xlfn.XLOOKUP(CustomerCombined[[#This Row],[ID]], Table4[ID], Table4[Visits], "Not Found", 0)</f>
        <v>5</v>
      </c>
      <c r="W1587" s="8">
        <f>_xlfn.XLOOKUP(CustomerCombined[[#This Row],[ID]], Table2[ID],Table2[Complaint], "Not Found", 0 )</f>
        <v>0</v>
      </c>
      <c r="X1587" s="8">
        <f>_xlfn.XLOOKUP(CustomerCombined[[#This Row],[ID]], Table2[ID],Table2[Pilot], "Not Found", 0 )</f>
        <v>0</v>
      </c>
      <c r="Y1587" s="8">
        <f>_xlfn.XLOOKUP(CustomerCombined[[#This Row],[ID]], Table2[ID],Table2[MC1], "Not Found", 0 )</f>
        <v>0</v>
      </c>
      <c r="Z1587" s="8">
        <f>_xlfn.XLOOKUP(CustomerCombined[[#This Row],[ID]], Table2[ID],Table2[MC2], "Not Found", 0 )</f>
        <v>0</v>
      </c>
      <c r="AA1587" s="8">
        <f>_xlfn.XLOOKUP(CustomerCombined[[#This Row],[ID]], Table2[ID],Table2[MC3], "Not Found", 0 )</f>
        <v>0</v>
      </c>
      <c r="AB1587" s="8">
        <f>_xlfn.XLOOKUP(CustomerCombined[[#This Row],[ID]], Table2[ID],Table2[MC4], "Not Found", 0 )</f>
        <v>0</v>
      </c>
      <c r="AC1587" s="8">
        <f>_xlfn.XLOOKUP(CustomerCombined[[#This Row],[ID]], Table2[ID],Table2[MC5], "Not Found", 0 )</f>
        <v>0</v>
      </c>
    </row>
    <row r="1588" spans="1:29" x14ac:dyDescent="0.3">
      <c r="A1588" s="6">
        <v>1362</v>
      </c>
      <c r="B1588" s="6">
        <v>166426</v>
      </c>
      <c r="C1588" s="6">
        <v>0</v>
      </c>
      <c r="D1588" s="6">
        <v>1</v>
      </c>
      <c r="E1588" s="6">
        <v>59</v>
      </c>
      <c r="F1588" s="5" t="s">
        <v>8</v>
      </c>
      <c r="G1588" s="5" t="s">
        <v>13</v>
      </c>
      <c r="H1588" s="3">
        <v>44046</v>
      </c>
      <c r="I1588" s="5" t="s">
        <v>436</v>
      </c>
      <c r="J1588" s="5">
        <f>_xlfn.XLOOKUP(CustomerCombined[[#This Row],[ID]], Table4[ID], Table4[Recency], "Not Found", 0)</f>
        <v>14</v>
      </c>
      <c r="K1588" s="5">
        <f>_xlfn.XLOOKUP(CustomerCombined[[#This Row],[ID]], Table4[ID], Table4[Teas], "Not Found", 0)</f>
        <v>2613</v>
      </c>
      <c r="L1588" s="5">
        <f>_xlfn.XLOOKUP(CustomerCombined[[#This Row],[ID]], Table4[ID], Table4[Fruits], "Not Found", 0)</f>
        <v>60</v>
      </c>
      <c r="M1588" s="5">
        <f>_xlfn.XLOOKUP(CustomerCombined[[#This Row],[ID]], Table4[ID], Table4[Meats], "Not Found", 0)</f>
        <v>243</v>
      </c>
      <c r="N1588" s="5">
        <f>_xlfn.XLOOKUP(CustomerCombined[[#This Row],[ID]], Table4[ID], Table4[Seafood], "Not Found", 0)</f>
        <v>80</v>
      </c>
      <c r="O1588" s="5">
        <f>_xlfn.XLOOKUP(CustomerCombined[[#This Row],[ID]], Table4[ID], Table4[Sweets], "Not Found", 0)</f>
        <v>60</v>
      </c>
      <c r="P1588" s="5">
        <f>_xlfn.XLOOKUP(CustomerCombined[[#This Row],[ID]], Table4[ID], Table4[Premium], "Not Found", 0)</f>
        <v>393</v>
      </c>
      <c r="Q1588" s="5">
        <f>_xlfn.XLOOKUP(CustomerCombined[[#This Row],[ID]], Table4[ID], Table4[Regular], "Not Found", 0)</f>
        <v>2663</v>
      </c>
      <c r="R1588" s="5">
        <f>_xlfn.XLOOKUP(CustomerCombined[[#This Row],[ID]], Table4[ID], Table4[Deals], "Not Found", 0)</f>
        <v>2</v>
      </c>
      <c r="S1588" s="5">
        <f>_xlfn.XLOOKUP(CustomerCombined[[#This Row],[ID]], Table4[ID], Table4[Website], "Not Found", 0)</f>
        <v>3</v>
      </c>
      <c r="T1588" s="5">
        <f>_xlfn.XLOOKUP(CustomerCombined[[#This Row],[ID]], Table4[ID], Table4[Catalog], "Not Found", 0)</f>
        <v>5</v>
      </c>
      <c r="U1588" s="5">
        <f>_xlfn.XLOOKUP(CustomerCombined[[#This Row],[ID]], Table4[ID], Table4[Store], "Not Found", 0)</f>
        <v>10</v>
      </c>
      <c r="V1588" s="5">
        <f>_xlfn.XLOOKUP(CustomerCombined[[#This Row],[ID]], Table4[ID], Table4[Visits], "Not Found", 0)</f>
        <v>6</v>
      </c>
      <c r="W1588" s="8">
        <f>_xlfn.XLOOKUP(CustomerCombined[[#This Row],[ID]], Table2[ID],Table2[Complaint], "Not Found", 0 )</f>
        <v>0</v>
      </c>
      <c r="X1588" s="8">
        <f>_xlfn.XLOOKUP(CustomerCombined[[#This Row],[ID]], Table2[ID],Table2[Pilot], "Not Found", 0 )</f>
        <v>0</v>
      </c>
      <c r="Y1588" s="8">
        <f>_xlfn.XLOOKUP(CustomerCombined[[#This Row],[ID]], Table2[ID],Table2[MC1], "Not Found", 0 )</f>
        <v>0</v>
      </c>
      <c r="Z1588" s="8">
        <f>_xlfn.XLOOKUP(CustomerCombined[[#This Row],[ID]], Table2[ID],Table2[MC2], "Not Found", 0 )</f>
        <v>0</v>
      </c>
      <c r="AA1588" s="8">
        <f>_xlfn.XLOOKUP(CustomerCombined[[#This Row],[ID]], Table2[ID],Table2[MC3], "Not Found", 0 )</f>
        <v>0</v>
      </c>
      <c r="AB1588" s="8">
        <f>_xlfn.XLOOKUP(CustomerCombined[[#This Row],[ID]], Table2[ID],Table2[MC4], "Not Found", 0 )</f>
        <v>0</v>
      </c>
      <c r="AC1588" s="8">
        <f>_xlfn.XLOOKUP(CustomerCombined[[#This Row],[ID]], Table2[ID],Table2[MC5], "Not Found", 0 )</f>
        <v>0</v>
      </c>
    </row>
    <row r="1589" spans="1:29" x14ac:dyDescent="0.3">
      <c r="A1589" s="6">
        <v>1308</v>
      </c>
      <c r="B1589" s="6">
        <v>164325</v>
      </c>
      <c r="C1589" s="6">
        <v>0</v>
      </c>
      <c r="D1589" s="6">
        <v>1</v>
      </c>
      <c r="E1589" s="6">
        <v>59</v>
      </c>
      <c r="F1589" s="5" t="s">
        <v>5</v>
      </c>
      <c r="G1589" s="5" t="s">
        <v>13</v>
      </c>
      <c r="H1589" s="3" t="s">
        <v>316</v>
      </c>
      <c r="I1589" s="5" t="s">
        <v>436</v>
      </c>
      <c r="J1589" s="5">
        <f>_xlfn.XLOOKUP(CustomerCombined[[#This Row],[ID]], Table4[ID], Table4[Recency], "Not Found", 0)</f>
        <v>41</v>
      </c>
      <c r="K1589" s="5">
        <f>_xlfn.XLOOKUP(CustomerCombined[[#This Row],[ID]], Table4[ID], Table4[Teas], "Not Found", 0)</f>
        <v>1867</v>
      </c>
      <c r="L1589" s="5">
        <f>_xlfn.XLOOKUP(CustomerCombined[[#This Row],[ID]], Table4[ID], Table4[Fruits], "Not Found", 0)</f>
        <v>153</v>
      </c>
      <c r="M1589" s="5">
        <f>_xlfn.XLOOKUP(CustomerCombined[[#This Row],[ID]], Table4[ID], Table4[Meats], "Not Found", 0)</f>
        <v>902</v>
      </c>
      <c r="N1589" s="5">
        <f>_xlfn.XLOOKUP(CustomerCombined[[#This Row],[ID]], Table4[ID], Table4[Seafood], "Not Found", 0)</f>
        <v>199</v>
      </c>
      <c r="O1589" s="5">
        <f>_xlfn.XLOOKUP(CustomerCombined[[#This Row],[ID]], Table4[ID], Table4[Sweets], "Not Found", 0)</f>
        <v>31</v>
      </c>
      <c r="P1589" s="5">
        <f>_xlfn.XLOOKUP(CustomerCombined[[#This Row],[ID]], Table4[ID], Table4[Premium], "Not Found", 0)</f>
        <v>186</v>
      </c>
      <c r="Q1589" s="5">
        <f>_xlfn.XLOOKUP(CustomerCombined[[#This Row],[ID]], Table4[ID], Table4[Regular], "Not Found", 0)</f>
        <v>2966</v>
      </c>
      <c r="R1589" s="5">
        <f>_xlfn.XLOOKUP(CustomerCombined[[#This Row],[ID]], Table4[ID], Table4[Deals], "Not Found", 0)</f>
        <v>5</v>
      </c>
      <c r="S1589" s="5">
        <f>_xlfn.XLOOKUP(CustomerCombined[[#This Row],[ID]], Table4[ID], Table4[Website], "Not Found", 0)</f>
        <v>10</v>
      </c>
      <c r="T1589" s="5">
        <f>_xlfn.XLOOKUP(CustomerCombined[[#This Row],[ID]], Table4[ID], Table4[Catalog], "Not Found", 0)</f>
        <v>3</v>
      </c>
      <c r="U1589" s="5">
        <f>_xlfn.XLOOKUP(CustomerCombined[[#This Row],[ID]], Table4[ID], Table4[Store], "Not Found", 0)</f>
        <v>5</v>
      </c>
      <c r="V1589" s="5">
        <f>_xlfn.XLOOKUP(CustomerCombined[[#This Row],[ID]], Table4[ID], Table4[Visits], "Not Found", 0)</f>
        <v>7</v>
      </c>
      <c r="W1589" s="8">
        <f>_xlfn.XLOOKUP(CustomerCombined[[#This Row],[ID]], Table2[ID],Table2[Complaint], "Not Found", 0 )</f>
        <v>0</v>
      </c>
      <c r="X1589" s="8">
        <f>_xlfn.XLOOKUP(CustomerCombined[[#This Row],[ID]], Table2[ID],Table2[Pilot], "Not Found", 0 )</f>
        <v>0</v>
      </c>
      <c r="Y1589" s="8">
        <f>_xlfn.XLOOKUP(CustomerCombined[[#This Row],[ID]], Table2[ID],Table2[MC1], "Not Found", 0 )</f>
        <v>0</v>
      </c>
      <c r="Z1589" s="8">
        <f>_xlfn.XLOOKUP(CustomerCombined[[#This Row],[ID]], Table2[ID],Table2[MC2], "Not Found", 0 )</f>
        <v>0</v>
      </c>
      <c r="AA1589" s="8">
        <f>_xlfn.XLOOKUP(CustomerCombined[[#This Row],[ID]], Table2[ID],Table2[MC3], "Not Found", 0 )</f>
        <v>0</v>
      </c>
      <c r="AB1589" s="8">
        <f>_xlfn.XLOOKUP(CustomerCombined[[#This Row],[ID]], Table2[ID],Table2[MC4], "Not Found", 0 )</f>
        <v>0</v>
      </c>
      <c r="AC1589" s="8">
        <f>_xlfn.XLOOKUP(CustomerCombined[[#This Row],[ID]], Table2[ID],Table2[MC5], "Not Found", 0 )</f>
        <v>0</v>
      </c>
    </row>
    <row r="1590" spans="1:29" x14ac:dyDescent="0.3">
      <c r="A1590" s="6">
        <v>2828</v>
      </c>
      <c r="B1590" s="6">
        <v>164260</v>
      </c>
      <c r="C1590" s="6">
        <v>0</v>
      </c>
      <c r="D1590" s="6">
        <v>0</v>
      </c>
      <c r="E1590" s="6">
        <v>59</v>
      </c>
      <c r="F1590" s="5" t="s">
        <v>8</v>
      </c>
      <c r="G1590" s="5" t="s">
        <v>11</v>
      </c>
      <c r="H1590" s="3" t="s">
        <v>329</v>
      </c>
      <c r="I1590" s="5" t="s">
        <v>438</v>
      </c>
      <c r="J1590" s="5">
        <f>_xlfn.XLOOKUP(CustomerCombined[[#This Row],[ID]], Table4[ID], Table4[Recency], "Not Found", 0)</f>
        <v>1</v>
      </c>
      <c r="K1590" s="5">
        <f>_xlfn.XLOOKUP(CustomerCombined[[#This Row],[ID]], Table4[ID], Table4[Teas], "Not Found", 0)</f>
        <v>1378</v>
      </c>
      <c r="L1590" s="5">
        <f>_xlfn.XLOOKUP(CustomerCombined[[#This Row],[ID]], Table4[ID], Table4[Fruits], "Not Found", 0)</f>
        <v>432</v>
      </c>
      <c r="M1590" s="5">
        <f>_xlfn.XLOOKUP(CustomerCombined[[#This Row],[ID]], Table4[ID], Table4[Meats], "Not Found", 0)</f>
        <v>2086</v>
      </c>
      <c r="N1590" s="5">
        <f>_xlfn.XLOOKUP(CustomerCombined[[#This Row],[ID]], Table4[ID], Table4[Seafood], "Not Found", 0)</f>
        <v>51</v>
      </c>
      <c r="O1590" s="5">
        <f>_xlfn.XLOOKUP(CustomerCombined[[#This Row],[ID]], Table4[ID], Table4[Sweets], "Not Found", 0)</f>
        <v>0</v>
      </c>
      <c r="P1590" s="5">
        <f>_xlfn.XLOOKUP(CustomerCombined[[#This Row],[ID]], Table4[ID], Table4[Premium], "Not Found", 0)</f>
        <v>77</v>
      </c>
      <c r="Q1590" s="5">
        <f>_xlfn.XLOOKUP(CustomerCombined[[#This Row],[ID]], Table4[ID], Table4[Regular], "Not Found", 0)</f>
        <v>3870</v>
      </c>
      <c r="R1590" s="5">
        <f>_xlfn.XLOOKUP(CustomerCombined[[#This Row],[ID]], Table4[ID], Table4[Deals], "Not Found", 0)</f>
        <v>1</v>
      </c>
      <c r="S1590" s="5">
        <f>_xlfn.XLOOKUP(CustomerCombined[[#This Row],[ID]], Table4[ID], Table4[Website], "Not Found", 0)</f>
        <v>4</v>
      </c>
      <c r="T1590" s="5">
        <f>_xlfn.XLOOKUP(CustomerCombined[[#This Row],[ID]], Table4[ID], Table4[Catalog], "Not Found", 0)</f>
        <v>5</v>
      </c>
      <c r="U1590" s="5">
        <f>_xlfn.XLOOKUP(CustomerCombined[[#This Row],[ID]], Table4[ID], Table4[Store], "Not Found", 0)</f>
        <v>4</v>
      </c>
      <c r="V1590" s="5">
        <f>_xlfn.XLOOKUP(CustomerCombined[[#This Row],[ID]], Table4[ID], Table4[Visits], "Not Found", 0)</f>
        <v>3</v>
      </c>
      <c r="W1590" s="8">
        <f>_xlfn.XLOOKUP(CustomerCombined[[#This Row],[ID]], Table2[ID],Table2[Complaint], "Not Found", 0 )</f>
        <v>0</v>
      </c>
      <c r="X1590" s="8">
        <f>_xlfn.XLOOKUP(CustomerCombined[[#This Row],[ID]], Table2[ID],Table2[Pilot], "Not Found", 0 )</f>
        <v>1</v>
      </c>
      <c r="Y1590" s="8">
        <f>_xlfn.XLOOKUP(CustomerCombined[[#This Row],[ID]], Table2[ID],Table2[MC1], "Not Found", 0 )</f>
        <v>0</v>
      </c>
      <c r="Z1590" s="8">
        <f>_xlfn.XLOOKUP(CustomerCombined[[#This Row],[ID]], Table2[ID],Table2[MC2], "Not Found", 0 )</f>
        <v>0</v>
      </c>
      <c r="AA1590" s="8">
        <f>_xlfn.XLOOKUP(CustomerCombined[[#This Row],[ID]], Table2[ID],Table2[MC3], "Not Found", 0 )</f>
        <v>0</v>
      </c>
      <c r="AB1590" s="8">
        <f>_xlfn.XLOOKUP(CustomerCombined[[#This Row],[ID]], Table2[ID],Table2[MC4], "Not Found", 0 )</f>
        <v>0</v>
      </c>
      <c r="AC1590" s="8">
        <f>_xlfn.XLOOKUP(CustomerCombined[[#This Row],[ID]], Table2[ID],Table2[MC5], "Not Found", 0 )</f>
        <v>0</v>
      </c>
    </row>
    <row r="1591" spans="1:29" x14ac:dyDescent="0.3">
      <c r="A1591" s="6">
        <v>1243</v>
      </c>
      <c r="B1591" s="6">
        <v>163342</v>
      </c>
      <c r="C1591" s="6">
        <v>0</v>
      </c>
      <c r="D1591" s="6">
        <v>1</v>
      </c>
      <c r="E1591" s="6">
        <v>59</v>
      </c>
      <c r="F1591" s="5" t="s">
        <v>8</v>
      </c>
      <c r="G1591" s="5" t="s">
        <v>13</v>
      </c>
      <c r="H1591" s="3" t="s">
        <v>378</v>
      </c>
      <c r="I1591" s="5" t="s">
        <v>437</v>
      </c>
      <c r="J1591" s="5">
        <f>_xlfn.XLOOKUP(CustomerCombined[[#This Row],[ID]], Table4[ID], Table4[Recency], "Not Found", 0)</f>
        <v>48</v>
      </c>
      <c r="K1591" s="5">
        <f>_xlfn.XLOOKUP(CustomerCombined[[#This Row],[ID]], Table4[ID], Table4[Teas], "Not Found", 0)</f>
        <v>2367</v>
      </c>
      <c r="L1591" s="5">
        <f>_xlfn.XLOOKUP(CustomerCombined[[#This Row],[ID]], Table4[ID], Table4[Fruits], "Not Found", 0)</f>
        <v>54</v>
      </c>
      <c r="M1591" s="5">
        <f>_xlfn.XLOOKUP(CustomerCombined[[#This Row],[ID]], Table4[ID], Table4[Meats], "Not Found", 0)</f>
        <v>304</v>
      </c>
      <c r="N1591" s="5">
        <f>_xlfn.XLOOKUP(CustomerCombined[[#This Row],[ID]], Table4[ID], Table4[Seafood], "Not Found", 0)</f>
        <v>34</v>
      </c>
      <c r="O1591" s="5">
        <f>_xlfn.XLOOKUP(CustomerCombined[[#This Row],[ID]], Table4[ID], Table4[Sweets], "Not Found", 0)</f>
        <v>26</v>
      </c>
      <c r="P1591" s="5">
        <f>_xlfn.XLOOKUP(CustomerCombined[[#This Row],[ID]], Table4[ID], Table4[Premium], "Not Found", 0)</f>
        <v>54</v>
      </c>
      <c r="Q1591" s="5">
        <f>_xlfn.XLOOKUP(CustomerCombined[[#This Row],[ID]], Table4[ID], Table4[Regular], "Not Found", 0)</f>
        <v>2731</v>
      </c>
      <c r="R1591" s="5">
        <f>_xlfn.XLOOKUP(CustomerCombined[[#This Row],[ID]], Table4[ID], Table4[Deals], "Not Found", 0)</f>
        <v>3</v>
      </c>
      <c r="S1591" s="5">
        <f>_xlfn.XLOOKUP(CustomerCombined[[#This Row],[ID]], Table4[ID], Table4[Website], "Not Found", 0)</f>
        <v>8</v>
      </c>
      <c r="T1591" s="5">
        <f>_xlfn.XLOOKUP(CustomerCombined[[#This Row],[ID]], Table4[ID], Table4[Catalog], "Not Found", 0)</f>
        <v>3</v>
      </c>
      <c r="U1591" s="5">
        <f>_xlfn.XLOOKUP(CustomerCombined[[#This Row],[ID]], Table4[ID], Table4[Store], "Not Found", 0)</f>
        <v>5</v>
      </c>
      <c r="V1591" s="5">
        <f>_xlfn.XLOOKUP(CustomerCombined[[#This Row],[ID]], Table4[ID], Table4[Visits], "Not Found", 0)</f>
        <v>6</v>
      </c>
      <c r="W1591" s="8">
        <f>_xlfn.XLOOKUP(CustomerCombined[[#This Row],[ID]], Table2[ID],Table2[Complaint], "Not Found", 0 )</f>
        <v>0</v>
      </c>
      <c r="X1591" s="8">
        <f>_xlfn.XLOOKUP(CustomerCombined[[#This Row],[ID]], Table2[ID],Table2[Pilot], "Not Found", 0 )</f>
        <v>0</v>
      </c>
      <c r="Y1591" s="8">
        <f>_xlfn.XLOOKUP(CustomerCombined[[#This Row],[ID]], Table2[ID],Table2[MC1], "Not Found", 0 )</f>
        <v>0</v>
      </c>
      <c r="Z1591" s="8">
        <f>_xlfn.XLOOKUP(CustomerCombined[[#This Row],[ID]], Table2[ID],Table2[MC2], "Not Found", 0 )</f>
        <v>0</v>
      </c>
      <c r="AA1591" s="8">
        <f>_xlfn.XLOOKUP(CustomerCombined[[#This Row],[ID]], Table2[ID],Table2[MC3], "Not Found", 0 )</f>
        <v>0</v>
      </c>
      <c r="AB1591" s="8">
        <f>_xlfn.XLOOKUP(CustomerCombined[[#This Row],[ID]], Table2[ID],Table2[MC4], "Not Found", 0 )</f>
        <v>1</v>
      </c>
      <c r="AC1591" s="8">
        <f>_xlfn.XLOOKUP(CustomerCombined[[#This Row],[ID]], Table2[ID],Table2[MC5], "Not Found", 0 )</f>
        <v>0</v>
      </c>
    </row>
    <row r="1592" spans="1:29" x14ac:dyDescent="0.3">
      <c r="A1592" s="6">
        <v>2725</v>
      </c>
      <c r="B1592" s="6">
        <v>163342</v>
      </c>
      <c r="C1592" s="6">
        <v>0</v>
      </c>
      <c r="D1592" s="6">
        <v>1</v>
      </c>
      <c r="E1592" s="6">
        <v>59</v>
      </c>
      <c r="F1592" s="5" t="s">
        <v>8</v>
      </c>
      <c r="G1592" s="5" t="s">
        <v>13</v>
      </c>
      <c r="H1592" s="3" t="s">
        <v>378</v>
      </c>
      <c r="I1592" s="5" t="s">
        <v>437</v>
      </c>
      <c r="J1592" s="5">
        <f>_xlfn.XLOOKUP(CustomerCombined[[#This Row],[ID]], Table4[ID], Table4[Recency], "Not Found", 0)</f>
        <v>48</v>
      </c>
      <c r="K1592" s="5">
        <f>_xlfn.XLOOKUP(CustomerCombined[[#This Row],[ID]], Table4[ID], Table4[Teas], "Not Found", 0)</f>
        <v>2367</v>
      </c>
      <c r="L1592" s="5">
        <f>_xlfn.XLOOKUP(CustomerCombined[[#This Row],[ID]], Table4[ID], Table4[Fruits], "Not Found", 0)</f>
        <v>54</v>
      </c>
      <c r="M1592" s="5">
        <f>_xlfn.XLOOKUP(CustomerCombined[[#This Row],[ID]], Table4[ID], Table4[Meats], "Not Found", 0)</f>
        <v>304</v>
      </c>
      <c r="N1592" s="5">
        <f>_xlfn.XLOOKUP(CustomerCombined[[#This Row],[ID]], Table4[ID], Table4[Seafood], "Not Found", 0)</f>
        <v>34</v>
      </c>
      <c r="O1592" s="5">
        <f>_xlfn.XLOOKUP(CustomerCombined[[#This Row],[ID]], Table4[ID], Table4[Sweets], "Not Found", 0)</f>
        <v>26</v>
      </c>
      <c r="P1592" s="5">
        <f>_xlfn.XLOOKUP(CustomerCombined[[#This Row],[ID]], Table4[ID], Table4[Premium], "Not Found", 0)</f>
        <v>54</v>
      </c>
      <c r="Q1592" s="5">
        <f>_xlfn.XLOOKUP(CustomerCombined[[#This Row],[ID]], Table4[ID], Table4[Regular], "Not Found", 0)</f>
        <v>2731</v>
      </c>
      <c r="R1592" s="5">
        <f>_xlfn.XLOOKUP(CustomerCombined[[#This Row],[ID]], Table4[ID], Table4[Deals], "Not Found", 0)</f>
        <v>3</v>
      </c>
      <c r="S1592" s="5">
        <f>_xlfn.XLOOKUP(CustomerCombined[[#This Row],[ID]], Table4[ID], Table4[Website], "Not Found", 0)</f>
        <v>8</v>
      </c>
      <c r="T1592" s="5">
        <f>_xlfn.XLOOKUP(CustomerCombined[[#This Row],[ID]], Table4[ID], Table4[Catalog], "Not Found", 0)</f>
        <v>3</v>
      </c>
      <c r="U1592" s="5">
        <f>_xlfn.XLOOKUP(CustomerCombined[[#This Row],[ID]], Table4[ID], Table4[Store], "Not Found", 0)</f>
        <v>5</v>
      </c>
      <c r="V1592" s="5">
        <f>_xlfn.XLOOKUP(CustomerCombined[[#This Row],[ID]], Table4[ID], Table4[Visits], "Not Found", 0)</f>
        <v>6</v>
      </c>
      <c r="W1592" s="8">
        <f>_xlfn.XLOOKUP(CustomerCombined[[#This Row],[ID]], Table2[ID],Table2[Complaint], "Not Found", 0 )</f>
        <v>0</v>
      </c>
      <c r="X1592" s="8">
        <f>_xlfn.XLOOKUP(CustomerCombined[[#This Row],[ID]], Table2[ID],Table2[Pilot], "Not Found", 0 )</f>
        <v>1</v>
      </c>
      <c r="Y1592" s="8">
        <f>_xlfn.XLOOKUP(CustomerCombined[[#This Row],[ID]], Table2[ID],Table2[MC1], "Not Found", 0 )</f>
        <v>0</v>
      </c>
      <c r="Z1592" s="8">
        <f>_xlfn.XLOOKUP(CustomerCombined[[#This Row],[ID]], Table2[ID],Table2[MC2], "Not Found", 0 )</f>
        <v>0</v>
      </c>
      <c r="AA1592" s="8">
        <f>_xlfn.XLOOKUP(CustomerCombined[[#This Row],[ID]], Table2[ID],Table2[MC3], "Not Found", 0 )</f>
        <v>0</v>
      </c>
      <c r="AB1592" s="8">
        <f>_xlfn.XLOOKUP(CustomerCombined[[#This Row],[ID]], Table2[ID],Table2[MC4], "Not Found", 0 )</f>
        <v>1</v>
      </c>
      <c r="AC1592" s="8">
        <f>_xlfn.XLOOKUP(CustomerCombined[[#This Row],[ID]], Table2[ID],Table2[MC5], "Not Found", 0 )</f>
        <v>0</v>
      </c>
    </row>
    <row r="1593" spans="1:29" x14ac:dyDescent="0.3">
      <c r="A1593" s="6">
        <v>1676</v>
      </c>
      <c r="B1593" s="6">
        <v>161923</v>
      </c>
      <c r="C1593" s="6">
        <v>0</v>
      </c>
      <c r="D1593" s="6">
        <v>2</v>
      </c>
      <c r="E1593" s="6">
        <v>59</v>
      </c>
      <c r="F1593" s="5" t="s">
        <v>6</v>
      </c>
      <c r="G1593" s="5" t="s">
        <v>12</v>
      </c>
      <c r="H1593" s="3" t="s">
        <v>210</v>
      </c>
      <c r="I1593" s="5" t="s">
        <v>438</v>
      </c>
      <c r="J1593" s="5">
        <f>_xlfn.XLOOKUP(CustomerCombined[[#This Row],[ID]], Table4[ID], Table4[Recency], "Not Found", 0)</f>
        <v>94</v>
      </c>
      <c r="K1593" s="5">
        <f>_xlfn.XLOOKUP(CustomerCombined[[#This Row],[ID]], Table4[ID], Table4[Teas], "Not Found", 0)</f>
        <v>241</v>
      </c>
      <c r="L1593" s="5">
        <f>_xlfn.XLOOKUP(CustomerCombined[[#This Row],[ID]], Table4[ID], Table4[Fruits], "Not Found", 0)</f>
        <v>10</v>
      </c>
      <c r="M1593" s="5">
        <f>_xlfn.XLOOKUP(CustomerCombined[[#This Row],[ID]], Table4[ID], Table4[Meats], "Not Found", 0)</f>
        <v>47</v>
      </c>
      <c r="N1593" s="5">
        <f>_xlfn.XLOOKUP(CustomerCombined[[#This Row],[ID]], Table4[ID], Table4[Seafood], "Not Found", 0)</f>
        <v>8</v>
      </c>
      <c r="O1593" s="5">
        <f>_xlfn.XLOOKUP(CustomerCombined[[#This Row],[ID]], Table4[ID], Table4[Sweets], "Not Found", 0)</f>
        <v>8</v>
      </c>
      <c r="P1593" s="5">
        <f>_xlfn.XLOOKUP(CustomerCombined[[#This Row],[ID]], Table4[ID], Table4[Premium], "Not Found", 0)</f>
        <v>16</v>
      </c>
      <c r="Q1593" s="5">
        <f>_xlfn.XLOOKUP(CustomerCombined[[#This Row],[ID]], Table4[ID], Table4[Regular], "Not Found", 0)</f>
        <v>298</v>
      </c>
      <c r="R1593" s="5">
        <f>_xlfn.XLOOKUP(CustomerCombined[[#This Row],[ID]], Table4[ID], Table4[Deals], "Not Found", 0)</f>
        <v>1</v>
      </c>
      <c r="S1593" s="5">
        <f>_xlfn.XLOOKUP(CustomerCombined[[#This Row],[ID]], Table4[ID], Table4[Website], "Not Found", 0)</f>
        <v>2</v>
      </c>
      <c r="T1593" s="5">
        <f>_xlfn.XLOOKUP(CustomerCombined[[#This Row],[ID]], Table4[ID], Table4[Catalog], "Not Found", 0)</f>
        <v>1</v>
      </c>
      <c r="U1593" s="5">
        <f>_xlfn.XLOOKUP(CustomerCombined[[#This Row],[ID]], Table4[ID], Table4[Store], "Not Found", 0)</f>
        <v>4</v>
      </c>
      <c r="V1593" s="5">
        <f>_xlfn.XLOOKUP(CustomerCombined[[#This Row],[ID]], Table4[ID], Table4[Visits], "Not Found", 0)</f>
        <v>3</v>
      </c>
      <c r="W1593" s="8">
        <f>_xlfn.XLOOKUP(CustomerCombined[[#This Row],[ID]], Table2[ID],Table2[Complaint], "Not Found", 0 )</f>
        <v>0</v>
      </c>
      <c r="X1593" s="8">
        <f>_xlfn.XLOOKUP(CustomerCombined[[#This Row],[ID]], Table2[ID],Table2[Pilot], "Not Found", 0 )</f>
        <v>0</v>
      </c>
      <c r="Y1593" s="8">
        <f>_xlfn.XLOOKUP(CustomerCombined[[#This Row],[ID]], Table2[ID],Table2[MC1], "Not Found", 0 )</f>
        <v>0</v>
      </c>
      <c r="Z1593" s="8">
        <f>_xlfn.XLOOKUP(CustomerCombined[[#This Row],[ID]], Table2[ID],Table2[MC2], "Not Found", 0 )</f>
        <v>0</v>
      </c>
      <c r="AA1593" s="8">
        <f>_xlfn.XLOOKUP(CustomerCombined[[#This Row],[ID]], Table2[ID],Table2[MC3], "Not Found", 0 )</f>
        <v>0</v>
      </c>
      <c r="AB1593" s="8">
        <f>_xlfn.XLOOKUP(CustomerCombined[[#This Row],[ID]], Table2[ID],Table2[MC4], "Not Found", 0 )</f>
        <v>0</v>
      </c>
      <c r="AC1593" s="8">
        <f>_xlfn.XLOOKUP(CustomerCombined[[#This Row],[ID]], Table2[ID],Table2[MC5], "Not Found", 0 )</f>
        <v>0</v>
      </c>
    </row>
    <row r="1594" spans="1:29" x14ac:dyDescent="0.3">
      <c r="A1594" s="6">
        <v>1571</v>
      </c>
      <c r="B1594" s="6">
        <v>161794</v>
      </c>
      <c r="C1594" s="6">
        <v>0</v>
      </c>
      <c r="D1594" s="6">
        <v>1</v>
      </c>
      <c r="E1594" s="6">
        <v>59</v>
      </c>
      <c r="F1594" s="5" t="s">
        <v>6</v>
      </c>
      <c r="G1594" s="5" t="s">
        <v>12</v>
      </c>
      <c r="H1594" s="3" t="s">
        <v>185</v>
      </c>
      <c r="I1594" s="5" t="s">
        <v>434</v>
      </c>
      <c r="J1594" s="5">
        <f>_xlfn.XLOOKUP(CustomerCombined[[#This Row],[ID]], Table4[ID], Table4[Recency], "Not Found", 0)</f>
        <v>74</v>
      </c>
      <c r="K1594" s="5">
        <f>_xlfn.XLOOKUP(CustomerCombined[[#This Row],[ID]], Table4[ID], Table4[Teas], "Not Found", 0)</f>
        <v>691</v>
      </c>
      <c r="L1594" s="5">
        <f>_xlfn.XLOOKUP(CustomerCombined[[#This Row],[ID]], Table4[ID], Table4[Fruits], "Not Found", 0)</f>
        <v>123</v>
      </c>
      <c r="M1594" s="5">
        <f>_xlfn.XLOOKUP(CustomerCombined[[#This Row],[ID]], Table4[ID], Table4[Meats], "Not Found", 0)</f>
        <v>492</v>
      </c>
      <c r="N1594" s="5">
        <f>_xlfn.XLOOKUP(CustomerCombined[[#This Row],[ID]], Table4[ID], Table4[Seafood], "Not Found", 0)</f>
        <v>141</v>
      </c>
      <c r="O1594" s="5">
        <f>_xlfn.XLOOKUP(CustomerCombined[[#This Row],[ID]], Table4[ID], Table4[Sweets], "Not Found", 0)</f>
        <v>123</v>
      </c>
      <c r="P1594" s="5">
        <f>_xlfn.XLOOKUP(CustomerCombined[[#This Row],[ID]], Table4[ID], Table4[Premium], "Not Found", 0)</f>
        <v>29</v>
      </c>
      <c r="Q1594" s="5">
        <f>_xlfn.XLOOKUP(CustomerCombined[[#This Row],[ID]], Table4[ID], Table4[Regular], "Not Found", 0)</f>
        <v>1542</v>
      </c>
      <c r="R1594" s="5">
        <f>_xlfn.XLOOKUP(CustomerCombined[[#This Row],[ID]], Table4[ID], Table4[Deals], "Not Found", 0)</f>
        <v>2</v>
      </c>
      <c r="S1594" s="5">
        <f>_xlfn.XLOOKUP(CustomerCombined[[#This Row],[ID]], Table4[ID], Table4[Website], "Not Found", 0)</f>
        <v>4</v>
      </c>
      <c r="T1594" s="5">
        <f>_xlfn.XLOOKUP(CustomerCombined[[#This Row],[ID]], Table4[ID], Table4[Catalog], "Not Found", 0)</f>
        <v>4</v>
      </c>
      <c r="U1594" s="5">
        <f>_xlfn.XLOOKUP(CustomerCombined[[#This Row],[ID]], Table4[ID], Table4[Store], "Not Found", 0)</f>
        <v>10</v>
      </c>
      <c r="V1594" s="5">
        <f>_xlfn.XLOOKUP(CustomerCombined[[#This Row],[ID]], Table4[ID], Table4[Visits], "Not Found", 0)</f>
        <v>2</v>
      </c>
      <c r="W1594" s="8">
        <f>_xlfn.XLOOKUP(CustomerCombined[[#This Row],[ID]], Table2[ID],Table2[Complaint], "Not Found", 0 )</f>
        <v>0</v>
      </c>
      <c r="X1594" s="8">
        <f>_xlfn.XLOOKUP(CustomerCombined[[#This Row],[ID]], Table2[ID],Table2[Pilot], "Not Found", 0 )</f>
        <v>0</v>
      </c>
      <c r="Y1594" s="8">
        <f>_xlfn.XLOOKUP(CustomerCombined[[#This Row],[ID]], Table2[ID],Table2[MC1], "Not Found", 0 )</f>
        <v>0</v>
      </c>
      <c r="Z1594" s="8">
        <f>_xlfn.XLOOKUP(CustomerCombined[[#This Row],[ID]], Table2[ID],Table2[MC2], "Not Found", 0 )</f>
        <v>0</v>
      </c>
      <c r="AA1594" s="8">
        <f>_xlfn.XLOOKUP(CustomerCombined[[#This Row],[ID]], Table2[ID],Table2[MC3], "Not Found", 0 )</f>
        <v>0</v>
      </c>
      <c r="AB1594" s="8">
        <f>_xlfn.XLOOKUP(CustomerCombined[[#This Row],[ID]], Table2[ID],Table2[MC4], "Not Found", 0 )</f>
        <v>0</v>
      </c>
      <c r="AC1594" s="8">
        <f>_xlfn.XLOOKUP(CustomerCombined[[#This Row],[ID]], Table2[ID],Table2[MC5], "Not Found", 0 )</f>
        <v>0</v>
      </c>
    </row>
    <row r="1595" spans="1:29" x14ac:dyDescent="0.3">
      <c r="A1595" s="6">
        <v>2376</v>
      </c>
      <c r="B1595" s="6">
        <v>160544</v>
      </c>
      <c r="C1595" s="6">
        <v>1</v>
      </c>
      <c r="D1595" s="6">
        <v>1</v>
      </c>
      <c r="E1595" s="6">
        <v>59</v>
      </c>
      <c r="F1595" s="5" t="s">
        <v>6</v>
      </c>
      <c r="G1595" s="5" t="s">
        <v>11</v>
      </c>
      <c r="H1595" s="3" t="s">
        <v>403</v>
      </c>
      <c r="I1595" s="5" t="s">
        <v>436</v>
      </c>
      <c r="J1595" s="5">
        <f>_xlfn.XLOOKUP(CustomerCombined[[#This Row],[ID]], Table4[ID], Table4[Recency], "Not Found", 0)</f>
        <v>92</v>
      </c>
      <c r="K1595" s="5">
        <f>_xlfn.XLOOKUP(CustomerCombined[[#This Row],[ID]], Table4[ID], Table4[Teas], "Not Found", 0)</f>
        <v>533</v>
      </c>
      <c r="L1595" s="5">
        <f>_xlfn.XLOOKUP(CustomerCombined[[#This Row],[ID]], Table4[ID], Table4[Fruits], "Not Found", 0)</f>
        <v>5</v>
      </c>
      <c r="M1595" s="5">
        <f>_xlfn.XLOOKUP(CustomerCombined[[#This Row],[ID]], Table4[ID], Table4[Meats], "Not Found", 0)</f>
        <v>114</v>
      </c>
      <c r="N1595" s="5">
        <f>_xlfn.XLOOKUP(CustomerCombined[[#This Row],[ID]], Table4[ID], Table4[Seafood], "Not Found", 0)</f>
        <v>8</v>
      </c>
      <c r="O1595" s="5">
        <f>_xlfn.XLOOKUP(CustomerCombined[[#This Row],[ID]], Table4[ID], Table4[Sweets], "Not Found", 0)</f>
        <v>13</v>
      </c>
      <c r="P1595" s="5">
        <f>_xlfn.XLOOKUP(CustomerCombined[[#This Row],[ID]], Table4[ID], Table4[Premium], "Not Found", 0)</f>
        <v>93</v>
      </c>
      <c r="Q1595" s="5">
        <f>_xlfn.XLOOKUP(CustomerCombined[[#This Row],[ID]], Table4[ID], Table4[Regular], "Not Found", 0)</f>
        <v>581</v>
      </c>
      <c r="R1595" s="5">
        <f>_xlfn.XLOOKUP(CustomerCombined[[#This Row],[ID]], Table4[ID], Table4[Deals], "Not Found", 0)</f>
        <v>4</v>
      </c>
      <c r="S1595" s="5">
        <f>_xlfn.XLOOKUP(CustomerCombined[[#This Row],[ID]], Table4[ID], Table4[Website], "Not Found", 0)</f>
        <v>5</v>
      </c>
      <c r="T1595" s="5">
        <f>_xlfn.XLOOKUP(CustomerCombined[[#This Row],[ID]], Table4[ID], Table4[Catalog], "Not Found", 0)</f>
        <v>1</v>
      </c>
      <c r="U1595" s="5">
        <f>_xlfn.XLOOKUP(CustomerCombined[[#This Row],[ID]], Table4[ID], Table4[Store], "Not Found", 0)</f>
        <v>5</v>
      </c>
      <c r="V1595" s="5">
        <f>_xlfn.XLOOKUP(CustomerCombined[[#This Row],[ID]], Table4[ID], Table4[Visits], "Not Found", 0)</f>
        <v>6</v>
      </c>
      <c r="W1595" s="8">
        <f>_xlfn.XLOOKUP(CustomerCombined[[#This Row],[ID]], Table2[ID],Table2[Complaint], "Not Found", 0 )</f>
        <v>0</v>
      </c>
      <c r="X1595" s="8">
        <f>_xlfn.XLOOKUP(CustomerCombined[[#This Row],[ID]], Table2[ID],Table2[Pilot], "Not Found", 0 )</f>
        <v>0</v>
      </c>
      <c r="Y1595" s="8">
        <f>_xlfn.XLOOKUP(CustomerCombined[[#This Row],[ID]], Table2[ID],Table2[MC1], "Not Found", 0 )</f>
        <v>0</v>
      </c>
      <c r="Z1595" s="8">
        <f>_xlfn.XLOOKUP(CustomerCombined[[#This Row],[ID]], Table2[ID],Table2[MC2], "Not Found", 0 )</f>
        <v>0</v>
      </c>
      <c r="AA1595" s="8">
        <f>_xlfn.XLOOKUP(CustomerCombined[[#This Row],[ID]], Table2[ID],Table2[MC3], "Not Found", 0 )</f>
        <v>0</v>
      </c>
      <c r="AB1595" s="8">
        <f>_xlfn.XLOOKUP(CustomerCombined[[#This Row],[ID]], Table2[ID],Table2[MC4], "Not Found", 0 )</f>
        <v>0</v>
      </c>
      <c r="AC1595" s="8">
        <f>_xlfn.XLOOKUP(CustomerCombined[[#This Row],[ID]], Table2[ID],Table2[MC5], "Not Found", 0 )</f>
        <v>0</v>
      </c>
    </row>
    <row r="1596" spans="1:29" x14ac:dyDescent="0.3">
      <c r="A1596" s="6">
        <v>2412</v>
      </c>
      <c r="B1596" s="6">
        <v>160544</v>
      </c>
      <c r="C1596" s="6">
        <v>1</v>
      </c>
      <c r="D1596" s="6">
        <v>1</v>
      </c>
      <c r="E1596" s="6">
        <v>59</v>
      </c>
      <c r="F1596" s="5" t="s">
        <v>6</v>
      </c>
      <c r="G1596" s="5" t="s">
        <v>11</v>
      </c>
      <c r="H1596" s="3" t="s">
        <v>403</v>
      </c>
      <c r="I1596" s="5" t="s">
        <v>436</v>
      </c>
      <c r="J1596" s="5">
        <f>_xlfn.XLOOKUP(CustomerCombined[[#This Row],[ID]], Table4[ID], Table4[Recency], "Not Found", 0)</f>
        <v>92</v>
      </c>
      <c r="K1596" s="5">
        <f>_xlfn.XLOOKUP(CustomerCombined[[#This Row],[ID]], Table4[ID], Table4[Teas], "Not Found", 0)</f>
        <v>533</v>
      </c>
      <c r="L1596" s="5">
        <f>_xlfn.XLOOKUP(CustomerCombined[[#This Row],[ID]], Table4[ID], Table4[Fruits], "Not Found", 0)</f>
        <v>5</v>
      </c>
      <c r="M1596" s="5">
        <f>_xlfn.XLOOKUP(CustomerCombined[[#This Row],[ID]], Table4[ID], Table4[Meats], "Not Found", 0)</f>
        <v>114</v>
      </c>
      <c r="N1596" s="5">
        <f>_xlfn.XLOOKUP(CustomerCombined[[#This Row],[ID]], Table4[ID], Table4[Seafood], "Not Found", 0)</f>
        <v>8</v>
      </c>
      <c r="O1596" s="5">
        <f>_xlfn.XLOOKUP(CustomerCombined[[#This Row],[ID]], Table4[ID], Table4[Sweets], "Not Found", 0)</f>
        <v>13</v>
      </c>
      <c r="P1596" s="5">
        <f>_xlfn.XLOOKUP(CustomerCombined[[#This Row],[ID]], Table4[ID], Table4[Premium], "Not Found", 0)</f>
        <v>93</v>
      </c>
      <c r="Q1596" s="5">
        <f>_xlfn.XLOOKUP(CustomerCombined[[#This Row],[ID]], Table4[ID], Table4[Regular], "Not Found", 0)</f>
        <v>581</v>
      </c>
      <c r="R1596" s="5">
        <f>_xlfn.XLOOKUP(CustomerCombined[[#This Row],[ID]], Table4[ID], Table4[Deals], "Not Found", 0)</f>
        <v>4</v>
      </c>
      <c r="S1596" s="5">
        <f>_xlfn.XLOOKUP(CustomerCombined[[#This Row],[ID]], Table4[ID], Table4[Website], "Not Found", 0)</f>
        <v>5</v>
      </c>
      <c r="T1596" s="5">
        <f>_xlfn.XLOOKUP(CustomerCombined[[#This Row],[ID]], Table4[ID], Table4[Catalog], "Not Found", 0)</f>
        <v>1</v>
      </c>
      <c r="U1596" s="5">
        <f>_xlfn.XLOOKUP(CustomerCombined[[#This Row],[ID]], Table4[ID], Table4[Store], "Not Found", 0)</f>
        <v>5</v>
      </c>
      <c r="V1596" s="5">
        <f>_xlfn.XLOOKUP(CustomerCombined[[#This Row],[ID]], Table4[ID], Table4[Visits], "Not Found", 0)</f>
        <v>6</v>
      </c>
      <c r="W1596" s="8">
        <f>_xlfn.XLOOKUP(CustomerCombined[[#This Row],[ID]], Table2[ID],Table2[Complaint], "Not Found", 0 )</f>
        <v>0</v>
      </c>
      <c r="X1596" s="8">
        <f>_xlfn.XLOOKUP(CustomerCombined[[#This Row],[ID]], Table2[ID],Table2[Pilot], "Not Found", 0 )</f>
        <v>0</v>
      </c>
      <c r="Y1596" s="8">
        <f>_xlfn.XLOOKUP(CustomerCombined[[#This Row],[ID]], Table2[ID],Table2[MC1], "Not Found", 0 )</f>
        <v>0</v>
      </c>
      <c r="Z1596" s="8">
        <f>_xlfn.XLOOKUP(CustomerCombined[[#This Row],[ID]], Table2[ID],Table2[MC2], "Not Found", 0 )</f>
        <v>0</v>
      </c>
      <c r="AA1596" s="8">
        <f>_xlfn.XLOOKUP(CustomerCombined[[#This Row],[ID]], Table2[ID],Table2[MC3], "Not Found", 0 )</f>
        <v>0</v>
      </c>
      <c r="AB1596" s="8">
        <f>_xlfn.XLOOKUP(CustomerCombined[[#This Row],[ID]], Table2[ID],Table2[MC4], "Not Found", 0 )</f>
        <v>0</v>
      </c>
      <c r="AC1596" s="8">
        <f>_xlfn.XLOOKUP(CustomerCombined[[#This Row],[ID]], Table2[ID],Table2[MC5], "Not Found", 0 )</f>
        <v>0</v>
      </c>
    </row>
    <row r="1597" spans="1:29" x14ac:dyDescent="0.3">
      <c r="A1597" s="6">
        <v>2180</v>
      </c>
      <c r="B1597" s="6">
        <v>159184</v>
      </c>
      <c r="C1597" s="6">
        <v>0</v>
      </c>
      <c r="D1597" s="6">
        <v>1</v>
      </c>
      <c r="E1597" s="6">
        <v>59</v>
      </c>
      <c r="F1597" s="5" t="s">
        <v>9</v>
      </c>
      <c r="G1597" s="5" t="s">
        <v>442</v>
      </c>
      <c r="H1597" s="3" t="s">
        <v>400</v>
      </c>
      <c r="I1597" s="5" t="s">
        <v>438</v>
      </c>
      <c r="J1597" s="5">
        <f>_xlfn.XLOOKUP(CustomerCombined[[#This Row],[ID]], Table4[ID], Table4[Recency], "Not Found", 0)</f>
        <v>6</v>
      </c>
      <c r="K1597" s="5">
        <f>_xlfn.XLOOKUP(CustomerCombined[[#This Row],[ID]], Table4[ID], Table4[Teas], "Not Found", 0)</f>
        <v>917</v>
      </c>
      <c r="L1597" s="5">
        <f>_xlfn.XLOOKUP(CustomerCombined[[#This Row],[ID]], Table4[ID], Table4[Fruits], "Not Found", 0)</f>
        <v>382</v>
      </c>
      <c r="M1597" s="5">
        <f>_xlfn.XLOOKUP(CustomerCombined[[#This Row],[ID]], Table4[ID], Table4[Meats], "Not Found", 0)</f>
        <v>304</v>
      </c>
      <c r="N1597" s="5">
        <f>_xlfn.XLOOKUP(CustomerCombined[[#This Row],[ID]], Table4[ID], Table4[Seafood], "Not Found", 0)</f>
        <v>697</v>
      </c>
      <c r="O1597" s="5">
        <f>_xlfn.XLOOKUP(CustomerCombined[[#This Row],[ID]], Table4[ID], Table4[Sweets], "Not Found", 0)</f>
        <v>406</v>
      </c>
      <c r="P1597" s="5">
        <f>_xlfn.XLOOKUP(CustomerCombined[[#This Row],[ID]], Table4[ID], Table4[Premium], "Not Found", 0)</f>
        <v>178</v>
      </c>
      <c r="Q1597" s="5">
        <f>_xlfn.XLOOKUP(CustomerCombined[[#This Row],[ID]], Table4[ID], Table4[Regular], "Not Found", 0)</f>
        <v>2528</v>
      </c>
      <c r="R1597" s="5">
        <f>_xlfn.XLOOKUP(CustomerCombined[[#This Row],[ID]], Table4[ID], Table4[Deals], "Not Found", 0)</f>
        <v>3</v>
      </c>
      <c r="S1597" s="5">
        <f>_xlfn.XLOOKUP(CustomerCombined[[#This Row],[ID]], Table4[ID], Table4[Website], "Not Found", 0)</f>
        <v>6</v>
      </c>
      <c r="T1597" s="5">
        <f>_xlfn.XLOOKUP(CustomerCombined[[#This Row],[ID]], Table4[ID], Table4[Catalog], "Not Found", 0)</f>
        <v>6</v>
      </c>
      <c r="U1597" s="5">
        <f>_xlfn.XLOOKUP(CustomerCombined[[#This Row],[ID]], Table4[ID], Table4[Store], "Not Found", 0)</f>
        <v>12</v>
      </c>
      <c r="V1597" s="5">
        <f>_xlfn.XLOOKUP(CustomerCombined[[#This Row],[ID]], Table4[ID], Table4[Visits], "Not Found", 0)</f>
        <v>5</v>
      </c>
      <c r="W1597" s="8">
        <f>_xlfn.XLOOKUP(CustomerCombined[[#This Row],[ID]], Table2[ID],Table2[Complaint], "Not Found", 0 )</f>
        <v>0</v>
      </c>
      <c r="X1597" s="8">
        <f>_xlfn.XLOOKUP(CustomerCombined[[#This Row],[ID]], Table2[ID],Table2[Pilot], "Not Found", 0 )</f>
        <v>0</v>
      </c>
      <c r="Y1597" s="8">
        <f>_xlfn.XLOOKUP(CustomerCombined[[#This Row],[ID]], Table2[ID],Table2[MC1], "Not Found", 0 )</f>
        <v>0</v>
      </c>
      <c r="Z1597" s="8">
        <f>_xlfn.XLOOKUP(CustomerCombined[[#This Row],[ID]], Table2[ID],Table2[MC2], "Not Found", 0 )</f>
        <v>0</v>
      </c>
      <c r="AA1597" s="8">
        <f>_xlfn.XLOOKUP(CustomerCombined[[#This Row],[ID]], Table2[ID],Table2[MC3], "Not Found", 0 )</f>
        <v>0</v>
      </c>
      <c r="AB1597" s="8">
        <f>_xlfn.XLOOKUP(CustomerCombined[[#This Row],[ID]], Table2[ID],Table2[MC4], "Not Found", 0 )</f>
        <v>0</v>
      </c>
      <c r="AC1597" s="8">
        <f>_xlfn.XLOOKUP(CustomerCombined[[#This Row],[ID]], Table2[ID],Table2[MC5], "Not Found", 0 )</f>
        <v>0</v>
      </c>
    </row>
    <row r="1598" spans="1:29" x14ac:dyDescent="0.3">
      <c r="A1598" s="6">
        <v>1803</v>
      </c>
      <c r="B1598" s="6">
        <v>157091</v>
      </c>
      <c r="C1598" s="6">
        <v>0</v>
      </c>
      <c r="D1598" s="6">
        <v>0</v>
      </c>
      <c r="E1598" s="6">
        <v>59</v>
      </c>
      <c r="F1598" s="5" t="s">
        <v>7</v>
      </c>
      <c r="G1598" s="5" t="s">
        <v>11</v>
      </c>
      <c r="H1598" s="3" t="s">
        <v>34</v>
      </c>
      <c r="I1598" s="5" t="s">
        <v>435</v>
      </c>
      <c r="J1598" s="5">
        <f>_xlfn.XLOOKUP(CustomerCombined[[#This Row],[ID]], Table4[ID], Table4[Recency], "Not Found", 0)</f>
        <v>0</v>
      </c>
      <c r="K1598" s="5">
        <f>_xlfn.XLOOKUP(CustomerCombined[[#This Row],[ID]], Table4[ID], Table4[Teas], "Not Found", 0)</f>
        <v>1277</v>
      </c>
      <c r="L1598" s="5">
        <f>_xlfn.XLOOKUP(CustomerCombined[[#This Row],[ID]], Table4[ID], Table4[Fruits], "Not Found", 0)</f>
        <v>14</v>
      </c>
      <c r="M1598" s="5">
        <f>_xlfn.XLOOKUP(CustomerCombined[[#This Row],[ID]], Table4[ID], Table4[Meats], "Not Found", 0)</f>
        <v>176</v>
      </c>
      <c r="N1598" s="5">
        <f>_xlfn.XLOOKUP(CustomerCombined[[#This Row],[ID]], Table4[ID], Table4[Seafood], "Not Found", 0)</f>
        <v>19</v>
      </c>
      <c r="O1598" s="5">
        <f>_xlfn.XLOOKUP(CustomerCombined[[#This Row],[ID]], Table4[ID], Table4[Sweets], "Not Found", 0)</f>
        <v>0</v>
      </c>
      <c r="P1598" s="5">
        <f>_xlfn.XLOOKUP(CustomerCombined[[#This Row],[ID]], Table4[ID], Table4[Premium], "Not Found", 0)</f>
        <v>102</v>
      </c>
      <c r="Q1598" s="5">
        <f>_xlfn.XLOOKUP(CustomerCombined[[#This Row],[ID]], Table4[ID], Table4[Regular], "Not Found", 0)</f>
        <v>1384</v>
      </c>
      <c r="R1598" s="5">
        <f>_xlfn.XLOOKUP(CustomerCombined[[#This Row],[ID]], Table4[ID], Table4[Deals], "Not Found", 0)</f>
        <v>1</v>
      </c>
      <c r="S1598" s="5">
        <f>_xlfn.XLOOKUP(CustomerCombined[[#This Row],[ID]], Table4[ID], Table4[Website], "Not Found", 0)</f>
        <v>7</v>
      </c>
      <c r="T1598" s="5">
        <f>_xlfn.XLOOKUP(CustomerCombined[[#This Row],[ID]], Table4[ID], Table4[Catalog], "Not Found", 0)</f>
        <v>3</v>
      </c>
      <c r="U1598" s="5">
        <f>_xlfn.XLOOKUP(CustomerCombined[[#This Row],[ID]], Table4[ID], Table4[Store], "Not Found", 0)</f>
        <v>7</v>
      </c>
      <c r="V1598" s="5">
        <f>_xlfn.XLOOKUP(CustomerCombined[[#This Row],[ID]], Table4[ID], Table4[Visits], "Not Found", 0)</f>
        <v>5</v>
      </c>
      <c r="W1598" s="8">
        <f>_xlfn.XLOOKUP(CustomerCombined[[#This Row],[ID]], Table2[ID],Table2[Complaint], "Not Found", 0 )</f>
        <v>0</v>
      </c>
      <c r="X1598" s="8">
        <f>_xlfn.XLOOKUP(CustomerCombined[[#This Row],[ID]], Table2[ID],Table2[Pilot], "Not Found", 0 )</f>
        <v>1</v>
      </c>
      <c r="Y1598" s="8">
        <f>_xlfn.XLOOKUP(CustomerCombined[[#This Row],[ID]], Table2[ID],Table2[MC1], "Not Found", 0 )</f>
        <v>0</v>
      </c>
      <c r="Z1598" s="8">
        <f>_xlfn.XLOOKUP(CustomerCombined[[#This Row],[ID]], Table2[ID],Table2[MC2], "Not Found", 0 )</f>
        <v>1</v>
      </c>
      <c r="AA1598" s="8">
        <f>_xlfn.XLOOKUP(CustomerCombined[[#This Row],[ID]], Table2[ID],Table2[MC3], "Not Found", 0 )</f>
        <v>0</v>
      </c>
      <c r="AB1598" s="8">
        <f>_xlfn.XLOOKUP(CustomerCombined[[#This Row],[ID]], Table2[ID],Table2[MC4], "Not Found", 0 )</f>
        <v>0</v>
      </c>
      <c r="AC1598" s="8">
        <f>_xlfn.XLOOKUP(CustomerCombined[[#This Row],[ID]], Table2[ID],Table2[MC5], "Not Found", 0 )</f>
        <v>0</v>
      </c>
    </row>
    <row r="1599" spans="1:29" x14ac:dyDescent="0.3">
      <c r="A1599" s="6">
        <v>2455</v>
      </c>
      <c r="B1599" s="6">
        <v>157072</v>
      </c>
      <c r="C1599" s="6">
        <v>0</v>
      </c>
      <c r="D1599" s="6">
        <v>1</v>
      </c>
      <c r="E1599" s="6">
        <v>59</v>
      </c>
      <c r="F1599" s="5" t="s">
        <v>6</v>
      </c>
      <c r="G1599" s="5" t="s">
        <v>13</v>
      </c>
      <c r="H1599" s="3" t="s">
        <v>108</v>
      </c>
      <c r="I1599" s="5" t="s">
        <v>437</v>
      </c>
      <c r="J1599" s="5">
        <f>_xlfn.XLOOKUP(CustomerCombined[[#This Row],[ID]], Table4[ID], Table4[Recency], "Not Found", 0)</f>
        <v>79</v>
      </c>
      <c r="K1599" s="5">
        <f>_xlfn.XLOOKUP(CustomerCombined[[#This Row],[ID]], Table4[ID], Table4[Teas], "Not Found", 0)</f>
        <v>2598</v>
      </c>
      <c r="L1599" s="5">
        <f>_xlfn.XLOOKUP(CustomerCombined[[#This Row],[ID]], Table4[ID], Table4[Fruits], "Not Found", 0)</f>
        <v>0</v>
      </c>
      <c r="M1599" s="5">
        <f>_xlfn.XLOOKUP(CustomerCombined[[#This Row],[ID]], Table4[ID], Table4[Meats], "Not Found", 0)</f>
        <v>165</v>
      </c>
      <c r="N1599" s="5">
        <f>_xlfn.XLOOKUP(CustomerCombined[[#This Row],[ID]], Table4[ID], Table4[Seafood], "Not Found", 0)</f>
        <v>0</v>
      </c>
      <c r="O1599" s="5">
        <f>_xlfn.XLOOKUP(CustomerCombined[[#This Row],[ID]], Table4[ID], Table4[Sweets], "Not Found", 0)</f>
        <v>0</v>
      </c>
      <c r="P1599" s="5">
        <f>_xlfn.XLOOKUP(CustomerCombined[[#This Row],[ID]], Table4[ID], Table4[Premium], "Not Found", 0)</f>
        <v>83</v>
      </c>
      <c r="Q1599" s="5">
        <f>_xlfn.XLOOKUP(CustomerCombined[[#This Row],[ID]], Table4[ID], Table4[Regular], "Not Found", 0)</f>
        <v>2681</v>
      </c>
      <c r="R1599" s="5">
        <f>_xlfn.XLOOKUP(CustomerCombined[[#This Row],[ID]], Table4[ID], Table4[Deals], "Not Found", 0)</f>
        <v>2</v>
      </c>
      <c r="S1599" s="5">
        <f>_xlfn.XLOOKUP(CustomerCombined[[#This Row],[ID]], Table4[ID], Table4[Website], "Not Found", 0)</f>
        <v>7</v>
      </c>
      <c r="T1599" s="5">
        <f>_xlfn.XLOOKUP(CustomerCombined[[#This Row],[ID]], Table4[ID], Table4[Catalog], "Not Found", 0)</f>
        <v>5</v>
      </c>
      <c r="U1599" s="5">
        <f>_xlfn.XLOOKUP(CustomerCombined[[#This Row],[ID]], Table4[ID], Table4[Store], "Not Found", 0)</f>
        <v>13</v>
      </c>
      <c r="V1599" s="5">
        <f>_xlfn.XLOOKUP(CustomerCombined[[#This Row],[ID]], Table4[ID], Table4[Visits], "Not Found", 0)</f>
        <v>5</v>
      </c>
      <c r="W1599" s="8">
        <f>_xlfn.XLOOKUP(CustomerCombined[[#This Row],[ID]], Table2[ID],Table2[Complaint], "Not Found", 0 )</f>
        <v>0</v>
      </c>
      <c r="X1599" s="8">
        <f>_xlfn.XLOOKUP(CustomerCombined[[#This Row],[ID]], Table2[ID],Table2[Pilot], "Not Found", 0 )</f>
        <v>0</v>
      </c>
      <c r="Y1599" s="8">
        <f>_xlfn.XLOOKUP(CustomerCombined[[#This Row],[ID]], Table2[ID],Table2[MC1], "Not Found", 0 )</f>
        <v>0</v>
      </c>
      <c r="Z1599" s="8">
        <f>_xlfn.XLOOKUP(CustomerCombined[[#This Row],[ID]], Table2[ID],Table2[MC2], "Not Found", 0 )</f>
        <v>0</v>
      </c>
      <c r="AA1599" s="8">
        <f>_xlfn.XLOOKUP(CustomerCombined[[#This Row],[ID]], Table2[ID],Table2[MC3], "Not Found", 0 )</f>
        <v>1</v>
      </c>
      <c r="AB1599" s="8">
        <f>_xlfn.XLOOKUP(CustomerCombined[[#This Row],[ID]], Table2[ID],Table2[MC4], "Not Found", 0 )</f>
        <v>0</v>
      </c>
      <c r="AC1599" s="8">
        <f>_xlfn.XLOOKUP(CustomerCombined[[#This Row],[ID]], Table2[ID],Table2[MC5], "Not Found", 0 )</f>
        <v>0</v>
      </c>
    </row>
    <row r="1600" spans="1:29" x14ac:dyDescent="0.3">
      <c r="A1600" s="6">
        <v>2163</v>
      </c>
      <c r="B1600" s="6">
        <v>154959</v>
      </c>
      <c r="C1600" s="6">
        <v>0</v>
      </c>
      <c r="D1600" s="6">
        <v>1</v>
      </c>
      <c r="E1600" s="6">
        <v>59</v>
      </c>
      <c r="F1600" s="5" t="s">
        <v>5</v>
      </c>
      <c r="G1600" s="5" t="s">
        <v>13</v>
      </c>
      <c r="H1600" s="3" t="s">
        <v>322</v>
      </c>
      <c r="I1600" s="5" t="s">
        <v>435</v>
      </c>
      <c r="J1600" s="5">
        <f>_xlfn.XLOOKUP(CustomerCombined[[#This Row],[ID]], Table4[ID], Table4[Recency], "Not Found", 0)</f>
        <v>55</v>
      </c>
      <c r="K1600" s="5">
        <f>_xlfn.XLOOKUP(CustomerCombined[[#This Row],[ID]], Table4[ID], Table4[Teas], "Not Found", 0)</f>
        <v>3237</v>
      </c>
      <c r="L1600" s="5">
        <f>_xlfn.XLOOKUP(CustomerCombined[[#This Row],[ID]], Table4[ID], Table4[Fruits], "Not Found", 0)</f>
        <v>0</v>
      </c>
      <c r="M1600" s="5">
        <f>_xlfn.XLOOKUP(CustomerCombined[[#This Row],[ID]], Table4[ID], Table4[Meats], "Not Found", 0)</f>
        <v>169</v>
      </c>
      <c r="N1600" s="5">
        <f>_xlfn.XLOOKUP(CustomerCombined[[#This Row],[ID]], Table4[ID], Table4[Seafood], "Not Found", 0)</f>
        <v>0</v>
      </c>
      <c r="O1600" s="5">
        <f>_xlfn.XLOOKUP(CustomerCombined[[#This Row],[ID]], Table4[ID], Table4[Sweets], "Not Found", 0)</f>
        <v>0</v>
      </c>
      <c r="P1600" s="5">
        <f>_xlfn.XLOOKUP(CustomerCombined[[#This Row],[ID]], Table4[ID], Table4[Premium], "Not Found", 0)</f>
        <v>68</v>
      </c>
      <c r="Q1600" s="5">
        <f>_xlfn.XLOOKUP(CustomerCombined[[#This Row],[ID]], Table4[ID], Table4[Regular], "Not Found", 0)</f>
        <v>3338</v>
      </c>
      <c r="R1600" s="5">
        <f>_xlfn.XLOOKUP(CustomerCombined[[#This Row],[ID]], Table4[ID], Table4[Deals], "Not Found", 0)</f>
        <v>3</v>
      </c>
      <c r="S1600" s="5">
        <f>_xlfn.XLOOKUP(CustomerCombined[[#This Row],[ID]], Table4[ID], Table4[Website], "Not Found", 0)</f>
        <v>9</v>
      </c>
      <c r="T1600" s="5">
        <f>_xlfn.XLOOKUP(CustomerCombined[[#This Row],[ID]], Table4[ID], Table4[Catalog], "Not Found", 0)</f>
        <v>5</v>
      </c>
      <c r="U1600" s="5">
        <f>_xlfn.XLOOKUP(CustomerCombined[[#This Row],[ID]], Table4[ID], Table4[Store], "Not Found", 0)</f>
        <v>4</v>
      </c>
      <c r="V1600" s="5">
        <f>_xlfn.XLOOKUP(CustomerCombined[[#This Row],[ID]], Table4[ID], Table4[Visits], "Not Found", 0)</f>
        <v>7</v>
      </c>
      <c r="W1600" s="8">
        <f>_xlfn.XLOOKUP(CustomerCombined[[#This Row],[ID]], Table2[ID],Table2[Complaint], "Not Found", 0 )</f>
        <v>0</v>
      </c>
      <c r="X1600" s="8">
        <f>_xlfn.XLOOKUP(CustomerCombined[[#This Row],[ID]], Table2[ID],Table2[Pilot], "Not Found", 0 )</f>
        <v>1</v>
      </c>
      <c r="Y1600" s="8">
        <f>_xlfn.XLOOKUP(CustomerCombined[[#This Row],[ID]], Table2[ID],Table2[MC1], "Not Found", 0 )</f>
        <v>0</v>
      </c>
      <c r="Z1600" s="8">
        <f>_xlfn.XLOOKUP(CustomerCombined[[#This Row],[ID]], Table2[ID],Table2[MC2], "Not Found", 0 )</f>
        <v>0</v>
      </c>
      <c r="AA1600" s="8">
        <f>_xlfn.XLOOKUP(CustomerCombined[[#This Row],[ID]], Table2[ID],Table2[MC3], "Not Found", 0 )</f>
        <v>0</v>
      </c>
      <c r="AB1600" s="8">
        <f>_xlfn.XLOOKUP(CustomerCombined[[#This Row],[ID]], Table2[ID],Table2[MC4], "Not Found", 0 )</f>
        <v>1</v>
      </c>
      <c r="AC1600" s="8">
        <f>_xlfn.XLOOKUP(CustomerCombined[[#This Row],[ID]], Table2[ID],Table2[MC5], "Not Found", 0 )</f>
        <v>0</v>
      </c>
    </row>
    <row r="1601" spans="1:29" x14ac:dyDescent="0.3">
      <c r="A1601" s="6">
        <v>1603</v>
      </c>
      <c r="B1601" s="6">
        <v>154456</v>
      </c>
      <c r="C1601" s="6">
        <v>0</v>
      </c>
      <c r="D1601" s="6">
        <v>1</v>
      </c>
      <c r="E1601" s="6">
        <v>59</v>
      </c>
      <c r="F1601" s="5" t="s">
        <v>6</v>
      </c>
      <c r="G1601" s="5" t="s">
        <v>13</v>
      </c>
      <c r="H1601" s="3" t="s">
        <v>225</v>
      </c>
      <c r="I1601" s="5" t="s">
        <v>437</v>
      </c>
      <c r="J1601" s="5">
        <f>_xlfn.XLOOKUP(CustomerCombined[[#This Row],[ID]], Table4[ID], Table4[Recency], "Not Found", 0)</f>
        <v>23</v>
      </c>
      <c r="K1601" s="5">
        <f>_xlfn.XLOOKUP(CustomerCombined[[#This Row],[ID]], Table4[ID], Table4[Teas], "Not Found", 0)</f>
        <v>998</v>
      </c>
      <c r="L1601" s="5">
        <f>_xlfn.XLOOKUP(CustomerCombined[[#This Row],[ID]], Table4[ID], Table4[Fruits], "Not Found", 0)</f>
        <v>0</v>
      </c>
      <c r="M1601" s="5">
        <f>_xlfn.XLOOKUP(CustomerCombined[[#This Row],[ID]], Table4[ID], Table4[Meats], "Not Found", 0)</f>
        <v>77</v>
      </c>
      <c r="N1601" s="5">
        <f>_xlfn.XLOOKUP(CustomerCombined[[#This Row],[ID]], Table4[ID], Table4[Seafood], "Not Found", 0)</f>
        <v>28</v>
      </c>
      <c r="O1601" s="5">
        <f>_xlfn.XLOOKUP(CustomerCombined[[#This Row],[ID]], Table4[ID], Table4[Sweets], "Not Found", 0)</f>
        <v>0</v>
      </c>
      <c r="P1601" s="5">
        <f>_xlfn.XLOOKUP(CustomerCombined[[#This Row],[ID]], Table4[ID], Table4[Premium], "Not Found", 0)</f>
        <v>43</v>
      </c>
      <c r="Q1601" s="5">
        <f>_xlfn.XLOOKUP(CustomerCombined[[#This Row],[ID]], Table4[ID], Table4[Regular], "Not Found", 0)</f>
        <v>1061</v>
      </c>
      <c r="R1601" s="5">
        <f>_xlfn.XLOOKUP(CustomerCombined[[#This Row],[ID]], Table4[ID], Table4[Deals], "Not Found", 0)</f>
        <v>3</v>
      </c>
      <c r="S1601" s="5">
        <f>_xlfn.XLOOKUP(CustomerCombined[[#This Row],[ID]], Table4[ID], Table4[Website], "Not Found", 0)</f>
        <v>6</v>
      </c>
      <c r="T1601" s="5">
        <f>_xlfn.XLOOKUP(CustomerCombined[[#This Row],[ID]], Table4[ID], Table4[Catalog], "Not Found", 0)</f>
        <v>1</v>
      </c>
      <c r="U1601" s="5">
        <f>_xlfn.XLOOKUP(CustomerCombined[[#This Row],[ID]], Table4[ID], Table4[Store], "Not Found", 0)</f>
        <v>7</v>
      </c>
      <c r="V1601" s="5">
        <f>_xlfn.XLOOKUP(CustomerCombined[[#This Row],[ID]], Table4[ID], Table4[Visits], "Not Found", 0)</f>
        <v>6</v>
      </c>
      <c r="W1601" s="8">
        <f>_xlfn.XLOOKUP(CustomerCombined[[#This Row],[ID]], Table2[ID],Table2[Complaint], "Not Found", 0 )</f>
        <v>0</v>
      </c>
      <c r="X1601" s="8">
        <f>_xlfn.XLOOKUP(CustomerCombined[[#This Row],[ID]], Table2[ID],Table2[Pilot], "Not Found", 0 )</f>
        <v>0</v>
      </c>
      <c r="Y1601" s="8">
        <f>_xlfn.XLOOKUP(CustomerCombined[[#This Row],[ID]], Table2[ID],Table2[MC1], "Not Found", 0 )</f>
        <v>0</v>
      </c>
      <c r="Z1601" s="8">
        <f>_xlfn.XLOOKUP(CustomerCombined[[#This Row],[ID]], Table2[ID],Table2[MC2], "Not Found", 0 )</f>
        <v>0</v>
      </c>
      <c r="AA1601" s="8">
        <f>_xlfn.XLOOKUP(CustomerCombined[[#This Row],[ID]], Table2[ID],Table2[MC3], "Not Found", 0 )</f>
        <v>0</v>
      </c>
      <c r="AB1601" s="8">
        <f>_xlfn.XLOOKUP(CustomerCombined[[#This Row],[ID]], Table2[ID],Table2[MC4], "Not Found", 0 )</f>
        <v>0</v>
      </c>
      <c r="AC1601" s="8">
        <f>_xlfn.XLOOKUP(CustomerCombined[[#This Row],[ID]], Table2[ID],Table2[MC5], "Not Found", 0 )</f>
        <v>0</v>
      </c>
    </row>
    <row r="1602" spans="1:29" x14ac:dyDescent="0.3">
      <c r="A1602" s="6">
        <v>2120</v>
      </c>
      <c r="B1602" s="6">
        <v>149678</v>
      </c>
      <c r="C1602" s="6">
        <v>0</v>
      </c>
      <c r="D1602" s="6">
        <v>1</v>
      </c>
      <c r="E1602" s="6">
        <v>59</v>
      </c>
      <c r="F1602" s="5" t="s">
        <v>6</v>
      </c>
      <c r="G1602" s="5" t="s">
        <v>11</v>
      </c>
      <c r="H1602" s="3">
        <v>43745</v>
      </c>
      <c r="I1602" s="5" t="s">
        <v>438</v>
      </c>
      <c r="J1602" s="5">
        <f>_xlfn.XLOOKUP(CustomerCombined[[#This Row],[ID]], Table4[ID], Table4[Recency], "Not Found", 0)</f>
        <v>81</v>
      </c>
      <c r="K1602" s="5">
        <f>_xlfn.XLOOKUP(CustomerCombined[[#This Row],[ID]], Table4[ID], Table4[Teas], "Not Found", 0)</f>
        <v>690</v>
      </c>
      <c r="L1602" s="5">
        <f>_xlfn.XLOOKUP(CustomerCombined[[#This Row],[ID]], Table4[ID], Table4[Fruits], "Not Found", 0)</f>
        <v>15</v>
      </c>
      <c r="M1602" s="5">
        <f>_xlfn.XLOOKUP(CustomerCombined[[#This Row],[ID]], Table4[ID], Table4[Meats], "Not Found", 0)</f>
        <v>169</v>
      </c>
      <c r="N1602" s="5">
        <f>_xlfn.XLOOKUP(CustomerCombined[[#This Row],[ID]], Table4[ID], Table4[Seafood], "Not Found", 0)</f>
        <v>9</v>
      </c>
      <c r="O1602" s="5">
        <f>_xlfn.XLOOKUP(CustomerCombined[[#This Row],[ID]], Table4[ID], Table4[Sweets], "Not Found", 0)</f>
        <v>6</v>
      </c>
      <c r="P1602" s="5">
        <f>_xlfn.XLOOKUP(CustomerCombined[[#This Row],[ID]], Table4[ID], Table4[Premium], "Not Found", 0)</f>
        <v>60</v>
      </c>
      <c r="Q1602" s="5">
        <f>_xlfn.XLOOKUP(CustomerCombined[[#This Row],[ID]], Table4[ID], Table4[Regular], "Not Found", 0)</f>
        <v>829</v>
      </c>
      <c r="R1602" s="5">
        <f>_xlfn.XLOOKUP(CustomerCombined[[#This Row],[ID]], Table4[ID], Table4[Deals], "Not Found", 0)</f>
        <v>2</v>
      </c>
      <c r="S1602" s="5">
        <f>_xlfn.XLOOKUP(CustomerCombined[[#This Row],[ID]], Table4[ID], Table4[Website], "Not Found", 0)</f>
        <v>6</v>
      </c>
      <c r="T1602" s="5">
        <f>_xlfn.XLOOKUP(CustomerCombined[[#This Row],[ID]], Table4[ID], Table4[Catalog], "Not Found", 0)</f>
        <v>2</v>
      </c>
      <c r="U1602" s="5">
        <f>_xlfn.XLOOKUP(CustomerCombined[[#This Row],[ID]], Table4[ID], Table4[Store], "Not Found", 0)</f>
        <v>4</v>
      </c>
      <c r="V1602" s="5">
        <f>_xlfn.XLOOKUP(CustomerCombined[[#This Row],[ID]], Table4[ID], Table4[Visits], "Not Found", 0)</f>
        <v>7</v>
      </c>
      <c r="W1602" s="8">
        <f>_xlfn.XLOOKUP(CustomerCombined[[#This Row],[ID]], Table2[ID],Table2[Complaint], "Not Found", 0 )</f>
        <v>0</v>
      </c>
      <c r="X1602" s="8">
        <f>_xlfn.XLOOKUP(CustomerCombined[[#This Row],[ID]], Table2[ID],Table2[Pilot], "Not Found", 0 )</f>
        <v>0</v>
      </c>
      <c r="Y1602" s="8">
        <f>_xlfn.XLOOKUP(CustomerCombined[[#This Row],[ID]], Table2[ID],Table2[MC1], "Not Found", 0 )</f>
        <v>0</v>
      </c>
      <c r="Z1602" s="8">
        <f>_xlfn.XLOOKUP(CustomerCombined[[#This Row],[ID]], Table2[ID],Table2[MC2], "Not Found", 0 )</f>
        <v>0</v>
      </c>
      <c r="AA1602" s="8">
        <f>_xlfn.XLOOKUP(CustomerCombined[[#This Row],[ID]], Table2[ID],Table2[MC3], "Not Found", 0 )</f>
        <v>0</v>
      </c>
      <c r="AB1602" s="8">
        <f>_xlfn.XLOOKUP(CustomerCombined[[#This Row],[ID]], Table2[ID],Table2[MC4], "Not Found", 0 )</f>
        <v>0</v>
      </c>
      <c r="AC1602" s="8">
        <f>_xlfn.XLOOKUP(CustomerCombined[[#This Row],[ID]], Table2[ID],Table2[MC5], "Not Found", 0 )</f>
        <v>0</v>
      </c>
    </row>
    <row r="1603" spans="1:29" x14ac:dyDescent="0.3">
      <c r="A1603" s="6">
        <v>1485</v>
      </c>
      <c r="B1603" s="6">
        <v>148330</v>
      </c>
      <c r="C1603" s="6">
        <v>0</v>
      </c>
      <c r="D1603" s="6">
        <v>1</v>
      </c>
      <c r="E1603" s="6">
        <v>59</v>
      </c>
      <c r="F1603" s="5" t="s">
        <v>8</v>
      </c>
      <c r="G1603" s="5" t="s">
        <v>12</v>
      </c>
      <c r="H1603" s="3" t="s">
        <v>149</v>
      </c>
      <c r="I1603" s="5" t="s">
        <v>435</v>
      </c>
      <c r="J1603" s="5">
        <f>_xlfn.XLOOKUP(CustomerCombined[[#This Row],[ID]], Table4[ID], Table4[Recency], "Not Found", 0)</f>
        <v>2</v>
      </c>
      <c r="K1603" s="5">
        <f>_xlfn.XLOOKUP(CustomerCombined[[#This Row],[ID]], Table4[ID], Table4[Teas], "Not Found", 0)</f>
        <v>86</v>
      </c>
      <c r="L1603" s="5">
        <f>_xlfn.XLOOKUP(CustomerCombined[[#This Row],[ID]], Table4[ID], Table4[Fruits], "Not Found", 0)</f>
        <v>0</v>
      </c>
      <c r="M1603" s="5">
        <f>_xlfn.XLOOKUP(CustomerCombined[[#This Row],[ID]], Table4[ID], Table4[Meats], "Not Found", 0)</f>
        <v>12</v>
      </c>
      <c r="N1603" s="5">
        <f>_xlfn.XLOOKUP(CustomerCombined[[#This Row],[ID]], Table4[ID], Table4[Seafood], "Not Found", 0)</f>
        <v>0</v>
      </c>
      <c r="O1603" s="5">
        <f>_xlfn.XLOOKUP(CustomerCombined[[#This Row],[ID]], Table4[ID], Table4[Sweets], "Not Found", 0)</f>
        <v>0</v>
      </c>
      <c r="P1603" s="5">
        <f>_xlfn.XLOOKUP(CustomerCombined[[#This Row],[ID]], Table4[ID], Table4[Premium], "Not Found", 0)</f>
        <v>0</v>
      </c>
      <c r="Q1603" s="5">
        <f>_xlfn.XLOOKUP(CustomerCombined[[#This Row],[ID]], Table4[ID], Table4[Regular], "Not Found", 0)</f>
        <v>98</v>
      </c>
      <c r="R1603" s="5">
        <f>_xlfn.XLOOKUP(CustomerCombined[[#This Row],[ID]], Table4[ID], Table4[Deals], "Not Found", 0)</f>
        <v>1</v>
      </c>
      <c r="S1603" s="5">
        <f>_xlfn.XLOOKUP(CustomerCombined[[#This Row],[ID]], Table4[ID], Table4[Website], "Not Found", 0)</f>
        <v>1</v>
      </c>
      <c r="T1603" s="5">
        <f>_xlfn.XLOOKUP(CustomerCombined[[#This Row],[ID]], Table4[ID], Table4[Catalog], "Not Found", 0)</f>
        <v>0</v>
      </c>
      <c r="U1603" s="5">
        <f>_xlfn.XLOOKUP(CustomerCombined[[#This Row],[ID]], Table4[ID], Table4[Store], "Not Found", 0)</f>
        <v>3</v>
      </c>
      <c r="V1603" s="5">
        <f>_xlfn.XLOOKUP(CustomerCombined[[#This Row],[ID]], Table4[ID], Table4[Visits], "Not Found", 0)</f>
        <v>5</v>
      </c>
      <c r="W1603" s="8">
        <f>_xlfn.XLOOKUP(CustomerCombined[[#This Row],[ID]], Table2[ID],Table2[Complaint], "Not Found", 0 )</f>
        <v>0</v>
      </c>
      <c r="X1603" s="8">
        <f>_xlfn.XLOOKUP(CustomerCombined[[#This Row],[ID]], Table2[ID],Table2[Pilot], "Not Found", 0 )</f>
        <v>0</v>
      </c>
      <c r="Y1603" s="8">
        <f>_xlfn.XLOOKUP(CustomerCombined[[#This Row],[ID]], Table2[ID],Table2[MC1], "Not Found", 0 )</f>
        <v>0</v>
      </c>
      <c r="Z1603" s="8">
        <f>_xlfn.XLOOKUP(CustomerCombined[[#This Row],[ID]], Table2[ID],Table2[MC2], "Not Found", 0 )</f>
        <v>0</v>
      </c>
      <c r="AA1603" s="8">
        <f>_xlfn.XLOOKUP(CustomerCombined[[#This Row],[ID]], Table2[ID],Table2[MC3], "Not Found", 0 )</f>
        <v>0</v>
      </c>
      <c r="AB1603" s="8">
        <f>_xlfn.XLOOKUP(CustomerCombined[[#This Row],[ID]], Table2[ID],Table2[MC4], "Not Found", 0 )</f>
        <v>0</v>
      </c>
      <c r="AC1603" s="8">
        <f>_xlfn.XLOOKUP(CustomerCombined[[#This Row],[ID]], Table2[ID],Table2[MC5], "Not Found", 0 )</f>
        <v>0</v>
      </c>
    </row>
    <row r="1604" spans="1:29" x14ac:dyDescent="0.3">
      <c r="A1604" s="6">
        <v>1775</v>
      </c>
      <c r="B1604" s="6">
        <v>146524</v>
      </c>
      <c r="C1604" s="6">
        <v>0</v>
      </c>
      <c r="D1604" s="6">
        <v>1</v>
      </c>
      <c r="E1604" s="6">
        <v>59</v>
      </c>
      <c r="F1604" s="5" t="s">
        <v>7</v>
      </c>
      <c r="G1604" s="5" t="s">
        <v>11</v>
      </c>
      <c r="H1604" s="3">
        <v>43747</v>
      </c>
      <c r="I1604" s="5" t="s">
        <v>434</v>
      </c>
      <c r="J1604" s="5">
        <f>_xlfn.XLOOKUP(CustomerCombined[[#This Row],[ID]], Table4[ID], Table4[Recency], "Not Found", 0)</f>
        <v>70</v>
      </c>
      <c r="K1604" s="5">
        <f>_xlfn.XLOOKUP(CustomerCombined[[#This Row],[ID]], Table4[ID], Table4[Teas], "Not Found", 0)</f>
        <v>98</v>
      </c>
      <c r="L1604" s="5">
        <f>_xlfn.XLOOKUP(CustomerCombined[[#This Row],[ID]], Table4[ID], Table4[Fruits], "Not Found", 0)</f>
        <v>60</v>
      </c>
      <c r="M1604" s="5">
        <f>_xlfn.XLOOKUP(CustomerCombined[[#This Row],[ID]], Table4[ID], Table4[Meats], "Not Found", 0)</f>
        <v>110</v>
      </c>
      <c r="N1604" s="5">
        <f>_xlfn.XLOOKUP(CustomerCombined[[#This Row],[ID]], Table4[ID], Table4[Seafood], "Not Found", 0)</f>
        <v>82</v>
      </c>
      <c r="O1604" s="5">
        <f>_xlfn.XLOOKUP(CustomerCombined[[#This Row],[ID]], Table4[ID], Table4[Sweets], "Not Found", 0)</f>
        <v>44</v>
      </c>
      <c r="P1604" s="5">
        <f>_xlfn.XLOOKUP(CustomerCombined[[#This Row],[ID]], Table4[ID], Table4[Premium], "Not Found", 0)</f>
        <v>164</v>
      </c>
      <c r="Q1604" s="5">
        <f>_xlfn.XLOOKUP(CustomerCombined[[#This Row],[ID]], Table4[ID], Table4[Regular], "Not Found", 0)</f>
        <v>230</v>
      </c>
      <c r="R1604" s="5">
        <f>_xlfn.XLOOKUP(CustomerCombined[[#This Row],[ID]], Table4[ID], Table4[Deals], "Not Found", 0)</f>
        <v>2</v>
      </c>
      <c r="S1604" s="5">
        <f>_xlfn.XLOOKUP(CustomerCombined[[#This Row],[ID]], Table4[ID], Table4[Website], "Not Found", 0)</f>
        <v>1</v>
      </c>
      <c r="T1604" s="5">
        <f>_xlfn.XLOOKUP(CustomerCombined[[#This Row],[ID]], Table4[ID], Table4[Catalog], "Not Found", 0)</f>
        <v>1</v>
      </c>
      <c r="U1604" s="5">
        <f>_xlfn.XLOOKUP(CustomerCombined[[#This Row],[ID]], Table4[ID], Table4[Store], "Not Found", 0)</f>
        <v>5</v>
      </c>
      <c r="V1604" s="5">
        <f>_xlfn.XLOOKUP(CustomerCombined[[#This Row],[ID]], Table4[ID], Table4[Visits], "Not Found", 0)</f>
        <v>3</v>
      </c>
      <c r="W1604" s="8">
        <f>_xlfn.XLOOKUP(CustomerCombined[[#This Row],[ID]], Table2[ID],Table2[Complaint], "Not Found", 0 )</f>
        <v>0</v>
      </c>
      <c r="X1604" s="8">
        <f>_xlfn.XLOOKUP(CustomerCombined[[#This Row],[ID]], Table2[ID],Table2[Pilot], "Not Found", 0 )</f>
        <v>0</v>
      </c>
      <c r="Y1604" s="8">
        <f>_xlfn.XLOOKUP(CustomerCombined[[#This Row],[ID]], Table2[ID],Table2[MC1], "Not Found", 0 )</f>
        <v>0</v>
      </c>
      <c r="Z1604" s="8">
        <f>_xlfn.XLOOKUP(CustomerCombined[[#This Row],[ID]], Table2[ID],Table2[MC2], "Not Found", 0 )</f>
        <v>0</v>
      </c>
      <c r="AA1604" s="8">
        <f>_xlfn.XLOOKUP(CustomerCombined[[#This Row],[ID]], Table2[ID],Table2[MC3], "Not Found", 0 )</f>
        <v>0</v>
      </c>
      <c r="AB1604" s="8">
        <f>_xlfn.XLOOKUP(CustomerCombined[[#This Row],[ID]], Table2[ID],Table2[MC4], "Not Found", 0 )</f>
        <v>0</v>
      </c>
      <c r="AC1604" s="8">
        <f>_xlfn.XLOOKUP(CustomerCombined[[#This Row],[ID]], Table2[ID],Table2[MC5], "Not Found", 0 )</f>
        <v>0</v>
      </c>
    </row>
    <row r="1605" spans="1:29" x14ac:dyDescent="0.3">
      <c r="A1605" s="6">
        <v>1679</v>
      </c>
      <c r="B1605" s="6">
        <v>145938</v>
      </c>
      <c r="C1605" s="6">
        <v>0</v>
      </c>
      <c r="D1605" s="6">
        <v>0</v>
      </c>
      <c r="E1605" s="6">
        <v>59</v>
      </c>
      <c r="F1605" s="5" t="s">
        <v>7</v>
      </c>
      <c r="G1605" s="5" t="s">
        <v>11</v>
      </c>
      <c r="H1605" s="3">
        <v>44078</v>
      </c>
      <c r="I1605" s="5" t="s">
        <v>434</v>
      </c>
      <c r="J1605" s="5">
        <f>_xlfn.XLOOKUP(CustomerCombined[[#This Row],[ID]], Table4[ID], Table4[Recency], "Not Found", 0)</f>
        <v>46</v>
      </c>
      <c r="K1605" s="5">
        <f>_xlfn.XLOOKUP(CustomerCombined[[#This Row],[ID]], Table4[ID], Table4[Teas], "Not Found", 0)</f>
        <v>867</v>
      </c>
      <c r="L1605" s="5">
        <f>_xlfn.XLOOKUP(CustomerCombined[[#This Row],[ID]], Table4[ID], Table4[Fruits], "Not Found", 0)</f>
        <v>35</v>
      </c>
      <c r="M1605" s="5">
        <f>_xlfn.XLOOKUP(CustomerCombined[[#This Row],[ID]], Table4[ID], Table4[Meats], "Not Found", 0)</f>
        <v>565</v>
      </c>
      <c r="N1605" s="5">
        <f>_xlfn.XLOOKUP(CustomerCombined[[#This Row],[ID]], Table4[ID], Table4[Seafood], "Not Found", 0)</f>
        <v>197</v>
      </c>
      <c r="O1605" s="5">
        <f>_xlfn.XLOOKUP(CustomerCombined[[#This Row],[ID]], Table4[ID], Table4[Sweets], "Not Found", 0)</f>
        <v>264</v>
      </c>
      <c r="P1605" s="5">
        <f>_xlfn.XLOOKUP(CustomerCombined[[#This Row],[ID]], Table4[ID], Table4[Premium], "Not Found", 0)</f>
        <v>92</v>
      </c>
      <c r="Q1605" s="5">
        <f>_xlfn.XLOOKUP(CustomerCombined[[#This Row],[ID]], Table4[ID], Table4[Regular], "Not Found", 0)</f>
        <v>1836</v>
      </c>
      <c r="R1605" s="5">
        <f>_xlfn.XLOOKUP(CustomerCombined[[#This Row],[ID]], Table4[ID], Table4[Deals], "Not Found", 0)</f>
        <v>2</v>
      </c>
      <c r="S1605" s="5">
        <f>_xlfn.XLOOKUP(CustomerCombined[[#This Row],[ID]], Table4[ID], Table4[Website], "Not Found", 0)</f>
        <v>8</v>
      </c>
      <c r="T1605" s="5">
        <f>_xlfn.XLOOKUP(CustomerCombined[[#This Row],[ID]], Table4[ID], Table4[Catalog], "Not Found", 0)</f>
        <v>4</v>
      </c>
      <c r="U1605" s="5">
        <f>_xlfn.XLOOKUP(CustomerCombined[[#This Row],[ID]], Table4[ID], Table4[Store], "Not Found", 0)</f>
        <v>6</v>
      </c>
      <c r="V1605" s="5">
        <f>_xlfn.XLOOKUP(CustomerCombined[[#This Row],[ID]], Table4[ID], Table4[Visits], "Not Found", 0)</f>
        <v>6</v>
      </c>
      <c r="W1605" s="8">
        <f>_xlfn.XLOOKUP(CustomerCombined[[#This Row],[ID]], Table2[ID],Table2[Complaint], "Not Found", 0 )</f>
        <v>0</v>
      </c>
      <c r="X1605" s="8">
        <f>_xlfn.XLOOKUP(CustomerCombined[[#This Row],[ID]], Table2[ID],Table2[Pilot], "Not Found", 0 )</f>
        <v>0</v>
      </c>
      <c r="Y1605" s="8">
        <f>_xlfn.XLOOKUP(CustomerCombined[[#This Row],[ID]], Table2[ID],Table2[MC1], "Not Found", 0 )</f>
        <v>0</v>
      </c>
      <c r="Z1605" s="8">
        <f>_xlfn.XLOOKUP(CustomerCombined[[#This Row],[ID]], Table2[ID],Table2[MC2], "Not Found", 0 )</f>
        <v>0</v>
      </c>
      <c r="AA1605" s="8">
        <f>_xlfn.XLOOKUP(CustomerCombined[[#This Row],[ID]], Table2[ID],Table2[MC3], "Not Found", 0 )</f>
        <v>0</v>
      </c>
      <c r="AB1605" s="8">
        <f>_xlfn.XLOOKUP(CustomerCombined[[#This Row],[ID]], Table2[ID],Table2[MC4], "Not Found", 0 )</f>
        <v>0</v>
      </c>
      <c r="AC1605" s="8">
        <f>_xlfn.XLOOKUP(CustomerCombined[[#This Row],[ID]], Table2[ID],Table2[MC5], "Not Found", 0 )</f>
        <v>0</v>
      </c>
    </row>
    <row r="1606" spans="1:29" x14ac:dyDescent="0.3">
      <c r="A1606" s="6">
        <v>1500</v>
      </c>
      <c r="B1606" s="6">
        <v>136443</v>
      </c>
      <c r="C1606" s="6">
        <v>1</v>
      </c>
      <c r="D1606" s="6">
        <v>1</v>
      </c>
      <c r="E1606" s="6">
        <v>59</v>
      </c>
      <c r="F1606" s="5" t="s">
        <v>6</v>
      </c>
      <c r="G1606" s="5" t="s">
        <v>11</v>
      </c>
      <c r="H1606" s="3">
        <v>43776</v>
      </c>
      <c r="I1606" s="5" t="s">
        <v>436</v>
      </c>
      <c r="J1606" s="5">
        <f>_xlfn.XLOOKUP(CustomerCombined[[#This Row],[ID]], Table4[ID], Table4[Recency], "Not Found", 0)</f>
        <v>9</v>
      </c>
      <c r="K1606" s="5">
        <f>_xlfn.XLOOKUP(CustomerCombined[[#This Row],[ID]], Table4[ID], Table4[Teas], "Not Found", 0)</f>
        <v>243</v>
      </c>
      <c r="L1606" s="5">
        <f>_xlfn.XLOOKUP(CustomerCombined[[#This Row],[ID]], Table4[ID], Table4[Fruits], "Not Found", 0)</f>
        <v>0</v>
      </c>
      <c r="M1606" s="5">
        <f>_xlfn.XLOOKUP(CustomerCombined[[#This Row],[ID]], Table4[ID], Table4[Meats], "Not Found", 0)</f>
        <v>172</v>
      </c>
      <c r="N1606" s="5">
        <f>_xlfn.XLOOKUP(CustomerCombined[[#This Row],[ID]], Table4[ID], Table4[Seafood], "Not Found", 0)</f>
        <v>15</v>
      </c>
      <c r="O1606" s="5">
        <f>_xlfn.XLOOKUP(CustomerCombined[[#This Row],[ID]], Table4[ID], Table4[Sweets], "Not Found", 0)</f>
        <v>11</v>
      </c>
      <c r="P1606" s="5">
        <f>_xlfn.XLOOKUP(CustomerCombined[[#This Row],[ID]], Table4[ID], Table4[Premium], "Not Found", 0)</f>
        <v>75</v>
      </c>
      <c r="Q1606" s="5">
        <f>_xlfn.XLOOKUP(CustomerCombined[[#This Row],[ID]], Table4[ID], Table4[Regular], "Not Found", 0)</f>
        <v>367</v>
      </c>
      <c r="R1606" s="5">
        <f>_xlfn.XLOOKUP(CustomerCombined[[#This Row],[ID]], Table4[ID], Table4[Deals], "Not Found", 0)</f>
        <v>4</v>
      </c>
      <c r="S1606" s="5">
        <f>_xlfn.XLOOKUP(CustomerCombined[[#This Row],[ID]], Table4[ID], Table4[Website], "Not Found", 0)</f>
        <v>3</v>
      </c>
      <c r="T1606" s="5">
        <f>_xlfn.XLOOKUP(CustomerCombined[[#This Row],[ID]], Table4[ID], Table4[Catalog], "Not Found", 0)</f>
        <v>1</v>
      </c>
      <c r="U1606" s="5">
        <f>_xlfn.XLOOKUP(CustomerCombined[[#This Row],[ID]], Table4[ID], Table4[Store], "Not Found", 0)</f>
        <v>3</v>
      </c>
      <c r="V1606" s="5">
        <f>_xlfn.XLOOKUP(CustomerCombined[[#This Row],[ID]], Table4[ID], Table4[Visits], "Not Found", 0)</f>
        <v>8</v>
      </c>
      <c r="W1606" s="8">
        <f>_xlfn.XLOOKUP(CustomerCombined[[#This Row],[ID]], Table2[ID],Table2[Complaint], "Not Found", 0 )</f>
        <v>0</v>
      </c>
      <c r="X1606" s="8">
        <f>_xlfn.XLOOKUP(CustomerCombined[[#This Row],[ID]], Table2[ID],Table2[Pilot], "Not Found", 0 )</f>
        <v>0</v>
      </c>
      <c r="Y1606" s="8">
        <f>_xlfn.XLOOKUP(CustomerCombined[[#This Row],[ID]], Table2[ID],Table2[MC1], "Not Found", 0 )</f>
        <v>0</v>
      </c>
      <c r="Z1606" s="8">
        <f>_xlfn.XLOOKUP(CustomerCombined[[#This Row],[ID]], Table2[ID],Table2[MC2], "Not Found", 0 )</f>
        <v>0</v>
      </c>
      <c r="AA1606" s="8">
        <f>_xlfn.XLOOKUP(CustomerCombined[[#This Row],[ID]], Table2[ID],Table2[MC3], "Not Found", 0 )</f>
        <v>0</v>
      </c>
      <c r="AB1606" s="8">
        <f>_xlfn.XLOOKUP(CustomerCombined[[#This Row],[ID]], Table2[ID],Table2[MC4], "Not Found", 0 )</f>
        <v>0</v>
      </c>
      <c r="AC1606" s="8">
        <f>_xlfn.XLOOKUP(CustomerCombined[[#This Row],[ID]], Table2[ID],Table2[MC5], "Not Found", 0 )</f>
        <v>0</v>
      </c>
    </row>
    <row r="1607" spans="1:29" x14ac:dyDescent="0.3">
      <c r="A1607" s="6">
        <v>2794</v>
      </c>
      <c r="B1607" s="6">
        <v>132583</v>
      </c>
      <c r="C1607" s="6">
        <v>1</v>
      </c>
      <c r="D1607" s="6">
        <v>1</v>
      </c>
      <c r="E1607" s="6">
        <v>59</v>
      </c>
      <c r="F1607" s="5" t="s">
        <v>8</v>
      </c>
      <c r="G1607" s="5" t="s">
        <v>13</v>
      </c>
      <c r="H1607" s="3" t="s">
        <v>34</v>
      </c>
      <c r="I1607" s="5" t="s">
        <v>439</v>
      </c>
      <c r="J1607" s="5">
        <f>_xlfn.XLOOKUP(CustomerCombined[[#This Row],[ID]], Table4[ID], Table4[Recency], "Not Found", 0)</f>
        <v>10</v>
      </c>
      <c r="K1607" s="5">
        <f>_xlfn.XLOOKUP(CustomerCombined[[#This Row],[ID]], Table4[ID], Table4[Teas], "Not Found", 0)</f>
        <v>20</v>
      </c>
      <c r="L1607" s="5">
        <f>_xlfn.XLOOKUP(CustomerCombined[[#This Row],[ID]], Table4[ID], Table4[Fruits], "Not Found", 0)</f>
        <v>0</v>
      </c>
      <c r="M1607" s="5">
        <f>_xlfn.XLOOKUP(CustomerCombined[[#This Row],[ID]], Table4[ID], Table4[Meats], "Not Found", 0)</f>
        <v>12</v>
      </c>
      <c r="N1607" s="5">
        <f>_xlfn.XLOOKUP(CustomerCombined[[#This Row],[ID]], Table4[ID], Table4[Seafood], "Not Found", 0)</f>
        <v>0</v>
      </c>
      <c r="O1607" s="5">
        <f>_xlfn.XLOOKUP(CustomerCombined[[#This Row],[ID]], Table4[ID], Table4[Sweets], "Not Found", 0)</f>
        <v>0</v>
      </c>
      <c r="P1607" s="5">
        <f>_xlfn.XLOOKUP(CustomerCombined[[#This Row],[ID]], Table4[ID], Table4[Premium], "Not Found", 0)</f>
        <v>4</v>
      </c>
      <c r="Q1607" s="5">
        <f>_xlfn.XLOOKUP(CustomerCombined[[#This Row],[ID]], Table4[ID], Table4[Regular], "Not Found", 0)</f>
        <v>28</v>
      </c>
      <c r="R1607" s="5">
        <f>_xlfn.XLOOKUP(CustomerCombined[[#This Row],[ID]], Table4[ID], Table4[Deals], "Not Found", 0)</f>
        <v>1</v>
      </c>
      <c r="S1607" s="5">
        <f>_xlfn.XLOOKUP(CustomerCombined[[#This Row],[ID]], Table4[ID], Table4[Website], "Not Found", 0)</f>
        <v>1</v>
      </c>
      <c r="T1607" s="5">
        <f>_xlfn.XLOOKUP(CustomerCombined[[#This Row],[ID]], Table4[ID], Table4[Catalog], "Not Found", 0)</f>
        <v>0</v>
      </c>
      <c r="U1607" s="5">
        <f>_xlfn.XLOOKUP(CustomerCombined[[#This Row],[ID]], Table4[ID], Table4[Store], "Not Found", 0)</f>
        <v>2</v>
      </c>
      <c r="V1607" s="5">
        <f>_xlfn.XLOOKUP(CustomerCombined[[#This Row],[ID]], Table4[ID], Table4[Visits], "Not Found", 0)</f>
        <v>7</v>
      </c>
      <c r="W1607" s="8">
        <f>_xlfn.XLOOKUP(CustomerCombined[[#This Row],[ID]], Table2[ID],Table2[Complaint], "Not Found", 0 )</f>
        <v>0</v>
      </c>
      <c r="X1607" s="8">
        <f>_xlfn.XLOOKUP(CustomerCombined[[#This Row],[ID]], Table2[ID],Table2[Pilot], "Not Found", 0 )</f>
        <v>0</v>
      </c>
      <c r="Y1607" s="8">
        <f>_xlfn.XLOOKUP(CustomerCombined[[#This Row],[ID]], Table2[ID],Table2[MC1], "Not Found", 0 )</f>
        <v>0</v>
      </c>
      <c r="Z1607" s="8">
        <f>_xlfn.XLOOKUP(CustomerCombined[[#This Row],[ID]], Table2[ID],Table2[MC2], "Not Found", 0 )</f>
        <v>0</v>
      </c>
      <c r="AA1607" s="8">
        <f>_xlfn.XLOOKUP(CustomerCombined[[#This Row],[ID]], Table2[ID],Table2[MC3], "Not Found", 0 )</f>
        <v>0</v>
      </c>
      <c r="AB1607" s="8">
        <f>_xlfn.XLOOKUP(CustomerCombined[[#This Row],[ID]], Table2[ID],Table2[MC4], "Not Found", 0 )</f>
        <v>0</v>
      </c>
      <c r="AC1607" s="8">
        <f>_xlfn.XLOOKUP(CustomerCombined[[#This Row],[ID]], Table2[ID],Table2[MC5], "Not Found", 0 )</f>
        <v>0</v>
      </c>
    </row>
    <row r="1608" spans="1:29" x14ac:dyDescent="0.3">
      <c r="A1608" s="6">
        <v>1584</v>
      </c>
      <c r="B1608" s="6">
        <v>130081</v>
      </c>
      <c r="C1608" s="6">
        <v>0</v>
      </c>
      <c r="D1608" s="6">
        <v>1</v>
      </c>
      <c r="E1608" s="6">
        <v>59</v>
      </c>
      <c r="F1608" s="5" t="s">
        <v>7</v>
      </c>
      <c r="G1608" s="5" t="s">
        <v>11</v>
      </c>
      <c r="H1608" s="3" t="s">
        <v>302</v>
      </c>
      <c r="I1608" s="5" t="s">
        <v>436</v>
      </c>
      <c r="J1608" s="5">
        <f>_xlfn.XLOOKUP(CustomerCombined[[#This Row],[ID]], Table4[ID], Table4[Recency], "Not Found", 0)</f>
        <v>27</v>
      </c>
      <c r="K1608" s="5">
        <f>_xlfn.XLOOKUP(CustomerCombined[[#This Row],[ID]], Table4[ID], Table4[Teas], "Not Found", 0)</f>
        <v>156</v>
      </c>
      <c r="L1608" s="5">
        <f>_xlfn.XLOOKUP(CustomerCombined[[#This Row],[ID]], Table4[ID], Table4[Fruits], "Not Found", 0)</f>
        <v>0</v>
      </c>
      <c r="M1608" s="5">
        <f>_xlfn.XLOOKUP(CustomerCombined[[#This Row],[ID]], Table4[ID], Table4[Meats], "Not Found", 0)</f>
        <v>9</v>
      </c>
      <c r="N1608" s="5">
        <f>_xlfn.XLOOKUP(CustomerCombined[[#This Row],[ID]], Table4[ID], Table4[Seafood], "Not Found", 0)</f>
        <v>0</v>
      </c>
      <c r="O1608" s="5">
        <f>_xlfn.XLOOKUP(CustomerCombined[[#This Row],[ID]], Table4[ID], Table4[Sweets], "Not Found", 0)</f>
        <v>0</v>
      </c>
      <c r="P1608" s="5">
        <f>_xlfn.XLOOKUP(CustomerCombined[[#This Row],[ID]], Table4[ID], Table4[Premium], "Not Found", 0)</f>
        <v>17</v>
      </c>
      <c r="Q1608" s="5">
        <f>_xlfn.XLOOKUP(CustomerCombined[[#This Row],[ID]], Table4[ID], Table4[Regular], "Not Found", 0)</f>
        <v>147</v>
      </c>
      <c r="R1608" s="5">
        <f>_xlfn.XLOOKUP(CustomerCombined[[#This Row],[ID]], Table4[ID], Table4[Deals], "Not Found", 0)</f>
        <v>1</v>
      </c>
      <c r="S1608" s="5">
        <f>_xlfn.XLOOKUP(CustomerCombined[[#This Row],[ID]], Table4[ID], Table4[Website], "Not Found", 0)</f>
        <v>1</v>
      </c>
      <c r="T1608" s="5">
        <f>_xlfn.XLOOKUP(CustomerCombined[[#This Row],[ID]], Table4[ID], Table4[Catalog], "Not Found", 0)</f>
        <v>0</v>
      </c>
      <c r="U1608" s="5">
        <f>_xlfn.XLOOKUP(CustomerCombined[[#This Row],[ID]], Table4[ID], Table4[Store], "Not Found", 0)</f>
        <v>3</v>
      </c>
      <c r="V1608" s="5">
        <f>_xlfn.XLOOKUP(CustomerCombined[[#This Row],[ID]], Table4[ID], Table4[Visits], "Not Found", 0)</f>
        <v>7</v>
      </c>
      <c r="W1608" s="8">
        <f>_xlfn.XLOOKUP(CustomerCombined[[#This Row],[ID]], Table2[ID],Table2[Complaint], "Not Found", 0 )</f>
        <v>0</v>
      </c>
      <c r="X1608" s="8">
        <f>_xlfn.XLOOKUP(CustomerCombined[[#This Row],[ID]], Table2[ID],Table2[Pilot], "Not Found", 0 )</f>
        <v>0</v>
      </c>
      <c r="Y1608" s="8">
        <f>_xlfn.XLOOKUP(CustomerCombined[[#This Row],[ID]], Table2[ID],Table2[MC1], "Not Found", 0 )</f>
        <v>0</v>
      </c>
      <c r="Z1608" s="8">
        <f>_xlfn.XLOOKUP(CustomerCombined[[#This Row],[ID]], Table2[ID],Table2[MC2], "Not Found", 0 )</f>
        <v>0</v>
      </c>
      <c r="AA1608" s="8">
        <f>_xlfn.XLOOKUP(CustomerCombined[[#This Row],[ID]], Table2[ID],Table2[MC3], "Not Found", 0 )</f>
        <v>0</v>
      </c>
      <c r="AB1608" s="8">
        <f>_xlfn.XLOOKUP(CustomerCombined[[#This Row],[ID]], Table2[ID],Table2[MC4], "Not Found", 0 )</f>
        <v>0</v>
      </c>
      <c r="AC1608" s="8">
        <f>_xlfn.XLOOKUP(CustomerCombined[[#This Row],[ID]], Table2[ID],Table2[MC5], "Not Found", 0 )</f>
        <v>0</v>
      </c>
    </row>
    <row r="1609" spans="1:29" x14ac:dyDescent="0.3">
      <c r="A1609" s="6">
        <v>1173</v>
      </c>
      <c r="B1609" s="6">
        <v>128249</v>
      </c>
      <c r="C1609" s="6">
        <v>0</v>
      </c>
      <c r="D1609" s="6">
        <v>0</v>
      </c>
      <c r="E1609" s="6">
        <v>59</v>
      </c>
      <c r="F1609" s="5" t="s">
        <v>6</v>
      </c>
      <c r="G1609" s="5" t="s">
        <v>10</v>
      </c>
      <c r="H1609" s="3" t="s">
        <v>34</v>
      </c>
      <c r="I1609" s="5" t="s">
        <v>435</v>
      </c>
      <c r="J1609" s="5">
        <f>_xlfn.XLOOKUP(CustomerCombined[[#This Row],[ID]], Table4[ID], Table4[Recency], "Not Found", 0)</f>
        <v>80</v>
      </c>
      <c r="K1609" s="5">
        <f>_xlfn.XLOOKUP(CustomerCombined[[#This Row],[ID]], Table4[ID], Table4[Teas], "Not Found", 0)</f>
        <v>5</v>
      </c>
      <c r="L1609" s="5">
        <f>_xlfn.XLOOKUP(CustomerCombined[[#This Row],[ID]], Table4[ID], Table4[Fruits], "Not Found", 0)</f>
        <v>41</v>
      </c>
      <c r="M1609" s="5">
        <f>_xlfn.XLOOKUP(CustomerCombined[[#This Row],[ID]], Table4[ID], Table4[Meats], "Not Found", 0)</f>
        <v>32</v>
      </c>
      <c r="N1609" s="5">
        <f>_xlfn.XLOOKUP(CustomerCombined[[#This Row],[ID]], Table4[ID], Table4[Seafood], "Not Found", 0)</f>
        <v>9</v>
      </c>
      <c r="O1609" s="5">
        <f>_xlfn.XLOOKUP(CustomerCombined[[#This Row],[ID]], Table4[ID], Table4[Sweets], "Not Found", 0)</f>
        <v>64</v>
      </c>
      <c r="P1609" s="5">
        <f>_xlfn.XLOOKUP(CustomerCombined[[#This Row],[ID]], Table4[ID], Table4[Premium], "Not Found", 0)</f>
        <v>45</v>
      </c>
      <c r="Q1609" s="5">
        <f>_xlfn.XLOOKUP(CustomerCombined[[#This Row],[ID]], Table4[ID], Table4[Regular], "Not Found", 0)</f>
        <v>104</v>
      </c>
      <c r="R1609" s="5">
        <f>_xlfn.XLOOKUP(CustomerCombined[[#This Row],[ID]], Table4[ID], Table4[Deals], "Not Found", 0)</f>
        <v>1</v>
      </c>
      <c r="S1609" s="5">
        <f>_xlfn.XLOOKUP(CustomerCombined[[#This Row],[ID]], Table4[ID], Table4[Website], "Not Found", 0)</f>
        <v>2</v>
      </c>
      <c r="T1609" s="5">
        <f>_xlfn.XLOOKUP(CustomerCombined[[#This Row],[ID]], Table4[ID], Table4[Catalog], "Not Found", 0)</f>
        <v>0</v>
      </c>
      <c r="U1609" s="5">
        <f>_xlfn.XLOOKUP(CustomerCombined[[#This Row],[ID]], Table4[ID], Table4[Store], "Not Found", 0)</f>
        <v>3</v>
      </c>
      <c r="V1609" s="5">
        <f>_xlfn.XLOOKUP(CustomerCombined[[#This Row],[ID]], Table4[ID], Table4[Visits], "Not Found", 0)</f>
        <v>6</v>
      </c>
      <c r="W1609" s="8">
        <f>_xlfn.XLOOKUP(CustomerCombined[[#This Row],[ID]], Table2[ID],Table2[Complaint], "Not Found", 0 )</f>
        <v>0</v>
      </c>
      <c r="X1609" s="8">
        <f>_xlfn.XLOOKUP(CustomerCombined[[#This Row],[ID]], Table2[ID],Table2[Pilot], "Not Found", 0 )</f>
        <v>0</v>
      </c>
      <c r="Y1609" s="8">
        <f>_xlfn.XLOOKUP(CustomerCombined[[#This Row],[ID]], Table2[ID],Table2[MC1], "Not Found", 0 )</f>
        <v>0</v>
      </c>
      <c r="Z1609" s="8">
        <f>_xlfn.XLOOKUP(CustomerCombined[[#This Row],[ID]], Table2[ID],Table2[MC2], "Not Found", 0 )</f>
        <v>0</v>
      </c>
      <c r="AA1609" s="8">
        <f>_xlfn.XLOOKUP(CustomerCombined[[#This Row],[ID]], Table2[ID],Table2[MC3], "Not Found", 0 )</f>
        <v>0</v>
      </c>
      <c r="AB1609" s="8">
        <f>_xlfn.XLOOKUP(CustomerCombined[[#This Row],[ID]], Table2[ID],Table2[MC4], "Not Found", 0 )</f>
        <v>0</v>
      </c>
      <c r="AC1609" s="8">
        <f>_xlfn.XLOOKUP(CustomerCombined[[#This Row],[ID]], Table2[ID],Table2[MC5], "Not Found", 0 )</f>
        <v>0</v>
      </c>
    </row>
    <row r="1610" spans="1:29" x14ac:dyDescent="0.3">
      <c r="A1610" s="6">
        <v>2743</v>
      </c>
      <c r="B1610" s="6">
        <v>128249</v>
      </c>
      <c r="C1610" s="6">
        <v>0</v>
      </c>
      <c r="D1610" s="6">
        <v>0</v>
      </c>
      <c r="E1610" s="6">
        <v>59</v>
      </c>
      <c r="F1610" s="5" t="s">
        <v>6</v>
      </c>
      <c r="G1610" s="5" t="s">
        <v>10</v>
      </c>
      <c r="H1610" s="3" t="s">
        <v>34</v>
      </c>
      <c r="I1610" s="5" t="s">
        <v>437</v>
      </c>
      <c r="J1610" s="5">
        <f>_xlfn.XLOOKUP(CustomerCombined[[#This Row],[ID]], Table4[ID], Table4[Recency], "Not Found", 0)</f>
        <v>80</v>
      </c>
      <c r="K1610" s="5">
        <f>_xlfn.XLOOKUP(CustomerCombined[[#This Row],[ID]], Table4[ID], Table4[Teas], "Not Found", 0)</f>
        <v>5</v>
      </c>
      <c r="L1610" s="5">
        <f>_xlfn.XLOOKUP(CustomerCombined[[#This Row],[ID]], Table4[ID], Table4[Fruits], "Not Found", 0)</f>
        <v>41</v>
      </c>
      <c r="M1610" s="5">
        <f>_xlfn.XLOOKUP(CustomerCombined[[#This Row],[ID]], Table4[ID], Table4[Meats], "Not Found", 0)</f>
        <v>32</v>
      </c>
      <c r="N1610" s="5">
        <f>_xlfn.XLOOKUP(CustomerCombined[[#This Row],[ID]], Table4[ID], Table4[Seafood], "Not Found", 0)</f>
        <v>9</v>
      </c>
      <c r="O1610" s="5">
        <f>_xlfn.XLOOKUP(CustomerCombined[[#This Row],[ID]], Table4[ID], Table4[Sweets], "Not Found", 0)</f>
        <v>64</v>
      </c>
      <c r="P1610" s="5">
        <f>_xlfn.XLOOKUP(CustomerCombined[[#This Row],[ID]], Table4[ID], Table4[Premium], "Not Found", 0)</f>
        <v>45</v>
      </c>
      <c r="Q1610" s="5">
        <f>_xlfn.XLOOKUP(CustomerCombined[[#This Row],[ID]], Table4[ID], Table4[Regular], "Not Found", 0)</f>
        <v>104</v>
      </c>
      <c r="R1610" s="5">
        <f>_xlfn.XLOOKUP(CustomerCombined[[#This Row],[ID]], Table4[ID], Table4[Deals], "Not Found", 0)</f>
        <v>1</v>
      </c>
      <c r="S1610" s="5">
        <f>_xlfn.XLOOKUP(CustomerCombined[[#This Row],[ID]], Table4[ID], Table4[Website], "Not Found", 0)</f>
        <v>2</v>
      </c>
      <c r="T1610" s="5">
        <f>_xlfn.XLOOKUP(CustomerCombined[[#This Row],[ID]], Table4[ID], Table4[Catalog], "Not Found", 0)</f>
        <v>0</v>
      </c>
      <c r="U1610" s="5">
        <f>_xlfn.XLOOKUP(CustomerCombined[[#This Row],[ID]], Table4[ID], Table4[Store], "Not Found", 0)</f>
        <v>3</v>
      </c>
      <c r="V1610" s="5">
        <f>_xlfn.XLOOKUP(CustomerCombined[[#This Row],[ID]], Table4[ID], Table4[Visits], "Not Found", 0)</f>
        <v>6</v>
      </c>
      <c r="W1610" s="8">
        <f>_xlfn.XLOOKUP(CustomerCombined[[#This Row],[ID]], Table2[ID],Table2[Complaint], "Not Found", 0 )</f>
        <v>0</v>
      </c>
      <c r="X1610" s="8">
        <f>_xlfn.XLOOKUP(CustomerCombined[[#This Row],[ID]], Table2[ID],Table2[Pilot], "Not Found", 0 )</f>
        <v>0</v>
      </c>
      <c r="Y1610" s="8">
        <f>_xlfn.XLOOKUP(CustomerCombined[[#This Row],[ID]], Table2[ID],Table2[MC1], "Not Found", 0 )</f>
        <v>0</v>
      </c>
      <c r="Z1610" s="8">
        <f>_xlfn.XLOOKUP(CustomerCombined[[#This Row],[ID]], Table2[ID],Table2[MC2], "Not Found", 0 )</f>
        <v>0</v>
      </c>
      <c r="AA1610" s="8">
        <f>_xlfn.XLOOKUP(CustomerCombined[[#This Row],[ID]], Table2[ID],Table2[MC3], "Not Found", 0 )</f>
        <v>0</v>
      </c>
      <c r="AB1610" s="8">
        <f>_xlfn.XLOOKUP(CustomerCombined[[#This Row],[ID]], Table2[ID],Table2[MC4], "Not Found", 0 )</f>
        <v>0</v>
      </c>
      <c r="AC1610" s="8">
        <f>_xlfn.XLOOKUP(CustomerCombined[[#This Row],[ID]], Table2[ID],Table2[MC5], "Not Found", 0 )</f>
        <v>0</v>
      </c>
    </row>
    <row r="1611" spans="1:29" x14ac:dyDescent="0.3">
      <c r="A1611" s="6">
        <v>2534</v>
      </c>
      <c r="B1611" s="6">
        <v>127215</v>
      </c>
      <c r="C1611" s="6">
        <v>2</v>
      </c>
      <c r="D1611" s="6">
        <v>1</v>
      </c>
      <c r="E1611" s="6">
        <v>59</v>
      </c>
      <c r="F1611" s="5" t="s">
        <v>5</v>
      </c>
      <c r="G1611" s="5" t="s">
        <v>11</v>
      </c>
      <c r="H1611" s="3" t="s">
        <v>318</v>
      </c>
      <c r="I1611" s="5" t="s">
        <v>438</v>
      </c>
      <c r="J1611" s="5">
        <f>_xlfn.XLOOKUP(CustomerCombined[[#This Row],[ID]], Table4[ID], Table4[Recency], "Not Found", 0)</f>
        <v>50</v>
      </c>
      <c r="K1611" s="5">
        <f>_xlfn.XLOOKUP(CustomerCombined[[#This Row],[ID]], Table4[ID], Table4[Teas], "Not Found", 0)</f>
        <v>140</v>
      </c>
      <c r="L1611" s="5">
        <f>_xlfn.XLOOKUP(CustomerCombined[[#This Row],[ID]], Table4[ID], Table4[Fruits], "Not Found", 0)</f>
        <v>23</v>
      </c>
      <c r="M1611" s="5">
        <f>_xlfn.XLOOKUP(CustomerCombined[[#This Row],[ID]], Table4[ID], Table4[Meats], "Not Found", 0)</f>
        <v>103</v>
      </c>
      <c r="N1611" s="5">
        <f>_xlfn.XLOOKUP(CustomerCombined[[#This Row],[ID]], Table4[ID], Table4[Seafood], "Not Found", 0)</f>
        <v>37</v>
      </c>
      <c r="O1611" s="5">
        <f>_xlfn.XLOOKUP(CustomerCombined[[#This Row],[ID]], Table4[ID], Table4[Sweets], "Not Found", 0)</f>
        <v>42</v>
      </c>
      <c r="P1611" s="5">
        <f>_xlfn.XLOOKUP(CustomerCombined[[#This Row],[ID]], Table4[ID], Table4[Premium], "Not Found", 0)</f>
        <v>131</v>
      </c>
      <c r="Q1611" s="5">
        <f>_xlfn.XLOOKUP(CustomerCombined[[#This Row],[ID]], Table4[ID], Table4[Regular], "Not Found", 0)</f>
        <v>215</v>
      </c>
      <c r="R1611" s="5">
        <f>_xlfn.XLOOKUP(CustomerCombined[[#This Row],[ID]], Table4[ID], Table4[Deals], "Not Found", 0)</f>
        <v>4</v>
      </c>
      <c r="S1611" s="5">
        <f>_xlfn.XLOOKUP(CustomerCombined[[#This Row],[ID]], Table4[ID], Table4[Website], "Not Found", 0)</f>
        <v>2</v>
      </c>
      <c r="T1611" s="5">
        <f>_xlfn.XLOOKUP(CustomerCombined[[#This Row],[ID]], Table4[ID], Table4[Catalog], "Not Found", 0)</f>
        <v>1</v>
      </c>
      <c r="U1611" s="5">
        <f>_xlfn.XLOOKUP(CustomerCombined[[#This Row],[ID]], Table4[ID], Table4[Store], "Not Found", 0)</f>
        <v>4</v>
      </c>
      <c r="V1611" s="5">
        <f>_xlfn.XLOOKUP(CustomerCombined[[#This Row],[ID]], Table4[ID], Table4[Visits], "Not Found", 0)</f>
        <v>6</v>
      </c>
      <c r="W1611" s="8">
        <f>_xlfn.XLOOKUP(CustomerCombined[[#This Row],[ID]], Table2[ID],Table2[Complaint], "Not Found", 0 )</f>
        <v>0</v>
      </c>
      <c r="X1611" s="8">
        <f>_xlfn.XLOOKUP(CustomerCombined[[#This Row],[ID]], Table2[ID],Table2[Pilot], "Not Found", 0 )</f>
        <v>0</v>
      </c>
      <c r="Y1611" s="8">
        <f>_xlfn.XLOOKUP(CustomerCombined[[#This Row],[ID]], Table2[ID],Table2[MC1], "Not Found", 0 )</f>
        <v>0</v>
      </c>
      <c r="Z1611" s="8">
        <f>_xlfn.XLOOKUP(CustomerCombined[[#This Row],[ID]], Table2[ID],Table2[MC2], "Not Found", 0 )</f>
        <v>0</v>
      </c>
      <c r="AA1611" s="8">
        <f>_xlfn.XLOOKUP(CustomerCombined[[#This Row],[ID]], Table2[ID],Table2[MC3], "Not Found", 0 )</f>
        <v>0</v>
      </c>
      <c r="AB1611" s="8">
        <f>_xlfn.XLOOKUP(CustomerCombined[[#This Row],[ID]], Table2[ID],Table2[MC4], "Not Found", 0 )</f>
        <v>0</v>
      </c>
      <c r="AC1611" s="8">
        <f>_xlfn.XLOOKUP(CustomerCombined[[#This Row],[ID]], Table2[ID],Table2[MC5], "Not Found", 0 )</f>
        <v>0</v>
      </c>
    </row>
    <row r="1612" spans="1:29" x14ac:dyDescent="0.3">
      <c r="A1612" s="6">
        <v>2580</v>
      </c>
      <c r="B1612" s="6">
        <v>127116</v>
      </c>
      <c r="C1612" s="6">
        <v>1</v>
      </c>
      <c r="D1612" s="6">
        <v>1</v>
      </c>
      <c r="E1612" s="6">
        <v>59</v>
      </c>
      <c r="F1612" s="5" t="s">
        <v>6</v>
      </c>
      <c r="G1612" s="5" t="s">
        <v>11</v>
      </c>
      <c r="H1612" s="3">
        <v>43990</v>
      </c>
      <c r="I1612" s="5" t="s">
        <v>436</v>
      </c>
      <c r="J1612" s="5">
        <f>_xlfn.XLOOKUP(CustomerCombined[[#This Row],[ID]], Table4[ID], Table4[Recency], "Not Found", 0)</f>
        <v>78</v>
      </c>
      <c r="K1612" s="5">
        <f>_xlfn.XLOOKUP(CustomerCombined[[#This Row],[ID]], Table4[ID], Table4[Teas], "Not Found", 0)</f>
        <v>56</v>
      </c>
      <c r="L1612" s="5">
        <f>_xlfn.XLOOKUP(CustomerCombined[[#This Row],[ID]], Table4[ID], Table4[Fruits], "Not Found", 0)</f>
        <v>5</v>
      </c>
      <c r="M1612" s="5">
        <f>_xlfn.XLOOKUP(CustomerCombined[[#This Row],[ID]], Table4[ID], Table4[Meats], "Not Found", 0)</f>
        <v>98</v>
      </c>
      <c r="N1612" s="5">
        <f>_xlfn.XLOOKUP(CustomerCombined[[#This Row],[ID]], Table4[ID], Table4[Seafood], "Not Found", 0)</f>
        <v>9</v>
      </c>
      <c r="O1612" s="5">
        <f>_xlfn.XLOOKUP(CustomerCombined[[#This Row],[ID]], Table4[ID], Table4[Sweets], "Not Found", 0)</f>
        <v>9</v>
      </c>
      <c r="P1612" s="5">
        <f>_xlfn.XLOOKUP(CustomerCombined[[#This Row],[ID]], Table4[ID], Table4[Premium], "Not Found", 0)</f>
        <v>14</v>
      </c>
      <c r="Q1612" s="5">
        <f>_xlfn.XLOOKUP(CustomerCombined[[#This Row],[ID]], Table4[ID], Table4[Regular], "Not Found", 0)</f>
        <v>164</v>
      </c>
      <c r="R1612" s="5">
        <f>_xlfn.XLOOKUP(CustomerCombined[[#This Row],[ID]], Table4[ID], Table4[Deals], "Not Found", 0)</f>
        <v>2</v>
      </c>
      <c r="S1612" s="5">
        <f>_xlfn.XLOOKUP(CustomerCombined[[#This Row],[ID]], Table4[ID], Table4[Website], "Not Found", 0)</f>
        <v>2</v>
      </c>
      <c r="T1612" s="5">
        <f>_xlfn.XLOOKUP(CustomerCombined[[#This Row],[ID]], Table4[ID], Table4[Catalog], "Not Found", 0)</f>
        <v>0</v>
      </c>
      <c r="U1612" s="5">
        <f>_xlfn.XLOOKUP(CustomerCombined[[#This Row],[ID]], Table4[ID], Table4[Store], "Not Found", 0)</f>
        <v>3</v>
      </c>
      <c r="V1612" s="5">
        <f>_xlfn.XLOOKUP(CustomerCombined[[#This Row],[ID]], Table4[ID], Table4[Visits], "Not Found", 0)</f>
        <v>7</v>
      </c>
      <c r="W1612" s="8">
        <f>_xlfn.XLOOKUP(CustomerCombined[[#This Row],[ID]], Table2[ID],Table2[Complaint], "Not Found", 0 )</f>
        <v>0</v>
      </c>
      <c r="X1612" s="8">
        <f>_xlfn.XLOOKUP(CustomerCombined[[#This Row],[ID]], Table2[ID],Table2[Pilot], "Not Found", 0 )</f>
        <v>0</v>
      </c>
      <c r="Y1612" s="8">
        <f>_xlfn.XLOOKUP(CustomerCombined[[#This Row],[ID]], Table2[ID],Table2[MC1], "Not Found", 0 )</f>
        <v>0</v>
      </c>
      <c r="Z1612" s="8">
        <f>_xlfn.XLOOKUP(CustomerCombined[[#This Row],[ID]], Table2[ID],Table2[MC2], "Not Found", 0 )</f>
        <v>0</v>
      </c>
      <c r="AA1612" s="8">
        <f>_xlfn.XLOOKUP(CustomerCombined[[#This Row],[ID]], Table2[ID],Table2[MC3], "Not Found", 0 )</f>
        <v>0</v>
      </c>
      <c r="AB1612" s="8">
        <f>_xlfn.XLOOKUP(CustomerCombined[[#This Row],[ID]], Table2[ID],Table2[MC4], "Not Found", 0 )</f>
        <v>0</v>
      </c>
      <c r="AC1612" s="8">
        <f>_xlfn.XLOOKUP(CustomerCombined[[#This Row],[ID]], Table2[ID],Table2[MC5], "Not Found", 0 )</f>
        <v>0</v>
      </c>
    </row>
    <row r="1613" spans="1:29" x14ac:dyDescent="0.3">
      <c r="A1613" s="6">
        <v>2046</v>
      </c>
      <c r="B1613" s="6">
        <v>116860</v>
      </c>
      <c r="C1613" s="6">
        <v>1</v>
      </c>
      <c r="D1613" s="6">
        <v>1</v>
      </c>
      <c r="E1613" s="6">
        <v>59</v>
      </c>
      <c r="F1613" s="5" t="s">
        <v>6</v>
      </c>
      <c r="G1613" s="5" t="s">
        <v>11</v>
      </c>
      <c r="H1613" s="3" t="s">
        <v>397</v>
      </c>
      <c r="I1613" s="5" t="s">
        <v>436</v>
      </c>
      <c r="J1613" s="5">
        <f>_xlfn.XLOOKUP(CustomerCombined[[#This Row],[ID]], Table4[ID], Table4[Recency], "Not Found", 0)</f>
        <v>19</v>
      </c>
      <c r="K1613" s="5">
        <f>_xlfn.XLOOKUP(CustomerCombined[[#This Row],[ID]], Table4[ID], Table4[Teas], "Not Found", 0)</f>
        <v>69</v>
      </c>
      <c r="L1613" s="5">
        <f>_xlfn.XLOOKUP(CustomerCombined[[#This Row],[ID]], Table4[ID], Table4[Fruits], "Not Found", 0)</f>
        <v>28</v>
      </c>
      <c r="M1613" s="5">
        <f>_xlfn.XLOOKUP(CustomerCombined[[#This Row],[ID]], Table4[ID], Table4[Meats], "Not Found", 0)</f>
        <v>28</v>
      </c>
      <c r="N1613" s="5">
        <f>_xlfn.XLOOKUP(CustomerCombined[[#This Row],[ID]], Table4[ID], Table4[Seafood], "Not Found", 0)</f>
        <v>21</v>
      </c>
      <c r="O1613" s="5">
        <f>_xlfn.XLOOKUP(CustomerCombined[[#This Row],[ID]], Table4[ID], Table4[Sweets], "Not Found", 0)</f>
        <v>21</v>
      </c>
      <c r="P1613" s="5">
        <f>_xlfn.XLOOKUP(CustomerCombined[[#This Row],[ID]], Table4[ID], Table4[Premium], "Not Found", 0)</f>
        <v>97</v>
      </c>
      <c r="Q1613" s="5">
        <f>_xlfn.XLOOKUP(CustomerCombined[[#This Row],[ID]], Table4[ID], Table4[Regular], "Not Found", 0)</f>
        <v>69</v>
      </c>
      <c r="R1613" s="5">
        <f>_xlfn.XLOOKUP(CustomerCombined[[#This Row],[ID]], Table4[ID], Table4[Deals], "Not Found", 0)</f>
        <v>3</v>
      </c>
      <c r="S1613" s="5">
        <f>_xlfn.XLOOKUP(CustomerCombined[[#This Row],[ID]], Table4[ID], Table4[Website], "Not Found", 0)</f>
        <v>1</v>
      </c>
      <c r="T1613" s="5">
        <f>_xlfn.XLOOKUP(CustomerCombined[[#This Row],[ID]], Table4[ID], Table4[Catalog], "Not Found", 0)</f>
        <v>1</v>
      </c>
      <c r="U1613" s="5">
        <f>_xlfn.XLOOKUP(CustomerCombined[[#This Row],[ID]], Table4[ID], Table4[Store], "Not Found", 0)</f>
        <v>3</v>
      </c>
      <c r="V1613" s="5">
        <f>_xlfn.XLOOKUP(CustomerCombined[[#This Row],[ID]], Table4[ID], Table4[Visits], "Not Found", 0)</f>
        <v>7</v>
      </c>
      <c r="W1613" s="8">
        <f>_xlfn.XLOOKUP(CustomerCombined[[#This Row],[ID]], Table2[ID],Table2[Complaint], "Not Found", 0 )</f>
        <v>0</v>
      </c>
      <c r="X1613" s="8">
        <f>_xlfn.XLOOKUP(CustomerCombined[[#This Row],[ID]], Table2[ID],Table2[Pilot], "Not Found", 0 )</f>
        <v>0</v>
      </c>
      <c r="Y1613" s="8">
        <f>_xlfn.XLOOKUP(CustomerCombined[[#This Row],[ID]], Table2[ID],Table2[MC1], "Not Found", 0 )</f>
        <v>0</v>
      </c>
      <c r="Z1613" s="8">
        <f>_xlfn.XLOOKUP(CustomerCombined[[#This Row],[ID]], Table2[ID],Table2[MC2], "Not Found", 0 )</f>
        <v>0</v>
      </c>
      <c r="AA1613" s="8">
        <f>_xlfn.XLOOKUP(CustomerCombined[[#This Row],[ID]], Table2[ID],Table2[MC3], "Not Found", 0 )</f>
        <v>0</v>
      </c>
      <c r="AB1613" s="8">
        <f>_xlfn.XLOOKUP(CustomerCombined[[#This Row],[ID]], Table2[ID],Table2[MC4], "Not Found", 0 )</f>
        <v>0</v>
      </c>
      <c r="AC1613" s="8">
        <f>_xlfn.XLOOKUP(CustomerCombined[[#This Row],[ID]], Table2[ID],Table2[MC5], "Not Found", 0 )</f>
        <v>0</v>
      </c>
    </row>
    <row r="1614" spans="1:29" x14ac:dyDescent="0.3">
      <c r="A1614" s="6">
        <v>1633</v>
      </c>
      <c r="B1614" s="6">
        <v>198777</v>
      </c>
      <c r="C1614" s="6">
        <v>0</v>
      </c>
      <c r="D1614" s="6">
        <v>0</v>
      </c>
      <c r="E1614" s="6">
        <v>60</v>
      </c>
      <c r="F1614" s="5" t="s">
        <v>7</v>
      </c>
      <c r="G1614" s="5" t="s">
        <v>12</v>
      </c>
      <c r="H1614" s="3" t="s">
        <v>96</v>
      </c>
      <c r="I1614" s="5" t="s">
        <v>437</v>
      </c>
      <c r="J1614" s="5">
        <f>_xlfn.XLOOKUP(CustomerCombined[[#This Row],[ID]], Table4[ID], Table4[Recency], "Not Found", 0)</f>
        <v>23</v>
      </c>
      <c r="K1614" s="5">
        <f>_xlfn.XLOOKUP(CustomerCombined[[#This Row],[ID]], Table4[ID], Table4[Teas], "Not Found", 0)</f>
        <v>2012</v>
      </c>
      <c r="L1614" s="5">
        <f>_xlfn.XLOOKUP(CustomerCombined[[#This Row],[ID]], Table4[ID], Table4[Fruits], "Not Found", 0)</f>
        <v>38</v>
      </c>
      <c r="M1614" s="5">
        <f>_xlfn.XLOOKUP(CustomerCombined[[#This Row],[ID]], Table4[ID], Table4[Meats], "Not Found", 0)</f>
        <v>1431</v>
      </c>
      <c r="N1614" s="5">
        <f>_xlfn.XLOOKUP(CustomerCombined[[#This Row],[ID]], Table4[ID], Table4[Seafood], "Not Found", 0)</f>
        <v>252</v>
      </c>
      <c r="O1614" s="5">
        <f>_xlfn.XLOOKUP(CustomerCombined[[#This Row],[ID]], Table4[ID], Table4[Sweets], "Not Found", 0)</f>
        <v>231</v>
      </c>
      <c r="P1614" s="5">
        <f>_xlfn.XLOOKUP(CustomerCombined[[#This Row],[ID]], Table4[ID], Table4[Premium], "Not Found", 0)</f>
        <v>76</v>
      </c>
      <c r="Q1614" s="5">
        <f>_xlfn.XLOOKUP(CustomerCombined[[#This Row],[ID]], Table4[ID], Table4[Regular], "Not Found", 0)</f>
        <v>3888</v>
      </c>
      <c r="R1614" s="5">
        <f>_xlfn.XLOOKUP(CustomerCombined[[#This Row],[ID]], Table4[ID], Table4[Deals], "Not Found", 0)</f>
        <v>0</v>
      </c>
      <c r="S1614" s="5">
        <f>_xlfn.XLOOKUP(CustomerCombined[[#This Row],[ID]], Table4[ID], Table4[Website], "Not Found", 0)</f>
        <v>4</v>
      </c>
      <c r="T1614" s="5">
        <f>_xlfn.XLOOKUP(CustomerCombined[[#This Row],[ID]], Table4[ID], Table4[Catalog], "Not Found", 0)</f>
        <v>6</v>
      </c>
      <c r="U1614" s="5">
        <f>_xlfn.XLOOKUP(CustomerCombined[[#This Row],[ID]], Table4[ID], Table4[Store], "Not Found", 0)</f>
        <v>9</v>
      </c>
      <c r="V1614" s="5">
        <f>_xlfn.XLOOKUP(CustomerCombined[[#This Row],[ID]], Table4[ID], Table4[Visits], "Not Found", 0)</f>
        <v>1</v>
      </c>
      <c r="W1614" s="8">
        <f>_xlfn.XLOOKUP(CustomerCombined[[#This Row],[ID]], Table2[ID],Table2[Complaint], "Not Found", 0 )</f>
        <v>0</v>
      </c>
      <c r="X1614" s="8">
        <f>_xlfn.XLOOKUP(CustomerCombined[[#This Row],[ID]], Table2[ID],Table2[Pilot], "Not Found", 0 )</f>
        <v>0</v>
      </c>
      <c r="Y1614" s="8">
        <f>_xlfn.XLOOKUP(CustomerCombined[[#This Row],[ID]], Table2[ID],Table2[MC1], "Not Found", 0 )</f>
        <v>0</v>
      </c>
      <c r="Z1614" s="8">
        <f>_xlfn.XLOOKUP(CustomerCombined[[#This Row],[ID]], Table2[ID],Table2[MC2], "Not Found", 0 )</f>
        <v>0</v>
      </c>
      <c r="AA1614" s="8">
        <f>_xlfn.XLOOKUP(CustomerCombined[[#This Row],[ID]], Table2[ID],Table2[MC3], "Not Found", 0 )</f>
        <v>0</v>
      </c>
      <c r="AB1614" s="8">
        <f>_xlfn.XLOOKUP(CustomerCombined[[#This Row],[ID]], Table2[ID],Table2[MC4], "Not Found", 0 )</f>
        <v>1</v>
      </c>
      <c r="AC1614" s="8">
        <f>_xlfn.XLOOKUP(CustomerCombined[[#This Row],[ID]], Table2[ID],Table2[MC5], "Not Found", 0 )</f>
        <v>0</v>
      </c>
    </row>
    <row r="1615" spans="1:29" x14ac:dyDescent="0.3">
      <c r="A1615" s="6">
        <v>2094</v>
      </c>
      <c r="B1615" s="6">
        <v>198777</v>
      </c>
      <c r="C1615" s="6">
        <v>0</v>
      </c>
      <c r="D1615" s="6">
        <v>0</v>
      </c>
      <c r="E1615" s="6">
        <v>60</v>
      </c>
      <c r="F1615" s="5" t="s">
        <v>7</v>
      </c>
      <c r="G1615" s="5" t="s">
        <v>12</v>
      </c>
      <c r="H1615" s="3" t="s">
        <v>96</v>
      </c>
      <c r="I1615" s="5" t="s">
        <v>436</v>
      </c>
      <c r="J1615" s="5">
        <f>_xlfn.XLOOKUP(CustomerCombined[[#This Row],[ID]], Table4[ID], Table4[Recency], "Not Found", 0)</f>
        <v>23</v>
      </c>
      <c r="K1615" s="5">
        <f>_xlfn.XLOOKUP(CustomerCombined[[#This Row],[ID]], Table4[ID], Table4[Teas], "Not Found", 0)</f>
        <v>2012</v>
      </c>
      <c r="L1615" s="5">
        <f>_xlfn.XLOOKUP(CustomerCombined[[#This Row],[ID]], Table4[ID], Table4[Fruits], "Not Found", 0)</f>
        <v>38</v>
      </c>
      <c r="M1615" s="5">
        <f>_xlfn.XLOOKUP(CustomerCombined[[#This Row],[ID]], Table4[ID], Table4[Meats], "Not Found", 0)</f>
        <v>1431</v>
      </c>
      <c r="N1615" s="5">
        <f>_xlfn.XLOOKUP(CustomerCombined[[#This Row],[ID]], Table4[ID], Table4[Seafood], "Not Found", 0)</f>
        <v>252</v>
      </c>
      <c r="O1615" s="5">
        <f>_xlfn.XLOOKUP(CustomerCombined[[#This Row],[ID]], Table4[ID], Table4[Sweets], "Not Found", 0)</f>
        <v>231</v>
      </c>
      <c r="P1615" s="5">
        <f>_xlfn.XLOOKUP(CustomerCombined[[#This Row],[ID]], Table4[ID], Table4[Premium], "Not Found", 0)</f>
        <v>76</v>
      </c>
      <c r="Q1615" s="5">
        <f>_xlfn.XLOOKUP(CustomerCombined[[#This Row],[ID]], Table4[ID], Table4[Regular], "Not Found", 0)</f>
        <v>3888</v>
      </c>
      <c r="R1615" s="5">
        <f>_xlfn.XLOOKUP(CustomerCombined[[#This Row],[ID]], Table4[ID], Table4[Deals], "Not Found", 0)</f>
        <v>0</v>
      </c>
      <c r="S1615" s="5">
        <f>_xlfn.XLOOKUP(CustomerCombined[[#This Row],[ID]], Table4[ID], Table4[Website], "Not Found", 0)</f>
        <v>4</v>
      </c>
      <c r="T1615" s="5">
        <f>_xlfn.XLOOKUP(CustomerCombined[[#This Row],[ID]], Table4[ID], Table4[Catalog], "Not Found", 0)</f>
        <v>6</v>
      </c>
      <c r="U1615" s="5">
        <f>_xlfn.XLOOKUP(CustomerCombined[[#This Row],[ID]], Table4[ID], Table4[Store], "Not Found", 0)</f>
        <v>9</v>
      </c>
      <c r="V1615" s="5">
        <f>_xlfn.XLOOKUP(CustomerCombined[[#This Row],[ID]], Table4[ID], Table4[Visits], "Not Found", 0)</f>
        <v>1</v>
      </c>
      <c r="W1615" s="8">
        <f>_xlfn.XLOOKUP(CustomerCombined[[#This Row],[ID]], Table2[ID],Table2[Complaint], "Not Found", 0 )</f>
        <v>0</v>
      </c>
      <c r="X1615" s="8">
        <f>_xlfn.XLOOKUP(CustomerCombined[[#This Row],[ID]], Table2[ID],Table2[Pilot], "Not Found", 0 )</f>
        <v>0</v>
      </c>
      <c r="Y1615" s="8">
        <f>_xlfn.XLOOKUP(CustomerCombined[[#This Row],[ID]], Table2[ID],Table2[MC1], "Not Found", 0 )</f>
        <v>0</v>
      </c>
      <c r="Z1615" s="8">
        <f>_xlfn.XLOOKUP(CustomerCombined[[#This Row],[ID]], Table2[ID],Table2[MC2], "Not Found", 0 )</f>
        <v>0</v>
      </c>
      <c r="AA1615" s="8">
        <f>_xlfn.XLOOKUP(CustomerCombined[[#This Row],[ID]], Table2[ID],Table2[MC3], "Not Found", 0 )</f>
        <v>0</v>
      </c>
      <c r="AB1615" s="8">
        <f>_xlfn.XLOOKUP(CustomerCombined[[#This Row],[ID]], Table2[ID],Table2[MC4], "Not Found", 0 )</f>
        <v>1</v>
      </c>
      <c r="AC1615" s="8">
        <f>_xlfn.XLOOKUP(CustomerCombined[[#This Row],[ID]], Table2[ID],Table2[MC5], "Not Found", 0 )</f>
        <v>0</v>
      </c>
    </row>
    <row r="1616" spans="1:29" x14ac:dyDescent="0.3">
      <c r="A1616" s="6">
        <v>2885</v>
      </c>
      <c r="B1616" s="6">
        <v>192556</v>
      </c>
      <c r="C1616" s="6">
        <v>0</v>
      </c>
      <c r="D1616" s="6">
        <v>0</v>
      </c>
      <c r="E1616" s="6">
        <v>60</v>
      </c>
      <c r="F1616" s="5" t="s">
        <v>8</v>
      </c>
      <c r="G1616" s="5" t="s">
        <v>442</v>
      </c>
      <c r="H1616" s="3" t="s">
        <v>62</v>
      </c>
      <c r="I1616" s="5" t="s">
        <v>434</v>
      </c>
      <c r="J1616" s="5">
        <f>_xlfn.XLOOKUP(CustomerCombined[[#This Row],[ID]], Table4[ID], Table4[Recency], "Not Found", 0)</f>
        <v>32</v>
      </c>
      <c r="K1616" s="5">
        <f>_xlfn.XLOOKUP(CustomerCombined[[#This Row],[ID]], Table4[ID], Table4[Teas], "Not Found", 0)</f>
        <v>1026</v>
      </c>
      <c r="L1616" s="5">
        <f>_xlfn.XLOOKUP(CustomerCombined[[#This Row],[ID]], Table4[ID], Table4[Fruits], "Not Found", 0)</f>
        <v>381</v>
      </c>
      <c r="M1616" s="5">
        <f>_xlfn.XLOOKUP(CustomerCombined[[#This Row],[ID]], Table4[ID], Table4[Meats], "Not Found", 0)</f>
        <v>732</v>
      </c>
      <c r="N1616" s="5">
        <f>_xlfn.XLOOKUP(CustomerCombined[[#This Row],[ID]], Table4[ID], Table4[Seafood], "Not Found", 0)</f>
        <v>383</v>
      </c>
      <c r="O1616" s="5">
        <f>_xlfn.XLOOKUP(CustomerCombined[[#This Row],[ID]], Table4[ID], Table4[Sweets], "Not Found", 0)</f>
        <v>48</v>
      </c>
      <c r="P1616" s="5">
        <f>_xlfn.XLOOKUP(CustomerCombined[[#This Row],[ID]], Table4[ID], Table4[Premium], "Not Found", 0)</f>
        <v>58</v>
      </c>
      <c r="Q1616" s="5">
        <f>_xlfn.XLOOKUP(CustomerCombined[[#This Row],[ID]], Table4[ID], Table4[Regular], "Not Found", 0)</f>
        <v>2511</v>
      </c>
      <c r="R1616" s="5">
        <f>_xlfn.XLOOKUP(CustomerCombined[[#This Row],[ID]], Table4[ID], Table4[Deals], "Not Found", 0)</f>
        <v>0</v>
      </c>
      <c r="S1616" s="5">
        <f>_xlfn.XLOOKUP(CustomerCombined[[#This Row],[ID]], Table4[ID], Table4[Website], "Not Found", 0)</f>
        <v>3</v>
      </c>
      <c r="T1616" s="5">
        <f>_xlfn.XLOOKUP(CustomerCombined[[#This Row],[ID]], Table4[ID], Table4[Catalog], "Not Found", 0)</f>
        <v>5</v>
      </c>
      <c r="U1616" s="5">
        <f>_xlfn.XLOOKUP(CustomerCombined[[#This Row],[ID]], Table4[ID], Table4[Store], "Not Found", 0)</f>
        <v>13</v>
      </c>
      <c r="V1616" s="5">
        <f>_xlfn.XLOOKUP(CustomerCombined[[#This Row],[ID]], Table4[ID], Table4[Visits], "Not Found", 0)</f>
        <v>0</v>
      </c>
      <c r="W1616" s="8">
        <f>_xlfn.XLOOKUP(CustomerCombined[[#This Row],[ID]], Table2[ID],Table2[Complaint], "Not Found", 0 )</f>
        <v>0</v>
      </c>
      <c r="X1616" s="8">
        <f>_xlfn.XLOOKUP(CustomerCombined[[#This Row],[ID]], Table2[ID],Table2[Pilot], "Not Found", 0 )</f>
        <v>0</v>
      </c>
      <c r="Y1616" s="8">
        <f>_xlfn.XLOOKUP(CustomerCombined[[#This Row],[ID]], Table2[ID],Table2[MC1], "Not Found", 0 )</f>
        <v>0</v>
      </c>
      <c r="Z1616" s="8">
        <f>_xlfn.XLOOKUP(CustomerCombined[[#This Row],[ID]], Table2[ID],Table2[MC2], "Not Found", 0 )</f>
        <v>0</v>
      </c>
      <c r="AA1616" s="8">
        <f>_xlfn.XLOOKUP(CustomerCombined[[#This Row],[ID]], Table2[ID],Table2[MC3], "Not Found", 0 )</f>
        <v>0</v>
      </c>
      <c r="AB1616" s="8">
        <f>_xlfn.XLOOKUP(CustomerCombined[[#This Row],[ID]], Table2[ID],Table2[MC4], "Not Found", 0 )</f>
        <v>0</v>
      </c>
      <c r="AC1616" s="8">
        <f>_xlfn.XLOOKUP(CustomerCombined[[#This Row],[ID]], Table2[ID],Table2[MC5], "Not Found", 0 )</f>
        <v>0</v>
      </c>
    </row>
    <row r="1617" spans="1:29" x14ac:dyDescent="0.3">
      <c r="A1617" s="6">
        <v>1101</v>
      </c>
      <c r="B1617" s="6">
        <v>189058</v>
      </c>
      <c r="C1617" s="6">
        <v>0</v>
      </c>
      <c r="D1617" s="6">
        <v>0</v>
      </c>
      <c r="E1617" s="6">
        <v>60</v>
      </c>
      <c r="F1617" s="5" t="s">
        <v>6</v>
      </c>
      <c r="G1617" s="5" t="s">
        <v>12</v>
      </c>
      <c r="H1617" s="3" t="s">
        <v>351</v>
      </c>
      <c r="I1617" s="5" t="s">
        <v>435</v>
      </c>
      <c r="J1617" s="5">
        <f>_xlfn.XLOOKUP(CustomerCombined[[#This Row],[ID]], Table4[ID], Table4[Recency], "Not Found", 0)</f>
        <v>18</v>
      </c>
      <c r="K1617" s="5">
        <f>_xlfn.XLOOKUP(CustomerCombined[[#This Row],[ID]], Table4[ID], Table4[Teas], "Not Found", 0)</f>
        <v>964</v>
      </c>
      <c r="L1617" s="5">
        <f>_xlfn.XLOOKUP(CustomerCombined[[#This Row],[ID]], Table4[ID], Table4[Fruits], "Not Found", 0)</f>
        <v>412</v>
      </c>
      <c r="M1617" s="5">
        <f>_xlfn.XLOOKUP(CustomerCombined[[#This Row],[ID]], Table4[ID], Table4[Meats], "Not Found", 0)</f>
        <v>225</v>
      </c>
      <c r="N1617" s="5">
        <f>_xlfn.XLOOKUP(CustomerCombined[[#This Row],[ID]], Table4[ID], Table4[Seafood], "Not Found", 0)</f>
        <v>66</v>
      </c>
      <c r="O1617" s="5">
        <f>_xlfn.XLOOKUP(CustomerCombined[[#This Row],[ID]], Table4[ID], Table4[Sweets], "Not Found", 0)</f>
        <v>47</v>
      </c>
      <c r="P1617" s="5">
        <f>_xlfn.XLOOKUP(CustomerCombined[[#This Row],[ID]], Table4[ID], Table4[Premium], "Not Found", 0)</f>
        <v>91</v>
      </c>
      <c r="Q1617" s="5">
        <f>_xlfn.XLOOKUP(CustomerCombined[[#This Row],[ID]], Table4[ID], Table4[Regular], "Not Found", 0)</f>
        <v>1622</v>
      </c>
      <c r="R1617" s="5">
        <f>_xlfn.XLOOKUP(CustomerCombined[[#This Row],[ID]], Table4[ID], Table4[Deals], "Not Found", 0)</f>
        <v>1</v>
      </c>
      <c r="S1617" s="5">
        <f>_xlfn.XLOOKUP(CustomerCombined[[#This Row],[ID]], Table4[ID], Table4[Website], "Not Found", 0)</f>
        <v>5</v>
      </c>
      <c r="T1617" s="5">
        <f>_xlfn.XLOOKUP(CustomerCombined[[#This Row],[ID]], Table4[ID], Table4[Catalog], "Not Found", 0)</f>
        <v>4</v>
      </c>
      <c r="U1617" s="5">
        <f>_xlfn.XLOOKUP(CustomerCombined[[#This Row],[ID]], Table4[ID], Table4[Store], "Not Found", 0)</f>
        <v>4</v>
      </c>
      <c r="V1617" s="5">
        <f>_xlfn.XLOOKUP(CustomerCombined[[#This Row],[ID]], Table4[ID], Table4[Visits], "Not Found", 0)</f>
        <v>2</v>
      </c>
      <c r="W1617" s="8">
        <f>_xlfn.XLOOKUP(CustomerCombined[[#This Row],[ID]], Table2[ID],Table2[Complaint], "Not Found", 0 )</f>
        <v>0</v>
      </c>
      <c r="X1617" s="8">
        <f>_xlfn.XLOOKUP(CustomerCombined[[#This Row],[ID]], Table2[ID],Table2[Pilot], "Not Found", 0 )</f>
        <v>0</v>
      </c>
      <c r="Y1617" s="8">
        <f>_xlfn.XLOOKUP(CustomerCombined[[#This Row],[ID]], Table2[ID],Table2[MC1], "Not Found", 0 )</f>
        <v>0</v>
      </c>
      <c r="Z1617" s="8">
        <f>_xlfn.XLOOKUP(CustomerCombined[[#This Row],[ID]], Table2[ID],Table2[MC2], "Not Found", 0 )</f>
        <v>0</v>
      </c>
      <c r="AA1617" s="8">
        <f>_xlfn.XLOOKUP(CustomerCombined[[#This Row],[ID]], Table2[ID],Table2[MC3], "Not Found", 0 )</f>
        <v>0</v>
      </c>
      <c r="AB1617" s="8">
        <f>_xlfn.XLOOKUP(CustomerCombined[[#This Row],[ID]], Table2[ID],Table2[MC4], "Not Found", 0 )</f>
        <v>0</v>
      </c>
      <c r="AC1617" s="8">
        <f>_xlfn.XLOOKUP(CustomerCombined[[#This Row],[ID]], Table2[ID],Table2[MC5], "Not Found", 0 )</f>
        <v>0</v>
      </c>
    </row>
    <row r="1618" spans="1:29" x14ac:dyDescent="0.3">
      <c r="A1618" s="6">
        <v>1697</v>
      </c>
      <c r="B1618" s="6">
        <v>187305</v>
      </c>
      <c r="C1618" s="6">
        <v>0</v>
      </c>
      <c r="D1618" s="6">
        <v>0</v>
      </c>
      <c r="E1618" s="6">
        <v>60</v>
      </c>
      <c r="F1618" s="5" t="s">
        <v>5</v>
      </c>
      <c r="G1618" s="5" t="s">
        <v>442</v>
      </c>
      <c r="H1618" s="3" t="s">
        <v>388</v>
      </c>
      <c r="I1618" s="5" t="s">
        <v>434</v>
      </c>
      <c r="J1618" s="5">
        <f>_xlfn.XLOOKUP(CustomerCombined[[#This Row],[ID]], Table4[ID], Table4[Recency], "Not Found", 0)</f>
        <v>19</v>
      </c>
      <c r="K1618" s="5">
        <f>_xlfn.XLOOKUP(CustomerCombined[[#This Row],[ID]], Table4[ID], Table4[Teas], "Not Found", 0)</f>
        <v>740</v>
      </c>
      <c r="L1618" s="5">
        <f>_xlfn.XLOOKUP(CustomerCombined[[#This Row],[ID]], Table4[ID], Table4[Fruits], "Not Found", 0)</f>
        <v>54</v>
      </c>
      <c r="M1618" s="5">
        <f>_xlfn.XLOOKUP(CustomerCombined[[#This Row],[ID]], Table4[ID], Table4[Meats], "Not Found", 0)</f>
        <v>1075</v>
      </c>
      <c r="N1618" s="5">
        <f>_xlfn.XLOOKUP(CustomerCombined[[#This Row],[ID]], Table4[ID], Table4[Seafood], "Not Found", 0)</f>
        <v>135</v>
      </c>
      <c r="O1618" s="5">
        <f>_xlfn.XLOOKUP(CustomerCombined[[#This Row],[ID]], Table4[ID], Table4[Sweets], "Not Found", 0)</f>
        <v>296</v>
      </c>
      <c r="P1618" s="5">
        <f>_xlfn.XLOOKUP(CustomerCombined[[#This Row],[ID]], Table4[ID], Table4[Premium], "Not Found", 0)</f>
        <v>172</v>
      </c>
      <c r="Q1618" s="5">
        <f>_xlfn.XLOOKUP(CustomerCombined[[#This Row],[ID]], Table4[ID], Table4[Regular], "Not Found", 0)</f>
        <v>2128</v>
      </c>
      <c r="R1618" s="5">
        <f>_xlfn.XLOOKUP(CustomerCombined[[#This Row],[ID]], Table4[ID], Table4[Deals], "Not Found", 0)</f>
        <v>1</v>
      </c>
      <c r="S1618" s="5">
        <f>_xlfn.XLOOKUP(CustomerCombined[[#This Row],[ID]], Table4[ID], Table4[Website], "Not Found", 0)</f>
        <v>5</v>
      </c>
      <c r="T1618" s="5">
        <f>_xlfn.XLOOKUP(CustomerCombined[[#This Row],[ID]], Table4[ID], Table4[Catalog], "Not Found", 0)</f>
        <v>3</v>
      </c>
      <c r="U1618" s="5">
        <f>_xlfn.XLOOKUP(CustomerCombined[[#This Row],[ID]], Table4[ID], Table4[Store], "Not Found", 0)</f>
        <v>8</v>
      </c>
      <c r="V1618" s="5">
        <f>_xlfn.XLOOKUP(CustomerCombined[[#This Row],[ID]], Table4[ID], Table4[Visits], "Not Found", 0)</f>
        <v>2</v>
      </c>
      <c r="W1618" s="8">
        <f>_xlfn.XLOOKUP(CustomerCombined[[#This Row],[ID]], Table2[ID],Table2[Complaint], "Not Found", 0 )</f>
        <v>0</v>
      </c>
      <c r="X1618" s="8">
        <f>_xlfn.XLOOKUP(CustomerCombined[[#This Row],[ID]], Table2[ID],Table2[Pilot], "Not Found", 0 )</f>
        <v>1</v>
      </c>
      <c r="Y1618" s="8">
        <f>_xlfn.XLOOKUP(CustomerCombined[[#This Row],[ID]], Table2[ID],Table2[MC1], "Not Found", 0 )</f>
        <v>0</v>
      </c>
      <c r="Z1618" s="8">
        <f>_xlfn.XLOOKUP(CustomerCombined[[#This Row],[ID]], Table2[ID],Table2[MC2], "Not Found", 0 )</f>
        <v>0</v>
      </c>
      <c r="AA1618" s="8">
        <f>_xlfn.XLOOKUP(CustomerCombined[[#This Row],[ID]], Table2[ID],Table2[MC3], "Not Found", 0 )</f>
        <v>0</v>
      </c>
      <c r="AB1618" s="8">
        <f>_xlfn.XLOOKUP(CustomerCombined[[#This Row],[ID]], Table2[ID],Table2[MC4], "Not Found", 0 )</f>
        <v>0</v>
      </c>
      <c r="AC1618" s="8">
        <f>_xlfn.XLOOKUP(CustomerCombined[[#This Row],[ID]], Table2[ID],Table2[MC5], "Not Found", 0 )</f>
        <v>1</v>
      </c>
    </row>
    <row r="1619" spans="1:29" x14ac:dyDescent="0.3">
      <c r="A1619" s="6">
        <v>1468</v>
      </c>
      <c r="B1619" s="6">
        <v>183151</v>
      </c>
      <c r="C1619" s="6">
        <v>0</v>
      </c>
      <c r="D1619" s="6">
        <v>0</v>
      </c>
      <c r="E1619" s="6">
        <v>60</v>
      </c>
      <c r="F1619" s="5" t="s">
        <v>8</v>
      </c>
      <c r="G1619" s="5" t="s">
        <v>12</v>
      </c>
      <c r="H1619" s="3" t="s">
        <v>384</v>
      </c>
      <c r="I1619" s="5" t="s">
        <v>439</v>
      </c>
      <c r="J1619" s="5">
        <f>_xlfn.XLOOKUP(CustomerCombined[[#This Row],[ID]], Table4[ID], Table4[Recency], "Not Found", 0)</f>
        <v>93</v>
      </c>
      <c r="K1619" s="5">
        <f>_xlfn.XLOOKUP(CustomerCombined[[#This Row],[ID]], Table4[ID], Table4[Teas], "Not Found", 0)</f>
        <v>896</v>
      </c>
      <c r="L1619" s="5">
        <f>_xlfn.XLOOKUP(CustomerCombined[[#This Row],[ID]], Table4[ID], Table4[Fruits], "Not Found", 0)</f>
        <v>62</v>
      </c>
      <c r="M1619" s="5">
        <f>_xlfn.XLOOKUP(CustomerCombined[[#This Row],[ID]], Table4[ID], Table4[Meats], "Not Found", 0)</f>
        <v>220</v>
      </c>
      <c r="N1619" s="5">
        <f>_xlfn.XLOOKUP(CustomerCombined[[#This Row],[ID]], Table4[ID], Table4[Seafood], "Not Found", 0)</f>
        <v>264</v>
      </c>
      <c r="O1619" s="5">
        <f>_xlfn.XLOOKUP(CustomerCombined[[#This Row],[ID]], Table4[ID], Table4[Sweets], "Not Found", 0)</f>
        <v>163</v>
      </c>
      <c r="P1619" s="5">
        <f>_xlfn.XLOOKUP(CustomerCombined[[#This Row],[ID]], Table4[ID], Table4[Premium], "Not Found", 0)</f>
        <v>40</v>
      </c>
      <c r="Q1619" s="5">
        <f>_xlfn.XLOOKUP(CustomerCombined[[#This Row],[ID]], Table4[ID], Table4[Regular], "Not Found", 0)</f>
        <v>1566</v>
      </c>
      <c r="R1619" s="5">
        <f>_xlfn.XLOOKUP(CustomerCombined[[#This Row],[ID]], Table4[ID], Table4[Deals], "Not Found", 0)</f>
        <v>1</v>
      </c>
      <c r="S1619" s="5">
        <f>_xlfn.XLOOKUP(CustomerCombined[[#This Row],[ID]], Table4[ID], Table4[Website], "Not Found", 0)</f>
        <v>5</v>
      </c>
      <c r="T1619" s="5">
        <f>_xlfn.XLOOKUP(CustomerCombined[[#This Row],[ID]], Table4[ID], Table4[Catalog], "Not Found", 0)</f>
        <v>9</v>
      </c>
      <c r="U1619" s="5">
        <f>_xlfn.XLOOKUP(CustomerCombined[[#This Row],[ID]], Table4[ID], Table4[Store], "Not Found", 0)</f>
        <v>4</v>
      </c>
      <c r="V1619" s="5">
        <f>_xlfn.XLOOKUP(CustomerCombined[[#This Row],[ID]], Table4[ID], Table4[Visits], "Not Found", 0)</f>
        <v>3</v>
      </c>
      <c r="W1619" s="8">
        <f>_xlfn.XLOOKUP(CustomerCombined[[#This Row],[ID]], Table2[ID],Table2[Complaint], "Not Found", 0 )</f>
        <v>0</v>
      </c>
      <c r="X1619" s="8">
        <f>_xlfn.XLOOKUP(CustomerCombined[[#This Row],[ID]], Table2[ID],Table2[Pilot], "Not Found", 0 )</f>
        <v>0</v>
      </c>
      <c r="Y1619" s="8">
        <f>_xlfn.XLOOKUP(CustomerCombined[[#This Row],[ID]], Table2[ID],Table2[MC1], "Not Found", 0 )</f>
        <v>0</v>
      </c>
      <c r="Z1619" s="8">
        <f>_xlfn.XLOOKUP(CustomerCombined[[#This Row],[ID]], Table2[ID],Table2[MC2], "Not Found", 0 )</f>
        <v>0</v>
      </c>
      <c r="AA1619" s="8">
        <f>_xlfn.XLOOKUP(CustomerCombined[[#This Row],[ID]], Table2[ID],Table2[MC3], "Not Found", 0 )</f>
        <v>0</v>
      </c>
      <c r="AB1619" s="8">
        <f>_xlfn.XLOOKUP(CustomerCombined[[#This Row],[ID]], Table2[ID],Table2[MC4], "Not Found", 0 )</f>
        <v>0</v>
      </c>
      <c r="AC1619" s="8">
        <f>_xlfn.XLOOKUP(CustomerCombined[[#This Row],[ID]], Table2[ID],Table2[MC5], "Not Found", 0 )</f>
        <v>0</v>
      </c>
    </row>
    <row r="1620" spans="1:29" x14ac:dyDescent="0.3">
      <c r="A1620" s="6">
        <v>1825</v>
      </c>
      <c r="B1620" s="6">
        <v>182504</v>
      </c>
      <c r="C1620" s="6">
        <v>0</v>
      </c>
      <c r="D1620" s="6">
        <v>0</v>
      </c>
      <c r="E1620" s="6">
        <v>60</v>
      </c>
      <c r="F1620" s="5" t="s">
        <v>6</v>
      </c>
      <c r="G1620" s="5" t="s">
        <v>442</v>
      </c>
      <c r="H1620" s="3">
        <v>43831</v>
      </c>
      <c r="I1620" s="5" t="s">
        <v>437</v>
      </c>
      <c r="J1620" s="5">
        <f>_xlfn.XLOOKUP(CustomerCombined[[#This Row],[ID]], Table4[ID], Table4[Recency], "Not Found", 0)</f>
        <v>2</v>
      </c>
      <c r="K1620" s="5">
        <f>_xlfn.XLOOKUP(CustomerCombined[[#This Row],[ID]], Table4[ID], Table4[Teas], "Not Found", 0)</f>
        <v>801</v>
      </c>
      <c r="L1620" s="5">
        <f>_xlfn.XLOOKUP(CustomerCombined[[#This Row],[ID]], Table4[ID], Table4[Fruits], "Not Found", 0)</f>
        <v>111</v>
      </c>
      <c r="M1620" s="5">
        <f>_xlfn.XLOOKUP(CustomerCombined[[#This Row],[ID]], Table4[ID], Table4[Meats], "Not Found", 0)</f>
        <v>953</v>
      </c>
      <c r="N1620" s="5">
        <f>_xlfn.XLOOKUP(CustomerCombined[[#This Row],[ID]], Table4[ID], Table4[Seafood], "Not Found", 0)</f>
        <v>296</v>
      </c>
      <c r="O1620" s="5">
        <f>_xlfn.XLOOKUP(CustomerCombined[[#This Row],[ID]], Table4[ID], Table4[Sweets], "Not Found", 0)</f>
        <v>77</v>
      </c>
      <c r="P1620" s="5">
        <f>_xlfn.XLOOKUP(CustomerCombined[[#This Row],[ID]], Table4[ID], Table4[Premium], "Not Found", 0)</f>
        <v>119</v>
      </c>
      <c r="Q1620" s="5">
        <f>_xlfn.XLOOKUP(CustomerCombined[[#This Row],[ID]], Table4[ID], Table4[Regular], "Not Found", 0)</f>
        <v>2119</v>
      </c>
      <c r="R1620" s="5">
        <f>_xlfn.XLOOKUP(CustomerCombined[[#This Row],[ID]], Table4[ID], Table4[Deals], "Not Found", 0)</f>
        <v>1</v>
      </c>
      <c r="S1620" s="5">
        <f>_xlfn.XLOOKUP(CustomerCombined[[#This Row],[ID]], Table4[ID], Table4[Website], "Not Found", 0)</f>
        <v>3</v>
      </c>
      <c r="T1620" s="5">
        <f>_xlfn.XLOOKUP(CustomerCombined[[#This Row],[ID]], Table4[ID], Table4[Catalog], "Not Found", 0)</f>
        <v>6</v>
      </c>
      <c r="U1620" s="5">
        <f>_xlfn.XLOOKUP(CustomerCombined[[#This Row],[ID]], Table4[ID], Table4[Store], "Not Found", 0)</f>
        <v>7</v>
      </c>
      <c r="V1620" s="5">
        <f>_xlfn.XLOOKUP(CustomerCombined[[#This Row],[ID]], Table4[ID], Table4[Visits], "Not Found", 0)</f>
        <v>1</v>
      </c>
      <c r="W1620" s="8">
        <f>_xlfn.XLOOKUP(CustomerCombined[[#This Row],[ID]], Table2[ID],Table2[Complaint], "Not Found", 0 )</f>
        <v>0</v>
      </c>
      <c r="X1620" s="8">
        <f>_xlfn.XLOOKUP(CustomerCombined[[#This Row],[ID]], Table2[ID],Table2[Pilot], "Not Found", 0 )</f>
        <v>0</v>
      </c>
      <c r="Y1620" s="8">
        <f>_xlfn.XLOOKUP(CustomerCombined[[#This Row],[ID]], Table2[ID],Table2[MC1], "Not Found", 0 )</f>
        <v>0</v>
      </c>
      <c r="Z1620" s="8">
        <f>_xlfn.XLOOKUP(CustomerCombined[[#This Row],[ID]], Table2[ID],Table2[MC2], "Not Found", 0 )</f>
        <v>0</v>
      </c>
      <c r="AA1620" s="8">
        <f>_xlfn.XLOOKUP(CustomerCombined[[#This Row],[ID]], Table2[ID],Table2[MC3], "Not Found", 0 )</f>
        <v>0</v>
      </c>
      <c r="AB1620" s="8">
        <f>_xlfn.XLOOKUP(CustomerCombined[[#This Row],[ID]], Table2[ID],Table2[MC4], "Not Found", 0 )</f>
        <v>0</v>
      </c>
      <c r="AC1620" s="8">
        <f>_xlfn.XLOOKUP(CustomerCombined[[#This Row],[ID]], Table2[ID],Table2[MC5], "Not Found", 0 )</f>
        <v>0</v>
      </c>
    </row>
    <row r="1621" spans="1:29" x14ac:dyDescent="0.3">
      <c r="A1621" s="6">
        <v>2300</v>
      </c>
      <c r="B1621" s="6">
        <v>181843</v>
      </c>
      <c r="C1621" s="6">
        <v>0</v>
      </c>
      <c r="D1621" s="6">
        <v>0</v>
      </c>
      <c r="E1621" s="6">
        <v>60</v>
      </c>
      <c r="F1621" s="5" t="s">
        <v>6</v>
      </c>
      <c r="G1621" s="5" t="s">
        <v>12</v>
      </c>
      <c r="H1621" s="3" t="s">
        <v>267</v>
      </c>
      <c r="I1621" s="5" t="s">
        <v>438</v>
      </c>
      <c r="J1621" s="5">
        <f>_xlfn.XLOOKUP(CustomerCombined[[#This Row],[ID]], Table4[ID], Table4[Recency], "Not Found", 0)</f>
        <v>13</v>
      </c>
      <c r="K1621" s="5">
        <f>_xlfn.XLOOKUP(CustomerCombined[[#This Row],[ID]], Table4[ID], Table4[Teas], "Not Found", 0)</f>
        <v>1731</v>
      </c>
      <c r="L1621" s="5">
        <f>_xlfn.XLOOKUP(CustomerCombined[[#This Row],[ID]], Table4[ID], Table4[Fruits], "Not Found", 0)</f>
        <v>191</v>
      </c>
      <c r="M1621" s="5">
        <f>_xlfn.XLOOKUP(CustomerCombined[[#This Row],[ID]], Table4[ID], Table4[Meats], "Not Found", 0)</f>
        <v>1193</v>
      </c>
      <c r="N1621" s="5">
        <f>_xlfn.XLOOKUP(CustomerCombined[[#This Row],[ID]], Table4[ID], Table4[Seafood], "Not Found", 0)</f>
        <v>76</v>
      </c>
      <c r="O1621" s="5">
        <f>_xlfn.XLOOKUP(CustomerCombined[[#This Row],[ID]], Table4[ID], Table4[Sweets], "Not Found", 0)</f>
        <v>153</v>
      </c>
      <c r="P1621" s="5">
        <f>_xlfn.XLOOKUP(CustomerCombined[[#This Row],[ID]], Table4[ID], Table4[Premium], "Not Found", 0)</f>
        <v>307</v>
      </c>
      <c r="Q1621" s="5">
        <f>_xlfn.XLOOKUP(CustomerCombined[[#This Row],[ID]], Table4[ID], Table4[Regular], "Not Found", 0)</f>
        <v>3037</v>
      </c>
      <c r="R1621" s="5">
        <f>_xlfn.XLOOKUP(CustomerCombined[[#This Row],[ID]], Table4[ID], Table4[Deals], "Not Found", 0)</f>
        <v>1</v>
      </c>
      <c r="S1621" s="5">
        <f>_xlfn.XLOOKUP(CustomerCombined[[#This Row],[ID]], Table4[ID], Table4[Website], "Not Found", 0)</f>
        <v>5</v>
      </c>
      <c r="T1621" s="5">
        <f>_xlfn.XLOOKUP(CustomerCombined[[#This Row],[ID]], Table4[ID], Table4[Catalog], "Not Found", 0)</f>
        <v>9</v>
      </c>
      <c r="U1621" s="5">
        <f>_xlfn.XLOOKUP(CustomerCombined[[#This Row],[ID]], Table4[ID], Table4[Store], "Not Found", 0)</f>
        <v>12</v>
      </c>
      <c r="V1621" s="5">
        <f>_xlfn.XLOOKUP(CustomerCombined[[#This Row],[ID]], Table4[ID], Table4[Visits], "Not Found", 0)</f>
        <v>3</v>
      </c>
      <c r="W1621" s="8">
        <f>_xlfn.XLOOKUP(CustomerCombined[[#This Row],[ID]], Table2[ID],Table2[Complaint], "Not Found", 0 )</f>
        <v>0</v>
      </c>
      <c r="X1621" s="8">
        <f>_xlfn.XLOOKUP(CustomerCombined[[#This Row],[ID]], Table2[ID],Table2[Pilot], "Not Found", 0 )</f>
        <v>0</v>
      </c>
      <c r="Y1621" s="8">
        <f>_xlfn.XLOOKUP(CustomerCombined[[#This Row],[ID]], Table2[ID],Table2[MC1], "Not Found", 0 )</f>
        <v>0</v>
      </c>
      <c r="Z1621" s="8">
        <f>_xlfn.XLOOKUP(CustomerCombined[[#This Row],[ID]], Table2[ID],Table2[MC2], "Not Found", 0 )</f>
        <v>0</v>
      </c>
      <c r="AA1621" s="8">
        <f>_xlfn.XLOOKUP(CustomerCombined[[#This Row],[ID]], Table2[ID],Table2[MC3], "Not Found", 0 )</f>
        <v>0</v>
      </c>
      <c r="AB1621" s="8">
        <f>_xlfn.XLOOKUP(CustomerCombined[[#This Row],[ID]], Table2[ID],Table2[MC4], "Not Found", 0 )</f>
        <v>0</v>
      </c>
      <c r="AC1621" s="8">
        <f>_xlfn.XLOOKUP(CustomerCombined[[#This Row],[ID]], Table2[ID],Table2[MC5], "Not Found", 0 )</f>
        <v>0</v>
      </c>
    </row>
    <row r="1622" spans="1:29" x14ac:dyDescent="0.3">
      <c r="A1622" s="6">
        <v>1350</v>
      </c>
      <c r="B1622" s="6">
        <v>179530</v>
      </c>
      <c r="C1622" s="6">
        <v>0</v>
      </c>
      <c r="D1622" s="6">
        <v>0</v>
      </c>
      <c r="E1622" s="6">
        <v>60</v>
      </c>
      <c r="F1622" s="5" t="s">
        <v>6</v>
      </c>
      <c r="G1622" s="5" t="s">
        <v>11</v>
      </c>
      <c r="H1622" s="3" t="s">
        <v>254</v>
      </c>
      <c r="I1622" s="5" t="s">
        <v>436</v>
      </c>
      <c r="J1622" s="5">
        <f>_xlfn.XLOOKUP(CustomerCombined[[#This Row],[ID]], Table4[ID], Table4[Recency], "Not Found", 0)</f>
        <v>64</v>
      </c>
      <c r="K1622" s="5">
        <f>_xlfn.XLOOKUP(CustomerCombined[[#This Row],[ID]], Table4[ID], Table4[Teas], "Not Found", 0)</f>
        <v>752</v>
      </c>
      <c r="L1622" s="5">
        <f>_xlfn.XLOOKUP(CustomerCombined[[#This Row],[ID]], Table4[ID], Table4[Fruits], "Not Found", 0)</f>
        <v>0</v>
      </c>
      <c r="M1622" s="5">
        <f>_xlfn.XLOOKUP(CustomerCombined[[#This Row],[ID]], Table4[ID], Table4[Meats], "Not Found", 0)</f>
        <v>1840</v>
      </c>
      <c r="N1622" s="5">
        <f>_xlfn.XLOOKUP(CustomerCombined[[#This Row],[ID]], Table4[ID], Table4[Seafood], "Not Found", 0)</f>
        <v>291</v>
      </c>
      <c r="O1622" s="5">
        <f>_xlfn.XLOOKUP(CustomerCombined[[#This Row],[ID]], Table4[ID], Table4[Sweets], "Not Found", 0)</f>
        <v>95</v>
      </c>
      <c r="P1622" s="5">
        <f>_xlfn.XLOOKUP(CustomerCombined[[#This Row],[ID]], Table4[ID], Table4[Premium], "Not Found", 0)</f>
        <v>65</v>
      </c>
      <c r="Q1622" s="5">
        <f>_xlfn.XLOOKUP(CustomerCombined[[#This Row],[ID]], Table4[ID], Table4[Regular], "Not Found", 0)</f>
        <v>2912</v>
      </c>
      <c r="R1622" s="5">
        <f>_xlfn.XLOOKUP(CustomerCombined[[#This Row],[ID]], Table4[ID], Table4[Deals], "Not Found", 0)</f>
        <v>1</v>
      </c>
      <c r="S1622" s="5">
        <f>_xlfn.XLOOKUP(CustomerCombined[[#This Row],[ID]], Table4[ID], Table4[Website], "Not Found", 0)</f>
        <v>4</v>
      </c>
      <c r="T1622" s="5">
        <f>_xlfn.XLOOKUP(CustomerCombined[[#This Row],[ID]], Table4[ID], Table4[Catalog], "Not Found", 0)</f>
        <v>10</v>
      </c>
      <c r="U1622" s="5">
        <f>_xlfn.XLOOKUP(CustomerCombined[[#This Row],[ID]], Table4[ID], Table4[Store], "Not Found", 0)</f>
        <v>11</v>
      </c>
      <c r="V1622" s="5">
        <f>_xlfn.XLOOKUP(CustomerCombined[[#This Row],[ID]], Table4[ID], Table4[Visits], "Not Found", 0)</f>
        <v>2</v>
      </c>
      <c r="W1622" s="8">
        <f>_xlfn.XLOOKUP(CustomerCombined[[#This Row],[ID]], Table2[ID],Table2[Complaint], "Not Found", 0 )</f>
        <v>0</v>
      </c>
      <c r="X1622" s="8">
        <f>_xlfn.XLOOKUP(CustomerCombined[[#This Row],[ID]], Table2[ID],Table2[Pilot], "Not Found", 0 )</f>
        <v>0</v>
      </c>
      <c r="Y1622" s="8">
        <f>_xlfn.XLOOKUP(CustomerCombined[[#This Row],[ID]], Table2[ID],Table2[MC1], "Not Found", 0 )</f>
        <v>0</v>
      </c>
      <c r="Z1622" s="8">
        <f>_xlfn.XLOOKUP(CustomerCombined[[#This Row],[ID]], Table2[ID],Table2[MC2], "Not Found", 0 )</f>
        <v>0</v>
      </c>
      <c r="AA1622" s="8">
        <f>_xlfn.XLOOKUP(CustomerCombined[[#This Row],[ID]], Table2[ID],Table2[MC3], "Not Found", 0 )</f>
        <v>0</v>
      </c>
      <c r="AB1622" s="8">
        <f>_xlfn.XLOOKUP(CustomerCombined[[#This Row],[ID]], Table2[ID],Table2[MC4], "Not Found", 0 )</f>
        <v>0</v>
      </c>
      <c r="AC1622" s="8">
        <f>_xlfn.XLOOKUP(CustomerCombined[[#This Row],[ID]], Table2[ID],Table2[MC5], "Not Found", 0 )</f>
        <v>0</v>
      </c>
    </row>
    <row r="1623" spans="1:29" x14ac:dyDescent="0.3">
      <c r="A1623" s="6">
        <v>1680</v>
      </c>
      <c r="B1623" s="6">
        <v>178468</v>
      </c>
      <c r="C1623" s="6">
        <v>0</v>
      </c>
      <c r="D1623" s="6">
        <v>0</v>
      </c>
      <c r="E1623" s="6">
        <v>60</v>
      </c>
      <c r="F1623" s="5" t="s">
        <v>8</v>
      </c>
      <c r="G1623" s="5" t="s">
        <v>11</v>
      </c>
      <c r="H1623" s="3" t="s">
        <v>73</v>
      </c>
      <c r="I1623" s="5" t="s">
        <v>436</v>
      </c>
      <c r="J1623" s="5">
        <f>_xlfn.XLOOKUP(CustomerCombined[[#This Row],[ID]], Table4[ID], Table4[Recency], "Not Found", 0)</f>
        <v>29</v>
      </c>
      <c r="K1623" s="5">
        <f>_xlfn.XLOOKUP(CustomerCombined[[#This Row],[ID]], Table4[ID], Table4[Teas], "Not Found", 0)</f>
        <v>987</v>
      </c>
      <c r="L1623" s="5">
        <f>_xlfn.XLOOKUP(CustomerCombined[[#This Row],[ID]], Table4[ID], Table4[Fruits], "Not Found", 0)</f>
        <v>50</v>
      </c>
      <c r="M1623" s="5">
        <f>_xlfn.XLOOKUP(CustomerCombined[[#This Row],[ID]], Table4[ID], Table4[Meats], "Not Found", 0)</f>
        <v>882</v>
      </c>
      <c r="N1623" s="5">
        <f>_xlfn.XLOOKUP(CustomerCombined[[#This Row],[ID]], Table4[ID], Table4[Seafood], "Not Found", 0)</f>
        <v>237</v>
      </c>
      <c r="O1623" s="5">
        <f>_xlfn.XLOOKUP(CustomerCombined[[#This Row],[ID]], Table4[ID], Table4[Sweets], "Not Found", 0)</f>
        <v>50</v>
      </c>
      <c r="P1623" s="5">
        <f>_xlfn.XLOOKUP(CustomerCombined[[#This Row],[ID]], Table4[ID], Table4[Premium], "Not Found", 0)</f>
        <v>77</v>
      </c>
      <c r="Q1623" s="5">
        <f>_xlfn.XLOOKUP(CustomerCombined[[#This Row],[ID]], Table4[ID], Table4[Regular], "Not Found", 0)</f>
        <v>2129</v>
      </c>
      <c r="R1623" s="5">
        <f>_xlfn.XLOOKUP(CustomerCombined[[#This Row],[ID]], Table4[ID], Table4[Deals], "Not Found", 0)</f>
        <v>1</v>
      </c>
      <c r="S1623" s="5">
        <f>_xlfn.XLOOKUP(CustomerCombined[[#This Row],[ID]], Table4[ID], Table4[Website], "Not Found", 0)</f>
        <v>10</v>
      </c>
      <c r="T1623" s="5">
        <f>_xlfn.XLOOKUP(CustomerCombined[[#This Row],[ID]], Table4[ID], Table4[Catalog], "Not Found", 0)</f>
        <v>7</v>
      </c>
      <c r="U1623" s="5">
        <f>_xlfn.XLOOKUP(CustomerCombined[[#This Row],[ID]], Table4[ID], Table4[Store], "Not Found", 0)</f>
        <v>10</v>
      </c>
      <c r="V1623" s="5">
        <f>_xlfn.XLOOKUP(CustomerCombined[[#This Row],[ID]], Table4[ID], Table4[Visits], "Not Found", 0)</f>
        <v>4</v>
      </c>
      <c r="W1623" s="8">
        <f>_xlfn.XLOOKUP(CustomerCombined[[#This Row],[ID]], Table2[ID],Table2[Complaint], "Not Found", 0 )</f>
        <v>0</v>
      </c>
      <c r="X1623" s="8">
        <f>_xlfn.XLOOKUP(CustomerCombined[[#This Row],[ID]], Table2[ID],Table2[Pilot], "Not Found", 0 )</f>
        <v>0</v>
      </c>
      <c r="Y1623" s="8">
        <f>_xlfn.XLOOKUP(CustomerCombined[[#This Row],[ID]], Table2[ID],Table2[MC1], "Not Found", 0 )</f>
        <v>1</v>
      </c>
      <c r="Z1623" s="8">
        <f>_xlfn.XLOOKUP(CustomerCombined[[#This Row],[ID]], Table2[ID],Table2[MC2], "Not Found", 0 )</f>
        <v>0</v>
      </c>
      <c r="AA1623" s="8">
        <f>_xlfn.XLOOKUP(CustomerCombined[[#This Row],[ID]], Table2[ID],Table2[MC3], "Not Found", 0 )</f>
        <v>0</v>
      </c>
      <c r="AB1623" s="8">
        <f>_xlfn.XLOOKUP(CustomerCombined[[#This Row],[ID]], Table2[ID],Table2[MC4], "Not Found", 0 )</f>
        <v>0</v>
      </c>
      <c r="AC1623" s="8">
        <f>_xlfn.XLOOKUP(CustomerCombined[[#This Row],[ID]], Table2[ID],Table2[MC5], "Not Found", 0 )</f>
        <v>0</v>
      </c>
    </row>
    <row r="1624" spans="1:29" x14ac:dyDescent="0.3">
      <c r="A1624" s="6">
        <v>2028</v>
      </c>
      <c r="B1624" s="6">
        <v>177037</v>
      </c>
      <c r="C1624" s="6">
        <v>0</v>
      </c>
      <c r="D1624" s="6">
        <v>1</v>
      </c>
      <c r="E1624" s="6">
        <v>60</v>
      </c>
      <c r="F1624" s="5" t="s">
        <v>6</v>
      </c>
      <c r="G1624" s="5" t="s">
        <v>13</v>
      </c>
      <c r="H1624" s="3" t="s">
        <v>169</v>
      </c>
      <c r="I1624" s="5" t="s">
        <v>436</v>
      </c>
      <c r="J1624" s="5">
        <f>_xlfn.XLOOKUP(CustomerCombined[[#This Row],[ID]], Table4[ID], Table4[Recency], "Not Found", 0)</f>
        <v>3</v>
      </c>
      <c r="K1624" s="5">
        <f>_xlfn.XLOOKUP(CustomerCombined[[#This Row],[ID]], Table4[ID], Table4[Teas], "Not Found", 0)</f>
        <v>1064</v>
      </c>
      <c r="L1624" s="5">
        <f>_xlfn.XLOOKUP(CustomerCombined[[#This Row],[ID]], Table4[ID], Table4[Fruits], "Not Found", 0)</f>
        <v>221</v>
      </c>
      <c r="M1624" s="5">
        <f>_xlfn.XLOOKUP(CustomerCombined[[#This Row],[ID]], Table4[ID], Table4[Meats], "Not Found", 0)</f>
        <v>765</v>
      </c>
      <c r="N1624" s="5">
        <f>_xlfn.XLOOKUP(CustomerCombined[[#This Row],[ID]], Table4[ID], Table4[Seafood], "Not Found", 0)</f>
        <v>386</v>
      </c>
      <c r="O1624" s="5">
        <f>_xlfn.XLOOKUP(CustomerCombined[[#This Row],[ID]], Table4[ID], Table4[Sweets], "Not Found", 0)</f>
        <v>122</v>
      </c>
      <c r="P1624" s="5">
        <f>_xlfn.XLOOKUP(CustomerCombined[[#This Row],[ID]], Table4[ID], Table4[Premium], "Not Found", 0)</f>
        <v>23</v>
      </c>
      <c r="Q1624" s="5">
        <f>_xlfn.XLOOKUP(CustomerCombined[[#This Row],[ID]], Table4[ID], Table4[Regular], "Not Found", 0)</f>
        <v>2535</v>
      </c>
      <c r="R1624" s="5">
        <f>_xlfn.XLOOKUP(CustomerCombined[[#This Row],[ID]], Table4[ID], Table4[Deals], "Not Found", 0)</f>
        <v>1</v>
      </c>
      <c r="S1624" s="5">
        <f>_xlfn.XLOOKUP(CustomerCombined[[#This Row],[ID]], Table4[ID], Table4[Website], "Not Found", 0)</f>
        <v>7</v>
      </c>
      <c r="T1624" s="5">
        <f>_xlfn.XLOOKUP(CustomerCombined[[#This Row],[ID]], Table4[ID], Table4[Catalog], "Not Found", 0)</f>
        <v>7</v>
      </c>
      <c r="U1624" s="5">
        <f>_xlfn.XLOOKUP(CustomerCombined[[#This Row],[ID]], Table4[ID], Table4[Store], "Not Found", 0)</f>
        <v>12</v>
      </c>
      <c r="V1624" s="5">
        <f>_xlfn.XLOOKUP(CustomerCombined[[#This Row],[ID]], Table4[ID], Table4[Visits], "Not Found", 0)</f>
        <v>3</v>
      </c>
      <c r="W1624" s="8">
        <f>_xlfn.XLOOKUP(CustomerCombined[[#This Row],[ID]], Table2[ID],Table2[Complaint], "Not Found", 0 )</f>
        <v>0</v>
      </c>
      <c r="X1624" s="8">
        <f>_xlfn.XLOOKUP(CustomerCombined[[#This Row],[ID]], Table2[ID],Table2[Pilot], "Not Found", 0 )</f>
        <v>0</v>
      </c>
      <c r="Y1624" s="8">
        <f>_xlfn.XLOOKUP(CustomerCombined[[#This Row],[ID]], Table2[ID],Table2[MC1], "Not Found", 0 )</f>
        <v>0</v>
      </c>
      <c r="Z1624" s="8">
        <f>_xlfn.XLOOKUP(CustomerCombined[[#This Row],[ID]], Table2[ID],Table2[MC2], "Not Found", 0 )</f>
        <v>0</v>
      </c>
      <c r="AA1624" s="8">
        <f>_xlfn.XLOOKUP(CustomerCombined[[#This Row],[ID]], Table2[ID],Table2[MC3], "Not Found", 0 )</f>
        <v>0</v>
      </c>
      <c r="AB1624" s="8">
        <f>_xlfn.XLOOKUP(CustomerCombined[[#This Row],[ID]], Table2[ID],Table2[MC4], "Not Found", 0 )</f>
        <v>0</v>
      </c>
      <c r="AC1624" s="8">
        <f>_xlfn.XLOOKUP(CustomerCombined[[#This Row],[ID]], Table2[ID],Table2[MC5], "Not Found", 0 )</f>
        <v>0</v>
      </c>
    </row>
    <row r="1625" spans="1:29" x14ac:dyDescent="0.3">
      <c r="A1625" s="6">
        <v>2086</v>
      </c>
      <c r="B1625" s="6">
        <v>176045</v>
      </c>
      <c r="C1625" s="6">
        <v>0</v>
      </c>
      <c r="D1625" s="6">
        <v>0</v>
      </c>
      <c r="E1625" s="6">
        <v>60</v>
      </c>
      <c r="F1625" s="5" t="s">
        <v>7</v>
      </c>
      <c r="G1625" s="5" t="s">
        <v>13</v>
      </c>
      <c r="H1625" s="3" t="s">
        <v>149</v>
      </c>
      <c r="I1625" s="5" t="s">
        <v>439</v>
      </c>
      <c r="J1625" s="5">
        <f>_xlfn.XLOOKUP(CustomerCombined[[#This Row],[ID]], Table4[ID], Table4[Recency], "Not Found", 0)</f>
        <v>78</v>
      </c>
      <c r="K1625" s="5">
        <f>_xlfn.XLOOKUP(CustomerCombined[[#This Row],[ID]], Table4[ID], Table4[Teas], "Not Found", 0)</f>
        <v>1759</v>
      </c>
      <c r="L1625" s="5">
        <f>_xlfn.XLOOKUP(CustomerCombined[[#This Row],[ID]], Table4[ID], Table4[Fruits], "Not Found", 0)</f>
        <v>123</v>
      </c>
      <c r="M1625" s="5">
        <f>_xlfn.XLOOKUP(CustomerCombined[[#This Row],[ID]], Table4[ID], Table4[Meats], "Not Found", 0)</f>
        <v>926</v>
      </c>
      <c r="N1625" s="5">
        <f>_xlfn.XLOOKUP(CustomerCombined[[#This Row],[ID]], Table4[ID], Table4[Seafood], "Not Found", 0)</f>
        <v>39</v>
      </c>
      <c r="O1625" s="5">
        <f>_xlfn.XLOOKUP(CustomerCombined[[#This Row],[ID]], Table4[ID], Table4[Sweets], "Not Found", 0)</f>
        <v>215</v>
      </c>
      <c r="P1625" s="5">
        <f>_xlfn.XLOOKUP(CustomerCombined[[#This Row],[ID]], Table4[ID], Table4[Premium], "Not Found", 0)</f>
        <v>0</v>
      </c>
      <c r="Q1625" s="5">
        <f>_xlfn.XLOOKUP(CustomerCombined[[#This Row],[ID]], Table4[ID], Table4[Regular], "Not Found", 0)</f>
        <v>3063</v>
      </c>
      <c r="R1625" s="5">
        <f>_xlfn.XLOOKUP(CustomerCombined[[#This Row],[ID]], Table4[ID], Table4[Deals], "Not Found", 0)</f>
        <v>1</v>
      </c>
      <c r="S1625" s="5">
        <f>_xlfn.XLOOKUP(CustomerCombined[[#This Row],[ID]], Table4[ID], Table4[Website], "Not Found", 0)</f>
        <v>4</v>
      </c>
      <c r="T1625" s="5">
        <f>_xlfn.XLOOKUP(CustomerCombined[[#This Row],[ID]], Table4[ID], Table4[Catalog], "Not Found", 0)</f>
        <v>5</v>
      </c>
      <c r="U1625" s="5">
        <f>_xlfn.XLOOKUP(CustomerCombined[[#This Row],[ID]], Table4[ID], Table4[Store], "Not Found", 0)</f>
        <v>11</v>
      </c>
      <c r="V1625" s="5">
        <f>_xlfn.XLOOKUP(CustomerCombined[[#This Row],[ID]], Table4[ID], Table4[Visits], "Not Found", 0)</f>
        <v>2</v>
      </c>
      <c r="W1625" s="8">
        <f>_xlfn.XLOOKUP(CustomerCombined[[#This Row],[ID]], Table2[ID],Table2[Complaint], "Not Found", 0 )</f>
        <v>0</v>
      </c>
      <c r="X1625" s="8">
        <f>_xlfn.XLOOKUP(CustomerCombined[[#This Row],[ID]], Table2[ID],Table2[Pilot], "Not Found", 0 )</f>
        <v>0</v>
      </c>
      <c r="Y1625" s="8">
        <f>_xlfn.XLOOKUP(CustomerCombined[[#This Row],[ID]], Table2[ID],Table2[MC1], "Not Found", 0 )</f>
        <v>1</v>
      </c>
      <c r="Z1625" s="8">
        <f>_xlfn.XLOOKUP(CustomerCombined[[#This Row],[ID]], Table2[ID],Table2[MC2], "Not Found", 0 )</f>
        <v>0</v>
      </c>
      <c r="AA1625" s="8">
        <f>_xlfn.XLOOKUP(CustomerCombined[[#This Row],[ID]], Table2[ID],Table2[MC3], "Not Found", 0 )</f>
        <v>0</v>
      </c>
      <c r="AB1625" s="8">
        <f>_xlfn.XLOOKUP(CustomerCombined[[#This Row],[ID]], Table2[ID],Table2[MC4], "Not Found", 0 )</f>
        <v>0</v>
      </c>
      <c r="AC1625" s="8">
        <f>_xlfn.XLOOKUP(CustomerCombined[[#This Row],[ID]], Table2[ID],Table2[MC5], "Not Found", 0 )</f>
        <v>0</v>
      </c>
    </row>
    <row r="1626" spans="1:29" x14ac:dyDescent="0.3">
      <c r="A1626" s="6">
        <v>1897</v>
      </c>
      <c r="B1626" s="6">
        <v>173113</v>
      </c>
      <c r="C1626" s="6">
        <v>0</v>
      </c>
      <c r="D1626" s="6">
        <v>0</v>
      </c>
      <c r="E1626" s="6">
        <v>60</v>
      </c>
      <c r="F1626" s="5" t="s">
        <v>8</v>
      </c>
      <c r="G1626" s="5" t="s">
        <v>12</v>
      </c>
      <c r="H1626" s="3">
        <v>43836</v>
      </c>
      <c r="I1626" s="5" t="s">
        <v>437</v>
      </c>
      <c r="J1626" s="5">
        <f>_xlfn.XLOOKUP(CustomerCombined[[#This Row],[ID]], Table4[ID], Table4[Recency], "Not Found", 0)</f>
        <v>86</v>
      </c>
      <c r="K1626" s="5">
        <f>_xlfn.XLOOKUP(CustomerCombined[[#This Row],[ID]], Table4[ID], Table4[Teas], "Not Found", 0)</f>
        <v>1754</v>
      </c>
      <c r="L1626" s="5">
        <f>_xlfn.XLOOKUP(CustomerCombined[[#This Row],[ID]], Table4[ID], Table4[Fruits], "Not Found", 0)</f>
        <v>45</v>
      </c>
      <c r="M1626" s="5">
        <f>_xlfn.XLOOKUP(CustomerCombined[[#This Row],[ID]], Table4[ID], Table4[Meats], "Not Found", 0)</f>
        <v>365</v>
      </c>
      <c r="N1626" s="5">
        <f>_xlfn.XLOOKUP(CustomerCombined[[#This Row],[ID]], Table4[ID], Table4[Seafood], "Not Found", 0)</f>
        <v>118</v>
      </c>
      <c r="O1626" s="5">
        <f>_xlfn.XLOOKUP(CustomerCombined[[#This Row],[ID]], Table4[ID], Table4[Sweets], "Not Found", 0)</f>
        <v>21</v>
      </c>
      <c r="P1626" s="5">
        <f>_xlfn.XLOOKUP(CustomerCombined[[#This Row],[ID]], Table4[ID], Table4[Premium], "Not Found", 0)</f>
        <v>66</v>
      </c>
      <c r="Q1626" s="5">
        <f>_xlfn.XLOOKUP(CustomerCombined[[#This Row],[ID]], Table4[ID], Table4[Regular], "Not Found", 0)</f>
        <v>2238</v>
      </c>
      <c r="R1626" s="5">
        <f>_xlfn.XLOOKUP(CustomerCombined[[#This Row],[ID]], Table4[ID], Table4[Deals], "Not Found", 0)</f>
        <v>1</v>
      </c>
      <c r="S1626" s="5">
        <f>_xlfn.XLOOKUP(CustomerCombined[[#This Row],[ID]], Table4[ID], Table4[Website], "Not Found", 0)</f>
        <v>3</v>
      </c>
      <c r="T1626" s="5">
        <f>_xlfn.XLOOKUP(CustomerCombined[[#This Row],[ID]], Table4[ID], Table4[Catalog], "Not Found", 0)</f>
        <v>4</v>
      </c>
      <c r="U1626" s="5">
        <f>_xlfn.XLOOKUP(CustomerCombined[[#This Row],[ID]], Table4[ID], Table4[Store], "Not Found", 0)</f>
        <v>7</v>
      </c>
      <c r="V1626" s="5">
        <f>_xlfn.XLOOKUP(CustomerCombined[[#This Row],[ID]], Table4[ID], Table4[Visits], "Not Found", 0)</f>
        <v>2</v>
      </c>
      <c r="W1626" s="8">
        <f>_xlfn.XLOOKUP(CustomerCombined[[#This Row],[ID]], Table2[ID],Table2[Complaint], "Not Found", 0 )</f>
        <v>0</v>
      </c>
      <c r="X1626" s="8">
        <f>_xlfn.XLOOKUP(CustomerCombined[[#This Row],[ID]], Table2[ID],Table2[Pilot], "Not Found", 0 )</f>
        <v>0</v>
      </c>
      <c r="Y1626" s="8">
        <f>_xlfn.XLOOKUP(CustomerCombined[[#This Row],[ID]], Table2[ID],Table2[MC1], "Not Found", 0 )</f>
        <v>0</v>
      </c>
      <c r="Z1626" s="8">
        <f>_xlfn.XLOOKUP(CustomerCombined[[#This Row],[ID]], Table2[ID],Table2[MC2], "Not Found", 0 )</f>
        <v>0</v>
      </c>
      <c r="AA1626" s="8">
        <f>_xlfn.XLOOKUP(CustomerCombined[[#This Row],[ID]], Table2[ID],Table2[MC3], "Not Found", 0 )</f>
        <v>0</v>
      </c>
      <c r="AB1626" s="8">
        <f>_xlfn.XLOOKUP(CustomerCombined[[#This Row],[ID]], Table2[ID],Table2[MC4], "Not Found", 0 )</f>
        <v>0</v>
      </c>
      <c r="AC1626" s="8">
        <f>_xlfn.XLOOKUP(CustomerCombined[[#This Row],[ID]], Table2[ID],Table2[MC5], "Not Found", 0 )</f>
        <v>0</v>
      </c>
    </row>
    <row r="1627" spans="1:29" x14ac:dyDescent="0.3">
      <c r="A1627" s="6">
        <v>1610</v>
      </c>
      <c r="B1627" s="6">
        <v>170971</v>
      </c>
      <c r="C1627" s="6">
        <v>0</v>
      </c>
      <c r="D1627" s="6">
        <v>1</v>
      </c>
      <c r="E1627" s="6">
        <v>60</v>
      </c>
      <c r="F1627" s="5" t="s">
        <v>8</v>
      </c>
      <c r="G1627" s="5" t="s">
        <v>11</v>
      </c>
      <c r="H1627" s="3" t="s">
        <v>390</v>
      </c>
      <c r="I1627" s="5" t="s">
        <v>438</v>
      </c>
      <c r="J1627" s="5">
        <f>_xlfn.XLOOKUP(CustomerCombined[[#This Row],[ID]], Table4[ID], Table4[Recency], "Not Found", 0)</f>
        <v>28</v>
      </c>
      <c r="K1627" s="5">
        <f>_xlfn.XLOOKUP(CustomerCombined[[#This Row],[ID]], Table4[ID], Table4[Teas], "Not Found", 0)</f>
        <v>2411</v>
      </c>
      <c r="L1627" s="5">
        <f>_xlfn.XLOOKUP(CustomerCombined[[#This Row],[ID]], Table4[ID], Table4[Fruits], "Not Found", 0)</f>
        <v>41</v>
      </c>
      <c r="M1627" s="5">
        <f>_xlfn.XLOOKUP(CustomerCombined[[#This Row],[ID]], Table4[ID], Table4[Meats], "Not Found", 0)</f>
        <v>1378</v>
      </c>
      <c r="N1627" s="5">
        <f>_xlfn.XLOOKUP(CustomerCombined[[#This Row],[ID]], Table4[ID], Table4[Seafood], "Not Found", 0)</f>
        <v>224</v>
      </c>
      <c r="O1627" s="5">
        <f>_xlfn.XLOOKUP(CustomerCombined[[#This Row],[ID]], Table4[ID], Table4[Sweets], "Not Found", 0)</f>
        <v>301</v>
      </c>
      <c r="P1627" s="5">
        <f>_xlfn.XLOOKUP(CustomerCombined[[#This Row],[ID]], Table4[ID], Table4[Premium], "Not Found", 0)</f>
        <v>41</v>
      </c>
      <c r="Q1627" s="5">
        <f>_xlfn.XLOOKUP(CustomerCombined[[#This Row],[ID]], Table4[ID], Table4[Regular], "Not Found", 0)</f>
        <v>4315</v>
      </c>
      <c r="R1627" s="5">
        <f>_xlfn.XLOOKUP(CustomerCombined[[#This Row],[ID]], Table4[ID], Table4[Deals], "Not Found", 0)</f>
        <v>7</v>
      </c>
      <c r="S1627" s="5">
        <f>_xlfn.XLOOKUP(CustomerCombined[[#This Row],[ID]], Table4[ID], Table4[Website], "Not Found", 0)</f>
        <v>11</v>
      </c>
      <c r="T1627" s="5">
        <f>_xlfn.XLOOKUP(CustomerCombined[[#This Row],[ID]], Table4[ID], Table4[Catalog], "Not Found", 0)</f>
        <v>11</v>
      </c>
      <c r="U1627" s="5">
        <f>_xlfn.XLOOKUP(CustomerCombined[[#This Row],[ID]], Table4[ID], Table4[Store], "Not Found", 0)</f>
        <v>5</v>
      </c>
      <c r="V1627" s="5">
        <f>_xlfn.XLOOKUP(CustomerCombined[[#This Row],[ID]], Table4[ID], Table4[Visits], "Not Found", 0)</f>
        <v>7</v>
      </c>
      <c r="W1627" s="8">
        <f>_xlfn.XLOOKUP(CustomerCombined[[#This Row],[ID]], Table2[ID],Table2[Complaint], "Not Found", 0 )</f>
        <v>0</v>
      </c>
      <c r="X1627" s="8">
        <f>_xlfn.XLOOKUP(CustomerCombined[[#This Row],[ID]], Table2[ID],Table2[Pilot], "Not Found", 0 )</f>
        <v>1</v>
      </c>
      <c r="Y1627" s="8">
        <f>_xlfn.XLOOKUP(CustomerCombined[[#This Row],[ID]], Table2[ID],Table2[MC1], "Not Found", 0 )</f>
        <v>0</v>
      </c>
      <c r="Z1627" s="8">
        <f>_xlfn.XLOOKUP(CustomerCombined[[#This Row],[ID]], Table2[ID],Table2[MC2], "Not Found", 0 )</f>
        <v>0</v>
      </c>
      <c r="AA1627" s="8">
        <f>_xlfn.XLOOKUP(CustomerCombined[[#This Row],[ID]], Table2[ID],Table2[MC3], "Not Found", 0 )</f>
        <v>0</v>
      </c>
      <c r="AB1627" s="8">
        <f>_xlfn.XLOOKUP(CustomerCombined[[#This Row],[ID]], Table2[ID],Table2[MC4], "Not Found", 0 )</f>
        <v>0</v>
      </c>
      <c r="AC1627" s="8">
        <f>_xlfn.XLOOKUP(CustomerCombined[[#This Row],[ID]], Table2[ID],Table2[MC5], "Not Found", 0 )</f>
        <v>0</v>
      </c>
    </row>
    <row r="1628" spans="1:29" x14ac:dyDescent="0.3">
      <c r="A1628" s="6">
        <v>3153</v>
      </c>
      <c r="B1628" s="6">
        <v>167716</v>
      </c>
      <c r="C1628" s="6">
        <v>0</v>
      </c>
      <c r="D1628" s="6">
        <v>1</v>
      </c>
      <c r="E1628" s="6">
        <v>60</v>
      </c>
      <c r="F1628" s="5" t="s">
        <v>6</v>
      </c>
      <c r="G1628" s="5" t="s">
        <v>11</v>
      </c>
      <c r="H1628" s="3" t="s">
        <v>330</v>
      </c>
      <c r="I1628" s="5" t="s">
        <v>435</v>
      </c>
      <c r="J1628" s="5">
        <f>_xlfn.XLOOKUP(CustomerCombined[[#This Row],[ID]], Table4[ID], Table4[Recency], "Not Found", 0)</f>
        <v>8</v>
      </c>
      <c r="K1628" s="5">
        <f>_xlfn.XLOOKUP(CustomerCombined[[#This Row],[ID]], Table4[ID], Table4[Teas], "Not Found", 0)</f>
        <v>1313</v>
      </c>
      <c r="L1628" s="5">
        <f>_xlfn.XLOOKUP(CustomerCombined[[#This Row],[ID]], Table4[ID], Table4[Fruits], "Not Found", 0)</f>
        <v>352</v>
      </c>
      <c r="M1628" s="5">
        <f>_xlfn.XLOOKUP(CustomerCombined[[#This Row],[ID]], Table4[ID], Table4[Meats], "Not Found", 0)</f>
        <v>537</v>
      </c>
      <c r="N1628" s="5">
        <f>_xlfn.XLOOKUP(CustomerCombined[[#This Row],[ID]], Table4[ID], Table4[Seafood], "Not Found", 0)</f>
        <v>154</v>
      </c>
      <c r="O1628" s="5">
        <f>_xlfn.XLOOKUP(CustomerCombined[[#This Row],[ID]], Table4[ID], Table4[Sweets], "Not Found", 0)</f>
        <v>22</v>
      </c>
      <c r="P1628" s="5">
        <f>_xlfn.XLOOKUP(CustomerCombined[[#This Row],[ID]], Table4[ID], Table4[Premium], "Not Found", 0)</f>
        <v>139</v>
      </c>
      <c r="Q1628" s="5">
        <f>_xlfn.XLOOKUP(CustomerCombined[[#This Row],[ID]], Table4[ID], Table4[Regular], "Not Found", 0)</f>
        <v>2239</v>
      </c>
      <c r="R1628" s="5">
        <f>_xlfn.XLOOKUP(CustomerCombined[[#This Row],[ID]], Table4[ID], Table4[Deals], "Not Found", 0)</f>
        <v>4</v>
      </c>
      <c r="S1628" s="5">
        <f>_xlfn.XLOOKUP(CustomerCombined[[#This Row],[ID]], Table4[ID], Table4[Website], "Not Found", 0)</f>
        <v>7</v>
      </c>
      <c r="T1628" s="5">
        <f>_xlfn.XLOOKUP(CustomerCombined[[#This Row],[ID]], Table4[ID], Table4[Catalog], "Not Found", 0)</f>
        <v>4</v>
      </c>
      <c r="U1628" s="5">
        <f>_xlfn.XLOOKUP(CustomerCombined[[#This Row],[ID]], Table4[ID], Table4[Store], "Not Found", 0)</f>
        <v>13</v>
      </c>
      <c r="V1628" s="5">
        <f>_xlfn.XLOOKUP(CustomerCombined[[#This Row],[ID]], Table4[ID], Table4[Visits], "Not Found", 0)</f>
        <v>5</v>
      </c>
      <c r="W1628" s="8">
        <f>_xlfn.XLOOKUP(CustomerCombined[[#This Row],[ID]], Table2[ID],Table2[Complaint], "Not Found", 0 )</f>
        <v>0</v>
      </c>
      <c r="X1628" s="8">
        <f>_xlfn.XLOOKUP(CustomerCombined[[#This Row],[ID]], Table2[ID],Table2[Pilot], "Not Found", 0 )</f>
        <v>0</v>
      </c>
      <c r="Y1628" s="8">
        <f>_xlfn.XLOOKUP(CustomerCombined[[#This Row],[ID]], Table2[ID],Table2[MC1], "Not Found", 0 )</f>
        <v>0</v>
      </c>
      <c r="Z1628" s="8">
        <f>_xlfn.XLOOKUP(CustomerCombined[[#This Row],[ID]], Table2[ID],Table2[MC2], "Not Found", 0 )</f>
        <v>0</v>
      </c>
      <c r="AA1628" s="8">
        <f>_xlfn.XLOOKUP(CustomerCombined[[#This Row],[ID]], Table2[ID],Table2[MC3], "Not Found", 0 )</f>
        <v>0</v>
      </c>
      <c r="AB1628" s="8">
        <f>_xlfn.XLOOKUP(CustomerCombined[[#This Row],[ID]], Table2[ID],Table2[MC4], "Not Found", 0 )</f>
        <v>1</v>
      </c>
      <c r="AC1628" s="8">
        <f>_xlfn.XLOOKUP(CustomerCombined[[#This Row],[ID]], Table2[ID],Table2[MC5], "Not Found", 0 )</f>
        <v>0</v>
      </c>
    </row>
    <row r="1629" spans="1:29" x14ac:dyDescent="0.3">
      <c r="A1629" s="6">
        <v>2290</v>
      </c>
      <c r="B1629" s="6">
        <v>165695</v>
      </c>
      <c r="C1629" s="6">
        <v>0</v>
      </c>
      <c r="D1629" s="6">
        <v>1</v>
      </c>
      <c r="E1629" s="6">
        <v>60</v>
      </c>
      <c r="F1629" s="5" t="s">
        <v>6</v>
      </c>
      <c r="G1629" s="5" t="s">
        <v>13</v>
      </c>
      <c r="H1629" s="3">
        <v>44019</v>
      </c>
      <c r="I1629" s="5" t="s">
        <v>439</v>
      </c>
      <c r="J1629" s="5">
        <f>_xlfn.XLOOKUP(CustomerCombined[[#This Row],[ID]], Table4[ID], Table4[Recency], "Not Found", 0)</f>
        <v>50</v>
      </c>
      <c r="K1629" s="5">
        <f>_xlfn.XLOOKUP(CustomerCombined[[#This Row],[ID]], Table4[ID], Table4[Teas], "Not Found", 0)</f>
        <v>936</v>
      </c>
      <c r="L1629" s="5">
        <f>_xlfn.XLOOKUP(CustomerCombined[[#This Row],[ID]], Table4[ID], Table4[Fruits], "Not Found", 0)</f>
        <v>81</v>
      </c>
      <c r="M1629" s="5">
        <f>_xlfn.XLOOKUP(CustomerCombined[[#This Row],[ID]], Table4[ID], Table4[Meats], "Not Found", 0)</f>
        <v>477</v>
      </c>
      <c r="N1629" s="5">
        <f>_xlfn.XLOOKUP(CustomerCombined[[#This Row],[ID]], Table4[ID], Table4[Seafood], "Not Found", 0)</f>
        <v>0</v>
      </c>
      <c r="O1629" s="5">
        <f>_xlfn.XLOOKUP(CustomerCombined[[#This Row],[ID]], Table4[ID], Table4[Sweets], "Not Found", 0)</f>
        <v>146</v>
      </c>
      <c r="P1629" s="5">
        <f>_xlfn.XLOOKUP(CustomerCombined[[#This Row],[ID]], Table4[ID], Table4[Premium], "Not Found", 0)</f>
        <v>15</v>
      </c>
      <c r="Q1629" s="5">
        <f>_xlfn.XLOOKUP(CustomerCombined[[#This Row],[ID]], Table4[ID], Table4[Regular], "Not Found", 0)</f>
        <v>1624</v>
      </c>
      <c r="R1629" s="5">
        <f>_xlfn.XLOOKUP(CustomerCombined[[#This Row],[ID]], Table4[ID], Table4[Deals], "Not Found", 0)</f>
        <v>2</v>
      </c>
      <c r="S1629" s="5">
        <f>_xlfn.XLOOKUP(CustomerCombined[[#This Row],[ID]], Table4[ID], Table4[Website], "Not Found", 0)</f>
        <v>5</v>
      </c>
      <c r="T1629" s="5">
        <f>_xlfn.XLOOKUP(CustomerCombined[[#This Row],[ID]], Table4[ID], Table4[Catalog], "Not Found", 0)</f>
        <v>4</v>
      </c>
      <c r="U1629" s="5">
        <f>_xlfn.XLOOKUP(CustomerCombined[[#This Row],[ID]], Table4[ID], Table4[Store], "Not Found", 0)</f>
        <v>10</v>
      </c>
      <c r="V1629" s="5">
        <f>_xlfn.XLOOKUP(CustomerCombined[[#This Row],[ID]], Table4[ID], Table4[Visits], "Not Found", 0)</f>
        <v>4</v>
      </c>
      <c r="W1629" s="8">
        <f>_xlfn.XLOOKUP(CustomerCombined[[#This Row],[ID]], Table2[ID],Table2[Complaint], "Not Found", 0 )</f>
        <v>0</v>
      </c>
      <c r="X1629" s="8">
        <f>_xlfn.XLOOKUP(CustomerCombined[[#This Row],[ID]], Table2[ID],Table2[Pilot], "Not Found", 0 )</f>
        <v>0</v>
      </c>
      <c r="Y1629" s="8">
        <f>_xlfn.XLOOKUP(CustomerCombined[[#This Row],[ID]], Table2[ID],Table2[MC1], "Not Found", 0 )</f>
        <v>0</v>
      </c>
      <c r="Z1629" s="8">
        <f>_xlfn.XLOOKUP(CustomerCombined[[#This Row],[ID]], Table2[ID],Table2[MC2], "Not Found", 0 )</f>
        <v>0</v>
      </c>
      <c r="AA1629" s="8">
        <f>_xlfn.XLOOKUP(CustomerCombined[[#This Row],[ID]], Table2[ID],Table2[MC3], "Not Found", 0 )</f>
        <v>0</v>
      </c>
      <c r="AB1629" s="8">
        <f>_xlfn.XLOOKUP(CustomerCombined[[#This Row],[ID]], Table2[ID],Table2[MC4], "Not Found", 0 )</f>
        <v>0</v>
      </c>
      <c r="AC1629" s="8">
        <f>_xlfn.XLOOKUP(CustomerCombined[[#This Row],[ID]], Table2[ID],Table2[MC5], "Not Found", 0 )</f>
        <v>0</v>
      </c>
    </row>
    <row r="1630" spans="1:29" x14ac:dyDescent="0.3">
      <c r="A1630" s="6">
        <v>1371</v>
      </c>
      <c r="B1630" s="6">
        <v>163381</v>
      </c>
      <c r="C1630" s="6">
        <v>0</v>
      </c>
      <c r="D1630" s="6">
        <v>1</v>
      </c>
      <c r="E1630" s="6">
        <v>60</v>
      </c>
      <c r="F1630" s="5" t="s">
        <v>8</v>
      </c>
      <c r="G1630" s="5" t="s">
        <v>11</v>
      </c>
      <c r="H1630" s="3">
        <v>43802</v>
      </c>
      <c r="I1630" s="5" t="s">
        <v>435</v>
      </c>
      <c r="J1630" s="5">
        <f>_xlfn.XLOOKUP(CustomerCombined[[#This Row],[ID]], Table4[ID], Table4[Recency], "Not Found", 0)</f>
        <v>78</v>
      </c>
      <c r="K1630" s="5">
        <f>_xlfn.XLOOKUP(CustomerCombined[[#This Row],[ID]], Table4[ID], Table4[Teas], "Not Found", 0)</f>
        <v>1472</v>
      </c>
      <c r="L1630" s="5">
        <f>_xlfn.XLOOKUP(CustomerCombined[[#This Row],[ID]], Table4[ID], Table4[Fruits], "Not Found", 0)</f>
        <v>129</v>
      </c>
      <c r="M1630" s="5">
        <f>_xlfn.XLOOKUP(CustomerCombined[[#This Row],[ID]], Table4[ID], Table4[Meats], "Not Found", 0)</f>
        <v>366</v>
      </c>
      <c r="N1630" s="5">
        <f>_xlfn.XLOOKUP(CustomerCombined[[#This Row],[ID]], Table4[ID], Table4[Seafood], "Not Found", 0)</f>
        <v>85</v>
      </c>
      <c r="O1630" s="5">
        <f>_xlfn.XLOOKUP(CustomerCombined[[#This Row],[ID]], Table4[ID], Table4[Sweets], "Not Found", 0)</f>
        <v>129</v>
      </c>
      <c r="P1630" s="5">
        <f>_xlfn.XLOOKUP(CustomerCombined[[#This Row],[ID]], Table4[ID], Table4[Premium], "Not Found", 0)</f>
        <v>410</v>
      </c>
      <c r="Q1630" s="5">
        <f>_xlfn.XLOOKUP(CustomerCombined[[#This Row],[ID]], Table4[ID], Table4[Regular], "Not Found", 0)</f>
        <v>1771</v>
      </c>
      <c r="R1630" s="5">
        <f>_xlfn.XLOOKUP(CustomerCombined[[#This Row],[ID]], Table4[ID], Table4[Deals], "Not Found", 0)</f>
        <v>4</v>
      </c>
      <c r="S1630" s="5">
        <f>_xlfn.XLOOKUP(CustomerCombined[[#This Row],[ID]], Table4[ID], Table4[Website], "Not Found", 0)</f>
        <v>4</v>
      </c>
      <c r="T1630" s="5">
        <f>_xlfn.XLOOKUP(CustomerCombined[[#This Row],[ID]], Table4[ID], Table4[Catalog], "Not Found", 0)</f>
        <v>5</v>
      </c>
      <c r="U1630" s="5">
        <f>_xlfn.XLOOKUP(CustomerCombined[[#This Row],[ID]], Table4[ID], Table4[Store], "Not Found", 0)</f>
        <v>13</v>
      </c>
      <c r="V1630" s="5">
        <f>_xlfn.XLOOKUP(CustomerCombined[[#This Row],[ID]], Table4[ID], Table4[Visits], "Not Found", 0)</f>
        <v>2</v>
      </c>
      <c r="W1630" s="8">
        <f>_xlfn.XLOOKUP(CustomerCombined[[#This Row],[ID]], Table2[ID],Table2[Complaint], "Not Found", 0 )</f>
        <v>0</v>
      </c>
      <c r="X1630" s="8">
        <f>_xlfn.XLOOKUP(CustomerCombined[[#This Row],[ID]], Table2[ID],Table2[Pilot], "Not Found", 0 )</f>
        <v>0</v>
      </c>
      <c r="Y1630" s="8">
        <f>_xlfn.XLOOKUP(CustomerCombined[[#This Row],[ID]], Table2[ID],Table2[MC1], "Not Found", 0 )</f>
        <v>0</v>
      </c>
      <c r="Z1630" s="8">
        <f>_xlfn.XLOOKUP(CustomerCombined[[#This Row],[ID]], Table2[ID],Table2[MC2], "Not Found", 0 )</f>
        <v>0</v>
      </c>
      <c r="AA1630" s="8">
        <f>_xlfn.XLOOKUP(CustomerCombined[[#This Row],[ID]], Table2[ID],Table2[MC3], "Not Found", 0 )</f>
        <v>0</v>
      </c>
      <c r="AB1630" s="8">
        <f>_xlfn.XLOOKUP(CustomerCombined[[#This Row],[ID]], Table2[ID],Table2[MC4], "Not Found", 0 )</f>
        <v>0</v>
      </c>
      <c r="AC1630" s="8">
        <f>_xlfn.XLOOKUP(CustomerCombined[[#This Row],[ID]], Table2[ID],Table2[MC5], "Not Found", 0 )</f>
        <v>0</v>
      </c>
    </row>
    <row r="1631" spans="1:29" x14ac:dyDescent="0.3">
      <c r="A1631" s="6">
        <v>1623</v>
      </c>
      <c r="B1631" s="6">
        <v>163381</v>
      </c>
      <c r="C1631" s="6">
        <v>0</v>
      </c>
      <c r="D1631" s="6">
        <v>1</v>
      </c>
      <c r="E1631" s="6">
        <v>60</v>
      </c>
      <c r="F1631" s="5" t="s">
        <v>8</v>
      </c>
      <c r="G1631" s="5" t="s">
        <v>11</v>
      </c>
      <c r="H1631" s="3">
        <v>43802</v>
      </c>
      <c r="I1631" s="5" t="s">
        <v>435</v>
      </c>
      <c r="J1631" s="5">
        <f>_xlfn.XLOOKUP(CustomerCombined[[#This Row],[ID]], Table4[ID], Table4[Recency], "Not Found", 0)</f>
        <v>78</v>
      </c>
      <c r="K1631" s="5">
        <f>_xlfn.XLOOKUP(CustomerCombined[[#This Row],[ID]], Table4[ID], Table4[Teas], "Not Found", 0)</f>
        <v>1472</v>
      </c>
      <c r="L1631" s="5">
        <f>_xlfn.XLOOKUP(CustomerCombined[[#This Row],[ID]], Table4[ID], Table4[Fruits], "Not Found", 0)</f>
        <v>129</v>
      </c>
      <c r="M1631" s="5">
        <f>_xlfn.XLOOKUP(CustomerCombined[[#This Row],[ID]], Table4[ID], Table4[Meats], "Not Found", 0)</f>
        <v>366</v>
      </c>
      <c r="N1631" s="5">
        <f>_xlfn.XLOOKUP(CustomerCombined[[#This Row],[ID]], Table4[ID], Table4[Seafood], "Not Found", 0)</f>
        <v>85</v>
      </c>
      <c r="O1631" s="5">
        <f>_xlfn.XLOOKUP(CustomerCombined[[#This Row],[ID]], Table4[ID], Table4[Sweets], "Not Found", 0)</f>
        <v>129</v>
      </c>
      <c r="P1631" s="5">
        <f>_xlfn.XLOOKUP(CustomerCombined[[#This Row],[ID]], Table4[ID], Table4[Premium], "Not Found", 0)</f>
        <v>410</v>
      </c>
      <c r="Q1631" s="5">
        <f>_xlfn.XLOOKUP(CustomerCombined[[#This Row],[ID]], Table4[ID], Table4[Regular], "Not Found", 0)</f>
        <v>1771</v>
      </c>
      <c r="R1631" s="5">
        <f>_xlfn.XLOOKUP(CustomerCombined[[#This Row],[ID]], Table4[ID], Table4[Deals], "Not Found", 0)</f>
        <v>4</v>
      </c>
      <c r="S1631" s="5">
        <f>_xlfn.XLOOKUP(CustomerCombined[[#This Row],[ID]], Table4[ID], Table4[Website], "Not Found", 0)</f>
        <v>4</v>
      </c>
      <c r="T1631" s="5">
        <f>_xlfn.XLOOKUP(CustomerCombined[[#This Row],[ID]], Table4[ID], Table4[Catalog], "Not Found", 0)</f>
        <v>5</v>
      </c>
      <c r="U1631" s="5">
        <f>_xlfn.XLOOKUP(CustomerCombined[[#This Row],[ID]], Table4[ID], Table4[Store], "Not Found", 0)</f>
        <v>13</v>
      </c>
      <c r="V1631" s="5">
        <f>_xlfn.XLOOKUP(CustomerCombined[[#This Row],[ID]], Table4[ID], Table4[Visits], "Not Found", 0)</f>
        <v>2</v>
      </c>
      <c r="W1631" s="8">
        <f>_xlfn.XLOOKUP(CustomerCombined[[#This Row],[ID]], Table2[ID],Table2[Complaint], "Not Found", 0 )</f>
        <v>0</v>
      </c>
      <c r="X1631" s="8">
        <f>_xlfn.XLOOKUP(CustomerCombined[[#This Row],[ID]], Table2[ID],Table2[Pilot], "Not Found", 0 )</f>
        <v>0</v>
      </c>
      <c r="Y1631" s="8">
        <f>_xlfn.XLOOKUP(CustomerCombined[[#This Row],[ID]], Table2[ID],Table2[MC1], "Not Found", 0 )</f>
        <v>0</v>
      </c>
      <c r="Z1631" s="8">
        <f>_xlfn.XLOOKUP(CustomerCombined[[#This Row],[ID]], Table2[ID],Table2[MC2], "Not Found", 0 )</f>
        <v>0</v>
      </c>
      <c r="AA1631" s="8">
        <f>_xlfn.XLOOKUP(CustomerCombined[[#This Row],[ID]], Table2[ID],Table2[MC3], "Not Found", 0 )</f>
        <v>0</v>
      </c>
      <c r="AB1631" s="8">
        <f>_xlfn.XLOOKUP(CustomerCombined[[#This Row],[ID]], Table2[ID],Table2[MC4], "Not Found", 0 )</f>
        <v>0</v>
      </c>
      <c r="AC1631" s="8">
        <f>_xlfn.XLOOKUP(CustomerCombined[[#This Row],[ID]], Table2[ID],Table2[MC5], "Not Found", 0 )</f>
        <v>0</v>
      </c>
    </row>
    <row r="1632" spans="1:29" x14ac:dyDescent="0.3">
      <c r="A1632" s="6">
        <v>1585</v>
      </c>
      <c r="B1632" s="6">
        <v>162807</v>
      </c>
      <c r="C1632" s="6">
        <v>0</v>
      </c>
      <c r="D1632" s="6">
        <v>1</v>
      </c>
      <c r="E1632" s="6">
        <v>60</v>
      </c>
      <c r="F1632" s="5" t="s">
        <v>8</v>
      </c>
      <c r="G1632" s="5" t="s">
        <v>11</v>
      </c>
      <c r="H1632" s="3">
        <v>43587</v>
      </c>
      <c r="I1632" s="5" t="s">
        <v>437</v>
      </c>
      <c r="J1632" s="5">
        <f>_xlfn.XLOOKUP(CustomerCombined[[#This Row],[ID]], Table4[ID], Table4[Recency], "Not Found", 0)</f>
        <v>83</v>
      </c>
      <c r="K1632" s="5">
        <f>_xlfn.XLOOKUP(CustomerCombined[[#This Row],[ID]], Table4[ID], Table4[Teas], "Not Found", 0)</f>
        <v>1363</v>
      </c>
      <c r="L1632" s="5">
        <f>_xlfn.XLOOKUP(CustomerCombined[[#This Row],[ID]], Table4[ID], Table4[Fruits], "Not Found", 0)</f>
        <v>73</v>
      </c>
      <c r="M1632" s="5">
        <f>_xlfn.XLOOKUP(CustomerCombined[[#This Row],[ID]], Table4[ID], Table4[Meats], "Not Found", 0)</f>
        <v>350</v>
      </c>
      <c r="N1632" s="5">
        <f>_xlfn.XLOOKUP(CustomerCombined[[#This Row],[ID]], Table4[ID], Table4[Seafood], "Not Found", 0)</f>
        <v>26</v>
      </c>
      <c r="O1632" s="5">
        <f>_xlfn.XLOOKUP(CustomerCombined[[#This Row],[ID]], Table4[ID], Table4[Sweets], "Not Found", 0)</f>
        <v>54</v>
      </c>
      <c r="P1632" s="5">
        <f>_xlfn.XLOOKUP(CustomerCombined[[#This Row],[ID]], Table4[ID], Table4[Premium], "Not Found", 0)</f>
        <v>257</v>
      </c>
      <c r="Q1632" s="5">
        <f>_xlfn.XLOOKUP(CustomerCombined[[#This Row],[ID]], Table4[ID], Table4[Regular], "Not Found", 0)</f>
        <v>1610</v>
      </c>
      <c r="R1632" s="5">
        <f>_xlfn.XLOOKUP(CustomerCombined[[#This Row],[ID]], Table4[ID], Table4[Deals], "Not Found", 0)</f>
        <v>3</v>
      </c>
      <c r="S1632" s="5">
        <f>_xlfn.XLOOKUP(CustomerCombined[[#This Row],[ID]], Table4[ID], Table4[Website], "Not Found", 0)</f>
        <v>5</v>
      </c>
      <c r="T1632" s="5">
        <f>_xlfn.XLOOKUP(CustomerCombined[[#This Row],[ID]], Table4[ID], Table4[Catalog], "Not Found", 0)</f>
        <v>3</v>
      </c>
      <c r="U1632" s="5">
        <f>_xlfn.XLOOKUP(CustomerCombined[[#This Row],[ID]], Table4[ID], Table4[Store], "Not Found", 0)</f>
        <v>12</v>
      </c>
      <c r="V1632" s="5">
        <f>_xlfn.XLOOKUP(CustomerCombined[[#This Row],[ID]], Table4[ID], Table4[Visits], "Not Found", 0)</f>
        <v>5</v>
      </c>
      <c r="W1632" s="8">
        <f>_xlfn.XLOOKUP(CustomerCombined[[#This Row],[ID]], Table2[ID],Table2[Complaint], "Not Found", 0 )</f>
        <v>0</v>
      </c>
      <c r="X1632" s="8">
        <f>_xlfn.XLOOKUP(CustomerCombined[[#This Row],[ID]], Table2[ID],Table2[Pilot], "Not Found", 0 )</f>
        <v>0</v>
      </c>
      <c r="Y1632" s="8">
        <f>_xlfn.XLOOKUP(CustomerCombined[[#This Row],[ID]], Table2[ID],Table2[MC1], "Not Found", 0 )</f>
        <v>0</v>
      </c>
      <c r="Z1632" s="8">
        <f>_xlfn.XLOOKUP(CustomerCombined[[#This Row],[ID]], Table2[ID],Table2[MC2], "Not Found", 0 )</f>
        <v>0</v>
      </c>
      <c r="AA1632" s="8">
        <f>_xlfn.XLOOKUP(CustomerCombined[[#This Row],[ID]], Table2[ID],Table2[MC3], "Not Found", 0 )</f>
        <v>0</v>
      </c>
      <c r="AB1632" s="8">
        <f>_xlfn.XLOOKUP(CustomerCombined[[#This Row],[ID]], Table2[ID],Table2[MC4], "Not Found", 0 )</f>
        <v>0</v>
      </c>
      <c r="AC1632" s="8">
        <f>_xlfn.XLOOKUP(CustomerCombined[[#This Row],[ID]], Table2[ID],Table2[MC5], "Not Found", 0 )</f>
        <v>0</v>
      </c>
    </row>
    <row r="1633" spans="1:29" x14ac:dyDescent="0.3">
      <c r="A1633" s="6">
        <v>2457</v>
      </c>
      <c r="B1633" s="6">
        <v>162807</v>
      </c>
      <c r="C1633" s="6">
        <v>0</v>
      </c>
      <c r="D1633" s="6">
        <v>1</v>
      </c>
      <c r="E1633" s="6">
        <v>60</v>
      </c>
      <c r="F1633" s="5" t="s">
        <v>8</v>
      </c>
      <c r="G1633" s="5" t="s">
        <v>11</v>
      </c>
      <c r="H1633" s="3">
        <v>43587</v>
      </c>
      <c r="I1633" s="5" t="s">
        <v>435</v>
      </c>
      <c r="J1633" s="5">
        <f>_xlfn.XLOOKUP(CustomerCombined[[#This Row],[ID]], Table4[ID], Table4[Recency], "Not Found", 0)</f>
        <v>83</v>
      </c>
      <c r="K1633" s="5">
        <f>_xlfn.XLOOKUP(CustomerCombined[[#This Row],[ID]], Table4[ID], Table4[Teas], "Not Found", 0)</f>
        <v>1363</v>
      </c>
      <c r="L1633" s="5">
        <f>_xlfn.XLOOKUP(CustomerCombined[[#This Row],[ID]], Table4[ID], Table4[Fruits], "Not Found", 0)</f>
        <v>73</v>
      </c>
      <c r="M1633" s="5">
        <f>_xlfn.XLOOKUP(CustomerCombined[[#This Row],[ID]], Table4[ID], Table4[Meats], "Not Found", 0)</f>
        <v>350</v>
      </c>
      <c r="N1633" s="5">
        <f>_xlfn.XLOOKUP(CustomerCombined[[#This Row],[ID]], Table4[ID], Table4[Seafood], "Not Found", 0)</f>
        <v>26</v>
      </c>
      <c r="O1633" s="5">
        <f>_xlfn.XLOOKUP(CustomerCombined[[#This Row],[ID]], Table4[ID], Table4[Sweets], "Not Found", 0)</f>
        <v>54</v>
      </c>
      <c r="P1633" s="5">
        <f>_xlfn.XLOOKUP(CustomerCombined[[#This Row],[ID]], Table4[ID], Table4[Premium], "Not Found", 0)</f>
        <v>257</v>
      </c>
      <c r="Q1633" s="5">
        <f>_xlfn.XLOOKUP(CustomerCombined[[#This Row],[ID]], Table4[ID], Table4[Regular], "Not Found", 0)</f>
        <v>1610</v>
      </c>
      <c r="R1633" s="5">
        <f>_xlfn.XLOOKUP(CustomerCombined[[#This Row],[ID]], Table4[ID], Table4[Deals], "Not Found", 0)</f>
        <v>3</v>
      </c>
      <c r="S1633" s="5">
        <f>_xlfn.XLOOKUP(CustomerCombined[[#This Row],[ID]], Table4[ID], Table4[Website], "Not Found", 0)</f>
        <v>5</v>
      </c>
      <c r="T1633" s="5">
        <f>_xlfn.XLOOKUP(CustomerCombined[[#This Row],[ID]], Table4[ID], Table4[Catalog], "Not Found", 0)</f>
        <v>3</v>
      </c>
      <c r="U1633" s="5">
        <f>_xlfn.XLOOKUP(CustomerCombined[[#This Row],[ID]], Table4[ID], Table4[Store], "Not Found", 0)</f>
        <v>12</v>
      </c>
      <c r="V1633" s="5">
        <f>_xlfn.XLOOKUP(CustomerCombined[[#This Row],[ID]], Table4[ID], Table4[Visits], "Not Found", 0)</f>
        <v>5</v>
      </c>
      <c r="W1633" s="8">
        <f>_xlfn.XLOOKUP(CustomerCombined[[#This Row],[ID]], Table2[ID],Table2[Complaint], "Not Found", 0 )</f>
        <v>0</v>
      </c>
      <c r="X1633" s="8">
        <f>_xlfn.XLOOKUP(CustomerCombined[[#This Row],[ID]], Table2[ID],Table2[Pilot], "Not Found", 0 )</f>
        <v>0</v>
      </c>
      <c r="Y1633" s="8">
        <f>_xlfn.XLOOKUP(CustomerCombined[[#This Row],[ID]], Table2[ID],Table2[MC1], "Not Found", 0 )</f>
        <v>0</v>
      </c>
      <c r="Z1633" s="8">
        <f>_xlfn.XLOOKUP(CustomerCombined[[#This Row],[ID]], Table2[ID],Table2[MC2], "Not Found", 0 )</f>
        <v>0</v>
      </c>
      <c r="AA1633" s="8">
        <f>_xlfn.XLOOKUP(CustomerCombined[[#This Row],[ID]], Table2[ID],Table2[MC3], "Not Found", 0 )</f>
        <v>0</v>
      </c>
      <c r="AB1633" s="8">
        <f>_xlfn.XLOOKUP(CustomerCombined[[#This Row],[ID]], Table2[ID],Table2[MC4], "Not Found", 0 )</f>
        <v>0</v>
      </c>
      <c r="AC1633" s="8">
        <f>_xlfn.XLOOKUP(CustomerCombined[[#This Row],[ID]], Table2[ID],Table2[MC5], "Not Found", 0 )</f>
        <v>0</v>
      </c>
    </row>
    <row r="1634" spans="1:29" x14ac:dyDescent="0.3">
      <c r="A1634" s="6">
        <v>1320</v>
      </c>
      <c r="B1634" s="6">
        <v>162204</v>
      </c>
      <c r="C1634" s="6">
        <v>0</v>
      </c>
      <c r="D1634" s="6">
        <v>2</v>
      </c>
      <c r="E1634" s="6">
        <v>60</v>
      </c>
      <c r="F1634" s="5" t="s">
        <v>5</v>
      </c>
      <c r="G1634" s="5" t="s">
        <v>11</v>
      </c>
      <c r="H1634" s="3" t="s">
        <v>397</v>
      </c>
      <c r="I1634" s="5" t="s">
        <v>436</v>
      </c>
      <c r="J1634" s="5">
        <f>_xlfn.XLOOKUP(CustomerCombined[[#This Row],[ID]], Table4[ID], Table4[Recency], "Not Found", 0)</f>
        <v>38</v>
      </c>
      <c r="K1634" s="5">
        <f>_xlfn.XLOOKUP(CustomerCombined[[#This Row],[ID]], Table4[ID], Table4[Teas], "Not Found", 0)</f>
        <v>827</v>
      </c>
      <c r="L1634" s="5">
        <f>_xlfn.XLOOKUP(CustomerCombined[[#This Row],[ID]], Table4[ID], Table4[Fruits], "Not Found", 0)</f>
        <v>120</v>
      </c>
      <c r="M1634" s="5">
        <f>_xlfn.XLOOKUP(CustomerCombined[[#This Row],[ID]], Table4[ID], Table4[Meats], "Not Found", 0)</f>
        <v>644</v>
      </c>
      <c r="N1634" s="5">
        <f>_xlfn.XLOOKUP(CustomerCombined[[#This Row],[ID]], Table4[ID], Table4[Seafood], "Not Found", 0)</f>
        <v>394</v>
      </c>
      <c r="O1634" s="5">
        <f>_xlfn.XLOOKUP(CustomerCombined[[#This Row],[ID]], Table4[ID], Table4[Sweets], "Not Found", 0)</f>
        <v>120</v>
      </c>
      <c r="P1634" s="5">
        <f>_xlfn.XLOOKUP(CustomerCombined[[#This Row],[ID]], Table4[ID], Table4[Premium], "Not Found", 0)</f>
        <v>362</v>
      </c>
      <c r="Q1634" s="5">
        <f>_xlfn.XLOOKUP(CustomerCombined[[#This Row],[ID]], Table4[ID], Table4[Regular], "Not Found", 0)</f>
        <v>1742</v>
      </c>
      <c r="R1634" s="5">
        <f>_xlfn.XLOOKUP(CustomerCombined[[#This Row],[ID]], Table4[ID], Table4[Deals], "Not Found", 0)</f>
        <v>1</v>
      </c>
      <c r="S1634" s="5">
        <f>_xlfn.XLOOKUP(CustomerCombined[[#This Row],[ID]], Table4[ID], Table4[Website], "Not Found", 0)</f>
        <v>4</v>
      </c>
      <c r="T1634" s="5">
        <f>_xlfn.XLOOKUP(CustomerCombined[[#This Row],[ID]], Table4[ID], Table4[Catalog], "Not Found", 0)</f>
        <v>5</v>
      </c>
      <c r="U1634" s="5">
        <f>_xlfn.XLOOKUP(CustomerCombined[[#This Row],[ID]], Table4[ID], Table4[Store], "Not Found", 0)</f>
        <v>12</v>
      </c>
      <c r="V1634" s="5">
        <f>_xlfn.XLOOKUP(CustomerCombined[[#This Row],[ID]], Table4[ID], Table4[Visits], "Not Found", 0)</f>
        <v>3</v>
      </c>
      <c r="W1634" s="8">
        <f>_xlfn.XLOOKUP(CustomerCombined[[#This Row],[ID]], Table2[ID],Table2[Complaint], "Not Found", 0 )</f>
        <v>0</v>
      </c>
      <c r="X1634" s="8">
        <f>_xlfn.XLOOKUP(CustomerCombined[[#This Row],[ID]], Table2[ID],Table2[Pilot], "Not Found", 0 )</f>
        <v>0</v>
      </c>
      <c r="Y1634" s="8">
        <f>_xlfn.XLOOKUP(CustomerCombined[[#This Row],[ID]], Table2[ID],Table2[MC1], "Not Found", 0 )</f>
        <v>0</v>
      </c>
      <c r="Z1634" s="8">
        <f>_xlfn.XLOOKUP(CustomerCombined[[#This Row],[ID]], Table2[ID],Table2[MC2], "Not Found", 0 )</f>
        <v>0</v>
      </c>
      <c r="AA1634" s="8">
        <f>_xlfn.XLOOKUP(CustomerCombined[[#This Row],[ID]], Table2[ID],Table2[MC3], "Not Found", 0 )</f>
        <v>0</v>
      </c>
      <c r="AB1634" s="8">
        <f>_xlfn.XLOOKUP(CustomerCombined[[#This Row],[ID]], Table2[ID],Table2[MC4], "Not Found", 0 )</f>
        <v>0</v>
      </c>
      <c r="AC1634" s="8">
        <f>_xlfn.XLOOKUP(CustomerCombined[[#This Row],[ID]], Table2[ID],Table2[MC5], "Not Found", 0 )</f>
        <v>0</v>
      </c>
    </row>
    <row r="1635" spans="1:29" x14ac:dyDescent="0.3">
      <c r="A1635" s="6">
        <v>2173</v>
      </c>
      <c r="B1635" s="6">
        <v>158401</v>
      </c>
      <c r="C1635" s="6">
        <v>0</v>
      </c>
      <c r="D1635" s="6">
        <v>1</v>
      </c>
      <c r="E1635" s="6">
        <v>60</v>
      </c>
      <c r="F1635" s="5" t="s">
        <v>5</v>
      </c>
      <c r="G1635" s="5" t="s">
        <v>11</v>
      </c>
      <c r="H1635" s="3" t="s">
        <v>62</v>
      </c>
      <c r="I1635" s="5" t="s">
        <v>437</v>
      </c>
      <c r="J1635" s="5">
        <f>_xlfn.XLOOKUP(CustomerCombined[[#This Row],[ID]], Table4[ID], Table4[Recency], "Not Found", 0)</f>
        <v>55</v>
      </c>
      <c r="K1635" s="5">
        <f>_xlfn.XLOOKUP(CustomerCombined[[#This Row],[ID]], Table4[ID], Table4[Teas], "Not Found", 0)</f>
        <v>27</v>
      </c>
      <c r="L1635" s="5">
        <f>_xlfn.XLOOKUP(CustomerCombined[[#This Row],[ID]], Table4[ID], Table4[Fruits], "Not Found", 0)</f>
        <v>0</v>
      </c>
      <c r="M1635" s="5">
        <f>_xlfn.XLOOKUP(CustomerCombined[[#This Row],[ID]], Table4[ID], Table4[Meats], "Not Found", 0)</f>
        <v>30</v>
      </c>
      <c r="N1635" s="5">
        <f>_xlfn.XLOOKUP(CustomerCombined[[#This Row],[ID]], Table4[ID], Table4[Seafood], "Not Found", 0)</f>
        <v>46</v>
      </c>
      <c r="O1635" s="5">
        <f>_xlfn.XLOOKUP(CustomerCombined[[#This Row],[ID]], Table4[ID], Table4[Sweets], "Not Found", 0)</f>
        <v>79</v>
      </c>
      <c r="P1635" s="5">
        <f>_xlfn.XLOOKUP(CustomerCombined[[#This Row],[ID]], Table4[ID], Table4[Premium], "Not Found", 0)</f>
        <v>79</v>
      </c>
      <c r="Q1635" s="5">
        <f>_xlfn.XLOOKUP(CustomerCombined[[#This Row],[ID]], Table4[ID], Table4[Regular], "Not Found", 0)</f>
        <v>103</v>
      </c>
      <c r="R1635" s="5">
        <f>_xlfn.XLOOKUP(CustomerCombined[[#This Row],[ID]], Table4[ID], Table4[Deals], "Not Found", 0)</f>
        <v>1</v>
      </c>
      <c r="S1635" s="5">
        <f>_xlfn.XLOOKUP(CustomerCombined[[#This Row],[ID]], Table4[ID], Table4[Website], "Not Found", 0)</f>
        <v>1</v>
      </c>
      <c r="T1635" s="5">
        <f>_xlfn.XLOOKUP(CustomerCombined[[#This Row],[ID]], Table4[ID], Table4[Catalog], "Not Found", 0)</f>
        <v>2</v>
      </c>
      <c r="U1635" s="5">
        <f>_xlfn.XLOOKUP(CustomerCombined[[#This Row],[ID]], Table4[ID], Table4[Store], "Not Found", 0)</f>
        <v>2</v>
      </c>
      <c r="V1635" s="5">
        <f>_xlfn.XLOOKUP(CustomerCombined[[#This Row],[ID]], Table4[ID], Table4[Visits], "Not Found", 0)</f>
        <v>4</v>
      </c>
      <c r="W1635" s="8">
        <f>_xlfn.XLOOKUP(CustomerCombined[[#This Row],[ID]], Table2[ID],Table2[Complaint], "Not Found", 0 )</f>
        <v>0</v>
      </c>
      <c r="X1635" s="8">
        <f>_xlfn.XLOOKUP(CustomerCombined[[#This Row],[ID]], Table2[ID],Table2[Pilot], "Not Found", 0 )</f>
        <v>0</v>
      </c>
      <c r="Y1635" s="8">
        <f>_xlfn.XLOOKUP(CustomerCombined[[#This Row],[ID]], Table2[ID],Table2[MC1], "Not Found", 0 )</f>
        <v>0</v>
      </c>
      <c r="Z1635" s="8">
        <f>_xlfn.XLOOKUP(CustomerCombined[[#This Row],[ID]], Table2[ID],Table2[MC2], "Not Found", 0 )</f>
        <v>0</v>
      </c>
      <c r="AA1635" s="8">
        <f>_xlfn.XLOOKUP(CustomerCombined[[#This Row],[ID]], Table2[ID],Table2[MC3], "Not Found", 0 )</f>
        <v>0</v>
      </c>
      <c r="AB1635" s="8">
        <f>_xlfn.XLOOKUP(CustomerCombined[[#This Row],[ID]], Table2[ID],Table2[MC4], "Not Found", 0 )</f>
        <v>0</v>
      </c>
      <c r="AC1635" s="8">
        <f>_xlfn.XLOOKUP(CustomerCombined[[#This Row],[ID]], Table2[ID],Table2[MC5], "Not Found", 0 )</f>
        <v>0</v>
      </c>
    </row>
    <row r="1636" spans="1:29" x14ac:dyDescent="0.3">
      <c r="A1636" s="6">
        <v>2135</v>
      </c>
      <c r="B1636" s="6">
        <v>154197</v>
      </c>
      <c r="C1636" s="6">
        <v>0</v>
      </c>
      <c r="D1636" s="6">
        <v>1</v>
      </c>
      <c r="E1636" s="6">
        <v>60</v>
      </c>
      <c r="F1636" s="5" t="s">
        <v>6</v>
      </c>
      <c r="G1636" s="5" t="s">
        <v>12</v>
      </c>
      <c r="H1636" s="3">
        <v>44021</v>
      </c>
      <c r="I1636" s="5" t="s">
        <v>434</v>
      </c>
      <c r="J1636" s="5">
        <f>_xlfn.XLOOKUP(CustomerCombined[[#This Row],[ID]], Table4[ID], Table4[Recency], "Not Found", 0)</f>
        <v>16</v>
      </c>
      <c r="K1636" s="5">
        <f>_xlfn.XLOOKUP(CustomerCombined[[#This Row],[ID]], Table4[ID], Table4[Teas], "Not Found", 0)</f>
        <v>461</v>
      </c>
      <c r="L1636" s="5">
        <f>_xlfn.XLOOKUP(CustomerCombined[[#This Row],[ID]], Table4[ID], Table4[Fruits], "Not Found", 0)</f>
        <v>17</v>
      </c>
      <c r="M1636" s="5">
        <f>_xlfn.XLOOKUP(CustomerCombined[[#This Row],[ID]], Table4[ID], Table4[Meats], "Not Found", 0)</f>
        <v>105</v>
      </c>
      <c r="N1636" s="5">
        <f>_xlfn.XLOOKUP(CustomerCombined[[#This Row],[ID]], Table4[ID], Table4[Seafood], "Not Found", 0)</f>
        <v>17</v>
      </c>
      <c r="O1636" s="5">
        <f>_xlfn.XLOOKUP(CustomerCombined[[#This Row],[ID]], Table4[ID], Table4[Sweets], "Not Found", 0)</f>
        <v>37</v>
      </c>
      <c r="P1636" s="5">
        <f>_xlfn.XLOOKUP(CustomerCombined[[#This Row],[ID]], Table4[ID], Table4[Premium], "Not Found", 0)</f>
        <v>37</v>
      </c>
      <c r="Q1636" s="5">
        <f>_xlfn.XLOOKUP(CustomerCombined[[#This Row],[ID]], Table4[ID], Table4[Regular], "Not Found", 0)</f>
        <v>600</v>
      </c>
      <c r="R1636" s="5">
        <f>_xlfn.XLOOKUP(CustomerCombined[[#This Row],[ID]], Table4[ID], Table4[Deals], "Not Found", 0)</f>
        <v>2</v>
      </c>
      <c r="S1636" s="5">
        <f>_xlfn.XLOOKUP(CustomerCombined[[#This Row],[ID]], Table4[ID], Table4[Website], "Not Found", 0)</f>
        <v>1</v>
      </c>
      <c r="T1636" s="5">
        <f>_xlfn.XLOOKUP(CustomerCombined[[#This Row],[ID]], Table4[ID], Table4[Catalog], "Not Found", 0)</f>
        <v>3</v>
      </c>
      <c r="U1636" s="5">
        <f>_xlfn.XLOOKUP(CustomerCombined[[#This Row],[ID]], Table4[ID], Table4[Store], "Not Found", 0)</f>
        <v>6</v>
      </c>
      <c r="V1636" s="5">
        <f>_xlfn.XLOOKUP(CustomerCombined[[#This Row],[ID]], Table4[ID], Table4[Visits], "Not Found", 0)</f>
        <v>1</v>
      </c>
      <c r="W1636" s="8">
        <f>_xlfn.XLOOKUP(CustomerCombined[[#This Row],[ID]], Table2[ID],Table2[Complaint], "Not Found", 0 )</f>
        <v>0</v>
      </c>
      <c r="X1636" s="8">
        <f>_xlfn.XLOOKUP(CustomerCombined[[#This Row],[ID]], Table2[ID],Table2[Pilot], "Not Found", 0 )</f>
        <v>0</v>
      </c>
      <c r="Y1636" s="8">
        <f>_xlfn.XLOOKUP(CustomerCombined[[#This Row],[ID]], Table2[ID],Table2[MC1], "Not Found", 0 )</f>
        <v>0</v>
      </c>
      <c r="Z1636" s="8">
        <f>_xlfn.XLOOKUP(CustomerCombined[[#This Row],[ID]], Table2[ID],Table2[MC2], "Not Found", 0 )</f>
        <v>0</v>
      </c>
      <c r="AA1636" s="8">
        <f>_xlfn.XLOOKUP(CustomerCombined[[#This Row],[ID]], Table2[ID],Table2[MC3], "Not Found", 0 )</f>
        <v>0</v>
      </c>
      <c r="AB1636" s="8">
        <f>_xlfn.XLOOKUP(CustomerCombined[[#This Row],[ID]], Table2[ID],Table2[MC4], "Not Found", 0 )</f>
        <v>0</v>
      </c>
      <c r="AC1636" s="8">
        <f>_xlfn.XLOOKUP(CustomerCombined[[#This Row],[ID]], Table2[ID],Table2[MC5], "Not Found", 0 )</f>
        <v>0</v>
      </c>
    </row>
    <row r="1637" spans="1:29" x14ac:dyDescent="0.3">
      <c r="A1637" s="6">
        <v>3052</v>
      </c>
      <c r="B1637" s="6">
        <v>151651</v>
      </c>
      <c r="C1637" s="6">
        <v>0</v>
      </c>
      <c r="D1637" s="6">
        <v>1</v>
      </c>
      <c r="E1637" s="6">
        <v>60</v>
      </c>
      <c r="F1637" s="5" t="s">
        <v>6</v>
      </c>
      <c r="G1637" s="5" t="s">
        <v>11</v>
      </c>
      <c r="H1637" s="3" t="s">
        <v>368</v>
      </c>
      <c r="I1637" s="5" t="s">
        <v>439</v>
      </c>
      <c r="J1637" s="5">
        <f>_xlfn.XLOOKUP(CustomerCombined[[#This Row],[ID]], Table4[ID], Table4[Recency], "Not Found", 0)</f>
        <v>32</v>
      </c>
      <c r="K1637" s="5">
        <f>_xlfn.XLOOKUP(CustomerCombined[[#This Row],[ID]], Table4[ID], Table4[Teas], "Not Found", 0)</f>
        <v>860</v>
      </c>
      <c r="L1637" s="5">
        <f>_xlfn.XLOOKUP(CustomerCombined[[#This Row],[ID]], Table4[ID], Table4[Fruits], "Not Found", 0)</f>
        <v>18</v>
      </c>
      <c r="M1637" s="5">
        <f>_xlfn.XLOOKUP(CustomerCombined[[#This Row],[ID]], Table4[ID], Table4[Meats], "Not Found", 0)</f>
        <v>68</v>
      </c>
      <c r="N1637" s="5">
        <f>_xlfn.XLOOKUP(CustomerCombined[[#This Row],[ID]], Table4[ID], Table4[Seafood], "Not Found", 0)</f>
        <v>38</v>
      </c>
      <c r="O1637" s="5">
        <f>_xlfn.XLOOKUP(CustomerCombined[[#This Row],[ID]], Table4[ID], Table4[Sweets], "Not Found", 0)</f>
        <v>18</v>
      </c>
      <c r="P1637" s="5">
        <f>_xlfn.XLOOKUP(CustomerCombined[[#This Row],[ID]], Table4[ID], Table4[Premium], "Not Found", 0)</f>
        <v>270</v>
      </c>
      <c r="Q1637" s="5">
        <f>_xlfn.XLOOKUP(CustomerCombined[[#This Row],[ID]], Table4[ID], Table4[Regular], "Not Found", 0)</f>
        <v>731</v>
      </c>
      <c r="R1637" s="5">
        <f>_xlfn.XLOOKUP(CustomerCombined[[#This Row],[ID]], Table4[ID], Table4[Deals], "Not Found", 0)</f>
        <v>4</v>
      </c>
      <c r="S1637" s="5">
        <f>_xlfn.XLOOKUP(CustomerCombined[[#This Row],[ID]], Table4[ID], Table4[Website], "Not Found", 0)</f>
        <v>6</v>
      </c>
      <c r="T1637" s="5">
        <f>_xlfn.XLOOKUP(CustomerCombined[[#This Row],[ID]], Table4[ID], Table4[Catalog], "Not Found", 0)</f>
        <v>2</v>
      </c>
      <c r="U1637" s="5">
        <f>_xlfn.XLOOKUP(CustomerCombined[[#This Row],[ID]], Table4[ID], Table4[Store], "Not Found", 0)</f>
        <v>5</v>
      </c>
      <c r="V1637" s="5">
        <f>_xlfn.XLOOKUP(CustomerCombined[[#This Row],[ID]], Table4[ID], Table4[Visits], "Not Found", 0)</f>
        <v>8</v>
      </c>
      <c r="W1637" s="8">
        <f>_xlfn.XLOOKUP(CustomerCombined[[#This Row],[ID]], Table2[ID],Table2[Complaint], "Not Found", 0 )</f>
        <v>0</v>
      </c>
      <c r="X1637" s="8">
        <f>_xlfn.XLOOKUP(CustomerCombined[[#This Row],[ID]], Table2[ID],Table2[Pilot], "Not Found", 0 )</f>
        <v>0</v>
      </c>
      <c r="Y1637" s="8">
        <f>_xlfn.XLOOKUP(CustomerCombined[[#This Row],[ID]], Table2[ID],Table2[MC1], "Not Found", 0 )</f>
        <v>0</v>
      </c>
      <c r="Z1637" s="8">
        <f>_xlfn.XLOOKUP(CustomerCombined[[#This Row],[ID]], Table2[ID],Table2[MC2], "Not Found", 0 )</f>
        <v>0</v>
      </c>
      <c r="AA1637" s="8">
        <f>_xlfn.XLOOKUP(CustomerCombined[[#This Row],[ID]], Table2[ID],Table2[MC3], "Not Found", 0 )</f>
        <v>0</v>
      </c>
      <c r="AB1637" s="8">
        <f>_xlfn.XLOOKUP(CustomerCombined[[#This Row],[ID]], Table2[ID],Table2[MC4], "Not Found", 0 )</f>
        <v>0</v>
      </c>
      <c r="AC1637" s="8">
        <f>_xlfn.XLOOKUP(CustomerCombined[[#This Row],[ID]], Table2[ID],Table2[MC5], "Not Found", 0 )</f>
        <v>0</v>
      </c>
    </row>
    <row r="1638" spans="1:29" x14ac:dyDescent="0.3">
      <c r="A1638" s="6">
        <v>1671</v>
      </c>
      <c r="B1638" s="6">
        <v>150611</v>
      </c>
      <c r="C1638" s="6">
        <v>0</v>
      </c>
      <c r="D1638" s="6">
        <v>1</v>
      </c>
      <c r="E1638" s="6">
        <v>60</v>
      </c>
      <c r="F1638" s="5" t="s">
        <v>5</v>
      </c>
      <c r="G1638" s="5" t="s">
        <v>13</v>
      </c>
      <c r="H1638" s="3">
        <v>43772</v>
      </c>
      <c r="I1638" s="5" t="s">
        <v>435</v>
      </c>
      <c r="J1638" s="5">
        <f>_xlfn.XLOOKUP(CustomerCombined[[#This Row],[ID]], Table4[ID], Table4[Recency], "Not Found", 0)</f>
        <v>98</v>
      </c>
      <c r="K1638" s="5">
        <f>_xlfn.XLOOKUP(CustomerCombined[[#This Row],[ID]], Table4[ID], Table4[Teas], "Not Found", 0)</f>
        <v>1366</v>
      </c>
      <c r="L1638" s="5">
        <f>_xlfn.XLOOKUP(CustomerCombined[[#This Row],[ID]], Table4[ID], Table4[Fruits], "Not Found", 0)</f>
        <v>0</v>
      </c>
      <c r="M1638" s="5">
        <f>_xlfn.XLOOKUP(CustomerCombined[[#This Row],[ID]], Table4[ID], Table4[Meats], "Not Found", 0)</f>
        <v>71</v>
      </c>
      <c r="N1638" s="5">
        <f>_xlfn.XLOOKUP(CustomerCombined[[#This Row],[ID]], Table4[ID], Table4[Seafood], "Not Found", 0)</f>
        <v>18</v>
      </c>
      <c r="O1638" s="5">
        <f>_xlfn.XLOOKUP(CustomerCombined[[#This Row],[ID]], Table4[ID], Table4[Sweets], "Not Found", 0)</f>
        <v>0</v>
      </c>
      <c r="P1638" s="5">
        <f>_xlfn.XLOOKUP(CustomerCombined[[#This Row],[ID]], Table4[ID], Table4[Premium], "Not Found", 0)</f>
        <v>12</v>
      </c>
      <c r="Q1638" s="5">
        <f>_xlfn.XLOOKUP(CustomerCombined[[#This Row],[ID]], Table4[ID], Table4[Regular], "Not Found", 0)</f>
        <v>1443</v>
      </c>
      <c r="R1638" s="5">
        <f>_xlfn.XLOOKUP(CustomerCombined[[#This Row],[ID]], Table4[ID], Table4[Deals], "Not Found", 0)</f>
        <v>6</v>
      </c>
      <c r="S1638" s="5">
        <f>_xlfn.XLOOKUP(CustomerCombined[[#This Row],[ID]], Table4[ID], Table4[Website], "Not Found", 0)</f>
        <v>4</v>
      </c>
      <c r="T1638" s="5">
        <f>_xlfn.XLOOKUP(CustomerCombined[[#This Row],[ID]], Table4[ID], Table4[Catalog], "Not Found", 0)</f>
        <v>5</v>
      </c>
      <c r="U1638" s="5">
        <f>_xlfn.XLOOKUP(CustomerCombined[[#This Row],[ID]], Table4[ID], Table4[Store], "Not Found", 0)</f>
        <v>7</v>
      </c>
      <c r="V1638" s="5">
        <f>_xlfn.XLOOKUP(CustomerCombined[[#This Row],[ID]], Table4[ID], Table4[Visits], "Not Found", 0)</f>
        <v>6</v>
      </c>
      <c r="W1638" s="8">
        <f>_xlfn.XLOOKUP(CustomerCombined[[#This Row],[ID]], Table2[ID],Table2[Complaint], "Not Found", 0 )</f>
        <v>0</v>
      </c>
      <c r="X1638" s="8">
        <f>_xlfn.XLOOKUP(CustomerCombined[[#This Row],[ID]], Table2[ID],Table2[Pilot], "Not Found", 0 )</f>
        <v>1</v>
      </c>
      <c r="Y1638" s="8">
        <f>_xlfn.XLOOKUP(CustomerCombined[[#This Row],[ID]], Table2[ID],Table2[MC1], "Not Found", 0 )</f>
        <v>0</v>
      </c>
      <c r="Z1638" s="8">
        <f>_xlfn.XLOOKUP(CustomerCombined[[#This Row],[ID]], Table2[ID],Table2[MC2], "Not Found", 0 )</f>
        <v>0</v>
      </c>
      <c r="AA1638" s="8">
        <f>_xlfn.XLOOKUP(CustomerCombined[[#This Row],[ID]], Table2[ID],Table2[MC3], "Not Found", 0 )</f>
        <v>0</v>
      </c>
      <c r="AB1638" s="8">
        <f>_xlfn.XLOOKUP(CustomerCombined[[#This Row],[ID]], Table2[ID],Table2[MC4], "Not Found", 0 )</f>
        <v>1</v>
      </c>
      <c r="AC1638" s="8">
        <f>_xlfn.XLOOKUP(CustomerCombined[[#This Row],[ID]], Table2[ID],Table2[MC5], "Not Found", 0 )</f>
        <v>0</v>
      </c>
    </row>
    <row r="1639" spans="1:29" x14ac:dyDescent="0.3">
      <c r="A1639" s="6">
        <v>2353</v>
      </c>
      <c r="B1639" s="6">
        <v>150611</v>
      </c>
      <c r="C1639" s="6">
        <v>0</v>
      </c>
      <c r="D1639" s="6">
        <v>1</v>
      </c>
      <c r="E1639" s="6">
        <v>60</v>
      </c>
      <c r="F1639" s="5" t="s">
        <v>5</v>
      </c>
      <c r="G1639" s="5" t="s">
        <v>13</v>
      </c>
      <c r="H1639" s="3">
        <v>43772</v>
      </c>
      <c r="I1639" s="5" t="s">
        <v>437</v>
      </c>
      <c r="J1639" s="5">
        <f>_xlfn.XLOOKUP(CustomerCombined[[#This Row],[ID]], Table4[ID], Table4[Recency], "Not Found", 0)</f>
        <v>98</v>
      </c>
      <c r="K1639" s="5">
        <f>_xlfn.XLOOKUP(CustomerCombined[[#This Row],[ID]], Table4[ID], Table4[Teas], "Not Found", 0)</f>
        <v>1366</v>
      </c>
      <c r="L1639" s="5">
        <f>_xlfn.XLOOKUP(CustomerCombined[[#This Row],[ID]], Table4[ID], Table4[Fruits], "Not Found", 0)</f>
        <v>0</v>
      </c>
      <c r="M1639" s="5">
        <f>_xlfn.XLOOKUP(CustomerCombined[[#This Row],[ID]], Table4[ID], Table4[Meats], "Not Found", 0)</f>
        <v>71</v>
      </c>
      <c r="N1639" s="5">
        <f>_xlfn.XLOOKUP(CustomerCombined[[#This Row],[ID]], Table4[ID], Table4[Seafood], "Not Found", 0)</f>
        <v>18</v>
      </c>
      <c r="O1639" s="5">
        <f>_xlfn.XLOOKUP(CustomerCombined[[#This Row],[ID]], Table4[ID], Table4[Sweets], "Not Found", 0)</f>
        <v>0</v>
      </c>
      <c r="P1639" s="5">
        <f>_xlfn.XLOOKUP(CustomerCombined[[#This Row],[ID]], Table4[ID], Table4[Premium], "Not Found", 0)</f>
        <v>12</v>
      </c>
      <c r="Q1639" s="5">
        <f>_xlfn.XLOOKUP(CustomerCombined[[#This Row],[ID]], Table4[ID], Table4[Regular], "Not Found", 0)</f>
        <v>1443</v>
      </c>
      <c r="R1639" s="5">
        <f>_xlfn.XLOOKUP(CustomerCombined[[#This Row],[ID]], Table4[ID], Table4[Deals], "Not Found", 0)</f>
        <v>6</v>
      </c>
      <c r="S1639" s="5">
        <f>_xlfn.XLOOKUP(CustomerCombined[[#This Row],[ID]], Table4[ID], Table4[Website], "Not Found", 0)</f>
        <v>4</v>
      </c>
      <c r="T1639" s="5">
        <f>_xlfn.XLOOKUP(CustomerCombined[[#This Row],[ID]], Table4[ID], Table4[Catalog], "Not Found", 0)</f>
        <v>5</v>
      </c>
      <c r="U1639" s="5">
        <f>_xlfn.XLOOKUP(CustomerCombined[[#This Row],[ID]], Table4[ID], Table4[Store], "Not Found", 0)</f>
        <v>7</v>
      </c>
      <c r="V1639" s="5">
        <f>_xlfn.XLOOKUP(CustomerCombined[[#This Row],[ID]], Table4[ID], Table4[Visits], "Not Found", 0)</f>
        <v>6</v>
      </c>
      <c r="W1639" s="8">
        <f>_xlfn.XLOOKUP(CustomerCombined[[#This Row],[ID]], Table2[ID],Table2[Complaint], "Not Found", 0 )</f>
        <v>0</v>
      </c>
      <c r="X1639" s="8">
        <f>_xlfn.XLOOKUP(CustomerCombined[[#This Row],[ID]], Table2[ID],Table2[Pilot], "Not Found", 0 )</f>
        <v>0</v>
      </c>
      <c r="Y1639" s="8">
        <f>_xlfn.XLOOKUP(CustomerCombined[[#This Row],[ID]], Table2[ID],Table2[MC1], "Not Found", 0 )</f>
        <v>0</v>
      </c>
      <c r="Z1639" s="8">
        <f>_xlfn.XLOOKUP(CustomerCombined[[#This Row],[ID]], Table2[ID],Table2[MC2], "Not Found", 0 )</f>
        <v>0</v>
      </c>
      <c r="AA1639" s="8">
        <f>_xlfn.XLOOKUP(CustomerCombined[[#This Row],[ID]], Table2[ID],Table2[MC3], "Not Found", 0 )</f>
        <v>0</v>
      </c>
      <c r="AB1639" s="8">
        <f>_xlfn.XLOOKUP(CustomerCombined[[#This Row],[ID]], Table2[ID],Table2[MC4], "Not Found", 0 )</f>
        <v>1</v>
      </c>
      <c r="AC1639" s="8">
        <f>_xlfn.XLOOKUP(CustomerCombined[[#This Row],[ID]], Table2[ID],Table2[MC5], "Not Found", 0 )</f>
        <v>0</v>
      </c>
    </row>
    <row r="1640" spans="1:29" x14ac:dyDescent="0.3">
      <c r="A1640" s="6">
        <v>2351</v>
      </c>
      <c r="B1640" s="6">
        <v>150523</v>
      </c>
      <c r="C1640" s="6">
        <v>1</v>
      </c>
      <c r="D1640" s="6">
        <v>1</v>
      </c>
      <c r="E1640" s="6">
        <v>60</v>
      </c>
      <c r="F1640" s="5" t="s">
        <v>8</v>
      </c>
      <c r="G1640" s="5" t="s">
        <v>442</v>
      </c>
      <c r="H1640" s="3" t="s">
        <v>123</v>
      </c>
      <c r="I1640" s="5" t="s">
        <v>434</v>
      </c>
      <c r="J1640" s="5">
        <f>_xlfn.XLOOKUP(CustomerCombined[[#This Row],[ID]], Table4[ID], Table4[Recency], "Not Found", 0)</f>
        <v>89</v>
      </c>
      <c r="K1640" s="5">
        <f>_xlfn.XLOOKUP(CustomerCombined[[#This Row],[ID]], Table4[ID], Table4[Teas], "Not Found", 0)</f>
        <v>152</v>
      </c>
      <c r="L1640" s="5">
        <f>_xlfn.XLOOKUP(CustomerCombined[[#This Row],[ID]], Table4[ID], Table4[Fruits], "Not Found", 0)</f>
        <v>12</v>
      </c>
      <c r="M1640" s="5">
        <f>_xlfn.XLOOKUP(CustomerCombined[[#This Row],[ID]], Table4[ID], Table4[Meats], "Not Found", 0)</f>
        <v>72</v>
      </c>
      <c r="N1640" s="5">
        <f>_xlfn.XLOOKUP(CustomerCombined[[#This Row],[ID]], Table4[ID], Table4[Seafood], "Not Found", 0)</f>
        <v>12</v>
      </c>
      <c r="O1640" s="5">
        <f>_xlfn.XLOOKUP(CustomerCombined[[#This Row],[ID]], Table4[ID], Table4[Sweets], "Not Found", 0)</f>
        <v>21</v>
      </c>
      <c r="P1640" s="5">
        <f>_xlfn.XLOOKUP(CustomerCombined[[#This Row],[ID]], Table4[ID], Table4[Premium], "Not Found", 0)</f>
        <v>3</v>
      </c>
      <c r="Q1640" s="5">
        <f>_xlfn.XLOOKUP(CustomerCombined[[#This Row],[ID]], Table4[ID], Table4[Regular], "Not Found", 0)</f>
        <v>265</v>
      </c>
      <c r="R1640" s="5">
        <f>_xlfn.XLOOKUP(CustomerCombined[[#This Row],[ID]], Table4[ID], Table4[Deals], "Not Found", 0)</f>
        <v>2</v>
      </c>
      <c r="S1640" s="5">
        <f>_xlfn.XLOOKUP(CustomerCombined[[#This Row],[ID]], Table4[ID], Table4[Website], "Not Found", 0)</f>
        <v>2</v>
      </c>
      <c r="T1640" s="5">
        <f>_xlfn.XLOOKUP(CustomerCombined[[#This Row],[ID]], Table4[ID], Table4[Catalog], "Not Found", 0)</f>
        <v>0</v>
      </c>
      <c r="U1640" s="5">
        <f>_xlfn.XLOOKUP(CustomerCombined[[#This Row],[ID]], Table4[ID], Table4[Store], "Not Found", 0)</f>
        <v>4</v>
      </c>
      <c r="V1640" s="5">
        <f>_xlfn.XLOOKUP(CustomerCombined[[#This Row],[ID]], Table4[ID], Table4[Visits], "Not Found", 0)</f>
        <v>6</v>
      </c>
      <c r="W1640" s="8">
        <f>_xlfn.XLOOKUP(CustomerCombined[[#This Row],[ID]], Table2[ID],Table2[Complaint], "Not Found", 0 )</f>
        <v>0</v>
      </c>
      <c r="X1640" s="8">
        <f>_xlfn.XLOOKUP(CustomerCombined[[#This Row],[ID]], Table2[ID],Table2[Pilot], "Not Found", 0 )</f>
        <v>0</v>
      </c>
      <c r="Y1640" s="8">
        <f>_xlfn.XLOOKUP(CustomerCombined[[#This Row],[ID]], Table2[ID],Table2[MC1], "Not Found", 0 )</f>
        <v>0</v>
      </c>
      <c r="Z1640" s="8">
        <f>_xlfn.XLOOKUP(CustomerCombined[[#This Row],[ID]], Table2[ID],Table2[MC2], "Not Found", 0 )</f>
        <v>0</v>
      </c>
      <c r="AA1640" s="8">
        <f>_xlfn.XLOOKUP(CustomerCombined[[#This Row],[ID]], Table2[ID],Table2[MC3], "Not Found", 0 )</f>
        <v>0</v>
      </c>
      <c r="AB1640" s="8">
        <f>_xlfn.XLOOKUP(CustomerCombined[[#This Row],[ID]], Table2[ID],Table2[MC4], "Not Found", 0 )</f>
        <v>0</v>
      </c>
      <c r="AC1640" s="8">
        <f>_xlfn.XLOOKUP(CustomerCombined[[#This Row],[ID]], Table2[ID],Table2[MC5], "Not Found", 0 )</f>
        <v>0</v>
      </c>
    </row>
    <row r="1641" spans="1:29" x14ac:dyDescent="0.3">
      <c r="A1641" s="6">
        <v>1513</v>
      </c>
      <c r="B1641" s="6">
        <v>149154</v>
      </c>
      <c r="C1641" s="6">
        <v>1</v>
      </c>
      <c r="D1641" s="6">
        <v>1</v>
      </c>
      <c r="E1641" s="6">
        <v>60</v>
      </c>
      <c r="F1641" s="5" t="s">
        <v>6</v>
      </c>
      <c r="G1641" s="5" t="s">
        <v>13</v>
      </c>
      <c r="H1641" s="3">
        <v>44078</v>
      </c>
      <c r="I1641" s="5" t="s">
        <v>437</v>
      </c>
      <c r="J1641" s="5">
        <f>_xlfn.XLOOKUP(CustomerCombined[[#This Row],[ID]], Table4[ID], Table4[Recency], "Not Found", 0)</f>
        <v>69</v>
      </c>
      <c r="K1641" s="5">
        <f>_xlfn.XLOOKUP(CustomerCombined[[#This Row],[ID]], Table4[ID], Table4[Teas], "Not Found", 0)</f>
        <v>625</v>
      </c>
      <c r="L1641" s="5">
        <f>_xlfn.XLOOKUP(CustomerCombined[[#This Row],[ID]], Table4[ID], Table4[Fruits], "Not Found", 0)</f>
        <v>30</v>
      </c>
      <c r="M1641" s="5">
        <f>_xlfn.XLOOKUP(CustomerCombined[[#This Row],[ID]], Table4[ID], Table4[Meats], "Not Found", 0)</f>
        <v>203</v>
      </c>
      <c r="N1641" s="5">
        <f>_xlfn.XLOOKUP(CustomerCombined[[#This Row],[ID]], Table4[ID], Table4[Seafood], "Not Found", 0)</f>
        <v>91</v>
      </c>
      <c r="O1641" s="5">
        <f>_xlfn.XLOOKUP(CustomerCombined[[#This Row],[ID]], Table4[ID], Table4[Sweets], "Not Found", 0)</f>
        <v>82</v>
      </c>
      <c r="P1641" s="5">
        <f>_xlfn.XLOOKUP(CustomerCombined[[#This Row],[ID]], Table4[ID], Table4[Premium], "Not Found", 0)</f>
        <v>215</v>
      </c>
      <c r="Q1641" s="5">
        <f>_xlfn.XLOOKUP(CustomerCombined[[#This Row],[ID]], Table4[ID], Table4[Regular], "Not Found", 0)</f>
        <v>816</v>
      </c>
      <c r="R1641" s="5">
        <f>_xlfn.XLOOKUP(CustomerCombined[[#This Row],[ID]], Table4[ID], Table4[Deals], "Not Found", 0)</f>
        <v>6</v>
      </c>
      <c r="S1641" s="5">
        <f>_xlfn.XLOOKUP(CustomerCombined[[#This Row],[ID]], Table4[ID], Table4[Website], "Not Found", 0)</f>
        <v>4</v>
      </c>
      <c r="T1641" s="5">
        <f>_xlfn.XLOOKUP(CustomerCombined[[#This Row],[ID]], Table4[ID], Table4[Catalog], "Not Found", 0)</f>
        <v>1</v>
      </c>
      <c r="U1641" s="5">
        <f>_xlfn.XLOOKUP(CustomerCombined[[#This Row],[ID]], Table4[ID], Table4[Store], "Not Found", 0)</f>
        <v>8</v>
      </c>
      <c r="V1641" s="5">
        <f>_xlfn.XLOOKUP(CustomerCombined[[#This Row],[ID]], Table4[ID], Table4[Visits], "Not Found", 0)</f>
        <v>6</v>
      </c>
      <c r="W1641" s="8">
        <f>_xlfn.XLOOKUP(CustomerCombined[[#This Row],[ID]], Table2[ID],Table2[Complaint], "Not Found", 0 )</f>
        <v>0</v>
      </c>
      <c r="X1641" s="8">
        <f>_xlfn.XLOOKUP(CustomerCombined[[#This Row],[ID]], Table2[ID],Table2[Pilot], "Not Found", 0 )</f>
        <v>0</v>
      </c>
      <c r="Y1641" s="8">
        <f>_xlfn.XLOOKUP(CustomerCombined[[#This Row],[ID]], Table2[ID],Table2[MC1], "Not Found", 0 )</f>
        <v>0</v>
      </c>
      <c r="Z1641" s="8">
        <f>_xlfn.XLOOKUP(CustomerCombined[[#This Row],[ID]], Table2[ID],Table2[MC2], "Not Found", 0 )</f>
        <v>0</v>
      </c>
      <c r="AA1641" s="8">
        <f>_xlfn.XLOOKUP(CustomerCombined[[#This Row],[ID]], Table2[ID],Table2[MC3], "Not Found", 0 )</f>
        <v>0</v>
      </c>
      <c r="AB1641" s="8">
        <f>_xlfn.XLOOKUP(CustomerCombined[[#This Row],[ID]], Table2[ID],Table2[MC4], "Not Found", 0 )</f>
        <v>0</v>
      </c>
      <c r="AC1641" s="8">
        <f>_xlfn.XLOOKUP(CustomerCombined[[#This Row],[ID]], Table2[ID],Table2[MC5], "Not Found", 0 )</f>
        <v>0</v>
      </c>
    </row>
    <row r="1642" spans="1:29" x14ac:dyDescent="0.3">
      <c r="A1642" s="6">
        <v>2355</v>
      </c>
      <c r="B1642" s="6">
        <v>148904</v>
      </c>
      <c r="C1642" s="6">
        <v>0</v>
      </c>
      <c r="D1642" s="6">
        <v>1</v>
      </c>
      <c r="E1642" s="6">
        <v>60</v>
      </c>
      <c r="F1642" s="5" t="s">
        <v>7</v>
      </c>
      <c r="G1642" s="5" t="s">
        <v>11</v>
      </c>
      <c r="H1642" s="3">
        <v>43713</v>
      </c>
      <c r="I1642" s="5" t="s">
        <v>435</v>
      </c>
      <c r="J1642" s="5">
        <f>_xlfn.XLOOKUP(CustomerCombined[[#This Row],[ID]], Table4[ID], Table4[Recency], "Not Found", 0)</f>
        <v>1</v>
      </c>
      <c r="K1642" s="5">
        <f>_xlfn.XLOOKUP(CustomerCombined[[#This Row],[ID]], Table4[ID], Table4[Teas], "Not Found", 0)</f>
        <v>862</v>
      </c>
      <c r="L1642" s="5">
        <f>_xlfn.XLOOKUP(CustomerCombined[[#This Row],[ID]], Table4[ID], Table4[Fruits], "Not Found", 0)</f>
        <v>30</v>
      </c>
      <c r="M1642" s="5">
        <f>_xlfn.XLOOKUP(CustomerCombined[[#This Row],[ID]], Table4[ID], Table4[Meats], "Not Found", 0)</f>
        <v>116</v>
      </c>
      <c r="N1642" s="5">
        <f>_xlfn.XLOOKUP(CustomerCombined[[#This Row],[ID]], Table4[ID], Table4[Seafood], "Not Found", 0)</f>
        <v>0</v>
      </c>
      <c r="O1642" s="5">
        <f>_xlfn.XLOOKUP(CustomerCombined[[#This Row],[ID]], Table4[ID], Table4[Sweets], "Not Found", 0)</f>
        <v>40</v>
      </c>
      <c r="P1642" s="5">
        <f>_xlfn.XLOOKUP(CustomerCombined[[#This Row],[ID]], Table4[ID], Table4[Premium], "Not Found", 0)</f>
        <v>82</v>
      </c>
      <c r="Q1642" s="5">
        <f>_xlfn.XLOOKUP(CustomerCombined[[#This Row],[ID]], Table4[ID], Table4[Regular], "Not Found", 0)</f>
        <v>965</v>
      </c>
      <c r="R1642" s="5">
        <f>_xlfn.XLOOKUP(CustomerCombined[[#This Row],[ID]], Table4[ID], Table4[Deals], "Not Found", 0)</f>
        <v>4</v>
      </c>
      <c r="S1642" s="5">
        <f>_xlfn.XLOOKUP(CustomerCombined[[#This Row],[ID]], Table4[ID], Table4[Website], "Not Found", 0)</f>
        <v>7</v>
      </c>
      <c r="T1642" s="5">
        <f>_xlfn.XLOOKUP(CustomerCombined[[#This Row],[ID]], Table4[ID], Table4[Catalog], "Not Found", 0)</f>
        <v>2</v>
      </c>
      <c r="U1642" s="5">
        <f>_xlfn.XLOOKUP(CustomerCombined[[#This Row],[ID]], Table4[ID], Table4[Store], "Not Found", 0)</f>
        <v>4</v>
      </c>
      <c r="V1642" s="5">
        <f>_xlfn.XLOOKUP(CustomerCombined[[#This Row],[ID]], Table4[ID], Table4[Visits], "Not Found", 0)</f>
        <v>8</v>
      </c>
      <c r="W1642" s="8">
        <f>_xlfn.XLOOKUP(CustomerCombined[[#This Row],[ID]], Table2[ID],Table2[Complaint], "Not Found", 0 )</f>
        <v>0</v>
      </c>
      <c r="X1642" s="8">
        <f>_xlfn.XLOOKUP(CustomerCombined[[#This Row],[ID]], Table2[ID],Table2[Pilot], "Not Found", 0 )</f>
        <v>0</v>
      </c>
      <c r="Y1642" s="8">
        <f>_xlfn.XLOOKUP(CustomerCombined[[#This Row],[ID]], Table2[ID],Table2[MC1], "Not Found", 0 )</f>
        <v>0</v>
      </c>
      <c r="Z1642" s="8">
        <f>_xlfn.XLOOKUP(CustomerCombined[[#This Row],[ID]], Table2[ID],Table2[MC2], "Not Found", 0 )</f>
        <v>0</v>
      </c>
      <c r="AA1642" s="8">
        <f>_xlfn.XLOOKUP(CustomerCombined[[#This Row],[ID]], Table2[ID],Table2[MC3], "Not Found", 0 )</f>
        <v>0</v>
      </c>
      <c r="AB1642" s="8">
        <f>_xlfn.XLOOKUP(CustomerCombined[[#This Row],[ID]], Table2[ID],Table2[MC4], "Not Found", 0 )</f>
        <v>0</v>
      </c>
      <c r="AC1642" s="8">
        <f>_xlfn.XLOOKUP(CustomerCombined[[#This Row],[ID]], Table2[ID],Table2[MC5], "Not Found", 0 )</f>
        <v>0</v>
      </c>
    </row>
    <row r="1643" spans="1:29" x14ac:dyDescent="0.3">
      <c r="A1643" s="6">
        <v>1088</v>
      </c>
      <c r="B1643" s="6">
        <v>147916</v>
      </c>
      <c r="C1643" s="6">
        <v>0</v>
      </c>
      <c r="D1643" s="6">
        <v>1</v>
      </c>
      <c r="E1643" s="6">
        <v>60</v>
      </c>
      <c r="F1643" s="5" t="s">
        <v>9</v>
      </c>
      <c r="G1643" s="5" t="s">
        <v>11</v>
      </c>
      <c r="H1643" s="3" t="s">
        <v>354</v>
      </c>
      <c r="I1643" s="5" t="s">
        <v>438</v>
      </c>
      <c r="J1643" s="5">
        <f>_xlfn.XLOOKUP(CustomerCombined[[#This Row],[ID]], Table4[ID], Table4[Recency], "Not Found", 0)</f>
        <v>72</v>
      </c>
      <c r="K1643" s="5">
        <f>_xlfn.XLOOKUP(CustomerCombined[[#This Row],[ID]], Table4[ID], Table4[Teas], "Not Found", 0)</f>
        <v>1559</v>
      </c>
      <c r="L1643" s="5">
        <f>_xlfn.XLOOKUP(CustomerCombined[[#This Row],[ID]], Table4[ID], Table4[Fruits], "Not Found", 0)</f>
        <v>0</v>
      </c>
      <c r="M1643" s="5">
        <f>_xlfn.XLOOKUP(CustomerCombined[[#This Row],[ID]], Table4[ID], Table4[Meats], "Not Found", 0)</f>
        <v>80</v>
      </c>
      <c r="N1643" s="5">
        <f>_xlfn.XLOOKUP(CustomerCombined[[#This Row],[ID]], Table4[ID], Table4[Seafood], "Not Found", 0)</f>
        <v>0</v>
      </c>
      <c r="O1643" s="5">
        <f>_xlfn.XLOOKUP(CustomerCombined[[#This Row],[ID]], Table4[ID], Table4[Sweets], "Not Found", 0)</f>
        <v>0</v>
      </c>
      <c r="P1643" s="5">
        <f>_xlfn.XLOOKUP(CustomerCombined[[#This Row],[ID]], Table4[ID], Table4[Premium], "Not Found", 0)</f>
        <v>232</v>
      </c>
      <c r="Q1643" s="5">
        <f>_xlfn.XLOOKUP(CustomerCombined[[#This Row],[ID]], Table4[ID], Table4[Regular], "Not Found", 0)</f>
        <v>1408</v>
      </c>
      <c r="R1643" s="5">
        <f>_xlfn.XLOOKUP(CustomerCombined[[#This Row],[ID]], Table4[ID], Table4[Deals], "Not Found", 0)</f>
        <v>5</v>
      </c>
      <c r="S1643" s="5">
        <f>_xlfn.XLOOKUP(CustomerCombined[[#This Row],[ID]], Table4[ID], Table4[Website], "Not Found", 0)</f>
        <v>7</v>
      </c>
      <c r="T1643" s="5">
        <f>_xlfn.XLOOKUP(CustomerCombined[[#This Row],[ID]], Table4[ID], Table4[Catalog], "Not Found", 0)</f>
        <v>4</v>
      </c>
      <c r="U1643" s="5">
        <f>_xlfn.XLOOKUP(CustomerCombined[[#This Row],[ID]], Table4[ID], Table4[Store], "Not Found", 0)</f>
        <v>6</v>
      </c>
      <c r="V1643" s="5">
        <f>_xlfn.XLOOKUP(CustomerCombined[[#This Row],[ID]], Table4[ID], Table4[Visits], "Not Found", 0)</f>
        <v>6</v>
      </c>
      <c r="W1643" s="8">
        <f>_xlfn.XLOOKUP(CustomerCombined[[#This Row],[ID]], Table2[ID],Table2[Complaint], "Not Found", 0 )</f>
        <v>0</v>
      </c>
      <c r="X1643" s="8">
        <f>_xlfn.XLOOKUP(CustomerCombined[[#This Row],[ID]], Table2[ID],Table2[Pilot], "Not Found", 0 )</f>
        <v>0</v>
      </c>
      <c r="Y1643" s="8">
        <f>_xlfn.XLOOKUP(CustomerCombined[[#This Row],[ID]], Table2[ID],Table2[MC1], "Not Found", 0 )</f>
        <v>0</v>
      </c>
      <c r="Z1643" s="8">
        <f>_xlfn.XLOOKUP(CustomerCombined[[#This Row],[ID]], Table2[ID],Table2[MC2], "Not Found", 0 )</f>
        <v>0</v>
      </c>
      <c r="AA1643" s="8">
        <f>_xlfn.XLOOKUP(CustomerCombined[[#This Row],[ID]], Table2[ID],Table2[MC3], "Not Found", 0 )</f>
        <v>0</v>
      </c>
      <c r="AB1643" s="8">
        <f>_xlfn.XLOOKUP(CustomerCombined[[#This Row],[ID]], Table2[ID],Table2[MC4], "Not Found", 0 )</f>
        <v>1</v>
      </c>
      <c r="AC1643" s="8">
        <f>_xlfn.XLOOKUP(CustomerCombined[[#This Row],[ID]], Table2[ID],Table2[MC5], "Not Found", 0 )</f>
        <v>0</v>
      </c>
    </row>
    <row r="1644" spans="1:29" x14ac:dyDescent="0.3">
      <c r="A1644" s="6">
        <v>1092</v>
      </c>
      <c r="B1644" s="6">
        <v>147823</v>
      </c>
      <c r="C1644" s="6">
        <v>0</v>
      </c>
      <c r="D1644" s="6">
        <v>1</v>
      </c>
      <c r="E1644" s="6">
        <v>60</v>
      </c>
      <c r="F1644" s="5" t="s">
        <v>7</v>
      </c>
      <c r="G1644" s="5" t="s">
        <v>442</v>
      </c>
      <c r="H1644" s="3" t="s">
        <v>213</v>
      </c>
      <c r="I1644" s="5" t="s">
        <v>436</v>
      </c>
      <c r="J1644" s="5">
        <f>_xlfn.XLOOKUP(CustomerCombined[[#This Row],[ID]], Table4[ID], Table4[Recency], "Not Found", 0)</f>
        <v>0</v>
      </c>
      <c r="K1644" s="5">
        <f>_xlfn.XLOOKUP(CustomerCombined[[#This Row],[ID]], Table4[ID], Table4[Teas], "Not Found", 0)</f>
        <v>164</v>
      </c>
      <c r="L1644" s="5">
        <f>_xlfn.XLOOKUP(CustomerCombined[[#This Row],[ID]], Table4[ID], Table4[Fruits], "Not Found", 0)</f>
        <v>3</v>
      </c>
      <c r="M1644" s="5">
        <f>_xlfn.XLOOKUP(CustomerCombined[[#This Row],[ID]], Table4[ID], Table4[Meats], "Not Found", 0)</f>
        <v>15</v>
      </c>
      <c r="N1644" s="5">
        <f>_xlfn.XLOOKUP(CustomerCombined[[#This Row],[ID]], Table4[ID], Table4[Seafood], "Not Found", 0)</f>
        <v>6</v>
      </c>
      <c r="O1644" s="5">
        <f>_xlfn.XLOOKUP(CustomerCombined[[#This Row],[ID]], Table4[ID], Table4[Sweets], "Not Found", 0)</f>
        <v>3</v>
      </c>
      <c r="P1644" s="5">
        <f>_xlfn.XLOOKUP(CustomerCombined[[#This Row],[ID]], Table4[ID], Table4[Premium], "Not Found", 0)</f>
        <v>31</v>
      </c>
      <c r="Q1644" s="5">
        <f>_xlfn.XLOOKUP(CustomerCombined[[#This Row],[ID]], Table4[ID], Table4[Regular], "Not Found", 0)</f>
        <v>161</v>
      </c>
      <c r="R1644" s="5">
        <f>_xlfn.XLOOKUP(CustomerCombined[[#This Row],[ID]], Table4[ID], Table4[Deals], "Not Found", 0)</f>
        <v>2</v>
      </c>
      <c r="S1644" s="5">
        <f>_xlfn.XLOOKUP(CustomerCombined[[#This Row],[ID]], Table4[ID], Table4[Website], "Not Found", 0)</f>
        <v>2</v>
      </c>
      <c r="T1644" s="5">
        <f>_xlfn.XLOOKUP(CustomerCombined[[#This Row],[ID]], Table4[ID], Table4[Catalog], "Not Found", 0)</f>
        <v>0</v>
      </c>
      <c r="U1644" s="5">
        <f>_xlfn.XLOOKUP(CustomerCombined[[#This Row],[ID]], Table4[ID], Table4[Store], "Not Found", 0)</f>
        <v>3</v>
      </c>
      <c r="V1644" s="5">
        <f>_xlfn.XLOOKUP(CustomerCombined[[#This Row],[ID]], Table4[ID], Table4[Visits], "Not Found", 0)</f>
        <v>8</v>
      </c>
      <c r="W1644" s="8">
        <f>_xlfn.XLOOKUP(CustomerCombined[[#This Row],[ID]], Table2[ID],Table2[Complaint], "Not Found", 0 )</f>
        <v>0</v>
      </c>
      <c r="X1644" s="8">
        <f>_xlfn.XLOOKUP(CustomerCombined[[#This Row],[ID]], Table2[ID],Table2[Pilot], "Not Found", 0 )</f>
        <v>0</v>
      </c>
      <c r="Y1644" s="8">
        <f>_xlfn.XLOOKUP(CustomerCombined[[#This Row],[ID]], Table2[ID],Table2[MC1], "Not Found", 0 )</f>
        <v>0</v>
      </c>
      <c r="Z1644" s="8">
        <f>_xlfn.XLOOKUP(CustomerCombined[[#This Row],[ID]], Table2[ID],Table2[MC2], "Not Found", 0 )</f>
        <v>0</v>
      </c>
      <c r="AA1644" s="8">
        <f>_xlfn.XLOOKUP(CustomerCombined[[#This Row],[ID]], Table2[ID],Table2[MC3], "Not Found", 0 )</f>
        <v>0</v>
      </c>
      <c r="AB1644" s="8">
        <f>_xlfn.XLOOKUP(CustomerCombined[[#This Row],[ID]], Table2[ID],Table2[MC4], "Not Found", 0 )</f>
        <v>0</v>
      </c>
      <c r="AC1644" s="8">
        <f>_xlfn.XLOOKUP(CustomerCombined[[#This Row],[ID]], Table2[ID],Table2[MC5], "Not Found", 0 )</f>
        <v>0</v>
      </c>
    </row>
    <row r="1645" spans="1:29" x14ac:dyDescent="0.3">
      <c r="A1645" s="6">
        <v>2156</v>
      </c>
      <c r="B1645" s="6">
        <v>147353</v>
      </c>
      <c r="C1645" s="6">
        <v>0</v>
      </c>
      <c r="D1645" s="6">
        <v>1</v>
      </c>
      <c r="E1645" s="6">
        <v>60</v>
      </c>
      <c r="F1645" s="5" t="s">
        <v>6</v>
      </c>
      <c r="G1645" s="5" t="s">
        <v>12</v>
      </c>
      <c r="H1645" s="3" t="s">
        <v>151</v>
      </c>
      <c r="I1645" s="5" t="s">
        <v>438</v>
      </c>
      <c r="J1645" s="5">
        <f>_xlfn.XLOOKUP(CustomerCombined[[#This Row],[ID]], Table4[ID], Table4[Recency], "Not Found", 0)</f>
        <v>93</v>
      </c>
      <c r="K1645" s="5">
        <f>_xlfn.XLOOKUP(CustomerCombined[[#This Row],[ID]], Table4[ID], Table4[Teas], "Not Found", 0)</f>
        <v>573</v>
      </c>
      <c r="L1645" s="5">
        <f>_xlfn.XLOOKUP(CustomerCombined[[#This Row],[ID]], Table4[ID], Table4[Fruits], "Not Found", 0)</f>
        <v>6</v>
      </c>
      <c r="M1645" s="5">
        <f>_xlfn.XLOOKUP(CustomerCombined[[#This Row],[ID]], Table4[ID], Table4[Meats], "Not Found", 0)</f>
        <v>59</v>
      </c>
      <c r="N1645" s="5">
        <f>_xlfn.XLOOKUP(CustomerCombined[[#This Row],[ID]], Table4[ID], Table4[Seafood], "Not Found", 0)</f>
        <v>25</v>
      </c>
      <c r="O1645" s="5">
        <f>_xlfn.XLOOKUP(CustomerCombined[[#This Row],[ID]], Table4[ID], Table4[Sweets], "Not Found", 0)</f>
        <v>25</v>
      </c>
      <c r="P1645" s="5">
        <f>_xlfn.XLOOKUP(CustomerCombined[[#This Row],[ID]], Table4[ID], Table4[Premium], "Not Found", 0)</f>
        <v>12</v>
      </c>
      <c r="Q1645" s="5">
        <f>_xlfn.XLOOKUP(CustomerCombined[[#This Row],[ID]], Table4[ID], Table4[Regular], "Not Found", 0)</f>
        <v>675</v>
      </c>
      <c r="R1645" s="5">
        <f>_xlfn.XLOOKUP(CustomerCombined[[#This Row],[ID]], Table4[ID], Table4[Deals], "Not Found", 0)</f>
        <v>3</v>
      </c>
      <c r="S1645" s="5">
        <f>_xlfn.XLOOKUP(CustomerCombined[[#This Row],[ID]], Table4[ID], Table4[Website], "Not Found", 0)</f>
        <v>2</v>
      </c>
      <c r="T1645" s="5">
        <f>_xlfn.XLOOKUP(CustomerCombined[[#This Row],[ID]], Table4[ID], Table4[Catalog], "Not Found", 0)</f>
        <v>2</v>
      </c>
      <c r="U1645" s="5">
        <f>_xlfn.XLOOKUP(CustomerCombined[[#This Row],[ID]], Table4[ID], Table4[Store], "Not Found", 0)</f>
        <v>6</v>
      </c>
      <c r="V1645" s="5">
        <f>_xlfn.XLOOKUP(CustomerCombined[[#This Row],[ID]], Table4[ID], Table4[Visits], "Not Found", 0)</f>
        <v>5</v>
      </c>
      <c r="W1645" s="8">
        <f>_xlfn.XLOOKUP(CustomerCombined[[#This Row],[ID]], Table2[ID],Table2[Complaint], "Not Found", 0 )</f>
        <v>0</v>
      </c>
      <c r="X1645" s="8">
        <f>_xlfn.XLOOKUP(CustomerCombined[[#This Row],[ID]], Table2[ID],Table2[Pilot], "Not Found", 0 )</f>
        <v>0</v>
      </c>
      <c r="Y1645" s="8">
        <f>_xlfn.XLOOKUP(CustomerCombined[[#This Row],[ID]], Table2[ID],Table2[MC1], "Not Found", 0 )</f>
        <v>0</v>
      </c>
      <c r="Z1645" s="8">
        <f>_xlfn.XLOOKUP(CustomerCombined[[#This Row],[ID]], Table2[ID],Table2[MC2], "Not Found", 0 )</f>
        <v>0</v>
      </c>
      <c r="AA1645" s="8">
        <f>_xlfn.XLOOKUP(CustomerCombined[[#This Row],[ID]], Table2[ID],Table2[MC3], "Not Found", 0 )</f>
        <v>0</v>
      </c>
      <c r="AB1645" s="8">
        <f>_xlfn.XLOOKUP(CustomerCombined[[#This Row],[ID]], Table2[ID],Table2[MC4], "Not Found", 0 )</f>
        <v>0</v>
      </c>
      <c r="AC1645" s="8">
        <f>_xlfn.XLOOKUP(CustomerCombined[[#This Row],[ID]], Table2[ID],Table2[MC5], "Not Found", 0 )</f>
        <v>0</v>
      </c>
    </row>
    <row r="1646" spans="1:29" x14ac:dyDescent="0.3">
      <c r="A1646" s="6">
        <v>1961</v>
      </c>
      <c r="B1646" s="6">
        <v>146779</v>
      </c>
      <c r="C1646" s="6">
        <v>1</v>
      </c>
      <c r="D1646" s="6">
        <v>1</v>
      </c>
      <c r="E1646" s="6">
        <v>60</v>
      </c>
      <c r="F1646" s="5" t="s">
        <v>9</v>
      </c>
      <c r="G1646" s="5" t="s">
        <v>442</v>
      </c>
      <c r="H1646" s="3" t="s">
        <v>224</v>
      </c>
      <c r="I1646" s="5" t="s">
        <v>434</v>
      </c>
      <c r="J1646" s="5">
        <f>_xlfn.XLOOKUP(CustomerCombined[[#This Row],[ID]], Table4[ID], Table4[Recency], "Not Found", 0)</f>
        <v>55</v>
      </c>
      <c r="K1646" s="5">
        <f>_xlfn.XLOOKUP(CustomerCombined[[#This Row],[ID]], Table4[ID], Table4[Teas], "Not Found", 0)</f>
        <v>38</v>
      </c>
      <c r="L1646" s="5">
        <f>_xlfn.XLOOKUP(CustomerCombined[[#This Row],[ID]], Table4[ID], Table4[Fruits], "Not Found", 0)</f>
        <v>3</v>
      </c>
      <c r="M1646" s="5">
        <f>_xlfn.XLOOKUP(CustomerCombined[[#This Row],[ID]], Table4[ID], Table4[Meats], "Not Found", 0)</f>
        <v>9</v>
      </c>
      <c r="N1646" s="5">
        <f>_xlfn.XLOOKUP(CustomerCombined[[#This Row],[ID]], Table4[ID], Table4[Seafood], "Not Found", 0)</f>
        <v>0</v>
      </c>
      <c r="O1646" s="5">
        <f>_xlfn.XLOOKUP(CustomerCombined[[#This Row],[ID]], Table4[ID], Table4[Sweets], "Not Found", 0)</f>
        <v>0</v>
      </c>
      <c r="P1646" s="5">
        <f>_xlfn.XLOOKUP(CustomerCombined[[#This Row],[ID]], Table4[ID], Table4[Premium], "Not Found", 0)</f>
        <v>22</v>
      </c>
      <c r="Q1646" s="5">
        <f>_xlfn.XLOOKUP(CustomerCombined[[#This Row],[ID]], Table4[ID], Table4[Regular], "Not Found", 0)</f>
        <v>28</v>
      </c>
      <c r="R1646" s="5">
        <f>_xlfn.XLOOKUP(CustomerCombined[[#This Row],[ID]], Table4[ID], Table4[Deals], "Not Found", 0)</f>
        <v>1</v>
      </c>
      <c r="S1646" s="5">
        <f>_xlfn.XLOOKUP(CustomerCombined[[#This Row],[ID]], Table4[ID], Table4[Website], "Not Found", 0)</f>
        <v>0</v>
      </c>
      <c r="T1646" s="5">
        <f>_xlfn.XLOOKUP(CustomerCombined[[#This Row],[ID]], Table4[ID], Table4[Catalog], "Not Found", 0)</f>
        <v>1</v>
      </c>
      <c r="U1646" s="5">
        <f>_xlfn.XLOOKUP(CustomerCombined[[#This Row],[ID]], Table4[ID], Table4[Store], "Not Found", 0)</f>
        <v>2</v>
      </c>
      <c r="V1646" s="5">
        <f>_xlfn.XLOOKUP(CustomerCombined[[#This Row],[ID]], Table4[ID], Table4[Visits], "Not Found", 0)</f>
        <v>4</v>
      </c>
      <c r="W1646" s="8">
        <f>_xlfn.XLOOKUP(CustomerCombined[[#This Row],[ID]], Table2[ID],Table2[Complaint], "Not Found", 0 )</f>
        <v>0</v>
      </c>
      <c r="X1646" s="8">
        <f>_xlfn.XLOOKUP(CustomerCombined[[#This Row],[ID]], Table2[ID],Table2[Pilot], "Not Found", 0 )</f>
        <v>0</v>
      </c>
      <c r="Y1646" s="8">
        <f>_xlfn.XLOOKUP(CustomerCombined[[#This Row],[ID]], Table2[ID],Table2[MC1], "Not Found", 0 )</f>
        <v>0</v>
      </c>
      <c r="Z1646" s="8">
        <f>_xlfn.XLOOKUP(CustomerCombined[[#This Row],[ID]], Table2[ID],Table2[MC2], "Not Found", 0 )</f>
        <v>0</v>
      </c>
      <c r="AA1646" s="8">
        <f>_xlfn.XLOOKUP(CustomerCombined[[#This Row],[ID]], Table2[ID],Table2[MC3], "Not Found", 0 )</f>
        <v>0</v>
      </c>
      <c r="AB1646" s="8">
        <f>_xlfn.XLOOKUP(CustomerCombined[[#This Row],[ID]], Table2[ID],Table2[MC4], "Not Found", 0 )</f>
        <v>0</v>
      </c>
      <c r="AC1646" s="8">
        <f>_xlfn.XLOOKUP(CustomerCombined[[#This Row],[ID]], Table2[ID],Table2[MC5], "Not Found", 0 )</f>
        <v>0</v>
      </c>
    </row>
    <row r="1647" spans="1:29" x14ac:dyDescent="0.3">
      <c r="A1647" s="6">
        <v>2579</v>
      </c>
      <c r="B1647" s="6">
        <v>144512</v>
      </c>
      <c r="C1647" s="6">
        <v>1</v>
      </c>
      <c r="D1647" s="6">
        <v>1</v>
      </c>
      <c r="E1647" s="6">
        <v>60</v>
      </c>
      <c r="F1647" s="5" t="s">
        <v>8</v>
      </c>
      <c r="G1647" s="5" t="s">
        <v>11</v>
      </c>
      <c r="H1647" s="3">
        <v>43923</v>
      </c>
      <c r="I1647" s="5" t="s">
        <v>434</v>
      </c>
      <c r="J1647" s="5">
        <f>_xlfn.XLOOKUP(CustomerCombined[[#This Row],[ID]], Table4[ID], Table4[Recency], "Not Found", 0)</f>
        <v>57</v>
      </c>
      <c r="K1647" s="5">
        <f>_xlfn.XLOOKUP(CustomerCombined[[#This Row],[ID]], Table4[ID], Table4[Teas], "Not Found", 0)</f>
        <v>75</v>
      </c>
      <c r="L1647" s="5">
        <f>_xlfn.XLOOKUP(CustomerCombined[[#This Row],[ID]], Table4[ID], Table4[Fruits], "Not Found", 0)</f>
        <v>3</v>
      </c>
      <c r="M1647" s="5">
        <f>_xlfn.XLOOKUP(CustomerCombined[[#This Row],[ID]], Table4[ID], Table4[Meats], "Not Found", 0)</f>
        <v>19</v>
      </c>
      <c r="N1647" s="5">
        <f>_xlfn.XLOOKUP(CustomerCombined[[#This Row],[ID]], Table4[ID], Table4[Seafood], "Not Found", 0)</f>
        <v>0</v>
      </c>
      <c r="O1647" s="5">
        <f>_xlfn.XLOOKUP(CustomerCombined[[#This Row],[ID]], Table4[ID], Table4[Sweets], "Not Found", 0)</f>
        <v>0</v>
      </c>
      <c r="P1647" s="5">
        <f>_xlfn.XLOOKUP(CustomerCombined[[#This Row],[ID]], Table4[ID], Table4[Premium], "Not Found", 0)</f>
        <v>6</v>
      </c>
      <c r="Q1647" s="5">
        <f>_xlfn.XLOOKUP(CustomerCombined[[#This Row],[ID]], Table4[ID], Table4[Regular], "Not Found", 0)</f>
        <v>91</v>
      </c>
      <c r="R1647" s="5">
        <f>_xlfn.XLOOKUP(CustomerCombined[[#This Row],[ID]], Table4[ID], Table4[Deals], "Not Found", 0)</f>
        <v>2</v>
      </c>
      <c r="S1647" s="5">
        <f>_xlfn.XLOOKUP(CustomerCombined[[#This Row],[ID]], Table4[ID], Table4[Website], "Not Found", 0)</f>
        <v>1</v>
      </c>
      <c r="T1647" s="5">
        <f>_xlfn.XLOOKUP(CustomerCombined[[#This Row],[ID]], Table4[ID], Table4[Catalog], "Not Found", 0)</f>
        <v>0</v>
      </c>
      <c r="U1647" s="5">
        <f>_xlfn.XLOOKUP(CustomerCombined[[#This Row],[ID]], Table4[ID], Table4[Store], "Not Found", 0)</f>
        <v>3</v>
      </c>
      <c r="V1647" s="5">
        <f>_xlfn.XLOOKUP(CustomerCombined[[#This Row],[ID]], Table4[ID], Table4[Visits], "Not Found", 0)</f>
        <v>4</v>
      </c>
      <c r="W1647" s="8">
        <f>_xlfn.XLOOKUP(CustomerCombined[[#This Row],[ID]], Table2[ID],Table2[Complaint], "Not Found", 0 )</f>
        <v>0</v>
      </c>
      <c r="X1647" s="8">
        <f>_xlfn.XLOOKUP(CustomerCombined[[#This Row],[ID]], Table2[ID],Table2[Pilot], "Not Found", 0 )</f>
        <v>0</v>
      </c>
      <c r="Y1647" s="8">
        <f>_xlfn.XLOOKUP(CustomerCombined[[#This Row],[ID]], Table2[ID],Table2[MC1], "Not Found", 0 )</f>
        <v>0</v>
      </c>
      <c r="Z1647" s="8">
        <f>_xlfn.XLOOKUP(CustomerCombined[[#This Row],[ID]], Table2[ID],Table2[MC2], "Not Found", 0 )</f>
        <v>0</v>
      </c>
      <c r="AA1647" s="8">
        <f>_xlfn.XLOOKUP(CustomerCombined[[#This Row],[ID]], Table2[ID],Table2[MC3], "Not Found", 0 )</f>
        <v>0</v>
      </c>
      <c r="AB1647" s="8">
        <f>_xlfn.XLOOKUP(CustomerCombined[[#This Row],[ID]], Table2[ID],Table2[MC4], "Not Found", 0 )</f>
        <v>0</v>
      </c>
      <c r="AC1647" s="8">
        <f>_xlfn.XLOOKUP(CustomerCombined[[#This Row],[ID]], Table2[ID],Table2[MC5], "Not Found", 0 )</f>
        <v>0</v>
      </c>
    </row>
    <row r="1648" spans="1:29" x14ac:dyDescent="0.3">
      <c r="A1648" s="6">
        <v>3115</v>
      </c>
      <c r="B1648" s="6">
        <v>141275</v>
      </c>
      <c r="C1648" s="6">
        <v>1</v>
      </c>
      <c r="D1648" s="6">
        <v>2</v>
      </c>
      <c r="E1648" s="6">
        <v>60</v>
      </c>
      <c r="F1648" s="5" t="s">
        <v>8</v>
      </c>
      <c r="G1648" s="5" t="s">
        <v>12</v>
      </c>
      <c r="H1648" s="3" t="s">
        <v>77</v>
      </c>
      <c r="I1648" s="5" t="s">
        <v>437</v>
      </c>
      <c r="J1648" s="5">
        <f>_xlfn.XLOOKUP(CustomerCombined[[#This Row],[ID]], Table4[ID], Table4[Recency], "Not Found", 0)</f>
        <v>33</v>
      </c>
      <c r="K1648" s="5">
        <f>_xlfn.XLOOKUP(CustomerCombined[[#This Row],[ID]], Table4[ID], Table4[Teas], "Not Found", 0)</f>
        <v>82</v>
      </c>
      <c r="L1648" s="5">
        <f>_xlfn.XLOOKUP(CustomerCombined[[#This Row],[ID]], Table4[ID], Table4[Fruits], "Not Found", 0)</f>
        <v>14</v>
      </c>
      <c r="M1648" s="5">
        <f>_xlfn.XLOOKUP(CustomerCombined[[#This Row],[ID]], Table4[ID], Table4[Meats], "Not Found", 0)</f>
        <v>75</v>
      </c>
      <c r="N1648" s="5">
        <f>_xlfn.XLOOKUP(CustomerCombined[[#This Row],[ID]], Table4[ID], Table4[Seafood], "Not Found", 0)</f>
        <v>0</v>
      </c>
      <c r="O1648" s="5">
        <f>_xlfn.XLOOKUP(CustomerCombined[[#This Row],[ID]], Table4[ID], Table4[Sweets], "Not Found", 0)</f>
        <v>7</v>
      </c>
      <c r="P1648" s="5">
        <f>_xlfn.XLOOKUP(CustomerCombined[[#This Row],[ID]], Table4[ID], Table4[Premium], "Not Found", 0)</f>
        <v>31</v>
      </c>
      <c r="Q1648" s="5">
        <f>_xlfn.XLOOKUP(CustomerCombined[[#This Row],[ID]], Table4[ID], Table4[Regular], "Not Found", 0)</f>
        <v>147</v>
      </c>
      <c r="R1648" s="5">
        <f>_xlfn.XLOOKUP(CustomerCombined[[#This Row],[ID]], Table4[ID], Table4[Deals], "Not Found", 0)</f>
        <v>4</v>
      </c>
      <c r="S1648" s="5">
        <f>_xlfn.XLOOKUP(CustomerCombined[[#This Row],[ID]], Table4[ID], Table4[Website], "Not Found", 0)</f>
        <v>3</v>
      </c>
      <c r="T1648" s="5">
        <f>_xlfn.XLOOKUP(CustomerCombined[[#This Row],[ID]], Table4[ID], Table4[Catalog], "Not Found", 0)</f>
        <v>1</v>
      </c>
      <c r="U1648" s="5">
        <f>_xlfn.XLOOKUP(CustomerCombined[[#This Row],[ID]], Table4[ID], Table4[Store], "Not Found", 0)</f>
        <v>3</v>
      </c>
      <c r="V1648" s="5">
        <f>_xlfn.XLOOKUP(CustomerCombined[[#This Row],[ID]], Table4[ID], Table4[Visits], "Not Found", 0)</f>
        <v>5</v>
      </c>
      <c r="W1648" s="8">
        <f>_xlfn.XLOOKUP(CustomerCombined[[#This Row],[ID]], Table2[ID],Table2[Complaint], "Not Found", 0 )</f>
        <v>0</v>
      </c>
      <c r="X1648" s="8">
        <f>_xlfn.XLOOKUP(CustomerCombined[[#This Row],[ID]], Table2[ID],Table2[Pilot], "Not Found", 0 )</f>
        <v>0</v>
      </c>
      <c r="Y1648" s="8">
        <f>_xlfn.XLOOKUP(CustomerCombined[[#This Row],[ID]], Table2[ID],Table2[MC1], "Not Found", 0 )</f>
        <v>0</v>
      </c>
      <c r="Z1648" s="8">
        <f>_xlfn.XLOOKUP(CustomerCombined[[#This Row],[ID]], Table2[ID],Table2[MC2], "Not Found", 0 )</f>
        <v>0</v>
      </c>
      <c r="AA1648" s="8">
        <f>_xlfn.XLOOKUP(CustomerCombined[[#This Row],[ID]], Table2[ID],Table2[MC3], "Not Found", 0 )</f>
        <v>0</v>
      </c>
      <c r="AB1648" s="8">
        <f>_xlfn.XLOOKUP(CustomerCombined[[#This Row],[ID]], Table2[ID],Table2[MC4], "Not Found", 0 )</f>
        <v>0</v>
      </c>
      <c r="AC1648" s="8">
        <f>_xlfn.XLOOKUP(CustomerCombined[[#This Row],[ID]], Table2[ID],Table2[MC5], "Not Found", 0 )</f>
        <v>0</v>
      </c>
    </row>
    <row r="1649" spans="1:29" x14ac:dyDescent="0.3">
      <c r="A1649" s="6">
        <v>2621</v>
      </c>
      <c r="B1649" s="6">
        <v>139228</v>
      </c>
      <c r="C1649" s="6">
        <v>0</v>
      </c>
      <c r="D1649" s="6">
        <v>0</v>
      </c>
      <c r="E1649" s="6">
        <v>60</v>
      </c>
      <c r="F1649" s="5" t="s">
        <v>5</v>
      </c>
      <c r="G1649" s="5" t="s">
        <v>12</v>
      </c>
      <c r="H1649" s="3" t="s">
        <v>261</v>
      </c>
      <c r="I1649" s="5" t="s">
        <v>434</v>
      </c>
      <c r="J1649" s="5">
        <f>_xlfn.XLOOKUP(CustomerCombined[[#This Row],[ID]], Table4[ID], Table4[Recency], "Not Found", 0)</f>
        <v>1</v>
      </c>
      <c r="K1649" s="5">
        <f>_xlfn.XLOOKUP(CustomerCombined[[#This Row],[ID]], Table4[ID], Table4[Teas], "Not Found", 0)</f>
        <v>25</v>
      </c>
      <c r="L1649" s="5">
        <f>_xlfn.XLOOKUP(CustomerCombined[[#This Row],[ID]], Table4[ID], Table4[Fruits], "Not Found", 0)</f>
        <v>4</v>
      </c>
      <c r="M1649" s="5">
        <f>_xlfn.XLOOKUP(CustomerCombined[[#This Row],[ID]], Table4[ID], Table4[Meats], "Not Found", 0)</f>
        <v>21</v>
      </c>
      <c r="N1649" s="5">
        <f>_xlfn.XLOOKUP(CustomerCombined[[#This Row],[ID]], Table4[ID], Table4[Seafood], "Not Found", 0)</f>
        <v>0</v>
      </c>
      <c r="O1649" s="5">
        <f>_xlfn.XLOOKUP(CustomerCombined[[#This Row],[ID]], Table4[ID], Table4[Sweets], "Not Found", 0)</f>
        <v>11</v>
      </c>
      <c r="P1649" s="5">
        <f>_xlfn.XLOOKUP(CustomerCombined[[#This Row],[ID]], Table4[ID], Table4[Premium], "Not Found", 0)</f>
        <v>11</v>
      </c>
      <c r="Q1649" s="5">
        <f>_xlfn.XLOOKUP(CustomerCombined[[#This Row],[ID]], Table4[ID], Table4[Regular], "Not Found", 0)</f>
        <v>50</v>
      </c>
      <c r="R1649" s="5">
        <f>_xlfn.XLOOKUP(CustomerCombined[[#This Row],[ID]], Table4[ID], Table4[Deals], "Not Found", 0)</f>
        <v>1</v>
      </c>
      <c r="S1649" s="5">
        <f>_xlfn.XLOOKUP(CustomerCombined[[#This Row],[ID]], Table4[ID], Table4[Website], "Not Found", 0)</f>
        <v>0</v>
      </c>
      <c r="T1649" s="5">
        <f>_xlfn.XLOOKUP(CustomerCombined[[#This Row],[ID]], Table4[ID], Table4[Catalog], "Not Found", 0)</f>
        <v>0</v>
      </c>
      <c r="U1649" s="5">
        <f>_xlfn.XLOOKUP(CustomerCombined[[#This Row],[ID]], Table4[ID], Table4[Store], "Not Found", 0)</f>
        <v>3</v>
      </c>
      <c r="V1649" s="5">
        <f>_xlfn.XLOOKUP(CustomerCombined[[#This Row],[ID]], Table4[ID], Table4[Visits], "Not Found", 0)</f>
        <v>4</v>
      </c>
      <c r="W1649" s="8">
        <f>_xlfn.XLOOKUP(CustomerCombined[[#This Row],[ID]], Table2[ID],Table2[Complaint], "Not Found", 0 )</f>
        <v>0</v>
      </c>
      <c r="X1649" s="8">
        <f>_xlfn.XLOOKUP(CustomerCombined[[#This Row],[ID]], Table2[ID],Table2[Pilot], "Not Found", 0 )</f>
        <v>0</v>
      </c>
      <c r="Y1649" s="8">
        <f>_xlfn.XLOOKUP(CustomerCombined[[#This Row],[ID]], Table2[ID],Table2[MC1], "Not Found", 0 )</f>
        <v>0</v>
      </c>
      <c r="Z1649" s="8">
        <f>_xlfn.XLOOKUP(CustomerCombined[[#This Row],[ID]], Table2[ID],Table2[MC2], "Not Found", 0 )</f>
        <v>0</v>
      </c>
      <c r="AA1649" s="8">
        <f>_xlfn.XLOOKUP(CustomerCombined[[#This Row],[ID]], Table2[ID],Table2[MC3], "Not Found", 0 )</f>
        <v>0</v>
      </c>
      <c r="AB1649" s="8">
        <f>_xlfn.XLOOKUP(CustomerCombined[[#This Row],[ID]], Table2[ID],Table2[MC4], "Not Found", 0 )</f>
        <v>0</v>
      </c>
      <c r="AC1649" s="8">
        <f>_xlfn.XLOOKUP(CustomerCombined[[#This Row],[ID]], Table2[ID],Table2[MC5], "Not Found", 0 )</f>
        <v>0</v>
      </c>
    </row>
    <row r="1650" spans="1:29" x14ac:dyDescent="0.3">
      <c r="A1650" s="6">
        <v>2551</v>
      </c>
      <c r="B1650" s="6">
        <v>138201</v>
      </c>
      <c r="C1650" s="6">
        <v>0</v>
      </c>
      <c r="D1650" s="6">
        <v>1</v>
      </c>
      <c r="E1650" s="6">
        <v>60</v>
      </c>
      <c r="F1650" s="5" t="s">
        <v>8</v>
      </c>
      <c r="G1650" s="5" t="s">
        <v>13</v>
      </c>
      <c r="H1650" s="3">
        <v>43533</v>
      </c>
      <c r="I1650" s="5" t="s">
        <v>437</v>
      </c>
      <c r="J1650" s="5">
        <f>_xlfn.XLOOKUP(CustomerCombined[[#This Row],[ID]], Table4[ID], Table4[Recency], "Not Found", 0)</f>
        <v>19</v>
      </c>
      <c r="K1650" s="5">
        <f>_xlfn.XLOOKUP(CustomerCombined[[#This Row],[ID]], Table4[ID], Table4[Teas], "Not Found", 0)</f>
        <v>843</v>
      </c>
      <c r="L1650" s="5">
        <f>_xlfn.XLOOKUP(CustomerCombined[[#This Row],[ID]], Table4[ID], Table4[Fruits], "Not Found", 0)</f>
        <v>0</v>
      </c>
      <c r="M1650" s="5">
        <f>_xlfn.XLOOKUP(CustomerCombined[[#This Row],[ID]], Table4[ID], Table4[Meats], "Not Found", 0)</f>
        <v>83</v>
      </c>
      <c r="N1650" s="5">
        <f>_xlfn.XLOOKUP(CustomerCombined[[#This Row],[ID]], Table4[ID], Table4[Seafood], "Not Found", 0)</f>
        <v>0</v>
      </c>
      <c r="O1650" s="5">
        <f>_xlfn.XLOOKUP(CustomerCombined[[#This Row],[ID]], Table4[ID], Table4[Sweets], "Not Found", 0)</f>
        <v>0</v>
      </c>
      <c r="P1650" s="5">
        <f>_xlfn.XLOOKUP(CustomerCombined[[#This Row],[ID]], Table4[ID], Table4[Premium], "Not Found", 0)</f>
        <v>43</v>
      </c>
      <c r="Q1650" s="5">
        <f>_xlfn.XLOOKUP(CustomerCombined[[#This Row],[ID]], Table4[ID], Table4[Regular], "Not Found", 0)</f>
        <v>883</v>
      </c>
      <c r="R1650" s="5">
        <f>_xlfn.XLOOKUP(CustomerCombined[[#This Row],[ID]], Table4[ID], Table4[Deals], "Not Found", 0)</f>
        <v>4</v>
      </c>
      <c r="S1650" s="5">
        <f>_xlfn.XLOOKUP(CustomerCombined[[#This Row],[ID]], Table4[ID], Table4[Website], "Not Found", 0)</f>
        <v>5</v>
      </c>
      <c r="T1650" s="5">
        <f>_xlfn.XLOOKUP(CustomerCombined[[#This Row],[ID]], Table4[ID], Table4[Catalog], "Not Found", 0)</f>
        <v>1</v>
      </c>
      <c r="U1650" s="5">
        <f>_xlfn.XLOOKUP(CustomerCombined[[#This Row],[ID]], Table4[ID], Table4[Store], "Not Found", 0)</f>
        <v>5</v>
      </c>
      <c r="V1650" s="5">
        <f>_xlfn.XLOOKUP(CustomerCombined[[#This Row],[ID]], Table4[ID], Table4[Visits], "Not Found", 0)</f>
        <v>8</v>
      </c>
      <c r="W1650" s="8">
        <f>_xlfn.XLOOKUP(CustomerCombined[[#This Row],[ID]], Table2[ID],Table2[Complaint], "Not Found", 0 )</f>
        <v>0</v>
      </c>
      <c r="X1650" s="8">
        <f>_xlfn.XLOOKUP(CustomerCombined[[#This Row],[ID]], Table2[ID],Table2[Pilot], "Not Found", 0 )</f>
        <v>0</v>
      </c>
      <c r="Y1650" s="8">
        <f>_xlfn.XLOOKUP(CustomerCombined[[#This Row],[ID]], Table2[ID],Table2[MC1], "Not Found", 0 )</f>
        <v>0</v>
      </c>
      <c r="Z1650" s="8">
        <f>_xlfn.XLOOKUP(CustomerCombined[[#This Row],[ID]], Table2[ID],Table2[MC2], "Not Found", 0 )</f>
        <v>0</v>
      </c>
      <c r="AA1650" s="8">
        <f>_xlfn.XLOOKUP(CustomerCombined[[#This Row],[ID]], Table2[ID],Table2[MC3], "Not Found", 0 )</f>
        <v>0</v>
      </c>
      <c r="AB1650" s="8">
        <f>_xlfn.XLOOKUP(CustomerCombined[[#This Row],[ID]], Table2[ID],Table2[MC4], "Not Found", 0 )</f>
        <v>0</v>
      </c>
      <c r="AC1650" s="8">
        <f>_xlfn.XLOOKUP(CustomerCombined[[#This Row],[ID]], Table2[ID],Table2[MC5], "Not Found", 0 )</f>
        <v>0</v>
      </c>
    </row>
    <row r="1651" spans="1:29" x14ac:dyDescent="0.3">
      <c r="A1651" s="6">
        <v>1616</v>
      </c>
      <c r="B1651" s="6">
        <v>132218</v>
      </c>
      <c r="C1651" s="6">
        <v>0</v>
      </c>
      <c r="D1651" s="6">
        <v>0</v>
      </c>
      <c r="E1651" s="6">
        <v>60</v>
      </c>
      <c r="F1651" s="5" t="s">
        <v>7</v>
      </c>
      <c r="G1651" s="5" t="s">
        <v>442</v>
      </c>
      <c r="H1651" s="3" t="s">
        <v>98</v>
      </c>
      <c r="I1651" s="5" t="s">
        <v>438</v>
      </c>
      <c r="J1651" s="5">
        <f>_xlfn.XLOOKUP(CustomerCombined[[#This Row],[ID]], Table4[ID], Table4[Recency], "Not Found", 0)</f>
        <v>27</v>
      </c>
      <c r="K1651" s="5">
        <f>_xlfn.XLOOKUP(CustomerCombined[[#This Row],[ID]], Table4[ID], Table4[Teas], "Not Found", 0)</f>
        <v>41</v>
      </c>
      <c r="L1651" s="5">
        <f>_xlfn.XLOOKUP(CustomerCombined[[#This Row],[ID]], Table4[ID], Table4[Fruits], "Not Found", 0)</f>
        <v>98</v>
      </c>
      <c r="M1651" s="5">
        <f>_xlfn.XLOOKUP(CustomerCombined[[#This Row],[ID]], Table4[ID], Table4[Meats], "Not Found", 0)</f>
        <v>62</v>
      </c>
      <c r="N1651" s="5">
        <f>_xlfn.XLOOKUP(CustomerCombined[[#This Row],[ID]], Table4[ID], Table4[Seafood], "Not Found", 0)</f>
        <v>53</v>
      </c>
      <c r="O1651" s="5">
        <f>_xlfn.XLOOKUP(CustomerCombined[[#This Row],[ID]], Table4[ID], Table4[Sweets], "Not Found", 0)</f>
        <v>4</v>
      </c>
      <c r="P1651" s="5">
        <f>_xlfn.XLOOKUP(CustomerCombined[[#This Row],[ID]], Table4[ID], Table4[Premium], "Not Found", 0)</f>
        <v>123</v>
      </c>
      <c r="Q1651" s="5">
        <f>_xlfn.XLOOKUP(CustomerCombined[[#This Row],[ID]], Table4[ID], Table4[Regular], "Not Found", 0)</f>
        <v>135</v>
      </c>
      <c r="R1651" s="5">
        <f>_xlfn.XLOOKUP(CustomerCombined[[#This Row],[ID]], Table4[ID], Table4[Deals], "Not Found", 0)</f>
        <v>1</v>
      </c>
      <c r="S1651" s="5">
        <f>_xlfn.XLOOKUP(CustomerCombined[[#This Row],[ID]], Table4[ID], Table4[Website], "Not Found", 0)</f>
        <v>2</v>
      </c>
      <c r="T1651" s="5">
        <f>_xlfn.XLOOKUP(CustomerCombined[[#This Row],[ID]], Table4[ID], Table4[Catalog], "Not Found", 0)</f>
        <v>1</v>
      </c>
      <c r="U1651" s="5">
        <f>_xlfn.XLOOKUP(CustomerCombined[[#This Row],[ID]], Table4[ID], Table4[Store], "Not Found", 0)</f>
        <v>3</v>
      </c>
      <c r="V1651" s="5">
        <f>_xlfn.XLOOKUP(CustomerCombined[[#This Row],[ID]], Table4[ID], Table4[Visits], "Not Found", 0)</f>
        <v>7</v>
      </c>
      <c r="W1651" s="8">
        <f>_xlfn.XLOOKUP(CustomerCombined[[#This Row],[ID]], Table2[ID],Table2[Complaint], "Not Found", 0 )</f>
        <v>0</v>
      </c>
      <c r="X1651" s="8">
        <f>_xlfn.XLOOKUP(CustomerCombined[[#This Row],[ID]], Table2[ID],Table2[Pilot], "Not Found", 0 )</f>
        <v>1</v>
      </c>
      <c r="Y1651" s="8">
        <f>_xlfn.XLOOKUP(CustomerCombined[[#This Row],[ID]], Table2[ID],Table2[MC1], "Not Found", 0 )</f>
        <v>0</v>
      </c>
      <c r="Z1651" s="8">
        <f>_xlfn.XLOOKUP(CustomerCombined[[#This Row],[ID]], Table2[ID],Table2[MC2], "Not Found", 0 )</f>
        <v>0</v>
      </c>
      <c r="AA1651" s="8">
        <f>_xlfn.XLOOKUP(CustomerCombined[[#This Row],[ID]], Table2[ID],Table2[MC3], "Not Found", 0 )</f>
        <v>1</v>
      </c>
      <c r="AB1651" s="8">
        <f>_xlfn.XLOOKUP(CustomerCombined[[#This Row],[ID]], Table2[ID],Table2[MC4], "Not Found", 0 )</f>
        <v>0</v>
      </c>
      <c r="AC1651" s="8">
        <f>_xlfn.XLOOKUP(CustomerCombined[[#This Row],[ID]], Table2[ID],Table2[MC5], "Not Found", 0 )</f>
        <v>0</v>
      </c>
    </row>
    <row r="1652" spans="1:29" x14ac:dyDescent="0.3">
      <c r="A1652" s="6">
        <v>2244</v>
      </c>
      <c r="B1652" s="6">
        <v>131454</v>
      </c>
      <c r="C1652" s="6">
        <v>1</v>
      </c>
      <c r="D1652" s="6">
        <v>1</v>
      </c>
      <c r="E1652" s="6">
        <v>60</v>
      </c>
      <c r="F1652" s="5" t="s">
        <v>6</v>
      </c>
      <c r="G1652" s="5" t="s">
        <v>11</v>
      </c>
      <c r="H1652" s="3">
        <v>43781</v>
      </c>
      <c r="I1652" s="5" t="s">
        <v>436</v>
      </c>
      <c r="J1652" s="5">
        <f>_xlfn.XLOOKUP(CustomerCombined[[#This Row],[ID]], Table4[ID], Table4[Recency], "Not Found", 0)</f>
        <v>40</v>
      </c>
      <c r="K1652" s="5">
        <f>_xlfn.XLOOKUP(CustomerCombined[[#This Row],[ID]], Table4[ID], Table4[Teas], "Not Found", 0)</f>
        <v>117</v>
      </c>
      <c r="L1652" s="5">
        <f>_xlfn.XLOOKUP(CustomerCombined[[#This Row],[ID]], Table4[ID], Table4[Fruits], "Not Found", 0)</f>
        <v>0</v>
      </c>
      <c r="M1652" s="5">
        <f>_xlfn.XLOOKUP(CustomerCombined[[#This Row],[ID]], Table4[ID], Table4[Meats], "Not Found", 0)</f>
        <v>46</v>
      </c>
      <c r="N1652" s="5">
        <f>_xlfn.XLOOKUP(CustomerCombined[[#This Row],[ID]], Table4[ID], Table4[Seafood], "Not Found", 0)</f>
        <v>0</v>
      </c>
      <c r="O1652" s="5">
        <f>_xlfn.XLOOKUP(CustomerCombined[[#This Row],[ID]], Table4[ID], Table4[Sweets], "Not Found", 0)</f>
        <v>0</v>
      </c>
      <c r="P1652" s="5">
        <f>_xlfn.XLOOKUP(CustomerCombined[[#This Row],[ID]], Table4[ID], Table4[Premium], "Not Found", 0)</f>
        <v>38</v>
      </c>
      <c r="Q1652" s="5">
        <f>_xlfn.XLOOKUP(CustomerCombined[[#This Row],[ID]], Table4[ID], Table4[Regular], "Not Found", 0)</f>
        <v>125</v>
      </c>
      <c r="R1652" s="5">
        <f>_xlfn.XLOOKUP(CustomerCombined[[#This Row],[ID]], Table4[ID], Table4[Deals], "Not Found", 0)</f>
        <v>3</v>
      </c>
      <c r="S1652" s="5">
        <f>_xlfn.XLOOKUP(CustomerCombined[[#This Row],[ID]], Table4[ID], Table4[Website], "Not Found", 0)</f>
        <v>2</v>
      </c>
      <c r="T1652" s="5">
        <f>_xlfn.XLOOKUP(CustomerCombined[[#This Row],[ID]], Table4[ID], Table4[Catalog], "Not Found", 0)</f>
        <v>0</v>
      </c>
      <c r="U1652" s="5">
        <f>_xlfn.XLOOKUP(CustomerCombined[[#This Row],[ID]], Table4[ID], Table4[Store], "Not Found", 0)</f>
        <v>3</v>
      </c>
      <c r="V1652" s="5">
        <f>_xlfn.XLOOKUP(CustomerCombined[[#This Row],[ID]], Table4[ID], Table4[Visits], "Not Found", 0)</f>
        <v>8</v>
      </c>
      <c r="W1652" s="8">
        <f>_xlfn.XLOOKUP(CustomerCombined[[#This Row],[ID]], Table2[ID],Table2[Complaint], "Not Found", 0 )</f>
        <v>0</v>
      </c>
      <c r="X1652" s="8">
        <f>_xlfn.XLOOKUP(CustomerCombined[[#This Row],[ID]], Table2[ID],Table2[Pilot], "Not Found", 0 )</f>
        <v>0</v>
      </c>
      <c r="Y1652" s="8">
        <f>_xlfn.XLOOKUP(CustomerCombined[[#This Row],[ID]], Table2[ID],Table2[MC1], "Not Found", 0 )</f>
        <v>0</v>
      </c>
      <c r="Z1652" s="8">
        <f>_xlfn.XLOOKUP(CustomerCombined[[#This Row],[ID]], Table2[ID],Table2[MC2], "Not Found", 0 )</f>
        <v>0</v>
      </c>
      <c r="AA1652" s="8">
        <f>_xlfn.XLOOKUP(CustomerCombined[[#This Row],[ID]], Table2[ID],Table2[MC3], "Not Found", 0 )</f>
        <v>0</v>
      </c>
      <c r="AB1652" s="8">
        <f>_xlfn.XLOOKUP(CustomerCombined[[#This Row],[ID]], Table2[ID],Table2[MC4], "Not Found", 0 )</f>
        <v>0</v>
      </c>
      <c r="AC1652" s="8">
        <f>_xlfn.XLOOKUP(CustomerCombined[[#This Row],[ID]], Table2[ID],Table2[MC5], "Not Found", 0 )</f>
        <v>0</v>
      </c>
    </row>
    <row r="1653" spans="1:29" x14ac:dyDescent="0.3">
      <c r="A1653" s="6">
        <v>1602</v>
      </c>
      <c r="B1653" s="6">
        <v>130522</v>
      </c>
      <c r="C1653" s="6">
        <v>0</v>
      </c>
      <c r="D1653" s="6">
        <v>1</v>
      </c>
      <c r="E1653" s="6">
        <v>60</v>
      </c>
      <c r="F1653" s="5" t="s">
        <v>6</v>
      </c>
      <c r="G1653" s="5" t="s">
        <v>12</v>
      </c>
      <c r="H1653" s="3" t="s">
        <v>411</v>
      </c>
      <c r="I1653" s="5" t="s">
        <v>436</v>
      </c>
      <c r="J1653" s="5">
        <f>_xlfn.XLOOKUP(CustomerCombined[[#This Row],[ID]], Table4[ID], Table4[Recency], "Not Found", 0)</f>
        <v>6</v>
      </c>
      <c r="K1653" s="5">
        <f>_xlfn.XLOOKUP(CustomerCombined[[#This Row],[ID]], Table4[ID], Table4[Teas], "Not Found", 0)</f>
        <v>765</v>
      </c>
      <c r="L1653" s="5">
        <f>_xlfn.XLOOKUP(CustomerCombined[[#This Row],[ID]], Table4[ID], Table4[Fruits], "Not Found", 0)</f>
        <v>34</v>
      </c>
      <c r="M1653" s="5">
        <f>_xlfn.XLOOKUP(CustomerCombined[[#This Row],[ID]], Table4[ID], Table4[Meats], "Not Found", 0)</f>
        <v>355</v>
      </c>
      <c r="N1653" s="5">
        <f>_xlfn.XLOOKUP(CustomerCombined[[#This Row],[ID]], Table4[ID], Table4[Seafood], "Not Found", 0)</f>
        <v>81</v>
      </c>
      <c r="O1653" s="5">
        <f>_xlfn.XLOOKUP(CustomerCombined[[#This Row],[ID]], Table4[ID], Table4[Sweets], "Not Found", 0)</f>
        <v>47</v>
      </c>
      <c r="P1653" s="5">
        <f>_xlfn.XLOOKUP(CustomerCombined[[#This Row],[ID]], Table4[ID], Table4[Premium], "Not Found", 0)</f>
        <v>111</v>
      </c>
      <c r="Q1653" s="5">
        <f>_xlfn.XLOOKUP(CustomerCombined[[#This Row],[ID]], Table4[ID], Table4[Regular], "Not Found", 0)</f>
        <v>1172</v>
      </c>
      <c r="R1653" s="5">
        <f>_xlfn.XLOOKUP(CustomerCombined[[#This Row],[ID]], Table4[ID], Table4[Deals], "Not Found", 0)</f>
        <v>5</v>
      </c>
      <c r="S1653" s="5">
        <f>_xlfn.XLOOKUP(CustomerCombined[[#This Row],[ID]], Table4[ID], Table4[Website], "Not Found", 0)</f>
        <v>1</v>
      </c>
      <c r="T1653" s="5">
        <f>_xlfn.XLOOKUP(CustomerCombined[[#This Row],[ID]], Table4[ID], Table4[Catalog], "Not Found", 0)</f>
        <v>2</v>
      </c>
      <c r="U1653" s="5">
        <f>_xlfn.XLOOKUP(CustomerCombined[[#This Row],[ID]], Table4[ID], Table4[Store], "Not Found", 0)</f>
        <v>9</v>
      </c>
      <c r="V1653" s="5">
        <f>_xlfn.XLOOKUP(CustomerCombined[[#This Row],[ID]], Table4[ID], Table4[Visits], "Not Found", 0)</f>
        <v>2</v>
      </c>
      <c r="W1653" s="8">
        <f>_xlfn.XLOOKUP(CustomerCombined[[#This Row],[ID]], Table2[ID],Table2[Complaint], "Not Found", 0 )</f>
        <v>0</v>
      </c>
      <c r="X1653" s="8">
        <f>_xlfn.XLOOKUP(CustomerCombined[[#This Row],[ID]], Table2[ID],Table2[Pilot], "Not Found", 0 )</f>
        <v>0</v>
      </c>
      <c r="Y1653" s="8">
        <f>_xlfn.XLOOKUP(CustomerCombined[[#This Row],[ID]], Table2[ID],Table2[MC1], "Not Found", 0 )</f>
        <v>0</v>
      </c>
      <c r="Z1653" s="8">
        <f>_xlfn.XLOOKUP(CustomerCombined[[#This Row],[ID]], Table2[ID],Table2[MC2], "Not Found", 0 )</f>
        <v>0</v>
      </c>
      <c r="AA1653" s="8">
        <f>_xlfn.XLOOKUP(CustomerCombined[[#This Row],[ID]], Table2[ID],Table2[MC3], "Not Found", 0 )</f>
        <v>0</v>
      </c>
      <c r="AB1653" s="8">
        <f>_xlfn.XLOOKUP(CustomerCombined[[#This Row],[ID]], Table2[ID],Table2[MC4], "Not Found", 0 )</f>
        <v>0</v>
      </c>
      <c r="AC1653" s="8">
        <f>_xlfn.XLOOKUP(CustomerCombined[[#This Row],[ID]], Table2[ID],Table2[MC5], "Not Found", 0 )</f>
        <v>0</v>
      </c>
    </row>
    <row r="1654" spans="1:29" x14ac:dyDescent="0.3">
      <c r="A1654" s="6">
        <v>1387</v>
      </c>
      <c r="B1654" s="6">
        <v>130507</v>
      </c>
      <c r="C1654" s="6">
        <v>0</v>
      </c>
      <c r="D1654" s="6">
        <v>0</v>
      </c>
      <c r="E1654" s="6">
        <v>60</v>
      </c>
      <c r="F1654" s="5" t="s">
        <v>8</v>
      </c>
      <c r="G1654" s="5" t="s">
        <v>11</v>
      </c>
      <c r="H1654" s="3" t="s">
        <v>296</v>
      </c>
      <c r="I1654" s="5" t="s">
        <v>437</v>
      </c>
      <c r="J1654" s="5">
        <f>_xlfn.XLOOKUP(CustomerCombined[[#This Row],[ID]], Table4[ID], Table4[Recency], "Not Found", 0)</f>
        <v>29</v>
      </c>
      <c r="K1654" s="5">
        <f>_xlfn.XLOOKUP(CustomerCombined[[#This Row],[ID]], Table4[ID], Table4[Teas], "Not Found", 0)</f>
        <v>278</v>
      </c>
      <c r="L1654" s="5">
        <f>_xlfn.XLOOKUP(CustomerCombined[[#This Row],[ID]], Table4[ID], Table4[Fruits], "Not Found", 0)</f>
        <v>154</v>
      </c>
      <c r="M1654" s="5">
        <f>_xlfn.XLOOKUP(CustomerCombined[[#This Row],[ID]], Table4[ID], Table4[Meats], "Not Found", 0)</f>
        <v>317</v>
      </c>
      <c r="N1654" s="5">
        <f>_xlfn.XLOOKUP(CustomerCombined[[#This Row],[ID]], Table4[ID], Table4[Seafood], "Not Found", 0)</f>
        <v>163</v>
      </c>
      <c r="O1654" s="5">
        <f>_xlfn.XLOOKUP(CustomerCombined[[#This Row],[ID]], Table4[ID], Table4[Sweets], "Not Found", 0)</f>
        <v>86</v>
      </c>
      <c r="P1654" s="5">
        <f>_xlfn.XLOOKUP(CustomerCombined[[#This Row],[ID]], Table4[ID], Table4[Premium], "Not Found", 0)</f>
        <v>471</v>
      </c>
      <c r="Q1654" s="5">
        <f>_xlfn.XLOOKUP(CustomerCombined[[#This Row],[ID]], Table4[ID], Table4[Regular], "Not Found", 0)</f>
        <v>526</v>
      </c>
      <c r="R1654" s="5">
        <f>_xlfn.XLOOKUP(CustomerCombined[[#This Row],[ID]], Table4[ID], Table4[Deals], "Not Found", 0)</f>
        <v>1</v>
      </c>
      <c r="S1654" s="5">
        <f>_xlfn.XLOOKUP(CustomerCombined[[#This Row],[ID]], Table4[ID], Table4[Website], "Not Found", 0)</f>
        <v>5</v>
      </c>
      <c r="T1654" s="5">
        <f>_xlfn.XLOOKUP(CustomerCombined[[#This Row],[ID]], Table4[ID], Table4[Catalog], "Not Found", 0)</f>
        <v>1</v>
      </c>
      <c r="U1654" s="5">
        <f>_xlfn.XLOOKUP(CustomerCombined[[#This Row],[ID]], Table4[ID], Table4[Store], "Not Found", 0)</f>
        <v>4</v>
      </c>
      <c r="V1654" s="5">
        <f>_xlfn.XLOOKUP(CustomerCombined[[#This Row],[ID]], Table4[ID], Table4[Visits], "Not Found", 0)</f>
        <v>7</v>
      </c>
      <c r="W1654" s="8">
        <f>_xlfn.XLOOKUP(CustomerCombined[[#This Row],[ID]], Table2[ID],Table2[Complaint], "Not Found", 0 )</f>
        <v>0</v>
      </c>
      <c r="X1654" s="8">
        <f>_xlfn.XLOOKUP(CustomerCombined[[#This Row],[ID]], Table2[ID],Table2[Pilot], "Not Found", 0 )</f>
        <v>0</v>
      </c>
      <c r="Y1654" s="8">
        <f>_xlfn.XLOOKUP(CustomerCombined[[#This Row],[ID]], Table2[ID],Table2[MC1], "Not Found", 0 )</f>
        <v>0</v>
      </c>
      <c r="Z1654" s="8">
        <f>_xlfn.XLOOKUP(CustomerCombined[[#This Row],[ID]], Table2[ID],Table2[MC2], "Not Found", 0 )</f>
        <v>0</v>
      </c>
      <c r="AA1654" s="8">
        <f>_xlfn.XLOOKUP(CustomerCombined[[#This Row],[ID]], Table2[ID],Table2[MC3], "Not Found", 0 )</f>
        <v>0</v>
      </c>
      <c r="AB1654" s="8">
        <f>_xlfn.XLOOKUP(CustomerCombined[[#This Row],[ID]], Table2[ID],Table2[MC4], "Not Found", 0 )</f>
        <v>0</v>
      </c>
      <c r="AC1654" s="8">
        <f>_xlfn.XLOOKUP(CustomerCombined[[#This Row],[ID]], Table2[ID],Table2[MC5], "Not Found", 0 )</f>
        <v>0</v>
      </c>
    </row>
    <row r="1655" spans="1:29" x14ac:dyDescent="0.3">
      <c r="A1655" s="6">
        <v>1080</v>
      </c>
      <c r="B1655" s="6">
        <v>129440</v>
      </c>
      <c r="C1655" s="6">
        <v>1</v>
      </c>
      <c r="D1655" s="6">
        <v>1</v>
      </c>
      <c r="E1655" s="6">
        <v>60</v>
      </c>
      <c r="F1655" s="5" t="s">
        <v>6</v>
      </c>
      <c r="G1655" s="5" t="s">
        <v>11</v>
      </c>
      <c r="H1655" s="3" t="s">
        <v>206</v>
      </c>
      <c r="I1655" s="5" t="s">
        <v>436</v>
      </c>
      <c r="J1655" s="5">
        <f>_xlfn.XLOOKUP(CustomerCombined[[#This Row],[ID]], Table4[ID], Table4[Recency], "Not Found", 0)</f>
        <v>95</v>
      </c>
      <c r="K1655" s="5">
        <f>_xlfn.XLOOKUP(CustomerCombined[[#This Row],[ID]], Table4[ID], Table4[Teas], "Not Found", 0)</f>
        <v>75</v>
      </c>
      <c r="L1655" s="5">
        <f>_xlfn.XLOOKUP(CustomerCombined[[#This Row],[ID]], Table4[ID], Table4[Fruits], "Not Found", 0)</f>
        <v>35</v>
      </c>
      <c r="M1655" s="5">
        <f>_xlfn.XLOOKUP(CustomerCombined[[#This Row],[ID]], Table4[ID], Table4[Meats], "Not Found", 0)</f>
        <v>62</v>
      </c>
      <c r="N1655" s="5">
        <f>_xlfn.XLOOKUP(CustomerCombined[[#This Row],[ID]], Table4[ID], Table4[Seafood], "Not Found", 0)</f>
        <v>44</v>
      </c>
      <c r="O1655" s="5">
        <f>_xlfn.XLOOKUP(CustomerCombined[[#This Row],[ID]], Table4[ID], Table4[Sweets], "Not Found", 0)</f>
        <v>18</v>
      </c>
      <c r="P1655" s="5">
        <f>_xlfn.XLOOKUP(CustomerCombined[[#This Row],[ID]], Table4[ID], Table4[Premium], "Not Found", 0)</f>
        <v>13</v>
      </c>
      <c r="Q1655" s="5">
        <f>_xlfn.XLOOKUP(CustomerCombined[[#This Row],[ID]], Table4[ID], Table4[Regular], "Not Found", 0)</f>
        <v>220</v>
      </c>
      <c r="R1655" s="5">
        <f>_xlfn.XLOOKUP(CustomerCombined[[#This Row],[ID]], Table4[ID], Table4[Deals], "Not Found", 0)</f>
        <v>2</v>
      </c>
      <c r="S1655" s="5">
        <f>_xlfn.XLOOKUP(CustomerCombined[[#This Row],[ID]], Table4[ID], Table4[Website], "Not Found", 0)</f>
        <v>1</v>
      </c>
      <c r="T1655" s="5">
        <f>_xlfn.XLOOKUP(CustomerCombined[[#This Row],[ID]], Table4[ID], Table4[Catalog], "Not Found", 0)</f>
        <v>0</v>
      </c>
      <c r="U1655" s="5">
        <f>_xlfn.XLOOKUP(CustomerCombined[[#This Row],[ID]], Table4[ID], Table4[Store], "Not Found", 0)</f>
        <v>4</v>
      </c>
      <c r="V1655" s="5">
        <f>_xlfn.XLOOKUP(CustomerCombined[[#This Row],[ID]], Table4[ID], Table4[Visits], "Not Found", 0)</f>
        <v>7</v>
      </c>
      <c r="W1655" s="8">
        <f>_xlfn.XLOOKUP(CustomerCombined[[#This Row],[ID]], Table2[ID],Table2[Complaint], "Not Found", 0 )</f>
        <v>0</v>
      </c>
      <c r="X1655" s="8">
        <f>_xlfn.XLOOKUP(CustomerCombined[[#This Row],[ID]], Table2[ID],Table2[Pilot], "Not Found", 0 )</f>
        <v>0</v>
      </c>
      <c r="Y1655" s="8">
        <f>_xlfn.XLOOKUP(CustomerCombined[[#This Row],[ID]], Table2[ID],Table2[MC1], "Not Found", 0 )</f>
        <v>0</v>
      </c>
      <c r="Z1655" s="8">
        <f>_xlfn.XLOOKUP(CustomerCombined[[#This Row],[ID]], Table2[ID],Table2[MC2], "Not Found", 0 )</f>
        <v>0</v>
      </c>
      <c r="AA1655" s="8">
        <f>_xlfn.XLOOKUP(CustomerCombined[[#This Row],[ID]], Table2[ID],Table2[MC3], "Not Found", 0 )</f>
        <v>0</v>
      </c>
      <c r="AB1655" s="8">
        <f>_xlfn.XLOOKUP(CustomerCombined[[#This Row],[ID]], Table2[ID],Table2[MC4], "Not Found", 0 )</f>
        <v>0</v>
      </c>
      <c r="AC1655" s="8">
        <f>_xlfn.XLOOKUP(CustomerCombined[[#This Row],[ID]], Table2[ID],Table2[MC5], "Not Found", 0 )</f>
        <v>0</v>
      </c>
    </row>
    <row r="1656" spans="1:29" x14ac:dyDescent="0.3">
      <c r="A1656" s="6">
        <v>1260</v>
      </c>
      <c r="B1656" s="6">
        <v>129315</v>
      </c>
      <c r="C1656" s="6">
        <v>1</v>
      </c>
      <c r="D1656" s="6">
        <v>1</v>
      </c>
      <c r="E1656" s="6">
        <v>60</v>
      </c>
      <c r="F1656" s="5" t="s">
        <v>6</v>
      </c>
      <c r="G1656" s="5" t="s">
        <v>11</v>
      </c>
      <c r="H1656" s="3">
        <v>44113</v>
      </c>
      <c r="I1656" s="5" t="s">
        <v>436</v>
      </c>
      <c r="J1656" s="5">
        <f>_xlfn.XLOOKUP(CustomerCombined[[#This Row],[ID]], Table4[ID], Table4[Recency], "Not Found", 0)</f>
        <v>55</v>
      </c>
      <c r="K1656" s="5">
        <f>_xlfn.XLOOKUP(CustomerCombined[[#This Row],[ID]], Table4[ID], Table4[Teas], "Not Found", 0)</f>
        <v>57</v>
      </c>
      <c r="L1656" s="5">
        <f>_xlfn.XLOOKUP(CustomerCombined[[#This Row],[ID]], Table4[ID], Table4[Fruits], "Not Found", 0)</f>
        <v>9</v>
      </c>
      <c r="M1656" s="5">
        <f>_xlfn.XLOOKUP(CustomerCombined[[#This Row],[ID]], Table4[ID], Table4[Meats], "Not Found", 0)</f>
        <v>62</v>
      </c>
      <c r="N1656" s="5">
        <f>_xlfn.XLOOKUP(CustomerCombined[[#This Row],[ID]], Table4[ID], Table4[Seafood], "Not Found", 0)</f>
        <v>35</v>
      </c>
      <c r="O1656" s="5">
        <f>_xlfn.XLOOKUP(CustomerCombined[[#This Row],[ID]], Table4[ID], Table4[Sweets], "Not Found", 0)</f>
        <v>31</v>
      </c>
      <c r="P1656" s="5">
        <f>_xlfn.XLOOKUP(CustomerCombined[[#This Row],[ID]], Table4[ID], Table4[Premium], "Not Found", 0)</f>
        <v>18</v>
      </c>
      <c r="Q1656" s="5">
        <f>_xlfn.XLOOKUP(CustomerCombined[[#This Row],[ID]], Table4[ID], Table4[Regular], "Not Found", 0)</f>
        <v>176</v>
      </c>
      <c r="R1656" s="5">
        <f>_xlfn.XLOOKUP(CustomerCombined[[#This Row],[ID]], Table4[ID], Table4[Deals], "Not Found", 0)</f>
        <v>4</v>
      </c>
      <c r="S1656" s="5">
        <f>_xlfn.XLOOKUP(CustomerCombined[[#This Row],[ID]], Table4[ID], Table4[Website], "Not Found", 0)</f>
        <v>2</v>
      </c>
      <c r="T1656" s="5">
        <f>_xlfn.XLOOKUP(CustomerCombined[[#This Row],[ID]], Table4[ID], Table4[Catalog], "Not Found", 0)</f>
        <v>0</v>
      </c>
      <c r="U1656" s="5">
        <f>_xlfn.XLOOKUP(CustomerCombined[[#This Row],[ID]], Table4[ID], Table4[Store], "Not Found", 0)</f>
        <v>4</v>
      </c>
      <c r="V1656" s="5">
        <f>_xlfn.XLOOKUP(CustomerCombined[[#This Row],[ID]], Table4[ID], Table4[Visits], "Not Found", 0)</f>
        <v>6</v>
      </c>
      <c r="W1656" s="8">
        <f>_xlfn.XLOOKUP(CustomerCombined[[#This Row],[ID]], Table2[ID],Table2[Complaint], "Not Found", 0 )</f>
        <v>0</v>
      </c>
      <c r="X1656" s="8">
        <f>_xlfn.XLOOKUP(CustomerCombined[[#This Row],[ID]], Table2[ID],Table2[Pilot], "Not Found", 0 )</f>
        <v>0</v>
      </c>
      <c r="Y1656" s="8">
        <f>_xlfn.XLOOKUP(CustomerCombined[[#This Row],[ID]], Table2[ID],Table2[MC1], "Not Found", 0 )</f>
        <v>0</v>
      </c>
      <c r="Z1656" s="8">
        <f>_xlfn.XLOOKUP(CustomerCombined[[#This Row],[ID]], Table2[ID],Table2[MC2], "Not Found", 0 )</f>
        <v>0</v>
      </c>
      <c r="AA1656" s="8">
        <f>_xlfn.XLOOKUP(CustomerCombined[[#This Row],[ID]], Table2[ID],Table2[MC3], "Not Found", 0 )</f>
        <v>0</v>
      </c>
      <c r="AB1656" s="8">
        <f>_xlfn.XLOOKUP(CustomerCombined[[#This Row],[ID]], Table2[ID],Table2[MC4], "Not Found", 0 )</f>
        <v>0</v>
      </c>
      <c r="AC1656" s="8">
        <f>_xlfn.XLOOKUP(CustomerCombined[[#This Row],[ID]], Table2[ID],Table2[MC5], "Not Found", 0 )</f>
        <v>0</v>
      </c>
    </row>
    <row r="1657" spans="1:29" x14ac:dyDescent="0.3">
      <c r="A1657" s="6">
        <v>2770</v>
      </c>
      <c r="B1657" s="6">
        <v>128520</v>
      </c>
      <c r="C1657" s="6">
        <v>1</v>
      </c>
      <c r="D1657" s="6">
        <v>1</v>
      </c>
      <c r="E1657" s="6">
        <v>60</v>
      </c>
      <c r="F1657" s="5" t="s">
        <v>6</v>
      </c>
      <c r="G1657" s="5" t="s">
        <v>12</v>
      </c>
      <c r="H1657" s="3" t="s">
        <v>238</v>
      </c>
      <c r="I1657" s="5" t="s">
        <v>439</v>
      </c>
      <c r="J1657" s="5">
        <f>_xlfn.XLOOKUP(CustomerCombined[[#This Row],[ID]], Table4[ID], Table4[Recency], "Not Found", 0)</f>
        <v>55</v>
      </c>
      <c r="K1657" s="5">
        <f>_xlfn.XLOOKUP(CustomerCombined[[#This Row],[ID]], Table4[ID], Table4[Teas], "Not Found", 0)</f>
        <v>50</v>
      </c>
      <c r="L1657" s="5">
        <f>_xlfn.XLOOKUP(CustomerCombined[[#This Row],[ID]], Table4[ID], Table4[Fruits], "Not Found", 0)</f>
        <v>0</v>
      </c>
      <c r="M1657" s="5">
        <f>_xlfn.XLOOKUP(CustomerCombined[[#This Row],[ID]], Table4[ID], Table4[Meats], "Not Found", 0)</f>
        <v>45</v>
      </c>
      <c r="N1657" s="5">
        <f>_xlfn.XLOOKUP(CustomerCombined[[#This Row],[ID]], Table4[ID], Table4[Seafood], "Not Found", 0)</f>
        <v>0</v>
      </c>
      <c r="O1657" s="5">
        <f>_xlfn.XLOOKUP(CustomerCombined[[#This Row],[ID]], Table4[ID], Table4[Sweets], "Not Found", 0)</f>
        <v>9</v>
      </c>
      <c r="P1657" s="5">
        <f>_xlfn.XLOOKUP(CustomerCombined[[#This Row],[ID]], Table4[ID], Table4[Premium], "Not Found", 0)</f>
        <v>90</v>
      </c>
      <c r="Q1657" s="5">
        <f>_xlfn.XLOOKUP(CustomerCombined[[#This Row],[ID]], Table4[ID], Table4[Regular], "Not Found", 0)</f>
        <v>14</v>
      </c>
      <c r="R1657" s="5">
        <f>_xlfn.XLOOKUP(CustomerCombined[[#This Row],[ID]], Table4[ID], Table4[Deals], "Not Found", 0)</f>
        <v>1</v>
      </c>
      <c r="S1657" s="5">
        <f>_xlfn.XLOOKUP(CustomerCombined[[#This Row],[ID]], Table4[ID], Table4[Website], "Not Found", 0)</f>
        <v>1</v>
      </c>
      <c r="T1657" s="5">
        <f>_xlfn.XLOOKUP(CustomerCombined[[#This Row],[ID]], Table4[ID], Table4[Catalog], "Not Found", 0)</f>
        <v>1</v>
      </c>
      <c r="U1657" s="5">
        <f>_xlfn.XLOOKUP(CustomerCombined[[#This Row],[ID]], Table4[ID], Table4[Store], "Not Found", 0)</f>
        <v>2</v>
      </c>
      <c r="V1657" s="5">
        <f>_xlfn.XLOOKUP(CustomerCombined[[#This Row],[ID]], Table4[ID], Table4[Visits], "Not Found", 0)</f>
        <v>6</v>
      </c>
      <c r="W1657" s="8">
        <f>_xlfn.XLOOKUP(CustomerCombined[[#This Row],[ID]], Table2[ID],Table2[Complaint], "Not Found", 0 )</f>
        <v>0</v>
      </c>
      <c r="X1657" s="8">
        <f>_xlfn.XLOOKUP(CustomerCombined[[#This Row],[ID]], Table2[ID],Table2[Pilot], "Not Found", 0 )</f>
        <v>0</v>
      </c>
      <c r="Y1657" s="8">
        <f>_xlfn.XLOOKUP(CustomerCombined[[#This Row],[ID]], Table2[ID],Table2[MC1], "Not Found", 0 )</f>
        <v>0</v>
      </c>
      <c r="Z1657" s="8">
        <f>_xlfn.XLOOKUP(CustomerCombined[[#This Row],[ID]], Table2[ID],Table2[MC2], "Not Found", 0 )</f>
        <v>0</v>
      </c>
      <c r="AA1657" s="8">
        <f>_xlfn.XLOOKUP(CustomerCombined[[#This Row],[ID]], Table2[ID],Table2[MC3], "Not Found", 0 )</f>
        <v>0</v>
      </c>
      <c r="AB1657" s="8">
        <f>_xlfn.XLOOKUP(CustomerCombined[[#This Row],[ID]], Table2[ID],Table2[MC4], "Not Found", 0 )</f>
        <v>0</v>
      </c>
      <c r="AC1657" s="8">
        <f>_xlfn.XLOOKUP(CustomerCombined[[#This Row],[ID]], Table2[ID],Table2[MC5], "Not Found", 0 )</f>
        <v>0</v>
      </c>
    </row>
    <row r="1658" spans="1:29" x14ac:dyDescent="0.3">
      <c r="A1658" s="6">
        <v>3050</v>
      </c>
      <c r="B1658" s="6">
        <v>122123</v>
      </c>
      <c r="C1658" s="6">
        <v>0</v>
      </c>
      <c r="D1658" s="6">
        <v>0</v>
      </c>
      <c r="E1658" s="6">
        <v>60</v>
      </c>
      <c r="F1658" s="5" t="s">
        <v>9</v>
      </c>
      <c r="G1658" s="5" t="s">
        <v>10</v>
      </c>
      <c r="H1658" s="3" t="s">
        <v>74</v>
      </c>
      <c r="I1658" s="5" t="s">
        <v>438</v>
      </c>
      <c r="J1658" s="5">
        <f>_xlfn.XLOOKUP(CustomerCombined[[#This Row],[ID]], Table4[ID], Table4[Recency], "Not Found", 0)</f>
        <v>77</v>
      </c>
      <c r="K1658" s="5">
        <f>_xlfn.XLOOKUP(CustomerCombined[[#This Row],[ID]], Table4[ID], Table4[Teas], "Not Found", 0)</f>
        <v>17</v>
      </c>
      <c r="L1658" s="5">
        <f>_xlfn.XLOOKUP(CustomerCombined[[#This Row],[ID]], Table4[ID], Table4[Fruits], "Not Found", 0)</f>
        <v>17</v>
      </c>
      <c r="M1658" s="5">
        <f>_xlfn.XLOOKUP(CustomerCombined[[#This Row],[ID]], Table4[ID], Table4[Meats], "Not Found", 0)</f>
        <v>132</v>
      </c>
      <c r="N1658" s="5">
        <f>_xlfn.XLOOKUP(CustomerCombined[[#This Row],[ID]], Table4[ID], Table4[Seafood], "Not Found", 0)</f>
        <v>188</v>
      </c>
      <c r="O1658" s="5">
        <f>_xlfn.XLOOKUP(CustomerCombined[[#This Row],[ID]], Table4[ID], Table4[Sweets], "Not Found", 0)</f>
        <v>39</v>
      </c>
      <c r="P1658" s="5">
        <f>_xlfn.XLOOKUP(CustomerCombined[[#This Row],[ID]], Table4[ID], Table4[Premium], "Not Found", 0)</f>
        <v>171</v>
      </c>
      <c r="Q1658" s="5">
        <f>_xlfn.XLOOKUP(CustomerCombined[[#This Row],[ID]], Table4[ID], Table4[Regular], "Not Found", 0)</f>
        <v>221</v>
      </c>
      <c r="R1658" s="5">
        <f>_xlfn.XLOOKUP(CustomerCombined[[#This Row],[ID]], Table4[ID], Table4[Deals], "Not Found", 0)</f>
        <v>1</v>
      </c>
      <c r="S1658" s="5">
        <f>_xlfn.XLOOKUP(CustomerCombined[[#This Row],[ID]], Table4[ID], Table4[Website], "Not Found", 0)</f>
        <v>2</v>
      </c>
      <c r="T1658" s="5">
        <f>_xlfn.XLOOKUP(CustomerCombined[[#This Row],[ID]], Table4[ID], Table4[Catalog], "Not Found", 0)</f>
        <v>1</v>
      </c>
      <c r="U1658" s="5">
        <f>_xlfn.XLOOKUP(CustomerCombined[[#This Row],[ID]], Table4[ID], Table4[Store], "Not Found", 0)</f>
        <v>3</v>
      </c>
      <c r="V1658" s="5">
        <f>_xlfn.XLOOKUP(CustomerCombined[[#This Row],[ID]], Table4[ID], Table4[Visits], "Not Found", 0)</f>
        <v>5</v>
      </c>
      <c r="W1658" s="8">
        <f>_xlfn.XLOOKUP(CustomerCombined[[#This Row],[ID]], Table2[ID],Table2[Complaint], "Not Found", 0 )</f>
        <v>0</v>
      </c>
      <c r="X1658" s="8">
        <f>_xlfn.XLOOKUP(CustomerCombined[[#This Row],[ID]], Table2[ID],Table2[Pilot], "Not Found", 0 )</f>
        <v>0</v>
      </c>
      <c r="Y1658" s="8">
        <f>_xlfn.XLOOKUP(CustomerCombined[[#This Row],[ID]], Table2[ID],Table2[MC1], "Not Found", 0 )</f>
        <v>0</v>
      </c>
      <c r="Z1658" s="8">
        <f>_xlfn.XLOOKUP(CustomerCombined[[#This Row],[ID]], Table2[ID],Table2[MC2], "Not Found", 0 )</f>
        <v>0</v>
      </c>
      <c r="AA1658" s="8">
        <f>_xlfn.XLOOKUP(CustomerCombined[[#This Row],[ID]], Table2[ID],Table2[MC3], "Not Found", 0 )</f>
        <v>0</v>
      </c>
      <c r="AB1658" s="8">
        <f>_xlfn.XLOOKUP(CustomerCombined[[#This Row],[ID]], Table2[ID],Table2[MC4], "Not Found", 0 )</f>
        <v>0</v>
      </c>
      <c r="AC1658" s="8">
        <f>_xlfn.XLOOKUP(CustomerCombined[[#This Row],[ID]], Table2[ID],Table2[MC5], "Not Found", 0 )</f>
        <v>0</v>
      </c>
    </row>
    <row r="1659" spans="1:29" x14ac:dyDescent="0.3">
      <c r="A1659" s="6">
        <v>2505</v>
      </c>
      <c r="B1659" s="6">
        <v>119740</v>
      </c>
      <c r="C1659" s="6">
        <v>0</v>
      </c>
      <c r="D1659" s="6">
        <v>1</v>
      </c>
      <c r="E1659" s="6">
        <v>60</v>
      </c>
      <c r="F1659" s="5" t="s">
        <v>8</v>
      </c>
      <c r="G1659" s="5" t="s">
        <v>11</v>
      </c>
      <c r="H1659" s="3" t="s">
        <v>284</v>
      </c>
      <c r="I1659" s="5" t="s">
        <v>435</v>
      </c>
      <c r="J1659" s="5">
        <f>_xlfn.XLOOKUP(CustomerCombined[[#This Row],[ID]], Table4[ID], Table4[Recency], "Not Found", 0)</f>
        <v>65</v>
      </c>
      <c r="K1659" s="5">
        <f>_xlfn.XLOOKUP(CustomerCombined[[#This Row],[ID]], Table4[ID], Table4[Teas], "Not Found", 0)</f>
        <v>42</v>
      </c>
      <c r="L1659" s="5">
        <f>_xlfn.XLOOKUP(CustomerCombined[[#This Row],[ID]], Table4[ID], Table4[Fruits], "Not Found", 0)</f>
        <v>67</v>
      </c>
      <c r="M1659" s="5">
        <f>_xlfn.XLOOKUP(CustomerCombined[[#This Row],[ID]], Table4[ID], Table4[Meats], "Not Found", 0)</f>
        <v>18</v>
      </c>
      <c r="N1659" s="5">
        <f>_xlfn.XLOOKUP(CustomerCombined[[#This Row],[ID]], Table4[ID], Table4[Seafood], "Not Found", 0)</f>
        <v>61</v>
      </c>
      <c r="O1659" s="5">
        <f>_xlfn.XLOOKUP(CustomerCombined[[#This Row],[ID]], Table4[ID], Table4[Sweets], "Not Found", 0)</f>
        <v>24</v>
      </c>
      <c r="P1659" s="5">
        <f>_xlfn.XLOOKUP(CustomerCombined[[#This Row],[ID]], Table4[ID], Table4[Premium], "Not Found", 0)</f>
        <v>121</v>
      </c>
      <c r="Q1659" s="5">
        <f>_xlfn.XLOOKUP(CustomerCombined[[#This Row],[ID]], Table4[ID], Table4[Regular], "Not Found", 0)</f>
        <v>91</v>
      </c>
      <c r="R1659" s="5">
        <f>_xlfn.XLOOKUP(CustomerCombined[[#This Row],[ID]], Table4[ID], Table4[Deals], "Not Found", 0)</f>
        <v>2</v>
      </c>
      <c r="S1659" s="5">
        <f>_xlfn.XLOOKUP(CustomerCombined[[#This Row],[ID]], Table4[ID], Table4[Website], "Not Found", 0)</f>
        <v>1</v>
      </c>
      <c r="T1659" s="5">
        <f>_xlfn.XLOOKUP(CustomerCombined[[#This Row],[ID]], Table4[ID], Table4[Catalog], "Not Found", 0)</f>
        <v>1</v>
      </c>
      <c r="U1659" s="5">
        <f>_xlfn.XLOOKUP(CustomerCombined[[#This Row],[ID]], Table4[ID], Table4[Store], "Not Found", 0)</f>
        <v>3</v>
      </c>
      <c r="V1659" s="5">
        <f>_xlfn.XLOOKUP(CustomerCombined[[#This Row],[ID]], Table4[ID], Table4[Visits], "Not Found", 0)</f>
        <v>5</v>
      </c>
      <c r="W1659" s="8">
        <f>_xlfn.XLOOKUP(CustomerCombined[[#This Row],[ID]], Table2[ID],Table2[Complaint], "Not Found", 0 )</f>
        <v>0</v>
      </c>
      <c r="X1659" s="8">
        <f>_xlfn.XLOOKUP(CustomerCombined[[#This Row],[ID]], Table2[ID],Table2[Pilot], "Not Found", 0 )</f>
        <v>0</v>
      </c>
      <c r="Y1659" s="8">
        <f>_xlfn.XLOOKUP(CustomerCombined[[#This Row],[ID]], Table2[ID],Table2[MC1], "Not Found", 0 )</f>
        <v>0</v>
      </c>
      <c r="Z1659" s="8">
        <f>_xlfn.XLOOKUP(CustomerCombined[[#This Row],[ID]], Table2[ID],Table2[MC2], "Not Found", 0 )</f>
        <v>0</v>
      </c>
      <c r="AA1659" s="8">
        <f>_xlfn.XLOOKUP(CustomerCombined[[#This Row],[ID]], Table2[ID],Table2[MC3], "Not Found", 0 )</f>
        <v>0</v>
      </c>
      <c r="AB1659" s="8">
        <f>_xlfn.XLOOKUP(CustomerCombined[[#This Row],[ID]], Table2[ID],Table2[MC4], "Not Found", 0 )</f>
        <v>0</v>
      </c>
      <c r="AC1659" s="8">
        <f>_xlfn.XLOOKUP(CustomerCombined[[#This Row],[ID]], Table2[ID],Table2[MC5], "Not Found", 0 )</f>
        <v>0</v>
      </c>
    </row>
    <row r="1660" spans="1:29" x14ac:dyDescent="0.3">
      <c r="A1660" s="6">
        <v>1767</v>
      </c>
      <c r="B1660" s="6">
        <v>117144</v>
      </c>
      <c r="C1660" s="6">
        <v>1</v>
      </c>
      <c r="D1660" s="6">
        <v>1</v>
      </c>
      <c r="E1660" s="6">
        <v>60</v>
      </c>
      <c r="F1660" s="5" t="s">
        <v>8</v>
      </c>
      <c r="G1660" s="5" t="s">
        <v>12</v>
      </c>
      <c r="H1660" s="3" t="s">
        <v>98</v>
      </c>
      <c r="I1660" s="5" t="s">
        <v>435</v>
      </c>
      <c r="J1660" s="5">
        <f>_xlfn.XLOOKUP(CustomerCombined[[#This Row],[ID]], Table4[ID], Table4[Recency], "Not Found", 0)</f>
        <v>96</v>
      </c>
      <c r="K1660" s="5">
        <f>_xlfn.XLOOKUP(CustomerCombined[[#This Row],[ID]], Table4[ID], Table4[Teas], "Not Found", 0)</f>
        <v>123</v>
      </c>
      <c r="L1660" s="5">
        <f>_xlfn.XLOOKUP(CustomerCombined[[#This Row],[ID]], Table4[ID], Table4[Fruits], "Not Found", 0)</f>
        <v>14</v>
      </c>
      <c r="M1660" s="5">
        <f>_xlfn.XLOOKUP(CustomerCombined[[#This Row],[ID]], Table4[ID], Table4[Meats], "Not Found", 0)</f>
        <v>130</v>
      </c>
      <c r="N1660" s="5">
        <f>_xlfn.XLOOKUP(CustomerCombined[[#This Row],[ID]], Table4[ID], Table4[Seafood], "Not Found", 0)</f>
        <v>0</v>
      </c>
      <c r="O1660" s="5">
        <f>_xlfn.XLOOKUP(CustomerCombined[[#This Row],[ID]], Table4[ID], Table4[Sweets], "Not Found", 0)</f>
        <v>14</v>
      </c>
      <c r="P1660" s="5">
        <f>_xlfn.XLOOKUP(CustomerCombined[[#This Row],[ID]], Table4[ID], Table4[Premium], "Not Found", 0)</f>
        <v>41</v>
      </c>
      <c r="Q1660" s="5">
        <f>_xlfn.XLOOKUP(CustomerCombined[[#This Row],[ID]], Table4[ID], Table4[Regular], "Not Found", 0)</f>
        <v>239</v>
      </c>
      <c r="R1660" s="5">
        <f>_xlfn.XLOOKUP(CustomerCombined[[#This Row],[ID]], Table4[ID], Table4[Deals], "Not Found", 0)</f>
        <v>5</v>
      </c>
      <c r="S1660" s="5">
        <f>_xlfn.XLOOKUP(CustomerCombined[[#This Row],[ID]], Table4[ID], Table4[Website], "Not Found", 0)</f>
        <v>3</v>
      </c>
      <c r="T1660" s="5">
        <f>_xlfn.XLOOKUP(CustomerCombined[[#This Row],[ID]], Table4[ID], Table4[Catalog], "Not Found", 0)</f>
        <v>0</v>
      </c>
      <c r="U1660" s="5">
        <f>_xlfn.XLOOKUP(CustomerCombined[[#This Row],[ID]], Table4[ID], Table4[Store], "Not Found", 0)</f>
        <v>4</v>
      </c>
      <c r="V1660" s="5">
        <f>_xlfn.XLOOKUP(CustomerCombined[[#This Row],[ID]], Table4[ID], Table4[Visits], "Not Found", 0)</f>
        <v>7</v>
      </c>
      <c r="W1660" s="8">
        <f>_xlfn.XLOOKUP(CustomerCombined[[#This Row],[ID]], Table2[ID],Table2[Complaint], "Not Found", 0 )</f>
        <v>0</v>
      </c>
      <c r="X1660" s="8">
        <f>_xlfn.XLOOKUP(CustomerCombined[[#This Row],[ID]], Table2[ID],Table2[Pilot], "Not Found", 0 )</f>
        <v>0</v>
      </c>
      <c r="Y1660" s="8">
        <f>_xlfn.XLOOKUP(CustomerCombined[[#This Row],[ID]], Table2[ID],Table2[MC1], "Not Found", 0 )</f>
        <v>0</v>
      </c>
      <c r="Z1660" s="8">
        <f>_xlfn.XLOOKUP(CustomerCombined[[#This Row],[ID]], Table2[ID],Table2[MC2], "Not Found", 0 )</f>
        <v>0</v>
      </c>
      <c r="AA1660" s="8">
        <f>_xlfn.XLOOKUP(CustomerCombined[[#This Row],[ID]], Table2[ID],Table2[MC3], "Not Found", 0 )</f>
        <v>0</v>
      </c>
      <c r="AB1660" s="8">
        <f>_xlfn.XLOOKUP(CustomerCombined[[#This Row],[ID]], Table2[ID],Table2[MC4], "Not Found", 0 )</f>
        <v>0</v>
      </c>
      <c r="AC1660" s="8">
        <f>_xlfn.XLOOKUP(CustomerCombined[[#This Row],[ID]], Table2[ID],Table2[MC5], "Not Found", 0 )</f>
        <v>0</v>
      </c>
    </row>
    <row r="1661" spans="1:29" x14ac:dyDescent="0.3">
      <c r="A1661" s="6">
        <v>2572</v>
      </c>
      <c r="B1661" s="6">
        <v>117144</v>
      </c>
      <c r="C1661" s="6">
        <v>1</v>
      </c>
      <c r="D1661" s="6">
        <v>1</v>
      </c>
      <c r="E1661" s="6">
        <v>60</v>
      </c>
      <c r="F1661" s="5" t="s">
        <v>8</v>
      </c>
      <c r="G1661" s="5" t="s">
        <v>12</v>
      </c>
      <c r="H1661" s="3" t="s">
        <v>98</v>
      </c>
      <c r="I1661" s="5" t="s">
        <v>439</v>
      </c>
      <c r="J1661" s="5">
        <f>_xlfn.XLOOKUP(CustomerCombined[[#This Row],[ID]], Table4[ID], Table4[Recency], "Not Found", 0)</f>
        <v>96</v>
      </c>
      <c r="K1661" s="5">
        <f>_xlfn.XLOOKUP(CustomerCombined[[#This Row],[ID]], Table4[ID], Table4[Teas], "Not Found", 0)</f>
        <v>123</v>
      </c>
      <c r="L1661" s="5">
        <f>_xlfn.XLOOKUP(CustomerCombined[[#This Row],[ID]], Table4[ID], Table4[Fruits], "Not Found", 0)</f>
        <v>14</v>
      </c>
      <c r="M1661" s="5">
        <f>_xlfn.XLOOKUP(CustomerCombined[[#This Row],[ID]], Table4[ID], Table4[Meats], "Not Found", 0)</f>
        <v>130</v>
      </c>
      <c r="N1661" s="5">
        <f>_xlfn.XLOOKUP(CustomerCombined[[#This Row],[ID]], Table4[ID], Table4[Seafood], "Not Found", 0)</f>
        <v>0</v>
      </c>
      <c r="O1661" s="5">
        <f>_xlfn.XLOOKUP(CustomerCombined[[#This Row],[ID]], Table4[ID], Table4[Sweets], "Not Found", 0)</f>
        <v>14</v>
      </c>
      <c r="P1661" s="5">
        <f>_xlfn.XLOOKUP(CustomerCombined[[#This Row],[ID]], Table4[ID], Table4[Premium], "Not Found", 0)</f>
        <v>41</v>
      </c>
      <c r="Q1661" s="5">
        <f>_xlfn.XLOOKUP(CustomerCombined[[#This Row],[ID]], Table4[ID], Table4[Regular], "Not Found", 0)</f>
        <v>239</v>
      </c>
      <c r="R1661" s="5">
        <f>_xlfn.XLOOKUP(CustomerCombined[[#This Row],[ID]], Table4[ID], Table4[Deals], "Not Found", 0)</f>
        <v>5</v>
      </c>
      <c r="S1661" s="5">
        <f>_xlfn.XLOOKUP(CustomerCombined[[#This Row],[ID]], Table4[ID], Table4[Website], "Not Found", 0)</f>
        <v>3</v>
      </c>
      <c r="T1661" s="5">
        <f>_xlfn.XLOOKUP(CustomerCombined[[#This Row],[ID]], Table4[ID], Table4[Catalog], "Not Found", 0)</f>
        <v>0</v>
      </c>
      <c r="U1661" s="5">
        <f>_xlfn.XLOOKUP(CustomerCombined[[#This Row],[ID]], Table4[ID], Table4[Store], "Not Found", 0)</f>
        <v>4</v>
      </c>
      <c r="V1661" s="5">
        <f>_xlfn.XLOOKUP(CustomerCombined[[#This Row],[ID]], Table4[ID], Table4[Visits], "Not Found", 0)</f>
        <v>7</v>
      </c>
      <c r="W1661" s="8">
        <f>_xlfn.XLOOKUP(CustomerCombined[[#This Row],[ID]], Table2[ID],Table2[Complaint], "Not Found", 0 )</f>
        <v>0</v>
      </c>
      <c r="X1661" s="8">
        <f>_xlfn.XLOOKUP(CustomerCombined[[#This Row],[ID]], Table2[ID],Table2[Pilot], "Not Found", 0 )</f>
        <v>0</v>
      </c>
      <c r="Y1661" s="8">
        <f>_xlfn.XLOOKUP(CustomerCombined[[#This Row],[ID]], Table2[ID],Table2[MC1], "Not Found", 0 )</f>
        <v>0</v>
      </c>
      <c r="Z1661" s="8">
        <f>_xlfn.XLOOKUP(CustomerCombined[[#This Row],[ID]], Table2[ID],Table2[MC2], "Not Found", 0 )</f>
        <v>0</v>
      </c>
      <c r="AA1661" s="8">
        <f>_xlfn.XLOOKUP(CustomerCombined[[#This Row],[ID]], Table2[ID],Table2[MC3], "Not Found", 0 )</f>
        <v>0</v>
      </c>
      <c r="AB1661" s="8">
        <f>_xlfn.XLOOKUP(CustomerCombined[[#This Row],[ID]], Table2[ID],Table2[MC4], "Not Found", 0 )</f>
        <v>0</v>
      </c>
      <c r="AC1661" s="8">
        <f>_xlfn.XLOOKUP(CustomerCombined[[#This Row],[ID]], Table2[ID],Table2[MC5], "Not Found", 0 )</f>
        <v>0</v>
      </c>
    </row>
    <row r="1662" spans="1:29" x14ac:dyDescent="0.3">
      <c r="A1662" s="6">
        <v>2969</v>
      </c>
      <c r="B1662" s="6">
        <v>113672</v>
      </c>
      <c r="C1662" s="6">
        <v>1</v>
      </c>
      <c r="D1662" s="6">
        <v>1</v>
      </c>
      <c r="E1662" s="6">
        <v>60</v>
      </c>
      <c r="F1662" s="5" t="s">
        <v>8</v>
      </c>
      <c r="G1662" s="5" t="s">
        <v>11</v>
      </c>
      <c r="H1662" s="3" t="s">
        <v>272</v>
      </c>
      <c r="I1662" s="5" t="s">
        <v>434</v>
      </c>
      <c r="J1662" s="5">
        <f>_xlfn.XLOOKUP(CustomerCombined[[#This Row],[ID]], Table4[ID], Table4[Recency], "Not Found", 0)</f>
        <v>86</v>
      </c>
      <c r="K1662" s="5">
        <f>_xlfn.XLOOKUP(CustomerCombined[[#This Row],[ID]], Table4[ID], Table4[Teas], "Not Found", 0)</f>
        <v>50</v>
      </c>
      <c r="L1662" s="5">
        <f>_xlfn.XLOOKUP(CustomerCombined[[#This Row],[ID]], Table4[ID], Table4[Fruits], "Not Found", 0)</f>
        <v>17</v>
      </c>
      <c r="M1662" s="5">
        <f>_xlfn.XLOOKUP(CustomerCombined[[#This Row],[ID]], Table4[ID], Table4[Meats], "Not Found", 0)</f>
        <v>75</v>
      </c>
      <c r="N1662" s="5">
        <f>_xlfn.XLOOKUP(CustomerCombined[[#This Row],[ID]], Table4[ID], Table4[Seafood], "Not Found", 0)</f>
        <v>17</v>
      </c>
      <c r="O1662" s="5">
        <f>_xlfn.XLOOKUP(CustomerCombined[[#This Row],[ID]], Table4[ID], Table4[Sweets], "Not Found", 0)</f>
        <v>8</v>
      </c>
      <c r="P1662" s="5">
        <f>_xlfn.XLOOKUP(CustomerCombined[[#This Row],[ID]], Table4[ID], Table4[Premium], "Not Found", 0)</f>
        <v>42</v>
      </c>
      <c r="Q1662" s="5">
        <f>_xlfn.XLOOKUP(CustomerCombined[[#This Row],[ID]], Table4[ID], Table4[Regular], "Not Found", 0)</f>
        <v>125</v>
      </c>
      <c r="R1662" s="5">
        <f>_xlfn.XLOOKUP(CustomerCombined[[#This Row],[ID]], Table4[ID], Table4[Deals], "Not Found", 0)</f>
        <v>2</v>
      </c>
      <c r="S1662" s="5">
        <f>_xlfn.XLOOKUP(CustomerCombined[[#This Row],[ID]], Table4[ID], Table4[Website], "Not Found", 0)</f>
        <v>1</v>
      </c>
      <c r="T1662" s="5">
        <f>_xlfn.XLOOKUP(CustomerCombined[[#This Row],[ID]], Table4[ID], Table4[Catalog], "Not Found", 0)</f>
        <v>0</v>
      </c>
      <c r="U1662" s="5">
        <f>_xlfn.XLOOKUP(CustomerCombined[[#This Row],[ID]], Table4[ID], Table4[Store], "Not Found", 0)</f>
        <v>3</v>
      </c>
      <c r="V1662" s="5">
        <f>_xlfn.XLOOKUP(CustomerCombined[[#This Row],[ID]], Table4[ID], Table4[Visits], "Not Found", 0)</f>
        <v>8</v>
      </c>
      <c r="W1662" s="8">
        <f>_xlfn.XLOOKUP(CustomerCombined[[#This Row],[ID]], Table2[ID],Table2[Complaint], "Not Found", 0 )</f>
        <v>0</v>
      </c>
      <c r="X1662" s="8">
        <f>_xlfn.XLOOKUP(CustomerCombined[[#This Row],[ID]], Table2[ID],Table2[Pilot], "Not Found", 0 )</f>
        <v>0</v>
      </c>
      <c r="Y1662" s="8">
        <f>_xlfn.XLOOKUP(CustomerCombined[[#This Row],[ID]], Table2[ID],Table2[MC1], "Not Found", 0 )</f>
        <v>0</v>
      </c>
      <c r="Z1662" s="8">
        <f>_xlfn.XLOOKUP(CustomerCombined[[#This Row],[ID]], Table2[ID],Table2[MC2], "Not Found", 0 )</f>
        <v>0</v>
      </c>
      <c r="AA1662" s="8">
        <f>_xlfn.XLOOKUP(CustomerCombined[[#This Row],[ID]], Table2[ID],Table2[MC3], "Not Found", 0 )</f>
        <v>0</v>
      </c>
      <c r="AB1662" s="8">
        <f>_xlfn.XLOOKUP(CustomerCombined[[#This Row],[ID]], Table2[ID],Table2[MC4], "Not Found", 0 )</f>
        <v>0</v>
      </c>
      <c r="AC1662" s="8">
        <f>_xlfn.XLOOKUP(CustomerCombined[[#This Row],[ID]], Table2[ID],Table2[MC5], "Not Found", 0 )</f>
        <v>0</v>
      </c>
    </row>
    <row r="1663" spans="1:29" x14ac:dyDescent="0.3">
      <c r="A1663" s="6">
        <v>1497</v>
      </c>
      <c r="B1663" s="6">
        <v>189120</v>
      </c>
      <c r="C1663" s="6">
        <v>0</v>
      </c>
      <c r="D1663" s="6">
        <v>0</v>
      </c>
      <c r="E1663" s="6">
        <v>61</v>
      </c>
      <c r="F1663" s="5" t="s">
        <v>8</v>
      </c>
      <c r="G1663" s="5" t="s">
        <v>12</v>
      </c>
      <c r="H1663" s="3" t="s">
        <v>84</v>
      </c>
      <c r="I1663" s="5" t="s">
        <v>435</v>
      </c>
      <c r="J1663" s="5">
        <f>_xlfn.XLOOKUP(CustomerCombined[[#This Row],[ID]], Table4[ID], Table4[Recency], "Not Found", 0)</f>
        <v>78</v>
      </c>
      <c r="K1663" s="5">
        <f>_xlfn.XLOOKUP(CustomerCombined[[#This Row],[ID]], Table4[ID], Table4[Teas], "Not Found", 0)</f>
        <v>2479</v>
      </c>
      <c r="L1663" s="5">
        <f>_xlfn.XLOOKUP(CustomerCombined[[#This Row],[ID]], Table4[ID], Table4[Fruits], "Not Found", 0)</f>
        <v>195</v>
      </c>
      <c r="M1663" s="5">
        <f>_xlfn.XLOOKUP(CustomerCombined[[#This Row],[ID]], Table4[ID], Table4[Meats], "Not Found", 0)</f>
        <v>866</v>
      </c>
      <c r="N1663" s="5">
        <f>_xlfn.XLOOKUP(CustomerCombined[[#This Row],[ID]], Table4[ID], Table4[Seafood], "Not Found", 0)</f>
        <v>153</v>
      </c>
      <c r="O1663" s="5">
        <f>_xlfn.XLOOKUP(CustomerCombined[[#This Row],[ID]], Table4[ID], Table4[Sweets], "Not Found", 0)</f>
        <v>274</v>
      </c>
      <c r="P1663" s="5">
        <f>_xlfn.XLOOKUP(CustomerCombined[[#This Row],[ID]], Table4[ID], Table4[Premium], "Not Found", 0)</f>
        <v>117</v>
      </c>
      <c r="Q1663" s="5">
        <f>_xlfn.XLOOKUP(CustomerCombined[[#This Row],[ID]], Table4[ID], Table4[Regular], "Not Found", 0)</f>
        <v>3849</v>
      </c>
      <c r="R1663" s="5">
        <f>_xlfn.XLOOKUP(CustomerCombined[[#This Row],[ID]], Table4[ID], Table4[Deals], "Not Found", 0)</f>
        <v>1</v>
      </c>
      <c r="S1663" s="5">
        <f>_xlfn.XLOOKUP(CustomerCombined[[#This Row],[ID]], Table4[ID], Table4[Website], "Not Found", 0)</f>
        <v>5</v>
      </c>
      <c r="T1663" s="5">
        <f>_xlfn.XLOOKUP(CustomerCombined[[#This Row],[ID]], Table4[ID], Table4[Catalog], "Not Found", 0)</f>
        <v>6</v>
      </c>
      <c r="U1663" s="5">
        <f>_xlfn.XLOOKUP(CustomerCombined[[#This Row],[ID]], Table4[ID], Table4[Store], "Not Found", 0)</f>
        <v>7</v>
      </c>
      <c r="V1663" s="5">
        <f>_xlfn.XLOOKUP(CustomerCombined[[#This Row],[ID]], Table4[ID], Table4[Visits], "Not Found", 0)</f>
        <v>1</v>
      </c>
      <c r="W1663" s="8">
        <f>_xlfn.XLOOKUP(CustomerCombined[[#This Row],[ID]], Table2[ID],Table2[Complaint], "Not Found", 0 )</f>
        <v>0</v>
      </c>
      <c r="X1663" s="8">
        <f>_xlfn.XLOOKUP(CustomerCombined[[#This Row],[ID]], Table2[ID],Table2[Pilot], "Not Found", 0 )</f>
        <v>0</v>
      </c>
      <c r="Y1663" s="8">
        <f>_xlfn.XLOOKUP(CustomerCombined[[#This Row],[ID]], Table2[ID],Table2[MC1], "Not Found", 0 )</f>
        <v>0</v>
      </c>
      <c r="Z1663" s="8">
        <f>_xlfn.XLOOKUP(CustomerCombined[[#This Row],[ID]], Table2[ID],Table2[MC2], "Not Found", 0 )</f>
        <v>0</v>
      </c>
      <c r="AA1663" s="8">
        <f>_xlfn.XLOOKUP(CustomerCombined[[#This Row],[ID]], Table2[ID],Table2[MC3], "Not Found", 0 )</f>
        <v>0</v>
      </c>
      <c r="AB1663" s="8">
        <f>_xlfn.XLOOKUP(CustomerCombined[[#This Row],[ID]], Table2[ID],Table2[MC4], "Not Found", 0 )</f>
        <v>0</v>
      </c>
      <c r="AC1663" s="8">
        <f>_xlfn.XLOOKUP(CustomerCombined[[#This Row],[ID]], Table2[ID],Table2[MC5], "Not Found", 0 )</f>
        <v>1</v>
      </c>
    </row>
    <row r="1664" spans="1:29" x14ac:dyDescent="0.3">
      <c r="A1664" s="6">
        <v>1543</v>
      </c>
      <c r="B1664" s="6">
        <v>187771</v>
      </c>
      <c r="C1664" s="6">
        <v>0</v>
      </c>
      <c r="D1664" s="6">
        <v>1</v>
      </c>
      <c r="E1664" s="6">
        <v>61</v>
      </c>
      <c r="F1664" s="5" t="s">
        <v>8</v>
      </c>
      <c r="G1664" s="5" t="s">
        <v>11</v>
      </c>
      <c r="H1664" s="3" t="s">
        <v>249</v>
      </c>
      <c r="I1664" s="5" t="s">
        <v>437</v>
      </c>
      <c r="J1664" s="5">
        <f>_xlfn.XLOOKUP(CustomerCombined[[#This Row],[ID]], Table4[ID], Table4[Recency], "Not Found", 0)</f>
        <v>61</v>
      </c>
      <c r="K1664" s="5">
        <f>_xlfn.XLOOKUP(CustomerCombined[[#This Row],[ID]], Table4[ID], Table4[Teas], "Not Found", 0)</f>
        <v>3192</v>
      </c>
      <c r="L1664" s="5">
        <f>_xlfn.XLOOKUP(CustomerCombined[[#This Row],[ID]], Table4[ID], Table4[Fruits], "Not Found", 0)</f>
        <v>81</v>
      </c>
      <c r="M1664" s="5">
        <f>_xlfn.XLOOKUP(CustomerCombined[[#This Row],[ID]], Table4[ID], Table4[Meats], "Not Found", 0)</f>
        <v>614</v>
      </c>
      <c r="N1664" s="5">
        <f>_xlfn.XLOOKUP(CustomerCombined[[#This Row],[ID]], Table4[ID], Table4[Seafood], "Not Found", 0)</f>
        <v>107</v>
      </c>
      <c r="O1664" s="5">
        <f>_xlfn.XLOOKUP(CustomerCombined[[#This Row],[ID]], Table4[ID], Table4[Sweets], "Not Found", 0)</f>
        <v>122</v>
      </c>
      <c r="P1664" s="5">
        <f>_xlfn.XLOOKUP(CustomerCombined[[#This Row],[ID]], Table4[ID], Table4[Premium], "Not Found", 0)</f>
        <v>71</v>
      </c>
      <c r="Q1664" s="5">
        <f>_xlfn.XLOOKUP(CustomerCombined[[#This Row],[ID]], Table4[ID], Table4[Regular], "Not Found", 0)</f>
        <v>4045</v>
      </c>
      <c r="R1664" s="5">
        <f>_xlfn.XLOOKUP(CustomerCombined[[#This Row],[ID]], Table4[ID], Table4[Deals], "Not Found", 0)</f>
        <v>1</v>
      </c>
      <c r="S1664" s="5">
        <f>_xlfn.XLOOKUP(CustomerCombined[[#This Row],[ID]], Table4[ID], Table4[Website], "Not Found", 0)</f>
        <v>5</v>
      </c>
      <c r="T1664" s="5">
        <f>_xlfn.XLOOKUP(CustomerCombined[[#This Row],[ID]], Table4[ID], Table4[Catalog], "Not Found", 0)</f>
        <v>10</v>
      </c>
      <c r="U1664" s="5">
        <f>_xlfn.XLOOKUP(CustomerCombined[[#This Row],[ID]], Table4[ID], Table4[Store], "Not Found", 0)</f>
        <v>4</v>
      </c>
      <c r="V1664" s="5">
        <f>_xlfn.XLOOKUP(CustomerCombined[[#This Row],[ID]], Table4[ID], Table4[Visits], "Not Found", 0)</f>
        <v>6</v>
      </c>
      <c r="W1664" s="8">
        <f>_xlfn.XLOOKUP(CustomerCombined[[#This Row],[ID]], Table2[ID],Table2[Complaint], "Not Found", 0 )</f>
        <v>0</v>
      </c>
      <c r="X1664" s="8">
        <f>_xlfn.XLOOKUP(CustomerCombined[[#This Row],[ID]], Table2[ID],Table2[Pilot], "Not Found", 0 )</f>
        <v>1</v>
      </c>
      <c r="Y1664" s="8">
        <f>_xlfn.XLOOKUP(CustomerCombined[[#This Row],[ID]], Table2[ID],Table2[MC1], "Not Found", 0 )</f>
        <v>1</v>
      </c>
      <c r="Z1664" s="8">
        <f>_xlfn.XLOOKUP(CustomerCombined[[#This Row],[ID]], Table2[ID],Table2[MC2], "Not Found", 0 )</f>
        <v>1</v>
      </c>
      <c r="AA1664" s="8">
        <f>_xlfn.XLOOKUP(CustomerCombined[[#This Row],[ID]], Table2[ID],Table2[MC3], "Not Found", 0 )</f>
        <v>0</v>
      </c>
      <c r="AB1664" s="8">
        <f>_xlfn.XLOOKUP(CustomerCombined[[#This Row],[ID]], Table2[ID],Table2[MC4], "Not Found", 0 )</f>
        <v>1</v>
      </c>
      <c r="AC1664" s="8">
        <f>_xlfn.XLOOKUP(CustomerCombined[[#This Row],[ID]], Table2[ID],Table2[MC5], "Not Found", 0 )</f>
        <v>1</v>
      </c>
    </row>
    <row r="1665" spans="1:29" x14ac:dyDescent="0.3">
      <c r="A1665" s="6">
        <v>1805</v>
      </c>
      <c r="B1665" s="6">
        <v>187771</v>
      </c>
      <c r="C1665" s="6">
        <v>0</v>
      </c>
      <c r="D1665" s="6">
        <v>1</v>
      </c>
      <c r="E1665" s="6">
        <v>61</v>
      </c>
      <c r="F1665" s="5" t="s">
        <v>8</v>
      </c>
      <c r="G1665" s="5" t="s">
        <v>11</v>
      </c>
      <c r="H1665" s="3" t="s">
        <v>249</v>
      </c>
      <c r="I1665" s="5" t="s">
        <v>434</v>
      </c>
      <c r="J1665" s="5">
        <f>_xlfn.XLOOKUP(CustomerCombined[[#This Row],[ID]], Table4[ID], Table4[Recency], "Not Found", 0)</f>
        <v>61</v>
      </c>
      <c r="K1665" s="5">
        <f>_xlfn.XLOOKUP(CustomerCombined[[#This Row],[ID]], Table4[ID], Table4[Teas], "Not Found", 0)</f>
        <v>3192</v>
      </c>
      <c r="L1665" s="5">
        <f>_xlfn.XLOOKUP(CustomerCombined[[#This Row],[ID]], Table4[ID], Table4[Fruits], "Not Found", 0)</f>
        <v>81</v>
      </c>
      <c r="M1665" s="5">
        <f>_xlfn.XLOOKUP(CustomerCombined[[#This Row],[ID]], Table4[ID], Table4[Meats], "Not Found", 0)</f>
        <v>614</v>
      </c>
      <c r="N1665" s="5">
        <f>_xlfn.XLOOKUP(CustomerCombined[[#This Row],[ID]], Table4[ID], Table4[Seafood], "Not Found", 0)</f>
        <v>107</v>
      </c>
      <c r="O1665" s="5">
        <f>_xlfn.XLOOKUP(CustomerCombined[[#This Row],[ID]], Table4[ID], Table4[Sweets], "Not Found", 0)</f>
        <v>122</v>
      </c>
      <c r="P1665" s="5">
        <f>_xlfn.XLOOKUP(CustomerCombined[[#This Row],[ID]], Table4[ID], Table4[Premium], "Not Found", 0)</f>
        <v>71</v>
      </c>
      <c r="Q1665" s="5">
        <f>_xlfn.XLOOKUP(CustomerCombined[[#This Row],[ID]], Table4[ID], Table4[Regular], "Not Found", 0)</f>
        <v>4045</v>
      </c>
      <c r="R1665" s="5">
        <f>_xlfn.XLOOKUP(CustomerCombined[[#This Row],[ID]], Table4[ID], Table4[Deals], "Not Found", 0)</f>
        <v>1</v>
      </c>
      <c r="S1665" s="5">
        <f>_xlfn.XLOOKUP(CustomerCombined[[#This Row],[ID]], Table4[ID], Table4[Website], "Not Found", 0)</f>
        <v>5</v>
      </c>
      <c r="T1665" s="5">
        <f>_xlfn.XLOOKUP(CustomerCombined[[#This Row],[ID]], Table4[ID], Table4[Catalog], "Not Found", 0)</f>
        <v>10</v>
      </c>
      <c r="U1665" s="5">
        <f>_xlfn.XLOOKUP(CustomerCombined[[#This Row],[ID]], Table4[ID], Table4[Store], "Not Found", 0)</f>
        <v>4</v>
      </c>
      <c r="V1665" s="5">
        <f>_xlfn.XLOOKUP(CustomerCombined[[#This Row],[ID]], Table4[ID], Table4[Visits], "Not Found", 0)</f>
        <v>6</v>
      </c>
      <c r="W1665" s="8">
        <f>_xlfn.XLOOKUP(CustomerCombined[[#This Row],[ID]], Table2[ID],Table2[Complaint], "Not Found", 0 )</f>
        <v>0</v>
      </c>
      <c r="X1665" s="8">
        <f>_xlfn.XLOOKUP(CustomerCombined[[#This Row],[ID]], Table2[ID],Table2[Pilot], "Not Found", 0 )</f>
        <v>1</v>
      </c>
      <c r="Y1665" s="8">
        <f>_xlfn.XLOOKUP(CustomerCombined[[#This Row],[ID]], Table2[ID],Table2[MC1], "Not Found", 0 )</f>
        <v>1</v>
      </c>
      <c r="Z1665" s="8">
        <f>_xlfn.XLOOKUP(CustomerCombined[[#This Row],[ID]], Table2[ID],Table2[MC2], "Not Found", 0 )</f>
        <v>1</v>
      </c>
      <c r="AA1665" s="8">
        <f>_xlfn.XLOOKUP(CustomerCombined[[#This Row],[ID]], Table2[ID],Table2[MC3], "Not Found", 0 )</f>
        <v>0</v>
      </c>
      <c r="AB1665" s="8">
        <f>_xlfn.XLOOKUP(CustomerCombined[[#This Row],[ID]], Table2[ID],Table2[MC4], "Not Found", 0 )</f>
        <v>1</v>
      </c>
      <c r="AC1665" s="8">
        <f>_xlfn.XLOOKUP(CustomerCombined[[#This Row],[ID]], Table2[ID],Table2[MC5], "Not Found", 0 )</f>
        <v>1</v>
      </c>
    </row>
    <row r="1666" spans="1:29" x14ac:dyDescent="0.3">
      <c r="A1666" s="6">
        <v>1096</v>
      </c>
      <c r="B1666" s="6">
        <v>187195</v>
      </c>
      <c r="C1666" s="6">
        <v>0</v>
      </c>
      <c r="D1666" s="6">
        <v>0</v>
      </c>
      <c r="E1666" s="6">
        <v>61</v>
      </c>
      <c r="F1666" s="5" t="s">
        <v>6</v>
      </c>
      <c r="G1666" s="5" t="s">
        <v>11</v>
      </c>
      <c r="H1666" s="3">
        <v>44175</v>
      </c>
      <c r="I1666" s="5" t="s">
        <v>439</v>
      </c>
      <c r="J1666" s="5">
        <f>_xlfn.XLOOKUP(CustomerCombined[[#This Row],[ID]], Table4[ID], Table4[Recency], "Not Found", 0)</f>
        <v>35</v>
      </c>
      <c r="K1666" s="5">
        <f>_xlfn.XLOOKUP(CustomerCombined[[#This Row],[ID]], Table4[ID], Table4[Teas], "Not Found", 0)</f>
        <v>466</v>
      </c>
      <c r="L1666" s="5">
        <f>_xlfn.XLOOKUP(CustomerCombined[[#This Row],[ID]], Table4[ID], Table4[Fruits], "Not Found", 0)</f>
        <v>163</v>
      </c>
      <c r="M1666" s="5">
        <f>_xlfn.XLOOKUP(CustomerCombined[[#This Row],[ID]], Table4[ID], Table4[Meats], "Not Found", 0)</f>
        <v>1481</v>
      </c>
      <c r="N1666" s="5">
        <f>_xlfn.XLOOKUP(CustomerCombined[[#This Row],[ID]], Table4[ID], Table4[Seafood], "Not Found", 0)</f>
        <v>107</v>
      </c>
      <c r="O1666" s="5">
        <f>_xlfn.XLOOKUP(CustomerCombined[[#This Row],[ID]], Table4[ID], Table4[Sweets], "Not Found", 0)</f>
        <v>56</v>
      </c>
      <c r="P1666" s="5">
        <f>_xlfn.XLOOKUP(CustomerCombined[[#This Row],[ID]], Table4[ID], Table4[Premium], "Not Found", 0)</f>
        <v>82</v>
      </c>
      <c r="Q1666" s="5">
        <f>_xlfn.XLOOKUP(CustomerCombined[[#This Row],[ID]], Table4[ID], Table4[Regular], "Not Found", 0)</f>
        <v>2192</v>
      </c>
      <c r="R1666" s="5">
        <f>_xlfn.XLOOKUP(CustomerCombined[[#This Row],[ID]], Table4[ID], Table4[Deals], "Not Found", 0)</f>
        <v>1</v>
      </c>
      <c r="S1666" s="5">
        <f>_xlfn.XLOOKUP(CustomerCombined[[#This Row],[ID]], Table4[ID], Table4[Website], "Not Found", 0)</f>
        <v>3</v>
      </c>
      <c r="T1666" s="5">
        <f>_xlfn.XLOOKUP(CustomerCombined[[#This Row],[ID]], Table4[ID], Table4[Catalog], "Not Found", 0)</f>
        <v>11</v>
      </c>
      <c r="U1666" s="5">
        <f>_xlfn.XLOOKUP(CustomerCombined[[#This Row],[ID]], Table4[ID], Table4[Store], "Not Found", 0)</f>
        <v>5</v>
      </c>
      <c r="V1666" s="5">
        <f>_xlfn.XLOOKUP(CustomerCombined[[#This Row],[ID]], Table4[ID], Table4[Visits], "Not Found", 0)</f>
        <v>1</v>
      </c>
      <c r="W1666" s="8">
        <f>_xlfn.XLOOKUP(CustomerCombined[[#This Row],[ID]], Table2[ID],Table2[Complaint], "Not Found", 0 )</f>
        <v>0</v>
      </c>
      <c r="X1666" s="8">
        <f>_xlfn.XLOOKUP(CustomerCombined[[#This Row],[ID]], Table2[ID],Table2[Pilot], "Not Found", 0 )</f>
        <v>1</v>
      </c>
      <c r="Y1666" s="8">
        <f>_xlfn.XLOOKUP(CustomerCombined[[#This Row],[ID]], Table2[ID],Table2[MC1], "Not Found", 0 )</f>
        <v>0</v>
      </c>
      <c r="Z1666" s="8">
        <f>_xlfn.XLOOKUP(CustomerCombined[[#This Row],[ID]], Table2[ID],Table2[MC2], "Not Found", 0 )</f>
        <v>0</v>
      </c>
      <c r="AA1666" s="8">
        <f>_xlfn.XLOOKUP(CustomerCombined[[#This Row],[ID]], Table2[ID],Table2[MC3], "Not Found", 0 )</f>
        <v>0</v>
      </c>
      <c r="AB1666" s="8">
        <f>_xlfn.XLOOKUP(CustomerCombined[[#This Row],[ID]], Table2[ID],Table2[MC4], "Not Found", 0 )</f>
        <v>0</v>
      </c>
      <c r="AC1666" s="8">
        <f>_xlfn.XLOOKUP(CustomerCombined[[#This Row],[ID]], Table2[ID],Table2[MC5], "Not Found", 0 )</f>
        <v>0</v>
      </c>
    </row>
    <row r="1667" spans="1:29" x14ac:dyDescent="0.3">
      <c r="A1667" s="6">
        <v>1957</v>
      </c>
      <c r="B1667" s="6">
        <v>182576</v>
      </c>
      <c r="C1667" s="6">
        <v>0</v>
      </c>
      <c r="D1667" s="6">
        <v>0</v>
      </c>
      <c r="E1667" s="6">
        <v>61</v>
      </c>
      <c r="F1667" s="5" t="s">
        <v>8</v>
      </c>
      <c r="G1667" s="5" t="s">
        <v>12</v>
      </c>
      <c r="H1667" s="3">
        <v>43617</v>
      </c>
      <c r="I1667" s="5" t="s">
        <v>437</v>
      </c>
      <c r="J1667" s="5">
        <f>_xlfn.XLOOKUP(CustomerCombined[[#This Row],[ID]], Table4[ID], Table4[Recency], "Not Found", 0)</f>
        <v>66</v>
      </c>
      <c r="K1667" s="5">
        <f>_xlfn.XLOOKUP(CustomerCombined[[#This Row],[ID]], Table4[ID], Table4[Teas], "Not Found", 0)</f>
        <v>2666</v>
      </c>
      <c r="L1667" s="5">
        <f>_xlfn.XLOOKUP(CustomerCombined[[#This Row],[ID]], Table4[ID], Table4[Fruits], "Not Found", 0)</f>
        <v>122</v>
      </c>
      <c r="M1667" s="5">
        <f>_xlfn.XLOOKUP(CustomerCombined[[#This Row],[ID]], Table4[ID], Table4[Meats], "Not Found", 0)</f>
        <v>984</v>
      </c>
      <c r="N1667" s="5">
        <f>_xlfn.XLOOKUP(CustomerCombined[[#This Row],[ID]], Table4[ID], Table4[Seafood], "Not Found", 0)</f>
        <v>371</v>
      </c>
      <c r="O1667" s="5">
        <f>_xlfn.XLOOKUP(CustomerCombined[[#This Row],[ID]], Table4[ID], Table4[Sweets], "Not Found", 0)</f>
        <v>40</v>
      </c>
      <c r="P1667" s="5">
        <f>_xlfn.XLOOKUP(CustomerCombined[[#This Row],[ID]], Table4[ID], Table4[Premium], "Not Found", 0)</f>
        <v>40</v>
      </c>
      <c r="Q1667" s="5">
        <f>_xlfn.XLOOKUP(CustomerCombined[[#This Row],[ID]], Table4[ID], Table4[Regular], "Not Found", 0)</f>
        <v>4143</v>
      </c>
      <c r="R1667" s="5">
        <f>_xlfn.XLOOKUP(CustomerCombined[[#This Row],[ID]], Table4[ID], Table4[Deals], "Not Found", 0)</f>
        <v>1</v>
      </c>
      <c r="S1667" s="5">
        <f>_xlfn.XLOOKUP(CustomerCombined[[#This Row],[ID]], Table4[ID], Table4[Website], "Not Found", 0)</f>
        <v>2</v>
      </c>
      <c r="T1667" s="5">
        <f>_xlfn.XLOOKUP(CustomerCombined[[#This Row],[ID]], Table4[ID], Table4[Catalog], "Not Found", 0)</f>
        <v>4</v>
      </c>
      <c r="U1667" s="5">
        <f>_xlfn.XLOOKUP(CustomerCombined[[#This Row],[ID]], Table4[ID], Table4[Store], "Not Found", 0)</f>
        <v>12</v>
      </c>
      <c r="V1667" s="5">
        <f>_xlfn.XLOOKUP(CustomerCombined[[#This Row],[ID]], Table4[ID], Table4[Visits], "Not Found", 0)</f>
        <v>1</v>
      </c>
      <c r="W1667" s="8">
        <f>_xlfn.XLOOKUP(CustomerCombined[[#This Row],[ID]], Table2[ID],Table2[Complaint], "Not Found", 0 )</f>
        <v>0</v>
      </c>
      <c r="X1667" s="8">
        <f>_xlfn.XLOOKUP(CustomerCombined[[#This Row],[ID]], Table2[ID],Table2[Pilot], "Not Found", 0 )</f>
        <v>0</v>
      </c>
      <c r="Y1667" s="8">
        <f>_xlfn.XLOOKUP(CustomerCombined[[#This Row],[ID]], Table2[ID],Table2[MC1], "Not Found", 0 )</f>
        <v>0</v>
      </c>
      <c r="Z1667" s="8">
        <f>_xlfn.XLOOKUP(CustomerCombined[[#This Row],[ID]], Table2[ID],Table2[MC2], "Not Found", 0 )</f>
        <v>0</v>
      </c>
      <c r="AA1667" s="8">
        <f>_xlfn.XLOOKUP(CustomerCombined[[#This Row],[ID]], Table2[ID],Table2[MC3], "Not Found", 0 )</f>
        <v>0</v>
      </c>
      <c r="AB1667" s="8">
        <f>_xlfn.XLOOKUP(CustomerCombined[[#This Row],[ID]], Table2[ID],Table2[MC4], "Not Found", 0 )</f>
        <v>0</v>
      </c>
      <c r="AC1667" s="8">
        <f>_xlfn.XLOOKUP(CustomerCombined[[#This Row],[ID]], Table2[ID],Table2[MC5], "Not Found", 0 )</f>
        <v>1</v>
      </c>
    </row>
    <row r="1668" spans="1:29" x14ac:dyDescent="0.3">
      <c r="A1668" s="6">
        <v>2899</v>
      </c>
      <c r="B1668" s="6">
        <v>180982</v>
      </c>
      <c r="C1668" s="6">
        <v>1</v>
      </c>
      <c r="D1668" s="6">
        <v>1</v>
      </c>
      <c r="E1668" s="6">
        <v>61</v>
      </c>
      <c r="F1668" s="5" t="s">
        <v>7</v>
      </c>
      <c r="G1668" s="5" t="s">
        <v>11</v>
      </c>
      <c r="H1668" s="3" t="s">
        <v>332</v>
      </c>
      <c r="I1668" s="5" t="s">
        <v>437</v>
      </c>
      <c r="J1668" s="5">
        <f>_xlfn.XLOOKUP(CustomerCombined[[#This Row],[ID]], Table4[ID], Table4[Recency], "Not Found", 0)</f>
        <v>48</v>
      </c>
      <c r="K1668" s="5">
        <f>_xlfn.XLOOKUP(CustomerCombined[[#This Row],[ID]], Table4[ID], Table4[Teas], "Not Found", 0)</f>
        <v>1129</v>
      </c>
      <c r="L1668" s="5">
        <f>_xlfn.XLOOKUP(CustomerCombined[[#This Row],[ID]], Table4[ID], Table4[Fruits], "Not Found", 0)</f>
        <v>306</v>
      </c>
      <c r="M1668" s="5">
        <f>_xlfn.XLOOKUP(CustomerCombined[[#This Row],[ID]], Table4[ID], Table4[Meats], "Not Found", 0)</f>
        <v>896</v>
      </c>
      <c r="N1668" s="5">
        <f>_xlfn.XLOOKUP(CustomerCombined[[#This Row],[ID]], Table4[ID], Table4[Seafood], "Not Found", 0)</f>
        <v>232</v>
      </c>
      <c r="O1668" s="5">
        <f>_xlfn.XLOOKUP(CustomerCombined[[#This Row],[ID]], Table4[ID], Table4[Sweets], "Not Found", 0)</f>
        <v>49</v>
      </c>
      <c r="P1668" s="5">
        <f>_xlfn.XLOOKUP(CustomerCombined[[#This Row],[ID]], Table4[ID], Table4[Premium], "Not Found", 0)</f>
        <v>49</v>
      </c>
      <c r="Q1668" s="5">
        <f>_xlfn.XLOOKUP(CustomerCombined[[#This Row],[ID]], Table4[ID], Table4[Regular], "Not Found", 0)</f>
        <v>2563</v>
      </c>
      <c r="R1668" s="5">
        <f>_xlfn.XLOOKUP(CustomerCombined[[#This Row],[ID]], Table4[ID], Table4[Deals], "Not Found", 0)</f>
        <v>3</v>
      </c>
      <c r="S1668" s="5">
        <f>_xlfn.XLOOKUP(CustomerCombined[[#This Row],[ID]], Table4[ID], Table4[Website], "Not Found", 0)</f>
        <v>11</v>
      </c>
      <c r="T1668" s="5">
        <f>_xlfn.XLOOKUP(CustomerCombined[[#This Row],[ID]], Table4[ID], Table4[Catalog], "Not Found", 0)</f>
        <v>5</v>
      </c>
      <c r="U1668" s="5">
        <f>_xlfn.XLOOKUP(CustomerCombined[[#This Row],[ID]], Table4[ID], Table4[Store], "Not Found", 0)</f>
        <v>11</v>
      </c>
      <c r="V1668" s="5">
        <f>_xlfn.XLOOKUP(CustomerCombined[[#This Row],[ID]], Table4[ID], Table4[Visits], "Not Found", 0)</f>
        <v>5</v>
      </c>
      <c r="W1668" s="8">
        <f>_xlfn.XLOOKUP(CustomerCombined[[#This Row],[ID]], Table2[ID],Table2[Complaint], "Not Found", 0 )</f>
        <v>1</v>
      </c>
      <c r="X1668" s="8">
        <f>_xlfn.XLOOKUP(CustomerCombined[[#This Row],[ID]], Table2[ID],Table2[Pilot], "Not Found", 0 )</f>
        <v>0</v>
      </c>
      <c r="Y1668" s="8">
        <f>_xlfn.XLOOKUP(CustomerCombined[[#This Row],[ID]], Table2[ID],Table2[MC1], "Not Found", 0 )</f>
        <v>0</v>
      </c>
      <c r="Z1668" s="8">
        <f>_xlfn.XLOOKUP(CustomerCombined[[#This Row],[ID]], Table2[ID],Table2[MC2], "Not Found", 0 )</f>
        <v>0</v>
      </c>
      <c r="AA1668" s="8">
        <f>_xlfn.XLOOKUP(CustomerCombined[[#This Row],[ID]], Table2[ID],Table2[MC3], "Not Found", 0 )</f>
        <v>0</v>
      </c>
      <c r="AB1668" s="8">
        <f>_xlfn.XLOOKUP(CustomerCombined[[#This Row],[ID]], Table2[ID],Table2[MC4], "Not Found", 0 )</f>
        <v>0</v>
      </c>
      <c r="AC1668" s="8">
        <f>_xlfn.XLOOKUP(CustomerCombined[[#This Row],[ID]], Table2[ID],Table2[MC5], "Not Found", 0 )</f>
        <v>0</v>
      </c>
    </row>
    <row r="1669" spans="1:29" x14ac:dyDescent="0.3">
      <c r="A1669" s="6">
        <v>3056</v>
      </c>
      <c r="B1669" s="6">
        <v>179823</v>
      </c>
      <c r="C1669" s="6">
        <v>0</v>
      </c>
      <c r="D1669" s="6">
        <v>1</v>
      </c>
      <c r="E1669" s="6">
        <v>61</v>
      </c>
      <c r="F1669" s="5" t="s">
        <v>6</v>
      </c>
      <c r="G1669" s="5" t="s">
        <v>11</v>
      </c>
      <c r="H1669" s="3">
        <v>43930</v>
      </c>
      <c r="I1669" s="5" t="s">
        <v>438</v>
      </c>
      <c r="J1669" s="5">
        <f>_xlfn.XLOOKUP(CustomerCombined[[#This Row],[ID]], Table4[ID], Table4[Recency], "Not Found", 0)</f>
        <v>6</v>
      </c>
      <c r="K1669" s="5">
        <f>_xlfn.XLOOKUP(CustomerCombined[[#This Row],[ID]], Table4[ID], Table4[Teas], "Not Found", 0)</f>
        <v>1881</v>
      </c>
      <c r="L1669" s="5">
        <f>_xlfn.XLOOKUP(CustomerCombined[[#This Row],[ID]], Table4[ID], Table4[Fruits], "Not Found", 0)</f>
        <v>164</v>
      </c>
      <c r="M1669" s="5">
        <f>_xlfn.XLOOKUP(CustomerCombined[[#This Row],[ID]], Table4[ID], Table4[Meats], "Not Found", 0)</f>
        <v>856</v>
      </c>
      <c r="N1669" s="5">
        <f>_xlfn.XLOOKUP(CustomerCombined[[#This Row],[ID]], Table4[ID], Table4[Seafood], "Not Found", 0)</f>
        <v>257</v>
      </c>
      <c r="O1669" s="5">
        <f>_xlfn.XLOOKUP(CustomerCombined[[#This Row],[ID]], Table4[ID], Table4[Sweets], "Not Found", 0)</f>
        <v>164</v>
      </c>
      <c r="P1669" s="5">
        <f>_xlfn.XLOOKUP(CustomerCombined[[#This Row],[ID]], Table4[ID], Table4[Premium], "Not Found", 0)</f>
        <v>97</v>
      </c>
      <c r="Q1669" s="5">
        <f>_xlfn.XLOOKUP(CustomerCombined[[#This Row],[ID]], Table4[ID], Table4[Regular], "Not Found", 0)</f>
        <v>3226</v>
      </c>
      <c r="R1669" s="5">
        <f>_xlfn.XLOOKUP(CustomerCombined[[#This Row],[ID]], Table4[ID], Table4[Deals], "Not Found", 0)</f>
        <v>1</v>
      </c>
      <c r="S1669" s="5">
        <f>_xlfn.XLOOKUP(CustomerCombined[[#This Row],[ID]], Table4[ID], Table4[Website], "Not Found", 0)</f>
        <v>6</v>
      </c>
      <c r="T1669" s="5">
        <f>_xlfn.XLOOKUP(CustomerCombined[[#This Row],[ID]], Table4[ID], Table4[Catalog], "Not Found", 0)</f>
        <v>9</v>
      </c>
      <c r="U1669" s="5">
        <f>_xlfn.XLOOKUP(CustomerCombined[[#This Row],[ID]], Table4[ID], Table4[Store], "Not Found", 0)</f>
        <v>7</v>
      </c>
      <c r="V1669" s="5">
        <f>_xlfn.XLOOKUP(CustomerCombined[[#This Row],[ID]], Table4[ID], Table4[Visits], "Not Found", 0)</f>
        <v>2</v>
      </c>
      <c r="W1669" s="8">
        <f>_xlfn.XLOOKUP(CustomerCombined[[#This Row],[ID]], Table2[ID],Table2[Complaint], "Not Found", 0 )</f>
        <v>0</v>
      </c>
      <c r="X1669" s="8">
        <f>_xlfn.XLOOKUP(CustomerCombined[[#This Row],[ID]], Table2[ID],Table2[Pilot], "Not Found", 0 )</f>
        <v>0</v>
      </c>
      <c r="Y1669" s="8">
        <f>_xlfn.XLOOKUP(CustomerCombined[[#This Row],[ID]], Table2[ID],Table2[MC1], "Not Found", 0 )</f>
        <v>0</v>
      </c>
      <c r="Z1669" s="8">
        <f>_xlfn.XLOOKUP(CustomerCombined[[#This Row],[ID]], Table2[ID],Table2[MC2], "Not Found", 0 )</f>
        <v>0</v>
      </c>
      <c r="AA1669" s="8">
        <f>_xlfn.XLOOKUP(CustomerCombined[[#This Row],[ID]], Table2[ID],Table2[MC3], "Not Found", 0 )</f>
        <v>0</v>
      </c>
      <c r="AB1669" s="8">
        <f>_xlfn.XLOOKUP(CustomerCombined[[#This Row],[ID]], Table2[ID],Table2[MC4], "Not Found", 0 )</f>
        <v>1</v>
      </c>
      <c r="AC1669" s="8">
        <f>_xlfn.XLOOKUP(CustomerCombined[[#This Row],[ID]], Table2[ID],Table2[MC5], "Not Found", 0 )</f>
        <v>0</v>
      </c>
    </row>
    <row r="1670" spans="1:29" x14ac:dyDescent="0.3">
      <c r="A1670" s="6">
        <v>1806</v>
      </c>
      <c r="B1670" s="6">
        <v>178353</v>
      </c>
      <c r="C1670" s="6">
        <v>0</v>
      </c>
      <c r="D1670" s="6">
        <v>1</v>
      </c>
      <c r="E1670" s="6">
        <v>61</v>
      </c>
      <c r="F1670" s="5" t="s">
        <v>5</v>
      </c>
      <c r="G1670" s="5" t="s">
        <v>442</v>
      </c>
      <c r="H1670" s="3" t="s">
        <v>273</v>
      </c>
      <c r="I1670" s="5" t="s">
        <v>436</v>
      </c>
      <c r="J1670" s="5">
        <f>_xlfn.XLOOKUP(CustomerCombined[[#This Row],[ID]], Table4[ID], Table4[Recency], "Not Found", 0)</f>
        <v>51</v>
      </c>
      <c r="K1670" s="5">
        <f>_xlfn.XLOOKUP(CustomerCombined[[#This Row],[ID]], Table4[ID], Table4[Teas], "Not Found", 0)</f>
        <v>1712</v>
      </c>
      <c r="L1670" s="5">
        <f>_xlfn.XLOOKUP(CustomerCombined[[#This Row],[ID]], Table4[ID], Table4[Fruits], "Not Found", 0)</f>
        <v>278</v>
      </c>
      <c r="M1670" s="5">
        <f>_xlfn.XLOOKUP(CustomerCombined[[#This Row],[ID]], Table4[ID], Table4[Meats], "Not Found", 0)</f>
        <v>1084</v>
      </c>
      <c r="N1670" s="5">
        <f>_xlfn.XLOOKUP(CustomerCombined[[#This Row],[ID]], Table4[ID], Table4[Seafood], "Not Found", 0)</f>
        <v>89</v>
      </c>
      <c r="O1670" s="5">
        <f>_xlfn.XLOOKUP(CustomerCombined[[#This Row],[ID]], Table4[ID], Table4[Sweets], "Not Found", 0)</f>
        <v>348</v>
      </c>
      <c r="P1670" s="5">
        <f>_xlfn.XLOOKUP(CustomerCombined[[#This Row],[ID]], Table4[ID], Table4[Premium], "Not Found", 0)</f>
        <v>77</v>
      </c>
      <c r="Q1670" s="5">
        <f>_xlfn.XLOOKUP(CustomerCombined[[#This Row],[ID]], Table4[ID], Table4[Regular], "Not Found", 0)</f>
        <v>3433</v>
      </c>
      <c r="R1670" s="5">
        <f>_xlfn.XLOOKUP(CustomerCombined[[#This Row],[ID]], Table4[ID], Table4[Deals], "Not Found", 0)</f>
        <v>1</v>
      </c>
      <c r="S1670" s="5">
        <f>_xlfn.XLOOKUP(CustomerCombined[[#This Row],[ID]], Table4[ID], Table4[Website], "Not Found", 0)</f>
        <v>10</v>
      </c>
      <c r="T1670" s="5">
        <f>_xlfn.XLOOKUP(CustomerCombined[[#This Row],[ID]], Table4[ID], Table4[Catalog], "Not Found", 0)</f>
        <v>2</v>
      </c>
      <c r="U1670" s="5">
        <f>_xlfn.XLOOKUP(CustomerCombined[[#This Row],[ID]], Table4[ID], Table4[Store], "Not Found", 0)</f>
        <v>11</v>
      </c>
      <c r="V1670" s="5">
        <f>_xlfn.XLOOKUP(CustomerCombined[[#This Row],[ID]], Table4[ID], Table4[Visits], "Not Found", 0)</f>
        <v>8</v>
      </c>
      <c r="W1670" s="8">
        <f>_xlfn.XLOOKUP(CustomerCombined[[#This Row],[ID]], Table2[ID],Table2[Complaint], "Not Found", 0 )</f>
        <v>0</v>
      </c>
      <c r="X1670" s="8">
        <f>_xlfn.XLOOKUP(CustomerCombined[[#This Row],[ID]], Table2[ID],Table2[Pilot], "Not Found", 0 )</f>
        <v>0</v>
      </c>
      <c r="Y1670" s="8">
        <f>_xlfn.XLOOKUP(CustomerCombined[[#This Row],[ID]], Table2[ID],Table2[MC1], "Not Found", 0 )</f>
        <v>0</v>
      </c>
      <c r="Z1670" s="8">
        <f>_xlfn.XLOOKUP(CustomerCombined[[#This Row],[ID]], Table2[ID],Table2[MC2], "Not Found", 0 )</f>
        <v>0</v>
      </c>
      <c r="AA1670" s="8">
        <f>_xlfn.XLOOKUP(CustomerCombined[[#This Row],[ID]], Table2[ID],Table2[MC3], "Not Found", 0 )</f>
        <v>0</v>
      </c>
      <c r="AB1670" s="8">
        <f>_xlfn.XLOOKUP(CustomerCombined[[#This Row],[ID]], Table2[ID],Table2[MC4], "Not Found", 0 )</f>
        <v>0</v>
      </c>
      <c r="AC1670" s="8">
        <f>_xlfn.XLOOKUP(CustomerCombined[[#This Row],[ID]], Table2[ID],Table2[MC5], "Not Found", 0 )</f>
        <v>0</v>
      </c>
    </row>
    <row r="1671" spans="1:29" x14ac:dyDescent="0.3">
      <c r="A1671" s="6">
        <v>2686</v>
      </c>
      <c r="B1671" s="6">
        <v>177520</v>
      </c>
      <c r="C1671" s="6">
        <v>0</v>
      </c>
      <c r="D1671" s="6">
        <v>1</v>
      </c>
      <c r="E1671" s="6">
        <v>61</v>
      </c>
      <c r="F1671" s="5" t="s">
        <v>6</v>
      </c>
      <c r="G1671" s="5" t="s">
        <v>12</v>
      </c>
      <c r="H1671" s="3">
        <v>43863</v>
      </c>
      <c r="I1671" s="5" t="s">
        <v>439</v>
      </c>
      <c r="J1671" s="5">
        <f>_xlfn.XLOOKUP(CustomerCombined[[#This Row],[ID]], Table4[ID], Table4[Recency], "Not Found", 0)</f>
        <v>30</v>
      </c>
      <c r="K1671" s="5">
        <f>_xlfn.XLOOKUP(CustomerCombined[[#This Row],[ID]], Table4[ID], Table4[Teas], "Not Found", 0)</f>
        <v>2153</v>
      </c>
      <c r="L1671" s="5">
        <f>_xlfn.XLOOKUP(CustomerCombined[[#This Row],[ID]], Table4[ID], Table4[Fruits], "Not Found", 0)</f>
        <v>101</v>
      </c>
      <c r="M1671" s="5">
        <f>_xlfn.XLOOKUP(CustomerCombined[[#This Row],[ID]], Table4[ID], Table4[Meats], "Not Found", 0)</f>
        <v>907</v>
      </c>
      <c r="N1671" s="5">
        <f>_xlfn.XLOOKUP(CustomerCombined[[#This Row],[ID]], Table4[ID], Table4[Seafood], "Not Found", 0)</f>
        <v>0</v>
      </c>
      <c r="O1671" s="5">
        <f>_xlfn.XLOOKUP(CustomerCombined[[#This Row],[ID]], Table4[ID], Table4[Sweets], "Not Found", 0)</f>
        <v>202</v>
      </c>
      <c r="P1671" s="5">
        <f>_xlfn.XLOOKUP(CustomerCombined[[#This Row],[ID]], Table4[ID], Table4[Premium], "Not Found", 0)</f>
        <v>133</v>
      </c>
      <c r="Q1671" s="5">
        <f>_xlfn.XLOOKUP(CustomerCombined[[#This Row],[ID]], Table4[ID], Table4[Regular], "Not Found", 0)</f>
        <v>3229</v>
      </c>
      <c r="R1671" s="5">
        <f>_xlfn.XLOOKUP(CustomerCombined[[#This Row],[ID]], Table4[ID], Table4[Deals], "Not Found", 0)</f>
        <v>1</v>
      </c>
      <c r="S1671" s="5">
        <f>_xlfn.XLOOKUP(CustomerCombined[[#This Row],[ID]], Table4[ID], Table4[Website], "Not Found", 0)</f>
        <v>8</v>
      </c>
      <c r="T1671" s="5">
        <f>_xlfn.XLOOKUP(CustomerCombined[[#This Row],[ID]], Table4[ID], Table4[Catalog], "Not Found", 0)</f>
        <v>7</v>
      </c>
      <c r="U1671" s="5">
        <f>_xlfn.XLOOKUP(CustomerCombined[[#This Row],[ID]], Table4[ID], Table4[Store], "Not Found", 0)</f>
        <v>7</v>
      </c>
      <c r="V1671" s="5">
        <f>_xlfn.XLOOKUP(CustomerCombined[[#This Row],[ID]], Table4[ID], Table4[Visits], "Not Found", 0)</f>
        <v>4</v>
      </c>
      <c r="W1671" s="8">
        <f>_xlfn.XLOOKUP(CustomerCombined[[#This Row],[ID]], Table2[ID],Table2[Complaint], "Not Found", 0 )</f>
        <v>0</v>
      </c>
      <c r="X1671" s="8">
        <f>_xlfn.XLOOKUP(CustomerCombined[[#This Row],[ID]], Table2[ID],Table2[Pilot], "Not Found", 0 )</f>
        <v>1</v>
      </c>
      <c r="Y1671" s="8">
        <f>_xlfn.XLOOKUP(CustomerCombined[[#This Row],[ID]], Table2[ID],Table2[MC1], "Not Found", 0 )</f>
        <v>1</v>
      </c>
      <c r="Z1671" s="8">
        <f>_xlfn.XLOOKUP(CustomerCombined[[#This Row],[ID]], Table2[ID],Table2[MC2], "Not Found", 0 )</f>
        <v>0</v>
      </c>
      <c r="AA1671" s="8">
        <f>_xlfn.XLOOKUP(CustomerCombined[[#This Row],[ID]], Table2[ID],Table2[MC3], "Not Found", 0 )</f>
        <v>1</v>
      </c>
      <c r="AB1671" s="8">
        <f>_xlfn.XLOOKUP(CustomerCombined[[#This Row],[ID]], Table2[ID],Table2[MC4], "Not Found", 0 )</f>
        <v>0</v>
      </c>
      <c r="AC1671" s="8">
        <f>_xlfn.XLOOKUP(CustomerCombined[[#This Row],[ID]], Table2[ID],Table2[MC5], "Not Found", 0 )</f>
        <v>1</v>
      </c>
    </row>
    <row r="1672" spans="1:29" x14ac:dyDescent="0.3">
      <c r="A1672" s="6">
        <v>3027</v>
      </c>
      <c r="B1672" s="6">
        <v>176320</v>
      </c>
      <c r="C1672" s="6">
        <v>0</v>
      </c>
      <c r="D1672" s="6">
        <v>1</v>
      </c>
      <c r="E1672" s="6">
        <v>61</v>
      </c>
      <c r="F1672" s="5" t="s">
        <v>9</v>
      </c>
      <c r="G1672" s="5" t="s">
        <v>11</v>
      </c>
      <c r="H1672" s="3" t="s">
        <v>27</v>
      </c>
      <c r="I1672" s="5" t="s">
        <v>435</v>
      </c>
      <c r="J1672" s="5">
        <f>_xlfn.XLOOKUP(CustomerCombined[[#This Row],[ID]], Table4[ID], Table4[Recency], "Not Found", 0)</f>
        <v>49</v>
      </c>
      <c r="K1672" s="5">
        <f>_xlfn.XLOOKUP(CustomerCombined[[#This Row],[ID]], Table4[ID], Table4[Teas], "Not Found", 0)</f>
        <v>1215</v>
      </c>
      <c r="L1672" s="5">
        <f>_xlfn.XLOOKUP(CustomerCombined[[#This Row],[ID]], Table4[ID], Table4[Fruits], "Not Found", 0)</f>
        <v>81</v>
      </c>
      <c r="M1672" s="5">
        <f>_xlfn.XLOOKUP(CustomerCombined[[#This Row],[ID]], Table4[ID], Table4[Meats], "Not Found", 0)</f>
        <v>494</v>
      </c>
      <c r="N1672" s="5">
        <f>_xlfn.XLOOKUP(CustomerCombined[[#This Row],[ID]], Table4[ID], Table4[Seafood], "Not Found", 0)</f>
        <v>159</v>
      </c>
      <c r="O1672" s="5">
        <f>_xlfn.XLOOKUP(CustomerCombined[[#This Row],[ID]], Table4[ID], Table4[Sweets], "Not Found", 0)</f>
        <v>122</v>
      </c>
      <c r="P1672" s="5">
        <f>_xlfn.XLOOKUP(CustomerCombined[[#This Row],[ID]], Table4[ID], Table4[Premium], "Not Found", 0)</f>
        <v>81</v>
      </c>
      <c r="Q1672" s="5">
        <f>_xlfn.XLOOKUP(CustomerCombined[[#This Row],[ID]], Table4[ID], Table4[Regular], "Not Found", 0)</f>
        <v>1991</v>
      </c>
      <c r="R1672" s="5">
        <f>_xlfn.XLOOKUP(CustomerCombined[[#This Row],[ID]], Table4[ID], Table4[Deals], "Not Found", 0)</f>
        <v>2</v>
      </c>
      <c r="S1672" s="5">
        <f>_xlfn.XLOOKUP(CustomerCombined[[#This Row],[ID]], Table4[ID], Table4[Website], "Not Found", 0)</f>
        <v>6</v>
      </c>
      <c r="T1672" s="5">
        <f>_xlfn.XLOOKUP(CustomerCombined[[#This Row],[ID]], Table4[ID], Table4[Catalog], "Not Found", 0)</f>
        <v>3</v>
      </c>
      <c r="U1672" s="5">
        <f>_xlfn.XLOOKUP(CustomerCombined[[#This Row],[ID]], Table4[ID], Table4[Store], "Not Found", 0)</f>
        <v>4</v>
      </c>
      <c r="V1672" s="5">
        <f>_xlfn.XLOOKUP(CustomerCombined[[#This Row],[ID]], Table4[ID], Table4[Visits], "Not Found", 0)</f>
        <v>2</v>
      </c>
      <c r="W1672" s="8">
        <f>_xlfn.XLOOKUP(CustomerCombined[[#This Row],[ID]], Table2[ID],Table2[Complaint], "Not Found", 0 )</f>
        <v>0</v>
      </c>
      <c r="X1672" s="8">
        <f>_xlfn.XLOOKUP(CustomerCombined[[#This Row],[ID]], Table2[ID],Table2[Pilot], "Not Found", 0 )</f>
        <v>0</v>
      </c>
      <c r="Y1672" s="8">
        <f>_xlfn.XLOOKUP(CustomerCombined[[#This Row],[ID]], Table2[ID],Table2[MC1], "Not Found", 0 )</f>
        <v>0</v>
      </c>
      <c r="Z1672" s="8">
        <f>_xlfn.XLOOKUP(CustomerCombined[[#This Row],[ID]], Table2[ID],Table2[MC2], "Not Found", 0 )</f>
        <v>0</v>
      </c>
      <c r="AA1672" s="8">
        <f>_xlfn.XLOOKUP(CustomerCombined[[#This Row],[ID]], Table2[ID],Table2[MC3], "Not Found", 0 )</f>
        <v>0</v>
      </c>
      <c r="AB1672" s="8">
        <f>_xlfn.XLOOKUP(CustomerCombined[[#This Row],[ID]], Table2[ID],Table2[MC4], "Not Found", 0 )</f>
        <v>0</v>
      </c>
      <c r="AC1672" s="8">
        <f>_xlfn.XLOOKUP(CustomerCombined[[#This Row],[ID]], Table2[ID],Table2[MC5], "Not Found", 0 )</f>
        <v>0</v>
      </c>
    </row>
    <row r="1673" spans="1:29" x14ac:dyDescent="0.3">
      <c r="A1673" s="6">
        <v>2206</v>
      </c>
      <c r="B1673" s="6">
        <v>175032</v>
      </c>
      <c r="C1673" s="6">
        <v>0</v>
      </c>
      <c r="D1673" s="6">
        <v>1</v>
      </c>
      <c r="E1673" s="6">
        <v>61</v>
      </c>
      <c r="F1673" s="5" t="s">
        <v>6</v>
      </c>
      <c r="G1673" s="5" t="s">
        <v>13</v>
      </c>
      <c r="H1673" s="3">
        <v>43534</v>
      </c>
      <c r="I1673" s="5" t="s">
        <v>439</v>
      </c>
      <c r="J1673" s="5">
        <f>_xlfn.XLOOKUP(CustomerCombined[[#This Row],[ID]], Table4[ID], Table4[Recency], "Not Found", 0)</f>
        <v>74</v>
      </c>
      <c r="K1673" s="5">
        <f>_xlfn.XLOOKUP(CustomerCombined[[#This Row],[ID]], Table4[ID], Table4[Teas], "Not Found", 0)</f>
        <v>2221</v>
      </c>
      <c r="L1673" s="5">
        <f>_xlfn.XLOOKUP(CustomerCombined[[#This Row],[ID]], Table4[ID], Table4[Fruits], "Not Found", 0)</f>
        <v>28</v>
      </c>
      <c r="M1673" s="5">
        <f>_xlfn.XLOOKUP(CustomerCombined[[#This Row],[ID]], Table4[ID], Table4[Meats], "Not Found", 0)</f>
        <v>420</v>
      </c>
      <c r="N1673" s="5">
        <f>_xlfn.XLOOKUP(CustomerCombined[[#This Row],[ID]], Table4[ID], Table4[Seafood], "Not Found", 0)</f>
        <v>110</v>
      </c>
      <c r="O1673" s="5">
        <f>_xlfn.XLOOKUP(CustomerCombined[[#This Row],[ID]], Table4[ID], Table4[Sweets], "Not Found", 0)</f>
        <v>28</v>
      </c>
      <c r="P1673" s="5">
        <f>_xlfn.XLOOKUP(CustomerCombined[[#This Row],[ID]], Table4[ID], Table4[Premium], "Not Found", 0)</f>
        <v>28</v>
      </c>
      <c r="Q1673" s="5">
        <f>_xlfn.XLOOKUP(CustomerCombined[[#This Row],[ID]], Table4[ID], Table4[Regular], "Not Found", 0)</f>
        <v>2778</v>
      </c>
      <c r="R1673" s="5">
        <f>_xlfn.XLOOKUP(CustomerCombined[[#This Row],[ID]], Table4[ID], Table4[Deals], "Not Found", 0)</f>
        <v>2</v>
      </c>
      <c r="S1673" s="5">
        <f>_xlfn.XLOOKUP(CustomerCombined[[#This Row],[ID]], Table4[ID], Table4[Website], "Not Found", 0)</f>
        <v>5</v>
      </c>
      <c r="T1673" s="5">
        <f>_xlfn.XLOOKUP(CustomerCombined[[#This Row],[ID]], Table4[ID], Table4[Catalog], "Not Found", 0)</f>
        <v>4</v>
      </c>
      <c r="U1673" s="5">
        <f>_xlfn.XLOOKUP(CustomerCombined[[#This Row],[ID]], Table4[ID], Table4[Store], "Not Found", 0)</f>
        <v>9</v>
      </c>
      <c r="V1673" s="5">
        <f>_xlfn.XLOOKUP(CustomerCombined[[#This Row],[ID]], Table4[ID], Table4[Visits], "Not Found", 0)</f>
        <v>3</v>
      </c>
      <c r="W1673" s="8">
        <f>_xlfn.XLOOKUP(CustomerCombined[[#This Row],[ID]], Table2[ID],Table2[Complaint], "Not Found", 0 )</f>
        <v>0</v>
      </c>
      <c r="X1673" s="8">
        <f>_xlfn.XLOOKUP(CustomerCombined[[#This Row],[ID]], Table2[ID],Table2[Pilot], "Not Found", 0 )</f>
        <v>0</v>
      </c>
      <c r="Y1673" s="8">
        <f>_xlfn.XLOOKUP(CustomerCombined[[#This Row],[ID]], Table2[ID],Table2[MC1], "Not Found", 0 )</f>
        <v>0</v>
      </c>
      <c r="Z1673" s="8">
        <f>_xlfn.XLOOKUP(CustomerCombined[[#This Row],[ID]], Table2[ID],Table2[MC2], "Not Found", 0 )</f>
        <v>0</v>
      </c>
      <c r="AA1673" s="8">
        <f>_xlfn.XLOOKUP(CustomerCombined[[#This Row],[ID]], Table2[ID],Table2[MC3], "Not Found", 0 )</f>
        <v>0</v>
      </c>
      <c r="AB1673" s="8">
        <f>_xlfn.XLOOKUP(CustomerCombined[[#This Row],[ID]], Table2[ID],Table2[MC4], "Not Found", 0 )</f>
        <v>0</v>
      </c>
      <c r="AC1673" s="8">
        <f>_xlfn.XLOOKUP(CustomerCombined[[#This Row],[ID]], Table2[ID],Table2[MC5], "Not Found", 0 )</f>
        <v>0</v>
      </c>
    </row>
    <row r="1674" spans="1:29" x14ac:dyDescent="0.3">
      <c r="A1674" s="6">
        <v>2474</v>
      </c>
      <c r="B1674" s="6">
        <v>171706</v>
      </c>
      <c r="C1674" s="6">
        <v>0</v>
      </c>
      <c r="D1674" s="6">
        <v>1</v>
      </c>
      <c r="E1674" s="6">
        <v>61</v>
      </c>
      <c r="F1674" s="5" t="s">
        <v>8</v>
      </c>
      <c r="G1674" s="5" t="s">
        <v>11</v>
      </c>
      <c r="H1674" s="3" t="s">
        <v>362</v>
      </c>
      <c r="I1674" s="5" t="s">
        <v>438</v>
      </c>
      <c r="J1674" s="5">
        <f>_xlfn.XLOOKUP(CustomerCombined[[#This Row],[ID]], Table4[ID], Table4[Recency], "Not Found", 0)</f>
        <v>16</v>
      </c>
      <c r="K1674" s="5">
        <f>_xlfn.XLOOKUP(CustomerCombined[[#This Row],[ID]], Table4[ID], Table4[Teas], "Not Found", 0)</f>
        <v>2229</v>
      </c>
      <c r="L1674" s="5">
        <f>_xlfn.XLOOKUP(CustomerCombined[[#This Row],[ID]], Table4[ID], Table4[Fruits], "Not Found", 0)</f>
        <v>134</v>
      </c>
      <c r="M1674" s="5">
        <f>_xlfn.XLOOKUP(CustomerCombined[[#This Row],[ID]], Table4[ID], Table4[Meats], "Not Found", 0)</f>
        <v>606</v>
      </c>
      <c r="N1674" s="5">
        <f>_xlfn.XLOOKUP(CustomerCombined[[#This Row],[ID]], Table4[ID], Table4[Seafood], "Not Found", 0)</f>
        <v>218</v>
      </c>
      <c r="O1674" s="5">
        <f>_xlfn.XLOOKUP(CustomerCombined[[#This Row],[ID]], Table4[ID], Table4[Sweets], "Not Found", 0)</f>
        <v>235</v>
      </c>
      <c r="P1674" s="5">
        <f>_xlfn.XLOOKUP(CustomerCombined[[#This Row],[ID]], Table4[ID], Table4[Premium], "Not Found", 0)</f>
        <v>34</v>
      </c>
      <c r="Q1674" s="5">
        <f>_xlfn.XLOOKUP(CustomerCombined[[#This Row],[ID]], Table4[ID], Table4[Regular], "Not Found", 0)</f>
        <v>3388</v>
      </c>
      <c r="R1674" s="5">
        <f>_xlfn.XLOOKUP(CustomerCombined[[#This Row],[ID]], Table4[ID], Table4[Deals], "Not Found", 0)</f>
        <v>4</v>
      </c>
      <c r="S1674" s="5">
        <f>_xlfn.XLOOKUP(CustomerCombined[[#This Row],[ID]], Table4[ID], Table4[Website], "Not Found", 0)</f>
        <v>9</v>
      </c>
      <c r="T1674" s="5">
        <f>_xlfn.XLOOKUP(CustomerCombined[[#This Row],[ID]], Table4[ID], Table4[Catalog], "Not Found", 0)</f>
        <v>5</v>
      </c>
      <c r="U1674" s="5">
        <f>_xlfn.XLOOKUP(CustomerCombined[[#This Row],[ID]], Table4[ID], Table4[Store], "Not Found", 0)</f>
        <v>7</v>
      </c>
      <c r="V1674" s="5">
        <f>_xlfn.XLOOKUP(CustomerCombined[[#This Row],[ID]], Table4[ID], Table4[Visits], "Not Found", 0)</f>
        <v>5</v>
      </c>
      <c r="W1674" s="8">
        <f>_xlfn.XLOOKUP(CustomerCombined[[#This Row],[ID]], Table2[ID],Table2[Complaint], "Not Found", 0 )</f>
        <v>0</v>
      </c>
      <c r="X1674" s="8">
        <f>_xlfn.XLOOKUP(CustomerCombined[[#This Row],[ID]], Table2[ID],Table2[Pilot], "Not Found", 0 )</f>
        <v>0</v>
      </c>
      <c r="Y1674" s="8">
        <f>_xlfn.XLOOKUP(CustomerCombined[[#This Row],[ID]], Table2[ID],Table2[MC1], "Not Found", 0 )</f>
        <v>0</v>
      </c>
      <c r="Z1674" s="8">
        <f>_xlfn.XLOOKUP(CustomerCombined[[#This Row],[ID]], Table2[ID],Table2[MC2], "Not Found", 0 )</f>
        <v>0</v>
      </c>
      <c r="AA1674" s="8">
        <f>_xlfn.XLOOKUP(CustomerCombined[[#This Row],[ID]], Table2[ID],Table2[MC3], "Not Found", 0 )</f>
        <v>0</v>
      </c>
      <c r="AB1674" s="8">
        <f>_xlfn.XLOOKUP(CustomerCombined[[#This Row],[ID]], Table2[ID],Table2[MC4], "Not Found", 0 )</f>
        <v>0</v>
      </c>
      <c r="AC1674" s="8">
        <f>_xlfn.XLOOKUP(CustomerCombined[[#This Row],[ID]], Table2[ID],Table2[MC5], "Not Found", 0 )</f>
        <v>0</v>
      </c>
    </row>
    <row r="1675" spans="1:29" x14ac:dyDescent="0.3">
      <c r="A1675" s="6">
        <v>1502</v>
      </c>
      <c r="B1675" s="6">
        <v>171367</v>
      </c>
      <c r="C1675" s="6">
        <v>0</v>
      </c>
      <c r="D1675" s="6">
        <v>0</v>
      </c>
      <c r="E1675" s="6">
        <v>61</v>
      </c>
      <c r="F1675" s="5" t="s">
        <v>8</v>
      </c>
      <c r="G1675" s="5" t="s">
        <v>11</v>
      </c>
      <c r="H1675" s="3" t="s">
        <v>194</v>
      </c>
      <c r="I1675" s="5" t="s">
        <v>438</v>
      </c>
      <c r="J1675" s="5">
        <f>_xlfn.XLOOKUP(CustomerCombined[[#This Row],[ID]], Table4[ID], Table4[Recency], "Not Found", 0)</f>
        <v>24</v>
      </c>
      <c r="K1675" s="5">
        <f>_xlfn.XLOOKUP(CustomerCombined[[#This Row],[ID]], Table4[ID], Table4[Teas], "Not Found", 0)</f>
        <v>545</v>
      </c>
      <c r="L1675" s="5">
        <f>_xlfn.XLOOKUP(CustomerCombined[[#This Row],[ID]], Table4[ID], Table4[Fruits], "Not Found", 0)</f>
        <v>55</v>
      </c>
      <c r="M1675" s="5">
        <f>_xlfn.XLOOKUP(CustomerCombined[[#This Row],[ID]], Table4[ID], Table4[Meats], "Not Found", 0)</f>
        <v>934</v>
      </c>
      <c r="N1675" s="5">
        <f>_xlfn.XLOOKUP(CustomerCombined[[#This Row],[ID]], Table4[ID], Table4[Seafood], "Not Found", 0)</f>
        <v>101</v>
      </c>
      <c r="O1675" s="5">
        <f>_xlfn.XLOOKUP(CustomerCombined[[#This Row],[ID]], Table4[ID], Table4[Sweets], "Not Found", 0)</f>
        <v>50</v>
      </c>
      <c r="P1675" s="5">
        <f>_xlfn.XLOOKUP(CustomerCombined[[#This Row],[ID]], Table4[ID], Table4[Premium], "Not Found", 0)</f>
        <v>180</v>
      </c>
      <c r="Q1675" s="5">
        <f>_xlfn.XLOOKUP(CustomerCombined[[#This Row],[ID]], Table4[ID], Table4[Regular], "Not Found", 0)</f>
        <v>1506</v>
      </c>
      <c r="R1675" s="5">
        <f>_xlfn.XLOOKUP(CustomerCombined[[#This Row],[ID]], Table4[ID], Table4[Deals], "Not Found", 0)</f>
        <v>1</v>
      </c>
      <c r="S1675" s="5">
        <f>_xlfn.XLOOKUP(CustomerCombined[[#This Row],[ID]], Table4[ID], Table4[Website], "Not Found", 0)</f>
        <v>4</v>
      </c>
      <c r="T1675" s="5">
        <f>_xlfn.XLOOKUP(CustomerCombined[[#This Row],[ID]], Table4[ID], Table4[Catalog], "Not Found", 0)</f>
        <v>5</v>
      </c>
      <c r="U1675" s="5">
        <f>_xlfn.XLOOKUP(CustomerCombined[[#This Row],[ID]], Table4[ID], Table4[Store], "Not Found", 0)</f>
        <v>7</v>
      </c>
      <c r="V1675" s="5">
        <f>_xlfn.XLOOKUP(CustomerCombined[[#This Row],[ID]], Table4[ID], Table4[Visits], "Not Found", 0)</f>
        <v>2</v>
      </c>
      <c r="W1675" s="8">
        <f>_xlfn.XLOOKUP(CustomerCombined[[#This Row],[ID]], Table2[ID],Table2[Complaint], "Not Found", 0 )</f>
        <v>0</v>
      </c>
      <c r="X1675" s="8">
        <f>_xlfn.XLOOKUP(CustomerCombined[[#This Row],[ID]], Table2[ID],Table2[Pilot], "Not Found", 0 )</f>
        <v>0</v>
      </c>
      <c r="Y1675" s="8">
        <f>_xlfn.XLOOKUP(CustomerCombined[[#This Row],[ID]], Table2[ID],Table2[MC1], "Not Found", 0 )</f>
        <v>0</v>
      </c>
      <c r="Z1675" s="8">
        <f>_xlfn.XLOOKUP(CustomerCombined[[#This Row],[ID]], Table2[ID],Table2[MC2], "Not Found", 0 )</f>
        <v>0</v>
      </c>
      <c r="AA1675" s="8">
        <f>_xlfn.XLOOKUP(CustomerCombined[[#This Row],[ID]], Table2[ID],Table2[MC3], "Not Found", 0 )</f>
        <v>0</v>
      </c>
      <c r="AB1675" s="8">
        <f>_xlfn.XLOOKUP(CustomerCombined[[#This Row],[ID]], Table2[ID],Table2[MC4], "Not Found", 0 )</f>
        <v>0</v>
      </c>
      <c r="AC1675" s="8">
        <f>_xlfn.XLOOKUP(CustomerCombined[[#This Row],[ID]], Table2[ID],Table2[MC5], "Not Found", 0 )</f>
        <v>0</v>
      </c>
    </row>
    <row r="1676" spans="1:29" x14ac:dyDescent="0.3">
      <c r="A1676" s="6">
        <v>2073</v>
      </c>
      <c r="B1676" s="6">
        <v>171367</v>
      </c>
      <c r="C1676" s="6">
        <v>0</v>
      </c>
      <c r="D1676" s="6">
        <v>0</v>
      </c>
      <c r="E1676" s="6">
        <v>61</v>
      </c>
      <c r="F1676" s="5" t="s">
        <v>8</v>
      </c>
      <c r="G1676" s="5" t="s">
        <v>11</v>
      </c>
      <c r="H1676" s="3" t="s">
        <v>194</v>
      </c>
      <c r="I1676" s="5" t="s">
        <v>435</v>
      </c>
      <c r="J1676" s="5">
        <f>_xlfn.XLOOKUP(CustomerCombined[[#This Row],[ID]], Table4[ID], Table4[Recency], "Not Found", 0)</f>
        <v>24</v>
      </c>
      <c r="K1676" s="5">
        <f>_xlfn.XLOOKUP(CustomerCombined[[#This Row],[ID]], Table4[ID], Table4[Teas], "Not Found", 0)</f>
        <v>545</v>
      </c>
      <c r="L1676" s="5">
        <f>_xlfn.XLOOKUP(CustomerCombined[[#This Row],[ID]], Table4[ID], Table4[Fruits], "Not Found", 0)</f>
        <v>55</v>
      </c>
      <c r="M1676" s="5">
        <f>_xlfn.XLOOKUP(CustomerCombined[[#This Row],[ID]], Table4[ID], Table4[Meats], "Not Found", 0)</f>
        <v>934</v>
      </c>
      <c r="N1676" s="5">
        <f>_xlfn.XLOOKUP(CustomerCombined[[#This Row],[ID]], Table4[ID], Table4[Seafood], "Not Found", 0)</f>
        <v>101</v>
      </c>
      <c r="O1676" s="5">
        <f>_xlfn.XLOOKUP(CustomerCombined[[#This Row],[ID]], Table4[ID], Table4[Sweets], "Not Found", 0)</f>
        <v>50</v>
      </c>
      <c r="P1676" s="5">
        <f>_xlfn.XLOOKUP(CustomerCombined[[#This Row],[ID]], Table4[ID], Table4[Premium], "Not Found", 0)</f>
        <v>180</v>
      </c>
      <c r="Q1676" s="5">
        <f>_xlfn.XLOOKUP(CustomerCombined[[#This Row],[ID]], Table4[ID], Table4[Regular], "Not Found", 0)</f>
        <v>1506</v>
      </c>
      <c r="R1676" s="5">
        <f>_xlfn.XLOOKUP(CustomerCombined[[#This Row],[ID]], Table4[ID], Table4[Deals], "Not Found", 0)</f>
        <v>1</v>
      </c>
      <c r="S1676" s="5">
        <f>_xlfn.XLOOKUP(CustomerCombined[[#This Row],[ID]], Table4[ID], Table4[Website], "Not Found", 0)</f>
        <v>4</v>
      </c>
      <c r="T1676" s="5">
        <f>_xlfn.XLOOKUP(CustomerCombined[[#This Row],[ID]], Table4[ID], Table4[Catalog], "Not Found", 0)</f>
        <v>5</v>
      </c>
      <c r="U1676" s="5">
        <f>_xlfn.XLOOKUP(CustomerCombined[[#This Row],[ID]], Table4[ID], Table4[Store], "Not Found", 0)</f>
        <v>7</v>
      </c>
      <c r="V1676" s="5">
        <f>_xlfn.XLOOKUP(CustomerCombined[[#This Row],[ID]], Table4[ID], Table4[Visits], "Not Found", 0)</f>
        <v>2</v>
      </c>
      <c r="W1676" s="8">
        <f>_xlfn.XLOOKUP(CustomerCombined[[#This Row],[ID]], Table2[ID],Table2[Complaint], "Not Found", 0 )</f>
        <v>0</v>
      </c>
      <c r="X1676" s="8">
        <f>_xlfn.XLOOKUP(CustomerCombined[[#This Row],[ID]], Table2[ID],Table2[Pilot], "Not Found", 0 )</f>
        <v>0</v>
      </c>
      <c r="Y1676" s="8">
        <f>_xlfn.XLOOKUP(CustomerCombined[[#This Row],[ID]], Table2[ID],Table2[MC1], "Not Found", 0 )</f>
        <v>0</v>
      </c>
      <c r="Z1676" s="8">
        <f>_xlfn.XLOOKUP(CustomerCombined[[#This Row],[ID]], Table2[ID],Table2[MC2], "Not Found", 0 )</f>
        <v>0</v>
      </c>
      <c r="AA1676" s="8">
        <f>_xlfn.XLOOKUP(CustomerCombined[[#This Row],[ID]], Table2[ID],Table2[MC3], "Not Found", 0 )</f>
        <v>0</v>
      </c>
      <c r="AB1676" s="8">
        <f>_xlfn.XLOOKUP(CustomerCombined[[#This Row],[ID]], Table2[ID],Table2[MC4], "Not Found", 0 )</f>
        <v>0</v>
      </c>
      <c r="AC1676" s="8">
        <f>_xlfn.XLOOKUP(CustomerCombined[[#This Row],[ID]], Table2[ID],Table2[MC5], "Not Found", 0 )</f>
        <v>0</v>
      </c>
    </row>
    <row r="1677" spans="1:29" x14ac:dyDescent="0.3">
      <c r="A1677" s="6">
        <v>2758</v>
      </c>
      <c r="B1677" s="6">
        <v>171232</v>
      </c>
      <c r="C1677" s="6">
        <v>0</v>
      </c>
      <c r="D1677" s="6">
        <v>1</v>
      </c>
      <c r="E1677" s="6">
        <v>61</v>
      </c>
      <c r="F1677" s="5" t="s">
        <v>8</v>
      </c>
      <c r="G1677" s="5" t="s">
        <v>11</v>
      </c>
      <c r="H1677" s="3">
        <v>43926</v>
      </c>
      <c r="I1677" s="5" t="s">
        <v>439</v>
      </c>
      <c r="J1677" s="5">
        <f>_xlfn.XLOOKUP(CustomerCombined[[#This Row],[ID]], Table4[ID], Table4[Recency], "Not Found", 0)</f>
        <v>91</v>
      </c>
      <c r="K1677" s="5">
        <f>_xlfn.XLOOKUP(CustomerCombined[[#This Row],[ID]], Table4[ID], Table4[Teas], "Not Found", 0)</f>
        <v>1570</v>
      </c>
      <c r="L1677" s="5">
        <f>_xlfn.XLOOKUP(CustomerCombined[[#This Row],[ID]], Table4[ID], Table4[Fruits], "Not Found", 0)</f>
        <v>41</v>
      </c>
      <c r="M1677" s="5">
        <f>_xlfn.XLOOKUP(CustomerCombined[[#This Row],[ID]], Table4[ID], Table4[Meats], "Not Found", 0)</f>
        <v>409</v>
      </c>
      <c r="N1677" s="5">
        <f>_xlfn.XLOOKUP(CustomerCombined[[#This Row],[ID]], Table4[ID], Table4[Seafood], "Not Found", 0)</f>
        <v>82</v>
      </c>
      <c r="O1677" s="5">
        <f>_xlfn.XLOOKUP(CustomerCombined[[#This Row],[ID]], Table4[ID], Table4[Sweets], "Not Found", 0)</f>
        <v>63</v>
      </c>
      <c r="P1677" s="5">
        <f>_xlfn.XLOOKUP(CustomerCombined[[#This Row],[ID]], Table4[ID], Table4[Premium], "Not Found", 0)</f>
        <v>41</v>
      </c>
      <c r="Q1677" s="5">
        <f>_xlfn.XLOOKUP(CustomerCombined[[#This Row],[ID]], Table4[ID], Table4[Regular], "Not Found", 0)</f>
        <v>2123</v>
      </c>
      <c r="R1677" s="5">
        <f>_xlfn.XLOOKUP(CustomerCombined[[#This Row],[ID]], Table4[ID], Table4[Deals], "Not Found", 0)</f>
        <v>2</v>
      </c>
      <c r="S1677" s="5">
        <f>_xlfn.XLOOKUP(CustomerCombined[[#This Row],[ID]], Table4[ID], Table4[Website], "Not Found", 0)</f>
        <v>11</v>
      </c>
      <c r="T1677" s="5">
        <f>_xlfn.XLOOKUP(CustomerCombined[[#This Row],[ID]], Table4[ID], Table4[Catalog], "Not Found", 0)</f>
        <v>2</v>
      </c>
      <c r="U1677" s="5">
        <f>_xlfn.XLOOKUP(CustomerCombined[[#This Row],[ID]], Table4[ID], Table4[Store], "Not Found", 0)</f>
        <v>10</v>
      </c>
      <c r="V1677" s="5">
        <f>_xlfn.XLOOKUP(CustomerCombined[[#This Row],[ID]], Table4[ID], Table4[Visits], "Not Found", 0)</f>
        <v>7</v>
      </c>
      <c r="W1677" s="8">
        <f>_xlfn.XLOOKUP(CustomerCombined[[#This Row],[ID]], Table2[ID],Table2[Complaint], "Not Found", 0 )</f>
        <v>0</v>
      </c>
      <c r="X1677" s="8">
        <f>_xlfn.XLOOKUP(CustomerCombined[[#This Row],[ID]], Table2[ID],Table2[Pilot], "Not Found", 0 )</f>
        <v>0</v>
      </c>
      <c r="Y1677" s="8">
        <f>_xlfn.XLOOKUP(CustomerCombined[[#This Row],[ID]], Table2[ID],Table2[MC1], "Not Found", 0 )</f>
        <v>0</v>
      </c>
      <c r="Z1677" s="8">
        <f>_xlfn.XLOOKUP(CustomerCombined[[#This Row],[ID]], Table2[ID],Table2[MC2], "Not Found", 0 )</f>
        <v>0</v>
      </c>
      <c r="AA1677" s="8">
        <f>_xlfn.XLOOKUP(CustomerCombined[[#This Row],[ID]], Table2[ID],Table2[MC3], "Not Found", 0 )</f>
        <v>0</v>
      </c>
      <c r="AB1677" s="8">
        <f>_xlfn.XLOOKUP(CustomerCombined[[#This Row],[ID]], Table2[ID],Table2[MC4], "Not Found", 0 )</f>
        <v>0</v>
      </c>
      <c r="AC1677" s="8">
        <f>_xlfn.XLOOKUP(CustomerCombined[[#This Row],[ID]], Table2[ID],Table2[MC5], "Not Found", 0 )</f>
        <v>0</v>
      </c>
    </row>
    <row r="1678" spans="1:29" x14ac:dyDescent="0.3">
      <c r="A1678" s="6">
        <v>2983</v>
      </c>
      <c r="B1678" s="6">
        <v>168805</v>
      </c>
      <c r="C1678" s="6">
        <v>0</v>
      </c>
      <c r="D1678" s="6">
        <v>1</v>
      </c>
      <c r="E1678" s="6">
        <v>61</v>
      </c>
      <c r="F1678" s="5" t="s">
        <v>5</v>
      </c>
      <c r="G1678" s="5" t="s">
        <v>13</v>
      </c>
      <c r="H1678" s="3" t="s">
        <v>182</v>
      </c>
      <c r="I1678" s="5" t="s">
        <v>437</v>
      </c>
      <c r="J1678" s="5">
        <f>_xlfn.XLOOKUP(CustomerCombined[[#This Row],[ID]], Table4[ID], Table4[Recency], "Not Found", 0)</f>
        <v>73</v>
      </c>
      <c r="K1678" s="5">
        <f>_xlfn.XLOOKUP(CustomerCombined[[#This Row],[ID]], Table4[ID], Table4[Teas], "Not Found", 0)</f>
        <v>447</v>
      </c>
      <c r="L1678" s="5">
        <f>_xlfn.XLOOKUP(CustomerCombined[[#This Row],[ID]], Table4[ID], Table4[Fruits], "Not Found", 0)</f>
        <v>5</v>
      </c>
      <c r="M1678" s="5">
        <f>_xlfn.XLOOKUP(CustomerCombined[[#This Row],[ID]], Table4[ID], Table4[Meats], "Not Found", 0)</f>
        <v>120</v>
      </c>
      <c r="N1678" s="5">
        <f>_xlfn.XLOOKUP(CustomerCombined[[#This Row],[ID]], Table4[ID], Table4[Seafood], "Not Found", 0)</f>
        <v>42</v>
      </c>
      <c r="O1678" s="5">
        <f>_xlfn.XLOOKUP(CustomerCombined[[#This Row],[ID]], Table4[ID], Table4[Sweets], "Not Found", 0)</f>
        <v>32</v>
      </c>
      <c r="P1678" s="5">
        <f>_xlfn.XLOOKUP(CustomerCombined[[#This Row],[ID]], Table4[ID], Table4[Premium], "Not Found", 0)</f>
        <v>49</v>
      </c>
      <c r="Q1678" s="5">
        <f>_xlfn.XLOOKUP(CustomerCombined[[#This Row],[ID]], Table4[ID], Table4[Regular], "Not Found", 0)</f>
        <v>596</v>
      </c>
      <c r="R1678" s="5">
        <f>_xlfn.XLOOKUP(CustomerCombined[[#This Row],[ID]], Table4[ID], Table4[Deals], "Not Found", 0)</f>
        <v>1</v>
      </c>
      <c r="S1678" s="5">
        <f>_xlfn.XLOOKUP(CustomerCombined[[#This Row],[ID]], Table4[ID], Table4[Website], "Not Found", 0)</f>
        <v>3</v>
      </c>
      <c r="T1678" s="5">
        <f>_xlfn.XLOOKUP(CustomerCombined[[#This Row],[ID]], Table4[ID], Table4[Catalog], "Not Found", 0)</f>
        <v>1</v>
      </c>
      <c r="U1678" s="5">
        <f>_xlfn.XLOOKUP(CustomerCombined[[#This Row],[ID]], Table4[ID], Table4[Store], "Not Found", 0)</f>
        <v>7</v>
      </c>
      <c r="V1678" s="5">
        <f>_xlfn.XLOOKUP(CustomerCombined[[#This Row],[ID]], Table4[ID], Table4[Visits], "Not Found", 0)</f>
        <v>2</v>
      </c>
      <c r="W1678" s="8">
        <f>_xlfn.XLOOKUP(CustomerCombined[[#This Row],[ID]], Table2[ID],Table2[Complaint], "Not Found", 0 )</f>
        <v>0</v>
      </c>
      <c r="X1678" s="8">
        <f>_xlfn.XLOOKUP(CustomerCombined[[#This Row],[ID]], Table2[ID],Table2[Pilot], "Not Found", 0 )</f>
        <v>0</v>
      </c>
      <c r="Y1678" s="8">
        <f>_xlfn.XLOOKUP(CustomerCombined[[#This Row],[ID]], Table2[ID],Table2[MC1], "Not Found", 0 )</f>
        <v>0</v>
      </c>
      <c r="Z1678" s="8">
        <f>_xlfn.XLOOKUP(CustomerCombined[[#This Row],[ID]], Table2[ID],Table2[MC2], "Not Found", 0 )</f>
        <v>0</v>
      </c>
      <c r="AA1678" s="8">
        <f>_xlfn.XLOOKUP(CustomerCombined[[#This Row],[ID]], Table2[ID],Table2[MC3], "Not Found", 0 )</f>
        <v>0</v>
      </c>
      <c r="AB1678" s="8">
        <f>_xlfn.XLOOKUP(CustomerCombined[[#This Row],[ID]], Table2[ID],Table2[MC4], "Not Found", 0 )</f>
        <v>0</v>
      </c>
      <c r="AC1678" s="8">
        <f>_xlfn.XLOOKUP(CustomerCombined[[#This Row],[ID]], Table2[ID],Table2[MC5], "Not Found", 0 )</f>
        <v>0</v>
      </c>
    </row>
    <row r="1679" spans="1:29" x14ac:dyDescent="0.3">
      <c r="A1679" s="6">
        <v>2513</v>
      </c>
      <c r="B1679" s="6">
        <v>167786</v>
      </c>
      <c r="C1679" s="6">
        <v>0</v>
      </c>
      <c r="D1679" s="6">
        <v>0</v>
      </c>
      <c r="E1679" s="6">
        <v>61</v>
      </c>
      <c r="F1679" s="5" t="s">
        <v>9</v>
      </c>
      <c r="G1679" s="5" t="s">
        <v>13</v>
      </c>
      <c r="H1679" s="3" t="s">
        <v>141</v>
      </c>
      <c r="I1679" s="5" t="s">
        <v>434</v>
      </c>
      <c r="J1679" s="5">
        <f>_xlfn.XLOOKUP(CustomerCombined[[#This Row],[ID]], Table4[ID], Table4[Recency], "Not Found", 0)</f>
        <v>0</v>
      </c>
      <c r="K1679" s="5">
        <f>_xlfn.XLOOKUP(CustomerCombined[[#This Row],[ID]], Table4[ID], Table4[Teas], "Not Found", 0)</f>
        <v>1067</v>
      </c>
      <c r="L1679" s="5">
        <f>_xlfn.XLOOKUP(CustomerCombined[[#This Row],[ID]], Table4[ID], Table4[Fruits], "Not Found", 0)</f>
        <v>203</v>
      </c>
      <c r="M1679" s="5">
        <f>_xlfn.XLOOKUP(CustomerCombined[[#This Row],[ID]], Table4[ID], Table4[Meats], "Not Found", 0)</f>
        <v>1092</v>
      </c>
      <c r="N1679" s="5">
        <f>_xlfn.XLOOKUP(CustomerCombined[[#This Row],[ID]], Table4[ID], Table4[Seafood], "Not Found", 0)</f>
        <v>198</v>
      </c>
      <c r="O1679" s="5">
        <f>_xlfn.XLOOKUP(CustomerCombined[[#This Row],[ID]], Table4[ID], Table4[Sweets], "Not Found", 0)</f>
        <v>50</v>
      </c>
      <c r="P1679" s="5">
        <f>_xlfn.XLOOKUP(CustomerCombined[[#This Row],[ID]], Table4[ID], Table4[Premium], "Not Found", 0)</f>
        <v>252</v>
      </c>
      <c r="Q1679" s="5">
        <f>_xlfn.XLOOKUP(CustomerCombined[[#This Row],[ID]], Table4[ID], Table4[Regular], "Not Found", 0)</f>
        <v>2356</v>
      </c>
      <c r="R1679" s="5">
        <f>_xlfn.XLOOKUP(CustomerCombined[[#This Row],[ID]], Table4[ID], Table4[Deals], "Not Found", 0)</f>
        <v>1</v>
      </c>
      <c r="S1679" s="5">
        <f>_xlfn.XLOOKUP(CustomerCombined[[#This Row],[ID]], Table4[ID], Table4[Website], "Not Found", 0)</f>
        <v>3</v>
      </c>
      <c r="T1679" s="5">
        <f>_xlfn.XLOOKUP(CustomerCombined[[#This Row],[ID]], Table4[ID], Table4[Catalog], "Not Found", 0)</f>
        <v>6</v>
      </c>
      <c r="U1679" s="5">
        <f>_xlfn.XLOOKUP(CustomerCombined[[#This Row],[ID]], Table4[ID], Table4[Store], "Not Found", 0)</f>
        <v>6</v>
      </c>
      <c r="V1679" s="5">
        <f>_xlfn.XLOOKUP(CustomerCombined[[#This Row],[ID]], Table4[ID], Table4[Visits], "Not Found", 0)</f>
        <v>1</v>
      </c>
      <c r="W1679" s="8">
        <f>_xlfn.XLOOKUP(CustomerCombined[[#This Row],[ID]], Table2[ID],Table2[Complaint], "Not Found", 0 )</f>
        <v>0</v>
      </c>
      <c r="X1679" s="8">
        <f>_xlfn.XLOOKUP(CustomerCombined[[#This Row],[ID]], Table2[ID],Table2[Pilot], "Not Found", 0 )</f>
        <v>1</v>
      </c>
      <c r="Y1679" s="8">
        <f>_xlfn.XLOOKUP(CustomerCombined[[#This Row],[ID]], Table2[ID],Table2[MC1], "Not Found", 0 )</f>
        <v>0</v>
      </c>
      <c r="Z1679" s="8">
        <f>_xlfn.XLOOKUP(CustomerCombined[[#This Row],[ID]], Table2[ID],Table2[MC2], "Not Found", 0 )</f>
        <v>0</v>
      </c>
      <c r="AA1679" s="8">
        <f>_xlfn.XLOOKUP(CustomerCombined[[#This Row],[ID]], Table2[ID],Table2[MC3], "Not Found", 0 )</f>
        <v>0</v>
      </c>
      <c r="AB1679" s="8">
        <f>_xlfn.XLOOKUP(CustomerCombined[[#This Row],[ID]], Table2[ID],Table2[MC4], "Not Found", 0 )</f>
        <v>0</v>
      </c>
      <c r="AC1679" s="8">
        <f>_xlfn.XLOOKUP(CustomerCombined[[#This Row],[ID]], Table2[ID],Table2[MC5], "Not Found", 0 )</f>
        <v>0</v>
      </c>
    </row>
    <row r="1680" spans="1:29" x14ac:dyDescent="0.3">
      <c r="A1680" s="6">
        <v>2471</v>
      </c>
      <c r="B1680" s="6">
        <v>165492</v>
      </c>
      <c r="C1680" s="6">
        <v>0</v>
      </c>
      <c r="D1680" s="6">
        <v>0</v>
      </c>
      <c r="E1680" s="6">
        <v>61</v>
      </c>
      <c r="F1680" s="5" t="s">
        <v>6</v>
      </c>
      <c r="G1680" s="5" t="s">
        <v>11</v>
      </c>
      <c r="H1680" s="3">
        <v>43868</v>
      </c>
      <c r="I1680" s="5" t="s">
        <v>434</v>
      </c>
      <c r="J1680" s="5">
        <f>_xlfn.XLOOKUP(CustomerCombined[[#This Row],[ID]], Table4[ID], Table4[Recency], "Not Found", 0)</f>
        <v>73</v>
      </c>
      <c r="K1680" s="5">
        <f>_xlfn.XLOOKUP(CustomerCombined[[#This Row],[ID]], Table4[ID], Table4[Teas], "Not Found", 0)</f>
        <v>624</v>
      </c>
      <c r="L1680" s="5">
        <f>_xlfn.XLOOKUP(CustomerCombined[[#This Row],[ID]], Table4[ID], Table4[Fruits], "Not Found", 0)</f>
        <v>407</v>
      </c>
      <c r="M1680" s="5">
        <f>_xlfn.XLOOKUP(CustomerCombined[[#This Row],[ID]], Table4[ID], Table4[Meats], "Not Found", 0)</f>
        <v>745</v>
      </c>
      <c r="N1680" s="5">
        <f>_xlfn.XLOOKUP(CustomerCombined[[#This Row],[ID]], Table4[ID], Table4[Seafood], "Not Found", 0)</f>
        <v>531</v>
      </c>
      <c r="O1680" s="5">
        <f>_xlfn.XLOOKUP(CustomerCombined[[#This Row],[ID]], Table4[ID], Table4[Sweets], "Not Found", 0)</f>
        <v>215</v>
      </c>
      <c r="P1680" s="5">
        <f>_xlfn.XLOOKUP(CustomerCombined[[#This Row],[ID]], Table4[ID], Table4[Premium], "Not Found", 0)</f>
        <v>119</v>
      </c>
      <c r="Q1680" s="5">
        <f>_xlfn.XLOOKUP(CustomerCombined[[#This Row],[ID]], Table4[ID], Table4[Regular], "Not Found", 0)</f>
        <v>2403</v>
      </c>
      <c r="R1680" s="5">
        <f>_xlfn.XLOOKUP(CustomerCombined[[#This Row],[ID]], Table4[ID], Table4[Deals], "Not Found", 0)</f>
        <v>2</v>
      </c>
      <c r="S1680" s="5">
        <f>_xlfn.XLOOKUP(CustomerCombined[[#This Row],[ID]], Table4[ID], Table4[Website], "Not Found", 0)</f>
        <v>4</v>
      </c>
      <c r="T1680" s="5">
        <f>_xlfn.XLOOKUP(CustomerCombined[[#This Row],[ID]], Table4[ID], Table4[Catalog], "Not Found", 0)</f>
        <v>7</v>
      </c>
      <c r="U1680" s="5">
        <f>_xlfn.XLOOKUP(CustomerCombined[[#This Row],[ID]], Table4[ID], Table4[Store], "Not Found", 0)</f>
        <v>13</v>
      </c>
      <c r="V1680" s="5">
        <f>_xlfn.XLOOKUP(CustomerCombined[[#This Row],[ID]], Table4[ID], Table4[Visits], "Not Found", 0)</f>
        <v>2</v>
      </c>
      <c r="W1680" s="8">
        <f>_xlfn.XLOOKUP(CustomerCombined[[#This Row],[ID]], Table2[ID],Table2[Complaint], "Not Found", 0 )</f>
        <v>0</v>
      </c>
      <c r="X1680" s="8">
        <f>_xlfn.XLOOKUP(CustomerCombined[[#This Row],[ID]], Table2[ID],Table2[Pilot], "Not Found", 0 )</f>
        <v>0</v>
      </c>
      <c r="Y1680" s="8">
        <f>_xlfn.XLOOKUP(CustomerCombined[[#This Row],[ID]], Table2[ID],Table2[MC1], "Not Found", 0 )</f>
        <v>0</v>
      </c>
      <c r="Z1680" s="8">
        <f>_xlfn.XLOOKUP(CustomerCombined[[#This Row],[ID]], Table2[ID],Table2[MC2], "Not Found", 0 )</f>
        <v>0</v>
      </c>
      <c r="AA1680" s="8">
        <f>_xlfn.XLOOKUP(CustomerCombined[[#This Row],[ID]], Table2[ID],Table2[MC3], "Not Found", 0 )</f>
        <v>0</v>
      </c>
      <c r="AB1680" s="8">
        <f>_xlfn.XLOOKUP(CustomerCombined[[#This Row],[ID]], Table2[ID],Table2[MC4], "Not Found", 0 )</f>
        <v>0</v>
      </c>
      <c r="AC1680" s="8">
        <f>_xlfn.XLOOKUP(CustomerCombined[[#This Row],[ID]], Table2[ID],Table2[MC5], "Not Found", 0 )</f>
        <v>0</v>
      </c>
    </row>
    <row r="1681" spans="1:29" x14ac:dyDescent="0.3">
      <c r="A1681" s="6">
        <v>1067</v>
      </c>
      <c r="B1681" s="6">
        <v>165031</v>
      </c>
      <c r="C1681" s="6">
        <v>0</v>
      </c>
      <c r="D1681" s="6">
        <v>1</v>
      </c>
      <c r="E1681" s="6">
        <v>61</v>
      </c>
      <c r="F1681" s="5" t="s">
        <v>6</v>
      </c>
      <c r="G1681" s="5" t="s">
        <v>11</v>
      </c>
      <c r="H1681" s="3" t="s">
        <v>291</v>
      </c>
      <c r="I1681" s="5" t="s">
        <v>434</v>
      </c>
      <c r="J1681" s="5">
        <f>_xlfn.XLOOKUP(CustomerCombined[[#This Row],[ID]], Table4[ID], Table4[Recency], "Not Found", 0)</f>
        <v>29</v>
      </c>
      <c r="K1681" s="5">
        <f>_xlfn.XLOOKUP(CustomerCombined[[#This Row],[ID]], Table4[ID], Table4[Teas], "Not Found", 0)</f>
        <v>655</v>
      </c>
      <c r="L1681" s="5">
        <f>_xlfn.XLOOKUP(CustomerCombined[[#This Row],[ID]], Table4[ID], Table4[Fruits], "Not Found", 0)</f>
        <v>272</v>
      </c>
      <c r="M1681" s="5">
        <f>_xlfn.XLOOKUP(CustomerCombined[[#This Row],[ID]], Table4[ID], Table4[Meats], "Not Found", 0)</f>
        <v>738</v>
      </c>
      <c r="N1681" s="5">
        <f>_xlfn.XLOOKUP(CustomerCombined[[#This Row],[ID]], Table4[ID], Table4[Seafood], "Not Found", 0)</f>
        <v>213</v>
      </c>
      <c r="O1681" s="5">
        <f>_xlfn.XLOOKUP(CustomerCombined[[#This Row],[ID]], Table4[ID], Table4[Sweets], "Not Found", 0)</f>
        <v>94</v>
      </c>
      <c r="P1681" s="5">
        <f>_xlfn.XLOOKUP(CustomerCombined[[#This Row],[ID]], Table4[ID], Table4[Premium], "Not Found", 0)</f>
        <v>218</v>
      </c>
      <c r="Q1681" s="5">
        <f>_xlfn.XLOOKUP(CustomerCombined[[#This Row],[ID]], Table4[ID], Table4[Regular], "Not Found", 0)</f>
        <v>1754</v>
      </c>
      <c r="R1681" s="5">
        <f>_xlfn.XLOOKUP(CustomerCombined[[#This Row],[ID]], Table4[ID], Table4[Deals], "Not Found", 0)</f>
        <v>4</v>
      </c>
      <c r="S1681" s="5">
        <f>_xlfn.XLOOKUP(CustomerCombined[[#This Row],[ID]], Table4[ID], Table4[Website], "Not Found", 0)</f>
        <v>10</v>
      </c>
      <c r="T1681" s="5">
        <f>_xlfn.XLOOKUP(CustomerCombined[[#This Row],[ID]], Table4[ID], Table4[Catalog], "Not Found", 0)</f>
        <v>3</v>
      </c>
      <c r="U1681" s="5">
        <f>_xlfn.XLOOKUP(CustomerCombined[[#This Row],[ID]], Table4[ID], Table4[Store], "Not Found", 0)</f>
        <v>13</v>
      </c>
      <c r="V1681" s="5">
        <f>_xlfn.XLOOKUP(CustomerCombined[[#This Row],[ID]], Table4[ID], Table4[Visits], "Not Found", 0)</f>
        <v>7</v>
      </c>
      <c r="W1681" s="8">
        <f>_xlfn.XLOOKUP(CustomerCombined[[#This Row],[ID]], Table2[ID],Table2[Complaint], "Not Found", 0 )</f>
        <v>0</v>
      </c>
      <c r="X1681" s="8">
        <f>_xlfn.XLOOKUP(CustomerCombined[[#This Row],[ID]], Table2[ID],Table2[Pilot], "Not Found", 0 )</f>
        <v>0</v>
      </c>
      <c r="Y1681" s="8">
        <f>_xlfn.XLOOKUP(CustomerCombined[[#This Row],[ID]], Table2[ID],Table2[MC1], "Not Found", 0 )</f>
        <v>0</v>
      </c>
      <c r="Z1681" s="8">
        <f>_xlfn.XLOOKUP(CustomerCombined[[#This Row],[ID]], Table2[ID],Table2[MC2], "Not Found", 0 )</f>
        <v>0</v>
      </c>
      <c r="AA1681" s="8">
        <f>_xlfn.XLOOKUP(CustomerCombined[[#This Row],[ID]], Table2[ID],Table2[MC3], "Not Found", 0 )</f>
        <v>0</v>
      </c>
      <c r="AB1681" s="8">
        <f>_xlfn.XLOOKUP(CustomerCombined[[#This Row],[ID]], Table2[ID],Table2[MC4], "Not Found", 0 )</f>
        <v>0</v>
      </c>
      <c r="AC1681" s="8">
        <f>_xlfn.XLOOKUP(CustomerCombined[[#This Row],[ID]], Table2[ID],Table2[MC5], "Not Found", 0 )</f>
        <v>0</v>
      </c>
    </row>
    <row r="1682" spans="1:29" x14ac:dyDescent="0.3">
      <c r="A1682" s="6">
        <v>1012</v>
      </c>
      <c r="B1682" s="6">
        <v>163033</v>
      </c>
      <c r="C1682" s="6">
        <v>0</v>
      </c>
      <c r="D1682" s="6">
        <v>0</v>
      </c>
      <c r="E1682" s="6">
        <v>61</v>
      </c>
      <c r="F1682" s="5" t="s">
        <v>5</v>
      </c>
      <c r="G1682" s="5" t="s">
        <v>11</v>
      </c>
      <c r="H1682" s="3" t="s">
        <v>149</v>
      </c>
      <c r="I1682" s="5" t="s">
        <v>439</v>
      </c>
      <c r="J1682" s="5">
        <f>_xlfn.XLOOKUP(CustomerCombined[[#This Row],[ID]], Table4[ID], Table4[Recency], "Not Found", 0)</f>
        <v>82</v>
      </c>
      <c r="K1682" s="5">
        <f>_xlfn.XLOOKUP(CustomerCombined[[#This Row],[ID]], Table4[ID], Table4[Teas], "Not Found", 0)</f>
        <v>502</v>
      </c>
      <c r="L1682" s="5">
        <f>_xlfn.XLOOKUP(CustomerCombined[[#This Row],[ID]], Table4[ID], Table4[Fruits], "Not Found", 0)</f>
        <v>158</v>
      </c>
      <c r="M1682" s="5">
        <f>_xlfn.XLOOKUP(CustomerCombined[[#This Row],[ID]], Table4[ID], Table4[Meats], "Not Found", 0)</f>
        <v>1242</v>
      </c>
      <c r="N1682" s="5">
        <f>_xlfn.XLOOKUP(CustomerCombined[[#This Row],[ID]], Table4[ID], Table4[Seafood], "Not Found", 0)</f>
        <v>582</v>
      </c>
      <c r="O1682" s="5">
        <f>_xlfn.XLOOKUP(CustomerCombined[[#This Row],[ID]], Table4[ID], Table4[Sweets], "Not Found", 0)</f>
        <v>290</v>
      </c>
      <c r="P1682" s="5">
        <f>_xlfn.XLOOKUP(CustomerCombined[[#This Row],[ID]], Table4[ID], Table4[Premium], "Not Found", 0)</f>
        <v>78</v>
      </c>
      <c r="Q1682" s="5">
        <f>_xlfn.XLOOKUP(CustomerCombined[[#This Row],[ID]], Table4[ID], Table4[Regular], "Not Found", 0)</f>
        <v>2695</v>
      </c>
      <c r="R1682" s="5">
        <f>_xlfn.XLOOKUP(CustomerCombined[[#This Row],[ID]], Table4[ID], Table4[Deals], "Not Found", 0)</f>
        <v>1</v>
      </c>
      <c r="S1682" s="5">
        <f>_xlfn.XLOOKUP(CustomerCombined[[#This Row],[ID]], Table4[ID], Table4[Website], "Not Found", 0)</f>
        <v>3</v>
      </c>
      <c r="T1682" s="5">
        <f>_xlfn.XLOOKUP(CustomerCombined[[#This Row],[ID]], Table4[ID], Table4[Catalog], "Not Found", 0)</f>
        <v>4</v>
      </c>
      <c r="U1682" s="5">
        <f>_xlfn.XLOOKUP(CustomerCombined[[#This Row],[ID]], Table4[ID], Table4[Store], "Not Found", 0)</f>
        <v>8</v>
      </c>
      <c r="V1682" s="5">
        <f>_xlfn.XLOOKUP(CustomerCombined[[#This Row],[ID]], Table4[ID], Table4[Visits], "Not Found", 0)</f>
        <v>2</v>
      </c>
      <c r="W1682" s="8">
        <f>_xlfn.XLOOKUP(CustomerCombined[[#This Row],[ID]], Table2[ID],Table2[Complaint], "Not Found", 0 )</f>
        <v>0</v>
      </c>
      <c r="X1682" s="8">
        <f>_xlfn.XLOOKUP(CustomerCombined[[#This Row],[ID]], Table2[ID],Table2[Pilot], "Not Found", 0 )</f>
        <v>0</v>
      </c>
      <c r="Y1682" s="8">
        <f>_xlfn.XLOOKUP(CustomerCombined[[#This Row],[ID]], Table2[ID],Table2[MC1], "Not Found", 0 )</f>
        <v>0</v>
      </c>
      <c r="Z1682" s="8">
        <f>_xlfn.XLOOKUP(CustomerCombined[[#This Row],[ID]], Table2[ID],Table2[MC2], "Not Found", 0 )</f>
        <v>0</v>
      </c>
      <c r="AA1682" s="8">
        <f>_xlfn.XLOOKUP(CustomerCombined[[#This Row],[ID]], Table2[ID],Table2[MC3], "Not Found", 0 )</f>
        <v>0</v>
      </c>
      <c r="AB1682" s="8">
        <f>_xlfn.XLOOKUP(CustomerCombined[[#This Row],[ID]], Table2[ID],Table2[MC4], "Not Found", 0 )</f>
        <v>0</v>
      </c>
      <c r="AC1682" s="8">
        <f>_xlfn.XLOOKUP(CustomerCombined[[#This Row],[ID]], Table2[ID],Table2[MC5], "Not Found", 0 )</f>
        <v>0</v>
      </c>
    </row>
    <row r="1683" spans="1:29" x14ac:dyDescent="0.3">
      <c r="A1683" s="6">
        <v>1625</v>
      </c>
      <c r="B1683" s="6">
        <v>162859</v>
      </c>
      <c r="C1683" s="6">
        <v>0</v>
      </c>
      <c r="D1683" s="6">
        <v>1</v>
      </c>
      <c r="E1683" s="6">
        <v>61</v>
      </c>
      <c r="F1683" s="5" t="s">
        <v>5</v>
      </c>
      <c r="G1683" s="5" t="s">
        <v>13</v>
      </c>
      <c r="H1683" s="3">
        <v>43622</v>
      </c>
      <c r="I1683" s="5" t="s">
        <v>434</v>
      </c>
      <c r="J1683" s="5">
        <f>_xlfn.XLOOKUP(CustomerCombined[[#This Row],[ID]], Table4[ID], Table4[Recency], "Not Found", 0)</f>
        <v>37</v>
      </c>
      <c r="K1683" s="5">
        <f>_xlfn.XLOOKUP(CustomerCombined[[#This Row],[ID]], Table4[ID], Table4[Teas], "Not Found", 0)</f>
        <v>2754</v>
      </c>
      <c r="L1683" s="5">
        <f>_xlfn.XLOOKUP(CustomerCombined[[#This Row],[ID]], Table4[ID], Table4[Fruits], "Not Found", 0)</f>
        <v>231</v>
      </c>
      <c r="M1683" s="5">
        <f>_xlfn.XLOOKUP(CustomerCombined[[#This Row],[ID]], Table4[ID], Table4[Meats], "Not Found", 0)</f>
        <v>264</v>
      </c>
      <c r="N1683" s="5">
        <f>_xlfn.XLOOKUP(CustomerCombined[[#This Row],[ID]], Table4[ID], Table4[Seafood], "Not Found", 0)</f>
        <v>41</v>
      </c>
      <c r="O1683" s="5">
        <f>_xlfn.XLOOKUP(CustomerCombined[[#This Row],[ID]], Table4[ID], Table4[Sweets], "Not Found", 0)</f>
        <v>31</v>
      </c>
      <c r="P1683" s="5">
        <f>_xlfn.XLOOKUP(CustomerCombined[[#This Row],[ID]], Table4[ID], Table4[Premium], "Not Found", 0)</f>
        <v>65</v>
      </c>
      <c r="Q1683" s="5">
        <f>_xlfn.XLOOKUP(CustomerCombined[[#This Row],[ID]], Table4[ID], Table4[Regular], "Not Found", 0)</f>
        <v>3257</v>
      </c>
      <c r="R1683" s="5">
        <f>_xlfn.XLOOKUP(CustomerCombined[[#This Row],[ID]], Table4[ID], Table4[Deals], "Not Found", 0)</f>
        <v>4</v>
      </c>
      <c r="S1683" s="5">
        <f>_xlfn.XLOOKUP(CustomerCombined[[#This Row],[ID]], Table4[ID], Table4[Website], "Not Found", 0)</f>
        <v>9</v>
      </c>
      <c r="T1683" s="5">
        <f>_xlfn.XLOOKUP(CustomerCombined[[#This Row],[ID]], Table4[ID], Table4[Catalog], "Not Found", 0)</f>
        <v>4</v>
      </c>
      <c r="U1683" s="5">
        <f>_xlfn.XLOOKUP(CustomerCombined[[#This Row],[ID]], Table4[ID], Table4[Store], "Not Found", 0)</f>
        <v>6</v>
      </c>
      <c r="V1683" s="5">
        <f>_xlfn.XLOOKUP(CustomerCombined[[#This Row],[ID]], Table4[ID], Table4[Visits], "Not Found", 0)</f>
        <v>6</v>
      </c>
      <c r="W1683" s="8">
        <f>_xlfn.XLOOKUP(CustomerCombined[[#This Row],[ID]], Table2[ID],Table2[Complaint], "Not Found", 0 )</f>
        <v>0</v>
      </c>
      <c r="X1683" s="8">
        <f>_xlfn.XLOOKUP(CustomerCombined[[#This Row],[ID]], Table2[ID],Table2[Pilot], "Not Found", 0 )</f>
        <v>0</v>
      </c>
      <c r="Y1683" s="8">
        <f>_xlfn.XLOOKUP(CustomerCombined[[#This Row],[ID]], Table2[ID],Table2[MC1], "Not Found", 0 )</f>
        <v>0</v>
      </c>
      <c r="Z1683" s="8">
        <f>_xlfn.XLOOKUP(CustomerCombined[[#This Row],[ID]], Table2[ID],Table2[MC2], "Not Found", 0 )</f>
        <v>0</v>
      </c>
      <c r="AA1683" s="8">
        <f>_xlfn.XLOOKUP(CustomerCombined[[#This Row],[ID]], Table2[ID],Table2[MC3], "Not Found", 0 )</f>
        <v>0</v>
      </c>
      <c r="AB1683" s="8">
        <f>_xlfn.XLOOKUP(CustomerCombined[[#This Row],[ID]], Table2[ID],Table2[MC4], "Not Found", 0 )</f>
        <v>0</v>
      </c>
      <c r="AC1683" s="8">
        <f>_xlfn.XLOOKUP(CustomerCombined[[#This Row],[ID]], Table2[ID],Table2[MC5], "Not Found", 0 )</f>
        <v>0</v>
      </c>
    </row>
    <row r="1684" spans="1:29" x14ac:dyDescent="0.3">
      <c r="A1684" s="6">
        <v>1852</v>
      </c>
      <c r="B1684" s="6">
        <v>162450</v>
      </c>
      <c r="C1684" s="6">
        <v>0</v>
      </c>
      <c r="D1684" s="6">
        <v>1</v>
      </c>
      <c r="E1684" s="6">
        <v>61</v>
      </c>
      <c r="F1684" s="5" t="s">
        <v>7</v>
      </c>
      <c r="G1684" s="5" t="s">
        <v>11</v>
      </c>
      <c r="H1684" s="3">
        <v>44171</v>
      </c>
      <c r="I1684" s="5" t="s">
        <v>439</v>
      </c>
      <c r="J1684" s="5">
        <f>_xlfn.XLOOKUP(CustomerCombined[[#This Row],[ID]], Table4[ID], Table4[Recency], "Not Found", 0)</f>
        <v>61</v>
      </c>
      <c r="K1684" s="5">
        <f>_xlfn.XLOOKUP(CustomerCombined[[#This Row],[ID]], Table4[ID], Table4[Teas], "Not Found", 0)</f>
        <v>1340</v>
      </c>
      <c r="L1684" s="5">
        <f>_xlfn.XLOOKUP(CustomerCombined[[#This Row],[ID]], Table4[ID], Table4[Fruits], "Not Found", 0)</f>
        <v>122</v>
      </c>
      <c r="M1684" s="5">
        <f>_xlfn.XLOOKUP(CustomerCombined[[#This Row],[ID]], Table4[ID], Table4[Meats], "Not Found", 0)</f>
        <v>695</v>
      </c>
      <c r="N1684" s="5">
        <f>_xlfn.XLOOKUP(CustomerCombined[[#This Row],[ID]], Table4[ID], Table4[Seafood], "Not Found", 0)</f>
        <v>161</v>
      </c>
      <c r="O1684" s="5">
        <f>_xlfn.XLOOKUP(CustomerCombined[[#This Row],[ID]], Table4[ID], Table4[Sweets], "Not Found", 0)</f>
        <v>172</v>
      </c>
      <c r="P1684" s="5">
        <f>_xlfn.XLOOKUP(CustomerCombined[[#This Row],[ID]], Table4[ID], Table4[Premium], "Not Found", 0)</f>
        <v>99</v>
      </c>
      <c r="Q1684" s="5">
        <f>_xlfn.XLOOKUP(CustomerCombined[[#This Row],[ID]], Table4[ID], Table4[Regular], "Not Found", 0)</f>
        <v>2391</v>
      </c>
      <c r="R1684" s="5">
        <f>_xlfn.XLOOKUP(CustomerCombined[[#This Row],[ID]], Table4[ID], Table4[Deals], "Not Found", 0)</f>
        <v>2</v>
      </c>
      <c r="S1684" s="5">
        <f>_xlfn.XLOOKUP(CustomerCombined[[#This Row],[ID]], Table4[ID], Table4[Website], "Not Found", 0)</f>
        <v>5</v>
      </c>
      <c r="T1684" s="5">
        <f>_xlfn.XLOOKUP(CustomerCombined[[#This Row],[ID]], Table4[ID], Table4[Catalog], "Not Found", 0)</f>
        <v>5</v>
      </c>
      <c r="U1684" s="5">
        <f>_xlfn.XLOOKUP(CustomerCombined[[#This Row],[ID]], Table4[ID], Table4[Store], "Not Found", 0)</f>
        <v>4</v>
      </c>
      <c r="V1684" s="5">
        <f>_xlfn.XLOOKUP(CustomerCombined[[#This Row],[ID]], Table4[ID], Table4[Visits], "Not Found", 0)</f>
        <v>3</v>
      </c>
      <c r="W1684" s="8">
        <f>_xlfn.XLOOKUP(CustomerCombined[[#This Row],[ID]], Table2[ID],Table2[Complaint], "Not Found", 0 )</f>
        <v>0</v>
      </c>
      <c r="X1684" s="8">
        <f>_xlfn.XLOOKUP(CustomerCombined[[#This Row],[ID]], Table2[ID],Table2[Pilot], "Not Found", 0 )</f>
        <v>0</v>
      </c>
      <c r="Y1684" s="8">
        <f>_xlfn.XLOOKUP(CustomerCombined[[#This Row],[ID]], Table2[ID],Table2[MC1], "Not Found", 0 )</f>
        <v>0</v>
      </c>
      <c r="Z1684" s="8">
        <f>_xlfn.XLOOKUP(CustomerCombined[[#This Row],[ID]], Table2[ID],Table2[MC2], "Not Found", 0 )</f>
        <v>0</v>
      </c>
      <c r="AA1684" s="8">
        <f>_xlfn.XLOOKUP(CustomerCombined[[#This Row],[ID]], Table2[ID],Table2[MC3], "Not Found", 0 )</f>
        <v>0</v>
      </c>
      <c r="AB1684" s="8">
        <f>_xlfn.XLOOKUP(CustomerCombined[[#This Row],[ID]], Table2[ID],Table2[MC4], "Not Found", 0 )</f>
        <v>1</v>
      </c>
      <c r="AC1684" s="8">
        <f>_xlfn.XLOOKUP(CustomerCombined[[#This Row],[ID]], Table2[ID],Table2[MC5], "Not Found", 0 )</f>
        <v>0</v>
      </c>
    </row>
    <row r="1685" spans="1:29" x14ac:dyDescent="0.3">
      <c r="A1685" s="6">
        <v>1493</v>
      </c>
      <c r="B1685" s="6">
        <v>161250</v>
      </c>
      <c r="C1685" s="6">
        <v>0</v>
      </c>
      <c r="D1685" s="6">
        <v>1</v>
      </c>
      <c r="E1685" s="6">
        <v>61</v>
      </c>
      <c r="F1685" s="5" t="s">
        <v>5</v>
      </c>
      <c r="G1685" s="5" t="s">
        <v>11</v>
      </c>
      <c r="H1685" s="3" t="s">
        <v>343</v>
      </c>
      <c r="I1685" s="5" t="s">
        <v>434</v>
      </c>
      <c r="J1685" s="5">
        <f>_xlfn.XLOOKUP(CustomerCombined[[#This Row],[ID]], Table4[ID], Table4[Recency], "Not Found", 0)</f>
        <v>49</v>
      </c>
      <c r="K1685" s="5">
        <f>_xlfn.XLOOKUP(CustomerCombined[[#This Row],[ID]], Table4[ID], Table4[Teas], "Not Found", 0)</f>
        <v>1006</v>
      </c>
      <c r="L1685" s="5">
        <f>_xlfn.XLOOKUP(CustomerCombined[[#This Row],[ID]], Table4[ID], Table4[Fruits], "Not Found", 0)</f>
        <v>363</v>
      </c>
      <c r="M1685" s="5">
        <f>_xlfn.XLOOKUP(CustomerCombined[[#This Row],[ID]], Table4[ID], Table4[Meats], "Not Found", 0)</f>
        <v>171</v>
      </c>
      <c r="N1685" s="5">
        <f>_xlfn.XLOOKUP(CustomerCombined[[#This Row],[ID]], Table4[ID], Table4[Seafood], "Not Found", 0)</f>
        <v>158</v>
      </c>
      <c r="O1685" s="5">
        <f>_xlfn.XLOOKUP(CustomerCombined[[#This Row],[ID]], Table4[ID], Table4[Sweets], "Not Found", 0)</f>
        <v>68</v>
      </c>
      <c r="P1685" s="5">
        <f>_xlfn.XLOOKUP(CustomerCombined[[#This Row],[ID]], Table4[ID], Table4[Premium], "Not Found", 0)</f>
        <v>155</v>
      </c>
      <c r="Q1685" s="5">
        <f>_xlfn.XLOOKUP(CustomerCombined[[#This Row],[ID]], Table4[ID], Table4[Regular], "Not Found", 0)</f>
        <v>1611</v>
      </c>
      <c r="R1685" s="5">
        <f>_xlfn.XLOOKUP(CustomerCombined[[#This Row],[ID]], Table4[ID], Table4[Deals], "Not Found", 0)</f>
        <v>6</v>
      </c>
      <c r="S1685" s="5">
        <f>_xlfn.XLOOKUP(CustomerCombined[[#This Row],[ID]], Table4[ID], Table4[Website], "Not Found", 0)</f>
        <v>5</v>
      </c>
      <c r="T1685" s="5">
        <f>_xlfn.XLOOKUP(CustomerCombined[[#This Row],[ID]], Table4[ID], Table4[Catalog], "Not Found", 0)</f>
        <v>2</v>
      </c>
      <c r="U1685" s="5">
        <f>_xlfn.XLOOKUP(CustomerCombined[[#This Row],[ID]], Table4[ID], Table4[Store], "Not Found", 0)</f>
        <v>12</v>
      </c>
      <c r="V1685" s="5">
        <f>_xlfn.XLOOKUP(CustomerCombined[[#This Row],[ID]], Table4[ID], Table4[Visits], "Not Found", 0)</f>
        <v>5</v>
      </c>
      <c r="W1685" s="8">
        <f>_xlfn.XLOOKUP(CustomerCombined[[#This Row],[ID]], Table2[ID],Table2[Complaint], "Not Found", 0 )</f>
        <v>0</v>
      </c>
      <c r="X1685" s="8">
        <f>_xlfn.XLOOKUP(CustomerCombined[[#This Row],[ID]], Table2[ID],Table2[Pilot], "Not Found", 0 )</f>
        <v>0</v>
      </c>
      <c r="Y1685" s="8">
        <f>_xlfn.XLOOKUP(CustomerCombined[[#This Row],[ID]], Table2[ID],Table2[MC1], "Not Found", 0 )</f>
        <v>0</v>
      </c>
      <c r="Z1685" s="8">
        <f>_xlfn.XLOOKUP(CustomerCombined[[#This Row],[ID]], Table2[ID],Table2[MC2], "Not Found", 0 )</f>
        <v>0</v>
      </c>
      <c r="AA1685" s="8">
        <f>_xlfn.XLOOKUP(CustomerCombined[[#This Row],[ID]], Table2[ID],Table2[MC3], "Not Found", 0 )</f>
        <v>0</v>
      </c>
      <c r="AB1685" s="8">
        <f>_xlfn.XLOOKUP(CustomerCombined[[#This Row],[ID]], Table2[ID],Table2[MC4], "Not Found", 0 )</f>
        <v>0</v>
      </c>
      <c r="AC1685" s="8">
        <f>_xlfn.XLOOKUP(CustomerCombined[[#This Row],[ID]], Table2[ID],Table2[MC5], "Not Found", 0 )</f>
        <v>0</v>
      </c>
    </row>
    <row r="1686" spans="1:29" x14ac:dyDescent="0.3">
      <c r="A1686" s="6">
        <v>2021</v>
      </c>
      <c r="B1686" s="6">
        <v>161180</v>
      </c>
      <c r="C1686" s="6">
        <v>0</v>
      </c>
      <c r="D1686" s="6">
        <v>1</v>
      </c>
      <c r="E1686" s="6">
        <v>61</v>
      </c>
      <c r="F1686" s="5" t="s">
        <v>6</v>
      </c>
      <c r="G1686" s="5" t="s">
        <v>11</v>
      </c>
      <c r="H1686" s="3" t="s">
        <v>59</v>
      </c>
      <c r="I1686" s="5" t="s">
        <v>434</v>
      </c>
      <c r="J1686" s="5">
        <f>_xlfn.XLOOKUP(CustomerCombined[[#This Row],[ID]], Table4[ID], Table4[Recency], "Not Found", 0)</f>
        <v>70</v>
      </c>
      <c r="K1686" s="5">
        <f>_xlfn.XLOOKUP(CustomerCombined[[#This Row],[ID]], Table4[ID], Table4[Teas], "Not Found", 0)</f>
        <v>1062</v>
      </c>
      <c r="L1686" s="5">
        <f>_xlfn.XLOOKUP(CustomerCombined[[#This Row],[ID]], Table4[ID], Table4[Fruits], "Not Found", 0)</f>
        <v>63</v>
      </c>
      <c r="M1686" s="5">
        <f>_xlfn.XLOOKUP(CustomerCombined[[#This Row],[ID]], Table4[ID], Table4[Meats], "Not Found", 0)</f>
        <v>76</v>
      </c>
      <c r="N1686" s="5">
        <f>_xlfn.XLOOKUP(CustomerCombined[[#This Row],[ID]], Table4[ID], Table4[Seafood], "Not Found", 0)</f>
        <v>16</v>
      </c>
      <c r="O1686" s="5">
        <f>_xlfn.XLOOKUP(CustomerCombined[[#This Row],[ID]], Table4[ID], Table4[Sweets], "Not Found", 0)</f>
        <v>63</v>
      </c>
      <c r="P1686" s="5">
        <f>_xlfn.XLOOKUP(CustomerCombined[[#This Row],[ID]], Table4[ID], Table4[Premium], "Not Found", 0)</f>
        <v>574</v>
      </c>
      <c r="Q1686" s="5">
        <f>_xlfn.XLOOKUP(CustomerCombined[[#This Row],[ID]], Table4[ID], Table4[Regular], "Not Found", 0)</f>
        <v>706</v>
      </c>
      <c r="R1686" s="5">
        <f>_xlfn.XLOOKUP(CustomerCombined[[#This Row],[ID]], Table4[ID], Table4[Deals], "Not Found", 0)</f>
        <v>2</v>
      </c>
      <c r="S1686" s="5">
        <f>_xlfn.XLOOKUP(CustomerCombined[[#This Row],[ID]], Table4[ID], Table4[Website], "Not Found", 0)</f>
        <v>5</v>
      </c>
      <c r="T1686" s="5">
        <f>_xlfn.XLOOKUP(CustomerCombined[[#This Row],[ID]], Table4[ID], Table4[Catalog], "Not Found", 0)</f>
        <v>5</v>
      </c>
      <c r="U1686" s="5">
        <f>_xlfn.XLOOKUP(CustomerCombined[[#This Row],[ID]], Table4[ID], Table4[Store], "Not Found", 0)</f>
        <v>6</v>
      </c>
      <c r="V1686" s="5">
        <f>_xlfn.XLOOKUP(CustomerCombined[[#This Row],[ID]], Table4[ID], Table4[Visits], "Not Found", 0)</f>
        <v>3</v>
      </c>
      <c r="W1686" s="8">
        <f>_xlfn.XLOOKUP(CustomerCombined[[#This Row],[ID]], Table2[ID],Table2[Complaint], "Not Found", 0 )</f>
        <v>0</v>
      </c>
      <c r="X1686" s="8">
        <f>_xlfn.XLOOKUP(CustomerCombined[[#This Row],[ID]], Table2[ID],Table2[Pilot], "Not Found", 0 )</f>
        <v>0</v>
      </c>
      <c r="Y1686" s="8">
        <f>_xlfn.XLOOKUP(CustomerCombined[[#This Row],[ID]], Table2[ID],Table2[MC1], "Not Found", 0 )</f>
        <v>0</v>
      </c>
      <c r="Z1686" s="8">
        <f>_xlfn.XLOOKUP(CustomerCombined[[#This Row],[ID]], Table2[ID],Table2[MC2], "Not Found", 0 )</f>
        <v>0</v>
      </c>
      <c r="AA1686" s="8">
        <f>_xlfn.XLOOKUP(CustomerCombined[[#This Row],[ID]], Table2[ID],Table2[MC3], "Not Found", 0 )</f>
        <v>1</v>
      </c>
      <c r="AB1686" s="8">
        <f>_xlfn.XLOOKUP(CustomerCombined[[#This Row],[ID]], Table2[ID],Table2[MC4], "Not Found", 0 )</f>
        <v>0</v>
      </c>
      <c r="AC1686" s="8">
        <f>_xlfn.XLOOKUP(CustomerCombined[[#This Row],[ID]], Table2[ID],Table2[MC5], "Not Found", 0 )</f>
        <v>0</v>
      </c>
    </row>
    <row r="1687" spans="1:29" x14ac:dyDescent="0.3">
      <c r="A1687" s="6">
        <v>1954</v>
      </c>
      <c r="B1687" s="6">
        <v>159052</v>
      </c>
      <c r="C1687" s="6">
        <v>0</v>
      </c>
      <c r="D1687" s="6">
        <v>1</v>
      </c>
      <c r="E1687" s="6">
        <v>61</v>
      </c>
      <c r="F1687" s="5" t="s">
        <v>5</v>
      </c>
      <c r="G1687" s="5" t="s">
        <v>442</v>
      </c>
      <c r="H1687" s="3" t="s">
        <v>148</v>
      </c>
      <c r="I1687" s="5" t="s">
        <v>439</v>
      </c>
      <c r="J1687" s="5">
        <f>_xlfn.XLOOKUP(CustomerCombined[[#This Row],[ID]], Table4[ID], Table4[Recency], "Not Found", 0)</f>
        <v>29</v>
      </c>
      <c r="K1687" s="5">
        <f>_xlfn.XLOOKUP(CustomerCombined[[#This Row],[ID]], Table4[ID], Table4[Teas], "Not Found", 0)</f>
        <v>619</v>
      </c>
      <c r="L1687" s="5">
        <f>_xlfn.XLOOKUP(CustomerCombined[[#This Row],[ID]], Table4[ID], Table4[Fruits], "Not Found", 0)</f>
        <v>94</v>
      </c>
      <c r="M1687" s="5">
        <f>_xlfn.XLOOKUP(CustomerCombined[[#This Row],[ID]], Table4[ID], Table4[Meats], "Not Found", 0)</f>
        <v>202</v>
      </c>
      <c r="N1687" s="5">
        <f>_xlfn.XLOOKUP(CustomerCombined[[#This Row],[ID]], Table4[ID], Table4[Seafood], "Not Found", 0)</f>
        <v>170</v>
      </c>
      <c r="O1687" s="5">
        <f>_xlfn.XLOOKUP(CustomerCombined[[#This Row],[ID]], Table4[ID], Table4[Sweets], "Not Found", 0)</f>
        <v>154</v>
      </c>
      <c r="P1687" s="5">
        <f>_xlfn.XLOOKUP(CustomerCombined[[#This Row],[ID]], Table4[ID], Table4[Premium], "Not Found", 0)</f>
        <v>83</v>
      </c>
      <c r="Q1687" s="5">
        <f>_xlfn.XLOOKUP(CustomerCombined[[#This Row],[ID]], Table4[ID], Table4[Regular], "Not Found", 0)</f>
        <v>1155</v>
      </c>
      <c r="R1687" s="5">
        <f>_xlfn.XLOOKUP(CustomerCombined[[#This Row],[ID]], Table4[ID], Table4[Deals], "Not Found", 0)</f>
        <v>3</v>
      </c>
      <c r="S1687" s="5">
        <f>_xlfn.XLOOKUP(CustomerCombined[[#This Row],[ID]], Table4[ID], Table4[Website], "Not Found", 0)</f>
        <v>7</v>
      </c>
      <c r="T1687" s="5">
        <f>_xlfn.XLOOKUP(CustomerCombined[[#This Row],[ID]], Table4[ID], Table4[Catalog], "Not Found", 0)</f>
        <v>1</v>
      </c>
      <c r="U1687" s="5">
        <f>_xlfn.XLOOKUP(CustomerCombined[[#This Row],[ID]], Table4[ID], Table4[Store], "Not Found", 0)</f>
        <v>7</v>
      </c>
      <c r="V1687" s="5">
        <f>_xlfn.XLOOKUP(CustomerCombined[[#This Row],[ID]], Table4[ID], Table4[Visits], "Not Found", 0)</f>
        <v>5</v>
      </c>
      <c r="W1687" s="8">
        <f>_xlfn.XLOOKUP(CustomerCombined[[#This Row],[ID]], Table2[ID],Table2[Complaint], "Not Found", 0 )</f>
        <v>0</v>
      </c>
      <c r="X1687" s="8">
        <f>_xlfn.XLOOKUP(CustomerCombined[[#This Row],[ID]], Table2[ID],Table2[Pilot], "Not Found", 0 )</f>
        <v>0</v>
      </c>
      <c r="Y1687" s="8">
        <f>_xlfn.XLOOKUP(CustomerCombined[[#This Row],[ID]], Table2[ID],Table2[MC1], "Not Found", 0 )</f>
        <v>0</v>
      </c>
      <c r="Z1687" s="8">
        <f>_xlfn.XLOOKUP(CustomerCombined[[#This Row],[ID]], Table2[ID],Table2[MC2], "Not Found", 0 )</f>
        <v>0</v>
      </c>
      <c r="AA1687" s="8">
        <f>_xlfn.XLOOKUP(CustomerCombined[[#This Row],[ID]], Table2[ID],Table2[MC3], "Not Found", 0 )</f>
        <v>0</v>
      </c>
      <c r="AB1687" s="8">
        <f>_xlfn.XLOOKUP(CustomerCombined[[#This Row],[ID]], Table2[ID],Table2[MC4], "Not Found", 0 )</f>
        <v>0</v>
      </c>
      <c r="AC1687" s="8">
        <f>_xlfn.XLOOKUP(CustomerCombined[[#This Row],[ID]], Table2[ID],Table2[MC5], "Not Found", 0 )</f>
        <v>0</v>
      </c>
    </row>
    <row r="1688" spans="1:29" x14ac:dyDescent="0.3">
      <c r="A1688" s="6">
        <v>2182</v>
      </c>
      <c r="B1688" s="6">
        <v>158113</v>
      </c>
      <c r="C1688" s="6">
        <v>0</v>
      </c>
      <c r="D1688" s="6">
        <v>1</v>
      </c>
      <c r="E1688" s="6">
        <v>61</v>
      </c>
      <c r="F1688" s="5" t="s">
        <v>6</v>
      </c>
      <c r="G1688" s="5" t="s">
        <v>11</v>
      </c>
      <c r="H1688" s="3">
        <v>43503</v>
      </c>
      <c r="I1688" s="5" t="s">
        <v>439</v>
      </c>
      <c r="J1688" s="5">
        <f>_xlfn.XLOOKUP(CustomerCombined[[#This Row],[ID]], Table4[ID], Table4[Recency], "Not Found", 0)</f>
        <v>66</v>
      </c>
      <c r="K1688" s="5">
        <f>_xlfn.XLOOKUP(CustomerCombined[[#This Row],[ID]], Table4[ID], Table4[Teas], "Not Found", 0)</f>
        <v>601</v>
      </c>
      <c r="L1688" s="5">
        <f>_xlfn.XLOOKUP(CustomerCombined[[#This Row],[ID]], Table4[ID], Table4[Fruits], "Not Found", 0)</f>
        <v>283</v>
      </c>
      <c r="M1688" s="5">
        <f>_xlfn.XLOOKUP(CustomerCombined[[#This Row],[ID]], Table4[ID], Table4[Meats], "Not Found", 0)</f>
        <v>460</v>
      </c>
      <c r="N1688" s="5">
        <f>_xlfn.XLOOKUP(CustomerCombined[[#This Row],[ID]], Table4[ID], Table4[Seafood], "Not Found", 0)</f>
        <v>278</v>
      </c>
      <c r="O1688" s="5">
        <f>_xlfn.XLOOKUP(CustomerCombined[[#This Row],[ID]], Table4[ID], Table4[Sweets], "Not Found", 0)</f>
        <v>212</v>
      </c>
      <c r="P1688" s="5">
        <f>_xlfn.XLOOKUP(CustomerCombined[[#This Row],[ID]], Table4[ID], Table4[Premium], "Not Found", 0)</f>
        <v>229</v>
      </c>
      <c r="Q1688" s="5">
        <f>_xlfn.XLOOKUP(CustomerCombined[[#This Row],[ID]], Table4[ID], Table4[Regular], "Not Found", 0)</f>
        <v>1605</v>
      </c>
      <c r="R1688" s="5">
        <f>_xlfn.XLOOKUP(CustomerCombined[[#This Row],[ID]], Table4[ID], Table4[Deals], "Not Found", 0)</f>
        <v>3</v>
      </c>
      <c r="S1688" s="5">
        <f>_xlfn.XLOOKUP(CustomerCombined[[#This Row],[ID]], Table4[ID], Table4[Website], "Not Found", 0)</f>
        <v>9</v>
      </c>
      <c r="T1688" s="5">
        <f>_xlfn.XLOOKUP(CustomerCombined[[#This Row],[ID]], Table4[ID], Table4[Catalog], "Not Found", 0)</f>
        <v>2</v>
      </c>
      <c r="U1688" s="5">
        <f>_xlfn.XLOOKUP(CustomerCombined[[#This Row],[ID]], Table4[ID], Table4[Store], "Not Found", 0)</f>
        <v>8</v>
      </c>
      <c r="V1688" s="5">
        <f>_xlfn.XLOOKUP(CustomerCombined[[#This Row],[ID]], Table4[ID], Table4[Visits], "Not Found", 0)</f>
        <v>7</v>
      </c>
      <c r="W1688" s="8">
        <f>_xlfn.XLOOKUP(CustomerCombined[[#This Row],[ID]], Table2[ID],Table2[Complaint], "Not Found", 0 )</f>
        <v>1</v>
      </c>
      <c r="X1688" s="8">
        <f>_xlfn.XLOOKUP(CustomerCombined[[#This Row],[ID]], Table2[ID],Table2[Pilot], "Not Found", 0 )</f>
        <v>0</v>
      </c>
      <c r="Y1688" s="8">
        <f>_xlfn.XLOOKUP(CustomerCombined[[#This Row],[ID]], Table2[ID],Table2[MC1], "Not Found", 0 )</f>
        <v>0</v>
      </c>
      <c r="Z1688" s="8">
        <f>_xlfn.XLOOKUP(CustomerCombined[[#This Row],[ID]], Table2[ID],Table2[MC2], "Not Found", 0 )</f>
        <v>0</v>
      </c>
      <c r="AA1688" s="8">
        <f>_xlfn.XLOOKUP(CustomerCombined[[#This Row],[ID]], Table2[ID],Table2[MC3], "Not Found", 0 )</f>
        <v>0</v>
      </c>
      <c r="AB1688" s="8">
        <f>_xlfn.XLOOKUP(CustomerCombined[[#This Row],[ID]], Table2[ID],Table2[MC4], "Not Found", 0 )</f>
        <v>0</v>
      </c>
      <c r="AC1688" s="8">
        <f>_xlfn.XLOOKUP(CustomerCombined[[#This Row],[ID]], Table2[ID],Table2[MC5], "Not Found", 0 )</f>
        <v>0</v>
      </c>
    </row>
    <row r="1689" spans="1:29" x14ac:dyDescent="0.3">
      <c r="A1689" s="6">
        <v>2437</v>
      </c>
      <c r="B1689" s="6">
        <v>157957</v>
      </c>
      <c r="C1689" s="6">
        <v>0</v>
      </c>
      <c r="D1689" s="6">
        <v>1</v>
      </c>
      <c r="E1689" s="6">
        <v>61</v>
      </c>
      <c r="F1689" s="5" t="s">
        <v>8</v>
      </c>
      <c r="G1689" s="5" t="s">
        <v>11</v>
      </c>
      <c r="H1689" s="3" t="s">
        <v>198</v>
      </c>
      <c r="I1689" s="5" t="s">
        <v>437</v>
      </c>
      <c r="J1689" s="5">
        <f>_xlfn.XLOOKUP(CustomerCombined[[#This Row],[ID]], Table4[ID], Table4[Recency], "Not Found", 0)</f>
        <v>24</v>
      </c>
      <c r="K1689" s="5">
        <f>_xlfn.XLOOKUP(CustomerCombined[[#This Row],[ID]], Table4[ID], Table4[Teas], "Not Found", 0)</f>
        <v>790</v>
      </c>
      <c r="L1689" s="5">
        <f>_xlfn.XLOOKUP(CustomerCombined[[#This Row],[ID]], Table4[ID], Table4[Fruits], "Not Found", 0)</f>
        <v>161</v>
      </c>
      <c r="M1689" s="5">
        <f>_xlfn.XLOOKUP(CustomerCombined[[#This Row],[ID]], Table4[ID], Table4[Meats], "Not Found", 0)</f>
        <v>482</v>
      </c>
      <c r="N1689" s="5">
        <f>_xlfn.XLOOKUP(CustomerCombined[[#This Row],[ID]], Table4[ID], Table4[Seafood], "Not Found", 0)</f>
        <v>210</v>
      </c>
      <c r="O1689" s="5">
        <f>_xlfn.XLOOKUP(CustomerCombined[[#This Row],[ID]], Table4[ID], Table4[Sweets], "Not Found", 0)</f>
        <v>14</v>
      </c>
      <c r="P1689" s="5">
        <f>_xlfn.XLOOKUP(CustomerCombined[[#This Row],[ID]], Table4[ID], Table4[Premium], "Not Found", 0)</f>
        <v>79</v>
      </c>
      <c r="Q1689" s="5">
        <f>_xlfn.XLOOKUP(CustomerCombined[[#This Row],[ID]], Table4[ID], Table4[Regular], "Not Found", 0)</f>
        <v>1578</v>
      </c>
      <c r="R1689" s="5">
        <f>_xlfn.XLOOKUP(CustomerCombined[[#This Row],[ID]], Table4[ID], Table4[Deals], "Not Found", 0)</f>
        <v>7</v>
      </c>
      <c r="S1689" s="5">
        <f>_xlfn.XLOOKUP(CustomerCombined[[#This Row],[ID]], Table4[ID], Table4[Website], "Not Found", 0)</f>
        <v>4</v>
      </c>
      <c r="T1689" s="5">
        <f>_xlfn.XLOOKUP(CustomerCombined[[#This Row],[ID]], Table4[ID], Table4[Catalog], "Not Found", 0)</f>
        <v>6</v>
      </c>
      <c r="U1689" s="5">
        <f>_xlfn.XLOOKUP(CustomerCombined[[#This Row],[ID]], Table4[ID], Table4[Store], "Not Found", 0)</f>
        <v>8</v>
      </c>
      <c r="V1689" s="5">
        <f>_xlfn.XLOOKUP(CustomerCombined[[#This Row],[ID]], Table4[ID], Table4[Visits], "Not Found", 0)</f>
        <v>3</v>
      </c>
      <c r="W1689" s="8">
        <f>_xlfn.XLOOKUP(CustomerCombined[[#This Row],[ID]], Table2[ID],Table2[Complaint], "Not Found", 0 )</f>
        <v>1</v>
      </c>
      <c r="X1689" s="8">
        <f>_xlfn.XLOOKUP(CustomerCombined[[#This Row],[ID]], Table2[ID],Table2[Pilot], "Not Found", 0 )</f>
        <v>0</v>
      </c>
      <c r="Y1689" s="8">
        <f>_xlfn.XLOOKUP(CustomerCombined[[#This Row],[ID]], Table2[ID],Table2[MC1], "Not Found", 0 )</f>
        <v>0</v>
      </c>
      <c r="Z1689" s="8">
        <f>_xlfn.XLOOKUP(CustomerCombined[[#This Row],[ID]], Table2[ID],Table2[MC2], "Not Found", 0 )</f>
        <v>0</v>
      </c>
      <c r="AA1689" s="8">
        <f>_xlfn.XLOOKUP(CustomerCombined[[#This Row],[ID]], Table2[ID],Table2[MC3], "Not Found", 0 )</f>
        <v>0</v>
      </c>
      <c r="AB1689" s="8">
        <f>_xlfn.XLOOKUP(CustomerCombined[[#This Row],[ID]], Table2[ID],Table2[MC4], "Not Found", 0 )</f>
        <v>0</v>
      </c>
      <c r="AC1689" s="8">
        <f>_xlfn.XLOOKUP(CustomerCombined[[#This Row],[ID]], Table2[ID],Table2[MC5], "Not Found", 0 )</f>
        <v>0</v>
      </c>
    </row>
    <row r="1690" spans="1:29" x14ac:dyDescent="0.3">
      <c r="A1690" s="6">
        <v>2713</v>
      </c>
      <c r="B1690" s="6">
        <v>154984</v>
      </c>
      <c r="C1690" s="6">
        <v>0</v>
      </c>
      <c r="D1690" s="6">
        <v>1</v>
      </c>
      <c r="E1690" s="6">
        <v>61</v>
      </c>
      <c r="F1690" s="5" t="s">
        <v>6</v>
      </c>
      <c r="G1690" s="5" t="s">
        <v>11</v>
      </c>
      <c r="H1690" s="3" t="s">
        <v>43</v>
      </c>
      <c r="I1690" s="5" t="s">
        <v>437</v>
      </c>
      <c r="J1690" s="5">
        <f>_xlfn.XLOOKUP(CustomerCombined[[#This Row],[ID]], Table4[ID], Table4[Recency], "Not Found", 0)</f>
        <v>51</v>
      </c>
      <c r="K1690" s="5">
        <f>_xlfn.XLOOKUP(CustomerCombined[[#This Row],[ID]], Table4[ID], Table4[Teas], "Not Found", 0)</f>
        <v>488</v>
      </c>
      <c r="L1690" s="5">
        <f>_xlfn.XLOOKUP(CustomerCombined[[#This Row],[ID]], Table4[ID], Table4[Fruits], "Not Found", 0)</f>
        <v>37</v>
      </c>
      <c r="M1690" s="5">
        <f>_xlfn.XLOOKUP(CustomerCombined[[#This Row],[ID]], Table4[ID], Table4[Meats], "Not Found", 0)</f>
        <v>369</v>
      </c>
      <c r="N1690" s="5">
        <f>_xlfn.XLOOKUP(CustomerCombined[[#This Row],[ID]], Table4[ID], Table4[Seafood], "Not Found", 0)</f>
        <v>90</v>
      </c>
      <c r="O1690" s="5">
        <f>_xlfn.XLOOKUP(CustomerCombined[[#This Row],[ID]], Table4[ID], Table4[Sweets], "Not Found", 0)</f>
        <v>8</v>
      </c>
      <c r="P1690" s="5">
        <f>_xlfn.XLOOKUP(CustomerCombined[[#This Row],[ID]], Table4[ID], Table4[Premium], "Not Found", 0)</f>
        <v>17</v>
      </c>
      <c r="Q1690" s="5">
        <f>_xlfn.XLOOKUP(CustomerCombined[[#This Row],[ID]], Table4[ID], Table4[Regular], "Not Found", 0)</f>
        <v>975</v>
      </c>
      <c r="R1690" s="5">
        <f>_xlfn.XLOOKUP(CustomerCombined[[#This Row],[ID]], Table4[ID], Table4[Deals], "Not Found", 0)</f>
        <v>4</v>
      </c>
      <c r="S1690" s="5">
        <f>_xlfn.XLOOKUP(CustomerCombined[[#This Row],[ID]], Table4[ID], Table4[Website], "Not Found", 0)</f>
        <v>6</v>
      </c>
      <c r="T1690" s="5">
        <f>_xlfn.XLOOKUP(CustomerCombined[[#This Row],[ID]], Table4[ID], Table4[Catalog], "Not Found", 0)</f>
        <v>1</v>
      </c>
      <c r="U1690" s="5">
        <f>_xlfn.XLOOKUP(CustomerCombined[[#This Row],[ID]], Table4[ID], Table4[Store], "Not Found", 0)</f>
        <v>6</v>
      </c>
      <c r="V1690" s="5">
        <f>_xlfn.XLOOKUP(CustomerCombined[[#This Row],[ID]], Table4[ID], Table4[Visits], "Not Found", 0)</f>
        <v>7</v>
      </c>
      <c r="W1690" s="8">
        <f>_xlfn.XLOOKUP(CustomerCombined[[#This Row],[ID]], Table2[ID],Table2[Complaint], "Not Found", 0 )</f>
        <v>0</v>
      </c>
      <c r="X1690" s="8">
        <f>_xlfn.XLOOKUP(CustomerCombined[[#This Row],[ID]], Table2[ID],Table2[Pilot], "Not Found", 0 )</f>
        <v>0</v>
      </c>
      <c r="Y1690" s="8">
        <f>_xlfn.XLOOKUP(CustomerCombined[[#This Row],[ID]], Table2[ID],Table2[MC1], "Not Found", 0 )</f>
        <v>1</v>
      </c>
      <c r="Z1690" s="8">
        <f>_xlfn.XLOOKUP(CustomerCombined[[#This Row],[ID]], Table2[ID],Table2[MC2], "Not Found", 0 )</f>
        <v>0</v>
      </c>
      <c r="AA1690" s="8">
        <f>_xlfn.XLOOKUP(CustomerCombined[[#This Row],[ID]], Table2[ID],Table2[MC3], "Not Found", 0 )</f>
        <v>0</v>
      </c>
      <c r="AB1690" s="8">
        <f>_xlfn.XLOOKUP(CustomerCombined[[#This Row],[ID]], Table2[ID],Table2[MC4], "Not Found", 0 )</f>
        <v>0</v>
      </c>
      <c r="AC1690" s="8">
        <f>_xlfn.XLOOKUP(CustomerCombined[[#This Row],[ID]], Table2[ID],Table2[MC5], "Not Found", 0 )</f>
        <v>0</v>
      </c>
    </row>
    <row r="1691" spans="1:29" x14ac:dyDescent="0.3">
      <c r="A1691" s="6">
        <v>1946</v>
      </c>
      <c r="B1691" s="6">
        <v>154753</v>
      </c>
      <c r="C1691" s="6">
        <v>0</v>
      </c>
      <c r="D1691" s="6">
        <v>1</v>
      </c>
      <c r="E1691" s="6">
        <v>61</v>
      </c>
      <c r="F1691" s="5" t="s">
        <v>8</v>
      </c>
      <c r="G1691" s="5" t="s">
        <v>11</v>
      </c>
      <c r="H1691" s="3" t="s">
        <v>187</v>
      </c>
      <c r="I1691" s="5" t="s">
        <v>438</v>
      </c>
      <c r="J1691" s="5">
        <f>_xlfn.XLOOKUP(CustomerCombined[[#This Row],[ID]], Table4[ID], Table4[Recency], "Not Found", 0)</f>
        <v>87</v>
      </c>
      <c r="K1691" s="5">
        <f>_xlfn.XLOOKUP(CustomerCombined[[#This Row],[ID]], Table4[ID], Table4[Teas], "Not Found", 0)</f>
        <v>557</v>
      </c>
      <c r="L1691" s="5">
        <f>_xlfn.XLOOKUP(CustomerCombined[[#This Row],[ID]], Table4[ID], Table4[Fruits], "Not Found", 0)</f>
        <v>302</v>
      </c>
      <c r="M1691" s="5">
        <f>_xlfn.XLOOKUP(CustomerCombined[[#This Row],[ID]], Table4[ID], Table4[Meats], "Not Found", 0)</f>
        <v>642</v>
      </c>
      <c r="N1691" s="5">
        <f>_xlfn.XLOOKUP(CustomerCombined[[#This Row],[ID]], Table4[ID], Table4[Seafood], "Not Found", 0)</f>
        <v>20</v>
      </c>
      <c r="O1691" s="5">
        <f>_xlfn.XLOOKUP(CustomerCombined[[#This Row],[ID]], Table4[ID], Table4[Sweets], "Not Found", 0)</f>
        <v>167</v>
      </c>
      <c r="P1691" s="5">
        <f>_xlfn.XLOOKUP(CustomerCombined[[#This Row],[ID]], Table4[ID], Table4[Premium], "Not Found", 0)</f>
        <v>370</v>
      </c>
      <c r="Q1691" s="5">
        <f>_xlfn.XLOOKUP(CustomerCombined[[#This Row],[ID]], Table4[ID], Table4[Regular], "Not Found", 0)</f>
        <v>1317</v>
      </c>
      <c r="R1691" s="5">
        <f>_xlfn.XLOOKUP(CustomerCombined[[#This Row],[ID]], Table4[ID], Table4[Deals], "Not Found", 0)</f>
        <v>3</v>
      </c>
      <c r="S1691" s="5">
        <f>_xlfn.XLOOKUP(CustomerCombined[[#This Row],[ID]], Table4[ID], Table4[Website], "Not Found", 0)</f>
        <v>5</v>
      </c>
      <c r="T1691" s="5">
        <f>_xlfn.XLOOKUP(CustomerCombined[[#This Row],[ID]], Table4[ID], Table4[Catalog], "Not Found", 0)</f>
        <v>2</v>
      </c>
      <c r="U1691" s="5">
        <f>_xlfn.XLOOKUP(CustomerCombined[[#This Row],[ID]], Table4[ID], Table4[Store], "Not Found", 0)</f>
        <v>11</v>
      </c>
      <c r="V1691" s="5">
        <f>_xlfn.XLOOKUP(CustomerCombined[[#This Row],[ID]], Table4[ID], Table4[Visits], "Not Found", 0)</f>
        <v>4</v>
      </c>
      <c r="W1691" s="8">
        <f>_xlfn.XLOOKUP(CustomerCombined[[#This Row],[ID]], Table2[ID],Table2[Complaint], "Not Found", 0 )</f>
        <v>0</v>
      </c>
      <c r="X1691" s="8">
        <f>_xlfn.XLOOKUP(CustomerCombined[[#This Row],[ID]], Table2[ID],Table2[Pilot], "Not Found", 0 )</f>
        <v>0</v>
      </c>
      <c r="Y1691" s="8">
        <f>_xlfn.XLOOKUP(CustomerCombined[[#This Row],[ID]], Table2[ID],Table2[MC1], "Not Found", 0 )</f>
        <v>0</v>
      </c>
      <c r="Z1691" s="8">
        <f>_xlfn.XLOOKUP(CustomerCombined[[#This Row],[ID]], Table2[ID],Table2[MC2], "Not Found", 0 )</f>
        <v>0</v>
      </c>
      <c r="AA1691" s="8">
        <f>_xlfn.XLOOKUP(CustomerCombined[[#This Row],[ID]], Table2[ID],Table2[MC3], "Not Found", 0 )</f>
        <v>0</v>
      </c>
      <c r="AB1691" s="8">
        <f>_xlfn.XLOOKUP(CustomerCombined[[#This Row],[ID]], Table2[ID],Table2[MC4], "Not Found", 0 )</f>
        <v>0</v>
      </c>
      <c r="AC1691" s="8">
        <f>_xlfn.XLOOKUP(CustomerCombined[[#This Row],[ID]], Table2[ID],Table2[MC5], "Not Found", 0 )</f>
        <v>0</v>
      </c>
    </row>
    <row r="1692" spans="1:29" x14ac:dyDescent="0.3">
      <c r="A1692" s="6">
        <v>1162</v>
      </c>
      <c r="B1692" s="6">
        <v>153537</v>
      </c>
      <c r="C1692" s="6">
        <v>1</v>
      </c>
      <c r="D1692" s="6">
        <v>1</v>
      </c>
      <c r="E1692" s="6">
        <v>61</v>
      </c>
      <c r="F1692" s="5" t="s">
        <v>8</v>
      </c>
      <c r="G1692" s="5" t="s">
        <v>13</v>
      </c>
      <c r="H1692" s="3">
        <v>43989</v>
      </c>
      <c r="I1692" s="5" t="s">
        <v>439</v>
      </c>
      <c r="J1692" s="5">
        <f>_xlfn.XLOOKUP(CustomerCombined[[#This Row],[ID]], Table4[ID], Table4[Recency], "Not Found", 0)</f>
        <v>17</v>
      </c>
      <c r="K1692" s="5">
        <f>_xlfn.XLOOKUP(CustomerCombined[[#This Row],[ID]], Table4[ID], Table4[Teas], "Not Found", 0)</f>
        <v>232</v>
      </c>
      <c r="L1692" s="5">
        <f>_xlfn.XLOOKUP(CustomerCombined[[#This Row],[ID]], Table4[ID], Table4[Fruits], "Not Found", 0)</f>
        <v>0</v>
      </c>
      <c r="M1692" s="5">
        <f>_xlfn.XLOOKUP(CustomerCombined[[#This Row],[ID]], Table4[ID], Table4[Meats], "Not Found", 0)</f>
        <v>17</v>
      </c>
      <c r="N1692" s="5">
        <f>_xlfn.XLOOKUP(CustomerCombined[[#This Row],[ID]], Table4[ID], Table4[Seafood], "Not Found", 0)</f>
        <v>0</v>
      </c>
      <c r="O1692" s="5">
        <f>_xlfn.XLOOKUP(CustomerCombined[[#This Row],[ID]], Table4[ID], Table4[Sweets], "Not Found", 0)</f>
        <v>0</v>
      </c>
      <c r="P1692" s="5">
        <f>_xlfn.XLOOKUP(CustomerCombined[[#This Row],[ID]], Table4[ID], Table4[Premium], "Not Found", 0)</f>
        <v>17</v>
      </c>
      <c r="Q1692" s="5">
        <f>_xlfn.XLOOKUP(CustomerCombined[[#This Row],[ID]], Table4[ID], Table4[Regular], "Not Found", 0)</f>
        <v>232</v>
      </c>
      <c r="R1692" s="5">
        <f>_xlfn.XLOOKUP(CustomerCombined[[#This Row],[ID]], Table4[ID], Table4[Deals], "Not Found", 0)</f>
        <v>2</v>
      </c>
      <c r="S1692" s="5">
        <f>_xlfn.XLOOKUP(CustomerCombined[[#This Row],[ID]], Table4[ID], Table4[Website], "Not Found", 0)</f>
        <v>2</v>
      </c>
      <c r="T1692" s="5">
        <f>_xlfn.XLOOKUP(CustomerCombined[[#This Row],[ID]], Table4[ID], Table4[Catalog], "Not Found", 0)</f>
        <v>1</v>
      </c>
      <c r="U1692" s="5">
        <f>_xlfn.XLOOKUP(CustomerCombined[[#This Row],[ID]], Table4[ID], Table4[Store], "Not Found", 0)</f>
        <v>3</v>
      </c>
      <c r="V1692" s="5">
        <f>_xlfn.XLOOKUP(CustomerCombined[[#This Row],[ID]], Table4[ID], Table4[Visits], "Not Found", 0)</f>
        <v>5</v>
      </c>
      <c r="W1692" s="8">
        <f>_xlfn.XLOOKUP(CustomerCombined[[#This Row],[ID]], Table2[ID],Table2[Complaint], "Not Found", 0 )</f>
        <v>0</v>
      </c>
      <c r="X1692" s="8">
        <f>_xlfn.XLOOKUP(CustomerCombined[[#This Row],[ID]], Table2[ID],Table2[Pilot], "Not Found", 0 )</f>
        <v>0</v>
      </c>
      <c r="Y1692" s="8">
        <f>_xlfn.XLOOKUP(CustomerCombined[[#This Row],[ID]], Table2[ID],Table2[MC1], "Not Found", 0 )</f>
        <v>0</v>
      </c>
      <c r="Z1692" s="8">
        <f>_xlfn.XLOOKUP(CustomerCombined[[#This Row],[ID]], Table2[ID],Table2[MC2], "Not Found", 0 )</f>
        <v>0</v>
      </c>
      <c r="AA1692" s="8">
        <f>_xlfn.XLOOKUP(CustomerCombined[[#This Row],[ID]], Table2[ID],Table2[MC3], "Not Found", 0 )</f>
        <v>0</v>
      </c>
      <c r="AB1692" s="8">
        <f>_xlfn.XLOOKUP(CustomerCombined[[#This Row],[ID]], Table2[ID],Table2[MC4], "Not Found", 0 )</f>
        <v>0</v>
      </c>
      <c r="AC1692" s="8">
        <f>_xlfn.XLOOKUP(CustomerCombined[[#This Row],[ID]], Table2[ID],Table2[MC5], "Not Found", 0 )</f>
        <v>0</v>
      </c>
    </row>
    <row r="1693" spans="1:29" x14ac:dyDescent="0.3">
      <c r="A1693" s="6">
        <v>3021</v>
      </c>
      <c r="B1693" s="6">
        <v>153154</v>
      </c>
      <c r="C1693" s="6">
        <v>0</v>
      </c>
      <c r="D1693" s="6">
        <v>1</v>
      </c>
      <c r="E1693" s="6">
        <v>61</v>
      </c>
      <c r="F1693" s="5" t="s">
        <v>6</v>
      </c>
      <c r="G1693" s="5" t="s">
        <v>11</v>
      </c>
      <c r="H1693" s="3" t="s">
        <v>40</v>
      </c>
      <c r="I1693" s="5" t="s">
        <v>435</v>
      </c>
      <c r="J1693" s="5">
        <f>_xlfn.XLOOKUP(CustomerCombined[[#This Row],[ID]], Table4[ID], Table4[Recency], "Not Found", 0)</f>
        <v>50</v>
      </c>
      <c r="K1693" s="5">
        <f>_xlfn.XLOOKUP(CustomerCombined[[#This Row],[ID]], Table4[ID], Table4[Teas], "Not Found", 0)</f>
        <v>372</v>
      </c>
      <c r="L1693" s="5">
        <f>_xlfn.XLOOKUP(CustomerCombined[[#This Row],[ID]], Table4[ID], Table4[Fruits], "Not Found", 0)</f>
        <v>0</v>
      </c>
      <c r="M1693" s="5">
        <f>_xlfn.XLOOKUP(CustomerCombined[[#This Row],[ID]], Table4[ID], Table4[Meats], "Not Found", 0)</f>
        <v>61</v>
      </c>
      <c r="N1693" s="5">
        <f>_xlfn.XLOOKUP(CustomerCombined[[#This Row],[ID]], Table4[ID], Table4[Seafood], "Not Found", 0)</f>
        <v>0</v>
      </c>
      <c r="O1693" s="5">
        <f>_xlfn.XLOOKUP(CustomerCombined[[#This Row],[ID]], Table4[ID], Table4[Sweets], "Not Found", 0)</f>
        <v>3</v>
      </c>
      <c r="P1693" s="5">
        <f>_xlfn.XLOOKUP(CustomerCombined[[#This Row],[ID]], Table4[ID], Table4[Premium], "Not Found", 0)</f>
        <v>20</v>
      </c>
      <c r="Q1693" s="5">
        <f>_xlfn.XLOOKUP(CustomerCombined[[#This Row],[ID]], Table4[ID], Table4[Regular], "Not Found", 0)</f>
        <v>415</v>
      </c>
      <c r="R1693" s="5">
        <f>_xlfn.XLOOKUP(CustomerCombined[[#This Row],[ID]], Table4[ID], Table4[Deals], "Not Found", 0)</f>
        <v>1</v>
      </c>
      <c r="S1693" s="5">
        <f>_xlfn.XLOOKUP(CustomerCombined[[#This Row],[ID]], Table4[ID], Table4[Website], "Not Found", 0)</f>
        <v>3</v>
      </c>
      <c r="T1693" s="5">
        <f>_xlfn.XLOOKUP(CustomerCombined[[#This Row],[ID]], Table4[ID], Table4[Catalog], "Not Found", 0)</f>
        <v>1</v>
      </c>
      <c r="U1693" s="5">
        <f>_xlfn.XLOOKUP(CustomerCombined[[#This Row],[ID]], Table4[ID], Table4[Store], "Not Found", 0)</f>
        <v>4</v>
      </c>
      <c r="V1693" s="5">
        <f>_xlfn.XLOOKUP(CustomerCombined[[#This Row],[ID]], Table4[ID], Table4[Visits], "Not Found", 0)</f>
        <v>4</v>
      </c>
      <c r="W1693" s="8">
        <f>_xlfn.XLOOKUP(CustomerCombined[[#This Row],[ID]], Table2[ID],Table2[Complaint], "Not Found", 0 )</f>
        <v>0</v>
      </c>
      <c r="X1693" s="8">
        <f>_xlfn.XLOOKUP(CustomerCombined[[#This Row],[ID]], Table2[ID],Table2[Pilot], "Not Found", 0 )</f>
        <v>0</v>
      </c>
      <c r="Y1693" s="8">
        <f>_xlfn.XLOOKUP(CustomerCombined[[#This Row],[ID]], Table2[ID],Table2[MC1], "Not Found", 0 )</f>
        <v>0</v>
      </c>
      <c r="Z1693" s="8">
        <f>_xlfn.XLOOKUP(CustomerCombined[[#This Row],[ID]], Table2[ID],Table2[MC2], "Not Found", 0 )</f>
        <v>0</v>
      </c>
      <c r="AA1693" s="8">
        <f>_xlfn.XLOOKUP(CustomerCombined[[#This Row],[ID]], Table2[ID],Table2[MC3], "Not Found", 0 )</f>
        <v>0</v>
      </c>
      <c r="AB1693" s="8">
        <f>_xlfn.XLOOKUP(CustomerCombined[[#This Row],[ID]], Table2[ID],Table2[MC4], "Not Found", 0 )</f>
        <v>0</v>
      </c>
      <c r="AC1693" s="8">
        <f>_xlfn.XLOOKUP(CustomerCombined[[#This Row],[ID]], Table2[ID],Table2[MC5], "Not Found", 0 )</f>
        <v>0</v>
      </c>
    </row>
    <row r="1694" spans="1:29" x14ac:dyDescent="0.3">
      <c r="A1694" s="6">
        <v>2608</v>
      </c>
      <c r="B1694" s="6">
        <v>152854</v>
      </c>
      <c r="C1694" s="6">
        <v>1</v>
      </c>
      <c r="D1694" s="6">
        <v>1</v>
      </c>
      <c r="E1694" s="6">
        <v>61</v>
      </c>
      <c r="F1694" s="5" t="s">
        <v>6</v>
      </c>
      <c r="G1694" s="5" t="s">
        <v>13</v>
      </c>
      <c r="H1694" s="3" t="s">
        <v>77</v>
      </c>
      <c r="I1694" s="5" t="s">
        <v>439</v>
      </c>
      <c r="J1694" s="5">
        <f>_xlfn.XLOOKUP(CustomerCombined[[#This Row],[ID]], Table4[ID], Table4[Recency], "Not Found", 0)</f>
        <v>43</v>
      </c>
      <c r="K1694" s="5">
        <f>_xlfn.XLOOKUP(CustomerCombined[[#This Row],[ID]], Table4[ID], Table4[Teas], "Not Found", 0)</f>
        <v>304</v>
      </c>
      <c r="L1694" s="5">
        <f>_xlfn.XLOOKUP(CustomerCombined[[#This Row],[ID]], Table4[ID], Table4[Fruits], "Not Found", 0)</f>
        <v>0</v>
      </c>
      <c r="M1694" s="5">
        <f>_xlfn.XLOOKUP(CustomerCombined[[#This Row],[ID]], Table4[ID], Table4[Meats], "Not Found", 0)</f>
        <v>29</v>
      </c>
      <c r="N1694" s="5">
        <f>_xlfn.XLOOKUP(CustomerCombined[[#This Row],[ID]], Table4[ID], Table4[Seafood], "Not Found", 0)</f>
        <v>0</v>
      </c>
      <c r="O1694" s="5">
        <f>_xlfn.XLOOKUP(CustomerCombined[[#This Row],[ID]], Table4[ID], Table4[Sweets], "Not Found", 0)</f>
        <v>3</v>
      </c>
      <c r="P1694" s="5">
        <f>_xlfn.XLOOKUP(CustomerCombined[[#This Row],[ID]], Table4[ID], Table4[Premium], "Not Found", 0)</f>
        <v>0</v>
      </c>
      <c r="Q1694" s="5">
        <f>_xlfn.XLOOKUP(CustomerCombined[[#This Row],[ID]], Table4[ID], Table4[Regular], "Not Found", 0)</f>
        <v>335</v>
      </c>
      <c r="R1694" s="5">
        <f>_xlfn.XLOOKUP(CustomerCombined[[#This Row],[ID]], Table4[ID], Table4[Deals], "Not Found", 0)</f>
        <v>2</v>
      </c>
      <c r="S1694" s="5">
        <f>_xlfn.XLOOKUP(CustomerCombined[[#This Row],[ID]], Table4[ID], Table4[Website], "Not Found", 0)</f>
        <v>2</v>
      </c>
      <c r="T1694" s="5">
        <f>_xlfn.XLOOKUP(CustomerCombined[[#This Row],[ID]], Table4[ID], Table4[Catalog], "Not Found", 0)</f>
        <v>1</v>
      </c>
      <c r="U1694" s="5">
        <f>_xlfn.XLOOKUP(CustomerCombined[[#This Row],[ID]], Table4[ID], Table4[Store], "Not Found", 0)</f>
        <v>4</v>
      </c>
      <c r="V1694" s="5">
        <f>_xlfn.XLOOKUP(CustomerCombined[[#This Row],[ID]], Table4[ID], Table4[Visits], "Not Found", 0)</f>
        <v>5</v>
      </c>
      <c r="W1694" s="8">
        <f>_xlfn.XLOOKUP(CustomerCombined[[#This Row],[ID]], Table2[ID],Table2[Complaint], "Not Found", 0 )</f>
        <v>0</v>
      </c>
      <c r="X1694" s="8">
        <f>_xlfn.XLOOKUP(CustomerCombined[[#This Row],[ID]], Table2[ID],Table2[Pilot], "Not Found", 0 )</f>
        <v>0</v>
      </c>
      <c r="Y1694" s="8">
        <f>_xlfn.XLOOKUP(CustomerCombined[[#This Row],[ID]], Table2[ID],Table2[MC1], "Not Found", 0 )</f>
        <v>0</v>
      </c>
      <c r="Z1694" s="8">
        <f>_xlfn.XLOOKUP(CustomerCombined[[#This Row],[ID]], Table2[ID],Table2[MC2], "Not Found", 0 )</f>
        <v>0</v>
      </c>
      <c r="AA1694" s="8">
        <f>_xlfn.XLOOKUP(CustomerCombined[[#This Row],[ID]], Table2[ID],Table2[MC3], "Not Found", 0 )</f>
        <v>0</v>
      </c>
      <c r="AB1694" s="8">
        <f>_xlfn.XLOOKUP(CustomerCombined[[#This Row],[ID]], Table2[ID],Table2[MC4], "Not Found", 0 )</f>
        <v>0</v>
      </c>
      <c r="AC1694" s="8">
        <f>_xlfn.XLOOKUP(CustomerCombined[[#This Row],[ID]], Table2[ID],Table2[MC5], "Not Found", 0 )</f>
        <v>0</v>
      </c>
    </row>
    <row r="1695" spans="1:29" x14ac:dyDescent="0.3">
      <c r="A1695" s="6">
        <v>1156</v>
      </c>
      <c r="B1695" s="6">
        <v>152332</v>
      </c>
      <c r="C1695" s="6">
        <v>0</v>
      </c>
      <c r="D1695" s="6">
        <v>0</v>
      </c>
      <c r="E1695" s="6">
        <v>61</v>
      </c>
      <c r="F1695" s="5" t="s">
        <v>5</v>
      </c>
      <c r="G1695" s="5" t="s">
        <v>11</v>
      </c>
      <c r="H1695" s="3">
        <v>43863</v>
      </c>
      <c r="I1695" s="5" t="s">
        <v>439</v>
      </c>
      <c r="J1695" s="5">
        <f>_xlfn.XLOOKUP(CustomerCombined[[#This Row],[ID]], Table4[ID], Table4[Recency], "Not Found", 0)</f>
        <v>63</v>
      </c>
      <c r="K1695" s="5">
        <f>_xlfn.XLOOKUP(CustomerCombined[[#This Row],[ID]], Table4[ID], Table4[Teas], "Not Found", 0)</f>
        <v>617</v>
      </c>
      <c r="L1695" s="5">
        <f>_xlfn.XLOOKUP(CustomerCombined[[#This Row],[ID]], Table4[ID], Table4[Fruits], "Not Found", 0)</f>
        <v>15</v>
      </c>
      <c r="M1695" s="5">
        <f>_xlfn.XLOOKUP(CustomerCombined[[#This Row],[ID]], Table4[ID], Table4[Meats], "Not Found", 0)</f>
        <v>96</v>
      </c>
      <c r="N1695" s="5">
        <f>_xlfn.XLOOKUP(CustomerCombined[[#This Row],[ID]], Table4[ID], Table4[Seafood], "Not Found", 0)</f>
        <v>20</v>
      </c>
      <c r="O1695" s="5">
        <f>_xlfn.XLOOKUP(CustomerCombined[[#This Row],[ID]], Table4[ID], Table4[Sweets], "Not Found", 0)</f>
        <v>0</v>
      </c>
      <c r="P1695" s="5">
        <f>_xlfn.XLOOKUP(CustomerCombined[[#This Row],[ID]], Table4[ID], Table4[Premium], "Not Found", 0)</f>
        <v>6</v>
      </c>
      <c r="Q1695" s="5">
        <f>_xlfn.XLOOKUP(CustomerCombined[[#This Row],[ID]], Table4[ID], Table4[Regular], "Not Found", 0)</f>
        <v>742</v>
      </c>
      <c r="R1695" s="5">
        <f>_xlfn.XLOOKUP(CustomerCombined[[#This Row],[ID]], Table4[ID], Table4[Deals], "Not Found", 0)</f>
        <v>1</v>
      </c>
      <c r="S1695" s="5">
        <f>_xlfn.XLOOKUP(CustomerCombined[[#This Row],[ID]], Table4[ID], Table4[Website], "Not Found", 0)</f>
        <v>3</v>
      </c>
      <c r="T1695" s="5">
        <f>_xlfn.XLOOKUP(CustomerCombined[[#This Row],[ID]], Table4[ID], Table4[Catalog], "Not Found", 0)</f>
        <v>2</v>
      </c>
      <c r="U1695" s="5">
        <f>_xlfn.XLOOKUP(CustomerCombined[[#This Row],[ID]], Table4[ID], Table4[Store], "Not Found", 0)</f>
        <v>6</v>
      </c>
      <c r="V1695" s="5">
        <f>_xlfn.XLOOKUP(CustomerCombined[[#This Row],[ID]], Table4[ID], Table4[Visits], "Not Found", 0)</f>
        <v>4</v>
      </c>
      <c r="W1695" s="8">
        <f>_xlfn.XLOOKUP(CustomerCombined[[#This Row],[ID]], Table2[ID],Table2[Complaint], "Not Found", 0 )</f>
        <v>0</v>
      </c>
      <c r="X1695" s="8">
        <f>_xlfn.XLOOKUP(CustomerCombined[[#This Row],[ID]], Table2[ID],Table2[Pilot], "Not Found", 0 )</f>
        <v>0</v>
      </c>
      <c r="Y1695" s="8">
        <f>_xlfn.XLOOKUP(CustomerCombined[[#This Row],[ID]], Table2[ID],Table2[MC1], "Not Found", 0 )</f>
        <v>0</v>
      </c>
      <c r="Z1695" s="8">
        <f>_xlfn.XLOOKUP(CustomerCombined[[#This Row],[ID]], Table2[ID],Table2[MC2], "Not Found", 0 )</f>
        <v>0</v>
      </c>
      <c r="AA1695" s="8">
        <f>_xlfn.XLOOKUP(CustomerCombined[[#This Row],[ID]], Table2[ID],Table2[MC3], "Not Found", 0 )</f>
        <v>0</v>
      </c>
      <c r="AB1695" s="8">
        <f>_xlfn.XLOOKUP(CustomerCombined[[#This Row],[ID]], Table2[ID],Table2[MC4], "Not Found", 0 )</f>
        <v>1</v>
      </c>
      <c r="AC1695" s="8">
        <f>_xlfn.XLOOKUP(CustomerCombined[[#This Row],[ID]], Table2[ID],Table2[MC5], "Not Found", 0 )</f>
        <v>0</v>
      </c>
    </row>
    <row r="1696" spans="1:29" x14ac:dyDescent="0.3">
      <c r="A1696" s="6">
        <v>2599</v>
      </c>
      <c r="B1696" s="6">
        <v>150664</v>
      </c>
      <c r="C1696" s="6">
        <v>1</v>
      </c>
      <c r="D1696" s="6">
        <v>1</v>
      </c>
      <c r="E1696" s="6">
        <v>61</v>
      </c>
      <c r="F1696" s="5" t="s">
        <v>7</v>
      </c>
      <c r="G1696" s="5" t="s">
        <v>11</v>
      </c>
      <c r="H1696" s="3" t="s">
        <v>324</v>
      </c>
      <c r="I1696" s="5" t="s">
        <v>437</v>
      </c>
      <c r="J1696" s="5">
        <f>_xlfn.XLOOKUP(CustomerCombined[[#This Row],[ID]], Table4[ID], Table4[Recency], "Not Found", 0)</f>
        <v>64</v>
      </c>
      <c r="K1696" s="5">
        <f>_xlfn.XLOOKUP(CustomerCombined[[#This Row],[ID]], Table4[ID], Table4[Teas], "Not Found", 0)</f>
        <v>931</v>
      </c>
      <c r="L1696" s="5">
        <f>_xlfn.XLOOKUP(CustomerCombined[[#This Row],[ID]], Table4[ID], Table4[Fruits], "Not Found", 0)</f>
        <v>24</v>
      </c>
      <c r="M1696" s="5">
        <f>_xlfn.XLOOKUP(CustomerCombined[[#This Row],[ID]], Table4[ID], Table4[Meats], "Not Found", 0)</f>
        <v>309</v>
      </c>
      <c r="N1696" s="5">
        <f>_xlfn.XLOOKUP(CustomerCombined[[#This Row],[ID]], Table4[ID], Table4[Seafood], "Not Found", 0)</f>
        <v>18</v>
      </c>
      <c r="O1696" s="5">
        <f>_xlfn.XLOOKUP(CustomerCombined[[#This Row],[ID]], Table4[ID], Table4[Sweets], "Not Found", 0)</f>
        <v>12</v>
      </c>
      <c r="P1696" s="5">
        <f>_xlfn.XLOOKUP(CustomerCombined[[#This Row],[ID]], Table4[ID], Table4[Premium], "Not Found", 0)</f>
        <v>375</v>
      </c>
      <c r="Q1696" s="5">
        <f>_xlfn.XLOOKUP(CustomerCombined[[#This Row],[ID]], Table4[ID], Table4[Regular], "Not Found", 0)</f>
        <v>919</v>
      </c>
      <c r="R1696" s="5">
        <f>_xlfn.XLOOKUP(CustomerCombined[[#This Row],[ID]], Table4[ID], Table4[Deals], "Not Found", 0)</f>
        <v>9</v>
      </c>
      <c r="S1696" s="5">
        <f>_xlfn.XLOOKUP(CustomerCombined[[#This Row],[ID]], Table4[ID], Table4[Website], "Not Found", 0)</f>
        <v>8</v>
      </c>
      <c r="T1696" s="5">
        <f>_xlfn.XLOOKUP(CustomerCombined[[#This Row],[ID]], Table4[ID], Table4[Catalog], "Not Found", 0)</f>
        <v>1</v>
      </c>
      <c r="U1696" s="5">
        <f>_xlfn.XLOOKUP(CustomerCombined[[#This Row],[ID]], Table4[ID], Table4[Store], "Not Found", 0)</f>
        <v>6</v>
      </c>
      <c r="V1696" s="5">
        <f>_xlfn.XLOOKUP(CustomerCombined[[#This Row],[ID]], Table4[ID], Table4[Visits], "Not Found", 0)</f>
        <v>9</v>
      </c>
      <c r="W1696" s="8">
        <f>_xlfn.XLOOKUP(CustomerCombined[[#This Row],[ID]], Table2[ID],Table2[Complaint], "Not Found", 0 )</f>
        <v>0</v>
      </c>
      <c r="X1696" s="8">
        <f>_xlfn.XLOOKUP(CustomerCombined[[#This Row],[ID]], Table2[ID],Table2[Pilot], "Not Found", 0 )</f>
        <v>0</v>
      </c>
      <c r="Y1696" s="8">
        <f>_xlfn.XLOOKUP(CustomerCombined[[#This Row],[ID]], Table2[ID],Table2[MC1], "Not Found", 0 )</f>
        <v>0</v>
      </c>
      <c r="Z1696" s="8">
        <f>_xlfn.XLOOKUP(CustomerCombined[[#This Row],[ID]], Table2[ID],Table2[MC2], "Not Found", 0 )</f>
        <v>0</v>
      </c>
      <c r="AA1696" s="8">
        <f>_xlfn.XLOOKUP(CustomerCombined[[#This Row],[ID]], Table2[ID],Table2[MC3], "Not Found", 0 )</f>
        <v>0</v>
      </c>
      <c r="AB1696" s="8">
        <f>_xlfn.XLOOKUP(CustomerCombined[[#This Row],[ID]], Table2[ID],Table2[MC4], "Not Found", 0 )</f>
        <v>0</v>
      </c>
      <c r="AC1696" s="8">
        <f>_xlfn.XLOOKUP(CustomerCombined[[#This Row],[ID]], Table2[ID],Table2[MC5], "Not Found", 0 )</f>
        <v>0</v>
      </c>
    </row>
    <row r="1697" spans="1:29" x14ac:dyDescent="0.3">
      <c r="A1697" s="6">
        <v>2806</v>
      </c>
      <c r="B1697" s="6">
        <v>144911</v>
      </c>
      <c r="C1697" s="6">
        <v>0</v>
      </c>
      <c r="D1697" s="6">
        <v>1</v>
      </c>
      <c r="E1697" s="6">
        <v>61</v>
      </c>
      <c r="F1697" s="5" t="s">
        <v>8</v>
      </c>
      <c r="G1697" s="5" t="s">
        <v>11</v>
      </c>
      <c r="H1697" s="3" t="s">
        <v>293</v>
      </c>
      <c r="I1697" s="5" t="s">
        <v>439</v>
      </c>
      <c r="J1697" s="5">
        <f>_xlfn.XLOOKUP(CustomerCombined[[#This Row],[ID]], Table4[ID], Table4[Recency], "Not Found", 0)</f>
        <v>11</v>
      </c>
      <c r="K1697" s="5">
        <f>_xlfn.XLOOKUP(CustomerCombined[[#This Row],[ID]], Table4[ID], Table4[Teas], "Not Found", 0)</f>
        <v>513</v>
      </c>
      <c r="L1697" s="5">
        <f>_xlfn.XLOOKUP(CustomerCombined[[#This Row],[ID]], Table4[ID], Table4[Fruits], "Not Found", 0)</f>
        <v>0</v>
      </c>
      <c r="M1697" s="5">
        <f>_xlfn.XLOOKUP(CustomerCombined[[#This Row],[ID]], Table4[ID], Table4[Meats], "Not Found", 0)</f>
        <v>71</v>
      </c>
      <c r="N1697" s="5">
        <f>_xlfn.XLOOKUP(CustomerCombined[[#This Row],[ID]], Table4[ID], Table4[Seafood], "Not Found", 0)</f>
        <v>6</v>
      </c>
      <c r="O1697" s="5">
        <f>_xlfn.XLOOKUP(CustomerCombined[[#This Row],[ID]], Table4[ID], Table4[Sweets], "Not Found", 0)</f>
        <v>3</v>
      </c>
      <c r="P1697" s="5">
        <f>_xlfn.XLOOKUP(CustomerCombined[[#This Row],[ID]], Table4[ID], Table4[Premium], "Not Found", 0)</f>
        <v>100</v>
      </c>
      <c r="Q1697" s="5">
        <f>_xlfn.XLOOKUP(CustomerCombined[[#This Row],[ID]], Table4[ID], Table4[Regular], "Not Found", 0)</f>
        <v>494</v>
      </c>
      <c r="R1697" s="5">
        <f>_xlfn.XLOOKUP(CustomerCombined[[#This Row],[ID]], Table4[ID], Table4[Deals], "Not Found", 0)</f>
        <v>3</v>
      </c>
      <c r="S1697" s="5">
        <f>_xlfn.XLOOKUP(CustomerCombined[[#This Row],[ID]], Table4[ID], Table4[Website], "Not Found", 0)</f>
        <v>4</v>
      </c>
      <c r="T1697" s="5">
        <f>_xlfn.XLOOKUP(CustomerCombined[[#This Row],[ID]], Table4[ID], Table4[Catalog], "Not Found", 0)</f>
        <v>1</v>
      </c>
      <c r="U1697" s="5">
        <f>_xlfn.XLOOKUP(CustomerCombined[[#This Row],[ID]], Table4[ID], Table4[Store], "Not Found", 0)</f>
        <v>4</v>
      </c>
      <c r="V1697" s="5">
        <f>_xlfn.XLOOKUP(CustomerCombined[[#This Row],[ID]], Table4[ID], Table4[Visits], "Not Found", 0)</f>
        <v>7</v>
      </c>
      <c r="W1697" s="8">
        <f>_xlfn.XLOOKUP(CustomerCombined[[#This Row],[ID]], Table2[ID],Table2[Complaint], "Not Found", 0 )</f>
        <v>0</v>
      </c>
      <c r="X1697" s="8">
        <f>_xlfn.XLOOKUP(CustomerCombined[[#This Row],[ID]], Table2[ID],Table2[Pilot], "Not Found", 0 )</f>
        <v>0</v>
      </c>
      <c r="Y1697" s="8">
        <f>_xlfn.XLOOKUP(CustomerCombined[[#This Row],[ID]], Table2[ID],Table2[MC1], "Not Found", 0 )</f>
        <v>0</v>
      </c>
      <c r="Z1697" s="8">
        <f>_xlfn.XLOOKUP(CustomerCombined[[#This Row],[ID]], Table2[ID],Table2[MC2], "Not Found", 0 )</f>
        <v>0</v>
      </c>
      <c r="AA1697" s="8">
        <f>_xlfn.XLOOKUP(CustomerCombined[[#This Row],[ID]], Table2[ID],Table2[MC3], "Not Found", 0 )</f>
        <v>0</v>
      </c>
      <c r="AB1697" s="8">
        <f>_xlfn.XLOOKUP(CustomerCombined[[#This Row],[ID]], Table2[ID],Table2[MC4], "Not Found", 0 )</f>
        <v>0</v>
      </c>
      <c r="AC1697" s="8">
        <f>_xlfn.XLOOKUP(CustomerCombined[[#This Row],[ID]], Table2[ID],Table2[MC5], "Not Found", 0 )</f>
        <v>0</v>
      </c>
    </row>
    <row r="1698" spans="1:29" x14ac:dyDescent="0.3">
      <c r="A1698" s="6">
        <v>1868</v>
      </c>
      <c r="B1698" s="6">
        <v>142243</v>
      </c>
      <c r="C1698" s="6">
        <v>1</v>
      </c>
      <c r="D1698" s="6">
        <v>1</v>
      </c>
      <c r="E1698" s="6">
        <v>61</v>
      </c>
      <c r="F1698" s="5" t="s">
        <v>6</v>
      </c>
      <c r="G1698" s="5" t="s">
        <v>11</v>
      </c>
      <c r="H1698" s="3" t="s">
        <v>137</v>
      </c>
      <c r="I1698" s="5" t="s">
        <v>438</v>
      </c>
      <c r="J1698" s="5">
        <f>_xlfn.XLOOKUP(CustomerCombined[[#This Row],[ID]], Table4[ID], Table4[Recency], "Not Found", 0)</f>
        <v>34</v>
      </c>
      <c r="K1698" s="5">
        <f>_xlfn.XLOOKUP(CustomerCombined[[#This Row],[ID]], Table4[ID], Table4[Teas], "Not Found", 0)</f>
        <v>162</v>
      </c>
      <c r="L1698" s="5">
        <f>_xlfn.XLOOKUP(CustomerCombined[[#This Row],[ID]], Table4[ID], Table4[Fruits], "Not Found", 0)</f>
        <v>0</v>
      </c>
      <c r="M1698" s="5">
        <f>_xlfn.XLOOKUP(CustomerCombined[[#This Row],[ID]], Table4[ID], Table4[Meats], "Not Found", 0)</f>
        <v>7</v>
      </c>
      <c r="N1698" s="5">
        <f>_xlfn.XLOOKUP(CustomerCombined[[#This Row],[ID]], Table4[ID], Table4[Seafood], "Not Found", 0)</f>
        <v>0</v>
      </c>
      <c r="O1698" s="5">
        <f>_xlfn.XLOOKUP(CustomerCombined[[#This Row],[ID]], Table4[ID], Table4[Sweets], "Not Found", 0)</f>
        <v>0</v>
      </c>
      <c r="P1698" s="5">
        <f>_xlfn.XLOOKUP(CustomerCombined[[#This Row],[ID]], Table4[ID], Table4[Premium], "Not Found", 0)</f>
        <v>17</v>
      </c>
      <c r="Q1698" s="5">
        <f>_xlfn.XLOOKUP(CustomerCombined[[#This Row],[ID]], Table4[ID], Table4[Regular], "Not Found", 0)</f>
        <v>152</v>
      </c>
      <c r="R1698" s="5">
        <f>_xlfn.XLOOKUP(CustomerCombined[[#This Row],[ID]], Table4[ID], Table4[Deals], "Not Found", 0)</f>
        <v>2</v>
      </c>
      <c r="S1698" s="5">
        <f>_xlfn.XLOOKUP(CustomerCombined[[#This Row],[ID]], Table4[ID], Table4[Website], "Not Found", 0)</f>
        <v>2</v>
      </c>
      <c r="T1698" s="5">
        <f>_xlfn.XLOOKUP(CustomerCombined[[#This Row],[ID]], Table4[ID], Table4[Catalog], "Not Found", 0)</f>
        <v>0</v>
      </c>
      <c r="U1698" s="5">
        <f>_xlfn.XLOOKUP(CustomerCombined[[#This Row],[ID]], Table4[ID], Table4[Store], "Not Found", 0)</f>
        <v>3</v>
      </c>
      <c r="V1698" s="5">
        <f>_xlfn.XLOOKUP(CustomerCombined[[#This Row],[ID]], Table4[ID], Table4[Visits], "Not Found", 0)</f>
        <v>7</v>
      </c>
      <c r="W1698" s="8">
        <f>_xlfn.XLOOKUP(CustomerCombined[[#This Row],[ID]], Table2[ID],Table2[Complaint], "Not Found", 0 )</f>
        <v>0</v>
      </c>
      <c r="X1698" s="8">
        <f>_xlfn.XLOOKUP(CustomerCombined[[#This Row],[ID]], Table2[ID],Table2[Pilot], "Not Found", 0 )</f>
        <v>0</v>
      </c>
      <c r="Y1698" s="8">
        <f>_xlfn.XLOOKUP(CustomerCombined[[#This Row],[ID]], Table2[ID],Table2[MC1], "Not Found", 0 )</f>
        <v>0</v>
      </c>
      <c r="Z1698" s="8">
        <f>_xlfn.XLOOKUP(CustomerCombined[[#This Row],[ID]], Table2[ID],Table2[MC2], "Not Found", 0 )</f>
        <v>0</v>
      </c>
      <c r="AA1698" s="8">
        <f>_xlfn.XLOOKUP(CustomerCombined[[#This Row],[ID]], Table2[ID],Table2[MC3], "Not Found", 0 )</f>
        <v>0</v>
      </c>
      <c r="AB1698" s="8">
        <f>_xlfn.XLOOKUP(CustomerCombined[[#This Row],[ID]], Table2[ID],Table2[MC4], "Not Found", 0 )</f>
        <v>0</v>
      </c>
      <c r="AC1698" s="8">
        <f>_xlfn.XLOOKUP(CustomerCombined[[#This Row],[ID]], Table2[ID],Table2[MC5], "Not Found", 0 )</f>
        <v>0</v>
      </c>
    </row>
    <row r="1699" spans="1:29" x14ac:dyDescent="0.3">
      <c r="A1699" s="6">
        <v>1740</v>
      </c>
      <c r="B1699" s="6">
        <v>138829</v>
      </c>
      <c r="C1699" s="6">
        <v>0</v>
      </c>
      <c r="D1699" s="6">
        <v>1</v>
      </c>
      <c r="E1699" s="6">
        <v>61</v>
      </c>
      <c r="F1699" s="5" t="s">
        <v>6</v>
      </c>
      <c r="G1699" s="5" t="s">
        <v>13</v>
      </c>
      <c r="H1699" s="3">
        <v>44113</v>
      </c>
      <c r="I1699" s="5" t="s">
        <v>436</v>
      </c>
      <c r="J1699" s="5">
        <f>_xlfn.XLOOKUP(CustomerCombined[[#This Row],[ID]], Table4[ID], Table4[Recency], "Not Found", 0)</f>
        <v>86</v>
      </c>
      <c r="K1699" s="5">
        <f>_xlfn.XLOOKUP(CustomerCombined[[#This Row],[ID]], Table4[ID], Table4[Teas], "Not Found", 0)</f>
        <v>272</v>
      </c>
      <c r="L1699" s="5">
        <f>_xlfn.XLOOKUP(CustomerCombined[[#This Row],[ID]], Table4[ID], Table4[Fruits], "Not Found", 0)</f>
        <v>0</v>
      </c>
      <c r="M1699" s="5">
        <f>_xlfn.XLOOKUP(CustomerCombined[[#This Row],[ID]], Table4[ID], Table4[Meats], "Not Found", 0)</f>
        <v>25</v>
      </c>
      <c r="N1699" s="5">
        <f>_xlfn.XLOOKUP(CustomerCombined[[#This Row],[ID]], Table4[ID], Table4[Seafood], "Not Found", 0)</f>
        <v>0</v>
      </c>
      <c r="O1699" s="5">
        <f>_xlfn.XLOOKUP(CustomerCombined[[#This Row],[ID]], Table4[ID], Table4[Sweets], "Not Found", 0)</f>
        <v>0</v>
      </c>
      <c r="P1699" s="5">
        <f>_xlfn.XLOOKUP(CustomerCombined[[#This Row],[ID]], Table4[ID], Table4[Premium], "Not Found", 0)</f>
        <v>57</v>
      </c>
      <c r="Q1699" s="5">
        <f>_xlfn.XLOOKUP(CustomerCombined[[#This Row],[ID]], Table4[ID], Table4[Regular], "Not Found", 0)</f>
        <v>240</v>
      </c>
      <c r="R1699" s="5">
        <f>_xlfn.XLOOKUP(CustomerCombined[[#This Row],[ID]], Table4[ID], Table4[Deals], "Not Found", 0)</f>
        <v>1</v>
      </c>
      <c r="S1699" s="5">
        <f>_xlfn.XLOOKUP(CustomerCombined[[#This Row],[ID]], Table4[ID], Table4[Website], "Not Found", 0)</f>
        <v>3</v>
      </c>
      <c r="T1699" s="5">
        <f>_xlfn.XLOOKUP(CustomerCombined[[#This Row],[ID]], Table4[ID], Table4[Catalog], "Not Found", 0)</f>
        <v>2</v>
      </c>
      <c r="U1699" s="5">
        <f>_xlfn.XLOOKUP(CustomerCombined[[#This Row],[ID]], Table4[ID], Table4[Store], "Not Found", 0)</f>
        <v>2</v>
      </c>
      <c r="V1699" s="5">
        <f>_xlfn.XLOOKUP(CustomerCombined[[#This Row],[ID]], Table4[ID], Table4[Visits], "Not Found", 0)</f>
        <v>5</v>
      </c>
      <c r="W1699" s="8">
        <f>_xlfn.XLOOKUP(CustomerCombined[[#This Row],[ID]], Table2[ID],Table2[Complaint], "Not Found", 0 )</f>
        <v>0</v>
      </c>
      <c r="X1699" s="8">
        <f>_xlfn.XLOOKUP(CustomerCombined[[#This Row],[ID]], Table2[ID],Table2[Pilot], "Not Found", 0 )</f>
        <v>0</v>
      </c>
      <c r="Y1699" s="8">
        <f>_xlfn.XLOOKUP(CustomerCombined[[#This Row],[ID]], Table2[ID],Table2[MC1], "Not Found", 0 )</f>
        <v>0</v>
      </c>
      <c r="Z1699" s="8">
        <f>_xlfn.XLOOKUP(CustomerCombined[[#This Row],[ID]], Table2[ID],Table2[MC2], "Not Found", 0 )</f>
        <v>0</v>
      </c>
      <c r="AA1699" s="8">
        <f>_xlfn.XLOOKUP(CustomerCombined[[#This Row],[ID]], Table2[ID],Table2[MC3], "Not Found", 0 )</f>
        <v>0</v>
      </c>
      <c r="AB1699" s="8">
        <f>_xlfn.XLOOKUP(CustomerCombined[[#This Row],[ID]], Table2[ID],Table2[MC4], "Not Found", 0 )</f>
        <v>0</v>
      </c>
      <c r="AC1699" s="8">
        <f>_xlfn.XLOOKUP(CustomerCombined[[#This Row],[ID]], Table2[ID],Table2[MC5], "Not Found", 0 )</f>
        <v>0</v>
      </c>
    </row>
    <row r="1700" spans="1:29" x14ac:dyDescent="0.3">
      <c r="A1700" s="6">
        <v>1167</v>
      </c>
      <c r="B1700" s="6">
        <v>138285</v>
      </c>
      <c r="C1700" s="6">
        <v>2</v>
      </c>
      <c r="D1700" s="6">
        <v>1</v>
      </c>
      <c r="E1700" s="6">
        <v>61</v>
      </c>
      <c r="F1700" s="5" t="s">
        <v>8</v>
      </c>
      <c r="G1700" s="5" t="s">
        <v>11</v>
      </c>
      <c r="H1700" s="3" t="s">
        <v>25</v>
      </c>
      <c r="I1700" s="5" t="s">
        <v>435</v>
      </c>
      <c r="J1700" s="5">
        <f>_xlfn.XLOOKUP(CustomerCombined[[#This Row],[ID]], Table4[ID], Table4[Recency], "Not Found", 0)</f>
        <v>96</v>
      </c>
      <c r="K1700" s="5">
        <f>_xlfn.XLOOKUP(CustomerCombined[[#This Row],[ID]], Table4[ID], Table4[Teas], "Not Found", 0)</f>
        <v>7</v>
      </c>
      <c r="L1700" s="5">
        <f>_xlfn.XLOOKUP(CustomerCombined[[#This Row],[ID]], Table4[ID], Table4[Fruits], "Not Found", 0)</f>
        <v>0</v>
      </c>
      <c r="M1700" s="5">
        <f>_xlfn.XLOOKUP(CustomerCombined[[#This Row],[ID]], Table4[ID], Table4[Meats], "Not Found", 0)</f>
        <v>18</v>
      </c>
      <c r="N1700" s="5">
        <f>_xlfn.XLOOKUP(CustomerCombined[[#This Row],[ID]], Table4[ID], Table4[Seafood], "Not Found", 0)</f>
        <v>7</v>
      </c>
      <c r="O1700" s="5">
        <f>_xlfn.XLOOKUP(CustomerCombined[[#This Row],[ID]], Table4[ID], Table4[Sweets], "Not Found", 0)</f>
        <v>0</v>
      </c>
      <c r="P1700" s="5">
        <f>_xlfn.XLOOKUP(CustomerCombined[[#This Row],[ID]], Table4[ID], Table4[Premium], "Not Found", 0)</f>
        <v>4</v>
      </c>
      <c r="Q1700" s="5">
        <f>_xlfn.XLOOKUP(CustomerCombined[[#This Row],[ID]], Table4[ID], Table4[Regular], "Not Found", 0)</f>
        <v>29</v>
      </c>
      <c r="R1700" s="5">
        <f>_xlfn.XLOOKUP(CustomerCombined[[#This Row],[ID]], Table4[ID], Table4[Deals], "Not Found", 0)</f>
        <v>1</v>
      </c>
      <c r="S1700" s="5">
        <f>_xlfn.XLOOKUP(CustomerCombined[[#This Row],[ID]], Table4[ID], Table4[Website], "Not Found", 0)</f>
        <v>0</v>
      </c>
      <c r="T1700" s="5">
        <f>_xlfn.XLOOKUP(CustomerCombined[[#This Row],[ID]], Table4[ID], Table4[Catalog], "Not Found", 0)</f>
        <v>0</v>
      </c>
      <c r="U1700" s="5">
        <f>_xlfn.XLOOKUP(CustomerCombined[[#This Row],[ID]], Table4[ID], Table4[Store], "Not Found", 0)</f>
        <v>3</v>
      </c>
      <c r="V1700" s="5">
        <f>_xlfn.XLOOKUP(CustomerCombined[[#This Row],[ID]], Table4[ID], Table4[Visits], "Not Found", 0)</f>
        <v>2</v>
      </c>
      <c r="W1700" s="8">
        <f>_xlfn.XLOOKUP(CustomerCombined[[#This Row],[ID]], Table2[ID],Table2[Complaint], "Not Found", 0 )</f>
        <v>0</v>
      </c>
      <c r="X1700" s="8">
        <f>_xlfn.XLOOKUP(CustomerCombined[[#This Row],[ID]], Table2[ID],Table2[Pilot], "Not Found", 0 )</f>
        <v>0</v>
      </c>
      <c r="Y1700" s="8">
        <f>_xlfn.XLOOKUP(CustomerCombined[[#This Row],[ID]], Table2[ID],Table2[MC1], "Not Found", 0 )</f>
        <v>0</v>
      </c>
      <c r="Z1700" s="8">
        <f>_xlfn.XLOOKUP(CustomerCombined[[#This Row],[ID]], Table2[ID],Table2[MC2], "Not Found", 0 )</f>
        <v>0</v>
      </c>
      <c r="AA1700" s="8">
        <f>_xlfn.XLOOKUP(CustomerCombined[[#This Row],[ID]], Table2[ID],Table2[MC3], "Not Found", 0 )</f>
        <v>0</v>
      </c>
      <c r="AB1700" s="8">
        <f>_xlfn.XLOOKUP(CustomerCombined[[#This Row],[ID]], Table2[ID],Table2[MC4], "Not Found", 0 )</f>
        <v>0</v>
      </c>
      <c r="AC1700" s="8">
        <f>_xlfn.XLOOKUP(CustomerCombined[[#This Row],[ID]], Table2[ID],Table2[MC5], "Not Found", 0 )</f>
        <v>0</v>
      </c>
    </row>
    <row r="1701" spans="1:29" x14ac:dyDescent="0.3">
      <c r="A1701" s="6">
        <v>2642</v>
      </c>
      <c r="B1701" s="6">
        <v>136732</v>
      </c>
      <c r="C1701" s="6">
        <v>1</v>
      </c>
      <c r="D1701" s="6">
        <v>1</v>
      </c>
      <c r="E1701" s="6">
        <v>61</v>
      </c>
      <c r="F1701" s="5" t="s">
        <v>6</v>
      </c>
      <c r="G1701" s="5" t="s">
        <v>13</v>
      </c>
      <c r="H1701" s="3">
        <v>43927</v>
      </c>
      <c r="I1701" s="5" t="s">
        <v>438</v>
      </c>
      <c r="J1701" s="5">
        <f>_xlfn.XLOOKUP(CustomerCombined[[#This Row],[ID]], Table4[ID], Table4[Recency], "Not Found", 0)</f>
        <v>71</v>
      </c>
      <c r="K1701" s="5">
        <f>_xlfn.XLOOKUP(CustomerCombined[[#This Row],[ID]], Table4[ID], Table4[Teas], "Not Found", 0)</f>
        <v>78</v>
      </c>
      <c r="L1701" s="5">
        <f>_xlfn.XLOOKUP(CustomerCombined[[#This Row],[ID]], Table4[ID], Table4[Fruits], "Not Found", 0)</f>
        <v>19</v>
      </c>
      <c r="M1701" s="5">
        <f>_xlfn.XLOOKUP(CustomerCombined[[#This Row],[ID]], Table4[ID], Table4[Meats], "Not Found", 0)</f>
        <v>11</v>
      </c>
      <c r="N1701" s="5">
        <f>_xlfn.XLOOKUP(CustomerCombined[[#This Row],[ID]], Table4[ID], Table4[Seafood], "Not Found", 0)</f>
        <v>37</v>
      </c>
      <c r="O1701" s="5">
        <f>_xlfn.XLOOKUP(CustomerCombined[[#This Row],[ID]], Table4[ID], Table4[Sweets], "Not Found", 0)</f>
        <v>4</v>
      </c>
      <c r="P1701" s="5">
        <f>_xlfn.XLOOKUP(CustomerCombined[[#This Row],[ID]], Table4[ID], Table4[Premium], "Not Found", 0)</f>
        <v>26</v>
      </c>
      <c r="Q1701" s="5">
        <f>_xlfn.XLOOKUP(CustomerCombined[[#This Row],[ID]], Table4[ID], Table4[Regular], "Not Found", 0)</f>
        <v>123</v>
      </c>
      <c r="R1701" s="5">
        <f>_xlfn.XLOOKUP(CustomerCombined[[#This Row],[ID]], Table4[ID], Table4[Deals], "Not Found", 0)</f>
        <v>3</v>
      </c>
      <c r="S1701" s="5">
        <f>_xlfn.XLOOKUP(CustomerCombined[[#This Row],[ID]], Table4[ID], Table4[Website], "Not Found", 0)</f>
        <v>1</v>
      </c>
      <c r="T1701" s="5">
        <f>_xlfn.XLOOKUP(CustomerCombined[[#This Row],[ID]], Table4[ID], Table4[Catalog], "Not Found", 0)</f>
        <v>1</v>
      </c>
      <c r="U1701" s="5">
        <f>_xlfn.XLOOKUP(CustomerCombined[[#This Row],[ID]], Table4[ID], Table4[Store], "Not Found", 0)</f>
        <v>4</v>
      </c>
      <c r="V1701" s="5">
        <f>_xlfn.XLOOKUP(CustomerCombined[[#This Row],[ID]], Table4[ID], Table4[Visits], "Not Found", 0)</f>
        <v>2</v>
      </c>
      <c r="W1701" s="8">
        <f>_xlfn.XLOOKUP(CustomerCombined[[#This Row],[ID]], Table2[ID],Table2[Complaint], "Not Found", 0 )</f>
        <v>0</v>
      </c>
      <c r="X1701" s="8">
        <f>_xlfn.XLOOKUP(CustomerCombined[[#This Row],[ID]], Table2[ID],Table2[Pilot], "Not Found", 0 )</f>
        <v>0</v>
      </c>
      <c r="Y1701" s="8">
        <f>_xlfn.XLOOKUP(CustomerCombined[[#This Row],[ID]], Table2[ID],Table2[MC1], "Not Found", 0 )</f>
        <v>0</v>
      </c>
      <c r="Z1701" s="8">
        <f>_xlfn.XLOOKUP(CustomerCombined[[#This Row],[ID]], Table2[ID],Table2[MC2], "Not Found", 0 )</f>
        <v>0</v>
      </c>
      <c r="AA1701" s="8">
        <f>_xlfn.XLOOKUP(CustomerCombined[[#This Row],[ID]], Table2[ID],Table2[MC3], "Not Found", 0 )</f>
        <v>0</v>
      </c>
      <c r="AB1701" s="8">
        <f>_xlfn.XLOOKUP(CustomerCombined[[#This Row],[ID]], Table2[ID],Table2[MC4], "Not Found", 0 )</f>
        <v>0</v>
      </c>
      <c r="AC1701" s="8">
        <f>_xlfn.XLOOKUP(CustomerCombined[[#This Row],[ID]], Table2[ID],Table2[MC5], "Not Found", 0 )</f>
        <v>0</v>
      </c>
    </row>
    <row r="1702" spans="1:29" x14ac:dyDescent="0.3">
      <c r="A1702" s="6">
        <v>2883</v>
      </c>
      <c r="B1702" s="6">
        <v>135701</v>
      </c>
      <c r="C1702" s="6">
        <v>0</v>
      </c>
      <c r="D1702" s="6">
        <v>0</v>
      </c>
      <c r="E1702" s="6">
        <v>61</v>
      </c>
      <c r="F1702" s="5" t="s">
        <v>6</v>
      </c>
      <c r="G1702" s="5" t="s">
        <v>11</v>
      </c>
      <c r="H1702" s="3" t="s">
        <v>289</v>
      </c>
      <c r="I1702" s="5" t="s">
        <v>435</v>
      </c>
      <c r="J1702" s="5">
        <f>_xlfn.XLOOKUP(CustomerCombined[[#This Row],[ID]], Table4[ID], Table4[Recency], "Not Found", 0)</f>
        <v>36</v>
      </c>
      <c r="K1702" s="5">
        <f>_xlfn.XLOOKUP(CustomerCombined[[#This Row],[ID]], Table4[ID], Table4[Teas], "Not Found", 0)</f>
        <v>80</v>
      </c>
      <c r="L1702" s="5">
        <f>_xlfn.XLOOKUP(CustomerCombined[[#This Row],[ID]], Table4[ID], Table4[Fruits], "Not Found", 0)</f>
        <v>4</v>
      </c>
      <c r="M1702" s="5">
        <f>_xlfn.XLOOKUP(CustomerCombined[[#This Row],[ID]], Table4[ID], Table4[Meats], "Not Found", 0)</f>
        <v>34</v>
      </c>
      <c r="N1702" s="5">
        <f>_xlfn.XLOOKUP(CustomerCombined[[#This Row],[ID]], Table4[ID], Table4[Seafood], "Not Found", 0)</f>
        <v>27</v>
      </c>
      <c r="O1702" s="5">
        <f>_xlfn.XLOOKUP(CustomerCombined[[#This Row],[ID]], Table4[ID], Table4[Sweets], "Not Found", 0)</f>
        <v>11</v>
      </c>
      <c r="P1702" s="5">
        <f>_xlfn.XLOOKUP(CustomerCombined[[#This Row],[ID]], Table4[ID], Table4[Premium], "Not Found", 0)</f>
        <v>19</v>
      </c>
      <c r="Q1702" s="5">
        <f>_xlfn.XLOOKUP(CustomerCombined[[#This Row],[ID]], Table4[ID], Table4[Regular], "Not Found", 0)</f>
        <v>137</v>
      </c>
      <c r="R1702" s="5">
        <f>_xlfn.XLOOKUP(CustomerCombined[[#This Row],[ID]], Table4[ID], Table4[Deals], "Not Found", 0)</f>
        <v>1</v>
      </c>
      <c r="S1702" s="5">
        <f>_xlfn.XLOOKUP(CustomerCombined[[#This Row],[ID]], Table4[ID], Table4[Website], "Not Found", 0)</f>
        <v>1</v>
      </c>
      <c r="T1702" s="5">
        <f>_xlfn.XLOOKUP(CustomerCombined[[#This Row],[ID]], Table4[ID], Table4[Catalog], "Not Found", 0)</f>
        <v>0</v>
      </c>
      <c r="U1702" s="5">
        <f>_xlfn.XLOOKUP(CustomerCombined[[#This Row],[ID]], Table4[ID], Table4[Store], "Not Found", 0)</f>
        <v>3</v>
      </c>
      <c r="V1702" s="5">
        <f>_xlfn.XLOOKUP(CustomerCombined[[#This Row],[ID]], Table4[ID], Table4[Visits], "Not Found", 0)</f>
        <v>6</v>
      </c>
      <c r="W1702" s="8">
        <f>_xlfn.XLOOKUP(CustomerCombined[[#This Row],[ID]], Table2[ID],Table2[Complaint], "Not Found", 0 )</f>
        <v>0</v>
      </c>
      <c r="X1702" s="8">
        <f>_xlfn.XLOOKUP(CustomerCombined[[#This Row],[ID]], Table2[ID],Table2[Pilot], "Not Found", 0 )</f>
        <v>0</v>
      </c>
      <c r="Y1702" s="8">
        <f>_xlfn.XLOOKUP(CustomerCombined[[#This Row],[ID]], Table2[ID],Table2[MC1], "Not Found", 0 )</f>
        <v>0</v>
      </c>
      <c r="Z1702" s="8">
        <f>_xlfn.XLOOKUP(CustomerCombined[[#This Row],[ID]], Table2[ID],Table2[MC2], "Not Found", 0 )</f>
        <v>0</v>
      </c>
      <c r="AA1702" s="8">
        <f>_xlfn.XLOOKUP(CustomerCombined[[#This Row],[ID]], Table2[ID],Table2[MC3], "Not Found", 0 )</f>
        <v>0</v>
      </c>
      <c r="AB1702" s="8">
        <f>_xlfn.XLOOKUP(CustomerCombined[[#This Row],[ID]], Table2[ID],Table2[MC4], "Not Found", 0 )</f>
        <v>0</v>
      </c>
      <c r="AC1702" s="8">
        <f>_xlfn.XLOOKUP(CustomerCombined[[#This Row],[ID]], Table2[ID],Table2[MC5], "Not Found", 0 )</f>
        <v>0</v>
      </c>
    </row>
    <row r="1703" spans="1:29" x14ac:dyDescent="0.3">
      <c r="A1703" s="6">
        <v>1093</v>
      </c>
      <c r="B1703" s="6">
        <v>134554</v>
      </c>
      <c r="C1703" s="6">
        <v>0</v>
      </c>
      <c r="D1703" s="6">
        <v>1</v>
      </c>
      <c r="E1703" s="6">
        <v>61</v>
      </c>
      <c r="F1703" s="5" t="s">
        <v>7</v>
      </c>
      <c r="G1703" s="5" t="s">
        <v>13</v>
      </c>
      <c r="H1703" s="3">
        <v>43899</v>
      </c>
      <c r="I1703" s="5" t="s">
        <v>437</v>
      </c>
      <c r="J1703" s="5">
        <f>_xlfn.XLOOKUP(CustomerCombined[[#This Row],[ID]], Table4[ID], Table4[Recency], "Not Found", 0)</f>
        <v>43</v>
      </c>
      <c r="K1703" s="5">
        <f>_xlfn.XLOOKUP(CustomerCombined[[#This Row],[ID]], Table4[ID], Table4[Teas], "Not Found", 0)</f>
        <v>160</v>
      </c>
      <c r="L1703" s="5">
        <f>_xlfn.XLOOKUP(CustomerCombined[[#This Row],[ID]], Table4[ID], Table4[Fruits], "Not Found", 0)</f>
        <v>4</v>
      </c>
      <c r="M1703" s="5">
        <f>_xlfn.XLOOKUP(CustomerCombined[[#This Row],[ID]], Table4[ID], Table4[Meats], "Not Found", 0)</f>
        <v>23</v>
      </c>
      <c r="N1703" s="5">
        <f>_xlfn.XLOOKUP(CustomerCombined[[#This Row],[ID]], Table4[ID], Table4[Seafood], "Not Found", 0)</f>
        <v>8</v>
      </c>
      <c r="O1703" s="5">
        <f>_xlfn.XLOOKUP(CustomerCombined[[#This Row],[ID]], Table4[ID], Table4[Sweets], "Not Found", 0)</f>
        <v>0</v>
      </c>
      <c r="P1703" s="5">
        <f>_xlfn.XLOOKUP(CustomerCombined[[#This Row],[ID]], Table4[ID], Table4[Premium], "Not Found", 0)</f>
        <v>19</v>
      </c>
      <c r="Q1703" s="5">
        <f>_xlfn.XLOOKUP(CustomerCombined[[#This Row],[ID]], Table4[ID], Table4[Regular], "Not Found", 0)</f>
        <v>175</v>
      </c>
      <c r="R1703" s="5">
        <f>_xlfn.XLOOKUP(CustomerCombined[[#This Row],[ID]], Table4[ID], Table4[Deals], "Not Found", 0)</f>
        <v>2</v>
      </c>
      <c r="S1703" s="5">
        <f>_xlfn.XLOOKUP(CustomerCombined[[#This Row],[ID]], Table4[ID], Table4[Website], "Not Found", 0)</f>
        <v>2</v>
      </c>
      <c r="T1703" s="5">
        <f>_xlfn.XLOOKUP(CustomerCombined[[#This Row],[ID]], Table4[ID], Table4[Catalog], "Not Found", 0)</f>
        <v>0</v>
      </c>
      <c r="U1703" s="5">
        <f>_xlfn.XLOOKUP(CustomerCombined[[#This Row],[ID]], Table4[ID], Table4[Store], "Not Found", 0)</f>
        <v>3</v>
      </c>
      <c r="V1703" s="5">
        <f>_xlfn.XLOOKUP(CustomerCombined[[#This Row],[ID]], Table4[ID], Table4[Visits], "Not Found", 0)</f>
        <v>6</v>
      </c>
      <c r="W1703" s="8">
        <f>_xlfn.XLOOKUP(CustomerCombined[[#This Row],[ID]], Table2[ID],Table2[Complaint], "Not Found", 0 )</f>
        <v>0</v>
      </c>
      <c r="X1703" s="8">
        <f>_xlfn.XLOOKUP(CustomerCombined[[#This Row],[ID]], Table2[ID],Table2[Pilot], "Not Found", 0 )</f>
        <v>0</v>
      </c>
      <c r="Y1703" s="8">
        <f>_xlfn.XLOOKUP(CustomerCombined[[#This Row],[ID]], Table2[ID],Table2[MC1], "Not Found", 0 )</f>
        <v>0</v>
      </c>
      <c r="Z1703" s="8">
        <f>_xlfn.XLOOKUP(CustomerCombined[[#This Row],[ID]], Table2[ID],Table2[MC2], "Not Found", 0 )</f>
        <v>0</v>
      </c>
      <c r="AA1703" s="8">
        <f>_xlfn.XLOOKUP(CustomerCombined[[#This Row],[ID]], Table2[ID],Table2[MC3], "Not Found", 0 )</f>
        <v>0</v>
      </c>
      <c r="AB1703" s="8">
        <f>_xlfn.XLOOKUP(CustomerCombined[[#This Row],[ID]], Table2[ID],Table2[MC4], "Not Found", 0 )</f>
        <v>0</v>
      </c>
      <c r="AC1703" s="8">
        <f>_xlfn.XLOOKUP(CustomerCombined[[#This Row],[ID]], Table2[ID],Table2[MC5], "Not Found", 0 )</f>
        <v>0</v>
      </c>
    </row>
    <row r="1704" spans="1:29" x14ac:dyDescent="0.3">
      <c r="A1704" s="6">
        <v>2913</v>
      </c>
      <c r="B1704" s="6">
        <v>134242</v>
      </c>
      <c r="C1704" s="6">
        <v>0</v>
      </c>
      <c r="D1704" s="6">
        <v>1</v>
      </c>
      <c r="E1704" s="6">
        <v>61</v>
      </c>
      <c r="F1704" s="5" t="s">
        <v>6</v>
      </c>
      <c r="G1704" s="5" t="s">
        <v>12</v>
      </c>
      <c r="H1704" s="3" t="s">
        <v>78</v>
      </c>
      <c r="I1704" s="5" t="s">
        <v>435</v>
      </c>
      <c r="J1704" s="5">
        <f>_xlfn.XLOOKUP(CustomerCombined[[#This Row],[ID]], Table4[ID], Table4[Recency], "Not Found", 0)</f>
        <v>25</v>
      </c>
      <c r="K1704" s="5">
        <f>_xlfn.XLOOKUP(CustomerCombined[[#This Row],[ID]], Table4[ID], Table4[Teas], "Not Found", 0)</f>
        <v>31</v>
      </c>
      <c r="L1704" s="5">
        <f>_xlfn.XLOOKUP(CustomerCombined[[#This Row],[ID]], Table4[ID], Table4[Fruits], "Not Found", 0)</f>
        <v>8</v>
      </c>
      <c r="M1704" s="5">
        <f>_xlfn.XLOOKUP(CustomerCombined[[#This Row],[ID]], Table4[ID], Table4[Meats], "Not Found", 0)</f>
        <v>16</v>
      </c>
      <c r="N1704" s="5">
        <f>_xlfn.XLOOKUP(CustomerCombined[[#This Row],[ID]], Table4[ID], Table4[Seafood], "Not Found", 0)</f>
        <v>0</v>
      </c>
      <c r="O1704" s="5">
        <f>_xlfn.XLOOKUP(CustomerCombined[[#This Row],[ID]], Table4[ID], Table4[Sweets], "Not Found", 0)</f>
        <v>0</v>
      </c>
      <c r="P1704" s="5">
        <f>_xlfn.XLOOKUP(CustomerCombined[[#This Row],[ID]], Table4[ID], Table4[Premium], "Not Found", 0)</f>
        <v>4</v>
      </c>
      <c r="Q1704" s="5">
        <f>_xlfn.XLOOKUP(CustomerCombined[[#This Row],[ID]], Table4[ID], Table4[Regular], "Not Found", 0)</f>
        <v>51</v>
      </c>
      <c r="R1704" s="5">
        <f>_xlfn.XLOOKUP(CustomerCombined[[#This Row],[ID]], Table4[ID], Table4[Deals], "Not Found", 0)</f>
        <v>1</v>
      </c>
      <c r="S1704" s="5">
        <f>_xlfn.XLOOKUP(CustomerCombined[[#This Row],[ID]], Table4[ID], Table4[Website], "Not Found", 0)</f>
        <v>0</v>
      </c>
      <c r="T1704" s="5">
        <f>_xlfn.XLOOKUP(CustomerCombined[[#This Row],[ID]], Table4[ID], Table4[Catalog], "Not Found", 0)</f>
        <v>0</v>
      </c>
      <c r="U1704" s="5">
        <f>_xlfn.XLOOKUP(CustomerCombined[[#This Row],[ID]], Table4[ID], Table4[Store], "Not Found", 0)</f>
        <v>3</v>
      </c>
      <c r="V1704" s="5">
        <f>_xlfn.XLOOKUP(CustomerCombined[[#This Row],[ID]], Table4[ID], Table4[Visits], "Not Found", 0)</f>
        <v>5</v>
      </c>
      <c r="W1704" s="8">
        <f>_xlfn.XLOOKUP(CustomerCombined[[#This Row],[ID]], Table2[ID],Table2[Complaint], "Not Found", 0 )</f>
        <v>0</v>
      </c>
      <c r="X1704" s="8">
        <f>_xlfn.XLOOKUP(CustomerCombined[[#This Row],[ID]], Table2[ID],Table2[Pilot], "Not Found", 0 )</f>
        <v>0</v>
      </c>
      <c r="Y1704" s="8">
        <f>_xlfn.XLOOKUP(CustomerCombined[[#This Row],[ID]], Table2[ID],Table2[MC1], "Not Found", 0 )</f>
        <v>0</v>
      </c>
      <c r="Z1704" s="8">
        <f>_xlfn.XLOOKUP(CustomerCombined[[#This Row],[ID]], Table2[ID],Table2[MC2], "Not Found", 0 )</f>
        <v>0</v>
      </c>
      <c r="AA1704" s="8">
        <f>_xlfn.XLOOKUP(CustomerCombined[[#This Row],[ID]], Table2[ID],Table2[MC3], "Not Found", 0 )</f>
        <v>0</v>
      </c>
      <c r="AB1704" s="8">
        <f>_xlfn.XLOOKUP(CustomerCombined[[#This Row],[ID]], Table2[ID],Table2[MC4], "Not Found", 0 )</f>
        <v>0</v>
      </c>
      <c r="AC1704" s="8">
        <f>_xlfn.XLOOKUP(CustomerCombined[[#This Row],[ID]], Table2[ID],Table2[MC5], "Not Found", 0 )</f>
        <v>0</v>
      </c>
    </row>
    <row r="1705" spans="1:29" x14ac:dyDescent="0.3">
      <c r="A1705" s="6">
        <v>1127</v>
      </c>
      <c r="B1705" s="6">
        <v>133762</v>
      </c>
      <c r="C1705" s="6">
        <v>2</v>
      </c>
      <c r="D1705" s="6">
        <v>1</v>
      </c>
      <c r="E1705" s="6">
        <v>61</v>
      </c>
      <c r="F1705" s="5" t="s">
        <v>6</v>
      </c>
      <c r="G1705" s="5" t="s">
        <v>13</v>
      </c>
      <c r="H1705" s="3">
        <v>43811</v>
      </c>
      <c r="I1705" s="5" t="s">
        <v>434</v>
      </c>
      <c r="J1705" s="5">
        <f>_xlfn.XLOOKUP(CustomerCombined[[#This Row],[ID]], Table4[ID], Table4[Recency], "Not Found", 0)</f>
        <v>61</v>
      </c>
      <c r="K1705" s="5">
        <f>_xlfn.XLOOKUP(CustomerCombined[[#This Row],[ID]], Table4[ID], Table4[Teas], "Not Found", 0)</f>
        <v>210</v>
      </c>
      <c r="L1705" s="5">
        <f>_xlfn.XLOOKUP(CustomerCombined[[#This Row],[ID]], Table4[ID], Table4[Fruits], "Not Found", 0)</f>
        <v>4</v>
      </c>
      <c r="M1705" s="5">
        <f>_xlfn.XLOOKUP(CustomerCombined[[#This Row],[ID]], Table4[ID], Table4[Meats], "Not Found", 0)</f>
        <v>135</v>
      </c>
      <c r="N1705" s="5">
        <f>_xlfn.XLOOKUP(CustomerCombined[[#This Row],[ID]], Table4[ID], Table4[Seafood], "Not Found", 0)</f>
        <v>8</v>
      </c>
      <c r="O1705" s="5">
        <f>_xlfn.XLOOKUP(CustomerCombined[[#This Row],[ID]], Table4[ID], Table4[Sweets], "Not Found", 0)</f>
        <v>0</v>
      </c>
      <c r="P1705" s="5">
        <f>_xlfn.XLOOKUP(CustomerCombined[[#This Row],[ID]], Table4[ID], Table4[Premium], "Not Found", 0)</f>
        <v>63</v>
      </c>
      <c r="Q1705" s="5">
        <f>_xlfn.XLOOKUP(CustomerCombined[[#This Row],[ID]], Table4[ID], Table4[Regular], "Not Found", 0)</f>
        <v>293</v>
      </c>
      <c r="R1705" s="5">
        <f>_xlfn.XLOOKUP(CustomerCombined[[#This Row],[ID]], Table4[ID], Table4[Deals], "Not Found", 0)</f>
        <v>3</v>
      </c>
      <c r="S1705" s="5">
        <f>_xlfn.XLOOKUP(CustomerCombined[[#This Row],[ID]], Table4[ID], Table4[Website], "Not Found", 0)</f>
        <v>2</v>
      </c>
      <c r="T1705" s="5">
        <f>_xlfn.XLOOKUP(CustomerCombined[[#This Row],[ID]], Table4[ID], Table4[Catalog], "Not Found", 0)</f>
        <v>2</v>
      </c>
      <c r="U1705" s="5">
        <f>_xlfn.XLOOKUP(CustomerCombined[[#This Row],[ID]], Table4[ID], Table4[Store], "Not Found", 0)</f>
        <v>2</v>
      </c>
      <c r="V1705" s="5">
        <f>_xlfn.XLOOKUP(CustomerCombined[[#This Row],[ID]], Table4[ID], Table4[Visits], "Not Found", 0)</f>
        <v>8</v>
      </c>
      <c r="W1705" s="8">
        <f>_xlfn.XLOOKUP(CustomerCombined[[#This Row],[ID]], Table2[ID],Table2[Complaint], "Not Found", 0 )</f>
        <v>0</v>
      </c>
      <c r="X1705" s="8">
        <f>_xlfn.XLOOKUP(CustomerCombined[[#This Row],[ID]], Table2[ID],Table2[Pilot], "Not Found", 0 )</f>
        <v>0</v>
      </c>
      <c r="Y1705" s="8">
        <f>_xlfn.XLOOKUP(CustomerCombined[[#This Row],[ID]], Table2[ID],Table2[MC1], "Not Found", 0 )</f>
        <v>0</v>
      </c>
      <c r="Z1705" s="8">
        <f>_xlfn.XLOOKUP(CustomerCombined[[#This Row],[ID]], Table2[ID],Table2[MC2], "Not Found", 0 )</f>
        <v>0</v>
      </c>
      <c r="AA1705" s="8">
        <f>_xlfn.XLOOKUP(CustomerCombined[[#This Row],[ID]], Table2[ID],Table2[MC3], "Not Found", 0 )</f>
        <v>0</v>
      </c>
      <c r="AB1705" s="8">
        <f>_xlfn.XLOOKUP(CustomerCombined[[#This Row],[ID]], Table2[ID],Table2[MC4], "Not Found", 0 )</f>
        <v>0</v>
      </c>
      <c r="AC1705" s="8">
        <f>_xlfn.XLOOKUP(CustomerCombined[[#This Row],[ID]], Table2[ID],Table2[MC5], "Not Found", 0 )</f>
        <v>0</v>
      </c>
    </row>
    <row r="1706" spans="1:29" x14ac:dyDescent="0.3">
      <c r="A1706" s="6">
        <v>2851</v>
      </c>
      <c r="B1706" s="6">
        <v>133051</v>
      </c>
      <c r="C1706" s="6">
        <v>0</v>
      </c>
      <c r="D1706" s="6">
        <v>0</v>
      </c>
      <c r="E1706" s="6">
        <v>61</v>
      </c>
      <c r="F1706" s="5" t="s">
        <v>9</v>
      </c>
      <c r="G1706" s="5" t="s">
        <v>12</v>
      </c>
      <c r="H1706" s="3" t="s">
        <v>412</v>
      </c>
      <c r="I1706" s="5" t="s">
        <v>437</v>
      </c>
      <c r="J1706" s="5">
        <f>_xlfn.XLOOKUP(CustomerCombined[[#This Row],[ID]], Table4[ID], Table4[Recency], "Not Found", 0)</f>
        <v>15</v>
      </c>
      <c r="K1706" s="5">
        <f>_xlfn.XLOOKUP(CustomerCombined[[#This Row],[ID]], Table4[ID], Table4[Teas], "Not Found", 0)</f>
        <v>403</v>
      </c>
      <c r="L1706" s="5">
        <f>_xlfn.XLOOKUP(CustomerCombined[[#This Row],[ID]], Table4[ID], Table4[Fruits], "Not Found", 0)</f>
        <v>286</v>
      </c>
      <c r="M1706" s="5">
        <f>_xlfn.XLOOKUP(CustomerCombined[[#This Row],[ID]], Table4[ID], Table4[Meats], "Not Found", 0)</f>
        <v>978</v>
      </c>
      <c r="N1706" s="5">
        <f>_xlfn.XLOOKUP(CustomerCombined[[#This Row],[ID]], Table4[ID], Table4[Seafood], "Not Found", 0)</f>
        <v>435</v>
      </c>
      <c r="O1706" s="5">
        <f>_xlfn.XLOOKUP(CustomerCombined[[#This Row],[ID]], Table4[ID], Table4[Sweets], "Not Found", 0)</f>
        <v>378</v>
      </c>
      <c r="P1706" s="5">
        <f>_xlfn.XLOOKUP(CustomerCombined[[#This Row],[ID]], Table4[ID], Table4[Premium], "Not Found", 0)</f>
        <v>882</v>
      </c>
      <c r="Q1706" s="5">
        <f>_xlfn.XLOOKUP(CustomerCombined[[#This Row],[ID]], Table4[ID], Table4[Regular], "Not Found", 0)</f>
        <v>1598</v>
      </c>
      <c r="R1706" s="5">
        <f>_xlfn.XLOOKUP(CustomerCombined[[#This Row],[ID]], Table4[ID], Table4[Deals], "Not Found", 0)</f>
        <v>3</v>
      </c>
      <c r="S1706" s="5">
        <f>_xlfn.XLOOKUP(CustomerCombined[[#This Row],[ID]], Table4[ID], Table4[Website], "Not Found", 0)</f>
        <v>9</v>
      </c>
      <c r="T1706" s="5">
        <f>_xlfn.XLOOKUP(CustomerCombined[[#This Row],[ID]], Table4[ID], Table4[Catalog], "Not Found", 0)</f>
        <v>1</v>
      </c>
      <c r="U1706" s="5">
        <f>_xlfn.XLOOKUP(CustomerCombined[[#This Row],[ID]], Table4[ID], Table4[Store], "Not Found", 0)</f>
        <v>8</v>
      </c>
      <c r="V1706" s="5">
        <f>_xlfn.XLOOKUP(CustomerCombined[[#This Row],[ID]], Table4[ID], Table4[Visits], "Not Found", 0)</f>
        <v>9</v>
      </c>
      <c r="W1706" s="8">
        <f>_xlfn.XLOOKUP(CustomerCombined[[#This Row],[ID]], Table2[ID],Table2[Complaint], "Not Found", 0 )</f>
        <v>0</v>
      </c>
      <c r="X1706" s="8">
        <f>_xlfn.XLOOKUP(CustomerCombined[[#This Row],[ID]], Table2[ID],Table2[Pilot], "Not Found", 0 )</f>
        <v>1</v>
      </c>
      <c r="Y1706" s="8">
        <f>_xlfn.XLOOKUP(CustomerCombined[[#This Row],[ID]], Table2[ID],Table2[MC1], "Not Found", 0 )</f>
        <v>0</v>
      </c>
      <c r="Z1706" s="8">
        <f>_xlfn.XLOOKUP(CustomerCombined[[#This Row],[ID]], Table2[ID],Table2[MC2], "Not Found", 0 )</f>
        <v>0</v>
      </c>
      <c r="AA1706" s="8">
        <f>_xlfn.XLOOKUP(CustomerCombined[[#This Row],[ID]], Table2[ID],Table2[MC3], "Not Found", 0 )</f>
        <v>0</v>
      </c>
      <c r="AB1706" s="8">
        <f>_xlfn.XLOOKUP(CustomerCombined[[#This Row],[ID]], Table2[ID],Table2[MC4], "Not Found", 0 )</f>
        <v>0</v>
      </c>
      <c r="AC1706" s="8">
        <f>_xlfn.XLOOKUP(CustomerCombined[[#This Row],[ID]], Table2[ID],Table2[MC5], "Not Found", 0 )</f>
        <v>0</v>
      </c>
    </row>
    <row r="1707" spans="1:29" x14ac:dyDescent="0.3">
      <c r="A1707" s="6">
        <v>2326</v>
      </c>
      <c r="B1707" s="6">
        <v>126887</v>
      </c>
      <c r="C1707" s="6">
        <v>0</v>
      </c>
      <c r="D1707" s="6">
        <v>1</v>
      </c>
      <c r="E1707" s="6">
        <v>61</v>
      </c>
      <c r="F1707" s="5" t="s">
        <v>6</v>
      </c>
      <c r="G1707" s="5" t="s">
        <v>442</v>
      </c>
      <c r="H1707" s="3" t="s">
        <v>313</v>
      </c>
      <c r="I1707" s="5" t="s">
        <v>439</v>
      </c>
      <c r="J1707" s="5">
        <f>_xlfn.XLOOKUP(CustomerCombined[[#This Row],[ID]], Table4[ID], Table4[Recency], "Not Found", 0)</f>
        <v>27</v>
      </c>
      <c r="K1707" s="5">
        <f>_xlfn.XLOOKUP(CustomerCombined[[#This Row],[ID]], Table4[ID], Table4[Teas], "Not Found", 0)</f>
        <v>28</v>
      </c>
      <c r="L1707" s="5">
        <f>_xlfn.XLOOKUP(CustomerCombined[[#This Row],[ID]], Table4[ID], Table4[Fruits], "Not Found", 0)</f>
        <v>33</v>
      </c>
      <c r="M1707" s="5">
        <f>_xlfn.XLOOKUP(CustomerCombined[[#This Row],[ID]], Table4[ID], Table4[Meats], "Not Found", 0)</f>
        <v>19</v>
      </c>
      <c r="N1707" s="5">
        <f>_xlfn.XLOOKUP(CustomerCombined[[#This Row],[ID]], Table4[ID], Table4[Seafood], "Not Found", 0)</f>
        <v>14</v>
      </c>
      <c r="O1707" s="5">
        <f>_xlfn.XLOOKUP(CustomerCombined[[#This Row],[ID]], Table4[ID], Table4[Sweets], "Not Found", 0)</f>
        <v>19</v>
      </c>
      <c r="P1707" s="5">
        <f>_xlfn.XLOOKUP(CustomerCombined[[#This Row],[ID]], Table4[ID], Table4[Premium], "Not Found", 0)</f>
        <v>28</v>
      </c>
      <c r="Q1707" s="5">
        <f>_xlfn.XLOOKUP(CustomerCombined[[#This Row],[ID]], Table4[ID], Table4[Regular], "Not Found", 0)</f>
        <v>85</v>
      </c>
      <c r="R1707" s="5">
        <f>_xlfn.XLOOKUP(CustomerCombined[[#This Row],[ID]], Table4[ID], Table4[Deals], "Not Found", 0)</f>
        <v>1</v>
      </c>
      <c r="S1707" s="5">
        <f>_xlfn.XLOOKUP(CustomerCombined[[#This Row],[ID]], Table4[ID], Table4[Website], "Not Found", 0)</f>
        <v>1</v>
      </c>
      <c r="T1707" s="5">
        <f>_xlfn.XLOOKUP(CustomerCombined[[#This Row],[ID]], Table4[ID], Table4[Catalog], "Not Found", 0)</f>
        <v>0</v>
      </c>
      <c r="U1707" s="5">
        <f>_xlfn.XLOOKUP(CustomerCombined[[#This Row],[ID]], Table4[ID], Table4[Store], "Not Found", 0)</f>
        <v>3</v>
      </c>
      <c r="V1707" s="5">
        <f>_xlfn.XLOOKUP(CustomerCombined[[#This Row],[ID]], Table4[ID], Table4[Visits], "Not Found", 0)</f>
        <v>6</v>
      </c>
      <c r="W1707" s="8">
        <f>_xlfn.XLOOKUP(CustomerCombined[[#This Row],[ID]], Table2[ID],Table2[Complaint], "Not Found", 0 )</f>
        <v>0</v>
      </c>
      <c r="X1707" s="8">
        <f>_xlfn.XLOOKUP(CustomerCombined[[#This Row],[ID]], Table2[ID],Table2[Pilot], "Not Found", 0 )</f>
        <v>0</v>
      </c>
      <c r="Y1707" s="8">
        <f>_xlfn.XLOOKUP(CustomerCombined[[#This Row],[ID]], Table2[ID],Table2[MC1], "Not Found", 0 )</f>
        <v>0</v>
      </c>
      <c r="Z1707" s="8">
        <f>_xlfn.XLOOKUP(CustomerCombined[[#This Row],[ID]], Table2[ID],Table2[MC2], "Not Found", 0 )</f>
        <v>0</v>
      </c>
      <c r="AA1707" s="8">
        <f>_xlfn.XLOOKUP(CustomerCombined[[#This Row],[ID]], Table2[ID],Table2[MC3], "Not Found", 0 )</f>
        <v>0</v>
      </c>
      <c r="AB1707" s="8">
        <f>_xlfn.XLOOKUP(CustomerCombined[[#This Row],[ID]], Table2[ID],Table2[MC4], "Not Found", 0 )</f>
        <v>0</v>
      </c>
      <c r="AC1707" s="8">
        <f>_xlfn.XLOOKUP(CustomerCombined[[#This Row],[ID]], Table2[ID],Table2[MC5], "Not Found", 0 )</f>
        <v>0</v>
      </c>
    </row>
    <row r="1708" spans="1:29" x14ac:dyDescent="0.3">
      <c r="A1708" s="6">
        <v>1573</v>
      </c>
      <c r="B1708" s="6">
        <v>124221</v>
      </c>
      <c r="C1708" s="6">
        <v>0</v>
      </c>
      <c r="D1708" s="6">
        <v>0</v>
      </c>
      <c r="E1708" s="6">
        <v>61</v>
      </c>
      <c r="F1708" s="5" t="s">
        <v>8</v>
      </c>
      <c r="G1708" s="5" t="s">
        <v>11</v>
      </c>
      <c r="H1708" s="3" t="s">
        <v>197</v>
      </c>
      <c r="I1708" s="5" t="s">
        <v>437</v>
      </c>
      <c r="J1708" s="5">
        <f>_xlfn.XLOOKUP(CustomerCombined[[#This Row],[ID]], Table4[ID], Table4[Recency], "Not Found", 0)</f>
        <v>94</v>
      </c>
      <c r="K1708" s="5">
        <f>_xlfn.XLOOKUP(CustomerCombined[[#This Row],[ID]], Table4[ID], Table4[Teas], "Not Found", 0)</f>
        <v>41</v>
      </c>
      <c r="L1708" s="5">
        <f>_xlfn.XLOOKUP(CustomerCombined[[#This Row],[ID]], Table4[ID], Table4[Fruits], "Not Found", 0)</f>
        <v>46</v>
      </c>
      <c r="M1708" s="5">
        <f>_xlfn.XLOOKUP(CustomerCombined[[#This Row],[ID]], Table4[ID], Table4[Meats], "Not Found", 0)</f>
        <v>46</v>
      </c>
      <c r="N1708" s="5">
        <f>_xlfn.XLOOKUP(CustomerCombined[[#This Row],[ID]], Table4[ID], Table4[Seafood], "Not Found", 0)</f>
        <v>10</v>
      </c>
      <c r="O1708" s="5">
        <f>_xlfn.XLOOKUP(CustomerCombined[[#This Row],[ID]], Table4[ID], Table4[Sweets], "Not Found", 0)</f>
        <v>26</v>
      </c>
      <c r="P1708" s="5">
        <f>_xlfn.XLOOKUP(CustomerCombined[[#This Row],[ID]], Table4[ID], Table4[Premium], "Not Found", 0)</f>
        <v>113</v>
      </c>
      <c r="Q1708" s="5">
        <f>_xlfn.XLOOKUP(CustomerCombined[[#This Row],[ID]], Table4[ID], Table4[Regular], "Not Found", 0)</f>
        <v>56</v>
      </c>
      <c r="R1708" s="5">
        <f>_xlfn.XLOOKUP(CustomerCombined[[#This Row],[ID]], Table4[ID], Table4[Deals], "Not Found", 0)</f>
        <v>1</v>
      </c>
      <c r="S1708" s="5">
        <f>_xlfn.XLOOKUP(CustomerCombined[[#This Row],[ID]], Table4[ID], Table4[Website], "Not Found", 0)</f>
        <v>1</v>
      </c>
      <c r="T1708" s="5">
        <f>_xlfn.XLOOKUP(CustomerCombined[[#This Row],[ID]], Table4[ID], Table4[Catalog], "Not Found", 0)</f>
        <v>1</v>
      </c>
      <c r="U1708" s="5">
        <f>_xlfn.XLOOKUP(CustomerCombined[[#This Row],[ID]], Table4[ID], Table4[Store], "Not Found", 0)</f>
        <v>3</v>
      </c>
      <c r="V1708" s="5">
        <f>_xlfn.XLOOKUP(CustomerCombined[[#This Row],[ID]], Table4[ID], Table4[Visits], "Not Found", 0)</f>
        <v>4</v>
      </c>
      <c r="W1708" s="8">
        <f>_xlfn.XLOOKUP(CustomerCombined[[#This Row],[ID]], Table2[ID],Table2[Complaint], "Not Found", 0 )</f>
        <v>0</v>
      </c>
      <c r="X1708" s="8">
        <f>_xlfn.XLOOKUP(CustomerCombined[[#This Row],[ID]], Table2[ID],Table2[Pilot], "Not Found", 0 )</f>
        <v>0</v>
      </c>
      <c r="Y1708" s="8">
        <f>_xlfn.XLOOKUP(CustomerCombined[[#This Row],[ID]], Table2[ID],Table2[MC1], "Not Found", 0 )</f>
        <v>0</v>
      </c>
      <c r="Z1708" s="8">
        <f>_xlfn.XLOOKUP(CustomerCombined[[#This Row],[ID]], Table2[ID],Table2[MC2], "Not Found", 0 )</f>
        <v>0</v>
      </c>
      <c r="AA1708" s="8">
        <f>_xlfn.XLOOKUP(CustomerCombined[[#This Row],[ID]], Table2[ID],Table2[MC3], "Not Found", 0 )</f>
        <v>0</v>
      </c>
      <c r="AB1708" s="8">
        <f>_xlfn.XLOOKUP(CustomerCombined[[#This Row],[ID]], Table2[ID],Table2[MC4], "Not Found", 0 )</f>
        <v>0</v>
      </c>
      <c r="AC1708" s="8">
        <f>_xlfn.XLOOKUP(CustomerCombined[[#This Row],[ID]], Table2[ID],Table2[MC5], "Not Found", 0 )</f>
        <v>0</v>
      </c>
    </row>
    <row r="1709" spans="1:29" x14ac:dyDescent="0.3">
      <c r="A1709" s="6">
        <v>1429</v>
      </c>
      <c r="B1709" s="6">
        <v>123295</v>
      </c>
      <c r="C1709" s="6">
        <v>0</v>
      </c>
      <c r="D1709" s="6">
        <v>0</v>
      </c>
      <c r="E1709" s="6">
        <v>61</v>
      </c>
      <c r="F1709" s="5" t="s">
        <v>5</v>
      </c>
      <c r="G1709" s="5" t="s">
        <v>11</v>
      </c>
      <c r="H1709" s="3" t="s">
        <v>223</v>
      </c>
      <c r="I1709" s="5" t="s">
        <v>437</v>
      </c>
      <c r="J1709" s="5">
        <f>_xlfn.XLOOKUP(CustomerCombined[[#This Row],[ID]], Table4[ID], Table4[Recency], "Not Found", 0)</f>
        <v>72</v>
      </c>
      <c r="K1709" s="5">
        <f>_xlfn.XLOOKUP(CustomerCombined[[#This Row],[ID]], Table4[ID], Table4[Teas], "Not Found", 0)</f>
        <v>0</v>
      </c>
      <c r="L1709" s="5">
        <f>_xlfn.XLOOKUP(CustomerCombined[[#This Row],[ID]], Table4[ID], Table4[Fruits], "Not Found", 0)</f>
        <v>0</v>
      </c>
      <c r="M1709" s="5">
        <f>_xlfn.XLOOKUP(CustomerCombined[[#This Row],[ID]], Table4[ID], Table4[Meats], "Not Found", 0)</f>
        <v>5</v>
      </c>
      <c r="N1709" s="5">
        <f>_xlfn.XLOOKUP(CustomerCombined[[#This Row],[ID]], Table4[ID], Table4[Seafood], "Not Found", 0)</f>
        <v>11</v>
      </c>
      <c r="O1709" s="5">
        <f>_xlfn.XLOOKUP(CustomerCombined[[#This Row],[ID]], Table4[ID], Table4[Sweets], "Not Found", 0)</f>
        <v>64</v>
      </c>
      <c r="P1709" s="5">
        <f>_xlfn.XLOOKUP(CustomerCombined[[#This Row],[ID]], Table4[ID], Table4[Premium], "Not Found", 0)</f>
        <v>26</v>
      </c>
      <c r="Q1709" s="5">
        <f>_xlfn.XLOOKUP(CustomerCombined[[#This Row],[ID]], Table4[ID], Table4[Regular], "Not Found", 0)</f>
        <v>53</v>
      </c>
      <c r="R1709" s="5">
        <f>_xlfn.XLOOKUP(CustomerCombined[[#This Row],[ID]], Table4[ID], Table4[Deals], "Not Found", 0)</f>
        <v>1</v>
      </c>
      <c r="S1709" s="5">
        <f>_xlfn.XLOOKUP(CustomerCombined[[#This Row],[ID]], Table4[ID], Table4[Website], "Not Found", 0)</f>
        <v>1</v>
      </c>
      <c r="T1709" s="5">
        <f>_xlfn.XLOOKUP(CustomerCombined[[#This Row],[ID]], Table4[ID], Table4[Catalog], "Not Found", 0)</f>
        <v>0</v>
      </c>
      <c r="U1709" s="5">
        <f>_xlfn.XLOOKUP(CustomerCombined[[#This Row],[ID]], Table4[ID], Table4[Store], "Not Found", 0)</f>
        <v>2</v>
      </c>
      <c r="V1709" s="5">
        <f>_xlfn.XLOOKUP(CustomerCombined[[#This Row],[ID]], Table4[ID], Table4[Visits], "Not Found", 0)</f>
        <v>8</v>
      </c>
      <c r="W1709" s="8">
        <f>_xlfn.XLOOKUP(CustomerCombined[[#This Row],[ID]], Table2[ID],Table2[Complaint], "Not Found", 0 )</f>
        <v>0</v>
      </c>
      <c r="X1709" s="8">
        <f>_xlfn.XLOOKUP(CustomerCombined[[#This Row],[ID]], Table2[ID],Table2[Pilot], "Not Found", 0 )</f>
        <v>0</v>
      </c>
      <c r="Y1709" s="8">
        <f>_xlfn.XLOOKUP(CustomerCombined[[#This Row],[ID]], Table2[ID],Table2[MC1], "Not Found", 0 )</f>
        <v>0</v>
      </c>
      <c r="Z1709" s="8">
        <f>_xlfn.XLOOKUP(CustomerCombined[[#This Row],[ID]], Table2[ID],Table2[MC2], "Not Found", 0 )</f>
        <v>0</v>
      </c>
      <c r="AA1709" s="8">
        <f>_xlfn.XLOOKUP(CustomerCombined[[#This Row],[ID]], Table2[ID],Table2[MC3], "Not Found", 0 )</f>
        <v>0</v>
      </c>
      <c r="AB1709" s="8">
        <f>_xlfn.XLOOKUP(CustomerCombined[[#This Row],[ID]], Table2[ID],Table2[MC4], "Not Found", 0 )</f>
        <v>0</v>
      </c>
      <c r="AC1709" s="8">
        <f>_xlfn.XLOOKUP(CustomerCombined[[#This Row],[ID]], Table2[ID],Table2[MC5], "Not Found", 0 )</f>
        <v>0</v>
      </c>
    </row>
    <row r="1710" spans="1:29" x14ac:dyDescent="0.3">
      <c r="A1710" s="6">
        <v>1647</v>
      </c>
      <c r="B1710" s="6">
        <v>118690</v>
      </c>
      <c r="C1710" s="6">
        <v>0</v>
      </c>
      <c r="D1710" s="6">
        <v>0</v>
      </c>
      <c r="E1710" s="6">
        <v>61</v>
      </c>
      <c r="F1710" s="5" t="s">
        <v>6</v>
      </c>
      <c r="G1710" s="5" t="s">
        <v>11</v>
      </c>
      <c r="H1710" s="3">
        <v>43561</v>
      </c>
      <c r="I1710" s="5" t="s">
        <v>435</v>
      </c>
      <c r="J1710" s="5">
        <f>_xlfn.XLOOKUP(CustomerCombined[[#This Row],[ID]], Table4[ID], Table4[Recency], "Not Found", 0)</f>
        <v>77</v>
      </c>
      <c r="K1710" s="5">
        <f>_xlfn.XLOOKUP(CustomerCombined[[#This Row],[ID]], Table4[ID], Table4[Teas], "Not Found", 0)</f>
        <v>38</v>
      </c>
      <c r="L1710" s="5">
        <f>_xlfn.XLOOKUP(CustomerCombined[[#This Row],[ID]], Table4[ID], Table4[Fruits], "Not Found", 0)</f>
        <v>6</v>
      </c>
      <c r="M1710" s="5">
        <f>_xlfn.XLOOKUP(CustomerCombined[[#This Row],[ID]], Table4[ID], Table4[Meats], "Not Found", 0)</f>
        <v>44</v>
      </c>
      <c r="N1710" s="5">
        <f>_xlfn.XLOOKUP(CustomerCombined[[#This Row],[ID]], Table4[ID], Table4[Seafood], "Not Found", 0)</f>
        <v>146</v>
      </c>
      <c r="O1710" s="5">
        <f>_xlfn.XLOOKUP(CustomerCombined[[#This Row],[ID]], Table4[ID], Table4[Sweets], "Not Found", 0)</f>
        <v>25</v>
      </c>
      <c r="P1710" s="5">
        <f>_xlfn.XLOOKUP(CustomerCombined[[#This Row],[ID]], Table4[ID], Table4[Premium], "Not Found", 0)</f>
        <v>121</v>
      </c>
      <c r="Q1710" s="5">
        <f>_xlfn.XLOOKUP(CustomerCombined[[#This Row],[ID]], Table4[ID], Table4[Regular], "Not Found", 0)</f>
        <v>140</v>
      </c>
      <c r="R1710" s="5">
        <f>_xlfn.XLOOKUP(CustomerCombined[[#This Row],[ID]], Table4[ID], Table4[Deals], "Not Found", 0)</f>
        <v>1</v>
      </c>
      <c r="S1710" s="5">
        <f>_xlfn.XLOOKUP(CustomerCombined[[#This Row],[ID]], Table4[ID], Table4[Website], "Not Found", 0)</f>
        <v>1</v>
      </c>
      <c r="T1710" s="5">
        <f>_xlfn.XLOOKUP(CustomerCombined[[#This Row],[ID]], Table4[ID], Table4[Catalog], "Not Found", 0)</f>
        <v>1</v>
      </c>
      <c r="U1710" s="5">
        <f>_xlfn.XLOOKUP(CustomerCombined[[#This Row],[ID]], Table4[ID], Table4[Store], "Not Found", 0)</f>
        <v>2</v>
      </c>
      <c r="V1710" s="5">
        <f>_xlfn.XLOOKUP(CustomerCombined[[#This Row],[ID]], Table4[ID], Table4[Visits], "Not Found", 0)</f>
        <v>8</v>
      </c>
      <c r="W1710" s="8">
        <f>_xlfn.XLOOKUP(CustomerCombined[[#This Row],[ID]], Table2[ID],Table2[Complaint], "Not Found", 0 )</f>
        <v>0</v>
      </c>
      <c r="X1710" s="8">
        <f>_xlfn.XLOOKUP(CustomerCombined[[#This Row],[ID]], Table2[ID],Table2[Pilot], "Not Found", 0 )</f>
        <v>0</v>
      </c>
      <c r="Y1710" s="8">
        <f>_xlfn.XLOOKUP(CustomerCombined[[#This Row],[ID]], Table2[ID],Table2[MC1], "Not Found", 0 )</f>
        <v>0</v>
      </c>
      <c r="Z1710" s="8">
        <f>_xlfn.XLOOKUP(CustomerCombined[[#This Row],[ID]], Table2[ID],Table2[MC2], "Not Found", 0 )</f>
        <v>0</v>
      </c>
      <c r="AA1710" s="8">
        <f>_xlfn.XLOOKUP(CustomerCombined[[#This Row],[ID]], Table2[ID],Table2[MC3], "Not Found", 0 )</f>
        <v>0</v>
      </c>
      <c r="AB1710" s="8">
        <f>_xlfn.XLOOKUP(CustomerCombined[[#This Row],[ID]], Table2[ID],Table2[MC4], "Not Found", 0 )</f>
        <v>0</v>
      </c>
      <c r="AC1710" s="8">
        <f>_xlfn.XLOOKUP(CustomerCombined[[#This Row],[ID]], Table2[ID],Table2[MC5], "Not Found", 0 )</f>
        <v>0</v>
      </c>
    </row>
    <row r="1711" spans="1:29" x14ac:dyDescent="0.3">
      <c r="A1711" s="6">
        <v>2400</v>
      </c>
      <c r="B1711" s="6">
        <v>118690</v>
      </c>
      <c r="C1711" s="6">
        <v>0</v>
      </c>
      <c r="D1711" s="6">
        <v>0</v>
      </c>
      <c r="E1711" s="6">
        <v>61</v>
      </c>
      <c r="F1711" s="5" t="s">
        <v>6</v>
      </c>
      <c r="G1711" s="5" t="s">
        <v>11</v>
      </c>
      <c r="H1711" s="3">
        <v>43561</v>
      </c>
      <c r="I1711" s="5" t="s">
        <v>436</v>
      </c>
      <c r="J1711" s="5">
        <f>_xlfn.XLOOKUP(CustomerCombined[[#This Row],[ID]], Table4[ID], Table4[Recency], "Not Found", 0)</f>
        <v>77</v>
      </c>
      <c r="K1711" s="5">
        <f>_xlfn.XLOOKUP(CustomerCombined[[#This Row],[ID]], Table4[ID], Table4[Teas], "Not Found", 0)</f>
        <v>38</v>
      </c>
      <c r="L1711" s="5">
        <f>_xlfn.XLOOKUP(CustomerCombined[[#This Row],[ID]], Table4[ID], Table4[Fruits], "Not Found", 0)</f>
        <v>6</v>
      </c>
      <c r="M1711" s="5">
        <f>_xlfn.XLOOKUP(CustomerCombined[[#This Row],[ID]], Table4[ID], Table4[Meats], "Not Found", 0)</f>
        <v>44</v>
      </c>
      <c r="N1711" s="5">
        <f>_xlfn.XLOOKUP(CustomerCombined[[#This Row],[ID]], Table4[ID], Table4[Seafood], "Not Found", 0)</f>
        <v>146</v>
      </c>
      <c r="O1711" s="5">
        <f>_xlfn.XLOOKUP(CustomerCombined[[#This Row],[ID]], Table4[ID], Table4[Sweets], "Not Found", 0)</f>
        <v>25</v>
      </c>
      <c r="P1711" s="5">
        <f>_xlfn.XLOOKUP(CustomerCombined[[#This Row],[ID]], Table4[ID], Table4[Premium], "Not Found", 0)</f>
        <v>121</v>
      </c>
      <c r="Q1711" s="5">
        <f>_xlfn.XLOOKUP(CustomerCombined[[#This Row],[ID]], Table4[ID], Table4[Regular], "Not Found", 0)</f>
        <v>140</v>
      </c>
      <c r="R1711" s="5">
        <f>_xlfn.XLOOKUP(CustomerCombined[[#This Row],[ID]], Table4[ID], Table4[Deals], "Not Found", 0)</f>
        <v>1</v>
      </c>
      <c r="S1711" s="5">
        <f>_xlfn.XLOOKUP(CustomerCombined[[#This Row],[ID]], Table4[ID], Table4[Website], "Not Found", 0)</f>
        <v>1</v>
      </c>
      <c r="T1711" s="5">
        <f>_xlfn.XLOOKUP(CustomerCombined[[#This Row],[ID]], Table4[ID], Table4[Catalog], "Not Found", 0)</f>
        <v>1</v>
      </c>
      <c r="U1711" s="5">
        <f>_xlfn.XLOOKUP(CustomerCombined[[#This Row],[ID]], Table4[ID], Table4[Store], "Not Found", 0)</f>
        <v>2</v>
      </c>
      <c r="V1711" s="5">
        <f>_xlfn.XLOOKUP(CustomerCombined[[#This Row],[ID]], Table4[ID], Table4[Visits], "Not Found", 0)</f>
        <v>8</v>
      </c>
      <c r="W1711" s="8">
        <f>_xlfn.XLOOKUP(CustomerCombined[[#This Row],[ID]], Table2[ID],Table2[Complaint], "Not Found", 0 )</f>
        <v>0</v>
      </c>
      <c r="X1711" s="8">
        <f>_xlfn.XLOOKUP(CustomerCombined[[#This Row],[ID]], Table2[ID],Table2[Pilot], "Not Found", 0 )</f>
        <v>0</v>
      </c>
      <c r="Y1711" s="8">
        <f>_xlfn.XLOOKUP(CustomerCombined[[#This Row],[ID]], Table2[ID],Table2[MC1], "Not Found", 0 )</f>
        <v>0</v>
      </c>
      <c r="Z1711" s="8">
        <f>_xlfn.XLOOKUP(CustomerCombined[[#This Row],[ID]], Table2[ID],Table2[MC2], "Not Found", 0 )</f>
        <v>0</v>
      </c>
      <c r="AA1711" s="8">
        <f>_xlfn.XLOOKUP(CustomerCombined[[#This Row],[ID]], Table2[ID],Table2[MC3], "Not Found", 0 )</f>
        <v>0</v>
      </c>
      <c r="AB1711" s="8">
        <f>_xlfn.XLOOKUP(CustomerCombined[[#This Row],[ID]], Table2[ID],Table2[MC4], "Not Found", 0 )</f>
        <v>0</v>
      </c>
      <c r="AC1711" s="8">
        <f>_xlfn.XLOOKUP(CustomerCombined[[#This Row],[ID]], Table2[ID],Table2[MC5], "Not Found", 0 )</f>
        <v>0</v>
      </c>
    </row>
    <row r="1712" spans="1:29" x14ac:dyDescent="0.3">
      <c r="A1712" s="6">
        <v>2706</v>
      </c>
      <c r="B1712" s="6">
        <v>118690</v>
      </c>
      <c r="C1712" s="6">
        <v>0</v>
      </c>
      <c r="D1712" s="6">
        <v>0</v>
      </c>
      <c r="E1712" s="6">
        <v>61</v>
      </c>
      <c r="F1712" s="5" t="s">
        <v>6</v>
      </c>
      <c r="G1712" s="5" t="s">
        <v>11</v>
      </c>
      <c r="H1712" s="3">
        <v>43561</v>
      </c>
      <c r="I1712" s="5" t="s">
        <v>436</v>
      </c>
      <c r="J1712" s="5">
        <f>_xlfn.XLOOKUP(CustomerCombined[[#This Row],[ID]], Table4[ID], Table4[Recency], "Not Found", 0)</f>
        <v>77</v>
      </c>
      <c r="K1712" s="5">
        <f>_xlfn.XLOOKUP(CustomerCombined[[#This Row],[ID]], Table4[ID], Table4[Teas], "Not Found", 0)</f>
        <v>38</v>
      </c>
      <c r="L1712" s="5">
        <f>_xlfn.XLOOKUP(CustomerCombined[[#This Row],[ID]], Table4[ID], Table4[Fruits], "Not Found", 0)</f>
        <v>6</v>
      </c>
      <c r="M1712" s="5">
        <f>_xlfn.XLOOKUP(CustomerCombined[[#This Row],[ID]], Table4[ID], Table4[Meats], "Not Found", 0)</f>
        <v>44</v>
      </c>
      <c r="N1712" s="5">
        <f>_xlfn.XLOOKUP(CustomerCombined[[#This Row],[ID]], Table4[ID], Table4[Seafood], "Not Found", 0)</f>
        <v>146</v>
      </c>
      <c r="O1712" s="5">
        <f>_xlfn.XLOOKUP(CustomerCombined[[#This Row],[ID]], Table4[ID], Table4[Sweets], "Not Found", 0)</f>
        <v>25</v>
      </c>
      <c r="P1712" s="5">
        <f>_xlfn.XLOOKUP(CustomerCombined[[#This Row],[ID]], Table4[ID], Table4[Premium], "Not Found", 0)</f>
        <v>121</v>
      </c>
      <c r="Q1712" s="5">
        <f>_xlfn.XLOOKUP(CustomerCombined[[#This Row],[ID]], Table4[ID], Table4[Regular], "Not Found", 0)</f>
        <v>140</v>
      </c>
      <c r="R1712" s="5">
        <f>_xlfn.XLOOKUP(CustomerCombined[[#This Row],[ID]], Table4[ID], Table4[Deals], "Not Found", 0)</f>
        <v>1</v>
      </c>
      <c r="S1712" s="5">
        <f>_xlfn.XLOOKUP(CustomerCombined[[#This Row],[ID]], Table4[ID], Table4[Website], "Not Found", 0)</f>
        <v>1</v>
      </c>
      <c r="T1712" s="5">
        <f>_xlfn.XLOOKUP(CustomerCombined[[#This Row],[ID]], Table4[ID], Table4[Catalog], "Not Found", 0)</f>
        <v>1</v>
      </c>
      <c r="U1712" s="5">
        <f>_xlfn.XLOOKUP(CustomerCombined[[#This Row],[ID]], Table4[ID], Table4[Store], "Not Found", 0)</f>
        <v>2</v>
      </c>
      <c r="V1712" s="5">
        <f>_xlfn.XLOOKUP(CustomerCombined[[#This Row],[ID]], Table4[ID], Table4[Visits], "Not Found", 0)</f>
        <v>8</v>
      </c>
      <c r="W1712" s="8">
        <f>_xlfn.XLOOKUP(CustomerCombined[[#This Row],[ID]], Table2[ID],Table2[Complaint], "Not Found", 0 )</f>
        <v>0</v>
      </c>
      <c r="X1712" s="8">
        <f>_xlfn.XLOOKUP(CustomerCombined[[#This Row],[ID]], Table2[ID],Table2[Pilot], "Not Found", 0 )</f>
        <v>0</v>
      </c>
      <c r="Y1712" s="8">
        <f>_xlfn.XLOOKUP(CustomerCombined[[#This Row],[ID]], Table2[ID],Table2[MC1], "Not Found", 0 )</f>
        <v>0</v>
      </c>
      <c r="Z1712" s="8">
        <f>_xlfn.XLOOKUP(CustomerCombined[[#This Row],[ID]], Table2[ID],Table2[MC2], "Not Found", 0 )</f>
        <v>0</v>
      </c>
      <c r="AA1712" s="8">
        <f>_xlfn.XLOOKUP(CustomerCombined[[#This Row],[ID]], Table2[ID],Table2[MC3], "Not Found", 0 )</f>
        <v>0</v>
      </c>
      <c r="AB1712" s="8">
        <f>_xlfn.XLOOKUP(CustomerCombined[[#This Row],[ID]], Table2[ID],Table2[MC4], "Not Found", 0 )</f>
        <v>0</v>
      </c>
      <c r="AC1712" s="8">
        <f>_xlfn.XLOOKUP(CustomerCombined[[#This Row],[ID]], Table2[ID],Table2[MC5], "Not Found", 0 )</f>
        <v>0</v>
      </c>
    </row>
    <row r="1713" spans="1:29" x14ac:dyDescent="0.3">
      <c r="A1713" s="6">
        <v>2968</v>
      </c>
      <c r="B1713" s="6">
        <v>194472</v>
      </c>
      <c r="C1713" s="6">
        <v>0</v>
      </c>
      <c r="D1713" s="6">
        <v>1</v>
      </c>
      <c r="E1713" s="6">
        <v>62</v>
      </c>
      <c r="F1713" s="5" t="s">
        <v>7</v>
      </c>
      <c r="G1713" s="5" t="s">
        <v>11</v>
      </c>
      <c r="H1713" s="3">
        <v>44021</v>
      </c>
      <c r="I1713" s="5" t="s">
        <v>439</v>
      </c>
      <c r="J1713" s="5">
        <f>_xlfn.XLOOKUP(CustomerCombined[[#This Row],[ID]], Table4[ID], Table4[Recency], "Not Found", 0)</f>
        <v>75</v>
      </c>
      <c r="K1713" s="5">
        <f>_xlfn.XLOOKUP(CustomerCombined[[#This Row],[ID]], Table4[ID], Table4[Teas], "Not Found", 0)</f>
        <v>2094</v>
      </c>
      <c r="L1713" s="5">
        <f>_xlfn.XLOOKUP(CustomerCombined[[#This Row],[ID]], Table4[ID], Table4[Fruits], "Not Found", 0)</f>
        <v>68</v>
      </c>
      <c r="M1713" s="5">
        <f>_xlfn.XLOOKUP(CustomerCombined[[#This Row],[ID]], Table4[ID], Table4[Meats], "Not Found", 0)</f>
        <v>858</v>
      </c>
      <c r="N1713" s="5">
        <f>_xlfn.XLOOKUP(CustomerCombined[[#This Row],[ID]], Table4[ID], Table4[Seafood], "Not Found", 0)</f>
        <v>222</v>
      </c>
      <c r="O1713" s="5">
        <f>_xlfn.XLOOKUP(CustomerCombined[[#This Row],[ID]], Table4[ID], Table4[Sweets], "Not Found", 0)</f>
        <v>206</v>
      </c>
      <c r="P1713" s="5">
        <f>_xlfn.XLOOKUP(CustomerCombined[[#This Row],[ID]], Table4[ID], Table4[Premium], "Not Found", 0)</f>
        <v>33</v>
      </c>
      <c r="Q1713" s="5">
        <f>_xlfn.XLOOKUP(CustomerCombined[[#This Row],[ID]], Table4[ID], Table4[Regular], "Not Found", 0)</f>
        <v>3415</v>
      </c>
      <c r="R1713" s="5">
        <f>_xlfn.XLOOKUP(CustomerCombined[[#This Row],[ID]], Table4[ID], Table4[Deals], "Not Found", 0)</f>
        <v>1</v>
      </c>
      <c r="S1713" s="5">
        <f>_xlfn.XLOOKUP(CustomerCombined[[#This Row],[ID]], Table4[ID], Table4[Website], "Not Found", 0)</f>
        <v>5</v>
      </c>
      <c r="T1713" s="5">
        <f>_xlfn.XLOOKUP(CustomerCombined[[#This Row],[ID]], Table4[ID], Table4[Catalog], "Not Found", 0)</f>
        <v>5</v>
      </c>
      <c r="U1713" s="5">
        <f>_xlfn.XLOOKUP(CustomerCombined[[#This Row],[ID]], Table4[ID], Table4[Store], "Not Found", 0)</f>
        <v>5</v>
      </c>
      <c r="V1713" s="5">
        <f>_xlfn.XLOOKUP(CustomerCombined[[#This Row],[ID]], Table4[ID], Table4[Visits], "Not Found", 0)</f>
        <v>5</v>
      </c>
      <c r="W1713" s="8">
        <f>_xlfn.XLOOKUP(CustomerCombined[[#This Row],[ID]], Table2[ID],Table2[Complaint], "Not Found", 0 )</f>
        <v>0</v>
      </c>
      <c r="X1713" s="8">
        <f>_xlfn.XLOOKUP(CustomerCombined[[#This Row],[ID]], Table2[ID],Table2[Pilot], "Not Found", 0 )</f>
        <v>0</v>
      </c>
      <c r="Y1713" s="8">
        <f>_xlfn.XLOOKUP(CustomerCombined[[#This Row],[ID]], Table2[ID],Table2[MC1], "Not Found", 0 )</f>
        <v>0</v>
      </c>
      <c r="Z1713" s="8">
        <f>_xlfn.XLOOKUP(CustomerCombined[[#This Row],[ID]], Table2[ID],Table2[MC2], "Not Found", 0 )</f>
        <v>0</v>
      </c>
      <c r="AA1713" s="8">
        <f>_xlfn.XLOOKUP(CustomerCombined[[#This Row],[ID]], Table2[ID],Table2[MC3], "Not Found", 0 )</f>
        <v>0</v>
      </c>
      <c r="AB1713" s="8">
        <f>_xlfn.XLOOKUP(CustomerCombined[[#This Row],[ID]], Table2[ID],Table2[MC4], "Not Found", 0 )</f>
        <v>1</v>
      </c>
      <c r="AC1713" s="8">
        <f>_xlfn.XLOOKUP(CustomerCombined[[#This Row],[ID]], Table2[ID],Table2[MC5], "Not Found", 0 )</f>
        <v>1</v>
      </c>
    </row>
    <row r="1714" spans="1:29" x14ac:dyDescent="0.3">
      <c r="A1714" s="6">
        <v>2250</v>
      </c>
      <c r="B1714" s="6">
        <v>185485</v>
      </c>
      <c r="C1714" s="6">
        <v>0</v>
      </c>
      <c r="D1714" s="6">
        <v>0</v>
      </c>
      <c r="E1714" s="6">
        <v>62</v>
      </c>
      <c r="F1714" s="5" t="s">
        <v>7</v>
      </c>
      <c r="G1714" s="5" t="s">
        <v>442</v>
      </c>
      <c r="H1714" s="3" t="s">
        <v>28</v>
      </c>
      <c r="I1714" s="5" t="s">
        <v>436</v>
      </c>
      <c r="J1714" s="5">
        <f>_xlfn.XLOOKUP(CustomerCombined[[#This Row],[ID]], Table4[ID], Table4[Recency], "Not Found", 0)</f>
        <v>73</v>
      </c>
      <c r="K1714" s="5">
        <f>_xlfn.XLOOKUP(CustomerCombined[[#This Row],[ID]], Table4[ID], Table4[Teas], "Not Found", 0)</f>
        <v>1367</v>
      </c>
      <c r="L1714" s="5">
        <f>_xlfn.XLOOKUP(CustomerCombined[[#This Row],[ID]], Table4[ID], Table4[Fruits], "Not Found", 0)</f>
        <v>56</v>
      </c>
      <c r="M1714" s="5">
        <f>_xlfn.XLOOKUP(CustomerCombined[[#This Row],[ID]], Table4[ID], Table4[Meats], "Not Found", 0)</f>
        <v>1326</v>
      </c>
      <c r="N1714" s="5">
        <f>_xlfn.XLOOKUP(CustomerCombined[[#This Row],[ID]], Table4[ID], Table4[Seafood], "Not Found", 0)</f>
        <v>95</v>
      </c>
      <c r="O1714" s="5">
        <f>_xlfn.XLOOKUP(CustomerCombined[[#This Row],[ID]], Table4[ID], Table4[Sweets], "Not Found", 0)</f>
        <v>39</v>
      </c>
      <c r="P1714" s="5">
        <f>_xlfn.XLOOKUP(CustomerCombined[[#This Row],[ID]], Table4[ID], Table4[Premium], "Not Found", 0)</f>
        <v>117</v>
      </c>
      <c r="Q1714" s="5">
        <f>_xlfn.XLOOKUP(CustomerCombined[[#This Row],[ID]], Table4[ID], Table4[Regular], "Not Found", 0)</f>
        <v>2766</v>
      </c>
      <c r="R1714" s="5">
        <f>_xlfn.XLOOKUP(CustomerCombined[[#This Row],[ID]], Table4[ID], Table4[Deals], "Not Found", 0)</f>
        <v>1</v>
      </c>
      <c r="S1714" s="5">
        <f>_xlfn.XLOOKUP(CustomerCombined[[#This Row],[ID]], Table4[ID], Table4[Website], "Not Found", 0)</f>
        <v>6</v>
      </c>
      <c r="T1714" s="5">
        <f>_xlfn.XLOOKUP(CustomerCombined[[#This Row],[ID]], Table4[ID], Table4[Catalog], "Not Found", 0)</f>
        <v>6</v>
      </c>
      <c r="U1714" s="5">
        <f>_xlfn.XLOOKUP(CustomerCombined[[#This Row],[ID]], Table4[ID], Table4[Store], "Not Found", 0)</f>
        <v>6</v>
      </c>
      <c r="V1714" s="5">
        <f>_xlfn.XLOOKUP(CustomerCombined[[#This Row],[ID]], Table4[ID], Table4[Visits], "Not Found", 0)</f>
        <v>2</v>
      </c>
      <c r="W1714" s="8">
        <f>_xlfn.XLOOKUP(CustomerCombined[[#This Row],[ID]], Table2[ID],Table2[Complaint], "Not Found", 0 )</f>
        <v>0</v>
      </c>
      <c r="X1714" s="8">
        <f>_xlfn.XLOOKUP(CustomerCombined[[#This Row],[ID]], Table2[ID],Table2[Pilot], "Not Found", 0 )</f>
        <v>0</v>
      </c>
      <c r="Y1714" s="8">
        <f>_xlfn.XLOOKUP(CustomerCombined[[#This Row],[ID]], Table2[ID],Table2[MC1], "Not Found", 0 )</f>
        <v>0</v>
      </c>
      <c r="Z1714" s="8">
        <f>_xlfn.XLOOKUP(CustomerCombined[[#This Row],[ID]], Table2[ID],Table2[MC2], "Not Found", 0 )</f>
        <v>0</v>
      </c>
      <c r="AA1714" s="8">
        <f>_xlfn.XLOOKUP(CustomerCombined[[#This Row],[ID]], Table2[ID],Table2[MC3], "Not Found", 0 )</f>
        <v>0</v>
      </c>
      <c r="AB1714" s="8">
        <f>_xlfn.XLOOKUP(CustomerCombined[[#This Row],[ID]], Table2[ID],Table2[MC4], "Not Found", 0 )</f>
        <v>0</v>
      </c>
      <c r="AC1714" s="8">
        <f>_xlfn.XLOOKUP(CustomerCombined[[#This Row],[ID]], Table2[ID],Table2[MC5], "Not Found", 0 )</f>
        <v>0</v>
      </c>
    </row>
    <row r="1715" spans="1:29" x14ac:dyDescent="0.3">
      <c r="A1715" s="6">
        <v>2068</v>
      </c>
      <c r="B1715" s="6">
        <v>184460</v>
      </c>
      <c r="C1715" s="6">
        <v>0</v>
      </c>
      <c r="D1715" s="6">
        <v>0</v>
      </c>
      <c r="E1715" s="6">
        <v>62</v>
      </c>
      <c r="F1715" s="5" t="s">
        <v>8</v>
      </c>
      <c r="G1715" s="5" t="s">
        <v>13</v>
      </c>
      <c r="H1715" s="3">
        <v>43775</v>
      </c>
      <c r="I1715" s="5" t="s">
        <v>439</v>
      </c>
      <c r="J1715" s="5">
        <f>_xlfn.XLOOKUP(CustomerCombined[[#This Row],[ID]], Table4[ID], Table4[Recency], "Not Found", 0)</f>
        <v>80</v>
      </c>
      <c r="K1715" s="5">
        <f>_xlfn.XLOOKUP(CustomerCombined[[#This Row],[ID]], Table4[ID], Table4[Teas], "Not Found", 0)</f>
        <v>332</v>
      </c>
      <c r="L1715" s="5">
        <f>_xlfn.XLOOKUP(CustomerCombined[[#This Row],[ID]], Table4[ID], Table4[Fruits], "Not Found", 0)</f>
        <v>59</v>
      </c>
      <c r="M1715" s="5">
        <f>_xlfn.XLOOKUP(CustomerCombined[[#This Row],[ID]], Table4[ID], Table4[Meats], "Not Found", 0)</f>
        <v>225</v>
      </c>
      <c r="N1715" s="5">
        <f>_xlfn.XLOOKUP(CustomerCombined[[#This Row],[ID]], Table4[ID], Table4[Seafood], "Not Found", 0)</f>
        <v>232</v>
      </c>
      <c r="O1715" s="5">
        <f>_xlfn.XLOOKUP(CustomerCombined[[#This Row],[ID]], Table4[ID], Table4[Sweets], "Not Found", 0)</f>
        <v>118</v>
      </c>
      <c r="P1715" s="5">
        <f>_xlfn.XLOOKUP(CustomerCombined[[#This Row],[ID]], Table4[ID], Table4[Premium], "Not Found", 0)</f>
        <v>177</v>
      </c>
      <c r="Q1715" s="5">
        <f>_xlfn.XLOOKUP(CustomerCombined[[#This Row],[ID]], Table4[ID], Table4[Regular], "Not Found", 0)</f>
        <v>788</v>
      </c>
      <c r="R1715" s="5">
        <f>_xlfn.XLOOKUP(CustomerCombined[[#This Row],[ID]], Table4[ID], Table4[Deals], "Not Found", 0)</f>
        <v>0</v>
      </c>
      <c r="S1715" s="5">
        <f>_xlfn.XLOOKUP(CustomerCombined[[#This Row],[ID]], Table4[ID], Table4[Website], "Not Found", 0)</f>
        <v>9</v>
      </c>
      <c r="T1715" s="5">
        <f>_xlfn.XLOOKUP(CustomerCombined[[#This Row],[ID]], Table4[ID], Table4[Catalog], "Not Found", 0)</f>
        <v>9</v>
      </c>
      <c r="U1715" s="5">
        <f>_xlfn.XLOOKUP(CustomerCombined[[#This Row],[ID]], Table4[ID], Table4[Store], "Not Found", 0)</f>
        <v>4</v>
      </c>
      <c r="V1715" s="5">
        <f>_xlfn.XLOOKUP(CustomerCombined[[#This Row],[ID]], Table4[ID], Table4[Visits], "Not Found", 0)</f>
        <v>5</v>
      </c>
      <c r="W1715" s="8">
        <f>_xlfn.XLOOKUP(CustomerCombined[[#This Row],[ID]], Table2[ID],Table2[Complaint], "Not Found", 0 )</f>
        <v>0</v>
      </c>
      <c r="X1715" s="8">
        <f>_xlfn.XLOOKUP(CustomerCombined[[#This Row],[ID]], Table2[ID],Table2[Pilot], "Not Found", 0 )</f>
        <v>1</v>
      </c>
      <c r="Y1715" s="8">
        <f>_xlfn.XLOOKUP(CustomerCombined[[#This Row],[ID]], Table2[ID],Table2[MC1], "Not Found", 0 )</f>
        <v>1</v>
      </c>
      <c r="Z1715" s="8">
        <f>_xlfn.XLOOKUP(CustomerCombined[[#This Row],[ID]], Table2[ID],Table2[MC2], "Not Found", 0 )</f>
        <v>1</v>
      </c>
      <c r="AA1715" s="8">
        <f>_xlfn.XLOOKUP(CustomerCombined[[#This Row],[ID]], Table2[ID],Table2[MC3], "Not Found", 0 )</f>
        <v>0</v>
      </c>
      <c r="AB1715" s="8">
        <f>_xlfn.XLOOKUP(CustomerCombined[[#This Row],[ID]], Table2[ID],Table2[MC4], "Not Found", 0 )</f>
        <v>1</v>
      </c>
      <c r="AC1715" s="8">
        <f>_xlfn.XLOOKUP(CustomerCombined[[#This Row],[ID]], Table2[ID],Table2[MC5], "Not Found", 0 )</f>
        <v>1</v>
      </c>
    </row>
    <row r="1716" spans="1:29" x14ac:dyDescent="0.3">
      <c r="A1716" s="6">
        <v>1881</v>
      </c>
      <c r="B1716" s="6">
        <v>181320</v>
      </c>
      <c r="C1716" s="6">
        <v>0</v>
      </c>
      <c r="D1716" s="6">
        <v>0</v>
      </c>
      <c r="E1716" s="6">
        <v>62</v>
      </c>
      <c r="F1716" s="5" t="s">
        <v>6</v>
      </c>
      <c r="G1716" s="5" t="s">
        <v>11</v>
      </c>
      <c r="H1716" s="3" t="s">
        <v>317</v>
      </c>
      <c r="I1716" s="5" t="s">
        <v>435</v>
      </c>
      <c r="J1716" s="5">
        <f>_xlfn.XLOOKUP(CustomerCombined[[#This Row],[ID]], Table4[ID], Table4[Recency], "Not Found", 0)</f>
        <v>61</v>
      </c>
      <c r="K1716" s="5">
        <f>_xlfn.XLOOKUP(CustomerCombined[[#This Row],[ID]], Table4[ID], Table4[Teas], "Not Found", 0)</f>
        <v>408</v>
      </c>
      <c r="L1716" s="5">
        <f>_xlfn.XLOOKUP(CustomerCombined[[#This Row],[ID]], Table4[ID], Table4[Fruits], "Not Found", 0)</f>
        <v>74</v>
      </c>
      <c r="M1716" s="5">
        <f>_xlfn.XLOOKUP(CustomerCombined[[#This Row],[ID]], Table4[ID], Table4[Meats], "Not Found", 0)</f>
        <v>1099</v>
      </c>
      <c r="N1716" s="5">
        <f>_xlfn.XLOOKUP(CustomerCombined[[#This Row],[ID]], Table4[ID], Table4[Seafood], "Not Found", 0)</f>
        <v>132</v>
      </c>
      <c r="O1716" s="5">
        <f>_xlfn.XLOOKUP(CustomerCombined[[#This Row],[ID]], Table4[ID], Table4[Sweets], "Not Found", 0)</f>
        <v>230</v>
      </c>
      <c r="P1716" s="5">
        <f>_xlfn.XLOOKUP(CustomerCombined[[#This Row],[ID]], Table4[ID], Table4[Premium], "Not Found", 0)</f>
        <v>127</v>
      </c>
      <c r="Q1716" s="5">
        <f>_xlfn.XLOOKUP(CustomerCombined[[#This Row],[ID]], Table4[ID], Table4[Regular], "Not Found", 0)</f>
        <v>1815</v>
      </c>
      <c r="R1716" s="5">
        <f>_xlfn.XLOOKUP(CustomerCombined[[#This Row],[ID]], Table4[ID], Table4[Deals], "Not Found", 0)</f>
        <v>1</v>
      </c>
      <c r="S1716" s="5">
        <f>_xlfn.XLOOKUP(CustomerCombined[[#This Row],[ID]], Table4[ID], Table4[Website], "Not Found", 0)</f>
        <v>4</v>
      </c>
      <c r="T1716" s="5">
        <f>_xlfn.XLOOKUP(CustomerCombined[[#This Row],[ID]], Table4[ID], Table4[Catalog], "Not Found", 0)</f>
        <v>3</v>
      </c>
      <c r="U1716" s="5">
        <f>_xlfn.XLOOKUP(CustomerCombined[[#This Row],[ID]], Table4[ID], Table4[Store], "Not Found", 0)</f>
        <v>10</v>
      </c>
      <c r="V1716" s="5">
        <f>_xlfn.XLOOKUP(CustomerCombined[[#This Row],[ID]], Table4[ID], Table4[Visits], "Not Found", 0)</f>
        <v>2</v>
      </c>
      <c r="W1716" s="8">
        <f>_xlfn.XLOOKUP(CustomerCombined[[#This Row],[ID]], Table2[ID],Table2[Complaint], "Not Found", 0 )</f>
        <v>0</v>
      </c>
      <c r="X1716" s="8">
        <f>_xlfn.XLOOKUP(CustomerCombined[[#This Row],[ID]], Table2[ID],Table2[Pilot], "Not Found", 0 )</f>
        <v>0</v>
      </c>
      <c r="Y1716" s="8">
        <f>_xlfn.XLOOKUP(CustomerCombined[[#This Row],[ID]], Table2[ID],Table2[MC1], "Not Found", 0 )</f>
        <v>0</v>
      </c>
      <c r="Z1716" s="8">
        <f>_xlfn.XLOOKUP(CustomerCombined[[#This Row],[ID]], Table2[ID],Table2[MC2], "Not Found", 0 )</f>
        <v>0</v>
      </c>
      <c r="AA1716" s="8">
        <f>_xlfn.XLOOKUP(CustomerCombined[[#This Row],[ID]], Table2[ID],Table2[MC3], "Not Found", 0 )</f>
        <v>0</v>
      </c>
      <c r="AB1716" s="8">
        <f>_xlfn.XLOOKUP(CustomerCombined[[#This Row],[ID]], Table2[ID],Table2[MC4], "Not Found", 0 )</f>
        <v>0</v>
      </c>
      <c r="AC1716" s="8">
        <f>_xlfn.XLOOKUP(CustomerCombined[[#This Row],[ID]], Table2[ID],Table2[MC5], "Not Found", 0 )</f>
        <v>0</v>
      </c>
    </row>
    <row r="1717" spans="1:29" x14ac:dyDescent="0.3">
      <c r="A1717" s="6">
        <v>1809</v>
      </c>
      <c r="B1717" s="6">
        <v>180995</v>
      </c>
      <c r="C1717" s="6">
        <v>0</v>
      </c>
      <c r="D1717" s="6">
        <v>1</v>
      </c>
      <c r="E1717" s="6">
        <v>62</v>
      </c>
      <c r="F1717" s="5" t="s">
        <v>9</v>
      </c>
      <c r="G1717" s="5" t="s">
        <v>13</v>
      </c>
      <c r="H1717" s="3" t="s">
        <v>260</v>
      </c>
      <c r="I1717" s="5" t="s">
        <v>435</v>
      </c>
      <c r="J1717" s="5">
        <f>_xlfn.XLOOKUP(CustomerCombined[[#This Row],[ID]], Table4[ID], Table4[Recency], "Not Found", 0)</f>
        <v>83</v>
      </c>
      <c r="K1717" s="5">
        <f>_xlfn.XLOOKUP(CustomerCombined[[#This Row],[ID]], Table4[ID], Table4[Teas], "Not Found", 0)</f>
        <v>1922</v>
      </c>
      <c r="L1717" s="5">
        <f>_xlfn.XLOOKUP(CustomerCombined[[#This Row],[ID]], Table4[ID], Table4[Fruits], "Not Found", 0)</f>
        <v>63</v>
      </c>
      <c r="M1717" s="5">
        <f>_xlfn.XLOOKUP(CustomerCombined[[#This Row],[ID]], Table4[ID], Table4[Meats], "Not Found", 0)</f>
        <v>914</v>
      </c>
      <c r="N1717" s="5">
        <f>_xlfn.XLOOKUP(CustomerCombined[[#This Row],[ID]], Table4[ID], Table4[Seafood], "Not Found", 0)</f>
        <v>163</v>
      </c>
      <c r="O1717" s="5">
        <f>_xlfn.XLOOKUP(CustomerCombined[[#This Row],[ID]], Table4[ID], Table4[Sweets], "Not Found", 0)</f>
        <v>125</v>
      </c>
      <c r="P1717" s="5">
        <f>_xlfn.XLOOKUP(CustomerCombined[[#This Row],[ID]], Table4[ID], Table4[Premium], "Not Found", 0)</f>
        <v>125</v>
      </c>
      <c r="Q1717" s="5">
        <f>_xlfn.XLOOKUP(CustomerCombined[[#This Row],[ID]], Table4[ID], Table4[Regular], "Not Found", 0)</f>
        <v>3061</v>
      </c>
      <c r="R1717" s="5">
        <f>_xlfn.XLOOKUP(CustomerCombined[[#This Row],[ID]], Table4[ID], Table4[Deals], "Not Found", 0)</f>
        <v>1</v>
      </c>
      <c r="S1717" s="5">
        <f>_xlfn.XLOOKUP(CustomerCombined[[#This Row],[ID]], Table4[ID], Table4[Website], "Not Found", 0)</f>
        <v>8</v>
      </c>
      <c r="T1717" s="5">
        <f>_xlfn.XLOOKUP(CustomerCombined[[#This Row],[ID]], Table4[ID], Table4[Catalog], "Not Found", 0)</f>
        <v>9</v>
      </c>
      <c r="U1717" s="5">
        <f>_xlfn.XLOOKUP(CustomerCombined[[#This Row],[ID]], Table4[ID], Table4[Store], "Not Found", 0)</f>
        <v>4</v>
      </c>
      <c r="V1717" s="5">
        <f>_xlfn.XLOOKUP(CustomerCombined[[#This Row],[ID]], Table4[ID], Table4[Visits], "Not Found", 0)</f>
        <v>4</v>
      </c>
      <c r="W1717" s="8">
        <f>_xlfn.XLOOKUP(CustomerCombined[[#This Row],[ID]], Table2[ID],Table2[Complaint], "Not Found", 0 )</f>
        <v>0</v>
      </c>
      <c r="X1717" s="8">
        <f>_xlfn.XLOOKUP(CustomerCombined[[#This Row],[ID]], Table2[ID],Table2[Pilot], "Not Found", 0 )</f>
        <v>0</v>
      </c>
      <c r="Y1717" s="8">
        <f>_xlfn.XLOOKUP(CustomerCombined[[#This Row],[ID]], Table2[ID],Table2[MC1], "Not Found", 0 )</f>
        <v>0</v>
      </c>
      <c r="Z1717" s="8">
        <f>_xlfn.XLOOKUP(CustomerCombined[[#This Row],[ID]], Table2[ID],Table2[MC2], "Not Found", 0 )</f>
        <v>0</v>
      </c>
      <c r="AA1717" s="8">
        <f>_xlfn.XLOOKUP(CustomerCombined[[#This Row],[ID]], Table2[ID],Table2[MC3], "Not Found", 0 )</f>
        <v>0</v>
      </c>
      <c r="AB1717" s="8">
        <f>_xlfn.XLOOKUP(CustomerCombined[[#This Row],[ID]], Table2[ID],Table2[MC4], "Not Found", 0 )</f>
        <v>0</v>
      </c>
      <c r="AC1717" s="8">
        <f>_xlfn.XLOOKUP(CustomerCombined[[#This Row],[ID]], Table2[ID],Table2[MC5], "Not Found", 0 )</f>
        <v>0</v>
      </c>
    </row>
    <row r="1718" spans="1:29" x14ac:dyDescent="0.3">
      <c r="A1718" s="6">
        <v>2803</v>
      </c>
      <c r="B1718" s="6">
        <v>180739</v>
      </c>
      <c r="C1718" s="6">
        <v>0</v>
      </c>
      <c r="D1718" s="6">
        <v>0</v>
      </c>
      <c r="E1718" s="6">
        <v>62</v>
      </c>
      <c r="F1718" s="5" t="s">
        <v>6</v>
      </c>
      <c r="G1718" s="5" t="s">
        <v>12</v>
      </c>
      <c r="H1718" s="3" t="s">
        <v>248</v>
      </c>
      <c r="I1718" s="5" t="s">
        <v>437</v>
      </c>
      <c r="J1718" s="5">
        <f>_xlfn.XLOOKUP(CustomerCombined[[#This Row],[ID]], Table4[ID], Table4[Recency], "Not Found", 0)</f>
        <v>92</v>
      </c>
      <c r="K1718" s="5">
        <f>_xlfn.XLOOKUP(CustomerCombined[[#This Row],[ID]], Table4[ID], Table4[Teas], "Not Found", 0)</f>
        <v>1509</v>
      </c>
      <c r="L1718" s="5">
        <f>_xlfn.XLOOKUP(CustomerCombined[[#This Row],[ID]], Table4[ID], Table4[Fruits], "Not Found", 0)</f>
        <v>206</v>
      </c>
      <c r="M1718" s="5">
        <f>_xlfn.XLOOKUP(CustomerCombined[[#This Row],[ID]], Table4[ID], Table4[Meats], "Not Found", 0)</f>
        <v>1648</v>
      </c>
      <c r="N1718" s="5">
        <f>_xlfn.XLOOKUP(CustomerCombined[[#This Row],[ID]], Table4[ID], Table4[Seafood], "Not Found", 0)</f>
        <v>87</v>
      </c>
      <c r="O1718" s="5">
        <f>_xlfn.XLOOKUP(CustomerCombined[[#This Row],[ID]], Table4[ID], Table4[Sweets], "Not Found", 0)</f>
        <v>0</v>
      </c>
      <c r="P1718" s="5">
        <f>_xlfn.XLOOKUP(CustomerCombined[[#This Row],[ID]], Table4[ID], Table4[Premium], "Not Found", 0)</f>
        <v>206</v>
      </c>
      <c r="Q1718" s="5">
        <f>_xlfn.XLOOKUP(CustomerCombined[[#This Row],[ID]], Table4[ID], Table4[Regular], "Not Found", 0)</f>
        <v>3244</v>
      </c>
      <c r="R1718" s="5">
        <f>_xlfn.XLOOKUP(CustomerCombined[[#This Row],[ID]], Table4[ID], Table4[Deals], "Not Found", 0)</f>
        <v>1</v>
      </c>
      <c r="S1718" s="5">
        <f>_xlfn.XLOOKUP(CustomerCombined[[#This Row],[ID]], Table4[ID], Table4[Website], "Not Found", 0)</f>
        <v>3</v>
      </c>
      <c r="T1718" s="5">
        <f>_xlfn.XLOOKUP(CustomerCombined[[#This Row],[ID]], Table4[ID], Table4[Catalog], "Not Found", 0)</f>
        <v>11</v>
      </c>
      <c r="U1718" s="5">
        <f>_xlfn.XLOOKUP(CustomerCombined[[#This Row],[ID]], Table4[ID], Table4[Store], "Not Found", 0)</f>
        <v>9</v>
      </c>
      <c r="V1718" s="5">
        <f>_xlfn.XLOOKUP(CustomerCombined[[#This Row],[ID]], Table4[ID], Table4[Visits], "Not Found", 0)</f>
        <v>1</v>
      </c>
      <c r="W1718" s="8">
        <f>_xlfn.XLOOKUP(CustomerCombined[[#This Row],[ID]], Table2[ID],Table2[Complaint], "Not Found", 0 )</f>
        <v>0</v>
      </c>
      <c r="X1718" s="8">
        <f>_xlfn.XLOOKUP(CustomerCombined[[#This Row],[ID]], Table2[ID],Table2[Pilot], "Not Found", 0 )</f>
        <v>0</v>
      </c>
      <c r="Y1718" s="8">
        <f>_xlfn.XLOOKUP(CustomerCombined[[#This Row],[ID]], Table2[ID],Table2[MC1], "Not Found", 0 )</f>
        <v>0</v>
      </c>
      <c r="Z1718" s="8">
        <f>_xlfn.XLOOKUP(CustomerCombined[[#This Row],[ID]], Table2[ID],Table2[MC2], "Not Found", 0 )</f>
        <v>0</v>
      </c>
      <c r="AA1718" s="8">
        <f>_xlfn.XLOOKUP(CustomerCombined[[#This Row],[ID]], Table2[ID],Table2[MC3], "Not Found", 0 )</f>
        <v>0</v>
      </c>
      <c r="AB1718" s="8">
        <f>_xlfn.XLOOKUP(CustomerCombined[[#This Row],[ID]], Table2[ID],Table2[MC4], "Not Found", 0 )</f>
        <v>0</v>
      </c>
      <c r="AC1718" s="8">
        <f>_xlfn.XLOOKUP(CustomerCombined[[#This Row],[ID]], Table2[ID],Table2[MC5], "Not Found", 0 )</f>
        <v>0</v>
      </c>
    </row>
    <row r="1719" spans="1:29" x14ac:dyDescent="0.3">
      <c r="A1719" s="6">
        <v>2077</v>
      </c>
      <c r="B1719" s="6">
        <v>179803</v>
      </c>
      <c r="C1719" s="6">
        <v>0</v>
      </c>
      <c r="D1719" s="6">
        <v>1</v>
      </c>
      <c r="E1719" s="6">
        <v>62</v>
      </c>
      <c r="F1719" s="5" t="s">
        <v>5</v>
      </c>
      <c r="G1719" s="5" t="s">
        <v>11</v>
      </c>
      <c r="H1719" s="3">
        <v>43993</v>
      </c>
      <c r="I1719" s="5" t="s">
        <v>437</v>
      </c>
      <c r="J1719" s="5">
        <f>_xlfn.XLOOKUP(CustomerCombined[[#This Row],[ID]], Table4[ID], Table4[Recency], "Not Found", 0)</f>
        <v>54</v>
      </c>
      <c r="K1719" s="5">
        <f>_xlfn.XLOOKUP(CustomerCombined[[#This Row],[ID]], Table4[ID], Table4[Teas], "Not Found", 0)</f>
        <v>1293</v>
      </c>
      <c r="L1719" s="5">
        <f>_xlfn.XLOOKUP(CustomerCombined[[#This Row],[ID]], Table4[ID], Table4[Fruits], "Not Found", 0)</f>
        <v>18</v>
      </c>
      <c r="M1719" s="5">
        <f>_xlfn.XLOOKUP(CustomerCombined[[#This Row],[ID]], Table4[ID], Table4[Meats], "Not Found", 0)</f>
        <v>487</v>
      </c>
      <c r="N1719" s="5">
        <f>_xlfn.XLOOKUP(CustomerCombined[[#This Row],[ID]], Table4[ID], Table4[Seafood], "Not Found", 0)</f>
        <v>47</v>
      </c>
      <c r="O1719" s="5">
        <f>_xlfn.XLOOKUP(CustomerCombined[[#This Row],[ID]], Table4[ID], Table4[Sweets], "Not Found", 0)</f>
        <v>36</v>
      </c>
      <c r="P1719" s="5">
        <f>_xlfn.XLOOKUP(CustomerCombined[[#This Row],[ID]], Table4[ID], Table4[Premium], "Not Found", 0)</f>
        <v>74</v>
      </c>
      <c r="Q1719" s="5">
        <f>_xlfn.XLOOKUP(CustomerCombined[[#This Row],[ID]], Table4[ID], Table4[Regular], "Not Found", 0)</f>
        <v>1807</v>
      </c>
      <c r="R1719" s="5">
        <f>_xlfn.XLOOKUP(CustomerCombined[[#This Row],[ID]], Table4[ID], Table4[Deals], "Not Found", 0)</f>
        <v>1</v>
      </c>
      <c r="S1719" s="5">
        <f>_xlfn.XLOOKUP(CustomerCombined[[#This Row],[ID]], Table4[ID], Table4[Website], "Not Found", 0)</f>
        <v>4</v>
      </c>
      <c r="T1719" s="5">
        <f>_xlfn.XLOOKUP(CustomerCombined[[#This Row],[ID]], Table4[ID], Table4[Catalog], "Not Found", 0)</f>
        <v>3</v>
      </c>
      <c r="U1719" s="5">
        <f>_xlfn.XLOOKUP(CustomerCombined[[#This Row],[ID]], Table4[ID], Table4[Store], "Not Found", 0)</f>
        <v>5</v>
      </c>
      <c r="V1719" s="5">
        <f>_xlfn.XLOOKUP(CustomerCombined[[#This Row],[ID]], Table4[ID], Table4[Visits], "Not Found", 0)</f>
        <v>1</v>
      </c>
      <c r="W1719" s="8">
        <f>_xlfn.XLOOKUP(CustomerCombined[[#This Row],[ID]], Table2[ID],Table2[Complaint], "Not Found", 0 )</f>
        <v>0</v>
      </c>
      <c r="X1719" s="8">
        <f>_xlfn.XLOOKUP(CustomerCombined[[#This Row],[ID]], Table2[ID],Table2[Pilot], "Not Found", 0 )</f>
        <v>0</v>
      </c>
      <c r="Y1719" s="8">
        <f>_xlfn.XLOOKUP(CustomerCombined[[#This Row],[ID]], Table2[ID],Table2[MC1], "Not Found", 0 )</f>
        <v>0</v>
      </c>
      <c r="Z1719" s="8">
        <f>_xlfn.XLOOKUP(CustomerCombined[[#This Row],[ID]], Table2[ID],Table2[MC2], "Not Found", 0 )</f>
        <v>0</v>
      </c>
      <c r="AA1719" s="8">
        <f>_xlfn.XLOOKUP(CustomerCombined[[#This Row],[ID]], Table2[ID],Table2[MC3], "Not Found", 0 )</f>
        <v>0</v>
      </c>
      <c r="AB1719" s="8">
        <f>_xlfn.XLOOKUP(CustomerCombined[[#This Row],[ID]], Table2[ID],Table2[MC4], "Not Found", 0 )</f>
        <v>0</v>
      </c>
      <c r="AC1719" s="8">
        <f>_xlfn.XLOOKUP(CustomerCombined[[#This Row],[ID]], Table2[ID],Table2[MC5], "Not Found", 0 )</f>
        <v>0</v>
      </c>
    </row>
    <row r="1720" spans="1:29" x14ac:dyDescent="0.3">
      <c r="A1720" s="6">
        <v>1225</v>
      </c>
      <c r="B1720" s="6">
        <v>179761</v>
      </c>
      <c r="C1720" s="6">
        <v>0</v>
      </c>
      <c r="D1720" s="6">
        <v>1</v>
      </c>
      <c r="E1720" s="6">
        <v>62</v>
      </c>
      <c r="F1720" s="5" t="s">
        <v>7</v>
      </c>
      <c r="G1720" s="5" t="s">
        <v>13</v>
      </c>
      <c r="H1720" s="3">
        <v>44107</v>
      </c>
      <c r="I1720" s="5" t="s">
        <v>437</v>
      </c>
      <c r="J1720" s="5">
        <f>_xlfn.XLOOKUP(CustomerCombined[[#This Row],[ID]], Table4[ID], Table4[Recency], "Not Found", 0)</f>
        <v>32</v>
      </c>
      <c r="K1720" s="5">
        <f>_xlfn.XLOOKUP(CustomerCombined[[#This Row],[ID]], Table4[ID], Table4[Teas], "Not Found", 0)</f>
        <v>935</v>
      </c>
      <c r="L1720" s="5">
        <f>_xlfn.XLOOKUP(CustomerCombined[[#This Row],[ID]], Table4[ID], Table4[Fruits], "Not Found", 0)</f>
        <v>11</v>
      </c>
      <c r="M1720" s="5">
        <f>_xlfn.XLOOKUP(CustomerCombined[[#This Row],[ID]], Table4[ID], Table4[Meats], "Not Found", 0)</f>
        <v>279</v>
      </c>
      <c r="N1720" s="5">
        <f>_xlfn.XLOOKUP(CustomerCombined[[#This Row],[ID]], Table4[ID], Table4[Seafood], "Not Found", 0)</f>
        <v>34</v>
      </c>
      <c r="O1720" s="5">
        <f>_xlfn.XLOOKUP(CustomerCombined[[#This Row],[ID]], Table4[ID], Table4[Sweets], "Not Found", 0)</f>
        <v>79</v>
      </c>
      <c r="P1720" s="5">
        <f>_xlfn.XLOOKUP(CustomerCombined[[#This Row],[ID]], Table4[ID], Table4[Premium], "Not Found", 0)</f>
        <v>25</v>
      </c>
      <c r="Q1720" s="5">
        <f>_xlfn.XLOOKUP(CustomerCombined[[#This Row],[ID]], Table4[ID], Table4[Regular], "Not Found", 0)</f>
        <v>1314</v>
      </c>
      <c r="R1720" s="5">
        <f>_xlfn.XLOOKUP(CustomerCombined[[#This Row],[ID]], Table4[ID], Table4[Deals], "Not Found", 0)</f>
        <v>1</v>
      </c>
      <c r="S1720" s="5">
        <f>_xlfn.XLOOKUP(CustomerCombined[[#This Row],[ID]], Table4[ID], Table4[Website], "Not Found", 0)</f>
        <v>5</v>
      </c>
      <c r="T1720" s="5">
        <f>_xlfn.XLOOKUP(CustomerCombined[[#This Row],[ID]], Table4[ID], Table4[Catalog], "Not Found", 0)</f>
        <v>2</v>
      </c>
      <c r="U1720" s="5">
        <f>_xlfn.XLOOKUP(CustomerCombined[[#This Row],[ID]], Table4[ID], Table4[Store], "Not Found", 0)</f>
        <v>11</v>
      </c>
      <c r="V1720" s="5">
        <f>_xlfn.XLOOKUP(CustomerCombined[[#This Row],[ID]], Table4[ID], Table4[Visits], "Not Found", 0)</f>
        <v>3</v>
      </c>
      <c r="W1720" s="8">
        <f>_xlfn.XLOOKUP(CustomerCombined[[#This Row],[ID]], Table2[ID],Table2[Complaint], "Not Found", 0 )</f>
        <v>0</v>
      </c>
      <c r="X1720" s="8">
        <f>_xlfn.XLOOKUP(CustomerCombined[[#This Row],[ID]], Table2[ID],Table2[Pilot], "Not Found", 0 )</f>
        <v>0</v>
      </c>
      <c r="Y1720" s="8">
        <f>_xlfn.XLOOKUP(CustomerCombined[[#This Row],[ID]], Table2[ID],Table2[MC1], "Not Found", 0 )</f>
        <v>0</v>
      </c>
      <c r="Z1720" s="8">
        <f>_xlfn.XLOOKUP(CustomerCombined[[#This Row],[ID]], Table2[ID],Table2[MC2], "Not Found", 0 )</f>
        <v>0</v>
      </c>
      <c r="AA1720" s="8">
        <f>_xlfn.XLOOKUP(CustomerCombined[[#This Row],[ID]], Table2[ID],Table2[MC3], "Not Found", 0 )</f>
        <v>0</v>
      </c>
      <c r="AB1720" s="8">
        <f>_xlfn.XLOOKUP(CustomerCombined[[#This Row],[ID]], Table2[ID],Table2[MC4], "Not Found", 0 )</f>
        <v>0</v>
      </c>
      <c r="AC1720" s="8">
        <f>_xlfn.XLOOKUP(CustomerCombined[[#This Row],[ID]], Table2[ID],Table2[MC5], "Not Found", 0 )</f>
        <v>0</v>
      </c>
    </row>
    <row r="1721" spans="1:29" x14ac:dyDescent="0.3">
      <c r="A1721" s="6">
        <v>1474</v>
      </c>
      <c r="B1721" s="6">
        <v>178952</v>
      </c>
      <c r="C1721" s="6">
        <v>0</v>
      </c>
      <c r="D1721" s="6">
        <v>1</v>
      </c>
      <c r="E1721" s="6">
        <v>62</v>
      </c>
      <c r="F1721" s="5" t="s">
        <v>8</v>
      </c>
      <c r="G1721" s="5" t="s">
        <v>13</v>
      </c>
      <c r="H1721" s="3">
        <v>43468</v>
      </c>
      <c r="I1721" s="5" t="s">
        <v>439</v>
      </c>
      <c r="J1721" s="5">
        <f>_xlfn.XLOOKUP(CustomerCombined[[#This Row],[ID]], Table4[ID], Table4[Recency], "Not Found", 0)</f>
        <v>11</v>
      </c>
      <c r="K1721" s="5">
        <f>_xlfn.XLOOKUP(CustomerCombined[[#This Row],[ID]], Table4[ID], Table4[Teas], "Not Found", 0)</f>
        <v>2652</v>
      </c>
      <c r="L1721" s="5">
        <f>_xlfn.XLOOKUP(CustomerCombined[[#This Row],[ID]], Table4[ID], Table4[Fruits], "Not Found", 0)</f>
        <v>43</v>
      </c>
      <c r="M1721" s="5">
        <f>_xlfn.XLOOKUP(CustomerCombined[[#This Row],[ID]], Table4[ID], Table4[Meats], "Not Found", 0)</f>
        <v>1346</v>
      </c>
      <c r="N1721" s="5">
        <f>_xlfn.XLOOKUP(CustomerCombined[[#This Row],[ID]], Table4[ID], Table4[Seafood], "Not Found", 0)</f>
        <v>224</v>
      </c>
      <c r="O1721" s="5">
        <f>_xlfn.XLOOKUP(CustomerCombined[[#This Row],[ID]], Table4[ID], Table4[Sweets], "Not Found", 0)</f>
        <v>172</v>
      </c>
      <c r="P1721" s="5">
        <f>_xlfn.XLOOKUP(CustomerCombined[[#This Row],[ID]], Table4[ID], Table4[Premium], "Not Found", 0)</f>
        <v>304</v>
      </c>
      <c r="Q1721" s="5">
        <f>_xlfn.XLOOKUP(CustomerCombined[[#This Row],[ID]], Table4[ID], Table4[Regular], "Not Found", 0)</f>
        <v>4134</v>
      </c>
      <c r="R1721" s="5">
        <f>_xlfn.XLOOKUP(CustomerCombined[[#This Row],[ID]], Table4[ID], Table4[Deals], "Not Found", 0)</f>
        <v>2</v>
      </c>
      <c r="S1721" s="5">
        <f>_xlfn.XLOOKUP(CustomerCombined[[#This Row],[ID]], Table4[ID], Table4[Website], "Not Found", 0)</f>
        <v>2</v>
      </c>
      <c r="T1721" s="5">
        <f>_xlfn.XLOOKUP(CustomerCombined[[#This Row],[ID]], Table4[ID], Table4[Catalog], "Not Found", 0)</f>
        <v>5</v>
      </c>
      <c r="U1721" s="5">
        <f>_xlfn.XLOOKUP(CustomerCombined[[#This Row],[ID]], Table4[ID], Table4[Store], "Not Found", 0)</f>
        <v>12</v>
      </c>
      <c r="V1721" s="5">
        <f>_xlfn.XLOOKUP(CustomerCombined[[#This Row],[ID]], Table4[ID], Table4[Visits], "Not Found", 0)</f>
        <v>6</v>
      </c>
      <c r="W1721" s="8">
        <f>_xlfn.XLOOKUP(CustomerCombined[[#This Row],[ID]], Table2[ID],Table2[Complaint], "Not Found", 0 )</f>
        <v>0</v>
      </c>
      <c r="X1721" s="8">
        <f>_xlfn.XLOOKUP(CustomerCombined[[#This Row],[ID]], Table2[ID],Table2[Pilot], "Not Found", 0 )</f>
        <v>0</v>
      </c>
      <c r="Y1721" s="8">
        <f>_xlfn.XLOOKUP(CustomerCombined[[#This Row],[ID]], Table2[ID],Table2[MC1], "Not Found", 0 )</f>
        <v>0</v>
      </c>
      <c r="Z1721" s="8">
        <f>_xlfn.XLOOKUP(CustomerCombined[[#This Row],[ID]], Table2[ID],Table2[MC2], "Not Found", 0 )</f>
        <v>0</v>
      </c>
      <c r="AA1721" s="8">
        <f>_xlfn.XLOOKUP(CustomerCombined[[#This Row],[ID]], Table2[ID],Table2[MC3], "Not Found", 0 )</f>
        <v>0</v>
      </c>
      <c r="AB1721" s="8">
        <f>_xlfn.XLOOKUP(CustomerCombined[[#This Row],[ID]], Table2[ID],Table2[MC4], "Not Found", 0 )</f>
        <v>0</v>
      </c>
      <c r="AC1721" s="8">
        <f>_xlfn.XLOOKUP(CustomerCombined[[#This Row],[ID]], Table2[ID],Table2[MC5], "Not Found", 0 )</f>
        <v>0</v>
      </c>
    </row>
    <row r="1722" spans="1:29" x14ac:dyDescent="0.3">
      <c r="A1722" s="6">
        <v>1878</v>
      </c>
      <c r="B1722" s="6">
        <v>178331</v>
      </c>
      <c r="C1722" s="6">
        <v>0</v>
      </c>
      <c r="D1722" s="6">
        <v>1</v>
      </c>
      <c r="E1722" s="6">
        <v>62</v>
      </c>
      <c r="F1722" s="5" t="s">
        <v>5</v>
      </c>
      <c r="G1722" s="5" t="s">
        <v>11</v>
      </c>
      <c r="H1722" s="3" t="s">
        <v>109</v>
      </c>
      <c r="I1722" s="5" t="s">
        <v>436</v>
      </c>
      <c r="J1722" s="5">
        <f>_xlfn.XLOOKUP(CustomerCombined[[#This Row],[ID]], Table4[ID], Table4[Recency], "Not Found", 0)</f>
        <v>97</v>
      </c>
      <c r="K1722" s="5">
        <f>_xlfn.XLOOKUP(CustomerCombined[[#This Row],[ID]], Table4[ID], Table4[Teas], "Not Found", 0)</f>
        <v>1721</v>
      </c>
      <c r="L1722" s="5">
        <f>_xlfn.XLOOKUP(CustomerCombined[[#This Row],[ID]], Table4[ID], Table4[Fruits], "Not Found", 0)</f>
        <v>314</v>
      </c>
      <c r="M1722" s="5">
        <f>_xlfn.XLOOKUP(CustomerCombined[[#This Row],[ID]], Table4[ID], Table4[Meats], "Not Found", 0)</f>
        <v>806</v>
      </c>
      <c r="N1722" s="5">
        <f>_xlfn.XLOOKUP(CustomerCombined[[#This Row],[ID]], Table4[ID], Table4[Seafood], "Not Found", 0)</f>
        <v>364</v>
      </c>
      <c r="O1722" s="5">
        <f>_xlfn.XLOOKUP(CustomerCombined[[#This Row],[ID]], Table4[ID], Table4[Sweets], "Not Found", 0)</f>
        <v>385</v>
      </c>
      <c r="P1722" s="5">
        <f>_xlfn.XLOOKUP(CustomerCombined[[#This Row],[ID]], Table4[ID], Table4[Premium], "Not Found", 0)</f>
        <v>139</v>
      </c>
      <c r="Q1722" s="5">
        <f>_xlfn.XLOOKUP(CustomerCombined[[#This Row],[ID]], Table4[ID], Table4[Regular], "Not Found", 0)</f>
        <v>3451</v>
      </c>
      <c r="R1722" s="5">
        <f>_xlfn.XLOOKUP(CustomerCombined[[#This Row],[ID]], Table4[ID], Table4[Deals], "Not Found", 0)</f>
        <v>2</v>
      </c>
      <c r="S1722" s="5">
        <f>_xlfn.XLOOKUP(CustomerCombined[[#This Row],[ID]], Table4[ID], Table4[Website], "Not Found", 0)</f>
        <v>10</v>
      </c>
      <c r="T1722" s="5">
        <f>_xlfn.XLOOKUP(CustomerCombined[[#This Row],[ID]], Table4[ID], Table4[Catalog], "Not Found", 0)</f>
        <v>6</v>
      </c>
      <c r="U1722" s="5">
        <f>_xlfn.XLOOKUP(CustomerCombined[[#This Row],[ID]], Table4[ID], Table4[Store], "Not Found", 0)</f>
        <v>7</v>
      </c>
      <c r="V1722" s="5">
        <f>_xlfn.XLOOKUP(CustomerCombined[[#This Row],[ID]], Table4[ID], Table4[Visits], "Not Found", 0)</f>
        <v>4</v>
      </c>
      <c r="W1722" s="8">
        <f>_xlfn.XLOOKUP(CustomerCombined[[#This Row],[ID]], Table2[ID],Table2[Complaint], "Not Found", 0 )</f>
        <v>0</v>
      </c>
      <c r="X1722" s="8">
        <f>_xlfn.XLOOKUP(CustomerCombined[[#This Row],[ID]], Table2[ID],Table2[Pilot], "Not Found", 0 )</f>
        <v>0</v>
      </c>
      <c r="Y1722" s="8">
        <f>_xlfn.XLOOKUP(CustomerCombined[[#This Row],[ID]], Table2[ID],Table2[MC1], "Not Found", 0 )</f>
        <v>0</v>
      </c>
      <c r="Z1722" s="8">
        <f>_xlfn.XLOOKUP(CustomerCombined[[#This Row],[ID]], Table2[ID],Table2[MC2], "Not Found", 0 )</f>
        <v>0</v>
      </c>
      <c r="AA1722" s="8">
        <f>_xlfn.XLOOKUP(CustomerCombined[[#This Row],[ID]], Table2[ID],Table2[MC3], "Not Found", 0 )</f>
        <v>0</v>
      </c>
      <c r="AB1722" s="8">
        <f>_xlfn.XLOOKUP(CustomerCombined[[#This Row],[ID]], Table2[ID],Table2[MC4], "Not Found", 0 )</f>
        <v>0</v>
      </c>
      <c r="AC1722" s="8">
        <f>_xlfn.XLOOKUP(CustomerCombined[[#This Row],[ID]], Table2[ID],Table2[MC5], "Not Found", 0 )</f>
        <v>0</v>
      </c>
    </row>
    <row r="1723" spans="1:29" x14ac:dyDescent="0.3">
      <c r="A1723" s="6">
        <v>1510</v>
      </c>
      <c r="B1723" s="6">
        <v>177863</v>
      </c>
      <c r="C1723" s="6">
        <v>0</v>
      </c>
      <c r="D1723" s="6">
        <v>0</v>
      </c>
      <c r="E1723" s="6">
        <v>62</v>
      </c>
      <c r="F1723" s="5" t="s">
        <v>8</v>
      </c>
      <c r="G1723" s="5" t="s">
        <v>13</v>
      </c>
      <c r="H1723" s="3">
        <v>43895</v>
      </c>
      <c r="I1723" s="5" t="s">
        <v>439</v>
      </c>
      <c r="J1723" s="5">
        <f>_xlfn.XLOOKUP(CustomerCombined[[#This Row],[ID]], Table4[ID], Table4[Recency], "Not Found", 0)</f>
        <v>20</v>
      </c>
      <c r="K1723" s="5">
        <f>_xlfn.XLOOKUP(CustomerCombined[[#This Row],[ID]], Table4[ID], Table4[Teas], "Not Found", 0)</f>
        <v>2012</v>
      </c>
      <c r="L1723" s="5">
        <f>_xlfn.XLOOKUP(CustomerCombined[[#This Row],[ID]], Table4[ID], Table4[Fruits], "Not Found", 0)</f>
        <v>87</v>
      </c>
      <c r="M1723" s="5">
        <f>_xlfn.XLOOKUP(CustomerCombined[[#This Row],[ID]], Table4[ID], Table4[Meats], "Not Found", 0)</f>
        <v>729</v>
      </c>
      <c r="N1723" s="5">
        <f>_xlfn.XLOOKUP(CustomerCombined[[#This Row],[ID]], Table4[ID], Table4[Seafood], "Not Found", 0)</f>
        <v>37</v>
      </c>
      <c r="O1723" s="5">
        <f>_xlfn.XLOOKUP(CustomerCombined[[#This Row],[ID]], Table4[ID], Table4[Sweets], "Not Found", 0)</f>
        <v>57</v>
      </c>
      <c r="P1723" s="5">
        <f>_xlfn.XLOOKUP(CustomerCombined[[#This Row],[ID]], Table4[ID], Table4[Premium], "Not Found", 0)</f>
        <v>27</v>
      </c>
      <c r="Q1723" s="5">
        <f>_xlfn.XLOOKUP(CustomerCombined[[#This Row],[ID]], Table4[ID], Table4[Regular], "Not Found", 0)</f>
        <v>2894</v>
      </c>
      <c r="R1723" s="5">
        <f>_xlfn.XLOOKUP(CustomerCombined[[#This Row],[ID]], Table4[ID], Table4[Deals], "Not Found", 0)</f>
        <v>1</v>
      </c>
      <c r="S1723" s="5">
        <f>_xlfn.XLOOKUP(CustomerCombined[[#This Row],[ID]], Table4[ID], Table4[Website], "Not Found", 0)</f>
        <v>4</v>
      </c>
      <c r="T1723" s="5">
        <f>_xlfn.XLOOKUP(CustomerCombined[[#This Row],[ID]], Table4[ID], Table4[Catalog], "Not Found", 0)</f>
        <v>5</v>
      </c>
      <c r="U1723" s="5">
        <f>_xlfn.XLOOKUP(CustomerCombined[[#This Row],[ID]], Table4[ID], Table4[Store], "Not Found", 0)</f>
        <v>10</v>
      </c>
      <c r="V1723" s="5">
        <f>_xlfn.XLOOKUP(CustomerCombined[[#This Row],[ID]], Table4[ID], Table4[Visits], "Not Found", 0)</f>
        <v>2</v>
      </c>
      <c r="W1723" s="8">
        <f>_xlfn.XLOOKUP(CustomerCombined[[#This Row],[ID]], Table2[ID],Table2[Complaint], "Not Found", 0 )</f>
        <v>0</v>
      </c>
      <c r="X1723" s="8">
        <f>_xlfn.XLOOKUP(CustomerCombined[[#This Row],[ID]], Table2[ID],Table2[Pilot], "Not Found", 0 )</f>
        <v>0</v>
      </c>
      <c r="Y1723" s="8">
        <f>_xlfn.XLOOKUP(CustomerCombined[[#This Row],[ID]], Table2[ID],Table2[MC1], "Not Found", 0 )</f>
        <v>0</v>
      </c>
      <c r="Z1723" s="8">
        <f>_xlfn.XLOOKUP(CustomerCombined[[#This Row],[ID]], Table2[ID],Table2[MC2], "Not Found", 0 )</f>
        <v>0</v>
      </c>
      <c r="AA1723" s="8">
        <f>_xlfn.XLOOKUP(CustomerCombined[[#This Row],[ID]], Table2[ID],Table2[MC3], "Not Found", 0 )</f>
        <v>0</v>
      </c>
      <c r="AB1723" s="8">
        <f>_xlfn.XLOOKUP(CustomerCombined[[#This Row],[ID]], Table2[ID],Table2[MC4], "Not Found", 0 )</f>
        <v>0</v>
      </c>
      <c r="AC1723" s="8">
        <f>_xlfn.XLOOKUP(CustomerCombined[[#This Row],[ID]], Table2[ID],Table2[MC5], "Not Found", 0 )</f>
        <v>0</v>
      </c>
    </row>
    <row r="1724" spans="1:29" x14ac:dyDescent="0.3">
      <c r="A1724" s="6">
        <v>2709</v>
      </c>
      <c r="B1724" s="6">
        <v>175342</v>
      </c>
      <c r="C1724" s="6">
        <v>0</v>
      </c>
      <c r="D1724" s="6">
        <v>1</v>
      </c>
      <c r="E1724" s="6">
        <v>62</v>
      </c>
      <c r="F1724" s="5" t="s">
        <v>7</v>
      </c>
      <c r="G1724" s="5" t="s">
        <v>442</v>
      </c>
      <c r="H1724" s="3">
        <v>43779</v>
      </c>
      <c r="I1724" s="5" t="s">
        <v>435</v>
      </c>
      <c r="J1724" s="5">
        <f>_xlfn.XLOOKUP(CustomerCombined[[#This Row],[ID]], Table4[ID], Table4[Recency], "Not Found", 0)</f>
        <v>38</v>
      </c>
      <c r="K1724" s="5">
        <f>_xlfn.XLOOKUP(CustomerCombined[[#This Row],[ID]], Table4[ID], Table4[Teas], "Not Found", 0)</f>
        <v>475</v>
      </c>
      <c r="L1724" s="5">
        <f>_xlfn.XLOOKUP(CustomerCombined[[#This Row],[ID]], Table4[ID], Table4[Fruits], "Not Found", 0)</f>
        <v>226</v>
      </c>
      <c r="M1724" s="5">
        <f>_xlfn.XLOOKUP(CustomerCombined[[#This Row],[ID]], Table4[ID], Table4[Meats], "Not Found", 0)</f>
        <v>226</v>
      </c>
      <c r="N1724" s="5">
        <f>_xlfn.XLOOKUP(CustomerCombined[[#This Row],[ID]], Table4[ID], Table4[Seafood], "Not Found", 0)</f>
        <v>49</v>
      </c>
      <c r="O1724" s="5">
        <f>_xlfn.XLOOKUP(CustomerCombined[[#This Row],[ID]], Table4[ID], Table4[Sweets], "Not Found", 0)</f>
        <v>275</v>
      </c>
      <c r="P1724" s="5">
        <f>_xlfn.XLOOKUP(CustomerCombined[[#This Row],[ID]], Table4[ID], Table4[Premium], "Not Found", 0)</f>
        <v>61</v>
      </c>
      <c r="Q1724" s="5">
        <f>_xlfn.XLOOKUP(CustomerCombined[[#This Row],[ID]], Table4[ID], Table4[Regular], "Not Found", 0)</f>
        <v>1189</v>
      </c>
      <c r="R1724" s="5">
        <f>_xlfn.XLOOKUP(CustomerCombined[[#This Row],[ID]], Table4[ID], Table4[Deals], "Not Found", 0)</f>
        <v>1</v>
      </c>
      <c r="S1724" s="5">
        <f>_xlfn.XLOOKUP(CustomerCombined[[#This Row],[ID]], Table4[ID], Table4[Website], "Not Found", 0)</f>
        <v>5</v>
      </c>
      <c r="T1724" s="5">
        <f>_xlfn.XLOOKUP(CustomerCombined[[#This Row],[ID]], Table4[ID], Table4[Catalog], "Not Found", 0)</f>
        <v>2</v>
      </c>
      <c r="U1724" s="5">
        <f>_xlfn.XLOOKUP(CustomerCombined[[#This Row],[ID]], Table4[ID], Table4[Store], "Not Found", 0)</f>
        <v>10</v>
      </c>
      <c r="V1724" s="5">
        <f>_xlfn.XLOOKUP(CustomerCombined[[#This Row],[ID]], Table4[ID], Table4[Visits], "Not Found", 0)</f>
        <v>4</v>
      </c>
      <c r="W1724" s="8">
        <f>_xlfn.XLOOKUP(CustomerCombined[[#This Row],[ID]], Table2[ID],Table2[Complaint], "Not Found", 0 )</f>
        <v>0</v>
      </c>
      <c r="X1724" s="8">
        <f>_xlfn.XLOOKUP(CustomerCombined[[#This Row],[ID]], Table2[ID],Table2[Pilot], "Not Found", 0 )</f>
        <v>0</v>
      </c>
      <c r="Y1724" s="8">
        <f>_xlfn.XLOOKUP(CustomerCombined[[#This Row],[ID]], Table2[ID],Table2[MC1], "Not Found", 0 )</f>
        <v>0</v>
      </c>
      <c r="Z1724" s="8">
        <f>_xlfn.XLOOKUP(CustomerCombined[[#This Row],[ID]], Table2[ID],Table2[MC2], "Not Found", 0 )</f>
        <v>0</v>
      </c>
      <c r="AA1724" s="8">
        <f>_xlfn.XLOOKUP(CustomerCombined[[#This Row],[ID]], Table2[ID],Table2[MC3], "Not Found", 0 )</f>
        <v>0</v>
      </c>
      <c r="AB1724" s="8">
        <f>_xlfn.XLOOKUP(CustomerCombined[[#This Row],[ID]], Table2[ID],Table2[MC4], "Not Found", 0 )</f>
        <v>0</v>
      </c>
      <c r="AC1724" s="8">
        <f>_xlfn.XLOOKUP(CustomerCombined[[#This Row],[ID]], Table2[ID],Table2[MC5], "Not Found", 0 )</f>
        <v>0</v>
      </c>
    </row>
    <row r="1725" spans="1:29" x14ac:dyDescent="0.3">
      <c r="A1725" s="6">
        <v>2345</v>
      </c>
      <c r="B1725" s="6">
        <v>175154</v>
      </c>
      <c r="C1725" s="6">
        <v>0</v>
      </c>
      <c r="D1725" s="6">
        <v>1</v>
      </c>
      <c r="E1725" s="6">
        <v>62</v>
      </c>
      <c r="F1725" s="5" t="s">
        <v>7</v>
      </c>
      <c r="G1725" s="5" t="s">
        <v>12</v>
      </c>
      <c r="H1725" s="3">
        <v>43710</v>
      </c>
      <c r="I1725" s="5" t="s">
        <v>434</v>
      </c>
      <c r="J1725" s="5">
        <f>_xlfn.XLOOKUP(CustomerCombined[[#This Row],[ID]], Table4[ID], Table4[Recency], "Not Found", 0)</f>
        <v>79</v>
      </c>
      <c r="K1725" s="5">
        <f>_xlfn.XLOOKUP(CustomerCombined[[#This Row],[ID]], Table4[ID], Table4[Teas], "Not Found", 0)</f>
        <v>1266</v>
      </c>
      <c r="L1725" s="5">
        <f>_xlfn.XLOOKUP(CustomerCombined[[#This Row],[ID]], Table4[ID], Table4[Fruits], "Not Found", 0)</f>
        <v>23</v>
      </c>
      <c r="M1725" s="5">
        <f>_xlfn.XLOOKUP(CustomerCombined[[#This Row],[ID]], Table4[ID], Table4[Meats], "Not Found", 0)</f>
        <v>478</v>
      </c>
      <c r="N1725" s="5">
        <f>_xlfn.XLOOKUP(CustomerCombined[[#This Row],[ID]], Table4[ID], Table4[Seafood], "Not Found", 0)</f>
        <v>373</v>
      </c>
      <c r="O1725" s="5">
        <f>_xlfn.XLOOKUP(CustomerCombined[[#This Row],[ID]], Table4[ID], Table4[Sweets], "Not Found", 0)</f>
        <v>333</v>
      </c>
      <c r="P1725" s="5">
        <f>_xlfn.XLOOKUP(CustomerCombined[[#This Row],[ID]], Table4[ID], Table4[Premium], "Not Found", 0)</f>
        <v>191</v>
      </c>
      <c r="Q1725" s="5">
        <f>_xlfn.XLOOKUP(CustomerCombined[[#This Row],[ID]], Table4[ID], Table4[Regular], "Not Found", 0)</f>
        <v>2282</v>
      </c>
      <c r="R1725" s="5">
        <f>_xlfn.XLOOKUP(CustomerCombined[[#This Row],[ID]], Table4[ID], Table4[Deals], "Not Found", 0)</f>
        <v>1</v>
      </c>
      <c r="S1725" s="5">
        <f>_xlfn.XLOOKUP(CustomerCombined[[#This Row],[ID]], Table4[ID], Table4[Website], "Not Found", 0)</f>
        <v>6</v>
      </c>
      <c r="T1725" s="5">
        <f>_xlfn.XLOOKUP(CustomerCombined[[#This Row],[ID]], Table4[ID], Table4[Catalog], "Not Found", 0)</f>
        <v>3</v>
      </c>
      <c r="U1725" s="5">
        <f>_xlfn.XLOOKUP(CustomerCombined[[#This Row],[ID]], Table4[ID], Table4[Store], "Not Found", 0)</f>
        <v>6</v>
      </c>
      <c r="V1725" s="5">
        <f>_xlfn.XLOOKUP(CustomerCombined[[#This Row],[ID]], Table4[ID], Table4[Visits], "Not Found", 0)</f>
        <v>3</v>
      </c>
      <c r="W1725" s="8">
        <f>_xlfn.XLOOKUP(CustomerCombined[[#This Row],[ID]], Table2[ID],Table2[Complaint], "Not Found", 0 )</f>
        <v>0</v>
      </c>
      <c r="X1725" s="8">
        <f>_xlfn.XLOOKUP(CustomerCombined[[#This Row],[ID]], Table2[ID],Table2[Pilot], "Not Found", 0 )</f>
        <v>1</v>
      </c>
      <c r="Y1725" s="8">
        <f>_xlfn.XLOOKUP(CustomerCombined[[#This Row],[ID]], Table2[ID],Table2[MC1], "Not Found", 0 )</f>
        <v>0</v>
      </c>
      <c r="Z1725" s="8">
        <f>_xlfn.XLOOKUP(CustomerCombined[[#This Row],[ID]], Table2[ID],Table2[MC2], "Not Found", 0 )</f>
        <v>0</v>
      </c>
      <c r="AA1725" s="8">
        <f>_xlfn.XLOOKUP(CustomerCombined[[#This Row],[ID]], Table2[ID],Table2[MC3], "Not Found", 0 )</f>
        <v>0</v>
      </c>
      <c r="AB1725" s="8">
        <f>_xlfn.XLOOKUP(CustomerCombined[[#This Row],[ID]], Table2[ID],Table2[MC4], "Not Found", 0 )</f>
        <v>0</v>
      </c>
      <c r="AC1725" s="8">
        <f>_xlfn.XLOOKUP(CustomerCombined[[#This Row],[ID]], Table2[ID],Table2[MC5], "Not Found", 0 )</f>
        <v>0</v>
      </c>
    </row>
    <row r="1726" spans="1:29" x14ac:dyDescent="0.3">
      <c r="A1726" s="6">
        <v>1758</v>
      </c>
      <c r="B1726" s="6">
        <v>174250</v>
      </c>
      <c r="C1726" s="6">
        <v>0</v>
      </c>
      <c r="D1726" s="6">
        <v>0</v>
      </c>
      <c r="E1726" s="6">
        <v>62</v>
      </c>
      <c r="F1726" s="5" t="s">
        <v>8</v>
      </c>
      <c r="G1726" s="5" t="s">
        <v>13</v>
      </c>
      <c r="H1726" s="3">
        <v>43868</v>
      </c>
      <c r="I1726" s="5" t="s">
        <v>436</v>
      </c>
      <c r="J1726" s="5">
        <f>_xlfn.XLOOKUP(CustomerCombined[[#This Row],[ID]], Table4[ID], Table4[Recency], "Not Found", 0)</f>
        <v>90</v>
      </c>
      <c r="K1726" s="5">
        <f>_xlfn.XLOOKUP(CustomerCombined[[#This Row],[ID]], Table4[ID], Table4[Teas], "Not Found", 0)</f>
        <v>1596</v>
      </c>
      <c r="L1726" s="5">
        <f>_xlfn.XLOOKUP(CustomerCombined[[#This Row],[ID]], Table4[ID], Table4[Fruits], "Not Found", 0)</f>
        <v>26</v>
      </c>
      <c r="M1726" s="5">
        <f>_xlfn.XLOOKUP(CustomerCombined[[#This Row],[ID]], Table4[ID], Table4[Meats], "Not Found", 0)</f>
        <v>920</v>
      </c>
      <c r="N1726" s="5">
        <f>_xlfn.XLOOKUP(CustomerCombined[[#This Row],[ID]], Table4[ID], Table4[Seafood], "Not Found", 0)</f>
        <v>176</v>
      </c>
      <c r="O1726" s="5">
        <f>_xlfn.XLOOKUP(CustomerCombined[[#This Row],[ID]], Table4[ID], Table4[Sweets], "Not Found", 0)</f>
        <v>0</v>
      </c>
      <c r="P1726" s="5">
        <f>_xlfn.XLOOKUP(CustomerCombined[[#This Row],[ID]], Table4[ID], Table4[Premium], "Not Found", 0)</f>
        <v>0</v>
      </c>
      <c r="Q1726" s="5">
        <f>_xlfn.XLOOKUP(CustomerCombined[[#This Row],[ID]], Table4[ID], Table4[Regular], "Not Found", 0)</f>
        <v>2718</v>
      </c>
      <c r="R1726" s="5">
        <f>_xlfn.XLOOKUP(CustomerCombined[[#This Row],[ID]], Table4[ID], Table4[Deals], "Not Found", 0)</f>
        <v>1</v>
      </c>
      <c r="S1726" s="5">
        <f>_xlfn.XLOOKUP(CustomerCombined[[#This Row],[ID]], Table4[ID], Table4[Website], "Not Found", 0)</f>
        <v>2</v>
      </c>
      <c r="T1726" s="5">
        <f>_xlfn.XLOOKUP(CustomerCombined[[#This Row],[ID]], Table4[ID], Table4[Catalog], "Not Found", 0)</f>
        <v>11</v>
      </c>
      <c r="U1726" s="5">
        <f>_xlfn.XLOOKUP(CustomerCombined[[#This Row],[ID]], Table4[ID], Table4[Store], "Not Found", 0)</f>
        <v>4</v>
      </c>
      <c r="V1726" s="5">
        <f>_xlfn.XLOOKUP(CustomerCombined[[#This Row],[ID]], Table4[ID], Table4[Visits], "Not Found", 0)</f>
        <v>1</v>
      </c>
      <c r="W1726" s="8">
        <f>_xlfn.XLOOKUP(CustomerCombined[[#This Row],[ID]], Table2[ID],Table2[Complaint], "Not Found", 0 )</f>
        <v>0</v>
      </c>
      <c r="X1726" s="8">
        <f>_xlfn.XLOOKUP(CustomerCombined[[#This Row],[ID]], Table2[ID],Table2[Pilot], "Not Found", 0 )</f>
        <v>0</v>
      </c>
      <c r="Y1726" s="8">
        <f>_xlfn.XLOOKUP(CustomerCombined[[#This Row],[ID]], Table2[ID],Table2[MC1], "Not Found", 0 )</f>
        <v>0</v>
      </c>
      <c r="Z1726" s="8">
        <f>_xlfn.XLOOKUP(CustomerCombined[[#This Row],[ID]], Table2[ID],Table2[MC2], "Not Found", 0 )</f>
        <v>0</v>
      </c>
      <c r="AA1726" s="8">
        <f>_xlfn.XLOOKUP(CustomerCombined[[#This Row],[ID]], Table2[ID],Table2[MC3], "Not Found", 0 )</f>
        <v>0</v>
      </c>
      <c r="AB1726" s="8">
        <f>_xlfn.XLOOKUP(CustomerCombined[[#This Row],[ID]], Table2[ID],Table2[MC4], "Not Found", 0 )</f>
        <v>0</v>
      </c>
      <c r="AC1726" s="8">
        <f>_xlfn.XLOOKUP(CustomerCombined[[#This Row],[ID]], Table2[ID],Table2[MC5], "Not Found", 0 )</f>
        <v>0</v>
      </c>
    </row>
    <row r="1727" spans="1:29" x14ac:dyDescent="0.3">
      <c r="A1727" s="6">
        <v>2852</v>
      </c>
      <c r="B1727" s="6">
        <v>172905</v>
      </c>
      <c r="C1727" s="6">
        <v>0</v>
      </c>
      <c r="D1727" s="6">
        <v>0</v>
      </c>
      <c r="E1727" s="6">
        <v>62</v>
      </c>
      <c r="F1727" s="5" t="s">
        <v>6</v>
      </c>
      <c r="G1727" s="5" t="s">
        <v>11</v>
      </c>
      <c r="H1727" s="3" t="s">
        <v>111</v>
      </c>
      <c r="I1727" s="5" t="s">
        <v>438</v>
      </c>
      <c r="J1727" s="5">
        <f>_xlfn.XLOOKUP(CustomerCombined[[#This Row],[ID]], Table4[ID], Table4[Recency], "Not Found", 0)</f>
        <v>52</v>
      </c>
      <c r="K1727" s="5">
        <f>_xlfn.XLOOKUP(CustomerCombined[[#This Row],[ID]], Table4[ID], Table4[Teas], "Not Found", 0)</f>
        <v>965</v>
      </c>
      <c r="L1727" s="5">
        <f>_xlfn.XLOOKUP(CustomerCombined[[#This Row],[ID]], Table4[ID], Table4[Fruits], "Not Found", 0)</f>
        <v>270</v>
      </c>
      <c r="M1727" s="5">
        <f>_xlfn.XLOOKUP(CustomerCombined[[#This Row],[ID]], Table4[ID], Table4[Meats], "Not Found", 0)</f>
        <v>1055</v>
      </c>
      <c r="N1727" s="5">
        <f>_xlfn.XLOOKUP(CustomerCombined[[#This Row],[ID]], Table4[ID], Table4[Seafood], "Not Found", 0)</f>
        <v>429</v>
      </c>
      <c r="O1727" s="5">
        <f>_xlfn.XLOOKUP(CustomerCombined[[#This Row],[ID]], Table4[ID], Table4[Sweets], "Not Found", 0)</f>
        <v>391</v>
      </c>
      <c r="P1727" s="5">
        <f>_xlfn.XLOOKUP(CustomerCombined[[#This Row],[ID]], Table4[ID], Table4[Premium], "Not Found", 0)</f>
        <v>481</v>
      </c>
      <c r="Q1727" s="5">
        <f>_xlfn.XLOOKUP(CustomerCombined[[#This Row],[ID]], Table4[ID], Table4[Regular], "Not Found", 0)</f>
        <v>2630</v>
      </c>
      <c r="R1727" s="5">
        <f>_xlfn.XLOOKUP(CustomerCombined[[#This Row],[ID]], Table4[ID], Table4[Deals], "Not Found", 0)</f>
        <v>1</v>
      </c>
      <c r="S1727" s="5">
        <f>_xlfn.XLOOKUP(CustomerCombined[[#This Row],[ID]], Table4[ID], Table4[Website], "Not Found", 0)</f>
        <v>3</v>
      </c>
      <c r="T1727" s="5">
        <f>_xlfn.XLOOKUP(CustomerCombined[[#This Row],[ID]], Table4[ID], Table4[Catalog], "Not Found", 0)</f>
        <v>7</v>
      </c>
      <c r="U1727" s="5">
        <f>_xlfn.XLOOKUP(CustomerCombined[[#This Row],[ID]], Table4[ID], Table4[Store], "Not Found", 0)</f>
        <v>9</v>
      </c>
      <c r="V1727" s="5">
        <f>_xlfn.XLOOKUP(CustomerCombined[[#This Row],[ID]], Table4[ID], Table4[Visits], "Not Found", 0)</f>
        <v>1</v>
      </c>
      <c r="W1727" s="8">
        <f>_xlfn.XLOOKUP(CustomerCombined[[#This Row],[ID]], Table2[ID],Table2[Complaint], "Not Found", 0 )</f>
        <v>0</v>
      </c>
      <c r="X1727" s="8">
        <f>_xlfn.XLOOKUP(CustomerCombined[[#This Row],[ID]], Table2[ID],Table2[Pilot], "Not Found", 0 )</f>
        <v>0</v>
      </c>
      <c r="Y1727" s="8">
        <f>_xlfn.XLOOKUP(CustomerCombined[[#This Row],[ID]], Table2[ID],Table2[MC1], "Not Found", 0 )</f>
        <v>1</v>
      </c>
      <c r="Z1727" s="8">
        <f>_xlfn.XLOOKUP(CustomerCombined[[#This Row],[ID]], Table2[ID],Table2[MC2], "Not Found", 0 )</f>
        <v>0</v>
      </c>
      <c r="AA1727" s="8">
        <f>_xlfn.XLOOKUP(CustomerCombined[[#This Row],[ID]], Table2[ID],Table2[MC3], "Not Found", 0 )</f>
        <v>0</v>
      </c>
      <c r="AB1727" s="8">
        <f>_xlfn.XLOOKUP(CustomerCombined[[#This Row],[ID]], Table2[ID],Table2[MC4], "Not Found", 0 )</f>
        <v>0</v>
      </c>
      <c r="AC1727" s="8">
        <f>_xlfn.XLOOKUP(CustomerCombined[[#This Row],[ID]], Table2[ID],Table2[MC5], "Not Found", 0 )</f>
        <v>0</v>
      </c>
    </row>
    <row r="1728" spans="1:29" x14ac:dyDescent="0.3">
      <c r="A1728" s="6">
        <v>2985</v>
      </c>
      <c r="B1728" s="6">
        <v>171964</v>
      </c>
      <c r="C1728" s="6">
        <v>0</v>
      </c>
      <c r="D1728" s="6">
        <v>0</v>
      </c>
      <c r="E1728" s="6">
        <v>62</v>
      </c>
      <c r="F1728" s="5" t="s">
        <v>5</v>
      </c>
      <c r="G1728" s="5" t="s">
        <v>11</v>
      </c>
      <c r="H1728" s="3" t="s">
        <v>251</v>
      </c>
      <c r="I1728" s="5" t="s">
        <v>435</v>
      </c>
      <c r="J1728" s="5">
        <f>_xlfn.XLOOKUP(CustomerCombined[[#This Row],[ID]], Table4[ID], Table4[Recency], "Not Found", 0)</f>
        <v>81</v>
      </c>
      <c r="K1728" s="5">
        <f>_xlfn.XLOOKUP(CustomerCombined[[#This Row],[ID]], Table4[ID], Table4[Teas], "Not Found", 0)</f>
        <v>1403</v>
      </c>
      <c r="L1728" s="5">
        <f>_xlfn.XLOOKUP(CustomerCombined[[#This Row],[ID]], Table4[ID], Table4[Fruits], "Not Found", 0)</f>
        <v>122</v>
      </c>
      <c r="M1728" s="5">
        <f>_xlfn.XLOOKUP(CustomerCombined[[#This Row],[ID]], Table4[ID], Table4[Meats], "Not Found", 0)</f>
        <v>2227</v>
      </c>
      <c r="N1728" s="5">
        <f>_xlfn.XLOOKUP(CustomerCombined[[#This Row],[ID]], Table4[ID], Table4[Seafood], "Not Found", 0)</f>
        <v>430</v>
      </c>
      <c r="O1728" s="5">
        <f>_xlfn.XLOOKUP(CustomerCombined[[#This Row],[ID]], Table4[ID], Table4[Sweets], "Not Found", 0)</f>
        <v>81</v>
      </c>
      <c r="P1728" s="5">
        <f>_xlfn.XLOOKUP(CustomerCombined[[#This Row],[ID]], Table4[ID], Table4[Premium], "Not Found", 0)</f>
        <v>206</v>
      </c>
      <c r="Q1728" s="5">
        <f>_xlfn.XLOOKUP(CustomerCombined[[#This Row],[ID]], Table4[ID], Table4[Regular], "Not Found", 0)</f>
        <v>4058</v>
      </c>
      <c r="R1728" s="5">
        <f>_xlfn.XLOOKUP(CustomerCombined[[#This Row],[ID]], Table4[ID], Table4[Deals], "Not Found", 0)</f>
        <v>1</v>
      </c>
      <c r="S1728" s="5">
        <f>_xlfn.XLOOKUP(CustomerCombined[[#This Row],[ID]], Table4[ID], Table4[Website], "Not Found", 0)</f>
        <v>5</v>
      </c>
      <c r="T1728" s="5">
        <f>_xlfn.XLOOKUP(CustomerCombined[[#This Row],[ID]], Table4[ID], Table4[Catalog], "Not Found", 0)</f>
        <v>6</v>
      </c>
      <c r="U1728" s="5">
        <f>_xlfn.XLOOKUP(CustomerCombined[[#This Row],[ID]], Table4[ID], Table4[Store], "Not Found", 0)</f>
        <v>5</v>
      </c>
      <c r="V1728" s="5">
        <f>_xlfn.XLOOKUP(CustomerCombined[[#This Row],[ID]], Table4[ID], Table4[Visits], "Not Found", 0)</f>
        <v>3</v>
      </c>
      <c r="W1728" s="8">
        <f>_xlfn.XLOOKUP(CustomerCombined[[#This Row],[ID]], Table2[ID],Table2[Complaint], "Not Found", 0 )</f>
        <v>0</v>
      </c>
      <c r="X1728" s="8">
        <f>_xlfn.XLOOKUP(CustomerCombined[[#This Row],[ID]], Table2[ID],Table2[Pilot], "Not Found", 0 )</f>
        <v>0</v>
      </c>
      <c r="Y1728" s="8">
        <f>_xlfn.XLOOKUP(CustomerCombined[[#This Row],[ID]], Table2[ID],Table2[MC1], "Not Found", 0 )</f>
        <v>0</v>
      </c>
      <c r="Z1728" s="8">
        <f>_xlfn.XLOOKUP(CustomerCombined[[#This Row],[ID]], Table2[ID],Table2[MC2], "Not Found", 0 )</f>
        <v>0</v>
      </c>
      <c r="AA1728" s="8">
        <f>_xlfn.XLOOKUP(CustomerCombined[[#This Row],[ID]], Table2[ID],Table2[MC3], "Not Found", 0 )</f>
        <v>0</v>
      </c>
      <c r="AB1728" s="8">
        <f>_xlfn.XLOOKUP(CustomerCombined[[#This Row],[ID]], Table2[ID],Table2[MC4], "Not Found", 0 )</f>
        <v>0</v>
      </c>
      <c r="AC1728" s="8">
        <f>_xlfn.XLOOKUP(CustomerCombined[[#This Row],[ID]], Table2[ID],Table2[MC5], "Not Found", 0 )</f>
        <v>0</v>
      </c>
    </row>
    <row r="1729" spans="1:29" x14ac:dyDescent="0.3">
      <c r="A1729" s="6">
        <v>2070</v>
      </c>
      <c r="B1729" s="6">
        <v>171691</v>
      </c>
      <c r="C1729" s="6">
        <v>0</v>
      </c>
      <c r="D1729" s="6">
        <v>0</v>
      </c>
      <c r="E1729" s="6">
        <v>62</v>
      </c>
      <c r="F1729" s="5" t="s">
        <v>7</v>
      </c>
      <c r="G1729" s="5" t="s">
        <v>13</v>
      </c>
      <c r="H1729" s="3" t="s">
        <v>84</v>
      </c>
      <c r="I1729" s="5" t="s">
        <v>436</v>
      </c>
      <c r="J1729" s="5">
        <f>_xlfn.XLOOKUP(CustomerCombined[[#This Row],[ID]], Table4[ID], Table4[Recency], "Not Found", 0)</f>
        <v>0</v>
      </c>
      <c r="K1729" s="5">
        <f>_xlfn.XLOOKUP(CustomerCombined[[#This Row],[ID]], Table4[ID], Table4[Teas], "Not Found", 0)</f>
        <v>805</v>
      </c>
      <c r="L1729" s="5">
        <f>_xlfn.XLOOKUP(CustomerCombined[[#This Row],[ID]], Table4[ID], Table4[Fruits], "Not Found", 0)</f>
        <v>311</v>
      </c>
      <c r="M1729" s="5">
        <f>_xlfn.XLOOKUP(CustomerCombined[[#This Row],[ID]], Table4[ID], Table4[Meats], "Not Found", 0)</f>
        <v>984</v>
      </c>
      <c r="N1729" s="5">
        <f>_xlfn.XLOOKUP(CustomerCombined[[#This Row],[ID]], Table4[ID], Table4[Seafood], "Not Found", 0)</f>
        <v>575</v>
      </c>
      <c r="O1729" s="5">
        <f>_xlfn.XLOOKUP(CustomerCombined[[#This Row],[ID]], Table4[ID], Table4[Sweets], "Not Found", 0)</f>
        <v>77</v>
      </c>
      <c r="P1729" s="5">
        <f>_xlfn.XLOOKUP(CustomerCombined[[#This Row],[ID]], Table4[ID], Table4[Premium], "Not Found", 0)</f>
        <v>103</v>
      </c>
      <c r="Q1729" s="5">
        <f>_xlfn.XLOOKUP(CustomerCombined[[#This Row],[ID]], Table4[ID], Table4[Regular], "Not Found", 0)</f>
        <v>2649</v>
      </c>
      <c r="R1729" s="5">
        <f>_xlfn.XLOOKUP(CustomerCombined[[#This Row],[ID]], Table4[ID], Table4[Deals], "Not Found", 0)</f>
        <v>1</v>
      </c>
      <c r="S1729" s="5">
        <f>_xlfn.XLOOKUP(CustomerCombined[[#This Row],[ID]], Table4[ID], Table4[Website], "Not Found", 0)</f>
        <v>4</v>
      </c>
      <c r="T1729" s="5">
        <f>_xlfn.XLOOKUP(CustomerCombined[[#This Row],[ID]], Table4[ID], Table4[Catalog], "Not Found", 0)</f>
        <v>7</v>
      </c>
      <c r="U1729" s="5">
        <f>_xlfn.XLOOKUP(CustomerCombined[[#This Row],[ID]], Table4[ID], Table4[Store], "Not Found", 0)</f>
        <v>5</v>
      </c>
      <c r="V1729" s="5">
        <f>_xlfn.XLOOKUP(CustomerCombined[[#This Row],[ID]], Table4[ID], Table4[Visits], "Not Found", 0)</f>
        <v>2</v>
      </c>
      <c r="W1729" s="8">
        <f>_xlfn.XLOOKUP(CustomerCombined[[#This Row],[ID]], Table2[ID],Table2[Complaint], "Not Found", 0 )</f>
        <v>0</v>
      </c>
      <c r="X1729" s="8">
        <f>_xlfn.XLOOKUP(CustomerCombined[[#This Row],[ID]], Table2[ID],Table2[Pilot], "Not Found", 0 )</f>
        <v>1</v>
      </c>
      <c r="Y1729" s="8">
        <f>_xlfn.XLOOKUP(CustomerCombined[[#This Row],[ID]], Table2[ID],Table2[MC1], "Not Found", 0 )</f>
        <v>0</v>
      </c>
      <c r="Z1729" s="8">
        <f>_xlfn.XLOOKUP(CustomerCombined[[#This Row],[ID]], Table2[ID],Table2[MC2], "Not Found", 0 )</f>
        <v>0</v>
      </c>
      <c r="AA1729" s="8">
        <f>_xlfn.XLOOKUP(CustomerCombined[[#This Row],[ID]], Table2[ID],Table2[MC3], "Not Found", 0 )</f>
        <v>0</v>
      </c>
      <c r="AB1729" s="8">
        <f>_xlfn.XLOOKUP(CustomerCombined[[#This Row],[ID]], Table2[ID],Table2[MC4], "Not Found", 0 )</f>
        <v>0</v>
      </c>
      <c r="AC1729" s="8">
        <f>_xlfn.XLOOKUP(CustomerCombined[[#This Row],[ID]], Table2[ID],Table2[MC5], "Not Found", 0 )</f>
        <v>0</v>
      </c>
    </row>
    <row r="1730" spans="1:29" x14ac:dyDescent="0.3">
      <c r="A1730" s="6">
        <v>1064</v>
      </c>
      <c r="B1730" s="6">
        <v>169096</v>
      </c>
      <c r="C1730" s="6">
        <v>0</v>
      </c>
      <c r="D1730" s="6">
        <v>1</v>
      </c>
      <c r="E1730" s="6">
        <v>62</v>
      </c>
      <c r="F1730" s="5" t="s">
        <v>8</v>
      </c>
      <c r="G1730" s="5" t="s">
        <v>11</v>
      </c>
      <c r="H1730" s="3">
        <v>43893</v>
      </c>
      <c r="I1730" s="5" t="s">
        <v>438</v>
      </c>
      <c r="J1730" s="5">
        <f>_xlfn.XLOOKUP(CustomerCombined[[#This Row],[ID]], Table4[ID], Table4[Recency], "Not Found", 0)</f>
        <v>4</v>
      </c>
      <c r="K1730" s="5">
        <f>_xlfn.XLOOKUP(CustomerCombined[[#This Row],[ID]], Table4[ID], Table4[Teas], "Not Found", 0)</f>
        <v>604</v>
      </c>
      <c r="L1730" s="5">
        <f>_xlfn.XLOOKUP(CustomerCombined[[#This Row],[ID]], Table4[ID], Table4[Fruits], "Not Found", 0)</f>
        <v>120</v>
      </c>
      <c r="M1730" s="5">
        <f>_xlfn.XLOOKUP(CustomerCombined[[#This Row],[ID]], Table4[ID], Table4[Meats], "Not Found", 0)</f>
        <v>389</v>
      </c>
      <c r="N1730" s="5">
        <f>_xlfn.XLOOKUP(CustomerCombined[[#This Row],[ID]], Table4[ID], Table4[Seafood], "Not Found", 0)</f>
        <v>17</v>
      </c>
      <c r="O1730" s="5">
        <f>_xlfn.XLOOKUP(CustomerCombined[[#This Row],[ID]], Table4[ID], Table4[Sweets], "Not Found", 0)</f>
        <v>201</v>
      </c>
      <c r="P1730" s="5">
        <f>_xlfn.XLOOKUP(CustomerCombined[[#This Row],[ID]], Table4[ID], Table4[Premium], "Not Found", 0)</f>
        <v>267</v>
      </c>
      <c r="Q1730" s="5">
        <f>_xlfn.XLOOKUP(CustomerCombined[[#This Row],[ID]], Table4[ID], Table4[Regular], "Not Found", 0)</f>
        <v>1065</v>
      </c>
      <c r="R1730" s="5">
        <f>_xlfn.XLOOKUP(CustomerCombined[[#This Row],[ID]], Table4[ID], Table4[Deals], "Not Found", 0)</f>
        <v>1</v>
      </c>
      <c r="S1730" s="5">
        <f>_xlfn.XLOOKUP(CustomerCombined[[#This Row],[ID]], Table4[ID], Table4[Website], "Not Found", 0)</f>
        <v>5</v>
      </c>
      <c r="T1730" s="5">
        <f>_xlfn.XLOOKUP(CustomerCombined[[#This Row],[ID]], Table4[ID], Table4[Catalog], "Not Found", 0)</f>
        <v>2</v>
      </c>
      <c r="U1730" s="5">
        <f>_xlfn.XLOOKUP(CustomerCombined[[#This Row],[ID]], Table4[ID], Table4[Store], "Not Found", 0)</f>
        <v>10</v>
      </c>
      <c r="V1730" s="5">
        <f>_xlfn.XLOOKUP(CustomerCombined[[#This Row],[ID]], Table4[ID], Table4[Visits], "Not Found", 0)</f>
        <v>4</v>
      </c>
      <c r="W1730" s="8">
        <f>_xlfn.XLOOKUP(CustomerCombined[[#This Row],[ID]], Table2[ID],Table2[Complaint], "Not Found", 0 )</f>
        <v>0</v>
      </c>
      <c r="X1730" s="8">
        <f>_xlfn.XLOOKUP(CustomerCombined[[#This Row],[ID]], Table2[ID],Table2[Pilot], "Not Found", 0 )</f>
        <v>0</v>
      </c>
      <c r="Y1730" s="8">
        <f>_xlfn.XLOOKUP(CustomerCombined[[#This Row],[ID]], Table2[ID],Table2[MC1], "Not Found", 0 )</f>
        <v>0</v>
      </c>
      <c r="Z1730" s="8">
        <f>_xlfn.XLOOKUP(CustomerCombined[[#This Row],[ID]], Table2[ID],Table2[MC2], "Not Found", 0 )</f>
        <v>0</v>
      </c>
      <c r="AA1730" s="8">
        <f>_xlfn.XLOOKUP(CustomerCombined[[#This Row],[ID]], Table2[ID],Table2[MC3], "Not Found", 0 )</f>
        <v>0</v>
      </c>
      <c r="AB1730" s="8">
        <f>_xlfn.XLOOKUP(CustomerCombined[[#This Row],[ID]], Table2[ID],Table2[MC4], "Not Found", 0 )</f>
        <v>0</v>
      </c>
      <c r="AC1730" s="8">
        <f>_xlfn.XLOOKUP(CustomerCombined[[#This Row],[ID]], Table2[ID],Table2[MC5], "Not Found", 0 )</f>
        <v>0</v>
      </c>
    </row>
    <row r="1731" spans="1:29" x14ac:dyDescent="0.3">
      <c r="A1731" s="6">
        <v>2989</v>
      </c>
      <c r="B1731" s="6">
        <v>168281</v>
      </c>
      <c r="C1731" s="6">
        <v>0</v>
      </c>
      <c r="D1731" s="6">
        <v>0</v>
      </c>
      <c r="E1731" s="6">
        <v>62</v>
      </c>
      <c r="F1731" s="5" t="s">
        <v>7</v>
      </c>
      <c r="G1731" s="5" t="s">
        <v>11</v>
      </c>
      <c r="H1731" s="3">
        <v>43800</v>
      </c>
      <c r="I1731" s="5" t="s">
        <v>437</v>
      </c>
      <c r="J1731" s="5">
        <f>_xlfn.XLOOKUP(CustomerCombined[[#This Row],[ID]], Table4[ID], Table4[Recency], "Not Found", 0)</f>
        <v>31</v>
      </c>
      <c r="K1731" s="5">
        <f>_xlfn.XLOOKUP(CustomerCombined[[#This Row],[ID]], Table4[ID], Table4[Teas], "Not Found", 0)</f>
        <v>2452</v>
      </c>
      <c r="L1731" s="5">
        <f>_xlfn.XLOOKUP(CustomerCombined[[#This Row],[ID]], Table4[ID], Table4[Fruits], "Not Found", 0)</f>
        <v>276</v>
      </c>
      <c r="M1731" s="5">
        <f>_xlfn.XLOOKUP(CustomerCombined[[#This Row],[ID]], Table4[ID], Table4[Meats], "Not Found", 0)</f>
        <v>1028</v>
      </c>
      <c r="N1731" s="5">
        <f>_xlfn.XLOOKUP(CustomerCombined[[#This Row],[ID]], Table4[ID], Table4[Seafood], "Not Found", 0)</f>
        <v>104</v>
      </c>
      <c r="O1731" s="5">
        <f>_xlfn.XLOOKUP(CustomerCombined[[#This Row],[ID]], Table4[ID], Table4[Sweets], "Not Found", 0)</f>
        <v>118</v>
      </c>
      <c r="P1731" s="5">
        <f>_xlfn.XLOOKUP(CustomerCombined[[#This Row],[ID]], Table4[ID], Table4[Premium], "Not Found", 0)</f>
        <v>101</v>
      </c>
      <c r="Q1731" s="5">
        <f>_xlfn.XLOOKUP(CustomerCombined[[#This Row],[ID]], Table4[ID], Table4[Regular], "Not Found", 0)</f>
        <v>3877</v>
      </c>
      <c r="R1731" s="5">
        <f>_xlfn.XLOOKUP(CustomerCombined[[#This Row],[ID]], Table4[ID], Table4[Deals], "Not Found", 0)</f>
        <v>1</v>
      </c>
      <c r="S1731" s="5">
        <f>_xlfn.XLOOKUP(CustomerCombined[[#This Row],[ID]], Table4[ID], Table4[Website], "Not Found", 0)</f>
        <v>2</v>
      </c>
      <c r="T1731" s="5">
        <f>_xlfn.XLOOKUP(CustomerCombined[[#This Row],[ID]], Table4[ID], Table4[Catalog], "Not Found", 0)</f>
        <v>9</v>
      </c>
      <c r="U1731" s="5">
        <f>_xlfn.XLOOKUP(CustomerCombined[[#This Row],[ID]], Table4[ID], Table4[Store], "Not Found", 0)</f>
        <v>13</v>
      </c>
      <c r="V1731" s="5">
        <f>_xlfn.XLOOKUP(CustomerCombined[[#This Row],[ID]], Table4[ID], Table4[Visits], "Not Found", 0)</f>
        <v>5</v>
      </c>
      <c r="W1731" s="8">
        <f>_xlfn.XLOOKUP(CustomerCombined[[#This Row],[ID]], Table2[ID],Table2[Complaint], "Not Found", 0 )</f>
        <v>0</v>
      </c>
      <c r="X1731" s="8">
        <f>_xlfn.XLOOKUP(CustomerCombined[[#This Row],[ID]], Table2[ID],Table2[Pilot], "Not Found", 0 )</f>
        <v>1</v>
      </c>
      <c r="Y1731" s="8">
        <f>_xlfn.XLOOKUP(CustomerCombined[[#This Row],[ID]], Table2[ID],Table2[MC1], "Not Found", 0 )</f>
        <v>0</v>
      </c>
      <c r="Z1731" s="8">
        <f>_xlfn.XLOOKUP(CustomerCombined[[#This Row],[ID]], Table2[ID],Table2[MC2], "Not Found", 0 )</f>
        <v>0</v>
      </c>
      <c r="AA1731" s="8">
        <f>_xlfn.XLOOKUP(CustomerCombined[[#This Row],[ID]], Table2[ID],Table2[MC3], "Not Found", 0 )</f>
        <v>0</v>
      </c>
      <c r="AB1731" s="8">
        <f>_xlfn.XLOOKUP(CustomerCombined[[#This Row],[ID]], Table2[ID],Table2[MC4], "Not Found", 0 )</f>
        <v>0</v>
      </c>
      <c r="AC1731" s="8">
        <f>_xlfn.XLOOKUP(CustomerCombined[[#This Row],[ID]], Table2[ID],Table2[MC5], "Not Found", 0 )</f>
        <v>0</v>
      </c>
    </row>
    <row r="1732" spans="1:29" x14ac:dyDescent="0.3">
      <c r="A1732" s="6">
        <v>2349</v>
      </c>
      <c r="B1732" s="6">
        <v>167267</v>
      </c>
      <c r="C1732" s="6">
        <v>0</v>
      </c>
      <c r="D1732" s="6">
        <v>1</v>
      </c>
      <c r="E1732" s="6">
        <v>62</v>
      </c>
      <c r="F1732" s="5" t="s">
        <v>6</v>
      </c>
      <c r="G1732" s="5" t="s">
        <v>11</v>
      </c>
      <c r="H1732" s="3" t="s">
        <v>51</v>
      </c>
      <c r="I1732" s="5" t="s">
        <v>435</v>
      </c>
      <c r="J1732" s="5">
        <f>_xlfn.XLOOKUP(CustomerCombined[[#This Row],[ID]], Table4[ID], Table4[Recency], "Not Found", 0)</f>
        <v>0</v>
      </c>
      <c r="K1732" s="5">
        <f>_xlfn.XLOOKUP(CustomerCombined[[#This Row],[ID]], Table4[ID], Table4[Teas], "Not Found", 0)</f>
        <v>333</v>
      </c>
      <c r="L1732" s="5">
        <f>_xlfn.XLOOKUP(CustomerCombined[[#This Row],[ID]], Table4[ID], Table4[Fruits], "Not Found", 0)</f>
        <v>27</v>
      </c>
      <c r="M1732" s="5">
        <f>_xlfn.XLOOKUP(CustomerCombined[[#This Row],[ID]], Table4[ID], Table4[Meats], "Not Found", 0)</f>
        <v>147</v>
      </c>
      <c r="N1732" s="5">
        <f>_xlfn.XLOOKUP(CustomerCombined[[#This Row],[ID]], Table4[ID], Table4[Seafood], "Not Found", 0)</f>
        <v>37</v>
      </c>
      <c r="O1732" s="5">
        <f>_xlfn.XLOOKUP(CustomerCombined[[#This Row],[ID]], Table4[ID], Table4[Sweets], "Not Found", 0)</f>
        <v>5</v>
      </c>
      <c r="P1732" s="5">
        <f>_xlfn.XLOOKUP(CustomerCombined[[#This Row],[ID]], Table4[ID], Table4[Premium], "Not Found", 0)</f>
        <v>75</v>
      </c>
      <c r="Q1732" s="5">
        <f>_xlfn.XLOOKUP(CustomerCombined[[#This Row],[ID]], Table4[ID], Table4[Regular], "Not Found", 0)</f>
        <v>475</v>
      </c>
      <c r="R1732" s="5">
        <f>_xlfn.XLOOKUP(CustomerCombined[[#This Row],[ID]], Table4[ID], Table4[Deals], "Not Found", 0)</f>
        <v>1</v>
      </c>
      <c r="S1732" s="5">
        <f>_xlfn.XLOOKUP(CustomerCombined[[#This Row],[ID]], Table4[ID], Table4[Website], "Not Found", 0)</f>
        <v>3</v>
      </c>
      <c r="T1732" s="5">
        <f>_xlfn.XLOOKUP(CustomerCombined[[#This Row],[ID]], Table4[ID], Table4[Catalog], "Not Found", 0)</f>
        <v>2</v>
      </c>
      <c r="U1732" s="5">
        <f>_xlfn.XLOOKUP(CustomerCombined[[#This Row],[ID]], Table4[ID], Table4[Store], "Not Found", 0)</f>
        <v>5</v>
      </c>
      <c r="V1732" s="5">
        <f>_xlfn.XLOOKUP(CustomerCombined[[#This Row],[ID]], Table4[ID], Table4[Visits], "Not Found", 0)</f>
        <v>2</v>
      </c>
      <c r="W1732" s="8">
        <f>_xlfn.XLOOKUP(CustomerCombined[[#This Row],[ID]], Table2[ID],Table2[Complaint], "Not Found", 0 )</f>
        <v>0</v>
      </c>
      <c r="X1732" s="8">
        <f>_xlfn.XLOOKUP(CustomerCombined[[#This Row],[ID]], Table2[ID],Table2[Pilot], "Not Found", 0 )</f>
        <v>0</v>
      </c>
      <c r="Y1732" s="8">
        <f>_xlfn.XLOOKUP(CustomerCombined[[#This Row],[ID]], Table2[ID],Table2[MC1], "Not Found", 0 )</f>
        <v>0</v>
      </c>
      <c r="Z1732" s="8">
        <f>_xlfn.XLOOKUP(CustomerCombined[[#This Row],[ID]], Table2[ID],Table2[MC2], "Not Found", 0 )</f>
        <v>0</v>
      </c>
      <c r="AA1732" s="8">
        <f>_xlfn.XLOOKUP(CustomerCombined[[#This Row],[ID]], Table2[ID],Table2[MC3], "Not Found", 0 )</f>
        <v>0</v>
      </c>
      <c r="AB1732" s="8">
        <f>_xlfn.XLOOKUP(CustomerCombined[[#This Row],[ID]], Table2[ID],Table2[MC4], "Not Found", 0 )</f>
        <v>0</v>
      </c>
      <c r="AC1732" s="8">
        <f>_xlfn.XLOOKUP(CustomerCombined[[#This Row],[ID]], Table2[ID],Table2[MC5], "Not Found", 0 )</f>
        <v>0</v>
      </c>
    </row>
    <row r="1733" spans="1:29" x14ac:dyDescent="0.3">
      <c r="A1733" s="6">
        <v>1632</v>
      </c>
      <c r="B1733" s="6">
        <v>166886</v>
      </c>
      <c r="C1733" s="6">
        <v>0</v>
      </c>
      <c r="D1733" s="6">
        <v>1</v>
      </c>
      <c r="E1733" s="6">
        <v>62</v>
      </c>
      <c r="F1733" s="5" t="s">
        <v>8</v>
      </c>
      <c r="G1733" s="5" t="s">
        <v>11</v>
      </c>
      <c r="H1733" s="3" t="s">
        <v>183</v>
      </c>
      <c r="I1733" s="5" t="s">
        <v>436</v>
      </c>
      <c r="J1733" s="5">
        <f>_xlfn.XLOOKUP(CustomerCombined[[#This Row],[ID]], Table4[ID], Table4[Recency], "Not Found", 0)</f>
        <v>28</v>
      </c>
      <c r="K1733" s="5">
        <f>_xlfn.XLOOKUP(CustomerCombined[[#This Row],[ID]], Table4[ID], Table4[Teas], "Not Found", 0)</f>
        <v>786</v>
      </c>
      <c r="L1733" s="5">
        <f>_xlfn.XLOOKUP(CustomerCombined[[#This Row],[ID]], Table4[ID], Table4[Fruits], "Not Found", 0)</f>
        <v>10</v>
      </c>
      <c r="M1733" s="5">
        <f>_xlfn.XLOOKUP(CustomerCombined[[#This Row],[ID]], Table4[ID], Table4[Meats], "Not Found", 0)</f>
        <v>155</v>
      </c>
      <c r="N1733" s="5">
        <f>_xlfn.XLOOKUP(CustomerCombined[[#This Row],[ID]], Table4[ID], Table4[Seafood], "Not Found", 0)</f>
        <v>102</v>
      </c>
      <c r="O1733" s="5">
        <f>_xlfn.XLOOKUP(CustomerCombined[[#This Row],[ID]], Table4[ID], Table4[Sweets], "Not Found", 0)</f>
        <v>77</v>
      </c>
      <c r="P1733" s="5">
        <f>_xlfn.XLOOKUP(CustomerCombined[[#This Row],[ID]], Table4[ID], Table4[Premium], "Not Found", 0)</f>
        <v>364</v>
      </c>
      <c r="Q1733" s="5">
        <f>_xlfn.XLOOKUP(CustomerCombined[[#This Row],[ID]], Table4[ID], Table4[Regular], "Not Found", 0)</f>
        <v>766</v>
      </c>
      <c r="R1733" s="5">
        <f>_xlfn.XLOOKUP(CustomerCombined[[#This Row],[ID]], Table4[ID], Table4[Deals], "Not Found", 0)</f>
        <v>2</v>
      </c>
      <c r="S1733" s="5">
        <f>_xlfn.XLOOKUP(CustomerCombined[[#This Row],[ID]], Table4[ID], Table4[Website], "Not Found", 0)</f>
        <v>7</v>
      </c>
      <c r="T1733" s="5">
        <f>_xlfn.XLOOKUP(CustomerCombined[[#This Row],[ID]], Table4[ID], Table4[Catalog], "Not Found", 0)</f>
        <v>1</v>
      </c>
      <c r="U1733" s="5">
        <f>_xlfn.XLOOKUP(CustomerCombined[[#This Row],[ID]], Table4[ID], Table4[Store], "Not Found", 0)</f>
        <v>7</v>
      </c>
      <c r="V1733" s="5">
        <f>_xlfn.XLOOKUP(CustomerCombined[[#This Row],[ID]], Table4[ID], Table4[Visits], "Not Found", 0)</f>
        <v>5</v>
      </c>
      <c r="W1733" s="8">
        <f>_xlfn.XLOOKUP(CustomerCombined[[#This Row],[ID]], Table2[ID],Table2[Complaint], "Not Found", 0 )</f>
        <v>0</v>
      </c>
      <c r="X1733" s="8">
        <f>_xlfn.XLOOKUP(CustomerCombined[[#This Row],[ID]], Table2[ID],Table2[Pilot], "Not Found", 0 )</f>
        <v>0</v>
      </c>
      <c r="Y1733" s="8">
        <f>_xlfn.XLOOKUP(CustomerCombined[[#This Row],[ID]], Table2[ID],Table2[MC1], "Not Found", 0 )</f>
        <v>0</v>
      </c>
      <c r="Z1733" s="8">
        <f>_xlfn.XLOOKUP(CustomerCombined[[#This Row],[ID]], Table2[ID],Table2[MC2], "Not Found", 0 )</f>
        <v>0</v>
      </c>
      <c r="AA1733" s="8">
        <f>_xlfn.XLOOKUP(CustomerCombined[[#This Row],[ID]], Table2[ID],Table2[MC3], "Not Found", 0 )</f>
        <v>0</v>
      </c>
      <c r="AB1733" s="8">
        <f>_xlfn.XLOOKUP(CustomerCombined[[#This Row],[ID]], Table2[ID],Table2[MC4], "Not Found", 0 )</f>
        <v>0</v>
      </c>
      <c r="AC1733" s="8">
        <f>_xlfn.XLOOKUP(CustomerCombined[[#This Row],[ID]], Table2[ID],Table2[MC5], "Not Found", 0 )</f>
        <v>0</v>
      </c>
    </row>
    <row r="1734" spans="1:29" x14ac:dyDescent="0.3">
      <c r="A1734" s="6">
        <v>1614</v>
      </c>
      <c r="B1734" s="6">
        <v>165488</v>
      </c>
      <c r="C1734" s="6">
        <v>0</v>
      </c>
      <c r="D1734" s="6">
        <v>0</v>
      </c>
      <c r="E1734" s="6">
        <v>62</v>
      </c>
      <c r="F1734" s="5" t="s">
        <v>8</v>
      </c>
      <c r="G1734" s="5" t="s">
        <v>13</v>
      </c>
      <c r="H1734" s="3" t="s">
        <v>36</v>
      </c>
      <c r="I1734" s="5" t="s">
        <v>436</v>
      </c>
      <c r="J1734" s="5">
        <f>_xlfn.XLOOKUP(CustomerCombined[[#This Row],[ID]], Table4[ID], Table4[Recency], "Not Found", 0)</f>
        <v>46</v>
      </c>
      <c r="K1734" s="5">
        <f>_xlfn.XLOOKUP(CustomerCombined[[#This Row],[ID]], Table4[ID], Table4[Teas], "Not Found", 0)</f>
        <v>1524</v>
      </c>
      <c r="L1734" s="5">
        <f>_xlfn.XLOOKUP(CustomerCombined[[#This Row],[ID]], Table4[ID], Table4[Fruits], "Not Found", 0)</f>
        <v>114</v>
      </c>
      <c r="M1734" s="5">
        <f>_xlfn.XLOOKUP(CustomerCombined[[#This Row],[ID]], Table4[ID], Table4[Meats], "Not Found", 0)</f>
        <v>523</v>
      </c>
      <c r="N1734" s="5">
        <f>_xlfn.XLOOKUP(CustomerCombined[[#This Row],[ID]], Table4[ID], Table4[Seafood], "Not Found", 0)</f>
        <v>91</v>
      </c>
      <c r="O1734" s="5">
        <f>_xlfn.XLOOKUP(CustomerCombined[[#This Row],[ID]], Table4[ID], Table4[Sweets], "Not Found", 0)</f>
        <v>45</v>
      </c>
      <c r="P1734" s="5">
        <f>_xlfn.XLOOKUP(CustomerCombined[[#This Row],[ID]], Table4[ID], Table4[Premium], "Not Found", 0)</f>
        <v>136</v>
      </c>
      <c r="Q1734" s="5">
        <f>_xlfn.XLOOKUP(CustomerCombined[[#This Row],[ID]], Table4[ID], Table4[Regular], "Not Found", 0)</f>
        <v>2161</v>
      </c>
      <c r="R1734" s="5">
        <f>_xlfn.XLOOKUP(CustomerCombined[[#This Row],[ID]], Table4[ID], Table4[Deals], "Not Found", 0)</f>
        <v>1</v>
      </c>
      <c r="S1734" s="5">
        <f>_xlfn.XLOOKUP(CustomerCombined[[#This Row],[ID]], Table4[ID], Table4[Website], "Not Found", 0)</f>
        <v>3</v>
      </c>
      <c r="T1734" s="5">
        <f>_xlfn.XLOOKUP(CustomerCombined[[#This Row],[ID]], Table4[ID], Table4[Catalog], "Not Found", 0)</f>
        <v>4</v>
      </c>
      <c r="U1734" s="5">
        <f>_xlfn.XLOOKUP(CustomerCombined[[#This Row],[ID]], Table4[ID], Table4[Store], "Not Found", 0)</f>
        <v>6</v>
      </c>
      <c r="V1734" s="5">
        <f>_xlfn.XLOOKUP(CustomerCombined[[#This Row],[ID]], Table4[ID], Table4[Visits], "Not Found", 0)</f>
        <v>1</v>
      </c>
      <c r="W1734" s="8">
        <f>_xlfn.XLOOKUP(CustomerCombined[[#This Row],[ID]], Table2[ID],Table2[Complaint], "Not Found", 0 )</f>
        <v>0</v>
      </c>
      <c r="X1734" s="8">
        <f>_xlfn.XLOOKUP(CustomerCombined[[#This Row],[ID]], Table2[ID],Table2[Pilot], "Not Found", 0 )</f>
        <v>0</v>
      </c>
      <c r="Y1734" s="8">
        <f>_xlfn.XLOOKUP(CustomerCombined[[#This Row],[ID]], Table2[ID],Table2[MC1], "Not Found", 0 )</f>
        <v>0</v>
      </c>
      <c r="Z1734" s="8">
        <f>_xlfn.XLOOKUP(CustomerCombined[[#This Row],[ID]], Table2[ID],Table2[MC2], "Not Found", 0 )</f>
        <v>0</v>
      </c>
      <c r="AA1734" s="8">
        <f>_xlfn.XLOOKUP(CustomerCombined[[#This Row],[ID]], Table2[ID],Table2[MC3], "Not Found", 0 )</f>
        <v>0</v>
      </c>
      <c r="AB1734" s="8">
        <f>_xlfn.XLOOKUP(CustomerCombined[[#This Row],[ID]], Table2[ID],Table2[MC4], "Not Found", 0 )</f>
        <v>0</v>
      </c>
      <c r="AC1734" s="8">
        <f>_xlfn.XLOOKUP(CustomerCombined[[#This Row],[ID]], Table2[ID],Table2[MC5], "Not Found", 0 )</f>
        <v>0</v>
      </c>
    </row>
    <row r="1735" spans="1:29" x14ac:dyDescent="0.3">
      <c r="A1735" s="6">
        <v>2042</v>
      </c>
      <c r="B1735" s="6">
        <v>165196</v>
      </c>
      <c r="C1735" s="6">
        <v>0</v>
      </c>
      <c r="D1735" s="6">
        <v>2</v>
      </c>
      <c r="E1735" s="6">
        <v>62</v>
      </c>
      <c r="F1735" s="5" t="s">
        <v>8</v>
      </c>
      <c r="G1735" s="5" t="s">
        <v>11</v>
      </c>
      <c r="H1735" s="3" t="s">
        <v>211</v>
      </c>
      <c r="I1735" s="5" t="s">
        <v>438</v>
      </c>
      <c r="J1735" s="5">
        <f>_xlfn.XLOOKUP(CustomerCombined[[#This Row],[ID]], Table4[ID], Table4[Recency], "Not Found", 0)</f>
        <v>34</v>
      </c>
      <c r="K1735" s="5">
        <f>_xlfn.XLOOKUP(CustomerCombined[[#This Row],[ID]], Table4[ID], Table4[Teas], "Not Found", 0)</f>
        <v>1883</v>
      </c>
      <c r="L1735" s="5">
        <f>_xlfn.XLOOKUP(CustomerCombined[[#This Row],[ID]], Table4[ID], Table4[Fruits], "Not Found", 0)</f>
        <v>48</v>
      </c>
      <c r="M1735" s="5">
        <f>_xlfn.XLOOKUP(CustomerCombined[[#This Row],[ID]], Table4[ID], Table4[Meats], "Not Found", 0)</f>
        <v>459</v>
      </c>
      <c r="N1735" s="5">
        <f>_xlfn.XLOOKUP(CustomerCombined[[#This Row],[ID]], Table4[ID], Table4[Seafood], "Not Found", 0)</f>
        <v>30</v>
      </c>
      <c r="O1735" s="5">
        <f>_xlfn.XLOOKUP(CustomerCombined[[#This Row],[ID]], Table4[ID], Table4[Sweets], "Not Found", 0)</f>
        <v>0</v>
      </c>
      <c r="P1735" s="5">
        <f>_xlfn.XLOOKUP(CustomerCombined[[#This Row],[ID]], Table4[ID], Table4[Premium], "Not Found", 0)</f>
        <v>507</v>
      </c>
      <c r="Q1735" s="5">
        <f>_xlfn.XLOOKUP(CustomerCombined[[#This Row],[ID]], Table4[ID], Table4[Regular], "Not Found", 0)</f>
        <v>1913</v>
      </c>
      <c r="R1735" s="5">
        <f>_xlfn.XLOOKUP(CustomerCombined[[#This Row],[ID]], Table4[ID], Table4[Deals], "Not Found", 0)</f>
        <v>2</v>
      </c>
      <c r="S1735" s="5">
        <f>_xlfn.XLOOKUP(CustomerCombined[[#This Row],[ID]], Table4[ID], Table4[Website], "Not Found", 0)</f>
        <v>7</v>
      </c>
      <c r="T1735" s="5">
        <f>_xlfn.XLOOKUP(CustomerCombined[[#This Row],[ID]], Table4[ID], Table4[Catalog], "Not Found", 0)</f>
        <v>6</v>
      </c>
      <c r="U1735" s="5">
        <f>_xlfn.XLOOKUP(CustomerCombined[[#This Row],[ID]], Table4[ID], Table4[Store], "Not Found", 0)</f>
        <v>11</v>
      </c>
      <c r="V1735" s="5">
        <f>_xlfn.XLOOKUP(CustomerCombined[[#This Row],[ID]], Table4[ID], Table4[Visits], "Not Found", 0)</f>
        <v>5</v>
      </c>
      <c r="W1735" s="8">
        <f>_xlfn.XLOOKUP(CustomerCombined[[#This Row],[ID]], Table2[ID],Table2[Complaint], "Not Found", 0 )</f>
        <v>0</v>
      </c>
      <c r="X1735" s="8">
        <f>_xlfn.XLOOKUP(CustomerCombined[[#This Row],[ID]], Table2[ID],Table2[Pilot], "Not Found", 0 )</f>
        <v>0</v>
      </c>
      <c r="Y1735" s="8">
        <f>_xlfn.XLOOKUP(CustomerCombined[[#This Row],[ID]], Table2[ID],Table2[MC1], "Not Found", 0 )</f>
        <v>0</v>
      </c>
      <c r="Z1735" s="8">
        <f>_xlfn.XLOOKUP(CustomerCombined[[#This Row],[ID]], Table2[ID],Table2[MC2], "Not Found", 0 )</f>
        <v>0</v>
      </c>
      <c r="AA1735" s="8">
        <f>_xlfn.XLOOKUP(CustomerCombined[[#This Row],[ID]], Table2[ID],Table2[MC3], "Not Found", 0 )</f>
        <v>1</v>
      </c>
      <c r="AB1735" s="8">
        <f>_xlfn.XLOOKUP(CustomerCombined[[#This Row],[ID]], Table2[ID],Table2[MC4], "Not Found", 0 )</f>
        <v>0</v>
      </c>
      <c r="AC1735" s="8">
        <f>_xlfn.XLOOKUP(CustomerCombined[[#This Row],[ID]], Table2[ID],Table2[MC5], "Not Found", 0 )</f>
        <v>0</v>
      </c>
    </row>
    <row r="1736" spans="1:29" x14ac:dyDescent="0.3">
      <c r="A1736" s="6">
        <v>2450</v>
      </c>
      <c r="B1736" s="6">
        <v>165148</v>
      </c>
      <c r="C1736" s="6">
        <v>0</v>
      </c>
      <c r="D1736" s="6">
        <v>1</v>
      </c>
      <c r="E1736" s="6">
        <v>62</v>
      </c>
      <c r="F1736" s="5" t="s">
        <v>6</v>
      </c>
      <c r="G1736" s="5" t="s">
        <v>11</v>
      </c>
      <c r="H1736" s="3" t="s">
        <v>360</v>
      </c>
      <c r="I1736" s="5" t="s">
        <v>438</v>
      </c>
      <c r="J1736" s="5">
        <f>_xlfn.XLOOKUP(CustomerCombined[[#This Row],[ID]], Table4[ID], Table4[Recency], "Not Found", 0)</f>
        <v>9</v>
      </c>
      <c r="K1736" s="5">
        <f>_xlfn.XLOOKUP(CustomerCombined[[#This Row],[ID]], Table4[ID], Table4[Teas], "Not Found", 0)</f>
        <v>1166</v>
      </c>
      <c r="L1736" s="5">
        <f>_xlfn.XLOOKUP(CustomerCombined[[#This Row],[ID]], Table4[ID], Table4[Fruits], "Not Found", 0)</f>
        <v>89</v>
      </c>
      <c r="M1736" s="5">
        <f>_xlfn.XLOOKUP(CustomerCombined[[#This Row],[ID]], Table4[ID], Table4[Meats], "Not Found", 0)</f>
        <v>1070</v>
      </c>
      <c r="N1736" s="5">
        <f>_xlfn.XLOOKUP(CustomerCombined[[#This Row],[ID]], Table4[ID], Table4[Seafood], "Not Found", 0)</f>
        <v>84</v>
      </c>
      <c r="O1736" s="5">
        <f>_xlfn.XLOOKUP(CustomerCombined[[#This Row],[ID]], Table4[ID], Table4[Sweets], "Not Found", 0)</f>
        <v>30</v>
      </c>
      <c r="P1736" s="5">
        <f>_xlfn.XLOOKUP(CustomerCombined[[#This Row],[ID]], Table4[ID], Table4[Premium], "Not Found", 0)</f>
        <v>388</v>
      </c>
      <c r="Q1736" s="5">
        <f>_xlfn.XLOOKUP(CustomerCombined[[#This Row],[ID]], Table4[ID], Table4[Regular], "Not Found", 0)</f>
        <v>2051</v>
      </c>
      <c r="R1736" s="5">
        <f>_xlfn.XLOOKUP(CustomerCombined[[#This Row],[ID]], Table4[ID], Table4[Deals], "Not Found", 0)</f>
        <v>2</v>
      </c>
      <c r="S1736" s="5">
        <f>_xlfn.XLOOKUP(CustomerCombined[[#This Row],[ID]], Table4[ID], Table4[Website], "Not Found", 0)</f>
        <v>6</v>
      </c>
      <c r="T1736" s="5">
        <f>_xlfn.XLOOKUP(CustomerCombined[[#This Row],[ID]], Table4[ID], Table4[Catalog], "Not Found", 0)</f>
        <v>6</v>
      </c>
      <c r="U1736" s="5">
        <f>_xlfn.XLOOKUP(CustomerCombined[[#This Row],[ID]], Table4[ID], Table4[Store], "Not Found", 0)</f>
        <v>7</v>
      </c>
      <c r="V1736" s="5">
        <f>_xlfn.XLOOKUP(CustomerCombined[[#This Row],[ID]], Table4[ID], Table4[Visits], "Not Found", 0)</f>
        <v>4</v>
      </c>
      <c r="W1736" s="8">
        <f>_xlfn.XLOOKUP(CustomerCombined[[#This Row],[ID]], Table2[ID],Table2[Complaint], "Not Found", 0 )</f>
        <v>0</v>
      </c>
      <c r="X1736" s="8">
        <f>_xlfn.XLOOKUP(CustomerCombined[[#This Row],[ID]], Table2[ID],Table2[Pilot], "Not Found", 0 )</f>
        <v>0</v>
      </c>
      <c r="Y1736" s="8">
        <f>_xlfn.XLOOKUP(CustomerCombined[[#This Row],[ID]], Table2[ID],Table2[MC1], "Not Found", 0 )</f>
        <v>0</v>
      </c>
      <c r="Z1736" s="8">
        <f>_xlfn.XLOOKUP(CustomerCombined[[#This Row],[ID]], Table2[ID],Table2[MC2], "Not Found", 0 )</f>
        <v>0</v>
      </c>
      <c r="AA1736" s="8">
        <f>_xlfn.XLOOKUP(CustomerCombined[[#This Row],[ID]], Table2[ID],Table2[MC3], "Not Found", 0 )</f>
        <v>0</v>
      </c>
      <c r="AB1736" s="8">
        <f>_xlfn.XLOOKUP(CustomerCombined[[#This Row],[ID]], Table2[ID],Table2[MC4], "Not Found", 0 )</f>
        <v>0</v>
      </c>
      <c r="AC1736" s="8">
        <f>_xlfn.XLOOKUP(CustomerCombined[[#This Row],[ID]], Table2[ID],Table2[MC5], "Not Found", 0 )</f>
        <v>0</v>
      </c>
    </row>
    <row r="1737" spans="1:29" x14ac:dyDescent="0.3">
      <c r="A1737" s="6">
        <v>1228</v>
      </c>
      <c r="B1737" s="6">
        <v>164961</v>
      </c>
      <c r="C1737" s="6">
        <v>0</v>
      </c>
      <c r="D1737" s="6">
        <v>1</v>
      </c>
      <c r="E1737" s="6">
        <v>62</v>
      </c>
      <c r="F1737" s="5" t="s">
        <v>8</v>
      </c>
      <c r="G1737" s="5" t="s">
        <v>11</v>
      </c>
      <c r="H1737" s="3" t="s">
        <v>336</v>
      </c>
      <c r="I1737" s="5" t="s">
        <v>439</v>
      </c>
      <c r="J1737" s="5">
        <f>_xlfn.XLOOKUP(CustomerCombined[[#This Row],[ID]], Table4[ID], Table4[Recency], "Not Found", 0)</f>
        <v>97</v>
      </c>
      <c r="K1737" s="5">
        <f>_xlfn.XLOOKUP(CustomerCombined[[#This Row],[ID]], Table4[ID], Table4[Teas], "Not Found", 0)</f>
        <v>970</v>
      </c>
      <c r="L1737" s="5">
        <f>_xlfn.XLOOKUP(CustomerCombined[[#This Row],[ID]], Table4[ID], Table4[Fruits], "Not Found", 0)</f>
        <v>289</v>
      </c>
      <c r="M1737" s="5">
        <f>_xlfn.XLOOKUP(CustomerCombined[[#This Row],[ID]], Table4[ID], Table4[Meats], "Not Found", 0)</f>
        <v>701</v>
      </c>
      <c r="N1737" s="5">
        <f>_xlfn.XLOOKUP(CustomerCombined[[#This Row],[ID]], Table4[ID], Table4[Seafood], "Not Found", 0)</f>
        <v>190</v>
      </c>
      <c r="O1737" s="5">
        <f>_xlfn.XLOOKUP(CustomerCombined[[#This Row],[ID]], Table4[ID], Table4[Sweets], "Not Found", 0)</f>
        <v>315</v>
      </c>
      <c r="P1737" s="5">
        <f>_xlfn.XLOOKUP(CustomerCombined[[#This Row],[ID]], Table4[ID], Table4[Premium], "Not Found", 0)</f>
        <v>96</v>
      </c>
      <c r="Q1737" s="5">
        <f>_xlfn.XLOOKUP(CustomerCombined[[#This Row],[ID]], Table4[ID], Table4[Regular], "Not Found", 0)</f>
        <v>2369</v>
      </c>
      <c r="R1737" s="5">
        <f>_xlfn.XLOOKUP(CustomerCombined[[#This Row],[ID]], Table4[ID], Table4[Deals], "Not Found", 0)</f>
        <v>2</v>
      </c>
      <c r="S1737" s="5">
        <f>_xlfn.XLOOKUP(CustomerCombined[[#This Row],[ID]], Table4[ID], Table4[Website], "Not Found", 0)</f>
        <v>6</v>
      </c>
      <c r="T1737" s="5">
        <f>_xlfn.XLOOKUP(CustomerCombined[[#This Row],[ID]], Table4[ID], Table4[Catalog], "Not Found", 0)</f>
        <v>4</v>
      </c>
      <c r="U1737" s="5">
        <f>_xlfn.XLOOKUP(CustomerCombined[[#This Row],[ID]], Table4[ID], Table4[Store], "Not Found", 0)</f>
        <v>4</v>
      </c>
      <c r="V1737" s="5">
        <f>_xlfn.XLOOKUP(CustomerCombined[[#This Row],[ID]], Table4[ID], Table4[Visits], "Not Found", 0)</f>
        <v>3</v>
      </c>
      <c r="W1737" s="8">
        <f>_xlfn.XLOOKUP(CustomerCombined[[#This Row],[ID]], Table2[ID],Table2[Complaint], "Not Found", 0 )</f>
        <v>0</v>
      </c>
      <c r="X1737" s="8">
        <f>_xlfn.XLOOKUP(CustomerCombined[[#This Row],[ID]], Table2[ID],Table2[Pilot], "Not Found", 0 )</f>
        <v>0</v>
      </c>
      <c r="Y1737" s="8">
        <f>_xlfn.XLOOKUP(CustomerCombined[[#This Row],[ID]], Table2[ID],Table2[MC1], "Not Found", 0 )</f>
        <v>0</v>
      </c>
      <c r="Z1737" s="8">
        <f>_xlfn.XLOOKUP(CustomerCombined[[#This Row],[ID]], Table2[ID],Table2[MC2], "Not Found", 0 )</f>
        <v>0</v>
      </c>
      <c r="AA1737" s="8">
        <f>_xlfn.XLOOKUP(CustomerCombined[[#This Row],[ID]], Table2[ID],Table2[MC3], "Not Found", 0 )</f>
        <v>0</v>
      </c>
      <c r="AB1737" s="8">
        <f>_xlfn.XLOOKUP(CustomerCombined[[#This Row],[ID]], Table2[ID],Table2[MC4], "Not Found", 0 )</f>
        <v>0</v>
      </c>
      <c r="AC1737" s="8">
        <f>_xlfn.XLOOKUP(CustomerCombined[[#This Row],[ID]], Table2[ID],Table2[MC5], "Not Found", 0 )</f>
        <v>0</v>
      </c>
    </row>
    <row r="1738" spans="1:29" x14ac:dyDescent="0.3">
      <c r="A1738" s="6">
        <v>1122</v>
      </c>
      <c r="B1738" s="6">
        <v>161331</v>
      </c>
      <c r="C1738" s="6">
        <v>1</v>
      </c>
      <c r="D1738" s="6">
        <v>1</v>
      </c>
      <c r="E1738" s="6">
        <v>62</v>
      </c>
      <c r="F1738" s="5" t="s">
        <v>7</v>
      </c>
      <c r="G1738" s="5" t="s">
        <v>12</v>
      </c>
      <c r="H1738" s="3" t="s">
        <v>297</v>
      </c>
      <c r="I1738" s="5" t="s">
        <v>436</v>
      </c>
      <c r="J1738" s="5">
        <f>_xlfn.XLOOKUP(CustomerCombined[[#This Row],[ID]], Table4[ID], Table4[Recency], "Not Found", 0)</f>
        <v>42</v>
      </c>
      <c r="K1738" s="5">
        <f>_xlfn.XLOOKUP(CustomerCombined[[#This Row],[ID]], Table4[ID], Table4[Teas], "Not Found", 0)</f>
        <v>1405</v>
      </c>
      <c r="L1738" s="5">
        <f>_xlfn.XLOOKUP(CustomerCombined[[#This Row],[ID]], Table4[ID], Table4[Fruits], "Not Found", 0)</f>
        <v>13</v>
      </c>
      <c r="M1738" s="5">
        <f>_xlfn.XLOOKUP(CustomerCombined[[#This Row],[ID]], Table4[ID], Table4[Meats], "Not Found", 0)</f>
        <v>124</v>
      </c>
      <c r="N1738" s="5">
        <f>_xlfn.XLOOKUP(CustomerCombined[[#This Row],[ID]], Table4[ID], Table4[Seafood], "Not Found", 0)</f>
        <v>0</v>
      </c>
      <c r="O1738" s="5">
        <f>_xlfn.XLOOKUP(CustomerCombined[[#This Row],[ID]], Table4[ID], Table4[Sweets], "Not Found", 0)</f>
        <v>13</v>
      </c>
      <c r="P1738" s="5">
        <f>_xlfn.XLOOKUP(CustomerCombined[[#This Row],[ID]], Table4[ID], Table4[Premium], "Not Found", 0)</f>
        <v>108</v>
      </c>
      <c r="Q1738" s="5">
        <f>_xlfn.XLOOKUP(CustomerCombined[[#This Row],[ID]], Table4[ID], Table4[Regular], "Not Found", 0)</f>
        <v>1447</v>
      </c>
      <c r="R1738" s="5">
        <f>_xlfn.XLOOKUP(CustomerCombined[[#This Row],[ID]], Table4[ID], Table4[Deals], "Not Found", 0)</f>
        <v>5</v>
      </c>
      <c r="S1738" s="5">
        <f>_xlfn.XLOOKUP(CustomerCombined[[#This Row],[ID]], Table4[ID], Table4[Website], "Not Found", 0)</f>
        <v>11</v>
      </c>
      <c r="T1738" s="5">
        <f>_xlfn.XLOOKUP(CustomerCombined[[#This Row],[ID]], Table4[ID], Table4[Catalog], "Not Found", 0)</f>
        <v>1</v>
      </c>
      <c r="U1738" s="5">
        <f>_xlfn.XLOOKUP(CustomerCombined[[#This Row],[ID]], Table4[ID], Table4[Store], "Not Found", 0)</f>
        <v>6</v>
      </c>
      <c r="V1738" s="5">
        <f>_xlfn.XLOOKUP(CustomerCombined[[#This Row],[ID]], Table4[ID], Table4[Visits], "Not Found", 0)</f>
        <v>8</v>
      </c>
      <c r="W1738" s="8">
        <f>_xlfn.XLOOKUP(CustomerCombined[[#This Row],[ID]], Table2[ID],Table2[Complaint], "Not Found", 0 )</f>
        <v>0</v>
      </c>
      <c r="X1738" s="8">
        <f>_xlfn.XLOOKUP(CustomerCombined[[#This Row],[ID]], Table2[ID],Table2[Pilot], "Not Found", 0 )</f>
        <v>0</v>
      </c>
      <c r="Y1738" s="8">
        <f>_xlfn.XLOOKUP(CustomerCombined[[#This Row],[ID]], Table2[ID],Table2[MC1], "Not Found", 0 )</f>
        <v>0</v>
      </c>
      <c r="Z1738" s="8">
        <f>_xlfn.XLOOKUP(CustomerCombined[[#This Row],[ID]], Table2[ID],Table2[MC2], "Not Found", 0 )</f>
        <v>0</v>
      </c>
      <c r="AA1738" s="8">
        <f>_xlfn.XLOOKUP(CustomerCombined[[#This Row],[ID]], Table2[ID],Table2[MC3], "Not Found", 0 )</f>
        <v>0</v>
      </c>
      <c r="AB1738" s="8">
        <f>_xlfn.XLOOKUP(CustomerCombined[[#This Row],[ID]], Table2[ID],Table2[MC4], "Not Found", 0 )</f>
        <v>0</v>
      </c>
      <c r="AC1738" s="8">
        <f>_xlfn.XLOOKUP(CustomerCombined[[#This Row],[ID]], Table2[ID],Table2[MC5], "Not Found", 0 )</f>
        <v>0</v>
      </c>
    </row>
    <row r="1739" spans="1:29" x14ac:dyDescent="0.3">
      <c r="A1739" s="6">
        <v>1231</v>
      </c>
      <c r="B1739" s="6">
        <v>161074</v>
      </c>
      <c r="C1739" s="6">
        <v>0</v>
      </c>
      <c r="D1739" s="6">
        <v>1</v>
      </c>
      <c r="E1739" s="6">
        <v>62</v>
      </c>
      <c r="F1739" s="5" t="s">
        <v>6</v>
      </c>
      <c r="G1739" s="5" t="s">
        <v>11</v>
      </c>
      <c r="H1739" s="3" t="s">
        <v>411</v>
      </c>
      <c r="I1739" s="5" t="s">
        <v>437</v>
      </c>
      <c r="J1739" s="5">
        <f>_xlfn.XLOOKUP(CustomerCombined[[#This Row],[ID]], Table4[ID], Table4[Recency], "Not Found", 0)</f>
        <v>37</v>
      </c>
      <c r="K1739" s="5">
        <f>_xlfn.XLOOKUP(CustomerCombined[[#This Row],[ID]], Table4[ID], Table4[Teas], "Not Found", 0)</f>
        <v>2081</v>
      </c>
      <c r="L1739" s="5">
        <f>_xlfn.XLOOKUP(CustomerCombined[[#This Row],[ID]], Table4[ID], Table4[Fruits], "Not Found", 0)</f>
        <v>0</v>
      </c>
      <c r="M1739" s="5">
        <f>_xlfn.XLOOKUP(CustomerCombined[[#This Row],[ID]], Table4[ID], Table4[Meats], "Not Found", 0)</f>
        <v>351</v>
      </c>
      <c r="N1739" s="5">
        <f>_xlfn.XLOOKUP(CustomerCombined[[#This Row],[ID]], Table4[ID], Table4[Seafood], "Not Found", 0)</f>
        <v>0</v>
      </c>
      <c r="O1739" s="5">
        <f>_xlfn.XLOOKUP(CustomerCombined[[#This Row],[ID]], Table4[ID], Table4[Sweets], "Not Found", 0)</f>
        <v>74</v>
      </c>
      <c r="P1739" s="5">
        <f>_xlfn.XLOOKUP(CustomerCombined[[#This Row],[ID]], Table4[ID], Table4[Premium], "Not Found", 0)</f>
        <v>401</v>
      </c>
      <c r="Q1739" s="5">
        <f>_xlfn.XLOOKUP(CustomerCombined[[#This Row],[ID]], Table4[ID], Table4[Regular], "Not Found", 0)</f>
        <v>2105</v>
      </c>
      <c r="R1739" s="5">
        <f>_xlfn.XLOOKUP(CustomerCombined[[#This Row],[ID]], Table4[ID], Table4[Deals], "Not Found", 0)</f>
        <v>7</v>
      </c>
      <c r="S1739" s="5">
        <f>_xlfn.XLOOKUP(CustomerCombined[[#This Row],[ID]], Table4[ID], Table4[Website], "Not Found", 0)</f>
        <v>11</v>
      </c>
      <c r="T1739" s="5">
        <f>_xlfn.XLOOKUP(CustomerCombined[[#This Row],[ID]], Table4[ID], Table4[Catalog], "Not Found", 0)</f>
        <v>5</v>
      </c>
      <c r="U1739" s="5">
        <f>_xlfn.XLOOKUP(CustomerCombined[[#This Row],[ID]], Table4[ID], Table4[Store], "Not Found", 0)</f>
        <v>8</v>
      </c>
      <c r="V1739" s="5">
        <f>_xlfn.XLOOKUP(CustomerCombined[[#This Row],[ID]], Table4[ID], Table4[Visits], "Not Found", 0)</f>
        <v>7</v>
      </c>
      <c r="W1739" s="8">
        <f>_xlfn.XLOOKUP(CustomerCombined[[#This Row],[ID]], Table2[ID],Table2[Complaint], "Not Found", 0 )</f>
        <v>0</v>
      </c>
      <c r="X1739" s="8">
        <f>_xlfn.XLOOKUP(CustomerCombined[[#This Row],[ID]], Table2[ID],Table2[Pilot], "Not Found", 0 )</f>
        <v>0</v>
      </c>
      <c r="Y1739" s="8">
        <f>_xlfn.XLOOKUP(CustomerCombined[[#This Row],[ID]], Table2[ID],Table2[MC1], "Not Found", 0 )</f>
        <v>0</v>
      </c>
      <c r="Z1739" s="8">
        <f>_xlfn.XLOOKUP(CustomerCombined[[#This Row],[ID]], Table2[ID],Table2[MC2], "Not Found", 0 )</f>
        <v>0</v>
      </c>
      <c r="AA1739" s="8">
        <f>_xlfn.XLOOKUP(CustomerCombined[[#This Row],[ID]], Table2[ID],Table2[MC3], "Not Found", 0 )</f>
        <v>0</v>
      </c>
      <c r="AB1739" s="8">
        <f>_xlfn.XLOOKUP(CustomerCombined[[#This Row],[ID]], Table2[ID],Table2[MC4], "Not Found", 0 )</f>
        <v>0</v>
      </c>
      <c r="AC1739" s="8">
        <f>_xlfn.XLOOKUP(CustomerCombined[[#This Row],[ID]], Table2[ID],Table2[MC5], "Not Found", 0 )</f>
        <v>0</v>
      </c>
    </row>
    <row r="1740" spans="1:29" x14ac:dyDescent="0.3">
      <c r="A1740" s="6">
        <v>2485</v>
      </c>
      <c r="B1740" s="6">
        <v>153977</v>
      </c>
      <c r="C1740" s="6">
        <v>0</v>
      </c>
      <c r="D1740" s="6">
        <v>1</v>
      </c>
      <c r="E1740" s="6">
        <v>62</v>
      </c>
      <c r="F1740" s="5" t="s">
        <v>8</v>
      </c>
      <c r="G1740" s="5" t="s">
        <v>11</v>
      </c>
      <c r="H1740" s="3" t="s">
        <v>244</v>
      </c>
      <c r="I1740" s="5" t="s">
        <v>437</v>
      </c>
      <c r="J1740" s="5">
        <f>_xlfn.XLOOKUP(CustomerCombined[[#This Row],[ID]], Table4[ID], Table4[Recency], "Not Found", 0)</f>
        <v>21</v>
      </c>
      <c r="K1740" s="5">
        <f>_xlfn.XLOOKUP(CustomerCombined[[#This Row],[ID]], Table4[ID], Table4[Teas], "Not Found", 0)</f>
        <v>1769</v>
      </c>
      <c r="L1740" s="5">
        <f>_xlfn.XLOOKUP(CustomerCombined[[#This Row],[ID]], Table4[ID], Table4[Fruits], "Not Found", 0)</f>
        <v>46</v>
      </c>
      <c r="M1740" s="5">
        <f>_xlfn.XLOOKUP(CustomerCombined[[#This Row],[ID]], Table4[ID], Table4[Meats], "Not Found", 0)</f>
        <v>471</v>
      </c>
      <c r="N1740" s="5">
        <f>_xlfn.XLOOKUP(CustomerCombined[[#This Row],[ID]], Table4[ID], Table4[Seafood], "Not Found", 0)</f>
        <v>0</v>
      </c>
      <c r="O1740" s="5">
        <f>_xlfn.XLOOKUP(CustomerCombined[[#This Row],[ID]], Table4[ID], Table4[Sweets], "Not Found", 0)</f>
        <v>68</v>
      </c>
      <c r="P1740" s="5">
        <f>_xlfn.XLOOKUP(CustomerCombined[[#This Row],[ID]], Table4[ID], Table4[Premium], "Not Found", 0)</f>
        <v>234</v>
      </c>
      <c r="Q1740" s="5">
        <f>_xlfn.XLOOKUP(CustomerCombined[[#This Row],[ID]], Table4[ID], Table4[Regular], "Not Found", 0)</f>
        <v>2120</v>
      </c>
      <c r="R1740" s="5">
        <f>_xlfn.XLOOKUP(CustomerCombined[[#This Row],[ID]], Table4[ID], Table4[Deals], "Not Found", 0)</f>
        <v>5</v>
      </c>
      <c r="S1740" s="5">
        <f>_xlfn.XLOOKUP(CustomerCombined[[#This Row],[ID]], Table4[ID], Table4[Website], "Not Found", 0)</f>
        <v>5</v>
      </c>
      <c r="T1740" s="5">
        <f>_xlfn.XLOOKUP(CustomerCombined[[#This Row],[ID]], Table4[ID], Table4[Catalog], "Not Found", 0)</f>
        <v>5</v>
      </c>
      <c r="U1740" s="5">
        <f>_xlfn.XLOOKUP(CustomerCombined[[#This Row],[ID]], Table4[ID], Table4[Store], "Not Found", 0)</f>
        <v>12</v>
      </c>
      <c r="V1740" s="5">
        <f>_xlfn.XLOOKUP(CustomerCombined[[#This Row],[ID]], Table4[ID], Table4[Visits], "Not Found", 0)</f>
        <v>5</v>
      </c>
      <c r="W1740" s="8">
        <f>_xlfn.XLOOKUP(CustomerCombined[[#This Row],[ID]], Table2[ID],Table2[Complaint], "Not Found", 0 )</f>
        <v>0</v>
      </c>
      <c r="X1740" s="8">
        <f>_xlfn.XLOOKUP(CustomerCombined[[#This Row],[ID]], Table2[ID],Table2[Pilot], "Not Found", 0 )</f>
        <v>0</v>
      </c>
      <c r="Y1740" s="8">
        <f>_xlfn.XLOOKUP(CustomerCombined[[#This Row],[ID]], Table2[ID],Table2[MC1], "Not Found", 0 )</f>
        <v>0</v>
      </c>
      <c r="Z1740" s="8">
        <f>_xlfn.XLOOKUP(CustomerCombined[[#This Row],[ID]], Table2[ID],Table2[MC2], "Not Found", 0 )</f>
        <v>0</v>
      </c>
      <c r="AA1740" s="8">
        <f>_xlfn.XLOOKUP(CustomerCombined[[#This Row],[ID]], Table2[ID],Table2[MC3], "Not Found", 0 )</f>
        <v>0</v>
      </c>
      <c r="AB1740" s="8">
        <f>_xlfn.XLOOKUP(CustomerCombined[[#This Row],[ID]], Table2[ID],Table2[MC4], "Not Found", 0 )</f>
        <v>0</v>
      </c>
      <c r="AC1740" s="8">
        <f>_xlfn.XLOOKUP(CustomerCombined[[#This Row],[ID]], Table2[ID],Table2[MC5], "Not Found", 0 )</f>
        <v>0</v>
      </c>
    </row>
    <row r="1741" spans="1:29" x14ac:dyDescent="0.3">
      <c r="A1741" s="6">
        <v>2780</v>
      </c>
      <c r="B1741" s="6">
        <v>153977</v>
      </c>
      <c r="C1741" s="6">
        <v>0</v>
      </c>
      <c r="D1741" s="6">
        <v>1</v>
      </c>
      <c r="E1741" s="6">
        <v>62</v>
      </c>
      <c r="F1741" s="5" t="s">
        <v>8</v>
      </c>
      <c r="G1741" s="5" t="s">
        <v>11</v>
      </c>
      <c r="H1741" s="3" t="s">
        <v>244</v>
      </c>
      <c r="I1741" s="5" t="s">
        <v>438</v>
      </c>
      <c r="J1741" s="5">
        <f>_xlfn.XLOOKUP(CustomerCombined[[#This Row],[ID]], Table4[ID], Table4[Recency], "Not Found", 0)</f>
        <v>21</v>
      </c>
      <c r="K1741" s="5">
        <f>_xlfn.XLOOKUP(CustomerCombined[[#This Row],[ID]], Table4[ID], Table4[Teas], "Not Found", 0)</f>
        <v>1769</v>
      </c>
      <c r="L1741" s="5">
        <f>_xlfn.XLOOKUP(CustomerCombined[[#This Row],[ID]], Table4[ID], Table4[Fruits], "Not Found", 0)</f>
        <v>46</v>
      </c>
      <c r="M1741" s="5">
        <f>_xlfn.XLOOKUP(CustomerCombined[[#This Row],[ID]], Table4[ID], Table4[Meats], "Not Found", 0)</f>
        <v>471</v>
      </c>
      <c r="N1741" s="5">
        <f>_xlfn.XLOOKUP(CustomerCombined[[#This Row],[ID]], Table4[ID], Table4[Seafood], "Not Found", 0)</f>
        <v>0</v>
      </c>
      <c r="O1741" s="5">
        <f>_xlfn.XLOOKUP(CustomerCombined[[#This Row],[ID]], Table4[ID], Table4[Sweets], "Not Found", 0)</f>
        <v>68</v>
      </c>
      <c r="P1741" s="5">
        <f>_xlfn.XLOOKUP(CustomerCombined[[#This Row],[ID]], Table4[ID], Table4[Premium], "Not Found", 0)</f>
        <v>234</v>
      </c>
      <c r="Q1741" s="5">
        <f>_xlfn.XLOOKUP(CustomerCombined[[#This Row],[ID]], Table4[ID], Table4[Regular], "Not Found", 0)</f>
        <v>2120</v>
      </c>
      <c r="R1741" s="5">
        <f>_xlfn.XLOOKUP(CustomerCombined[[#This Row],[ID]], Table4[ID], Table4[Deals], "Not Found", 0)</f>
        <v>5</v>
      </c>
      <c r="S1741" s="5">
        <f>_xlfn.XLOOKUP(CustomerCombined[[#This Row],[ID]], Table4[ID], Table4[Website], "Not Found", 0)</f>
        <v>5</v>
      </c>
      <c r="T1741" s="5">
        <f>_xlfn.XLOOKUP(CustomerCombined[[#This Row],[ID]], Table4[ID], Table4[Catalog], "Not Found", 0)</f>
        <v>5</v>
      </c>
      <c r="U1741" s="5">
        <f>_xlfn.XLOOKUP(CustomerCombined[[#This Row],[ID]], Table4[ID], Table4[Store], "Not Found", 0)</f>
        <v>12</v>
      </c>
      <c r="V1741" s="5">
        <f>_xlfn.XLOOKUP(CustomerCombined[[#This Row],[ID]], Table4[ID], Table4[Visits], "Not Found", 0)</f>
        <v>5</v>
      </c>
      <c r="W1741" s="8">
        <f>_xlfn.XLOOKUP(CustomerCombined[[#This Row],[ID]], Table2[ID],Table2[Complaint], "Not Found", 0 )</f>
        <v>0</v>
      </c>
      <c r="X1741" s="8">
        <f>_xlfn.XLOOKUP(CustomerCombined[[#This Row],[ID]], Table2[ID],Table2[Pilot], "Not Found", 0 )</f>
        <v>0</v>
      </c>
      <c r="Y1741" s="8">
        <f>_xlfn.XLOOKUP(CustomerCombined[[#This Row],[ID]], Table2[ID],Table2[MC1], "Not Found", 0 )</f>
        <v>0</v>
      </c>
      <c r="Z1741" s="8">
        <f>_xlfn.XLOOKUP(CustomerCombined[[#This Row],[ID]], Table2[ID],Table2[MC2], "Not Found", 0 )</f>
        <v>0</v>
      </c>
      <c r="AA1741" s="8">
        <f>_xlfn.XLOOKUP(CustomerCombined[[#This Row],[ID]], Table2[ID],Table2[MC3], "Not Found", 0 )</f>
        <v>0</v>
      </c>
      <c r="AB1741" s="8">
        <f>_xlfn.XLOOKUP(CustomerCombined[[#This Row],[ID]], Table2[ID],Table2[MC4], "Not Found", 0 )</f>
        <v>0</v>
      </c>
      <c r="AC1741" s="8">
        <f>_xlfn.XLOOKUP(CustomerCombined[[#This Row],[ID]], Table2[ID],Table2[MC5], "Not Found", 0 )</f>
        <v>0</v>
      </c>
    </row>
    <row r="1742" spans="1:29" x14ac:dyDescent="0.3">
      <c r="A1742" s="6">
        <v>2507</v>
      </c>
      <c r="B1742" s="6">
        <v>153083</v>
      </c>
      <c r="C1742" s="6">
        <v>1</v>
      </c>
      <c r="D1742" s="6">
        <v>1</v>
      </c>
      <c r="E1742" s="6">
        <v>62</v>
      </c>
      <c r="F1742" s="5" t="s">
        <v>8</v>
      </c>
      <c r="G1742" s="5" t="s">
        <v>442</v>
      </c>
      <c r="H1742" s="3" t="s">
        <v>256</v>
      </c>
      <c r="I1742" s="5" t="s">
        <v>434</v>
      </c>
      <c r="J1742" s="5">
        <f>_xlfn.XLOOKUP(CustomerCombined[[#This Row],[ID]], Table4[ID], Table4[Recency], "Not Found", 0)</f>
        <v>65</v>
      </c>
      <c r="K1742" s="5">
        <f>_xlfn.XLOOKUP(CustomerCombined[[#This Row],[ID]], Table4[ID], Table4[Teas], "Not Found", 0)</f>
        <v>620</v>
      </c>
      <c r="L1742" s="5">
        <f>_xlfn.XLOOKUP(CustomerCombined[[#This Row],[ID]], Table4[ID], Table4[Fruits], "Not Found", 0)</f>
        <v>20</v>
      </c>
      <c r="M1742" s="5">
        <f>_xlfn.XLOOKUP(CustomerCombined[[#This Row],[ID]], Table4[ID], Table4[Meats], "Not Found", 0)</f>
        <v>95</v>
      </c>
      <c r="N1742" s="5">
        <f>_xlfn.XLOOKUP(CustomerCombined[[#This Row],[ID]], Table4[ID], Table4[Seafood], "Not Found", 0)</f>
        <v>9</v>
      </c>
      <c r="O1742" s="5">
        <f>_xlfn.XLOOKUP(CustomerCombined[[#This Row],[ID]], Table4[ID], Table4[Sweets], "Not Found", 0)</f>
        <v>0</v>
      </c>
      <c r="P1742" s="5">
        <f>_xlfn.XLOOKUP(CustomerCombined[[#This Row],[ID]], Table4[ID], Table4[Premium], "Not Found", 0)</f>
        <v>37</v>
      </c>
      <c r="Q1742" s="5">
        <f>_xlfn.XLOOKUP(CustomerCombined[[#This Row],[ID]], Table4[ID], Table4[Regular], "Not Found", 0)</f>
        <v>707</v>
      </c>
      <c r="R1742" s="5">
        <f>_xlfn.XLOOKUP(CustomerCombined[[#This Row],[ID]], Table4[ID], Table4[Deals], "Not Found", 0)</f>
        <v>6</v>
      </c>
      <c r="S1742" s="5">
        <f>_xlfn.XLOOKUP(CustomerCombined[[#This Row],[ID]], Table4[ID], Table4[Website], "Not Found", 0)</f>
        <v>5</v>
      </c>
      <c r="T1742" s="5">
        <f>_xlfn.XLOOKUP(CustomerCombined[[#This Row],[ID]], Table4[ID], Table4[Catalog], "Not Found", 0)</f>
        <v>1</v>
      </c>
      <c r="U1742" s="5">
        <f>_xlfn.XLOOKUP(CustomerCombined[[#This Row],[ID]], Table4[ID], Table4[Store], "Not Found", 0)</f>
        <v>5</v>
      </c>
      <c r="V1742" s="5">
        <f>_xlfn.XLOOKUP(CustomerCombined[[#This Row],[ID]], Table4[ID], Table4[Visits], "Not Found", 0)</f>
        <v>7</v>
      </c>
      <c r="W1742" s="8">
        <f>_xlfn.XLOOKUP(CustomerCombined[[#This Row],[ID]], Table2[ID],Table2[Complaint], "Not Found", 0 )</f>
        <v>0</v>
      </c>
      <c r="X1742" s="8">
        <f>_xlfn.XLOOKUP(CustomerCombined[[#This Row],[ID]], Table2[ID],Table2[Pilot], "Not Found", 0 )</f>
        <v>0</v>
      </c>
      <c r="Y1742" s="8">
        <f>_xlfn.XLOOKUP(CustomerCombined[[#This Row],[ID]], Table2[ID],Table2[MC1], "Not Found", 0 )</f>
        <v>0</v>
      </c>
      <c r="Z1742" s="8">
        <f>_xlfn.XLOOKUP(CustomerCombined[[#This Row],[ID]], Table2[ID],Table2[MC2], "Not Found", 0 )</f>
        <v>0</v>
      </c>
      <c r="AA1742" s="8">
        <f>_xlfn.XLOOKUP(CustomerCombined[[#This Row],[ID]], Table2[ID],Table2[MC3], "Not Found", 0 )</f>
        <v>0</v>
      </c>
      <c r="AB1742" s="8">
        <f>_xlfn.XLOOKUP(CustomerCombined[[#This Row],[ID]], Table2[ID],Table2[MC4], "Not Found", 0 )</f>
        <v>1</v>
      </c>
      <c r="AC1742" s="8">
        <f>_xlfn.XLOOKUP(CustomerCombined[[#This Row],[ID]], Table2[ID],Table2[MC5], "Not Found", 0 )</f>
        <v>0</v>
      </c>
    </row>
    <row r="1743" spans="1:29" x14ac:dyDescent="0.3">
      <c r="A1743" s="6">
        <v>2421</v>
      </c>
      <c r="B1743" s="6">
        <v>151876</v>
      </c>
      <c r="C1743" s="6">
        <v>0</v>
      </c>
      <c r="D1743" s="6">
        <v>0</v>
      </c>
      <c r="E1743" s="6">
        <v>62</v>
      </c>
      <c r="F1743" s="5" t="s">
        <v>6</v>
      </c>
      <c r="G1743" s="5" t="s">
        <v>11</v>
      </c>
      <c r="H1743" s="3" t="s">
        <v>167</v>
      </c>
      <c r="I1743" s="5" t="s">
        <v>435</v>
      </c>
      <c r="J1743" s="5">
        <f>_xlfn.XLOOKUP(CustomerCombined[[#This Row],[ID]], Table4[ID], Table4[Recency], "Not Found", 0)</f>
        <v>88</v>
      </c>
      <c r="K1743" s="5">
        <f>_xlfn.XLOOKUP(CustomerCombined[[#This Row],[ID]], Table4[ID], Table4[Teas], "Not Found", 0)</f>
        <v>290</v>
      </c>
      <c r="L1743" s="5">
        <f>_xlfn.XLOOKUP(CustomerCombined[[#This Row],[ID]], Table4[ID], Table4[Fruits], "Not Found", 0)</f>
        <v>79</v>
      </c>
      <c r="M1743" s="5">
        <f>_xlfn.XLOOKUP(CustomerCombined[[#This Row],[ID]], Table4[ID], Table4[Meats], "Not Found", 0)</f>
        <v>299</v>
      </c>
      <c r="N1743" s="5">
        <f>_xlfn.XLOOKUP(CustomerCombined[[#This Row],[ID]], Table4[ID], Table4[Seafood], "Not Found", 0)</f>
        <v>82</v>
      </c>
      <c r="O1743" s="5">
        <f>_xlfn.XLOOKUP(CustomerCombined[[#This Row],[ID]], Table4[ID], Table4[Sweets], "Not Found", 0)</f>
        <v>141</v>
      </c>
      <c r="P1743" s="5">
        <f>_xlfn.XLOOKUP(CustomerCombined[[#This Row],[ID]], Table4[ID], Table4[Premium], "Not Found", 0)</f>
        <v>18</v>
      </c>
      <c r="Q1743" s="5">
        <f>_xlfn.XLOOKUP(CustomerCombined[[#This Row],[ID]], Table4[ID], Table4[Regular], "Not Found", 0)</f>
        <v>872</v>
      </c>
      <c r="R1743" s="5">
        <f>_xlfn.XLOOKUP(CustomerCombined[[#This Row],[ID]], Table4[ID], Table4[Deals], "Not Found", 0)</f>
        <v>1</v>
      </c>
      <c r="S1743" s="5">
        <f>_xlfn.XLOOKUP(CustomerCombined[[#This Row],[ID]], Table4[ID], Table4[Website], "Not Found", 0)</f>
        <v>2</v>
      </c>
      <c r="T1743" s="5">
        <f>_xlfn.XLOOKUP(CustomerCombined[[#This Row],[ID]], Table4[ID], Table4[Catalog], "Not Found", 0)</f>
        <v>2</v>
      </c>
      <c r="U1743" s="5">
        <f>_xlfn.XLOOKUP(CustomerCombined[[#This Row],[ID]], Table4[ID], Table4[Store], "Not Found", 0)</f>
        <v>8</v>
      </c>
      <c r="V1743" s="5">
        <f>_xlfn.XLOOKUP(CustomerCombined[[#This Row],[ID]], Table4[ID], Table4[Visits], "Not Found", 0)</f>
        <v>1</v>
      </c>
      <c r="W1743" s="8">
        <f>_xlfn.XLOOKUP(CustomerCombined[[#This Row],[ID]], Table2[ID],Table2[Complaint], "Not Found", 0 )</f>
        <v>0</v>
      </c>
      <c r="X1743" s="8">
        <f>_xlfn.XLOOKUP(CustomerCombined[[#This Row],[ID]], Table2[ID],Table2[Pilot], "Not Found", 0 )</f>
        <v>0</v>
      </c>
      <c r="Y1743" s="8">
        <f>_xlfn.XLOOKUP(CustomerCombined[[#This Row],[ID]], Table2[ID],Table2[MC1], "Not Found", 0 )</f>
        <v>0</v>
      </c>
      <c r="Z1743" s="8">
        <f>_xlfn.XLOOKUP(CustomerCombined[[#This Row],[ID]], Table2[ID],Table2[MC2], "Not Found", 0 )</f>
        <v>0</v>
      </c>
      <c r="AA1743" s="8">
        <f>_xlfn.XLOOKUP(CustomerCombined[[#This Row],[ID]], Table2[ID],Table2[MC3], "Not Found", 0 )</f>
        <v>0</v>
      </c>
      <c r="AB1743" s="8">
        <f>_xlfn.XLOOKUP(CustomerCombined[[#This Row],[ID]], Table2[ID],Table2[MC4], "Not Found", 0 )</f>
        <v>0</v>
      </c>
      <c r="AC1743" s="8">
        <f>_xlfn.XLOOKUP(CustomerCombined[[#This Row],[ID]], Table2[ID],Table2[MC5], "Not Found", 0 )</f>
        <v>0</v>
      </c>
    </row>
    <row r="1744" spans="1:29" x14ac:dyDescent="0.3">
      <c r="A1744" s="6">
        <v>1732</v>
      </c>
      <c r="B1744" s="6">
        <v>151518</v>
      </c>
      <c r="C1744" s="6">
        <v>0</v>
      </c>
      <c r="D1744" s="6">
        <v>1</v>
      </c>
      <c r="E1744" s="6">
        <v>62</v>
      </c>
      <c r="F1744" s="5" t="s">
        <v>8</v>
      </c>
      <c r="G1744" s="5" t="s">
        <v>13</v>
      </c>
      <c r="H1744" s="3">
        <v>44077</v>
      </c>
      <c r="I1744" s="5" t="s">
        <v>439</v>
      </c>
      <c r="J1744" s="5">
        <f>_xlfn.XLOOKUP(CustomerCombined[[#This Row],[ID]], Table4[ID], Table4[Recency], "Not Found", 0)</f>
        <v>92</v>
      </c>
      <c r="K1744" s="5">
        <f>_xlfn.XLOOKUP(CustomerCombined[[#This Row],[ID]], Table4[ID], Table4[Teas], "Not Found", 0)</f>
        <v>1029</v>
      </c>
      <c r="L1744" s="5">
        <f>_xlfn.XLOOKUP(CustomerCombined[[#This Row],[ID]], Table4[ID], Table4[Fruits], "Not Found", 0)</f>
        <v>24</v>
      </c>
      <c r="M1744" s="5">
        <f>_xlfn.XLOOKUP(CustomerCombined[[#This Row],[ID]], Table4[ID], Table4[Meats], "Not Found", 0)</f>
        <v>194</v>
      </c>
      <c r="N1744" s="5">
        <f>_xlfn.XLOOKUP(CustomerCombined[[#This Row],[ID]], Table4[ID], Table4[Seafood], "Not Found", 0)</f>
        <v>50</v>
      </c>
      <c r="O1744" s="5">
        <f>_xlfn.XLOOKUP(CustomerCombined[[#This Row],[ID]], Table4[ID], Table4[Sweets], "Not Found", 0)</f>
        <v>12</v>
      </c>
      <c r="P1744" s="5">
        <f>_xlfn.XLOOKUP(CustomerCombined[[#This Row],[ID]], Table4[ID], Table4[Premium], "Not Found", 0)</f>
        <v>12</v>
      </c>
      <c r="Q1744" s="5">
        <f>_xlfn.XLOOKUP(CustomerCombined[[#This Row],[ID]], Table4[ID], Table4[Regular], "Not Found", 0)</f>
        <v>1297</v>
      </c>
      <c r="R1744" s="5">
        <f>_xlfn.XLOOKUP(CustomerCombined[[#This Row],[ID]], Table4[ID], Table4[Deals], "Not Found", 0)</f>
        <v>2</v>
      </c>
      <c r="S1744" s="5">
        <f>_xlfn.XLOOKUP(CustomerCombined[[#This Row],[ID]], Table4[ID], Table4[Website], "Not Found", 0)</f>
        <v>3</v>
      </c>
      <c r="T1744" s="5">
        <f>_xlfn.XLOOKUP(CustomerCombined[[#This Row],[ID]], Table4[ID], Table4[Catalog], "Not Found", 0)</f>
        <v>2</v>
      </c>
      <c r="U1744" s="5">
        <f>_xlfn.XLOOKUP(CustomerCombined[[#This Row],[ID]], Table4[ID], Table4[Store], "Not Found", 0)</f>
        <v>10</v>
      </c>
      <c r="V1744" s="5">
        <f>_xlfn.XLOOKUP(CustomerCombined[[#This Row],[ID]], Table4[ID], Table4[Visits], "Not Found", 0)</f>
        <v>3</v>
      </c>
      <c r="W1744" s="8">
        <f>_xlfn.XLOOKUP(CustomerCombined[[#This Row],[ID]], Table2[ID],Table2[Complaint], "Not Found", 0 )</f>
        <v>0</v>
      </c>
      <c r="X1744" s="8">
        <f>_xlfn.XLOOKUP(CustomerCombined[[#This Row],[ID]], Table2[ID],Table2[Pilot], "Not Found", 0 )</f>
        <v>0</v>
      </c>
      <c r="Y1744" s="8">
        <f>_xlfn.XLOOKUP(CustomerCombined[[#This Row],[ID]], Table2[ID],Table2[MC1], "Not Found", 0 )</f>
        <v>0</v>
      </c>
      <c r="Z1744" s="8">
        <f>_xlfn.XLOOKUP(CustomerCombined[[#This Row],[ID]], Table2[ID],Table2[MC2], "Not Found", 0 )</f>
        <v>0</v>
      </c>
      <c r="AA1744" s="8">
        <f>_xlfn.XLOOKUP(CustomerCombined[[#This Row],[ID]], Table2[ID],Table2[MC3], "Not Found", 0 )</f>
        <v>0</v>
      </c>
      <c r="AB1744" s="8">
        <f>_xlfn.XLOOKUP(CustomerCombined[[#This Row],[ID]], Table2[ID],Table2[MC4], "Not Found", 0 )</f>
        <v>0</v>
      </c>
      <c r="AC1744" s="8">
        <f>_xlfn.XLOOKUP(CustomerCombined[[#This Row],[ID]], Table2[ID],Table2[MC5], "Not Found", 0 )</f>
        <v>0</v>
      </c>
    </row>
    <row r="1745" spans="1:29" x14ac:dyDescent="0.3">
      <c r="A1745" s="6">
        <v>2183</v>
      </c>
      <c r="B1745" s="6">
        <v>151412</v>
      </c>
      <c r="C1745" s="6">
        <v>0</v>
      </c>
      <c r="D1745" s="6">
        <v>1</v>
      </c>
      <c r="E1745" s="6">
        <v>62</v>
      </c>
      <c r="F1745" s="5" t="s">
        <v>6</v>
      </c>
      <c r="G1745" s="5" t="s">
        <v>12</v>
      </c>
      <c r="H1745" s="3">
        <v>43988</v>
      </c>
      <c r="I1745" s="5" t="s">
        <v>434</v>
      </c>
      <c r="J1745" s="5">
        <f>_xlfn.XLOOKUP(CustomerCombined[[#This Row],[ID]], Table4[ID], Table4[Recency], "Not Found", 0)</f>
        <v>42</v>
      </c>
      <c r="K1745" s="5">
        <f>_xlfn.XLOOKUP(CustomerCombined[[#This Row],[ID]], Table4[ID], Table4[Teas], "Not Found", 0)</f>
        <v>412</v>
      </c>
      <c r="L1745" s="5">
        <f>_xlfn.XLOOKUP(CustomerCombined[[#This Row],[ID]], Table4[ID], Table4[Fruits], "Not Found", 0)</f>
        <v>9</v>
      </c>
      <c r="M1745" s="5">
        <f>_xlfn.XLOOKUP(CustomerCombined[[#This Row],[ID]], Table4[ID], Table4[Meats], "Not Found", 0)</f>
        <v>85</v>
      </c>
      <c r="N1745" s="5">
        <f>_xlfn.XLOOKUP(CustomerCombined[[#This Row],[ID]], Table4[ID], Table4[Seafood], "Not Found", 0)</f>
        <v>12</v>
      </c>
      <c r="O1745" s="5">
        <f>_xlfn.XLOOKUP(CustomerCombined[[#This Row],[ID]], Table4[ID], Table4[Sweets], "Not Found", 0)</f>
        <v>15</v>
      </c>
      <c r="P1745" s="5">
        <f>_xlfn.XLOOKUP(CustomerCombined[[#This Row],[ID]], Table4[ID], Table4[Premium], "Not Found", 0)</f>
        <v>41</v>
      </c>
      <c r="Q1745" s="5">
        <f>_xlfn.XLOOKUP(CustomerCombined[[#This Row],[ID]], Table4[ID], Table4[Regular], "Not Found", 0)</f>
        <v>492</v>
      </c>
      <c r="R1745" s="5">
        <f>_xlfn.XLOOKUP(CustomerCombined[[#This Row],[ID]], Table4[ID], Table4[Deals], "Not Found", 0)</f>
        <v>2</v>
      </c>
      <c r="S1745" s="5">
        <f>_xlfn.XLOOKUP(CustomerCombined[[#This Row],[ID]], Table4[ID], Table4[Website], "Not Found", 0)</f>
        <v>3</v>
      </c>
      <c r="T1745" s="5">
        <f>_xlfn.XLOOKUP(CustomerCombined[[#This Row],[ID]], Table4[ID], Table4[Catalog], "Not Found", 0)</f>
        <v>2</v>
      </c>
      <c r="U1745" s="5">
        <f>_xlfn.XLOOKUP(CustomerCombined[[#This Row],[ID]], Table4[ID], Table4[Store], "Not Found", 0)</f>
        <v>4</v>
      </c>
      <c r="V1745" s="5">
        <f>_xlfn.XLOOKUP(CustomerCombined[[#This Row],[ID]], Table4[ID], Table4[Visits], "Not Found", 0)</f>
        <v>4</v>
      </c>
      <c r="W1745" s="8">
        <f>_xlfn.XLOOKUP(CustomerCombined[[#This Row],[ID]], Table2[ID],Table2[Complaint], "Not Found", 0 )</f>
        <v>0</v>
      </c>
      <c r="X1745" s="8">
        <f>_xlfn.XLOOKUP(CustomerCombined[[#This Row],[ID]], Table2[ID],Table2[Pilot], "Not Found", 0 )</f>
        <v>0</v>
      </c>
      <c r="Y1745" s="8">
        <f>_xlfn.XLOOKUP(CustomerCombined[[#This Row],[ID]], Table2[ID],Table2[MC1], "Not Found", 0 )</f>
        <v>0</v>
      </c>
      <c r="Z1745" s="8">
        <f>_xlfn.XLOOKUP(CustomerCombined[[#This Row],[ID]], Table2[ID],Table2[MC2], "Not Found", 0 )</f>
        <v>0</v>
      </c>
      <c r="AA1745" s="8">
        <f>_xlfn.XLOOKUP(CustomerCombined[[#This Row],[ID]], Table2[ID],Table2[MC3], "Not Found", 0 )</f>
        <v>0</v>
      </c>
      <c r="AB1745" s="8">
        <f>_xlfn.XLOOKUP(CustomerCombined[[#This Row],[ID]], Table2[ID],Table2[MC4], "Not Found", 0 )</f>
        <v>0</v>
      </c>
      <c r="AC1745" s="8">
        <f>_xlfn.XLOOKUP(CustomerCombined[[#This Row],[ID]], Table2[ID],Table2[MC5], "Not Found", 0 )</f>
        <v>0</v>
      </c>
    </row>
    <row r="1746" spans="1:29" x14ac:dyDescent="0.3">
      <c r="A1746" s="6">
        <v>2635</v>
      </c>
      <c r="B1746" s="6">
        <v>150729</v>
      </c>
      <c r="C1746" s="6">
        <v>1</v>
      </c>
      <c r="D1746" s="6">
        <v>1</v>
      </c>
      <c r="E1746" s="6">
        <v>62</v>
      </c>
      <c r="F1746" s="5" t="s">
        <v>7</v>
      </c>
      <c r="G1746" s="5" t="s">
        <v>13</v>
      </c>
      <c r="H1746" s="3">
        <v>43656</v>
      </c>
      <c r="I1746" s="5" t="s">
        <v>437</v>
      </c>
      <c r="J1746" s="5">
        <f>_xlfn.XLOOKUP(CustomerCombined[[#This Row],[ID]], Table4[ID], Table4[Recency], "Not Found", 0)</f>
        <v>62</v>
      </c>
      <c r="K1746" s="5">
        <f>_xlfn.XLOOKUP(CustomerCombined[[#This Row],[ID]], Table4[ID], Table4[Teas], "Not Found", 0)</f>
        <v>710</v>
      </c>
      <c r="L1746" s="5">
        <f>_xlfn.XLOOKUP(CustomerCombined[[#This Row],[ID]], Table4[ID], Table4[Fruits], "Not Found", 0)</f>
        <v>39</v>
      </c>
      <c r="M1746" s="5">
        <f>_xlfn.XLOOKUP(CustomerCombined[[#This Row],[ID]], Table4[ID], Table4[Meats], "Not Found", 0)</f>
        <v>425</v>
      </c>
      <c r="N1746" s="5">
        <f>_xlfn.XLOOKUP(CustomerCombined[[#This Row],[ID]], Table4[ID], Table4[Seafood], "Not Found", 0)</f>
        <v>134</v>
      </c>
      <c r="O1746" s="5">
        <f>_xlfn.XLOOKUP(CustomerCombined[[#This Row],[ID]], Table4[ID], Table4[Sweets], "Not Found", 0)</f>
        <v>12</v>
      </c>
      <c r="P1746" s="5">
        <f>_xlfn.XLOOKUP(CustomerCombined[[#This Row],[ID]], Table4[ID], Table4[Premium], "Not Found", 0)</f>
        <v>155</v>
      </c>
      <c r="Q1746" s="5">
        <f>_xlfn.XLOOKUP(CustomerCombined[[#This Row],[ID]], Table4[ID], Table4[Regular], "Not Found", 0)</f>
        <v>1165</v>
      </c>
      <c r="R1746" s="5">
        <f>_xlfn.XLOOKUP(CustomerCombined[[#This Row],[ID]], Table4[ID], Table4[Deals], "Not Found", 0)</f>
        <v>9</v>
      </c>
      <c r="S1746" s="5">
        <f>_xlfn.XLOOKUP(CustomerCombined[[#This Row],[ID]], Table4[ID], Table4[Website], "Not Found", 0)</f>
        <v>6</v>
      </c>
      <c r="T1746" s="5">
        <f>_xlfn.XLOOKUP(CustomerCombined[[#This Row],[ID]], Table4[ID], Table4[Catalog], "Not Found", 0)</f>
        <v>2</v>
      </c>
      <c r="U1746" s="5">
        <f>_xlfn.XLOOKUP(CustomerCombined[[#This Row],[ID]], Table4[ID], Table4[Store], "Not Found", 0)</f>
        <v>7</v>
      </c>
      <c r="V1746" s="5">
        <f>_xlfn.XLOOKUP(CustomerCombined[[#This Row],[ID]], Table4[ID], Table4[Visits], "Not Found", 0)</f>
        <v>6</v>
      </c>
      <c r="W1746" s="8">
        <f>_xlfn.XLOOKUP(CustomerCombined[[#This Row],[ID]], Table2[ID],Table2[Complaint], "Not Found", 0 )</f>
        <v>0</v>
      </c>
      <c r="X1746" s="8">
        <f>_xlfn.XLOOKUP(CustomerCombined[[#This Row],[ID]], Table2[ID],Table2[Pilot], "Not Found", 0 )</f>
        <v>0</v>
      </c>
      <c r="Y1746" s="8">
        <f>_xlfn.XLOOKUP(CustomerCombined[[#This Row],[ID]], Table2[ID],Table2[MC1], "Not Found", 0 )</f>
        <v>0</v>
      </c>
      <c r="Z1746" s="8">
        <f>_xlfn.XLOOKUP(CustomerCombined[[#This Row],[ID]], Table2[ID],Table2[MC2], "Not Found", 0 )</f>
        <v>0</v>
      </c>
      <c r="AA1746" s="8">
        <f>_xlfn.XLOOKUP(CustomerCombined[[#This Row],[ID]], Table2[ID],Table2[MC3], "Not Found", 0 )</f>
        <v>0</v>
      </c>
      <c r="AB1746" s="8">
        <f>_xlfn.XLOOKUP(CustomerCombined[[#This Row],[ID]], Table2[ID],Table2[MC4], "Not Found", 0 )</f>
        <v>0</v>
      </c>
      <c r="AC1746" s="8">
        <f>_xlfn.XLOOKUP(CustomerCombined[[#This Row],[ID]], Table2[ID],Table2[MC5], "Not Found", 0 )</f>
        <v>0</v>
      </c>
    </row>
    <row r="1747" spans="1:29" x14ac:dyDescent="0.3">
      <c r="A1747" s="6">
        <v>1446</v>
      </c>
      <c r="B1747" s="6">
        <v>150520</v>
      </c>
      <c r="C1747" s="6">
        <v>0</v>
      </c>
      <c r="D1747" s="6">
        <v>1</v>
      </c>
      <c r="E1747" s="6">
        <v>62</v>
      </c>
      <c r="F1747" s="5" t="s">
        <v>9</v>
      </c>
      <c r="G1747" s="5" t="s">
        <v>13</v>
      </c>
      <c r="H1747" s="3">
        <v>43928</v>
      </c>
      <c r="I1747" s="5" t="s">
        <v>436</v>
      </c>
      <c r="J1747" s="5">
        <f>_xlfn.XLOOKUP(CustomerCombined[[#This Row],[ID]], Table4[ID], Table4[Recency], "Not Found", 0)</f>
        <v>25</v>
      </c>
      <c r="K1747" s="5">
        <f>_xlfn.XLOOKUP(CustomerCombined[[#This Row],[ID]], Table4[ID], Table4[Teas], "Not Found", 0)</f>
        <v>334</v>
      </c>
      <c r="L1747" s="5">
        <f>_xlfn.XLOOKUP(CustomerCombined[[#This Row],[ID]], Table4[ID], Table4[Fruits], "Not Found", 0)</f>
        <v>0</v>
      </c>
      <c r="M1747" s="5">
        <f>_xlfn.XLOOKUP(CustomerCombined[[#This Row],[ID]], Table4[ID], Table4[Meats], "Not Found", 0)</f>
        <v>18</v>
      </c>
      <c r="N1747" s="5">
        <f>_xlfn.XLOOKUP(CustomerCombined[[#This Row],[ID]], Table4[ID], Table4[Seafood], "Not Found", 0)</f>
        <v>6</v>
      </c>
      <c r="O1747" s="5">
        <f>_xlfn.XLOOKUP(CustomerCombined[[#This Row],[ID]], Table4[ID], Table4[Sweets], "Not Found", 0)</f>
        <v>3</v>
      </c>
      <c r="P1747" s="5">
        <f>_xlfn.XLOOKUP(CustomerCombined[[#This Row],[ID]], Table4[ID], Table4[Premium], "Not Found", 0)</f>
        <v>42</v>
      </c>
      <c r="Q1747" s="5">
        <f>_xlfn.XLOOKUP(CustomerCombined[[#This Row],[ID]], Table4[ID], Table4[Regular], "Not Found", 0)</f>
        <v>319</v>
      </c>
      <c r="R1747" s="5">
        <f>_xlfn.XLOOKUP(CustomerCombined[[#This Row],[ID]], Table4[ID], Table4[Deals], "Not Found", 0)</f>
        <v>2</v>
      </c>
      <c r="S1747" s="5">
        <f>_xlfn.XLOOKUP(CustomerCombined[[#This Row],[ID]], Table4[ID], Table4[Website], "Not Found", 0)</f>
        <v>3</v>
      </c>
      <c r="T1747" s="5">
        <f>_xlfn.XLOOKUP(CustomerCombined[[#This Row],[ID]], Table4[ID], Table4[Catalog], "Not Found", 0)</f>
        <v>1</v>
      </c>
      <c r="U1747" s="5">
        <f>_xlfn.XLOOKUP(CustomerCombined[[#This Row],[ID]], Table4[ID], Table4[Store], "Not Found", 0)</f>
        <v>3</v>
      </c>
      <c r="V1747" s="5">
        <f>_xlfn.XLOOKUP(CustomerCombined[[#This Row],[ID]], Table4[ID], Table4[Visits], "Not Found", 0)</f>
        <v>6</v>
      </c>
      <c r="W1747" s="8">
        <f>_xlfn.XLOOKUP(CustomerCombined[[#This Row],[ID]], Table2[ID],Table2[Complaint], "Not Found", 0 )</f>
        <v>0</v>
      </c>
      <c r="X1747" s="8">
        <f>_xlfn.XLOOKUP(CustomerCombined[[#This Row],[ID]], Table2[ID],Table2[Pilot], "Not Found", 0 )</f>
        <v>0</v>
      </c>
      <c r="Y1747" s="8">
        <f>_xlfn.XLOOKUP(CustomerCombined[[#This Row],[ID]], Table2[ID],Table2[MC1], "Not Found", 0 )</f>
        <v>0</v>
      </c>
      <c r="Z1747" s="8">
        <f>_xlfn.XLOOKUP(CustomerCombined[[#This Row],[ID]], Table2[ID],Table2[MC2], "Not Found", 0 )</f>
        <v>0</v>
      </c>
      <c r="AA1747" s="8">
        <f>_xlfn.XLOOKUP(CustomerCombined[[#This Row],[ID]], Table2[ID],Table2[MC3], "Not Found", 0 )</f>
        <v>0</v>
      </c>
      <c r="AB1747" s="8">
        <f>_xlfn.XLOOKUP(CustomerCombined[[#This Row],[ID]], Table2[ID],Table2[MC4], "Not Found", 0 )</f>
        <v>0</v>
      </c>
      <c r="AC1747" s="8">
        <f>_xlfn.XLOOKUP(CustomerCombined[[#This Row],[ID]], Table2[ID],Table2[MC5], "Not Found", 0 )</f>
        <v>0</v>
      </c>
    </row>
    <row r="1748" spans="1:29" x14ac:dyDescent="0.3">
      <c r="A1748" s="6">
        <v>1146</v>
      </c>
      <c r="B1748" s="6">
        <v>149967</v>
      </c>
      <c r="C1748" s="6">
        <v>0</v>
      </c>
      <c r="D1748" s="6">
        <v>1</v>
      </c>
      <c r="E1748" s="6">
        <v>62</v>
      </c>
      <c r="F1748" s="5" t="s">
        <v>7</v>
      </c>
      <c r="G1748" s="5" t="s">
        <v>11</v>
      </c>
      <c r="H1748" s="3" t="s">
        <v>227</v>
      </c>
      <c r="I1748" s="5" t="s">
        <v>436</v>
      </c>
      <c r="J1748" s="5">
        <f>_xlfn.XLOOKUP(CustomerCombined[[#This Row],[ID]], Table4[ID], Table4[Recency], "Not Found", 0)</f>
        <v>4</v>
      </c>
      <c r="K1748" s="5">
        <f>_xlfn.XLOOKUP(CustomerCombined[[#This Row],[ID]], Table4[ID], Table4[Teas], "Not Found", 0)</f>
        <v>636</v>
      </c>
      <c r="L1748" s="5">
        <f>_xlfn.XLOOKUP(CustomerCombined[[#This Row],[ID]], Table4[ID], Table4[Fruits], "Not Found", 0)</f>
        <v>18</v>
      </c>
      <c r="M1748" s="5">
        <f>_xlfn.XLOOKUP(CustomerCombined[[#This Row],[ID]], Table4[ID], Table4[Meats], "Not Found", 0)</f>
        <v>207</v>
      </c>
      <c r="N1748" s="5">
        <f>_xlfn.XLOOKUP(CustomerCombined[[#This Row],[ID]], Table4[ID], Table4[Seafood], "Not Found", 0)</f>
        <v>12</v>
      </c>
      <c r="O1748" s="5">
        <f>_xlfn.XLOOKUP(CustomerCombined[[#This Row],[ID]], Table4[ID], Table4[Sweets], "Not Found", 0)</f>
        <v>36</v>
      </c>
      <c r="P1748" s="5">
        <f>_xlfn.XLOOKUP(CustomerCombined[[#This Row],[ID]], Table4[ID], Table4[Premium], "Not Found", 0)</f>
        <v>9</v>
      </c>
      <c r="Q1748" s="5">
        <f>_xlfn.XLOOKUP(CustomerCombined[[#This Row],[ID]], Table4[ID], Table4[Regular], "Not Found", 0)</f>
        <v>900</v>
      </c>
      <c r="R1748" s="5">
        <f>_xlfn.XLOOKUP(CustomerCombined[[#This Row],[ID]], Table4[ID], Table4[Deals], "Not Found", 0)</f>
        <v>3</v>
      </c>
      <c r="S1748" s="5">
        <f>_xlfn.XLOOKUP(CustomerCombined[[#This Row],[ID]], Table4[ID], Table4[Website], "Not Found", 0)</f>
        <v>6</v>
      </c>
      <c r="T1748" s="5">
        <f>_xlfn.XLOOKUP(CustomerCombined[[#This Row],[ID]], Table4[ID], Table4[Catalog], "Not Found", 0)</f>
        <v>1</v>
      </c>
      <c r="U1748" s="5">
        <f>_xlfn.XLOOKUP(CustomerCombined[[#This Row],[ID]], Table4[ID], Table4[Store], "Not Found", 0)</f>
        <v>5</v>
      </c>
      <c r="V1748" s="5">
        <f>_xlfn.XLOOKUP(CustomerCombined[[#This Row],[ID]], Table4[ID], Table4[Visits], "Not Found", 0)</f>
        <v>7</v>
      </c>
      <c r="W1748" s="8">
        <f>_xlfn.XLOOKUP(CustomerCombined[[#This Row],[ID]], Table2[ID],Table2[Complaint], "Not Found", 0 )</f>
        <v>0</v>
      </c>
      <c r="X1748" s="8">
        <f>_xlfn.XLOOKUP(CustomerCombined[[#This Row],[ID]], Table2[ID],Table2[Pilot], "Not Found", 0 )</f>
        <v>0</v>
      </c>
      <c r="Y1748" s="8">
        <f>_xlfn.XLOOKUP(CustomerCombined[[#This Row],[ID]], Table2[ID],Table2[MC1], "Not Found", 0 )</f>
        <v>0</v>
      </c>
      <c r="Z1748" s="8">
        <f>_xlfn.XLOOKUP(CustomerCombined[[#This Row],[ID]], Table2[ID],Table2[MC2], "Not Found", 0 )</f>
        <v>0</v>
      </c>
      <c r="AA1748" s="8">
        <f>_xlfn.XLOOKUP(CustomerCombined[[#This Row],[ID]], Table2[ID],Table2[MC3], "Not Found", 0 )</f>
        <v>0</v>
      </c>
      <c r="AB1748" s="8">
        <f>_xlfn.XLOOKUP(CustomerCombined[[#This Row],[ID]], Table2[ID],Table2[MC4], "Not Found", 0 )</f>
        <v>0</v>
      </c>
      <c r="AC1748" s="8">
        <f>_xlfn.XLOOKUP(CustomerCombined[[#This Row],[ID]], Table2[ID],Table2[MC5], "Not Found", 0 )</f>
        <v>0</v>
      </c>
    </row>
    <row r="1749" spans="1:29" x14ac:dyDescent="0.3">
      <c r="A1749" s="6">
        <v>3118</v>
      </c>
      <c r="B1749" s="6">
        <v>149572</v>
      </c>
      <c r="C1749" s="6">
        <v>1</v>
      </c>
      <c r="D1749" s="6">
        <v>1</v>
      </c>
      <c r="E1749" s="6">
        <v>62</v>
      </c>
      <c r="F1749" s="5" t="s">
        <v>6</v>
      </c>
      <c r="G1749" s="5" t="s">
        <v>12</v>
      </c>
      <c r="H1749" s="3" t="s">
        <v>133</v>
      </c>
      <c r="I1749" s="5" t="s">
        <v>439</v>
      </c>
      <c r="J1749" s="5">
        <f>_xlfn.XLOOKUP(CustomerCombined[[#This Row],[ID]], Table4[ID], Table4[Recency], "Not Found", 0)</f>
        <v>25</v>
      </c>
      <c r="K1749" s="5">
        <f>_xlfn.XLOOKUP(CustomerCombined[[#This Row],[ID]], Table4[ID], Table4[Teas], "Not Found", 0)</f>
        <v>106</v>
      </c>
      <c r="L1749" s="5">
        <f>_xlfn.XLOOKUP(CustomerCombined[[#This Row],[ID]], Table4[ID], Table4[Fruits], "Not Found", 0)</f>
        <v>3</v>
      </c>
      <c r="M1749" s="5">
        <f>_xlfn.XLOOKUP(CustomerCombined[[#This Row],[ID]], Table4[ID], Table4[Meats], "Not Found", 0)</f>
        <v>48</v>
      </c>
      <c r="N1749" s="5">
        <f>_xlfn.XLOOKUP(CustomerCombined[[#This Row],[ID]], Table4[ID], Table4[Seafood], "Not Found", 0)</f>
        <v>0</v>
      </c>
      <c r="O1749" s="5">
        <f>_xlfn.XLOOKUP(CustomerCombined[[#This Row],[ID]], Table4[ID], Table4[Sweets], "Not Found", 0)</f>
        <v>3</v>
      </c>
      <c r="P1749" s="5">
        <f>_xlfn.XLOOKUP(CustomerCombined[[#This Row],[ID]], Table4[ID], Table4[Premium], "Not Found", 0)</f>
        <v>3</v>
      </c>
      <c r="Q1749" s="5">
        <f>_xlfn.XLOOKUP(CustomerCombined[[#This Row],[ID]], Table4[ID], Table4[Regular], "Not Found", 0)</f>
        <v>157</v>
      </c>
      <c r="R1749" s="5">
        <f>_xlfn.XLOOKUP(CustomerCombined[[#This Row],[ID]], Table4[ID], Table4[Deals], "Not Found", 0)</f>
        <v>2</v>
      </c>
      <c r="S1749" s="5">
        <f>_xlfn.XLOOKUP(CustomerCombined[[#This Row],[ID]], Table4[ID], Table4[Website], "Not Found", 0)</f>
        <v>2</v>
      </c>
      <c r="T1749" s="5">
        <f>_xlfn.XLOOKUP(CustomerCombined[[#This Row],[ID]], Table4[ID], Table4[Catalog], "Not Found", 0)</f>
        <v>0</v>
      </c>
      <c r="U1749" s="5">
        <f>_xlfn.XLOOKUP(CustomerCombined[[#This Row],[ID]], Table4[ID], Table4[Store], "Not Found", 0)</f>
        <v>3</v>
      </c>
      <c r="V1749" s="5">
        <f>_xlfn.XLOOKUP(CustomerCombined[[#This Row],[ID]], Table4[ID], Table4[Visits], "Not Found", 0)</f>
        <v>7</v>
      </c>
      <c r="W1749" s="8">
        <f>_xlfn.XLOOKUP(CustomerCombined[[#This Row],[ID]], Table2[ID],Table2[Complaint], "Not Found", 0 )</f>
        <v>0</v>
      </c>
      <c r="X1749" s="8">
        <f>_xlfn.XLOOKUP(CustomerCombined[[#This Row],[ID]], Table2[ID],Table2[Pilot], "Not Found", 0 )</f>
        <v>0</v>
      </c>
      <c r="Y1749" s="8">
        <f>_xlfn.XLOOKUP(CustomerCombined[[#This Row],[ID]], Table2[ID],Table2[MC1], "Not Found", 0 )</f>
        <v>0</v>
      </c>
      <c r="Z1749" s="8">
        <f>_xlfn.XLOOKUP(CustomerCombined[[#This Row],[ID]], Table2[ID],Table2[MC2], "Not Found", 0 )</f>
        <v>0</v>
      </c>
      <c r="AA1749" s="8">
        <f>_xlfn.XLOOKUP(CustomerCombined[[#This Row],[ID]], Table2[ID],Table2[MC3], "Not Found", 0 )</f>
        <v>0</v>
      </c>
      <c r="AB1749" s="8">
        <f>_xlfn.XLOOKUP(CustomerCombined[[#This Row],[ID]], Table2[ID],Table2[MC4], "Not Found", 0 )</f>
        <v>0</v>
      </c>
      <c r="AC1749" s="8">
        <f>_xlfn.XLOOKUP(CustomerCombined[[#This Row],[ID]], Table2[ID],Table2[MC5], "Not Found", 0 )</f>
        <v>0</v>
      </c>
    </row>
    <row r="1750" spans="1:29" x14ac:dyDescent="0.3">
      <c r="A1750" s="6">
        <v>1785</v>
      </c>
      <c r="B1750" s="6">
        <v>148192</v>
      </c>
      <c r="C1750" s="6">
        <v>0</v>
      </c>
      <c r="D1750" s="6">
        <v>0</v>
      </c>
      <c r="E1750" s="6">
        <v>62</v>
      </c>
      <c r="F1750" s="5" t="s">
        <v>6</v>
      </c>
      <c r="G1750" s="5" t="s">
        <v>11</v>
      </c>
      <c r="H1750" s="3">
        <v>43778</v>
      </c>
      <c r="I1750" s="5" t="s">
        <v>435</v>
      </c>
      <c r="J1750" s="5">
        <f>_xlfn.XLOOKUP(CustomerCombined[[#This Row],[ID]], Table4[ID], Table4[Recency], "Not Found", 0)</f>
        <v>76</v>
      </c>
      <c r="K1750" s="5">
        <f>_xlfn.XLOOKUP(CustomerCombined[[#This Row],[ID]], Table4[ID], Table4[Teas], "Not Found", 0)</f>
        <v>3195</v>
      </c>
      <c r="L1750" s="5">
        <f>_xlfn.XLOOKUP(CustomerCombined[[#This Row],[ID]], Table4[ID], Table4[Fruits], "Not Found", 0)</f>
        <v>132</v>
      </c>
      <c r="M1750" s="5">
        <f>_xlfn.XLOOKUP(CustomerCombined[[#This Row],[ID]], Table4[ID], Table4[Meats], "Not Found", 0)</f>
        <v>627</v>
      </c>
      <c r="N1750" s="5">
        <f>_xlfn.XLOOKUP(CustomerCombined[[#This Row],[ID]], Table4[ID], Table4[Seafood], "Not Found", 0)</f>
        <v>470</v>
      </c>
      <c r="O1750" s="5">
        <f>_xlfn.XLOOKUP(CustomerCombined[[#This Row],[ID]], Table4[ID], Table4[Sweets], "Not Found", 0)</f>
        <v>178</v>
      </c>
      <c r="P1750" s="5">
        <f>_xlfn.XLOOKUP(CustomerCombined[[#This Row],[ID]], Table4[ID], Table4[Premium], "Not Found", 0)</f>
        <v>89</v>
      </c>
      <c r="Q1750" s="5">
        <f>_xlfn.XLOOKUP(CustomerCombined[[#This Row],[ID]], Table4[ID], Table4[Regular], "Not Found", 0)</f>
        <v>4514</v>
      </c>
      <c r="R1750" s="5">
        <f>_xlfn.XLOOKUP(CustomerCombined[[#This Row],[ID]], Table4[ID], Table4[Deals], "Not Found", 0)</f>
        <v>3</v>
      </c>
      <c r="S1750" s="5">
        <f>_xlfn.XLOOKUP(CustomerCombined[[#This Row],[ID]], Table4[ID], Table4[Website], "Not Found", 0)</f>
        <v>2</v>
      </c>
      <c r="T1750" s="5">
        <f>_xlfn.XLOOKUP(CustomerCombined[[#This Row],[ID]], Table4[ID], Table4[Catalog], "Not Found", 0)</f>
        <v>8</v>
      </c>
      <c r="U1750" s="5">
        <f>_xlfn.XLOOKUP(CustomerCombined[[#This Row],[ID]], Table4[ID], Table4[Store], "Not Found", 0)</f>
        <v>12</v>
      </c>
      <c r="V1750" s="5">
        <f>_xlfn.XLOOKUP(CustomerCombined[[#This Row],[ID]], Table4[ID], Table4[Visits], "Not Found", 0)</f>
        <v>8</v>
      </c>
      <c r="W1750" s="8">
        <f>_xlfn.XLOOKUP(CustomerCombined[[#This Row],[ID]], Table2[ID],Table2[Complaint], "Not Found", 0 )</f>
        <v>0</v>
      </c>
      <c r="X1750" s="8">
        <f>_xlfn.XLOOKUP(CustomerCombined[[#This Row],[ID]], Table2[ID],Table2[Pilot], "Not Found", 0 )</f>
        <v>1</v>
      </c>
      <c r="Y1750" s="8">
        <f>_xlfn.XLOOKUP(CustomerCombined[[#This Row],[ID]], Table2[ID],Table2[MC1], "Not Found", 0 )</f>
        <v>1</v>
      </c>
      <c r="Z1750" s="8">
        <f>_xlfn.XLOOKUP(CustomerCombined[[#This Row],[ID]], Table2[ID],Table2[MC2], "Not Found", 0 )</f>
        <v>1</v>
      </c>
      <c r="AA1750" s="8">
        <f>_xlfn.XLOOKUP(CustomerCombined[[#This Row],[ID]], Table2[ID],Table2[MC3], "Not Found", 0 )</f>
        <v>0</v>
      </c>
      <c r="AB1750" s="8">
        <f>_xlfn.XLOOKUP(CustomerCombined[[#This Row],[ID]], Table2[ID],Table2[MC4], "Not Found", 0 )</f>
        <v>1</v>
      </c>
      <c r="AC1750" s="8">
        <f>_xlfn.XLOOKUP(CustomerCombined[[#This Row],[ID]], Table2[ID],Table2[MC5], "Not Found", 0 )</f>
        <v>0</v>
      </c>
    </row>
    <row r="1751" spans="1:29" x14ac:dyDescent="0.3">
      <c r="A1751" s="6">
        <v>2301</v>
      </c>
      <c r="B1751" s="6">
        <v>146692</v>
      </c>
      <c r="C1751" s="6">
        <v>0</v>
      </c>
      <c r="D1751" s="6">
        <v>1</v>
      </c>
      <c r="E1751" s="6">
        <v>62</v>
      </c>
      <c r="F1751" s="5" t="s">
        <v>8</v>
      </c>
      <c r="G1751" s="5" t="s">
        <v>12</v>
      </c>
      <c r="H1751" s="3">
        <v>43780</v>
      </c>
      <c r="I1751" s="5" t="s">
        <v>435</v>
      </c>
      <c r="J1751" s="5">
        <f>_xlfn.XLOOKUP(CustomerCombined[[#This Row],[ID]], Table4[ID], Table4[Recency], "Not Found", 0)</f>
        <v>37</v>
      </c>
      <c r="K1751" s="5">
        <f>_xlfn.XLOOKUP(CustomerCombined[[#This Row],[ID]], Table4[ID], Table4[Teas], "Not Found", 0)</f>
        <v>534</v>
      </c>
      <c r="L1751" s="5">
        <f>_xlfn.XLOOKUP(CustomerCombined[[#This Row],[ID]], Table4[ID], Table4[Fruits], "Not Found", 0)</f>
        <v>19</v>
      </c>
      <c r="M1751" s="5">
        <f>_xlfn.XLOOKUP(CustomerCombined[[#This Row],[ID]], Table4[ID], Table4[Meats], "Not Found", 0)</f>
        <v>305</v>
      </c>
      <c r="N1751" s="5">
        <f>_xlfn.XLOOKUP(CustomerCombined[[#This Row],[ID]], Table4[ID], Table4[Seafood], "Not Found", 0)</f>
        <v>75</v>
      </c>
      <c r="O1751" s="5">
        <f>_xlfn.XLOOKUP(CustomerCombined[[#This Row],[ID]], Table4[ID], Table4[Sweets], "Not Found", 0)</f>
        <v>38</v>
      </c>
      <c r="P1751" s="5">
        <f>_xlfn.XLOOKUP(CustomerCombined[[#This Row],[ID]], Table4[ID], Table4[Premium], "Not Found", 0)</f>
        <v>276</v>
      </c>
      <c r="Q1751" s="5">
        <f>_xlfn.XLOOKUP(CustomerCombined[[#This Row],[ID]], Table4[ID], Table4[Regular], "Not Found", 0)</f>
        <v>694</v>
      </c>
      <c r="R1751" s="5">
        <f>_xlfn.XLOOKUP(CustomerCombined[[#This Row],[ID]], Table4[ID], Table4[Deals], "Not Found", 0)</f>
        <v>3</v>
      </c>
      <c r="S1751" s="5">
        <f>_xlfn.XLOOKUP(CustomerCombined[[#This Row],[ID]], Table4[ID], Table4[Website], "Not Found", 0)</f>
        <v>6</v>
      </c>
      <c r="T1751" s="5">
        <f>_xlfn.XLOOKUP(CustomerCombined[[#This Row],[ID]], Table4[ID], Table4[Catalog], "Not Found", 0)</f>
        <v>1</v>
      </c>
      <c r="U1751" s="5">
        <f>_xlfn.XLOOKUP(CustomerCombined[[#This Row],[ID]], Table4[ID], Table4[Store], "Not Found", 0)</f>
        <v>5</v>
      </c>
      <c r="V1751" s="5">
        <f>_xlfn.XLOOKUP(CustomerCombined[[#This Row],[ID]], Table4[ID], Table4[Visits], "Not Found", 0)</f>
        <v>6</v>
      </c>
      <c r="W1751" s="8">
        <f>_xlfn.XLOOKUP(CustomerCombined[[#This Row],[ID]], Table2[ID],Table2[Complaint], "Not Found", 0 )</f>
        <v>0</v>
      </c>
      <c r="X1751" s="8">
        <f>_xlfn.XLOOKUP(CustomerCombined[[#This Row],[ID]], Table2[ID],Table2[Pilot], "Not Found", 0 )</f>
        <v>0</v>
      </c>
      <c r="Y1751" s="8">
        <f>_xlfn.XLOOKUP(CustomerCombined[[#This Row],[ID]], Table2[ID],Table2[MC1], "Not Found", 0 )</f>
        <v>0</v>
      </c>
      <c r="Z1751" s="8">
        <f>_xlfn.XLOOKUP(CustomerCombined[[#This Row],[ID]], Table2[ID],Table2[MC2], "Not Found", 0 )</f>
        <v>0</v>
      </c>
      <c r="AA1751" s="8">
        <f>_xlfn.XLOOKUP(CustomerCombined[[#This Row],[ID]], Table2[ID],Table2[MC3], "Not Found", 0 )</f>
        <v>0</v>
      </c>
      <c r="AB1751" s="8">
        <f>_xlfn.XLOOKUP(CustomerCombined[[#This Row],[ID]], Table2[ID],Table2[MC4], "Not Found", 0 )</f>
        <v>0</v>
      </c>
      <c r="AC1751" s="8">
        <f>_xlfn.XLOOKUP(CustomerCombined[[#This Row],[ID]], Table2[ID],Table2[MC5], "Not Found", 0 )</f>
        <v>0</v>
      </c>
    </row>
    <row r="1752" spans="1:29" x14ac:dyDescent="0.3">
      <c r="A1752" s="6">
        <v>2055</v>
      </c>
      <c r="B1752" s="6">
        <v>146610</v>
      </c>
      <c r="C1752" s="6">
        <v>0</v>
      </c>
      <c r="D1752" s="6">
        <v>0</v>
      </c>
      <c r="E1752" s="6">
        <v>62</v>
      </c>
      <c r="F1752" s="5" t="s">
        <v>8</v>
      </c>
      <c r="G1752" s="5" t="s">
        <v>11</v>
      </c>
      <c r="H1752" s="3" t="s">
        <v>218</v>
      </c>
      <c r="I1752" s="5" t="s">
        <v>435</v>
      </c>
      <c r="J1752" s="5">
        <f>_xlfn.XLOOKUP(CustomerCombined[[#This Row],[ID]], Table4[ID], Table4[Recency], "Not Found", 0)</f>
        <v>4</v>
      </c>
      <c r="K1752" s="5">
        <f>_xlfn.XLOOKUP(CustomerCombined[[#This Row],[ID]], Table4[ID], Table4[Teas], "Not Found", 0)</f>
        <v>906</v>
      </c>
      <c r="L1752" s="5">
        <f>_xlfn.XLOOKUP(CustomerCombined[[#This Row],[ID]], Table4[ID], Table4[Fruits], "Not Found", 0)</f>
        <v>31</v>
      </c>
      <c r="M1752" s="5">
        <f>_xlfn.XLOOKUP(CustomerCombined[[#This Row],[ID]], Table4[ID], Table4[Meats], "Not Found", 0)</f>
        <v>94</v>
      </c>
      <c r="N1752" s="5">
        <f>_xlfn.XLOOKUP(CustomerCombined[[#This Row],[ID]], Table4[ID], Table4[Seafood], "Not Found", 0)</f>
        <v>13</v>
      </c>
      <c r="O1752" s="5">
        <f>_xlfn.XLOOKUP(CustomerCombined[[#This Row],[ID]], Table4[ID], Table4[Sweets], "Not Found", 0)</f>
        <v>31</v>
      </c>
      <c r="P1752" s="5">
        <f>_xlfn.XLOOKUP(CustomerCombined[[#This Row],[ID]], Table4[ID], Table4[Premium], "Not Found", 0)</f>
        <v>393</v>
      </c>
      <c r="Q1752" s="5">
        <f>_xlfn.XLOOKUP(CustomerCombined[[#This Row],[ID]], Table4[ID], Table4[Regular], "Not Found", 0)</f>
        <v>683</v>
      </c>
      <c r="R1752" s="5">
        <f>_xlfn.XLOOKUP(CustomerCombined[[#This Row],[ID]], Table4[ID], Table4[Deals], "Not Found", 0)</f>
        <v>1</v>
      </c>
      <c r="S1752" s="5">
        <f>_xlfn.XLOOKUP(CustomerCombined[[#This Row],[ID]], Table4[ID], Table4[Website], "Not Found", 0)</f>
        <v>6</v>
      </c>
      <c r="T1752" s="5">
        <f>_xlfn.XLOOKUP(CustomerCombined[[#This Row],[ID]], Table4[ID], Table4[Catalog], "Not Found", 0)</f>
        <v>1</v>
      </c>
      <c r="U1752" s="5">
        <f>_xlfn.XLOOKUP(CustomerCombined[[#This Row],[ID]], Table4[ID], Table4[Store], "Not Found", 0)</f>
        <v>6</v>
      </c>
      <c r="V1752" s="5">
        <f>_xlfn.XLOOKUP(CustomerCombined[[#This Row],[ID]], Table4[ID], Table4[Visits], "Not Found", 0)</f>
        <v>6</v>
      </c>
      <c r="W1752" s="8">
        <f>_xlfn.XLOOKUP(CustomerCombined[[#This Row],[ID]], Table2[ID],Table2[Complaint], "Not Found", 0 )</f>
        <v>0</v>
      </c>
      <c r="X1752" s="8">
        <f>_xlfn.XLOOKUP(CustomerCombined[[#This Row],[ID]], Table2[ID],Table2[Pilot], "Not Found", 0 )</f>
        <v>0</v>
      </c>
      <c r="Y1752" s="8">
        <f>_xlfn.XLOOKUP(CustomerCombined[[#This Row],[ID]], Table2[ID],Table2[MC1], "Not Found", 0 )</f>
        <v>0</v>
      </c>
      <c r="Z1752" s="8">
        <f>_xlfn.XLOOKUP(CustomerCombined[[#This Row],[ID]], Table2[ID],Table2[MC2], "Not Found", 0 )</f>
        <v>0</v>
      </c>
      <c r="AA1752" s="8">
        <f>_xlfn.XLOOKUP(CustomerCombined[[#This Row],[ID]], Table2[ID],Table2[MC3], "Not Found", 0 )</f>
        <v>0</v>
      </c>
      <c r="AB1752" s="8">
        <f>_xlfn.XLOOKUP(CustomerCombined[[#This Row],[ID]], Table2[ID],Table2[MC4], "Not Found", 0 )</f>
        <v>0</v>
      </c>
      <c r="AC1752" s="8">
        <f>_xlfn.XLOOKUP(CustomerCombined[[#This Row],[ID]], Table2[ID],Table2[MC5], "Not Found", 0 )</f>
        <v>0</v>
      </c>
    </row>
    <row r="1753" spans="1:29" x14ac:dyDescent="0.3">
      <c r="A1753" s="6">
        <v>1700</v>
      </c>
      <c r="B1753" s="6">
        <v>145160</v>
      </c>
      <c r="C1753" s="6">
        <v>1</v>
      </c>
      <c r="D1753" s="6">
        <v>1</v>
      </c>
      <c r="E1753" s="6">
        <v>62</v>
      </c>
      <c r="F1753" s="5" t="s">
        <v>7</v>
      </c>
      <c r="G1753" s="5" t="s">
        <v>11</v>
      </c>
      <c r="H1753" s="3">
        <v>43870</v>
      </c>
      <c r="I1753" s="5" t="s">
        <v>438</v>
      </c>
      <c r="J1753" s="5">
        <f>_xlfn.XLOOKUP(CustomerCombined[[#This Row],[ID]], Table4[ID], Table4[Recency], "Not Found", 0)</f>
        <v>9</v>
      </c>
      <c r="K1753" s="5">
        <f>_xlfn.XLOOKUP(CustomerCombined[[#This Row],[ID]], Table4[ID], Table4[Teas], "Not Found", 0)</f>
        <v>26</v>
      </c>
      <c r="L1753" s="5">
        <f>_xlfn.XLOOKUP(CustomerCombined[[#This Row],[ID]], Table4[ID], Table4[Fruits], "Not Found", 0)</f>
        <v>6</v>
      </c>
      <c r="M1753" s="5">
        <f>_xlfn.XLOOKUP(CustomerCombined[[#This Row],[ID]], Table4[ID], Table4[Meats], "Not Found", 0)</f>
        <v>16</v>
      </c>
      <c r="N1753" s="5">
        <f>_xlfn.XLOOKUP(CustomerCombined[[#This Row],[ID]], Table4[ID], Table4[Seafood], "Not Found", 0)</f>
        <v>10</v>
      </c>
      <c r="O1753" s="5">
        <f>_xlfn.XLOOKUP(CustomerCombined[[#This Row],[ID]], Table4[ID], Table4[Sweets], "Not Found", 0)</f>
        <v>0</v>
      </c>
      <c r="P1753" s="5">
        <f>_xlfn.XLOOKUP(CustomerCombined[[#This Row],[ID]], Table4[ID], Table4[Premium], "Not Found", 0)</f>
        <v>10</v>
      </c>
      <c r="Q1753" s="5">
        <f>_xlfn.XLOOKUP(CustomerCombined[[#This Row],[ID]], Table4[ID], Table4[Regular], "Not Found", 0)</f>
        <v>48</v>
      </c>
      <c r="R1753" s="5">
        <f>_xlfn.XLOOKUP(CustomerCombined[[#This Row],[ID]], Table4[ID], Table4[Deals], "Not Found", 0)</f>
        <v>1</v>
      </c>
      <c r="S1753" s="5">
        <f>_xlfn.XLOOKUP(CustomerCombined[[#This Row],[ID]], Table4[ID], Table4[Website], "Not Found", 0)</f>
        <v>1</v>
      </c>
      <c r="T1753" s="5">
        <f>_xlfn.XLOOKUP(CustomerCombined[[#This Row],[ID]], Table4[ID], Table4[Catalog], "Not Found", 0)</f>
        <v>0</v>
      </c>
      <c r="U1753" s="5">
        <f>_xlfn.XLOOKUP(CustomerCombined[[#This Row],[ID]], Table4[ID], Table4[Store], "Not Found", 0)</f>
        <v>2</v>
      </c>
      <c r="V1753" s="5">
        <f>_xlfn.XLOOKUP(CustomerCombined[[#This Row],[ID]], Table4[ID], Table4[Visits], "Not Found", 0)</f>
        <v>7</v>
      </c>
      <c r="W1753" s="8">
        <f>_xlfn.XLOOKUP(CustomerCombined[[#This Row],[ID]], Table2[ID],Table2[Complaint], "Not Found", 0 )</f>
        <v>0</v>
      </c>
      <c r="X1753" s="8">
        <f>_xlfn.XLOOKUP(CustomerCombined[[#This Row],[ID]], Table2[ID],Table2[Pilot], "Not Found", 0 )</f>
        <v>0</v>
      </c>
      <c r="Y1753" s="8">
        <f>_xlfn.XLOOKUP(CustomerCombined[[#This Row],[ID]], Table2[ID],Table2[MC1], "Not Found", 0 )</f>
        <v>0</v>
      </c>
      <c r="Z1753" s="8">
        <f>_xlfn.XLOOKUP(CustomerCombined[[#This Row],[ID]], Table2[ID],Table2[MC2], "Not Found", 0 )</f>
        <v>0</v>
      </c>
      <c r="AA1753" s="8">
        <f>_xlfn.XLOOKUP(CustomerCombined[[#This Row],[ID]], Table2[ID],Table2[MC3], "Not Found", 0 )</f>
        <v>0</v>
      </c>
      <c r="AB1753" s="8">
        <f>_xlfn.XLOOKUP(CustomerCombined[[#This Row],[ID]], Table2[ID],Table2[MC4], "Not Found", 0 )</f>
        <v>0</v>
      </c>
      <c r="AC1753" s="8">
        <f>_xlfn.XLOOKUP(CustomerCombined[[#This Row],[ID]], Table2[ID],Table2[MC5], "Not Found", 0 )</f>
        <v>0</v>
      </c>
    </row>
    <row r="1754" spans="1:29" x14ac:dyDescent="0.3">
      <c r="A1754" s="6">
        <v>1673</v>
      </c>
      <c r="B1754" s="6">
        <v>142315</v>
      </c>
      <c r="C1754" s="6">
        <v>0</v>
      </c>
      <c r="D1754" s="6">
        <v>1</v>
      </c>
      <c r="E1754" s="6">
        <v>62</v>
      </c>
      <c r="F1754" s="5" t="s">
        <v>8</v>
      </c>
      <c r="G1754" s="5" t="s">
        <v>12</v>
      </c>
      <c r="H1754" s="3" t="s">
        <v>224</v>
      </c>
      <c r="I1754" s="5" t="s">
        <v>434</v>
      </c>
      <c r="J1754" s="5">
        <f>_xlfn.XLOOKUP(CustomerCombined[[#This Row],[ID]], Table4[ID], Table4[Recency], "Not Found", 0)</f>
        <v>90</v>
      </c>
      <c r="K1754" s="5">
        <f>_xlfn.XLOOKUP(CustomerCombined[[#This Row],[ID]], Table4[ID], Table4[Teas], "Not Found", 0)</f>
        <v>225</v>
      </c>
      <c r="L1754" s="5">
        <f>_xlfn.XLOOKUP(CustomerCombined[[#This Row],[ID]], Table4[ID], Table4[Fruits], "Not Found", 0)</f>
        <v>50</v>
      </c>
      <c r="M1754" s="5">
        <f>_xlfn.XLOOKUP(CustomerCombined[[#This Row],[ID]], Table4[ID], Table4[Meats], "Not Found", 0)</f>
        <v>269</v>
      </c>
      <c r="N1754" s="5">
        <f>_xlfn.XLOOKUP(CustomerCombined[[#This Row],[ID]], Table4[ID], Table4[Seafood], "Not Found", 0)</f>
        <v>57</v>
      </c>
      <c r="O1754" s="5">
        <f>_xlfn.XLOOKUP(CustomerCombined[[#This Row],[ID]], Table4[ID], Table4[Sweets], "Not Found", 0)</f>
        <v>37</v>
      </c>
      <c r="P1754" s="5">
        <f>_xlfn.XLOOKUP(CustomerCombined[[#This Row],[ID]], Table4[ID], Table4[Premium], "Not Found", 0)</f>
        <v>269</v>
      </c>
      <c r="Q1754" s="5">
        <f>_xlfn.XLOOKUP(CustomerCombined[[#This Row],[ID]], Table4[ID], Table4[Regular], "Not Found", 0)</f>
        <v>370</v>
      </c>
      <c r="R1754" s="5">
        <f>_xlfn.XLOOKUP(CustomerCombined[[#This Row],[ID]], Table4[ID], Table4[Deals], "Not Found", 0)</f>
        <v>3</v>
      </c>
      <c r="S1754" s="5">
        <f>_xlfn.XLOOKUP(CustomerCombined[[#This Row],[ID]], Table4[ID], Table4[Website], "Not Found", 0)</f>
        <v>1</v>
      </c>
      <c r="T1754" s="5">
        <f>_xlfn.XLOOKUP(CustomerCombined[[#This Row],[ID]], Table4[ID], Table4[Catalog], "Not Found", 0)</f>
        <v>4</v>
      </c>
      <c r="U1754" s="5">
        <f>_xlfn.XLOOKUP(CustomerCombined[[#This Row],[ID]], Table4[ID], Table4[Store], "Not Found", 0)</f>
        <v>4</v>
      </c>
      <c r="V1754" s="5">
        <f>_xlfn.XLOOKUP(CustomerCombined[[#This Row],[ID]], Table4[ID], Table4[Visits], "Not Found", 0)</f>
        <v>3</v>
      </c>
      <c r="W1754" s="8">
        <f>_xlfn.XLOOKUP(CustomerCombined[[#This Row],[ID]], Table2[ID],Table2[Complaint], "Not Found", 0 )</f>
        <v>0</v>
      </c>
      <c r="X1754" s="8">
        <f>_xlfn.XLOOKUP(CustomerCombined[[#This Row],[ID]], Table2[ID],Table2[Pilot], "Not Found", 0 )</f>
        <v>0</v>
      </c>
      <c r="Y1754" s="8">
        <f>_xlfn.XLOOKUP(CustomerCombined[[#This Row],[ID]], Table2[ID],Table2[MC1], "Not Found", 0 )</f>
        <v>0</v>
      </c>
      <c r="Z1754" s="8">
        <f>_xlfn.XLOOKUP(CustomerCombined[[#This Row],[ID]], Table2[ID],Table2[MC2], "Not Found", 0 )</f>
        <v>0</v>
      </c>
      <c r="AA1754" s="8">
        <f>_xlfn.XLOOKUP(CustomerCombined[[#This Row],[ID]], Table2[ID],Table2[MC3], "Not Found", 0 )</f>
        <v>0</v>
      </c>
      <c r="AB1754" s="8">
        <f>_xlfn.XLOOKUP(CustomerCombined[[#This Row],[ID]], Table2[ID],Table2[MC4], "Not Found", 0 )</f>
        <v>0</v>
      </c>
      <c r="AC1754" s="8">
        <f>_xlfn.XLOOKUP(CustomerCombined[[#This Row],[ID]], Table2[ID],Table2[MC5], "Not Found", 0 )</f>
        <v>0</v>
      </c>
    </row>
    <row r="1755" spans="1:29" x14ac:dyDescent="0.3">
      <c r="A1755" s="6">
        <v>2404</v>
      </c>
      <c r="B1755" s="6">
        <v>138741</v>
      </c>
      <c r="C1755" s="6">
        <v>1</v>
      </c>
      <c r="D1755" s="6">
        <v>1</v>
      </c>
      <c r="E1755" s="6">
        <v>62</v>
      </c>
      <c r="F1755" s="5" t="s">
        <v>7</v>
      </c>
      <c r="G1755" s="5" t="s">
        <v>442</v>
      </c>
      <c r="H1755" s="3">
        <v>43899</v>
      </c>
      <c r="I1755" s="5" t="s">
        <v>439</v>
      </c>
      <c r="J1755" s="5">
        <f>_xlfn.XLOOKUP(CustomerCombined[[#This Row],[ID]], Table4[ID], Table4[Recency], "Not Found", 0)</f>
        <v>60</v>
      </c>
      <c r="K1755" s="5">
        <f>_xlfn.XLOOKUP(CustomerCombined[[#This Row],[ID]], Table4[ID], Table4[Teas], "Not Found", 0)</f>
        <v>25</v>
      </c>
      <c r="L1755" s="5">
        <f>_xlfn.XLOOKUP(CustomerCombined[[#This Row],[ID]], Table4[ID], Table4[Fruits], "Not Found", 0)</f>
        <v>36</v>
      </c>
      <c r="M1755" s="5">
        <f>_xlfn.XLOOKUP(CustomerCombined[[#This Row],[ID]], Table4[ID], Table4[Meats], "Not Found", 0)</f>
        <v>61</v>
      </c>
      <c r="N1755" s="5">
        <f>_xlfn.XLOOKUP(CustomerCombined[[#This Row],[ID]], Table4[ID], Table4[Seafood], "Not Found", 0)</f>
        <v>29</v>
      </c>
      <c r="O1755" s="5">
        <f>_xlfn.XLOOKUP(CustomerCombined[[#This Row],[ID]], Table4[ID], Table4[Sweets], "Not Found", 0)</f>
        <v>21</v>
      </c>
      <c r="P1755" s="5">
        <f>_xlfn.XLOOKUP(CustomerCombined[[#This Row],[ID]], Table4[ID], Table4[Premium], "Not Found", 0)</f>
        <v>47</v>
      </c>
      <c r="Q1755" s="5">
        <f>_xlfn.XLOOKUP(CustomerCombined[[#This Row],[ID]], Table4[ID], Table4[Regular], "Not Found", 0)</f>
        <v>125</v>
      </c>
      <c r="R1755" s="5">
        <f>_xlfn.XLOOKUP(CustomerCombined[[#This Row],[ID]], Table4[ID], Table4[Deals], "Not Found", 0)</f>
        <v>2</v>
      </c>
      <c r="S1755" s="5">
        <f>_xlfn.XLOOKUP(CustomerCombined[[#This Row],[ID]], Table4[ID], Table4[Website], "Not Found", 0)</f>
        <v>2</v>
      </c>
      <c r="T1755" s="5">
        <f>_xlfn.XLOOKUP(CustomerCombined[[#This Row],[ID]], Table4[ID], Table4[Catalog], "Not Found", 0)</f>
        <v>0</v>
      </c>
      <c r="U1755" s="5">
        <f>_xlfn.XLOOKUP(CustomerCombined[[#This Row],[ID]], Table4[ID], Table4[Store], "Not Found", 0)</f>
        <v>3</v>
      </c>
      <c r="V1755" s="5">
        <f>_xlfn.XLOOKUP(CustomerCombined[[#This Row],[ID]], Table4[ID], Table4[Visits], "Not Found", 0)</f>
        <v>7</v>
      </c>
      <c r="W1755" s="8">
        <f>_xlfn.XLOOKUP(CustomerCombined[[#This Row],[ID]], Table2[ID],Table2[Complaint], "Not Found", 0 )</f>
        <v>0</v>
      </c>
      <c r="X1755" s="8">
        <f>_xlfn.XLOOKUP(CustomerCombined[[#This Row],[ID]], Table2[ID],Table2[Pilot], "Not Found", 0 )</f>
        <v>0</v>
      </c>
      <c r="Y1755" s="8">
        <f>_xlfn.XLOOKUP(CustomerCombined[[#This Row],[ID]], Table2[ID],Table2[MC1], "Not Found", 0 )</f>
        <v>0</v>
      </c>
      <c r="Z1755" s="8">
        <f>_xlfn.XLOOKUP(CustomerCombined[[#This Row],[ID]], Table2[ID],Table2[MC2], "Not Found", 0 )</f>
        <v>0</v>
      </c>
      <c r="AA1755" s="8">
        <f>_xlfn.XLOOKUP(CustomerCombined[[#This Row],[ID]], Table2[ID],Table2[MC3], "Not Found", 0 )</f>
        <v>0</v>
      </c>
      <c r="AB1755" s="8">
        <f>_xlfn.XLOOKUP(CustomerCombined[[#This Row],[ID]], Table2[ID],Table2[MC4], "Not Found", 0 )</f>
        <v>0</v>
      </c>
      <c r="AC1755" s="8">
        <f>_xlfn.XLOOKUP(CustomerCombined[[#This Row],[ID]], Table2[ID],Table2[MC5], "Not Found", 0 )</f>
        <v>0</v>
      </c>
    </row>
    <row r="1756" spans="1:29" x14ac:dyDescent="0.3">
      <c r="A1756" s="6">
        <v>2017</v>
      </c>
      <c r="B1756" s="6">
        <v>137334</v>
      </c>
      <c r="C1756" s="6">
        <v>1</v>
      </c>
      <c r="D1756" s="6">
        <v>1</v>
      </c>
      <c r="E1756" s="6">
        <v>62</v>
      </c>
      <c r="F1756" s="5" t="s">
        <v>8</v>
      </c>
      <c r="G1756" s="5" t="s">
        <v>13</v>
      </c>
      <c r="H1756" s="3">
        <v>43869</v>
      </c>
      <c r="I1756" s="5" t="s">
        <v>437</v>
      </c>
      <c r="J1756" s="5">
        <f>_xlfn.XLOOKUP(CustomerCombined[[#This Row],[ID]], Table4[ID], Table4[Recency], "Not Found", 0)</f>
        <v>44</v>
      </c>
      <c r="K1756" s="5">
        <f>_xlfn.XLOOKUP(CustomerCombined[[#This Row],[ID]], Table4[ID], Table4[Teas], "Not Found", 0)</f>
        <v>96</v>
      </c>
      <c r="L1756" s="5">
        <f>_xlfn.XLOOKUP(CustomerCombined[[#This Row],[ID]], Table4[ID], Table4[Fruits], "Not Found", 0)</f>
        <v>4</v>
      </c>
      <c r="M1756" s="5">
        <f>_xlfn.XLOOKUP(CustomerCombined[[#This Row],[ID]], Table4[ID], Table4[Meats], "Not Found", 0)</f>
        <v>59</v>
      </c>
      <c r="N1756" s="5">
        <f>_xlfn.XLOOKUP(CustomerCombined[[#This Row],[ID]], Table4[ID], Table4[Seafood], "Not Found", 0)</f>
        <v>7</v>
      </c>
      <c r="O1756" s="5">
        <f>_xlfn.XLOOKUP(CustomerCombined[[#This Row],[ID]], Table4[ID], Table4[Sweets], "Not Found", 0)</f>
        <v>7</v>
      </c>
      <c r="P1756" s="5">
        <f>_xlfn.XLOOKUP(CustomerCombined[[#This Row],[ID]], Table4[ID], Table4[Premium], "Not Found", 0)</f>
        <v>55</v>
      </c>
      <c r="Q1756" s="5">
        <f>_xlfn.XLOOKUP(CustomerCombined[[#This Row],[ID]], Table4[ID], Table4[Regular], "Not Found", 0)</f>
        <v>118</v>
      </c>
      <c r="R1756" s="5">
        <f>_xlfn.XLOOKUP(CustomerCombined[[#This Row],[ID]], Table4[ID], Table4[Deals], "Not Found", 0)</f>
        <v>4</v>
      </c>
      <c r="S1756" s="5">
        <f>_xlfn.XLOOKUP(CustomerCombined[[#This Row],[ID]], Table4[ID], Table4[Website], "Not Found", 0)</f>
        <v>3</v>
      </c>
      <c r="T1756" s="5">
        <f>_xlfn.XLOOKUP(CustomerCombined[[#This Row],[ID]], Table4[ID], Table4[Catalog], "Not Found", 0)</f>
        <v>0</v>
      </c>
      <c r="U1756" s="5">
        <f>_xlfn.XLOOKUP(CustomerCombined[[#This Row],[ID]], Table4[ID], Table4[Store], "Not Found", 0)</f>
        <v>4</v>
      </c>
      <c r="V1756" s="5">
        <f>_xlfn.XLOOKUP(CustomerCombined[[#This Row],[ID]], Table4[ID], Table4[Visits], "Not Found", 0)</f>
        <v>4</v>
      </c>
      <c r="W1756" s="8">
        <f>_xlfn.XLOOKUP(CustomerCombined[[#This Row],[ID]], Table2[ID],Table2[Complaint], "Not Found", 0 )</f>
        <v>0</v>
      </c>
      <c r="X1756" s="8">
        <f>_xlfn.XLOOKUP(CustomerCombined[[#This Row],[ID]], Table2[ID],Table2[Pilot], "Not Found", 0 )</f>
        <v>0</v>
      </c>
      <c r="Y1756" s="8">
        <f>_xlfn.XLOOKUP(CustomerCombined[[#This Row],[ID]], Table2[ID],Table2[MC1], "Not Found", 0 )</f>
        <v>0</v>
      </c>
      <c r="Z1756" s="8">
        <f>_xlfn.XLOOKUP(CustomerCombined[[#This Row],[ID]], Table2[ID],Table2[MC2], "Not Found", 0 )</f>
        <v>0</v>
      </c>
      <c r="AA1756" s="8">
        <f>_xlfn.XLOOKUP(CustomerCombined[[#This Row],[ID]], Table2[ID],Table2[MC3], "Not Found", 0 )</f>
        <v>0</v>
      </c>
      <c r="AB1756" s="8">
        <f>_xlfn.XLOOKUP(CustomerCombined[[#This Row],[ID]], Table2[ID],Table2[MC4], "Not Found", 0 )</f>
        <v>0</v>
      </c>
      <c r="AC1756" s="8">
        <f>_xlfn.XLOOKUP(CustomerCombined[[#This Row],[ID]], Table2[ID],Table2[MC5], "Not Found", 0 )</f>
        <v>0</v>
      </c>
    </row>
    <row r="1757" spans="1:29" x14ac:dyDescent="0.3">
      <c r="A1757" s="6">
        <v>1287</v>
      </c>
      <c r="B1757" s="6">
        <v>135246</v>
      </c>
      <c r="C1757" s="6">
        <v>1</v>
      </c>
      <c r="D1757" s="6">
        <v>1</v>
      </c>
      <c r="E1757" s="6">
        <v>62</v>
      </c>
      <c r="F1757" s="5" t="s">
        <v>5</v>
      </c>
      <c r="G1757" s="5" t="s">
        <v>11</v>
      </c>
      <c r="H1757" s="3" t="s">
        <v>66</v>
      </c>
      <c r="I1757" s="5" t="s">
        <v>435</v>
      </c>
      <c r="J1757" s="5">
        <f>_xlfn.XLOOKUP(CustomerCombined[[#This Row],[ID]], Table4[ID], Table4[Recency], "Not Found", 0)</f>
        <v>53</v>
      </c>
      <c r="K1757" s="5">
        <f>_xlfn.XLOOKUP(CustomerCombined[[#This Row],[ID]], Table4[ID], Table4[Teas], "Not Found", 0)</f>
        <v>138</v>
      </c>
      <c r="L1757" s="5">
        <f>_xlfn.XLOOKUP(CustomerCombined[[#This Row],[ID]], Table4[ID], Table4[Fruits], "Not Found", 0)</f>
        <v>0</v>
      </c>
      <c r="M1757" s="5">
        <f>_xlfn.XLOOKUP(CustomerCombined[[#This Row],[ID]], Table4[ID], Table4[Meats], "Not Found", 0)</f>
        <v>46</v>
      </c>
      <c r="N1757" s="5">
        <f>_xlfn.XLOOKUP(CustomerCombined[[#This Row],[ID]], Table4[ID], Table4[Seafood], "Not Found", 0)</f>
        <v>8</v>
      </c>
      <c r="O1757" s="5">
        <f>_xlfn.XLOOKUP(CustomerCombined[[#This Row],[ID]], Table4[ID], Table4[Sweets], "Not Found", 0)</f>
        <v>8</v>
      </c>
      <c r="P1757" s="5">
        <f>_xlfn.XLOOKUP(CustomerCombined[[#This Row],[ID]], Table4[ID], Table4[Premium], "Not Found", 0)</f>
        <v>38</v>
      </c>
      <c r="Q1757" s="5">
        <f>_xlfn.XLOOKUP(CustomerCombined[[#This Row],[ID]], Table4[ID], Table4[Regular], "Not Found", 0)</f>
        <v>161</v>
      </c>
      <c r="R1757" s="5">
        <f>_xlfn.XLOOKUP(CustomerCombined[[#This Row],[ID]], Table4[ID], Table4[Deals], "Not Found", 0)</f>
        <v>4</v>
      </c>
      <c r="S1757" s="5">
        <f>_xlfn.XLOOKUP(CustomerCombined[[#This Row],[ID]], Table4[ID], Table4[Website], "Not Found", 0)</f>
        <v>3</v>
      </c>
      <c r="T1757" s="5">
        <f>_xlfn.XLOOKUP(CustomerCombined[[#This Row],[ID]], Table4[ID], Table4[Catalog], "Not Found", 0)</f>
        <v>1</v>
      </c>
      <c r="U1757" s="5">
        <f>_xlfn.XLOOKUP(CustomerCombined[[#This Row],[ID]], Table4[ID], Table4[Store], "Not Found", 0)</f>
        <v>3</v>
      </c>
      <c r="V1757" s="5">
        <f>_xlfn.XLOOKUP(CustomerCombined[[#This Row],[ID]], Table4[ID], Table4[Visits], "Not Found", 0)</f>
        <v>5</v>
      </c>
      <c r="W1757" s="8">
        <f>_xlfn.XLOOKUP(CustomerCombined[[#This Row],[ID]], Table2[ID],Table2[Complaint], "Not Found", 0 )</f>
        <v>0</v>
      </c>
      <c r="X1757" s="8">
        <f>_xlfn.XLOOKUP(CustomerCombined[[#This Row],[ID]], Table2[ID],Table2[Pilot], "Not Found", 0 )</f>
        <v>0</v>
      </c>
      <c r="Y1757" s="8">
        <f>_xlfn.XLOOKUP(CustomerCombined[[#This Row],[ID]], Table2[ID],Table2[MC1], "Not Found", 0 )</f>
        <v>0</v>
      </c>
      <c r="Z1757" s="8">
        <f>_xlfn.XLOOKUP(CustomerCombined[[#This Row],[ID]], Table2[ID],Table2[MC2], "Not Found", 0 )</f>
        <v>0</v>
      </c>
      <c r="AA1757" s="8">
        <f>_xlfn.XLOOKUP(CustomerCombined[[#This Row],[ID]], Table2[ID],Table2[MC3], "Not Found", 0 )</f>
        <v>0</v>
      </c>
      <c r="AB1757" s="8">
        <f>_xlfn.XLOOKUP(CustomerCombined[[#This Row],[ID]], Table2[ID],Table2[MC4], "Not Found", 0 )</f>
        <v>0</v>
      </c>
      <c r="AC1757" s="8">
        <f>_xlfn.XLOOKUP(CustomerCombined[[#This Row],[ID]], Table2[ID],Table2[MC5], "Not Found", 0 )</f>
        <v>0</v>
      </c>
    </row>
    <row r="1758" spans="1:29" x14ac:dyDescent="0.3">
      <c r="A1758" s="6">
        <v>2205</v>
      </c>
      <c r="B1758" s="6">
        <v>133438</v>
      </c>
      <c r="C1758" s="6">
        <v>1</v>
      </c>
      <c r="D1758" s="6">
        <v>1</v>
      </c>
      <c r="E1758" s="6">
        <v>62</v>
      </c>
      <c r="F1758" s="5" t="s">
        <v>9</v>
      </c>
      <c r="G1758" s="5" t="s">
        <v>13</v>
      </c>
      <c r="H1758" s="3" t="s">
        <v>177</v>
      </c>
      <c r="I1758" s="5" t="s">
        <v>435</v>
      </c>
      <c r="J1758" s="5">
        <f>_xlfn.XLOOKUP(CustomerCombined[[#This Row],[ID]], Table4[ID], Table4[Recency], "Not Found", 0)</f>
        <v>81</v>
      </c>
      <c r="K1758" s="5">
        <f>_xlfn.XLOOKUP(CustomerCombined[[#This Row],[ID]], Table4[ID], Table4[Teas], "Not Found", 0)</f>
        <v>247</v>
      </c>
      <c r="L1758" s="5">
        <f>_xlfn.XLOOKUP(CustomerCombined[[#This Row],[ID]], Table4[ID], Table4[Fruits], "Not Found", 0)</f>
        <v>4</v>
      </c>
      <c r="M1758" s="5">
        <f>_xlfn.XLOOKUP(CustomerCombined[[#This Row],[ID]], Table4[ID], Table4[Meats], "Not Found", 0)</f>
        <v>64</v>
      </c>
      <c r="N1758" s="5">
        <f>_xlfn.XLOOKUP(CustomerCombined[[#This Row],[ID]], Table4[ID], Table4[Seafood], "Not Found", 0)</f>
        <v>12</v>
      </c>
      <c r="O1758" s="5">
        <f>_xlfn.XLOOKUP(CustomerCombined[[#This Row],[ID]], Table4[ID], Table4[Sweets], "Not Found", 0)</f>
        <v>8</v>
      </c>
      <c r="P1758" s="5">
        <f>_xlfn.XLOOKUP(CustomerCombined[[#This Row],[ID]], Table4[ID], Table4[Premium], "Not Found", 0)</f>
        <v>24</v>
      </c>
      <c r="Q1758" s="5">
        <f>_xlfn.XLOOKUP(CustomerCombined[[#This Row],[ID]], Table4[ID], Table4[Regular], "Not Found", 0)</f>
        <v>311</v>
      </c>
      <c r="R1758" s="5">
        <f>_xlfn.XLOOKUP(CustomerCombined[[#This Row],[ID]], Table4[ID], Table4[Deals], "Not Found", 0)</f>
        <v>4</v>
      </c>
      <c r="S1758" s="5">
        <f>_xlfn.XLOOKUP(CustomerCombined[[#This Row],[ID]], Table4[ID], Table4[Website], "Not Found", 0)</f>
        <v>2</v>
      </c>
      <c r="T1758" s="5">
        <f>_xlfn.XLOOKUP(CustomerCombined[[#This Row],[ID]], Table4[ID], Table4[Catalog], "Not Found", 0)</f>
        <v>1</v>
      </c>
      <c r="U1758" s="5">
        <f>_xlfn.XLOOKUP(CustomerCombined[[#This Row],[ID]], Table4[ID], Table4[Store], "Not Found", 0)</f>
        <v>4</v>
      </c>
      <c r="V1758" s="5">
        <f>_xlfn.XLOOKUP(CustomerCombined[[#This Row],[ID]], Table4[ID], Table4[Visits], "Not Found", 0)</f>
        <v>5</v>
      </c>
      <c r="W1758" s="8">
        <f>_xlfn.XLOOKUP(CustomerCombined[[#This Row],[ID]], Table2[ID],Table2[Complaint], "Not Found", 0 )</f>
        <v>0</v>
      </c>
      <c r="X1758" s="8">
        <f>_xlfn.XLOOKUP(CustomerCombined[[#This Row],[ID]], Table2[ID],Table2[Pilot], "Not Found", 0 )</f>
        <v>0</v>
      </c>
      <c r="Y1758" s="8">
        <f>_xlfn.XLOOKUP(CustomerCombined[[#This Row],[ID]], Table2[ID],Table2[MC1], "Not Found", 0 )</f>
        <v>0</v>
      </c>
      <c r="Z1758" s="8">
        <f>_xlfn.XLOOKUP(CustomerCombined[[#This Row],[ID]], Table2[ID],Table2[MC2], "Not Found", 0 )</f>
        <v>0</v>
      </c>
      <c r="AA1758" s="8">
        <f>_xlfn.XLOOKUP(CustomerCombined[[#This Row],[ID]], Table2[ID],Table2[MC3], "Not Found", 0 )</f>
        <v>0</v>
      </c>
      <c r="AB1758" s="8">
        <f>_xlfn.XLOOKUP(CustomerCombined[[#This Row],[ID]], Table2[ID],Table2[MC4], "Not Found", 0 )</f>
        <v>0</v>
      </c>
      <c r="AC1758" s="8">
        <f>_xlfn.XLOOKUP(CustomerCombined[[#This Row],[ID]], Table2[ID],Table2[MC5], "Not Found", 0 )</f>
        <v>0</v>
      </c>
    </row>
    <row r="1759" spans="1:29" x14ac:dyDescent="0.3">
      <c r="A1759" s="6">
        <v>2009</v>
      </c>
      <c r="B1759" s="6">
        <v>132173</v>
      </c>
      <c r="C1759" s="6">
        <v>0</v>
      </c>
      <c r="D1759" s="6">
        <v>1</v>
      </c>
      <c r="E1759" s="6">
        <v>62</v>
      </c>
      <c r="F1759" s="5" t="s">
        <v>5</v>
      </c>
      <c r="G1759" s="5" t="s">
        <v>13</v>
      </c>
      <c r="H1759" s="3">
        <v>43983</v>
      </c>
      <c r="I1759" s="5" t="s">
        <v>434</v>
      </c>
      <c r="J1759" s="5">
        <f>_xlfn.XLOOKUP(CustomerCombined[[#This Row],[ID]], Table4[ID], Table4[Recency], "Not Found", 0)</f>
        <v>0</v>
      </c>
      <c r="K1759" s="5">
        <f>_xlfn.XLOOKUP(CustomerCombined[[#This Row],[ID]], Table4[ID], Table4[Teas], "Not Found", 0)</f>
        <v>74</v>
      </c>
      <c r="L1759" s="5">
        <f>_xlfn.XLOOKUP(CustomerCombined[[#This Row],[ID]], Table4[ID], Table4[Fruits], "Not Found", 0)</f>
        <v>0</v>
      </c>
      <c r="M1759" s="5">
        <f>_xlfn.XLOOKUP(CustomerCombined[[#This Row],[ID]], Table4[ID], Table4[Meats], "Not Found", 0)</f>
        <v>8</v>
      </c>
      <c r="N1759" s="5">
        <f>_xlfn.XLOOKUP(CustomerCombined[[#This Row],[ID]], Table4[ID], Table4[Seafood], "Not Found", 0)</f>
        <v>0</v>
      </c>
      <c r="O1759" s="5">
        <f>_xlfn.XLOOKUP(CustomerCombined[[#This Row],[ID]], Table4[ID], Table4[Sweets], "Not Found", 0)</f>
        <v>0</v>
      </c>
      <c r="P1759" s="5">
        <f>_xlfn.XLOOKUP(CustomerCombined[[#This Row],[ID]], Table4[ID], Table4[Premium], "Not Found", 0)</f>
        <v>8</v>
      </c>
      <c r="Q1759" s="5">
        <f>_xlfn.XLOOKUP(CustomerCombined[[#This Row],[ID]], Table4[ID], Table4[Regular], "Not Found", 0)</f>
        <v>74</v>
      </c>
      <c r="R1759" s="5">
        <f>_xlfn.XLOOKUP(CustomerCombined[[#This Row],[ID]], Table4[ID], Table4[Deals], "Not Found", 0)</f>
        <v>1</v>
      </c>
      <c r="S1759" s="5">
        <f>_xlfn.XLOOKUP(CustomerCombined[[#This Row],[ID]], Table4[ID], Table4[Website], "Not Found", 0)</f>
        <v>1</v>
      </c>
      <c r="T1759" s="5">
        <f>_xlfn.XLOOKUP(CustomerCombined[[#This Row],[ID]], Table4[ID], Table4[Catalog], "Not Found", 0)</f>
        <v>0</v>
      </c>
      <c r="U1759" s="5">
        <f>_xlfn.XLOOKUP(CustomerCombined[[#This Row],[ID]], Table4[ID], Table4[Store], "Not Found", 0)</f>
        <v>3</v>
      </c>
      <c r="V1759" s="5">
        <f>_xlfn.XLOOKUP(CustomerCombined[[#This Row],[ID]], Table4[ID], Table4[Visits], "Not Found", 0)</f>
        <v>4</v>
      </c>
      <c r="W1759" s="8">
        <f>_xlfn.XLOOKUP(CustomerCombined[[#This Row],[ID]], Table2[ID],Table2[Complaint], "Not Found", 0 )</f>
        <v>0</v>
      </c>
      <c r="X1759" s="8">
        <f>_xlfn.XLOOKUP(CustomerCombined[[#This Row],[ID]], Table2[ID],Table2[Pilot], "Not Found", 0 )</f>
        <v>0</v>
      </c>
      <c r="Y1759" s="8">
        <f>_xlfn.XLOOKUP(CustomerCombined[[#This Row],[ID]], Table2[ID],Table2[MC1], "Not Found", 0 )</f>
        <v>0</v>
      </c>
      <c r="Z1759" s="8">
        <f>_xlfn.XLOOKUP(CustomerCombined[[#This Row],[ID]], Table2[ID],Table2[MC2], "Not Found", 0 )</f>
        <v>0</v>
      </c>
      <c r="AA1759" s="8">
        <f>_xlfn.XLOOKUP(CustomerCombined[[#This Row],[ID]], Table2[ID],Table2[MC3], "Not Found", 0 )</f>
        <v>0</v>
      </c>
      <c r="AB1759" s="8">
        <f>_xlfn.XLOOKUP(CustomerCombined[[#This Row],[ID]], Table2[ID],Table2[MC4], "Not Found", 0 )</f>
        <v>0</v>
      </c>
      <c r="AC1759" s="8">
        <f>_xlfn.XLOOKUP(CustomerCombined[[#This Row],[ID]], Table2[ID],Table2[MC5], "Not Found", 0 )</f>
        <v>0</v>
      </c>
    </row>
    <row r="1760" spans="1:29" x14ac:dyDescent="0.3">
      <c r="A1760" s="6">
        <v>1150</v>
      </c>
      <c r="B1760" s="6">
        <v>130523</v>
      </c>
      <c r="C1760" s="6">
        <v>2</v>
      </c>
      <c r="D1760" s="6">
        <v>1</v>
      </c>
      <c r="E1760" s="6">
        <v>62</v>
      </c>
      <c r="F1760" s="5" t="s">
        <v>7</v>
      </c>
      <c r="G1760" s="5" t="s">
        <v>12</v>
      </c>
      <c r="H1760" s="3">
        <v>43628</v>
      </c>
      <c r="I1760" s="5" t="s">
        <v>439</v>
      </c>
      <c r="J1760" s="5">
        <f>_xlfn.XLOOKUP(CustomerCombined[[#This Row],[ID]], Table4[ID], Table4[Recency], "Not Found", 0)</f>
        <v>0</v>
      </c>
      <c r="K1760" s="5">
        <f>_xlfn.XLOOKUP(CustomerCombined[[#This Row],[ID]], Table4[ID], Table4[Teas], "Not Found", 0)</f>
        <v>21</v>
      </c>
      <c r="L1760" s="5">
        <f>_xlfn.XLOOKUP(CustomerCombined[[#This Row],[ID]], Table4[ID], Table4[Fruits], "Not Found", 0)</f>
        <v>0</v>
      </c>
      <c r="M1760" s="5">
        <f>_xlfn.XLOOKUP(CustomerCombined[[#This Row],[ID]], Table4[ID], Table4[Meats], "Not Found", 0)</f>
        <v>13</v>
      </c>
      <c r="N1760" s="5">
        <f>_xlfn.XLOOKUP(CustomerCombined[[#This Row],[ID]], Table4[ID], Table4[Seafood], "Not Found", 0)</f>
        <v>0</v>
      </c>
      <c r="O1760" s="5">
        <f>_xlfn.XLOOKUP(CustomerCombined[[#This Row],[ID]], Table4[ID], Table4[Sweets], "Not Found", 0)</f>
        <v>0</v>
      </c>
      <c r="P1760" s="5">
        <f>_xlfn.XLOOKUP(CustomerCombined[[#This Row],[ID]], Table4[ID], Table4[Premium], "Not Found", 0)</f>
        <v>21</v>
      </c>
      <c r="Q1760" s="5">
        <f>_xlfn.XLOOKUP(CustomerCombined[[#This Row],[ID]], Table4[ID], Table4[Regular], "Not Found", 0)</f>
        <v>13</v>
      </c>
      <c r="R1760" s="5">
        <f>_xlfn.XLOOKUP(CustomerCombined[[#This Row],[ID]], Table4[ID], Table4[Deals], "Not Found", 0)</f>
        <v>1</v>
      </c>
      <c r="S1760" s="5">
        <f>_xlfn.XLOOKUP(CustomerCombined[[#This Row],[ID]], Table4[ID], Table4[Website], "Not Found", 0)</f>
        <v>1</v>
      </c>
      <c r="T1760" s="5">
        <f>_xlfn.XLOOKUP(CustomerCombined[[#This Row],[ID]], Table4[ID], Table4[Catalog], "Not Found", 0)</f>
        <v>0</v>
      </c>
      <c r="U1760" s="5">
        <f>_xlfn.XLOOKUP(CustomerCombined[[#This Row],[ID]], Table4[ID], Table4[Store], "Not Found", 0)</f>
        <v>2</v>
      </c>
      <c r="V1760" s="5">
        <f>_xlfn.XLOOKUP(CustomerCombined[[#This Row],[ID]], Table4[ID], Table4[Visits], "Not Found", 0)</f>
        <v>7</v>
      </c>
      <c r="W1760" s="8">
        <f>_xlfn.XLOOKUP(CustomerCombined[[#This Row],[ID]], Table2[ID],Table2[Complaint], "Not Found", 0 )</f>
        <v>0</v>
      </c>
      <c r="X1760" s="8">
        <f>_xlfn.XLOOKUP(CustomerCombined[[#This Row],[ID]], Table2[ID],Table2[Pilot], "Not Found", 0 )</f>
        <v>0</v>
      </c>
      <c r="Y1760" s="8">
        <f>_xlfn.XLOOKUP(CustomerCombined[[#This Row],[ID]], Table2[ID],Table2[MC1], "Not Found", 0 )</f>
        <v>0</v>
      </c>
      <c r="Z1760" s="8">
        <f>_xlfn.XLOOKUP(CustomerCombined[[#This Row],[ID]], Table2[ID],Table2[MC2], "Not Found", 0 )</f>
        <v>0</v>
      </c>
      <c r="AA1760" s="8">
        <f>_xlfn.XLOOKUP(CustomerCombined[[#This Row],[ID]], Table2[ID],Table2[MC3], "Not Found", 0 )</f>
        <v>0</v>
      </c>
      <c r="AB1760" s="8">
        <f>_xlfn.XLOOKUP(CustomerCombined[[#This Row],[ID]], Table2[ID],Table2[MC4], "Not Found", 0 )</f>
        <v>0</v>
      </c>
      <c r="AC1760" s="8">
        <f>_xlfn.XLOOKUP(CustomerCombined[[#This Row],[ID]], Table2[ID],Table2[MC5], "Not Found", 0 )</f>
        <v>0</v>
      </c>
    </row>
    <row r="1761" spans="1:29" x14ac:dyDescent="0.3">
      <c r="A1761" s="6">
        <v>2503</v>
      </c>
      <c r="B1761" s="6">
        <v>128087</v>
      </c>
      <c r="C1761" s="6">
        <v>1</v>
      </c>
      <c r="D1761" s="6">
        <v>1</v>
      </c>
      <c r="E1761" s="6">
        <v>62</v>
      </c>
      <c r="F1761" s="5" t="s">
        <v>8</v>
      </c>
      <c r="G1761" s="5" t="s">
        <v>11</v>
      </c>
      <c r="H1761" s="3" t="s">
        <v>347</v>
      </c>
      <c r="I1761" s="5" t="s">
        <v>437</v>
      </c>
      <c r="J1761" s="5">
        <f>_xlfn.XLOOKUP(CustomerCombined[[#This Row],[ID]], Table4[ID], Table4[Recency], "Not Found", 0)</f>
        <v>77</v>
      </c>
      <c r="K1761" s="5">
        <f>_xlfn.XLOOKUP(CustomerCombined[[#This Row],[ID]], Table4[ID], Table4[Teas], "Not Found", 0)</f>
        <v>242</v>
      </c>
      <c r="L1761" s="5">
        <f>_xlfn.XLOOKUP(CustomerCombined[[#This Row],[ID]], Table4[ID], Table4[Fruits], "Not Found", 0)</f>
        <v>36</v>
      </c>
      <c r="M1761" s="5">
        <f>_xlfn.XLOOKUP(CustomerCombined[[#This Row],[ID]], Table4[ID], Table4[Meats], "Not Found", 0)</f>
        <v>78</v>
      </c>
      <c r="N1761" s="5">
        <f>_xlfn.XLOOKUP(CustomerCombined[[#This Row],[ID]], Table4[ID], Table4[Seafood], "Not Found", 0)</f>
        <v>59</v>
      </c>
      <c r="O1761" s="5">
        <f>_xlfn.XLOOKUP(CustomerCombined[[#This Row],[ID]], Table4[ID], Table4[Sweets], "Not Found", 0)</f>
        <v>0</v>
      </c>
      <c r="P1761" s="5">
        <f>_xlfn.XLOOKUP(CustomerCombined[[#This Row],[ID]], Table4[ID], Table4[Premium], "Not Found", 0)</f>
        <v>96</v>
      </c>
      <c r="Q1761" s="5">
        <f>_xlfn.XLOOKUP(CustomerCombined[[#This Row],[ID]], Table4[ID], Table4[Regular], "Not Found", 0)</f>
        <v>319</v>
      </c>
      <c r="R1761" s="5">
        <f>_xlfn.XLOOKUP(CustomerCombined[[#This Row],[ID]], Table4[ID], Table4[Deals], "Not Found", 0)</f>
        <v>3</v>
      </c>
      <c r="S1761" s="5">
        <f>_xlfn.XLOOKUP(CustomerCombined[[#This Row],[ID]], Table4[ID], Table4[Website], "Not Found", 0)</f>
        <v>2</v>
      </c>
      <c r="T1761" s="5">
        <f>_xlfn.XLOOKUP(CustomerCombined[[#This Row],[ID]], Table4[ID], Table4[Catalog], "Not Found", 0)</f>
        <v>2</v>
      </c>
      <c r="U1761" s="5">
        <f>_xlfn.XLOOKUP(CustomerCombined[[#This Row],[ID]], Table4[ID], Table4[Store], "Not Found", 0)</f>
        <v>2</v>
      </c>
      <c r="V1761" s="5">
        <f>_xlfn.XLOOKUP(CustomerCombined[[#This Row],[ID]], Table4[ID], Table4[Visits], "Not Found", 0)</f>
        <v>7</v>
      </c>
      <c r="W1761" s="8">
        <f>_xlfn.XLOOKUP(CustomerCombined[[#This Row],[ID]], Table2[ID],Table2[Complaint], "Not Found", 0 )</f>
        <v>0</v>
      </c>
      <c r="X1761" s="8">
        <f>_xlfn.XLOOKUP(CustomerCombined[[#This Row],[ID]], Table2[ID],Table2[Pilot], "Not Found", 0 )</f>
        <v>0</v>
      </c>
      <c r="Y1761" s="8">
        <f>_xlfn.XLOOKUP(CustomerCombined[[#This Row],[ID]], Table2[ID],Table2[MC1], "Not Found", 0 )</f>
        <v>0</v>
      </c>
      <c r="Z1761" s="8">
        <f>_xlfn.XLOOKUP(CustomerCombined[[#This Row],[ID]], Table2[ID],Table2[MC2], "Not Found", 0 )</f>
        <v>0</v>
      </c>
      <c r="AA1761" s="8">
        <f>_xlfn.XLOOKUP(CustomerCombined[[#This Row],[ID]], Table2[ID],Table2[MC3], "Not Found", 0 )</f>
        <v>0</v>
      </c>
      <c r="AB1761" s="8">
        <f>_xlfn.XLOOKUP(CustomerCombined[[#This Row],[ID]], Table2[ID],Table2[MC4], "Not Found", 0 )</f>
        <v>0</v>
      </c>
      <c r="AC1761" s="8">
        <f>_xlfn.XLOOKUP(CustomerCombined[[#This Row],[ID]], Table2[ID],Table2[MC5], "Not Found", 0 )</f>
        <v>0</v>
      </c>
    </row>
    <row r="1762" spans="1:29" x14ac:dyDescent="0.3">
      <c r="A1762" s="6">
        <v>1240</v>
      </c>
      <c r="B1762" s="6">
        <v>126490</v>
      </c>
      <c r="C1762" s="6">
        <v>0</v>
      </c>
      <c r="D1762" s="6">
        <v>0</v>
      </c>
      <c r="E1762" s="6">
        <v>62</v>
      </c>
      <c r="F1762" s="5" t="s">
        <v>8</v>
      </c>
      <c r="G1762" s="5" t="s">
        <v>442</v>
      </c>
      <c r="H1762" s="3" t="s">
        <v>389</v>
      </c>
      <c r="I1762" s="5" t="s">
        <v>439</v>
      </c>
      <c r="J1762" s="5">
        <f>_xlfn.XLOOKUP(CustomerCombined[[#This Row],[ID]], Table4[ID], Table4[Recency], "Not Found", 0)</f>
        <v>92</v>
      </c>
      <c r="K1762" s="5">
        <f>_xlfn.XLOOKUP(CustomerCombined[[#This Row],[ID]], Table4[ID], Table4[Teas], "Not Found", 0)</f>
        <v>215</v>
      </c>
      <c r="L1762" s="5">
        <f>_xlfn.XLOOKUP(CustomerCombined[[#This Row],[ID]], Table4[ID], Table4[Fruits], "Not Found", 0)</f>
        <v>224</v>
      </c>
      <c r="M1762" s="5">
        <f>_xlfn.XLOOKUP(CustomerCombined[[#This Row],[ID]], Table4[ID], Table4[Meats], "Not Found", 0)</f>
        <v>248</v>
      </c>
      <c r="N1762" s="5">
        <f>_xlfn.XLOOKUP(CustomerCombined[[#This Row],[ID]], Table4[ID], Table4[Seafood], "Not Found", 0)</f>
        <v>100</v>
      </c>
      <c r="O1762" s="5">
        <f>_xlfn.XLOOKUP(CustomerCombined[[#This Row],[ID]], Table4[ID], Table4[Sweets], "Not Found", 0)</f>
        <v>96</v>
      </c>
      <c r="P1762" s="5">
        <f>_xlfn.XLOOKUP(CustomerCombined[[#This Row],[ID]], Table4[ID], Table4[Premium], "Not Found", 0)</f>
        <v>119</v>
      </c>
      <c r="Q1762" s="5">
        <f>_xlfn.XLOOKUP(CustomerCombined[[#This Row],[ID]], Table4[ID], Table4[Regular], "Not Found", 0)</f>
        <v>764</v>
      </c>
      <c r="R1762" s="5">
        <f>_xlfn.XLOOKUP(CustomerCombined[[#This Row],[ID]], Table4[ID], Table4[Deals], "Not Found", 0)</f>
        <v>2</v>
      </c>
      <c r="S1762" s="5">
        <f>_xlfn.XLOOKUP(CustomerCombined[[#This Row],[ID]], Table4[ID], Table4[Website], "Not Found", 0)</f>
        <v>3</v>
      </c>
      <c r="T1762" s="5">
        <f>_xlfn.XLOOKUP(CustomerCombined[[#This Row],[ID]], Table4[ID], Table4[Catalog], "Not Found", 0)</f>
        <v>1</v>
      </c>
      <c r="U1762" s="5">
        <f>_xlfn.XLOOKUP(CustomerCombined[[#This Row],[ID]], Table4[ID], Table4[Store], "Not Found", 0)</f>
        <v>5</v>
      </c>
      <c r="V1762" s="5">
        <f>_xlfn.XLOOKUP(CustomerCombined[[#This Row],[ID]], Table4[ID], Table4[Visits], "Not Found", 0)</f>
        <v>6</v>
      </c>
      <c r="W1762" s="8">
        <f>_xlfn.XLOOKUP(CustomerCombined[[#This Row],[ID]], Table2[ID],Table2[Complaint], "Not Found", 0 )</f>
        <v>0</v>
      </c>
      <c r="X1762" s="8">
        <f>_xlfn.XLOOKUP(CustomerCombined[[#This Row],[ID]], Table2[ID],Table2[Pilot], "Not Found", 0 )</f>
        <v>0</v>
      </c>
      <c r="Y1762" s="8">
        <f>_xlfn.XLOOKUP(CustomerCombined[[#This Row],[ID]], Table2[ID],Table2[MC1], "Not Found", 0 )</f>
        <v>0</v>
      </c>
      <c r="Z1762" s="8">
        <f>_xlfn.XLOOKUP(CustomerCombined[[#This Row],[ID]], Table2[ID],Table2[MC2], "Not Found", 0 )</f>
        <v>0</v>
      </c>
      <c r="AA1762" s="8">
        <f>_xlfn.XLOOKUP(CustomerCombined[[#This Row],[ID]], Table2[ID],Table2[MC3], "Not Found", 0 )</f>
        <v>0</v>
      </c>
      <c r="AB1762" s="8">
        <f>_xlfn.XLOOKUP(CustomerCombined[[#This Row],[ID]], Table2[ID],Table2[MC4], "Not Found", 0 )</f>
        <v>0</v>
      </c>
      <c r="AC1762" s="8">
        <f>_xlfn.XLOOKUP(CustomerCombined[[#This Row],[ID]], Table2[ID],Table2[MC5], "Not Found", 0 )</f>
        <v>0</v>
      </c>
    </row>
    <row r="1763" spans="1:29" x14ac:dyDescent="0.3">
      <c r="A1763" s="6">
        <v>1639</v>
      </c>
      <c r="B1763" s="6">
        <v>126490</v>
      </c>
      <c r="C1763" s="6">
        <v>0</v>
      </c>
      <c r="D1763" s="6">
        <v>0</v>
      </c>
      <c r="E1763" s="6">
        <v>62</v>
      </c>
      <c r="F1763" s="5" t="s">
        <v>8</v>
      </c>
      <c r="G1763" s="5" t="s">
        <v>442</v>
      </c>
      <c r="H1763" s="3" t="s">
        <v>389</v>
      </c>
      <c r="I1763" s="5" t="s">
        <v>437</v>
      </c>
      <c r="J1763" s="5">
        <f>_xlfn.XLOOKUP(CustomerCombined[[#This Row],[ID]], Table4[ID], Table4[Recency], "Not Found", 0)</f>
        <v>92</v>
      </c>
      <c r="K1763" s="5">
        <f>_xlfn.XLOOKUP(CustomerCombined[[#This Row],[ID]], Table4[ID], Table4[Teas], "Not Found", 0)</f>
        <v>215</v>
      </c>
      <c r="L1763" s="5">
        <f>_xlfn.XLOOKUP(CustomerCombined[[#This Row],[ID]], Table4[ID], Table4[Fruits], "Not Found", 0)</f>
        <v>224</v>
      </c>
      <c r="M1763" s="5">
        <f>_xlfn.XLOOKUP(CustomerCombined[[#This Row],[ID]], Table4[ID], Table4[Meats], "Not Found", 0)</f>
        <v>248</v>
      </c>
      <c r="N1763" s="5">
        <f>_xlfn.XLOOKUP(CustomerCombined[[#This Row],[ID]], Table4[ID], Table4[Seafood], "Not Found", 0)</f>
        <v>100</v>
      </c>
      <c r="O1763" s="5">
        <f>_xlfn.XLOOKUP(CustomerCombined[[#This Row],[ID]], Table4[ID], Table4[Sweets], "Not Found", 0)</f>
        <v>96</v>
      </c>
      <c r="P1763" s="5">
        <f>_xlfn.XLOOKUP(CustomerCombined[[#This Row],[ID]], Table4[ID], Table4[Premium], "Not Found", 0)</f>
        <v>119</v>
      </c>
      <c r="Q1763" s="5">
        <f>_xlfn.XLOOKUP(CustomerCombined[[#This Row],[ID]], Table4[ID], Table4[Regular], "Not Found", 0)</f>
        <v>764</v>
      </c>
      <c r="R1763" s="5">
        <f>_xlfn.XLOOKUP(CustomerCombined[[#This Row],[ID]], Table4[ID], Table4[Deals], "Not Found", 0)</f>
        <v>2</v>
      </c>
      <c r="S1763" s="5">
        <f>_xlfn.XLOOKUP(CustomerCombined[[#This Row],[ID]], Table4[ID], Table4[Website], "Not Found", 0)</f>
        <v>3</v>
      </c>
      <c r="T1763" s="5">
        <f>_xlfn.XLOOKUP(CustomerCombined[[#This Row],[ID]], Table4[ID], Table4[Catalog], "Not Found", 0)</f>
        <v>1</v>
      </c>
      <c r="U1763" s="5">
        <f>_xlfn.XLOOKUP(CustomerCombined[[#This Row],[ID]], Table4[ID], Table4[Store], "Not Found", 0)</f>
        <v>5</v>
      </c>
      <c r="V1763" s="5">
        <f>_xlfn.XLOOKUP(CustomerCombined[[#This Row],[ID]], Table4[ID], Table4[Visits], "Not Found", 0)</f>
        <v>6</v>
      </c>
      <c r="W1763" s="8">
        <f>_xlfn.XLOOKUP(CustomerCombined[[#This Row],[ID]], Table2[ID],Table2[Complaint], "Not Found", 0 )</f>
        <v>0</v>
      </c>
      <c r="X1763" s="8">
        <f>_xlfn.XLOOKUP(CustomerCombined[[#This Row],[ID]], Table2[ID],Table2[Pilot], "Not Found", 0 )</f>
        <v>0</v>
      </c>
      <c r="Y1763" s="8">
        <f>_xlfn.XLOOKUP(CustomerCombined[[#This Row],[ID]], Table2[ID],Table2[MC1], "Not Found", 0 )</f>
        <v>0</v>
      </c>
      <c r="Z1763" s="8">
        <f>_xlfn.XLOOKUP(CustomerCombined[[#This Row],[ID]], Table2[ID],Table2[MC2], "Not Found", 0 )</f>
        <v>0</v>
      </c>
      <c r="AA1763" s="8">
        <f>_xlfn.XLOOKUP(CustomerCombined[[#This Row],[ID]], Table2[ID],Table2[MC3], "Not Found", 0 )</f>
        <v>0</v>
      </c>
      <c r="AB1763" s="8">
        <f>_xlfn.XLOOKUP(CustomerCombined[[#This Row],[ID]], Table2[ID],Table2[MC4], "Not Found", 0 )</f>
        <v>0</v>
      </c>
      <c r="AC1763" s="8">
        <f>_xlfn.XLOOKUP(CustomerCombined[[#This Row],[ID]], Table2[ID],Table2[MC5], "Not Found", 0 )</f>
        <v>0</v>
      </c>
    </row>
    <row r="1764" spans="1:29" x14ac:dyDescent="0.3">
      <c r="A1764" s="6">
        <v>2164</v>
      </c>
      <c r="B1764" s="6">
        <v>115056</v>
      </c>
      <c r="C1764" s="6">
        <v>1</v>
      </c>
      <c r="D1764" s="6">
        <v>1</v>
      </c>
      <c r="E1764" s="6">
        <v>62</v>
      </c>
      <c r="F1764" s="5" t="s">
        <v>7</v>
      </c>
      <c r="G1764" s="5" t="s">
        <v>10</v>
      </c>
      <c r="H1764" s="3">
        <v>43687</v>
      </c>
      <c r="I1764" s="5" t="s">
        <v>439</v>
      </c>
      <c r="J1764" s="5">
        <f>_xlfn.XLOOKUP(CustomerCombined[[#This Row],[ID]], Table4[ID], Table4[Recency], "Not Found", 0)</f>
        <v>76</v>
      </c>
      <c r="K1764" s="5">
        <f>_xlfn.XLOOKUP(CustomerCombined[[#This Row],[ID]], Table4[ID], Table4[Teas], "Not Found", 0)</f>
        <v>46</v>
      </c>
      <c r="L1764" s="5">
        <f>_xlfn.XLOOKUP(CustomerCombined[[#This Row],[ID]], Table4[ID], Table4[Fruits], "Not Found", 0)</f>
        <v>92</v>
      </c>
      <c r="M1764" s="5">
        <f>_xlfn.XLOOKUP(CustomerCombined[[#This Row],[ID]], Table4[ID], Table4[Meats], "Not Found", 0)</f>
        <v>23</v>
      </c>
      <c r="N1764" s="5">
        <f>_xlfn.XLOOKUP(CustomerCombined[[#This Row],[ID]], Table4[ID], Table4[Seafood], "Not Found", 0)</f>
        <v>160</v>
      </c>
      <c r="O1764" s="5">
        <f>_xlfn.XLOOKUP(CustomerCombined[[#This Row],[ID]], Table4[ID], Table4[Sweets], "Not Found", 0)</f>
        <v>46</v>
      </c>
      <c r="P1764" s="5">
        <f>_xlfn.XLOOKUP(CustomerCombined[[#This Row],[ID]], Table4[ID], Table4[Premium], "Not Found", 0)</f>
        <v>306</v>
      </c>
      <c r="Q1764" s="5">
        <f>_xlfn.XLOOKUP(CustomerCombined[[#This Row],[ID]], Table4[ID], Table4[Regular], "Not Found", 0)</f>
        <v>61</v>
      </c>
      <c r="R1764" s="5">
        <f>_xlfn.XLOOKUP(CustomerCombined[[#This Row],[ID]], Table4[ID], Table4[Deals], "Not Found", 0)</f>
        <v>5</v>
      </c>
      <c r="S1764" s="5">
        <f>_xlfn.XLOOKUP(CustomerCombined[[#This Row],[ID]], Table4[ID], Table4[Website], "Not Found", 0)</f>
        <v>2</v>
      </c>
      <c r="T1764" s="5">
        <f>_xlfn.XLOOKUP(CustomerCombined[[#This Row],[ID]], Table4[ID], Table4[Catalog], "Not Found", 0)</f>
        <v>2</v>
      </c>
      <c r="U1764" s="5">
        <f>_xlfn.XLOOKUP(CustomerCombined[[#This Row],[ID]], Table4[ID], Table4[Store], "Not Found", 0)</f>
        <v>3</v>
      </c>
      <c r="V1764" s="5">
        <f>_xlfn.XLOOKUP(CustomerCombined[[#This Row],[ID]], Table4[ID], Table4[Visits], "Not Found", 0)</f>
        <v>5</v>
      </c>
      <c r="W1764" s="8">
        <f>_xlfn.XLOOKUP(CustomerCombined[[#This Row],[ID]], Table2[ID],Table2[Complaint], "Not Found", 0 )</f>
        <v>0</v>
      </c>
      <c r="X1764" s="8">
        <f>_xlfn.XLOOKUP(CustomerCombined[[#This Row],[ID]], Table2[ID],Table2[Pilot], "Not Found", 0 )</f>
        <v>0</v>
      </c>
      <c r="Y1764" s="8">
        <f>_xlfn.XLOOKUP(CustomerCombined[[#This Row],[ID]], Table2[ID],Table2[MC1], "Not Found", 0 )</f>
        <v>0</v>
      </c>
      <c r="Z1764" s="8">
        <f>_xlfn.XLOOKUP(CustomerCombined[[#This Row],[ID]], Table2[ID],Table2[MC2], "Not Found", 0 )</f>
        <v>0</v>
      </c>
      <c r="AA1764" s="8">
        <f>_xlfn.XLOOKUP(CustomerCombined[[#This Row],[ID]], Table2[ID],Table2[MC3], "Not Found", 0 )</f>
        <v>0</v>
      </c>
      <c r="AB1764" s="8">
        <f>_xlfn.XLOOKUP(CustomerCombined[[#This Row],[ID]], Table2[ID],Table2[MC4], "Not Found", 0 )</f>
        <v>0</v>
      </c>
      <c r="AC1764" s="8">
        <f>_xlfn.XLOOKUP(CustomerCombined[[#This Row],[ID]], Table2[ID],Table2[MC5], "Not Found", 0 )</f>
        <v>0</v>
      </c>
    </row>
    <row r="1765" spans="1:29" x14ac:dyDescent="0.3">
      <c r="A1765" s="6">
        <v>1833</v>
      </c>
      <c r="B1765" s="6">
        <v>182347</v>
      </c>
      <c r="C1765" s="6">
        <v>0</v>
      </c>
      <c r="D1765" s="6">
        <v>0</v>
      </c>
      <c r="E1765" s="6">
        <v>63</v>
      </c>
      <c r="F1765" s="5" t="s">
        <v>6</v>
      </c>
      <c r="G1765" s="5" t="s">
        <v>442</v>
      </c>
      <c r="H1765" s="3" t="s">
        <v>369</v>
      </c>
      <c r="I1765" s="5" t="s">
        <v>435</v>
      </c>
      <c r="J1765" s="5">
        <f>_xlfn.XLOOKUP(CustomerCombined[[#This Row],[ID]], Table4[ID], Table4[Recency], "Not Found", 0)</f>
        <v>38</v>
      </c>
      <c r="K1765" s="5">
        <f>_xlfn.XLOOKUP(CustomerCombined[[#This Row],[ID]], Table4[ID], Table4[Teas], "Not Found", 0)</f>
        <v>1231</v>
      </c>
      <c r="L1765" s="5">
        <f>_xlfn.XLOOKUP(CustomerCombined[[#This Row],[ID]], Table4[ID], Table4[Fruits], "Not Found", 0)</f>
        <v>120</v>
      </c>
      <c r="M1765" s="5">
        <f>_xlfn.XLOOKUP(CustomerCombined[[#This Row],[ID]], Table4[ID], Table4[Meats], "Not Found", 0)</f>
        <v>1871</v>
      </c>
      <c r="N1765" s="5">
        <f>_xlfn.XLOOKUP(CustomerCombined[[#This Row],[ID]], Table4[ID], Table4[Seafood], "Not Found", 0)</f>
        <v>447</v>
      </c>
      <c r="O1765" s="5">
        <f>_xlfn.XLOOKUP(CustomerCombined[[#This Row],[ID]], Table4[ID], Table4[Sweets], "Not Found", 0)</f>
        <v>295</v>
      </c>
      <c r="P1765" s="5">
        <f>_xlfn.XLOOKUP(CustomerCombined[[#This Row],[ID]], Table4[ID], Table4[Premium], "Not Found", 0)</f>
        <v>140</v>
      </c>
      <c r="Q1765" s="5">
        <f>_xlfn.XLOOKUP(CustomerCombined[[#This Row],[ID]], Table4[ID], Table4[Regular], "Not Found", 0)</f>
        <v>3824</v>
      </c>
      <c r="R1765" s="5">
        <f>_xlfn.XLOOKUP(CustomerCombined[[#This Row],[ID]], Table4[ID], Table4[Deals], "Not Found", 0)</f>
        <v>1</v>
      </c>
      <c r="S1765" s="5">
        <f>_xlfn.XLOOKUP(CustomerCombined[[#This Row],[ID]], Table4[ID], Table4[Website], "Not Found", 0)</f>
        <v>7</v>
      </c>
      <c r="T1765" s="5">
        <f>_xlfn.XLOOKUP(CustomerCombined[[#This Row],[ID]], Table4[ID], Table4[Catalog], "Not Found", 0)</f>
        <v>7</v>
      </c>
      <c r="U1765" s="5">
        <f>_xlfn.XLOOKUP(CustomerCombined[[#This Row],[ID]], Table4[ID], Table4[Store], "Not Found", 0)</f>
        <v>10</v>
      </c>
      <c r="V1765" s="5">
        <f>_xlfn.XLOOKUP(CustomerCombined[[#This Row],[ID]], Table4[ID], Table4[Visits], "Not Found", 0)</f>
        <v>3</v>
      </c>
      <c r="W1765" s="8">
        <f>_xlfn.XLOOKUP(CustomerCombined[[#This Row],[ID]], Table2[ID],Table2[Complaint], "Not Found", 0 )</f>
        <v>0</v>
      </c>
      <c r="X1765" s="8">
        <f>_xlfn.XLOOKUP(CustomerCombined[[#This Row],[ID]], Table2[ID],Table2[Pilot], "Not Found", 0 )</f>
        <v>0</v>
      </c>
      <c r="Y1765" s="8">
        <f>_xlfn.XLOOKUP(CustomerCombined[[#This Row],[ID]], Table2[ID],Table2[MC1], "Not Found", 0 )</f>
        <v>1</v>
      </c>
      <c r="Z1765" s="8">
        <f>_xlfn.XLOOKUP(CustomerCombined[[#This Row],[ID]], Table2[ID],Table2[MC2], "Not Found", 0 )</f>
        <v>0</v>
      </c>
      <c r="AA1765" s="8">
        <f>_xlfn.XLOOKUP(CustomerCombined[[#This Row],[ID]], Table2[ID],Table2[MC3], "Not Found", 0 )</f>
        <v>1</v>
      </c>
      <c r="AB1765" s="8">
        <f>_xlfn.XLOOKUP(CustomerCombined[[#This Row],[ID]], Table2[ID],Table2[MC4], "Not Found", 0 )</f>
        <v>0</v>
      </c>
      <c r="AC1765" s="8">
        <f>_xlfn.XLOOKUP(CustomerCombined[[#This Row],[ID]], Table2[ID],Table2[MC5], "Not Found", 0 )</f>
        <v>0</v>
      </c>
    </row>
    <row r="1766" spans="1:29" x14ac:dyDescent="0.3">
      <c r="A1766" s="6">
        <v>3161</v>
      </c>
      <c r="B1766" s="6">
        <v>182347</v>
      </c>
      <c r="C1766" s="6">
        <v>0</v>
      </c>
      <c r="D1766" s="6">
        <v>0</v>
      </c>
      <c r="E1766" s="6">
        <v>63</v>
      </c>
      <c r="F1766" s="5" t="s">
        <v>6</v>
      </c>
      <c r="G1766" s="5" t="s">
        <v>442</v>
      </c>
      <c r="H1766" s="3" t="s">
        <v>369</v>
      </c>
      <c r="I1766" s="5" t="s">
        <v>434</v>
      </c>
      <c r="J1766" s="5">
        <f>_xlfn.XLOOKUP(CustomerCombined[[#This Row],[ID]], Table4[ID], Table4[Recency], "Not Found", 0)</f>
        <v>38</v>
      </c>
      <c r="K1766" s="5">
        <f>_xlfn.XLOOKUP(CustomerCombined[[#This Row],[ID]], Table4[ID], Table4[Teas], "Not Found", 0)</f>
        <v>1231</v>
      </c>
      <c r="L1766" s="5">
        <f>_xlfn.XLOOKUP(CustomerCombined[[#This Row],[ID]], Table4[ID], Table4[Fruits], "Not Found", 0)</f>
        <v>120</v>
      </c>
      <c r="M1766" s="5">
        <f>_xlfn.XLOOKUP(CustomerCombined[[#This Row],[ID]], Table4[ID], Table4[Meats], "Not Found", 0)</f>
        <v>1871</v>
      </c>
      <c r="N1766" s="5">
        <f>_xlfn.XLOOKUP(CustomerCombined[[#This Row],[ID]], Table4[ID], Table4[Seafood], "Not Found", 0)</f>
        <v>447</v>
      </c>
      <c r="O1766" s="5">
        <f>_xlfn.XLOOKUP(CustomerCombined[[#This Row],[ID]], Table4[ID], Table4[Sweets], "Not Found", 0)</f>
        <v>295</v>
      </c>
      <c r="P1766" s="5">
        <f>_xlfn.XLOOKUP(CustomerCombined[[#This Row],[ID]], Table4[ID], Table4[Premium], "Not Found", 0)</f>
        <v>140</v>
      </c>
      <c r="Q1766" s="5">
        <f>_xlfn.XLOOKUP(CustomerCombined[[#This Row],[ID]], Table4[ID], Table4[Regular], "Not Found", 0)</f>
        <v>3824</v>
      </c>
      <c r="R1766" s="5">
        <f>_xlfn.XLOOKUP(CustomerCombined[[#This Row],[ID]], Table4[ID], Table4[Deals], "Not Found", 0)</f>
        <v>1</v>
      </c>
      <c r="S1766" s="5">
        <f>_xlfn.XLOOKUP(CustomerCombined[[#This Row],[ID]], Table4[ID], Table4[Website], "Not Found", 0)</f>
        <v>7</v>
      </c>
      <c r="T1766" s="5">
        <f>_xlfn.XLOOKUP(CustomerCombined[[#This Row],[ID]], Table4[ID], Table4[Catalog], "Not Found", 0)</f>
        <v>7</v>
      </c>
      <c r="U1766" s="5">
        <f>_xlfn.XLOOKUP(CustomerCombined[[#This Row],[ID]], Table4[ID], Table4[Store], "Not Found", 0)</f>
        <v>10</v>
      </c>
      <c r="V1766" s="5">
        <f>_xlfn.XLOOKUP(CustomerCombined[[#This Row],[ID]], Table4[ID], Table4[Visits], "Not Found", 0)</f>
        <v>3</v>
      </c>
      <c r="W1766" s="8">
        <f>_xlfn.XLOOKUP(CustomerCombined[[#This Row],[ID]], Table2[ID],Table2[Complaint], "Not Found", 0 )</f>
        <v>0</v>
      </c>
      <c r="X1766" s="8">
        <f>_xlfn.XLOOKUP(CustomerCombined[[#This Row],[ID]], Table2[ID],Table2[Pilot], "Not Found", 0 )</f>
        <v>1</v>
      </c>
      <c r="Y1766" s="8">
        <f>_xlfn.XLOOKUP(CustomerCombined[[#This Row],[ID]], Table2[ID],Table2[MC1], "Not Found", 0 )</f>
        <v>1</v>
      </c>
      <c r="Z1766" s="8">
        <f>_xlfn.XLOOKUP(CustomerCombined[[#This Row],[ID]], Table2[ID],Table2[MC2], "Not Found", 0 )</f>
        <v>0</v>
      </c>
      <c r="AA1766" s="8">
        <f>_xlfn.XLOOKUP(CustomerCombined[[#This Row],[ID]], Table2[ID],Table2[MC3], "Not Found", 0 )</f>
        <v>1</v>
      </c>
      <c r="AB1766" s="8">
        <f>_xlfn.XLOOKUP(CustomerCombined[[#This Row],[ID]], Table2[ID],Table2[MC4], "Not Found", 0 )</f>
        <v>0</v>
      </c>
      <c r="AC1766" s="8">
        <f>_xlfn.XLOOKUP(CustomerCombined[[#This Row],[ID]], Table2[ID],Table2[MC5], "Not Found", 0 )</f>
        <v>0</v>
      </c>
    </row>
    <row r="1767" spans="1:29" x14ac:dyDescent="0.3">
      <c r="A1767" s="6">
        <v>1772</v>
      </c>
      <c r="B1767" s="6">
        <v>182017</v>
      </c>
      <c r="C1767" s="6">
        <v>0</v>
      </c>
      <c r="D1767" s="6">
        <v>0</v>
      </c>
      <c r="E1767" s="6">
        <v>63</v>
      </c>
      <c r="F1767" s="5" t="s">
        <v>6</v>
      </c>
      <c r="G1767" s="5" t="s">
        <v>13</v>
      </c>
      <c r="H1767" s="3" t="s">
        <v>368</v>
      </c>
      <c r="I1767" s="5" t="s">
        <v>438</v>
      </c>
      <c r="J1767" s="5">
        <f>_xlfn.XLOOKUP(CustomerCombined[[#This Row],[ID]], Table4[ID], Table4[Recency], "Not Found", 0)</f>
        <v>58</v>
      </c>
      <c r="K1767" s="5">
        <f>_xlfn.XLOOKUP(CustomerCombined[[#This Row],[ID]], Table4[ID], Table4[Teas], "Not Found", 0)</f>
        <v>408</v>
      </c>
      <c r="L1767" s="5">
        <f>_xlfn.XLOOKUP(CustomerCombined[[#This Row],[ID]], Table4[ID], Table4[Fruits], "Not Found", 0)</f>
        <v>51</v>
      </c>
      <c r="M1767" s="5">
        <f>_xlfn.XLOOKUP(CustomerCombined[[#This Row],[ID]], Table4[ID], Table4[Meats], "Not Found", 0)</f>
        <v>990</v>
      </c>
      <c r="N1767" s="5">
        <f>_xlfn.XLOOKUP(CustomerCombined[[#This Row],[ID]], Table4[ID], Table4[Seafood], "Not Found", 0)</f>
        <v>67</v>
      </c>
      <c r="O1767" s="5">
        <f>_xlfn.XLOOKUP(CustomerCombined[[#This Row],[ID]], Table4[ID], Table4[Sweets], "Not Found", 0)</f>
        <v>51</v>
      </c>
      <c r="P1767" s="5">
        <f>_xlfn.XLOOKUP(CustomerCombined[[#This Row],[ID]], Table4[ID], Table4[Premium], "Not Found", 0)</f>
        <v>51</v>
      </c>
      <c r="Q1767" s="5">
        <f>_xlfn.XLOOKUP(CustomerCombined[[#This Row],[ID]], Table4[ID], Table4[Regular], "Not Found", 0)</f>
        <v>1516</v>
      </c>
      <c r="R1767" s="5">
        <f>_xlfn.XLOOKUP(CustomerCombined[[#This Row],[ID]], Table4[ID], Table4[Deals], "Not Found", 0)</f>
        <v>1</v>
      </c>
      <c r="S1767" s="5">
        <f>_xlfn.XLOOKUP(CustomerCombined[[#This Row],[ID]], Table4[ID], Table4[Website], "Not Found", 0)</f>
        <v>5</v>
      </c>
      <c r="T1767" s="5">
        <f>_xlfn.XLOOKUP(CustomerCombined[[#This Row],[ID]], Table4[ID], Table4[Catalog], "Not Found", 0)</f>
        <v>4</v>
      </c>
      <c r="U1767" s="5">
        <f>_xlfn.XLOOKUP(CustomerCombined[[#This Row],[ID]], Table4[ID], Table4[Store], "Not Found", 0)</f>
        <v>7</v>
      </c>
      <c r="V1767" s="5">
        <f>_xlfn.XLOOKUP(CustomerCombined[[#This Row],[ID]], Table4[ID], Table4[Visits], "Not Found", 0)</f>
        <v>2</v>
      </c>
      <c r="W1767" s="8">
        <f>_xlfn.XLOOKUP(CustomerCombined[[#This Row],[ID]], Table2[ID],Table2[Complaint], "Not Found", 0 )</f>
        <v>0</v>
      </c>
      <c r="X1767" s="8">
        <f>_xlfn.XLOOKUP(CustomerCombined[[#This Row],[ID]], Table2[ID],Table2[Pilot], "Not Found", 0 )</f>
        <v>1</v>
      </c>
      <c r="Y1767" s="8">
        <f>_xlfn.XLOOKUP(CustomerCombined[[#This Row],[ID]], Table2[ID],Table2[MC1], "Not Found", 0 )</f>
        <v>1</v>
      </c>
      <c r="Z1767" s="8">
        <f>_xlfn.XLOOKUP(CustomerCombined[[#This Row],[ID]], Table2[ID],Table2[MC2], "Not Found", 0 )</f>
        <v>0</v>
      </c>
      <c r="AA1767" s="8">
        <f>_xlfn.XLOOKUP(CustomerCombined[[#This Row],[ID]], Table2[ID],Table2[MC3], "Not Found", 0 )</f>
        <v>0</v>
      </c>
      <c r="AB1767" s="8">
        <f>_xlfn.XLOOKUP(CustomerCombined[[#This Row],[ID]], Table2[ID],Table2[MC4], "Not Found", 0 )</f>
        <v>1</v>
      </c>
      <c r="AC1767" s="8">
        <f>_xlfn.XLOOKUP(CustomerCombined[[#This Row],[ID]], Table2[ID],Table2[MC5], "Not Found", 0 )</f>
        <v>1</v>
      </c>
    </row>
    <row r="1768" spans="1:29" x14ac:dyDescent="0.3">
      <c r="A1768" s="6">
        <v>1344</v>
      </c>
      <c r="B1768" s="6">
        <v>178618</v>
      </c>
      <c r="C1768" s="6">
        <v>0</v>
      </c>
      <c r="D1768" s="6">
        <v>0</v>
      </c>
      <c r="E1768" s="6">
        <v>63</v>
      </c>
      <c r="F1768" s="5" t="s">
        <v>6</v>
      </c>
      <c r="G1768" s="5" t="s">
        <v>11</v>
      </c>
      <c r="H1768" s="3">
        <v>43588</v>
      </c>
      <c r="I1768" s="5" t="s">
        <v>436</v>
      </c>
      <c r="J1768" s="5">
        <f>_xlfn.XLOOKUP(CustomerCombined[[#This Row],[ID]], Table4[ID], Table4[Recency], "Not Found", 0)</f>
        <v>87</v>
      </c>
      <c r="K1768" s="5">
        <f>_xlfn.XLOOKUP(CustomerCombined[[#This Row],[ID]], Table4[ID], Table4[Teas], "Not Found", 0)</f>
        <v>1672</v>
      </c>
      <c r="L1768" s="5">
        <f>_xlfn.XLOOKUP(CustomerCombined[[#This Row],[ID]], Table4[ID], Table4[Fruits], "Not Found", 0)</f>
        <v>370</v>
      </c>
      <c r="M1768" s="5">
        <f>_xlfn.XLOOKUP(CustomerCombined[[#This Row],[ID]], Table4[ID], Table4[Meats], "Not Found", 0)</f>
        <v>1858</v>
      </c>
      <c r="N1768" s="5">
        <f>_xlfn.XLOOKUP(CustomerCombined[[#This Row],[ID]], Table4[ID], Table4[Seafood], "Not Found", 0)</f>
        <v>482</v>
      </c>
      <c r="O1768" s="5">
        <f>_xlfn.XLOOKUP(CustomerCombined[[#This Row],[ID]], Table4[ID], Table4[Sweets], "Not Found", 0)</f>
        <v>370</v>
      </c>
      <c r="P1768" s="5">
        <f>_xlfn.XLOOKUP(CustomerCombined[[#This Row],[ID]], Table4[ID], Table4[Premium], "Not Found", 0)</f>
        <v>139</v>
      </c>
      <c r="Q1768" s="5">
        <f>_xlfn.XLOOKUP(CustomerCombined[[#This Row],[ID]], Table4[ID], Table4[Regular], "Not Found", 0)</f>
        <v>4614</v>
      </c>
      <c r="R1768" s="5">
        <f>_xlfn.XLOOKUP(CustomerCombined[[#This Row],[ID]], Table4[ID], Table4[Deals], "Not Found", 0)</f>
        <v>1</v>
      </c>
      <c r="S1768" s="5">
        <f>_xlfn.XLOOKUP(CustomerCombined[[#This Row],[ID]], Table4[ID], Table4[Website], "Not Found", 0)</f>
        <v>4</v>
      </c>
      <c r="T1768" s="5">
        <f>_xlfn.XLOOKUP(CustomerCombined[[#This Row],[ID]], Table4[ID], Table4[Catalog], "Not Found", 0)</f>
        <v>7</v>
      </c>
      <c r="U1768" s="5">
        <f>_xlfn.XLOOKUP(CustomerCombined[[#This Row],[ID]], Table4[ID], Table4[Store], "Not Found", 0)</f>
        <v>10</v>
      </c>
      <c r="V1768" s="5">
        <f>_xlfn.XLOOKUP(CustomerCombined[[#This Row],[ID]], Table4[ID], Table4[Visits], "Not Found", 0)</f>
        <v>2</v>
      </c>
      <c r="W1768" s="8">
        <f>_xlfn.XLOOKUP(CustomerCombined[[#This Row],[ID]], Table2[ID],Table2[Complaint], "Not Found", 0 )</f>
        <v>0</v>
      </c>
      <c r="X1768" s="8">
        <f>_xlfn.XLOOKUP(CustomerCombined[[#This Row],[ID]], Table2[ID],Table2[Pilot], "Not Found", 0 )</f>
        <v>0</v>
      </c>
      <c r="Y1768" s="8">
        <f>_xlfn.XLOOKUP(CustomerCombined[[#This Row],[ID]], Table2[ID],Table2[MC1], "Not Found", 0 )</f>
        <v>0</v>
      </c>
      <c r="Z1768" s="8">
        <f>_xlfn.XLOOKUP(CustomerCombined[[#This Row],[ID]], Table2[ID],Table2[MC2], "Not Found", 0 )</f>
        <v>0</v>
      </c>
      <c r="AA1768" s="8">
        <f>_xlfn.XLOOKUP(CustomerCombined[[#This Row],[ID]], Table2[ID],Table2[MC3], "Not Found", 0 )</f>
        <v>0</v>
      </c>
      <c r="AB1768" s="8">
        <f>_xlfn.XLOOKUP(CustomerCombined[[#This Row],[ID]], Table2[ID],Table2[MC4], "Not Found", 0 )</f>
        <v>1</v>
      </c>
      <c r="AC1768" s="8">
        <f>_xlfn.XLOOKUP(CustomerCombined[[#This Row],[ID]], Table2[ID],Table2[MC5], "Not Found", 0 )</f>
        <v>0</v>
      </c>
    </row>
    <row r="1769" spans="1:29" x14ac:dyDescent="0.3">
      <c r="A1769" s="6">
        <v>3113</v>
      </c>
      <c r="B1769" s="6">
        <v>178499</v>
      </c>
      <c r="C1769" s="6">
        <v>0</v>
      </c>
      <c r="D1769" s="6">
        <v>0</v>
      </c>
      <c r="E1769" s="6">
        <v>63</v>
      </c>
      <c r="F1769" s="5" t="s">
        <v>7</v>
      </c>
      <c r="G1769" s="5" t="s">
        <v>11</v>
      </c>
      <c r="H1769" s="3" t="s">
        <v>142</v>
      </c>
      <c r="I1769" s="5" t="s">
        <v>434</v>
      </c>
      <c r="J1769" s="5">
        <f>_xlfn.XLOOKUP(CustomerCombined[[#This Row],[ID]], Table4[ID], Table4[Recency], "Not Found", 0)</f>
        <v>12</v>
      </c>
      <c r="K1769" s="5">
        <f>_xlfn.XLOOKUP(CustomerCombined[[#This Row],[ID]], Table4[ID], Table4[Teas], "Not Found", 0)</f>
        <v>2074</v>
      </c>
      <c r="L1769" s="5">
        <f>_xlfn.XLOOKUP(CustomerCombined[[#This Row],[ID]], Table4[ID], Table4[Fruits], "Not Found", 0)</f>
        <v>164</v>
      </c>
      <c r="M1769" s="5">
        <f>_xlfn.XLOOKUP(CustomerCombined[[#This Row],[ID]], Table4[ID], Table4[Meats], "Not Found", 0)</f>
        <v>387</v>
      </c>
      <c r="N1769" s="5">
        <f>_xlfn.XLOOKUP(CustomerCombined[[#This Row],[ID]], Table4[ID], Table4[Seafood], "Not Found", 0)</f>
        <v>107</v>
      </c>
      <c r="O1769" s="5">
        <f>_xlfn.XLOOKUP(CustomerCombined[[#This Row],[ID]], Table4[ID], Table4[Sweets], "Not Found", 0)</f>
        <v>82</v>
      </c>
      <c r="P1769" s="5">
        <f>_xlfn.XLOOKUP(CustomerCombined[[#This Row],[ID]], Table4[ID], Table4[Premium], "Not Found", 0)</f>
        <v>221</v>
      </c>
      <c r="Q1769" s="5">
        <f>_xlfn.XLOOKUP(CustomerCombined[[#This Row],[ID]], Table4[ID], Table4[Regular], "Not Found", 0)</f>
        <v>2592</v>
      </c>
      <c r="R1769" s="5">
        <f>_xlfn.XLOOKUP(CustomerCombined[[#This Row],[ID]], Table4[ID], Table4[Deals], "Not Found", 0)</f>
        <v>1</v>
      </c>
      <c r="S1769" s="5">
        <f>_xlfn.XLOOKUP(CustomerCombined[[#This Row],[ID]], Table4[ID], Table4[Website], "Not Found", 0)</f>
        <v>11</v>
      </c>
      <c r="T1769" s="5">
        <f>_xlfn.XLOOKUP(CustomerCombined[[#This Row],[ID]], Table4[ID], Table4[Catalog], "Not Found", 0)</f>
        <v>3</v>
      </c>
      <c r="U1769" s="5">
        <f>_xlfn.XLOOKUP(CustomerCombined[[#This Row],[ID]], Table4[ID], Table4[Store], "Not Found", 0)</f>
        <v>4</v>
      </c>
      <c r="V1769" s="5">
        <f>_xlfn.XLOOKUP(CustomerCombined[[#This Row],[ID]], Table4[ID], Table4[Visits], "Not Found", 0)</f>
        <v>4</v>
      </c>
      <c r="W1769" s="8">
        <f>_xlfn.XLOOKUP(CustomerCombined[[#This Row],[ID]], Table2[ID],Table2[Complaint], "Not Found", 0 )</f>
        <v>0</v>
      </c>
      <c r="X1769" s="8">
        <f>_xlfn.XLOOKUP(CustomerCombined[[#This Row],[ID]], Table2[ID],Table2[Pilot], "Not Found", 0 )</f>
        <v>1</v>
      </c>
      <c r="Y1769" s="8">
        <f>_xlfn.XLOOKUP(CustomerCombined[[#This Row],[ID]], Table2[ID],Table2[MC1], "Not Found", 0 )</f>
        <v>0</v>
      </c>
      <c r="Z1769" s="8">
        <f>_xlfn.XLOOKUP(CustomerCombined[[#This Row],[ID]], Table2[ID],Table2[MC2], "Not Found", 0 )</f>
        <v>0</v>
      </c>
      <c r="AA1769" s="8">
        <f>_xlfn.XLOOKUP(CustomerCombined[[#This Row],[ID]], Table2[ID],Table2[MC3], "Not Found", 0 )</f>
        <v>0</v>
      </c>
      <c r="AB1769" s="8">
        <f>_xlfn.XLOOKUP(CustomerCombined[[#This Row],[ID]], Table2[ID],Table2[MC4], "Not Found", 0 )</f>
        <v>0</v>
      </c>
      <c r="AC1769" s="8">
        <f>_xlfn.XLOOKUP(CustomerCombined[[#This Row],[ID]], Table2[ID],Table2[MC5], "Not Found", 0 )</f>
        <v>1</v>
      </c>
    </row>
    <row r="1770" spans="1:29" x14ac:dyDescent="0.3">
      <c r="A1770" s="6">
        <v>2203</v>
      </c>
      <c r="B1770" s="6">
        <v>177297</v>
      </c>
      <c r="C1770" s="6">
        <v>0</v>
      </c>
      <c r="D1770" s="6">
        <v>0</v>
      </c>
      <c r="E1770" s="6">
        <v>63</v>
      </c>
      <c r="F1770" s="5" t="s">
        <v>5</v>
      </c>
      <c r="G1770" s="5" t="s">
        <v>442</v>
      </c>
      <c r="H1770" s="3">
        <v>43531</v>
      </c>
      <c r="I1770" s="5" t="s">
        <v>437</v>
      </c>
      <c r="J1770" s="5">
        <f>_xlfn.XLOOKUP(CustomerCombined[[#This Row],[ID]], Table4[ID], Table4[Recency], "Not Found", 0)</f>
        <v>84</v>
      </c>
      <c r="K1770" s="5">
        <f>_xlfn.XLOOKUP(CustomerCombined[[#This Row],[ID]], Table4[ID], Table4[Teas], "Not Found", 0)</f>
        <v>936</v>
      </c>
      <c r="L1770" s="5">
        <f>_xlfn.XLOOKUP(CustomerCombined[[#This Row],[ID]], Table4[ID], Table4[Fruits], "Not Found", 0)</f>
        <v>140</v>
      </c>
      <c r="M1770" s="5">
        <f>_xlfn.XLOOKUP(CustomerCombined[[#This Row],[ID]], Table4[ID], Table4[Meats], "Not Found", 0)</f>
        <v>250</v>
      </c>
      <c r="N1770" s="5">
        <f>_xlfn.XLOOKUP(CustomerCombined[[#This Row],[ID]], Table4[ID], Table4[Seafood], "Not Found", 0)</f>
        <v>110</v>
      </c>
      <c r="O1770" s="5">
        <f>_xlfn.XLOOKUP(CustomerCombined[[#This Row],[ID]], Table4[ID], Table4[Sweets], "Not Found", 0)</f>
        <v>280</v>
      </c>
      <c r="P1770" s="5">
        <f>_xlfn.XLOOKUP(CustomerCombined[[#This Row],[ID]], Table4[ID], Table4[Premium], "Not Found", 0)</f>
        <v>94</v>
      </c>
      <c r="Q1770" s="5">
        <f>_xlfn.XLOOKUP(CustomerCombined[[#This Row],[ID]], Table4[ID], Table4[Regular], "Not Found", 0)</f>
        <v>1622</v>
      </c>
      <c r="R1770" s="5">
        <f>_xlfn.XLOOKUP(CustomerCombined[[#This Row],[ID]], Table4[ID], Table4[Deals], "Not Found", 0)</f>
        <v>1</v>
      </c>
      <c r="S1770" s="5">
        <f>_xlfn.XLOOKUP(CustomerCombined[[#This Row],[ID]], Table4[ID], Table4[Website], "Not Found", 0)</f>
        <v>5</v>
      </c>
      <c r="T1770" s="5">
        <f>_xlfn.XLOOKUP(CustomerCombined[[#This Row],[ID]], Table4[ID], Table4[Catalog], "Not Found", 0)</f>
        <v>7</v>
      </c>
      <c r="U1770" s="5">
        <f>_xlfn.XLOOKUP(CustomerCombined[[#This Row],[ID]], Table4[ID], Table4[Store], "Not Found", 0)</f>
        <v>9</v>
      </c>
      <c r="V1770" s="5">
        <f>_xlfn.XLOOKUP(CustomerCombined[[#This Row],[ID]], Table4[ID], Table4[Visits], "Not Found", 0)</f>
        <v>4</v>
      </c>
      <c r="W1770" s="8">
        <f>_xlfn.XLOOKUP(CustomerCombined[[#This Row],[ID]], Table2[ID],Table2[Complaint], "Not Found", 0 )</f>
        <v>0</v>
      </c>
      <c r="X1770" s="8">
        <f>_xlfn.XLOOKUP(CustomerCombined[[#This Row],[ID]], Table2[ID],Table2[Pilot], "Not Found", 0 )</f>
        <v>0</v>
      </c>
      <c r="Y1770" s="8">
        <f>_xlfn.XLOOKUP(CustomerCombined[[#This Row],[ID]], Table2[ID],Table2[MC1], "Not Found", 0 )</f>
        <v>1</v>
      </c>
      <c r="Z1770" s="8">
        <f>_xlfn.XLOOKUP(CustomerCombined[[#This Row],[ID]], Table2[ID],Table2[MC2], "Not Found", 0 )</f>
        <v>0</v>
      </c>
      <c r="AA1770" s="8">
        <f>_xlfn.XLOOKUP(CustomerCombined[[#This Row],[ID]], Table2[ID],Table2[MC3], "Not Found", 0 )</f>
        <v>0</v>
      </c>
      <c r="AB1770" s="8">
        <f>_xlfn.XLOOKUP(CustomerCombined[[#This Row],[ID]], Table2[ID],Table2[MC4], "Not Found", 0 )</f>
        <v>0</v>
      </c>
      <c r="AC1770" s="8">
        <f>_xlfn.XLOOKUP(CustomerCombined[[#This Row],[ID]], Table2[ID],Table2[MC5], "Not Found", 0 )</f>
        <v>0</v>
      </c>
    </row>
    <row r="1771" spans="1:29" x14ac:dyDescent="0.3">
      <c r="A1771" s="6">
        <v>2545</v>
      </c>
      <c r="B1771" s="6">
        <v>175283</v>
      </c>
      <c r="C1771" s="6">
        <v>1</v>
      </c>
      <c r="D1771" s="6">
        <v>2</v>
      </c>
      <c r="E1771" s="6">
        <v>63</v>
      </c>
      <c r="F1771" s="5" t="s">
        <v>6</v>
      </c>
      <c r="G1771" s="5" t="s">
        <v>13</v>
      </c>
      <c r="H1771" s="3">
        <v>43474</v>
      </c>
      <c r="I1771" s="5" t="s">
        <v>437</v>
      </c>
      <c r="J1771" s="5">
        <f>_xlfn.XLOOKUP(CustomerCombined[[#This Row],[ID]], Table4[ID], Table4[Recency], "Not Found", 0)</f>
        <v>26</v>
      </c>
      <c r="K1771" s="5">
        <f>_xlfn.XLOOKUP(CustomerCombined[[#This Row],[ID]], Table4[ID], Table4[Teas], "Not Found", 0)</f>
        <v>1707</v>
      </c>
      <c r="L1771" s="5">
        <f>_xlfn.XLOOKUP(CustomerCombined[[#This Row],[ID]], Table4[ID], Table4[Fruits], "Not Found", 0)</f>
        <v>21</v>
      </c>
      <c r="M1771" s="5">
        <f>_xlfn.XLOOKUP(CustomerCombined[[#This Row],[ID]], Table4[ID], Table4[Meats], "Not Found", 0)</f>
        <v>419</v>
      </c>
      <c r="N1771" s="5">
        <f>_xlfn.XLOOKUP(CustomerCombined[[#This Row],[ID]], Table4[ID], Table4[Seafood], "Not Found", 0)</f>
        <v>28</v>
      </c>
      <c r="O1771" s="5">
        <f>_xlfn.XLOOKUP(CustomerCombined[[#This Row],[ID]], Table4[ID], Table4[Sweets], "Not Found", 0)</f>
        <v>44</v>
      </c>
      <c r="P1771" s="5">
        <f>_xlfn.XLOOKUP(CustomerCombined[[#This Row],[ID]], Table4[ID], Table4[Premium], "Not Found", 0)</f>
        <v>154</v>
      </c>
      <c r="Q1771" s="5">
        <f>_xlfn.XLOOKUP(CustomerCombined[[#This Row],[ID]], Table4[ID], Table4[Regular], "Not Found", 0)</f>
        <v>2065</v>
      </c>
      <c r="R1771" s="5">
        <f>_xlfn.XLOOKUP(CustomerCombined[[#This Row],[ID]], Table4[ID], Table4[Deals], "Not Found", 0)</f>
        <v>11</v>
      </c>
      <c r="S1771" s="5">
        <f>_xlfn.XLOOKUP(CustomerCombined[[#This Row],[ID]], Table4[ID], Table4[Website], "Not Found", 0)</f>
        <v>6</v>
      </c>
      <c r="T1771" s="5">
        <f>_xlfn.XLOOKUP(CustomerCombined[[#This Row],[ID]], Table4[ID], Table4[Catalog], "Not Found", 0)</f>
        <v>3</v>
      </c>
      <c r="U1771" s="5">
        <f>_xlfn.XLOOKUP(CustomerCombined[[#This Row],[ID]], Table4[ID], Table4[Store], "Not Found", 0)</f>
        <v>5</v>
      </c>
      <c r="V1771" s="5">
        <f>_xlfn.XLOOKUP(CustomerCombined[[#This Row],[ID]], Table4[ID], Table4[Visits], "Not Found", 0)</f>
        <v>4</v>
      </c>
      <c r="W1771" s="8">
        <f>_xlfn.XLOOKUP(CustomerCombined[[#This Row],[ID]], Table2[ID],Table2[Complaint], "Not Found", 0 )</f>
        <v>0</v>
      </c>
      <c r="X1771" s="8">
        <f>_xlfn.XLOOKUP(CustomerCombined[[#This Row],[ID]], Table2[ID],Table2[Pilot], "Not Found", 0 )</f>
        <v>0</v>
      </c>
      <c r="Y1771" s="8">
        <f>_xlfn.XLOOKUP(CustomerCombined[[#This Row],[ID]], Table2[ID],Table2[MC1], "Not Found", 0 )</f>
        <v>0</v>
      </c>
      <c r="Z1771" s="8">
        <f>_xlfn.XLOOKUP(CustomerCombined[[#This Row],[ID]], Table2[ID],Table2[MC2], "Not Found", 0 )</f>
        <v>0</v>
      </c>
      <c r="AA1771" s="8">
        <f>_xlfn.XLOOKUP(CustomerCombined[[#This Row],[ID]], Table2[ID],Table2[MC3], "Not Found", 0 )</f>
        <v>0</v>
      </c>
      <c r="AB1771" s="8">
        <f>_xlfn.XLOOKUP(CustomerCombined[[#This Row],[ID]], Table2[ID],Table2[MC4], "Not Found", 0 )</f>
        <v>0</v>
      </c>
      <c r="AC1771" s="8">
        <f>_xlfn.XLOOKUP(CustomerCombined[[#This Row],[ID]], Table2[ID],Table2[MC5], "Not Found", 0 )</f>
        <v>0</v>
      </c>
    </row>
    <row r="1772" spans="1:29" x14ac:dyDescent="0.3">
      <c r="A1772" s="6">
        <v>3162</v>
      </c>
      <c r="B1772" s="6">
        <v>173803</v>
      </c>
      <c r="C1772" s="6">
        <v>0</v>
      </c>
      <c r="D1772" s="6">
        <v>1</v>
      </c>
      <c r="E1772" s="6">
        <v>63</v>
      </c>
      <c r="F1772" s="5" t="s">
        <v>6</v>
      </c>
      <c r="G1772" s="5" t="s">
        <v>11</v>
      </c>
      <c r="H1772" s="3">
        <v>43617</v>
      </c>
      <c r="I1772" s="5" t="s">
        <v>436</v>
      </c>
      <c r="J1772" s="5">
        <f>_xlfn.XLOOKUP(CustomerCombined[[#This Row],[ID]], Table4[ID], Table4[Recency], "Not Found", 0)</f>
        <v>61</v>
      </c>
      <c r="K1772" s="5">
        <f>_xlfn.XLOOKUP(CustomerCombined[[#This Row],[ID]], Table4[ID], Table4[Teas], "Not Found", 0)</f>
        <v>1962</v>
      </c>
      <c r="L1772" s="5">
        <f>_xlfn.XLOOKUP(CustomerCombined[[#This Row],[ID]], Table4[ID], Table4[Fruits], "Not Found", 0)</f>
        <v>188</v>
      </c>
      <c r="M1772" s="5">
        <f>_xlfn.XLOOKUP(CustomerCombined[[#This Row],[ID]], Table4[ID], Table4[Meats], "Not Found", 0)</f>
        <v>855</v>
      </c>
      <c r="N1772" s="5">
        <f>_xlfn.XLOOKUP(CustomerCombined[[#This Row],[ID]], Table4[ID], Table4[Seafood], "Not Found", 0)</f>
        <v>122</v>
      </c>
      <c r="O1772" s="5">
        <f>_xlfn.XLOOKUP(CustomerCombined[[#This Row],[ID]], Table4[ID], Table4[Sweets], "Not Found", 0)</f>
        <v>61</v>
      </c>
      <c r="P1772" s="5">
        <f>_xlfn.XLOOKUP(CustomerCombined[[#This Row],[ID]], Table4[ID], Table4[Premium], "Not Found", 0)</f>
        <v>410</v>
      </c>
      <c r="Q1772" s="5">
        <f>_xlfn.XLOOKUP(CustomerCombined[[#This Row],[ID]], Table4[ID], Table4[Regular], "Not Found", 0)</f>
        <v>2779</v>
      </c>
      <c r="R1772" s="5">
        <f>_xlfn.XLOOKUP(CustomerCombined[[#This Row],[ID]], Table4[ID], Table4[Deals], "Not Found", 0)</f>
        <v>2</v>
      </c>
      <c r="S1772" s="5">
        <f>_xlfn.XLOOKUP(CustomerCombined[[#This Row],[ID]], Table4[ID], Table4[Website], "Not Found", 0)</f>
        <v>9</v>
      </c>
      <c r="T1772" s="5">
        <f>_xlfn.XLOOKUP(CustomerCombined[[#This Row],[ID]], Table4[ID], Table4[Catalog], "Not Found", 0)</f>
        <v>5</v>
      </c>
      <c r="U1772" s="5">
        <f>_xlfn.XLOOKUP(CustomerCombined[[#This Row],[ID]], Table4[ID], Table4[Store], "Not Found", 0)</f>
        <v>6</v>
      </c>
      <c r="V1772" s="5">
        <f>_xlfn.XLOOKUP(CustomerCombined[[#This Row],[ID]], Table4[ID], Table4[Visits], "Not Found", 0)</f>
        <v>6</v>
      </c>
      <c r="W1772" s="8">
        <f>_xlfn.XLOOKUP(CustomerCombined[[#This Row],[ID]], Table2[ID],Table2[Complaint], "Not Found", 0 )</f>
        <v>0</v>
      </c>
      <c r="X1772" s="8">
        <f>_xlfn.XLOOKUP(CustomerCombined[[#This Row],[ID]], Table2[ID],Table2[Pilot], "Not Found", 0 )</f>
        <v>1</v>
      </c>
      <c r="Y1772" s="8">
        <f>_xlfn.XLOOKUP(CustomerCombined[[#This Row],[ID]], Table2[ID],Table2[MC1], "Not Found", 0 )</f>
        <v>0</v>
      </c>
      <c r="Z1772" s="8">
        <f>_xlfn.XLOOKUP(CustomerCombined[[#This Row],[ID]], Table2[ID],Table2[MC2], "Not Found", 0 )</f>
        <v>0</v>
      </c>
      <c r="AA1772" s="8">
        <f>_xlfn.XLOOKUP(CustomerCombined[[#This Row],[ID]], Table2[ID],Table2[MC3], "Not Found", 0 )</f>
        <v>1</v>
      </c>
      <c r="AB1772" s="8">
        <f>_xlfn.XLOOKUP(CustomerCombined[[#This Row],[ID]], Table2[ID],Table2[MC4], "Not Found", 0 )</f>
        <v>0</v>
      </c>
      <c r="AC1772" s="8">
        <f>_xlfn.XLOOKUP(CustomerCombined[[#This Row],[ID]], Table2[ID],Table2[MC5], "Not Found", 0 )</f>
        <v>0</v>
      </c>
    </row>
    <row r="1773" spans="1:29" x14ac:dyDescent="0.3">
      <c r="A1773" s="6">
        <v>1334</v>
      </c>
      <c r="B1773" s="6">
        <v>171113</v>
      </c>
      <c r="C1773" s="6">
        <v>0</v>
      </c>
      <c r="D1773" s="6">
        <v>1</v>
      </c>
      <c r="E1773" s="6">
        <v>63</v>
      </c>
      <c r="F1773" s="5" t="s">
        <v>6</v>
      </c>
      <c r="G1773" s="5" t="s">
        <v>11</v>
      </c>
      <c r="H1773" s="3" t="s">
        <v>131</v>
      </c>
      <c r="I1773" s="5" t="s">
        <v>438</v>
      </c>
      <c r="J1773" s="5">
        <f>_xlfn.XLOOKUP(CustomerCombined[[#This Row],[ID]], Table4[ID], Table4[Recency], "Not Found", 0)</f>
        <v>95</v>
      </c>
      <c r="K1773" s="5">
        <f>_xlfn.XLOOKUP(CustomerCombined[[#This Row],[ID]], Table4[ID], Table4[Teas], "Not Found", 0)</f>
        <v>1191</v>
      </c>
      <c r="L1773" s="5">
        <f>_xlfn.XLOOKUP(CustomerCombined[[#This Row],[ID]], Table4[ID], Table4[Fruits], "Not Found", 0)</f>
        <v>79</v>
      </c>
      <c r="M1773" s="5">
        <f>_xlfn.XLOOKUP(CustomerCombined[[#This Row],[ID]], Table4[ID], Table4[Meats], "Not Found", 0)</f>
        <v>614</v>
      </c>
      <c r="N1773" s="5">
        <f>_xlfn.XLOOKUP(CustomerCombined[[#This Row],[ID]], Table4[ID], Table4[Seafood], "Not Found", 0)</f>
        <v>26</v>
      </c>
      <c r="O1773" s="5">
        <f>_xlfn.XLOOKUP(CustomerCombined[[#This Row],[ID]], Table4[ID], Table4[Sweets], "Not Found", 0)</f>
        <v>79</v>
      </c>
      <c r="P1773" s="5">
        <f>_xlfn.XLOOKUP(CustomerCombined[[#This Row],[ID]], Table4[ID], Table4[Premium], "Not Found", 0)</f>
        <v>19</v>
      </c>
      <c r="Q1773" s="5">
        <f>_xlfn.XLOOKUP(CustomerCombined[[#This Row],[ID]], Table4[ID], Table4[Regular], "Not Found", 0)</f>
        <v>1971</v>
      </c>
      <c r="R1773" s="5">
        <f>_xlfn.XLOOKUP(CustomerCombined[[#This Row],[ID]], Table4[ID], Table4[Deals], "Not Found", 0)</f>
        <v>4</v>
      </c>
      <c r="S1773" s="5">
        <f>_xlfn.XLOOKUP(CustomerCombined[[#This Row],[ID]], Table4[ID], Table4[Website], "Not Found", 0)</f>
        <v>6</v>
      </c>
      <c r="T1773" s="5">
        <f>_xlfn.XLOOKUP(CustomerCombined[[#This Row],[ID]], Table4[ID], Table4[Catalog], "Not Found", 0)</f>
        <v>7</v>
      </c>
      <c r="U1773" s="5">
        <f>_xlfn.XLOOKUP(CustomerCombined[[#This Row],[ID]], Table4[ID], Table4[Store], "Not Found", 0)</f>
        <v>9</v>
      </c>
      <c r="V1773" s="5">
        <f>_xlfn.XLOOKUP(CustomerCombined[[#This Row],[ID]], Table4[ID], Table4[Visits], "Not Found", 0)</f>
        <v>4</v>
      </c>
      <c r="W1773" s="8">
        <f>_xlfn.XLOOKUP(CustomerCombined[[#This Row],[ID]], Table2[ID],Table2[Complaint], "Not Found", 0 )</f>
        <v>0</v>
      </c>
      <c r="X1773" s="8">
        <f>_xlfn.XLOOKUP(CustomerCombined[[#This Row],[ID]], Table2[ID],Table2[Pilot], "Not Found", 0 )</f>
        <v>0</v>
      </c>
      <c r="Y1773" s="8">
        <f>_xlfn.XLOOKUP(CustomerCombined[[#This Row],[ID]], Table2[ID],Table2[MC1], "Not Found", 0 )</f>
        <v>0</v>
      </c>
      <c r="Z1773" s="8">
        <f>_xlfn.XLOOKUP(CustomerCombined[[#This Row],[ID]], Table2[ID],Table2[MC2], "Not Found", 0 )</f>
        <v>0</v>
      </c>
      <c r="AA1773" s="8">
        <f>_xlfn.XLOOKUP(CustomerCombined[[#This Row],[ID]], Table2[ID],Table2[MC3], "Not Found", 0 )</f>
        <v>0</v>
      </c>
      <c r="AB1773" s="8">
        <f>_xlfn.XLOOKUP(CustomerCombined[[#This Row],[ID]], Table2[ID],Table2[MC4], "Not Found", 0 )</f>
        <v>0</v>
      </c>
      <c r="AC1773" s="8">
        <f>_xlfn.XLOOKUP(CustomerCombined[[#This Row],[ID]], Table2[ID],Table2[MC5], "Not Found", 0 )</f>
        <v>0</v>
      </c>
    </row>
    <row r="1774" spans="1:29" x14ac:dyDescent="0.3">
      <c r="A1774" s="6">
        <v>2818</v>
      </c>
      <c r="B1774" s="6">
        <v>168148</v>
      </c>
      <c r="C1774" s="6">
        <v>0</v>
      </c>
      <c r="D1774" s="6">
        <v>0</v>
      </c>
      <c r="E1774" s="6">
        <v>63</v>
      </c>
      <c r="F1774" s="5" t="s">
        <v>8</v>
      </c>
      <c r="G1774" s="5" t="s">
        <v>12</v>
      </c>
      <c r="H1774" s="3">
        <v>43953</v>
      </c>
      <c r="I1774" s="5" t="s">
        <v>439</v>
      </c>
      <c r="J1774" s="5">
        <f>_xlfn.XLOOKUP(CustomerCombined[[#This Row],[ID]], Table4[ID], Table4[Recency], "Not Found", 0)</f>
        <v>86</v>
      </c>
      <c r="K1774" s="5">
        <f>_xlfn.XLOOKUP(CustomerCombined[[#This Row],[ID]], Table4[ID], Table4[Teas], "Not Found", 0)</f>
        <v>960</v>
      </c>
      <c r="L1774" s="5">
        <f>_xlfn.XLOOKUP(CustomerCombined[[#This Row],[ID]], Table4[ID], Table4[Fruits], "Not Found", 0)</f>
        <v>163</v>
      </c>
      <c r="M1774" s="5">
        <f>_xlfn.XLOOKUP(CustomerCombined[[#This Row],[ID]], Table4[ID], Table4[Meats], "Not Found", 0)</f>
        <v>1007</v>
      </c>
      <c r="N1774" s="5">
        <f>_xlfn.XLOOKUP(CustomerCombined[[#This Row],[ID]], Table4[ID], Table4[Seafood], "Not Found", 0)</f>
        <v>91</v>
      </c>
      <c r="O1774" s="5">
        <f>_xlfn.XLOOKUP(CustomerCombined[[#This Row],[ID]], Table4[ID], Table4[Sweets], "Not Found", 0)</f>
        <v>141</v>
      </c>
      <c r="P1774" s="5">
        <f>_xlfn.XLOOKUP(CustomerCombined[[#This Row],[ID]], Table4[ID], Table4[Premium], "Not Found", 0)</f>
        <v>210</v>
      </c>
      <c r="Q1774" s="5">
        <f>_xlfn.XLOOKUP(CustomerCombined[[#This Row],[ID]], Table4[ID], Table4[Regular], "Not Found", 0)</f>
        <v>2152</v>
      </c>
      <c r="R1774" s="5">
        <f>_xlfn.XLOOKUP(CustomerCombined[[#This Row],[ID]], Table4[ID], Table4[Deals], "Not Found", 0)</f>
        <v>1</v>
      </c>
      <c r="S1774" s="5">
        <f>_xlfn.XLOOKUP(CustomerCombined[[#This Row],[ID]], Table4[ID], Table4[Website], "Not Found", 0)</f>
        <v>4</v>
      </c>
      <c r="T1774" s="5">
        <f>_xlfn.XLOOKUP(CustomerCombined[[#This Row],[ID]], Table4[ID], Table4[Catalog], "Not Found", 0)</f>
        <v>4</v>
      </c>
      <c r="U1774" s="5">
        <f>_xlfn.XLOOKUP(CustomerCombined[[#This Row],[ID]], Table4[ID], Table4[Store], "Not Found", 0)</f>
        <v>6</v>
      </c>
      <c r="V1774" s="5">
        <f>_xlfn.XLOOKUP(CustomerCombined[[#This Row],[ID]], Table4[ID], Table4[Visits], "Not Found", 0)</f>
        <v>2</v>
      </c>
      <c r="W1774" s="8">
        <f>_xlfn.XLOOKUP(CustomerCombined[[#This Row],[ID]], Table2[ID],Table2[Complaint], "Not Found", 0 )</f>
        <v>0</v>
      </c>
      <c r="X1774" s="8">
        <f>_xlfn.XLOOKUP(CustomerCombined[[#This Row],[ID]], Table2[ID],Table2[Pilot], "Not Found", 0 )</f>
        <v>0</v>
      </c>
      <c r="Y1774" s="8">
        <f>_xlfn.XLOOKUP(CustomerCombined[[#This Row],[ID]], Table2[ID],Table2[MC1], "Not Found", 0 )</f>
        <v>0</v>
      </c>
      <c r="Z1774" s="8">
        <f>_xlfn.XLOOKUP(CustomerCombined[[#This Row],[ID]], Table2[ID],Table2[MC2], "Not Found", 0 )</f>
        <v>0</v>
      </c>
      <c r="AA1774" s="8">
        <f>_xlfn.XLOOKUP(CustomerCombined[[#This Row],[ID]], Table2[ID],Table2[MC3], "Not Found", 0 )</f>
        <v>0</v>
      </c>
      <c r="AB1774" s="8">
        <f>_xlfn.XLOOKUP(CustomerCombined[[#This Row],[ID]], Table2[ID],Table2[MC4], "Not Found", 0 )</f>
        <v>0</v>
      </c>
      <c r="AC1774" s="8">
        <f>_xlfn.XLOOKUP(CustomerCombined[[#This Row],[ID]], Table2[ID],Table2[MC5], "Not Found", 0 )</f>
        <v>0</v>
      </c>
    </row>
    <row r="1775" spans="1:29" x14ac:dyDescent="0.3">
      <c r="A1775" s="6">
        <v>2154</v>
      </c>
      <c r="B1775" s="6">
        <v>166726</v>
      </c>
      <c r="C1775" s="6">
        <v>1</v>
      </c>
      <c r="D1775" s="6">
        <v>1</v>
      </c>
      <c r="E1775" s="6">
        <v>63</v>
      </c>
      <c r="F1775" s="5" t="s">
        <v>6</v>
      </c>
      <c r="G1775" s="5" t="s">
        <v>12</v>
      </c>
      <c r="H1775" s="3" t="s">
        <v>118</v>
      </c>
      <c r="I1775" s="5" t="s">
        <v>436</v>
      </c>
      <c r="J1775" s="5">
        <f>_xlfn.XLOOKUP(CustomerCombined[[#This Row],[ID]], Table4[ID], Table4[Recency], "Not Found", 0)</f>
        <v>61</v>
      </c>
      <c r="K1775" s="5">
        <f>_xlfn.XLOOKUP(CustomerCombined[[#This Row],[ID]], Table4[ID], Table4[Teas], "Not Found", 0)</f>
        <v>872</v>
      </c>
      <c r="L1775" s="5">
        <f>_xlfn.XLOOKUP(CustomerCombined[[#This Row],[ID]], Table4[ID], Table4[Fruits], "Not Found", 0)</f>
        <v>17</v>
      </c>
      <c r="M1775" s="5">
        <f>_xlfn.XLOOKUP(CustomerCombined[[#This Row],[ID]], Table4[ID], Table4[Meats], "Not Found", 0)</f>
        <v>87</v>
      </c>
      <c r="N1775" s="5">
        <f>_xlfn.XLOOKUP(CustomerCombined[[#This Row],[ID]], Table4[ID], Table4[Seafood], "Not Found", 0)</f>
        <v>0</v>
      </c>
      <c r="O1775" s="5">
        <f>_xlfn.XLOOKUP(CustomerCombined[[#This Row],[ID]], Table4[ID], Table4[Sweets], "Not Found", 0)</f>
        <v>0</v>
      </c>
      <c r="P1775" s="5">
        <f>_xlfn.XLOOKUP(CustomerCombined[[#This Row],[ID]], Table4[ID], Table4[Premium], "Not Found", 0)</f>
        <v>117</v>
      </c>
      <c r="Q1775" s="5">
        <f>_xlfn.XLOOKUP(CustomerCombined[[#This Row],[ID]], Table4[ID], Table4[Regular], "Not Found", 0)</f>
        <v>860</v>
      </c>
      <c r="R1775" s="5">
        <f>_xlfn.XLOOKUP(CustomerCombined[[#This Row],[ID]], Table4[ID], Table4[Deals], "Not Found", 0)</f>
        <v>3</v>
      </c>
      <c r="S1775" s="5">
        <f>_xlfn.XLOOKUP(CustomerCombined[[#This Row],[ID]], Table4[ID], Table4[Website], "Not Found", 0)</f>
        <v>8</v>
      </c>
      <c r="T1775" s="5">
        <f>_xlfn.XLOOKUP(CustomerCombined[[#This Row],[ID]], Table4[ID], Table4[Catalog], "Not Found", 0)</f>
        <v>2</v>
      </c>
      <c r="U1775" s="5">
        <f>_xlfn.XLOOKUP(CustomerCombined[[#This Row],[ID]], Table4[ID], Table4[Store], "Not Found", 0)</f>
        <v>4</v>
      </c>
      <c r="V1775" s="5">
        <f>_xlfn.XLOOKUP(CustomerCombined[[#This Row],[ID]], Table4[ID], Table4[Visits], "Not Found", 0)</f>
        <v>7</v>
      </c>
      <c r="W1775" s="8">
        <f>_xlfn.XLOOKUP(CustomerCombined[[#This Row],[ID]], Table2[ID],Table2[Complaint], "Not Found", 0 )</f>
        <v>0</v>
      </c>
      <c r="X1775" s="8">
        <f>_xlfn.XLOOKUP(CustomerCombined[[#This Row],[ID]], Table2[ID],Table2[Pilot], "Not Found", 0 )</f>
        <v>0</v>
      </c>
      <c r="Y1775" s="8">
        <f>_xlfn.XLOOKUP(CustomerCombined[[#This Row],[ID]], Table2[ID],Table2[MC1], "Not Found", 0 )</f>
        <v>0</v>
      </c>
      <c r="Z1775" s="8">
        <f>_xlfn.XLOOKUP(CustomerCombined[[#This Row],[ID]], Table2[ID],Table2[MC2], "Not Found", 0 )</f>
        <v>0</v>
      </c>
      <c r="AA1775" s="8">
        <f>_xlfn.XLOOKUP(CustomerCombined[[#This Row],[ID]], Table2[ID],Table2[MC3], "Not Found", 0 )</f>
        <v>0</v>
      </c>
      <c r="AB1775" s="8">
        <f>_xlfn.XLOOKUP(CustomerCombined[[#This Row],[ID]], Table2[ID],Table2[MC4], "Not Found", 0 )</f>
        <v>1</v>
      </c>
      <c r="AC1775" s="8">
        <f>_xlfn.XLOOKUP(CustomerCombined[[#This Row],[ID]], Table2[ID],Table2[MC5], "Not Found", 0 )</f>
        <v>0</v>
      </c>
    </row>
    <row r="1776" spans="1:29" x14ac:dyDescent="0.3">
      <c r="A1776" s="6">
        <v>2185</v>
      </c>
      <c r="B1776" s="6">
        <v>166636</v>
      </c>
      <c r="C1776" s="6">
        <v>0</v>
      </c>
      <c r="D1776" s="6">
        <v>0</v>
      </c>
      <c r="E1776" s="6">
        <v>63</v>
      </c>
      <c r="F1776" s="5" t="s">
        <v>8</v>
      </c>
      <c r="G1776" s="5" t="s">
        <v>12</v>
      </c>
      <c r="H1776" s="3" t="s">
        <v>200</v>
      </c>
      <c r="I1776" s="5" t="s">
        <v>437</v>
      </c>
      <c r="J1776" s="5">
        <f>_xlfn.XLOOKUP(CustomerCombined[[#This Row],[ID]], Table4[ID], Table4[Recency], "Not Found", 0)</f>
        <v>64</v>
      </c>
      <c r="K1776" s="5">
        <f>_xlfn.XLOOKUP(CustomerCombined[[#This Row],[ID]], Table4[ID], Table4[Teas], "Not Found", 0)</f>
        <v>728</v>
      </c>
      <c r="L1776" s="5">
        <f>_xlfn.XLOOKUP(CustomerCombined[[#This Row],[ID]], Table4[ID], Table4[Fruits], "Not Found", 0)</f>
        <v>25</v>
      </c>
      <c r="M1776" s="5">
        <f>_xlfn.XLOOKUP(CustomerCombined[[#This Row],[ID]], Table4[ID], Table4[Meats], "Not Found", 0)</f>
        <v>1723</v>
      </c>
      <c r="N1776" s="5">
        <f>_xlfn.XLOOKUP(CustomerCombined[[#This Row],[ID]], Table4[ID], Table4[Seafood], "Not Found", 0)</f>
        <v>210</v>
      </c>
      <c r="O1776" s="5">
        <f>_xlfn.XLOOKUP(CustomerCombined[[#This Row],[ID]], Table4[ID], Table4[Sweets], "Not Found", 0)</f>
        <v>25</v>
      </c>
      <c r="P1776" s="5">
        <f>_xlfn.XLOOKUP(CustomerCombined[[#This Row],[ID]], Table4[ID], Table4[Premium], "Not Found", 0)</f>
        <v>0</v>
      </c>
      <c r="Q1776" s="5">
        <f>_xlfn.XLOOKUP(CustomerCombined[[#This Row],[ID]], Table4[ID], Table4[Regular], "Not Found", 0)</f>
        <v>2711</v>
      </c>
      <c r="R1776" s="5">
        <f>_xlfn.XLOOKUP(CustomerCombined[[#This Row],[ID]], Table4[ID], Table4[Deals], "Not Found", 0)</f>
        <v>1</v>
      </c>
      <c r="S1776" s="5">
        <f>_xlfn.XLOOKUP(CustomerCombined[[#This Row],[ID]], Table4[ID], Table4[Website], "Not Found", 0)</f>
        <v>3</v>
      </c>
      <c r="T1776" s="5">
        <f>_xlfn.XLOOKUP(CustomerCombined[[#This Row],[ID]], Table4[ID], Table4[Catalog], "Not Found", 0)</f>
        <v>4</v>
      </c>
      <c r="U1776" s="5">
        <f>_xlfn.XLOOKUP(CustomerCombined[[#This Row],[ID]], Table4[ID], Table4[Store], "Not Found", 0)</f>
        <v>9</v>
      </c>
      <c r="V1776" s="5">
        <f>_xlfn.XLOOKUP(CustomerCombined[[#This Row],[ID]], Table4[ID], Table4[Visits], "Not Found", 0)</f>
        <v>1</v>
      </c>
      <c r="W1776" s="8">
        <f>_xlfn.XLOOKUP(CustomerCombined[[#This Row],[ID]], Table2[ID],Table2[Complaint], "Not Found", 0 )</f>
        <v>0</v>
      </c>
      <c r="X1776" s="8">
        <f>_xlfn.XLOOKUP(CustomerCombined[[#This Row],[ID]], Table2[ID],Table2[Pilot], "Not Found", 0 )</f>
        <v>0</v>
      </c>
      <c r="Y1776" s="8">
        <f>_xlfn.XLOOKUP(CustomerCombined[[#This Row],[ID]], Table2[ID],Table2[MC1], "Not Found", 0 )</f>
        <v>0</v>
      </c>
      <c r="Z1776" s="8">
        <f>_xlfn.XLOOKUP(CustomerCombined[[#This Row],[ID]], Table2[ID],Table2[MC2], "Not Found", 0 )</f>
        <v>0</v>
      </c>
      <c r="AA1776" s="8">
        <f>_xlfn.XLOOKUP(CustomerCombined[[#This Row],[ID]], Table2[ID],Table2[MC3], "Not Found", 0 )</f>
        <v>0</v>
      </c>
      <c r="AB1776" s="8">
        <f>_xlfn.XLOOKUP(CustomerCombined[[#This Row],[ID]], Table2[ID],Table2[MC4], "Not Found", 0 )</f>
        <v>0</v>
      </c>
      <c r="AC1776" s="8">
        <f>_xlfn.XLOOKUP(CustomerCombined[[#This Row],[ID]], Table2[ID],Table2[MC5], "Not Found", 0 )</f>
        <v>0</v>
      </c>
    </row>
    <row r="1777" spans="1:29" x14ac:dyDescent="0.3">
      <c r="A1777" s="6">
        <v>2524</v>
      </c>
      <c r="B1777" s="6">
        <v>166033</v>
      </c>
      <c r="C1777" s="6">
        <v>0</v>
      </c>
      <c r="D1777" s="6">
        <v>1</v>
      </c>
      <c r="E1777" s="6">
        <v>63</v>
      </c>
      <c r="F1777" s="5" t="s">
        <v>9</v>
      </c>
      <c r="G1777" s="5" t="s">
        <v>11</v>
      </c>
      <c r="H1777" s="3" t="s">
        <v>321</v>
      </c>
      <c r="I1777" s="5" t="s">
        <v>439</v>
      </c>
      <c r="J1777" s="5">
        <f>_xlfn.XLOOKUP(CustomerCombined[[#This Row],[ID]], Table4[ID], Table4[Recency], "Not Found", 0)</f>
        <v>76</v>
      </c>
      <c r="K1777" s="5">
        <f>_xlfn.XLOOKUP(CustomerCombined[[#This Row],[ID]], Table4[ID], Table4[Teas], "Not Found", 0)</f>
        <v>737</v>
      </c>
      <c r="L1777" s="5">
        <f>_xlfn.XLOOKUP(CustomerCombined[[#This Row],[ID]], Table4[ID], Table4[Fruits], "Not Found", 0)</f>
        <v>88</v>
      </c>
      <c r="M1777" s="5">
        <f>_xlfn.XLOOKUP(CustomerCombined[[#This Row],[ID]], Table4[ID], Table4[Meats], "Not Found", 0)</f>
        <v>450</v>
      </c>
      <c r="N1777" s="5">
        <f>_xlfn.XLOOKUP(CustomerCombined[[#This Row],[ID]], Table4[ID], Table4[Seafood], "Not Found", 0)</f>
        <v>116</v>
      </c>
      <c r="O1777" s="5">
        <f>_xlfn.XLOOKUP(CustomerCombined[[#This Row],[ID]], Table4[ID], Table4[Sweets], "Not Found", 0)</f>
        <v>148</v>
      </c>
      <c r="P1777" s="5">
        <f>_xlfn.XLOOKUP(CustomerCombined[[#This Row],[ID]], Table4[ID], Table4[Premium], "Not Found", 0)</f>
        <v>163</v>
      </c>
      <c r="Q1777" s="5">
        <f>_xlfn.XLOOKUP(CustomerCombined[[#This Row],[ID]], Table4[ID], Table4[Regular], "Not Found", 0)</f>
        <v>1375</v>
      </c>
      <c r="R1777" s="5">
        <f>_xlfn.XLOOKUP(CustomerCombined[[#This Row],[ID]], Table4[ID], Table4[Deals], "Not Found", 0)</f>
        <v>2</v>
      </c>
      <c r="S1777" s="5">
        <f>_xlfn.XLOOKUP(CustomerCombined[[#This Row],[ID]], Table4[ID], Table4[Website], "Not Found", 0)</f>
        <v>8</v>
      </c>
      <c r="T1777" s="5">
        <f>_xlfn.XLOOKUP(CustomerCombined[[#This Row],[ID]], Table4[ID], Table4[Catalog], "Not Found", 0)</f>
        <v>3</v>
      </c>
      <c r="U1777" s="5">
        <f>_xlfn.XLOOKUP(CustomerCombined[[#This Row],[ID]], Table4[ID], Table4[Store], "Not Found", 0)</f>
        <v>7</v>
      </c>
      <c r="V1777" s="5">
        <f>_xlfn.XLOOKUP(CustomerCombined[[#This Row],[ID]], Table4[ID], Table4[Visits], "Not Found", 0)</f>
        <v>7</v>
      </c>
      <c r="W1777" s="8">
        <f>_xlfn.XLOOKUP(CustomerCombined[[#This Row],[ID]], Table2[ID],Table2[Complaint], "Not Found", 0 )</f>
        <v>0</v>
      </c>
      <c r="X1777" s="8">
        <f>_xlfn.XLOOKUP(CustomerCombined[[#This Row],[ID]], Table2[ID],Table2[Pilot], "Not Found", 0 )</f>
        <v>0</v>
      </c>
      <c r="Y1777" s="8">
        <f>_xlfn.XLOOKUP(CustomerCombined[[#This Row],[ID]], Table2[ID],Table2[MC1], "Not Found", 0 )</f>
        <v>0</v>
      </c>
      <c r="Z1777" s="8">
        <f>_xlfn.XLOOKUP(CustomerCombined[[#This Row],[ID]], Table2[ID],Table2[MC2], "Not Found", 0 )</f>
        <v>0</v>
      </c>
      <c r="AA1777" s="8">
        <f>_xlfn.XLOOKUP(CustomerCombined[[#This Row],[ID]], Table2[ID],Table2[MC3], "Not Found", 0 )</f>
        <v>0</v>
      </c>
      <c r="AB1777" s="8">
        <f>_xlfn.XLOOKUP(CustomerCombined[[#This Row],[ID]], Table2[ID],Table2[MC4], "Not Found", 0 )</f>
        <v>0</v>
      </c>
      <c r="AC1777" s="8">
        <f>_xlfn.XLOOKUP(CustomerCombined[[#This Row],[ID]], Table2[ID],Table2[MC5], "Not Found", 0 )</f>
        <v>0</v>
      </c>
    </row>
    <row r="1778" spans="1:29" x14ac:dyDescent="0.3">
      <c r="A1778" s="6">
        <v>3102</v>
      </c>
      <c r="B1778" s="6">
        <v>165487</v>
      </c>
      <c r="C1778" s="6">
        <v>0</v>
      </c>
      <c r="D1778" s="6">
        <v>0</v>
      </c>
      <c r="E1778" s="6">
        <v>63</v>
      </c>
      <c r="F1778" s="5" t="s">
        <v>7</v>
      </c>
      <c r="G1778" s="5" t="s">
        <v>12</v>
      </c>
      <c r="H1778" s="3" t="s">
        <v>120</v>
      </c>
      <c r="I1778" s="5" t="s">
        <v>436</v>
      </c>
      <c r="J1778" s="5">
        <f>_xlfn.XLOOKUP(CustomerCombined[[#This Row],[ID]], Table4[ID], Table4[Recency], "Not Found", 0)</f>
        <v>48</v>
      </c>
      <c r="K1778" s="5">
        <f>_xlfn.XLOOKUP(CustomerCombined[[#This Row],[ID]], Table4[ID], Table4[Teas], "Not Found", 0)</f>
        <v>606</v>
      </c>
      <c r="L1778" s="5">
        <f>_xlfn.XLOOKUP(CustomerCombined[[#This Row],[ID]], Table4[ID], Table4[Fruits], "Not Found", 0)</f>
        <v>169</v>
      </c>
      <c r="M1778" s="5">
        <f>_xlfn.XLOOKUP(CustomerCombined[[#This Row],[ID]], Table4[ID], Table4[Meats], "Not Found", 0)</f>
        <v>1264</v>
      </c>
      <c r="N1778" s="5">
        <f>_xlfn.XLOOKUP(CustomerCombined[[#This Row],[ID]], Table4[ID], Table4[Seafood], "Not Found", 0)</f>
        <v>503</v>
      </c>
      <c r="O1778" s="5">
        <f>_xlfn.XLOOKUP(CustomerCombined[[#This Row],[ID]], Table4[ID], Table4[Sweets], "Not Found", 0)</f>
        <v>0</v>
      </c>
      <c r="P1778" s="5">
        <f>_xlfn.XLOOKUP(CustomerCombined[[#This Row],[ID]], Table4[ID], Table4[Premium], "Not Found", 0)</f>
        <v>412</v>
      </c>
      <c r="Q1778" s="5">
        <f>_xlfn.XLOOKUP(CustomerCombined[[#This Row],[ID]], Table4[ID], Table4[Regular], "Not Found", 0)</f>
        <v>2130</v>
      </c>
      <c r="R1778" s="5">
        <f>_xlfn.XLOOKUP(CustomerCombined[[#This Row],[ID]], Table4[ID], Table4[Deals], "Not Found", 0)</f>
        <v>3</v>
      </c>
      <c r="S1778" s="5">
        <f>_xlfn.XLOOKUP(CustomerCombined[[#This Row],[ID]], Table4[ID], Table4[Website], "Not Found", 0)</f>
        <v>3</v>
      </c>
      <c r="T1778" s="5">
        <f>_xlfn.XLOOKUP(CustomerCombined[[#This Row],[ID]], Table4[ID], Table4[Catalog], "Not Found", 0)</f>
        <v>5</v>
      </c>
      <c r="U1778" s="5">
        <f>_xlfn.XLOOKUP(CustomerCombined[[#This Row],[ID]], Table4[ID], Table4[Store], "Not Found", 0)</f>
        <v>6</v>
      </c>
      <c r="V1778" s="5">
        <f>_xlfn.XLOOKUP(CustomerCombined[[#This Row],[ID]], Table4[ID], Table4[Visits], "Not Found", 0)</f>
        <v>2</v>
      </c>
      <c r="W1778" s="8">
        <f>_xlfn.XLOOKUP(CustomerCombined[[#This Row],[ID]], Table2[ID],Table2[Complaint], "Not Found", 0 )</f>
        <v>0</v>
      </c>
      <c r="X1778" s="8">
        <f>_xlfn.XLOOKUP(CustomerCombined[[#This Row],[ID]], Table2[ID],Table2[Pilot], "Not Found", 0 )</f>
        <v>0</v>
      </c>
      <c r="Y1778" s="8">
        <f>_xlfn.XLOOKUP(CustomerCombined[[#This Row],[ID]], Table2[ID],Table2[MC1], "Not Found", 0 )</f>
        <v>0</v>
      </c>
      <c r="Z1778" s="8">
        <f>_xlfn.XLOOKUP(CustomerCombined[[#This Row],[ID]], Table2[ID],Table2[MC2], "Not Found", 0 )</f>
        <v>0</v>
      </c>
      <c r="AA1778" s="8">
        <f>_xlfn.XLOOKUP(CustomerCombined[[#This Row],[ID]], Table2[ID],Table2[MC3], "Not Found", 0 )</f>
        <v>0</v>
      </c>
      <c r="AB1778" s="8">
        <f>_xlfn.XLOOKUP(CustomerCombined[[#This Row],[ID]], Table2[ID],Table2[MC4], "Not Found", 0 )</f>
        <v>0</v>
      </c>
      <c r="AC1778" s="8">
        <f>_xlfn.XLOOKUP(CustomerCombined[[#This Row],[ID]], Table2[ID],Table2[MC5], "Not Found", 0 )</f>
        <v>0</v>
      </c>
    </row>
    <row r="1779" spans="1:29" x14ac:dyDescent="0.3">
      <c r="A1779" s="6">
        <v>3156</v>
      </c>
      <c r="B1779" s="6">
        <v>165487</v>
      </c>
      <c r="C1779" s="6">
        <v>0</v>
      </c>
      <c r="D1779" s="6">
        <v>0</v>
      </c>
      <c r="E1779" s="6">
        <v>63</v>
      </c>
      <c r="F1779" s="5" t="s">
        <v>8</v>
      </c>
      <c r="G1779" s="5" t="s">
        <v>12</v>
      </c>
      <c r="H1779" s="3" t="s">
        <v>120</v>
      </c>
      <c r="I1779" s="5" t="s">
        <v>436</v>
      </c>
      <c r="J1779" s="5">
        <f>_xlfn.XLOOKUP(CustomerCombined[[#This Row],[ID]], Table4[ID], Table4[Recency], "Not Found", 0)</f>
        <v>48</v>
      </c>
      <c r="K1779" s="5">
        <f>_xlfn.XLOOKUP(CustomerCombined[[#This Row],[ID]], Table4[ID], Table4[Teas], "Not Found", 0)</f>
        <v>606</v>
      </c>
      <c r="L1779" s="5">
        <f>_xlfn.XLOOKUP(CustomerCombined[[#This Row],[ID]], Table4[ID], Table4[Fruits], "Not Found", 0)</f>
        <v>169</v>
      </c>
      <c r="M1779" s="5">
        <f>_xlfn.XLOOKUP(CustomerCombined[[#This Row],[ID]], Table4[ID], Table4[Meats], "Not Found", 0)</f>
        <v>1264</v>
      </c>
      <c r="N1779" s="5">
        <f>_xlfn.XLOOKUP(CustomerCombined[[#This Row],[ID]], Table4[ID], Table4[Seafood], "Not Found", 0)</f>
        <v>503</v>
      </c>
      <c r="O1779" s="5">
        <f>_xlfn.XLOOKUP(CustomerCombined[[#This Row],[ID]], Table4[ID], Table4[Sweets], "Not Found", 0)</f>
        <v>0</v>
      </c>
      <c r="P1779" s="5">
        <f>_xlfn.XLOOKUP(CustomerCombined[[#This Row],[ID]], Table4[ID], Table4[Premium], "Not Found", 0)</f>
        <v>412</v>
      </c>
      <c r="Q1779" s="5">
        <f>_xlfn.XLOOKUP(CustomerCombined[[#This Row],[ID]], Table4[ID], Table4[Regular], "Not Found", 0)</f>
        <v>2130</v>
      </c>
      <c r="R1779" s="5">
        <f>_xlfn.XLOOKUP(CustomerCombined[[#This Row],[ID]], Table4[ID], Table4[Deals], "Not Found", 0)</f>
        <v>3</v>
      </c>
      <c r="S1779" s="5">
        <f>_xlfn.XLOOKUP(CustomerCombined[[#This Row],[ID]], Table4[ID], Table4[Website], "Not Found", 0)</f>
        <v>3</v>
      </c>
      <c r="T1779" s="5">
        <f>_xlfn.XLOOKUP(CustomerCombined[[#This Row],[ID]], Table4[ID], Table4[Catalog], "Not Found", 0)</f>
        <v>5</v>
      </c>
      <c r="U1779" s="5">
        <f>_xlfn.XLOOKUP(CustomerCombined[[#This Row],[ID]], Table4[ID], Table4[Store], "Not Found", 0)</f>
        <v>6</v>
      </c>
      <c r="V1779" s="5">
        <f>_xlfn.XLOOKUP(CustomerCombined[[#This Row],[ID]], Table4[ID], Table4[Visits], "Not Found", 0)</f>
        <v>2</v>
      </c>
      <c r="W1779" s="8">
        <f>_xlfn.XLOOKUP(CustomerCombined[[#This Row],[ID]], Table2[ID],Table2[Complaint], "Not Found", 0 )</f>
        <v>0</v>
      </c>
      <c r="X1779" s="8">
        <f>_xlfn.XLOOKUP(CustomerCombined[[#This Row],[ID]], Table2[ID],Table2[Pilot], "Not Found", 0 )</f>
        <v>0</v>
      </c>
      <c r="Y1779" s="8">
        <f>_xlfn.XLOOKUP(CustomerCombined[[#This Row],[ID]], Table2[ID],Table2[MC1], "Not Found", 0 )</f>
        <v>0</v>
      </c>
      <c r="Z1779" s="8">
        <f>_xlfn.XLOOKUP(CustomerCombined[[#This Row],[ID]], Table2[ID],Table2[MC2], "Not Found", 0 )</f>
        <v>0</v>
      </c>
      <c r="AA1779" s="8">
        <f>_xlfn.XLOOKUP(CustomerCombined[[#This Row],[ID]], Table2[ID],Table2[MC3], "Not Found", 0 )</f>
        <v>0</v>
      </c>
      <c r="AB1779" s="8">
        <f>_xlfn.XLOOKUP(CustomerCombined[[#This Row],[ID]], Table2[ID],Table2[MC4], "Not Found", 0 )</f>
        <v>0</v>
      </c>
      <c r="AC1779" s="8">
        <f>_xlfn.XLOOKUP(CustomerCombined[[#This Row],[ID]], Table2[ID],Table2[MC5], "Not Found", 0 )</f>
        <v>0</v>
      </c>
    </row>
    <row r="1780" spans="1:29" x14ac:dyDescent="0.3">
      <c r="A1780" s="6">
        <v>1047</v>
      </c>
      <c r="B1780" s="6">
        <v>165486</v>
      </c>
      <c r="C1780" s="6">
        <v>0</v>
      </c>
      <c r="D1780" s="6">
        <v>1</v>
      </c>
      <c r="E1780" s="6">
        <v>63</v>
      </c>
      <c r="F1780" s="5" t="s">
        <v>9</v>
      </c>
      <c r="G1780" s="5" t="s">
        <v>11</v>
      </c>
      <c r="H1780" s="3" t="s">
        <v>52</v>
      </c>
      <c r="I1780" s="5" t="s">
        <v>435</v>
      </c>
      <c r="J1780" s="5">
        <f>_xlfn.XLOOKUP(CustomerCombined[[#This Row],[ID]], Table4[ID], Table4[Recency], "Not Found", 0)</f>
        <v>29</v>
      </c>
      <c r="K1780" s="5">
        <f>_xlfn.XLOOKUP(CustomerCombined[[#This Row],[ID]], Table4[ID], Table4[Teas], "Not Found", 0)</f>
        <v>619</v>
      </c>
      <c r="L1780" s="5">
        <f>_xlfn.XLOOKUP(CustomerCombined[[#This Row],[ID]], Table4[ID], Table4[Fruits], "Not Found", 0)</f>
        <v>48</v>
      </c>
      <c r="M1780" s="5">
        <f>_xlfn.XLOOKUP(CustomerCombined[[#This Row],[ID]], Table4[ID], Table4[Meats], "Not Found", 0)</f>
        <v>316</v>
      </c>
      <c r="N1780" s="5">
        <f>_xlfn.XLOOKUP(CustomerCombined[[#This Row],[ID]], Table4[ID], Table4[Seafood], "Not Found", 0)</f>
        <v>94</v>
      </c>
      <c r="O1780" s="5">
        <f>_xlfn.XLOOKUP(CustomerCombined[[#This Row],[ID]], Table4[ID], Table4[Sweets], "Not Found", 0)</f>
        <v>169</v>
      </c>
      <c r="P1780" s="5">
        <f>_xlfn.XLOOKUP(CustomerCombined[[#This Row],[ID]], Table4[ID], Table4[Premium], "Not Found", 0)</f>
        <v>35</v>
      </c>
      <c r="Q1780" s="5">
        <f>_xlfn.XLOOKUP(CustomerCombined[[#This Row],[ID]], Table4[ID], Table4[Regular], "Not Found", 0)</f>
        <v>1210</v>
      </c>
      <c r="R1780" s="5">
        <f>_xlfn.XLOOKUP(CustomerCombined[[#This Row],[ID]], Table4[ID], Table4[Deals], "Not Found", 0)</f>
        <v>1</v>
      </c>
      <c r="S1780" s="5">
        <f>_xlfn.XLOOKUP(CustomerCombined[[#This Row],[ID]], Table4[ID], Table4[Website], "Not Found", 0)</f>
        <v>4</v>
      </c>
      <c r="T1780" s="5">
        <f>_xlfn.XLOOKUP(CustomerCombined[[#This Row],[ID]], Table4[ID], Table4[Catalog], "Not Found", 0)</f>
        <v>2</v>
      </c>
      <c r="U1780" s="5">
        <f>_xlfn.XLOOKUP(CustomerCombined[[#This Row],[ID]], Table4[ID], Table4[Store], "Not Found", 0)</f>
        <v>10</v>
      </c>
      <c r="V1780" s="5">
        <f>_xlfn.XLOOKUP(CustomerCombined[[#This Row],[ID]], Table4[ID], Table4[Visits], "Not Found", 0)</f>
        <v>2</v>
      </c>
      <c r="W1780" s="8">
        <f>_xlfn.XLOOKUP(CustomerCombined[[#This Row],[ID]], Table2[ID],Table2[Complaint], "Not Found", 0 )</f>
        <v>0</v>
      </c>
      <c r="X1780" s="8">
        <f>_xlfn.XLOOKUP(CustomerCombined[[#This Row],[ID]], Table2[ID],Table2[Pilot], "Not Found", 0 )</f>
        <v>0</v>
      </c>
      <c r="Y1780" s="8">
        <f>_xlfn.XLOOKUP(CustomerCombined[[#This Row],[ID]], Table2[ID],Table2[MC1], "Not Found", 0 )</f>
        <v>0</v>
      </c>
      <c r="Z1780" s="8">
        <f>_xlfn.XLOOKUP(CustomerCombined[[#This Row],[ID]], Table2[ID],Table2[MC2], "Not Found", 0 )</f>
        <v>0</v>
      </c>
      <c r="AA1780" s="8">
        <f>_xlfn.XLOOKUP(CustomerCombined[[#This Row],[ID]], Table2[ID],Table2[MC3], "Not Found", 0 )</f>
        <v>0</v>
      </c>
      <c r="AB1780" s="8">
        <f>_xlfn.XLOOKUP(CustomerCombined[[#This Row],[ID]], Table2[ID],Table2[MC4], "Not Found", 0 )</f>
        <v>0</v>
      </c>
      <c r="AC1780" s="8">
        <f>_xlfn.XLOOKUP(CustomerCombined[[#This Row],[ID]], Table2[ID],Table2[MC5], "Not Found", 0 )</f>
        <v>0</v>
      </c>
    </row>
    <row r="1781" spans="1:29" x14ac:dyDescent="0.3">
      <c r="A1781" s="6">
        <v>2903</v>
      </c>
      <c r="B1781" s="6">
        <v>164849</v>
      </c>
      <c r="C1781" s="6">
        <v>0</v>
      </c>
      <c r="D1781" s="6">
        <v>0</v>
      </c>
      <c r="E1781" s="6">
        <v>63</v>
      </c>
      <c r="F1781" s="5" t="s">
        <v>7</v>
      </c>
      <c r="G1781" s="5" t="s">
        <v>11</v>
      </c>
      <c r="H1781" s="3" t="s">
        <v>362</v>
      </c>
      <c r="I1781" s="5" t="s">
        <v>434</v>
      </c>
      <c r="J1781" s="5">
        <f>_xlfn.XLOOKUP(CustomerCombined[[#This Row],[ID]], Table4[ID], Table4[Recency], "Not Found", 0)</f>
        <v>42</v>
      </c>
      <c r="K1781" s="5">
        <f>_xlfn.XLOOKUP(CustomerCombined[[#This Row],[ID]], Table4[ID], Table4[Teas], "Not Found", 0)</f>
        <v>1657</v>
      </c>
      <c r="L1781" s="5">
        <f>_xlfn.XLOOKUP(CustomerCombined[[#This Row],[ID]], Table4[ID], Table4[Fruits], "Not Found", 0)</f>
        <v>122</v>
      </c>
      <c r="M1781" s="5">
        <f>_xlfn.XLOOKUP(CustomerCombined[[#This Row],[ID]], Table4[ID], Table4[Meats], "Not Found", 0)</f>
        <v>890</v>
      </c>
      <c r="N1781" s="5">
        <f>_xlfn.XLOOKUP(CustomerCombined[[#This Row],[ID]], Table4[ID], Table4[Seafood], "Not Found", 0)</f>
        <v>239</v>
      </c>
      <c r="O1781" s="5">
        <f>_xlfn.XLOOKUP(CustomerCombined[[#This Row],[ID]], Table4[ID], Table4[Sweets], "Not Found", 0)</f>
        <v>214</v>
      </c>
      <c r="P1781" s="5">
        <f>_xlfn.XLOOKUP(CustomerCombined[[#This Row],[ID]], Table4[ID], Table4[Premium], "Not Found", 0)</f>
        <v>275</v>
      </c>
      <c r="Q1781" s="5">
        <f>_xlfn.XLOOKUP(CustomerCombined[[#This Row],[ID]], Table4[ID], Table4[Regular], "Not Found", 0)</f>
        <v>2847</v>
      </c>
      <c r="R1781" s="5">
        <f>_xlfn.XLOOKUP(CustomerCombined[[#This Row],[ID]], Table4[ID], Table4[Deals], "Not Found", 0)</f>
        <v>1</v>
      </c>
      <c r="S1781" s="5">
        <f>_xlfn.XLOOKUP(CustomerCombined[[#This Row],[ID]], Table4[ID], Table4[Website], "Not Found", 0)</f>
        <v>9</v>
      </c>
      <c r="T1781" s="5">
        <f>_xlfn.XLOOKUP(CustomerCombined[[#This Row],[ID]], Table4[ID], Table4[Catalog], "Not Found", 0)</f>
        <v>3</v>
      </c>
      <c r="U1781" s="5">
        <f>_xlfn.XLOOKUP(CustomerCombined[[#This Row],[ID]], Table4[ID], Table4[Store], "Not Found", 0)</f>
        <v>6</v>
      </c>
      <c r="V1781" s="5">
        <f>_xlfn.XLOOKUP(CustomerCombined[[#This Row],[ID]], Table4[ID], Table4[Visits], "Not Found", 0)</f>
        <v>5</v>
      </c>
      <c r="W1781" s="8">
        <f>_xlfn.XLOOKUP(CustomerCombined[[#This Row],[ID]], Table2[ID],Table2[Complaint], "Not Found", 0 )</f>
        <v>0</v>
      </c>
      <c r="X1781" s="8">
        <f>_xlfn.XLOOKUP(CustomerCombined[[#This Row],[ID]], Table2[ID],Table2[Pilot], "Not Found", 0 )</f>
        <v>1</v>
      </c>
      <c r="Y1781" s="8">
        <f>_xlfn.XLOOKUP(CustomerCombined[[#This Row],[ID]], Table2[ID],Table2[MC1], "Not Found", 0 )</f>
        <v>0</v>
      </c>
      <c r="Z1781" s="8">
        <f>_xlfn.XLOOKUP(CustomerCombined[[#This Row],[ID]], Table2[ID],Table2[MC2], "Not Found", 0 )</f>
        <v>0</v>
      </c>
      <c r="AA1781" s="8">
        <f>_xlfn.XLOOKUP(CustomerCombined[[#This Row],[ID]], Table2[ID],Table2[MC3], "Not Found", 0 )</f>
        <v>0</v>
      </c>
      <c r="AB1781" s="8">
        <f>_xlfn.XLOOKUP(CustomerCombined[[#This Row],[ID]], Table2[ID],Table2[MC4], "Not Found", 0 )</f>
        <v>0</v>
      </c>
      <c r="AC1781" s="8">
        <f>_xlfn.XLOOKUP(CustomerCombined[[#This Row],[ID]], Table2[ID],Table2[MC5], "Not Found", 0 )</f>
        <v>0</v>
      </c>
    </row>
    <row r="1782" spans="1:29" x14ac:dyDescent="0.3">
      <c r="A1782" s="6">
        <v>1310</v>
      </c>
      <c r="B1782" s="6">
        <v>162187</v>
      </c>
      <c r="C1782" s="6">
        <v>0</v>
      </c>
      <c r="D1782" s="6">
        <v>0</v>
      </c>
      <c r="E1782" s="6">
        <v>63</v>
      </c>
      <c r="F1782" s="5" t="s">
        <v>6</v>
      </c>
      <c r="G1782" s="5" t="s">
        <v>11</v>
      </c>
      <c r="H1782" s="3">
        <v>43750</v>
      </c>
      <c r="I1782" s="5" t="s">
        <v>438</v>
      </c>
      <c r="J1782" s="5">
        <f>_xlfn.XLOOKUP(CustomerCombined[[#This Row],[ID]], Table4[ID], Table4[Recency], "Not Found", 0)</f>
        <v>49</v>
      </c>
      <c r="K1782" s="5">
        <f>_xlfn.XLOOKUP(CustomerCombined[[#This Row],[ID]], Table4[ID], Table4[Teas], "Not Found", 0)</f>
        <v>2066</v>
      </c>
      <c r="L1782" s="5">
        <f>_xlfn.XLOOKUP(CustomerCombined[[#This Row],[ID]], Table4[ID], Table4[Fruits], "Not Found", 0)</f>
        <v>0</v>
      </c>
      <c r="M1782" s="5">
        <f>_xlfn.XLOOKUP(CustomerCombined[[#This Row],[ID]], Table4[ID], Table4[Meats], "Not Found", 0)</f>
        <v>717</v>
      </c>
      <c r="N1782" s="5">
        <f>_xlfn.XLOOKUP(CustomerCombined[[#This Row],[ID]], Table4[ID], Table4[Seafood], "Not Found", 0)</f>
        <v>117</v>
      </c>
      <c r="O1782" s="5">
        <f>_xlfn.XLOOKUP(CustomerCombined[[#This Row],[ID]], Table4[ID], Table4[Sweets], "Not Found", 0)</f>
        <v>117</v>
      </c>
      <c r="P1782" s="5">
        <f>_xlfn.XLOOKUP(CustomerCombined[[#This Row],[ID]], Table4[ID], Table4[Premium], "Not Found", 0)</f>
        <v>329</v>
      </c>
      <c r="Q1782" s="5">
        <f>_xlfn.XLOOKUP(CustomerCombined[[#This Row],[ID]], Table4[ID], Table4[Regular], "Not Found", 0)</f>
        <v>2689</v>
      </c>
      <c r="R1782" s="5">
        <f>_xlfn.XLOOKUP(CustomerCombined[[#This Row],[ID]], Table4[ID], Table4[Deals], "Not Found", 0)</f>
        <v>1</v>
      </c>
      <c r="S1782" s="5">
        <f>_xlfn.XLOOKUP(CustomerCombined[[#This Row],[ID]], Table4[ID], Table4[Website], "Not Found", 0)</f>
        <v>4</v>
      </c>
      <c r="T1782" s="5">
        <f>_xlfn.XLOOKUP(CustomerCombined[[#This Row],[ID]], Table4[ID], Table4[Catalog], "Not Found", 0)</f>
        <v>8</v>
      </c>
      <c r="U1782" s="5">
        <f>_xlfn.XLOOKUP(CustomerCombined[[#This Row],[ID]], Table4[ID], Table4[Store], "Not Found", 0)</f>
        <v>5</v>
      </c>
      <c r="V1782" s="5">
        <f>_xlfn.XLOOKUP(CustomerCombined[[#This Row],[ID]], Table4[ID], Table4[Visits], "Not Found", 0)</f>
        <v>3</v>
      </c>
      <c r="W1782" s="8">
        <f>_xlfn.XLOOKUP(CustomerCombined[[#This Row],[ID]], Table2[ID],Table2[Complaint], "Not Found", 0 )</f>
        <v>0</v>
      </c>
      <c r="X1782" s="8">
        <f>_xlfn.XLOOKUP(CustomerCombined[[#This Row],[ID]], Table2[ID],Table2[Pilot], "Not Found", 0 )</f>
        <v>0</v>
      </c>
      <c r="Y1782" s="8">
        <f>_xlfn.XLOOKUP(CustomerCombined[[#This Row],[ID]], Table2[ID],Table2[MC1], "Not Found", 0 )</f>
        <v>0</v>
      </c>
      <c r="Z1782" s="8">
        <f>_xlfn.XLOOKUP(CustomerCombined[[#This Row],[ID]], Table2[ID],Table2[MC2], "Not Found", 0 )</f>
        <v>0</v>
      </c>
      <c r="AA1782" s="8">
        <f>_xlfn.XLOOKUP(CustomerCombined[[#This Row],[ID]], Table2[ID],Table2[MC3], "Not Found", 0 )</f>
        <v>0</v>
      </c>
      <c r="AB1782" s="8">
        <f>_xlfn.XLOOKUP(CustomerCombined[[#This Row],[ID]], Table2[ID],Table2[MC4], "Not Found", 0 )</f>
        <v>0</v>
      </c>
      <c r="AC1782" s="8">
        <f>_xlfn.XLOOKUP(CustomerCombined[[#This Row],[ID]], Table2[ID],Table2[MC5], "Not Found", 0 )</f>
        <v>0</v>
      </c>
    </row>
    <row r="1783" spans="1:29" x14ac:dyDescent="0.3">
      <c r="A1783" s="6">
        <v>1001</v>
      </c>
      <c r="B1783" s="6">
        <v>158138</v>
      </c>
      <c r="C1783" s="6">
        <v>0</v>
      </c>
      <c r="D1783" s="6">
        <v>0</v>
      </c>
      <c r="E1783" s="6">
        <v>63</v>
      </c>
      <c r="F1783" s="5" t="s">
        <v>7</v>
      </c>
      <c r="G1783" s="5" t="s">
        <v>11</v>
      </c>
      <c r="H1783" s="3">
        <v>43710</v>
      </c>
      <c r="I1783" s="5" t="s">
        <v>434</v>
      </c>
      <c r="J1783" s="5">
        <f>_xlfn.XLOOKUP(CustomerCombined[[#This Row],[ID]], Table4[ID], Table4[Recency], "Not Found", 0)</f>
        <v>58</v>
      </c>
      <c r="K1783" s="5">
        <f>_xlfn.XLOOKUP(CustomerCombined[[#This Row],[ID]], Table4[ID], Table4[Teas], "Not Found", 0)</f>
        <v>1727</v>
      </c>
      <c r="L1783" s="5">
        <f>_xlfn.XLOOKUP(CustomerCombined[[#This Row],[ID]], Table4[ID], Table4[Fruits], "Not Found", 0)</f>
        <v>239</v>
      </c>
      <c r="M1783" s="5">
        <f>_xlfn.XLOOKUP(CustomerCombined[[#This Row],[ID]], Table4[ID], Table4[Meats], "Not Found", 0)</f>
        <v>1485</v>
      </c>
      <c r="N1783" s="5">
        <f>_xlfn.XLOOKUP(CustomerCombined[[#This Row],[ID]], Table4[ID], Table4[Seafood], "Not Found", 0)</f>
        <v>468</v>
      </c>
      <c r="O1783" s="5">
        <f>_xlfn.XLOOKUP(CustomerCombined[[#This Row],[ID]], Table4[ID], Table4[Sweets], "Not Found", 0)</f>
        <v>239</v>
      </c>
      <c r="P1783" s="5">
        <f>_xlfn.XLOOKUP(CustomerCombined[[#This Row],[ID]], Table4[ID], Table4[Premium], "Not Found", 0)</f>
        <v>239</v>
      </c>
      <c r="Q1783" s="5">
        <f>_xlfn.XLOOKUP(CustomerCombined[[#This Row],[ID]], Table4[ID], Table4[Regular], "Not Found", 0)</f>
        <v>3920</v>
      </c>
      <c r="R1783" s="5">
        <f>_xlfn.XLOOKUP(CustomerCombined[[#This Row],[ID]], Table4[ID], Table4[Deals], "Not Found", 0)</f>
        <v>3</v>
      </c>
      <c r="S1783" s="5">
        <f>_xlfn.XLOOKUP(CustomerCombined[[#This Row],[ID]], Table4[ID], Table4[Website], "Not Found", 0)</f>
        <v>8</v>
      </c>
      <c r="T1783" s="5">
        <f>_xlfn.XLOOKUP(CustomerCombined[[#This Row],[ID]], Table4[ID], Table4[Catalog], "Not Found", 0)</f>
        <v>10</v>
      </c>
      <c r="U1783" s="5">
        <f>_xlfn.XLOOKUP(CustomerCombined[[#This Row],[ID]], Table4[ID], Table4[Store], "Not Found", 0)</f>
        <v>4</v>
      </c>
      <c r="V1783" s="5">
        <f>_xlfn.XLOOKUP(CustomerCombined[[#This Row],[ID]], Table4[ID], Table4[Visits], "Not Found", 0)</f>
        <v>7</v>
      </c>
      <c r="W1783" s="8">
        <f>_xlfn.XLOOKUP(CustomerCombined[[#This Row],[ID]], Table2[ID],Table2[Complaint], "Not Found", 0 )</f>
        <v>0</v>
      </c>
      <c r="X1783" s="8">
        <f>_xlfn.XLOOKUP(CustomerCombined[[#This Row],[ID]], Table2[ID],Table2[Pilot], "Not Found", 0 )</f>
        <v>1</v>
      </c>
      <c r="Y1783" s="8">
        <f>_xlfn.XLOOKUP(CustomerCombined[[#This Row],[ID]], Table2[ID],Table2[MC1], "Not Found", 0 )</f>
        <v>0</v>
      </c>
      <c r="Z1783" s="8">
        <f>_xlfn.XLOOKUP(CustomerCombined[[#This Row],[ID]], Table2[ID],Table2[MC2], "Not Found", 0 )</f>
        <v>0</v>
      </c>
      <c r="AA1783" s="8">
        <f>_xlfn.XLOOKUP(CustomerCombined[[#This Row],[ID]], Table2[ID],Table2[MC3], "Not Found", 0 )</f>
        <v>0</v>
      </c>
      <c r="AB1783" s="8">
        <f>_xlfn.XLOOKUP(CustomerCombined[[#This Row],[ID]], Table2[ID],Table2[MC4], "Not Found", 0 )</f>
        <v>0</v>
      </c>
      <c r="AC1783" s="8">
        <f>_xlfn.XLOOKUP(CustomerCombined[[#This Row],[ID]], Table2[ID],Table2[MC5], "Not Found", 0 )</f>
        <v>0</v>
      </c>
    </row>
    <row r="1784" spans="1:29" x14ac:dyDescent="0.3">
      <c r="A1784" s="6">
        <v>1788</v>
      </c>
      <c r="B1784" s="6">
        <v>155267</v>
      </c>
      <c r="C1784" s="6">
        <v>0</v>
      </c>
      <c r="D1784" s="6">
        <v>1</v>
      </c>
      <c r="E1784" s="6">
        <v>63</v>
      </c>
      <c r="F1784" s="5" t="s">
        <v>6</v>
      </c>
      <c r="G1784" s="5" t="s">
        <v>11</v>
      </c>
      <c r="H1784" s="3" t="s">
        <v>161</v>
      </c>
      <c r="I1784" s="5" t="s">
        <v>436</v>
      </c>
      <c r="J1784" s="5">
        <f>_xlfn.XLOOKUP(CustomerCombined[[#This Row],[ID]], Table4[ID], Table4[Recency], "Not Found", 0)</f>
        <v>28</v>
      </c>
      <c r="K1784" s="5">
        <f>_xlfn.XLOOKUP(CustomerCombined[[#This Row],[ID]], Table4[ID], Table4[Teas], "Not Found", 0)</f>
        <v>452</v>
      </c>
      <c r="L1784" s="5">
        <f>_xlfn.XLOOKUP(CustomerCombined[[#This Row],[ID]], Table4[ID], Table4[Fruits], "Not Found", 0)</f>
        <v>79</v>
      </c>
      <c r="M1784" s="5">
        <f>_xlfn.XLOOKUP(CustomerCombined[[#This Row],[ID]], Table4[ID], Table4[Meats], "Not Found", 0)</f>
        <v>382</v>
      </c>
      <c r="N1784" s="5">
        <f>_xlfn.XLOOKUP(CustomerCombined[[#This Row],[ID]], Table4[ID], Table4[Seafood], "Not Found", 0)</f>
        <v>90</v>
      </c>
      <c r="O1784" s="5">
        <f>_xlfn.XLOOKUP(CustomerCombined[[#This Row],[ID]], Table4[ID], Table4[Sweets], "Not Found", 0)</f>
        <v>8</v>
      </c>
      <c r="P1784" s="5">
        <f>_xlfn.XLOOKUP(CustomerCombined[[#This Row],[ID]], Table4[ID], Table4[Premium], "Not Found", 0)</f>
        <v>126</v>
      </c>
      <c r="Q1784" s="5">
        <f>_xlfn.XLOOKUP(CustomerCombined[[#This Row],[ID]], Table4[ID], Table4[Regular], "Not Found", 0)</f>
        <v>885</v>
      </c>
      <c r="R1784" s="5">
        <f>_xlfn.XLOOKUP(CustomerCombined[[#This Row],[ID]], Table4[ID], Table4[Deals], "Not Found", 0)</f>
        <v>4</v>
      </c>
      <c r="S1784" s="5">
        <f>_xlfn.XLOOKUP(CustomerCombined[[#This Row],[ID]], Table4[ID], Table4[Website], "Not Found", 0)</f>
        <v>3</v>
      </c>
      <c r="T1784" s="5">
        <f>_xlfn.XLOOKUP(CustomerCombined[[#This Row],[ID]], Table4[ID], Table4[Catalog], "Not Found", 0)</f>
        <v>4</v>
      </c>
      <c r="U1784" s="5">
        <f>_xlfn.XLOOKUP(CustomerCombined[[#This Row],[ID]], Table4[ID], Table4[Store], "Not Found", 0)</f>
        <v>6</v>
      </c>
      <c r="V1784" s="5">
        <f>_xlfn.XLOOKUP(CustomerCombined[[#This Row],[ID]], Table4[ID], Table4[Visits], "Not Found", 0)</f>
        <v>3</v>
      </c>
      <c r="W1784" s="8">
        <f>_xlfn.XLOOKUP(CustomerCombined[[#This Row],[ID]], Table2[ID],Table2[Complaint], "Not Found", 0 )</f>
        <v>0</v>
      </c>
      <c r="X1784" s="8">
        <f>_xlfn.XLOOKUP(CustomerCombined[[#This Row],[ID]], Table2[ID],Table2[Pilot], "Not Found", 0 )</f>
        <v>0</v>
      </c>
      <c r="Y1784" s="8">
        <f>_xlfn.XLOOKUP(CustomerCombined[[#This Row],[ID]], Table2[ID],Table2[MC1], "Not Found", 0 )</f>
        <v>0</v>
      </c>
      <c r="Z1784" s="8">
        <f>_xlfn.XLOOKUP(CustomerCombined[[#This Row],[ID]], Table2[ID],Table2[MC2], "Not Found", 0 )</f>
        <v>0</v>
      </c>
      <c r="AA1784" s="8">
        <f>_xlfn.XLOOKUP(CustomerCombined[[#This Row],[ID]], Table2[ID],Table2[MC3], "Not Found", 0 )</f>
        <v>0</v>
      </c>
      <c r="AB1784" s="8">
        <f>_xlfn.XLOOKUP(CustomerCombined[[#This Row],[ID]], Table2[ID],Table2[MC4], "Not Found", 0 )</f>
        <v>0</v>
      </c>
      <c r="AC1784" s="8">
        <f>_xlfn.XLOOKUP(CustomerCombined[[#This Row],[ID]], Table2[ID],Table2[MC5], "Not Found", 0 )</f>
        <v>0</v>
      </c>
    </row>
    <row r="1785" spans="1:29" x14ac:dyDescent="0.3">
      <c r="A1785" s="6">
        <v>1940</v>
      </c>
      <c r="B1785" s="6">
        <v>154237</v>
      </c>
      <c r="C1785" s="6">
        <v>0</v>
      </c>
      <c r="D1785" s="6">
        <v>1</v>
      </c>
      <c r="E1785" s="6">
        <v>63</v>
      </c>
      <c r="F1785" s="5" t="s">
        <v>5</v>
      </c>
      <c r="G1785" s="5" t="s">
        <v>13</v>
      </c>
      <c r="H1785" s="3">
        <v>43506</v>
      </c>
      <c r="I1785" s="5" t="s">
        <v>438</v>
      </c>
      <c r="J1785" s="5">
        <f>_xlfn.XLOOKUP(CustomerCombined[[#This Row],[ID]], Table4[ID], Table4[Recency], "Not Found", 0)</f>
        <v>48</v>
      </c>
      <c r="K1785" s="5">
        <f>_xlfn.XLOOKUP(CustomerCombined[[#This Row],[ID]], Table4[ID], Table4[Teas], "Not Found", 0)</f>
        <v>759</v>
      </c>
      <c r="L1785" s="5">
        <f>_xlfn.XLOOKUP(CustomerCombined[[#This Row],[ID]], Table4[ID], Table4[Fruits], "Not Found", 0)</f>
        <v>9</v>
      </c>
      <c r="M1785" s="5">
        <f>_xlfn.XLOOKUP(CustomerCombined[[#This Row],[ID]], Table4[ID], Table4[Meats], "Not Found", 0)</f>
        <v>85</v>
      </c>
      <c r="N1785" s="5">
        <f>_xlfn.XLOOKUP(CustomerCombined[[#This Row],[ID]], Table4[ID], Table4[Seafood], "Not Found", 0)</f>
        <v>11</v>
      </c>
      <c r="O1785" s="5">
        <f>_xlfn.XLOOKUP(CustomerCombined[[#This Row],[ID]], Table4[ID], Table4[Sweets], "Not Found", 0)</f>
        <v>0</v>
      </c>
      <c r="P1785" s="5">
        <f>_xlfn.XLOOKUP(CustomerCombined[[#This Row],[ID]], Table4[ID], Table4[Premium], "Not Found", 0)</f>
        <v>162</v>
      </c>
      <c r="Q1785" s="5">
        <f>_xlfn.XLOOKUP(CustomerCombined[[#This Row],[ID]], Table4[ID], Table4[Regular], "Not Found", 0)</f>
        <v>702</v>
      </c>
      <c r="R1785" s="5">
        <f>_xlfn.XLOOKUP(CustomerCombined[[#This Row],[ID]], Table4[ID], Table4[Deals], "Not Found", 0)</f>
        <v>4</v>
      </c>
      <c r="S1785" s="5">
        <f>_xlfn.XLOOKUP(CustomerCombined[[#This Row],[ID]], Table4[ID], Table4[Website], "Not Found", 0)</f>
        <v>5</v>
      </c>
      <c r="T1785" s="5">
        <f>_xlfn.XLOOKUP(CustomerCombined[[#This Row],[ID]], Table4[ID], Table4[Catalog], "Not Found", 0)</f>
        <v>2</v>
      </c>
      <c r="U1785" s="5">
        <f>_xlfn.XLOOKUP(CustomerCombined[[#This Row],[ID]], Table4[ID], Table4[Store], "Not Found", 0)</f>
        <v>5</v>
      </c>
      <c r="V1785" s="5">
        <f>_xlfn.XLOOKUP(CustomerCombined[[#This Row],[ID]], Table4[ID], Table4[Visits], "Not Found", 0)</f>
        <v>6</v>
      </c>
      <c r="W1785" s="8">
        <f>_xlfn.XLOOKUP(CustomerCombined[[#This Row],[ID]], Table2[ID],Table2[Complaint], "Not Found", 0 )</f>
        <v>0</v>
      </c>
      <c r="X1785" s="8">
        <f>_xlfn.XLOOKUP(CustomerCombined[[#This Row],[ID]], Table2[ID],Table2[Pilot], "Not Found", 0 )</f>
        <v>0</v>
      </c>
      <c r="Y1785" s="8">
        <f>_xlfn.XLOOKUP(CustomerCombined[[#This Row],[ID]], Table2[ID],Table2[MC1], "Not Found", 0 )</f>
        <v>0</v>
      </c>
      <c r="Z1785" s="8">
        <f>_xlfn.XLOOKUP(CustomerCombined[[#This Row],[ID]], Table2[ID],Table2[MC2], "Not Found", 0 )</f>
        <v>0</v>
      </c>
      <c r="AA1785" s="8">
        <f>_xlfn.XLOOKUP(CustomerCombined[[#This Row],[ID]], Table2[ID],Table2[MC3], "Not Found", 0 )</f>
        <v>0</v>
      </c>
      <c r="AB1785" s="8">
        <f>_xlfn.XLOOKUP(CustomerCombined[[#This Row],[ID]], Table2[ID],Table2[MC4], "Not Found", 0 )</f>
        <v>0</v>
      </c>
      <c r="AC1785" s="8">
        <f>_xlfn.XLOOKUP(CustomerCombined[[#This Row],[ID]], Table2[ID],Table2[MC5], "Not Found", 0 )</f>
        <v>0</v>
      </c>
    </row>
    <row r="1786" spans="1:29" x14ac:dyDescent="0.3">
      <c r="A1786" s="6">
        <v>3152</v>
      </c>
      <c r="B1786" s="6">
        <v>153233</v>
      </c>
      <c r="C1786" s="6">
        <v>0</v>
      </c>
      <c r="D1786" s="6">
        <v>1</v>
      </c>
      <c r="E1786" s="6">
        <v>63</v>
      </c>
      <c r="F1786" s="5" t="s">
        <v>6</v>
      </c>
      <c r="G1786" s="5" t="s">
        <v>442</v>
      </c>
      <c r="H1786" s="3" t="s">
        <v>83</v>
      </c>
      <c r="I1786" s="5" t="s">
        <v>438</v>
      </c>
      <c r="J1786" s="5">
        <f>_xlfn.XLOOKUP(CustomerCombined[[#This Row],[ID]], Table4[ID], Table4[Recency], "Not Found", 0)</f>
        <v>18</v>
      </c>
      <c r="K1786" s="5">
        <f>_xlfn.XLOOKUP(CustomerCombined[[#This Row],[ID]], Table4[ID], Table4[Teas], "Not Found", 0)</f>
        <v>81</v>
      </c>
      <c r="L1786" s="5">
        <f>_xlfn.XLOOKUP(CustomerCombined[[#This Row],[ID]], Table4[ID], Table4[Fruits], "Not Found", 0)</f>
        <v>0</v>
      </c>
      <c r="M1786" s="5">
        <f>_xlfn.XLOOKUP(CustomerCombined[[#This Row],[ID]], Table4[ID], Table4[Meats], "Not Found", 0)</f>
        <v>26</v>
      </c>
      <c r="N1786" s="5">
        <f>_xlfn.XLOOKUP(CustomerCombined[[#This Row],[ID]], Table4[ID], Table4[Seafood], "Not Found", 0)</f>
        <v>9</v>
      </c>
      <c r="O1786" s="5">
        <f>_xlfn.XLOOKUP(CustomerCombined[[#This Row],[ID]], Table4[ID], Table4[Sweets], "Not Found", 0)</f>
        <v>0</v>
      </c>
      <c r="P1786" s="5">
        <f>_xlfn.XLOOKUP(CustomerCombined[[#This Row],[ID]], Table4[ID], Table4[Premium], "Not Found", 0)</f>
        <v>0</v>
      </c>
      <c r="Q1786" s="5">
        <f>_xlfn.XLOOKUP(CustomerCombined[[#This Row],[ID]], Table4[ID], Table4[Regular], "Not Found", 0)</f>
        <v>115</v>
      </c>
      <c r="R1786" s="5">
        <f>_xlfn.XLOOKUP(CustomerCombined[[#This Row],[ID]], Table4[ID], Table4[Deals], "Not Found", 0)</f>
        <v>1</v>
      </c>
      <c r="S1786" s="5">
        <f>_xlfn.XLOOKUP(CustomerCombined[[#This Row],[ID]], Table4[ID], Table4[Website], "Not Found", 0)</f>
        <v>1</v>
      </c>
      <c r="T1786" s="5">
        <f>_xlfn.XLOOKUP(CustomerCombined[[#This Row],[ID]], Table4[ID], Table4[Catalog], "Not Found", 0)</f>
        <v>0</v>
      </c>
      <c r="U1786" s="5">
        <f>_xlfn.XLOOKUP(CustomerCombined[[#This Row],[ID]], Table4[ID], Table4[Store], "Not Found", 0)</f>
        <v>3</v>
      </c>
      <c r="V1786" s="5">
        <f>_xlfn.XLOOKUP(CustomerCombined[[#This Row],[ID]], Table4[ID], Table4[Visits], "Not Found", 0)</f>
        <v>4</v>
      </c>
      <c r="W1786" s="8">
        <f>_xlfn.XLOOKUP(CustomerCombined[[#This Row],[ID]], Table2[ID],Table2[Complaint], "Not Found", 0 )</f>
        <v>0</v>
      </c>
      <c r="X1786" s="8">
        <f>_xlfn.XLOOKUP(CustomerCombined[[#This Row],[ID]], Table2[ID],Table2[Pilot], "Not Found", 0 )</f>
        <v>0</v>
      </c>
      <c r="Y1786" s="8">
        <f>_xlfn.XLOOKUP(CustomerCombined[[#This Row],[ID]], Table2[ID],Table2[MC1], "Not Found", 0 )</f>
        <v>0</v>
      </c>
      <c r="Z1786" s="8">
        <f>_xlfn.XLOOKUP(CustomerCombined[[#This Row],[ID]], Table2[ID],Table2[MC2], "Not Found", 0 )</f>
        <v>0</v>
      </c>
      <c r="AA1786" s="8">
        <f>_xlfn.XLOOKUP(CustomerCombined[[#This Row],[ID]], Table2[ID],Table2[MC3], "Not Found", 0 )</f>
        <v>0</v>
      </c>
      <c r="AB1786" s="8">
        <f>_xlfn.XLOOKUP(CustomerCombined[[#This Row],[ID]], Table2[ID],Table2[MC4], "Not Found", 0 )</f>
        <v>0</v>
      </c>
      <c r="AC1786" s="8">
        <f>_xlfn.XLOOKUP(CustomerCombined[[#This Row],[ID]], Table2[ID],Table2[MC5], "Not Found", 0 )</f>
        <v>0</v>
      </c>
    </row>
    <row r="1787" spans="1:29" x14ac:dyDescent="0.3">
      <c r="A1787" s="6">
        <v>2423</v>
      </c>
      <c r="B1787" s="6">
        <v>152852</v>
      </c>
      <c r="C1787" s="6">
        <v>0</v>
      </c>
      <c r="D1787" s="6">
        <v>1</v>
      </c>
      <c r="E1787" s="6">
        <v>63</v>
      </c>
      <c r="F1787" s="5" t="s">
        <v>6</v>
      </c>
      <c r="G1787" s="5" t="s">
        <v>11</v>
      </c>
      <c r="H1787" s="3">
        <v>43682</v>
      </c>
      <c r="I1787" s="5" t="s">
        <v>434</v>
      </c>
      <c r="J1787" s="5">
        <f>_xlfn.XLOOKUP(CustomerCombined[[#This Row],[ID]], Table4[ID], Table4[Recency], "Not Found", 0)</f>
        <v>93</v>
      </c>
      <c r="K1787" s="5">
        <f>_xlfn.XLOOKUP(CustomerCombined[[#This Row],[ID]], Table4[ID], Table4[Teas], "Not Found", 0)</f>
        <v>2065</v>
      </c>
      <c r="L1787" s="5">
        <f>_xlfn.XLOOKUP(CustomerCombined[[#This Row],[ID]], Table4[ID], Table4[Fruits], "Not Found", 0)</f>
        <v>23</v>
      </c>
      <c r="M1787" s="5">
        <f>_xlfn.XLOOKUP(CustomerCombined[[#This Row],[ID]], Table4[ID], Table4[Meats], "Not Found", 0)</f>
        <v>286</v>
      </c>
      <c r="N1787" s="5">
        <f>_xlfn.XLOOKUP(CustomerCombined[[#This Row],[ID]], Table4[ID], Table4[Seafood], "Not Found", 0)</f>
        <v>32</v>
      </c>
      <c r="O1787" s="5">
        <f>_xlfn.XLOOKUP(CustomerCombined[[#This Row],[ID]], Table4[ID], Table4[Sweets], "Not Found", 0)</f>
        <v>0</v>
      </c>
      <c r="P1787" s="5">
        <f>_xlfn.XLOOKUP(CustomerCombined[[#This Row],[ID]], Table4[ID], Table4[Premium], "Not Found", 0)</f>
        <v>136</v>
      </c>
      <c r="Q1787" s="5">
        <f>_xlfn.XLOOKUP(CustomerCombined[[#This Row],[ID]], Table4[ID], Table4[Regular], "Not Found", 0)</f>
        <v>2270</v>
      </c>
      <c r="R1787" s="5">
        <f>_xlfn.XLOOKUP(CustomerCombined[[#This Row],[ID]], Table4[ID], Table4[Deals], "Not Found", 0)</f>
        <v>4</v>
      </c>
      <c r="S1787" s="5">
        <f>_xlfn.XLOOKUP(CustomerCombined[[#This Row],[ID]], Table4[ID], Table4[Website], "Not Found", 0)</f>
        <v>10</v>
      </c>
      <c r="T1787" s="5">
        <f>_xlfn.XLOOKUP(CustomerCombined[[#This Row],[ID]], Table4[ID], Table4[Catalog], "Not Found", 0)</f>
        <v>7</v>
      </c>
      <c r="U1787" s="5">
        <f>_xlfn.XLOOKUP(CustomerCombined[[#This Row],[ID]], Table4[ID], Table4[Store], "Not Found", 0)</f>
        <v>5</v>
      </c>
      <c r="V1787" s="5">
        <f>_xlfn.XLOOKUP(CustomerCombined[[#This Row],[ID]], Table4[ID], Table4[Visits], "Not Found", 0)</f>
        <v>8</v>
      </c>
      <c r="W1787" s="8">
        <f>_xlfn.XLOOKUP(CustomerCombined[[#This Row],[ID]], Table2[ID],Table2[Complaint], "Not Found", 0 )</f>
        <v>0</v>
      </c>
      <c r="X1787" s="8">
        <f>_xlfn.XLOOKUP(CustomerCombined[[#This Row],[ID]], Table2[ID],Table2[Pilot], "Not Found", 0 )</f>
        <v>0</v>
      </c>
      <c r="Y1787" s="8">
        <f>_xlfn.XLOOKUP(CustomerCombined[[#This Row],[ID]], Table2[ID],Table2[MC1], "Not Found", 0 )</f>
        <v>0</v>
      </c>
      <c r="Z1787" s="8">
        <f>_xlfn.XLOOKUP(CustomerCombined[[#This Row],[ID]], Table2[ID],Table2[MC2], "Not Found", 0 )</f>
        <v>0</v>
      </c>
      <c r="AA1787" s="8">
        <f>_xlfn.XLOOKUP(CustomerCombined[[#This Row],[ID]], Table2[ID],Table2[MC3], "Not Found", 0 )</f>
        <v>1</v>
      </c>
      <c r="AB1787" s="8">
        <f>_xlfn.XLOOKUP(CustomerCombined[[#This Row],[ID]], Table2[ID],Table2[MC4], "Not Found", 0 )</f>
        <v>0</v>
      </c>
      <c r="AC1787" s="8">
        <f>_xlfn.XLOOKUP(CustomerCombined[[#This Row],[ID]], Table2[ID],Table2[MC5], "Not Found", 0 )</f>
        <v>0</v>
      </c>
    </row>
    <row r="1788" spans="1:29" x14ac:dyDescent="0.3">
      <c r="A1788" s="6">
        <v>1082</v>
      </c>
      <c r="B1788" s="6">
        <v>150388</v>
      </c>
      <c r="C1788" s="6">
        <v>0</v>
      </c>
      <c r="D1788" s="6">
        <v>1</v>
      </c>
      <c r="E1788" s="6">
        <v>63</v>
      </c>
      <c r="F1788" s="5" t="s">
        <v>7</v>
      </c>
      <c r="G1788" s="5" t="s">
        <v>11</v>
      </c>
      <c r="H1788" s="3">
        <v>43841</v>
      </c>
      <c r="I1788" s="5" t="s">
        <v>438</v>
      </c>
      <c r="J1788" s="5">
        <f>_xlfn.XLOOKUP(CustomerCombined[[#This Row],[ID]], Table4[ID], Table4[Recency], "Not Found", 0)</f>
        <v>3</v>
      </c>
      <c r="K1788" s="5">
        <f>_xlfn.XLOOKUP(CustomerCombined[[#This Row],[ID]], Table4[ID], Table4[Teas], "Not Found", 0)</f>
        <v>872</v>
      </c>
      <c r="L1788" s="5">
        <f>_xlfn.XLOOKUP(CustomerCombined[[#This Row],[ID]], Table4[ID], Table4[Fruits], "Not Found", 0)</f>
        <v>18</v>
      </c>
      <c r="M1788" s="5">
        <f>_xlfn.XLOOKUP(CustomerCombined[[#This Row],[ID]], Table4[ID], Table4[Meats], "Not Found", 0)</f>
        <v>110</v>
      </c>
      <c r="N1788" s="5">
        <f>_xlfn.XLOOKUP(CustomerCombined[[#This Row],[ID]], Table4[ID], Table4[Seafood], "Not Found", 0)</f>
        <v>0</v>
      </c>
      <c r="O1788" s="5">
        <f>_xlfn.XLOOKUP(CustomerCombined[[#This Row],[ID]], Table4[ID], Table4[Sweets], "Not Found", 0)</f>
        <v>9</v>
      </c>
      <c r="P1788" s="5">
        <f>_xlfn.XLOOKUP(CustomerCombined[[#This Row],[ID]], Table4[ID], Table4[Premium], "Not Found", 0)</f>
        <v>101</v>
      </c>
      <c r="Q1788" s="5">
        <f>_xlfn.XLOOKUP(CustomerCombined[[#This Row],[ID]], Table4[ID], Table4[Regular], "Not Found", 0)</f>
        <v>907</v>
      </c>
      <c r="R1788" s="5">
        <f>_xlfn.XLOOKUP(CustomerCombined[[#This Row],[ID]], Table4[ID], Table4[Deals], "Not Found", 0)</f>
        <v>4</v>
      </c>
      <c r="S1788" s="5">
        <f>_xlfn.XLOOKUP(CustomerCombined[[#This Row],[ID]], Table4[ID], Table4[Website], "Not Found", 0)</f>
        <v>6</v>
      </c>
      <c r="T1788" s="5">
        <f>_xlfn.XLOOKUP(CustomerCombined[[#This Row],[ID]], Table4[ID], Table4[Catalog], "Not Found", 0)</f>
        <v>1</v>
      </c>
      <c r="U1788" s="5">
        <f>_xlfn.XLOOKUP(CustomerCombined[[#This Row],[ID]], Table4[ID], Table4[Store], "Not Found", 0)</f>
        <v>6</v>
      </c>
      <c r="V1788" s="5">
        <f>_xlfn.XLOOKUP(CustomerCombined[[#This Row],[ID]], Table4[ID], Table4[Visits], "Not Found", 0)</f>
        <v>7</v>
      </c>
      <c r="W1788" s="8">
        <f>_xlfn.XLOOKUP(CustomerCombined[[#This Row],[ID]], Table2[ID],Table2[Complaint], "Not Found", 0 )</f>
        <v>0</v>
      </c>
      <c r="X1788" s="8">
        <f>_xlfn.XLOOKUP(CustomerCombined[[#This Row],[ID]], Table2[ID],Table2[Pilot], "Not Found", 0 )</f>
        <v>1</v>
      </c>
      <c r="Y1788" s="8">
        <f>_xlfn.XLOOKUP(CustomerCombined[[#This Row],[ID]], Table2[ID],Table2[MC1], "Not Found", 0 )</f>
        <v>1</v>
      </c>
      <c r="Z1788" s="8">
        <f>_xlfn.XLOOKUP(CustomerCombined[[#This Row],[ID]], Table2[ID],Table2[MC2], "Not Found", 0 )</f>
        <v>0</v>
      </c>
      <c r="AA1788" s="8">
        <f>_xlfn.XLOOKUP(CustomerCombined[[#This Row],[ID]], Table2[ID],Table2[MC3], "Not Found", 0 )</f>
        <v>0</v>
      </c>
      <c r="AB1788" s="8">
        <f>_xlfn.XLOOKUP(CustomerCombined[[#This Row],[ID]], Table2[ID],Table2[MC4], "Not Found", 0 )</f>
        <v>1</v>
      </c>
      <c r="AC1788" s="8">
        <f>_xlfn.XLOOKUP(CustomerCombined[[#This Row],[ID]], Table2[ID],Table2[MC5], "Not Found", 0 )</f>
        <v>0</v>
      </c>
    </row>
    <row r="1789" spans="1:29" x14ac:dyDescent="0.3">
      <c r="A1789" s="6">
        <v>3093</v>
      </c>
      <c r="B1789" s="6">
        <v>150116</v>
      </c>
      <c r="C1789" s="6">
        <v>1</v>
      </c>
      <c r="D1789" s="6">
        <v>1</v>
      </c>
      <c r="E1789" s="6">
        <v>63</v>
      </c>
      <c r="F1789" s="5" t="s">
        <v>8</v>
      </c>
      <c r="G1789" s="5" t="s">
        <v>11</v>
      </c>
      <c r="H1789" s="3" t="s">
        <v>29</v>
      </c>
      <c r="I1789" s="5" t="s">
        <v>435</v>
      </c>
      <c r="J1789" s="5">
        <f>_xlfn.XLOOKUP(CustomerCombined[[#This Row],[ID]], Table4[ID], Table4[Recency], "Not Found", 0)</f>
        <v>68</v>
      </c>
      <c r="K1789" s="5">
        <f>_xlfn.XLOOKUP(CustomerCombined[[#This Row],[ID]], Table4[ID], Table4[Teas], "Not Found", 0)</f>
        <v>162</v>
      </c>
      <c r="L1789" s="5">
        <f>_xlfn.XLOOKUP(CustomerCombined[[#This Row],[ID]], Table4[ID], Table4[Fruits], "Not Found", 0)</f>
        <v>0</v>
      </c>
      <c r="M1789" s="5">
        <f>_xlfn.XLOOKUP(CustomerCombined[[#This Row],[ID]], Table4[ID], Table4[Meats], "Not Found", 0)</f>
        <v>30</v>
      </c>
      <c r="N1789" s="5">
        <f>_xlfn.XLOOKUP(CustomerCombined[[#This Row],[ID]], Table4[ID], Table4[Seafood], "Not Found", 0)</f>
        <v>0</v>
      </c>
      <c r="O1789" s="5">
        <f>_xlfn.XLOOKUP(CustomerCombined[[#This Row],[ID]], Table4[ID], Table4[Sweets], "Not Found", 0)</f>
        <v>0</v>
      </c>
      <c r="P1789" s="5">
        <f>_xlfn.XLOOKUP(CustomerCombined[[#This Row],[ID]], Table4[ID], Table4[Premium], "Not Found", 0)</f>
        <v>6</v>
      </c>
      <c r="Q1789" s="5">
        <f>_xlfn.XLOOKUP(CustomerCombined[[#This Row],[ID]], Table4[ID], Table4[Regular], "Not Found", 0)</f>
        <v>186</v>
      </c>
      <c r="R1789" s="5">
        <f>_xlfn.XLOOKUP(CustomerCombined[[#This Row],[ID]], Table4[ID], Table4[Deals], "Not Found", 0)</f>
        <v>2</v>
      </c>
      <c r="S1789" s="5">
        <f>_xlfn.XLOOKUP(CustomerCombined[[#This Row],[ID]], Table4[ID], Table4[Website], "Not Found", 0)</f>
        <v>1</v>
      </c>
      <c r="T1789" s="5">
        <f>_xlfn.XLOOKUP(CustomerCombined[[#This Row],[ID]], Table4[ID], Table4[Catalog], "Not Found", 0)</f>
        <v>0</v>
      </c>
      <c r="U1789" s="5">
        <f>_xlfn.XLOOKUP(CustomerCombined[[#This Row],[ID]], Table4[ID], Table4[Store], "Not Found", 0)</f>
        <v>4</v>
      </c>
      <c r="V1789" s="5">
        <f>_xlfn.XLOOKUP(CustomerCombined[[#This Row],[ID]], Table4[ID], Table4[Visits], "Not Found", 0)</f>
        <v>5</v>
      </c>
      <c r="W1789" s="8">
        <f>_xlfn.XLOOKUP(CustomerCombined[[#This Row],[ID]], Table2[ID],Table2[Complaint], "Not Found", 0 )</f>
        <v>0</v>
      </c>
      <c r="X1789" s="8">
        <f>_xlfn.XLOOKUP(CustomerCombined[[#This Row],[ID]], Table2[ID],Table2[Pilot], "Not Found", 0 )</f>
        <v>0</v>
      </c>
      <c r="Y1789" s="8">
        <f>_xlfn.XLOOKUP(CustomerCombined[[#This Row],[ID]], Table2[ID],Table2[MC1], "Not Found", 0 )</f>
        <v>0</v>
      </c>
      <c r="Z1789" s="8">
        <f>_xlfn.XLOOKUP(CustomerCombined[[#This Row],[ID]], Table2[ID],Table2[MC2], "Not Found", 0 )</f>
        <v>0</v>
      </c>
      <c r="AA1789" s="8">
        <f>_xlfn.XLOOKUP(CustomerCombined[[#This Row],[ID]], Table2[ID],Table2[MC3], "Not Found", 0 )</f>
        <v>0</v>
      </c>
      <c r="AB1789" s="8">
        <f>_xlfn.XLOOKUP(CustomerCombined[[#This Row],[ID]], Table2[ID],Table2[MC4], "Not Found", 0 )</f>
        <v>1</v>
      </c>
      <c r="AC1789" s="8">
        <f>_xlfn.XLOOKUP(CustomerCombined[[#This Row],[ID]], Table2[ID],Table2[MC5], "Not Found", 0 )</f>
        <v>0</v>
      </c>
    </row>
    <row r="1790" spans="1:29" x14ac:dyDescent="0.3">
      <c r="A1790" s="6">
        <v>2812</v>
      </c>
      <c r="B1790" s="6">
        <v>147743</v>
      </c>
      <c r="C1790" s="6">
        <v>0</v>
      </c>
      <c r="D1790" s="6">
        <v>1</v>
      </c>
      <c r="E1790" s="6">
        <v>63</v>
      </c>
      <c r="F1790" s="5" t="s">
        <v>6</v>
      </c>
      <c r="G1790" s="5" t="s">
        <v>11</v>
      </c>
      <c r="H1790" s="3" t="s">
        <v>286</v>
      </c>
      <c r="I1790" s="5" t="s">
        <v>439</v>
      </c>
      <c r="J1790" s="5">
        <f>_xlfn.XLOOKUP(CustomerCombined[[#This Row],[ID]], Table4[ID], Table4[Recency], "Not Found", 0)</f>
        <v>56</v>
      </c>
      <c r="K1790" s="5">
        <f>_xlfn.XLOOKUP(CustomerCombined[[#This Row],[ID]], Table4[ID], Table4[Teas], "Not Found", 0)</f>
        <v>613</v>
      </c>
      <c r="L1790" s="5">
        <f>_xlfn.XLOOKUP(CustomerCombined[[#This Row],[ID]], Table4[ID], Table4[Fruits], "Not Found", 0)</f>
        <v>6</v>
      </c>
      <c r="M1790" s="5">
        <f>_xlfn.XLOOKUP(CustomerCombined[[#This Row],[ID]], Table4[ID], Table4[Meats], "Not Found", 0)</f>
        <v>133</v>
      </c>
      <c r="N1790" s="5">
        <f>_xlfn.XLOOKUP(CustomerCombined[[#This Row],[ID]], Table4[ID], Table4[Seafood], "Not Found", 0)</f>
        <v>0</v>
      </c>
      <c r="O1790" s="5">
        <f>_xlfn.XLOOKUP(CustomerCombined[[#This Row],[ID]], Table4[ID], Table4[Sweets], "Not Found", 0)</f>
        <v>37</v>
      </c>
      <c r="P1790" s="5">
        <f>_xlfn.XLOOKUP(CustomerCombined[[#This Row],[ID]], Table4[ID], Table4[Premium], "Not Found", 0)</f>
        <v>62</v>
      </c>
      <c r="Q1790" s="5">
        <f>_xlfn.XLOOKUP(CustomerCombined[[#This Row],[ID]], Table4[ID], Table4[Regular], "Not Found", 0)</f>
        <v>727</v>
      </c>
      <c r="R1790" s="5">
        <f>_xlfn.XLOOKUP(CustomerCombined[[#This Row],[ID]], Table4[ID], Table4[Deals], "Not Found", 0)</f>
        <v>3</v>
      </c>
      <c r="S1790" s="5">
        <f>_xlfn.XLOOKUP(CustomerCombined[[#This Row],[ID]], Table4[ID], Table4[Website], "Not Found", 0)</f>
        <v>4</v>
      </c>
      <c r="T1790" s="5">
        <f>_xlfn.XLOOKUP(CustomerCombined[[#This Row],[ID]], Table4[ID], Table4[Catalog], "Not Found", 0)</f>
        <v>1</v>
      </c>
      <c r="U1790" s="5">
        <f>_xlfn.XLOOKUP(CustomerCombined[[#This Row],[ID]], Table4[ID], Table4[Store], "Not Found", 0)</f>
        <v>6</v>
      </c>
      <c r="V1790" s="5">
        <f>_xlfn.XLOOKUP(CustomerCombined[[#This Row],[ID]], Table4[ID], Table4[Visits], "Not Found", 0)</f>
        <v>6</v>
      </c>
      <c r="W1790" s="8">
        <f>_xlfn.XLOOKUP(CustomerCombined[[#This Row],[ID]], Table2[ID],Table2[Complaint], "Not Found", 0 )</f>
        <v>0</v>
      </c>
      <c r="X1790" s="8">
        <f>_xlfn.XLOOKUP(CustomerCombined[[#This Row],[ID]], Table2[ID],Table2[Pilot], "Not Found", 0 )</f>
        <v>0</v>
      </c>
      <c r="Y1790" s="8">
        <f>_xlfn.XLOOKUP(CustomerCombined[[#This Row],[ID]], Table2[ID],Table2[MC1], "Not Found", 0 )</f>
        <v>0</v>
      </c>
      <c r="Z1790" s="8">
        <f>_xlfn.XLOOKUP(CustomerCombined[[#This Row],[ID]], Table2[ID],Table2[MC2], "Not Found", 0 )</f>
        <v>0</v>
      </c>
      <c r="AA1790" s="8">
        <f>_xlfn.XLOOKUP(CustomerCombined[[#This Row],[ID]], Table2[ID],Table2[MC3], "Not Found", 0 )</f>
        <v>0</v>
      </c>
      <c r="AB1790" s="8">
        <f>_xlfn.XLOOKUP(CustomerCombined[[#This Row],[ID]], Table2[ID],Table2[MC4], "Not Found", 0 )</f>
        <v>1</v>
      </c>
      <c r="AC1790" s="8">
        <f>_xlfn.XLOOKUP(CustomerCombined[[#This Row],[ID]], Table2[ID],Table2[MC5], "Not Found", 0 )</f>
        <v>0</v>
      </c>
    </row>
    <row r="1791" spans="1:29" x14ac:dyDescent="0.3">
      <c r="A1791" s="6">
        <v>3130</v>
      </c>
      <c r="B1791" s="6">
        <v>147320</v>
      </c>
      <c r="C1791" s="6">
        <v>0</v>
      </c>
      <c r="D1791" s="6">
        <v>1</v>
      </c>
      <c r="E1791" s="6">
        <v>63</v>
      </c>
      <c r="F1791" s="5" t="s">
        <v>8</v>
      </c>
      <c r="G1791" s="5" t="s">
        <v>11</v>
      </c>
      <c r="H1791" s="3">
        <v>43983</v>
      </c>
      <c r="I1791" s="5" t="s">
        <v>439</v>
      </c>
      <c r="J1791" s="5">
        <f>_xlfn.XLOOKUP(CustomerCombined[[#This Row],[ID]], Table4[ID], Table4[Recency], "Not Found", 0)</f>
        <v>10</v>
      </c>
      <c r="K1791" s="5">
        <f>_xlfn.XLOOKUP(CustomerCombined[[#This Row],[ID]], Table4[ID], Table4[Teas], "Not Found", 0)</f>
        <v>623</v>
      </c>
      <c r="L1791" s="5">
        <f>_xlfn.XLOOKUP(CustomerCombined[[#This Row],[ID]], Table4[ID], Table4[Fruits], "Not Found", 0)</f>
        <v>59</v>
      </c>
      <c r="M1791" s="5">
        <f>_xlfn.XLOOKUP(CustomerCombined[[#This Row],[ID]], Table4[ID], Table4[Meats], "Not Found", 0)</f>
        <v>346</v>
      </c>
      <c r="N1791" s="5">
        <f>_xlfn.XLOOKUP(CustomerCombined[[#This Row],[ID]], Table4[ID], Table4[Seafood], "Not Found", 0)</f>
        <v>156</v>
      </c>
      <c r="O1791" s="5">
        <f>_xlfn.XLOOKUP(CustomerCombined[[#This Row],[ID]], Table4[ID], Table4[Sweets], "Not Found", 0)</f>
        <v>47</v>
      </c>
      <c r="P1791" s="5">
        <f>_xlfn.XLOOKUP(CustomerCombined[[#This Row],[ID]], Table4[ID], Table4[Premium], "Not Found", 0)</f>
        <v>59</v>
      </c>
      <c r="Q1791" s="5">
        <f>_xlfn.XLOOKUP(CustomerCombined[[#This Row],[ID]], Table4[ID], Table4[Regular], "Not Found", 0)</f>
        <v>1171</v>
      </c>
      <c r="R1791" s="5">
        <f>_xlfn.XLOOKUP(CustomerCombined[[#This Row],[ID]], Table4[ID], Table4[Deals], "Not Found", 0)</f>
        <v>6</v>
      </c>
      <c r="S1791" s="5">
        <f>_xlfn.XLOOKUP(CustomerCombined[[#This Row],[ID]], Table4[ID], Table4[Website], "Not Found", 0)</f>
        <v>5</v>
      </c>
      <c r="T1791" s="5">
        <f>_xlfn.XLOOKUP(CustomerCombined[[#This Row],[ID]], Table4[ID], Table4[Catalog], "Not Found", 0)</f>
        <v>1</v>
      </c>
      <c r="U1791" s="5">
        <f>_xlfn.XLOOKUP(CustomerCombined[[#This Row],[ID]], Table4[ID], Table4[Store], "Not Found", 0)</f>
        <v>8</v>
      </c>
      <c r="V1791" s="5">
        <f>_xlfn.XLOOKUP(CustomerCombined[[#This Row],[ID]], Table4[ID], Table4[Visits], "Not Found", 0)</f>
        <v>6</v>
      </c>
      <c r="W1791" s="8">
        <f>_xlfn.XLOOKUP(CustomerCombined[[#This Row],[ID]], Table2[ID],Table2[Complaint], "Not Found", 0 )</f>
        <v>0</v>
      </c>
      <c r="X1791" s="8">
        <f>_xlfn.XLOOKUP(CustomerCombined[[#This Row],[ID]], Table2[ID],Table2[Pilot], "Not Found", 0 )</f>
        <v>0</v>
      </c>
      <c r="Y1791" s="8">
        <f>_xlfn.XLOOKUP(CustomerCombined[[#This Row],[ID]], Table2[ID],Table2[MC1], "Not Found", 0 )</f>
        <v>0</v>
      </c>
      <c r="Z1791" s="8">
        <f>_xlfn.XLOOKUP(CustomerCombined[[#This Row],[ID]], Table2[ID],Table2[MC2], "Not Found", 0 )</f>
        <v>0</v>
      </c>
      <c r="AA1791" s="8">
        <f>_xlfn.XLOOKUP(CustomerCombined[[#This Row],[ID]], Table2[ID],Table2[MC3], "Not Found", 0 )</f>
        <v>0</v>
      </c>
      <c r="AB1791" s="8">
        <f>_xlfn.XLOOKUP(CustomerCombined[[#This Row],[ID]], Table2[ID],Table2[MC4], "Not Found", 0 )</f>
        <v>0</v>
      </c>
      <c r="AC1791" s="8">
        <f>_xlfn.XLOOKUP(CustomerCombined[[#This Row],[ID]], Table2[ID],Table2[MC5], "Not Found", 0 )</f>
        <v>0</v>
      </c>
    </row>
    <row r="1792" spans="1:29" x14ac:dyDescent="0.3">
      <c r="A1792" s="6">
        <v>2861</v>
      </c>
      <c r="B1792" s="6">
        <v>144155</v>
      </c>
      <c r="C1792" s="6">
        <v>1</v>
      </c>
      <c r="D1792" s="6">
        <v>1</v>
      </c>
      <c r="E1792" s="6">
        <v>63</v>
      </c>
      <c r="F1792" s="5" t="s">
        <v>6</v>
      </c>
      <c r="G1792" s="5" t="s">
        <v>13</v>
      </c>
      <c r="H1792" s="3" t="s">
        <v>112</v>
      </c>
      <c r="I1792" s="5" t="s">
        <v>434</v>
      </c>
      <c r="J1792" s="5">
        <f>_xlfn.XLOOKUP(CustomerCombined[[#This Row],[ID]], Table4[ID], Table4[Recency], "Not Found", 0)</f>
        <v>24</v>
      </c>
      <c r="K1792" s="5">
        <f>_xlfn.XLOOKUP(CustomerCombined[[#This Row],[ID]], Table4[ID], Table4[Teas], "Not Found", 0)</f>
        <v>72</v>
      </c>
      <c r="L1792" s="5">
        <f>_xlfn.XLOOKUP(CustomerCombined[[#This Row],[ID]], Table4[ID], Table4[Fruits], "Not Found", 0)</f>
        <v>3</v>
      </c>
      <c r="M1792" s="5">
        <f>_xlfn.XLOOKUP(CustomerCombined[[#This Row],[ID]], Table4[ID], Table4[Meats], "Not Found", 0)</f>
        <v>29</v>
      </c>
      <c r="N1792" s="5">
        <f>_xlfn.XLOOKUP(CustomerCombined[[#This Row],[ID]], Table4[ID], Table4[Seafood], "Not Found", 0)</f>
        <v>0</v>
      </c>
      <c r="O1792" s="5">
        <f>_xlfn.XLOOKUP(CustomerCombined[[#This Row],[ID]], Table4[ID], Table4[Sweets], "Not Found", 0)</f>
        <v>0</v>
      </c>
      <c r="P1792" s="5">
        <f>_xlfn.XLOOKUP(CustomerCombined[[#This Row],[ID]], Table4[ID], Table4[Premium], "Not Found", 0)</f>
        <v>46</v>
      </c>
      <c r="Q1792" s="5">
        <f>_xlfn.XLOOKUP(CustomerCombined[[#This Row],[ID]], Table4[ID], Table4[Regular], "Not Found", 0)</f>
        <v>59</v>
      </c>
      <c r="R1792" s="5">
        <f>_xlfn.XLOOKUP(CustomerCombined[[#This Row],[ID]], Table4[ID], Table4[Deals], "Not Found", 0)</f>
        <v>1</v>
      </c>
      <c r="S1792" s="5">
        <f>_xlfn.XLOOKUP(CustomerCombined[[#This Row],[ID]], Table4[ID], Table4[Website], "Not Found", 0)</f>
        <v>1</v>
      </c>
      <c r="T1792" s="5">
        <f>_xlfn.XLOOKUP(CustomerCombined[[#This Row],[ID]], Table4[ID], Table4[Catalog], "Not Found", 0)</f>
        <v>1</v>
      </c>
      <c r="U1792" s="5">
        <f>_xlfn.XLOOKUP(CustomerCombined[[#This Row],[ID]], Table4[ID], Table4[Store], "Not Found", 0)</f>
        <v>2</v>
      </c>
      <c r="V1792" s="5">
        <f>_xlfn.XLOOKUP(CustomerCombined[[#This Row],[ID]], Table4[ID], Table4[Visits], "Not Found", 0)</f>
        <v>4</v>
      </c>
      <c r="W1792" s="8">
        <f>_xlfn.XLOOKUP(CustomerCombined[[#This Row],[ID]], Table2[ID],Table2[Complaint], "Not Found", 0 )</f>
        <v>0</v>
      </c>
      <c r="X1792" s="8">
        <f>_xlfn.XLOOKUP(CustomerCombined[[#This Row],[ID]], Table2[ID],Table2[Pilot], "Not Found", 0 )</f>
        <v>0</v>
      </c>
      <c r="Y1792" s="8">
        <f>_xlfn.XLOOKUP(CustomerCombined[[#This Row],[ID]], Table2[ID],Table2[MC1], "Not Found", 0 )</f>
        <v>0</v>
      </c>
      <c r="Z1792" s="8">
        <f>_xlfn.XLOOKUP(CustomerCombined[[#This Row],[ID]], Table2[ID],Table2[MC2], "Not Found", 0 )</f>
        <v>0</v>
      </c>
      <c r="AA1792" s="8">
        <f>_xlfn.XLOOKUP(CustomerCombined[[#This Row],[ID]], Table2[ID],Table2[MC3], "Not Found", 0 )</f>
        <v>0</v>
      </c>
      <c r="AB1792" s="8">
        <f>_xlfn.XLOOKUP(CustomerCombined[[#This Row],[ID]], Table2[ID],Table2[MC4], "Not Found", 0 )</f>
        <v>0</v>
      </c>
      <c r="AC1792" s="8">
        <f>_xlfn.XLOOKUP(CustomerCombined[[#This Row],[ID]], Table2[ID],Table2[MC5], "Not Found", 0 )</f>
        <v>0</v>
      </c>
    </row>
    <row r="1793" spans="1:29" x14ac:dyDescent="0.3">
      <c r="A1793" s="6">
        <v>2162</v>
      </c>
      <c r="B1793" s="6">
        <v>143140</v>
      </c>
      <c r="C1793" s="6">
        <v>0</v>
      </c>
      <c r="D1793" s="6">
        <v>1</v>
      </c>
      <c r="E1793" s="6">
        <v>63</v>
      </c>
      <c r="F1793" s="5" t="s">
        <v>6</v>
      </c>
      <c r="G1793" s="5" t="s">
        <v>11</v>
      </c>
      <c r="H1793" s="3">
        <v>43805</v>
      </c>
      <c r="I1793" s="5" t="s">
        <v>438</v>
      </c>
      <c r="J1793" s="5">
        <f>_xlfn.XLOOKUP(CustomerCombined[[#This Row],[ID]], Table4[ID], Table4[Recency], "Not Found", 0)</f>
        <v>68</v>
      </c>
      <c r="K1793" s="5">
        <f>_xlfn.XLOOKUP(CustomerCombined[[#This Row],[ID]], Table4[ID], Table4[Teas], "Not Found", 0)</f>
        <v>445</v>
      </c>
      <c r="L1793" s="5">
        <f>_xlfn.XLOOKUP(CustomerCombined[[#This Row],[ID]], Table4[ID], Table4[Fruits], "Not Found", 0)</f>
        <v>27</v>
      </c>
      <c r="M1793" s="5">
        <f>_xlfn.XLOOKUP(CustomerCombined[[#This Row],[ID]], Table4[ID], Table4[Meats], "Not Found", 0)</f>
        <v>252</v>
      </c>
      <c r="N1793" s="5">
        <f>_xlfn.XLOOKUP(CustomerCombined[[#This Row],[ID]], Table4[ID], Table4[Seafood], "Not Found", 0)</f>
        <v>20</v>
      </c>
      <c r="O1793" s="5">
        <f>_xlfn.XLOOKUP(CustomerCombined[[#This Row],[ID]], Table4[ID], Table4[Sweets], "Not Found", 0)</f>
        <v>0</v>
      </c>
      <c r="P1793" s="5">
        <f>_xlfn.XLOOKUP(CustomerCombined[[#This Row],[ID]], Table4[ID], Table4[Premium], "Not Found", 0)</f>
        <v>36</v>
      </c>
      <c r="Q1793" s="5">
        <f>_xlfn.XLOOKUP(CustomerCombined[[#This Row],[ID]], Table4[ID], Table4[Regular], "Not Found", 0)</f>
        <v>707</v>
      </c>
      <c r="R1793" s="5">
        <f>_xlfn.XLOOKUP(CustomerCombined[[#This Row],[ID]], Table4[ID], Table4[Deals], "Not Found", 0)</f>
        <v>1</v>
      </c>
      <c r="S1793" s="5">
        <f>_xlfn.XLOOKUP(CustomerCombined[[#This Row],[ID]], Table4[ID], Table4[Website], "Not Found", 0)</f>
        <v>4</v>
      </c>
      <c r="T1793" s="5">
        <f>_xlfn.XLOOKUP(CustomerCombined[[#This Row],[ID]], Table4[ID], Table4[Catalog], "Not Found", 0)</f>
        <v>1</v>
      </c>
      <c r="U1793" s="5">
        <f>_xlfn.XLOOKUP(CustomerCombined[[#This Row],[ID]], Table4[ID], Table4[Store], "Not Found", 0)</f>
        <v>5</v>
      </c>
      <c r="V1793" s="5">
        <f>_xlfn.XLOOKUP(CustomerCombined[[#This Row],[ID]], Table4[ID], Table4[Visits], "Not Found", 0)</f>
        <v>6</v>
      </c>
      <c r="W1793" s="8">
        <f>_xlfn.XLOOKUP(CustomerCombined[[#This Row],[ID]], Table2[ID],Table2[Complaint], "Not Found", 0 )</f>
        <v>0</v>
      </c>
      <c r="X1793" s="8">
        <f>_xlfn.XLOOKUP(CustomerCombined[[#This Row],[ID]], Table2[ID],Table2[Pilot], "Not Found", 0 )</f>
        <v>0</v>
      </c>
      <c r="Y1793" s="8">
        <f>_xlfn.XLOOKUP(CustomerCombined[[#This Row],[ID]], Table2[ID],Table2[MC1], "Not Found", 0 )</f>
        <v>0</v>
      </c>
      <c r="Z1793" s="8">
        <f>_xlfn.XLOOKUP(CustomerCombined[[#This Row],[ID]], Table2[ID],Table2[MC2], "Not Found", 0 )</f>
        <v>0</v>
      </c>
      <c r="AA1793" s="8">
        <f>_xlfn.XLOOKUP(CustomerCombined[[#This Row],[ID]], Table2[ID],Table2[MC3], "Not Found", 0 )</f>
        <v>0</v>
      </c>
      <c r="AB1793" s="8">
        <f>_xlfn.XLOOKUP(CustomerCombined[[#This Row],[ID]], Table2[ID],Table2[MC4], "Not Found", 0 )</f>
        <v>0</v>
      </c>
      <c r="AC1793" s="8">
        <f>_xlfn.XLOOKUP(CustomerCombined[[#This Row],[ID]], Table2[ID],Table2[MC5], "Not Found", 0 )</f>
        <v>0</v>
      </c>
    </row>
    <row r="1794" spans="1:29" x14ac:dyDescent="0.3">
      <c r="A1794" s="6">
        <v>2191</v>
      </c>
      <c r="B1794" s="6">
        <v>142213</v>
      </c>
      <c r="C1794" s="6">
        <v>0</v>
      </c>
      <c r="D1794" s="6">
        <v>1</v>
      </c>
      <c r="E1794" s="6">
        <v>63</v>
      </c>
      <c r="F1794" s="5" t="s">
        <v>8</v>
      </c>
      <c r="G1794" s="5" t="s">
        <v>11</v>
      </c>
      <c r="H1794" s="3" t="s">
        <v>170</v>
      </c>
      <c r="I1794" s="5" t="s">
        <v>437</v>
      </c>
      <c r="J1794" s="5">
        <f>_xlfn.XLOOKUP(CustomerCombined[[#This Row],[ID]], Table4[ID], Table4[Recency], "Not Found", 0)</f>
        <v>96</v>
      </c>
      <c r="K1794" s="5">
        <f>_xlfn.XLOOKUP(CustomerCombined[[#This Row],[ID]], Table4[ID], Table4[Teas], "Not Found", 0)</f>
        <v>1041</v>
      </c>
      <c r="L1794" s="5">
        <f>_xlfn.XLOOKUP(CustomerCombined[[#This Row],[ID]], Table4[ID], Table4[Fruits], "Not Found", 0)</f>
        <v>10</v>
      </c>
      <c r="M1794" s="5">
        <f>_xlfn.XLOOKUP(CustomerCombined[[#This Row],[ID]], Table4[ID], Table4[Meats], "Not Found", 0)</f>
        <v>81</v>
      </c>
      <c r="N1794" s="5">
        <f>_xlfn.XLOOKUP(CustomerCombined[[#This Row],[ID]], Table4[ID], Table4[Seafood], "Not Found", 0)</f>
        <v>13</v>
      </c>
      <c r="O1794" s="5">
        <f>_xlfn.XLOOKUP(CustomerCombined[[#This Row],[ID]], Table4[ID], Table4[Sweets], "Not Found", 0)</f>
        <v>10</v>
      </c>
      <c r="P1794" s="5">
        <f>_xlfn.XLOOKUP(CustomerCombined[[#This Row],[ID]], Table4[ID], Table4[Premium], "Not Found", 0)</f>
        <v>67</v>
      </c>
      <c r="Q1794" s="5">
        <f>_xlfn.XLOOKUP(CustomerCombined[[#This Row],[ID]], Table4[ID], Table4[Regular], "Not Found", 0)</f>
        <v>1088</v>
      </c>
      <c r="R1794" s="5">
        <f>_xlfn.XLOOKUP(CustomerCombined[[#This Row],[ID]], Table4[ID], Table4[Deals], "Not Found", 0)</f>
        <v>2</v>
      </c>
      <c r="S1794" s="5">
        <f>_xlfn.XLOOKUP(CustomerCombined[[#This Row],[ID]], Table4[ID], Table4[Website], "Not Found", 0)</f>
        <v>5</v>
      </c>
      <c r="T1794" s="5">
        <f>_xlfn.XLOOKUP(CustomerCombined[[#This Row],[ID]], Table4[ID], Table4[Catalog], "Not Found", 0)</f>
        <v>1</v>
      </c>
      <c r="U1794" s="5">
        <f>_xlfn.XLOOKUP(CustomerCombined[[#This Row],[ID]], Table4[ID], Table4[Store], "Not Found", 0)</f>
        <v>7</v>
      </c>
      <c r="V1794" s="5">
        <f>_xlfn.XLOOKUP(CustomerCombined[[#This Row],[ID]], Table4[ID], Table4[Visits], "Not Found", 0)</f>
        <v>7</v>
      </c>
      <c r="W1794" s="8">
        <f>_xlfn.XLOOKUP(CustomerCombined[[#This Row],[ID]], Table2[ID],Table2[Complaint], "Not Found", 0 )</f>
        <v>0</v>
      </c>
      <c r="X1794" s="8">
        <f>_xlfn.XLOOKUP(CustomerCombined[[#This Row],[ID]], Table2[ID],Table2[Pilot], "Not Found", 0 )</f>
        <v>0</v>
      </c>
      <c r="Y1794" s="8">
        <f>_xlfn.XLOOKUP(CustomerCombined[[#This Row],[ID]], Table2[ID],Table2[MC1], "Not Found", 0 )</f>
        <v>0</v>
      </c>
      <c r="Z1794" s="8">
        <f>_xlfn.XLOOKUP(CustomerCombined[[#This Row],[ID]], Table2[ID],Table2[MC2], "Not Found", 0 )</f>
        <v>0</v>
      </c>
      <c r="AA1794" s="8">
        <f>_xlfn.XLOOKUP(CustomerCombined[[#This Row],[ID]], Table2[ID],Table2[MC3], "Not Found", 0 )</f>
        <v>0</v>
      </c>
      <c r="AB1794" s="8">
        <f>_xlfn.XLOOKUP(CustomerCombined[[#This Row],[ID]], Table2[ID],Table2[MC4], "Not Found", 0 )</f>
        <v>1</v>
      </c>
      <c r="AC1794" s="8">
        <f>_xlfn.XLOOKUP(CustomerCombined[[#This Row],[ID]], Table2[ID],Table2[MC5], "Not Found", 0 )</f>
        <v>0</v>
      </c>
    </row>
    <row r="1795" spans="1:29" x14ac:dyDescent="0.3">
      <c r="A1795" s="6">
        <v>2673</v>
      </c>
      <c r="B1795" s="6">
        <v>141437</v>
      </c>
      <c r="C1795" s="6">
        <v>1</v>
      </c>
      <c r="D1795" s="6">
        <v>1</v>
      </c>
      <c r="E1795" s="6">
        <v>63</v>
      </c>
      <c r="F1795" s="5" t="s">
        <v>5</v>
      </c>
      <c r="G1795" s="5" t="s">
        <v>13</v>
      </c>
      <c r="H1795" s="3" t="s">
        <v>389</v>
      </c>
      <c r="I1795" s="5" t="s">
        <v>435</v>
      </c>
      <c r="J1795" s="5">
        <f>_xlfn.XLOOKUP(CustomerCombined[[#This Row],[ID]], Table4[ID], Table4[Recency], "Not Found", 0)</f>
        <v>5</v>
      </c>
      <c r="K1795" s="5">
        <f>_xlfn.XLOOKUP(CustomerCombined[[#This Row],[ID]], Table4[ID], Table4[Teas], "Not Found", 0)</f>
        <v>99</v>
      </c>
      <c r="L1795" s="5">
        <f>_xlfn.XLOOKUP(CustomerCombined[[#This Row],[ID]], Table4[ID], Table4[Fruits], "Not Found", 0)</f>
        <v>0</v>
      </c>
      <c r="M1795" s="5">
        <f>_xlfn.XLOOKUP(CustomerCombined[[#This Row],[ID]], Table4[ID], Table4[Meats], "Not Found", 0)</f>
        <v>7</v>
      </c>
      <c r="N1795" s="5">
        <f>_xlfn.XLOOKUP(CustomerCombined[[#This Row],[ID]], Table4[ID], Table4[Seafood], "Not Found", 0)</f>
        <v>0</v>
      </c>
      <c r="O1795" s="5">
        <f>_xlfn.XLOOKUP(CustomerCombined[[#This Row],[ID]], Table4[ID], Table4[Sweets], "Not Found", 0)</f>
        <v>0</v>
      </c>
      <c r="P1795" s="5">
        <f>_xlfn.XLOOKUP(CustomerCombined[[#This Row],[ID]], Table4[ID], Table4[Premium], "Not Found", 0)</f>
        <v>3</v>
      </c>
      <c r="Q1795" s="5">
        <f>_xlfn.XLOOKUP(CustomerCombined[[#This Row],[ID]], Table4[ID], Table4[Regular], "Not Found", 0)</f>
        <v>102</v>
      </c>
      <c r="R1795" s="5">
        <f>_xlfn.XLOOKUP(CustomerCombined[[#This Row],[ID]], Table4[ID], Table4[Deals], "Not Found", 0)</f>
        <v>1</v>
      </c>
      <c r="S1795" s="5">
        <f>_xlfn.XLOOKUP(CustomerCombined[[#This Row],[ID]], Table4[ID], Table4[Website], "Not Found", 0)</f>
        <v>1</v>
      </c>
      <c r="T1795" s="5">
        <f>_xlfn.XLOOKUP(CustomerCombined[[#This Row],[ID]], Table4[ID], Table4[Catalog], "Not Found", 0)</f>
        <v>0</v>
      </c>
      <c r="U1795" s="5">
        <f>_xlfn.XLOOKUP(CustomerCombined[[#This Row],[ID]], Table4[ID], Table4[Store], "Not Found", 0)</f>
        <v>3</v>
      </c>
      <c r="V1795" s="5">
        <f>_xlfn.XLOOKUP(CustomerCombined[[#This Row],[ID]], Table4[ID], Table4[Visits], "Not Found", 0)</f>
        <v>7</v>
      </c>
      <c r="W1795" s="8">
        <f>_xlfn.XLOOKUP(CustomerCombined[[#This Row],[ID]], Table2[ID],Table2[Complaint], "Not Found", 0 )</f>
        <v>0</v>
      </c>
      <c r="X1795" s="8">
        <f>_xlfn.XLOOKUP(CustomerCombined[[#This Row],[ID]], Table2[ID],Table2[Pilot], "Not Found", 0 )</f>
        <v>0</v>
      </c>
      <c r="Y1795" s="8">
        <f>_xlfn.XLOOKUP(CustomerCombined[[#This Row],[ID]], Table2[ID],Table2[MC1], "Not Found", 0 )</f>
        <v>0</v>
      </c>
      <c r="Z1795" s="8">
        <f>_xlfn.XLOOKUP(CustomerCombined[[#This Row],[ID]], Table2[ID],Table2[MC2], "Not Found", 0 )</f>
        <v>0</v>
      </c>
      <c r="AA1795" s="8">
        <f>_xlfn.XLOOKUP(CustomerCombined[[#This Row],[ID]], Table2[ID],Table2[MC3], "Not Found", 0 )</f>
        <v>0</v>
      </c>
      <c r="AB1795" s="8">
        <f>_xlfn.XLOOKUP(CustomerCombined[[#This Row],[ID]], Table2[ID],Table2[MC4], "Not Found", 0 )</f>
        <v>0</v>
      </c>
      <c r="AC1795" s="8">
        <f>_xlfn.XLOOKUP(CustomerCombined[[#This Row],[ID]], Table2[ID],Table2[MC5], "Not Found", 0 )</f>
        <v>0</v>
      </c>
    </row>
    <row r="1796" spans="1:29" x14ac:dyDescent="0.3">
      <c r="A1796" s="6">
        <v>1246</v>
      </c>
      <c r="B1796" s="6">
        <v>140737</v>
      </c>
      <c r="C1796" s="6">
        <v>2</v>
      </c>
      <c r="D1796" s="6">
        <v>1</v>
      </c>
      <c r="E1796" s="6">
        <v>63</v>
      </c>
      <c r="F1796" s="5" t="s">
        <v>7</v>
      </c>
      <c r="G1796" s="5" t="s">
        <v>13</v>
      </c>
      <c r="H1796" s="3" t="s">
        <v>140</v>
      </c>
      <c r="I1796" s="5" t="s">
        <v>439</v>
      </c>
      <c r="J1796" s="5">
        <f>_xlfn.XLOOKUP(CustomerCombined[[#This Row],[ID]], Table4[ID], Table4[Recency], "Not Found", 0)</f>
        <v>24</v>
      </c>
      <c r="K1796" s="5">
        <f>_xlfn.XLOOKUP(CustomerCombined[[#This Row],[ID]], Table4[ID], Table4[Teas], "Not Found", 0)</f>
        <v>38</v>
      </c>
      <c r="L1796" s="5">
        <f>_xlfn.XLOOKUP(CustomerCombined[[#This Row],[ID]], Table4[ID], Table4[Fruits], "Not Found", 0)</f>
        <v>0</v>
      </c>
      <c r="M1796" s="5">
        <f>_xlfn.XLOOKUP(CustomerCombined[[#This Row],[ID]], Table4[ID], Table4[Meats], "Not Found", 0)</f>
        <v>14</v>
      </c>
      <c r="N1796" s="5">
        <f>_xlfn.XLOOKUP(CustomerCombined[[#This Row],[ID]], Table4[ID], Table4[Seafood], "Not Found", 0)</f>
        <v>0</v>
      </c>
      <c r="O1796" s="5">
        <f>_xlfn.XLOOKUP(CustomerCombined[[#This Row],[ID]], Table4[ID], Table4[Sweets], "Not Found", 0)</f>
        <v>0</v>
      </c>
      <c r="P1796" s="5">
        <f>_xlfn.XLOOKUP(CustomerCombined[[#This Row],[ID]], Table4[ID], Table4[Premium], "Not Found", 0)</f>
        <v>7</v>
      </c>
      <c r="Q1796" s="5">
        <f>_xlfn.XLOOKUP(CustomerCombined[[#This Row],[ID]], Table4[ID], Table4[Regular], "Not Found", 0)</f>
        <v>45</v>
      </c>
      <c r="R1796" s="5">
        <f>_xlfn.XLOOKUP(CustomerCombined[[#This Row],[ID]], Table4[ID], Table4[Deals], "Not Found", 0)</f>
        <v>1</v>
      </c>
      <c r="S1796" s="5">
        <f>_xlfn.XLOOKUP(CustomerCombined[[#This Row],[ID]], Table4[ID], Table4[Website], "Not Found", 0)</f>
        <v>1</v>
      </c>
      <c r="T1796" s="5">
        <f>_xlfn.XLOOKUP(CustomerCombined[[#This Row],[ID]], Table4[ID], Table4[Catalog], "Not Found", 0)</f>
        <v>0</v>
      </c>
      <c r="U1796" s="5">
        <f>_xlfn.XLOOKUP(CustomerCombined[[#This Row],[ID]], Table4[ID], Table4[Store], "Not Found", 0)</f>
        <v>2</v>
      </c>
      <c r="V1796" s="5">
        <f>_xlfn.XLOOKUP(CustomerCombined[[#This Row],[ID]], Table4[ID], Table4[Visits], "Not Found", 0)</f>
        <v>8</v>
      </c>
      <c r="W1796" s="8">
        <f>_xlfn.XLOOKUP(CustomerCombined[[#This Row],[ID]], Table2[ID],Table2[Complaint], "Not Found", 0 )</f>
        <v>0</v>
      </c>
      <c r="X1796" s="8">
        <f>_xlfn.XLOOKUP(CustomerCombined[[#This Row],[ID]], Table2[ID],Table2[Pilot], "Not Found", 0 )</f>
        <v>0</v>
      </c>
      <c r="Y1796" s="8">
        <f>_xlfn.XLOOKUP(CustomerCombined[[#This Row],[ID]], Table2[ID],Table2[MC1], "Not Found", 0 )</f>
        <v>0</v>
      </c>
      <c r="Z1796" s="8">
        <f>_xlfn.XLOOKUP(CustomerCombined[[#This Row],[ID]], Table2[ID],Table2[MC2], "Not Found", 0 )</f>
        <v>0</v>
      </c>
      <c r="AA1796" s="8">
        <f>_xlfn.XLOOKUP(CustomerCombined[[#This Row],[ID]], Table2[ID],Table2[MC3], "Not Found", 0 )</f>
        <v>0</v>
      </c>
      <c r="AB1796" s="8">
        <f>_xlfn.XLOOKUP(CustomerCombined[[#This Row],[ID]], Table2[ID],Table2[MC4], "Not Found", 0 )</f>
        <v>0</v>
      </c>
      <c r="AC1796" s="8">
        <f>_xlfn.XLOOKUP(CustomerCombined[[#This Row],[ID]], Table2[ID],Table2[MC5], "Not Found", 0 )</f>
        <v>0</v>
      </c>
    </row>
    <row r="1797" spans="1:29" x14ac:dyDescent="0.3">
      <c r="A1797" s="6">
        <v>2189</v>
      </c>
      <c r="B1797" s="6">
        <v>140451</v>
      </c>
      <c r="C1797" s="6">
        <v>0</v>
      </c>
      <c r="D1797" s="6">
        <v>2</v>
      </c>
      <c r="E1797" s="6">
        <v>63</v>
      </c>
      <c r="F1797" s="5" t="s">
        <v>8</v>
      </c>
      <c r="G1797" s="5" t="s">
        <v>13</v>
      </c>
      <c r="H1797" s="3" t="s">
        <v>97</v>
      </c>
      <c r="I1797" s="5" t="s">
        <v>434</v>
      </c>
      <c r="J1797" s="5">
        <f>_xlfn.XLOOKUP(CustomerCombined[[#This Row],[ID]], Table4[ID], Table4[Recency], "Not Found", 0)</f>
        <v>54</v>
      </c>
      <c r="K1797" s="5">
        <f>_xlfn.XLOOKUP(CustomerCombined[[#This Row],[ID]], Table4[ID], Table4[Teas], "Not Found", 0)</f>
        <v>122</v>
      </c>
      <c r="L1797" s="5">
        <f>_xlfn.XLOOKUP(CustomerCombined[[#This Row],[ID]], Table4[ID], Table4[Fruits], "Not Found", 0)</f>
        <v>0</v>
      </c>
      <c r="M1797" s="5">
        <f>_xlfn.XLOOKUP(CustomerCombined[[#This Row],[ID]], Table4[ID], Table4[Meats], "Not Found", 0)</f>
        <v>14</v>
      </c>
      <c r="N1797" s="5">
        <f>_xlfn.XLOOKUP(CustomerCombined[[#This Row],[ID]], Table4[ID], Table4[Seafood], "Not Found", 0)</f>
        <v>0</v>
      </c>
      <c r="O1797" s="5">
        <f>_xlfn.XLOOKUP(CustomerCombined[[#This Row],[ID]], Table4[ID], Table4[Sweets], "Not Found", 0)</f>
        <v>0</v>
      </c>
      <c r="P1797" s="5">
        <f>_xlfn.XLOOKUP(CustomerCombined[[#This Row],[ID]], Table4[ID], Table4[Premium], "Not Found", 0)</f>
        <v>35</v>
      </c>
      <c r="Q1797" s="5">
        <f>_xlfn.XLOOKUP(CustomerCombined[[#This Row],[ID]], Table4[ID], Table4[Regular], "Not Found", 0)</f>
        <v>101</v>
      </c>
      <c r="R1797" s="5">
        <f>_xlfn.XLOOKUP(CustomerCombined[[#This Row],[ID]], Table4[ID], Table4[Deals], "Not Found", 0)</f>
        <v>1</v>
      </c>
      <c r="S1797" s="5">
        <f>_xlfn.XLOOKUP(CustomerCombined[[#This Row],[ID]], Table4[ID], Table4[Website], "Not Found", 0)</f>
        <v>1</v>
      </c>
      <c r="T1797" s="5">
        <f>_xlfn.XLOOKUP(CustomerCombined[[#This Row],[ID]], Table4[ID], Table4[Catalog], "Not Found", 0)</f>
        <v>1</v>
      </c>
      <c r="U1797" s="5">
        <f>_xlfn.XLOOKUP(CustomerCombined[[#This Row],[ID]], Table4[ID], Table4[Store], "Not Found", 0)</f>
        <v>2</v>
      </c>
      <c r="V1797" s="5">
        <f>_xlfn.XLOOKUP(CustomerCombined[[#This Row],[ID]], Table4[ID], Table4[Visits], "Not Found", 0)</f>
        <v>5</v>
      </c>
      <c r="W1797" s="8">
        <f>_xlfn.XLOOKUP(CustomerCombined[[#This Row],[ID]], Table2[ID],Table2[Complaint], "Not Found", 0 )</f>
        <v>0</v>
      </c>
      <c r="X1797" s="8">
        <f>_xlfn.XLOOKUP(CustomerCombined[[#This Row],[ID]], Table2[ID],Table2[Pilot], "Not Found", 0 )</f>
        <v>0</v>
      </c>
      <c r="Y1797" s="8">
        <f>_xlfn.XLOOKUP(CustomerCombined[[#This Row],[ID]], Table2[ID],Table2[MC1], "Not Found", 0 )</f>
        <v>0</v>
      </c>
      <c r="Z1797" s="8">
        <f>_xlfn.XLOOKUP(CustomerCombined[[#This Row],[ID]], Table2[ID],Table2[MC2], "Not Found", 0 )</f>
        <v>0</v>
      </c>
      <c r="AA1797" s="8">
        <f>_xlfn.XLOOKUP(CustomerCombined[[#This Row],[ID]], Table2[ID],Table2[MC3], "Not Found", 0 )</f>
        <v>1</v>
      </c>
      <c r="AB1797" s="8">
        <f>_xlfn.XLOOKUP(CustomerCombined[[#This Row],[ID]], Table2[ID],Table2[MC4], "Not Found", 0 )</f>
        <v>0</v>
      </c>
      <c r="AC1797" s="8">
        <f>_xlfn.XLOOKUP(CustomerCombined[[#This Row],[ID]], Table2[ID],Table2[MC5], "Not Found", 0 )</f>
        <v>0</v>
      </c>
    </row>
    <row r="1798" spans="1:29" x14ac:dyDescent="0.3">
      <c r="A1798" s="6">
        <v>2263</v>
      </c>
      <c r="B1798" s="6">
        <v>137633</v>
      </c>
      <c r="C1798" s="6">
        <v>1</v>
      </c>
      <c r="D1798" s="6">
        <v>1</v>
      </c>
      <c r="E1798" s="6">
        <v>63</v>
      </c>
      <c r="F1798" s="5" t="s">
        <v>6</v>
      </c>
      <c r="G1798" s="5" t="s">
        <v>13</v>
      </c>
      <c r="H1798" s="3" t="s">
        <v>391</v>
      </c>
      <c r="I1798" s="5" t="s">
        <v>437</v>
      </c>
      <c r="J1798" s="5">
        <f>_xlfn.XLOOKUP(CustomerCombined[[#This Row],[ID]], Table4[ID], Table4[Recency], "Not Found", 0)</f>
        <v>49</v>
      </c>
      <c r="K1798" s="5">
        <f>_xlfn.XLOOKUP(CustomerCombined[[#This Row],[ID]], Table4[ID], Table4[Teas], "Not Found", 0)</f>
        <v>48</v>
      </c>
      <c r="L1798" s="5">
        <f>_xlfn.XLOOKUP(CustomerCombined[[#This Row],[ID]], Table4[ID], Table4[Fruits], "Not Found", 0)</f>
        <v>15</v>
      </c>
      <c r="M1798" s="5">
        <f>_xlfn.XLOOKUP(CustomerCombined[[#This Row],[ID]], Table4[ID], Table4[Meats], "Not Found", 0)</f>
        <v>73</v>
      </c>
      <c r="N1798" s="5">
        <f>_xlfn.XLOOKUP(CustomerCombined[[#This Row],[ID]], Table4[ID], Table4[Seafood], "Not Found", 0)</f>
        <v>0</v>
      </c>
      <c r="O1798" s="5">
        <f>_xlfn.XLOOKUP(CustomerCombined[[#This Row],[ID]], Table4[ID], Table4[Sweets], "Not Found", 0)</f>
        <v>0</v>
      </c>
      <c r="P1798" s="5">
        <f>_xlfn.XLOOKUP(CustomerCombined[[#This Row],[ID]], Table4[ID], Table4[Premium], "Not Found", 0)</f>
        <v>4</v>
      </c>
      <c r="Q1798" s="5">
        <f>_xlfn.XLOOKUP(CustomerCombined[[#This Row],[ID]], Table4[ID], Table4[Regular], "Not Found", 0)</f>
        <v>132</v>
      </c>
      <c r="R1798" s="5">
        <f>_xlfn.XLOOKUP(CustomerCombined[[#This Row],[ID]], Table4[ID], Table4[Deals], "Not Found", 0)</f>
        <v>2</v>
      </c>
      <c r="S1798" s="5">
        <f>_xlfn.XLOOKUP(CustomerCombined[[#This Row],[ID]], Table4[ID], Table4[Website], "Not Found", 0)</f>
        <v>1</v>
      </c>
      <c r="T1798" s="5">
        <f>_xlfn.XLOOKUP(CustomerCombined[[#This Row],[ID]], Table4[ID], Table4[Catalog], "Not Found", 0)</f>
        <v>0</v>
      </c>
      <c r="U1798" s="5">
        <f>_xlfn.XLOOKUP(CustomerCombined[[#This Row],[ID]], Table4[ID], Table4[Store], "Not Found", 0)</f>
        <v>3</v>
      </c>
      <c r="V1798" s="5">
        <f>_xlfn.XLOOKUP(CustomerCombined[[#This Row],[ID]], Table4[ID], Table4[Visits], "Not Found", 0)</f>
        <v>9</v>
      </c>
      <c r="W1798" s="8">
        <f>_xlfn.XLOOKUP(CustomerCombined[[#This Row],[ID]], Table2[ID],Table2[Complaint], "Not Found", 0 )</f>
        <v>0</v>
      </c>
      <c r="X1798" s="8">
        <f>_xlfn.XLOOKUP(CustomerCombined[[#This Row],[ID]], Table2[ID],Table2[Pilot], "Not Found", 0 )</f>
        <v>0</v>
      </c>
      <c r="Y1798" s="8">
        <f>_xlfn.XLOOKUP(CustomerCombined[[#This Row],[ID]], Table2[ID],Table2[MC1], "Not Found", 0 )</f>
        <v>0</v>
      </c>
      <c r="Z1798" s="8">
        <f>_xlfn.XLOOKUP(CustomerCombined[[#This Row],[ID]], Table2[ID],Table2[MC2], "Not Found", 0 )</f>
        <v>0</v>
      </c>
      <c r="AA1798" s="8">
        <f>_xlfn.XLOOKUP(CustomerCombined[[#This Row],[ID]], Table2[ID],Table2[MC3], "Not Found", 0 )</f>
        <v>0</v>
      </c>
      <c r="AB1798" s="8">
        <f>_xlfn.XLOOKUP(CustomerCombined[[#This Row],[ID]], Table2[ID],Table2[MC4], "Not Found", 0 )</f>
        <v>0</v>
      </c>
      <c r="AC1798" s="8">
        <f>_xlfn.XLOOKUP(CustomerCombined[[#This Row],[ID]], Table2[ID],Table2[MC5], "Not Found", 0 )</f>
        <v>0</v>
      </c>
    </row>
    <row r="1799" spans="1:29" x14ac:dyDescent="0.3">
      <c r="A1799" s="6">
        <v>2379</v>
      </c>
      <c r="B1799" s="6">
        <v>136864</v>
      </c>
      <c r="C1799" s="6">
        <v>0</v>
      </c>
      <c r="D1799" s="6">
        <v>1</v>
      </c>
      <c r="E1799" s="6">
        <v>63</v>
      </c>
      <c r="F1799" s="5" t="s">
        <v>7</v>
      </c>
      <c r="G1799" s="5" t="s">
        <v>11</v>
      </c>
      <c r="H1799" s="3" t="s">
        <v>415</v>
      </c>
      <c r="I1799" s="5" t="s">
        <v>435</v>
      </c>
      <c r="J1799" s="5">
        <f>_xlfn.XLOOKUP(CustomerCombined[[#This Row],[ID]], Table4[ID], Table4[Recency], "Not Found", 0)</f>
        <v>53</v>
      </c>
      <c r="K1799" s="5">
        <f>_xlfn.XLOOKUP(CustomerCombined[[#This Row],[ID]], Table4[ID], Table4[Teas], "Not Found", 0)</f>
        <v>757</v>
      </c>
      <c r="L1799" s="5">
        <f>_xlfn.XLOOKUP(CustomerCombined[[#This Row],[ID]], Table4[ID], Table4[Fruits], "Not Found", 0)</f>
        <v>19</v>
      </c>
      <c r="M1799" s="5">
        <f>_xlfn.XLOOKUP(CustomerCombined[[#This Row],[ID]], Table4[ID], Table4[Meats], "Not Found", 0)</f>
        <v>145</v>
      </c>
      <c r="N1799" s="5">
        <f>_xlfn.XLOOKUP(CustomerCombined[[#This Row],[ID]], Table4[ID], Table4[Seafood], "Not Found", 0)</f>
        <v>63</v>
      </c>
      <c r="O1799" s="5">
        <f>_xlfn.XLOOKUP(CustomerCombined[[#This Row],[ID]], Table4[ID], Table4[Sweets], "Not Found", 0)</f>
        <v>0</v>
      </c>
      <c r="P1799" s="5">
        <f>_xlfn.XLOOKUP(CustomerCombined[[#This Row],[ID]], Table4[ID], Table4[Premium], "Not Found", 0)</f>
        <v>330</v>
      </c>
      <c r="Q1799" s="5">
        <f>_xlfn.XLOOKUP(CustomerCombined[[#This Row],[ID]], Table4[ID], Table4[Regular], "Not Found", 0)</f>
        <v>653</v>
      </c>
      <c r="R1799" s="5">
        <f>_xlfn.XLOOKUP(CustomerCombined[[#This Row],[ID]], Table4[ID], Table4[Deals], "Not Found", 0)</f>
        <v>3</v>
      </c>
      <c r="S1799" s="5">
        <f>_xlfn.XLOOKUP(CustomerCombined[[#This Row],[ID]], Table4[ID], Table4[Website], "Not Found", 0)</f>
        <v>5</v>
      </c>
      <c r="T1799" s="5">
        <f>_xlfn.XLOOKUP(CustomerCombined[[#This Row],[ID]], Table4[ID], Table4[Catalog], "Not Found", 0)</f>
        <v>2</v>
      </c>
      <c r="U1799" s="5">
        <f>_xlfn.XLOOKUP(CustomerCombined[[#This Row],[ID]], Table4[ID], Table4[Store], "Not Found", 0)</f>
        <v>4</v>
      </c>
      <c r="V1799" s="5">
        <f>_xlfn.XLOOKUP(CustomerCombined[[#This Row],[ID]], Table4[ID], Table4[Visits], "Not Found", 0)</f>
        <v>8</v>
      </c>
      <c r="W1799" s="8">
        <f>_xlfn.XLOOKUP(CustomerCombined[[#This Row],[ID]], Table2[ID],Table2[Complaint], "Not Found", 0 )</f>
        <v>0</v>
      </c>
      <c r="X1799" s="8">
        <f>_xlfn.XLOOKUP(CustomerCombined[[#This Row],[ID]], Table2[ID],Table2[Pilot], "Not Found", 0 )</f>
        <v>1</v>
      </c>
      <c r="Y1799" s="8">
        <f>_xlfn.XLOOKUP(CustomerCombined[[#This Row],[ID]], Table2[ID],Table2[MC1], "Not Found", 0 )</f>
        <v>0</v>
      </c>
      <c r="Z1799" s="8">
        <f>_xlfn.XLOOKUP(CustomerCombined[[#This Row],[ID]], Table2[ID],Table2[MC2], "Not Found", 0 )</f>
        <v>0</v>
      </c>
      <c r="AA1799" s="8">
        <f>_xlfn.XLOOKUP(CustomerCombined[[#This Row],[ID]], Table2[ID],Table2[MC3], "Not Found", 0 )</f>
        <v>0</v>
      </c>
      <c r="AB1799" s="8">
        <f>_xlfn.XLOOKUP(CustomerCombined[[#This Row],[ID]], Table2[ID],Table2[MC4], "Not Found", 0 )</f>
        <v>0</v>
      </c>
      <c r="AC1799" s="8">
        <f>_xlfn.XLOOKUP(CustomerCombined[[#This Row],[ID]], Table2[ID],Table2[MC5], "Not Found", 0 )</f>
        <v>0</v>
      </c>
    </row>
    <row r="1800" spans="1:29" x14ac:dyDescent="0.3">
      <c r="A1800" s="6">
        <v>1158</v>
      </c>
      <c r="B1800" s="6">
        <v>126091</v>
      </c>
      <c r="C1800" s="6">
        <v>1</v>
      </c>
      <c r="D1800" s="6">
        <v>1</v>
      </c>
      <c r="E1800" s="6">
        <v>63</v>
      </c>
      <c r="F1800" s="5" t="s">
        <v>8</v>
      </c>
      <c r="G1800" s="5" t="s">
        <v>11</v>
      </c>
      <c r="H1800" s="3">
        <v>43838</v>
      </c>
      <c r="I1800" s="5" t="s">
        <v>436</v>
      </c>
      <c r="J1800" s="5">
        <f>_xlfn.XLOOKUP(CustomerCombined[[#This Row],[ID]], Table4[ID], Table4[Recency], "Not Found", 0)</f>
        <v>84</v>
      </c>
      <c r="K1800" s="5">
        <f>_xlfn.XLOOKUP(CustomerCombined[[#This Row],[ID]], Table4[ID], Table4[Teas], "Not Found", 0)</f>
        <v>72</v>
      </c>
      <c r="L1800" s="5">
        <f>_xlfn.XLOOKUP(CustomerCombined[[#This Row],[ID]], Table4[ID], Table4[Fruits], "Not Found", 0)</f>
        <v>48</v>
      </c>
      <c r="M1800" s="5">
        <f>_xlfn.XLOOKUP(CustomerCombined[[#This Row],[ID]], Table4[ID], Table4[Meats], "Not Found", 0)</f>
        <v>92</v>
      </c>
      <c r="N1800" s="5">
        <f>_xlfn.XLOOKUP(CustomerCombined[[#This Row],[ID]], Table4[ID], Table4[Seafood], "Not Found", 0)</f>
        <v>39</v>
      </c>
      <c r="O1800" s="5">
        <f>_xlfn.XLOOKUP(CustomerCombined[[#This Row],[ID]], Table4[ID], Table4[Sweets], "Not Found", 0)</f>
        <v>82</v>
      </c>
      <c r="P1800" s="5">
        <f>_xlfn.XLOOKUP(CustomerCombined[[#This Row],[ID]], Table4[ID], Table4[Premium], "Not Found", 0)</f>
        <v>97</v>
      </c>
      <c r="Q1800" s="5">
        <f>_xlfn.XLOOKUP(CustomerCombined[[#This Row],[ID]], Table4[ID], Table4[Regular], "Not Found", 0)</f>
        <v>237</v>
      </c>
      <c r="R1800" s="5">
        <f>_xlfn.XLOOKUP(CustomerCombined[[#This Row],[ID]], Table4[ID], Table4[Deals], "Not Found", 0)</f>
        <v>3</v>
      </c>
      <c r="S1800" s="5">
        <f>_xlfn.XLOOKUP(CustomerCombined[[#This Row],[ID]], Table4[ID], Table4[Website], "Not Found", 0)</f>
        <v>2</v>
      </c>
      <c r="T1800" s="5">
        <f>_xlfn.XLOOKUP(CustomerCombined[[#This Row],[ID]], Table4[ID], Table4[Catalog], "Not Found", 0)</f>
        <v>1</v>
      </c>
      <c r="U1800" s="5">
        <f>_xlfn.XLOOKUP(CustomerCombined[[#This Row],[ID]], Table4[ID], Table4[Store], "Not Found", 0)</f>
        <v>3</v>
      </c>
      <c r="V1800" s="5">
        <f>_xlfn.XLOOKUP(CustomerCombined[[#This Row],[ID]], Table4[ID], Table4[Visits], "Not Found", 0)</f>
        <v>5</v>
      </c>
      <c r="W1800" s="8">
        <f>_xlfn.XLOOKUP(CustomerCombined[[#This Row],[ID]], Table2[ID],Table2[Complaint], "Not Found", 0 )</f>
        <v>0</v>
      </c>
      <c r="X1800" s="8">
        <f>_xlfn.XLOOKUP(CustomerCombined[[#This Row],[ID]], Table2[ID],Table2[Pilot], "Not Found", 0 )</f>
        <v>0</v>
      </c>
      <c r="Y1800" s="8">
        <f>_xlfn.XLOOKUP(CustomerCombined[[#This Row],[ID]], Table2[ID],Table2[MC1], "Not Found", 0 )</f>
        <v>0</v>
      </c>
      <c r="Z1800" s="8">
        <f>_xlfn.XLOOKUP(CustomerCombined[[#This Row],[ID]], Table2[ID],Table2[MC2], "Not Found", 0 )</f>
        <v>0</v>
      </c>
      <c r="AA1800" s="8">
        <f>_xlfn.XLOOKUP(CustomerCombined[[#This Row],[ID]], Table2[ID],Table2[MC3], "Not Found", 0 )</f>
        <v>0</v>
      </c>
      <c r="AB1800" s="8">
        <f>_xlfn.XLOOKUP(CustomerCombined[[#This Row],[ID]], Table2[ID],Table2[MC4], "Not Found", 0 )</f>
        <v>0</v>
      </c>
      <c r="AC1800" s="8">
        <f>_xlfn.XLOOKUP(CustomerCombined[[#This Row],[ID]], Table2[ID],Table2[MC5], "Not Found", 0 )</f>
        <v>0</v>
      </c>
    </row>
    <row r="1801" spans="1:29" x14ac:dyDescent="0.3">
      <c r="A1801" s="6">
        <v>1978</v>
      </c>
      <c r="B1801" s="6">
        <v>126091</v>
      </c>
      <c r="C1801" s="6">
        <v>1</v>
      </c>
      <c r="D1801" s="6">
        <v>1</v>
      </c>
      <c r="E1801" s="6">
        <v>63</v>
      </c>
      <c r="F1801" s="5" t="s">
        <v>8</v>
      </c>
      <c r="G1801" s="5" t="s">
        <v>11</v>
      </c>
      <c r="H1801" s="3">
        <v>43838</v>
      </c>
      <c r="I1801" s="5" t="s">
        <v>439</v>
      </c>
      <c r="J1801" s="5">
        <f>_xlfn.XLOOKUP(CustomerCombined[[#This Row],[ID]], Table4[ID], Table4[Recency], "Not Found", 0)</f>
        <v>84</v>
      </c>
      <c r="K1801" s="5">
        <f>_xlfn.XLOOKUP(CustomerCombined[[#This Row],[ID]], Table4[ID], Table4[Teas], "Not Found", 0)</f>
        <v>72</v>
      </c>
      <c r="L1801" s="5">
        <f>_xlfn.XLOOKUP(CustomerCombined[[#This Row],[ID]], Table4[ID], Table4[Fruits], "Not Found", 0)</f>
        <v>48</v>
      </c>
      <c r="M1801" s="5">
        <f>_xlfn.XLOOKUP(CustomerCombined[[#This Row],[ID]], Table4[ID], Table4[Meats], "Not Found", 0)</f>
        <v>92</v>
      </c>
      <c r="N1801" s="5">
        <f>_xlfn.XLOOKUP(CustomerCombined[[#This Row],[ID]], Table4[ID], Table4[Seafood], "Not Found", 0)</f>
        <v>39</v>
      </c>
      <c r="O1801" s="5">
        <f>_xlfn.XLOOKUP(CustomerCombined[[#This Row],[ID]], Table4[ID], Table4[Sweets], "Not Found", 0)</f>
        <v>82</v>
      </c>
      <c r="P1801" s="5">
        <f>_xlfn.XLOOKUP(CustomerCombined[[#This Row],[ID]], Table4[ID], Table4[Premium], "Not Found", 0)</f>
        <v>97</v>
      </c>
      <c r="Q1801" s="5">
        <f>_xlfn.XLOOKUP(CustomerCombined[[#This Row],[ID]], Table4[ID], Table4[Regular], "Not Found", 0)</f>
        <v>237</v>
      </c>
      <c r="R1801" s="5">
        <f>_xlfn.XLOOKUP(CustomerCombined[[#This Row],[ID]], Table4[ID], Table4[Deals], "Not Found", 0)</f>
        <v>3</v>
      </c>
      <c r="S1801" s="5">
        <f>_xlfn.XLOOKUP(CustomerCombined[[#This Row],[ID]], Table4[ID], Table4[Website], "Not Found", 0)</f>
        <v>2</v>
      </c>
      <c r="T1801" s="5">
        <f>_xlfn.XLOOKUP(CustomerCombined[[#This Row],[ID]], Table4[ID], Table4[Catalog], "Not Found", 0)</f>
        <v>1</v>
      </c>
      <c r="U1801" s="5">
        <f>_xlfn.XLOOKUP(CustomerCombined[[#This Row],[ID]], Table4[ID], Table4[Store], "Not Found", 0)</f>
        <v>3</v>
      </c>
      <c r="V1801" s="5">
        <f>_xlfn.XLOOKUP(CustomerCombined[[#This Row],[ID]], Table4[ID], Table4[Visits], "Not Found", 0)</f>
        <v>5</v>
      </c>
      <c r="W1801" s="8">
        <f>_xlfn.XLOOKUP(CustomerCombined[[#This Row],[ID]], Table2[ID],Table2[Complaint], "Not Found", 0 )</f>
        <v>0</v>
      </c>
      <c r="X1801" s="8">
        <f>_xlfn.XLOOKUP(CustomerCombined[[#This Row],[ID]], Table2[ID],Table2[Pilot], "Not Found", 0 )</f>
        <v>0</v>
      </c>
      <c r="Y1801" s="8">
        <f>_xlfn.XLOOKUP(CustomerCombined[[#This Row],[ID]], Table2[ID],Table2[MC1], "Not Found", 0 )</f>
        <v>0</v>
      </c>
      <c r="Z1801" s="8">
        <f>_xlfn.XLOOKUP(CustomerCombined[[#This Row],[ID]], Table2[ID],Table2[MC2], "Not Found", 0 )</f>
        <v>0</v>
      </c>
      <c r="AA1801" s="8">
        <f>_xlfn.XLOOKUP(CustomerCombined[[#This Row],[ID]], Table2[ID],Table2[MC3], "Not Found", 0 )</f>
        <v>0</v>
      </c>
      <c r="AB1801" s="8">
        <f>_xlfn.XLOOKUP(CustomerCombined[[#This Row],[ID]], Table2[ID],Table2[MC4], "Not Found", 0 )</f>
        <v>0</v>
      </c>
      <c r="AC1801" s="8">
        <f>_xlfn.XLOOKUP(CustomerCombined[[#This Row],[ID]], Table2[ID],Table2[MC5], "Not Found", 0 )</f>
        <v>0</v>
      </c>
    </row>
    <row r="1802" spans="1:29" x14ac:dyDescent="0.3">
      <c r="A1802" s="6">
        <v>3111</v>
      </c>
      <c r="B1802" s="6">
        <v>123539</v>
      </c>
      <c r="C1802" s="6">
        <v>0</v>
      </c>
      <c r="D1802" s="6">
        <v>0</v>
      </c>
      <c r="E1802" s="6">
        <v>63</v>
      </c>
      <c r="F1802" s="5" t="s">
        <v>6</v>
      </c>
      <c r="G1802" s="5" t="s">
        <v>11</v>
      </c>
      <c r="H1802" s="3">
        <v>43929</v>
      </c>
      <c r="I1802" s="5" t="s">
        <v>435</v>
      </c>
      <c r="J1802" s="5">
        <f>_xlfn.XLOOKUP(CustomerCombined[[#This Row],[ID]], Table4[ID], Table4[Recency], "Not Found", 0)</f>
        <v>13</v>
      </c>
      <c r="K1802" s="5">
        <f>_xlfn.XLOOKUP(CustomerCombined[[#This Row],[ID]], Table4[ID], Table4[Teas], "Not Found", 0)</f>
        <v>21</v>
      </c>
      <c r="L1802" s="5">
        <f>_xlfn.XLOOKUP(CustomerCombined[[#This Row],[ID]], Table4[ID], Table4[Fruits], "Not Found", 0)</f>
        <v>126</v>
      </c>
      <c r="M1802" s="5">
        <f>_xlfn.XLOOKUP(CustomerCombined[[#This Row],[ID]], Table4[ID], Table4[Meats], "Not Found", 0)</f>
        <v>58</v>
      </c>
      <c r="N1802" s="5">
        <f>_xlfn.XLOOKUP(CustomerCombined[[#This Row],[ID]], Table4[ID], Table4[Seafood], "Not Found", 0)</f>
        <v>84</v>
      </c>
      <c r="O1802" s="5">
        <f>_xlfn.XLOOKUP(CustomerCombined[[#This Row],[ID]], Table4[ID], Table4[Sweets], "Not Found", 0)</f>
        <v>5</v>
      </c>
      <c r="P1802" s="5">
        <f>_xlfn.XLOOKUP(CustomerCombined[[#This Row],[ID]], Table4[ID], Table4[Premium], "Not Found", 0)</f>
        <v>131</v>
      </c>
      <c r="Q1802" s="5">
        <f>_xlfn.XLOOKUP(CustomerCombined[[#This Row],[ID]], Table4[ID], Table4[Regular], "Not Found", 0)</f>
        <v>163</v>
      </c>
      <c r="R1802" s="5">
        <f>_xlfn.XLOOKUP(CustomerCombined[[#This Row],[ID]], Table4[ID], Table4[Deals], "Not Found", 0)</f>
        <v>1</v>
      </c>
      <c r="S1802" s="5">
        <f>_xlfn.XLOOKUP(CustomerCombined[[#This Row],[ID]], Table4[ID], Table4[Website], "Not Found", 0)</f>
        <v>2</v>
      </c>
      <c r="T1802" s="5">
        <f>_xlfn.XLOOKUP(CustomerCombined[[#This Row],[ID]], Table4[ID], Table4[Catalog], "Not Found", 0)</f>
        <v>0</v>
      </c>
      <c r="U1802" s="5">
        <f>_xlfn.XLOOKUP(CustomerCombined[[#This Row],[ID]], Table4[ID], Table4[Store], "Not Found", 0)</f>
        <v>4</v>
      </c>
      <c r="V1802" s="5">
        <f>_xlfn.XLOOKUP(CustomerCombined[[#This Row],[ID]], Table4[ID], Table4[Visits], "Not Found", 0)</f>
        <v>6</v>
      </c>
      <c r="W1802" s="8">
        <f>_xlfn.XLOOKUP(CustomerCombined[[#This Row],[ID]], Table2[ID],Table2[Complaint], "Not Found", 0 )</f>
        <v>0</v>
      </c>
      <c r="X1802" s="8">
        <f>_xlfn.XLOOKUP(CustomerCombined[[#This Row],[ID]], Table2[ID],Table2[Pilot], "Not Found", 0 )</f>
        <v>0</v>
      </c>
      <c r="Y1802" s="8">
        <f>_xlfn.XLOOKUP(CustomerCombined[[#This Row],[ID]], Table2[ID],Table2[MC1], "Not Found", 0 )</f>
        <v>0</v>
      </c>
      <c r="Z1802" s="8">
        <f>_xlfn.XLOOKUP(CustomerCombined[[#This Row],[ID]], Table2[ID],Table2[MC2], "Not Found", 0 )</f>
        <v>0</v>
      </c>
      <c r="AA1802" s="8">
        <f>_xlfn.XLOOKUP(CustomerCombined[[#This Row],[ID]], Table2[ID],Table2[MC3], "Not Found", 0 )</f>
        <v>0</v>
      </c>
      <c r="AB1802" s="8">
        <f>_xlfn.XLOOKUP(CustomerCombined[[#This Row],[ID]], Table2[ID],Table2[MC4], "Not Found", 0 )</f>
        <v>0</v>
      </c>
      <c r="AC1802" s="8">
        <f>_xlfn.XLOOKUP(CustomerCombined[[#This Row],[ID]], Table2[ID],Table2[MC5], "Not Found", 0 )</f>
        <v>0</v>
      </c>
    </row>
    <row r="1803" spans="1:29" x14ac:dyDescent="0.3">
      <c r="A1803" s="6">
        <v>1041</v>
      </c>
      <c r="B1803" s="6">
        <v>121994</v>
      </c>
      <c r="C1803" s="6">
        <v>0</v>
      </c>
      <c r="D1803" s="6">
        <v>1</v>
      </c>
      <c r="E1803" s="6">
        <v>63</v>
      </c>
      <c r="F1803" s="5" t="s">
        <v>8</v>
      </c>
      <c r="G1803" s="5" t="s">
        <v>11</v>
      </c>
      <c r="H1803" s="3" t="s">
        <v>335</v>
      </c>
      <c r="I1803" s="5" t="s">
        <v>435</v>
      </c>
      <c r="J1803" s="5">
        <f>_xlfn.XLOOKUP(CustomerCombined[[#This Row],[ID]], Table4[ID], Table4[Recency], "Not Found", 0)</f>
        <v>4</v>
      </c>
      <c r="K1803" s="5">
        <f>_xlfn.XLOOKUP(CustomerCombined[[#This Row],[ID]], Table4[ID], Table4[Teas], "Not Found", 0)</f>
        <v>50</v>
      </c>
      <c r="L1803" s="5">
        <f>_xlfn.XLOOKUP(CustomerCombined[[#This Row],[ID]], Table4[ID], Table4[Fruits], "Not Found", 0)</f>
        <v>0</v>
      </c>
      <c r="M1803" s="5">
        <f>_xlfn.XLOOKUP(CustomerCombined[[#This Row],[ID]], Table4[ID], Table4[Meats], "Not Found", 0)</f>
        <v>33</v>
      </c>
      <c r="N1803" s="5">
        <f>_xlfn.XLOOKUP(CustomerCombined[[#This Row],[ID]], Table4[ID], Table4[Seafood], "Not Found", 0)</f>
        <v>17</v>
      </c>
      <c r="O1803" s="5">
        <f>_xlfn.XLOOKUP(CustomerCombined[[#This Row],[ID]], Table4[ID], Table4[Sweets], "Not Found", 0)</f>
        <v>6</v>
      </c>
      <c r="P1803" s="5">
        <f>_xlfn.XLOOKUP(CustomerCombined[[#This Row],[ID]], Table4[ID], Table4[Premium], "Not Found", 0)</f>
        <v>17</v>
      </c>
      <c r="Q1803" s="5">
        <f>_xlfn.XLOOKUP(CustomerCombined[[#This Row],[ID]], Table4[ID], Table4[Regular], "Not Found", 0)</f>
        <v>89</v>
      </c>
      <c r="R1803" s="5">
        <f>_xlfn.XLOOKUP(CustomerCombined[[#This Row],[ID]], Table4[ID], Table4[Deals], "Not Found", 0)</f>
        <v>1</v>
      </c>
      <c r="S1803" s="5">
        <f>_xlfn.XLOOKUP(CustomerCombined[[#This Row],[ID]], Table4[ID], Table4[Website], "Not Found", 0)</f>
        <v>0</v>
      </c>
      <c r="T1803" s="5">
        <f>_xlfn.XLOOKUP(CustomerCombined[[#This Row],[ID]], Table4[ID], Table4[Catalog], "Not Found", 0)</f>
        <v>0</v>
      </c>
      <c r="U1803" s="5">
        <f>_xlfn.XLOOKUP(CustomerCombined[[#This Row],[ID]], Table4[ID], Table4[Store], "Not Found", 0)</f>
        <v>3</v>
      </c>
      <c r="V1803" s="5">
        <f>_xlfn.XLOOKUP(CustomerCombined[[#This Row],[ID]], Table4[ID], Table4[Visits], "Not Found", 0)</f>
        <v>5</v>
      </c>
      <c r="W1803" s="8">
        <f>_xlfn.XLOOKUP(CustomerCombined[[#This Row],[ID]], Table2[ID],Table2[Complaint], "Not Found", 0 )</f>
        <v>0</v>
      </c>
      <c r="X1803" s="8">
        <f>_xlfn.XLOOKUP(CustomerCombined[[#This Row],[ID]], Table2[ID],Table2[Pilot], "Not Found", 0 )</f>
        <v>0</v>
      </c>
      <c r="Y1803" s="8">
        <f>_xlfn.XLOOKUP(CustomerCombined[[#This Row],[ID]], Table2[ID],Table2[MC1], "Not Found", 0 )</f>
        <v>0</v>
      </c>
      <c r="Z1803" s="8">
        <f>_xlfn.XLOOKUP(CustomerCombined[[#This Row],[ID]], Table2[ID],Table2[MC2], "Not Found", 0 )</f>
        <v>0</v>
      </c>
      <c r="AA1803" s="8">
        <f>_xlfn.XLOOKUP(CustomerCombined[[#This Row],[ID]], Table2[ID],Table2[MC3], "Not Found", 0 )</f>
        <v>0</v>
      </c>
      <c r="AB1803" s="8">
        <f>_xlfn.XLOOKUP(CustomerCombined[[#This Row],[ID]], Table2[ID],Table2[MC4], "Not Found", 0 )</f>
        <v>0</v>
      </c>
      <c r="AC1803" s="8">
        <f>_xlfn.XLOOKUP(CustomerCombined[[#This Row],[ID]], Table2[ID],Table2[MC5], "Not Found", 0 )</f>
        <v>0</v>
      </c>
    </row>
    <row r="1804" spans="1:29" x14ac:dyDescent="0.3">
      <c r="A1804" s="6">
        <v>2960</v>
      </c>
      <c r="B1804" s="6">
        <v>121994</v>
      </c>
      <c r="C1804" s="6">
        <v>0</v>
      </c>
      <c r="D1804" s="6">
        <v>1</v>
      </c>
      <c r="E1804" s="6">
        <v>63</v>
      </c>
      <c r="F1804" s="5" t="s">
        <v>8</v>
      </c>
      <c r="G1804" s="5" t="s">
        <v>11</v>
      </c>
      <c r="H1804" s="3" t="s">
        <v>335</v>
      </c>
      <c r="I1804" s="5" t="s">
        <v>438</v>
      </c>
      <c r="J1804" s="5">
        <f>_xlfn.XLOOKUP(CustomerCombined[[#This Row],[ID]], Table4[ID], Table4[Recency], "Not Found", 0)</f>
        <v>4</v>
      </c>
      <c r="K1804" s="5">
        <f>_xlfn.XLOOKUP(CustomerCombined[[#This Row],[ID]], Table4[ID], Table4[Teas], "Not Found", 0)</f>
        <v>50</v>
      </c>
      <c r="L1804" s="5">
        <f>_xlfn.XLOOKUP(CustomerCombined[[#This Row],[ID]], Table4[ID], Table4[Fruits], "Not Found", 0)</f>
        <v>0</v>
      </c>
      <c r="M1804" s="5">
        <f>_xlfn.XLOOKUP(CustomerCombined[[#This Row],[ID]], Table4[ID], Table4[Meats], "Not Found", 0)</f>
        <v>33</v>
      </c>
      <c r="N1804" s="5">
        <f>_xlfn.XLOOKUP(CustomerCombined[[#This Row],[ID]], Table4[ID], Table4[Seafood], "Not Found", 0)</f>
        <v>17</v>
      </c>
      <c r="O1804" s="5">
        <f>_xlfn.XLOOKUP(CustomerCombined[[#This Row],[ID]], Table4[ID], Table4[Sweets], "Not Found", 0)</f>
        <v>6</v>
      </c>
      <c r="P1804" s="5">
        <f>_xlfn.XLOOKUP(CustomerCombined[[#This Row],[ID]], Table4[ID], Table4[Premium], "Not Found", 0)</f>
        <v>17</v>
      </c>
      <c r="Q1804" s="5">
        <f>_xlfn.XLOOKUP(CustomerCombined[[#This Row],[ID]], Table4[ID], Table4[Regular], "Not Found", 0)</f>
        <v>89</v>
      </c>
      <c r="R1804" s="5">
        <f>_xlfn.XLOOKUP(CustomerCombined[[#This Row],[ID]], Table4[ID], Table4[Deals], "Not Found", 0)</f>
        <v>1</v>
      </c>
      <c r="S1804" s="5">
        <f>_xlfn.XLOOKUP(CustomerCombined[[#This Row],[ID]], Table4[ID], Table4[Website], "Not Found", 0)</f>
        <v>0</v>
      </c>
      <c r="T1804" s="5">
        <f>_xlfn.XLOOKUP(CustomerCombined[[#This Row],[ID]], Table4[ID], Table4[Catalog], "Not Found", 0)</f>
        <v>0</v>
      </c>
      <c r="U1804" s="5">
        <f>_xlfn.XLOOKUP(CustomerCombined[[#This Row],[ID]], Table4[ID], Table4[Store], "Not Found", 0)</f>
        <v>3</v>
      </c>
      <c r="V1804" s="5">
        <f>_xlfn.XLOOKUP(CustomerCombined[[#This Row],[ID]], Table4[ID], Table4[Visits], "Not Found", 0)</f>
        <v>5</v>
      </c>
      <c r="W1804" s="8">
        <f>_xlfn.XLOOKUP(CustomerCombined[[#This Row],[ID]], Table2[ID],Table2[Complaint], "Not Found", 0 )</f>
        <v>0</v>
      </c>
      <c r="X1804" s="8">
        <f>_xlfn.XLOOKUP(CustomerCombined[[#This Row],[ID]], Table2[ID],Table2[Pilot], "Not Found", 0 )</f>
        <v>0</v>
      </c>
      <c r="Y1804" s="8">
        <f>_xlfn.XLOOKUP(CustomerCombined[[#This Row],[ID]], Table2[ID],Table2[MC1], "Not Found", 0 )</f>
        <v>0</v>
      </c>
      <c r="Z1804" s="8">
        <f>_xlfn.XLOOKUP(CustomerCombined[[#This Row],[ID]], Table2[ID],Table2[MC2], "Not Found", 0 )</f>
        <v>0</v>
      </c>
      <c r="AA1804" s="8">
        <f>_xlfn.XLOOKUP(CustomerCombined[[#This Row],[ID]], Table2[ID],Table2[MC3], "Not Found", 0 )</f>
        <v>0</v>
      </c>
      <c r="AB1804" s="8">
        <f>_xlfn.XLOOKUP(CustomerCombined[[#This Row],[ID]], Table2[ID],Table2[MC4], "Not Found", 0 )</f>
        <v>0</v>
      </c>
      <c r="AC1804" s="8">
        <f>_xlfn.XLOOKUP(CustomerCombined[[#This Row],[ID]], Table2[ID],Table2[MC5], "Not Found", 0 )</f>
        <v>0</v>
      </c>
    </row>
    <row r="1805" spans="1:29" x14ac:dyDescent="0.3">
      <c r="A1805" s="6">
        <v>1755</v>
      </c>
      <c r="B1805" s="6">
        <v>106835</v>
      </c>
      <c r="C1805" s="6">
        <v>0</v>
      </c>
      <c r="D1805" s="6">
        <v>1</v>
      </c>
      <c r="E1805" s="6">
        <v>63</v>
      </c>
      <c r="F1805" s="5" t="s">
        <v>8</v>
      </c>
      <c r="G1805" s="5" t="s">
        <v>13</v>
      </c>
      <c r="H1805" s="3" t="s">
        <v>350</v>
      </c>
      <c r="I1805" s="5" t="s">
        <v>435</v>
      </c>
      <c r="J1805" s="5">
        <f>_xlfn.XLOOKUP(CustomerCombined[[#This Row],[ID]], Table4[ID], Table4[Recency], "Not Found", 0)</f>
        <v>76</v>
      </c>
      <c r="K1805" s="5">
        <f>_xlfn.XLOOKUP(CustomerCombined[[#This Row],[ID]], Table4[ID], Table4[Teas], "Not Found", 0)</f>
        <v>1672</v>
      </c>
      <c r="L1805" s="5">
        <f>_xlfn.XLOOKUP(CustomerCombined[[#This Row],[ID]], Table4[ID], Table4[Fruits], "Not Found", 0)</f>
        <v>31</v>
      </c>
      <c r="M1805" s="5">
        <f>_xlfn.XLOOKUP(CustomerCombined[[#This Row],[ID]], Table4[ID], Table4[Meats], "Not Found", 0)</f>
        <v>188</v>
      </c>
      <c r="N1805" s="5">
        <f>_xlfn.XLOOKUP(CustomerCombined[[#This Row],[ID]], Table4[ID], Table4[Seafood], "Not Found", 0)</f>
        <v>31</v>
      </c>
      <c r="O1805" s="5">
        <f>_xlfn.XLOOKUP(CustomerCombined[[#This Row],[ID]], Table4[ID], Table4[Sweets], "Not Found", 0)</f>
        <v>31</v>
      </c>
      <c r="P1805" s="5">
        <f>_xlfn.XLOOKUP(CustomerCombined[[#This Row],[ID]], Table4[ID], Table4[Premium], "Not Found", 0)</f>
        <v>188</v>
      </c>
      <c r="Q1805" s="5">
        <f>_xlfn.XLOOKUP(CustomerCombined[[#This Row],[ID]], Table4[ID], Table4[Regular], "Not Found", 0)</f>
        <v>1766</v>
      </c>
      <c r="R1805" s="5">
        <f>_xlfn.XLOOKUP(CustomerCombined[[#This Row],[ID]], Table4[ID], Table4[Deals], "Not Found", 0)</f>
        <v>0</v>
      </c>
      <c r="S1805" s="5">
        <f>_xlfn.XLOOKUP(CustomerCombined[[#This Row],[ID]], Table4[ID], Table4[Website], "Not Found", 0)</f>
        <v>0</v>
      </c>
      <c r="T1805" s="5">
        <f>_xlfn.XLOOKUP(CustomerCombined[[#This Row],[ID]], Table4[ID], Table4[Catalog], "Not Found", 0)</f>
        <v>0</v>
      </c>
      <c r="U1805" s="5">
        <f>_xlfn.XLOOKUP(CustomerCombined[[#This Row],[ID]], Table4[ID], Table4[Store], "Not Found", 0)</f>
        <v>1</v>
      </c>
      <c r="V1805" s="5">
        <f>_xlfn.XLOOKUP(CustomerCombined[[#This Row],[ID]], Table4[ID], Table4[Visits], "Not Found", 0)</f>
        <v>20</v>
      </c>
      <c r="W1805" s="8">
        <f>_xlfn.XLOOKUP(CustomerCombined[[#This Row],[ID]], Table2[ID],Table2[Complaint], "Not Found", 0 )</f>
        <v>0</v>
      </c>
      <c r="X1805" s="8">
        <f>_xlfn.XLOOKUP(CustomerCombined[[#This Row],[ID]], Table2[ID],Table2[Pilot], "Not Found", 0 )</f>
        <v>0</v>
      </c>
      <c r="Y1805" s="8">
        <f>_xlfn.XLOOKUP(CustomerCombined[[#This Row],[ID]], Table2[ID],Table2[MC1], "Not Found", 0 )</f>
        <v>0</v>
      </c>
      <c r="Z1805" s="8">
        <f>_xlfn.XLOOKUP(CustomerCombined[[#This Row],[ID]], Table2[ID],Table2[MC2], "Not Found", 0 )</f>
        <v>0</v>
      </c>
      <c r="AA1805" s="8">
        <f>_xlfn.XLOOKUP(CustomerCombined[[#This Row],[ID]], Table2[ID],Table2[MC3], "Not Found", 0 )</f>
        <v>0</v>
      </c>
      <c r="AB1805" s="8">
        <f>_xlfn.XLOOKUP(CustomerCombined[[#This Row],[ID]], Table2[ID],Table2[MC4], "Not Found", 0 )</f>
        <v>0</v>
      </c>
      <c r="AC1805" s="8">
        <f>_xlfn.XLOOKUP(CustomerCombined[[#This Row],[ID]], Table2[ID],Table2[MC5], "Not Found", 0 )</f>
        <v>0</v>
      </c>
    </row>
    <row r="1806" spans="1:29" x14ac:dyDescent="0.3">
      <c r="A1806" s="6">
        <v>2897</v>
      </c>
      <c r="B1806" s="6">
        <v>191249</v>
      </c>
      <c r="C1806" s="6">
        <v>0</v>
      </c>
      <c r="D1806" s="6">
        <v>0</v>
      </c>
      <c r="E1806" s="6">
        <v>64</v>
      </c>
      <c r="F1806" s="5" t="s">
        <v>7</v>
      </c>
      <c r="G1806" s="5" t="s">
        <v>11</v>
      </c>
      <c r="H1806" s="3" t="s">
        <v>374</v>
      </c>
      <c r="I1806" s="5" t="s">
        <v>434</v>
      </c>
      <c r="J1806" s="5">
        <f>_xlfn.XLOOKUP(CustomerCombined[[#This Row],[ID]], Table4[ID], Table4[Recency], "Not Found", 0)</f>
        <v>84</v>
      </c>
      <c r="K1806" s="5">
        <f>_xlfn.XLOOKUP(CustomerCombined[[#This Row],[ID]], Table4[ID], Table4[Teas], "Not Found", 0)</f>
        <v>2775</v>
      </c>
      <c r="L1806" s="5">
        <f>_xlfn.XLOOKUP(CustomerCombined[[#This Row],[ID]], Table4[ID], Table4[Fruits], "Not Found", 0)</f>
        <v>57</v>
      </c>
      <c r="M1806" s="5">
        <f>_xlfn.XLOOKUP(CustomerCombined[[#This Row],[ID]], Table4[ID], Table4[Meats], "Not Found", 0)</f>
        <v>249</v>
      </c>
      <c r="N1806" s="5">
        <f>_xlfn.XLOOKUP(CustomerCombined[[#This Row],[ID]], Table4[ID], Table4[Seafood], "Not Found", 0)</f>
        <v>149</v>
      </c>
      <c r="O1806" s="5">
        <f>_xlfn.XLOOKUP(CustomerCombined[[#This Row],[ID]], Table4[ID], Table4[Sweets], "Not Found", 0)</f>
        <v>226</v>
      </c>
      <c r="P1806" s="5">
        <f>_xlfn.XLOOKUP(CustomerCombined[[#This Row],[ID]], Table4[ID], Table4[Premium], "Not Found", 0)</f>
        <v>57</v>
      </c>
      <c r="Q1806" s="5">
        <f>_xlfn.XLOOKUP(CustomerCombined[[#This Row],[ID]], Table4[ID], Table4[Regular], "Not Found", 0)</f>
        <v>3400</v>
      </c>
      <c r="R1806" s="5">
        <f>_xlfn.XLOOKUP(CustomerCombined[[#This Row],[ID]], Table4[ID], Table4[Deals], "Not Found", 0)</f>
        <v>0</v>
      </c>
      <c r="S1806" s="5">
        <f>_xlfn.XLOOKUP(CustomerCombined[[#This Row],[ID]], Table4[ID], Table4[Website], "Not Found", 0)</f>
        <v>7</v>
      </c>
      <c r="T1806" s="5">
        <f>_xlfn.XLOOKUP(CustomerCombined[[#This Row],[ID]], Table4[ID], Table4[Catalog], "Not Found", 0)</f>
        <v>9</v>
      </c>
      <c r="U1806" s="5">
        <f>_xlfn.XLOOKUP(CustomerCombined[[#This Row],[ID]], Table4[ID], Table4[Store], "Not Found", 0)</f>
        <v>6</v>
      </c>
      <c r="V1806" s="5">
        <f>_xlfn.XLOOKUP(CustomerCombined[[#This Row],[ID]], Table4[ID], Table4[Visits], "Not Found", 0)</f>
        <v>4</v>
      </c>
      <c r="W1806" s="8">
        <f>_xlfn.XLOOKUP(CustomerCombined[[#This Row],[ID]], Table2[ID],Table2[Complaint], "Not Found", 0 )</f>
        <v>0</v>
      </c>
      <c r="X1806" s="8">
        <f>_xlfn.XLOOKUP(CustomerCombined[[#This Row],[ID]], Table2[ID],Table2[Pilot], "Not Found", 0 )</f>
        <v>1</v>
      </c>
      <c r="Y1806" s="8">
        <f>_xlfn.XLOOKUP(CustomerCombined[[#This Row],[ID]], Table2[ID],Table2[MC1], "Not Found", 0 )</f>
        <v>1</v>
      </c>
      <c r="Z1806" s="8">
        <f>_xlfn.XLOOKUP(CustomerCombined[[#This Row],[ID]], Table2[ID],Table2[MC2], "Not Found", 0 )</f>
        <v>1</v>
      </c>
      <c r="AA1806" s="8">
        <f>_xlfn.XLOOKUP(CustomerCombined[[#This Row],[ID]], Table2[ID],Table2[MC3], "Not Found", 0 )</f>
        <v>0</v>
      </c>
      <c r="AB1806" s="8">
        <f>_xlfn.XLOOKUP(CustomerCombined[[#This Row],[ID]], Table2[ID],Table2[MC4], "Not Found", 0 )</f>
        <v>1</v>
      </c>
      <c r="AC1806" s="8">
        <f>_xlfn.XLOOKUP(CustomerCombined[[#This Row],[ID]], Table2[ID],Table2[MC5], "Not Found", 0 )</f>
        <v>1</v>
      </c>
    </row>
    <row r="1807" spans="1:29" x14ac:dyDescent="0.3">
      <c r="A1807" s="6">
        <v>2783</v>
      </c>
      <c r="B1807" s="6">
        <v>190369</v>
      </c>
      <c r="C1807" s="6">
        <v>0</v>
      </c>
      <c r="D1807" s="6">
        <v>0</v>
      </c>
      <c r="E1807" s="6">
        <v>64</v>
      </c>
      <c r="F1807" s="5" t="s">
        <v>6</v>
      </c>
      <c r="G1807" s="5" t="s">
        <v>11</v>
      </c>
      <c r="H1807" s="3">
        <v>43871</v>
      </c>
      <c r="I1807" s="5" t="s">
        <v>434</v>
      </c>
      <c r="J1807" s="5">
        <f>_xlfn.XLOOKUP(CustomerCombined[[#This Row],[ID]], Table4[ID], Table4[Recency], "Not Found", 0)</f>
        <v>2</v>
      </c>
      <c r="K1807" s="5">
        <f>_xlfn.XLOOKUP(CustomerCombined[[#This Row],[ID]], Table4[ID], Table4[Teas], "Not Found", 0)</f>
        <v>615</v>
      </c>
      <c r="L1807" s="5">
        <f>_xlfn.XLOOKUP(CustomerCombined[[#This Row],[ID]], Table4[ID], Table4[Fruits], "Not Found", 0)</f>
        <v>107</v>
      </c>
      <c r="M1807" s="5">
        <f>_xlfn.XLOOKUP(CustomerCombined[[#This Row],[ID]], Table4[ID], Table4[Meats], "Not Found", 0)</f>
        <v>2067</v>
      </c>
      <c r="N1807" s="5">
        <f>_xlfn.XLOOKUP(CustomerCombined[[#This Row],[ID]], Table4[ID], Table4[Seafood], "Not Found", 0)</f>
        <v>472</v>
      </c>
      <c r="O1807" s="5">
        <f>_xlfn.XLOOKUP(CustomerCombined[[#This Row],[ID]], Table4[ID], Table4[Sweets], "Not Found", 0)</f>
        <v>48</v>
      </c>
      <c r="P1807" s="5">
        <f>_xlfn.XLOOKUP(CustomerCombined[[#This Row],[ID]], Table4[ID], Table4[Premium], "Not Found", 0)</f>
        <v>36</v>
      </c>
      <c r="Q1807" s="5">
        <f>_xlfn.XLOOKUP(CustomerCombined[[#This Row],[ID]], Table4[ID], Table4[Regular], "Not Found", 0)</f>
        <v>3274</v>
      </c>
      <c r="R1807" s="5">
        <f>_xlfn.XLOOKUP(CustomerCombined[[#This Row],[ID]], Table4[ID], Table4[Deals], "Not Found", 0)</f>
        <v>1</v>
      </c>
      <c r="S1807" s="5">
        <f>_xlfn.XLOOKUP(CustomerCombined[[#This Row],[ID]], Table4[ID], Table4[Website], "Not Found", 0)</f>
        <v>4</v>
      </c>
      <c r="T1807" s="5">
        <f>_xlfn.XLOOKUP(CustomerCombined[[#This Row],[ID]], Table4[ID], Table4[Catalog], "Not Found", 0)</f>
        <v>6</v>
      </c>
      <c r="U1807" s="5">
        <f>_xlfn.XLOOKUP(CustomerCombined[[#This Row],[ID]], Table4[ID], Table4[Store], "Not Found", 0)</f>
        <v>6</v>
      </c>
      <c r="V1807" s="5">
        <f>_xlfn.XLOOKUP(CustomerCombined[[#This Row],[ID]], Table4[ID], Table4[Visits], "Not Found", 0)</f>
        <v>1</v>
      </c>
      <c r="W1807" s="8">
        <f>_xlfn.XLOOKUP(CustomerCombined[[#This Row],[ID]], Table2[ID],Table2[Complaint], "Not Found", 0 )</f>
        <v>0</v>
      </c>
      <c r="X1807" s="8">
        <f>_xlfn.XLOOKUP(CustomerCombined[[#This Row],[ID]], Table2[ID],Table2[Pilot], "Not Found", 0 )</f>
        <v>1</v>
      </c>
      <c r="Y1807" s="8">
        <f>_xlfn.XLOOKUP(CustomerCombined[[#This Row],[ID]], Table2[ID],Table2[MC1], "Not Found", 0 )</f>
        <v>0</v>
      </c>
      <c r="Z1807" s="8">
        <f>_xlfn.XLOOKUP(CustomerCombined[[#This Row],[ID]], Table2[ID],Table2[MC2], "Not Found", 0 )</f>
        <v>0</v>
      </c>
      <c r="AA1807" s="8">
        <f>_xlfn.XLOOKUP(CustomerCombined[[#This Row],[ID]], Table2[ID],Table2[MC3], "Not Found", 0 )</f>
        <v>0</v>
      </c>
      <c r="AB1807" s="8">
        <f>_xlfn.XLOOKUP(CustomerCombined[[#This Row],[ID]], Table2[ID],Table2[MC4], "Not Found", 0 )</f>
        <v>0</v>
      </c>
      <c r="AC1807" s="8">
        <f>_xlfn.XLOOKUP(CustomerCombined[[#This Row],[ID]], Table2[ID],Table2[MC5], "Not Found", 0 )</f>
        <v>0</v>
      </c>
    </row>
    <row r="1808" spans="1:29" x14ac:dyDescent="0.3">
      <c r="A1808" s="6">
        <v>2577</v>
      </c>
      <c r="B1808" s="6">
        <v>190226</v>
      </c>
      <c r="C1808" s="6">
        <v>0</v>
      </c>
      <c r="D1808" s="6">
        <v>0</v>
      </c>
      <c r="E1808" s="6">
        <v>64</v>
      </c>
      <c r="F1808" s="5" t="s">
        <v>6</v>
      </c>
      <c r="G1808" s="5" t="s">
        <v>12</v>
      </c>
      <c r="H1808" s="3">
        <v>43527</v>
      </c>
      <c r="I1808" s="5" t="s">
        <v>435</v>
      </c>
      <c r="J1808" s="5">
        <f>_xlfn.XLOOKUP(CustomerCombined[[#This Row],[ID]], Table4[ID], Table4[Recency], "Not Found", 0)</f>
        <v>26</v>
      </c>
      <c r="K1808" s="5">
        <f>_xlfn.XLOOKUP(CustomerCombined[[#This Row],[ID]], Table4[ID], Table4[Teas], "Not Found", 0)</f>
        <v>2283</v>
      </c>
      <c r="L1808" s="5">
        <f>_xlfn.XLOOKUP(CustomerCombined[[#This Row],[ID]], Table4[ID], Table4[Fruits], "Not Found", 0)</f>
        <v>228</v>
      </c>
      <c r="M1808" s="5">
        <f>_xlfn.XLOOKUP(CustomerCombined[[#This Row],[ID]], Table4[ID], Table4[Meats], "Not Found", 0)</f>
        <v>1368</v>
      </c>
      <c r="N1808" s="5">
        <f>_xlfn.XLOOKUP(CustomerCombined[[#This Row],[ID]], Table4[ID], Table4[Seafood], "Not Found", 0)</f>
        <v>533</v>
      </c>
      <c r="O1808" s="5">
        <f>_xlfn.XLOOKUP(CustomerCombined[[#This Row],[ID]], Table4[ID], Table4[Sweets], "Not Found", 0)</f>
        <v>318</v>
      </c>
      <c r="P1808" s="5">
        <f>_xlfn.XLOOKUP(CustomerCombined[[#This Row],[ID]], Table4[ID], Table4[Premium], "Not Found", 0)</f>
        <v>228</v>
      </c>
      <c r="Q1808" s="5">
        <f>_xlfn.XLOOKUP(CustomerCombined[[#This Row],[ID]], Table4[ID], Table4[Regular], "Not Found", 0)</f>
        <v>4503</v>
      </c>
      <c r="R1808" s="5">
        <f>_xlfn.XLOOKUP(CustomerCombined[[#This Row],[ID]], Table4[ID], Table4[Deals], "Not Found", 0)</f>
        <v>1</v>
      </c>
      <c r="S1808" s="5">
        <f>_xlfn.XLOOKUP(CustomerCombined[[#This Row],[ID]], Table4[ID], Table4[Website], "Not Found", 0)</f>
        <v>4</v>
      </c>
      <c r="T1808" s="5">
        <f>_xlfn.XLOOKUP(CustomerCombined[[#This Row],[ID]], Table4[ID], Table4[Catalog], "Not Found", 0)</f>
        <v>7</v>
      </c>
      <c r="U1808" s="5">
        <f>_xlfn.XLOOKUP(CustomerCombined[[#This Row],[ID]], Table4[ID], Table4[Store], "Not Found", 0)</f>
        <v>12</v>
      </c>
      <c r="V1808" s="5">
        <f>_xlfn.XLOOKUP(CustomerCombined[[#This Row],[ID]], Table4[ID], Table4[Visits], "Not Found", 0)</f>
        <v>2</v>
      </c>
      <c r="W1808" s="8">
        <f>_xlfn.XLOOKUP(CustomerCombined[[#This Row],[ID]], Table2[ID],Table2[Complaint], "Not Found", 0 )</f>
        <v>0</v>
      </c>
      <c r="X1808" s="8">
        <f>_xlfn.XLOOKUP(CustomerCombined[[#This Row],[ID]], Table2[ID],Table2[Pilot], "Not Found", 0 )</f>
        <v>0</v>
      </c>
      <c r="Y1808" s="8">
        <f>_xlfn.XLOOKUP(CustomerCombined[[#This Row],[ID]], Table2[ID],Table2[MC1], "Not Found", 0 )</f>
        <v>1</v>
      </c>
      <c r="Z1808" s="8">
        <f>_xlfn.XLOOKUP(CustomerCombined[[#This Row],[ID]], Table2[ID],Table2[MC2], "Not Found", 0 )</f>
        <v>0</v>
      </c>
      <c r="AA1808" s="8">
        <f>_xlfn.XLOOKUP(CustomerCombined[[#This Row],[ID]], Table2[ID],Table2[MC3], "Not Found", 0 )</f>
        <v>0</v>
      </c>
      <c r="AB1808" s="8">
        <f>_xlfn.XLOOKUP(CustomerCombined[[#This Row],[ID]], Table2[ID],Table2[MC4], "Not Found", 0 )</f>
        <v>0</v>
      </c>
      <c r="AC1808" s="8">
        <f>_xlfn.XLOOKUP(CustomerCombined[[#This Row],[ID]], Table2[ID],Table2[MC5], "Not Found", 0 )</f>
        <v>0</v>
      </c>
    </row>
    <row r="1809" spans="1:29" x14ac:dyDescent="0.3">
      <c r="A1809" s="6">
        <v>1859</v>
      </c>
      <c r="B1809" s="6">
        <v>186424</v>
      </c>
      <c r="C1809" s="6">
        <v>0</v>
      </c>
      <c r="D1809" s="6">
        <v>0</v>
      </c>
      <c r="E1809" s="6">
        <v>64</v>
      </c>
      <c r="F1809" s="5" t="s">
        <v>7</v>
      </c>
      <c r="G1809" s="5" t="s">
        <v>12</v>
      </c>
      <c r="H1809" s="3">
        <v>44083</v>
      </c>
      <c r="I1809" s="5" t="s">
        <v>434</v>
      </c>
      <c r="J1809" s="5">
        <f>_xlfn.XLOOKUP(CustomerCombined[[#This Row],[ID]], Table4[ID], Table4[Recency], "Not Found", 0)</f>
        <v>12</v>
      </c>
      <c r="K1809" s="5">
        <f>_xlfn.XLOOKUP(CustomerCombined[[#This Row],[ID]], Table4[ID], Table4[Teas], "Not Found", 0)</f>
        <v>835</v>
      </c>
      <c r="L1809" s="5">
        <f>_xlfn.XLOOKUP(CustomerCombined[[#This Row],[ID]], Table4[ID], Table4[Fruits], "Not Found", 0)</f>
        <v>147</v>
      </c>
      <c r="M1809" s="5">
        <f>_xlfn.XLOOKUP(CustomerCombined[[#This Row],[ID]], Table4[ID], Table4[Meats], "Not Found", 0)</f>
        <v>1227</v>
      </c>
      <c r="N1809" s="5">
        <f>_xlfn.XLOOKUP(CustomerCombined[[#This Row],[ID]], Table4[ID], Table4[Seafood], "Not Found", 0)</f>
        <v>192</v>
      </c>
      <c r="O1809" s="5">
        <f>_xlfn.XLOOKUP(CustomerCombined[[#This Row],[ID]], Table4[ID], Table4[Sweets], "Not Found", 0)</f>
        <v>97</v>
      </c>
      <c r="P1809" s="5">
        <f>_xlfn.XLOOKUP(CustomerCombined[[#This Row],[ID]], Table4[ID], Table4[Premium], "Not Found", 0)</f>
        <v>147</v>
      </c>
      <c r="Q1809" s="5">
        <f>_xlfn.XLOOKUP(CustomerCombined[[#This Row],[ID]], Table4[ID], Table4[Regular], "Not Found", 0)</f>
        <v>2351</v>
      </c>
      <c r="R1809" s="5">
        <f>_xlfn.XLOOKUP(CustomerCombined[[#This Row],[ID]], Table4[ID], Table4[Deals], "Not Found", 0)</f>
        <v>1</v>
      </c>
      <c r="S1809" s="5">
        <f>_xlfn.XLOOKUP(CustomerCombined[[#This Row],[ID]], Table4[ID], Table4[Website], "Not Found", 0)</f>
        <v>6</v>
      </c>
      <c r="T1809" s="5">
        <f>_xlfn.XLOOKUP(CustomerCombined[[#This Row],[ID]], Table4[ID], Table4[Catalog], "Not Found", 0)</f>
        <v>9</v>
      </c>
      <c r="U1809" s="5">
        <f>_xlfn.XLOOKUP(CustomerCombined[[#This Row],[ID]], Table4[ID], Table4[Store], "Not Found", 0)</f>
        <v>12</v>
      </c>
      <c r="V1809" s="5">
        <f>_xlfn.XLOOKUP(CustomerCombined[[#This Row],[ID]], Table4[ID], Table4[Visits], "Not Found", 0)</f>
        <v>1</v>
      </c>
      <c r="W1809" s="8">
        <f>_xlfn.XLOOKUP(CustomerCombined[[#This Row],[ID]], Table2[ID],Table2[Complaint], "Not Found", 0 )</f>
        <v>0</v>
      </c>
      <c r="X1809" s="8">
        <f>_xlfn.XLOOKUP(CustomerCombined[[#This Row],[ID]], Table2[ID],Table2[Pilot], "Not Found", 0 )</f>
        <v>0</v>
      </c>
      <c r="Y1809" s="8">
        <f>_xlfn.XLOOKUP(CustomerCombined[[#This Row],[ID]], Table2[ID],Table2[MC1], "Not Found", 0 )</f>
        <v>0</v>
      </c>
      <c r="Z1809" s="8">
        <f>_xlfn.XLOOKUP(CustomerCombined[[#This Row],[ID]], Table2[ID],Table2[MC2], "Not Found", 0 )</f>
        <v>0</v>
      </c>
      <c r="AA1809" s="8">
        <f>_xlfn.XLOOKUP(CustomerCombined[[#This Row],[ID]], Table2[ID],Table2[MC3], "Not Found", 0 )</f>
        <v>0</v>
      </c>
      <c r="AB1809" s="8">
        <f>_xlfn.XLOOKUP(CustomerCombined[[#This Row],[ID]], Table2[ID],Table2[MC4], "Not Found", 0 )</f>
        <v>0</v>
      </c>
      <c r="AC1809" s="8">
        <f>_xlfn.XLOOKUP(CustomerCombined[[#This Row],[ID]], Table2[ID],Table2[MC5], "Not Found", 0 )</f>
        <v>0</v>
      </c>
    </row>
    <row r="1810" spans="1:29" x14ac:dyDescent="0.3">
      <c r="A1810" s="6">
        <v>3155</v>
      </c>
      <c r="B1810" s="6">
        <v>184117</v>
      </c>
      <c r="C1810" s="6">
        <v>0</v>
      </c>
      <c r="D1810" s="6">
        <v>0</v>
      </c>
      <c r="E1810" s="6">
        <v>64</v>
      </c>
      <c r="F1810" s="5" t="s">
        <v>6</v>
      </c>
      <c r="G1810" s="5" t="s">
        <v>13</v>
      </c>
      <c r="H1810" s="3" t="s">
        <v>53</v>
      </c>
      <c r="I1810" s="5" t="s">
        <v>434</v>
      </c>
      <c r="J1810" s="5">
        <f>_xlfn.XLOOKUP(CustomerCombined[[#This Row],[ID]], Table4[ID], Table4[Recency], "Not Found", 0)</f>
        <v>60</v>
      </c>
      <c r="K1810" s="5">
        <f>_xlfn.XLOOKUP(CustomerCombined[[#This Row],[ID]], Table4[ID], Table4[Teas], "Not Found", 0)</f>
        <v>1337</v>
      </c>
      <c r="L1810" s="5">
        <f>_xlfn.XLOOKUP(CustomerCombined[[#This Row],[ID]], Table4[ID], Table4[Fruits], "Not Found", 0)</f>
        <v>166</v>
      </c>
      <c r="M1810" s="5">
        <f>_xlfn.XLOOKUP(CustomerCombined[[#This Row],[ID]], Table4[ID], Table4[Meats], "Not Found", 0)</f>
        <v>1639</v>
      </c>
      <c r="N1810" s="5">
        <f>_xlfn.XLOOKUP(CustomerCombined[[#This Row],[ID]], Table4[ID], Table4[Seafood], "Not Found", 0)</f>
        <v>129</v>
      </c>
      <c r="O1810" s="5">
        <f>_xlfn.XLOOKUP(CustomerCombined[[#This Row],[ID]], Table4[ID], Table4[Sweets], "Not Found", 0)</f>
        <v>98</v>
      </c>
      <c r="P1810" s="5">
        <f>_xlfn.XLOOKUP(CustomerCombined[[#This Row],[ID]], Table4[ID], Table4[Premium], "Not Found", 0)</f>
        <v>57</v>
      </c>
      <c r="Q1810" s="5">
        <f>_xlfn.XLOOKUP(CustomerCombined[[#This Row],[ID]], Table4[ID], Table4[Regular], "Not Found", 0)</f>
        <v>3314</v>
      </c>
      <c r="R1810" s="5">
        <f>_xlfn.XLOOKUP(CustomerCombined[[#This Row],[ID]], Table4[ID], Table4[Deals], "Not Found", 0)</f>
        <v>1</v>
      </c>
      <c r="S1810" s="5">
        <f>_xlfn.XLOOKUP(CustomerCombined[[#This Row],[ID]], Table4[ID], Table4[Website], "Not Found", 0)</f>
        <v>7</v>
      </c>
      <c r="T1810" s="5">
        <f>_xlfn.XLOOKUP(CustomerCombined[[#This Row],[ID]], Table4[ID], Table4[Catalog], "Not Found", 0)</f>
        <v>10</v>
      </c>
      <c r="U1810" s="5">
        <f>_xlfn.XLOOKUP(CustomerCombined[[#This Row],[ID]], Table4[ID], Table4[Store], "Not Found", 0)</f>
        <v>6</v>
      </c>
      <c r="V1810" s="5">
        <f>_xlfn.XLOOKUP(CustomerCombined[[#This Row],[ID]], Table4[ID], Table4[Visits], "Not Found", 0)</f>
        <v>2</v>
      </c>
      <c r="W1810" s="8">
        <f>_xlfn.XLOOKUP(CustomerCombined[[#This Row],[ID]], Table2[ID],Table2[Complaint], "Not Found", 0 )</f>
        <v>0</v>
      </c>
      <c r="X1810" s="8">
        <f>_xlfn.XLOOKUP(CustomerCombined[[#This Row],[ID]], Table2[ID],Table2[Pilot], "Not Found", 0 )</f>
        <v>0</v>
      </c>
      <c r="Y1810" s="8">
        <f>_xlfn.XLOOKUP(CustomerCombined[[#This Row],[ID]], Table2[ID],Table2[MC1], "Not Found", 0 )</f>
        <v>0</v>
      </c>
      <c r="Z1810" s="8">
        <f>_xlfn.XLOOKUP(CustomerCombined[[#This Row],[ID]], Table2[ID],Table2[MC2], "Not Found", 0 )</f>
        <v>0</v>
      </c>
      <c r="AA1810" s="8">
        <f>_xlfn.XLOOKUP(CustomerCombined[[#This Row],[ID]], Table2[ID],Table2[MC3], "Not Found", 0 )</f>
        <v>0</v>
      </c>
      <c r="AB1810" s="8">
        <f>_xlfn.XLOOKUP(CustomerCombined[[#This Row],[ID]], Table2[ID],Table2[MC4], "Not Found", 0 )</f>
        <v>0</v>
      </c>
      <c r="AC1810" s="8">
        <f>_xlfn.XLOOKUP(CustomerCombined[[#This Row],[ID]], Table2[ID],Table2[MC5], "Not Found", 0 )</f>
        <v>1</v>
      </c>
    </row>
    <row r="1811" spans="1:29" x14ac:dyDescent="0.3">
      <c r="A1811" s="6">
        <v>2063</v>
      </c>
      <c r="B1811" s="6">
        <v>179456</v>
      </c>
      <c r="C1811" s="6">
        <v>0</v>
      </c>
      <c r="D1811" s="6">
        <v>0</v>
      </c>
      <c r="E1811" s="6">
        <v>64</v>
      </c>
      <c r="F1811" s="5" t="s">
        <v>6</v>
      </c>
      <c r="G1811" s="5" t="s">
        <v>11</v>
      </c>
      <c r="H1811" s="3" t="s">
        <v>406</v>
      </c>
      <c r="I1811" s="5" t="s">
        <v>434</v>
      </c>
      <c r="J1811" s="5">
        <f>_xlfn.XLOOKUP(CustomerCombined[[#This Row],[ID]], Table4[ID], Table4[Recency], "Not Found", 0)</f>
        <v>12</v>
      </c>
      <c r="K1811" s="5">
        <f>_xlfn.XLOOKUP(CustomerCombined[[#This Row],[ID]], Table4[ID], Table4[Teas], "Not Found", 0)</f>
        <v>1276</v>
      </c>
      <c r="L1811" s="5">
        <f>_xlfn.XLOOKUP(CustomerCombined[[#This Row],[ID]], Table4[ID], Table4[Fruits], "Not Found", 0)</f>
        <v>95</v>
      </c>
      <c r="M1811" s="5">
        <f>_xlfn.XLOOKUP(CustomerCombined[[#This Row],[ID]], Table4[ID], Table4[Meats], "Not Found", 0)</f>
        <v>1238</v>
      </c>
      <c r="N1811" s="5">
        <f>_xlfn.XLOOKUP(CustomerCombined[[#This Row],[ID]], Table4[ID], Table4[Seafood], "Not Found", 0)</f>
        <v>145</v>
      </c>
      <c r="O1811" s="5">
        <f>_xlfn.XLOOKUP(CustomerCombined[[#This Row],[ID]], Table4[ID], Table4[Sweets], "Not Found", 0)</f>
        <v>187</v>
      </c>
      <c r="P1811" s="5">
        <f>_xlfn.XLOOKUP(CustomerCombined[[#This Row],[ID]], Table4[ID], Table4[Premium], "Not Found", 0)</f>
        <v>224</v>
      </c>
      <c r="Q1811" s="5">
        <f>_xlfn.XLOOKUP(CustomerCombined[[#This Row],[ID]], Table4[ID], Table4[Regular], "Not Found", 0)</f>
        <v>2717</v>
      </c>
      <c r="R1811" s="5">
        <f>_xlfn.XLOOKUP(CustomerCombined[[#This Row],[ID]], Table4[ID], Table4[Deals], "Not Found", 0)</f>
        <v>1</v>
      </c>
      <c r="S1811" s="5">
        <f>_xlfn.XLOOKUP(CustomerCombined[[#This Row],[ID]], Table4[ID], Table4[Website], "Not Found", 0)</f>
        <v>5</v>
      </c>
      <c r="T1811" s="5">
        <f>_xlfn.XLOOKUP(CustomerCombined[[#This Row],[ID]], Table4[ID], Table4[Catalog], "Not Found", 0)</f>
        <v>6</v>
      </c>
      <c r="U1811" s="5">
        <f>_xlfn.XLOOKUP(CustomerCombined[[#This Row],[ID]], Table4[ID], Table4[Store], "Not Found", 0)</f>
        <v>4</v>
      </c>
      <c r="V1811" s="5">
        <f>_xlfn.XLOOKUP(CustomerCombined[[#This Row],[ID]], Table4[ID], Table4[Visits], "Not Found", 0)</f>
        <v>3</v>
      </c>
      <c r="W1811" s="8">
        <f>_xlfn.XLOOKUP(CustomerCombined[[#This Row],[ID]], Table2[ID],Table2[Complaint], "Not Found", 0 )</f>
        <v>0</v>
      </c>
      <c r="X1811" s="8">
        <f>_xlfn.XLOOKUP(CustomerCombined[[#This Row],[ID]], Table2[ID],Table2[Pilot], "Not Found", 0 )</f>
        <v>1</v>
      </c>
      <c r="Y1811" s="8">
        <f>_xlfn.XLOOKUP(CustomerCombined[[#This Row],[ID]], Table2[ID],Table2[MC1], "Not Found", 0 )</f>
        <v>0</v>
      </c>
      <c r="Z1811" s="8">
        <f>_xlfn.XLOOKUP(CustomerCombined[[#This Row],[ID]], Table2[ID],Table2[MC2], "Not Found", 0 )</f>
        <v>0</v>
      </c>
      <c r="AA1811" s="8">
        <f>_xlfn.XLOOKUP(CustomerCombined[[#This Row],[ID]], Table2[ID],Table2[MC3], "Not Found", 0 )</f>
        <v>0</v>
      </c>
      <c r="AB1811" s="8">
        <f>_xlfn.XLOOKUP(CustomerCombined[[#This Row],[ID]], Table2[ID],Table2[MC4], "Not Found", 0 )</f>
        <v>0</v>
      </c>
      <c r="AC1811" s="8">
        <f>_xlfn.XLOOKUP(CustomerCombined[[#This Row],[ID]], Table2[ID],Table2[MC5], "Not Found", 0 )</f>
        <v>0</v>
      </c>
    </row>
    <row r="1812" spans="1:29" x14ac:dyDescent="0.3">
      <c r="A1812" s="6">
        <v>1981</v>
      </c>
      <c r="B1812" s="6">
        <v>178028</v>
      </c>
      <c r="C1812" s="6">
        <v>0</v>
      </c>
      <c r="D1812" s="6">
        <v>1</v>
      </c>
      <c r="E1812" s="6">
        <v>64</v>
      </c>
      <c r="F1812" s="5" t="s">
        <v>9</v>
      </c>
      <c r="G1812" s="5" t="s">
        <v>13</v>
      </c>
      <c r="H1812" s="3" t="s">
        <v>399</v>
      </c>
      <c r="I1812" s="5" t="s">
        <v>437</v>
      </c>
      <c r="J1812" s="5">
        <f>_xlfn.XLOOKUP(CustomerCombined[[#This Row],[ID]], Table4[ID], Table4[Recency], "Not Found", 0)</f>
        <v>38</v>
      </c>
      <c r="K1812" s="5">
        <f>_xlfn.XLOOKUP(CustomerCombined[[#This Row],[ID]], Table4[ID], Table4[Teas], "Not Found", 0)</f>
        <v>360</v>
      </c>
      <c r="L1812" s="5">
        <f>_xlfn.XLOOKUP(CustomerCombined[[#This Row],[ID]], Table4[ID], Table4[Fruits], "Not Found", 0)</f>
        <v>43</v>
      </c>
      <c r="M1812" s="5">
        <f>_xlfn.XLOOKUP(CustomerCombined[[#This Row],[ID]], Table4[ID], Table4[Meats], "Not Found", 0)</f>
        <v>657</v>
      </c>
      <c r="N1812" s="5">
        <f>_xlfn.XLOOKUP(CustomerCombined[[#This Row],[ID]], Table4[ID], Table4[Seafood], "Not Found", 0)</f>
        <v>57</v>
      </c>
      <c r="O1812" s="5">
        <f>_xlfn.XLOOKUP(CustomerCombined[[#This Row],[ID]], Table4[ID], Table4[Sweets], "Not Found", 0)</f>
        <v>0</v>
      </c>
      <c r="P1812" s="5">
        <f>_xlfn.XLOOKUP(CustomerCombined[[#This Row],[ID]], Table4[ID], Table4[Premium], "Not Found", 0)</f>
        <v>87</v>
      </c>
      <c r="Q1812" s="5">
        <f>_xlfn.XLOOKUP(CustomerCombined[[#This Row],[ID]], Table4[ID], Table4[Regular], "Not Found", 0)</f>
        <v>1031</v>
      </c>
      <c r="R1812" s="5">
        <f>_xlfn.XLOOKUP(CustomerCombined[[#This Row],[ID]], Table4[ID], Table4[Deals], "Not Found", 0)</f>
        <v>1</v>
      </c>
      <c r="S1812" s="5">
        <f>_xlfn.XLOOKUP(CustomerCombined[[#This Row],[ID]], Table4[ID], Table4[Website], "Not Found", 0)</f>
        <v>6</v>
      </c>
      <c r="T1812" s="5">
        <f>_xlfn.XLOOKUP(CustomerCombined[[#This Row],[ID]], Table4[ID], Table4[Catalog], "Not Found", 0)</f>
        <v>4</v>
      </c>
      <c r="U1812" s="5">
        <f>_xlfn.XLOOKUP(CustomerCombined[[#This Row],[ID]], Table4[ID], Table4[Store], "Not Found", 0)</f>
        <v>9</v>
      </c>
      <c r="V1812" s="5">
        <f>_xlfn.XLOOKUP(CustomerCombined[[#This Row],[ID]], Table4[ID], Table4[Visits], "Not Found", 0)</f>
        <v>7</v>
      </c>
      <c r="W1812" s="8">
        <f>_xlfn.XLOOKUP(CustomerCombined[[#This Row],[ID]], Table2[ID],Table2[Complaint], "Not Found", 0 )</f>
        <v>0</v>
      </c>
      <c r="X1812" s="8">
        <f>_xlfn.XLOOKUP(CustomerCombined[[#This Row],[ID]], Table2[ID],Table2[Pilot], "Not Found", 0 )</f>
        <v>1</v>
      </c>
      <c r="Y1812" s="8">
        <f>_xlfn.XLOOKUP(CustomerCombined[[#This Row],[ID]], Table2[ID],Table2[MC1], "Not Found", 0 )</f>
        <v>0</v>
      </c>
      <c r="Z1812" s="8">
        <f>_xlfn.XLOOKUP(CustomerCombined[[#This Row],[ID]], Table2[ID],Table2[MC2], "Not Found", 0 )</f>
        <v>0</v>
      </c>
      <c r="AA1812" s="8">
        <f>_xlfn.XLOOKUP(CustomerCombined[[#This Row],[ID]], Table2[ID],Table2[MC3], "Not Found", 0 )</f>
        <v>0</v>
      </c>
      <c r="AB1812" s="8">
        <f>_xlfn.XLOOKUP(CustomerCombined[[#This Row],[ID]], Table2[ID],Table2[MC4], "Not Found", 0 )</f>
        <v>1</v>
      </c>
      <c r="AC1812" s="8">
        <f>_xlfn.XLOOKUP(CustomerCombined[[#This Row],[ID]], Table2[ID],Table2[MC5], "Not Found", 0 )</f>
        <v>1</v>
      </c>
    </row>
    <row r="1813" spans="1:29" x14ac:dyDescent="0.3">
      <c r="A1813" s="6">
        <v>1120</v>
      </c>
      <c r="B1813" s="6">
        <v>177376</v>
      </c>
      <c r="C1813" s="6">
        <v>1</v>
      </c>
      <c r="D1813" s="6">
        <v>1</v>
      </c>
      <c r="E1813" s="6">
        <v>64</v>
      </c>
      <c r="F1813" s="5" t="s">
        <v>8</v>
      </c>
      <c r="G1813" s="5" t="s">
        <v>13</v>
      </c>
      <c r="H1813" s="3" t="s">
        <v>54</v>
      </c>
      <c r="I1813" s="5" t="s">
        <v>439</v>
      </c>
      <c r="J1813" s="5">
        <f>_xlfn.XLOOKUP(CustomerCombined[[#This Row],[ID]], Table4[ID], Table4[Recency], "Not Found", 0)</f>
        <v>72</v>
      </c>
      <c r="K1813" s="5">
        <f>_xlfn.XLOOKUP(CustomerCombined[[#This Row],[ID]], Table4[ID], Table4[Teas], "Not Found", 0)</f>
        <v>1128</v>
      </c>
      <c r="L1813" s="5">
        <f>_xlfn.XLOOKUP(CustomerCombined[[#This Row],[ID]], Table4[ID], Table4[Fruits], "Not Found", 0)</f>
        <v>44</v>
      </c>
      <c r="M1813" s="5">
        <f>_xlfn.XLOOKUP(CustomerCombined[[#This Row],[ID]], Table4[ID], Table4[Meats], "Not Found", 0)</f>
        <v>252</v>
      </c>
      <c r="N1813" s="5">
        <f>_xlfn.XLOOKUP(CustomerCombined[[#This Row],[ID]], Table4[ID], Table4[Seafood], "Not Found", 0)</f>
        <v>37</v>
      </c>
      <c r="O1813" s="5">
        <f>_xlfn.XLOOKUP(CustomerCombined[[#This Row],[ID]], Table4[ID], Table4[Sweets], "Not Found", 0)</f>
        <v>28</v>
      </c>
      <c r="P1813" s="5">
        <f>_xlfn.XLOOKUP(CustomerCombined[[#This Row],[ID]], Table4[ID], Table4[Premium], "Not Found", 0)</f>
        <v>28</v>
      </c>
      <c r="Q1813" s="5">
        <f>_xlfn.XLOOKUP(CustomerCombined[[#This Row],[ID]], Table4[ID], Table4[Regular], "Not Found", 0)</f>
        <v>1460</v>
      </c>
      <c r="R1813" s="5">
        <f>_xlfn.XLOOKUP(CustomerCombined[[#This Row],[ID]], Table4[ID], Table4[Deals], "Not Found", 0)</f>
        <v>4</v>
      </c>
      <c r="S1813" s="5">
        <f>_xlfn.XLOOKUP(CustomerCombined[[#This Row],[ID]], Table4[ID], Table4[Website], "Not Found", 0)</f>
        <v>6</v>
      </c>
      <c r="T1813" s="5">
        <f>_xlfn.XLOOKUP(CustomerCombined[[#This Row],[ID]], Table4[ID], Table4[Catalog], "Not Found", 0)</f>
        <v>3</v>
      </c>
      <c r="U1813" s="5">
        <f>_xlfn.XLOOKUP(CustomerCombined[[#This Row],[ID]], Table4[ID], Table4[Store], "Not Found", 0)</f>
        <v>10</v>
      </c>
      <c r="V1813" s="5">
        <f>_xlfn.XLOOKUP(CustomerCombined[[#This Row],[ID]], Table4[ID], Table4[Visits], "Not Found", 0)</f>
        <v>4</v>
      </c>
      <c r="W1813" s="8">
        <f>_xlfn.XLOOKUP(CustomerCombined[[#This Row],[ID]], Table2[ID],Table2[Complaint], "Not Found", 0 )</f>
        <v>0</v>
      </c>
      <c r="X1813" s="8">
        <f>_xlfn.XLOOKUP(CustomerCombined[[#This Row],[ID]], Table2[ID],Table2[Pilot], "Not Found", 0 )</f>
        <v>0</v>
      </c>
      <c r="Y1813" s="8">
        <f>_xlfn.XLOOKUP(CustomerCombined[[#This Row],[ID]], Table2[ID],Table2[MC1], "Not Found", 0 )</f>
        <v>0</v>
      </c>
      <c r="Z1813" s="8">
        <f>_xlfn.XLOOKUP(CustomerCombined[[#This Row],[ID]], Table2[ID],Table2[MC2], "Not Found", 0 )</f>
        <v>0</v>
      </c>
      <c r="AA1813" s="8">
        <f>_xlfn.XLOOKUP(CustomerCombined[[#This Row],[ID]], Table2[ID],Table2[MC3], "Not Found", 0 )</f>
        <v>0</v>
      </c>
      <c r="AB1813" s="8">
        <f>_xlfn.XLOOKUP(CustomerCombined[[#This Row],[ID]], Table2[ID],Table2[MC4], "Not Found", 0 )</f>
        <v>0</v>
      </c>
      <c r="AC1813" s="8">
        <f>_xlfn.XLOOKUP(CustomerCombined[[#This Row],[ID]], Table2[ID],Table2[MC5], "Not Found", 0 )</f>
        <v>0</v>
      </c>
    </row>
    <row r="1814" spans="1:29" x14ac:dyDescent="0.3">
      <c r="A1814" s="6">
        <v>2330</v>
      </c>
      <c r="B1814" s="6">
        <v>176542</v>
      </c>
      <c r="C1814" s="6">
        <v>0</v>
      </c>
      <c r="D1814" s="6">
        <v>0</v>
      </c>
      <c r="E1814" s="6">
        <v>64</v>
      </c>
      <c r="F1814" s="5" t="s">
        <v>8</v>
      </c>
      <c r="G1814" s="5" t="s">
        <v>13</v>
      </c>
      <c r="H1814" s="3">
        <v>43564</v>
      </c>
      <c r="I1814" s="5" t="s">
        <v>438</v>
      </c>
      <c r="J1814" s="5">
        <f>_xlfn.XLOOKUP(CustomerCombined[[#This Row],[ID]], Table4[ID], Table4[Recency], "Not Found", 0)</f>
        <v>91</v>
      </c>
      <c r="K1814" s="5">
        <f>_xlfn.XLOOKUP(CustomerCombined[[#This Row],[ID]], Table4[ID], Table4[Teas], "Not Found", 0)</f>
        <v>1831</v>
      </c>
      <c r="L1814" s="5">
        <f>_xlfn.XLOOKUP(CustomerCombined[[#This Row],[ID]], Table4[ID], Table4[Fruits], "Not Found", 0)</f>
        <v>168</v>
      </c>
      <c r="M1814" s="5">
        <f>_xlfn.XLOOKUP(CustomerCombined[[#This Row],[ID]], Table4[ID], Table4[Meats], "Not Found", 0)</f>
        <v>1322</v>
      </c>
      <c r="N1814" s="5">
        <f>_xlfn.XLOOKUP(CustomerCombined[[#This Row],[ID]], Table4[ID], Table4[Seafood], "Not Found", 0)</f>
        <v>0</v>
      </c>
      <c r="O1814" s="5">
        <f>_xlfn.XLOOKUP(CustomerCombined[[#This Row],[ID]], Table4[ID], Table4[Sweets], "Not Found", 0)</f>
        <v>67</v>
      </c>
      <c r="P1814" s="5">
        <f>_xlfn.XLOOKUP(CustomerCombined[[#This Row],[ID]], Table4[ID], Table4[Premium], "Not Found", 0)</f>
        <v>32</v>
      </c>
      <c r="Q1814" s="5">
        <f>_xlfn.XLOOKUP(CustomerCombined[[#This Row],[ID]], Table4[ID], Table4[Regular], "Not Found", 0)</f>
        <v>3356</v>
      </c>
      <c r="R1814" s="5">
        <f>_xlfn.XLOOKUP(CustomerCombined[[#This Row],[ID]], Table4[ID], Table4[Deals], "Not Found", 0)</f>
        <v>1</v>
      </c>
      <c r="S1814" s="5">
        <f>_xlfn.XLOOKUP(CustomerCombined[[#This Row],[ID]], Table4[ID], Table4[Website], "Not Found", 0)</f>
        <v>4</v>
      </c>
      <c r="T1814" s="5">
        <f>_xlfn.XLOOKUP(CustomerCombined[[#This Row],[ID]], Table4[ID], Table4[Catalog], "Not Found", 0)</f>
        <v>8</v>
      </c>
      <c r="U1814" s="5">
        <f>_xlfn.XLOOKUP(CustomerCombined[[#This Row],[ID]], Table4[ID], Table4[Store], "Not Found", 0)</f>
        <v>10</v>
      </c>
      <c r="V1814" s="5">
        <f>_xlfn.XLOOKUP(CustomerCombined[[#This Row],[ID]], Table4[ID], Table4[Visits], "Not Found", 0)</f>
        <v>2</v>
      </c>
      <c r="W1814" s="8">
        <f>_xlfn.XLOOKUP(CustomerCombined[[#This Row],[ID]], Table2[ID],Table2[Complaint], "Not Found", 0 )</f>
        <v>0</v>
      </c>
      <c r="X1814" s="8">
        <f>_xlfn.XLOOKUP(CustomerCombined[[#This Row],[ID]], Table2[ID],Table2[Pilot], "Not Found", 0 )</f>
        <v>0</v>
      </c>
      <c r="Y1814" s="8">
        <f>_xlfn.XLOOKUP(CustomerCombined[[#This Row],[ID]], Table2[ID],Table2[MC1], "Not Found", 0 )</f>
        <v>0</v>
      </c>
      <c r="Z1814" s="8">
        <f>_xlfn.XLOOKUP(CustomerCombined[[#This Row],[ID]], Table2[ID],Table2[MC2], "Not Found", 0 )</f>
        <v>0</v>
      </c>
      <c r="AA1814" s="8">
        <f>_xlfn.XLOOKUP(CustomerCombined[[#This Row],[ID]], Table2[ID],Table2[MC3], "Not Found", 0 )</f>
        <v>0</v>
      </c>
      <c r="AB1814" s="8">
        <f>_xlfn.XLOOKUP(CustomerCombined[[#This Row],[ID]], Table2[ID],Table2[MC4], "Not Found", 0 )</f>
        <v>0</v>
      </c>
      <c r="AC1814" s="8">
        <f>_xlfn.XLOOKUP(CustomerCombined[[#This Row],[ID]], Table2[ID],Table2[MC5], "Not Found", 0 )</f>
        <v>0</v>
      </c>
    </row>
    <row r="1815" spans="1:29" x14ac:dyDescent="0.3">
      <c r="A1815" s="6">
        <v>3044</v>
      </c>
      <c r="B1815" s="6">
        <v>171866</v>
      </c>
      <c r="C1815" s="6">
        <v>0</v>
      </c>
      <c r="D1815" s="6">
        <v>1</v>
      </c>
      <c r="E1815" s="6">
        <v>64</v>
      </c>
      <c r="F1815" s="5" t="s">
        <v>6</v>
      </c>
      <c r="G1815" s="5" t="s">
        <v>11</v>
      </c>
      <c r="H1815" s="3" t="s">
        <v>123</v>
      </c>
      <c r="I1815" s="5" t="s">
        <v>438</v>
      </c>
      <c r="J1815" s="5">
        <f>_xlfn.XLOOKUP(CustomerCombined[[#This Row],[ID]], Table4[ID], Table4[Recency], "Not Found", 0)</f>
        <v>85</v>
      </c>
      <c r="K1815" s="5">
        <f>_xlfn.XLOOKUP(CustomerCombined[[#This Row],[ID]], Table4[ID], Table4[Teas], "Not Found", 0)</f>
        <v>440</v>
      </c>
      <c r="L1815" s="5">
        <f>_xlfn.XLOOKUP(CustomerCombined[[#This Row],[ID]], Table4[ID], Table4[Fruits], "Not Found", 0)</f>
        <v>426</v>
      </c>
      <c r="M1815" s="5">
        <f>_xlfn.XLOOKUP(CustomerCombined[[#This Row],[ID]], Table4[ID], Table4[Meats], "Not Found", 0)</f>
        <v>426</v>
      </c>
      <c r="N1815" s="5">
        <f>_xlfn.XLOOKUP(CustomerCombined[[#This Row],[ID]], Table4[ID], Table4[Seafood], "Not Found", 0)</f>
        <v>246</v>
      </c>
      <c r="O1815" s="5">
        <f>_xlfn.XLOOKUP(CustomerCombined[[#This Row],[ID]], Table4[ID], Table4[Sweets], "Not Found", 0)</f>
        <v>93</v>
      </c>
      <c r="P1815" s="5">
        <f>_xlfn.XLOOKUP(CustomerCombined[[#This Row],[ID]], Table4[ID], Table4[Premium], "Not Found", 0)</f>
        <v>79</v>
      </c>
      <c r="Q1815" s="5">
        <f>_xlfn.XLOOKUP(CustomerCombined[[#This Row],[ID]], Table4[ID], Table4[Regular], "Not Found", 0)</f>
        <v>1552</v>
      </c>
      <c r="R1815" s="5">
        <f>_xlfn.XLOOKUP(CustomerCombined[[#This Row],[ID]], Table4[ID], Table4[Deals], "Not Found", 0)</f>
        <v>1</v>
      </c>
      <c r="S1815" s="5">
        <f>_xlfn.XLOOKUP(CustomerCombined[[#This Row],[ID]], Table4[ID], Table4[Website], "Not Found", 0)</f>
        <v>6</v>
      </c>
      <c r="T1815" s="5">
        <f>_xlfn.XLOOKUP(CustomerCombined[[#This Row],[ID]], Table4[ID], Table4[Catalog], "Not Found", 0)</f>
        <v>3</v>
      </c>
      <c r="U1815" s="5">
        <f>_xlfn.XLOOKUP(CustomerCombined[[#This Row],[ID]], Table4[ID], Table4[Store], "Not Found", 0)</f>
        <v>10</v>
      </c>
      <c r="V1815" s="5">
        <f>_xlfn.XLOOKUP(CustomerCombined[[#This Row],[ID]], Table4[ID], Table4[Visits], "Not Found", 0)</f>
        <v>3</v>
      </c>
      <c r="W1815" s="8">
        <f>_xlfn.XLOOKUP(CustomerCombined[[#This Row],[ID]], Table2[ID],Table2[Complaint], "Not Found", 0 )</f>
        <v>0</v>
      </c>
      <c r="X1815" s="8">
        <f>_xlfn.XLOOKUP(CustomerCombined[[#This Row],[ID]], Table2[ID],Table2[Pilot], "Not Found", 0 )</f>
        <v>0</v>
      </c>
      <c r="Y1815" s="8">
        <f>_xlfn.XLOOKUP(CustomerCombined[[#This Row],[ID]], Table2[ID],Table2[MC1], "Not Found", 0 )</f>
        <v>0</v>
      </c>
      <c r="Z1815" s="8">
        <f>_xlfn.XLOOKUP(CustomerCombined[[#This Row],[ID]], Table2[ID],Table2[MC2], "Not Found", 0 )</f>
        <v>0</v>
      </c>
      <c r="AA1815" s="8">
        <f>_xlfn.XLOOKUP(CustomerCombined[[#This Row],[ID]], Table2[ID],Table2[MC3], "Not Found", 0 )</f>
        <v>0</v>
      </c>
      <c r="AB1815" s="8">
        <f>_xlfn.XLOOKUP(CustomerCombined[[#This Row],[ID]], Table2[ID],Table2[MC4], "Not Found", 0 )</f>
        <v>0</v>
      </c>
      <c r="AC1815" s="8">
        <f>_xlfn.XLOOKUP(CustomerCombined[[#This Row],[ID]], Table2[ID],Table2[MC5], "Not Found", 0 )</f>
        <v>0</v>
      </c>
    </row>
    <row r="1816" spans="1:29" x14ac:dyDescent="0.3">
      <c r="A1816" s="6">
        <v>1816</v>
      </c>
      <c r="B1816" s="6">
        <v>171391</v>
      </c>
      <c r="C1816" s="6">
        <v>0</v>
      </c>
      <c r="D1816" s="6">
        <v>1</v>
      </c>
      <c r="E1816" s="6">
        <v>64</v>
      </c>
      <c r="F1816" s="5" t="s">
        <v>6</v>
      </c>
      <c r="G1816" s="5" t="s">
        <v>11</v>
      </c>
      <c r="H1816" s="3">
        <v>43533</v>
      </c>
      <c r="I1816" s="5" t="s">
        <v>439</v>
      </c>
      <c r="J1816" s="5">
        <f>_xlfn.XLOOKUP(CustomerCombined[[#This Row],[ID]], Table4[ID], Table4[Recency], "Not Found", 0)</f>
        <v>50</v>
      </c>
      <c r="K1816" s="5">
        <f>_xlfn.XLOOKUP(CustomerCombined[[#This Row],[ID]], Table4[ID], Table4[Teas], "Not Found", 0)</f>
        <v>807</v>
      </c>
      <c r="L1816" s="5">
        <f>_xlfn.XLOOKUP(CustomerCombined[[#This Row],[ID]], Table4[ID], Table4[Fruits], "Not Found", 0)</f>
        <v>295</v>
      </c>
      <c r="M1816" s="5">
        <f>_xlfn.XLOOKUP(CustomerCombined[[#This Row],[ID]], Table4[ID], Table4[Meats], "Not Found", 0)</f>
        <v>658</v>
      </c>
      <c r="N1816" s="5">
        <f>_xlfn.XLOOKUP(CustomerCombined[[#This Row],[ID]], Table4[ID], Table4[Seafood], "Not Found", 0)</f>
        <v>110</v>
      </c>
      <c r="O1816" s="5">
        <f>_xlfn.XLOOKUP(CustomerCombined[[#This Row],[ID]], Table4[ID], Table4[Sweets], "Not Found", 0)</f>
        <v>295</v>
      </c>
      <c r="P1816" s="5">
        <f>_xlfn.XLOOKUP(CustomerCombined[[#This Row],[ID]], Table4[ID], Table4[Premium], "Not Found", 0)</f>
        <v>339</v>
      </c>
      <c r="Q1816" s="5">
        <f>_xlfn.XLOOKUP(CustomerCombined[[#This Row],[ID]], Table4[ID], Table4[Regular], "Not Found", 0)</f>
        <v>1827</v>
      </c>
      <c r="R1816" s="5">
        <f>_xlfn.XLOOKUP(CustomerCombined[[#This Row],[ID]], Table4[ID], Table4[Deals], "Not Found", 0)</f>
        <v>5</v>
      </c>
      <c r="S1816" s="5">
        <f>_xlfn.XLOOKUP(CustomerCombined[[#This Row],[ID]], Table4[ID], Table4[Website], "Not Found", 0)</f>
        <v>6</v>
      </c>
      <c r="T1816" s="5">
        <f>_xlfn.XLOOKUP(CustomerCombined[[#This Row],[ID]], Table4[ID], Table4[Catalog], "Not Found", 0)</f>
        <v>5</v>
      </c>
      <c r="U1816" s="5">
        <f>_xlfn.XLOOKUP(CustomerCombined[[#This Row],[ID]], Table4[ID], Table4[Store], "Not Found", 0)</f>
        <v>12</v>
      </c>
      <c r="V1816" s="5">
        <f>_xlfn.XLOOKUP(CustomerCombined[[#This Row],[ID]], Table4[ID], Table4[Visits], "Not Found", 0)</f>
        <v>3</v>
      </c>
      <c r="W1816" s="8">
        <f>_xlfn.XLOOKUP(CustomerCombined[[#This Row],[ID]], Table2[ID],Table2[Complaint], "Not Found", 0 )</f>
        <v>0</v>
      </c>
      <c r="X1816" s="8">
        <f>_xlfn.XLOOKUP(CustomerCombined[[#This Row],[ID]], Table2[ID],Table2[Pilot], "Not Found", 0 )</f>
        <v>0</v>
      </c>
      <c r="Y1816" s="8">
        <f>_xlfn.XLOOKUP(CustomerCombined[[#This Row],[ID]], Table2[ID],Table2[MC1], "Not Found", 0 )</f>
        <v>0</v>
      </c>
      <c r="Z1816" s="8">
        <f>_xlfn.XLOOKUP(CustomerCombined[[#This Row],[ID]], Table2[ID],Table2[MC2], "Not Found", 0 )</f>
        <v>0</v>
      </c>
      <c r="AA1816" s="8">
        <f>_xlfn.XLOOKUP(CustomerCombined[[#This Row],[ID]], Table2[ID],Table2[MC3], "Not Found", 0 )</f>
        <v>0</v>
      </c>
      <c r="AB1816" s="8">
        <f>_xlfn.XLOOKUP(CustomerCombined[[#This Row],[ID]], Table2[ID],Table2[MC4], "Not Found", 0 )</f>
        <v>0</v>
      </c>
      <c r="AC1816" s="8">
        <f>_xlfn.XLOOKUP(CustomerCombined[[#This Row],[ID]], Table2[ID],Table2[MC5], "Not Found", 0 )</f>
        <v>0</v>
      </c>
    </row>
    <row r="1817" spans="1:29" x14ac:dyDescent="0.3">
      <c r="A1817" s="6">
        <v>3204</v>
      </c>
      <c r="B1817" s="6">
        <v>169245</v>
      </c>
      <c r="C1817" s="6">
        <v>0</v>
      </c>
      <c r="D1817" s="6">
        <v>1</v>
      </c>
      <c r="E1817" s="6">
        <v>64</v>
      </c>
      <c r="F1817" s="5" t="s">
        <v>8</v>
      </c>
      <c r="G1817" s="5" t="s">
        <v>12</v>
      </c>
      <c r="H1817" s="3" t="s">
        <v>108</v>
      </c>
      <c r="I1817" s="5" t="s">
        <v>436</v>
      </c>
      <c r="J1817" s="5">
        <f>_xlfn.XLOOKUP(CustomerCombined[[#This Row],[ID]], Table4[ID], Table4[Recency], "Not Found", 0)</f>
        <v>8</v>
      </c>
      <c r="K1817" s="5">
        <f>_xlfn.XLOOKUP(CustomerCombined[[#This Row],[ID]], Table4[ID], Table4[Teas], "Not Found", 0)</f>
        <v>1046</v>
      </c>
      <c r="L1817" s="5">
        <f>_xlfn.XLOOKUP(CustomerCombined[[#This Row],[ID]], Table4[ID], Table4[Fruits], "Not Found", 0)</f>
        <v>73</v>
      </c>
      <c r="M1817" s="5">
        <f>_xlfn.XLOOKUP(CustomerCombined[[#This Row],[ID]], Table4[ID], Table4[Meats], "Not Found", 0)</f>
        <v>523</v>
      </c>
      <c r="N1817" s="5">
        <f>_xlfn.XLOOKUP(CustomerCombined[[#This Row],[ID]], Table4[ID], Table4[Seafood], "Not Found", 0)</f>
        <v>196</v>
      </c>
      <c r="O1817" s="5">
        <f>_xlfn.XLOOKUP(CustomerCombined[[#This Row],[ID]], Table4[ID], Table4[Sweets], "Not Found", 0)</f>
        <v>73</v>
      </c>
      <c r="P1817" s="5">
        <f>_xlfn.XLOOKUP(CustomerCombined[[#This Row],[ID]], Table4[ID], Table4[Premium], "Not Found", 0)</f>
        <v>149</v>
      </c>
      <c r="Q1817" s="5">
        <f>_xlfn.XLOOKUP(CustomerCombined[[#This Row],[ID]], Table4[ID], Table4[Regular], "Not Found", 0)</f>
        <v>1762</v>
      </c>
      <c r="R1817" s="5">
        <f>_xlfn.XLOOKUP(CustomerCombined[[#This Row],[ID]], Table4[ID], Table4[Deals], "Not Found", 0)</f>
        <v>2</v>
      </c>
      <c r="S1817" s="5">
        <f>_xlfn.XLOOKUP(CustomerCombined[[#This Row],[ID]], Table4[ID], Table4[Website], "Not Found", 0)</f>
        <v>6</v>
      </c>
      <c r="T1817" s="5">
        <f>_xlfn.XLOOKUP(CustomerCombined[[#This Row],[ID]], Table4[ID], Table4[Catalog], "Not Found", 0)</f>
        <v>5</v>
      </c>
      <c r="U1817" s="5">
        <f>_xlfn.XLOOKUP(CustomerCombined[[#This Row],[ID]], Table4[ID], Table4[Store], "Not Found", 0)</f>
        <v>10</v>
      </c>
      <c r="V1817" s="5">
        <f>_xlfn.XLOOKUP(CustomerCombined[[#This Row],[ID]], Table4[ID], Table4[Visits], "Not Found", 0)</f>
        <v>3</v>
      </c>
      <c r="W1817" s="8">
        <f>_xlfn.XLOOKUP(CustomerCombined[[#This Row],[ID]], Table2[ID],Table2[Complaint], "Not Found", 0 )</f>
        <v>0</v>
      </c>
      <c r="X1817" s="8">
        <f>_xlfn.XLOOKUP(CustomerCombined[[#This Row],[ID]], Table2[ID],Table2[Pilot], "Not Found", 0 )</f>
        <v>0</v>
      </c>
      <c r="Y1817" s="8">
        <f>_xlfn.XLOOKUP(CustomerCombined[[#This Row],[ID]], Table2[ID],Table2[MC1], "Not Found", 0 )</f>
        <v>0</v>
      </c>
      <c r="Z1817" s="8">
        <f>_xlfn.XLOOKUP(CustomerCombined[[#This Row],[ID]], Table2[ID],Table2[MC2], "Not Found", 0 )</f>
        <v>0</v>
      </c>
      <c r="AA1817" s="8">
        <f>_xlfn.XLOOKUP(CustomerCombined[[#This Row],[ID]], Table2[ID],Table2[MC3], "Not Found", 0 )</f>
        <v>0</v>
      </c>
      <c r="AB1817" s="8">
        <f>_xlfn.XLOOKUP(CustomerCombined[[#This Row],[ID]], Table2[ID],Table2[MC4], "Not Found", 0 )</f>
        <v>0</v>
      </c>
      <c r="AC1817" s="8">
        <f>_xlfn.XLOOKUP(CustomerCombined[[#This Row],[ID]], Table2[ID],Table2[MC5], "Not Found", 0 )</f>
        <v>0</v>
      </c>
    </row>
    <row r="1818" spans="1:29" x14ac:dyDescent="0.3">
      <c r="A1818" s="6">
        <v>2740</v>
      </c>
      <c r="B1818" s="6">
        <v>167131</v>
      </c>
      <c r="C1818" s="6">
        <v>0</v>
      </c>
      <c r="D1818" s="6">
        <v>1</v>
      </c>
      <c r="E1818" s="6">
        <v>64</v>
      </c>
      <c r="F1818" s="5" t="s">
        <v>6</v>
      </c>
      <c r="G1818" s="5" t="s">
        <v>11</v>
      </c>
      <c r="H1818" s="3" t="s">
        <v>282</v>
      </c>
      <c r="I1818" s="5" t="s">
        <v>439</v>
      </c>
      <c r="J1818" s="5">
        <f>_xlfn.XLOOKUP(CustomerCombined[[#This Row],[ID]], Table4[ID], Table4[Recency], "Not Found", 0)</f>
        <v>72</v>
      </c>
      <c r="K1818" s="5">
        <f>_xlfn.XLOOKUP(CustomerCombined[[#This Row],[ID]], Table4[ID], Table4[Teas], "Not Found", 0)</f>
        <v>1158</v>
      </c>
      <c r="L1818" s="5">
        <f>_xlfn.XLOOKUP(CustomerCombined[[#This Row],[ID]], Table4[ID], Table4[Fruits], "Not Found", 0)</f>
        <v>177</v>
      </c>
      <c r="M1818" s="5">
        <f>_xlfn.XLOOKUP(CustomerCombined[[#This Row],[ID]], Table4[ID], Table4[Meats], "Not Found", 0)</f>
        <v>622</v>
      </c>
      <c r="N1818" s="5">
        <f>_xlfn.XLOOKUP(CustomerCombined[[#This Row],[ID]], Table4[ID], Table4[Seafood], "Not Found", 0)</f>
        <v>232</v>
      </c>
      <c r="O1818" s="5">
        <f>_xlfn.XLOOKUP(CustomerCombined[[#This Row],[ID]], Table4[ID], Table4[Sweets], "Not Found", 0)</f>
        <v>87</v>
      </c>
      <c r="P1818" s="5">
        <f>_xlfn.XLOOKUP(CustomerCombined[[#This Row],[ID]], Table4[ID], Table4[Premium], "Not Found", 0)</f>
        <v>154</v>
      </c>
      <c r="Q1818" s="5">
        <f>_xlfn.XLOOKUP(CustomerCombined[[#This Row],[ID]], Table4[ID], Table4[Regular], "Not Found", 0)</f>
        <v>2121</v>
      </c>
      <c r="R1818" s="5">
        <f>_xlfn.XLOOKUP(CustomerCombined[[#This Row],[ID]], Table4[ID], Table4[Deals], "Not Found", 0)</f>
        <v>3</v>
      </c>
      <c r="S1818" s="5">
        <f>_xlfn.XLOOKUP(CustomerCombined[[#This Row],[ID]], Table4[ID], Table4[Website], "Not Found", 0)</f>
        <v>9</v>
      </c>
      <c r="T1818" s="5">
        <f>_xlfn.XLOOKUP(CustomerCombined[[#This Row],[ID]], Table4[ID], Table4[Catalog], "Not Found", 0)</f>
        <v>2</v>
      </c>
      <c r="U1818" s="5">
        <f>_xlfn.XLOOKUP(CustomerCombined[[#This Row],[ID]], Table4[ID], Table4[Store], "Not Found", 0)</f>
        <v>12</v>
      </c>
      <c r="V1818" s="5">
        <f>_xlfn.XLOOKUP(CustomerCombined[[#This Row],[ID]], Table4[ID], Table4[Visits], "Not Found", 0)</f>
        <v>6</v>
      </c>
      <c r="W1818" s="8">
        <f>_xlfn.XLOOKUP(CustomerCombined[[#This Row],[ID]], Table2[ID],Table2[Complaint], "Not Found", 0 )</f>
        <v>0</v>
      </c>
      <c r="X1818" s="8">
        <f>_xlfn.XLOOKUP(CustomerCombined[[#This Row],[ID]], Table2[ID],Table2[Pilot], "Not Found", 0 )</f>
        <v>0</v>
      </c>
      <c r="Y1818" s="8">
        <f>_xlfn.XLOOKUP(CustomerCombined[[#This Row],[ID]], Table2[ID],Table2[MC1], "Not Found", 0 )</f>
        <v>0</v>
      </c>
      <c r="Z1818" s="8">
        <f>_xlfn.XLOOKUP(CustomerCombined[[#This Row],[ID]], Table2[ID],Table2[MC2], "Not Found", 0 )</f>
        <v>0</v>
      </c>
      <c r="AA1818" s="8">
        <f>_xlfn.XLOOKUP(CustomerCombined[[#This Row],[ID]], Table2[ID],Table2[MC3], "Not Found", 0 )</f>
        <v>0</v>
      </c>
      <c r="AB1818" s="8">
        <f>_xlfn.XLOOKUP(CustomerCombined[[#This Row],[ID]], Table2[ID],Table2[MC4], "Not Found", 0 )</f>
        <v>0</v>
      </c>
      <c r="AC1818" s="8">
        <f>_xlfn.XLOOKUP(CustomerCombined[[#This Row],[ID]], Table2[ID],Table2[MC5], "Not Found", 0 )</f>
        <v>0</v>
      </c>
    </row>
    <row r="1819" spans="1:29" x14ac:dyDescent="0.3">
      <c r="A1819" s="6">
        <v>1317</v>
      </c>
      <c r="B1819" s="6">
        <v>166334</v>
      </c>
      <c r="C1819" s="6">
        <v>0</v>
      </c>
      <c r="D1819" s="6">
        <v>1</v>
      </c>
      <c r="E1819" s="6">
        <v>64</v>
      </c>
      <c r="F1819" s="5" t="s">
        <v>6</v>
      </c>
      <c r="G1819" s="5" t="s">
        <v>13</v>
      </c>
      <c r="H1819" s="3">
        <v>43686</v>
      </c>
      <c r="I1819" s="5" t="s">
        <v>435</v>
      </c>
      <c r="J1819" s="5">
        <f>_xlfn.XLOOKUP(CustomerCombined[[#This Row],[ID]], Table4[ID], Table4[Recency], "Not Found", 0)</f>
        <v>82</v>
      </c>
      <c r="K1819" s="5">
        <f>_xlfn.XLOOKUP(CustomerCombined[[#This Row],[ID]], Table4[ID], Table4[Teas], "Not Found", 0)</f>
        <v>2279</v>
      </c>
      <c r="L1819" s="5">
        <f>_xlfn.XLOOKUP(CustomerCombined[[#This Row],[ID]], Table4[ID], Table4[Fruits], "Not Found", 0)</f>
        <v>28</v>
      </c>
      <c r="M1819" s="5">
        <f>_xlfn.XLOOKUP(CustomerCombined[[#This Row],[ID]], Table4[ID], Table4[Meats], "Not Found", 0)</f>
        <v>547</v>
      </c>
      <c r="N1819" s="5">
        <f>_xlfn.XLOOKUP(CustomerCombined[[#This Row],[ID]], Table4[ID], Table4[Seafood], "Not Found", 0)</f>
        <v>0</v>
      </c>
      <c r="O1819" s="5">
        <f>_xlfn.XLOOKUP(CustomerCombined[[#This Row],[ID]], Table4[ID], Table4[Sweets], "Not Found", 0)</f>
        <v>0</v>
      </c>
      <c r="P1819" s="5">
        <f>_xlfn.XLOOKUP(CustomerCombined[[#This Row],[ID]], Table4[ID], Table4[Premium], "Not Found", 0)</f>
        <v>58</v>
      </c>
      <c r="Q1819" s="5">
        <f>_xlfn.XLOOKUP(CustomerCombined[[#This Row],[ID]], Table4[ID], Table4[Regular], "Not Found", 0)</f>
        <v>2796</v>
      </c>
      <c r="R1819" s="5">
        <f>_xlfn.XLOOKUP(CustomerCombined[[#This Row],[ID]], Table4[ID], Table4[Deals], "Not Found", 0)</f>
        <v>2</v>
      </c>
      <c r="S1819" s="5">
        <f>_xlfn.XLOOKUP(CustomerCombined[[#This Row],[ID]], Table4[ID], Table4[Website], "Not Found", 0)</f>
        <v>9</v>
      </c>
      <c r="T1819" s="5">
        <f>_xlfn.XLOOKUP(CustomerCombined[[#This Row],[ID]], Table4[ID], Table4[Catalog], "Not Found", 0)</f>
        <v>3</v>
      </c>
      <c r="U1819" s="5">
        <f>_xlfn.XLOOKUP(CustomerCombined[[#This Row],[ID]], Table4[ID], Table4[Store], "Not Found", 0)</f>
        <v>5</v>
      </c>
      <c r="V1819" s="5">
        <f>_xlfn.XLOOKUP(CustomerCombined[[#This Row],[ID]], Table4[ID], Table4[Visits], "Not Found", 0)</f>
        <v>5</v>
      </c>
      <c r="W1819" s="8">
        <f>_xlfn.XLOOKUP(CustomerCombined[[#This Row],[ID]], Table2[ID],Table2[Complaint], "Not Found", 0 )</f>
        <v>0</v>
      </c>
      <c r="X1819" s="8">
        <f>_xlfn.XLOOKUP(CustomerCombined[[#This Row],[ID]], Table2[ID],Table2[Pilot], "Not Found", 0 )</f>
        <v>1</v>
      </c>
      <c r="Y1819" s="8">
        <f>_xlfn.XLOOKUP(CustomerCombined[[#This Row],[ID]], Table2[ID],Table2[MC1], "Not Found", 0 )</f>
        <v>0</v>
      </c>
      <c r="Z1819" s="8">
        <f>_xlfn.XLOOKUP(CustomerCombined[[#This Row],[ID]], Table2[ID],Table2[MC2], "Not Found", 0 )</f>
        <v>0</v>
      </c>
      <c r="AA1819" s="8">
        <f>_xlfn.XLOOKUP(CustomerCombined[[#This Row],[ID]], Table2[ID],Table2[MC3], "Not Found", 0 )</f>
        <v>0</v>
      </c>
      <c r="AB1819" s="8">
        <f>_xlfn.XLOOKUP(CustomerCombined[[#This Row],[ID]], Table2[ID],Table2[MC4], "Not Found", 0 )</f>
        <v>0</v>
      </c>
      <c r="AC1819" s="8">
        <f>_xlfn.XLOOKUP(CustomerCombined[[#This Row],[ID]], Table2[ID],Table2[MC5], "Not Found", 0 )</f>
        <v>0</v>
      </c>
    </row>
    <row r="1820" spans="1:29" x14ac:dyDescent="0.3">
      <c r="A1820" s="6">
        <v>2291</v>
      </c>
      <c r="B1820" s="6">
        <v>164857</v>
      </c>
      <c r="C1820" s="6">
        <v>0</v>
      </c>
      <c r="D1820" s="6">
        <v>0</v>
      </c>
      <c r="E1820" s="6">
        <v>64</v>
      </c>
      <c r="F1820" s="5" t="s">
        <v>7</v>
      </c>
      <c r="G1820" s="5" t="s">
        <v>12</v>
      </c>
      <c r="H1820" s="3" t="s">
        <v>353</v>
      </c>
      <c r="I1820" s="5" t="s">
        <v>434</v>
      </c>
      <c r="J1820" s="5">
        <f>_xlfn.XLOOKUP(CustomerCombined[[#This Row],[ID]], Table4[ID], Table4[Recency], "Not Found", 0)</f>
        <v>78</v>
      </c>
      <c r="K1820" s="5">
        <f>_xlfn.XLOOKUP(CustomerCombined[[#This Row],[ID]], Table4[ID], Table4[Teas], "Not Found", 0)</f>
        <v>1413</v>
      </c>
      <c r="L1820" s="5">
        <f>_xlfn.XLOOKUP(CustomerCombined[[#This Row],[ID]], Table4[ID], Table4[Fruits], "Not Found", 0)</f>
        <v>36</v>
      </c>
      <c r="M1820" s="5">
        <f>_xlfn.XLOOKUP(CustomerCombined[[#This Row],[ID]], Table4[ID], Table4[Meats], "Not Found", 0)</f>
        <v>1823</v>
      </c>
      <c r="N1820" s="5">
        <f>_xlfn.XLOOKUP(CustomerCombined[[#This Row],[ID]], Table4[ID], Table4[Seafood], "Not Found", 0)</f>
        <v>534</v>
      </c>
      <c r="O1820" s="5">
        <f>_xlfn.XLOOKUP(CustomerCombined[[#This Row],[ID]], Table4[ID], Table4[Sweets], "Not Found", 0)</f>
        <v>0</v>
      </c>
      <c r="P1820" s="5">
        <f>_xlfn.XLOOKUP(CustomerCombined[[#This Row],[ID]], Table4[ID], Table4[Premium], "Not Found", 0)</f>
        <v>109</v>
      </c>
      <c r="Q1820" s="5">
        <f>_xlfn.XLOOKUP(CustomerCombined[[#This Row],[ID]], Table4[ID], Table4[Regular], "Not Found", 0)</f>
        <v>3696</v>
      </c>
      <c r="R1820" s="5">
        <f>_xlfn.XLOOKUP(CustomerCombined[[#This Row],[ID]], Table4[ID], Table4[Deals], "Not Found", 0)</f>
        <v>1</v>
      </c>
      <c r="S1820" s="5">
        <f>_xlfn.XLOOKUP(CustomerCombined[[#This Row],[ID]], Table4[ID], Table4[Website], "Not Found", 0)</f>
        <v>7</v>
      </c>
      <c r="T1820" s="5">
        <f>_xlfn.XLOOKUP(CustomerCombined[[#This Row],[ID]], Table4[ID], Table4[Catalog], "Not Found", 0)</f>
        <v>5</v>
      </c>
      <c r="U1820" s="5">
        <f>_xlfn.XLOOKUP(CustomerCombined[[#This Row],[ID]], Table4[ID], Table4[Store], "Not Found", 0)</f>
        <v>10</v>
      </c>
      <c r="V1820" s="5">
        <f>_xlfn.XLOOKUP(CustomerCombined[[#This Row],[ID]], Table4[ID], Table4[Visits], "Not Found", 0)</f>
        <v>4</v>
      </c>
      <c r="W1820" s="8">
        <f>_xlfn.XLOOKUP(CustomerCombined[[#This Row],[ID]], Table2[ID],Table2[Complaint], "Not Found", 0 )</f>
        <v>0</v>
      </c>
      <c r="X1820" s="8">
        <f>_xlfn.XLOOKUP(CustomerCombined[[#This Row],[ID]], Table2[ID],Table2[Pilot], "Not Found", 0 )</f>
        <v>0</v>
      </c>
      <c r="Y1820" s="8">
        <f>_xlfn.XLOOKUP(CustomerCombined[[#This Row],[ID]], Table2[ID],Table2[MC1], "Not Found", 0 )</f>
        <v>0</v>
      </c>
      <c r="Z1820" s="8">
        <f>_xlfn.XLOOKUP(CustomerCombined[[#This Row],[ID]], Table2[ID],Table2[MC2], "Not Found", 0 )</f>
        <v>0</v>
      </c>
      <c r="AA1820" s="8">
        <f>_xlfn.XLOOKUP(CustomerCombined[[#This Row],[ID]], Table2[ID],Table2[MC3], "Not Found", 0 )</f>
        <v>0</v>
      </c>
      <c r="AB1820" s="8">
        <f>_xlfn.XLOOKUP(CustomerCombined[[#This Row],[ID]], Table2[ID],Table2[MC4], "Not Found", 0 )</f>
        <v>0</v>
      </c>
      <c r="AC1820" s="8">
        <f>_xlfn.XLOOKUP(CustomerCombined[[#This Row],[ID]], Table2[ID],Table2[MC5], "Not Found", 0 )</f>
        <v>0</v>
      </c>
    </row>
    <row r="1821" spans="1:29" x14ac:dyDescent="0.3">
      <c r="A1821" s="6">
        <v>2452</v>
      </c>
      <c r="B1821" s="6">
        <v>164857</v>
      </c>
      <c r="C1821" s="6">
        <v>0</v>
      </c>
      <c r="D1821" s="6">
        <v>0</v>
      </c>
      <c r="E1821" s="6">
        <v>64</v>
      </c>
      <c r="F1821" s="5" t="s">
        <v>7</v>
      </c>
      <c r="G1821" s="5" t="s">
        <v>12</v>
      </c>
      <c r="H1821" s="3" t="s">
        <v>353</v>
      </c>
      <c r="I1821" s="5" t="s">
        <v>439</v>
      </c>
      <c r="J1821" s="5">
        <f>_xlfn.XLOOKUP(CustomerCombined[[#This Row],[ID]], Table4[ID], Table4[Recency], "Not Found", 0)</f>
        <v>78</v>
      </c>
      <c r="K1821" s="5">
        <f>_xlfn.XLOOKUP(CustomerCombined[[#This Row],[ID]], Table4[ID], Table4[Teas], "Not Found", 0)</f>
        <v>1413</v>
      </c>
      <c r="L1821" s="5">
        <f>_xlfn.XLOOKUP(CustomerCombined[[#This Row],[ID]], Table4[ID], Table4[Fruits], "Not Found", 0)</f>
        <v>36</v>
      </c>
      <c r="M1821" s="5">
        <f>_xlfn.XLOOKUP(CustomerCombined[[#This Row],[ID]], Table4[ID], Table4[Meats], "Not Found", 0)</f>
        <v>1823</v>
      </c>
      <c r="N1821" s="5">
        <f>_xlfn.XLOOKUP(CustomerCombined[[#This Row],[ID]], Table4[ID], Table4[Seafood], "Not Found", 0)</f>
        <v>534</v>
      </c>
      <c r="O1821" s="5">
        <f>_xlfn.XLOOKUP(CustomerCombined[[#This Row],[ID]], Table4[ID], Table4[Sweets], "Not Found", 0)</f>
        <v>0</v>
      </c>
      <c r="P1821" s="5">
        <f>_xlfn.XLOOKUP(CustomerCombined[[#This Row],[ID]], Table4[ID], Table4[Premium], "Not Found", 0)</f>
        <v>109</v>
      </c>
      <c r="Q1821" s="5">
        <f>_xlfn.XLOOKUP(CustomerCombined[[#This Row],[ID]], Table4[ID], Table4[Regular], "Not Found", 0)</f>
        <v>3696</v>
      </c>
      <c r="R1821" s="5">
        <f>_xlfn.XLOOKUP(CustomerCombined[[#This Row],[ID]], Table4[ID], Table4[Deals], "Not Found", 0)</f>
        <v>1</v>
      </c>
      <c r="S1821" s="5">
        <f>_xlfn.XLOOKUP(CustomerCombined[[#This Row],[ID]], Table4[ID], Table4[Website], "Not Found", 0)</f>
        <v>7</v>
      </c>
      <c r="T1821" s="5">
        <f>_xlfn.XLOOKUP(CustomerCombined[[#This Row],[ID]], Table4[ID], Table4[Catalog], "Not Found", 0)</f>
        <v>5</v>
      </c>
      <c r="U1821" s="5">
        <f>_xlfn.XLOOKUP(CustomerCombined[[#This Row],[ID]], Table4[ID], Table4[Store], "Not Found", 0)</f>
        <v>10</v>
      </c>
      <c r="V1821" s="5">
        <f>_xlfn.XLOOKUP(CustomerCombined[[#This Row],[ID]], Table4[ID], Table4[Visits], "Not Found", 0)</f>
        <v>4</v>
      </c>
      <c r="W1821" s="8">
        <f>_xlfn.XLOOKUP(CustomerCombined[[#This Row],[ID]], Table2[ID],Table2[Complaint], "Not Found", 0 )</f>
        <v>0</v>
      </c>
      <c r="X1821" s="8">
        <f>_xlfn.XLOOKUP(CustomerCombined[[#This Row],[ID]], Table2[ID],Table2[Pilot], "Not Found", 0 )</f>
        <v>0</v>
      </c>
      <c r="Y1821" s="8">
        <f>_xlfn.XLOOKUP(CustomerCombined[[#This Row],[ID]], Table2[ID],Table2[MC1], "Not Found", 0 )</f>
        <v>0</v>
      </c>
      <c r="Z1821" s="8">
        <f>_xlfn.XLOOKUP(CustomerCombined[[#This Row],[ID]], Table2[ID],Table2[MC2], "Not Found", 0 )</f>
        <v>0</v>
      </c>
      <c r="AA1821" s="8">
        <f>_xlfn.XLOOKUP(CustomerCombined[[#This Row],[ID]], Table2[ID],Table2[MC3], "Not Found", 0 )</f>
        <v>0</v>
      </c>
      <c r="AB1821" s="8">
        <f>_xlfn.XLOOKUP(CustomerCombined[[#This Row],[ID]], Table2[ID],Table2[MC4], "Not Found", 0 )</f>
        <v>0</v>
      </c>
      <c r="AC1821" s="8">
        <f>_xlfn.XLOOKUP(CustomerCombined[[#This Row],[ID]], Table2[ID],Table2[MC5], "Not Found", 0 )</f>
        <v>0</v>
      </c>
    </row>
    <row r="1822" spans="1:29" x14ac:dyDescent="0.3">
      <c r="A1822" s="6">
        <v>1877</v>
      </c>
      <c r="B1822" s="6">
        <v>164090</v>
      </c>
      <c r="C1822" s="6">
        <v>0</v>
      </c>
      <c r="D1822" s="6">
        <v>1</v>
      </c>
      <c r="E1822" s="6">
        <v>64</v>
      </c>
      <c r="F1822" s="5" t="s">
        <v>8</v>
      </c>
      <c r="G1822" s="5" t="s">
        <v>11</v>
      </c>
      <c r="H1822" s="3">
        <v>44166</v>
      </c>
      <c r="I1822" s="5" t="s">
        <v>434</v>
      </c>
      <c r="J1822" s="5">
        <f>_xlfn.XLOOKUP(CustomerCombined[[#This Row],[ID]], Table4[ID], Table4[Recency], "Not Found", 0)</f>
        <v>8</v>
      </c>
      <c r="K1822" s="5">
        <f>_xlfn.XLOOKUP(CustomerCombined[[#This Row],[ID]], Table4[ID], Table4[Teas], "Not Found", 0)</f>
        <v>809</v>
      </c>
      <c r="L1822" s="5">
        <f>_xlfn.XLOOKUP(CustomerCombined[[#This Row],[ID]], Table4[ID], Table4[Fruits], "Not Found", 0)</f>
        <v>148</v>
      </c>
      <c r="M1822" s="5">
        <f>_xlfn.XLOOKUP(CustomerCombined[[#This Row],[ID]], Table4[ID], Table4[Meats], "Not Found", 0)</f>
        <v>412</v>
      </c>
      <c r="N1822" s="5">
        <f>_xlfn.XLOOKUP(CustomerCombined[[#This Row],[ID]], Table4[ID], Table4[Seafood], "Not Found", 0)</f>
        <v>195</v>
      </c>
      <c r="O1822" s="5">
        <f>_xlfn.XLOOKUP(CustomerCombined[[#This Row],[ID]], Table4[ID], Table4[Sweets], "Not Found", 0)</f>
        <v>131</v>
      </c>
      <c r="P1822" s="5">
        <f>_xlfn.XLOOKUP(CustomerCombined[[#This Row],[ID]], Table4[ID], Table4[Premium], "Not Found", 0)</f>
        <v>346</v>
      </c>
      <c r="Q1822" s="5">
        <f>_xlfn.XLOOKUP(CustomerCombined[[#This Row],[ID]], Table4[ID], Table4[Regular], "Not Found", 0)</f>
        <v>1349</v>
      </c>
      <c r="R1822" s="5">
        <f>_xlfn.XLOOKUP(CustomerCombined[[#This Row],[ID]], Table4[ID], Table4[Deals], "Not Found", 0)</f>
        <v>1</v>
      </c>
      <c r="S1822" s="5">
        <f>_xlfn.XLOOKUP(CustomerCombined[[#This Row],[ID]], Table4[ID], Table4[Website], "Not Found", 0)</f>
        <v>6</v>
      </c>
      <c r="T1822" s="5">
        <f>_xlfn.XLOOKUP(CustomerCombined[[#This Row],[ID]], Table4[ID], Table4[Catalog], "Not Found", 0)</f>
        <v>9</v>
      </c>
      <c r="U1822" s="5">
        <f>_xlfn.XLOOKUP(CustomerCombined[[#This Row],[ID]], Table4[ID], Table4[Store], "Not Found", 0)</f>
        <v>4</v>
      </c>
      <c r="V1822" s="5">
        <f>_xlfn.XLOOKUP(CustomerCombined[[#This Row],[ID]], Table4[ID], Table4[Visits], "Not Found", 0)</f>
        <v>5</v>
      </c>
      <c r="W1822" s="8">
        <f>_xlfn.XLOOKUP(CustomerCombined[[#This Row],[ID]], Table2[ID],Table2[Complaint], "Not Found", 0 )</f>
        <v>0</v>
      </c>
      <c r="X1822" s="8">
        <f>_xlfn.XLOOKUP(CustomerCombined[[#This Row],[ID]], Table2[ID],Table2[Pilot], "Not Found", 0 )</f>
        <v>1</v>
      </c>
      <c r="Y1822" s="8">
        <f>_xlfn.XLOOKUP(CustomerCombined[[#This Row],[ID]], Table2[ID],Table2[MC1], "Not Found", 0 )</f>
        <v>0</v>
      </c>
      <c r="Z1822" s="8">
        <f>_xlfn.XLOOKUP(CustomerCombined[[#This Row],[ID]], Table2[ID],Table2[MC2], "Not Found", 0 )</f>
        <v>0</v>
      </c>
      <c r="AA1822" s="8">
        <f>_xlfn.XLOOKUP(CustomerCombined[[#This Row],[ID]], Table2[ID],Table2[MC3], "Not Found", 0 )</f>
        <v>0</v>
      </c>
      <c r="AB1822" s="8">
        <f>_xlfn.XLOOKUP(CustomerCombined[[#This Row],[ID]], Table2[ID],Table2[MC4], "Not Found", 0 )</f>
        <v>0</v>
      </c>
      <c r="AC1822" s="8">
        <f>_xlfn.XLOOKUP(CustomerCombined[[#This Row],[ID]], Table2[ID],Table2[MC5], "Not Found", 0 )</f>
        <v>0</v>
      </c>
    </row>
    <row r="1823" spans="1:29" x14ac:dyDescent="0.3">
      <c r="A1823" s="6">
        <v>2528</v>
      </c>
      <c r="B1823" s="6">
        <v>163943</v>
      </c>
      <c r="C1823" s="6">
        <v>0</v>
      </c>
      <c r="D1823" s="6">
        <v>1</v>
      </c>
      <c r="E1823" s="6">
        <v>64</v>
      </c>
      <c r="F1823" s="5" t="s">
        <v>6</v>
      </c>
      <c r="G1823" s="5" t="s">
        <v>11</v>
      </c>
      <c r="H1823" s="3">
        <v>43648</v>
      </c>
      <c r="I1823" s="5" t="s">
        <v>438</v>
      </c>
      <c r="J1823" s="5">
        <f>_xlfn.XLOOKUP(CustomerCombined[[#This Row],[ID]], Table4[ID], Table4[Recency], "Not Found", 0)</f>
        <v>50</v>
      </c>
      <c r="K1823" s="5">
        <f>_xlfn.XLOOKUP(CustomerCombined[[#This Row],[ID]], Table4[ID], Table4[Teas], "Not Found", 0)</f>
        <v>1085</v>
      </c>
      <c r="L1823" s="5">
        <f>_xlfn.XLOOKUP(CustomerCombined[[#This Row],[ID]], Table4[ID], Table4[Fruits], "Not Found", 0)</f>
        <v>472</v>
      </c>
      <c r="M1823" s="5">
        <f>_xlfn.XLOOKUP(CustomerCombined[[#This Row],[ID]], Table4[ID], Table4[Meats], "Not Found", 0)</f>
        <v>944</v>
      </c>
      <c r="N1823" s="5">
        <f>_xlfn.XLOOKUP(CustomerCombined[[#This Row],[ID]], Table4[ID], Table4[Seafood], "Not Found", 0)</f>
        <v>33</v>
      </c>
      <c r="O1823" s="5">
        <f>_xlfn.XLOOKUP(CustomerCombined[[#This Row],[ID]], Table4[ID], Table4[Sweets], "Not Found", 0)</f>
        <v>249</v>
      </c>
      <c r="P1823" s="5">
        <f>_xlfn.XLOOKUP(CustomerCombined[[#This Row],[ID]], Table4[ID], Table4[Premium], "Not Found", 0)</f>
        <v>54</v>
      </c>
      <c r="Q1823" s="5">
        <f>_xlfn.XLOOKUP(CustomerCombined[[#This Row],[ID]], Table4[ID], Table4[Regular], "Not Found", 0)</f>
        <v>2728</v>
      </c>
      <c r="R1823" s="5">
        <f>_xlfn.XLOOKUP(CustomerCombined[[#This Row],[ID]], Table4[ID], Table4[Deals], "Not Found", 0)</f>
        <v>1</v>
      </c>
      <c r="S1823" s="5">
        <f>_xlfn.XLOOKUP(CustomerCombined[[#This Row],[ID]], Table4[ID], Table4[Website], "Not Found", 0)</f>
        <v>6</v>
      </c>
      <c r="T1823" s="5">
        <f>_xlfn.XLOOKUP(CustomerCombined[[#This Row],[ID]], Table4[ID], Table4[Catalog], "Not Found", 0)</f>
        <v>4</v>
      </c>
      <c r="U1823" s="5">
        <f>_xlfn.XLOOKUP(CustomerCombined[[#This Row],[ID]], Table4[ID], Table4[Store], "Not Found", 0)</f>
        <v>6</v>
      </c>
      <c r="V1823" s="5">
        <f>_xlfn.XLOOKUP(CustomerCombined[[#This Row],[ID]], Table4[ID], Table4[Visits], "Not Found", 0)</f>
        <v>5</v>
      </c>
      <c r="W1823" s="8">
        <f>_xlfn.XLOOKUP(CustomerCombined[[#This Row],[ID]], Table2[ID],Table2[Complaint], "Not Found", 0 )</f>
        <v>0</v>
      </c>
      <c r="X1823" s="8">
        <f>_xlfn.XLOOKUP(CustomerCombined[[#This Row],[ID]], Table2[ID],Table2[Pilot], "Not Found", 0 )</f>
        <v>0</v>
      </c>
      <c r="Y1823" s="8">
        <f>_xlfn.XLOOKUP(CustomerCombined[[#This Row],[ID]], Table2[ID],Table2[MC1], "Not Found", 0 )</f>
        <v>0</v>
      </c>
      <c r="Z1823" s="8">
        <f>_xlfn.XLOOKUP(CustomerCombined[[#This Row],[ID]], Table2[ID],Table2[MC2], "Not Found", 0 )</f>
        <v>0</v>
      </c>
      <c r="AA1823" s="8">
        <f>_xlfn.XLOOKUP(CustomerCombined[[#This Row],[ID]], Table2[ID],Table2[MC3], "Not Found", 0 )</f>
        <v>0</v>
      </c>
      <c r="AB1823" s="8">
        <f>_xlfn.XLOOKUP(CustomerCombined[[#This Row],[ID]], Table2[ID],Table2[MC4], "Not Found", 0 )</f>
        <v>0</v>
      </c>
      <c r="AC1823" s="8">
        <f>_xlfn.XLOOKUP(CustomerCombined[[#This Row],[ID]], Table2[ID],Table2[MC5], "Not Found", 0 )</f>
        <v>0</v>
      </c>
    </row>
    <row r="1824" spans="1:29" x14ac:dyDescent="0.3">
      <c r="A1824" s="6">
        <v>2371</v>
      </c>
      <c r="B1824" s="6">
        <v>163915</v>
      </c>
      <c r="C1824" s="6">
        <v>0</v>
      </c>
      <c r="D1824" s="6">
        <v>2</v>
      </c>
      <c r="E1824" s="6">
        <v>64</v>
      </c>
      <c r="F1824" s="5" t="s">
        <v>6</v>
      </c>
      <c r="G1824" s="5" t="s">
        <v>12</v>
      </c>
      <c r="H1824" s="3">
        <v>43922</v>
      </c>
      <c r="I1824" s="5" t="s">
        <v>437</v>
      </c>
      <c r="J1824" s="5">
        <f>_xlfn.XLOOKUP(CustomerCombined[[#This Row],[ID]], Table4[ID], Table4[Recency], "Not Found", 0)</f>
        <v>2</v>
      </c>
      <c r="K1824" s="5">
        <f>_xlfn.XLOOKUP(CustomerCombined[[#This Row],[ID]], Table4[ID], Table4[Teas], "Not Found", 0)</f>
        <v>1595</v>
      </c>
      <c r="L1824" s="5">
        <f>_xlfn.XLOOKUP(CustomerCombined[[#This Row],[ID]], Table4[ID], Table4[Fruits], "Not Found", 0)</f>
        <v>18</v>
      </c>
      <c r="M1824" s="5">
        <f>_xlfn.XLOOKUP(CustomerCombined[[#This Row],[ID]], Table4[ID], Table4[Meats], "Not Found", 0)</f>
        <v>295</v>
      </c>
      <c r="N1824" s="5">
        <f>_xlfn.XLOOKUP(CustomerCombined[[#This Row],[ID]], Table4[ID], Table4[Seafood], "Not Found", 0)</f>
        <v>77</v>
      </c>
      <c r="O1824" s="5">
        <f>_xlfn.XLOOKUP(CustomerCombined[[#This Row],[ID]], Table4[ID], Table4[Sweets], "Not Found", 0)</f>
        <v>0</v>
      </c>
      <c r="P1824" s="5">
        <f>_xlfn.XLOOKUP(CustomerCombined[[#This Row],[ID]], Table4[ID], Table4[Premium], "Not Found", 0)</f>
        <v>38</v>
      </c>
      <c r="Q1824" s="5">
        <f>_xlfn.XLOOKUP(CustomerCombined[[#This Row],[ID]], Table4[ID], Table4[Regular], "Not Found", 0)</f>
        <v>1947</v>
      </c>
      <c r="R1824" s="5">
        <f>_xlfn.XLOOKUP(CustomerCombined[[#This Row],[ID]], Table4[ID], Table4[Deals], "Not Found", 0)</f>
        <v>2</v>
      </c>
      <c r="S1824" s="5">
        <f>_xlfn.XLOOKUP(CustomerCombined[[#This Row],[ID]], Table4[ID], Table4[Website], "Not Found", 0)</f>
        <v>6</v>
      </c>
      <c r="T1824" s="5">
        <f>_xlfn.XLOOKUP(CustomerCombined[[#This Row],[ID]], Table4[ID], Table4[Catalog], "Not Found", 0)</f>
        <v>3</v>
      </c>
      <c r="U1824" s="5">
        <f>_xlfn.XLOOKUP(CustomerCombined[[#This Row],[ID]], Table4[ID], Table4[Store], "Not Found", 0)</f>
        <v>12</v>
      </c>
      <c r="V1824" s="5">
        <f>_xlfn.XLOOKUP(CustomerCombined[[#This Row],[ID]], Table4[ID], Table4[Visits], "Not Found", 0)</f>
        <v>5</v>
      </c>
      <c r="W1824" s="8">
        <f>_xlfn.XLOOKUP(CustomerCombined[[#This Row],[ID]], Table2[ID],Table2[Complaint], "Not Found", 0 )</f>
        <v>0</v>
      </c>
      <c r="X1824" s="8">
        <f>_xlfn.XLOOKUP(CustomerCombined[[#This Row],[ID]], Table2[ID],Table2[Pilot], "Not Found", 0 )</f>
        <v>0</v>
      </c>
      <c r="Y1824" s="8">
        <f>_xlfn.XLOOKUP(CustomerCombined[[#This Row],[ID]], Table2[ID],Table2[MC1], "Not Found", 0 )</f>
        <v>0</v>
      </c>
      <c r="Z1824" s="8">
        <f>_xlfn.XLOOKUP(CustomerCombined[[#This Row],[ID]], Table2[ID],Table2[MC2], "Not Found", 0 )</f>
        <v>0</v>
      </c>
      <c r="AA1824" s="8">
        <f>_xlfn.XLOOKUP(CustomerCombined[[#This Row],[ID]], Table2[ID],Table2[MC3], "Not Found", 0 )</f>
        <v>0</v>
      </c>
      <c r="AB1824" s="8">
        <f>_xlfn.XLOOKUP(CustomerCombined[[#This Row],[ID]], Table2[ID],Table2[MC4], "Not Found", 0 )</f>
        <v>0</v>
      </c>
      <c r="AC1824" s="8">
        <f>_xlfn.XLOOKUP(CustomerCombined[[#This Row],[ID]], Table2[ID],Table2[MC5], "Not Found", 0 )</f>
        <v>0</v>
      </c>
    </row>
    <row r="1825" spans="1:29" x14ac:dyDescent="0.3">
      <c r="A1825" s="6">
        <v>1459</v>
      </c>
      <c r="B1825" s="6">
        <v>162503</v>
      </c>
      <c r="C1825" s="6">
        <v>0</v>
      </c>
      <c r="D1825" s="6">
        <v>1</v>
      </c>
      <c r="E1825" s="6">
        <v>64</v>
      </c>
      <c r="F1825" s="5" t="s">
        <v>6</v>
      </c>
      <c r="G1825" s="5" t="s">
        <v>11</v>
      </c>
      <c r="H1825" s="3" t="s">
        <v>305</v>
      </c>
      <c r="I1825" s="5" t="s">
        <v>437</v>
      </c>
      <c r="J1825" s="5">
        <f>_xlfn.XLOOKUP(CustomerCombined[[#This Row],[ID]], Table4[ID], Table4[Recency], "Not Found", 0)</f>
        <v>40</v>
      </c>
      <c r="K1825" s="5">
        <f>_xlfn.XLOOKUP(CustomerCombined[[#This Row],[ID]], Table4[ID], Table4[Teas], "Not Found", 0)</f>
        <v>1243</v>
      </c>
      <c r="L1825" s="5">
        <f>_xlfn.XLOOKUP(CustomerCombined[[#This Row],[ID]], Table4[ID], Table4[Fruits], "Not Found", 0)</f>
        <v>0</v>
      </c>
      <c r="M1825" s="5">
        <f>_xlfn.XLOOKUP(CustomerCombined[[#This Row],[ID]], Table4[ID], Table4[Meats], "Not Found", 0)</f>
        <v>502</v>
      </c>
      <c r="N1825" s="5">
        <f>_xlfn.XLOOKUP(CustomerCombined[[#This Row],[ID]], Table4[ID], Table4[Seafood], "Not Found", 0)</f>
        <v>286</v>
      </c>
      <c r="O1825" s="5">
        <f>_xlfn.XLOOKUP(CustomerCombined[[#This Row],[ID]], Table4[ID], Table4[Sweets], "Not Found", 0)</f>
        <v>195</v>
      </c>
      <c r="P1825" s="5">
        <f>_xlfn.XLOOKUP(CustomerCombined[[#This Row],[ID]], Table4[ID], Table4[Premium], "Not Found", 0)</f>
        <v>304</v>
      </c>
      <c r="Q1825" s="5">
        <f>_xlfn.XLOOKUP(CustomerCombined[[#This Row],[ID]], Table4[ID], Table4[Regular], "Not Found", 0)</f>
        <v>1921</v>
      </c>
      <c r="R1825" s="5">
        <f>_xlfn.XLOOKUP(CustomerCombined[[#This Row],[ID]], Table4[ID], Table4[Deals], "Not Found", 0)</f>
        <v>4</v>
      </c>
      <c r="S1825" s="5">
        <f>_xlfn.XLOOKUP(CustomerCombined[[#This Row],[ID]], Table4[ID], Table4[Website], "Not Found", 0)</f>
        <v>8</v>
      </c>
      <c r="T1825" s="5">
        <f>_xlfn.XLOOKUP(CustomerCombined[[#This Row],[ID]], Table4[ID], Table4[Catalog], "Not Found", 0)</f>
        <v>3</v>
      </c>
      <c r="U1825" s="5">
        <f>_xlfn.XLOOKUP(CustomerCombined[[#This Row],[ID]], Table4[ID], Table4[Store], "Not Found", 0)</f>
        <v>11</v>
      </c>
      <c r="V1825" s="5">
        <f>_xlfn.XLOOKUP(CustomerCombined[[#This Row],[ID]], Table4[ID], Table4[Visits], "Not Found", 0)</f>
        <v>5</v>
      </c>
      <c r="W1825" s="8">
        <f>_xlfn.XLOOKUP(CustomerCombined[[#This Row],[ID]], Table2[ID],Table2[Complaint], "Not Found", 0 )</f>
        <v>0</v>
      </c>
      <c r="X1825" s="8">
        <f>_xlfn.XLOOKUP(CustomerCombined[[#This Row],[ID]], Table2[ID],Table2[Pilot], "Not Found", 0 )</f>
        <v>0</v>
      </c>
      <c r="Y1825" s="8">
        <f>_xlfn.XLOOKUP(CustomerCombined[[#This Row],[ID]], Table2[ID],Table2[MC1], "Not Found", 0 )</f>
        <v>0</v>
      </c>
      <c r="Z1825" s="8">
        <f>_xlfn.XLOOKUP(CustomerCombined[[#This Row],[ID]], Table2[ID],Table2[MC2], "Not Found", 0 )</f>
        <v>0</v>
      </c>
      <c r="AA1825" s="8">
        <f>_xlfn.XLOOKUP(CustomerCombined[[#This Row],[ID]], Table2[ID],Table2[MC3], "Not Found", 0 )</f>
        <v>0</v>
      </c>
      <c r="AB1825" s="8">
        <f>_xlfn.XLOOKUP(CustomerCombined[[#This Row],[ID]], Table2[ID],Table2[MC4], "Not Found", 0 )</f>
        <v>0</v>
      </c>
      <c r="AC1825" s="8">
        <f>_xlfn.XLOOKUP(CustomerCombined[[#This Row],[ID]], Table2[ID],Table2[MC5], "Not Found", 0 )</f>
        <v>0</v>
      </c>
    </row>
    <row r="1826" spans="1:29" x14ac:dyDescent="0.3">
      <c r="A1826" s="6">
        <v>1750</v>
      </c>
      <c r="B1826" s="6">
        <v>162058</v>
      </c>
      <c r="C1826" s="6">
        <v>0</v>
      </c>
      <c r="D1826" s="6">
        <v>1</v>
      </c>
      <c r="E1826" s="6">
        <v>64</v>
      </c>
      <c r="F1826" s="5" t="s">
        <v>6</v>
      </c>
      <c r="G1826" s="5" t="s">
        <v>12</v>
      </c>
      <c r="H1826" s="3" t="s">
        <v>245</v>
      </c>
      <c r="I1826" s="5" t="s">
        <v>439</v>
      </c>
      <c r="J1826" s="5">
        <f>_xlfn.XLOOKUP(CustomerCombined[[#This Row],[ID]], Table4[ID], Table4[Recency], "Not Found", 0)</f>
        <v>52</v>
      </c>
      <c r="K1826" s="5">
        <f>_xlfn.XLOOKUP(CustomerCombined[[#This Row],[ID]], Table4[ID], Table4[Teas], "Not Found", 0)</f>
        <v>786</v>
      </c>
      <c r="L1826" s="5">
        <f>_xlfn.XLOOKUP(CustomerCombined[[#This Row],[ID]], Table4[ID], Table4[Fruits], "Not Found", 0)</f>
        <v>18</v>
      </c>
      <c r="M1826" s="5">
        <f>_xlfn.XLOOKUP(CustomerCombined[[#This Row],[ID]], Table4[ID], Table4[Meats], "Not Found", 0)</f>
        <v>193</v>
      </c>
      <c r="N1826" s="5">
        <f>_xlfn.XLOOKUP(CustomerCombined[[#This Row],[ID]], Table4[ID], Table4[Seafood], "Not Found", 0)</f>
        <v>26</v>
      </c>
      <c r="O1826" s="5">
        <f>_xlfn.XLOOKUP(CustomerCombined[[#This Row],[ID]], Table4[ID], Table4[Sweets], "Not Found", 0)</f>
        <v>0</v>
      </c>
      <c r="P1826" s="5">
        <f>_xlfn.XLOOKUP(CustomerCombined[[#This Row],[ID]], Table4[ID], Table4[Premium], "Not Found", 0)</f>
        <v>151</v>
      </c>
      <c r="Q1826" s="5">
        <f>_xlfn.XLOOKUP(CustomerCombined[[#This Row],[ID]], Table4[ID], Table4[Regular], "Not Found", 0)</f>
        <v>872</v>
      </c>
      <c r="R1826" s="5">
        <f>_xlfn.XLOOKUP(CustomerCombined[[#This Row],[ID]], Table4[ID], Table4[Deals], "Not Found", 0)</f>
        <v>4</v>
      </c>
      <c r="S1826" s="5">
        <f>_xlfn.XLOOKUP(CustomerCombined[[#This Row],[ID]], Table4[ID], Table4[Website], "Not Found", 0)</f>
        <v>6</v>
      </c>
      <c r="T1826" s="5">
        <f>_xlfn.XLOOKUP(CustomerCombined[[#This Row],[ID]], Table4[ID], Table4[Catalog], "Not Found", 0)</f>
        <v>1</v>
      </c>
      <c r="U1826" s="5">
        <f>_xlfn.XLOOKUP(CustomerCombined[[#This Row],[ID]], Table4[ID], Table4[Store], "Not Found", 0)</f>
        <v>7</v>
      </c>
      <c r="V1826" s="5">
        <f>_xlfn.XLOOKUP(CustomerCombined[[#This Row],[ID]], Table4[ID], Table4[Visits], "Not Found", 0)</f>
        <v>6</v>
      </c>
      <c r="W1826" s="8">
        <f>_xlfn.XLOOKUP(CustomerCombined[[#This Row],[ID]], Table2[ID],Table2[Complaint], "Not Found", 0 )</f>
        <v>0</v>
      </c>
      <c r="X1826" s="8">
        <f>_xlfn.XLOOKUP(CustomerCombined[[#This Row],[ID]], Table2[ID],Table2[Pilot], "Not Found", 0 )</f>
        <v>0</v>
      </c>
      <c r="Y1826" s="8">
        <f>_xlfn.XLOOKUP(CustomerCombined[[#This Row],[ID]], Table2[ID],Table2[MC1], "Not Found", 0 )</f>
        <v>0</v>
      </c>
      <c r="Z1826" s="8">
        <f>_xlfn.XLOOKUP(CustomerCombined[[#This Row],[ID]], Table2[ID],Table2[MC2], "Not Found", 0 )</f>
        <v>0</v>
      </c>
      <c r="AA1826" s="8">
        <f>_xlfn.XLOOKUP(CustomerCombined[[#This Row],[ID]], Table2[ID],Table2[MC3], "Not Found", 0 )</f>
        <v>0</v>
      </c>
      <c r="AB1826" s="8">
        <f>_xlfn.XLOOKUP(CustomerCombined[[#This Row],[ID]], Table2[ID],Table2[MC4], "Not Found", 0 )</f>
        <v>0</v>
      </c>
      <c r="AC1826" s="8">
        <f>_xlfn.XLOOKUP(CustomerCombined[[#This Row],[ID]], Table2[ID],Table2[MC5], "Not Found", 0 )</f>
        <v>0</v>
      </c>
    </row>
    <row r="1827" spans="1:29" x14ac:dyDescent="0.3">
      <c r="A1827" s="6">
        <v>1263</v>
      </c>
      <c r="B1827" s="6">
        <v>160714</v>
      </c>
      <c r="C1827" s="6">
        <v>0</v>
      </c>
      <c r="D1827" s="6">
        <v>0</v>
      </c>
      <c r="E1827" s="6">
        <v>64</v>
      </c>
      <c r="F1827" s="5" t="s">
        <v>7</v>
      </c>
      <c r="G1827" s="5" t="s">
        <v>11</v>
      </c>
      <c r="H1827" s="3" t="s">
        <v>323</v>
      </c>
      <c r="I1827" s="5" t="s">
        <v>435</v>
      </c>
      <c r="J1827" s="5">
        <f>_xlfn.XLOOKUP(CustomerCombined[[#This Row],[ID]], Table4[ID], Table4[Recency], "Not Found", 0)</f>
        <v>56</v>
      </c>
      <c r="K1827" s="5">
        <f>_xlfn.XLOOKUP(CustomerCombined[[#This Row],[ID]], Table4[ID], Table4[Teas], "Not Found", 0)</f>
        <v>572</v>
      </c>
      <c r="L1827" s="5">
        <f>_xlfn.XLOOKUP(CustomerCombined[[#This Row],[ID]], Table4[ID], Table4[Fruits], "Not Found", 0)</f>
        <v>429</v>
      </c>
      <c r="M1827" s="5">
        <f>_xlfn.XLOOKUP(CustomerCombined[[#This Row],[ID]], Table4[ID], Table4[Meats], "Not Found", 0)</f>
        <v>593</v>
      </c>
      <c r="N1827" s="5">
        <f>_xlfn.XLOOKUP(CustomerCombined[[#This Row],[ID]], Table4[ID], Table4[Seafood], "Not Found", 0)</f>
        <v>267</v>
      </c>
      <c r="O1827" s="5">
        <f>_xlfn.XLOOKUP(CustomerCombined[[#This Row],[ID]], Table4[ID], Table4[Sweets], "Not Found", 0)</f>
        <v>244</v>
      </c>
      <c r="P1827" s="5">
        <f>_xlfn.XLOOKUP(CustomerCombined[[#This Row],[ID]], Table4[ID], Table4[Premium], "Not Found", 0)</f>
        <v>429</v>
      </c>
      <c r="Q1827" s="5">
        <f>_xlfn.XLOOKUP(CustomerCombined[[#This Row],[ID]], Table4[ID], Table4[Regular], "Not Found", 0)</f>
        <v>1676</v>
      </c>
      <c r="R1827" s="5">
        <f>_xlfn.XLOOKUP(CustomerCombined[[#This Row],[ID]], Table4[ID], Table4[Deals], "Not Found", 0)</f>
        <v>2</v>
      </c>
      <c r="S1827" s="5">
        <f>_xlfn.XLOOKUP(CustomerCombined[[#This Row],[ID]], Table4[ID], Table4[Website], "Not Found", 0)</f>
        <v>7</v>
      </c>
      <c r="T1827" s="5">
        <f>_xlfn.XLOOKUP(CustomerCombined[[#This Row],[ID]], Table4[ID], Table4[Catalog], "Not Found", 0)</f>
        <v>4</v>
      </c>
      <c r="U1827" s="5">
        <f>_xlfn.XLOOKUP(CustomerCombined[[#This Row],[ID]], Table4[ID], Table4[Store], "Not Found", 0)</f>
        <v>10</v>
      </c>
      <c r="V1827" s="5">
        <f>_xlfn.XLOOKUP(CustomerCombined[[#This Row],[ID]], Table4[ID], Table4[Visits], "Not Found", 0)</f>
        <v>5</v>
      </c>
      <c r="W1827" s="8">
        <f>_xlfn.XLOOKUP(CustomerCombined[[#This Row],[ID]], Table2[ID],Table2[Complaint], "Not Found", 0 )</f>
        <v>0</v>
      </c>
      <c r="X1827" s="8">
        <f>_xlfn.XLOOKUP(CustomerCombined[[#This Row],[ID]], Table2[ID],Table2[Pilot], "Not Found", 0 )</f>
        <v>1</v>
      </c>
      <c r="Y1827" s="8">
        <f>_xlfn.XLOOKUP(CustomerCombined[[#This Row],[ID]], Table2[ID],Table2[MC1], "Not Found", 0 )</f>
        <v>0</v>
      </c>
      <c r="Z1827" s="8">
        <f>_xlfn.XLOOKUP(CustomerCombined[[#This Row],[ID]], Table2[ID],Table2[MC2], "Not Found", 0 )</f>
        <v>0</v>
      </c>
      <c r="AA1827" s="8">
        <f>_xlfn.XLOOKUP(CustomerCombined[[#This Row],[ID]], Table2[ID],Table2[MC3], "Not Found", 0 )</f>
        <v>0</v>
      </c>
      <c r="AB1827" s="8">
        <f>_xlfn.XLOOKUP(CustomerCombined[[#This Row],[ID]], Table2[ID],Table2[MC4], "Not Found", 0 )</f>
        <v>0</v>
      </c>
      <c r="AC1827" s="8">
        <f>_xlfn.XLOOKUP(CustomerCombined[[#This Row],[ID]], Table2[ID],Table2[MC5], "Not Found", 0 )</f>
        <v>0</v>
      </c>
    </row>
    <row r="1828" spans="1:29" x14ac:dyDescent="0.3">
      <c r="A1828" s="6">
        <v>2691</v>
      </c>
      <c r="B1828" s="6">
        <v>160230</v>
      </c>
      <c r="C1828" s="6">
        <v>0</v>
      </c>
      <c r="D1828" s="6">
        <v>1</v>
      </c>
      <c r="E1828" s="6">
        <v>64</v>
      </c>
      <c r="F1828" s="5" t="s">
        <v>7</v>
      </c>
      <c r="G1828" s="5" t="s">
        <v>11</v>
      </c>
      <c r="H1828" s="3" t="s">
        <v>251</v>
      </c>
      <c r="I1828" s="5" t="s">
        <v>435</v>
      </c>
      <c r="J1828" s="5">
        <f>_xlfn.XLOOKUP(CustomerCombined[[#This Row],[ID]], Table4[ID], Table4[Recency], "Not Found", 0)</f>
        <v>78</v>
      </c>
      <c r="K1828" s="5">
        <f>_xlfn.XLOOKUP(CustomerCombined[[#This Row],[ID]], Table4[ID], Table4[Teas], "Not Found", 0)</f>
        <v>1383</v>
      </c>
      <c r="L1828" s="5">
        <f>_xlfn.XLOOKUP(CustomerCombined[[#This Row],[ID]], Table4[ID], Table4[Fruits], "Not Found", 0)</f>
        <v>53</v>
      </c>
      <c r="M1828" s="5">
        <f>_xlfn.XLOOKUP(CustomerCombined[[#This Row],[ID]], Table4[ID], Table4[Meats], "Not Found", 0)</f>
        <v>976</v>
      </c>
      <c r="N1828" s="5">
        <f>_xlfn.XLOOKUP(CustomerCombined[[#This Row],[ID]], Table4[ID], Table4[Seafood], "Not Found", 0)</f>
        <v>104</v>
      </c>
      <c r="O1828" s="5">
        <f>_xlfn.XLOOKUP(CustomerCombined[[#This Row],[ID]], Table4[ID], Table4[Sweets], "Not Found", 0)</f>
        <v>215</v>
      </c>
      <c r="P1828" s="5">
        <f>_xlfn.XLOOKUP(CustomerCombined[[#This Row],[ID]], Table4[ID], Table4[Premium], "Not Found", 0)</f>
        <v>106</v>
      </c>
      <c r="Q1828" s="5">
        <f>_xlfn.XLOOKUP(CustomerCombined[[#This Row],[ID]], Table4[ID], Table4[Regular], "Not Found", 0)</f>
        <v>2626</v>
      </c>
      <c r="R1828" s="5">
        <f>_xlfn.XLOOKUP(CustomerCombined[[#This Row],[ID]], Table4[ID], Table4[Deals], "Not Found", 0)</f>
        <v>2</v>
      </c>
      <c r="S1828" s="5">
        <f>_xlfn.XLOOKUP(CustomerCombined[[#This Row],[ID]], Table4[ID], Table4[Website], "Not Found", 0)</f>
        <v>6</v>
      </c>
      <c r="T1828" s="5">
        <f>_xlfn.XLOOKUP(CustomerCombined[[#This Row],[ID]], Table4[ID], Table4[Catalog], "Not Found", 0)</f>
        <v>3</v>
      </c>
      <c r="U1828" s="5">
        <f>_xlfn.XLOOKUP(CustomerCombined[[#This Row],[ID]], Table4[ID], Table4[Store], "Not Found", 0)</f>
        <v>6</v>
      </c>
      <c r="V1828" s="5">
        <f>_xlfn.XLOOKUP(CustomerCombined[[#This Row],[ID]], Table4[ID], Table4[Visits], "Not Found", 0)</f>
        <v>5</v>
      </c>
      <c r="W1828" s="8">
        <f>_xlfn.XLOOKUP(CustomerCombined[[#This Row],[ID]], Table2[ID],Table2[Complaint], "Not Found", 0 )</f>
        <v>0</v>
      </c>
      <c r="X1828" s="8">
        <f>_xlfn.XLOOKUP(CustomerCombined[[#This Row],[ID]], Table2[ID],Table2[Pilot], "Not Found", 0 )</f>
        <v>0</v>
      </c>
      <c r="Y1828" s="8">
        <f>_xlfn.XLOOKUP(CustomerCombined[[#This Row],[ID]], Table2[ID],Table2[MC1], "Not Found", 0 )</f>
        <v>0</v>
      </c>
      <c r="Z1828" s="8">
        <f>_xlfn.XLOOKUP(CustomerCombined[[#This Row],[ID]], Table2[ID],Table2[MC2], "Not Found", 0 )</f>
        <v>0</v>
      </c>
      <c r="AA1828" s="8">
        <f>_xlfn.XLOOKUP(CustomerCombined[[#This Row],[ID]], Table2[ID],Table2[MC3], "Not Found", 0 )</f>
        <v>0</v>
      </c>
      <c r="AB1828" s="8">
        <f>_xlfn.XLOOKUP(CustomerCombined[[#This Row],[ID]], Table2[ID],Table2[MC4], "Not Found", 0 )</f>
        <v>0</v>
      </c>
      <c r="AC1828" s="8">
        <f>_xlfn.XLOOKUP(CustomerCombined[[#This Row],[ID]], Table2[ID],Table2[MC5], "Not Found", 0 )</f>
        <v>0</v>
      </c>
    </row>
    <row r="1829" spans="1:29" x14ac:dyDescent="0.3">
      <c r="A1829" s="6">
        <v>1288</v>
      </c>
      <c r="B1829" s="6">
        <v>158821</v>
      </c>
      <c r="C1829" s="6">
        <v>0</v>
      </c>
      <c r="D1829" s="6">
        <v>1</v>
      </c>
      <c r="E1829" s="6">
        <v>64</v>
      </c>
      <c r="F1829" s="5" t="s">
        <v>8</v>
      </c>
      <c r="G1829" s="5" t="s">
        <v>442</v>
      </c>
      <c r="H1829" s="3" t="s">
        <v>170</v>
      </c>
      <c r="I1829" s="5" t="s">
        <v>439</v>
      </c>
      <c r="J1829" s="5">
        <f>_xlfn.XLOOKUP(CustomerCombined[[#This Row],[ID]], Table4[ID], Table4[Recency], "Not Found", 0)</f>
        <v>44</v>
      </c>
      <c r="K1829" s="5">
        <f>_xlfn.XLOOKUP(CustomerCombined[[#This Row],[ID]], Table4[ID], Table4[Teas], "Not Found", 0)</f>
        <v>1385</v>
      </c>
      <c r="L1829" s="5">
        <f>_xlfn.XLOOKUP(CustomerCombined[[#This Row],[ID]], Table4[ID], Table4[Fruits], "Not Found", 0)</f>
        <v>38</v>
      </c>
      <c r="M1829" s="5">
        <f>_xlfn.XLOOKUP(CustomerCombined[[#This Row],[ID]], Table4[ID], Table4[Meats], "Not Found", 0)</f>
        <v>416</v>
      </c>
      <c r="N1829" s="5">
        <f>_xlfn.XLOOKUP(CustomerCombined[[#This Row],[ID]], Table4[ID], Table4[Seafood], "Not Found", 0)</f>
        <v>51</v>
      </c>
      <c r="O1829" s="5">
        <f>_xlfn.XLOOKUP(CustomerCombined[[#This Row],[ID]], Table4[ID], Table4[Sweets], "Not Found", 0)</f>
        <v>0</v>
      </c>
      <c r="P1829" s="5">
        <f>_xlfn.XLOOKUP(CustomerCombined[[#This Row],[ID]], Table4[ID], Table4[Premium], "Not Found", 0)</f>
        <v>76</v>
      </c>
      <c r="Q1829" s="5">
        <f>_xlfn.XLOOKUP(CustomerCombined[[#This Row],[ID]], Table4[ID], Table4[Regular], "Not Found", 0)</f>
        <v>1814</v>
      </c>
      <c r="R1829" s="5">
        <f>_xlfn.XLOOKUP(CustomerCombined[[#This Row],[ID]], Table4[ID], Table4[Deals], "Not Found", 0)</f>
        <v>1</v>
      </c>
      <c r="S1829" s="5">
        <f>_xlfn.XLOOKUP(CustomerCombined[[#This Row],[ID]], Table4[ID], Table4[Website], "Not Found", 0)</f>
        <v>9</v>
      </c>
      <c r="T1829" s="5">
        <f>_xlfn.XLOOKUP(CustomerCombined[[#This Row],[ID]], Table4[ID], Table4[Catalog], "Not Found", 0)</f>
        <v>2</v>
      </c>
      <c r="U1829" s="5">
        <f>_xlfn.XLOOKUP(CustomerCombined[[#This Row],[ID]], Table4[ID], Table4[Store], "Not Found", 0)</f>
        <v>9</v>
      </c>
      <c r="V1829" s="5">
        <f>_xlfn.XLOOKUP(CustomerCombined[[#This Row],[ID]], Table4[ID], Table4[Visits], "Not Found", 0)</f>
        <v>6</v>
      </c>
      <c r="W1829" s="8">
        <f>_xlfn.XLOOKUP(CustomerCombined[[#This Row],[ID]], Table2[ID],Table2[Complaint], "Not Found", 0 )</f>
        <v>0</v>
      </c>
      <c r="X1829" s="8">
        <f>_xlfn.XLOOKUP(CustomerCombined[[#This Row],[ID]], Table2[ID],Table2[Pilot], "Not Found", 0 )</f>
        <v>0</v>
      </c>
      <c r="Y1829" s="8">
        <f>_xlfn.XLOOKUP(CustomerCombined[[#This Row],[ID]], Table2[ID],Table2[MC1], "Not Found", 0 )</f>
        <v>0</v>
      </c>
      <c r="Z1829" s="8">
        <f>_xlfn.XLOOKUP(CustomerCombined[[#This Row],[ID]], Table2[ID],Table2[MC2], "Not Found", 0 )</f>
        <v>0</v>
      </c>
      <c r="AA1829" s="8">
        <f>_xlfn.XLOOKUP(CustomerCombined[[#This Row],[ID]], Table2[ID],Table2[MC3], "Not Found", 0 )</f>
        <v>0</v>
      </c>
      <c r="AB1829" s="8">
        <f>_xlfn.XLOOKUP(CustomerCombined[[#This Row],[ID]], Table2[ID],Table2[MC4], "Not Found", 0 )</f>
        <v>0</v>
      </c>
      <c r="AC1829" s="8">
        <f>_xlfn.XLOOKUP(CustomerCombined[[#This Row],[ID]], Table2[ID],Table2[MC5], "Not Found", 0 )</f>
        <v>0</v>
      </c>
    </row>
    <row r="1830" spans="1:29" x14ac:dyDescent="0.3">
      <c r="A1830" s="6">
        <v>2681</v>
      </c>
      <c r="B1830" s="6">
        <v>158656</v>
      </c>
      <c r="C1830" s="6">
        <v>0</v>
      </c>
      <c r="D1830" s="6">
        <v>1</v>
      </c>
      <c r="E1830" s="6">
        <v>64</v>
      </c>
      <c r="F1830" s="5" t="s">
        <v>8</v>
      </c>
      <c r="G1830" s="5" t="s">
        <v>12</v>
      </c>
      <c r="H1830" s="3" t="s">
        <v>391</v>
      </c>
      <c r="I1830" s="5" t="s">
        <v>434</v>
      </c>
      <c r="J1830" s="5">
        <f>_xlfn.XLOOKUP(CustomerCombined[[#This Row],[ID]], Table4[ID], Table4[Recency], "Not Found", 0)</f>
        <v>25</v>
      </c>
      <c r="K1830" s="5">
        <f>_xlfn.XLOOKUP(CustomerCombined[[#This Row],[ID]], Table4[ID], Table4[Teas], "Not Found", 0)</f>
        <v>2602</v>
      </c>
      <c r="L1830" s="5">
        <f>_xlfn.XLOOKUP(CustomerCombined[[#This Row],[ID]], Table4[ID], Table4[Fruits], "Not Found", 0)</f>
        <v>32</v>
      </c>
      <c r="M1830" s="5">
        <f>_xlfn.XLOOKUP(CustomerCombined[[#This Row],[ID]], Table4[ID], Table4[Meats], "Not Found", 0)</f>
        <v>525</v>
      </c>
      <c r="N1830" s="5">
        <f>_xlfn.XLOOKUP(CustomerCombined[[#This Row],[ID]], Table4[ID], Table4[Seafood], "Not Found", 0)</f>
        <v>43</v>
      </c>
      <c r="O1830" s="5">
        <f>_xlfn.XLOOKUP(CustomerCombined[[#This Row],[ID]], Table4[ID], Table4[Sweets], "Not Found", 0)</f>
        <v>65</v>
      </c>
      <c r="P1830" s="5">
        <f>_xlfn.XLOOKUP(CustomerCombined[[#This Row],[ID]], Table4[ID], Table4[Premium], "Not Found", 0)</f>
        <v>32</v>
      </c>
      <c r="Q1830" s="5">
        <f>_xlfn.XLOOKUP(CustomerCombined[[#This Row],[ID]], Table4[ID], Table4[Regular], "Not Found", 0)</f>
        <v>3235</v>
      </c>
      <c r="R1830" s="5">
        <f>_xlfn.XLOOKUP(CustomerCombined[[#This Row],[ID]], Table4[ID], Table4[Deals], "Not Found", 0)</f>
        <v>4</v>
      </c>
      <c r="S1830" s="5">
        <f>_xlfn.XLOOKUP(CustomerCombined[[#This Row],[ID]], Table4[ID], Table4[Website], "Not Found", 0)</f>
        <v>7</v>
      </c>
      <c r="T1830" s="5">
        <f>_xlfn.XLOOKUP(CustomerCombined[[#This Row],[ID]], Table4[ID], Table4[Catalog], "Not Found", 0)</f>
        <v>8</v>
      </c>
      <c r="U1830" s="5">
        <f>_xlfn.XLOOKUP(CustomerCombined[[#This Row],[ID]], Table4[ID], Table4[Store], "Not Found", 0)</f>
        <v>13</v>
      </c>
      <c r="V1830" s="5">
        <f>_xlfn.XLOOKUP(CustomerCombined[[#This Row],[ID]], Table4[ID], Table4[Visits], "Not Found", 0)</f>
        <v>6</v>
      </c>
      <c r="W1830" s="8">
        <f>_xlfn.XLOOKUP(CustomerCombined[[#This Row],[ID]], Table2[ID],Table2[Complaint], "Not Found", 0 )</f>
        <v>0</v>
      </c>
      <c r="X1830" s="8">
        <f>_xlfn.XLOOKUP(CustomerCombined[[#This Row],[ID]], Table2[ID],Table2[Pilot], "Not Found", 0 )</f>
        <v>0</v>
      </c>
      <c r="Y1830" s="8">
        <f>_xlfn.XLOOKUP(CustomerCombined[[#This Row],[ID]], Table2[ID],Table2[MC1], "Not Found", 0 )</f>
        <v>0</v>
      </c>
      <c r="Z1830" s="8">
        <f>_xlfn.XLOOKUP(CustomerCombined[[#This Row],[ID]], Table2[ID],Table2[MC2], "Not Found", 0 )</f>
        <v>0</v>
      </c>
      <c r="AA1830" s="8">
        <f>_xlfn.XLOOKUP(CustomerCombined[[#This Row],[ID]], Table2[ID],Table2[MC3], "Not Found", 0 )</f>
        <v>0</v>
      </c>
      <c r="AB1830" s="8">
        <f>_xlfn.XLOOKUP(CustomerCombined[[#This Row],[ID]], Table2[ID],Table2[MC4], "Not Found", 0 )</f>
        <v>0</v>
      </c>
      <c r="AC1830" s="8">
        <f>_xlfn.XLOOKUP(CustomerCombined[[#This Row],[ID]], Table2[ID],Table2[MC5], "Not Found", 0 )</f>
        <v>1</v>
      </c>
    </row>
    <row r="1831" spans="1:29" x14ac:dyDescent="0.3">
      <c r="A1831" s="6">
        <v>2964</v>
      </c>
      <c r="B1831" s="6">
        <v>158116</v>
      </c>
      <c r="C1831" s="6">
        <v>0</v>
      </c>
      <c r="D1831" s="6">
        <v>1</v>
      </c>
      <c r="E1831" s="6">
        <v>64</v>
      </c>
      <c r="F1831" s="5" t="s">
        <v>6</v>
      </c>
      <c r="G1831" s="5" t="s">
        <v>11</v>
      </c>
      <c r="H1831" s="3" t="s">
        <v>69</v>
      </c>
      <c r="I1831" s="5" t="s">
        <v>436</v>
      </c>
      <c r="J1831" s="5">
        <f>_xlfn.XLOOKUP(CustomerCombined[[#This Row],[ID]], Table4[ID], Table4[Recency], "Not Found", 0)</f>
        <v>38</v>
      </c>
      <c r="K1831" s="5">
        <f>_xlfn.XLOOKUP(CustomerCombined[[#This Row],[ID]], Table4[ID], Table4[Teas], "Not Found", 0)</f>
        <v>620</v>
      </c>
      <c r="L1831" s="5">
        <f>_xlfn.XLOOKUP(CustomerCombined[[#This Row],[ID]], Table4[ID], Table4[Fruits], "Not Found", 0)</f>
        <v>52</v>
      </c>
      <c r="M1831" s="5">
        <f>_xlfn.XLOOKUP(CustomerCombined[[#This Row],[ID]], Table4[ID], Table4[Meats], "Not Found", 0)</f>
        <v>354</v>
      </c>
      <c r="N1831" s="5">
        <f>_xlfn.XLOOKUP(CustomerCombined[[#This Row],[ID]], Table4[ID], Table4[Seafood], "Not Found", 0)</f>
        <v>11</v>
      </c>
      <c r="O1831" s="5">
        <f>_xlfn.XLOOKUP(CustomerCombined[[#This Row],[ID]], Table4[ID], Table4[Sweets], "Not Found", 0)</f>
        <v>30</v>
      </c>
      <c r="P1831" s="5">
        <f>_xlfn.XLOOKUP(CustomerCombined[[#This Row],[ID]], Table4[ID], Table4[Premium], "Not Found", 0)</f>
        <v>139</v>
      </c>
      <c r="Q1831" s="5">
        <f>_xlfn.XLOOKUP(CustomerCombined[[#This Row],[ID]], Table4[ID], Table4[Regular], "Not Found", 0)</f>
        <v>928</v>
      </c>
      <c r="R1831" s="5">
        <f>_xlfn.XLOOKUP(CustomerCombined[[#This Row],[ID]], Table4[ID], Table4[Deals], "Not Found", 0)</f>
        <v>2</v>
      </c>
      <c r="S1831" s="5">
        <f>_xlfn.XLOOKUP(CustomerCombined[[#This Row],[ID]], Table4[ID], Table4[Website], "Not Found", 0)</f>
        <v>3</v>
      </c>
      <c r="T1831" s="5">
        <f>_xlfn.XLOOKUP(CustomerCombined[[#This Row],[ID]], Table4[ID], Table4[Catalog], "Not Found", 0)</f>
        <v>3</v>
      </c>
      <c r="U1831" s="5">
        <f>_xlfn.XLOOKUP(CustomerCombined[[#This Row],[ID]], Table4[ID], Table4[Store], "Not Found", 0)</f>
        <v>8</v>
      </c>
      <c r="V1831" s="5">
        <f>_xlfn.XLOOKUP(CustomerCombined[[#This Row],[ID]], Table4[ID], Table4[Visits], "Not Found", 0)</f>
        <v>2</v>
      </c>
      <c r="W1831" s="8">
        <f>_xlfn.XLOOKUP(CustomerCombined[[#This Row],[ID]], Table2[ID],Table2[Complaint], "Not Found", 0 )</f>
        <v>0</v>
      </c>
      <c r="X1831" s="8">
        <f>_xlfn.XLOOKUP(CustomerCombined[[#This Row],[ID]], Table2[ID],Table2[Pilot], "Not Found", 0 )</f>
        <v>0</v>
      </c>
      <c r="Y1831" s="8">
        <f>_xlfn.XLOOKUP(CustomerCombined[[#This Row],[ID]], Table2[ID],Table2[MC1], "Not Found", 0 )</f>
        <v>0</v>
      </c>
      <c r="Z1831" s="8">
        <f>_xlfn.XLOOKUP(CustomerCombined[[#This Row],[ID]], Table2[ID],Table2[MC2], "Not Found", 0 )</f>
        <v>0</v>
      </c>
      <c r="AA1831" s="8">
        <f>_xlfn.XLOOKUP(CustomerCombined[[#This Row],[ID]], Table2[ID],Table2[MC3], "Not Found", 0 )</f>
        <v>0</v>
      </c>
      <c r="AB1831" s="8">
        <f>_xlfn.XLOOKUP(CustomerCombined[[#This Row],[ID]], Table2[ID],Table2[MC4], "Not Found", 0 )</f>
        <v>0</v>
      </c>
      <c r="AC1831" s="8">
        <f>_xlfn.XLOOKUP(CustomerCombined[[#This Row],[ID]], Table2[ID],Table2[MC5], "Not Found", 0 )</f>
        <v>0</v>
      </c>
    </row>
    <row r="1832" spans="1:29" x14ac:dyDescent="0.3">
      <c r="A1832" s="6">
        <v>1828</v>
      </c>
      <c r="B1832" s="6">
        <v>155284</v>
      </c>
      <c r="C1832" s="6">
        <v>0</v>
      </c>
      <c r="D1832" s="6">
        <v>1</v>
      </c>
      <c r="E1832" s="6">
        <v>64</v>
      </c>
      <c r="F1832" s="5" t="s">
        <v>7</v>
      </c>
      <c r="G1832" s="5" t="s">
        <v>12</v>
      </c>
      <c r="H1832" s="3" t="s">
        <v>335</v>
      </c>
      <c r="I1832" s="5" t="s">
        <v>439</v>
      </c>
      <c r="J1832" s="5">
        <f>_xlfn.XLOOKUP(CustomerCombined[[#This Row],[ID]], Table4[ID], Table4[Recency], "Not Found", 0)</f>
        <v>60</v>
      </c>
      <c r="K1832" s="5">
        <f>_xlfn.XLOOKUP(CustomerCombined[[#This Row],[ID]], Table4[ID], Table4[Teas], "Not Found", 0)</f>
        <v>1536</v>
      </c>
      <c r="L1832" s="5">
        <f>_xlfn.XLOOKUP(CustomerCombined[[#This Row],[ID]], Table4[ID], Table4[Fruits], "Not Found", 0)</f>
        <v>20</v>
      </c>
      <c r="M1832" s="5">
        <f>_xlfn.XLOOKUP(CustomerCombined[[#This Row],[ID]], Table4[ID], Table4[Meats], "Not Found", 0)</f>
        <v>393</v>
      </c>
      <c r="N1832" s="5">
        <f>_xlfn.XLOOKUP(CustomerCombined[[#This Row],[ID]], Table4[ID], Table4[Seafood], "Not Found", 0)</f>
        <v>0</v>
      </c>
      <c r="O1832" s="5">
        <f>_xlfn.XLOOKUP(CustomerCombined[[#This Row],[ID]], Table4[ID], Table4[Sweets], "Not Found", 0)</f>
        <v>20</v>
      </c>
      <c r="P1832" s="5">
        <f>_xlfn.XLOOKUP(CustomerCombined[[#This Row],[ID]], Table4[ID], Table4[Premium], "Not Found", 0)</f>
        <v>177</v>
      </c>
      <c r="Q1832" s="5">
        <f>_xlfn.XLOOKUP(CustomerCombined[[#This Row],[ID]], Table4[ID], Table4[Regular], "Not Found", 0)</f>
        <v>1792</v>
      </c>
      <c r="R1832" s="5">
        <f>_xlfn.XLOOKUP(CustomerCombined[[#This Row],[ID]], Table4[ID], Table4[Deals], "Not Found", 0)</f>
        <v>3</v>
      </c>
      <c r="S1832" s="5">
        <f>_xlfn.XLOOKUP(CustomerCombined[[#This Row],[ID]], Table4[ID], Table4[Website], "Not Found", 0)</f>
        <v>7</v>
      </c>
      <c r="T1832" s="5">
        <f>_xlfn.XLOOKUP(CustomerCombined[[#This Row],[ID]], Table4[ID], Table4[Catalog], "Not Found", 0)</f>
        <v>5</v>
      </c>
      <c r="U1832" s="5">
        <f>_xlfn.XLOOKUP(CustomerCombined[[#This Row],[ID]], Table4[ID], Table4[Store], "Not Found", 0)</f>
        <v>8</v>
      </c>
      <c r="V1832" s="5">
        <f>_xlfn.XLOOKUP(CustomerCombined[[#This Row],[ID]], Table4[ID], Table4[Visits], "Not Found", 0)</f>
        <v>5</v>
      </c>
      <c r="W1832" s="8">
        <f>_xlfn.XLOOKUP(CustomerCombined[[#This Row],[ID]], Table2[ID],Table2[Complaint], "Not Found", 0 )</f>
        <v>0</v>
      </c>
      <c r="X1832" s="8">
        <f>_xlfn.XLOOKUP(CustomerCombined[[#This Row],[ID]], Table2[ID],Table2[Pilot], "Not Found", 0 )</f>
        <v>0</v>
      </c>
      <c r="Y1832" s="8">
        <f>_xlfn.XLOOKUP(CustomerCombined[[#This Row],[ID]], Table2[ID],Table2[MC1], "Not Found", 0 )</f>
        <v>0</v>
      </c>
      <c r="Z1832" s="8">
        <f>_xlfn.XLOOKUP(CustomerCombined[[#This Row],[ID]], Table2[ID],Table2[MC2], "Not Found", 0 )</f>
        <v>0</v>
      </c>
      <c r="AA1832" s="8">
        <f>_xlfn.XLOOKUP(CustomerCombined[[#This Row],[ID]], Table2[ID],Table2[MC3], "Not Found", 0 )</f>
        <v>0</v>
      </c>
      <c r="AB1832" s="8">
        <f>_xlfn.XLOOKUP(CustomerCombined[[#This Row],[ID]], Table2[ID],Table2[MC4], "Not Found", 0 )</f>
        <v>0</v>
      </c>
      <c r="AC1832" s="8">
        <f>_xlfn.XLOOKUP(CustomerCombined[[#This Row],[ID]], Table2[ID],Table2[MC5], "Not Found", 0 )</f>
        <v>0</v>
      </c>
    </row>
    <row r="1833" spans="1:29" x14ac:dyDescent="0.3">
      <c r="A1833" s="6">
        <v>2217</v>
      </c>
      <c r="B1833" s="6">
        <v>155249</v>
      </c>
      <c r="C1833" s="6">
        <v>0</v>
      </c>
      <c r="D1833" s="6">
        <v>1</v>
      </c>
      <c r="E1833" s="6">
        <v>64</v>
      </c>
      <c r="F1833" s="5" t="s">
        <v>8</v>
      </c>
      <c r="G1833" s="5" t="s">
        <v>12</v>
      </c>
      <c r="H1833" s="3" t="s">
        <v>65</v>
      </c>
      <c r="I1833" s="5" t="s">
        <v>435</v>
      </c>
      <c r="J1833" s="5">
        <f>_xlfn.XLOOKUP(CustomerCombined[[#This Row],[ID]], Table4[ID], Table4[Recency], "Not Found", 0)</f>
        <v>81</v>
      </c>
      <c r="K1833" s="5">
        <f>_xlfn.XLOOKUP(CustomerCombined[[#This Row],[ID]], Table4[ID], Table4[Teas], "Not Found", 0)</f>
        <v>273</v>
      </c>
      <c r="L1833" s="5">
        <f>_xlfn.XLOOKUP(CustomerCombined[[#This Row],[ID]], Table4[ID], Table4[Fruits], "Not Found", 0)</f>
        <v>3</v>
      </c>
      <c r="M1833" s="5">
        <f>_xlfn.XLOOKUP(CustomerCombined[[#This Row],[ID]], Table4[ID], Table4[Meats], "Not Found", 0)</f>
        <v>53</v>
      </c>
      <c r="N1833" s="5">
        <f>_xlfn.XLOOKUP(CustomerCombined[[#This Row],[ID]], Table4[ID], Table4[Seafood], "Not Found", 0)</f>
        <v>6</v>
      </c>
      <c r="O1833" s="5">
        <f>_xlfn.XLOOKUP(CustomerCombined[[#This Row],[ID]], Table4[ID], Table4[Sweets], "Not Found", 0)</f>
        <v>0</v>
      </c>
      <c r="P1833" s="5">
        <f>_xlfn.XLOOKUP(CustomerCombined[[#This Row],[ID]], Table4[ID], Table4[Premium], "Not Found", 0)</f>
        <v>31</v>
      </c>
      <c r="Q1833" s="5">
        <f>_xlfn.XLOOKUP(CustomerCombined[[#This Row],[ID]], Table4[ID], Table4[Regular], "Not Found", 0)</f>
        <v>303</v>
      </c>
      <c r="R1833" s="5">
        <f>_xlfn.XLOOKUP(CustomerCombined[[#This Row],[ID]], Table4[ID], Table4[Deals], "Not Found", 0)</f>
        <v>1</v>
      </c>
      <c r="S1833" s="5">
        <f>_xlfn.XLOOKUP(CustomerCombined[[#This Row],[ID]], Table4[ID], Table4[Website], "Not Found", 0)</f>
        <v>2</v>
      </c>
      <c r="T1833" s="5">
        <f>_xlfn.XLOOKUP(CustomerCombined[[#This Row],[ID]], Table4[ID], Table4[Catalog], "Not Found", 0)</f>
        <v>1</v>
      </c>
      <c r="U1833" s="5">
        <f>_xlfn.XLOOKUP(CustomerCombined[[#This Row],[ID]], Table4[ID], Table4[Store], "Not Found", 0)</f>
        <v>4</v>
      </c>
      <c r="V1833" s="5">
        <f>_xlfn.XLOOKUP(CustomerCombined[[#This Row],[ID]], Table4[ID], Table4[Visits], "Not Found", 0)</f>
        <v>3</v>
      </c>
      <c r="W1833" s="8">
        <f>_xlfn.XLOOKUP(CustomerCombined[[#This Row],[ID]], Table2[ID],Table2[Complaint], "Not Found", 0 )</f>
        <v>0</v>
      </c>
      <c r="X1833" s="8">
        <f>_xlfn.XLOOKUP(CustomerCombined[[#This Row],[ID]], Table2[ID],Table2[Pilot], "Not Found", 0 )</f>
        <v>0</v>
      </c>
      <c r="Y1833" s="8">
        <f>_xlfn.XLOOKUP(CustomerCombined[[#This Row],[ID]], Table2[ID],Table2[MC1], "Not Found", 0 )</f>
        <v>0</v>
      </c>
      <c r="Z1833" s="8">
        <f>_xlfn.XLOOKUP(CustomerCombined[[#This Row],[ID]], Table2[ID],Table2[MC2], "Not Found", 0 )</f>
        <v>0</v>
      </c>
      <c r="AA1833" s="8">
        <f>_xlfn.XLOOKUP(CustomerCombined[[#This Row],[ID]], Table2[ID],Table2[MC3], "Not Found", 0 )</f>
        <v>0</v>
      </c>
      <c r="AB1833" s="8">
        <f>_xlfn.XLOOKUP(CustomerCombined[[#This Row],[ID]], Table2[ID],Table2[MC4], "Not Found", 0 )</f>
        <v>0</v>
      </c>
      <c r="AC1833" s="8">
        <f>_xlfn.XLOOKUP(CustomerCombined[[#This Row],[ID]], Table2[ID],Table2[MC5], "Not Found", 0 )</f>
        <v>0</v>
      </c>
    </row>
    <row r="1834" spans="1:29" x14ac:dyDescent="0.3">
      <c r="A1834" s="6">
        <v>2911</v>
      </c>
      <c r="B1834" s="6">
        <v>154998</v>
      </c>
      <c r="C1834" s="6">
        <v>0</v>
      </c>
      <c r="D1834" s="6">
        <v>1</v>
      </c>
      <c r="E1834" s="6">
        <v>64</v>
      </c>
      <c r="F1834" s="5" t="s">
        <v>7</v>
      </c>
      <c r="G1834" s="5" t="s">
        <v>13</v>
      </c>
      <c r="H1834" s="3" t="s">
        <v>297</v>
      </c>
      <c r="I1834" s="5" t="s">
        <v>437</v>
      </c>
      <c r="J1834" s="5">
        <f>_xlfn.XLOOKUP(CustomerCombined[[#This Row],[ID]], Table4[ID], Table4[Recency], "Not Found", 0)</f>
        <v>3</v>
      </c>
      <c r="K1834" s="5">
        <f>_xlfn.XLOOKUP(CustomerCombined[[#This Row],[ID]], Table4[ID], Table4[Teas], "Not Found", 0)</f>
        <v>434</v>
      </c>
      <c r="L1834" s="5">
        <f>_xlfn.XLOOKUP(CustomerCombined[[#This Row],[ID]], Table4[ID], Table4[Fruits], "Not Found", 0)</f>
        <v>62</v>
      </c>
      <c r="M1834" s="5">
        <f>_xlfn.XLOOKUP(CustomerCombined[[#This Row],[ID]], Table4[ID], Table4[Meats], "Not Found", 0)</f>
        <v>569</v>
      </c>
      <c r="N1834" s="5">
        <f>_xlfn.XLOOKUP(CustomerCombined[[#This Row],[ID]], Table4[ID], Table4[Seafood], "Not Found", 0)</f>
        <v>110</v>
      </c>
      <c r="O1834" s="5">
        <f>_xlfn.XLOOKUP(CustomerCombined[[#This Row],[ID]], Table4[ID], Table4[Sweets], "Not Found", 0)</f>
        <v>85</v>
      </c>
      <c r="P1834" s="5">
        <f>_xlfn.XLOOKUP(CustomerCombined[[#This Row],[ID]], Table4[ID], Table4[Premium], "Not Found", 0)</f>
        <v>23</v>
      </c>
      <c r="Q1834" s="5">
        <f>_xlfn.XLOOKUP(CustomerCombined[[#This Row],[ID]], Table4[ID], Table4[Regular], "Not Found", 0)</f>
        <v>1237</v>
      </c>
      <c r="R1834" s="5">
        <f>_xlfn.XLOOKUP(CustomerCombined[[#This Row],[ID]], Table4[ID], Table4[Deals], "Not Found", 0)</f>
        <v>5</v>
      </c>
      <c r="S1834" s="5">
        <f>_xlfn.XLOOKUP(CustomerCombined[[#This Row],[ID]], Table4[ID], Table4[Website], "Not Found", 0)</f>
        <v>4</v>
      </c>
      <c r="T1834" s="5">
        <f>_xlfn.XLOOKUP(CustomerCombined[[#This Row],[ID]], Table4[ID], Table4[Catalog], "Not Found", 0)</f>
        <v>2</v>
      </c>
      <c r="U1834" s="5">
        <f>_xlfn.XLOOKUP(CustomerCombined[[#This Row],[ID]], Table4[ID], Table4[Store], "Not Found", 0)</f>
        <v>9</v>
      </c>
      <c r="V1834" s="5">
        <f>_xlfn.XLOOKUP(CustomerCombined[[#This Row],[ID]], Table4[ID], Table4[Visits], "Not Found", 0)</f>
        <v>4</v>
      </c>
      <c r="W1834" s="8">
        <f>_xlfn.XLOOKUP(CustomerCombined[[#This Row],[ID]], Table2[ID],Table2[Complaint], "Not Found", 0 )</f>
        <v>0</v>
      </c>
      <c r="X1834" s="8">
        <f>_xlfn.XLOOKUP(CustomerCombined[[#This Row],[ID]], Table2[ID],Table2[Pilot], "Not Found", 0 )</f>
        <v>1</v>
      </c>
      <c r="Y1834" s="8">
        <f>_xlfn.XLOOKUP(CustomerCombined[[#This Row],[ID]], Table2[ID],Table2[MC1], "Not Found", 0 )</f>
        <v>0</v>
      </c>
      <c r="Z1834" s="8">
        <f>_xlfn.XLOOKUP(CustomerCombined[[#This Row],[ID]], Table2[ID],Table2[MC2], "Not Found", 0 )</f>
        <v>0</v>
      </c>
      <c r="AA1834" s="8">
        <f>_xlfn.XLOOKUP(CustomerCombined[[#This Row],[ID]], Table2[ID],Table2[MC3], "Not Found", 0 )</f>
        <v>0</v>
      </c>
      <c r="AB1834" s="8">
        <f>_xlfn.XLOOKUP(CustomerCombined[[#This Row],[ID]], Table2[ID],Table2[MC4], "Not Found", 0 )</f>
        <v>0</v>
      </c>
      <c r="AC1834" s="8">
        <f>_xlfn.XLOOKUP(CustomerCombined[[#This Row],[ID]], Table2[ID],Table2[MC5], "Not Found", 0 )</f>
        <v>0</v>
      </c>
    </row>
    <row r="1835" spans="1:29" x14ac:dyDescent="0.3">
      <c r="A1835" s="6">
        <v>1563</v>
      </c>
      <c r="B1835" s="6">
        <v>154603</v>
      </c>
      <c r="C1835" s="6">
        <v>1</v>
      </c>
      <c r="D1835" s="6">
        <v>1</v>
      </c>
      <c r="E1835" s="6">
        <v>64</v>
      </c>
      <c r="F1835" s="5" t="s">
        <v>8</v>
      </c>
      <c r="G1835" s="5" t="s">
        <v>12</v>
      </c>
      <c r="H1835" s="3" t="s">
        <v>226</v>
      </c>
      <c r="I1835" s="5" t="s">
        <v>435</v>
      </c>
      <c r="J1835" s="5">
        <f>_xlfn.XLOOKUP(CustomerCombined[[#This Row],[ID]], Table4[ID], Table4[Recency], "Not Found", 0)</f>
        <v>85</v>
      </c>
      <c r="K1835" s="5">
        <f>_xlfn.XLOOKUP(CustomerCombined[[#This Row],[ID]], Table4[ID], Table4[Teas], "Not Found", 0)</f>
        <v>411</v>
      </c>
      <c r="L1835" s="5">
        <f>_xlfn.XLOOKUP(CustomerCombined[[#This Row],[ID]], Table4[ID], Table4[Fruits], "Not Found", 0)</f>
        <v>37</v>
      </c>
      <c r="M1835" s="5">
        <f>_xlfn.XLOOKUP(CustomerCombined[[#This Row],[ID]], Table4[ID], Table4[Meats], "Not Found", 0)</f>
        <v>130</v>
      </c>
      <c r="N1835" s="5">
        <f>_xlfn.XLOOKUP(CustomerCombined[[#This Row],[ID]], Table4[ID], Table4[Seafood], "Not Found", 0)</f>
        <v>48</v>
      </c>
      <c r="O1835" s="5">
        <f>_xlfn.XLOOKUP(CustomerCombined[[#This Row],[ID]], Table4[ID], Table4[Sweets], "Not Found", 0)</f>
        <v>6</v>
      </c>
      <c r="P1835" s="5">
        <f>_xlfn.XLOOKUP(CustomerCombined[[#This Row],[ID]], Table4[ID], Table4[Premium], "Not Found", 0)</f>
        <v>11</v>
      </c>
      <c r="Q1835" s="5">
        <f>_xlfn.XLOOKUP(CustomerCombined[[#This Row],[ID]], Table4[ID], Table4[Regular], "Not Found", 0)</f>
        <v>620</v>
      </c>
      <c r="R1835" s="5">
        <f>_xlfn.XLOOKUP(CustomerCombined[[#This Row],[ID]], Table4[ID], Table4[Deals], "Not Found", 0)</f>
        <v>6</v>
      </c>
      <c r="S1835" s="5">
        <f>_xlfn.XLOOKUP(CustomerCombined[[#This Row],[ID]], Table4[ID], Table4[Website], "Not Found", 0)</f>
        <v>4</v>
      </c>
      <c r="T1835" s="5">
        <f>_xlfn.XLOOKUP(CustomerCombined[[#This Row],[ID]], Table4[ID], Table4[Catalog], "Not Found", 0)</f>
        <v>2</v>
      </c>
      <c r="U1835" s="5">
        <f>_xlfn.XLOOKUP(CustomerCombined[[#This Row],[ID]], Table4[ID], Table4[Store], "Not Found", 0)</f>
        <v>4</v>
      </c>
      <c r="V1835" s="5">
        <f>_xlfn.XLOOKUP(CustomerCombined[[#This Row],[ID]], Table4[ID], Table4[Visits], "Not Found", 0)</f>
        <v>7</v>
      </c>
      <c r="W1835" s="8">
        <f>_xlfn.XLOOKUP(CustomerCombined[[#This Row],[ID]], Table2[ID],Table2[Complaint], "Not Found", 0 )</f>
        <v>0</v>
      </c>
      <c r="X1835" s="8">
        <f>_xlfn.XLOOKUP(CustomerCombined[[#This Row],[ID]], Table2[ID],Table2[Pilot], "Not Found", 0 )</f>
        <v>0</v>
      </c>
      <c r="Y1835" s="8">
        <f>_xlfn.XLOOKUP(CustomerCombined[[#This Row],[ID]], Table2[ID],Table2[MC1], "Not Found", 0 )</f>
        <v>0</v>
      </c>
      <c r="Z1835" s="8">
        <f>_xlfn.XLOOKUP(CustomerCombined[[#This Row],[ID]], Table2[ID],Table2[MC2], "Not Found", 0 )</f>
        <v>0</v>
      </c>
      <c r="AA1835" s="8">
        <f>_xlfn.XLOOKUP(CustomerCombined[[#This Row],[ID]], Table2[ID],Table2[MC3], "Not Found", 0 )</f>
        <v>0</v>
      </c>
      <c r="AB1835" s="8">
        <f>_xlfn.XLOOKUP(CustomerCombined[[#This Row],[ID]], Table2[ID],Table2[MC4], "Not Found", 0 )</f>
        <v>0</v>
      </c>
      <c r="AC1835" s="8">
        <f>_xlfn.XLOOKUP(CustomerCombined[[#This Row],[ID]], Table2[ID],Table2[MC5], "Not Found", 0 )</f>
        <v>0</v>
      </c>
    </row>
    <row r="1836" spans="1:29" x14ac:dyDescent="0.3">
      <c r="A1836" s="6">
        <v>2128</v>
      </c>
      <c r="B1836" s="6">
        <v>154450</v>
      </c>
      <c r="C1836" s="6">
        <v>1</v>
      </c>
      <c r="D1836" s="6">
        <v>1</v>
      </c>
      <c r="E1836" s="6">
        <v>64</v>
      </c>
      <c r="F1836" s="5" t="s">
        <v>8</v>
      </c>
      <c r="G1836" s="5" t="s">
        <v>11</v>
      </c>
      <c r="H1836" s="3" t="s">
        <v>396</v>
      </c>
      <c r="I1836" s="5" t="s">
        <v>439</v>
      </c>
      <c r="J1836" s="5">
        <f>_xlfn.XLOOKUP(CustomerCombined[[#This Row],[ID]], Table4[ID], Table4[Recency], "Not Found", 0)</f>
        <v>0</v>
      </c>
      <c r="K1836" s="5">
        <f>_xlfn.XLOOKUP(CustomerCombined[[#This Row],[ID]], Table4[ID], Table4[Teas], "Not Found", 0)</f>
        <v>1288</v>
      </c>
      <c r="L1836" s="5">
        <f>_xlfn.XLOOKUP(CustomerCombined[[#This Row],[ID]], Table4[ID], Table4[Fruits], "Not Found", 0)</f>
        <v>0</v>
      </c>
      <c r="M1836" s="5">
        <f>_xlfn.XLOOKUP(CustomerCombined[[#This Row],[ID]], Table4[ID], Table4[Meats], "Not Found", 0)</f>
        <v>485</v>
      </c>
      <c r="N1836" s="5">
        <f>_xlfn.XLOOKUP(CustomerCombined[[#This Row],[ID]], Table4[ID], Table4[Seafood], "Not Found", 0)</f>
        <v>23</v>
      </c>
      <c r="O1836" s="5">
        <f>_xlfn.XLOOKUP(CustomerCombined[[#This Row],[ID]], Table4[ID], Table4[Sweets], "Not Found", 0)</f>
        <v>54</v>
      </c>
      <c r="P1836" s="5">
        <f>_xlfn.XLOOKUP(CustomerCombined[[#This Row],[ID]], Table4[ID], Table4[Premium], "Not Found", 0)</f>
        <v>91</v>
      </c>
      <c r="Q1836" s="5">
        <f>_xlfn.XLOOKUP(CustomerCombined[[#This Row],[ID]], Table4[ID], Table4[Regular], "Not Found", 0)</f>
        <v>1759</v>
      </c>
      <c r="R1836" s="5">
        <f>_xlfn.XLOOKUP(CustomerCombined[[#This Row],[ID]], Table4[ID], Table4[Deals], "Not Found", 0)</f>
        <v>12</v>
      </c>
      <c r="S1836" s="5">
        <f>_xlfn.XLOOKUP(CustomerCombined[[#This Row],[ID]], Table4[ID], Table4[Website], "Not Found", 0)</f>
        <v>9</v>
      </c>
      <c r="T1836" s="5">
        <f>_xlfn.XLOOKUP(CustomerCombined[[#This Row],[ID]], Table4[ID], Table4[Catalog], "Not Found", 0)</f>
        <v>2</v>
      </c>
      <c r="U1836" s="5">
        <f>_xlfn.XLOOKUP(CustomerCombined[[#This Row],[ID]], Table4[ID], Table4[Store], "Not Found", 0)</f>
        <v>8</v>
      </c>
      <c r="V1836" s="5">
        <f>_xlfn.XLOOKUP(CustomerCombined[[#This Row],[ID]], Table4[ID], Table4[Visits], "Not Found", 0)</f>
        <v>8</v>
      </c>
      <c r="W1836" s="8">
        <f>_xlfn.XLOOKUP(CustomerCombined[[#This Row],[ID]], Table2[ID],Table2[Complaint], "Not Found", 0 )</f>
        <v>0</v>
      </c>
      <c r="X1836" s="8">
        <f>_xlfn.XLOOKUP(CustomerCombined[[#This Row],[ID]], Table2[ID],Table2[Pilot], "Not Found", 0 )</f>
        <v>0</v>
      </c>
      <c r="Y1836" s="8">
        <f>_xlfn.XLOOKUP(CustomerCombined[[#This Row],[ID]], Table2[ID],Table2[MC1], "Not Found", 0 )</f>
        <v>0</v>
      </c>
      <c r="Z1836" s="8">
        <f>_xlfn.XLOOKUP(CustomerCombined[[#This Row],[ID]], Table2[ID],Table2[MC2], "Not Found", 0 )</f>
        <v>0</v>
      </c>
      <c r="AA1836" s="8">
        <f>_xlfn.XLOOKUP(CustomerCombined[[#This Row],[ID]], Table2[ID],Table2[MC3], "Not Found", 0 )</f>
        <v>0</v>
      </c>
      <c r="AB1836" s="8">
        <f>_xlfn.XLOOKUP(CustomerCombined[[#This Row],[ID]], Table2[ID],Table2[MC4], "Not Found", 0 )</f>
        <v>0</v>
      </c>
      <c r="AC1836" s="8">
        <f>_xlfn.XLOOKUP(CustomerCombined[[#This Row],[ID]], Table2[ID],Table2[MC5], "Not Found", 0 )</f>
        <v>0</v>
      </c>
    </row>
    <row r="1837" spans="1:29" x14ac:dyDescent="0.3">
      <c r="A1837" s="6">
        <v>2142</v>
      </c>
      <c r="B1837" s="6">
        <v>154450</v>
      </c>
      <c r="C1837" s="6">
        <v>1</v>
      </c>
      <c r="D1837" s="6">
        <v>1</v>
      </c>
      <c r="E1837" s="6">
        <v>64</v>
      </c>
      <c r="F1837" s="5" t="s">
        <v>8</v>
      </c>
      <c r="G1837" s="5" t="s">
        <v>11</v>
      </c>
      <c r="H1837" s="3" t="s">
        <v>396</v>
      </c>
      <c r="I1837" s="5" t="s">
        <v>436</v>
      </c>
      <c r="J1837" s="5">
        <f>_xlfn.XLOOKUP(CustomerCombined[[#This Row],[ID]], Table4[ID], Table4[Recency], "Not Found", 0)</f>
        <v>0</v>
      </c>
      <c r="K1837" s="5">
        <f>_xlfn.XLOOKUP(CustomerCombined[[#This Row],[ID]], Table4[ID], Table4[Teas], "Not Found", 0)</f>
        <v>1288</v>
      </c>
      <c r="L1837" s="5">
        <f>_xlfn.XLOOKUP(CustomerCombined[[#This Row],[ID]], Table4[ID], Table4[Fruits], "Not Found", 0)</f>
        <v>0</v>
      </c>
      <c r="M1837" s="5">
        <f>_xlfn.XLOOKUP(CustomerCombined[[#This Row],[ID]], Table4[ID], Table4[Meats], "Not Found", 0)</f>
        <v>485</v>
      </c>
      <c r="N1837" s="5">
        <f>_xlfn.XLOOKUP(CustomerCombined[[#This Row],[ID]], Table4[ID], Table4[Seafood], "Not Found", 0)</f>
        <v>23</v>
      </c>
      <c r="O1837" s="5">
        <f>_xlfn.XLOOKUP(CustomerCombined[[#This Row],[ID]], Table4[ID], Table4[Sweets], "Not Found", 0)</f>
        <v>54</v>
      </c>
      <c r="P1837" s="5">
        <f>_xlfn.XLOOKUP(CustomerCombined[[#This Row],[ID]], Table4[ID], Table4[Premium], "Not Found", 0)</f>
        <v>91</v>
      </c>
      <c r="Q1837" s="5">
        <f>_xlfn.XLOOKUP(CustomerCombined[[#This Row],[ID]], Table4[ID], Table4[Regular], "Not Found", 0)</f>
        <v>1759</v>
      </c>
      <c r="R1837" s="5">
        <f>_xlfn.XLOOKUP(CustomerCombined[[#This Row],[ID]], Table4[ID], Table4[Deals], "Not Found", 0)</f>
        <v>12</v>
      </c>
      <c r="S1837" s="5">
        <f>_xlfn.XLOOKUP(CustomerCombined[[#This Row],[ID]], Table4[ID], Table4[Website], "Not Found", 0)</f>
        <v>9</v>
      </c>
      <c r="T1837" s="5">
        <f>_xlfn.XLOOKUP(CustomerCombined[[#This Row],[ID]], Table4[ID], Table4[Catalog], "Not Found", 0)</f>
        <v>2</v>
      </c>
      <c r="U1837" s="5">
        <f>_xlfn.XLOOKUP(CustomerCombined[[#This Row],[ID]], Table4[ID], Table4[Store], "Not Found", 0)</f>
        <v>8</v>
      </c>
      <c r="V1837" s="5">
        <f>_xlfn.XLOOKUP(CustomerCombined[[#This Row],[ID]], Table4[ID], Table4[Visits], "Not Found", 0)</f>
        <v>8</v>
      </c>
      <c r="W1837" s="8">
        <f>_xlfn.XLOOKUP(CustomerCombined[[#This Row],[ID]], Table2[ID],Table2[Complaint], "Not Found", 0 )</f>
        <v>0</v>
      </c>
      <c r="X1837" s="8">
        <f>_xlfn.XLOOKUP(CustomerCombined[[#This Row],[ID]], Table2[ID],Table2[Pilot], "Not Found", 0 )</f>
        <v>0</v>
      </c>
      <c r="Y1837" s="8">
        <f>_xlfn.XLOOKUP(CustomerCombined[[#This Row],[ID]], Table2[ID],Table2[MC1], "Not Found", 0 )</f>
        <v>0</v>
      </c>
      <c r="Z1837" s="8">
        <f>_xlfn.XLOOKUP(CustomerCombined[[#This Row],[ID]], Table2[ID],Table2[MC2], "Not Found", 0 )</f>
        <v>0</v>
      </c>
      <c r="AA1837" s="8">
        <f>_xlfn.XLOOKUP(CustomerCombined[[#This Row],[ID]], Table2[ID],Table2[MC3], "Not Found", 0 )</f>
        <v>0</v>
      </c>
      <c r="AB1837" s="8">
        <f>_xlfn.XLOOKUP(CustomerCombined[[#This Row],[ID]], Table2[ID],Table2[MC4], "Not Found", 0 )</f>
        <v>0</v>
      </c>
      <c r="AC1837" s="8">
        <f>_xlfn.XLOOKUP(CustomerCombined[[#This Row],[ID]], Table2[ID],Table2[MC5], "Not Found", 0 )</f>
        <v>0</v>
      </c>
    </row>
    <row r="1838" spans="1:29" x14ac:dyDescent="0.3">
      <c r="A1838" s="6">
        <v>2360</v>
      </c>
      <c r="B1838" s="6">
        <v>154342</v>
      </c>
      <c r="C1838" s="6">
        <v>1</v>
      </c>
      <c r="D1838" s="6">
        <v>1</v>
      </c>
      <c r="E1838" s="6">
        <v>64</v>
      </c>
      <c r="F1838" s="5" t="s">
        <v>8</v>
      </c>
      <c r="G1838" s="5" t="s">
        <v>442</v>
      </c>
      <c r="H1838" s="3">
        <v>43689</v>
      </c>
      <c r="I1838" s="5" t="s">
        <v>438</v>
      </c>
      <c r="J1838" s="5">
        <f>_xlfn.XLOOKUP(CustomerCombined[[#This Row],[ID]], Table4[ID], Table4[Recency], "Not Found", 0)</f>
        <v>74</v>
      </c>
      <c r="K1838" s="5">
        <f>_xlfn.XLOOKUP(CustomerCombined[[#This Row],[ID]], Table4[ID], Table4[Teas], "Not Found", 0)</f>
        <v>239</v>
      </c>
      <c r="L1838" s="5">
        <f>_xlfn.XLOOKUP(CustomerCombined[[#This Row],[ID]], Table4[ID], Table4[Fruits], "Not Found", 0)</f>
        <v>28</v>
      </c>
      <c r="M1838" s="5">
        <f>_xlfn.XLOOKUP(CustomerCombined[[#This Row],[ID]], Table4[ID], Table4[Meats], "Not Found", 0)</f>
        <v>97</v>
      </c>
      <c r="N1838" s="5">
        <f>_xlfn.XLOOKUP(CustomerCombined[[#This Row],[ID]], Table4[ID], Table4[Seafood], "Not Found", 0)</f>
        <v>31</v>
      </c>
      <c r="O1838" s="5">
        <f>_xlfn.XLOOKUP(CustomerCombined[[#This Row],[ID]], Table4[ID], Table4[Sweets], "Not Found", 0)</f>
        <v>28</v>
      </c>
      <c r="P1838" s="5">
        <f>_xlfn.XLOOKUP(CustomerCombined[[#This Row],[ID]], Table4[ID], Table4[Premium], "Not Found", 0)</f>
        <v>80</v>
      </c>
      <c r="Q1838" s="5">
        <f>_xlfn.XLOOKUP(CustomerCombined[[#This Row],[ID]], Table4[ID], Table4[Regular], "Not Found", 0)</f>
        <v>344</v>
      </c>
      <c r="R1838" s="5">
        <f>_xlfn.XLOOKUP(CustomerCombined[[#This Row],[ID]], Table4[ID], Table4[Deals], "Not Found", 0)</f>
        <v>4</v>
      </c>
      <c r="S1838" s="5">
        <f>_xlfn.XLOOKUP(CustomerCombined[[#This Row],[ID]], Table4[ID], Table4[Website], "Not Found", 0)</f>
        <v>3</v>
      </c>
      <c r="T1838" s="5">
        <f>_xlfn.XLOOKUP(CustomerCombined[[#This Row],[ID]], Table4[ID], Table4[Catalog], "Not Found", 0)</f>
        <v>1</v>
      </c>
      <c r="U1838" s="5">
        <f>_xlfn.XLOOKUP(CustomerCombined[[#This Row],[ID]], Table4[ID], Table4[Store], "Not Found", 0)</f>
        <v>4</v>
      </c>
      <c r="V1838" s="5">
        <f>_xlfn.XLOOKUP(CustomerCombined[[#This Row],[ID]], Table4[ID], Table4[Visits], "Not Found", 0)</f>
        <v>6</v>
      </c>
      <c r="W1838" s="8">
        <f>_xlfn.XLOOKUP(CustomerCombined[[#This Row],[ID]], Table2[ID],Table2[Complaint], "Not Found", 0 )</f>
        <v>0</v>
      </c>
      <c r="X1838" s="8">
        <f>_xlfn.XLOOKUP(CustomerCombined[[#This Row],[ID]], Table2[ID],Table2[Pilot], "Not Found", 0 )</f>
        <v>0</v>
      </c>
      <c r="Y1838" s="8">
        <f>_xlfn.XLOOKUP(CustomerCombined[[#This Row],[ID]], Table2[ID],Table2[MC1], "Not Found", 0 )</f>
        <v>0</v>
      </c>
      <c r="Z1838" s="8">
        <f>_xlfn.XLOOKUP(CustomerCombined[[#This Row],[ID]], Table2[ID],Table2[MC2], "Not Found", 0 )</f>
        <v>0</v>
      </c>
      <c r="AA1838" s="8">
        <f>_xlfn.XLOOKUP(CustomerCombined[[#This Row],[ID]], Table2[ID],Table2[MC3], "Not Found", 0 )</f>
        <v>0</v>
      </c>
      <c r="AB1838" s="8">
        <f>_xlfn.XLOOKUP(CustomerCombined[[#This Row],[ID]], Table2[ID],Table2[MC4], "Not Found", 0 )</f>
        <v>0</v>
      </c>
      <c r="AC1838" s="8">
        <f>_xlfn.XLOOKUP(CustomerCombined[[#This Row],[ID]], Table2[ID],Table2[MC5], "Not Found", 0 )</f>
        <v>0</v>
      </c>
    </row>
    <row r="1839" spans="1:29" x14ac:dyDescent="0.3">
      <c r="A1839" s="6">
        <v>3066</v>
      </c>
      <c r="B1839" s="6">
        <v>154252</v>
      </c>
      <c r="C1839" s="6">
        <v>1</v>
      </c>
      <c r="D1839" s="6">
        <v>1</v>
      </c>
      <c r="E1839" s="6">
        <v>64</v>
      </c>
      <c r="F1839" s="5" t="s">
        <v>7</v>
      </c>
      <c r="G1839" s="5" t="s">
        <v>11</v>
      </c>
      <c r="H1839" s="3">
        <v>43507</v>
      </c>
      <c r="I1839" s="5" t="s">
        <v>436</v>
      </c>
      <c r="J1839" s="5">
        <f>_xlfn.XLOOKUP(CustomerCombined[[#This Row],[ID]], Table4[ID], Table4[Recency], "Not Found", 0)</f>
        <v>25</v>
      </c>
      <c r="K1839" s="5">
        <f>_xlfn.XLOOKUP(CustomerCombined[[#This Row],[ID]], Table4[ID], Table4[Teas], "Not Found", 0)</f>
        <v>506</v>
      </c>
      <c r="L1839" s="5">
        <f>_xlfn.XLOOKUP(CustomerCombined[[#This Row],[ID]], Table4[ID], Table4[Fruits], "Not Found", 0)</f>
        <v>11</v>
      </c>
      <c r="M1839" s="5">
        <f>_xlfn.XLOOKUP(CustomerCombined[[#This Row],[ID]], Table4[ID], Table4[Meats], "Not Found", 0)</f>
        <v>74</v>
      </c>
      <c r="N1839" s="5">
        <f>_xlfn.XLOOKUP(CustomerCombined[[#This Row],[ID]], Table4[ID], Table4[Seafood], "Not Found", 0)</f>
        <v>23</v>
      </c>
      <c r="O1839" s="5">
        <f>_xlfn.XLOOKUP(CustomerCombined[[#This Row],[ID]], Table4[ID], Table4[Sweets], "Not Found", 0)</f>
        <v>11</v>
      </c>
      <c r="P1839" s="5">
        <f>_xlfn.XLOOKUP(CustomerCombined[[#This Row],[ID]], Table4[ID], Table4[Premium], "Not Found", 0)</f>
        <v>125</v>
      </c>
      <c r="Q1839" s="5">
        <f>_xlfn.XLOOKUP(CustomerCombined[[#This Row],[ID]], Table4[ID], Table4[Regular], "Not Found", 0)</f>
        <v>500</v>
      </c>
      <c r="R1839" s="5">
        <f>_xlfn.XLOOKUP(CustomerCombined[[#This Row],[ID]], Table4[ID], Table4[Deals], "Not Found", 0)</f>
        <v>5</v>
      </c>
      <c r="S1839" s="5">
        <f>_xlfn.XLOOKUP(CustomerCombined[[#This Row],[ID]], Table4[ID], Table4[Website], "Not Found", 0)</f>
        <v>4</v>
      </c>
      <c r="T1839" s="5">
        <f>_xlfn.XLOOKUP(CustomerCombined[[#This Row],[ID]], Table4[ID], Table4[Catalog], "Not Found", 0)</f>
        <v>1</v>
      </c>
      <c r="U1839" s="5">
        <f>_xlfn.XLOOKUP(CustomerCombined[[#This Row],[ID]], Table4[ID], Table4[Store], "Not Found", 0)</f>
        <v>5</v>
      </c>
      <c r="V1839" s="5">
        <f>_xlfn.XLOOKUP(CustomerCombined[[#This Row],[ID]], Table4[ID], Table4[Visits], "Not Found", 0)</f>
        <v>6</v>
      </c>
      <c r="W1839" s="8">
        <f>_xlfn.XLOOKUP(CustomerCombined[[#This Row],[ID]], Table2[ID],Table2[Complaint], "Not Found", 0 )</f>
        <v>0</v>
      </c>
      <c r="X1839" s="8">
        <f>_xlfn.XLOOKUP(CustomerCombined[[#This Row],[ID]], Table2[ID],Table2[Pilot], "Not Found", 0 )</f>
        <v>0</v>
      </c>
      <c r="Y1839" s="8">
        <f>_xlfn.XLOOKUP(CustomerCombined[[#This Row],[ID]], Table2[ID],Table2[MC1], "Not Found", 0 )</f>
        <v>0</v>
      </c>
      <c r="Z1839" s="8">
        <f>_xlfn.XLOOKUP(CustomerCombined[[#This Row],[ID]], Table2[ID],Table2[MC2], "Not Found", 0 )</f>
        <v>0</v>
      </c>
      <c r="AA1839" s="8">
        <f>_xlfn.XLOOKUP(CustomerCombined[[#This Row],[ID]], Table2[ID],Table2[MC3], "Not Found", 0 )</f>
        <v>0</v>
      </c>
      <c r="AB1839" s="8">
        <f>_xlfn.XLOOKUP(CustomerCombined[[#This Row],[ID]], Table2[ID],Table2[MC4], "Not Found", 0 )</f>
        <v>0</v>
      </c>
      <c r="AC1839" s="8">
        <f>_xlfn.XLOOKUP(CustomerCombined[[#This Row],[ID]], Table2[ID],Table2[MC5], "Not Found", 0 )</f>
        <v>0</v>
      </c>
    </row>
    <row r="1840" spans="1:29" x14ac:dyDescent="0.3">
      <c r="A1840" s="6">
        <v>3092</v>
      </c>
      <c r="B1840" s="6">
        <v>153230</v>
      </c>
      <c r="C1840" s="6">
        <v>0</v>
      </c>
      <c r="D1840" s="6">
        <v>1</v>
      </c>
      <c r="E1840" s="6">
        <v>64</v>
      </c>
      <c r="F1840" s="5" t="s">
        <v>6</v>
      </c>
      <c r="G1840" s="5" t="s">
        <v>442</v>
      </c>
      <c r="H1840" s="3">
        <v>43678</v>
      </c>
      <c r="I1840" s="5" t="s">
        <v>438</v>
      </c>
      <c r="J1840" s="5">
        <f>_xlfn.XLOOKUP(CustomerCombined[[#This Row],[ID]], Table4[ID], Table4[Recency], "Not Found", 0)</f>
        <v>86</v>
      </c>
      <c r="K1840" s="5">
        <f>_xlfn.XLOOKUP(CustomerCombined[[#This Row],[ID]], Table4[ID], Table4[Teas], "Not Found", 0)</f>
        <v>507</v>
      </c>
      <c r="L1840" s="5">
        <f>_xlfn.XLOOKUP(CustomerCombined[[#This Row],[ID]], Table4[ID], Table4[Fruits], "Not Found", 0)</f>
        <v>207</v>
      </c>
      <c r="M1840" s="5">
        <f>_xlfn.XLOOKUP(CustomerCombined[[#This Row],[ID]], Table4[ID], Table4[Meats], "Not Found", 0)</f>
        <v>282</v>
      </c>
      <c r="N1840" s="5">
        <f>_xlfn.XLOOKUP(CustomerCombined[[#This Row],[ID]], Table4[ID], Table4[Seafood], "Not Found", 0)</f>
        <v>391</v>
      </c>
      <c r="O1840" s="5">
        <f>_xlfn.XLOOKUP(CustomerCombined[[#This Row],[ID]], Table4[ID], Table4[Sweets], "Not Found", 0)</f>
        <v>60</v>
      </c>
      <c r="P1840" s="5">
        <f>_xlfn.XLOOKUP(CustomerCombined[[#This Row],[ID]], Table4[ID], Table4[Premium], "Not Found", 0)</f>
        <v>659</v>
      </c>
      <c r="Q1840" s="5">
        <f>_xlfn.XLOOKUP(CustomerCombined[[#This Row],[ID]], Table4[ID], Table4[Regular], "Not Found", 0)</f>
        <v>789</v>
      </c>
      <c r="R1840" s="5">
        <f>_xlfn.XLOOKUP(CustomerCombined[[#This Row],[ID]], Table4[ID], Table4[Deals], "Not Found", 0)</f>
        <v>4</v>
      </c>
      <c r="S1840" s="5">
        <f>_xlfn.XLOOKUP(CustomerCombined[[#This Row],[ID]], Table4[ID], Table4[Website], "Not Found", 0)</f>
        <v>5</v>
      </c>
      <c r="T1840" s="5">
        <f>_xlfn.XLOOKUP(CustomerCombined[[#This Row],[ID]], Table4[ID], Table4[Catalog], "Not Found", 0)</f>
        <v>2</v>
      </c>
      <c r="U1840" s="5">
        <f>_xlfn.XLOOKUP(CustomerCombined[[#This Row],[ID]], Table4[ID], Table4[Store], "Not Found", 0)</f>
        <v>12</v>
      </c>
      <c r="V1840" s="5">
        <f>_xlfn.XLOOKUP(CustomerCombined[[#This Row],[ID]], Table4[ID], Table4[Visits], "Not Found", 0)</f>
        <v>5</v>
      </c>
      <c r="W1840" s="8">
        <f>_xlfn.XLOOKUP(CustomerCombined[[#This Row],[ID]], Table2[ID],Table2[Complaint], "Not Found", 0 )</f>
        <v>0</v>
      </c>
      <c r="X1840" s="8">
        <f>_xlfn.XLOOKUP(CustomerCombined[[#This Row],[ID]], Table2[ID],Table2[Pilot], "Not Found", 0 )</f>
        <v>0</v>
      </c>
      <c r="Y1840" s="8">
        <f>_xlfn.XLOOKUP(CustomerCombined[[#This Row],[ID]], Table2[ID],Table2[MC1], "Not Found", 0 )</f>
        <v>0</v>
      </c>
      <c r="Z1840" s="8">
        <f>_xlfn.XLOOKUP(CustomerCombined[[#This Row],[ID]], Table2[ID],Table2[MC2], "Not Found", 0 )</f>
        <v>0</v>
      </c>
      <c r="AA1840" s="8">
        <f>_xlfn.XLOOKUP(CustomerCombined[[#This Row],[ID]], Table2[ID],Table2[MC3], "Not Found", 0 )</f>
        <v>0</v>
      </c>
      <c r="AB1840" s="8">
        <f>_xlfn.XLOOKUP(CustomerCombined[[#This Row],[ID]], Table2[ID],Table2[MC4], "Not Found", 0 )</f>
        <v>0</v>
      </c>
      <c r="AC1840" s="8">
        <f>_xlfn.XLOOKUP(CustomerCombined[[#This Row],[ID]], Table2[ID],Table2[MC5], "Not Found", 0 )</f>
        <v>0</v>
      </c>
    </row>
    <row r="1841" spans="1:29" x14ac:dyDescent="0.3">
      <c r="A1841" s="6">
        <v>2595</v>
      </c>
      <c r="B1841" s="6">
        <v>152973</v>
      </c>
      <c r="C1841" s="6">
        <v>0</v>
      </c>
      <c r="D1841" s="6">
        <v>1</v>
      </c>
      <c r="E1841" s="6">
        <v>64</v>
      </c>
      <c r="F1841" s="5" t="s">
        <v>6</v>
      </c>
      <c r="G1841" s="5" t="s">
        <v>12</v>
      </c>
      <c r="H1841" s="3" t="s">
        <v>367</v>
      </c>
      <c r="I1841" s="5" t="s">
        <v>435</v>
      </c>
      <c r="J1841" s="5">
        <f>_xlfn.XLOOKUP(CustomerCombined[[#This Row],[ID]], Table4[ID], Table4[Recency], "Not Found", 0)</f>
        <v>92</v>
      </c>
      <c r="K1841" s="5">
        <f>_xlfn.XLOOKUP(CustomerCombined[[#This Row],[ID]], Table4[ID], Table4[Teas], "Not Found", 0)</f>
        <v>2472</v>
      </c>
      <c r="L1841" s="5">
        <f>_xlfn.XLOOKUP(CustomerCombined[[#This Row],[ID]], Table4[ID], Table4[Fruits], "Not Found", 0)</f>
        <v>0</v>
      </c>
      <c r="M1841" s="5">
        <f>_xlfn.XLOOKUP(CustomerCombined[[#This Row],[ID]], Table4[ID], Table4[Meats], "Not Found", 0)</f>
        <v>219</v>
      </c>
      <c r="N1841" s="5">
        <f>_xlfn.XLOOKUP(CustomerCombined[[#This Row],[ID]], Table4[ID], Table4[Seafood], "Not Found", 0)</f>
        <v>35</v>
      </c>
      <c r="O1841" s="5">
        <f>_xlfn.XLOOKUP(CustomerCombined[[#This Row],[ID]], Table4[ID], Table4[Sweets], "Not Found", 0)</f>
        <v>26</v>
      </c>
      <c r="P1841" s="5">
        <f>_xlfn.XLOOKUP(CustomerCombined[[#This Row],[ID]], Table4[ID], Table4[Premium], "Not Found", 0)</f>
        <v>575</v>
      </c>
      <c r="Q1841" s="5">
        <f>_xlfn.XLOOKUP(CustomerCombined[[#This Row],[ID]], Table4[ID], Table4[Regular], "Not Found", 0)</f>
        <v>2177</v>
      </c>
      <c r="R1841" s="5">
        <f>_xlfn.XLOOKUP(CustomerCombined[[#This Row],[ID]], Table4[ID], Table4[Deals], "Not Found", 0)</f>
        <v>7</v>
      </c>
      <c r="S1841" s="5">
        <f>_xlfn.XLOOKUP(CustomerCombined[[#This Row],[ID]], Table4[ID], Table4[Website], "Not Found", 0)</f>
        <v>9</v>
      </c>
      <c r="T1841" s="5">
        <f>_xlfn.XLOOKUP(CustomerCombined[[#This Row],[ID]], Table4[ID], Table4[Catalog], "Not Found", 0)</f>
        <v>6</v>
      </c>
      <c r="U1841" s="5">
        <f>_xlfn.XLOOKUP(CustomerCombined[[#This Row],[ID]], Table4[ID], Table4[Store], "Not Found", 0)</f>
        <v>9</v>
      </c>
      <c r="V1841" s="5">
        <f>_xlfn.XLOOKUP(CustomerCombined[[#This Row],[ID]], Table4[ID], Table4[Visits], "Not Found", 0)</f>
        <v>8</v>
      </c>
      <c r="W1841" s="8">
        <f>_xlfn.XLOOKUP(CustomerCombined[[#This Row],[ID]], Table2[ID],Table2[Complaint], "Not Found", 0 )</f>
        <v>0</v>
      </c>
      <c r="X1841" s="8">
        <f>_xlfn.XLOOKUP(CustomerCombined[[#This Row],[ID]], Table2[ID],Table2[Pilot], "Not Found", 0 )</f>
        <v>0</v>
      </c>
      <c r="Y1841" s="8">
        <f>_xlfn.XLOOKUP(CustomerCombined[[#This Row],[ID]], Table2[ID],Table2[MC1], "Not Found", 0 )</f>
        <v>0</v>
      </c>
      <c r="Z1841" s="8">
        <f>_xlfn.XLOOKUP(CustomerCombined[[#This Row],[ID]], Table2[ID],Table2[MC2], "Not Found", 0 )</f>
        <v>0</v>
      </c>
      <c r="AA1841" s="8">
        <f>_xlfn.XLOOKUP(CustomerCombined[[#This Row],[ID]], Table2[ID],Table2[MC3], "Not Found", 0 )</f>
        <v>0</v>
      </c>
      <c r="AB1841" s="8">
        <f>_xlfn.XLOOKUP(CustomerCombined[[#This Row],[ID]], Table2[ID],Table2[MC4], "Not Found", 0 )</f>
        <v>0</v>
      </c>
      <c r="AC1841" s="8">
        <f>_xlfn.XLOOKUP(CustomerCombined[[#This Row],[ID]], Table2[ID],Table2[MC5], "Not Found", 0 )</f>
        <v>0</v>
      </c>
    </row>
    <row r="1842" spans="1:29" x14ac:dyDescent="0.3">
      <c r="A1842" s="6">
        <v>2186</v>
      </c>
      <c r="B1842" s="6">
        <v>150965</v>
      </c>
      <c r="C1842" s="6">
        <v>0</v>
      </c>
      <c r="D1842" s="6">
        <v>1</v>
      </c>
      <c r="E1842" s="6">
        <v>64</v>
      </c>
      <c r="F1842" s="5" t="s">
        <v>6</v>
      </c>
      <c r="G1842" s="5" t="s">
        <v>12</v>
      </c>
      <c r="H1842" s="3" t="s">
        <v>303</v>
      </c>
      <c r="I1842" s="5" t="s">
        <v>438</v>
      </c>
      <c r="J1842" s="5">
        <f>_xlfn.XLOOKUP(CustomerCombined[[#This Row],[ID]], Table4[ID], Table4[Recency], "Not Found", 0)</f>
        <v>87</v>
      </c>
      <c r="K1842" s="5">
        <f>_xlfn.XLOOKUP(CustomerCombined[[#This Row],[ID]], Table4[ID], Table4[Teas], "Not Found", 0)</f>
        <v>1611</v>
      </c>
      <c r="L1842" s="5">
        <f>_xlfn.XLOOKUP(CustomerCombined[[#This Row],[ID]], Table4[ID], Table4[Fruits], "Not Found", 0)</f>
        <v>39</v>
      </c>
      <c r="M1842" s="5">
        <f>_xlfn.XLOOKUP(CustomerCombined[[#This Row],[ID]], Table4[ID], Table4[Meats], "Not Found", 0)</f>
        <v>252</v>
      </c>
      <c r="N1842" s="5">
        <f>_xlfn.XLOOKUP(CustomerCombined[[#This Row],[ID]], Table4[ID], Table4[Seafood], "Not Found", 0)</f>
        <v>24</v>
      </c>
      <c r="O1842" s="5">
        <f>_xlfn.XLOOKUP(CustomerCombined[[#This Row],[ID]], Table4[ID], Table4[Sweets], "Not Found", 0)</f>
        <v>18</v>
      </c>
      <c r="P1842" s="5">
        <f>_xlfn.XLOOKUP(CustomerCombined[[#This Row],[ID]], Table4[ID], Table4[Premium], "Not Found", 0)</f>
        <v>86</v>
      </c>
      <c r="Q1842" s="5">
        <f>_xlfn.XLOOKUP(CustomerCombined[[#This Row],[ID]], Table4[ID], Table4[Regular], "Not Found", 0)</f>
        <v>1857</v>
      </c>
      <c r="R1842" s="5">
        <f>_xlfn.XLOOKUP(CustomerCombined[[#This Row],[ID]], Table4[ID], Table4[Deals], "Not Found", 0)</f>
        <v>3</v>
      </c>
      <c r="S1842" s="5">
        <f>_xlfn.XLOOKUP(CustomerCombined[[#This Row],[ID]], Table4[ID], Table4[Website], "Not Found", 0)</f>
        <v>10</v>
      </c>
      <c r="T1842" s="5">
        <f>_xlfn.XLOOKUP(CustomerCombined[[#This Row],[ID]], Table4[ID], Table4[Catalog], "Not Found", 0)</f>
        <v>4</v>
      </c>
      <c r="U1842" s="5">
        <f>_xlfn.XLOOKUP(CustomerCombined[[#This Row],[ID]], Table4[ID], Table4[Store], "Not Found", 0)</f>
        <v>5</v>
      </c>
      <c r="V1842" s="5">
        <f>_xlfn.XLOOKUP(CustomerCombined[[#This Row],[ID]], Table4[ID], Table4[Visits], "Not Found", 0)</f>
        <v>8</v>
      </c>
      <c r="W1842" s="8">
        <f>_xlfn.XLOOKUP(CustomerCombined[[#This Row],[ID]], Table2[ID],Table2[Complaint], "Not Found", 0 )</f>
        <v>0</v>
      </c>
      <c r="X1842" s="8">
        <f>_xlfn.XLOOKUP(CustomerCombined[[#This Row],[ID]], Table2[ID],Table2[Pilot], "Not Found", 0 )</f>
        <v>0</v>
      </c>
      <c r="Y1842" s="8">
        <f>_xlfn.XLOOKUP(CustomerCombined[[#This Row],[ID]], Table2[ID],Table2[MC1], "Not Found", 0 )</f>
        <v>0</v>
      </c>
      <c r="Z1842" s="8">
        <f>_xlfn.XLOOKUP(CustomerCombined[[#This Row],[ID]], Table2[ID],Table2[MC2], "Not Found", 0 )</f>
        <v>0</v>
      </c>
      <c r="AA1842" s="8">
        <f>_xlfn.XLOOKUP(CustomerCombined[[#This Row],[ID]], Table2[ID],Table2[MC3], "Not Found", 0 )</f>
        <v>1</v>
      </c>
      <c r="AB1842" s="8">
        <f>_xlfn.XLOOKUP(CustomerCombined[[#This Row],[ID]], Table2[ID],Table2[MC4], "Not Found", 0 )</f>
        <v>0</v>
      </c>
      <c r="AC1842" s="8">
        <f>_xlfn.XLOOKUP(CustomerCombined[[#This Row],[ID]], Table2[ID],Table2[MC5], "Not Found", 0 )</f>
        <v>0</v>
      </c>
    </row>
    <row r="1843" spans="1:29" x14ac:dyDescent="0.3">
      <c r="A1843" s="6">
        <v>1419</v>
      </c>
      <c r="B1843" s="6">
        <v>150943</v>
      </c>
      <c r="C1843" s="6">
        <v>0</v>
      </c>
      <c r="D1843" s="6">
        <v>1</v>
      </c>
      <c r="E1843" s="6">
        <v>64</v>
      </c>
      <c r="F1843" s="5" t="s">
        <v>8</v>
      </c>
      <c r="G1843" s="5" t="s">
        <v>12</v>
      </c>
      <c r="H1843" s="3" t="s">
        <v>232</v>
      </c>
      <c r="I1843" s="5" t="s">
        <v>435</v>
      </c>
      <c r="J1843" s="5">
        <f>_xlfn.XLOOKUP(CustomerCombined[[#This Row],[ID]], Table4[ID], Table4[Recency], "Not Found", 0)</f>
        <v>49</v>
      </c>
      <c r="K1843" s="5">
        <f>_xlfn.XLOOKUP(CustomerCombined[[#This Row],[ID]], Table4[ID], Table4[Teas], "Not Found", 0)</f>
        <v>92</v>
      </c>
      <c r="L1843" s="5">
        <f>_xlfn.XLOOKUP(CustomerCombined[[#This Row],[ID]], Table4[ID], Table4[Fruits], "Not Found", 0)</f>
        <v>0</v>
      </c>
      <c r="M1843" s="5">
        <f>_xlfn.XLOOKUP(CustomerCombined[[#This Row],[ID]], Table4[ID], Table4[Meats], "Not Found", 0)</f>
        <v>21</v>
      </c>
      <c r="N1843" s="5">
        <f>_xlfn.XLOOKUP(CustomerCombined[[#This Row],[ID]], Table4[ID], Table4[Seafood], "Not Found", 0)</f>
        <v>6</v>
      </c>
      <c r="O1843" s="5">
        <f>_xlfn.XLOOKUP(CustomerCombined[[#This Row],[ID]], Table4[ID], Table4[Sweets], "Not Found", 0)</f>
        <v>0</v>
      </c>
      <c r="P1843" s="5">
        <f>_xlfn.XLOOKUP(CustomerCombined[[#This Row],[ID]], Table4[ID], Table4[Premium], "Not Found", 0)</f>
        <v>18</v>
      </c>
      <c r="Q1843" s="5">
        <f>_xlfn.XLOOKUP(CustomerCombined[[#This Row],[ID]], Table4[ID], Table4[Regular], "Not Found", 0)</f>
        <v>101</v>
      </c>
      <c r="R1843" s="5">
        <f>_xlfn.XLOOKUP(CustomerCombined[[#This Row],[ID]], Table4[ID], Table4[Deals], "Not Found", 0)</f>
        <v>1</v>
      </c>
      <c r="S1843" s="5">
        <f>_xlfn.XLOOKUP(CustomerCombined[[#This Row],[ID]], Table4[ID], Table4[Website], "Not Found", 0)</f>
        <v>1</v>
      </c>
      <c r="T1843" s="5">
        <f>_xlfn.XLOOKUP(CustomerCombined[[#This Row],[ID]], Table4[ID], Table4[Catalog], "Not Found", 0)</f>
        <v>0</v>
      </c>
      <c r="U1843" s="5">
        <f>_xlfn.XLOOKUP(CustomerCombined[[#This Row],[ID]], Table4[ID], Table4[Store], "Not Found", 0)</f>
        <v>3</v>
      </c>
      <c r="V1843" s="5">
        <f>_xlfn.XLOOKUP(CustomerCombined[[#This Row],[ID]], Table4[ID], Table4[Visits], "Not Found", 0)</f>
        <v>5</v>
      </c>
      <c r="W1843" s="8">
        <f>_xlfn.XLOOKUP(CustomerCombined[[#This Row],[ID]], Table2[ID],Table2[Complaint], "Not Found", 0 )</f>
        <v>0</v>
      </c>
      <c r="X1843" s="8">
        <f>_xlfn.XLOOKUP(CustomerCombined[[#This Row],[ID]], Table2[ID],Table2[Pilot], "Not Found", 0 )</f>
        <v>0</v>
      </c>
      <c r="Y1843" s="8">
        <f>_xlfn.XLOOKUP(CustomerCombined[[#This Row],[ID]], Table2[ID],Table2[MC1], "Not Found", 0 )</f>
        <v>0</v>
      </c>
      <c r="Z1843" s="8">
        <f>_xlfn.XLOOKUP(CustomerCombined[[#This Row],[ID]], Table2[ID],Table2[MC2], "Not Found", 0 )</f>
        <v>0</v>
      </c>
      <c r="AA1843" s="8">
        <f>_xlfn.XLOOKUP(CustomerCombined[[#This Row],[ID]], Table2[ID],Table2[MC3], "Not Found", 0 )</f>
        <v>0</v>
      </c>
      <c r="AB1843" s="8">
        <f>_xlfn.XLOOKUP(CustomerCombined[[#This Row],[ID]], Table2[ID],Table2[MC4], "Not Found", 0 )</f>
        <v>0</v>
      </c>
      <c r="AC1843" s="8">
        <f>_xlfn.XLOOKUP(CustomerCombined[[#This Row],[ID]], Table2[ID],Table2[MC5], "Not Found", 0 )</f>
        <v>0</v>
      </c>
    </row>
    <row r="1844" spans="1:29" x14ac:dyDescent="0.3">
      <c r="A1844" s="6">
        <v>1488</v>
      </c>
      <c r="B1844" s="6">
        <v>150943</v>
      </c>
      <c r="C1844" s="6">
        <v>0</v>
      </c>
      <c r="D1844" s="6">
        <v>1</v>
      </c>
      <c r="E1844" s="6">
        <v>64</v>
      </c>
      <c r="F1844" s="5" t="s">
        <v>8</v>
      </c>
      <c r="G1844" s="5" t="s">
        <v>12</v>
      </c>
      <c r="H1844" s="3" t="s">
        <v>232</v>
      </c>
      <c r="I1844" s="5" t="s">
        <v>436</v>
      </c>
      <c r="J1844" s="5">
        <f>_xlfn.XLOOKUP(CustomerCombined[[#This Row],[ID]], Table4[ID], Table4[Recency], "Not Found", 0)</f>
        <v>49</v>
      </c>
      <c r="K1844" s="5">
        <f>_xlfn.XLOOKUP(CustomerCombined[[#This Row],[ID]], Table4[ID], Table4[Teas], "Not Found", 0)</f>
        <v>92</v>
      </c>
      <c r="L1844" s="5">
        <f>_xlfn.XLOOKUP(CustomerCombined[[#This Row],[ID]], Table4[ID], Table4[Fruits], "Not Found", 0)</f>
        <v>0</v>
      </c>
      <c r="M1844" s="5">
        <f>_xlfn.XLOOKUP(CustomerCombined[[#This Row],[ID]], Table4[ID], Table4[Meats], "Not Found", 0)</f>
        <v>21</v>
      </c>
      <c r="N1844" s="5">
        <f>_xlfn.XLOOKUP(CustomerCombined[[#This Row],[ID]], Table4[ID], Table4[Seafood], "Not Found", 0)</f>
        <v>6</v>
      </c>
      <c r="O1844" s="5">
        <f>_xlfn.XLOOKUP(CustomerCombined[[#This Row],[ID]], Table4[ID], Table4[Sweets], "Not Found", 0)</f>
        <v>0</v>
      </c>
      <c r="P1844" s="5">
        <f>_xlfn.XLOOKUP(CustomerCombined[[#This Row],[ID]], Table4[ID], Table4[Premium], "Not Found", 0)</f>
        <v>18</v>
      </c>
      <c r="Q1844" s="5">
        <f>_xlfn.XLOOKUP(CustomerCombined[[#This Row],[ID]], Table4[ID], Table4[Regular], "Not Found", 0)</f>
        <v>101</v>
      </c>
      <c r="R1844" s="5">
        <f>_xlfn.XLOOKUP(CustomerCombined[[#This Row],[ID]], Table4[ID], Table4[Deals], "Not Found", 0)</f>
        <v>1</v>
      </c>
      <c r="S1844" s="5">
        <f>_xlfn.XLOOKUP(CustomerCombined[[#This Row],[ID]], Table4[ID], Table4[Website], "Not Found", 0)</f>
        <v>1</v>
      </c>
      <c r="T1844" s="5">
        <f>_xlfn.XLOOKUP(CustomerCombined[[#This Row],[ID]], Table4[ID], Table4[Catalog], "Not Found", 0)</f>
        <v>0</v>
      </c>
      <c r="U1844" s="5">
        <f>_xlfn.XLOOKUP(CustomerCombined[[#This Row],[ID]], Table4[ID], Table4[Store], "Not Found", 0)</f>
        <v>3</v>
      </c>
      <c r="V1844" s="5">
        <f>_xlfn.XLOOKUP(CustomerCombined[[#This Row],[ID]], Table4[ID], Table4[Visits], "Not Found", 0)</f>
        <v>5</v>
      </c>
      <c r="W1844" s="8">
        <f>_xlfn.XLOOKUP(CustomerCombined[[#This Row],[ID]], Table2[ID],Table2[Complaint], "Not Found", 0 )</f>
        <v>0</v>
      </c>
      <c r="X1844" s="8">
        <f>_xlfn.XLOOKUP(CustomerCombined[[#This Row],[ID]], Table2[ID],Table2[Pilot], "Not Found", 0 )</f>
        <v>0</v>
      </c>
      <c r="Y1844" s="8">
        <f>_xlfn.XLOOKUP(CustomerCombined[[#This Row],[ID]], Table2[ID],Table2[MC1], "Not Found", 0 )</f>
        <v>0</v>
      </c>
      <c r="Z1844" s="8">
        <f>_xlfn.XLOOKUP(CustomerCombined[[#This Row],[ID]], Table2[ID],Table2[MC2], "Not Found", 0 )</f>
        <v>0</v>
      </c>
      <c r="AA1844" s="8">
        <f>_xlfn.XLOOKUP(CustomerCombined[[#This Row],[ID]], Table2[ID],Table2[MC3], "Not Found", 0 )</f>
        <v>0</v>
      </c>
      <c r="AB1844" s="8">
        <f>_xlfn.XLOOKUP(CustomerCombined[[#This Row],[ID]], Table2[ID],Table2[MC4], "Not Found", 0 )</f>
        <v>0</v>
      </c>
      <c r="AC1844" s="8">
        <f>_xlfn.XLOOKUP(CustomerCombined[[#This Row],[ID]], Table2[ID],Table2[MC5], "Not Found", 0 )</f>
        <v>0</v>
      </c>
    </row>
    <row r="1845" spans="1:29" x14ac:dyDescent="0.3">
      <c r="A1845" s="6">
        <v>1274</v>
      </c>
      <c r="B1845" s="6">
        <v>150898</v>
      </c>
      <c r="C1845" s="6">
        <v>1</v>
      </c>
      <c r="D1845" s="6">
        <v>1</v>
      </c>
      <c r="E1845" s="6">
        <v>64</v>
      </c>
      <c r="F1845" s="5" t="s">
        <v>8</v>
      </c>
      <c r="G1845" s="5" t="s">
        <v>12</v>
      </c>
      <c r="H1845" s="3" t="s">
        <v>332</v>
      </c>
      <c r="I1845" s="5" t="s">
        <v>438</v>
      </c>
      <c r="J1845" s="5">
        <f>_xlfn.XLOOKUP(CustomerCombined[[#This Row],[ID]], Table4[ID], Table4[Recency], "Not Found", 0)</f>
        <v>88</v>
      </c>
      <c r="K1845" s="5">
        <f>_xlfn.XLOOKUP(CustomerCombined[[#This Row],[ID]], Table4[ID], Table4[Teas], "Not Found", 0)</f>
        <v>845</v>
      </c>
      <c r="L1845" s="5">
        <f>_xlfn.XLOOKUP(CustomerCombined[[#This Row],[ID]], Table4[ID], Table4[Fruits], "Not Found", 0)</f>
        <v>83</v>
      </c>
      <c r="M1845" s="5">
        <f>_xlfn.XLOOKUP(CustomerCombined[[#This Row],[ID]], Table4[ID], Table4[Meats], "Not Found", 0)</f>
        <v>717</v>
      </c>
      <c r="N1845" s="5">
        <f>_xlfn.XLOOKUP(CustomerCombined[[#This Row],[ID]], Table4[ID], Table4[Seafood], "Not Found", 0)</f>
        <v>163</v>
      </c>
      <c r="O1845" s="5">
        <f>_xlfn.XLOOKUP(CustomerCombined[[#This Row],[ID]], Table4[ID], Table4[Sweets], "Not Found", 0)</f>
        <v>338</v>
      </c>
      <c r="P1845" s="5">
        <f>_xlfn.XLOOKUP(CustomerCombined[[#This Row],[ID]], Table4[ID], Table4[Premium], "Not Found", 0)</f>
        <v>400</v>
      </c>
      <c r="Q1845" s="5">
        <f>_xlfn.XLOOKUP(CustomerCombined[[#This Row],[ID]], Table4[ID], Table4[Regular], "Not Found", 0)</f>
        <v>1746</v>
      </c>
      <c r="R1845" s="5">
        <f>_xlfn.XLOOKUP(CustomerCombined[[#This Row],[ID]], Table4[ID], Table4[Deals], "Not Found", 0)</f>
        <v>13</v>
      </c>
      <c r="S1845" s="5">
        <f>_xlfn.XLOOKUP(CustomerCombined[[#This Row],[ID]], Table4[ID], Table4[Website], "Not Found", 0)</f>
        <v>6</v>
      </c>
      <c r="T1845" s="5">
        <f>_xlfn.XLOOKUP(CustomerCombined[[#This Row],[ID]], Table4[ID], Table4[Catalog], "Not Found", 0)</f>
        <v>2</v>
      </c>
      <c r="U1845" s="5">
        <f>_xlfn.XLOOKUP(CustomerCombined[[#This Row],[ID]], Table4[ID], Table4[Store], "Not Found", 0)</f>
        <v>12</v>
      </c>
      <c r="V1845" s="5">
        <f>_xlfn.XLOOKUP(CustomerCombined[[#This Row],[ID]], Table4[ID], Table4[Visits], "Not Found", 0)</f>
        <v>5</v>
      </c>
      <c r="W1845" s="8">
        <f>_xlfn.XLOOKUP(CustomerCombined[[#This Row],[ID]], Table2[ID],Table2[Complaint], "Not Found", 0 )</f>
        <v>0</v>
      </c>
      <c r="X1845" s="8">
        <f>_xlfn.XLOOKUP(CustomerCombined[[#This Row],[ID]], Table2[ID],Table2[Pilot], "Not Found", 0 )</f>
        <v>0</v>
      </c>
      <c r="Y1845" s="8">
        <f>_xlfn.XLOOKUP(CustomerCombined[[#This Row],[ID]], Table2[ID],Table2[MC1], "Not Found", 0 )</f>
        <v>0</v>
      </c>
      <c r="Z1845" s="8">
        <f>_xlfn.XLOOKUP(CustomerCombined[[#This Row],[ID]], Table2[ID],Table2[MC2], "Not Found", 0 )</f>
        <v>0</v>
      </c>
      <c r="AA1845" s="8">
        <f>_xlfn.XLOOKUP(CustomerCombined[[#This Row],[ID]], Table2[ID],Table2[MC3], "Not Found", 0 )</f>
        <v>0</v>
      </c>
      <c r="AB1845" s="8">
        <f>_xlfn.XLOOKUP(CustomerCombined[[#This Row],[ID]], Table2[ID],Table2[MC4], "Not Found", 0 )</f>
        <v>0</v>
      </c>
      <c r="AC1845" s="8">
        <f>_xlfn.XLOOKUP(CustomerCombined[[#This Row],[ID]], Table2[ID],Table2[MC5], "Not Found", 0 )</f>
        <v>0</v>
      </c>
    </row>
    <row r="1846" spans="1:29" x14ac:dyDescent="0.3">
      <c r="A1846" s="6">
        <v>2793</v>
      </c>
      <c r="B1846" s="6">
        <v>150387</v>
      </c>
      <c r="C1846" s="6">
        <v>0</v>
      </c>
      <c r="D1846" s="6">
        <v>2</v>
      </c>
      <c r="E1846" s="6">
        <v>64</v>
      </c>
      <c r="F1846" s="5" t="s">
        <v>6</v>
      </c>
      <c r="G1846" s="5" t="s">
        <v>11</v>
      </c>
      <c r="H1846" s="3">
        <v>43953</v>
      </c>
      <c r="I1846" s="5" t="s">
        <v>435</v>
      </c>
      <c r="J1846" s="5">
        <f>_xlfn.XLOOKUP(CustomerCombined[[#This Row],[ID]], Table4[ID], Table4[Recency], "Not Found", 0)</f>
        <v>91</v>
      </c>
      <c r="K1846" s="5">
        <f>_xlfn.XLOOKUP(CustomerCombined[[#This Row],[ID]], Table4[ID], Table4[Teas], "Not Found", 0)</f>
        <v>1101</v>
      </c>
      <c r="L1846" s="5">
        <f>_xlfn.XLOOKUP(CustomerCombined[[#This Row],[ID]], Table4[ID], Table4[Fruits], "Not Found", 0)</f>
        <v>27</v>
      </c>
      <c r="M1846" s="5">
        <f>_xlfn.XLOOKUP(CustomerCombined[[#This Row],[ID]], Table4[ID], Table4[Meats], "Not Found", 0)</f>
        <v>260</v>
      </c>
      <c r="N1846" s="5">
        <f>_xlfn.XLOOKUP(CustomerCombined[[#This Row],[ID]], Table4[ID], Table4[Seafood], "Not Found", 0)</f>
        <v>36</v>
      </c>
      <c r="O1846" s="5">
        <f>_xlfn.XLOOKUP(CustomerCombined[[#This Row],[ID]], Table4[ID], Table4[Sweets], "Not Found", 0)</f>
        <v>42</v>
      </c>
      <c r="P1846" s="5">
        <f>_xlfn.XLOOKUP(CustomerCombined[[#This Row],[ID]], Table4[ID], Table4[Premium], "Not Found", 0)</f>
        <v>101</v>
      </c>
      <c r="Q1846" s="5">
        <f>_xlfn.XLOOKUP(CustomerCombined[[#This Row],[ID]], Table4[ID], Table4[Regular], "Not Found", 0)</f>
        <v>1364</v>
      </c>
      <c r="R1846" s="5">
        <f>_xlfn.XLOOKUP(CustomerCombined[[#This Row],[ID]], Table4[ID], Table4[Deals], "Not Found", 0)</f>
        <v>3</v>
      </c>
      <c r="S1846" s="5">
        <f>_xlfn.XLOOKUP(CustomerCombined[[#This Row],[ID]], Table4[ID], Table4[Website], "Not Found", 0)</f>
        <v>6</v>
      </c>
      <c r="T1846" s="5">
        <f>_xlfn.XLOOKUP(CustomerCombined[[#This Row],[ID]], Table4[ID], Table4[Catalog], "Not Found", 0)</f>
        <v>2</v>
      </c>
      <c r="U1846" s="5">
        <f>_xlfn.XLOOKUP(CustomerCombined[[#This Row],[ID]], Table4[ID], Table4[Store], "Not Found", 0)</f>
        <v>8</v>
      </c>
      <c r="V1846" s="5">
        <f>_xlfn.XLOOKUP(CustomerCombined[[#This Row],[ID]], Table4[ID], Table4[Visits], "Not Found", 0)</f>
        <v>5</v>
      </c>
      <c r="W1846" s="8">
        <f>_xlfn.XLOOKUP(CustomerCombined[[#This Row],[ID]], Table2[ID],Table2[Complaint], "Not Found", 0 )</f>
        <v>0</v>
      </c>
      <c r="X1846" s="8">
        <f>_xlfn.XLOOKUP(CustomerCombined[[#This Row],[ID]], Table2[ID],Table2[Pilot], "Not Found", 0 )</f>
        <v>0</v>
      </c>
      <c r="Y1846" s="8">
        <f>_xlfn.XLOOKUP(CustomerCombined[[#This Row],[ID]], Table2[ID],Table2[MC1], "Not Found", 0 )</f>
        <v>0</v>
      </c>
      <c r="Z1846" s="8">
        <f>_xlfn.XLOOKUP(CustomerCombined[[#This Row],[ID]], Table2[ID],Table2[MC2], "Not Found", 0 )</f>
        <v>0</v>
      </c>
      <c r="AA1846" s="8">
        <f>_xlfn.XLOOKUP(CustomerCombined[[#This Row],[ID]], Table2[ID],Table2[MC3], "Not Found", 0 )</f>
        <v>0</v>
      </c>
      <c r="AB1846" s="8">
        <f>_xlfn.XLOOKUP(CustomerCombined[[#This Row],[ID]], Table2[ID],Table2[MC4], "Not Found", 0 )</f>
        <v>0</v>
      </c>
      <c r="AC1846" s="8">
        <f>_xlfn.XLOOKUP(CustomerCombined[[#This Row],[ID]], Table2[ID],Table2[MC5], "Not Found", 0 )</f>
        <v>0</v>
      </c>
    </row>
    <row r="1847" spans="1:29" x14ac:dyDescent="0.3">
      <c r="A1847" s="6">
        <v>2997</v>
      </c>
      <c r="B1847" s="6">
        <v>148195</v>
      </c>
      <c r="C1847" s="6">
        <v>1</v>
      </c>
      <c r="D1847" s="6">
        <v>1</v>
      </c>
      <c r="E1847" s="6">
        <v>64</v>
      </c>
      <c r="F1847" s="5" t="s">
        <v>6</v>
      </c>
      <c r="G1847" s="5" t="s">
        <v>11</v>
      </c>
      <c r="H1847" s="3" t="s">
        <v>111</v>
      </c>
      <c r="I1847" s="5" t="s">
        <v>435</v>
      </c>
      <c r="J1847" s="5">
        <f>_xlfn.XLOOKUP(CustomerCombined[[#This Row],[ID]], Table4[ID], Table4[Recency], "Not Found", 0)</f>
        <v>53</v>
      </c>
      <c r="K1847" s="5">
        <f>_xlfn.XLOOKUP(CustomerCombined[[#This Row],[ID]], Table4[ID], Table4[Teas], "Not Found", 0)</f>
        <v>326</v>
      </c>
      <c r="L1847" s="5">
        <f>_xlfn.XLOOKUP(CustomerCombined[[#This Row],[ID]], Table4[ID], Table4[Fruits], "Not Found", 0)</f>
        <v>83</v>
      </c>
      <c r="M1847" s="5">
        <f>_xlfn.XLOOKUP(CustomerCombined[[#This Row],[ID]], Table4[ID], Table4[Meats], "Not Found", 0)</f>
        <v>209</v>
      </c>
      <c r="N1847" s="5">
        <f>_xlfn.XLOOKUP(CustomerCombined[[#This Row],[ID]], Table4[ID], Table4[Seafood], "Not Found", 0)</f>
        <v>160</v>
      </c>
      <c r="O1847" s="5">
        <f>_xlfn.XLOOKUP(CustomerCombined[[#This Row],[ID]], Table4[ID], Table4[Sweets], "Not Found", 0)</f>
        <v>22</v>
      </c>
      <c r="P1847" s="5">
        <f>_xlfn.XLOOKUP(CustomerCombined[[#This Row],[ID]], Table4[ID], Table4[Premium], "Not Found", 0)</f>
        <v>15</v>
      </c>
      <c r="Q1847" s="5">
        <f>_xlfn.XLOOKUP(CustomerCombined[[#This Row],[ID]], Table4[ID], Table4[Regular], "Not Found", 0)</f>
        <v>784</v>
      </c>
      <c r="R1847" s="5">
        <f>_xlfn.XLOOKUP(CustomerCombined[[#This Row],[ID]], Table4[ID], Table4[Deals], "Not Found", 0)</f>
        <v>6</v>
      </c>
      <c r="S1847" s="5">
        <f>_xlfn.XLOOKUP(CustomerCombined[[#This Row],[ID]], Table4[ID], Table4[Website], "Not Found", 0)</f>
        <v>4</v>
      </c>
      <c r="T1847" s="5">
        <f>_xlfn.XLOOKUP(CustomerCombined[[#This Row],[ID]], Table4[ID], Table4[Catalog], "Not Found", 0)</f>
        <v>2</v>
      </c>
      <c r="U1847" s="5">
        <f>_xlfn.XLOOKUP(CustomerCombined[[#This Row],[ID]], Table4[ID], Table4[Store], "Not Found", 0)</f>
        <v>5</v>
      </c>
      <c r="V1847" s="5">
        <f>_xlfn.XLOOKUP(CustomerCombined[[#This Row],[ID]], Table4[ID], Table4[Visits], "Not Found", 0)</f>
        <v>6</v>
      </c>
      <c r="W1847" s="8">
        <f>_xlfn.XLOOKUP(CustomerCombined[[#This Row],[ID]], Table2[ID],Table2[Complaint], "Not Found", 0 )</f>
        <v>0</v>
      </c>
      <c r="X1847" s="8">
        <f>_xlfn.XLOOKUP(CustomerCombined[[#This Row],[ID]], Table2[ID],Table2[Pilot], "Not Found", 0 )</f>
        <v>0</v>
      </c>
      <c r="Y1847" s="8">
        <f>_xlfn.XLOOKUP(CustomerCombined[[#This Row],[ID]], Table2[ID],Table2[MC1], "Not Found", 0 )</f>
        <v>0</v>
      </c>
      <c r="Z1847" s="8">
        <f>_xlfn.XLOOKUP(CustomerCombined[[#This Row],[ID]], Table2[ID],Table2[MC2], "Not Found", 0 )</f>
        <v>0</v>
      </c>
      <c r="AA1847" s="8">
        <f>_xlfn.XLOOKUP(CustomerCombined[[#This Row],[ID]], Table2[ID],Table2[MC3], "Not Found", 0 )</f>
        <v>0</v>
      </c>
      <c r="AB1847" s="8">
        <f>_xlfn.XLOOKUP(CustomerCombined[[#This Row],[ID]], Table2[ID],Table2[MC4], "Not Found", 0 )</f>
        <v>0</v>
      </c>
      <c r="AC1847" s="8">
        <f>_xlfn.XLOOKUP(CustomerCombined[[#This Row],[ID]], Table2[ID],Table2[MC5], "Not Found", 0 )</f>
        <v>0</v>
      </c>
    </row>
    <row r="1848" spans="1:29" x14ac:dyDescent="0.3">
      <c r="A1848" s="6">
        <v>2932</v>
      </c>
      <c r="B1848" s="6">
        <v>146998</v>
      </c>
      <c r="C1848" s="6">
        <v>0</v>
      </c>
      <c r="D1848" s="6">
        <v>1</v>
      </c>
      <c r="E1848" s="6">
        <v>64</v>
      </c>
      <c r="F1848" s="5" t="s">
        <v>7</v>
      </c>
      <c r="G1848" s="5" t="s">
        <v>11</v>
      </c>
      <c r="H1848" s="3" t="s">
        <v>372</v>
      </c>
      <c r="I1848" s="5" t="s">
        <v>439</v>
      </c>
      <c r="J1848" s="5">
        <f>_xlfn.XLOOKUP(CustomerCombined[[#This Row],[ID]], Table4[ID], Table4[Recency], "Not Found", 0)</f>
        <v>55</v>
      </c>
      <c r="K1848" s="5">
        <f>_xlfn.XLOOKUP(CustomerCombined[[#This Row],[ID]], Table4[ID], Table4[Teas], "Not Found", 0)</f>
        <v>538</v>
      </c>
      <c r="L1848" s="5">
        <f>_xlfn.XLOOKUP(CustomerCombined[[#This Row],[ID]], Table4[ID], Table4[Fruits], "Not Found", 0)</f>
        <v>128</v>
      </c>
      <c r="M1848" s="5">
        <f>_xlfn.XLOOKUP(CustomerCombined[[#This Row],[ID]], Table4[ID], Table4[Meats], "Not Found", 0)</f>
        <v>269</v>
      </c>
      <c r="N1848" s="5">
        <f>_xlfn.XLOOKUP(CustomerCombined[[#This Row],[ID]], Table4[ID], Table4[Seafood], "Not Found", 0)</f>
        <v>141</v>
      </c>
      <c r="O1848" s="5">
        <f>_xlfn.XLOOKUP(CustomerCombined[[#This Row],[ID]], Table4[ID], Table4[Sweets], "Not Found", 0)</f>
        <v>19</v>
      </c>
      <c r="P1848" s="5">
        <f>_xlfn.XLOOKUP(CustomerCombined[[#This Row],[ID]], Table4[ID], Table4[Premium], "Not Found", 0)</f>
        <v>84</v>
      </c>
      <c r="Q1848" s="5">
        <f>_xlfn.XLOOKUP(CustomerCombined[[#This Row],[ID]], Table4[ID], Table4[Regular], "Not Found", 0)</f>
        <v>1010</v>
      </c>
      <c r="R1848" s="5">
        <f>_xlfn.XLOOKUP(CustomerCombined[[#This Row],[ID]], Table4[ID], Table4[Deals], "Not Found", 0)</f>
        <v>5</v>
      </c>
      <c r="S1848" s="5">
        <f>_xlfn.XLOOKUP(CustomerCombined[[#This Row],[ID]], Table4[ID], Table4[Website], "Not Found", 0)</f>
        <v>5</v>
      </c>
      <c r="T1848" s="5">
        <f>_xlfn.XLOOKUP(CustomerCombined[[#This Row],[ID]], Table4[ID], Table4[Catalog], "Not Found", 0)</f>
        <v>3</v>
      </c>
      <c r="U1848" s="5">
        <f>_xlfn.XLOOKUP(CustomerCombined[[#This Row],[ID]], Table4[ID], Table4[Store], "Not Found", 0)</f>
        <v>5</v>
      </c>
      <c r="V1848" s="5">
        <f>_xlfn.XLOOKUP(CustomerCombined[[#This Row],[ID]], Table4[ID], Table4[Visits], "Not Found", 0)</f>
        <v>7</v>
      </c>
      <c r="W1848" s="8">
        <f>_xlfn.XLOOKUP(CustomerCombined[[#This Row],[ID]], Table2[ID],Table2[Complaint], "Not Found", 0 )</f>
        <v>0</v>
      </c>
      <c r="X1848" s="8">
        <f>_xlfn.XLOOKUP(CustomerCombined[[#This Row],[ID]], Table2[ID],Table2[Pilot], "Not Found", 0 )</f>
        <v>0</v>
      </c>
      <c r="Y1848" s="8">
        <f>_xlfn.XLOOKUP(CustomerCombined[[#This Row],[ID]], Table2[ID],Table2[MC1], "Not Found", 0 )</f>
        <v>0</v>
      </c>
      <c r="Z1848" s="8">
        <f>_xlfn.XLOOKUP(CustomerCombined[[#This Row],[ID]], Table2[ID],Table2[MC2], "Not Found", 0 )</f>
        <v>0</v>
      </c>
      <c r="AA1848" s="8">
        <f>_xlfn.XLOOKUP(CustomerCombined[[#This Row],[ID]], Table2[ID],Table2[MC3], "Not Found", 0 )</f>
        <v>1</v>
      </c>
      <c r="AB1848" s="8">
        <f>_xlfn.XLOOKUP(CustomerCombined[[#This Row],[ID]], Table2[ID],Table2[MC4], "Not Found", 0 )</f>
        <v>0</v>
      </c>
      <c r="AC1848" s="8">
        <f>_xlfn.XLOOKUP(CustomerCombined[[#This Row],[ID]], Table2[ID],Table2[MC5], "Not Found", 0 )</f>
        <v>0</v>
      </c>
    </row>
    <row r="1849" spans="1:29" x14ac:dyDescent="0.3">
      <c r="A1849" s="6">
        <v>1782</v>
      </c>
      <c r="B1849" s="6">
        <v>146984</v>
      </c>
      <c r="C1849" s="6">
        <v>1</v>
      </c>
      <c r="D1849" s="6">
        <v>1</v>
      </c>
      <c r="E1849" s="6">
        <v>64</v>
      </c>
      <c r="F1849" s="5" t="s">
        <v>9</v>
      </c>
      <c r="G1849" s="5" t="s">
        <v>11</v>
      </c>
      <c r="H1849" s="3" t="s">
        <v>282</v>
      </c>
      <c r="I1849" s="5" t="s">
        <v>436</v>
      </c>
      <c r="J1849" s="5">
        <f>_xlfn.XLOOKUP(CustomerCombined[[#This Row],[ID]], Table4[ID], Table4[Recency], "Not Found", 0)</f>
        <v>71</v>
      </c>
      <c r="K1849" s="5">
        <f>_xlfn.XLOOKUP(CustomerCombined[[#This Row],[ID]], Table4[ID], Table4[Teas], "Not Found", 0)</f>
        <v>59</v>
      </c>
      <c r="L1849" s="5">
        <f>_xlfn.XLOOKUP(CustomerCombined[[#This Row],[ID]], Table4[ID], Table4[Fruits], "Not Found", 0)</f>
        <v>3</v>
      </c>
      <c r="M1849" s="5">
        <f>_xlfn.XLOOKUP(CustomerCombined[[#This Row],[ID]], Table4[ID], Table4[Meats], "Not Found", 0)</f>
        <v>31</v>
      </c>
      <c r="N1849" s="5">
        <f>_xlfn.XLOOKUP(CustomerCombined[[#This Row],[ID]], Table4[ID], Table4[Seafood], "Not Found", 0)</f>
        <v>6</v>
      </c>
      <c r="O1849" s="5">
        <f>_xlfn.XLOOKUP(CustomerCombined[[#This Row],[ID]], Table4[ID], Table4[Sweets], "Not Found", 0)</f>
        <v>3</v>
      </c>
      <c r="P1849" s="5">
        <f>_xlfn.XLOOKUP(CustomerCombined[[#This Row],[ID]], Table4[ID], Table4[Premium], "Not Found", 0)</f>
        <v>25</v>
      </c>
      <c r="Q1849" s="5">
        <f>_xlfn.XLOOKUP(CustomerCombined[[#This Row],[ID]], Table4[ID], Table4[Regular], "Not Found", 0)</f>
        <v>78</v>
      </c>
      <c r="R1849" s="5">
        <f>_xlfn.XLOOKUP(CustomerCombined[[#This Row],[ID]], Table4[ID], Table4[Deals], "Not Found", 0)</f>
        <v>1</v>
      </c>
      <c r="S1849" s="5">
        <f>_xlfn.XLOOKUP(CustomerCombined[[#This Row],[ID]], Table4[ID], Table4[Website], "Not Found", 0)</f>
        <v>1</v>
      </c>
      <c r="T1849" s="5">
        <f>_xlfn.XLOOKUP(CustomerCombined[[#This Row],[ID]], Table4[ID], Table4[Catalog], "Not Found", 0)</f>
        <v>0</v>
      </c>
      <c r="U1849" s="5">
        <f>_xlfn.XLOOKUP(CustomerCombined[[#This Row],[ID]], Table4[ID], Table4[Store], "Not Found", 0)</f>
        <v>3</v>
      </c>
      <c r="V1849" s="5">
        <f>_xlfn.XLOOKUP(CustomerCombined[[#This Row],[ID]], Table4[ID], Table4[Visits], "Not Found", 0)</f>
        <v>5</v>
      </c>
      <c r="W1849" s="8">
        <f>_xlfn.XLOOKUP(CustomerCombined[[#This Row],[ID]], Table2[ID],Table2[Complaint], "Not Found", 0 )</f>
        <v>0</v>
      </c>
      <c r="X1849" s="8">
        <f>_xlfn.XLOOKUP(CustomerCombined[[#This Row],[ID]], Table2[ID],Table2[Pilot], "Not Found", 0 )</f>
        <v>0</v>
      </c>
      <c r="Y1849" s="8">
        <f>_xlfn.XLOOKUP(CustomerCombined[[#This Row],[ID]], Table2[ID],Table2[MC1], "Not Found", 0 )</f>
        <v>0</v>
      </c>
      <c r="Z1849" s="8">
        <f>_xlfn.XLOOKUP(CustomerCombined[[#This Row],[ID]], Table2[ID],Table2[MC2], "Not Found", 0 )</f>
        <v>0</v>
      </c>
      <c r="AA1849" s="8">
        <f>_xlfn.XLOOKUP(CustomerCombined[[#This Row],[ID]], Table2[ID],Table2[MC3], "Not Found", 0 )</f>
        <v>0</v>
      </c>
      <c r="AB1849" s="8">
        <f>_xlfn.XLOOKUP(CustomerCombined[[#This Row],[ID]], Table2[ID],Table2[MC4], "Not Found", 0 )</f>
        <v>0</v>
      </c>
      <c r="AC1849" s="8">
        <f>_xlfn.XLOOKUP(CustomerCombined[[#This Row],[ID]], Table2[ID],Table2[MC5], "Not Found", 0 )</f>
        <v>0</v>
      </c>
    </row>
    <row r="1850" spans="1:29" x14ac:dyDescent="0.3">
      <c r="A1850" s="6">
        <v>1198</v>
      </c>
      <c r="B1850" s="6">
        <v>146097</v>
      </c>
      <c r="C1850" s="6">
        <v>0</v>
      </c>
      <c r="D1850" s="6">
        <v>1</v>
      </c>
      <c r="E1850" s="6">
        <v>64</v>
      </c>
      <c r="F1850" s="5" t="s">
        <v>8</v>
      </c>
      <c r="G1850" s="5" t="s">
        <v>11</v>
      </c>
      <c r="H1850" s="3">
        <v>43594</v>
      </c>
      <c r="I1850" s="5" t="s">
        <v>439</v>
      </c>
      <c r="J1850" s="5">
        <f>_xlfn.XLOOKUP(CustomerCombined[[#This Row],[ID]], Table4[ID], Table4[Recency], "Not Found", 0)</f>
        <v>11</v>
      </c>
      <c r="K1850" s="5">
        <f>_xlfn.XLOOKUP(CustomerCombined[[#This Row],[ID]], Table4[ID], Table4[Teas], "Not Found", 0)</f>
        <v>228</v>
      </c>
      <c r="L1850" s="5">
        <f>_xlfn.XLOOKUP(CustomerCombined[[#This Row],[ID]], Table4[ID], Table4[Fruits], "Not Found", 0)</f>
        <v>76</v>
      </c>
      <c r="M1850" s="5">
        <f>_xlfn.XLOOKUP(CustomerCombined[[#This Row],[ID]], Table4[ID], Table4[Meats], "Not Found", 0)</f>
        <v>216</v>
      </c>
      <c r="N1850" s="5">
        <f>_xlfn.XLOOKUP(CustomerCombined[[#This Row],[ID]], Table4[ID], Table4[Seafood], "Not Found", 0)</f>
        <v>206</v>
      </c>
      <c r="O1850" s="5">
        <f>_xlfn.XLOOKUP(CustomerCombined[[#This Row],[ID]], Table4[ID], Table4[Sweets], "Not Found", 0)</f>
        <v>13</v>
      </c>
      <c r="P1850" s="5">
        <f>_xlfn.XLOOKUP(CustomerCombined[[#This Row],[ID]], Table4[ID], Table4[Premium], "Not Found", 0)</f>
        <v>25</v>
      </c>
      <c r="Q1850" s="5">
        <f>_xlfn.XLOOKUP(CustomerCombined[[#This Row],[ID]], Table4[ID], Table4[Regular], "Not Found", 0)</f>
        <v>713</v>
      </c>
      <c r="R1850" s="5">
        <f>_xlfn.XLOOKUP(CustomerCombined[[#This Row],[ID]], Table4[ID], Table4[Deals], "Not Found", 0)</f>
        <v>5</v>
      </c>
      <c r="S1850" s="5">
        <f>_xlfn.XLOOKUP(CustomerCombined[[#This Row],[ID]], Table4[ID], Table4[Website], "Not Found", 0)</f>
        <v>3</v>
      </c>
      <c r="T1850" s="5">
        <f>_xlfn.XLOOKUP(CustomerCombined[[#This Row],[ID]], Table4[ID], Table4[Catalog], "Not Found", 0)</f>
        <v>1</v>
      </c>
      <c r="U1850" s="5">
        <f>_xlfn.XLOOKUP(CustomerCombined[[#This Row],[ID]], Table4[ID], Table4[Store], "Not Found", 0)</f>
        <v>6</v>
      </c>
      <c r="V1850" s="5">
        <f>_xlfn.XLOOKUP(CustomerCombined[[#This Row],[ID]], Table4[ID], Table4[Visits], "Not Found", 0)</f>
        <v>4</v>
      </c>
      <c r="W1850" s="8">
        <f>_xlfn.XLOOKUP(CustomerCombined[[#This Row],[ID]], Table2[ID],Table2[Complaint], "Not Found", 0 )</f>
        <v>0</v>
      </c>
      <c r="X1850" s="8">
        <f>_xlfn.XLOOKUP(CustomerCombined[[#This Row],[ID]], Table2[ID],Table2[Pilot], "Not Found", 0 )</f>
        <v>0</v>
      </c>
      <c r="Y1850" s="8">
        <f>_xlfn.XLOOKUP(CustomerCombined[[#This Row],[ID]], Table2[ID],Table2[MC1], "Not Found", 0 )</f>
        <v>0</v>
      </c>
      <c r="Z1850" s="8">
        <f>_xlfn.XLOOKUP(CustomerCombined[[#This Row],[ID]], Table2[ID],Table2[MC2], "Not Found", 0 )</f>
        <v>0</v>
      </c>
      <c r="AA1850" s="8">
        <f>_xlfn.XLOOKUP(CustomerCombined[[#This Row],[ID]], Table2[ID],Table2[MC3], "Not Found", 0 )</f>
        <v>0</v>
      </c>
      <c r="AB1850" s="8">
        <f>_xlfn.XLOOKUP(CustomerCombined[[#This Row],[ID]], Table2[ID],Table2[MC4], "Not Found", 0 )</f>
        <v>0</v>
      </c>
      <c r="AC1850" s="8">
        <f>_xlfn.XLOOKUP(CustomerCombined[[#This Row],[ID]], Table2[ID],Table2[MC5], "Not Found", 0 )</f>
        <v>0</v>
      </c>
    </row>
    <row r="1851" spans="1:29" x14ac:dyDescent="0.3">
      <c r="A1851" s="6">
        <v>1980</v>
      </c>
      <c r="B1851" s="6">
        <v>146086</v>
      </c>
      <c r="C1851" s="6">
        <v>0</v>
      </c>
      <c r="D1851" s="6">
        <v>1</v>
      </c>
      <c r="E1851" s="6">
        <v>64</v>
      </c>
      <c r="F1851" s="5" t="s">
        <v>5</v>
      </c>
      <c r="G1851" s="5" t="s">
        <v>11</v>
      </c>
      <c r="H1851" s="3">
        <v>44078</v>
      </c>
      <c r="I1851" s="5" t="s">
        <v>436</v>
      </c>
      <c r="J1851" s="5">
        <f>_xlfn.XLOOKUP(CustomerCombined[[#This Row],[ID]], Table4[ID], Table4[Recency], "Not Found", 0)</f>
        <v>34</v>
      </c>
      <c r="K1851" s="5">
        <f>_xlfn.XLOOKUP(CustomerCombined[[#This Row],[ID]], Table4[ID], Table4[Teas], "Not Found", 0)</f>
        <v>773</v>
      </c>
      <c r="L1851" s="5">
        <f>_xlfn.XLOOKUP(CustomerCombined[[#This Row],[ID]], Table4[ID], Table4[Fruits], "Not Found", 0)</f>
        <v>25</v>
      </c>
      <c r="M1851" s="5">
        <f>_xlfn.XLOOKUP(CustomerCombined[[#This Row],[ID]], Table4[ID], Table4[Meats], "Not Found", 0)</f>
        <v>101</v>
      </c>
      <c r="N1851" s="5">
        <f>_xlfn.XLOOKUP(CustomerCombined[[#This Row],[ID]], Table4[ID], Table4[Seafood], "Not Found", 0)</f>
        <v>22</v>
      </c>
      <c r="O1851" s="5">
        <f>_xlfn.XLOOKUP(CustomerCombined[[#This Row],[ID]], Table4[ID], Table4[Sweets], "Not Found", 0)</f>
        <v>6</v>
      </c>
      <c r="P1851" s="5">
        <f>_xlfn.XLOOKUP(CustomerCombined[[#This Row],[ID]], Table4[ID], Table4[Premium], "Not Found", 0)</f>
        <v>158</v>
      </c>
      <c r="Q1851" s="5">
        <f>_xlfn.XLOOKUP(CustomerCombined[[#This Row],[ID]], Table4[ID], Table4[Regular], "Not Found", 0)</f>
        <v>770</v>
      </c>
      <c r="R1851" s="5">
        <f>_xlfn.XLOOKUP(CustomerCombined[[#This Row],[ID]], Table4[ID], Table4[Deals], "Not Found", 0)</f>
        <v>4</v>
      </c>
      <c r="S1851" s="5">
        <f>_xlfn.XLOOKUP(CustomerCombined[[#This Row],[ID]], Table4[ID], Table4[Website], "Not Found", 0)</f>
        <v>3</v>
      </c>
      <c r="T1851" s="5">
        <f>_xlfn.XLOOKUP(CustomerCombined[[#This Row],[ID]], Table4[ID], Table4[Catalog], "Not Found", 0)</f>
        <v>1</v>
      </c>
      <c r="U1851" s="5">
        <f>_xlfn.XLOOKUP(CustomerCombined[[#This Row],[ID]], Table4[ID], Table4[Store], "Not Found", 0)</f>
        <v>8</v>
      </c>
      <c r="V1851" s="5">
        <f>_xlfn.XLOOKUP(CustomerCombined[[#This Row],[ID]], Table4[ID], Table4[Visits], "Not Found", 0)</f>
        <v>4</v>
      </c>
      <c r="W1851" s="8">
        <f>_xlfn.XLOOKUP(CustomerCombined[[#This Row],[ID]], Table2[ID],Table2[Complaint], "Not Found", 0 )</f>
        <v>0</v>
      </c>
      <c r="X1851" s="8">
        <f>_xlfn.XLOOKUP(CustomerCombined[[#This Row],[ID]], Table2[ID],Table2[Pilot], "Not Found", 0 )</f>
        <v>0</v>
      </c>
      <c r="Y1851" s="8">
        <f>_xlfn.XLOOKUP(CustomerCombined[[#This Row],[ID]], Table2[ID],Table2[MC1], "Not Found", 0 )</f>
        <v>0</v>
      </c>
      <c r="Z1851" s="8">
        <f>_xlfn.XLOOKUP(CustomerCombined[[#This Row],[ID]], Table2[ID],Table2[MC2], "Not Found", 0 )</f>
        <v>0</v>
      </c>
      <c r="AA1851" s="8">
        <f>_xlfn.XLOOKUP(CustomerCombined[[#This Row],[ID]], Table2[ID],Table2[MC3], "Not Found", 0 )</f>
        <v>0</v>
      </c>
      <c r="AB1851" s="8">
        <f>_xlfn.XLOOKUP(CustomerCombined[[#This Row],[ID]], Table2[ID],Table2[MC4], "Not Found", 0 )</f>
        <v>0</v>
      </c>
      <c r="AC1851" s="8">
        <f>_xlfn.XLOOKUP(CustomerCombined[[#This Row],[ID]], Table2[ID],Table2[MC5], "Not Found", 0 )</f>
        <v>0</v>
      </c>
    </row>
    <row r="1852" spans="1:29" x14ac:dyDescent="0.3">
      <c r="A1852" s="6">
        <v>1970</v>
      </c>
      <c r="B1852" s="6">
        <v>135340</v>
      </c>
      <c r="C1852" s="6">
        <v>1</v>
      </c>
      <c r="D1852" s="6">
        <v>1</v>
      </c>
      <c r="E1852" s="6">
        <v>64</v>
      </c>
      <c r="F1852" s="5" t="s">
        <v>9</v>
      </c>
      <c r="G1852" s="5" t="s">
        <v>13</v>
      </c>
      <c r="H1852" s="3">
        <v>43902</v>
      </c>
      <c r="I1852" s="5" t="s">
        <v>438</v>
      </c>
      <c r="J1852" s="5">
        <f>_xlfn.XLOOKUP(CustomerCombined[[#This Row],[ID]], Table4[ID], Table4[Recency], "Not Found", 0)</f>
        <v>1</v>
      </c>
      <c r="K1852" s="5">
        <f>_xlfn.XLOOKUP(CustomerCombined[[#This Row],[ID]], Table4[ID], Table4[Teas], "Not Found", 0)</f>
        <v>103</v>
      </c>
      <c r="L1852" s="5">
        <f>_xlfn.XLOOKUP(CustomerCombined[[#This Row],[ID]], Table4[ID], Table4[Fruits], "Not Found", 0)</f>
        <v>0</v>
      </c>
      <c r="M1852" s="5">
        <f>_xlfn.XLOOKUP(CustomerCombined[[#This Row],[ID]], Table4[ID], Table4[Meats], "Not Found", 0)</f>
        <v>46</v>
      </c>
      <c r="N1852" s="5">
        <f>_xlfn.XLOOKUP(CustomerCombined[[#This Row],[ID]], Table4[ID], Table4[Seafood], "Not Found", 0)</f>
        <v>0</v>
      </c>
      <c r="O1852" s="5">
        <f>_xlfn.XLOOKUP(CustomerCombined[[#This Row],[ID]], Table4[ID], Table4[Sweets], "Not Found", 0)</f>
        <v>4</v>
      </c>
      <c r="P1852" s="5">
        <f>_xlfn.XLOOKUP(CustomerCombined[[#This Row],[ID]], Table4[ID], Table4[Premium], "Not Found", 0)</f>
        <v>19</v>
      </c>
      <c r="Q1852" s="5">
        <f>_xlfn.XLOOKUP(CustomerCombined[[#This Row],[ID]], Table4[ID], Table4[Regular], "Not Found", 0)</f>
        <v>134</v>
      </c>
      <c r="R1852" s="5">
        <f>_xlfn.XLOOKUP(CustomerCombined[[#This Row],[ID]], Table4[ID], Table4[Deals], "Not Found", 0)</f>
        <v>2</v>
      </c>
      <c r="S1852" s="5">
        <f>_xlfn.XLOOKUP(CustomerCombined[[#This Row],[ID]], Table4[ID], Table4[Website], "Not Found", 0)</f>
        <v>2</v>
      </c>
      <c r="T1852" s="5">
        <f>_xlfn.XLOOKUP(CustomerCombined[[#This Row],[ID]], Table4[ID], Table4[Catalog], "Not Found", 0)</f>
        <v>0</v>
      </c>
      <c r="U1852" s="5">
        <f>_xlfn.XLOOKUP(CustomerCombined[[#This Row],[ID]], Table4[ID], Table4[Store], "Not Found", 0)</f>
        <v>3</v>
      </c>
      <c r="V1852" s="5">
        <f>_xlfn.XLOOKUP(CustomerCombined[[#This Row],[ID]], Table4[ID], Table4[Visits], "Not Found", 0)</f>
        <v>5</v>
      </c>
      <c r="W1852" s="8">
        <f>_xlfn.XLOOKUP(CustomerCombined[[#This Row],[ID]], Table2[ID],Table2[Complaint], "Not Found", 0 )</f>
        <v>0</v>
      </c>
      <c r="X1852" s="8">
        <f>_xlfn.XLOOKUP(CustomerCombined[[#This Row],[ID]], Table2[ID],Table2[Pilot], "Not Found", 0 )</f>
        <v>0</v>
      </c>
      <c r="Y1852" s="8">
        <f>_xlfn.XLOOKUP(CustomerCombined[[#This Row],[ID]], Table2[ID],Table2[MC1], "Not Found", 0 )</f>
        <v>0</v>
      </c>
      <c r="Z1852" s="8">
        <f>_xlfn.XLOOKUP(CustomerCombined[[#This Row],[ID]], Table2[ID],Table2[MC2], "Not Found", 0 )</f>
        <v>0</v>
      </c>
      <c r="AA1852" s="8">
        <f>_xlfn.XLOOKUP(CustomerCombined[[#This Row],[ID]], Table2[ID],Table2[MC3], "Not Found", 0 )</f>
        <v>0</v>
      </c>
      <c r="AB1852" s="8">
        <f>_xlfn.XLOOKUP(CustomerCombined[[#This Row],[ID]], Table2[ID],Table2[MC4], "Not Found", 0 )</f>
        <v>0</v>
      </c>
      <c r="AC1852" s="8">
        <f>_xlfn.XLOOKUP(CustomerCombined[[#This Row],[ID]], Table2[ID],Table2[MC5], "Not Found", 0 )</f>
        <v>0</v>
      </c>
    </row>
    <row r="1853" spans="1:29" x14ac:dyDescent="0.3">
      <c r="A1853" s="6">
        <v>1722</v>
      </c>
      <c r="B1853" s="6">
        <v>134941</v>
      </c>
      <c r="C1853" s="6">
        <v>1</v>
      </c>
      <c r="D1853" s="6">
        <v>1</v>
      </c>
      <c r="E1853" s="6">
        <v>64</v>
      </c>
      <c r="F1853" s="5" t="s">
        <v>8</v>
      </c>
      <c r="G1853" s="5" t="s">
        <v>12</v>
      </c>
      <c r="H1853" s="3">
        <v>43777</v>
      </c>
      <c r="I1853" s="5" t="s">
        <v>436</v>
      </c>
      <c r="J1853" s="5">
        <f>_xlfn.XLOOKUP(CustomerCombined[[#This Row],[ID]], Table4[ID], Table4[Recency], "Not Found", 0)</f>
        <v>26</v>
      </c>
      <c r="K1853" s="5">
        <f>_xlfn.XLOOKUP(CustomerCombined[[#This Row],[ID]], Table4[ID], Table4[Teas], "Not Found", 0)</f>
        <v>151</v>
      </c>
      <c r="L1853" s="5">
        <f>_xlfn.XLOOKUP(CustomerCombined[[#This Row],[ID]], Table4[ID], Table4[Fruits], "Not Found", 0)</f>
        <v>8</v>
      </c>
      <c r="M1853" s="5">
        <f>_xlfn.XLOOKUP(CustomerCombined[[#This Row],[ID]], Table4[ID], Table4[Meats], "Not Found", 0)</f>
        <v>97</v>
      </c>
      <c r="N1853" s="5">
        <f>_xlfn.XLOOKUP(CustomerCombined[[#This Row],[ID]], Table4[ID], Table4[Seafood], "Not Found", 0)</f>
        <v>15</v>
      </c>
      <c r="O1853" s="5">
        <f>_xlfn.XLOOKUP(CustomerCombined[[#This Row],[ID]], Table4[ID], Table4[Sweets], "Not Found", 0)</f>
        <v>12</v>
      </c>
      <c r="P1853" s="5">
        <f>_xlfn.XLOOKUP(CustomerCombined[[#This Row],[ID]], Table4[ID], Table4[Premium], "Not Found", 0)</f>
        <v>93</v>
      </c>
      <c r="Q1853" s="5">
        <f>_xlfn.XLOOKUP(CustomerCombined[[#This Row],[ID]], Table4[ID], Table4[Regular], "Not Found", 0)</f>
        <v>189</v>
      </c>
      <c r="R1853" s="5">
        <f>_xlfn.XLOOKUP(CustomerCombined[[#This Row],[ID]], Table4[ID], Table4[Deals], "Not Found", 0)</f>
        <v>2</v>
      </c>
      <c r="S1853" s="5">
        <f>_xlfn.XLOOKUP(CustomerCombined[[#This Row],[ID]], Table4[ID], Table4[Website], "Not Found", 0)</f>
        <v>3</v>
      </c>
      <c r="T1853" s="5">
        <f>_xlfn.XLOOKUP(CustomerCombined[[#This Row],[ID]], Table4[ID], Table4[Catalog], "Not Found", 0)</f>
        <v>0</v>
      </c>
      <c r="U1853" s="5">
        <f>_xlfn.XLOOKUP(CustomerCombined[[#This Row],[ID]], Table4[ID], Table4[Store], "Not Found", 0)</f>
        <v>3</v>
      </c>
      <c r="V1853" s="5">
        <f>_xlfn.XLOOKUP(CustomerCombined[[#This Row],[ID]], Table4[ID], Table4[Visits], "Not Found", 0)</f>
        <v>8</v>
      </c>
      <c r="W1853" s="8">
        <f>_xlfn.XLOOKUP(CustomerCombined[[#This Row],[ID]], Table2[ID],Table2[Complaint], "Not Found", 0 )</f>
        <v>0</v>
      </c>
      <c r="X1853" s="8">
        <f>_xlfn.XLOOKUP(CustomerCombined[[#This Row],[ID]], Table2[ID],Table2[Pilot], "Not Found", 0 )</f>
        <v>0</v>
      </c>
      <c r="Y1853" s="8">
        <f>_xlfn.XLOOKUP(CustomerCombined[[#This Row],[ID]], Table2[ID],Table2[MC1], "Not Found", 0 )</f>
        <v>0</v>
      </c>
      <c r="Z1853" s="8">
        <f>_xlfn.XLOOKUP(CustomerCombined[[#This Row],[ID]], Table2[ID],Table2[MC2], "Not Found", 0 )</f>
        <v>0</v>
      </c>
      <c r="AA1853" s="8">
        <f>_xlfn.XLOOKUP(CustomerCombined[[#This Row],[ID]], Table2[ID],Table2[MC3], "Not Found", 0 )</f>
        <v>0</v>
      </c>
      <c r="AB1853" s="8">
        <f>_xlfn.XLOOKUP(CustomerCombined[[#This Row],[ID]], Table2[ID],Table2[MC4], "Not Found", 0 )</f>
        <v>0</v>
      </c>
      <c r="AC1853" s="8">
        <f>_xlfn.XLOOKUP(CustomerCombined[[#This Row],[ID]], Table2[ID],Table2[MC5], "Not Found", 0 )</f>
        <v>0</v>
      </c>
    </row>
    <row r="1854" spans="1:29" x14ac:dyDescent="0.3">
      <c r="A1854" s="6">
        <v>2556</v>
      </c>
      <c r="B1854" s="6">
        <v>134633</v>
      </c>
      <c r="C1854" s="6">
        <v>2</v>
      </c>
      <c r="D1854" s="6">
        <v>1</v>
      </c>
      <c r="E1854" s="6">
        <v>64</v>
      </c>
      <c r="F1854" s="5" t="s">
        <v>8</v>
      </c>
      <c r="G1854" s="5" t="s">
        <v>11</v>
      </c>
      <c r="H1854" s="3" t="s">
        <v>109</v>
      </c>
      <c r="I1854" s="5" t="s">
        <v>436</v>
      </c>
      <c r="J1854" s="5">
        <f>_xlfn.XLOOKUP(CustomerCombined[[#This Row],[ID]], Table4[ID], Table4[Recency], "Not Found", 0)</f>
        <v>31</v>
      </c>
      <c r="K1854" s="5">
        <f>_xlfn.XLOOKUP(CustomerCombined[[#This Row],[ID]], Table4[ID], Table4[Teas], "Not Found", 0)</f>
        <v>31</v>
      </c>
      <c r="L1854" s="5">
        <f>_xlfn.XLOOKUP(CustomerCombined[[#This Row],[ID]], Table4[ID], Table4[Fruits], "Not Found", 0)</f>
        <v>4</v>
      </c>
      <c r="M1854" s="5">
        <f>_xlfn.XLOOKUP(CustomerCombined[[#This Row],[ID]], Table4[ID], Table4[Meats], "Not Found", 0)</f>
        <v>19</v>
      </c>
      <c r="N1854" s="5">
        <f>_xlfn.XLOOKUP(CustomerCombined[[#This Row],[ID]], Table4[ID], Table4[Seafood], "Not Found", 0)</f>
        <v>0</v>
      </c>
      <c r="O1854" s="5">
        <f>_xlfn.XLOOKUP(CustomerCombined[[#This Row],[ID]], Table4[ID], Table4[Sweets], "Not Found", 0)</f>
        <v>0</v>
      </c>
      <c r="P1854" s="5">
        <f>_xlfn.XLOOKUP(CustomerCombined[[#This Row],[ID]], Table4[ID], Table4[Premium], "Not Found", 0)</f>
        <v>4</v>
      </c>
      <c r="Q1854" s="5">
        <f>_xlfn.XLOOKUP(CustomerCombined[[#This Row],[ID]], Table4[ID], Table4[Regular], "Not Found", 0)</f>
        <v>51</v>
      </c>
      <c r="R1854" s="5">
        <f>_xlfn.XLOOKUP(CustomerCombined[[#This Row],[ID]], Table4[ID], Table4[Deals], "Not Found", 0)</f>
        <v>1</v>
      </c>
      <c r="S1854" s="5">
        <f>_xlfn.XLOOKUP(CustomerCombined[[#This Row],[ID]], Table4[ID], Table4[Website], "Not Found", 0)</f>
        <v>1</v>
      </c>
      <c r="T1854" s="5">
        <f>_xlfn.XLOOKUP(CustomerCombined[[#This Row],[ID]], Table4[ID], Table4[Catalog], "Not Found", 0)</f>
        <v>0</v>
      </c>
      <c r="U1854" s="5">
        <f>_xlfn.XLOOKUP(CustomerCombined[[#This Row],[ID]], Table4[ID], Table4[Store], "Not Found", 0)</f>
        <v>2</v>
      </c>
      <c r="V1854" s="5">
        <f>_xlfn.XLOOKUP(CustomerCombined[[#This Row],[ID]], Table4[ID], Table4[Visits], "Not Found", 0)</f>
        <v>6</v>
      </c>
      <c r="W1854" s="8">
        <f>_xlfn.XLOOKUP(CustomerCombined[[#This Row],[ID]], Table2[ID],Table2[Complaint], "Not Found", 0 )</f>
        <v>0</v>
      </c>
      <c r="X1854" s="8">
        <f>_xlfn.XLOOKUP(CustomerCombined[[#This Row],[ID]], Table2[ID],Table2[Pilot], "Not Found", 0 )</f>
        <v>0</v>
      </c>
      <c r="Y1854" s="8">
        <f>_xlfn.XLOOKUP(CustomerCombined[[#This Row],[ID]], Table2[ID],Table2[MC1], "Not Found", 0 )</f>
        <v>0</v>
      </c>
      <c r="Z1854" s="8">
        <f>_xlfn.XLOOKUP(CustomerCombined[[#This Row],[ID]], Table2[ID],Table2[MC2], "Not Found", 0 )</f>
        <v>0</v>
      </c>
      <c r="AA1854" s="8">
        <f>_xlfn.XLOOKUP(CustomerCombined[[#This Row],[ID]], Table2[ID],Table2[MC3], "Not Found", 0 )</f>
        <v>0</v>
      </c>
      <c r="AB1854" s="8">
        <f>_xlfn.XLOOKUP(CustomerCombined[[#This Row],[ID]], Table2[ID],Table2[MC4], "Not Found", 0 )</f>
        <v>0</v>
      </c>
      <c r="AC1854" s="8">
        <f>_xlfn.XLOOKUP(CustomerCombined[[#This Row],[ID]], Table2[ID],Table2[MC5], "Not Found", 0 )</f>
        <v>0</v>
      </c>
    </row>
    <row r="1855" spans="1:29" x14ac:dyDescent="0.3">
      <c r="A1855" s="6">
        <v>1384</v>
      </c>
      <c r="B1855" s="6">
        <v>131395</v>
      </c>
      <c r="C1855" s="6">
        <v>1</v>
      </c>
      <c r="D1855" s="6">
        <v>1</v>
      </c>
      <c r="E1855" s="6">
        <v>64</v>
      </c>
      <c r="F1855" s="5" t="s">
        <v>5</v>
      </c>
      <c r="G1855" s="5" t="s">
        <v>442</v>
      </c>
      <c r="H1855" s="3" t="s">
        <v>285</v>
      </c>
      <c r="I1855" s="5" t="s">
        <v>439</v>
      </c>
      <c r="J1855" s="5">
        <f>_xlfn.XLOOKUP(CustomerCombined[[#This Row],[ID]], Table4[ID], Table4[Recency], "Not Found", 0)</f>
        <v>80</v>
      </c>
      <c r="K1855" s="5">
        <f>_xlfn.XLOOKUP(CustomerCombined[[#This Row],[ID]], Table4[ID], Table4[Teas], "Not Found", 0)</f>
        <v>96</v>
      </c>
      <c r="L1855" s="5">
        <f>_xlfn.XLOOKUP(CustomerCombined[[#This Row],[ID]], Table4[ID], Table4[Fruits], "Not Found", 0)</f>
        <v>4</v>
      </c>
      <c r="M1855" s="5">
        <f>_xlfn.XLOOKUP(CustomerCombined[[#This Row],[ID]], Table4[ID], Table4[Meats], "Not Found", 0)</f>
        <v>105</v>
      </c>
      <c r="N1855" s="5">
        <f>_xlfn.XLOOKUP(CustomerCombined[[#This Row],[ID]], Table4[ID], Table4[Seafood], "Not Found", 0)</f>
        <v>0</v>
      </c>
      <c r="O1855" s="5">
        <f>_xlfn.XLOOKUP(CustomerCombined[[#This Row],[ID]], Table4[ID], Table4[Sweets], "Not Found", 0)</f>
        <v>33</v>
      </c>
      <c r="P1855" s="5">
        <f>_xlfn.XLOOKUP(CustomerCombined[[#This Row],[ID]], Table4[ID], Table4[Premium], "Not Found", 0)</f>
        <v>29</v>
      </c>
      <c r="Q1855" s="5">
        <f>_xlfn.XLOOKUP(CustomerCombined[[#This Row],[ID]], Table4[ID], Table4[Regular], "Not Found", 0)</f>
        <v>209</v>
      </c>
      <c r="R1855" s="5">
        <f>_xlfn.XLOOKUP(CustomerCombined[[#This Row],[ID]], Table4[ID], Table4[Deals], "Not Found", 0)</f>
        <v>4</v>
      </c>
      <c r="S1855" s="5">
        <f>_xlfn.XLOOKUP(CustomerCombined[[#This Row],[ID]], Table4[ID], Table4[Website], "Not Found", 0)</f>
        <v>2</v>
      </c>
      <c r="T1855" s="5">
        <f>_xlfn.XLOOKUP(CustomerCombined[[#This Row],[ID]], Table4[ID], Table4[Catalog], "Not Found", 0)</f>
        <v>1</v>
      </c>
      <c r="U1855" s="5">
        <f>_xlfn.XLOOKUP(CustomerCombined[[#This Row],[ID]], Table4[ID], Table4[Store], "Not Found", 0)</f>
        <v>3</v>
      </c>
      <c r="V1855" s="5">
        <f>_xlfn.XLOOKUP(CustomerCombined[[#This Row],[ID]], Table4[ID], Table4[Visits], "Not Found", 0)</f>
        <v>6</v>
      </c>
      <c r="W1855" s="8">
        <f>_xlfn.XLOOKUP(CustomerCombined[[#This Row],[ID]], Table2[ID],Table2[Complaint], "Not Found", 0 )</f>
        <v>0</v>
      </c>
      <c r="X1855" s="8">
        <f>_xlfn.XLOOKUP(CustomerCombined[[#This Row],[ID]], Table2[ID],Table2[Pilot], "Not Found", 0 )</f>
        <v>0</v>
      </c>
      <c r="Y1855" s="8">
        <f>_xlfn.XLOOKUP(CustomerCombined[[#This Row],[ID]], Table2[ID],Table2[MC1], "Not Found", 0 )</f>
        <v>0</v>
      </c>
      <c r="Z1855" s="8">
        <f>_xlfn.XLOOKUP(CustomerCombined[[#This Row],[ID]], Table2[ID],Table2[MC2], "Not Found", 0 )</f>
        <v>0</v>
      </c>
      <c r="AA1855" s="8">
        <f>_xlfn.XLOOKUP(CustomerCombined[[#This Row],[ID]], Table2[ID],Table2[MC3], "Not Found", 0 )</f>
        <v>0</v>
      </c>
      <c r="AB1855" s="8">
        <f>_xlfn.XLOOKUP(CustomerCombined[[#This Row],[ID]], Table2[ID],Table2[MC4], "Not Found", 0 )</f>
        <v>0</v>
      </c>
      <c r="AC1855" s="8">
        <f>_xlfn.XLOOKUP(CustomerCombined[[#This Row],[ID]], Table2[ID],Table2[MC5], "Not Found", 0 )</f>
        <v>0</v>
      </c>
    </row>
    <row r="1856" spans="1:29" x14ac:dyDescent="0.3">
      <c r="A1856" s="6">
        <v>1301</v>
      </c>
      <c r="B1856" s="6">
        <v>128839</v>
      </c>
      <c r="C1856" s="6">
        <v>1</v>
      </c>
      <c r="D1856" s="6">
        <v>1</v>
      </c>
      <c r="E1856" s="6">
        <v>64</v>
      </c>
      <c r="F1856" s="5" t="s">
        <v>8</v>
      </c>
      <c r="G1856" s="5" t="s">
        <v>12</v>
      </c>
      <c r="H1856" s="3" t="s">
        <v>88</v>
      </c>
      <c r="I1856" s="5" t="s">
        <v>434</v>
      </c>
      <c r="J1856" s="5">
        <f>_xlfn.XLOOKUP(CustomerCombined[[#This Row],[ID]], Table4[ID], Table4[Recency], "Not Found", 0)</f>
        <v>86</v>
      </c>
      <c r="K1856" s="5">
        <f>_xlfn.XLOOKUP(CustomerCombined[[#This Row],[ID]], Table4[ID], Table4[Teas], "Not Found", 0)</f>
        <v>107</v>
      </c>
      <c r="L1856" s="5">
        <f>_xlfn.XLOOKUP(CustomerCombined[[#This Row],[ID]], Table4[ID], Table4[Fruits], "Not Found", 0)</f>
        <v>0</v>
      </c>
      <c r="M1856" s="5">
        <f>_xlfn.XLOOKUP(CustomerCombined[[#This Row],[ID]], Table4[ID], Table4[Meats], "Not Found", 0)</f>
        <v>31</v>
      </c>
      <c r="N1856" s="5">
        <f>_xlfn.XLOOKUP(CustomerCombined[[#This Row],[ID]], Table4[ID], Table4[Seafood], "Not Found", 0)</f>
        <v>0</v>
      </c>
      <c r="O1856" s="5">
        <f>_xlfn.XLOOKUP(CustomerCombined[[#This Row],[ID]], Table4[ID], Table4[Sweets], "Not Found", 0)</f>
        <v>0</v>
      </c>
      <c r="P1856" s="5">
        <f>_xlfn.XLOOKUP(CustomerCombined[[#This Row],[ID]], Table4[ID], Table4[Premium], "Not Found", 0)</f>
        <v>4</v>
      </c>
      <c r="Q1856" s="5">
        <f>_xlfn.XLOOKUP(CustomerCombined[[#This Row],[ID]], Table4[ID], Table4[Regular], "Not Found", 0)</f>
        <v>134</v>
      </c>
      <c r="R1856" s="5">
        <f>_xlfn.XLOOKUP(CustomerCombined[[#This Row],[ID]], Table4[ID], Table4[Deals], "Not Found", 0)</f>
        <v>2</v>
      </c>
      <c r="S1856" s="5">
        <f>_xlfn.XLOOKUP(CustomerCombined[[#This Row],[ID]], Table4[ID], Table4[Website], "Not Found", 0)</f>
        <v>2</v>
      </c>
      <c r="T1856" s="5">
        <f>_xlfn.XLOOKUP(CustomerCombined[[#This Row],[ID]], Table4[ID], Table4[Catalog], "Not Found", 0)</f>
        <v>0</v>
      </c>
      <c r="U1856" s="5">
        <f>_xlfn.XLOOKUP(CustomerCombined[[#This Row],[ID]], Table4[ID], Table4[Store], "Not Found", 0)</f>
        <v>3</v>
      </c>
      <c r="V1856" s="5">
        <f>_xlfn.XLOOKUP(CustomerCombined[[#This Row],[ID]], Table4[ID], Table4[Visits], "Not Found", 0)</f>
        <v>5</v>
      </c>
      <c r="W1856" s="8">
        <f>_xlfn.XLOOKUP(CustomerCombined[[#This Row],[ID]], Table2[ID],Table2[Complaint], "Not Found", 0 )</f>
        <v>0</v>
      </c>
      <c r="X1856" s="8">
        <f>_xlfn.XLOOKUP(CustomerCombined[[#This Row],[ID]], Table2[ID],Table2[Pilot], "Not Found", 0 )</f>
        <v>0</v>
      </c>
      <c r="Y1856" s="8">
        <f>_xlfn.XLOOKUP(CustomerCombined[[#This Row],[ID]], Table2[ID],Table2[MC1], "Not Found", 0 )</f>
        <v>0</v>
      </c>
      <c r="Z1856" s="8">
        <f>_xlfn.XLOOKUP(CustomerCombined[[#This Row],[ID]], Table2[ID],Table2[MC2], "Not Found", 0 )</f>
        <v>0</v>
      </c>
      <c r="AA1856" s="8">
        <f>_xlfn.XLOOKUP(CustomerCombined[[#This Row],[ID]], Table2[ID],Table2[MC3], "Not Found", 0 )</f>
        <v>0</v>
      </c>
      <c r="AB1856" s="8">
        <f>_xlfn.XLOOKUP(CustomerCombined[[#This Row],[ID]], Table2[ID],Table2[MC4], "Not Found", 0 )</f>
        <v>0</v>
      </c>
      <c r="AC1856" s="8">
        <f>_xlfn.XLOOKUP(CustomerCombined[[#This Row],[ID]], Table2[ID],Table2[MC5], "Not Found", 0 )</f>
        <v>0</v>
      </c>
    </row>
    <row r="1857" spans="1:29" x14ac:dyDescent="0.3">
      <c r="A1857" s="6">
        <v>1591</v>
      </c>
      <c r="B1857" s="6">
        <v>126150</v>
      </c>
      <c r="C1857" s="6">
        <v>2</v>
      </c>
      <c r="D1857" s="6">
        <v>1</v>
      </c>
      <c r="E1857" s="6">
        <v>64</v>
      </c>
      <c r="F1857" s="5" t="s">
        <v>5</v>
      </c>
      <c r="G1857" s="5" t="s">
        <v>11</v>
      </c>
      <c r="H1857" s="3" t="s">
        <v>296</v>
      </c>
      <c r="I1857" s="5" t="s">
        <v>437</v>
      </c>
      <c r="J1857" s="5">
        <f>_xlfn.XLOOKUP(CustomerCombined[[#This Row],[ID]], Table4[ID], Table4[Recency], "Not Found", 0)</f>
        <v>61</v>
      </c>
      <c r="K1857" s="5">
        <f>_xlfn.XLOOKUP(CustomerCombined[[#This Row],[ID]], Table4[ID], Table4[Teas], "Not Found", 0)</f>
        <v>24</v>
      </c>
      <c r="L1857" s="5">
        <f>_xlfn.XLOOKUP(CustomerCombined[[#This Row],[ID]], Table4[ID], Table4[Fruits], "Not Found", 0)</f>
        <v>5</v>
      </c>
      <c r="M1857" s="5">
        <f>_xlfn.XLOOKUP(CustomerCombined[[#This Row],[ID]], Table4[ID], Table4[Meats], "Not Found", 0)</f>
        <v>63</v>
      </c>
      <c r="N1857" s="5">
        <f>_xlfn.XLOOKUP(CustomerCombined[[#This Row],[ID]], Table4[ID], Table4[Seafood], "Not Found", 0)</f>
        <v>14</v>
      </c>
      <c r="O1857" s="5">
        <f>_xlfn.XLOOKUP(CustomerCombined[[#This Row],[ID]], Table4[ID], Table4[Sweets], "Not Found", 0)</f>
        <v>24</v>
      </c>
      <c r="P1857" s="5">
        <f>_xlfn.XLOOKUP(CustomerCombined[[#This Row],[ID]], Table4[ID], Table4[Premium], "Not Found", 0)</f>
        <v>5</v>
      </c>
      <c r="Q1857" s="5">
        <f>_xlfn.XLOOKUP(CustomerCombined[[#This Row],[ID]], Table4[ID], Table4[Regular], "Not Found", 0)</f>
        <v>125</v>
      </c>
      <c r="R1857" s="5">
        <f>_xlfn.XLOOKUP(CustomerCombined[[#This Row],[ID]], Table4[ID], Table4[Deals], "Not Found", 0)</f>
        <v>1</v>
      </c>
      <c r="S1857" s="5">
        <f>_xlfn.XLOOKUP(CustomerCombined[[#This Row],[ID]], Table4[ID], Table4[Website], "Not Found", 0)</f>
        <v>1</v>
      </c>
      <c r="T1857" s="5">
        <f>_xlfn.XLOOKUP(CustomerCombined[[#This Row],[ID]], Table4[ID], Table4[Catalog], "Not Found", 0)</f>
        <v>0</v>
      </c>
      <c r="U1857" s="5">
        <f>_xlfn.XLOOKUP(CustomerCombined[[#This Row],[ID]], Table4[ID], Table4[Store], "Not Found", 0)</f>
        <v>3</v>
      </c>
      <c r="V1857" s="5">
        <f>_xlfn.XLOOKUP(CustomerCombined[[#This Row],[ID]], Table4[ID], Table4[Visits], "Not Found", 0)</f>
        <v>7</v>
      </c>
      <c r="W1857" s="8">
        <f>_xlfn.XLOOKUP(CustomerCombined[[#This Row],[ID]], Table2[ID],Table2[Complaint], "Not Found", 0 )</f>
        <v>0</v>
      </c>
      <c r="X1857" s="8">
        <f>_xlfn.XLOOKUP(CustomerCombined[[#This Row],[ID]], Table2[ID],Table2[Pilot], "Not Found", 0 )</f>
        <v>0</v>
      </c>
      <c r="Y1857" s="8">
        <f>_xlfn.XLOOKUP(CustomerCombined[[#This Row],[ID]], Table2[ID],Table2[MC1], "Not Found", 0 )</f>
        <v>0</v>
      </c>
      <c r="Z1857" s="8">
        <f>_xlfn.XLOOKUP(CustomerCombined[[#This Row],[ID]], Table2[ID],Table2[MC2], "Not Found", 0 )</f>
        <v>0</v>
      </c>
      <c r="AA1857" s="8">
        <f>_xlfn.XLOOKUP(CustomerCombined[[#This Row],[ID]], Table2[ID],Table2[MC3], "Not Found", 0 )</f>
        <v>0</v>
      </c>
      <c r="AB1857" s="8">
        <f>_xlfn.XLOOKUP(CustomerCombined[[#This Row],[ID]], Table2[ID],Table2[MC4], "Not Found", 0 )</f>
        <v>0</v>
      </c>
      <c r="AC1857" s="8">
        <f>_xlfn.XLOOKUP(CustomerCombined[[#This Row],[ID]], Table2[ID],Table2[MC5], "Not Found", 0 )</f>
        <v>0</v>
      </c>
    </row>
    <row r="1858" spans="1:29" x14ac:dyDescent="0.3">
      <c r="A1858" s="6">
        <v>2049</v>
      </c>
      <c r="B1858" s="6">
        <v>122304</v>
      </c>
      <c r="C1858" s="6">
        <v>0</v>
      </c>
      <c r="D1858" s="6">
        <v>0</v>
      </c>
      <c r="E1858" s="6">
        <v>64</v>
      </c>
      <c r="F1858" s="5" t="s">
        <v>5</v>
      </c>
      <c r="G1858" s="5" t="s">
        <v>11</v>
      </c>
      <c r="H1858" s="3">
        <v>43709</v>
      </c>
      <c r="I1858" s="5" t="s">
        <v>435</v>
      </c>
      <c r="J1858" s="5">
        <f>_xlfn.XLOOKUP(CustomerCombined[[#This Row],[ID]], Table4[ID], Table4[Recency], "Not Found", 0)</f>
        <v>91</v>
      </c>
      <c r="K1858" s="5">
        <f>_xlfn.XLOOKUP(CustomerCombined[[#This Row],[ID]], Table4[ID], Table4[Teas], "Not Found", 0)</f>
        <v>16</v>
      </c>
      <c r="L1858" s="5">
        <f>_xlfn.XLOOKUP(CustomerCombined[[#This Row],[ID]], Table4[ID], Table4[Fruits], "Not Found", 0)</f>
        <v>11</v>
      </c>
      <c r="M1858" s="5">
        <f>_xlfn.XLOOKUP(CustomerCombined[[#This Row],[ID]], Table4[ID], Table4[Meats], "Not Found", 0)</f>
        <v>38</v>
      </c>
      <c r="N1858" s="5">
        <f>_xlfn.XLOOKUP(CustomerCombined[[#This Row],[ID]], Table4[ID], Table4[Seafood], "Not Found", 0)</f>
        <v>0</v>
      </c>
      <c r="O1858" s="5">
        <f>_xlfn.XLOOKUP(CustomerCombined[[#This Row],[ID]], Table4[ID], Table4[Sweets], "Not Found", 0)</f>
        <v>22</v>
      </c>
      <c r="P1858" s="5">
        <f>_xlfn.XLOOKUP(CustomerCombined[[#This Row],[ID]], Table4[ID], Table4[Premium], "Not Found", 0)</f>
        <v>11</v>
      </c>
      <c r="Q1858" s="5">
        <f>_xlfn.XLOOKUP(CustomerCombined[[#This Row],[ID]], Table4[ID], Table4[Regular], "Not Found", 0)</f>
        <v>77</v>
      </c>
      <c r="R1858" s="5">
        <f>_xlfn.XLOOKUP(CustomerCombined[[#This Row],[ID]], Table4[ID], Table4[Deals], "Not Found", 0)</f>
        <v>1</v>
      </c>
      <c r="S1858" s="5">
        <f>_xlfn.XLOOKUP(CustomerCombined[[#This Row],[ID]], Table4[ID], Table4[Website], "Not Found", 0)</f>
        <v>1</v>
      </c>
      <c r="T1858" s="5">
        <f>_xlfn.XLOOKUP(CustomerCombined[[#This Row],[ID]], Table4[ID], Table4[Catalog], "Not Found", 0)</f>
        <v>0</v>
      </c>
      <c r="U1858" s="5">
        <f>_xlfn.XLOOKUP(CustomerCombined[[#This Row],[ID]], Table4[ID], Table4[Store], "Not Found", 0)</f>
        <v>2</v>
      </c>
      <c r="V1858" s="5">
        <f>_xlfn.XLOOKUP(CustomerCombined[[#This Row],[ID]], Table4[ID], Table4[Visits], "Not Found", 0)</f>
        <v>8</v>
      </c>
      <c r="W1858" s="8">
        <f>_xlfn.XLOOKUP(CustomerCombined[[#This Row],[ID]], Table2[ID],Table2[Complaint], "Not Found", 0 )</f>
        <v>0</v>
      </c>
      <c r="X1858" s="8">
        <f>_xlfn.XLOOKUP(CustomerCombined[[#This Row],[ID]], Table2[ID],Table2[Pilot], "Not Found", 0 )</f>
        <v>0</v>
      </c>
      <c r="Y1858" s="8">
        <f>_xlfn.XLOOKUP(CustomerCombined[[#This Row],[ID]], Table2[ID],Table2[MC1], "Not Found", 0 )</f>
        <v>0</v>
      </c>
      <c r="Z1858" s="8">
        <f>_xlfn.XLOOKUP(CustomerCombined[[#This Row],[ID]], Table2[ID],Table2[MC2], "Not Found", 0 )</f>
        <v>0</v>
      </c>
      <c r="AA1858" s="8">
        <f>_xlfn.XLOOKUP(CustomerCombined[[#This Row],[ID]], Table2[ID],Table2[MC3], "Not Found", 0 )</f>
        <v>0</v>
      </c>
      <c r="AB1858" s="8">
        <f>_xlfn.XLOOKUP(CustomerCombined[[#This Row],[ID]], Table2[ID],Table2[MC4], "Not Found", 0 )</f>
        <v>0</v>
      </c>
      <c r="AC1858" s="8">
        <f>_xlfn.XLOOKUP(CustomerCombined[[#This Row],[ID]], Table2[ID],Table2[MC5], "Not Found", 0 )</f>
        <v>0</v>
      </c>
    </row>
    <row r="1859" spans="1:29" x14ac:dyDescent="0.3">
      <c r="A1859" s="6">
        <v>2271</v>
      </c>
      <c r="B1859" s="6">
        <v>115759</v>
      </c>
      <c r="C1859" s="6">
        <v>0</v>
      </c>
      <c r="D1859" s="6">
        <v>0</v>
      </c>
      <c r="E1859" s="6">
        <v>64</v>
      </c>
      <c r="F1859" s="5" t="s">
        <v>6</v>
      </c>
      <c r="G1859" s="5" t="s">
        <v>11</v>
      </c>
      <c r="H1859" s="3">
        <v>44106</v>
      </c>
      <c r="I1859" s="5" t="s">
        <v>435</v>
      </c>
      <c r="J1859" s="5">
        <f>_xlfn.XLOOKUP(CustomerCombined[[#This Row],[ID]], Table4[ID], Table4[Recency], "Not Found", 0)</f>
        <v>12</v>
      </c>
      <c r="K1859" s="5">
        <f>_xlfn.XLOOKUP(CustomerCombined[[#This Row],[ID]], Table4[ID], Table4[Teas], "Not Found", 0)</f>
        <v>7</v>
      </c>
      <c r="L1859" s="5">
        <f>_xlfn.XLOOKUP(CustomerCombined[[#This Row],[ID]], Table4[ID], Table4[Fruits], "Not Found", 0)</f>
        <v>15</v>
      </c>
      <c r="M1859" s="5">
        <f>_xlfn.XLOOKUP(CustomerCombined[[#This Row],[ID]], Table4[ID], Table4[Meats], "Not Found", 0)</f>
        <v>37</v>
      </c>
      <c r="N1859" s="5">
        <f>_xlfn.XLOOKUP(CustomerCombined[[#This Row],[ID]], Table4[ID], Table4[Seafood], "Not Found", 0)</f>
        <v>44</v>
      </c>
      <c r="O1859" s="5">
        <f>_xlfn.XLOOKUP(CustomerCombined[[#This Row],[ID]], Table4[ID], Table4[Sweets], "Not Found", 0)</f>
        <v>0</v>
      </c>
      <c r="P1859" s="5">
        <f>_xlfn.XLOOKUP(CustomerCombined[[#This Row],[ID]], Table4[ID], Table4[Premium], "Not Found", 0)</f>
        <v>22</v>
      </c>
      <c r="Q1859" s="5">
        <f>_xlfn.XLOOKUP(CustomerCombined[[#This Row],[ID]], Table4[ID], Table4[Regular], "Not Found", 0)</f>
        <v>81</v>
      </c>
      <c r="R1859" s="5">
        <f>_xlfn.XLOOKUP(CustomerCombined[[#This Row],[ID]], Table4[ID], Table4[Deals], "Not Found", 0)</f>
        <v>1</v>
      </c>
      <c r="S1859" s="5">
        <f>_xlfn.XLOOKUP(CustomerCombined[[#This Row],[ID]], Table4[ID], Table4[Website], "Not Found", 0)</f>
        <v>1</v>
      </c>
      <c r="T1859" s="5">
        <f>_xlfn.XLOOKUP(CustomerCombined[[#This Row],[ID]], Table4[ID], Table4[Catalog], "Not Found", 0)</f>
        <v>0</v>
      </c>
      <c r="U1859" s="5">
        <f>_xlfn.XLOOKUP(CustomerCombined[[#This Row],[ID]], Table4[ID], Table4[Store], "Not Found", 0)</f>
        <v>2</v>
      </c>
      <c r="V1859" s="5">
        <f>_xlfn.XLOOKUP(CustomerCombined[[#This Row],[ID]], Table4[ID], Table4[Visits], "Not Found", 0)</f>
        <v>7</v>
      </c>
      <c r="W1859" s="8">
        <f>_xlfn.XLOOKUP(CustomerCombined[[#This Row],[ID]], Table2[ID],Table2[Complaint], "Not Found", 0 )</f>
        <v>0</v>
      </c>
      <c r="X1859" s="8">
        <f>_xlfn.XLOOKUP(CustomerCombined[[#This Row],[ID]], Table2[ID],Table2[Pilot], "Not Found", 0 )</f>
        <v>0</v>
      </c>
      <c r="Y1859" s="8">
        <f>_xlfn.XLOOKUP(CustomerCombined[[#This Row],[ID]], Table2[ID],Table2[MC1], "Not Found", 0 )</f>
        <v>0</v>
      </c>
      <c r="Z1859" s="8">
        <f>_xlfn.XLOOKUP(CustomerCombined[[#This Row],[ID]], Table2[ID],Table2[MC2], "Not Found", 0 )</f>
        <v>0</v>
      </c>
      <c r="AA1859" s="8">
        <f>_xlfn.XLOOKUP(CustomerCombined[[#This Row],[ID]], Table2[ID],Table2[MC3], "Not Found", 0 )</f>
        <v>0</v>
      </c>
      <c r="AB1859" s="8">
        <f>_xlfn.XLOOKUP(CustomerCombined[[#This Row],[ID]], Table2[ID],Table2[MC4], "Not Found", 0 )</f>
        <v>0</v>
      </c>
      <c r="AC1859" s="8">
        <f>_xlfn.XLOOKUP(CustomerCombined[[#This Row],[ID]], Table2[ID],Table2[MC5], "Not Found", 0 )</f>
        <v>0</v>
      </c>
    </row>
    <row r="1860" spans="1:29" x14ac:dyDescent="0.3">
      <c r="A1860" s="6">
        <v>1646</v>
      </c>
      <c r="B1860" s="6">
        <v>114661</v>
      </c>
      <c r="C1860" s="6">
        <v>0</v>
      </c>
      <c r="D1860" s="6">
        <v>0</v>
      </c>
      <c r="E1860" s="6">
        <v>64</v>
      </c>
      <c r="F1860" s="5" t="s">
        <v>8</v>
      </c>
      <c r="G1860" s="5" t="s">
        <v>12</v>
      </c>
      <c r="H1860" s="3">
        <v>43683</v>
      </c>
      <c r="I1860" s="5" t="s">
        <v>438</v>
      </c>
      <c r="J1860" s="5">
        <f>_xlfn.XLOOKUP(CustomerCombined[[#This Row],[ID]], Table4[ID], Table4[Recency], "Not Found", 0)</f>
        <v>88</v>
      </c>
      <c r="K1860" s="5">
        <f>_xlfn.XLOOKUP(CustomerCombined[[#This Row],[ID]], Table4[ID], Table4[Teas], "Not Found", 0)</f>
        <v>31</v>
      </c>
      <c r="L1860" s="5">
        <f>_xlfn.XLOOKUP(CustomerCombined[[#This Row],[ID]], Table4[ID], Table4[Fruits], "Not Found", 0)</f>
        <v>8</v>
      </c>
      <c r="M1860" s="5">
        <f>_xlfn.XLOOKUP(CustomerCombined[[#This Row],[ID]], Table4[ID], Table4[Meats], "Not Found", 0)</f>
        <v>86</v>
      </c>
      <c r="N1860" s="5">
        <f>_xlfn.XLOOKUP(CustomerCombined[[#This Row],[ID]], Table4[ID], Table4[Seafood], "Not Found", 0)</f>
        <v>47</v>
      </c>
      <c r="O1860" s="5">
        <f>_xlfn.XLOOKUP(CustomerCombined[[#This Row],[ID]], Table4[ID], Table4[Sweets], "Not Found", 0)</f>
        <v>16</v>
      </c>
      <c r="P1860" s="5">
        <f>_xlfn.XLOOKUP(CustomerCombined[[#This Row],[ID]], Table4[ID], Table4[Premium], "Not Found", 0)</f>
        <v>16</v>
      </c>
      <c r="Q1860" s="5">
        <f>_xlfn.XLOOKUP(CustomerCombined[[#This Row],[ID]], Table4[ID], Table4[Regular], "Not Found", 0)</f>
        <v>172</v>
      </c>
      <c r="R1860" s="5">
        <f>_xlfn.XLOOKUP(CustomerCombined[[#This Row],[ID]], Table4[ID], Table4[Deals], "Not Found", 0)</f>
        <v>1</v>
      </c>
      <c r="S1860" s="5">
        <f>_xlfn.XLOOKUP(CustomerCombined[[#This Row],[ID]], Table4[ID], Table4[Website], "Not Found", 0)</f>
        <v>1</v>
      </c>
      <c r="T1860" s="5">
        <f>_xlfn.XLOOKUP(CustomerCombined[[#This Row],[ID]], Table4[ID], Table4[Catalog], "Not Found", 0)</f>
        <v>0</v>
      </c>
      <c r="U1860" s="5">
        <f>_xlfn.XLOOKUP(CustomerCombined[[#This Row],[ID]], Table4[ID], Table4[Store], "Not Found", 0)</f>
        <v>3</v>
      </c>
      <c r="V1860" s="5">
        <f>_xlfn.XLOOKUP(CustomerCombined[[#This Row],[ID]], Table4[ID], Table4[Visits], "Not Found", 0)</f>
        <v>6</v>
      </c>
      <c r="W1860" s="8">
        <f>_xlfn.XLOOKUP(CustomerCombined[[#This Row],[ID]], Table2[ID],Table2[Complaint], "Not Found", 0 )</f>
        <v>0</v>
      </c>
      <c r="X1860" s="8">
        <f>_xlfn.XLOOKUP(CustomerCombined[[#This Row],[ID]], Table2[ID],Table2[Pilot], "Not Found", 0 )</f>
        <v>0</v>
      </c>
      <c r="Y1860" s="8">
        <f>_xlfn.XLOOKUP(CustomerCombined[[#This Row],[ID]], Table2[ID],Table2[MC1], "Not Found", 0 )</f>
        <v>0</v>
      </c>
      <c r="Z1860" s="8">
        <f>_xlfn.XLOOKUP(CustomerCombined[[#This Row],[ID]], Table2[ID],Table2[MC2], "Not Found", 0 )</f>
        <v>0</v>
      </c>
      <c r="AA1860" s="8">
        <f>_xlfn.XLOOKUP(CustomerCombined[[#This Row],[ID]], Table2[ID],Table2[MC3], "Not Found", 0 )</f>
        <v>0</v>
      </c>
      <c r="AB1860" s="8">
        <f>_xlfn.XLOOKUP(CustomerCombined[[#This Row],[ID]], Table2[ID],Table2[MC4], "Not Found", 0 )</f>
        <v>0</v>
      </c>
      <c r="AC1860" s="8">
        <f>_xlfn.XLOOKUP(CustomerCombined[[#This Row],[ID]], Table2[ID],Table2[MC5], "Not Found", 0 )</f>
        <v>0</v>
      </c>
    </row>
    <row r="1861" spans="1:29" x14ac:dyDescent="0.3">
      <c r="A1861" s="6">
        <v>1052</v>
      </c>
      <c r="B1861" s="6">
        <v>182384</v>
      </c>
      <c r="C1861" s="6">
        <v>0</v>
      </c>
      <c r="D1861" s="6">
        <v>0</v>
      </c>
      <c r="E1861" s="6">
        <v>65</v>
      </c>
      <c r="F1861" s="5" t="s">
        <v>8</v>
      </c>
      <c r="G1861" s="5" t="s">
        <v>12</v>
      </c>
      <c r="H1861" s="3" t="s">
        <v>357</v>
      </c>
      <c r="I1861" s="5" t="s">
        <v>438</v>
      </c>
      <c r="J1861" s="5">
        <f>_xlfn.XLOOKUP(CustomerCombined[[#This Row],[ID]], Table4[ID], Table4[Recency], "Not Found", 0)</f>
        <v>55</v>
      </c>
      <c r="K1861" s="5">
        <f>_xlfn.XLOOKUP(CustomerCombined[[#This Row],[ID]], Table4[ID], Table4[Teas], "Not Found", 0)</f>
        <v>2178</v>
      </c>
      <c r="L1861" s="5">
        <f>_xlfn.XLOOKUP(CustomerCombined[[#This Row],[ID]], Table4[ID], Table4[Fruits], "Not Found", 0)</f>
        <v>113</v>
      </c>
      <c r="M1861" s="5">
        <f>_xlfn.XLOOKUP(CustomerCombined[[#This Row],[ID]], Table4[ID], Table4[Meats], "Not Found", 0)</f>
        <v>956</v>
      </c>
      <c r="N1861" s="5">
        <f>_xlfn.XLOOKUP(CustomerCombined[[#This Row],[ID]], Table4[ID], Table4[Seafood], "Not Found", 0)</f>
        <v>398</v>
      </c>
      <c r="O1861" s="5">
        <f>_xlfn.XLOOKUP(CustomerCombined[[#This Row],[ID]], Table4[ID], Table4[Sweets], "Not Found", 0)</f>
        <v>266</v>
      </c>
      <c r="P1861" s="5">
        <f>_xlfn.XLOOKUP(CustomerCombined[[#This Row],[ID]], Table4[ID], Table4[Premium], "Not Found", 0)</f>
        <v>421</v>
      </c>
      <c r="Q1861" s="5">
        <f>_xlfn.XLOOKUP(CustomerCombined[[#This Row],[ID]], Table4[ID], Table4[Regular], "Not Found", 0)</f>
        <v>3491</v>
      </c>
      <c r="R1861" s="5">
        <f>_xlfn.XLOOKUP(CustomerCombined[[#This Row],[ID]], Table4[ID], Table4[Deals], "Not Found", 0)</f>
        <v>1</v>
      </c>
      <c r="S1861" s="5">
        <f>_xlfn.XLOOKUP(CustomerCombined[[#This Row],[ID]], Table4[ID], Table4[Website], "Not Found", 0)</f>
        <v>3</v>
      </c>
      <c r="T1861" s="5">
        <f>_xlfn.XLOOKUP(CustomerCombined[[#This Row],[ID]], Table4[ID], Table4[Catalog], "Not Found", 0)</f>
        <v>10</v>
      </c>
      <c r="U1861" s="5">
        <f>_xlfn.XLOOKUP(CustomerCombined[[#This Row],[ID]], Table4[ID], Table4[Store], "Not Found", 0)</f>
        <v>13</v>
      </c>
      <c r="V1861" s="5">
        <f>_xlfn.XLOOKUP(CustomerCombined[[#This Row],[ID]], Table4[ID], Table4[Visits], "Not Found", 0)</f>
        <v>1</v>
      </c>
      <c r="W1861" s="8">
        <f>_xlfn.XLOOKUP(CustomerCombined[[#This Row],[ID]], Table2[ID],Table2[Complaint], "Not Found", 0 )</f>
        <v>0</v>
      </c>
      <c r="X1861" s="8">
        <f>_xlfn.XLOOKUP(CustomerCombined[[#This Row],[ID]], Table2[ID],Table2[Pilot], "Not Found", 0 )</f>
        <v>1</v>
      </c>
      <c r="Y1861" s="8">
        <f>_xlfn.XLOOKUP(CustomerCombined[[#This Row],[ID]], Table2[ID],Table2[MC1], "Not Found", 0 )</f>
        <v>0</v>
      </c>
      <c r="Z1861" s="8">
        <f>_xlfn.XLOOKUP(CustomerCombined[[#This Row],[ID]], Table2[ID],Table2[MC2], "Not Found", 0 )</f>
        <v>0</v>
      </c>
      <c r="AA1861" s="8">
        <f>_xlfn.XLOOKUP(CustomerCombined[[#This Row],[ID]], Table2[ID],Table2[MC3], "Not Found", 0 )</f>
        <v>0</v>
      </c>
      <c r="AB1861" s="8">
        <f>_xlfn.XLOOKUP(CustomerCombined[[#This Row],[ID]], Table2[ID],Table2[MC4], "Not Found", 0 )</f>
        <v>0</v>
      </c>
      <c r="AC1861" s="8">
        <f>_xlfn.XLOOKUP(CustomerCombined[[#This Row],[ID]], Table2[ID],Table2[MC5], "Not Found", 0 )</f>
        <v>1</v>
      </c>
    </row>
    <row r="1862" spans="1:29" x14ac:dyDescent="0.3">
      <c r="A1862" s="6">
        <v>1707</v>
      </c>
      <c r="B1862" s="6">
        <v>180395</v>
      </c>
      <c r="C1862" s="6">
        <v>0</v>
      </c>
      <c r="D1862" s="6">
        <v>0</v>
      </c>
      <c r="E1862" s="6">
        <v>65</v>
      </c>
      <c r="F1862" s="5" t="s">
        <v>6</v>
      </c>
      <c r="G1862" s="5" t="s">
        <v>11</v>
      </c>
      <c r="H1862" s="3" t="s">
        <v>142</v>
      </c>
      <c r="I1862" s="5" t="s">
        <v>435</v>
      </c>
      <c r="J1862" s="5">
        <f>_xlfn.XLOOKUP(CustomerCombined[[#This Row],[ID]], Table4[ID], Table4[Recency], "Not Found", 0)</f>
        <v>62</v>
      </c>
      <c r="K1862" s="5">
        <f>_xlfn.XLOOKUP(CustomerCombined[[#This Row],[ID]], Table4[ID], Table4[Teas], "Not Found", 0)</f>
        <v>999</v>
      </c>
      <c r="L1862" s="5">
        <f>_xlfn.XLOOKUP(CustomerCombined[[#This Row],[ID]], Table4[ID], Table4[Fruits], "Not Found", 0)</f>
        <v>56</v>
      </c>
      <c r="M1862" s="5">
        <f>_xlfn.XLOOKUP(CustomerCombined[[#This Row],[ID]], Table4[ID], Table4[Meats], "Not Found", 0)</f>
        <v>1584</v>
      </c>
      <c r="N1862" s="5">
        <f>_xlfn.XLOOKUP(CustomerCombined[[#This Row],[ID]], Table4[ID], Table4[Seafood], "Not Found", 0)</f>
        <v>180</v>
      </c>
      <c r="O1862" s="5">
        <f>_xlfn.XLOOKUP(CustomerCombined[[#This Row],[ID]], Table4[ID], Table4[Sweets], "Not Found", 0)</f>
        <v>171</v>
      </c>
      <c r="P1862" s="5">
        <f>_xlfn.XLOOKUP(CustomerCombined[[#This Row],[ID]], Table4[ID], Table4[Premium], "Not Found", 0)</f>
        <v>108</v>
      </c>
      <c r="Q1862" s="5">
        <f>_xlfn.XLOOKUP(CustomerCombined[[#This Row],[ID]], Table4[ID], Table4[Regular], "Not Found", 0)</f>
        <v>2881</v>
      </c>
      <c r="R1862" s="5">
        <f>_xlfn.XLOOKUP(CustomerCombined[[#This Row],[ID]], Table4[ID], Table4[Deals], "Not Found", 0)</f>
        <v>1</v>
      </c>
      <c r="S1862" s="5">
        <f>_xlfn.XLOOKUP(CustomerCombined[[#This Row],[ID]], Table4[ID], Table4[Website], "Not Found", 0)</f>
        <v>6</v>
      </c>
      <c r="T1862" s="5">
        <f>_xlfn.XLOOKUP(CustomerCombined[[#This Row],[ID]], Table4[ID], Table4[Catalog], "Not Found", 0)</f>
        <v>5</v>
      </c>
      <c r="U1862" s="5">
        <f>_xlfn.XLOOKUP(CustomerCombined[[#This Row],[ID]], Table4[ID], Table4[Store], "Not Found", 0)</f>
        <v>12</v>
      </c>
      <c r="V1862" s="5">
        <f>_xlfn.XLOOKUP(CustomerCombined[[#This Row],[ID]], Table4[ID], Table4[Visits], "Not Found", 0)</f>
        <v>2</v>
      </c>
      <c r="W1862" s="8">
        <f>_xlfn.XLOOKUP(CustomerCombined[[#This Row],[ID]], Table2[ID],Table2[Complaint], "Not Found", 0 )</f>
        <v>0</v>
      </c>
      <c r="X1862" s="8">
        <f>_xlfn.XLOOKUP(CustomerCombined[[#This Row],[ID]], Table2[ID],Table2[Pilot], "Not Found", 0 )</f>
        <v>0</v>
      </c>
      <c r="Y1862" s="8">
        <f>_xlfn.XLOOKUP(CustomerCombined[[#This Row],[ID]], Table2[ID],Table2[MC1], "Not Found", 0 )</f>
        <v>1</v>
      </c>
      <c r="Z1862" s="8">
        <f>_xlfn.XLOOKUP(CustomerCombined[[#This Row],[ID]], Table2[ID],Table2[MC2], "Not Found", 0 )</f>
        <v>0</v>
      </c>
      <c r="AA1862" s="8">
        <f>_xlfn.XLOOKUP(CustomerCombined[[#This Row],[ID]], Table2[ID],Table2[MC3], "Not Found", 0 )</f>
        <v>0</v>
      </c>
      <c r="AB1862" s="8">
        <f>_xlfn.XLOOKUP(CustomerCombined[[#This Row],[ID]], Table2[ID],Table2[MC4], "Not Found", 0 )</f>
        <v>0</v>
      </c>
      <c r="AC1862" s="8">
        <f>_xlfn.XLOOKUP(CustomerCombined[[#This Row],[ID]], Table2[ID],Table2[MC5], "Not Found", 0 )</f>
        <v>0</v>
      </c>
    </row>
    <row r="1863" spans="1:29" x14ac:dyDescent="0.3">
      <c r="A1863" s="6">
        <v>1149</v>
      </c>
      <c r="B1863" s="6">
        <v>180317</v>
      </c>
      <c r="C1863" s="6">
        <v>0</v>
      </c>
      <c r="D1863" s="6">
        <v>0</v>
      </c>
      <c r="E1863" s="6">
        <v>65</v>
      </c>
      <c r="F1863" s="5" t="s">
        <v>7</v>
      </c>
      <c r="G1863" s="5" t="s">
        <v>11</v>
      </c>
      <c r="H1863" s="3" t="s">
        <v>197</v>
      </c>
      <c r="I1863" s="5" t="s">
        <v>435</v>
      </c>
      <c r="J1863" s="5">
        <f>_xlfn.XLOOKUP(CustomerCombined[[#This Row],[ID]], Table4[ID], Table4[Recency], "Not Found", 0)</f>
        <v>64</v>
      </c>
      <c r="K1863" s="5">
        <f>_xlfn.XLOOKUP(CustomerCombined[[#This Row],[ID]], Table4[ID], Table4[Teas], "Not Found", 0)</f>
        <v>1203</v>
      </c>
      <c r="L1863" s="5">
        <f>_xlfn.XLOOKUP(CustomerCombined[[#This Row],[ID]], Table4[ID], Table4[Fruits], "Not Found", 0)</f>
        <v>25</v>
      </c>
      <c r="M1863" s="5">
        <f>_xlfn.XLOOKUP(CustomerCombined[[#This Row],[ID]], Table4[ID], Table4[Meats], "Not Found", 0)</f>
        <v>869</v>
      </c>
      <c r="N1863" s="5">
        <f>_xlfn.XLOOKUP(CustomerCombined[[#This Row],[ID]], Table4[ID], Table4[Seafood], "Not Found", 0)</f>
        <v>335</v>
      </c>
      <c r="O1863" s="5">
        <f>_xlfn.XLOOKUP(CustomerCombined[[#This Row],[ID]], Table4[ID], Table4[Sweets], "Not Found", 0)</f>
        <v>204</v>
      </c>
      <c r="P1863" s="5">
        <f>_xlfn.XLOOKUP(CustomerCombined[[#This Row],[ID]], Table4[ID], Table4[Premium], "Not Found", 0)</f>
        <v>128</v>
      </c>
      <c r="Q1863" s="5">
        <f>_xlfn.XLOOKUP(CustomerCombined[[#This Row],[ID]], Table4[ID], Table4[Regular], "Not Found", 0)</f>
        <v>2508</v>
      </c>
      <c r="R1863" s="5">
        <f>_xlfn.XLOOKUP(CustomerCombined[[#This Row],[ID]], Table4[ID], Table4[Deals], "Not Found", 0)</f>
        <v>1</v>
      </c>
      <c r="S1863" s="5">
        <f>_xlfn.XLOOKUP(CustomerCombined[[#This Row],[ID]], Table4[ID], Table4[Website], "Not Found", 0)</f>
        <v>3</v>
      </c>
      <c r="T1863" s="5">
        <f>_xlfn.XLOOKUP(CustomerCombined[[#This Row],[ID]], Table4[ID], Table4[Catalog], "Not Found", 0)</f>
        <v>4</v>
      </c>
      <c r="U1863" s="5">
        <f>_xlfn.XLOOKUP(CustomerCombined[[#This Row],[ID]], Table4[ID], Table4[Store], "Not Found", 0)</f>
        <v>10</v>
      </c>
      <c r="V1863" s="5">
        <f>_xlfn.XLOOKUP(CustomerCombined[[#This Row],[ID]], Table4[ID], Table4[Visits], "Not Found", 0)</f>
        <v>1</v>
      </c>
      <c r="W1863" s="8">
        <f>_xlfn.XLOOKUP(CustomerCombined[[#This Row],[ID]], Table2[ID],Table2[Complaint], "Not Found", 0 )</f>
        <v>0</v>
      </c>
      <c r="X1863" s="8">
        <f>_xlfn.XLOOKUP(CustomerCombined[[#This Row],[ID]], Table2[ID],Table2[Pilot], "Not Found", 0 )</f>
        <v>0</v>
      </c>
      <c r="Y1863" s="8">
        <f>_xlfn.XLOOKUP(CustomerCombined[[#This Row],[ID]], Table2[ID],Table2[MC1], "Not Found", 0 )</f>
        <v>0</v>
      </c>
      <c r="Z1863" s="8">
        <f>_xlfn.XLOOKUP(CustomerCombined[[#This Row],[ID]], Table2[ID],Table2[MC2], "Not Found", 0 )</f>
        <v>0</v>
      </c>
      <c r="AA1863" s="8">
        <f>_xlfn.XLOOKUP(CustomerCombined[[#This Row],[ID]], Table2[ID],Table2[MC3], "Not Found", 0 )</f>
        <v>0</v>
      </c>
      <c r="AB1863" s="8">
        <f>_xlfn.XLOOKUP(CustomerCombined[[#This Row],[ID]], Table2[ID],Table2[MC4], "Not Found", 0 )</f>
        <v>0</v>
      </c>
      <c r="AC1863" s="8">
        <f>_xlfn.XLOOKUP(CustomerCombined[[#This Row],[ID]], Table2[ID],Table2[MC5], "Not Found", 0 )</f>
        <v>0</v>
      </c>
    </row>
    <row r="1864" spans="1:29" x14ac:dyDescent="0.3">
      <c r="A1864" s="6">
        <v>1570</v>
      </c>
      <c r="B1864" s="6">
        <v>179800</v>
      </c>
      <c r="C1864" s="6">
        <v>0</v>
      </c>
      <c r="D1864" s="6">
        <v>0</v>
      </c>
      <c r="E1864" s="6">
        <v>65</v>
      </c>
      <c r="F1864" s="5" t="s">
        <v>9</v>
      </c>
      <c r="G1864" s="5" t="s">
        <v>11</v>
      </c>
      <c r="H1864" s="3" t="s">
        <v>388</v>
      </c>
      <c r="I1864" s="5" t="s">
        <v>439</v>
      </c>
      <c r="J1864" s="5">
        <f>_xlfn.XLOOKUP(CustomerCombined[[#This Row],[ID]], Table4[ID], Table4[Recency], "Not Found", 0)</f>
        <v>65</v>
      </c>
      <c r="K1864" s="5">
        <f>_xlfn.XLOOKUP(CustomerCombined[[#This Row],[ID]], Table4[ID], Table4[Teas], "Not Found", 0)</f>
        <v>2388</v>
      </c>
      <c r="L1864" s="5">
        <f>_xlfn.XLOOKUP(CustomerCombined[[#This Row],[ID]], Table4[ID], Table4[Fruits], "Not Found", 0)</f>
        <v>47</v>
      </c>
      <c r="M1864" s="5">
        <f>_xlfn.XLOOKUP(CustomerCombined[[#This Row],[ID]], Table4[ID], Table4[Meats], "Not Found", 0)</f>
        <v>1194</v>
      </c>
      <c r="N1864" s="5">
        <f>_xlfn.XLOOKUP(CustomerCombined[[#This Row],[ID]], Table4[ID], Table4[Seafood], "Not Found", 0)</f>
        <v>72</v>
      </c>
      <c r="O1864" s="5">
        <f>_xlfn.XLOOKUP(CustomerCombined[[#This Row],[ID]], Table4[ID], Table4[Sweets], "Not Found", 0)</f>
        <v>0</v>
      </c>
      <c r="P1864" s="5">
        <f>_xlfn.XLOOKUP(CustomerCombined[[#This Row],[ID]], Table4[ID], Table4[Premium], "Not Found", 0)</f>
        <v>505</v>
      </c>
      <c r="Q1864" s="5">
        <f>_xlfn.XLOOKUP(CustomerCombined[[#This Row],[ID]], Table4[ID], Table4[Regular], "Not Found", 0)</f>
        <v>3197</v>
      </c>
      <c r="R1864" s="5">
        <f>_xlfn.XLOOKUP(CustomerCombined[[#This Row],[ID]], Table4[ID], Table4[Deals], "Not Found", 0)</f>
        <v>1</v>
      </c>
      <c r="S1864" s="5">
        <f>_xlfn.XLOOKUP(CustomerCombined[[#This Row],[ID]], Table4[ID], Table4[Website], "Not Found", 0)</f>
        <v>5</v>
      </c>
      <c r="T1864" s="5">
        <f>_xlfn.XLOOKUP(CustomerCombined[[#This Row],[ID]], Table4[ID], Table4[Catalog], "Not Found", 0)</f>
        <v>11</v>
      </c>
      <c r="U1864" s="5">
        <f>_xlfn.XLOOKUP(CustomerCombined[[#This Row],[ID]], Table4[ID], Table4[Store], "Not Found", 0)</f>
        <v>5</v>
      </c>
      <c r="V1864" s="5">
        <f>_xlfn.XLOOKUP(CustomerCombined[[#This Row],[ID]], Table4[ID], Table4[Visits], "Not Found", 0)</f>
        <v>3</v>
      </c>
      <c r="W1864" s="8">
        <f>_xlfn.XLOOKUP(CustomerCombined[[#This Row],[ID]], Table2[ID],Table2[Complaint], "Not Found", 0 )</f>
        <v>0</v>
      </c>
      <c r="X1864" s="8">
        <f>_xlfn.XLOOKUP(CustomerCombined[[#This Row],[ID]], Table2[ID],Table2[Pilot], "Not Found", 0 )</f>
        <v>1</v>
      </c>
      <c r="Y1864" s="8">
        <f>_xlfn.XLOOKUP(CustomerCombined[[#This Row],[ID]], Table2[ID],Table2[MC1], "Not Found", 0 )</f>
        <v>1</v>
      </c>
      <c r="Z1864" s="8">
        <f>_xlfn.XLOOKUP(CustomerCombined[[#This Row],[ID]], Table2[ID],Table2[MC2], "Not Found", 0 )</f>
        <v>0</v>
      </c>
      <c r="AA1864" s="8">
        <f>_xlfn.XLOOKUP(CustomerCombined[[#This Row],[ID]], Table2[ID],Table2[MC3], "Not Found", 0 )</f>
        <v>1</v>
      </c>
      <c r="AB1864" s="8">
        <f>_xlfn.XLOOKUP(CustomerCombined[[#This Row],[ID]], Table2[ID],Table2[MC4], "Not Found", 0 )</f>
        <v>0</v>
      </c>
      <c r="AC1864" s="8">
        <f>_xlfn.XLOOKUP(CustomerCombined[[#This Row],[ID]], Table2[ID],Table2[MC5], "Not Found", 0 )</f>
        <v>1</v>
      </c>
    </row>
    <row r="1865" spans="1:29" x14ac:dyDescent="0.3">
      <c r="A1865" s="6">
        <v>2464</v>
      </c>
      <c r="B1865" s="6">
        <v>176998</v>
      </c>
      <c r="C1865" s="6">
        <v>0</v>
      </c>
      <c r="D1865" s="6">
        <v>1</v>
      </c>
      <c r="E1865" s="6">
        <v>65</v>
      </c>
      <c r="F1865" s="5" t="s">
        <v>6</v>
      </c>
      <c r="G1865" s="5" t="s">
        <v>11</v>
      </c>
      <c r="H1865" s="3" t="s">
        <v>329</v>
      </c>
      <c r="I1865" s="5" t="s">
        <v>439</v>
      </c>
      <c r="J1865" s="5">
        <f>_xlfn.XLOOKUP(CustomerCombined[[#This Row],[ID]], Table4[ID], Table4[Recency], "Not Found", 0)</f>
        <v>85</v>
      </c>
      <c r="K1865" s="5">
        <f>_xlfn.XLOOKUP(CustomerCombined[[#This Row],[ID]], Table4[ID], Table4[Teas], "Not Found", 0)</f>
        <v>3331</v>
      </c>
      <c r="L1865" s="5">
        <f>_xlfn.XLOOKUP(CustomerCombined[[#This Row],[ID]], Table4[ID], Table4[Fruits], "Not Found", 0)</f>
        <v>205</v>
      </c>
      <c r="M1865" s="5">
        <f>_xlfn.XLOOKUP(CustomerCombined[[#This Row],[ID]], Table4[ID], Table4[Meats], "Not Found", 0)</f>
        <v>370</v>
      </c>
      <c r="N1865" s="5">
        <f>_xlfn.XLOOKUP(CustomerCombined[[#This Row],[ID]], Table4[ID], Table4[Seafood], "Not Found", 0)</f>
        <v>159</v>
      </c>
      <c r="O1865" s="5">
        <f>_xlfn.XLOOKUP(CustomerCombined[[#This Row],[ID]], Table4[ID], Table4[Sweets], "Not Found", 0)</f>
        <v>80</v>
      </c>
      <c r="P1865" s="5">
        <f>_xlfn.XLOOKUP(CustomerCombined[[#This Row],[ID]], Table4[ID], Table4[Premium], "Not Found", 0)</f>
        <v>246</v>
      </c>
      <c r="Q1865" s="5">
        <f>_xlfn.XLOOKUP(CustomerCombined[[#This Row],[ID]], Table4[ID], Table4[Regular], "Not Found", 0)</f>
        <v>3899</v>
      </c>
      <c r="R1865" s="5">
        <f>_xlfn.XLOOKUP(CustomerCombined[[#This Row],[ID]], Table4[ID], Table4[Deals], "Not Found", 0)</f>
        <v>2</v>
      </c>
      <c r="S1865" s="5">
        <f>_xlfn.XLOOKUP(CustomerCombined[[#This Row],[ID]], Table4[ID], Table4[Website], "Not Found", 0)</f>
        <v>11</v>
      </c>
      <c r="T1865" s="5">
        <f>_xlfn.XLOOKUP(CustomerCombined[[#This Row],[ID]], Table4[ID], Table4[Catalog], "Not Found", 0)</f>
        <v>8</v>
      </c>
      <c r="U1865" s="5">
        <f>_xlfn.XLOOKUP(CustomerCombined[[#This Row],[ID]], Table4[ID], Table4[Store], "Not Found", 0)</f>
        <v>8</v>
      </c>
      <c r="V1865" s="5">
        <f>_xlfn.XLOOKUP(CustomerCombined[[#This Row],[ID]], Table4[ID], Table4[Visits], "Not Found", 0)</f>
        <v>6</v>
      </c>
      <c r="W1865" s="8">
        <f>_xlfn.XLOOKUP(CustomerCombined[[#This Row],[ID]], Table2[ID],Table2[Complaint], "Not Found", 0 )</f>
        <v>0</v>
      </c>
      <c r="X1865" s="8">
        <f>_xlfn.XLOOKUP(CustomerCombined[[#This Row],[ID]], Table2[ID],Table2[Pilot], "Not Found", 0 )</f>
        <v>0</v>
      </c>
      <c r="Y1865" s="8">
        <f>_xlfn.XLOOKUP(CustomerCombined[[#This Row],[ID]], Table2[ID],Table2[MC1], "Not Found", 0 )</f>
        <v>0</v>
      </c>
      <c r="Z1865" s="8">
        <f>_xlfn.XLOOKUP(CustomerCombined[[#This Row],[ID]], Table2[ID],Table2[MC2], "Not Found", 0 )</f>
        <v>0</v>
      </c>
      <c r="AA1865" s="8">
        <f>_xlfn.XLOOKUP(CustomerCombined[[#This Row],[ID]], Table2[ID],Table2[MC3], "Not Found", 0 )</f>
        <v>0</v>
      </c>
      <c r="AB1865" s="8">
        <f>_xlfn.XLOOKUP(CustomerCombined[[#This Row],[ID]], Table2[ID],Table2[MC4], "Not Found", 0 )</f>
        <v>0</v>
      </c>
      <c r="AC1865" s="8">
        <f>_xlfn.XLOOKUP(CustomerCombined[[#This Row],[ID]], Table2[ID],Table2[MC5], "Not Found", 0 )</f>
        <v>1</v>
      </c>
    </row>
    <row r="1866" spans="1:29" x14ac:dyDescent="0.3">
      <c r="A1866" s="6">
        <v>1476</v>
      </c>
      <c r="B1866" s="6">
        <v>176005</v>
      </c>
      <c r="C1866" s="6">
        <v>0</v>
      </c>
      <c r="D1866" s="6">
        <v>0</v>
      </c>
      <c r="E1866" s="6">
        <v>65</v>
      </c>
      <c r="F1866" s="5" t="s">
        <v>8</v>
      </c>
      <c r="G1866" s="5" t="s">
        <v>11</v>
      </c>
      <c r="H1866" s="3" t="s">
        <v>301</v>
      </c>
      <c r="I1866" s="5" t="s">
        <v>436</v>
      </c>
      <c r="J1866" s="5">
        <f>_xlfn.XLOOKUP(CustomerCombined[[#This Row],[ID]], Table4[ID], Table4[Recency], "Not Found", 0)</f>
        <v>72</v>
      </c>
      <c r="K1866" s="5">
        <f>_xlfn.XLOOKUP(CustomerCombined[[#This Row],[ID]], Table4[ID], Table4[Teas], "Not Found", 0)</f>
        <v>2276</v>
      </c>
      <c r="L1866" s="5">
        <f>_xlfn.XLOOKUP(CustomerCombined[[#This Row],[ID]], Table4[ID], Table4[Fruits], "Not Found", 0)</f>
        <v>46</v>
      </c>
      <c r="M1866" s="5">
        <f>_xlfn.XLOOKUP(CustomerCombined[[#This Row],[ID]], Table4[ID], Table4[Meats], "Not Found", 0)</f>
        <v>901</v>
      </c>
      <c r="N1866" s="5">
        <f>_xlfn.XLOOKUP(CustomerCombined[[#This Row],[ID]], Table4[ID], Table4[Seafood], "Not Found", 0)</f>
        <v>556</v>
      </c>
      <c r="O1866" s="5">
        <f>_xlfn.XLOOKUP(CustomerCombined[[#This Row],[ID]], Table4[ID], Table4[Sweets], "Not Found", 0)</f>
        <v>116</v>
      </c>
      <c r="P1866" s="5">
        <f>_xlfn.XLOOKUP(CustomerCombined[[#This Row],[ID]], Table4[ID], Table4[Premium], "Not Found", 0)</f>
        <v>93</v>
      </c>
      <c r="Q1866" s="5">
        <f>_xlfn.XLOOKUP(CustomerCombined[[#This Row],[ID]], Table4[ID], Table4[Regular], "Not Found", 0)</f>
        <v>3802</v>
      </c>
      <c r="R1866" s="5">
        <f>_xlfn.XLOOKUP(CustomerCombined[[#This Row],[ID]], Table4[ID], Table4[Deals], "Not Found", 0)</f>
        <v>1</v>
      </c>
      <c r="S1866" s="5">
        <f>_xlfn.XLOOKUP(CustomerCombined[[#This Row],[ID]], Table4[ID], Table4[Website], "Not Found", 0)</f>
        <v>3</v>
      </c>
      <c r="T1866" s="5">
        <f>_xlfn.XLOOKUP(CustomerCombined[[#This Row],[ID]], Table4[ID], Table4[Catalog], "Not Found", 0)</f>
        <v>5</v>
      </c>
      <c r="U1866" s="5">
        <f>_xlfn.XLOOKUP(CustomerCombined[[#This Row],[ID]], Table4[ID], Table4[Store], "Not Found", 0)</f>
        <v>13</v>
      </c>
      <c r="V1866" s="5">
        <f>_xlfn.XLOOKUP(CustomerCombined[[#This Row],[ID]], Table4[ID], Table4[Visits], "Not Found", 0)</f>
        <v>6</v>
      </c>
      <c r="W1866" s="8">
        <f>_xlfn.XLOOKUP(CustomerCombined[[#This Row],[ID]], Table2[ID],Table2[Complaint], "Not Found", 0 )</f>
        <v>0</v>
      </c>
      <c r="X1866" s="8">
        <f>_xlfn.XLOOKUP(CustomerCombined[[#This Row],[ID]], Table2[ID],Table2[Pilot], "Not Found", 0 )</f>
        <v>0</v>
      </c>
      <c r="Y1866" s="8">
        <f>_xlfn.XLOOKUP(CustomerCombined[[#This Row],[ID]], Table2[ID],Table2[MC1], "Not Found", 0 )</f>
        <v>1</v>
      </c>
      <c r="Z1866" s="8">
        <f>_xlfn.XLOOKUP(CustomerCombined[[#This Row],[ID]], Table2[ID],Table2[MC2], "Not Found", 0 )</f>
        <v>0</v>
      </c>
      <c r="AA1866" s="8">
        <f>_xlfn.XLOOKUP(CustomerCombined[[#This Row],[ID]], Table2[ID],Table2[MC3], "Not Found", 0 )</f>
        <v>0</v>
      </c>
      <c r="AB1866" s="8">
        <f>_xlfn.XLOOKUP(CustomerCombined[[#This Row],[ID]], Table2[ID],Table2[MC4], "Not Found", 0 )</f>
        <v>0</v>
      </c>
      <c r="AC1866" s="8">
        <f>_xlfn.XLOOKUP(CustomerCombined[[#This Row],[ID]], Table2[ID],Table2[MC5], "Not Found", 0 )</f>
        <v>0</v>
      </c>
    </row>
    <row r="1867" spans="1:29" x14ac:dyDescent="0.3">
      <c r="A1867" s="6">
        <v>1450</v>
      </c>
      <c r="B1867" s="6">
        <v>175261</v>
      </c>
      <c r="C1867" s="6">
        <v>0</v>
      </c>
      <c r="D1867" s="6">
        <v>0</v>
      </c>
      <c r="E1867" s="6">
        <v>65</v>
      </c>
      <c r="F1867" s="5" t="s">
        <v>8</v>
      </c>
      <c r="G1867" s="5" t="s">
        <v>13</v>
      </c>
      <c r="H1867" s="3" t="s">
        <v>266</v>
      </c>
      <c r="I1867" s="5" t="s">
        <v>439</v>
      </c>
      <c r="J1867" s="5">
        <f>_xlfn.XLOOKUP(CustomerCombined[[#This Row],[ID]], Table4[ID], Table4[Recency], "Not Found", 0)</f>
        <v>17</v>
      </c>
      <c r="K1867" s="5">
        <f>_xlfn.XLOOKUP(CustomerCombined[[#This Row],[ID]], Table4[ID], Table4[Teas], "Not Found", 0)</f>
        <v>2885</v>
      </c>
      <c r="L1867" s="5">
        <f>_xlfn.XLOOKUP(CustomerCombined[[#This Row],[ID]], Table4[ID], Table4[Fruits], "Not Found", 0)</f>
        <v>40</v>
      </c>
      <c r="M1867" s="5">
        <f>_xlfn.XLOOKUP(CustomerCombined[[#This Row],[ID]], Table4[ID], Table4[Meats], "Not Found", 0)</f>
        <v>962</v>
      </c>
      <c r="N1867" s="5">
        <f>_xlfn.XLOOKUP(CustomerCombined[[#This Row],[ID]], Table4[ID], Table4[Seafood], "Not Found", 0)</f>
        <v>54</v>
      </c>
      <c r="O1867" s="5">
        <f>_xlfn.XLOOKUP(CustomerCombined[[#This Row],[ID]], Table4[ID], Table4[Sweets], "Not Found", 0)</f>
        <v>79</v>
      </c>
      <c r="P1867" s="5">
        <f>_xlfn.XLOOKUP(CustomerCombined[[#This Row],[ID]], Table4[ID], Table4[Premium], "Not Found", 0)</f>
        <v>40</v>
      </c>
      <c r="Q1867" s="5">
        <f>_xlfn.XLOOKUP(CustomerCombined[[#This Row],[ID]], Table4[ID], Table4[Regular], "Not Found", 0)</f>
        <v>3980</v>
      </c>
      <c r="R1867" s="5">
        <f>_xlfn.XLOOKUP(CustomerCombined[[#This Row],[ID]], Table4[ID], Table4[Deals], "Not Found", 0)</f>
        <v>1</v>
      </c>
      <c r="S1867" s="5">
        <f>_xlfn.XLOOKUP(CustomerCombined[[#This Row],[ID]], Table4[ID], Table4[Website], "Not Found", 0)</f>
        <v>5</v>
      </c>
      <c r="T1867" s="5">
        <f>_xlfn.XLOOKUP(CustomerCombined[[#This Row],[ID]], Table4[ID], Table4[Catalog], "Not Found", 0)</f>
        <v>6</v>
      </c>
      <c r="U1867" s="5">
        <f>_xlfn.XLOOKUP(CustomerCombined[[#This Row],[ID]], Table4[ID], Table4[Store], "Not Found", 0)</f>
        <v>5</v>
      </c>
      <c r="V1867" s="5">
        <f>_xlfn.XLOOKUP(CustomerCombined[[#This Row],[ID]], Table4[ID], Table4[Visits], "Not Found", 0)</f>
        <v>2</v>
      </c>
      <c r="W1867" s="8">
        <f>_xlfn.XLOOKUP(CustomerCombined[[#This Row],[ID]], Table2[ID],Table2[Complaint], "Not Found", 0 )</f>
        <v>0</v>
      </c>
      <c r="X1867" s="8">
        <f>_xlfn.XLOOKUP(CustomerCombined[[#This Row],[ID]], Table2[ID],Table2[Pilot], "Not Found", 0 )</f>
        <v>1</v>
      </c>
      <c r="Y1867" s="8">
        <f>_xlfn.XLOOKUP(CustomerCombined[[#This Row],[ID]], Table2[ID],Table2[MC1], "Not Found", 0 )</f>
        <v>0</v>
      </c>
      <c r="Z1867" s="8">
        <f>_xlfn.XLOOKUP(CustomerCombined[[#This Row],[ID]], Table2[ID],Table2[MC2], "Not Found", 0 )</f>
        <v>0</v>
      </c>
      <c r="AA1867" s="8">
        <f>_xlfn.XLOOKUP(CustomerCombined[[#This Row],[ID]], Table2[ID],Table2[MC3], "Not Found", 0 )</f>
        <v>0</v>
      </c>
      <c r="AB1867" s="8">
        <f>_xlfn.XLOOKUP(CustomerCombined[[#This Row],[ID]], Table2[ID],Table2[MC4], "Not Found", 0 )</f>
        <v>1</v>
      </c>
      <c r="AC1867" s="8">
        <f>_xlfn.XLOOKUP(CustomerCombined[[#This Row],[ID]], Table2[ID],Table2[MC5], "Not Found", 0 )</f>
        <v>1</v>
      </c>
    </row>
    <row r="1868" spans="1:29" x14ac:dyDescent="0.3">
      <c r="A1868" s="6">
        <v>2293</v>
      </c>
      <c r="B1868" s="6">
        <v>174805</v>
      </c>
      <c r="C1868" s="6">
        <v>0</v>
      </c>
      <c r="D1868" s="6">
        <v>1</v>
      </c>
      <c r="E1868" s="6">
        <v>65</v>
      </c>
      <c r="F1868" s="5" t="s">
        <v>8</v>
      </c>
      <c r="G1868" s="5" t="s">
        <v>442</v>
      </c>
      <c r="H1868" s="3">
        <v>44169</v>
      </c>
      <c r="I1868" s="5" t="s">
        <v>437</v>
      </c>
      <c r="J1868" s="5">
        <f>_xlfn.XLOOKUP(CustomerCombined[[#This Row],[ID]], Table4[ID], Table4[Recency], "Not Found", 0)</f>
        <v>14</v>
      </c>
      <c r="K1868" s="5">
        <f>_xlfn.XLOOKUP(CustomerCombined[[#This Row],[ID]], Table4[ID], Table4[Teas], "Not Found", 0)</f>
        <v>488</v>
      </c>
      <c r="L1868" s="5">
        <f>_xlfn.XLOOKUP(CustomerCombined[[#This Row],[ID]], Table4[ID], Table4[Fruits], "Not Found", 0)</f>
        <v>379</v>
      </c>
      <c r="M1868" s="5">
        <f>_xlfn.XLOOKUP(CustomerCombined[[#This Row],[ID]], Table4[ID], Table4[Meats], "Not Found", 0)</f>
        <v>488</v>
      </c>
      <c r="N1868" s="5">
        <f>_xlfn.XLOOKUP(CustomerCombined[[#This Row],[ID]], Table4[ID], Table4[Seafood], "Not Found", 0)</f>
        <v>96</v>
      </c>
      <c r="O1868" s="5">
        <f>_xlfn.XLOOKUP(CustomerCombined[[#This Row],[ID]], Table4[ID], Table4[Sweets], "Not Found", 0)</f>
        <v>379</v>
      </c>
      <c r="P1868" s="5">
        <f>_xlfn.XLOOKUP(CustomerCombined[[#This Row],[ID]], Table4[ID], Table4[Premium], "Not Found", 0)</f>
        <v>86</v>
      </c>
      <c r="Q1868" s="5">
        <f>_xlfn.XLOOKUP(CustomerCombined[[#This Row],[ID]], Table4[ID], Table4[Regular], "Not Found", 0)</f>
        <v>1743</v>
      </c>
      <c r="R1868" s="5">
        <f>_xlfn.XLOOKUP(CustomerCombined[[#This Row],[ID]], Table4[ID], Table4[Deals], "Not Found", 0)</f>
        <v>5</v>
      </c>
      <c r="S1868" s="5">
        <f>_xlfn.XLOOKUP(CustomerCombined[[#This Row],[ID]], Table4[ID], Table4[Website], "Not Found", 0)</f>
        <v>4</v>
      </c>
      <c r="T1868" s="5">
        <f>_xlfn.XLOOKUP(CustomerCombined[[#This Row],[ID]], Table4[ID], Table4[Catalog], "Not Found", 0)</f>
        <v>7</v>
      </c>
      <c r="U1868" s="5">
        <f>_xlfn.XLOOKUP(CustomerCombined[[#This Row],[ID]], Table4[ID], Table4[Store], "Not Found", 0)</f>
        <v>10</v>
      </c>
      <c r="V1868" s="5">
        <f>_xlfn.XLOOKUP(CustomerCombined[[#This Row],[ID]], Table4[ID], Table4[Visits], "Not Found", 0)</f>
        <v>2</v>
      </c>
      <c r="W1868" s="8">
        <f>_xlfn.XLOOKUP(CustomerCombined[[#This Row],[ID]], Table2[ID],Table2[Complaint], "Not Found", 0 )</f>
        <v>0</v>
      </c>
      <c r="X1868" s="8">
        <f>_xlfn.XLOOKUP(CustomerCombined[[#This Row],[ID]], Table2[ID],Table2[Pilot], "Not Found", 0 )</f>
        <v>0</v>
      </c>
      <c r="Y1868" s="8">
        <f>_xlfn.XLOOKUP(CustomerCombined[[#This Row],[ID]], Table2[ID],Table2[MC1], "Not Found", 0 )</f>
        <v>0</v>
      </c>
      <c r="Z1868" s="8">
        <f>_xlfn.XLOOKUP(CustomerCombined[[#This Row],[ID]], Table2[ID],Table2[MC2], "Not Found", 0 )</f>
        <v>0</v>
      </c>
      <c r="AA1868" s="8">
        <f>_xlfn.XLOOKUP(CustomerCombined[[#This Row],[ID]], Table2[ID],Table2[MC3], "Not Found", 0 )</f>
        <v>0</v>
      </c>
      <c r="AB1868" s="8">
        <f>_xlfn.XLOOKUP(CustomerCombined[[#This Row],[ID]], Table2[ID],Table2[MC4], "Not Found", 0 )</f>
        <v>0</v>
      </c>
      <c r="AC1868" s="8">
        <f>_xlfn.XLOOKUP(CustomerCombined[[#This Row],[ID]], Table2[ID],Table2[MC5], "Not Found", 0 )</f>
        <v>0</v>
      </c>
    </row>
    <row r="1869" spans="1:29" x14ac:dyDescent="0.3">
      <c r="A1869" s="6">
        <v>2567</v>
      </c>
      <c r="B1869" s="6">
        <v>174268</v>
      </c>
      <c r="C1869" s="6">
        <v>0</v>
      </c>
      <c r="D1869" s="6">
        <v>0</v>
      </c>
      <c r="E1869" s="6">
        <v>65</v>
      </c>
      <c r="F1869" s="5" t="s">
        <v>6</v>
      </c>
      <c r="G1869" s="5" t="s">
        <v>11</v>
      </c>
      <c r="H1869" s="3" t="s">
        <v>309</v>
      </c>
      <c r="I1869" s="5" t="s">
        <v>434</v>
      </c>
      <c r="J1869" s="5">
        <f>_xlfn.XLOOKUP(CustomerCombined[[#This Row],[ID]], Table4[ID], Table4[Recency], "Not Found", 0)</f>
        <v>83</v>
      </c>
      <c r="K1869" s="5">
        <f>_xlfn.XLOOKUP(CustomerCombined[[#This Row],[ID]], Table4[ID], Table4[Teas], "Not Found", 0)</f>
        <v>467</v>
      </c>
      <c r="L1869" s="5">
        <f>_xlfn.XLOOKUP(CustomerCombined[[#This Row],[ID]], Table4[ID], Table4[Fruits], "Not Found", 0)</f>
        <v>155</v>
      </c>
      <c r="M1869" s="5">
        <f>_xlfn.XLOOKUP(CustomerCombined[[#This Row],[ID]], Table4[ID], Table4[Meats], "Not Found", 0)</f>
        <v>739</v>
      </c>
      <c r="N1869" s="5">
        <f>_xlfn.XLOOKUP(CustomerCombined[[#This Row],[ID]], Table4[ID], Table4[Seafood], "Not Found", 0)</f>
        <v>228</v>
      </c>
      <c r="O1869" s="5">
        <f>_xlfn.XLOOKUP(CustomerCombined[[#This Row],[ID]], Table4[ID], Table4[Sweets], "Not Found", 0)</f>
        <v>408</v>
      </c>
      <c r="P1869" s="5">
        <f>_xlfn.XLOOKUP(CustomerCombined[[#This Row],[ID]], Table4[ID], Table4[Premium], "Not Found", 0)</f>
        <v>96</v>
      </c>
      <c r="Q1869" s="5">
        <f>_xlfn.XLOOKUP(CustomerCombined[[#This Row],[ID]], Table4[ID], Table4[Regular], "Not Found", 0)</f>
        <v>1901</v>
      </c>
      <c r="R1869" s="5">
        <f>_xlfn.XLOOKUP(CustomerCombined[[#This Row],[ID]], Table4[ID], Table4[Deals], "Not Found", 0)</f>
        <v>1</v>
      </c>
      <c r="S1869" s="5">
        <f>_xlfn.XLOOKUP(CustomerCombined[[#This Row],[ID]], Table4[ID], Table4[Website], "Not Found", 0)</f>
        <v>4</v>
      </c>
      <c r="T1869" s="5">
        <f>_xlfn.XLOOKUP(CustomerCombined[[#This Row],[ID]], Table4[ID], Table4[Catalog], "Not Found", 0)</f>
        <v>3</v>
      </c>
      <c r="U1869" s="5">
        <f>_xlfn.XLOOKUP(CustomerCombined[[#This Row],[ID]], Table4[ID], Table4[Store], "Not Found", 0)</f>
        <v>5</v>
      </c>
      <c r="V1869" s="5">
        <f>_xlfn.XLOOKUP(CustomerCombined[[#This Row],[ID]], Table4[ID], Table4[Visits], "Not Found", 0)</f>
        <v>2</v>
      </c>
      <c r="W1869" s="8">
        <f>_xlfn.XLOOKUP(CustomerCombined[[#This Row],[ID]], Table2[ID],Table2[Complaint], "Not Found", 0 )</f>
        <v>0</v>
      </c>
      <c r="X1869" s="8">
        <f>_xlfn.XLOOKUP(CustomerCombined[[#This Row],[ID]], Table2[ID],Table2[Pilot], "Not Found", 0 )</f>
        <v>0</v>
      </c>
      <c r="Y1869" s="8">
        <f>_xlfn.XLOOKUP(CustomerCombined[[#This Row],[ID]], Table2[ID],Table2[MC1], "Not Found", 0 )</f>
        <v>0</v>
      </c>
      <c r="Z1869" s="8">
        <f>_xlfn.XLOOKUP(CustomerCombined[[#This Row],[ID]], Table2[ID],Table2[MC2], "Not Found", 0 )</f>
        <v>0</v>
      </c>
      <c r="AA1869" s="8">
        <f>_xlfn.XLOOKUP(CustomerCombined[[#This Row],[ID]], Table2[ID],Table2[MC3], "Not Found", 0 )</f>
        <v>0</v>
      </c>
      <c r="AB1869" s="8">
        <f>_xlfn.XLOOKUP(CustomerCombined[[#This Row],[ID]], Table2[ID],Table2[MC4], "Not Found", 0 )</f>
        <v>0</v>
      </c>
      <c r="AC1869" s="8">
        <f>_xlfn.XLOOKUP(CustomerCombined[[#This Row],[ID]], Table2[ID],Table2[MC5], "Not Found", 0 )</f>
        <v>0</v>
      </c>
    </row>
    <row r="1870" spans="1:29" x14ac:dyDescent="0.3">
      <c r="A1870" s="6">
        <v>1586</v>
      </c>
      <c r="B1870" s="6">
        <v>172906</v>
      </c>
      <c r="C1870" s="6">
        <v>0</v>
      </c>
      <c r="D1870" s="6">
        <v>0</v>
      </c>
      <c r="E1870" s="6">
        <v>65</v>
      </c>
      <c r="F1870" s="5" t="s">
        <v>7</v>
      </c>
      <c r="G1870" s="5" t="s">
        <v>11</v>
      </c>
      <c r="H1870" s="3" t="s">
        <v>182</v>
      </c>
      <c r="I1870" s="5" t="s">
        <v>438</v>
      </c>
      <c r="J1870" s="5">
        <f>_xlfn.XLOOKUP(CustomerCombined[[#This Row],[ID]], Table4[ID], Table4[Recency], "Not Found", 0)</f>
        <v>79</v>
      </c>
      <c r="K1870" s="5">
        <f>_xlfn.XLOOKUP(CustomerCombined[[#This Row],[ID]], Table4[ID], Table4[Teas], "Not Found", 0)</f>
        <v>949</v>
      </c>
      <c r="L1870" s="5">
        <f>_xlfn.XLOOKUP(CustomerCombined[[#This Row],[ID]], Table4[ID], Table4[Fruits], "Not Found", 0)</f>
        <v>76</v>
      </c>
      <c r="M1870" s="5">
        <f>_xlfn.XLOOKUP(CustomerCombined[[#This Row],[ID]], Table4[ID], Table4[Meats], "Not Found", 0)</f>
        <v>1231</v>
      </c>
      <c r="N1870" s="5">
        <f>_xlfn.XLOOKUP(CustomerCombined[[#This Row],[ID]], Table4[ID], Table4[Seafood], "Not Found", 0)</f>
        <v>168</v>
      </c>
      <c r="O1870" s="5">
        <f>_xlfn.XLOOKUP(CustomerCombined[[#This Row],[ID]], Table4[ID], Table4[Sweets], "Not Found", 0)</f>
        <v>178</v>
      </c>
      <c r="P1870" s="5">
        <f>_xlfn.XLOOKUP(CustomerCombined[[#This Row],[ID]], Table4[ID], Table4[Premium], "Not Found", 0)</f>
        <v>128</v>
      </c>
      <c r="Q1870" s="5">
        <f>_xlfn.XLOOKUP(CustomerCombined[[#This Row],[ID]], Table4[ID], Table4[Regular], "Not Found", 0)</f>
        <v>2474</v>
      </c>
      <c r="R1870" s="5">
        <f>_xlfn.XLOOKUP(CustomerCombined[[#This Row],[ID]], Table4[ID], Table4[Deals], "Not Found", 0)</f>
        <v>1</v>
      </c>
      <c r="S1870" s="5">
        <f>_xlfn.XLOOKUP(CustomerCombined[[#This Row],[ID]], Table4[ID], Table4[Website], "Not Found", 0)</f>
        <v>3</v>
      </c>
      <c r="T1870" s="5">
        <f>_xlfn.XLOOKUP(CustomerCombined[[#This Row],[ID]], Table4[ID], Table4[Catalog], "Not Found", 0)</f>
        <v>4</v>
      </c>
      <c r="U1870" s="5">
        <f>_xlfn.XLOOKUP(CustomerCombined[[#This Row],[ID]], Table4[ID], Table4[Store], "Not Found", 0)</f>
        <v>9</v>
      </c>
      <c r="V1870" s="5">
        <f>_xlfn.XLOOKUP(CustomerCombined[[#This Row],[ID]], Table4[ID], Table4[Visits], "Not Found", 0)</f>
        <v>1</v>
      </c>
      <c r="W1870" s="8">
        <f>_xlfn.XLOOKUP(CustomerCombined[[#This Row],[ID]], Table2[ID],Table2[Complaint], "Not Found", 0 )</f>
        <v>0</v>
      </c>
      <c r="X1870" s="8">
        <f>_xlfn.XLOOKUP(CustomerCombined[[#This Row],[ID]], Table2[ID],Table2[Pilot], "Not Found", 0 )</f>
        <v>0</v>
      </c>
      <c r="Y1870" s="8">
        <f>_xlfn.XLOOKUP(CustomerCombined[[#This Row],[ID]], Table2[ID],Table2[MC1], "Not Found", 0 )</f>
        <v>0</v>
      </c>
      <c r="Z1870" s="8">
        <f>_xlfn.XLOOKUP(CustomerCombined[[#This Row],[ID]], Table2[ID],Table2[MC2], "Not Found", 0 )</f>
        <v>0</v>
      </c>
      <c r="AA1870" s="8">
        <f>_xlfn.XLOOKUP(CustomerCombined[[#This Row],[ID]], Table2[ID],Table2[MC3], "Not Found", 0 )</f>
        <v>0</v>
      </c>
      <c r="AB1870" s="8">
        <f>_xlfn.XLOOKUP(CustomerCombined[[#This Row],[ID]], Table2[ID],Table2[MC4], "Not Found", 0 )</f>
        <v>0</v>
      </c>
      <c r="AC1870" s="8">
        <f>_xlfn.XLOOKUP(CustomerCombined[[#This Row],[ID]], Table2[ID],Table2[MC5], "Not Found", 0 )</f>
        <v>0</v>
      </c>
    </row>
    <row r="1871" spans="1:29" x14ac:dyDescent="0.3">
      <c r="A1871" s="6">
        <v>1607</v>
      </c>
      <c r="B1871" s="6">
        <v>172635</v>
      </c>
      <c r="C1871" s="6">
        <v>0</v>
      </c>
      <c r="D1871" s="6">
        <v>0</v>
      </c>
      <c r="E1871" s="6">
        <v>65</v>
      </c>
      <c r="F1871" s="5" t="s">
        <v>6</v>
      </c>
      <c r="G1871" s="5" t="s">
        <v>442</v>
      </c>
      <c r="H1871" s="3">
        <v>43688</v>
      </c>
      <c r="I1871" s="5" t="s">
        <v>434</v>
      </c>
      <c r="J1871" s="5">
        <f>_xlfn.XLOOKUP(CustomerCombined[[#This Row],[ID]], Table4[ID], Table4[Recency], "Not Found", 0)</f>
        <v>54</v>
      </c>
      <c r="K1871" s="5">
        <f>_xlfn.XLOOKUP(CustomerCombined[[#This Row],[ID]], Table4[ID], Table4[Teas], "Not Found", 0)</f>
        <v>927</v>
      </c>
      <c r="L1871" s="5">
        <f>_xlfn.XLOOKUP(CustomerCombined[[#This Row],[ID]], Table4[ID], Table4[Fruits], "Not Found", 0)</f>
        <v>52</v>
      </c>
      <c r="M1871" s="5">
        <f>_xlfn.XLOOKUP(CustomerCombined[[#This Row],[ID]], Table4[ID], Table4[Meats], "Not Found", 0)</f>
        <v>768</v>
      </c>
      <c r="N1871" s="5">
        <f>_xlfn.XLOOKUP(CustomerCombined[[#This Row],[ID]], Table4[ID], Table4[Seafood], "Not Found", 0)</f>
        <v>247</v>
      </c>
      <c r="O1871" s="5">
        <f>_xlfn.XLOOKUP(CustomerCombined[[#This Row],[ID]], Table4[ID], Table4[Sweets], "Not Found", 0)</f>
        <v>83</v>
      </c>
      <c r="P1871" s="5">
        <f>_xlfn.XLOOKUP(CustomerCombined[[#This Row],[ID]], Table4[ID], Table4[Premium], "Not Found", 0)</f>
        <v>254</v>
      </c>
      <c r="Q1871" s="5">
        <f>_xlfn.XLOOKUP(CustomerCombined[[#This Row],[ID]], Table4[ID], Table4[Regular], "Not Found", 0)</f>
        <v>1823</v>
      </c>
      <c r="R1871" s="5">
        <f>_xlfn.XLOOKUP(CustomerCombined[[#This Row],[ID]], Table4[ID], Table4[Deals], "Not Found", 0)</f>
        <v>1</v>
      </c>
      <c r="S1871" s="5">
        <f>_xlfn.XLOOKUP(CustomerCombined[[#This Row],[ID]], Table4[ID], Table4[Website], "Not Found", 0)</f>
        <v>6</v>
      </c>
      <c r="T1871" s="5">
        <f>_xlfn.XLOOKUP(CustomerCombined[[#This Row],[ID]], Table4[ID], Table4[Catalog], "Not Found", 0)</f>
        <v>8</v>
      </c>
      <c r="U1871" s="5">
        <f>_xlfn.XLOOKUP(CustomerCombined[[#This Row],[ID]], Table4[ID], Table4[Store], "Not Found", 0)</f>
        <v>6</v>
      </c>
      <c r="V1871" s="5">
        <f>_xlfn.XLOOKUP(CustomerCombined[[#This Row],[ID]], Table4[ID], Table4[Visits], "Not Found", 0)</f>
        <v>3</v>
      </c>
      <c r="W1871" s="8">
        <f>_xlfn.XLOOKUP(CustomerCombined[[#This Row],[ID]], Table2[ID],Table2[Complaint], "Not Found", 0 )</f>
        <v>0</v>
      </c>
      <c r="X1871" s="8">
        <f>_xlfn.XLOOKUP(CustomerCombined[[#This Row],[ID]], Table2[ID],Table2[Pilot], "Not Found", 0 )</f>
        <v>0</v>
      </c>
      <c r="Y1871" s="8">
        <f>_xlfn.XLOOKUP(CustomerCombined[[#This Row],[ID]], Table2[ID],Table2[MC1], "Not Found", 0 )</f>
        <v>1</v>
      </c>
      <c r="Z1871" s="8">
        <f>_xlfn.XLOOKUP(CustomerCombined[[#This Row],[ID]], Table2[ID],Table2[MC2], "Not Found", 0 )</f>
        <v>0</v>
      </c>
      <c r="AA1871" s="8">
        <f>_xlfn.XLOOKUP(CustomerCombined[[#This Row],[ID]], Table2[ID],Table2[MC3], "Not Found", 0 )</f>
        <v>0</v>
      </c>
      <c r="AB1871" s="8">
        <f>_xlfn.XLOOKUP(CustomerCombined[[#This Row],[ID]], Table2[ID],Table2[MC4], "Not Found", 0 )</f>
        <v>0</v>
      </c>
      <c r="AC1871" s="8">
        <f>_xlfn.XLOOKUP(CustomerCombined[[#This Row],[ID]], Table2[ID],Table2[MC5], "Not Found", 0 )</f>
        <v>0</v>
      </c>
    </row>
    <row r="1872" spans="1:29" x14ac:dyDescent="0.3">
      <c r="A1872" s="6">
        <v>2648</v>
      </c>
      <c r="B1872" s="6">
        <v>172635</v>
      </c>
      <c r="C1872" s="6">
        <v>0</v>
      </c>
      <c r="D1872" s="6">
        <v>0</v>
      </c>
      <c r="E1872" s="6">
        <v>65</v>
      </c>
      <c r="F1872" s="5" t="s">
        <v>6</v>
      </c>
      <c r="G1872" s="5" t="s">
        <v>442</v>
      </c>
      <c r="H1872" s="3">
        <v>43688</v>
      </c>
      <c r="I1872" s="5" t="s">
        <v>438</v>
      </c>
      <c r="J1872" s="5">
        <f>_xlfn.XLOOKUP(CustomerCombined[[#This Row],[ID]], Table4[ID], Table4[Recency], "Not Found", 0)</f>
        <v>54</v>
      </c>
      <c r="K1872" s="5">
        <f>_xlfn.XLOOKUP(CustomerCombined[[#This Row],[ID]], Table4[ID], Table4[Teas], "Not Found", 0)</f>
        <v>927</v>
      </c>
      <c r="L1872" s="5">
        <f>_xlfn.XLOOKUP(CustomerCombined[[#This Row],[ID]], Table4[ID], Table4[Fruits], "Not Found", 0)</f>
        <v>52</v>
      </c>
      <c r="M1872" s="5">
        <f>_xlfn.XLOOKUP(CustomerCombined[[#This Row],[ID]], Table4[ID], Table4[Meats], "Not Found", 0)</f>
        <v>768</v>
      </c>
      <c r="N1872" s="5">
        <f>_xlfn.XLOOKUP(CustomerCombined[[#This Row],[ID]], Table4[ID], Table4[Seafood], "Not Found", 0)</f>
        <v>247</v>
      </c>
      <c r="O1872" s="5">
        <f>_xlfn.XLOOKUP(CustomerCombined[[#This Row],[ID]], Table4[ID], Table4[Sweets], "Not Found", 0)</f>
        <v>83</v>
      </c>
      <c r="P1872" s="5">
        <f>_xlfn.XLOOKUP(CustomerCombined[[#This Row],[ID]], Table4[ID], Table4[Premium], "Not Found", 0)</f>
        <v>254</v>
      </c>
      <c r="Q1872" s="5">
        <f>_xlfn.XLOOKUP(CustomerCombined[[#This Row],[ID]], Table4[ID], Table4[Regular], "Not Found", 0)</f>
        <v>1823</v>
      </c>
      <c r="R1872" s="5">
        <f>_xlfn.XLOOKUP(CustomerCombined[[#This Row],[ID]], Table4[ID], Table4[Deals], "Not Found", 0)</f>
        <v>1</v>
      </c>
      <c r="S1872" s="5">
        <f>_xlfn.XLOOKUP(CustomerCombined[[#This Row],[ID]], Table4[ID], Table4[Website], "Not Found", 0)</f>
        <v>6</v>
      </c>
      <c r="T1872" s="5">
        <f>_xlfn.XLOOKUP(CustomerCombined[[#This Row],[ID]], Table4[ID], Table4[Catalog], "Not Found", 0)</f>
        <v>8</v>
      </c>
      <c r="U1872" s="5">
        <f>_xlfn.XLOOKUP(CustomerCombined[[#This Row],[ID]], Table4[ID], Table4[Store], "Not Found", 0)</f>
        <v>6</v>
      </c>
      <c r="V1872" s="5">
        <f>_xlfn.XLOOKUP(CustomerCombined[[#This Row],[ID]], Table4[ID], Table4[Visits], "Not Found", 0)</f>
        <v>3</v>
      </c>
      <c r="W1872" s="8">
        <f>_xlfn.XLOOKUP(CustomerCombined[[#This Row],[ID]], Table2[ID],Table2[Complaint], "Not Found", 0 )</f>
        <v>0</v>
      </c>
      <c r="X1872" s="8">
        <f>_xlfn.XLOOKUP(CustomerCombined[[#This Row],[ID]], Table2[ID],Table2[Pilot], "Not Found", 0 )</f>
        <v>0</v>
      </c>
      <c r="Y1872" s="8">
        <f>_xlfn.XLOOKUP(CustomerCombined[[#This Row],[ID]], Table2[ID],Table2[MC1], "Not Found", 0 )</f>
        <v>1</v>
      </c>
      <c r="Z1872" s="8">
        <f>_xlfn.XLOOKUP(CustomerCombined[[#This Row],[ID]], Table2[ID],Table2[MC2], "Not Found", 0 )</f>
        <v>0</v>
      </c>
      <c r="AA1872" s="8">
        <f>_xlfn.XLOOKUP(CustomerCombined[[#This Row],[ID]], Table2[ID],Table2[MC3], "Not Found", 0 )</f>
        <v>0</v>
      </c>
      <c r="AB1872" s="8">
        <f>_xlfn.XLOOKUP(CustomerCombined[[#This Row],[ID]], Table2[ID],Table2[MC4], "Not Found", 0 )</f>
        <v>0</v>
      </c>
      <c r="AC1872" s="8">
        <f>_xlfn.XLOOKUP(CustomerCombined[[#This Row],[ID]], Table2[ID],Table2[MC5], "Not Found", 0 )</f>
        <v>0</v>
      </c>
    </row>
    <row r="1873" spans="1:29" x14ac:dyDescent="0.3">
      <c r="A1873" s="6">
        <v>2578</v>
      </c>
      <c r="B1873" s="6">
        <v>170638</v>
      </c>
      <c r="C1873" s="6">
        <v>0</v>
      </c>
      <c r="D1873" s="6">
        <v>0</v>
      </c>
      <c r="E1873" s="6">
        <v>65</v>
      </c>
      <c r="F1873" s="5" t="s">
        <v>5</v>
      </c>
      <c r="G1873" s="5" t="s">
        <v>12</v>
      </c>
      <c r="H1873" s="3">
        <v>43627</v>
      </c>
      <c r="I1873" s="5" t="s">
        <v>439</v>
      </c>
      <c r="J1873" s="5">
        <f>_xlfn.XLOOKUP(CustomerCombined[[#This Row],[ID]], Table4[ID], Table4[Recency], "Not Found", 0)</f>
        <v>69</v>
      </c>
      <c r="K1873" s="5">
        <f>_xlfn.XLOOKUP(CustomerCombined[[#This Row],[ID]], Table4[ID], Table4[Teas], "Not Found", 0)</f>
        <v>2454</v>
      </c>
      <c r="L1873" s="5">
        <f>_xlfn.XLOOKUP(CustomerCombined[[#This Row],[ID]], Table4[ID], Table4[Fruits], "Not Found", 0)</f>
        <v>29</v>
      </c>
      <c r="M1873" s="5">
        <f>_xlfn.XLOOKUP(CustomerCombined[[#This Row],[ID]], Table4[ID], Table4[Meats], "Not Found", 0)</f>
        <v>519</v>
      </c>
      <c r="N1873" s="5">
        <f>_xlfn.XLOOKUP(CustomerCombined[[#This Row],[ID]], Table4[ID], Table4[Seafood], "Not Found", 0)</f>
        <v>39</v>
      </c>
      <c r="O1873" s="5">
        <f>_xlfn.XLOOKUP(CustomerCombined[[#This Row],[ID]], Table4[ID], Table4[Sweets], "Not Found", 0)</f>
        <v>29</v>
      </c>
      <c r="P1873" s="5">
        <f>_xlfn.XLOOKUP(CustomerCombined[[#This Row],[ID]], Table4[ID], Table4[Premium], "Not Found", 0)</f>
        <v>152</v>
      </c>
      <c r="Q1873" s="5">
        <f>_xlfn.XLOOKUP(CustomerCombined[[#This Row],[ID]], Table4[ID], Table4[Regular], "Not Found", 0)</f>
        <v>2918</v>
      </c>
      <c r="R1873" s="5">
        <f>_xlfn.XLOOKUP(CustomerCombined[[#This Row],[ID]], Table4[ID], Table4[Deals], "Not Found", 0)</f>
        <v>1</v>
      </c>
      <c r="S1873" s="5">
        <f>_xlfn.XLOOKUP(CustomerCombined[[#This Row],[ID]], Table4[ID], Table4[Website], "Not Found", 0)</f>
        <v>4</v>
      </c>
      <c r="T1873" s="5">
        <f>_xlfn.XLOOKUP(CustomerCombined[[#This Row],[ID]], Table4[ID], Table4[Catalog], "Not Found", 0)</f>
        <v>5</v>
      </c>
      <c r="U1873" s="5">
        <f>_xlfn.XLOOKUP(CustomerCombined[[#This Row],[ID]], Table4[ID], Table4[Store], "Not Found", 0)</f>
        <v>10</v>
      </c>
      <c r="V1873" s="5">
        <f>_xlfn.XLOOKUP(CustomerCombined[[#This Row],[ID]], Table4[ID], Table4[Visits], "Not Found", 0)</f>
        <v>3</v>
      </c>
      <c r="W1873" s="8">
        <f>_xlfn.XLOOKUP(CustomerCombined[[#This Row],[ID]], Table2[ID],Table2[Complaint], "Not Found", 0 )</f>
        <v>0</v>
      </c>
      <c r="X1873" s="8">
        <f>_xlfn.XLOOKUP(CustomerCombined[[#This Row],[ID]], Table2[ID],Table2[Pilot], "Not Found", 0 )</f>
        <v>0</v>
      </c>
      <c r="Y1873" s="8">
        <f>_xlfn.XLOOKUP(CustomerCombined[[#This Row],[ID]], Table2[ID],Table2[MC1], "Not Found", 0 )</f>
        <v>0</v>
      </c>
      <c r="Z1873" s="8">
        <f>_xlfn.XLOOKUP(CustomerCombined[[#This Row],[ID]], Table2[ID],Table2[MC2], "Not Found", 0 )</f>
        <v>0</v>
      </c>
      <c r="AA1873" s="8">
        <f>_xlfn.XLOOKUP(CustomerCombined[[#This Row],[ID]], Table2[ID],Table2[MC3], "Not Found", 0 )</f>
        <v>0</v>
      </c>
      <c r="AB1873" s="8">
        <f>_xlfn.XLOOKUP(CustomerCombined[[#This Row],[ID]], Table2[ID],Table2[MC4], "Not Found", 0 )</f>
        <v>1</v>
      </c>
      <c r="AC1873" s="8">
        <f>_xlfn.XLOOKUP(CustomerCombined[[#This Row],[ID]], Table2[ID],Table2[MC5], "Not Found", 0 )</f>
        <v>0</v>
      </c>
    </row>
    <row r="1874" spans="1:29" x14ac:dyDescent="0.3">
      <c r="A1874" s="6">
        <v>3006</v>
      </c>
      <c r="B1874" s="6">
        <v>167225</v>
      </c>
      <c r="C1874" s="6">
        <v>0</v>
      </c>
      <c r="D1874" s="6">
        <v>1</v>
      </c>
      <c r="E1874" s="6">
        <v>65</v>
      </c>
      <c r="F1874" s="5" t="s">
        <v>6</v>
      </c>
      <c r="G1874" s="5" t="s">
        <v>11</v>
      </c>
      <c r="H1874" s="3">
        <v>43866</v>
      </c>
      <c r="I1874" s="5" t="s">
        <v>436</v>
      </c>
      <c r="J1874" s="5">
        <f>_xlfn.XLOOKUP(CustomerCombined[[#This Row],[ID]], Table4[ID], Table4[Recency], "Not Found", 0)</f>
        <v>4</v>
      </c>
      <c r="K1874" s="5">
        <f>_xlfn.XLOOKUP(CustomerCombined[[#This Row],[ID]], Table4[ID], Table4[Teas], "Not Found", 0)</f>
        <v>784</v>
      </c>
      <c r="L1874" s="5">
        <f>_xlfn.XLOOKUP(CustomerCombined[[#This Row],[ID]], Table4[ID], Table4[Fruits], "Not Found", 0)</f>
        <v>87</v>
      </c>
      <c r="M1874" s="5">
        <f>_xlfn.XLOOKUP(CustomerCombined[[#This Row],[ID]], Table4[ID], Table4[Meats], "Not Found", 0)</f>
        <v>801</v>
      </c>
      <c r="N1874" s="5">
        <f>_xlfn.XLOOKUP(CustomerCombined[[#This Row],[ID]], Table4[ID], Table4[Seafood], "Not Found", 0)</f>
        <v>114</v>
      </c>
      <c r="O1874" s="5">
        <f>_xlfn.XLOOKUP(CustomerCombined[[#This Row],[ID]], Table4[ID], Table4[Sweets], "Not Found", 0)</f>
        <v>17</v>
      </c>
      <c r="P1874" s="5">
        <f>_xlfn.XLOOKUP(CustomerCombined[[#This Row],[ID]], Table4[ID], Table4[Premium], "Not Found", 0)</f>
        <v>356</v>
      </c>
      <c r="Q1874" s="5">
        <f>_xlfn.XLOOKUP(CustomerCombined[[#This Row],[ID]], Table4[ID], Table4[Regular], "Not Found", 0)</f>
        <v>1448</v>
      </c>
      <c r="R1874" s="5">
        <f>_xlfn.XLOOKUP(CustomerCombined[[#This Row],[ID]], Table4[ID], Table4[Deals], "Not Found", 0)</f>
        <v>3</v>
      </c>
      <c r="S1874" s="5">
        <f>_xlfn.XLOOKUP(CustomerCombined[[#This Row],[ID]], Table4[ID], Table4[Website], "Not Found", 0)</f>
        <v>7</v>
      </c>
      <c r="T1874" s="5">
        <f>_xlfn.XLOOKUP(CustomerCombined[[#This Row],[ID]], Table4[ID], Table4[Catalog], "Not Found", 0)</f>
        <v>2</v>
      </c>
      <c r="U1874" s="5">
        <f>_xlfn.XLOOKUP(CustomerCombined[[#This Row],[ID]], Table4[ID], Table4[Store], "Not Found", 0)</f>
        <v>11</v>
      </c>
      <c r="V1874" s="5">
        <f>_xlfn.XLOOKUP(CustomerCombined[[#This Row],[ID]], Table4[ID], Table4[Visits], "Not Found", 0)</f>
        <v>5</v>
      </c>
      <c r="W1874" s="8">
        <f>_xlfn.XLOOKUP(CustomerCombined[[#This Row],[ID]], Table2[ID],Table2[Complaint], "Not Found", 0 )</f>
        <v>0</v>
      </c>
      <c r="X1874" s="8">
        <f>_xlfn.XLOOKUP(CustomerCombined[[#This Row],[ID]], Table2[ID],Table2[Pilot], "Not Found", 0 )</f>
        <v>0</v>
      </c>
      <c r="Y1874" s="8">
        <f>_xlfn.XLOOKUP(CustomerCombined[[#This Row],[ID]], Table2[ID],Table2[MC1], "Not Found", 0 )</f>
        <v>0</v>
      </c>
      <c r="Z1874" s="8">
        <f>_xlfn.XLOOKUP(CustomerCombined[[#This Row],[ID]], Table2[ID],Table2[MC2], "Not Found", 0 )</f>
        <v>0</v>
      </c>
      <c r="AA1874" s="8">
        <f>_xlfn.XLOOKUP(CustomerCombined[[#This Row],[ID]], Table2[ID],Table2[MC3], "Not Found", 0 )</f>
        <v>0</v>
      </c>
      <c r="AB1874" s="8">
        <f>_xlfn.XLOOKUP(CustomerCombined[[#This Row],[ID]], Table2[ID],Table2[MC4], "Not Found", 0 )</f>
        <v>0</v>
      </c>
      <c r="AC1874" s="8">
        <f>_xlfn.XLOOKUP(CustomerCombined[[#This Row],[ID]], Table2[ID],Table2[MC5], "Not Found", 0 )</f>
        <v>0</v>
      </c>
    </row>
    <row r="1875" spans="1:29" x14ac:dyDescent="0.3">
      <c r="A1875" s="6">
        <v>1396</v>
      </c>
      <c r="B1875" s="6">
        <v>166465</v>
      </c>
      <c r="C1875" s="6">
        <v>0</v>
      </c>
      <c r="D1875" s="6">
        <v>1</v>
      </c>
      <c r="E1875" s="6">
        <v>65</v>
      </c>
      <c r="F1875" s="5" t="s">
        <v>6</v>
      </c>
      <c r="G1875" s="5" t="s">
        <v>13</v>
      </c>
      <c r="H1875" s="3">
        <v>43564</v>
      </c>
      <c r="I1875" s="5" t="s">
        <v>439</v>
      </c>
      <c r="J1875" s="5">
        <f>_xlfn.XLOOKUP(CustomerCombined[[#This Row],[ID]], Table4[ID], Table4[Recency], "Not Found", 0)</f>
        <v>1</v>
      </c>
      <c r="K1875" s="5">
        <f>_xlfn.XLOOKUP(CustomerCombined[[#This Row],[ID]], Table4[ID], Table4[Teas], "Not Found", 0)</f>
        <v>3005</v>
      </c>
      <c r="L1875" s="5">
        <f>_xlfn.XLOOKUP(CustomerCombined[[#This Row],[ID]], Table4[ID], Table4[Fruits], "Not Found", 0)</f>
        <v>0</v>
      </c>
      <c r="M1875" s="5">
        <f>_xlfn.XLOOKUP(CustomerCombined[[#This Row],[ID]], Table4[ID], Table4[Meats], "Not Found", 0)</f>
        <v>511</v>
      </c>
      <c r="N1875" s="5">
        <f>_xlfn.XLOOKUP(CustomerCombined[[#This Row],[ID]], Table4[ID], Table4[Seafood], "Not Found", 0)</f>
        <v>95</v>
      </c>
      <c r="O1875" s="5">
        <f>_xlfn.XLOOKUP(CustomerCombined[[#This Row],[ID]], Table4[ID], Table4[Sweets], "Not Found", 0)</f>
        <v>73</v>
      </c>
      <c r="P1875" s="5">
        <f>_xlfn.XLOOKUP(CustomerCombined[[#This Row],[ID]], Table4[ID], Table4[Premium], "Not Found", 0)</f>
        <v>35</v>
      </c>
      <c r="Q1875" s="5">
        <f>_xlfn.XLOOKUP(CustomerCombined[[#This Row],[ID]], Table4[ID], Table4[Regular], "Not Found", 0)</f>
        <v>3649</v>
      </c>
      <c r="R1875" s="5">
        <f>_xlfn.XLOOKUP(CustomerCombined[[#This Row],[ID]], Table4[ID], Table4[Deals], "Not Found", 0)</f>
        <v>3</v>
      </c>
      <c r="S1875" s="5">
        <f>_xlfn.XLOOKUP(CustomerCombined[[#This Row],[ID]], Table4[ID], Table4[Website], "Not Found", 0)</f>
        <v>11</v>
      </c>
      <c r="T1875" s="5">
        <f>_xlfn.XLOOKUP(CustomerCombined[[#This Row],[ID]], Table4[ID], Table4[Catalog], "Not Found", 0)</f>
        <v>9</v>
      </c>
      <c r="U1875" s="5">
        <f>_xlfn.XLOOKUP(CustomerCombined[[#This Row],[ID]], Table4[ID], Table4[Store], "Not Found", 0)</f>
        <v>12</v>
      </c>
      <c r="V1875" s="5">
        <f>_xlfn.XLOOKUP(CustomerCombined[[#This Row],[ID]], Table4[ID], Table4[Visits], "Not Found", 0)</f>
        <v>6</v>
      </c>
      <c r="W1875" s="8">
        <f>_xlfn.XLOOKUP(CustomerCombined[[#This Row],[ID]], Table2[ID],Table2[Complaint], "Not Found", 0 )</f>
        <v>0</v>
      </c>
      <c r="X1875" s="8">
        <f>_xlfn.XLOOKUP(CustomerCombined[[#This Row],[ID]], Table2[ID],Table2[Pilot], "Not Found", 0 )</f>
        <v>0</v>
      </c>
      <c r="Y1875" s="8">
        <f>_xlfn.XLOOKUP(CustomerCombined[[#This Row],[ID]], Table2[ID],Table2[MC1], "Not Found", 0 )</f>
        <v>1</v>
      </c>
      <c r="Z1875" s="8">
        <f>_xlfn.XLOOKUP(CustomerCombined[[#This Row],[ID]], Table2[ID],Table2[MC2], "Not Found", 0 )</f>
        <v>0</v>
      </c>
      <c r="AA1875" s="8">
        <f>_xlfn.XLOOKUP(CustomerCombined[[#This Row],[ID]], Table2[ID],Table2[MC3], "Not Found", 0 )</f>
        <v>0</v>
      </c>
      <c r="AB1875" s="8">
        <f>_xlfn.XLOOKUP(CustomerCombined[[#This Row],[ID]], Table2[ID],Table2[MC4], "Not Found", 0 )</f>
        <v>0</v>
      </c>
      <c r="AC1875" s="8">
        <f>_xlfn.XLOOKUP(CustomerCombined[[#This Row],[ID]], Table2[ID],Table2[MC5], "Not Found", 0 )</f>
        <v>0</v>
      </c>
    </row>
    <row r="1876" spans="1:29" x14ac:dyDescent="0.3">
      <c r="A1876" s="6">
        <v>2192</v>
      </c>
      <c r="B1876" s="6">
        <v>165748</v>
      </c>
      <c r="C1876" s="6">
        <v>0</v>
      </c>
      <c r="D1876" s="6">
        <v>1</v>
      </c>
      <c r="E1876" s="6">
        <v>65</v>
      </c>
      <c r="F1876" s="5" t="s">
        <v>8</v>
      </c>
      <c r="G1876" s="5" t="s">
        <v>11</v>
      </c>
      <c r="H1876" s="3" t="s">
        <v>274</v>
      </c>
      <c r="I1876" s="5" t="s">
        <v>438</v>
      </c>
      <c r="J1876" s="5">
        <f>_xlfn.XLOOKUP(CustomerCombined[[#This Row],[ID]], Table4[ID], Table4[Recency], "Not Found", 0)</f>
        <v>58</v>
      </c>
      <c r="K1876" s="5">
        <f>_xlfn.XLOOKUP(CustomerCombined[[#This Row],[ID]], Table4[ID], Table4[Teas], "Not Found", 0)</f>
        <v>434</v>
      </c>
      <c r="L1876" s="5">
        <f>_xlfn.XLOOKUP(CustomerCombined[[#This Row],[ID]], Table4[ID], Table4[Fruits], "Not Found", 0)</f>
        <v>184</v>
      </c>
      <c r="M1876" s="5">
        <f>_xlfn.XLOOKUP(CustomerCombined[[#This Row],[ID]], Table4[ID], Table4[Meats], "Not Found", 0)</f>
        <v>234</v>
      </c>
      <c r="N1876" s="5">
        <f>_xlfn.XLOOKUP(CustomerCombined[[#This Row],[ID]], Table4[ID], Table4[Seafood], "Not Found", 0)</f>
        <v>239</v>
      </c>
      <c r="O1876" s="5">
        <f>_xlfn.XLOOKUP(CustomerCombined[[#This Row],[ID]], Table4[ID], Table4[Sweets], "Not Found", 0)</f>
        <v>197</v>
      </c>
      <c r="P1876" s="5">
        <f>_xlfn.XLOOKUP(CustomerCombined[[#This Row],[ID]], Table4[ID], Table4[Premium], "Not Found", 0)</f>
        <v>86</v>
      </c>
      <c r="Q1876" s="5">
        <f>_xlfn.XLOOKUP(CustomerCombined[[#This Row],[ID]], Table4[ID], Table4[Regular], "Not Found", 0)</f>
        <v>1202</v>
      </c>
      <c r="R1876" s="5">
        <f>_xlfn.XLOOKUP(CustomerCombined[[#This Row],[ID]], Table4[ID], Table4[Deals], "Not Found", 0)</f>
        <v>2</v>
      </c>
      <c r="S1876" s="5">
        <f>_xlfn.XLOOKUP(CustomerCombined[[#This Row],[ID]], Table4[ID], Table4[Website], "Not Found", 0)</f>
        <v>2</v>
      </c>
      <c r="T1876" s="5">
        <f>_xlfn.XLOOKUP(CustomerCombined[[#This Row],[ID]], Table4[ID], Table4[Catalog], "Not Found", 0)</f>
        <v>4</v>
      </c>
      <c r="U1876" s="5">
        <f>_xlfn.XLOOKUP(CustomerCombined[[#This Row],[ID]], Table4[ID], Table4[Store], "Not Found", 0)</f>
        <v>10</v>
      </c>
      <c r="V1876" s="5">
        <f>_xlfn.XLOOKUP(CustomerCombined[[#This Row],[ID]], Table4[ID], Table4[Visits], "Not Found", 0)</f>
        <v>1</v>
      </c>
      <c r="W1876" s="8">
        <f>_xlfn.XLOOKUP(CustomerCombined[[#This Row],[ID]], Table2[ID],Table2[Complaint], "Not Found", 0 )</f>
        <v>1</v>
      </c>
      <c r="X1876" s="8">
        <f>_xlfn.XLOOKUP(CustomerCombined[[#This Row],[ID]], Table2[ID],Table2[Pilot], "Not Found", 0 )</f>
        <v>0</v>
      </c>
      <c r="Y1876" s="8">
        <f>_xlfn.XLOOKUP(CustomerCombined[[#This Row],[ID]], Table2[ID],Table2[MC1], "Not Found", 0 )</f>
        <v>0</v>
      </c>
      <c r="Z1876" s="8">
        <f>_xlfn.XLOOKUP(CustomerCombined[[#This Row],[ID]], Table2[ID],Table2[MC2], "Not Found", 0 )</f>
        <v>0</v>
      </c>
      <c r="AA1876" s="8">
        <f>_xlfn.XLOOKUP(CustomerCombined[[#This Row],[ID]], Table2[ID],Table2[MC3], "Not Found", 0 )</f>
        <v>0</v>
      </c>
      <c r="AB1876" s="8">
        <f>_xlfn.XLOOKUP(CustomerCombined[[#This Row],[ID]], Table2[ID],Table2[MC4], "Not Found", 0 )</f>
        <v>0</v>
      </c>
      <c r="AC1876" s="8">
        <f>_xlfn.XLOOKUP(CustomerCombined[[#This Row],[ID]], Table2[ID],Table2[MC5], "Not Found", 0 )</f>
        <v>0</v>
      </c>
    </row>
    <row r="1877" spans="1:29" x14ac:dyDescent="0.3">
      <c r="A1877" s="6">
        <v>3142</v>
      </c>
      <c r="B1877" s="6">
        <v>165210</v>
      </c>
      <c r="C1877" s="6">
        <v>0</v>
      </c>
      <c r="D1877" s="6">
        <v>1</v>
      </c>
      <c r="E1877" s="6">
        <v>65</v>
      </c>
      <c r="F1877" s="5" t="s">
        <v>6</v>
      </c>
      <c r="G1877" s="5" t="s">
        <v>11</v>
      </c>
      <c r="H1877" s="3" t="s">
        <v>89</v>
      </c>
      <c r="I1877" s="5" t="s">
        <v>439</v>
      </c>
      <c r="J1877" s="5">
        <f>_xlfn.XLOOKUP(CustomerCombined[[#This Row],[ID]], Table4[ID], Table4[Recency], "Not Found", 0)</f>
        <v>25</v>
      </c>
      <c r="K1877" s="5">
        <f>_xlfn.XLOOKUP(CustomerCombined[[#This Row],[ID]], Table4[ID], Table4[Teas], "Not Found", 0)</f>
        <v>1586</v>
      </c>
      <c r="L1877" s="5">
        <f>_xlfn.XLOOKUP(CustomerCombined[[#This Row],[ID]], Table4[ID], Table4[Fruits], "Not Found", 0)</f>
        <v>0</v>
      </c>
      <c r="M1877" s="5">
        <f>_xlfn.XLOOKUP(CustomerCombined[[#This Row],[ID]], Table4[ID], Table4[Meats], "Not Found", 0)</f>
        <v>177</v>
      </c>
      <c r="N1877" s="5">
        <f>_xlfn.XLOOKUP(CustomerCombined[[#This Row],[ID]], Table4[ID], Table4[Seafood], "Not Found", 0)</f>
        <v>0</v>
      </c>
      <c r="O1877" s="5">
        <f>_xlfn.XLOOKUP(CustomerCombined[[#This Row],[ID]], Table4[ID], Table4[Sweets], "Not Found", 0)</f>
        <v>18</v>
      </c>
      <c r="P1877" s="5">
        <f>_xlfn.XLOOKUP(CustomerCombined[[#This Row],[ID]], Table4[ID], Table4[Premium], "Not Found", 0)</f>
        <v>71</v>
      </c>
      <c r="Q1877" s="5">
        <f>_xlfn.XLOOKUP(CustomerCombined[[#This Row],[ID]], Table4[ID], Table4[Regular], "Not Found", 0)</f>
        <v>1710</v>
      </c>
      <c r="R1877" s="5">
        <f>_xlfn.XLOOKUP(CustomerCombined[[#This Row],[ID]], Table4[ID], Table4[Deals], "Not Found", 0)</f>
        <v>2</v>
      </c>
      <c r="S1877" s="5">
        <f>_xlfn.XLOOKUP(CustomerCombined[[#This Row],[ID]], Table4[ID], Table4[Website], "Not Found", 0)</f>
        <v>9</v>
      </c>
      <c r="T1877" s="5">
        <f>_xlfn.XLOOKUP(CustomerCombined[[#This Row],[ID]], Table4[ID], Table4[Catalog], "Not Found", 0)</f>
        <v>3</v>
      </c>
      <c r="U1877" s="5">
        <f>_xlfn.XLOOKUP(CustomerCombined[[#This Row],[ID]], Table4[ID], Table4[Store], "Not Found", 0)</f>
        <v>8</v>
      </c>
      <c r="V1877" s="5">
        <f>_xlfn.XLOOKUP(CustomerCombined[[#This Row],[ID]], Table4[ID], Table4[Visits], "Not Found", 0)</f>
        <v>6</v>
      </c>
      <c r="W1877" s="8">
        <f>_xlfn.XLOOKUP(CustomerCombined[[#This Row],[ID]], Table2[ID],Table2[Complaint], "Not Found", 0 )</f>
        <v>0</v>
      </c>
      <c r="X1877" s="8">
        <f>_xlfn.XLOOKUP(CustomerCombined[[#This Row],[ID]], Table2[ID],Table2[Pilot], "Not Found", 0 )</f>
        <v>0</v>
      </c>
      <c r="Y1877" s="8">
        <f>_xlfn.XLOOKUP(CustomerCombined[[#This Row],[ID]], Table2[ID],Table2[MC1], "Not Found", 0 )</f>
        <v>1</v>
      </c>
      <c r="Z1877" s="8">
        <f>_xlfn.XLOOKUP(CustomerCombined[[#This Row],[ID]], Table2[ID],Table2[MC2], "Not Found", 0 )</f>
        <v>0</v>
      </c>
      <c r="AA1877" s="8">
        <f>_xlfn.XLOOKUP(CustomerCombined[[#This Row],[ID]], Table2[ID],Table2[MC3], "Not Found", 0 )</f>
        <v>0</v>
      </c>
      <c r="AB1877" s="8">
        <f>_xlfn.XLOOKUP(CustomerCombined[[#This Row],[ID]], Table2[ID],Table2[MC4], "Not Found", 0 )</f>
        <v>1</v>
      </c>
      <c r="AC1877" s="8">
        <f>_xlfn.XLOOKUP(CustomerCombined[[#This Row],[ID]], Table2[ID],Table2[MC5], "Not Found", 0 )</f>
        <v>0</v>
      </c>
    </row>
    <row r="1878" spans="1:29" x14ac:dyDescent="0.3">
      <c r="A1878" s="6">
        <v>2237</v>
      </c>
      <c r="B1878" s="6">
        <v>162972</v>
      </c>
      <c r="C1878" s="6">
        <v>0</v>
      </c>
      <c r="D1878" s="6">
        <v>1</v>
      </c>
      <c r="E1878" s="6">
        <v>65</v>
      </c>
      <c r="F1878" s="5" t="s">
        <v>6</v>
      </c>
      <c r="G1878" s="5" t="s">
        <v>442</v>
      </c>
      <c r="H1878" s="3">
        <v>43678</v>
      </c>
      <c r="I1878" s="5" t="s">
        <v>434</v>
      </c>
      <c r="J1878" s="5">
        <f>_xlfn.XLOOKUP(CustomerCombined[[#This Row],[ID]], Table4[ID], Table4[Recency], "Not Found", 0)</f>
        <v>39</v>
      </c>
      <c r="K1878" s="5">
        <f>_xlfn.XLOOKUP(CustomerCombined[[#This Row],[ID]], Table4[ID], Table4[Teas], "Not Found", 0)</f>
        <v>810</v>
      </c>
      <c r="L1878" s="5">
        <f>_xlfn.XLOOKUP(CustomerCombined[[#This Row],[ID]], Table4[ID], Table4[Fruits], "Not Found", 0)</f>
        <v>39</v>
      </c>
      <c r="M1878" s="5">
        <f>_xlfn.XLOOKUP(CustomerCombined[[#This Row],[ID]], Table4[ID], Table4[Meats], "Not Found", 0)</f>
        <v>122</v>
      </c>
      <c r="N1878" s="5">
        <f>_xlfn.XLOOKUP(CustomerCombined[[#This Row],[ID]], Table4[ID], Table4[Seafood], "Not Found", 0)</f>
        <v>52</v>
      </c>
      <c r="O1878" s="5">
        <f>_xlfn.XLOOKUP(CustomerCombined[[#This Row],[ID]], Table4[ID], Table4[Sweets], "Not Found", 0)</f>
        <v>0</v>
      </c>
      <c r="P1878" s="5">
        <f>_xlfn.XLOOKUP(CustomerCombined[[#This Row],[ID]], Table4[ID], Table4[Premium], "Not Found", 0)</f>
        <v>497</v>
      </c>
      <c r="Q1878" s="5">
        <f>_xlfn.XLOOKUP(CustomerCombined[[#This Row],[ID]], Table4[ID], Table4[Regular], "Not Found", 0)</f>
        <v>525</v>
      </c>
      <c r="R1878" s="5">
        <f>_xlfn.XLOOKUP(CustomerCombined[[#This Row],[ID]], Table4[ID], Table4[Deals], "Not Found", 0)</f>
        <v>2</v>
      </c>
      <c r="S1878" s="5">
        <f>_xlfn.XLOOKUP(CustomerCombined[[#This Row],[ID]], Table4[ID], Table4[Website], "Not Found", 0)</f>
        <v>7</v>
      </c>
      <c r="T1878" s="5">
        <f>_xlfn.XLOOKUP(CustomerCombined[[#This Row],[ID]], Table4[ID], Table4[Catalog], "Not Found", 0)</f>
        <v>4</v>
      </c>
      <c r="U1878" s="5">
        <f>_xlfn.XLOOKUP(CustomerCombined[[#This Row],[ID]], Table4[ID], Table4[Store], "Not Found", 0)</f>
        <v>3</v>
      </c>
      <c r="V1878" s="5">
        <f>_xlfn.XLOOKUP(CustomerCombined[[#This Row],[ID]], Table4[ID], Table4[Visits], "Not Found", 0)</f>
        <v>6</v>
      </c>
      <c r="W1878" s="8">
        <f>_xlfn.XLOOKUP(CustomerCombined[[#This Row],[ID]], Table2[ID],Table2[Complaint], "Not Found", 0 )</f>
        <v>0</v>
      </c>
      <c r="X1878" s="8">
        <f>_xlfn.XLOOKUP(CustomerCombined[[#This Row],[ID]], Table2[ID],Table2[Pilot], "Not Found", 0 )</f>
        <v>1</v>
      </c>
      <c r="Y1878" s="8">
        <f>_xlfn.XLOOKUP(CustomerCombined[[#This Row],[ID]], Table2[ID],Table2[MC1], "Not Found", 0 )</f>
        <v>0</v>
      </c>
      <c r="Z1878" s="8">
        <f>_xlfn.XLOOKUP(CustomerCombined[[#This Row],[ID]], Table2[ID],Table2[MC2], "Not Found", 0 )</f>
        <v>0</v>
      </c>
      <c r="AA1878" s="8">
        <f>_xlfn.XLOOKUP(CustomerCombined[[#This Row],[ID]], Table2[ID],Table2[MC3], "Not Found", 0 )</f>
        <v>0</v>
      </c>
      <c r="AB1878" s="8">
        <f>_xlfn.XLOOKUP(CustomerCombined[[#This Row],[ID]], Table2[ID],Table2[MC4], "Not Found", 0 )</f>
        <v>0</v>
      </c>
      <c r="AC1878" s="8">
        <f>_xlfn.XLOOKUP(CustomerCombined[[#This Row],[ID]], Table2[ID],Table2[MC5], "Not Found", 0 )</f>
        <v>0</v>
      </c>
    </row>
    <row r="1879" spans="1:29" x14ac:dyDescent="0.3">
      <c r="A1879" s="6">
        <v>2813</v>
      </c>
      <c r="B1879" s="6">
        <v>162972</v>
      </c>
      <c r="C1879" s="6">
        <v>0</v>
      </c>
      <c r="D1879" s="6">
        <v>1</v>
      </c>
      <c r="E1879" s="6">
        <v>65</v>
      </c>
      <c r="F1879" s="5" t="s">
        <v>6</v>
      </c>
      <c r="G1879" s="5" t="s">
        <v>442</v>
      </c>
      <c r="H1879" s="3">
        <v>43678</v>
      </c>
      <c r="I1879" s="5" t="s">
        <v>434</v>
      </c>
      <c r="J1879" s="5">
        <f>_xlfn.XLOOKUP(CustomerCombined[[#This Row],[ID]], Table4[ID], Table4[Recency], "Not Found", 0)</f>
        <v>39</v>
      </c>
      <c r="K1879" s="5">
        <f>_xlfn.XLOOKUP(CustomerCombined[[#This Row],[ID]], Table4[ID], Table4[Teas], "Not Found", 0)</f>
        <v>810</v>
      </c>
      <c r="L1879" s="5">
        <f>_xlfn.XLOOKUP(CustomerCombined[[#This Row],[ID]], Table4[ID], Table4[Fruits], "Not Found", 0)</f>
        <v>39</v>
      </c>
      <c r="M1879" s="5">
        <f>_xlfn.XLOOKUP(CustomerCombined[[#This Row],[ID]], Table4[ID], Table4[Meats], "Not Found", 0)</f>
        <v>122</v>
      </c>
      <c r="N1879" s="5">
        <f>_xlfn.XLOOKUP(CustomerCombined[[#This Row],[ID]], Table4[ID], Table4[Seafood], "Not Found", 0)</f>
        <v>52</v>
      </c>
      <c r="O1879" s="5">
        <f>_xlfn.XLOOKUP(CustomerCombined[[#This Row],[ID]], Table4[ID], Table4[Sweets], "Not Found", 0)</f>
        <v>0</v>
      </c>
      <c r="P1879" s="5">
        <f>_xlfn.XLOOKUP(CustomerCombined[[#This Row],[ID]], Table4[ID], Table4[Premium], "Not Found", 0)</f>
        <v>497</v>
      </c>
      <c r="Q1879" s="5">
        <f>_xlfn.XLOOKUP(CustomerCombined[[#This Row],[ID]], Table4[ID], Table4[Regular], "Not Found", 0)</f>
        <v>525</v>
      </c>
      <c r="R1879" s="5">
        <f>_xlfn.XLOOKUP(CustomerCombined[[#This Row],[ID]], Table4[ID], Table4[Deals], "Not Found", 0)</f>
        <v>2</v>
      </c>
      <c r="S1879" s="5">
        <f>_xlfn.XLOOKUP(CustomerCombined[[#This Row],[ID]], Table4[ID], Table4[Website], "Not Found", 0)</f>
        <v>7</v>
      </c>
      <c r="T1879" s="5">
        <f>_xlfn.XLOOKUP(CustomerCombined[[#This Row],[ID]], Table4[ID], Table4[Catalog], "Not Found", 0)</f>
        <v>4</v>
      </c>
      <c r="U1879" s="5">
        <f>_xlfn.XLOOKUP(CustomerCombined[[#This Row],[ID]], Table4[ID], Table4[Store], "Not Found", 0)</f>
        <v>3</v>
      </c>
      <c r="V1879" s="5">
        <f>_xlfn.XLOOKUP(CustomerCombined[[#This Row],[ID]], Table4[ID], Table4[Visits], "Not Found", 0)</f>
        <v>6</v>
      </c>
      <c r="W1879" s="8">
        <f>_xlfn.XLOOKUP(CustomerCombined[[#This Row],[ID]], Table2[ID],Table2[Complaint], "Not Found", 0 )</f>
        <v>0</v>
      </c>
      <c r="X1879" s="8">
        <f>_xlfn.XLOOKUP(CustomerCombined[[#This Row],[ID]], Table2[ID],Table2[Pilot], "Not Found", 0 )</f>
        <v>0</v>
      </c>
      <c r="Y1879" s="8">
        <f>_xlfn.XLOOKUP(CustomerCombined[[#This Row],[ID]], Table2[ID],Table2[MC1], "Not Found", 0 )</f>
        <v>0</v>
      </c>
      <c r="Z1879" s="8">
        <f>_xlfn.XLOOKUP(CustomerCombined[[#This Row],[ID]], Table2[ID],Table2[MC2], "Not Found", 0 )</f>
        <v>0</v>
      </c>
      <c r="AA1879" s="8">
        <f>_xlfn.XLOOKUP(CustomerCombined[[#This Row],[ID]], Table2[ID],Table2[MC3], "Not Found", 0 )</f>
        <v>0</v>
      </c>
      <c r="AB1879" s="8">
        <f>_xlfn.XLOOKUP(CustomerCombined[[#This Row],[ID]], Table2[ID],Table2[MC4], "Not Found", 0 )</f>
        <v>0</v>
      </c>
      <c r="AC1879" s="8">
        <f>_xlfn.XLOOKUP(CustomerCombined[[#This Row],[ID]], Table2[ID],Table2[MC5], "Not Found", 0 )</f>
        <v>0</v>
      </c>
    </row>
    <row r="1880" spans="1:29" x14ac:dyDescent="0.3">
      <c r="A1880" s="6">
        <v>2771</v>
      </c>
      <c r="B1880" s="6">
        <v>162535</v>
      </c>
      <c r="C1880" s="6">
        <v>0</v>
      </c>
      <c r="D1880" s="6">
        <v>1</v>
      </c>
      <c r="E1880" s="6">
        <v>65</v>
      </c>
      <c r="F1880" s="5" t="s">
        <v>7</v>
      </c>
      <c r="G1880" s="5" t="s">
        <v>11</v>
      </c>
      <c r="H1880" s="3">
        <v>44077</v>
      </c>
      <c r="I1880" s="5" t="s">
        <v>434</v>
      </c>
      <c r="J1880" s="5">
        <f>_xlfn.XLOOKUP(CustomerCombined[[#This Row],[ID]], Table4[ID], Table4[Recency], "Not Found", 0)</f>
        <v>13</v>
      </c>
      <c r="K1880" s="5">
        <f>_xlfn.XLOOKUP(CustomerCombined[[#This Row],[ID]], Table4[ID], Table4[Teas], "Not Found", 0)</f>
        <v>424</v>
      </c>
      <c r="L1880" s="5">
        <f>_xlfn.XLOOKUP(CustomerCombined[[#This Row],[ID]], Table4[ID], Table4[Fruits], "Not Found", 0)</f>
        <v>125</v>
      </c>
      <c r="M1880" s="5">
        <f>_xlfn.XLOOKUP(CustomerCombined[[#This Row],[ID]], Table4[ID], Table4[Meats], "Not Found", 0)</f>
        <v>234</v>
      </c>
      <c r="N1880" s="5">
        <f>_xlfn.XLOOKUP(CustomerCombined[[#This Row],[ID]], Table4[ID], Table4[Seafood], "Not Found", 0)</f>
        <v>0</v>
      </c>
      <c r="O1880" s="5">
        <f>_xlfn.XLOOKUP(CustomerCombined[[#This Row],[ID]], Table4[ID], Table4[Sweets], "Not Found", 0)</f>
        <v>117</v>
      </c>
      <c r="P1880" s="5">
        <f>_xlfn.XLOOKUP(CustomerCombined[[#This Row],[ID]], Table4[ID], Table4[Premium], "Not Found", 0)</f>
        <v>135</v>
      </c>
      <c r="Q1880" s="5">
        <f>_xlfn.XLOOKUP(CustomerCombined[[#This Row],[ID]], Table4[ID], Table4[Regular], "Not Found", 0)</f>
        <v>764</v>
      </c>
      <c r="R1880" s="5">
        <f>_xlfn.XLOOKUP(CustomerCombined[[#This Row],[ID]], Table4[ID], Table4[Deals], "Not Found", 0)</f>
        <v>1</v>
      </c>
      <c r="S1880" s="5">
        <f>_xlfn.XLOOKUP(CustomerCombined[[#This Row],[ID]], Table4[ID], Table4[Website], "Not Found", 0)</f>
        <v>3</v>
      </c>
      <c r="T1880" s="5">
        <f>_xlfn.XLOOKUP(CustomerCombined[[#This Row],[ID]], Table4[ID], Table4[Catalog], "Not Found", 0)</f>
        <v>2</v>
      </c>
      <c r="U1880" s="5">
        <f>_xlfn.XLOOKUP(CustomerCombined[[#This Row],[ID]], Table4[ID], Table4[Store], "Not Found", 0)</f>
        <v>8</v>
      </c>
      <c r="V1880" s="5">
        <f>_xlfn.XLOOKUP(CustomerCombined[[#This Row],[ID]], Table4[ID], Table4[Visits], "Not Found", 0)</f>
        <v>3</v>
      </c>
      <c r="W1880" s="8">
        <f>_xlfn.XLOOKUP(CustomerCombined[[#This Row],[ID]], Table2[ID],Table2[Complaint], "Not Found", 0 )</f>
        <v>0</v>
      </c>
      <c r="X1880" s="8">
        <f>_xlfn.XLOOKUP(CustomerCombined[[#This Row],[ID]], Table2[ID],Table2[Pilot], "Not Found", 0 )</f>
        <v>0</v>
      </c>
      <c r="Y1880" s="8">
        <f>_xlfn.XLOOKUP(CustomerCombined[[#This Row],[ID]], Table2[ID],Table2[MC1], "Not Found", 0 )</f>
        <v>0</v>
      </c>
      <c r="Z1880" s="8">
        <f>_xlfn.XLOOKUP(CustomerCombined[[#This Row],[ID]], Table2[ID],Table2[MC2], "Not Found", 0 )</f>
        <v>0</v>
      </c>
      <c r="AA1880" s="8">
        <f>_xlfn.XLOOKUP(CustomerCombined[[#This Row],[ID]], Table2[ID],Table2[MC3], "Not Found", 0 )</f>
        <v>0</v>
      </c>
      <c r="AB1880" s="8">
        <f>_xlfn.XLOOKUP(CustomerCombined[[#This Row],[ID]], Table2[ID],Table2[MC4], "Not Found", 0 )</f>
        <v>0</v>
      </c>
      <c r="AC1880" s="8">
        <f>_xlfn.XLOOKUP(CustomerCombined[[#This Row],[ID]], Table2[ID],Table2[MC5], "Not Found", 0 )</f>
        <v>0</v>
      </c>
    </row>
    <row r="1881" spans="1:29" x14ac:dyDescent="0.3">
      <c r="A1881" s="6">
        <v>2207</v>
      </c>
      <c r="B1881" s="6">
        <v>161284</v>
      </c>
      <c r="C1881" s="6">
        <v>0</v>
      </c>
      <c r="D1881" s="6">
        <v>0</v>
      </c>
      <c r="E1881" s="6">
        <v>65</v>
      </c>
      <c r="F1881" s="5" t="s">
        <v>7</v>
      </c>
      <c r="G1881" s="5" t="s">
        <v>13</v>
      </c>
      <c r="H1881" s="3" t="s">
        <v>170</v>
      </c>
      <c r="I1881" s="5" t="s">
        <v>434</v>
      </c>
      <c r="J1881" s="5">
        <f>_xlfn.XLOOKUP(CustomerCombined[[#This Row],[ID]], Table4[ID], Table4[Recency], "Not Found", 0)</f>
        <v>76</v>
      </c>
      <c r="K1881" s="5">
        <f>_xlfn.XLOOKUP(CustomerCombined[[#This Row],[ID]], Table4[ID], Table4[Teas], "Not Found", 0)</f>
        <v>1626</v>
      </c>
      <c r="L1881" s="5">
        <f>_xlfn.XLOOKUP(CustomerCombined[[#This Row],[ID]], Table4[ID], Table4[Fruits], "Not Found", 0)</f>
        <v>39</v>
      </c>
      <c r="M1881" s="5">
        <f>_xlfn.XLOOKUP(CustomerCombined[[#This Row],[ID]], Table4[ID], Table4[Meats], "Not Found", 0)</f>
        <v>279</v>
      </c>
      <c r="N1881" s="5">
        <f>_xlfn.XLOOKUP(CustomerCombined[[#This Row],[ID]], Table4[ID], Table4[Seafood], "Not Found", 0)</f>
        <v>53</v>
      </c>
      <c r="O1881" s="5">
        <f>_xlfn.XLOOKUP(CustomerCombined[[#This Row],[ID]], Table4[ID], Table4[Sweets], "Not Found", 0)</f>
        <v>18</v>
      </c>
      <c r="P1881" s="5">
        <f>_xlfn.XLOOKUP(CustomerCombined[[#This Row],[ID]], Table4[ID], Table4[Premium], "Not Found", 0)</f>
        <v>118</v>
      </c>
      <c r="Q1881" s="5">
        <f>_xlfn.XLOOKUP(CustomerCombined[[#This Row],[ID]], Table4[ID], Table4[Regular], "Not Found", 0)</f>
        <v>1897</v>
      </c>
      <c r="R1881" s="5">
        <f>_xlfn.XLOOKUP(CustomerCombined[[#This Row],[ID]], Table4[ID], Table4[Deals], "Not Found", 0)</f>
        <v>1</v>
      </c>
      <c r="S1881" s="5">
        <f>_xlfn.XLOOKUP(CustomerCombined[[#This Row],[ID]], Table4[ID], Table4[Website], "Not Found", 0)</f>
        <v>11</v>
      </c>
      <c r="T1881" s="5">
        <f>_xlfn.XLOOKUP(CustomerCombined[[#This Row],[ID]], Table4[ID], Table4[Catalog], "Not Found", 0)</f>
        <v>2</v>
      </c>
      <c r="U1881" s="5">
        <f>_xlfn.XLOOKUP(CustomerCombined[[#This Row],[ID]], Table4[ID], Table4[Store], "Not Found", 0)</f>
        <v>8</v>
      </c>
      <c r="V1881" s="5">
        <f>_xlfn.XLOOKUP(CustomerCombined[[#This Row],[ID]], Table4[ID], Table4[Visits], "Not Found", 0)</f>
        <v>6</v>
      </c>
      <c r="W1881" s="8">
        <f>_xlfn.XLOOKUP(CustomerCombined[[#This Row],[ID]], Table2[ID],Table2[Complaint], "Not Found", 0 )</f>
        <v>0</v>
      </c>
      <c r="X1881" s="8">
        <f>_xlfn.XLOOKUP(CustomerCombined[[#This Row],[ID]], Table2[ID],Table2[Pilot], "Not Found", 0 )</f>
        <v>0</v>
      </c>
      <c r="Y1881" s="8">
        <f>_xlfn.XLOOKUP(CustomerCombined[[#This Row],[ID]], Table2[ID],Table2[MC1], "Not Found", 0 )</f>
        <v>0</v>
      </c>
      <c r="Z1881" s="8">
        <f>_xlfn.XLOOKUP(CustomerCombined[[#This Row],[ID]], Table2[ID],Table2[MC2], "Not Found", 0 )</f>
        <v>0</v>
      </c>
      <c r="AA1881" s="8">
        <f>_xlfn.XLOOKUP(CustomerCombined[[#This Row],[ID]], Table2[ID],Table2[MC3], "Not Found", 0 )</f>
        <v>0</v>
      </c>
      <c r="AB1881" s="8">
        <f>_xlfn.XLOOKUP(CustomerCombined[[#This Row],[ID]], Table2[ID],Table2[MC4], "Not Found", 0 )</f>
        <v>1</v>
      </c>
      <c r="AC1881" s="8">
        <f>_xlfn.XLOOKUP(CustomerCombined[[#This Row],[ID]], Table2[ID],Table2[MC5], "Not Found", 0 )</f>
        <v>0</v>
      </c>
    </row>
    <row r="1882" spans="1:29" x14ac:dyDescent="0.3">
      <c r="A1882" s="6">
        <v>2053</v>
      </c>
      <c r="B1882" s="6">
        <v>159925</v>
      </c>
      <c r="C1882" s="6">
        <v>0</v>
      </c>
      <c r="D1882" s="6">
        <v>1</v>
      </c>
      <c r="E1882" s="6">
        <v>65</v>
      </c>
      <c r="F1882" s="5" t="s">
        <v>8</v>
      </c>
      <c r="G1882" s="5" t="s">
        <v>11</v>
      </c>
      <c r="H1882" s="3">
        <v>43651</v>
      </c>
      <c r="I1882" s="5" t="s">
        <v>437</v>
      </c>
      <c r="J1882" s="5">
        <f>_xlfn.XLOOKUP(CustomerCombined[[#This Row],[ID]], Table4[ID], Table4[Recency], "Not Found", 0)</f>
        <v>83</v>
      </c>
      <c r="K1882" s="5">
        <f>_xlfn.XLOOKUP(CustomerCombined[[#This Row],[ID]], Table4[ID], Table4[Teas], "Not Found", 0)</f>
        <v>1262</v>
      </c>
      <c r="L1882" s="5">
        <f>_xlfn.XLOOKUP(CustomerCombined[[#This Row],[ID]], Table4[ID], Table4[Fruits], "Not Found", 0)</f>
        <v>56</v>
      </c>
      <c r="M1882" s="5">
        <f>_xlfn.XLOOKUP(CustomerCombined[[#This Row],[ID]], Table4[ID], Table4[Meats], "Not Found", 0)</f>
        <v>470</v>
      </c>
      <c r="N1882" s="5">
        <f>_xlfn.XLOOKUP(CustomerCombined[[#This Row],[ID]], Table4[ID], Table4[Seafood], "Not Found", 0)</f>
        <v>51</v>
      </c>
      <c r="O1882" s="5">
        <f>_xlfn.XLOOKUP(CustomerCombined[[#This Row],[ID]], Table4[ID], Table4[Sweets], "Not Found", 0)</f>
        <v>56</v>
      </c>
      <c r="P1882" s="5">
        <f>_xlfn.XLOOKUP(CustomerCombined[[#This Row],[ID]], Table4[ID], Table4[Premium], "Not Found", 0)</f>
        <v>149</v>
      </c>
      <c r="Q1882" s="5">
        <f>_xlfn.XLOOKUP(CustomerCombined[[#This Row],[ID]], Table4[ID], Table4[Regular], "Not Found", 0)</f>
        <v>1745</v>
      </c>
      <c r="R1882" s="5">
        <f>_xlfn.XLOOKUP(CustomerCombined[[#This Row],[ID]], Table4[ID], Table4[Deals], "Not Found", 0)</f>
        <v>3</v>
      </c>
      <c r="S1882" s="5">
        <f>_xlfn.XLOOKUP(CustomerCombined[[#This Row],[ID]], Table4[ID], Table4[Website], "Not Found", 0)</f>
        <v>9</v>
      </c>
      <c r="T1882" s="5">
        <f>_xlfn.XLOOKUP(CustomerCombined[[#This Row],[ID]], Table4[ID], Table4[Catalog], "Not Found", 0)</f>
        <v>2</v>
      </c>
      <c r="U1882" s="5">
        <f>_xlfn.XLOOKUP(CustomerCombined[[#This Row],[ID]], Table4[ID], Table4[Store], "Not Found", 0)</f>
        <v>9</v>
      </c>
      <c r="V1882" s="5">
        <f>_xlfn.XLOOKUP(CustomerCombined[[#This Row],[ID]], Table4[ID], Table4[Visits], "Not Found", 0)</f>
        <v>6</v>
      </c>
      <c r="W1882" s="8">
        <f>_xlfn.XLOOKUP(CustomerCombined[[#This Row],[ID]], Table2[ID],Table2[Complaint], "Not Found", 0 )</f>
        <v>0</v>
      </c>
      <c r="X1882" s="8">
        <f>_xlfn.XLOOKUP(CustomerCombined[[#This Row],[ID]], Table2[ID],Table2[Pilot], "Not Found", 0 )</f>
        <v>0</v>
      </c>
      <c r="Y1882" s="8">
        <f>_xlfn.XLOOKUP(CustomerCombined[[#This Row],[ID]], Table2[ID],Table2[MC1], "Not Found", 0 )</f>
        <v>0</v>
      </c>
      <c r="Z1882" s="8">
        <f>_xlfn.XLOOKUP(CustomerCombined[[#This Row],[ID]], Table2[ID],Table2[MC2], "Not Found", 0 )</f>
        <v>0</v>
      </c>
      <c r="AA1882" s="8">
        <f>_xlfn.XLOOKUP(CustomerCombined[[#This Row],[ID]], Table2[ID],Table2[MC3], "Not Found", 0 )</f>
        <v>0</v>
      </c>
      <c r="AB1882" s="8">
        <f>_xlfn.XLOOKUP(CustomerCombined[[#This Row],[ID]], Table2[ID],Table2[MC4], "Not Found", 0 )</f>
        <v>0</v>
      </c>
      <c r="AC1882" s="8">
        <f>_xlfn.XLOOKUP(CustomerCombined[[#This Row],[ID]], Table2[ID],Table2[MC5], "Not Found", 0 )</f>
        <v>0</v>
      </c>
    </row>
    <row r="1883" spans="1:29" x14ac:dyDescent="0.3">
      <c r="A1883" s="6">
        <v>2611</v>
      </c>
      <c r="B1883" s="6">
        <v>159821</v>
      </c>
      <c r="C1883" s="6">
        <v>0</v>
      </c>
      <c r="D1883" s="6">
        <v>1</v>
      </c>
      <c r="E1883" s="6">
        <v>65</v>
      </c>
      <c r="F1883" s="5" t="s">
        <v>6</v>
      </c>
      <c r="G1883" s="5" t="s">
        <v>13</v>
      </c>
      <c r="H1883" s="3" t="s">
        <v>277</v>
      </c>
      <c r="I1883" s="5" t="s">
        <v>437</v>
      </c>
      <c r="J1883" s="5">
        <f>_xlfn.XLOOKUP(CustomerCombined[[#This Row],[ID]], Table4[ID], Table4[Recency], "Not Found", 0)</f>
        <v>11</v>
      </c>
      <c r="K1883" s="5">
        <f>_xlfn.XLOOKUP(CustomerCombined[[#This Row],[ID]], Table4[ID], Table4[Teas], "Not Found", 0)</f>
        <v>1680</v>
      </c>
      <c r="L1883" s="5">
        <f>_xlfn.XLOOKUP(CustomerCombined[[#This Row],[ID]], Table4[ID], Table4[Fruits], "Not Found", 0)</f>
        <v>0</v>
      </c>
      <c r="M1883" s="5">
        <f>_xlfn.XLOOKUP(CustomerCombined[[#This Row],[ID]], Table4[ID], Table4[Meats], "Not Found", 0)</f>
        <v>187</v>
      </c>
      <c r="N1883" s="5">
        <f>_xlfn.XLOOKUP(CustomerCombined[[#This Row],[ID]], Table4[ID], Table4[Seafood], "Not Found", 0)</f>
        <v>0</v>
      </c>
      <c r="O1883" s="5">
        <f>_xlfn.XLOOKUP(CustomerCombined[[#This Row],[ID]], Table4[ID], Table4[Sweets], "Not Found", 0)</f>
        <v>0</v>
      </c>
      <c r="P1883" s="5">
        <f>_xlfn.XLOOKUP(CustomerCombined[[#This Row],[ID]], Table4[ID], Table4[Premium], "Not Found", 0)</f>
        <v>94</v>
      </c>
      <c r="Q1883" s="5">
        <f>_xlfn.XLOOKUP(CustomerCombined[[#This Row],[ID]], Table4[ID], Table4[Regular], "Not Found", 0)</f>
        <v>1774</v>
      </c>
      <c r="R1883" s="5">
        <f>_xlfn.XLOOKUP(CustomerCombined[[#This Row],[ID]], Table4[ID], Table4[Deals], "Not Found", 0)</f>
        <v>6</v>
      </c>
      <c r="S1883" s="5">
        <f>_xlfn.XLOOKUP(CustomerCombined[[#This Row],[ID]], Table4[ID], Table4[Website], "Not Found", 0)</f>
        <v>11</v>
      </c>
      <c r="T1883" s="5">
        <f>_xlfn.XLOOKUP(CustomerCombined[[#This Row],[ID]], Table4[ID], Table4[Catalog], "Not Found", 0)</f>
        <v>2</v>
      </c>
      <c r="U1883" s="5">
        <f>_xlfn.XLOOKUP(CustomerCombined[[#This Row],[ID]], Table4[ID], Table4[Store], "Not Found", 0)</f>
        <v>7</v>
      </c>
      <c r="V1883" s="5">
        <f>_xlfn.XLOOKUP(CustomerCombined[[#This Row],[ID]], Table4[ID], Table4[Visits], "Not Found", 0)</f>
        <v>8</v>
      </c>
      <c r="W1883" s="8">
        <f>_xlfn.XLOOKUP(CustomerCombined[[#This Row],[ID]], Table2[ID],Table2[Complaint], "Not Found", 0 )</f>
        <v>0</v>
      </c>
      <c r="X1883" s="8">
        <f>_xlfn.XLOOKUP(CustomerCombined[[#This Row],[ID]], Table2[ID],Table2[Pilot], "Not Found", 0 )</f>
        <v>0</v>
      </c>
      <c r="Y1883" s="8">
        <f>_xlfn.XLOOKUP(CustomerCombined[[#This Row],[ID]], Table2[ID],Table2[MC1], "Not Found", 0 )</f>
        <v>0</v>
      </c>
      <c r="Z1883" s="8">
        <f>_xlfn.XLOOKUP(CustomerCombined[[#This Row],[ID]], Table2[ID],Table2[MC2], "Not Found", 0 )</f>
        <v>0</v>
      </c>
      <c r="AA1883" s="8">
        <f>_xlfn.XLOOKUP(CustomerCombined[[#This Row],[ID]], Table2[ID],Table2[MC3], "Not Found", 0 )</f>
        <v>0</v>
      </c>
      <c r="AB1883" s="8">
        <f>_xlfn.XLOOKUP(CustomerCombined[[#This Row],[ID]], Table2[ID],Table2[MC4], "Not Found", 0 )</f>
        <v>0</v>
      </c>
      <c r="AC1883" s="8">
        <f>_xlfn.XLOOKUP(CustomerCombined[[#This Row],[ID]], Table2[ID],Table2[MC5], "Not Found", 0 )</f>
        <v>0</v>
      </c>
    </row>
    <row r="1884" spans="1:29" x14ac:dyDescent="0.3">
      <c r="A1884" s="6">
        <v>3126</v>
      </c>
      <c r="B1884" s="6">
        <v>158482</v>
      </c>
      <c r="C1884" s="6">
        <v>0</v>
      </c>
      <c r="D1884" s="6">
        <v>1</v>
      </c>
      <c r="E1884" s="6">
        <v>65</v>
      </c>
      <c r="F1884" s="5" t="s">
        <v>6</v>
      </c>
      <c r="G1884" s="5" t="s">
        <v>13</v>
      </c>
      <c r="H1884" s="3" t="s">
        <v>87</v>
      </c>
      <c r="I1884" s="5" t="s">
        <v>436</v>
      </c>
      <c r="J1884" s="5">
        <f>_xlfn.XLOOKUP(CustomerCombined[[#This Row],[ID]], Table4[ID], Table4[Recency], "Not Found", 0)</f>
        <v>59</v>
      </c>
      <c r="K1884" s="5">
        <f>_xlfn.XLOOKUP(CustomerCombined[[#This Row],[ID]], Table4[ID], Table4[Teas], "Not Found", 0)</f>
        <v>1561</v>
      </c>
      <c r="L1884" s="5">
        <f>_xlfn.XLOOKUP(CustomerCombined[[#This Row],[ID]], Table4[ID], Table4[Fruits], "Not Found", 0)</f>
        <v>19</v>
      </c>
      <c r="M1884" s="5">
        <f>_xlfn.XLOOKUP(CustomerCombined[[#This Row],[ID]], Table4[ID], Table4[Meats], "Not Found", 0)</f>
        <v>312</v>
      </c>
      <c r="N1884" s="5">
        <f>_xlfn.XLOOKUP(CustomerCombined[[#This Row],[ID]], Table4[ID], Table4[Seafood], "Not Found", 0)</f>
        <v>51</v>
      </c>
      <c r="O1884" s="5">
        <f>_xlfn.XLOOKUP(CustomerCombined[[#This Row],[ID]], Table4[ID], Table4[Sweets], "Not Found", 0)</f>
        <v>19</v>
      </c>
      <c r="P1884" s="5">
        <f>_xlfn.XLOOKUP(CustomerCombined[[#This Row],[ID]], Table4[ID], Table4[Premium], "Not Found", 0)</f>
        <v>19</v>
      </c>
      <c r="Q1884" s="5">
        <f>_xlfn.XLOOKUP(CustomerCombined[[#This Row],[ID]], Table4[ID], Table4[Regular], "Not Found", 0)</f>
        <v>1943</v>
      </c>
      <c r="R1884" s="5">
        <f>_xlfn.XLOOKUP(CustomerCombined[[#This Row],[ID]], Table4[ID], Table4[Deals], "Not Found", 0)</f>
        <v>2</v>
      </c>
      <c r="S1884" s="5">
        <f>_xlfn.XLOOKUP(CustomerCombined[[#This Row],[ID]], Table4[ID], Table4[Website], "Not Found", 0)</f>
        <v>7</v>
      </c>
      <c r="T1884" s="5">
        <f>_xlfn.XLOOKUP(CustomerCombined[[#This Row],[ID]], Table4[ID], Table4[Catalog], "Not Found", 0)</f>
        <v>4</v>
      </c>
      <c r="U1884" s="5">
        <f>_xlfn.XLOOKUP(CustomerCombined[[#This Row],[ID]], Table4[ID], Table4[Store], "Not Found", 0)</f>
        <v>9</v>
      </c>
      <c r="V1884" s="5">
        <f>_xlfn.XLOOKUP(CustomerCombined[[#This Row],[ID]], Table4[ID], Table4[Visits], "Not Found", 0)</f>
        <v>6</v>
      </c>
      <c r="W1884" s="8">
        <f>_xlfn.XLOOKUP(CustomerCombined[[#This Row],[ID]], Table2[ID],Table2[Complaint], "Not Found", 0 )</f>
        <v>0</v>
      </c>
      <c r="X1884" s="8">
        <f>_xlfn.XLOOKUP(CustomerCombined[[#This Row],[ID]], Table2[ID],Table2[Pilot], "Not Found", 0 )</f>
        <v>0</v>
      </c>
      <c r="Y1884" s="8">
        <f>_xlfn.XLOOKUP(CustomerCombined[[#This Row],[ID]], Table2[ID],Table2[MC1], "Not Found", 0 )</f>
        <v>0</v>
      </c>
      <c r="Z1884" s="8">
        <f>_xlfn.XLOOKUP(CustomerCombined[[#This Row],[ID]], Table2[ID],Table2[MC2], "Not Found", 0 )</f>
        <v>0</v>
      </c>
      <c r="AA1884" s="8">
        <f>_xlfn.XLOOKUP(CustomerCombined[[#This Row],[ID]], Table2[ID],Table2[MC3], "Not Found", 0 )</f>
        <v>0</v>
      </c>
      <c r="AB1884" s="8">
        <f>_xlfn.XLOOKUP(CustomerCombined[[#This Row],[ID]], Table2[ID],Table2[MC4], "Not Found", 0 )</f>
        <v>1</v>
      </c>
      <c r="AC1884" s="8">
        <f>_xlfn.XLOOKUP(CustomerCombined[[#This Row],[ID]], Table2[ID],Table2[MC5], "Not Found", 0 )</f>
        <v>0</v>
      </c>
    </row>
    <row r="1885" spans="1:29" x14ac:dyDescent="0.3">
      <c r="A1885" s="6">
        <v>3079</v>
      </c>
      <c r="B1885" s="6">
        <v>158275</v>
      </c>
      <c r="C1885" s="6">
        <v>1</v>
      </c>
      <c r="D1885" s="6">
        <v>1</v>
      </c>
      <c r="E1885" s="6">
        <v>65</v>
      </c>
      <c r="F1885" s="5" t="s">
        <v>9</v>
      </c>
      <c r="G1885" s="5" t="s">
        <v>11</v>
      </c>
      <c r="H1885" s="3">
        <v>43657</v>
      </c>
      <c r="I1885" s="5" t="s">
        <v>437</v>
      </c>
      <c r="J1885" s="5">
        <f>_xlfn.XLOOKUP(CustomerCombined[[#This Row],[ID]], Table4[ID], Table4[Recency], "Not Found", 0)</f>
        <v>48</v>
      </c>
      <c r="K1885" s="5">
        <f>_xlfn.XLOOKUP(CustomerCombined[[#This Row],[ID]], Table4[ID], Table4[Teas], "Not Found", 0)</f>
        <v>513</v>
      </c>
      <c r="L1885" s="5">
        <f>_xlfn.XLOOKUP(CustomerCombined[[#This Row],[ID]], Table4[ID], Table4[Fruits], "Not Found", 0)</f>
        <v>27</v>
      </c>
      <c r="M1885" s="5">
        <f>_xlfn.XLOOKUP(CustomerCombined[[#This Row],[ID]], Table4[ID], Table4[Meats], "Not Found", 0)</f>
        <v>687</v>
      </c>
      <c r="N1885" s="5">
        <f>_xlfn.XLOOKUP(CustomerCombined[[#This Row],[ID]], Table4[ID], Table4[Seafood], "Not Found", 0)</f>
        <v>152</v>
      </c>
      <c r="O1885" s="5">
        <f>_xlfn.XLOOKUP(CustomerCombined[[#This Row],[ID]], Table4[ID], Table4[Sweets], "Not Found", 0)</f>
        <v>117</v>
      </c>
      <c r="P1885" s="5">
        <f>_xlfn.XLOOKUP(CustomerCombined[[#This Row],[ID]], Table4[ID], Table4[Premium], "Not Found", 0)</f>
        <v>174</v>
      </c>
      <c r="Q1885" s="5">
        <f>_xlfn.XLOOKUP(CustomerCombined[[#This Row],[ID]], Table4[ID], Table4[Regular], "Not Found", 0)</f>
        <v>1323</v>
      </c>
      <c r="R1885" s="5">
        <f>_xlfn.XLOOKUP(CustomerCombined[[#This Row],[ID]], Table4[ID], Table4[Deals], "Not Found", 0)</f>
        <v>6</v>
      </c>
      <c r="S1885" s="5">
        <f>_xlfn.XLOOKUP(CustomerCombined[[#This Row],[ID]], Table4[ID], Table4[Website], "Not Found", 0)</f>
        <v>8</v>
      </c>
      <c r="T1885" s="5">
        <f>_xlfn.XLOOKUP(CustomerCombined[[#This Row],[ID]], Table4[ID], Table4[Catalog], "Not Found", 0)</f>
        <v>2</v>
      </c>
      <c r="U1885" s="5">
        <f>_xlfn.XLOOKUP(CustomerCombined[[#This Row],[ID]], Table4[ID], Table4[Store], "Not Found", 0)</f>
        <v>7</v>
      </c>
      <c r="V1885" s="5">
        <f>_xlfn.XLOOKUP(CustomerCombined[[#This Row],[ID]], Table4[ID], Table4[Visits], "Not Found", 0)</f>
        <v>7</v>
      </c>
      <c r="W1885" s="8">
        <f>_xlfn.XLOOKUP(CustomerCombined[[#This Row],[ID]], Table2[ID],Table2[Complaint], "Not Found", 0 )</f>
        <v>0</v>
      </c>
      <c r="X1885" s="8">
        <f>_xlfn.XLOOKUP(CustomerCombined[[#This Row],[ID]], Table2[ID],Table2[Pilot], "Not Found", 0 )</f>
        <v>0</v>
      </c>
      <c r="Y1885" s="8">
        <f>_xlfn.XLOOKUP(CustomerCombined[[#This Row],[ID]], Table2[ID],Table2[MC1], "Not Found", 0 )</f>
        <v>0</v>
      </c>
      <c r="Z1885" s="8">
        <f>_xlfn.XLOOKUP(CustomerCombined[[#This Row],[ID]], Table2[ID],Table2[MC2], "Not Found", 0 )</f>
        <v>0</v>
      </c>
      <c r="AA1885" s="8">
        <f>_xlfn.XLOOKUP(CustomerCombined[[#This Row],[ID]], Table2[ID],Table2[MC3], "Not Found", 0 )</f>
        <v>0</v>
      </c>
      <c r="AB1885" s="8">
        <f>_xlfn.XLOOKUP(CustomerCombined[[#This Row],[ID]], Table2[ID],Table2[MC4], "Not Found", 0 )</f>
        <v>0</v>
      </c>
      <c r="AC1885" s="8">
        <f>_xlfn.XLOOKUP(CustomerCombined[[#This Row],[ID]], Table2[ID],Table2[MC5], "Not Found", 0 )</f>
        <v>0</v>
      </c>
    </row>
    <row r="1886" spans="1:29" x14ac:dyDescent="0.3">
      <c r="A1886" s="6">
        <v>1434</v>
      </c>
      <c r="B1886" s="6">
        <v>157959</v>
      </c>
      <c r="C1886" s="6">
        <v>0</v>
      </c>
      <c r="D1886" s="6">
        <v>1</v>
      </c>
      <c r="E1886" s="6">
        <v>65</v>
      </c>
      <c r="F1886" s="5" t="s">
        <v>7</v>
      </c>
      <c r="G1886" s="5" t="s">
        <v>11</v>
      </c>
      <c r="H1886" s="3">
        <v>43656</v>
      </c>
      <c r="I1886" s="5" t="s">
        <v>436</v>
      </c>
      <c r="J1886" s="5">
        <f>_xlfn.XLOOKUP(CustomerCombined[[#This Row],[ID]], Table4[ID], Table4[Recency], "Not Found", 0)</f>
        <v>71</v>
      </c>
      <c r="K1886" s="5">
        <f>_xlfn.XLOOKUP(CustomerCombined[[#This Row],[ID]], Table4[ID], Table4[Teas], "Not Found", 0)</f>
        <v>1172</v>
      </c>
      <c r="L1886" s="5">
        <f>_xlfn.XLOOKUP(CustomerCombined[[#This Row],[ID]], Table4[ID], Table4[Fruits], "Not Found", 0)</f>
        <v>44</v>
      </c>
      <c r="M1886" s="5">
        <f>_xlfn.XLOOKUP(CustomerCombined[[#This Row],[ID]], Table4[ID], Table4[Meats], "Not Found", 0)</f>
        <v>878</v>
      </c>
      <c r="N1886" s="5">
        <f>_xlfn.XLOOKUP(CustomerCombined[[#This Row],[ID]], Table4[ID], Table4[Seafood], "Not Found", 0)</f>
        <v>117</v>
      </c>
      <c r="O1886" s="5">
        <f>_xlfn.XLOOKUP(CustomerCombined[[#This Row],[ID]], Table4[ID], Table4[Sweets], "Not Found", 0)</f>
        <v>65</v>
      </c>
      <c r="P1886" s="5">
        <f>_xlfn.XLOOKUP(CustomerCombined[[#This Row],[ID]], Table4[ID], Table4[Premium], "Not Found", 0)</f>
        <v>90</v>
      </c>
      <c r="Q1886" s="5">
        <f>_xlfn.XLOOKUP(CustomerCombined[[#This Row],[ID]], Table4[ID], Table4[Regular], "Not Found", 0)</f>
        <v>2186</v>
      </c>
      <c r="R1886" s="5">
        <f>_xlfn.XLOOKUP(CustomerCombined[[#This Row],[ID]], Table4[ID], Table4[Deals], "Not Found", 0)</f>
        <v>5</v>
      </c>
      <c r="S1886" s="5">
        <f>_xlfn.XLOOKUP(CustomerCombined[[#This Row],[ID]], Table4[ID], Table4[Website], "Not Found", 0)</f>
        <v>4</v>
      </c>
      <c r="T1886" s="5">
        <f>_xlfn.XLOOKUP(CustomerCombined[[#This Row],[ID]], Table4[ID], Table4[Catalog], "Not Found", 0)</f>
        <v>7</v>
      </c>
      <c r="U1886" s="5">
        <f>_xlfn.XLOOKUP(CustomerCombined[[#This Row],[ID]], Table4[ID], Table4[Store], "Not Found", 0)</f>
        <v>11</v>
      </c>
      <c r="V1886" s="5">
        <f>_xlfn.XLOOKUP(CustomerCombined[[#This Row],[ID]], Table4[ID], Table4[Visits], "Not Found", 0)</f>
        <v>3</v>
      </c>
      <c r="W1886" s="8">
        <f>_xlfn.XLOOKUP(CustomerCombined[[#This Row],[ID]], Table2[ID],Table2[Complaint], "Not Found", 0 )</f>
        <v>0</v>
      </c>
      <c r="X1886" s="8">
        <f>_xlfn.XLOOKUP(CustomerCombined[[#This Row],[ID]], Table2[ID],Table2[Pilot], "Not Found", 0 )</f>
        <v>0</v>
      </c>
      <c r="Y1886" s="8">
        <f>_xlfn.XLOOKUP(CustomerCombined[[#This Row],[ID]], Table2[ID],Table2[MC1], "Not Found", 0 )</f>
        <v>0</v>
      </c>
      <c r="Z1886" s="8">
        <f>_xlfn.XLOOKUP(CustomerCombined[[#This Row],[ID]], Table2[ID],Table2[MC2], "Not Found", 0 )</f>
        <v>0</v>
      </c>
      <c r="AA1886" s="8">
        <f>_xlfn.XLOOKUP(CustomerCombined[[#This Row],[ID]], Table2[ID],Table2[MC3], "Not Found", 0 )</f>
        <v>0</v>
      </c>
      <c r="AB1886" s="8">
        <f>_xlfn.XLOOKUP(CustomerCombined[[#This Row],[ID]], Table2[ID],Table2[MC4], "Not Found", 0 )</f>
        <v>0</v>
      </c>
      <c r="AC1886" s="8">
        <f>_xlfn.XLOOKUP(CustomerCombined[[#This Row],[ID]], Table2[ID],Table2[MC5], "Not Found", 0 )</f>
        <v>0</v>
      </c>
    </row>
    <row r="1887" spans="1:29" x14ac:dyDescent="0.3">
      <c r="A1887" s="6">
        <v>1388</v>
      </c>
      <c r="B1887" s="6">
        <v>155521</v>
      </c>
      <c r="C1887" s="6">
        <v>1</v>
      </c>
      <c r="D1887" s="6">
        <v>2</v>
      </c>
      <c r="E1887" s="6">
        <v>65</v>
      </c>
      <c r="F1887" s="5" t="s">
        <v>7</v>
      </c>
      <c r="G1887" s="5" t="s">
        <v>13</v>
      </c>
      <c r="H1887" s="3" t="s">
        <v>160</v>
      </c>
      <c r="I1887" s="5" t="s">
        <v>438</v>
      </c>
      <c r="J1887" s="5">
        <f>_xlfn.XLOOKUP(CustomerCombined[[#This Row],[ID]], Table4[ID], Table4[Recency], "Not Found", 0)</f>
        <v>11</v>
      </c>
      <c r="K1887" s="5">
        <f>_xlfn.XLOOKUP(CustomerCombined[[#This Row],[ID]], Table4[ID], Table4[Teas], "Not Found", 0)</f>
        <v>1165</v>
      </c>
      <c r="L1887" s="5">
        <f>_xlfn.XLOOKUP(CustomerCombined[[#This Row],[ID]], Table4[ID], Table4[Fruits], "Not Found", 0)</f>
        <v>0</v>
      </c>
      <c r="M1887" s="5">
        <f>_xlfn.XLOOKUP(CustomerCombined[[#This Row],[ID]], Table4[ID], Table4[Meats], "Not Found", 0)</f>
        <v>73</v>
      </c>
      <c r="N1887" s="5">
        <f>_xlfn.XLOOKUP(CustomerCombined[[#This Row],[ID]], Table4[ID], Table4[Seafood], "Not Found", 0)</f>
        <v>0</v>
      </c>
      <c r="O1887" s="5">
        <f>_xlfn.XLOOKUP(CustomerCombined[[#This Row],[ID]], Table4[ID], Table4[Sweets], "Not Found", 0)</f>
        <v>0</v>
      </c>
      <c r="P1887" s="5">
        <f>_xlfn.XLOOKUP(CustomerCombined[[#This Row],[ID]], Table4[ID], Table4[Premium], "Not Found", 0)</f>
        <v>11</v>
      </c>
      <c r="Q1887" s="5">
        <f>_xlfn.XLOOKUP(CustomerCombined[[#This Row],[ID]], Table4[ID], Table4[Regular], "Not Found", 0)</f>
        <v>1227</v>
      </c>
      <c r="R1887" s="5">
        <f>_xlfn.XLOOKUP(CustomerCombined[[#This Row],[ID]], Table4[ID], Table4[Deals], "Not Found", 0)</f>
        <v>9</v>
      </c>
      <c r="S1887" s="5">
        <f>_xlfn.XLOOKUP(CustomerCombined[[#This Row],[ID]], Table4[ID], Table4[Website], "Not Found", 0)</f>
        <v>6</v>
      </c>
      <c r="T1887" s="5">
        <f>_xlfn.XLOOKUP(CustomerCombined[[#This Row],[ID]], Table4[ID], Table4[Catalog], "Not Found", 0)</f>
        <v>3</v>
      </c>
      <c r="U1887" s="5">
        <f>_xlfn.XLOOKUP(CustomerCombined[[#This Row],[ID]], Table4[ID], Table4[Store], "Not Found", 0)</f>
        <v>6</v>
      </c>
      <c r="V1887" s="5">
        <f>_xlfn.XLOOKUP(CustomerCombined[[#This Row],[ID]], Table4[ID], Table4[Visits], "Not Found", 0)</f>
        <v>7</v>
      </c>
      <c r="W1887" s="8">
        <f>_xlfn.XLOOKUP(CustomerCombined[[#This Row],[ID]], Table2[ID],Table2[Complaint], "Not Found", 0 )</f>
        <v>0</v>
      </c>
      <c r="X1887" s="8">
        <f>_xlfn.XLOOKUP(CustomerCombined[[#This Row],[ID]], Table2[ID],Table2[Pilot], "Not Found", 0 )</f>
        <v>1</v>
      </c>
      <c r="Y1887" s="8">
        <f>_xlfn.XLOOKUP(CustomerCombined[[#This Row],[ID]], Table2[ID],Table2[MC1], "Not Found", 0 )</f>
        <v>0</v>
      </c>
      <c r="Z1887" s="8">
        <f>_xlfn.XLOOKUP(CustomerCombined[[#This Row],[ID]], Table2[ID],Table2[MC2], "Not Found", 0 )</f>
        <v>0</v>
      </c>
      <c r="AA1887" s="8">
        <f>_xlfn.XLOOKUP(CustomerCombined[[#This Row],[ID]], Table2[ID],Table2[MC3], "Not Found", 0 )</f>
        <v>0</v>
      </c>
      <c r="AB1887" s="8">
        <f>_xlfn.XLOOKUP(CustomerCombined[[#This Row],[ID]], Table2[ID],Table2[MC4], "Not Found", 0 )</f>
        <v>1</v>
      </c>
      <c r="AC1887" s="8">
        <f>_xlfn.XLOOKUP(CustomerCombined[[#This Row],[ID]], Table2[ID],Table2[MC5], "Not Found", 0 )</f>
        <v>0</v>
      </c>
    </row>
    <row r="1888" spans="1:29" x14ac:dyDescent="0.3">
      <c r="A1888" s="6">
        <v>1572</v>
      </c>
      <c r="B1888" s="6">
        <v>153863</v>
      </c>
      <c r="C1888" s="6">
        <v>0</v>
      </c>
      <c r="D1888" s="6">
        <v>1</v>
      </c>
      <c r="E1888" s="6">
        <v>65</v>
      </c>
      <c r="F1888" s="5" t="s">
        <v>8</v>
      </c>
      <c r="G1888" s="5" t="s">
        <v>11</v>
      </c>
      <c r="H1888" s="3" t="s">
        <v>48</v>
      </c>
      <c r="I1888" s="5" t="s">
        <v>436</v>
      </c>
      <c r="J1888" s="5">
        <f>_xlfn.XLOOKUP(CustomerCombined[[#This Row],[ID]], Table4[ID], Table4[Recency], "Not Found", 0)</f>
        <v>4</v>
      </c>
      <c r="K1888" s="5">
        <f>_xlfn.XLOOKUP(CustomerCombined[[#This Row],[ID]], Table4[ID], Table4[Teas], "Not Found", 0)</f>
        <v>1140</v>
      </c>
      <c r="L1888" s="5">
        <f>_xlfn.XLOOKUP(CustomerCombined[[#This Row],[ID]], Table4[ID], Table4[Fruits], "Not Found", 0)</f>
        <v>11</v>
      </c>
      <c r="M1888" s="5">
        <f>_xlfn.XLOOKUP(CustomerCombined[[#This Row],[ID]], Table4[ID], Table4[Meats], "Not Found", 0)</f>
        <v>86</v>
      </c>
      <c r="N1888" s="5">
        <f>_xlfn.XLOOKUP(CustomerCombined[[#This Row],[ID]], Table4[ID], Table4[Seafood], "Not Found", 0)</f>
        <v>17</v>
      </c>
      <c r="O1888" s="5">
        <f>_xlfn.XLOOKUP(CustomerCombined[[#This Row],[ID]], Table4[ID], Table4[Sweets], "Not Found", 0)</f>
        <v>11</v>
      </c>
      <c r="P1888" s="5">
        <f>_xlfn.XLOOKUP(CustomerCombined[[#This Row],[ID]], Table4[ID], Table4[Premium], "Not Found", 0)</f>
        <v>86</v>
      </c>
      <c r="Q1888" s="5">
        <f>_xlfn.XLOOKUP(CustomerCombined[[#This Row],[ID]], Table4[ID], Table4[Regular], "Not Found", 0)</f>
        <v>1180</v>
      </c>
      <c r="R1888" s="5">
        <f>_xlfn.XLOOKUP(CustomerCombined[[#This Row],[ID]], Table4[ID], Table4[Deals], "Not Found", 0)</f>
        <v>3</v>
      </c>
      <c r="S1888" s="5">
        <f>_xlfn.XLOOKUP(CustomerCombined[[#This Row],[ID]], Table4[ID], Table4[Website], "Not Found", 0)</f>
        <v>7</v>
      </c>
      <c r="T1888" s="5">
        <f>_xlfn.XLOOKUP(CustomerCombined[[#This Row],[ID]], Table4[ID], Table4[Catalog], "Not Found", 0)</f>
        <v>1</v>
      </c>
      <c r="U1888" s="5">
        <f>_xlfn.XLOOKUP(CustomerCombined[[#This Row],[ID]], Table4[ID], Table4[Store], "Not Found", 0)</f>
        <v>7</v>
      </c>
      <c r="V1888" s="5">
        <f>_xlfn.XLOOKUP(CustomerCombined[[#This Row],[ID]], Table4[ID], Table4[Visits], "Not Found", 0)</f>
        <v>7</v>
      </c>
      <c r="W1888" s="8">
        <f>_xlfn.XLOOKUP(CustomerCombined[[#This Row],[ID]], Table2[ID],Table2[Complaint], "Not Found", 0 )</f>
        <v>0</v>
      </c>
      <c r="X1888" s="8">
        <f>_xlfn.XLOOKUP(CustomerCombined[[#This Row],[ID]], Table2[ID],Table2[Pilot], "Not Found", 0 )</f>
        <v>0</v>
      </c>
      <c r="Y1888" s="8">
        <f>_xlfn.XLOOKUP(CustomerCombined[[#This Row],[ID]], Table2[ID],Table2[MC1], "Not Found", 0 )</f>
        <v>0</v>
      </c>
      <c r="Z1888" s="8">
        <f>_xlfn.XLOOKUP(CustomerCombined[[#This Row],[ID]], Table2[ID],Table2[MC2], "Not Found", 0 )</f>
        <v>0</v>
      </c>
      <c r="AA1888" s="8">
        <f>_xlfn.XLOOKUP(CustomerCombined[[#This Row],[ID]], Table2[ID],Table2[MC3], "Not Found", 0 )</f>
        <v>0</v>
      </c>
      <c r="AB1888" s="8">
        <f>_xlfn.XLOOKUP(CustomerCombined[[#This Row],[ID]], Table2[ID],Table2[MC4], "Not Found", 0 )</f>
        <v>1</v>
      </c>
      <c r="AC1888" s="8">
        <f>_xlfn.XLOOKUP(CustomerCombined[[#This Row],[ID]], Table2[ID],Table2[MC5], "Not Found", 0 )</f>
        <v>0</v>
      </c>
    </row>
    <row r="1889" spans="1:29" x14ac:dyDescent="0.3">
      <c r="A1889" s="6">
        <v>1794</v>
      </c>
      <c r="B1889" s="6">
        <v>152750</v>
      </c>
      <c r="C1889" s="6">
        <v>0</v>
      </c>
      <c r="D1889" s="6">
        <v>1</v>
      </c>
      <c r="E1889" s="6">
        <v>65</v>
      </c>
      <c r="F1889" s="5" t="s">
        <v>6</v>
      </c>
      <c r="G1889" s="5" t="s">
        <v>12</v>
      </c>
      <c r="H1889" s="3">
        <v>43806</v>
      </c>
      <c r="I1889" s="5" t="s">
        <v>436</v>
      </c>
      <c r="J1889" s="5">
        <f>_xlfn.XLOOKUP(CustomerCombined[[#This Row],[ID]], Table4[ID], Table4[Recency], "Not Found", 0)</f>
        <v>72</v>
      </c>
      <c r="K1889" s="5">
        <f>_xlfn.XLOOKUP(CustomerCombined[[#This Row],[ID]], Table4[ID], Table4[Teas], "Not Found", 0)</f>
        <v>1138</v>
      </c>
      <c r="L1889" s="5">
        <f>_xlfn.XLOOKUP(CustomerCombined[[#This Row],[ID]], Table4[ID], Table4[Fruits], "Not Found", 0)</f>
        <v>0</v>
      </c>
      <c r="M1889" s="5">
        <f>_xlfn.XLOOKUP(CustomerCombined[[#This Row],[ID]], Table4[ID], Table4[Meats], "Not Found", 0)</f>
        <v>692</v>
      </c>
      <c r="N1889" s="5">
        <f>_xlfn.XLOOKUP(CustomerCombined[[#This Row],[ID]], Table4[ID], Table4[Seafood], "Not Found", 0)</f>
        <v>261</v>
      </c>
      <c r="O1889" s="5">
        <f>_xlfn.XLOOKUP(CustomerCombined[[#This Row],[ID]], Table4[ID], Table4[Sweets], "Not Found", 0)</f>
        <v>200</v>
      </c>
      <c r="P1889" s="5">
        <f>_xlfn.XLOOKUP(CustomerCombined[[#This Row],[ID]], Table4[ID], Table4[Premium], "Not Found", 0)</f>
        <v>200</v>
      </c>
      <c r="Q1889" s="5">
        <f>_xlfn.XLOOKUP(CustomerCombined[[#This Row],[ID]], Table4[ID], Table4[Regular], "Not Found", 0)</f>
        <v>2091</v>
      </c>
      <c r="R1889" s="5">
        <f>_xlfn.XLOOKUP(CustomerCombined[[#This Row],[ID]], Table4[ID], Table4[Deals], "Not Found", 0)</f>
        <v>6</v>
      </c>
      <c r="S1889" s="5">
        <f>_xlfn.XLOOKUP(CustomerCombined[[#This Row],[ID]], Table4[ID], Table4[Website], "Not Found", 0)</f>
        <v>5</v>
      </c>
      <c r="T1889" s="5">
        <f>_xlfn.XLOOKUP(CustomerCombined[[#This Row],[ID]], Table4[ID], Table4[Catalog], "Not Found", 0)</f>
        <v>7</v>
      </c>
      <c r="U1889" s="5">
        <f>_xlfn.XLOOKUP(CustomerCombined[[#This Row],[ID]], Table4[ID], Table4[Store], "Not Found", 0)</f>
        <v>9</v>
      </c>
      <c r="V1889" s="5">
        <f>_xlfn.XLOOKUP(CustomerCombined[[#This Row],[ID]], Table4[ID], Table4[Visits], "Not Found", 0)</f>
        <v>4</v>
      </c>
      <c r="W1889" s="8">
        <f>_xlfn.XLOOKUP(CustomerCombined[[#This Row],[ID]], Table2[ID],Table2[Complaint], "Not Found", 0 )</f>
        <v>0</v>
      </c>
      <c r="X1889" s="8">
        <f>_xlfn.XLOOKUP(CustomerCombined[[#This Row],[ID]], Table2[ID],Table2[Pilot], "Not Found", 0 )</f>
        <v>0</v>
      </c>
      <c r="Y1889" s="8">
        <f>_xlfn.XLOOKUP(CustomerCombined[[#This Row],[ID]], Table2[ID],Table2[MC1], "Not Found", 0 )</f>
        <v>0</v>
      </c>
      <c r="Z1889" s="8">
        <f>_xlfn.XLOOKUP(CustomerCombined[[#This Row],[ID]], Table2[ID],Table2[MC2], "Not Found", 0 )</f>
        <v>0</v>
      </c>
      <c r="AA1889" s="8">
        <f>_xlfn.XLOOKUP(CustomerCombined[[#This Row],[ID]], Table2[ID],Table2[MC3], "Not Found", 0 )</f>
        <v>0</v>
      </c>
      <c r="AB1889" s="8">
        <f>_xlfn.XLOOKUP(CustomerCombined[[#This Row],[ID]], Table2[ID],Table2[MC4], "Not Found", 0 )</f>
        <v>0</v>
      </c>
      <c r="AC1889" s="8">
        <f>_xlfn.XLOOKUP(CustomerCombined[[#This Row],[ID]], Table2[ID],Table2[MC5], "Not Found", 0 )</f>
        <v>0</v>
      </c>
    </row>
    <row r="1890" spans="1:29" x14ac:dyDescent="0.3">
      <c r="A1890" s="6">
        <v>1759</v>
      </c>
      <c r="B1890" s="6">
        <v>151124</v>
      </c>
      <c r="C1890" s="6">
        <v>1</v>
      </c>
      <c r="D1890" s="6">
        <v>1</v>
      </c>
      <c r="E1890" s="6">
        <v>65</v>
      </c>
      <c r="F1890" s="5" t="s">
        <v>7</v>
      </c>
      <c r="G1890" s="5" t="s">
        <v>12</v>
      </c>
      <c r="H1890" s="3" t="s">
        <v>130</v>
      </c>
      <c r="I1890" s="5" t="s">
        <v>437</v>
      </c>
      <c r="J1890" s="5">
        <f>_xlfn.XLOOKUP(CustomerCombined[[#This Row],[ID]], Table4[ID], Table4[Recency], "Not Found", 0)</f>
        <v>79</v>
      </c>
      <c r="K1890" s="5">
        <f>_xlfn.XLOOKUP(CustomerCombined[[#This Row],[ID]], Table4[ID], Table4[Teas], "Not Found", 0)</f>
        <v>77</v>
      </c>
      <c r="L1890" s="5">
        <f>_xlfn.XLOOKUP(CustomerCombined[[#This Row],[ID]], Table4[ID], Table4[Fruits], "Not Found", 0)</f>
        <v>3</v>
      </c>
      <c r="M1890" s="5">
        <f>_xlfn.XLOOKUP(CustomerCombined[[#This Row],[ID]], Table4[ID], Table4[Meats], "Not Found", 0)</f>
        <v>33</v>
      </c>
      <c r="N1890" s="5">
        <f>_xlfn.XLOOKUP(CustomerCombined[[#This Row],[ID]], Table4[ID], Table4[Seafood], "Not Found", 0)</f>
        <v>0</v>
      </c>
      <c r="O1890" s="5">
        <f>_xlfn.XLOOKUP(CustomerCombined[[#This Row],[ID]], Table4[ID], Table4[Sweets], "Not Found", 0)</f>
        <v>3</v>
      </c>
      <c r="P1890" s="5">
        <f>_xlfn.XLOOKUP(CustomerCombined[[#This Row],[ID]], Table4[ID], Table4[Premium], "Not Found", 0)</f>
        <v>12</v>
      </c>
      <c r="Q1890" s="5">
        <f>_xlfn.XLOOKUP(CustomerCombined[[#This Row],[ID]], Table4[ID], Table4[Regular], "Not Found", 0)</f>
        <v>103</v>
      </c>
      <c r="R1890" s="5">
        <f>_xlfn.XLOOKUP(CustomerCombined[[#This Row],[ID]], Table4[ID], Table4[Deals], "Not Found", 0)</f>
        <v>2</v>
      </c>
      <c r="S1890" s="5">
        <f>_xlfn.XLOOKUP(CustomerCombined[[#This Row],[ID]], Table4[ID], Table4[Website], "Not Found", 0)</f>
        <v>1</v>
      </c>
      <c r="T1890" s="5">
        <f>_xlfn.XLOOKUP(CustomerCombined[[#This Row],[ID]], Table4[ID], Table4[Catalog], "Not Found", 0)</f>
        <v>0</v>
      </c>
      <c r="U1890" s="5">
        <f>_xlfn.XLOOKUP(CustomerCombined[[#This Row],[ID]], Table4[ID], Table4[Store], "Not Found", 0)</f>
        <v>3</v>
      </c>
      <c r="V1890" s="5">
        <f>_xlfn.XLOOKUP(CustomerCombined[[#This Row],[ID]], Table4[ID], Table4[Visits], "Not Found", 0)</f>
        <v>3</v>
      </c>
      <c r="W1890" s="8">
        <f>_xlfn.XLOOKUP(CustomerCombined[[#This Row],[ID]], Table2[ID],Table2[Complaint], "Not Found", 0 )</f>
        <v>0</v>
      </c>
      <c r="X1890" s="8">
        <f>_xlfn.XLOOKUP(CustomerCombined[[#This Row],[ID]], Table2[ID],Table2[Pilot], "Not Found", 0 )</f>
        <v>0</v>
      </c>
      <c r="Y1890" s="8">
        <f>_xlfn.XLOOKUP(CustomerCombined[[#This Row],[ID]], Table2[ID],Table2[MC1], "Not Found", 0 )</f>
        <v>0</v>
      </c>
      <c r="Z1890" s="8">
        <f>_xlfn.XLOOKUP(CustomerCombined[[#This Row],[ID]], Table2[ID],Table2[MC2], "Not Found", 0 )</f>
        <v>0</v>
      </c>
      <c r="AA1890" s="8">
        <f>_xlfn.XLOOKUP(CustomerCombined[[#This Row],[ID]], Table2[ID],Table2[MC3], "Not Found", 0 )</f>
        <v>0</v>
      </c>
      <c r="AB1890" s="8">
        <f>_xlfn.XLOOKUP(CustomerCombined[[#This Row],[ID]], Table2[ID],Table2[MC4], "Not Found", 0 )</f>
        <v>0</v>
      </c>
      <c r="AC1890" s="8">
        <f>_xlfn.XLOOKUP(CustomerCombined[[#This Row],[ID]], Table2[ID],Table2[MC5], "Not Found", 0 )</f>
        <v>0</v>
      </c>
    </row>
    <row r="1891" spans="1:29" x14ac:dyDescent="0.3">
      <c r="A1891" s="6">
        <v>1340</v>
      </c>
      <c r="B1891" s="6">
        <v>150737</v>
      </c>
      <c r="C1891" s="6">
        <v>0</v>
      </c>
      <c r="D1891" s="6">
        <v>1</v>
      </c>
      <c r="E1891" s="6">
        <v>65</v>
      </c>
      <c r="F1891" s="5" t="s">
        <v>6</v>
      </c>
      <c r="G1891" s="5" t="s">
        <v>11</v>
      </c>
      <c r="H1891" s="3" t="s">
        <v>260</v>
      </c>
      <c r="I1891" s="5" t="s">
        <v>438</v>
      </c>
      <c r="J1891" s="5">
        <f>_xlfn.XLOOKUP(CustomerCombined[[#This Row],[ID]], Table4[ID], Table4[Recency], "Not Found", 0)</f>
        <v>61</v>
      </c>
      <c r="K1891" s="5">
        <f>_xlfn.XLOOKUP(CustomerCombined[[#This Row],[ID]], Table4[ID], Table4[Teas], "Not Found", 0)</f>
        <v>232</v>
      </c>
      <c r="L1891" s="5">
        <f>_xlfn.XLOOKUP(CustomerCombined[[#This Row],[ID]], Table4[ID], Table4[Fruits], "Not Found", 0)</f>
        <v>0</v>
      </c>
      <c r="M1891" s="5">
        <f>_xlfn.XLOOKUP(CustomerCombined[[#This Row],[ID]], Table4[ID], Table4[Meats], "Not Found", 0)</f>
        <v>33</v>
      </c>
      <c r="N1891" s="5">
        <f>_xlfn.XLOOKUP(CustomerCombined[[#This Row],[ID]], Table4[ID], Table4[Seafood], "Not Found", 0)</f>
        <v>0</v>
      </c>
      <c r="O1891" s="5">
        <f>_xlfn.XLOOKUP(CustomerCombined[[#This Row],[ID]], Table4[ID], Table4[Sweets], "Not Found", 0)</f>
        <v>0</v>
      </c>
      <c r="P1891" s="5">
        <f>_xlfn.XLOOKUP(CustomerCombined[[#This Row],[ID]], Table4[ID], Table4[Premium], "Not Found", 0)</f>
        <v>30</v>
      </c>
      <c r="Q1891" s="5">
        <f>_xlfn.XLOOKUP(CustomerCombined[[#This Row],[ID]], Table4[ID], Table4[Regular], "Not Found", 0)</f>
        <v>235</v>
      </c>
      <c r="R1891" s="5">
        <f>_xlfn.XLOOKUP(CustomerCombined[[#This Row],[ID]], Table4[ID], Table4[Deals], "Not Found", 0)</f>
        <v>1</v>
      </c>
      <c r="S1891" s="5">
        <f>_xlfn.XLOOKUP(CustomerCombined[[#This Row],[ID]], Table4[ID], Table4[Website], "Not Found", 0)</f>
        <v>2</v>
      </c>
      <c r="T1891" s="5">
        <f>_xlfn.XLOOKUP(CustomerCombined[[#This Row],[ID]], Table4[ID], Table4[Catalog], "Not Found", 0)</f>
        <v>0</v>
      </c>
      <c r="U1891" s="5">
        <f>_xlfn.XLOOKUP(CustomerCombined[[#This Row],[ID]], Table4[ID], Table4[Store], "Not Found", 0)</f>
        <v>4</v>
      </c>
      <c r="V1891" s="5">
        <f>_xlfn.XLOOKUP(CustomerCombined[[#This Row],[ID]], Table4[ID], Table4[Visits], "Not Found", 0)</f>
        <v>6</v>
      </c>
      <c r="W1891" s="8">
        <f>_xlfn.XLOOKUP(CustomerCombined[[#This Row],[ID]], Table2[ID],Table2[Complaint], "Not Found", 0 )</f>
        <v>0</v>
      </c>
      <c r="X1891" s="8">
        <f>_xlfn.XLOOKUP(CustomerCombined[[#This Row],[ID]], Table2[ID],Table2[Pilot], "Not Found", 0 )</f>
        <v>0</v>
      </c>
      <c r="Y1891" s="8">
        <f>_xlfn.XLOOKUP(CustomerCombined[[#This Row],[ID]], Table2[ID],Table2[MC1], "Not Found", 0 )</f>
        <v>0</v>
      </c>
      <c r="Z1891" s="8">
        <f>_xlfn.XLOOKUP(CustomerCombined[[#This Row],[ID]], Table2[ID],Table2[MC2], "Not Found", 0 )</f>
        <v>0</v>
      </c>
      <c r="AA1891" s="8">
        <f>_xlfn.XLOOKUP(CustomerCombined[[#This Row],[ID]], Table2[ID],Table2[MC3], "Not Found", 0 )</f>
        <v>0</v>
      </c>
      <c r="AB1891" s="8">
        <f>_xlfn.XLOOKUP(CustomerCombined[[#This Row],[ID]], Table2[ID],Table2[MC4], "Not Found", 0 )</f>
        <v>1</v>
      </c>
      <c r="AC1891" s="8">
        <f>_xlfn.XLOOKUP(CustomerCombined[[#This Row],[ID]], Table2[ID],Table2[MC5], "Not Found", 0 )</f>
        <v>0</v>
      </c>
    </row>
    <row r="1892" spans="1:29" x14ac:dyDescent="0.3">
      <c r="A1892" s="6">
        <v>2480</v>
      </c>
      <c r="B1892" s="6">
        <v>149667</v>
      </c>
      <c r="C1892" s="6">
        <v>0</v>
      </c>
      <c r="D1892" s="6">
        <v>0</v>
      </c>
      <c r="E1892" s="6">
        <v>65</v>
      </c>
      <c r="F1892" s="5" t="s">
        <v>7</v>
      </c>
      <c r="G1892" s="5" t="s">
        <v>13</v>
      </c>
      <c r="H1892" s="3" t="s">
        <v>408</v>
      </c>
      <c r="I1892" s="5" t="s">
        <v>438</v>
      </c>
      <c r="J1892" s="5">
        <f>_xlfn.XLOOKUP(CustomerCombined[[#This Row],[ID]], Table4[ID], Table4[Recency], "Not Found", 0)</f>
        <v>35</v>
      </c>
      <c r="K1892" s="5">
        <f>_xlfn.XLOOKUP(CustomerCombined[[#This Row],[ID]], Table4[ID], Table4[Teas], "Not Found", 0)</f>
        <v>3559</v>
      </c>
      <c r="L1892" s="5">
        <f>_xlfn.XLOOKUP(CustomerCombined[[#This Row],[ID]], Table4[ID], Table4[Fruits], "Not Found", 0)</f>
        <v>78</v>
      </c>
      <c r="M1892" s="5">
        <f>_xlfn.XLOOKUP(CustomerCombined[[#This Row],[ID]], Table4[ID], Table4[Meats], "Not Found", 0)</f>
        <v>362</v>
      </c>
      <c r="N1892" s="5">
        <f>_xlfn.XLOOKUP(CustomerCombined[[#This Row],[ID]], Table4[ID], Table4[Seafood], "Not Found", 0)</f>
        <v>51</v>
      </c>
      <c r="O1892" s="5">
        <f>_xlfn.XLOOKUP(CustomerCombined[[#This Row],[ID]], Table4[ID], Table4[Sweets], "Not Found", 0)</f>
        <v>39</v>
      </c>
      <c r="P1892" s="5">
        <f>_xlfn.XLOOKUP(CustomerCombined[[#This Row],[ID]], Table4[ID], Table4[Premium], "Not Found", 0)</f>
        <v>118</v>
      </c>
      <c r="Q1892" s="5">
        <f>_xlfn.XLOOKUP(CustomerCombined[[#This Row],[ID]], Table4[ID], Table4[Regular], "Not Found", 0)</f>
        <v>3972</v>
      </c>
      <c r="R1892" s="5">
        <f>_xlfn.XLOOKUP(CustomerCombined[[#This Row],[ID]], Table4[ID], Table4[Deals], "Not Found", 0)</f>
        <v>2</v>
      </c>
      <c r="S1892" s="5">
        <f>_xlfn.XLOOKUP(CustomerCombined[[#This Row],[ID]], Table4[ID], Table4[Website], "Not Found", 0)</f>
        <v>5</v>
      </c>
      <c r="T1892" s="5">
        <f>_xlfn.XLOOKUP(CustomerCombined[[#This Row],[ID]], Table4[ID], Table4[Catalog], "Not Found", 0)</f>
        <v>10</v>
      </c>
      <c r="U1892" s="5">
        <f>_xlfn.XLOOKUP(CustomerCombined[[#This Row],[ID]], Table4[ID], Table4[Store], "Not Found", 0)</f>
        <v>5</v>
      </c>
      <c r="V1892" s="5">
        <f>_xlfn.XLOOKUP(CustomerCombined[[#This Row],[ID]], Table4[ID], Table4[Visits], "Not Found", 0)</f>
        <v>8</v>
      </c>
      <c r="W1892" s="8">
        <f>_xlfn.XLOOKUP(CustomerCombined[[#This Row],[ID]], Table2[ID],Table2[Complaint], "Not Found", 0 )</f>
        <v>0</v>
      </c>
      <c r="X1892" s="8">
        <f>_xlfn.XLOOKUP(CustomerCombined[[#This Row],[ID]], Table2[ID],Table2[Pilot], "Not Found", 0 )</f>
        <v>1</v>
      </c>
      <c r="Y1892" s="8">
        <f>_xlfn.XLOOKUP(CustomerCombined[[#This Row],[ID]], Table2[ID],Table2[MC1], "Not Found", 0 )</f>
        <v>0</v>
      </c>
      <c r="Z1892" s="8">
        <f>_xlfn.XLOOKUP(CustomerCombined[[#This Row],[ID]], Table2[ID],Table2[MC2], "Not Found", 0 )</f>
        <v>0</v>
      </c>
      <c r="AA1892" s="8">
        <f>_xlfn.XLOOKUP(CustomerCombined[[#This Row],[ID]], Table2[ID],Table2[MC3], "Not Found", 0 )</f>
        <v>1</v>
      </c>
      <c r="AB1892" s="8">
        <f>_xlfn.XLOOKUP(CustomerCombined[[#This Row],[ID]], Table2[ID],Table2[MC4], "Not Found", 0 )</f>
        <v>0</v>
      </c>
      <c r="AC1892" s="8">
        <f>_xlfn.XLOOKUP(CustomerCombined[[#This Row],[ID]], Table2[ID],Table2[MC5], "Not Found", 0 )</f>
        <v>0</v>
      </c>
    </row>
    <row r="1893" spans="1:29" x14ac:dyDescent="0.3">
      <c r="A1893" s="6">
        <v>1637</v>
      </c>
      <c r="B1893" s="6">
        <v>149431</v>
      </c>
      <c r="C1893" s="6">
        <v>0</v>
      </c>
      <c r="D1893" s="6">
        <v>1</v>
      </c>
      <c r="E1893" s="6">
        <v>65</v>
      </c>
      <c r="F1893" s="5" t="s">
        <v>5</v>
      </c>
      <c r="G1893" s="5" t="s">
        <v>11</v>
      </c>
      <c r="H1893" s="3">
        <v>43678</v>
      </c>
      <c r="I1893" s="5" t="s">
        <v>434</v>
      </c>
      <c r="J1893" s="5">
        <f>_xlfn.XLOOKUP(CustomerCombined[[#This Row],[ID]], Table4[ID], Table4[Recency], "Not Found", 0)</f>
        <v>9</v>
      </c>
      <c r="K1893" s="5">
        <f>_xlfn.XLOOKUP(CustomerCombined[[#This Row],[ID]], Table4[ID], Table4[Teas], "Not Found", 0)</f>
        <v>662</v>
      </c>
      <c r="L1893" s="5">
        <f>_xlfn.XLOOKUP(CustomerCombined[[#This Row],[ID]], Table4[ID], Table4[Fruits], "Not Found", 0)</f>
        <v>9</v>
      </c>
      <c r="M1893" s="5">
        <f>_xlfn.XLOOKUP(CustomerCombined[[#This Row],[ID]], Table4[ID], Table4[Meats], "Not Found", 0)</f>
        <v>302</v>
      </c>
      <c r="N1893" s="5">
        <f>_xlfn.XLOOKUP(CustomerCombined[[#This Row],[ID]], Table4[ID], Table4[Seafood], "Not Found", 0)</f>
        <v>79</v>
      </c>
      <c r="O1893" s="5">
        <f>_xlfn.XLOOKUP(CustomerCombined[[#This Row],[ID]], Table4[ID], Table4[Sweets], "Not Found", 0)</f>
        <v>0</v>
      </c>
      <c r="P1893" s="5">
        <f>_xlfn.XLOOKUP(CustomerCombined[[#This Row],[ID]], Table4[ID], Table4[Premium], "Not Found", 0)</f>
        <v>51</v>
      </c>
      <c r="Q1893" s="5">
        <f>_xlfn.XLOOKUP(CustomerCombined[[#This Row],[ID]], Table4[ID], Table4[Regular], "Not Found", 0)</f>
        <v>1001</v>
      </c>
      <c r="R1893" s="5">
        <f>_xlfn.XLOOKUP(CustomerCombined[[#This Row],[ID]], Table4[ID], Table4[Deals], "Not Found", 0)</f>
        <v>2</v>
      </c>
      <c r="S1893" s="5">
        <f>_xlfn.XLOOKUP(CustomerCombined[[#This Row],[ID]], Table4[ID], Table4[Website], "Not Found", 0)</f>
        <v>7</v>
      </c>
      <c r="T1893" s="5">
        <f>_xlfn.XLOOKUP(CustomerCombined[[#This Row],[ID]], Table4[ID], Table4[Catalog], "Not Found", 0)</f>
        <v>1</v>
      </c>
      <c r="U1893" s="5">
        <f>_xlfn.XLOOKUP(CustomerCombined[[#This Row],[ID]], Table4[ID], Table4[Store], "Not Found", 0)</f>
        <v>5</v>
      </c>
      <c r="V1893" s="5">
        <f>_xlfn.XLOOKUP(CustomerCombined[[#This Row],[ID]], Table4[ID], Table4[Visits], "Not Found", 0)</f>
        <v>8</v>
      </c>
      <c r="W1893" s="8">
        <f>_xlfn.XLOOKUP(CustomerCombined[[#This Row],[ID]], Table2[ID],Table2[Complaint], "Not Found", 0 )</f>
        <v>0</v>
      </c>
      <c r="X1893" s="8">
        <f>_xlfn.XLOOKUP(CustomerCombined[[#This Row],[ID]], Table2[ID],Table2[Pilot], "Not Found", 0 )</f>
        <v>0</v>
      </c>
      <c r="Y1893" s="8">
        <f>_xlfn.XLOOKUP(CustomerCombined[[#This Row],[ID]], Table2[ID],Table2[MC1], "Not Found", 0 )</f>
        <v>0</v>
      </c>
      <c r="Z1893" s="8">
        <f>_xlfn.XLOOKUP(CustomerCombined[[#This Row],[ID]], Table2[ID],Table2[MC2], "Not Found", 0 )</f>
        <v>0</v>
      </c>
      <c r="AA1893" s="8">
        <f>_xlfn.XLOOKUP(CustomerCombined[[#This Row],[ID]], Table2[ID],Table2[MC3], "Not Found", 0 )</f>
        <v>0</v>
      </c>
      <c r="AB1893" s="8">
        <f>_xlfn.XLOOKUP(CustomerCombined[[#This Row],[ID]], Table2[ID],Table2[MC4], "Not Found", 0 )</f>
        <v>0</v>
      </c>
      <c r="AC1893" s="8">
        <f>_xlfn.XLOOKUP(CustomerCombined[[#This Row],[ID]], Table2[ID],Table2[MC5], "Not Found", 0 )</f>
        <v>0</v>
      </c>
    </row>
    <row r="1894" spans="1:29" x14ac:dyDescent="0.3">
      <c r="A1894" s="6">
        <v>1746</v>
      </c>
      <c r="B1894" s="6">
        <v>148726</v>
      </c>
      <c r="C1894" s="6">
        <v>0</v>
      </c>
      <c r="D1894" s="6">
        <v>1</v>
      </c>
      <c r="E1894" s="6">
        <v>65</v>
      </c>
      <c r="F1894" s="5" t="s">
        <v>6</v>
      </c>
      <c r="G1894" s="5" t="s">
        <v>11</v>
      </c>
      <c r="H1894" s="3">
        <v>43506</v>
      </c>
      <c r="I1894" s="5" t="s">
        <v>436</v>
      </c>
      <c r="J1894" s="5">
        <f>_xlfn.XLOOKUP(CustomerCombined[[#This Row],[ID]], Table4[ID], Table4[Recency], "Not Found", 0)</f>
        <v>90</v>
      </c>
      <c r="K1894" s="5">
        <f>_xlfn.XLOOKUP(CustomerCombined[[#This Row],[ID]], Table4[ID], Table4[Teas], "Not Found", 0)</f>
        <v>421</v>
      </c>
      <c r="L1894" s="5">
        <f>_xlfn.XLOOKUP(CustomerCombined[[#This Row],[ID]], Table4[ID], Table4[Fruits], "Not Found", 0)</f>
        <v>9</v>
      </c>
      <c r="M1894" s="5">
        <f>_xlfn.XLOOKUP(CustomerCombined[[#This Row],[ID]], Table4[ID], Table4[Meats], "Not Found", 0)</f>
        <v>116</v>
      </c>
      <c r="N1894" s="5">
        <f>_xlfn.XLOOKUP(CustomerCombined[[#This Row],[ID]], Table4[ID], Table4[Seafood], "Not Found", 0)</f>
        <v>12</v>
      </c>
      <c r="O1894" s="5">
        <f>_xlfn.XLOOKUP(CustomerCombined[[#This Row],[ID]], Table4[ID], Table4[Sweets], "Not Found", 0)</f>
        <v>0</v>
      </c>
      <c r="P1894" s="5">
        <f>_xlfn.XLOOKUP(CustomerCombined[[#This Row],[ID]], Table4[ID], Table4[Premium], "Not Found", 0)</f>
        <v>180</v>
      </c>
      <c r="Q1894" s="5">
        <f>_xlfn.XLOOKUP(CustomerCombined[[#This Row],[ID]], Table4[ID], Table4[Regular], "Not Found", 0)</f>
        <v>378</v>
      </c>
      <c r="R1894" s="5">
        <f>_xlfn.XLOOKUP(CustomerCombined[[#This Row],[ID]], Table4[ID], Table4[Deals], "Not Found", 0)</f>
        <v>3</v>
      </c>
      <c r="S1894" s="5">
        <f>_xlfn.XLOOKUP(CustomerCombined[[#This Row],[ID]], Table4[ID], Table4[Website], "Not Found", 0)</f>
        <v>3</v>
      </c>
      <c r="T1894" s="5">
        <f>_xlfn.XLOOKUP(CustomerCombined[[#This Row],[ID]], Table4[ID], Table4[Catalog], "Not Found", 0)</f>
        <v>2</v>
      </c>
      <c r="U1894" s="5">
        <f>_xlfn.XLOOKUP(CustomerCombined[[#This Row],[ID]], Table4[ID], Table4[Store], "Not Found", 0)</f>
        <v>4</v>
      </c>
      <c r="V1894" s="5">
        <f>_xlfn.XLOOKUP(CustomerCombined[[#This Row],[ID]], Table4[ID], Table4[Visits], "Not Found", 0)</f>
        <v>6</v>
      </c>
      <c r="W1894" s="8">
        <f>_xlfn.XLOOKUP(CustomerCombined[[#This Row],[ID]], Table2[ID],Table2[Complaint], "Not Found", 0 )</f>
        <v>0</v>
      </c>
      <c r="X1894" s="8">
        <f>_xlfn.XLOOKUP(CustomerCombined[[#This Row],[ID]], Table2[ID],Table2[Pilot], "Not Found", 0 )</f>
        <v>0</v>
      </c>
      <c r="Y1894" s="8">
        <f>_xlfn.XLOOKUP(CustomerCombined[[#This Row],[ID]], Table2[ID],Table2[MC1], "Not Found", 0 )</f>
        <v>0</v>
      </c>
      <c r="Z1894" s="8">
        <f>_xlfn.XLOOKUP(CustomerCombined[[#This Row],[ID]], Table2[ID],Table2[MC2], "Not Found", 0 )</f>
        <v>0</v>
      </c>
      <c r="AA1894" s="8">
        <f>_xlfn.XLOOKUP(CustomerCombined[[#This Row],[ID]], Table2[ID],Table2[MC3], "Not Found", 0 )</f>
        <v>0</v>
      </c>
      <c r="AB1894" s="8">
        <f>_xlfn.XLOOKUP(CustomerCombined[[#This Row],[ID]], Table2[ID],Table2[MC4], "Not Found", 0 )</f>
        <v>0</v>
      </c>
      <c r="AC1894" s="8">
        <f>_xlfn.XLOOKUP(CustomerCombined[[#This Row],[ID]], Table2[ID],Table2[MC5], "Not Found", 0 )</f>
        <v>0</v>
      </c>
    </row>
    <row r="1895" spans="1:29" x14ac:dyDescent="0.3">
      <c r="A1895" s="6">
        <v>2359</v>
      </c>
      <c r="B1895" s="6">
        <v>146390</v>
      </c>
      <c r="C1895" s="6">
        <v>0</v>
      </c>
      <c r="D1895" s="6">
        <v>1</v>
      </c>
      <c r="E1895" s="6">
        <v>65</v>
      </c>
      <c r="F1895" s="5" t="s">
        <v>5</v>
      </c>
      <c r="G1895" s="5" t="s">
        <v>12</v>
      </c>
      <c r="H1895" s="3">
        <v>44084</v>
      </c>
      <c r="I1895" s="5" t="s">
        <v>437</v>
      </c>
      <c r="J1895" s="5">
        <f>_xlfn.XLOOKUP(CustomerCombined[[#This Row],[ID]], Table4[ID], Table4[Recency], "Not Found", 0)</f>
        <v>56</v>
      </c>
      <c r="K1895" s="5">
        <f>_xlfn.XLOOKUP(CustomerCombined[[#This Row],[ID]], Table4[ID], Table4[Teas], "Not Found", 0)</f>
        <v>300</v>
      </c>
      <c r="L1895" s="5">
        <f>_xlfn.XLOOKUP(CustomerCombined[[#This Row],[ID]], Table4[ID], Table4[Fruits], "Not Found", 0)</f>
        <v>44</v>
      </c>
      <c r="M1895" s="5">
        <f>_xlfn.XLOOKUP(CustomerCombined[[#This Row],[ID]], Table4[ID], Table4[Meats], "Not Found", 0)</f>
        <v>202</v>
      </c>
      <c r="N1895" s="5">
        <f>_xlfn.XLOOKUP(CustomerCombined[[#This Row],[ID]], Table4[ID], Table4[Seafood], "Not Found", 0)</f>
        <v>6</v>
      </c>
      <c r="O1895" s="5">
        <f>_xlfn.XLOOKUP(CustomerCombined[[#This Row],[ID]], Table4[ID], Table4[Sweets], "Not Found", 0)</f>
        <v>28</v>
      </c>
      <c r="P1895" s="5">
        <f>_xlfn.XLOOKUP(CustomerCombined[[#This Row],[ID]], Table4[ID], Table4[Premium], "Not Found", 0)</f>
        <v>120</v>
      </c>
      <c r="Q1895" s="5">
        <f>_xlfn.XLOOKUP(CustomerCombined[[#This Row],[ID]], Table4[ID], Table4[Regular], "Not Found", 0)</f>
        <v>461</v>
      </c>
      <c r="R1895" s="5">
        <f>_xlfn.XLOOKUP(CustomerCombined[[#This Row],[ID]], Table4[ID], Table4[Deals], "Not Found", 0)</f>
        <v>1</v>
      </c>
      <c r="S1895" s="5">
        <f>_xlfn.XLOOKUP(CustomerCombined[[#This Row],[ID]], Table4[ID], Table4[Website], "Not Found", 0)</f>
        <v>4</v>
      </c>
      <c r="T1895" s="5">
        <f>_xlfn.XLOOKUP(CustomerCombined[[#This Row],[ID]], Table4[ID], Table4[Catalog], "Not Found", 0)</f>
        <v>2</v>
      </c>
      <c r="U1895" s="5">
        <f>_xlfn.XLOOKUP(CustomerCombined[[#This Row],[ID]], Table4[ID], Table4[Store], "Not Found", 0)</f>
        <v>3</v>
      </c>
      <c r="V1895" s="5">
        <f>_xlfn.XLOOKUP(CustomerCombined[[#This Row],[ID]], Table4[ID], Table4[Visits], "Not Found", 0)</f>
        <v>7</v>
      </c>
      <c r="W1895" s="8">
        <f>_xlfn.XLOOKUP(CustomerCombined[[#This Row],[ID]], Table2[ID],Table2[Complaint], "Not Found", 0 )</f>
        <v>0</v>
      </c>
      <c r="X1895" s="8">
        <f>_xlfn.XLOOKUP(CustomerCombined[[#This Row],[ID]], Table2[ID],Table2[Pilot], "Not Found", 0 )</f>
        <v>0</v>
      </c>
      <c r="Y1895" s="8">
        <f>_xlfn.XLOOKUP(CustomerCombined[[#This Row],[ID]], Table2[ID],Table2[MC1], "Not Found", 0 )</f>
        <v>0</v>
      </c>
      <c r="Z1895" s="8">
        <f>_xlfn.XLOOKUP(CustomerCombined[[#This Row],[ID]], Table2[ID],Table2[MC2], "Not Found", 0 )</f>
        <v>0</v>
      </c>
      <c r="AA1895" s="8">
        <f>_xlfn.XLOOKUP(CustomerCombined[[#This Row],[ID]], Table2[ID],Table2[MC3], "Not Found", 0 )</f>
        <v>0</v>
      </c>
      <c r="AB1895" s="8">
        <f>_xlfn.XLOOKUP(CustomerCombined[[#This Row],[ID]], Table2[ID],Table2[MC4], "Not Found", 0 )</f>
        <v>0</v>
      </c>
      <c r="AC1895" s="8">
        <f>_xlfn.XLOOKUP(CustomerCombined[[#This Row],[ID]], Table2[ID],Table2[MC5], "Not Found", 0 )</f>
        <v>0</v>
      </c>
    </row>
    <row r="1896" spans="1:29" x14ac:dyDescent="0.3">
      <c r="A1896" s="6">
        <v>1901</v>
      </c>
      <c r="B1896" s="6">
        <v>146015</v>
      </c>
      <c r="C1896" s="6">
        <v>1</v>
      </c>
      <c r="D1896" s="6">
        <v>1</v>
      </c>
      <c r="E1896" s="6">
        <v>65</v>
      </c>
      <c r="F1896" s="5" t="s">
        <v>8</v>
      </c>
      <c r="G1896" s="5" t="s">
        <v>13</v>
      </c>
      <c r="H1896" s="3" t="s">
        <v>69</v>
      </c>
      <c r="I1896" s="5" t="s">
        <v>434</v>
      </c>
      <c r="J1896" s="5">
        <f>_xlfn.XLOOKUP(CustomerCombined[[#This Row],[ID]], Table4[ID], Table4[Recency], "Not Found", 0)</f>
        <v>25</v>
      </c>
      <c r="K1896" s="5">
        <f>_xlfn.XLOOKUP(CustomerCombined[[#This Row],[ID]], Table4[ID], Table4[Teas], "Not Found", 0)</f>
        <v>121</v>
      </c>
      <c r="L1896" s="5">
        <f>_xlfn.XLOOKUP(CustomerCombined[[#This Row],[ID]], Table4[ID], Table4[Fruits], "Not Found", 0)</f>
        <v>0</v>
      </c>
      <c r="M1896" s="5">
        <f>_xlfn.XLOOKUP(CustomerCombined[[#This Row],[ID]], Table4[ID], Table4[Meats], "Not Found", 0)</f>
        <v>6</v>
      </c>
      <c r="N1896" s="5">
        <f>_xlfn.XLOOKUP(CustomerCombined[[#This Row],[ID]], Table4[ID], Table4[Seafood], "Not Found", 0)</f>
        <v>0</v>
      </c>
      <c r="O1896" s="5">
        <f>_xlfn.XLOOKUP(CustomerCombined[[#This Row],[ID]], Table4[ID], Table4[Sweets], "Not Found", 0)</f>
        <v>0</v>
      </c>
      <c r="P1896" s="5">
        <f>_xlfn.XLOOKUP(CustomerCombined[[#This Row],[ID]], Table4[ID], Table4[Premium], "Not Found", 0)</f>
        <v>19</v>
      </c>
      <c r="Q1896" s="5">
        <f>_xlfn.XLOOKUP(CustomerCombined[[#This Row],[ID]], Table4[ID], Table4[Regular], "Not Found", 0)</f>
        <v>108</v>
      </c>
      <c r="R1896" s="5">
        <f>_xlfn.XLOOKUP(CustomerCombined[[#This Row],[ID]], Table4[ID], Table4[Deals], "Not Found", 0)</f>
        <v>1</v>
      </c>
      <c r="S1896" s="5">
        <f>_xlfn.XLOOKUP(CustomerCombined[[#This Row],[ID]], Table4[ID], Table4[Website], "Not Found", 0)</f>
        <v>1</v>
      </c>
      <c r="T1896" s="5">
        <f>_xlfn.XLOOKUP(CustomerCombined[[#This Row],[ID]], Table4[ID], Table4[Catalog], "Not Found", 0)</f>
        <v>0</v>
      </c>
      <c r="U1896" s="5">
        <f>_xlfn.XLOOKUP(CustomerCombined[[#This Row],[ID]], Table4[ID], Table4[Store], "Not Found", 0)</f>
        <v>3</v>
      </c>
      <c r="V1896" s="5">
        <f>_xlfn.XLOOKUP(CustomerCombined[[#This Row],[ID]], Table4[ID], Table4[Visits], "Not Found", 0)</f>
        <v>7</v>
      </c>
      <c r="W1896" s="8">
        <f>_xlfn.XLOOKUP(CustomerCombined[[#This Row],[ID]], Table2[ID],Table2[Complaint], "Not Found", 0 )</f>
        <v>0</v>
      </c>
      <c r="X1896" s="8">
        <f>_xlfn.XLOOKUP(CustomerCombined[[#This Row],[ID]], Table2[ID],Table2[Pilot], "Not Found", 0 )</f>
        <v>0</v>
      </c>
      <c r="Y1896" s="8">
        <f>_xlfn.XLOOKUP(CustomerCombined[[#This Row],[ID]], Table2[ID],Table2[MC1], "Not Found", 0 )</f>
        <v>0</v>
      </c>
      <c r="Z1896" s="8">
        <f>_xlfn.XLOOKUP(CustomerCombined[[#This Row],[ID]], Table2[ID],Table2[MC2], "Not Found", 0 )</f>
        <v>1</v>
      </c>
      <c r="AA1896" s="8">
        <f>_xlfn.XLOOKUP(CustomerCombined[[#This Row],[ID]], Table2[ID],Table2[MC3], "Not Found", 0 )</f>
        <v>1</v>
      </c>
      <c r="AB1896" s="8">
        <f>_xlfn.XLOOKUP(CustomerCombined[[#This Row],[ID]], Table2[ID],Table2[MC4], "Not Found", 0 )</f>
        <v>0</v>
      </c>
      <c r="AC1896" s="8">
        <f>_xlfn.XLOOKUP(CustomerCombined[[#This Row],[ID]], Table2[ID],Table2[MC5], "Not Found", 0 )</f>
        <v>0</v>
      </c>
    </row>
    <row r="1897" spans="1:29" x14ac:dyDescent="0.3">
      <c r="A1897" s="6">
        <v>2438</v>
      </c>
      <c r="B1897" s="6">
        <v>146015</v>
      </c>
      <c r="C1897" s="6">
        <v>1</v>
      </c>
      <c r="D1897" s="6">
        <v>1</v>
      </c>
      <c r="E1897" s="6">
        <v>65</v>
      </c>
      <c r="F1897" s="5" t="s">
        <v>8</v>
      </c>
      <c r="G1897" s="5" t="s">
        <v>13</v>
      </c>
      <c r="H1897" s="3" t="s">
        <v>69</v>
      </c>
      <c r="I1897" s="5" t="s">
        <v>438</v>
      </c>
      <c r="J1897" s="5">
        <f>_xlfn.XLOOKUP(CustomerCombined[[#This Row],[ID]], Table4[ID], Table4[Recency], "Not Found", 0)</f>
        <v>25</v>
      </c>
      <c r="K1897" s="5">
        <f>_xlfn.XLOOKUP(CustomerCombined[[#This Row],[ID]], Table4[ID], Table4[Teas], "Not Found", 0)</f>
        <v>121</v>
      </c>
      <c r="L1897" s="5">
        <f>_xlfn.XLOOKUP(CustomerCombined[[#This Row],[ID]], Table4[ID], Table4[Fruits], "Not Found", 0)</f>
        <v>0</v>
      </c>
      <c r="M1897" s="5">
        <f>_xlfn.XLOOKUP(CustomerCombined[[#This Row],[ID]], Table4[ID], Table4[Meats], "Not Found", 0)</f>
        <v>6</v>
      </c>
      <c r="N1897" s="5">
        <f>_xlfn.XLOOKUP(CustomerCombined[[#This Row],[ID]], Table4[ID], Table4[Seafood], "Not Found", 0)</f>
        <v>0</v>
      </c>
      <c r="O1897" s="5">
        <f>_xlfn.XLOOKUP(CustomerCombined[[#This Row],[ID]], Table4[ID], Table4[Sweets], "Not Found", 0)</f>
        <v>0</v>
      </c>
      <c r="P1897" s="5">
        <f>_xlfn.XLOOKUP(CustomerCombined[[#This Row],[ID]], Table4[ID], Table4[Premium], "Not Found", 0)</f>
        <v>19</v>
      </c>
      <c r="Q1897" s="5">
        <f>_xlfn.XLOOKUP(CustomerCombined[[#This Row],[ID]], Table4[ID], Table4[Regular], "Not Found", 0)</f>
        <v>108</v>
      </c>
      <c r="R1897" s="5">
        <f>_xlfn.XLOOKUP(CustomerCombined[[#This Row],[ID]], Table4[ID], Table4[Deals], "Not Found", 0)</f>
        <v>1</v>
      </c>
      <c r="S1897" s="5">
        <f>_xlfn.XLOOKUP(CustomerCombined[[#This Row],[ID]], Table4[ID], Table4[Website], "Not Found", 0)</f>
        <v>1</v>
      </c>
      <c r="T1897" s="5">
        <f>_xlfn.XLOOKUP(CustomerCombined[[#This Row],[ID]], Table4[ID], Table4[Catalog], "Not Found", 0)</f>
        <v>0</v>
      </c>
      <c r="U1897" s="5">
        <f>_xlfn.XLOOKUP(CustomerCombined[[#This Row],[ID]], Table4[ID], Table4[Store], "Not Found", 0)</f>
        <v>3</v>
      </c>
      <c r="V1897" s="5">
        <f>_xlfn.XLOOKUP(CustomerCombined[[#This Row],[ID]], Table4[ID], Table4[Visits], "Not Found", 0)</f>
        <v>7</v>
      </c>
      <c r="W1897" s="8">
        <f>_xlfn.XLOOKUP(CustomerCombined[[#This Row],[ID]], Table2[ID],Table2[Complaint], "Not Found", 0 )</f>
        <v>0</v>
      </c>
      <c r="X1897" s="8">
        <f>_xlfn.XLOOKUP(CustomerCombined[[#This Row],[ID]], Table2[ID],Table2[Pilot], "Not Found", 0 )</f>
        <v>0</v>
      </c>
      <c r="Y1897" s="8">
        <f>_xlfn.XLOOKUP(CustomerCombined[[#This Row],[ID]], Table2[ID],Table2[MC1], "Not Found", 0 )</f>
        <v>0</v>
      </c>
      <c r="Z1897" s="8">
        <f>_xlfn.XLOOKUP(CustomerCombined[[#This Row],[ID]], Table2[ID],Table2[MC2], "Not Found", 0 )</f>
        <v>1</v>
      </c>
      <c r="AA1897" s="8">
        <f>_xlfn.XLOOKUP(CustomerCombined[[#This Row],[ID]], Table2[ID],Table2[MC3], "Not Found", 0 )</f>
        <v>1</v>
      </c>
      <c r="AB1897" s="8">
        <f>_xlfn.XLOOKUP(CustomerCombined[[#This Row],[ID]], Table2[ID],Table2[MC4], "Not Found", 0 )</f>
        <v>0</v>
      </c>
      <c r="AC1897" s="8">
        <f>_xlfn.XLOOKUP(CustomerCombined[[#This Row],[ID]], Table2[ID],Table2[MC5], "Not Found", 0 )</f>
        <v>0</v>
      </c>
    </row>
    <row r="1898" spans="1:29" x14ac:dyDescent="0.3">
      <c r="A1898" s="6">
        <v>2701</v>
      </c>
      <c r="B1898" s="6">
        <v>142586</v>
      </c>
      <c r="C1898" s="6">
        <v>1</v>
      </c>
      <c r="D1898" s="6">
        <v>1</v>
      </c>
      <c r="E1898" s="6">
        <v>65</v>
      </c>
      <c r="F1898" s="5" t="s">
        <v>8</v>
      </c>
      <c r="G1898" s="5" t="s">
        <v>11</v>
      </c>
      <c r="H1898" s="3">
        <v>43589</v>
      </c>
      <c r="I1898" s="5" t="s">
        <v>437</v>
      </c>
      <c r="J1898" s="5">
        <f>_xlfn.XLOOKUP(CustomerCombined[[#This Row],[ID]], Table4[ID], Table4[Recency], "Not Found", 0)</f>
        <v>7</v>
      </c>
      <c r="K1898" s="5">
        <f>_xlfn.XLOOKUP(CustomerCombined[[#This Row],[ID]], Table4[ID], Table4[Teas], "Not Found", 0)</f>
        <v>650</v>
      </c>
      <c r="L1898" s="5">
        <f>_xlfn.XLOOKUP(CustomerCombined[[#This Row],[ID]], Table4[ID], Table4[Fruits], "Not Found", 0)</f>
        <v>7</v>
      </c>
      <c r="M1898" s="5">
        <f>_xlfn.XLOOKUP(CustomerCombined[[#This Row],[ID]], Table4[ID], Table4[Meats], "Not Found", 0)</f>
        <v>187</v>
      </c>
      <c r="N1898" s="5">
        <f>_xlfn.XLOOKUP(CustomerCombined[[#This Row],[ID]], Table4[ID], Table4[Seafood], "Not Found", 0)</f>
        <v>0</v>
      </c>
      <c r="O1898" s="5">
        <f>_xlfn.XLOOKUP(CustomerCombined[[#This Row],[ID]], Table4[ID], Table4[Sweets], "Not Found", 0)</f>
        <v>0</v>
      </c>
      <c r="P1898" s="5">
        <f>_xlfn.XLOOKUP(CustomerCombined[[#This Row],[ID]], Table4[ID], Table4[Premium], "Not Found", 0)</f>
        <v>0</v>
      </c>
      <c r="Q1898" s="5">
        <f>_xlfn.XLOOKUP(CustomerCombined[[#This Row],[ID]], Table4[ID], Table4[Regular], "Not Found", 0)</f>
        <v>844</v>
      </c>
      <c r="R1898" s="5">
        <f>_xlfn.XLOOKUP(CustomerCombined[[#This Row],[ID]], Table4[ID], Table4[Deals], "Not Found", 0)</f>
        <v>5</v>
      </c>
      <c r="S1898" s="5">
        <f>_xlfn.XLOOKUP(CustomerCombined[[#This Row],[ID]], Table4[ID], Table4[Website], "Not Found", 0)</f>
        <v>4</v>
      </c>
      <c r="T1898" s="5">
        <f>_xlfn.XLOOKUP(CustomerCombined[[#This Row],[ID]], Table4[ID], Table4[Catalog], "Not Found", 0)</f>
        <v>1</v>
      </c>
      <c r="U1898" s="5">
        <f>_xlfn.XLOOKUP(CustomerCombined[[#This Row],[ID]], Table4[ID], Table4[Store], "Not Found", 0)</f>
        <v>6</v>
      </c>
      <c r="V1898" s="5">
        <f>_xlfn.XLOOKUP(CustomerCombined[[#This Row],[ID]], Table4[ID], Table4[Visits], "Not Found", 0)</f>
        <v>8</v>
      </c>
      <c r="W1898" s="8">
        <f>_xlfn.XLOOKUP(CustomerCombined[[#This Row],[ID]], Table2[ID],Table2[Complaint], "Not Found", 0 )</f>
        <v>0</v>
      </c>
      <c r="X1898" s="8">
        <f>_xlfn.XLOOKUP(CustomerCombined[[#This Row],[ID]], Table2[ID],Table2[Pilot], "Not Found", 0 )</f>
        <v>1</v>
      </c>
      <c r="Y1898" s="8">
        <f>_xlfn.XLOOKUP(CustomerCombined[[#This Row],[ID]], Table2[ID],Table2[MC1], "Not Found", 0 )</f>
        <v>0</v>
      </c>
      <c r="Z1898" s="8">
        <f>_xlfn.XLOOKUP(CustomerCombined[[#This Row],[ID]], Table2[ID],Table2[MC2], "Not Found", 0 )</f>
        <v>0</v>
      </c>
      <c r="AA1898" s="8">
        <f>_xlfn.XLOOKUP(CustomerCombined[[#This Row],[ID]], Table2[ID],Table2[MC3], "Not Found", 0 )</f>
        <v>0</v>
      </c>
      <c r="AB1898" s="8">
        <f>_xlfn.XLOOKUP(CustomerCombined[[#This Row],[ID]], Table2[ID],Table2[MC4], "Not Found", 0 )</f>
        <v>0</v>
      </c>
      <c r="AC1898" s="8">
        <f>_xlfn.XLOOKUP(CustomerCombined[[#This Row],[ID]], Table2[ID],Table2[MC5], "Not Found", 0 )</f>
        <v>0</v>
      </c>
    </row>
    <row r="1899" spans="1:29" x14ac:dyDescent="0.3">
      <c r="A1899" s="6">
        <v>2750</v>
      </c>
      <c r="B1899" s="6">
        <v>142586</v>
      </c>
      <c r="C1899" s="6">
        <v>1</v>
      </c>
      <c r="D1899" s="6">
        <v>1</v>
      </c>
      <c r="E1899" s="6">
        <v>65</v>
      </c>
      <c r="F1899" s="5" t="s">
        <v>8</v>
      </c>
      <c r="G1899" s="5" t="s">
        <v>11</v>
      </c>
      <c r="H1899" s="3">
        <v>43589</v>
      </c>
      <c r="I1899" s="5" t="s">
        <v>438</v>
      </c>
      <c r="J1899" s="5">
        <f>_xlfn.XLOOKUP(CustomerCombined[[#This Row],[ID]], Table4[ID], Table4[Recency], "Not Found", 0)</f>
        <v>7</v>
      </c>
      <c r="K1899" s="5">
        <f>_xlfn.XLOOKUP(CustomerCombined[[#This Row],[ID]], Table4[ID], Table4[Teas], "Not Found", 0)</f>
        <v>650</v>
      </c>
      <c r="L1899" s="5">
        <f>_xlfn.XLOOKUP(CustomerCombined[[#This Row],[ID]], Table4[ID], Table4[Fruits], "Not Found", 0)</f>
        <v>7</v>
      </c>
      <c r="M1899" s="5">
        <f>_xlfn.XLOOKUP(CustomerCombined[[#This Row],[ID]], Table4[ID], Table4[Meats], "Not Found", 0)</f>
        <v>187</v>
      </c>
      <c r="N1899" s="5">
        <f>_xlfn.XLOOKUP(CustomerCombined[[#This Row],[ID]], Table4[ID], Table4[Seafood], "Not Found", 0)</f>
        <v>0</v>
      </c>
      <c r="O1899" s="5">
        <f>_xlfn.XLOOKUP(CustomerCombined[[#This Row],[ID]], Table4[ID], Table4[Sweets], "Not Found", 0)</f>
        <v>0</v>
      </c>
      <c r="P1899" s="5">
        <f>_xlfn.XLOOKUP(CustomerCombined[[#This Row],[ID]], Table4[ID], Table4[Premium], "Not Found", 0)</f>
        <v>0</v>
      </c>
      <c r="Q1899" s="5">
        <f>_xlfn.XLOOKUP(CustomerCombined[[#This Row],[ID]], Table4[ID], Table4[Regular], "Not Found", 0)</f>
        <v>844</v>
      </c>
      <c r="R1899" s="5">
        <f>_xlfn.XLOOKUP(CustomerCombined[[#This Row],[ID]], Table4[ID], Table4[Deals], "Not Found", 0)</f>
        <v>5</v>
      </c>
      <c r="S1899" s="5">
        <f>_xlfn.XLOOKUP(CustomerCombined[[#This Row],[ID]], Table4[ID], Table4[Website], "Not Found", 0)</f>
        <v>4</v>
      </c>
      <c r="T1899" s="5">
        <f>_xlfn.XLOOKUP(CustomerCombined[[#This Row],[ID]], Table4[ID], Table4[Catalog], "Not Found", 0)</f>
        <v>1</v>
      </c>
      <c r="U1899" s="5">
        <f>_xlfn.XLOOKUP(CustomerCombined[[#This Row],[ID]], Table4[ID], Table4[Store], "Not Found", 0)</f>
        <v>6</v>
      </c>
      <c r="V1899" s="5">
        <f>_xlfn.XLOOKUP(CustomerCombined[[#This Row],[ID]], Table4[ID], Table4[Visits], "Not Found", 0)</f>
        <v>8</v>
      </c>
      <c r="W1899" s="8">
        <f>_xlfn.XLOOKUP(CustomerCombined[[#This Row],[ID]], Table2[ID],Table2[Complaint], "Not Found", 0 )</f>
        <v>0</v>
      </c>
      <c r="X1899" s="8">
        <f>_xlfn.XLOOKUP(CustomerCombined[[#This Row],[ID]], Table2[ID],Table2[Pilot], "Not Found", 0 )</f>
        <v>1</v>
      </c>
      <c r="Y1899" s="8">
        <f>_xlfn.XLOOKUP(CustomerCombined[[#This Row],[ID]], Table2[ID],Table2[MC1], "Not Found", 0 )</f>
        <v>0</v>
      </c>
      <c r="Z1899" s="8">
        <f>_xlfn.XLOOKUP(CustomerCombined[[#This Row],[ID]], Table2[ID],Table2[MC2], "Not Found", 0 )</f>
        <v>0</v>
      </c>
      <c r="AA1899" s="8">
        <f>_xlfn.XLOOKUP(CustomerCombined[[#This Row],[ID]], Table2[ID],Table2[MC3], "Not Found", 0 )</f>
        <v>0</v>
      </c>
      <c r="AB1899" s="8">
        <f>_xlfn.XLOOKUP(CustomerCombined[[#This Row],[ID]], Table2[ID],Table2[MC4], "Not Found", 0 )</f>
        <v>0</v>
      </c>
      <c r="AC1899" s="8">
        <f>_xlfn.XLOOKUP(CustomerCombined[[#This Row],[ID]], Table2[ID],Table2[MC5], "Not Found", 0 )</f>
        <v>0</v>
      </c>
    </row>
    <row r="1900" spans="1:29" x14ac:dyDescent="0.3">
      <c r="A1900" s="6">
        <v>3178</v>
      </c>
      <c r="B1900" s="6">
        <v>141769</v>
      </c>
      <c r="C1900" s="6">
        <v>0</v>
      </c>
      <c r="D1900" s="6">
        <v>1</v>
      </c>
      <c r="E1900" s="6">
        <v>65</v>
      </c>
      <c r="F1900" s="5" t="s">
        <v>5</v>
      </c>
      <c r="G1900" s="5" t="s">
        <v>442</v>
      </c>
      <c r="H1900" s="3" t="s">
        <v>310</v>
      </c>
      <c r="I1900" s="5" t="s">
        <v>439</v>
      </c>
      <c r="J1900" s="5">
        <f>_xlfn.XLOOKUP(CustomerCombined[[#This Row],[ID]], Table4[ID], Table4[Recency], "Not Found", 0)</f>
        <v>31</v>
      </c>
      <c r="K1900" s="5">
        <f>_xlfn.XLOOKUP(CustomerCombined[[#This Row],[ID]], Table4[ID], Table4[Teas], "Not Found", 0)</f>
        <v>1025</v>
      </c>
      <c r="L1900" s="5">
        <f>_xlfn.XLOOKUP(CustomerCombined[[#This Row],[ID]], Table4[ID], Table4[Fruits], "Not Found", 0)</f>
        <v>98</v>
      </c>
      <c r="M1900" s="5">
        <f>_xlfn.XLOOKUP(CustomerCombined[[#This Row],[ID]], Table4[ID], Table4[Meats], "Not Found", 0)</f>
        <v>445</v>
      </c>
      <c r="N1900" s="5">
        <f>_xlfn.XLOOKUP(CustomerCombined[[#This Row],[ID]], Table4[ID], Table4[Seafood], "Not Found", 0)</f>
        <v>109</v>
      </c>
      <c r="O1900" s="5">
        <f>_xlfn.XLOOKUP(CustomerCombined[[#This Row],[ID]], Table4[ID], Table4[Sweets], "Not Found", 0)</f>
        <v>0</v>
      </c>
      <c r="P1900" s="5">
        <f>_xlfn.XLOOKUP(CustomerCombined[[#This Row],[ID]], Table4[ID], Table4[Premium], "Not Found", 0)</f>
        <v>92</v>
      </c>
      <c r="Q1900" s="5">
        <f>_xlfn.XLOOKUP(CustomerCombined[[#This Row],[ID]], Table4[ID], Table4[Regular], "Not Found", 0)</f>
        <v>1585</v>
      </c>
      <c r="R1900" s="5">
        <f>_xlfn.XLOOKUP(CustomerCombined[[#This Row],[ID]], Table4[ID], Table4[Deals], "Not Found", 0)</f>
        <v>6</v>
      </c>
      <c r="S1900" s="5">
        <f>_xlfn.XLOOKUP(CustomerCombined[[#This Row],[ID]], Table4[ID], Table4[Website], "Not Found", 0)</f>
        <v>8</v>
      </c>
      <c r="T1900" s="5">
        <f>_xlfn.XLOOKUP(CustomerCombined[[#This Row],[ID]], Table4[ID], Table4[Catalog], "Not Found", 0)</f>
        <v>1</v>
      </c>
      <c r="U1900" s="5">
        <f>_xlfn.XLOOKUP(CustomerCombined[[#This Row],[ID]], Table4[ID], Table4[Store], "Not Found", 0)</f>
        <v>7</v>
      </c>
      <c r="V1900" s="5">
        <f>_xlfn.XLOOKUP(CustomerCombined[[#This Row],[ID]], Table4[ID], Table4[Visits], "Not Found", 0)</f>
        <v>8</v>
      </c>
      <c r="W1900" s="8">
        <f>_xlfn.XLOOKUP(CustomerCombined[[#This Row],[ID]], Table2[ID],Table2[Complaint], "Not Found", 0 )</f>
        <v>0</v>
      </c>
      <c r="X1900" s="8">
        <f>_xlfn.XLOOKUP(CustomerCombined[[#This Row],[ID]], Table2[ID],Table2[Pilot], "Not Found", 0 )</f>
        <v>0</v>
      </c>
      <c r="Y1900" s="8">
        <f>_xlfn.XLOOKUP(CustomerCombined[[#This Row],[ID]], Table2[ID],Table2[MC1], "Not Found", 0 )</f>
        <v>0</v>
      </c>
      <c r="Z1900" s="8">
        <f>_xlfn.XLOOKUP(CustomerCombined[[#This Row],[ID]], Table2[ID],Table2[MC2], "Not Found", 0 )</f>
        <v>0</v>
      </c>
      <c r="AA1900" s="8">
        <f>_xlfn.XLOOKUP(CustomerCombined[[#This Row],[ID]], Table2[ID],Table2[MC3], "Not Found", 0 )</f>
        <v>0</v>
      </c>
      <c r="AB1900" s="8">
        <f>_xlfn.XLOOKUP(CustomerCombined[[#This Row],[ID]], Table2[ID],Table2[MC4], "Not Found", 0 )</f>
        <v>0</v>
      </c>
      <c r="AC1900" s="8">
        <f>_xlfn.XLOOKUP(CustomerCombined[[#This Row],[ID]], Table2[ID],Table2[MC5], "Not Found", 0 )</f>
        <v>0</v>
      </c>
    </row>
    <row r="1901" spans="1:29" x14ac:dyDescent="0.3">
      <c r="A1901" s="6">
        <v>1665</v>
      </c>
      <c r="B1901" s="6">
        <v>138946</v>
      </c>
      <c r="C1901" s="6">
        <v>0</v>
      </c>
      <c r="D1901" s="6">
        <v>1</v>
      </c>
      <c r="E1901" s="6">
        <v>65</v>
      </c>
      <c r="F1901" s="5" t="s">
        <v>8</v>
      </c>
      <c r="G1901" s="5" t="s">
        <v>11</v>
      </c>
      <c r="H1901" s="3" t="s">
        <v>158</v>
      </c>
      <c r="I1901" s="5" t="s">
        <v>435</v>
      </c>
      <c r="J1901" s="5">
        <f>_xlfn.XLOOKUP(CustomerCombined[[#This Row],[ID]], Table4[ID], Table4[Recency], "Not Found", 0)</f>
        <v>84</v>
      </c>
      <c r="K1901" s="5">
        <f>_xlfn.XLOOKUP(CustomerCombined[[#This Row],[ID]], Table4[ID], Table4[Teas], "Not Found", 0)</f>
        <v>414</v>
      </c>
      <c r="L1901" s="5">
        <f>_xlfn.XLOOKUP(CustomerCombined[[#This Row],[ID]], Table4[ID], Table4[Fruits], "Not Found", 0)</f>
        <v>21</v>
      </c>
      <c r="M1901" s="5">
        <f>_xlfn.XLOOKUP(CustomerCombined[[#This Row],[ID]], Table4[ID], Table4[Meats], "Not Found", 0)</f>
        <v>293</v>
      </c>
      <c r="N1901" s="5">
        <f>_xlfn.XLOOKUP(CustomerCombined[[#This Row],[ID]], Table4[ID], Table4[Seafood], "Not Found", 0)</f>
        <v>21</v>
      </c>
      <c r="O1901" s="5">
        <f>_xlfn.XLOOKUP(CustomerCombined[[#This Row],[ID]], Table4[ID], Table4[Sweets], "Not Found", 0)</f>
        <v>21</v>
      </c>
      <c r="P1901" s="5">
        <f>_xlfn.XLOOKUP(CustomerCombined[[#This Row],[ID]], Table4[ID], Table4[Premium], "Not Found", 0)</f>
        <v>146</v>
      </c>
      <c r="Q1901" s="5">
        <f>_xlfn.XLOOKUP(CustomerCombined[[#This Row],[ID]], Table4[ID], Table4[Regular], "Not Found", 0)</f>
        <v>624</v>
      </c>
      <c r="R1901" s="5">
        <f>_xlfn.XLOOKUP(CustomerCombined[[#This Row],[ID]], Table4[ID], Table4[Deals], "Not Found", 0)</f>
        <v>2</v>
      </c>
      <c r="S1901" s="5">
        <f>_xlfn.XLOOKUP(CustomerCombined[[#This Row],[ID]], Table4[ID], Table4[Website], "Not Found", 0)</f>
        <v>3</v>
      </c>
      <c r="T1901" s="5">
        <f>_xlfn.XLOOKUP(CustomerCombined[[#This Row],[ID]], Table4[ID], Table4[Catalog], "Not Found", 0)</f>
        <v>1</v>
      </c>
      <c r="U1901" s="5">
        <f>_xlfn.XLOOKUP(CustomerCombined[[#This Row],[ID]], Table4[ID], Table4[Store], "Not Found", 0)</f>
        <v>6</v>
      </c>
      <c r="V1901" s="5">
        <f>_xlfn.XLOOKUP(CustomerCombined[[#This Row],[ID]], Table4[ID], Table4[Visits], "Not Found", 0)</f>
        <v>5</v>
      </c>
      <c r="W1901" s="8">
        <f>_xlfn.XLOOKUP(CustomerCombined[[#This Row],[ID]], Table2[ID],Table2[Complaint], "Not Found", 0 )</f>
        <v>0</v>
      </c>
      <c r="X1901" s="8">
        <f>_xlfn.XLOOKUP(CustomerCombined[[#This Row],[ID]], Table2[ID],Table2[Pilot], "Not Found", 0 )</f>
        <v>0</v>
      </c>
      <c r="Y1901" s="8">
        <f>_xlfn.XLOOKUP(CustomerCombined[[#This Row],[ID]], Table2[ID],Table2[MC1], "Not Found", 0 )</f>
        <v>0</v>
      </c>
      <c r="Z1901" s="8">
        <f>_xlfn.XLOOKUP(CustomerCombined[[#This Row],[ID]], Table2[ID],Table2[MC2], "Not Found", 0 )</f>
        <v>0</v>
      </c>
      <c r="AA1901" s="8">
        <f>_xlfn.XLOOKUP(CustomerCombined[[#This Row],[ID]], Table2[ID],Table2[MC3], "Not Found", 0 )</f>
        <v>0</v>
      </c>
      <c r="AB1901" s="8">
        <f>_xlfn.XLOOKUP(CustomerCombined[[#This Row],[ID]], Table2[ID],Table2[MC4], "Not Found", 0 )</f>
        <v>0</v>
      </c>
      <c r="AC1901" s="8">
        <f>_xlfn.XLOOKUP(CustomerCombined[[#This Row],[ID]], Table2[ID],Table2[MC5], "Not Found", 0 )</f>
        <v>0</v>
      </c>
    </row>
    <row r="1902" spans="1:29" x14ac:dyDescent="0.3">
      <c r="A1902" s="6">
        <v>3147</v>
      </c>
      <c r="B1902" s="6">
        <v>138946</v>
      </c>
      <c r="C1902" s="6">
        <v>0</v>
      </c>
      <c r="D1902" s="6">
        <v>1</v>
      </c>
      <c r="E1902" s="6">
        <v>65</v>
      </c>
      <c r="F1902" s="5" t="s">
        <v>8</v>
      </c>
      <c r="G1902" s="5" t="s">
        <v>11</v>
      </c>
      <c r="H1902" s="3" t="s">
        <v>158</v>
      </c>
      <c r="I1902" s="5" t="s">
        <v>435</v>
      </c>
      <c r="J1902" s="5">
        <f>_xlfn.XLOOKUP(CustomerCombined[[#This Row],[ID]], Table4[ID], Table4[Recency], "Not Found", 0)</f>
        <v>84</v>
      </c>
      <c r="K1902" s="5">
        <f>_xlfn.XLOOKUP(CustomerCombined[[#This Row],[ID]], Table4[ID], Table4[Teas], "Not Found", 0)</f>
        <v>414</v>
      </c>
      <c r="L1902" s="5">
        <f>_xlfn.XLOOKUP(CustomerCombined[[#This Row],[ID]], Table4[ID], Table4[Fruits], "Not Found", 0)</f>
        <v>21</v>
      </c>
      <c r="M1902" s="5">
        <f>_xlfn.XLOOKUP(CustomerCombined[[#This Row],[ID]], Table4[ID], Table4[Meats], "Not Found", 0)</f>
        <v>293</v>
      </c>
      <c r="N1902" s="5">
        <f>_xlfn.XLOOKUP(CustomerCombined[[#This Row],[ID]], Table4[ID], Table4[Seafood], "Not Found", 0)</f>
        <v>21</v>
      </c>
      <c r="O1902" s="5">
        <f>_xlfn.XLOOKUP(CustomerCombined[[#This Row],[ID]], Table4[ID], Table4[Sweets], "Not Found", 0)</f>
        <v>21</v>
      </c>
      <c r="P1902" s="5">
        <f>_xlfn.XLOOKUP(CustomerCombined[[#This Row],[ID]], Table4[ID], Table4[Premium], "Not Found", 0)</f>
        <v>146</v>
      </c>
      <c r="Q1902" s="5">
        <f>_xlfn.XLOOKUP(CustomerCombined[[#This Row],[ID]], Table4[ID], Table4[Regular], "Not Found", 0)</f>
        <v>624</v>
      </c>
      <c r="R1902" s="5">
        <f>_xlfn.XLOOKUP(CustomerCombined[[#This Row],[ID]], Table4[ID], Table4[Deals], "Not Found", 0)</f>
        <v>2</v>
      </c>
      <c r="S1902" s="5">
        <f>_xlfn.XLOOKUP(CustomerCombined[[#This Row],[ID]], Table4[ID], Table4[Website], "Not Found", 0)</f>
        <v>3</v>
      </c>
      <c r="T1902" s="5">
        <f>_xlfn.XLOOKUP(CustomerCombined[[#This Row],[ID]], Table4[ID], Table4[Catalog], "Not Found", 0)</f>
        <v>1</v>
      </c>
      <c r="U1902" s="5">
        <f>_xlfn.XLOOKUP(CustomerCombined[[#This Row],[ID]], Table4[ID], Table4[Store], "Not Found", 0)</f>
        <v>6</v>
      </c>
      <c r="V1902" s="5">
        <f>_xlfn.XLOOKUP(CustomerCombined[[#This Row],[ID]], Table4[ID], Table4[Visits], "Not Found", 0)</f>
        <v>5</v>
      </c>
      <c r="W1902" s="8">
        <f>_xlfn.XLOOKUP(CustomerCombined[[#This Row],[ID]], Table2[ID],Table2[Complaint], "Not Found", 0 )</f>
        <v>0</v>
      </c>
      <c r="X1902" s="8">
        <f>_xlfn.XLOOKUP(CustomerCombined[[#This Row],[ID]], Table2[ID],Table2[Pilot], "Not Found", 0 )</f>
        <v>0</v>
      </c>
      <c r="Y1902" s="8">
        <f>_xlfn.XLOOKUP(CustomerCombined[[#This Row],[ID]], Table2[ID],Table2[MC1], "Not Found", 0 )</f>
        <v>0</v>
      </c>
      <c r="Z1902" s="8">
        <f>_xlfn.XLOOKUP(CustomerCombined[[#This Row],[ID]], Table2[ID],Table2[MC2], "Not Found", 0 )</f>
        <v>0</v>
      </c>
      <c r="AA1902" s="8">
        <f>_xlfn.XLOOKUP(CustomerCombined[[#This Row],[ID]], Table2[ID],Table2[MC3], "Not Found", 0 )</f>
        <v>0</v>
      </c>
      <c r="AB1902" s="8">
        <f>_xlfn.XLOOKUP(CustomerCombined[[#This Row],[ID]], Table2[ID],Table2[MC4], "Not Found", 0 )</f>
        <v>0</v>
      </c>
      <c r="AC1902" s="8">
        <f>_xlfn.XLOOKUP(CustomerCombined[[#This Row],[ID]], Table2[ID],Table2[MC5], "Not Found", 0 )</f>
        <v>0</v>
      </c>
    </row>
    <row r="1903" spans="1:29" x14ac:dyDescent="0.3">
      <c r="A1903" s="6">
        <v>2733</v>
      </c>
      <c r="B1903" s="6">
        <v>138725</v>
      </c>
      <c r="C1903" s="6">
        <v>1</v>
      </c>
      <c r="D1903" s="6">
        <v>1</v>
      </c>
      <c r="E1903" s="6">
        <v>65</v>
      </c>
      <c r="F1903" s="5" t="s">
        <v>6</v>
      </c>
      <c r="G1903" s="5" t="s">
        <v>13</v>
      </c>
      <c r="H1903" s="3" t="s">
        <v>54</v>
      </c>
      <c r="I1903" s="5" t="s">
        <v>435</v>
      </c>
      <c r="J1903" s="5">
        <f>_xlfn.XLOOKUP(CustomerCombined[[#This Row],[ID]], Table4[ID], Table4[Recency], "Not Found", 0)</f>
        <v>52</v>
      </c>
      <c r="K1903" s="5">
        <f>_xlfn.XLOOKUP(CustomerCombined[[#This Row],[ID]], Table4[ID], Table4[Teas], "Not Found", 0)</f>
        <v>111</v>
      </c>
      <c r="L1903" s="5">
        <f>_xlfn.XLOOKUP(CustomerCombined[[#This Row],[ID]], Table4[ID], Table4[Fruits], "Not Found", 0)</f>
        <v>0</v>
      </c>
      <c r="M1903" s="5">
        <f>_xlfn.XLOOKUP(CustomerCombined[[#This Row],[ID]], Table4[ID], Table4[Meats], "Not Found", 0)</f>
        <v>21</v>
      </c>
      <c r="N1903" s="5">
        <f>_xlfn.XLOOKUP(CustomerCombined[[#This Row],[ID]], Table4[ID], Table4[Seafood], "Not Found", 0)</f>
        <v>7</v>
      </c>
      <c r="O1903" s="5">
        <f>_xlfn.XLOOKUP(CustomerCombined[[#This Row],[ID]], Table4[ID], Table4[Sweets], "Not Found", 0)</f>
        <v>4</v>
      </c>
      <c r="P1903" s="5">
        <f>_xlfn.XLOOKUP(CustomerCombined[[#This Row],[ID]], Table4[ID], Table4[Premium], "Not Found", 0)</f>
        <v>18</v>
      </c>
      <c r="Q1903" s="5">
        <f>_xlfn.XLOOKUP(CustomerCombined[[#This Row],[ID]], Table4[ID], Table4[Regular], "Not Found", 0)</f>
        <v>125</v>
      </c>
      <c r="R1903" s="5">
        <f>_xlfn.XLOOKUP(CustomerCombined[[#This Row],[ID]], Table4[ID], Table4[Deals], "Not Found", 0)</f>
        <v>2</v>
      </c>
      <c r="S1903" s="5">
        <f>_xlfn.XLOOKUP(CustomerCombined[[#This Row],[ID]], Table4[ID], Table4[Website], "Not Found", 0)</f>
        <v>1</v>
      </c>
      <c r="T1903" s="5">
        <f>_xlfn.XLOOKUP(CustomerCombined[[#This Row],[ID]], Table4[ID], Table4[Catalog], "Not Found", 0)</f>
        <v>0</v>
      </c>
      <c r="U1903" s="5">
        <f>_xlfn.XLOOKUP(CustomerCombined[[#This Row],[ID]], Table4[ID], Table4[Store], "Not Found", 0)</f>
        <v>4</v>
      </c>
      <c r="V1903" s="5">
        <f>_xlfn.XLOOKUP(CustomerCombined[[#This Row],[ID]], Table4[ID], Table4[Visits], "Not Found", 0)</f>
        <v>4</v>
      </c>
      <c r="W1903" s="8">
        <f>_xlfn.XLOOKUP(CustomerCombined[[#This Row],[ID]], Table2[ID],Table2[Complaint], "Not Found", 0 )</f>
        <v>0</v>
      </c>
      <c r="X1903" s="8">
        <f>_xlfn.XLOOKUP(CustomerCombined[[#This Row],[ID]], Table2[ID],Table2[Pilot], "Not Found", 0 )</f>
        <v>0</v>
      </c>
      <c r="Y1903" s="8">
        <f>_xlfn.XLOOKUP(CustomerCombined[[#This Row],[ID]], Table2[ID],Table2[MC1], "Not Found", 0 )</f>
        <v>0</v>
      </c>
      <c r="Z1903" s="8">
        <f>_xlfn.XLOOKUP(CustomerCombined[[#This Row],[ID]], Table2[ID],Table2[MC2], "Not Found", 0 )</f>
        <v>0</v>
      </c>
      <c r="AA1903" s="8">
        <f>_xlfn.XLOOKUP(CustomerCombined[[#This Row],[ID]], Table2[ID],Table2[MC3], "Not Found", 0 )</f>
        <v>0</v>
      </c>
      <c r="AB1903" s="8">
        <f>_xlfn.XLOOKUP(CustomerCombined[[#This Row],[ID]], Table2[ID],Table2[MC4], "Not Found", 0 )</f>
        <v>0</v>
      </c>
      <c r="AC1903" s="8">
        <f>_xlfn.XLOOKUP(CustomerCombined[[#This Row],[ID]], Table2[ID],Table2[MC5], "Not Found", 0 )</f>
        <v>0</v>
      </c>
    </row>
    <row r="1904" spans="1:29" x14ac:dyDescent="0.3">
      <c r="A1904" s="6">
        <v>2210</v>
      </c>
      <c r="B1904" s="6">
        <v>138452</v>
      </c>
      <c r="C1904" s="6">
        <v>1</v>
      </c>
      <c r="D1904" s="6">
        <v>1</v>
      </c>
      <c r="E1904" s="6">
        <v>65</v>
      </c>
      <c r="F1904" s="5" t="s">
        <v>6</v>
      </c>
      <c r="G1904" s="5" t="s">
        <v>12</v>
      </c>
      <c r="H1904" s="3">
        <v>43899</v>
      </c>
      <c r="I1904" s="5" t="s">
        <v>438</v>
      </c>
      <c r="J1904" s="5">
        <f>_xlfn.XLOOKUP(CustomerCombined[[#This Row],[ID]], Table4[ID], Table4[Recency], "Not Found", 0)</f>
        <v>62</v>
      </c>
      <c r="K1904" s="5">
        <f>_xlfn.XLOOKUP(CustomerCombined[[#This Row],[ID]], Table4[ID], Table4[Teas], "Not Found", 0)</f>
        <v>202</v>
      </c>
      <c r="L1904" s="5">
        <f>_xlfn.XLOOKUP(CustomerCombined[[#This Row],[ID]], Table4[ID], Table4[Fruits], "Not Found", 0)</f>
        <v>0</v>
      </c>
      <c r="M1904" s="5">
        <f>_xlfn.XLOOKUP(CustomerCombined[[#This Row],[ID]], Table4[ID], Table4[Meats], "Not Found", 0)</f>
        <v>50</v>
      </c>
      <c r="N1904" s="5">
        <f>_xlfn.XLOOKUP(CustomerCombined[[#This Row],[ID]], Table4[ID], Table4[Seafood], "Not Found", 0)</f>
        <v>0</v>
      </c>
      <c r="O1904" s="5">
        <f>_xlfn.XLOOKUP(CustomerCombined[[#This Row],[ID]], Table4[ID], Table4[Sweets], "Not Found", 0)</f>
        <v>0</v>
      </c>
      <c r="P1904" s="5">
        <f>_xlfn.XLOOKUP(CustomerCombined[[#This Row],[ID]], Table4[ID], Table4[Premium], "Not Found", 0)</f>
        <v>7</v>
      </c>
      <c r="Q1904" s="5">
        <f>_xlfn.XLOOKUP(CustomerCombined[[#This Row],[ID]], Table4[ID], Table4[Regular], "Not Found", 0)</f>
        <v>245</v>
      </c>
      <c r="R1904" s="5">
        <f>_xlfn.XLOOKUP(CustomerCombined[[#This Row],[ID]], Table4[ID], Table4[Deals], "Not Found", 0)</f>
        <v>3</v>
      </c>
      <c r="S1904" s="5">
        <f>_xlfn.XLOOKUP(CustomerCombined[[#This Row],[ID]], Table4[ID], Table4[Website], "Not Found", 0)</f>
        <v>3</v>
      </c>
      <c r="T1904" s="5">
        <f>_xlfn.XLOOKUP(CustomerCombined[[#This Row],[ID]], Table4[ID], Table4[Catalog], "Not Found", 0)</f>
        <v>0</v>
      </c>
      <c r="U1904" s="5">
        <f>_xlfn.XLOOKUP(CustomerCombined[[#This Row],[ID]], Table4[ID], Table4[Store], "Not Found", 0)</f>
        <v>3</v>
      </c>
      <c r="V1904" s="5">
        <f>_xlfn.XLOOKUP(CustomerCombined[[#This Row],[ID]], Table4[ID], Table4[Visits], "Not Found", 0)</f>
        <v>7</v>
      </c>
      <c r="W1904" s="8">
        <f>_xlfn.XLOOKUP(CustomerCombined[[#This Row],[ID]], Table2[ID],Table2[Complaint], "Not Found", 0 )</f>
        <v>0</v>
      </c>
      <c r="X1904" s="8">
        <f>_xlfn.XLOOKUP(CustomerCombined[[#This Row],[ID]], Table2[ID],Table2[Pilot], "Not Found", 0 )</f>
        <v>0</v>
      </c>
      <c r="Y1904" s="8">
        <f>_xlfn.XLOOKUP(CustomerCombined[[#This Row],[ID]], Table2[ID],Table2[MC1], "Not Found", 0 )</f>
        <v>0</v>
      </c>
      <c r="Z1904" s="8">
        <f>_xlfn.XLOOKUP(CustomerCombined[[#This Row],[ID]], Table2[ID],Table2[MC2], "Not Found", 0 )</f>
        <v>0</v>
      </c>
      <c r="AA1904" s="8">
        <f>_xlfn.XLOOKUP(CustomerCombined[[#This Row],[ID]], Table2[ID],Table2[MC3], "Not Found", 0 )</f>
        <v>0</v>
      </c>
      <c r="AB1904" s="8">
        <f>_xlfn.XLOOKUP(CustomerCombined[[#This Row],[ID]], Table2[ID],Table2[MC4], "Not Found", 0 )</f>
        <v>0</v>
      </c>
      <c r="AC1904" s="8">
        <f>_xlfn.XLOOKUP(CustomerCombined[[#This Row],[ID]], Table2[ID],Table2[MC5], "Not Found", 0 )</f>
        <v>0</v>
      </c>
    </row>
    <row r="1905" spans="1:29" x14ac:dyDescent="0.3">
      <c r="A1905" s="6">
        <v>2676</v>
      </c>
      <c r="B1905" s="6">
        <v>138452</v>
      </c>
      <c r="C1905" s="6">
        <v>1</v>
      </c>
      <c r="D1905" s="6">
        <v>1</v>
      </c>
      <c r="E1905" s="6">
        <v>65</v>
      </c>
      <c r="F1905" s="5" t="s">
        <v>6</v>
      </c>
      <c r="G1905" s="5" t="s">
        <v>12</v>
      </c>
      <c r="H1905" s="3">
        <v>43899</v>
      </c>
      <c r="I1905" s="5" t="s">
        <v>436</v>
      </c>
      <c r="J1905" s="5">
        <f>_xlfn.XLOOKUP(CustomerCombined[[#This Row],[ID]], Table4[ID], Table4[Recency], "Not Found", 0)</f>
        <v>62</v>
      </c>
      <c r="K1905" s="5">
        <f>_xlfn.XLOOKUP(CustomerCombined[[#This Row],[ID]], Table4[ID], Table4[Teas], "Not Found", 0)</f>
        <v>202</v>
      </c>
      <c r="L1905" s="5">
        <f>_xlfn.XLOOKUP(CustomerCombined[[#This Row],[ID]], Table4[ID], Table4[Fruits], "Not Found", 0)</f>
        <v>0</v>
      </c>
      <c r="M1905" s="5">
        <f>_xlfn.XLOOKUP(CustomerCombined[[#This Row],[ID]], Table4[ID], Table4[Meats], "Not Found", 0)</f>
        <v>50</v>
      </c>
      <c r="N1905" s="5">
        <f>_xlfn.XLOOKUP(CustomerCombined[[#This Row],[ID]], Table4[ID], Table4[Seafood], "Not Found", 0)</f>
        <v>0</v>
      </c>
      <c r="O1905" s="5">
        <f>_xlfn.XLOOKUP(CustomerCombined[[#This Row],[ID]], Table4[ID], Table4[Sweets], "Not Found", 0)</f>
        <v>0</v>
      </c>
      <c r="P1905" s="5">
        <f>_xlfn.XLOOKUP(CustomerCombined[[#This Row],[ID]], Table4[ID], Table4[Premium], "Not Found", 0)</f>
        <v>7</v>
      </c>
      <c r="Q1905" s="5">
        <f>_xlfn.XLOOKUP(CustomerCombined[[#This Row],[ID]], Table4[ID], Table4[Regular], "Not Found", 0)</f>
        <v>245</v>
      </c>
      <c r="R1905" s="5">
        <f>_xlfn.XLOOKUP(CustomerCombined[[#This Row],[ID]], Table4[ID], Table4[Deals], "Not Found", 0)</f>
        <v>3</v>
      </c>
      <c r="S1905" s="5">
        <f>_xlfn.XLOOKUP(CustomerCombined[[#This Row],[ID]], Table4[ID], Table4[Website], "Not Found", 0)</f>
        <v>3</v>
      </c>
      <c r="T1905" s="5">
        <f>_xlfn.XLOOKUP(CustomerCombined[[#This Row],[ID]], Table4[ID], Table4[Catalog], "Not Found", 0)</f>
        <v>0</v>
      </c>
      <c r="U1905" s="5">
        <f>_xlfn.XLOOKUP(CustomerCombined[[#This Row],[ID]], Table4[ID], Table4[Store], "Not Found", 0)</f>
        <v>3</v>
      </c>
      <c r="V1905" s="5">
        <f>_xlfn.XLOOKUP(CustomerCombined[[#This Row],[ID]], Table4[ID], Table4[Visits], "Not Found", 0)</f>
        <v>7</v>
      </c>
      <c r="W1905" s="8">
        <f>_xlfn.XLOOKUP(CustomerCombined[[#This Row],[ID]], Table2[ID],Table2[Complaint], "Not Found", 0 )</f>
        <v>0</v>
      </c>
      <c r="X1905" s="8">
        <f>_xlfn.XLOOKUP(CustomerCombined[[#This Row],[ID]], Table2[ID],Table2[Pilot], "Not Found", 0 )</f>
        <v>0</v>
      </c>
      <c r="Y1905" s="8">
        <f>_xlfn.XLOOKUP(CustomerCombined[[#This Row],[ID]], Table2[ID],Table2[MC1], "Not Found", 0 )</f>
        <v>0</v>
      </c>
      <c r="Z1905" s="8">
        <f>_xlfn.XLOOKUP(CustomerCombined[[#This Row],[ID]], Table2[ID],Table2[MC2], "Not Found", 0 )</f>
        <v>0</v>
      </c>
      <c r="AA1905" s="8">
        <f>_xlfn.XLOOKUP(CustomerCombined[[#This Row],[ID]], Table2[ID],Table2[MC3], "Not Found", 0 )</f>
        <v>0</v>
      </c>
      <c r="AB1905" s="8">
        <f>_xlfn.XLOOKUP(CustomerCombined[[#This Row],[ID]], Table2[ID],Table2[MC4], "Not Found", 0 )</f>
        <v>0</v>
      </c>
      <c r="AC1905" s="8">
        <f>_xlfn.XLOOKUP(CustomerCombined[[#This Row],[ID]], Table2[ID],Table2[MC5], "Not Found", 0 )</f>
        <v>0</v>
      </c>
    </row>
    <row r="1906" spans="1:29" x14ac:dyDescent="0.3">
      <c r="A1906" s="6">
        <v>2707</v>
      </c>
      <c r="B1906" s="6">
        <v>137244</v>
      </c>
      <c r="C1906" s="6">
        <v>1</v>
      </c>
      <c r="D1906" s="6">
        <v>1</v>
      </c>
      <c r="E1906" s="6">
        <v>65</v>
      </c>
      <c r="F1906" s="5" t="s">
        <v>5</v>
      </c>
      <c r="G1906" s="5" t="s">
        <v>11</v>
      </c>
      <c r="H1906" s="3">
        <v>43506</v>
      </c>
      <c r="I1906" s="5" t="s">
        <v>437</v>
      </c>
      <c r="J1906" s="5">
        <f>_xlfn.XLOOKUP(CustomerCombined[[#This Row],[ID]], Table4[ID], Table4[Recency], "Not Found", 0)</f>
        <v>90</v>
      </c>
      <c r="K1906" s="5">
        <f>_xlfn.XLOOKUP(CustomerCombined[[#This Row],[ID]], Table4[ID], Table4[Teas], "Not Found", 0)</f>
        <v>66</v>
      </c>
      <c r="L1906" s="5">
        <f>_xlfn.XLOOKUP(CustomerCombined[[#This Row],[ID]], Table4[ID], Table4[Fruits], "Not Found", 0)</f>
        <v>7</v>
      </c>
      <c r="M1906" s="5">
        <f>_xlfn.XLOOKUP(CustomerCombined[[#This Row],[ID]], Table4[ID], Table4[Meats], "Not Found", 0)</f>
        <v>37</v>
      </c>
      <c r="N1906" s="5">
        <f>_xlfn.XLOOKUP(CustomerCombined[[#This Row],[ID]], Table4[ID], Table4[Seafood], "Not Found", 0)</f>
        <v>0</v>
      </c>
      <c r="O1906" s="5">
        <f>_xlfn.XLOOKUP(CustomerCombined[[#This Row],[ID]], Table4[ID], Table4[Sweets], "Not Found", 0)</f>
        <v>0</v>
      </c>
      <c r="P1906" s="5">
        <f>_xlfn.XLOOKUP(CustomerCombined[[#This Row],[ID]], Table4[ID], Table4[Premium], "Not Found", 0)</f>
        <v>92</v>
      </c>
      <c r="Q1906" s="5">
        <f>_xlfn.XLOOKUP(CustomerCombined[[#This Row],[ID]], Table4[ID], Table4[Regular], "Not Found", 0)</f>
        <v>18</v>
      </c>
      <c r="R1906" s="5">
        <f>_xlfn.XLOOKUP(CustomerCombined[[#This Row],[ID]], Table4[ID], Table4[Deals], "Not Found", 0)</f>
        <v>1</v>
      </c>
      <c r="S1906" s="5">
        <f>_xlfn.XLOOKUP(CustomerCombined[[#This Row],[ID]], Table4[ID], Table4[Website], "Not Found", 0)</f>
        <v>1</v>
      </c>
      <c r="T1906" s="5">
        <f>_xlfn.XLOOKUP(CustomerCombined[[#This Row],[ID]], Table4[ID], Table4[Catalog], "Not Found", 0)</f>
        <v>1</v>
      </c>
      <c r="U1906" s="5">
        <f>_xlfn.XLOOKUP(CustomerCombined[[#This Row],[ID]], Table4[ID], Table4[Store], "Not Found", 0)</f>
        <v>2</v>
      </c>
      <c r="V1906" s="5">
        <f>_xlfn.XLOOKUP(CustomerCombined[[#This Row],[ID]], Table4[ID], Table4[Visits], "Not Found", 0)</f>
        <v>7</v>
      </c>
      <c r="W1906" s="8">
        <f>_xlfn.XLOOKUP(CustomerCombined[[#This Row],[ID]], Table2[ID],Table2[Complaint], "Not Found", 0 )</f>
        <v>0</v>
      </c>
      <c r="X1906" s="8">
        <f>_xlfn.XLOOKUP(CustomerCombined[[#This Row],[ID]], Table2[ID],Table2[Pilot], "Not Found", 0 )</f>
        <v>0</v>
      </c>
      <c r="Y1906" s="8">
        <f>_xlfn.XLOOKUP(CustomerCombined[[#This Row],[ID]], Table2[ID],Table2[MC1], "Not Found", 0 )</f>
        <v>0</v>
      </c>
      <c r="Z1906" s="8">
        <f>_xlfn.XLOOKUP(CustomerCombined[[#This Row],[ID]], Table2[ID],Table2[MC2], "Not Found", 0 )</f>
        <v>0</v>
      </c>
      <c r="AA1906" s="8">
        <f>_xlfn.XLOOKUP(CustomerCombined[[#This Row],[ID]], Table2[ID],Table2[MC3], "Not Found", 0 )</f>
        <v>1</v>
      </c>
      <c r="AB1906" s="8">
        <f>_xlfn.XLOOKUP(CustomerCombined[[#This Row],[ID]], Table2[ID],Table2[MC4], "Not Found", 0 )</f>
        <v>0</v>
      </c>
      <c r="AC1906" s="8">
        <f>_xlfn.XLOOKUP(CustomerCombined[[#This Row],[ID]], Table2[ID],Table2[MC5], "Not Found", 0 )</f>
        <v>0</v>
      </c>
    </row>
    <row r="1907" spans="1:29" x14ac:dyDescent="0.3">
      <c r="A1907" s="6">
        <v>3028</v>
      </c>
      <c r="B1907" s="6">
        <v>136927</v>
      </c>
      <c r="C1907" s="6">
        <v>1</v>
      </c>
      <c r="D1907" s="6">
        <v>1</v>
      </c>
      <c r="E1907" s="6">
        <v>65</v>
      </c>
      <c r="F1907" s="5" t="s">
        <v>7</v>
      </c>
      <c r="G1907" s="5" t="s">
        <v>12</v>
      </c>
      <c r="H1907" s="3">
        <v>43993</v>
      </c>
      <c r="I1907" s="5" t="s">
        <v>439</v>
      </c>
      <c r="J1907" s="5">
        <f>_xlfn.XLOOKUP(CustomerCombined[[#This Row],[ID]], Table4[ID], Table4[Recency], "Not Found", 0)</f>
        <v>46</v>
      </c>
      <c r="K1907" s="5">
        <f>_xlfn.XLOOKUP(CustomerCombined[[#This Row],[ID]], Table4[ID], Table4[Teas], "Not Found", 0)</f>
        <v>189</v>
      </c>
      <c r="L1907" s="5">
        <f>_xlfn.XLOOKUP(CustomerCombined[[#This Row],[ID]], Table4[ID], Table4[Fruits], "Not Found", 0)</f>
        <v>0</v>
      </c>
      <c r="M1907" s="5">
        <f>_xlfn.XLOOKUP(CustomerCombined[[#This Row],[ID]], Table4[ID], Table4[Meats], "Not Found", 0)</f>
        <v>59</v>
      </c>
      <c r="N1907" s="5">
        <f>_xlfn.XLOOKUP(CustomerCombined[[#This Row],[ID]], Table4[ID], Table4[Seafood], "Not Found", 0)</f>
        <v>0</v>
      </c>
      <c r="O1907" s="5">
        <f>_xlfn.XLOOKUP(CustomerCombined[[#This Row],[ID]], Table4[ID], Table4[Sweets], "Not Found", 0)</f>
        <v>0</v>
      </c>
      <c r="P1907" s="5">
        <f>_xlfn.XLOOKUP(CustomerCombined[[#This Row],[ID]], Table4[ID], Table4[Premium], "Not Found", 0)</f>
        <v>15</v>
      </c>
      <c r="Q1907" s="5">
        <f>_xlfn.XLOOKUP(CustomerCombined[[#This Row],[ID]], Table4[ID], Table4[Regular], "Not Found", 0)</f>
        <v>234</v>
      </c>
      <c r="R1907" s="5">
        <f>_xlfn.XLOOKUP(CustomerCombined[[#This Row],[ID]], Table4[ID], Table4[Deals], "Not Found", 0)</f>
        <v>2</v>
      </c>
      <c r="S1907" s="5">
        <f>_xlfn.XLOOKUP(CustomerCombined[[#This Row],[ID]], Table4[ID], Table4[Website], "Not Found", 0)</f>
        <v>3</v>
      </c>
      <c r="T1907" s="5">
        <f>_xlfn.XLOOKUP(CustomerCombined[[#This Row],[ID]], Table4[ID], Table4[Catalog], "Not Found", 0)</f>
        <v>0</v>
      </c>
      <c r="U1907" s="5">
        <f>_xlfn.XLOOKUP(CustomerCombined[[#This Row],[ID]], Table4[ID], Table4[Store], "Not Found", 0)</f>
        <v>3</v>
      </c>
      <c r="V1907" s="5">
        <f>_xlfn.XLOOKUP(CustomerCombined[[#This Row],[ID]], Table4[ID], Table4[Visits], "Not Found", 0)</f>
        <v>8</v>
      </c>
      <c r="W1907" s="8">
        <f>_xlfn.XLOOKUP(CustomerCombined[[#This Row],[ID]], Table2[ID],Table2[Complaint], "Not Found", 0 )</f>
        <v>0</v>
      </c>
      <c r="X1907" s="8">
        <f>_xlfn.XLOOKUP(CustomerCombined[[#This Row],[ID]], Table2[ID],Table2[Pilot], "Not Found", 0 )</f>
        <v>0</v>
      </c>
      <c r="Y1907" s="8">
        <f>_xlfn.XLOOKUP(CustomerCombined[[#This Row],[ID]], Table2[ID],Table2[MC1], "Not Found", 0 )</f>
        <v>0</v>
      </c>
      <c r="Z1907" s="8">
        <f>_xlfn.XLOOKUP(CustomerCombined[[#This Row],[ID]], Table2[ID],Table2[MC2], "Not Found", 0 )</f>
        <v>0</v>
      </c>
      <c r="AA1907" s="8">
        <f>_xlfn.XLOOKUP(CustomerCombined[[#This Row],[ID]], Table2[ID],Table2[MC3], "Not Found", 0 )</f>
        <v>0</v>
      </c>
      <c r="AB1907" s="8">
        <f>_xlfn.XLOOKUP(CustomerCombined[[#This Row],[ID]], Table2[ID],Table2[MC4], "Not Found", 0 )</f>
        <v>0</v>
      </c>
      <c r="AC1907" s="8">
        <f>_xlfn.XLOOKUP(CustomerCombined[[#This Row],[ID]], Table2[ID],Table2[MC5], "Not Found", 0 )</f>
        <v>0</v>
      </c>
    </row>
    <row r="1908" spans="1:29" x14ac:dyDescent="0.3">
      <c r="A1908" s="6">
        <v>2657</v>
      </c>
      <c r="B1908" s="6">
        <v>122554</v>
      </c>
      <c r="C1908" s="6">
        <v>1</v>
      </c>
      <c r="D1908" s="6">
        <v>1</v>
      </c>
      <c r="E1908" s="6">
        <v>65</v>
      </c>
      <c r="F1908" s="5" t="s">
        <v>6</v>
      </c>
      <c r="G1908" s="5" t="s">
        <v>13</v>
      </c>
      <c r="H1908" s="3">
        <v>43742</v>
      </c>
      <c r="I1908" s="5" t="s">
        <v>434</v>
      </c>
      <c r="J1908" s="5">
        <f>_xlfn.XLOOKUP(CustomerCombined[[#This Row],[ID]], Table4[ID], Table4[Recency], "Not Found", 0)</f>
        <v>38</v>
      </c>
      <c r="K1908" s="5">
        <f>_xlfn.XLOOKUP(CustomerCombined[[#This Row],[ID]], Table4[ID], Table4[Teas], "Not Found", 0)</f>
        <v>147</v>
      </c>
      <c r="L1908" s="5">
        <f>_xlfn.XLOOKUP(CustomerCombined[[#This Row],[ID]], Table4[ID], Table4[Fruits], "Not Found", 0)</f>
        <v>0</v>
      </c>
      <c r="M1908" s="5">
        <f>_xlfn.XLOOKUP(CustomerCombined[[#This Row],[ID]], Table4[ID], Table4[Meats], "Not Found", 0)</f>
        <v>54</v>
      </c>
      <c r="N1908" s="5">
        <f>_xlfn.XLOOKUP(CustomerCombined[[#This Row],[ID]], Table4[ID], Table4[Seafood], "Not Found", 0)</f>
        <v>0</v>
      </c>
      <c r="O1908" s="5">
        <f>_xlfn.XLOOKUP(CustomerCombined[[#This Row],[ID]], Table4[ID], Table4[Sweets], "Not Found", 0)</f>
        <v>0</v>
      </c>
      <c r="P1908" s="5">
        <f>_xlfn.XLOOKUP(CustomerCombined[[#This Row],[ID]], Table4[ID], Table4[Premium], "Not Found", 0)</f>
        <v>22</v>
      </c>
      <c r="Q1908" s="5">
        <f>_xlfn.XLOOKUP(CustomerCombined[[#This Row],[ID]], Table4[ID], Table4[Regular], "Not Found", 0)</f>
        <v>179</v>
      </c>
      <c r="R1908" s="5">
        <f>_xlfn.XLOOKUP(CustomerCombined[[#This Row],[ID]], Table4[ID], Table4[Deals], "Not Found", 0)</f>
        <v>4</v>
      </c>
      <c r="S1908" s="5">
        <f>_xlfn.XLOOKUP(CustomerCombined[[#This Row],[ID]], Table4[ID], Table4[Website], "Not Found", 0)</f>
        <v>2</v>
      </c>
      <c r="T1908" s="5">
        <f>_xlfn.XLOOKUP(CustomerCombined[[#This Row],[ID]], Table4[ID], Table4[Catalog], "Not Found", 0)</f>
        <v>0</v>
      </c>
      <c r="U1908" s="5">
        <f>_xlfn.XLOOKUP(CustomerCombined[[#This Row],[ID]], Table4[ID], Table4[Store], "Not Found", 0)</f>
        <v>4</v>
      </c>
      <c r="V1908" s="5">
        <f>_xlfn.XLOOKUP(CustomerCombined[[#This Row],[ID]], Table4[ID], Table4[Visits], "Not Found", 0)</f>
        <v>5</v>
      </c>
      <c r="W1908" s="8">
        <f>_xlfn.XLOOKUP(CustomerCombined[[#This Row],[ID]], Table2[ID],Table2[Complaint], "Not Found", 0 )</f>
        <v>0</v>
      </c>
      <c r="X1908" s="8">
        <f>_xlfn.XLOOKUP(CustomerCombined[[#This Row],[ID]], Table2[ID],Table2[Pilot], "Not Found", 0 )</f>
        <v>0</v>
      </c>
      <c r="Y1908" s="8">
        <f>_xlfn.XLOOKUP(CustomerCombined[[#This Row],[ID]], Table2[ID],Table2[MC1], "Not Found", 0 )</f>
        <v>0</v>
      </c>
      <c r="Z1908" s="8">
        <f>_xlfn.XLOOKUP(CustomerCombined[[#This Row],[ID]], Table2[ID],Table2[MC2], "Not Found", 0 )</f>
        <v>0</v>
      </c>
      <c r="AA1908" s="8">
        <f>_xlfn.XLOOKUP(CustomerCombined[[#This Row],[ID]], Table2[ID],Table2[MC3], "Not Found", 0 )</f>
        <v>0</v>
      </c>
      <c r="AB1908" s="8">
        <f>_xlfn.XLOOKUP(CustomerCombined[[#This Row],[ID]], Table2[ID],Table2[MC4], "Not Found", 0 )</f>
        <v>0</v>
      </c>
      <c r="AC1908" s="8">
        <f>_xlfn.XLOOKUP(CustomerCombined[[#This Row],[ID]], Table2[ID],Table2[MC5], "Not Found", 0 )</f>
        <v>0</v>
      </c>
    </row>
    <row r="1909" spans="1:29" x14ac:dyDescent="0.3">
      <c r="A1909" s="6">
        <v>1807</v>
      </c>
      <c r="B1909" s="6">
        <v>193404</v>
      </c>
      <c r="C1909" s="6">
        <v>1</v>
      </c>
      <c r="D1909" s="6">
        <v>2</v>
      </c>
      <c r="E1909" s="6">
        <v>66</v>
      </c>
      <c r="F1909" s="5" t="s">
        <v>6</v>
      </c>
      <c r="G1909" s="5" t="s">
        <v>11</v>
      </c>
      <c r="H1909" s="3">
        <v>43809</v>
      </c>
      <c r="I1909" s="5" t="s">
        <v>437</v>
      </c>
      <c r="J1909" s="5">
        <f>_xlfn.XLOOKUP(CustomerCombined[[#This Row],[ID]], Table4[ID], Table4[Recency], "Not Found", 0)</f>
        <v>97</v>
      </c>
      <c r="K1909" s="5">
        <f>_xlfn.XLOOKUP(CustomerCombined[[#This Row],[ID]], Table4[ID], Table4[Teas], "Not Found", 0)</f>
        <v>2648</v>
      </c>
      <c r="L1909" s="5">
        <f>_xlfn.XLOOKUP(CustomerCombined[[#This Row],[ID]], Table4[ID], Table4[Fruits], "Not Found", 0)</f>
        <v>31</v>
      </c>
      <c r="M1909" s="5">
        <f>_xlfn.XLOOKUP(CustomerCombined[[#This Row],[ID]], Table4[ID], Table4[Meats], "Not Found", 0)</f>
        <v>594</v>
      </c>
      <c r="N1909" s="5">
        <f>_xlfn.XLOOKUP(CustomerCombined[[#This Row],[ID]], Table4[ID], Table4[Seafood], "Not Found", 0)</f>
        <v>41</v>
      </c>
      <c r="O1909" s="5">
        <f>_xlfn.XLOOKUP(CustomerCombined[[#This Row],[ID]], Table4[ID], Table4[Sweets], "Not Found", 0)</f>
        <v>0</v>
      </c>
      <c r="P1909" s="5">
        <f>_xlfn.XLOOKUP(CustomerCombined[[#This Row],[ID]], Table4[ID], Table4[Premium], "Not Found", 0)</f>
        <v>31</v>
      </c>
      <c r="Q1909" s="5">
        <f>_xlfn.XLOOKUP(CustomerCombined[[#This Row],[ID]], Table4[ID], Table4[Regular], "Not Found", 0)</f>
        <v>3284</v>
      </c>
      <c r="R1909" s="5">
        <f>_xlfn.XLOOKUP(CustomerCombined[[#This Row],[ID]], Table4[ID], Table4[Deals], "Not Found", 0)</f>
        <v>3</v>
      </c>
      <c r="S1909" s="5">
        <f>_xlfn.XLOOKUP(CustomerCombined[[#This Row],[ID]], Table4[ID], Table4[Website], "Not Found", 0)</f>
        <v>3</v>
      </c>
      <c r="T1909" s="5">
        <f>_xlfn.XLOOKUP(CustomerCombined[[#This Row],[ID]], Table4[ID], Table4[Catalog], "Not Found", 0)</f>
        <v>4</v>
      </c>
      <c r="U1909" s="5">
        <f>_xlfn.XLOOKUP(CustomerCombined[[#This Row],[ID]], Table4[ID], Table4[Store], "Not Found", 0)</f>
        <v>7</v>
      </c>
      <c r="V1909" s="5">
        <f>_xlfn.XLOOKUP(CustomerCombined[[#This Row],[ID]], Table4[ID], Table4[Visits], "Not Found", 0)</f>
        <v>5</v>
      </c>
      <c r="W1909" s="8">
        <f>_xlfn.XLOOKUP(CustomerCombined[[#This Row],[ID]], Table2[ID],Table2[Complaint], "Not Found", 0 )</f>
        <v>0</v>
      </c>
      <c r="X1909" s="8">
        <f>_xlfn.XLOOKUP(CustomerCombined[[#This Row],[ID]], Table2[ID],Table2[Pilot], "Not Found", 0 )</f>
        <v>0</v>
      </c>
      <c r="Y1909" s="8">
        <f>_xlfn.XLOOKUP(CustomerCombined[[#This Row],[ID]], Table2[ID],Table2[MC1], "Not Found", 0 )</f>
        <v>0</v>
      </c>
      <c r="Z1909" s="8">
        <f>_xlfn.XLOOKUP(CustomerCombined[[#This Row],[ID]], Table2[ID],Table2[MC2], "Not Found", 0 )</f>
        <v>0</v>
      </c>
      <c r="AA1909" s="8">
        <f>_xlfn.XLOOKUP(CustomerCombined[[#This Row],[ID]], Table2[ID],Table2[MC3], "Not Found", 0 )</f>
        <v>0</v>
      </c>
      <c r="AB1909" s="8">
        <f>_xlfn.XLOOKUP(CustomerCombined[[#This Row],[ID]], Table2[ID],Table2[MC4], "Not Found", 0 )</f>
        <v>1</v>
      </c>
      <c r="AC1909" s="8">
        <f>_xlfn.XLOOKUP(CustomerCombined[[#This Row],[ID]], Table2[ID],Table2[MC5], "Not Found", 0 )</f>
        <v>1</v>
      </c>
    </row>
    <row r="1910" spans="1:29" x14ac:dyDescent="0.3">
      <c r="A1910" s="6">
        <v>2872</v>
      </c>
      <c r="B1910" s="6">
        <v>190933</v>
      </c>
      <c r="C1910" s="6">
        <v>0</v>
      </c>
      <c r="D1910" s="6">
        <v>0</v>
      </c>
      <c r="E1910" s="6">
        <v>66</v>
      </c>
      <c r="F1910" s="5" t="s">
        <v>7</v>
      </c>
      <c r="G1910" s="5" t="s">
        <v>13</v>
      </c>
      <c r="H1910" s="3">
        <v>43930</v>
      </c>
      <c r="I1910" s="5" t="s">
        <v>439</v>
      </c>
      <c r="J1910" s="5">
        <f>_xlfn.XLOOKUP(CustomerCombined[[#This Row],[ID]], Table4[ID], Table4[Recency], "Not Found", 0)</f>
        <v>90</v>
      </c>
      <c r="K1910" s="5">
        <f>_xlfn.XLOOKUP(CustomerCombined[[#This Row],[ID]], Table4[ID], Table4[Teas], "Not Found", 0)</f>
        <v>2142</v>
      </c>
      <c r="L1910" s="5">
        <f>_xlfn.XLOOKUP(CustomerCombined[[#This Row],[ID]], Table4[ID], Table4[Fruits], "Not Found", 0)</f>
        <v>65</v>
      </c>
      <c r="M1910" s="5">
        <f>_xlfn.XLOOKUP(CustomerCombined[[#This Row],[ID]], Table4[ID], Table4[Meats], "Not Found", 0)</f>
        <v>903</v>
      </c>
      <c r="N1910" s="5">
        <f>_xlfn.XLOOKUP(CustomerCombined[[#This Row],[ID]], Table4[ID], Table4[Seafood], "Not Found", 0)</f>
        <v>130</v>
      </c>
      <c r="O1910" s="5">
        <f>_xlfn.XLOOKUP(CustomerCombined[[#This Row],[ID]], Table4[ID], Table4[Sweets], "Not Found", 0)</f>
        <v>132</v>
      </c>
      <c r="P1910" s="5">
        <f>_xlfn.XLOOKUP(CustomerCombined[[#This Row],[ID]], Table4[ID], Table4[Premium], "Not Found", 0)</f>
        <v>166</v>
      </c>
      <c r="Q1910" s="5">
        <f>_xlfn.XLOOKUP(CustomerCombined[[#This Row],[ID]], Table4[ID], Table4[Regular], "Not Found", 0)</f>
        <v>3206</v>
      </c>
      <c r="R1910" s="5">
        <f>_xlfn.XLOOKUP(CustomerCombined[[#This Row],[ID]], Table4[ID], Table4[Deals], "Not Found", 0)</f>
        <v>1</v>
      </c>
      <c r="S1910" s="5">
        <f>_xlfn.XLOOKUP(CustomerCombined[[#This Row],[ID]], Table4[ID], Table4[Website], "Not Found", 0)</f>
        <v>4</v>
      </c>
      <c r="T1910" s="5">
        <f>_xlfn.XLOOKUP(CustomerCombined[[#This Row],[ID]], Table4[ID], Table4[Catalog], "Not Found", 0)</f>
        <v>6</v>
      </c>
      <c r="U1910" s="5">
        <f>_xlfn.XLOOKUP(CustomerCombined[[#This Row],[ID]], Table4[ID], Table4[Store], "Not Found", 0)</f>
        <v>4</v>
      </c>
      <c r="V1910" s="5">
        <f>_xlfn.XLOOKUP(CustomerCombined[[#This Row],[ID]], Table4[ID], Table4[Visits], "Not Found", 0)</f>
        <v>1</v>
      </c>
      <c r="W1910" s="8">
        <f>_xlfn.XLOOKUP(CustomerCombined[[#This Row],[ID]], Table2[ID],Table2[Complaint], "Not Found", 0 )</f>
        <v>0</v>
      </c>
      <c r="X1910" s="8">
        <f>_xlfn.XLOOKUP(CustomerCombined[[#This Row],[ID]], Table2[ID],Table2[Pilot], "Not Found", 0 )</f>
        <v>0</v>
      </c>
      <c r="Y1910" s="8">
        <f>_xlfn.XLOOKUP(CustomerCombined[[#This Row],[ID]], Table2[ID],Table2[MC1], "Not Found", 0 )</f>
        <v>0</v>
      </c>
      <c r="Z1910" s="8">
        <f>_xlfn.XLOOKUP(CustomerCombined[[#This Row],[ID]], Table2[ID],Table2[MC2], "Not Found", 0 )</f>
        <v>0</v>
      </c>
      <c r="AA1910" s="8">
        <f>_xlfn.XLOOKUP(CustomerCombined[[#This Row],[ID]], Table2[ID],Table2[MC3], "Not Found", 0 )</f>
        <v>0</v>
      </c>
      <c r="AB1910" s="8">
        <f>_xlfn.XLOOKUP(CustomerCombined[[#This Row],[ID]], Table2[ID],Table2[MC4], "Not Found", 0 )</f>
        <v>0</v>
      </c>
      <c r="AC1910" s="8">
        <f>_xlfn.XLOOKUP(CustomerCombined[[#This Row],[ID]], Table2[ID],Table2[MC5], "Not Found", 0 )</f>
        <v>1</v>
      </c>
    </row>
    <row r="1911" spans="1:29" x14ac:dyDescent="0.3">
      <c r="A1911" s="6">
        <v>1186</v>
      </c>
      <c r="B1911" s="6">
        <v>186718</v>
      </c>
      <c r="C1911" s="6">
        <v>0</v>
      </c>
      <c r="D1911" s="6">
        <v>0</v>
      </c>
      <c r="E1911" s="6">
        <v>66</v>
      </c>
      <c r="F1911" s="5" t="s">
        <v>6</v>
      </c>
      <c r="G1911" s="5" t="s">
        <v>11</v>
      </c>
      <c r="H1911" s="3" t="s">
        <v>323</v>
      </c>
      <c r="I1911" s="5" t="s">
        <v>439</v>
      </c>
      <c r="J1911" s="5">
        <f>_xlfn.XLOOKUP(CustomerCombined[[#This Row],[ID]], Table4[ID], Table4[Recency], "Not Found", 0)</f>
        <v>20</v>
      </c>
      <c r="K1911" s="5">
        <f>_xlfn.XLOOKUP(CustomerCombined[[#This Row],[ID]], Table4[ID], Table4[Teas], "Not Found", 0)</f>
        <v>741</v>
      </c>
      <c r="L1911" s="5">
        <f>_xlfn.XLOOKUP(CustomerCombined[[#This Row],[ID]], Table4[ID], Table4[Fruits], "Not Found", 0)</f>
        <v>407</v>
      </c>
      <c r="M1911" s="5">
        <f>_xlfn.XLOOKUP(CustomerCombined[[#This Row],[ID]], Table4[ID], Table4[Meats], "Not Found", 0)</f>
        <v>1038</v>
      </c>
      <c r="N1911" s="5">
        <f>_xlfn.XLOOKUP(CustomerCombined[[#This Row],[ID]], Table4[ID], Table4[Seafood], "Not Found", 0)</f>
        <v>108</v>
      </c>
      <c r="O1911" s="5">
        <f>_xlfn.XLOOKUP(CustomerCombined[[#This Row],[ID]], Table4[ID], Table4[Sweets], "Not Found", 0)</f>
        <v>71</v>
      </c>
      <c r="P1911" s="5">
        <f>_xlfn.XLOOKUP(CustomerCombined[[#This Row],[ID]], Table4[ID], Table4[Premium], "Not Found", 0)</f>
        <v>370</v>
      </c>
      <c r="Q1911" s="5">
        <f>_xlfn.XLOOKUP(CustomerCombined[[#This Row],[ID]], Table4[ID], Table4[Regular], "Not Found", 0)</f>
        <v>1994</v>
      </c>
      <c r="R1911" s="5">
        <f>_xlfn.XLOOKUP(CustomerCombined[[#This Row],[ID]], Table4[ID], Table4[Deals], "Not Found", 0)</f>
        <v>1</v>
      </c>
      <c r="S1911" s="5">
        <f>_xlfn.XLOOKUP(CustomerCombined[[#This Row],[ID]], Table4[ID], Table4[Website], "Not Found", 0)</f>
        <v>5</v>
      </c>
      <c r="T1911" s="5">
        <f>_xlfn.XLOOKUP(CustomerCombined[[#This Row],[ID]], Table4[ID], Table4[Catalog], "Not Found", 0)</f>
        <v>6</v>
      </c>
      <c r="U1911" s="5">
        <f>_xlfn.XLOOKUP(CustomerCombined[[#This Row],[ID]], Table4[ID], Table4[Store], "Not Found", 0)</f>
        <v>5</v>
      </c>
      <c r="V1911" s="5">
        <f>_xlfn.XLOOKUP(CustomerCombined[[#This Row],[ID]], Table4[ID], Table4[Visits], "Not Found", 0)</f>
        <v>2</v>
      </c>
      <c r="W1911" s="8">
        <f>_xlfn.XLOOKUP(CustomerCombined[[#This Row],[ID]], Table2[ID],Table2[Complaint], "Not Found", 0 )</f>
        <v>0</v>
      </c>
      <c r="X1911" s="8">
        <f>_xlfn.XLOOKUP(CustomerCombined[[#This Row],[ID]], Table2[ID],Table2[Pilot], "Not Found", 0 )</f>
        <v>0</v>
      </c>
      <c r="Y1911" s="8">
        <f>_xlfn.XLOOKUP(CustomerCombined[[#This Row],[ID]], Table2[ID],Table2[MC1], "Not Found", 0 )</f>
        <v>0</v>
      </c>
      <c r="Z1911" s="8">
        <f>_xlfn.XLOOKUP(CustomerCombined[[#This Row],[ID]], Table2[ID],Table2[MC2], "Not Found", 0 )</f>
        <v>0</v>
      </c>
      <c r="AA1911" s="8">
        <f>_xlfn.XLOOKUP(CustomerCombined[[#This Row],[ID]], Table2[ID],Table2[MC3], "Not Found", 0 )</f>
        <v>0</v>
      </c>
      <c r="AB1911" s="8">
        <f>_xlfn.XLOOKUP(CustomerCombined[[#This Row],[ID]], Table2[ID],Table2[MC4], "Not Found", 0 )</f>
        <v>0</v>
      </c>
      <c r="AC1911" s="8">
        <f>_xlfn.XLOOKUP(CustomerCombined[[#This Row],[ID]], Table2[ID],Table2[MC5], "Not Found", 0 )</f>
        <v>0</v>
      </c>
    </row>
    <row r="1912" spans="1:29" x14ac:dyDescent="0.3">
      <c r="A1912" s="6">
        <v>1971</v>
      </c>
      <c r="B1912" s="6">
        <v>185683</v>
      </c>
      <c r="C1912" s="6">
        <v>0</v>
      </c>
      <c r="D1912" s="6">
        <v>0</v>
      </c>
      <c r="E1912" s="6">
        <v>66</v>
      </c>
      <c r="F1912" s="5" t="s">
        <v>5</v>
      </c>
      <c r="G1912" s="5" t="s">
        <v>11</v>
      </c>
      <c r="H1912" s="3" t="s">
        <v>80</v>
      </c>
      <c r="I1912" s="5" t="s">
        <v>435</v>
      </c>
      <c r="J1912" s="5">
        <f>_xlfn.XLOOKUP(CustomerCombined[[#This Row],[ID]], Table4[ID], Table4[Recency], "Not Found", 0)</f>
        <v>6</v>
      </c>
      <c r="K1912" s="5">
        <f>_xlfn.XLOOKUP(CustomerCombined[[#This Row],[ID]], Table4[ID], Table4[Teas], "Not Found", 0)</f>
        <v>2809</v>
      </c>
      <c r="L1912" s="5">
        <f>_xlfn.XLOOKUP(CustomerCombined[[#This Row],[ID]], Table4[ID], Table4[Fruits], "Not Found", 0)</f>
        <v>37</v>
      </c>
      <c r="M1912" s="5">
        <f>_xlfn.XLOOKUP(CustomerCombined[[#This Row],[ID]], Table4[ID], Table4[Meats], "Not Found", 0)</f>
        <v>674</v>
      </c>
      <c r="N1912" s="5">
        <f>_xlfn.XLOOKUP(CustomerCombined[[#This Row],[ID]], Table4[ID], Table4[Seafood], "Not Found", 0)</f>
        <v>98</v>
      </c>
      <c r="O1912" s="5">
        <f>_xlfn.XLOOKUP(CustomerCombined[[#This Row],[ID]], Table4[ID], Table4[Sweets], "Not Found", 0)</f>
        <v>150</v>
      </c>
      <c r="P1912" s="5">
        <f>_xlfn.XLOOKUP(CustomerCombined[[#This Row],[ID]], Table4[ID], Table4[Premium], "Not Found", 0)</f>
        <v>111</v>
      </c>
      <c r="Q1912" s="5">
        <f>_xlfn.XLOOKUP(CustomerCombined[[#This Row],[ID]], Table4[ID], Table4[Regular], "Not Found", 0)</f>
        <v>3656</v>
      </c>
      <c r="R1912" s="5">
        <f>_xlfn.XLOOKUP(CustomerCombined[[#This Row],[ID]], Table4[ID], Table4[Deals], "Not Found", 0)</f>
        <v>1</v>
      </c>
      <c r="S1912" s="5">
        <f>_xlfn.XLOOKUP(CustomerCombined[[#This Row],[ID]], Table4[ID], Table4[Website], "Not Found", 0)</f>
        <v>2</v>
      </c>
      <c r="T1912" s="5">
        <f>_xlfn.XLOOKUP(CustomerCombined[[#This Row],[ID]], Table4[ID], Table4[Catalog], "Not Found", 0)</f>
        <v>4</v>
      </c>
      <c r="U1912" s="5">
        <f>_xlfn.XLOOKUP(CustomerCombined[[#This Row],[ID]], Table4[ID], Table4[Store], "Not Found", 0)</f>
        <v>10</v>
      </c>
      <c r="V1912" s="5">
        <f>_xlfn.XLOOKUP(CustomerCombined[[#This Row],[ID]], Table4[ID], Table4[Visits], "Not Found", 0)</f>
        <v>1</v>
      </c>
      <c r="W1912" s="8">
        <f>_xlfn.XLOOKUP(CustomerCombined[[#This Row],[ID]], Table2[ID],Table2[Complaint], "Not Found", 0 )</f>
        <v>0</v>
      </c>
      <c r="X1912" s="8">
        <f>_xlfn.XLOOKUP(CustomerCombined[[#This Row],[ID]], Table2[ID],Table2[Pilot], "Not Found", 0 )</f>
        <v>1</v>
      </c>
      <c r="Y1912" s="8">
        <f>_xlfn.XLOOKUP(CustomerCombined[[#This Row],[ID]], Table2[ID],Table2[MC1], "Not Found", 0 )</f>
        <v>1</v>
      </c>
      <c r="Z1912" s="8">
        <f>_xlfn.XLOOKUP(CustomerCombined[[#This Row],[ID]], Table2[ID],Table2[MC2], "Not Found", 0 )</f>
        <v>1</v>
      </c>
      <c r="AA1912" s="8">
        <f>_xlfn.XLOOKUP(CustomerCombined[[#This Row],[ID]], Table2[ID],Table2[MC3], "Not Found", 0 )</f>
        <v>0</v>
      </c>
      <c r="AB1912" s="8">
        <f>_xlfn.XLOOKUP(CustomerCombined[[#This Row],[ID]], Table2[ID],Table2[MC4], "Not Found", 0 )</f>
        <v>1</v>
      </c>
      <c r="AC1912" s="8">
        <f>_xlfn.XLOOKUP(CustomerCombined[[#This Row],[ID]], Table2[ID],Table2[MC5], "Not Found", 0 )</f>
        <v>1</v>
      </c>
    </row>
    <row r="1913" spans="1:29" x14ac:dyDescent="0.3">
      <c r="A1913" s="6">
        <v>1185</v>
      </c>
      <c r="B1913" s="6">
        <v>180067</v>
      </c>
      <c r="C1913" s="6">
        <v>0</v>
      </c>
      <c r="D1913" s="6">
        <v>0</v>
      </c>
      <c r="E1913" s="6">
        <v>66</v>
      </c>
      <c r="F1913" s="5" t="s">
        <v>6</v>
      </c>
      <c r="G1913" s="5" t="s">
        <v>11</v>
      </c>
      <c r="H1913" s="3" t="s">
        <v>180</v>
      </c>
      <c r="I1913" s="5" t="s">
        <v>435</v>
      </c>
      <c r="J1913" s="5">
        <f>_xlfn.XLOOKUP(CustomerCombined[[#This Row],[ID]], Table4[ID], Table4[Recency], "Not Found", 0)</f>
        <v>82</v>
      </c>
      <c r="K1913" s="5">
        <f>_xlfn.XLOOKUP(CustomerCombined[[#This Row],[ID]], Table4[ID], Table4[Teas], "Not Found", 0)</f>
        <v>1167</v>
      </c>
      <c r="L1913" s="5">
        <f>_xlfn.XLOOKUP(CustomerCombined[[#This Row],[ID]], Table4[ID], Table4[Fruits], "Not Found", 0)</f>
        <v>38</v>
      </c>
      <c r="M1913" s="5">
        <f>_xlfn.XLOOKUP(CustomerCombined[[#This Row],[ID]], Table4[ID], Table4[Meats], "Not Found", 0)</f>
        <v>1828</v>
      </c>
      <c r="N1913" s="5">
        <f>_xlfn.XLOOKUP(CustomerCombined[[#This Row],[ID]], Table4[ID], Table4[Seafood], "Not Found", 0)</f>
        <v>61</v>
      </c>
      <c r="O1913" s="5">
        <f>_xlfn.XLOOKUP(CustomerCombined[[#This Row],[ID]], Table4[ID], Table4[Sweets], "Not Found", 0)</f>
        <v>389</v>
      </c>
      <c r="P1913" s="5">
        <f>_xlfn.XLOOKUP(CustomerCombined[[#This Row],[ID]], Table4[ID], Table4[Premium], "Not Found", 0)</f>
        <v>115</v>
      </c>
      <c r="Q1913" s="5">
        <f>_xlfn.XLOOKUP(CustomerCombined[[#This Row],[ID]], Table4[ID], Table4[Regular], "Not Found", 0)</f>
        <v>3369</v>
      </c>
      <c r="R1913" s="5">
        <f>_xlfn.XLOOKUP(CustomerCombined[[#This Row],[ID]], Table4[ID], Table4[Deals], "Not Found", 0)</f>
        <v>1</v>
      </c>
      <c r="S1913" s="5">
        <f>_xlfn.XLOOKUP(CustomerCombined[[#This Row],[ID]], Table4[ID], Table4[Website], "Not Found", 0)</f>
        <v>4</v>
      </c>
      <c r="T1913" s="5">
        <f>_xlfn.XLOOKUP(CustomerCombined[[#This Row],[ID]], Table4[ID], Table4[Catalog], "Not Found", 0)</f>
        <v>6</v>
      </c>
      <c r="U1913" s="5">
        <f>_xlfn.XLOOKUP(CustomerCombined[[#This Row],[ID]], Table4[ID], Table4[Store], "Not Found", 0)</f>
        <v>6</v>
      </c>
      <c r="V1913" s="5">
        <f>_xlfn.XLOOKUP(CustomerCombined[[#This Row],[ID]], Table4[ID], Table4[Visits], "Not Found", 0)</f>
        <v>2</v>
      </c>
      <c r="W1913" s="8">
        <f>_xlfn.XLOOKUP(CustomerCombined[[#This Row],[ID]], Table2[ID],Table2[Complaint], "Not Found", 0 )</f>
        <v>0</v>
      </c>
      <c r="X1913" s="8">
        <f>_xlfn.XLOOKUP(CustomerCombined[[#This Row],[ID]], Table2[ID],Table2[Pilot], "Not Found", 0 )</f>
        <v>0</v>
      </c>
      <c r="Y1913" s="8">
        <f>_xlfn.XLOOKUP(CustomerCombined[[#This Row],[ID]], Table2[ID],Table2[MC1], "Not Found", 0 )</f>
        <v>0</v>
      </c>
      <c r="Z1913" s="8">
        <f>_xlfn.XLOOKUP(CustomerCombined[[#This Row],[ID]], Table2[ID],Table2[MC2], "Not Found", 0 )</f>
        <v>0</v>
      </c>
      <c r="AA1913" s="8">
        <f>_xlfn.XLOOKUP(CustomerCombined[[#This Row],[ID]], Table2[ID],Table2[MC3], "Not Found", 0 )</f>
        <v>0</v>
      </c>
      <c r="AB1913" s="8">
        <f>_xlfn.XLOOKUP(CustomerCombined[[#This Row],[ID]], Table2[ID],Table2[MC4], "Not Found", 0 )</f>
        <v>0</v>
      </c>
      <c r="AC1913" s="8">
        <f>_xlfn.XLOOKUP(CustomerCombined[[#This Row],[ID]], Table2[ID],Table2[MC5], "Not Found", 0 )</f>
        <v>1</v>
      </c>
    </row>
    <row r="1914" spans="1:29" x14ac:dyDescent="0.3">
      <c r="A1914" s="6">
        <v>2539</v>
      </c>
      <c r="B1914" s="6">
        <v>179865</v>
      </c>
      <c r="C1914" s="6">
        <v>0</v>
      </c>
      <c r="D1914" s="6">
        <v>1</v>
      </c>
      <c r="E1914" s="6">
        <v>66</v>
      </c>
      <c r="F1914" s="5" t="s">
        <v>5</v>
      </c>
      <c r="G1914" s="5" t="s">
        <v>11</v>
      </c>
      <c r="H1914" s="3" t="s">
        <v>31</v>
      </c>
      <c r="I1914" s="5" t="s">
        <v>437</v>
      </c>
      <c r="J1914" s="5">
        <f>_xlfn.XLOOKUP(CustomerCombined[[#This Row],[ID]], Table4[ID], Table4[Recency], "Not Found", 0)</f>
        <v>12</v>
      </c>
      <c r="K1914" s="5">
        <f>_xlfn.XLOOKUP(CustomerCombined[[#This Row],[ID]], Table4[ID], Table4[Teas], "Not Found", 0)</f>
        <v>160</v>
      </c>
      <c r="L1914" s="5">
        <f>_xlfn.XLOOKUP(CustomerCombined[[#This Row],[ID]], Table4[ID], Table4[Fruits], "Not Found", 0)</f>
        <v>223</v>
      </c>
      <c r="M1914" s="5">
        <f>_xlfn.XLOOKUP(CustomerCombined[[#This Row],[ID]], Table4[ID], Table4[Meats], "Not Found", 0)</f>
        <v>626</v>
      </c>
      <c r="N1914" s="5">
        <f>_xlfn.XLOOKUP(CustomerCombined[[#This Row],[ID]], Table4[ID], Table4[Seafood], "Not Found", 0)</f>
        <v>417</v>
      </c>
      <c r="O1914" s="5">
        <f>_xlfn.XLOOKUP(CustomerCombined[[#This Row],[ID]], Table4[ID], Table4[Sweets], "Not Found", 0)</f>
        <v>273</v>
      </c>
      <c r="P1914" s="5">
        <f>_xlfn.XLOOKUP(CustomerCombined[[#This Row],[ID]], Table4[ID], Table4[Premium], "Not Found", 0)</f>
        <v>86</v>
      </c>
      <c r="Q1914" s="5">
        <f>_xlfn.XLOOKUP(CustomerCombined[[#This Row],[ID]], Table4[ID], Table4[Regular], "Not Found", 0)</f>
        <v>1613</v>
      </c>
      <c r="R1914" s="5">
        <f>_xlfn.XLOOKUP(CustomerCombined[[#This Row],[ID]], Table4[ID], Table4[Deals], "Not Found", 0)</f>
        <v>1</v>
      </c>
      <c r="S1914" s="5">
        <f>_xlfn.XLOOKUP(CustomerCombined[[#This Row],[ID]], Table4[ID], Table4[Website], "Not Found", 0)</f>
        <v>5</v>
      </c>
      <c r="T1914" s="5">
        <f>_xlfn.XLOOKUP(CustomerCombined[[#This Row],[ID]], Table4[ID], Table4[Catalog], "Not Found", 0)</f>
        <v>10</v>
      </c>
      <c r="U1914" s="5">
        <f>_xlfn.XLOOKUP(CustomerCombined[[#This Row],[ID]], Table4[ID], Table4[Store], "Not Found", 0)</f>
        <v>5</v>
      </c>
      <c r="V1914" s="5">
        <f>_xlfn.XLOOKUP(CustomerCombined[[#This Row],[ID]], Table4[ID], Table4[Visits], "Not Found", 0)</f>
        <v>1</v>
      </c>
      <c r="W1914" s="8">
        <f>_xlfn.XLOOKUP(CustomerCombined[[#This Row],[ID]], Table2[ID],Table2[Complaint], "Not Found", 0 )</f>
        <v>0</v>
      </c>
      <c r="X1914" s="8">
        <f>_xlfn.XLOOKUP(CustomerCombined[[#This Row],[ID]], Table2[ID],Table2[Pilot], "Not Found", 0 )</f>
        <v>0</v>
      </c>
      <c r="Y1914" s="8">
        <f>_xlfn.XLOOKUP(CustomerCombined[[#This Row],[ID]], Table2[ID],Table2[MC1], "Not Found", 0 )</f>
        <v>0</v>
      </c>
      <c r="Z1914" s="8">
        <f>_xlfn.XLOOKUP(CustomerCombined[[#This Row],[ID]], Table2[ID],Table2[MC2], "Not Found", 0 )</f>
        <v>0</v>
      </c>
      <c r="AA1914" s="8">
        <f>_xlfn.XLOOKUP(CustomerCombined[[#This Row],[ID]], Table2[ID],Table2[MC3], "Not Found", 0 )</f>
        <v>0</v>
      </c>
      <c r="AB1914" s="8">
        <f>_xlfn.XLOOKUP(CustomerCombined[[#This Row],[ID]], Table2[ID],Table2[MC4], "Not Found", 0 )</f>
        <v>0</v>
      </c>
      <c r="AC1914" s="8">
        <f>_xlfn.XLOOKUP(CustomerCombined[[#This Row],[ID]], Table2[ID],Table2[MC5], "Not Found", 0 )</f>
        <v>0</v>
      </c>
    </row>
    <row r="1915" spans="1:29" x14ac:dyDescent="0.3">
      <c r="A1915" s="6">
        <v>1199</v>
      </c>
      <c r="B1915" s="6">
        <v>177972</v>
      </c>
      <c r="C1915" s="6">
        <v>0</v>
      </c>
      <c r="D1915" s="6">
        <v>0</v>
      </c>
      <c r="E1915" s="6">
        <v>66</v>
      </c>
      <c r="F1915" s="5" t="s">
        <v>8</v>
      </c>
      <c r="G1915" s="5" t="s">
        <v>11</v>
      </c>
      <c r="H1915" s="3" t="s">
        <v>83</v>
      </c>
      <c r="I1915" s="5" t="s">
        <v>434</v>
      </c>
      <c r="J1915" s="5">
        <f>_xlfn.XLOOKUP(CustomerCombined[[#This Row],[ID]], Table4[ID], Table4[Recency], "Not Found", 0)</f>
        <v>18</v>
      </c>
      <c r="K1915" s="5">
        <f>_xlfn.XLOOKUP(CustomerCombined[[#This Row],[ID]], Table4[ID], Table4[Teas], "Not Found", 0)</f>
        <v>1399</v>
      </c>
      <c r="L1915" s="5">
        <f>_xlfn.XLOOKUP(CustomerCombined[[#This Row],[ID]], Table4[ID], Table4[Fruits], "Not Found", 0)</f>
        <v>50</v>
      </c>
      <c r="M1915" s="5">
        <f>_xlfn.XLOOKUP(CustomerCombined[[#This Row],[ID]], Table4[ID], Table4[Meats], "Not Found", 0)</f>
        <v>728</v>
      </c>
      <c r="N1915" s="5">
        <f>_xlfn.XLOOKUP(CustomerCombined[[#This Row],[ID]], Table4[ID], Table4[Seafood], "Not Found", 0)</f>
        <v>75</v>
      </c>
      <c r="O1915" s="5">
        <f>_xlfn.XLOOKUP(CustomerCombined[[#This Row],[ID]], Table4[ID], Table4[Sweets], "Not Found", 0)</f>
        <v>233</v>
      </c>
      <c r="P1915" s="5">
        <f>_xlfn.XLOOKUP(CustomerCombined[[#This Row],[ID]], Table4[ID], Table4[Premium], "Not Found", 0)</f>
        <v>27</v>
      </c>
      <c r="Q1915" s="5">
        <f>_xlfn.XLOOKUP(CustomerCombined[[#This Row],[ID]], Table4[ID], Table4[Regular], "Not Found", 0)</f>
        <v>2458</v>
      </c>
      <c r="R1915" s="5">
        <f>_xlfn.XLOOKUP(CustomerCombined[[#This Row],[ID]], Table4[ID], Table4[Deals], "Not Found", 0)</f>
        <v>1</v>
      </c>
      <c r="S1915" s="5">
        <f>_xlfn.XLOOKUP(CustomerCombined[[#This Row],[ID]], Table4[ID], Table4[Website], "Not Found", 0)</f>
        <v>4</v>
      </c>
      <c r="T1915" s="5">
        <f>_xlfn.XLOOKUP(CustomerCombined[[#This Row],[ID]], Table4[ID], Table4[Catalog], "Not Found", 0)</f>
        <v>6</v>
      </c>
      <c r="U1915" s="5">
        <f>_xlfn.XLOOKUP(CustomerCombined[[#This Row],[ID]], Table4[ID], Table4[Store], "Not Found", 0)</f>
        <v>9</v>
      </c>
      <c r="V1915" s="5">
        <f>_xlfn.XLOOKUP(CustomerCombined[[#This Row],[ID]], Table4[ID], Table4[Visits], "Not Found", 0)</f>
        <v>1</v>
      </c>
      <c r="W1915" s="8">
        <f>_xlfn.XLOOKUP(CustomerCombined[[#This Row],[ID]], Table2[ID],Table2[Complaint], "Not Found", 0 )</f>
        <v>0</v>
      </c>
      <c r="X1915" s="8">
        <f>_xlfn.XLOOKUP(CustomerCombined[[#This Row],[ID]], Table2[ID],Table2[Pilot], "Not Found", 0 )</f>
        <v>0</v>
      </c>
      <c r="Y1915" s="8">
        <f>_xlfn.XLOOKUP(CustomerCombined[[#This Row],[ID]], Table2[ID],Table2[MC1], "Not Found", 0 )</f>
        <v>0</v>
      </c>
      <c r="Z1915" s="8">
        <f>_xlfn.XLOOKUP(CustomerCombined[[#This Row],[ID]], Table2[ID],Table2[MC2], "Not Found", 0 )</f>
        <v>0</v>
      </c>
      <c r="AA1915" s="8">
        <f>_xlfn.XLOOKUP(CustomerCombined[[#This Row],[ID]], Table2[ID],Table2[MC3], "Not Found", 0 )</f>
        <v>0</v>
      </c>
      <c r="AB1915" s="8">
        <f>_xlfn.XLOOKUP(CustomerCombined[[#This Row],[ID]], Table2[ID],Table2[MC4], "Not Found", 0 )</f>
        <v>0</v>
      </c>
      <c r="AC1915" s="8">
        <f>_xlfn.XLOOKUP(CustomerCombined[[#This Row],[ID]], Table2[ID],Table2[MC5], "Not Found", 0 )</f>
        <v>0</v>
      </c>
    </row>
    <row r="1916" spans="1:29" x14ac:dyDescent="0.3">
      <c r="A1916" s="6">
        <v>2091</v>
      </c>
      <c r="B1916" s="6">
        <v>176773</v>
      </c>
      <c r="C1916" s="6">
        <v>0</v>
      </c>
      <c r="D1916" s="6">
        <v>0</v>
      </c>
      <c r="E1916" s="6">
        <v>66</v>
      </c>
      <c r="F1916" s="5" t="s">
        <v>5</v>
      </c>
      <c r="G1916" s="5" t="s">
        <v>11</v>
      </c>
      <c r="H1916" s="3">
        <v>43504</v>
      </c>
      <c r="I1916" s="5" t="s">
        <v>435</v>
      </c>
      <c r="J1916" s="5">
        <f>_xlfn.XLOOKUP(CustomerCombined[[#This Row],[ID]], Table4[ID], Table4[Recency], "Not Found", 0)</f>
        <v>79</v>
      </c>
      <c r="K1916" s="5">
        <f>_xlfn.XLOOKUP(CustomerCombined[[#This Row],[ID]], Table4[ID], Table4[Teas], "Not Found", 0)</f>
        <v>1188</v>
      </c>
      <c r="L1916" s="5">
        <f>_xlfn.XLOOKUP(CustomerCombined[[#This Row],[ID]], Table4[ID], Table4[Fruits], "Not Found", 0)</f>
        <v>129</v>
      </c>
      <c r="M1916" s="5">
        <f>_xlfn.XLOOKUP(CustomerCombined[[#This Row],[ID]], Table4[ID], Table4[Meats], "Not Found", 0)</f>
        <v>1034</v>
      </c>
      <c r="N1916" s="5">
        <f>_xlfn.XLOOKUP(CustomerCombined[[#This Row],[ID]], Table4[ID], Table4[Seafood], "Not Found", 0)</f>
        <v>198</v>
      </c>
      <c r="O1916" s="5">
        <f>_xlfn.XLOOKUP(CustomerCombined[[#This Row],[ID]], Table4[ID], Table4[Sweets], "Not Found", 0)</f>
        <v>76</v>
      </c>
      <c r="P1916" s="5">
        <f>_xlfn.XLOOKUP(CustomerCombined[[#This Row],[ID]], Table4[ID], Table4[Premium], "Not Found", 0)</f>
        <v>37</v>
      </c>
      <c r="Q1916" s="5">
        <f>_xlfn.XLOOKUP(CustomerCombined[[#This Row],[ID]], Table4[ID], Table4[Regular], "Not Found", 0)</f>
        <v>2588</v>
      </c>
      <c r="R1916" s="5">
        <f>_xlfn.XLOOKUP(CustomerCombined[[#This Row],[ID]], Table4[ID], Table4[Deals], "Not Found", 0)</f>
        <v>1</v>
      </c>
      <c r="S1916" s="5">
        <f>_xlfn.XLOOKUP(CustomerCombined[[#This Row],[ID]], Table4[ID], Table4[Website], "Not Found", 0)</f>
        <v>2</v>
      </c>
      <c r="T1916" s="5">
        <f>_xlfn.XLOOKUP(CustomerCombined[[#This Row],[ID]], Table4[ID], Table4[Catalog], "Not Found", 0)</f>
        <v>2</v>
      </c>
      <c r="U1916" s="5">
        <f>_xlfn.XLOOKUP(CustomerCombined[[#This Row],[ID]], Table4[ID], Table4[Store], "Not Found", 0)</f>
        <v>11</v>
      </c>
      <c r="V1916" s="5">
        <f>_xlfn.XLOOKUP(CustomerCombined[[#This Row],[ID]], Table4[ID], Table4[Visits], "Not Found", 0)</f>
        <v>1</v>
      </c>
      <c r="W1916" s="8">
        <f>_xlfn.XLOOKUP(CustomerCombined[[#This Row],[ID]], Table2[ID],Table2[Complaint], "Not Found", 0 )</f>
        <v>0</v>
      </c>
      <c r="X1916" s="8">
        <f>_xlfn.XLOOKUP(CustomerCombined[[#This Row],[ID]], Table2[ID],Table2[Pilot], "Not Found", 0 )</f>
        <v>0</v>
      </c>
      <c r="Y1916" s="8">
        <f>_xlfn.XLOOKUP(CustomerCombined[[#This Row],[ID]], Table2[ID],Table2[MC1], "Not Found", 0 )</f>
        <v>0</v>
      </c>
      <c r="Z1916" s="8">
        <f>_xlfn.XLOOKUP(CustomerCombined[[#This Row],[ID]], Table2[ID],Table2[MC2], "Not Found", 0 )</f>
        <v>0</v>
      </c>
      <c r="AA1916" s="8">
        <f>_xlfn.XLOOKUP(CustomerCombined[[#This Row],[ID]], Table2[ID],Table2[MC3], "Not Found", 0 )</f>
        <v>0</v>
      </c>
      <c r="AB1916" s="8">
        <f>_xlfn.XLOOKUP(CustomerCombined[[#This Row],[ID]], Table2[ID],Table2[MC4], "Not Found", 0 )</f>
        <v>0</v>
      </c>
      <c r="AC1916" s="8">
        <f>_xlfn.XLOOKUP(CustomerCombined[[#This Row],[ID]], Table2[ID],Table2[MC5], "Not Found", 0 )</f>
        <v>0</v>
      </c>
    </row>
    <row r="1917" spans="1:29" x14ac:dyDescent="0.3">
      <c r="A1917" s="6">
        <v>2543</v>
      </c>
      <c r="B1917" s="6">
        <v>175315</v>
      </c>
      <c r="C1917" s="6">
        <v>0</v>
      </c>
      <c r="D1917" s="6">
        <v>1</v>
      </c>
      <c r="E1917" s="6">
        <v>66</v>
      </c>
      <c r="F1917" s="5" t="s">
        <v>8</v>
      </c>
      <c r="G1917" s="5" t="s">
        <v>11</v>
      </c>
      <c r="H1917" s="3" t="s">
        <v>67</v>
      </c>
      <c r="I1917" s="5" t="s">
        <v>434</v>
      </c>
      <c r="J1917" s="5">
        <f>_xlfn.XLOOKUP(CustomerCombined[[#This Row],[ID]], Table4[ID], Table4[Recency], "Not Found", 0)</f>
        <v>14</v>
      </c>
      <c r="K1917" s="5">
        <f>_xlfn.XLOOKUP(CustomerCombined[[#This Row],[ID]], Table4[ID], Table4[Teas], "Not Found", 0)</f>
        <v>1068</v>
      </c>
      <c r="L1917" s="5">
        <f>_xlfn.XLOOKUP(CustomerCombined[[#This Row],[ID]], Table4[ID], Table4[Fruits], "Not Found", 0)</f>
        <v>35</v>
      </c>
      <c r="M1917" s="5">
        <f>_xlfn.XLOOKUP(CustomerCombined[[#This Row],[ID]], Table4[ID], Table4[Meats], "Not Found", 0)</f>
        <v>398</v>
      </c>
      <c r="N1917" s="5">
        <f>_xlfn.XLOOKUP(CustomerCombined[[#This Row],[ID]], Table4[ID], Table4[Seafood], "Not Found", 0)</f>
        <v>331</v>
      </c>
      <c r="O1917" s="5">
        <f>_xlfn.XLOOKUP(CustomerCombined[[#This Row],[ID]], Table4[ID], Table4[Sweets], "Not Found", 0)</f>
        <v>54</v>
      </c>
      <c r="P1917" s="5">
        <f>_xlfn.XLOOKUP(CustomerCombined[[#This Row],[ID]], Table4[ID], Table4[Premium], "Not Found", 0)</f>
        <v>72</v>
      </c>
      <c r="Q1917" s="5">
        <f>_xlfn.XLOOKUP(CustomerCombined[[#This Row],[ID]], Table4[ID], Table4[Regular], "Not Found", 0)</f>
        <v>1813</v>
      </c>
      <c r="R1917" s="5">
        <f>_xlfn.XLOOKUP(CustomerCombined[[#This Row],[ID]], Table4[ID], Table4[Deals], "Not Found", 0)</f>
        <v>2</v>
      </c>
      <c r="S1917" s="5">
        <f>_xlfn.XLOOKUP(CustomerCombined[[#This Row],[ID]], Table4[ID], Table4[Website], "Not Found", 0)</f>
        <v>5</v>
      </c>
      <c r="T1917" s="5">
        <f>_xlfn.XLOOKUP(CustomerCombined[[#This Row],[ID]], Table4[ID], Table4[Catalog], "Not Found", 0)</f>
        <v>4</v>
      </c>
      <c r="U1917" s="5">
        <f>_xlfn.XLOOKUP(CustomerCombined[[#This Row],[ID]], Table4[ID], Table4[Store], "Not Found", 0)</f>
        <v>12</v>
      </c>
      <c r="V1917" s="5">
        <f>_xlfn.XLOOKUP(CustomerCombined[[#This Row],[ID]], Table4[ID], Table4[Visits], "Not Found", 0)</f>
        <v>2</v>
      </c>
      <c r="W1917" s="8">
        <f>_xlfn.XLOOKUP(CustomerCombined[[#This Row],[ID]], Table2[ID],Table2[Complaint], "Not Found", 0 )</f>
        <v>0</v>
      </c>
      <c r="X1917" s="8">
        <f>_xlfn.XLOOKUP(CustomerCombined[[#This Row],[ID]], Table2[ID],Table2[Pilot], "Not Found", 0 )</f>
        <v>0</v>
      </c>
      <c r="Y1917" s="8">
        <f>_xlfn.XLOOKUP(CustomerCombined[[#This Row],[ID]], Table2[ID],Table2[MC1], "Not Found", 0 )</f>
        <v>0</v>
      </c>
      <c r="Z1917" s="8">
        <f>_xlfn.XLOOKUP(CustomerCombined[[#This Row],[ID]], Table2[ID],Table2[MC2], "Not Found", 0 )</f>
        <v>0</v>
      </c>
      <c r="AA1917" s="8">
        <f>_xlfn.XLOOKUP(CustomerCombined[[#This Row],[ID]], Table2[ID],Table2[MC3], "Not Found", 0 )</f>
        <v>0</v>
      </c>
      <c r="AB1917" s="8">
        <f>_xlfn.XLOOKUP(CustomerCombined[[#This Row],[ID]], Table2[ID],Table2[MC4], "Not Found", 0 )</f>
        <v>0</v>
      </c>
      <c r="AC1917" s="8">
        <f>_xlfn.XLOOKUP(CustomerCombined[[#This Row],[ID]], Table2[ID],Table2[MC5], "Not Found", 0 )</f>
        <v>0</v>
      </c>
    </row>
    <row r="1918" spans="1:29" x14ac:dyDescent="0.3">
      <c r="A1918" s="6">
        <v>1900</v>
      </c>
      <c r="B1918" s="6">
        <v>174637</v>
      </c>
      <c r="C1918" s="6">
        <v>0</v>
      </c>
      <c r="D1918" s="6">
        <v>0</v>
      </c>
      <c r="E1918" s="6">
        <v>66</v>
      </c>
      <c r="F1918" s="5" t="s">
        <v>7</v>
      </c>
      <c r="G1918" s="5" t="s">
        <v>13</v>
      </c>
      <c r="H1918" s="3" t="s">
        <v>253</v>
      </c>
      <c r="I1918" s="5" t="s">
        <v>439</v>
      </c>
      <c r="J1918" s="5">
        <f>_xlfn.XLOOKUP(CustomerCombined[[#This Row],[ID]], Table4[ID], Table4[Recency], "Not Found", 0)</f>
        <v>73</v>
      </c>
      <c r="K1918" s="5">
        <f>_xlfn.XLOOKUP(CustomerCombined[[#This Row],[ID]], Table4[ID], Table4[Teas], "Not Found", 0)</f>
        <v>2246</v>
      </c>
      <c r="L1918" s="5">
        <f>_xlfn.XLOOKUP(CustomerCombined[[#This Row],[ID]], Table4[ID], Table4[Fruits], "Not Found", 0)</f>
        <v>150</v>
      </c>
      <c r="M1918" s="5">
        <f>_xlfn.XLOOKUP(CustomerCombined[[#This Row],[ID]], Table4[ID], Table4[Meats], "Not Found", 0)</f>
        <v>1086</v>
      </c>
      <c r="N1918" s="5">
        <f>_xlfn.XLOOKUP(CustomerCombined[[#This Row],[ID]], Table4[ID], Table4[Seafood], "Not Found", 0)</f>
        <v>342</v>
      </c>
      <c r="O1918" s="5">
        <f>_xlfn.XLOOKUP(CustomerCombined[[#This Row],[ID]], Table4[ID], Table4[Sweets], "Not Found", 0)</f>
        <v>0</v>
      </c>
      <c r="P1918" s="5">
        <f>_xlfn.XLOOKUP(CustomerCombined[[#This Row],[ID]], Table4[ID], Table4[Premium], "Not Found", 0)</f>
        <v>37</v>
      </c>
      <c r="Q1918" s="5">
        <f>_xlfn.XLOOKUP(CustomerCombined[[#This Row],[ID]], Table4[ID], Table4[Regular], "Not Found", 0)</f>
        <v>3786</v>
      </c>
      <c r="R1918" s="5">
        <f>_xlfn.XLOOKUP(CustomerCombined[[#This Row],[ID]], Table4[ID], Table4[Deals], "Not Found", 0)</f>
        <v>1</v>
      </c>
      <c r="S1918" s="5">
        <f>_xlfn.XLOOKUP(CustomerCombined[[#This Row],[ID]], Table4[ID], Table4[Website], "Not Found", 0)</f>
        <v>6</v>
      </c>
      <c r="T1918" s="5">
        <f>_xlfn.XLOOKUP(CustomerCombined[[#This Row],[ID]], Table4[ID], Table4[Catalog], "Not Found", 0)</f>
        <v>9</v>
      </c>
      <c r="U1918" s="5">
        <f>_xlfn.XLOOKUP(CustomerCombined[[#This Row],[ID]], Table4[ID], Table4[Store], "Not Found", 0)</f>
        <v>9</v>
      </c>
      <c r="V1918" s="5">
        <f>_xlfn.XLOOKUP(CustomerCombined[[#This Row],[ID]], Table4[ID], Table4[Visits], "Not Found", 0)</f>
        <v>3</v>
      </c>
      <c r="W1918" s="8">
        <f>_xlfn.XLOOKUP(CustomerCombined[[#This Row],[ID]], Table2[ID],Table2[Complaint], "Not Found", 0 )</f>
        <v>0</v>
      </c>
      <c r="X1918" s="8">
        <f>_xlfn.XLOOKUP(CustomerCombined[[#This Row],[ID]], Table2[ID],Table2[Pilot], "Not Found", 0 )</f>
        <v>0</v>
      </c>
      <c r="Y1918" s="8">
        <f>_xlfn.XLOOKUP(CustomerCombined[[#This Row],[ID]], Table2[ID],Table2[MC1], "Not Found", 0 )</f>
        <v>1</v>
      </c>
      <c r="Z1918" s="8">
        <f>_xlfn.XLOOKUP(CustomerCombined[[#This Row],[ID]], Table2[ID],Table2[MC2], "Not Found", 0 )</f>
        <v>0</v>
      </c>
      <c r="AA1918" s="8">
        <f>_xlfn.XLOOKUP(CustomerCombined[[#This Row],[ID]], Table2[ID],Table2[MC3], "Not Found", 0 )</f>
        <v>0</v>
      </c>
      <c r="AB1918" s="8">
        <f>_xlfn.XLOOKUP(CustomerCombined[[#This Row],[ID]], Table2[ID],Table2[MC4], "Not Found", 0 )</f>
        <v>0</v>
      </c>
      <c r="AC1918" s="8">
        <f>_xlfn.XLOOKUP(CustomerCombined[[#This Row],[ID]], Table2[ID],Table2[MC5], "Not Found", 0 )</f>
        <v>0</v>
      </c>
    </row>
    <row r="1919" spans="1:29" x14ac:dyDescent="0.3">
      <c r="A1919" s="6">
        <v>1046</v>
      </c>
      <c r="B1919" s="6">
        <v>172550</v>
      </c>
      <c r="C1919" s="6">
        <v>1</v>
      </c>
      <c r="D1919" s="6">
        <v>1</v>
      </c>
      <c r="E1919" s="6">
        <v>66</v>
      </c>
      <c r="F1919" s="5" t="s">
        <v>6</v>
      </c>
      <c r="G1919" s="5" t="s">
        <v>13</v>
      </c>
      <c r="H1919" s="3" t="s">
        <v>367</v>
      </c>
      <c r="I1919" s="5" t="s">
        <v>438</v>
      </c>
      <c r="J1919" s="5">
        <f>_xlfn.XLOOKUP(CustomerCombined[[#This Row],[ID]], Table4[ID], Table4[Recency], "Not Found", 0)</f>
        <v>39</v>
      </c>
      <c r="K1919" s="5">
        <f>_xlfn.XLOOKUP(CustomerCombined[[#This Row],[ID]], Table4[ID], Table4[Teas], "Not Found", 0)</f>
        <v>1965</v>
      </c>
      <c r="L1919" s="5">
        <f>_xlfn.XLOOKUP(CustomerCombined[[#This Row],[ID]], Table4[ID], Table4[Fruits], "Not Found", 0)</f>
        <v>119</v>
      </c>
      <c r="M1919" s="5">
        <f>_xlfn.XLOOKUP(CustomerCombined[[#This Row],[ID]], Table4[ID], Table4[Meats], "Not Found", 0)</f>
        <v>754</v>
      </c>
      <c r="N1919" s="5">
        <f>_xlfn.XLOOKUP(CustomerCombined[[#This Row],[ID]], Table4[ID], Table4[Seafood], "Not Found", 0)</f>
        <v>119</v>
      </c>
      <c r="O1919" s="5">
        <f>_xlfn.XLOOKUP(CustomerCombined[[#This Row],[ID]], Table4[ID], Table4[Sweets], "Not Found", 0)</f>
        <v>90</v>
      </c>
      <c r="P1919" s="5">
        <f>_xlfn.XLOOKUP(CustomerCombined[[#This Row],[ID]], Table4[ID], Table4[Premium], "Not Found", 0)</f>
        <v>90</v>
      </c>
      <c r="Q1919" s="5">
        <f>_xlfn.XLOOKUP(CustomerCombined[[#This Row],[ID]], Table4[ID], Table4[Regular], "Not Found", 0)</f>
        <v>2956</v>
      </c>
      <c r="R1919" s="5">
        <f>_xlfn.XLOOKUP(CustomerCombined[[#This Row],[ID]], Table4[ID], Table4[Deals], "Not Found", 0)</f>
        <v>9</v>
      </c>
      <c r="S1919" s="5">
        <f>_xlfn.XLOOKUP(CustomerCombined[[#This Row],[ID]], Table4[ID], Table4[Website], "Not Found", 0)</f>
        <v>5</v>
      </c>
      <c r="T1919" s="5">
        <f>_xlfn.XLOOKUP(CustomerCombined[[#This Row],[ID]], Table4[ID], Table4[Catalog], "Not Found", 0)</f>
        <v>2</v>
      </c>
      <c r="U1919" s="5">
        <f>_xlfn.XLOOKUP(CustomerCombined[[#This Row],[ID]], Table4[ID], Table4[Store], "Not Found", 0)</f>
        <v>12</v>
      </c>
      <c r="V1919" s="5">
        <f>_xlfn.XLOOKUP(CustomerCombined[[#This Row],[ID]], Table4[ID], Table4[Visits], "Not Found", 0)</f>
        <v>8</v>
      </c>
      <c r="W1919" s="8">
        <f>_xlfn.XLOOKUP(CustomerCombined[[#This Row],[ID]], Table2[ID],Table2[Complaint], "Not Found", 0 )</f>
        <v>0</v>
      </c>
      <c r="X1919" s="8">
        <f>_xlfn.XLOOKUP(CustomerCombined[[#This Row],[ID]], Table2[ID],Table2[Pilot], "Not Found", 0 )</f>
        <v>0</v>
      </c>
      <c r="Y1919" s="8">
        <f>_xlfn.XLOOKUP(CustomerCombined[[#This Row],[ID]], Table2[ID],Table2[MC1], "Not Found", 0 )</f>
        <v>0</v>
      </c>
      <c r="Z1919" s="8">
        <f>_xlfn.XLOOKUP(CustomerCombined[[#This Row],[ID]], Table2[ID],Table2[MC2], "Not Found", 0 )</f>
        <v>0</v>
      </c>
      <c r="AA1919" s="8">
        <f>_xlfn.XLOOKUP(CustomerCombined[[#This Row],[ID]], Table2[ID],Table2[MC3], "Not Found", 0 )</f>
        <v>0</v>
      </c>
      <c r="AB1919" s="8">
        <f>_xlfn.XLOOKUP(CustomerCombined[[#This Row],[ID]], Table2[ID],Table2[MC4], "Not Found", 0 )</f>
        <v>0</v>
      </c>
      <c r="AC1919" s="8">
        <f>_xlfn.XLOOKUP(CustomerCombined[[#This Row],[ID]], Table2[ID],Table2[MC5], "Not Found", 0 )</f>
        <v>0</v>
      </c>
    </row>
    <row r="1920" spans="1:29" x14ac:dyDescent="0.3">
      <c r="A1920" s="6">
        <v>2789</v>
      </c>
      <c r="B1920" s="6">
        <v>172071</v>
      </c>
      <c r="C1920" s="6">
        <v>0</v>
      </c>
      <c r="D1920" s="6">
        <v>1</v>
      </c>
      <c r="E1920" s="6">
        <v>66</v>
      </c>
      <c r="F1920" s="5" t="s">
        <v>5</v>
      </c>
      <c r="G1920" s="5" t="s">
        <v>11</v>
      </c>
      <c r="H1920" s="3" t="s">
        <v>309</v>
      </c>
      <c r="I1920" s="5" t="s">
        <v>434</v>
      </c>
      <c r="J1920" s="5">
        <f>_xlfn.XLOOKUP(CustomerCombined[[#This Row],[ID]], Table4[ID], Table4[Recency], "Not Found", 0)</f>
        <v>4</v>
      </c>
      <c r="K1920" s="5">
        <f>_xlfn.XLOOKUP(CustomerCombined[[#This Row],[ID]], Table4[ID], Table4[Teas], "Not Found", 0)</f>
        <v>1268</v>
      </c>
      <c r="L1920" s="5">
        <f>_xlfn.XLOOKUP(CustomerCombined[[#This Row],[ID]], Table4[ID], Table4[Fruits], "Not Found", 0)</f>
        <v>165</v>
      </c>
      <c r="M1920" s="5">
        <f>_xlfn.XLOOKUP(CustomerCombined[[#This Row],[ID]], Table4[ID], Table4[Meats], "Not Found", 0)</f>
        <v>716</v>
      </c>
      <c r="N1920" s="5">
        <f>_xlfn.XLOOKUP(CustomerCombined[[#This Row],[ID]], Table4[ID], Table4[Seafood], "Not Found", 0)</f>
        <v>358</v>
      </c>
      <c r="O1920" s="5">
        <f>_xlfn.XLOOKUP(CustomerCombined[[#This Row],[ID]], Table4[ID], Table4[Sweets], "Not Found", 0)</f>
        <v>329</v>
      </c>
      <c r="P1920" s="5">
        <f>_xlfn.XLOOKUP(CustomerCombined[[#This Row],[ID]], Table4[ID], Table4[Premium], "Not Found", 0)</f>
        <v>358</v>
      </c>
      <c r="Q1920" s="5">
        <f>_xlfn.XLOOKUP(CustomerCombined[[#This Row],[ID]], Table4[ID], Table4[Regular], "Not Found", 0)</f>
        <v>2478</v>
      </c>
      <c r="R1920" s="5">
        <f>_xlfn.XLOOKUP(CustomerCombined[[#This Row],[ID]], Table4[ID], Table4[Deals], "Not Found", 0)</f>
        <v>3</v>
      </c>
      <c r="S1920" s="5">
        <f>_xlfn.XLOOKUP(CustomerCombined[[#This Row],[ID]], Table4[ID], Table4[Website], "Not Found", 0)</f>
        <v>5</v>
      </c>
      <c r="T1920" s="5">
        <f>_xlfn.XLOOKUP(CustomerCombined[[#This Row],[ID]], Table4[ID], Table4[Catalog], "Not Found", 0)</f>
        <v>4</v>
      </c>
      <c r="U1920" s="5">
        <f>_xlfn.XLOOKUP(CustomerCombined[[#This Row],[ID]], Table4[ID], Table4[Store], "Not Found", 0)</f>
        <v>8</v>
      </c>
      <c r="V1920" s="5">
        <f>_xlfn.XLOOKUP(CustomerCombined[[#This Row],[ID]], Table4[ID], Table4[Visits], "Not Found", 0)</f>
        <v>2</v>
      </c>
      <c r="W1920" s="8">
        <f>_xlfn.XLOOKUP(CustomerCombined[[#This Row],[ID]], Table2[ID],Table2[Complaint], "Not Found", 0 )</f>
        <v>0</v>
      </c>
      <c r="X1920" s="8">
        <f>_xlfn.XLOOKUP(CustomerCombined[[#This Row],[ID]], Table2[ID],Table2[Pilot], "Not Found", 0 )</f>
        <v>0</v>
      </c>
      <c r="Y1920" s="8">
        <f>_xlfn.XLOOKUP(CustomerCombined[[#This Row],[ID]], Table2[ID],Table2[MC1], "Not Found", 0 )</f>
        <v>0</v>
      </c>
      <c r="Z1920" s="8">
        <f>_xlfn.XLOOKUP(CustomerCombined[[#This Row],[ID]], Table2[ID],Table2[MC2], "Not Found", 0 )</f>
        <v>0</v>
      </c>
      <c r="AA1920" s="8">
        <f>_xlfn.XLOOKUP(CustomerCombined[[#This Row],[ID]], Table2[ID],Table2[MC3], "Not Found", 0 )</f>
        <v>0</v>
      </c>
      <c r="AB1920" s="8">
        <f>_xlfn.XLOOKUP(CustomerCombined[[#This Row],[ID]], Table2[ID],Table2[MC4], "Not Found", 0 )</f>
        <v>0</v>
      </c>
      <c r="AC1920" s="8">
        <f>_xlfn.XLOOKUP(CustomerCombined[[#This Row],[ID]], Table2[ID],Table2[MC5], "Not Found", 0 )</f>
        <v>0</v>
      </c>
    </row>
    <row r="1921" spans="1:29" x14ac:dyDescent="0.3">
      <c r="A1921" s="6">
        <v>3134</v>
      </c>
      <c r="B1921" s="6">
        <v>172071</v>
      </c>
      <c r="C1921" s="6">
        <v>0</v>
      </c>
      <c r="D1921" s="6">
        <v>1</v>
      </c>
      <c r="E1921" s="6">
        <v>66</v>
      </c>
      <c r="F1921" s="5" t="s">
        <v>5</v>
      </c>
      <c r="G1921" s="5" t="s">
        <v>11</v>
      </c>
      <c r="H1921" s="3" t="s">
        <v>309</v>
      </c>
      <c r="I1921" s="5" t="s">
        <v>438</v>
      </c>
      <c r="J1921" s="5">
        <f>_xlfn.XLOOKUP(CustomerCombined[[#This Row],[ID]], Table4[ID], Table4[Recency], "Not Found", 0)</f>
        <v>4</v>
      </c>
      <c r="K1921" s="5">
        <f>_xlfn.XLOOKUP(CustomerCombined[[#This Row],[ID]], Table4[ID], Table4[Teas], "Not Found", 0)</f>
        <v>1268</v>
      </c>
      <c r="L1921" s="5">
        <f>_xlfn.XLOOKUP(CustomerCombined[[#This Row],[ID]], Table4[ID], Table4[Fruits], "Not Found", 0)</f>
        <v>165</v>
      </c>
      <c r="M1921" s="5">
        <f>_xlfn.XLOOKUP(CustomerCombined[[#This Row],[ID]], Table4[ID], Table4[Meats], "Not Found", 0)</f>
        <v>716</v>
      </c>
      <c r="N1921" s="5">
        <f>_xlfn.XLOOKUP(CustomerCombined[[#This Row],[ID]], Table4[ID], Table4[Seafood], "Not Found", 0)</f>
        <v>358</v>
      </c>
      <c r="O1921" s="5">
        <f>_xlfn.XLOOKUP(CustomerCombined[[#This Row],[ID]], Table4[ID], Table4[Sweets], "Not Found", 0)</f>
        <v>329</v>
      </c>
      <c r="P1921" s="5">
        <f>_xlfn.XLOOKUP(CustomerCombined[[#This Row],[ID]], Table4[ID], Table4[Premium], "Not Found", 0)</f>
        <v>358</v>
      </c>
      <c r="Q1921" s="5">
        <f>_xlfn.XLOOKUP(CustomerCombined[[#This Row],[ID]], Table4[ID], Table4[Regular], "Not Found", 0)</f>
        <v>2478</v>
      </c>
      <c r="R1921" s="5">
        <f>_xlfn.XLOOKUP(CustomerCombined[[#This Row],[ID]], Table4[ID], Table4[Deals], "Not Found", 0)</f>
        <v>3</v>
      </c>
      <c r="S1921" s="5">
        <f>_xlfn.XLOOKUP(CustomerCombined[[#This Row],[ID]], Table4[ID], Table4[Website], "Not Found", 0)</f>
        <v>5</v>
      </c>
      <c r="T1921" s="5">
        <f>_xlfn.XLOOKUP(CustomerCombined[[#This Row],[ID]], Table4[ID], Table4[Catalog], "Not Found", 0)</f>
        <v>4</v>
      </c>
      <c r="U1921" s="5">
        <f>_xlfn.XLOOKUP(CustomerCombined[[#This Row],[ID]], Table4[ID], Table4[Store], "Not Found", 0)</f>
        <v>8</v>
      </c>
      <c r="V1921" s="5">
        <f>_xlfn.XLOOKUP(CustomerCombined[[#This Row],[ID]], Table4[ID], Table4[Visits], "Not Found", 0)</f>
        <v>2</v>
      </c>
      <c r="W1921" s="8">
        <f>_xlfn.XLOOKUP(CustomerCombined[[#This Row],[ID]], Table2[ID],Table2[Complaint], "Not Found", 0 )</f>
        <v>0</v>
      </c>
      <c r="X1921" s="8">
        <f>_xlfn.XLOOKUP(CustomerCombined[[#This Row],[ID]], Table2[ID],Table2[Pilot], "Not Found", 0 )</f>
        <v>0</v>
      </c>
      <c r="Y1921" s="8">
        <f>_xlfn.XLOOKUP(CustomerCombined[[#This Row],[ID]], Table2[ID],Table2[MC1], "Not Found", 0 )</f>
        <v>0</v>
      </c>
      <c r="Z1921" s="8">
        <f>_xlfn.XLOOKUP(CustomerCombined[[#This Row],[ID]], Table2[ID],Table2[MC2], "Not Found", 0 )</f>
        <v>0</v>
      </c>
      <c r="AA1921" s="8">
        <f>_xlfn.XLOOKUP(CustomerCombined[[#This Row],[ID]], Table2[ID],Table2[MC3], "Not Found", 0 )</f>
        <v>0</v>
      </c>
      <c r="AB1921" s="8">
        <f>_xlfn.XLOOKUP(CustomerCombined[[#This Row],[ID]], Table2[ID],Table2[MC4], "Not Found", 0 )</f>
        <v>0</v>
      </c>
      <c r="AC1921" s="8">
        <f>_xlfn.XLOOKUP(CustomerCombined[[#This Row],[ID]], Table2[ID],Table2[MC5], "Not Found", 0 )</f>
        <v>0</v>
      </c>
    </row>
    <row r="1922" spans="1:29" x14ac:dyDescent="0.3">
      <c r="A1922" s="6">
        <v>1777</v>
      </c>
      <c r="B1922" s="6">
        <v>170421</v>
      </c>
      <c r="C1922" s="6">
        <v>0</v>
      </c>
      <c r="D1922" s="6">
        <v>1</v>
      </c>
      <c r="E1922" s="6">
        <v>66</v>
      </c>
      <c r="F1922" s="5" t="s">
        <v>6</v>
      </c>
      <c r="G1922" s="5" t="s">
        <v>13</v>
      </c>
      <c r="H1922" s="3">
        <v>43873</v>
      </c>
      <c r="I1922" s="5" t="s">
        <v>437</v>
      </c>
      <c r="J1922" s="5">
        <f>_xlfn.XLOOKUP(CustomerCombined[[#This Row],[ID]], Table4[ID], Table4[Recency], "Not Found", 0)</f>
        <v>98</v>
      </c>
      <c r="K1922" s="5">
        <f>_xlfn.XLOOKUP(CustomerCombined[[#This Row],[ID]], Table4[ID], Table4[Teas], "Not Found", 0)</f>
        <v>1159</v>
      </c>
      <c r="L1922" s="5">
        <f>_xlfn.XLOOKUP(CustomerCombined[[#This Row],[ID]], Table4[ID], Table4[Fruits], "Not Found", 0)</f>
        <v>68</v>
      </c>
      <c r="M1922" s="5">
        <f>_xlfn.XLOOKUP(CustomerCombined[[#This Row],[ID]], Table4[ID], Table4[Meats], "Not Found", 0)</f>
        <v>329</v>
      </c>
      <c r="N1922" s="5">
        <f>_xlfn.XLOOKUP(CustomerCombined[[#This Row],[ID]], Table4[ID], Table4[Seafood], "Not Found", 0)</f>
        <v>182</v>
      </c>
      <c r="O1922" s="5">
        <f>_xlfn.XLOOKUP(CustomerCombined[[#This Row],[ID]], Table4[ID], Table4[Sweets], "Not Found", 0)</f>
        <v>34</v>
      </c>
      <c r="P1922" s="5">
        <f>_xlfn.XLOOKUP(CustomerCombined[[#This Row],[ID]], Table4[ID], Table4[Premium], "Not Found", 0)</f>
        <v>85</v>
      </c>
      <c r="Q1922" s="5">
        <f>_xlfn.XLOOKUP(CustomerCombined[[#This Row],[ID]], Table4[ID], Table4[Regular], "Not Found", 0)</f>
        <v>1687</v>
      </c>
      <c r="R1922" s="5">
        <f>_xlfn.XLOOKUP(CustomerCombined[[#This Row],[ID]], Table4[ID], Table4[Deals], "Not Found", 0)</f>
        <v>3</v>
      </c>
      <c r="S1922" s="5">
        <f>_xlfn.XLOOKUP(CustomerCombined[[#This Row],[ID]], Table4[ID], Table4[Website], "Not Found", 0)</f>
        <v>10</v>
      </c>
      <c r="T1922" s="5">
        <f>_xlfn.XLOOKUP(CustomerCombined[[#This Row],[ID]], Table4[ID], Table4[Catalog], "Not Found", 0)</f>
        <v>3</v>
      </c>
      <c r="U1922" s="5">
        <f>_xlfn.XLOOKUP(CustomerCombined[[#This Row],[ID]], Table4[ID], Table4[Store], "Not Found", 0)</f>
        <v>7</v>
      </c>
      <c r="V1922" s="5">
        <f>_xlfn.XLOOKUP(CustomerCombined[[#This Row],[ID]], Table4[ID], Table4[Visits], "Not Found", 0)</f>
        <v>6</v>
      </c>
      <c r="W1922" s="8">
        <f>_xlfn.XLOOKUP(CustomerCombined[[#This Row],[ID]], Table2[ID],Table2[Complaint], "Not Found", 0 )</f>
        <v>0</v>
      </c>
      <c r="X1922" s="8">
        <f>_xlfn.XLOOKUP(CustomerCombined[[#This Row],[ID]], Table2[ID],Table2[Pilot], "Not Found", 0 )</f>
        <v>0</v>
      </c>
      <c r="Y1922" s="8">
        <f>_xlfn.XLOOKUP(CustomerCombined[[#This Row],[ID]], Table2[ID],Table2[MC1], "Not Found", 0 )</f>
        <v>0</v>
      </c>
      <c r="Z1922" s="8">
        <f>_xlfn.XLOOKUP(CustomerCombined[[#This Row],[ID]], Table2[ID],Table2[MC2], "Not Found", 0 )</f>
        <v>0</v>
      </c>
      <c r="AA1922" s="8">
        <f>_xlfn.XLOOKUP(CustomerCombined[[#This Row],[ID]], Table2[ID],Table2[MC3], "Not Found", 0 )</f>
        <v>0</v>
      </c>
      <c r="AB1922" s="8">
        <f>_xlfn.XLOOKUP(CustomerCombined[[#This Row],[ID]], Table2[ID],Table2[MC4], "Not Found", 0 )</f>
        <v>0</v>
      </c>
      <c r="AC1922" s="8">
        <f>_xlfn.XLOOKUP(CustomerCombined[[#This Row],[ID]], Table2[ID],Table2[MC5], "Not Found", 0 )</f>
        <v>0</v>
      </c>
    </row>
    <row r="1923" spans="1:29" x14ac:dyDescent="0.3">
      <c r="A1923" s="6">
        <v>2710</v>
      </c>
      <c r="B1923" s="6">
        <v>170044</v>
      </c>
      <c r="C1923" s="6">
        <v>0</v>
      </c>
      <c r="D1923" s="6">
        <v>1</v>
      </c>
      <c r="E1923" s="6">
        <v>66</v>
      </c>
      <c r="F1923" s="5" t="s">
        <v>5</v>
      </c>
      <c r="G1923" s="5" t="s">
        <v>11</v>
      </c>
      <c r="H1923" s="3" t="s">
        <v>305</v>
      </c>
      <c r="I1923" s="5" t="s">
        <v>439</v>
      </c>
      <c r="J1923" s="5">
        <f>_xlfn.XLOOKUP(CustomerCombined[[#This Row],[ID]], Table4[ID], Table4[Recency], "Not Found", 0)</f>
        <v>46</v>
      </c>
      <c r="K1923" s="5">
        <f>_xlfn.XLOOKUP(CustomerCombined[[#This Row],[ID]], Table4[ID], Table4[Teas], "Not Found", 0)</f>
        <v>2605</v>
      </c>
      <c r="L1923" s="5">
        <f>_xlfn.XLOOKUP(CustomerCombined[[#This Row],[ID]], Table4[ID], Table4[Fruits], "Not Found", 0)</f>
        <v>0</v>
      </c>
      <c r="M1923" s="5">
        <f>_xlfn.XLOOKUP(CustomerCombined[[#This Row],[ID]], Table4[ID], Table4[Meats], "Not Found", 0)</f>
        <v>607</v>
      </c>
      <c r="N1923" s="5">
        <f>_xlfn.XLOOKUP(CustomerCombined[[#This Row],[ID]], Table4[ID], Table4[Seafood], "Not Found", 0)</f>
        <v>371</v>
      </c>
      <c r="O1923" s="5">
        <f>_xlfn.XLOOKUP(CustomerCombined[[#This Row],[ID]], Table4[ID], Table4[Sweets], "Not Found", 0)</f>
        <v>34</v>
      </c>
      <c r="P1923" s="5">
        <f>_xlfn.XLOOKUP(CustomerCombined[[#This Row],[ID]], Table4[ID], Table4[Premium], "Not Found", 0)</f>
        <v>34</v>
      </c>
      <c r="Q1923" s="5">
        <f>_xlfn.XLOOKUP(CustomerCombined[[#This Row],[ID]], Table4[ID], Table4[Regular], "Not Found", 0)</f>
        <v>3583</v>
      </c>
      <c r="R1923" s="5">
        <f>_xlfn.XLOOKUP(CustomerCombined[[#This Row],[ID]], Table4[ID], Table4[Deals], "Not Found", 0)</f>
        <v>4</v>
      </c>
      <c r="S1923" s="5">
        <f>_xlfn.XLOOKUP(CustomerCombined[[#This Row],[ID]], Table4[ID], Table4[Website], "Not Found", 0)</f>
        <v>7</v>
      </c>
      <c r="T1923" s="5">
        <f>_xlfn.XLOOKUP(CustomerCombined[[#This Row],[ID]], Table4[ID], Table4[Catalog], "Not Found", 0)</f>
        <v>10</v>
      </c>
      <c r="U1923" s="5">
        <f>_xlfn.XLOOKUP(CustomerCombined[[#This Row],[ID]], Table4[ID], Table4[Store], "Not Found", 0)</f>
        <v>5</v>
      </c>
      <c r="V1923" s="5">
        <f>_xlfn.XLOOKUP(CustomerCombined[[#This Row],[ID]], Table4[ID], Table4[Visits], "Not Found", 0)</f>
        <v>5</v>
      </c>
      <c r="W1923" s="8">
        <f>_xlfn.XLOOKUP(CustomerCombined[[#This Row],[ID]], Table2[ID],Table2[Complaint], "Not Found", 0 )</f>
        <v>0</v>
      </c>
      <c r="X1923" s="8">
        <f>_xlfn.XLOOKUP(CustomerCombined[[#This Row],[ID]], Table2[ID],Table2[Pilot], "Not Found", 0 )</f>
        <v>0</v>
      </c>
      <c r="Y1923" s="8">
        <f>_xlfn.XLOOKUP(CustomerCombined[[#This Row],[ID]], Table2[ID],Table2[MC1], "Not Found", 0 )</f>
        <v>0</v>
      </c>
      <c r="Z1923" s="8">
        <f>_xlfn.XLOOKUP(CustomerCombined[[#This Row],[ID]], Table2[ID],Table2[MC2], "Not Found", 0 )</f>
        <v>0</v>
      </c>
      <c r="AA1923" s="8">
        <f>_xlfn.XLOOKUP(CustomerCombined[[#This Row],[ID]], Table2[ID],Table2[MC3], "Not Found", 0 )</f>
        <v>0</v>
      </c>
      <c r="AB1923" s="8">
        <f>_xlfn.XLOOKUP(CustomerCombined[[#This Row],[ID]], Table2[ID],Table2[MC4], "Not Found", 0 )</f>
        <v>0</v>
      </c>
      <c r="AC1923" s="8">
        <f>_xlfn.XLOOKUP(CustomerCombined[[#This Row],[ID]], Table2[ID],Table2[MC5], "Not Found", 0 )</f>
        <v>0</v>
      </c>
    </row>
    <row r="1924" spans="1:29" x14ac:dyDescent="0.3">
      <c r="A1924" s="6">
        <v>1066</v>
      </c>
      <c r="B1924" s="6">
        <v>166991</v>
      </c>
      <c r="C1924" s="6">
        <v>0</v>
      </c>
      <c r="D1924" s="6">
        <v>0</v>
      </c>
      <c r="E1924" s="6">
        <v>66</v>
      </c>
      <c r="F1924" s="5" t="s">
        <v>6</v>
      </c>
      <c r="G1924" s="5" t="s">
        <v>12</v>
      </c>
      <c r="H1924" s="3" t="s">
        <v>398</v>
      </c>
      <c r="I1924" s="5" t="s">
        <v>439</v>
      </c>
      <c r="J1924" s="5">
        <f>_xlfn.XLOOKUP(CustomerCombined[[#This Row],[ID]], Table4[ID], Table4[Recency], "Not Found", 0)</f>
        <v>1</v>
      </c>
      <c r="K1924" s="5">
        <f>_xlfn.XLOOKUP(CustomerCombined[[#This Row],[ID]], Table4[ID], Table4[Teas], "Not Found", 0)</f>
        <v>1236</v>
      </c>
      <c r="L1924" s="5">
        <f>_xlfn.XLOOKUP(CustomerCombined[[#This Row],[ID]], Table4[ID], Table4[Fruits], "Not Found", 0)</f>
        <v>90</v>
      </c>
      <c r="M1924" s="5">
        <f>_xlfn.XLOOKUP(CustomerCombined[[#This Row],[ID]], Table4[ID], Table4[Meats], "Not Found", 0)</f>
        <v>1147</v>
      </c>
      <c r="N1924" s="5">
        <f>_xlfn.XLOOKUP(CustomerCombined[[#This Row],[ID]], Table4[ID], Table4[Seafood], "Not Found", 0)</f>
        <v>471</v>
      </c>
      <c r="O1924" s="5">
        <f>_xlfn.XLOOKUP(CustomerCombined[[#This Row],[ID]], Table4[ID], Table4[Sweets], "Not Found", 0)</f>
        <v>150</v>
      </c>
      <c r="P1924" s="5">
        <f>_xlfn.XLOOKUP(CustomerCombined[[#This Row],[ID]], Table4[ID], Table4[Premium], "Not Found", 0)</f>
        <v>30</v>
      </c>
      <c r="Q1924" s="5">
        <f>_xlfn.XLOOKUP(CustomerCombined[[#This Row],[ID]], Table4[ID], Table4[Regular], "Not Found", 0)</f>
        <v>3064</v>
      </c>
      <c r="R1924" s="5">
        <f>_xlfn.XLOOKUP(CustomerCombined[[#This Row],[ID]], Table4[ID], Table4[Deals], "Not Found", 0)</f>
        <v>3</v>
      </c>
      <c r="S1924" s="5">
        <f>_xlfn.XLOOKUP(CustomerCombined[[#This Row],[ID]], Table4[ID], Table4[Website], "Not Found", 0)</f>
        <v>4</v>
      </c>
      <c r="T1924" s="5">
        <f>_xlfn.XLOOKUP(CustomerCombined[[#This Row],[ID]], Table4[ID], Table4[Catalog], "Not Found", 0)</f>
        <v>8</v>
      </c>
      <c r="U1924" s="5">
        <f>_xlfn.XLOOKUP(CustomerCombined[[#This Row],[ID]], Table4[ID], Table4[Store], "Not Found", 0)</f>
        <v>6</v>
      </c>
      <c r="V1924" s="5">
        <f>_xlfn.XLOOKUP(CustomerCombined[[#This Row],[ID]], Table4[ID], Table4[Visits], "Not Found", 0)</f>
        <v>3</v>
      </c>
      <c r="W1924" s="8">
        <f>_xlfn.XLOOKUP(CustomerCombined[[#This Row],[ID]], Table2[ID],Table2[Complaint], "Not Found", 0 )</f>
        <v>0</v>
      </c>
      <c r="X1924" s="8">
        <f>_xlfn.XLOOKUP(CustomerCombined[[#This Row],[ID]], Table2[ID],Table2[Pilot], "Not Found", 0 )</f>
        <v>0</v>
      </c>
      <c r="Y1924" s="8">
        <f>_xlfn.XLOOKUP(CustomerCombined[[#This Row],[ID]], Table2[ID],Table2[MC1], "Not Found", 0 )</f>
        <v>0</v>
      </c>
      <c r="Z1924" s="8">
        <f>_xlfn.XLOOKUP(CustomerCombined[[#This Row],[ID]], Table2[ID],Table2[MC2], "Not Found", 0 )</f>
        <v>0</v>
      </c>
      <c r="AA1924" s="8">
        <f>_xlfn.XLOOKUP(CustomerCombined[[#This Row],[ID]], Table2[ID],Table2[MC3], "Not Found", 0 )</f>
        <v>0</v>
      </c>
      <c r="AB1924" s="8">
        <f>_xlfn.XLOOKUP(CustomerCombined[[#This Row],[ID]], Table2[ID],Table2[MC4], "Not Found", 0 )</f>
        <v>0</v>
      </c>
      <c r="AC1924" s="8">
        <f>_xlfn.XLOOKUP(CustomerCombined[[#This Row],[ID]], Table2[ID],Table2[MC5], "Not Found", 0 )</f>
        <v>0</v>
      </c>
    </row>
    <row r="1925" spans="1:29" x14ac:dyDescent="0.3">
      <c r="A1925" s="6">
        <v>1023</v>
      </c>
      <c r="B1925" s="6">
        <v>165324</v>
      </c>
      <c r="C1925" s="6">
        <v>0</v>
      </c>
      <c r="D1925" s="6">
        <v>1</v>
      </c>
      <c r="E1925" s="6">
        <v>66</v>
      </c>
      <c r="F1925" s="5" t="s">
        <v>6</v>
      </c>
      <c r="G1925" s="5" t="s">
        <v>13</v>
      </c>
      <c r="H1925" s="3" t="s">
        <v>119</v>
      </c>
      <c r="I1925" s="5" t="s">
        <v>435</v>
      </c>
      <c r="J1925" s="5">
        <f>_xlfn.XLOOKUP(CustomerCombined[[#This Row],[ID]], Table4[ID], Table4[Recency], "Not Found", 0)</f>
        <v>0</v>
      </c>
      <c r="K1925" s="5">
        <f>_xlfn.XLOOKUP(CustomerCombined[[#This Row],[ID]], Table4[ID], Table4[Teas], "Not Found", 0)</f>
        <v>972</v>
      </c>
      <c r="L1925" s="5">
        <f>_xlfn.XLOOKUP(CustomerCombined[[#This Row],[ID]], Table4[ID], Table4[Fruits], "Not Found", 0)</f>
        <v>0</v>
      </c>
      <c r="M1925" s="5">
        <f>_xlfn.XLOOKUP(CustomerCombined[[#This Row],[ID]], Table4[ID], Table4[Meats], "Not Found", 0)</f>
        <v>258</v>
      </c>
      <c r="N1925" s="5">
        <f>_xlfn.XLOOKUP(CustomerCombined[[#This Row],[ID]], Table4[ID], Table4[Seafood], "Not Found", 0)</f>
        <v>53</v>
      </c>
      <c r="O1925" s="5">
        <f>_xlfn.XLOOKUP(CustomerCombined[[#This Row],[ID]], Table4[ID], Table4[Sweets], "Not Found", 0)</f>
        <v>81</v>
      </c>
      <c r="P1925" s="5">
        <f>_xlfn.XLOOKUP(CustomerCombined[[#This Row],[ID]], Table4[ID], Table4[Premium], "Not Found", 0)</f>
        <v>13</v>
      </c>
      <c r="Q1925" s="5">
        <f>_xlfn.XLOOKUP(CustomerCombined[[#This Row],[ID]], Table4[ID], Table4[Regular], "Not Found", 0)</f>
        <v>1351</v>
      </c>
      <c r="R1925" s="5">
        <f>_xlfn.XLOOKUP(CustomerCombined[[#This Row],[ID]], Table4[ID], Table4[Deals], "Not Found", 0)</f>
        <v>3</v>
      </c>
      <c r="S1925" s="5">
        <f>_xlfn.XLOOKUP(CustomerCombined[[#This Row],[ID]], Table4[ID], Table4[Website], "Not Found", 0)</f>
        <v>6</v>
      </c>
      <c r="T1925" s="5">
        <f>_xlfn.XLOOKUP(CustomerCombined[[#This Row],[ID]], Table4[ID], Table4[Catalog], "Not Found", 0)</f>
        <v>2</v>
      </c>
      <c r="U1925" s="5">
        <f>_xlfn.XLOOKUP(CustomerCombined[[#This Row],[ID]], Table4[ID], Table4[Store], "Not Found", 0)</f>
        <v>9</v>
      </c>
      <c r="V1925" s="5">
        <f>_xlfn.XLOOKUP(CustomerCombined[[#This Row],[ID]], Table4[ID], Table4[Visits], "Not Found", 0)</f>
        <v>4</v>
      </c>
      <c r="W1925" s="8">
        <f>_xlfn.XLOOKUP(CustomerCombined[[#This Row],[ID]], Table2[ID],Table2[Complaint], "Not Found", 0 )</f>
        <v>0</v>
      </c>
      <c r="X1925" s="8">
        <f>_xlfn.XLOOKUP(CustomerCombined[[#This Row],[ID]], Table2[ID],Table2[Pilot], "Not Found", 0 )</f>
        <v>0</v>
      </c>
      <c r="Y1925" s="8">
        <f>_xlfn.XLOOKUP(CustomerCombined[[#This Row],[ID]], Table2[ID],Table2[MC1], "Not Found", 0 )</f>
        <v>0</v>
      </c>
      <c r="Z1925" s="8">
        <f>_xlfn.XLOOKUP(CustomerCombined[[#This Row],[ID]], Table2[ID],Table2[MC2], "Not Found", 0 )</f>
        <v>0</v>
      </c>
      <c r="AA1925" s="8">
        <f>_xlfn.XLOOKUP(CustomerCombined[[#This Row],[ID]], Table2[ID],Table2[MC3], "Not Found", 0 )</f>
        <v>0</v>
      </c>
      <c r="AB1925" s="8">
        <f>_xlfn.XLOOKUP(CustomerCombined[[#This Row],[ID]], Table2[ID],Table2[MC4], "Not Found", 0 )</f>
        <v>0</v>
      </c>
      <c r="AC1925" s="8">
        <f>_xlfn.XLOOKUP(CustomerCombined[[#This Row],[ID]], Table2[ID],Table2[MC5], "Not Found", 0 )</f>
        <v>0</v>
      </c>
    </row>
    <row r="1926" spans="1:29" x14ac:dyDescent="0.3">
      <c r="A1926" s="6">
        <v>1832</v>
      </c>
      <c r="B1926" s="6">
        <v>165324</v>
      </c>
      <c r="C1926" s="6">
        <v>0</v>
      </c>
      <c r="D1926" s="6">
        <v>1</v>
      </c>
      <c r="E1926" s="6">
        <v>66</v>
      </c>
      <c r="F1926" s="5" t="s">
        <v>6</v>
      </c>
      <c r="G1926" s="5" t="s">
        <v>13</v>
      </c>
      <c r="H1926" s="3" t="s">
        <v>119</v>
      </c>
      <c r="I1926" s="5" t="s">
        <v>438</v>
      </c>
      <c r="J1926" s="5">
        <f>_xlfn.XLOOKUP(CustomerCombined[[#This Row],[ID]], Table4[ID], Table4[Recency], "Not Found", 0)</f>
        <v>0</v>
      </c>
      <c r="K1926" s="5">
        <f>_xlfn.XLOOKUP(CustomerCombined[[#This Row],[ID]], Table4[ID], Table4[Teas], "Not Found", 0)</f>
        <v>972</v>
      </c>
      <c r="L1926" s="5">
        <f>_xlfn.XLOOKUP(CustomerCombined[[#This Row],[ID]], Table4[ID], Table4[Fruits], "Not Found", 0)</f>
        <v>0</v>
      </c>
      <c r="M1926" s="5">
        <f>_xlfn.XLOOKUP(CustomerCombined[[#This Row],[ID]], Table4[ID], Table4[Meats], "Not Found", 0)</f>
        <v>258</v>
      </c>
      <c r="N1926" s="5">
        <f>_xlfn.XLOOKUP(CustomerCombined[[#This Row],[ID]], Table4[ID], Table4[Seafood], "Not Found", 0)</f>
        <v>53</v>
      </c>
      <c r="O1926" s="5">
        <f>_xlfn.XLOOKUP(CustomerCombined[[#This Row],[ID]], Table4[ID], Table4[Sweets], "Not Found", 0)</f>
        <v>81</v>
      </c>
      <c r="P1926" s="5">
        <f>_xlfn.XLOOKUP(CustomerCombined[[#This Row],[ID]], Table4[ID], Table4[Premium], "Not Found", 0)</f>
        <v>13</v>
      </c>
      <c r="Q1926" s="5">
        <f>_xlfn.XLOOKUP(CustomerCombined[[#This Row],[ID]], Table4[ID], Table4[Regular], "Not Found", 0)</f>
        <v>1351</v>
      </c>
      <c r="R1926" s="5">
        <f>_xlfn.XLOOKUP(CustomerCombined[[#This Row],[ID]], Table4[ID], Table4[Deals], "Not Found", 0)</f>
        <v>3</v>
      </c>
      <c r="S1926" s="5">
        <f>_xlfn.XLOOKUP(CustomerCombined[[#This Row],[ID]], Table4[ID], Table4[Website], "Not Found", 0)</f>
        <v>6</v>
      </c>
      <c r="T1926" s="5">
        <f>_xlfn.XLOOKUP(CustomerCombined[[#This Row],[ID]], Table4[ID], Table4[Catalog], "Not Found", 0)</f>
        <v>2</v>
      </c>
      <c r="U1926" s="5">
        <f>_xlfn.XLOOKUP(CustomerCombined[[#This Row],[ID]], Table4[ID], Table4[Store], "Not Found", 0)</f>
        <v>9</v>
      </c>
      <c r="V1926" s="5">
        <f>_xlfn.XLOOKUP(CustomerCombined[[#This Row],[ID]], Table4[ID], Table4[Visits], "Not Found", 0)</f>
        <v>4</v>
      </c>
      <c r="W1926" s="8">
        <f>_xlfn.XLOOKUP(CustomerCombined[[#This Row],[ID]], Table2[ID],Table2[Complaint], "Not Found", 0 )</f>
        <v>0</v>
      </c>
      <c r="X1926" s="8">
        <f>_xlfn.XLOOKUP(CustomerCombined[[#This Row],[ID]], Table2[ID],Table2[Pilot], "Not Found", 0 )</f>
        <v>0</v>
      </c>
      <c r="Y1926" s="8">
        <f>_xlfn.XLOOKUP(CustomerCombined[[#This Row],[ID]], Table2[ID],Table2[MC1], "Not Found", 0 )</f>
        <v>0</v>
      </c>
      <c r="Z1926" s="8">
        <f>_xlfn.XLOOKUP(CustomerCombined[[#This Row],[ID]], Table2[ID],Table2[MC2], "Not Found", 0 )</f>
        <v>0</v>
      </c>
      <c r="AA1926" s="8">
        <f>_xlfn.XLOOKUP(CustomerCombined[[#This Row],[ID]], Table2[ID],Table2[MC3], "Not Found", 0 )</f>
        <v>0</v>
      </c>
      <c r="AB1926" s="8">
        <f>_xlfn.XLOOKUP(CustomerCombined[[#This Row],[ID]], Table2[ID],Table2[MC4], "Not Found", 0 )</f>
        <v>0</v>
      </c>
      <c r="AC1926" s="8">
        <f>_xlfn.XLOOKUP(CustomerCombined[[#This Row],[ID]], Table2[ID],Table2[MC5], "Not Found", 0 )</f>
        <v>0</v>
      </c>
    </row>
    <row r="1927" spans="1:29" x14ac:dyDescent="0.3">
      <c r="A1927" s="6">
        <v>1975</v>
      </c>
      <c r="B1927" s="6">
        <v>164587</v>
      </c>
      <c r="C1927" s="6">
        <v>1</v>
      </c>
      <c r="D1927" s="6">
        <v>1</v>
      </c>
      <c r="E1927" s="6">
        <v>66</v>
      </c>
      <c r="F1927" s="5" t="s">
        <v>5</v>
      </c>
      <c r="G1927" s="5" t="s">
        <v>11</v>
      </c>
      <c r="H1927" s="3" t="s">
        <v>27</v>
      </c>
      <c r="I1927" s="5" t="s">
        <v>437</v>
      </c>
      <c r="J1927" s="5">
        <f>_xlfn.XLOOKUP(CustomerCombined[[#This Row],[ID]], Table4[ID], Table4[Recency], "Not Found", 0)</f>
        <v>49</v>
      </c>
      <c r="K1927" s="5">
        <f>_xlfn.XLOOKUP(CustomerCombined[[#This Row],[ID]], Table4[ID], Table4[Teas], "Not Found", 0)</f>
        <v>168</v>
      </c>
      <c r="L1927" s="5">
        <f>_xlfn.XLOOKUP(CustomerCombined[[#This Row],[ID]], Table4[ID], Table4[Fruits], "Not Found", 0)</f>
        <v>0</v>
      </c>
      <c r="M1927" s="5">
        <f>_xlfn.XLOOKUP(CustomerCombined[[#This Row],[ID]], Table4[ID], Table4[Meats], "Not Found", 0)</f>
        <v>41</v>
      </c>
      <c r="N1927" s="5">
        <f>_xlfn.XLOOKUP(CustomerCombined[[#This Row],[ID]], Table4[ID], Table4[Seafood], "Not Found", 0)</f>
        <v>0</v>
      </c>
      <c r="O1927" s="5">
        <f>_xlfn.XLOOKUP(CustomerCombined[[#This Row],[ID]], Table4[ID], Table4[Sweets], "Not Found", 0)</f>
        <v>15</v>
      </c>
      <c r="P1927" s="5">
        <f>_xlfn.XLOOKUP(CustomerCombined[[#This Row],[ID]], Table4[ID], Table4[Premium], "Not Found", 0)</f>
        <v>51</v>
      </c>
      <c r="Q1927" s="5">
        <f>_xlfn.XLOOKUP(CustomerCombined[[#This Row],[ID]], Table4[ID], Table4[Regular], "Not Found", 0)</f>
        <v>173</v>
      </c>
      <c r="R1927" s="5">
        <f>_xlfn.XLOOKUP(CustomerCombined[[#This Row],[ID]], Table4[ID], Table4[Deals], "Not Found", 0)</f>
        <v>2</v>
      </c>
      <c r="S1927" s="5">
        <f>_xlfn.XLOOKUP(CustomerCombined[[#This Row],[ID]], Table4[ID], Table4[Website], "Not Found", 0)</f>
        <v>1</v>
      </c>
      <c r="T1927" s="5">
        <f>_xlfn.XLOOKUP(CustomerCombined[[#This Row],[ID]], Table4[ID], Table4[Catalog], "Not Found", 0)</f>
        <v>1</v>
      </c>
      <c r="U1927" s="5">
        <f>_xlfn.XLOOKUP(CustomerCombined[[#This Row],[ID]], Table4[ID], Table4[Store], "Not Found", 0)</f>
        <v>4</v>
      </c>
      <c r="V1927" s="5">
        <f>_xlfn.XLOOKUP(CustomerCombined[[#This Row],[ID]], Table4[ID], Table4[Visits], "Not Found", 0)</f>
        <v>3</v>
      </c>
      <c r="W1927" s="8">
        <f>_xlfn.XLOOKUP(CustomerCombined[[#This Row],[ID]], Table2[ID],Table2[Complaint], "Not Found", 0 )</f>
        <v>0</v>
      </c>
      <c r="X1927" s="8">
        <f>_xlfn.XLOOKUP(CustomerCombined[[#This Row],[ID]], Table2[ID],Table2[Pilot], "Not Found", 0 )</f>
        <v>0</v>
      </c>
      <c r="Y1927" s="8">
        <f>_xlfn.XLOOKUP(CustomerCombined[[#This Row],[ID]], Table2[ID],Table2[MC1], "Not Found", 0 )</f>
        <v>0</v>
      </c>
      <c r="Z1927" s="8">
        <f>_xlfn.XLOOKUP(CustomerCombined[[#This Row],[ID]], Table2[ID],Table2[MC2], "Not Found", 0 )</f>
        <v>0</v>
      </c>
      <c r="AA1927" s="8">
        <f>_xlfn.XLOOKUP(CustomerCombined[[#This Row],[ID]], Table2[ID],Table2[MC3], "Not Found", 0 )</f>
        <v>0</v>
      </c>
      <c r="AB1927" s="8">
        <f>_xlfn.XLOOKUP(CustomerCombined[[#This Row],[ID]], Table2[ID],Table2[MC4], "Not Found", 0 )</f>
        <v>0</v>
      </c>
      <c r="AC1927" s="8">
        <f>_xlfn.XLOOKUP(CustomerCombined[[#This Row],[ID]], Table2[ID],Table2[MC5], "Not Found", 0 )</f>
        <v>0</v>
      </c>
    </row>
    <row r="1928" spans="1:29" x14ac:dyDescent="0.3">
      <c r="A1928" s="6">
        <v>1197</v>
      </c>
      <c r="B1928" s="6">
        <v>164497</v>
      </c>
      <c r="C1928" s="6">
        <v>0</v>
      </c>
      <c r="D1928" s="6">
        <v>1</v>
      </c>
      <c r="E1928" s="6">
        <v>66</v>
      </c>
      <c r="F1928" s="5" t="s">
        <v>5</v>
      </c>
      <c r="G1928" s="5" t="s">
        <v>11</v>
      </c>
      <c r="H1928" s="3" t="s">
        <v>399</v>
      </c>
      <c r="I1928" s="5" t="s">
        <v>435</v>
      </c>
      <c r="J1928" s="5">
        <f>_xlfn.XLOOKUP(CustomerCombined[[#This Row],[ID]], Table4[ID], Table4[Recency], "Not Found", 0)</f>
        <v>17</v>
      </c>
      <c r="K1928" s="5">
        <f>_xlfn.XLOOKUP(CustomerCombined[[#This Row],[ID]], Table4[ID], Table4[Teas], "Not Found", 0)</f>
        <v>2984</v>
      </c>
      <c r="L1928" s="5">
        <f>_xlfn.XLOOKUP(CustomerCombined[[#This Row],[ID]], Table4[ID], Table4[Fruits], "Not Found", 0)</f>
        <v>122</v>
      </c>
      <c r="M1928" s="5">
        <f>_xlfn.XLOOKUP(CustomerCombined[[#This Row],[ID]], Table4[ID], Table4[Meats], "Not Found", 0)</f>
        <v>816</v>
      </c>
      <c r="N1928" s="5">
        <f>_xlfn.XLOOKUP(CustomerCombined[[#This Row],[ID]], Table4[ID], Table4[Seafood], "Not Found", 0)</f>
        <v>107</v>
      </c>
      <c r="O1928" s="5">
        <f>_xlfn.XLOOKUP(CustomerCombined[[#This Row],[ID]], Table4[ID], Table4[Sweets], "Not Found", 0)</f>
        <v>82</v>
      </c>
      <c r="P1928" s="5">
        <f>_xlfn.XLOOKUP(CustomerCombined[[#This Row],[ID]], Table4[ID], Table4[Premium], "Not Found", 0)</f>
        <v>490</v>
      </c>
      <c r="Q1928" s="5">
        <f>_xlfn.XLOOKUP(CustomerCombined[[#This Row],[ID]], Table4[ID], Table4[Regular], "Not Found", 0)</f>
        <v>3622</v>
      </c>
      <c r="R1928" s="5">
        <f>_xlfn.XLOOKUP(CustomerCombined[[#This Row],[ID]], Table4[ID], Table4[Deals], "Not Found", 0)</f>
        <v>5</v>
      </c>
      <c r="S1928" s="5">
        <f>_xlfn.XLOOKUP(CustomerCombined[[#This Row],[ID]], Table4[ID], Table4[Website], "Not Found", 0)</f>
        <v>11</v>
      </c>
      <c r="T1928" s="5">
        <f>_xlfn.XLOOKUP(CustomerCombined[[#This Row],[ID]], Table4[ID], Table4[Catalog], "Not Found", 0)</f>
        <v>4</v>
      </c>
      <c r="U1928" s="5">
        <f>_xlfn.XLOOKUP(CustomerCombined[[#This Row],[ID]], Table4[ID], Table4[Store], "Not Found", 0)</f>
        <v>9</v>
      </c>
      <c r="V1928" s="5">
        <f>_xlfn.XLOOKUP(CustomerCombined[[#This Row],[ID]], Table4[ID], Table4[Visits], "Not Found", 0)</f>
        <v>8</v>
      </c>
      <c r="W1928" s="8">
        <f>_xlfn.XLOOKUP(CustomerCombined[[#This Row],[ID]], Table2[ID],Table2[Complaint], "Not Found", 0 )</f>
        <v>0</v>
      </c>
      <c r="X1928" s="8">
        <f>_xlfn.XLOOKUP(CustomerCombined[[#This Row],[ID]], Table2[ID],Table2[Pilot], "Not Found", 0 )</f>
        <v>1</v>
      </c>
      <c r="Y1928" s="8">
        <f>_xlfn.XLOOKUP(CustomerCombined[[#This Row],[ID]], Table2[ID],Table2[MC1], "Not Found", 0 )</f>
        <v>0</v>
      </c>
      <c r="Z1928" s="8">
        <f>_xlfn.XLOOKUP(CustomerCombined[[#This Row],[ID]], Table2[ID],Table2[MC2], "Not Found", 0 )</f>
        <v>0</v>
      </c>
      <c r="AA1928" s="8">
        <f>_xlfn.XLOOKUP(CustomerCombined[[#This Row],[ID]], Table2[ID],Table2[MC3], "Not Found", 0 )</f>
        <v>1</v>
      </c>
      <c r="AB1928" s="8">
        <f>_xlfn.XLOOKUP(CustomerCombined[[#This Row],[ID]], Table2[ID],Table2[MC4], "Not Found", 0 )</f>
        <v>0</v>
      </c>
      <c r="AC1928" s="8">
        <f>_xlfn.XLOOKUP(CustomerCombined[[#This Row],[ID]], Table2[ID],Table2[MC5], "Not Found", 0 )</f>
        <v>0</v>
      </c>
    </row>
    <row r="1929" spans="1:29" x14ac:dyDescent="0.3">
      <c r="A1929" s="6">
        <v>1730</v>
      </c>
      <c r="B1929" s="6">
        <v>163564</v>
      </c>
      <c r="C1929" s="6">
        <v>0</v>
      </c>
      <c r="D1929" s="6">
        <v>0</v>
      </c>
      <c r="E1929" s="6">
        <v>66</v>
      </c>
      <c r="F1929" s="5" t="s">
        <v>6</v>
      </c>
      <c r="G1929" s="5" t="s">
        <v>442</v>
      </c>
      <c r="H1929" s="3">
        <v>43958</v>
      </c>
      <c r="I1929" s="5" t="s">
        <v>438</v>
      </c>
      <c r="J1929" s="5">
        <f>_xlfn.XLOOKUP(CustomerCombined[[#This Row],[ID]], Table4[ID], Table4[Recency], "Not Found", 0)</f>
        <v>0</v>
      </c>
      <c r="K1929" s="5">
        <f>_xlfn.XLOOKUP(CustomerCombined[[#This Row],[ID]], Table4[ID], Table4[Teas], "Not Found", 0)</f>
        <v>1979</v>
      </c>
      <c r="L1929" s="5">
        <f>_xlfn.XLOOKUP(CustomerCombined[[#This Row],[ID]], Table4[ID], Table4[Fruits], "Not Found", 0)</f>
        <v>206</v>
      </c>
      <c r="M1929" s="5">
        <f>_xlfn.XLOOKUP(CustomerCombined[[#This Row],[ID]], Table4[ID], Table4[Meats], "Not Found", 0)</f>
        <v>648</v>
      </c>
      <c r="N1929" s="5">
        <f>_xlfn.XLOOKUP(CustomerCombined[[#This Row],[ID]], Table4[ID], Table4[Seafood], "Not Found", 0)</f>
        <v>39</v>
      </c>
      <c r="O1929" s="5">
        <f>_xlfn.XLOOKUP(CustomerCombined[[#This Row],[ID]], Table4[ID], Table4[Sweets], "Not Found", 0)</f>
        <v>87</v>
      </c>
      <c r="P1929" s="5">
        <f>_xlfn.XLOOKUP(CustomerCombined[[#This Row],[ID]], Table4[ID], Table4[Premium], "Not Found", 0)</f>
        <v>167</v>
      </c>
      <c r="Q1929" s="5">
        <f>_xlfn.XLOOKUP(CustomerCombined[[#This Row],[ID]], Table4[ID], Table4[Regular], "Not Found", 0)</f>
        <v>2792</v>
      </c>
      <c r="R1929" s="5">
        <f>_xlfn.XLOOKUP(CustomerCombined[[#This Row],[ID]], Table4[ID], Table4[Deals], "Not Found", 0)</f>
        <v>1</v>
      </c>
      <c r="S1929" s="5">
        <f>_xlfn.XLOOKUP(CustomerCombined[[#This Row],[ID]], Table4[ID], Table4[Website], "Not Found", 0)</f>
        <v>10</v>
      </c>
      <c r="T1929" s="5">
        <f>_xlfn.XLOOKUP(CustomerCombined[[#This Row],[ID]], Table4[ID], Table4[Catalog], "Not Found", 0)</f>
        <v>10</v>
      </c>
      <c r="U1929" s="5">
        <f>_xlfn.XLOOKUP(CustomerCombined[[#This Row],[ID]], Table4[ID], Table4[Store], "Not Found", 0)</f>
        <v>7</v>
      </c>
      <c r="V1929" s="5">
        <f>_xlfn.XLOOKUP(CustomerCombined[[#This Row],[ID]], Table4[ID], Table4[Visits], "Not Found", 0)</f>
        <v>6</v>
      </c>
      <c r="W1929" s="8">
        <f>_xlfn.XLOOKUP(CustomerCombined[[#This Row],[ID]], Table2[ID],Table2[Complaint], "Not Found", 0 )</f>
        <v>0</v>
      </c>
      <c r="X1929" s="8">
        <f>_xlfn.XLOOKUP(CustomerCombined[[#This Row],[ID]], Table2[ID],Table2[Pilot], "Not Found", 0 )</f>
        <v>1</v>
      </c>
      <c r="Y1929" s="8">
        <f>_xlfn.XLOOKUP(CustomerCombined[[#This Row],[ID]], Table2[ID],Table2[MC1], "Not Found", 0 )</f>
        <v>0</v>
      </c>
      <c r="Z1929" s="8">
        <f>_xlfn.XLOOKUP(CustomerCombined[[#This Row],[ID]], Table2[ID],Table2[MC2], "Not Found", 0 )</f>
        <v>0</v>
      </c>
      <c r="AA1929" s="8">
        <f>_xlfn.XLOOKUP(CustomerCombined[[#This Row],[ID]], Table2[ID],Table2[MC3], "Not Found", 0 )</f>
        <v>1</v>
      </c>
      <c r="AB1929" s="8">
        <f>_xlfn.XLOOKUP(CustomerCombined[[#This Row],[ID]], Table2[ID],Table2[MC4], "Not Found", 0 )</f>
        <v>0</v>
      </c>
      <c r="AC1929" s="8">
        <f>_xlfn.XLOOKUP(CustomerCombined[[#This Row],[ID]], Table2[ID],Table2[MC5], "Not Found", 0 )</f>
        <v>0</v>
      </c>
    </row>
    <row r="1930" spans="1:29" x14ac:dyDescent="0.3">
      <c r="A1930" s="6">
        <v>1896</v>
      </c>
      <c r="B1930" s="6">
        <v>162820</v>
      </c>
      <c r="C1930" s="6">
        <v>0</v>
      </c>
      <c r="D1930" s="6">
        <v>0</v>
      </c>
      <c r="E1930" s="6">
        <v>66</v>
      </c>
      <c r="F1930" s="5" t="s">
        <v>6</v>
      </c>
      <c r="G1930" s="5" t="s">
        <v>11</v>
      </c>
      <c r="H1930" s="3" t="s">
        <v>260</v>
      </c>
      <c r="I1930" s="5" t="s">
        <v>436</v>
      </c>
      <c r="J1930" s="5">
        <f>_xlfn.XLOOKUP(CustomerCombined[[#This Row],[ID]], Table4[ID], Table4[Recency], "Not Found", 0)</f>
        <v>51</v>
      </c>
      <c r="K1930" s="5">
        <f>_xlfn.XLOOKUP(CustomerCombined[[#This Row],[ID]], Table4[ID], Table4[Teas], "Not Found", 0)</f>
        <v>1032</v>
      </c>
      <c r="L1930" s="5">
        <f>_xlfn.XLOOKUP(CustomerCombined[[#This Row],[ID]], Table4[ID], Table4[Fruits], "Not Found", 0)</f>
        <v>158</v>
      </c>
      <c r="M1930" s="5">
        <f>_xlfn.XLOOKUP(CustomerCombined[[#This Row],[ID]], Table4[ID], Table4[Meats], "Not Found", 0)</f>
        <v>687</v>
      </c>
      <c r="N1930" s="5">
        <f>_xlfn.XLOOKUP(CustomerCombined[[#This Row],[ID]], Table4[ID], Table4[Seafood], "Not Found", 0)</f>
        <v>358</v>
      </c>
      <c r="O1930" s="5">
        <f>_xlfn.XLOOKUP(CustomerCombined[[#This Row],[ID]], Table4[ID], Table4[Sweets], "Not Found", 0)</f>
        <v>158</v>
      </c>
      <c r="P1930" s="5">
        <f>_xlfn.XLOOKUP(CustomerCombined[[#This Row],[ID]], Table4[ID], Table4[Premium], "Not Found", 0)</f>
        <v>137</v>
      </c>
      <c r="Q1930" s="5">
        <f>_xlfn.XLOOKUP(CustomerCombined[[#This Row],[ID]], Table4[ID], Table4[Regular], "Not Found", 0)</f>
        <v>2255</v>
      </c>
      <c r="R1930" s="5">
        <f>_xlfn.XLOOKUP(CustomerCombined[[#This Row],[ID]], Table4[ID], Table4[Deals], "Not Found", 0)</f>
        <v>1</v>
      </c>
      <c r="S1930" s="5">
        <f>_xlfn.XLOOKUP(CustomerCombined[[#This Row],[ID]], Table4[ID], Table4[Website], "Not Found", 0)</f>
        <v>3</v>
      </c>
      <c r="T1930" s="5">
        <f>_xlfn.XLOOKUP(CustomerCombined[[#This Row],[ID]], Table4[ID], Table4[Catalog], "Not Found", 0)</f>
        <v>4</v>
      </c>
      <c r="U1930" s="5">
        <f>_xlfn.XLOOKUP(CustomerCombined[[#This Row],[ID]], Table4[ID], Table4[Store], "Not Found", 0)</f>
        <v>6</v>
      </c>
      <c r="V1930" s="5">
        <f>_xlfn.XLOOKUP(CustomerCombined[[#This Row],[ID]], Table4[ID], Table4[Visits], "Not Found", 0)</f>
        <v>1</v>
      </c>
      <c r="W1930" s="8">
        <f>_xlfn.XLOOKUP(CustomerCombined[[#This Row],[ID]], Table2[ID],Table2[Complaint], "Not Found", 0 )</f>
        <v>0</v>
      </c>
      <c r="X1930" s="8">
        <f>_xlfn.XLOOKUP(CustomerCombined[[#This Row],[ID]], Table2[ID],Table2[Pilot], "Not Found", 0 )</f>
        <v>0</v>
      </c>
      <c r="Y1930" s="8">
        <f>_xlfn.XLOOKUP(CustomerCombined[[#This Row],[ID]], Table2[ID],Table2[MC1], "Not Found", 0 )</f>
        <v>0</v>
      </c>
      <c r="Z1930" s="8">
        <f>_xlfn.XLOOKUP(CustomerCombined[[#This Row],[ID]], Table2[ID],Table2[MC2], "Not Found", 0 )</f>
        <v>0</v>
      </c>
      <c r="AA1930" s="8">
        <f>_xlfn.XLOOKUP(CustomerCombined[[#This Row],[ID]], Table2[ID],Table2[MC3], "Not Found", 0 )</f>
        <v>0</v>
      </c>
      <c r="AB1930" s="8">
        <f>_xlfn.XLOOKUP(CustomerCombined[[#This Row],[ID]], Table2[ID],Table2[MC4], "Not Found", 0 )</f>
        <v>0</v>
      </c>
      <c r="AC1930" s="8">
        <f>_xlfn.XLOOKUP(CustomerCombined[[#This Row],[ID]], Table2[ID],Table2[MC5], "Not Found", 0 )</f>
        <v>0</v>
      </c>
    </row>
    <row r="1931" spans="1:29" x14ac:dyDescent="0.3">
      <c r="A1931" s="6">
        <v>2880</v>
      </c>
      <c r="B1931" s="6">
        <v>162820</v>
      </c>
      <c r="C1931" s="6">
        <v>0</v>
      </c>
      <c r="D1931" s="6">
        <v>0</v>
      </c>
      <c r="E1931" s="6">
        <v>66</v>
      </c>
      <c r="F1931" s="5" t="s">
        <v>6</v>
      </c>
      <c r="G1931" s="5" t="s">
        <v>11</v>
      </c>
      <c r="H1931" s="3" t="s">
        <v>260</v>
      </c>
      <c r="I1931" s="5" t="s">
        <v>436</v>
      </c>
      <c r="J1931" s="5">
        <f>_xlfn.XLOOKUP(CustomerCombined[[#This Row],[ID]], Table4[ID], Table4[Recency], "Not Found", 0)</f>
        <v>51</v>
      </c>
      <c r="K1931" s="5">
        <f>_xlfn.XLOOKUP(CustomerCombined[[#This Row],[ID]], Table4[ID], Table4[Teas], "Not Found", 0)</f>
        <v>1032</v>
      </c>
      <c r="L1931" s="5">
        <f>_xlfn.XLOOKUP(CustomerCombined[[#This Row],[ID]], Table4[ID], Table4[Fruits], "Not Found", 0)</f>
        <v>158</v>
      </c>
      <c r="M1931" s="5">
        <f>_xlfn.XLOOKUP(CustomerCombined[[#This Row],[ID]], Table4[ID], Table4[Meats], "Not Found", 0)</f>
        <v>687</v>
      </c>
      <c r="N1931" s="5">
        <f>_xlfn.XLOOKUP(CustomerCombined[[#This Row],[ID]], Table4[ID], Table4[Seafood], "Not Found", 0)</f>
        <v>358</v>
      </c>
      <c r="O1931" s="5">
        <f>_xlfn.XLOOKUP(CustomerCombined[[#This Row],[ID]], Table4[ID], Table4[Sweets], "Not Found", 0)</f>
        <v>158</v>
      </c>
      <c r="P1931" s="5">
        <f>_xlfn.XLOOKUP(CustomerCombined[[#This Row],[ID]], Table4[ID], Table4[Premium], "Not Found", 0)</f>
        <v>137</v>
      </c>
      <c r="Q1931" s="5">
        <f>_xlfn.XLOOKUP(CustomerCombined[[#This Row],[ID]], Table4[ID], Table4[Regular], "Not Found", 0)</f>
        <v>2255</v>
      </c>
      <c r="R1931" s="5">
        <f>_xlfn.XLOOKUP(CustomerCombined[[#This Row],[ID]], Table4[ID], Table4[Deals], "Not Found", 0)</f>
        <v>1</v>
      </c>
      <c r="S1931" s="5">
        <f>_xlfn.XLOOKUP(CustomerCombined[[#This Row],[ID]], Table4[ID], Table4[Website], "Not Found", 0)</f>
        <v>3</v>
      </c>
      <c r="T1931" s="5">
        <f>_xlfn.XLOOKUP(CustomerCombined[[#This Row],[ID]], Table4[ID], Table4[Catalog], "Not Found", 0)</f>
        <v>4</v>
      </c>
      <c r="U1931" s="5">
        <f>_xlfn.XLOOKUP(CustomerCombined[[#This Row],[ID]], Table4[ID], Table4[Store], "Not Found", 0)</f>
        <v>6</v>
      </c>
      <c r="V1931" s="5">
        <f>_xlfn.XLOOKUP(CustomerCombined[[#This Row],[ID]], Table4[ID], Table4[Visits], "Not Found", 0)</f>
        <v>1</v>
      </c>
      <c r="W1931" s="8">
        <f>_xlfn.XLOOKUP(CustomerCombined[[#This Row],[ID]], Table2[ID],Table2[Complaint], "Not Found", 0 )</f>
        <v>0</v>
      </c>
      <c r="X1931" s="8">
        <f>_xlfn.XLOOKUP(CustomerCombined[[#This Row],[ID]], Table2[ID],Table2[Pilot], "Not Found", 0 )</f>
        <v>0</v>
      </c>
      <c r="Y1931" s="8">
        <f>_xlfn.XLOOKUP(CustomerCombined[[#This Row],[ID]], Table2[ID],Table2[MC1], "Not Found", 0 )</f>
        <v>0</v>
      </c>
      <c r="Z1931" s="8">
        <f>_xlfn.XLOOKUP(CustomerCombined[[#This Row],[ID]], Table2[ID],Table2[MC2], "Not Found", 0 )</f>
        <v>0</v>
      </c>
      <c r="AA1931" s="8">
        <f>_xlfn.XLOOKUP(CustomerCombined[[#This Row],[ID]], Table2[ID],Table2[MC3], "Not Found", 0 )</f>
        <v>0</v>
      </c>
      <c r="AB1931" s="8">
        <f>_xlfn.XLOOKUP(CustomerCombined[[#This Row],[ID]], Table2[ID],Table2[MC4], "Not Found", 0 )</f>
        <v>0</v>
      </c>
      <c r="AC1931" s="8">
        <f>_xlfn.XLOOKUP(CustomerCombined[[#This Row],[ID]], Table2[ID],Table2[MC5], "Not Found", 0 )</f>
        <v>0</v>
      </c>
    </row>
    <row r="1932" spans="1:29" x14ac:dyDescent="0.3">
      <c r="A1932" s="6">
        <v>2632</v>
      </c>
      <c r="B1932" s="6">
        <v>162670</v>
      </c>
      <c r="C1932" s="6">
        <v>0</v>
      </c>
      <c r="D1932" s="6">
        <v>1</v>
      </c>
      <c r="E1932" s="6">
        <v>66</v>
      </c>
      <c r="F1932" s="5" t="s">
        <v>6</v>
      </c>
      <c r="G1932" s="5" t="s">
        <v>13</v>
      </c>
      <c r="H1932" s="3">
        <v>44081</v>
      </c>
      <c r="I1932" s="5" t="s">
        <v>439</v>
      </c>
      <c r="J1932" s="5">
        <f>_xlfn.XLOOKUP(CustomerCombined[[#This Row],[ID]], Table4[ID], Table4[Recency], "Not Found", 0)</f>
        <v>57</v>
      </c>
      <c r="K1932" s="5">
        <f>_xlfn.XLOOKUP(CustomerCombined[[#This Row],[ID]], Table4[ID], Table4[Teas], "Not Found", 0)</f>
        <v>1399</v>
      </c>
      <c r="L1932" s="5">
        <f>_xlfn.XLOOKUP(CustomerCombined[[#This Row],[ID]], Table4[ID], Table4[Fruits], "Not Found", 0)</f>
        <v>78</v>
      </c>
      <c r="M1932" s="5">
        <f>_xlfn.XLOOKUP(CustomerCombined[[#This Row],[ID]], Table4[ID], Table4[Meats], "Not Found", 0)</f>
        <v>239</v>
      </c>
      <c r="N1932" s="5">
        <f>_xlfn.XLOOKUP(CustomerCombined[[#This Row],[ID]], Table4[ID], Table4[Seafood], "Not Found", 0)</f>
        <v>208</v>
      </c>
      <c r="O1932" s="5">
        <f>_xlfn.XLOOKUP(CustomerCombined[[#This Row],[ID]], Table4[ID], Table4[Sweets], "Not Found", 0)</f>
        <v>119</v>
      </c>
      <c r="P1932" s="5">
        <f>_xlfn.XLOOKUP(CustomerCombined[[#This Row],[ID]], Table4[ID], Table4[Premium], "Not Found", 0)</f>
        <v>99</v>
      </c>
      <c r="Q1932" s="5">
        <f>_xlfn.XLOOKUP(CustomerCombined[[#This Row],[ID]], Table4[ID], Table4[Regular], "Not Found", 0)</f>
        <v>1944</v>
      </c>
      <c r="R1932" s="5">
        <f>_xlfn.XLOOKUP(CustomerCombined[[#This Row],[ID]], Table4[ID], Table4[Deals], "Not Found", 0)</f>
        <v>1</v>
      </c>
      <c r="S1932" s="5">
        <f>_xlfn.XLOOKUP(CustomerCombined[[#This Row],[ID]], Table4[ID], Table4[Website], "Not Found", 0)</f>
        <v>5</v>
      </c>
      <c r="T1932" s="5">
        <f>_xlfn.XLOOKUP(CustomerCombined[[#This Row],[ID]], Table4[ID], Table4[Catalog], "Not Found", 0)</f>
        <v>3</v>
      </c>
      <c r="U1932" s="5">
        <f>_xlfn.XLOOKUP(CustomerCombined[[#This Row],[ID]], Table4[ID], Table4[Store], "Not Found", 0)</f>
        <v>13</v>
      </c>
      <c r="V1932" s="5">
        <f>_xlfn.XLOOKUP(CustomerCombined[[#This Row],[ID]], Table4[ID], Table4[Visits], "Not Found", 0)</f>
        <v>3</v>
      </c>
      <c r="W1932" s="8">
        <f>_xlfn.XLOOKUP(CustomerCombined[[#This Row],[ID]], Table2[ID],Table2[Complaint], "Not Found", 0 )</f>
        <v>0</v>
      </c>
      <c r="X1932" s="8">
        <f>_xlfn.XLOOKUP(CustomerCombined[[#This Row],[ID]], Table2[ID],Table2[Pilot], "Not Found", 0 )</f>
        <v>0</v>
      </c>
      <c r="Y1932" s="8">
        <f>_xlfn.XLOOKUP(CustomerCombined[[#This Row],[ID]], Table2[ID],Table2[MC1], "Not Found", 0 )</f>
        <v>0</v>
      </c>
      <c r="Z1932" s="8">
        <f>_xlfn.XLOOKUP(CustomerCombined[[#This Row],[ID]], Table2[ID],Table2[MC2], "Not Found", 0 )</f>
        <v>0</v>
      </c>
      <c r="AA1932" s="8">
        <f>_xlfn.XLOOKUP(CustomerCombined[[#This Row],[ID]], Table2[ID],Table2[MC3], "Not Found", 0 )</f>
        <v>0</v>
      </c>
      <c r="AB1932" s="8">
        <f>_xlfn.XLOOKUP(CustomerCombined[[#This Row],[ID]], Table2[ID],Table2[MC4], "Not Found", 0 )</f>
        <v>0</v>
      </c>
      <c r="AC1932" s="8">
        <f>_xlfn.XLOOKUP(CustomerCombined[[#This Row],[ID]], Table2[ID],Table2[MC5], "Not Found", 0 )</f>
        <v>0</v>
      </c>
    </row>
    <row r="1933" spans="1:29" x14ac:dyDescent="0.3">
      <c r="A1933" s="6">
        <v>3106</v>
      </c>
      <c r="B1933" s="6">
        <v>162637</v>
      </c>
      <c r="C1933" s="6">
        <v>0</v>
      </c>
      <c r="D1933" s="6">
        <v>1</v>
      </c>
      <c r="E1933" s="6">
        <v>66</v>
      </c>
      <c r="F1933" s="5" t="s">
        <v>5</v>
      </c>
      <c r="G1933" s="5" t="s">
        <v>12</v>
      </c>
      <c r="H1933" s="3">
        <v>43959</v>
      </c>
      <c r="I1933" s="5" t="s">
        <v>439</v>
      </c>
      <c r="J1933" s="5">
        <f>_xlfn.XLOOKUP(CustomerCombined[[#This Row],[ID]], Table4[ID], Table4[Recency], "Not Found", 0)</f>
        <v>76</v>
      </c>
      <c r="K1933" s="5">
        <f>_xlfn.XLOOKUP(CustomerCombined[[#This Row],[ID]], Table4[ID], Table4[Teas], "Not Found", 0)</f>
        <v>270</v>
      </c>
      <c r="L1933" s="5">
        <f>_xlfn.XLOOKUP(CustomerCombined[[#This Row],[ID]], Table4[ID], Table4[Fruits], "Not Found", 0)</f>
        <v>31</v>
      </c>
      <c r="M1933" s="5">
        <f>_xlfn.XLOOKUP(CustomerCombined[[#This Row],[ID]], Table4[ID], Table4[Meats], "Not Found", 0)</f>
        <v>125</v>
      </c>
      <c r="N1933" s="5">
        <f>_xlfn.XLOOKUP(CustomerCombined[[#This Row],[ID]], Table4[ID], Table4[Seafood], "Not Found", 0)</f>
        <v>10</v>
      </c>
      <c r="O1933" s="5">
        <f>_xlfn.XLOOKUP(CustomerCombined[[#This Row],[ID]], Table4[ID], Table4[Sweets], "Not Found", 0)</f>
        <v>31</v>
      </c>
      <c r="P1933" s="5">
        <f>_xlfn.XLOOKUP(CustomerCombined[[#This Row],[ID]], Table4[ID], Table4[Premium], "Not Found", 0)</f>
        <v>13</v>
      </c>
      <c r="Q1933" s="5">
        <f>_xlfn.XLOOKUP(CustomerCombined[[#This Row],[ID]], Table4[ID], Table4[Regular], "Not Found", 0)</f>
        <v>454</v>
      </c>
      <c r="R1933" s="5">
        <f>_xlfn.XLOOKUP(CustomerCombined[[#This Row],[ID]], Table4[ID], Table4[Deals], "Not Found", 0)</f>
        <v>1</v>
      </c>
      <c r="S1933" s="5">
        <f>_xlfn.XLOOKUP(CustomerCombined[[#This Row],[ID]], Table4[ID], Table4[Website], "Not Found", 0)</f>
        <v>2</v>
      </c>
      <c r="T1933" s="5">
        <f>_xlfn.XLOOKUP(CustomerCombined[[#This Row],[ID]], Table4[ID], Table4[Catalog], "Not Found", 0)</f>
        <v>2</v>
      </c>
      <c r="U1933" s="5">
        <f>_xlfn.XLOOKUP(CustomerCombined[[#This Row],[ID]], Table4[ID], Table4[Store], "Not Found", 0)</f>
        <v>5</v>
      </c>
      <c r="V1933" s="5">
        <f>_xlfn.XLOOKUP(CustomerCombined[[#This Row],[ID]], Table4[ID], Table4[Visits], "Not Found", 0)</f>
        <v>2</v>
      </c>
      <c r="W1933" s="8">
        <f>_xlfn.XLOOKUP(CustomerCombined[[#This Row],[ID]], Table2[ID],Table2[Complaint], "Not Found", 0 )</f>
        <v>0</v>
      </c>
      <c r="X1933" s="8">
        <f>_xlfn.XLOOKUP(CustomerCombined[[#This Row],[ID]], Table2[ID],Table2[Pilot], "Not Found", 0 )</f>
        <v>0</v>
      </c>
      <c r="Y1933" s="8">
        <f>_xlfn.XLOOKUP(CustomerCombined[[#This Row],[ID]], Table2[ID],Table2[MC1], "Not Found", 0 )</f>
        <v>0</v>
      </c>
      <c r="Z1933" s="8">
        <f>_xlfn.XLOOKUP(CustomerCombined[[#This Row],[ID]], Table2[ID],Table2[MC2], "Not Found", 0 )</f>
        <v>0</v>
      </c>
      <c r="AA1933" s="8">
        <f>_xlfn.XLOOKUP(CustomerCombined[[#This Row],[ID]], Table2[ID],Table2[MC3], "Not Found", 0 )</f>
        <v>0</v>
      </c>
      <c r="AB1933" s="8">
        <f>_xlfn.XLOOKUP(CustomerCombined[[#This Row],[ID]], Table2[ID],Table2[MC4], "Not Found", 0 )</f>
        <v>0</v>
      </c>
      <c r="AC1933" s="8">
        <f>_xlfn.XLOOKUP(CustomerCombined[[#This Row],[ID]], Table2[ID],Table2[MC5], "Not Found", 0 )</f>
        <v>0</v>
      </c>
    </row>
    <row r="1934" spans="1:29" x14ac:dyDescent="0.3">
      <c r="A1934" s="6">
        <v>2276</v>
      </c>
      <c r="B1934" s="6">
        <v>160033</v>
      </c>
      <c r="C1934" s="6">
        <v>0</v>
      </c>
      <c r="D1934" s="6">
        <v>1</v>
      </c>
      <c r="E1934" s="6">
        <v>66</v>
      </c>
      <c r="F1934" s="5" t="s">
        <v>8</v>
      </c>
      <c r="G1934" s="5" t="s">
        <v>12</v>
      </c>
      <c r="H1934" s="3">
        <v>43870</v>
      </c>
      <c r="I1934" s="5" t="s">
        <v>438</v>
      </c>
      <c r="J1934" s="5">
        <f>_xlfn.XLOOKUP(CustomerCombined[[#This Row],[ID]], Table4[ID], Table4[Recency], "Not Found", 0)</f>
        <v>28</v>
      </c>
      <c r="K1934" s="5">
        <f>_xlfn.XLOOKUP(CustomerCombined[[#This Row],[ID]], Table4[ID], Table4[Teas], "Not Found", 0)</f>
        <v>165</v>
      </c>
      <c r="L1934" s="5">
        <f>_xlfn.XLOOKUP(CustomerCombined[[#This Row],[ID]], Table4[ID], Table4[Fruits], "Not Found", 0)</f>
        <v>3</v>
      </c>
      <c r="M1934" s="5">
        <f>_xlfn.XLOOKUP(CustomerCombined[[#This Row],[ID]], Table4[ID], Table4[Meats], "Not Found", 0)</f>
        <v>152</v>
      </c>
      <c r="N1934" s="5">
        <f>_xlfn.XLOOKUP(CustomerCombined[[#This Row],[ID]], Table4[ID], Table4[Seafood], "Not Found", 0)</f>
        <v>51</v>
      </c>
      <c r="O1934" s="5">
        <f>_xlfn.XLOOKUP(CustomerCombined[[#This Row],[ID]], Table4[ID], Table4[Sweets], "Not Found", 0)</f>
        <v>29</v>
      </c>
      <c r="P1934" s="5">
        <f>_xlfn.XLOOKUP(CustomerCombined[[#This Row],[ID]], Table4[ID], Table4[Premium], "Not Found", 0)</f>
        <v>128</v>
      </c>
      <c r="Q1934" s="5">
        <f>_xlfn.XLOOKUP(CustomerCombined[[#This Row],[ID]], Table4[ID], Table4[Regular], "Not Found", 0)</f>
        <v>272</v>
      </c>
      <c r="R1934" s="5">
        <f>_xlfn.XLOOKUP(CustomerCombined[[#This Row],[ID]], Table4[ID], Table4[Deals], "Not Found", 0)</f>
        <v>2</v>
      </c>
      <c r="S1934" s="5">
        <f>_xlfn.XLOOKUP(CustomerCombined[[#This Row],[ID]], Table4[ID], Table4[Website], "Not Found", 0)</f>
        <v>2</v>
      </c>
      <c r="T1934" s="5">
        <f>_xlfn.XLOOKUP(CustomerCombined[[#This Row],[ID]], Table4[ID], Table4[Catalog], "Not Found", 0)</f>
        <v>1</v>
      </c>
      <c r="U1934" s="5">
        <f>_xlfn.XLOOKUP(CustomerCombined[[#This Row],[ID]], Table4[ID], Table4[Store], "Not Found", 0)</f>
        <v>5</v>
      </c>
      <c r="V1934" s="5">
        <f>_xlfn.XLOOKUP(CustomerCombined[[#This Row],[ID]], Table4[ID], Table4[Visits], "Not Found", 0)</f>
        <v>2</v>
      </c>
      <c r="W1934" s="8">
        <f>_xlfn.XLOOKUP(CustomerCombined[[#This Row],[ID]], Table2[ID],Table2[Complaint], "Not Found", 0 )</f>
        <v>0</v>
      </c>
      <c r="X1934" s="8">
        <f>_xlfn.XLOOKUP(CustomerCombined[[#This Row],[ID]], Table2[ID],Table2[Pilot], "Not Found", 0 )</f>
        <v>0</v>
      </c>
      <c r="Y1934" s="8">
        <f>_xlfn.XLOOKUP(CustomerCombined[[#This Row],[ID]], Table2[ID],Table2[MC1], "Not Found", 0 )</f>
        <v>0</v>
      </c>
      <c r="Z1934" s="8">
        <f>_xlfn.XLOOKUP(CustomerCombined[[#This Row],[ID]], Table2[ID],Table2[MC2], "Not Found", 0 )</f>
        <v>0</v>
      </c>
      <c r="AA1934" s="8">
        <f>_xlfn.XLOOKUP(CustomerCombined[[#This Row],[ID]], Table2[ID],Table2[MC3], "Not Found", 0 )</f>
        <v>0</v>
      </c>
      <c r="AB1934" s="8">
        <f>_xlfn.XLOOKUP(CustomerCombined[[#This Row],[ID]], Table2[ID],Table2[MC4], "Not Found", 0 )</f>
        <v>0</v>
      </c>
      <c r="AC1934" s="8">
        <f>_xlfn.XLOOKUP(CustomerCombined[[#This Row],[ID]], Table2[ID],Table2[MC5], "Not Found", 0 )</f>
        <v>0</v>
      </c>
    </row>
    <row r="1935" spans="1:29" x14ac:dyDescent="0.3">
      <c r="A1935" s="6">
        <v>1702</v>
      </c>
      <c r="B1935" s="6">
        <v>159111</v>
      </c>
      <c r="C1935" s="6">
        <v>0</v>
      </c>
      <c r="D1935" s="6">
        <v>0</v>
      </c>
      <c r="E1935" s="6">
        <v>66</v>
      </c>
      <c r="F1935" s="5" t="s">
        <v>6</v>
      </c>
      <c r="G1935" s="5" t="s">
        <v>11</v>
      </c>
      <c r="H1935" s="3">
        <v>43656</v>
      </c>
      <c r="I1935" s="5" t="s">
        <v>439</v>
      </c>
      <c r="J1935" s="5">
        <f>_xlfn.XLOOKUP(CustomerCombined[[#This Row],[ID]], Table4[ID], Table4[Recency], "Not Found", 0)</f>
        <v>90</v>
      </c>
      <c r="K1935" s="5">
        <f>_xlfn.XLOOKUP(CustomerCombined[[#This Row],[ID]], Table4[ID], Table4[Teas], "Not Found", 0)</f>
        <v>1410</v>
      </c>
      <c r="L1935" s="5">
        <f>_xlfn.XLOOKUP(CustomerCombined[[#This Row],[ID]], Table4[ID], Table4[Fruits], "Not Found", 0)</f>
        <v>0</v>
      </c>
      <c r="M1935" s="5">
        <f>_xlfn.XLOOKUP(CustomerCombined[[#This Row],[ID]], Table4[ID], Table4[Meats], "Not Found", 0)</f>
        <v>361</v>
      </c>
      <c r="N1935" s="5">
        <f>_xlfn.XLOOKUP(CustomerCombined[[#This Row],[ID]], Table4[ID], Table4[Seafood], "Not Found", 0)</f>
        <v>75</v>
      </c>
      <c r="O1935" s="5">
        <f>_xlfn.XLOOKUP(CustomerCombined[[#This Row],[ID]], Table4[ID], Table4[Sweets], "Not Found", 0)</f>
        <v>75</v>
      </c>
      <c r="P1935" s="5">
        <f>_xlfn.XLOOKUP(CustomerCombined[[#This Row],[ID]], Table4[ID], Table4[Premium], "Not Found", 0)</f>
        <v>417</v>
      </c>
      <c r="Q1935" s="5">
        <f>_xlfn.XLOOKUP(CustomerCombined[[#This Row],[ID]], Table4[ID], Table4[Regular], "Not Found", 0)</f>
        <v>1505</v>
      </c>
      <c r="R1935" s="5">
        <f>_xlfn.XLOOKUP(CustomerCombined[[#This Row],[ID]], Table4[ID], Table4[Deals], "Not Found", 0)</f>
        <v>1</v>
      </c>
      <c r="S1935" s="5">
        <f>_xlfn.XLOOKUP(CustomerCombined[[#This Row],[ID]], Table4[ID], Table4[Website], "Not Found", 0)</f>
        <v>11</v>
      </c>
      <c r="T1935" s="5">
        <f>_xlfn.XLOOKUP(CustomerCombined[[#This Row],[ID]], Table4[ID], Table4[Catalog], "Not Found", 0)</f>
        <v>1</v>
      </c>
      <c r="U1935" s="5">
        <f>_xlfn.XLOOKUP(CustomerCombined[[#This Row],[ID]], Table4[ID], Table4[Store], "Not Found", 0)</f>
        <v>8</v>
      </c>
      <c r="V1935" s="5">
        <f>_xlfn.XLOOKUP(CustomerCombined[[#This Row],[ID]], Table4[ID], Table4[Visits], "Not Found", 0)</f>
        <v>7</v>
      </c>
      <c r="W1935" s="8">
        <f>_xlfn.XLOOKUP(CustomerCombined[[#This Row],[ID]], Table2[ID],Table2[Complaint], "Not Found", 0 )</f>
        <v>0</v>
      </c>
      <c r="X1935" s="8">
        <f>_xlfn.XLOOKUP(CustomerCombined[[#This Row],[ID]], Table2[ID],Table2[Pilot], "Not Found", 0 )</f>
        <v>0</v>
      </c>
      <c r="Y1935" s="8">
        <f>_xlfn.XLOOKUP(CustomerCombined[[#This Row],[ID]], Table2[ID],Table2[MC1], "Not Found", 0 )</f>
        <v>0</v>
      </c>
      <c r="Z1935" s="8">
        <f>_xlfn.XLOOKUP(CustomerCombined[[#This Row],[ID]], Table2[ID],Table2[MC2], "Not Found", 0 )</f>
        <v>0</v>
      </c>
      <c r="AA1935" s="8">
        <f>_xlfn.XLOOKUP(CustomerCombined[[#This Row],[ID]], Table2[ID],Table2[MC3], "Not Found", 0 )</f>
        <v>0</v>
      </c>
      <c r="AB1935" s="8">
        <f>_xlfn.XLOOKUP(CustomerCombined[[#This Row],[ID]], Table2[ID],Table2[MC4], "Not Found", 0 )</f>
        <v>0</v>
      </c>
      <c r="AC1935" s="8">
        <f>_xlfn.XLOOKUP(CustomerCombined[[#This Row],[ID]], Table2[ID],Table2[MC5], "Not Found", 0 )</f>
        <v>0</v>
      </c>
    </row>
    <row r="1936" spans="1:29" x14ac:dyDescent="0.3">
      <c r="A1936" s="6">
        <v>2129</v>
      </c>
      <c r="B1936" s="6">
        <v>157744</v>
      </c>
      <c r="C1936" s="6">
        <v>0</v>
      </c>
      <c r="D1936" s="6">
        <v>1</v>
      </c>
      <c r="E1936" s="6">
        <v>66</v>
      </c>
      <c r="F1936" s="5" t="s">
        <v>6</v>
      </c>
      <c r="G1936" s="5" t="s">
        <v>13</v>
      </c>
      <c r="H1936" s="3" t="s">
        <v>152</v>
      </c>
      <c r="I1936" s="5" t="s">
        <v>434</v>
      </c>
      <c r="J1936" s="5">
        <f>_xlfn.XLOOKUP(CustomerCombined[[#This Row],[ID]], Table4[ID], Table4[Recency], "Not Found", 0)</f>
        <v>91</v>
      </c>
      <c r="K1936" s="5">
        <f>_xlfn.XLOOKUP(CustomerCombined[[#This Row],[ID]], Table4[ID], Table4[Teas], "Not Found", 0)</f>
        <v>956</v>
      </c>
      <c r="L1936" s="5">
        <f>_xlfn.XLOOKUP(CustomerCombined[[#This Row],[ID]], Table4[ID], Table4[Fruits], "Not Found", 0)</f>
        <v>8</v>
      </c>
      <c r="M1936" s="5">
        <f>_xlfn.XLOOKUP(CustomerCombined[[#This Row],[ID]], Table4[ID], Table4[Meats], "Not Found", 0)</f>
        <v>107</v>
      </c>
      <c r="N1936" s="5">
        <f>_xlfn.XLOOKUP(CustomerCombined[[#This Row],[ID]], Table4[ID], Table4[Seafood], "Not Found", 0)</f>
        <v>0</v>
      </c>
      <c r="O1936" s="5">
        <f>_xlfn.XLOOKUP(CustomerCombined[[#This Row],[ID]], Table4[ID], Table4[Sweets], "Not Found", 0)</f>
        <v>0</v>
      </c>
      <c r="P1936" s="5">
        <f>_xlfn.XLOOKUP(CustomerCombined[[#This Row],[ID]], Table4[ID], Table4[Premium], "Not Found", 0)</f>
        <v>52</v>
      </c>
      <c r="Q1936" s="5">
        <f>_xlfn.XLOOKUP(CustomerCombined[[#This Row],[ID]], Table4[ID], Table4[Regular], "Not Found", 0)</f>
        <v>1019</v>
      </c>
      <c r="R1936" s="5">
        <f>_xlfn.XLOOKUP(CustomerCombined[[#This Row],[ID]], Table4[ID], Table4[Deals], "Not Found", 0)</f>
        <v>2</v>
      </c>
      <c r="S1936" s="5">
        <f>_xlfn.XLOOKUP(CustomerCombined[[#This Row],[ID]], Table4[ID], Table4[Website], "Not Found", 0)</f>
        <v>9</v>
      </c>
      <c r="T1936" s="5">
        <f>_xlfn.XLOOKUP(CustomerCombined[[#This Row],[ID]], Table4[ID], Table4[Catalog], "Not Found", 0)</f>
        <v>1</v>
      </c>
      <c r="U1936" s="5">
        <f>_xlfn.XLOOKUP(CustomerCombined[[#This Row],[ID]], Table4[ID], Table4[Store], "Not Found", 0)</f>
        <v>4</v>
      </c>
      <c r="V1936" s="5">
        <f>_xlfn.XLOOKUP(CustomerCombined[[#This Row],[ID]], Table4[ID], Table4[Visits], "Not Found", 0)</f>
        <v>8</v>
      </c>
      <c r="W1936" s="8">
        <f>_xlfn.XLOOKUP(CustomerCombined[[#This Row],[ID]], Table2[ID],Table2[Complaint], "Not Found", 0 )</f>
        <v>0</v>
      </c>
      <c r="X1936" s="8">
        <f>_xlfn.XLOOKUP(CustomerCombined[[#This Row],[ID]], Table2[ID],Table2[Pilot], "Not Found", 0 )</f>
        <v>0</v>
      </c>
      <c r="Y1936" s="8">
        <f>_xlfn.XLOOKUP(CustomerCombined[[#This Row],[ID]], Table2[ID],Table2[MC1], "Not Found", 0 )</f>
        <v>0</v>
      </c>
      <c r="Z1936" s="8">
        <f>_xlfn.XLOOKUP(CustomerCombined[[#This Row],[ID]], Table2[ID],Table2[MC2], "Not Found", 0 )</f>
        <v>0</v>
      </c>
      <c r="AA1936" s="8">
        <f>_xlfn.XLOOKUP(CustomerCombined[[#This Row],[ID]], Table2[ID],Table2[MC3], "Not Found", 0 )</f>
        <v>0</v>
      </c>
      <c r="AB1936" s="8">
        <f>_xlfn.XLOOKUP(CustomerCombined[[#This Row],[ID]], Table2[ID],Table2[MC4], "Not Found", 0 )</f>
        <v>0</v>
      </c>
      <c r="AC1936" s="8">
        <f>_xlfn.XLOOKUP(CustomerCombined[[#This Row],[ID]], Table2[ID],Table2[MC5], "Not Found", 0 )</f>
        <v>0</v>
      </c>
    </row>
    <row r="1937" spans="1:29" x14ac:dyDescent="0.3">
      <c r="A1937" s="6">
        <v>2814</v>
      </c>
      <c r="B1937" s="6">
        <v>157333</v>
      </c>
      <c r="C1937" s="6">
        <v>0</v>
      </c>
      <c r="D1937" s="6">
        <v>1</v>
      </c>
      <c r="E1937" s="6">
        <v>66</v>
      </c>
      <c r="F1937" s="5" t="s">
        <v>5</v>
      </c>
      <c r="G1937" s="5" t="s">
        <v>13</v>
      </c>
      <c r="H1937" s="3" t="s">
        <v>389</v>
      </c>
      <c r="I1937" s="5" t="s">
        <v>436</v>
      </c>
      <c r="J1937" s="5">
        <f>_xlfn.XLOOKUP(CustomerCombined[[#This Row],[ID]], Table4[ID], Table4[Recency], "Not Found", 0)</f>
        <v>55</v>
      </c>
      <c r="K1937" s="5">
        <f>_xlfn.XLOOKUP(CustomerCombined[[#This Row],[ID]], Table4[ID], Table4[Teas], "Not Found", 0)</f>
        <v>2582</v>
      </c>
      <c r="L1937" s="5">
        <f>_xlfn.XLOOKUP(CustomerCombined[[#This Row],[ID]], Table4[ID], Table4[Fruits], "Not Found", 0)</f>
        <v>38</v>
      </c>
      <c r="M1937" s="5">
        <f>_xlfn.XLOOKUP(CustomerCombined[[#This Row],[ID]], Table4[ID], Table4[Meats], "Not Found", 0)</f>
        <v>1089</v>
      </c>
      <c r="N1937" s="5">
        <f>_xlfn.XLOOKUP(CustomerCombined[[#This Row],[ID]], Table4[ID], Table4[Seafood], "Not Found", 0)</f>
        <v>209</v>
      </c>
      <c r="O1937" s="5">
        <f>_xlfn.XLOOKUP(CustomerCombined[[#This Row],[ID]], Table4[ID], Table4[Sweets], "Not Found", 0)</f>
        <v>159</v>
      </c>
      <c r="P1937" s="5">
        <f>_xlfn.XLOOKUP(CustomerCombined[[#This Row],[ID]], Table4[ID], Table4[Premium], "Not Found", 0)</f>
        <v>483</v>
      </c>
      <c r="Q1937" s="5">
        <f>_xlfn.XLOOKUP(CustomerCombined[[#This Row],[ID]], Table4[ID], Table4[Regular], "Not Found", 0)</f>
        <v>3595</v>
      </c>
      <c r="R1937" s="5">
        <f>_xlfn.XLOOKUP(CustomerCombined[[#This Row],[ID]], Table4[ID], Table4[Deals], "Not Found", 0)</f>
        <v>11</v>
      </c>
      <c r="S1937" s="5">
        <f>_xlfn.XLOOKUP(CustomerCombined[[#This Row],[ID]], Table4[ID], Table4[Website], "Not Found", 0)</f>
        <v>8</v>
      </c>
      <c r="T1937" s="5">
        <f>_xlfn.XLOOKUP(CustomerCombined[[#This Row],[ID]], Table4[ID], Table4[Catalog], "Not Found", 0)</f>
        <v>5</v>
      </c>
      <c r="U1937" s="5">
        <f>_xlfn.XLOOKUP(CustomerCombined[[#This Row],[ID]], Table4[ID], Table4[Store], "Not Found", 0)</f>
        <v>9</v>
      </c>
      <c r="V1937" s="5">
        <f>_xlfn.XLOOKUP(CustomerCombined[[#This Row],[ID]], Table4[ID], Table4[Visits], "Not Found", 0)</f>
        <v>6</v>
      </c>
      <c r="W1937" s="8">
        <f>_xlfn.XLOOKUP(CustomerCombined[[#This Row],[ID]], Table2[ID],Table2[Complaint], "Not Found", 0 )</f>
        <v>0</v>
      </c>
      <c r="X1937" s="8">
        <f>_xlfn.XLOOKUP(CustomerCombined[[#This Row],[ID]], Table2[ID],Table2[Pilot], "Not Found", 0 )</f>
        <v>1</v>
      </c>
      <c r="Y1937" s="8">
        <f>_xlfn.XLOOKUP(CustomerCombined[[#This Row],[ID]], Table2[ID],Table2[MC1], "Not Found", 0 )</f>
        <v>0</v>
      </c>
      <c r="Z1937" s="8">
        <f>_xlfn.XLOOKUP(CustomerCombined[[#This Row],[ID]], Table2[ID],Table2[MC2], "Not Found", 0 )</f>
        <v>0</v>
      </c>
      <c r="AA1937" s="8">
        <f>_xlfn.XLOOKUP(CustomerCombined[[#This Row],[ID]], Table2[ID],Table2[MC3], "Not Found", 0 )</f>
        <v>0</v>
      </c>
      <c r="AB1937" s="8">
        <f>_xlfn.XLOOKUP(CustomerCombined[[#This Row],[ID]], Table2[ID],Table2[MC4], "Not Found", 0 )</f>
        <v>0</v>
      </c>
      <c r="AC1937" s="8">
        <f>_xlfn.XLOOKUP(CustomerCombined[[#This Row],[ID]], Table2[ID],Table2[MC5], "Not Found", 0 )</f>
        <v>0</v>
      </c>
    </row>
    <row r="1938" spans="1:29" x14ac:dyDescent="0.3">
      <c r="A1938" s="6">
        <v>1960</v>
      </c>
      <c r="B1938" s="6">
        <v>153103</v>
      </c>
      <c r="C1938" s="6">
        <v>0</v>
      </c>
      <c r="D1938" s="6">
        <v>1</v>
      </c>
      <c r="E1938" s="6">
        <v>66</v>
      </c>
      <c r="F1938" s="5" t="s">
        <v>8</v>
      </c>
      <c r="G1938" s="5" t="s">
        <v>11</v>
      </c>
      <c r="H1938" s="3" t="s">
        <v>187</v>
      </c>
      <c r="I1938" s="5" t="s">
        <v>439</v>
      </c>
      <c r="J1938" s="5">
        <f>_xlfn.XLOOKUP(CustomerCombined[[#This Row],[ID]], Table4[ID], Table4[Recency], "Not Found", 0)</f>
        <v>70</v>
      </c>
      <c r="K1938" s="5">
        <f>_xlfn.XLOOKUP(CustomerCombined[[#This Row],[ID]], Table4[ID], Table4[Teas], "Not Found", 0)</f>
        <v>2102</v>
      </c>
      <c r="L1938" s="5">
        <f>_xlfn.XLOOKUP(CustomerCombined[[#This Row],[ID]], Table4[ID], Table4[Fruits], "Not Found", 0)</f>
        <v>49</v>
      </c>
      <c r="M1938" s="5">
        <f>_xlfn.XLOOKUP(CustomerCombined[[#This Row],[ID]], Table4[ID], Table4[Meats], "Not Found", 0)</f>
        <v>383</v>
      </c>
      <c r="N1938" s="5">
        <f>_xlfn.XLOOKUP(CustomerCombined[[#This Row],[ID]], Table4[ID], Table4[Seafood], "Not Found", 0)</f>
        <v>32</v>
      </c>
      <c r="O1938" s="5">
        <f>_xlfn.XLOOKUP(CustomerCombined[[#This Row],[ID]], Table4[ID], Table4[Sweets], "Not Found", 0)</f>
        <v>0</v>
      </c>
      <c r="P1938" s="5">
        <f>_xlfn.XLOOKUP(CustomerCombined[[#This Row],[ID]], Table4[ID], Table4[Premium], "Not Found", 0)</f>
        <v>562</v>
      </c>
      <c r="Q1938" s="5">
        <f>_xlfn.XLOOKUP(CustomerCombined[[#This Row],[ID]], Table4[ID], Table4[Regular], "Not Found", 0)</f>
        <v>2004</v>
      </c>
      <c r="R1938" s="5">
        <f>_xlfn.XLOOKUP(CustomerCombined[[#This Row],[ID]], Table4[ID], Table4[Deals], "Not Found", 0)</f>
        <v>5</v>
      </c>
      <c r="S1938" s="5">
        <f>_xlfn.XLOOKUP(CustomerCombined[[#This Row],[ID]], Table4[ID], Table4[Website], "Not Found", 0)</f>
        <v>10</v>
      </c>
      <c r="T1938" s="5">
        <f>_xlfn.XLOOKUP(CustomerCombined[[#This Row],[ID]], Table4[ID], Table4[Catalog], "Not Found", 0)</f>
        <v>6</v>
      </c>
      <c r="U1938" s="5">
        <f>_xlfn.XLOOKUP(CustomerCombined[[#This Row],[ID]], Table4[ID], Table4[Store], "Not Found", 0)</f>
        <v>7</v>
      </c>
      <c r="V1938" s="5">
        <f>_xlfn.XLOOKUP(CustomerCombined[[#This Row],[ID]], Table4[ID], Table4[Visits], "Not Found", 0)</f>
        <v>7</v>
      </c>
      <c r="W1938" s="8">
        <f>_xlfn.XLOOKUP(CustomerCombined[[#This Row],[ID]], Table2[ID],Table2[Complaint], "Not Found", 0 )</f>
        <v>0</v>
      </c>
      <c r="X1938" s="8">
        <f>_xlfn.XLOOKUP(CustomerCombined[[#This Row],[ID]], Table2[ID],Table2[Pilot], "Not Found", 0 )</f>
        <v>0</v>
      </c>
      <c r="Y1938" s="8">
        <f>_xlfn.XLOOKUP(CustomerCombined[[#This Row],[ID]], Table2[ID],Table2[MC1], "Not Found", 0 )</f>
        <v>0</v>
      </c>
      <c r="Z1938" s="8">
        <f>_xlfn.XLOOKUP(CustomerCombined[[#This Row],[ID]], Table2[ID],Table2[MC2], "Not Found", 0 )</f>
        <v>0</v>
      </c>
      <c r="AA1938" s="8">
        <f>_xlfn.XLOOKUP(CustomerCombined[[#This Row],[ID]], Table2[ID],Table2[MC3], "Not Found", 0 )</f>
        <v>1</v>
      </c>
      <c r="AB1938" s="8">
        <f>_xlfn.XLOOKUP(CustomerCombined[[#This Row],[ID]], Table2[ID],Table2[MC4], "Not Found", 0 )</f>
        <v>0</v>
      </c>
      <c r="AC1938" s="8">
        <f>_xlfn.XLOOKUP(CustomerCombined[[#This Row],[ID]], Table2[ID],Table2[MC5], "Not Found", 0 )</f>
        <v>0</v>
      </c>
    </row>
    <row r="1939" spans="1:29" x14ac:dyDescent="0.3">
      <c r="A1939" s="6">
        <v>3205</v>
      </c>
      <c r="B1939" s="6">
        <v>152869</v>
      </c>
      <c r="C1939" s="6">
        <v>1</v>
      </c>
      <c r="D1939" s="6">
        <v>1</v>
      </c>
      <c r="E1939" s="6">
        <v>66</v>
      </c>
      <c r="F1939" s="5" t="s">
        <v>6</v>
      </c>
      <c r="G1939" s="5" t="s">
        <v>13</v>
      </c>
      <c r="H1939" s="3" t="s">
        <v>379</v>
      </c>
      <c r="I1939" s="5" t="s">
        <v>437</v>
      </c>
      <c r="J1939" s="5">
        <f>_xlfn.XLOOKUP(CustomerCombined[[#This Row],[ID]], Table4[ID], Table4[Recency], "Not Found", 0)</f>
        <v>40</v>
      </c>
      <c r="K1939" s="5">
        <f>_xlfn.XLOOKUP(CustomerCombined[[#This Row],[ID]], Table4[ID], Table4[Teas], "Not Found", 0)</f>
        <v>243</v>
      </c>
      <c r="L1939" s="5">
        <f>_xlfn.XLOOKUP(CustomerCombined[[#This Row],[ID]], Table4[ID], Table4[Fruits], "Not Found", 0)</f>
        <v>9</v>
      </c>
      <c r="M1939" s="5">
        <f>_xlfn.XLOOKUP(CustomerCombined[[#This Row],[ID]], Table4[ID], Table4[Meats], "Not Found", 0)</f>
        <v>176</v>
      </c>
      <c r="N1939" s="5">
        <f>_xlfn.XLOOKUP(CustomerCombined[[#This Row],[ID]], Table4[ID], Table4[Seafood], "Not Found", 0)</f>
        <v>6</v>
      </c>
      <c r="O1939" s="5">
        <f>_xlfn.XLOOKUP(CustomerCombined[[#This Row],[ID]], Table4[ID], Table4[Sweets], "Not Found", 0)</f>
        <v>3</v>
      </c>
      <c r="P1939" s="5">
        <f>_xlfn.XLOOKUP(CustomerCombined[[#This Row],[ID]], Table4[ID], Table4[Premium], "Not Found", 0)</f>
        <v>61</v>
      </c>
      <c r="Q1939" s="5">
        <f>_xlfn.XLOOKUP(CustomerCombined[[#This Row],[ID]], Table4[ID], Table4[Regular], "Not Found", 0)</f>
        <v>376</v>
      </c>
      <c r="R1939" s="5">
        <f>_xlfn.XLOOKUP(CustomerCombined[[#This Row],[ID]], Table4[ID], Table4[Deals], "Not Found", 0)</f>
        <v>3</v>
      </c>
      <c r="S1939" s="5">
        <f>_xlfn.XLOOKUP(CustomerCombined[[#This Row],[ID]], Table4[ID], Table4[Website], "Not Found", 0)</f>
        <v>3</v>
      </c>
      <c r="T1939" s="5">
        <f>_xlfn.XLOOKUP(CustomerCombined[[#This Row],[ID]], Table4[ID], Table4[Catalog], "Not Found", 0)</f>
        <v>1</v>
      </c>
      <c r="U1939" s="5">
        <f>_xlfn.XLOOKUP(CustomerCombined[[#This Row],[ID]], Table4[ID], Table4[Store], "Not Found", 0)</f>
        <v>4</v>
      </c>
      <c r="V1939" s="5">
        <f>_xlfn.XLOOKUP(CustomerCombined[[#This Row],[ID]], Table4[ID], Table4[Visits], "Not Found", 0)</f>
        <v>7</v>
      </c>
      <c r="W1939" s="8">
        <f>_xlfn.XLOOKUP(CustomerCombined[[#This Row],[ID]], Table2[ID],Table2[Complaint], "Not Found", 0 )</f>
        <v>0</v>
      </c>
      <c r="X1939" s="8">
        <f>_xlfn.XLOOKUP(CustomerCombined[[#This Row],[ID]], Table2[ID],Table2[Pilot], "Not Found", 0 )</f>
        <v>1</v>
      </c>
      <c r="Y1939" s="8">
        <f>_xlfn.XLOOKUP(CustomerCombined[[#This Row],[ID]], Table2[ID],Table2[MC1], "Not Found", 0 )</f>
        <v>0</v>
      </c>
      <c r="Z1939" s="8">
        <f>_xlfn.XLOOKUP(CustomerCombined[[#This Row],[ID]], Table2[ID],Table2[MC2], "Not Found", 0 )</f>
        <v>0</v>
      </c>
      <c r="AA1939" s="8">
        <f>_xlfn.XLOOKUP(CustomerCombined[[#This Row],[ID]], Table2[ID],Table2[MC3], "Not Found", 0 )</f>
        <v>0</v>
      </c>
      <c r="AB1939" s="8">
        <f>_xlfn.XLOOKUP(CustomerCombined[[#This Row],[ID]], Table2[ID],Table2[MC4], "Not Found", 0 )</f>
        <v>0</v>
      </c>
      <c r="AC1939" s="8">
        <f>_xlfn.XLOOKUP(CustomerCombined[[#This Row],[ID]], Table2[ID],Table2[MC5], "Not Found", 0 )</f>
        <v>0</v>
      </c>
    </row>
    <row r="1940" spans="1:29" x14ac:dyDescent="0.3">
      <c r="A1940" s="6">
        <v>3166</v>
      </c>
      <c r="B1940" s="6">
        <v>150501</v>
      </c>
      <c r="C1940" s="6">
        <v>1</v>
      </c>
      <c r="D1940" s="6">
        <v>1</v>
      </c>
      <c r="E1940" s="6">
        <v>66</v>
      </c>
      <c r="F1940" s="5" t="s">
        <v>6</v>
      </c>
      <c r="G1940" s="5" t="s">
        <v>11</v>
      </c>
      <c r="H1940" s="3" t="s">
        <v>235</v>
      </c>
      <c r="I1940" s="5" t="s">
        <v>439</v>
      </c>
      <c r="J1940" s="5">
        <f>_xlfn.XLOOKUP(CustomerCombined[[#This Row],[ID]], Table4[ID], Table4[Recency], "Not Found", 0)</f>
        <v>10</v>
      </c>
      <c r="K1940" s="5">
        <f>_xlfn.XLOOKUP(CustomerCombined[[#This Row],[ID]], Table4[ID], Table4[Teas], "Not Found", 0)</f>
        <v>885</v>
      </c>
      <c r="L1940" s="5">
        <f>_xlfn.XLOOKUP(CustomerCombined[[#This Row],[ID]], Table4[ID], Table4[Fruits], "Not Found", 0)</f>
        <v>0</v>
      </c>
      <c r="M1940" s="5">
        <f>_xlfn.XLOOKUP(CustomerCombined[[#This Row],[ID]], Table4[ID], Table4[Meats], "Not Found", 0)</f>
        <v>113</v>
      </c>
      <c r="N1940" s="5">
        <f>_xlfn.XLOOKUP(CustomerCombined[[#This Row],[ID]], Table4[ID], Table4[Seafood], "Not Found", 0)</f>
        <v>39</v>
      </c>
      <c r="O1940" s="5">
        <f>_xlfn.XLOOKUP(CustomerCombined[[#This Row],[ID]], Table4[ID], Table4[Sweets], "Not Found", 0)</f>
        <v>0</v>
      </c>
      <c r="P1940" s="5">
        <f>_xlfn.XLOOKUP(CustomerCombined[[#This Row],[ID]], Table4[ID], Table4[Premium], "Not Found", 0)</f>
        <v>453</v>
      </c>
      <c r="Q1940" s="5">
        <f>_xlfn.XLOOKUP(CustomerCombined[[#This Row],[ID]], Table4[ID], Table4[Regular], "Not Found", 0)</f>
        <v>584</v>
      </c>
      <c r="R1940" s="5">
        <f>_xlfn.XLOOKUP(CustomerCombined[[#This Row],[ID]], Table4[ID], Table4[Deals], "Not Found", 0)</f>
        <v>7</v>
      </c>
      <c r="S1940" s="5">
        <f>_xlfn.XLOOKUP(CustomerCombined[[#This Row],[ID]], Table4[ID], Table4[Website], "Not Found", 0)</f>
        <v>5</v>
      </c>
      <c r="T1940" s="5">
        <f>_xlfn.XLOOKUP(CustomerCombined[[#This Row],[ID]], Table4[ID], Table4[Catalog], "Not Found", 0)</f>
        <v>4</v>
      </c>
      <c r="U1940" s="5">
        <f>_xlfn.XLOOKUP(CustomerCombined[[#This Row],[ID]], Table4[ID], Table4[Store], "Not Found", 0)</f>
        <v>4</v>
      </c>
      <c r="V1940" s="5">
        <f>_xlfn.XLOOKUP(CustomerCombined[[#This Row],[ID]], Table4[ID], Table4[Visits], "Not Found", 0)</f>
        <v>6</v>
      </c>
      <c r="W1940" s="8">
        <f>_xlfn.XLOOKUP(CustomerCombined[[#This Row],[ID]], Table2[ID],Table2[Complaint], "Not Found", 0 )</f>
        <v>0</v>
      </c>
      <c r="X1940" s="8">
        <f>_xlfn.XLOOKUP(CustomerCombined[[#This Row],[ID]], Table2[ID],Table2[Pilot], "Not Found", 0 )</f>
        <v>1</v>
      </c>
      <c r="Y1940" s="8">
        <f>_xlfn.XLOOKUP(CustomerCombined[[#This Row],[ID]], Table2[ID],Table2[MC1], "Not Found", 0 )</f>
        <v>0</v>
      </c>
      <c r="Z1940" s="8">
        <f>_xlfn.XLOOKUP(CustomerCombined[[#This Row],[ID]], Table2[ID],Table2[MC2], "Not Found", 0 )</f>
        <v>0</v>
      </c>
      <c r="AA1940" s="8">
        <f>_xlfn.XLOOKUP(CustomerCombined[[#This Row],[ID]], Table2[ID],Table2[MC3], "Not Found", 0 )</f>
        <v>1</v>
      </c>
      <c r="AB1940" s="8">
        <f>_xlfn.XLOOKUP(CustomerCombined[[#This Row],[ID]], Table2[ID],Table2[MC4], "Not Found", 0 )</f>
        <v>0</v>
      </c>
      <c r="AC1940" s="8">
        <f>_xlfn.XLOOKUP(CustomerCombined[[#This Row],[ID]], Table2[ID],Table2[MC5], "Not Found", 0 )</f>
        <v>0</v>
      </c>
    </row>
    <row r="1941" spans="1:29" x14ac:dyDescent="0.3">
      <c r="A1941" s="6">
        <v>2612</v>
      </c>
      <c r="B1941" s="6">
        <v>150002</v>
      </c>
      <c r="C1941" s="6">
        <v>0</v>
      </c>
      <c r="D1941" s="6">
        <v>1</v>
      </c>
      <c r="E1941" s="6">
        <v>66</v>
      </c>
      <c r="F1941" s="5" t="s">
        <v>5</v>
      </c>
      <c r="G1941" s="5" t="s">
        <v>11</v>
      </c>
      <c r="H1941" s="3" t="s">
        <v>236</v>
      </c>
      <c r="I1941" s="5" t="s">
        <v>438</v>
      </c>
      <c r="J1941" s="5">
        <f>_xlfn.XLOOKUP(CustomerCombined[[#This Row],[ID]], Table4[ID], Table4[Recency], "Not Found", 0)</f>
        <v>21</v>
      </c>
      <c r="K1941" s="5">
        <f>_xlfn.XLOOKUP(CustomerCombined[[#This Row],[ID]], Table4[ID], Table4[Teas], "Not Found", 0)</f>
        <v>1329</v>
      </c>
      <c r="L1941" s="5">
        <f>_xlfn.XLOOKUP(CustomerCombined[[#This Row],[ID]], Table4[ID], Table4[Fruits], "Not Found", 0)</f>
        <v>15</v>
      </c>
      <c r="M1941" s="5">
        <f>_xlfn.XLOOKUP(CustomerCombined[[#This Row],[ID]], Table4[ID], Table4[Meats], "Not Found", 0)</f>
        <v>213</v>
      </c>
      <c r="N1941" s="5">
        <f>_xlfn.XLOOKUP(CustomerCombined[[#This Row],[ID]], Table4[ID], Table4[Seafood], "Not Found", 0)</f>
        <v>63</v>
      </c>
      <c r="O1941" s="5">
        <f>_xlfn.XLOOKUP(CustomerCombined[[#This Row],[ID]], Table4[ID], Table4[Sweets], "Not Found", 0)</f>
        <v>48</v>
      </c>
      <c r="P1941" s="5">
        <f>_xlfn.XLOOKUP(CustomerCombined[[#This Row],[ID]], Table4[ID], Table4[Premium], "Not Found", 0)</f>
        <v>246</v>
      </c>
      <c r="Q1941" s="5">
        <f>_xlfn.XLOOKUP(CustomerCombined[[#This Row],[ID]], Table4[ID], Table4[Regular], "Not Found", 0)</f>
        <v>1422</v>
      </c>
      <c r="R1941" s="5">
        <f>_xlfn.XLOOKUP(CustomerCombined[[#This Row],[ID]], Table4[ID], Table4[Deals], "Not Found", 0)</f>
        <v>2</v>
      </c>
      <c r="S1941" s="5">
        <f>_xlfn.XLOOKUP(CustomerCombined[[#This Row],[ID]], Table4[ID], Table4[Website], "Not Found", 0)</f>
        <v>8</v>
      </c>
      <c r="T1941" s="5">
        <f>_xlfn.XLOOKUP(CustomerCombined[[#This Row],[ID]], Table4[ID], Table4[Catalog], "Not Found", 0)</f>
        <v>2</v>
      </c>
      <c r="U1941" s="5">
        <f>_xlfn.XLOOKUP(CustomerCombined[[#This Row],[ID]], Table4[ID], Table4[Store], "Not Found", 0)</f>
        <v>7</v>
      </c>
      <c r="V1941" s="5">
        <f>_xlfn.XLOOKUP(CustomerCombined[[#This Row],[ID]], Table4[ID], Table4[Visits], "Not Found", 0)</f>
        <v>7</v>
      </c>
      <c r="W1941" s="8">
        <f>_xlfn.XLOOKUP(CustomerCombined[[#This Row],[ID]], Table2[ID],Table2[Complaint], "Not Found", 0 )</f>
        <v>0</v>
      </c>
      <c r="X1941" s="8">
        <f>_xlfn.XLOOKUP(CustomerCombined[[#This Row],[ID]], Table2[ID],Table2[Pilot], "Not Found", 0 )</f>
        <v>0</v>
      </c>
      <c r="Y1941" s="8">
        <f>_xlfn.XLOOKUP(CustomerCombined[[#This Row],[ID]], Table2[ID],Table2[MC1], "Not Found", 0 )</f>
        <v>0</v>
      </c>
      <c r="Z1941" s="8">
        <f>_xlfn.XLOOKUP(CustomerCombined[[#This Row],[ID]], Table2[ID],Table2[MC2], "Not Found", 0 )</f>
        <v>0</v>
      </c>
      <c r="AA1941" s="8">
        <f>_xlfn.XLOOKUP(CustomerCombined[[#This Row],[ID]], Table2[ID],Table2[MC3], "Not Found", 0 )</f>
        <v>0</v>
      </c>
      <c r="AB1941" s="8">
        <f>_xlfn.XLOOKUP(CustomerCombined[[#This Row],[ID]], Table2[ID],Table2[MC4], "Not Found", 0 )</f>
        <v>0</v>
      </c>
      <c r="AC1941" s="8">
        <f>_xlfn.XLOOKUP(CustomerCombined[[#This Row],[ID]], Table2[ID],Table2[MC5], "Not Found", 0 )</f>
        <v>0</v>
      </c>
    </row>
    <row r="1942" spans="1:29" x14ac:dyDescent="0.3">
      <c r="A1942" s="6">
        <v>2105</v>
      </c>
      <c r="B1942" s="6">
        <v>146734</v>
      </c>
      <c r="C1942" s="6">
        <v>0</v>
      </c>
      <c r="D1942" s="6">
        <v>1</v>
      </c>
      <c r="E1942" s="6">
        <v>66</v>
      </c>
      <c r="F1942" s="5" t="s">
        <v>6</v>
      </c>
      <c r="G1942" s="5" t="s">
        <v>11</v>
      </c>
      <c r="H1942" s="3" t="s">
        <v>358</v>
      </c>
      <c r="I1942" s="5" t="s">
        <v>434</v>
      </c>
      <c r="J1942" s="5">
        <f>_xlfn.XLOOKUP(CustomerCombined[[#This Row],[ID]], Table4[ID], Table4[Recency], "Not Found", 0)</f>
        <v>40</v>
      </c>
      <c r="K1942" s="5">
        <f>_xlfn.XLOOKUP(CustomerCombined[[#This Row],[ID]], Table4[ID], Table4[Teas], "Not Found", 0)</f>
        <v>345</v>
      </c>
      <c r="L1942" s="5">
        <f>_xlfn.XLOOKUP(CustomerCombined[[#This Row],[ID]], Table4[ID], Table4[Fruits], "Not Found", 0)</f>
        <v>16</v>
      </c>
      <c r="M1942" s="5">
        <f>_xlfn.XLOOKUP(CustomerCombined[[#This Row],[ID]], Table4[ID], Table4[Meats], "Not Found", 0)</f>
        <v>430</v>
      </c>
      <c r="N1942" s="5">
        <f>_xlfn.XLOOKUP(CustomerCombined[[#This Row],[ID]], Table4[ID], Table4[Seafood], "Not Found", 0)</f>
        <v>82</v>
      </c>
      <c r="O1942" s="5">
        <f>_xlfn.XLOOKUP(CustomerCombined[[#This Row],[ID]], Table4[ID], Table4[Sweets], "Not Found", 0)</f>
        <v>72</v>
      </c>
      <c r="P1942" s="5">
        <f>_xlfn.XLOOKUP(CustomerCombined[[#This Row],[ID]], Table4[ID], Table4[Premium], "Not Found", 0)</f>
        <v>91</v>
      </c>
      <c r="Q1942" s="5">
        <f>_xlfn.XLOOKUP(CustomerCombined[[#This Row],[ID]], Table4[ID], Table4[Regular], "Not Found", 0)</f>
        <v>854</v>
      </c>
      <c r="R1942" s="5">
        <f>_xlfn.XLOOKUP(CustomerCombined[[#This Row],[ID]], Table4[ID], Table4[Deals], "Not Found", 0)</f>
        <v>2</v>
      </c>
      <c r="S1942" s="5">
        <f>_xlfn.XLOOKUP(CustomerCombined[[#This Row],[ID]], Table4[ID], Table4[Website], "Not Found", 0)</f>
        <v>6</v>
      </c>
      <c r="T1942" s="5">
        <f>_xlfn.XLOOKUP(CustomerCombined[[#This Row],[ID]], Table4[ID], Table4[Catalog], "Not Found", 0)</f>
        <v>1</v>
      </c>
      <c r="U1942" s="5">
        <f>_xlfn.XLOOKUP(CustomerCombined[[#This Row],[ID]], Table4[ID], Table4[Store], "Not Found", 0)</f>
        <v>5</v>
      </c>
      <c r="V1942" s="5">
        <f>_xlfn.XLOOKUP(CustomerCombined[[#This Row],[ID]], Table4[ID], Table4[Visits], "Not Found", 0)</f>
        <v>7</v>
      </c>
      <c r="W1942" s="8">
        <f>_xlfn.XLOOKUP(CustomerCombined[[#This Row],[ID]], Table2[ID],Table2[Complaint], "Not Found", 0 )</f>
        <v>0</v>
      </c>
      <c r="X1942" s="8">
        <f>_xlfn.XLOOKUP(CustomerCombined[[#This Row],[ID]], Table2[ID],Table2[Pilot], "Not Found", 0 )</f>
        <v>0</v>
      </c>
      <c r="Y1942" s="8">
        <f>_xlfn.XLOOKUP(CustomerCombined[[#This Row],[ID]], Table2[ID],Table2[MC1], "Not Found", 0 )</f>
        <v>0</v>
      </c>
      <c r="Z1942" s="8">
        <f>_xlfn.XLOOKUP(CustomerCombined[[#This Row],[ID]], Table2[ID],Table2[MC2], "Not Found", 0 )</f>
        <v>0</v>
      </c>
      <c r="AA1942" s="8">
        <f>_xlfn.XLOOKUP(CustomerCombined[[#This Row],[ID]], Table2[ID],Table2[MC3], "Not Found", 0 )</f>
        <v>0</v>
      </c>
      <c r="AB1942" s="8">
        <f>_xlfn.XLOOKUP(CustomerCombined[[#This Row],[ID]], Table2[ID],Table2[MC4], "Not Found", 0 )</f>
        <v>0</v>
      </c>
      <c r="AC1942" s="8">
        <f>_xlfn.XLOOKUP(CustomerCombined[[#This Row],[ID]], Table2[ID],Table2[MC5], "Not Found", 0 )</f>
        <v>0</v>
      </c>
    </row>
    <row r="1943" spans="1:29" x14ac:dyDescent="0.3">
      <c r="A1943" s="6">
        <v>1002</v>
      </c>
      <c r="B1943" s="6">
        <v>146344</v>
      </c>
      <c r="C1943" s="6">
        <v>1</v>
      </c>
      <c r="D1943" s="6">
        <v>1</v>
      </c>
      <c r="E1943" s="6">
        <v>66</v>
      </c>
      <c r="F1943" s="5" t="s">
        <v>7</v>
      </c>
      <c r="G1943" s="5" t="s">
        <v>11</v>
      </c>
      <c r="H1943" s="3">
        <v>44173</v>
      </c>
      <c r="I1943" s="5" t="s">
        <v>436</v>
      </c>
      <c r="J1943" s="5">
        <f>_xlfn.XLOOKUP(CustomerCombined[[#This Row],[ID]], Table4[ID], Table4[Recency], "Not Found", 0)</f>
        <v>38</v>
      </c>
      <c r="K1943" s="5">
        <f>_xlfn.XLOOKUP(CustomerCombined[[#This Row],[ID]], Table4[ID], Table4[Teas], "Not Found", 0)</f>
        <v>35</v>
      </c>
      <c r="L1943" s="5">
        <f>_xlfn.XLOOKUP(CustomerCombined[[#This Row],[ID]], Table4[ID], Table4[Fruits], "Not Found", 0)</f>
        <v>3</v>
      </c>
      <c r="M1943" s="5">
        <f>_xlfn.XLOOKUP(CustomerCombined[[#This Row],[ID]], Table4[ID], Table4[Meats], "Not Found", 0)</f>
        <v>19</v>
      </c>
      <c r="N1943" s="5">
        <f>_xlfn.XLOOKUP(CustomerCombined[[#This Row],[ID]], Table4[ID], Table4[Seafood], "Not Found", 0)</f>
        <v>6</v>
      </c>
      <c r="O1943" s="5">
        <f>_xlfn.XLOOKUP(CustomerCombined[[#This Row],[ID]], Table4[ID], Table4[Sweets], "Not Found", 0)</f>
        <v>3</v>
      </c>
      <c r="P1943" s="5">
        <f>_xlfn.XLOOKUP(CustomerCombined[[#This Row],[ID]], Table4[ID], Table4[Premium], "Not Found", 0)</f>
        <v>19</v>
      </c>
      <c r="Q1943" s="5">
        <f>_xlfn.XLOOKUP(CustomerCombined[[#This Row],[ID]], Table4[ID], Table4[Regular], "Not Found", 0)</f>
        <v>47</v>
      </c>
      <c r="R1943" s="5">
        <f>_xlfn.XLOOKUP(CustomerCombined[[#This Row],[ID]], Table4[ID], Table4[Deals], "Not Found", 0)</f>
        <v>2</v>
      </c>
      <c r="S1943" s="5">
        <f>_xlfn.XLOOKUP(CustomerCombined[[#This Row],[ID]], Table4[ID], Table4[Website], "Not Found", 0)</f>
        <v>1</v>
      </c>
      <c r="T1943" s="5">
        <f>_xlfn.XLOOKUP(CustomerCombined[[#This Row],[ID]], Table4[ID], Table4[Catalog], "Not Found", 0)</f>
        <v>1</v>
      </c>
      <c r="U1943" s="5">
        <f>_xlfn.XLOOKUP(CustomerCombined[[#This Row],[ID]], Table4[ID], Table4[Store], "Not Found", 0)</f>
        <v>2</v>
      </c>
      <c r="V1943" s="5">
        <f>_xlfn.XLOOKUP(CustomerCombined[[#This Row],[ID]], Table4[ID], Table4[Visits], "Not Found", 0)</f>
        <v>5</v>
      </c>
      <c r="W1943" s="8">
        <f>_xlfn.XLOOKUP(CustomerCombined[[#This Row],[ID]], Table2[ID],Table2[Complaint], "Not Found", 0 )</f>
        <v>0</v>
      </c>
      <c r="X1943" s="8">
        <f>_xlfn.XLOOKUP(CustomerCombined[[#This Row],[ID]], Table2[ID],Table2[Pilot], "Not Found", 0 )</f>
        <v>0</v>
      </c>
      <c r="Y1943" s="8">
        <f>_xlfn.XLOOKUP(CustomerCombined[[#This Row],[ID]], Table2[ID],Table2[MC1], "Not Found", 0 )</f>
        <v>0</v>
      </c>
      <c r="Z1943" s="8">
        <f>_xlfn.XLOOKUP(CustomerCombined[[#This Row],[ID]], Table2[ID],Table2[MC2], "Not Found", 0 )</f>
        <v>0</v>
      </c>
      <c r="AA1943" s="8">
        <f>_xlfn.XLOOKUP(CustomerCombined[[#This Row],[ID]], Table2[ID],Table2[MC3], "Not Found", 0 )</f>
        <v>0</v>
      </c>
      <c r="AB1943" s="8">
        <f>_xlfn.XLOOKUP(CustomerCombined[[#This Row],[ID]], Table2[ID],Table2[MC4], "Not Found", 0 )</f>
        <v>0</v>
      </c>
      <c r="AC1943" s="8">
        <f>_xlfn.XLOOKUP(CustomerCombined[[#This Row],[ID]], Table2[ID],Table2[MC5], "Not Found", 0 )</f>
        <v>0</v>
      </c>
    </row>
    <row r="1944" spans="1:29" x14ac:dyDescent="0.3">
      <c r="A1944" s="6">
        <v>3083</v>
      </c>
      <c r="B1944" s="6">
        <v>145736</v>
      </c>
      <c r="C1944" s="6">
        <v>0</v>
      </c>
      <c r="D1944" s="6">
        <v>1</v>
      </c>
      <c r="E1944" s="6">
        <v>66</v>
      </c>
      <c r="F1944" s="5" t="s">
        <v>6</v>
      </c>
      <c r="G1944" s="5" t="s">
        <v>12</v>
      </c>
      <c r="H1944" s="3" t="s">
        <v>212</v>
      </c>
      <c r="I1944" s="5" t="s">
        <v>434</v>
      </c>
      <c r="J1944" s="5">
        <f>_xlfn.XLOOKUP(CustomerCombined[[#This Row],[ID]], Table4[ID], Table4[Recency], "Not Found", 0)</f>
        <v>92</v>
      </c>
      <c r="K1944" s="5">
        <f>_xlfn.XLOOKUP(CustomerCombined[[#This Row],[ID]], Table4[ID], Table4[Teas], "Not Found", 0)</f>
        <v>599</v>
      </c>
      <c r="L1944" s="5">
        <f>_xlfn.XLOOKUP(CustomerCombined[[#This Row],[ID]], Table4[ID], Table4[Fruits], "Not Found", 0)</f>
        <v>10</v>
      </c>
      <c r="M1944" s="5">
        <f>_xlfn.XLOOKUP(CustomerCombined[[#This Row],[ID]], Table4[ID], Table4[Meats], "Not Found", 0)</f>
        <v>574</v>
      </c>
      <c r="N1944" s="5">
        <f>_xlfn.XLOOKUP(CustomerCombined[[#This Row],[ID]], Table4[ID], Table4[Seafood], "Not Found", 0)</f>
        <v>64</v>
      </c>
      <c r="O1944" s="5">
        <f>_xlfn.XLOOKUP(CustomerCombined[[#This Row],[ID]], Table4[ID], Table4[Sweets], "Not Found", 0)</f>
        <v>10</v>
      </c>
      <c r="P1944" s="5">
        <f>_xlfn.XLOOKUP(CustomerCombined[[#This Row],[ID]], Table4[ID], Table4[Premium], "Not Found", 0)</f>
        <v>137</v>
      </c>
      <c r="Q1944" s="5">
        <f>_xlfn.XLOOKUP(CustomerCombined[[#This Row],[ID]], Table4[ID], Table4[Regular], "Not Found", 0)</f>
        <v>1118</v>
      </c>
      <c r="R1944" s="5">
        <f>_xlfn.XLOOKUP(CustomerCombined[[#This Row],[ID]], Table4[ID], Table4[Deals], "Not Found", 0)</f>
        <v>5</v>
      </c>
      <c r="S1944" s="5">
        <f>_xlfn.XLOOKUP(CustomerCombined[[#This Row],[ID]], Table4[ID], Table4[Website], "Not Found", 0)</f>
        <v>7</v>
      </c>
      <c r="T1944" s="5">
        <f>_xlfn.XLOOKUP(CustomerCombined[[#This Row],[ID]], Table4[ID], Table4[Catalog], "Not Found", 0)</f>
        <v>1</v>
      </c>
      <c r="U1944" s="5">
        <f>_xlfn.XLOOKUP(CustomerCombined[[#This Row],[ID]], Table4[ID], Table4[Store], "Not Found", 0)</f>
        <v>6</v>
      </c>
      <c r="V1944" s="5">
        <f>_xlfn.XLOOKUP(CustomerCombined[[#This Row],[ID]], Table4[ID], Table4[Visits], "Not Found", 0)</f>
        <v>7</v>
      </c>
      <c r="W1944" s="8">
        <f>_xlfn.XLOOKUP(CustomerCombined[[#This Row],[ID]], Table2[ID],Table2[Complaint], "Not Found", 0 )</f>
        <v>0</v>
      </c>
      <c r="X1944" s="8">
        <f>_xlfn.XLOOKUP(CustomerCombined[[#This Row],[ID]], Table2[ID],Table2[Pilot], "Not Found", 0 )</f>
        <v>0</v>
      </c>
      <c r="Y1944" s="8">
        <f>_xlfn.XLOOKUP(CustomerCombined[[#This Row],[ID]], Table2[ID],Table2[MC1], "Not Found", 0 )</f>
        <v>0</v>
      </c>
      <c r="Z1944" s="8">
        <f>_xlfn.XLOOKUP(CustomerCombined[[#This Row],[ID]], Table2[ID],Table2[MC2], "Not Found", 0 )</f>
        <v>0</v>
      </c>
      <c r="AA1944" s="8">
        <f>_xlfn.XLOOKUP(CustomerCombined[[#This Row],[ID]], Table2[ID],Table2[MC3], "Not Found", 0 )</f>
        <v>0</v>
      </c>
      <c r="AB1944" s="8">
        <f>_xlfn.XLOOKUP(CustomerCombined[[#This Row],[ID]], Table2[ID],Table2[MC4], "Not Found", 0 )</f>
        <v>0</v>
      </c>
      <c r="AC1944" s="8">
        <f>_xlfn.XLOOKUP(CustomerCombined[[#This Row],[ID]], Table2[ID],Table2[MC5], "Not Found", 0 )</f>
        <v>0</v>
      </c>
    </row>
    <row r="1945" spans="1:29" x14ac:dyDescent="0.3">
      <c r="A1945" s="6">
        <v>1206</v>
      </c>
      <c r="B1945" s="6">
        <v>144551</v>
      </c>
      <c r="C1945" s="6">
        <v>0</v>
      </c>
      <c r="D1945" s="6">
        <v>1</v>
      </c>
      <c r="E1945" s="6">
        <v>66</v>
      </c>
      <c r="F1945" s="5" t="s">
        <v>9</v>
      </c>
      <c r="G1945" s="5" t="s">
        <v>12</v>
      </c>
      <c r="H1945" s="3">
        <v>43953</v>
      </c>
      <c r="I1945" s="5" t="s">
        <v>436</v>
      </c>
      <c r="J1945" s="5">
        <f>_xlfn.XLOOKUP(CustomerCombined[[#This Row],[ID]], Table4[ID], Table4[Recency], "Not Found", 0)</f>
        <v>24</v>
      </c>
      <c r="K1945" s="5">
        <f>_xlfn.XLOOKUP(CustomerCombined[[#This Row],[ID]], Table4[ID], Table4[Teas], "Not Found", 0)</f>
        <v>591</v>
      </c>
      <c r="L1945" s="5">
        <f>_xlfn.XLOOKUP(CustomerCombined[[#This Row],[ID]], Table4[ID], Table4[Fruits], "Not Found", 0)</f>
        <v>13</v>
      </c>
      <c r="M1945" s="5">
        <f>_xlfn.XLOOKUP(CustomerCombined[[#This Row],[ID]], Table4[ID], Table4[Meats], "Not Found", 0)</f>
        <v>107</v>
      </c>
      <c r="N1945" s="5">
        <f>_xlfn.XLOOKUP(CustomerCombined[[#This Row],[ID]], Table4[ID], Table4[Seafood], "Not Found", 0)</f>
        <v>0</v>
      </c>
      <c r="O1945" s="5">
        <f>_xlfn.XLOOKUP(CustomerCombined[[#This Row],[ID]], Table4[ID], Table4[Sweets], "Not Found", 0)</f>
        <v>0</v>
      </c>
      <c r="P1945" s="5">
        <f>_xlfn.XLOOKUP(CustomerCombined[[#This Row],[ID]], Table4[ID], Table4[Premium], "Not Found", 0)</f>
        <v>214</v>
      </c>
      <c r="Q1945" s="5">
        <f>_xlfn.XLOOKUP(CustomerCombined[[#This Row],[ID]], Table4[ID], Table4[Regular], "Not Found", 0)</f>
        <v>496</v>
      </c>
      <c r="R1945" s="5">
        <f>_xlfn.XLOOKUP(CustomerCombined[[#This Row],[ID]], Table4[ID], Table4[Deals], "Not Found", 0)</f>
        <v>2</v>
      </c>
      <c r="S1945" s="5">
        <f>_xlfn.XLOOKUP(CustomerCombined[[#This Row],[ID]], Table4[ID], Table4[Website], "Not Found", 0)</f>
        <v>4</v>
      </c>
      <c r="T1945" s="5">
        <f>_xlfn.XLOOKUP(CustomerCombined[[#This Row],[ID]], Table4[ID], Table4[Catalog], "Not Found", 0)</f>
        <v>1</v>
      </c>
      <c r="U1945" s="5">
        <f>_xlfn.XLOOKUP(CustomerCombined[[#This Row],[ID]], Table4[ID], Table4[Store], "Not Found", 0)</f>
        <v>5</v>
      </c>
      <c r="V1945" s="5">
        <f>_xlfn.XLOOKUP(CustomerCombined[[#This Row],[ID]], Table4[ID], Table4[Visits], "Not Found", 0)</f>
        <v>7</v>
      </c>
      <c r="W1945" s="8">
        <f>_xlfn.XLOOKUP(CustomerCombined[[#This Row],[ID]], Table2[ID],Table2[Complaint], "Not Found", 0 )</f>
        <v>0</v>
      </c>
      <c r="X1945" s="8">
        <f>_xlfn.XLOOKUP(CustomerCombined[[#This Row],[ID]], Table2[ID],Table2[Pilot], "Not Found", 0 )</f>
        <v>0</v>
      </c>
      <c r="Y1945" s="8">
        <f>_xlfn.XLOOKUP(CustomerCombined[[#This Row],[ID]], Table2[ID],Table2[MC1], "Not Found", 0 )</f>
        <v>0</v>
      </c>
      <c r="Z1945" s="8">
        <f>_xlfn.XLOOKUP(CustomerCombined[[#This Row],[ID]], Table2[ID],Table2[MC2], "Not Found", 0 )</f>
        <v>0</v>
      </c>
      <c r="AA1945" s="8">
        <f>_xlfn.XLOOKUP(CustomerCombined[[#This Row],[ID]], Table2[ID],Table2[MC3], "Not Found", 0 )</f>
        <v>0</v>
      </c>
      <c r="AB1945" s="8">
        <f>_xlfn.XLOOKUP(CustomerCombined[[#This Row],[ID]], Table2[ID],Table2[MC4], "Not Found", 0 )</f>
        <v>0</v>
      </c>
      <c r="AC1945" s="8">
        <f>_xlfn.XLOOKUP(CustomerCombined[[#This Row],[ID]], Table2[ID],Table2[MC5], "Not Found", 0 )</f>
        <v>0</v>
      </c>
    </row>
    <row r="1946" spans="1:29" x14ac:dyDescent="0.3">
      <c r="A1946" s="6">
        <v>1899</v>
      </c>
      <c r="B1946" s="6">
        <v>142607</v>
      </c>
      <c r="C1946" s="6">
        <v>0</v>
      </c>
      <c r="D1946" s="6">
        <v>1</v>
      </c>
      <c r="E1946" s="6">
        <v>66</v>
      </c>
      <c r="F1946" s="5" t="s">
        <v>7</v>
      </c>
      <c r="G1946" s="5" t="s">
        <v>442</v>
      </c>
      <c r="H1946" s="3" t="s">
        <v>148</v>
      </c>
      <c r="I1946" s="5" t="s">
        <v>435</v>
      </c>
      <c r="J1946" s="5">
        <f>_xlfn.XLOOKUP(CustomerCombined[[#This Row],[ID]], Table4[ID], Table4[Recency], "Not Found", 0)</f>
        <v>30</v>
      </c>
      <c r="K1946" s="5">
        <f>_xlfn.XLOOKUP(CustomerCombined[[#This Row],[ID]], Table4[ID], Table4[Teas], "Not Found", 0)</f>
        <v>522</v>
      </c>
      <c r="L1946" s="5">
        <f>_xlfn.XLOOKUP(CustomerCombined[[#This Row],[ID]], Table4[ID], Table4[Fruits], "Not Found", 0)</f>
        <v>97</v>
      </c>
      <c r="M1946" s="5">
        <f>_xlfn.XLOOKUP(CustomerCombined[[#This Row],[ID]], Table4[ID], Table4[Meats], "Not Found", 0)</f>
        <v>187</v>
      </c>
      <c r="N1946" s="5">
        <f>_xlfn.XLOOKUP(CustomerCombined[[#This Row],[ID]], Table4[ID], Table4[Seafood], "Not Found", 0)</f>
        <v>100</v>
      </c>
      <c r="O1946" s="5">
        <f>_xlfn.XLOOKUP(CustomerCombined[[#This Row],[ID]], Table4[ID], Table4[Sweets], "Not Found", 0)</f>
        <v>107</v>
      </c>
      <c r="P1946" s="5">
        <f>_xlfn.XLOOKUP(CustomerCombined[[#This Row],[ID]], Table4[ID], Table4[Premium], "Not Found", 0)</f>
        <v>157</v>
      </c>
      <c r="Q1946" s="5">
        <f>_xlfn.XLOOKUP(CustomerCombined[[#This Row],[ID]], Table4[ID], Table4[Regular], "Not Found", 0)</f>
        <v>857</v>
      </c>
      <c r="R1946" s="5">
        <f>_xlfn.XLOOKUP(CustomerCombined[[#This Row],[ID]], Table4[ID], Table4[Deals], "Not Found", 0)</f>
        <v>2</v>
      </c>
      <c r="S1946" s="5">
        <f>_xlfn.XLOOKUP(CustomerCombined[[#This Row],[ID]], Table4[ID], Table4[Website], "Not Found", 0)</f>
        <v>3</v>
      </c>
      <c r="T1946" s="5">
        <f>_xlfn.XLOOKUP(CustomerCombined[[#This Row],[ID]], Table4[ID], Table4[Catalog], "Not Found", 0)</f>
        <v>2</v>
      </c>
      <c r="U1946" s="5">
        <f>_xlfn.XLOOKUP(CustomerCombined[[#This Row],[ID]], Table4[ID], Table4[Store], "Not Found", 0)</f>
        <v>7</v>
      </c>
      <c r="V1946" s="5">
        <f>_xlfn.XLOOKUP(CustomerCombined[[#This Row],[ID]], Table4[ID], Table4[Visits], "Not Found", 0)</f>
        <v>3</v>
      </c>
      <c r="W1946" s="8">
        <f>_xlfn.XLOOKUP(CustomerCombined[[#This Row],[ID]], Table2[ID],Table2[Complaint], "Not Found", 0 )</f>
        <v>0</v>
      </c>
      <c r="X1946" s="8">
        <f>_xlfn.XLOOKUP(CustomerCombined[[#This Row],[ID]], Table2[ID],Table2[Pilot], "Not Found", 0 )</f>
        <v>0</v>
      </c>
      <c r="Y1946" s="8">
        <f>_xlfn.XLOOKUP(CustomerCombined[[#This Row],[ID]], Table2[ID],Table2[MC1], "Not Found", 0 )</f>
        <v>0</v>
      </c>
      <c r="Z1946" s="8">
        <f>_xlfn.XLOOKUP(CustomerCombined[[#This Row],[ID]], Table2[ID],Table2[MC2], "Not Found", 0 )</f>
        <v>0</v>
      </c>
      <c r="AA1946" s="8">
        <f>_xlfn.XLOOKUP(CustomerCombined[[#This Row],[ID]], Table2[ID],Table2[MC3], "Not Found", 0 )</f>
        <v>0</v>
      </c>
      <c r="AB1946" s="8">
        <f>_xlfn.XLOOKUP(CustomerCombined[[#This Row],[ID]], Table2[ID],Table2[MC4], "Not Found", 0 )</f>
        <v>0</v>
      </c>
      <c r="AC1946" s="8">
        <f>_xlfn.XLOOKUP(CustomerCombined[[#This Row],[ID]], Table2[ID],Table2[MC5], "Not Found", 0 )</f>
        <v>0</v>
      </c>
    </row>
    <row r="1947" spans="1:29" x14ac:dyDescent="0.3">
      <c r="A1947" s="6">
        <v>2451</v>
      </c>
      <c r="B1947" s="6">
        <v>139898</v>
      </c>
      <c r="C1947" s="6">
        <v>0</v>
      </c>
      <c r="D1947" s="6">
        <v>1</v>
      </c>
      <c r="E1947" s="6">
        <v>66</v>
      </c>
      <c r="F1947" s="5" t="s">
        <v>8</v>
      </c>
      <c r="G1947" s="5" t="s">
        <v>11</v>
      </c>
      <c r="H1947" s="3" t="s">
        <v>311</v>
      </c>
      <c r="I1947" s="5" t="s">
        <v>435</v>
      </c>
      <c r="J1947" s="5">
        <f>_xlfn.XLOOKUP(CustomerCombined[[#This Row],[ID]], Table4[ID], Table4[Recency], "Not Found", 0)</f>
        <v>20</v>
      </c>
      <c r="K1947" s="5">
        <f>_xlfn.XLOOKUP(CustomerCombined[[#This Row],[ID]], Table4[ID], Table4[Teas], "Not Found", 0)</f>
        <v>242</v>
      </c>
      <c r="L1947" s="5">
        <f>_xlfn.XLOOKUP(CustomerCombined[[#This Row],[ID]], Table4[ID], Table4[Fruits], "Not Found", 0)</f>
        <v>28</v>
      </c>
      <c r="M1947" s="5">
        <f>_xlfn.XLOOKUP(CustomerCombined[[#This Row],[ID]], Table4[ID], Table4[Meats], "Not Found", 0)</f>
        <v>91</v>
      </c>
      <c r="N1947" s="5">
        <f>_xlfn.XLOOKUP(CustomerCombined[[#This Row],[ID]], Table4[ID], Table4[Seafood], "Not Found", 0)</f>
        <v>42</v>
      </c>
      <c r="O1947" s="5">
        <f>_xlfn.XLOOKUP(CustomerCombined[[#This Row],[ID]], Table4[ID], Table4[Sweets], "Not Found", 0)</f>
        <v>25</v>
      </c>
      <c r="P1947" s="5">
        <f>_xlfn.XLOOKUP(CustomerCombined[[#This Row],[ID]], Table4[ID], Table4[Premium], "Not Found", 0)</f>
        <v>42</v>
      </c>
      <c r="Q1947" s="5">
        <f>_xlfn.XLOOKUP(CustomerCombined[[#This Row],[ID]], Table4[ID], Table4[Regular], "Not Found", 0)</f>
        <v>386</v>
      </c>
      <c r="R1947" s="5">
        <f>_xlfn.XLOOKUP(CustomerCombined[[#This Row],[ID]], Table4[ID], Table4[Deals], "Not Found", 0)</f>
        <v>2</v>
      </c>
      <c r="S1947" s="5">
        <f>_xlfn.XLOOKUP(CustomerCombined[[#This Row],[ID]], Table4[ID], Table4[Website], "Not Found", 0)</f>
        <v>3</v>
      </c>
      <c r="T1947" s="5">
        <f>_xlfn.XLOOKUP(CustomerCombined[[#This Row],[ID]], Table4[ID], Table4[Catalog], "Not Found", 0)</f>
        <v>0</v>
      </c>
      <c r="U1947" s="5">
        <f>_xlfn.XLOOKUP(CustomerCombined[[#This Row],[ID]], Table4[ID], Table4[Store], "Not Found", 0)</f>
        <v>4</v>
      </c>
      <c r="V1947" s="5">
        <f>_xlfn.XLOOKUP(CustomerCombined[[#This Row],[ID]], Table4[ID], Table4[Visits], "Not Found", 0)</f>
        <v>7</v>
      </c>
      <c r="W1947" s="8">
        <f>_xlfn.XLOOKUP(CustomerCombined[[#This Row],[ID]], Table2[ID],Table2[Complaint], "Not Found", 0 )</f>
        <v>0</v>
      </c>
      <c r="X1947" s="8">
        <f>_xlfn.XLOOKUP(CustomerCombined[[#This Row],[ID]], Table2[ID],Table2[Pilot], "Not Found", 0 )</f>
        <v>0</v>
      </c>
      <c r="Y1947" s="8">
        <f>_xlfn.XLOOKUP(CustomerCombined[[#This Row],[ID]], Table2[ID],Table2[MC1], "Not Found", 0 )</f>
        <v>0</v>
      </c>
      <c r="Z1947" s="8">
        <f>_xlfn.XLOOKUP(CustomerCombined[[#This Row],[ID]], Table2[ID],Table2[MC2], "Not Found", 0 )</f>
        <v>0</v>
      </c>
      <c r="AA1947" s="8">
        <f>_xlfn.XLOOKUP(CustomerCombined[[#This Row],[ID]], Table2[ID],Table2[MC3], "Not Found", 0 )</f>
        <v>0</v>
      </c>
      <c r="AB1947" s="8">
        <f>_xlfn.XLOOKUP(CustomerCombined[[#This Row],[ID]], Table2[ID],Table2[MC4], "Not Found", 0 )</f>
        <v>0</v>
      </c>
      <c r="AC1947" s="8">
        <f>_xlfn.XLOOKUP(CustomerCombined[[#This Row],[ID]], Table2[ID],Table2[MC5], "Not Found", 0 )</f>
        <v>0</v>
      </c>
    </row>
    <row r="1948" spans="1:29" x14ac:dyDescent="0.3">
      <c r="A1948" s="6">
        <v>2924</v>
      </c>
      <c r="B1948" s="6">
        <v>139898</v>
      </c>
      <c r="C1948" s="6">
        <v>0</v>
      </c>
      <c r="D1948" s="6">
        <v>1</v>
      </c>
      <c r="E1948" s="6">
        <v>66</v>
      </c>
      <c r="F1948" s="5" t="s">
        <v>8</v>
      </c>
      <c r="G1948" s="5" t="s">
        <v>11</v>
      </c>
      <c r="H1948" s="3" t="s">
        <v>311</v>
      </c>
      <c r="I1948" s="5" t="s">
        <v>438</v>
      </c>
      <c r="J1948" s="5">
        <f>_xlfn.XLOOKUP(CustomerCombined[[#This Row],[ID]], Table4[ID], Table4[Recency], "Not Found", 0)</f>
        <v>20</v>
      </c>
      <c r="K1948" s="5">
        <f>_xlfn.XLOOKUP(CustomerCombined[[#This Row],[ID]], Table4[ID], Table4[Teas], "Not Found", 0)</f>
        <v>242</v>
      </c>
      <c r="L1948" s="5">
        <f>_xlfn.XLOOKUP(CustomerCombined[[#This Row],[ID]], Table4[ID], Table4[Fruits], "Not Found", 0)</f>
        <v>28</v>
      </c>
      <c r="M1948" s="5">
        <f>_xlfn.XLOOKUP(CustomerCombined[[#This Row],[ID]], Table4[ID], Table4[Meats], "Not Found", 0)</f>
        <v>91</v>
      </c>
      <c r="N1948" s="5">
        <f>_xlfn.XLOOKUP(CustomerCombined[[#This Row],[ID]], Table4[ID], Table4[Seafood], "Not Found", 0)</f>
        <v>42</v>
      </c>
      <c r="O1948" s="5">
        <f>_xlfn.XLOOKUP(CustomerCombined[[#This Row],[ID]], Table4[ID], Table4[Sweets], "Not Found", 0)</f>
        <v>25</v>
      </c>
      <c r="P1948" s="5">
        <f>_xlfn.XLOOKUP(CustomerCombined[[#This Row],[ID]], Table4[ID], Table4[Premium], "Not Found", 0)</f>
        <v>42</v>
      </c>
      <c r="Q1948" s="5">
        <f>_xlfn.XLOOKUP(CustomerCombined[[#This Row],[ID]], Table4[ID], Table4[Regular], "Not Found", 0)</f>
        <v>386</v>
      </c>
      <c r="R1948" s="5">
        <f>_xlfn.XLOOKUP(CustomerCombined[[#This Row],[ID]], Table4[ID], Table4[Deals], "Not Found", 0)</f>
        <v>2</v>
      </c>
      <c r="S1948" s="5">
        <f>_xlfn.XLOOKUP(CustomerCombined[[#This Row],[ID]], Table4[ID], Table4[Website], "Not Found", 0)</f>
        <v>3</v>
      </c>
      <c r="T1948" s="5">
        <f>_xlfn.XLOOKUP(CustomerCombined[[#This Row],[ID]], Table4[ID], Table4[Catalog], "Not Found", 0)</f>
        <v>0</v>
      </c>
      <c r="U1948" s="5">
        <f>_xlfn.XLOOKUP(CustomerCombined[[#This Row],[ID]], Table4[ID], Table4[Store], "Not Found", 0)</f>
        <v>4</v>
      </c>
      <c r="V1948" s="5">
        <f>_xlfn.XLOOKUP(CustomerCombined[[#This Row],[ID]], Table4[ID], Table4[Visits], "Not Found", 0)</f>
        <v>7</v>
      </c>
      <c r="W1948" s="8">
        <f>_xlfn.XLOOKUP(CustomerCombined[[#This Row],[ID]], Table2[ID],Table2[Complaint], "Not Found", 0 )</f>
        <v>0</v>
      </c>
      <c r="X1948" s="8">
        <f>_xlfn.XLOOKUP(CustomerCombined[[#This Row],[ID]], Table2[ID],Table2[Pilot], "Not Found", 0 )</f>
        <v>0</v>
      </c>
      <c r="Y1948" s="8">
        <f>_xlfn.XLOOKUP(CustomerCombined[[#This Row],[ID]], Table2[ID],Table2[MC1], "Not Found", 0 )</f>
        <v>0</v>
      </c>
      <c r="Z1948" s="8">
        <f>_xlfn.XLOOKUP(CustomerCombined[[#This Row],[ID]], Table2[ID],Table2[MC2], "Not Found", 0 )</f>
        <v>0</v>
      </c>
      <c r="AA1948" s="8">
        <f>_xlfn.XLOOKUP(CustomerCombined[[#This Row],[ID]], Table2[ID],Table2[MC3], "Not Found", 0 )</f>
        <v>0</v>
      </c>
      <c r="AB1948" s="8">
        <f>_xlfn.XLOOKUP(CustomerCombined[[#This Row],[ID]], Table2[ID],Table2[MC4], "Not Found", 0 )</f>
        <v>0</v>
      </c>
      <c r="AC1948" s="8">
        <f>_xlfn.XLOOKUP(CustomerCombined[[#This Row],[ID]], Table2[ID],Table2[MC5], "Not Found", 0 )</f>
        <v>0</v>
      </c>
    </row>
    <row r="1949" spans="1:29" x14ac:dyDescent="0.3">
      <c r="A1949" s="6">
        <v>2022</v>
      </c>
      <c r="B1949" s="6">
        <v>138998</v>
      </c>
      <c r="C1949" s="6">
        <v>1</v>
      </c>
      <c r="D1949" s="6">
        <v>1</v>
      </c>
      <c r="E1949" s="6">
        <v>66</v>
      </c>
      <c r="F1949" s="5" t="s">
        <v>6</v>
      </c>
      <c r="G1949" s="5" t="s">
        <v>11</v>
      </c>
      <c r="H1949" s="3">
        <v>43742</v>
      </c>
      <c r="I1949" s="5" t="s">
        <v>436</v>
      </c>
      <c r="J1949" s="5">
        <f>_xlfn.XLOOKUP(CustomerCombined[[#This Row],[ID]], Table4[ID], Table4[Recency], "Not Found", 0)</f>
        <v>92</v>
      </c>
      <c r="K1949" s="5">
        <f>_xlfn.XLOOKUP(CustomerCombined[[#This Row],[ID]], Table4[ID], Table4[Teas], "Not Found", 0)</f>
        <v>121</v>
      </c>
      <c r="L1949" s="5">
        <f>_xlfn.XLOOKUP(CustomerCombined[[#This Row],[ID]], Table4[ID], Table4[Fruits], "Not Found", 0)</f>
        <v>4</v>
      </c>
      <c r="M1949" s="5">
        <f>_xlfn.XLOOKUP(CustomerCombined[[#This Row],[ID]], Table4[ID], Table4[Meats], "Not Found", 0)</f>
        <v>50</v>
      </c>
      <c r="N1949" s="5">
        <f>_xlfn.XLOOKUP(CustomerCombined[[#This Row],[ID]], Table4[ID], Table4[Seafood], "Not Found", 0)</f>
        <v>0</v>
      </c>
      <c r="O1949" s="5">
        <f>_xlfn.XLOOKUP(CustomerCombined[[#This Row],[ID]], Table4[ID], Table4[Sweets], "Not Found", 0)</f>
        <v>0</v>
      </c>
      <c r="P1949" s="5">
        <f>_xlfn.XLOOKUP(CustomerCombined[[#This Row],[ID]], Table4[ID], Table4[Premium], "Not Found", 0)</f>
        <v>18</v>
      </c>
      <c r="Q1949" s="5">
        <f>_xlfn.XLOOKUP(CustomerCombined[[#This Row],[ID]], Table4[ID], Table4[Regular], "Not Found", 0)</f>
        <v>157</v>
      </c>
      <c r="R1949" s="5">
        <f>_xlfn.XLOOKUP(CustomerCombined[[#This Row],[ID]], Table4[ID], Table4[Deals], "Not Found", 0)</f>
        <v>3</v>
      </c>
      <c r="S1949" s="5">
        <f>_xlfn.XLOOKUP(CustomerCombined[[#This Row],[ID]], Table4[ID], Table4[Website], "Not Found", 0)</f>
        <v>2</v>
      </c>
      <c r="T1949" s="5">
        <f>_xlfn.XLOOKUP(CustomerCombined[[#This Row],[ID]], Table4[ID], Table4[Catalog], "Not Found", 0)</f>
        <v>0</v>
      </c>
      <c r="U1949" s="5">
        <f>_xlfn.XLOOKUP(CustomerCombined[[#This Row],[ID]], Table4[ID], Table4[Store], "Not Found", 0)</f>
        <v>3</v>
      </c>
      <c r="V1949" s="5">
        <f>_xlfn.XLOOKUP(CustomerCombined[[#This Row],[ID]], Table4[ID], Table4[Visits], "Not Found", 0)</f>
        <v>8</v>
      </c>
      <c r="W1949" s="8">
        <f>_xlfn.XLOOKUP(CustomerCombined[[#This Row],[ID]], Table2[ID],Table2[Complaint], "Not Found", 0 )</f>
        <v>1</v>
      </c>
      <c r="X1949" s="8">
        <f>_xlfn.XLOOKUP(CustomerCombined[[#This Row],[ID]], Table2[ID],Table2[Pilot], "Not Found", 0 )</f>
        <v>0</v>
      </c>
      <c r="Y1949" s="8">
        <f>_xlfn.XLOOKUP(CustomerCombined[[#This Row],[ID]], Table2[ID],Table2[MC1], "Not Found", 0 )</f>
        <v>0</v>
      </c>
      <c r="Z1949" s="8">
        <f>_xlfn.XLOOKUP(CustomerCombined[[#This Row],[ID]], Table2[ID],Table2[MC2], "Not Found", 0 )</f>
        <v>0</v>
      </c>
      <c r="AA1949" s="8">
        <f>_xlfn.XLOOKUP(CustomerCombined[[#This Row],[ID]], Table2[ID],Table2[MC3], "Not Found", 0 )</f>
        <v>0</v>
      </c>
      <c r="AB1949" s="8">
        <f>_xlfn.XLOOKUP(CustomerCombined[[#This Row],[ID]], Table2[ID],Table2[MC4], "Not Found", 0 )</f>
        <v>0</v>
      </c>
      <c r="AC1949" s="8">
        <f>_xlfn.XLOOKUP(CustomerCombined[[#This Row],[ID]], Table2[ID],Table2[MC5], "Not Found", 0 )</f>
        <v>0</v>
      </c>
    </row>
    <row r="1950" spans="1:29" x14ac:dyDescent="0.3">
      <c r="A1950" s="6">
        <v>2547</v>
      </c>
      <c r="B1950" s="6">
        <v>138998</v>
      </c>
      <c r="C1950" s="6">
        <v>1</v>
      </c>
      <c r="D1950" s="6">
        <v>1</v>
      </c>
      <c r="E1950" s="6">
        <v>66</v>
      </c>
      <c r="F1950" s="5" t="s">
        <v>6</v>
      </c>
      <c r="G1950" s="5" t="s">
        <v>11</v>
      </c>
      <c r="H1950" s="3">
        <v>43742</v>
      </c>
      <c r="I1950" s="5" t="s">
        <v>435</v>
      </c>
      <c r="J1950" s="5">
        <f>_xlfn.XLOOKUP(CustomerCombined[[#This Row],[ID]], Table4[ID], Table4[Recency], "Not Found", 0)</f>
        <v>92</v>
      </c>
      <c r="K1950" s="5">
        <f>_xlfn.XLOOKUP(CustomerCombined[[#This Row],[ID]], Table4[ID], Table4[Teas], "Not Found", 0)</f>
        <v>121</v>
      </c>
      <c r="L1950" s="5">
        <f>_xlfn.XLOOKUP(CustomerCombined[[#This Row],[ID]], Table4[ID], Table4[Fruits], "Not Found", 0)</f>
        <v>4</v>
      </c>
      <c r="M1950" s="5">
        <f>_xlfn.XLOOKUP(CustomerCombined[[#This Row],[ID]], Table4[ID], Table4[Meats], "Not Found", 0)</f>
        <v>50</v>
      </c>
      <c r="N1950" s="5">
        <f>_xlfn.XLOOKUP(CustomerCombined[[#This Row],[ID]], Table4[ID], Table4[Seafood], "Not Found", 0)</f>
        <v>0</v>
      </c>
      <c r="O1950" s="5">
        <f>_xlfn.XLOOKUP(CustomerCombined[[#This Row],[ID]], Table4[ID], Table4[Sweets], "Not Found", 0)</f>
        <v>0</v>
      </c>
      <c r="P1950" s="5">
        <f>_xlfn.XLOOKUP(CustomerCombined[[#This Row],[ID]], Table4[ID], Table4[Premium], "Not Found", 0)</f>
        <v>18</v>
      </c>
      <c r="Q1950" s="5">
        <f>_xlfn.XLOOKUP(CustomerCombined[[#This Row],[ID]], Table4[ID], Table4[Regular], "Not Found", 0)</f>
        <v>157</v>
      </c>
      <c r="R1950" s="5">
        <f>_xlfn.XLOOKUP(CustomerCombined[[#This Row],[ID]], Table4[ID], Table4[Deals], "Not Found", 0)</f>
        <v>3</v>
      </c>
      <c r="S1950" s="5">
        <f>_xlfn.XLOOKUP(CustomerCombined[[#This Row],[ID]], Table4[ID], Table4[Website], "Not Found", 0)</f>
        <v>2</v>
      </c>
      <c r="T1950" s="5">
        <f>_xlfn.XLOOKUP(CustomerCombined[[#This Row],[ID]], Table4[ID], Table4[Catalog], "Not Found", 0)</f>
        <v>0</v>
      </c>
      <c r="U1950" s="5">
        <f>_xlfn.XLOOKUP(CustomerCombined[[#This Row],[ID]], Table4[ID], Table4[Store], "Not Found", 0)</f>
        <v>3</v>
      </c>
      <c r="V1950" s="5">
        <f>_xlfn.XLOOKUP(CustomerCombined[[#This Row],[ID]], Table4[ID], Table4[Visits], "Not Found", 0)</f>
        <v>8</v>
      </c>
      <c r="W1950" s="8">
        <f>_xlfn.XLOOKUP(CustomerCombined[[#This Row],[ID]], Table2[ID],Table2[Complaint], "Not Found", 0 )</f>
        <v>1</v>
      </c>
      <c r="X1950" s="8">
        <f>_xlfn.XLOOKUP(CustomerCombined[[#This Row],[ID]], Table2[ID],Table2[Pilot], "Not Found", 0 )</f>
        <v>0</v>
      </c>
      <c r="Y1950" s="8">
        <f>_xlfn.XLOOKUP(CustomerCombined[[#This Row],[ID]], Table2[ID],Table2[MC1], "Not Found", 0 )</f>
        <v>0</v>
      </c>
      <c r="Z1950" s="8">
        <f>_xlfn.XLOOKUP(CustomerCombined[[#This Row],[ID]], Table2[ID],Table2[MC2], "Not Found", 0 )</f>
        <v>0</v>
      </c>
      <c r="AA1950" s="8">
        <f>_xlfn.XLOOKUP(CustomerCombined[[#This Row],[ID]], Table2[ID],Table2[MC3], "Not Found", 0 )</f>
        <v>0</v>
      </c>
      <c r="AB1950" s="8">
        <f>_xlfn.XLOOKUP(CustomerCombined[[#This Row],[ID]], Table2[ID],Table2[MC4], "Not Found", 0 )</f>
        <v>0</v>
      </c>
      <c r="AC1950" s="8">
        <f>_xlfn.XLOOKUP(CustomerCombined[[#This Row],[ID]], Table2[ID],Table2[MC5], "Not Found", 0 )</f>
        <v>0</v>
      </c>
    </row>
    <row r="1951" spans="1:29" x14ac:dyDescent="0.3">
      <c r="A1951" s="6">
        <v>1985</v>
      </c>
      <c r="B1951" s="6">
        <v>136930</v>
      </c>
      <c r="C1951" s="6">
        <v>0</v>
      </c>
      <c r="D1951" s="6">
        <v>1</v>
      </c>
      <c r="E1951" s="6">
        <v>66</v>
      </c>
      <c r="F1951" s="5" t="s">
        <v>6</v>
      </c>
      <c r="G1951" s="5" t="s">
        <v>13</v>
      </c>
      <c r="H1951" s="3" t="s">
        <v>254</v>
      </c>
      <c r="I1951" s="5" t="s">
        <v>434</v>
      </c>
      <c r="J1951" s="5">
        <f>_xlfn.XLOOKUP(CustomerCombined[[#This Row],[ID]], Table4[ID], Table4[Recency], "Not Found", 0)</f>
        <v>50</v>
      </c>
      <c r="K1951" s="5">
        <f>_xlfn.XLOOKUP(CustomerCombined[[#This Row],[ID]], Table4[ID], Table4[Teas], "Not Found", 0)</f>
        <v>827</v>
      </c>
      <c r="L1951" s="5">
        <f>_xlfn.XLOOKUP(CustomerCombined[[#This Row],[ID]], Table4[ID], Table4[Fruits], "Not Found", 0)</f>
        <v>7</v>
      </c>
      <c r="M1951" s="5">
        <f>_xlfn.XLOOKUP(CustomerCombined[[#This Row],[ID]], Table4[ID], Table4[Meats], "Not Found", 0)</f>
        <v>115</v>
      </c>
      <c r="N1951" s="5">
        <f>_xlfn.XLOOKUP(CustomerCombined[[#This Row],[ID]], Table4[ID], Table4[Seafood], "Not Found", 0)</f>
        <v>0</v>
      </c>
      <c r="O1951" s="5">
        <f>_xlfn.XLOOKUP(CustomerCombined[[#This Row],[ID]], Table4[ID], Table4[Sweets], "Not Found", 0)</f>
        <v>7</v>
      </c>
      <c r="P1951" s="5">
        <f>_xlfn.XLOOKUP(CustomerCombined[[#This Row],[ID]], Table4[ID], Table4[Premium], "Not Found", 0)</f>
        <v>145</v>
      </c>
      <c r="Q1951" s="5">
        <f>_xlfn.XLOOKUP(CustomerCombined[[#This Row],[ID]], Table4[ID], Table4[Regular], "Not Found", 0)</f>
        <v>812</v>
      </c>
      <c r="R1951" s="5">
        <f>_xlfn.XLOOKUP(CustomerCombined[[#This Row],[ID]], Table4[ID], Table4[Deals], "Not Found", 0)</f>
        <v>5</v>
      </c>
      <c r="S1951" s="5">
        <f>_xlfn.XLOOKUP(CustomerCombined[[#This Row],[ID]], Table4[ID], Table4[Website], "Not Found", 0)</f>
        <v>5</v>
      </c>
      <c r="T1951" s="5">
        <f>_xlfn.XLOOKUP(CustomerCombined[[#This Row],[ID]], Table4[ID], Table4[Catalog], "Not Found", 0)</f>
        <v>2</v>
      </c>
      <c r="U1951" s="5">
        <f>_xlfn.XLOOKUP(CustomerCombined[[#This Row],[ID]], Table4[ID], Table4[Store], "Not Found", 0)</f>
        <v>4</v>
      </c>
      <c r="V1951" s="5">
        <f>_xlfn.XLOOKUP(CustomerCombined[[#This Row],[ID]], Table4[ID], Table4[Visits], "Not Found", 0)</f>
        <v>8</v>
      </c>
      <c r="W1951" s="8">
        <f>_xlfn.XLOOKUP(CustomerCombined[[#This Row],[ID]], Table2[ID],Table2[Complaint], "Not Found", 0 )</f>
        <v>0</v>
      </c>
      <c r="X1951" s="8">
        <f>_xlfn.XLOOKUP(CustomerCombined[[#This Row],[ID]], Table2[ID],Table2[Pilot], "Not Found", 0 )</f>
        <v>0</v>
      </c>
      <c r="Y1951" s="8">
        <f>_xlfn.XLOOKUP(CustomerCombined[[#This Row],[ID]], Table2[ID],Table2[MC1], "Not Found", 0 )</f>
        <v>0</v>
      </c>
      <c r="Z1951" s="8">
        <f>_xlfn.XLOOKUP(CustomerCombined[[#This Row],[ID]], Table2[ID],Table2[MC2], "Not Found", 0 )</f>
        <v>0</v>
      </c>
      <c r="AA1951" s="8">
        <f>_xlfn.XLOOKUP(CustomerCombined[[#This Row],[ID]], Table2[ID],Table2[MC3], "Not Found", 0 )</f>
        <v>0</v>
      </c>
      <c r="AB1951" s="8">
        <f>_xlfn.XLOOKUP(CustomerCombined[[#This Row],[ID]], Table2[ID],Table2[MC4], "Not Found", 0 )</f>
        <v>0</v>
      </c>
      <c r="AC1951" s="8">
        <f>_xlfn.XLOOKUP(CustomerCombined[[#This Row],[ID]], Table2[ID],Table2[MC5], "Not Found", 0 )</f>
        <v>0</v>
      </c>
    </row>
    <row r="1952" spans="1:29" x14ac:dyDescent="0.3">
      <c r="A1952" s="6">
        <v>3183</v>
      </c>
      <c r="B1952" s="6">
        <v>136807</v>
      </c>
      <c r="C1952" s="6">
        <v>1</v>
      </c>
      <c r="D1952" s="6">
        <v>1</v>
      </c>
      <c r="E1952" s="6">
        <v>66</v>
      </c>
      <c r="F1952" s="5" t="s">
        <v>8</v>
      </c>
      <c r="G1952" s="5" t="s">
        <v>11</v>
      </c>
      <c r="H1952" s="3" t="s">
        <v>339</v>
      </c>
      <c r="I1952" s="5" t="s">
        <v>435</v>
      </c>
      <c r="J1952" s="5">
        <f>_xlfn.XLOOKUP(CustomerCombined[[#This Row],[ID]], Table4[ID], Table4[Recency], "Not Found", 0)</f>
        <v>88</v>
      </c>
      <c r="K1952" s="5">
        <f>_xlfn.XLOOKUP(CustomerCombined[[#This Row],[ID]], Table4[ID], Table4[Teas], "Not Found", 0)</f>
        <v>15</v>
      </c>
      <c r="L1952" s="5">
        <f>_xlfn.XLOOKUP(CustomerCombined[[#This Row],[ID]], Table4[ID], Table4[Fruits], "Not Found", 0)</f>
        <v>7</v>
      </c>
      <c r="M1952" s="5">
        <f>_xlfn.XLOOKUP(CustomerCombined[[#This Row],[ID]], Table4[ID], Table4[Meats], "Not Found", 0)</f>
        <v>19</v>
      </c>
      <c r="N1952" s="5">
        <f>_xlfn.XLOOKUP(CustomerCombined[[#This Row],[ID]], Table4[ID], Table4[Seafood], "Not Found", 0)</f>
        <v>0</v>
      </c>
      <c r="O1952" s="5">
        <f>_xlfn.XLOOKUP(CustomerCombined[[#This Row],[ID]], Table4[ID], Table4[Sweets], "Not Found", 0)</f>
        <v>0</v>
      </c>
      <c r="P1952" s="5">
        <f>_xlfn.XLOOKUP(CustomerCombined[[#This Row],[ID]], Table4[ID], Table4[Premium], "Not Found", 0)</f>
        <v>19</v>
      </c>
      <c r="Q1952" s="5">
        <f>_xlfn.XLOOKUP(CustomerCombined[[#This Row],[ID]], Table4[ID], Table4[Regular], "Not Found", 0)</f>
        <v>22</v>
      </c>
      <c r="R1952" s="5">
        <f>_xlfn.XLOOKUP(CustomerCombined[[#This Row],[ID]], Table4[ID], Table4[Deals], "Not Found", 0)</f>
        <v>1</v>
      </c>
      <c r="S1952" s="5">
        <f>_xlfn.XLOOKUP(CustomerCombined[[#This Row],[ID]], Table4[ID], Table4[Website], "Not Found", 0)</f>
        <v>1</v>
      </c>
      <c r="T1952" s="5">
        <f>_xlfn.XLOOKUP(CustomerCombined[[#This Row],[ID]], Table4[ID], Table4[Catalog], "Not Found", 0)</f>
        <v>0</v>
      </c>
      <c r="U1952" s="5">
        <f>_xlfn.XLOOKUP(CustomerCombined[[#This Row],[ID]], Table4[ID], Table4[Store], "Not Found", 0)</f>
        <v>2</v>
      </c>
      <c r="V1952" s="5">
        <f>_xlfn.XLOOKUP(CustomerCombined[[#This Row],[ID]], Table4[ID], Table4[Visits], "Not Found", 0)</f>
        <v>6</v>
      </c>
      <c r="W1952" s="8">
        <f>_xlfn.XLOOKUP(CustomerCombined[[#This Row],[ID]], Table2[ID],Table2[Complaint], "Not Found", 0 )</f>
        <v>0</v>
      </c>
      <c r="X1952" s="8">
        <f>_xlfn.XLOOKUP(CustomerCombined[[#This Row],[ID]], Table2[ID],Table2[Pilot], "Not Found", 0 )</f>
        <v>0</v>
      </c>
      <c r="Y1952" s="8">
        <f>_xlfn.XLOOKUP(CustomerCombined[[#This Row],[ID]], Table2[ID],Table2[MC1], "Not Found", 0 )</f>
        <v>0</v>
      </c>
      <c r="Z1952" s="8">
        <f>_xlfn.XLOOKUP(CustomerCombined[[#This Row],[ID]], Table2[ID],Table2[MC2], "Not Found", 0 )</f>
        <v>0</v>
      </c>
      <c r="AA1952" s="8">
        <f>_xlfn.XLOOKUP(CustomerCombined[[#This Row],[ID]], Table2[ID],Table2[MC3], "Not Found", 0 )</f>
        <v>0</v>
      </c>
      <c r="AB1952" s="8">
        <f>_xlfn.XLOOKUP(CustomerCombined[[#This Row],[ID]], Table2[ID],Table2[MC4], "Not Found", 0 )</f>
        <v>0</v>
      </c>
      <c r="AC1952" s="8">
        <f>_xlfn.XLOOKUP(CustomerCombined[[#This Row],[ID]], Table2[ID],Table2[MC5], "Not Found", 0 )</f>
        <v>0</v>
      </c>
    </row>
    <row r="1953" spans="1:29" x14ac:dyDescent="0.3">
      <c r="A1953" s="6">
        <v>2631</v>
      </c>
      <c r="B1953" s="6">
        <v>136634</v>
      </c>
      <c r="C1953" s="6">
        <v>0</v>
      </c>
      <c r="D1953" s="6">
        <v>1</v>
      </c>
      <c r="E1953" s="6">
        <v>66</v>
      </c>
      <c r="F1953" s="5" t="s">
        <v>8</v>
      </c>
      <c r="G1953" s="5" t="s">
        <v>12</v>
      </c>
      <c r="H1953" s="3">
        <v>43507</v>
      </c>
      <c r="I1953" s="5" t="s">
        <v>435</v>
      </c>
      <c r="J1953" s="5">
        <f>_xlfn.XLOOKUP(CustomerCombined[[#This Row],[ID]], Table4[ID], Table4[Recency], "Not Found", 0)</f>
        <v>0</v>
      </c>
      <c r="K1953" s="5">
        <f>_xlfn.XLOOKUP(CustomerCombined[[#This Row],[ID]], Table4[ID], Table4[Teas], "Not Found", 0)</f>
        <v>794</v>
      </c>
      <c r="L1953" s="5">
        <f>_xlfn.XLOOKUP(CustomerCombined[[#This Row],[ID]], Table4[ID], Table4[Fruits], "Not Found", 0)</f>
        <v>34</v>
      </c>
      <c r="M1953" s="5">
        <f>_xlfn.XLOOKUP(CustomerCombined[[#This Row],[ID]], Table4[ID], Table4[Meats], "Not Found", 0)</f>
        <v>283</v>
      </c>
      <c r="N1953" s="5">
        <f>_xlfn.XLOOKUP(CustomerCombined[[#This Row],[ID]], Table4[ID], Table4[Seafood], "Not Found", 0)</f>
        <v>15</v>
      </c>
      <c r="O1953" s="5">
        <f>_xlfn.XLOOKUP(CustomerCombined[[#This Row],[ID]], Table4[ID], Table4[Sweets], "Not Found", 0)</f>
        <v>11</v>
      </c>
      <c r="P1953" s="5">
        <f>_xlfn.XLOOKUP(CustomerCombined[[#This Row],[ID]], Table4[ID], Table4[Premium], "Not Found", 0)</f>
        <v>112</v>
      </c>
      <c r="Q1953" s="5">
        <f>_xlfn.XLOOKUP(CustomerCombined[[#This Row],[ID]], Table4[ID], Table4[Regular], "Not Found", 0)</f>
        <v>1026</v>
      </c>
      <c r="R1953" s="5">
        <f>_xlfn.XLOOKUP(CustomerCombined[[#This Row],[ID]], Table4[ID], Table4[Deals], "Not Found", 0)</f>
        <v>3</v>
      </c>
      <c r="S1953" s="5">
        <f>_xlfn.XLOOKUP(CustomerCombined[[#This Row],[ID]], Table4[ID], Table4[Website], "Not Found", 0)</f>
        <v>5</v>
      </c>
      <c r="T1953" s="5">
        <f>_xlfn.XLOOKUP(CustomerCombined[[#This Row],[ID]], Table4[ID], Table4[Catalog], "Not Found", 0)</f>
        <v>2</v>
      </c>
      <c r="U1953" s="5">
        <f>_xlfn.XLOOKUP(CustomerCombined[[#This Row],[ID]], Table4[ID], Table4[Store], "Not Found", 0)</f>
        <v>5</v>
      </c>
      <c r="V1953" s="5">
        <f>_xlfn.XLOOKUP(CustomerCombined[[#This Row],[ID]], Table4[ID], Table4[Visits], "Not Found", 0)</f>
        <v>7</v>
      </c>
      <c r="W1953" s="8">
        <f>_xlfn.XLOOKUP(CustomerCombined[[#This Row],[ID]], Table2[ID],Table2[Complaint], "Not Found", 0 )</f>
        <v>0</v>
      </c>
      <c r="X1953" s="8">
        <f>_xlfn.XLOOKUP(CustomerCombined[[#This Row],[ID]], Table2[ID],Table2[Pilot], "Not Found", 0 )</f>
        <v>0</v>
      </c>
      <c r="Y1953" s="8">
        <f>_xlfn.XLOOKUP(CustomerCombined[[#This Row],[ID]], Table2[ID],Table2[MC1], "Not Found", 0 )</f>
        <v>0</v>
      </c>
      <c r="Z1953" s="8">
        <f>_xlfn.XLOOKUP(CustomerCombined[[#This Row],[ID]], Table2[ID],Table2[MC2], "Not Found", 0 )</f>
        <v>0</v>
      </c>
      <c r="AA1953" s="8">
        <f>_xlfn.XLOOKUP(CustomerCombined[[#This Row],[ID]], Table2[ID],Table2[MC3], "Not Found", 0 )</f>
        <v>0</v>
      </c>
      <c r="AB1953" s="8">
        <f>_xlfn.XLOOKUP(CustomerCombined[[#This Row],[ID]], Table2[ID],Table2[MC4], "Not Found", 0 )</f>
        <v>0</v>
      </c>
      <c r="AC1953" s="8">
        <f>_xlfn.XLOOKUP(CustomerCombined[[#This Row],[ID]], Table2[ID],Table2[MC5], "Not Found", 0 )</f>
        <v>0</v>
      </c>
    </row>
    <row r="1954" spans="1:29" x14ac:dyDescent="0.3">
      <c r="A1954" s="6">
        <v>1986</v>
      </c>
      <c r="B1954" s="6">
        <v>136130</v>
      </c>
      <c r="C1954" s="6">
        <v>0</v>
      </c>
      <c r="D1954" s="6">
        <v>1</v>
      </c>
      <c r="E1954" s="6">
        <v>66</v>
      </c>
      <c r="F1954" s="5" t="s">
        <v>7</v>
      </c>
      <c r="G1954" s="5" t="s">
        <v>11</v>
      </c>
      <c r="H1954" s="3">
        <v>43745</v>
      </c>
      <c r="I1954" s="5" t="s">
        <v>436</v>
      </c>
      <c r="J1954" s="5">
        <f>_xlfn.XLOOKUP(CustomerCombined[[#This Row],[ID]], Table4[ID], Table4[Recency], "Not Found", 0)</f>
        <v>46</v>
      </c>
      <c r="K1954" s="5">
        <f>_xlfn.XLOOKUP(CustomerCombined[[#This Row],[ID]], Table4[ID], Table4[Teas], "Not Found", 0)</f>
        <v>592</v>
      </c>
      <c r="L1954" s="5">
        <f>_xlfn.XLOOKUP(CustomerCombined[[#This Row],[ID]], Table4[ID], Table4[Fruits], "Not Found", 0)</f>
        <v>162</v>
      </c>
      <c r="M1954" s="5">
        <f>_xlfn.XLOOKUP(CustomerCombined[[#This Row],[ID]], Table4[ID], Table4[Meats], "Not Found", 0)</f>
        <v>479</v>
      </c>
      <c r="N1954" s="5">
        <f>_xlfn.XLOOKUP(CustomerCombined[[#This Row],[ID]], Table4[ID], Table4[Seafood], "Not Found", 0)</f>
        <v>256</v>
      </c>
      <c r="O1954" s="5">
        <f>_xlfn.XLOOKUP(CustomerCombined[[#This Row],[ID]], Table4[ID], Table4[Sweets], "Not Found", 0)</f>
        <v>211</v>
      </c>
      <c r="P1954" s="5">
        <f>_xlfn.XLOOKUP(CustomerCombined[[#This Row],[ID]], Table4[ID], Table4[Premium], "Not Found", 0)</f>
        <v>139</v>
      </c>
      <c r="Q1954" s="5">
        <f>_xlfn.XLOOKUP(CustomerCombined[[#This Row],[ID]], Table4[ID], Table4[Regular], "Not Found", 0)</f>
        <v>1560</v>
      </c>
      <c r="R1954" s="5">
        <f>_xlfn.XLOOKUP(CustomerCombined[[#This Row],[ID]], Table4[ID], Table4[Deals], "Not Found", 0)</f>
        <v>6</v>
      </c>
      <c r="S1954" s="5">
        <f>_xlfn.XLOOKUP(CustomerCombined[[#This Row],[ID]], Table4[ID], Table4[Website], "Not Found", 0)</f>
        <v>3</v>
      </c>
      <c r="T1954" s="5">
        <f>_xlfn.XLOOKUP(CustomerCombined[[#This Row],[ID]], Table4[ID], Table4[Catalog], "Not Found", 0)</f>
        <v>8</v>
      </c>
      <c r="U1954" s="5">
        <f>_xlfn.XLOOKUP(CustomerCombined[[#This Row],[ID]], Table4[ID], Table4[Store], "Not Found", 0)</f>
        <v>4</v>
      </c>
      <c r="V1954" s="5">
        <f>_xlfn.XLOOKUP(CustomerCombined[[#This Row],[ID]], Table4[ID], Table4[Visits], "Not Found", 0)</f>
        <v>4</v>
      </c>
      <c r="W1954" s="8">
        <f>_xlfn.XLOOKUP(CustomerCombined[[#This Row],[ID]], Table2[ID],Table2[Complaint], "Not Found", 0 )</f>
        <v>0</v>
      </c>
      <c r="X1954" s="8">
        <f>_xlfn.XLOOKUP(CustomerCombined[[#This Row],[ID]], Table2[ID],Table2[Pilot], "Not Found", 0 )</f>
        <v>1</v>
      </c>
      <c r="Y1954" s="8">
        <f>_xlfn.XLOOKUP(CustomerCombined[[#This Row],[ID]], Table2[ID],Table2[MC1], "Not Found", 0 )</f>
        <v>0</v>
      </c>
      <c r="Z1954" s="8">
        <f>_xlfn.XLOOKUP(CustomerCombined[[#This Row],[ID]], Table2[ID],Table2[MC2], "Not Found", 0 )</f>
        <v>0</v>
      </c>
      <c r="AA1954" s="8">
        <f>_xlfn.XLOOKUP(CustomerCombined[[#This Row],[ID]], Table2[ID],Table2[MC3], "Not Found", 0 )</f>
        <v>1</v>
      </c>
      <c r="AB1954" s="8">
        <f>_xlfn.XLOOKUP(CustomerCombined[[#This Row],[ID]], Table2[ID],Table2[MC4], "Not Found", 0 )</f>
        <v>0</v>
      </c>
      <c r="AC1954" s="8">
        <f>_xlfn.XLOOKUP(CustomerCombined[[#This Row],[ID]], Table2[ID],Table2[MC5], "Not Found", 0 )</f>
        <v>0</v>
      </c>
    </row>
    <row r="1955" spans="1:29" x14ac:dyDescent="0.3">
      <c r="A1955" s="6">
        <v>3175</v>
      </c>
      <c r="B1955" s="6">
        <v>132144</v>
      </c>
      <c r="C1955" s="6">
        <v>1</v>
      </c>
      <c r="D1955" s="6">
        <v>1</v>
      </c>
      <c r="E1955" s="6">
        <v>66</v>
      </c>
      <c r="F1955" s="5" t="s">
        <v>8</v>
      </c>
      <c r="G1955" s="5" t="s">
        <v>11</v>
      </c>
      <c r="H1955" s="3" t="s">
        <v>78</v>
      </c>
      <c r="I1955" s="5" t="s">
        <v>437</v>
      </c>
      <c r="J1955" s="5">
        <f>_xlfn.XLOOKUP(CustomerCombined[[#This Row],[ID]], Table4[ID], Table4[Recency], "Not Found", 0)</f>
        <v>76</v>
      </c>
      <c r="K1955" s="5">
        <f>_xlfn.XLOOKUP(CustomerCombined[[#This Row],[ID]], Table4[ID], Table4[Teas], "Not Found", 0)</f>
        <v>169</v>
      </c>
      <c r="L1955" s="5">
        <f>_xlfn.XLOOKUP(CustomerCombined[[#This Row],[ID]], Table4[ID], Table4[Fruits], "Not Found", 0)</f>
        <v>0</v>
      </c>
      <c r="M1955" s="5">
        <f>_xlfn.XLOOKUP(CustomerCombined[[#This Row],[ID]], Table4[ID], Table4[Meats], "Not Found", 0)</f>
        <v>41</v>
      </c>
      <c r="N1955" s="5">
        <f>_xlfn.XLOOKUP(CustomerCombined[[#This Row],[ID]], Table4[ID], Table4[Seafood], "Not Found", 0)</f>
        <v>0</v>
      </c>
      <c r="O1955" s="5">
        <f>_xlfn.XLOOKUP(CustomerCombined[[#This Row],[ID]], Table4[ID], Table4[Sweets], "Not Found", 0)</f>
        <v>0</v>
      </c>
      <c r="P1955" s="5">
        <f>_xlfn.XLOOKUP(CustomerCombined[[#This Row],[ID]], Table4[ID], Table4[Premium], "Not Found", 0)</f>
        <v>12</v>
      </c>
      <c r="Q1955" s="5">
        <f>_xlfn.XLOOKUP(CustomerCombined[[#This Row],[ID]], Table4[ID], Table4[Regular], "Not Found", 0)</f>
        <v>197</v>
      </c>
      <c r="R1955" s="5">
        <f>_xlfn.XLOOKUP(CustomerCombined[[#This Row],[ID]], Table4[ID], Table4[Deals], "Not Found", 0)</f>
        <v>4</v>
      </c>
      <c r="S1955" s="5">
        <f>_xlfn.XLOOKUP(CustomerCombined[[#This Row],[ID]], Table4[ID], Table4[Website], "Not Found", 0)</f>
        <v>2</v>
      </c>
      <c r="T1955" s="5">
        <f>_xlfn.XLOOKUP(CustomerCombined[[#This Row],[ID]], Table4[ID], Table4[Catalog], "Not Found", 0)</f>
        <v>1</v>
      </c>
      <c r="U1955" s="5">
        <f>_xlfn.XLOOKUP(CustomerCombined[[#This Row],[ID]], Table4[ID], Table4[Store], "Not Found", 0)</f>
        <v>3</v>
      </c>
      <c r="V1955" s="5">
        <f>_xlfn.XLOOKUP(CustomerCombined[[#This Row],[ID]], Table4[ID], Table4[Visits], "Not Found", 0)</f>
        <v>7</v>
      </c>
      <c r="W1955" s="8">
        <f>_xlfn.XLOOKUP(CustomerCombined[[#This Row],[ID]], Table2[ID],Table2[Complaint], "Not Found", 0 )</f>
        <v>0</v>
      </c>
      <c r="X1955" s="8">
        <f>_xlfn.XLOOKUP(CustomerCombined[[#This Row],[ID]], Table2[ID],Table2[Pilot], "Not Found", 0 )</f>
        <v>0</v>
      </c>
      <c r="Y1955" s="8">
        <f>_xlfn.XLOOKUP(CustomerCombined[[#This Row],[ID]], Table2[ID],Table2[MC1], "Not Found", 0 )</f>
        <v>0</v>
      </c>
      <c r="Z1955" s="8">
        <f>_xlfn.XLOOKUP(CustomerCombined[[#This Row],[ID]], Table2[ID],Table2[MC2], "Not Found", 0 )</f>
        <v>0</v>
      </c>
      <c r="AA1955" s="8">
        <f>_xlfn.XLOOKUP(CustomerCombined[[#This Row],[ID]], Table2[ID],Table2[MC3], "Not Found", 0 )</f>
        <v>0</v>
      </c>
      <c r="AB1955" s="8">
        <f>_xlfn.XLOOKUP(CustomerCombined[[#This Row],[ID]], Table2[ID],Table2[MC4], "Not Found", 0 )</f>
        <v>1</v>
      </c>
      <c r="AC1955" s="8">
        <f>_xlfn.XLOOKUP(CustomerCombined[[#This Row],[ID]], Table2[ID],Table2[MC5], "Not Found", 0 )</f>
        <v>0</v>
      </c>
    </row>
    <row r="1956" spans="1:29" x14ac:dyDescent="0.3">
      <c r="A1956" s="6">
        <v>1366</v>
      </c>
      <c r="B1956" s="6">
        <v>127421</v>
      </c>
      <c r="C1956" s="6">
        <v>0</v>
      </c>
      <c r="D1956" s="6">
        <v>0</v>
      </c>
      <c r="E1956" s="6">
        <v>66</v>
      </c>
      <c r="F1956" s="5" t="s">
        <v>9</v>
      </c>
      <c r="G1956" s="5" t="s">
        <v>11</v>
      </c>
      <c r="H1956" s="3" t="s">
        <v>346</v>
      </c>
      <c r="I1956" s="5" t="s">
        <v>439</v>
      </c>
      <c r="J1956" s="5">
        <f>_xlfn.XLOOKUP(CustomerCombined[[#This Row],[ID]], Table4[ID], Table4[Recency], "Not Found", 0)</f>
        <v>14</v>
      </c>
      <c r="K1956" s="5">
        <f>_xlfn.XLOOKUP(CustomerCombined[[#This Row],[ID]], Table4[ID], Table4[Teas], "Not Found", 0)</f>
        <v>200</v>
      </c>
      <c r="L1956" s="5">
        <f>_xlfn.XLOOKUP(CustomerCombined[[#This Row],[ID]], Table4[ID], Table4[Fruits], "Not Found", 0)</f>
        <v>56</v>
      </c>
      <c r="M1956" s="5">
        <f>_xlfn.XLOOKUP(CustomerCombined[[#This Row],[ID]], Table4[ID], Table4[Meats], "Not Found", 0)</f>
        <v>446</v>
      </c>
      <c r="N1956" s="5">
        <f>_xlfn.XLOOKUP(CustomerCombined[[#This Row],[ID]], Table4[ID], Table4[Seafood], "Not Found", 0)</f>
        <v>362</v>
      </c>
      <c r="O1956" s="5">
        <f>_xlfn.XLOOKUP(CustomerCombined[[#This Row],[ID]], Table4[ID], Table4[Sweets], "Not Found", 0)</f>
        <v>186</v>
      </c>
      <c r="P1956" s="5">
        <f>_xlfn.XLOOKUP(CustomerCombined[[#This Row],[ID]], Table4[ID], Table4[Premium], "Not Found", 0)</f>
        <v>256</v>
      </c>
      <c r="Q1956" s="5">
        <f>_xlfn.XLOOKUP(CustomerCombined[[#This Row],[ID]], Table4[ID], Table4[Regular], "Not Found", 0)</f>
        <v>994</v>
      </c>
      <c r="R1956" s="5">
        <f>_xlfn.XLOOKUP(CustomerCombined[[#This Row],[ID]], Table4[ID], Table4[Deals], "Not Found", 0)</f>
        <v>3</v>
      </c>
      <c r="S1956" s="5">
        <f>_xlfn.XLOOKUP(CustomerCombined[[#This Row],[ID]], Table4[ID], Table4[Website], "Not Found", 0)</f>
        <v>4</v>
      </c>
      <c r="T1956" s="5">
        <f>_xlfn.XLOOKUP(CustomerCombined[[#This Row],[ID]], Table4[ID], Table4[Catalog], "Not Found", 0)</f>
        <v>1</v>
      </c>
      <c r="U1956" s="5">
        <f>_xlfn.XLOOKUP(CustomerCombined[[#This Row],[ID]], Table4[ID], Table4[Store], "Not Found", 0)</f>
        <v>6</v>
      </c>
      <c r="V1956" s="5">
        <f>_xlfn.XLOOKUP(CustomerCombined[[#This Row],[ID]], Table4[ID], Table4[Visits], "Not Found", 0)</f>
        <v>7</v>
      </c>
      <c r="W1956" s="8">
        <f>_xlfn.XLOOKUP(CustomerCombined[[#This Row],[ID]], Table2[ID],Table2[Complaint], "Not Found", 0 )</f>
        <v>0</v>
      </c>
      <c r="X1956" s="8">
        <f>_xlfn.XLOOKUP(CustomerCombined[[#This Row],[ID]], Table2[ID],Table2[Pilot], "Not Found", 0 )</f>
        <v>0</v>
      </c>
      <c r="Y1956" s="8">
        <f>_xlfn.XLOOKUP(CustomerCombined[[#This Row],[ID]], Table2[ID],Table2[MC1], "Not Found", 0 )</f>
        <v>0</v>
      </c>
      <c r="Z1956" s="8">
        <f>_xlfn.XLOOKUP(CustomerCombined[[#This Row],[ID]], Table2[ID],Table2[MC2], "Not Found", 0 )</f>
        <v>0</v>
      </c>
      <c r="AA1956" s="8">
        <f>_xlfn.XLOOKUP(CustomerCombined[[#This Row],[ID]], Table2[ID],Table2[MC3], "Not Found", 0 )</f>
        <v>0</v>
      </c>
      <c r="AB1956" s="8">
        <f>_xlfn.XLOOKUP(CustomerCombined[[#This Row],[ID]], Table2[ID],Table2[MC4], "Not Found", 0 )</f>
        <v>0</v>
      </c>
      <c r="AC1956" s="8">
        <f>_xlfn.XLOOKUP(CustomerCombined[[#This Row],[ID]], Table2[ID],Table2[MC5], "Not Found", 0 )</f>
        <v>0</v>
      </c>
    </row>
    <row r="1957" spans="1:29" x14ac:dyDescent="0.3">
      <c r="A1957" s="6">
        <v>1798</v>
      </c>
      <c r="B1957" s="6">
        <v>122507</v>
      </c>
      <c r="C1957" s="6">
        <v>0</v>
      </c>
      <c r="D1957" s="6">
        <v>0</v>
      </c>
      <c r="E1957" s="6">
        <v>66</v>
      </c>
      <c r="F1957" s="5" t="s">
        <v>7</v>
      </c>
      <c r="G1957" s="5" t="s">
        <v>11</v>
      </c>
      <c r="H1957" s="3">
        <v>43470</v>
      </c>
      <c r="I1957" s="5" t="s">
        <v>439</v>
      </c>
      <c r="J1957" s="5">
        <f>_xlfn.XLOOKUP(CustomerCombined[[#This Row],[ID]], Table4[ID], Table4[Recency], "Not Found", 0)</f>
        <v>67</v>
      </c>
      <c r="K1957" s="5">
        <f>_xlfn.XLOOKUP(CustomerCombined[[#This Row],[ID]], Table4[ID], Table4[Teas], "Not Found", 0)</f>
        <v>370</v>
      </c>
      <c r="L1957" s="5">
        <f>_xlfn.XLOOKUP(CustomerCombined[[#This Row],[ID]], Table4[ID], Table4[Fruits], "Not Found", 0)</f>
        <v>0</v>
      </c>
      <c r="M1957" s="5">
        <f>_xlfn.XLOOKUP(CustomerCombined[[#This Row],[ID]], Table4[ID], Table4[Meats], "Not Found", 0)</f>
        <v>1230</v>
      </c>
      <c r="N1957" s="5">
        <f>_xlfn.XLOOKUP(CustomerCombined[[#This Row],[ID]], Table4[ID], Table4[Seafood], "Not Found", 0)</f>
        <v>278</v>
      </c>
      <c r="O1957" s="5">
        <f>_xlfn.XLOOKUP(CustomerCombined[[#This Row],[ID]], Table4[ID], Table4[Sweets], "Not Found", 0)</f>
        <v>855</v>
      </c>
      <c r="P1957" s="5">
        <f>_xlfn.XLOOKUP(CustomerCombined[[#This Row],[ID]], Table4[ID], Table4[Premium], "Not Found", 0)</f>
        <v>370</v>
      </c>
      <c r="Q1957" s="5">
        <f>_xlfn.XLOOKUP(CustomerCombined[[#This Row],[ID]], Table4[ID], Table4[Regular], "Not Found", 0)</f>
        <v>2362</v>
      </c>
      <c r="R1957" s="5">
        <f>_xlfn.XLOOKUP(CustomerCombined[[#This Row],[ID]], Table4[ID], Table4[Deals], "Not Found", 0)</f>
        <v>3</v>
      </c>
      <c r="S1957" s="5">
        <f>_xlfn.XLOOKUP(CustomerCombined[[#This Row],[ID]], Table4[ID], Table4[Website], "Not Found", 0)</f>
        <v>10</v>
      </c>
      <c r="T1957" s="5">
        <f>_xlfn.XLOOKUP(CustomerCombined[[#This Row],[ID]], Table4[ID], Table4[Catalog], "Not Found", 0)</f>
        <v>2</v>
      </c>
      <c r="U1957" s="5">
        <f>_xlfn.XLOOKUP(CustomerCombined[[#This Row],[ID]], Table4[ID], Table4[Store], "Not Found", 0)</f>
        <v>4</v>
      </c>
      <c r="V1957" s="5">
        <f>_xlfn.XLOOKUP(CustomerCombined[[#This Row],[ID]], Table4[ID], Table4[Visits], "Not Found", 0)</f>
        <v>9</v>
      </c>
      <c r="W1957" s="8">
        <f>_xlfn.XLOOKUP(CustomerCombined[[#This Row],[ID]], Table2[ID],Table2[Complaint], "Not Found", 0 )</f>
        <v>0</v>
      </c>
      <c r="X1957" s="8">
        <f>_xlfn.XLOOKUP(CustomerCombined[[#This Row],[ID]], Table2[ID],Table2[Pilot], "Not Found", 0 )</f>
        <v>0</v>
      </c>
      <c r="Y1957" s="8">
        <f>_xlfn.XLOOKUP(CustomerCombined[[#This Row],[ID]], Table2[ID],Table2[MC1], "Not Found", 0 )</f>
        <v>0</v>
      </c>
      <c r="Z1957" s="8">
        <f>_xlfn.XLOOKUP(CustomerCombined[[#This Row],[ID]], Table2[ID],Table2[MC2], "Not Found", 0 )</f>
        <v>0</v>
      </c>
      <c r="AA1957" s="8">
        <f>_xlfn.XLOOKUP(CustomerCombined[[#This Row],[ID]], Table2[ID],Table2[MC3], "Not Found", 0 )</f>
        <v>0</v>
      </c>
      <c r="AB1957" s="8">
        <f>_xlfn.XLOOKUP(CustomerCombined[[#This Row],[ID]], Table2[ID],Table2[MC4], "Not Found", 0 )</f>
        <v>0</v>
      </c>
      <c r="AC1957" s="8">
        <f>_xlfn.XLOOKUP(CustomerCombined[[#This Row],[ID]], Table2[ID],Table2[MC5], "Not Found", 0 )</f>
        <v>0</v>
      </c>
    </row>
    <row r="1958" spans="1:29" x14ac:dyDescent="0.3">
      <c r="A1958" s="6">
        <v>1924</v>
      </c>
      <c r="B1958" s="6">
        <v>194384</v>
      </c>
      <c r="C1958" s="6">
        <v>0</v>
      </c>
      <c r="D1958" s="6">
        <v>0</v>
      </c>
      <c r="E1958" s="6">
        <v>67</v>
      </c>
      <c r="F1958" s="5" t="s">
        <v>8</v>
      </c>
      <c r="G1958" s="5" t="s">
        <v>11</v>
      </c>
      <c r="H1958" s="3">
        <v>43716</v>
      </c>
      <c r="I1958" s="5" t="s">
        <v>439</v>
      </c>
      <c r="J1958" s="5">
        <f>_xlfn.XLOOKUP(CustomerCombined[[#This Row],[ID]], Table4[ID], Table4[Recency], "Not Found", 0)</f>
        <v>62</v>
      </c>
      <c r="K1958" s="5">
        <f>_xlfn.XLOOKUP(CustomerCombined[[#This Row],[ID]], Table4[ID], Table4[Teas], "Not Found", 0)</f>
        <v>2288</v>
      </c>
      <c r="L1958" s="5">
        <f>_xlfn.XLOOKUP(CustomerCombined[[#This Row],[ID]], Table4[ID], Table4[Fruits], "Not Found", 0)</f>
        <v>49</v>
      </c>
      <c r="M1958" s="5">
        <f>_xlfn.XLOOKUP(CustomerCombined[[#This Row],[ID]], Table4[ID], Table4[Meats], "Not Found", 0)</f>
        <v>1627</v>
      </c>
      <c r="N1958" s="5">
        <f>_xlfn.XLOOKUP(CustomerCombined[[#This Row],[ID]], Table4[ID], Table4[Seafood], "Not Found", 0)</f>
        <v>330</v>
      </c>
      <c r="O1958" s="5">
        <f>_xlfn.XLOOKUP(CustomerCombined[[#This Row],[ID]], Table4[ID], Table4[Sweets], "Not Found", 0)</f>
        <v>93</v>
      </c>
      <c r="P1958" s="5">
        <f>_xlfn.XLOOKUP(CustomerCombined[[#This Row],[ID]], Table4[ID], Table4[Premium], "Not Found", 0)</f>
        <v>354</v>
      </c>
      <c r="Q1958" s="5">
        <f>_xlfn.XLOOKUP(CustomerCombined[[#This Row],[ID]], Table4[ID], Table4[Regular], "Not Found", 0)</f>
        <v>4033</v>
      </c>
      <c r="R1958" s="5">
        <f>_xlfn.XLOOKUP(CustomerCombined[[#This Row],[ID]], Table4[ID], Table4[Deals], "Not Found", 0)</f>
        <v>0</v>
      </c>
      <c r="S1958" s="5">
        <f>_xlfn.XLOOKUP(CustomerCombined[[#This Row],[ID]], Table4[ID], Table4[Website], "Not Found", 0)</f>
        <v>5</v>
      </c>
      <c r="T1958" s="5">
        <f>_xlfn.XLOOKUP(CustomerCombined[[#This Row],[ID]], Table4[ID], Table4[Catalog], "Not Found", 0)</f>
        <v>8</v>
      </c>
      <c r="U1958" s="5">
        <f>_xlfn.XLOOKUP(CustomerCombined[[#This Row],[ID]], Table4[ID], Table4[Store], "Not Found", 0)</f>
        <v>5</v>
      </c>
      <c r="V1958" s="5">
        <f>_xlfn.XLOOKUP(CustomerCombined[[#This Row],[ID]], Table4[ID], Table4[Visits], "Not Found", 0)</f>
        <v>2</v>
      </c>
      <c r="W1958" s="8">
        <f>_xlfn.XLOOKUP(CustomerCombined[[#This Row],[ID]], Table2[ID],Table2[Complaint], "Not Found", 0 )</f>
        <v>0</v>
      </c>
      <c r="X1958" s="8">
        <f>_xlfn.XLOOKUP(CustomerCombined[[#This Row],[ID]], Table2[ID],Table2[Pilot], "Not Found", 0 )</f>
        <v>1</v>
      </c>
      <c r="Y1958" s="8">
        <f>_xlfn.XLOOKUP(CustomerCombined[[#This Row],[ID]], Table2[ID],Table2[MC1], "Not Found", 0 )</f>
        <v>1</v>
      </c>
      <c r="Z1958" s="8">
        <f>_xlfn.XLOOKUP(CustomerCombined[[#This Row],[ID]], Table2[ID],Table2[MC2], "Not Found", 0 )</f>
        <v>0</v>
      </c>
      <c r="AA1958" s="8">
        <f>_xlfn.XLOOKUP(CustomerCombined[[#This Row],[ID]], Table2[ID],Table2[MC3], "Not Found", 0 )</f>
        <v>0</v>
      </c>
      <c r="AB1958" s="8">
        <f>_xlfn.XLOOKUP(CustomerCombined[[#This Row],[ID]], Table2[ID],Table2[MC4], "Not Found", 0 )</f>
        <v>1</v>
      </c>
      <c r="AC1958" s="8">
        <f>_xlfn.XLOOKUP(CustomerCombined[[#This Row],[ID]], Table2[ID],Table2[MC5], "Not Found", 0 )</f>
        <v>1</v>
      </c>
    </row>
    <row r="1959" spans="1:29" x14ac:dyDescent="0.3">
      <c r="A1959" s="6">
        <v>2281</v>
      </c>
      <c r="B1959" s="6">
        <v>194384</v>
      </c>
      <c r="C1959" s="6">
        <v>0</v>
      </c>
      <c r="D1959" s="6">
        <v>0</v>
      </c>
      <c r="E1959" s="6">
        <v>67</v>
      </c>
      <c r="F1959" s="5" t="s">
        <v>8</v>
      </c>
      <c r="G1959" s="5" t="s">
        <v>11</v>
      </c>
      <c r="H1959" s="3">
        <v>43716</v>
      </c>
      <c r="I1959" s="5" t="s">
        <v>437</v>
      </c>
      <c r="J1959" s="5">
        <f>_xlfn.XLOOKUP(CustomerCombined[[#This Row],[ID]], Table4[ID], Table4[Recency], "Not Found", 0)</f>
        <v>62</v>
      </c>
      <c r="K1959" s="5">
        <f>_xlfn.XLOOKUP(CustomerCombined[[#This Row],[ID]], Table4[ID], Table4[Teas], "Not Found", 0)</f>
        <v>2288</v>
      </c>
      <c r="L1959" s="5">
        <f>_xlfn.XLOOKUP(CustomerCombined[[#This Row],[ID]], Table4[ID], Table4[Fruits], "Not Found", 0)</f>
        <v>49</v>
      </c>
      <c r="M1959" s="5">
        <f>_xlfn.XLOOKUP(CustomerCombined[[#This Row],[ID]], Table4[ID], Table4[Meats], "Not Found", 0)</f>
        <v>1627</v>
      </c>
      <c r="N1959" s="5">
        <f>_xlfn.XLOOKUP(CustomerCombined[[#This Row],[ID]], Table4[ID], Table4[Seafood], "Not Found", 0)</f>
        <v>330</v>
      </c>
      <c r="O1959" s="5">
        <f>_xlfn.XLOOKUP(CustomerCombined[[#This Row],[ID]], Table4[ID], Table4[Sweets], "Not Found", 0)</f>
        <v>93</v>
      </c>
      <c r="P1959" s="5">
        <f>_xlfn.XLOOKUP(CustomerCombined[[#This Row],[ID]], Table4[ID], Table4[Premium], "Not Found", 0)</f>
        <v>354</v>
      </c>
      <c r="Q1959" s="5">
        <f>_xlfn.XLOOKUP(CustomerCombined[[#This Row],[ID]], Table4[ID], Table4[Regular], "Not Found", 0)</f>
        <v>4033</v>
      </c>
      <c r="R1959" s="5">
        <f>_xlfn.XLOOKUP(CustomerCombined[[#This Row],[ID]], Table4[ID], Table4[Deals], "Not Found", 0)</f>
        <v>0</v>
      </c>
      <c r="S1959" s="5">
        <f>_xlfn.XLOOKUP(CustomerCombined[[#This Row],[ID]], Table4[ID], Table4[Website], "Not Found", 0)</f>
        <v>5</v>
      </c>
      <c r="T1959" s="5">
        <f>_xlfn.XLOOKUP(CustomerCombined[[#This Row],[ID]], Table4[ID], Table4[Catalog], "Not Found", 0)</f>
        <v>8</v>
      </c>
      <c r="U1959" s="5">
        <f>_xlfn.XLOOKUP(CustomerCombined[[#This Row],[ID]], Table4[ID], Table4[Store], "Not Found", 0)</f>
        <v>5</v>
      </c>
      <c r="V1959" s="5">
        <f>_xlfn.XLOOKUP(CustomerCombined[[#This Row],[ID]], Table4[ID], Table4[Visits], "Not Found", 0)</f>
        <v>2</v>
      </c>
      <c r="W1959" s="8">
        <f>_xlfn.XLOOKUP(CustomerCombined[[#This Row],[ID]], Table2[ID],Table2[Complaint], "Not Found", 0 )</f>
        <v>0</v>
      </c>
      <c r="X1959" s="8">
        <f>_xlfn.XLOOKUP(CustomerCombined[[#This Row],[ID]], Table2[ID],Table2[Pilot], "Not Found", 0 )</f>
        <v>1</v>
      </c>
      <c r="Y1959" s="8">
        <f>_xlfn.XLOOKUP(CustomerCombined[[#This Row],[ID]], Table2[ID],Table2[MC1], "Not Found", 0 )</f>
        <v>1</v>
      </c>
      <c r="Z1959" s="8">
        <f>_xlfn.XLOOKUP(CustomerCombined[[#This Row],[ID]], Table2[ID],Table2[MC2], "Not Found", 0 )</f>
        <v>0</v>
      </c>
      <c r="AA1959" s="8">
        <f>_xlfn.XLOOKUP(CustomerCombined[[#This Row],[ID]], Table2[ID],Table2[MC3], "Not Found", 0 )</f>
        <v>0</v>
      </c>
      <c r="AB1959" s="8">
        <f>_xlfn.XLOOKUP(CustomerCombined[[#This Row],[ID]], Table2[ID],Table2[MC4], "Not Found", 0 )</f>
        <v>1</v>
      </c>
      <c r="AC1959" s="8">
        <f>_xlfn.XLOOKUP(CustomerCombined[[#This Row],[ID]], Table2[ID],Table2[MC5], "Not Found", 0 )</f>
        <v>1</v>
      </c>
    </row>
    <row r="1960" spans="1:29" x14ac:dyDescent="0.3">
      <c r="A1960" s="6">
        <v>2816</v>
      </c>
      <c r="B1960" s="6">
        <v>184953</v>
      </c>
      <c r="C1960" s="6">
        <v>0</v>
      </c>
      <c r="D1960" s="6">
        <v>0</v>
      </c>
      <c r="E1960" s="6">
        <v>67</v>
      </c>
      <c r="F1960" s="5" t="s">
        <v>9</v>
      </c>
      <c r="G1960" s="5" t="s">
        <v>12</v>
      </c>
      <c r="H1960" s="3">
        <v>43688</v>
      </c>
      <c r="I1960" s="5" t="s">
        <v>438</v>
      </c>
      <c r="J1960" s="5">
        <f>_xlfn.XLOOKUP(CustomerCombined[[#This Row],[ID]], Table4[ID], Table4[Recency], "Not Found", 0)</f>
        <v>73</v>
      </c>
      <c r="K1960" s="5">
        <f>_xlfn.XLOOKUP(CustomerCombined[[#This Row],[ID]], Table4[ID], Table4[Teas], "Not Found", 0)</f>
        <v>364</v>
      </c>
      <c r="L1960" s="5">
        <f>_xlfn.XLOOKUP(CustomerCombined[[#This Row],[ID]], Table4[ID], Table4[Fruits], "Not Found", 0)</f>
        <v>105</v>
      </c>
      <c r="M1960" s="5">
        <f>_xlfn.XLOOKUP(CustomerCombined[[#This Row],[ID]], Table4[ID], Table4[Meats], "Not Found", 0)</f>
        <v>1311</v>
      </c>
      <c r="N1960" s="5">
        <f>_xlfn.XLOOKUP(CustomerCombined[[#This Row],[ID]], Table4[ID], Table4[Seafood], "Not Found", 0)</f>
        <v>137</v>
      </c>
      <c r="O1960" s="5">
        <f>_xlfn.XLOOKUP(CustomerCombined[[#This Row],[ID]], Table4[ID], Table4[Sweets], "Not Found", 0)</f>
        <v>157</v>
      </c>
      <c r="P1960" s="5">
        <f>_xlfn.XLOOKUP(CustomerCombined[[#This Row],[ID]], Table4[ID], Table4[Premium], "Not Found", 0)</f>
        <v>157</v>
      </c>
      <c r="Q1960" s="5">
        <f>_xlfn.XLOOKUP(CustomerCombined[[#This Row],[ID]], Table4[ID], Table4[Regular], "Not Found", 0)</f>
        <v>1916</v>
      </c>
      <c r="R1960" s="5">
        <f>_xlfn.XLOOKUP(CustomerCombined[[#This Row],[ID]], Table4[ID], Table4[Deals], "Not Found", 0)</f>
        <v>1</v>
      </c>
      <c r="S1960" s="5">
        <f>_xlfn.XLOOKUP(CustomerCombined[[#This Row],[ID]], Table4[ID], Table4[Website], "Not Found", 0)</f>
        <v>3</v>
      </c>
      <c r="T1960" s="5">
        <f>_xlfn.XLOOKUP(CustomerCombined[[#This Row],[ID]], Table4[ID], Table4[Catalog], "Not Found", 0)</f>
        <v>10</v>
      </c>
      <c r="U1960" s="5">
        <f>_xlfn.XLOOKUP(CustomerCombined[[#This Row],[ID]], Table4[ID], Table4[Store], "Not Found", 0)</f>
        <v>4</v>
      </c>
      <c r="V1960" s="5">
        <f>_xlfn.XLOOKUP(CustomerCombined[[#This Row],[ID]], Table4[ID], Table4[Visits], "Not Found", 0)</f>
        <v>2</v>
      </c>
      <c r="W1960" s="8">
        <f>_xlfn.XLOOKUP(CustomerCombined[[#This Row],[ID]], Table2[ID],Table2[Complaint], "Not Found", 0 )</f>
        <v>0</v>
      </c>
      <c r="X1960" s="8">
        <f>_xlfn.XLOOKUP(CustomerCombined[[#This Row],[ID]], Table2[ID],Table2[Pilot], "Not Found", 0 )</f>
        <v>1</v>
      </c>
      <c r="Y1960" s="8">
        <f>_xlfn.XLOOKUP(CustomerCombined[[#This Row],[ID]], Table2[ID],Table2[MC1], "Not Found", 0 )</f>
        <v>1</v>
      </c>
      <c r="Z1960" s="8">
        <f>_xlfn.XLOOKUP(CustomerCombined[[#This Row],[ID]], Table2[ID],Table2[MC2], "Not Found", 0 )</f>
        <v>0</v>
      </c>
      <c r="AA1960" s="8">
        <f>_xlfn.XLOOKUP(CustomerCombined[[#This Row],[ID]], Table2[ID],Table2[MC3], "Not Found", 0 )</f>
        <v>0</v>
      </c>
      <c r="AB1960" s="8">
        <f>_xlfn.XLOOKUP(CustomerCombined[[#This Row],[ID]], Table2[ID],Table2[MC4], "Not Found", 0 )</f>
        <v>1</v>
      </c>
      <c r="AC1960" s="8">
        <f>_xlfn.XLOOKUP(CustomerCombined[[#This Row],[ID]], Table2[ID],Table2[MC5], "Not Found", 0 )</f>
        <v>1</v>
      </c>
    </row>
    <row r="1961" spans="1:29" x14ac:dyDescent="0.3">
      <c r="A1961" s="6">
        <v>1856</v>
      </c>
      <c r="B1961" s="6">
        <v>180812</v>
      </c>
      <c r="C1961" s="6">
        <v>0</v>
      </c>
      <c r="D1961" s="6">
        <v>0</v>
      </c>
      <c r="E1961" s="6">
        <v>67</v>
      </c>
      <c r="F1961" s="5" t="s">
        <v>8</v>
      </c>
      <c r="G1961" s="5" t="s">
        <v>11</v>
      </c>
      <c r="H1961" s="3" t="s">
        <v>182</v>
      </c>
      <c r="I1961" s="5" t="s">
        <v>438</v>
      </c>
      <c r="J1961" s="5">
        <f>_xlfn.XLOOKUP(CustomerCombined[[#This Row],[ID]], Table4[ID], Table4[Recency], "Not Found", 0)</f>
        <v>95</v>
      </c>
      <c r="K1961" s="5">
        <f>_xlfn.XLOOKUP(CustomerCombined[[#This Row],[ID]], Table4[ID], Table4[Teas], "Not Found", 0)</f>
        <v>1721</v>
      </c>
      <c r="L1961" s="5">
        <f>_xlfn.XLOOKUP(CustomerCombined[[#This Row],[ID]], Table4[ID], Table4[Fruits], "Not Found", 0)</f>
        <v>49</v>
      </c>
      <c r="M1961" s="5">
        <f>_xlfn.XLOOKUP(CustomerCombined[[#This Row],[ID]], Table4[ID], Table4[Meats], "Not Found", 0)</f>
        <v>1119</v>
      </c>
      <c r="N1961" s="5">
        <f>_xlfn.XLOOKUP(CustomerCombined[[#This Row],[ID]], Table4[ID], Table4[Seafood], "Not Found", 0)</f>
        <v>470</v>
      </c>
      <c r="O1961" s="5">
        <f>_xlfn.XLOOKUP(CustomerCombined[[#This Row],[ID]], Table4[ID], Table4[Sweets], "Not Found", 0)</f>
        <v>320</v>
      </c>
      <c r="P1961" s="5">
        <f>_xlfn.XLOOKUP(CustomerCombined[[#This Row],[ID]], Table4[ID], Table4[Premium], "Not Found", 0)</f>
        <v>74</v>
      </c>
      <c r="Q1961" s="5">
        <f>_xlfn.XLOOKUP(CustomerCombined[[#This Row],[ID]], Table4[ID], Table4[Regular], "Not Found", 0)</f>
        <v>3605</v>
      </c>
      <c r="R1961" s="5">
        <f>_xlfn.XLOOKUP(CustomerCombined[[#This Row],[ID]], Table4[ID], Table4[Deals], "Not Found", 0)</f>
        <v>1</v>
      </c>
      <c r="S1961" s="5">
        <f>_xlfn.XLOOKUP(CustomerCombined[[#This Row],[ID]], Table4[ID], Table4[Website], "Not Found", 0)</f>
        <v>4</v>
      </c>
      <c r="T1961" s="5">
        <f>_xlfn.XLOOKUP(CustomerCombined[[#This Row],[ID]], Table4[ID], Table4[Catalog], "Not Found", 0)</f>
        <v>8</v>
      </c>
      <c r="U1961" s="5">
        <f>_xlfn.XLOOKUP(CustomerCombined[[#This Row],[ID]], Table4[ID], Table4[Store], "Not Found", 0)</f>
        <v>5</v>
      </c>
      <c r="V1961" s="5">
        <f>_xlfn.XLOOKUP(CustomerCombined[[#This Row],[ID]], Table4[ID], Table4[Visits], "Not Found", 0)</f>
        <v>2</v>
      </c>
      <c r="W1961" s="8">
        <f>_xlfn.XLOOKUP(CustomerCombined[[#This Row],[ID]], Table2[ID],Table2[Complaint], "Not Found", 0 )</f>
        <v>0</v>
      </c>
      <c r="X1961" s="8">
        <f>_xlfn.XLOOKUP(CustomerCombined[[#This Row],[ID]], Table2[ID],Table2[Pilot], "Not Found", 0 )</f>
        <v>0</v>
      </c>
      <c r="Y1961" s="8">
        <f>_xlfn.XLOOKUP(CustomerCombined[[#This Row],[ID]], Table2[ID],Table2[MC1], "Not Found", 0 )</f>
        <v>1</v>
      </c>
      <c r="Z1961" s="8">
        <f>_xlfn.XLOOKUP(CustomerCombined[[#This Row],[ID]], Table2[ID],Table2[MC2], "Not Found", 0 )</f>
        <v>0</v>
      </c>
      <c r="AA1961" s="8">
        <f>_xlfn.XLOOKUP(CustomerCombined[[#This Row],[ID]], Table2[ID],Table2[MC3], "Not Found", 0 )</f>
        <v>1</v>
      </c>
      <c r="AB1961" s="8">
        <f>_xlfn.XLOOKUP(CustomerCombined[[#This Row],[ID]], Table2[ID],Table2[MC4], "Not Found", 0 )</f>
        <v>0</v>
      </c>
      <c r="AC1961" s="8">
        <f>_xlfn.XLOOKUP(CustomerCombined[[#This Row],[ID]], Table2[ID],Table2[MC5], "Not Found", 0 )</f>
        <v>1</v>
      </c>
    </row>
    <row r="1962" spans="1:29" x14ac:dyDescent="0.3">
      <c r="A1962" s="6">
        <v>1234</v>
      </c>
      <c r="B1962" s="6">
        <v>175027</v>
      </c>
      <c r="C1962" s="6">
        <v>0</v>
      </c>
      <c r="D1962" s="6">
        <v>1</v>
      </c>
      <c r="E1962" s="6">
        <v>67</v>
      </c>
      <c r="F1962" s="5" t="s">
        <v>6</v>
      </c>
      <c r="G1962" s="5" t="s">
        <v>11</v>
      </c>
      <c r="H1962" s="3" t="s">
        <v>331</v>
      </c>
      <c r="I1962" s="5" t="s">
        <v>439</v>
      </c>
      <c r="J1962" s="5">
        <f>_xlfn.XLOOKUP(CustomerCombined[[#This Row],[ID]], Table4[ID], Table4[Recency], "Not Found", 0)</f>
        <v>74</v>
      </c>
      <c r="K1962" s="5">
        <f>_xlfn.XLOOKUP(CustomerCombined[[#This Row],[ID]], Table4[ID], Table4[Teas], "Not Found", 0)</f>
        <v>2158</v>
      </c>
      <c r="L1962" s="5">
        <f>_xlfn.XLOOKUP(CustomerCombined[[#This Row],[ID]], Table4[ID], Table4[Fruits], "Not Found", 0)</f>
        <v>149</v>
      </c>
      <c r="M1962" s="5">
        <f>_xlfn.XLOOKUP(CustomerCombined[[#This Row],[ID]], Table4[ID], Table4[Meats], "Not Found", 0)</f>
        <v>418</v>
      </c>
      <c r="N1962" s="5">
        <f>_xlfn.XLOOKUP(CustomerCombined[[#This Row],[ID]], Table4[ID], Table4[Seafood], "Not Found", 0)</f>
        <v>310</v>
      </c>
      <c r="O1962" s="5">
        <f>_xlfn.XLOOKUP(CustomerCombined[[#This Row],[ID]], Table4[ID], Table4[Sweets], "Not Found", 0)</f>
        <v>28</v>
      </c>
      <c r="P1962" s="5">
        <f>_xlfn.XLOOKUP(CustomerCombined[[#This Row],[ID]], Table4[ID], Table4[Premium], "Not Found", 0)</f>
        <v>180</v>
      </c>
      <c r="Q1962" s="5">
        <f>_xlfn.XLOOKUP(CustomerCombined[[#This Row],[ID]], Table4[ID], Table4[Regular], "Not Found", 0)</f>
        <v>2883</v>
      </c>
      <c r="R1962" s="5">
        <f>_xlfn.XLOOKUP(CustomerCombined[[#This Row],[ID]], Table4[ID], Table4[Deals], "Not Found", 0)</f>
        <v>2</v>
      </c>
      <c r="S1962" s="5">
        <f>_xlfn.XLOOKUP(CustomerCombined[[#This Row],[ID]], Table4[ID], Table4[Website], "Not Found", 0)</f>
        <v>9</v>
      </c>
      <c r="T1962" s="5">
        <f>_xlfn.XLOOKUP(CustomerCombined[[#This Row],[ID]], Table4[ID], Table4[Catalog], "Not Found", 0)</f>
        <v>4</v>
      </c>
      <c r="U1962" s="5">
        <f>_xlfn.XLOOKUP(CustomerCombined[[#This Row],[ID]], Table4[ID], Table4[Store], "Not Found", 0)</f>
        <v>6</v>
      </c>
      <c r="V1962" s="5">
        <f>_xlfn.XLOOKUP(CustomerCombined[[#This Row],[ID]], Table4[ID], Table4[Visits], "Not Found", 0)</f>
        <v>5</v>
      </c>
      <c r="W1962" s="8">
        <f>_xlfn.XLOOKUP(CustomerCombined[[#This Row],[ID]], Table2[ID],Table2[Complaint], "Not Found", 0 )</f>
        <v>0</v>
      </c>
      <c r="X1962" s="8">
        <f>_xlfn.XLOOKUP(CustomerCombined[[#This Row],[ID]], Table2[ID],Table2[Pilot], "Not Found", 0 )</f>
        <v>0</v>
      </c>
      <c r="Y1962" s="8">
        <f>_xlfn.XLOOKUP(CustomerCombined[[#This Row],[ID]], Table2[ID],Table2[MC1], "Not Found", 0 )</f>
        <v>0</v>
      </c>
      <c r="Z1962" s="8">
        <f>_xlfn.XLOOKUP(CustomerCombined[[#This Row],[ID]], Table2[ID],Table2[MC2], "Not Found", 0 )</f>
        <v>0</v>
      </c>
      <c r="AA1962" s="8">
        <f>_xlfn.XLOOKUP(CustomerCombined[[#This Row],[ID]], Table2[ID],Table2[MC3], "Not Found", 0 )</f>
        <v>0</v>
      </c>
      <c r="AB1962" s="8">
        <f>_xlfn.XLOOKUP(CustomerCombined[[#This Row],[ID]], Table2[ID],Table2[MC4], "Not Found", 0 )</f>
        <v>0</v>
      </c>
      <c r="AC1962" s="8">
        <f>_xlfn.XLOOKUP(CustomerCombined[[#This Row],[ID]], Table2[ID],Table2[MC5], "Not Found", 0 )</f>
        <v>0</v>
      </c>
    </row>
    <row r="1963" spans="1:29" x14ac:dyDescent="0.3">
      <c r="A1963" s="6">
        <v>2428</v>
      </c>
      <c r="B1963" s="6">
        <v>173892</v>
      </c>
      <c r="C1963" s="6">
        <v>0</v>
      </c>
      <c r="D1963" s="6">
        <v>0</v>
      </c>
      <c r="E1963" s="6">
        <v>67</v>
      </c>
      <c r="F1963" s="5" t="s">
        <v>7</v>
      </c>
      <c r="G1963" s="5" t="s">
        <v>11</v>
      </c>
      <c r="H1963" s="3" t="s">
        <v>151</v>
      </c>
      <c r="I1963" s="5" t="s">
        <v>439</v>
      </c>
      <c r="J1963" s="5">
        <f>_xlfn.XLOOKUP(CustomerCombined[[#This Row],[ID]], Table4[ID], Table4[Recency], "Not Found", 0)</f>
        <v>40</v>
      </c>
      <c r="K1963" s="5">
        <f>_xlfn.XLOOKUP(CustomerCombined[[#This Row],[ID]], Table4[ID], Table4[Teas], "Not Found", 0)</f>
        <v>1654</v>
      </c>
      <c r="L1963" s="5">
        <f>_xlfn.XLOOKUP(CustomerCombined[[#This Row],[ID]], Table4[ID], Table4[Fruits], "Not Found", 0)</f>
        <v>240</v>
      </c>
      <c r="M1963" s="5">
        <f>_xlfn.XLOOKUP(CustomerCombined[[#This Row],[ID]], Table4[ID], Table4[Meats], "Not Found", 0)</f>
        <v>1414</v>
      </c>
      <c r="N1963" s="5">
        <f>_xlfn.XLOOKUP(CustomerCombined[[#This Row],[ID]], Table4[ID], Table4[Seafood], "Not Found", 0)</f>
        <v>0</v>
      </c>
      <c r="O1963" s="5">
        <f>_xlfn.XLOOKUP(CustomerCombined[[#This Row],[ID]], Table4[ID], Table4[Sweets], "Not Found", 0)</f>
        <v>136</v>
      </c>
      <c r="P1963" s="5">
        <f>_xlfn.XLOOKUP(CustomerCombined[[#This Row],[ID]], Table4[ID], Table4[Premium], "Not Found", 0)</f>
        <v>101</v>
      </c>
      <c r="Q1963" s="5">
        <f>_xlfn.XLOOKUP(CustomerCombined[[#This Row],[ID]], Table4[ID], Table4[Regular], "Not Found", 0)</f>
        <v>3344</v>
      </c>
      <c r="R1963" s="5">
        <f>_xlfn.XLOOKUP(CustomerCombined[[#This Row],[ID]], Table4[ID], Table4[Deals], "Not Found", 0)</f>
        <v>1</v>
      </c>
      <c r="S1963" s="5">
        <f>_xlfn.XLOOKUP(CustomerCombined[[#This Row],[ID]], Table4[ID], Table4[Website], "Not Found", 0)</f>
        <v>3</v>
      </c>
      <c r="T1963" s="5">
        <f>_xlfn.XLOOKUP(CustomerCombined[[#This Row],[ID]], Table4[ID], Table4[Catalog], "Not Found", 0)</f>
        <v>11</v>
      </c>
      <c r="U1963" s="5">
        <f>_xlfn.XLOOKUP(CustomerCombined[[#This Row],[ID]], Table4[ID], Table4[Store], "Not Found", 0)</f>
        <v>8</v>
      </c>
      <c r="V1963" s="5">
        <f>_xlfn.XLOOKUP(CustomerCombined[[#This Row],[ID]], Table4[ID], Table4[Visits], "Not Found", 0)</f>
        <v>1</v>
      </c>
      <c r="W1963" s="8">
        <f>_xlfn.XLOOKUP(CustomerCombined[[#This Row],[ID]], Table2[ID],Table2[Complaint], "Not Found", 0 )</f>
        <v>0</v>
      </c>
      <c r="X1963" s="8">
        <f>_xlfn.XLOOKUP(CustomerCombined[[#This Row],[ID]], Table2[ID],Table2[Pilot], "Not Found", 0 )</f>
        <v>1</v>
      </c>
      <c r="Y1963" s="8">
        <f>_xlfn.XLOOKUP(CustomerCombined[[#This Row],[ID]], Table2[ID],Table2[MC1], "Not Found", 0 )</f>
        <v>0</v>
      </c>
      <c r="Z1963" s="8">
        <f>_xlfn.XLOOKUP(CustomerCombined[[#This Row],[ID]], Table2[ID],Table2[MC2], "Not Found", 0 )</f>
        <v>0</v>
      </c>
      <c r="AA1963" s="8">
        <f>_xlfn.XLOOKUP(CustomerCombined[[#This Row],[ID]], Table2[ID],Table2[MC3], "Not Found", 0 )</f>
        <v>0</v>
      </c>
      <c r="AB1963" s="8">
        <f>_xlfn.XLOOKUP(CustomerCombined[[#This Row],[ID]], Table2[ID],Table2[MC4], "Not Found", 0 )</f>
        <v>0</v>
      </c>
      <c r="AC1963" s="8">
        <f>_xlfn.XLOOKUP(CustomerCombined[[#This Row],[ID]], Table2[ID],Table2[MC5], "Not Found", 0 )</f>
        <v>0</v>
      </c>
    </row>
    <row r="1964" spans="1:29" x14ac:dyDescent="0.3">
      <c r="A1964" s="6">
        <v>1507</v>
      </c>
      <c r="B1964" s="6">
        <v>170503</v>
      </c>
      <c r="C1964" s="6">
        <v>0</v>
      </c>
      <c r="D1964" s="6">
        <v>0</v>
      </c>
      <c r="E1964" s="6">
        <v>67</v>
      </c>
      <c r="F1964" s="5" t="s">
        <v>6</v>
      </c>
      <c r="G1964" s="5" t="s">
        <v>11</v>
      </c>
      <c r="H1964" s="3">
        <v>43649</v>
      </c>
      <c r="I1964" s="5" t="s">
        <v>437</v>
      </c>
      <c r="J1964" s="5">
        <f>_xlfn.XLOOKUP(CustomerCombined[[#This Row],[ID]], Table4[ID], Table4[Recency], "Not Found", 0)</f>
        <v>73</v>
      </c>
      <c r="K1964" s="5">
        <f>_xlfn.XLOOKUP(CustomerCombined[[#This Row],[ID]], Table4[ID], Table4[Teas], "Not Found", 0)</f>
        <v>3335</v>
      </c>
      <c r="L1964" s="5">
        <f>_xlfn.XLOOKUP(CustomerCombined[[#This Row],[ID]], Table4[ID], Table4[Fruits], "Not Found", 0)</f>
        <v>80</v>
      </c>
      <c r="M1964" s="5">
        <f>_xlfn.XLOOKUP(CustomerCombined[[#This Row],[ID]], Table4[ID], Table4[Meats], "Not Found", 0)</f>
        <v>522</v>
      </c>
      <c r="N1964" s="5">
        <f>_xlfn.XLOOKUP(CustomerCombined[[#This Row],[ID]], Table4[ID], Table4[Seafood], "Not Found", 0)</f>
        <v>0</v>
      </c>
      <c r="O1964" s="5">
        <f>_xlfn.XLOOKUP(CustomerCombined[[#This Row],[ID]], Table4[ID], Table4[Sweets], "Not Found", 0)</f>
        <v>80</v>
      </c>
      <c r="P1964" s="5">
        <f>_xlfn.XLOOKUP(CustomerCombined[[#This Row],[ID]], Table4[ID], Table4[Premium], "Not Found", 0)</f>
        <v>160</v>
      </c>
      <c r="Q1964" s="5">
        <f>_xlfn.XLOOKUP(CustomerCombined[[#This Row],[ID]], Table4[ID], Table4[Regular], "Not Found", 0)</f>
        <v>3857</v>
      </c>
      <c r="R1964" s="5">
        <f>_xlfn.XLOOKUP(CustomerCombined[[#This Row],[ID]], Table4[ID], Table4[Deals], "Not Found", 0)</f>
        <v>1</v>
      </c>
      <c r="S1964" s="5">
        <f>_xlfn.XLOOKUP(CustomerCombined[[#This Row],[ID]], Table4[ID], Table4[Website], "Not Found", 0)</f>
        <v>2</v>
      </c>
      <c r="T1964" s="5">
        <f>_xlfn.XLOOKUP(CustomerCombined[[#This Row],[ID]], Table4[ID], Table4[Catalog], "Not Found", 0)</f>
        <v>4</v>
      </c>
      <c r="U1964" s="5">
        <f>_xlfn.XLOOKUP(CustomerCombined[[#This Row],[ID]], Table4[ID], Table4[Store], "Not Found", 0)</f>
        <v>9</v>
      </c>
      <c r="V1964" s="5">
        <f>_xlfn.XLOOKUP(CustomerCombined[[#This Row],[ID]], Table4[ID], Table4[Visits], "Not Found", 0)</f>
        <v>6</v>
      </c>
      <c r="W1964" s="8">
        <f>_xlfn.XLOOKUP(CustomerCombined[[#This Row],[ID]], Table2[ID],Table2[Complaint], "Not Found", 0 )</f>
        <v>0</v>
      </c>
      <c r="X1964" s="8">
        <f>_xlfn.XLOOKUP(CustomerCombined[[#This Row],[ID]], Table2[ID],Table2[Pilot], "Not Found", 0 )</f>
        <v>0</v>
      </c>
      <c r="Y1964" s="8">
        <f>_xlfn.XLOOKUP(CustomerCombined[[#This Row],[ID]], Table2[ID],Table2[MC1], "Not Found", 0 )</f>
        <v>0</v>
      </c>
      <c r="Z1964" s="8">
        <f>_xlfn.XLOOKUP(CustomerCombined[[#This Row],[ID]], Table2[ID],Table2[MC2], "Not Found", 0 )</f>
        <v>0</v>
      </c>
      <c r="AA1964" s="8">
        <f>_xlfn.XLOOKUP(CustomerCombined[[#This Row],[ID]], Table2[ID],Table2[MC3], "Not Found", 0 )</f>
        <v>0</v>
      </c>
      <c r="AB1964" s="8">
        <f>_xlfn.XLOOKUP(CustomerCombined[[#This Row],[ID]], Table2[ID],Table2[MC4], "Not Found", 0 )</f>
        <v>1</v>
      </c>
      <c r="AC1964" s="8">
        <f>_xlfn.XLOOKUP(CustomerCombined[[#This Row],[ID]], Table2[ID],Table2[MC5], "Not Found", 0 )</f>
        <v>1</v>
      </c>
    </row>
    <row r="1965" spans="1:29" x14ac:dyDescent="0.3">
      <c r="A1965" s="6">
        <v>1257</v>
      </c>
      <c r="B1965" s="6">
        <v>169267</v>
      </c>
      <c r="C1965" s="6">
        <v>0</v>
      </c>
      <c r="D1965" s="6">
        <v>0</v>
      </c>
      <c r="E1965" s="6">
        <v>67</v>
      </c>
      <c r="F1965" s="5" t="s">
        <v>7</v>
      </c>
      <c r="G1965" s="5" t="s">
        <v>11</v>
      </c>
      <c r="H1965" s="3" t="s">
        <v>389</v>
      </c>
      <c r="I1965" s="5" t="s">
        <v>435</v>
      </c>
      <c r="J1965" s="5">
        <f>_xlfn.XLOOKUP(CustomerCombined[[#This Row],[ID]], Table4[ID], Table4[Recency], "Not Found", 0)</f>
        <v>31</v>
      </c>
      <c r="K1965" s="5">
        <f>_xlfn.XLOOKUP(CustomerCombined[[#This Row],[ID]], Table4[ID], Table4[Teas], "Not Found", 0)</f>
        <v>1901</v>
      </c>
      <c r="L1965" s="5">
        <f>_xlfn.XLOOKUP(CustomerCombined[[#This Row],[ID]], Table4[ID], Table4[Fruits], "Not Found", 0)</f>
        <v>108</v>
      </c>
      <c r="M1965" s="5">
        <f>_xlfn.XLOOKUP(CustomerCombined[[#This Row],[ID]], Table4[ID], Table4[Meats], "Not Found", 0)</f>
        <v>1219</v>
      </c>
      <c r="N1965" s="5">
        <f>_xlfn.XLOOKUP(CustomerCombined[[#This Row],[ID]], Table4[ID], Table4[Seafood], "Not Found", 0)</f>
        <v>232</v>
      </c>
      <c r="O1965" s="5">
        <f>_xlfn.XLOOKUP(CustomerCombined[[#This Row],[ID]], Table4[ID], Table4[Sweets], "Not Found", 0)</f>
        <v>178</v>
      </c>
      <c r="P1965" s="5">
        <f>_xlfn.XLOOKUP(CustomerCombined[[#This Row],[ID]], Table4[ID], Table4[Premium], "Not Found", 0)</f>
        <v>357</v>
      </c>
      <c r="Q1965" s="5">
        <f>_xlfn.XLOOKUP(CustomerCombined[[#This Row],[ID]], Table4[ID], Table4[Regular], "Not Found", 0)</f>
        <v>3282</v>
      </c>
      <c r="R1965" s="5">
        <f>_xlfn.XLOOKUP(CustomerCombined[[#This Row],[ID]], Table4[ID], Table4[Deals], "Not Found", 0)</f>
        <v>2</v>
      </c>
      <c r="S1965" s="5">
        <f>_xlfn.XLOOKUP(CustomerCombined[[#This Row],[ID]], Table4[ID], Table4[Website], "Not Found", 0)</f>
        <v>3</v>
      </c>
      <c r="T1965" s="5">
        <f>_xlfn.XLOOKUP(CustomerCombined[[#This Row],[ID]], Table4[ID], Table4[Catalog], "Not Found", 0)</f>
        <v>4</v>
      </c>
      <c r="U1965" s="5">
        <f>_xlfn.XLOOKUP(CustomerCombined[[#This Row],[ID]], Table4[ID], Table4[Store], "Not Found", 0)</f>
        <v>5</v>
      </c>
      <c r="V1965" s="5">
        <f>_xlfn.XLOOKUP(CustomerCombined[[#This Row],[ID]], Table4[ID], Table4[Visits], "Not Found", 0)</f>
        <v>7</v>
      </c>
      <c r="W1965" s="8">
        <f>_xlfn.XLOOKUP(CustomerCombined[[#This Row],[ID]], Table2[ID],Table2[Complaint], "Not Found", 0 )</f>
        <v>0</v>
      </c>
      <c r="X1965" s="8">
        <f>_xlfn.XLOOKUP(CustomerCombined[[#This Row],[ID]], Table2[ID],Table2[Pilot], "Not Found", 0 )</f>
        <v>1</v>
      </c>
      <c r="Y1965" s="8">
        <f>_xlfn.XLOOKUP(CustomerCombined[[#This Row],[ID]], Table2[ID],Table2[MC1], "Not Found", 0 )</f>
        <v>0</v>
      </c>
      <c r="Z1965" s="8">
        <f>_xlfn.XLOOKUP(CustomerCombined[[#This Row],[ID]], Table2[ID],Table2[MC2], "Not Found", 0 )</f>
        <v>0</v>
      </c>
      <c r="AA1965" s="8">
        <f>_xlfn.XLOOKUP(CustomerCombined[[#This Row],[ID]], Table2[ID],Table2[MC3], "Not Found", 0 )</f>
        <v>0</v>
      </c>
      <c r="AB1965" s="8">
        <f>_xlfn.XLOOKUP(CustomerCombined[[#This Row],[ID]], Table2[ID],Table2[MC4], "Not Found", 0 )</f>
        <v>0</v>
      </c>
      <c r="AC1965" s="8">
        <f>_xlfn.XLOOKUP(CustomerCombined[[#This Row],[ID]], Table2[ID],Table2[MC5], "Not Found", 0 )</f>
        <v>0</v>
      </c>
    </row>
    <row r="1966" spans="1:29" x14ac:dyDescent="0.3">
      <c r="A1966" s="6">
        <v>2383</v>
      </c>
      <c r="B1966" s="6">
        <v>167087</v>
      </c>
      <c r="C1966" s="6">
        <v>0</v>
      </c>
      <c r="D1966" s="6">
        <v>1</v>
      </c>
      <c r="E1966" s="6">
        <v>67</v>
      </c>
      <c r="F1966" s="5" t="s">
        <v>6</v>
      </c>
      <c r="G1966" s="5" t="s">
        <v>12</v>
      </c>
      <c r="H1966" s="3" t="s">
        <v>131</v>
      </c>
      <c r="I1966" s="5" t="s">
        <v>437</v>
      </c>
      <c r="J1966" s="5">
        <f>_xlfn.XLOOKUP(CustomerCombined[[#This Row],[ID]], Table4[ID], Table4[Recency], "Not Found", 0)</f>
        <v>40</v>
      </c>
      <c r="K1966" s="5">
        <f>_xlfn.XLOOKUP(CustomerCombined[[#This Row],[ID]], Table4[ID], Table4[Teas], "Not Found", 0)</f>
        <v>819</v>
      </c>
      <c r="L1966" s="5">
        <f>_xlfn.XLOOKUP(CustomerCombined[[#This Row],[ID]], Table4[ID], Table4[Fruits], "Not Found", 0)</f>
        <v>87</v>
      </c>
      <c r="M1966" s="5">
        <f>_xlfn.XLOOKUP(CustomerCombined[[#This Row],[ID]], Table4[ID], Table4[Meats], "Not Found", 0)</f>
        <v>553</v>
      </c>
      <c r="N1966" s="5">
        <f>_xlfn.XLOOKUP(CustomerCombined[[#This Row],[ID]], Table4[ID], Table4[Seafood], "Not Found", 0)</f>
        <v>324</v>
      </c>
      <c r="O1966" s="5">
        <f>_xlfn.XLOOKUP(CustomerCombined[[#This Row],[ID]], Table4[ID], Table4[Sweets], "Not Found", 0)</f>
        <v>87</v>
      </c>
      <c r="P1966" s="5">
        <f>_xlfn.XLOOKUP(CustomerCombined[[#This Row],[ID]], Table4[ID], Table4[Premium], "Not Found", 0)</f>
        <v>107</v>
      </c>
      <c r="Q1966" s="5">
        <f>_xlfn.XLOOKUP(CustomerCombined[[#This Row],[ID]], Table4[ID], Table4[Regular], "Not Found", 0)</f>
        <v>1763</v>
      </c>
      <c r="R1966" s="5">
        <f>_xlfn.XLOOKUP(CustomerCombined[[#This Row],[ID]], Table4[ID], Table4[Deals], "Not Found", 0)</f>
        <v>2</v>
      </c>
      <c r="S1966" s="5">
        <f>_xlfn.XLOOKUP(CustomerCombined[[#This Row],[ID]], Table4[ID], Table4[Website], "Not Found", 0)</f>
        <v>7</v>
      </c>
      <c r="T1966" s="5">
        <f>_xlfn.XLOOKUP(CustomerCombined[[#This Row],[ID]], Table4[ID], Table4[Catalog], "Not Found", 0)</f>
        <v>5</v>
      </c>
      <c r="U1966" s="5">
        <f>_xlfn.XLOOKUP(CustomerCombined[[#This Row],[ID]], Table4[ID], Table4[Store], "Not Found", 0)</f>
        <v>8</v>
      </c>
      <c r="V1966" s="5">
        <f>_xlfn.XLOOKUP(CustomerCombined[[#This Row],[ID]], Table4[ID], Table4[Visits], "Not Found", 0)</f>
        <v>4</v>
      </c>
      <c r="W1966" s="8">
        <f>_xlfn.XLOOKUP(CustomerCombined[[#This Row],[ID]], Table2[ID],Table2[Complaint], "Not Found", 0 )</f>
        <v>0</v>
      </c>
      <c r="X1966" s="8">
        <f>_xlfn.XLOOKUP(CustomerCombined[[#This Row],[ID]], Table2[ID],Table2[Pilot], "Not Found", 0 )</f>
        <v>0</v>
      </c>
      <c r="Y1966" s="8">
        <f>_xlfn.XLOOKUP(CustomerCombined[[#This Row],[ID]], Table2[ID],Table2[MC1], "Not Found", 0 )</f>
        <v>0</v>
      </c>
      <c r="Z1966" s="8">
        <f>_xlfn.XLOOKUP(CustomerCombined[[#This Row],[ID]], Table2[ID],Table2[MC2], "Not Found", 0 )</f>
        <v>0</v>
      </c>
      <c r="AA1966" s="8">
        <f>_xlfn.XLOOKUP(CustomerCombined[[#This Row],[ID]], Table2[ID],Table2[MC3], "Not Found", 0 )</f>
        <v>0</v>
      </c>
      <c r="AB1966" s="8">
        <f>_xlfn.XLOOKUP(CustomerCombined[[#This Row],[ID]], Table2[ID],Table2[MC4], "Not Found", 0 )</f>
        <v>0</v>
      </c>
      <c r="AC1966" s="8">
        <f>_xlfn.XLOOKUP(CustomerCombined[[#This Row],[ID]], Table2[ID],Table2[MC5], "Not Found", 0 )</f>
        <v>0</v>
      </c>
    </row>
    <row r="1967" spans="1:29" x14ac:dyDescent="0.3">
      <c r="A1967" s="6">
        <v>1987</v>
      </c>
      <c r="B1967" s="6">
        <v>165569</v>
      </c>
      <c r="C1967" s="6">
        <v>0</v>
      </c>
      <c r="D1967" s="6">
        <v>1</v>
      </c>
      <c r="E1967" s="6">
        <v>67</v>
      </c>
      <c r="F1967" s="5" t="s">
        <v>6</v>
      </c>
      <c r="G1967" s="5" t="s">
        <v>12</v>
      </c>
      <c r="H1967" s="3">
        <v>43803</v>
      </c>
      <c r="I1967" s="5" t="s">
        <v>437</v>
      </c>
      <c r="J1967" s="5">
        <f>_xlfn.XLOOKUP(CustomerCombined[[#This Row],[ID]], Table4[ID], Table4[Recency], "Not Found", 0)</f>
        <v>96</v>
      </c>
      <c r="K1967" s="5">
        <f>_xlfn.XLOOKUP(CustomerCombined[[#This Row],[ID]], Table4[ID], Table4[Teas], "Not Found", 0)</f>
        <v>1002</v>
      </c>
      <c r="L1967" s="5">
        <f>_xlfn.XLOOKUP(CustomerCombined[[#This Row],[ID]], Table4[ID], Table4[Fruits], "Not Found", 0)</f>
        <v>116</v>
      </c>
      <c r="M1967" s="5">
        <f>_xlfn.XLOOKUP(CustomerCombined[[#This Row],[ID]], Table4[ID], Table4[Meats], "Not Found", 0)</f>
        <v>727</v>
      </c>
      <c r="N1967" s="5">
        <f>_xlfn.XLOOKUP(CustomerCombined[[#This Row],[ID]], Table4[ID], Table4[Seafood], "Not Found", 0)</f>
        <v>51</v>
      </c>
      <c r="O1967" s="5">
        <f>_xlfn.XLOOKUP(CustomerCombined[[#This Row],[ID]], Table4[ID], Table4[Sweets], "Not Found", 0)</f>
        <v>96</v>
      </c>
      <c r="P1967" s="5">
        <f>_xlfn.XLOOKUP(CustomerCombined[[#This Row],[ID]], Table4[ID], Table4[Premium], "Not Found", 0)</f>
        <v>177</v>
      </c>
      <c r="Q1967" s="5">
        <f>_xlfn.XLOOKUP(CustomerCombined[[#This Row],[ID]], Table4[ID], Table4[Regular], "Not Found", 0)</f>
        <v>1816</v>
      </c>
      <c r="R1967" s="5">
        <f>_xlfn.XLOOKUP(CustomerCombined[[#This Row],[ID]], Table4[ID], Table4[Deals], "Not Found", 0)</f>
        <v>2</v>
      </c>
      <c r="S1967" s="5">
        <f>_xlfn.XLOOKUP(CustomerCombined[[#This Row],[ID]], Table4[ID], Table4[Website], "Not Found", 0)</f>
        <v>6</v>
      </c>
      <c r="T1967" s="5">
        <f>_xlfn.XLOOKUP(CustomerCombined[[#This Row],[ID]], Table4[ID], Table4[Catalog], "Not Found", 0)</f>
        <v>5</v>
      </c>
      <c r="U1967" s="5">
        <f>_xlfn.XLOOKUP(CustomerCombined[[#This Row],[ID]], Table4[ID], Table4[Store], "Not Found", 0)</f>
        <v>10</v>
      </c>
      <c r="V1967" s="5">
        <f>_xlfn.XLOOKUP(CustomerCombined[[#This Row],[ID]], Table4[ID], Table4[Visits], "Not Found", 0)</f>
        <v>3</v>
      </c>
      <c r="W1967" s="8">
        <f>_xlfn.XLOOKUP(CustomerCombined[[#This Row],[ID]], Table2[ID],Table2[Complaint], "Not Found", 0 )</f>
        <v>0</v>
      </c>
      <c r="X1967" s="8">
        <f>_xlfn.XLOOKUP(CustomerCombined[[#This Row],[ID]], Table2[ID],Table2[Pilot], "Not Found", 0 )</f>
        <v>0</v>
      </c>
      <c r="Y1967" s="8">
        <f>_xlfn.XLOOKUP(CustomerCombined[[#This Row],[ID]], Table2[ID],Table2[MC1], "Not Found", 0 )</f>
        <v>0</v>
      </c>
      <c r="Z1967" s="8">
        <f>_xlfn.XLOOKUP(CustomerCombined[[#This Row],[ID]], Table2[ID],Table2[MC2], "Not Found", 0 )</f>
        <v>0</v>
      </c>
      <c r="AA1967" s="8">
        <f>_xlfn.XLOOKUP(CustomerCombined[[#This Row],[ID]], Table2[ID],Table2[MC3], "Not Found", 0 )</f>
        <v>0</v>
      </c>
      <c r="AB1967" s="8">
        <f>_xlfn.XLOOKUP(CustomerCombined[[#This Row],[ID]], Table2[ID],Table2[MC4], "Not Found", 0 )</f>
        <v>0</v>
      </c>
      <c r="AC1967" s="8">
        <f>_xlfn.XLOOKUP(CustomerCombined[[#This Row],[ID]], Table2[ID],Table2[MC5], "Not Found", 0 )</f>
        <v>0</v>
      </c>
    </row>
    <row r="1968" spans="1:29" x14ac:dyDescent="0.3">
      <c r="A1968" s="6">
        <v>2003</v>
      </c>
      <c r="B1968" s="6">
        <v>164504</v>
      </c>
      <c r="C1968" s="6">
        <v>1</v>
      </c>
      <c r="D1968" s="6">
        <v>2</v>
      </c>
      <c r="E1968" s="6">
        <v>67</v>
      </c>
      <c r="F1968" s="5" t="s">
        <v>8</v>
      </c>
      <c r="G1968" s="5" t="s">
        <v>13</v>
      </c>
      <c r="H1968" s="3">
        <v>43716</v>
      </c>
      <c r="I1968" s="5" t="s">
        <v>434</v>
      </c>
      <c r="J1968" s="5">
        <f>_xlfn.XLOOKUP(CustomerCombined[[#This Row],[ID]], Table4[ID], Table4[Recency], "Not Found", 0)</f>
        <v>81</v>
      </c>
      <c r="K1968" s="5">
        <f>_xlfn.XLOOKUP(CustomerCombined[[#This Row],[ID]], Table4[ID], Table4[Teas], "Not Found", 0)</f>
        <v>2515</v>
      </c>
      <c r="L1968" s="5">
        <f>_xlfn.XLOOKUP(CustomerCombined[[#This Row],[ID]], Table4[ID], Table4[Fruits], "Not Found", 0)</f>
        <v>92</v>
      </c>
      <c r="M1968" s="5">
        <f>_xlfn.XLOOKUP(CustomerCombined[[#This Row],[ID]], Table4[ID], Table4[Meats], "Not Found", 0)</f>
        <v>428</v>
      </c>
      <c r="N1968" s="5">
        <f>_xlfn.XLOOKUP(CustomerCombined[[#This Row],[ID]], Table4[ID], Table4[Seafood], "Not Found", 0)</f>
        <v>41</v>
      </c>
      <c r="O1968" s="5">
        <f>_xlfn.XLOOKUP(CustomerCombined[[#This Row],[ID]], Table4[ID], Table4[Sweets], "Not Found", 0)</f>
        <v>0</v>
      </c>
      <c r="P1968" s="5">
        <f>_xlfn.XLOOKUP(CustomerCombined[[#This Row],[ID]], Table4[ID], Table4[Premium], "Not Found", 0)</f>
        <v>275</v>
      </c>
      <c r="Q1968" s="5">
        <f>_xlfn.XLOOKUP(CustomerCombined[[#This Row],[ID]], Table4[ID], Table4[Regular], "Not Found", 0)</f>
        <v>2800</v>
      </c>
      <c r="R1968" s="5">
        <f>_xlfn.XLOOKUP(CustomerCombined[[#This Row],[ID]], Table4[ID], Table4[Deals], "Not Found", 0)</f>
        <v>7</v>
      </c>
      <c r="S1968" s="5">
        <f>_xlfn.XLOOKUP(CustomerCombined[[#This Row],[ID]], Table4[ID], Table4[Website], "Not Found", 0)</f>
        <v>11</v>
      </c>
      <c r="T1968" s="5">
        <f>_xlfn.XLOOKUP(CustomerCombined[[#This Row],[ID]], Table4[ID], Table4[Catalog], "Not Found", 0)</f>
        <v>3</v>
      </c>
      <c r="U1968" s="5">
        <f>_xlfn.XLOOKUP(CustomerCombined[[#This Row],[ID]], Table4[ID], Table4[Store], "Not Found", 0)</f>
        <v>4</v>
      </c>
      <c r="V1968" s="5">
        <f>_xlfn.XLOOKUP(CustomerCombined[[#This Row],[ID]], Table4[ID], Table4[Visits], "Not Found", 0)</f>
        <v>7</v>
      </c>
      <c r="W1968" s="8">
        <f>_xlfn.XLOOKUP(CustomerCombined[[#This Row],[ID]], Table2[ID],Table2[Complaint], "Not Found", 0 )</f>
        <v>0</v>
      </c>
      <c r="X1968" s="8">
        <f>_xlfn.XLOOKUP(CustomerCombined[[#This Row],[ID]], Table2[ID],Table2[Pilot], "Not Found", 0 )</f>
        <v>1</v>
      </c>
      <c r="Y1968" s="8">
        <f>_xlfn.XLOOKUP(CustomerCombined[[#This Row],[ID]], Table2[ID],Table2[MC1], "Not Found", 0 )</f>
        <v>0</v>
      </c>
      <c r="Z1968" s="8">
        <f>_xlfn.XLOOKUP(CustomerCombined[[#This Row],[ID]], Table2[ID],Table2[MC2], "Not Found", 0 )</f>
        <v>0</v>
      </c>
      <c r="AA1968" s="8">
        <f>_xlfn.XLOOKUP(CustomerCombined[[#This Row],[ID]], Table2[ID],Table2[MC3], "Not Found", 0 )</f>
        <v>0</v>
      </c>
      <c r="AB1968" s="8">
        <f>_xlfn.XLOOKUP(CustomerCombined[[#This Row],[ID]], Table2[ID],Table2[MC4], "Not Found", 0 )</f>
        <v>0</v>
      </c>
      <c r="AC1968" s="8">
        <f>_xlfn.XLOOKUP(CustomerCombined[[#This Row],[ID]], Table2[ID],Table2[MC5], "Not Found", 0 )</f>
        <v>0</v>
      </c>
    </row>
    <row r="1969" spans="1:29" x14ac:dyDescent="0.3">
      <c r="A1969" s="6">
        <v>1721</v>
      </c>
      <c r="B1969" s="6">
        <v>164108</v>
      </c>
      <c r="C1969" s="6">
        <v>0</v>
      </c>
      <c r="D1969" s="6">
        <v>1</v>
      </c>
      <c r="E1969" s="6">
        <v>67</v>
      </c>
      <c r="F1969" s="5" t="s">
        <v>7</v>
      </c>
      <c r="G1969" s="5" t="s">
        <v>13</v>
      </c>
      <c r="H1969" s="3" t="s">
        <v>285</v>
      </c>
      <c r="I1969" s="5" t="s">
        <v>434</v>
      </c>
      <c r="J1969" s="5">
        <f>_xlfn.XLOOKUP(CustomerCombined[[#This Row],[ID]], Table4[ID], Table4[Recency], "Not Found", 0)</f>
        <v>8</v>
      </c>
      <c r="K1969" s="5">
        <f>_xlfn.XLOOKUP(CustomerCombined[[#This Row],[ID]], Table4[ID], Table4[Teas], "Not Found", 0)</f>
        <v>2427</v>
      </c>
      <c r="L1969" s="5">
        <f>_xlfn.XLOOKUP(CustomerCombined[[#This Row],[ID]], Table4[ID], Table4[Fruits], "Not Found", 0)</f>
        <v>26</v>
      </c>
      <c r="M1969" s="5">
        <f>_xlfn.XLOOKUP(CustomerCombined[[#This Row],[ID]], Table4[ID], Table4[Meats], "Not Found", 0)</f>
        <v>220</v>
      </c>
      <c r="N1969" s="5">
        <f>_xlfn.XLOOKUP(CustomerCombined[[#This Row],[ID]], Table4[ID], Table4[Seafood], "Not Found", 0)</f>
        <v>33</v>
      </c>
      <c r="O1969" s="5">
        <f>_xlfn.XLOOKUP(CustomerCombined[[#This Row],[ID]], Table4[ID], Table4[Sweets], "Not Found", 0)</f>
        <v>54</v>
      </c>
      <c r="P1969" s="5">
        <f>_xlfn.XLOOKUP(CustomerCombined[[#This Row],[ID]], Table4[ID], Table4[Premium], "Not Found", 0)</f>
        <v>54</v>
      </c>
      <c r="Q1969" s="5">
        <f>_xlfn.XLOOKUP(CustomerCombined[[#This Row],[ID]], Table4[ID], Table4[Regular], "Not Found", 0)</f>
        <v>2706</v>
      </c>
      <c r="R1969" s="5">
        <f>_xlfn.XLOOKUP(CustomerCombined[[#This Row],[ID]], Table4[ID], Table4[Deals], "Not Found", 0)</f>
        <v>4</v>
      </c>
      <c r="S1969" s="5">
        <f>_xlfn.XLOOKUP(CustomerCombined[[#This Row],[ID]], Table4[ID], Table4[Website], "Not Found", 0)</f>
        <v>6</v>
      </c>
      <c r="T1969" s="5">
        <f>_xlfn.XLOOKUP(CustomerCombined[[#This Row],[ID]], Table4[ID], Table4[Catalog], "Not Found", 0)</f>
        <v>9</v>
      </c>
      <c r="U1969" s="5">
        <f>_xlfn.XLOOKUP(CustomerCombined[[#This Row],[ID]], Table4[ID], Table4[Store], "Not Found", 0)</f>
        <v>11</v>
      </c>
      <c r="V1969" s="5">
        <f>_xlfn.XLOOKUP(CustomerCombined[[#This Row],[ID]], Table4[ID], Table4[Visits], "Not Found", 0)</f>
        <v>5</v>
      </c>
      <c r="W1969" s="8">
        <f>_xlfn.XLOOKUP(CustomerCombined[[#This Row],[ID]], Table2[ID],Table2[Complaint], "Not Found", 0 )</f>
        <v>0</v>
      </c>
      <c r="X1969" s="8">
        <f>_xlfn.XLOOKUP(CustomerCombined[[#This Row],[ID]], Table2[ID],Table2[Pilot], "Not Found", 0 )</f>
        <v>0</v>
      </c>
      <c r="Y1969" s="8">
        <f>_xlfn.XLOOKUP(CustomerCombined[[#This Row],[ID]], Table2[ID],Table2[MC1], "Not Found", 0 )</f>
        <v>0</v>
      </c>
      <c r="Z1969" s="8">
        <f>_xlfn.XLOOKUP(CustomerCombined[[#This Row],[ID]], Table2[ID],Table2[MC2], "Not Found", 0 )</f>
        <v>0</v>
      </c>
      <c r="AA1969" s="8">
        <f>_xlfn.XLOOKUP(CustomerCombined[[#This Row],[ID]], Table2[ID],Table2[MC3], "Not Found", 0 )</f>
        <v>0</v>
      </c>
      <c r="AB1969" s="8">
        <f>_xlfn.XLOOKUP(CustomerCombined[[#This Row],[ID]], Table2[ID],Table2[MC4], "Not Found", 0 )</f>
        <v>0</v>
      </c>
      <c r="AC1969" s="8">
        <f>_xlfn.XLOOKUP(CustomerCombined[[#This Row],[ID]], Table2[ID],Table2[MC5], "Not Found", 0 )</f>
        <v>0</v>
      </c>
    </row>
    <row r="1970" spans="1:29" x14ac:dyDescent="0.3">
      <c r="A1970" s="6">
        <v>1155</v>
      </c>
      <c r="B1970" s="6">
        <v>162551</v>
      </c>
      <c r="C1970" s="6">
        <v>0</v>
      </c>
      <c r="D1970" s="6">
        <v>0</v>
      </c>
      <c r="E1970" s="6">
        <v>67</v>
      </c>
      <c r="F1970" s="5" t="s">
        <v>5</v>
      </c>
      <c r="G1970" s="5" t="s">
        <v>11</v>
      </c>
      <c r="H1970" s="3" t="s">
        <v>147</v>
      </c>
      <c r="I1970" s="5" t="s">
        <v>435</v>
      </c>
      <c r="J1970" s="5">
        <f>_xlfn.XLOOKUP(CustomerCombined[[#This Row],[ID]], Table4[ID], Table4[Recency], "Not Found", 0)</f>
        <v>27</v>
      </c>
      <c r="K1970" s="5">
        <f>_xlfn.XLOOKUP(CustomerCombined[[#This Row],[ID]], Table4[ID], Table4[Teas], "Not Found", 0)</f>
        <v>325</v>
      </c>
      <c r="L1970" s="5">
        <f>_xlfn.XLOOKUP(CustomerCombined[[#This Row],[ID]], Table4[ID], Table4[Fruits], "Not Found", 0)</f>
        <v>42</v>
      </c>
      <c r="M1970" s="5">
        <f>_xlfn.XLOOKUP(CustomerCombined[[#This Row],[ID]], Table4[ID], Table4[Meats], "Not Found", 0)</f>
        <v>255</v>
      </c>
      <c r="N1970" s="5">
        <f>_xlfn.XLOOKUP(CustomerCombined[[#This Row],[ID]], Table4[ID], Table4[Seafood], "Not Found", 0)</f>
        <v>348</v>
      </c>
      <c r="O1970" s="5">
        <f>_xlfn.XLOOKUP(CustomerCombined[[#This Row],[ID]], Table4[ID], Table4[Sweets], "Not Found", 0)</f>
        <v>55</v>
      </c>
      <c r="P1970" s="5">
        <f>_xlfn.XLOOKUP(CustomerCombined[[#This Row],[ID]], Table4[ID], Table4[Premium], "Not Found", 0)</f>
        <v>70</v>
      </c>
      <c r="Q1970" s="5">
        <f>_xlfn.XLOOKUP(CustomerCombined[[#This Row],[ID]], Table4[ID], Table4[Regular], "Not Found", 0)</f>
        <v>954</v>
      </c>
      <c r="R1970" s="5">
        <f>_xlfn.XLOOKUP(CustomerCombined[[#This Row],[ID]], Table4[ID], Table4[Deals], "Not Found", 0)</f>
        <v>1</v>
      </c>
      <c r="S1970" s="5">
        <f>_xlfn.XLOOKUP(CustomerCombined[[#This Row],[ID]], Table4[ID], Table4[Website], "Not Found", 0)</f>
        <v>6</v>
      </c>
      <c r="T1970" s="5">
        <f>_xlfn.XLOOKUP(CustomerCombined[[#This Row],[ID]], Table4[ID], Table4[Catalog], "Not Found", 0)</f>
        <v>7</v>
      </c>
      <c r="U1970" s="5">
        <f>_xlfn.XLOOKUP(CustomerCombined[[#This Row],[ID]], Table4[ID], Table4[Store], "Not Found", 0)</f>
        <v>4</v>
      </c>
      <c r="V1970" s="5">
        <f>_xlfn.XLOOKUP(CustomerCombined[[#This Row],[ID]], Table4[ID], Table4[Visits], "Not Found", 0)</f>
        <v>3</v>
      </c>
      <c r="W1970" s="8">
        <f>_xlfn.XLOOKUP(CustomerCombined[[#This Row],[ID]], Table2[ID],Table2[Complaint], "Not Found", 0 )</f>
        <v>0</v>
      </c>
      <c r="X1970" s="8">
        <f>_xlfn.XLOOKUP(CustomerCombined[[#This Row],[ID]], Table2[ID],Table2[Pilot], "Not Found", 0 )</f>
        <v>0</v>
      </c>
      <c r="Y1970" s="8">
        <f>_xlfn.XLOOKUP(CustomerCombined[[#This Row],[ID]], Table2[ID],Table2[MC1], "Not Found", 0 )</f>
        <v>0</v>
      </c>
      <c r="Z1970" s="8">
        <f>_xlfn.XLOOKUP(CustomerCombined[[#This Row],[ID]], Table2[ID],Table2[MC2], "Not Found", 0 )</f>
        <v>0</v>
      </c>
      <c r="AA1970" s="8">
        <f>_xlfn.XLOOKUP(CustomerCombined[[#This Row],[ID]], Table2[ID],Table2[MC3], "Not Found", 0 )</f>
        <v>1</v>
      </c>
      <c r="AB1970" s="8">
        <f>_xlfn.XLOOKUP(CustomerCombined[[#This Row],[ID]], Table2[ID],Table2[MC4], "Not Found", 0 )</f>
        <v>0</v>
      </c>
      <c r="AC1970" s="8">
        <f>_xlfn.XLOOKUP(CustomerCombined[[#This Row],[ID]], Table2[ID],Table2[MC5], "Not Found", 0 )</f>
        <v>0</v>
      </c>
    </row>
    <row r="1971" spans="1:29" x14ac:dyDescent="0.3">
      <c r="A1971" s="6">
        <v>1638</v>
      </c>
      <c r="B1971" s="6">
        <v>161278</v>
      </c>
      <c r="C1971" s="6">
        <v>0</v>
      </c>
      <c r="D1971" s="6">
        <v>1</v>
      </c>
      <c r="E1971" s="6">
        <v>67</v>
      </c>
      <c r="F1971" s="5" t="s">
        <v>8</v>
      </c>
      <c r="G1971" s="5" t="s">
        <v>11</v>
      </c>
      <c r="H1971" s="3">
        <v>44110</v>
      </c>
      <c r="I1971" s="5" t="s">
        <v>436</v>
      </c>
      <c r="J1971" s="5">
        <f>_xlfn.XLOOKUP(CustomerCombined[[#This Row],[ID]], Table4[ID], Table4[Recency], "Not Found", 0)</f>
        <v>87</v>
      </c>
      <c r="K1971" s="5">
        <f>_xlfn.XLOOKUP(CustomerCombined[[#This Row],[ID]], Table4[ID], Table4[Teas], "Not Found", 0)</f>
        <v>292</v>
      </c>
      <c r="L1971" s="5">
        <f>_xlfn.XLOOKUP(CustomerCombined[[#This Row],[ID]], Table4[ID], Table4[Fruits], "Not Found", 0)</f>
        <v>8</v>
      </c>
      <c r="M1971" s="5">
        <f>_xlfn.XLOOKUP(CustomerCombined[[#This Row],[ID]], Table4[ID], Table4[Meats], "Not Found", 0)</f>
        <v>74</v>
      </c>
      <c r="N1971" s="5">
        <f>_xlfn.XLOOKUP(CustomerCombined[[#This Row],[ID]], Table4[ID], Table4[Seafood], "Not Found", 0)</f>
        <v>5</v>
      </c>
      <c r="O1971" s="5">
        <f>_xlfn.XLOOKUP(CustomerCombined[[#This Row],[ID]], Table4[ID], Table4[Sweets], "Not Found", 0)</f>
        <v>16</v>
      </c>
      <c r="P1971" s="5">
        <f>_xlfn.XLOOKUP(CustomerCombined[[#This Row],[ID]], Table4[ID], Table4[Premium], "Not Found", 0)</f>
        <v>39</v>
      </c>
      <c r="Q1971" s="5">
        <f>_xlfn.XLOOKUP(CustomerCombined[[#This Row],[ID]], Table4[ID], Table4[Regular], "Not Found", 0)</f>
        <v>355</v>
      </c>
      <c r="R1971" s="5">
        <f>_xlfn.XLOOKUP(CustomerCombined[[#This Row],[ID]], Table4[ID], Table4[Deals], "Not Found", 0)</f>
        <v>2</v>
      </c>
      <c r="S1971" s="5">
        <f>_xlfn.XLOOKUP(CustomerCombined[[#This Row],[ID]], Table4[ID], Table4[Website], "Not Found", 0)</f>
        <v>3</v>
      </c>
      <c r="T1971" s="5">
        <f>_xlfn.XLOOKUP(CustomerCombined[[#This Row],[ID]], Table4[ID], Table4[Catalog], "Not Found", 0)</f>
        <v>1</v>
      </c>
      <c r="U1971" s="5">
        <f>_xlfn.XLOOKUP(CustomerCombined[[#This Row],[ID]], Table4[ID], Table4[Store], "Not Found", 0)</f>
        <v>4</v>
      </c>
      <c r="V1971" s="5">
        <f>_xlfn.XLOOKUP(CustomerCombined[[#This Row],[ID]], Table4[ID], Table4[Visits], "Not Found", 0)</f>
        <v>6</v>
      </c>
      <c r="W1971" s="8">
        <f>_xlfn.XLOOKUP(CustomerCombined[[#This Row],[ID]], Table2[ID],Table2[Complaint], "Not Found", 0 )</f>
        <v>0</v>
      </c>
      <c r="X1971" s="8">
        <f>_xlfn.XLOOKUP(CustomerCombined[[#This Row],[ID]], Table2[ID],Table2[Pilot], "Not Found", 0 )</f>
        <v>0</v>
      </c>
      <c r="Y1971" s="8">
        <f>_xlfn.XLOOKUP(CustomerCombined[[#This Row],[ID]], Table2[ID],Table2[MC1], "Not Found", 0 )</f>
        <v>0</v>
      </c>
      <c r="Z1971" s="8">
        <f>_xlfn.XLOOKUP(CustomerCombined[[#This Row],[ID]], Table2[ID],Table2[MC2], "Not Found", 0 )</f>
        <v>0</v>
      </c>
      <c r="AA1971" s="8">
        <f>_xlfn.XLOOKUP(CustomerCombined[[#This Row],[ID]], Table2[ID],Table2[MC3], "Not Found", 0 )</f>
        <v>0</v>
      </c>
      <c r="AB1971" s="8">
        <f>_xlfn.XLOOKUP(CustomerCombined[[#This Row],[ID]], Table2[ID],Table2[MC4], "Not Found", 0 )</f>
        <v>0</v>
      </c>
      <c r="AC1971" s="8">
        <f>_xlfn.XLOOKUP(CustomerCombined[[#This Row],[ID]], Table2[ID],Table2[MC5], "Not Found", 0 )</f>
        <v>0</v>
      </c>
    </row>
    <row r="1972" spans="1:29" x14ac:dyDescent="0.3">
      <c r="A1972" s="6">
        <v>1140</v>
      </c>
      <c r="B1972" s="6">
        <v>159354</v>
      </c>
      <c r="C1972" s="6">
        <v>0</v>
      </c>
      <c r="D1972" s="6">
        <v>2</v>
      </c>
      <c r="E1972" s="6">
        <v>67</v>
      </c>
      <c r="F1972" s="5" t="s">
        <v>6</v>
      </c>
      <c r="G1972" s="5" t="s">
        <v>12</v>
      </c>
      <c r="H1972" s="3" t="s">
        <v>58</v>
      </c>
      <c r="I1972" s="5" t="s">
        <v>436</v>
      </c>
      <c r="J1972" s="5">
        <f>_xlfn.XLOOKUP(CustomerCombined[[#This Row],[ID]], Table4[ID], Table4[Recency], "Not Found", 0)</f>
        <v>59</v>
      </c>
      <c r="K1972" s="5">
        <f>_xlfn.XLOOKUP(CustomerCombined[[#This Row],[ID]], Table4[ID], Table4[Teas], "Not Found", 0)</f>
        <v>792</v>
      </c>
      <c r="L1972" s="5">
        <f>_xlfn.XLOOKUP(CustomerCombined[[#This Row],[ID]], Table4[ID], Table4[Fruits], "Not Found", 0)</f>
        <v>56</v>
      </c>
      <c r="M1972" s="5">
        <f>_xlfn.XLOOKUP(CustomerCombined[[#This Row],[ID]], Table4[ID], Table4[Meats], "Not Found", 0)</f>
        <v>209</v>
      </c>
      <c r="N1972" s="5">
        <f>_xlfn.XLOOKUP(CustomerCombined[[#This Row],[ID]], Table4[ID], Table4[Seafood], "Not Found", 0)</f>
        <v>105</v>
      </c>
      <c r="O1972" s="5">
        <f>_xlfn.XLOOKUP(CustomerCombined[[#This Row],[ID]], Table4[ID], Table4[Sweets], "Not Found", 0)</f>
        <v>35</v>
      </c>
      <c r="P1972" s="5">
        <f>_xlfn.XLOOKUP(CustomerCombined[[#This Row],[ID]], Table4[ID], Table4[Premium], "Not Found", 0)</f>
        <v>35</v>
      </c>
      <c r="Q1972" s="5">
        <f>_xlfn.XLOOKUP(CustomerCombined[[#This Row],[ID]], Table4[ID], Table4[Regular], "Not Found", 0)</f>
        <v>1163</v>
      </c>
      <c r="R1972" s="5">
        <f>_xlfn.XLOOKUP(CustomerCombined[[#This Row],[ID]], Table4[ID], Table4[Deals], "Not Found", 0)</f>
        <v>1</v>
      </c>
      <c r="S1972" s="5">
        <f>_xlfn.XLOOKUP(CustomerCombined[[#This Row],[ID]], Table4[ID], Table4[Website], "Not Found", 0)</f>
        <v>4</v>
      </c>
      <c r="T1972" s="5">
        <f>_xlfn.XLOOKUP(CustomerCombined[[#This Row],[ID]], Table4[ID], Table4[Catalog], "Not Found", 0)</f>
        <v>4</v>
      </c>
      <c r="U1972" s="5">
        <f>_xlfn.XLOOKUP(CustomerCombined[[#This Row],[ID]], Table4[ID], Table4[Store], "Not Found", 0)</f>
        <v>7</v>
      </c>
      <c r="V1972" s="5">
        <f>_xlfn.XLOOKUP(CustomerCombined[[#This Row],[ID]], Table4[ID], Table4[Visits], "Not Found", 0)</f>
        <v>3</v>
      </c>
      <c r="W1972" s="8">
        <f>_xlfn.XLOOKUP(CustomerCombined[[#This Row],[ID]], Table2[ID],Table2[Complaint], "Not Found", 0 )</f>
        <v>0</v>
      </c>
      <c r="X1972" s="8">
        <f>_xlfn.XLOOKUP(CustomerCombined[[#This Row],[ID]], Table2[ID],Table2[Pilot], "Not Found", 0 )</f>
        <v>0</v>
      </c>
      <c r="Y1972" s="8">
        <f>_xlfn.XLOOKUP(CustomerCombined[[#This Row],[ID]], Table2[ID],Table2[MC1], "Not Found", 0 )</f>
        <v>0</v>
      </c>
      <c r="Z1972" s="8">
        <f>_xlfn.XLOOKUP(CustomerCombined[[#This Row],[ID]], Table2[ID],Table2[MC2], "Not Found", 0 )</f>
        <v>0</v>
      </c>
      <c r="AA1972" s="8">
        <f>_xlfn.XLOOKUP(CustomerCombined[[#This Row],[ID]], Table2[ID],Table2[MC3], "Not Found", 0 )</f>
        <v>0</v>
      </c>
      <c r="AB1972" s="8">
        <f>_xlfn.XLOOKUP(CustomerCombined[[#This Row],[ID]], Table2[ID],Table2[MC4], "Not Found", 0 )</f>
        <v>0</v>
      </c>
      <c r="AC1972" s="8">
        <f>_xlfn.XLOOKUP(CustomerCombined[[#This Row],[ID]], Table2[ID],Table2[MC5], "Not Found", 0 )</f>
        <v>0</v>
      </c>
    </row>
    <row r="1973" spans="1:29" x14ac:dyDescent="0.3">
      <c r="A1973" s="6">
        <v>1694</v>
      </c>
      <c r="B1973" s="6">
        <v>158398</v>
      </c>
      <c r="C1973" s="6">
        <v>0</v>
      </c>
      <c r="D1973" s="6">
        <v>0</v>
      </c>
      <c r="E1973" s="6">
        <v>67</v>
      </c>
      <c r="F1973" s="5" t="s">
        <v>8</v>
      </c>
      <c r="G1973" s="5" t="s">
        <v>11</v>
      </c>
      <c r="H1973" s="3" t="s">
        <v>257</v>
      </c>
      <c r="I1973" s="5" t="s">
        <v>438</v>
      </c>
      <c r="J1973" s="5">
        <f>_xlfn.XLOOKUP(CustomerCombined[[#This Row],[ID]], Table4[ID], Table4[Recency], "Not Found", 0)</f>
        <v>44</v>
      </c>
      <c r="K1973" s="5">
        <f>_xlfn.XLOOKUP(CustomerCombined[[#This Row],[ID]], Table4[ID], Table4[Teas], "Not Found", 0)</f>
        <v>811</v>
      </c>
      <c r="L1973" s="5">
        <f>_xlfn.XLOOKUP(CustomerCombined[[#This Row],[ID]], Table4[ID], Table4[Fruits], "Not Found", 0)</f>
        <v>14</v>
      </c>
      <c r="M1973" s="5">
        <f>_xlfn.XLOOKUP(CustomerCombined[[#This Row],[ID]], Table4[ID], Table4[Meats], "Not Found", 0)</f>
        <v>545</v>
      </c>
      <c r="N1973" s="5">
        <f>_xlfn.XLOOKUP(CustomerCombined[[#This Row],[ID]], Table4[ID], Table4[Seafood], "Not Found", 0)</f>
        <v>57</v>
      </c>
      <c r="O1973" s="5">
        <f>_xlfn.XLOOKUP(CustomerCombined[[#This Row],[ID]], Table4[ID], Table4[Sweets], "Not Found", 0)</f>
        <v>57</v>
      </c>
      <c r="P1973" s="5">
        <f>_xlfn.XLOOKUP(CustomerCombined[[#This Row],[ID]], Table4[ID], Table4[Premium], "Not Found", 0)</f>
        <v>133</v>
      </c>
      <c r="Q1973" s="5">
        <f>_xlfn.XLOOKUP(CustomerCombined[[#This Row],[ID]], Table4[ID], Table4[Regular], "Not Found", 0)</f>
        <v>1351</v>
      </c>
      <c r="R1973" s="5">
        <f>_xlfn.XLOOKUP(CustomerCombined[[#This Row],[ID]], Table4[ID], Table4[Deals], "Not Found", 0)</f>
        <v>3</v>
      </c>
      <c r="S1973" s="5">
        <f>_xlfn.XLOOKUP(CustomerCombined[[#This Row],[ID]], Table4[ID], Table4[Website], "Not Found", 0)</f>
        <v>5</v>
      </c>
      <c r="T1973" s="5">
        <f>_xlfn.XLOOKUP(CustomerCombined[[#This Row],[ID]], Table4[ID], Table4[Catalog], "Not Found", 0)</f>
        <v>4</v>
      </c>
      <c r="U1973" s="5">
        <f>_xlfn.XLOOKUP(CustomerCombined[[#This Row],[ID]], Table4[ID], Table4[Store], "Not Found", 0)</f>
        <v>8</v>
      </c>
      <c r="V1973" s="5">
        <f>_xlfn.XLOOKUP(CustomerCombined[[#This Row],[ID]], Table4[ID], Table4[Visits], "Not Found", 0)</f>
        <v>4</v>
      </c>
      <c r="W1973" s="8">
        <f>_xlfn.XLOOKUP(CustomerCombined[[#This Row],[ID]], Table2[ID],Table2[Complaint], "Not Found", 0 )</f>
        <v>0</v>
      </c>
      <c r="X1973" s="8">
        <f>_xlfn.XLOOKUP(CustomerCombined[[#This Row],[ID]], Table2[ID],Table2[Pilot], "Not Found", 0 )</f>
        <v>0</v>
      </c>
      <c r="Y1973" s="8">
        <f>_xlfn.XLOOKUP(CustomerCombined[[#This Row],[ID]], Table2[ID],Table2[MC1], "Not Found", 0 )</f>
        <v>0</v>
      </c>
      <c r="Z1973" s="8">
        <f>_xlfn.XLOOKUP(CustomerCombined[[#This Row],[ID]], Table2[ID],Table2[MC2], "Not Found", 0 )</f>
        <v>0</v>
      </c>
      <c r="AA1973" s="8">
        <f>_xlfn.XLOOKUP(CustomerCombined[[#This Row],[ID]], Table2[ID],Table2[MC3], "Not Found", 0 )</f>
        <v>0</v>
      </c>
      <c r="AB1973" s="8">
        <f>_xlfn.XLOOKUP(CustomerCombined[[#This Row],[ID]], Table2[ID],Table2[MC4], "Not Found", 0 )</f>
        <v>0</v>
      </c>
      <c r="AC1973" s="8">
        <f>_xlfn.XLOOKUP(CustomerCombined[[#This Row],[ID]], Table2[ID],Table2[MC5], "Not Found", 0 )</f>
        <v>0</v>
      </c>
    </row>
    <row r="1974" spans="1:29" x14ac:dyDescent="0.3">
      <c r="A1974" s="6">
        <v>1112</v>
      </c>
      <c r="B1974" s="6">
        <v>156129</v>
      </c>
      <c r="C1974" s="6">
        <v>0</v>
      </c>
      <c r="D1974" s="6">
        <v>1</v>
      </c>
      <c r="E1974" s="6">
        <v>67</v>
      </c>
      <c r="F1974" s="5" t="s">
        <v>8</v>
      </c>
      <c r="G1974" s="5" t="s">
        <v>12</v>
      </c>
      <c r="H1974" s="3" t="s">
        <v>233</v>
      </c>
      <c r="I1974" s="5" t="s">
        <v>438</v>
      </c>
      <c r="J1974" s="5">
        <f>_xlfn.XLOOKUP(CustomerCombined[[#This Row],[ID]], Table4[ID], Table4[Recency], "Not Found", 0)</f>
        <v>65</v>
      </c>
      <c r="K1974" s="5">
        <f>_xlfn.XLOOKUP(CustomerCombined[[#This Row],[ID]], Table4[ID], Table4[Teas], "Not Found", 0)</f>
        <v>890</v>
      </c>
      <c r="L1974" s="5">
        <f>_xlfn.XLOOKUP(CustomerCombined[[#This Row],[ID]], Table4[ID], Table4[Fruits], "Not Found", 0)</f>
        <v>134</v>
      </c>
      <c r="M1974" s="5">
        <f>_xlfn.XLOOKUP(CustomerCombined[[#This Row],[ID]], Table4[ID], Table4[Meats], "Not Found", 0)</f>
        <v>370</v>
      </c>
      <c r="N1974" s="5">
        <f>_xlfn.XLOOKUP(CustomerCombined[[#This Row],[ID]], Table4[ID], Table4[Seafood], "Not Found", 0)</f>
        <v>108</v>
      </c>
      <c r="O1974" s="5">
        <f>_xlfn.XLOOKUP(CustomerCombined[[#This Row],[ID]], Table4[ID], Table4[Sweets], "Not Found", 0)</f>
        <v>200</v>
      </c>
      <c r="P1974" s="5">
        <f>_xlfn.XLOOKUP(CustomerCombined[[#This Row],[ID]], Table4[ID], Table4[Premium], "Not Found", 0)</f>
        <v>134</v>
      </c>
      <c r="Q1974" s="5">
        <f>_xlfn.XLOOKUP(CustomerCombined[[#This Row],[ID]], Table4[ID], Table4[Regular], "Not Found", 0)</f>
        <v>1569</v>
      </c>
      <c r="R1974" s="5">
        <f>_xlfn.XLOOKUP(CustomerCombined[[#This Row],[ID]], Table4[ID], Table4[Deals], "Not Found", 0)</f>
        <v>4</v>
      </c>
      <c r="S1974" s="5">
        <f>_xlfn.XLOOKUP(CustomerCombined[[#This Row],[ID]], Table4[ID], Table4[Website], "Not Found", 0)</f>
        <v>6</v>
      </c>
      <c r="T1974" s="5">
        <f>_xlfn.XLOOKUP(CustomerCombined[[#This Row],[ID]], Table4[ID], Table4[Catalog], "Not Found", 0)</f>
        <v>2</v>
      </c>
      <c r="U1974" s="5">
        <f>_xlfn.XLOOKUP(CustomerCombined[[#This Row],[ID]], Table4[ID], Table4[Store], "Not Found", 0)</f>
        <v>10</v>
      </c>
      <c r="V1974" s="5">
        <f>_xlfn.XLOOKUP(CustomerCombined[[#This Row],[ID]], Table4[ID], Table4[Visits], "Not Found", 0)</f>
        <v>4</v>
      </c>
      <c r="W1974" s="8">
        <f>_xlfn.XLOOKUP(CustomerCombined[[#This Row],[ID]], Table2[ID],Table2[Complaint], "Not Found", 0 )</f>
        <v>0</v>
      </c>
      <c r="X1974" s="8">
        <f>_xlfn.XLOOKUP(CustomerCombined[[#This Row],[ID]], Table2[ID],Table2[Pilot], "Not Found", 0 )</f>
        <v>0</v>
      </c>
      <c r="Y1974" s="8">
        <f>_xlfn.XLOOKUP(CustomerCombined[[#This Row],[ID]], Table2[ID],Table2[MC1], "Not Found", 0 )</f>
        <v>0</v>
      </c>
      <c r="Z1974" s="8">
        <f>_xlfn.XLOOKUP(CustomerCombined[[#This Row],[ID]], Table2[ID],Table2[MC2], "Not Found", 0 )</f>
        <v>0</v>
      </c>
      <c r="AA1974" s="8">
        <f>_xlfn.XLOOKUP(CustomerCombined[[#This Row],[ID]], Table2[ID],Table2[MC3], "Not Found", 0 )</f>
        <v>0</v>
      </c>
      <c r="AB1974" s="8">
        <f>_xlfn.XLOOKUP(CustomerCombined[[#This Row],[ID]], Table2[ID],Table2[MC4], "Not Found", 0 )</f>
        <v>0</v>
      </c>
      <c r="AC1974" s="8">
        <f>_xlfn.XLOOKUP(CustomerCombined[[#This Row],[ID]], Table2[ID],Table2[MC5], "Not Found", 0 )</f>
        <v>0</v>
      </c>
    </row>
    <row r="1975" spans="1:29" x14ac:dyDescent="0.3">
      <c r="A1975" s="6">
        <v>2121</v>
      </c>
      <c r="B1975" s="6">
        <v>156129</v>
      </c>
      <c r="C1975" s="6">
        <v>0</v>
      </c>
      <c r="D1975" s="6">
        <v>1</v>
      </c>
      <c r="E1975" s="6">
        <v>67</v>
      </c>
      <c r="F1975" s="5" t="s">
        <v>8</v>
      </c>
      <c r="G1975" s="5" t="s">
        <v>12</v>
      </c>
      <c r="H1975" s="3" t="s">
        <v>233</v>
      </c>
      <c r="I1975" s="5" t="s">
        <v>435</v>
      </c>
      <c r="J1975" s="5">
        <f>_xlfn.XLOOKUP(CustomerCombined[[#This Row],[ID]], Table4[ID], Table4[Recency], "Not Found", 0)</f>
        <v>65</v>
      </c>
      <c r="K1975" s="5">
        <f>_xlfn.XLOOKUP(CustomerCombined[[#This Row],[ID]], Table4[ID], Table4[Teas], "Not Found", 0)</f>
        <v>890</v>
      </c>
      <c r="L1975" s="5">
        <f>_xlfn.XLOOKUP(CustomerCombined[[#This Row],[ID]], Table4[ID], Table4[Fruits], "Not Found", 0)</f>
        <v>134</v>
      </c>
      <c r="M1975" s="5">
        <f>_xlfn.XLOOKUP(CustomerCombined[[#This Row],[ID]], Table4[ID], Table4[Meats], "Not Found", 0)</f>
        <v>370</v>
      </c>
      <c r="N1975" s="5">
        <f>_xlfn.XLOOKUP(CustomerCombined[[#This Row],[ID]], Table4[ID], Table4[Seafood], "Not Found", 0)</f>
        <v>108</v>
      </c>
      <c r="O1975" s="5">
        <f>_xlfn.XLOOKUP(CustomerCombined[[#This Row],[ID]], Table4[ID], Table4[Sweets], "Not Found", 0)</f>
        <v>200</v>
      </c>
      <c r="P1975" s="5">
        <f>_xlfn.XLOOKUP(CustomerCombined[[#This Row],[ID]], Table4[ID], Table4[Premium], "Not Found", 0)</f>
        <v>134</v>
      </c>
      <c r="Q1975" s="5">
        <f>_xlfn.XLOOKUP(CustomerCombined[[#This Row],[ID]], Table4[ID], Table4[Regular], "Not Found", 0)</f>
        <v>1569</v>
      </c>
      <c r="R1975" s="5">
        <f>_xlfn.XLOOKUP(CustomerCombined[[#This Row],[ID]], Table4[ID], Table4[Deals], "Not Found", 0)</f>
        <v>4</v>
      </c>
      <c r="S1975" s="5">
        <f>_xlfn.XLOOKUP(CustomerCombined[[#This Row],[ID]], Table4[ID], Table4[Website], "Not Found", 0)</f>
        <v>6</v>
      </c>
      <c r="T1975" s="5">
        <f>_xlfn.XLOOKUP(CustomerCombined[[#This Row],[ID]], Table4[ID], Table4[Catalog], "Not Found", 0)</f>
        <v>2</v>
      </c>
      <c r="U1975" s="5">
        <f>_xlfn.XLOOKUP(CustomerCombined[[#This Row],[ID]], Table4[ID], Table4[Store], "Not Found", 0)</f>
        <v>10</v>
      </c>
      <c r="V1975" s="5">
        <f>_xlfn.XLOOKUP(CustomerCombined[[#This Row],[ID]], Table4[ID], Table4[Visits], "Not Found", 0)</f>
        <v>4</v>
      </c>
      <c r="W1975" s="8">
        <f>_xlfn.XLOOKUP(CustomerCombined[[#This Row],[ID]], Table2[ID],Table2[Complaint], "Not Found", 0 )</f>
        <v>0</v>
      </c>
      <c r="X1975" s="8">
        <f>_xlfn.XLOOKUP(CustomerCombined[[#This Row],[ID]], Table2[ID],Table2[Pilot], "Not Found", 0 )</f>
        <v>0</v>
      </c>
      <c r="Y1975" s="8">
        <f>_xlfn.XLOOKUP(CustomerCombined[[#This Row],[ID]], Table2[ID],Table2[MC1], "Not Found", 0 )</f>
        <v>0</v>
      </c>
      <c r="Z1975" s="8">
        <f>_xlfn.XLOOKUP(CustomerCombined[[#This Row],[ID]], Table2[ID],Table2[MC2], "Not Found", 0 )</f>
        <v>0</v>
      </c>
      <c r="AA1975" s="8">
        <f>_xlfn.XLOOKUP(CustomerCombined[[#This Row],[ID]], Table2[ID],Table2[MC3], "Not Found", 0 )</f>
        <v>0</v>
      </c>
      <c r="AB1975" s="8">
        <f>_xlfn.XLOOKUP(CustomerCombined[[#This Row],[ID]], Table2[ID],Table2[MC4], "Not Found", 0 )</f>
        <v>0</v>
      </c>
      <c r="AC1975" s="8">
        <f>_xlfn.XLOOKUP(CustomerCombined[[#This Row],[ID]], Table2[ID],Table2[MC5], "Not Found", 0 )</f>
        <v>0</v>
      </c>
    </row>
    <row r="1976" spans="1:29" x14ac:dyDescent="0.3">
      <c r="A1976" s="6">
        <v>1433</v>
      </c>
      <c r="B1976" s="6">
        <v>155707</v>
      </c>
      <c r="C1976" s="6">
        <v>0</v>
      </c>
      <c r="D1976" s="6">
        <v>1</v>
      </c>
      <c r="E1976" s="6">
        <v>67</v>
      </c>
      <c r="F1976" s="5" t="s">
        <v>6</v>
      </c>
      <c r="G1976" s="5" t="s">
        <v>13</v>
      </c>
      <c r="H1976" s="3" t="s">
        <v>126</v>
      </c>
      <c r="I1976" s="5" t="s">
        <v>434</v>
      </c>
      <c r="J1976" s="5">
        <f>_xlfn.XLOOKUP(CustomerCombined[[#This Row],[ID]], Table4[ID], Table4[Recency], "Not Found", 0)</f>
        <v>91</v>
      </c>
      <c r="K1976" s="5">
        <f>_xlfn.XLOOKUP(CustomerCombined[[#This Row],[ID]], Table4[ID], Table4[Teas], "Not Found", 0)</f>
        <v>581</v>
      </c>
      <c r="L1976" s="5">
        <f>_xlfn.XLOOKUP(CustomerCombined[[#This Row],[ID]], Table4[ID], Table4[Fruits], "Not Found", 0)</f>
        <v>20</v>
      </c>
      <c r="M1976" s="5">
        <f>_xlfn.XLOOKUP(CustomerCombined[[#This Row],[ID]], Table4[ID], Table4[Meats], "Not Found", 0)</f>
        <v>229</v>
      </c>
      <c r="N1976" s="5">
        <f>_xlfn.XLOOKUP(CustomerCombined[[#This Row],[ID]], Table4[ID], Table4[Seafood], "Not Found", 0)</f>
        <v>84</v>
      </c>
      <c r="O1976" s="5">
        <f>_xlfn.XLOOKUP(CustomerCombined[[#This Row],[ID]], Table4[ID], Table4[Sweets], "Not Found", 0)</f>
        <v>184</v>
      </c>
      <c r="P1976" s="5">
        <f>_xlfn.XLOOKUP(CustomerCombined[[#This Row],[ID]], Table4[ID], Table4[Premium], "Not Found", 0)</f>
        <v>98</v>
      </c>
      <c r="Q1976" s="5">
        <f>_xlfn.XLOOKUP(CustomerCombined[[#This Row],[ID]], Table4[ID], Table4[Regular], "Not Found", 0)</f>
        <v>1001</v>
      </c>
      <c r="R1976" s="5">
        <f>_xlfn.XLOOKUP(CustomerCombined[[#This Row],[ID]], Table4[ID], Table4[Deals], "Not Found", 0)</f>
        <v>2</v>
      </c>
      <c r="S1976" s="5">
        <f>_xlfn.XLOOKUP(CustomerCombined[[#This Row],[ID]], Table4[ID], Table4[Website], "Not Found", 0)</f>
        <v>3</v>
      </c>
      <c r="T1976" s="5">
        <f>_xlfn.XLOOKUP(CustomerCombined[[#This Row],[ID]], Table4[ID], Table4[Catalog], "Not Found", 0)</f>
        <v>2</v>
      </c>
      <c r="U1976" s="5">
        <f>_xlfn.XLOOKUP(CustomerCombined[[#This Row],[ID]], Table4[ID], Table4[Store], "Not Found", 0)</f>
        <v>9</v>
      </c>
      <c r="V1976" s="5">
        <f>_xlfn.XLOOKUP(CustomerCombined[[#This Row],[ID]], Table4[ID], Table4[Visits], "Not Found", 0)</f>
        <v>3</v>
      </c>
      <c r="W1976" s="8">
        <f>_xlfn.XLOOKUP(CustomerCombined[[#This Row],[ID]], Table2[ID],Table2[Complaint], "Not Found", 0 )</f>
        <v>0</v>
      </c>
      <c r="X1976" s="8">
        <f>_xlfn.XLOOKUP(CustomerCombined[[#This Row],[ID]], Table2[ID],Table2[Pilot], "Not Found", 0 )</f>
        <v>0</v>
      </c>
      <c r="Y1976" s="8">
        <f>_xlfn.XLOOKUP(CustomerCombined[[#This Row],[ID]], Table2[ID],Table2[MC1], "Not Found", 0 )</f>
        <v>0</v>
      </c>
      <c r="Z1976" s="8">
        <f>_xlfn.XLOOKUP(CustomerCombined[[#This Row],[ID]], Table2[ID],Table2[MC2], "Not Found", 0 )</f>
        <v>0</v>
      </c>
      <c r="AA1976" s="8">
        <f>_xlfn.XLOOKUP(CustomerCombined[[#This Row],[ID]], Table2[ID],Table2[MC3], "Not Found", 0 )</f>
        <v>0</v>
      </c>
      <c r="AB1976" s="8">
        <f>_xlfn.XLOOKUP(CustomerCombined[[#This Row],[ID]], Table2[ID],Table2[MC4], "Not Found", 0 )</f>
        <v>0</v>
      </c>
      <c r="AC1976" s="8">
        <f>_xlfn.XLOOKUP(CustomerCombined[[#This Row],[ID]], Table2[ID],Table2[MC5], "Not Found", 0 )</f>
        <v>0</v>
      </c>
    </row>
    <row r="1977" spans="1:29" x14ac:dyDescent="0.3">
      <c r="A1977" s="6">
        <v>1119</v>
      </c>
      <c r="B1977" s="6">
        <v>154348</v>
      </c>
      <c r="C1977" s="6">
        <v>1</v>
      </c>
      <c r="D1977" s="6">
        <v>1</v>
      </c>
      <c r="E1977" s="6">
        <v>67</v>
      </c>
      <c r="F1977" s="5" t="s">
        <v>6</v>
      </c>
      <c r="G1977" s="5" t="s">
        <v>12</v>
      </c>
      <c r="H1977" s="3">
        <v>44176</v>
      </c>
      <c r="I1977" s="5" t="s">
        <v>435</v>
      </c>
      <c r="J1977" s="5">
        <f>_xlfn.XLOOKUP(CustomerCombined[[#This Row],[ID]], Table4[ID], Table4[Recency], "Not Found", 0)</f>
        <v>51</v>
      </c>
      <c r="K1977" s="5">
        <f>_xlfn.XLOOKUP(CustomerCombined[[#This Row],[ID]], Table4[ID], Table4[Teas], "Not Found", 0)</f>
        <v>199</v>
      </c>
      <c r="L1977" s="5">
        <f>_xlfn.XLOOKUP(CustomerCombined[[#This Row],[ID]], Table4[ID], Table4[Fruits], "Not Found", 0)</f>
        <v>0</v>
      </c>
      <c r="M1977" s="5">
        <f>_xlfn.XLOOKUP(CustomerCombined[[#This Row],[ID]], Table4[ID], Table4[Meats], "Not Found", 0)</f>
        <v>45</v>
      </c>
      <c r="N1977" s="5">
        <f>_xlfn.XLOOKUP(CustomerCombined[[#This Row],[ID]], Table4[ID], Table4[Seafood], "Not Found", 0)</f>
        <v>0</v>
      </c>
      <c r="O1977" s="5">
        <f>_xlfn.XLOOKUP(CustomerCombined[[#This Row],[ID]], Table4[ID], Table4[Sweets], "Not Found", 0)</f>
        <v>0</v>
      </c>
      <c r="P1977" s="5">
        <f>_xlfn.XLOOKUP(CustomerCombined[[#This Row],[ID]], Table4[ID], Table4[Premium], "Not Found", 0)</f>
        <v>11</v>
      </c>
      <c r="Q1977" s="5">
        <f>_xlfn.XLOOKUP(CustomerCombined[[#This Row],[ID]], Table4[ID], Table4[Regular], "Not Found", 0)</f>
        <v>233</v>
      </c>
      <c r="R1977" s="5">
        <f>_xlfn.XLOOKUP(CustomerCombined[[#This Row],[ID]], Table4[ID], Table4[Deals], "Not Found", 0)</f>
        <v>2</v>
      </c>
      <c r="S1977" s="5">
        <f>_xlfn.XLOOKUP(CustomerCombined[[#This Row],[ID]], Table4[ID], Table4[Website], "Not Found", 0)</f>
        <v>2</v>
      </c>
      <c r="T1977" s="5">
        <f>_xlfn.XLOOKUP(CustomerCombined[[#This Row],[ID]], Table4[ID], Table4[Catalog], "Not Found", 0)</f>
        <v>0</v>
      </c>
      <c r="U1977" s="5">
        <f>_xlfn.XLOOKUP(CustomerCombined[[#This Row],[ID]], Table4[ID], Table4[Store], "Not Found", 0)</f>
        <v>4</v>
      </c>
      <c r="V1977" s="5">
        <f>_xlfn.XLOOKUP(CustomerCombined[[#This Row],[ID]], Table4[ID], Table4[Visits], "Not Found", 0)</f>
        <v>6</v>
      </c>
      <c r="W1977" s="8">
        <f>_xlfn.XLOOKUP(CustomerCombined[[#This Row],[ID]], Table2[ID],Table2[Complaint], "Not Found", 0 )</f>
        <v>0</v>
      </c>
      <c r="X1977" s="8">
        <f>_xlfn.XLOOKUP(CustomerCombined[[#This Row],[ID]], Table2[ID],Table2[Pilot], "Not Found", 0 )</f>
        <v>0</v>
      </c>
      <c r="Y1977" s="8">
        <f>_xlfn.XLOOKUP(CustomerCombined[[#This Row],[ID]], Table2[ID],Table2[MC1], "Not Found", 0 )</f>
        <v>0</v>
      </c>
      <c r="Z1977" s="8">
        <f>_xlfn.XLOOKUP(CustomerCombined[[#This Row],[ID]], Table2[ID],Table2[MC2], "Not Found", 0 )</f>
        <v>0</v>
      </c>
      <c r="AA1977" s="8">
        <f>_xlfn.XLOOKUP(CustomerCombined[[#This Row],[ID]], Table2[ID],Table2[MC3], "Not Found", 0 )</f>
        <v>0</v>
      </c>
      <c r="AB1977" s="8">
        <f>_xlfn.XLOOKUP(CustomerCombined[[#This Row],[ID]], Table2[ID],Table2[MC4], "Not Found", 0 )</f>
        <v>0</v>
      </c>
      <c r="AC1977" s="8">
        <f>_xlfn.XLOOKUP(CustomerCombined[[#This Row],[ID]], Table2[ID],Table2[MC5], "Not Found", 0 )</f>
        <v>0</v>
      </c>
    </row>
    <row r="1978" spans="1:29" x14ac:dyDescent="0.3">
      <c r="A1978" s="6">
        <v>1489</v>
      </c>
      <c r="B1978" s="6">
        <v>153653</v>
      </c>
      <c r="C1978" s="6">
        <v>0</v>
      </c>
      <c r="D1978" s="6">
        <v>0</v>
      </c>
      <c r="E1978" s="6">
        <v>67</v>
      </c>
      <c r="F1978" s="5" t="s">
        <v>9</v>
      </c>
      <c r="G1978" s="5" t="s">
        <v>11</v>
      </c>
      <c r="H1978" s="3" t="s">
        <v>368</v>
      </c>
      <c r="I1978" s="5" t="s">
        <v>437</v>
      </c>
      <c r="J1978" s="5">
        <f>_xlfn.XLOOKUP(CustomerCombined[[#This Row],[ID]], Table4[ID], Table4[Recency], "Not Found", 0)</f>
        <v>29</v>
      </c>
      <c r="K1978" s="5">
        <f>_xlfn.XLOOKUP(CustomerCombined[[#This Row],[ID]], Table4[ID], Table4[Teas], "Not Found", 0)</f>
        <v>2334</v>
      </c>
      <c r="L1978" s="5">
        <f>_xlfn.XLOOKUP(CustomerCombined[[#This Row],[ID]], Table4[ID], Table4[Fruits], "Not Found", 0)</f>
        <v>29</v>
      </c>
      <c r="M1978" s="5">
        <f>_xlfn.XLOOKUP(CustomerCombined[[#This Row],[ID]], Table4[ID], Table4[Meats], "Not Found", 0)</f>
        <v>684</v>
      </c>
      <c r="N1978" s="5">
        <f>_xlfn.XLOOKUP(CustomerCombined[[#This Row],[ID]], Table4[ID], Table4[Seafood], "Not Found", 0)</f>
        <v>80</v>
      </c>
      <c r="O1978" s="5">
        <f>_xlfn.XLOOKUP(CustomerCombined[[#This Row],[ID]], Table4[ID], Table4[Sweets], "Not Found", 0)</f>
        <v>29</v>
      </c>
      <c r="P1978" s="5">
        <f>_xlfn.XLOOKUP(CustomerCombined[[#This Row],[ID]], Table4[ID], Table4[Premium], "Not Found", 0)</f>
        <v>309</v>
      </c>
      <c r="Q1978" s="5">
        <f>_xlfn.XLOOKUP(CustomerCombined[[#This Row],[ID]], Table4[ID], Table4[Regular], "Not Found", 0)</f>
        <v>2847</v>
      </c>
      <c r="R1978" s="5">
        <f>_xlfn.XLOOKUP(CustomerCombined[[#This Row],[ID]], Table4[ID], Table4[Deals], "Not Found", 0)</f>
        <v>2</v>
      </c>
      <c r="S1978" s="5">
        <f>_xlfn.XLOOKUP(CustomerCombined[[#This Row],[ID]], Table4[ID], Table4[Website], "Not Found", 0)</f>
        <v>10</v>
      </c>
      <c r="T1978" s="5">
        <f>_xlfn.XLOOKUP(CustomerCombined[[#This Row],[ID]], Table4[ID], Table4[Catalog], "Not Found", 0)</f>
        <v>4</v>
      </c>
      <c r="U1978" s="5">
        <f>_xlfn.XLOOKUP(CustomerCombined[[#This Row],[ID]], Table4[ID], Table4[Store], "Not Found", 0)</f>
        <v>12</v>
      </c>
      <c r="V1978" s="5">
        <f>_xlfn.XLOOKUP(CustomerCombined[[#This Row],[ID]], Table4[ID], Table4[Visits], "Not Found", 0)</f>
        <v>6</v>
      </c>
      <c r="W1978" s="8">
        <f>_xlfn.XLOOKUP(CustomerCombined[[#This Row],[ID]], Table2[ID],Table2[Complaint], "Not Found", 0 )</f>
        <v>0</v>
      </c>
      <c r="X1978" s="8">
        <f>_xlfn.XLOOKUP(CustomerCombined[[#This Row],[ID]], Table2[ID],Table2[Pilot], "Not Found", 0 )</f>
        <v>0</v>
      </c>
      <c r="Y1978" s="8">
        <f>_xlfn.XLOOKUP(CustomerCombined[[#This Row],[ID]], Table2[ID],Table2[MC1], "Not Found", 0 )</f>
        <v>0</v>
      </c>
      <c r="Z1978" s="8">
        <f>_xlfn.XLOOKUP(CustomerCombined[[#This Row],[ID]], Table2[ID],Table2[MC2], "Not Found", 0 )</f>
        <v>0</v>
      </c>
      <c r="AA1978" s="8">
        <f>_xlfn.XLOOKUP(CustomerCombined[[#This Row],[ID]], Table2[ID],Table2[MC3], "Not Found", 0 )</f>
        <v>0</v>
      </c>
      <c r="AB1978" s="8">
        <f>_xlfn.XLOOKUP(CustomerCombined[[#This Row],[ID]], Table2[ID],Table2[MC4], "Not Found", 0 )</f>
        <v>0</v>
      </c>
      <c r="AC1978" s="8">
        <f>_xlfn.XLOOKUP(CustomerCombined[[#This Row],[ID]], Table2[ID],Table2[MC5], "Not Found", 0 )</f>
        <v>0</v>
      </c>
    </row>
    <row r="1979" spans="1:29" x14ac:dyDescent="0.3">
      <c r="A1979" s="6">
        <v>1712</v>
      </c>
      <c r="B1979" s="6">
        <v>153593</v>
      </c>
      <c r="C1979" s="6">
        <v>1</v>
      </c>
      <c r="D1979" s="6">
        <v>1</v>
      </c>
      <c r="E1979" s="6">
        <v>67</v>
      </c>
      <c r="F1979" s="5" t="s">
        <v>8</v>
      </c>
      <c r="G1979" s="5" t="s">
        <v>13</v>
      </c>
      <c r="H1979" s="3">
        <v>43800</v>
      </c>
      <c r="I1979" s="5" t="s">
        <v>438</v>
      </c>
      <c r="J1979" s="5">
        <f>_xlfn.XLOOKUP(CustomerCombined[[#This Row],[ID]], Table4[ID], Table4[Recency], "Not Found", 0)</f>
        <v>60</v>
      </c>
      <c r="K1979" s="5">
        <f>_xlfn.XLOOKUP(CustomerCombined[[#This Row],[ID]], Table4[ID], Table4[Teas], "Not Found", 0)</f>
        <v>1000</v>
      </c>
      <c r="L1979" s="5">
        <f>_xlfn.XLOOKUP(CustomerCombined[[#This Row],[ID]], Table4[ID], Table4[Fruits], "Not Found", 0)</f>
        <v>11</v>
      </c>
      <c r="M1979" s="5">
        <f>_xlfn.XLOOKUP(CustomerCombined[[#This Row],[ID]], Table4[ID], Table4[Meats], "Not Found", 0)</f>
        <v>224</v>
      </c>
      <c r="N1979" s="5">
        <f>_xlfn.XLOOKUP(CustomerCombined[[#This Row],[ID]], Table4[ID], Table4[Seafood], "Not Found", 0)</f>
        <v>17</v>
      </c>
      <c r="O1979" s="5">
        <f>_xlfn.XLOOKUP(CustomerCombined[[#This Row],[ID]], Table4[ID], Table4[Sweets], "Not Found", 0)</f>
        <v>0</v>
      </c>
      <c r="P1979" s="5">
        <f>_xlfn.XLOOKUP(CustomerCombined[[#This Row],[ID]], Table4[ID], Table4[Premium], "Not Found", 0)</f>
        <v>123</v>
      </c>
      <c r="Q1979" s="5">
        <f>_xlfn.XLOOKUP(CustomerCombined[[#This Row],[ID]], Table4[ID], Table4[Regular], "Not Found", 0)</f>
        <v>1129</v>
      </c>
      <c r="R1979" s="5">
        <f>_xlfn.XLOOKUP(CustomerCombined[[#This Row],[ID]], Table4[ID], Table4[Deals], "Not Found", 0)</f>
        <v>8</v>
      </c>
      <c r="S1979" s="5">
        <f>_xlfn.XLOOKUP(CustomerCombined[[#This Row],[ID]], Table4[ID], Table4[Website], "Not Found", 0)</f>
        <v>7</v>
      </c>
      <c r="T1979" s="5">
        <f>_xlfn.XLOOKUP(CustomerCombined[[#This Row],[ID]], Table4[ID], Table4[Catalog], "Not Found", 0)</f>
        <v>2</v>
      </c>
      <c r="U1979" s="5">
        <f>_xlfn.XLOOKUP(CustomerCombined[[#This Row],[ID]], Table4[ID], Table4[Store], "Not Found", 0)</f>
        <v>6</v>
      </c>
      <c r="V1979" s="5">
        <f>_xlfn.XLOOKUP(CustomerCombined[[#This Row],[ID]], Table4[ID], Table4[Visits], "Not Found", 0)</f>
        <v>8</v>
      </c>
      <c r="W1979" s="8">
        <f>_xlfn.XLOOKUP(CustomerCombined[[#This Row],[ID]], Table2[ID],Table2[Complaint], "Not Found", 0 )</f>
        <v>0</v>
      </c>
      <c r="X1979" s="8">
        <f>_xlfn.XLOOKUP(CustomerCombined[[#This Row],[ID]], Table2[ID],Table2[Pilot], "Not Found", 0 )</f>
        <v>0</v>
      </c>
      <c r="Y1979" s="8">
        <f>_xlfn.XLOOKUP(CustomerCombined[[#This Row],[ID]], Table2[ID],Table2[MC1], "Not Found", 0 )</f>
        <v>0</v>
      </c>
      <c r="Z1979" s="8">
        <f>_xlfn.XLOOKUP(CustomerCombined[[#This Row],[ID]], Table2[ID],Table2[MC2], "Not Found", 0 )</f>
        <v>0</v>
      </c>
      <c r="AA1979" s="8">
        <f>_xlfn.XLOOKUP(CustomerCombined[[#This Row],[ID]], Table2[ID],Table2[MC3], "Not Found", 0 )</f>
        <v>0</v>
      </c>
      <c r="AB1979" s="8">
        <f>_xlfn.XLOOKUP(CustomerCombined[[#This Row],[ID]], Table2[ID],Table2[MC4], "Not Found", 0 )</f>
        <v>0</v>
      </c>
      <c r="AC1979" s="8">
        <f>_xlfn.XLOOKUP(CustomerCombined[[#This Row],[ID]], Table2[ID],Table2[MC5], "Not Found", 0 )</f>
        <v>0</v>
      </c>
    </row>
    <row r="1980" spans="1:29" x14ac:dyDescent="0.3">
      <c r="A1980" s="6">
        <v>2519</v>
      </c>
      <c r="B1980" s="6">
        <v>151411</v>
      </c>
      <c r="C1980" s="6">
        <v>1</v>
      </c>
      <c r="D1980" s="6">
        <v>2</v>
      </c>
      <c r="E1980" s="6">
        <v>67</v>
      </c>
      <c r="F1980" s="5" t="s">
        <v>7</v>
      </c>
      <c r="G1980" s="5" t="s">
        <v>13</v>
      </c>
      <c r="H1980" s="3" t="s">
        <v>245</v>
      </c>
      <c r="I1980" s="5" t="s">
        <v>434</v>
      </c>
      <c r="J1980" s="5">
        <f>_xlfn.XLOOKUP(CustomerCombined[[#This Row],[ID]], Table4[ID], Table4[Recency], "Not Found", 0)</f>
        <v>81</v>
      </c>
      <c r="K1980" s="5">
        <f>_xlfn.XLOOKUP(CustomerCombined[[#This Row],[ID]], Table4[ID], Table4[Teas], "Not Found", 0)</f>
        <v>41</v>
      </c>
      <c r="L1980" s="5">
        <f>_xlfn.XLOOKUP(CustomerCombined[[#This Row],[ID]], Table4[ID], Table4[Fruits], "Not Found", 0)</f>
        <v>0</v>
      </c>
      <c r="M1980" s="5">
        <f>_xlfn.XLOOKUP(CustomerCombined[[#This Row],[ID]], Table4[ID], Table4[Meats], "Not Found", 0)</f>
        <v>9</v>
      </c>
      <c r="N1980" s="5">
        <f>_xlfn.XLOOKUP(CustomerCombined[[#This Row],[ID]], Table4[ID], Table4[Seafood], "Not Found", 0)</f>
        <v>0</v>
      </c>
      <c r="O1980" s="5">
        <f>_xlfn.XLOOKUP(CustomerCombined[[#This Row],[ID]], Table4[ID], Table4[Sweets], "Not Found", 0)</f>
        <v>0</v>
      </c>
      <c r="P1980" s="5">
        <f>_xlfn.XLOOKUP(CustomerCombined[[#This Row],[ID]], Table4[ID], Table4[Premium], "Not Found", 0)</f>
        <v>3</v>
      </c>
      <c r="Q1980" s="5">
        <f>_xlfn.XLOOKUP(CustomerCombined[[#This Row],[ID]], Table4[ID], Table4[Regular], "Not Found", 0)</f>
        <v>47</v>
      </c>
      <c r="R1980" s="5">
        <f>_xlfn.XLOOKUP(CustomerCombined[[#This Row],[ID]], Table4[ID], Table4[Deals], "Not Found", 0)</f>
        <v>1</v>
      </c>
      <c r="S1980" s="5">
        <f>_xlfn.XLOOKUP(CustomerCombined[[#This Row],[ID]], Table4[ID], Table4[Website], "Not Found", 0)</f>
        <v>0</v>
      </c>
      <c r="T1980" s="5">
        <f>_xlfn.XLOOKUP(CustomerCombined[[#This Row],[ID]], Table4[ID], Table4[Catalog], "Not Found", 0)</f>
        <v>0</v>
      </c>
      <c r="U1980" s="5">
        <f>_xlfn.XLOOKUP(CustomerCombined[[#This Row],[ID]], Table4[ID], Table4[Store], "Not Found", 0)</f>
        <v>3</v>
      </c>
      <c r="V1980" s="5">
        <f>_xlfn.XLOOKUP(CustomerCombined[[#This Row],[ID]], Table4[ID], Table4[Visits], "Not Found", 0)</f>
        <v>5</v>
      </c>
      <c r="W1980" s="8">
        <f>_xlfn.XLOOKUP(CustomerCombined[[#This Row],[ID]], Table2[ID],Table2[Complaint], "Not Found", 0 )</f>
        <v>0</v>
      </c>
      <c r="X1980" s="8">
        <f>_xlfn.XLOOKUP(CustomerCombined[[#This Row],[ID]], Table2[ID],Table2[Pilot], "Not Found", 0 )</f>
        <v>0</v>
      </c>
      <c r="Y1980" s="8">
        <f>_xlfn.XLOOKUP(CustomerCombined[[#This Row],[ID]], Table2[ID],Table2[MC1], "Not Found", 0 )</f>
        <v>0</v>
      </c>
      <c r="Z1980" s="8">
        <f>_xlfn.XLOOKUP(CustomerCombined[[#This Row],[ID]], Table2[ID],Table2[MC2], "Not Found", 0 )</f>
        <v>0</v>
      </c>
      <c r="AA1980" s="8">
        <f>_xlfn.XLOOKUP(CustomerCombined[[#This Row],[ID]], Table2[ID],Table2[MC3], "Not Found", 0 )</f>
        <v>0</v>
      </c>
      <c r="AB1980" s="8">
        <f>_xlfn.XLOOKUP(CustomerCombined[[#This Row],[ID]], Table2[ID],Table2[MC4], "Not Found", 0 )</f>
        <v>0</v>
      </c>
      <c r="AC1980" s="8">
        <f>_xlfn.XLOOKUP(CustomerCombined[[#This Row],[ID]], Table2[ID],Table2[MC5], "Not Found", 0 )</f>
        <v>0</v>
      </c>
    </row>
    <row r="1981" spans="1:29" x14ac:dyDescent="0.3">
      <c r="A1981" s="6">
        <v>2442</v>
      </c>
      <c r="B1981" s="6">
        <v>150725</v>
      </c>
      <c r="C1981" s="6">
        <v>0</v>
      </c>
      <c r="D1981" s="6">
        <v>1</v>
      </c>
      <c r="E1981" s="6">
        <v>67</v>
      </c>
      <c r="F1981" s="5" t="s">
        <v>6</v>
      </c>
      <c r="G1981" s="5" t="s">
        <v>11</v>
      </c>
      <c r="H1981" s="3" t="s">
        <v>310</v>
      </c>
      <c r="I1981" s="5" t="s">
        <v>436</v>
      </c>
      <c r="J1981" s="5">
        <f>_xlfn.XLOOKUP(CustomerCombined[[#This Row],[ID]], Table4[ID], Table4[Recency], "Not Found", 0)</f>
        <v>45</v>
      </c>
      <c r="K1981" s="5">
        <f>_xlfn.XLOOKUP(CustomerCombined[[#This Row],[ID]], Table4[ID], Table4[Teas], "Not Found", 0)</f>
        <v>1316</v>
      </c>
      <c r="L1981" s="5">
        <f>_xlfn.XLOOKUP(CustomerCombined[[#This Row],[ID]], Table4[ID], Table4[Fruits], "Not Found", 0)</f>
        <v>30</v>
      </c>
      <c r="M1981" s="5">
        <f>_xlfn.XLOOKUP(CustomerCombined[[#This Row],[ID]], Table4[ID], Table4[Meats], "Not Found", 0)</f>
        <v>223</v>
      </c>
      <c r="N1981" s="5">
        <f>_xlfn.XLOOKUP(CustomerCombined[[#This Row],[ID]], Table4[ID], Table4[Seafood], "Not Found", 0)</f>
        <v>0</v>
      </c>
      <c r="O1981" s="5">
        <f>_xlfn.XLOOKUP(CustomerCombined[[#This Row],[ID]], Table4[ID], Table4[Sweets], "Not Found", 0)</f>
        <v>30</v>
      </c>
      <c r="P1981" s="5">
        <f>_xlfn.XLOOKUP(CustomerCombined[[#This Row],[ID]], Table4[ID], Table4[Premium], "Not Found", 0)</f>
        <v>143</v>
      </c>
      <c r="Q1981" s="5">
        <f>_xlfn.XLOOKUP(CustomerCombined[[#This Row],[ID]], Table4[ID], Table4[Regular], "Not Found", 0)</f>
        <v>1456</v>
      </c>
      <c r="R1981" s="5">
        <f>_xlfn.XLOOKUP(CustomerCombined[[#This Row],[ID]], Table4[ID], Table4[Deals], "Not Found", 0)</f>
        <v>4</v>
      </c>
      <c r="S1981" s="5">
        <f>_xlfn.XLOOKUP(CustomerCombined[[#This Row],[ID]], Table4[ID], Table4[Website], "Not Found", 0)</f>
        <v>8</v>
      </c>
      <c r="T1981" s="5">
        <f>_xlfn.XLOOKUP(CustomerCombined[[#This Row],[ID]], Table4[ID], Table4[Catalog], "Not Found", 0)</f>
        <v>1</v>
      </c>
      <c r="U1981" s="5">
        <f>_xlfn.XLOOKUP(CustomerCombined[[#This Row],[ID]], Table4[ID], Table4[Store], "Not Found", 0)</f>
        <v>8</v>
      </c>
      <c r="V1981" s="5">
        <f>_xlfn.XLOOKUP(CustomerCombined[[#This Row],[ID]], Table4[ID], Table4[Visits], "Not Found", 0)</f>
        <v>8</v>
      </c>
      <c r="W1981" s="8">
        <f>_xlfn.XLOOKUP(CustomerCombined[[#This Row],[ID]], Table2[ID],Table2[Complaint], "Not Found", 0 )</f>
        <v>0</v>
      </c>
      <c r="X1981" s="8">
        <f>_xlfn.XLOOKUP(CustomerCombined[[#This Row],[ID]], Table2[ID],Table2[Pilot], "Not Found", 0 )</f>
        <v>0</v>
      </c>
      <c r="Y1981" s="8">
        <f>_xlfn.XLOOKUP(CustomerCombined[[#This Row],[ID]], Table2[ID],Table2[MC1], "Not Found", 0 )</f>
        <v>0</v>
      </c>
      <c r="Z1981" s="8">
        <f>_xlfn.XLOOKUP(CustomerCombined[[#This Row],[ID]], Table2[ID],Table2[MC2], "Not Found", 0 )</f>
        <v>0</v>
      </c>
      <c r="AA1981" s="8">
        <f>_xlfn.XLOOKUP(CustomerCombined[[#This Row],[ID]], Table2[ID],Table2[MC3], "Not Found", 0 )</f>
        <v>0</v>
      </c>
      <c r="AB1981" s="8">
        <f>_xlfn.XLOOKUP(CustomerCombined[[#This Row],[ID]], Table2[ID],Table2[MC4], "Not Found", 0 )</f>
        <v>0</v>
      </c>
      <c r="AC1981" s="8">
        <f>_xlfn.XLOOKUP(CustomerCombined[[#This Row],[ID]], Table2[ID],Table2[MC5], "Not Found", 0 )</f>
        <v>0</v>
      </c>
    </row>
    <row r="1982" spans="1:29" x14ac:dyDescent="0.3">
      <c r="A1982" s="6">
        <v>3029</v>
      </c>
      <c r="B1982" s="6">
        <v>148794</v>
      </c>
      <c r="C1982" s="6">
        <v>1</v>
      </c>
      <c r="D1982" s="6">
        <v>1</v>
      </c>
      <c r="E1982" s="6">
        <v>67</v>
      </c>
      <c r="F1982" s="5" t="s">
        <v>8</v>
      </c>
      <c r="G1982" s="5" t="s">
        <v>11</v>
      </c>
      <c r="H1982" s="3" t="s">
        <v>23</v>
      </c>
      <c r="I1982" s="5" t="s">
        <v>434</v>
      </c>
      <c r="J1982" s="5">
        <f>_xlfn.XLOOKUP(CustomerCombined[[#This Row],[ID]], Table4[ID], Table4[Recency], "Not Found", 0)</f>
        <v>97</v>
      </c>
      <c r="K1982" s="5">
        <f>_xlfn.XLOOKUP(CustomerCombined[[#This Row],[ID]], Table4[ID], Table4[Teas], "Not Found", 0)</f>
        <v>76</v>
      </c>
      <c r="L1982" s="5">
        <f>_xlfn.XLOOKUP(CustomerCombined[[#This Row],[ID]], Table4[ID], Table4[Fruits], "Not Found", 0)</f>
        <v>0</v>
      </c>
      <c r="M1982" s="5">
        <f>_xlfn.XLOOKUP(CustomerCombined[[#This Row],[ID]], Table4[ID], Table4[Meats], "Not Found", 0)</f>
        <v>34</v>
      </c>
      <c r="N1982" s="5">
        <f>_xlfn.XLOOKUP(CustomerCombined[[#This Row],[ID]], Table4[ID], Table4[Seafood], "Not Found", 0)</f>
        <v>9</v>
      </c>
      <c r="O1982" s="5">
        <f>_xlfn.XLOOKUP(CustomerCombined[[#This Row],[ID]], Table4[ID], Table4[Sweets], "Not Found", 0)</f>
        <v>0</v>
      </c>
      <c r="P1982" s="5">
        <f>_xlfn.XLOOKUP(CustomerCombined[[#This Row],[ID]], Table4[ID], Table4[Premium], "Not Found", 0)</f>
        <v>46</v>
      </c>
      <c r="Q1982" s="5">
        <f>_xlfn.XLOOKUP(CustomerCombined[[#This Row],[ID]], Table4[ID], Table4[Regular], "Not Found", 0)</f>
        <v>73</v>
      </c>
      <c r="R1982" s="5">
        <f>_xlfn.XLOOKUP(CustomerCombined[[#This Row],[ID]], Table4[ID], Table4[Deals], "Not Found", 0)</f>
        <v>1</v>
      </c>
      <c r="S1982" s="5">
        <f>_xlfn.XLOOKUP(CustomerCombined[[#This Row],[ID]], Table4[ID], Table4[Website], "Not Found", 0)</f>
        <v>1</v>
      </c>
      <c r="T1982" s="5">
        <f>_xlfn.XLOOKUP(CustomerCombined[[#This Row],[ID]], Table4[ID], Table4[Catalog], "Not Found", 0)</f>
        <v>0</v>
      </c>
      <c r="U1982" s="5">
        <f>_xlfn.XLOOKUP(CustomerCombined[[#This Row],[ID]], Table4[ID], Table4[Store], "Not Found", 0)</f>
        <v>3</v>
      </c>
      <c r="V1982" s="5">
        <f>_xlfn.XLOOKUP(CustomerCombined[[#This Row],[ID]], Table4[ID], Table4[Visits], "Not Found", 0)</f>
        <v>4</v>
      </c>
      <c r="W1982" s="8">
        <f>_xlfn.XLOOKUP(CustomerCombined[[#This Row],[ID]], Table2[ID],Table2[Complaint], "Not Found", 0 )</f>
        <v>0</v>
      </c>
      <c r="X1982" s="8">
        <f>_xlfn.XLOOKUP(CustomerCombined[[#This Row],[ID]], Table2[ID],Table2[Pilot], "Not Found", 0 )</f>
        <v>0</v>
      </c>
      <c r="Y1982" s="8">
        <f>_xlfn.XLOOKUP(CustomerCombined[[#This Row],[ID]], Table2[ID],Table2[MC1], "Not Found", 0 )</f>
        <v>0</v>
      </c>
      <c r="Z1982" s="8">
        <f>_xlfn.XLOOKUP(CustomerCombined[[#This Row],[ID]], Table2[ID],Table2[MC2], "Not Found", 0 )</f>
        <v>0</v>
      </c>
      <c r="AA1982" s="8">
        <f>_xlfn.XLOOKUP(CustomerCombined[[#This Row],[ID]], Table2[ID],Table2[MC3], "Not Found", 0 )</f>
        <v>0</v>
      </c>
      <c r="AB1982" s="8">
        <f>_xlfn.XLOOKUP(CustomerCombined[[#This Row],[ID]], Table2[ID],Table2[MC4], "Not Found", 0 )</f>
        <v>0</v>
      </c>
      <c r="AC1982" s="8">
        <f>_xlfn.XLOOKUP(CustomerCombined[[#This Row],[ID]], Table2[ID],Table2[MC5], "Not Found", 0 )</f>
        <v>0</v>
      </c>
    </row>
    <row r="1983" spans="1:29" x14ac:dyDescent="0.3">
      <c r="A1983" s="6">
        <v>1409</v>
      </c>
      <c r="B1983" s="6">
        <v>148686</v>
      </c>
      <c r="C1983" s="6">
        <v>1</v>
      </c>
      <c r="D1983" s="6">
        <v>2</v>
      </c>
      <c r="E1983" s="6">
        <v>67</v>
      </c>
      <c r="F1983" s="5" t="s">
        <v>6</v>
      </c>
      <c r="G1983" s="5" t="s">
        <v>11</v>
      </c>
      <c r="H1983" s="3">
        <v>44109</v>
      </c>
      <c r="I1983" s="5" t="s">
        <v>434</v>
      </c>
      <c r="J1983" s="5">
        <f>_xlfn.XLOOKUP(CustomerCombined[[#This Row],[ID]], Table4[ID], Table4[Recency], "Not Found", 0)</f>
        <v>8</v>
      </c>
      <c r="K1983" s="5">
        <f>_xlfn.XLOOKUP(CustomerCombined[[#This Row],[ID]], Table4[ID], Table4[Teas], "Not Found", 0)</f>
        <v>31</v>
      </c>
      <c r="L1983" s="5">
        <f>_xlfn.XLOOKUP(CustomerCombined[[#This Row],[ID]], Table4[ID], Table4[Fruits], "Not Found", 0)</f>
        <v>0</v>
      </c>
      <c r="M1983" s="5">
        <f>_xlfn.XLOOKUP(CustomerCombined[[#This Row],[ID]], Table4[ID], Table4[Meats], "Not Found", 0)</f>
        <v>21</v>
      </c>
      <c r="N1983" s="5">
        <f>_xlfn.XLOOKUP(CustomerCombined[[#This Row],[ID]], Table4[ID], Table4[Seafood], "Not Found", 0)</f>
        <v>6</v>
      </c>
      <c r="O1983" s="5">
        <f>_xlfn.XLOOKUP(CustomerCombined[[#This Row],[ID]], Table4[ID], Table4[Sweets], "Not Found", 0)</f>
        <v>0</v>
      </c>
      <c r="P1983" s="5">
        <f>_xlfn.XLOOKUP(CustomerCombined[[#This Row],[ID]], Table4[ID], Table4[Premium], "Not Found", 0)</f>
        <v>3</v>
      </c>
      <c r="Q1983" s="5">
        <f>_xlfn.XLOOKUP(CustomerCombined[[#This Row],[ID]], Table4[ID], Table4[Regular], "Not Found", 0)</f>
        <v>55</v>
      </c>
      <c r="R1983" s="5">
        <f>_xlfn.XLOOKUP(CustomerCombined[[#This Row],[ID]], Table4[ID], Table4[Deals], "Not Found", 0)</f>
        <v>1</v>
      </c>
      <c r="S1983" s="5">
        <f>_xlfn.XLOOKUP(CustomerCombined[[#This Row],[ID]], Table4[ID], Table4[Website], "Not Found", 0)</f>
        <v>1</v>
      </c>
      <c r="T1983" s="5">
        <f>_xlfn.XLOOKUP(CustomerCombined[[#This Row],[ID]], Table4[ID], Table4[Catalog], "Not Found", 0)</f>
        <v>0</v>
      </c>
      <c r="U1983" s="5">
        <f>_xlfn.XLOOKUP(CustomerCombined[[#This Row],[ID]], Table4[ID], Table4[Store], "Not Found", 0)</f>
        <v>2</v>
      </c>
      <c r="V1983" s="5">
        <f>_xlfn.XLOOKUP(CustomerCombined[[#This Row],[ID]], Table4[ID], Table4[Visits], "Not Found", 0)</f>
        <v>8</v>
      </c>
      <c r="W1983" s="8">
        <f>_xlfn.XLOOKUP(CustomerCombined[[#This Row],[ID]], Table2[ID],Table2[Complaint], "Not Found", 0 )</f>
        <v>0</v>
      </c>
      <c r="X1983" s="8">
        <f>_xlfn.XLOOKUP(CustomerCombined[[#This Row],[ID]], Table2[ID],Table2[Pilot], "Not Found", 0 )</f>
        <v>0</v>
      </c>
      <c r="Y1983" s="8">
        <f>_xlfn.XLOOKUP(CustomerCombined[[#This Row],[ID]], Table2[ID],Table2[MC1], "Not Found", 0 )</f>
        <v>0</v>
      </c>
      <c r="Z1983" s="8">
        <f>_xlfn.XLOOKUP(CustomerCombined[[#This Row],[ID]], Table2[ID],Table2[MC2], "Not Found", 0 )</f>
        <v>0</v>
      </c>
      <c r="AA1983" s="8">
        <f>_xlfn.XLOOKUP(CustomerCombined[[#This Row],[ID]], Table2[ID],Table2[MC3], "Not Found", 0 )</f>
        <v>0</v>
      </c>
      <c r="AB1983" s="8">
        <f>_xlfn.XLOOKUP(CustomerCombined[[#This Row],[ID]], Table2[ID],Table2[MC4], "Not Found", 0 )</f>
        <v>0</v>
      </c>
      <c r="AC1983" s="8">
        <f>_xlfn.XLOOKUP(CustomerCombined[[#This Row],[ID]], Table2[ID],Table2[MC5], "Not Found", 0 )</f>
        <v>0</v>
      </c>
    </row>
    <row r="1984" spans="1:29" x14ac:dyDescent="0.3">
      <c r="A1984" s="6">
        <v>2020</v>
      </c>
      <c r="B1984" s="6">
        <v>147703</v>
      </c>
      <c r="C1984" s="6">
        <v>0</v>
      </c>
      <c r="D1984" s="6">
        <v>1</v>
      </c>
      <c r="E1984" s="6">
        <v>67</v>
      </c>
      <c r="F1984" s="5" t="s">
        <v>6</v>
      </c>
      <c r="G1984" s="5" t="s">
        <v>11</v>
      </c>
      <c r="H1984" s="3">
        <v>43535</v>
      </c>
      <c r="I1984" s="5" t="s">
        <v>439</v>
      </c>
      <c r="J1984" s="5">
        <f>_xlfn.XLOOKUP(CustomerCombined[[#This Row],[ID]], Table4[ID], Table4[Recency], "Not Found", 0)</f>
        <v>95</v>
      </c>
      <c r="K1984" s="5">
        <f>_xlfn.XLOOKUP(CustomerCombined[[#This Row],[ID]], Table4[ID], Table4[Teas], "Not Found", 0)</f>
        <v>1112</v>
      </c>
      <c r="L1984" s="5">
        <f>_xlfn.XLOOKUP(CustomerCombined[[#This Row],[ID]], Table4[ID], Table4[Fruits], "Not Found", 0)</f>
        <v>0</v>
      </c>
      <c r="M1984" s="5">
        <f>_xlfn.XLOOKUP(CustomerCombined[[#This Row],[ID]], Table4[ID], Table4[Meats], "Not Found", 0)</f>
        <v>415</v>
      </c>
      <c r="N1984" s="5">
        <f>_xlfn.XLOOKUP(CustomerCombined[[#This Row],[ID]], Table4[ID], Table4[Seafood], "Not Found", 0)</f>
        <v>40</v>
      </c>
      <c r="O1984" s="5">
        <f>_xlfn.XLOOKUP(CustomerCombined[[#This Row],[ID]], Table4[ID], Table4[Sweets], "Not Found", 0)</f>
        <v>81</v>
      </c>
      <c r="P1984" s="5">
        <f>_xlfn.XLOOKUP(CustomerCombined[[#This Row],[ID]], Table4[ID], Table4[Premium], "Not Found", 0)</f>
        <v>381</v>
      </c>
      <c r="Q1984" s="5">
        <f>_xlfn.XLOOKUP(CustomerCombined[[#This Row],[ID]], Table4[ID], Table4[Regular], "Not Found", 0)</f>
        <v>1266</v>
      </c>
      <c r="R1984" s="5">
        <f>_xlfn.XLOOKUP(CustomerCombined[[#This Row],[ID]], Table4[ID], Table4[Deals], "Not Found", 0)</f>
        <v>4</v>
      </c>
      <c r="S1984" s="5">
        <f>_xlfn.XLOOKUP(CustomerCombined[[#This Row],[ID]], Table4[ID], Table4[Website], "Not Found", 0)</f>
        <v>6</v>
      </c>
      <c r="T1984" s="5">
        <f>_xlfn.XLOOKUP(CustomerCombined[[#This Row],[ID]], Table4[ID], Table4[Catalog], "Not Found", 0)</f>
        <v>3</v>
      </c>
      <c r="U1984" s="5">
        <f>_xlfn.XLOOKUP(CustomerCombined[[#This Row],[ID]], Table4[ID], Table4[Store], "Not Found", 0)</f>
        <v>8</v>
      </c>
      <c r="V1984" s="5">
        <f>_xlfn.XLOOKUP(CustomerCombined[[#This Row],[ID]], Table4[ID], Table4[Visits], "Not Found", 0)</f>
        <v>5</v>
      </c>
      <c r="W1984" s="8">
        <f>_xlfn.XLOOKUP(CustomerCombined[[#This Row],[ID]], Table2[ID],Table2[Complaint], "Not Found", 0 )</f>
        <v>0</v>
      </c>
      <c r="X1984" s="8">
        <f>_xlfn.XLOOKUP(CustomerCombined[[#This Row],[ID]], Table2[ID],Table2[Pilot], "Not Found", 0 )</f>
        <v>0</v>
      </c>
      <c r="Y1984" s="8">
        <f>_xlfn.XLOOKUP(CustomerCombined[[#This Row],[ID]], Table2[ID],Table2[MC1], "Not Found", 0 )</f>
        <v>0</v>
      </c>
      <c r="Z1984" s="8">
        <f>_xlfn.XLOOKUP(CustomerCombined[[#This Row],[ID]], Table2[ID],Table2[MC2], "Not Found", 0 )</f>
        <v>0</v>
      </c>
      <c r="AA1984" s="8">
        <f>_xlfn.XLOOKUP(CustomerCombined[[#This Row],[ID]], Table2[ID],Table2[MC3], "Not Found", 0 )</f>
        <v>0</v>
      </c>
      <c r="AB1984" s="8">
        <f>_xlfn.XLOOKUP(CustomerCombined[[#This Row],[ID]], Table2[ID],Table2[MC4], "Not Found", 0 )</f>
        <v>0</v>
      </c>
      <c r="AC1984" s="8">
        <f>_xlfn.XLOOKUP(CustomerCombined[[#This Row],[ID]], Table2[ID],Table2[MC5], "Not Found", 0 )</f>
        <v>0</v>
      </c>
    </row>
    <row r="1985" spans="1:29" x14ac:dyDescent="0.3">
      <c r="A1985" s="6">
        <v>1867</v>
      </c>
      <c r="B1985" s="6">
        <v>146231</v>
      </c>
      <c r="C1985" s="6">
        <v>2</v>
      </c>
      <c r="D1985" s="6">
        <v>1</v>
      </c>
      <c r="E1985" s="6">
        <v>67</v>
      </c>
      <c r="F1985" s="5" t="s">
        <v>7</v>
      </c>
      <c r="G1985" s="5" t="s">
        <v>13</v>
      </c>
      <c r="H1985" s="3">
        <v>43529</v>
      </c>
      <c r="I1985" s="5" t="s">
        <v>437</v>
      </c>
      <c r="J1985" s="5">
        <f>_xlfn.XLOOKUP(CustomerCombined[[#This Row],[ID]], Table4[ID], Table4[Recency], "Not Found", 0)</f>
        <v>87</v>
      </c>
      <c r="K1985" s="5">
        <f>_xlfn.XLOOKUP(CustomerCombined[[#This Row],[ID]], Table4[ID], Table4[Teas], "Not Found", 0)</f>
        <v>598</v>
      </c>
      <c r="L1985" s="5">
        <f>_xlfn.XLOOKUP(CustomerCombined[[#This Row],[ID]], Table4[ID], Table4[Fruits], "Not Found", 0)</f>
        <v>6</v>
      </c>
      <c r="M1985" s="5">
        <f>_xlfn.XLOOKUP(CustomerCombined[[#This Row],[ID]], Table4[ID], Table4[Meats], "Not Found", 0)</f>
        <v>174</v>
      </c>
      <c r="N1985" s="5">
        <f>_xlfn.XLOOKUP(CustomerCombined[[#This Row],[ID]], Table4[ID], Table4[Seafood], "Not Found", 0)</f>
        <v>0</v>
      </c>
      <c r="O1985" s="5">
        <f>_xlfn.XLOOKUP(CustomerCombined[[#This Row],[ID]], Table4[ID], Table4[Sweets], "Not Found", 0)</f>
        <v>16</v>
      </c>
      <c r="P1985" s="5">
        <f>_xlfn.XLOOKUP(CustomerCombined[[#This Row],[ID]], Table4[ID], Table4[Premium], "Not Found", 0)</f>
        <v>38</v>
      </c>
      <c r="Q1985" s="5">
        <f>_xlfn.XLOOKUP(CustomerCombined[[#This Row],[ID]], Table4[ID], Table4[Regular], "Not Found", 0)</f>
        <v>756</v>
      </c>
      <c r="R1985" s="5">
        <f>_xlfn.XLOOKUP(CustomerCombined[[#This Row],[ID]], Table4[ID], Table4[Deals], "Not Found", 0)</f>
        <v>4</v>
      </c>
      <c r="S1985" s="5">
        <f>_xlfn.XLOOKUP(CustomerCombined[[#This Row],[ID]], Table4[ID], Table4[Website], "Not Found", 0)</f>
        <v>6</v>
      </c>
      <c r="T1985" s="5">
        <f>_xlfn.XLOOKUP(CustomerCombined[[#This Row],[ID]], Table4[ID], Table4[Catalog], "Not Found", 0)</f>
        <v>1</v>
      </c>
      <c r="U1985" s="5">
        <f>_xlfn.XLOOKUP(CustomerCombined[[#This Row],[ID]], Table4[ID], Table4[Store], "Not Found", 0)</f>
        <v>4</v>
      </c>
      <c r="V1985" s="5">
        <f>_xlfn.XLOOKUP(CustomerCombined[[#This Row],[ID]], Table4[ID], Table4[Visits], "Not Found", 0)</f>
        <v>9</v>
      </c>
      <c r="W1985" s="8">
        <f>_xlfn.XLOOKUP(CustomerCombined[[#This Row],[ID]], Table2[ID],Table2[Complaint], "Not Found", 0 )</f>
        <v>0</v>
      </c>
      <c r="X1985" s="8">
        <f>_xlfn.XLOOKUP(CustomerCombined[[#This Row],[ID]], Table2[ID],Table2[Pilot], "Not Found", 0 )</f>
        <v>0</v>
      </c>
      <c r="Y1985" s="8">
        <f>_xlfn.XLOOKUP(CustomerCombined[[#This Row],[ID]], Table2[ID],Table2[MC1], "Not Found", 0 )</f>
        <v>0</v>
      </c>
      <c r="Z1985" s="8">
        <f>_xlfn.XLOOKUP(CustomerCombined[[#This Row],[ID]], Table2[ID],Table2[MC2], "Not Found", 0 )</f>
        <v>0</v>
      </c>
      <c r="AA1985" s="8">
        <f>_xlfn.XLOOKUP(CustomerCombined[[#This Row],[ID]], Table2[ID],Table2[MC3], "Not Found", 0 )</f>
        <v>0</v>
      </c>
      <c r="AB1985" s="8">
        <f>_xlfn.XLOOKUP(CustomerCombined[[#This Row],[ID]], Table2[ID],Table2[MC4], "Not Found", 0 )</f>
        <v>0</v>
      </c>
      <c r="AC1985" s="8">
        <f>_xlfn.XLOOKUP(CustomerCombined[[#This Row],[ID]], Table2[ID],Table2[MC5], "Not Found", 0 )</f>
        <v>0</v>
      </c>
    </row>
    <row r="1986" spans="1:29" x14ac:dyDescent="0.3">
      <c r="A1986" s="6">
        <v>1756</v>
      </c>
      <c r="B1986" s="6">
        <v>141452</v>
      </c>
      <c r="C1986" s="6">
        <v>1</v>
      </c>
      <c r="D1986" s="6">
        <v>1</v>
      </c>
      <c r="E1986" s="6">
        <v>67</v>
      </c>
      <c r="F1986" s="5" t="s">
        <v>8</v>
      </c>
      <c r="G1986" s="5" t="s">
        <v>11</v>
      </c>
      <c r="H1986" s="3">
        <v>43777</v>
      </c>
      <c r="I1986" s="5" t="s">
        <v>439</v>
      </c>
      <c r="J1986" s="5">
        <f>_xlfn.XLOOKUP(CustomerCombined[[#This Row],[ID]], Table4[ID], Table4[Recency], "Not Found", 0)</f>
        <v>86</v>
      </c>
      <c r="K1986" s="5">
        <f>_xlfn.XLOOKUP(CustomerCombined[[#This Row],[ID]], Table4[ID], Table4[Teas], "Not Found", 0)</f>
        <v>44</v>
      </c>
      <c r="L1986" s="5">
        <f>_xlfn.XLOOKUP(CustomerCombined[[#This Row],[ID]], Table4[ID], Table4[Fruits], "Not Found", 0)</f>
        <v>0</v>
      </c>
      <c r="M1986" s="5">
        <f>_xlfn.XLOOKUP(CustomerCombined[[#This Row],[ID]], Table4[ID], Table4[Meats], "Not Found", 0)</f>
        <v>10</v>
      </c>
      <c r="N1986" s="5">
        <f>_xlfn.XLOOKUP(CustomerCombined[[#This Row],[ID]], Table4[ID], Table4[Seafood], "Not Found", 0)</f>
        <v>0</v>
      </c>
      <c r="O1986" s="5">
        <f>_xlfn.XLOOKUP(CustomerCombined[[#This Row],[ID]], Table4[ID], Table4[Sweets], "Not Found", 0)</f>
        <v>0</v>
      </c>
      <c r="P1986" s="5">
        <f>_xlfn.XLOOKUP(CustomerCombined[[#This Row],[ID]], Table4[ID], Table4[Premium], "Not Found", 0)</f>
        <v>0</v>
      </c>
      <c r="Q1986" s="5">
        <f>_xlfn.XLOOKUP(CustomerCombined[[#This Row],[ID]], Table4[ID], Table4[Regular], "Not Found", 0)</f>
        <v>55</v>
      </c>
      <c r="R1986" s="5">
        <f>_xlfn.XLOOKUP(CustomerCombined[[#This Row],[ID]], Table4[ID], Table4[Deals], "Not Found", 0)</f>
        <v>1</v>
      </c>
      <c r="S1986" s="5">
        <f>_xlfn.XLOOKUP(CustomerCombined[[#This Row],[ID]], Table4[ID], Table4[Website], "Not Found", 0)</f>
        <v>1</v>
      </c>
      <c r="T1986" s="5">
        <f>_xlfn.XLOOKUP(CustomerCombined[[#This Row],[ID]], Table4[ID], Table4[Catalog], "Not Found", 0)</f>
        <v>0</v>
      </c>
      <c r="U1986" s="5">
        <f>_xlfn.XLOOKUP(CustomerCombined[[#This Row],[ID]], Table4[ID], Table4[Store], "Not Found", 0)</f>
        <v>2</v>
      </c>
      <c r="V1986" s="5">
        <f>_xlfn.XLOOKUP(CustomerCombined[[#This Row],[ID]], Table4[ID], Table4[Visits], "Not Found", 0)</f>
        <v>7</v>
      </c>
      <c r="W1986" s="8">
        <f>_xlfn.XLOOKUP(CustomerCombined[[#This Row],[ID]], Table2[ID],Table2[Complaint], "Not Found", 0 )</f>
        <v>0</v>
      </c>
      <c r="X1986" s="8">
        <f>_xlfn.XLOOKUP(CustomerCombined[[#This Row],[ID]], Table2[ID],Table2[Pilot], "Not Found", 0 )</f>
        <v>0</v>
      </c>
      <c r="Y1986" s="8">
        <f>_xlfn.XLOOKUP(CustomerCombined[[#This Row],[ID]], Table2[ID],Table2[MC1], "Not Found", 0 )</f>
        <v>0</v>
      </c>
      <c r="Z1986" s="8">
        <f>_xlfn.XLOOKUP(CustomerCombined[[#This Row],[ID]], Table2[ID],Table2[MC2], "Not Found", 0 )</f>
        <v>0</v>
      </c>
      <c r="AA1986" s="8">
        <f>_xlfn.XLOOKUP(CustomerCombined[[#This Row],[ID]], Table2[ID],Table2[MC3], "Not Found", 0 )</f>
        <v>0</v>
      </c>
      <c r="AB1986" s="8">
        <f>_xlfn.XLOOKUP(CustomerCombined[[#This Row],[ID]], Table2[ID],Table2[MC4], "Not Found", 0 )</f>
        <v>0</v>
      </c>
      <c r="AC1986" s="8">
        <f>_xlfn.XLOOKUP(CustomerCombined[[#This Row],[ID]], Table2[ID],Table2[MC5], "Not Found", 0 )</f>
        <v>0</v>
      </c>
    </row>
    <row r="1987" spans="1:29" x14ac:dyDescent="0.3">
      <c r="A1987" s="6">
        <v>1309</v>
      </c>
      <c r="B1987" s="6">
        <v>140464</v>
      </c>
      <c r="C1987" s="6">
        <v>0</v>
      </c>
      <c r="D1987" s="6">
        <v>1</v>
      </c>
      <c r="E1987" s="6">
        <v>67</v>
      </c>
      <c r="F1987" s="5" t="s">
        <v>7</v>
      </c>
      <c r="G1987" s="5" t="s">
        <v>11</v>
      </c>
      <c r="H1987" s="3" t="s">
        <v>329</v>
      </c>
      <c r="I1987" s="5" t="s">
        <v>437</v>
      </c>
      <c r="J1987" s="5">
        <f>_xlfn.XLOOKUP(CustomerCombined[[#This Row],[ID]], Table4[ID], Table4[Recency], "Not Found", 0)</f>
        <v>78</v>
      </c>
      <c r="K1987" s="5">
        <f>_xlfn.XLOOKUP(CustomerCombined[[#This Row],[ID]], Table4[ID], Table4[Teas], "Not Found", 0)</f>
        <v>1472</v>
      </c>
      <c r="L1987" s="5">
        <f>_xlfn.XLOOKUP(CustomerCombined[[#This Row],[ID]], Table4[ID], Table4[Fruits], "Not Found", 0)</f>
        <v>59</v>
      </c>
      <c r="M1987" s="5">
        <f>_xlfn.XLOOKUP(CustomerCombined[[#This Row],[ID]], Table4[ID], Table4[Meats], "Not Found", 0)</f>
        <v>410</v>
      </c>
      <c r="N1987" s="5">
        <f>_xlfn.XLOOKUP(CustomerCombined[[#This Row],[ID]], Table4[ID], Table4[Seafood], "Not Found", 0)</f>
        <v>24</v>
      </c>
      <c r="O1987" s="5">
        <f>_xlfn.XLOOKUP(CustomerCombined[[#This Row],[ID]], Table4[ID], Table4[Sweets], "Not Found", 0)</f>
        <v>80</v>
      </c>
      <c r="P1987" s="5">
        <f>_xlfn.XLOOKUP(CustomerCombined[[#This Row],[ID]], Table4[ID], Table4[Premium], "Not Found", 0)</f>
        <v>142</v>
      </c>
      <c r="Q1987" s="5">
        <f>_xlfn.XLOOKUP(CustomerCombined[[#This Row],[ID]], Table4[ID], Table4[Regular], "Not Found", 0)</f>
        <v>1902</v>
      </c>
      <c r="R1987" s="5">
        <f>_xlfn.XLOOKUP(CustomerCombined[[#This Row],[ID]], Table4[ID], Table4[Deals], "Not Found", 0)</f>
        <v>6</v>
      </c>
      <c r="S1987" s="5">
        <f>_xlfn.XLOOKUP(CustomerCombined[[#This Row],[ID]], Table4[ID], Table4[Website], "Not Found", 0)</f>
        <v>8</v>
      </c>
      <c r="T1987" s="5">
        <f>_xlfn.XLOOKUP(CustomerCombined[[#This Row],[ID]], Table4[ID], Table4[Catalog], "Not Found", 0)</f>
        <v>2</v>
      </c>
      <c r="U1987" s="5">
        <f>_xlfn.XLOOKUP(CustomerCombined[[#This Row],[ID]], Table4[ID], Table4[Store], "Not Found", 0)</f>
        <v>8</v>
      </c>
      <c r="V1987" s="5">
        <f>_xlfn.XLOOKUP(CustomerCombined[[#This Row],[ID]], Table4[ID], Table4[Visits], "Not Found", 0)</f>
        <v>8</v>
      </c>
      <c r="W1987" s="8">
        <f>_xlfn.XLOOKUP(CustomerCombined[[#This Row],[ID]], Table2[ID],Table2[Complaint], "Not Found", 0 )</f>
        <v>0</v>
      </c>
      <c r="X1987" s="8">
        <f>_xlfn.XLOOKUP(CustomerCombined[[#This Row],[ID]], Table2[ID],Table2[Pilot], "Not Found", 0 )</f>
        <v>0</v>
      </c>
      <c r="Y1987" s="8">
        <f>_xlfn.XLOOKUP(CustomerCombined[[#This Row],[ID]], Table2[ID],Table2[MC1], "Not Found", 0 )</f>
        <v>0</v>
      </c>
      <c r="Z1987" s="8">
        <f>_xlfn.XLOOKUP(CustomerCombined[[#This Row],[ID]], Table2[ID],Table2[MC2], "Not Found", 0 )</f>
        <v>0</v>
      </c>
      <c r="AA1987" s="8">
        <f>_xlfn.XLOOKUP(CustomerCombined[[#This Row],[ID]], Table2[ID],Table2[MC3], "Not Found", 0 )</f>
        <v>0</v>
      </c>
      <c r="AB1987" s="8">
        <f>_xlfn.XLOOKUP(CustomerCombined[[#This Row],[ID]], Table2[ID],Table2[MC4], "Not Found", 0 )</f>
        <v>0</v>
      </c>
      <c r="AC1987" s="8">
        <f>_xlfn.XLOOKUP(CustomerCombined[[#This Row],[ID]], Table2[ID],Table2[MC5], "Not Found", 0 )</f>
        <v>0</v>
      </c>
    </row>
    <row r="1988" spans="1:29" x14ac:dyDescent="0.3">
      <c r="A1988" s="6">
        <v>2054</v>
      </c>
      <c r="B1988" s="6">
        <v>139722</v>
      </c>
      <c r="C1988" s="6">
        <v>0</v>
      </c>
      <c r="D1988" s="6">
        <v>1</v>
      </c>
      <c r="E1988" s="6">
        <v>67</v>
      </c>
      <c r="F1988" s="5" t="s">
        <v>6</v>
      </c>
      <c r="G1988" s="5" t="s">
        <v>11</v>
      </c>
      <c r="H1988" s="3" t="s">
        <v>91</v>
      </c>
      <c r="I1988" s="5" t="s">
        <v>438</v>
      </c>
      <c r="J1988" s="5">
        <f>_xlfn.XLOOKUP(CustomerCombined[[#This Row],[ID]], Table4[ID], Table4[Recency], "Not Found", 0)</f>
        <v>92</v>
      </c>
      <c r="K1988" s="5">
        <f>_xlfn.XLOOKUP(CustomerCombined[[#This Row],[ID]], Table4[ID], Table4[Teas], "Not Found", 0)</f>
        <v>113</v>
      </c>
      <c r="L1988" s="5">
        <f>_xlfn.XLOOKUP(CustomerCombined[[#This Row],[ID]], Table4[ID], Table4[Fruits], "Not Found", 0)</f>
        <v>0</v>
      </c>
      <c r="M1988" s="5">
        <f>_xlfn.XLOOKUP(CustomerCombined[[#This Row],[ID]], Table4[ID], Table4[Meats], "Not Found", 0)</f>
        <v>18</v>
      </c>
      <c r="N1988" s="5">
        <f>_xlfn.XLOOKUP(CustomerCombined[[#This Row],[ID]], Table4[ID], Table4[Seafood], "Not Found", 0)</f>
        <v>7</v>
      </c>
      <c r="O1988" s="5">
        <f>_xlfn.XLOOKUP(CustomerCombined[[#This Row],[ID]], Table4[ID], Table4[Sweets], "Not Found", 0)</f>
        <v>0</v>
      </c>
      <c r="P1988" s="5">
        <f>_xlfn.XLOOKUP(CustomerCombined[[#This Row],[ID]], Table4[ID], Table4[Premium], "Not Found", 0)</f>
        <v>28</v>
      </c>
      <c r="Q1988" s="5">
        <f>_xlfn.XLOOKUP(CustomerCombined[[#This Row],[ID]], Table4[ID], Table4[Regular], "Not Found", 0)</f>
        <v>109</v>
      </c>
      <c r="R1988" s="5">
        <f>_xlfn.XLOOKUP(CustomerCombined[[#This Row],[ID]], Table4[ID], Table4[Deals], "Not Found", 0)</f>
        <v>2</v>
      </c>
      <c r="S1988" s="5">
        <f>_xlfn.XLOOKUP(CustomerCombined[[#This Row],[ID]], Table4[ID], Table4[Website], "Not Found", 0)</f>
        <v>2</v>
      </c>
      <c r="T1988" s="5">
        <f>_xlfn.XLOOKUP(CustomerCombined[[#This Row],[ID]], Table4[ID], Table4[Catalog], "Not Found", 0)</f>
        <v>0</v>
      </c>
      <c r="U1988" s="5">
        <f>_xlfn.XLOOKUP(CustomerCombined[[#This Row],[ID]], Table4[ID], Table4[Store], "Not Found", 0)</f>
        <v>3</v>
      </c>
      <c r="V1988" s="5">
        <f>_xlfn.XLOOKUP(CustomerCombined[[#This Row],[ID]], Table4[ID], Table4[Visits], "Not Found", 0)</f>
        <v>5</v>
      </c>
      <c r="W1988" s="8">
        <f>_xlfn.XLOOKUP(CustomerCombined[[#This Row],[ID]], Table2[ID],Table2[Complaint], "Not Found", 0 )</f>
        <v>0</v>
      </c>
      <c r="X1988" s="8">
        <f>_xlfn.XLOOKUP(CustomerCombined[[#This Row],[ID]], Table2[ID],Table2[Pilot], "Not Found", 0 )</f>
        <v>0</v>
      </c>
      <c r="Y1988" s="8">
        <f>_xlfn.XLOOKUP(CustomerCombined[[#This Row],[ID]], Table2[ID],Table2[MC1], "Not Found", 0 )</f>
        <v>0</v>
      </c>
      <c r="Z1988" s="8">
        <f>_xlfn.XLOOKUP(CustomerCombined[[#This Row],[ID]], Table2[ID],Table2[MC2], "Not Found", 0 )</f>
        <v>0</v>
      </c>
      <c r="AA1988" s="8">
        <f>_xlfn.XLOOKUP(CustomerCombined[[#This Row],[ID]], Table2[ID],Table2[MC3], "Not Found", 0 )</f>
        <v>0</v>
      </c>
      <c r="AB1988" s="8">
        <f>_xlfn.XLOOKUP(CustomerCombined[[#This Row],[ID]], Table2[ID],Table2[MC4], "Not Found", 0 )</f>
        <v>0</v>
      </c>
      <c r="AC1988" s="8">
        <f>_xlfn.XLOOKUP(CustomerCombined[[#This Row],[ID]], Table2[ID],Table2[MC5], "Not Found", 0 )</f>
        <v>0</v>
      </c>
    </row>
    <row r="1989" spans="1:29" x14ac:dyDescent="0.3">
      <c r="A1989" s="6">
        <v>2378</v>
      </c>
      <c r="B1989" s="6">
        <v>137716</v>
      </c>
      <c r="C1989" s="6">
        <v>0</v>
      </c>
      <c r="D1989" s="6">
        <v>1</v>
      </c>
      <c r="E1989" s="6">
        <v>67</v>
      </c>
      <c r="F1989" s="5" t="s">
        <v>6</v>
      </c>
      <c r="G1989" s="5" t="s">
        <v>11</v>
      </c>
      <c r="H1989" s="3" t="s">
        <v>61</v>
      </c>
      <c r="I1989" s="5" t="s">
        <v>438</v>
      </c>
      <c r="J1989" s="5">
        <f>_xlfn.XLOOKUP(CustomerCombined[[#This Row],[ID]], Table4[ID], Table4[Recency], "Not Found", 0)</f>
        <v>4</v>
      </c>
      <c r="K1989" s="5">
        <f>_xlfn.XLOOKUP(CustomerCombined[[#This Row],[ID]], Table4[ID], Table4[Teas], "Not Found", 0)</f>
        <v>354</v>
      </c>
      <c r="L1989" s="5">
        <f>_xlfn.XLOOKUP(CustomerCombined[[#This Row],[ID]], Table4[ID], Table4[Fruits], "Not Found", 0)</f>
        <v>4</v>
      </c>
      <c r="M1989" s="5">
        <f>_xlfn.XLOOKUP(CustomerCombined[[#This Row],[ID]], Table4[ID], Table4[Meats], "Not Found", 0)</f>
        <v>150</v>
      </c>
      <c r="N1989" s="5">
        <f>_xlfn.XLOOKUP(CustomerCombined[[#This Row],[ID]], Table4[ID], Table4[Seafood], "Not Found", 0)</f>
        <v>22</v>
      </c>
      <c r="O1989" s="5">
        <f>_xlfn.XLOOKUP(CustomerCombined[[#This Row],[ID]], Table4[ID], Table4[Sweets], "Not Found", 0)</f>
        <v>7</v>
      </c>
      <c r="P1989" s="5">
        <f>_xlfn.XLOOKUP(CustomerCombined[[#This Row],[ID]], Table4[ID], Table4[Premium], "Not Found", 0)</f>
        <v>150</v>
      </c>
      <c r="Q1989" s="5">
        <f>_xlfn.XLOOKUP(CustomerCombined[[#This Row],[ID]], Table4[ID], Table4[Regular], "Not Found", 0)</f>
        <v>387</v>
      </c>
      <c r="R1989" s="5">
        <f>_xlfn.XLOOKUP(CustomerCombined[[#This Row],[ID]], Table4[ID], Table4[Deals], "Not Found", 0)</f>
        <v>2</v>
      </c>
      <c r="S1989" s="5">
        <f>_xlfn.XLOOKUP(CustomerCombined[[#This Row],[ID]], Table4[ID], Table4[Website], "Not Found", 0)</f>
        <v>4</v>
      </c>
      <c r="T1989" s="5">
        <f>_xlfn.XLOOKUP(CustomerCombined[[#This Row],[ID]], Table4[ID], Table4[Catalog], "Not Found", 0)</f>
        <v>1</v>
      </c>
      <c r="U1989" s="5">
        <f>_xlfn.XLOOKUP(CustomerCombined[[#This Row],[ID]], Table4[ID], Table4[Store], "Not Found", 0)</f>
        <v>3</v>
      </c>
      <c r="V1989" s="5">
        <f>_xlfn.XLOOKUP(CustomerCombined[[#This Row],[ID]], Table4[ID], Table4[Visits], "Not Found", 0)</f>
        <v>7</v>
      </c>
      <c r="W1989" s="8">
        <f>_xlfn.XLOOKUP(CustomerCombined[[#This Row],[ID]], Table2[ID],Table2[Complaint], "Not Found", 0 )</f>
        <v>0</v>
      </c>
      <c r="X1989" s="8">
        <f>_xlfn.XLOOKUP(CustomerCombined[[#This Row],[ID]], Table2[ID],Table2[Pilot], "Not Found", 0 )</f>
        <v>0</v>
      </c>
      <c r="Y1989" s="8">
        <f>_xlfn.XLOOKUP(CustomerCombined[[#This Row],[ID]], Table2[ID],Table2[MC1], "Not Found", 0 )</f>
        <v>0</v>
      </c>
      <c r="Z1989" s="8">
        <f>_xlfn.XLOOKUP(CustomerCombined[[#This Row],[ID]], Table2[ID],Table2[MC2], "Not Found", 0 )</f>
        <v>0</v>
      </c>
      <c r="AA1989" s="8">
        <f>_xlfn.XLOOKUP(CustomerCombined[[#This Row],[ID]], Table2[ID],Table2[MC3], "Not Found", 0 )</f>
        <v>0</v>
      </c>
      <c r="AB1989" s="8">
        <f>_xlfn.XLOOKUP(CustomerCombined[[#This Row],[ID]], Table2[ID],Table2[MC4], "Not Found", 0 )</f>
        <v>0</v>
      </c>
      <c r="AC1989" s="8">
        <f>_xlfn.XLOOKUP(CustomerCombined[[#This Row],[ID]], Table2[ID],Table2[MC5], "Not Found", 0 )</f>
        <v>0</v>
      </c>
    </row>
    <row r="1990" spans="1:29" x14ac:dyDescent="0.3">
      <c r="A1990" s="6">
        <v>2385</v>
      </c>
      <c r="B1990" s="6">
        <v>136957</v>
      </c>
      <c r="C1990" s="6">
        <v>1</v>
      </c>
      <c r="D1990" s="6">
        <v>1</v>
      </c>
      <c r="E1990" s="6">
        <v>67</v>
      </c>
      <c r="F1990" s="5" t="s">
        <v>5</v>
      </c>
      <c r="G1990" s="5" t="s">
        <v>13</v>
      </c>
      <c r="H1990" s="3">
        <v>43771</v>
      </c>
      <c r="I1990" s="5" t="s">
        <v>435</v>
      </c>
      <c r="J1990" s="5">
        <f>_xlfn.XLOOKUP(CustomerCombined[[#This Row],[ID]], Table4[ID], Table4[Recency], "Not Found", 0)</f>
        <v>43</v>
      </c>
      <c r="K1990" s="5">
        <f>_xlfn.XLOOKUP(CustomerCombined[[#This Row],[ID]], Table4[ID], Table4[Teas], "Not Found", 0)</f>
        <v>371</v>
      </c>
      <c r="L1990" s="5">
        <f>_xlfn.XLOOKUP(CustomerCombined[[#This Row],[ID]], Table4[ID], Table4[Fruits], "Not Found", 0)</f>
        <v>7</v>
      </c>
      <c r="M1990" s="5">
        <f>_xlfn.XLOOKUP(CustomerCombined[[#This Row],[ID]], Table4[ID], Table4[Meats], "Not Found", 0)</f>
        <v>59</v>
      </c>
      <c r="N1990" s="5">
        <f>_xlfn.XLOOKUP(CustomerCombined[[#This Row],[ID]], Table4[ID], Table4[Seafood], "Not Found", 0)</f>
        <v>7</v>
      </c>
      <c r="O1990" s="5">
        <f>_xlfn.XLOOKUP(CustomerCombined[[#This Row],[ID]], Table4[ID], Table4[Sweets], "Not Found", 0)</f>
        <v>4</v>
      </c>
      <c r="P1990" s="5">
        <f>_xlfn.XLOOKUP(CustomerCombined[[#This Row],[ID]], Table4[ID], Table4[Premium], "Not Found", 0)</f>
        <v>115</v>
      </c>
      <c r="Q1990" s="5">
        <f>_xlfn.XLOOKUP(CustomerCombined[[#This Row],[ID]], Table4[ID], Table4[Regular], "Not Found", 0)</f>
        <v>334</v>
      </c>
      <c r="R1990" s="5">
        <f>_xlfn.XLOOKUP(CustomerCombined[[#This Row],[ID]], Table4[ID], Table4[Deals], "Not Found", 0)</f>
        <v>4</v>
      </c>
      <c r="S1990" s="5">
        <f>_xlfn.XLOOKUP(CustomerCombined[[#This Row],[ID]], Table4[ID], Table4[Website], "Not Found", 0)</f>
        <v>3</v>
      </c>
      <c r="T1990" s="5">
        <f>_xlfn.XLOOKUP(CustomerCombined[[#This Row],[ID]], Table4[ID], Table4[Catalog], "Not Found", 0)</f>
        <v>2</v>
      </c>
      <c r="U1990" s="5">
        <f>_xlfn.XLOOKUP(CustomerCombined[[#This Row],[ID]], Table4[ID], Table4[Store], "Not Found", 0)</f>
        <v>2</v>
      </c>
      <c r="V1990" s="5">
        <f>_xlfn.XLOOKUP(CustomerCombined[[#This Row],[ID]], Table4[ID], Table4[Visits], "Not Found", 0)</f>
        <v>9</v>
      </c>
      <c r="W1990" s="8">
        <f>_xlfn.XLOOKUP(CustomerCombined[[#This Row],[ID]], Table2[ID],Table2[Complaint], "Not Found", 0 )</f>
        <v>0</v>
      </c>
      <c r="X1990" s="8">
        <f>_xlfn.XLOOKUP(CustomerCombined[[#This Row],[ID]], Table2[ID],Table2[Pilot], "Not Found", 0 )</f>
        <v>1</v>
      </c>
      <c r="Y1990" s="8">
        <f>_xlfn.XLOOKUP(CustomerCombined[[#This Row],[ID]], Table2[ID],Table2[MC1], "Not Found", 0 )</f>
        <v>0</v>
      </c>
      <c r="Z1990" s="8">
        <f>_xlfn.XLOOKUP(CustomerCombined[[#This Row],[ID]], Table2[ID],Table2[MC2], "Not Found", 0 )</f>
        <v>0</v>
      </c>
      <c r="AA1990" s="8">
        <f>_xlfn.XLOOKUP(CustomerCombined[[#This Row],[ID]], Table2[ID],Table2[MC3], "Not Found", 0 )</f>
        <v>0</v>
      </c>
      <c r="AB1990" s="8">
        <f>_xlfn.XLOOKUP(CustomerCombined[[#This Row],[ID]], Table2[ID],Table2[MC4], "Not Found", 0 )</f>
        <v>0</v>
      </c>
      <c r="AC1990" s="8">
        <f>_xlfn.XLOOKUP(CustomerCombined[[#This Row],[ID]], Table2[ID],Table2[MC5], "Not Found", 0 )</f>
        <v>0</v>
      </c>
    </row>
    <row r="1991" spans="1:29" x14ac:dyDescent="0.3">
      <c r="A1991" s="6">
        <v>3081</v>
      </c>
      <c r="B1991" s="6">
        <v>134587</v>
      </c>
      <c r="C1991" s="6">
        <v>1</v>
      </c>
      <c r="D1991" s="6">
        <v>1</v>
      </c>
      <c r="E1991" s="6">
        <v>67</v>
      </c>
      <c r="F1991" s="5" t="s">
        <v>8</v>
      </c>
      <c r="G1991" s="5" t="s">
        <v>11</v>
      </c>
      <c r="H1991" s="3" t="s">
        <v>49</v>
      </c>
      <c r="I1991" s="5" t="s">
        <v>435</v>
      </c>
      <c r="J1991" s="5">
        <f>_xlfn.XLOOKUP(CustomerCombined[[#This Row],[ID]], Table4[ID], Table4[Recency], "Not Found", 0)</f>
        <v>68</v>
      </c>
      <c r="K1991" s="5">
        <f>_xlfn.XLOOKUP(CustomerCombined[[#This Row],[ID]], Table4[ID], Table4[Teas], "Not Found", 0)</f>
        <v>27</v>
      </c>
      <c r="L1991" s="5">
        <f>_xlfn.XLOOKUP(CustomerCombined[[#This Row],[ID]], Table4[ID], Table4[Fruits], "Not Found", 0)</f>
        <v>8</v>
      </c>
      <c r="M1991" s="5">
        <f>_xlfn.XLOOKUP(CustomerCombined[[#This Row],[ID]], Table4[ID], Table4[Meats], "Not Found", 0)</f>
        <v>35</v>
      </c>
      <c r="N1991" s="5">
        <f>_xlfn.XLOOKUP(CustomerCombined[[#This Row],[ID]], Table4[ID], Table4[Seafood], "Not Found", 0)</f>
        <v>8</v>
      </c>
      <c r="O1991" s="5">
        <f>_xlfn.XLOOKUP(CustomerCombined[[#This Row],[ID]], Table4[ID], Table4[Sweets], "Not Found", 0)</f>
        <v>0</v>
      </c>
      <c r="P1991" s="5">
        <f>_xlfn.XLOOKUP(CustomerCombined[[#This Row],[ID]], Table4[ID], Table4[Premium], "Not Found", 0)</f>
        <v>8</v>
      </c>
      <c r="Q1991" s="5">
        <f>_xlfn.XLOOKUP(CustomerCombined[[#This Row],[ID]], Table4[ID], Table4[Regular], "Not Found", 0)</f>
        <v>70</v>
      </c>
      <c r="R1991" s="5">
        <f>_xlfn.XLOOKUP(CustomerCombined[[#This Row],[ID]], Table4[ID], Table4[Deals], "Not Found", 0)</f>
        <v>2</v>
      </c>
      <c r="S1991" s="5">
        <f>_xlfn.XLOOKUP(CustomerCombined[[#This Row],[ID]], Table4[ID], Table4[Website], "Not Found", 0)</f>
        <v>1</v>
      </c>
      <c r="T1991" s="5">
        <f>_xlfn.XLOOKUP(CustomerCombined[[#This Row],[ID]], Table4[ID], Table4[Catalog], "Not Found", 0)</f>
        <v>0</v>
      </c>
      <c r="U1991" s="5">
        <f>_xlfn.XLOOKUP(CustomerCombined[[#This Row],[ID]], Table4[ID], Table4[Store], "Not Found", 0)</f>
        <v>3</v>
      </c>
      <c r="V1991" s="5">
        <f>_xlfn.XLOOKUP(CustomerCombined[[#This Row],[ID]], Table4[ID], Table4[Visits], "Not Found", 0)</f>
        <v>4</v>
      </c>
      <c r="W1991" s="8">
        <f>_xlfn.XLOOKUP(CustomerCombined[[#This Row],[ID]], Table2[ID],Table2[Complaint], "Not Found", 0 )</f>
        <v>0</v>
      </c>
      <c r="X1991" s="8">
        <f>_xlfn.XLOOKUP(CustomerCombined[[#This Row],[ID]], Table2[ID],Table2[Pilot], "Not Found", 0 )</f>
        <v>0</v>
      </c>
      <c r="Y1991" s="8">
        <f>_xlfn.XLOOKUP(CustomerCombined[[#This Row],[ID]], Table2[ID],Table2[MC1], "Not Found", 0 )</f>
        <v>0</v>
      </c>
      <c r="Z1991" s="8">
        <f>_xlfn.XLOOKUP(CustomerCombined[[#This Row],[ID]], Table2[ID],Table2[MC2], "Not Found", 0 )</f>
        <v>0</v>
      </c>
      <c r="AA1991" s="8">
        <f>_xlfn.XLOOKUP(CustomerCombined[[#This Row],[ID]], Table2[ID],Table2[MC3], "Not Found", 0 )</f>
        <v>0</v>
      </c>
      <c r="AB1991" s="8">
        <f>_xlfn.XLOOKUP(CustomerCombined[[#This Row],[ID]], Table2[ID],Table2[MC4], "Not Found", 0 )</f>
        <v>0</v>
      </c>
      <c r="AC1991" s="8">
        <f>_xlfn.XLOOKUP(CustomerCombined[[#This Row],[ID]], Table2[ID],Table2[MC5], "Not Found", 0 )</f>
        <v>0</v>
      </c>
    </row>
    <row r="1992" spans="1:29" x14ac:dyDescent="0.3">
      <c r="A1992" s="6">
        <v>3002</v>
      </c>
      <c r="B1992" s="6">
        <v>123272</v>
      </c>
      <c r="C1992" s="6">
        <v>0</v>
      </c>
      <c r="D1992" s="6">
        <v>0</v>
      </c>
      <c r="E1992" s="6">
        <v>67</v>
      </c>
      <c r="F1992" s="5" t="s">
        <v>5</v>
      </c>
      <c r="G1992" s="5" t="s">
        <v>11</v>
      </c>
      <c r="H1992" s="3" t="s">
        <v>165</v>
      </c>
      <c r="I1992" s="5" t="s">
        <v>438</v>
      </c>
      <c r="J1992" s="5">
        <f>_xlfn.XLOOKUP(CustomerCombined[[#This Row],[ID]], Table4[ID], Table4[Recency], "Not Found", 0)</f>
        <v>29</v>
      </c>
      <c r="K1992" s="5">
        <f>_xlfn.XLOOKUP(CustomerCombined[[#This Row],[ID]], Table4[ID], Table4[Teas], "Not Found", 0)</f>
        <v>101</v>
      </c>
      <c r="L1992" s="5">
        <f>_xlfn.XLOOKUP(CustomerCombined[[#This Row],[ID]], Table4[ID], Table4[Fruits], "Not Found", 0)</f>
        <v>16</v>
      </c>
      <c r="M1992" s="5">
        <f>_xlfn.XLOOKUP(CustomerCombined[[#This Row],[ID]], Table4[ID], Table4[Meats], "Not Found", 0)</f>
        <v>32</v>
      </c>
      <c r="N1992" s="5">
        <f>_xlfn.XLOOKUP(CustomerCombined[[#This Row],[ID]], Table4[ID], Table4[Seafood], "Not Found", 0)</f>
        <v>21</v>
      </c>
      <c r="O1992" s="5">
        <f>_xlfn.XLOOKUP(CustomerCombined[[#This Row],[ID]], Table4[ID], Table4[Sweets], "Not Found", 0)</f>
        <v>11</v>
      </c>
      <c r="P1992" s="5">
        <f>_xlfn.XLOOKUP(CustomerCombined[[#This Row],[ID]], Table4[ID], Table4[Premium], "Not Found", 0)</f>
        <v>64</v>
      </c>
      <c r="Q1992" s="5">
        <f>_xlfn.XLOOKUP(CustomerCombined[[#This Row],[ID]], Table4[ID], Table4[Regular], "Not Found", 0)</f>
        <v>117</v>
      </c>
      <c r="R1992" s="5">
        <f>_xlfn.XLOOKUP(CustomerCombined[[#This Row],[ID]], Table4[ID], Table4[Deals], "Not Found", 0)</f>
        <v>1</v>
      </c>
      <c r="S1992" s="5">
        <f>_xlfn.XLOOKUP(CustomerCombined[[#This Row],[ID]], Table4[ID], Table4[Website], "Not Found", 0)</f>
        <v>1</v>
      </c>
      <c r="T1992" s="5">
        <f>_xlfn.XLOOKUP(CustomerCombined[[#This Row],[ID]], Table4[ID], Table4[Catalog], "Not Found", 0)</f>
        <v>0</v>
      </c>
      <c r="U1992" s="5">
        <f>_xlfn.XLOOKUP(CustomerCombined[[#This Row],[ID]], Table4[ID], Table4[Store], "Not Found", 0)</f>
        <v>3</v>
      </c>
      <c r="V1992" s="5">
        <f>_xlfn.XLOOKUP(CustomerCombined[[#This Row],[ID]], Table4[ID], Table4[Visits], "Not Found", 0)</f>
        <v>4</v>
      </c>
      <c r="W1992" s="8">
        <f>_xlfn.XLOOKUP(CustomerCombined[[#This Row],[ID]], Table2[ID],Table2[Complaint], "Not Found", 0 )</f>
        <v>0</v>
      </c>
      <c r="X1992" s="8">
        <f>_xlfn.XLOOKUP(CustomerCombined[[#This Row],[ID]], Table2[ID],Table2[Pilot], "Not Found", 0 )</f>
        <v>0</v>
      </c>
      <c r="Y1992" s="8">
        <f>_xlfn.XLOOKUP(CustomerCombined[[#This Row],[ID]], Table2[ID],Table2[MC1], "Not Found", 0 )</f>
        <v>0</v>
      </c>
      <c r="Z1992" s="8">
        <f>_xlfn.XLOOKUP(CustomerCombined[[#This Row],[ID]], Table2[ID],Table2[MC2], "Not Found", 0 )</f>
        <v>0</v>
      </c>
      <c r="AA1992" s="8">
        <f>_xlfn.XLOOKUP(CustomerCombined[[#This Row],[ID]], Table2[ID],Table2[MC3], "Not Found", 0 )</f>
        <v>0</v>
      </c>
      <c r="AB1992" s="8">
        <f>_xlfn.XLOOKUP(CustomerCombined[[#This Row],[ID]], Table2[ID],Table2[MC4], "Not Found", 0 )</f>
        <v>0</v>
      </c>
      <c r="AC1992" s="8">
        <f>_xlfn.XLOOKUP(CustomerCombined[[#This Row],[ID]], Table2[ID],Table2[MC5], "Not Found", 0 )</f>
        <v>0</v>
      </c>
    </row>
    <row r="1993" spans="1:29" x14ac:dyDescent="0.3">
      <c r="A1993" s="6">
        <v>2748</v>
      </c>
      <c r="B1993" s="6">
        <v>185431</v>
      </c>
      <c r="C1993" s="6">
        <v>0</v>
      </c>
      <c r="D1993" s="6">
        <v>0</v>
      </c>
      <c r="E1993" s="6">
        <v>68</v>
      </c>
      <c r="F1993" s="5" t="s">
        <v>8</v>
      </c>
      <c r="G1993" s="5" t="s">
        <v>13</v>
      </c>
      <c r="H1993" s="3" t="s">
        <v>244</v>
      </c>
      <c r="I1993" s="5" t="s">
        <v>436</v>
      </c>
      <c r="J1993" s="5">
        <f>_xlfn.XLOOKUP(CustomerCombined[[#This Row],[ID]], Table4[ID], Table4[Recency], "Not Found", 0)</f>
        <v>54</v>
      </c>
      <c r="K1993" s="5">
        <f>_xlfn.XLOOKUP(CustomerCombined[[#This Row],[ID]], Table4[ID], Table4[Teas], "Not Found", 0)</f>
        <v>816</v>
      </c>
      <c r="L1993" s="5">
        <f>_xlfn.XLOOKUP(CustomerCombined[[#This Row],[ID]], Table4[ID], Table4[Fruits], "Not Found", 0)</f>
        <v>115</v>
      </c>
      <c r="M1993" s="5">
        <f>_xlfn.XLOOKUP(CustomerCombined[[#This Row],[ID]], Table4[ID], Table4[Meats], "Not Found", 0)</f>
        <v>1003</v>
      </c>
      <c r="N1993" s="5">
        <f>_xlfn.XLOOKUP(CustomerCombined[[#This Row],[ID]], Table4[ID], Table4[Seafood], "Not Found", 0)</f>
        <v>365</v>
      </c>
      <c r="O1993" s="5">
        <f>_xlfn.XLOOKUP(CustomerCombined[[#This Row],[ID]], Table4[ID], Table4[Sweets], "Not Found", 0)</f>
        <v>115</v>
      </c>
      <c r="P1993" s="5">
        <f>_xlfn.XLOOKUP(CustomerCombined[[#This Row],[ID]], Table4[ID], Table4[Premium], "Not Found", 0)</f>
        <v>115</v>
      </c>
      <c r="Q1993" s="5">
        <f>_xlfn.XLOOKUP(CustomerCombined[[#This Row],[ID]], Table4[ID], Table4[Regular], "Not Found", 0)</f>
        <v>2299</v>
      </c>
      <c r="R1993" s="5">
        <f>_xlfn.XLOOKUP(CustomerCombined[[#This Row],[ID]], Table4[ID], Table4[Deals], "Not Found", 0)</f>
        <v>1</v>
      </c>
      <c r="S1993" s="5">
        <f>_xlfn.XLOOKUP(CustomerCombined[[#This Row],[ID]], Table4[ID], Table4[Website], "Not Found", 0)</f>
        <v>2</v>
      </c>
      <c r="T1993" s="5">
        <f>_xlfn.XLOOKUP(CustomerCombined[[#This Row],[ID]], Table4[ID], Table4[Catalog], "Not Found", 0)</f>
        <v>7</v>
      </c>
      <c r="U1993" s="5">
        <f>_xlfn.XLOOKUP(CustomerCombined[[#This Row],[ID]], Table4[ID], Table4[Store], "Not Found", 0)</f>
        <v>7</v>
      </c>
      <c r="V1993" s="5">
        <f>_xlfn.XLOOKUP(CustomerCombined[[#This Row],[ID]], Table4[ID], Table4[Visits], "Not Found", 0)</f>
        <v>0</v>
      </c>
      <c r="W1993" s="8">
        <f>_xlfn.XLOOKUP(CustomerCombined[[#This Row],[ID]], Table2[ID],Table2[Complaint], "Not Found", 0 )</f>
        <v>0</v>
      </c>
      <c r="X1993" s="8">
        <f>_xlfn.XLOOKUP(CustomerCombined[[#This Row],[ID]], Table2[ID],Table2[Pilot], "Not Found", 0 )</f>
        <v>0</v>
      </c>
      <c r="Y1993" s="8">
        <f>_xlfn.XLOOKUP(CustomerCombined[[#This Row],[ID]], Table2[ID],Table2[MC1], "Not Found", 0 )</f>
        <v>0</v>
      </c>
      <c r="Z1993" s="8">
        <f>_xlfn.XLOOKUP(CustomerCombined[[#This Row],[ID]], Table2[ID],Table2[MC2], "Not Found", 0 )</f>
        <v>0</v>
      </c>
      <c r="AA1993" s="8">
        <f>_xlfn.XLOOKUP(CustomerCombined[[#This Row],[ID]], Table2[ID],Table2[MC3], "Not Found", 0 )</f>
        <v>0</v>
      </c>
      <c r="AB1993" s="8">
        <f>_xlfn.XLOOKUP(CustomerCombined[[#This Row],[ID]], Table2[ID],Table2[MC4], "Not Found", 0 )</f>
        <v>0</v>
      </c>
      <c r="AC1993" s="8">
        <f>_xlfn.XLOOKUP(CustomerCombined[[#This Row],[ID]], Table2[ID],Table2[MC5], "Not Found", 0 )</f>
        <v>0</v>
      </c>
    </row>
    <row r="1994" spans="1:29" x14ac:dyDescent="0.3">
      <c r="A1994" s="6">
        <v>1619</v>
      </c>
      <c r="B1994" s="6">
        <v>184574</v>
      </c>
      <c r="C1994" s="6">
        <v>0</v>
      </c>
      <c r="D1994" s="6">
        <v>0</v>
      </c>
      <c r="E1994" s="6">
        <v>68</v>
      </c>
      <c r="F1994" s="5" t="s">
        <v>7</v>
      </c>
      <c r="G1994" s="5" t="s">
        <v>11</v>
      </c>
      <c r="H1994" s="3">
        <v>43719</v>
      </c>
      <c r="I1994" s="5" t="s">
        <v>434</v>
      </c>
      <c r="J1994" s="5">
        <f>_xlfn.XLOOKUP(CustomerCombined[[#This Row],[ID]], Table4[ID], Table4[Recency], "Not Found", 0)</f>
        <v>72</v>
      </c>
      <c r="K1994" s="5">
        <f>_xlfn.XLOOKUP(CustomerCombined[[#This Row],[ID]], Table4[ID], Table4[Teas], "Not Found", 0)</f>
        <v>845</v>
      </c>
      <c r="L1994" s="5">
        <f>_xlfn.XLOOKUP(CustomerCombined[[#This Row],[ID]], Table4[ID], Table4[Fruits], "Not Found", 0)</f>
        <v>44</v>
      </c>
      <c r="M1994" s="5">
        <f>_xlfn.XLOOKUP(CustomerCombined[[#This Row],[ID]], Table4[ID], Table4[Meats], "Not Found", 0)</f>
        <v>1556</v>
      </c>
      <c r="N1994" s="5">
        <f>_xlfn.XLOOKUP(CustomerCombined[[#This Row],[ID]], Table4[ID], Table4[Seafood], "Not Found", 0)</f>
        <v>83</v>
      </c>
      <c r="O1994" s="5">
        <f>_xlfn.XLOOKUP(CustomerCombined[[#This Row],[ID]], Table4[ID], Table4[Sweets], "Not Found", 0)</f>
        <v>118</v>
      </c>
      <c r="P1994" s="5">
        <f>_xlfn.XLOOKUP(CustomerCombined[[#This Row],[ID]], Table4[ID], Table4[Premium], "Not Found", 0)</f>
        <v>356</v>
      </c>
      <c r="Q1994" s="5">
        <f>_xlfn.XLOOKUP(CustomerCombined[[#This Row],[ID]], Table4[ID], Table4[Regular], "Not Found", 0)</f>
        <v>2289</v>
      </c>
      <c r="R1994" s="5">
        <f>_xlfn.XLOOKUP(CustomerCombined[[#This Row],[ID]], Table4[ID], Table4[Deals], "Not Found", 0)</f>
        <v>1</v>
      </c>
      <c r="S1994" s="5">
        <f>_xlfn.XLOOKUP(CustomerCombined[[#This Row],[ID]], Table4[ID], Table4[Website], "Not Found", 0)</f>
        <v>9</v>
      </c>
      <c r="T1994" s="5">
        <f>_xlfn.XLOOKUP(CustomerCombined[[#This Row],[ID]], Table4[ID], Table4[Catalog], "Not Found", 0)</f>
        <v>11</v>
      </c>
      <c r="U1994" s="5">
        <f>_xlfn.XLOOKUP(CustomerCombined[[#This Row],[ID]], Table4[ID], Table4[Store], "Not Found", 0)</f>
        <v>11</v>
      </c>
      <c r="V1994" s="5">
        <f>_xlfn.XLOOKUP(CustomerCombined[[#This Row],[ID]], Table4[ID], Table4[Visits], "Not Found", 0)</f>
        <v>5</v>
      </c>
      <c r="W1994" s="8">
        <f>_xlfn.XLOOKUP(CustomerCombined[[#This Row],[ID]], Table2[ID],Table2[Complaint], "Not Found", 0 )</f>
        <v>0</v>
      </c>
      <c r="X1994" s="8">
        <f>_xlfn.XLOOKUP(CustomerCombined[[#This Row],[ID]], Table2[ID],Table2[Pilot], "Not Found", 0 )</f>
        <v>0</v>
      </c>
      <c r="Y1994" s="8">
        <f>_xlfn.XLOOKUP(CustomerCombined[[#This Row],[ID]], Table2[ID],Table2[MC1], "Not Found", 0 )</f>
        <v>0</v>
      </c>
      <c r="Z1994" s="8">
        <f>_xlfn.XLOOKUP(CustomerCombined[[#This Row],[ID]], Table2[ID],Table2[MC2], "Not Found", 0 )</f>
        <v>0</v>
      </c>
      <c r="AA1994" s="8">
        <f>_xlfn.XLOOKUP(CustomerCombined[[#This Row],[ID]], Table2[ID],Table2[MC3], "Not Found", 0 )</f>
        <v>0</v>
      </c>
      <c r="AB1994" s="8">
        <f>_xlfn.XLOOKUP(CustomerCombined[[#This Row],[ID]], Table2[ID],Table2[MC4], "Not Found", 0 )</f>
        <v>0</v>
      </c>
      <c r="AC1994" s="8">
        <f>_xlfn.XLOOKUP(CustomerCombined[[#This Row],[ID]], Table2[ID],Table2[MC5], "Not Found", 0 )</f>
        <v>0</v>
      </c>
    </row>
    <row r="1995" spans="1:29" x14ac:dyDescent="0.3">
      <c r="A1995" s="6">
        <v>1726</v>
      </c>
      <c r="B1995" s="6">
        <v>183844</v>
      </c>
      <c r="C1995" s="6">
        <v>0</v>
      </c>
      <c r="D1995" s="6">
        <v>0</v>
      </c>
      <c r="E1995" s="6">
        <v>68</v>
      </c>
      <c r="F1995" s="5" t="s">
        <v>8</v>
      </c>
      <c r="G1995" s="5" t="s">
        <v>11</v>
      </c>
      <c r="H1995" s="3" t="s">
        <v>259</v>
      </c>
      <c r="I1995" s="5" t="s">
        <v>439</v>
      </c>
      <c r="J1995" s="5">
        <f>_xlfn.XLOOKUP(CustomerCombined[[#This Row],[ID]], Table4[ID], Table4[Recency], "Not Found", 0)</f>
        <v>57</v>
      </c>
      <c r="K1995" s="5">
        <f>_xlfn.XLOOKUP(CustomerCombined[[#This Row],[ID]], Table4[ID], Table4[Teas], "Not Found", 0)</f>
        <v>1976</v>
      </c>
      <c r="L1995" s="5">
        <f>_xlfn.XLOOKUP(CustomerCombined[[#This Row],[ID]], Table4[ID], Table4[Fruits], "Not Found", 0)</f>
        <v>68</v>
      </c>
      <c r="M1995" s="5">
        <f>_xlfn.XLOOKUP(CustomerCombined[[#This Row],[ID]], Table4[ID], Table4[Meats], "Not Found", 0)</f>
        <v>756</v>
      </c>
      <c r="N1995" s="5">
        <f>_xlfn.XLOOKUP(CustomerCombined[[#This Row],[ID]], Table4[ID], Table4[Seafood], "Not Found", 0)</f>
        <v>164</v>
      </c>
      <c r="O1995" s="5">
        <f>_xlfn.XLOOKUP(CustomerCombined[[#This Row],[ID]], Table4[ID], Table4[Sweets], "Not Found", 0)</f>
        <v>68</v>
      </c>
      <c r="P1995" s="5">
        <f>_xlfn.XLOOKUP(CustomerCombined[[#This Row],[ID]], Table4[ID], Table4[Premium], "Not Found", 0)</f>
        <v>419</v>
      </c>
      <c r="Q1995" s="5">
        <f>_xlfn.XLOOKUP(CustomerCombined[[#This Row],[ID]], Table4[ID], Table4[Regular], "Not Found", 0)</f>
        <v>2614</v>
      </c>
      <c r="R1995" s="5">
        <f>_xlfn.XLOOKUP(CustomerCombined[[#This Row],[ID]], Table4[ID], Table4[Deals], "Not Found", 0)</f>
        <v>1</v>
      </c>
      <c r="S1995" s="5">
        <f>_xlfn.XLOOKUP(CustomerCombined[[#This Row],[ID]], Table4[ID], Table4[Website], "Not Found", 0)</f>
        <v>4</v>
      </c>
      <c r="T1995" s="5">
        <f>_xlfn.XLOOKUP(CustomerCombined[[#This Row],[ID]], Table4[ID], Table4[Catalog], "Not Found", 0)</f>
        <v>4</v>
      </c>
      <c r="U1995" s="5">
        <f>_xlfn.XLOOKUP(CustomerCombined[[#This Row],[ID]], Table4[ID], Table4[Store], "Not Found", 0)</f>
        <v>11</v>
      </c>
      <c r="V1995" s="5">
        <f>_xlfn.XLOOKUP(CustomerCombined[[#This Row],[ID]], Table4[ID], Table4[Visits], "Not Found", 0)</f>
        <v>1</v>
      </c>
      <c r="W1995" s="8">
        <f>_xlfn.XLOOKUP(CustomerCombined[[#This Row],[ID]], Table2[ID],Table2[Complaint], "Not Found", 0 )</f>
        <v>0</v>
      </c>
      <c r="X1995" s="8">
        <f>_xlfn.XLOOKUP(CustomerCombined[[#This Row],[ID]], Table2[ID],Table2[Pilot], "Not Found", 0 )</f>
        <v>0</v>
      </c>
      <c r="Y1995" s="8">
        <f>_xlfn.XLOOKUP(CustomerCombined[[#This Row],[ID]], Table2[ID],Table2[MC1], "Not Found", 0 )</f>
        <v>0</v>
      </c>
      <c r="Z1995" s="8">
        <f>_xlfn.XLOOKUP(CustomerCombined[[#This Row],[ID]], Table2[ID],Table2[MC2], "Not Found", 0 )</f>
        <v>0</v>
      </c>
      <c r="AA1995" s="8">
        <f>_xlfn.XLOOKUP(CustomerCombined[[#This Row],[ID]], Table2[ID],Table2[MC3], "Not Found", 0 )</f>
        <v>0</v>
      </c>
      <c r="AB1995" s="8">
        <f>_xlfn.XLOOKUP(CustomerCombined[[#This Row],[ID]], Table2[ID],Table2[MC4], "Not Found", 0 )</f>
        <v>0</v>
      </c>
      <c r="AC1995" s="8">
        <f>_xlfn.XLOOKUP(CustomerCombined[[#This Row],[ID]], Table2[ID],Table2[MC5], "Not Found", 0 )</f>
        <v>1</v>
      </c>
    </row>
    <row r="1996" spans="1:29" x14ac:dyDescent="0.3">
      <c r="A1996" s="6">
        <v>1988</v>
      </c>
      <c r="B1996" s="6">
        <v>183844</v>
      </c>
      <c r="C1996" s="6">
        <v>0</v>
      </c>
      <c r="D1996" s="6">
        <v>0</v>
      </c>
      <c r="E1996" s="6">
        <v>68</v>
      </c>
      <c r="F1996" s="5" t="s">
        <v>8</v>
      </c>
      <c r="G1996" s="5" t="s">
        <v>11</v>
      </c>
      <c r="H1996" s="3" t="s">
        <v>259</v>
      </c>
      <c r="I1996" s="5" t="s">
        <v>438</v>
      </c>
      <c r="J1996" s="5">
        <f>_xlfn.XLOOKUP(CustomerCombined[[#This Row],[ID]], Table4[ID], Table4[Recency], "Not Found", 0)</f>
        <v>57</v>
      </c>
      <c r="K1996" s="5">
        <f>_xlfn.XLOOKUP(CustomerCombined[[#This Row],[ID]], Table4[ID], Table4[Teas], "Not Found", 0)</f>
        <v>1976</v>
      </c>
      <c r="L1996" s="5">
        <f>_xlfn.XLOOKUP(CustomerCombined[[#This Row],[ID]], Table4[ID], Table4[Fruits], "Not Found", 0)</f>
        <v>68</v>
      </c>
      <c r="M1996" s="5">
        <f>_xlfn.XLOOKUP(CustomerCombined[[#This Row],[ID]], Table4[ID], Table4[Meats], "Not Found", 0)</f>
        <v>756</v>
      </c>
      <c r="N1996" s="5">
        <f>_xlfn.XLOOKUP(CustomerCombined[[#This Row],[ID]], Table4[ID], Table4[Seafood], "Not Found", 0)</f>
        <v>164</v>
      </c>
      <c r="O1996" s="5">
        <f>_xlfn.XLOOKUP(CustomerCombined[[#This Row],[ID]], Table4[ID], Table4[Sweets], "Not Found", 0)</f>
        <v>68</v>
      </c>
      <c r="P1996" s="5">
        <f>_xlfn.XLOOKUP(CustomerCombined[[#This Row],[ID]], Table4[ID], Table4[Premium], "Not Found", 0)</f>
        <v>419</v>
      </c>
      <c r="Q1996" s="5">
        <f>_xlfn.XLOOKUP(CustomerCombined[[#This Row],[ID]], Table4[ID], Table4[Regular], "Not Found", 0)</f>
        <v>2614</v>
      </c>
      <c r="R1996" s="5">
        <f>_xlfn.XLOOKUP(CustomerCombined[[#This Row],[ID]], Table4[ID], Table4[Deals], "Not Found", 0)</f>
        <v>1</v>
      </c>
      <c r="S1996" s="5">
        <f>_xlfn.XLOOKUP(CustomerCombined[[#This Row],[ID]], Table4[ID], Table4[Website], "Not Found", 0)</f>
        <v>4</v>
      </c>
      <c r="T1996" s="5">
        <f>_xlfn.XLOOKUP(CustomerCombined[[#This Row],[ID]], Table4[ID], Table4[Catalog], "Not Found", 0)</f>
        <v>4</v>
      </c>
      <c r="U1996" s="5">
        <f>_xlfn.XLOOKUP(CustomerCombined[[#This Row],[ID]], Table4[ID], Table4[Store], "Not Found", 0)</f>
        <v>11</v>
      </c>
      <c r="V1996" s="5">
        <f>_xlfn.XLOOKUP(CustomerCombined[[#This Row],[ID]], Table4[ID], Table4[Visits], "Not Found", 0)</f>
        <v>1</v>
      </c>
      <c r="W1996" s="8">
        <f>_xlfn.XLOOKUP(CustomerCombined[[#This Row],[ID]], Table2[ID],Table2[Complaint], "Not Found", 0 )</f>
        <v>0</v>
      </c>
      <c r="X1996" s="8">
        <f>_xlfn.XLOOKUP(CustomerCombined[[#This Row],[ID]], Table2[ID],Table2[Pilot], "Not Found", 0 )</f>
        <v>0</v>
      </c>
      <c r="Y1996" s="8">
        <f>_xlfn.XLOOKUP(CustomerCombined[[#This Row],[ID]], Table2[ID],Table2[MC1], "Not Found", 0 )</f>
        <v>0</v>
      </c>
      <c r="Z1996" s="8">
        <f>_xlfn.XLOOKUP(CustomerCombined[[#This Row],[ID]], Table2[ID],Table2[MC2], "Not Found", 0 )</f>
        <v>0</v>
      </c>
      <c r="AA1996" s="8">
        <f>_xlfn.XLOOKUP(CustomerCombined[[#This Row],[ID]], Table2[ID],Table2[MC3], "Not Found", 0 )</f>
        <v>0</v>
      </c>
      <c r="AB1996" s="8">
        <f>_xlfn.XLOOKUP(CustomerCombined[[#This Row],[ID]], Table2[ID],Table2[MC4], "Not Found", 0 )</f>
        <v>0</v>
      </c>
      <c r="AC1996" s="8">
        <f>_xlfn.XLOOKUP(CustomerCombined[[#This Row],[ID]], Table2[ID],Table2[MC5], "Not Found", 0 )</f>
        <v>1</v>
      </c>
    </row>
    <row r="1997" spans="1:29" x14ac:dyDescent="0.3">
      <c r="A1997" s="6">
        <v>2443</v>
      </c>
      <c r="B1997" s="6">
        <v>183844</v>
      </c>
      <c r="C1997" s="6">
        <v>0</v>
      </c>
      <c r="D1997" s="6">
        <v>0</v>
      </c>
      <c r="E1997" s="6">
        <v>68</v>
      </c>
      <c r="F1997" s="5" t="s">
        <v>8</v>
      </c>
      <c r="G1997" s="5" t="s">
        <v>11</v>
      </c>
      <c r="H1997" s="3" t="s">
        <v>259</v>
      </c>
      <c r="I1997" s="5" t="s">
        <v>437</v>
      </c>
      <c r="J1997" s="5">
        <f>_xlfn.XLOOKUP(CustomerCombined[[#This Row],[ID]], Table4[ID], Table4[Recency], "Not Found", 0)</f>
        <v>57</v>
      </c>
      <c r="K1997" s="5">
        <f>_xlfn.XLOOKUP(CustomerCombined[[#This Row],[ID]], Table4[ID], Table4[Teas], "Not Found", 0)</f>
        <v>1976</v>
      </c>
      <c r="L1997" s="5">
        <f>_xlfn.XLOOKUP(CustomerCombined[[#This Row],[ID]], Table4[ID], Table4[Fruits], "Not Found", 0)</f>
        <v>68</v>
      </c>
      <c r="M1997" s="5">
        <f>_xlfn.XLOOKUP(CustomerCombined[[#This Row],[ID]], Table4[ID], Table4[Meats], "Not Found", 0)</f>
        <v>756</v>
      </c>
      <c r="N1997" s="5">
        <f>_xlfn.XLOOKUP(CustomerCombined[[#This Row],[ID]], Table4[ID], Table4[Seafood], "Not Found", 0)</f>
        <v>164</v>
      </c>
      <c r="O1997" s="5">
        <f>_xlfn.XLOOKUP(CustomerCombined[[#This Row],[ID]], Table4[ID], Table4[Sweets], "Not Found", 0)</f>
        <v>68</v>
      </c>
      <c r="P1997" s="5">
        <f>_xlfn.XLOOKUP(CustomerCombined[[#This Row],[ID]], Table4[ID], Table4[Premium], "Not Found", 0)</f>
        <v>419</v>
      </c>
      <c r="Q1997" s="5">
        <f>_xlfn.XLOOKUP(CustomerCombined[[#This Row],[ID]], Table4[ID], Table4[Regular], "Not Found", 0)</f>
        <v>2614</v>
      </c>
      <c r="R1997" s="5">
        <f>_xlfn.XLOOKUP(CustomerCombined[[#This Row],[ID]], Table4[ID], Table4[Deals], "Not Found", 0)</f>
        <v>1</v>
      </c>
      <c r="S1997" s="5">
        <f>_xlfn.XLOOKUP(CustomerCombined[[#This Row],[ID]], Table4[ID], Table4[Website], "Not Found", 0)</f>
        <v>4</v>
      </c>
      <c r="T1997" s="5">
        <f>_xlfn.XLOOKUP(CustomerCombined[[#This Row],[ID]], Table4[ID], Table4[Catalog], "Not Found", 0)</f>
        <v>4</v>
      </c>
      <c r="U1997" s="5">
        <f>_xlfn.XLOOKUP(CustomerCombined[[#This Row],[ID]], Table4[ID], Table4[Store], "Not Found", 0)</f>
        <v>11</v>
      </c>
      <c r="V1997" s="5">
        <f>_xlfn.XLOOKUP(CustomerCombined[[#This Row],[ID]], Table4[ID], Table4[Visits], "Not Found", 0)</f>
        <v>1</v>
      </c>
      <c r="W1997" s="8">
        <f>_xlfn.XLOOKUP(CustomerCombined[[#This Row],[ID]], Table2[ID],Table2[Complaint], "Not Found", 0 )</f>
        <v>0</v>
      </c>
      <c r="X1997" s="8">
        <f>_xlfn.XLOOKUP(CustomerCombined[[#This Row],[ID]], Table2[ID],Table2[Pilot], "Not Found", 0 )</f>
        <v>0</v>
      </c>
      <c r="Y1997" s="8">
        <f>_xlfn.XLOOKUP(CustomerCombined[[#This Row],[ID]], Table2[ID],Table2[MC1], "Not Found", 0 )</f>
        <v>0</v>
      </c>
      <c r="Z1997" s="8">
        <f>_xlfn.XLOOKUP(CustomerCombined[[#This Row],[ID]], Table2[ID],Table2[MC2], "Not Found", 0 )</f>
        <v>0</v>
      </c>
      <c r="AA1997" s="8">
        <f>_xlfn.XLOOKUP(CustomerCombined[[#This Row],[ID]], Table2[ID],Table2[MC3], "Not Found", 0 )</f>
        <v>0</v>
      </c>
      <c r="AB1997" s="8">
        <f>_xlfn.XLOOKUP(CustomerCombined[[#This Row],[ID]], Table2[ID],Table2[MC4], "Not Found", 0 )</f>
        <v>0</v>
      </c>
      <c r="AC1997" s="8">
        <f>_xlfn.XLOOKUP(CustomerCombined[[#This Row],[ID]], Table2[ID],Table2[MC5], "Not Found", 0 )</f>
        <v>1</v>
      </c>
    </row>
    <row r="1998" spans="1:29" x14ac:dyDescent="0.3">
      <c r="A1998" s="6">
        <v>1329</v>
      </c>
      <c r="B1998" s="6">
        <v>182623</v>
      </c>
      <c r="C1998" s="6">
        <v>0</v>
      </c>
      <c r="D1998" s="6">
        <v>0</v>
      </c>
      <c r="E1998" s="6">
        <v>68</v>
      </c>
      <c r="F1998" s="5" t="s">
        <v>5</v>
      </c>
      <c r="G1998" s="5" t="s">
        <v>11</v>
      </c>
      <c r="H1998" s="3" t="s">
        <v>153</v>
      </c>
      <c r="I1998" s="5" t="s">
        <v>435</v>
      </c>
      <c r="J1998" s="5">
        <f>_xlfn.XLOOKUP(CustomerCombined[[#This Row],[ID]], Table4[ID], Table4[Recency], "Not Found", 0)</f>
        <v>58</v>
      </c>
      <c r="K1998" s="5">
        <f>_xlfn.XLOOKUP(CustomerCombined[[#This Row],[ID]], Table4[ID], Table4[Teas], "Not Found", 0)</f>
        <v>451</v>
      </c>
      <c r="L1998" s="5">
        <f>_xlfn.XLOOKUP(CustomerCombined[[#This Row],[ID]], Table4[ID], Table4[Fruits], "Not Found", 0)</f>
        <v>75</v>
      </c>
      <c r="M1998" s="5">
        <f>_xlfn.XLOOKUP(CustomerCombined[[#This Row],[ID]], Table4[ID], Table4[Meats], "Not Found", 0)</f>
        <v>451</v>
      </c>
      <c r="N1998" s="5">
        <f>_xlfn.XLOOKUP(CustomerCombined[[#This Row],[ID]], Table4[ID], Table4[Seafood], "Not Found", 0)</f>
        <v>380</v>
      </c>
      <c r="O1998" s="5">
        <f>_xlfn.XLOOKUP(CustomerCombined[[#This Row],[ID]], Table4[ID], Table4[Sweets], "Not Found", 0)</f>
        <v>338</v>
      </c>
      <c r="P1998" s="5">
        <f>_xlfn.XLOOKUP(CustomerCombined[[#This Row],[ID]], Table4[ID], Table4[Premium], "Not Found", 0)</f>
        <v>382</v>
      </c>
      <c r="Q1998" s="5">
        <f>_xlfn.XLOOKUP(CustomerCombined[[#This Row],[ID]], Table4[ID], Table4[Regular], "Not Found", 0)</f>
        <v>1313</v>
      </c>
      <c r="R1998" s="5">
        <f>_xlfn.XLOOKUP(CustomerCombined[[#This Row],[ID]], Table4[ID], Table4[Deals], "Not Found", 0)</f>
        <v>1</v>
      </c>
      <c r="S1998" s="5">
        <f>_xlfn.XLOOKUP(CustomerCombined[[#This Row],[ID]], Table4[ID], Table4[Website], "Not Found", 0)</f>
        <v>2</v>
      </c>
      <c r="T1998" s="5">
        <f>_xlfn.XLOOKUP(CustomerCombined[[#This Row],[ID]], Table4[ID], Table4[Catalog], "Not Found", 0)</f>
        <v>9</v>
      </c>
      <c r="U1998" s="5">
        <f>_xlfn.XLOOKUP(CustomerCombined[[#This Row],[ID]], Table4[ID], Table4[Store], "Not Found", 0)</f>
        <v>4</v>
      </c>
      <c r="V1998" s="5">
        <f>_xlfn.XLOOKUP(CustomerCombined[[#This Row],[ID]], Table4[ID], Table4[Visits], "Not Found", 0)</f>
        <v>1</v>
      </c>
      <c r="W1998" s="8">
        <f>_xlfn.XLOOKUP(CustomerCombined[[#This Row],[ID]], Table2[ID],Table2[Complaint], "Not Found", 0 )</f>
        <v>0</v>
      </c>
      <c r="X1998" s="8">
        <f>_xlfn.XLOOKUP(CustomerCombined[[#This Row],[ID]], Table2[ID],Table2[Pilot], "Not Found", 0 )</f>
        <v>0</v>
      </c>
      <c r="Y1998" s="8">
        <f>_xlfn.XLOOKUP(CustomerCombined[[#This Row],[ID]], Table2[ID],Table2[MC1], "Not Found", 0 )</f>
        <v>0</v>
      </c>
      <c r="Z1998" s="8">
        <f>_xlfn.XLOOKUP(CustomerCombined[[#This Row],[ID]], Table2[ID],Table2[MC2], "Not Found", 0 )</f>
        <v>0</v>
      </c>
      <c r="AA1998" s="8">
        <f>_xlfn.XLOOKUP(CustomerCombined[[#This Row],[ID]], Table2[ID],Table2[MC3], "Not Found", 0 )</f>
        <v>0</v>
      </c>
      <c r="AB1998" s="8">
        <f>_xlfn.XLOOKUP(CustomerCombined[[#This Row],[ID]], Table2[ID],Table2[MC4], "Not Found", 0 )</f>
        <v>0</v>
      </c>
      <c r="AC1998" s="8">
        <f>_xlfn.XLOOKUP(CustomerCombined[[#This Row],[ID]], Table2[ID],Table2[MC5], "Not Found", 0 )</f>
        <v>0</v>
      </c>
    </row>
    <row r="1999" spans="1:29" x14ac:dyDescent="0.3">
      <c r="A1999" s="6">
        <v>2720</v>
      </c>
      <c r="B1999" s="6">
        <v>181795</v>
      </c>
      <c r="C1999" s="6">
        <v>0</v>
      </c>
      <c r="D1999" s="6">
        <v>0</v>
      </c>
      <c r="E1999" s="6">
        <v>68</v>
      </c>
      <c r="F1999" s="5" t="s">
        <v>6</v>
      </c>
      <c r="G1999" s="5" t="s">
        <v>11</v>
      </c>
      <c r="H1999" s="3">
        <v>43500</v>
      </c>
      <c r="I1999" s="5" t="s">
        <v>438</v>
      </c>
      <c r="J1999" s="5">
        <f>_xlfn.XLOOKUP(CustomerCombined[[#This Row],[ID]], Table4[ID], Table4[Recency], "Not Found", 0)</f>
        <v>74</v>
      </c>
      <c r="K1999" s="5">
        <f>_xlfn.XLOOKUP(CustomerCombined[[#This Row],[ID]], Table4[ID], Table4[Teas], "Not Found", 0)</f>
        <v>720</v>
      </c>
      <c r="L1999" s="5">
        <f>_xlfn.XLOOKUP(CustomerCombined[[#This Row],[ID]], Table4[ID], Table4[Fruits], "Not Found", 0)</f>
        <v>293</v>
      </c>
      <c r="M1999" s="5">
        <f>_xlfn.XLOOKUP(CustomerCombined[[#This Row],[ID]], Table4[ID], Table4[Meats], "Not Found", 0)</f>
        <v>1540</v>
      </c>
      <c r="N1999" s="5">
        <f>_xlfn.XLOOKUP(CustomerCombined[[#This Row],[ID]], Table4[ID], Table4[Seafood], "Not Found", 0)</f>
        <v>60</v>
      </c>
      <c r="O1999" s="5">
        <f>_xlfn.XLOOKUP(CustomerCombined[[#This Row],[ID]], Table4[ID], Table4[Sweets], "Not Found", 0)</f>
        <v>262</v>
      </c>
      <c r="P1999" s="5">
        <f>_xlfn.XLOOKUP(CustomerCombined[[#This Row],[ID]], Table4[ID], Table4[Premium], "Not Found", 0)</f>
        <v>196</v>
      </c>
      <c r="Q1999" s="5">
        <f>_xlfn.XLOOKUP(CustomerCombined[[#This Row],[ID]], Table4[ID], Table4[Regular], "Not Found", 0)</f>
        <v>2680</v>
      </c>
      <c r="R1999" s="5">
        <f>_xlfn.XLOOKUP(CustomerCombined[[#This Row],[ID]], Table4[ID], Table4[Deals], "Not Found", 0)</f>
        <v>1</v>
      </c>
      <c r="S1999" s="5">
        <f>_xlfn.XLOOKUP(CustomerCombined[[#This Row],[ID]], Table4[ID], Table4[Website], "Not Found", 0)</f>
        <v>4</v>
      </c>
      <c r="T1999" s="5">
        <f>_xlfn.XLOOKUP(CustomerCombined[[#This Row],[ID]], Table4[ID], Table4[Catalog], "Not Found", 0)</f>
        <v>11</v>
      </c>
      <c r="U1999" s="5">
        <f>_xlfn.XLOOKUP(CustomerCombined[[#This Row],[ID]], Table4[ID], Table4[Store], "Not Found", 0)</f>
        <v>7</v>
      </c>
      <c r="V1999" s="5">
        <f>_xlfn.XLOOKUP(CustomerCombined[[#This Row],[ID]], Table4[ID], Table4[Visits], "Not Found", 0)</f>
        <v>2</v>
      </c>
      <c r="W1999" s="8">
        <f>_xlfn.XLOOKUP(CustomerCombined[[#This Row],[ID]], Table2[ID],Table2[Complaint], "Not Found", 0 )</f>
        <v>0</v>
      </c>
      <c r="X1999" s="8">
        <f>_xlfn.XLOOKUP(CustomerCombined[[#This Row],[ID]], Table2[ID],Table2[Pilot], "Not Found", 0 )</f>
        <v>0</v>
      </c>
      <c r="Y1999" s="8">
        <f>_xlfn.XLOOKUP(CustomerCombined[[#This Row],[ID]], Table2[ID],Table2[MC1], "Not Found", 0 )</f>
        <v>0</v>
      </c>
      <c r="Z1999" s="8">
        <f>_xlfn.XLOOKUP(CustomerCombined[[#This Row],[ID]], Table2[ID],Table2[MC2], "Not Found", 0 )</f>
        <v>0</v>
      </c>
      <c r="AA1999" s="8">
        <f>_xlfn.XLOOKUP(CustomerCombined[[#This Row],[ID]], Table2[ID],Table2[MC3], "Not Found", 0 )</f>
        <v>0</v>
      </c>
      <c r="AB1999" s="8">
        <f>_xlfn.XLOOKUP(CustomerCombined[[#This Row],[ID]], Table2[ID],Table2[MC4], "Not Found", 0 )</f>
        <v>0</v>
      </c>
      <c r="AC1999" s="8">
        <f>_xlfn.XLOOKUP(CustomerCombined[[#This Row],[ID]], Table2[ID],Table2[MC5], "Not Found", 0 )</f>
        <v>0</v>
      </c>
    </row>
    <row r="2000" spans="1:29" x14ac:dyDescent="0.3">
      <c r="A2000" s="6">
        <v>3040</v>
      </c>
      <c r="B2000" s="6">
        <v>177610</v>
      </c>
      <c r="C2000" s="6">
        <v>0</v>
      </c>
      <c r="D2000" s="6">
        <v>1</v>
      </c>
      <c r="E2000" s="6">
        <v>68</v>
      </c>
      <c r="F2000" s="5" t="s">
        <v>6</v>
      </c>
      <c r="G2000" s="5" t="s">
        <v>13</v>
      </c>
      <c r="H2000" s="3">
        <v>43589</v>
      </c>
      <c r="I2000" s="5" t="s">
        <v>439</v>
      </c>
      <c r="J2000" s="5">
        <f>_xlfn.XLOOKUP(CustomerCombined[[#This Row],[ID]], Table4[ID], Table4[Recency], "Not Found", 0)</f>
        <v>70</v>
      </c>
      <c r="K2000" s="5">
        <f>_xlfn.XLOOKUP(CustomerCombined[[#This Row],[ID]], Table4[ID], Table4[Teas], "Not Found", 0)</f>
        <v>2849</v>
      </c>
      <c r="L2000" s="5">
        <f>_xlfn.XLOOKUP(CustomerCombined[[#This Row],[ID]], Table4[ID], Table4[Fruits], "Not Found", 0)</f>
        <v>76</v>
      </c>
      <c r="M2000" s="5">
        <f>_xlfn.XLOOKUP(CustomerCombined[[#This Row],[ID]], Table4[ID], Table4[Meats], "Not Found", 0)</f>
        <v>760</v>
      </c>
      <c r="N2000" s="5">
        <f>_xlfn.XLOOKUP(CustomerCombined[[#This Row],[ID]], Table4[ID], Table4[Seafood], "Not Found", 0)</f>
        <v>48</v>
      </c>
      <c r="O2000" s="5">
        <f>_xlfn.XLOOKUP(CustomerCombined[[#This Row],[ID]], Table4[ID], Table4[Sweets], "Not Found", 0)</f>
        <v>76</v>
      </c>
      <c r="P2000" s="5">
        <f>_xlfn.XLOOKUP(CustomerCombined[[#This Row],[ID]], Table4[ID], Table4[Premium], "Not Found", 0)</f>
        <v>37</v>
      </c>
      <c r="Q2000" s="5">
        <f>_xlfn.XLOOKUP(CustomerCombined[[#This Row],[ID]], Table4[ID], Table4[Regular], "Not Found", 0)</f>
        <v>3771</v>
      </c>
      <c r="R2000" s="5">
        <f>_xlfn.XLOOKUP(CustomerCombined[[#This Row],[ID]], Table4[ID], Table4[Deals], "Not Found", 0)</f>
        <v>2</v>
      </c>
      <c r="S2000" s="5">
        <f>_xlfn.XLOOKUP(CustomerCombined[[#This Row],[ID]], Table4[ID], Table4[Website], "Not Found", 0)</f>
        <v>4</v>
      </c>
      <c r="T2000" s="5">
        <f>_xlfn.XLOOKUP(CustomerCombined[[#This Row],[ID]], Table4[ID], Table4[Catalog], "Not Found", 0)</f>
        <v>7</v>
      </c>
      <c r="U2000" s="5">
        <f>_xlfn.XLOOKUP(CustomerCombined[[#This Row],[ID]], Table4[ID], Table4[Store], "Not Found", 0)</f>
        <v>4</v>
      </c>
      <c r="V2000" s="5">
        <f>_xlfn.XLOOKUP(CustomerCombined[[#This Row],[ID]], Table4[ID], Table4[Visits], "Not Found", 0)</f>
        <v>7</v>
      </c>
      <c r="W2000" s="8">
        <f>_xlfn.XLOOKUP(CustomerCombined[[#This Row],[ID]], Table2[ID],Table2[Complaint], "Not Found", 0 )</f>
        <v>0</v>
      </c>
      <c r="X2000" s="8">
        <f>_xlfn.XLOOKUP(CustomerCombined[[#This Row],[ID]], Table2[ID],Table2[Pilot], "Not Found", 0 )</f>
        <v>0</v>
      </c>
      <c r="Y2000" s="8">
        <f>_xlfn.XLOOKUP(CustomerCombined[[#This Row],[ID]], Table2[ID],Table2[MC1], "Not Found", 0 )</f>
        <v>0</v>
      </c>
      <c r="Z2000" s="8">
        <f>_xlfn.XLOOKUP(CustomerCombined[[#This Row],[ID]], Table2[ID],Table2[MC2], "Not Found", 0 )</f>
        <v>0</v>
      </c>
      <c r="AA2000" s="8">
        <f>_xlfn.XLOOKUP(CustomerCombined[[#This Row],[ID]], Table2[ID],Table2[MC3], "Not Found", 0 )</f>
        <v>0</v>
      </c>
      <c r="AB2000" s="8">
        <f>_xlfn.XLOOKUP(CustomerCombined[[#This Row],[ID]], Table2[ID],Table2[MC4], "Not Found", 0 )</f>
        <v>0</v>
      </c>
      <c r="AC2000" s="8">
        <f>_xlfn.XLOOKUP(CustomerCombined[[#This Row],[ID]], Table2[ID],Table2[MC5], "Not Found", 0 )</f>
        <v>0</v>
      </c>
    </row>
    <row r="2001" spans="1:29" x14ac:dyDescent="0.3">
      <c r="A2001" s="6">
        <v>2998</v>
      </c>
      <c r="B2001" s="6">
        <v>177027</v>
      </c>
      <c r="C2001" s="6">
        <v>0</v>
      </c>
      <c r="D2001" s="6">
        <v>1</v>
      </c>
      <c r="E2001" s="6">
        <v>68</v>
      </c>
      <c r="F2001" s="5" t="s">
        <v>6</v>
      </c>
      <c r="G2001" s="5" t="s">
        <v>12</v>
      </c>
      <c r="H2001" s="3">
        <v>44172</v>
      </c>
      <c r="I2001" s="5" t="s">
        <v>439</v>
      </c>
      <c r="J2001" s="5">
        <f>_xlfn.XLOOKUP(CustomerCombined[[#This Row],[ID]], Table4[ID], Table4[Recency], "Not Found", 0)</f>
        <v>23</v>
      </c>
      <c r="K2001" s="5">
        <f>_xlfn.XLOOKUP(CustomerCombined[[#This Row],[ID]], Table4[ID], Table4[Teas], "Not Found", 0)</f>
        <v>1885</v>
      </c>
      <c r="L2001" s="5">
        <f>_xlfn.XLOOKUP(CustomerCombined[[#This Row],[ID]], Table4[ID], Table4[Fruits], "Not Found", 0)</f>
        <v>131</v>
      </c>
      <c r="M2001" s="5">
        <f>_xlfn.XLOOKUP(CustomerCombined[[#This Row],[ID]], Table4[ID], Table4[Meats], "Not Found", 0)</f>
        <v>556</v>
      </c>
      <c r="N2001" s="5">
        <f>_xlfn.XLOOKUP(CustomerCombined[[#This Row],[ID]], Table4[ID], Table4[Seafood], "Not Found", 0)</f>
        <v>103</v>
      </c>
      <c r="O2001" s="5">
        <f>_xlfn.XLOOKUP(CustomerCombined[[#This Row],[ID]], Table4[ID], Table4[Sweets], "Not Found", 0)</f>
        <v>0</v>
      </c>
      <c r="P2001" s="5">
        <f>_xlfn.XLOOKUP(CustomerCombined[[#This Row],[ID]], Table4[ID], Table4[Premium], "Not Found", 0)</f>
        <v>25</v>
      </c>
      <c r="Q2001" s="5">
        <f>_xlfn.XLOOKUP(CustomerCombined[[#This Row],[ID]], Table4[ID], Table4[Regular], "Not Found", 0)</f>
        <v>2650</v>
      </c>
      <c r="R2001" s="5">
        <f>_xlfn.XLOOKUP(CustomerCombined[[#This Row],[ID]], Table4[ID], Table4[Deals], "Not Found", 0)</f>
        <v>2</v>
      </c>
      <c r="S2001" s="5">
        <f>_xlfn.XLOOKUP(CustomerCombined[[#This Row],[ID]], Table4[ID], Table4[Website], "Not Found", 0)</f>
        <v>8</v>
      </c>
      <c r="T2001" s="5">
        <f>_xlfn.XLOOKUP(CustomerCombined[[#This Row],[ID]], Table4[ID], Table4[Catalog], "Not Found", 0)</f>
        <v>3</v>
      </c>
      <c r="U2001" s="5">
        <f>_xlfn.XLOOKUP(CustomerCombined[[#This Row],[ID]], Table4[ID], Table4[Store], "Not Found", 0)</f>
        <v>6</v>
      </c>
      <c r="V2001" s="5">
        <f>_xlfn.XLOOKUP(CustomerCombined[[#This Row],[ID]], Table4[ID], Table4[Visits], "Not Found", 0)</f>
        <v>4</v>
      </c>
      <c r="W2001" s="8">
        <f>_xlfn.XLOOKUP(CustomerCombined[[#This Row],[ID]], Table2[ID],Table2[Complaint], "Not Found", 0 )</f>
        <v>0</v>
      </c>
      <c r="X2001" s="8">
        <f>_xlfn.XLOOKUP(CustomerCombined[[#This Row],[ID]], Table2[ID],Table2[Pilot], "Not Found", 0 )</f>
        <v>0</v>
      </c>
      <c r="Y2001" s="8">
        <f>_xlfn.XLOOKUP(CustomerCombined[[#This Row],[ID]], Table2[ID],Table2[MC1], "Not Found", 0 )</f>
        <v>0</v>
      </c>
      <c r="Z2001" s="8">
        <f>_xlfn.XLOOKUP(CustomerCombined[[#This Row],[ID]], Table2[ID],Table2[MC2], "Not Found", 0 )</f>
        <v>0</v>
      </c>
      <c r="AA2001" s="8">
        <f>_xlfn.XLOOKUP(CustomerCombined[[#This Row],[ID]], Table2[ID],Table2[MC3], "Not Found", 0 )</f>
        <v>0</v>
      </c>
      <c r="AB2001" s="8">
        <f>_xlfn.XLOOKUP(CustomerCombined[[#This Row],[ID]], Table2[ID],Table2[MC4], "Not Found", 0 )</f>
        <v>0</v>
      </c>
      <c r="AC2001" s="8">
        <f>_xlfn.XLOOKUP(CustomerCombined[[#This Row],[ID]], Table2[ID],Table2[MC5], "Not Found", 0 )</f>
        <v>0</v>
      </c>
    </row>
    <row r="2002" spans="1:29" x14ac:dyDescent="0.3">
      <c r="A2002" s="6">
        <v>1273</v>
      </c>
      <c r="B2002" s="6">
        <v>175278</v>
      </c>
      <c r="C2002" s="6">
        <v>0</v>
      </c>
      <c r="D2002" s="6">
        <v>0</v>
      </c>
      <c r="E2002" s="6">
        <v>68</v>
      </c>
      <c r="F2002" s="5" t="s">
        <v>8</v>
      </c>
      <c r="G2002" s="5" t="s">
        <v>11</v>
      </c>
      <c r="H2002" s="3">
        <v>43623</v>
      </c>
      <c r="I2002" s="5" t="s">
        <v>437</v>
      </c>
      <c r="J2002" s="5">
        <f>_xlfn.XLOOKUP(CustomerCombined[[#This Row],[ID]], Table4[ID], Table4[Recency], "Not Found", 0)</f>
        <v>17</v>
      </c>
      <c r="K2002" s="5">
        <f>_xlfn.XLOOKUP(CustomerCombined[[#This Row],[ID]], Table4[ID], Table4[Teas], "Not Found", 0)</f>
        <v>708</v>
      </c>
      <c r="L2002" s="5">
        <f>_xlfn.XLOOKUP(CustomerCombined[[#This Row],[ID]], Table4[ID], Table4[Fruits], "Not Found", 0)</f>
        <v>228</v>
      </c>
      <c r="M2002" s="5">
        <f>_xlfn.XLOOKUP(CustomerCombined[[#This Row],[ID]], Table4[ID], Table4[Meats], "Not Found", 0)</f>
        <v>536</v>
      </c>
      <c r="N2002" s="5">
        <f>_xlfn.XLOOKUP(CustomerCombined[[#This Row],[ID]], Table4[ID], Table4[Seafood], "Not Found", 0)</f>
        <v>349</v>
      </c>
      <c r="O2002" s="5">
        <f>_xlfn.XLOOKUP(CustomerCombined[[#This Row],[ID]], Table4[ID], Table4[Sweets], "Not Found", 0)</f>
        <v>172</v>
      </c>
      <c r="P2002" s="5">
        <f>_xlfn.XLOOKUP(CustomerCombined[[#This Row],[ID]], Table4[ID], Table4[Premium], "Not Found", 0)</f>
        <v>172</v>
      </c>
      <c r="Q2002" s="5">
        <f>_xlfn.XLOOKUP(CustomerCombined[[#This Row],[ID]], Table4[ID], Table4[Regular], "Not Found", 0)</f>
        <v>1821</v>
      </c>
      <c r="R2002" s="5">
        <f>_xlfn.XLOOKUP(CustomerCombined[[#This Row],[ID]], Table4[ID], Table4[Deals], "Not Found", 0)</f>
        <v>1</v>
      </c>
      <c r="S2002" s="5">
        <f>_xlfn.XLOOKUP(CustomerCombined[[#This Row],[ID]], Table4[ID], Table4[Website], "Not Found", 0)</f>
        <v>6</v>
      </c>
      <c r="T2002" s="5">
        <f>_xlfn.XLOOKUP(CustomerCombined[[#This Row],[ID]], Table4[ID], Table4[Catalog], "Not Found", 0)</f>
        <v>3</v>
      </c>
      <c r="U2002" s="5">
        <f>_xlfn.XLOOKUP(CustomerCombined[[#This Row],[ID]], Table4[ID], Table4[Store], "Not Found", 0)</f>
        <v>13</v>
      </c>
      <c r="V2002" s="5">
        <f>_xlfn.XLOOKUP(CustomerCombined[[#This Row],[ID]], Table4[ID], Table4[Visits], "Not Found", 0)</f>
        <v>3</v>
      </c>
      <c r="W2002" s="8">
        <f>_xlfn.XLOOKUP(CustomerCombined[[#This Row],[ID]], Table2[ID],Table2[Complaint], "Not Found", 0 )</f>
        <v>0</v>
      </c>
      <c r="X2002" s="8">
        <f>_xlfn.XLOOKUP(CustomerCombined[[#This Row],[ID]], Table2[ID],Table2[Pilot], "Not Found", 0 )</f>
        <v>0</v>
      </c>
      <c r="Y2002" s="8">
        <f>_xlfn.XLOOKUP(CustomerCombined[[#This Row],[ID]], Table2[ID],Table2[MC1], "Not Found", 0 )</f>
        <v>0</v>
      </c>
      <c r="Z2002" s="8">
        <f>_xlfn.XLOOKUP(CustomerCombined[[#This Row],[ID]], Table2[ID],Table2[MC2], "Not Found", 0 )</f>
        <v>0</v>
      </c>
      <c r="AA2002" s="8">
        <f>_xlfn.XLOOKUP(CustomerCombined[[#This Row],[ID]], Table2[ID],Table2[MC3], "Not Found", 0 )</f>
        <v>0</v>
      </c>
      <c r="AB2002" s="8">
        <f>_xlfn.XLOOKUP(CustomerCombined[[#This Row],[ID]], Table2[ID],Table2[MC4], "Not Found", 0 )</f>
        <v>0</v>
      </c>
      <c r="AC2002" s="8">
        <f>_xlfn.XLOOKUP(CustomerCombined[[#This Row],[ID]], Table2[ID],Table2[MC5], "Not Found", 0 )</f>
        <v>0</v>
      </c>
    </row>
    <row r="2003" spans="1:29" x14ac:dyDescent="0.3">
      <c r="A2003" s="6">
        <v>1745</v>
      </c>
      <c r="B2003" s="6">
        <v>175127</v>
      </c>
      <c r="C2003" s="6">
        <v>0</v>
      </c>
      <c r="D2003" s="6">
        <v>0</v>
      </c>
      <c r="E2003" s="6">
        <v>68</v>
      </c>
      <c r="F2003" s="5" t="s">
        <v>7</v>
      </c>
      <c r="G2003" s="5" t="s">
        <v>11</v>
      </c>
      <c r="H2003" s="3" t="s">
        <v>45</v>
      </c>
      <c r="I2003" s="5" t="s">
        <v>434</v>
      </c>
      <c r="J2003" s="5">
        <f>_xlfn.XLOOKUP(CustomerCombined[[#This Row],[ID]], Table4[ID], Table4[Recency], "Not Found", 0)</f>
        <v>92</v>
      </c>
      <c r="K2003" s="5">
        <f>_xlfn.XLOOKUP(CustomerCombined[[#This Row],[ID]], Table4[ID], Table4[Teas], "Not Found", 0)</f>
        <v>473</v>
      </c>
      <c r="L2003" s="5">
        <f>_xlfn.XLOOKUP(CustomerCombined[[#This Row],[ID]], Table4[ID], Table4[Fruits], "Not Found", 0)</f>
        <v>82</v>
      </c>
      <c r="M2003" s="5">
        <f>_xlfn.XLOOKUP(CustomerCombined[[#This Row],[ID]], Table4[ID], Table4[Meats], "Not Found", 0)</f>
        <v>711</v>
      </c>
      <c r="N2003" s="5">
        <f>_xlfn.XLOOKUP(CustomerCombined[[#This Row],[ID]], Table4[ID], Table4[Seafood], "Not Found", 0)</f>
        <v>107</v>
      </c>
      <c r="O2003" s="5">
        <f>_xlfn.XLOOKUP(CustomerCombined[[#This Row],[ID]], Table4[ID], Table4[Sweets], "Not Found", 0)</f>
        <v>40</v>
      </c>
      <c r="P2003" s="5">
        <f>_xlfn.XLOOKUP(CustomerCombined[[#This Row],[ID]], Table4[ID], Table4[Premium], "Not Found", 0)</f>
        <v>529</v>
      </c>
      <c r="Q2003" s="5">
        <f>_xlfn.XLOOKUP(CustomerCombined[[#This Row],[ID]], Table4[ID], Table4[Regular], "Not Found", 0)</f>
        <v>883</v>
      </c>
      <c r="R2003" s="5">
        <f>_xlfn.XLOOKUP(CustomerCombined[[#This Row],[ID]], Table4[ID], Table4[Deals], "Not Found", 0)</f>
        <v>1</v>
      </c>
      <c r="S2003" s="5">
        <f>_xlfn.XLOOKUP(CustomerCombined[[#This Row],[ID]], Table4[ID], Table4[Website], "Not Found", 0)</f>
        <v>2</v>
      </c>
      <c r="T2003" s="5">
        <f>_xlfn.XLOOKUP(CustomerCombined[[#This Row],[ID]], Table4[ID], Table4[Catalog], "Not Found", 0)</f>
        <v>11</v>
      </c>
      <c r="U2003" s="5">
        <f>_xlfn.XLOOKUP(CustomerCombined[[#This Row],[ID]], Table4[ID], Table4[Store], "Not Found", 0)</f>
        <v>5</v>
      </c>
      <c r="V2003" s="5">
        <f>_xlfn.XLOOKUP(CustomerCombined[[#This Row],[ID]], Table4[ID], Table4[Visits], "Not Found", 0)</f>
        <v>1</v>
      </c>
      <c r="W2003" s="8">
        <f>_xlfn.XLOOKUP(CustomerCombined[[#This Row],[ID]], Table2[ID],Table2[Complaint], "Not Found", 0 )</f>
        <v>0</v>
      </c>
      <c r="X2003" s="8">
        <f>_xlfn.XLOOKUP(CustomerCombined[[#This Row],[ID]], Table2[ID],Table2[Pilot], "Not Found", 0 )</f>
        <v>0</v>
      </c>
      <c r="Y2003" s="8">
        <f>_xlfn.XLOOKUP(CustomerCombined[[#This Row],[ID]], Table2[ID],Table2[MC1], "Not Found", 0 )</f>
        <v>0</v>
      </c>
      <c r="Z2003" s="8">
        <f>_xlfn.XLOOKUP(CustomerCombined[[#This Row],[ID]], Table2[ID],Table2[MC2], "Not Found", 0 )</f>
        <v>0</v>
      </c>
      <c r="AA2003" s="8">
        <f>_xlfn.XLOOKUP(CustomerCombined[[#This Row],[ID]], Table2[ID],Table2[MC3], "Not Found", 0 )</f>
        <v>0</v>
      </c>
      <c r="AB2003" s="8">
        <f>_xlfn.XLOOKUP(CustomerCombined[[#This Row],[ID]], Table2[ID],Table2[MC4], "Not Found", 0 )</f>
        <v>0</v>
      </c>
      <c r="AC2003" s="8">
        <f>_xlfn.XLOOKUP(CustomerCombined[[#This Row],[ID]], Table2[ID],Table2[MC5], "Not Found", 0 )</f>
        <v>0</v>
      </c>
    </row>
    <row r="2004" spans="1:29" x14ac:dyDescent="0.3">
      <c r="A2004" s="6">
        <v>1915</v>
      </c>
      <c r="B2004" s="6">
        <v>175127</v>
      </c>
      <c r="C2004" s="6">
        <v>0</v>
      </c>
      <c r="D2004" s="6">
        <v>0</v>
      </c>
      <c r="E2004" s="6">
        <v>68</v>
      </c>
      <c r="F2004" s="5" t="s">
        <v>7</v>
      </c>
      <c r="G2004" s="5" t="s">
        <v>11</v>
      </c>
      <c r="H2004" s="3" t="s">
        <v>45</v>
      </c>
      <c r="I2004" s="5" t="s">
        <v>437</v>
      </c>
      <c r="J2004" s="5">
        <f>_xlfn.XLOOKUP(CustomerCombined[[#This Row],[ID]], Table4[ID], Table4[Recency], "Not Found", 0)</f>
        <v>92</v>
      </c>
      <c r="K2004" s="5">
        <f>_xlfn.XLOOKUP(CustomerCombined[[#This Row],[ID]], Table4[ID], Table4[Teas], "Not Found", 0)</f>
        <v>473</v>
      </c>
      <c r="L2004" s="5">
        <f>_xlfn.XLOOKUP(CustomerCombined[[#This Row],[ID]], Table4[ID], Table4[Fruits], "Not Found", 0)</f>
        <v>82</v>
      </c>
      <c r="M2004" s="5">
        <f>_xlfn.XLOOKUP(CustomerCombined[[#This Row],[ID]], Table4[ID], Table4[Meats], "Not Found", 0)</f>
        <v>711</v>
      </c>
      <c r="N2004" s="5">
        <f>_xlfn.XLOOKUP(CustomerCombined[[#This Row],[ID]], Table4[ID], Table4[Seafood], "Not Found", 0)</f>
        <v>107</v>
      </c>
      <c r="O2004" s="5">
        <f>_xlfn.XLOOKUP(CustomerCombined[[#This Row],[ID]], Table4[ID], Table4[Sweets], "Not Found", 0)</f>
        <v>40</v>
      </c>
      <c r="P2004" s="5">
        <f>_xlfn.XLOOKUP(CustomerCombined[[#This Row],[ID]], Table4[ID], Table4[Premium], "Not Found", 0)</f>
        <v>529</v>
      </c>
      <c r="Q2004" s="5">
        <f>_xlfn.XLOOKUP(CustomerCombined[[#This Row],[ID]], Table4[ID], Table4[Regular], "Not Found", 0)</f>
        <v>883</v>
      </c>
      <c r="R2004" s="5">
        <f>_xlfn.XLOOKUP(CustomerCombined[[#This Row],[ID]], Table4[ID], Table4[Deals], "Not Found", 0)</f>
        <v>1</v>
      </c>
      <c r="S2004" s="5">
        <f>_xlfn.XLOOKUP(CustomerCombined[[#This Row],[ID]], Table4[ID], Table4[Website], "Not Found", 0)</f>
        <v>2</v>
      </c>
      <c r="T2004" s="5">
        <f>_xlfn.XLOOKUP(CustomerCombined[[#This Row],[ID]], Table4[ID], Table4[Catalog], "Not Found", 0)</f>
        <v>11</v>
      </c>
      <c r="U2004" s="5">
        <f>_xlfn.XLOOKUP(CustomerCombined[[#This Row],[ID]], Table4[ID], Table4[Store], "Not Found", 0)</f>
        <v>5</v>
      </c>
      <c r="V2004" s="5">
        <f>_xlfn.XLOOKUP(CustomerCombined[[#This Row],[ID]], Table4[ID], Table4[Visits], "Not Found", 0)</f>
        <v>1</v>
      </c>
      <c r="W2004" s="8">
        <f>_xlfn.XLOOKUP(CustomerCombined[[#This Row],[ID]], Table2[ID],Table2[Complaint], "Not Found", 0 )</f>
        <v>0</v>
      </c>
      <c r="X2004" s="8">
        <f>_xlfn.XLOOKUP(CustomerCombined[[#This Row],[ID]], Table2[ID],Table2[Pilot], "Not Found", 0 )</f>
        <v>0</v>
      </c>
      <c r="Y2004" s="8">
        <f>_xlfn.XLOOKUP(CustomerCombined[[#This Row],[ID]], Table2[ID],Table2[MC1], "Not Found", 0 )</f>
        <v>0</v>
      </c>
      <c r="Z2004" s="8">
        <f>_xlfn.XLOOKUP(CustomerCombined[[#This Row],[ID]], Table2[ID],Table2[MC2], "Not Found", 0 )</f>
        <v>0</v>
      </c>
      <c r="AA2004" s="8">
        <f>_xlfn.XLOOKUP(CustomerCombined[[#This Row],[ID]], Table2[ID],Table2[MC3], "Not Found", 0 )</f>
        <v>0</v>
      </c>
      <c r="AB2004" s="8">
        <f>_xlfn.XLOOKUP(CustomerCombined[[#This Row],[ID]], Table2[ID],Table2[MC4], "Not Found", 0 )</f>
        <v>0</v>
      </c>
      <c r="AC2004" s="8">
        <f>_xlfn.XLOOKUP(CustomerCombined[[#This Row],[ID]], Table2[ID],Table2[MC5], "Not Found", 0 )</f>
        <v>0</v>
      </c>
    </row>
    <row r="2005" spans="1:29" x14ac:dyDescent="0.3">
      <c r="A2005" s="6">
        <v>2039</v>
      </c>
      <c r="B2005" s="6">
        <v>172228</v>
      </c>
      <c r="C2005" s="6">
        <v>0</v>
      </c>
      <c r="D2005" s="6">
        <v>0</v>
      </c>
      <c r="E2005" s="6">
        <v>68</v>
      </c>
      <c r="F2005" s="5" t="s">
        <v>7</v>
      </c>
      <c r="G2005" s="5" t="s">
        <v>11</v>
      </c>
      <c r="H2005" s="3">
        <v>43560</v>
      </c>
      <c r="I2005" s="5" t="s">
        <v>434</v>
      </c>
      <c r="J2005" s="5">
        <f>_xlfn.XLOOKUP(CustomerCombined[[#This Row],[ID]], Table4[ID], Table4[Recency], "Not Found", 0)</f>
        <v>87</v>
      </c>
      <c r="K2005" s="5">
        <f>_xlfn.XLOOKUP(CustomerCombined[[#This Row],[ID]], Table4[ID], Table4[Teas], "Not Found", 0)</f>
        <v>1505</v>
      </c>
      <c r="L2005" s="5">
        <f>_xlfn.XLOOKUP(CustomerCombined[[#This Row],[ID]], Table4[ID], Table4[Fruits], "Not Found", 0)</f>
        <v>67</v>
      </c>
      <c r="M2005" s="5">
        <f>_xlfn.XLOOKUP(CustomerCombined[[#This Row],[ID]], Table4[ID], Table4[Meats], "Not Found", 0)</f>
        <v>1171</v>
      </c>
      <c r="N2005" s="5">
        <f>_xlfn.XLOOKUP(CustomerCombined[[#This Row],[ID]], Table4[ID], Table4[Seafood], "Not Found", 0)</f>
        <v>72</v>
      </c>
      <c r="O2005" s="5">
        <f>_xlfn.XLOOKUP(CustomerCombined[[#This Row],[ID]], Table4[ID], Table4[Sweets], "Not Found", 0)</f>
        <v>33</v>
      </c>
      <c r="P2005" s="5">
        <f>_xlfn.XLOOKUP(CustomerCombined[[#This Row],[ID]], Table4[ID], Table4[Premium], "Not Found", 0)</f>
        <v>134</v>
      </c>
      <c r="Q2005" s="5">
        <f>_xlfn.XLOOKUP(CustomerCombined[[#This Row],[ID]], Table4[ID], Table4[Regular], "Not Found", 0)</f>
        <v>2714</v>
      </c>
      <c r="R2005" s="5">
        <f>_xlfn.XLOOKUP(CustomerCombined[[#This Row],[ID]], Table4[ID], Table4[Deals], "Not Found", 0)</f>
        <v>1</v>
      </c>
      <c r="S2005" s="5">
        <f>_xlfn.XLOOKUP(CustomerCombined[[#This Row],[ID]], Table4[ID], Table4[Website], "Not Found", 0)</f>
        <v>6</v>
      </c>
      <c r="T2005" s="5">
        <f>_xlfn.XLOOKUP(CustomerCombined[[#This Row],[ID]], Table4[ID], Table4[Catalog], "Not Found", 0)</f>
        <v>7</v>
      </c>
      <c r="U2005" s="5">
        <f>_xlfn.XLOOKUP(CustomerCombined[[#This Row],[ID]], Table4[ID], Table4[Store], "Not Found", 0)</f>
        <v>8</v>
      </c>
      <c r="V2005" s="5">
        <f>_xlfn.XLOOKUP(CustomerCombined[[#This Row],[ID]], Table4[ID], Table4[Visits], "Not Found", 0)</f>
        <v>3</v>
      </c>
      <c r="W2005" s="8">
        <f>_xlfn.XLOOKUP(CustomerCombined[[#This Row],[ID]], Table2[ID],Table2[Complaint], "Not Found", 0 )</f>
        <v>0</v>
      </c>
      <c r="X2005" s="8">
        <f>_xlfn.XLOOKUP(CustomerCombined[[#This Row],[ID]], Table2[ID],Table2[Pilot], "Not Found", 0 )</f>
        <v>0</v>
      </c>
      <c r="Y2005" s="8">
        <f>_xlfn.XLOOKUP(CustomerCombined[[#This Row],[ID]], Table2[ID],Table2[MC1], "Not Found", 0 )</f>
        <v>0</v>
      </c>
      <c r="Z2005" s="8">
        <f>_xlfn.XLOOKUP(CustomerCombined[[#This Row],[ID]], Table2[ID],Table2[MC2], "Not Found", 0 )</f>
        <v>0</v>
      </c>
      <c r="AA2005" s="8">
        <f>_xlfn.XLOOKUP(CustomerCombined[[#This Row],[ID]], Table2[ID],Table2[MC3], "Not Found", 0 )</f>
        <v>0</v>
      </c>
      <c r="AB2005" s="8">
        <f>_xlfn.XLOOKUP(CustomerCombined[[#This Row],[ID]], Table2[ID],Table2[MC4], "Not Found", 0 )</f>
        <v>0</v>
      </c>
      <c r="AC2005" s="8">
        <f>_xlfn.XLOOKUP(CustomerCombined[[#This Row],[ID]], Table2[ID],Table2[MC5], "Not Found", 0 )</f>
        <v>0</v>
      </c>
    </row>
    <row r="2006" spans="1:29" x14ac:dyDescent="0.3">
      <c r="A2006" s="6">
        <v>1718</v>
      </c>
      <c r="B2006" s="6">
        <v>170545</v>
      </c>
      <c r="C2006" s="6">
        <v>0</v>
      </c>
      <c r="D2006" s="6">
        <v>1</v>
      </c>
      <c r="E2006" s="6">
        <v>68</v>
      </c>
      <c r="F2006" s="5" t="s">
        <v>8</v>
      </c>
      <c r="G2006" s="5" t="s">
        <v>12</v>
      </c>
      <c r="H2006" s="3">
        <v>44023</v>
      </c>
      <c r="I2006" s="5" t="s">
        <v>438</v>
      </c>
      <c r="J2006" s="5">
        <f>_xlfn.XLOOKUP(CustomerCombined[[#This Row],[ID]], Table4[ID], Table4[Recency], "Not Found", 0)</f>
        <v>29</v>
      </c>
      <c r="K2006" s="5">
        <f>_xlfn.XLOOKUP(CustomerCombined[[#This Row],[ID]], Table4[ID], Table4[Teas], "Not Found", 0)</f>
        <v>334</v>
      </c>
      <c r="L2006" s="5">
        <f>_xlfn.XLOOKUP(CustomerCombined[[#This Row],[ID]], Table4[ID], Table4[Fruits], "Not Found", 0)</f>
        <v>94</v>
      </c>
      <c r="M2006" s="5">
        <f>_xlfn.XLOOKUP(CustomerCombined[[#This Row],[ID]], Table4[ID], Table4[Meats], "Not Found", 0)</f>
        <v>152</v>
      </c>
      <c r="N2006" s="5">
        <f>_xlfn.XLOOKUP(CustomerCombined[[#This Row],[ID]], Table4[ID], Table4[Seafood], "Not Found", 0)</f>
        <v>133</v>
      </c>
      <c r="O2006" s="5">
        <f>_xlfn.XLOOKUP(CustomerCombined[[#This Row],[ID]], Table4[ID], Table4[Sweets], "Not Found", 0)</f>
        <v>44</v>
      </c>
      <c r="P2006" s="5">
        <f>_xlfn.XLOOKUP(CustomerCombined[[#This Row],[ID]], Table4[ID], Table4[Premium], "Not Found", 0)</f>
        <v>51</v>
      </c>
      <c r="Q2006" s="5">
        <f>_xlfn.XLOOKUP(CustomerCombined[[#This Row],[ID]], Table4[ID], Table4[Regular], "Not Found", 0)</f>
        <v>706</v>
      </c>
      <c r="R2006" s="5">
        <f>_xlfn.XLOOKUP(CustomerCombined[[#This Row],[ID]], Table4[ID], Table4[Deals], "Not Found", 0)</f>
        <v>1</v>
      </c>
      <c r="S2006" s="5">
        <f>_xlfn.XLOOKUP(CustomerCombined[[#This Row],[ID]], Table4[ID], Table4[Website], "Not Found", 0)</f>
        <v>4</v>
      </c>
      <c r="T2006" s="5">
        <f>_xlfn.XLOOKUP(CustomerCombined[[#This Row],[ID]], Table4[ID], Table4[Catalog], "Not Found", 0)</f>
        <v>1</v>
      </c>
      <c r="U2006" s="5">
        <f>_xlfn.XLOOKUP(CustomerCombined[[#This Row],[ID]], Table4[ID], Table4[Store], "Not Found", 0)</f>
        <v>7</v>
      </c>
      <c r="V2006" s="5">
        <f>_xlfn.XLOOKUP(CustomerCombined[[#This Row],[ID]], Table4[ID], Table4[Visits], "Not Found", 0)</f>
        <v>2</v>
      </c>
      <c r="W2006" s="8">
        <f>_xlfn.XLOOKUP(CustomerCombined[[#This Row],[ID]], Table2[ID],Table2[Complaint], "Not Found", 0 )</f>
        <v>0</v>
      </c>
      <c r="X2006" s="8">
        <f>_xlfn.XLOOKUP(CustomerCombined[[#This Row],[ID]], Table2[ID],Table2[Pilot], "Not Found", 0 )</f>
        <v>0</v>
      </c>
      <c r="Y2006" s="8">
        <f>_xlfn.XLOOKUP(CustomerCombined[[#This Row],[ID]], Table2[ID],Table2[MC1], "Not Found", 0 )</f>
        <v>0</v>
      </c>
      <c r="Z2006" s="8">
        <f>_xlfn.XLOOKUP(CustomerCombined[[#This Row],[ID]], Table2[ID],Table2[MC2], "Not Found", 0 )</f>
        <v>0</v>
      </c>
      <c r="AA2006" s="8">
        <f>_xlfn.XLOOKUP(CustomerCombined[[#This Row],[ID]], Table2[ID],Table2[MC3], "Not Found", 0 )</f>
        <v>0</v>
      </c>
      <c r="AB2006" s="8">
        <f>_xlfn.XLOOKUP(CustomerCombined[[#This Row],[ID]], Table2[ID],Table2[MC4], "Not Found", 0 )</f>
        <v>0</v>
      </c>
      <c r="AC2006" s="8">
        <f>_xlfn.XLOOKUP(CustomerCombined[[#This Row],[ID]], Table2[ID],Table2[MC5], "Not Found", 0 )</f>
        <v>0</v>
      </c>
    </row>
    <row r="2007" spans="1:29" x14ac:dyDescent="0.3">
      <c r="A2007" s="6">
        <v>3086</v>
      </c>
      <c r="B2007" s="6">
        <v>169805</v>
      </c>
      <c r="C2007" s="6">
        <v>0</v>
      </c>
      <c r="D2007" s="6">
        <v>1</v>
      </c>
      <c r="E2007" s="6">
        <v>68</v>
      </c>
      <c r="F2007" s="5" t="s">
        <v>8</v>
      </c>
      <c r="G2007" s="5" t="s">
        <v>13</v>
      </c>
      <c r="H2007" s="3" t="s">
        <v>111</v>
      </c>
      <c r="I2007" s="5" t="s">
        <v>438</v>
      </c>
      <c r="J2007" s="5">
        <f>_xlfn.XLOOKUP(CustomerCombined[[#This Row],[ID]], Table4[ID], Table4[Recency], "Not Found", 0)</f>
        <v>50</v>
      </c>
      <c r="K2007" s="5">
        <f>_xlfn.XLOOKUP(CustomerCombined[[#This Row],[ID]], Table4[ID], Table4[Teas], "Not Found", 0)</f>
        <v>1824</v>
      </c>
      <c r="L2007" s="5">
        <f>_xlfn.XLOOKUP(CustomerCombined[[#This Row],[ID]], Table4[ID], Table4[Fruits], "Not Found", 0)</f>
        <v>173</v>
      </c>
      <c r="M2007" s="5">
        <f>_xlfn.XLOOKUP(CustomerCombined[[#This Row],[ID]], Table4[ID], Table4[Meats], "Not Found", 0)</f>
        <v>423</v>
      </c>
      <c r="N2007" s="5">
        <f>_xlfn.XLOOKUP(CustomerCombined[[#This Row],[ID]], Table4[ID], Table4[Seafood], "Not Found", 0)</f>
        <v>32</v>
      </c>
      <c r="O2007" s="5">
        <f>_xlfn.XLOOKUP(CustomerCombined[[#This Row],[ID]], Table4[ID], Table4[Sweets], "Not Found", 0)</f>
        <v>24</v>
      </c>
      <c r="P2007" s="5">
        <f>_xlfn.XLOOKUP(CustomerCombined[[#This Row],[ID]], Table4[ID], Table4[Premium], "Not Found", 0)</f>
        <v>49</v>
      </c>
      <c r="Q2007" s="5">
        <f>_xlfn.XLOOKUP(CustomerCombined[[#This Row],[ID]], Table4[ID], Table4[Regular], "Not Found", 0)</f>
        <v>2428</v>
      </c>
      <c r="R2007" s="5">
        <f>_xlfn.XLOOKUP(CustomerCombined[[#This Row],[ID]], Table4[ID], Table4[Deals], "Not Found", 0)</f>
        <v>2</v>
      </c>
      <c r="S2007" s="5">
        <f>_xlfn.XLOOKUP(CustomerCombined[[#This Row],[ID]], Table4[ID], Table4[Website], "Not Found", 0)</f>
        <v>6</v>
      </c>
      <c r="T2007" s="5">
        <f>_xlfn.XLOOKUP(CustomerCombined[[#This Row],[ID]], Table4[ID], Table4[Catalog], "Not Found", 0)</f>
        <v>8</v>
      </c>
      <c r="U2007" s="5">
        <f>_xlfn.XLOOKUP(CustomerCombined[[#This Row],[ID]], Table4[ID], Table4[Store], "Not Found", 0)</f>
        <v>11</v>
      </c>
      <c r="V2007" s="5">
        <f>_xlfn.XLOOKUP(CustomerCombined[[#This Row],[ID]], Table4[ID], Table4[Visits], "Not Found", 0)</f>
        <v>2</v>
      </c>
      <c r="W2007" s="8">
        <f>_xlfn.XLOOKUP(CustomerCombined[[#This Row],[ID]], Table2[ID],Table2[Complaint], "Not Found", 0 )</f>
        <v>0</v>
      </c>
      <c r="X2007" s="8">
        <f>_xlfn.XLOOKUP(CustomerCombined[[#This Row],[ID]], Table2[ID],Table2[Pilot], "Not Found", 0 )</f>
        <v>0</v>
      </c>
      <c r="Y2007" s="8">
        <f>_xlfn.XLOOKUP(CustomerCombined[[#This Row],[ID]], Table2[ID],Table2[MC1], "Not Found", 0 )</f>
        <v>0</v>
      </c>
      <c r="Z2007" s="8">
        <f>_xlfn.XLOOKUP(CustomerCombined[[#This Row],[ID]], Table2[ID],Table2[MC2], "Not Found", 0 )</f>
        <v>0</v>
      </c>
      <c r="AA2007" s="8">
        <f>_xlfn.XLOOKUP(CustomerCombined[[#This Row],[ID]], Table2[ID],Table2[MC3], "Not Found", 0 )</f>
        <v>0</v>
      </c>
      <c r="AB2007" s="8">
        <f>_xlfn.XLOOKUP(CustomerCombined[[#This Row],[ID]], Table2[ID],Table2[MC4], "Not Found", 0 )</f>
        <v>0</v>
      </c>
      <c r="AC2007" s="8">
        <f>_xlfn.XLOOKUP(CustomerCombined[[#This Row],[ID]], Table2[ID],Table2[MC5], "Not Found", 0 )</f>
        <v>0</v>
      </c>
    </row>
    <row r="2008" spans="1:29" x14ac:dyDescent="0.3">
      <c r="A2008" s="6">
        <v>1188</v>
      </c>
      <c r="B2008" s="6">
        <v>169142</v>
      </c>
      <c r="C2008" s="6">
        <v>0</v>
      </c>
      <c r="D2008" s="6">
        <v>1</v>
      </c>
      <c r="E2008" s="6">
        <v>68</v>
      </c>
      <c r="F2008" s="5" t="s">
        <v>5</v>
      </c>
      <c r="G2008" s="5" t="s">
        <v>11</v>
      </c>
      <c r="H2008" s="3">
        <v>43902</v>
      </c>
      <c r="I2008" s="5" t="s">
        <v>436</v>
      </c>
      <c r="J2008" s="5">
        <f>_xlfn.XLOOKUP(CustomerCombined[[#This Row],[ID]], Table4[ID], Table4[Recency], "Not Found", 0)</f>
        <v>50</v>
      </c>
      <c r="K2008" s="5">
        <f>_xlfn.XLOOKUP(CustomerCombined[[#This Row],[ID]], Table4[ID], Table4[Teas], "Not Found", 0)</f>
        <v>1096</v>
      </c>
      <c r="L2008" s="5">
        <f>_xlfn.XLOOKUP(CustomerCombined[[#This Row],[ID]], Table4[ID], Table4[Fruits], "Not Found", 0)</f>
        <v>10</v>
      </c>
      <c r="M2008" s="5">
        <f>_xlfn.XLOOKUP(CustomerCombined[[#This Row],[ID]], Table4[ID], Table4[Meats], "Not Found", 0)</f>
        <v>83</v>
      </c>
      <c r="N2008" s="5">
        <f>_xlfn.XLOOKUP(CustomerCombined[[#This Row],[ID]], Table4[ID], Table4[Seafood], "Not Found", 0)</f>
        <v>15</v>
      </c>
      <c r="O2008" s="5">
        <f>_xlfn.XLOOKUP(CustomerCombined[[#This Row],[ID]], Table4[ID], Table4[Sweets], "Not Found", 0)</f>
        <v>10</v>
      </c>
      <c r="P2008" s="5">
        <f>_xlfn.XLOOKUP(CustomerCombined[[#This Row],[ID]], Table4[ID], Table4[Premium], "Not Found", 0)</f>
        <v>95</v>
      </c>
      <c r="Q2008" s="5">
        <f>_xlfn.XLOOKUP(CustomerCombined[[#This Row],[ID]], Table4[ID], Table4[Regular], "Not Found", 0)</f>
        <v>1118</v>
      </c>
      <c r="R2008" s="5">
        <f>_xlfn.XLOOKUP(CustomerCombined[[#This Row],[ID]], Table4[ID], Table4[Deals], "Not Found", 0)</f>
        <v>3</v>
      </c>
      <c r="S2008" s="5">
        <f>_xlfn.XLOOKUP(CustomerCombined[[#This Row],[ID]], Table4[ID], Table4[Website], "Not Found", 0)</f>
        <v>8</v>
      </c>
      <c r="T2008" s="5">
        <f>_xlfn.XLOOKUP(CustomerCombined[[#This Row],[ID]], Table4[ID], Table4[Catalog], "Not Found", 0)</f>
        <v>1</v>
      </c>
      <c r="U2008" s="5">
        <f>_xlfn.XLOOKUP(CustomerCombined[[#This Row],[ID]], Table4[ID], Table4[Store], "Not Found", 0)</f>
        <v>7</v>
      </c>
      <c r="V2008" s="5">
        <f>_xlfn.XLOOKUP(CustomerCombined[[#This Row],[ID]], Table4[ID], Table4[Visits], "Not Found", 0)</f>
        <v>5</v>
      </c>
      <c r="W2008" s="8">
        <f>_xlfn.XLOOKUP(CustomerCombined[[#This Row],[ID]], Table2[ID],Table2[Complaint], "Not Found", 0 )</f>
        <v>0</v>
      </c>
      <c r="X2008" s="8">
        <f>_xlfn.XLOOKUP(CustomerCombined[[#This Row],[ID]], Table2[ID],Table2[Pilot], "Not Found", 0 )</f>
        <v>0</v>
      </c>
      <c r="Y2008" s="8">
        <f>_xlfn.XLOOKUP(CustomerCombined[[#This Row],[ID]], Table2[ID],Table2[MC1], "Not Found", 0 )</f>
        <v>0</v>
      </c>
      <c r="Z2008" s="8">
        <f>_xlfn.XLOOKUP(CustomerCombined[[#This Row],[ID]], Table2[ID],Table2[MC2], "Not Found", 0 )</f>
        <v>0</v>
      </c>
      <c r="AA2008" s="8">
        <f>_xlfn.XLOOKUP(CustomerCombined[[#This Row],[ID]], Table2[ID],Table2[MC3], "Not Found", 0 )</f>
        <v>0</v>
      </c>
      <c r="AB2008" s="8">
        <f>_xlfn.XLOOKUP(CustomerCombined[[#This Row],[ID]], Table2[ID],Table2[MC4], "Not Found", 0 )</f>
        <v>1</v>
      </c>
      <c r="AC2008" s="8">
        <f>_xlfn.XLOOKUP(CustomerCombined[[#This Row],[ID]], Table2[ID],Table2[MC5], "Not Found", 0 )</f>
        <v>0</v>
      </c>
    </row>
    <row r="2009" spans="1:29" x14ac:dyDescent="0.3">
      <c r="A2009" s="6">
        <v>2232</v>
      </c>
      <c r="B2009" s="6">
        <v>167433</v>
      </c>
      <c r="C2009" s="6">
        <v>0</v>
      </c>
      <c r="D2009" s="6">
        <v>2</v>
      </c>
      <c r="E2009" s="6">
        <v>68</v>
      </c>
      <c r="F2009" s="5" t="s">
        <v>6</v>
      </c>
      <c r="G2009" s="5" t="s">
        <v>11</v>
      </c>
      <c r="H2009" s="3" t="s">
        <v>220</v>
      </c>
      <c r="I2009" s="5" t="s">
        <v>436</v>
      </c>
      <c r="J2009" s="5">
        <f>_xlfn.XLOOKUP(CustomerCombined[[#This Row],[ID]], Table4[ID], Table4[Recency], "Not Found", 0)</f>
        <v>51</v>
      </c>
      <c r="K2009" s="5">
        <f>_xlfn.XLOOKUP(CustomerCombined[[#This Row],[ID]], Table4[ID], Table4[Teas], "Not Found", 0)</f>
        <v>1527</v>
      </c>
      <c r="L2009" s="5">
        <f>_xlfn.XLOOKUP(CustomerCombined[[#This Row],[ID]], Table4[ID], Table4[Fruits], "Not Found", 0)</f>
        <v>70</v>
      </c>
      <c r="M2009" s="5">
        <f>_xlfn.XLOOKUP(CustomerCombined[[#This Row],[ID]], Table4[ID], Table4[Meats], "Not Found", 0)</f>
        <v>643</v>
      </c>
      <c r="N2009" s="5">
        <f>_xlfn.XLOOKUP(CustomerCombined[[#This Row],[ID]], Table4[ID], Table4[Seafood], "Not Found", 0)</f>
        <v>30</v>
      </c>
      <c r="O2009" s="5">
        <f>_xlfn.XLOOKUP(CustomerCombined[[#This Row],[ID]], Table4[ID], Table4[Sweets], "Not Found", 0)</f>
        <v>119</v>
      </c>
      <c r="P2009" s="5">
        <f>_xlfn.XLOOKUP(CustomerCombined[[#This Row],[ID]], Table4[ID], Table4[Premium], "Not Found", 0)</f>
        <v>74</v>
      </c>
      <c r="Q2009" s="5">
        <f>_xlfn.XLOOKUP(CustomerCombined[[#This Row],[ID]], Table4[ID], Table4[Regular], "Not Found", 0)</f>
        <v>2314</v>
      </c>
      <c r="R2009" s="5">
        <f>_xlfn.XLOOKUP(CustomerCombined[[#This Row],[ID]], Table4[ID], Table4[Deals], "Not Found", 0)</f>
        <v>4</v>
      </c>
      <c r="S2009" s="5">
        <f>_xlfn.XLOOKUP(CustomerCombined[[#This Row],[ID]], Table4[ID], Table4[Website], "Not Found", 0)</f>
        <v>6</v>
      </c>
      <c r="T2009" s="5">
        <f>_xlfn.XLOOKUP(CustomerCombined[[#This Row],[ID]], Table4[ID], Table4[Catalog], "Not Found", 0)</f>
        <v>5</v>
      </c>
      <c r="U2009" s="5">
        <f>_xlfn.XLOOKUP(CustomerCombined[[#This Row],[ID]], Table4[ID], Table4[Store], "Not Found", 0)</f>
        <v>13</v>
      </c>
      <c r="V2009" s="5">
        <f>_xlfn.XLOOKUP(CustomerCombined[[#This Row],[ID]], Table4[ID], Table4[Visits], "Not Found", 0)</f>
        <v>4</v>
      </c>
      <c r="W2009" s="8">
        <f>_xlfn.XLOOKUP(CustomerCombined[[#This Row],[ID]], Table2[ID],Table2[Complaint], "Not Found", 0 )</f>
        <v>0</v>
      </c>
      <c r="X2009" s="8">
        <f>_xlfn.XLOOKUP(CustomerCombined[[#This Row],[ID]], Table2[ID],Table2[Pilot], "Not Found", 0 )</f>
        <v>0</v>
      </c>
      <c r="Y2009" s="8">
        <f>_xlfn.XLOOKUP(CustomerCombined[[#This Row],[ID]], Table2[ID],Table2[MC1], "Not Found", 0 )</f>
        <v>0</v>
      </c>
      <c r="Z2009" s="8">
        <f>_xlfn.XLOOKUP(CustomerCombined[[#This Row],[ID]], Table2[ID],Table2[MC2], "Not Found", 0 )</f>
        <v>0</v>
      </c>
      <c r="AA2009" s="8">
        <f>_xlfn.XLOOKUP(CustomerCombined[[#This Row],[ID]], Table2[ID],Table2[MC3], "Not Found", 0 )</f>
        <v>0</v>
      </c>
      <c r="AB2009" s="8">
        <f>_xlfn.XLOOKUP(CustomerCombined[[#This Row],[ID]], Table2[ID],Table2[MC4], "Not Found", 0 )</f>
        <v>1</v>
      </c>
      <c r="AC2009" s="8">
        <f>_xlfn.XLOOKUP(CustomerCombined[[#This Row],[ID]], Table2[ID],Table2[MC5], "Not Found", 0 )</f>
        <v>0</v>
      </c>
    </row>
    <row r="2010" spans="1:29" x14ac:dyDescent="0.3">
      <c r="A2010" s="6">
        <v>1921</v>
      </c>
      <c r="B2010" s="6">
        <v>164831</v>
      </c>
      <c r="C2010" s="6">
        <v>1</v>
      </c>
      <c r="D2010" s="6">
        <v>1</v>
      </c>
      <c r="E2010" s="6">
        <v>68</v>
      </c>
      <c r="F2010" s="5" t="s">
        <v>7</v>
      </c>
      <c r="G2010" s="5" t="s">
        <v>442</v>
      </c>
      <c r="H2010" s="3" t="s">
        <v>242</v>
      </c>
      <c r="I2010" s="5" t="s">
        <v>437</v>
      </c>
      <c r="J2010" s="5">
        <f>_xlfn.XLOOKUP(CustomerCombined[[#This Row],[ID]], Table4[ID], Table4[Recency], "Not Found", 0)</f>
        <v>51</v>
      </c>
      <c r="K2010" s="5">
        <f>_xlfn.XLOOKUP(CustomerCombined[[#This Row],[ID]], Table4[ID], Table4[Teas], "Not Found", 0)</f>
        <v>1220</v>
      </c>
      <c r="L2010" s="5">
        <f>_xlfn.XLOOKUP(CustomerCombined[[#This Row],[ID]], Table4[ID], Table4[Fruits], "Not Found", 0)</f>
        <v>219</v>
      </c>
      <c r="M2010" s="5">
        <f>_xlfn.XLOOKUP(CustomerCombined[[#This Row],[ID]], Table4[ID], Table4[Meats], "Not Found", 0)</f>
        <v>633</v>
      </c>
      <c r="N2010" s="5">
        <f>_xlfn.XLOOKUP(CustomerCombined[[#This Row],[ID]], Table4[ID], Table4[Seafood], "Not Found", 0)</f>
        <v>191</v>
      </c>
      <c r="O2010" s="5">
        <f>_xlfn.XLOOKUP(CustomerCombined[[#This Row],[ID]], Table4[ID], Table4[Sweets], "Not Found", 0)</f>
        <v>219</v>
      </c>
      <c r="P2010" s="5">
        <f>_xlfn.XLOOKUP(CustomerCombined[[#This Row],[ID]], Table4[ID], Table4[Premium], "Not Found", 0)</f>
        <v>366</v>
      </c>
      <c r="Q2010" s="5">
        <f>_xlfn.XLOOKUP(CustomerCombined[[#This Row],[ID]], Table4[ID], Table4[Regular], "Not Found", 0)</f>
        <v>2115</v>
      </c>
      <c r="R2010" s="5">
        <f>_xlfn.XLOOKUP(CustomerCombined[[#This Row],[ID]], Table4[ID], Table4[Deals], "Not Found", 0)</f>
        <v>8</v>
      </c>
      <c r="S2010" s="5">
        <f>_xlfn.XLOOKUP(CustomerCombined[[#This Row],[ID]], Table4[ID], Table4[Website], "Not Found", 0)</f>
        <v>6</v>
      </c>
      <c r="T2010" s="5">
        <f>_xlfn.XLOOKUP(CustomerCombined[[#This Row],[ID]], Table4[ID], Table4[Catalog], "Not Found", 0)</f>
        <v>3</v>
      </c>
      <c r="U2010" s="5">
        <f>_xlfn.XLOOKUP(CustomerCombined[[#This Row],[ID]], Table4[ID], Table4[Store], "Not Found", 0)</f>
        <v>5</v>
      </c>
      <c r="V2010" s="5">
        <f>_xlfn.XLOOKUP(CustomerCombined[[#This Row],[ID]], Table4[ID], Table4[Visits], "Not Found", 0)</f>
        <v>6</v>
      </c>
      <c r="W2010" s="8">
        <f>_xlfn.XLOOKUP(CustomerCombined[[#This Row],[ID]], Table2[ID],Table2[Complaint], "Not Found", 0 )</f>
        <v>0</v>
      </c>
      <c r="X2010" s="8">
        <f>_xlfn.XLOOKUP(CustomerCombined[[#This Row],[ID]], Table2[ID],Table2[Pilot], "Not Found", 0 )</f>
        <v>0</v>
      </c>
      <c r="Y2010" s="8">
        <f>_xlfn.XLOOKUP(CustomerCombined[[#This Row],[ID]], Table2[ID],Table2[MC1], "Not Found", 0 )</f>
        <v>0</v>
      </c>
      <c r="Z2010" s="8">
        <f>_xlfn.XLOOKUP(CustomerCombined[[#This Row],[ID]], Table2[ID],Table2[MC2], "Not Found", 0 )</f>
        <v>0</v>
      </c>
      <c r="AA2010" s="8">
        <f>_xlfn.XLOOKUP(CustomerCombined[[#This Row],[ID]], Table2[ID],Table2[MC3], "Not Found", 0 )</f>
        <v>0</v>
      </c>
      <c r="AB2010" s="8">
        <f>_xlfn.XLOOKUP(CustomerCombined[[#This Row],[ID]], Table2[ID],Table2[MC4], "Not Found", 0 )</f>
        <v>0</v>
      </c>
      <c r="AC2010" s="8">
        <f>_xlfn.XLOOKUP(CustomerCombined[[#This Row],[ID]], Table2[ID],Table2[MC5], "Not Found", 0 )</f>
        <v>0</v>
      </c>
    </row>
    <row r="2011" spans="1:29" x14ac:dyDescent="0.3">
      <c r="A2011" s="6">
        <v>2110</v>
      </c>
      <c r="B2011" s="6">
        <v>163998</v>
      </c>
      <c r="C2011" s="6">
        <v>0</v>
      </c>
      <c r="D2011" s="6">
        <v>0</v>
      </c>
      <c r="E2011" s="6">
        <v>68</v>
      </c>
      <c r="F2011" s="5" t="s">
        <v>5</v>
      </c>
      <c r="G2011" s="5" t="s">
        <v>442</v>
      </c>
      <c r="H2011" s="3" t="s">
        <v>128</v>
      </c>
      <c r="I2011" s="5" t="s">
        <v>439</v>
      </c>
      <c r="J2011" s="5">
        <f>_xlfn.XLOOKUP(CustomerCombined[[#This Row],[ID]], Table4[ID], Table4[Recency], "Not Found", 0)</f>
        <v>42</v>
      </c>
      <c r="K2011" s="5">
        <f>_xlfn.XLOOKUP(CustomerCombined[[#This Row],[ID]], Table4[ID], Table4[Teas], "Not Found", 0)</f>
        <v>451</v>
      </c>
      <c r="L2011" s="5">
        <f>_xlfn.XLOOKUP(CustomerCombined[[#This Row],[ID]], Table4[ID], Table4[Fruits], "Not Found", 0)</f>
        <v>74</v>
      </c>
      <c r="M2011" s="5">
        <f>_xlfn.XLOOKUP(CustomerCombined[[#This Row],[ID]], Table4[ID], Table4[Meats], "Not Found", 0)</f>
        <v>2096</v>
      </c>
      <c r="N2011" s="5">
        <f>_xlfn.XLOOKUP(CustomerCombined[[#This Row],[ID]], Table4[ID], Table4[Seafood], "Not Found", 0)</f>
        <v>0</v>
      </c>
      <c r="O2011" s="5">
        <f>_xlfn.XLOOKUP(CustomerCombined[[#This Row],[ID]], Table4[ID], Table4[Sweets], "Not Found", 0)</f>
        <v>85</v>
      </c>
      <c r="P2011" s="5">
        <f>_xlfn.XLOOKUP(CustomerCombined[[#This Row],[ID]], Table4[ID], Table4[Premium], "Not Found", 0)</f>
        <v>287</v>
      </c>
      <c r="Q2011" s="5">
        <f>_xlfn.XLOOKUP(CustomerCombined[[#This Row],[ID]], Table4[ID], Table4[Regular], "Not Found", 0)</f>
        <v>2419</v>
      </c>
      <c r="R2011" s="5">
        <f>_xlfn.XLOOKUP(CustomerCombined[[#This Row],[ID]], Table4[ID], Table4[Deals], "Not Found", 0)</f>
        <v>1</v>
      </c>
      <c r="S2011" s="5">
        <f>_xlfn.XLOOKUP(CustomerCombined[[#This Row],[ID]], Table4[ID], Table4[Website], "Not Found", 0)</f>
        <v>7</v>
      </c>
      <c r="T2011" s="5">
        <f>_xlfn.XLOOKUP(CustomerCombined[[#This Row],[ID]], Table4[ID], Table4[Catalog], "Not Found", 0)</f>
        <v>6</v>
      </c>
      <c r="U2011" s="5">
        <f>_xlfn.XLOOKUP(CustomerCombined[[#This Row],[ID]], Table4[ID], Table4[Store], "Not Found", 0)</f>
        <v>11</v>
      </c>
      <c r="V2011" s="5">
        <f>_xlfn.XLOOKUP(CustomerCombined[[#This Row],[ID]], Table4[ID], Table4[Visits], "Not Found", 0)</f>
        <v>4</v>
      </c>
      <c r="W2011" s="8">
        <f>_xlfn.XLOOKUP(CustomerCombined[[#This Row],[ID]], Table2[ID],Table2[Complaint], "Not Found", 0 )</f>
        <v>0</v>
      </c>
      <c r="X2011" s="8">
        <f>_xlfn.XLOOKUP(CustomerCombined[[#This Row],[ID]], Table2[ID],Table2[Pilot], "Not Found", 0 )</f>
        <v>1</v>
      </c>
      <c r="Y2011" s="8">
        <f>_xlfn.XLOOKUP(CustomerCombined[[#This Row],[ID]], Table2[ID],Table2[MC1], "Not Found", 0 )</f>
        <v>0</v>
      </c>
      <c r="Z2011" s="8">
        <f>_xlfn.XLOOKUP(CustomerCombined[[#This Row],[ID]], Table2[ID],Table2[MC2], "Not Found", 0 )</f>
        <v>0</v>
      </c>
      <c r="AA2011" s="8">
        <f>_xlfn.XLOOKUP(CustomerCombined[[#This Row],[ID]], Table2[ID],Table2[MC3], "Not Found", 0 )</f>
        <v>0</v>
      </c>
      <c r="AB2011" s="8">
        <f>_xlfn.XLOOKUP(CustomerCombined[[#This Row],[ID]], Table2[ID],Table2[MC4], "Not Found", 0 )</f>
        <v>0</v>
      </c>
      <c r="AC2011" s="8">
        <f>_xlfn.XLOOKUP(CustomerCombined[[#This Row],[ID]], Table2[ID],Table2[MC5], "Not Found", 0 )</f>
        <v>0</v>
      </c>
    </row>
    <row r="2012" spans="1:29" x14ac:dyDescent="0.3">
      <c r="A2012" s="6">
        <v>1121</v>
      </c>
      <c r="B2012" s="6">
        <v>162998</v>
      </c>
      <c r="C2012" s="6">
        <v>0</v>
      </c>
      <c r="D2012" s="6">
        <v>1</v>
      </c>
      <c r="E2012" s="6">
        <v>68</v>
      </c>
      <c r="F2012" s="5" t="s">
        <v>6</v>
      </c>
      <c r="G2012" s="5" t="s">
        <v>11</v>
      </c>
      <c r="H2012" s="3">
        <v>43985</v>
      </c>
      <c r="I2012" s="5" t="s">
        <v>434</v>
      </c>
      <c r="J2012" s="5">
        <f>_xlfn.XLOOKUP(CustomerCombined[[#This Row],[ID]], Table4[ID], Table4[Recency], "Not Found", 0)</f>
        <v>10</v>
      </c>
      <c r="K2012" s="5">
        <f>_xlfn.XLOOKUP(CustomerCombined[[#This Row],[ID]], Table4[ID], Table4[Teas], "Not Found", 0)</f>
        <v>310</v>
      </c>
      <c r="L2012" s="5">
        <f>_xlfn.XLOOKUP(CustomerCombined[[#This Row],[ID]], Table4[ID], Table4[Fruits], "Not Found", 0)</f>
        <v>150</v>
      </c>
      <c r="M2012" s="5">
        <f>_xlfn.XLOOKUP(CustomerCombined[[#This Row],[ID]], Table4[ID], Table4[Meats], "Not Found", 0)</f>
        <v>189</v>
      </c>
      <c r="N2012" s="5">
        <f>_xlfn.XLOOKUP(CustomerCombined[[#This Row],[ID]], Table4[ID], Table4[Seafood], "Not Found", 0)</f>
        <v>168</v>
      </c>
      <c r="O2012" s="5">
        <f>_xlfn.XLOOKUP(CustomerCombined[[#This Row],[ID]], Table4[ID], Table4[Sweets], "Not Found", 0)</f>
        <v>230</v>
      </c>
      <c r="P2012" s="5">
        <f>_xlfn.XLOOKUP(CustomerCombined[[#This Row],[ID]], Table4[ID], Table4[Premium], "Not Found", 0)</f>
        <v>150</v>
      </c>
      <c r="Q2012" s="5">
        <f>_xlfn.XLOOKUP(CustomerCombined[[#This Row],[ID]], Table4[ID], Table4[Regular], "Not Found", 0)</f>
        <v>898</v>
      </c>
      <c r="R2012" s="5">
        <f>_xlfn.XLOOKUP(CustomerCombined[[#This Row],[ID]], Table4[ID], Table4[Deals], "Not Found", 0)</f>
        <v>5</v>
      </c>
      <c r="S2012" s="5">
        <f>_xlfn.XLOOKUP(CustomerCombined[[#This Row],[ID]], Table4[ID], Table4[Website], "Not Found", 0)</f>
        <v>5</v>
      </c>
      <c r="T2012" s="5">
        <f>_xlfn.XLOOKUP(CustomerCombined[[#This Row],[ID]], Table4[ID], Table4[Catalog], "Not Found", 0)</f>
        <v>4</v>
      </c>
      <c r="U2012" s="5">
        <f>_xlfn.XLOOKUP(CustomerCombined[[#This Row],[ID]], Table4[ID], Table4[Store], "Not Found", 0)</f>
        <v>5</v>
      </c>
      <c r="V2012" s="5">
        <f>_xlfn.XLOOKUP(CustomerCombined[[#This Row],[ID]], Table4[ID], Table4[Visits], "Not Found", 0)</f>
        <v>5</v>
      </c>
      <c r="W2012" s="8">
        <f>_xlfn.XLOOKUP(CustomerCombined[[#This Row],[ID]], Table2[ID],Table2[Complaint], "Not Found", 0 )</f>
        <v>0</v>
      </c>
      <c r="X2012" s="8">
        <f>_xlfn.XLOOKUP(CustomerCombined[[#This Row],[ID]], Table2[ID],Table2[Pilot], "Not Found", 0 )</f>
        <v>0</v>
      </c>
      <c r="Y2012" s="8">
        <f>_xlfn.XLOOKUP(CustomerCombined[[#This Row],[ID]], Table2[ID],Table2[MC1], "Not Found", 0 )</f>
        <v>0</v>
      </c>
      <c r="Z2012" s="8">
        <f>_xlfn.XLOOKUP(CustomerCombined[[#This Row],[ID]], Table2[ID],Table2[MC2], "Not Found", 0 )</f>
        <v>0</v>
      </c>
      <c r="AA2012" s="8">
        <f>_xlfn.XLOOKUP(CustomerCombined[[#This Row],[ID]], Table2[ID],Table2[MC3], "Not Found", 0 )</f>
        <v>0</v>
      </c>
      <c r="AB2012" s="8">
        <f>_xlfn.XLOOKUP(CustomerCombined[[#This Row],[ID]], Table2[ID],Table2[MC4], "Not Found", 0 )</f>
        <v>0</v>
      </c>
      <c r="AC2012" s="8">
        <f>_xlfn.XLOOKUP(CustomerCombined[[#This Row],[ID]], Table2[ID],Table2[MC5], "Not Found", 0 )</f>
        <v>0</v>
      </c>
    </row>
    <row r="2013" spans="1:29" x14ac:dyDescent="0.3">
      <c r="A2013" s="6">
        <v>2670</v>
      </c>
      <c r="B2013" s="6">
        <v>162335</v>
      </c>
      <c r="C2013" s="6">
        <v>0</v>
      </c>
      <c r="D2013" s="6">
        <v>1</v>
      </c>
      <c r="E2013" s="6">
        <v>68</v>
      </c>
      <c r="F2013" s="5" t="s">
        <v>5</v>
      </c>
      <c r="G2013" s="5" t="s">
        <v>11</v>
      </c>
      <c r="H2013" s="3" t="s">
        <v>248</v>
      </c>
      <c r="I2013" s="5" t="s">
        <v>436</v>
      </c>
      <c r="J2013" s="5">
        <f>_xlfn.XLOOKUP(CustomerCombined[[#This Row],[ID]], Table4[ID], Table4[Recency], "Not Found", 0)</f>
        <v>87</v>
      </c>
      <c r="K2013" s="5">
        <f>_xlfn.XLOOKUP(CustomerCombined[[#This Row],[ID]], Table4[ID], Table4[Teas], "Not Found", 0)</f>
        <v>633</v>
      </c>
      <c r="L2013" s="5">
        <f>_xlfn.XLOOKUP(CustomerCombined[[#This Row],[ID]], Table4[ID], Table4[Fruits], "Not Found", 0)</f>
        <v>341</v>
      </c>
      <c r="M2013" s="5">
        <f>_xlfn.XLOOKUP(CustomerCombined[[#This Row],[ID]], Table4[ID], Table4[Meats], "Not Found", 0)</f>
        <v>565</v>
      </c>
      <c r="N2013" s="5">
        <f>_xlfn.XLOOKUP(CustomerCombined[[#This Row],[ID]], Table4[ID], Table4[Seafood], "Not Found", 0)</f>
        <v>221</v>
      </c>
      <c r="O2013" s="5">
        <f>_xlfn.XLOOKUP(CustomerCombined[[#This Row],[ID]], Table4[ID], Table4[Sweets], "Not Found", 0)</f>
        <v>16</v>
      </c>
      <c r="P2013" s="5">
        <f>_xlfn.XLOOKUP(CustomerCombined[[#This Row],[ID]], Table4[ID], Table4[Premium], "Not Found", 0)</f>
        <v>68</v>
      </c>
      <c r="Q2013" s="5">
        <f>_xlfn.XLOOKUP(CustomerCombined[[#This Row],[ID]], Table4[ID], Table4[Regular], "Not Found", 0)</f>
        <v>1708</v>
      </c>
      <c r="R2013" s="5">
        <f>_xlfn.XLOOKUP(CustomerCombined[[#This Row],[ID]], Table4[ID], Table4[Deals], "Not Found", 0)</f>
        <v>2</v>
      </c>
      <c r="S2013" s="5">
        <f>_xlfn.XLOOKUP(CustomerCombined[[#This Row],[ID]], Table4[ID], Table4[Website], "Not Found", 0)</f>
        <v>3</v>
      </c>
      <c r="T2013" s="5">
        <f>_xlfn.XLOOKUP(CustomerCombined[[#This Row],[ID]], Table4[ID], Table4[Catalog], "Not Found", 0)</f>
        <v>3</v>
      </c>
      <c r="U2013" s="5">
        <f>_xlfn.XLOOKUP(CustomerCombined[[#This Row],[ID]], Table4[ID], Table4[Store], "Not Found", 0)</f>
        <v>13</v>
      </c>
      <c r="V2013" s="5">
        <f>_xlfn.XLOOKUP(CustomerCombined[[#This Row],[ID]], Table4[ID], Table4[Visits], "Not Found", 0)</f>
        <v>2</v>
      </c>
      <c r="W2013" s="8">
        <f>_xlfn.XLOOKUP(CustomerCombined[[#This Row],[ID]], Table2[ID],Table2[Complaint], "Not Found", 0 )</f>
        <v>0</v>
      </c>
      <c r="X2013" s="8">
        <f>_xlfn.XLOOKUP(CustomerCombined[[#This Row],[ID]], Table2[ID],Table2[Pilot], "Not Found", 0 )</f>
        <v>0</v>
      </c>
      <c r="Y2013" s="8">
        <f>_xlfn.XLOOKUP(CustomerCombined[[#This Row],[ID]], Table2[ID],Table2[MC1], "Not Found", 0 )</f>
        <v>0</v>
      </c>
      <c r="Z2013" s="8">
        <f>_xlfn.XLOOKUP(CustomerCombined[[#This Row],[ID]], Table2[ID],Table2[MC2], "Not Found", 0 )</f>
        <v>0</v>
      </c>
      <c r="AA2013" s="8">
        <f>_xlfn.XLOOKUP(CustomerCombined[[#This Row],[ID]], Table2[ID],Table2[MC3], "Not Found", 0 )</f>
        <v>0</v>
      </c>
      <c r="AB2013" s="8">
        <f>_xlfn.XLOOKUP(CustomerCombined[[#This Row],[ID]], Table2[ID],Table2[MC4], "Not Found", 0 )</f>
        <v>0</v>
      </c>
      <c r="AC2013" s="8">
        <f>_xlfn.XLOOKUP(CustomerCombined[[#This Row],[ID]], Table2[ID],Table2[MC5], "Not Found", 0 )</f>
        <v>0</v>
      </c>
    </row>
    <row r="2014" spans="1:29" x14ac:dyDescent="0.3">
      <c r="A2014" s="6">
        <v>2174</v>
      </c>
      <c r="B2014" s="6">
        <v>162307</v>
      </c>
      <c r="C2014" s="6">
        <v>0</v>
      </c>
      <c r="D2014" s="6">
        <v>1</v>
      </c>
      <c r="E2014" s="6">
        <v>68</v>
      </c>
      <c r="F2014" s="5" t="s">
        <v>7</v>
      </c>
      <c r="G2014" s="5" t="s">
        <v>11</v>
      </c>
      <c r="H2014" s="3" t="s">
        <v>96</v>
      </c>
      <c r="I2014" s="5" t="s">
        <v>438</v>
      </c>
      <c r="J2014" s="5">
        <f>_xlfn.XLOOKUP(CustomerCombined[[#This Row],[ID]], Table4[ID], Table4[Recency], "Not Found", 0)</f>
        <v>94</v>
      </c>
      <c r="K2014" s="5">
        <f>_xlfn.XLOOKUP(CustomerCombined[[#This Row],[ID]], Table4[ID], Table4[Teas], "Not Found", 0)</f>
        <v>227</v>
      </c>
      <c r="L2014" s="5">
        <f>_xlfn.XLOOKUP(CustomerCombined[[#This Row],[ID]], Table4[ID], Table4[Fruits], "Not Found", 0)</f>
        <v>34</v>
      </c>
      <c r="M2014" s="5">
        <f>_xlfn.XLOOKUP(CustomerCombined[[#This Row],[ID]], Table4[ID], Table4[Meats], "Not Found", 0)</f>
        <v>89</v>
      </c>
      <c r="N2014" s="5">
        <f>_xlfn.XLOOKUP(CustomerCombined[[#This Row],[ID]], Table4[ID], Table4[Seafood], "Not Found", 0)</f>
        <v>26</v>
      </c>
      <c r="O2014" s="5">
        <f>_xlfn.XLOOKUP(CustomerCombined[[#This Row],[ID]], Table4[ID], Table4[Sweets], "Not Found", 0)</f>
        <v>16</v>
      </c>
      <c r="P2014" s="5">
        <f>_xlfn.XLOOKUP(CustomerCombined[[#This Row],[ID]], Table4[ID], Table4[Premium], "Not Found", 0)</f>
        <v>26</v>
      </c>
      <c r="Q2014" s="5">
        <f>_xlfn.XLOOKUP(CustomerCombined[[#This Row],[ID]], Table4[ID], Table4[Regular], "Not Found", 0)</f>
        <v>365</v>
      </c>
      <c r="R2014" s="5">
        <f>_xlfn.XLOOKUP(CustomerCombined[[#This Row],[ID]], Table4[ID], Table4[Deals], "Not Found", 0)</f>
        <v>1</v>
      </c>
      <c r="S2014" s="5">
        <f>_xlfn.XLOOKUP(CustomerCombined[[#This Row],[ID]], Table4[ID], Table4[Website], "Not Found", 0)</f>
        <v>4</v>
      </c>
      <c r="T2014" s="5">
        <f>_xlfn.XLOOKUP(CustomerCombined[[#This Row],[ID]], Table4[ID], Table4[Catalog], "Not Found", 0)</f>
        <v>0</v>
      </c>
      <c r="U2014" s="5">
        <f>_xlfn.XLOOKUP(CustomerCombined[[#This Row],[ID]], Table4[ID], Table4[Store], "Not Found", 0)</f>
        <v>4</v>
      </c>
      <c r="V2014" s="5">
        <f>_xlfn.XLOOKUP(CustomerCombined[[#This Row],[ID]], Table4[ID], Table4[Visits], "Not Found", 0)</f>
        <v>5</v>
      </c>
      <c r="W2014" s="8">
        <f>_xlfn.XLOOKUP(CustomerCombined[[#This Row],[ID]], Table2[ID],Table2[Complaint], "Not Found", 0 )</f>
        <v>0</v>
      </c>
      <c r="X2014" s="8">
        <f>_xlfn.XLOOKUP(CustomerCombined[[#This Row],[ID]], Table2[ID],Table2[Pilot], "Not Found", 0 )</f>
        <v>0</v>
      </c>
      <c r="Y2014" s="8">
        <f>_xlfn.XLOOKUP(CustomerCombined[[#This Row],[ID]], Table2[ID],Table2[MC1], "Not Found", 0 )</f>
        <v>0</v>
      </c>
      <c r="Z2014" s="8">
        <f>_xlfn.XLOOKUP(CustomerCombined[[#This Row],[ID]], Table2[ID],Table2[MC2], "Not Found", 0 )</f>
        <v>0</v>
      </c>
      <c r="AA2014" s="8">
        <f>_xlfn.XLOOKUP(CustomerCombined[[#This Row],[ID]], Table2[ID],Table2[MC3], "Not Found", 0 )</f>
        <v>0</v>
      </c>
      <c r="AB2014" s="8">
        <f>_xlfn.XLOOKUP(CustomerCombined[[#This Row],[ID]], Table2[ID],Table2[MC4], "Not Found", 0 )</f>
        <v>0</v>
      </c>
      <c r="AC2014" s="8">
        <f>_xlfn.XLOOKUP(CustomerCombined[[#This Row],[ID]], Table2[ID],Table2[MC5], "Not Found", 0 )</f>
        <v>0</v>
      </c>
    </row>
    <row r="2015" spans="1:29" x14ac:dyDescent="0.3">
      <c r="A2015" s="6">
        <v>2168</v>
      </c>
      <c r="B2015" s="6">
        <v>162000</v>
      </c>
      <c r="C2015" s="6">
        <v>0</v>
      </c>
      <c r="D2015" s="6">
        <v>1</v>
      </c>
      <c r="E2015" s="6">
        <v>68</v>
      </c>
      <c r="F2015" s="5" t="s">
        <v>7</v>
      </c>
      <c r="G2015" s="5" t="s">
        <v>13</v>
      </c>
      <c r="H2015" s="3" t="s">
        <v>192</v>
      </c>
      <c r="I2015" s="5" t="s">
        <v>438</v>
      </c>
      <c r="J2015" s="5">
        <f>_xlfn.XLOOKUP(CustomerCombined[[#This Row],[ID]], Table4[ID], Table4[Recency], "Not Found", 0)</f>
        <v>25</v>
      </c>
      <c r="K2015" s="5">
        <f>_xlfn.XLOOKUP(CustomerCombined[[#This Row],[ID]], Table4[ID], Table4[Teas], "Not Found", 0)</f>
        <v>2349</v>
      </c>
      <c r="L2015" s="5">
        <f>_xlfn.XLOOKUP(CustomerCombined[[#This Row],[ID]], Table4[ID], Table4[Fruits], "Not Found", 0)</f>
        <v>0</v>
      </c>
      <c r="M2015" s="5">
        <f>_xlfn.XLOOKUP(CustomerCombined[[#This Row],[ID]], Table4[ID], Table4[Meats], "Not Found", 0)</f>
        <v>264</v>
      </c>
      <c r="N2015" s="5">
        <f>_xlfn.XLOOKUP(CustomerCombined[[#This Row],[ID]], Table4[ID], Table4[Seafood], "Not Found", 0)</f>
        <v>0</v>
      </c>
      <c r="O2015" s="5">
        <f>_xlfn.XLOOKUP(CustomerCombined[[#This Row],[ID]], Table4[ID], Table4[Sweets], "Not Found", 0)</f>
        <v>0</v>
      </c>
      <c r="P2015" s="5">
        <f>_xlfn.XLOOKUP(CustomerCombined[[#This Row],[ID]], Table4[ID], Table4[Premium], "Not Found", 0)</f>
        <v>52</v>
      </c>
      <c r="Q2015" s="5">
        <f>_xlfn.XLOOKUP(CustomerCombined[[#This Row],[ID]], Table4[ID], Table4[Regular], "Not Found", 0)</f>
        <v>2561</v>
      </c>
      <c r="R2015" s="5">
        <f>_xlfn.XLOOKUP(CustomerCombined[[#This Row],[ID]], Table4[ID], Table4[Deals], "Not Found", 0)</f>
        <v>1</v>
      </c>
      <c r="S2015" s="5">
        <f>_xlfn.XLOOKUP(CustomerCombined[[#This Row],[ID]], Table4[ID], Table4[Website], "Not Found", 0)</f>
        <v>6</v>
      </c>
      <c r="T2015" s="5">
        <f>_xlfn.XLOOKUP(CustomerCombined[[#This Row],[ID]], Table4[ID], Table4[Catalog], "Not Found", 0)</f>
        <v>6</v>
      </c>
      <c r="U2015" s="5">
        <f>_xlfn.XLOOKUP(CustomerCombined[[#This Row],[ID]], Table4[ID], Table4[Store], "Not Found", 0)</f>
        <v>13</v>
      </c>
      <c r="V2015" s="5">
        <f>_xlfn.XLOOKUP(CustomerCombined[[#This Row],[ID]], Table4[ID], Table4[Visits], "Not Found", 0)</f>
        <v>4</v>
      </c>
      <c r="W2015" s="8">
        <f>_xlfn.XLOOKUP(CustomerCombined[[#This Row],[ID]], Table2[ID],Table2[Complaint], "Not Found", 0 )</f>
        <v>0</v>
      </c>
      <c r="X2015" s="8">
        <f>_xlfn.XLOOKUP(CustomerCombined[[#This Row],[ID]], Table2[ID],Table2[Pilot], "Not Found", 0 )</f>
        <v>0</v>
      </c>
      <c r="Y2015" s="8">
        <f>_xlfn.XLOOKUP(CustomerCombined[[#This Row],[ID]], Table2[ID],Table2[MC1], "Not Found", 0 )</f>
        <v>1</v>
      </c>
      <c r="Z2015" s="8">
        <f>_xlfn.XLOOKUP(CustomerCombined[[#This Row],[ID]], Table2[ID],Table2[MC2], "Not Found", 0 )</f>
        <v>0</v>
      </c>
      <c r="AA2015" s="8">
        <f>_xlfn.XLOOKUP(CustomerCombined[[#This Row],[ID]], Table2[ID],Table2[MC3], "Not Found", 0 )</f>
        <v>0</v>
      </c>
      <c r="AB2015" s="8">
        <f>_xlfn.XLOOKUP(CustomerCombined[[#This Row],[ID]], Table2[ID],Table2[MC4], "Not Found", 0 )</f>
        <v>0</v>
      </c>
      <c r="AC2015" s="8">
        <f>_xlfn.XLOOKUP(CustomerCombined[[#This Row],[ID]], Table2[ID],Table2[MC5], "Not Found", 0 )</f>
        <v>0</v>
      </c>
    </row>
    <row r="2016" spans="1:29" x14ac:dyDescent="0.3">
      <c r="A2016" s="6">
        <v>1058</v>
      </c>
      <c r="B2016" s="6">
        <v>161823</v>
      </c>
      <c r="C2016" s="6">
        <v>0</v>
      </c>
      <c r="D2016" s="6">
        <v>1</v>
      </c>
      <c r="E2016" s="6">
        <v>68</v>
      </c>
      <c r="F2016" s="5" t="s">
        <v>7</v>
      </c>
      <c r="G2016" s="5" t="s">
        <v>11</v>
      </c>
      <c r="H2016" s="3" t="s">
        <v>305</v>
      </c>
      <c r="I2016" s="5" t="s">
        <v>438</v>
      </c>
      <c r="J2016" s="5">
        <f>_xlfn.XLOOKUP(CustomerCombined[[#This Row],[ID]], Table4[ID], Table4[Recency], "Not Found", 0)</f>
        <v>26</v>
      </c>
      <c r="K2016" s="5">
        <f>_xlfn.XLOOKUP(CustomerCombined[[#This Row],[ID]], Table4[ID], Table4[Teas], "Not Found", 0)</f>
        <v>1369</v>
      </c>
      <c r="L2016" s="5">
        <f>_xlfn.XLOOKUP(CustomerCombined[[#This Row],[ID]], Table4[ID], Table4[Fruits], "Not Found", 0)</f>
        <v>18</v>
      </c>
      <c r="M2016" s="5">
        <f>_xlfn.XLOOKUP(CustomerCombined[[#This Row],[ID]], Table4[ID], Table4[Meats], "Not Found", 0)</f>
        <v>351</v>
      </c>
      <c r="N2016" s="5">
        <f>_xlfn.XLOOKUP(CustomerCombined[[#This Row],[ID]], Table4[ID], Table4[Seafood], "Not Found", 0)</f>
        <v>97</v>
      </c>
      <c r="O2016" s="5">
        <f>_xlfn.XLOOKUP(CustomerCombined[[#This Row],[ID]], Table4[ID], Table4[Sweets], "Not Found", 0)</f>
        <v>37</v>
      </c>
      <c r="P2016" s="5">
        <f>_xlfn.XLOOKUP(CustomerCombined[[#This Row],[ID]], Table4[ID], Table4[Premium], "Not Found", 0)</f>
        <v>442</v>
      </c>
      <c r="Q2016" s="5">
        <f>_xlfn.XLOOKUP(CustomerCombined[[#This Row],[ID]], Table4[ID], Table4[Regular], "Not Found", 0)</f>
        <v>1429</v>
      </c>
      <c r="R2016" s="5">
        <f>_xlfn.XLOOKUP(CustomerCombined[[#This Row],[ID]], Table4[ID], Table4[Deals], "Not Found", 0)</f>
        <v>4</v>
      </c>
      <c r="S2016" s="5">
        <f>_xlfn.XLOOKUP(CustomerCombined[[#This Row],[ID]], Table4[ID], Table4[Website], "Not Found", 0)</f>
        <v>8</v>
      </c>
      <c r="T2016" s="5">
        <f>_xlfn.XLOOKUP(CustomerCombined[[#This Row],[ID]], Table4[ID], Table4[Catalog], "Not Found", 0)</f>
        <v>2</v>
      </c>
      <c r="U2016" s="5">
        <f>_xlfn.XLOOKUP(CustomerCombined[[#This Row],[ID]], Table4[ID], Table4[Store], "Not Found", 0)</f>
        <v>10</v>
      </c>
      <c r="V2016" s="5">
        <f>_xlfn.XLOOKUP(CustomerCombined[[#This Row],[ID]], Table4[ID], Table4[Visits], "Not Found", 0)</f>
        <v>7</v>
      </c>
      <c r="W2016" s="8">
        <f>_xlfn.XLOOKUP(CustomerCombined[[#This Row],[ID]], Table2[ID],Table2[Complaint], "Not Found", 0 )</f>
        <v>0</v>
      </c>
      <c r="X2016" s="8">
        <f>_xlfn.XLOOKUP(CustomerCombined[[#This Row],[ID]], Table2[ID],Table2[Pilot], "Not Found", 0 )</f>
        <v>0</v>
      </c>
      <c r="Y2016" s="8">
        <f>_xlfn.XLOOKUP(CustomerCombined[[#This Row],[ID]], Table2[ID],Table2[MC1], "Not Found", 0 )</f>
        <v>0</v>
      </c>
      <c r="Z2016" s="8">
        <f>_xlfn.XLOOKUP(CustomerCombined[[#This Row],[ID]], Table2[ID],Table2[MC2], "Not Found", 0 )</f>
        <v>0</v>
      </c>
      <c r="AA2016" s="8">
        <f>_xlfn.XLOOKUP(CustomerCombined[[#This Row],[ID]], Table2[ID],Table2[MC3], "Not Found", 0 )</f>
        <v>0</v>
      </c>
      <c r="AB2016" s="8">
        <f>_xlfn.XLOOKUP(CustomerCombined[[#This Row],[ID]], Table2[ID],Table2[MC4], "Not Found", 0 )</f>
        <v>0</v>
      </c>
      <c r="AC2016" s="8">
        <f>_xlfn.XLOOKUP(CustomerCombined[[#This Row],[ID]], Table2[ID],Table2[MC5], "Not Found", 0 )</f>
        <v>0</v>
      </c>
    </row>
    <row r="2017" spans="1:29" x14ac:dyDescent="0.3">
      <c r="A2017" s="6">
        <v>1144</v>
      </c>
      <c r="B2017" s="6">
        <v>161010</v>
      </c>
      <c r="C2017" s="6">
        <v>0</v>
      </c>
      <c r="D2017" s="6">
        <v>1</v>
      </c>
      <c r="E2017" s="6">
        <v>68</v>
      </c>
      <c r="F2017" s="5" t="s">
        <v>8</v>
      </c>
      <c r="G2017" s="5" t="s">
        <v>13</v>
      </c>
      <c r="H2017" s="3" t="s">
        <v>385</v>
      </c>
      <c r="I2017" s="5" t="s">
        <v>439</v>
      </c>
      <c r="J2017" s="5">
        <f>_xlfn.XLOOKUP(CustomerCombined[[#This Row],[ID]], Table4[ID], Table4[Recency], "Not Found", 0)</f>
        <v>57</v>
      </c>
      <c r="K2017" s="5">
        <f>_xlfn.XLOOKUP(CustomerCombined[[#This Row],[ID]], Table4[ID], Table4[Teas], "Not Found", 0)</f>
        <v>2343</v>
      </c>
      <c r="L2017" s="5">
        <f>_xlfn.XLOOKUP(CustomerCombined[[#This Row],[ID]], Table4[ID], Table4[Fruits], "Not Found", 0)</f>
        <v>0</v>
      </c>
      <c r="M2017" s="5">
        <f>_xlfn.XLOOKUP(CustomerCombined[[#This Row],[ID]], Table4[ID], Table4[Meats], "Not Found", 0)</f>
        <v>150</v>
      </c>
      <c r="N2017" s="5">
        <f>_xlfn.XLOOKUP(CustomerCombined[[#This Row],[ID]], Table4[ID], Table4[Seafood], "Not Found", 0)</f>
        <v>0</v>
      </c>
      <c r="O2017" s="5">
        <f>_xlfn.XLOOKUP(CustomerCombined[[#This Row],[ID]], Table4[ID], Table4[Sweets], "Not Found", 0)</f>
        <v>0</v>
      </c>
      <c r="P2017" s="5">
        <f>_xlfn.XLOOKUP(CustomerCombined[[#This Row],[ID]], Table4[ID], Table4[Premium], "Not Found", 0)</f>
        <v>201</v>
      </c>
      <c r="Q2017" s="5">
        <f>_xlfn.XLOOKUP(CustomerCombined[[#This Row],[ID]], Table4[ID], Table4[Regular], "Not Found", 0)</f>
        <v>2293</v>
      </c>
      <c r="R2017" s="5">
        <f>_xlfn.XLOOKUP(CustomerCombined[[#This Row],[ID]], Table4[ID], Table4[Deals], "Not Found", 0)</f>
        <v>2</v>
      </c>
      <c r="S2017" s="5">
        <f>_xlfn.XLOOKUP(CustomerCombined[[#This Row],[ID]], Table4[ID], Table4[Website], "Not Found", 0)</f>
        <v>8</v>
      </c>
      <c r="T2017" s="5">
        <f>_xlfn.XLOOKUP(CustomerCombined[[#This Row],[ID]], Table4[ID], Table4[Catalog], "Not Found", 0)</f>
        <v>5</v>
      </c>
      <c r="U2017" s="5">
        <f>_xlfn.XLOOKUP(CustomerCombined[[#This Row],[ID]], Table4[ID], Table4[Store], "Not Found", 0)</f>
        <v>11</v>
      </c>
      <c r="V2017" s="5">
        <f>_xlfn.XLOOKUP(CustomerCombined[[#This Row],[ID]], Table4[ID], Table4[Visits], "Not Found", 0)</f>
        <v>5</v>
      </c>
      <c r="W2017" s="8">
        <f>_xlfn.XLOOKUP(CustomerCombined[[#This Row],[ID]], Table2[ID],Table2[Complaint], "Not Found", 0 )</f>
        <v>0</v>
      </c>
      <c r="X2017" s="8">
        <f>_xlfn.XLOOKUP(CustomerCombined[[#This Row],[ID]], Table2[ID],Table2[Pilot], "Not Found", 0 )</f>
        <v>0</v>
      </c>
      <c r="Y2017" s="8">
        <f>_xlfn.XLOOKUP(CustomerCombined[[#This Row],[ID]], Table2[ID],Table2[MC1], "Not Found", 0 )</f>
        <v>0</v>
      </c>
      <c r="Z2017" s="8">
        <f>_xlfn.XLOOKUP(CustomerCombined[[#This Row],[ID]], Table2[ID],Table2[MC2], "Not Found", 0 )</f>
        <v>0</v>
      </c>
      <c r="AA2017" s="8">
        <f>_xlfn.XLOOKUP(CustomerCombined[[#This Row],[ID]], Table2[ID],Table2[MC3], "Not Found", 0 )</f>
        <v>0</v>
      </c>
      <c r="AB2017" s="8">
        <f>_xlfn.XLOOKUP(CustomerCombined[[#This Row],[ID]], Table2[ID],Table2[MC4], "Not Found", 0 )</f>
        <v>0</v>
      </c>
      <c r="AC2017" s="8">
        <f>_xlfn.XLOOKUP(CustomerCombined[[#This Row],[ID]], Table2[ID],Table2[MC5], "Not Found", 0 )</f>
        <v>0</v>
      </c>
    </row>
    <row r="2018" spans="1:29" x14ac:dyDescent="0.3">
      <c r="A2018" s="6">
        <v>1013</v>
      </c>
      <c r="B2018" s="6">
        <v>159354</v>
      </c>
      <c r="C2018" s="6">
        <v>1</v>
      </c>
      <c r="D2018" s="6">
        <v>1</v>
      </c>
      <c r="E2018" s="6">
        <v>68</v>
      </c>
      <c r="F2018" s="5" t="s">
        <v>5</v>
      </c>
      <c r="G2018" s="5" t="s">
        <v>12</v>
      </c>
      <c r="H2018" s="3" t="s">
        <v>149</v>
      </c>
      <c r="I2018" s="5" t="s">
        <v>434</v>
      </c>
      <c r="J2018" s="5">
        <f>_xlfn.XLOOKUP(CustomerCombined[[#This Row],[ID]], Table4[ID], Table4[Recency], "Not Found", 0)</f>
        <v>53</v>
      </c>
      <c r="K2018" s="5">
        <f>_xlfn.XLOOKUP(CustomerCombined[[#This Row],[ID]], Table4[ID], Table4[Teas], "Not Found", 0)</f>
        <v>626</v>
      </c>
      <c r="L2018" s="5">
        <f>_xlfn.XLOOKUP(CustomerCombined[[#This Row],[ID]], Table4[ID], Table4[Fruits], "Not Found", 0)</f>
        <v>5</v>
      </c>
      <c r="M2018" s="5">
        <f>_xlfn.XLOOKUP(CustomerCombined[[#This Row],[ID]], Table4[ID], Table4[Meats], "Not Found", 0)</f>
        <v>142</v>
      </c>
      <c r="N2018" s="5">
        <f>_xlfn.XLOOKUP(CustomerCombined[[#This Row],[ID]], Table4[ID], Table4[Seafood], "Not Found", 0)</f>
        <v>8</v>
      </c>
      <c r="O2018" s="5">
        <f>_xlfn.XLOOKUP(CustomerCombined[[#This Row],[ID]], Table4[ID], Table4[Sweets], "Not Found", 0)</f>
        <v>13</v>
      </c>
      <c r="P2018" s="5">
        <f>_xlfn.XLOOKUP(CustomerCombined[[#This Row],[ID]], Table4[ID], Table4[Premium], "Not Found", 0)</f>
        <v>38</v>
      </c>
      <c r="Q2018" s="5">
        <f>_xlfn.XLOOKUP(CustomerCombined[[#This Row],[ID]], Table4[ID], Table4[Regular], "Not Found", 0)</f>
        <v>757</v>
      </c>
      <c r="R2018" s="5">
        <f>_xlfn.XLOOKUP(CustomerCombined[[#This Row],[ID]], Table4[ID], Table4[Deals], "Not Found", 0)</f>
        <v>3</v>
      </c>
      <c r="S2018" s="5">
        <f>_xlfn.XLOOKUP(CustomerCombined[[#This Row],[ID]], Table4[ID], Table4[Website], "Not Found", 0)</f>
        <v>6</v>
      </c>
      <c r="T2018" s="5">
        <f>_xlfn.XLOOKUP(CustomerCombined[[#This Row],[ID]], Table4[ID], Table4[Catalog], "Not Found", 0)</f>
        <v>1</v>
      </c>
      <c r="U2018" s="5">
        <f>_xlfn.XLOOKUP(CustomerCombined[[#This Row],[ID]], Table4[ID], Table4[Store], "Not Found", 0)</f>
        <v>5</v>
      </c>
      <c r="V2018" s="5">
        <f>_xlfn.XLOOKUP(CustomerCombined[[#This Row],[ID]], Table4[ID], Table4[Visits], "Not Found", 0)</f>
        <v>6</v>
      </c>
      <c r="W2018" s="8">
        <f>_xlfn.XLOOKUP(CustomerCombined[[#This Row],[ID]], Table2[ID],Table2[Complaint], "Not Found", 0 )</f>
        <v>0</v>
      </c>
      <c r="X2018" s="8">
        <f>_xlfn.XLOOKUP(CustomerCombined[[#This Row],[ID]], Table2[ID],Table2[Pilot], "Not Found", 0 )</f>
        <v>0</v>
      </c>
      <c r="Y2018" s="8">
        <f>_xlfn.XLOOKUP(CustomerCombined[[#This Row],[ID]], Table2[ID],Table2[MC1], "Not Found", 0 )</f>
        <v>0</v>
      </c>
      <c r="Z2018" s="8">
        <f>_xlfn.XLOOKUP(CustomerCombined[[#This Row],[ID]], Table2[ID],Table2[MC2], "Not Found", 0 )</f>
        <v>0</v>
      </c>
      <c r="AA2018" s="8">
        <f>_xlfn.XLOOKUP(CustomerCombined[[#This Row],[ID]], Table2[ID],Table2[MC3], "Not Found", 0 )</f>
        <v>0</v>
      </c>
      <c r="AB2018" s="8">
        <f>_xlfn.XLOOKUP(CustomerCombined[[#This Row],[ID]], Table2[ID],Table2[MC4], "Not Found", 0 )</f>
        <v>0</v>
      </c>
      <c r="AC2018" s="8">
        <f>_xlfn.XLOOKUP(CustomerCombined[[#This Row],[ID]], Table2[ID],Table2[MC5], "Not Found", 0 )</f>
        <v>0</v>
      </c>
    </row>
    <row r="2019" spans="1:29" x14ac:dyDescent="0.3">
      <c r="A2019" s="6">
        <v>1522</v>
      </c>
      <c r="B2019" s="6">
        <v>157247</v>
      </c>
      <c r="C2019" s="6">
        <v>0</v>
      </c>
      <c r="D2019" s="6">
        <v>1</v>
      </c>
      <c r="E2019" s="6">
        <v>68</v>
      </c>
      <c r="F2019" s="5" t="s">
        <v>8</v>
      </c>
      <c r="G2019" s="5" t="s">
        <v>442</v>
      </c>
      <c r="H2019" s="3" t="s">
        <v>209</v>
      </c>
      <c r="I2019" s="5" t="s">
        <v>439</v>
      </c>
      <c r="J2019" s="5">
        <f>_xlfn.XLOOKUP(CustomerCombined[[#This Row],[ID]], Table4[ID], Table4[Recency], "Not Found", 0)</f>
        <v>50</v>
      </c>
      <c r="K2019" s="5">
        <f>_xlfn.XLOOKUP(CustomerCombined[[#This Row],[ID]], Table4[ID], Table4[Teas], "Not Found", 0)</f>
        <v>272</v>
      </c>
      <c r="L2019" s="5">
        <f>_xlfn.XLOOKUP(CustomerCombined[[#This Row],[ID]], Table4[ID], Table4[Fruits], "Not Found", 0)</f>
        <v>11</v>
      </c>
      <c r="M2019" s="5">
        <f>_xlfn.XLOOKUP(CustomerCombined[[#This Row],[ID]], Table4[ID], Table4[Meats], "Not Found", 0)</f>
        <v>88</v>
      </c>
      <c r="N2019" s="5">
        <f>_xlfn.XLOOKUP(CustomerCombined[[#This Row],[ID]], Table4[ID], Table4[Seafood], "Not Found", 0)</f>
        <v>102</v>
      </c>
      <c r="O2019" s="5">
        <f>_xlfn.XLOOKUP(CustomerCombined[[#This Row],[ID]], Table4[ID], Table4[Sweets], "Not Found", 0)</f>
        <v>148</v>
      </c>
      <c r="P2019" s="5">
        <f>_xlfn.XLOOKUP(CustomerCombined[[#This Row],[ID]], Table4[ID], Table4[Premium], "Not Found", 0)</f>
        <v>16</v>
      </c>
      <c r="Q2019" s="5">
        <f>_xlfn.XLOOKUP(CustomerCombined[[#This Row],[ID]], Table4[ID], Table4[Regular], "Not Found", 0)</f>
        <v>604</v>
      </c>
      <c r="R2019" s="5">
        <f>_xlfn.XLOOKUP(CustomerCombined[[#This Row],[ID]], Table4[ID], Table4[Deals], "Not Found", 0)</f>
        <v>2</v>
      </c>
      <c r="S2019" s="5">
        <f>_xlfn.XLOOKUP(CustomerCombined[[#This Row],[ID]], Table4[ID], Table4[Website], "Not Found", 0)</f>
        <v>2</v>
      </c>
      <c r="T2019" s="5">
        <f>_xlfn.XLOOKUP(CustomerCombined[[#This Row],[ID]], Table4[ID], Table4[Catalog], "Not Found", 0)</f>
        <v>1</v>
      </c>
      <c r="U2019" s="5">
        <f>_xlfn.XLOOKUP(CustomerCombined[[#This Row],[ID]], Table4[ID], Table4[Store], "Not Found", 0)</f>
        <v>7</v>
      </c>
      <c r="V2019" s="5">
        <f>_xlfn.XLOOKUP(CustomerCombined[[#This Row],[ID]], Table4[ID], Table4[Visits], "Not Found", 0)</f>
        <v>2</v>
      </c>
      <c r="W2019" s="8">
        <f>_xlfn.XLOOKUP(CustomerCombined[[#This Row],[ID]], Table2[ID],Table2[Complaint], "Not Found", 0 )</f>
        <v>0</v>
      </c>
      <c r="X2019" s="8">
        <f>_xlfn.XLOOKUP(CustomerCombined[[#This Row],[ID]], Table2[ID],Table2[Pilot], "Not Found", 0 )</f>
        <v>0</v>
      </c>
      <c r="Y2019" s="8">
        <f>_xlfn.XLOOKUP(CustomerCombined[[#This Row],[ID]], Table2[ID],Table2[MC1], "Not Found", 0 )</f>
        <v>0</v>
      </c>
      <c r="Z2019" s="8">
        <f>_xlfn.XLOOKUP(CustomerCombined[[#This Row],[ID]], Table2[ID],Table2[MC2], "Not Found", 0 )</f>
        <v>0</v>
      </c>
      <c r="AA2019" s="8">
        <f>_xlfn.XLOOKUP(CustomerCombined[[#This Row],[ID]], Table2[ID],Table2[MC3], "Not Found", 0 )</f>
        <v>0</v>
      </c>
      <c r="AB2019" s="8">
        <f>_xlfn.XLOOKUP(CustomerCombined[[#This Row],[ID]], Table2[ID],Table2[MC4], "Not Found", 0 )</f>
        <v>0</v>
      </c>
      <c r="AC2019" s="8">
        <f>_xlfn.XLOOKUP(CustomerCombined[[#This Row],[ID]], Table2[ID],Table2[MC5], "Not Found", 0 )</f>
        <v>0</v>
      </c>
    </row>
    <row r="2020" spans="1:29" x14ac:dyDescent="0.3">
      <c r="A2020" s="6">
        <v>1282</v>
      </c>
      <c r="B2020" s="6">
        <v>155951</v>
      </c>
      <c r="C2020" s="6">
        <v>0</v>
      </c>
      <c r="D2020" s="6">
        <v>1</v>
      </c>
      <c r="E2020" s="6">
        <v>68</v>
      </c>
      <c r="F2020" s="5" t="s">
        <v>8</v>
      </c>
      <c r="G2020" s="5" t="s">
        <v>12</v>
      </c>
      <c r="H2020" s="3" t="s">
        <v>405</v>
      </c>
      <c r="I2020" s="5" t="s">
        <v>439</v>
      </c>
      <c r="J2020" s="5">
        <f>_xlfn.XLOOKUP(CustomerCombined[[#This Row],[ID]], Table4[ID], Table4[Recency], "Not Found", 0)</f>
        <v>62</v>
      </c>
      <c r="K2020" s="5">
        <f>_xlfn.XLOOKUP(CustomerCombined[[#This Row],[ID]], Table4[ID], Table4[Teas], "Not Found", 0)</f>
        <v>3459</v>
      </c>
      <c r="L2020" s="5">
        <f>_xlfn.XLOOKUP(CustomerCombined[[#This Row],[ID]], Table4[ID], Table4[Fruits], "Not Found", 0)</f>
        <v>0</v>
      </c>
      <c r="M2020" s="5">
        <f>_xlfn.XLOOKUP(CustomerCombined[[#This Row],[ID]], Table4[ID], Table4[Meats], "Not Found", 0)</f>
        <v>223</v>
      </c>
      <c r="N2020" s="5">
        <f>_xlfn.XLOOKUP(CustomerCombined[[#This Row],[ID]], Table4[ID], Table4[Seafood], "Not Found", 0)</f>
        <v>0</v>
      </c>
      <c r="O2020" s="5">
        <f>_xlfn.XLOOKUP(CustomerCombined[[#This Row],[ID]], Table4[ID], Table4[Sweets], "Not Found", 0)</f>
        <v>36</v>
      </c>
      <c r="P2020" s="5">
        <f>_xlfn.XLOOKUP(CustomerCombined[[#This Row],[ID]], Table4[ID], Table4[Premium], "Not Found", 0)</f>
        <v>111</v>
      </c>
      <c r="Q2020" s="5">
        <f>_xlfn.XLOOKUP(CustomerCombined[[#This Row],[ID]], Table4[ID], Table4[Regular], "Not Found", 0)</f>
        <v>3607</v>
      </c>
      <c r="R2020" s="5">
        <f>_xlfn.XLOOKUP(CustomerCombined[[#This Row],[ID]], Table4[ID], Table4[Deals], "Not Found", 0)</f>
        <v>3</v>
      </c>
      <c r="S2020" s="5">
        <f>_xlfn.XLOOKUP(CustomerCombined[[#This Row],[ID]], Table4[ID], Table4[Website], "Not Found", 0)</f>
        <v>3</v>
      </c>
      <c r="T2020" s="5">
        <f>_xlfn.XLOOKUP(CustomerCombined[[#This Row],[ID]], Table4[ID], Table4[Catalog], "Not Found", 0)</f>
        <v>6</v>
      </c>
      <c r="U2020" s="5">
        <f>_xlfn.XLOOKUP(CustomerCombined[[#This Row],[ID]], Table4[ID], Table4[Store], "Not Found", 0)</f>
        <v>11</v>
      </c>
      <c r="V2020" s="5">
        <f>_xlfn.XLOOKUP(CustomerCombined[[#This Row],[ID]], Table4[ID], Table4[Visits], "Not Found", 0)</f>
        <v>8</v>
      </c>
      <c r="W2020" s="8">
        <f>_xlfn.XLOOKUP(CustomerCombined[[#This Row],[ID]], Table2[ID],Table2[Complaint], "Not Found", 0 )</f>
        <v>0</v>
      </c>
      <c r="X2020" s="8">
        <f>_xlfn.XLOOKUP(CustomerCombined[[#This Row],[ID]], Table2[ID],Table2[Pilot], "Not Found", 0 )</f>
        <v>0</v>
      </c>
      <c r="Y2020" s="8">
        <f>_xlfn.XLOOKUP(CustomerCombined[[#This Row],[ID]], Table2[ID],Table2[MC1], "Not Found", 0 )</f>
        <v>0</v>
      </c>
      <c r="Z2020" s="8">
        <f>_xlfn.XLOOKUP(CustomerCombined[[#This Row],[ID]], Table2[ID],Table2[MC2], "Not Found", 0 )</f>
        <v>1</v>
      </c>
      <c r="AA2020" s="8">
        <f>_xlfn.XLOOKUP(CustomerCombined[[#This Row],[ID]], Table2[ID],Table2[MC3], "Not Found", 0 )</f>
        <v>0</v>
      </c>
      <c r="AB2020" s="8">
        <f>_xlfn.XLOOKUP(CustomerCombined[[#This Row],[ID]], Table2[ID],Table2[MC4], "Not Found", 0 )</f>
        <v>1</v>
      </c>
      <c r="AC2020" s="8">
        <f>_xlfn.XLOOKUP(CustomerCombined[[#This Row],[ID]], Table2[ID],Table2[MC5], "Not Found", 0 )</f>
        <v>0</v>
      </c>
    </row>
    <row r="2021" spans="1:29" x14ac:dyDescent="0.3">
      <c r="A2021" s="6">
        <v>2601</v>
      </c>
      <c r="B2021" s="6">
        <v>154549</v>
      </c>
      <c r="C2021" s="6">
        <v>0</v>
      </c>
      <c r="D2021" s="6">
        <v>1</v>
      </c>
      <c r="E2021" s="6">
        <v>68</v>
      </c>
      <c r="F2021" s="5" t="s">
        <v>6</v>
      </c>
      <c r="G2021" s="5" t="s">
        <v>13</v>
      </c>
      <c r="H2021" s="3">
        <v>44020</v>
      </c>
      <c r="I2021" s="5" t="s">
        <v>435</v>
      </c>
      <c r="J2021" s="5">
        <f>_xlfn.XLOOKUP(CustomerCombined[[#This Row],[ID]], Table4[ID], Table4[Recency], "Not Found", 0)</f>
        <v>8</v>
      </c>
      <c r="K2021" s="5">
        <f>_xlfn.XLOOKUP(CustomerCombined[[#This Row],[ID]], Table4[ID], Table4[Teas], "Not Found", 0)</f>
        <v>612</v>
      </c>
      <c r="L2021" s="5">
        <f>_xlfn.XLOOKUP(CustomerCombined[[#This Row],[ID]], Table4[ID], Table4[Fruits], "Not Found", 0)</f>
        <v>6</v>
      </c>
      <c r="M2021" s="5">
        <f>_xlfn.XLOOKUP(CustomerCombined[[#This Row],[ID]], Table4[ID], Table4[Meats], "Not Found", 0)</f>
        <v>17</v>
      </c>
      <c r="N2021" s="5">
        <f>_xlfn.XLOOKUP(CustomerCombined[[#This Row],[ID]], Table4[ID], Table4[Seafood], "Not Found", 0)</f>
        <v>0</v>
      </c>
      <c r="O2021" s="5">
        <f>_xlfn.XLOOKUP(CustomerCombined[[#This Row],[ID]], Table4[ID], Table4[Sweets], "Not Found", 0)</f>
        <v>0</v>
      </c>
      <c r="P2021" s="5">
        <f>_xlfn.XLOOKUP(CustomerCombined[[#This Row],[ID]], Table4[ID], Table4[Premium], "Not Found", 0)</f>
        <v>25</v>
      </c>
      <c r="Q2021" s="5">
        <f>_xlfn.XLOOKUP(CustomerCombined[[#This Row],[ID]], Table4[ID], Table4[Regular], "Not Found", 0)</f>
        <v>609</v>
      </c>
      <c r="R2021" s="5">
        <f>_xlfn.XLOOKUP(CustomerCombined[[#This Row],[ID]], Table4[ID], Table4[Deals], "Not Found", 0)</f>
        <v>2</v>
      </c>
      <c r="S2021" s="5">
        <f>_xlfn.XLOOKUP(CustomerCombined[[#This Row],[ID]], Table4[ID], Table4[Website], "Not Found", 0)</f>
        <v>5</v>
      </c>
      <c r="T2021" s="5">
        <f>_xlfn.XLOOKUP(CustomerCombined[[#This Row],[ID]], Table4[ID], Table4[Catalog], "Not Found", 0)</f>
        <v>1</v>
      </c>
      <c r="U2021" s="5">
        <f>_xlfn.XLOOKUP(CustomerCombined[[#This Row],[ID]], Table4[ID], Table4[Store], "Not Found", 0)</f>
        <v>4</v>
      </c>
      <c r="V2021" s="5">
        <f>_xlfn.XLOOKUP(CustomerCombined[[#This Row],[ID]], Table4[ID], Table4[Visits], "Not Found", 0)</f>
        <v>7</v>
      </c>
      <c r="W2021" s="8">
        <f>_xlfn.XLOOKUP(CustomerCombined[[#This Row],[ID]], Table2[ID],Table2[Complaint], "Not Found", 0 )</f>
        <v>0</v>
      </c>
      <c r="X2021" s="8">
        <f>_xlfn.XLOOKUP(CustomerCombined[[#This Row],[ID]], Table2[ID],Table2[Pilot], "Not Found", 0 )</f>
        <v>0</v>
      </c>
      <c r="Y2021" s="8">
        <f>_xlfn.XLOOKUP(CustomerCombined[[#This Row],[ID]], Table2[ID],Table2[MC1], "Not Found", 0 )</f>
        <v>0</v>
      </c>
      <c r="Z2021" s="8">
        <f>_xlfn.XLOOKUP(CustomerCombined[[#This Row],[ID]], Table2[ID],Table2[MC2], "Not Found", 0 )</f>
        <v>0</v>
      </c>
      <c r="AA2021" s="8">
        <f>_xlfn.XLOOKUP(CustomerCombined[[#This Row],[ID]], Table2[ID],Table2[MC3], "Not Found", 0 )</f>
        <v>0</v>
      </c>
      <c r="AB2021" s="8">
        <f>_xlfn.XLOOKUP(CustomerCombined[[#This Row],[ID]], Table2[ID],Table2[MC4], "Not Found", 0 )</f>
        <v>0</v>
      </c>
      <c r="AC2021" s="8">
        <f>_xlfn.XLOOKUP(CustomerCombined[[#This Row],[ID]], Table2[ID],Table2[MC5], "Not Found", 0 )</f>
        <v>0</v>
      </c>
    </row>
    <row r="2022" spans="1:29" x14ac:dyDescent="0.3">
      <c r="A2022" s="6">
        <v>1938</v>
      </c>
      <c r="B2022" s="6">
        <v>153700</v>
      </c>
      <c r="C2022" s="6">
        <v>0</v>
      </c>
      <c r="D2022" s="6">
        <v>1</v>
      </c>
      <c r="E2022" s="6">
        <v>68</v>
      </c>
      <c r="F2022" s="5" t="s">
        <v>7</v>
      </c>
      <c r="G2022" s="5" t="s">
        <v>11</v>
      </c>
      <c r="H2022" s="3" t="s">
        <v>411</v>
      </c>
      <c r="I2022" s="5" t="s">
        <v>436</v>
      </c>
      <c r="J2022" s="5">
        <f>_xlfn.XLOOKUP(CustomerCombined[[#This Row],[ID]], Table4[ID], Table4[Recency], "Not Found", 0)</f>
        <v>94</v>
      </c>
      <c r="K2022" s="5">
        <f>_xlfn.XLOOKUP(CustomerCombined[[#This Row],[ID]], Table4[ID], Table4[Teas], "Not Found", 0)</f>
        <v>753</v>
      </c>
      <c r="L2022" s="5">
        <f>_xlfn.XLOOKUP(CustomerCombined[[#This Row],[ID]], Table4[ID], Table4[Fruits], "Not Found", 0)</f>
        <v>14</v>
      </c>
      <c r="M2022" s="5">
        <f>_xlfn.XLOOKUP(CustomerCombined[[#This Row],[ID]], Table4[ID], Table4[Meats], "Not Found", 0)</f>
        <v>667</v>
      </c>
      <c r="N2022" s="5">
        <f>_xlfn.XLOOKUP(CustomerCombined[[#This Row],[ID]], Table4[ID], Table4[Seafood], "Not Found", 0)</f>
        <v>197</v>
      </c>
      <c r="O2022" s="5">
        <f>_xlfn.XLOOKUP(CustomerCombined[[#This Row],[ID]], Table4[ID], Table4[Sweets], "Not Found", 0)</f>
        <v>117</v>
      </c>
      <c r="P2022" s="5">
        <f>_xlfn.XLOOKUP(CustomerCombined[[#This Row],[ID]], Table4[ID], Table4[Premium], "Not Found", 0)</f>
        <v>238</v>
      </c>
      <c r="Q2022" s="5">
        <f>_xlfn.XLOOKUP(CustomerCombined[[#This Row],[ID]], Table4[ID], Table4[Regular], "Not Found", 0)</f>
        <v>1511</v>
      </c>
      <c r="R2022" s="5">
        <f>_xlfn.XLOOKUP(CustomerCombined[[#This Row],[ID]], Table4[ID], Table4[Deals], "Not Found", 0)</f>
        <v>4</v>
      </c>
      <c r="S2022" s="5">
        <f>_xlfn.XLOOKUP(CustomerCombined[[#This Row],[ID]], Table4[ID], Table4[Website], "Not Found", 0)</f>
        <v>5</v>
      </c>
      <c r="T2022" s="5">
        <f>_xlfn.XLOOKUP(CustomerCombined[[#This Row],[ID]], Table4[ID], Table4[Catalog], "Not Found", 0)</f>
        <v>5</v>
      </c>
      <c r="U2022" s="5">
        <f>_xlfn.XLOOKUP(CustomerCombined[[#This Row],[ID]], Table4[ID], Table4[Store], "Not Found", 0)</f>
        <v>8</v>
      </c>
      <c r="V2022" s="5">
        <f>_xlfn.XLOOKUP(CustomerCombined[[#This Row],[ID]], Table4[ID], Table4[Visits], "Not Found", 0)</f>
        <v>5</v>
      </c>
      <c r="W2022" s="8">
        <f>_xlfn.XLOOKUP(CustomerCombined[[#This Row],[ID]], Table2[ID],Table2[Complaint], "Not Found", 0 )</f>
        <v>0</v>
      </c>
      <c r="X2022" s="8">
        <f>_xlfn.XLOOKUP(CustomerCombined[[#This Row],[ID]], Table2[ID],Table2[Pilot], "Not Found", 0 )</f>
        <v>0</v>
      </c>
      <c r="Y2022" s="8">
        <f>_xlfn.XLOOKUP(CustomerCombined[[#This Row],[ID]], Table2[ID],Table2[MC1], "Not Found", 0 )</f>
        <v>0</v>
      </c>
      <c r="Z2022" s="8">
        <f>_xlfn.XLOOKUP(CustomerCombined[[#This Row],[ID]], Table2[ID],Table2[MC2], "Not Found", 0 )</f>
        <v>0</v>
      </c>
      <c r="AA2022" s="8">
        <f>_xlfn.XLOOKUP(CustomerCombined[[#This Row],[ID]], Table2[ID],Table2[MC3], "Not Found", 0 )</f>
        <v>0</v>
      </c>
      <c r="AB2022" s="8">
        <f>_xlfn.XLOOKUP(CustomerCombined[[#This Row],[ID]], Table2[ID],Table2[MC4], "Not Found", 0 )</f>
        <v>0</v>
      </c>
      <c r="AC2022" s="8">
        <f>_xlfn.XLOOKUP(CustomerCombined[[#This Row],[ID]], Table2[ID],Table2[MC5], "Not Found", 0 )</f>
        <v>0</v>
      </c>
    </row>
    <row r="2023" spans="1:29" x14ac:dyDescent="0.3">
      <c r="A2023" s="6">
        <v>1215</v>
      </c>
      <c r="B2023" s="6">
        <v>151537</v>
      </c>
      <c r="C2023" s="6">
        <v>0</v>
      </c>
      <c r="D2023" s="6">
        <v>1</v>
      </c>
      <c r="E2023" s="6">
        <v>68</v>
      </c>
      <c r="F2023" s="5" t="s">
        <v>5</v>
      </c>
      <c r="G2023" s="5" t="s">
        <v>11</v>
      </c>
      <c r="H2023" s="3" t="s">
        <v>349</v>
      </c>
      <c r="I2023" s="5" t="s">
        <v>435</v>
      </c>
      <c r="J2023" s="5">
        <f>_xlfn.XLOOKUP(CustomerCombined[[#This Row],[ID]], Table4[ID], Table4[Recency], "Not Found", 0)</f>
        <v>27</v>
      </c>
      <c r="K2023" s="5">
        <f>_xlfn.XLOOKUP(CustomerCombined[[#This Row],[ID]], Table4[ID], Table4[Teas], "Not Found", 0)</f>
        <v>2314</v>
      </c>
      <c r="L2023" s="5">
        <f>_xlfn.XLOOKUP(CustomerCombined[[#This Row],[ID]], Table4[ID], Table4[Fruits], "Not Found", 0)</f>
        <v>59</v>
      </c>
      <c r="M2023" s="5">
        <f>_xlfn.XLOOKUP(CustomerCombined[[#This Row],[ID]], Table4[ID], Table4[Meats], "Not Found", 0)</f>
        <v>600</v>
      </c>
      <c r="N2023" s="5">
        <f>_xlfn.XLOOKUP(CustomerCombined[[#This Row],[ID]], Table4[ID], Table4[Seafood], "Not Found", 0)</f>
        <v>0</v>
      </c>
      <c r="O2023" s="5">
        <f>_xlfn.XLOOKUP(CustomerCombined[[#This Row],[ID]], Table4[ID], Table4[Sweets], "Not Found", 0)</f>
        <v>0</v>
      </c>
      <c r="P2023" s="5">
        <f>_xlfn.XLOOKUP(CustomerCombined[[#This Row],[ID]], Table4[ID], Table4[Premium], "Not Found", 0)</f>
        <v>271</v>
      </c>
      <c r="Q2023" s="5">
        <f>_xlfn.XLOOKUP(CustomerCombined[[#This Row],[ID]], Table4[ID], Table4[Regular], "Not Found", 0)</f>
        <v>2702</v>
      </c>
      <c r="R2023" s="5">
        <f>_xlfn.XLOOKUP(CustomerCombined[[#This Row],[ID]], Table4[ID], Table4[Deals], "Not Found", 0)</f>
        <v>3</v>
      </c>
      <c r="S2023" s="5">
        <f>_xlfn.XLOOKUP(CustomerCombined[[#This Row],[ID]], Table4[ID], Table4[Website], "Not Found", 0)</f>
        <v>2</v>
      </c>
      <c r="T2023" s="5">
        <f>_xlfn.XLOOKUP(CustomerCombined[[#This Row],[ID]], Table4[ID], Table4[Catalog], "Not Found", 0)</f>
        <v>2</v>
      </c>
      <c r="U2023" s="5">
        <f>_xlfn.XLOOKUP(CustomerCombined[[#This Row],[ID]], Table4[ID], Table4[Store], "Not Found", 0)</f>
        <v>11</v>
      </c>
      <c r="V2023" s="5">
        <f>_xlfn.XLOOKUP(CustomerCombined[[#This Row],[ID]], Table4[ID], Table4[Visits], "Not Found", 0)</f>
        <v>8</v>
      </c>
      <c r="W2023" s="8">
        <f>_xlfn.XLOOKUP(CustomerCombined[[#This Row],[ID]], Table2[ID],Table2[Complaint], "Not Found", 0 )</f>
        <v>0</v>
      </c>
      <c r="X2023" s="8">
        <f>_xlfn.XLOOKUP(CustomerCombined[[#This Row],[ID]], Table2[ID],Table2[Pilot], "Not Found", 0 )</f>
        <v>0</v>
      </c>
      <c r="Y2023" s="8">
        <f>_xlfn.XLOOKUP(CustomerCombined[[#This Row],[ID]], Table2[ID],Table2[MC1], "Not Found", 0 )</f>
        <v>0</v>
      </c>
      <c r="Z2023" s="8">
        <f>_xlfn.XLOOKUP(CustomerCombined[[#This Row],[ID]], Table2[ID],Table2[MC2], "Not Found", 0 )</f>
        <v>0</v>
      </c>
      <c r="AA2023" s="8">
        <f>_xlfn.XLOOKUP(CustomerCombined[[#This Row],[ID]], Table2[ID],Table2[MC3], "Not Found", 0 )</f>
        <v>0</v>
      </c>
      <c r="AB2023" s="8">
        <f>_xlfn.XLOOKUP(CustomerCombined[[#This Row],[ID]], Table2[ID],Table2[MC4], "Not Found", 0 )</f>
        <v>0</v>
      </c>
      <c r="AC2023" s="8">
        <f>_xlfn.XLOOKUP(CustomerCombined[[#This Row],[ID]], Table2[ID],Table2[MC5], "Not Found", 0 )</f>
        <v>0</v>
      </c>
    </row>
    <row r="2024" spans="1:29" x14ac:dyDescent="0.3">
      <c r="A2024" s="6">
        <v>2087</v>
      </c>
      <c r="B2024" s="6">
        <v>150870</v>
      </c>
      <c r="C2024" s="6">
        <v>0</v>
      </c>
      <c r="D2024" s="6">
        <v>1</v>
      </c>
      <c r="E2024" s="6">
        <v>68</v>
      </c>
      <c r="F2024" s="5" t="s">
        <v>6</v>
      </c>
      <c r="G2024" s="5" t="s">
        <v>13</v>
      </c>
      <c r="H2024" s="3" t="s">
        <v>30</v>
      </c>
      <c r="I2024" s="5" t="s">
        <v>434</v>
      </c>
      <c r="J2024" s="5">
        <f>_xlfn.XLOOKUP(CustomerCombined[[#This Row],[ID]], Table4[ID], Table4[Recency], "Not Found", 0)</f>
        <v>13</v>
      </c>
      <c r="K2024" s="5">
        <f>_xlfn.XLOOKUP(CustomerCombined[[#This Row],[ID]], Table4[ID], Table4[Teas], "Not Found", 0)</f>
        <v>157</v>
      </c>
      <c r="L2024" s="5">
        <f>_xlfn.XLOOKUP(CustomerCombined[[#This Row],[ID]], Table4[ID], Table4[Fruits], "Not Found", 0)</f>
        <v>0</v>
      </c>
      <c r="M2024" s="5">
        <f>_xlfn.XLOOKUP(CustomerCombined[[#This Row],[ID]], Table4[ID], Table4[Meats], "Not Found", 0)</f>
        <v>24</v>
      </c>
      <c r="N2024" s="5">
        <f>_xlfn.XLOOKUP(CustomerCombined[[#This Row],[ID]], Table4[ID], Table4[Seafood], "Not Found", 0)</f>
        <v>0</v>
      </c>
      <c r="O2024" s="5">
        <f>_xlfn.XLOOKUP(CustomerCombined[[#This Row],[ID]], Table4[ID], Table4[Sweets], "Not Found", 0)</f>
        <v>0</v>
      </c>
      <c r="P2024" s="5">
        <f>_xlfn.XLOOKUP(CustomerCombined[[#This Row],[ID]], Table4[ID], Table4[Premium], "Not Found", 0)</f>
        <v>6</v>
      </c>
      <c r="Q2024" s="5">
        <f>_xlfn.XLOOKUP(CustomerCombined[[#This Row],[ID]], Table4[ID], Table4[Regular], "Not Found", 0)</f>
        <v>175</v>
      </c>
      <c r="R2024" s="5">
        <f>_xlfn.XLOOKUP(CustomerCombined[[#This Row],[ID]], Table4[ID], Table4[Deals], "Not Found", 0)</f>
        <v>1</v>
      </c>
      <c r="S2024" s="5">
        <f>_xlfn.XLOOKUP(CustomerCombined[[#This Row],[ID]], Table4[ID], Table4[Website], "Not Found", 0)</f>
        <v>2</v>
      </c>
      <c r="T2024" s="5">
        <f>_xlfn.XLOOKUP(CustomerCombined[[#This Row],[ID]], Table4[ID], Table4[Catalog], "Not Found", 0)</f>
        <v>0</v>
      </c>
      <c r="U2024" s="5">
        <f>_xlfn.XLOOKUP(CustomerCombined[[#This Row],[ID]], Table4[ID], Table4[Store], "Not Found", 0)</f>
        <v>3</v>
      </c>
      <c r="V2024" s="5">
        <f>_xlfn.XLOOKUP(CustomerCombined[[#This Row],[ID]], Table4[ID], Table4[Visits], "Not Found", 0)</f>
        <v>5</v>
      </c>
      <c r="W2024" s="8">
        <f>_xlfn.XLOOKUP(CustomerCombined[[#This Row],[ID]], Table2[ID],Table2[Complaint], "Not Found", 0 )</f>
        <v>0</v>
      </c>
      <c r="X2024" s="8">
        <f>_xlfn.XLOOKUP(CustomerCombined[[#This Row],[ID]], Table2[ID],Table2[Pilot], "Not Found", 0 )</f>
        <v>0</v>
      </c>
      <c r="Y2024" s="8">
        <f>_xlfn.XLOOKUP(CustomerCombined[[#This Row],[ID]], Table2[ID],Table2[MC1], "Not Found", 0 )</f>
        <v>0</v>
      </c>
      <c r="Z2024" s="8">
        <f>_xlfn.XLOOKUP(CustomerCombined[[#This Row],[ID]], Table2[ID],Table2[MC2], "Not Found", 0 )</f>
        <v>0</v>
      </c>
      <c r="AA2024" s="8">
        <f>_xlfn.XLOOKUP(CustomerCombined[[#This Row],[ID]], Table2[ID],Table2[MC3], "Not Found", 0 )</f>
        <v>0</v>
      </c>
      <c r="AB2024" s="8">
        <f>_xlfn.XLOOKUP(CustomerCombined[[#This Row],[ID]], Table2[ID],Table2[MC4], "Not Found", 0 )</f>
        <v>0</v>
      </c>
      <c r="AC2024" s="8">
        <f>_xlfn.XLOOKUP(CustomerCombined[[#This Row],[ID]], Table2[ID],Table2[MC5], "Not Found", 0 )</f>
        <v>0</v>
      </c>
    </row>
    <row r="2025" spans="1:29" x14ac:dyDescent="0.3">
      <c r="A2025" s="6">
        <v>1442</v>
      </c>
      <c r="B2025" s="6">
        <v>150300</v>
      </c>
      <c r="C2025" s="6">
        <v>0</v>
      </c>
      <c r="D2025" s="6">
        <v>1</v>
      </c>
      <c r="E2025" s="6">
        <v>68</v>
      </c>
      <c r="F2025" s="5" t="s">
        <v>6</v>
      </c>
      <c r="G2025" s="5" t="s">
        <v>11</v>
      </c>
      <c r="H2025" s="3" t="s">
        <v>42</v>
      </c>
      <c r="I2025" s="5" t="s">
        <v>438</v>
      </c>
      <c r="J2025" s="5">
        <f>_xlfn.XLOOKUP(CustomerCombined[[#This Row],[ID]], Table4[ID], Table4[Recency], "Not Found", 0)</f>
        <v>52</v>
      </c>
      <c r="K2025" s="5">
        <f>_xlfn.XLOOKUP(CustomerCombined[[#This Row],[ID]], Table4[ID], Table4[Teas], "Not Found", 0)</f>
        <v>427</v>
      </c>
      <c r="L2025" s="5">
        <f>_xlfn.XLOOKUP(CustomerCombined[[#This Row],[ID]], Table4[ID], Table4[Fruits], "Not Found", 0)</f>
        <v>45</v>
      </c>
      <c r="M2025" s="5">
        <f>_xlfn.XLOOKUP(CustomerCombined[[#This Row],[ID]], Table4[ID], Table4[Meats], "Not Found", 0)</f>
        <v>179</v>
      </c>
      <c r="N2025" s="5">
        <f>_xlfn.XLOOKUP(CustomerCombined[[#This Row],[ID]], Table4[ID], Table4[Seafood], "Not Found", 0)</f>
        <v>72</v>
      </c>
      <c r="O2025" s="5">
        <f>_xlfn.XLOOKUP(CustomerCombined[[#This Row],[ID]], Table4[ID], Table4[Sweets], "Not Found", 0)</f>
        <v>69</v>
      </c>
      <c r="P2025" s="5">
        <f>_xlfn.XLOOKUP(CustomerCombined[[#This Row],[ID]], Table4[ID], Table4[Premium], "Not Found", 0)</f>
        <v>15</v>
      </c>
      <c r="Q2025" s="5">
        <f>_xlfn.XLOOKUP(CustomerCombined[[#This Row],[ID]], Table4[ID], Table4[Regular], "Not Found", 0)</f>
        <v>777</v>
      </c>
      <c r="R2025" s="5">
        <f>_xlfn.XLOOKUP(CustomerCombined[[#This Row],[ID]], Table4[ID], Table4[Deals], "Not Found", 0)</f>
        <v>2</v>
      </c>
      <c r="S2025" s="5">
        <f>_xlfn.XLOOKUP(CustomerCombined[[#This Row],[ID]], Table4[ID], Table4[Website], "Not Found", 0)</f>
        <v>2</v>
      </c>
      <c r="T2025" s="5">
        <f>_xlfn.XLOOKUP(CustomerCombined[[#This Row],[ID]], Table4[ID], Table4[Catalog], "Not Found", 0)</f>
        <v>1</v>
      </c>
      <c r="U2025" s="5">
        <f>_xlfn.XLOOKUP(CustomerCombined[[#This Row],[ID]], Table4[ID], Table4[Store], "Not Found", 0)</f>
        <v>8</v>
      </c>
      <c r="V2025" s="5">
        <f>_xlfn.XLOOKUP(CustomerCombined[[#This Row],[ID]], Table4[ID], Table4[Visits], "Not Found", 0)</f>
        <v>2</v>
      </c>
      <c r="W2025" s="8">
        <f>_xlfn.XLOOKUP(CustomerCombined[[#This Row],[ID]], Table2[ID],Table2[Complaint], "Not Found", 0 )</f>
        <v>0</v>
      </c>
      <c r="X2025" s="8">
        <f>_xlfn.XLOOKUP(CustomerCombined[[#This Row],[ID]], Table2[ID],Table2[Pilot], "Not Found", 0 )</f>
        <v>0</v>
      </c>
      <c r="Y2025" s="8">
        <f>_xlfn.XLOOKUP(CustomerCombined[[#This Row],[ID]], Table2[ID],Table2[MC1], "Not Found", 0 )</f>
        <v>0</v>
      </c>
      <c r="Z2025" s="8">
        <f>_xlfn.XLOOKUP(CustomerCombined[[#This Row],[ID]], Table2[ID],Table2[MC2], "Not Found", 0 )</f>
        <v>0</v>
      </c>
      <c r="AA2025" s="8">
        <f>_xlfn.XLOOKUP(CustomerCombined[[#This Row],[ID]], Table2[ID],Table2[MC3], "Not Found", 0 )</f>
        <v>0</v>
      </c>
      <c r="AB2025" s="8">
        <f>_xlfn.XLOOKUP(CustomerCombined[[#This Row],[ID]], Table2[ID],Table2[MC4], "Not Found", 0 )</f>
        <v>0</v>
      </c>
      <c r="AC2025" s="8">
        <f>_xlfn.XLOOKUP(CustomerCombined[[#This Row],[ID]], Table2[ID],Table2[MC5], "Not Found", 0 )</f>
        <v>0</v>
      </c>
    </row>
    <row r="2026" spans="1:29" x14ac:dyDescent="0.3">
      <c r="A2026" s="6">
        <v>2849</v>
      </c>
      <c r="B2026" s="6">
        <v>149638</v>
      </c>
      <c r="C2026" s="6">
        <v>0</v>
      </c>
      <c r="D2026" s="6">
        <v>1</v>
      </c>
      <c r="E2026" s="6">
        <v>68</v>
      </c>
      <c r="F2026" s="5" t="s">
        <v>5</v>
      </c>
      <c r="G2026" s="5" t="s">
        <v>11</v>
      </c>
      <c r="H2026" s="3" t="s">
        <v>63</v>
      </c>
      <c r="I2026" s="5" t="s">
        <v>434</v>
      </c>
      <c r="J2026" s="5">
        <f>_xlfn.XLOOKUP(CustomerCombined[[#This Row],[ID]], Table4[ID], Table4[Recency], "Not Found", 0)</f>
        <v>71</v>
      </c>
      <c r="K2026" s="5">
        <f>_xlfn.XLOOKUP(CustomerCombined[[#This Row],[ID]], Table4[ID], Table4[Teas], "Not Found", 0)</f>
        <v>54</v>
      </c>
      <c r="L2026" s="5">
        <f>_xlfn.XLOOKUP(CustomerCombined[[#This Row],[ID]], Table4[ID], Table4[Fruits], "Not Found", 0)</f>
        <v>30</v>
      </c>
      <c r="M2026" s="5">
        <f>_xlfn.XLOOKUP(CustomerCombined[[#This Row],[ID]], Table4[ID], Table4[Meats], "Not Found", 0)</f>
        <v>9</v>
      </c>
      <c r="N2026" s="5">
        <f>_xlfn.XLOOKUP(CustomerCombined[[#This Row],[ID]], Table4[ID], Table4[Seafood], "Not Found", 0)</f>
        <v>9</v>
      </c>
      <c r="O2026" s="5">
        <f>_xlfn.XLOOKUP(CustomerCombined[[#This Row],[ID]], Table4[ID], Table4[Sweets], "Not Found", 0)</f>
        <v>15</v>
      </c>
      <c r="P2026" s="5">
        <f>_xlfn.XLOOKUP(CustomerCombined[[#This Row],[ID]], Table4[ID], Table4[Premium], "Not Found", 0)</f>
        <v>0</v>
      </c>
      <c r="Q2026" s="5">
        <f>_xlfn.XLOOKUP(CustomerCombined[[#This Row],[ID]], Table4[ID], Table4[Regular], "Not Found", 0)</f>
        <v>118</v>
      </c>
      <c r="R2026" s="5">
        <f>_xlfn.XLOOKUP(CustomerCombined[[#This Row],[ID]], Table4[ID], Table4[Deals], "Not Found", 0)</f>
        <v>1</v>
      </c>
      <c r="S2026" s="5">
        <f>_xlfn.XLOOKUP(CustomerCombined[[#This Row],[ID]], Table4[ID], Table4[Website], "Not Found", 0)</f>
        <v>1</v>
      </c>
      <c r="T2026" s="5">
        <f>_xlfn.XLOOKUP(CustomerCombined[[#This Row],[ID]], Table4[ID], Table4[Catalog], "Not Found", 0)</f>
        <v>0</v>
      </c>
      <c r="U2026" s="5">
        <f>_xlfn.XLOOKUP(CustomerCombined[[#This Row],[ID]], Table4[ID], Table4[Store], "Not Found", 0)</f>
        <v>3</v>
      </c>
      <c r="V2026" s="5">
        <f>_xlfn.XLOOKUP(CustomerCombined[[#This Row],[ID]], Table4[ID], Table4[Visits], "Not Found", 0)</f>
        <v>2</v>
      </c>
      <c r="W2026" s="8">
        <f>_xlfn.XLOOKUP(CustomerCombined[[#This Row],[ID]], Table2[ID],Table2[Complaint], "Not Found", 0 )</f>
        <v>0</v>
      </c>
      <c r="X2026" s="8">
        <f>_xlfn.XLOOKUP(CustomerCombined[[#This Row],[ID]], Table2[ID],Table2[Pilot], "Not Found", 0 )</f>
        <v>0</v>
      </c>
      <c r="Y2026" s="8">
        <f>_xlfn.XLOOKUP(CustomerCombined[[#This Row],[ID]], Table2[ID],Table2[MC1], "Not Found", 0 )</f>
        <v>0</v>
      </c>
      <c r="Z2026" s="8">
        <f>_xlfn.XLOOKUP(CustomerCombined[[#This Row],[ID]], Table2[ID],Table2[MC2], "Not Found", 0 )</f>
        <v>0</v>
      </c>
      <c r="AA2026" s="8">
        <f>_xlfn.XLOOKUP(CustomerCombined[[#This Row],[ID]], Table2[ID],Table2[MC3], "Not Found", 0 )</f>
        <v>0</v>
      </c>
      <c r="AB2026" s="8">
        <f>_xlfn.XLOOKUP(CustomerCombined[[#This Row],[ID]], Table2[ID],Table2[MC4], "Not Found", 0 )</f>
        <v>0</v>
      </c>
      <c r="AC2026" s="8">
        <f>_xlfn.XLOOKUP(CustomerCombined[[#This Row],[ID]], Table2[ID],Table2[MC5], "Not Found", 0 )</f>
        <v>0</v>
      </c>
    </row>
    <row r="2027" spans="1:29" x14ac:dyDescent="0.3">
      <c r="A2027" s="6">
        <v>2659</v>
      </c>
      <c r="B2027" s="6">
        <v>149413</v>
      </c>
      <c r="C2027" s="6">
        <v>0</v>
      </c>
      <c r="D2027" s="6">
        <v>1</v>
      </c>
      <c r="E2027" s="6">
        <v>68</v>
      </c>
      <c r="F2027" s="5" t="s">
        <v>6</v>
      </c>
      <c r="G2027" s="5" t="s">
        <v>11</v>
      </c>
      <c r="H2027" s="3" t="s">
        <v>157</v>
      </c>
      <c r="I2027" s="5" t="s">
        <v>437</v>
      </c>
      <c r="J2027" s="5">
        <f>_xlfn.XLOOKUP(CustomerCombined[[#This Row],[ID]], Table4[ID], Table4[Recency], "Not Found", 0)</f>
        <v>88</v>
      </c>
      <c r="K2027" s="5">
        <f>_xlfn.XLOOKUP(CustomerCombined[[#This Row],[ID]], Table4[ID], Table4[Teas], "Not Found", 0)</f>
        <v>620</v>
      </c>
      <c r="L2027" s="5">
        <f>_xlfn.XLOOKUP(CustomerCombined[[#This Row],[ID]], Table4[ID], Table4[Fruits], "Not Found", 0)</f>
        <v>21</v>
      </c>
      <c r="M2027" s="5">
        <f>_xlfn.XLOOKUP(CustomerCombined[[#This Row],[ID]], Table4[ID], Table4[Meats], "Not Found", 0)</f>
        <v>124</v>
      </c>
      <c r="N2027" s="5">
        <f>_xlfn.XLOOKUP(CustomerCombined[[#This Row],[ID]], Table4[ID], Table4[Seafood], "Not Found", 0)</f>
        <v>9</v>
      </c>
      <c r="O2027" s="5">
        <f>_xlfn.XLOOKUP(CustomerCombined[[#This Row],[ID]], Table4[ID], Table4[Sweets], "Not Found", 0)</f>
        <v>6</v>
      </c>
      <c r="P2027" s="5">
        <f>_xlfn.XLOOKUP(CustomerCombined[[#This Row],[ID]], Table4[ID], Table4[Premium], "Not Found", 0)</f>
        <v>139</v>
      </c>
      <c r="Q2027" s="5">
        <f>_xlfn.XLOOKUP(CustomerCombined[[#This Row],[ID]], Table4[ID], Table4[Regular], "Not Found", 0)</f>
        <v>641</v>
      </c>
      <c r="R2027" s="5">
        <f>_xlfn.XLOOKUP(CustomerCombined[[#This Row],[ID]], Table4[ID], Table4[Deals], "Not Found", 0)</f>
        <v>2</v>
      </c>
      <c r="S2027" s="5">
        <f>_xlfn.XLOOKUP(CustomerCombined[[#This Row],[ID]], Table4[ID], Table4[Website], "Not Found", 0)</f>
        <v>4</v>
      </c>
      <c r="T2027" s="5">
        <f>_xlfn.XLOOKUP(CustomerCombined[[#This Row],[ID]], Table4[ID], Table4[Catalog], "Not Found", 0)</f>
        <v>2</v>
      </c>
      <c r="U2027" s="5">
        <f>_xlfn.XLOOKUP(CustomerCombined[[#This Row],[ID]], Table4[ID], Table4[Store], "Not Found", 0)</f>
        <v>5</v>
      </c>
      <c r="V2027" s="5">
        <f>_xlfn.XLOOKUP(CustomerCombined[[#This Row],[ID]], Table4[ID], Table4[Visits], "Not Found", 0)</f>
        <v>5</v>
      </c>
      <c r="W2027" s="8">
        <f>_xlfn.XLOOKUP(CustomerCombined[[#This Row],[ID]], Table2[ID],Table2[Complaint], "Not Found", 0 )</f>
        <v>0</v>
      </c>
      <c r="X2027" s="8">
        <f>_xlfn.XLOOKUP(CustomerCombined[[#This Row],[ID]], Table2[ID],Table2[Pilot], "Not Found", 0 )</f>
        <v>0</v>
      </c>
      <c r="Y2027" s="8">
        <f>_xlfn.XLOOKUP(CustomerCombined[[#This Row],[ID]], Table2[ID],Table2[MC1], "Not Found", 0 )</f>
        <v>0</v>
      </c>
      <c r="Z2027" s="8">
        <f>_xlfn.XLOOKUP(CustomerCombined[[#This Row],[ID]], Table2[ID],Table2[MC2], "Not Found", 0 )</f>
        <v>0</v>
      </c>
      <c r="AA2027" s="8">
        <f>_xlfn.XLOOKUP(CustomerCombined[[#This Row],[ID]], Table2[ID],Table2[MC3], "Not Found", 0 )</f>
        <v>0</v>
      </c>
      <c r="AB2027" s="8">
        <f>_xlfn.XLOOKUP(CustomerCombined[[#This Row],[ID]], Table2[ID],Table2[MC4], "Not Found", 0 )</f>
        <v>0</v>
      </c>
      <c r="AC2027" s="8">
        <f>_xlfn.XLOOKUP(CustomerCombined[[#This Row],[ID]], Table2[ID],Table2[MC5], "Not Found", 0 )</f>
        <v>0</v>
      </c>
    </row>
    <row r="2028" spans="1:29" x14ac:dyDescent="0.3">
      <c r="A2028" s="6">
        <v>2541</v>
      </c>
      <c r="B2028" s="6">
        <v>147958</v>
      </c>
      <c r="C2028" s="6">
        <v>0</v>
      </c>
      <c r="D2028" s="6">
        <v>1</v>
      </c>
      <c r="E2028" s="6">
        <v>68</v>
      </c>
      <c r="F2028" s="5" t="s">
        <v>7</v>
      </c>
      <c r="G2028" s="5" t="s">
        <v>11</v>
      </c>
      <c r="H2028" s="3" t="s">
        <v>322</v>
      </c>
      <c r="I2028" s="5" t="s">
        <v>435</v>
      </c>
      <c r="J2028" s="5">
        <f>_xlfn.XLOOKUP(CustomerCombined[[#This Row],[ID]], Table4[ID], Table4[Recency], "Not Found", 0)</f>
        <v>8</v>
      </c>
      <c r="K2028" s="5">
        <f>_xlfn.XLOOKUP(CustomerCombined[[#This Row],[ID]], Table4[ID], Table4[Teas], "Not Found", 0)</f>
        <v>827</v>
      </c>
      <c r="L2028" s="5">
        <f>_xlfn.XLOOKUP(CustomerCombined[[#This Row],[ID]], Table4[ID], Table4[Fruits], "Not Found", 0)</f>
        <v>34</v>
      </c>
      <c r="M2028" s="5">
        <f>_xlfn.XLOOKUP(CustomerCombined[[#This Row],[ID]], Table4[ID], Table4[Meats], "Not Found", 0)</f>
        <v>271</v>
      </c>
      <c r="N2028" s="5">
        <f>_xlfn.XLOOKUP(CustomerCombined[[#This Row],[ID]], Table4[ID], Table4[Seafood], "Not Found", 0)</f>
        <v>46</v>
      </c>
      <c r="O2028" s="5">
        <f>_xlfn.XLOOKUP(CustomerCombined[[#This Row],[ID]], Table4[ID], Table4[Sweets], "Not Found", 0)</f>
        <v>9</v>
      </c>
      <c r="P2028" s="5">
        <f>_xlfn.XLOOKUP(CustomerCombined[[#This Row],[ID]], Table4[ID], Table4[Premium], "Not Found", 0)</f>
        <v>68</v>
      </c>
      <c r="Q2028" s="5">
        <f>_xlfn.XLOOKUP(CustomerCombined[[#This Row],[ID]], Table4[ID], Table4[Regular], "Not Found", 0)</f>
        <v>1120</v>
      </c>
      <c r="R2028" s="5">
        <f>_xlfn.XLOOKUP(CustomerCombined[[#This Row],[ID]], Table4[ID], Table4[Deals], "Not Found", 0)</f>
        <v>2</v>
      </c>
      <c r="S2028" s="5">
        <f>_xlfn.XLOOKUP(CustomerCombined[[#This Row],[ID]], Table4[ID], Table4[Website], "Not Found", 0)</f>
        <v>6</v>
      </c>
      <c r="T2028" s="5">
        <f>_xlfn.XLOOKUP(CustomerCombined[[#This Row],[ID]], Table4[ID], Table4[Catalog], "Not Found", 0)</f>
        <v>3</v>
      </c>
      <c r="U2028" s="5">
        <f>_xlfn.XLOOKUP(CustomerCombined[[#This Row],[ID]], Table4[ID], Table4[Store], "Not Found", 0)</f>
        <v>5</v>
      </c>
      <c r="V2028" s="5">
        <f>_xlfn.XLOOKUP(CustomerCombined[[#This Row],[ID]], Table4[ID], Table4[Visits], "Not Found", 0)</f>
        <v>5</v>
      </c>
      <c r="W2028" s="8">
        <f>_xlfn.XLOOKUP(CustomerCombined[[#This Row],[ID]], Table2[ID],Table2[Complaint], "Not Found", 0 )</f>
        <v>0</v>
      </c>
      <c r="X2028" s="8">
        <f>_xlfn.XLOOKUP(CustomerCombined[[#This Row],[ID]], Table2[ID],Table2[Pilot], "Not Found", 0 )</f>
        <v>0</v>
      </c>
      <c r="Y2028" s="8">
        <f>_xlfn.XLOOKUP(CustomerCombined[[#This Row],[ID]], Table2[ID],Table2[MC1], "Not Found", 0 )</f>
        <v>0</v>
      </c>
      <c r="Z2028" s="8">
        <f>_xlfn.XLOOKUP(CustomerCombined[[#This Row],[ID]], Table2[ID],Table2[MC2], "Not Found", 0 )</f>
        <v>0</v>
      </c>
      <c r="AA2028" s="8">
        <f>_xlfn.XLOOKUP(CustomerCombined[[#This Row],[ID]], Table2[ID],Table2[MC3], "Not Found", 0 )</f>
        <v>0</v>
      </c>
      <c r="AB2028" s="8">
        <f>_xlfn.XLOOKUP(CustomerCombined[[#This Row],[ID]], Table2[ID],Table2[MC4], "Not Found", 0 )</f>
        <v>0</v>
      </c>
      <c r="AC2028" s="8">
        <f>_xlfn.XLOOKUP(CustomerCombined[[#This Row],[ID]], Table2[ID],Table2[MC5], "Not Found", 0 )</f>
        <v>0</v>
      </c>
    </row>
    <row r="2029" spans="1:29" x14ac:dyDescent="0.3">
      <c r="A2029" s="6">
        <v>2245</v>
      </c>
      <c r="B2029" s="6">
        <v>147139</v>
      </c>
      <c r="C2029" s="6">
        <v>1</v>
      </c>
      <c r="D2029" s="6">
        <v>1</v>
      </c>
      <c r="E2029" s="6">
        <v>68</v>
      </c>
      <c r="F2029" s="5" t="s">
        <v>7</v>
      </c>
      <c r="G2029" s="5" t="s">
        <v>11</v>
      </c>
      <c r="H2029" s="3">
        <v>44112</v>
      </c>
      <c r="I2029" s="5" t="s">
        <v>437</v>
      </c>
      <c r="J2029" s="5">
        <f>_xlfn.XLOOKUP(CustomerCombined[[#This Row],[ID]], Table4[ID], Table4[Recency], "Not Found", 0)</f>
        <v>2</v>
      </c>
      <c r="K2029" s="5">
        <f>_xlfn.XLOOKUP(CustomerCombined[[#This Row],[ID]], Table4[ID], Table4[Teas], "Not Found", 0)</f>
        <v>144</v>
      </c>
      <c r="L2029" s="5">
        <f>_xlfn.XLOOKUP(CustomerCombined[[#This Row],[ID]], Table4[ID], Table4[Fruits], "Not Found", 0)</f>
        <v>0</v>
      </c>
      <c r="M2029" s="5">
        <f>_xlfn.XLOOKUP(CustomerCombined[[#This Row],[ID]], Table4[ID], Table4[Meats], "Not Found", 0)</f>
        <v>37</v>
      </c>
      <c r="N2029" s="5">
        <f>_xlfn.XLOOKUP(CustomerCombined[[#This Row],[ID]], Table4[ID], Table4[Seafood], "Not Found", 0)</f>
        <v>0</v>
      </c>
      <c r="O2029" s="5">
        <f>_xlfn.XLOOKUP(CustomerCombined[[#This Row],[ID]], Table4[ID], Table4[Sweets], "Not Found", 0)</f>
        <v>6</v>
      </c>
      <c r="P2029" s="5">
        <f>_xlfn.XLOOKUP(CustomerCombined[[#This Row],[ID]], Table4[ID], Table4[Premium], "Not Found", 0)</f>
        <v>72</v>
      </c>
      <c r="Q2029" s="5">
        <f>_xlfn.XLOOKUP(CustomerCombined[[#This Row],[ID]], Table4[ID], Table4[Regular], "Not Found", 0)</f>
        <v>115</v>
      </c>
      <c r="R2029" s="5">
        <f>_xlfn.XLOOKUP(CustomerCombined[[#This Row],[ID]], Table4[ID], Table4[Deals], "Not Found", 0)</f>
        <v>2</v>
      </c>
      <c r="S2029" s="5">
        <f>_xlfn.XLOOKUP(CustomerCombined[[#This Row],[ID]], Table4[ID], Table4[Website], "Not Found", 0)</f>
        <v>2</v>
      </c>
      <c r="T2029" s="5">
        <f>_xlfn.XLOOKUP(CustomerCombined[[#This Row],[ID]], Table4[ID], Table4[Catalog], "Not Found", 0)</f>
        <v>1</v>
      </c>
      <c r="U2029" s="5">
        <f>_xlfn.XLOOKUP(CustomerCombined[[#This Row],[ID]], Table4[ID], Table4[Store], "Not Found", 0)</f>
        <v>2</v>
      </c>
      <c r="V2029" s="5">
        <f>_xlfn.XLOOKUP(CustomerCombined[[#This Row],[ID]], Table4[ID], Table4[Visits], "Not Found", 0)</f>
        <v>7</v>
      </c>
      <c r="W2029" s="8">
        <f>_xlfn.XLOOKUP(CustomerCombined[[#This Row],[ID]], Table2[ID],Table2[Complaint], "Not Found", 0 )</f>
        <v>0</v>
      </c>
      <c r="X2029" s="8">
        <f>_xlfn.XLOOKUP(CustomerCombined[[#This Row],[ID]], Table2[ID],Table2[Pilot], "Not Found", 0 )</f>
        <v>1</v>
      </c>
      <c r="Y2029" s="8">
        <f>_xlfn.XLOOKUP(CustomerCombined[[#This Row],[ID]], Table2[ID],Table2[MC1], "Not Found", 0 )</f>
        <v>0</v>
      </c>
      <c r="Z2029" s="8">
        <f>_xlfn.XLOOKUP(CustomerCombined[[#This Row],[ID]], Table2[ID],Table2[MC2], "Not Found", 0 )</f>
        <v>0</v>
      </c>
      <c r="AA2029" s="8">
        <f>_xlfn.XLOOKUP(CustomerCombined[[#This Row],[ID]], Table2[ID],Table2[MC3], "Not Found", 0 )</f>
        <v>0</v>
      </c>
      <c r="AB2029" s="8">
        <f>_xlfn.XLOOKUP(CustomerCombined[[#This Row],[ID]], Table2[ID],Table2[MC4], "Not Found", 0 )</f>
        <v>0</v>
      </c>
      <c r="AC2029" s="8">
        <f>_xlfn.XLOOKUP(CustomerCombined[[#This Row],[ID]], Table2[ID],Table2[MC5], "Not Found", 0 )</f>
        <v>0</v>
      </c>
    </row>
    <row r="2030" spans="1:29" x14ac:dyDescent="0.3">
      <c r="A2030" s="6">
        <v>1032</v>
      </c>
      <c r="B2030" s="6">
        <v>146610</v>
      </c>
      <c r="C2030" s="6">
        <v>0</v>
      </c>
      <c r="D2030" s="6">
        <v>2</v>
      </c>
      <c r="E2030" s="6">
        <v>68</v>
      </c>
      <c r="F2030" s="5" t="s">
        <v>5</v>
      </c>
      <c r="G2030" s="5" t="s">
        <v>13</v>
      </c>
      <c r="H2030" s="3">
        <v>43589</v>
      </c>
      <c r="I2030" s="5" t="s">
        <v>436</v>
      </c>
      <c r="J2030" s="5">
        <f>_xlfn.XLOOKUP(CustomerCombined[[#This Row],[ID]], Table4[ID], Table4[Recency], "Not Found", 0)</f>
        <v>8</v>
      </c>
      <c r="K2030" s="5">
        <f>_xlfn.XLOOKUP(CustomerCombined[[#This Row],[ID]], Table4[ID], Table4[Teas], "Not Found", 0)</f>
        <v>302</v>
      </c>
      <c r="L2030" s="5">
        <f>_xlfn.XLOOKUP(CustomerCombined[[#This Row],[ID]], Table4[ID], Table4[Fruits], "Not Found", 0)</f>
        <v>38</v>
      </c>
      <c r="M2030" s="5">
        <f>_xlfn.XLOOKUP(CustomerCombined[[#This Row],[ID]], Table4[ID], Table4[Meats], "Not Found", 0)</f>
        <v>302</v>
      </c>
      <c r="N2030" s="5">
        <f>_xlfn.XLOOKUP(CustomerCombined[[#This Row],[ID]], Table4[ID], Table4[Seafood], "Not Found", 0)</f>
        <v>104</v>
      </c>
      <c r="O2030" s="5">
        <f>_xlfn.XLOOKUP(CustomerCombined[[#This Row],[ID]], Table4[ID], Table4[Sweets], "Not Found", 0)</f>
        <v>69</v>
      </c>
      <c r="P2030" s="5">
        <f>_xlfn.XLOOKUP(CustomerCombined[[#This Row],[ID]], Table4[ID], Table4[Premium], "Not Found", 0)</f>
        <v>135</v>
      </c>
      <c r="Q2030" s="5">
        <f>_xlfn.XLOOKUP(CustomerCombined[[#This Row],[ID]], Table4[ID], Table4[Regular], "Not Found", 0)</f>
        <v>679</v>
      </c>
      <c r="R2030" s="5">
        <f>_xlfn.XLOOKUP(CustomerCombined[[#This Row],[ID]], Table4[ID], Table4[Deals], "Not Found", 0)</f>
        <v>6</v>
      </c>
      <c r="S2030" s="5">
        <f>_xlfn.XLOOKUP(CustomerCombined[[#This Row],[ID]], Table4[ID], Table4[Website], "Not Found", 0)</f>
        <v>4</v>
      </c>
      <c r="T2030" s="5">
        <f>_xlfn.XLOOKUP(CustomerCombined[[#This Row],[ID]], Table4[ID], Table4[Catalog], "Not Found", 0)</f>
        <v>1</v>
      </c>
      <c r="U2030" s="5">
        <f>_xlfn.XLOOKUP(CustomerCombined[[#This Row],[ID]], Table4[ID], Table4[Store], "Not Found", 0)</f>
        <v>6</v>
      </c>
      <c r="V2030" s="5">
        <f>_xlfn.XLOOKUP(CustomerCombined[[#This Row],[ID]], Table4[ID], Table4[Visits], "Not Found", 0)</f>
        <v>6</v>
      </c>
      <c r="W2030" s="8">
        <f>_xlfn.XLOOKUP(CustomerCombined[[#This Row],[ID]], Table2[ID],Table2[Complaint], "Not Found", 0 )</f>
        <v>0</v>
      </c>
      <c r="X2030" s="8">
        <f>_xlfn.XLOOKUP(CustomerCombined[[#This Row],[ID]], Table2[ID],Table2[Pilot], "Not Found", 0 )</f>
        <v>1</v>
      </c>
      <c r="Y2030" s="8">
        <f>_xlfn.XLOOKUP(CustomerCombined[[#This Row],[ID]], Table2[ID],Table2[MC1], "Not Found", 0 )</f>
        <v>0</v>
      </c>
      <c r="Z2030" s="8">
        <f>_xlfn.XLOOKUP(CustomerCombined[[#This Row],[ID]], Table2[ID],Table2[MC2], "Not Found", 0 )</f>
        <v>0</v>
      </c>
      <c r="AA2030" s="8">
        <f>_xlfn.XLOOKUP(CustomerCombined[[#This Row],[ID]], Table2[ID],Table2[MC3], "Not Found", 0 )</f>
        <v>0</v>
      </c>
      <c r="AB2030" s="8">
        <f>_xlfn.XLOOKUP(CustomerCombined[[#This Row],[ID]], Table2[ID],Table2[MC4], "Not Found", 0 )</f>
        <v>0</v>
      </c>
      <c r="AC2030" s="8">
        <f>_xlfn.XLOOKUP(CustomerCombined[[#This Row],[ID]], Table2[ID],Table2[MC5], "Not Found", 0 )</f>
        <v>0</v>
      </c>
    </row>
    <row r="2031" spans="1:29" x14ac:dyDescent="0.3">
      <c r="A2031" s="6">
        <v>2220</v>
      </c>
      <c r="B2031" s="6">
        <v>144213</v>
      </c>
      <c r="C2031" s="6">
        <v>1</v>
      </c>
      <c r="D2031" s="6">
        <v>1</v>
      </c>
      <c r="E2031" s="6">
        <v>68</v>
      </c>
      <c r="F2031" s="5" t="s">
        <v>7</v>
      </c>
      <c r="G2031" s="5" t="s">
        <v>11</v>
      </c>
      <c r="H2031" s="3">
        <v>43956</v>
      </c>
      <c r="I2031" s="5" t="s">
        <v>436</v>
      </c>
      <c r="J2031" s="5">
        <f>_xlfn.XLOOKUP(CustomerCombined[[#This Row],[ID]], Table4[ID], Table4[Recency], "Not Found", 0)</f>
        <v>48</v>
      </c>
      <c r="K2031" s="5">
        <f>_xlfn.XLOOKUP(CustomerCombined[[#This Row],[ID]], Table4[ID], Table4[Teas], "Not Found", 0)</f>
        <v>310</v>
      </c>
      <c r="L2031" s="5">
        <f>_xlfn.XLOOKUP(CustomerCombined[[#This Row],[ID]], Table4[ID], Table4[Fruits], "Not Found", 0)</f>
        <v>36</v>
      </c>
      <c r="M2031" s="5">
        <f>_xlfn.XLOOKUP(CustomerCombined[[#This Row],[ID]], Table4[ID], Table4[Meats], "Not Found", 0)</f>
        <v>114</v>
      </c>
      <c r="N2031" s="5">
        <f>_xlfn.XLOOKUP(CustomerCombined[[#This Row],[ID]], Table4[ID], Table4[Seafood], "Not Found", 0)</f>
        <v>0</v>
      </c>
      <c r="O2031" s="5">
        <f>_xlfn.XLOOKUP(CustomerCombined[[#This Row],[ID]], Table4[ID], Table4[Sweets], "Not Found", 0)</f>
        <v>13</v>
      </c>
      <c r="P2031" s="5">
        <f>_xlfn.XLOOKUP(CustomerCombined[[#This Row],[ID]], Table4[ID], Table4[Premium], "Not Found", 0)</f>
        <v>23</v>
      </c>
      <c r="Q2031" s="5">
        <f>_xlfn.XLOOKUP(CustomerCombined[[#This Row],[ID]], Table4[ID], Table4[Regular], "Not Found", 0)</f>
        <v>450</v>
      </c>
      <c r="R2031" s="5">
        <f>_xlfn.XLOOKUP(CustomerCombined[[#This Row],[ID]], Table4[ID], Table4[Deals], "Not Found", 0)</f>
        <v>4</v>
      </c>
      <c r="S2031" s="5">
        <f>_xlfn.XLOOKUP(CustomerCombined[[#This Row],[ID]], Table4[ID], Table4[Website], "Not Found", 0)</f>
        <v>2</v>
      </c>
      <c r="T2031" s="5">
        <f>_xlfn.XLOOKUP(CustomerCombined[[#This Row],[ID]], Table4[ID], Table4[Catalog], "Not Found", 0)</f>
        <v>1</v>
      </c>
      <c r="U2031" s="5">
        <f>_xlfn.XLOOKUP(CustomerCombined[[#This Row],[ID]], Table4[ID], Table4[Store], "Not Found", 0)</f>
        <v>5</v>
      </c>
      <c r="V2031" s="5">
        <f>_xlfn.XLOOKUP(CustomerCombined[[#This Row],[ID]], Table4[ID], Table4[Visits], "Not Found", 0)</f>
        <v>6</v>
      </c>
      <c r="W2031" s="8">
        <f>_xlfn.XLOOKUP(CustomerCombined[[#This Row],[ID]], Table2[ID],Table2[Complaint], "Not Found", 0 )</f>
        <v>0</v>
      </c>
      <c r="X2031" s="8">
        <f>_xlfn.XLOOKUP(CustomerCombined[[#This Row],[ID]], Table2[ID],Table2[Pilot], "Not Found", 0 )</f>
        <v>0</v>
      </c>
      <c r="Y2031" s="8">
        <f>_xlfn.XLOOKUP(CustomerCombined[[#This Row],[ID]], Table2[ID],Table2[MC1], "Not Found", 0 )</f>
        <v>0</v>
      </c>
      <c r="Z2031" s="8">
        <f>_xlfn.XLOOKUP(CustomerCombined[[#This Row],[ID]], Table2[ID],Table2[MC2], "Not Found", 0 )</f>
        <v>0</v>
      </c>
      <c r="AA2031" s="8">
        <f>_xlfn.XLOOKUP(CustomerCombined[[#This Row],[ID]], Table2[ID],Table2[MC3], "Not Found", 0 )</f>
        <v>0</v>
      </c>
      <c r="AB2031" s="8">
        <f>_xlfn.XLOOKUP(CustomerCombined[[#This Row],[ID]], Table2[ID],Table2[MC4], "Not Found", 0 )</f>
        <v>0</v>
      </c>
      <c r="AC2031" s="8">
        <f>_xlfn.XLOOKUP(CustomerCombined[[#This Row],[ID]], Table2[ID],Table2[MC5], "Not Found", 0 )</f>
        <v>0</v>
      </c>
    </row>
    <row r="2032" spans="1:29" x14ac:dyDescent="0.3">
      <c r="A2032" s="6">
        <v>1251</v>
      </c>
      <c r="B2032" s="6">
        <v>143776</v>
      </c>
      <c r="C2032" s="6">
        <v>1</v>
      </c>
      <c r="D2032" s="6">
        <v>1</v>
      </c>
      <c r="E2032" s="6">
        <v>68</v>
      </c>
      <c r="F2032" s="5" t="s">
        <v>8</v>
      </c>
      <c r="G2032" s="5" t="s">
        <v>12</v>
      </c>
      <c r="H2032" s="3">
        <v>43776</v>
      </c>
      <c r="I2032" s="5" t="s">
        <v>435</v>
      </c>
      <c r="J2032" s="5">
        <f>_xlfn.XLOOKUP(CustomerCombined[[#This Row],[ID]], Table4[ID], Table4[Recency], "Not Found", 0)</f>
        <v>9</v>
      </c>
      <c r="K2032" s="5">
        <f>_xlfn.XLOOKUP(CustomerCombined[[#This Row],[ID]], Table4[ID], Table4[Teas], "Not Found", 0)</f>
        <v>581</v>
      </c>
      <c r="L2032" s="5">
        <f>_xlfn.XLOOKUP(CustomerCombined[[#This Row],[ID]], Table4[ID], Table4[Fruits], "Not Found", 0)</f>
        <v>7</v>
      </c>
      <c r="M2032" s="5">
        <f>_xlfn.XLOOKUP(CustomerCombined[[#This Row],[ID]], Table4[ID], Table4[Meats], "Not Found", 0)</f>
        <v>233</v>
      </c>
      <c r="N2032" s="5">
        <f>_xlfn.XLOOKUP(CustomerCombined[[#This Row],[ID]], Table4[ID], Table4[Seafood], "Not Found", 0)</f>
        <v>10</v>
      </c>
      <c r="O2032" s="5">
        <f>_xlfn.XLOOKUP(CustomerCombined[[#This Row],[ID]], Table4[ID], Table4[Sweets], "Not Found", 0)</f>
        <v>7</v>
      </c>
      <c r="P2032" s="5">
        <f>_xlfn.XLOOKUP(CustomerCombined[[#This Row],[ID]], Table4[ID], Table4[Premium], "Not Found", 0)</f>
        <v>66</v>
      </c>
      <c r="Q2032" s="5">
        <f>_xlfn.XLOOKUP(CustomerCombined[[#This Row],[ID]], Table4[ID], Table4[Regular], "Not Found", 0)</f>
        <v>772</v>
      </c>
      <c r="R2032" s="5">
        <f>_xlfn.XLOOKUP(CustomerCombined[[#This Row],[ID]], Table4[ID], Table4[Deals], "Not Found", 0)</f>
        <v>6</v>
      </c>
      <c r="S2032" s="5">
        <f>_xlfn.XLOOKUP(CustomerCombined[[#This Row],[ID]], Table4[ID], Table4[Website], "Not Found", 0)</f>
        <v>5</v>
      </c>
      <c r="T2032" s="5">
        <f>_xlfn.XLOOKUP(CustomerCombined[[#This Row],[ID]], Table4[ID], Table4[Catalog], "Not Found", 0)</f>
        <v>2</v>
      </c>
      <c r="U2032" s="5">
        <f>_xlfn.XLOOKUP(CustomerCombined[[#This Row],[ID]], Table4[ID], Table4[Store], "Not Found", 0)</f>
        <v>4</v>
      </c>
      <c r="V2032" s="5">
        <f>_xlfn.XLOOKUP(CustomerCombined[[#This Row],[ID]], Table4[ID], Table4[Visits], "Not Found", 0)</f>
        <v>8</v>
      </c>
      <c r="W2032" s="8">
        <f>_xlfn.XLOOKUP(CustomerCombined[[#This Row],[ID]], Table2[ID],Table2[Complaint], "Not Found", 0 )</f>
        <v>0</v>
      </c>
      <c r="X2032" s="8">
        <f>_xlfn.XLOOKUP(CustomerCombined[[#This Row],[ID]], Table2[ID],Table2[Pilot], "Not Found", 0 )</f>
        <v>1</v>
      </c>
      <c r="Y2032" s="8">
        <f>_xlfn.XLOOKUP(CustomerCombined[[#This Row],[ID]], Table2[ID],Table2[MC1], "Not Found", 0 )</f>
        <v>0</v>
      </c>
      <c r="Z2032" s="8">
        <f>_xlfn.XLOOKUP(CustomerCombined[[#This Row],[ID]], Table2[ID],Table2[MC2], "Not Found", 0 )</f>
        <v>0</v>
      </c>
      <c r="AA2032" s="8">
        <f>_xlfn.XLOOKUP(CustomerCombined[[#This Row],[ID]], Table2[ID],Table2[MC3], "Not Found", 0 )</f>
        <v>0</v>
      </c>
      <c r="AB2032" s="8">
        <f>_xlfn.XLOOKUP(CustomerCombined[[#This Row],[ID]], Table2[ID],Table2[MC4], "Not Found", 0 )</f>
        <v>0</v>
      </c>
      <c r="AC2032" s="8">
        <f>_xlfn.XLOOKUP(CustomerCombined[[#This Row],[ID]], Table2[ID],Table2[MC5], "Not Found", 0 )</f>
        <v>0</v>
      </c>
    </row>
    <row r="2033" spans="1:29" x14ac:dyDescent="0.3">
      <c r="A2033" s="6">
        <v>1539</v>
      </c>
      <c r="B2033" s="6">
        <v>143462</v>
      </c>
      <c r="C2033" s="6">
        <v>1</v>
      </c>
      <c r="D2033" s="6">
        <v>1</v>
      </c>
      <c r="E2033" s="6">
        <v>68</v>
      </c>
      <c r="F2033" s="5" t="s">
        <v>8</v>
      </c>
      <c r="G2033" s="5" t="s">
        <v>11</v>
      </c>
      <c r="H2033" s="3" t="s">
        <v>397</v>
      </c>
      <c r="I2033" s="5" t="s">
        <v>435</v>
      </c>
      <c r="J2033" s="5">
        <f>_xlfn.XLOOKUP(CustomerCombined[[#This Row],[ID]], Table4[ID], Table4[Recency], "Not Found", 0)</f>
        <v>50</v>
      </c>
      <c r="K2033" s="5">
        <f>_xlfn.XLOOKUP(CustomerCombined[[#This Row],[ID]], Table4[ID], Table4[Teas], "Not Found", 0)</f>
        <v>297</v>
      </c>
      <c r="L2033" s="5">
        <f>_xlfn.XLOOKUP(CustomerCombined[[#This Row],[ID]], Table4[ID], Table4[Fruits], "Not Found", 0)</f>
        <v>56</v>
      </c>
      <c r="M2033" s="5">
        <f>_xlfn.XLOOKUP(CustomerCombined[[#This Row],[ID]], Table4[ID], Table4[Meats], "Not Found", 0)</f>
        <v>320</v>
      </c>
      <c r="N2033" s="5">
        <f>_xlfn.XLOOKUP(CustomerCombined[[#This Row],[ID]], Table4[ID], Table4[Seafood], "Not Found", 0)</f>
        <v>50</v>
      </c>
      <c r="O2033" s="5">
        <f>_xlfn.XLOOKUP(CustomerCombined[[#This Row],[ID]], Table4[ID], Table4[Sweets], "Not Found", 0)</f>
        <v>20</v>
      </c>
      <c r="P2033" s="5">
        <f>_xlfn.XLOOKUP(CustomerCombined[[#This Row],[ID]], Table4[ID], Table4[Premium], "Not Found", 0)</f>
        <v>50</v>
      </c>
      <c r="Q2033" s="5">
        <f>_xlfn.XLOOKUP(CustomerCombined[[#This Row],[ID]], Table4[ID], Table4[Regular], "Not Found", 0)</f>
        <v>693</v>
      </c>
      <c r="R2033" s="5">
        <f>_xlfn.XLOOKUP(CustomerCombined[[#This Row],[ID]], Table4[ID], Table4[Deals], "Not Found", 0)</f>
        <v>6</v>
      </c>
      <c r="S2033" s="5">
        <f>_xlfn.XLOOKUP(CustomerCombined[[#This Row],[ID]], Table4[ID], Table4[Website], "Not Found", 0)</f>
        <v>4</v>
      </c>
      <c r="T2033" s="5">
        <f>_xlfn.XLOOKUP(CustomerCombined[[#This Row],[ID]], Table4[ID], Table4[Catalog], "Not Found", 0)</f>
        <v>1</v>
      </c>
      <c r="U2033" s="5">
        <f>_xlfn.XLOOKUP(CustomerCombined[[#This Row],[ID]], Table4[ID], Table4[Store], "Not Found", 0)</f>
        <v>5</v>
      </c>
      <c r="V2033" s="5">
        <f>_xlfn.XLOOKUP(CustomerCombined[[#This Row],[ID]], Table4[ID], Table4[Visits], "Not Found", 0)</f>
        <v>8</v>
      </c>
      <c r="W2033" s="8">
        <f>_xlfn.XLOOKUP(CustomerCombined[[#This Row],[ID]], Table2[ID],Table2[Complaint], "Not Found", 0 )</f>
        <v>0</v>
      </c>
      <c r="X2033" s="8">
        <f>_xlfn.XLOOKUP(CustomerCombined[[#This Row],[ID]], Table2[ID],Table2[Pilot], "Not Found", 0 )</f>
        <v>0</v>
      </c>
      <c r="Y2033" s="8">
        <f>_xlfn.XLOOKUP(CustomerCombined[[#This Row],[ID]], Table2[ID],Table2[MC1], "Not Found", 0 )</f>
        <v>0</v>
      </c>
      <c r="Z2033" s="8">
        <f>_xlfn.XLOOKUP(CustomerCombined[[#This Row],[ID]], Table2[ID],Table2[MC2], "Not Found", 0 )</f>
        <v>0</v>
      </c>
      <c r="AA2033" s="8">
        <f>_xlfn.XLOOKUP(CustomerCombined[[#This Row],[ID]], Table2[ID],Table2[MC3], "Not Found", 0 )</f>
        <v>0</v>
      </c>
      <c r="AB2033" s="8">
        <f>_xlfn.XLOOKUP(CustomerCombined[[#This Row],[ID]], Table2[ID],Table2[MC4], "Not Found", 0 )</f>
        <v>0</v>
      </c>
      <c r="AC2033" s="8">
        <f>_xlfn.XLOOKUP(CustomerCombined[[#This Row],[ID]], Table2[ID],Table2[MC5], "Not Found", 0 )</f>
        <v>0</v>
      </c>
    </row>
    <row r="2034" spans="1:29" x14ac:dyDescent="0.3">
      <c r="A2034" s="6">
        <v>2938</v>
      </c>
      <c r="B2034" s="6">
        <v>140887</v>
      </c>
      <c r="C2034" s="6">
        <v>1</v>
      </c>
      <c r="D2034" s="6">
        <v>1</v>
      </c>
      <c r="E2034" s="6">
        <v>68</v>
      </c>
      <c r="F2034" s="5" t="s">
        <v>7</v>
      </c>
      <c r="G2034" s="5" t="s">
        <v>11</v>
      </c>
      <c r="H2034" s="3">
        <v>43779</v>
      </c>
      <c r="I2034" s="5" t="s">
        <v>439</v>
      </c>
      <c r="J2034" s="5">
        <f>_xlfn.XLOOKUP(CustomerCombined[[#This Row],[ID]], Table4[ID], Table4[Recency], "Not Found", 0)</f>
        <v>32</v>
      </c>
      <c r="K2034" s="5">
        <f>_xlfn.XLOOKUP(CustomerCombined[[#This Row],[ID]], Table4[ID], Table4[Teas], "Not Found", 0)</f>
        <v>172</v>
      </c>
      <c r="L2034" s="5">
        <f>_xlfn.XLOOKUP(CustomerCombined[[#This Row],[ID]], Table4[ID], Table4[Fruits], "Not Found", 0)</f>
        <v>14</v>
      </c>
      <c r="M2034" s="5">
        <f>_xlfn.XLOOKUP(CustomerCombined[[#This Row],[ID]], Table4[ID], Table4[Meats], "Not Found", 0)</f>
        <v>152</v>
      </c>
      <c r="N2034" s="5">
        <f>_xlfn.XLOOKUP(CustomerCombined[[#This Row],[ID]], Table4[ID], Table4[Seafood], "Not Found", 0)</f>
        <v>34</v>
      </c>
      <c r="O2034" s="5">
        <f>_xlfn.XLOOKUP(CustomerCombined[[#This Row],[ID]], Table4[ID], Table4[Sweets], "Not Found", 0)</f>
        <v>34</v>
      </c>
      <c r="P2034" s="5">
        <f>_xlfn.XLOOKUP(CustomerCombined[[#This Row],[ID]], Table4[ID], Table4[Premium], "Not Found", 0)</f>
        <v>148</v>
      </c>
      <c r="Q2034" s="5">
        <f>_xlfn.XLOOKUP(CustomerCombined[[#This Row],[ID]], Table4[ID], Table4[Regular], "Not Found", 0)</f>
        <v>258</v>
      </c>
      <c r="R2034" s="5">
        <f>_xlfn.XLOOKUP(CustomerCombined[[#This Row],[ID]], Table4[ID], Table4[Deals], "Not Found", 0)</f>
        <v>3</v>
      </c>
      <c r="S2034" s="5">
        <f>_xlfn.XLOOKUP(CustomerCombined[[#This Row],[ID]], Table4[ID], Table4[Website], "Not Found", 0)</f>
        <v>3</v>
      </c>
      <c r="T2034" s="5">
        <f>_xlfn.XLOOKUP(CustomerCombined[[#This Row],[ID]], Table4[ID], Table4[Catalog], "Not Found", 0)</f>
        <v>1</v>
      </c>
      <c r="U2034" s="5">
        <f>_xlfn.XLOOKUP(CustomerCombined[[#This Row],[ID]], Table4[ID], Table4[Store], "Not Found", 0)</f>
        <v>3</v>
      </c>
      <c r="V2034" s="5">
        <f>_xlfn.XLOOKUP(CustomerCombined[[#This Row],[ID]], Table4[ID], Table4[Visits], "Not Found", 0)</f>
        <v>9</v>
      </c>
      <c r="W2034" s="8">
        <f>_xlfn.XLOOKUP(CustomerCombined[[#This Row],[ID]], Table2[ID],Table2[Complaint], "Not Found", 0 )</f>
        <v>0</v>
      </c>
      <c r="X2034" s="8">
        <f>_xlfn.XLOOKUP(CustomerCombined[[#This Row],[ID]], Table2[ID],Table2[Pilot], "Not Found", 0 )</f>
        <v>1</v>
      </c>
      <c r="Y2034" s="8">
        <f>_xlfn.XLOOKUP(CustomerCombined[[#This Row],[ID]], Table2[ID],Table2[MC1], "Not Found", 0 )</f>
        <v>0</v>
      </c>
      <c r="Z2034" s="8">
        <f>_xlfn.XLOOKUP(CustomerCombined[[#This Row],[ID]], Table2[ID],Table2[MC2], "Not Found", 0 )</f>
        <v>0</v>
      </c>
      <c r="AA2034" s="8">
        <f>_xlfn.XLOOKUP(CustomerCombined[[#This Row],[ID]], Table2[ID],Table2[MC3], "Not Found", 0 )</f>
        <v>0</v>
      </c>
      <c r="AB2034" s="8">
        <f>_xlfn.XLOOKUP(CustomerCombined[[#This Row],[ID]], Table2[ID],Table2[MC4], "Not Found", 0 )</f>
        <v>0</v>
      </c>
      <c r="AC2034" s="8">
        <f>_xlfn.XLOOKUP(CustomerCombined[[#This Row],[ID]], Table2[ID],Table2[MC5], "Not Found", 0 )</f>
        <v>0</v>
      </c>
    </row>
    <row r="2035" spans="1:29" x14ac:dyDescent="0.3">
      <c r="A2035" s="6">
        <v>2562</v>
      </c>
      <c r="B2035" s="6">
        <v>140442</v>
      </c>
      <c r="C2035" s="6">
        <v>1</v>
      </c>
      <c r="D2035" s="6">
        <v>1</v>
      </c>
      <c r="E2035" s="6">
        <v>68</v>
      </c>
      <c r="F2035" s="5" t="s">
        <v>8</v>
      </c>
      <c r="G2035" s="5" t="s">
        <v>12</v>
      </c>
      <c r="H2035" s="3" t="s">
        <v>409</v>
      </c>
      <c r="I2035" s="5" t="s">
        <v>436</v>
      </c>
      <c r="J2035" s="5">
        <f>_xlfn.XLOOKUP(CustomerCombined[[#This Row],[ID]], Table4[ID], Table4[Recency], "Not Found", 0)</f>
        <v>52</v>
      </c>
      <c r="K2035" s="5">
        <f>_xlfn.XLOOKUP(CustomerCombined[[#This Row],[ID]], Table4[ID], Table4[Teas], "Not Found", 0)</f>
        <v>156</v>
      </c>
      <c r="L2035" s="5">
        <f>_xlfn.XLOOKUP(CustomerCombined[[#This Row],[ID]], Table4[ID], Table4[Fruits], "Not Found", 0)</f>
        <v>42</v>
      </c>
      <c r="M2035" s="5">
        <f>_xlfn.XLOOKUP(CustomerCombined[[#This Row],[ID]], Table4[ID], Table4[Meats], "Not Found", 0)</f>
        <v>181</v>
      </c>
      <c r="N2035" s="5">
        <f>_xlfn.XLOOKUP(CustomerCombined[[#This Row],[ID]], Table4[ID], Table4[Seafood], "Not Found", 0)</f>
        <v>87</v>
      </c>
      <c r="O2035" s="5">
        <f>_xlfn.XLOOKUP(CustomerCombined[[#This Row],[ID]], Table4[ID], Table4[Sweets], "Not Found", 0)</f>
        <v>76</v>
      </c>
      <c r="P2035" s="5">
        <f>_xlfn.XLOOKUP(CustomerCombined[[#This Row],[ID]], Table4[ID], Table4[Premium], "Not Found", 0)</f>
        <v>45</v>
      </c>
      <c r="Q2035" s="5">
        <f>_xlfn.XLOOKUP(CustomerCombined[[#This Row],[ID]], Table4[ID], Table4[Regular], "Not Found", 0)</f>
        <v>497</v>
      </c>
      <c r="R2035" s="5">
        <f>_xlfn.XLOOKUP(CustomerCombined[[#This Row],[ID]], Table4[ID], Table4[Deals], "Not Found", 0)</f>
        <v>4</v>
      </c>
      <c r="S2035" s="5">
        <f>_xlfn.XLOOKUP(CustomerCombined[[#This Row],[ID]], Table4[ID], Table4[Website], "Not Found", 0)</f>
        <v>3</v>
      </c>
      <c r="T2035" s="5">
        <f>_xlfn.XLOOKUP(CustomerCombined[[#This Row],[ID]], Table4[ID], Table4[Catalog], "Not Found", 0)</f>
        <v>1</v>
      </c>
      <c r="U2035" s="5">
        <f>_xlfn.XLOOKUP(CustomerCombined[[#This Row],[ID]], Table4[ID], Table4[Store], "Not Found", 0)</f>
        <v>4</v>
      </c>
      <c r="V2035" s="5">
        <f>_xlfn.XLOOKUP(CustomerCombined[[#This Row],[ID]], Table4[ID], Table4[Visits], "Not Found", 0)</f>
        <v>7</v>
      </c>
      <c r="W2035" s="8">
        <f>_xlfn.XLOOKUP(CustomerCombined[[#This Row],[ID]], Table2[ID],Table2[Complaint], "Not Found", 0 )</f>
        <v>0</v>
      </c>
      <c r="X2035" s="8">
        <f>_xlfn.XLOOKUP(CustomerCombined[[#This Row],[ID]], Table2[ID],Table2[Pilot], "Not Found", 0 )</f>
        <v>1</v>
      </c>
      <c r="Y2035" s="8">
        <f>_xlfn.XLOOKUP(CustomerCombined[[#This Row],[ID]], Table2[ID],Table2[MC1], "Not Found", 0 )</f>
        <v>0</v>
      </c>
      <c r="Z2035" s="8">
        <f>_xlfn.XLOOKUP(CustomerCombined[[#This Row],[ID]], Table2[ID],Table2[MC2], "Not Found", 0 )</f>
        <v>0</v>
      </c>
      <c r="AA2035" s="8">
        <f>_xlfn.XLOOKUP(CustomerCombined[[#This Row],[ID]], Table2[ID],Table2[MC3], "Not Found", 0 )</f>
        <v>0</v>
      </c>
      <c r="AB2035" s="8">
        <f>_xlfn.XLOOKUP(CustomerCombined[[#This Row],[ID]], Table2[ID],Table2[MC4], "Not Found", 0 )</f>
        <v>0</v>
      </c>
      <c r="AC2035" s="8">
        <f>_xlfn.XLOOKUP(CustomerCombined[[#This Row],[ID]], Table2[ID],Table2[MC5], "Not Found", 0 )</f>
        <v>0</v>
      </c>
    </row>
    <row r="2036" spans="1:29" x14ac:dyDescent="0.3">
      <c r="A2036" s="6">
        <v>2318</v>
      </c>
      <c r="B2036" s="6">
        <v>140049</v>
      </c>
      <c r="C2036" s="6">
        <v>0</v>
      </c>
      <c r="D2036" s="6">
        <v>1</v>
      </c>
      <c r="E2036" s="6">
        <v>68</v>
      </c>
      <c r="F2036" s="5" t="s">
        <v>9</v>
      </c>
      <c r="G2036" s="5" t="s">
        <v>11</v>
      </c>
      <c r="H2036" s="3" t="s">
        <v>166</v>
      </c>
      <c r="I2036" s="5" t="s">
        <v>438</v>
      </c>
      <c r="J2036" s="5">
        <f>_xlfn.XLOOKUP(CustomerCombined[[#This Row],[ID]], Table4[ID], Table4[Recency], "Not Found", 0)</f>
        <v>23</v>
      </c>
      <c r="K2036" s="5">
        <f>_xlfn.XLOOKUP(CustomerCombined[[#This Row],[ID]], Table4[ID], Table4[Teas], "Not Found", 0)</f>
        <v>45</v>
      </c>
      <c r="L2036" s="5">
        <f>_xlfn.XLOOKUP(CustomerCombined[[#This Row],[ID]], Table4[ID], Table4[Fruits], "Not Found", 0)</f>
        <v>21</v>
      </c>
      <c r="M2036" s="5">
        <f>_xlfn.XLOOKUP(CustomerCombined[[#This Row],[ID]], Table4[ID], Table4[Meats], "Not Found", 0)</f>
        <v>24</v>
      </c>
      <c r="N2036" s="5">
        <f>_xlfn.XLOOKUP(CustomerCombined[[#This Row],[ID]], Table4[ID], Table4[Seafood], "Not Found", 0)</f>
        <v>0</v>
      </c>
      <c r="O2036" s="5">
        <f>_xlfn.XLOOKUP(CustomerCombined[[#This Row],[ID]], Table4[ID], Table4[Sweets], "Not Found", 0)</f>
        <v>10</v>
      </c>
      <c r="P2036" s="5">
        <f>_xlfn.XLOOKUP(CustomerCombined[[#This Row],[ID]], Table4[ID], Table4[Premium], "Not Found", 0)</f>
        <v>10</v>
      </c>
      <c r="Q2036" s="5">
        <f>_xlfn.XLOOKUP(CustomerCombined[[#This Row],[ID]], Table4[ID], Table4[Regular], "Not Found", 0)</f>
        <v>91</v>
      </c>
      <c r="R2036" s="5">
        <f>_xlfn.XLOOKUP(CustomerCombined[[#This Row],[ID]], Table4[ID], Table4[Deals], "Not Found", 0)</f>
        <v>1</v>
      </c>
      <c r="S2036" s="5">
        <f>_xlfn.XLOOKUP(CustomerCombined[[#This Row],[ID]], Table4[ID], Table4[Website], "Not Found", 0)</f>
        <v>1</v>
      </c>
      <c r="T2036" s="5">
        <f>_xlfn.XLOOKUP(CustomerCombined[[#This Row],[ID]], Table4[ID], Table4[Catalog], "Not Found", 0)</f>
        <v>0</v>
      </c>
      <c r="U2036" s="5">
        <f>_xlfn.XLOOKUP(CustomerCombined[[#This Row],[ID]], Table4[ID], Table4[Store], "Not Found", 0)</f>
        <v>3</v>
      </c>
      <c r="V2036" s="5">
        <f>_xlfn.XLOOKUP(CustomerCombined[[#This Row],[ID]], Table4[ID], Table4[Visits], "Not Found", 0)</f>
        <v>6</v>
      </c>
      <c r="W2036" s="8">
        <f>_xlfn.XLOOKUP(CustomerCombined[[#This Row],[ID]], Table2[ID],Table2[Complaint], "Not Found", 0 )</f>
        <v>0</v>
      </c>
      <c r="X2036" s="8">
        <f>_xlfn.XLOOKUP(CustomerCombined[[#This Row],[ID]], Table2[ID],Table2[Pilot], "Not Found", 0 )</f>
        <v>0</v>
      </c>
      <c r="Y2036" s="8">
        <f>_xlfn.XLOOKUP(CustomerCombined[[#This Row],[ID]], Table2[ID],Table2[MC1], "Not Found", 0 )</f>
        <v>0</v>
      </c>
      <c r="Z2036" s="8">
        <f>_xlfn.XLOOKUP(CustomerCombined[[#This Row],[ID]], Table2[ID],Table2[MC2], "Not Found", 0 )</f>
        <v>0</v>
      </c>
      <c r="AA2036" s="8">
        <f>_xlfn.XLOOKUP(CustomerCombined[[#This Row],[ID]], Table2[ID],Table2[MC3], "Not Found", 0 )</f>
        <v>0</v>
      </c>
      <c r="AB2036" s="8">
        <f>_xlfn.XLOOKUP(CustomerCombined[[#This Row],[ID]], Table2[ID],Table2[MC4], "Not Found", 0 )</f>
        <v>0</v>
      </c>
      <c r="AC2036" s="8">
        <f>_xlfn.XLOOKUP(CustomerCombined[[#This Row],[ID]], Table2[ID],Table2[MC5], "Not Found", 0 )</f>
        <v>0</v>
      </c>
    </row>
    <row r="2037" spans="1:29" x14ac:dyDescent="0.3">
      <c r="A2037" s="6">
        <v>1959</v>
      </c>
      <c r="B2037" s="6">
        <v>135704</v>
      </c>
      <c r="C2037" s="6">
        <v>1</v>
      </c>
      <c r="D2037" s="6">
        <v>1</v>
      </c>
      <c r="E2037" s="6">
        <v>68</v>
      </c>
      <c r="F2037" s="5" t="s">
        <v>6</v>
      </c>
      <c r="G2037" s="5" t="s">
        <v>11</v>
      </c>
      <c r="H2037" s="3">
        <v>44080</v>
      </c>
      <c r="I2037" s="5" t="s">
        <v>435</v>
      </c>
      <c r="J2037" s="5">
        <f>_xlfn.XLOOKUP(CustomerCombined[[#This Row],[ID]], Table4[ID], Table4[Recency], "Not Found", 0)</f>
        <v>54</v>
      </c>
      <c r="K2037" s="5">
        <f>_xlfn.XLOOKUP(CustomerCombined[[#This Row],[ID]], Table4[ID], Table4[Teas], "Not Found", 0)</f>
        <v>114</v>
      </c>
      <c r="L2037" s="5">
        <f>_xlfn.XLOOKUP(CustomerCombined[[#This Row],[ID]], Table4[ID], Table4[Fruits], "Not Found", 0)</f>
        <v>34</v>
      </c>
      <c r="M2037" s="5">
        <f>_xlfn.XLOOKUP(CustomerCombined[[#This Row],[ID]], Table4[ID], Table4[Meats], "Not Found", 0)</f>
        <v>46</v>
      </c>
      <c r="N2037" s="5">
        <f>_xlfn.XLOOKUP(CustomerCombined[[#This Row],[ID]], Table4[ID], Table4[Seafood], "Not Found", 0)</f>
        <v>8</v>
      </c>
      <c r="O2037" s="5">
        <f>_xlfn.XLOOKUP(CustomerCombined[[#This Row],[ID]], Table4[ID], Table4[Sweets], "Not Found", 0)</f>
        <v>42</v>
      </c>
      <c r="P2037" s="5">
        <f>_xlfn.XLOOKUP(CustomerCombined[[#This Row],[ID]], Table4[ID], Table4[Premium], "Not Found", 0)</f>
        <v>114</v>
      </c>
      <c r="Q2037" s="5">
        <f>_xlfn.XLOOKUP(CustomerCombined[[#This Row],[ID]], Table4[ID], Table4[Regular], "Not Found", 0)</f>
        <v>129</v>
      </c>
      <c r="R2037" s="5">
        <f>_xlfn.XLOOKUP(CustomerCombined[[#This Row],[ID]], Table4[ID], Table4[Deals], "Not Found", 0)</f>
        <v>3</v>
      </c>
      <c r="S2037" s="5">
        <f>_xlfn.XLOOKUP(CustomerCombined[[#This Row],[ID]], Table4[ID], Table4[Website], "Not Found", 0)</f>
        <v>2</v>
      </c>
      <c r="T2037" s="5">
        <f>_xlfn.XLOOKUP(CustomerCombined[[#This Row],[ID]], Table4[ID], Table4[Catalog], "Not Found", 0)</f>
        <v>0</v>
      </c>
      <c r="U2037" s="5">
        <f>_xlfn.XLOOKUP(CustomerCombined[[#This Row],[ID]], Table4[ID], Table4[Store], "Not Found", 0)</f>
        <v>4</v>
      </c>
      <c r="V2037" s="5">
        <f>_xlfn.XLOOKUP(CustomerCombined[[#This Row],[ID]], Table4[ID], Table4[Visits], "Not Found", 0)</f>
        <v>4</v>
      </c>
      <c r="W2037" s="8">
        <f>_xlfn.XLOOKUP(CustomerCombined[[#This Row],[ID]], Table2[ID],Table2[Complaint], "Not Found", 0 )</f>
        <v>0</v>
      </c>
      <c r="X2037" s="8">
        <f>_xlfn.XLOOKUP(CustomerCombined[[#This Row],[ID]], Table2[ID],Table2[Pilot], "Not Found", 0 )</f>
        <v>0</v>
      </c>
      <c r="Y2037" s="8">
        <f>_xlfn.XLOOKUP(CustomerCombined[[#This Row],[ID]], Table2[ID],Table2[MC1], "Not Found", 0 )</f>
        <v>0</v>
      </c>
      <c r="Z2037" s="8">
        <f>_xlfn.XLOOKUP(CustomerCombined[[#This Row],[ID]], Table2[ID],Table2[MC2], "Not Found", 0 )</f>
        <v>0</v>
      </c>
      <c r="AA2037" s="8">
        <f>_xlfn.XLOOKUP(CustomerCombined[[#This Row],[ID]], Table2[ID],Table2[MC3], "Not Found", 0 )</f>
        <v>0</v>
      </c>
      <c r="AB2037" s="8">
        <f>_xlfn.XLOOKUP(CustomerCombined[[#This Row],[ID]], Table2[ID],Table2[MC4], "Not Found", 0 )</f>
        <v>0</v>
      </c>
      <c r="AC2037" s="8">
        <f>_xlfn.XLOOKUP(CustomerCombined[[#This Row],[ID]], Table2[ID],Table2[MC5], "Not Found", 0 )</f>
        <v>0</v>
      </c>
    </row>
    <row r="2038" spans="1:29" x14ac:dyDescent="0.3">
      <c r="A2038" s="6">
        <v>2769</v>
      </c>
      <c r="B2038" s="6">
        <v>134074</v>
      </c>
      <c r="C2038" s="6">
        <v>1</v>
      </c>
      <c r="D2038" s="6">
        <v>1</v>
      </c>
      <c r="E2038" s="6">
        <v>68</v>
      </c>
      <c r="F2038" s="5" t="s">
        <v>8</v>
      </c>
      <c r="G2038" s="5" t="s">
        <v>11</v>
      </c>
      <c r="H2038" s="3" t="s">
        <v>223</v>
      </c>
      <c r="I2038" s="5" t="s">
        <v>435</v>
      </c>
      <c r="J2038" s="5">
        <f>_xlfn.XLOOKUP(CustomerCombined[[#This Row],[ID]], Table4[ID], Table4[Recency], "Not Found", 0)</f>
        <v>69</v>
      </c>
      <c r="K2038" s="5">
        <f>_xlfn.XLOOKUP(CustomerCombined[[#This Row],[ID]], Table4[ID], Table4[Teas], "Not Found", 0)</f>
        <v>531</v>
      </c>
      <c r="L2038" s="5">
        <f>_xlfn.XLOOKUP(CustomerCombined[[#This Row],[ID]], Table4[ID], Table4[Fruits], "Not Found", 0)</f>
        <v>4</v>
      </c>
      <c r="M2038" s="5">
        <f>_xlfn.XLOOKUP(CustomerCombined[[#This Row],[ID]], Table4[ID], Table4[Meats], "Not Found", 0)</f>
        <v>161</v>
      </c>
      <c r="N2038" s="5">
        <f>_xlfn.XLOOKUP(CustomerCombined[[#This Row],[ID]], Table4[ID], Table4[Seafood], "Not Found", 0)</f>
        <v>39</v>
      </c>
      <c r="O2038" s="5">
        <f>_xlfn.XLOOKUP(CustomerCombined[[#This Row],[ID]], Table4[ID], Table4[Sweets], "Not Found", 0)</f>
        <v>4</v>
      </c>
      <c r="P2038" s="5">
        <f>_xlfn.XLOOKUP(CustomerCombined[[#This Row],[ID]], Table4[ID], Table4[Premium], "Not Found", 0)</f>
        <v>264</v>
      </c>
      <c r="Q2038" s="5">
        <f>_xlfn.XLOOKUP(CustomerCombined[[#This Row],[ID]], Table4[ID], Table4[Regular], "Not Found", 0)</f>
        <v>476</v>
      </c>
      <c r="R2038" s="5">
        <f>_xlfn.XLOOKUP(CustomerCombined[[#This Row],[ID]], Table4[ID], Table4[Deals], "Not Found", 0)</f>
        <v>5</v>
      </c>
      <c r="S2038" s="5">
        <f>_xlfn.XLOOKUP(CustomerCombined[[#This Row],[ID]], Table4[ID], Table4[Website], "Not Found", 0)</f>
        <v>3</v>
      </c>
      <c r="T2038" s="5">
        <f>_xlfn.XLOOKUP(CustomerCombined[[#This Row],[ID]], Table4[ID], Table4[Catalog], "Not Found", 0)</f>
        <v>3</v>
      </c>
      <c r="U2038" s="5">
        <f>_xlfn.XLOOKUP(CustomerCombined[[#This Row],[ID]], Table4[ID], Table4[Store], "Not Found", 0)</f>
        <v>3</v>
      </c>
      <c r="V2038" s="5">
        <f>_xlfn.XLOOKUP(CustomerCombined[[#This Row],[ID]], Table4[ID], Table4[Visits], "Not Found", 0)</f>
        <v>6</v>
      </c>
      <c r="W2038" s="8">
        <f>_xlfn.XLOOKUP(CustomerCombined[[#This Row],[ID]], Table2[ID],Table2[Complaint], "Not Found", 0 )</f>
        <v>0</v>
      </c>
      <c r="X2038" s="8">
        <f>_xlfn.XLOOKUP(CustomerCombined[[#This Row],[ID]], Table2[ID],Table2[Pilot], "Not Found", 0 )</f>
        <v>0</v>
      </c>
      <c r="Y2038" s="8">
        <f>_xlfn.XLOOKUP(CustomerCombined[[#This Row],[ID]], Table2[ID],Table2[MC1], "Not Found", 0 )</f>
        <v>0</v>
      </c>
      <c r="Z2038" s="8">
        <f>_xlfn.XLOOKUP(CustomerCombined[[#This Row],[ID]], Table2[ID],Table2[MC2], "Not Found", 0 )</f>
        <v>0</v>
      </c>
      <c r="AA2038" s="8">
        <f>_xlfn.XLOOKUP(CustomerCombined[[#This Row],[ID]], Table2[ID],Table2[MC3], "Not Found", 0 )</f>
        <v>1</v>
      </c>
      <c r="AB2038" s="8">
        <f>_xlfn.XLOOKUP(CustomerCombined[[#This Row],[ID]], Table2[ID],Table2[MC4], "Not Found", 0 )</f>
        <v>0</v>
      </c>
      <c r="AC2038" s="8">
        <f>_xlfn.XLOOKUP(CustomerCombined[[#This Row],[ID]], Table2[ID],Table2[MC5], "Not Found", 0 )</f>
        <v>0</v>
      </c>
    </row>
    <row r="2039" spans="1:29" x14ac:dyDescent="0.3">
      <c r="A2039" s="6">
        <v>2157</v>
      </c>
      <c r="B2039" s="6">
        <v>133444</v>
      </c>
      <c r="C2039" s="6">
        <v>1</v>
      </c>
      <c r="D2039" s="6">
        <v>1</v>
      </c>
      <c r="E2039" s="6">
        <v>68</v>
      </c>
      <c r="F2039" s="5" t="s">
        <v>6</v>
      </c>
      <c r="G2039" s="5" t="s">
        <v>12</v>
      </c>
      <c r="H2039" s="3">
        <v>43742</v>
      </c>
      <c r="I2039" s="5" t="s">
        <v>435</v>
      </c>
      <c r="J2039" s="5">
        <f>_xlfn.XLOOKUP(CustomerCombined[[#This Row],[ID]], Table4[ID], Table4[Recency], "Not Found", 0)</f>
        <v>24</v>
      </c>
      <c r="K2039" s="5">
        <f>_xlfn.XLOOKUP(CustomerCombined[[#This Row],[ID]], Table4[ID], Table4[Teas], "Not Found", 0)</f>
        <v>32</v>
      </c>
      <c r="L2039" s="5">
        <f>_xlfn.XLOOKUP(CustomerCombined[[#This Row],[ID]], Table4[ID], Table4[Fruits], "Not Found", 0)</f>
        <v>0</v>
      </c>
      <c r="M2039" s="5">
        <f>_xlfn.XLOOKUP(CustomerCombined[[#This Row],[ID]], Table4[ID], Table4[Meats], "Not Found", 0)</f>
        <v>32</v>
      </c>
      <c r="N2039" s="5">
        <f>_xlfn.XLOOKUP(CustomerCombined[[#This Row],[ID]], Table4[ID], Table4[Seafood], "Not Found", 0)</f>
        <v>0</v>
      </c>
      <c r="O2039" s="5">
        <f>_xlfn.XLOOKUP(CustomerCombined[[#This Row],[ID]], Table4[ID], Table4[Sweets], "Not Found", 0)</f>
        <v>0</v>
      </c>
      <c r="P2039" s="5">
        <f>_xlfn.XLOOKUP(CustomerCombined[[#This Row],[ID]], Table4[ID], Table4[Premium], "Not Found", 0)</f>
        <v>8</v>
      </c>
      <c r="Q2039" s="5">
        <f>_xlfn.XLOOKUP(CustomerCombined[[#This Row],[ID]], Table4[ID], Table4[Regular], "Not Found", 0)</f>
        <v>56</v>
      </c>
      <c r="R2039" s="5">
        <f>_xlfn.XLOOKUP(CustomerCombined[[#This Row],[ID]], Table4[ID], Table4[Deals], "Not Found", 0)</f>
        <v>1</v>
      </c>
      <c r="S2039" s="5">
        <f>_xlfn.XLOOKUP(CustomerCombined[[#This Row],[ID]], Table4[ID], Table4[Website], "Not Found", 0)</f>
        <v>1</v>
      </c>
      <c r="T2039" s="5">
        <f>_xlfn.XLOOKUP(CustomerCombined[[#This Row],[ID]], Table4[ID], Table4[Catalog], "Not Found", 0)</f>
        <v>0</v>
      </c>
      <c r="U2039" s="5">
        <f>_xlfn.XLOOKUP(CustomerCombined[[#This Row],[ID]], Table4[ID], Table4[Store], "Not Found", 0)</f>
        <v>2</v>
      </c>
      <c r="V2039" s="5">
        <f>_xlfn.XLOOKUP(CustomerCombined[[#This Row],[ID]], Table4[ID], Table4[Visits], "Not Found", 0)</f>
        <v>8</v>
      </c>
      <c r="W2039" s="8">
        <f>_xlfn.XLOOKUP(CustomerCombined[[#This Row],[ID]], Table2[ID],Table2[Complaint], "Not Found", 0 )</f>
        <v>0</v>
      </c>
      <c r="X2039" s="8">
        <f>_xlfn.XLOOKUP(CustomerCombined[[#This Row],[ID]], Table2[ID],Table2[Pilot], "Not Found", 0 )</f>
        <v>0</v>
      </c>
      <c r="Y2039" s="8">
        <f>_xlfn.XLOOKUP(CustomerCombined[[#This Row],[ID]], Table2[ID],Table2[MC1], "Not Found", 0 )</f>
        <v>0</v>
      </c>
      <c r="Z2039" s="8">
        <f>_xlfn.XLOOKUP(CustomerCombined[[#This Row],[ID]], Table2[ID],Table2[MC2], "Not Found", 0 )</f>
        <v>0</v>
      </c>
      <c r="AA2039" s="8">
        <f>_xlfn.XLOOKUP(CustomerCombined[[#This Row],[ID]], Table2[ID],Table2[MC3], "Not Found", 0 )</f>
        <v>0</v>
      </c>
      <c r="AB2039" s="8">
        <f>_xlfn.XLOOKUP(CustomerCombined[[#This Row],[ID]], Table2[ID],Table2[MC4], "Not Found", 0 )</f>
        <v>0</v>
      </c>
      <c r="AC2039" s="8">
        <f>_xlfn.XLOOKUP(CustomerCombined[[#This Row],[ID]], Table2[ID],Table2[MC5], "Not Found", 0 )</f>
        <v>0</v>
      </c>
    </row>
    <row r="2040" spans="1:29" x14ac:dyDescent="0.3">
      <c r="A2040" s="6">
        <v>2416</v>
      </c>
      <c r="B2040" s="6">
        <v>133402</v>
      </c>
      <c r="C2040" s="6">
        <v>1</v>
      </c>
      <c r="D2040" s="6">
        <v>1</v>
      </c>
      <c r="E2040" s="6">
        <v>68</v>
      </c>
      <c r="F2040" s="5" t="s">
        <v>8</v>
      </c>
      <c r="G2040" s="5" t="s">
        <v>11</v>
      </c>
      <c r="H2040" s="3" t="s">
        <v>218</v>
      </c>
      <c r="I2040" s="5" t="s">
        <v>439</v>
      </c>
      <c r="J2040" s="5">
        <f>_xlfn.XLOOKUP(CustomerCombined[[#This Row],[ID]], Table4[ID], Table4[Recency], "Not Found", 0)</f>
        <v>60</v>
      </c>
      <c r="K2040" s="5">
        <f>_xlfn.XLOOKUP(CustomerCombined[[#This Row],[ID]], Table4[ID], Table4[Teas], "Not Found", 0)</f>
        <v>104</v>
      </c>
      <c r="L2040" s="5">
        <f>_xlfn.XLOOKUP(CustomerCombined[[#This Row],[ID]], Table4[ID], Table4[Fruits], "Not Found", 0)</f>
        <v>8</v>
      </c>
      <c r="M2040" s="5">
        <f>_xlfn.XLOOKUP(CustomerCombined[[#This Row],[ID]], Table4[ID], Table4[Meats], "Not Found", 0)</f>
        <v>76</v>
      </c>
      <c r="N2040" s="5">
        <f>_xlfn.XLOOKUP(CustomerCombined[[#This Row],[ID]], Table4[ID], Table4[Seafood], "Not Found", 0)</f>
        <v>40</v>
      </c>
      <c r="O2040" s="5">
        <f>_xlfn.XLOOKUP(CustomerCombined[[#This Row],[ID]], Table4[ID], Table4[Sweets], "Not Found", 0)</f>
        <v>20</v>
      </c>
      <c r="P2040" s="5">
        <f>_xlfn.XLOOKUP(CustomerCombined[[#This Row],[ID]], Table4[ID], Table4[Premium], "Not Found", 0)</f>
        <v>32</v>
      </c>
      <c r="Q2040" s="5">
        <f>_xlfn.XLOOKUP(CustomerCombined[[#This Row],[ID]], Table4[ID], Table4[Regular], "Not Found", 0)</f>
        <v>216</v>
      </c>
      <c r="R2040" s="5">
        <f>_xlfn.XLOOKUP(CustomerCombined[[#This Row],[ID]], Table4[ID], Table4[Deals], "Not Found", 0)</f>
        <v>3</v>
      </c>
      <c r="S2040" s="5">
        <f>_xlfn.XLOOKUP(CustomerCombined[[#This Row],[ID]], Table4[ID], Table4[Website], "Not Found", 0)</f>
        <v>2</v>
      </c>
      <c r="T2040" s="5">
        <f>_xlfn.XLOOKUP(CustomerCombined[[#This Row],[ID]], Table4[ID], Table4[Catalog], "Not Found", 0)</f>
        <v>1</v>
      </c>
      <c r="U2040" s="5">
        <f>_xlfn.XLOOKUP(CustomerCombined[[#This Row],[ID]], Table4[ID], Table4[Store], "Not Found", 0)</f>
        <v>3</v>
      </c>
      <c r="V2040" s="5">
        <f>_xlfn.XLOOKUP(CustomerCombined[[#This Row],[ID]], Table4[ID], Table4[Visits], "Not Found", 0)</f>
        <v>8</v>
      </c>
      <c r="W2040" s="8">
        <f>_xlfn.XLOOKUP(CustomerCombined[[#This Row],[ID]], Table2[ID],Table2[Complaint], "Not Found", 0 )</f>
        <v>0</v>
      </c>
      <c r="X2040" s="8">
        <f>_xlfn.XLOOKUP(CustomerCombined[[#This Row],[ID]], Table2[ID],Table2[Pilot], "Not Found", 0 )</f>
        <v>0</v>
      </c>
      <c r="Y2040" s="8">
        <f>_xlfn.XLOOKUP(CustomerCombined[[#This Row],[ID]], Table2[ID],Table2[MC1], "Not Found", 0 )</f>
        <v>0</v>
      </c>
      <c r="Z2040" s="8">
        <f>_xlfn.XLOOKUP(CustomerCombined[[#This Row],[ID]], Table2[ID],Table2[MC2], "Not Found", 0 )</f>
        <v>0</v>
      </c>
      <c r="AA2040" s="8">
        <f>_xlfn.XLOOKUP(CustomerCombined[[#This Row],[ID]], Table2[ID],Table2[MC3], "Not Found", 0 )</f>
        <v>0</v>
      </c>
      <c r="AB2040" s="8">
        <f>_xlfn.XLOOKUP(CustomerCombined[[#This Row],[ID]], Table2[ID],Table2[MC4], "Not Found", 0 )</f>
        <v>0</v>
      </c>
      <c r="AC2040" s="8">
        <f>_xlfn.XLOOKUP(CustomerCombined[[#This Row],[ID]], Table2[ID],Table2[MC5], "Not Found", 0 )</f>
        <v>0</v>
      </c>
    </row>
    <row r="2041" spans="1:29" x14ac:dyDescent="0.3">
      <c r="A2041" s="6">
        <v>1473</v>
      </c>
      <c r="B2041" s="6">
        <v>128457</v>
      </c>
      <c r="C2041" s="6">
        <v>0</v>
      </c>
      <c r="D2041" s="6">
        <v>0</v>
      </c>
      <c r="E2041" s="6">
        <v>68</v>
      </c>
      <c r="F2041" s="5" t="s">
        <v>9</v>
      </c>
      <c r="G2041" s="5" t="s">
        <v>442</v>
      </c>
      <c r="H2041" s="3">
        <v>43559</v>
      </c>
      <c r="I2041" s="5" t="s">
        <v>435</v>
      </c>
      <c r="J2041" s="5">
        <f>_xlfn.XLOOKUP(CustomerCombined[[#This Row],[ID]], Table4[ID], Table4[Recency], "Not Found", 0)</f>
        <v>96</v>
      </c>
      <c r="K2041" s="5">
        <f>_xlfn.XLOOKUP(CustomerCombined[[#This Row],[ID]], Table4[ID], Table4[Teas], "Not Found", 0)</f>
        <v>108</v>
      </c>
      <c r="L2041" s="5">
        <f>_xlfn.XLOOKUP(CustomerCombined[[#This Row],[ID]], Table4[ID], Table4[Fruits], "Not Found", 0)</f>
        <v>5</v>
      </c>
      <c r="M2041" s="5">
        <f>_xlfn.XLOOKUP(CustomerCombined[[#This Row],[ID]], Table4[ID], Table4[Meats], "Not Found", 0)</f>
        <v>488</v>
      </c>
      <c r="N2041" s="5">
        <f>_xlfn.XLOOKUP(CustomerCombined[[#This Row],[ID]], Table4[ID], Table4[Seafood], "Not Found", 0)</f>
        <v>131</v>
      </c>
      <c r="O2041" s="5">
        <f>_xlfn.XLOOKUP(CustomerCombined[[#This Row],[ID]], Table4[ID], Table4[Sweets], "Not Found", 0)</f>
        <v>131</v>
      </c>
      <c r="P2041" s="5">
        <f>_xlfn.XLOOKUP(CustomerCombined[[#This Row],[ID]], Table4[ID], Table4[Premium], "Not Found", 0)</f>
        <v>63</v>
      </c>
      <c r="Q2041" s="5">
        <f>_xlfn.XLOOKUP(CustomerCombined[[#This Row],[ID]], Table4[ID], Table4[Regular], "Not Found", 0)</f>
        <v>799</v>
      </c>
      <c r="R2041" s="5">
        <f>_xlfn.XLOOKUP(CustomerCombined[[#This Row],[ID]], Table4[ID], Table4[Deals], "Not Found", 0)</f>
        <v>1</v>
      </c>
      <c r="S2041" s="5">
        <f>_xlfn.XLOOKUP(CustomerCombined[[#This Row],[ID]], Table4[ID], Table4[Website], "Not Found", 0)</f>
        <v>4</v>
      </c>
      <c r="T2041" s="5">
        <f>_xlfn.XLOOKUP(CustomerCombined[[#This Row],[ID]], Table4[ID], Table4[Catalog], "Not Found", 0)</f>
        <v>1</v>
      </c>
      <c r="U2041" s="5">
        <f>_xlfn.XLOOKUP(CustomerCombined[[#This Row],[ID]], Table4[ID], Table4[Store], "Not Found", 0)</f>
        <v>4</v>
      </c>
      <c r="V2041" s="5">
        <f>_xlfn.XLOOKUP(CustomerCombined[[#This Row],[ID]], Table4[ID], Table4[Visits], "Not Found", 0)</f>
        <v>8</v>
      </c>
      <c r="W2041" s="8">
        <f>_xlfn.XLOOKUP(CustomerCombined[[#This Row],[ID]], Table2[ID],Table2[Complaint], "Not Found", 0 )</f>
        <v>0</v>
      </c>
      <c r="X2041" s="8">
        <f>_xlfn.XLOOKUP(CustomerCombined[[#This Row],[ID]], Table2[ID],Table2[Pilot], "Not Found", 0 )</f>
        <v>0</v>
      </c>
      <c r="Y2041" s="8">
        <f>_xlfn.XLOOKUP(CustomerCombined[[#This Row],[ID]], Table2[ID],Table2[MC1], "Not Found", 0 )</f>
        <v>0</v>
      </c>
      <c r="Z2041" s="8">
        <f>_xlfn.XLOOKUP(CustomerCombined[[#This Row],[ID]], Table2[ID],Table2[MC2], "Not Found", 0 )</f>
        <v>0</v>
      </c>
      <c r="AA2041" s="8">
        <f>_xlfn.XLOOKUP(CustomerCombined[[#This Row],[ID]], Table2[ID],Table2[MC3], "Not Found", 0 )</f>
        <v>0</v>
      </c>
      <c r="AB2041" s="8">
        <f>_xlfn.XLOOKUP(CustomerCombined[[#This Row],[ID]], Table2[ID],Table2[MC4], "Not Found", 0 )</f>
        <v>0</v>
      </c>
      <c r="AC2041" s="8">
        <f>_xlfn.XLOOKUP(CustomerCombined[[#This Row],[ID]], Table2[ID],Table2[MC5], "Not Found", 0 )</f>
        <v>0</v>
      </c>
    </row>
    <row r="2042" spans="1:29" x14ac:dyDescent="0.3">
      <c r="A2042" s="6">
        <v>1069</v>
      </c>
      <c r="B2042" s="6">
        <v>128332</v>
      </c>
      <c r="C2042" s="6">
        <v>0</v>
      </c>
      <c r="D2042" s="6">
        <v>0</v>
      </c>
      <c r="E2042" s="6">
        <v>68</v>
      </c>
      <c r="F2042" s="5" t="s">
        <v>6</v>
      </c>
      <c r="G2042" s="5" t="s">
        <v>11</v>
      </c>
      <c r="H2042" s="3">
        <v>43931</v>
      </c>
      <c r="I2042" s="5" t="s">
        <v>437</v>
      </c>
      <c r="J2042" s="5">
        <f>_xlfn.XLOOKUP(CustomerCombined[[#This Row],[ID]], Table4[ID], Table4[Recency], "Not Found", 0)</f>
        <v>58</v>
      </c>
      <c r="K2042" s="5">
        <f>_xlfn.XLOOKUP(CustomerCombined[[#This Row],[ID]], Table4[ID], Table4[Teas], "Not Found", 0)</f>
        <v>63</v>
      </c>
      <c r="L2042" s="5">
        <f>_xlfn.XLOOKUP(CustomerCombined[[#This Row],[ID]], Table4[ID], Table4[Fruits], "Not Found", 0)</f>
        <v>45</v>
      </c>
      <c r="M2042" s="5">
        <f>_xlfn.XLOOKUP(CustomerCombined[[#This Row],[ID]], Table4[ID], Table4[Meats], "Not Found", 0)</f>
        <v>59</v>
      </c>
      <c r="N2042" s="5">
        <f>_xlfn.XLOOKUP(CustomerCombined[[#This Row],[ID]], Table4[ID], Table4[Seafood], "Not Found", 0)</f>
        <v>18</v>
      </c>
      <c r="O2042" s="5">
        <f>_xlfn.XLOOKUP(CustomerCombined[[#This Row],[ID]], Table4[ID], Table4[Sweets], "Not Found", 0)</f>
        <v>68</v>
      </c>
      <c r="P2042" s="5">
        <f>_xlfn.XLOOKUP(CustomerCombined[[#This Row],[ID]], Table4[ID], Table4[Premium], "Not Found", 0)</f>
        <v>41</v>
      </c>
      <c r="Q2042" s="5">
        <f>_xlfn.XLOOKUP(CustomerCombined[[#This Row],[ID]], Table4[ID], Table4[Regular], "Not Found", 0)</f>
        <v>213</v>
      </c>
      <c r="R2042" s="5">
        <f>_xlfn.XLOOKUP(CustomerCombined[[#This Row],[ID]], Table4[ID], Table4[Deals], "Not Found", 0)</f>
        <v>1</v>
      </c>
      <c r="S2042" s="5">
        <f>_xlfn.XLOOKUP(CustomerCombined[[#This Row],[ID]], Table4[ID], Table4[Website], "Not Found", 0)</f>
        <v>2</v>
      </c>
      <c r="T2042" s="5">
        <f>_xlfn.XLOOKUP(CustomerCombined[[#This Row],[ID]], Table4[ID], Table4[Catalog], "Not Found", 0)</f>
        <v>1</v>
      </c>
      <c r="U2042" s="5">
        <f>_xlfn.XLOOKUP(CustomerCombined[[#This Row],[ID]], Table4[ID], Table4[Store], "Not Found", 0)</f>
        <v>4</v>
      </c>
      <c r="V2042" s="5">
        <f>_xlfn.XLOOKUP(CustomerCombined[[#This Row],[ID]], Table4[ID], Table4[Visits], "Not Found", 0)</f>
        <v>2</v>
      </c>
      <c r="W2042" s="8">
        <f>_xlfn.XLOOKUP(CustomerCombined[[#This Row],[ID]], Table2[ID],Table2[Complaint], "Not Found", 0 )</f>
        <v>0</v>
      </c>
      <c r="X2042" s="8">
        <f>_xlfn.XLOOKUP(CustomerCombined[[#This Row],[ID]], Table2[ID],Table2[Pilot], "Not Found", 0 )</f>
        <v>0</v>
      </c>
      <c r="Y2042" s="8">
        <f>_xlfn.XLOOKUP(CustomerCombined[[#This Row],[ID]], Table2[ID],Table2[MC1], "Not Found", 0 )</f>
        <v>0</v>
      </c>
      <c r="Z2042" s="8">
        <f>_xlfn.XLOOKUP(CustomerCombined[[#This Row],[ID]], Table2[ID],Table2[MC2], "Not Found", 0 )</f>
        <v>0</v>
      </c>
      <c r="AA2042" s="8">
        <f>_xlfn.XLOOKUP(CustomerCombined[[#This Row],[ID]], Table2[ID],Table2[MC3], "Not Found", 0 )</f>
        <v>0</v>
      </c>
      <c r="AB2042" s="8">
        <f>_xlfn.XLOOKUP(CustomerCombined[[#This Row],[ID]], Table2[ID],Table2[MC4], "Not Found", 0 )</f>
        <v>0</v>
      </c>
      <c r="AC2042" s="8">
        <f>_xlfn.XLOOKUP(CustomerCombined[[#This Row],[ID]], Table2[ID],Table2[MC5], "Not Found", 0 )</f>
        <v>0</v>
      </c>
    </row>
    <row r="2043" spans="1:29" x14ac:dyDescent="0.3">
      <c r="A2043" s="6">
        <v>1674</v>
      </c>
      <c r="B2043" s="6">
        <v>113084</v>
      </c>
      <c r="C2043" s="6">
        <v>0</v>
      </c>
      <c r="D2043" s="6">
        <v>0</v>
      </c>
      <c r="E2043" s="6">
        <v>68</v>
      </c>
      <c r="F2043" s="5" t="s">
        <v>8</v>
      </c>
      <c r="G2043" s="5" t="s">
        <v>10</v>
      </c>
      <c r="H2043" s="3">
        <v>44047</v>
      </c>
      <c r="I2043" s="5" t="s">
        <v>436</v>
      </c>
      <c r="J2043" s="5">
        <f>_xlfn.XLOOKUP(CustomerCombined[[#This Row],[ID]], Table4[ID], Table4[Recency], "Not Found", 0)</f>
        <v>29</v>
      </c>
      <c r="K2043" s="5">
        <f>_xlfn.XLOOKUP(CustomerCombined[[#This Row],[ID]], Table4[ID], Table4[Teas], "Not Found", 0)</f>
        <v>17</v>
      </c>
      <c r="L2043" s="5">
        <f>_xlfn.XLOOKUP(CustomerCombined[[#This Row],[ID]], Table4[ID], Table4[Fruits], "Not Found", 0)</f>
        <v>0</v>
      </c>
      <c r="M2043" s="5">
        <f>_xlfn.XLOOKUP(CustomerCombined[[#This Row],[ID]], Table4[ID], Table4[Meats], "Not Found", 0)</f>
        <v>61</v>
      </c>
      <c r="N2043" s="5">
        <f>_xlfn.XLOOKUP(CustomerCombined[[#This Row],[ID]], Table4[ID], Table4[Seafood], "Not Found", 0)</f>
        <v>26</v>
      </c>
      <c r="O2043" s="5">
        <f>_xlfn.XLOOKUP(CustomerCombined[[#This Row],[ID]], Table4[ID], Table4[Sweets], "Not Found", 0)</f>
        <v>61</v>
      </c>
      <c r="P2043" s="5">
        <f>_xlfn.XLOOKUP(CustomerCombined[[#This Row],[ID]], Table4[ID], Table4[Premium], "Not Found", 0)</f>
        <v>86</v>
      </c>
      <c r="Q2043" s="5">
        <f>_xlfn.XLOOKUP(CustomerCombined[[#This Row],[ID]], Table4[ID], Table4[Regular], "Not Found", 0)</f>
        <v>78</v>
      </c>
      <c r="R2043" s="5">
        <f>_xlfn.XLOOKUP(CustomerCombined[[#This Row],[ID]], Table4[ID], Table4[Deals], "Not Found", 0)</f>
        <v>1</v>
      </c>
      <c r="S2043" s="5">
        <f>_xlfn.XLOOKUP(CustomerCombined[[#This Row],[ID]], Table4[ID], Table4[Website], "Not Found", 0)</f>
        <v>1</v>
      </c>
      <c r="T2043" s="5">
        <f>_xlfn.XLOOKUP(CustomerCombined[[#This Row],[ID]], Table4[ID], Table4[Catalog], "Not Found", 0)</f>
        <v>0</v>
      </c>
      <c r="U2043" s="5">
        <f>_xlfn.XLOOKUP(CustomerCombined[[#This Row],[ID]], Table4[ID], Table4[Store], "Not Found", 0)</f>
        <v>3</v>
      </c>
      <c r="V2043" s="5">
        <f>_xlfn.XLOOKUP(CustomerCombined[[#This Row],[ID]], Table4[ID], Table4[Visits], "Not Found", 0)</f>
        <v>6</v>
      </c>
      <c r="W2043" s="8">
        <f>_xlfn.XLOOKUP(CustomerCombined[[#This Row],[ID]], Table2[ID],Table2[Complaint], "Not Found", 0 )</f>
        <v>0</v>
      </c>
      <c r="X2043" s="8">
        <f>_xlfn.XLOOKUP(CustomerCombined[[#This Row],[ID]], Table2[ID],Table2[Pilot], "Not Found", 0 )</f>
        <v>0</v>
      </c>
      <c r="Y2043" s="8">
        <f>_xlfn.XLOOKUP(CustomerCombined[[#This Row],[ID]], Table2[ID],Table2[MC1], "Not Found", 0 )</f>
        <v>0</v>
      </c>
      <c r="Z2043" s="8">
        <f>_xlfn.XLOOKUP(CustomerCombined[[#This Row],[ID]], Table2[ID],Table2[MC2], "Not Found", 0 )</f>
        <v>0</v>
      </c>
      <c r="AA2043" s="8">
        <f>_xlfn.XLOOKUP(CustomerCombined[[#This Row],[ID]], Table2[ID],Table2[MC3], "Not Found", 0 )</f>
        <v>0</v>
      </c>
      <c r="AB2043" s="8">
        <f>_xlfn.XLOOKUP(CustomerCombined[[#This Row],[ID]], Table2[ID],Table2[MC4], "Not Found", 0 )</f>
        <v>0</v>
      </c>
      <c r="AC2043" s="8">
        <f>_xlfn.XLOOKUP(CustomerCombined[[#This Row],[ID]], Table2[ID],Table2[MC5], "Not Found", 0 )</f>
        <v>0</v>
      </c>
    </row>
    <row r="2044" spans="1:29" x14ac:dyDescent="0.3">
      <c r="A2044" s="6">
        <v>3163</v>
      </c>
      <c r="B2044" s="6">
        <v>108820</v>
      </c>
      <c r="C2044" s="6">
        <v>1</v>
      </c>
      <c r="D2044" s="6">
        <v>1</v>
      </c>
      <c r="E2044" s="6">
        <v>68</v>
      </c>
      <c r="F2044" s="5" t="s">
        <v>7</v>
      </c>
      <c r="G2044" s="5" t="s">
        <v>12</v>
      </c>
      <c r="H2044" s="3" t="s">
        <v>286</v>
      </c>
      <c r="I2044" s="5" t="s">
        <v>437</v>
      </c>
      <c r="J2044" s="5">
        <f>_xlfn.XLOOKUP(CustomerCombined[[#This Row],[ID]], Table4[ID], Table4[Recency], "Not Found", 0)</f>
        <v>52</v>
      </c>
      <c r="K2044" s="5">
        <f>_xlfn.XLOOKUP(CustomerCombined[[#This Row],[ID]], Table4[ID], Table4[Teas], "Not Found", 0)</f>
        <v>148</v>
      </c>
      <c r="L2044" s="5">
        <f>_xlfn.XLOOKUP(CustomerCombined[[#This Row],[ID]], Table4[ID], Table4[Fruits], "Not Found", 0)</f>
        <v>0</v>
      </c>
      <c r="M2044" s="5">
        <f>_xlfn.XLOOKUP(CustomerCombined[[#This Row],[ID]], Table4[ID], Table4[Meats], "Not Found", 0)</f>
        <v>160</v>
      </c>
      <c r="N2044" s="5">
        <f>_xlfn.XLOOKUP(CustomerCombined[[#This Row],[ID]], Table4[ID], Table4[Seafood], "Not Found", 0)</f>
        <v>49</v>
      </c>
      <c r="O2044" s="5">
        <f>_xlfn.XLOOKUP(CustomerCombined[[#This Row],[ID]], Table4[ID], Table4[Sweets], "Not Found", 0)</f>
        <v>25</v>
      </c>
      <c r="P2044" s="5">
        <f>_xlfn.XLOOKUP(CustomerCombined[[#This Row],[ID]], Table4[ID], Table4[Premium], "Not Found", 0)</f>
        <v>49</v>
      </c>
      <c r="Q2044" s="5">
        <f>_xlfn.XLOOKUP(CustomerCombined[[#This Row],[ID]], Table4[ID], Table4[Regular], "Not Found", 0)</f>
        <v>333</v>
      </c>
      <c r="R2044" s="5">
        <f>_xlfn.XLOOKUP(CustomerCombined[[#This Row],[ID]], Table4[ID], Table4[Deals], "Not Found", 0)</f>
        <v>4</v>
      </c>
      <c r="S2044" s="5">
        <f>_xlfn.XLOOKUP(CustomerCombined[[#This Row],[ID]], Table4[ID], Table4[Website], "Not Found", 0)</f>
        <v>3</v>
      </c>
      <c r="T2044" s="5">
        <f>_xlfn.XLOOKUP(CustomerCombined[[#This Row],[ID]], Table4[ID], Table4[Catalog], "Not Found", 0)</f>
        <v>0</v>
      </c>
      <c r="U2044" s="5">
        <f>_xlfn.XLOOKUP(CustomerCombined[[#This Row],[ID]], Table4[ID], Table4[Store], "Not Found", 0)</f>
        <v>3</v>
      </c>
      <c r="V2044" s="5">
        <f>_xlfn.XLOOKUP(CustomerCombined[[#This Row],[ID]], Table4[ID], Table4[Visits], "Not Found", 0)</f>
        <v>8</v>
      </c>
      <c r="W2044" s="8">
        <f>_xlfn.XLOOKUP(CustomerCombined[[#This Row],[ID]], Table2[ID],Table2[Complaint], "Not Found", 0 )</f>
        <v>0</v>
      </c>
      <c r="X2044" s="8">
        <f>_xlfn.XLOOKUP(CustomerCombined[[#This Row],[ID]], Table2[ID],Table2[Pilot], "Not Found", 0 )</f>
        <v>0</v>
      </c>
      <c r="Y2044" s="8">
        <f>_xlfn.XLOOKUP(CustomerCombined[[#This Row],[ID]], Table2[ID],Table2[MC1], "Not Found", 0 )</f>
        <v>0</v>
      </c>
      <c r="Z2044" s="8">
        <f>_xlfn.XLOOKUP(CustomerCombined[[#This Row],[ID]], Table2[ID],Table2[MC2], "Not Found", 0 )</f>
        <v>0</v>
      </c>
      <c r="AA2044" s="8">
        <f>_xlfn.XLOOKUP(CustomerCombined[[#This Row],[ID]], Table2[ID],Table2[MC3], "Not Found", 0 )</f>
        <v>0</v>
      </c>
      <c r="AB2044" s="8">
        <f>_xlfn.XLOOKUP(CustomerCombined[[#This Row],[ID]], Table2[ID],Table2[MC4], "Not Found", 0 )</f>
        <v>0</v>
      </c>
      <c r="AC2044" s="8">
        <f>_xlfn.XLOOKUP(CustomerCombined[[#This Row],[ID]], Table2[ID],Table2[MC5], "Not Found", 0 )</f>
        <v>0</v>
      </c>
    </row>
    <row r="2045" spans="1:29" x14ac:dyDescent="0.3">
      <c r="A2045" s="6">
        <v>2957</v>
      </c>
      <c r="B2045" s="6">
        <v>194642</v>
      </c>
      <c r="C2045" s="6">
        <v>0</v>
      </c>
      <c r="D2045" s="6">
        <v>0</v>
      </c>
      <c r="E2045" s="6">
        <v>69</v>
      </c>
      <c r="F2045" s="5" t="s">
        <v>6</v>
      </c>
      <c r="G2045" s="5" t="s">
        <v>11</v>
      </c>
      <c r="H2045" s="3" t="s">
        <v>101</v>
      </c>
      <c r="I2045" s="5" t="s">
        <v>434</v>
      </c>
      <c r="J2045" s="5">
        <f>_xlfn.XLOOKUP(CustomerCombined[[#This Row],[ID]], Table4[ID], Table4[Recency], "Not Found", 0)</f>
        <v>35</v>
      </c>
      <c r="K2045" s="5">
        <f>_xlfn.XLOOKUP(CustomerCombined[[#This Row],[ID]], Table4[ID], Table4[Teas], "Not Found", 0)</f>
        <v>1808</v>
      </c>
      <c r="L2045" s="5">
        <f>_xlfn.XLOOKUP(CustomerCombined[[#This Row],[ID]], Table4[ID], Table4[Fruits], "Not Found", 0)</f>
        <v>294</v>
      </c>
      <c r="M2045" s="5">
        <f>_xlfn.XLOOKUP(CustomerCombined[[#This Row],[ID]], Table4[ID], Table4[Meats], "Not Found", 0)</f>
        <v>1639</v>
      </c>
      <c r="N2045" s="5">
        <f>_xlfn.XLOOKUP(CustomerCombined[[#This Row],[ID]], Table4[ID], Table4[Seafood], "Not Found", 0)</f>
        <v>218</v>
      </c>
      <c r="O2045" s="5">
        <f>_xlfn.XLOOKUP(CustomerCombined[[#This Row],[ID]], Table4[ID], Table4[Sweets], "Not Found", 0)</f>
        <v>294</v>
      </c>
      <c r="P2045" s="5">
        <f>_xlfn.XLOOKUP(CustomerCombined[[#This Row],[ID]], Table4[ID], Table4[Premium], "Not Found", 0)</f>
        <v>294</v>
      </c>
      <c r="Q2045" s="5">
        <f>_xlfn.XLOOKUP(CustomerCombined[[#This Row],[ID]], Table4[ID], Table4[Regular], "Not Found", 0)</f>
        <v>3959</v>
      </c>
      <c r="R2045" s="5">
        <f>_xlfn.XLOOKUP(CustomerCombined[[#This Row],[ID]], Table4[ID], Table4[Deals], "Not Found", 0)</f>
        <v>0</v>
      </c>
      <c r="S2045" s="5">
        <f>_xlfn.XLOOKUP(CustomerCombined[[#This Row],[ID]], Table4[ID], Table4[Website], "Not Found", 0)</f>
        <v>5</v>
      </c>
      <c r="T2045" s="5">
        <f>_xlfn.XLOOKUP(CustomerCombined[[#This Row],[ID]], Table4[ID], Table4[Catalog], "Not Found", 0)</f>
        <v>7</v>
      </c>
      <c r="U2045" s="5">
        <f>_xlfn.XLOOKUP(CustomerCombined[[#This Row],[ID]], Table4[ID], Table4[Store], "Not Found", 0)</f>
        <v>9</v>
      </c>
      <c r="V2045" s="5">
        <f>_xlfn.XLOOKUP(CustomerCombined[[#This Row],[ID]], Table4[ID], Table4[Visits], "Not Found", 0)</f>
        <v>1</v>
      </c>
      <c r="W2045" s="8">
        <f>_xlfn.XLOOKUP(CustomerCombined[[#This Row],[ID]], Table2[ID],Table2[Complaint], "Not Found", 0 )</f>
        <v>0</v>
      </c>
      <c r="X2045" s="8">
        <f>_xlfn.XLOOKUP(CustomerCombined[[#This Row],[ID]], Table2[ID],Table2[Pilot], "Not Found", 0 )</f>
        <v>0</v>
      </c>
      <c r="Y2045" s="8">
        <f>_xlfn.XLOOKUP(CustomerCombined[[#This Row],[ID]], Table2[ID],Table2[MC1], "Not Found", 0 )</f>
        <v>1</v>
      </c>
      <c r="Z2045" s="8">
        <f>_xlfn.XLOOKUP(CustomerCombined[[#This Row],[ID]], Table2[ID],Table2[MC2], "Not Found", 0 )</f>
        <v>0</v>
      </c>
      <c r="AA2045" s="8">
        <f>_xlfn.XLOOKUP(CustomerCombined[[#This Row],[ID]], Table2[ID],Table2[MC3], "Not Found", 0 )</f>
        <v>0</v>
      </c>
      <c r="AB2045" s="8">
        <f>_xlfn.XLOOKUP(CustomerCombined[[#This Row],[ID]], Table2[ID],Table2[MC4], "Not Found", 0 )</f>
        <v>0</v>
      </c>
      <c r="AC2045" s="8">
        <f>_xlfn.XLOOKUP(CustomerCombined[[#This Row],[ID]], Table2[ID],Table2[MC5], "Not Found", 0 )</f>
        <v>1</v>
      </c>
    </row>
    <row r="2046" spans="1:29" x14ac:dyDescent="0.3">
      <c r="A2046" s="6">
        <v>2646</v>
      </c>
      <c r="B2046" s="6">
        <v>186610</v>
      </c>
      <c r="C2046" s="6">
        <v>0</v>
      </c>
      <c r="D2046" s="6">
        <v>0</v>
      </c>
      <c r="E2046" s="6">
        <v>69</v>
      </c>
      <c r="F2046" s="5" t="s">
        <v>8</v>
      </c>
      <c r="G2046" s="5" t="s">
        <v>11</v>
      </c>
      <c r="H2046" s="3">
        <v>44106</v>
      </c>
      <c r="I2046" s="5" t="s">
        <v>436</v>
      </c>
      <c r="J2046" s="5">
        <f>_xlfn.XLOOKUP(CustomerCombined[[#This Row],[ID]], Table4[ID], Table4[Recency], "Not Found", 0)</f>
        <v>66</v>
      </c>
      <c r="K2046" s="5">
        <f>_xlfn.XLOOKUP(CustomerCombined[[#This Row],[ID]], Table4[ID], Table4[Teas], "Not Found", 0)</f>
        <v>961</v>
      </c>
      <c r="L2046" s="5">
        <f>_xlfn.XLOOKUP(CustomerCombined[[#This Row],[ID]], Table4[ID], Table4[Fruits], "Not Found", 0)</f>
        <v>231</v>
      </c>
      <c r="M2046" s="5">
        <f>_xlfn.XLOOKUP(CustomerCombined[[#This Row],[ID]], Table4[ID], Table4[Meats], "Not Found", 0)</f>
        <v>1655</v>
      </c>
      <c r="N2046" s="5">
        <f>_xlfn.XLOOKUP(CustomerCombined[[#This Row],[ID]], Table4[ID], Table4[Seafood], "Not Found", 0)</f>
        <v>71</v>
      </c>
      <c r="O2046" s="5">
        <f>_xlfn.XLOOKUP(CustomerCombined[[#This Row],[ID]], Table4[ID], Table4[Sweets], "Not Found", 0)</f>
        <v>422</v>
      </c>
      <c r="P2046" s="5">
        <f>_xlfn.XLOOKUP(CustomerCombined[[#This Row],[ID]], Table4[ID], Table4[Premium], "Not Found", 0)</f>
        <v>114</v>
      </c>
      <c r="Q2046" s="5">
        <f>_xlfn.XLOOKUP(CustomerCombined[[#This Row],[ID]], Table4[ID], Table4[Regular], "Not Found", 0)</f>
        <v>3225</v>
      </c>
      <c r="R2046" s="5">
        <f>_xlfn.XLOOKUP(CustomerCombined[[#This Row],[ID]], Table4[ID], Table4[Deals], "Not Found", 0)</f>
        <v>1</v>
      </c>
      <c r="S2046" s="5">
        <f>_xlfn.XLOOKUP(CustomerCombined[[#This Row],[ID]], Table4[ID], Table4[Website], "Not Found", 0)</f>
        <v>5</v>
      </c>
      <c r="T2046" s="5">
        <f>_xlfn.XLOOKUP(CustomerCombined[[#This Row],[ID]], Table4[ID], Table4[Catalog], "Not Found", 0)</f>
        <v>6</v>
      </c>
      <c r="U2046" s="5">
        <f>_xlfn.XLOOKUP(CustomerCombined[[#This Row],[ID]], Table4[ID], Table4[Store], "Not Found", 0)</f>
        <v>6</v>
      </c>
      <c r="V2046" s="5">
        <f>_xlfn.XLOOKUP(CustomerCombined[[#This Row],[ID]], Table4[ID], Table4[Visits], "Not Found", 0)</f>
        <v>2</v>
      </c>
      <c r="W2046" s="8">
        <f>_xlfn.XLOOKUP(CustomerCombined[[#This Row],[ID]], Table2[ID],Table2[Complaint], "Not Found", 0 )</f>
        <v>0</v>
      </c>
      <c r="X2046" s="8">
        <f>_xlfn.XLOOKUP(CustomerCombined[[#This Row],[ID]], Table2[ID],Table2[Pilot], "Not Found", 0 )</f>
        <v>0</v>
      </c>
      <c r="Y2046" s="8">
        <f>_xlfn.XLOOKUP(CustomerCombined[[#This Row],[ID]], Table2[ID],Table2[MC1], "Not Found", 0 )</f>
        <v>0</v>
      </c>
      <c r="Z2046" s="8">
        <f>_xlfn.XLOOKUP(CustomerCombined[[#This Row],[ID]], Table2[ID],Table2[MC2], "Not Found", 0 )</f>
        <v>0</v>
      </c>
      <c r="AA2046" s="8">
        <f>_xlfn.XLOOKUP(CustomerCombined[[#This Row],[ID]], Table2[ID],Table2[MC3], "Not Found", 0 )</f>
        <v>0</v>
      </c>
      <c r="AB2046" s="8">
        <f>_xlfn.XLOOKUP(CustomerCombined[[#This Row],[ID]], Table2[ID],Table2[MC4], "Not Found", 0 )</f>
        <v>0</v>
      </c>
      <c r="AC2046" s="8">
        <f>_xlfn.XLOOKUP(CustomerCombined[[#This Row],[ID]], Table2[ID],Table2[MC5], "Not Found", 0 )</f>
        <v>0</v>
      </c>
    </row>
    <row r="2047" spans="1:29" x14ac:dyDescent="0.3">
      <c r="A2047" s="6">
        <v>2927</v>
      </c>
      <c r="B2047" s="6">
        <v>180872</v>
      </c>
      <c r="C2047" s="6">
        <v>0</v>
      </c>
      <c r="D2047" s="6">
        <v>0</v>
      </c>
      <c r="E2047" s="6">
        <v>69</v>
      </c>
      <c r="F2047" s="5" t="s">
        <v>7</v>
      </c>
      <c r="G2047" s="5" t="s">
        <v>11</v>
      </c>
      <c r="H2047" s="3" t="s">
        <v>52</v>
      </c>
      <c r="I2047" s="5" t="s">
        <v>434</v>
      </c>
      <c r="J2047" s="5">
        <f>_xlfn.XLOOKUP(CustomerCombined[[#This Row],[ID]], Table4[ID], Table4[Recency], "Not Found", 0)</f>
        <v>60</v>
      </c>
      <c r="K2047" s="5">
        <f>_xlfn.XLOOKUP(CustomerCombined[[#This Row],[ID]], Table4[ID], Table4[Teas], "Not Found", 0)</f>
        <v>1080</v>
      </c>
      <c r="L2047" s="5">
        <f>_xlfn.XLOOKUP(CustomerCombined[[#This Row],[ID]], Table4[ID], Table4[Fruits], "Not Found", 0)</f>
        <v>161</v>
      </c>
      <c r="M2047" s="5">
        <f>_xlfn.XLOOKUP(CustomerCombined[[#This Row],[ID]], Table4[ID], Table4[Meats], "Not Found", 0)</f>
        <v>1268</v>
      </c>
      <c r="N2047" s="5">
        <f>_xlfn.XLOOKUP(CustomerCombined[[#This Row],[ID]], Table4[ID], Table4[Seafood], "Not Found", 0)</f>
        <v>210</v>
      </c>
      <c r="O2047" s="5">
        <f>_xlfn.XLOOKUP(CustomerCombined[[#This Row],[ID]], Table4[ID], Table4[Sweets], "Not Found", 0)</f>
        <v>27</v>
      </c>
      <c r="P2047" s="5">
        <f>_xlfn.XLOOKUP(CustomerCombined[[#This Row],[ID]], Table4[ID], Table4[Premium], "Not Found", 0)</f>
        <v>242</v>
      </c>
      <c r="Q2047" s="5">
        <f>_xlfn.XLOOKUP(CustomerCombined[[#This Row],[ID]], Table4[ID], Table4[Regular], "Not Found", 0)</f>
        <v>2505</v>
      </c>
      <c r="R2047" s="5">
        <f>_xlfn.XLOOKUP(CustomerCombined[[#This Row],[ID]], Table4[ID], Table4[Deals], "Not Found", 0)</f>
        <v>1</v>
      </c>
      <c r="S2047" s="5">
        <f>_xlfn.XLOOKUP(CustomerCombined[[#This Row],[ID]], Table4[ID], Table4[Website], "Not Found", 0)</f>
        <v>4</v>
      </c>
      <c r="T2047" s="5">
        <f>_xlfn.XLOOKUP(CustomerCombined[[#This Row],[ID]], Table4[ID], Table4[Catalog], "Not Found", 0)</f>
        <v>4</v>
      </c>
      <c r="U2047" s="5">
        <f>_xlfn.XLOOKUP(CustomerCombined[[#This Row],[ID]], Table4[ID], Table4[Store], "Not Found", 0)</f>
        <v>10</v>
      </c>
      <c r="V2047" s="5">
        <f>_xlfn.XLOOKUP(CustomerCombined[[#This Row],[ID]], Table4[ID], Table4[Visits], "Not Found", 0)</f>
        <v>1</v>
      </c>
      <c r="W2047" s="8">
        <f>_xlfn.XLOOKUP(CustomerCombined[[#This Row],[ID]], Table2[ID],Table2[Complaint], "Not Found", 0 )</f>
        <v>0</v>
      </c>
      <c r="X2047" s="8">
        <f>_xlfn.XLOOKUP(CustomerCombined[[#This Row],[ID]], Table2[ID],Table2[Pilot], "Not Found", 0 )</f>
        <v>0</v>
      </c>
      <c r="Y2047" s="8">
        <f>_xlfn.XLOOKUP(CustomerCombined[[#This Row],[ID]], Table2[ID],Table2[MC1], "Not Found", 0 )</f>
        <v>0</v>
      </c>
      <c r="Z2047" s="8">
        <f>_xlfn.XLOOKUP(CustomerCombined[[#This Row],[ID]], Table2[ID],Table2[MC2], "Not Found", 0 )</f>
        <v>0</v>
      </c>
      <c r="AA2047" s="8">
        <f>_xlfn.XLOOKUP(CustomerCombined[[#This Row],[ID]], Table2[ID],Table2[MC3], "Not Found", 0 )</f>
        <v>0</v>
      </c>
      <c r="AB2047" s="8">
        <f>_xlfn.XLOOKUP(CustomerCombined[[#This Row],[ID]], Table2[ID],Table2[MC4], "Not Found", 0 )</f>
        <v>0</v>
      </c>
      <c r="AC2047" s="8">
        <f>_xlfn.XLOOKUP(CustomerCombined[[#This Row],[ID]], Table2[ID],Table2[MC5], "Not Found", 0 )</f>
        <v>0</v>
      </c>
    </row>
    <row r="2048" spans="1:29" x14ac:dyDescent="0.3">
      <c r="A2048" s="6">
        <v>1752</v>
      </c>
      <c r="B2048" s="6">
        <v>178939</v>
      </c>
      <c r="C2048" s="6">
        <v>0</v>
      </c>
      <c r="D2048" s="6">
        <v>0</v>
      </c>
      <c r="E2048" s="6">
        <v>69</v>
      </c>
      <c r="F2048" s="5" t="s">
        <v>6</v>
      </c>
      <c r="G2048" s="5" t="s">
        <v>13</v>
      </c>
      <c r="H2048" s="3" t="s">
        <v>136</v>
      </c>
      <c r="I2048" s="5" t="s">
        <v>436</v>
      </c>
      <c r="J2048" s="5">
        <f>_xlfn.XLOOKUP(CustomerCombined[[#This Row],[ID]], Table4[ID], Table4[Recency], "Not Found", 0)</f>
        <v>57</v>
      </c>
      <c r="K2048" s="5">
        <f>_xlfn.XLOOKUP(CustomerCombined[[#This Row],[ID]], Table4[ID], Table4[Teas], "Not Found", 0)</f>
        <v>1800</v>
      </c>
      <c r="L2048" s="5">
        <f>_xlfn.XLOOKUP(CustomerCombined[[#This Row],[ID]], Table4[ID], Table4[Fruits], "Not Found", 0)</f>
        <v>261</v>
      </c>
      <c r="M2048" s="5">
        <f>_xlfn.XLOOKUP(CustomerCombined[[#This Row],[ID]], Table4[ID], Table4[Meats], "Not Found", 0)</f>
        <v>551</v>
      </c>
      <c r="N2048" s="5">
        <f>_xlfn.XLOOKUP(CustomerCombined[[#This Row],[ID]], Table4[ID], Table4[Seafood], "Not Found", 0)</f>
        <v>340</v>
      </c>
      <c r="O2048" s="5">
        <f>_xlfn.XLOOKUP(CustomerCombined[[#This Row],[ID]], Table4[ID], Table4[Sweets], "Not Found", 0)</f>
        <v>0</v>
      </c>
      <c r="P2048" s="5">
        <f>_xlfn.XLOOKUP(CustomerCombined[[#This Row],[ID]], Table4[ID], Table4[Premium], "Not Found", 0)</f>
        <v>465</v>
      </c>
      <c r="Q2048" s="5">
        <f>_xlfn.XLOOKUP(CustomerCombined[[#This Row],[ID]], Table4[ID], Table4[Regular], "Not Found", 0)</f>
        <v>2487</v>
      </c>
      <c r="R2048" s="5">
        <f>_xlfn.XLOOKUP(CustomerCombined[[#This Row],[ID]], Table4[ID], Table4[Deals], "Not Found", 0)</f>
        <v>1</v>
      </c>
      <c r="S2048" s="5">
        <f>_xlfn.XLOOKUP(CustomerCombined[[#This Row],[ID]], Table4[ID], Table4[Website], "Not Found", 0)</f>
        <v>8</v>
      </c>
      <c r="T2048" s="5">
        <f>_xlfn.XLOOKUP(CustomerCombined[[#This Row],[ID]], Table4[ID], Table4[Catalog], "Not Found", 0)</f>
        <v>5</v>
      </c>
      <c r="U2048" s="5">
        <f>_xlfn.XLOOKUP(CustomerCombined[[#This Row],[ID]], Table4[ID], Table4[Store], "Not Found", 0)</f>
        <v>6</v>
      </c>
      <c r="V2048" s="5">
        <f>_xlfn.XLOOKUP(CustomerCombined[[#This Row],[ID]], Table4[ID], Table4[Visits], "Not Found", 0)</f>
        <v>3</v>
      </c>
      <c r="W2048" s="8">
        <f>_xlfn.XLOOKUP(CustomerCombined[[#This Row],[ID]], Table2[ID],Table2[Complaint], "Not Found", 0 )</f>
        <v>0</v>
      </c>
      <c r="X2048" s="8">
        <f>_xlfn.XLOOKUP(CustomerCombined[[#This Row],[ID]], Table2[ID],Table2[Pilot], "Not Found", 0 )</f>
        <v>0</v>
      </c>
      <c r="Y2048" s="8">
        <f>_xlfn.XLOOKUP(CustomerCombined[[#This Row],[ID]], Table2[ID],Table2[MC1], "Not Found", 0 )</f>
        <v>0</v>
      </c>
      <c r="Z2048" s="8">
        <f>_xlfn.XLOOKUP(CustomerCombined[[#This Row],[ID]], Table2[ID],Table2[MC2], "Not Found", 0 )</f>
        <v>0</v>
      </c>
      <c r="AA2048" s="8">
        <f>_xlfn.XLOOKUP(CustomerCombined[[#This Row],[ID]], Table2[ID],Table2[MC3], "Not Found", 0 )</f>
        <v>0</v>
      </c>
      <c r="AB2048" s="8">
        <f>_xlfn.XLOOKUP(CustomerCombined[[#This Row],[ID]], Table2[ID],Table2[MC4], "Not Found", 0 )</f>
        <v>0</v>
      </c>
      <c r="AC2048" s="8">
        <f>_xlfn.XLOOKUP(CustomerCombined[[#This Row],[ID]], Table2[ID],Table2[MC5], "Not Found", 0 )</f>
        <v>0</v>
      </c>
    </row>
    <row r="2049" spans="1:29" x14ac:dyDescent="0.3">
      <c r="A2049" s="6">
        <v>1090</v>
      </c>
      <c r="B2049" s="6">
        <v>178497</v>
      </c>
      <c r="C2049" s="6">
        <v>0</v>
      </c>
      <c r="D2049" s="6">
        <v>0</v>
      </c>
      <c r="E2049" s="6">
        <v>69</v>
      </c>
      <c r="F2049" s="5" t="s">
        <v>6</v>
      </c>
      <c r="G2049" s="5" t="s">
        <v>442</v>
      </c>
      <c r="H2049" s="3">
        <v>44017</v>
      </c>
      <c r="I2049" s="5" t="s">
        <v>439</v>
      </c>
      <c r="J2049" s="5">
        <f>_xlfn.XLOOKUP(CustomerCombined[[#This Row],[ID]], Table4[ID], Table4[Recency], "Not Found", 0)</f>
        <v>44</v>
      </c>
      <c r="K2049" s="5">
        <f>_xlfn.XLOOKUP(CustomerCombined[[#This Row],[ID]], Table4[ID], Table4[Teas], "Not Found", 0)</f>
        <v>471</v>
      </c>
      <c r="L2049" s="5">
        <f>_xlfn.XLOOKUP(CustomerCombined[[#This Row],[ID]], Table4[ID], Table4[Fruits], "Not Found", 0)</f>
        <v>59</v>
      </c>
      <c r="M2049" s="5">
        <f>_xlfn.XLOOKUP(CustomerCombined[[#This Row],[ID]], Table4[ID], Table4[Meats], "Not Found", 0)</f>
        <v>1016</v>
      </c>
      <c r="N2049" s="5">
        <f>_xlfn.XLOOKUP(CustomerCombined[[#This Row],[ID]], Table4[ID], Table4[Seafood], "Not Found", 0)</f>
        <v>171</v>
      </c>
      <c r="O2049" s="5">
        <f>_xlfn.XLOOKUP(CustomerCombined[[#This Row],[ID]], Table4[ID], Table4[Sweets], "Not Found", 0)</f>
        <v>0</v>
      </c>
      <c r="P2049" s="5">
        <f>_xlfn.XLOOKUP(CustomerCombined[[#This Row],[ID]], Table4[ID], Table4[Premium], "Not Found", 0)</f>
        <v>507</v>
      </c>
      <c r="Q2049" s="5">
        <f>_xlfn.XLOOKUP(CustomerCombined[[#This Row],[ID]], Table4[ID], Table4[Regular], "Not Found", 0)</f>
        <v>1210</v>
      </c>
      <c r="R2049" s="5">
        <f>_xlfn.XLOOKUP(CustomerCombined[[#This Row],[ID]], Table4[ID], Table4[Deals], "Not Found", 0)</f>
        <v>1</v>
      </c>
      <c r="S2049" s="5">
        <f>_xlfn.XLOOKUP(CustomerCombined[[#This Row],[ID]], Table4[ID], Table4[Website], "Not Found", 0)</f>
        <v>5</v>
      </c>
      <c r="T2049" s="5">
        <f>_xlfn.XLOOKUP(CustomerCombined[[#This Row],[ID]], Table4[ID], Table4[Catalog], "Not Found", 0)</f>
        <v>7</v>
      </c>
      <c r="U2049" s="5">
        <f>_xlfn.XLOOKUP(CustomerCombined[[#This Row],[ID]], Table4[ID], Table4[Store], "Not Found", 0)</f>
        <v>12</v>
      </c>
      <c r="V2049" s="5">
        <f>_xlfn.XLOOKUP(CustomerCombined[[#This Row],[ID]], Table4[ID], Table4[Visits], "Not Found", 0)</f>
        <v>2</v>
      </c>
      <c r="W2049" s="8">
        <f>_xlfn.XLOOKUP(CustomerCombined[[#This Row],[ID]], Table2[ID],Table2[Complaint], "Not Found", 0 )</f>
        <v>0</v>
      </c>
      <c r="X2049" s="8">
        <f>_xlfn.XLOOKUP(CustomerCombined[[#This Row],[ID]], Table2[ID],Table2[Pilot], "Not Found", 0 )</f>
        <v>0</v>
      </c>
      <c r="Y2049" s="8">
        <f>_xlfn.XLOOKUP(CustomerCombined[[#This Row],[ID]], Table2[ID],Table2[MC1], "Not Found", 0 )</f>
        <v>1</v>
      </c>
      <c r="Z2049" s="8">
        <f>_xlfn.XLOOKUP(CustomerCombined[[#This Row],[ID]], Table2[ID],Table2[MC2], "Not Found", 0 )</f>
        <v>0</v>
      </c>
      <c r="AA2049" s="8">
        <f>_xlfn.XLOOKUP(CustomerCombined[[#This Row],[ID]], Table2[ID],Table2[MC3], "Not Found", 0 )</f>
        <v>0</v>
      </c>
      <c r="AB2049" s="8">
        <f>_xlfn.XLOOKUP(CustomerCombined[[#This Row],[ID]], Table2[ID],Table2[MC4], "Not Found", 0 )</f>
        <v>0</v>
      </c>
      <c r="AC2049" s="8">
        <f>_xlfn.XLOOKUP(CustomerCombined[[#This Row],[ID]], Table2[ID],Table2[MC5], "Not Found", 0 )</f>
        <v>0</v>
      </c>
    </row>
    <row r="2050" spans="1:29" x14ac:dyDescent="0.3">
      <c r="A2050" s="6">
        <v>1168</v>
      </c>
      <c r="B2050" s="6">
        <v>178497</v>
      </c>
      <c r="C2050" s="6">
        <v>0</v>
      </c>
      <c r="D2050" s="6">
        <v>0</v>
      </c>
      <c r="E2050" s="6">
        <v>69</v>
      </c>
      <c r="F2050" s="5" t="s">
        <v>6</v>
      </c>
      <c r="G2050" s="5" t="s">
        <v>442</v>
      </c>
      <c r="H2050" s="3">
        <v>44017</v>
      </c>
      <c r="I2050" s="5" t="s">
        <v>439</v>
      </c>
      <c r="J2050" s="5">
        <f>_xlfn.XLOOKUP(CustomerCombined[[#This Row],[ID]], Table4[ID], Table4[Recency], "Not Found", 0)</f>
        <v>44</v>
      </c>
      <c r="K2050" s="5">
        <f>_xlfn.XLOOKUP(CustomerCombined[[#This Row],[ID]], Table4[ID], Table4[Teas], "Not Found", 0)</f>
        <v>471</v>
      </c>
      <c r="L2050" s="5">
        <f>_xlfn.XLOOKUP(CustomerCombined[[#This Row],[ID]], Table4[ID], Table4[Fruits], "Not Found", 0)</f>
        <v>59</v>
      </c>
      <c r="M2050" s="5">
        <f>_xlfn.XLOOKUP(CustomerCombined[[#This Row],[ID]], Table4[ID], Table4[Meats], "Not Found", 0)</f>
        <v>1016</v>
      </c>
      <c r="N2050" s="5">
        <f>_xlfn.XLOOKUP(CustomerCombined[[#This Row],[ID]], Table4[ID], Table4[Seafood], "Not Found", 0)</f>
        <v>171</v>
      </c>
      <c r="O2050" s="5">
        <f>_xlfn.XLOOKUP(CustomerCombined[[#This Row],[ID]], Table4[ID], Table4[Sweets], "Not Found", 0)</f>
        <v>0</v>
      </c>
      <c r="P2050" s="5">
        <f>_xlfn.XLOOKUP(CustomerCombined[[#This Row],[ID]], Table4[ID], Table4[Premium], "Not Found", 0)</f>
        <v>507</v>
      </c>
      <c r="Q2050" s="5">
        <f>_xlfn.XLOOKUP(CustomerCombined[[#This Row],[ID]], Table4[ID], Table4[Regular], "Not Found", 0)</f>
        <v>1210</v>
      </c>
      <c r="R2050" s="5">
        <f>_xlfn.XLOOKUP(CustomerCombined[[#This Row],[ID]], Table4[ID], Table4[Deals], "Not Found", 0)</f>
        <v>1</v>
      </c>
      <c r="S2050" s="5">
        <f>_xlfn.XLOOKUP(CustomerCombined[[#This Row],[ID]], Table4[ID], Table4[Website], "Not Found", 0)</f>
        <v>5</v>
      </c>
      <c r="T2050" s="5">
        <f>_xlfn.XLOOKUP(CustomerCombined[[#This Row],[ID]], Table4[ID], Table4[Catalog], "Not Found", 0)</f>
        <v>7</v>
      </c>
      <c r="U2050" s="5">
        <f>_xlfn.XLOOKUP(CustomerCombined[[#This Row],[ID]], Table4[ID], Table4[Store], "Not Found", 0)</f>
        <v>12</v>
      </c>
      <c r="V2050" s="5">
        <f>_xlfn.XLOOKUP(CustomerCombined[[#This Row],[ID]], Table4[ID], Table4[Visits], "Not Found", 0)</f>
        <v>2</v>
      </c>
      <c r="W2050" s="8">
        <f>_xlfn.XLOOKUP(CustomerCombined[[#This Row],[ID]], Table2[ID],Table2[Complaint], "Not Found", 0 )</f>
        <v>0</v>
      </c>
      <c r="X2050" s="8">
        <f>_xlfn.XLOOKUP(CustomerCombined[[#This Row],[ID]], Table2[ID],Table2[Pilot], "Not Found", 0 )</f>
        <v>0</v>
      </c>
      <c r="Y2050" s="8">
        <f>_xlfn.XLOOKUP(CustomerCombined[[#This Row],[ID]], Table2[ID],Table2[MC1], "Not Found", 0 )</f>
        <v>1</v>
      </c>
      <c r="Z2050" s="8">
        <f>_xlfn.XLOOKUP(CustomerCombined[[#This Row],[ID]], Table2[ID],Table2[MC2], "Not Found", 0 )</f>
        <v>0</v>
      </c>
      <c r="AA2050" s="8">
        <f>_xlfn.XLOOKUP(CustomerCombined[[#This Row],[ID]], Table2[ID],Table2[MC3], "Not Found", 0 )</f>
        <v>0</v>
      </c>
      <c r="AB2050" s="8">
        <f>_xlfn.XLOOKUP(CustomerCombined[[#This Row],[ID]], Table2[ID],Table2[MC4], "Not Found", 0 )</f>
        <v>0</v>
      </c>
      <c r="AC2050" s="8">
        <f>_xlfn.XLOOKUP(CustomerCombined[[#This Row],[ID]], Table2[ID],Table2[MC5], "Not Found", 0 )</f>
        <v>0</v>
      </c>
    </row>
    <row r="2051" spans="1:29" x14ac:dyDescent="0.3">
      <c r="A2051" s="6">
        <v>2909</v>
      </c>
      <c r="B2051" s="6">
        <v>175903</v>
      </c>
      <c r="C2051" s="6">
        <v>0</v>
      </c>
      <c r="D2051" s="6">
        <v>1</v>
      </c>
      <c r="E2051" s="6">
        <v>69</v>
      </c>
      <c r="F2051" s="5" t="s">
        <v>6</v>
      </c>
      <c r="G2051" s="5" t="s">
        <v>11</v>
      </c>
      <c r="H2051" s="3" t="s">
        <v>281</v>
      </c>
      <c r="I2051" s="5" t="s">
        <v>434</v>
      </c>
      <c r="J2051" s="5">
        <f>_xlfn.XLOOKUP(CustomerCombined[[#This Row],[ID]], Table4[ID], Table4[Recency], "Not Found", 0)</f>
        <v>50</v>
      </c>
      <c r="K2051" s="5">
        <f>_xlfn.XLOOKUP(CustomerCombined[[#This Row],[ID]], Table4[ID], Table4[Teas], "Not Found", 0)</f>
        <v>788</v>
      </c>
      <c r="L2051" s="5">
        <f>_xlfn.XLOOKUP(CustomerCombined[[#This Row],[ID]], Table4[ID], Table4[Fruits], "Not Found", 0)</f>
        <v>250</v>
      </c>
      <c r="M2051" s="5">
        <f>_xlfn.XLOOKUP(CustomerCombined[[#This Row],[ID]], Table4[ID], Table4[Meats], "Not Found", 0)</f>
        <v>429</v>
      </c>
      <c r="N2051" s="5">
        <f>_xlfn.XLOOKUP(CustomerCombined[[#This Row],[ID]], Table4[ID], Table4[Seafood], "Not Found", 0)</f>
        <v>301</v>
      </c>
      <c r="O2051" s="5">
        <f>_xlfn.XLOOKUP(CustomerCombined[[#This Row],[ID]], Table4[ID], Table4[Sweets], "Not Found", 0)</f>
        <v>88</v>
      </c>
      <c r="P2051" s="5">
        <f>_xlfn.XLOOKUP(CustomerCombined[[#This Row],[ID]], Table4[ID], Table4[Premium], "Not Found", 0)</f>
        <v>232</v>
      </c>
      <c r="Q2051" s="5">
        <f>_xlfn.XLOOKUP(CustomerCombined[[#This Row],[ID]], Table4[ID], Table4[Regular], "Not Found", 0)</f>
        <v>1625</v>
      </c>
      <c r="R2051" s="5">
        <f>_xlfn.XLOOKUP(CustomerCombined[[#This Row],[ID]], Table4[ID], Table4[Deals], "Not Found", 0)</f>
        <v>2</v>
      </c>
      <c r="S2051" s="5">
        <f>_xlfn.XLOOKUP(CustomerCombined[[#This Row],[ID]], Table4[ID], Table4[Website], "Not Found", 0)</f>
        <v>6</v>
      </c>
      <c r="T2051" s="5">
        <f>_xlfn.XLOOKUP(CustomerCombined[[#This Row],[ID]], Table4[ID], Table4[Catalog], "Not Found", 0)</f>
        <v>6</v>
      </c>
      <c r="U2051" s="5">
        <f>_xlfn.XLOOKUP(CustomerCombined[[#This Row],[ID]], Table4[ID], Table4[Store], "Not Found", 0)</f>
        <v>9</v>
      </c>
      <c r="V2051" s="5">
        <f>_xlfn.XLOOKUP(CustomerCombined[[#This Row],[ID]], Table4[ID], Table4[Visits], "Not Found", 0)</f>
        <v>3</v>
      </c>
      <c r="W2051" s="8">
        <f>_xlfn.XLOOKUP(CustomerCombined[[#This Row],[ID]], Table2[ID],Table2[Complaint], "Not Found", 0 )</f>
        <v>0</v>
      </c>
      <c r="X2051" s="8">
        <f>_xlfn.XLOOKUP(CustomerCombined[[#This Row],[ID]], Table2[ID],Table2[Pilot], "Not Found", 0 )</f>
        <v>0</v>
      </c>
      <c r="Y2051" s="8">
        <f>_xlfn.XLOOKUP(CustomerCombined[[#This Row],[ID]], Table2[ID],Table2[MC1], "Not Found", 0 )</f>
        <v>0</v>
      </c>
      <c r="Z2051" s="8">
        <f>_xlfn.XLOOKUP(CustomerCombined[[#This Row],[ID]], Table2[ID],Table2[MC2], "Not Found", 0 )</f>
        <v>0</v>
      </c>
      <c r="AA2051" s="8">
        <f>_xlfn.XLOOKUP(CustomerCombined[[#This Row],[ID]], Table2[ID],Table2[MC3], "Not Found", 0 )</f>
        <v>0</v>
      </c>
      <c r="AB2051" s="8">
        <f>_xlfn.XLOOKUP(CustomerCombined[[#This Row],[ID]], Table2[ID],Table2[MC4], "Not Found", 0 )</f>
        <v>0</v>
      </c>
      <c r="AC2051" s="8">
        <f>_xlfn.XLOOKUP(CustomerCombined[[#This Row],[ID]], Table2[ID],Table2[MC5], "Not Found", 0 )</f>
        <v>0</v>
      </c>
    </row>
    <row r="2052" spans="1:29" x14ac:dyDescent="0.3">
      <c r="A2052" s="6">
        <v>2674</v>
      </c>
      <c r="B2052" s="6">
        <v>173705</v>
      </c>
      <c r="C2052" s="6">
        <v>0</v>
      </c>
      <c r="D2052" s="6">
        <v>2</v>
      </c>
      <c r="E2052" s="6">
        <v>69</v>
      </c>
      <c r="F2052" s="5" t="s">
        <v>9</v>
      </c>
      <c r="G2052" s="5" t="s">
        <v>12</v>
      </c>
      <c r="H2052" s="3">
        <v>44082</v>
      </c>
      <c r="I2052" s="5" t="s">
        <v>439</v>
      </c>
      <c r="J2052" s="5">
        <f>_xlfn.XLOOKUP(CustomerCombined[[#This Row],[ID]], Table4[ID], Table4[Recency], "Not Found", 0)</f>
        <v>86</v>
      </c>
      <c r="K2052" s="5">
        <f>_xlfn.XLOOKUP(CustomerCombined[[#This Row],[ID]], Table4[ID], Table4[Teas], "Not Found", 0)</f>
        <v>1442</v>
      </c>
      <c r="L2052" s="5">
        <f>_xlfn.XLOOKUP(CustomerCombined[[#This Row],[ID]], Table4[ID], Table4[Fruits], "Not Found", 0)</f>
        <v>214</v>
      </c>
      <c r="M2052" s="5">
        <f>_xlfn.XLOOKUP(CustomerCombined[[#This Row],[ID]], Table4[ID], Table4[Meats], "Not Found", 0)</f>
        <v>1226</v>
      </c>
      <c r="N2052" s="5">
        <f>_xlfn.XLOOKUP(CustomerCombined[[#This Row],[ID]], Table4[ID], Table4[Seafood], "Not Found", 0)</f>
        <v>608</v>
      </c>
      <c r="O2052" s="5">
        <f>_xlfn.XLOOKUP(CustomerCombined[[#This Row],[ID]], Table4[ID], Table4[Sweets], "Not Found", 0)</f>
        <v>252</v>
      </c>
      <c r="P2052" s="5">
        <f>_xlfn.XLOOKUP(CustomerCombined[[#This Row],[ID]], Table4[ID], Table4[Premium], "Not Found", 0)</f>
        <v>252</v>
      </c>
      <c r="Q2052" s="5">
        <f>_xlfn.XLOOKUP(CustomerCombined[[#This Row],[ID]], Table4[ID], Table4[Regular], "Not Found", 0)</f>
        <v>3490</v>
      </c>
      <c r="R2052" s="5">
        <f>_xlfn.XLOOKUP(CustomerCombined[[#This Row],[ID]], Table4[ID], Table4[Deals], "Not Found", 0)</f>
        <v>2</v>
      </c>
      <c r="S2052" s="5">
        <f>_xlfn.XLOOKUP(CustomerCombined[[#This Row],[ID]], Table4[ID], Table4[Website], "Not Found", 0)</f>
        <v>9</v>
      </c>
      <c r="T2052" s="5">
        <f>_xlfn.XLOOKUP(CustomerCombined[[#This Row],[ID]], Table4[ID], Table4[Catalog], "Not Found", 0)</f>
        <v>6</v>
      </c>
      <c r="U2052" s="5">
        <f>_xlfn.XLOOKUP(CustomerCombined[[#This Row],[ID]], Table4[ID], Table4[Store], "Not Found", 0)</f>
        <v>8</v>
      </c>
      <c r="V2052" s="5">
        <f>_xlfn.XLOOKUP(CustomerCombined[[#This Row],[ID]], Table4[ID], Table4[Visits], "Not Found", 0)</f>
        <v>5</v>
      </c>
      <c r="W2052" s="8">
        <f>_xlfn.XLOOKUP(CustomerCombined[[#This Row],[ID]], Table2[ID],Table2[Complaint], "Not Found", 0 )</f>
        <v>0</v>
      </c>
      <c r="X2052" s="8">
        <f>_xlfn.XLOOKUP(CustomerCombined[[#This Row],[ID]], Table2[ID],Table2[Pilot], "Not Found", 0 )</f>
        <v>0</v>
      </c>
      <c r="Y2052" s="8">
        <f>_xlfn.XLOOKUP(CustomerCombined[[#This Row],[ID]], Table2[ID],Table2[MC1], "Not Found", 0 )</f>
        <v>0</v>
      </c>
      <c r="Z2052" s="8">
        <f>_xlfn.XLOOKUP(CustomerCombined[[#This Row],[ID]], Table2[ID],Table2[MC2], "Not Found", 0 )</f>
        <v>0</v>
      </c>
      <c r="AA2052" s="8">
        <f>_xlfn.XLOOKUP(CustomerCombined[[#This Row],[ID]], Table2[ID],Table2[MC3], "Not Found", 0 )</f>
        <v>0</v>
      </c>
      <c r="AB2052" s="8">
        <f>_xlfn.XLOOKUP(CustomerCombined[[#This Row],[ID]], Table2[ID],Table2[MC4], "Not Found", 0 )</f>
        <v>0</v>
      </c>
      <c r="AC2052" s="8">
        <f>_xlfn.XLOOKUP(CustomerCombined[[#This Row],[ID]], Table2[ID],Table2[MC5], "Not Found", 0 )</f>
        <v>0</v>
      </c>
    </row>
    <row r="2053" spans="1:29" x14ac:dyDescent="0.3">
      <c r="A2053" s="6">
        <v>2792</v>
      </c>
      <c r="B2053" s="6">
        <v>172282</v>
      </c>
      <c r="C2053" s="6">
        <v>0</v>
      </c>
      <c r="D2053" s="6">
        <v>0</v>
      </c>
      <c r="E2053" s="6">
        <v>69</v>
      </c>
      <c r="F2053" s="5" t="s">
        <v>7</v>
      </c>
      <c r="G2053" s="5" t="s">
        <v>11</v>
      </c>
      <c r="H2053" s="3" t="s">
        <v>217</v>
      </c>
      <c r="I2053" s="5" t="s">
        <v>438</v>
      </c>
      <c r="J2053" s="5">
        <f>_xlfn.XLOOKUP(CustomerCombined[[#This Row],[ID]], Table4[ID], Table4[Recency], "Not Found", 0)</f>
        <v>70</v>
      </c>
      <c r="K2053" s="5">
        <f>_xlfn.XLOOKUP(CustomerCombined[[#This Row],[ID]], Table4[ID], Table4[Teas], "Not Found", 0)</f>
        <v>1199</v>
      </c>
      <c r="L2053" s="5">
        <f>_xlfn.XLOOKUP(CustomerCombined[[#This Row],[ID]], Table4[ID], Table4[Fruits], "Not Found", 0)</f>
        <v>64</v>
      </c>
      <c r="M2053" s="5">
        <f>_xlfn.XLOOKUP(CustomerCombined[[#This Row],[ID]], Table4[ID], Table4[Meats], "Not Found", 0)</f>
        <v>999</v>
      </c>
      <c r="N2053" s="5">
        <f>_xlfn.XLOOKUP(CustomerCombined[[#This Row],[ID]], Table4[ID], Table4[Seafood], "Not Found", 0)</f>
        <v>215</v>
      </c>
      <c r="O2053" s="5">
        <f>_xlfn.XLOOKUP(CustomerCombined[[#This Row],[ID]], Table4[ID], Table4[Sweets], "Not Found", 0)</f>
        <v>331</v>
      </c>
      <c r="P2053" s="5">
        <f>_xlfn.XLOOKUP(CustomerCombined[[#This Row],[ID]], Table4[ID], Table4[Premium], "Not Found", 0)</f>
        <v>365</v>
      </c>
      <c r="Q2053" s="5">
        <f>_xlfn.XLOOKUP(CustomerCombined[[#This Row],[ID]], Table4[ID], Table4[Regular], "Not Found", 0)</f>
        <v>2443</v>
      </c>
      <c r="R2053" s="5">
        <f>_xlfn.XLOOKUP(CustomerCombined[[#This Row],[ID]], Table4[ID], Table4[Deals], "Not Found", 0)</f>
        <v>1</v>
      </c>
      <c r="S2053" s="5">
        <f>_xlfn.XLOOKUP(CustomerCombined[[#This Row],[ID]], Table4[ID], Table4[Website], "Not Found", 0)</f>
        <v>5</v>
      </c>
      <c r="T2053" s="5">
        <f>_xlfn.XLOOKUP(CustomerCombined[[#This Row],[ID]], Table4[ID], Table4[Catalog], "Not Found", 0)</f>
        <v>7</v>
      </c>
      <c r="U2053" s="5">
        <f>_xlfn.XLOOKUP(CustomerCombined[[#This Row],[ID]], Table4[ID], Table4[Store], "Not Found", 0)</f>
        <v>9</v>
      </c>
      <c r="V2053" s="5">
        <f>_xlfn.XLOOKUP(CustomerCombined[[#This Row],[ID]], Table4[ID], Table4[Visits], "Not Found", 0)</f>
        <v>7</v>
      </c>
      <c r="W2053" s="8">
        <f>_xlfn.XLOOKUP(CustomerCombined[[#This Row],[ID]], Table2[ID],Table2[Complaint], "Not Found", 0 )</f>
        <v>0</v>
      </c>
      <c r="X2053" s="8">
        <f>_xlfn.XLOOKUP(CustomerCombined[[#This Row],[ID]], Table2[ID],Table2[Pilot], "Not Found", 0 )</f>
        <v>1</v>
      </c>
      <c r="Y2053" s="8">
        <f>_xlfn.XLOOKUP(CustomerCombined[[#This Row],[ID]], Table2[ID],Table2[MC1], "Not Found", 0 )</f>
        <v>0</v>
      </c>
      <c r="Z2053" s="8">
        <f>_xlfn.XLOOKUP(CustomerCombined[[#This Row],[ID]], Table2[ID],Table2[MC2], "Not Found", 0 )</f>
        <v>0</v>
      </c>
      <c r="AA2053" s="8">
        <f>_xlfn.XLOOKUP(CustomerCombined[[#This Row],[ID]], Table2[ID],Table2[MC3], "Not Found", 0 )</f>
        <v>0</v>
      </c>
      <c r="AB2053" s="8">
        <f>_xlfn.XLOOKUP(CustomerCombined[[#This Row],[ID]], Table2[ID],Table2[MC4], "Not Found", 0 )</f>
        <v>0</v>
      </c>
      <c r="AC2053" s="8">
        <f>_xlfn.XLOOKUP(CustomerCombined[[#This Row],[ID]], Table2[ID],Table2[MC5], "Not Found", 0 )</f>
        <v>0</v>
      </c>
    </row>
    <row r="2054" spans="1:29" x14ac:dyDescent="0.3">
      <c r="A2054" s="6">
        <v>3141</v>
      </c>
      <c r="B2054" s="6">
        <v>171965</v>
      </c>
      <c r="C2054" s="6">
        <v>0</v>
      </c>
      <c r="D2054" s="6">
        <v>1</v>
      </c>
      <c r="E2054" s="6">
        <v>69</v>
      </c>
      <c r="F2054" s="5" t="s">
        <v>6</v>
      </c>
      <c r="G2054" s="5" t="s">
        <v>11</v>
      </c>
      <c r="H2054" s="3">
        <v>43891</v>
      </c>
      <c r="I2054" s="5" t="s">
        <v>435</v>
      </c>
      <c r="J2054" s="5">
        <f>_xlfn.XLOOKUP(CustomerCombined[[#This Row],[ID]], Table4[ID], Table4[Recency], "Not Found", 0)</f>
        <v>21</v>
      </c>
      <c r="K2054" s="5">
        <f>_xlfn.XLOOKUP(CustomerCombined[[#This Row],[ID]], Table4[ID], Table4[Teas], "Not Found", 0)</f>
        <v>1367</v>
      </c>
      <c r="L2054" s="5">
        <f>_xlfn.XLOOKUP(CustomerCombined[[#This Row],[ID]], Table4[ID], Table4[Fruits], "Not Found", 0)</f>
        <v>45</v>
      </c>
      <c r="M2054" s="5">
        <f>_xlfn.XLOOKUP(CustomerCombined[[#This Row],[ID]], Table4[ID], Table4[Meats], "Not Found", 0)</f>
        <v>683</v>
      </c>
      <c r="N2054" s="5">
        <f>_xlfn.XLOOKUP(CustomerCombined[[#This Row],[ID]], Table4[ID], Table4[Seafood], "Not Found", 0)</f>
        <v>119</v>
      </c>
      <c r="O2054" s="5">
        <f>_xlfn.XLOOKUP(CustomerCombined[[#This Row],[ID]], Table4[ID], Table4[Sweets], "Not Found", 0)</f>
        <v>91</v>
      </c>
      <c r="P2054" s="5">
        <f>_xlfn.XLOOKUP(CustomerCombined[[#This Row],[ID]], Table4[ID], Table4[Premium], "Not Found", 0)</f>
        <v>593</v>
      </c>
      <c r="Q2054" s="5">
        <f>_xlfn.XLOOKUP(CustomerCombined[[#This Row],[ID]], Table4[ID], Table4[Regular], "Not Found", 0)</f>
        <v>1713</v>
      </c>
      <c r="R2054" s="5">
        <f>_xlfn.XLOOKUP(CustomerCombined[[#This Row],[ID]], Table4[ID], Table4[Deals], "Not Found", 0)</f>
        <v>3</v>
      </c>
      <c r="S2054" s="5">
        <f>_xlfn.XLOOKUP(CustomerCombined[[#This Row],[ID]], Table4[ID], Table4[Website], "Not Found", 0)</f>
        <v>6</v>
      </c>
      <c r="T2054" s="5">
        <f>_xlfn.XLOOKUP(CustomerCombined[[#This Row],[ID]], Table4[ID], Table4[Catalog], "Not Found", 0)</f>
        <v>3</v>
      </c>
      <c r="U2054" s="5">
        <f>_xlfn.XLOOKUP(CustomerCombined[[#This Row],[ID]], Table4[ID], Table4[Store], "Not Found", 0)</f>
        <v>5</v>
      </c>
      <c r="V2054" s="5">
        <f>_xlfn.XLOOKUP(CustomerCombined[[#This Row],[ID]], Table4[ID], Table4[Visits], "Not Found", 0)</f>
        <v>3</v>
      </c>
      <c r="W2054" s="8">
        <f>_xlfn.XLOOKUP(CustomerCombined[[#This Row],[ID]], Table2[ID],Table2[Complaint], "Not Found", 0 )</f>
        <v>0</v>
      </c>
      <c r="X2054" s="8">
        <f>_xlfn.XLOOKUP(CustomerCombined[[#This Row],[ID]], Table2[ID],Table2[Pilot], "Not Found", 0 )</f>
        <v>0</v>
      </c>
      <c r="Y2054" s="8">
        <f>_xlfn.XLOOKUP(CustomerCombined[[#This Row],[ID]], Table2[ID],Table2[MC1], "Not Found", 0 )</f>
        <v>0</v>
      </c>
      <c r="Z2054" s="8">
        <f>_xlfn.XLOOKUP(CustomerCombined[[#This Row],[ID]], Table2[ID],Table2[MC2], "Not Found", 0 )</f>
        <v>0</v>
      </c>
      <c r="AA2054" s="8">
        <f>_xlfn.XLOOKUP(CustomerCombined[[#This Row],[ID]], Table2[ID],Table2[MC3], "Not Found", 0 )</f>
        <v>0</v>
      </c>
      <c r="AB2054" s="8">
        <f>_xlfn.XLOOKUP(CustomerCombined[[#This Row],[ID]], Table2[ID],Table2[MC4], "Not Found", 0 )</f>
        <v>0</v>
      </c>
      <c r="AC2054" s="8">
        <f>_xlfn.XLOOKUP(CustomerCombined[[#This Row],[ID]], Table2[ID],Table2[MC5], "Not Found", 0 )</f>
        <v>0</v>
      </c>
    </row>
    <row r="2055" spans="1:29" x14ac:dyDescent="0.3">
      <c r="A2055" s="6">
        <v>2704</v>
      </c>
      <c r="B2055" s="6">
        <v>171107</v>
      </c>
      <c r="C2055" s="6">
        <v>0</v>
      </c>
      <c r="D2055" s="6">
        <v>1</v>
      </c>
      <c r="E2055" s="6">
        <v>69</v>
      </c>
      <c r="F2055" s="5" t="s">
        <v>6</v>
      </c>
      <c r="G2055" s="5" t="s">
        <v>11</v>
      </c>
      <c r="H2055" s="3" t="s">
        <v>306</v>
      </c>
      <c r="I2055" s="5" t="s">
        <v>439</v>
      </c>
      <c r="J2055" s="5">
        <f>_xlfn.XLOOKUP(CustomerCombined[[#This Row],[ID]], Table4[ID], Table4[Recency], "Not Found", 0)</f>
        <v>61</v>
      </c>
      <c r="K2055" s="5">
        <f>_xlfn.XLOOKUP(CustomerCombined[[#This Row],[ID]], Table4[ID], Table4[Teas], "Not Found", 0)</f>
        <v>1283</v>
      </c>
      <c r="L2055" s="5">
        <f>_xlfn.XLOOKUP(CustomerCombined[[#This Row],[ID]], Table4[ID], Table4[Fruits], "Not Found", 0)</f>
        <v>24</v>
      </c>
      <c r="M2055" s="5">
        <f>_xlfn.XLOOKUP(CustomerCombined[[#This Row],[ID]], Table4[ID], Table4[Meats], "Not Found", 0)</f>
        <v>522</v>
      </c>
      <c r="N2055" s="5">
        <f>_xlfn.XLOOKUP(CustomerCombined[[#This Row],[ID]], Table4[ID], Table4[Seafood], "Not Found", 0)</f>
        <v>476</v>
      </c>
      <c r="O2055" s="5">
        <f>_xlfn.XLOOKUP(CustomerCombined[[#This Row],[ID]], Table4[ID], Table4[Sweets], "Not Found", 0)</f>
        <v>419</v>
      </c>
      <c r="P2055" s="5">
        <f>_xlfn.XLOOKUP(CustomerCombined[[#This Row],[ID]], Table4[ID], Table4[Premium], "Not Found", 0)</f>
        <v>469</v>
      </c>
      <c r="Q2055" s="5">
        <f>_xlfn.XLOOKUP(CustomerCombined[[#This Row],[ID]], Table4[ID], Table4[Regular], "Not Found", 0)</f>
        <v>2255</v>
      </c>
      <c r="R2055" s="5">
        <f>_xlfn.XLOOKUP(CustomerCombined[[#This Row],[ID]], Table4[ID], Table4[Deals], "Not Found", 0)</f>
        <v>2</v>
      </c>
      <c r="S2055" s="5">
        <f>_xlfn.XLOOKUP(CustomerCombined[[#This Row],[ID]], Table4[ID], Table4[Website], "Not Found", 0)</f>
        <v>7</v>
      </c>
      <c r="T2055" s="5">
        <f>_xlfn.XLOOKUP(CustomerCombined[[#This Row],[ID]], Table4[ID], Table4[Catalog], "Not Found", 0)</f>
        <v>6</v>
      </c>
      <c r="U2055" s="5">
        <f>_xlfn.XLOOKUP(CustomerCombined[[#This Row],[ID]], Table4[ID], Table4[Store], "Not Found", 0)</f>
        <v>13</v>
      </c>
      <c r="V2055" s="5">
        <f>_xlfn.XLOOKUP(CustomerCombined[[#This Row],[ID]], Table4[ID], Table4[Visits], "Not Found", 0)</f>
        <v>4</v>
      </c>
      <c r="W2055" s="8">
        <f>_xlfn.XLOOKUP(CustomerCombined[[#This Row],[ID]], Table2[ID],Table2[Complaint], "Not Found", 0 )</f>
        <v>0</v>
      </c>
      <c r="X2055" s="8">
        <f>_xlfn.XLOOKUP(CustomerCombined[[#This Row],[ID]], Table2[ID],Table2[Pilot], "Not Found", 0 )</f>
        <v>0</v>
      </c>
      <c r="Y2055" s="8">
        <f>_xlfn.XLOOKUP(CustomerCombined[[#This Row],[ID]], Table2[ID],Table2[MC1], "Not Found", 0 )</f>
        <v>0</v>
      </c>
      <c r="Z2055" s="8">
        <f>_xlfn.XLOOKUP(CustomerCombined[[#This Row],[ID]], Table2[ID],Table2[MC2], "Not Found", 0 )</f>
        <v>0</v>
      </c>
      <c r="AA2055" s="8">
        <f>_xlfn.XLOOKUP(CustomerCombined[[#This Row],[ID]], Table2[ID],Table2[MC3], "Not Found", 0 )</f>
        <v>0</v>
      </c>
      <c r="AB2055" s="8">
        <f>_xlfn.XLOOKUP(CustomerCombined[[#This Row],[ID]], Table2[ID],Table2[MC4], "Not Found", 0 )</f>
        <v>0</v>
      </c>
      <c r="AC2055" s="8">
        <f>_xlfn.XLOOKUP(CustomerCombined[[#This Row],[ID]], Table2[ID],Table2[MC5], "Not Found", 0 )</f>
        <v>0</v>
      </c>
    </row>
    <row r="2056" spans="1:29" x14ac:dyDescent="0.3">
      <c r="A2056" s="6">
        <v>2920</v>
      </c>
      <c r="B2056" s="6">
        <v>170792</v>
      </c>
      <c r="C2056" s="6">
        <v>0</v>
      </c>
      <c r="D2056" s="6">
        <v>0</v>
      </c>
      <c r="E2056" s="6">
        <v>69</v>
      </c>
      <c r="F2056" s="5" t="s">
        <v>9</v>
      </c>
      <c r="G2056" s="5" t="s">
        <v>11</v>
      </c>
      <c r="H2056" s="3" t="s">
        <v>317</v>
      </c>
      <c r="I2056" s="5" t="s">
        <v>439</v>
      </c>
      <c r="J2056" s="5">
        <f>_xlfn.XLOOKUP(CustomerCombined[[#This Row],[ID]], Table4[ID], Table4[Recency], "Not Found", 0)</f>
        <v>82</v>
      </c>
      <c r="K2056" s="5">
        <f>_xlfn.XLOOKUP(CustomerCombined[[#This Row],[ID]], Table4[ID], Table4[Teas], "Not Found", 0)</f>
        <v>830</v>
      </c>
      <c r="L2056" s="5">
        <f>_xlfn.XLOOKUP(CustomerCombined[[#This Row],[ID]], Table4[ID], Table4[Fruits], "Not Found", 0)</f>
        <v>109</v>
      </c>
      <c r="M2056" s="5">
        <f>_xlfn.XLOOKUP(CustomerCombined[[#This Row],[ID]], Table4[ID], Table4[Meats], "Not Found", 0)</f>
        <v>1578</v>
      </c>
      <c r="N2056" s="5">
        <f>_xlfn.XLOOKUP(CustomerCombined[[#This Row],[ID]], Table4[ID], Table4[Seafood], "Not Found", 0)</f>
        <v>251</v>
      </c>
      <c r="O2056" s="5">
        <f>_xlfn.XLOOKUP(CustomerCombined[[#This Row],[ID]], Table4[ID], Table4[Sweets], "Not Found", 0)</f>
        <v>27</v>
      </c>
      <c r="P2056" s="5">
        <f>_xlfn.XLOOKUP(CustomerCombined[[#This Row],[ID]], Table4[ID], Table4[Premium], "Not Found", 0)</f>
        <v>275</v>
      </c>
      <c r="Q2056" s="5">
        <f>_xlfn.XLOOKUP(CustomerCombined[[#This Row],[ID]], Table4[ID], Table4[Regular], "Not Found", 0)</f>
        <v>2519</v>
      </c>
      <c r="R2056" s="5">
        <f>_xlfn.XLOOKUP(CustomerCombined[[#This Row],[ID]], Table4[ID], Table4[Deals], "Not Found", 0)</f>
        <v>2</v>
      </c>
      <c r="S2056" s="5">
        <f>_xlfn.XLOOKUP(CustomerCombined[[#This Row],[ID]], Table4[ID], Table4[Website], "Not Found", 0)</f>
        <v>3</v>
      </c>
      <c r="T2056" s="5">
        <f>_xlfn.XLOOKUP(CustomerCombined[[#This Row],[ID]], Table4[ID], Table4[Catalog], "Not Found", 0)</f>
        <v>4</v>
      </c>
      <c r="U2056" s="5">
        <f>_xlfn.XLOOKUP(CustomerCombined[[#This Row],[ID]], Table4[ID], Table4[Store], "Not Found", 0)</f>
        <v>10</v>
      </c>
      <c r="V2056" s="5">
        <f>_xlfn.XLOOKUP(CustomerCombined[[#This Row],[ID]], Table4[ID], Table4[Visits], "Not Found", 0)</f>
        <v>3</v>
      </c>
      <c r="W2056" s="8">
        <f>_xlfn.XLOOKUP(CustomerCombined[[#This Row],[ID]], Table2[ID],Table2[Complaint], "Not Found", 0 )</f>
        <v>0</v>
      </c>
      <c r="X2056" s="8">
        <f>_xlfn.XLOOKUP(CustomerCombined[[#This Row],[ID]], Table2[ID],Table2[Pilot], "Not Found", 0 )</f>
        <v>0</v>
      </c>
      <c r="Y2056" s="8">
        <f>_xlfn.XLOOKUP(CustomerCombined[[#This Row],[ID]], Table2[ID],Table2[MC1], "Not Found", 0 )</f>
        <v>0</v>
      </c>
      <c r="Z2056" s="8">
        <f>_xlfn.XLOOKUP(CustomerCombined[[#This Row],[ID]], Table2[ID],Table2[MC2], "Not Found", 0 )</f>
        <v>0</v>
      </c>
      <c r="AA2056" s="8">
        <f>_xlfn.XLOOKUP(CustomerCombined[[#This Row],[ID]], Table2[ID],Table2[MC3], "Not Found", 0 )</f>
        <v>0</v>
      </c>
      <c r="AB2056" s="8">
        <f>_xlfn.XLOOKUP(CustomerCombined[[#This Row],[ID]], Table2[ID],Table2[MC4], "Not Found", 0 )</f>
        <v>0</v>
      </c>
      <c r="AC2056" s="8">
        <f>_xlfn.XLOOKUP(CustomerCombined[[#This Row],[ID]], Table2[ID],Table2[MC5], "Not Found", 0 )</f>
        <v>0</v>
      </c>
    </row>
    <row r="2057" spans="1:29" x14ac:dyDescent="0.3">
      <c r="A2057" s="6">
        <v>2853</v>
      </c>
      <c r="B2057" s="6">
        <v>169702</v>
      </c>
      <c r="C2057" s="6">
        <v>0</v>
      </c>
      <c r="D2057" s="6">
        <v>1</v>
      </c>
      <c r="E2057" s="6">
        <v>69</v>
      </c>
      <c r="F2057" s="5" t="s">
        <v>8</v>
      </c>
      <c r="G2057" s="5" t="s">
        <v>13</v>
      </c>
      <c r="H2057" s="3" t="s">
        <v>304</v>
      </c>
      <c r="I2057" s="5" t="s">
        <v>435</v>
      </c>
      <c r="J2057" s="5">
        <f>_xlfn.XLOOKUP(CustomerCombined[[#This Row],[ID]], Table4[ID], Table4[Recency], "Not Found", 0)</f>
        <v>8</v>
      </c>
      <c r="K2057" s="5">
        <f>_xlfn.XLOOKUP(CustomerCombined[[#This Row],[ID]], Table4[ID], Table4[Teas], "Not Found", 0)</f>
        <v>1617</v>
      </c>
      <c r="L2057" s="5">
        <f>_xlfn.XLOOKUP(CustomerCombined[[#This Row],[ID]], Table4[ID], Table4[Fruits], "Not Found", 0)</f>
        <v>22</v>
      </c>
      <c r="M2057" s="5">
        <f>_xlfn.XLOOKUP(CustomerCombined[[#This Row],[ID]], Table4[ID], Table4[Meats], "Not Found", 0)</f>
        <v>584</v>
      </c>
      <c r="N2057" s="5">
        <f>_xlfn.XLOOKUP(CustomerCombined[[#This Row],[ID]], Table4[ID], Table4[Seafood], "Not Found", 0)</f>
        <v>122</v>
      </c>
      <c r="O2057" s="5">
        <f>_xlfn.XLOOKUP(CustomerCombined[[#This Row],[ID]], Table4[ID], Table4[Sweets], "Not Found", 0)</f>
        <v>46</v>
      </c>
      <c r="P2057" s="5">
        <f>_xlfn.XLOOKUP(CustomerCombined[[#This Row],[ID]], Table4[ID], Table4[Premium], "Not Found", 0)</f>
        <v>139</v>
      </c>
      <c r="Q2057" s="5">
        <f>_xlfn.XLOOKUP(CustomerCombined[[#This Row],[ID]], Table4[ID], Table4[Regular], "Not Found", 0)</f>
        <v>2252</v>
      </c>
      <c r="R2057" s="5">
        <f>_xlfn.XLOOKUP(CustomerCombined[[#This Row],[ID]], Table4[ID], Table4[Deals], "Not Found", 0)</f>
        <v>2</v>
      </c>
      <c r="S2057" s="5">
        <f>_xlfn.XLOOKUP(CustomerCombined[[#This Row],[ID]], Table4[ID], Table4[Website], "Not Found", 0)</f>
        <v>7</v>
      </c>
      <c r="T2057" s="5">
        <f>_xlfn.XLOOKUP(CustomerCombined[[#This Row],[ID]], Table4[ID], Table4[Catalog], "Not Found", 0)</f>
        <v>7</v>
      </c>
      <c r="U2057" s="5">
        <f>_xlfn.XLOOKUP(CustomerCombined[[#This Row],[ID]], Table4[ID], Table4[Store], "Not Found", 0)</f>
        <v>10</v>
      </c>
      <c r="V2057" s="5">
        <f>_xlfn.XLOOKUP(CustomerCombined[[#This Row],[ID]], Table4[ID], Table4[Visits], "Not Found", 0)</f>
        <v>4</v>
      </c>
      <c r="W2057" s="8">
        <f>_xlfn.XLOOKUP(CustomerCombined[[#This Row],[ID]], Table2[ID],Table2[Complaint], "Not Found", 0 )</f>
        <v>0</v>
      </c>
      <c r="X2057" s="8">
        <f>_xlfn.XLOOKUP(CustomerCombined[[#This Row],[ID]], Table2[ID],Table2[Pilot], "Not Found", 0 )</f>
        <v>0</v>
      </c>
      <c r="Y2057" s="8">
        <f>_xlfn.XLOOKUP(CustomerCombined[[#This Row],[ID]], Table2[ID],Table2[MC1], "Not Found", 0 )</f>
        <v>0</v>
      </c>
      <c r="Z2057" s="8">
        <f>_xlfn.XLOOKUP(CustomerCombined[[#This Row],[ID]], Table2[ID],Table2[MC2], "Not Found", 0 )</f>
        <v>0</v>
      </c>
      <c r="AA2057" s="8">
        <f>_xlfn.XLOOKUP(CustomerCombined[[#This Row],[ID]], Table2[ID],Table2[MC3], "Not Found", 0 )</f>
        <v>0</v>
      </c>
      <c r="AB2057" s="8">
        <f>_xlfn.XLOOKUP(CustomerCombined[[#This Row],[ID]], Table2[ID],Table2[MC4], "Not Found", 0 )</f>
        <v>0</v>
      </c>
      <c r="AC2057" s="8">
        <f>_xlfn.XLOOKUP(CustomerCombined[[#This Row],[ID]], Table2[ID],Table2[MC5], "Not Found", 0 )</f>
        <v>0</v>
      </c>
    </row>
    <row r="2058" spans="1:29" x14ac:dyDescent="0.3">
      <c r="A2058" s="6">
        <v>1059</v>
      </c>
      <c r="B2058" s="6">
        <v>167680</v>
      </c>
      <c r="C2058" s="6">
        <v>0</v>
      </c>
      <c r="D2058" s="6">
        <v>1</v>
      </c>
      <c r="E2058" s="6">
        <v>69</v>
      </c>
      <c r="F2058" s="5" t="s">
        <v>9</v>
      </c>
      <c r="G2058" s="5" t="s">
        <v>13</v>
      </c>
      <c r="H2058" s="3" t="s">
        <v>241</v>
      </c>
      <c r="I2058" s="5" t="s">
        <v>435</v>
      </c>
      <c r="J2058" s="5">
        <f>_xlfn.XLOOKUP(CustomerCombined[[#This Row],[ID]], Table4[ID], Table4[Recency], "Not Found", 0)</f>
        <v>8</v>
      </c>
      <c r="K2058" s="5">
        <f>_xlfn.XLOOKUP(CustomerCombined[[#This Row],[ID]], Table4[ID], Table4[Teas], "Not Found", 0)</f>
        <v>1353</v>
      </c>
      <c r="L2058" s="5">
        <f>_xlfn.XLOOKUP(CustomerCombined[[#This Row],[ID]], Table4[ID], Table4[Fruits], "Not Found", 0)</f>
        <v>0</v>
      </c>
      <c r="M2058" s="5">
        <f>_xlfn.XLOOKUP(CustomerCombined[[#This Row],[ID]], Table4[ID], Table4[Meats], "Not Found", 0)</f>
        <v>119</v>
      </c>
      <c r="N2058" s="5">
        <f>_xlfn.XLOOKUP(CustomerCombined[[#This Row],[ID]], Table4[ID], Table4[Seafood], "Not Found", 0)</f>
        <v>0</v>
      </c>
      <c r="O2058" s="5">
        <f>_xlfn.XLOOKUP(CustomerCombined[[#This Row],[ID]], Table4[ID], Table4[Sweets], "Not Found", 0)</f>
        <v>15</v>
      </c>
      <c r="P2058" s="5">
        <f>_xlfn.XLOOKUP(CustomerCombined[[#This Row],[ID]], Table4[ID], Table4[Premium], "Not Found", 0)</f>
        <v>15</v>
      </c>
      <c r="Q2058" s="5">
        <f>_xlfn.XLOOKUP(CustomerCombined[[#This Row],[ID]], Table4[ID], Table4[Regular], "Not Found", 0)</f>
        <v>1472</v>
      </c>
      <c r="R2058" s="5">
        <f>_xlfn.XLOOKUP(CustomerCombined[[#This Row],[ID]], Table4[ID], Table4[Deals], "Not Found", 0)</f>
        <v>1</v>
      </c>
      <c r="S2058" s="5">
        <f>_xlfn.XLOOKUP(CustomerCombined[[#This Row],[ID]], Table4[ID], Table4[Website], "Not Found", 0)</f>
        <v>7</v>
      </c>
      <c r="T2058" s="5">
        <f>_xlfn.XLOOKUP(CustomerCombined[[#This Row],[ID]], Table4[ID], Table4[Catalog], "Not Found", 0)</f>
        <v>3</v>
      </c>
      <c r="U2058" s="5">
        <f>_xlfn.XLOOKUP(CustomerCombined[[#This Row],[ID]], Table4[ID], Table4[Store], "Not Found", 0)</f>
        <v>8</v>
      </c>
      <c r="V2058" s="5">
        <f>_xlfn.XLOOKUP(CustomerCombined[[#This Row],[ID]], Table4[ID], Table4[Visits], "Not Found", 0)</f>
        <v>5</v>
      </c>
      <c r="W2058" s="8">
        <f>_xlfn.XLOOKUP(CustomerCombined[[#This Row],[ID]], Table2[ID],Table2[Complaint], "Not Found", 0 )</f>
        <v>0</v>
      </c>
      <c r="X2058" s="8">
        <f>_xlfn.XLOOKUP(CustomerCombined[[#This Row],[ID]], Table2[ID],Table2[Pilot], "Not Found", 0 )</f>
        <v>0</v>
      </c>
      <c r="Y2058" s="8">
        <f>_xlfn.XLOOKUP(CustomerCombined[[#This Row],[ID]], Table2[ID],Table2[MC1], "Not Found", 0 )</f>
        <v>0</v>
      </c>
      <c r="Z2058" s="8">
        <f>_xlfn.XLOOKUP(CustomerCombined[[#This Row],[ID]], Table2[ID],Table2[MC2], "Not Found", 0 )</f>
        <v>0</v>
      </c>
      <c r="AA2058" s="8">
        <f>_xlfn.XLOOKUP(CustomerCombined[[#This Row],[ID]], Table2[ID],Table2[MC3], "Not Found", 0 )</f>
        <v>0</v>
      </c>
      <c r="AB2058" s="8">
        <f>_xlfn.XLOOKUP(CustomerCombined[[#This Row],[ID]], Table2[ID],Table2[MC4], "Not Found", 0 )</f>
        <v>0</v>
      </c>
      <c r="AC2058" s="8">
        <f>_xlfn.XLOOKUP(CustomerCombined[[#This Row],[ID]], Table2[ID],Table2[MC5], "Not Found", 0 )</f>
        <v>0</v>
      </c>
    </row>
    <row r="2059" spans="1:29" x14ac:dyDescent="0.3">
      <c r="A2059" s="6">
        <v>2111</v>
      </c>
      <c r="B2059" s="6">
        <v>167381</v>
      </c>
      <c r="C2059" s="6">
        <v>0</v>
      </c>
      <c r="D2059" s="6">
        <v>1</v>
      </c>
      <c r="E2059" s="6">
        <v>69</v>
      </c>
      <c r="F2059" s="5" t="s">
        <v>6</v>
      </c>
      <c r="G2059" s="5" t="s">
        <v>12</v>
      </c>
      <c r="H2059" s="3" t="s">
        <v>325</v>
      </c>
      <c r="I2059" s="5" t="s">
        <v>434</v>
      </c>
      <c r="J2059" s="5">
        <f>_xlfn.XLOOKUP(CustomerCombined[[#This Row],[ID]], Table4[ID], Table4[Recency], "Not Found", 0)</f>
        <v>67</v>
      </c>
      <c r="K2059" s="5">
        <f>_xlfn.XLOOKUP(CustomerCombined[[#This Row],[ID]], Table4[ID], Table4[Teas], "Not Found", 0)</f>
        <v>2025</v>
      </c>
      <c r="L2059" s="5">
        <f>_xlfn.XLOOKUP(CustomerCombined[[#This Row],[ID]], Table4[ID], Table4[Fruits], "Not Found", 0)</f>
        <v>20</v>
      </c>
      <c r="M2059" s="5">
        <f>_xlfn.XLOOKUP(CustomerCombined[[#This Row],[ID]], Table4[ID], Table4[Meats], "Not Found", 0)</f>
        <v>132</v>
      </c>
      <c r="N2059" s="5">
        <f>_xlfn.XLOOKUP(CustomerCombined[[#This Row],[ID]], Table4[ID], Table4[Seafood], "Not Found", 0)</f>
        <v>27</v>
      </c>
      <c r="O2059" s="5">
        <f>_xlfn.XLOOKUP(CustomerCombined[[#This Row],[ID]], Table4[ID], Table4[Sweets], "Not Found", 0)</f>
        <v>0</v>
      </c>
      <c r="P2059" s="5">
        <f>_xlfn.XLOOKUP(CustomerCombined[[#This Row],[ID]], Table4[ID], Table4[Premium], "Not Found", 0)</f>
        <v>174</v>
      </c>
      <c r="Q2059" s="5">
        <f>_xlfn.XLOOKUP(CustomerCombined[[#This Row],[ID]], Table4[ID], Table4[Regular], "Not Found", 0)</f>
        <v>2030</v>
      </c>
      <c r="R2059" s="5">
        <f>_xlfn.XLOOKUP(CustomerCombined[[#This Row],[ID]], Table4[ID], Table4[Deals], "Not Found", 0)</f>
        <v>4</v>
      </c>
      <c r="S2059" s="5">
        <f>_xlfn.XLOOKUP(CustomerCombined[[#This Row],[ID]], Table4[ID], Table4[Website], "Not Found", 0)</f>
        <v>2</v>
      </c>
      <c r="T2059" s="5">
        <f>_xlfn.XLOOKUP(CustomerCombined[[#This Row],[ID]], Table4[ID], Table4[Catalog], "Not Found", 0)</f>
        <v>2</v>
      </c>
      <c r="U2059" s="5">
        <f>_xlfn.XLOOKUP(CustomerCombined[[#This Row],[ID]], Table4[ID], Table4[Store], "Not Found", 0)</f>
        <v>9</v>
      </c>
      <c r="V2059" s="5">
        <f>_xlfn.XLOOKUP(CustomerCombined[[#This Row],[ID]], Table4[ID], Table4[Visits], "Not Found", 0)</f>
        <v>7</v>
      </c>
      <c r="W2059" s="8">
        <f>_xlfn.XLOOKUP(CustomerCombined[[#This Row],[ID]], Table2[ID],Table2[Complaint], "Not Found", 0 )</f>
        <v>0</v>
      </c>
      <c r="X2059" s="8">
        <f>_xlfn.XLOOKUP(CustomerCombined[[#This Row],[ID]], Table2[ID],Table2[Pilot], "Not Found", 0 )</f>
        <v>0</v>
      </c>
      <c r="Y2059" s="8">
        <f>_xlfn.XLOOKUP(CustomerCombined[[#This Row],[ID]], Table2[ID],Table2[MC1], "Not Found", 0 )</f>
        <v>0</v>
      </c>
      <c r="Z2059" s="8">
        <f>_xlfn.XLOOKUP(CustomerCombined[[#This Row],[ID]], Table2[ID],Table2[MC2], "Not Found", 0 )</f>
        <v>0</v>
      </c>
      <c r="AA2059" s="8">
        <f>_xlfn.XLOOKUP(CustomerCombined[[#This Row],[ID]], Table2[ID],Table2[MC3], "Not Found", 0 )</f>
        <v>0</v>
      </c>
      <c r="AB2059" s="8">
        <f>_xlfn.XLOOKUP(CustomerCombined[[#This Row],[ID]], Table2[ID],Table2[MC4], "Not Found", 0 )</f>
        <v>1</v>
      </c>
      <c r="AC2059" s="8">
        <f>_xlfn.XLOOKUP(CustomerCombined[[#This Row],[ID]], Table2[ID],Table2[MC5], "Not Found", 0 )</f>
        <v>0</v>
      </c>
    </row>
    <row r="2060" spans="1:29" x14ac:dyDescent="0.3">
      <c r="A2060" s="6">
        <v>3038</v>
      </c>
      <c r="B2060" s="6">
        <v>167046</v>
      </c>
      <c r="C2060" s="6">
        <v>0</v>
      </c>
      <c r="D2060" s="6">
        <v>1</v>
      </c>
      <c r="E2060" s="6">
        <v>69</v>
      </c>
      <c r="F2060" s="5" t="s">
        <v>9</v>
      </c>
      <c r="G2060" s="5" t="s">
        <v>11</v>
      </c>
      <c r="H2060" s="3" t="s">
        <v>334</v>
      </c>
      <c r="I2060" s="5" t="s">
        <v>438</v>
      </c>
      <c r="J2060" s="5">
        <f>_xlfn.XLOOKUP(CustomerCombined[[#This Row],[ID]], Table4[ID], Table4[Recency], "Not Found", 0)</f>
        <v>92</v>
      </c>
      <c r="K2060" s="5">
        <f>_xlfn.XLOOKUP(CustomerCombined[[#This Row],[ID]], Table4[ID], Table4[Teas], "Not Found", 0)</f>
        <v>1355</v>
      </c>
      <c r="L2060" s="5">
        <f>_xlfn.XLOOKUP(CustomerCombined[[#This Row],[ID]], Table4[ID], Table4[Fruits], "Not Found", 0)</f>
        <v>87</v>
      </c>
      <c r="M2060" s="5">
        <f>_xlfn.XLOOKUP(CustomerCombined[[#This Row],[ID]], Table4[ID], Table4[Meats], "Not Found", 0)</f>
        <v>331</v>
      </c>
      <c r="N2060" s="5">
        <f>_xlfn.XLOOKUP(CustomerCombined[[#This Row],[ID]], Table4[ID], Table4[Seafood], "Not Found", 0)</f>
        <v>57</v>
      </c>
      <c r="O2060" s="5">
        <f>_xlfn.XLOOKUP(CustomerCombined[[#This Row],[ID]], Table4[ID], Table4[Sweets], "Not Found", 0)</f>
        <v>376</v>
      </c>
      <c r="P2060" s="5">
        <f>_xlfn.XLOOKUP(CustomerCombined[[#This Row],[ID]], Table4[ID], Table4[Premium], "Not Found", 0)</f>
        <v>267</v>
      </c>
      <c r="Q2060" s="5">
        <f>_xlfn.XLOOKUP(CustomerCombined[[#This Row],[ID]], Table4[ID], Table4[Regular], "Not Found", 0)</f>
        <v>1941</v>
      </c>
      <c r="R2060" s="5">
        <f>_xlfn.XLOOKUP(CustomerCombined[[#This Row],[ID]], Table4[ID], Table4[Deals], "Not Found", 0)</f>
        <v>2</v>
      </c>
      <c r="S2060" s="5">
        <f>_xlfn.XLOOKUP(CustomerCombined[[#This Row],[ID]], Table4[ID], Table4[Website], "Not Found", 0)</f>
        <v>4</v>
      </c>
      <c r="T2060" s="5">
        <f>_xlfn.XLOOKUP(CustomerCombined[[#This Row],[ID]], Table4[ID], Table4[Catalog], "Not Found", 0)</f>
        <v>5</v>
      </c>
      <c r="U2060" s="5">
        <f>_xlfn.XLOOKUP(CustomerCombined[[#This Row],[ID]], Table4[ID], Table4[Store], "Not Found", 0)</f>
        <v>4</v>
      </c>
      <c r="V2060" s="5">
        <f>_xlfn.XLOOKUP(CustomerCombined[[#This Row],[ID]], Table4[ID], Table4[Visits], "Not Found", 0)</f>
        <v>2</v>
      </c>
      <c r="W2060" s="8">
        <f>_xlfn.XLOOKUP(CustomerCombined[[#This Row],[ID]], Table2[ID],Table2[Complaint], "Not Found", 0 )</f>
        <v>0</v>
      </c>
      <c r="X2060" s="8">
        <f>_xlfn.XLOOKUP(CustomerCombined[[#This Row],[ID]], Table2[ID],Table2[Pilot], "Not Found", 0 )</f>
        <v>0</v>
      </c>
      <c r="Y2060" s="8">
        <f>_xlfn.XLOOKUP(CustomerCombined[[#This Row],[ID]], Table2[ID],Table2[MC1], "Not Found", 0 )</f>
        <v>0</v>
      </c>
      <c r="Z2060" s="8">
        <f>_xlfn.XLOOKUP(CustomerCombined[[#This Row],[ID]], Table2[ID],Table2[MC2], "Not Found", 0 )</f>
        <v>0</v>
      </c>
      <c r="AA2060" s="8">
        <f>_xlfn.XLOOKUP(CustomerCombined[[#This Row],[ID]], Table2[ID],Table2[MC3], "Not Found", 0 )</f>
        <v>0</v>
      </c>
      <c r="AB2060" s="8">
        <f>_xlfn.XLOOKUP(CustomerCombined[[#This Row],[ID]], Table2[ID],Table2[MC4], "Not Found", 0 )</f>
        <v>0</v>
      </c>
      <c r="AC2060" s="8">
        <f>_xlfn.XLOOKUP(CustomerCombined[[#This Row],[ID]], Table2[ID],Table2[MC5], "Not Found", 0 )</f>
        <v>0</v>
      </c>
    </row>
    <row r="2061" spans="1:29" x14ac:dyDescent="0.3">
      <c r="A2061" s="6">
        <v>1913</v>
      </c>
      <c r="B2061" s="6">
        <v>164950</v>
      </c>
      <c r="C2061" s="6">
        <v>0</v>
      </c>
      <c r="D2061" s="6">
        <v>1</v>
      </c>
      <c r="E2061" s="6">
        <v>69</v>
      </c>
      <c r="F2061" s="5" t="s">
        <v>7</v>
      </c>
      <c r="G2061" s="5" t="s">
        <v>13</v>
      </c>
      <c r="H2061" s="3" t="s">
        <v>416</v>
      </c>
      <c r="I2061" s="5" t="s">
        <v>434</v>
      </c>
      <c r="J2061" s="5">
        <f>_xlfn.XLOOKUP(CustomerCombined[[#This Row],[ID]], Table4[ID], Table4[Recency], "Not Found", 0)</f>
        <v>29</v>
      </c>
      <c r="K2061" s="5">
        <f>_xlfn.XLOOKUP(CustomerCombined[[#This Row],[ID]], Table4[ID], Table4[Teas], "Not Found", 0)</f>
        <v>2080</v>
      </c>
      <c r="L2061" s="5">
        <f>_xlfn.XLOOKUP(CustomerCombined[[#This Row],[ID]], Table4[ID], Table4[Fruits], "Not Found", 0)</f>
        <v>0</v>
      </c>
      <c r="M2061" s="5">
        <f>_xlfn.XLOOKUP(CustomerCombined[[#This Row],[ID]], Table4[ID], Table4[Meats], "Not Found", 0)</f>
        <v>183</v>
      </c>
      <c r="N2061" s="5">
        <f>_xlfn.XLOOKUP(CustomerCombined[[#This Row],[ID]], Table4[ID], Table4[Seafood], "Not Found", 0)</f>
        <v>30</v>
      </c>
      <c r="O2061" s="5">
        <f>_xlfn.XLOOKUP(CustomerCombined[[#This Row],[ID]], Table4[ID], Table4[Sweets], "Not Found", 0)</f>
        <v>0</v>
      </c>
      <c r="P2061" s="5">
        <f>_xlfn.XLOOKUP(CustomerCombined[[#This Row],[ID]], Table4[ID], Table4[Premium], "Not Found", 0)</f>
        <v>160</v>
      </c>
      <c r="Q2061" s="5">
        <f>_xlfn.XLOOKUP(CustomerCombined[[#This Row],[ID]], Table4[ID], Table4[Regular], "Not Found", 0)</f>
        <v>2133</v>
      </c>
      <c r="R2061" s="5">
        <f>_xlfn.XLOOKUP(CustomerCombined[[#This Row],[ID]], Table4[ID], Table4[Deals], "Not Found", 0)</f>
        <v>2</v>
      </c>
      <c r="S2061" s="5">
        <f>_xlfn.XLOOKUP(CustomerCombined[[#This Row],[ID]], Table4[ID], Table4[Website], "Not Found", 0)</f>
        <v>11</v>
      </c>
      <c r="T2061" s="5">
        <f>_xlfn.XLOOKUP(CustomerCombined[[#This Row],[ID]], Table4[ID], Table4[Catalog], "Not Found", 0)</f>
        <v>2</v>
      </c>
      <c r="U2061" s="5">
        <f>_xlfn.XLOOKUP(CustomerCombined[[#This Row],[ID]], Table4[ID], Table4[Store], "Not Found", 0)</f>
        <v>10</v>
      </c>
      <c r="V2061" s="5">
        <f>_xlfn.XLOOKUP(CustomerCombined[[#This Row],[ID]], Table4[ID], Table4[Visits], "Not Found", 0)</f>
        <v>7</v>
      </c>
      <c r="W2061" s="8">
        <f>_xlfn.XLOOKUP(CustomerCombined[[#This Row],[ID]], Table2[ID],Table2[Complaint], "Not Found", 0 )</f>
        <v>0</v>
      </c>
      <c r="X2061" s="8">
        <f>_xlfn.XLOOKUP(CustomerCombined[[#This Row],[ID]], Table2[ID],Table2[Pilot], "Not Found", 0 )</f>
        <v>0</v>
      </c>
      <c r="Y2061" s="8">
        <f>_xlfn.XLOOKUP(CustomerCombined[[#This Row],[ID]], Table2[ID],Table2[MC1], "Not Found", 0 )</f>
        <v>0</v>
      </c>
      <c r="Z2061" s="8">
        <f>_xlfn.XLOOKUP(CustomerCombined[[#This Row],[ID]], Table2[ID],Table2[MC2], "Not Found", 0 )</f>
        <v>0</v>
      </c>
      <c r="AA2061" s="8">
        <f>_xlfn.XLOOKUP(CustomerCombined[[#This Row],[ID]], Table2[ID],Table2[MC3], "Not Found", 0 )</f>
        <v>0</v>
      </c>
      <c r="AB2061" s="8">
        <f>_xlfn.XLOOKUP(CustomerCombined[[#This Row],[ID]], Table2[ID],Table2[MC4], "Not Found", 0 )</f>
        <v>1</v>
      </c>
      <c r="AC2061" s="8">
        <f>_xlfn.XLOOKUP(CustomerCombined[[#This Row],[ID]], Table2[ID],Table2[MC5], "Not Found", 0 )</f>
        <v>0</v>
      </c>
    </row>
    <row r="2062" spans="1:29" x14ac:dyDescent="0.3">
      <c r="A2062" s="6">
        <v>3012</v>
      </c>
      <c r="B2062" s="6">
        <v>160689</v>
      </c>
      <c r="C2062" s="6">
        <v>0</v>
      </c>
      <c r="D2062" s="6">
        <v>1</v>
      </c>
      <c r="E2062" s="6">
        <v>69</v>
      </c>
      <c r="F2062" s="5" t="s">
        <v>7</v>
      </c>
      <c r="G2062" s="5" t="s">
        <v>11</v>
      </c>
      <c r="H2062" s="3">
        <v>43627</v>
      </c>
      <c r="I2062" s="5" t="s">
        <v>436</v>
      </c>
      <c r="J2062" s="5">
        <f>_xlfn.XLOOKUP(CustomerCombined[[#This Row],[ID]], Table4[ID], Table4[Recency], "Not Found", 0)</f>
        <v>23</v>
      </c>
      <c r="K2062" s="5">
        <f>_xlfn.XLOOKUP(CustomerCombined[[#This Row],[ID]], Table4[ID], Table4[Teas], "Not Found", 0)</f>
        <v>635</v>
      </c>
      <c r="L2062" s="5">
        <f>_xlfn.XLOOKUP(CustomerCombined[[#This Row],[ID]], Table4[ID], Table4[Fruits], "Not Found", 0)</f>
        <v>238</v>
      </c>
      <c r="M2062" s="5">
        <f>_xlfn.XLOOKUP(CustomerCombined[[#This Row],[ID]], Table4[ID], Table4[Meats], "Not Found", 0)</f>
        <v>572</v>
      </c>
      <c r="N2062" s="5">
        <f>_xlfn.XLOOKUP(CustomerCombined[[#This Row],[ID]], Table4[ID], Table4[Seafood], "Not Found", 0)</f>
        <v>167</v>
      </c>
      <c r="O2062" s="5">
        <f>_xlfn.XLOOKUP(CustomerCombined[[#This Row],[ID]], Table4[ID], Table4[Sweets], "Not Found", 0)</f>
        <v>16</v>
      </c>
      <c r="P2062" s="5">
        <f>_xlfn.XLOOKUP(CustomerCombined[[#This Row],[ID]], Table4[ID], Table4[Premium], "Not Found", 0)</f>
        <v>64</v>
      </c>
      <c r="Q2062" s="5">
        <f>_xlfn.XLOOKUP(CustomerCombined[[#This Row],[ID]], Table4[ID], Table4[Regular], "Not Found", 0)</f>
        <v>1565</v>
      </c>
      <c r="R2062" s="5">
        <f>_xlfn.XLOOKUP(CustomerCombined[[#This Row],[ID]], Table4[ID], Table4[Deals], "Not Found", 0)</f>
        <v>4</v>
      </c>
      <c r="S2062" s="5">
        <f>_xlfn.XLOOKUP(CustomerCombined[[#This Row],[ID]], Table4[ID], Table4[Website], "Not Found", 0)</f>
        <v>4</v>
      </c>
      <c r="T2062" s="5">
        <f>_xlfn.XLOOKUP(CustomerCombined[[#This Row],[ID]], Table4[ID], Table4[Catalog], "Not Found", 0)</f>
        <v>4</v>
      </c>
      <c r="U2062" s="5">
        <f>_xlfn.XLOOKUP(CustomerCombined[[#This Row],[ID]], Table4[ID], Table4[Store], "Not Found", 0)</f>
        <v>10</v>
      </c>
      <c r="V2062" s="5">
        <f>_xlfn.XLOOKUP(CustomerCombined[[#This Row],[ID]], Table4[ID], Table4[Visits], "Not Found", 0)</f>
        <v>3</v>
      </c>
      <c r="W2062" s="8">
        <f>_xlfn.XLOOKUP(CustomerCombined[[#This Row],[ID]], Table2[ID],Table2[Complaint], "Not Found", 0 )</f>
        <v>0</v>
      </c>
      <c r="X2062" s="8">
        <f>_xlfn.XLOOKUP(CustomerCombined[[#This Row],[ID]], Table2[ID],Table2[Pilot], "Not Found", 0 )</f>
        <v>0</v>
      </c>
      <c r="Y2062" s="8">
        <f>_xlfn.XLOOKUP(CustomerCombined[[#This Row],[ID]], Table2[ID],Table2[MC1], "Not Found", 0 )</f>
        <v>0</v>
      </c>
      <c r="Z2062" s="8">
        <f>_xlfn.XLOOKUP(CustomerCombined[[#This Row],[ID]], Table2[ID],Table2[MC2], "Not Found", 0 )</f>
        <v>0</v>
      </c>
      <c r="AA2062" s="8">
        <f>_xlfn.XLOOKUP(CustomerCombined[[#This Row],[ID]], Table2[ID],Table2[MC3], "Not Found", 0 )</f>
        <v>0</v>
      </c>
      <c r="AB2062" s="8">
        <f>_xlfn.XLOOKUP(CustomerCombined[[#This Row],[ID]], Table2[ID],Table2[MC4], "Not Found", 0 )</f>
        <v>0</v>
      </c>
      <c r="AC2062" s="8">
        <f>_xlfn.XLOOKUP(CustomerCombined[[#This Row],[ID]], Table2[ID],Table2[MC5], "Not Found", 0 )</f>
        <v>0</v>
      </c>
    </row>
    <row r="2063" spans="1:29" x14ac:dyDescent="0.3">
      <c r="A2063" s="6">
        <v>1996</v>
      </c>
      <c r="B2063" s="6">
        <v>159412</v>
      </c>
      <c r="C2063" s="6">
        <v>0</v>
      </c>
      <c r="D2063" s="6">
        <v>0</v>
      </c>
      <c r="E2063" s="6">
        <v>69</v>
      </c>
      <c r="F2063" s="5" t="s">
        <v>6</v>
      </c>
      <c r="G2063" s="5" t="s">
        <v>12</v>
      </c>
      <c r="H2063" s="3" t="s">
        <v>63</v>
      </c>
      <c r="I2063" s="5" t="s">
        <v>439</v>
      </c>
      <c r="J2063" s="5">
        <f>_xlfn.XLOOKUP(CustomerCombined[[#This Row],[ID]], Table4[ID], Table4[Recency], "Not Found", 0)</f>
        <v>56</v>
      </c>
      <c r="K2063" s="5">
        <f>_xlfn.XLOOKUP(CustomerCombined[[#This Row],[ID]], Table4[ID], Table4[Teas], "Not Found", 0)</f>
        <v>241</v>
      </c>
      <c r="L2063" s="5">
        <f>_xlfn.XLOOKUP(CustomerCombined[[#This Row],[ID]], Table4[ID], Table4[Fruits], "Not Found", 0)</f>
        <v>180</v>
      </c>
      <c r="M2063" s="5">
        <f>_xlfn.XLOOKUP(CustomerCombined[[#This Row],[ID]], Table4[ID], Table4[Meats], "Not Found", 0)</f>
        <v>443</v>
      </c>
      <c r="N2063" s="5">
        <f>_xlfn.XLOOKUP(CustomerCombined[[#This Row],[ID]], Table4[ID], Table4[Seafood], "Not Found", 0)</f>
        <v>80</v>
      </c>
      <c r="O2063" s="5">
        <f>_xlfn.XLOOKUP(CustomerCombined[[#This Row],[ID]], Table4[ID], Table4[Sweets], "Not Found", 0)</f>
        <v>115</v>
      </c>
      <c r="P2063" s="5">
        <f>_xlfn.XLOOKUP(CustomerCombined[[#This Row],[ID]], Table4[ID], Table4[Premium], "Not Found", 0)</f>
        <v>30</v>
      </c>
      <c r="Q2063" s="5">
        <f>_xlfn.XLOOKUP(CustomerCombined[[#This Row],[ID]], Table4[ID], Table4[Regular], "Not Found", 0)</f>
        <v>1030</v>
      </c>
      <c r="R2063" s="5">
        <f>_xlfn.XLOOKUP(CustomerCombined[[#This Row],[ID]], Table4[ID], Table4[Deals], "Not Found", 0)</f>
        <v>1</v>
      </c>
      <c r="S2063" s="5">
        <f>_xlfn.XLOOKUP(CustomerCombined[[#This Row],[ID]], Table4[ID], Table4[Website], "Not Found", 0)</f>
        <v>4</v>
      </c>
      <c r="T2063" s="5">
        <f>_xlfn.XLOOKUP(CustomerCombined[[#This Row],[ID]], Table4[ID], Table4[Catalog], "Not Found", 0)</f>
        <v>2</v>
      </c>
      <c r="U2063" s="5">
        <f>_xlfn.XLOOKUP(CustomerCombined[[#This Row],[ID]], Table4[ID], Table4[Store], "Not Found", 0)</f>
        <v>8</v>
      </c>
      <c r="V2063" s="5">
        <f>_xlfn.XLOOKUP(CustomerCombined[[#This Row],[ID]], Table4[ID], Table4[Visits], "Not Found", 0)</f>
        <v>3</v>
      </c>
      <c r="W2063" s="8">
        <f>_xlfn.XLOOKUP(CustomerCombined[[#This Row],[ID]], Table2[ID],Table2[Complaint], "Not Found", 0 )</f>
        <v>0</v>
      </c>
      <c r="X2063" s="8">
        <f>_xlfn.XLOOKUP(CustomerCombined[[#This Row],[ID]], Table2[ID],Table2[Pilot], "Not Found", 0 )</f>
        <v>0</v>
      </c>
      <c r="Y2063" s="8">
        <f>_xlfn.XLOOKUP(CustomerCombined[[#This Row],[ID]], Table2[ID],Table2[MC1], "Not Found", 0 )</f>
        <v>0</v>
      </c>
      <c r="Z2063" s="8">
        <f>_xlfn.XLOOKUP(CustomerCombined[[#This Row],[ID]], Table2[ID],Table2[MC2], "Not Found", 0 )</f>
        <v>0</v>
      </c>
      <c r="AA2063" s="8">
        <f>_xlfn.XLOOKUP(CustomerCombined[[#This Row],[ID]], Table2[ID],Table2[MC3], "Not Found", 0 )</f>
        <v>0</v>
      </c>
      <c r="AB2063" s="8">
        <f>_xlfn.XLOOKUP(CustomerCombined[[#This Row],[ID]], Table2[ID],Table2[MC4], "Not Found", 0 )</f>
        <v>0</v>
      </c>
      <c r="AC2063" s="8">
        <f>_xlfn.XLOOKUP(CustomerCombined[[#This Row],[ID]], Table2[ID],Table2[MC5], "Not Found", 0 )</f>
        <v>0</v>
      </c>
    </row>
    <row r="2064" spans="1:29" x14ac:dyDescent="0.3">
      <c r="A2064" s="6">
        <v>2777</v>
      </c>
      <c r="B2064" s="6">
        <v>159385</v>
      </c>
      <c r="C2064" s="6">
        <v>1</v>
      </c>
      <c r="D2064" s="6">
        <v>1</v>
      </c>
      <c r="E2064" s="6">
        <v>69</v>
      </c>
      <c r="F2064" s="5" t="s">
        <v>8</v>
      </c>
      <c r="G2064" s="5" t="s">
        <v>12</v>
      </c>
      <c r="H2064" s="3">
        <v>43534</v>
      </c>
      <c r="I2064" s="5" t="s">
        <v>434</v>
      </c>
      <c r="J2064" s="5">
        <f>_xlfn.XLOOKUP(CustomerCombined[[#This Row],[ID]], Table4[ID], Table4[Recency], "Not Found", 0)</f>
        <v>85</v>
      </c>
      <c r="K2064" s="5">
        <f>_xlfn.XLOOKUP(CustomerCombined[[#This Row],[ID]], Table4[ID], Table4[Teas], "Not Found", 0)</f>
        <v>362</v>
      </c>
      <c r="L2064" s="5">
        <f>_xlfn.XLOOKUP(CustomerCombined[[#This Row],[ID]], Table4[ID], Table4[Fruits], "Not Found", 0)</f>
        <v>0</v>
      </c>
      <c r="M2064" s="5">
        <f>_xlfn.XLOOKUP(CustomerCombined[[#This Row],[ID]], Table4[ID], Table4[Meats], "Not Found", 0)</f>
        <v>27</v>
      </c>
      <c r="N2064" s="5">
        <f>_xlfn.XLOOKUP(CustomerCombined[[#This Row],[ID]], Table4[ID], Table4[Seafood], "Not Found", 0)</f>
        <v>0</v>
      </c>
      <c r="O2064" s="5">
        <f>_xlfn.XLOOKUP(CustomerCombined[[#This Row],[ID]], Table4[ID], Table4[Sweets], "Not Found", 0)</f>
        <v>11</v>
      </c>
      <c r="P2064" s="5">
        <f>_xlfn.XLOOKUP(CustomerCombined[[#This Row],[ID]], Table4[ID], Table4[Premium], "Not Found", 0)</f>
        <v>97</v>
      </c>
      <c r="Q2064" s="5">
        <f>_xlfn.XLOOKUP(CustomerCombined[[#This Row],[ID]], Table4[ID], Table4[Regular], "Not Found", 0)</f>
        <v>303</v>
      </c>
      <c r="R2064" s="5">
        <f>_xlfn.XLOOKUP(CustomerCombined[[#This Row],[ID]], Table4[ID], Table4[Deals], "Not Found", 0)</f>
        <v>2</v>
      </c>
      <c r="S2064" s="5">
        <f>_xlfn.XLOOKUP(CustomerCombined[[#This Row],[ID]], Table4[ID], Table4[Website], "Not Found", 0)</f>
        <v>3</v>
      </c>
      <c r="T2064" s="5">
        <f>_xlfn.XLOOKUP(CustomerCombined[[#This Row],[ID]], Table4[ID], Table4[Catalog], "Not Found", 0)</f>
        <v>1</v>
      </c>
      <c r="U2064" s="5">
        <f>_xlfn.XLOOKUP(CustomerCombined[[#This Row],[ID]], Table4[ID], Table4[Store], "Not Found", 0)</f>
        <v>4</v>
      </c>
      <c r="V2064" s="5">
        <f>_xlfn.XLOOKUP(CustomerCombined[[#This Row],[ID]], Table4[ID], Table4[Visits], "Not Found", 0)</f>
        <v>5</v>
      </c>
      <c r="W2064" s="8">
        <f>_xlfn.XLOOKUP(CustomerCombined[[#This Row],[ID]], Table2[ID],Table2[Complaint], "Not Found", 0 )</f>
        <v>0</v>
      </c>
      <c r="X2064" s="8">
        <f>_xlfn.XLOOKUP(CustomerCombined[[#This Row],[ID]], Table2[ID],Table2[Pilot], "Not Found", 0 )</f>
        <v>0</v>
      </c>
      <c r="Y2064" s="8">
        <f>_xlfn.XLOOKUP(CustomerCombined[[#This Row],[ID]], Table2[ID],Table2[MC1], "Not Found", 0 )</f>
        <v>0</v>
      </c>
      <c r="Z2064" s="8">
        <f>_xlfn.XLOOKUP(CustomerCombined[[#This Row],[ID]], Table2[ID],Table2[MC2], "Not Found", 0 )</f>
        <v>0</v>
      </c>
      <c r="AA2064" s="8">
        <f>_xlfn.XLOOKUP(CustomerCombined[[#This Row],[ID]], Table2[ID],Table2[MC3], "Not Found", 0 )</f>
        <v>0</v>
      </c>
      <c r="AB2064" s="8">
        <f>_xlfn.XLOOKUP(CustomerCombined[[#This Row],[ID]], Table2[ID],Table2[MC4], "Not Found", 0 )</f>
        <v>0</v>
      </c>
      <c r="AC2064" s="8">
        <f>_xlfn.XLOOKUP(CustomerCombined[[#This Row],[ID]], Table2[ID],Table2[MC5], "Not Found", 0 )</f>
        <v>0</v>
      </c>
    </row>
    <row r="2065" spans="1:29" x14ac:dyDescent="0.3">
      <c r="A2065" s="6">
        <v>2831</v>
      </c>
      <c r="B2065" s="6">
        <v>158217</v>
      </c>
      <c r="C2065" s="6">
        <v>2</v>
      </c>
      <c r="D2065" s="6">
        <v>1</v>
      </c>
      <c r="E2065" s="6">
        <v>69</v>
      </c>
      <c r="F2065" s="5" t="s">
        <v>7</v>
      </c>
      <c r="G2065" s="5" t="s">
        <v>12</v>
      </c>
      <c r="H2065" s="3" t="s">
        <v>359</v>
      </c>
      <c r="I2065" s="5" t="s">
        <v>434</v>
      </c>
      <c r="J2065" s="5">
        <f>_xlfn.XLOOKUP(CustomerCombined[[#This Row],[ID]], Table4[ID], Table4[Recency], "Not Found", 0)</f>
        <v>84</v>
      </c>
      <c r="K2065" s="5">
        <f>_xlfn.XLOOKUP(CustomerCombined[[#This Row],[ID]], Table4[ID], Table4[Teas], "Not Found", 0)</f>
        <v>185</v>
      </c>
      <c r="L2065" s="5">
        <f>_xlfn.XLOOKUP(CustomerCombined[[#This Row],[ID]], Table4[ID], Table4[Fruits], "Not Found", 0)</f>
        <v>3</v>
      </c>
      <c r="M2065" s="5">
        <f>_xlfn.XLOOKUP(CustomerCombined[[#This Row],[ID]], Table4[ID], Table4[Meats], "Not Found", 0)</f>
        <v>35</v>
      </c>
      <c r="N2065" s="5">
        <f>_xlfn.XLOOKUP(CustomerCombined[[#This Row],[ID]], Table4[ID], Table4[Seafood], "Not Found", 0)</f>
        <v>8</v>
      </c>
      <c r="O2065" s="5">
        <f>_xlfn.XLOOKUP(CustomerCombined[[#This Row],[ID]], Table4[ID], Table4[Sweets], "Not Found", 0)</f>
        <v>14</v>
      </c>
      <c r="P2065" s="5">
        <f>_xlfn.XLOOKUP(CustomerCombined[[#This Row],[ID]], Table4[ID], Table4[Premium], "Not Found", 0)</f>
        <v>35</v>
      </c>
      <c r="Q2065" s="5">
        <f>_xlfn.XLOOKUP(CustomerCombined[[#This Row],[ID]], Table4[ID], Table4[Regular], "Not Found", 0)</f>
        <v>209</v>
      </c>
      <c r="R2065" s="5">
        <f>_xlfn.XLOOKUP(CustomerCombined[[#This Row],[ID]], Table4[ID], Table4[Deals], "Not Found", 0)</f>
        <v>1</v>
      </c>
      <c r="S2065" s="5">
        <f>_xlfn.XLOOKUP(CustomerCombined[[#This Row],[ID]], Table4[ID], Table4[Website], "Not Found", 0)</f>
        <v>2</v>
      </c>
      <c r="T2065" s="5">
        <f>_xlfn.XLOOKUP(CustomerCombined[[#This Row],[ID]], Table4[ID], Table4[Catalog], "Not Found", 0)</f>
        <v>0</v>
      </c>
      <c r="U2065" s="5">
        <f>_xlfn.XLOOKUP(CustomerCombined[[#This Row],[ID]], Table4[ID], Table4[Store], "Not Found", 0)</f>
        <v>4</v>
      </c>
      <c r="V2065" s="5">
        <f>_xlfn.XLOOKUP(CustomerCombined[[#This Row],[ID]], Table4[ID], Table4[Visits], "Not Found", 0)</f>
        <v>6</v>
      </c>
      <c r="W2065" s="8">
        <f>_xlfn.XLOOKUP(CustomerCombined[[#This Row],[ID]], Table2[ID],Table2[Complaint], "Not Found", 0 )</f>
        <v>0</v>
      </c>
      <c r="X2065" s="8">
        <f>_xlfn.XLOOKUP(CustomerCombined[[#This Row],[ID]], Table2[ID],Table2[Pilot], "Not Found", 0 )</f>
        <v>0</v>
      </c>
      <c r="Y2065" s="8">
        <f>_xlfn.XLOOKUP(CustomerCombined[[#This Row],[ID]], Table2[ID],Table2[MC1], "Not Found", 0 )</f>
        <v>0</v>
      </c>
      <c r="Z2065" s="8">
        <f>_xlfn.XLOOKUP(CustomerCombined[[#This Row],[ID]], Table2[ID],Table2[MC2], "Not Found", 0 )</f>
        <v>0</v>
      </c>
      <c r="AA2065" s="8">
        <f>_xlfn.XLOOKUP(CustomerCombined[[#This Row],[ID]], Table2[ID],Table2[MC3], "Not Found", 0 )</f>
        <v>0</v>
      </c>
      <c r="AB2065" s="8">
        <f>_xlfn.XLOOKUP(CustomerCombined[[#This Row],[ID]], Table2[ID],Table2[MC4], "Not Found", 0 )</f>
        <v>0</v>
      </c>
      <c r="AC2065" s="8">
        <f>_xlfn.XLOOKUP(CustomerCombined[[#This Row],[ID]], Table2[ID],Table2[MC5], "Not Found", 0 )</f>
        <v>0</v>
      </c>
    </row>
    <row r="2066" spans="1:29" x14ac:dyDescent="0.3">
      <c r="A2066" s="6">
        <v>2526</v>
      </c>
      <c r="B2066" s="6">
        <v>157530</v>
      </c>
      <c r="C2066" s="6">
        <v>0</v>
      </c>
      <c r="D2066" s="6">
        <v>1</v>
      </c>
      <c r="E2066" s="6">
        <v>69</v>
      </c>
      <c r="F2066" s="5" t="s">
        <v>5</v>
      </c>
      <c r="G2066" s="5" t="s">
        <v>12</v>
      </c>
      <c r="H2066" s="3" t="s">
        <v>170</v>
      </c>
      <c r="I2066" s="5" t="s">
        <v>436</v>
      </c>
      <c r="J2066" s="5">
        <f>_xlfn.XLOOKUP(CustomerCombined[[#This Row],[ID]], Table4[ID], Table4[Recency], "Not Found", 0)</f>
        <v>68</v>
      </c>
      <c r="K2066" s="5">
        <f>_xlfn.XLOOKUP(CustomerCombined[[#This Row],[ID]], Table4[ID], Table4[Teas], "Not Found", 0)</f>
        <v>137</v>
      </c>
      <c r="L2066" s="5">
        <f>_xlfn.XLOOKUP(CustomerCombined[[#This Row],[ID]], Table4[ID], Table4[Fruits], "Not Found", 0)</f>
        <v>3</v>
      </c>
      <c r="M2066" s="5">
        <f>_xlfn.XLOOKUP(CustomerCombined[[#This Row],[ID]], Table4[ID], Table4[Meats], "Not Found", 0)</f>
        <v>74</v>
      </c>
      <c r="N2066" s="5">
        <f>_xlfn.XLOOKUP(CustomerCombined[[#This Row],[ID]], Table4[ID], Table4[Seafood], "Not Found", 0)</f>
        <v>16</v>
      </c>
      <c r="O2066" s="5">
        <f>_xlfn.XLOOKUP(CustomerCombined[[#This Row],[ID]], Table4[ID], Table4[Sweets], "Not Found", 0)</f>
        <v>19</v>
      </c>
      <c r="P2066" s="5">
        <f>_xlfn.XLOOKUP(CustomerCombined[[#This Row],[ID]], Table4[ID], Table4[Premium], "Not Found", 0)</f>
        <v>3</v>
      </c>
      <c r="Q2066" s="5">
        <f>_xlfn.XLOOKUP(CustomerCombined[[#This Row],[ID]], Table4[ID], Table4[Regular], "Not Found", 0)</f>
        <v>246</v>
      </c>
      <c r="R2066" s="5">
        <f>_xlfn.XLOOKUP(CustomerCombined[[#This Row],[ID]], Table4[ID], Table4[Deals], "Not Found", 0)</f>
        <v>1</v>
      </c>
      <c r="S2066" s="5">
        <f>_xlfn.XLOOKUP(CustomerCombined[[#This Row],[ID]], Table4[ID], Table4[Website], "Not Found", 0)</f>
        <v>1</v>
      </c>
      <c r="T2066" s="5">
        <f>_xlfn.XLOOKUP(CustomerCombined[[#This Row],[ID]], Table4[ID], Table4[Catalog], "Not Found", 0)</f>
        <v>1</v>
      </c>
      <c r="U2066" s="5">
        <f>_xlfn.XLOOKUP(CustomerCombined[[#This Row],[ID]], Table4[ID], Table4[Store], "Not Found", 0)</f>
        <v>4</v>
      </c>
      <c r="V2066" s="5">
        <f>_xlfn.XLOOKUP(CustomerCombined[[#This Row],[ID]], Table4[ID], Table4[Visits], "Not Found", 0)</f>
        <v>1</v>
      </c>
      <c r="W2066" s="8">
        <f>_xlfn.XLOOKUP(CustomerCombined[[#This Row],[ID]], Table2[ID],Table2[Complaint], "Not Found", 0 )</f>
        <v>0</v>
      </c>
      <c r="X2066" s="8">
        <f>_xlfn.XLOOKUP(CustomerCombined[[#This Row],[ID]], Table2[ID],Table2[Pilot], "Not Found", 0 )</f>
        <v>0</v>
      </c>
      <c r="Y2066" s="8">
        <f>_xlfn.XLOOKUP(CustomerCombined[[#This Row],[ID]], Table2[ID],Table2[MC1], "Not Found", 0 )</f>
        <v>0</v>
      </c>
      <c r="Z2066" s="8">
        <f>_xlfn.XLOOKUP(CustomerCombined[[#This Row],[ID]], Table2[ID],Table2[MC2], "Not Found", 0 )</f>
        <v>0</v>
      </c>
      <c r="AA2066" s="8">
        <f>_xlfn.XLOOKUP(CustomerCombined[[#This Row],[ID]], Table2[ID],Table2[MC3], "Not Found", 0 )</f>
        <v>0</v>
      </c>
      <c r="AB2066" s="8">
        <f>_xlfn.XLOOKUP(CustomerCombined[[#This Row],[ID]], Table2[ID],Table2[MC4], "Not Found", 0 )</f>
        <v>0</v>
      </c>
      <c r="AC2066" s="8">
        <f>_xlfn.XLOOKUP(CustomerCombined[[#This Row],[ID]], Table2[ID],Table2[MC5], "Not Found", 0 )</f>
        <v>0</v>
      </c>
    </row>
    <row r="2067" spans="1:29" x14ac:dyDescent="0.3">
      <c r="A2067" s="6">
        <v>2140</v>
      </c>
      <c r="B2067" s="6">
        <v>157304</v>
      </c>
      <c r="C2067" s="6">
        <v>0</v>
      </c>
      <c r="D2067" s="6">
        <v>1</v>
      </c>
      <c r="E2067" s="6">
        <v>69</v>
      </c>
      <c r="F2067" s="5" t="s">
        <v>6</v>
      </c>
      <c r="G2067" s="5" t="s">
        <v>11</v>
      </c>
      <c r="H2067" s="3" t="s">
        <v>296</v>
      </c>
      <c r="I2067" s="5" t="s">
        <v>439</v>
      </c>
      <c r="J2067" s="5">
        <f>_xlfn.XLOOKUP(CustomerCombined[[#This Row],[ID]], Table4[ID], Table4[Recency], "Not Found", 0)</f>
        <v>61</v>
      </c>
      <c r="K2067" s="5">
        <f>_xlfn.XLOOKUP(CustomerCombined[[#This Row],[ID]], Table4[ID], Table4[Teas], "Not Found", 0)</f>
        <v>977</v>
      </c>
      <c r="L2067" s="5">
        <f>_xlfn.XLOOKUP(CustomerCombined[[#This Row],[ID]], Table4[ID], Table4[Fruits], "Not Found", 0)</f>
        <v>220</v>
      </c>
      <c r="M2067" s="5">
        <f>_xlfn.XLOOKUP(CustomerCombined[[#This Row],[ID]], Table4[ID], Table4[Meats], "Not Found", 0)</f>
        <v>903</v>
      </c>
      <c r="N2067" s="5">
        <f>_xlfn.XLOOKUP(CustomerCombined[[#This Row],[ID]], Table4[ID], Table4[Seafood], "Not Found", 0)</f>
        <v>379</v>
      </c>
      <c r="O2067" s="5">
        <f>_xlfn.XLOOKUP(CustomerCombined[[#This Row],[ID]], Table4[ID], Table4[Sweets], "Not Found", 0)</f>
        <v>47</v>
      </c>
      <c r="P2067" s="5">
        <f>_xlfn.XLOOKUP(CustomerCombined[[#This Row],[ID]], Table4[ID], Table4[Premium], "Not Found", 0)</f>
        <v>291</v>
      </c>
      <c r="Q2067" s="5">
        <f>_xlfn.XLOOKUP(CustomerCombined[[#This Row],[ID]], Table4[ID], Table4[Regular], "Not Found", 0)</f>
        <v>2234</v>
      </c>
      <c r="R2067" s="5">
        <f>_xlfn.XLOOKUP(CustomerCombined[[#This Row],[ID]], Table4[ID], Table4[Deals], "Not Found", 0)</f>
        <v>2</v>
      </c>
      <c r="S2067" s="5">
        <f>_xlfn.XLOOKUP(CustomerCombined[[#This Row],[ID]], Table4[ID], Table4[Website], "Not Found", 0)</f>
        <v>7</v>
      </c>
      <c r="T2067" s="5">
        <f>_xlfn.XLOOKUP(CustomerCombined[[#This Row],[ID]], Table4[ID], Table4[Catalog], "Not Found", 0)</f>
        <v>6</v>
      </c>
      <c r="U2067" s="5">
        <f>_xlfn.XLOOKUP(CustomerCombined[[#This Row],[ID]], Table4[ID], Table4[Store], "Not Found", 0)</f>
        <v>10</v>
      </c>
      <c r="V2067" s="5">
        <f>_xlfn.XLOOKUP(CustomerCombined[[#This Row],[ID]], Table4[ID], Table4[Visits], "Not Found", 0)</f>
        <v>5</v>
      </c>
      <c r="W2067" s="8">
        <f>_xlfn.XLOOKUP(CustomerCombined[[#This Row],[ID]], Table2[ID],Table2[Complaint], "Not Found", 0 )</f>
        <v>0</v>
      </c>
      <c r="X2067" s="8">
        <f>_xlfn.XLOOKUP(CustomerCombined[[#This Row],[ID]], Table2[ID],Table2[Pilot], "Not Found", 0 )</f>
        <v>0</v>
      </c>
      <c r="Y2067" s="8">
        <f>_xlfn.XLOOKUP(CustomerCombined[[#This Row],[ID]], Table2[ID],Table2[MC1], "Not Found", 0 )</f>
        <v>0</v>
      </c>
      <c r="Z2067" s="8">
        <f>_xlfn.XLOOKUP(CustomerCombined[[#This Row],[ID]], Table2[ID],Table2[MC2], "Not Found", 0 )</f>
        <v>0</v>
      </c>
      <c r="AA2067" s="8">
        <f>_xlfn.XLOOKUP(CustomerCombined[[#This Row],[ID]], Table2[ID],Table2[MC3], "Not Found", 0 )</f>
        <v>0</v>
      </c>
      <c r="AB2067" s="8">
        <f>_xlfn.XLOOKUP(CustomerCombined[[#This Row],[ID]], Table2[ID],Table2[MC4], "Not Found", 0 )</f>
        <v>0</v>
      </c>
      <c r="AC2067" s="8">
        <f>_xlfn.XLOOKUP(CustomerCombined[[#This Row],[ID]], Table2[ID],Table2[MC5], "Not Found", 0 )</f>
        <v>0</v>
      </c>
    </row>
    <row r="2068" spans="1:29" x14ac:dyDescent="0.3">
      <c r="A2068" s="6">
        <v>1452</v>
      </c>
      <c r="B2068" s="6">
        <v>153790</v>
      </c>
      <c r="C2068" s="6">
        <v>0</v>
      </c>
      <c r="D2068" s="6">
        <v>2</v>
      </c>
      <c r="E2068" s="6">
        <v>69</v>
      </c>
      <c r="F2068" s="5" t="s">
        <v>6</v>
      </c>
      <c r="G2068" s="5" t="s">
        <v>11</v>
      </c>
      <c r="H2068" s="3">
        <v>44112</v>
      </c>
      <c r="I2068" s="5" t="s">
        <v>436</v>
      </c>
      <c r="J2068" s="5">
        <f>_xlfn.XLOOKUP(CustomerCombined[[#This Row],[ID]], Table4[ID], Table4[Recency], "Not Found", 0)</f>
        <v>86</v>
      </c>
      <c r="K2068" s="5">
        <f>_xlfn.XLOOKUP(CustomerCombined[[#This Row],[ID]], Table4[ID], Table4[Teas], "Not Found", 0)</f>
        <v>958</v>
      </c>
      <c r="L2068" s="5">
        <f>_xlfn.XLOOKUP(CustomerCombined[[#This Row],[ID]], Table4[ID], Table4[Fruits], "Not Found", 0)</f>
        <v>120</v>
      </c>
      <c r="M2068" s="5">
        <f>_xlfn.XLOOKUP(CustomerCombined[[#This Row],[ID]], Table4[ID], Table4[Meats], "Not Found", 0)</f>
        <v>363</v>
      </c>
      <c r="N2068" s="5">
        <f>_xlfn.XLOOKUP(CustomerCombined[[#This Row],[ID]], Table4[ID], Table4[Seafood], "Not Found", 0)</f>
        <v>80</v>
      </c>
      <c r="O2068" s="5">
        <f>_xlfn.XLOOKUP(CustomerCombined[[#This Row],[ID]], Table4[ID], Table4[Sweets], "Not Found", 0)</f>
        <v>14</v>
      </c>
      <c r="P2068" s="5">
        <f>_xlfn.XLOOKUP(CustomerCombined[[#This Row],[ID]], Table4[ID], Table4[Premium], "Not Found", 0)</f>
        <v>14</v>
      </c>
      <c r="Q2068" s="5">
        <f>_xlfn.XLOOKUP(CustomerCombined[[#This Row],[ID]], Table4[ID], Table4[Regular], "Not Found", 0)</f>
        <v>1521</v>
      </c>
      <c r="R2068" s="5">
        <f>_xlfn.XLOOKUP(CustomerCombined[[#This Row],[ID]], Table4[ID], Table4[Deals], "Not Found", 0)</f>
        <v>3</v>
      </c>
      <c r="S2068" s="5">
        <f>_xlfn.XLOOKUP(CustomerCombined[[#This Row],[ID]], Table4[ID], Table4[Website], "Not Found", 0)</f>
        <v>7</v>
      </c>
      <c r="T2068" s="5">
        <f>_xlfn.XLOOKUP(CustomerCombined[[#This Row],[ID]], Table4[ID], Table4[Catalog], "Not Found", 0)</f>
        <v>2</v>
      </c>
      <c r="U2068" s="5">
        <f>_xlfn.XLOOKUP(CustomerCombined[[#This Row],[ID]], Table4[ID], Table4[Store], "Not Found", 0)</f>
        <v>8</v>
      </c>
      <c r="V2068" s="5">
        <f>_xlfn.XLOOKUP(CustomerCombined[[#This Row],[ID]], Table4[ID], Table4[Visits], "Not Found", 0)</f>
        <v>6</v>
      </c>
      <c r="W2068" s="8">
        <f>_xlfn.XLOOKUP(CustomerCombined[[#This Row],[ID]], Table2[ID],Table2[Complaint], "Not Found", 0 )</f>
        <v>0</v>
      </c>
      <c r="X2068" s="8">
        <f>_xlfn.XLOOKUP(CustomerCombined[[#This Row],[ID]], Table2[ID],Table2[Pilot], "Not Found", 0 )</f>
        <v>0</v>
      </c>
      <c r="Y2068" s="8">
        <f>_xlfn.XLOOKUP(CustomerCombined[[#This Row],[ID]], Table2[ID],Table2[MC1], "Not Found", 0 )</f>
        <v>0</v>
      </c>
      <c r="Z2068" s="8">
        <f>_xlfn.XLOOKUP(CustomerCombined[[#This Row],[ID]], Table2[ID],Table2[MC2], "Not Found", 0 )</f>
        <v>0</v>
      </c>
      <c r="AA2068" s="8">
        <f>_xlfn.XLOOKUP(CustomerCombined[[#This Row],[ID]], Table2[ID],Table2[MC3], "Not Found", 0 )</f>
        <v>0</v>
      </c>
      <c r="AB2068" s="8">
        <f>_xlfn.XLOOKUP(CustomerCombined[[#This Row],[ID]], Table2[ID],Table2[MC4], "Not Found", 0 )</f>
        <v>0</v>
      </c>
      <c r="AC2068" s="8">
        <f>_xlfn.XLOOKUP(CustomerCombined[[#This Row],[ID]], Table2[ID],Table2[MC5], "Not Found", 0 )</f>
        <v>0</v>
      </c>
    </row>
    <row r="2069" spans="1:29" x14ac:dyDescent="0.3">
      <c r="A2069" s="6">
        <v>2038</v>
      </c>
      <c r="B2069" s="6">
        <v>153312</v>
      </c>
      <c r="C2069" s="6">
        <v>0</v>
      </c>
      <c r="D2069" s="6">
        <v>0</v>
      </c>
      <c r="E2069" s="6">
        <v>69</v>
      </c>
      <c r="F2069" s="5" t="s">
        <v>6</v>
      </c>
      <c r="G2069" s="5" t="s">
        <v>13</v>
      </c>
      <c r="H2069" s="3" t="s">
        <v>208</v>
      </c>
      <c r="I2069" s="5" t="s">
        <v>439</v>
      </c>
      <c r="J2069" s="5">
        <f>_xlfn.XLOOKUP(CustomerCombined[[#This Row],[ID]], Table4[ID], Table4[Recency], "Not Found", 0)</f>
        <v>32</v>
      </c>
      <c r="K2069" s="5">
        <f>_xlfn.XLOOKUP(CustomerCombined[[#This Row],[ID]], Table4[ID], Table4[Teas], "Not Found", 0)</f>
        <v>693</v>
      </c>
      <c r="L2069" s="5">
        <f>_xlfn.XLOOKUP(CustomerCombined[[#This Row],[ID]], Table4[ID], Table4[Fruits], "Not Found", 0)</f>
        <v>0</v>
      </c>
      <c r="M2069" s="5">
        <f>_xlfn.XLOOKUP(CustomerCombined[[#This Row],[ID]], Table4[ID], Table4[Meats], "Not Found", 0)</f>
        <v>35</v>
      </c>
      <c r="N2069" s="5">
        <f>_xlfn.XLOOKUP(CustomerCombined[[#This Row],[ID]], Table4[ID], Table4[Seafood], "Not Found", 0)</f>
        <v>0</v>
      </c>
      <c r="O2069" s="5">
        <f>_xlfn.XLOOKUP(CustomerCombined[[#This Row],[ID]], Table4[ID], Table4[Sweets], "Not Found", 0)</f>
        <v>0</v>
      </c>
      <c r="P2069" s="5">
        <f>_xlfn.XLOOKUP(CustomerCombined[[#This Row],[ID]], Table4[ID], Table4[Premium], "Not Found", 0)</f>
        <v>72</v>
      </c>
      <c r="Q2069" s="5">
        <f>_xlfn.XLOOKUP(CustomerCombined[[#This Row],[ID]], Table4[ID], Table4[Regular], "Not Found", 0)</f>
        <v>656</v>
      </c>
      <c r="R2069" s="5">
        <f>_xlfn.XLOOKUP(CustomerCombined[[#This Row],[ID]], Table4[ID], Table4[Deals], "Not Found", 0)</f>
        <v>1</v>
      </c>
      <c r="S2069" s="5">
        <f>_xlfn.XLOOKUP(CustomerCombined[[#This Row],[ID]], Table4[ID], Table4[Website], "Not Found", 0)</f>
        <v>5</v>
      </c>
      <c r="T2069" s="5">
        <f>_xlfn.XLOOKUP(CustomerCombined[[#This Row],[ID]], Table4[ID], Table4[Catalog], "Not Found", 0)</f>
        <v>1</v>
      </c>
      <c r="U2069" s="5">
        <f>_xlfn.XLOOKUP(CustomerCombined[[#This Row],[ID]], Table4[ID], Table4[Store], "Not Found", 0)</f>
        <v>5</v>
      </c>
      <c r="V2069" s="5">
        <f>_xlfn.XLOOKUP(CustomerCombined[[#This Row],[ID]], Table4[ID], Table4[Visits], "Not Found", 0)</f>
        <v>7</v>
      </c>
      <c r="W2069" s="8">
        <f>_xlfn.XLOOKUP(CustomerCombined[[#This Row],[ID]], Table2[ID],Table2[Complaint], "Not Found", 0 )</f>
        <v>0</v>
      </c>
      <c r="X2069" s="8">
        <f>_xlfn.XLOOKUP(CustomerCombined[[#This Row],[ID]], Table2[ID],Table2[Pilot], "Not Found", 0 )</f>
        <v>0</v>
      </c>
      <c r="Y2069" s="8">
        <f>_xlfn.XLOOKUP(CustomerCombined[[#This Row],[ID]], Table2[ID],Table2[MC1], "Not Found", 0 )</f>
        <v>0</v>
      </c>
      <c r="Z2069" s="8">
        <f>_xlfn.XLOOKUP(CustomerCombined[[#This Row],[ID]], Table2[ID],Table2[MC2], "Not Found", 0 )</f>
        <v>0</v>
      </c>
      <c r="AA2069" s="8">
        <f>_xlfn.XLOOKUP(CustomerCombined[[#This Row],[ID]], Table2[ID],Table2[MC3], "Not Found", 0 )</f>
        <v>0</v>
      </c>
      <c r="AB2069" s="8">
        <f>_xlfn.XLOOKUP(CustomerCombined[[#This Row],[ID]], Table2[ID],Table2[MC4], "Not Found", 0 )</f>
        <v>0</v>
      </c>
      <c r="AC2069" s="8">
        <f>_xlfn.XLOOKUP(CustomerCombined[[#This Row],[ID]], Table2[ID],Table2[MC5], "Not Found", 0 )</f>
        <v>0</v>
      </c>
    </row>
    <row r="2070" spans="1:29" x14ac:dyDescent="0.3">
      <c r="A2070" s="6">
        <v>1034</v>
      </c>
      <c r="B2070" s="6">
        <v>149389</v>
      </c>
      <c r="C2070" s="6">
        <v>1</v>
      </c>
      <c r="D2070" s="6">
        <v>1</v>
      </c>
      <c r="E2070" s="6">
        <v>69</v>
      </c>
      <c r="F2070" s="5" t="s">
        <v>7</v>
      </c>
      <c r="G2070" s="5" t="s">
        <v>12</v>
      </c>
      <c r="H2070" s="3">
        <v>43892</v>
      </c>
      <c r="I2070" s="5" t="s">
        <v>438</v>
      </c>
      <c r="J2070" s="5">
        <f>_xlfn.XLOOKUP(CustomerCombined[[#This Row],[ID]], Table4[ID], Table4[Recency], "Not Found", 0)</f>
        <v>55</v>
      </c>
      <c r="K2070" s="5">
        <f>_xlfn.XLOOKUP(CustomerCombined[[#This Row],[ID]], Table4[ID], Table4[Teas], "Not Found", 0)</f>
        <v>121</v>
      </c>
      <c r="L2070" s="5">
        <f>_xlfn.XLOOKUP(CustomerCombined[[#This Row],[ID]], Table4[ID], Table4[Fruits], "Not Found", 0)</f>
        <v>0</v>
      </c>
      <c r="M2070" s="5">
        <f>_xlfn.XLOOKUP(CustomerCombined[[#This Row],[ID]], Table4[ID], Table4[Meats], "Not Found", 0)</f>
        <v>57</v>
      </c>
      <c r="N2070" s="5">
        <f>_xlfn.XLOOKUP(CustomerCombined[[#This Row],[ID]], Table4[ID], Table4[Seafood], "Not Found", 0)</f>
        <v>6</v>
      </c>
      <c r="O2070" s="5">
        <f>_xlfn.XLOOKUP(CustomerCombined[[#This Row],[ID]], Table4[ID], Table4[Sweets], "Not Found", 0)</f>
        <v>3</v>
      </c>
      <c r="P2070" s="5">
        <f>_xlfn.XLOOKUP(CustomerCombined[[#This Row],[ID]], Table4[ID], Table4[Premium], "Not Found", 0)</f>
        <v>9</v>
      </c>
      <c r="Q2070" s="5">
        <f>_xlfn.XLOOKUP(CustomerCombined[[#This Row],[ID]], Table4[ID], Table4[Regular], "Not Found", 0)</f>
        <v>178</v>
      </c>
      <c r="R2070" s="5">
        <f>_xlfn.XLOOKUP(CustomerCombined[[#This Row],[ID]], Table4[ID], Table4[Deals], "Not Found", 0)</f>
        <v>1</v>
      </c>
      <c r="S2070" s="5">
        <f>_xlfn.XLOOKUP(CustomerCombined[[#This Row],[ID]], Table4[ID], Table4[Website], "Not Found", 0)</f>
        <v>2</v>
      </c>
      <c r="T2070" s="5">
        <f>_xlfn.XLOOKUP(CustomerCombined[[#This Row],[ID]], Table4[ID], Table4[Catalog], "Not Found", 0)</f>
        <v>0</v>
      </c>
      <c r="U2070" s="5">
        <f>_xlfn.XLOOKUP(CustomerCombined[[#This Row],[ID]], Table4[ID], Table4[Store], "Not Found", 0)</f>
        <v>3</v>
      </c>
      <c r="V2070" s="5">
        <f>_xlfn.XLOOKUP(CustomerCombined[[#This Row],[ID]], Table4[ID], Table4[Visits], "Not Found", 0)</f>
        <v>7</v>
      </c>
      <c r="W2070" s="8">
        <f>_xlfn.XLOOKUP(CustomerCombined[[#This Row],[ID]], Table2[ID],Table2[Complaint], "Not Found", 0 )</f>
        <v>0</v>
      </c>
      <c r="X2070" s="8">
        <f>_xlfn.XLOOKUP(CustomerCombined[[#This Row],[ID]], Table2[ID],Table2[Pilot], "Not Found", 0 )</f>
        <v>0</v>
      </c>
      <c r="Y2070" s="8">
        <f>_xlfn.XLOOKUP(CustomerCombined[[#This Row],[ID]], Table2[ID],Table2[MC1], "Not Found", 0 )</f>
        <v>0</v>
      </c>
      <c r="Z2070" s="8">
        <f>_xlfn.XLOOKUP(CustomerCombined[[#This Row],[ID]], Table2[ID],Table2[MC2], "Not Found", 0 )</f>
        <v>0</v>
      </c>
      <c r="AA2070" s="8">
        <f>_xlfn.XLOOKUP(CustomerCombined[[#This Row],[ID]], Table2[ID],Table2[MC3], "Not Found", 0 )</f>
        <v>0</v>
      </c>
      <c r="AB2070" s="8">
        <f>_xlfn.XLOOKUP(CustomerCombined[[#This Row],[ID]], Table2[ID],Table2[MC4], "Not Found", 0 )</f>
        <v>0</v>
      </c>
      <c r="AC2070" s="8">
        <f>_xlfn.XLOOKUP(CustomerCombined[[#This Row],[ID]], Table2[ID],Table2[MC5], "Not Found", 0 )</f>
        <v>0</v>
      </c>
    </row>
    <row r="2071" spans="1:29" x14ac:dyDescent="0.3">
      <c r="A2071" s="6">
        <v>2665</v>
      </c>
      <c r="B2071" s="6">
        <v>149090</v>
      </c>
      <c r="C2071" s="6">
        <v>0</v>
      </c>
      <c r="D2071" s="6">
        <v>1</v>
      </c>
      <c r="E2071" s="6">
        <v>69</v>
      </c>
      <c r="F2071" s="5" t="s">
        <v>7</v>
      </c>
      <c r="G2071" s="5" t="s">
        <v>11</v>
      </c>
      <c r="H2071" s="3" t="s">
        <v>217</v>
      </c>
      <c r="I2071" s="5" t="s">
        <v>437</v>
      </c>
      <c r="J2071" s="5">
        <f>_xlfn.XLOOKUP(CustomerCombined[[#This Row],[ID]], Table4[ID], Table4[Recency], "Not Found", 0)</f>
        <v>45</v>
      </c>
      <c r="K2071" s="5">
        <f>_xlfn.XLOOKUP(CustomerCombined[[#This Row],[ID]], Table4[ID], Table4[Teas], "Not Found", 0)</f>
        <v>1500</v>
      </c>
      <c r="L2071" s="5">
        <f>_xlfn.XLOOKUP(CustomerCombined[[#This Row],[ID]], Table4[ID], Table4[Fruits], "Not Found", 0)</f>
        <v>15</v>
      </c>
      <c r="M2071" s="5">
        <f>_xlfn.XLOOKUP(CustomerCombined[[#This Row],[ID]], Table4[ID], Table4[Meats], "Not Found", 0)</f>
        <v>249</v>
      </c>
      <c r="N2071" s="5">
        <f>_xlfn.XLOOKUP(CustomerCombined[[#This Row],[ID]], Table4[ID], Table4[Seafood], "Not Found", 0)</f>
        <v>21</v>
      </c>
      <c r="O2071" s="5">
        <f>_xlfn.XLOOKUP(CustomerCombined[[#This Row],[ID]], Table4[ID], Table4[Sweets], "Not Found", 0)</f>
        <v>0</v>
      </c>
      <c r="P2071" s="5">
        <f>_xlfn.XLOOKUP(CustomerCombined[[#This Row],[ID]], Table4[ID], Table4[Premium], "Not Found", 0)</f>
        <v>304</v>
      </c>
      <c r="Q2071" s="5">
        <f>_xlfn.XLOOKUP(CustomerCombined[[#This Row],[ID]], Table4[ID], Table4[Regular], "Not Found", 0)</f>
        <v>1482</v>
      </c>
      <c r="R2071" s="5">
        <f>_xlfn.XLOOKUP(CustomerCombined[[#This Row],[ID]], Table4[ID], Table4[Deals], "Not Found", 0)</f>
        <v>3</v>
      </c>
      <c r="S2071" s="5">
        <f>_xlfn.XLOOKUP(CustomerCombined[[#This Row],[ID]], Table4[ID], Table4[Website], "Not Found", 0)</f>
        <v>7</v>
      </c>
      <c r="T2071" s="5">
        <f>_xlfn.XLOOKUP(CustomerCombined[[#This Row],[ID]], Table4[ID], Table4[Catalog], "Not Found", 0)</f>
        <v>2</v>
      </c>
      <c r="U2071" s="5">
        <f>_xlfn.XLOOKUP(CustomerCombined[[#This Row],[ID]], Table4[ID], Table4[Store], "Not Found", 0)</f>
        <v>9</v>
      </c>
      <c r="V2071" s="5">
        <f>_xlfn.XLOOKUP(CustomerCombined[[#This Row],[ID]], Table4[ID], Table4[Visits], "Not Found", 0)</f>
        <v>7</v>
      </c>
      <c r="W2071" s="8">
        <f>_xlfn.XLOOKUP(CustomerCombined[[#This Row],[ID]], Table2[ID],Table2[Complaint], "Not Found", 0 )</f>
        <v>0</v>
      </c>
      <c r="X2071" s="8">
        <f>_xlfn.XLOOKUP(CustomerCombined[[#This Row],[ID]], Table2[ID],Table2[Pilot], "Not Found", 0 )</f>
        <v>0</v>
      </c>
      <c r="Y2071" s="8">
        <f>_xlfn.XLOOKUP(CustomerCombined[[#This Row],[ID]], Table2[ID],Table2[MC1], "Not Found", 0 )</f>
        <v>0</v>
      </c>
      <c r="Z2071" s="8">
        <f>_xlfn.XLOOKUP(CustomerCombined[[#This Row],[ID]], Table2[ID],Table2[MC2], "Not Found", 0 )</f>
        <v>0</v>
      </c>
      <c r="AA2071" s="8">
        <f>_xlfn.XLOOKUP(CustomerCombined[[#This Row],[ID]], Table2[ID],Table2[MC3], "Not Found", 0 )</f>
        <v>0</v>
      </c>
      <c r="AB2071" s="8">
        <f>_xlfn.XLOOKUP(CustomerCombined[[#This Row],[ID]], Table2[ID],Table2[MC4], "Not Found", 0 )</f>
        <v>0</v>
      </c>
      <c r="AC2071" s="8">
        <f>_xlfn.XLOOKUP(CustomerCombined[[#This Row],[ID]], Table2[ID],Table2[MC5], "Not Found", 0 )</f>
        <v>0</v>
      </c>
    </row>
    <row r="2072" spans="1:29" x14ac:dyDescent="0.3">
      <c r="A2072" s="6">
        <v>1519</v>
      </c>
      <c r="B2072" s="6">
        <v>147352</v>
      </c>
      <c r="C2072" s="6">
        <v>0</v>
      </c>
      <c r="D2072" s="6">
        <v>1</v>
      </c>
      <c r="E2072" s="6">
        <v>69</v>
      </c>
      <c r="F2072" s="5" t="s">
        <v>8</v>
      </c>
      <c r="G2072" s="5" t="s">
        <v>12</v>
      </c>
      <c r="H2072" s="3" t="s">
        <v>278</v>
      </c>
      <c r="I2072" s="5" t="s">
        <v>437</v>
      </c>
      <c r="J2072" s="5">
        <f>_xlfn.XLOOKUP(CustomerCombined[[#This Row],[ID]], Table4[ID], Table4[Recency], "Not Found", 0)</f>
        <v>70</v>
      </c>
      <c r="K2072" s="5">
        <f>_xlfn.XLOOKUP(CustomerCombined[[#This Row],[ID]], Table4[ID], Table4[Teas], "Not Found", 0)</f>
        <v>535</v>
      </c>
      <c r="L2072" s="5">
        <f>_xlfn.XLOOKUP(CustomerCombined[[#This Row],[ID]], Table4[ID], Table4[Fruits], "Not Found", 0)</f>
        <v>37</v>
      </c>
      <c r="M2072" s="5">
        <f>_xlfn.XLOOKUP(CustomerCombined[[#This Row],[ID]], Table4[ID], Table4[Meats], "Not Found", 0)</f>
        <v>349</v>
      </c>
      <c r="N2072" s="5">
        <f>_xlfn.XLOOKUP(CustomerCombined[[#This Row],[ID]], Table4[ID], Table4[Seafood], "Not Found", 0)</f>
        <v>25</v>
      </c>
      <c r="O2072" s="5">
        <f>_xlfn.XLOOKUP(CustomerCombined[[#This Row],[ID]], Table4[ID], Table4[Sweets], "Not Found", 0)</f>
        <v>0</v>
      </c>
      <c r="P2072" s="5">
        <f>_xlfn.XLOOKUP(CustomerCombined[[#This Row],[ID]], Table4[ID], Table4[Premium], "Not Found", 0)</f>
        <v>47</v>
      </c>
      <c r="Q2072" s="5">
        <f>_xlfn.XLOOKUP(CustomerCombined[[#This Row],[ID]], Table4[ID], Table4[Regular], "Not Found", 0)</f>
        <v>899</v>
      </c>
      <c r="R2072" s="5">
        <f>_xlfn.XLOOKUP(CustomerCombined[[#This Row],[ID]], Table4[ID], Table4[Deals], "Not Found", 0)</f>
        <v>4</v>
      </c>
      <c r="S2072" s="5">
        <f>_xlfn.XLOOKUP(CustomerCombined[[#This Row],[ID]], Table4[ID], Table4[Website], "Not Found", 0)</f>
        <v>6</v>
      </c>
      <c r="T2072" s="5">
        <f>_xlfn.XLOOKUP(CustomerCombined[[#This Row],[ID]], Table4[ID], Table4[Catalog], "Not Found", 0)</f>
        <v>1</v>
      </c>
      <c r="U2072" s="5">
        <f>_xlfn.XLOOKUP(CustomerCombined[[#This Row],[ID]], Table4[ID], Table4[Store], "Not Found", 0)</f>
        <v>5</v>
      </c>
      <c r="V2072" s="5">
        <f>_xlfn.XLOOKUP(CustomerCombined[[#This Row],[ID]], Table4[ID], Table4[Visits], "Not Found", 0)</f>
        <v>7</v>
      </c>
      <c r="W2072" s="8">
        <f>_xlfn.XLOOKUP(CustomerCombined[[#This Row],[ID]], Table2[ID],Table2[Complaint], "Not Found", 0 )</f>
        <v>0</v>
      </c>
      <c r="X2072" s="8">
        <f>_xlfn.XLOOKUP(CustomerCombined[[#This Row],[ID]], Table2[ID],Table2[Pilot], "Not Found", 0 )</f>
        <v>0</v>
      </c>
      <c r="Y2072" s="8">
        <f>_xlfn.XLOOKUP(CustomerCombined[[#This Row],[ID]], Table2[ID],Table2[MC1], "Not Found", 0 )</f>
        <v>0</v>
      </c>
      <c r="Z2072" s="8">
        <f>_xlfn.XLOOKUP(CustomerCombined[[#This Row],[ID]], Table2[ID],Table2[MC2], "Not Found", 0 )</f>
        <v>0</v>
      </c>
      <c r="AA2072" s="8">
        <f>_xlfn.XLOOKUP(CustomerCombined[[#This Row],[ID]], Table2[ID],Table2[MC3], "Not Found", 0 )</f>
        <v>0</v>
      </c>
      <c r="AB2072" s="8">
        <f>_xlfn.XLOOKUP(CustomerCombined[[#This Row],[ID]], Table2[ID],Table2[MC4], "Not Found", 0 )</f>
        <v>0</v>
      </c>
      <c r="AC2072" s="8">
        <f>_xlfn.XLOOKUP(CustomerCombined[[#This Row],[ID]], Table2[ID],Table2[MC5], "Not Found", 0 )</f>
        <v>0</v>
      </c>
    </row>
    <row r="2073" spans="1:29" x14ac:dyDescent="0.3">
      <c r="A2073" s="6">
        <v>2382</v>
      </c>
      <c r="B2073" s="6">
        <v>147352</v>
      </c>
      <c r="C2073" s="6">
        <v>0</v>
      </c>
      <c r="D2073" s="6">
        <v>1</v>
      </c>
      <c r="E2073" s="6">
        <v>69</v>
      </c>
      <c r="F2073" s="5" t="s">
        <v>8</v>
      </c>
      <c r="G2073" s="5" t="s">
        <v>12</v>
      </c>
      <c r="H2073" s="3" t="s">
        <v>278</v>
      </c>
      <c r="I2073" s="5" t="s">
        <v>436</v>
      </c>
      <c r="J2073" s="5">
        <f>_xlfn.XLOOKUP(CustomerCombined[[#This Row],[ID]], Table4[ID], Table4[Recency], "Not Found", 0)</f>
        <v>70</v>
      </c>
      <c r="K2073" s="5">
        <f>_xlfn.XLOOKUP(CustomerCombined[[#This Row],[ID]], Table4[ID], Table4[Teas], "Not Found", 0)</f>
        <v>535</v>
      </c>
      <c r="L2073" s="5">
        <f>_xlfn.XLOOKUP(CustomerCombined[[#This Row],[ID]], Table4[ID], Table4[Fruits], "Not Found", 0)</f>
        <v>37</v>
      </c>
      <c r="M2073" s="5">
        <f>_xlfn.XLOOKUP(CustomerCombined[[#This Row],[ID]], Table4[ID], Table4[Meats], "Not Found", 0)</f>
        <v>349</v>
      </c>
      <c r="N2073" s="5">
        <f>_xlfn.XLOOKUP(CustomerCombined[[#This Row],[ID]], Table4[ID], Table4[Seafood], "Not Found", 0)</f>
        <v>25</v>
      </c>
      <c r="O2073" s="5">
        <f>_xlfn.XLOOKUP(CustomerCombined[[#This Row],[ID]], Table4[ID], Table4[Sweets], "Not Found", 0)</f>
        <v>0</v>
      </c>
      <c r="P2073" s="5">
        <f>_xlfn.XLOOKUP(CustomerCombined[[#This Row],[ID]], Table4[ID], Table4[Premium], "Not Found", 0)</f>
        <v>47</v>
      </c>
      <c r="Q2073" s="5">
        <f>_xlfn.XLOOKUP(CustomerCombined[[#This Row],[ID]], Table4[ID], Table4[Regular], "Not Found", 0)</f>
        <v>899</v>
      </c>
      <c r="R2073" s="5">
        <f>_xlfn.XLOOKUP(CustomerCombined[[#This Row],[ID]], Table4[ID], Table4[Deals], "Not Found", 0)</f>
        <v>4</v>
      </c>
      <c r="S2073" s="5">
        <f>_xlfn.XLOOKUP(CustomerCombined[[#This Row],[ID]], Table4[ID], Table4[Website], "Not Found", 0)</f>
        <v>6</v>
      </c>
      <c r="T2073" s="5">
        <f>_xlfn.XLOOKUP(CustomerCombined[[#This Row],[ID]], Table4[ID], Table4[Catalog], "Not Found", 0)</f>
        <v>1</v>
      </c>
      <c r="U2073" s="5">
        <f>_xlfn.XLOOKUP(CustomerCombined[[#This Row],[ID]], Table4[ID], Table4[Store], "Not Found", 0)</f>
        <v>5</v>
      </c>
      <c r="V2073" s="5">
        <f>_xlfn.XLOOKUP(CustomerCombined[[#This Row],[ID]], Table4[ID], Table4[Visits], "Not Found", 0)</f>
        <v>7</v>
      </c>
      <c r="W2073" s="8">
        <f>_xlfn.XLOOKUP(CustomerCombined[[#This Row],[ID]], Table2[ID],Table2[Complaint], "Not Found", 0 )</f>
        <v>0</v>
      </c>
      <c r="X2073" s="8">
        <f>_xlfn.XLOOKUP(CustomerCombined[[#This Row],[ID]], Table2[ID],Table2[Pilot], "Not Found", 0 )</f>
        <v>0</v>
      </c>
      <c r="Y2073" s="8">
        <f>_xlfn.XLOOKUP(CustomerCombined[[#This Row],[ID]], Table2[ID],Table2[MC1], "Not Found", 0 )</f>
        <v>0</v>
      </c>
      <c r="Z2073" s="8">
        <f>_xlfn.XLOOKUP(CustomerCombined[[#This Row],[ID]], Table2[ID],Table2[MC2], "Not Found", 0 )</f>
        <v>0</v>
      </c>
      <c r="AA2073" s="8">
        <f>_xlfn.XLOOKUP(CustomerCombined[[#This Row],[ID]], Table2[ID],Table2[MC3], "Not Found", 0 )</f>
        <v>0</v>
      </c>
      <c r="AB2073" s="8">
        <f>_xlfn.XLOOKUP(CustomerCombined[[#This Row],[ID]], Table2[ID],Table2[MC4], "Not Found", 0 )</f>
        <v>0</v>
      </c>
      <c r="AC2073" s="8">
        <f>_xlfn.XLOOKUP(CustomerCombined[[#This Row],[ID]], Table2[ID],Table2[MC5], "Not Found", 0 )</f>
        <v>0</v>
      </c>
    </row>
    <row r="2074" spans="1:29" x14ac:dyDescent="0.3">
      <c r="A2074" s="6">
        <v>2779</v>
      </c>
      <c r="B2074" s="6">
        <v>144689</v>
      </c>
      <c r="C2074" s="6">
        <v>1</v>
      </c>
      <c r="D2074" s="6">
        <v>1</v>
      </c>
      <c r="E2074" s="6">
        <v>69</v>
      </c>
      <c r="F2074" s="5" t="s">
        <v>6</v>
      </c>
      <c r="G2074" s="5" t="s">
        <v>11</v>
      </c>
      <c r="H2074" s="3" t="s">
        <v>120</v>
      </c>
      <c r="I2074" s="5" t="s">
        <v>437</v>
      </c>
      <c r="J2074" s="5">
        <f>_xlfn.XLOOKUP(CustomerCombined[[#This Row],[ID]], Table4[ID], Table4[Recency], "Not Found", 0)</f>
        <v>82</v>
      </c>
      <c r="K2074" s="5">
        <f>_xlfn.XLOOKUP(CustomerCombined[[#This Row],[ID]], Table4[ID], Table4[Teas], "Not Found", 0)</f>
        <v>58</v>
      </c>
      <c r="L2074" s="5">
        <f>_xlfn.XLOOKUP(CustomerCombined[[#This Row],[ID]], Table4[ID], Table4[Fruits], "Not Found", 0)</f>
        <v>0</v>
      </c>
      <c r="M2074" s="5">
        <f>_xlfn.XLOOKUP(CustomerCombined[[#This Row],[ID]], Table4[ID], Table4[Meats], "Not Found", 0)</f>
        <v>16</v>
      </c>
      <c r="N2074" s="5">
        <f>_xlfn.XLOOKUP(CustomerCombined[[#This Row],[ID]], Table4[ID], Table4[Seafood], "Not Found", 0)</f>
        <v>0</v>
      </c>
      <c r="O2074" s="5">
        <f>_xlfn.XLOOKUP(CustomerCombined[[#This Row],[ID]], Table4[ID], Table4[Sweets], "Not Found", 0)</f>
        <v>0</v>
      </c>
      <c r="P2074" s="5">
        <f>_xlfn.XLOOKUP(CustomerCombined[[#This Row],[ID]], Table4[ID], Table4[Premium], "Not Found", 0)</f>
        <v>36</v>
      </c>
      <c r="Q2074" s="5">
        <f>_xlfn.XLOOKUP(CustomerCombined[[#This Row],[ID]], Table4[ID], Table4[Regular], "Not Found", 0)</f>
        <v>39</v>
      </c>
      <c r="R2074" s="5">
        <f>_xlfn.XLOOKUP(CustomerCombined[[#This Row],[ID]], Table4[ID], Table4[Deals], "Not Found", 0)</f>
        <v>2</v>
      </c>
      <c r="S2074" s="5">
        <f>_xlfn.XLOOKUP(CustomerCombined[[#This Row],[ID]], Table4[ID], Table4[Website], "Not Found", 0)</f>
        <v>1</v>
      </c>
      <c r="T2074" s="5">
        <f>_xlfn.XLOOKUP(CustomerCombined[[#This Row],[ID]], Table4[ID], Table4[Catalog], "Not Found", 0)</f>
        <v>1</v>
      </c>
      <c r="U2074" s="5">
        <f>_xlfn.XLOOKUP(CustomerCombined[[#This Row],[ID]], Table4[ID], Table4[Store], "Not Found", 0)</f>
        <v>2</v>
      </c>
      <c r="V2074" s="5">
        <f>_xlfn.XLOOKUP(CustomerCombined[[#This Row],[ID]], Table4[ID], Table4[Visits], "Not Found", 0)</f>
        <v>7</v>
      </c>
      <c r="W2074" s="8">
        <f>_xlfn.XLOOKUP(CustomerCombined[[#This Row],[ID]], Table2[ID],Table2[Complaint], "Not Found", 0 )</f>
        <v>0</v>
      </c>
      <c r="X2074" s="8">
        <f>_xlfn.XLOOKUP(CustomerCombined[[#This Row],[ID]], Table2[ID],Table2[Pilot], "Not Found", 0 )</f>
        <v>0</v>
      </c>
      <c r="Y2074" s="8">
        <f>_xlfn.XLOOKUP(CustomerCombined[[#This Row],[ID]], Table2[ID],Table2[MC1], "Not Found", 0 )</f>
        <v>0</v>
      </c>
      <c r="Z2074" s="8">
        <f>_xlfn.XLOOKUP(CustomerCombined[[#This Row],[ID]], Table2[ID],Table2[MC2], "Not Found", 0 )</f>
        <v>0</v>
      </c>
      <c r="AA2074" s="8">
        <f>_xlfn.XLOOKUP(CustomerCombined[[#This Row],[ID]], Table2[ID],Table2[MC3], "Not Found", 0 )</f>
        <v>1</v>
      </c>
      <c r="AB2074" s="8">
        <f>_xlfn.XLOOKUP(CustomerCombined[[#This Row],[ID]], Table2[ID],Table2[MC4], "Not Found", 0 )</f>
        <v>0</v>
      </c>
      <c r="AC2074" s="8">
        <f>_xlfn.XLOOKUP(CustomerCombined[[#This Row],[ID]], Table2[ID],Table2[MC5], "Not Found", 0 )</f>
        <v>0</v>
      </c>
    </row>
    <row r="2075" spans="1:29" x14ac:dyDescent="0.3">
      <c r="A2075" s="6">
        <v>1688</v>
      </c>
      <c r="B2075" s="6">
        <v>143185</v>
      </c>
      <c r="C2075" s="6">
        <v>0</v>
      </c>
      <c r="D2075" s="6">
        <v>1</v>
      </c>
      <c r="E2075" s="6">
        <v>69</v>
      </c>
      <c r="F2075" s="5" t="s">
        <v>5</v>
      </c>
      <c r="G2075" s="5" t="s">
        <v>11</v>
      </c>
      <c r="H2075" s="3" t="s">
        <v>279</v>
      </c>
      <c r="I2075" s="5" t="s">
        <v>438</v>
      </c>
      <c r="J2075" s="5">
        <f>_xlfn.XLOOKUP(CustomerCombined[[#This Row],[ID]], Table4[ID], Table4[Recency], "Not Found", 0)</f>
        <v>88</v>
      </c>
      <c r="K2075" s="5">
        <f>_xlfn.XLOOKUP(CustomerCombined[[#This Row],[ID]], Table4[ID], Table4[Teas], "Not Found", 0)</f>
        <v>1780</v>
      </c>
      <c r="L2075" s="5">
        <f>_xlfn.XLOOKUP(CustomerCombined[[#This Row],[ID]], Table4[ID], Table4[Fruits], "Not Found", 0)</f>
        <v>20</v>
      </c>
      <c r="M2075" s="5">
        <f>_xlfn.XLOOKUP(CustomerCombined[[#This Row],[ID]], Table4[ID], Table4[Meats], "Not Found", 0)</f>
        <v>139</v>
      </c>
      <c r="N2075" s="5">
        <f>_xlfn.XLOOKUP(CustomerCombined[[#This Row],[ID]], Table4[ID], Table4[Seafood], "Not Found", 0)</f>
        <v>53</v>
      </c>
      <c r="O2075" s="5">
        <f>_xlfn.XLOOKUP(CustomerCombined[[#This Row],[ID]], Table4[ID], Table4[Sweets], "Not Found", 0)</f>
        <v>20</v>
      </c>
      <c r="P2075" s="5">
        <f>_xlfn.XLOOKUP(CustomerCombined[[#This Row],[ID]], Table4[ID], Table4[Premium], "Not Found", 0)</f>
        <v>99</v>
      </c>
      <c r="Q2075" s="5">
        <f>_xlfn.XLOOKUP(CustomerCombined[[#This Row],[ID]], Table4[ID], Table4[Regular], "Not Found", 0)</f>
        <v>1913</v>
      </c>
      <c r="R2075" s="5">
        <f>_xlfn.XLOOKUP(CustomerCombined[[#This Row],[ID]], Table4[ID], Table4[Deals], "Not Found", 0)</f>
        <v>2</v>
      </c>
      <c r="S2075" s="5">
        <f>_xlfn.XLOOKUP(CustomerCombined[[#This Row],[ID]], Table4[ID], Table4[Website], "Not Found", 0)</f>
        <v>9</v>
      </c>
      <c r="T2075" s="5">
        <f>_xlfn.XLOOKUP(CustomerCombined[[#This Row],[ID]], Table4[ID], Table4[Catalog], "Not Found", 0)</f>
        <v>3</v>
      </c>
      <c r="U2075" s="5">
        <f>_xlfn.XLOOKUP(CustomerCombined[[#This Row],[ID]], Table4[ID], Table4[Store], "Not Found", 0)</f>
        <v>6</v>
      </c>
      <c r="V2075" s="5">
        <f>_xlfn.XLOOKUP(CustomerCombined[[#This Row],[ID]], Table4[ID], Table4[Visits], "Not Found", 0)</f>
        <v>8</v>
      </c>
      <c r="W2075" s="8">
        <f>_xlfn.XLOOKUP(CustomerCombined[[#This Row],[ID]], Table2[ID],Table2[Complaint], "Not Found", 0 )</f>
        <v>0</v>
      </c>
      <c r="X2075" s="8">
        <f>_xlfn.XLOOKUP(CustomerCombined[[#This Row],[ID]], Table2[ID],Table2[Pilot], "Not Found", 0 )</f>
        <v>0</v>
      </c>
      <c r="Y2075" s="8">
        <f>_xlfn.XLOOKUP(CustomerCombined[[#This Row],[ID]], Table2[ID],Table2[MC1], "Not Found", 0 )</f>
        <v>0</v>
      </c>
      <c r="Z2075" s="8">
        <f>_xlfn.XLOOKUP(CustomerCombined[[#This Row],[ID]], Table2[ID],Table2[MC2], "Not Found", 0 )</f>
        <v>0</v>
      </c>
      <c r="AA2075" s="8">
        <f>_xlfn.XLOOKUP(CustomerCombined[[#This Row],[ID]], Table2[ID],Table2[MC3], "Not Found", 0 )</f>
        <v>0</v>
      </c>
      <c r="AB2075" s="8">
        <f>_xlfn.XLOOKUP(CustomerCombined[[#This Row],[ID]], Table2[ID],Table2[MC4], "Not Found", 0 )</f>
        <v>0</v>
      </c>
      <c r="AC2075" s="8">
        <f>_xlfn.XLOOKUP(CustomerCombined[[#This Row],[ID]], Table2[ID],Table2[MC5], "Not Found", 0 )</f>
        <v>0</v>
      </c>
    </row>
    <row r="2076" spans="1:29" x14ac:dyDescent="0.3">
      <c r="A2076" s="6">
        <v>1024</v>
      </c>
      <c r="B2076" s="6">
        <v>140689</v>
      </c>
      <c r="C2076" s="6">
        <v>0</v>
      </c>
      <c r="D2076" s="6">
        <v>1</v>
      </c>
      <c r="E2076" s="6">
        <v>69</v>
      </c>
      <c r="F2076" s="5" t="s">
        <v>8</v>
      </c>
      <c r="G2076" s="5" t="s">
        <v>11</v>
      </c>
      <c r="H2076" s="3" t="s">
        <v>290</v>
      </c>
      <c r="I2076" s="5" t="s">
        <v>439</v>
      </c>
      <c r="J2076" s="5">
        <f>_xlfn.XLOOKUP(CustomerCombined[[#This Row],[ID]], Table4[ID], Table4[Recency], "Not Found", 0)</f>
        <v>69</v>
      </c>
      <c r="K2076" s="5">
        <f>_xlfn.XLOOKUP(CustomerCombined[[#This Row],[ID]], Table4[ID], Table4[Teas], "Not Found", 0)</f>
        <v>934</v>
      </c>
      <c r="L2076" s="5">
        <f>_xlfn.XLOOKUP(CustomerCombined[[#This Row],[ID]], Table4[ID], Table4[Fruits], "Not Found", 0)</f>
        <v>10</v>
      </c>
      <c r="M2076" s="5">
        <f>_xlfn.XLOOKUP(CustomerCombined[[#This Row],[ID]], Table4[ID], Table4[Meats], "Not Found", 0)</f>
        <v>93</v>
      </c>
      <c r="N2076" s="5">
        <f>_xlfn.XLOOKUP(CustomerCombined[[#This Row],[ID]], Table4[ID], Table4[Seafood], "Not Found", 0)</f>
        <v>135</v>
      </c>
      <c r="O2076" s="5">
        <f>_xlfn.XLOOKUP(CustomerCombined[[#This Row],[ID]], Table4[ID], Table4[Sweets], "Not Found", 0)</f>
        <v>21</v>
      </c>
      <c r="P2076" s="5">
        <f>_xlfn.XLOOKUP(CustomerCombined[[#This Row],[ID]], Table4[ID], Table4[Premium], "Not Found", 0)</f>
        <v>342</v>
      </c>
      <c r="Q2076" s="5">
        <f>_xlfn.XLOOKUP(CustomerCombined[[#This Row],[ID]], Table4[ID], Table4[Regular], "Not Found", 0)</f>
        <v>851</v>
      </c>
      <c r="R2076" s="5">
        <f>_xlfn.XLOOKUP(CustomerCombined[[#This Row],[ID]], Table4[ID], Table4[Deals], "Not Found", 0)</f>
        <v>7</v>
      </c>
      <c r="S2076" s="5">
        <f>_xlfn.XLOOKUP(CustomerCombined[[#This Row],[ID]], Table4[ID], Table4[Website], "Not Found", 0)</f>
        <v>7</v>
      </c>
      <c r="T2076" s="5">
        <f>_xlfn.XLOOKUP(CustomerCombined[[#This Row],[ID]], Table4[ID], Table4[Catalog], "Not Found", 0)</f>
        <v>1</v>
      </c>
      <c r="U2076" s="5">
        <f>_xlfn.XLOOKUP(CustomerCombined[[#This Row],[ID]], Table4[ID], Table4[Store], "Not Found", 0)</f>
        <v>5</v>
      </c>
      <c r="V2076" s="5">
        <f>_xlfn.XLOOKUP(CustomerCombined[[#This Row],[ID]], Table4[ID], Table4[Visits], "Not Found", 0)</f>
        <v>8</v>
      </c>
      <c r="W2076" s="8">
        <f>_xlfn.XLOOKUP(CustomerCombined[[#This Row],[ID]], Table2[ID],Table2[Complaint], "Not Found", 0 )</f>
        <v>0</v>
      </c>
      <c r="X2076" s="8">
        <f>_xlfn.XLOOKUP(CustomerCombined[[#This Row],[ID]], Table2[ID],Table2[Pilot], "Not Found", 0 )</f>
        <v>0</v>
      </c>
      <c r="Y2076" s="8">
        <f>_xlfn.XLOOKUP(CustomerCombined[[#This Row],[ID]], Table2[ID],Table2[MC1], "Not Found", 0 )</f>
        <v>0</v>
      </c>
      <c r="Z2076" s="8">
        <f>_xlfn.XLOOKUP(CustomerCombined[[#This Row],[ID]], Table2[ID],Table2[MC2], "Not Found", 0 )</f>
        <v>0</v>
      </c>
      <c r="AA2076" s="8">
        <f>_xlfn.XLOOKUP(CustomerCombined[[#This Row],[ID]], Table2[ID],Table2[MC3], "Not Found", 0 )</f>
        <v>0</v>
      </c>
      <c r="AB2076" s="8">
        <f>_xlfn.XLOOKUP(CustomerCombined[[#This Row],[ID]], Table2[ID],Table2[MC4], "Not Found", 0 )</f>
        <v>0</v>
      </c>
      <c r="AC2076" s="8">
        <f>_xlfn.XLOOKUP(CustomerCombined[[#This Row],[ID]], Table2[ID],Table2[MC5], "Not Found", 0 )</f>
        <v>0</v>
      </c>
    </row>
    <row r="2077" spans="1:29" x14ac:dyDescent="0.3">
      <c r="A2077" s="6">
        <v>1565</v>
      </c>
      <c r="B2077" s="6">
        <v>140689</v>
      </c>
      <c r="C2077" s="6">
        <v>0</v>
      </c>
      <c r="D2077" s="6">
        <v>1</v>
      </c>
      <c r="E2077" s="6">
        <v>69</v>
      </c>
      <c r="F2077" s="5" t="s">
        <v>8</v>
      </c>
      <c r="G2077" s="5" t="s">
        <v>11</v>
      </c>
      <c r="H2077" s="3" t="s">
        <v>290</v>
      </c>
      <c r="I2077" s="5" t="s">
        <v>434</v>
      </c>
      <c r="J2077" s="5">
        <f>_xlfn.XLOOKUP(CustomerCombined[[#This Row],[ID]], Table4[ID], Table4[Recency], "Not Found", 0)</f>
        <v>69</v>
      </c>
      <c r="K2077" s="5">
        <f>_xlfn.XLOOKUP(CustomerCombined[[#This Row],[ID]], Table4[ID], Table4[Teas], "Not Found", 0)</f>
        <v>934</v>
      </c>
      <c r="L2077" s="5">
        <f>_xlfn.XLOOKUP(CustomerCombined[[#This Row],[ID]], Table4[ID], Table4[Fruits], "Not Found", 0)</f>
        <v>10</v>
      </c>
      <c r="M2077" s="5">
        <f>_xlfn.XLOOKUP(CustomerCombined[[#This Row],[ID]], Table4[ID], Table4[Meats], "Not Found", 0)</f>
        <v>93</v>
      </c>
      <c r="N2077" s="5">
        <f>_xlfn.XLOOKUP(CustomerCombined[[#This Row],[ID]], Table4[ID], Table4[Seafood], "Not Found", 0)</f>
        <v>135</v>
      </c>
      <c r="O2077" s="5">
        <f>_xlfn.XLOOKUP(CustomerCombined[[#This Row],[ID]], Table4[ID], Table4[Sweets], "Not Found", 0)</f>
        <v>21</v>
      </c>
      <c r="P2077" s="5">
        <f>_xlfn.XLOOKUP(CustomerCombined[[#This Row],[ID]], Table4[ID], Table4[Premium], "Not Found", 0)</f>
        <v>342</v>
      </c>
      <c r="Q2077" s="5">
        <f>_xlfn.XLOOKUP(CustomerCombined[[#This Row],[ID]], Table4[ID], Table4[Regular], "Not Found", 0)</f>
        <v>851</v>
      </c>
      <c r="R2077" s="5">
        <f>_xlfn.XLOOKUP(CustomerCombined[[#This Row],[ID]], Table4[ID], Table4[Deals], "Not Found", 0)</f>
        <v>7</v>
      </c>
      <c r="S2077" s="5">
        <f>_xlfn.XLOOKUP(CustomerCombined[[#This Row],[ID]], Table4[ID], Table4[Website], "Not Found", 0)</f>
        <v>7</v>
      </c>
      <c r="T2077" s="5">
        <f>_xlfn.XLOOKUP(CustomerCombined[[#This Row],[ID]], Table4[ID], Table4[Catalog], "Not Found", 0)</f>
        <v>1</v>
      </c>
      <c r="U2077" s="5">
        <f>_xlfn.XLOOKUP(CustomerCombined[[#This Row],[ID]], Table4[ID], Table4[Store], "Not Found", 0)</f>
        <v>5</v>
      </c>
      <c r="V2077" s="5">
        <f>_xlfn.XLOOKUP(CustomerCombined[[#This Row],[ID]], Table4[ID], Table4[Visits], "Not Found", 0)</f>
        <v>8</v>
      </c>
      <c r="W2077" s="8">
        <f>_xlfn.XLOOKUP(CustomerCombined[[#This Row],[ID]], Table2[ID],Table2[Complaint], "Not Found", 0 )</f>
        <v>0</v>
      </c>
      <c r="X2077" s="8">
        <f>_xlfn.XLOOKUP(CustomerCombined[[#This Row],[ID]], Table2[ID],Table2[Pilot], "Not Found", 0 )</f>
        <v>0</v>
      </c>
      <c r="Y2077" s="8">
        <f>_xlfn.XLOOKUP(CustomerCombined[[#This Row],[ID]], Table2[ID],Table2[MC1], "Not Found", 0 )</f>
        <v>0</v>
      </c>
      <c r="Z2077" s="8">
        <f>_xlfn.XLOOKUP(CustomerCombined[[#This Row],[ID]], Table2[ID],Table2[MC2], "Not Found", 0 )</f>
        <v>0</v>
      </c>
      <c r="AA2077" s="8">
        <f>_xlfn.XLOOKUP(CustomerCombined[[#This Row],[ID]], Table2[ID],Table2[MC3], "Not Found", 0 )</f>
        <v>0</v>
      </c>
      <c r="AB2077" s="8">
        <f>_xlfn.XLOOKUP(CustomerCombined[[#This Row],[ID]], Table2[ID],Table2[MC4], "Not Found", 0 )</f>
        <v>0</v>
      </c>
      <c r="AC2077" s="8">
        <f>_xlfn.XLOOKUP(CustomerCombined[[#This Row],[ID]], Table2[ID],Table2[MC5], "Not Found", 0 )</f>
        <v>0</v>
      </c>
    </row>
    <row r="2078" spans="1:29" x14ac:dyDescent="0.3">
      <c r="A2078" s="6">
        <v>2264</v>
      </c>
      <c r="B2078" s="6">
        <v>139767</v>
      </c>
      <c r="C2078" s="6">
        <v>0</v>
      </c>
      <c r="D2078" s="6">
        <v>0</v>
      </c>
      <c r="E2078" s="6">
        <v>69</v>
      </c>
      <c r="F2078" s="5" t="s">
        <v>8</v>
      </c>
      <c r="G2078" s="5" t="s">
        <v>12</v>
      </c>
      <c r="H2078" s="3" t="s">
        <v>215</v>
      </c>
      <c r="I2078" s="5" t="s">
        <v>438</v>
      </c>
      <c r="J2078" s="5">
        <f>_xlfn.XLOOKUP(CustomerCombined[[#This Row],[ID]], Table4[ID], Table4[Recency], "Not Found", 0)</f>
        <v>18</v>
      </c>
      <c r="K2078" s="5">
        <f>_xlfn.XLOOKUP(CustomerCombined[[#This Row],[ID]], Table4[ID], Table4[Teas], "Not Found", 0)</f>
        <v>397</v>
      </c>
      <c r="L2078" s="5">
        <f>_xlfn.XLOOKUP(CustomerCombined[[#This Row],[ID]], Table4[ID], Table4[Fruits], "Not Found", 0)</f>
        <v>214</v>
      </c>
      <c r="M2078" s="5">
        <f>_xlfn.XLOOKUP(CustomerCombined[[#This Row],[ID]], Table4[ID], Table4[Meats], "Not Found", 0)</f>
        <v>717</v>
      </c>
      <c r="N2078" s="5">
        <f>_xlfn.XLOOKUP(CustomerCombined[[#This Row],[ID]], Table4[ID], Table4[Seafood], "Not Found", 0)</f>
        <v>119</v>
      </c>
      <c r="O2078" s="5">
        <f>_xlfn.XLOOKUP(CustomerCombined[[#This Row],[ID]], Table4[ID], Table4[Sweets], "Not Found", 0)</f>
        <v>91</v>
      </c>
      <c r="P2078" s="5">
        <f>_xlfn.XLOOKUP(CustomerCombined[[#This Row],[ID]], Table4[ID], Table4[Premium], "Not Found", 0)</f>
        <v>165</v>
      </c>
      <c r="Q2078" s="5">
        <f>_xlfn.XLOOKUP(CustomerCombined[[#This Row],[ID]], Table4[ID], Table4[Regular], "Not Found", 0)</f>
        <v>1374</v>
      </c>
      <c r="R2078" s="5">
        <f>_xlfn.XLOOKUP(CustomerCombined[[#This Row],[ID]], Table4[ID], Table4[Deals], "Not Found", 0)</f>
        <v>2</v>
      </c>
      <c r="S2078" s="5">
        <f>_xlfn.XLOOKUP(CustomerCombined[[#This Row],[ID]], Table4[ID], Table4[Website], "Not Found", 0)</f>
        <v>7</v>
      </c>
      <c r="T2078" s="5">
        <f>_xlfn.XLOOKUP(CustomerCombined[[#This Row],[ID]], Table4[ID], Table4[Catalog], "Not Found", 0)</f>
        <v>1</v>
      </c>
      <c r="U2078" s="5">
        <f>_xlfn.XLOOKUP(CustomerCombined[[#This Row],[ID]], Table4[ID], Table4[Store], "Not Found", 0)</f>
        <v>7</v>
      </c>
      <c r="V2078" s="5">
        <f>_xlfn.XLOOKUP(CustomerCombined[[#This Row],[ID]], Table4[ID], Table4[Visits], "Not Found", 0)</f>
        <v>8</v>
      </c>
      <c r="W2078" s="8">
        <f>_xlfn.XLOOKUP(CustomerCombined[[#This Row],[ID]], Table2[ID],Table2[Complaint], "Not Found", 0 )</f>
        <v>0</v>
      </c>
      <c r="X2078" s="8">
        <f>_xlfn.XLOOKUP(CustomerCombined[[#This Row],[ID]], Table2[ID],Table2[Pilot], "Not Found", 0 )</f>
        <v>0</v>
      </c>
      <c r="Y2078" s="8">
        <f>_xlfn.XLOOKUP(CustomerCombined[[#This Row],[ID]], Table2[ID],Table2[MC1], "Not Found", 0 )</f>
        <v>0</v>
      </c>
      <c r="Z2078" s="8">
        <f>_xlfn.XLOOKUP(CustomerCombined[[#This Row],[ID]], Table2[ID],Table2[MC2], "Not Found", 0 )</f>
        <v>0</v>
      </c>
      <c r="AA2078" s="8">
        <f>_xlfn.XLOOKUP(CustomerCombined[[#This Row],[ID]], Table2[ID],Table2[MC3], "Not Found", 0 )</f>
        <v>0</v>
      </c>
      <c r="AB2078" s="8">
        <f>_xlfn.XLOOKUP(CustomerCombined[[#This Row],[ID]], Table2[ID],Table2[MC4], "Not Found", 0 )</f>
        <v>0</v>
      </c>
      <c r="AC2078" s="8">
        <f>_xlfn.XLOOKUP(CustomerCombined[[#This Row],[ID]], Table2[ID],Table2[MC5], "Not Found", 0 )</f>
        <v>0</v>
      </c>
    </row>
    <row r="2079" spans="1:29" x14ac:dyDescent="0.3">
      <c r="A2079" s="6">
        <v>1783</v>
      </c>
      <c r="B2079" s="6">
        <v>134838</v>
      </c>
      <c r="C2079" s="6">
        <v>1</v>
      </c>
      <c r="D2079" s="6">
        <v>1</v>
      </c>
      <c r="E2079" s="6">
        <v>69</v>
      </c>
      <c r="F2079" s="5" t="s">
        <v>6</v>
      </c>
      <c r="G2079" s="5" t="s">
        <v>11</v>
      </c>
      <c r="H2079" s="3" t="s">
        <v>322</v>
      </c>
      <c r="I2079" s="5" t="s">
        <v>437</v>
      </c>
      <c r="J2079" s="5">
        <f>_xlfn.XLOOKUP(CustomerCombined[[#This Row],[ID]], Table4[ID], Table4[Recency], "Not Found", 0)</f>
        <v>62</v>
      </c>
      <c r="K2079" s="5">
        <f>_xlfn.XLOOKUP(CustomerCombined[[#This Row],[ID]], Table4[ID], Table4[Teas], "Not Found", 0)</f>
        <v>108</v>
      </c>
      <c r="L2079" s="5">
        <f>_xlfn.XLOOKUP(CustomerCombined[[#This Row],[ID]], Table4[ID], Table4[Fruits], "Not Found", 0)</f>
        <v>89</v>
      </c>
      <c r="M2079" s="5">
        <f>_xlfn.XLOOKUP(CustomerCombined[[#This Row],[ID]], Table4[ID], Table4[Meats], "Not Found", 0)</f>
        <v>112</v>
      </c>
      <c r="N2079" s="5">
        <f>_xlfn.XLOOKUP(CustomerCombined[[#This Row],[ID]], Table4[ID], Table4[Seafood], "Not Found", 0)</f>
        <v>112</v>
      </c>
      <c r="O2079" s="5">
        <f>_xlfn.XLOOKUP(CustomerCombined[[#This Row],[ID]], Table4[ID], Table4[Sweets], "Not Found", 0)</f>
        <v>54</v>
      </c>
      <c r="P2079" s="5">
        <f>_xlfn.XLOOKUP(CustomerCombined[[#This Row],[ID]], Table4[ID], Table4[Premium], "Not Found", 0)</f>
        <v>182</v>
      </c>
      <c r="Q2079" s="5">
        <f>_xlfn.XLOOKUP(CustomerCombined[[#This Row],[ID]], Table4[ID], Table4[Regular], "Not Found", 0)</f>
        <v>294</v>
      </c>
      <c r="R2079" s="5">
        <f>_xlfn.XLOOKUP(CustomerCombined[[#This Row],[ID]], Table4[ID], Table4[Deals], "Not Found", 0)</f>
        <v>3</v>
      </c>
      <c r="S2079" s="5">
        <f>_xlfn.XLOOKUP(CustomerCombined[[#This Row],[ID]], Table4[ID], Table4[Website], "Not Found", 0)</f>
        <v>2</v>
      </c>
      <c r="T2079" s="5">
        <f>_xlfn.XLOOKUP(CustomerCombined[[#This Row],[ID]], Table4[ID], Table4[Catalog], "Not Found", 0)</f>
        <v>1</v>
      </c>
      <c r="U2079" s="5">
        <f>_xlfn.XLOOKUP(CustomerCombined[[#This Row],[ID]], Table4[ID], Table4[Store], "Not Found", 0)</f>
        <v>4</v>
      </c>
      <c r="V2079" s="5">
        <f>_xlfn.XLOOKUP(CustomerCombined[[#This Row],[ID]], Table4[ID], Table4[Visits], "Not Found", 0)</f>
        <v>6</v>
      </c>
      <c r="W2079" s="8">
        <f>_xlfn.XLOOKUP(CustomerCombined[[#This Row],[ID]], Table2[ID],Table2[Complaint], "Not Found", 0 )</f>
        <v>0</v>
      </c>
      <c r="X2079" s="8">
        <f>_xlfn.XLOOKUP(CustomerCombined[[#This Row],[ID]], Table2[ID],Table2[Pilot], "Not Found", 0 )</f>
        <v>0</v>
      </c>
      <c r="Y2079" s="8">
        <f>_xlfn.XLOOKUP(CustomerCombined[[#This Row],[ID]], Table2[ID],Table2[MC1], "Not Found", 0 )</f>
        <v>0</v>
      </c>
      <c r="Z2079" s="8">
        <f>_xlfn.XLOOKUP(CustomerCombined[[#This Row],[ID]], Table2[ID],Table2[MC2], "Not Found", 0 )</f>
        <v>0</v>
      </c>
      <c r="AA2079" s="8">
        <f>_xlfn.XLOOKUP(CustomerCombined[[#This Row],[ID]], Table2[ID],Table2[MC3], "Not Found", 0 )</f>
        <v>0</v>
      </c>
      <c r="AB2079" s="8">
        <f>_xlfn.XLOOKUP(CustomerCombined[[#This Row],[ID]], Table2[ID],Table2[MC4], "Not Found", 0 )</f>
        <v>0</v>
      </c>
      <c r="AC2079" s="8">
        <f>_xlfn.XLOOKUP(CustomerCombined[[#This Row],[ID]], Table2[ID],Table2[MC5], "Not Found", 0 )</f>
        <v>0</v>
      </c>
    </row>
    <row r="2080" spans="1:29" x14ac:dyDescent="0.3">
      <c r="A2080" s="6">
        <v>3025</v>
      </c>
      <c r="B2080" s="6">
        <v>132871</v>
      </c>
      <c r="C2080" s="6">
        <v>1</v>
      </c>
      <c r="D2080" s="6">
        <v>1</v>
      </c>
      <c r="E2080" s="6">
        <v>69</v>
      </c>
      <c r="F2080" s="5" t="s">
        <v>6</v>
      </c>
      <c r="G2080" s="5" t="s">
        <v>11</v>
      </c>
      <c r="H2080" s="3" t="s">
        <v>298</v>
      </c>
      <c r="I2080" s="5" t="s">
        <v>437</v>
      </c>
      <c r="J2080" s="5">
        <f>_xlfn.XLOOKUP(CustomerCombined[[#This Row],[ID]], Table4[ID], Table4[Recency], "Not Found", 0)</f>
        <v>28</v>
      </c>
      <c r="K2080" s="5">
        <f>_xlfn.XLOOKUP(CustomerCombined[[#This Row],[ID]], Table4[ID], Table4[Teas], "Not Found", 0)</f>
        <v>89</v>
      </c>
      <c r="L2080" s="5">
        <f>_xlfn.XLOOKUP(CustomerCombined[[#This Row],[ID]], Table4[ID], Table4[Fruits], "Not Found", 0)</f>
        <v>8</v>
      </c>
      <c r="M2080" s="5">
        <f>_xlfn.XLOOKUP(CustomerCombined[[#This Row],[ID]], Table4[ID], Table4[Meats], "Not Found", 0)</f>
        <v>49</v>
      </c>
      <c r="N2080" s="5">
        <f>_xlfn.XLOOKUP(CustomerCombined[[#This Row],[ID]], Table4[ID], Table4[Seafood], "Not Found", 0)</f>
        <v>0</v>
      </c>
      <c r="O2080" s="5">
        <f>_xlfn.XLOOKUP(CustomerCombined[[#This Row],[ID]], Table4[ID], Table4[Sweets], "Not Found", 0)</f>
        <v>8</v>
      </c>
      <c r="P2080" s="5">
        <f>_xlfn.XLOOKUP(CustomerCombined[[#This Row],[ID]], Table4[ID], Table4[Premium], "Not Found", 0)</f>
        <v>20</v>
      </c>
      <c r="Q2080" s="5">
        <f>_xlfn.XLOOKUP(CustomerCombined[[#This Row],[ID]], Table4[ID], Table4[Regular], "Not Found", 0)</f>
        <v>133</v>
      </c>
      <c r="R2080" s="5">
        <f>_xlfn.XLOOKUP(CustomerCombined[[#This Row],[ID]], Table4[ID], Table4[Deals], "Not Found", 0)</f>
        <v>1</v>
      </c>
      <c r="S2080" s="5">
        <f>_xlfn.XLOOKUP(CustomerCombined[[#This Row],[ID]], Table4[ID], Table4[Website], "Not Found", 0)</f>
        <v>1</v>
      </c>
      <c r="T2080" s="5">
        <f>_xlfn.XLOOKUP(CustomerCombined[[#This Row],[ID]], Table4[ID], Table4[Catalog], "Not Found", 0)</f>
        <v>0</v>
      </c>
      <c r="U2080" s="5">
        <f>_xlfn.XLOOKUP(CustomerCombined[[#This Row],[ID]], Table4[ID], Table4[Store], "Not Found", 0)</f>
        <v>3</v>
      </c>
      <c r="V2080" s="5">
        <f>_xlfn.XLOOKUP(CustomerCombined[[#This Row],[ID]], Table4[ID], Table4[Visits], "Not Found", 0)</f>
        <v>4</v>
      </c>
      <c r="W2080" s="8">
        <f>_xlfn.XLOOKUP(CustomerCombined[[#This Row],[ID]], Table2[ID],Table2[Complaint], "Not Found", 0 )</f>
        <v>0</v>
      </c>
      <c r="X2080" s="8">
        <f>_xlfn.XLOOKUP(CustomerCombined[[#This Row],[ID]], Table2[ID],Table2[Pilot], "Not Found", 0 )</f>
        <v>0</v>
      </c>
      <c r="Y2080" s="8">
        <f>_xlfn.XLOOKUP(CustomerCombined[[#This Row],[ID]], Table2[ID],Table2[MC1], "Not Found", 0 )</f>
        <v>0</v>
      </c>
      <c r="Z2080" s="8">
        <f>_xlfn.XLOOKUP(CustomerCombined[[#This Row],[ID]], Table2[ID],Table2[MC2], "Not Found", 0 )</f>
        <v>0</v>
      </c>
      <c r="AA2080" s="8">
        <f>_xlfn.XLOOKUP(CustomerCombined[[#This Row],[ID]], Table2[ID],Table2[MC3], "Not Found", 0 )</f>
        <v>0</v>
      </c>
      <c r="AB2080" s="8">
        <f>_xlfn.XLOOKUP(CustomerCombined[[#This Row],[ID]], Table2[ID],Table2[MC4], "Not Found", 0 )</f>
        <v>0</v>
      </c>
      <c r="AC2080" s="8">
        <f>_xlfn.XLOOKUP(CustomerCombined[[#This Row],[ID]], Table2[ID],Table2[MC5], "Not Found", 0 )</f>
        <v>0</v>
      </c>
    </row>
    <row r="2081" spans="1:29" x14ac:dyDescent="0.3">
      <c r="A2081" s="6">
        <v>1304</v>
      </c>
      <c r="B2081" s="6">
        <v>130833</v>
      </c>
      <c r="C2081" s="6">
        <v>1</v>
      </c>
      <c r="D2081" s="6">
        <v>1</v>
      </c>
      <c r="E2081" s="6">
        <v>69</v>
      </c>
      <c r="F2081" s="5" t="s">
        <v>6</v>
      </c>
      <c r="G2081" s="5" t="s">
        <v>11</v>
      </c>
      <c r="H2081" s="3" t="s">
        <v>220</v>
      </c>
      <c r="I2081" s="5" t="s">
        <v>438</v>
      </c>
      <c r="J2081" s="5">
        <f>_xlfn.XLOOKUP(CustomerCombined[[#This Row],[ID]], Table4[ID], Table4[Recency], "Not Found", 0)</f>
        <v>33</v>
      </c>
      <c r="K2081" s="5">
        <f>_xlfn.XLOOKUP(CustomerCombined[[#This Row],[ID]], Table4[ID], Table4[Teas], "Not Found", 0)</f>
        <v>47</v>
      </c>
      <c r="L2081" s="5">
        <f>_xlfn.XLOOKUP(CustomerCombined[[#This Row],[ID]], Table4[ID], Table4[Fruits], "Not Found", 0)</f>
        <v>0</v>
      </c>
      <c r="M2081" s="5">
        <f>_xlfn.XLOOKUP(CustomerCombined[[#This Row],[ID]], Table4[ID], Table4[Meats], "Not Found", 0)</f>
        <v>30</v>
      </c>
      <c r="N2081" s="5">
        <f>_xlfn.XLOOKUP(CustomerCombined[[#This Row],[ID]], Table4[ID], Table4[Seafood], "Not Found", 0)</f>
        <v>13</v>
      </c>
      <c r="O2081" s="5">
        <f>_xlfn.XLOOKUP(CustomerCombined[[#This Row],[ID]], Table4[ID], Table4[Sweets], "Not Found", 0)</f>
        <v>4</v>
      </c>
      <c r="P2081" s="5">
        <f>_xlfn.XLOOKUP(CustomerCombined[[#This Row],[ID]], Table4[ID], Table4[Premium], "Not Found", 0)</f>
        <v>25</v>
      </c>
      <c r="Q2081" s="5">
        <f>_xlfn.XLOOKUP(CustomerCombined[[#This Row],[ID]], Table4[ID], Table4[Regular], "Not Found", 0)</f>
        <v>68</v>
      </c>
      <c r="R2081" s="5">
        <f>_xlfn.XLOOKUP(CustomerCombined[[#This Row],[ID]], Table4[ID], Table4[Deals], "Not Found", 0)</f>
        <v>2</v>
      </c>
      <c r="S2081" s="5">
        <f>_xlfn.XLOOKUP(CustomerCombined[[#This Row],[ID]], Table4[ID], Table4[Website], "Not Found", 0)</f>
        <v>1</v>
      </c>
      <c r="T2081" s="5">
        <f>_xlfn.XLOOKUP(CustomerCombined[[#This Row],[ID]], Table4[ID], Table4[Catalog], "Not Found", 0)</f>
        <v>0</v>
      </c>
      <c r="U2081" s="5">
        <f>_xlfn.XLOOKUP(CustomerCombined[[#This Row],[ID]], Table4[ID], Table4[Store], "Not Found", 0)</f>
        <v>3</v>
      </c>
      <c r="V2081" s="5">
        <f>_xlfn.XLOOKUP(CustomerCombined[[#This Row],[ID]], Table4[ID], Table4[Visits], "Not Found", 0)</f>
        <v>5</v>
      </c>
      <c r="W2081" s="8">
        <f>_xlfn.XLOOKUP(CustomerCombined[[#This Row],[ID]], Table2[ID],Table2[Complaint], "Not Found", 0 )</f>
        <v>0</v>
      </c>
      <c r="X2081" s="8">
        <f>_xlfn.XLOOKUP(CustomerCombined[[#This Row],[ID]], Table2[ID],Table2[Pilot], "Not Found", 0 )</f>
        <v>0</v>
      </c>
      <c r="Y2081" s="8">
        <f>_xlfn.XLOOKUP(CustomerCombined[[#This Row],[ID]], Table2[ID],Table2[MC1], "Not Found", 0 )</f>
        <v>0</v>
      </c>
      <c r="Z2081" s="8">
        <f>_xlfn.XLOOKUP(CustomerCombined[[#This Row],[ID]], Table2[ID],Table2[MC2], "Not Found", 0 )</f>
        <v>0</v>
      </c>
      <c r="AA2081" s="8">
        <f>_xlfn.XLOOKUP(CustomerCombined[[#This Row],[ID]], Table2[ID],Table2[MC3], "Not Found", 0 )</f>
        <v>0</v>
      </c>
      <c r="AB2081" s="8">
        <f>_xlfn.XLOOKUP(CustomerCombined[[#This Row],[ID]], Table2[ID],Table2[MC4], "Not Found", 0 )</f>
        <v>0</v>
      </c>
      <c r="AC2081" s="8">
        <f>_xlfn.XLOOKUP(CustomerCombined[[#This Row],[ID]], Table2[ID],Table2[MC5], "Not Found", 0 )</f>
        <v>0</v>
      </c>
    </row>
    <row r="2082" spans="1:29" x14ac:dyDescent="0.3">
      <c r="A2082" s="6">
        <v>1551</v>
      </c>
      <c r="B2082" s="6">
        <v>129298</v>
      </c>
      <c r="C2082" s="6">
        <v>1</v>
      </c>
      <c r="D2082" s="6">
        <v>1</v>
      </c>
      <c r="E2082" s="6">
        <v>69</v>
      </c>
      <c r="F2082" s="5" t="s">
        <v>8</v>
      </c>
      <c r="G2082" s="5" t="s">
        <v>12</v>
      </c>
      <c r="H2082" s="3">
        <v>44167</v>
      </c>
      <c r="I2082" s="5" t="s">
        <v>435</v>
      </c>
      <c r="J2082" s="5">
        <f>_xlfn.XLOOKUP(CustomerCombined[[#This Row],[ID]], Table4[ID], Table4[Recency], "Not Found", 0)</f>
        <v>60</v>
      </c>
      <c r="K2082" s="5">
        <f>_xlfn.XLOOKUP(CustomerCombined[[#This Row],[ID]], Table4[ID], Table4[Teas], "Not Found", 0)</f>
        <v>26</v>
      </c>
      <c r="L2082" s="5">
        <f>_xlfn.XLOOKUP(CustomerCombined[[#This Row],[ID]], Table4[ID], Table4[Fruits], "Not Found", 0)</f>
        <v>0</v>
      </c>
      <c r="M2082" s="5">
        <f>_xlfn.XLOOKUP(CustomerCombined[[#This Row],[ID]], Table4[ID], Table4[Meats], "Not Found", 0)</f>
        <v>9</v>
      </c>
      <c r="N2082" s="5">
        <f>_xlfn.XLOOKUP(CustomerCombined[[#This Row],[ID]], Table4[ID], Table4[Seafood], "Not Found", 0)</f>
        <v>9</v>
      </c>
      <c r="O2082" s="5">
        <f>_xlfn.XLOOKUP(CustomerCombined[[#This Row],[ID]], Table4[ID], Table4[Sweets], "Not Found", 0)</f>
        <v>0</v>
      </c>
      <c r="P2082" s="5">
        <f>_xlfn.XLOOKUP(CustomerCombined[[#This Row],[ID]], Table4[ID], Table4[Premium], "Not Found", 0)</f>
        <v>4</v>
      </c>
      <c r="Q2082" s="5">
        <f>_xlfn.XLOOKUP(CustomerCombined[[#This Row],[ID]], Table4[ID], Table4[Regular], "Not Found", 0)</f>
        <v>40</v>
      </c>
      <c r="R2082" s="5">
        <f>_xlfn.XLOOKUP(CustomerCombined[[#This Row],[ID]], Table4[ID], Table4[Deals], "Not Found", 0)</f>
        <v>1</v>
      </c>
      <c r="S2082" s="5">
        <f>_xlfn.XLOOKUP(CustomerCombined[[#This Row],[ID]], Table4[ID], Table4[Website], "Not Found", 0)</f>
        <v>1</v>
      </c>
      <c r="T2082" s="5">
        <f>_xlfn.XLOOKUP(CustomerCombined[[#This Row],[ID]], Table4[ID], Table4[Catalog], "Not Found", 0)</f>
        <v>0</v>
      </c>
      <c r="U2082" s="5">
        <f>_xlfn.XLOOKUP(CustomerCombined[[#This Row],[ID]], Table4[ID], Table4[Store], "Not Found", 0)</f>
        <v>2</v>
      </c>
      <c r="V2082" s="5">
        <f>_xlfn.XLOOKUP(CustomerCombined[[#This Row],[ID]], Table4[ID], Table4[Visits], "Not Found", 0)</f>
        <v>5</v>
      </c>
      <c r="W2082" s="8">
        <f>_xlfn.XLOOKUP(CustomerCombined[[#This Row],[ID]], Table2[ID],Table2[Complaint], "Not Found", 0 )</f>
        <v>0</v>
      </c>
      <c r="X2082" s="8">
        <f>_xlfn.XLOOKUP(CustomerCombined[[#This Row],[ID]], Table2[ID],Table2[Pilot], "Not Found", 0 )</f>
        <v>0</v>
      </c>
      <c r="Y2082" s="8">
        <f>_xlfn.XLOOKUP(CustomerCombined[[#This Row],[ID]], Table2[ID],Table2[MC1], "Not Found", 0 )</f>
        <v>0</v>
      </c>
      <c r="Z2082" s="8">
        <f>_xlfn.XLOOKUP(CustomerCombined[[#This Row],[ID]], Table2[ID],Table2[MC2], "Not Found", 0 )</f>
        <v>0</v>
      </c>
      <c r="AA2082" s="8">
        <f>_xlfn.XLOOKUP(CustomerCombined[[#This Row],[ID]], Table2[ID],Table2[MC3], "Not Found", 0 )</f>
        <v>0</v>
      </c>
      <c r="AB2082" s="8">
        <f>_xlfn.XLOOKUP(CustomerCombined[[#This Row],[ID]], Table2[ID],Table2[MC4], "Not Found", 0 )</f>
        <v>0</v>
      </c>
      <c r="AC2082" s="8">
        <f>_xlfn.XLOOKUP(CustomerCombined[[#This Row],[ID]], Table2[ID],Table2[MC5], "Not Found", 0 )</f>
        <v>0</v>
      </c>
    </row>
    <row r="2083" spans="1:29" x14ac:dyDescent="0.3">
      <c r="A2083" s="6">
        <v>1567</v>
      </c>
      <c r="B2083" s="6">
        <v>127450</v>
      </c>
      <c r="C2083" s="6">
        <v>0</v>
      </c>
      <c r="D2083" s="6">
        <v>0</v>
      </c>
      <c r="E2083" s="6">
        <v>69</v>
      </c>
      <c r="F2083" s="5" t="s">
        <v>6</v>
      </c>
      <c r="G2083" s="5" t="s">
        <v>12</v>
      </c>
      <c r="H2083" s="3" t="s">
        <v>274</v>
      </c>
      <c r="I2083" s="5" t="s">
        <v>437</v>
      </c>
      <c r="J2083" s="5">
        <f>_xlfn.XLOOKUP(CustomerCombined[[#This Row],[ID]], Table4[ID], Table4[Recency], "Not Found", 0)</f>
        <v>57</v>
      </c>
      <c r="K2083" s="5">
        <f>_xlfn.XLOOKUP(CustomerCombined[[#This Row],[ID]], Table4[ID], Table4[Teas], "Not Found", 0)</f>
        <v>172</v>
      </c>
      <c r="L2083" s="5">
        <f>_xlfn.XLOOKUP(CustomerCombined[[#This Row],[ID]], Table4[ID], Table4[Fruits], "Not Found", 0)</f>
        <v>56</v>
      </c>
      <c r="M2083" s="5">
        <f>_xlfn.XLOOKUP(CustomerCombined[[#This Row],[ID]], Table4[ID], Table4[Meats], "Not Found", 0)</f>
        <v>107</v>
      </c>
      <c r="N2083" s="5">
        <f>_xlfn.XLOOKUP(CustomerCombined[[#This Row],[ID]], Table4[ID], Table4[Seafood], "Not Found", 0)</f>
        <v>37</v>
      </c>
      <c r="O2083" s="5">
        <f>_xlfn.XLOOKUP(CustomerCombined[[#This Row],[ID]], Table4[ID], Table4[Sweets], "Not Found", 0)</f>
        <v>51</v>
      </c>
      <c r="P2083" s="5">
        <f>_xlfn.XLOOKUP(CustomerCombined[[#This Row],[ID]], Table4[ID], Table4[Premium], "Not Found", 0)</f>
        <v>241</v>
      </c>
      <c r="Q2083" s="5">
        <f>_xlfn.XLOOKUP(CustomerCombined[[#This Row],[ID]], Table4[ID], Table4[Regular], "Not Found", 0)</f>
        <v>181</v>
      </c>
      <c r="R2083" s="5">
        <f>_xlfn.XLOOKUP(CustomerCombined[[#This Row],[ID]], Table4[ID], Table4[Deals], "Not Found", 0)</f>
        <v>1</v>
      </c>
      <c r="S2083" s="5">
        <f>_xlfn.XLOOKUP(CustomerCombined[[#This Row],[ID]], Table4[ID], Table4[Website], "Not Found", 0)</f>
        <v>2</v>
      </c>
      <c r="T2083" s="5">
        <f>_xlfn.XLOOKUP(CustomerCombined[[#This Row],[ID]], Table4[ID], Table4[Catalog], "Not Found", 0)</f>
        <v>1</v>
      </c>
      <c r="U2083" s="5">
        <f>_xlfn.XLOOKUP(CustomerCombined[[#This Row],[ID]], Table4[ID], Table4[Store], "Not Found", 0)</f>
        <v>3</v>
      </c>
      <c r="V2083" s="5">
        <f>_xlfn.XLOOKUP(CustomerCombined[[#This Row],[ID]], Table4[ID], Table4[Visits], "Not Found", 0)</f>
        <v>7</v>
      </c>
      <c r="W2083" s="8">
        <f>_xlfn.XLOOKUP(CustomerCombined[[#This Row],[ID]], Table2[ID],Table2[Complaint], "Not Found", 0 )</f>
        <v>0</v>
      </c>
      <c r="X2083" s="8">
        <f>_xlfn.XLOOKUP(CustomerCombined[[#This Row],[ID]], Table2[ID],Table2[Pilot], "Not Found", 0 )</f>
        <v>0</v>
      </c>
      <c r="Y2083" s="8">
        <f>_xlfn.XLOOKUP(CustomerCombined[[#This Row],[ID]], Table2[ID],Table2[MC1], "Not Found", 0 )</f>
        <v>0</v>
      </c>
      <c r="Z2083" s="8">
        <f>_xlfn.XLOOKUP(CustomerCombined[[#This Row],[ID]], Table2[ID],Table2[MC2], "Not Found", 0 )</f>
        <v>0</v>
      </c>
      <c r="AA2083" s="8">
        <f>_xlfn.XLOOKUP(CustomerCombined[[#This Row],[ID]], Table2[ID],Table2[MC3], "Not Found", 0 )</f>
        <v>0</v>
      </c>
      <c r="AB2083" s="8">
        <f>_xlfn.XLOOKUP(CustomerCombined[[#This Row],[ID]], Table2[ID],Table2[MC4], "Not Found", 0 )</f>
        <v>0</v>
      </c>
      <c r="AC2083" s="8">
        <f>_xlfn.XLOOKUP(CustomerCombined[[#This Row],[ID]], Table2[ID],Table2[MC5], "Not Found", 0 )</f>
        <v>0</v>
      </c>
    </row>
    <row r="2084" spans="1:29" x14ac:dyDescent="0.3">
      <c r="A2084" s="6">
        <v>2265</v>
      </c>
      <c r="B2084" s="6">
        <v>126997</v>
      </c>
      <c r="C2084" s="6">
        <v>0</v>
      </c>
      <c r="D2084" s="6">
        <v>0</v>
      </c>
      <c r="E2084" s="6">
        <v>69</v>
      </c>
      <c r="F2084" s="5" t="s">
        <v>6</v>
      </c>
      <c r="G2084" s="5" t="s">
        <v>10</v>
      </c>
      <c r="H2084" s="3">
        <v>43803</v>
      </c>
      <c r="I2084" s="5" t="s">
        <v>435</v>
      </c>
      <c r="J2084" s="5">
        <f>_xlfn.XLOOKUP(CustomerCombined[[#This Row],[ID]], Table4[ID], Table4[Recency], "Not Found", 0)</f>
        <v>89</v>
      </c>
      <c r="K2084" s="5">
        <f>_xlfn.XLOOKUP(CustomerCombined[[#This Row],[ID]], Table4[ID], Table4[Teas], "Not Found", 0)</f>
        <v>33</v>
      </c>
      <c r="L2084" s="5">
        <f>_xlfn.XLOOKUP(CustomerCombined[[#This Row],[ID]], Table4[ID], Table4[Fruits], "Not Found", 0)</f>
        <v>108</v>
      </c>
      <c r="M2084" s="5">
        <f>_xlfn.XLOOKUP(CustomerCombined[[#This Row],[ID]], Table4[ID], Table4[Meats], "Not Found", 0)</f>
        <v>367</v>
      </c>
      <c r="N2084" s="5">
        <f>_xlfn.XLOOKUP(CustomerCombined[[#This Row],[ID]], Table4[ID], Table4[Seafood], "Not Found", 0)</f>
        <v>626</v>
      </c>
      <c r="O2084" s="5">
        <f>_xlfn.XLOOKUP(CustomerCombined[[#This Row],[ID]], Table4[ID], Table4[Sweets], "Not Found", 0)</f>
        <v>231</v>
      </c>
      <c r="P2084" s="5">
        <f>_xlfn.XLOOKUP(CustomerCombined[[#This Row],[ID]], Table4[ID], Table4[Premium], "Not Found", 0)</f>
        <v>677</v>
      </c>
      <c r="Q2084" s="5">
        <f>_xlfn.XLOOKUP(CustomerCombined[[#This Row],[ID]], Table4[ID], Table4[Regular], "Not Found", 0)</f>
        <v>687</v>
      </c>
      <c r="R2084" s="5">
        <f>_xlfn.XLOOKUP(CustomerCombined[[#This Row],[ID]], Table4[ID], Table4[Deals], "Not Found", 0)</f>
        <v>2</v>
      </c>
      <c r="S2084" s="5">
        <f>_xlfn.XLOOKUP(CustomerCombined[[#This Row],[ID]], Table4[ID], Table4[Website], "Not Found", 0)</f>
        <v>4</v>
      </c>
      <c r="T2084" s="5">
        <f>_xlfn.XLOOKUP(CustomerCombined[[#This Row],[ID]], Table4[ID], Table4[Catalog], "Not Found", 0)</f>
        <v>2</v>
      </c>
      <c r="U2084" s="5">
        <f>_xlfn.XLOOKUP(CustomerCombined[[#This Row],[ID]], Table4[ID], Table4[Store], "Not Found", 0)</f>
        <v>5</v>
      </c>
      <c r="V2084" s="5">
        <f>_xlfn.XLOOKUP(CustomerCombined[[#This Row],[ID]], Table4[ID], Table4[Visits], "Not Found", 0)</f>
        <v>7</v>
      </c>
      <c r="W2084" s="8">
        <f>_xlfn.XLOOKUP(CustomerCombined[[#This Row],[ID]], Table2[ID],Table2[Complaint], "Not Found", 0 )</f>
        <v>0</v>
      </c>
      <c r="X2084" s="8">
        <f>_xlfn.XLOOKUP(CustomerCombined[[#This Row],[ID]], Table2[ID],Table2[Pilot], "Not Found", 0 )</f>
        <v>0</v>
      </c>
      <c r="Y2084" s="8">
        <f>_xlfn.XLOOKUP(CustomerCombined[[#This Row],[ID]], Table2[ID],Table2[MC1], "Not Found", 0 )</f>
        <v>0</v>
      </c>
      <c r="Z2084" s="8">
        <f>_xlfn.XLOOKUP(CustomerCombined[[#This Row],[ID]], Table2[ID],Table2[MC2], "Not Found", 0 )</f>
        <v>0</v>
      </c>
      <c r="AA2084" s="8">
        <f>_xlfn.XLOOKUP(CustomerCombined[[#This Row],[ID]], Table2[ID],Table2[MC3], "Not Found", 0 )</f>
        <v>0</v>
      </c>
      <c r="AB2084" s="8">
        <f>_xlfn.XLOOKUP(CustomerCombined[[#This Row],[ID]], Table2[ID],Table2[MC4], "Not Found", 0 )</f>
        <v>0</v>
      </c>
      <c r="AC2084" s="8">
        <f>_xlfn.XLOOKUP(CustomerCombined[[#This Row],[ID]], Table2[ID],Table2[MC5], "Not Found", 0 )</f>
        <v>0</v>
      </c>
    </row>
    <row r="2085" spans="1:29" x14ac:dyDescent="0.3">
      <c r="A2085" s="6">
        <v>2993</v>
      </c>
      <c r="B2085" s="6">
        <v>122263</v>
      </c>
      <c r="C2085" s="6">
        <v>1</v>
      </c>
      <c r="D2085" s="6">
        <v>1</v>
      </c>
      <c r="E2085" s="6">
        <v>69</v>
      </c>
      <c r="F2085" s="5" t="s">
        <v>5</v>
      </c>
      <c r="G2085" s="5" t="s">
        <v>11</v>
      </c>
      <c r="H2085" s="3">
        <v>43899</v>
      </c>
      <c r="I2085" s="5" t="s">
        <v>434</v>
      </c>
      <c r="J2085" s="5">
        <f>_xlfn.XLOOKUP(CustomerCombined[[#This Row],[ID]], Table4[ID], Table4[Recency], "Not Found", 0)</f>
        <v>31</v>
      </c>
      <c r="K2085" s="5">
        <f>_xlfn.XLOOKUP(CustomerCombined[[#This Row],[ID]], Table4[ID], Table4[Teas], "Not Found", 0)</f>
        <v>93</v>
      </c>
      <c r="L2085" s="5">
        <f>_xlfn.XLOOKUP(CustomerCombined[[#This Row],[ID]], Table4[ID], Table4[Fruits], "Not Found", 0)</f>
        <v>0</v>
      </c>
      <c r="M2085" s="5">
        <f>_xlfn.XLOOKUP(CustomerCombined[[#This Row],[ID]], Table4[ID], Table4[Meats], "Not Found", 0)</f>
        <v>11</v>
      </c>
      <c r="N2085" s="5">
        <f>_xlfn.XLOOKUP(CustomerCombined[[#This Row],[ID]], Table4[ID], Table4[Seafood], "Not Found", 0)</f>
        <v>0</v>
      </c>
      <c r="O2085" s="5">
        <f>_xlfn.XLOOKUP(CustomerCombined[[#This Row],[ID]], Table4[ID], Table4[Sweets], "Not Found", 0)</f>
        <v>0</v>
      </c>
      <c r="P2085" s="5">
        <f>_xlfn.XLOOKUP(CustomerCombined[[#This Row],[ID]], Table4[ID], Table4[Premium], "Not Found", 0)</f>
        <v>11</v>
      </c>
      <c r="Q2085" s="5">
        <f>_xlfn.XLOOKUP(CustomerCombined[[#This Row],[ID]], Table4[ID], Table4[Regular], "Not Found", 0)</f>
        <v>93</v>
      </c>
      <c r="R2085" s="5">
        <f>_xlfn.XLOOKUP(CustomerCombined[[#This Row],[ID]], Table4[ID], Table4[Deals], "Not Found", 0)</f>
        <v>2</v>
      </c>
      <c r="S2085" s="5">
        <f>_xlfn.XLOOKUP(CustomerCombined[[#This Row],[ID]], Table4[ID], Table4[Website], "Not Found", 0)</f>
        <v>1</v>
      </c>
      <c r="T2085" s="5">
        <f>_xlfn.XLOOKUP(CustomerCombined[[#This Row],[ID]], Table4[ID], Table4[Catalog], "Not Found", 0)</f>
        <v>0</v>
      </c>
      <c r="U2085" s="5">
        <f>_xlfn.XLOOKUP(CustomerCombined[[#This Row],[ID]], Table4[ID], Table4[Store], "Not Found", 0)</f>
        <v>3</v>
      </c>
      <c r="V2085" s="5">
        <f>_xlfn.XLOOKUP(CustomerCombined[[#This Row],[ID]], Table4[ID], Table4[Visits], "Not Found", 0)</f>
        <v>6</v>
      </c>
      <c r="W2085" s="8">
        <f>_xlfn.XLOOKUP(CustomerCombined[[#This Row],[ID]], Table2[ID],Table2[Complaint], "Not Found", 0 )</f>
        <v>1</v>
      </c>
      <c r="X2085" s="8">
        <f>_xlfn.XLOOKUP(CustomerCombined[[#This Row],[ID]], Table2[ID],Table2[Pilot], "Not Found", 0 )</f>
        <v>0</v>
      </c>
      <c r="Y2085" s="8">
        <f>_xlfn.XLOOKUP(CustomerCombined[[#This Row],[ID]], Table2[ID],Table2[MC1], "Not Found", 0 )</f>
        <v>0</v>
      </c>
      <c r="Z2085" s="8">
        <f>_xlfn.XLOOKUP(CustomerCombined[[#This Row],[ID]], Table2[ID],Table2[MC2], "Not Found", 0 )</f>
        <v>0</v>
      </c>
      <c r="AA2085" s="8">
        <f>_xlfn.XLOOKUP(CustomerCombined[[#This Row],[ID]], Table2[ID],Table2[MC3], "Not Found", 0 )</f>
        <v>0</v>
      </c>
      <c r="AB2085" s="8">
        <f>_xlfn.XLOOKUP(CustomerCombined[[#This Row],[ID]], Table2[ID],Table2[MC4], "Not Found", 0 )</f>
        <v>0</v>
      </c>
      <c r="AC2085" s="8">
        <f>_xlfn.XLOOKUP(CustomerCombined[[#This Row],[ID]], Table2[ID],Table2[MC5], "Not Found", 0 )</f>
        <v>0</v>
      </c>
    </row>
    <row r="2086" spans="1:29" x14ac:dyDescent="0.3">
      <c r="A2086" s="6">
        <v>1221</v>
      </c>
      <c r="B2086" s="6">
        <v>115033</v>
      </c>
      <c r="C2086" s="6">
        <v>0</v>
      </c>
      <c r="D2086" s="6">
        <v>0</v>
      </c>
      <c r="E2086" s="6">
        <v>69</v>
      </c>
      <c r="F2086" s="5" t="s">
        <v>7</v>
      </c>
      <c r="G2086" s="5" t="s">
        <v>11</v>
      </c>
      <c r="H2086" s="3" t="s">
        <v>66</v>
      </c>
      <c r="I2086" s="5" t="s">
        <v>435</v>
      </c>
      <c r="J2086" s="5">
        <f>_xlfn.XLOOKUP(CustomerCombined[[#This Row],[ID]], Table4[ID], Table4[Recency], "Not Found", 0)</f>
        <v>37</v>
      </c>
      <c r="K2086" s="5">
        <f>_xlfn.XLOOKUP(CustomerCombined[[#This Row],[ID]], Table4[ID], Table4[Teas], "Not Found", 0)</f>
        <v>0</v>
      </c>
      <c r="L2086" s="5">
        <f>_xlfn.XLOOKUP(CustomerCombined[[#This Row],[ID]], Table4[ID], Table4[Fruits], "Not Found", 0)</f>
        <v>31</v>
      </c>
      <c r="M2086" s="5">
        <f>_xlfn.XLOOKUP(CustomerCombined[[#This Row],[ID]], Table4[ID], Table4[Meats], "Not Found", 0)</f>
        <v>38</v>
      </c>
      <c r="N2086" s="5">
        <f>_xlfn.XLOOKUP(CustomerCombined[[#This Row],[ID]], Table4[ID], Table4[Seafood], "Not Found", 0)</f>
        <v>46</v>
      </c>
      <c r="O2086" s="5">
        <f>_xlfn.XLOOKUP(CustomerCombined[[#This Row],[ID]], Table4[ID], Table4[Sweets], "Not Found", 0)</f>
        <v>0</v>
      </c>
      <c r="P2086" s="5">
        <f>_xlfn.XLOOKUP(CustomerCombined[[#This Row],[ID]], Table4[ID], Table4[Premium], "Not Found", 0)</f>
        <v>31</v>
      </c>
      <c r="Q2086" s="5">
        <f>_xlfn.XLOOKUP(CustomerCombined[[#This Row],[ID]], Table4[ID], Table4[Regular], "Not Found", 0)</f>
        <v>84</v>
      </c>
      <c r="R2086" s="5">
        <f>_xlfn.XLOOKUP(CustomerCombined[[#This Row],[ID]], Table4[ID], Table4[Deals], "Not Found", 0)</f>
        <v>1</v>
      </c>
      <c r="S2086" s="5">
        <f>_xlfn.XLOOKUP(CustomerCombined[[#This Row],[ID]], Table4[ID], Table4[Website], "Not Found", 0)</f>
        <v>1</v>
      </c>
      <c r="T2086" s="5">
        <f>_xlfn.XLOOKUP(CustomerCombined[[#This Row],[ID]], Table4[ID], Table4[Catalog], "Not Found", 0)</f>
        <v>0</v>
      </c>
      <c r="U2086" s="5">
        <f>_xlfn.XLOOKUP(CustomerCombined[[#This Row],[ID]], Table4[ID], Table4[Store], "Not Found", 0)</f>
        <v>3</v>
      </c>
      <c r="V2086" s="5">
        <f>_xlfn.XLOOKUP(CustomerCombined[[#This Row],[ID]], Table4[ID], Table4[Visits], "Not Found", 0)</f>
        <v>3</v>
      </c>
      <c r="W2086" s="8">
        <f>_xlfn.XLOOKUP(CustomerCombined[[#This Row],[ID]], Table2[ID],Table2[Complaint], "Not Found", 0 )</f>
        <v>0</v>
      </c>
      <c r="X2086" s="8">
        <f>_xlfn.XLOOKUP(CustomerCombined[[#This Row],[ID]], Table2[ID],Table2[Pilot], "Not Found", 0 )</f>
        <v>0</v>
      </c>
      <c r="Y2086" s="8">
        <f>_xlfn.XLOOKUP(CustomerCombined[[#This Row],[ID]], Table2[ID],Table2[MC1], "Not Found", 0 )</f>
        <v>0</v>
      </c>
      <c r="Z2086" s="8">
        <f>_xlfn.XLOOKUP(CustomerCombined[[#This Row],[ID]], Table2[ID],Table2[MC2], "Not Found", 0 )</f>
        <v>0</v>
      </c>
      <c r="AA2086" s="8">
        <f>_xlfn.XLOOKUP(CustomerCombined[[#This Row],[ID]], Table2[ID],Table2[MC3], "Not Found", 0 )</f>
        <v>0</v>
      </c>
      <c r="AB2086" s="8">
        <f>_xlfn.XLOOKUP(CustomerCombined[[#This Row],[ID]], Table2[ID],Table2[MC4], "Not Found", 0 )</f>
        <v>0</v>
      </c>
      <c r="AC2086" s="8">
        <f>_xlfn.XLOOKUP(CustomerCombined[[#This Row],[ID]], Table2[ID],Table2[MC5], "Not Found", 0 )</f>
        <v>0</v>
      </c>
    </row>
    <row r="2087" spans="1:29" x14ac:dyDescent="0.3">
      <c r="A2087" s="6">
        <v>2558</v>
      </c>
      <c r="B2087" s="6">
        <v>182460</v>
      </c>
      <c r="C2087" s="6">
        <v>0</v>
      </c>
      <c r="D2087" s="6">
        <v>0</v>
      </c>
      <c r="E2087" s="6">
        <v>70</v>
      </c>
      <c r="F2087" s="5" t="s">
        <v>5</v>
      </c>
      <c r="G2087" s="5" t="s">
        <v>11</v>
      </c>
      <c r="H2087" s="3">
        <v>44048</v>
      </c>
      <c r="I2087" s="5" t="s">
        <v>438</v>
      </c>
      <c r="J2087" s="5">
        <f>_xlfn.XLOOKUP(CustomerCombined[[#This Row],[ID]], Table4[ID], Table4[Recency], "Not Found", 0)</f>
        <v>78</v>
      </c>
      <c r="K2087" s="5">
        <f>_xlfn.XLOOKUP(CustomerCombined[[#This Row],[ID]], Table4[ID], Table4[Teas], "Not Found", 0)</f>
        <v>564</v>
      </c>
      <c r="L2087" s="5">
        <f>_xlfn.XLOOKUP(CustomerCombined[[#This Row],[ID]], Table4[ID], Table4[Fruits], "Not Found", 0)</f>
        <v>104</v>
      </c>
      <c r="M2087" s="5">
        <f>_xlfn.XLOOKUP(CustomerCombined[[#This Row],[ID]], Table4[ID], Table4[Meats], "Not Found", 0)</f>
        <v>1268</v>
      </c>
      <c r="N2087" s="5">
        <f>_xlfn.XLOOKUP(CustomerCombined[[#This Row],[ID]], Table4[ID], Table4[Seafood], "Not Found", 0)</f>
        <v>115</v>
      </c>
      <c r="O2087" s="5">
        <f>_xlfn.XLOOKUP(CustomerCombined[[#This Row],[ID]], Table4[ID], Table4[Sweets], "Not Found", 0)</f>
        <v>71</v>
      </c>
      <c r="P2087" s="5">
        <f>_xlfn.XLOOKUP(CustomerCombined[[#This Row],[ID]], Table4[ID], Table4[Premium], "Not Found", 0)</f>
        <v>33</v>
      </c>
      <c r="Q2087" s="5">
        <f>_xlfn.XLOOKUP(CustomerCombined[[#This Row],[ID]], Table4[ID], Table4[Regular], "Not Found", 0)</f>
        <v>2089</v>
      </c>
      <c r="R2087" s="5">
        <f>_xlfn.XLOOKUP(CustomerCombined[[#This Row],[ID]], Table4[ID], Table4[Deals], "Not Found", 0)</f>
        <v>1</v>
      </c>
      <c r="S2087" s="5">
        <f>_xlfn.XLOOKUP(CustomerCombined[[#This Row],[ID]], Table4[ID], Table4[Website], "Not Found", 0)</f>
        <v>5</v>
      </c>
      <c r="T2087" s="5">
        <f>_xlfn.XLOOKUP(CustomerCombined[[#This Row],[ID]], Table4[ID], Table4[Catalog], "Not Found", 0)</f>
        <v>3</v>
      </c>
      <c r="U2087" s="5">
        <f>_xlfn.XLOOKUP(CustomerCombined[[#This Row],[ID]], Table4[ID], Table4[Store], "Not Found", 0)</f>
        <v>6</v>
      </c>
      <c r="V2087" s="5">
        <f>_xlfn.XLOOKUP(CustomerCombined[[#This Row],[ID]], Table4[ID], Table4[Visits], "Not Found", 0)</f>
        <v>1</v>
      </c>
      <c r="W2087" s="8">
        <f>_xlfn.XLOOKUP(CustomerCombined[[#This Row],[ID]], Table2[ID],Table2[Complaint], "Not Found", 0 )</f>
        <v>0</v>
      </c>
      <c r="X2087" s="8">
        <f>_xlfn.XLOOKUP(CustomerCombined[[#This Row],[ID]], Table2[ID],Table2[Pilot], "Not Found", 0 )</f>
        <v>0</v>
      </c>
      <c r="Y2087" s="8">
        <f>_xlfn.XLOOKUP(CustomerCombined[[#This Row],[ID]], Table2[ID],Table2[MC1], "Not Found", 0 )</f>
        <v>0</v>
      </c>
      <c r="Z2087" s="8">
        <f>_xlfn.XLOOKUP(CustomerCombined[[#This Row],[ID]], Table2[ID],Table2[MC2], "Not Found", 0 )</f>
        <v>0</v>
      </c>
      <c r="AA2087" s="8">
        <f>_xlfn.XLOOKUP(CustomerCombined[[#This Row],[ID]], Table2[ID],Table2[MC3], "Not Found", 0 )</f>
        <v>0</v>
      </c>
      <c r="AB2087" s="8">
        <f>_xlfn.XLOOKUP(CustomerCombined[[#This Row],[ID]], Table2[ID],Table2[MC4], "Not Found", 0 )</f>
        <v>0</v>
      </c>
      <c r="AC2087" s="8">
        <f>_xlfn.XLOOKUP(CustomerCombined[[#This Row],[ID]], Table2[ID],Table2[MC5], "Not Found", 0 )</f>
        <v>0</v>
      </c>
    </row>
    <row r="2088" spans="1:29" x14ac:dyDescent="0.3">
      <c r="A2088" s="6">
        <v>1965</v>
      </c>
      <c r="B2088" s="6">
        <v>180763</v>
      </c>
      <c r="C2088" s="6">
        <v>0</v>
      </c>
      <c r="D2088" s="6">
        <v>0</v>
      </c>
      <c r="E2088" s="6">
        <v>70</v>
      </c>
      <c r="F2088" s="5" t="s">
        <v>6</v>
      </c>
      <c r="G2088" s="5" t="s">
        <v>11</v>
      </c>
      <c r="H2088" s="3" t="s">
        <v>202</v>
      </c>
      <c r="I2088" s="5" t="s">
        <v>435</v>
      </c>
      <c r="J2088" s="5">
        <f>_xlfn.XLOOKUP(CustomerCombined[[#This Row],[ID]], Table4[ID], Table4[Recency], "Not Found", 0)</f>
        <v>17</v>
      </c>
      <c r="K2088" s="5">
        <f>_xlfn.XLOOKUP(CustomerCombined[[#This Row],[ID]], Table4[ID], Table4[Teas], "Not Found", 0)</f>
        <v>1509</v>
      </c>
      <c r="L2088" s="5">
        <f>_xlfn.XLOOKUP(CustomerCombined[[#This Row],[ID]], Table4[ID], Table4[Fruits], "Not Found", 0)</f>
        <v>376</v>
      </c>
      <c r="M2088" s="5">
        <f>_xlfn.XLOOKUP(CustomerCombined[[#This Row],[ID]], Table4[ID], Table4[Meats], "Not Found", 0)</f>
        <v>242</v>
      </c>
      <c r="N2088" s="5">
        <f>_xlfn.XLOOKUP(CustomerCombined[[#This Row],[ID]], Table4[ID], Table4[Seafood], "Not Found", 0)</f>
        <v>430</v>
      </c>
      <c r="O2088" s="5">
        <f>_xlfn.XLOOKUP(CustomerCombined[[#This Row],[ID]], Table4[ID], Table4[Sweets], "Not Found", 0)</f>
        <v>94</v>
      </c>
      <c r="P2088" s="5">
        <f>_xlfn.XLOOKUP(CustomerCombined[[#This Row],[ID]], Table4[ID], Table4[Premium], "Not Found", 0)</f>
        <v>517</v>
      </c>
      <c r="Q2088" s="5">
        <f>_xlfn.XLOOKUP(CustomerCombined[[#This Row],[ID]], Table4[ID], Table4[Regular], "Not Found", 0)</f>
        <v>2133</v>
      </c>
      <c r="R2088" s="5">
        <f>_xlfn.XLOOKUP(CustomerCombined[[#This Row],[ID]], Table4[ID], Table4[Deals], "Not Found", 0)</f>
        <v>1</v>
      </c>
      <c r="S2088" s="5">
        <f>_xlfn.XLOOKUP(CustomerCombined[[#This Row],[ID]], Table4[ID], Table4[Website], "Not Found", 0)</f>
        <v>5</v>
      </c>
      <c r="T2088" s="5">
        <f>_xlfn.XLOOKUP(CustomerCombined[[#This Row],[ID]], Table4[ID], Table4[Catalog], "Not Found", 0)</f>
        <v>11</v>
      </c>
      <c r="U2088" s="5">
        <f>_xlfn.XLOOKUP(CustomerCombined[[#This Row],[ID]], Table4[ID], Table4[Store], "Not Found", 0)</f>
        <v>6</v>
      </c>
      <c r="V2088" s="5">
        <f>_xlfn.XLOOKUP(CustomerCombined[[#This Row],[ID]], Table4[ID], Table4[Visits], "Not Found", 0)</f>
        <v>3</v>
      </c>
      <c r="W2088" s="8">
        <f>_xlfn.XLOOKUP(CustomerCombined[[#This Row],[ID]], Table2[ID],Table2[Complaint], "Not Found", 0 )</f>
        <v>0</v>
      </c>
      <c r="X2088" s="8">
        <f>_xlfn.XLOOKUP(CustomerCombined[[#This Row],[ID]], Table2[ID],Table2[Pilot], "Not Found", 0 )</f>
        <v>1</v>
      </c>
      <c r="Y2088" s="8">
        <f>_xlfn.XLOOKUP(CustomerCombined[[#This Row],[ID]], Table2[ID],Table2[MC1], "Not Found", 0 )</f>
        <v>1</v>
      </c>
      <c r="Z2088" s="8">
        <f>_xlfn.XLOOKUP(CustomerCombined[[#This Row],[ID]], Table2[ID],Table2[MC2], "Not Found", 0 )</f>
        <v>0</v>
      </c>
      <c r="AA2088" s="8">
        <f>_xlfn.XLOOKUP(CustomerCombined[[#This Row],[ID]], Table2[ID],Table2[MC3], "Not Found", 0 )</f>
        <v>0</v>
      </c>
      <c r="AB2088" s="8">
        <f>_xlfn.XLOOKUP(CustomerCombined[[#This Row],[ID]], Table2[ID],Table2[MC4], "Not Found", 0 )</f>
        <v>0</v>
      </c>
      <c r="AC2088" s="8">
        <f>_xlfn.XLOOKUP(CustomerCombined[[#This Row],[ID]], Table2[ID],Table2[MC5], "Not Found", 0 )</f>
        <v>1</v>
      </c>
    </row>
    <row r="2089" spans="1:29" x14ac:dyDescent="0.3">
      <c r="A2089" s="6">
        <v>2930</v>
      </c>
      <c r="B2089" s="6">
        <v>176842</v>
      </c>
      <c r="C2089" s="6">
        <v>0</v>
      </c>
      <c r="D2089" s="6">
        <v>0</v>
      </c>
      <c r="E2089" s="6">
        <v>70</v>
      </c>
      <c r="F2089" s="5" t="s">
        <v>9</v>
      </c>
      <c r="G2089" s="5" t="s">
        <v>13</v>
      </c>
      <c r="H2089" s="3">
        <v>44022</v>
      </c>
      <c r="I2089" s="5" t="s">
        <v>438</v>
      </c>
      <c r="J2089" s="5">
        <f>_xlfn.XLOOKUP(CustomerCombined[[#This Row],[ID]], Table4[ID], Table4[Recency], "Not Found", 0)</f>
        <v>37</v>
      </c>
      <c r="K2089" s="5">
        <f>_xlfn.XLOOKUP(CustomerCombined[[#This Row],[ID]], Table4[ID], Table4[Teas], "Not Found", 0)</f>
        <v>1392</v>
      </c>
      <c r="L2089" s="5">
        <f>_xlfn.XLOOKUP(CustomerCombined[[#This Row],[ID]], Table4[ID], Table4[Fruits], "Not Found", 0)</f>
        <v>23</v>
      </c>
      <c r="M2089" s="5">
        <f>_xlfn.XLOOKUP(CustomerCombined[[#This Row],[ID]], Table4[ID], Table4[Meats], "Not Found", 0)</f>
        <v>794</v>
      </c>
      <c r="N2089" s="5">
        <f>_xlfn.XLOOKUP(CustomerCombined[[#This Row],[ID]], Table4[ID], Table4[Seafood], "Not Found", 0)</f>
        <v>193</v>
      </c>
      <c r="O2089" s="5">
        <f>_xlfn.XLOOKUP(CustomerCombined[[#This Row],[ID]], Table4[ID], Table4[Sweets], "Not Found", 0)</f>
        <v>124</v>
      </c>
      <c r="P2089" s="5">
        <f>_xlfn.XLOOKUP(CustomerCombined[[#This Row],[ID]], Table4[ID], Table4[Premium], "Not Found", 0)</f>
        <v>74</v>
      </c>
      <c r="Q2089" s="5">
        <f>_xlfn.XLOOKUP(CustomerCombined[[#This Row],[ID]], Table4[ID], Table4[Regular], "Not Found", 0)</f>
        <v>2453</v>
      </c>
      <c r="R2089" s="5">
        <f>_xlfn.XLOOKUP(CustomerCombined[[#This Row],[ID]], Table4[ID], Table4[Deals], "Not Found", 0)</f>
        <v>1</v>
      </c>
      <c r="S2089" s="5">
        <f>_xlfn.XLOOKUP(CustomerCombined[[#This Row],[ID]], Table4[ID], Table4[Website], "Not Found", 0)</f>
        <v>1</v>
      </c>
      <c r="T2089" s="5">
        <f>_xlfn.XLOOKUP(CustomerCombined[[#This Row],[ID]], Table4[ID], Table4[Catalog], "Not Found", 0)</f>
        <v>8</v>
      </c>
      <c r="U2089" s="5">
        <f>_xlfn.XLOOKUP(CustomerCombined[[#This Row],[ID]], Table4[ID], Table4[Store], "Not Found", 0)</f>
        <v>7</v>
      </c>
      <c r="V2089" s="5">
        <f>_xlfn.XLOOKUP(CustomerCombined[[#This Row],[ID]], Table4[ID], Table4[Visits], "Not Found", 0)</f>
        <v>0</v>
      </c>
      <c r="W2089" s="8">
        <f>_xlfn.XLOOKUP(CustomerCombined[[#This Row],[ID]], Table2[ID],Table2[Complaint], "Not Found", 0 )</f>
        <v>0</v>
      </c>
      <c r="X2089" s="8">
        <f>_xlfn.XLOOKUP(CustomerCombined[[#This Row],[ID]], Table2[ID],Table2[Pilot], "Not Found", 0 )</f>
        <v>0</v>
      </c>
      <c r="Y2089" s="8">
        <f>_xlfn.XLOOKUP(CustomerCombined[[#This Row],[ID]], Table2[ID],Table2[MC1], "Not Found", 0 )</f>
        <v>0</v>
      </c>
      <c r="Z2089" s="8">
        <f>_xlfn.XLOOKUP(CustomerCombined[[#This Row],[ID]], Table2[ID],Table2[MC2], "Not Found", 0 )</f>
        <v>0</v>
      </c>
      <c r="AA2089" s="8">
        <f>_xlfn.XLOOKUP(CustomerCombined[[#This Row],[ID]], Table2[ID],Table2[MC3], "Not Found", 0 )</f>
        <v>0</v>
      </c>
      <c r="AB2089" s="8">
        <f>_xlfn.XLOOKUP(CustomerCombined[[#This Row],[ID]], Table2[ID],Table2[MC4], "Not Found", 0 )</f>
        <v>0</v>
      </c>
      <c r="AC2089" s="8">
        <f>_xlfn.XLOOKUP(CustomerCombined[[#This Row],[ID]], Table2[ID],Table2[MC5], "Not Found", 0 )</f>
        <v>0</v>
      </c>
    </row>
    <row r="2090" spans="1:29" x14ac:dyDescent="0.3">
      <c r="A2090" s="6">
        <v>2436</v>
      </c>
      <c r="B2090" s="6">
        <v>164866</v>
      </c>
      <c r="C2090" s="6">
        <v>0</v>
      </c>
      <c r="D2090" s="6">
        <v>1</v>
      </c>
      <c r="E2090" s="6">
        <v>70</v>
      </c>
      <c r="F2090" s="5" t="s">
        <v>9</v>
      </c>
      <c r="G2090" s="5" t="s">
        <v>12</v>
      </c>
      <c r="H2090" s="3">
        <v>43868</v>
      </c>
      <c r="I2090" s="5" t="s">
        <v>436</v>
      </c>
      <c r="J2090" s="5">
        <f>_xlfn.XLOOKUP(CustomerCombined[[#This Row],[ID]], Table4[ID], Table4[Recency], "Not Found", 0)</f>
        <v>9</v>
      </c>
      <c r="K2090" s="5">
        <f>_xlfn.XLOOKUP(CustomerCombined[[#This Row],[ID]], Table4[ID], Table4[Teas], "Not Found", 0)</f>
        <v>1291</v>
      </c>
      <c r="L2090" s="5">
        <f>_xlfn.XLOOKUP(CustomerCombined[[#This Row],[ID]], Table4[ID], Table4[Fruits], "Not Found", 0)</f>
        <v>13</v>
      </c>
      <c r="M2090" s="5">
        <f>_xlfn.XLOOKUP(CustomerCombined[[#This Row],[ID]], Table4[ID], Table4[Meats], "Not Found", 0)</f>
        <v>53</v>
      </c>
      <c r="N2090" s="5">
        <f>_xlfn.XLOOKUP(CustomerCombined[[#This Row],[ID]], Table4[ID], Table4[Seafood], "Not Found", 0)</f>
        <v>18</v>
      </c>
      <c r="O2090" s="5">
        <f>_xlfn.XLOOKUP(CustomerCombined[[#This Row],[ID]], Table4[ID], Table4[Sweets], "Not Found", 0)</f>
        <v>13</v>
      </c>
      <c r="P2090" s="5">
        <f>_xlfn.XLOOKUP(CustomerCombined[[#This Row],[ID]], Table4[ID], Table4[Premium], "Not Found", 0)</f>
        <v>25</v>
      </c>
      <c r="Q2090" s="5">
        <f>_xlfn.XLOOKUP(CustomerCombined[[#This Row],[ID]], Table4[ID], Table4[Regular], "Not Found", 0)</f>
        <v>1362</v>
      </c>
      <c r="R2090" s="5">
        <f>_xlfn.XLOOKUP(CustomerCombined[[#This Row],[ID]], Table4[ID], Table4[Deals], "Not Found", 0)</f>
        <v>4</v>
      </c>
      <c r="S2090" s="5">
        <f>_xlfn.XLOOKUP(CustomerCombined[[#This Row],[ID]], Table4[ID], Table4[Website], "Not Found", 0)</f>
        <v>7</v>
      </c>
      <c r="T2090" s="5">
        <f>_xlfn.XLOOKUP(CustomerCombined[[#This Row],[ID]], Table4[ID], Table4[Catalog], "Not Found", 0)</f>
        <v>3</v>
      </c>
      <c r="U2090" s="5">
        <f>_xlfn.XLOOKUP(CustomerCombined[[#This Row],[ID]], Table4[ID], Table4[Store], "Not Found", 0)</f>
        <v>7</v>
      </c>
      <c r="V2090" s="5">
        <f>_xlfn.XLOOKUP(CustomerCombined[[#This Row],[ID]], Table4[ID], Table4[Visits], "Not Found", 0)</f>
        <v>5</v>
      </c>
      <c r="W2090" s="8">
        <f>_xlfn.XLOOKUP(CustomerCombined[[#This Row],[ID]], Table2[ID],Table2[Complaint], "Not Found", 0 )</f>
        <v>0</v>
      </c>
      <c r="X2090" s="8">
        <f>_xlfn.XLOOKUP(CustomerCombined[[#This Row],[ID]], Table2[ID],Table2[Pilot], "Not Found", 0 )</f>
        <v>0</v>
      </c>
      <c r="Y2090" s="8">
        <f>_xlfn.XLOOKUP(CustomerCombined[[#This Row],[ID]], Table2[ID],Table2[MC1], "Not Found", 0 )</f>
        <v>0</v>
      </c>
      <c r="Z2090" s="8">
        <f>_xlfn.XLOOKUP(CustomerCombined[[#This Row],[ID]], Table2[ID],Table2[MC2], "Not Found", 0 )</f>
        <v>0</v>
      </c>
      <c r="AA2090" s="8">
        <f>_xlfn.XLOOKUP(CustomerCombined[[#This Row],[ID]], Table2[ID],Table2[MC3], "Not Found", 0 )</f>
        <v>0</v>
      </c>
      <c r="AB2090" s="8">
        <f>_xlfn.XLOOKUP(CustomerCombined[[#This Row],[ID]], Table2[ID],Table2[MC4], "Not Found", 0 )</f>
        <v>1</v>
      </c>
      <c r="AC2090" s="8">
        <f>_xlfn.XLOOKUP(CustomerCombined[[#This Row],[ID]], Table2[ID],Table2[MC5], "Not Found", 0 )</f>
        <v>0</v>
      </c>
    </row>
    <row r="2091" spans="1:29" x14ac:dyDescent="0.3">
      <c r="A2091" s="6">
        <v>1621</v>
      </c>
      <c r="B2091" s="6">
        <v>163120</v>
      </c>
      <c r="C2091" s="6">
        <v>0</v>
      </c>
      <c r="D2091" s="6">
        <v>1</v>
      </c>
      <c r="E2091" s="6">
        <v>70</v>
      </c>
      <c r="F2091" s="5" t="s">
        <v>5</v>
      </c>
      <c r="G2091" s="5" t="s">
        <v>12</v>
      </c>
      <c r="H2091" s="3">
        <v>43588</v>
      </c>
      <c r="I2091" s="5" t="s">
        <v>437</v>
      </c>
      <c r="J2091" s="5">
        <f>_xlfn.XLOOKUP(CustomerCombined[[#This Row],[ID]], Table4[ID], Table4[Recency], "Not Found", 0)</f>
        <v>53</v>
      </c>
      <c r="K2091" s="5">
        <f>_xlfn.XLOOKUP(CustomerCombined[[#This Row],[ID]], Table4[ID], Table4[Teas], "Not Found", 0)</f>
        <v>2494</v>
      </c>
      <c r="L2091" s="5">
        <f>_xlfn.XLOOKUP(CustomerCombined[[#This Row],[ID]], Table4[ID], Table4[Fruits], "Not Found", 0)</f>
        <v>178</v>
      </c>
      <c r="M2091" s="5">
        <f>_xlfn.XLOOKUP(CustomerCombined[[#This Row],[ID]], Table4[ID], Table4[Meats], "Not Found", 0)</f>
        <v>721</v>
      </c>
      <c r="N2091" s="5">
        <f>_xlfn.XLOOKUP(CustomerCombined[[#This Row],[ID]], Table4[ID], Table4[Seafood], "Not Found", 0)</f>
        <v>140</v>
      </c>
      <c r="O2091" s="5">
        <f>_xlfn.XLOOKUP(CustomerCombined[[#This Row],[ID]], Table4[ID], Table4[Sweets], "Not Found", 0)</f>
        <v>106</v>
      </c>
      <c r="P2091" s="5">
        <f>_xlfn.XLOOKUP(CustomerCombined[[#This Row],[ID]], Table4[ID], Table4[Premium], "Not Found", 0)</f>
        <v>178</v>
      </c>
      <c r="Q2091" s="5">
        <f>_xlfn.XLOOKUP(CustomerCombined[[#This Row],[ID]], Table4[ID], Table4[Regular], "Not Found", 0)</f>
        <v>3460</v>
      </c>
      <c r="R2091" s="5">
        <f>_xlfn.XLOOKUP(CustomerCombined[[#This Row],[ID]], Table4[ID], Table4[Deals], "Not Found", 0)</f>
        <v>5</v>
      </c>
      <c r="S2091" s="5">
        <f>_xlfn.XLOOKUP(CustomerCombined[[#This Row],[ID]], Table4[ID], Table4[Website], "Not Found", 0)</f>
        <v>8</v>
      </c>
      <c r="T2091" s="5">
        <f>_xlfn.XLOOKUP(CustomerCombined[[#This Row],[ID]], Table4[ID], Table4[Catalog], "Not Found", 0)</f>
        <v>4</v>
      </c>
      <c r="U2091" s="5">
        <f>_xlfn.XLOOKUP(CustomerCombined[[#This Row],[ID]], Table4[ID], Table4[Store], "Not Found", 0)</f>
        <v>9</v>
      </c>
      <c r="V2091" s="5">
        <f>_xlfn.XLOOKUP(CustomerCombined[[#This Row],[ID]], Table4[ID], Table4[Visits], "Not Found", 0)</f>
        <v>7</v>
      </c>
      <c r="W2091" s="8">
        <f>_xlfn.XLOOKUP(CustomerCombined[[#This Row],[ID]], Table2[ID],Table2[Complaint], "Not Found", 0 )</f>
        <v>0</v>
      </c>
      <c r="X2091" s="8">
        <f>_xlfn.XLOOKUP(CustomerCombined[[#This Row],[ID]], Table2[ID],Table2[Pilot], "Not Found", 0 )</f>
        <v>1</v>
      </c>
      <c r="Y2091" s="8">
        <f>_xlfn.XLOOKUP(CustomerCombined[[#This Row],[ID]], Table2[ID],Table2[MC1], "Not Found", 0 )</f>
        <v>0</v>
      </c>
      <c r="Z2091" s="8">
        <f>_xlfn.XLOOKUP(CustomerCombined[[#This Row],[ID]], Table2[ID],Table2[MC2], "Not Found", 0 )</f>
        <v>0</v>
      </c>
      <c r="AA2091" s="8">
        <f>_xlfn.XLOOKUP(CustomerCombined[[#This Row],[ID]], Table2[ID],Table2[MC3], "Not Found", 0 )</f>
        <v>0</v>
      </c>
      <c r="AB2091" s="8">
        <f>_xlfn.XLOOKUP(CustomerCombined[[#This Row],[ID]], Table2[ID],Table2[MC4], "Not Found", 0 )</f>
        <v>0</v>
      </c>
      <c r="AC2091" s="8">
        <f>_xlfn.XLOOKUP(CustomerCombined[[#This Row],[ID]], Table2[ID],Table2[MC5], "Not Found", 0 )</f>
        <v>0</v>
      </c>
    </row>
    <row r="2092" spans="1:29" x14ac:dyDescent="0.3">
      <c r="A2092" s="6">
        <v>3010</v>
      </c>
      <c r="B2092" s="6">
        <v>160905</v>
      </c>
      <c r="C2092" s="6">
        <v>0</v>
      </c>
      <c r="D2092" s="6">
        <v>1</v>
      </c>
      <c r="E2092" s="6">
        <v>70</v>
      </c>
      <c r="F2092" s="5" t="s">
        <v>8</v>
      </c>
      <c r="G2092" s="5" t="s">
        <v>11</v>
      </c>
      <c r="H2092" s="3">
        <v>44140</v>
      </c>
      <c r="I2092" s="5" t="s">
        <v>439</v>
      </c>
      <c r="J2092" s="5">
        <f>_xlfn.XLOOKUP(CustomerCombined[[#This Row],[ID]], Table4[ID], Table4[Recency], "Not Found", 0)</f>
        <v>27</v>
      </c>
      <c r="K2092" s="5">
        <f>_xlfn.XLOOKUP(CustomerCombined[[#This Row],[ID]], Table4[ID], Table4[Teas], "Not Found", 0)</f>
        <v>550</v>
      </c>
      <c r="L2092" s="5">
        <f>_xlfn.XLOOKUP(CustomerCombined[[#This Row],[ID]], Table4[ID], Table4[Fruits], "Not Found", 0)</f>
        <v>45</v>
      </c>
      <c r="M2092" s="5">
        <f>_xlfn.XLOOKUP(CustomerCombined[[#This Row],[ID]], Table4[ID], Table4[Meats], "Not Found", 0)</f>
        <v>201</v>
      </c>
      <c r="N2092" s="5">
        <f>_xlfn.XLOOKUP(CustomerCombined[[#This Row],[ID]], Table4[ID], Table4[Seafood], "Not Found", 0)</f>
        <v>95</v>
      </c>
      <c r="O2092" s="5">
        <f>_xlfn.XLOOKUP(CustomerCombined[[#This Row],[ID]], Table4[ID], Table4[Sweets], "Not Found", 0)</f>
        <v>45</v>
      </c>
      <c r="P2092" s="5">
        <f>_xlfn.XLOOKUP(CustomerCombined[[#This Row],[ID]], Table4[ID], Table4[Premium], "Not Found", 0)</f>
        <v>100</v>
      </c>
      <c r="Q2092" s="5">
        <f>_xlfn.XLOOKUP(CustomerCombined[[#This Row],[ID]], Table4[ID], Table4[Regular], "Not Found", 0)</f>
        <v>835</v>
      </c>
      <c r="R2092" s="5">
        <f>_xlfn.XLOOKUP(CustomerCombined[[#This Row],[ID]], Table4[ID], Table4[Deals], "Not Found", 0)</f>
        <v>2</v>
      </c>
      <c r="S2092" s="5">
        <f>_xlfn.XLOOKUP(CustomerCombined[[#This Row],[ID]], Table4[ID], Table4[Website], "Not Found", 0)</f>
        <v>3</v>
      </c>
      <c r="T2092" s="5">
        <f>_xlfn.XLOOKUP(CustomerCombined[[#This Row],[ID]], Table4[ID], Table4[Catalog], "Not Found", 0)</f>
        <v>3</v>
      </c>
      <c r="U2092" s="5">
        <f>_xlfn.XLOOKUP(CustomerCombined[[#This Row],[ID]], Table4[ID], Table4[Store], "Not Found", 0)</f>
        <v>7</v>
      </c>
      <c r="V2092" s="5">
        <f>_xlfn.XLOOKUP(CustomerCombined[[#This Row],[ID]], Table4[ID], Table4[Visits], "Not Found", 0)</f>
        <v>2</v>
      </c>
      <c r="W2092" s="8">
        <f>_xlfn.XLOOKUP(CustomerCombined[[#This Row],[ID]], Table2[ID],Table2[Complaint], "Not Found", 0 )</f>
        <v>0</v>
      </c>
      <c r="X2092" s="8">
        <f>_xlfn.XLOOKUP(CustomerCombined[[#This Row],[ID]], Table2[ID],Table2[Pilot], "Not Found", 0 )</f>
        <v>0</v>
      </c>
      <c r="Y2092" s="8">
        <f>_xlfn.XLOOKUP(CustomerCombined[[#This Row],[ID]], Table2[ID],Table2[MC1], "Not Found", 0 )</f>
        <v>0</v>
      </c>
      <c r="Z2092" s="8">
        <f>_xlfn.XLOOKUP(CustomerCombined[[#This Row],[ID]], Table2[ID],Table2[MC2], "Not Found", 0 )</f>
        <v>0</v>
      </c>
      <c r="AA2092" s="8">
        <f>_xlfn.XLOOKUP(CustomerCombined[[#This Row],[ID]], Table2[ID],Table2[MC3], "Not Found", 0 )</f>
        <v>0</v>
      </c>
      <c r="AB2092" s="8">
        <f>_xlfn.XLOOKUP(CustomerCombined[[#This Row],[ID]], Table2[ID],Table2[MC4], "Not Found", 0 )</f>
        <v>0</v>
      </c>
      <c r="AC2092" s="8">
        <f>_xlfn.XLOOKUP(CustomerCombined[[#This Row],[ID]], Table2[ID],Table2[MC5], "Not Found", 0 )</f>
        <v>0</v>
      </c>
    </row>
    <row r="2093" spans="1:29" x14ac:dyDescent="0.3">
      <c r="A2093" s="6">
        <v>3033</v>
      </c>
      <c r="B2093" s="6">
        <v>159462</v>
      </c>
      <c r="C2093" s="6">
        <v>0</v>
      </c>
      <c r="D2093" s="6">
        <v>1</v>
      </c>
      <c r="E2093" s="6">
        <v>70</v>
      </c>
      <c r="F2093" s="5" t="s">
        <v>6</v>
      </c>
      <c r="G2093" s="5" t="s">
        <v>11</v>
      </c>
      <c r="H2093" s="3">
        <v>43805</v>
      </c>
      <c r="I2093" s="5" t="s">
        <v>435</v>
      </c>
      <c r="J2093" s="5">
        <f>_xlfn.XLOOKUP(CustomerCombined[[#This Row],[ID]], Table4[ID], Table4[Recency], "Not Found", 0)</f>
        <v>29</v>
      </c>
      <c r="K2093" s="5">
        <f>_xlfn.XLOOKUP(CustomerCombined[[#This Row],[ID]], Table4[ID], Table4[Teas], "Not Found", 0)</f>
        <v>1942</v>
      </c>
      <c r="L2093" s="5">
        <f>_xlfn.XLOOKUP(CustomerCombined[[#This Row],[ID]], Table4[ID], Table4[Fruits], "Not Found", 0)</f>
        <v>46</v>
      </c>
      <c r="M2093" s="5">
        <f>_xlfn.XLOOKUP(CustomerCombined[[#This Row],[ID]], Table4[ID], Table4[Meats], "Not Found", 0)</f>
        <v>383</v>
      </c>
      <c r="N2093" s="5">
        <f>_xlfn.XLOOKUP(CustomerCombined[[#This Row],[ID]], Table4[ID], Table4[Seafood], "Not Found", 0)</f>
        <v>0</v>
      </c>
      <c r="O2093" s="5">
        <f>_xlfn.XLOOKUP(CustomerCombined[[#This Row],[ID]], Table4[ID], Table4[Sweets], "Not Found", 0)</f>
        <v>21</v>
      </c>
      <c r="P2093" s="5">
        <f>_xlfn.XLOOKUP(CustomerCombined[[#This Row],[ID]], Table4[ID], Table4[Premium], "Not Found", 0)</f>
        <v>526</v>
      </c>
      <c r="Q2093" s="5">
        <f>_xlfn.XLOOKUP(CustomerCombined[[#This Row],[ID]], Table4[ID], Table4[Regular], "Not Found", 0)</f>
        <v>1866</v>
      </c>
      <c r="R2093" s="5">
        <f>_xlfn.XLOOKUP(CustomerCombined[[#This Row],[ID]], Table4[ID], Table4[Deals], "Not Found", 0)</f>
        <v>2</v>
      </c>
      <c r="S2093" s="5">
        <f>_xlfn.XLOOKUP(CustomerCombined[[#This Row],[ID]], Table4[ID], Table4[Website], "Not Found", 0)</f>
        <v>9</v>
      </c>
      <c r="T2093" s="5">
        <f>_xlfn.XLOOKUP(CustomerCombined[[#This Row],[ID]], Table4[ID], Table4[Catalog], "Not Found", 0)</f>
        <v>2</v>
      </c>
      <c r="U2093" s="5">
        <f>_xlfn.XLOOKUP(CustomerCombined[[#This Row],[ID]], Table4[ID], Table4[Store], "Not Found", 0)</f>
        <v>12</v>
      </c>
      <c r="V2093" s="5">
        <f>_xlfn.XLOOKUP(CustomerCombined[[#This Row],[ID]], Table4[ID], Table4[Visits], "Not Found", 0)</f>
        <v>7</v>
      </c>
      <c r="W2093" s="8">
        <f>_xlfn.XLOOKUP(CustomerCombined[[#This Row],[ID]], Table2[ID],Table2[Complaint], "Not Found", 0 )</f>
        <v>0</v>
      </c>
      <c r="X2093" s="8">
        <f>_xlfn.XLOOKUP(CustomerCombined[[#This Row],[ID]], Table2[ID],Table2[Pilot], "Not Found", 0 )</f>
        <v>0</v>
      </c>
      <c r="Y2093" s="8">
        <f>_xlfn.XLOOKUP(CustomerCombined[[#This Row],[ID]], Table2[ID],Table2[MC1], "Not Found", 0 )</f>
        <v>0</v>
      </c>
      <c r="Z2093" s="8">
        <f>_xlfn.XLOOKUP(CustomerCombined[[#This Row],[ID]], Table2[ID],Table2[MC2], "Not Found", 0 )</f>
        <v>0</v>
      </c>
      <c r="AA2093" s="8">
        <f>_xlfn.XLOOKUP(CustomerCombined[[#This Row],[ID]], Table2[ID],Table2[MC3], "Not Found", 0 )</f>
        <v>0</v>
      </c>
      <c r="AB2093" s="8">
        <f>_xlfn.XLOOKUP(CustomerCombined[[#This Row],[ID]], Table2[ID],Table2[MC4], "Not Found", 0 )</f>
        <v>0</v>
      </c>
      <c r="AC2093" s="8">
        <f>_xlfn.XLOOKUP(CustomerCombined[[#This Row],[ID]], Table2[ID],Table2[MC5], "Not Found", 0 )</f>
        <v>0</v>
      </c>
    </row>
    <row r="2094" spans="1:29" x14ac:dyDescent="0.3">
      <c r="A2094" s="6">
        <v>1327</v>
      </c>
      <c r="B2094" s="6">
        <v>159292</v>
      </c>
      <c r="C2094" s="6">
        <v>0</v>
      </c>
      <c r="D2094" s="6">
        <v>1</v>
      </c>
      <c r="E2094" s="6">
        <v>70</v>
      </c>
      <c r="F2094" s="5" t="s">
        <v>8</v>
      </c>
      <c r="G2094" s="5" t="s">
        <v>13</v>
      </c>
      <c r="H2094" s="3" t="s">
        <v>239</v>
      </c>
      <c r="I2094" s="5" t="s">
        <v>437</v>
      </c>
      <c r="J2094" s="5">
        <f>_xlfn.XLOOKUP(CustomerCombined[[#This Row],[ID]], Table4[ID], Table4[Recency], "Not Found", 0)</f>
        <v>71</v>
      </c>
      <c r="K2094" s="5">
        <f>_xlfn.XLOOKUP(CustomerCombined[[#This Row],[ID]], Table4[ID], Table4[Teas], "Not Found", 0)</f>
        <v>1016</v>
      </c>
      <c r="L2094" s="5">
        <f>_xlfn.XLOOKUP(CustomerCombined[[#This Row],[ID]], Table4[ID], Table4[Fruits], "Not Found", 0)</f>
        <v>38</v>
      </c>
      <c r="M2094" s="5">
        <f>_xlfn.XLOOKUP(CustomerCombined[[#This Row],[ID]], Table4[ID], Table4[Meats], "Not Found", 0)</f>
        <v>183</v>
      </c>
      <c r="N2094" s="5">
        <f>_xlfn.XLOOKUP(CustomerCombined[[#This Row],[ID]], Table4[ID], Table4[Seafood], "Not Found", 0)</f>
        <v>51</v>
      </c>
      <c r="O2094" s="5">
        <f>_xlfn.XLOOKUP(CustomerCombined[[#This Row],[ID]], Table4[ID], Table4[Sweets], "Not Found", 0)</f>
        <v>38</v>
      </c>
      <c r="P2094" s="5">
        <f>_xlfn.XLOOKUP(CustomerCombined[[#This Row],[ID]], Table4[ID], Table4[Premium], "Not Found", 0)</f>
        <v>38</v>
      </c>
      <c r="Q2094" s="5">
        <f>_xlfn.XLOOKUP(CustomerCombined[[#This Row],[ID]], Table4[ID], Table4[Regular], "Not Found", 0)</f>
        <v>1287</v>
      </c>
      <c r="R2094" s="5">
        <f>_xlfn.XLOOKUP(CustomerCombined[[#This Row],[ID]], Table4[ID], Table4[Deals], "Not Found", 0)</f>
        <v>2</v>
      </c>
      <c r="S2094" s="5">
        <f>_xlfn.XLOOKUP(CustomerCombined[[#This Row],[ID]], Table4[ID], Table4[Website], "Not Found", 0)</f>
        <v>3</v>
      </c>
      <c r="T2094" s="5">
        <f>_xlfn.XLOOKUP(CustomerCombined[[#This Row],[ID]], Table4[ID], Table4[Catalog], "Not Found", 0)</f>
        <v>5</v>
      </c>
      <c r="U2094" s="5">
        <f>_xlfn.XLOOKUP(CustomerCombined[[#This Row],[ID]], Table4[ID], Table4[Store], "Not Found", 0)</f>
        <v>8</v>
      </c>
      <c r="V2094" s="5">
        <f>_xlfn.XLOOKUP(CustomerCombined[[#This Row],[ID]], Table4[ID], Table4[Visits], "Not Found", 0)</f>
        <v>3</v>
      </c>
      <c r="W2094" s="8">
        <f>_xlfn.XLOOKUP(CustomerCombined[[#This Row],[ID]], Table2[ID],Table2[Complaint], "Not Found", 0 )</f>
        <v>0</v>
      </c>
      <c r="X2094" s="8">
        <f>_xlfn.XLOOKUP(CustomerCombined[[#This Row],[ID]], Table2[ID],Table2[Pilot], "Not Found", 0 )</f>
        <v>0</v>
      </c>
      <c r="Y2094" s="8">
        <f>_xlfn.XLOOKUP(CustomerCombined[[#This Row],[ID]], Table2[ID],Table2[MC1], "Not Found", 0 )</f>
        <v>0</v>
      </c>
      <c r="Z2094" s="8">
        <f>_xlfn.XLOOKUP(CustomerCombined[[#This Row],[ID]], Table2[ID],Table2[MC2], "Not Found", 0 )</f>
        <v>0</v>
      </c>
      <c r="AA2094" s="8">
        <f>_xlfn.XLOOKUP(CustomerCombined[[#This Row],[ID]], Table2[ID],Table2[MC3], "Not Found", 0 )</f>
        <v>0</v>
      </c>
      <c r="AB2094" s="8">
        <f>_xlfn.XLOOKUP(CustomerCombined[[#This Row],[ID]], Table2[ID],Table2[MC4], "Not Found", 0 )</f>
        <v>0</v>
      </c>
      <c r="AC2094" s="8">
        <f>_xlfn.XLOOKUP(CustomerCombined[[#This Row],[ID]], Table2[ID],Table2[MC5], "Not Found", 0 )</f>
        <v>0</v>
      </c>
    </row>
    <row r="2095" spans="1:29" x14ac:dyDescent="0.3">
      <c r="A2095" s="6">
        <v>2874</v>
      </c>
      <c r="B2095" s="6">
        <v>159292</v>
      </c>
      <c r="C2095" s="6">
        <v>0</v>
      </c>
      <c r="D2095" s="6">
        <v>1</v>
      </c>
      <c r="E2095" s="6">
        <v>70</v>
      </c>
      <c r="F2095" s="5" t="s">
        <v>8</v>
      </c>
      <c r="G2095" s="5" t="s">
        <v>13</v>
      </c>
      <c r="H2095" s="3" t="s">
        <v>239</v>
      </c>
      <c r="I2095" s="5" t="s">
        <v>436</v>
      </c>
      <c r="J2095" s="5">
        <f>_xlfn.XLOOKUP(CustomerCombined[[#This Row],[ID]], Table4[ID], Table4[Recency], "Not Found", 0)</f>
        <v>71</v>
      </c>
      <c r="K2095" s="5">
        <f>_xlfn.XLOOKUP(CustomerCombined[[#This Row],[ID]], Table4[ID], Table4[Teas], "Not Found", 0)</f>
        <v>1016</v>
      </c>
      <c r="L2095" s="5">
        <f>_xlfn.XLOOKUP(CustomerCombined[[#This Row],[ID]], Table4[ID], Table4[Fruits], "Not Found", 0)</f>
        <v>38</v>
      </c>
      <c r="M2095" s="5">
        <f>_xlfn.XLOOKUP(CustomerCombined[[#This Row],[ID]], Table4[ID], Table4[Meats], "Not Found", 0)</f>
        <v>183</v>
      </c>
      <c r="N2095" s="5">
        <f>_xlfn.XLOOKUP(CustomerCombined[[#This Row],[ID]], Table4[ID], Table4[Seafood], "Not Found", 0)</f>
        <v>51</v>
      </c>
      <c r="O2095" s="5">
        <f>_xlfn.XLOOKUP(CustomerCombined[[#This Row],[ID]], Table4[ID], Table4[Sweets], "Not Found", 0)</f>
        <v>38</v>
      </c>
      <c r="P2095" s="5">
        <f>_xlfn.XLOOKUP(CustomerCombined[[#This Row],[ID]], Table4[ID], Table4[Premium], "Not Found", 0)</f>
        <v>38</v>
      </c>
      <c r="Q2095" s="5">
        <f>_xlfn.XLOOKUP(CustomerCombined[[#This Row],[ID]], Table4[ID], Table4[Regular], "Not Found", 0)</f>
        <v>1287</v>
      </c>
      <c r="R2095" s="5">
        <f>_xlfn.XLOOKUP(CustomerCombined[[#This Row],[ID]], Table4[ID], Table4[Deals], "Not Found", 0)</f>
        <v>2</v>
      </c>
      <c r="S2095" s="5">
        <f>_xlfn.XLOOKUP(CustomerCombined[[#This Row],[ID]], Table4[ID], Table4[Website], "Not Found", 0)</f>
        <v>3</v>
      </c>
      <c r="T2095" s="5">
        <f>_xlfn.XLOOKUP(CustomerCombined[[#This Row],[ID]], Table4[ID], Table4[Catalog], "Not Found", 0)</f>
        <v>5</v>
      </c>
      <c r="U2095" s="5">
        <f>_xlfn.XLOOKUP(CustomerCombined[[#This Row],[ID]], Table4[ID], Table4[Store], "Not Found", 0)</f>
        <v>8</v>
      </c>
      <c r="V2095" s="5">
        <f>_xlfn.XLOOKUP(CustomerCombined[[#This Row],[ID]], Table4[ID], Table4[Visits], "Not Found", 0)</f>
        <v>3</v>
      </c>
      <c r="W2095" s="8">
        <f>_xlfn.XLOOKUP(CustomerCombined[[#This Row],[ID]], Table2[ID],Table2[Complaint], "Not Found", 0 )</f>
        <v>0</v>
      </c>
      <c r="X2095" s="8">
        <f>_xlfn.XLOOKUP(CustomerCombined[[#This Row],[ID]], Table2[ID],Table2[Pilot], "Not Found", 0 )</f>
        <v>0</v>
      </c>
      <c r="Y2095" s="8">
        <f>_xlfn.XLOOKUP(CustomerCombined[[#This Row],[ID]], Table2[ID],Table2[MC1], "Not Found", 0 )</f>
        <v>0</v>
      </c>
      <c r="Z2095" s="8">
        <f>_xlfn.XLOOKUP(CustomerCombined[[#This Row],[ID]], Table2[ID],Table2[MC2], "Not Found", 0 )</f>
        <v>0</v>
      </c>
      <c r="AA2095" s="8">
        <f>_xlfn.XLOOKUP(CustomerCombined[[#This Row],[ID]], Table2[ID],Table2[MC3], "Not Found", 0 )</f>
        <v>0</v>
      </c>
      <c r="AB2095" s="8">
        <f>_xlfn.XLOOKUP(CustomerCombined[[#This Row],[ID]], Table2[ID],Table2[MC4], "Not Found", 0 )</f>
        <v>0</v>
      </c>
      <c r="AC2095" s="8">
        <f>_xlfn.XLOOKUP(CustomerCombined[[#This Row],[ID]], Table2[ID],Table2[MC5], "Not Found", 0 )</f>
        <v>0</v>
      </c>
    </row>
    <row r="2096" spans="1:29" x14ac:dyDescent="0.3">
      <c r="A2096" s="6">
        <v>2384</v>
      </c>
      <c r="B2096" s="6">
        <v>157045</v>
      </c>
      <c r="C2096" s="6">
        <v>0</v>
      </c>
      <c r="D2096" s="6">
        <v>1</v>
      </c>
      <c r="E2096" s="6">
        <v>70</v>
      </c>
      <c r="F2096" s="5" t="s">
        <v>6</v>
      </c>
      <c r="G2096" s="5" t="s">
        <v>11</v>
      </c>
      <c r="H2096" s="3" t="s">
        <v>401</v>
      </c>
      <c r="I2096" s="5" t="s">
        <v>438</v>
      </c>
      <c r="J2096" s="5">
        <f>_xlfn.XLOOKUP(CustomerCombined[[#This Row],[ID]], Table4[ID], Table4[Recency], "Not Found", 0)</f>
        <v>40</v>
      </c>
      <c r="K2096" s="5">
        <f>_xlfn.XLOOKUP(CustomerCombined[[#This Row],[ID]], Table4[ID], Table4[Teas], "Not Found", 0)</f>
        <v>815</v>
      </c>
      <c r="L2096" s="5">
        <f>_xlfn.XLOOKUP(CustomerCombined[[#This Row],[ID]], Table4[ID], Table4[Fruits], "Not Found", 0)</f>
        <v>36</v>
      </c>
      <c r="M2096" s="5">
        <f>_xlfn.XLOOKUP(CustomerCombined[[#This Row],[ID]], Table4[ID], Table4[Meats], "Not Found", 0)</f>
        <v>286</v>
      </c>
      <c r="N2096" s="5">
        <f>_xlfn.XLOOKUP(CustomerCombined[[#This Row],[ID]], Table4[ID], Table4[Seafood], "Not Found", 0)</f>
        <v>30</v>
      </c>
      <c r="O2096" s="5">
        <f>_xlfn.XLOOKUP(CustomerCombined[[#This Row],[ID]], Table4[ID], Table4[Sweets], "Not Found", 0)</f>
        <v>36</v>
      </c>
      <c r="P2096" s="5">
        <f>_xlfn.XLOOKUP(CustomerCombined[[#This Row],[ID]], Table4[ID], Table4[Premium], "Not Found", 0)</f>
        <v>47</v>
      </c>
      <c r="Q2096" s="5">
        <f>_xlfn.XLOOKUP(CustomerCombined[[#This Row],[ID]], Table4[ID], Table4[Regular], "Not Found", 0)</f>
        <v>1156</v>
      </c>
      <c r="R2096" s="5">
        <f>_xlfn.XLOOKUP(CustomerCombined[[#This Row],[ID]], Table4[ID], Table4[Deals], "Not Found", 0)</f>
        <v>3</v>
      </c>
      <c r="S2096" s="5">
        <f>_xlfn.XLOOKUP(CustomerCombined[[#This Row],[ID]], Table4[ID], Table4[Website], "Not Found", 0)</f>
        <v>4</v>
      </c>
      <c r="T2096" s="5">
        <f>_xlfn.XLOOKUP(CustomerCombined[[#This Row],[ID]], Table4[ID], Table4[Catalog], "Not Found", 0)</f>
        <v>2</v>
      </c>
      <c r="U2096" s="5">
        <f>_xlfn.XLOOKUP(CustomerCombined[[#This Row],[ID]], Table4[ID], Table4[Store], "Not Found", 0)</f>
        <v>9</v>
      </c>
      <c r="V2096" s="5">
        <f>_xlfn.XLOOKUP(CustomerCombined[[#This Row],[ID]], Table4[ID], Table4[Visits], "Not Found", 0)</f>
        <v>3</v>
      </c>
      <c r="W2096" s="8">
        <f>_xlfn.XLOOKUP(CustomerCombined[[#This Row],[ID]], Table2[ID],Table2[Complaint], "Not Found", 0 )</f>
        <v>0</v>
      </c>
      <c r="X2096" s="8">
        <f>_xlfn.XLOOKUP(CustomerCombined[[#This Row],[ID]], Table2[ID],Table2[Pilot], "Not Found", 0 )</f>
        <v>0</v>
      </c>
      <c r="Y2096" s="8">
        <f>_xlfn.XLOOKUP(CustomerCombined[[#This Row],[ID]], Table2[ID],Table2[MC1], "Not Found", 0 )</f>
        <v>0</v>
      </c>
      <c r="Z2096" s="8">
        <f>_xlfn.XLOOKUP(CustomerCombined[[#This Row],[ID]], Table2[ID],Table2[MC2], "Not Found", 0 )</f>
        <v>0</v>
      </c>
      <c r="AA2096" s="8">
        <f>_xlfn.XLOOKUP(CustomerCombined[[#This Row],[ID]], Table2[ID],Table2[MC3], "Not Found", 0 )</f>
        <v>0</v>
      </c>
      <c r="AB2096" s="8">
        <f>_xlfn.XLOOKUP(CustomerCombined[[#This Row],[ID]], Table2[ID],Table2[MC4], "Not Found", 0 )</f>
        <v>0</v>
      </c>
      <c r="AC2096" s="8">
        <f>_xlfn.XLOOKUP(CustomerCombined[[#This Row],[ID]], Table2[ID],Table2[MC5], "Not Found", 0 )</f>
        <v>0</v>
      </c>
    </row>
    <row r="2097" spans="1:29" x14ac:dyDescent="0.3">
      <c r="A2097" s="6">
        <v>2625</v>
      </c>
      <c r="B2097" s="6">
        <v>156551</v>
      </c>
      <c r="C2097" s="6">
        <v>1</v>
      </c>
      <c r="D2097" s="6">
        <v>1</v>
      </c>
      <c r="E2097" s="6">
        <v>70</v>
      </c>
      <c r="F2097" s="5" t="s">
        <v>9</v>
      </c>
      <c r="G2097" s="5" t="s">
        <v>13</v>
      </c>
      <c r="H2097" s="3">
        <v>44145</v>
      </c>
      <c r="I2097" s="5" t="s">
        <v>435</v>
      </c>
      <c r="J2097" s="5">
        <f>_xlfn.XLOOKUP(CustomerCombined[[#This Row],[ID]], Table4[ID], Table4[Recency], "Not Found", 0)</f>
        <v>48</v>
      </c>
      <c r="K2097" s="5">
        <f>_xlfn.XLOOKUP(CustomerCombined[[#This Row],[ID]], Table4[ID], Table4[Teas], "Not Found", 0)</f>
        <v>185</v>
      </c>
      <c r="L2097" s="5">
        <f>_xlfn.XLOOKUP(CustomerCombined[[#This Row],[ID]], Table4[ID], Table4[Fruits], "Not Found", 0)</f>
        <v>11</v>
      </c>
      <c r="M2097" s="5">
        <f>_xlfn.XLOOKUP(CustomerCombined[[#This Row],[ID]], Table4[ID], Table4[Meats], "Not Found", 0)</f>
        <v>89</v>
      </c>
      <c r="N2097" s="5">
        <f>_xlfn.XLOOKUP(CustomerCombined[[#This Row],[ID]], Table4[ID], Table4[Seafood], "Not Found", 0)</f>
        <v>47</v>
      </c>
      <c r="O2097" s="5">
        <f>_xlfn.XLOOKUP(CustomerCombined[[#This Row],[ID]], Table4[ID], Table4[Sweets], "Not Found", 0)</f>
        <v>6</v>
      </c>
      <c r="P2097" s="5">
        <f>_xlfn.XLOOKUP(CustomerCombined[[#This Row],[ID]], Table4[ID], Table4[Premium], "Not Found", 0)</f>
        <v>44</v>
      </c>
      <c r="Q2097" s="5">
        <f>_xlfn.XLOOKUP(CustomerCombined[[#This Row],[ID]], Table4[ID], Table4[Regular], "Not Found", 0)</f>
        <v>293</v>
      </c>
      <c r="R2097" s="5">
        <f>_xlfn.XLOOKUP(CustomerCombined[[#This Row],[ID]], Table4[ID], Table4[Deals], "Not Found", 0)</f>
        <v>3</v>
      </c>
      <c r="S2097" s="5">
        <f>_xlfn.XLOOKUP(CustomerCombined[[#This Row],[ID]], Table4[ID], Table4[Website], "Not Found", 0)</f>
        <v>2</v>
      </c>
      <c r="T2097" s="5">
        <f>_xlfn.XLOOKUP(CustomerCombined[[#This Row],[ID]], Table4[ID], Table4[Catalog], "Not Found", 0)</f>
        <v>1</v>
      </c>
      <c r="U2097" s="5">
        <f>_xlfn.XLOOKUP(CustomerCombined[[#This Row],[ID]], Table4[ID], Table4[Store], "Not Found", 0)</f>
        <v>4</v>
      </c>
      <c r="V2097" s="5">
        <f>_xlfn.XLOOKUP(CustomerCombined[[#This Row],[ID]], Table4[ID], Table4[Visits], "Not Found", 0)</f>
        <v>4</v>
      </c>
      <c r="W2097" s="8">
        <f>_xlfn.XLOOKUP(CustomerCombined[[#This Row],[ID]], Table2[ID],Table2[Complaint], "Not Found", 0 )</f>
        <v>0</v>
      </c>
      <c r="X2097" s="8">
        <f>_xlfn.XLOOKUP(CustomerCombined[[#This Row],[ID]], Table2[ID],Table2[Pilot], "Not Found", 0 )</f>
        <v>0</v>
      </c>
      <c r="Y2097" s="8">
        <f>_xlfn.XLOOKUP(CustomerCombined[[#This Row],[ID]], Table2[ID],Table2[MC1], "Not Found", 0 )</f>
        <v>0</v>
      </c>
      <c r="Z2097" s="8">
        <f>_xlfn.XLOOKUP(CustomerCombined[[#This Row],[ID]], Table2[ID],Table2[MC2], "Not Found", 0 )</f>
        <v>0</v>
      </c>
      <c r="AA2097" s="8">
        <f>_xlfn.XLOOKUP(CustomerCombined[[#This Row],[ID]], Table2[ID],Table2[MC3], "Not Found", 0 )</f>
        <v>0</v>
      </c>
      <c r="AB2097" s="8">
        <f>_xlfn.XLOOKUP(CustomerCombined[[#This Row],[ID]], Table2[ID],Table2[MC4], "Not Found", 0 )</f>
        <v>0</v>
      </c>
      <c r="AC2097" s="8">
        <f>_xlfn.XLOOKUP(CustomerCombined[[#This Row],[ID]], Table2[ID],Table2[MC5], "Not Found", 0 )</f>
        <v>0</v>
      </c>
    </row>
    <row r="2098" spans="1:29" x14ac:dyDescent="0.3">
      <c r="A2098" s="6">
        <v>2934</v>
      </c>
      <c r="B2098" s="6">
        <v>156551</v>
      </c>
      <c r="C2098" s="6">
        <v>1</v>
      </c>
      <c r="D2098" s="6">
        <v>1</v>
      </c>
      <c r="E2098" s="6">
        <v>70</v>
      </c>
      <c r="F2098" s="5" t="s">
        <v>9</v>
      </c>
      <c r="G2098" s="5" t="s">
        <v>13</v>
      </c>
      <c r="H2098" s="3">
        <v>44145</v>
      </c>
      <c r="I2098" s="5" t="s">
        <v>436</v>
      </c>
      <c r="J2098" s="5">
        <f>_xlfn.XLOOKUP(CustomerCombined[[#This Row],[ID]], Table4[ID], Table4[Recency], "Not Found", 0)</f>
        <v>48</v>
      </c>
      <c r="K2098" s="5">
        <f>_xlfn.XLOOKUP(CustomerCombined[[#This Row],[ID]], Table4[ID], Table4[Teas], "Not Found", 0)</f>
        <v>185</v>
      </c>
      <c r="L2098" s="5">
        <f>_xlfn.XLOOKUP(CustomerCombined[[#This Row],[ID]], Table4[ID], Table4[Fruits], "Not Found", 0)</f>
        <v>11</v>
      </c>
      <c r="M2098" s="5">
        <f>_xlfn.XLOOKUP(CustomerCombined[[#This Row],[ID]], Table4[ID], Table4[Meats], "Not Found", 0)</f>
        <v>89</v>
      </c>
      <c r="N2098" s="5">
        <f>_xlfn.XLOOKUP(CustomerCombined[[#This Row],[ID]], Table4[ID], Table4[Seafood], "Not Found", 0)</f>
        <v>47</v>
      </c>
      <c r="O2098" s="5">
        <f>_xlfn.XLOOKUP(CustomerCombined[[#This Row],[ID]], Table4[ID], Table4[Sweets], "Not Found", 0)</f>
        <v>6</v>
      </c>
      <c r="P2098" s="5">
        <f>_xlfn.XLOOKUP(CustomerCombined[[#This Row],[ID]], Table4[ID], Table4[Premium], "Not Found", 0)</f>
        <v>44</v>
      </c>
      <c r="Q2098" s="5">
        <f>_xlfn.XLOOKUP(CustomerCombined[[#This Row],[ID]], Table4[ID], Table4[Regular], "Not Found", 0)</f>
        <v>293</v>
      </c>
      <c r="R2098" s="5">
        <f>_xlfn.XLOOKUP(CustomerCombined[[#This Row],[ID]], Table4[ID], Table4[Deals], "Not Found", 0)</f>
        <v>3</v>
      </c>
      <c r="S2098" s="5">
        <f>_xlfn.XLOOKUP(CustomerCombined[[#This Row],[ID]], Table4[ID], Table4[Website], "Not Found", 0)</f>
        <v>2</v>
      </c>
      <c r="T2098" s="5">
        <f>_xlfn.XLOOKUP(CustomerCombined[[#This Row],[ID]], Table4[ID], Table4[Catalog], "Not Found", 0)</f>
        <v>1</v>
      </c>
      <c r="U2098" s="5">
        <f>_xlfn.XLOOKUP(CustomerCombined[[#This Row],[ID]], Table4[ID], Table4[Store], "Not Found", 0)</f>
        <v>4</v>
      </c>
      <c r="V2098" s="5">
        <f>_xlfn.XLOOKUP(CustomerCombined[[#This Row],[ID]], Table4[ID], Table4[Visits], "Not Found", 0)</f>
        <v>4</v>
      </c>
      <c r="W2098" s="8">
        <f>_xlfn.XLOOKUP(CustomerCombined[[#This Row],[ID]], Table2[ID],Table2[Complaint], "Not Found", 0 )</f>
        <v>0</v>
      </c>
      <c r="X2098" s="8">
        <f>_xlfn.XLOOKUP(CustomerCombined[[#This Row],[ID]], Table2[ID],Table2[Pilot], "Not Found", 0 )</f>
        <v>0</v>
      </c>
      <c r="Y2098" s="8">
        <f>_xlfn.XLOOKUP(CustomerCombined[[#This Row],[ID]], Table2[ID],Table2[MC1], "Not Found", 0 )</f>
        <v>0</v>
      </c>
      <c r="Z2098" s="8">
        <f>_xlfn.XLOOKUP(CustomerCombined[[#This Row],[ID]], Table2[ID],Table2[MC2], "Not Found", 0 )</f>
        <v>0</v>
      </c>
      <c r="AA2098" s="8">
        <f>_xlfn.XLOOKUP(CustomerCombined[[#This Row],[ID]], Table2[ID],Table2[MC3], "Not Found", 0 )</f>
        <v>0</v>
      </c>
      <c r="AB2098" s="8">
        <f>_xlfn.XLOOKUP(CustomerCombined[[#This Row],[ID]], Table2[ID],Table2[MC4], "Not Found", 0 )</f>
        <v>0</v>
      </c>
      <c r="AC2098" s="8">
        <f>_xlfn.XLOOKUP(CustomerCombined[[#This Row],[ID]], Table2[ID],Table2[MC5], "Not Found", 0 )</f>
        <v>0</v>
      </c>
    </row>
    <row r="2099" spans="1:29" x14ac:dyDescent="0.3">
      <c r="A2099" s="6">
        <v>2544</v>
      </c>
      <c r="B2099" s="6">
        <v>155517</v>
      </c>
      <c r="C2099" s="6">
        <v>1</v>
      </c>
      <c r="D2099" s="6">
        <v>1</v>
      </c>
      <c r="E2099" s="6">
        <v>70</v>
      </c>
      <c r="F2099" s="5" t="s">
        <v>6</v>
      </c>
      <c r="G2099" s="5" t="s">
        <v>13</v>
      </c>
      <c r="H2099" s="3">
        <v>43558</v>
      </c>
      <c r="I2099" s="5" t="s">
        <v>436</v>
      </c>
      <c r="J2099" s="5">
        <f>_xlfn.XLOOKUP(CustomerCombined[[#This Row],[ID]], Table4[ID], Table4[Recency], "Not Found", 0)</f>
        <v>53</v>
      </c>
      <c r="K2099" s="5">
        <f>_xlfn.XLOOKUP(CustomerCombined[[#This Row],[ID]], Table4[ID], Table4[Teas], "Not Found", 0)</f>
        <v>1353</v>
      </c>
      <c r="L2099" s="5">
        <f>_xlfn.XLOOKUP(CustomerCombined[[#This Row],[ID]], Table4[ID], Table4[Fruits], "Not Found", 0)</f>
        <v>0</v>
      </c>
      <c r="M2099" s="5">
        <f>_xlfn.XLOOKUP(CustomerCombined[[#This Row],[ID]], Table4[ID], Table4[Meats], "Not Found", 0)</f>
        <v>303</v>
      </c>
      <c r="N2099" s="5">
        <f>_xlfn.XLOOKUP(CustomerCombined[[#This Row],[ID]], Table4[ID], Table4[Seafood], "Not Found", 0)</f>
        <v>0</v>
      </c>
      <c r="O2099" s="5">
        <f>_xlfn.XLOOKUP(CustomerCombined[[#This Row],[ID]], Table4[ID], Table4[Sweets], "Not Found", 0)</f>
        <v>17</v>
      </c>
      <c r="P2099" s="5">
        <f>_xlfn.XLOOKUP(CustomerCombined[[#This Row],[ID]], Table4[ID], Table4[Premium], "Not Found", 0)</f>
        <v>101</v>
      </c>
      <c r="Q2099" s="5">
        <f>_xlfn.XLOOKUP(CustomerCombined[[#This Row],[ID]], Table4[ID], Table4[Regular], "Not Found", 0)</f>
        <v>1572</v>
      </c>
      <c r="R2099" s="5">
        <f>_xlfn.XLOOKUP(CustomerCombined[[#This Row],[ID]], Table4[ID], Table4[Deals], "Not Found", 0)</f>
        <v>5</v>
      </c>
      <c r="S2099" s="5">
        <f>_xlfn.XLOOKUP(CustomerCombined[[#This Row],[ID]], Table4[ID], Table4[Website], "Not Found", 0)</f>
        <v>11</v>
      </c>
      <c r="T2099" s="5">
        <f>_xlfn.XLOOKUP(CustomerCombined[[#This Row],[ID]], Table4[ID], Table4[Catalog], "Not Found", 0)</f>
        <v>1</v>
      </c>
      <c r="U2099" s="5">
        <f>_xlfn.XLOOKUP(CustomerCombined[[#This Row],[ID]], Table4[ID], Table4[Store], "Not Found", 0)</f>
        <v>6</v>
      </c>
      <c r="V2099" s="5">
        <f>_xlfn.XLOOKUP(CustomerCombined[[#This Row],[ID]], Table4[ID], Table4[Visits], "Not Found", 0)</f>
        <v>9</v>
      </c>
      <c r="W2099" s="8">
        <f>_xlfn.XLOOKUP(CustomerCombined[[#This Row],[ID]], Table2[ID],Table2[Complaint], "Not Found", 0 )</f>
        <v>0</v>
      </c>
      <c r="X2099" s="8">
        <f>_xlfn.XLOOKUP(CustomerCombined[[#This Row],[ID]], Table2[ID],Table2[Pilot], "Not Found", 0 )</f>
        <v>1</v>
      </c>
      <c r="Y2099" s="8">
        <f>_xlfn.XLOOKUP(CustomerCombined[[#This Row],[ID]], Table2[ID],Table2[MC1], "Not Found", 0 )</f>
        <v>0</v>
      </c>
      <c r="Z2099" s="8">
        <f>_xlfn.XLOOKUP(CustomerCombined[[#This Row],[ID]], Table2[ID],Table2[MC2], "Not Found", 0 )</f>
        <v>0</v>
      </c>
      <c r="AA2099" s="8">
        <f>_xlfn.XLOOKUP(CustomerCombined[[#This Row],[ID]], Table2[ID],Table2[MC3], "Not Found", 0 )</f>
        <v>0</v>
      </c>
      <c r="AB2099" s="8">
        <f>_xlfn.XLOOKUP(CustomerCombined[[#This Row],[ID]], Table2[ID],Table2[MC4], "Not Found", 0 )</f>
        <v>0</v>
      </c>
      <c r="AC2099" s="8">
        <f>_xlfn.XLOOKUP(CustomerCombined[[#This Row],[ID]], Table2[ID],Table2[MC5], "Not Found", 0 )</f>
        <v>0</v>
      </c>
    </row>
    <row r="2100" spans="1:29" x14ac:dyDescent="0.3">
      <c r="A2100" s="6">
        <v>1313</v>
      </c>
      <c r="B2100" s="6">
        <v>154432</v>
      </c>
      <c r="C2100" s="6">
        <v>2</v>
      </c>
      <c r="D2100" s="6">
        <v>1</v>
      </c>
      <c r="E2100" s="6">
        <v>70</v>
      </c>
      <c r="F2100" s="5" t="s">
        <v>6</v>
      </c>
      <c r="G2100" s="5" t="s">
        <v>13</v>
      </c>
      <c r="H2100" s="3" t="s">
        <v>262</v>
      </c>
      <c r="I2100" s="5" t="s">
        <v>434</v>
      </c>
      <c r="J2100" s="5">
        <f>_xlfn.XLOOKUP(CustomerCombined[[#This Row],[ID]], Table4[ID], Table4[Recency], "Not Found", 0)</f>
        <v>37</v>
      </c>
      <c r="K2100" s="5">
        <f>_xlfn.XLOOKUP(CustomerCombined[[#This Row],[ID]], Table4[ID], Table4[Teas], "Not Found", 0)</f>
        <v>94</v>
      </c>
      <c r="L2100" s="5">
        <f>_xlfn.XLOOKUP(CustomerCombined[[#This Row],[ID]], Table4[ID], Table4[Fruits], "Not Found", 0)</f>
        <v>0</v>
      </c>
      <c r="M2100" s="5">
        <f>_xlfn.XLOOKUP(CustomerCombined[[#This Row],[ID]], Table4[ID], Table4[Meats], "Not Found", 0)</f>
        <v>14</v>
      </c>
      <c r="N2100" s="5">
        <f>_xlfn.XLOOKUP(CustomerCombined[[#This Row],[ID]], Table4[ID], Table4[Seafood], "Not Found", 0)</f>
        <v>0</v>
      </c>
      <c r="O2100" s="5">
        <f>_xlfn.XLOOKUP(CustomerCombined[[#This Row],[ID]], Table4[ID], Table4[Sweets], "Not Found", 0)</f>
        <v>0</v>
      </c>
      <c r="P2100" s="5">
        <f>_xlfn.XLOOKUP(CustomerCombined[[#This Row],[ID]], Table4[ID], Table4[Premium], "Not Found", 0)</f>
        <v>0</v>
      </c>
      <c r="Q2100" s="5">
        <f>_xlfn.XLOOKUP(CustomerCombined[[#This Row],[ID]], Table4[ID], Table4[Regular], "Not Found", 0)</f>
        <v>108</v>
      </c>
      <c r="R2100" s="5">
        <f>_xlfn.XLOOKUP(CustomerCombined[[#This Row],[ID]], Table4[ID], Table4[Deals], "Not Found", 0)</f>
        <v>1</v>
      </c>
      <c r="S2100" s="5">
        <f>_xlfn.XLOOKUP(CustomerCombined[[#This Row],[ID]], Table4[ID], Table4[Website], "Not Found", 0)</f>
        <v>1</v>
      </c>
      <c r="T2100" s="5">
        <f>_xlfn.XLOOKUP(CustomerCombined[[#This Row],[ID]], Table4[ID], Table4[Catalog], "Not Found", 0)</f>
        <v>0</v>
      </c>
      <c r="U2100" s="5">
        <f>_xlfn.XLOOKUP(CustomerCombined[[#This Row],[ID]], Table4[ID], Table4[Store], "Not Found", 0)</f>
        <v>3</v>
      </c>
      <c r="V2100" s="5">
        <f>_xlfn.XLOOKUP(CustomerCombined[[#This Row],[ID]], Table4[ID], Table4[Visits], "Not Found", 0)</f>
        <v>4</v>
      </c>
      <c r="W2100" s="8">
        <f>_xlfn.XLOOKUP(CustomerCombined[[#This Row],[ID]], Table2[ID],Table2[Complaint], "Not Found", 0 )</f>
        <v>0</v>
      </c>
      <c r="X2100" s="8">
        <f>_xlfn.XLOOKUP(CustomerCombined[[#This Row],[ID]], Table2[ID],Table2[Pilot], "Not Found", 0 )</f>
        <v>0</v>
      </c>
      <c r="Y2100" s="8">
        <f>_xlfn.XLOOKUP(CustomerCombined[[#This Row],[ID]], Table2[ID],Table2[MC1], "Not Found", 0 )</f>
        <v>0</v>
      </c>
      <c r="Z2100" s="8">
        <f>_xlfn.XLOOKUP(CustomerCombined[[#This Row],[ID]], Table2[ID],Table2[MC2], "Not Found", 0 )</f>
        <v>0</v>
      </c>
      <c r="AA2100" s="8">
        <f>_xlfn.XLOOKUP(CustomerCombined[[#This Row],[ID]], Table2[ID],Table2[MC3], "Not Found", 0 )</f>
        <v>0</v>
      </c>
      <c r="AB2100" s="8">
        <f>_xlfn.XLOOKUP(CustomerCombined[[#This Row],[ID]], Table2[ID],Table2[MC4], "Not Found", 0 )</f>
        <v>0</v>
      </c>
      <c r="AC2100" s="8">
        <f>_xlfn.XLOOKUP(CustomerCombined[[#This Row],[ID]], Table2[ID],Table2[MC5], "Not Found", 0 )</f>
        <v>0</v>
      </c>
    </row>
    <row r="2101" spans="1:29" x14ac:dyDescent="0.3">
      <c r="A2101" s="6">
        <v>2343</v>
      </c>
      <c r="B2101" s="6">
        <v>152203</v>
      </c>
      <c r="C2101" s="6">
        <v>0</v>
      </c>
      <c r="D2101" s="6">
        <v>0</v>
      </c>
      <c r="E2101" s="6">
        <v>70</v>
      </c>
      <c r="F2101" s="5" t="s">
        <v>8</v>
      </c>
      <c r="G2101" s="5" t="s">
        <v>442</v>
      </c>
      <c r="H2101" s="3">
        <v>43586</v>
      </c>
      <c r="I2101" s="5" t="s">
        <v>435</v>
      </c>
      <c r="J2101" s="5">
        <f>_xlfn.XLOOKUP(CustomerCombined[[#This Row],[ID]], Table4[ID], Table4[Recency], "Not Found", 0)</f>
        <v>36</v>
      </c>
      <c r="K2101" s="5">
        <f>_xlfn.XLOOKUP(CustomerCombined[[#This Row],[ID]], Table4[ID], Table4[Teas], "Not Found", 0)</f>
        <v>1423</v>
      </c>
      <c r="L2101" s="5">
        <f>_xlfn.XLOOKUP(CustomerCombined[[#This Row],[ID]], Table4[ID], Table4[Fruits], "Not Found", 0)</f>
        <v>61</v>
      </c>
      <c r="M2101" s="5">
        <f>_xlfn.XLOOKUP(CustomerCombined[[#This Row],[ID]], Table4[ID], Table4[Meats], "Not Found", 0)</f>
        <v>694</v>
      </c>
      <c r="N2101" s="5">
        <f>_xlfn.XLOOKUP(CustomerCombined[[#This Row],[ID]], Table4[ID], Table4[Seafood], "Not Found", 0)</f>
        <v>163</v>
      </c>
      <c r="O2101" s="5">
        <f>_xlfn.XLOOKUP(CustomerCombined[[#This Row],[ID]], Table4[ID], Table4[Sweets], "Not Found", 0)</f>
        <v>315</v>
      </c>
      <c r="P2101" s="5">
        <f>_xlfn.XLOOKUP(CustomerCombined[[#This Row],[ID]], Table4[ID], Table4[Premium], "Not Found", 0)</f>
        <v>82</v>
      </c>
      <c r="Q2101" s="5">
        <f>_xlfn.XLOOKUP(CustomerCombined[[#This Row],[ID]], Table4[ID], Table4[Regular], "Not Found", 0)</f>
        <v>2574</v>
      </c>
      <c r="R2101" s="5">
        <f>_xlfn.XLOOKUP(CustomerCombined[[#This Row],[ID]], Table4[ID], Table4[Deals], "Not Found", 0)</f>
        <v>1</v>
      </c>
      <c r="S2101" s="5">
        <f>_xlfn.XLOOKUP(CustomerCombined[[#This Row],[ID]], Table4[ID], Table4[Website], "Not Found", 0)</f>
        <v>8</v>
      </c>
      <c r="T2101" s="5">
        <f>_xlfn.XLOOKUP(CustomerCombined[[#This Row],[ID]], Table4[ID], Table4[Catalog], "Not Found", 0)</f>
        <v>7</v>
      </c>
      <c r="U2101" s="5">
        <f>_xlfn.XLOOKUP(CustomerCombined[[#This Row],[ID]], Table4[ID], Table4[Store], "Not Found", 0)</f>
        <v>11</v>
      </c>
      <c r="V2101" s="5">
        <f>_xlfn.XLOOKUP(CustomerCombined[[#This Row],[ID]], Table4[ID], Table4[Visits], "Not Found", 0)</f>
        <v>6</v>
      </c>
      <c r="W2101" s="8">
        <f>_xlfn.XLOOKUP(CustomerCombined[[#This Row],[ID]], Table2[ID],Table2[Complaint], "Not Found", 0 )</f>
        <v>0</v>
      </c>
      <c r="X2101" s="8">
        <f>_xlfn.XLOOKUP(CustomerCombined[[#This Row],[ID]], Table2[ID],Table2[Pilot], "Not Found", 0 )</f>
        <v>0</v>
      </c>
      <c r="Y2101" s="8">
        <f>_xlfn.XLOOKUP(CustomerCombined[[#This Row],[ID]], Table2[ID],Table2[MC1], "Not Found", 0 )</f>
        <v>0</v>
      </c>
      <c r="Z2101" s="8">
        <f>_xlfn.XLOOKUP(CustomerCombined[[#This Row],[ID]], Table2[ID],Table2[MC2], "Not Found", 0 )</f>
        <v>0</v>
      </c>
      <c r="AA2101" s="8">
        <f>_xlfn.XLOOKUP(CustomerCombined[[#This Row],[ID]], Table2[ID],Table2[MC3], "Not Found", 0 )</f>
        <v>0</v>
      </c>
      <c r="AB2101" s="8">
        <f>_xlfn.XLOOKUP(CustomerCombined[[#This Row],[ID]], Table2[ID],Table2[MC4], "Not Found", 0 )</f>
        <v>0</v>
      </c>
      <c r="AC2101" s="8">
        <f>_xlfn.XLOOKUP(CustomerCombined[[#This Row],[ID]], Table2[ID],Table2[MC5], "Not Found", 0 )</f>
        <v>0</v>
      </c>
    </row>
    <row r="2102" spans="1:29" x14ac:dyDescent="0.3">
      <c r="A2102" s="6">
        <v>1549</v>
      </c>
      <c r="B2102" s="6">
        <v>152157</v>
      </c>
      <c r="C2102" s="6">
        <v>0</v>
      </c>
      <c r="D2102" s="6">
        <v>1</v>
      </c>
      <c r="E2102" s="6">
        <v>70</v>
      </c>
      <c r="F2102" s="5" t="s">
        <v>8</v>
      </c>
      <c r="G2102" s="5" t="s">
        <v>13</v>
      </c>
      <c r="H2102" s="3">
        <v>44146</v>
      </c>
      <c r="I2102" s="5" t="s">
        <v>437</v>
      </c>
      <c r="J2102" s="5">
        <f>_xlfn.XLOOKUP(CustomerCombined[[#This Row],[ID]], Table4[ID], Table4[Recency], "Not Found", 0)</f>
        <v>48</v>
      </c>
      <c r="K2102" s="5">
        <f>_xlfn.XLOOKUP(CustomerCombined[[#This Row],[ID]], Table4[ID], Table4[Teas], "Not Found", 0)</f>
        <v>551</v>
      </c>
      <c r="L2102" s="5">
        <f>_xlfn.XLOOKUP(CustomerCombined[[#This Row],[ID]], Table4[ID], Table4[Fruits], "Not Found", 0)</f>
        <v>6</v>
      </c>
      <c r="M2102" s="5">
        <f>_xlfn.XLOOKUP(CustomerCombined[[#This Row],[ID]], Table4[ID], Table4[Meats], "Not Found", 0)</f>
        <v>85</v>
      </c>
      <c r="N2102" s="5">
        <f>_xlfn.XLOOKUP(CustomerCombined[[#This Row],[ID]], Table4[ID], Table4[Seafood], "Not Found", 0)</f>
        <v>9</v>
      </c>
      <c r="O2102" s="5">
        <f>_xlfn.XLOOKUP(CustomerCombined[[#This Row],[ID]], Table4[ID], Table4[Sweets], "Not Found", 0)</f>
        <v>6</v>
      </c>
      <c r="P2102" s="5">
        <f>_xlfn.XLOOKUP(CustomerCombined[[#This Row],[ID]], Table4[ID], Table4[Premium], "Not Found", 0)</f>
        <v>117</v>
      </c>
      <c r="Q2102" s="5">
        <f>_xlfn.XLOOKUP(CustomerCombined[[#This Row],[ID]], Table4[ID], Table4[Regular], "Not Found", 0)</f>
        <v>540</v>
      </c>
      <c r="R2102" s="5">
        <f>_xlfn.XLOOKUP(CustomerCombined[[#This Row],[ID]], Table4[ID], Table4[Deals], "Not Found", 0)</f>
        <v>2</v>
      </c>
      <c r="S2102" s="5">
        <f>_xlfn.XLOOKUP(CustomerCombined[[#This Row],[ID]], Table4[ID], Table4[Website], "Not Found", 0)</f>
        <v>3</v>
      </c>
      <c r="T2102" s="5">
        <f>_xlfn.XLOOKUP(CustomerCombined[[#This Row],[ID]], Table4[ID], Table4[Catalog], "Not Found", 0)</f>
        <v>2</v>
      </c>
      <c r="U2102" s="5">
        <f>_xlfn.XLOOKUP(CustomerCombined[[#This Row],[ID]], Table4[ID], Table4[Store], "Not Found", 0)</f>
        <v>5</v>
      </c>
      <c r="V2102" s="5">
        <f>_xlfn.XLOOKUP(CustomerCombined[[#This Row],[ID]], Table4[ID], Table4[Visits], "Not Found", 0)</f>
        <v>4</v>
      </c>
      <c r="W2102" s="8">
        <f>_xlfn.XLOOKUP(CustomerCombined[[#This Row],[ID]], Table2[ID],Table2[Complaint], "Not Found", 0 )</f>
        <v>0</v>
      </c>
      <c r="X2102" s="8">
        <f>_xlfn.XLOOKUP(CustomerCombined[[#This Row],[ID]], Table2[ID],Table2[Pilot], "Not Found", 0 )</f>
        <v>0</v>
      </c>
      <c r="Y2102" s="8">
        <f>_xlfn.XLOOKUP(CustomerCombined[[#This Row],[ID]], Table2[ID],Table2[MC1], "Not Found", 0 )</f>
        <v>0</v>
      </c>
      <c r="Z2102" s="8">
        <f>_xlfn.XLOOKUP(CustomerCombined[[#This Row],[ID]], Table2[ID],Table2[MC2], "Not Found", 0 )</f>
        <v>0</v>
      </c>
      <c r="AA2102" s="8">
        <f>_xlfn.XLOOKUP(CustomerCombined[[#This Row],[ID]], Table2[ID],Table2[MC3], "Not Found", 0 )</f>
        <v>0</v>
      </c>
      <c r="AB2102" s="8">
        <f>_xlfn.XLOOKUP(CustomerCombined[[#This Row],[ID]], Table2[ID],Table2[MC4], "Not Found", 0 )</f>
        <v>0</v>
      </c>
      <c r="AC2102" s="8">
        <f>_xlfn.XLOOKUP(CustomerCombined[[#This Row],[ID]], Table2[ID],Table2[MC5], "Not Found", 0 )</f>
        <v>0</v>
      </c>
    </row>
    <row r="2103" spans="1:29" x14ac:dyDescent="0.3">
      <c r="A2103" s="6">
        <v>1636</v>
      </c>
      <c r="B2103" s="6">
        <v>150616</v>
      </c>
      <c r="C2103" s="6">
        <v>0</v>
      </c>
      <c r="D2103" s="6">
        <v>1</v>
      </c>
      <c r="E2103" s="6">
        <v>70</v>
      </c>
      <c r="F2103" s="5" t="s">
        <v>8</v>
      </c>
      <c r="G2103" s="5" t="s">
        <v>13</v>
      </c>
      <c r="H2103" s="3" t="s">
        <v>69</v>
      </c>
      <c r="I2103" s="5" t="s">
        <v>439</v>
      </c>
      <c r="J2103" s="5">
        <f>_xlfn.XLOOKUP(CustomerCombined[[#This Row],[ID]], Table4[ID], Table4[Recency], "Not Found", 0)</f>
        <v>71</v>
      </c>
      <c r="K2103" s="5">
        <f>_xlfn.XLOOKUP(CustomerCombined[[#This Row],[ID]], Table4[ID], Table4[Teas], "Not Found", 0)</f>
        <v>89</v>
      </c>
      <c r="L2103" s="5">
        <f>_xlfn.XLOOKUP(CustomerCombined[[#This Row],[ID]], Table4[ID], Table4[Fruits], "Not Found", 0)</f>
        <v>6</v>
      </c>
      <c r="M2103" s="5">
        <f>_xlfn.XLOOKUP(CustomerCombined[[#This Row],[ID]], Table4[ID], Table4[Meats], "Not Found", 0)</f>
        <v>74</v>
      </c>
      <c r="N2103" s="5">
        <f>_xlfn.XLOOKUP(CustomerCombined[[#This Row],[ID]], Table4[ID], Table4[Seafood], "Not Found", 0)</f>
        <v>0</v>
      </c>
      <c r="O2103" s="5">
        <f>_xlfn.XLOOKUP(CustomerCombined[[#This Row],[ID]], Table4[ID], Table4[Sweets], "Not Found", 0)</f>
        <v>3</v>
      </c>
      <c r="P2103" s="5">
        <f>_xlfn.XLOOKUP(CustomerCombined[[#This Row],[ID]], Table4[ID], Table4[Premium], "Not Found", 0)</f>
        <v>27</v>
      </c>
      <c r="Q2103" s="5">
        <f>_xlfn.XLOOKUP(CustomerCombined[[#This Row],[ID]], Table4[ID], Table4[Regular], "Not Found", 0)</f>
        <v>146</v>
      </c>
      <c r="R2103" s="5">
        <f>_xlfn.XLOOKUP(CustomerCombined[[#This Row],[ID]], Table4[ID], Table4[Deals], "Not Found", 0)</f>
        <v>1</v>
      </c>
      <c r="S2103" s="5">
        <f>_xlfn.XLOOKUP(CustomerCombined[[#This Row],[ID]], Table4[ID], Table4[Website], "Not Found", 0)</f>
        <v>1</v>
      </c>
      <c r="T2103" s="5">
        <f>_xlfn.XLOOKUP(CustomerCombined[[#This Row],[ID]], Table4[ID], Table4[Catalog], "Not Found", 0)</f>
        <v>1</v>
      </c>
      <c r="U2103" s="5">
        <f>_xlfn.XLOOKUP(CustomerCombined[[#This Row],[ID]], Table4[ID], Table4[Store], "Not Found", 0)</f>
        <v>4</v>
      </c>
      <c r="V2103" s="5">
        <f>_xlfn.XLOOKUP(CustomerCombined[[#This Row],[ID]], Table4[ID], Table4[Visits], "Not Found", 0)</f>
        <v>2</v>
      </c>
      <c r="W2103" s="8">
        <f>_xlfn.XLOOKUP(CustomerCombined[[#This Row],[ID]], Table2[ID],Table2[Complaint], "Not Found", 0 )</f>
        <v>0</v>
      </c>
      <c r="X2103" s="8">
        <f>_xlfn.XLOOKUP(CustomerCombined[[#This Row],[ID]], Table2[ID],Table2[Pilot], "Not Found", 0 )</f>
        <v>0</v>
      </c>
      <c r="Y2103" s="8">
        <f>_xlfn.XLOOKUP(CustomerCombined[[#This Row],[ID]], Table2[ID],Table2[MC1], "Not Found", 0 )</f>
        <v>0</v>
      </c>
      <c r="Z2103" s="8">
        <f>_xlfn.XLOOKUP(CustomerCombined[[#This Row],[ID]], Table2[ID],Table2[MC2], "Not Found", 0 )</f>
        <v>0</v>
      </c>
      <c r="AA2103" s="8">
        <f>_xlfn.XLOOKUP(CustomerCombined[[#This Row],[ID]], Table2[ID],Table2[MC3], "Not Found", 0 )</f>
        <v>0</v>
      </c>
      <c r="AB2103" s="8">
        <f>_xlfn.XLOOKUP(CustomerCombined[[#This Row],[ID]], Table2[ID],Table2[MC4], "Not Found", 0 )</f>
        <v>0</v>
      </c>
      <c r="AC2103" s="8">
        <f>_xlfn.XLOOKUP(CustomerCombined[[#This Row],[ID]], Table2[ID],Table2[MC5], "Not Found", 0 )</f>
        <v>0</v>
      </c>
    </row>
    <row r="2104" spans="1:29" x14ac:dyDescent="0.3">
      <c r="A2104" s="6">
        <v>1723</v>
      </c>
      <c r="B2104" s="6">
        <v>148767</v>
      </c>
      <c r="C2104" s="6">
        <v>1</v>
      </c>
      <c r="D2104" s="6">
        <v>2</v>
      </c>
      <c r="E2104" s="6">
        <v>70</v>
      </c>
      <c r="F2104" s="5" t="s">
        <v>7</v>
      </c>
      <c r="G2104" s="5" t="s">
        <v>13</v>
      </c>
      <c r="H2104" s="3">
        <v>44018</v>
      </c>
      <c r="I2104" s="5" t="s">
        <v>437</v>
      </c>
      <c r="J2104" s="5">
        <f>_xlfn.XLOOKUP(CustomerCombined[[#This Row],[ID]], Table4[ID], Table4[Recency], "Not Found", 0)</f>
        <v>79</v>
      </c>
      <c r="K2104" s="5">
        <f>_xlfn.XLOOKUP(CustomerCombined[[#This Row],[ID]], Table4[ID], Table4[Teas], "Not Found", 0)</f>
        <v>85</v>
      </c>
      <c r="L2104" s="5">
        <f>_xlfn.XLOOKUP(CustomerCombined[[#This Row],[ID]], Table4[ID], Table4[Fruits], "Not Found", 0)</f>
        <v>3</v>
      </c>
      <c r="M2104" s="5">
        <f>_xlfn.XLOOKUP(CustomerCombined[[#This Row],[ID]], Table4[ID], Table4[Meats], "Not Found", 0)</f>
        <v>64</v>
      </c>
      <c r="N2104" s="5">
        <f>_xlfn.XLOOKUP(CustomerCombined[[#This Row],[ID]], Table4[ID], Table4[Seafood], "Not Found", 0)</f>
        <v>9</v>
      </c>
      <c r="O2104" s="5">
        <f>_xlfn.XLOOKUP(CustomerCombined[[#This Row],[ID]], Table4[ID], Table4[Sweets], "Not Found", 0)</f>
        <v>0</v>
      </c>
      <c r="P2104" s="5">
        <f>_xlfn.XLOOKUP(CustomerCombined[[#This Row],[ID]], Table4[ID], Table4[Premium], "Not Found", 0)</f>
        <v>31</v>
      </c>
      <c r="Q2104" s="5">
        <f>_xlfn.XLOOKUP(CustomerCombined[[#This Row],[ID]], Table4[ID], Table4[Regular], "Not Found", 0)</f>
        <v>131</v>
      </c>
      <c r="R2104" s="5">
        <f>_xlfn.XLOOKUP(CustomerCombined[[#This Row],[ID]], Table4[ID], Table4[Deals], "Not Found", 0)</f>
        <v>3</v>
      </c>
      <c r="S2104" s="5">
        <f>_xlfn.XLOOKUP(CustomerCombined[[#This Row],[ID]], Table4[ID], Table4[Website], "Not Found", 0)</f>
        <v>2</v>
      </c>
      <c r="T2104" s="5">
        <f>_xlfn.XLOOKUP(CustomerCombined[[#This Row],[ID]], Table4[ID], Table4[Catalog], "Not Found", 0)</f>
        <v>1</v>
      </c>
      <c r="U2104" s="5">
        <f>_xlfn.XLOOKUP(CustomerCombined[[#This Row],[ID]], Table4[ID], Table4[Store], "Not Found", 0)</f>
        <v>3</v>
      </c>
      <c r="V2104" s="5">
        <f>_xlfn.XLOOKUP(CustomerCombined[[#This Row],[ID]], Table4[ID], Table4[Visits], "Not Found", 0)</f>
        <v>5</v>
      </c>
      <c r="W2104" s="8">
        <f>_xlfn.XLOOKUP(CustomerCombined[[#This Row],[ID]], Table2[ID],Table2[Complaint], "Not Found", 0 )</f>
        <v>0</v>
      </c>
      <c r="X2104" s="8">
        <f>_xlfn.XLOOKUP(CustomerCombined[[#This Row],[ID]], Table2[ID],Table2[Pilot], "Not Found", 0 )</f>
        <v>0</v>
      </c>
      <c r="Y2104" s="8">
        <f>_xlfn.XLOOKUP(CustomerCombined[[#This Row],[ID]], Table2[ID],Table2[MC1], "Not Found", 0 )</f>
        <v>0</v>
      </c>
      <c r="Z2104" s="8">
        <f>_xlfn.XLOOKUP(CustomerCombined[[#This Row],[ID]], Table2[ID],Table2[MC2], "Not Found", 0 )</f>
        <v>0</v>
      </c>
      <c r="AA2104" s="8">
        <f>_xlfn.XLOOKUP(CustomerCombined[[#This Row],[ID]], Table2[ID],Table2[MC3], "Not Found", 0 )</f>
        <v>0</v>
      </c>
      <c r="AB2104" s="8">
        <f>_xlfn.XLOOKUP(CustomerCombined[[#This Row],[ID]], Table2[ID],Table2[MC4], "Not Found", 0 )</f>
        <v>0</v>
      </c>
      <c r="AC2104" s="8">
        <f>_xlfn.XLOOKUP(CustomerCombined[[#This Row],[ID]], Table2[ID],Table2[MC5], "Not Found", 0 )</f>
        <v>0</v>
      </c>
    </row>
    <row r="2105" spans="1:29" x14ac:dyDescent="0.3">
      <c r="A2105" s="6">
        <v>3064</v>
      </c>
      <c r="B2105" s="6">
        <v>148699</v>
      </c>
      <c r="C2105" s="6">
        <v>1</v>
      </c>
      <c r="D2105" s="6">
        <v>1</v>
      </c>
      <c r="E2105" s="6">
        <v>70</v>
      </c>
      <c r="F2105" s="5" t="s">
        <v>6</v>
      </c>
      <c r="G2105" s="5" t="s">
        <v>13</v>
      </c>
      <c r="H2105" s="3" t="s">
        <v>250</v>
      </c>
      <c r="I2105" s="5" t="s">
        <v>439</v>
      </c>
      <c r="J2105" s="5">
        <f>_xlfn.XLOOKUP(CustomerCombined[[#This Row],[ID]], Table4[ID], Table4[Recency], "Not Found", 0)</f>
        <v>90</v>
      </c>
      <c r="K2105" s="5">
        <f>_xlfn.XLOOKUP(CustomerCombined[[#This Row],[ID]], Table4[ID], Table4[Teas], "Not Found", 0)</f>
        <v>79</v>
      </c>
      <c r="L2105" s="5">
        <f>_xlfn.XLOOKUP(CustomerCombined[[#This Row],[ID]], Table4[ID], Table4[Fruits], "Not Found", 0)</f>
        <v>3</v>
      </c>
      <c r="M2105" s="5">
        <f>_xlfn.XLOOKUP(CustomerCombined[[#This Row],[ID]], Table4[ID], Table4[Meats], "Not Found", 0)</f>
        <v>31</v>
      </c>
      <c r="N2105" s="5">
        <f>_xlfn.XLOOKUP(CustomerCombined[[#This Row],[ID]], Table4[ID], Table4[Seafood], "Not Found", 0)</f>
        <v>6</v>
      </c>
      <c r="O2105" s="5">
        <f>_xlfn.XLOOKUP(CustomerCombined[[#This Row],[ID]], Table4[ID], Table4[Sweets], "Not Found", 0)</f>
        <v>0</v>
      </c>
      <c r="P2105" s="5">
        <f>_xlfn.XLOOKUP(CustomerCombined[[#This Row],[ID]], Table4[ID], Table4[Premium], "Not Found", 0)</f>
        <v>3</v>
      </c>
      <c r="Q2105" s="5">
        <f>_xlfn.XLOOKUP(CustomerCombined[[#This Row],[ID]], Table4[ID], Table4[Regular], "Not Found", 0)</f>
        <v>116</v>
      </c>
      <c r="R2105" s="5">
        <f>_xlfn.XLOOKUP(CustomerCombined[[#This Row],[ID]], Table4[ID], Table4[Deals], "Not Found", 0)</f>
        <v>1</v>
      </c>
      <c r="S2105" s="5">
        <f>_xlfn.XLOOKUP(CustomerCombined[[#This Row],[ID]], Table4[ID], Table4[Website], "Not Found", 0)</f>
        <v>1</v>
      </c>
      <c r="T2105" s="5">
        <f>_xlfn.XLOOKUP(CustomerCombined[[#This Row],[ID]], Table4[ID], Table4[Catalog], "Not Found", 0)</f>
        <v>0</v>
      </c>
      <c r="U2105" s="5">
        <f>_xlfn.XLOOKUP(CustomerCombined[[#This Row],[ID]], Table4[ID], Table4[Store], "Not Found", 0)</f>
        <v>3</v>
      </c>
      <c r="V2105" s="5">
        <f>_xlfn.XLOOKUP(CustomerCombined[[#This Row],[ID]], Table4[ID], Table4[Visits], "Not Found", 0)</f>
        <v>5</v>
      </c>
      <c r="W2105" s="8">
        <f>_xlfn.XLOOKUP(CustomerCombined[[#This Row],[ID]], Table2[ID],Table2[Complaint], "Not Found", 0 )</f>
        <v>0</v>
      </c>
      <c r="X2105" s="8">
        <f>_xlfn.XLOOKUP(CustomerCombined[[#This Row],[ID]], Table2[ID],Table2[Pilot], "Not Found", 0 )</f>
        <v>0</v>
      </c>
      <c r="Y2105" s="8">
        <f>_xlfn.XLOOKUP(CustomerCombined[[#This Row],[ID]], Table2[ID],Table2[MC1], "Not Found", 0 )</f>
        <v>0</v>
      </c>
      <c r="Z2105" s="8">
        <f>_xlfn.XLOOKUP(CustomerCombined[[#This Row],[ID]], Table2[ID],Table2[MC2], "Not Found", 0 )</f>
        <v>0</v>
      </c>
      <c r="AA2105" s="8">
        <f>_xlfn.XLOOKUP(CustomerCombined[[#This Row],[ID]], Table2[ID],Table2[MC3], "Not Found", 0 )</f>
        <v>0</v>
      </c>
      <c r="AB2105" s="8">
        <f>_xlfn.XLOOKUP(CustomerCombined[[#This Row],[ID]], Table2[ID],Table2[MC4], "Not Found", 0 )</f>
        <v>0</v>
      </c>
      <c r="AC2105" s="8">
        <f>_xlfn.XLOOKUP(CustomerCombined[[#This Row],[ID]], Table2[ID],Table2[MC5], "Not Found", 0 )</f>
        <v>0</v>
      </c>
    </row>
    <row r="2106" spans="1:29" x14ac:dyDescent="0.3">
      <c r="A2106" s="6">
        <v>2161</v>
      </c>
      <c r="B2106" s="6">
        <v>148070</v>
      </c>
      <c r="C2106" s="6">
        <v>0</v>
      </c>
      <c r="D2106" s="6">
        <v>1</v>
      </c>
      <c r="E2106" s="6">
        <v>70</v>
      </c>
      <c r="F2106" s="5" t="s">
        <v>8</v>
      </c>
      <c r="G2106" s="5" t="s">
        <v>11</v>
      </c>
      <c r="H2106" s="3" t="s">
        <v>327</v>
      </c>
      <c r="I2106" s="5" t="s">
        <v>437</v>
      </c>
      <c r="J2106" s="5">
        <f>_xlfn.XLOOKUP(CustomerCombined[[#This Row],[ID]], Table4[ID], Table4[Recency], "Not Found", 0)</f>
        <v>33</v>
      </c>
      <c r="K2106" s="5">
        <f>_xlfn.XLOOKUP(CustomerCombined[[#This Row],[ID]], Table4[ID], Table4[Teas], "Not Found", 0)</f>
        <v>1149</v>
      </c>
      <c r="L2106" s="5">
        <f>_xlfn.XLOOKUP(CustomerCombined[[#This Row],[ID]], Table4[ID], Table4[Fruits], "Not Found", 0)</f>
        <v>43</v>
      </c>
      <c r="M2106" s="5">
        <f>_xlfn.XLOOKUP(CustomerCombined[[#This Row],[ID]], Table4[ID], Table4[Meats], "Not Found", 0)</f>
        <v>256</v>
      </c>
      <c r="N2106" s="5">
        <f>_xlfn.XLOOKUP(CustomerCombined[[#This Row],[ID]], Table4[ID], Table4[Seafood], "Not Found", 0)</f>
        <v>18</v>
      </c>
      <c r="O2106" s="5">
        <f>_xlfn.XLOOKUP(CustomerCombined[[#This Row],[ID]], Table4[ID], Table4[Sweets], "Not Found", 0)</f>
        <v>28</v>
      </c>
      <c r="P2106" s="5">
        <f>_xlfn.XLOOKUP(CustomerCombined[[#This Row],[ID]], Table4[ID], Table4[Premium], "Not Found", 0)</f>
        <v>59</v>
      </c>
      <c r="Q2106" s="5">
        <f>_xlfn.XLOOKUP(CustomerCombined[[#This Row],[ID]], Table4[ID], Table4[Regular], "Not Found", 0)</f>
        <v>1435</v>
      </c>
      <c r="R2106" s="5">
        <f>_xlfn.XLOOKUP(CustomerCombined[[#This Row],[ID]], Table4[ID], Table4[Deals], "Not Found", 0)</f>
        <v>3</v>
      </c>
      <c r="S2106" s="5">
        <f>_xlfn.XLOOKUP(CustomerCombined[[#This Row],[ID]], Table4[ID], Table4[Website], "Not Found", 0)</f>
        <v>8</v>
      </c>
      <c r="T2106" s="5">
        <f>_xlfn.XLOOKUP(CustomerCombined[[#This Row],[ID]], Table4[ID], Table4[Catalog], "Not Found", 0)</f>
        <v>2</v>
      </c>
      <c r="U2106" s="5">
        <f>_xlfn.XLOOKUP(CustomerCombined[[#This Row],[ID]], Table4[ID], Table4[Store], "Not Found", 0)</f>
        <v>6</v>
      </c>
      <c r="V2106" s="5">
        <f>_xlfn.XLOOKUP(CustomerCombined[[#This Row],[ID]], Table4[ID], Table4[Visits], "Not Found", 0)</f>
        <v>7</v>
      </c>
      <c r="W2106" s="8">
        <f>_xlfn.XLOOKUP(CustomerCombined[[#This Row],[ID]], Table2[ID],Table2[Complaint], "Not Found", 0 )</f>
        <v>1</v>
      </c>
      <c r="X2106" s="8">
        <f>_xlfn.XLOOKUP(CustomerCombined[[#This Row],[ID]], Table2[ID],Table2[Pilot], "Not Found", 0 )</f>
        <v>0</v>
      </c>
      <c r="Y2106" s="8">
        <f>_xlfn.XLOOKUP(CustomerCombined[[#This Row],[ID]], Table2[ID],Table2[MC1], "Not Found", 0 )</f>
        <v>0</v>
      </c>
      <c r="Z2106" s="8">
        <f>_xlfn.XLOOKUP(CustomerCombined[[#This Row],[ID]], Table2[ID],Table2[MC2], "Not Found", 0 )</f>
        <v>0</v>
      </c>
      <c r="AA2106" s="8">
        <f>_xlfn.XLOOKUP(CustomerCombined[[#This Row],[ID]], Table2[ID],Table2[MC3], "Not Found", 0 )</f>
        <v>0</v>
      </c>
      <c r="AB2106" s="8">
        <f>_xlfn.XLOOKUP(CustomerCombined[[#This Row],[ID]], Table2[ID],Table2[MC4], "Not Found", 0 )</f>
        <v>0</v>
      </c>
      <c r="AC2106" s="8">
        <f>_xlfn.XLOOKUP(CustomerCombined[[#This Row],[ID]], Table2[ID],Table2[MC5], "Not Found", 0 )</f>
        <v>0</v>
      </c>
    </row>
    <row r="2107" spans="1:29" x14ac:dyDescent="0.3">
      <c r="A2107" s="6">
        <v>2467</v>
      </c>
      <c r="B2107" s="6">
        <v>142873</v>
      </c>
      <c r="C2107" s="6">
        <v>1</v>
      </c>
      <c r="D2107" s="6">
        <v>1</v>
      </c>
      <c r="E2107" s="6">
        <v>70</v>
      </c>
      <c r="F2107" s="5" t="s">
        <v>5</v>
      </c>
      <c r="G2107" s="5" t="s">
        <v>13</v>
      </c>
      <c r="H2107" s="3" t="s">
        <v>320</v>
      </c>
      <c r="I2107" s="5" t="s">
        <v>437</v>
      </c>
      <c r="J2107" s="5">
        <f>_xlfn.XLOOKUP(CustomerCombined[[#This Row],[ID]], Table4[ID], Table4[Recency], "Not Found", 0)</f>
        <v>11</v>
      </c>
      <c r="K2107" s="5">
        <f>_xlfn.XLOOKUP(CustomerCombined[[#This Row],[ID]], Table4[ID], Table4[Teas], "Not Found", 0)</f>
        <v>696</v>
      </c>
      <c r="L2107" s="5">
        <f>_xlfn.XLOOKUP(CustomerCombined[[#This Row],[ID]], Table4[ID], Table4[Fruits], "Not Found", 0)</f>
        <v>0</v>
      </c>
      <c r="M2107" s="5">
        <f>_xlfn.XLOOKUP(CustomerCombined[[#This Row],[ID]], Table4[ID], Table4[Meats], "Not Found", 0)</f>
        <v>133</v>
      </c>
      <c r="N2107" s="5">
        <f>_xlfn.XLOOKUP(CustomerCombined[[#This Row],[ID]], Table4[ID], Table4[Seafood], "Not Found", 0)</f>
        <v>10</v>
      </c>
      <c r="O2107" s="5">
        <f>_xlfn.XLOOKUP(CustomerCombined[[#This Row],[ID]], Table4[ID], Table4[Sweets], "Not Found", 0)</f>
        <v>7</v>
      </c>
      <c r="P2107" s="5">
        <f>_xlfn.XLOOKUP(CustomerCombined[[#This Row],[ID]], Table4[ID], Table4[Premium], "Not Found", 0)</f>
        <v>50</v>
      </c>
      <c r="Q2107" s="5">
        <f>_xlfn.XLOOKUP(CustomerCombined[[#This Row],[ID]], Table4[ID], Table4[Regular], "Not Found", 0)</f>
        <v>796</v>
      </c>
      <c r="R2107" s="5">
        <f>_xlfn.XLOOKUP(CustomerCombined[[#This Row],[ID]], Table4[ID], Table4[Deals], "Not Found", 0)</f>
        <v>4</v>
      </c>
      <c r="S2107" s="5">
        <f>_xlfn.XLOOKUP(CustomerCombined[[#This Row],[ID]], Table4[ID], Table4[Website], "Not Found", 0)</f>
        <v>6</v>
      </c>
      <c r="T2107" s="5">
        <f>_xlfn.XLOOKUP(CustomerCombined[[#This Row],[ID]], Table4[ID], Table4[Catalog], "Not Found", 0)</f>
        <v>1</v>
      </c>
      <c r="U2107" s="5">
        <f>_xlfn.XLOOKUP(CustomerCombined[[#This Row],[ID]], Table4[ID], Table4[Store], "Not Found", 0)</f>
        <v>4</v>
      </c>
      <c r="V2107" s="5">
        <f>_xlfn.XLOOKUP(CustomerCombined[[#This Row],[ID]], Table4[ID], Table4[Visits], "Not Found", 0)</f>
        <v>8</v>
      </c>
      <c r="W2107" s="8">
        <f>_xlfn.XLOOKUP(CustomerCombined[[#This Row],[ID]], Table2[ID],Table2[Complaint], "Not Found", 0 )</f>
        <v>0</v>
      </c>
      <c r="X2107" s="8">
        <f>_xlfn.XLOOKUP(CustomerCombined[[#This Row],[ID]], Table2[ID],Table2[Pilot], "Not Found", 0 )</f>
        <v>0</v>
      </c>
      <c r="Y2107" s="8">
        <f>_xlfn.XLOOKUP(CustomerCombined[[#This Row],[ID]], Table2[ID],Table2[MC1], "Not Found", 0 )</f>
        <v>0</v>
      </c>
      <c r="Z2107" s="8">
        <f>_xlfn.XLOOKUP(CustomerCombined[[#This Row],[ID]], Table2[ID],Table2[MC2], "Not Found", 0 )</f>
        <v>0</v>
      </c>
      <c r="AA2107" s="8">
        <f>_xlfn.XLOOKUP(CustomerCombined[[#This Row],[ID]], Table2[ID],Table2[MC3], "Not Found", 0 )</f>
        <v>0</v>
      </c>
      <c r="AB2107" s="8">
        <f>_xlfn.XLOOKUP(CustomerCombined[[#This Row],[ID]], Table2[ID],Table2[MC4], "Not Found", 0 )</f>
        <v>0</v>
      </c>
      <c r="AC2107" s="8">
        <f>_xlfn.XLOOKUP(CustomerCombined[[#This Row],[ID]], Table2[ID],Table2[MC5], "Not Found", 0 )</f>
        <v>0</v>
      </c>
    </row>
    <row r="2108" spans="1:29" x14ac:dyDescent="0.3">
      <c r="A2108" s="6">
        <v>2444</v>
      </c>
      <c r="B2108" s="6">
        <v>141145</v>
      </c>
      <c r="C2108" s="6">
        <v>1</v>
      </c>
      <c r="D2108" s="6">
        <v>1</v>
      </c>
      <c r="E2108" s="6">
        <v>70</v>
      </c>
      <c r="F2108" s="5" t="s">
        <v>6</v>
      </c>
      <c r="G2108" s="5" t="s">
        <v>13</v>
      </c>
      <c r="H2108" s="3" t="s">
        <v>105</v>
      </c>
      <c r="I2108" s="5" t="s">
        <v>438</v>
      </c>
      <c r="J2108" s="5">
        <f>_xlfn.XLOOKUP(CustomerCombined[[#This Row],[ID]], Table4[ID], Table4[Recency], "Not Found", 0)</f>
        <v>20</v>
      </c>
      <c r="K2108" s="5">
        <f>_xlfn.XLOOKUP(CustomerCombined[[#This Row],[ID]], Table4[ID], Table4[Teas], "Not Found", 0)</f>
        <v>31</v>
      </c>
      <c r="L2108" s="5">
        <f>_xlfn.XLOOKUP(CustomerCombined[[#This Row],[ID]], Table4[ID], Table4[Fruits], "Not Found", 0)</f>
        <v>0</v>
      </c>
      <c r="M2108" s="5">
        <f>_xlfn.XLOOKUP(CustomerCombined[[#This Row],[ID]], Table4[ID], Table4[Meats], "Not Found", 0)</f>
        <v>10</v>
      </c>
      <c r="N2108" s="5">
        <f>_xlfn.XLOOKUP(CustomerCombined[[#This Row],[ID]], Table4[ID], Table4[Seafood], "Not Found", 0)</f>
        <v>0</v>
      </c>
      <c r="O2108" s="5">
        <f>_xlfn.XLOOKUP(CustomerCombined[[#This Row],[ID]], Table4[ID], Table4[Sweets], "Not Found", 0)</f>
        <v>0</v>
      </c>
      <c r="P2108" s="5">
        <f>_xlfn.XLOOKUP(CustomerCombined[[#This Row],[ID]], Table4[ID], Table4[Premium], "Not Found", 0)</f>
        <v>3</v>
      </c>
      <c r="Q2108" s="5">
        <f>_xlfn.XLOOKUP(CustomerCombined[[#This Row],[ID]], Table4[ID], Table4[Regular], "Not Found", 0)</f>
        <v>38</v>
      </c>
      <c r="R2108" s="5">
        <f>_xlfn.XLOOKUP(CustomerCombined[[#This Row],[ID]], Table4[ID], Table4[Deals], "Not Found", 0)</f>
        <v>1</v>
      </c>
      <c r="S2108" s="5">
        <f>_xlfn.XLOOKUP(CustomerCombined[[#This Row],[ID]], Table4[ID], Table4[Website], "Not Found", 0)</f>
        <v>0</v>
      </c>
      <c r="T2108" s="5">
        <f>_xlfn.XLOOKUP(CustomerCombined[[#This Row],[ID]], Table4[ID], Table4[Catalog], "Not Found", 0)</f>
        <v>0</v>
      </c>
      <c r="U2108" s="5">
        <f>_xlfn.XLOOKUP(CustomerCombined[[#This Row],[ID]], Table4[ID], Table4[Store], "Not Found", 0)</f>
        <v>3</v>
      </c>
      <c r="V2108" s="5">
        <f>_xlfn.XLOOKUP(CustomerCombined[[#This Row],[ID]], Table4[ID], Table4[Visits], "Not Found", 0)</f>
        <v>3</v>
      </c>
      <c r="W2108" s="8">
        <f>_xlfn.XLOOKUP(CustomerCombined[[#This Row],[ID]], Table2[ID],Table2[Complaint], "Not Found", 0 )</f>
        <v>0</v>
      </c>
      <c r="X2108" s="8">
        <f>_xlfn.XLOOKUP(CustomerCombined[[#This Row],[ID]], Table2[ID],Table2[Pilot], "Not Found", 0 )</f>
        <v>0</v>
      </c>
      <c r="Y2108" s="8">
        <f>_xlfn.XLOOKUP(CustomerCombined[[#This Row],[ID]], Table2[ID],Table2[MC1], "Not Found", 0 )</f>
        <v>0</v>
      </c>
      <c r="Z2108" s="8">
        <f>_xlfn.XLOOKUP(CustomerCombined[[#This Row],[ID]], Table2[ID],Table2[MC2], "Not Found", 0 )</f>
        <v>0</v>
      </c>
      <c r="AA2108" s="8">
        <f>_xlfn.XLOOKUP(CustomerCombined[[#This Row],[ID]], Table2[ID],Table2[MC3], "Not Found", 0 )</f>
        <v>0</v>
      </c>
      <c r="AB2108" s="8">
        <f>_xlfn.XLOOKUP(CustomerCombined[[#This Row],[ID]], Table2[ID],Table2[MC4], "Not Found", 0 )</f>
        <v>0</v>
      </c>
      <c r="AC2108" s="8">
        <f>_xlfn.XLOOKUP(CustomerCombined[[#This Row],[ID]], Table2[ID],Table2[MC5], "Not Found", 0 )</f>
        <v>0</v>
      </c>
    </row>
    <row r="2109" spans="1:29" x14ac:dyDescent="0.3">
      <c r="A2109" s="6">
        <v>3180</v>
      </c>
      <c r="B2109" s="6">
        <v>138054</v>
      </c>
      <c r="C2109" s="6">
        <v>1</v>
      </c>
      <c r="D2109" s="6">
        <v>1</v>
      </c>
      <c r="E2109" s="6">
        <v>70</v>
      </c>
      <c r="F2109" s="5" t="s">
        <v>5</v>
      </c>
      <c r="G2109" s="5" t="s">
        <v>12</v>
      </c>
      <c r="H2109" s="3">
        <v>43961</v>
      </c>
      <c r="I2109" s="5" t="s">
        <v>436</v>
      </c>
      <c r="J2109" s="5">
        <f>_xlfn.XLOOKUP(CustomerCombined[[#This Row],[ID]], Table4[ID], Table4[Recency], "Not Found", 0)</f>
        <v>24</v>
      </c>
      <c r="K2109" s="5">
        <f>_xlfn.XLOOKUP(CustomerCombined[[#This Row],[ID]], Table4[ID], Table4[Teas], "Not Found", 0)</f>
        <v>83</v>
      </c>
      <c r="L2109" s="5">
        <f>_xlfn.XLOOKUP(CustomerCombined[[#This Row],[ID]], Table4[ID], Table4[Fruits], "Not Found", 0)</f>
        <v>7</v>
      </c>
      <c r="M2109" s="5">
        <f>_xlfn.XLOOKUP(CustomerCombined[[#This Row],[ID]], Table4[ID], Table4[Meats], "Not Found", 0)</f>
        <v>62</v>
      </c>
      <c r="N2109" s="5">
        <f>_xlfn.XLOOKUP(CustomerCombined[[#This Row],[ID]], Table4[ID], Table4[Seafood], "Not Found", 0)</f>
        <v>7</v>
      </c>
      <c r="O2109" s="5">
        <f>_xlfn.XLOOKUP(CustomerCombined[[#This Row],[ID]], Table4[ID], Table4[Sweets], "Not Found", 0)</f>
        <v>4</v>
      </c>
      <c r="P2109" s="5">
        <f>_xlfn.XLOOKUP(CustomerCombined[[#This Row],[ID]], Table4[ID], Table4[Premium], "Not Found", 0)</f>
        <v>0</v>
      </c>
      <c r="Q2109" s="5">
        <f>_xlfn.XLOOKUP(CustomerCombined[[#This Row],[ID]], Table4[ID], Table4[Regular], "Not Found", 0)</f>
        <v>163</v>
      </c>
      <c r="R2109" s="5">
        <f>_xlfn.XLOOKUP(CustomerCombined[[#This Row],[ID]], Table4[ID], Table4[Deals], "Not Found", 0)</f>
        <v>2</v>
      </c>
      <c r="S2109" s="5">
        <f>_xlfn.XLOOKUP(CustomerCombined[[#This Row],[ID]], Table4[ID], Table4[Website], "Not Found", 0)</f>
        <v>2</v>
      </c>
      <c r="T2109" s="5">
        <f>_xlfn.XLOOKUP(CustomerCombined[[#This Row],[ID]], Table4[ID], Table4[Catalog], "Not Found", 0)</f>
        <v>0</v>
      </c>
      <c r="U2109" s="5">
        <f>_xlfn.XLOOKUP(CustomerCombined[[#This Row],[ID]], Table4[ID], Table4[Store], "Not Found", 0)</f>
        <v>3</v>
      </c>
      <c r="V2109" s="5">
        <f>_xlfn.XLOOKUP(CustomerCombined[[#This Row],[ID]], Table4[ID], Table4[Visits], "Not Found", 0)</f>
        <v>7</v>
      </c>
      <c r="W2109" s="8">
        <f>_xlfn.XLOOKUP(CustomerCombined[[#This Row],[ID]], Table2[ID],Table2[Complaint], "Not Found", 0 )</f>
        <v>0</v>
      </c>
      <c r="X2109" s="8">
        <f>_xlfn.XLOOKUP(CustomerCombined[[#This Row],[ID]], Table2[ID],Table2[Pilot], "Not Found", 0 )</f>
        <v>0</v>
      </c>
      <c r="Y2109" s="8">
        <f>_xlfn.XLOOKUP(CustomerCombined[[#This Row],[ID]], Table2[ID],Table2[MC1], "Not Found", 0 )</f>
        <v>0</v>
      </c>
      <c r="Z2109" s="8">
        <f>_xlfn.XLOOKUP(CustomerCombined[[#This Row],[ID]], Table2[ID],Table2[MC2], "Not Found", 0 )</f>
        <v>0</v>
      </c>
      <c r="AA2109" s="8">
        <f>_xlfn.XLOOKUP(CustomerCombined[[#This Row],[ID]], Table2[ID],Table2[MC3], "Not Found", 0 )</f>
        <v>0</v>
      </c>
      <c r="AB2109" s="8">
        <f>_xlfn.XLOOKUP(CustomerCombined[[#This Row],[ID]], Table2[ID],Table2[MC4], "Not Found", 0 )</f>
        <v>0</v>
      </c>
      <c r="AC2109" s="8">
        <f>_xlfn.XLOOKUP(CustomerCombined[[#This Row],[ID]], Table2[ID],Table2[MC5], "Not Found", 0 )</f>
        <v>0</v>
      </c>
    </row>
    <row r="2110" spans="1:29" x14ac:dyDescent="0.3">
      <c r="A2110" s="6">
        <v>1821</v>
      </c>
      <c r="B2110" s="6">
        <v>134026</v>
      </c>
      <c r="C2110" s="6">
        <v>1</v>
      </c>
      <c r="D2110" s="6">
        <v>1</v>
      </c>
      <c r="E2110" s="6">
        <v>70</v>
      </c>
      <c r="F2110" s="5" t="s">
        <v>8</v>
      </c>
      <c r="G2110" s="5" t="s">
        <v>11</v>
      </c>
      <c r="H2110" s="3">
        <v>44105</v>
      </c>
      <c r="I2110" s="5" t="s">
        <v>435</v>
      </c>
      <c r="J2110" s="5">
        <f>_xlfn.XLOOKUP(CustomerCombined[[#This Row],[ID]], Table4[ID], Table4[Recency], "Not Found", 0)</f>
        <v>11</v>
      </c>
      <c r="K2110" s="5">
        <f>_xlfn.XLOOKUP(CustomerCombined[[#This Row],[ID]], Table4[ID], Table4[Teas], "Not Found", 0)</f>
        <v>71</v>
      </c>
      <c r="L2110" s="5">
        <f>_xlfn.XLOOKUP(CustomerCombined[[#This Row],[ID]], Table4[ID], Table4[Fruits], "Not Found", 0)</f>
        <v>24</v>
      </c>
      <c r="M2110" s="5">
        <f>_xlfn.XLOOKUP(CustomerCombined[[#This Row],[ID]], Table4[ID], Table4[Meats], "Not Found", 0)</f>
        <v>59</v>
      </c>
      <c r="N2110" s="5">
        <f>_xlfn.XLOOKUP(CustomerCombined[[#This Row],[ID]], Table4[ID], Table4[Seafood], "Not Found", 0)</f>
        <v>47</v>
      </c>
      <c r="O2110" s="5">
        <f>_xlfn.XLOOKUP(CustomerCombined[[#This Row],[ID]], Table4[ID], Table4[Sweets], "Not Found", 0)</f>
        <v>32</v>
      </c>
      <c r="P2110" s="5">
        <f>_xlfn.XLOOKUP(CustomerCombined[[#This Row],[ID]], Table4[ID], Table4[Premium], "Not Found", 0)</f>
        <v>67</v>
      </c>
      <c r="Q2110" s="5">
        <f>_xlfn.XLOOKUP(CustomerCombined[[#This Row],[ID]], Table4[ID], Table4[Regular], "Not Found", 0)</f>
        <v>165</v>
      </c>
      <c r="R2110" s="5">
        <f>_xlfn.XLOOKUP(CustomerCombined[[#This Row],[ID]], Table4[ID], Table4[Deals], "Not Found", 0)</f>
        <v>3</v>
      </c>
      <c r="S2110" s="5">
        <f>_xlfn.XLOOKUP(CustomerCombined[[#This Row],[ID]], Table4[ID], Table4[Website], "Not Found", 0)</f>
        <v>2</v>
      </c>
      <c r="T2110" s="5">
        <f>_xlfn.XLOOKUP(CustomerCombined[[#This Row],[ID]], Table4[ID], Table4[Catalog], "Not Found", 0)</f>
        <v>1</v>
      </c>
      <c r="U2110" s="5">
        <f>_xlfn.XLOOKUP(CustomerCombined[[#This Row],[ID]], Table4[ID], Table4[Store], "Not Found", 0)</f>
        <v>3</v>
      </c>
      <c r="V2110" s="5">
        <f>_xlfn.XLOOKUP(CustomerCombined[[#This Row],[ID]], Table4[ID], Table4[Visits], "Not Found", 0)</f>
        <v>5</v>
      </c>
      <c r="W2110" s="8">
        <f>_xlfn.XLOOKUP(CustomerCombined[[#This Row],[ID]], Table2[ID],Table2[Complaint], "Not Found", 0 )</f>
        <v>0</v>
      </c>
      <c r="X2110" s="8">
        <f>_xlfn.XLOOKUP(CustomerCombined[[#This Row],[ID]], Table2[ID],Table2[Pilot], "Not Found", 0 )</f>
        <v>0</v>
      </c>
      <c r="Y2110" s="8">
        <f>_xlfn.XLOOKUP(CustomerCombined[[#This Row],[ID]], Table2[ID],Table2[MC1], "Not Found", 0 )</f>
        <v>0</v>
      </c>
      <c r="Z2110" s="8">
        <f>_xlfn.XLOOKUP(CustomerCombined[[#This Row],[ID]], Table2[ID],Table2[MC2], "Not Found", 0 )</f>
        <v>0</v>
      </c>
      <c r="AA2110" s="8">
        <f>_xlfn.XLOOKUP(CustomerCombined[[#This Row],[ID]], Table2[ID],Table2[MC3], "Not Found", 0 )</f>
        <v>0</v>
      </c>
      <c r="AB2110" s="8">
        <f>_xlfn.XLOOKUP(CustomerCombined[[#This Row],[ID]], Table2[ID],Table2[MC4], "Not Found", 0 )</f>
        <v>0</v>
      </c>
      <c r="AC2110" s="8">
        <f>_xlfn.XLOOKUP(CustomerCombined[[#This Row],[ID]], Table2[ID],Table2[MC5], "Not Found", 0 )</f>
        <v>0</v>
      </c>
    </row>
    <row r="2111" spans="1:29" x14ac:dyDescent="0.3">
      <c r="A2111" s="6">
        <v>2765</v>
      </c>
      <c r="B2111" s="6">
        <v>134026</v>
      </c>
      <c r="C2111" s="6">
        <v>1</v>
      </c>
      <c r="D2111" s="6">
        <v>1</v>
      </c>
      <c r="E2111" s="6">
        <v>70</v>
      </c>
      <c r="F2111" s="5" t="s">
        <v>8</v>
      </c>
      <c r="G2111" s="5" t="s">
        <v>11</v>
      </c>
      <c r="H2111" s="3">
        <v>44105</v>
      </c>
      <c r="I2111" s="5" t="s">
        <v>434</v>
      </c>
      <c r="J2111" s="5">
        <f>_xlfn.XLOOKUP(CustomerCombined[[#This Row],[ID]], Table4[ID], Table4[Recency], "Not Found", 0)</f>
        <v>11</v>
      </c>
      <c r="K2111" s="5">
        <f>_xlfn.XLOOKUP(CustomerCombined[[#This Row],[ID]], Table4[ID], Table4[Teas], "Not Found", 0)</f>
        <v>71</v>
      </c>
      <c r="L2111" s="5">
        <f>_xlfn.XLOOKUP(CustomerCombined[[#This Row],[ID]], Table4[ID], Table4[Fruits], "Not Found", 0)</f>
        <v>24</v>
      </c>
      <c r="M2111" s="5">
        <f>_xlfn.XLOOKUP(CustomerCombined[[#This Row],[ID]], Table4[ID], Table4[Meats], "Not Found", 0)</f>
        <v>59</v>
      </c>
      <c r="N2111" s="5">
        <f>_xlfn.XLOOKUP(CustomerCombined[[#This Row],[ID]], Table4[ID], Table4[Seafood], "Not Found", 0)</f>
        <v>47</v>
      </c>
      <c r="O2111" s="5">
        <f>_xlfn.XLOOKUP(CustomerCombined[[#This Row],[ID]], Table4[ID], Table4[Sweets], "Not Found", 0)</f>
        <v>32</v>
      </c>
      <c r="P2111" s="5">
        <f>_xlfn.XLOOKUP(CustomerCombined[[#This Row],[ID]], Table4[ID], Table4[Premium], "Not Found", 0)</f>
        <v>67</v>
      </c>
      <c r="Q2111" s="5">
        <f>_xlfn.XLOOKUP(CustomerCombined[[#This Row],[ID]], Table4[ID], Table4[Regular], "Not Found", 0)</f>
        <v>165</v>
      </c>
      <c r="R2111" s="5">
        <f>_xlfn.XLOOKUP(CustomerCombined[[#This Row],[ID]], Table4[ID], Table4[Deals], "Not Found", 0)</f>
        <v>3</v>
      </c>
      <c r="S2111" s="5">
        <f>_xlfn.XLOOKUP(CustomerCombined[[#This Row],[ID]], Table4[ID], Table4[Website], "Not Found", 0)</f>
        <v>2</v>
      </c>
      <c r="T2111" s="5">
        <f>_xlfn.XLOOKUP(CustomerCombined[[#This Row],[ID]], Table4[ID], Table4[Catalog], "Not Found", 0)</f>
        <v>1</v>
      </c>
      <c r="U2111" s="5">
        <f>_xlfn.XLOOKUP(CustomerCombined[[#This Row],[ID]], Table4[ID], Table4[Store], "Not Found", 0)</f>
        <v>3</v>
      </c>
      <c r="V2111" s="5">
        <f>_xlfn.XLOOKUP(CustomerCombined[[#This Row],[ID]], Table4[ID], Table4[Visits], "Not Found", 0)</f>
        <v>5</v>
      </c>
      <c r="W2111" s="8">
        <f>_xlfn.XLOOKUP(CustomerCombined[[#This Row],[ID]], Table2[ID],Table2[Complaint], "Not Found", 0 )</f>
        <v>0</v>
      </c>
      <c r="X2111" s="8">
        <f>_xlfn.XLOOKUP(CustomerCombined[[#This Row],[ID]], Table2[ID],Table2[Pilot], "Not Found", 0 )</f>
        <v>0</v>
      </c>
      <c r="Y2111" s="8">
        <f>_xlfn.XLOOKUP(CustomerCombined[[#This Row],[ID]], Table2[ID],Table2[MC1], "Not Found", 0 )</f>
        <v>0</v>
      </c>
      <c r="Z2111" s="8">
        <f>_xlfn.XLOOKUP(CustomerCombined[[#This Row],[ID]], Table2[ID],Table2[MC2], "Not Found", 0 )</f>
        <v>0</v>
      </c>
      <c r="AA2111" s="8">
        <f>_xlfn.XLOOKUP(CustomerCombined[[#This Row],[ID]], Table2[ID],Table2[MC3], "Not Found", 0 )</f>
        <v>0</v>
      </c>
      <c r="AB2111" s="8">
        <f>_xlfn.XLOOKUP(CustomerCombined[[#This Row],[ID]], Table2[ID],Table2[MC4], "Not Found", 0 )</f>
        <v>0</v>
      </c>
      <c r="AC2111" s="8">
        <f>_xlfn.XLOOKUP(CustomerCombined[[#This Row],[ID]], Table2[ID],Table2[MC5], "Not Found", 0 )</f>
        <v>0</v>
      </c>
    </row>
    <row r="2112" spans="1:29" x14ac:dyDescent="0.3">
      <c r="A2112" s="6">
        <v>2916</v>
      </c>
      <c r="B2112" s="6">
        <v>128320</v>
      </c>
      <c r="C2112" s="6">
        <v>0</v>
      </c>
      <c r="D2112" s="6">
        <v>1</v>
      </c>
      <c r="E2112" s="6">
        <v>70</v>
      </c>
      <c r="F2112" s="5" t="s">
        <v>8</v>
      </c>
      <c r="G2112" s="5" t="s">
        <v>11</v>
      </c>
      <c r="H2112" s="3" t="s">
        <v>326</v>
      </c>
      <c r="I2112" s="5" t="s">
        <v>436</v>
      </c>
      <c r="J2112" s="5">
        <f>_xlfn.XLOOKUP(CustomerCombined[[#This Row],[ID]], Table4[ID], Table4[Recency], "Not Found", 0)</f>
        <v>68</v>
      </c>
      <c r="K2112" s="5">
        <f>_xlfn.XLOOKUP(CustomerCombined[[#This Row],[ID]], Table4[ID], Table4[Teas], "Not Found", 0)</f>
        <v>86</v>
      </c>
      <c r="L2112" s="5">
        <f>_xlfn.XLOOKUP(CustomerCombined[[#This Row],[ID]], Table4[ID], Table4[Fruits], "Not Found", 0)</f>
        <v>5</v>
      </c>
      <c r="M2112" s="5">
        <f>_xlfn.XLOOKUP(CustomerCombined[[#This Row],[ID]], Table4[ID], Table4[Meats], "Not Found", 0)</f>
        <v>63</v>
      </c>
      <c r="N2112" s="5">
        <f>_xlfn.XLOOKUP(CustomerCombined[[#This Row],[ID]], Table4[ID], Table4[Seafood], "Not Found", 0)</f>
        <v>14</v>
      </c>
      <c r="O2112" s="5">
        <f>_xlfn.XLOOKUP(CustomerCombined[[#This Row],[ID]], Table4[ID], Table4[Sweets], "Not Found", 0)</f>
        <v>9</v>
      </c>
      <c r="P2112" s="5">
        <f>_xlfn.XLOOKUP(CustomerCombined[[#This Row],[ID]], Table4[ID], Table4[Premium], "Not Found", 0)</f>
        <v>18</v>
      </c>
      <c r="Q2112" s="5">
        <f>_xlfn.XLOOKUP(CustomerCombined[[#This Row],[ID]], Table4[ID], Table4[Regular], "Not Found", 0)</f>
        <v>159</v>
      </c>
      <c r="R2112" s="5">
        <f>_xlfn.XLOOKUP(CustomerCombined[[#This Row],[ID]], Table4[ID], Table4[Deals], "Not Found", 0)</f>
        <v>1</v>
      </c>
      <c r="S2112" s="5">
        <f>_xlfn.XLOOKUP(CustomerCombined[[#This Row],[ID]], Table4[ID], Table4[Website], "Not Found", 0)</f>
        <v>1</v>
      </c>
      <c r="T2112" s="5">
        <f>_xlfn.XLOOKUP(CustomerCombined[[#This Row],[ID]], Table4[ID], Table4[Catalog], "Not Found", 0)</f>
        <v>0</v>
      </c>
      <c r="U2112" s="5">
        <f>_xlfn.XLOOKUP(CustomerCombined[[#This Row],[ID]], Table4[ID], Table4[Store], "Not Found", 0)</f>
        <v>3</v>
      </c>
      <c r="V2112" s="5">
        <f>_xlfn.XLOOKUP(CustomerCombined[[#This Row],[ID]], Table4[ID], Table4[Visits], "Not Found", 0)</f>
        <v>8</v>
      </c>
      <c r="W2112" s="8">
        <f>_xlfn.XLOOKUP(CustomerCombined[[#This Row],[ID]], Table2[ID],Table2[Complaint], "Not Found", 0 )</f>
        <v>0</v>
      </c>
      <c r="X2112" s="8">
        <f>_xlfn.XLOOKUP(CustomerCombined[[#This Row],[ID]], Table2[ID],Table2[Pilot], "Not Found", 0 )</f>
        <v>0</v>
      </c>
      <c r="Y2112" s="8">
        <f>_xlfn.XLOOKUP(CustomerCombined[[#This Row],[ID]], Table2[ID],Table2[MC1], "Not Found", 0 )</f>
        <v>0</v>
      </c>
      <c r="Z2112" s="8">
        <f>_xlfn.XLOOKUP(CustomerCombined[[#This Row],[ID]], Table2[ID],Table2[MC2], "Not Found", 0 )</f>
        <v>0</v>
      </c>
      <c r="AA2112" s="8">
        <f>_xlfn.XLOOKUP(CustomerCombined[[#This Row],[ID]], Table2[ID],Table2[MC3], "Not Found", 0 )</f>
        <v>0</v>
      </c>
      <c r="AB2112" s="8">
        <f>_xlfn.XLOOKUP(CustomerCombined[[#This Row],[ID]], Table2[ID],Table2[MC4], "Not Found", 0 )</f>
        <v>0</v>
      </c>
      <c r="AC2112" s="8">
        <f>_xlfn.XLOOKUP(CustomerCombined[[#This Row],[ID]], Table2[ID],Table2[MC5], "Not Found", 0 )</f>
        <v>0</v>
      </c>
    </row>
    <row r="2113" spans="1:29" x14ac:dyDescent="0.3">
      <c r="A2113" s="6">
        <v>1484</v>
      </c>
      <c r="B2113" s="6">
        <v>127203</v>
      </c>
      <c r="C2113" s="6">
        <v>1</v>
      </c>
      <c r="D2113" s="6">
        <v>1</v>
      </c>
      <c r="E2113" s="6">
        <v>70</v>
      </c>
      <c r="F2113" s="5" t="s">
        <v>8</v>
      </c>
      <c r="G2113" s="5" t="s">
        <v>11</v>
      </c>
      <c r="H2113" s="3">
        <v>43770</v>
      </c>
      <c r="I2113" s="5" t="s">
        <v>438</v>
      </c>
      <c r="J2113" s="5">
        <f>_xlfn.XLOOKUP(CustomerCombined[[#This Row],[ID]], Table4[ID], Table4[Recency], "Not Found", 0)</f>
        <v>92</v>
      </c>
      <c r="K2113" s="5">
        <f>_xlfn.XLOOKUP(CustomerCombined[[#This Row],[ID]], Table4[ID], Table4[Teas], "Not Found", 0)</f>
        <v>61</v>
      </c>
      <c r="L2113" s="5">
        <f>_xlfn.XLOOKUP(CustomerCombined[[#This Row],[ID]], Table4[ID], Table4[Fruits], "Not Found", 0)</f>
        <v>9</v>
      </c>
      <c r="M2113" s="5">
        <f>_xlfn.XLOOKUP(CustomerCombined[[#This Row],[ID]], Table4[ID], Table4[Meats], "Not Found", 0)</f>
        <v>98</v>
      </c>
      <c r="N2113" s="5">
        <f>_xlfn.XLOOKUP(CustomerCombined[[#This Row],[ID]], Table4[ID], Table4[Seafood], "Not Found", 0)</f>
        <v>19</v>
      </c>
      <c r="O2113" s="5">
        <f>_xlfn.XLOOKUP(CustomerCombined[[#This Row],[ID]], Table4[ID], Table4[Sweets], "Not Found", 0)</f>
        <v>0</v>
      </c>
      <c r="P2113" s="5">
        <f>_xlfn.XLOOKUP(CustomerCombined[[#This Row],[ID]], Table4[ID], Table4[Premium], "Not Found", 0)</f>
        <v>112</v>
      </c>
      <c r="Q2113" s="5">
        <f>_xlfn.XLOOKUP(CustomerCombined[[#This Row],[ID]], Table4[ID], Table4[Regular], "Not Found", 0)</f>
        <v>75</v>
      </c>
      <c r="R2113" s="5">
        <f>_xlfn.XLOOKUP(CustomerCombined[[#This Row],[ID]], Table4[ID], Table4[Deals], "Not Found", 0)</f>
        <v>2</v>
      </c>
      <c r="S2113" s="5">
        <f>_xlfn.XLOOKUP(CustomerCombined[[#This Row],[ID]], Table4[ID], Table4[Website], "Not Found", 0)</f>
        <v>1</v>
      </c>
      <c r="T2113" s="5">
        <f>_xlfn.XLOOKUP(CustomerCombined[[#This Row],[ID]], Table4[ID], Table4[Catalog], "Not Found", 0)</f>
        <v>1</v>
      </c>
      <c r="U2113" s="5">
        <f>_xlfn.XLOOKUP(CustomerCombined[[#This Row],[ID]], Table4[ID], Table4[Store], "Not Found", 0)</f>
        <v>2</v>
      </c>
      <c r="V2113" s="5">
        <f>_xlfn.XLOOKUP(CustomerCombined[[#This Row],[ID]], Table4[ID], Table4[Visits], "Not Found", 0)</f>
        <v>8</v>
      </c>
      <c r="W2113" s="8">
        <f>_xlfn.XLOOKUP(CustomerCombined[[#This Row],[ID]], Table2[ID],Table2[Complaint], "Not Found", 0 )</f>
        <v>0</v>
      </c>
      <c r="X2113" s="8">
        <f>_xlfn.XLOOKUP(CustomerCombined[[#This Row],[ID]], Table2[ID],Table2[Pilot], "Not Found", 0 )</f>
        <v>0</v>
      </c>
      <c r="Y2113" s="8">
        <f>_xlfn.XLOOKUP(CustomerCombined[[#This Row],[ID]], Table2[ID],Table2[MC1], "Not Found", 0 )</f>
        <v>0</v>
      </c>
      <c r="Z2113" s="8">
        <f>_xlfn.XLOOKUP(CustomerCombined[[#This Row],[ID]], Table2[ID],Table2[MC2], "Not Found", 0 )</f>
        <v>0</v>
      </c>
      <c r="AA2113" s="8">
        <f>_xlfn.XLOOKUP(CustomerCombined[[#This Row],[ID]], Table2[ID],Table2[MC3], "Not Found", 0 )</f>
        <v>0</v>
      </c>
      <c r="AB2113" s="8">
        <f>_xlfn.XLOOKUP(CustomerCombined[[#This Row],[ID]], Table2[ID],Table2[MC4], "Not Found", 0 )</f>
        <v>0</v>
      </c>
      <c r="AC2113" s="8">
        <f>_xlfn.XLOOKUP(CustomerCombined[[#This Row],[ID]], Table2[ID],Table2[MC5], "Not Found", 0 )</f>
        <v>0</v>
      </c>
    </row>
    <row r="2114" spans="1:29" x14ac:dyDescent="0.3">
      <c r="A2114" s="6">
        <v>1773</v>
      </c>
      <c r="B2114" s="6">
        <v>116813</v>
      </c>
      <c r="C2114" s="6">
        <v>0</v>
      </c>
      <c r="D2114" s="6">
        <v>0</v>
      </c>
      <c r="E2114" s="6">
        <v>70</v>
      </c>
      <c r="F2114" s="5" t="s">
        <v>7</v>
      </c>
      <c r="G2114" s="5" t="s">
        <v>11</v>
      </c>
      <c r="H2114" s="3" t="s">
        <v>217</v>
      </c>
      <c r="I2114" s="5" t="s">
        <v>435</v>
      </c>
      <c r="J2114" s="5">
        <f>_xlfn.XLOOKUP(CustomerCombined[[#This Row],[ID]], Table4[ID], Table4[Recency], "Not Found", 0)</f>
        <v>49</v>
      </c>
      <c r="K2114" s="5">
        <f>_xlfn.XLOOKUP(CustomerCombined[[#This Row],[ID]], Table4[ID], Table4[Teas], "Not Found", 0)</f>
        <v>28</v>
      </c>
      <c r="L2114" s="5">
        <f>_xlfn.XLOOKUP(CustomerCombined[[#This Row],[ID]], Table4[ID], Table4[Fruits], "Not Found", 0)</f>
        <v>56</v>
      </c>
      <c r="M2114" s="5">
        <f>_xlfn.XLOOKUP(CustomerCombined[[#This Row],[ID]], Table4[ID], Table4[Meats], "Not Found", 0)</f>
        <v>76</v>
      </c>
      <c r="N2114" s="5">
        <f>_xlfn.XLOOKUP(CustomerCombined[[#This Row],[ID]], Table4[ID], Table4[Seafood], "Not Found", 0)</f>
        <v>83</v>
      </c>
      <c r="O2114" s="5">
        <f>_xlfn.XLOOKUP(CustomerCombined[[#This Row],[ID]], Table4[ID], Table4[Sweets], "Not Found", 0)</f>
        <v>14</v>
      </c>
      <c r="P2114" s="5">
        <f>_xlfn.XLOOKUP(CustomerCombined[[#This Row],[ID]], Table4[ID], Table4[Premium], "Not Found", 0)</f>
        <v>90</v>
      </c>
      <c r="Q2114" s="5">
        <f>_xlfn.XLOOKUP(CustomerCombined[[#This Row],[ID]], Table4[ID], Table4[Regular], "Not Found", 0)</f>
        <v>167</v>
      </c>
      <c r="R2114" s="5">
        <f>_xlfn.XLOOKUP(CustomerCombined[[#This Row],[ID]], Table4[ID], Table4[Deals], "Not Found", 0)</f>
        <v>1</v>
      </c>
      <c r="S2114" s="5">
        <f>_xlfn.XLOOKUP(CustomerCombined[[#This Row],[ID]], Table4[ID], Table4[Website], "Not Found", 0)</f>
        <v>2</v>
      </c>
      <c r="T2114" s="5">
        <f>_xlfn.XLOOKUP(CustomerCombined[[#This Row],[ID]], Table4[ID], Table4[Catalog], "Not Found", 0)</f>
        <v>0</v>
      </c>
      <c r="U2114" s="5">
        <f>_xlfn.XLOOKUP(CustomerCombined[[#This Row],[ID]], Table4[ID], Table4[Store], "Not Found", 0)</f>
        <v>3</v>
      </c>
      <c r="V2114" s="5">
        <f>_xlfn.XLOOKUP(CustomerCombined[[#This Row],[ID]], Table4[ID], Table4[Visits], "Not Found", 0)</f>
        <v>7</v>
      </c>
      <c r="W2114" s="8">
        <f>_xlfn.XLOOKUP(CustomerCombined[[#This Row],[ID]], Table2[ID],Table2[Complaint], "Not Found", 0 )</f>
        <v>0</v>
      </c>
      <c r="X2114" s="8">
        <f>_xlfn.XLOOKUP(CustomerCombined[[#This Row],[ID]], Table2[ID],Table2[Pilot], "Not Found", 0 )</f>
        <v>0</v>
      </c>
      <c r="Y2114" s="8">
        <f>_xlfn.XLOOKUP(CustomerCombined[[#This Row],[ID]], Table2[ID],Table2[MC1], "Not Found", 0 )</f>
        <v>0</v>
      </c>
      <c r="Z2114" s="8">
        <f>_xlfn.XLOOKUP(CustomerCombined[[#This Row],[ID]], Table2[ID],Table2[MC2], "Not Found", 0 )</f>
        <v>0</v>
      </c>
      <c r="AA2114" s="8">
        <f>_xlfn.XLOOKUP(CustomerCombined[[#This Row],[ID]], Table2[ID],Table2[MC3], "Not Found", 0 )</f>
        <v>1</v>
      </c>
      <c r="AB2114" s="8">
        <f>_xlfn.XLOOKUP(CustomerCombined[[#This Row],[ID]], Table2[ID],Table2[MC4], "Not Found", 0 )</f>
        <v>0</v>
      </c>
      <c r="AC2114" s="8">
        <f>_xlfn.XLOOKUP(CustomerCombined[[#This Row],[ID]], Table2[ID],Table2[MC5], "Not Found", 0 )</f>
        <v>0</v>
      </c>
    </row>
    <row r="2115" spans="1:29" x14ac:dyDescent="0.3">
      <c r="A2115" s="6">
        <v>1010</v>
      </c>
      <c r="B2115" s="6">
        <v>105648</v>
      </c>
      <c r="C2115" s="6">
        <v>1</v>
      </c>
      <c r="D2115" s="6">
        <v>1</v>
      </c>
      <c r="E2115" s="6">
        <v>70</v>
      </c>
      <c r="F2115" s="5" t="s">
        <v>8</v>
      </c>
      <c r="G2115" s="5" t="s">
        <v>13</v>
      </c>
      <c r="H2115" s="3" t="s">
        <v>86</v>
      </c>
      <c r="I2115" s="5" t="s">
        <v>438</v>
      </c>
      <c r="J2115" s="5">
        <f>_xlfn.XLOOKUP(CustomerCombined[[#This Row],[ID]], Table4[ID], Table4[Recency], "Not Found", 0)</f>
        <v>68</v>
      </c>
      <c r="K2115" s="5">
        <f>_xlfn.XLOOKUP(CustomerCombined[[#This Row],[ID]], Table4[ID], Table4[Teas], "Not Found", 0)</f>
        <v>524</v>
      </c>
      <c r="L2115" s="5">
        <f>_xlfn.XLOOKUP(CustomerCombined[[#This Row],[ID]], Table4[ID], Table4[Fruits], "Not Found", 0)</f>
        <v>0</v>
      </c>
      <c r="M2115" s="5">
        <f>_xlfn.XLOOKUP(CustomerCombined[[#This Row],[ID]], Table4[ID], Table4[Meats], "Not Found", 0)</f>
        <v>112</v>
      </c>
      <c r="N2115" s="5">
        <f>_xlfn.XLOOKUP(CustomerCombined[[#This Row],[ID]], Table4[ID], Table4[Seafood], "Not Found", 0)</f>
        <v>19</v>
      </c>
      <c r="O2115" s="5">
        <f>_xlfn.XLOOKUP(CustomerCombined[[#This Row],[ID]], Table4[ID], Table4[Sweets], "Not Found", 0)</f>
        <v>19</v>
      </c>
      <c r="P2115" s="5">
        <f>_xlfn.XLOOKUP(CustomerCombined[[#This Row],[ID]], Table4[ID], Table4[Premium], "Not Found", 0)</f>
        <v>243</v>
      </c>
      <c r="Q2115" s="5">
        <f>_xlfn.XLOOKUP(CustomerCombined[[#This Row],[ID]], Table4[ID], Table4[Regular], "Not Found", 0)</f>
        <v>430</v>
      </c>
      <c r="R2115" s="5">
        <f>_xlfn.XLOOKUP(CustomerCombined[[#This Row],[ID]], Table4[ID], Table4[Deals], "Not Found", 0)</f>
        <v>1</v>
      </c>
      <c r="S2115" s="5">
        <f>_xlfn.XLOOKUP(CustomerCombined[[#This Row],[ID]], Table4[ID], Table4[Website], "Not Found", 0)</f>
        <v>1</v>
      </c>
      <c r="T2115" s="5">
        <f>_xlfn.XLOOKUP(CustomerCombined[[#This Row],[ID]], Table4[ID], Table4[Catalog], "Not Found", 0)</f>
        <v>0</v>
      </c>
      <c r="U2115" s="5">
        <f>_xlfn.XLOOKUP(CustomerCombined[[#This Row],[ID]], Table4[ID], Table4[Store], "Not Found", 0)</f>
        <v>0</v>
      </c>
      <c r="V2115" s="5">
        <f>_xlfn.XLOOKUP(CustomerCombined[[#This Row],[ID]], Table4[ID], Table4[Visits], "Not Found", 0)</f>
        <v>20</v>
      </c>
      <c r="W2115" s="8">
        <f>_xlfn.XLOOKUP(CustomerCombined[[#This Row],[ID]], Table2[ID],Table2[Complaint], "Not Found", 0 )</f>
        <v>0</v>
      </c>
      <c r="X2115" s="8">
        <f>_xlfn.XLOOKUP(CustomerCombined[[#This Row],[ID]], Table2[ID],Table2[Pilot], "Not Found", 0 )</f>
        <v>0</v>
      </c>
      <c r="Y2115" s="8">
        <f>_xlfn.XLOOKUP(CustomerCombined[[#This Row],[ID]], Table2[ID],Table2[MC1], "Not Found", 0 )</f>
        <v>0</v>
      </c>
      <c r="Z2115" s="8">
        <f>_xlfn.XLOOKUP(CustomerCombined[[#This Row],[ID]], Table2[ID],Table2[MC2], "Not Found", 0 )</f>
        <v>0</v>
      </c>
      <c r="AA2115" s="8">
        <f>_xlfn.XLOOKUP(CustomerCombined[[#This Row],[ID]], Table2[ID],Table2[MC3], "Not Found", 0 )</f>
        <v>1</v>
      </c>
      <c r="AB2115" s="8">
        <f>_xlfn.XLOOKUP(CustomerCombined[[#This Row],[ID]], Table2[ID],Table2[MC4], "Not Found", 0 )</f>
        <v>0</v>
      </c>
      <c r="AC2115" s="8">
        <f>_xlfn.XLOOKUP(CustomerCombined[[#This Row],[ID]], Table2[ID],Table2[MC5], "Not Found", 0 )</f>
        <v>0</v>
      </c>
    </row>
    <row r="2116" spans="1:29" x14ac:dyDescent="0.3">
      <c r="A2116" s="6">
        <v>1538</v>
      </c>
      <c r="B2116" s="6">
        <v>181698</v>
      </c>
      <c r="C2116" s="6">
        <v>0</v>
      </c>
      <c r="D2116" s="6">
        <v>0</v>
      </c>
      <c r="E2116" s="6">
        <v>71</v>
      </c>
      <c r="F2116" s="5" t="s">
        <v>6</v>
      </c>
      <c r="G2116" s="5" t="s">
        <v>12</v>
      </c>
      <c r="H2116" s="3">
        <v>44169</v>
      </c>
      <c r="I2116" s="5" t="s">
        <v>438</v>
      </c>
      <c r="J2116" s="5">
        <f>_xlfn.XLOOKUP(CustomerCombined[[#This Row],[ID]], Table4[ID], Table4[Recency], "Not Found", 0)</f>
        <v>4</v>
      </c>
      <c r="K2116" s="5">
        <f>_xlfn.XLOOKUP(CustomerCombined[[#This Row],[ID]], Table4[ID], Table4[Teas], "Not Found", 0)</f>
        <v>398</v>
      </c>
      <c r="L2116" s="5">
        <f>_xlfn.XLOOKUP(CustomerCombined[[#This Row],[ID]], Table4[ID], Table4[Fruits], "Not Found", 0)</f>
        <v>62</v>
      </c>
      <c r="M2116" s="5">
        <f>_xlfn.XLOOKUP(CustomerCombined[[#This Row],[ID]], Table4[ID], Table4[Meats], "Not Found", 0)</f>
        <v>1156</v>
      </c>
      <c r="N2116" s="5">
        <f>_xlfn.XLOOKUP(CustomerCombined[[#This Row],[ID]], Table4[ID], Table4[Seafood], "Not Found", 0)</f>
        <v>247</v>
      </c>
      <c r="O2116" s="5">
        <f>_xlfn.XLOOKUP(CustomerCombined[[#This Row],[ID]], Table4[ID], Table4[Sweets], "Not Found", 0)</f>
        <v>274</v>
      </c>
      <c r="P2116" s="5">
        <f>_xlfn.XLOOKUP(CustomerCombined[[#This Row],[ID]], Table4[ID], Table4[Premium], "Not Found", 0)</f>
        <v>105</v>
      </c>
      <c r="Q2116" s="5">
        <f>_xlfn.XLOOKUP(CustomerCombined[[#This Row],[ID]], Table4[ID], Table4[Regular], "Not Found", 0)</f>
        <v>2033</v>
      </c>
      <c r="R2116" s="5">
        <f>_xlfn.XLOOKUP(CustomerCombined[[#This Row],[ID]], Table4[ID], Table4[Deals], "Not Found", 0)</f>
        <v>1</v>
      </c>
      <c r="S2116" s="5">
        <f>_xlfn.XLOOKUP(CustomerCombined[[#This Row],[ID]], Table4[ID], Table4[Website], "Not Found", 0)</f>
        <v>3</v>
      </c>
      <c r="T2116" s="5">
        <f>_xlfn.XLOOKUP(CustomerCombined[[#This Row],[ID]], Table4[ID], Table4[Catalog], "Not Found", 0)</f>
        <v>8</v>
      </c>
      <c r="U2116" s="5">
        <f>_xlfn.XLOOKUP(CustomerCombined[[#This Row],[ID]], Table4[ID], Table4[Store], "Not Found", 0)</f>
        <v>13</v>
      </c>
      <c r="V2116" s="5">
        <f>_xlfn.XLOOKUP(CustomerCombined[[#This Row],[ID]], Table4[ID], Table4[Visits], "Not Found", 0)</f>
        <v>1</v>
      </c>
      <c r="W2116" s="8">
        <f>_xlfn.XLOOKUP(CustomerCombined[[#This Row],[ID]], Table2[ID],Table2[Complaint], "Not Found", 0 )</f>
        <v>0</v>
      </c>
      <c r="X2116" s="8">
        <f>_xlfn.XLOOKUP(CustomerCombined[[#This Row],[ID]], Table2[ID],Table2[Pilot], "Not Found", 0 )</f>
        <v>1</v>
      </c>
      <c r="Y2116" s="8">
        <f>_xlfn.XLOOKUP(CustomerCombined[[#This Row],[ID]], Table2[ID],Table2[MC1], "Not Found", 0 )</f>
        <v>0</v>
      </c>
      <c r="Z2116" s="8">
        <f>_xlfn.XLOOKUP(CustomerCombined[[#This Row],[ID]], Table2[ID],Table2[MC2], "Not Found", 0 )</f>
        <v>0</v>
      </c>
      <c r="AA2116" s="8">
        <f>_xlfn.XLOOKUP(CustomerCombined[[#This Row],[ID]], Table2[ID],Table2[MC3], "Not Found", 0 )</f>
        <v>0</v>
      </c>
      <c r="AB2116" s="8">
        <f>_xlfn.XLOOKUP(CustomerCombined[[#This Row],[ID]], Table2[ID],Table2[MC4], "Not Found", 0 )</f>
        <v>0</v>
      </c>
      <c r="AC2116" s="8">
        <f>_xlfn.XLOOKUP(CustomerCombined[[#This Row],[ID]], Table2[ID],Table2[MC5], "Not Found", 0 )</f>
        <v>0</v>
      </c>
    </row>
    <row r="2117" spans="1:29" x14ac:dyDescent="0.3">
      <c r="A2117" s="6">
        <v>2724</v>
      </c>
      <c r="B2117" s="6">
        <v>180360</v>
      </c>
      <c r="C2117" s="6">
        <v>0</v>
      </c>
      <c r="D2117" s="6">
        <v>0</v>
      </c>
      <c r="E2117" s="6">
        <v>71</v>
      </c>
      <c r="F2117" s="5" t="s">
        <v>6</v>
      </c>
      <c r="G2117" s="5" t="s">
        <v>13</v>
      </c>
      <c r="H2117" s="3">
        <v>43685</v>
      </c>
      <c r="I2117" s="5" t="s">
        <v>436</v>
      </c>
      <c r="J2117" s="5">
        <f>_xlfn.XLOOKUP(CustomerCombined[[#This Row],[ID]], Table4[ID], Table4[Recency], "Not Found", 0)</f>
        <v>56</v>
      </c>
      <c r="K2117" s="5">
        <f>_xlfn.XLOOKUP(CustomerCombined[[#This Row],[ID]], Table4[ID], Table4[Teas], "Not Found", 0)</f>
        <v>3351</v>
      </c>
      <c r="L2117" s="5">
        <f>_xlfn.XLOOKUP(CustomerCombined[[#This Row],[ID]], Table4[ID], Table4[Fruits], "Not Found", 0)</f>
        <v>193</v>
      </c>
      <c r="M2117" s="5">
        <f>_xlfn.XLOOKUP(CustomerCombined[[#This Row],[ID]], Table4[ID], Table4[Meats], "Not Found", 0)</f>
        <v>1019</v>
      </c>
      <c r="N2117" s="5">
        <f>_xlfn.XLOOKUP(CustomerCombined[[#This Row],[ID]], Table4[ID], Table4[Seafood], "Not Found", 0)</f>
        <v>251</v>
      </c>
      <c r="O2117" s="5">
        <f>_xlfn.XLOOKUP(CustomerCombined[[#This Row],[ID]], Table4[ID], Table4[Sweets], "Not Found", 0)</f>
        <v>97</v>
      </c>
      <c r="P2117" s="5">
        <f>_xlfn.XLOOKUP(CustomerCombined[[#This Row],[ID]], Table4[ID], Table4[Premium], "Not Found", 0)</f>
        <v>97</v>
      </c>
      <c r="Q2117" s="5">
        <f>_xlfn.XLOOKUP(CustomerCombined[[#This Row],[ID]], Table4[ID], Table4[Regular], "Not Found", 0)</f>
        <v>4814</v>
      </c>
      <c r="R2117" s="5">
        <f>_xlfn.XLOOKUP(CustomerCombined[[#This Row],[ID]], Table4[ID], Table4[Deals], "Not Found", 0)</f>
        <v>2</v>
      </c>
      <c r="S2117" s="5">
        <f>_xlfn.XLOOKUP(CustomerCombined[[#This Row],[ID]], Table4[ID], Table4[Website], "Not Found", 0)</f>
        <v>4</v>
      </c>
      <c r="T2117" s="5">
        <f>_xlfn.XLOOKUP(CustomerCombined[[#This Row],[ID]], Table4[ID], Table4[Catalog], "Not Found", 0)</f>
        <v>4</v>
      </c>
      <c r="U2117" s="5">
        <f>_xlfn.XLOOKUP(CustomerCombined[[#This Row],[ID]], Table4[ID], Table4[Store], "Not Found", 0)</f>
        <v>5</v>
      </c>
      <c r="V2117" s="5">
        <f>_xlfn.XLOOKUP(CustomerCombined[[#This Row],[ID]], Table4[ID], Table4[Visits], "Not Found", 0)</f>
        <v>2</v>
      </c>
      <c r="W2117" s="8">
        <f>_xlfn.XLOOKUP(CustomerCombined[[#This Row],[ID]], Table2[ID],Table2[Complaint], "Not Found", 0 )</f>
        <v>0</v>
      </c>
      <c r="X2117" s="8">
        <f>_xlfn.XLOOKUP(CustomerCombined[[#This Row],[ID]], Table2[ID],Table2[Pilot], "Not Found", 0 )</f>
        <v>0</v>
      </c>
      <c r="Y2117" s="8">
        <f>_xlfn.XLOOKUP(CustomerCombined[[#This Row],[ID]], Table2[ID],Table2[MC1], "Not Found", 0 )</f>
        <v>1</v>
      </c>
      <c r="Z2117" s="8">
        <f>_xlfn.XLOOKUP(CustomerCombined[[#This Row],[ID]], Table2[ID],Table2[MC2], "Not Found", 0 )</f>
        <v>0</v>
      </c>
      <c r="AA2117" s="8">
        <f>_xlfn.XLOOKUP(CustomerCombined[[#This Row],[ID]], Table2[ID],Table2[MC3], "Not Found", 0 )</f>
        <v>0</v>
      </c>
      <c r="AB2117" s="8">
        <f>_xlfn.XLOOKUP(CustomerCombined[[#This Row],[ID]], Table2[ID],Table2[MC4], "Not Found", 0 )</f>
        <v>1</v>
      </c>
      <c r="AC2117" s="8">
        <f>_xlfn.XLOOKUP(CustomerCombined[[#This Row],[ID]], Table2[ID],Table2[MC5], "Not Found", 0 )</f>
        <v>1</v>
      </c>
    </row>
    <row r="2118" spans="1:29" x14ac:dyDescent="0.3">
      <c r="A2118" s="6">
        <v>1018</v>
      </c>
      <c r="B2118" s="6">
        <v>176995</v>
      </c>
      <c r="C2118" s="6">
        <v>0</v>
      </c>
      <c r="D2118" s="6">
        <v>1</v>
      </c>
      <c r="E2118" s="6">
        <v>71</v>
      </c>
      <c r="F2118" s="5" t="s">
        <v>6</v>
      </c>
      <c r="G2118" s="5" t="s">
        <v>12</v>
      </c>
      <c r="H2118" s="3">
        <v>43505</v>
      </c>
      <c r="I2118" s="5" t="s">
        <v>439</v>
      </c>
      <c r="J2118" s="5">
        <f>_xlfn.XLOOKUP(CustomerCombined[[#This Row],[ID]], Table4[ID], Table4[Recency], "Not Found", 0)</f>
        <v>91</v>
      </c>
      <c r="K2118" s="5">
        <f>_xlfn.XLOOKUP(CustomerCombined[[#This Row],[ID]], Table4[ID], Table4[Teas], "Not Found", 0)</f>
        <v>2326</v>
      </c>
      <c r="L2118" s="5">
        <f>_xlfn.XLOOKUP(CustomerCombined[[#This Row],[ID]], Table4[ID], Table4[Fruits], "Not Found", 0)</f>
        <v>184</v>
      </c>
      <c r="M2118" s="5">
        <f>_xlfn.XLOOKUP(CustomerCombined[[#This Row],[ID]], Table4[ID], Table4[Meats], "Not Found", 0)</f>
        <v>1145</v>
      </c>
      <c r="N2118" s="5">
        <f>_xlfn.XLOOKUP(CustomerCombined[[#This Row],[ID]], Table4[ID], Table4[Seafood], "Not Found", 0)</f>
        <v>0</v>
      </c>
      <c r="O2118" s="5">
        <f>_xlfn.XLOOKUP(CustomerCombined[[#This Row],[ID]], Table4[ID], Table4[Sweets], "Not Found", 0)</f>
        <v>37</v>
      </c>
      <c r="P2118" s="5">
        <f>_xlfn.XLOOKUP(CustomerCombined[[#This Row],[ID]], Table4[ID], Table4[Premium], "Not Found", 0)</f>
        <v>405</v>
      </c>
      <c r="Q2118" s="5">
        <f>_xlfn.XLOOKUP(CustomerCombined[[#This Row],[ID]], Table4[ID], Table4[Regular], "Not Found", 0)</f>
        <v>3287</v>
      </c>
      <c r="R2118" s="5">
        <f>_xlfn.XLOOKUP(CustomerCombined[[#This Row],[ID]], Table4[ID], Table4[Deals], "Not Found", 0)</f>
        <v>2</v>
      </c>
      <c r="S2118" s="5">
        <f>_xlfn.XLOOKUP(CustomerCombined[[#This Row],[ID]], Table4[ID], Table4[Website], "Not Found", 0)</f>
        <v>11</v>
      </c>
      <c r="T2118" s="5">
        <f>_xlfn.XLOOKUP(CustomerCombined[[#This Row],[ID]], Table4[ID], Table4[Catalog], "Not Found", 0)</f>
        <v>4</v>
      </c>
      <c r="U2118" s="5">
        <f>_xlfn.XLOOKUP(CustomerCombined[[#This Row],[ID]], Table4[ID], Table4[Store], "Not Found", 0)</f>
        <v>9</v>
      </c>
      <c r="V2118" s="5">
        <f>_xlfn.XLOOKUP(CustomerCombined[[#This Row],[ID]], Table4[ID], Table4[Visits], "Not Found", 0)</f>
        <v>5</v>
      </c>
      <c r="W2118" s="8">
        <f>_xlfn.XLOOKUP(CustomerCombined[[#This Row],[ID]], Table2[ID],Table2[Complaint], "Not Found", 0 )</f>
        <v>0</v>
      </c>
      <c r="X2118" s="8">
        <f>_xlfn.XLOOKUP(CustomerCombined[[#This Row],[ID]], Table2[ID],Table2[Pilot], "Not Found", 0 )</f>
        <v>0</v>
      </c>
      <c r="Y2118" s="8">
        <f>_xlfn.XLOOKUP(CustomerCombined[[#This Row],[ID]], Table2[ID],Table2[MC1], "Not Found", 0 )</f>
        <v>1</v>
      </c>
      <c r="Z2118" s="8">
        <f>_xlfn.XLOOKUP(CustomerCombined[[#This Row],[ID]], Table2[ID],Table2[MC2], "Not Found", 0 )</f>
        <v>0</v>
      </c>
      <c r="AA2118" s="8">
        <f>_xlfn.XLOOKUP(CustomerCombined[[#This Row],[ID]], Table2[ID],Table2[MC3], "Not Found", 0 )</f>
        <v>0</v>
      </c>
      <c r="AB2118" s="8">
        <f>_xlfn.XLOOKUP(CustomerCombined[[#This Row],[ID]], Table2[ID],Table2[MC4], "Not Found", 0 )</f>
        <v>0</v>
      </c>
      <c r="AC2118" s="8">
        <f>_xlfn.XLOOKUP(CustomerCombined[[#This Row],[ID]], Table2[ID],Table2[MC5], "Not Found", 0 )</f>
        <v>0</v>
      </c>
    </row>
    <row r="2119" spans="1:29" x14ac:dyDescent="0.3">
      <c r="A2119" s="6">
        <v>3131</v>
      </c>
      <c r="B2119" s="6">
        <v>174859</v>
      </c>
      <c r="C2119" s="6">
        <v>0</v>
      </c>
      <c r="D2119" s="6">
        <v>0</v>
      </c>
      <c r="E2119" s="6">
        <v>71</v>
      </c>
      <c r="F2119" s="5" t="s">
        <v>9</v>
      </c>
      <c r="G2119" s="5" t="s">
        <v>442</v>
      </c>
      <c r="H2119" s="3">
        <v>43688</v>
      </c>
      <c r="I2119" s="5" t="s">
        <v>434</v>
      </c>
      <c r="J2119" s="5">
        <f>_xlfn.XLOOKUP(CustomerCombined[[#This Row],[ID]], Table4[ID], Table4[Recency], "Not Found", 0)</f>
        <v>63</v>
      </c>
      <c r="K2119" s="5">
        <f>_xlfn.XLOOKUP(CustomerCombined[[#This Row],[ID]], Table4[ID], Table4[Teas], "Not Found", 0)</f>
        <v>1331</v>
      </c>
      <c r="L2119" s="5">
        <f>_xlfn.XLOOKUP(CustomerCombined[[#This Row],[ID]], Table4[ID], Table4[Fruits], "Not Found", 0)</f>
        <v>171</v>
      </c>
      <c r="M2119" s="5">
        <f>_xlfn.XLOOKUP(CustomerCombined[[#This Row],[ID]], Table4[ID], Table4[Meats], "Not Found", 0)</f>
        <v>1434</v>
      </c>
      <c r="N2119" s="5">
        <f>_xlfn.XLOOKUP(CustomerCombined[[#This Row],[ID]], Table4[ID], Table4[Seafood], "Not Found", 0)</f>
        <v>311</v>
      </c>
      <c r="O2119" s="5">
        <f>_xlfn.XLOOKUP(CustomerCombined[[#This Row],[ID]], Table4[ID], Table4[Sweets], "Not Found", 0)</f>
        <v>238</v>
      </c>
      <c r="P2119" s="5">
        <f>_xlfn.XLOOKUP(CustomerCombined[[#This Row],[ID]], Table4[ID], Table4[Premium], "Not Found", 0)</f>
        <v>171</v>
      </c>
      <c r="Q2119" s="5">
        <f>_xlfn.XLOOKUP(CustomerCombined[[#This Row],[ID]], Table4[ID], Table4[Regular], "Not Found", 0)</f>
        <v>3315</v>
      </c>
      <c r="R2119" s="5">
        <f>_xlfn.XLOOKUP(CustomerCombined[[#This Row],[ID]], Table4[ID], Table4[Deals], "Not Found", 0)</f>
        <v>1</v>
      </c>
      <c r="S2119" s="5">
        <f>_xlfn.XLOOKUP(CustomerCombined[[#This Row],[ID]], Table4[ID], Table4[Website], "Not Found", 0)</f>
        <v>6</v>
      </c>
      <c r="T2119" s="5">
        <f>_xlfn.XLOOKUP(CustomerCombined[[#This Row],[ID]], Table4[ID], Table4[Catalog], "Not Found", 0)</f>
        <v>5</v>
      </c>
      <c r="U2119" s="5">
        <f>_xlfn.XLOOKUP(CustomerCombined[[#This Row],[ID]], Table4[ID], Table4[Store], "Not Found", 0)</f>
        <v>11</v>
      </c>
      <c r="V2119" s="5">
        <f>_xlfn.XLOOKUP(CustomerCombined[[#This Row],[ID]], Table4[ID], Table4[Visits], "Not Found", 0)</f>
        <v>3</v>
      </c>
      <c r="W2119" s="8">
        <f>_xlfn.XLOOKUP(CustomerCombined[[#This Row],[ID]], Table2[ID],Table2[Complaint], "Not Found", 0 )</f>
        <v>0</v>
      </c>
      <c r="X2119" s="8">
        <f>_xlfn.XLOOKUP(CustomerCombined[[#This Row],[ID]], Table2[ID],Table2[Pilot], "Not Found", 0 )</f>
        <v>0</v>
      </c>
      <c r="Y2119" s="8">
        <f>_xlfn.XLOOKUP(CustomerCombined[[#This Row],[ID]], Table2[ID],Table2[MC1], "Not Found", 0 )</f>
        <v>1</v>
      </c>
      <c r="Z2119" s="8">
        <f>_xlfn.XLOOKUP(CustomerCombined[[#This Row],[ID]], Table2[ID],Table2[MC2], "Not Found", 0 )</f>
        <v>0</v>
      </c>
      <c r="AA2119" s="8">
        <f>_xlfn.XLOOKUP(CustomerCombined[[#This Row],[ID]], Table2[ID],Table2[MC3], "Not Found", 0 )</f>
        <v>0</v>
      </c>
      <c r="AB2119" s="8">
        <f>_xlfn.XLOOKUP(CustomerCombined[[#This Row],[ID]], Table2[ID],Table2[MC4], "Not Found", 0 )</f>
        <v>0</v>
      </c>
      <c r="AC2119" s="8">
        <f>_xlfn.XLOOKUP(CustomerCombined[[#This Row],[ID]], Table2[ID],Table2[MC5], "Not Found", 0 )</f>
        <v>0</v>
      </c>
    </row>
    <row r="2120" spans="1:29" x14ac:dyDescent="0.3">
      <c r="A2120" s="6">
        <v>2943</v>
      </c>
      <c r="B2120" s="6">
        <v>172643</v>
      </c>
      <c r="C2120" s="6">
        <v>0</v>
      </c>
      <c r="D2120" s="6">
        <v>0</v>
      </c>
      <c r="E2120" s="6">
        <v>71</v>
      </c>
      <c r="F2120" s="5" t="s">
        <v>9</v>
      </c>
      <c r="G2120" s="5" t="s">
        <v>11</v>
      </c>
      <c r="H2120" s="3">
        <v>43563</v>
      </c>
      <c r="I2120" s="5" t="s">
        <v>435</v>
      </c>
      <c r="J2120" s="5">
        <f>_xlfn.XLOOKUP(CustomerCombined[[#This Row],[ID]], Table4[ID], Table4[Recency], "Not Found", 0)</f>
        <v>60</v>
      </c>
      <c r="K2120" s="5">
        <f>_xlfn.XLOOKUP(CustomerCombined[[#This Row],[ID]], Table4[ID], Table4[Teas], "Not Found", 0)</f>
        <v>1250</v>
      </c>
      <c r="L2120" s="5">
        <f>_xlfn.XLOOKUP(CustomerCombined[[#This Row],[ID]], Table4[ID], Table4[Fruits], "Not Found", 0)</f>
        <v>190</v>
      </c>
      <c r="M2120" s="5">
        <f>_xlfn.XLOOKUP(CustomerCombined[[#This Row],[ID]], Table4[ID], Table4[Meats], "Not Found", 0)</f>
        <v>1314</v>
      </c>
      <c r="N2120" s="5">
        <f>_xlfn.XLOOKUP(CustomerCombined[[#This Row],[ID]], Table4[ID], Table4[Seafood], "Not Found", 0)</f>
        <v>292</v>
      </c>
      <c r="O2120" s="5">
        <f>_xlfn.XLOOKUP(CustomerCombined[[#This Row],[ID]], Table4[ID], Table4[Sweets], "Not Found", 0)</f>
        <v>223</v>
      </c>
      <c r="P2120" s="5">
        <f>_xlfn.XLOOKUP(CustomerCombined[[#This Row],[ID]], Table4[ID], Table4[Premium], "Not Found", 0)</f>
        <v>126</v>
      </c>
      <c r="Q2120" s="5">
        <f>_xlfn.XLOOKUP(CustomerCombined[[#This Row],[ID]], Table4[ID], Table4[Regular], "Not Found", 0)</f>
        <v>3144</v>
      </c>
      <c r="R2120" s="5">
        <f>_xlfn.XLOOKUP(CustomerCombined[[#This Row],[ID]], Table4[ID], Table4[Deals], "Not Found", 0)</f>
        <v>1</v>
      </c>
      <c r="S2120" s="5">
        <f>_xlfn.XLOOKUP(CustomerCombined[[#This Row],[ID]], Table4[ID], Table4[Website], "Not Found", 0)</f>
        <v>3</v>
      </c>
      <c r="T2120" s="5">
        <f>_xlfn.XLOOKUP(CustomerCombined[[#This Row],[ID]], Table4[ID], Table4[Catalog], "Not Found", 0)</f>
        <v>10</v>
      </c>
      <c r="U2120" s="5">
        <f>_xlfn.XLOOKUP(CustomerCombined[[#This Row],[ID]], Table4[ID], Table4[Store], "Not Found", 0)</f>
        <v>7</v>
      </c>
      <c r="V2120" s="5">
        <f>_xlfn.XLOOKUP(CustomerCombined[[#This Row],[ID]], Table4[ID], Table4[Visits], "Not Found", 0)</f>
        <v>2</v>
      </c>
      <c r="W2120" s="8">
        <f>_xlfn.XLOOKUP(CustomerCombined[[#This Row],[ID]], Table2[ID],Table2[Complaint], "Not Found", 0 )</f>
        <v>0</v>
      </c>
      <c r="X2120" s="8">
        <f>_xlfn.XLOOKUP(CustomerCombined[[#This Row],[ID]], Table2[ID],Table2[Pilot], "Not Found", 0 )</f>
        <v>1</v>
      </c>
      <c r="Y2120" s="8">
        <f>_xlfn.XLOOKUP(CustomerCombined[[#This Row],[ID]], Table2[ID],Table2[MC1], "Not Found", 0 )</f>
        <v>1</v>
      </c>
      <c r="Z2120" s="8">
        <f>_xlfn.XLOOKUP(CustomerCombined[[#This Row],[ID]], Table2[ID],Table2[MC2], "Not Found", 0 )</f>
        <v>0</v>
      </c>
      <c r="AA2120" s="8">
        <f>_xlfn.XLOOKUP(CustomerCombined[[#This Row],[ID]], Table2[ID],Table2[MC3], "Not Found", 0 )</f>
        <v>0</v>
      </c>
      <c r="AB2120" s="8">
        <f>_xlfn.XLOOKUP(CustomerCombined[[#This Row],[ID]], Table2[ID],Table2[MC4], "Not Found", 0 )</f>
        <v>0</v>
      </c>
      <c r="AC2120" s="8">
        <f>_xlfn.XLOOKUP(CustomerCombined[[#This Row],[ID]], Table2[ID],Table2[MC5], "Not Found", 0 )</f>
        <v>0</v>
      </c>
    </row>
    <row r="2121" spans="1:29" x14ac:dyDescent="0.3">
      <c r="A2121" s="6">
        <v>1605</v>
      </c>
      <c r="B2121" s="6">
        <v>172298</v>
      </c>
      <c r="C2121" s="6">
        <v>0</v>
      </c>
      <c r="D2121" s="6">
        <v>0</v>
      </c>
      <c r="E2121" s="6">
        <v>71</v>
      </c>
      <c r="F2121" s="5" t="s">
        <v>9</v>
      </c>
      <c r="G2121" s="5" t="s">
        <v>11</v>
      </c>
      <c r="H2121" s="3" t="s">
        <v>89</v>
      </c>
      <c r="I2121" s="5" t="s">
        <v>435</v>
      </c>
      <c r="J2121" s="5">
        <f>_xlfn.XLOOKUP(CustomerCombined[[#This Row],[ID]], Table4[ID], Table4[Recency], "Not Found", 0)</f>
        <v>52</v>
      </c>
      <c r="K2121" s="5">
        <f>_xlfn.XLOOKUP(CustomerCombined[[#This Row],[ID]], Table4[ID], Table4[Teas], "Not Found", 0)</f>
        <v>1489</v>
      </c>
      <c r="L2121" s="5">
        <f>_xlfn.XLOOKUP(CustomerCombined[[#This Row],[ID]], Table4[ID], Table4[Fruits], "Not Found", 0)</f>
        <v>83</v>
      </c>
      <c r="M2121" s="5">
        <f>_xlfn.XLOOKUP(CustomerCombined[[#This Row],[ID]], Table4[ID], Table4[Meats], "Not Found", 0)</f>
        <v>403</v>
      </c>
      <c r="N2121" s="5">
        <f>_xlfn.XLOOKUP(CustomerCombined[[#This Row],[ID]], Table4[ID], Table4[Seafood], "Not Found", 0)</f>
        <v>138</v>
      </c>
      <c r="O2121" s="5">
        <f>_xlfn.XLOOKUP(CustomerCombined[[#This Row],[ID]], Table4[ID], Table4[Sweets], "Not Found", 0)</f>
        <v>41</v>
      </c>
      <c r="P2121" s="5">
        <f>_xlfn.XLOOKUP(CustomerCombined[[#This Row],[ID]], Table4[ID], Table4[Premium], "Not Found", 0)</f>
        <v>83</v>
      </c>
      <c r="Q2121" s="5">
        <f>_xlfn.XLOOKUP(CustomerCombined[[#This Row],[ID]], Table4[ID], Table4[Regular], "Not Found", 0)</f>
        <v>2071</v>
      </c>
      <c r="R2121" s="5">
        <f>_xlfn.XLOOKUP(CustomerCombined[[#This Row],[ID]], Table4[ID], Table4[Deals], "Not Found", 0)</f>
        <v>1</v>
      </c>
      <c r="S2121" s="5">
        <f>_xlfn.XLOOKUP(CustomerCombined[[#This Row],[ID]], Table4[ID], Table4[Website], "Not Found", 0)</f>
        <v>4</v>
      </c>
      <c r="T2121" s="5">
        <f>_xlfn.XLOOKUP(CustomerCombined[[#This Row],[ID]], Table4[ID], Table4[Catalog], "Not Found", 0)</f>
        <v>3</v>
      </c>
      <c r="U2121" s="5">
        <f>_xlfn.XLOOKUP(CustomerCombined[[#This Row],[ID]], Table4[ID], Table4[Store], "Not Found", 0)</f>
        <v>6</v>
      </c>
      <c r="V2121" s="5">
        <f>_xlfn.XLOOKUP(CustomerCombined[[#This Row],[ID]], Table4[ID], Table4[Visits], "Not Found", 0)</f>
        <v>1</v>
      </c>
      <c r="W2121" s="8">
        <f>_xlfn.XLOOKUP(CustomerCombined[[#This Row],[ID]], Table2[ID],Table2[Complaint], "Not Found", 0 )</f>
        <v>0</v>
      </c>
      <c r="X2121" s="8">
        <f>_xlfn.XLOOKUP(CustomerCombined[[#This Row],[ID]], Table2[ID],Table2[Pilot], "Not Found", 0 )</f>
        <v>0</v>
      </c>
      <c r="Y2121" s="8">
        <f>_xlfn.XLOOKUP(CustomerCombined[[#This Row],[ID]], Table2[ID],Table2[MC1], "Not Found", 0 )</f>
        <v>0</v>
      </c>
      <c r="Z2121" s="8">
        <f>_xlfn.XLOOKUP(CustomerCombined[[#This Row],[ID]], Table2[ID],Table2[MC2], "Not Found", 0 )</f>
        <v>0</v>
      </c>
      <c r="AA2121" s="8">
        <f>_xlfn.XLOOKUP(CustomerCombined[[#This Row],[ID]], Table2[ID],Table2[MC3], "Not Found", 0 )</f>
        <v>0</v>
      </c>
      <c r="AB2121" s="8">
        <f>_xlfn.XLOOKUP(CustomerCombined[[#This Row],[ID]], Table2[ID],Table2[MC4], "Not Found", 0 )</f>
        <v>1</v>
      </c>
      <c r="AC2121" s="8">
        <f>_xlfn.XLOOKUP(CustomerCombined[[#This Row],[ID]], Table2[ID],Table2[MC5], "Not Found", 0 )</f>
        <v>1</v>
      </c>
    </row>
    <row r="2122" spans="1:29" x14ac:dyDescent="0.3">
      <c r="A2122" s="6">
        <v>1716</v>
      </c>
      <c r="B2122" s="6">
        <v>172025</v>
      </c>
      <c r="C2122" s="6">
        <v>0</v>
      </c>
      <c r="D2122" s="6">
        <v>0</v>
      </c>
      <c r="E2122" s="6">
        <v>71</v>
      </c>
      <c r="F2122" s="5" t="s">
        <v>6</v>
      </c>
      <c r="G2122" s="5" t="s">
        <v>11</v>
      </c>
      <c r="H2122" s="3">
        <v>43900</v>
      </c>
      <c r="I2122" s="5" t="s">
        <v>436</v>
      </c>
      <c r="J2122" s="5">
        <f>_xlfn.XLOOKUP(CustomerCombined[[#This Row],[ID]], Table4[ID], Table4[Recency], "Not Found", 0)</f>
        <v>46</v>
      </c>
      <c r="K2122" s="5">
        <f>_xlfn.XLOOKUP(CustomerCombined[[#This Row],[ID]], Table4[ID], Table4[Teas], "Not Found", 0)</f>
        <v>2310</v>
      </c>
      <c r="L2122" s="5">
        <f>_xlfn.XLOOKUP(CustomerCombined[[#This Row],[ID]], Table4[ID], Table4[Fruits], "Not Found", 0)</f>
        <v>0</v>
      </c>
      <c r="M2122" s="5">
        <f>_xlfn.XLOOKUP(CustomerCombined[[#This Row],[ID]], Table4[ID], Table4[Meats], "Not Found", 0)</f>
        <v>1474</v>
      </c>
      <c r="N2122" s="5">
        <f>_xlfn.XLOOKUP(CustomerCombined[[#This Row],[ID]], Table4[ID], Table4[Seafood], "Not Found", 0)</f>
        <v>103</v>
      </c>
      <c r="O2122" s="5">
        <f>_xlfn.XLOOKUP(CustomerCombined[[#This Row],[ID]], Table4[ID], Table4[Sweets], "Not Found", 0)</f>
        <v>119</v>
      </c>
      <c r="P2122" s="5">
        <f>_xlfn.XLOOKUP(CustomerCombined[[#This Row],[ID]], Table4[ID], Table4[Premium], "Not Found", 0)</f>
        <v>0</v>
      </c>
      <c r="Q2122" s="5">
        <f>_xlfn.XLOOKUP(CustomerCombined[[#This Row],[ID]], Table4[ID], Table4[Regular], "Not Found", 0)</f>
        <v>4005</v>
      </c>
      <c r="R2122" s="5">
        <f>_xlfn.XLOOKUP(CustomerCombined[[#This Row],[ID]], Table4[ID], Table4[Deals], "Not Found", 0)</f>
        <v>1</v>
      </c>
      <c r="S2122" s="5">
        <f>_xlfn.XLOOKUP(CustomerCombined[[#This Row],[ID]], Table4[ID], Table4[Website], "Not Found", 0)</f>
        <v>4</v>
      </c>
      <c r="T2122" s="5">
        <f>_xlfn.XLOOKUP(CustomerCombined[[#This Row],[ID]], Table4[ID], Table4[Catalog], "Not Found", 0)</f>
        <v>8</v>
      </c>
      <c r="U2122" s="5">
        <f>_xlfn.XLOOKUP(CustomerCombined[[#This Row],[ID]], Table4[ID], Table4[Store], "Not Found", 0)</f>
        <v>13</v>
      </c>
      <c r="V2122" s="5">
        <f>_xlfn.XLOOKUP(CustomerCombined[[#This Row],[ID]], Table4[ID], Table4[Visits], "Not Found", 0)</f>
        <v>2</v>
      </c>
      <c r="W2122" s="8">
        <f>_xlfn.XLOOKUP(CustomerCombined[[#This Row],[ID]], Table2[ID],Table2[Complaint], "Not Found", 0 )</f>
        <v>0</v>
      </c>
      <c r="X2122" s="8">
        <f>_xlfn.XLOOKUP(CustomerCombined[[#This Row],[ID]], Table2[ID],Table2[Pilot], "Not Found", 0 )</f>
        <v>1</v>
      </c>
      <c r="Y2122" s="8">
        <f>_xlfn.XLOOKUP(CustomerCombined[[#This Row],[ID]], Table2[ID],Table2[MC1], "Not Found", 0 )</f>
        <v>1</v>
      </c>
      <c r="Z2122" s="8">
        <f>_xlfn.XLOOKUP(CustomerCombined[[#This Row],[ID]], Table2[ID],Table2[MC2], "Not Found", 0 )</f>
        <v>0</v>
      </c>
      <c r="AA2122" s="8">
        <f>_xlfn.XLOOKUP(CustomerCombined[[#This Row],[ID]], Table2[ID],Table2[MC3], "Not Found", 0 )</f>
        <v>0</v>
      </c>
      <c r="AB2122" s="8">
        <f>_xlfn.XLOOKUP(CustomerCombined[[#This Row],[ID]], Table2[ID],Table2[MC4], "Not Found", 0 )</f>
        <v>1</v>
      </c>
      <c r="AC2122" s="8">
        <f>_xlfn.XLOOKUP(CustomerCombined[[#This Row],[ID]], Table2[ID],Table2[MC5], "Not Found", 0 )</f>
        <v>1</v>
      </c>
    </row>
    <row r="2123" spans="1:29" x14ac:dyDescent="0.3">
      <c r="A2123" s="6">
        <v>1445</v>
      </c>
      <c r="B2123" s="6">
        <v>170165</v>
      </c>
      <c r="C2123" s="6">
        <v>0</v>
      </c>
      <c r="D2123" s="6">
        <v>0</v>
      </c>
      <c r="E2123" s="6">
        <v>71</v>
      </c>
      <c r="F2123" s="5" t="s">
        <v>9</v>
      </c>
      <c r="G2123" s="5" t="s">
        <v>11</v>
      </c>
      <c r="H2123" s="3" t="s">
        <v>177</v>
      </c>
      <c r="I2123" s="5" t="s">
        <v>434</v>
      </c>
      <c r="J2123" s="5">
        <f>_xlfn.XLOOKUP(CustomerCombined[[#This Row],[ID]], Table4[ID], Table4[Recency], "Not Found", 0)</f>
        <v>60</v>
      </c>
      <c r="K2123" s="5">
        <f>_xlfn.XLOOKUP(CustomerCombined[[#This Row],[ID]], Table4[ID], Table4[Teas], "Not Found", 0)</f>
        <v>390</v>
      </c>
      <c r="L2123" s="5">
        <f>_xlfn.XLOOKUP(CustomerCombined[[#This Row],[ID]], Table4[ID], Table4[Fruits], "Not Found", 0)</f>
        <v>0</v>
      </c>
      <c r="M2123" s="5">
        <f>_xlfn.XLOOKUP(CustomerCombined[[#This Row],[ID]], Table4[ID], Table4[Meats], "Not Found", 0)</f>
        <v>614</v>
      </c>
      <c r="N2123" s="5">
        <f>_xlfn.XLOOKUP(CustomerCombined[[#This Row],[ID]], Table4[ID], Table4[Seafood], "Not Found", 0)</f>
        <v>483</v>
      </c>
      <c r="O2123" s="5">
        <f>_xlfn.XLOOKUP(CustomerCombined[[#This Row],[ID]], Table4[ID], Table4[Sweets], "Not Found", 0)</f>
        <v>463</v>
      </c>
      <c r="P2123" s="5">
        <f>_xlfn.XLOOKUP(CustomerCombined[[#This Row],[ID]], Table4[ID], Table4[Premium], "Not Found", 0)</f>
        <v>296</v>
      </c>
      <c r="Q2123" s="5">
        <f>_xlfn.XLOOKUP(CustomerCombined[[#This Row],[ID]], Table4[ID], Table4[Regular], "Not Found", 0)</f>
        <v>1654</v>
      </c>
      <c r="R2123" s="5">
        <f>_xlfn.XLOOKUP(CustomerCombined[[#This Row],[ID]], Table4[ID], Table4[Deals], "Not Found", 0)</f>
        <v>1</v>
      </c>
      <c r="S2123" s="5">
        <f>_xlfn.XLOOKUP(CustomerCombined[[#This Row],[ID]], Table4[ID], Table4[Website], "Not Found", 0)</f>
        <v>3</v>
      </c>
      <c r="T2123" s="5">
        <f>_xlfn.XLOOKUP(CustomerCombined[[#This Row],[ID]], Table4[ID], Table4[Catalog], "Not Found", 0)</f>
        <v>7</v>
      </c>
      <c r="U2123" s="5">
        <f>_xlfn.XLOOKUP(CustomerCombined[[#This Row],[ID]], Table4[ID], Table4[Store], "Not Found", 0)</f>
        <v>11</v>
      </c>
      <c r="V2123" s="5">
        <f>_xlfn.XLOOKUP(CustomerCombined[[#This Row],[ID]], Table4[ID], Table4[Visits], "Not Found", 0)</f>
        <v>1</v>
      </c>
      <c r="W2123" s="8">
        <f>_xlfn.XLOOKUP(CustomerCombined[[#This Row],[ID]], Table2[ID],Table2[Complaint], "Not Found", 0 )</f>
        <v>0</v>
      </c>
      <c r="X2123" s="8">
        <f>_xlfn.XLOOKUP(CustomerCombined[[#This Row],[ID]], Table2[ID],Table2[Pilot], "Not Found", 0 )</f>
        <v>0</v>
      </c>
      <c r="Y2123" s="8">
        <f>_xlfn.XLOOKUP(CustomerCombined[[#This Row],[ID]], Table2[ID],Table2[MC1], "Not Found", 0 )</f>
        <v>0</v>
      </c>
      <c r="Z2123" s="8">
        <f>_xlfn.XLOOKUP(CustomerCombined[[#This Row],[ID]], Table2[ID],Table2[MC2], "Not Found", 0 )</f>
        <v>0</v>
      </c>
      <c r="AA2123" s="8">
        <f>_xlfn.XLOOKUP(CustomerCombined[[#This Row],[ID]], Table2[ID],Table2[MC3], "Not Found", 0 )</f>
        <v>0</v>
      </c>
      <c r="AB2123" s="8">
        <f>_xlfn.XLOOKUP(CustomerCombined[[#This Row],[ID]], Table2[ID],Table2[MC4], "Not Found", 0 )</f>
        <v>0</v>
      </c>
      <c r="AC2123" s="8">
        <f>_xlfn.XLOOKUP(CustomerCombined[[#This Row],[ID]], Table2[ID],Table2[MC5], "Not Found", 0 )</f>
        <v>0</v>
      </c>
    </row>
    <row r="2124" spans="1:29" x14ac:dyDescent="0.3">
      <c r="A2124" s="6">
        <v>1145</v>
      </c>
      <c r="B2124" s="6">
        <v>169372</v>
      </c>
      <c r="C2124" s="6">
        <v>0</v>
      </c>
      <c r="D2124" s="6">
        <v>0</v>
      </c>
      <c r="E2124" s="6">
        <v>71</v>
      </c>
      <c r="F2124" s="5" t="s">
        <v>8</v>
      </c>
      <c r="G2124" s="5" t="s">
        <v>11</v>
      </c>
      <c r="H2124" s="3" t="s">
        <v>304</v>
      </c>
      <c r="I2124" s="5" t="s">
        <v>434</v>
      </c>
      <c r="J2124" s="5">
        <f>_xlfn.XLOOKUP(CustomerCombined[[#This Row],[ID]], Table4[ID], Table4[Recency], "Not Found", 0)</f>
        <v>10</v>
      </c>
      <c r="K2124" s="5">
        <f>_xlfn.XLOOKUP(CustomerCombined[[#This Row],[ID]], Table4[ID], Table4[Teas], "Not Found", 0)</f>
        <v>2434</v>
      </c>
      <c r="L2124" s="5">
        <f>_xlfn.XLOOKUP(CustomerCombined[[#This Row],[ID]], Table4[ID], Table4[Fruits], "Not Found", 0)</f>
        <v>63</v>
      </c>
      <c r="M2124" s="5">
        <f>_xlfn.XLOOKUP(CustomerCombined[[#This Row],[ID]], Table4[ID], Table4[Meats], "Not Found", 0)</f>
        <v>657</v>
      </c>
      <c r="N2124" s="5">
        <f>_xlfn.XLOOKUP(CustomerCombined[[#This Row],[ID]], Table4[ID], Table4[Seafood], "Not Found", 0)</f>
        <v>83</v>
      </c>
      <c r="O2124" s="5">
        <f>_xlfn.XLOOKUP(CustomerCombined[[#This Row],[ID]], Table4[ID], Table4[Sweets], "Not Found", 0)</f>
        <v>32</v>
      </c>
      <c r="P2124" s="5">
        <f>_xlfn.XLOOKUP(CustomerCombined[[#This Row],[ID]], Table4[ID], Table4[Premium], "Not Found", 0)</f>
        <v>103</v>
      </c>
      <c r="Q2124" s="5">
        <f>_xlfn.XLOOKUP(CustomerCombined[[#This Row],[ID]], Table4[ID], Table4[Regular], "Not Found", 0)</f>
        <v>3167</v>
      </c>
      <c r="R2124" s="5">
        <f>_xlfn.XLOOKUP(CustomerCombined[[#This Row],[ID]], Table4[ID], Table4[Deals], "Not Found", 0)</f>
        <v>1</v>
      </c>
      <c r="S2124" s="5">
        <f>_xlfn.XLOOKUP(CustomerCombined[[#This Row],[ID]], Table4[ID], Table4[Website], "Not Found", 0)</f>
        <v>10</v>
      </c>
      <c r="T2124" s="5">
        <f>_xlfn.XLOOKUP(CustomerCombined[[#This Row],[ID]], Table4[ID], Table4[Catalog], "Not Found", 0)</f>
        <v>4</v>
      </c>
      <c r="U2124" s="5">
        <f>_xlfn.XLOOKUP(CustomerCombined[[#This Row],[ID]], Table4[ID], Table4[Store], "Not Found", 0)</f>
        <v>6</v>
      </c>
      <c r="V2124" s="5">
        <f>_xlfn.XLOOKUP(CustomerCombined[[#This Row],[ID]], Table4[ID], Table4[Visits], "Not Found", 0)</f>
        <v>4</v>
      </c>
      <c r="W2124" s="8">
        <f>_xlfn.XLOOKUP(CustomerCombined[[#This Row],[ID]], Table2[ID],Table2[Complaint], "Not Found", 0 )</f>
        <v>0</v>
      </c>
      <c r="X2124" s="8">
        <f>_xlfn.XLOOKUP(CustomerCombined[[#This Row],[ID]], Table2[ID],Table2[Pilot], "Not Found", 0 )</f>
        <v>1</v>
      </c>
      <c r="Y2124" s="8">
        <f>_xlfn.XLOOKUP(CustomerCombined[[#This Row],[ID]], Table2[ID],Table2[MC1], "Not Found", 0 )</f>
        <v>0</v>
      </c>
      <c r="Z2124" s="8">
        <f>_xlfn.XLOOKUP(CustomerCombined[[#This Row],[ID]], Table2[ID],Table2[MC2], "Not Found", 0 )</f>
        <v>0</v>
      </c>
      <c r="AA2124" s="8">
        <f>_xlfn.XLOOKUP(CustomerCombined[[#This Row],[ID]], Table2[ID],Table2[MC3], "Not Found", 0 )</f>
        <v>0</v>
      </c>
      <c r="AB2124" s="8">
        <f>_xlfn.XLOOKUP(CustomerCombined[[#This Row],[ID]], Table2[ID],Table2[MC4], "Not Found", 0 )</f>
        <v>1</v>
      </c>
      <c r="AC2124" s="8">
        <f>_xlfn.XLOOKUP(CustomerCombined[[#This Row],[ID]], Table2[ID],Table2[MC5], "Not Found", 0 )</f>
        <v>1</v>
      </c>
    </row>
    <row r="2125" spans="1:29" x14ac:dyDescent="0.3">
      <c r="A2125" s="6">
        <v>2033</v>
      </c>
      <c r="B2125" s="6">
        <v>169098</v>
      </c>
      <c r="C2125" s="6">
        <v>0</v>
      </c>
      <c r="D2125" s="6">
        <v>0</v>
      </c>
      <c r="E2125" s="6">
        <v>71</v>
      </c>
      <c r="F2125" s="5" t="s">
        <v>6</v>
      </c>
      <c r="G2125" s="5" t="s">
        <v>13</v>
      </c>
      <c r="H2125" s="3" t="s">
        <v>307</v>
      </c>
      <c r="I2125" s="5" t="s">
        <v>434</v>
      </c>
      <c r="J2125" s="5">
        <f>_xlfn.XLOOKUP(CustomerCombined[[#This Row],[ID]], Table4[ID], Table4[Recency], "Not Found", 0)</f>
        <v>82</v>
      </c>
      <c r="K2125" s="5">
        <f>_xlfn.XLOOKUP(CustomerCombined[[#This Row],[ID]], Table4[ID], Table4[Teas], "Not Found", 0)</f>
        <v>3218</v>
      </c>
      <c r="L2125" s="5">
        <f>_xlfn.XLOOKUP(CustomerCombined[[#This Row],[ID]], Table4[ID], Table4[Fruits], "Not Found", 0)</f>
        <v>54</v>
      </c>
      <c r="M2125" s="5">
        <f>_xlfn.XLOOKUP(CustomerCombined[[#This Row],[ID]], Table4[ID], Table4[Meats], "Not Found", 0)</f>
        <v>1909</v>
      </c>
      <c r="N2125" s="5">
        <f>_xlfn.XLOOKUP(CustomerCombined[[#This Row],[ID]], Table4[ID], Table4[Seafood], "Not Found", 0)</f>
        <v>355</v>
      </c>
      <c r="O2125" s="5">
        <f>_xlfn.XLOOKUP(CustomerCombined[[#This Row],[ID]], Table4[ID], Table4[Sweets], "Not Found", 0)</f>
        <v>0</v>
      </c>
      <c r="P2125" s="5">
        <f>_xlfn.XLOOKUP(CustomerCombined[[#This Row],[ID]], Table4[ID], Table4[Premium], "Not Found", 0)</f>
        <v>436</v>
      </c>
      <c r="Q2125" s="5">
        <f>_xlfn.XLOOKUP(CustomerCombined[[#This Row],[ID]], Table4[ID], Table4[Regular], "Not Found", 0)</f>
        <v>5100</v>
      </c>
      <c r="R2125" s="5">
        <f>_xlfn.XLOOKUP(CustomerCombined[[#This Row],[ID]], Table4[ID], Table4[Deals], "Not Found", 0)</f>
        <v>1</v>
      </c>
      <c r="S2125" s="5">
        <f>_xlfn.XLOOKUP(CustomerCombined[[#This Row],[ID]], Table4[ID], Table4[Website], "Not Found", 0)</f>
        <v>7</v>
      </c>
      <c r="T2125" s="5">
        <f>_xlfn.XLOOKUP(CustomerCombined[[#This Row],[ID]], Table4[ID], Table4[Catalog], "Not Found", 0)</f>
        <v>8</v>
      </c>
      <c r="U2125" s="5">
        <f>_xlfn.XLOOKUP(CustomerCombined[[#This Row],[ID]], Table4[ID], Table4[Store], "Not Found", 0)</f>
        <v>9</v>
      </c>
      <c r="V2125" s="5">
        <f>_xlfn.XLOOKUP(CustomerCombined[[#This Row],[ID]], Table4[ID], Table4[Visits], "Not Found", 0)</f>
        <v>5</v>
      </c>
      <c r="W2125" s="8">
        <f>_xlfn.XLOOKUP(CustomerCombined[[#This Row],[ID]], Table2[ID],Table2[Complaint], "Not Found", 0 )</f>
        <v>0</v>
      </c>
      <c r="X2125" s="8">
        <f>_xlfn.XLOOKUP(CustomerCombined[[#This Row],[ID]], Table2[ID],Table2[Pilot], "Not Found", 0 )</f>
        <v>0</v>
      </c>
      <c r="Y2125" s="8">
        <f>_xlfn.XLOOKUP(CustomerCombined[[#This Row],[ID]], Table2[ID],Table2[MC1], "Not Found", 0 )</f>
        <v>0</v>
      </c>
      <c r="Z2125" s="8">
        <f>_xlfn.XLOOKUP(CustomerCombined[[#This Row],[ID]], Table2[ID],Table2[MC2], "Not Found", 0 )</f>
        <v>0</v>
      </c>
      <c r="AA2125" s="8">
        <f>_xlfn.XLOOKUP(CustomerCombined[[#This Row],[ID]], Table2[ID],Table2[MC3], "Not Found", 0 )</f>
        <v>0</v>
      </c>
      <c r="AB2125" s="8">
        <f>_xlfn.XLOOKUP(CustomerCombined[[#This Row],[ID]], Table2[ID],Table2[MC4], "Not Found", 0 )</f>
        <v>0</v>
      </c>
      <c r="AC2125" s="8">
        <f>_xlfn.XLOOKUP(CustomerCombined[[#This Row],[ID]], Table2[ID],Table2[MC5], "Not Found", 0 )</f>
        <v>0</v>
      </c>
    </row>
    <row r="2126" spans="1:29" x14ac:dyDescent="0.3">
      <c r="A2126" s="6">
        <v>1482</v>
      </c>
      <c r="B2126" s="6">
        <v>167911</v>
      </c>
      <c r="C2126" s="6">
        <v>0</v>
      </c>
      <c r="D2126" s="6">
        <v>1</v>
      </c>
      <c r="E2126" s="6">
        <v>71</v>
      </c>
      <c r="F2126" s="5" t="s">
        <v>8</v>
      </c>
      <c r="G2126" s="5" t="s">
        <v>13</v>
      </c>
      <c r="H2126" s="3" t="s">
        <v>45</v>
      </c>
      <c r="I2126" s="5" t="s">
        <v>436</v>
      </c>
      <c r="J2126" s="5">
        <f>_xlfn.XLOOKUP(CustomerCombined[[#This Row],[ID]], Table4[ID], Table4[Recency], "Not Found", 0)</f>
        <v>63</v>
      </c>
      <c r="K2126" s="5">
        <f>_xlfn.XLOOKUP(CustomerCombined[[#This Row],[ID]], Table4[ID], Table4[Teas], "Not Found", 0)</f>
        <v>1308</v>
      </c>
      <c r="L2126" s="5">
        <f>_xlfn.XLOOKUP(CustomerCombined[[#This Row],[ID]], Table4[ID], Table4[Fruits], "Not Found", 0)</f>
        <v>0</v>
      </c>
      <c r="M2126" s="5">
        <f>_xlfn.XLOOKUP(CustomerCombined[[#This Row],[ID]], Table4[ID], Table4[Meats], "Not Found", 0)</f>
        <v>880</v>
      </c>
      <c r="N2126" s="5">
        <f>_xlfn.XLOOKUP(CustomerCombined[[#This Row],[ID]], Table4[ID], Table4[Seafood], "Not Found", 0)</f>
        <v>156</v>
      </c>
      <c r="O2126" s="5">
        <f>_xlfn.XLOOKUP(CustomerCombined[[#This Row],[ID]], Table4[ID], Table4[Sweets], "Not Found", 0)</f>
        <v>69</v>
      </c>
      <c r="P2126" s="5">
        <f>_xlfn.XLOOKUP(CustomerCombined[[#This Row],[ID]], Table4[ID], Table4[Premium], "Not Found", 0)</f>
        <v>0</v>
      </c>
      <c r="Q2126" s="5">
        <f>_xlfn.XLOOKUP(CustomerCombined[[#This Row],[ID]], Table4[ID], Table4[Regular], "Not Found", 0)</f>
        <v>2413</v>
      </c>
      <c r="R2126" s="5">
        <f>_xlfn.XLOOKUP(CustomerCombined[[#This Row],[ID]], Table4[ID], Table4[Deals], "Not Found", 0)</f>
        <v>3</v>
      </c>
      <c r="S2126" s="5">
        <f>_xlfn.XLOOKUP(CustomerCombined[[#This Row],[ID]], Table4[ID], Table4[Website], "Not Found", 0)</f>
        <v>6</v>
      </c>
      <c r="T2126" s="5">
        <f>_xlfn.XLOOKUP(CustomerCombined[[#This Row],[ID]], Table4[ID], Table4[Catalog], "Not Found", 0)</f>
        <v>7</v>
      </c>
      <c r="U2126" s="5">
        <f>_xlfn.XLOOKUP(CustomerCombined[[#This Row],[ID]], Table4[ID], Table4[Store], "Not Found", 0)</f>
        <v>11</v>
      </c>
      <c r="V2126" s="5">
        <f>_xlfn.XLOOKUP(CustomerCombined[[#This Row],[ID]], Table4[ID], Table4[Visits], "Not Found", 0)</f>
        <v>3</v>
      </c>
      <c r="W2126" s="8">
        <f>_xlfn.XLOOKUP(CustomerCombined[[#This Row],[ID]], Table2[ID],Table2[Complaint], "Not Found", 0 )</f>
        <v>0</v>
      </c>
      <c r="X2126" s="8">
        <f>_xlfn.XLOOKUP(CustomerCombined[[#This Row],[ID]], Table2[ID],Table2[Pilot], "Not Found", 0 )</f>
        <v>0</v>
      </c>
      <c r="Y2126" s="8">
        <f>_xlfn.XLOOKUP(CustomerCombined[[#This Row],[ID]], Table2[ID],Table2[MC1], "Not Found", 0 )</f>
        <v>0</v>
      </c>
      <c r="Z2126" s="8">
        <f>_xlfn.XLOOKUP(CustomerCombined[[#This Row],[ID]], Table2[ID],Table2[MC2], "Not Found", 0 )</f>
        <v>0</v>
      </c>
      <c r="AA2126" s="8">
        <f>_xlfn.XLOOKUP(CustomerCombined[[#This Row],[ID]], Table2[ID],Table2[MC3], "Not Found", 0 )</f>
        <v>0</v>
      </c>
      <c r="AB2126" s="8">
        <f>_xlfn.XLOOKUP(CustomerCombined[[#This Row],[ID]], Table2[ID],Table2[MC4], "Not Found", 0 )</f>
        <v>0</v>
      </c>
      <c r="AC2126" s="8">
        <f>_xlfn.XLOOKUP(CustomerCombined[[#This Row],[ID]], Table2[ID],Table2[MC5], "Not Found", 0 )</f>
        <v>0</v>
      </c>
    </row>
    <row r="2127" spans="1:29" x14ac:dyDescent="0.3">
      <c r="A2127" s="6">
        <v>3070</v>
      </c>
      <c r="B2127" s="6">
        <v>167911</v>
      </c>
      <c r="C2127" s="6">
        <v>0</v>
      </c>
      <c r="D2127" s="6">
        <v>1</v>
      </c>
      <c r="E2127" s="6">
        <v>71</v>
      </c>
      <c r="F2127" s="5" t="s">
        <v>8</v>
      </c>
      <c r="G2127" s="5" t="s">
        <v>13</v>
      </c>
      <c r="H2127" s="3" t="s">
        <v>45</v>
      </c>
      <c r="I2127" s="5" t="s">
        <v>439</v>
      </c>
      <c r="J2127" s="5">
        <f>_xlfn.XLOOKUP(CustomerCombined[[#This Row],[ID]], Table4[ID], Table4[Recency], "Not Found", 0)</f>
        <v>63</v>
      </c>
      <c r="K2127" s="5">
        <f>_xlfn.XLOOKUP(CustomerCombined[[#This Row],[ID]], Table4[ID], Table4[Teas], "Not Found", 0)</f>
        <v>1308</v>
      </c>
      <c r="L2127" s="5">
        <f>_xlfn.XLOOKUP(CustomerCombined[[#This Row],[ID]], Table4[ID], Table4[Fruits], "Not Found", 0)</f>
        <v>0</v>
      </c>
      <c r="M2127" s="5">
        <f>_xlfn.XLOOKUP(CustomerCombined[[#This Row],[ID]], Table4[ID], Table4[Meats], "Not Found", 0)</f>
        <v>880</v>
      </c>
      <c r="N2127" s="5">
        <f>_xlfn.XLOOKUP(CustomerCombined[[#This Row],[ID]], Table4[ID], Table4[Seafood], "Not Found", 0)</f>
        <v>156</v>
      </c>
      <c r="O2127" s="5">
        <f>_xlfn.XLOOKUP(CustomerCombined[[#This Row],[ID]], Table4[ID], Table4[Sweets], "Not Found", 0)</f>
        <v>69</v>
      </c>
      <c r="P2127" s="5">
        <f>_xlfn.XLOOKUP(CustomerCombined[[#This Row],[ID]], Table4[ID], Table4[Premium], "Not Found", 0)</f>
        <v>0</v>
      </c>
      <c r="Q2127" s="5">
        <f>_xlfn.XLOOKUP(CustomerCombined[[#This Row],[ID]], Table4[ID], Table4[Regular], "Not Found", 0)</f>
        <v>2413</v>
      </c>
      <c r="R2127" s="5">
        <f>_xlfn.XLOOKUP(CustomerCombined[[#This Row],[ID]], Table4[ID], Table4[Deals], "Not Found", 0)</f>
        <v>3</v>
      </c>
      <c r="S2127" s="5">
        <f>_xlfn.XLOOKUP(CustomerCombined[[#This Row],[ID]], Table4[ID], Table4[Website], "Not Found", 0)</f>
        <v>6</v>
      </c>
      <c r="T2127" s="5">
        <f>_xlfn.XLOOKUP(CustomerCombined[[#This Row],[ID]], Table4[ID], Table4[Catalog], "Not Found", 0)</f>
        <v>7</v>
      </c>
      <c r="U2127" s="5">
        <f>_xlfn.XLOOKUP(CustomerCombined[[#This Row],[ID]], Table4[ID], Table4[Store], "Not Found", 0)</f>
        <v>11</v>
      </c>
      <c r="V2127" s="5">
        <f>_xlfn.XLOOKUP(CustomerCombined[[#This Row],[ID]], Table4[ID], Table4[Visits], "Not Found", 0)</f>
        <v>3</v>
      </c>
      <c r="W2127" s="8">
        <f>_xlfn.XLOOKUP(CustomerCombined[[#This Row],[ID]], Table2[ID],Table2[Complaint], "Not Found", 0 )</f>
        <v>0</v>
      </c>
      <c r="X2127" s="8">
        <f>_xlfn.XLOOKUP(CustomerCombined[[#This Row],[ID]], Table2[ID],Table2[Pilot], "Not Found", 0 )</f>
        <v>0</v>
      </c>
      <c r="Y2127" s="8">
        <f>_xlfn.XLOOKUP(CustomerCombined[[#This Row],[ID]], Table2[ID],Table2[MC1], "Not Found", 0 )</f>
        <v>0</v>
      </c>
      <c r="Z2127" s="8">
        <f>_xlfn.XLOOKUP(CustomerCombined[[#This Row],[ID]], Table2[ID],Table2[MC2], "Not Found", 0 )</f>
        <v>0</v>
      </c>
      <c r="AA2127" s="8">
        <f>_xlfn.XLOOKUP(CustomerCombined[[#This Row],[ID]], Table2[ID],Table2[MC3], "Not Found", 0 )</f>
        <v>0</v>
      </c>
      <c r="AB2127" s="8">
        <f>_xlfn.XLOOKUP(CustomerCombined[[#This Row],[ID]], Table2[ID],Table2[MC4], "Not Found", 0 )</f>
        <v>0</v>
      </c>
      <c r="AC2127" s="8">
        <f>_xlfn.XLOOKUP(CustomerCombined[[#This Row],[ID]], Table2[ID],Table2[MC5], "Not Found", 0 )</f>
        <v>0</v>
      </c>
    </row>
    <row r="2128" spans="1:29" x14ac:dyDescent="0.3">
      <c r="A2128" s="6">
        <v>2041</v>
      </c>
      <c r="B2128" s="6">
        <v>162845</v>
      </c>
      <c r="C2128" s="6">
        <v>1</v>
      </c>
      <c r="D2128" s="6">
        <v>1</v>
      </c>
      <c r="E2128" s="6">
        <v>71</v>
      </c>
      <c r="F2128" s="5" t="s">
        <v>6</v>
      </c>
      <c r="G2128" s="5" t="s">
        <v>12</v>
      </c>
      <c r="H2128" s="3">
        <v>43680</v>
      </c>
      <c r="I2128" s="5" t="s">
        <v>437</v>
      </c>
      <c r="J2128" s="5">
        <f>_xlfn.XLOOKUP(CustomerCombined[[#This Row],[ID]], Table4[ID], Table4[Recency], "Not Found", 0)</f>
        <v>3</v>
      </c>
      <c r="K2128" s="5">
        <f>_xlfn.XLOOKUP(CustomerCombined[[#This Row],[ID]], Table4[ID], Table4[Teas], "Not Found", 0)</f>
        <v>2848</v>
      </c>
      <c r="L2128" s="5">
        <f>_xlfn.XLOOKUP(CustomerCombined[[#This Row],[ID]], Table4[ID], Table4[Fruits], "Not Found", 0)</f>
        <v>0</v>
      </c>
      <c r="M2128" s="5">
        <f>_xlfn.XLOOKUP(CustomerCombined[[#This Row],[ID]], Table4[ID], Table4[Meats], "Not Found", 0)</f>
        <v>117</v>
      </c>
      <c r="N2128" s="5">
        <f>_xlfn.XLOOKUP(CustomerCombined[[#This Row],[ID]], Table4[ID], Table4[Seafood], "Not Found", 0)</f>
        <v>0</v>
      </c>
      <c r="O2128" s="5">
        <f>_xlfn.XLOOKUP(CustomerCombined[[#This Row],[ID]], Table4[ID], Table4[Sweets], "Not Found", 0)</f>
        <v>0</v>
      </c>
      <c r="P2128" s="5">
        <f>_xlfn.XLOOKUP(CustomerCombined[[#This Row],[ID]], Table4[ID], Table4[Premium], "Not Found", 0)</f>
        <v>88</v>
      </c>
      <c r="Q2128" s="5">
        <f>_xlfn.XLOOKUP(CustomerCombined[[#This Row],[ID]], Table4[ID], Table4[Regular], "Not Found", 0)</f>
        <v>2876</v>
      </c>
      <c r="R2128" s="5">
        <f>_xlfn.XLOOKUP(CustomerCombined[[#This Row],[ID]], Table4[ID], Table4[Deals], "Not Found", 0)</f>
        <v>11</v>
      </c>
      <c r="S2128" s="5">
        <f>_xlfn.XLOOKUP(CustomerCombined[[#This Row],[ID]], Table4[ID], Table4[Website], "Not Found", 0)</f>
        <v>3</v>
      </c>
      <c r="T2128" s="5">
        <f>_xlfn.XLOOKUP(CustomerCombined[[#This Row],[ID]], Table4[ID], Table4[Catalog], "Not Found", 0)</f>
        <v>4</v>
      </c>
      <c r="U2128" s="5">
        <f>_xlfn.XLOOKUP(CustomerCombined[[#This Row],[ID]], Table4[ID], Table4[Store], "Not Found", 0)</f>
        <v>10</v>
      </c>
      <c r="V2128" s="5">
        <f>_xlfn.XLOOKUP(CustomerCombined[[#This Row],[ID]], Table4[ID], Table4[Visits], "Not Found", 0)</f>
        <v>8</v>
      </c>
      <c r="W2128" s="8">
        <f>_xlfn.XLOOKUP(CustomerCombined[[#This Row],[ID]], Table2[ID],Table2[Complaint], "Not Found", 0 )</f>
        <v>0</v>
      </c>
      <c r="X2128" s="8">
        <f>_xlfn.XLOOKUP(CustomerCombined[[#This Row],[ID]], Table2[ID],Table2[Pilot], "Not Found", 0 )</f>
        <v>0</v>
      </c>
      <c r="Y2128" s="8">
        <f>_xlfn.XLOOKUP(CustomerCombined[[#This Row],[ID]], Table2[ID],Table2[MC1], "Not Found", 0 )</f>
        <v>0</v>
      </c>
      <c r="Z2128" s="8">
        <f>_xlfn.XLOOKUP(CustomerCombined[[#This Row],[ID]], Table2[ID],Table2[MC2], "Not Found", 0 )</f>
        <v>0</v>
      </c>
      <c r="AA2128" s="8">
        <f>_xlfn.XLOOKUP(CustomerCombined[[#This Row],[ID]], Table2[ID],Table2[MC3], "Not Found", 0 )</f>
        <v>0</v>
      </c>
      <c r="AB2128" s="8">
        <f>_xlfn.XLOOKUP(CustomerCombined[[#This Row],[ID]], Table2[ID],Table2[MC4], "Not Found", 0 )</f>
        <v>1</v>
      </c>
      <c r="AC2128" s="8">
        <f>_xlfn.XLOOKUP(CustomerCombined[[#This Row],[ID]], Table2[ID],Table2[MC5], "Not Found", 0 )</f>
        <v>0</v>
      </c>
    </row>
    <row r="2129" spans="1:29" x14ac:dyDescent="0.3">
      <c r="A2129" s="6">
        <v>2322</v>
      </c>
      <c r="B2129" s="6">
        <v>162845</v>
      </c>
      <c r="C2129" s="6">
        <v>1</v>
      </c>
      <c r="D2129" s="6">
        <v>1</v>
      </c>
      <c r="E2129" s="6">
        <v>71</v>
      </c>
      <c r="F2129" s="5" t="s">
        <v>6</v>
      </c>
      <c r="G2129" s="5" t="s">
        <v>12</v>
      </c>
      <c r="H2129" s="3">
        <v>43680</v>
      </c>
      <c r="I2129" s="5" t="s">
        <v>436</v>
      </c>
      <c r="J2129" s="5">
        <f>_xlfn.XLOOKUP(CustomerCombined[[#This Row],[ID]], Table4[ID], Table4[Recency], "Not Found", 0)</f>
        <v>3</v>
      </c>
      <c r="K2129" s="5">
        <f>_xlfn.XLOOKUP(CustomerCombined[[#This Row],[ID]], Table4[ID], Table4[Teas], "Not Found", 0)</f>
        <v>2848</v>
      </c>
      <c r="L2129" s="5">
        <f>_xlfn.XLOOKUP(CustomerCombined[[#This Row],[ID]], Table4[ID], Table4[Fruits], "Not Found", 0)</f>
        <v>0</v>
      </c>
      <c r="M2129" s="5">
        <f>_xlfn.XLOOKUP(CustomerCombined[[#This Row],[ID]], Table4[ID], Table4[Meats], "Not Found", 0)</f>
        <v>117</v>
      </c>
      <c r="N2129" s="5">
        <f>_xlfn.XLOOKUP(CustomerCombined[[#This Row],[ID]], Table4[ID], Table4[Seafood], "Not Found", 0)</f>
        <v>0</v>
      </c>
      <c r="O2129" s="5">
        <f>_xlfn.XLOOKUP(CustomerCombined[[#This Row],[ID]], Table4[ID], Table4[Sweets], "Not Found", 0)</f>
        <v>0</v>
      </c>
      <c r="P2129" s="5">
        <f>_xlfn.XLOOKUP(CustomerCombined[[#This Row],[ID]], Table4[ID], Table4[Premium], "Not Found", 0)</f>
        <v>88</v>
      </c>
      <c r="Q2129" s="5">
        <f>_xlfn.XLOOKUP(CustomerCombined[[#This Row],[ID]], Table4[ID], Table4[Regular], "Not Found", 0)</f>
        <v>2876</v>
      </c>
      <c r="R2129" s="5">
        <f>_xlfn.XLOOKUP(CustomerCombined[[#This Row],[ID]], Table4[ID], Table4[Deals], "Not Found", 0)</f>
        <v>11</v>
      </c>
      <c r="S2129" s="5">
        <f>_xlfn.XLOOKUP(CustomerCombined[[#This Row],[ID]], Table4[ID], Table4[Website], "Not Found", 0)</f>
        <v>3</v>
      </c>
      <c r="T2129" s="5">
        <f>_xlfn.XLOOKUP(CustomerCombined[[#This Row],[ID]], Table4[ID], Table4[Catalog], "Not Found", 0)</f>
        <v>4</v>
      </c>
      <c r="U2129" s="5">
        <f>_xlfn.XLOOKUP(CustomerCombined[[#This Row],[ID]], Table4[ID], Table4[Store], "Not Found", 0)</f>
        <v>10</v>
      </c>
      <c r="V2129" s="5">
        <f>_xlfn.XLOOKUP(CustomerCombined[[#This Row],[ID]], Table4[ID], Table4[Visits], "Not Found", 0)</f>
        <v>8</v>
      </c>
      <c r="W2129" s="8">
        <f>_xlfn.XLOOKUP(CustomerCombined[[#This Row],[ID]], Table2[ID],Table2[Complaint], "Not Found", 0 )</f>
        <v>0</v>
      </c>
      <c r="X2129" s="8">
        <f>_xlfn.XLOOKUP(CustomerCombined[[#This Row],[ID]], Table2[ID],Table2[Pilot], "Not Found", 0 )</f>
        <v>1</v>
      </c>
      <c r="Y2129" s="8">
        <f>_xlfn.XLOOKUP(CustomerCombined[[#This Row],[ID]], Table2[ID],Table2[MC1], "Not Found", 0 )</f>
        <v>0</v>
      </c>
      <c r="Z2129" s="8">
        <f>_xlfn.XLOOKUP(CustomerCombined[[#This Row],[ID]], Table2[ID],Table2[MC2], "Not Found", 0 )</f>
        <v>0</v>
      </c>
      <c r="AA2129" s="8">
        <f>_xlfn.XLOOKUP(CustomerCombined[[#This Row],[ID]], Table2[ID],Table2[MC3], "Not Found", 0 )</f>
        <v>0</v>
      </c>
      <c r="AB2129" s="8">
        <f>_xlfn.XLOOKUP(CustomerCombined[[#This Row],[ID]], Table2[ID],Table2[MC4], "Not Found", 0 )</f>
        <v>1</v>
      </c>
      <c r="AC2129" s="8">
        <f>_xlfn.XLOOKUP(CustomerCombined[[#This Row],[ID]], Table2[ID],Table2[MC5], "Not Found", 0 )</f>
        <v>0</v>
      </c>
    </row>
    <row r="2130" spans="1:29" x14ac:dyDescent="0.3">
      <c r="A2130" s="6">
        <v>1022</v>
      </c>
      <c r="B2130" s="6">
        <v>158607</v>
      </c>
      <c r="C2130" s="6">
        <v>0</v>
      </c>
      <c r="D2130" s="6">
        <v>1</v>
      </c>
      <c r="E2130" s="6">
        <v>71</v>
      </c>
      <c r="F2130" s="5" t="s">
        <v>6</v>
      </c>
      <c r="G2130" s="5" t="s">
        <v>13</v>
      </c>
      <c r="H2130" s="3" t="s">
        <v>336</v>
      </c>
      <c r="I2130" s="5" t="s">
        <v>438</v>
      </c>
      <c r="J2130" s="5">
        <f>_xlfn.XLOOKUP(CustomerCombined[[#This Row],[ID]], Table4[ID], Table4[Recency], "Not Found", 0)</f>
        <v>63</v>
      </c>
      <c r="K2130" s="5">
        <f>_xlfn.XLOOKUP(CustomerCombined[[#This Row],[ID]], Table4[ID], Table4[Teas], "Not Found", 0)</f>
        <v>2346</v>
      </c>
      <c r="L2130" s="5">
        <f>_xlfn.XLOOKUP(CustomerCombined[[#This Row],[ID]], Table4[ID], Table4[Fruits], "Not Found", 0)</f>
        <v>0</v>
      </c>
      <c r="M2130" s="5">
        <f>_xlfn.XLOOKUP(CustomerCombined[[#This Row],[ID]], Table4[ID], Table4[Meats], "Not Found", 0)</f>
        <v>233</v>
      </c>
      <c r="N2130" s="5">
        <f>_xlfn.XLOOKUP(CustomerCombined[[#This Row],[ID]], Table4[ID], Table4[Seafood], "Not Found", 0)</f>
        <v>0</v>
      </c>
      <c r="O2130" s="5">
        <f>_xlfn.XLOOKUP(CustomerCombined[[#This Row],[ID]], Table4[ID], Table4[Sweets], "Not Found", 0)</f>
        <v>0</v>
      </c>
      <c r="P2130" s="5">
        <f>_xlfn.XLOOKUP(CustomerCombined[[#This Row],[ID]], Table4[ID], Table4[Premium], "Not Found", 0)</f>
        <v>51</v>
      </c>
      <c r="Q2130" s="5">
        <f>_xlfn.XLOOKUP(CustomerCombined[[#This Row],[ID]], Table4[ID], Table4[Regular], "Not Found", 0)</f>
        <v>2528</v>
      </c>
      <c r="R2130" s="5">
        <f>_xlfn.XLOOKUP(CustomerCombined[[#This Row],[ID]], Table4[ID], Table4[Deals], "Not Found", 0)</f>
        <v>3</v>
      </c>
      <c r="S2130" s="5">
        <f>_xlfn.XLOOKUP(CustomerCombined[[#This Row],[ID]], Table4[ID], Table4[Website], "Not Found", 0)</f>
        <v>2</v>
      </c>
      <c r="T2130" s="5">
        <f>_xlfn.XLOOKUP(CustomerCombined[[#This Row],[ID]], Table4[ID], Table4[Catalog], "Not Found", 0)</f>
        <v>3</v>
      </c>
      <c r="U2130" s="5">
        <f>_xlfn.XLOOKUP(CustomerCombined[[#This Row],[ID]], Table4[ID], Table4[Store], "Not Found", 0)</f>
        <v>9</v>
      </c>
      <c r="V2130" s="5">
        <f>_xlfn.XLOOKUP(CustomerCombined[[#This Row],[ID]], Table4[ID], Table4[Visits], "Not Found", 0)</f>
        <v>8</v>
      </c>
      <c r="W2130" s="8">
        <f>_xlfn.XLOOKUP(CustomerCombined[[#This Row],[ID]], Table2[ID],Table2[Complaint], "Not Found", 0 )</f>
        <v>0</v>
      </c>
      <c r="X2130" s="8">
        <f>_xlfn.XLOOKUP(CustomerCombined[[#This Row],[ID]], Table2[ID],Table2[Pilot], "Not Found", 0 )</f>
        <v>0</v>
      </c>
      <c r="Y2130" s="8">
        <f>_xlfn.XLOOKUP(CustomerCombined[[#This Row],[ID]], Table2[ID],Table2[MC1], "Not Found", 0 )</f>
        <v>0</v>
      </c>
      <c r="Z2130" s="8">
        <f>_xlfn.XLOOKUP(CustomerCombined[[#This Row],[ID]], Table2[ID],Table2[MC2], "Not Found", 0 )</f>
        <v>0</v>
      </c>
      <c r="AA2130" s="8">
        <f>_xlfn.XLOOKUP(CustomerCombined[[#This Row],[ID]], Table2[ID],Table2[MC3], "Not Found", 0 )</f>
        <v>0</v>
      </c>
      <c r="AB2130" s="8">
        <f>_xlfn.XLOOKUP(CustomerCombined[[#This Row],[ID]], Table2[ID],Table2[MC4], "Not Found", 0 )</f>
        <v>1</v>
      </c>
      <c r="AC2130" s="8">
        <f>_xlfn.XLOOKUP(CustomerCombined[[#This Row],[ID]], Table2[ID],Table2[MC5], "Not Found", 0 )</f>
        <v>0</v>
      </c>
    </row>
    <row r="2131" spans="1:29" x14ac:dyDescent="0.3">
      <c r="A2131" s="6">
        <v>3043</v>
      </c>
      <c r="B2131" s="6">
        <v>154591</v>
      </c>
      <c r="C2131" s="6">
        <v>0</v>
      </c>
      <c r="D2131" s="6">
        <v>1</v>
      </c>
      <c r="E2131" s="6">
        <v>71</v>
      </c>
      <c r="F2131" s="5" t="s">
        <v>8</v>
      </c>
      <c r="G2131" s="5" t="s">
        <v>11</v>
      </c>
      <c r="H2131" s="3">
        <v>44105</v>
      </c>
      <c r="I2131" s="5" t="s">
        <v>437</v>
      </c>
      <c r="J2131" s="5">
        <f>_xlfn.XLOOKUP(CustomerCombined[[#This Row],[ID]], Table4[ID], Table4[Recency], "Not Found", 0)</f>
        <v>63</v>
      </c>
      <c r="K2131" s="5">
        <f>_xlfn.XLOOKUP(CustomerCombined[[#This Row],[ID]], Table4[ID], Table4[Teas], "Not Found", 0)</f>
        <v>1065</v>
      </c>
      <c r="L2131" s="5">
        <f>_xlfn.XLOOKUP(CustomerCombined[[#This Row],[ID]], Table4[ID], Table4[Fruits], "Not Found", 0)</f>
        <v>11</v>
      </c>
      <c r="M2131" s="5">
        <f>_xlfn.XLOOKUP(CustomerCombined[[#This Row],[ID]], Table4[ID], Table4[Meats], "Not Found", 0)</f>
        <v>266</v>
      </c>
      <c r="N2131" s="5">
        <f>_xlfn.XLOOKUP(CustomerCombined[[#This Row],[ID]], Table4[ID], Table4[Seafood], "Not Found", 0)</f>
        <v>34</v>
      </c>
      <c r="O2131" s="5">
        <f>_xlfn.XLOOKUP(CustomerCombined[[#This Row],[ID]], Table4[ID], Table4[Sweets], "Not Found", 0)</f>
        <v>25</v>
      </c>
      <c r="P2131" s="5">
        <f>_xlfn.XLOOKUP(CustomerCombined[[#This Row],[ID]], Table4[ID], Table4[Premium], "Not Found", 0)</f>
        <v>68</v>
      </c>
      <c r="Q2131" s="5">
        <f>_xlfn.XLOOKUP(CustomerCombined[[#This Row],[ID]], Table4[ID], Table4[Regular], "Not Found", 0)</f>
        <v>1334</v>
      </c>
      <c r="R2131" s="5">
        <f>_xlfn.XLOOKUP(CustomerCombined[[#This Row],[ID]], Table4[ID], Table4[Deals], "Not Found", 0)</f>
        <v>3</v>
      </c>
      <c r="S2131" s="5">
        <f>_xlfn.XLOOKUP(CustomerCombined[[#This Row],[ID]], Table4[ID], Table4[Website], "Not Found", 0)</f>
        <v>6</v>
      </c>
      <c r="T2131" s="5">
        <f>_xlfn.XLOOKUP(CustomerCombined[[#This Row],[ID]], Table4[ID], Table4[Catalog], "Not Found", 0)</f>
        <v>2</v>
      </c>
      <c r="U2131" s="5">
        <f>_xlfn.XLOOKUP(CustomerCombined[[#This Row],[ID]], Table4[ID], Table4[Store], "Not Found", 0)</f>
        <v>8</v>
      </c>
      <c r="V2131" s="5">
        <f>_xlfn.XLOOKUP(CustomerCombined[[#This Row],[ID]], Table4[ID], Table4[Visits], "Not Found", 0)</f>
        <v>5</v>
      </c>
      <c r="W2131" s="8">
        <f>_xlfn.XLOOKUP(CustomerCombined[[#This Row],[ID]], Table2[ID],Table2[Complaint], "Not Found", 0 )</f>
        <v>0</v>
      </c>
      <c r="X2131" s="8">
        <f>_xlfn.XLOOKUP(CustomerCombined[[#This Row],[ID]], Table2[ID],Table2[Pilot], "Not Found", 0 )</f>
        <v>0</v>
      </c>
      <c r="Y2131" s="8">
        <f>_xlfn.XLOOKUP(CustomerCombined[[#This Row],[ID]], Table2[ID],Table2[MC1], "Not Found", 0 )</f>
        <v>0</v>
      </c>
      <c r="Z2131" s="8">
        <f>_xlfn.XLOOKUP(CustomerCombined[[#This Row],[ID]], Table2[ID],Table2[MC2], "Not Found", 0 )</f>
        <v>0</v>
      </c>
      <c r="AA2131" s="8">
        <f>_xlfn.XLOOKUP(CustomerCombined[[#This Row],[ID]], Table2[ID],Table2[MC3], "Not Found", 0 )</f>
        <v>0</v>
      </c>
      <c r="AB2131" s="8">
        <f>_xlfn.XLOOKUP(CustomerCombined[[#This Row],[ID]], Table2[ID],Table2[MC4], "Not Found", 0 )</f>
        <v>0</v>
      </c>
      <c r="AC2131" s="8">
        <f>_xlfn.XLOOKUP(CustomerCombined[[#This Row],[ID]], Table2[ID],Table2[MC5], "Not Found", 0 )</f>
        <v>0</v>
      </c>
    </row>
    <row r="2132" spans="1:29" x14ac:dyDescent="0.3">
      <c r="A2132" s="6">
        <v>2912</v>
      </c>
      <c r="B2132" s="6">
        <v>154356</v>
      </c>
      <c r="C2132" s="6">
        <v>0</v>
      </c>
      <c r="D2132" s="6">
        <v>1</v>
      </c>
      <c r="E2132" s="6">
        <v>71</v>
      </c>
      <c r="F2132" s="5" t="s">
        <v>9</v>
      </c>
      <c r="G2132" s="5" t="s">
        <v>13</v>
      </c>
      <c r="H2132" s="3" t="s">
        <v>357</v>
      </c>
      <c r="I2132" s="5" t="s">
        <v>438</v>
      </c>
      <c r="J2132" s="5">
        <f>_xlfn.XLOOKUP(CustomerCombined[[#This Row],[ID]], Table4[ID], Table4[Recency], "Not Found", 0)</f>
        <v>62</v>
      </c>
      <c r="K2132" s="5">
        <f>_xlfn.XLOOKUP(CustomerCombined[[#This Row],[ID]], Table4[ID], Table4[Teas], "Not Found", 0)</f>
        <v>2016</v>
      </c>
      <c r="L2132" s="5">
        <f>_xlfn.XLOOKUP(CustomerCombined[[#This Row],[ID]], Table4[ID], Table4[Fruits], "Not Found", 0)</f>
        <v>43</v>
      </c>
      <c r="M2132" s="5">
        <f>_xlfn.XLOOKUP(CustomerCombined[[#This Row],[ID]], Table4[ID], Table4[Meats], "Not Found", 0)</f>
        <v>85</v>
      </c>
      <c r="N2132" s="5">
        <f>_xlfn.XLOOKUP(CustomerCombined[[#This Row],[ID]], Table4[ID], Table4[Seafood], "Not Found", 0)</f>
        <v>57</v>
      </c>
      <c r="O2132" s="5">
        <f>_xlfn.XLOOKUP(CustomerCombined[[#This Row],[ID]], Table4[ID], Table4[Sweets], "Not Found", 0)</f>
        <v>0</v>
      </c>
      <c r="P2132" s="5">
        <f>_xlfn.XLOOKUP(CustomerCombined[[#This Row],[ID]], Table4[ID], Table4[Premium], "Not Found", 0)</f>
        <v>0</v>
      </c>
      <c r="Q2132" s="5">
        <f>_xlfn.XLOOKUP(CustomerCombined[[#This Row],[ID]], Table4[ID], Table4[Regular], "Not Found", 0)</f>
        <v>2201</v>
      </c>
      <c r="R2132" s="5">
        <f>_xlfn.XLOOKUP(CustomerCombined[[#This Row],[ID]], Table4[ID], Table4[Deals], "Not Found", 0)</f>
        <v>3</v>
      </c>
      <c r="S2132" s="5">
        <f>_xlfn.XLOOKUP(CustomerCombined[[#This Row],[ID]], Table4[ID], Table4[Website], "Not Found", 0)</f>
        <v>11</v>
      </c>
      <c r="T2132" s="5">
        <f>_xlfn.XLOOKUP(CustomerCombined[[#This Row],[ID]], Table4[ID], Table4[Catalog], "Not Found", 0)</f>
        <v>2</v>
      </c>
      <c r="U2132" s="5">
        <f>_xlfn.XLOOKUP(CustomerCombined[[#This Row],[ID]], Table4[ID], Table4[Store], "Not Found", 0)</f>
        <v>8</v>
      </c>
      <c r="V2132" s="5">
        <f>_xlfn.XLOOKUP(CustomerCombined[[#This Row],[ID]], Table4[ID], Table4[Visits], "Not Found", 0)</f>
        <v>8</v>
      </c>
      <c r="W2132" s="8">
        <f>_xlfn.XLOOKUP(CustomerCombined[[#This Row],[ID]], Table2[ID],Table2[Complaint], "Not Found", 0 )</f>
        <v>0</v>
      </c>
      <c r="X2132" s="8">
        <f>_xlfn.XLOOKUP(CustomerCombined[[#This Row],[ID]], Table2[ID],Table2[Pilot], "Not Found", 0 )</f>
        <v>1</v>
      </c>
      <c r="Y2132" s="8">
        <f>_xlfn.XLOOKUP(CustomerCombined[[#This Row],[ID]], Table2[ID],Table2[MC1], "Not Found", 0 )</f>
        <v>0</v>
      </c>
      <c r="Z2132" s="8">
        <f>_xlfn.XLOOKUP(CustomerCombined[[#This Row],[ID]], Table2[ID],Table2[MC2], "Not Found", 0 )</f>
        <v>0</v>
      </c>
      <c r="AA2132" s="8">
        <f>_xlfn.XLOOKUP(CustomerCombined[[#This Row],[ID]], Table2[ID],Table2[MC3], "Not Found", 0 )</f>
        <v>0</v>
      </c>
      <c r="AB2132" s="8">
        <f>_xlfn.XLOOKUP(CustomerCombined[[#This Row],[ID]], Table2[ID],Table2[MC4], "Not Found", 0 )</f>
        <v>0</v>
      </c>
      <c r="AC2132" s="8">
        <f>_xlfn.XLOOKUP(CustomerCombined[[#This Row],[ID]], Table2[ID],Table2[MC5], "Not Found", 0 )</f>
        <v>0</v>
      </c>
    </row>
    <row r="2133" spans="1:29" x14ac:dyDescent="0.3">
      <c r="A2133" s="6">
        <v>2728</v>
      </c>
      <c r="B2133" s="6">
        <v>151569</v>
      </c>
      <c r="C2133" s="6">
        <v>0</v>
      </c>
      <c r="D2133" s="6">
        <v>1</v>
      </c>
      <c r="E2133" s="6">
        <v>71</v>
      </c>
      <c r="F2133" s="5" t="s">
        <v>9</v>
      </c>
      <c r="G2133" s="5" t="s">
        <v>13</v>
      </c>
      <c r="H2133" s="3" t="s">
        <v>311</v>
      </c>
      <c r="I2133" s="5" t="s">
        <v>439</v>
      </c>
      <c r="J2133" s="5">
        <f>_xlfn.XLOOKUP(CustomerCombined[[#This Row],[ID]], Table4[ID], Table4[Recency], "Not Found", 0)</f>
        <v>39</v>
      </c>
      <c r="K2133" s="5">
        <f>_xlfn.XLOOKUP(CustomerCombined[[#This Row],[ID]], Table4[ID], Table4[Teas], "Not Found", 0)</f>
        <v>1117</v>
      </c>
      <c r="L2133" s="5">
        <f>_xlfn.XLOOKUP(CustomerCombined[[#This Row],[ID]], Table4[ID], Table4[Fruits], "Not Found", 0)</f>
        <v>0</v>
      </c>
      <c r="M2133" s="5">
        <f>_xlfn.XLOOKUP(CustomerCombined[[#This Row],[ID]], Table4[ID], Table4[Meats], "Not Found", 0)</f>
        <v>138</v>
      </c>
      <c r="N2133" s="5">
        <f>_xlfn.XLOOKUP(CustomerCombined[[#This Row],[ID]], Table4[ID], Table4[Seafood], "Not Found", 0)</f>
        <v>18</v>
      </c>
      <c r="O2133" s="5">
        <f>_xlfn.XLOOKUP(CustomerCombined[[#This Row],[ID]], Table4[ID], Table4[Sweets], "Not Found", 0)</f>
        <v>0</v>
      </c>
      <c r="P2133" s="5">
        <f>_xlfn.XLOOKUP(CustomerCombined[[#This Row],[ID]], Table4[ID], Table4[Premium], "Not Found", 0)</f>
        <v>100</v>
      </c>
      <c r="Q2133" s="5">
        <f>_xlfn.XLOOKUP(CustomerCombined[[#This Row],[ID]], Table4[ID], Table4[Regular], "Not Found", 0)</f>
        <v>1173</v>
      </c>
      <c r="R2133" s="5">
        <f>_xlfn.XLOOKUP(CustomerCombined[[#This Row],[ID]], Table4[ID], Table4[Deals], "Not Found", 0)</f>
        <v>4</v>
      </c>
      <c r="S2133" s="5">
        <f>_xlfn.XLOOKUP(CustomerCombined[[#This Row],[ID]], Table4[ID], Table4[Website], "Not Found", 0)</f>
        <v>7</v>
      </c>
      <c r="T2133" s="5">
        <f>_xlfn.XLOOKUP(CustomerCombined[[#This Row],[ID]], Table4[ID], Table4[Catalog], "Not Found", 0)</f>
        <v>1</v>
      </c>
      <c r="U2133" s="5">
        <f>_xlfn.XLOOKUP(CustomerCombined[[#This Row],[ID]], Table4[ID], Table4[Store], "Not Found", 0)</f>
        <v>7</v>
      </c>
      <c r="V2133" s="5">
        <f>_xlfn.XLOOKUP(CustomerCombined[[#This Row],[ID]], Table4[ID], Table4[Visits], "Not Found", 0)</f>
        <v>8</v>
      </c>
      <c r="W2133" s="8">
        <f>_xlfn.XLOOKUP(CustomerCombined[[#This Row],[ID]], Table2[ID],Table2[Complaint], "Not Found", 0 )</f>
        <v>0</v>
      </c>
      <c r="X2133" s="8">
        <f>_xlfn.XLOOKUP(CustomerCombined[[#This Row],[ID]], Table2[ID],Table2[Pilot], "Not Found", 0 )</f>
        <v>1</v>
      </c>
      <c r="Y2133" s="8">
        <f>_xlfn.XLOOKUP(CustomerCombined[[#This Row],[ID]], Table2[ID],Table2[MC1], "Not Found", 0 )</f>
        <v>0</v>
      </c>
      <c r="Z2133" s="8">
        <f>_xlfn.XLOOKUP(CustomerCombined[[#This Row],[ID]], Table2[ID],Table2[MC2], "Not Found", 0 )</f>
        <v>0</v>
      </c>
      <c r="AA2133" s="8">
        <f>_xlfn.XLOOKUP(CustomerCombined[[#This Row],[ID]], Table2[ID],Table2[MC3], "Not Found", 0 )</f>
        <v>0</v>
      </c>
      <c r="AB2133" s="8">
        <f>_xlfn.XLOOKUP(CustomerCombined[[#This Row],[ID]], Table2[ID],Table2[MC4], "Not Found", 0 )</f>
        <v>1</v>
      </c>
      <c r="AC2133" s="8">
        <f>_xlfn.XLOOKUP(CustomerCombined[[#This Row],[ID]], Table2[ID],Table2[MC5], "Not Found", 0 )</f>
        <v>0</v>
      </c>
    </row>
    <row r="2134" spans="1:29" x14ac:dyDescent="0.3">
      <c r="A2134" s="6">
        <v>1421</v>
      </c>
      <c r="B2134" s="6">
        <v>151529</v>
      </c>
      <c r="C2134" s="6">
        <v>0</v>
      </c>
      <c r="D2134" s="6">
        <v>1</v>
      </c>
      <c r="E2134" s="6">
        <v>71</v>
      </c>
      <c r="F2134" s="5" t="s">
        <v>9</v>
      </c>
      <c r="G2134" s="5" t="s">
        <v>12</v>
      </c>
      <c r="H2134" s="3">
        <v>44167</v>
      </c>
      <c r="I2134" s="5" t="s">
        <v>434</v>
      </c>
      <c r="J2134" s="5">
        <f>_xlfn.XLOOKUP(CustomerCombined[[#This Row],[ID]], Table4[ID], Table4[Recency], "Not Found", 0)</f>
        <v>14</v>
      </c>
      <c r="K2134" s="5">
        <f>_xlfn.XLOOKUP(CustomerCombined[[#This Row],[ID]], Table4[ID], Table4[Teas], "Not Found", 0)</f>
        <v>1176</v>
      </c>
      <c r="L2134" s="5">
        <f>_xlfn.XLOOKUP(CustomerCombined[[#This Row],[ID]], Table4[ID], Table4[Fruits], "Not Found", 0)</f>
        <v>12</v>
      </c>
      <c r="M2134" s="5">
        <f>_xlfn.XLOOKUP(CustomerCombined[[#This Row],[ID]], Table4[ID], Table4[Meats], "Not Found", 0)</f>
        <v>103</v>
      </c>
      <c r="N2134" s="5">
        <f>_xlfn.XLOOKUP(CustomerCombined[[#This Row],[ID]], Table4[ID], Table4[Seafood], "Not Found", 0)</f>
        <v>18</v>
      </c>
      <c r="O2134" s="5">
        <f>_xlfn.XLOOKUP(CustomerCombined[[#This Row],[ID]], Table4[ID], Table4[Sweets], "Not Found", 0)</f>
        <v>0</v>
      </c>
      <c r="P2134" s="5">
        <f>_xlfn.XLOOKUP(CustomerCombined[[#This Row],[ID]], Table4[ID], Table4[Premium], "Not Found", 0)</f>
        <v>65</v>
      </c>
      <c r="Q2134" s="5">
        <f>_xlfn.XLOOKUP(CustomerCombined[[#This Row],[ID]], Table4[ID], Table4[Regular], "Not Found", 0)</f>
        <v>1244</v>
      </c>
      <c r="R2134" s="5">
        <f>_xlfn.XLOOKUP(CustomerCombined[[#This Row],[ID]], Table4[ID], Table4[Deals], "Not Found", 0)</f>
        <v>2</v>
      </c>
      <c r="S2134" s="5">
        <f>_xlfn.XLOOKUP(CustomerCombined[[#This Row],[ID]], Table4[ID], Table4[Website], "Not Found", 0)</f>
        <v>9</v>
      </c>
      <c r="T2134" s="5">
        <f>_xlfn.XLOOKUP(CustomerCombined[[#This Row],[ID]], Table4[ID], Table4[Catalog], "Not Found", 0)</f>
        <v>1</v>
      </c>
      <c r="U2134" s="5">
        <f>_xlfn.XLOOKUP(CustomerCombined[[#This Row],[ID]], Table4[ID], Table4[Store], "Not Found", 0)</f>
        <v>5</v>
      </c>
      <c r="V2134" s="5">
        <f>_xlfn.XLOOKUP(CustomerCombined[[#This Row],[ID]], Table4[ID], Table4[Visits], "Not Found", 0)</f>
        <v>8</v>
      </c>
      <c r="W2134" s="8">
        <f>_xlfn.XLOOKUP(CustomerCombined[[#This Row],[ID]], Table2[ID],Table2[Complaint], "Not Found", 0 )</f>
        <v>0</v>
      </c>
      <c r="X2134" s="8">
        <f>_xlfn.XLOOKUP(CustomerCombined[[#This Row],[ID]], Table2[ID],Table2[Pilot], "Not Found", 0 )</f>
        <v>0</v>
      </c>
      <c r="Y2134" s="8">
        <f>_xlfn.XLOOKUP(CustomerCombined[[#This Row],[ID]], Table2[ID],Table2[MC1], "Not Found", 0 )</f>
        <v>0</v>
      </c>
      <c r="Z2134" s="8">
        <f>_xlfn.XLOOKUP(CustomerCombined[[#This Row],[ID]], Table2[ID],Table2[MC2], "Not Found", 0 )</f>
        <v>0</v>
      </c>
      <c r="AA2134" s="8">
        <f>_xlfn.XLOOKUP(CustomerCombined[[#This Row],[ID]], Table2[ID],Table2[MC3], "Not Found", 0 )</f>
        <v>0</v>
      </c>
      <c r="AB2134" s="8">
        <f>_xlfn.XLOOKUP(CustomerCombined[[#This Row],[ID]], Table2[ID],Table2[MC4], "Not Found", 0 )</f>
        <v>0</v>
      </c>
      <c r="AC2134" s="8">
        <f>_xlfn.XLOOKUP(CustomerCombined[[#This Row],[ID]], Table2[ID],Table2[MC5], "Not Found", 0 )</f>
        <v>0</v>
      </c>
    </row>
    <row r="2135" spans="1:29" x14ac:dyDescent="0.3">
      <c r="A2135" s="6">
        <v>3003</v>
      </c>
      <c r="B2135" s="6">
        <v>149912</v>
      </c>
      <c r="C2135" s="6">
        <v>0</v>
      </c>
      <c r="D2135" s="6">
        <v>1</v>
      </c>
      <c r="E2135" s="6">
        <v>71</v>
      </c>
      <c r="F2135" s="5" t="s">
        <v>8</v>
      </c>
      <c r="G2135" s="5" t="s">
        <v>12</v>
      </c>
      <c r="H2135" s="3">
        <v>43801</v>
      </c>
      <c r="I2135" s="5" t="s">
        <v>435</v>
      </c>
      <c r="J2135" s="5">
        <f>_xlfn.XLOOKUP(CustomerCombined[[#This Row],[ID]], Table4[ID], Table4[Recency], "Not Found", 0)</f>
        <v>5</v>
      </c>
      <c r="K2135" s="5">
        <f>_xlfn.XLOOKUP(CustomerCombined[[#This Row],[ID]], Table4[ID], Table4[Teas], "Not Found", 0)</f>
        <v>1562</v>
      </c>
      <c r="L2135" s="5">
        <f>_xlfn.XLOOKUP(CustomerCombined[[#This Row],[ID]], Table4[ID], Table4[Fruits], "Not Found", 0)</f>
        <v>24</v>
      </c>
      <c r="M2135" s="5">
        <f>_xlfn.XLOOKUP(CustomerCombined[[#This Row],[ID]], Table4[ID], Table4[Meats], "Not Found", 0)</f>
        <v>670</v>
      </c>
      <c r="N2135" s="5">
        <f>_xlfn.XLOOKUP(CustomerCombined[[#This Row],[ID]], Table4[ID], Table4[Seafood], "Not Found", 0)</f>
        <v>96</v>
      </c>
      <c r="O2135" s="5">
        <f>_xlfn.XLOOKUP(CustomerCombined[[#This Row],[ID]], Table4[ID], Table4[Sweets], "Not Found", 0)</f>
        <v>147</v>
      </c>
      <c r="P2135" s="5">
        <f>_xlfn.XLOOKUP(CustomerCombined[[#This Row],[ID]], Table4[ID], Table4[Premium], "Not Found", 0)</f>
        <v>126</v>
      </c>
      <c r="Q2135" s="5">
        <f>_xlfn.XLOOKUP(CustomerCombined[[#This Row],[ID]], Table4[ID], Table4[Regular], "Not Found", 0)</f>
        <v>2373</v>
      </c>
      <c r="R2135" s="5">
        <f>_xlfn.XLOOKUP(CustomerCombined[[#This Row],[ID]], Table4[ID], Table4[Deals], "Not Found", 0)</f>
        <v>4</v>
      </c>
      <c r="S2135" s="5">
        <f>_xlfn.XLOOKUP(CustomerCombined[[#This Row],[ID]], Table4[ID], Table4[Website], "Not Found", 0)</f>
        <v>10</v>
      </c>
      <c r="T2135" s="5">
        <f>_xlfn.XLOOKUP(CustomerCombined[[#This Row],[ID]], Table4[ID], Table4[Catalog], "Not Found", 0)</f>
        <v>5</v>
      </c>
      <c r="U2135" s="5">
        <f>_xlfn.XLOOKUP(CustomerCombined[[#This Row],[ID]], Table4[ID], Table4[Store], "Not Found", 0)</f>
        <v>7</v>
      </c>
      <c r="V2135" s="5">
        <f>_xlfn.XLOOKUP(CustomerCombined[[#This Row],[ID]], Table4[ID], Table4[Visits], "Not Found", 0)</f>
        <v>8</v>
      </c>
      <c r="W2135" s="8">
        <f>_xlfn.XLOOKUP(CustomerCombined[[#This Row],[ID]], Table2[ID],Table2[Complaint], "Not Found", 0 )</f>
        <v>0</v>
      </c>
      <c r="X2135" s="8">
        <f>_xlfn.XLOOKUP(CustomerCombined[[#This Row],[ID]], Table2[ID],Table2[Pilot], "Not Found", 0 )</f>
        <v>1</v>
      </c>
      <c r="Y2135" s="8">
        <f>_xlfn.XLOOKUP(CustomerCombined[[#This Row],[ID]], Table2[ID],Table2[MC1], "Not Found", 0 )</f>
        <v>0</v>
      </c>
      <c r="Z2135" s="8">
        <f>_xlfn.XLOOKUP(CustomerCombined[[#This Row],[ID]], Table2[ID],Table2[MC2], "Not Found", 0 )</f>
        <v>0</v>
      </c>
      <c r="AA2135" s="8">
        <f>_xlfn.XLOOKUP(CustomerCombined[[#This Row],[ID]], Table2[ID],Table2[MC3], "Not Found", 0 )</f>
        <v>1</v>
      </c>
      <c r="AB2135" s="8">
        <f>_xlfn.XLOOKUP(CustomerCombined[[#This Row],[ID]], Table2[ID],Table2[MC4], "Not Found", 0 )</f>
        <v>0</v>
      </c>
      <c r="AC2135" s="8">
        <f>_xlfn.XLOOKUP(CustomerCombined[[#This Row],[ID]], Table2[ID],Table2[MC5], "Not Found", 0 )</f>
        <v>0</v>
      </c>
    </row>
    <row r="2136" spans="1:29" x14ac:dyDescent="0.3">
      <c r="A2136" s="6">
        <v>3063</v>
      </c>
      <c r="B2136" s="6">
        <v>149912</v>
      </c>
      <c r="C2136" s="6">
        <v>0</v>
      </c>
      <c r="D2136" s="6">
        <v>1</v>
      </c>
      <c r="E2136" s="6">
        <v>71</v>
      </c>
      <c r="F2136" s="5" t="s">
        <v>8</v>
      </c>
      <c r="G2136" s="5" t="s">
        <v>12</v>
      </c>
      <c r="H2136" s="3">
        <v>43801</v>
      </c>
      <c r="I2136" s="5" t="s">
        <v>435</v>
      </c>
      <c r="J2136" s="5">
        <f>_xlfn.XLOOKUP(CustomerCombined[[#This Row],[ID]], Table4[ID], Table4[Recency], "Not Found", 0)</f>
        <v>5</v>
      </c>
      <c r="K2136" s="5">
        <f>_xlfn.XLOOKUP(CustomerCombined[[#This Row],[ID]], Table4[ID], Table4[Teas], "Not Found", 0)</f>
        <v>1562</v>
      </c>
      <c r="L2136" s="5">
        <f>_xlfn.XLOOKUP(CustomerCombined[[#This Row],[ID]], Table4[ID], Table4[Fruits], "Not Found", 0)</f>
        <v>24</v>
      </c>
      <c r="M2136" s="5">
        <f>_xlfn.XLOOKUP(CustomerCombined[[#This Row],[ID]], Table4[ID], Table4[Meats], "Not Found", 0)</f>
        <v>670</v>
      </c>
      <c r="N2136" s="5">
        <f>_xlfn.XLOOKUP(CustomerCombined[[#This Row],[ID]], Table4[ID], Table4[Seafood], "Not Found", 0)</f>
        <v>96</v>
      </c>
      <c r="O2136" s="5">
        <f>_xlfn.XLOOKUP(CustomerCombined[[#This Row],[ID]], Table4[ID], Table4[Sweets], "Not Found", 0)</f>
        <v>147</v>
      </c>
      <c r="P2136" s="5">
        <f>_xlfn.XLOOKUP(CustomerCombined[[#This Row],[ID]], Table4[ID], Table4[Premium], "Not Found", 0)</f>
        <v>126</v>
      </c>
      <c r="Q2136" s="5">
        <f>_xlfn.XLOOKUP(CustomerCombined[[#This Row],[ID]], Table4[ID], Table4[Regular], "Not Found", 0)</f>
        <v>2373</v>
      </c>
      <c r="R2136" s="5">
        <f>_xlfn.XLOOKUP(CustomerCombined[[#This Row],[ID]], Table4[ID], Table4[Deals], "Not Found", 0)</f>
        <v>4</v>
      </c>
      <c r="S2136" s="5">
        <f>_xlfn.XLOOKUP(CustomerCombined[[#This Row],[ID]], Table4[ID], Table4[Website], "Not Found", 0)</f>
        <v>10</v>
      </c>
      <c r="T2136" s="5">
        <f>_xlfn.XLOOKUP(CustomerCombined[[#This Row],[ID]], Table4[ID], Table4[Catalog], "Not Found", 0)</f>
        <v>5</v>
      </c>
      <c r="U2136" s="5">
        <f>_xlfn.XLOOKUP(CustomerCombined[[#This Row],[ID]], Table4[ID], Table4[Store], "Not Found", 0)</f>
        <v>7</v>
      </c>
      <c r="V2136" s="5">
        <f>_xlfn.XLOOKUP(CustomerCombined[[#This Row],[ID]], Table4[ID], Table4[Visits], "Not Found", 0)</f>
        <v>8</v>
      </c>
      <c r="W2136" s="8">
        <f>_xlfn.XLOOKUP(CustomerCombined[[#This Row],[ID]], Table2[ID],Table2[Complaint], "Not Found", 0 )</f>
        <v>0</v>
      </c>
      <c r="X2136" s="8">
        <f>_xlfn.XLOOKUP(CustomerCombined[[#This Row],[ID]], Table2[ID],Table2[Pilot], "Not Found", 0 )</f>
        <v>1</v>
      </c>
      <c r="Y2136" s="8">
        <f>_xlfn.XLOOKUP(CustomerCombined[[#This Row],[ID]], Table2[ID],Table2[MC1], "Not Found", 0 )</f>
        <v>0</v>
      </c>
      <c r="Z2136" s="8">
        <f>_xlfn.XLOOKUP(CustomerCombined[[#This Row],[ID]], Table2[ID],Table2[MC2], "Not Found", 0 )</f>
        <v>0</v>
      </c>
      <c r="AA2136" s="8">
        <f>_xlfn.XLOOKUP(CustomerCombined[[#This Row],[ID]], Table2[ID],Table2[MC3], "Not Found", 0 )</f>
        <v>1</v>
      </c>
      <c r="AB2136" s="8">
        <f>_xlfn.XLOOKUP(CustomerCombined[[#This Row],[ID]], Table2[ID],Table2[MC4], "Not Found", 0 )</f>
        <v>0</v>
      </c>
      <c r="AC2136" s="8">
        <f>_xlfn.XLOOKUP(CustomerCombined[[#This Row],[ID]], Table2[ID],Table2[MC5], "Not Found", 0 )</f>
        <v>0</v>
      </c>
    </row>
    <row r="2137" spans="1:29" x14ac:dyDescent="0.3">
      <c r="A2137" s="6">
        <v>2870</v>
      </c>
      <c r="B2137" s="6">
        <v>149160</v>
      </c>
      <c r="C2137" s="6">
        <v>0</v>
      </c>
      <c r="D2137" s="6">
        <v>1</v>
      </c>
      <c r="E2137" s="6">
        <v>71</v>
      </c>
      <c r="F2137" s="5" t="s">
        <v>5</v>
      </c>
      <c r="G2137" s="5" t="s">
        <v>11</v>
      </c>
      <c r="H2137" s="3" t="s">
        <v>162</v>
      </c>
      <c r="I2137" s="5" t="s">
        <v>438</v>
      </c>
      <c r="J2137" s="5">
        <f>_xlfn.XLOOKUP(CustomerCombined[[#This Row],[ID]], Table4[ID], Table4[Recency], "Not Found", 0)</f>
        <v>29</v>
      </c>
      <c r="K2137" s="5">
        <f>_xlfn.XLOOKUP(CustomerCombined[[#This Row],[ID]], Table4[ID], Table4[Teas], "Not Found", 0)</f>
        <v>370</v>
      </c>
      <c r="L2137" s="5">
        <f>_xlfn.XLOOKUP(CustomerCombined[[#This Row],[ID]], Table4[ID], Table4[Fruits], "Not Found", 0)</f>
        <v>64</v>
      </c>
      <c r="M2137" s="5">
        <f>_xlfn.XLOOKUP(CustomerCombined[[#This Row],[ID]], Table4[ID], Table4[Meats], "Not Found", 0)</f>
        <v>130</v>
      </c>
      <c r="N2137" s="5">
        <f>_xlfn.XLOOKUP(CustomerCombined[[#This Row],[ID]], Table4[ID], Table4[Seafood], "Not Found", 0)</f>
        <v>76</v>
      </c>
      <c r="O2137" s="5">
        <f>_xlfn.XLOOKUP(CustomerCombined[[#This Row],[ID]], Table4[ID], Table4[Sweets], "Not Found", 0)</f>
        <v>30</v>
      </c>
      <c r="P2137" s="5">
        <f>_xlfn.XLOOKUP(CustomerCombined[[#This Row],[ID]], Table4[ID], Table4[Premium], "Not Found", 0)</f>
        <v>46</v>
      </c>
      <c r="Q2137" s="5">
        <f>_xlfn.XLOOKUP(CustomerCombined[[#This Row],[ID]], Table4[ID], Table4[Regular], "Not Found", 0)</f>
        <v>625</v>
      </c>
      <c r="R2137" s="5">
        <f>_xlfn.XLOOKUP(CustomerCombined[[#This Row],[ID]], Table4[ID], Table4[Deals], "Not Found", 0)</f>
        <v>2</v>
      </c>
      <c r="S2137" s="5">
        <f>_xlfn.XLOOKUP(CustomerCombined[[#This Row],[ID]], Table4[ID], Table4[Website], "Not Found", 0)</f>
        <v>3</v>
      </c>
      <c r="T2137" s="5">
        <f>_xlfn.XLOOKUP(CustomerCombined[[#This Row],[ID]], Table4[ID], Table4[Catalog], "Not Found", 0)</f>
        <v>1</v>
      </c>
      <c r="U2137" s="5">
        <f>_xlfn.XLOOKUP(CustomerCombined[[#This Row],[ID]], Table4[ID], Table4[Store], "Not Found", 0)</f>
        <v>6</v>
      </c>
      <c r="V2137" s="5">
        <f>_xlfn.XLOOKUP(CustomerCombined[[#This Row],[ID]], Table4[ID], Table4[Visits], "Not Found", 0)</f>
        <v>6</v>
      </c>
      <c r="W2137" s="8">
        <f>_xlfn.XLOOKUP(CustomerCombined[[#This Row],[ID]], Table2[ID],Table2[Complaint], "Not Found", 0 )</f>
        <v>0</v>
      </c>
      <c r="X2137" s="8">
        <f>_xlfn.XLOOKUP(CustomerCombined[[#This Row],[ID]], Table2[ID],Table2[Pilot], "Not Found", 0 )</f>
        <v>0</v>
      </c>
      <c r="Y2137" s="8">
        <f>_xlfn.XLOOKUP(CustomerCombined[[#This Row],[ID]], Table2[ID],Table2[MC1], "Not Found", 0 )</f>
        <v>0</v>
      </c>
      <c r="Z2137" s="8">
        <f>_xlfn.XLOOKUP(CustomerCombined[[#This Row],[ID]], Table2[ID],Table2[MC2], "Not Found", 0 )</f>
        <v>0</v>
      </c>
      <c r="AA2137" s="8">
        <f>_xlfn.XLOOKUP(CustomerCombined[[#This Row],[ID]], Table2[ID],Table2[MC3], "Not Found", 0 )</f>
        <v>0</v>
      </c>
      <c r="AB2137" s="8">
        <f>_xlfn.XLOOKUP(CustomerCombined[[#This Row],[ID]], Table2[ID],Table2[MC4], "Not Found", 0 )</f>
        <v>0</v>
      </c>
      <c r="AC2137" s="8">
        <f>_xlfn.XLOOKUP(CustomerCombined[[#This Row],[ID]], Table2[ID],Table2[MC5], "Not Found", 0 )</f>
        <v>0</v>
      </c>
    </row>
    <row r="2138" spans="1:29" x14ac:dyDescent="0.3">
      <c r="A2138" s="6">
        <v>3077</v>
      </c>
      <c r="B2138" s="6">
        <v>148150</v>
      </c>
      <c r="C2138" s="6">
        <v>0</v>
      </c>
      <c r="D2138" s="6">
        <v>1</v>
      </c>
      <c r="E2138" s="6">
        <v>71</v>
      </c>
      <c r="F2138" s="5" t="s">
        <v>6</v>
      </c>
      <c r="G2138" s="5" t="s">
        <v>12</v>
      </c>
      <c r="H2138" s="3" t="s">
        <v>244</v>
      </c>
      <c r="I2138" s="5" t="s">
        <v>434</v>
      </c>
      <c r="J2138" s="5">
        <f>_xlfn.XLOOKUP(CustomerCombined[[#This Row],[ID]], Table4[ID], Table4[Recency], "Not Found", 0)</f>
        <v>24</v>
      </c>
      <c r="K2138" s="5">
        <f>_xlfn.XLOOKUP(CustomerCombined[[#This Row],[ID]], Table4[ID], Table4[Teas], "Not Found", 0)</f>
        <v>532</v>
      </c>
      <c r="L2138" s="5">
        <f>_xlfn.XLOOKUP(CustomerCombined[[#This Row],[ID]], Table4[ID], Table4[Fruits], "Not Found", 0)</f>
        <v>6</v>
      </c>
      <c r="M2138" s="5">
        <f>_xlfn.XLOOKUP(CustomerCombined[[#This Row],[ID]], Table4[ID], Table4[Meats], "Not Found", 0)</f>
        <v>120</v>
      </c>
      <c r="N2138" s="5">
        <f>_xlfn.XLOOKUP(CustomerCombined[[#This Row],[ID]], Table4[ID], Table4[Seafood], "Not Found", 0)</f>
        <v>9</v>
      </c>
      <c r="O2138" s="5">
        <f>_xlfn.XLOOKUP(CustomerCombined[[#This Row],[ID]], Table4[ID], Table4[Sweets], "Not Found", 0)</f>
        <v>6</v>
      </c>
      <c r="P2138" s="5">
        <f>_xlfn.XLOOKUP(CustomerCombined[[#This Row],[ID]], Table4[ID], Table4[Premium], "Not Found", 0)</f>
        <v>145</v>
      </c>
      <c r="Q2138" s="5">
        <f>_xlfn.XLOOKUP(CustomerCombined[[#This Row],[ID]], Table4[ID], Table4[Regular], "Not Found", 0)</f>
        <v>529</v>
      </c>
      <c r="R2138" s="5">
        <f>_xlfn.XLOOKUP(CustomerCombined[[#This Row],[ID]], Table4[ID], Table4[Deals], "Not Found", 0)</f>
        <v>3</v>
      </c>
      <c r="S2138" s="5">
        <f>_xlfn.XLOOKUP(CustomerCombined[[#This Row],[ID]], Table4[ID], Table4[Website], "Not Found", 0)</f>
        <v>5</v>
      </c>
      <c r="T2138" s="5">
        <f>_xlfn.XLOOKUP(CustomerCombined[[#This Row],[ID]], Table4[ID], Table4[Catalog], "Not Found", 0)</f>
        <v>1</v>
      </c>
      <c r="U2138" s="5">
        <f>_xlfn.XLOOKUP(CustomerCombined[[#This Row],[ID]], Table4[ID], Table4[Store], "Not Found", 0)</f>
        <v>4</v>
      </c>
      <c r="V2138" s="5">
        <f>_xlfn.XLOOKUP(CustomerCombined[[#This Row],[ID]], Table4[ID], Table4[Visits], "Not Found", 0)</f>
        <v>7</v>
      </c>
      <c r="W2138" s="8">
        <f>_xlfn.XLOOKUP(CustomerCombined[[#This Row],[ID]], Table2[ID],Table2[Complaint], "Not Found", 0 )</f>
        <v>0</v>
      </c>
      <c r="X2138" s="8">
        <f>_xlfn.XLOOKUP(CustomerCombined[[#This Row],[ID]], Table2[ID],Table2[Pilot], "Not Found", 0 )</f>
        <v>0</v>
      </c>
      <c r="Y2138" s="8">
        <f>_xlfn.XLOOKUP(CustomerCombined[[#This Row],[ID]], Table2[ID],Table2[MC1], "Not Found", 0 )</f>
        <v>0</v>
      </c>
      <c r="Z2138" s="8">
        <f>_xlfn.XLOOKUP(CustomerCombined[[#This Row],[ID]], Table2[ID],Table2[MC2], "Not Found", 0 )</f>
        <v>0</v>
      </c>
      <c r="AA2138" s="8">
        <f>_xlfn.XLOOKUP(CustomerCombined[[#This Row],[ID]], Table2[ID],Table2[MC3], "Not Found", 0 )</f>
        <v>0</v>
      </c>
      <c r="AB2138" s="8">
        <f>_xlfn.XLOOKUP(CustomerCombined[[#This Row],[ID]], Table2[ID],Table2[MC4], "Not Found", 0 )</f>
        <v>0</v>
      </c>
      <c r="AC2138" s="8">
        <f>_xlfn.XLOOKUP(CustomerCombined[[#This Row],[ID]], Table2[ID],Table2[MC5], "Not Found", 0 )</f>
        <v>0</v>
      </c>
    </row>
    <row r="2139" spans="1:29" x14ac:dyDescent="0.3">
      <c r="A2139" s="6">
        <v>1675</v>
      </c>
      <c r="B2139" s="6">
        <v>147570</v>
      </c>
      <c r="C2139" s="6">
        <v>1</v>
      </c>
      <c r="D2139" s="6">
        <v>1</v>
      </c>
      <c r="E2139" s="6">
        <v>71</v>
      </c>
      <c r="F2139" s="5" t="s">
        <v>9</v>
      </c>
      <c r="G2139" s="5" t="s">
        <v>12</v>
      </c>
      <c r="H2139" s="3">
        <v>43535</v>
      </c>
      <c r="I2139" s="5" t="s">
        <v>437</v>
      </c>
      <c r="J2139" s="5">
        <f>_xlfn.XLOOKUP(CustomerCombined[[#This Row],[ID]], Table4[ID], Table4[Recency], "Not Found", 0)</f>
        <v>3</v>
      </c>
      <c r="K2139" s="5">
        <f>_xlfn.XLOOKUP(CustomerCombined[[#This Row],[ID]], Table4[ID], Table4[Teas], "Not Found", 0)</f>
        <v>208</v>
      </c>
      <c r="L2139" s="5">
        <f>_xlfn.XLOOKUP(CustomerCombined[[#This Row],[ID]], Table4[ID], Table4[Fruits], "Not Found", 0)</f>
        <v>3</v>
      </c>
      <c r="M2139" s="5">
        <f>_xlfn.XLOOKUP(CustomerCombined[[#This Row],[ID]], Table4[ID], Table4[Meats], "Not Found", 0)</f>
        <v>62</v>
      </c>
      <c r="N2139" s="5">
        <f>_xlfn.XLOOKUP(CustomerCombined[[#This Row],[ID]], Table4[ID], Table4[Seafood], "Not Found", 0)</f>
        <v>0</v>
      </c>
      <c r="O2139" s="5">
        <f>_xlfn.XLOOKUP(CustomerCombined[[#This Row],[ID]], Table4[ID], Table4[Sweets], "Not Found", 0)</f>
        <v>6</v>
      </c>
      <c r="P2139" s="5">
        <f>_xlfn.XLOOKUP(CustomerCombined[[#This Row],[ID]], Table4[ID], Table4[Premium], "Not Found", 0)</f>
        <v>96</v>
      </c>
      <c r="Q2139" s="5">
        <f>_xlfn.XLOOKUP(CustomerCombined[[#This Row],[ID]], Table4[ID], Table4[Regular], "Not Found", 0)</f>
        <v>183</v>
      </c>
      <c r="R2139" s="5">
        <f>_xlfn.XLOOKUP(CustomerCombined[[#This Row],[ID]], Table4[ID], Table4[Deals], "Not Found", 0)</f>
        <v>3</v>
      </c>
      <c r="S2139" s="5">
        <f>_xlfn.XLOOKUP(CustomerCombined[[#This Row],[ID]], Table4[ID], Table4[Website], "Not Found", 0)</f>
        <v>2</v>
      </c>
      <c r="T2139" s="5">
        <f>_xlfn.XLOOKUP(CustomerCombined[[#This Row],[ID]], Table4[ID], Table4[Catalog], "Not Found", 0)</f>
        <v>2</v>
      </c>
      <c r="U2139" s="5">
        <f>_xlfn.XLOOKUP(CustomerCombined[[#This Row],[ID]], Table4[ID], Table4[Store], "Not Found", 0)</f>
        <v>2</v>
      </c>
      <c r="V2139" s="5">
        <f>_xlfn.XLOOKUP(CustomerCombined[[#This Row],[ID]], Table4[ID], Table4[Visits], "Not Found", 0)</f>
        <v>7</v>
      </c>
      <c r="W2139" s="8">
        <f>_xlfn.XLOOKUP(CustomerCombined[[#This Row],[ID]], Table2[ID],Table2[Complaint], "Not Found", 0 )</f>
        <v>0</v>
      </c>
      <c r="X2139" s="8">
        <f>_xlfn.XLOOKUP(CustomerCombined[[#This Row],[ID]], Table2[ID],Table2[Pilot], "Not Found", 0 )</f>
        <v>1</v>
      </c>
      <c r="Y2139" s="8">
        <f>_xlfn.XLOOKUP(CustomerCombined[[#This Row],[ID]], Table2[ID],Table2[MC1], "Not Found", 0 )</f>
        <v>0</v>
      </c>
      <c r="Z2139" s="8">
        <f>_xlfn.XLOOKUP(CustomerCombined[[#This Row],[ID]], Table2[ID],Table2[MC2], "Not Found", 0 )</f>
        <v>0</v>
      </c>
      <c r="AA2139" s="8">
        <f>_xlfn.XLOOKUP(CustomerCombined[[#This Row],[ID]], Table2[ID],Table2[MC3], "Not Found", 0 )</f>
        <v>0</v>
      </c>
      <c r="AB2139" s="8">
        <f>_xlfn.XLOOKUP(CustomerCombined[[#This Row],[ID]], Table2[ID],Table2[MC4], "Not Found", 0 )</f>
        <v>0</v>
      </c>
      <c r="AC2139" s="8">
        <f>_xlfn.XLOOKUP(CustomerCombined[[#This Row],[ID]], Table2[ID],Table2[MC5], "Not Found", 0 )</f>
        <v>0</v>
      </c>
    </row>
    <row r="2140" spans="1:29" x14ac:dyDescent="0.3">
      <c r="A2140" s="6">
        <v>1372</v>
      </c>
      <c r="B2140" s="6">
        <v>138823</v>
      </c>
      <c r="C2140" s="6">
        <v>0</v>
      </c>
      <c r="D2140" s="6">
        <v>1</v>
      </c>
      <c r="E2140" s="6">
        <v>71</v>
      </c>
      <c r="F2140" s="5" t="s">
        <v>8</v>
      </c>
      <c r="G2140" s="5" t="s">
        <v>11</v>
      </c>
      <c r="H2140" s="3">
        <v>43557</v>
      </c>
      <c r="I2140" s="5" t="s">
        <v>439</v>
      </c>
      <c r="J2140" s="5">
        <f>_xlfn.XLOOKUP(CustomerCombined[[#This Row],[ID]], Table4[ID], Table4[Recency], "Not Found", 0)</f>
        <v>56</v>
      </c>
      <c r="K2140" s="5">
        <f>_xlfn.XLOOKUP(CustomerCombined[[#This Row],[ID]], Table4[ID], Table4[Teas], "Not Found", 0)</f>
        <v>250</v>
      </c>
      <c r="L2140" s="5">
        <f>_xlfn.XLOOKUP(CustomerCombined[[#This Row],[ID]], Table4[ID], Table4[Fruits], "Not Found", 0)</f>
        <v>0</v>
      </c>
      <c r="M2140" s="5">
        <f>_xlfn.XLOOKUP(CustomerCombined[[#This Row],[ID]], Table4[ID], Table4[Meats], "Not Found", 0)</f>
        <v>39</v>
      </c>
      <c r="N2140" s="5">
        <f>_xlfn.XLOOKUP(CustomerCombined[[#This Row],[ID]], Table4[ID], Table4[Seafood], "Not Found", 0)</f>
        <v>7</v>
      </c>
      <c r="O2140" s="5">
        <f>_xlfn.XLOOKUP(CustomerCombined[[#This Row],[ID]], Table4[ID], Table4[Sweets], "Not Found", 0)</f>
        <v>29</v>
      </c>
      <c r="P2140" s="5">
        <f>_xlfn.XLOOKUP(CustomerCombined[[#This Row],[ID]], Table4[ID], Table4[Premium], "Not Found", 0)</f>
        <v>82</v>
      </c>
      <c r="Q2140" s="5">
        <f>_xlfn.XLOOKUP(CustomerCombined[[#This Row],[ID]], Table4[ID], Table4[Regular], "Not Found", 0)</f>
        <v>243</v>
      </c>
      <c r="R2140" s="5">
        <f>_xlfn.XLOOKUP(CustomerCombined[[#This Row],[ID]], Table4[ID], Table4[Deals], "Not Found", 0)</f>
        <v>1</v>
      </c>
      <c r="S2140" s="5">
        <f>_xlfn.XLOOKUP(CustomerCombined[[#This Row],[ID]], Table4[ID], Table4[Website], "Not Found", 0)</f>
        <v>2</v>
      </c>
      <c r="T2140" s="5">
        <f>_xlfn.XLOOKUP(CustomerCombined[[#This Row],[ID]], Table4[ID], Table4[Catalog], "Not Found", 0)</f>
        <v>1</v>
      </c>
      <c r="U2140" s="5">
        <f>_xlfn.XLOOKUP(CustomerCombined[[#This Row],[ID]], Table4[ID], Table4[Store], "Not Found", 0)</f>
        <v>3</v>
      </c>
      <c r="V2140" s="5">
        <f>_xlfn.XLOOKUP(CustomerCombined[[#This Row],[ID]], Table4[ID], Table4[Visits], "Not Found", 0)</f>
        <v>6</v>
      </c>
      <c r="W2140" s="8">
        <f>_xlfn.XLOOKUP(CustomerCombined[[#This Row],[ID]], Table2[ID],Table2[Complaint], "Not Found", 0 )</f>
        <v>0</v>
      </c>
      <c r="X2140" s="8">
        <f>_xlfn.XLOOKUP(CustomerCombined[[#This Row],[ID]], Table2[ID],Table2[Pilot], "Not Found", 0 )</f>
        <v>0</v>
      </c>
      <c r="Y2140" s="8">
        <f>_xlfn.XLOOKUP(CustomerCombined[[#This Row],[ID]], Table2[ID],Table2[MC1], "Not Found", 0 )</f>
        <v>0</v>
      </c>
      <c r="Z2140" s="8">
        <f>_xlfn.XLOOKUP(CustomerCombined[[#This Row],[ID]], Table2[ID],Table2[MC2], "Not Found", 0 )</f>
        <v>0</v>
      </c>
      <c r="AA2140" s="8">
        <f>_xlfn.XLOOKUP(CustomerCombined[[#This Row],[ID]], Table2[ID],Table2[MC3], "Not Found", 0 )</f>
        <v>0</v>
      </c>
      <c r="AB2140" s="8">
        <f>_xlfn.XLOOKUP(CustomerCombined[[#This Row],[ID]], Table2[ID],Table2[MC4], "Not Found", 0 )</f>
        <v>0</v>
      </c>
      <c r="AC2140" s="8">
        <f>_xlfn.XLOOKUP(CustomerCombined[[#This Row],[ID]], Table2[ID],Table2[MC5], "Not Found", 0 )</f>
        <v>0</v>
      </c>
    </row>
    <row r="2141" spans="1:29" x14ac:dyDescent="0.3">
      <c r="A2141" s="6">
        <v>2417</v>
      </c>
      <c r="B2141" s="6">
        <v>136408</v>
      </c>
      <c r="C2141" s="6">
        <v>1</v>
      </c>
      <c r="D2141" s="6">
        <v>1</v>
      </c>
      <c r="E2141" s="6">
        <v>71</v>
      </c>
      <c r="F2141" s="5" t="s">
        <v>6</v>
      </c>
      <c r="G2141" s="5" t="s">
        <v>12</v>
      </c>
      <c r="H2141" s="3" t="s">
        <v>178</v>
      </c>
      <c r="I2141" s="5" t="s">
        <v>434</v>
      </c>
      <c r="J2141" s="5">
        <f>_xlfn.XLOOKUP(CustomerCombined[[#This Row],[ID]], Table4[ID], Table4[Recency], "Not Found", 0)</f>
        <v>11</v>
      </c>
      <c r="K2141" s="5">
        <f>_xlfn.XLOOKUP(CustomerCombined[[#This Row],[ID]], Table4[ID], Table4[Teas], "Not Found", 0)</f>
        <v>34</v>
      </c>
      <c r="L2141" s="5">
        <f>_xlfn.XLOOKUP(CustomerCombined[[#This Row],[ID]], Table4[ID], Table4[Fruits], "Not Found", 0)</f>
        <v>4</v>
      </c>
      <c r="M2141" s="5">
        <f>_xlfn.XLOOKUP(CustomerCombined[[#This Row],[ID]], Table4[ID], Table4[Meats], "Not Found", 0)</f>
        <v>15</v>
      </c>
      <c r="N2141" s="5">
        <f>_xlfn.XLOOKUP(CustomerCombined[[#This Row],[ID]], Table4[ID], Table4[Seafood], "Not Found", 0)</f>
        <v>11</v>
      </c>
      <c r="O2141" s="5">
        <f>_xlfn.XLOOKUP(CustomerCombined[[#This Row],[ID]], Table4[ID], Table4[Sweets], "Not Found", 0)</f>
        <v>7</v>
      </c>
      <c r="P2141" s="5">
        <f>_xlfn.XLOOKUP(CustomerCombined[[#This Row],[ID]], Table4[ID], Table4[Premium], "Not Found", 0)</f>
        <v>11</v>
      </c>
      <c r="Q2141" s="5">
        <f>_xlfn.XLOOKUP(CustomerCombined[[#This Row],[ID]], Table4[ID], Table4[Regular], "Not Found", 0)</f>
        <v>60</v>
      </c>
      <c r="R2141" s="5">
        <f>_xlfn.XLOOKUP(CustomerCombined[[#This Row],[ID]], Table4[ID], Table4[Deals], "Not Found", 0)</f>
        <v>1</v>
      </c>
      <c r="S2141" s="5">
        <f>_xlfn.XLOOKUP(CustomerCombined[[#This Row],[ID]], Table4[ID], Table4[Website], "Not Found", 0)</f>
        <v>1</v>
      </c>
      <c r="T2141" s="5">
        <f>_xlfn.XLOOKUP(CustomerCombined[[#This Row],[ID]], Table4[ID], Table4[Catalog], "Not Found", 0)</f>
        <v>0</v>
      </c>
      <c r="U2141" s="5">
        <f>_xlfn.XLOOKUP(CustomerCombined[[#This Row],[ID]], Table4[ID], Table4[Store], "Not Found", 0)</f>
        <v>2</v>
      </c>
      <c r="V2141" s="5">
        <f>_xlfn.XLOOKUP(CustomerCombined[[#This Row],[ID]], Table4[ID], Table4[Visits], "Not Found", 0)</f>
        <v>6</v>
      </c>
      <c r="W2141" s="8">
        <f>_xlfn.XLOOKUP(CustomerCombined[[#This Row],[ID]], Table2[ID],Table2[Complaint], "Not Found", 0 )</f>
        <v>0</v>
      </c>
      <c r="X2141" s="8">
        <f>_xlfn.XLOOKUP(CustomerCombined[[#This Row],[ID]], Table2[ID],Table2[Pilot], "Not Found", 0 )</f>
        <v>0</v>
      </c>
      <c r="Y2141" s="8">
        <f>_xlfn.XLOOKUP(CustomerCombined[[#This Row],[ID]], Table2[ID],Table2[MC1], "Not Found", 0 )</f>
        <v>0</v>
      </c>
      <c r="Z2141" s="8">
        <f>_xlfn.XLOOKUP(CustomerCombined[[#This Row],[ID]], Table2[ID],Table2[MC2], "Not Found", 0 )</f>
        <v>0</v>
      </c>
      <c r="AA2141" s="8">
        <f>_xlfn.XLOOKUP(CustomerCombined[[#This Row],[ID]], Table2[ID],Table2[MC3], "Not Found", 0 )</f>
        <v>0</v>
      </c>
      <c r="AB2141" s="8">
        <f>_xlfn.XLOOKUP(CustomerCombined[[#This Row],[ID]], Table2[ID],Table2[MC4], "Not Found", 0 )</f>
        <v>0</v>
      </c>
      <c r="AC2141" s="8">
        <f>_xlfn.XLOOKUP(CustomerCombined[[#This Row],[ID]], Table2[ID],Table2[MC5], "Not Found", 0 )</f>
        <v>0</v>
      </c>
    </row>
    <row r="2142" spans="1:29" x14ac:dyDescent="0.3">
      <c r="A2142" s="6">
        <v>1711</v>
      </c>
      <c r="B2142" s="6">
        <v>135946</v>
      </c>
      <c r="C2142" s="6">
        <v>1</v>
      </c>
      <c r="D2142" s="6">
        <v>1</v>
      </c>
      <c r="E2142" s="6">
        <v>71</v>
      </c>
      <c r="F2142" s="5" t="s">
        <v>5</v>
      </c>
      <c r="G2142" s="5" t="s">
        <v>13</v>
      </c>
      <c r="H2142" s="3">
        <v>43893</v>
      </c>
      <c r="I2142" s="5" t="s">
        <v>437</v>
      </c>
      <c r="J2142" s="5">
        <f>_xlfn.XLOOKUP(CustomerCombined[[#This Row],[ID]], Table4[ID], Table4[Recency], "Not Found", 0)</f>
        <v>24</v>
      </c>
      <c r="K2142" s="5">
        <f>_xlfn.XLOOKUP(CustomerCombined[[#This Row],[ID]], Table4[ID], Table4[Teas], "Not Found", 0)</f>
        <v>30</v>
      </c>
      <c r="L2142" s="5">
        <f>_xlfn.XLOOKUP(CustomerCombined[[#This Row],[ID]], Table4[ID], Table4[Fruits], "Not Found", 0)</f>
        <v>0</v>
      </c>
      <c r="M2142" s="5">
        <f>_xlfn.XLOOKUP(CustomerCombined[[#This Row],[ID]], Table4[ID], Table4[Meats], "Not Found", 0)</f>
        <v>11</v>
      </c>
      <c r="N2142" s="5">
        <f>_xlfn.XLOOKUP(CustomerCombined[[#This Row],[ID]], Table4[ID], Table4[Seafood], "Not Found", 0)</f>
        <v>0</v>
      </c>
      <c r="O2142" s="5">
        <f>_xlfn.XLOOKUP(CustomerCombined[[#This Row],[ID]], Table4[ID], Table4[Sweets], "Not Found", 0)</f>
        <v>0</v>
      </c>
      <c r="P2142" s="5">
        <f>_xlfn.XLOOKUP(CustomerCombined[[#This Row],[ID]], Table4[ID], Table4[Premium], "Not Found", 0)</f>
        <v>0</v>
      </c>
      <c r="Q2142" s="5">
        <f>_xlfn.XLOOKUP(CustomerCombined[[#This Row],[ID]], Table4[ID], Table4[Regular], "Not Found", 0)</f>
        <v>42</v>
      </c>
      <c r="R2142" s="5">
        <f>_xlfn.XLOOKUP(CustomerCombined[[#This Row],[ID]], Table4[ID], Table4[Deals], "Not Found", 0)</f>
        <v>1</v>
      </c>
      <c r="S2142" s="5">
        <f>_xlfn.XLOOKUP(CustomerCombined[[#This Row],[ID]], Table4[ID], Table4[Website], "Not Found", 0)</f>
        <v>0</v>
      </c>
      <c r="T2142" s="5">
        <f>_xlfn.XLOOKUP(CustomerCombined[[#This Row],[ID]], Table4[ID], Table4[Catalog], "Not Found", 0)</f>
        <v>0</v>
      </c>
      <c r="U2142" s="5">
        <f>_xlfn.XLOOKUP(CustomerCombined[[#This Row],[ID]], Table4[ID], Table4[Store], "Not Found", 0)</f>
        <v>3</v>
      </c>
      <c r="V2142" s="5">
        <f>_xlfn.XLOOKUP(CustomerCombined[[#This Row],[ID]], Table4[ID], Table4[Visits], "Not Found", 0)</f>
        <v>5</v>
      </c>
      <c r="W2142" s="8">
        <f>_xlfn.XLOOKUP(CustomerCombined[[#This Row],[ID]], Table2[ID],Table2[Complaint], "Not Found", 0 )</f>
        <v>0</v>
      </c>
      <c r="X2142" s="8">
        <f>_xlfn.XLOOKUP(CustomerCombined[[#This Row],[ID]], Table2[ID],Table2[Pilot], "Not Found", 0 )</f>
        <v>0</v>
      </c>
      <c r="Y2142" s="8">
        <f>_xlfn.XLOOKUP(CustomerCombined[[#This Row],[ID]], Table2[ID],Table2[MC1], "Not Found", 0 )</f>
        <v>0</v>
      </c>
      <c r="Z2142" s="8">
        <f>_xlfn.XLOOKUP(CustomerCombined[[#This Row],[ID]], Table2[ID],Table2[MC2], "Not Found", 0 )</f>
        <v>0</v>
      </c>
      <c r="AA2142" s="8">
        <f>_xlfn.XLOOKUP(CustomerCombined[[#This Row],[ID]], Table2[ID],Table2[MC3], "Not Found", 0 )</f>
        <v>0</v>
      </c>
      <c r="AB2142" s="8">
        <f>_xlfn.XLOOKUP(CustomerCombined[[#This Row],[ID]], Table2[ID],Table2[MC4], "Not Found", 0 )</f>
        <v>0</v>
      </c>
      <c r="AC2142" s="8">
        <f>_xlfn.XLOOKUP(CustomerCombined[[#This Row],[ID]], Table2[ID],Table2[MC5], "Not Found", 0 )</f>
        <v>0</v>
      </c>
    </row>
    <row r="2143" spans="1:29" x14ac:dyDescent="0.3">
      <c r="A2143" s="6">
        <v>1276</v>
      </c>
      <c r="B2143" s="6">
        <v>135416</v>
      </c>
      <c r="C2143" s="6">
        <v>0</v>
      </c>
      <c r="D2143" s="6">
        <v>0</v>
      </c>
      <c r="E2143" s="6">
        <v>71</v>
      </c>
      <c r="F2143" s="5" t="s">
        <v>5</v>
      </c>
      <c r="G2143" s="5" t="s">
        <v>12</v>
      </c>
      <c r="H2143" s="3" t="s">
        <v>239</v>
      </c>
      <c r="I2143" s="5" t="s">
        <v>439</v>
      </c>
      <c r="J2143" s="5">
        <f>_xlfn.XLOOKUP(CustomerCombined[[#This Row],[ID]], Table4[ID], Table4[Recency], "Not Found", 0)</f>
        <v>62</v>
      </c>
      <c r="K2143" s="5">
        <f>_xlfn.XLOOKUP(CustomerCombined[[#This Row],[ID]], Table4[ID], Table4[Teas], "Not Found", 0)</f>
        <v>948</v>
      </c>
      <c r="L2143" s="5">
        <f>_xlfn.XLOOKUP(CustomerCombined[[#This Row],[ID]], Table4[ID], Table4[Fruits], "Not Found", 0)</f>
        <v>11</v>
      </c>
      <c r="M2143" s="5">
        <f>_xlfn.XLOOKUP(CustomerCombined[[#This Row],[ID]], Table4[ID], Table4[Meats], "Not Found", 0)</f>
        <v>310</v>
      </c>
      <c r="N2143" s="5">
        <f>_xlfn.XLOOKUP(CustomerCombined[[#This Row],[ID]], Table4[ID], Table4[Seafood], "Not Found", 0)</f>
        <v>15</v>
      </c>
      <c r="O2143" s="5">
        <f>_xlfn.XLOOKUP(CustomerCombined[[#This Row],[ID]], Table4[ID], Table4[Sweets], "Not Found", 0)</f>
        <v>11</v>
      </c>
      <c r="P2143" s="5">
        <f>_xlfn.XLOOKUP(CustomerCombined[[#This Row],[ID]], Table4[ID], Table4[Premium], "Not Found", 0)</f>
        <v>195</v>
      </c>
      <c r="Q2143" s="5">
        <f>_xlfn.XLOOKUP(CustomerCombined[[#This Row],[ID]], Table4[ID], Table4[Regular], "Not Found", 0)</f>
        <v>1101</v>
      </c>
      <c r="R2143" s="5">
        <f>_xlfn.XLOOKUP(CustomerCombined[[#This Row],[ID]], Table4[ID], Table4[Deals], "Not Found", 0)</f>
        <v>3</v>
      </c>
      <c r="S2143" s="5">
        <f>_xlfn.XLOOKUP(CustomerCombined[[#This Row],[ID]], Table4[ID], Table4[Website], "Not Found", 0)</f>
        <v>7</v>
      </c>
      <c r="T2143" s="5">
        <f>_xlfn.XLOOKUP(CustomerCombined[[#This Row],[ID]], Table4[ID], Table4[Catalog], "Not Found", 0)</f>
        <v>1</v>
      </c>
      <c r="U2143" s="5">
        <f>_xlfn.XLOOKUP(CustomerCombined[[#This Row],[ID]], Table4[ID], Table4[Store], "Not Found", 0)</f>
        <v>5</v>
      </c>
      <c r="V2143" s="5">
        <f>_xlfn.XLOOKUP(CustomerCombined[[#This Row],[ID]], Table4[ID], Table4[Visits], "Not Found", 0)</f>
        <v>8</v>
      </c>
      <c r="W2143" s="8">
        <f>_xlfn.XLOOKUP(CustomerCombined[[#This Row],[ID]], Table2[ID],Table2[Complaint], "Not Found", 0 )</f>
        <v>0</v>
      </c>
      <c r="X2143" s="8">
        <f>_xlfn.XLOOKUP(CustomerCombined[[#This Row],[ID]], Table2[ID],Table2[Pilot], "Not Found", 0 )</f>
        <v>0</v>
      </c>
      <c r="Y2143" s="8">
        <f>_xlfn.XLOOKUP(CustomerCombined[[#This Row],[ID]], Table2[ID],Table2[MC1], "Not Found", 0 )</f>
        <v>0</v>
      </c>
      <c r="Z2143" s="8">
        <f>_xlfn.XLOOKUP(CustomerCombined[[#This Row],[ID]], Table2[ID],Table2[MC2], "Not Found", 0 )</f>
        <v>0</v>
      </c>
      <c r="AA2143" s="8">
        <f>_xlfn.XLOOKUP(CustomerCombined[[#This Row],[ID]], Table2[ID],Table2[MC3], "Not Found", 0 )</f>
        <v>0</v>
      </c>
      <c r="AB2143" s="8">
        <f>_xlfn.XLOOKUP(CustomerCombined[[#This Row],[ID]], Table2[ID],Table2[MC4], "Not Found", 0 )</f>
        <v>0</v>
      </c>
      <c r="AC2143" s="8">
        <f>_xlfn.XLOOKUP(CustomerCombined[[#This Row],[ID]], Table2[ID],Table2[MC5], "Not Found", 0 )</f>
        <v>0</v>
      </c>
    </row>
    <row r="2144" spans="1:29" x14ac:dyDescent="0.3">
      <c r="A2144" s="6">
        <v>1678</v>
      </c>
      <c r="B2144" s="6">
        <v>126518</v>
      </c>
      <c r="C2144" s="6">
        <v>1</v>
      </c>
      <c r="D2144" s="6">
        <v>1</v>
      </c>
      <c r="E2144" s="6">
        <v>71</v>
      </c>
      <c r="F2144" s="5" t="s">
        <v>7</v>
      </c>
      <c r="G2144" s="5" t="s">
        <v>13</v>
      </c>
      <c r="H2144" s="3" t="s">
        <v>281</v>
      </c>
      <c r="I2144" s="5" t="s">
        <v>439</v>
      </c>
      <c r="J2144" s="5">
        <f>_xlfn.XLOOKUP(CustomerCombined[[#This Row],[ID]], Table4[ID], Table4[Recency], "Not Found", 0)</f>
        <v>33</v>
      </c>
      <c r="K2144" s="5">
        <f>_xlfn.XLOOKUP(CustomerCombined[[#This Row],[ID]], Table4[ID], Table4[Teas], "Not Found", 0)</f>
        <v>95</v>
      </c>
      <c r="L2144" s="5">
        <f>_xlfn.XLOOKUP(CustomerCombined[[#This Row],[ID]], Table4[ID], Table4[Fruits], "Not Found", 0)</f>
        <v>5</v>
      </c>
      <c r="M2144" s="5">
        <f>_xlfn.XLOOKUP(CustomerCombined[[#This Row],[ID]], Table4[ID], Table4[Meats], "Not Found", 0)</f>
        <v>134</v>
      </c>
      <c r="N2144" s="5">
        <f>_xlfn.XLOOKUP(CustomerCombined[[#This Row],[ID]], Table4[ID], Table4[Seafood], "Not Found", 0)</f>
        <v>14</v>
      </c>
      <c r="O2144" s="5">
        <f>_xlfn.XLOOKUP(CustomerCombined[[#This Row],[ID]], Table4[ID], Table4[Sweets], "Not Found", 0)</f>
        <v>14</v>
      </c>
      <c r="P2144" s="5">
        <f>_xlfn.XLOOKUP(CustomerCombined[[#This Row],[ID]], Table4[ID], Table4[Premium], "Not Found", 0)</f>
        <v>10</v>
      </c>
      <c r="Q2144" s="5">
        <f>_xlfn.XLOOKUP(CustomerCombined[[#This Row],[ID]], Table4[ID], Table4[Regular], "Not Found", 0)</f>
        <v>253</v>
      </c>
      <c r="R2144" s="5">
        <f>_xlfn.XLOOKUP(CustomerCombined[[#This Row],[ID]], Table4[ID], Table4[Deals], "Not Found", 0)</f>
        <v>3</v>
      </c>
      <c r="S2144" s="5">
        <f>_xlfn.XLOOKUP(CustomerCombined[[#This Row],[ID]], Table4[ID], Table4[Website], "Not Found", 0)</f>
        <v>2</v>
      </c>
      <c r="T2144" s="5">
        <f>_xlfn.XLOOKUP(CustomerCombined[[#This Row],[ID]], Table4[ID], Table4[Catalog], "Not Found", 0)</f>
        <v>0</v>
      </c>
      <c r="U2144" s="5">
        <f>_xlfn.XLOOKUP(CustomerCombined[[#This Row],[ID]], Table4[ID], Table4[Store], "Not Found", 0)</f>
        <v>3</v>
      </c>
      <c r="V2144" s="5">
        <f>_xlfn.XLOOKUP(CustomerCombined[[#This Row],[ID]], Table4[ID], Table4[Visits], "Not Found", 0)</f>
        <v>8</v>
      </c>
      <c r="W2144" s="8">
        <f>_xlfn.XLOOKUP(CustomerCombined[[#This Row],[ID]], Table2[ID],Table2[Complaint], "Not Found", 0 )</f>
        <v>0</v>
      </c>
      <c r="X2144" s="8">
        <f>_xlfn.XLOOKUP(CustomerCombined[[#This Row],[ID]], Table2[ID],Table2[Pilot], "Not Found", 0 )</f>
        <v>1</v>
      </c>
      <c r="Y2144" s="8">
        <f>_xlfn.XLOOKUP(CustomerCombined[[#This Row],[ID]], Table2[ID],Table2[MC1], "Not Found", 0 )</f>
        <v>0</v>
      </c>
      <c r="Z2144" s="8">
        <f>_xlfn.XLOOKUP(CustomerCombined[[#This Row],[ID]], Table2[ID],Table2[MC2], "Not Found", 0 )</f>
        <v>0</v>
      </c>
      <c r="AA2144" s="8">
        <f>_xlfn.XLOOKUP(CustomerCombined[[#This Row],[ID]], Table2[ID],Table2[MC3], "Not Found", 0 )</f>
        <v>0</v>
      </c>
      <c r="AB2144" s="8">
        <f>_xlfn.XLOOKUP(CustomerCombined[[#This Row],[ID]], Table2[ID],Table2[MC4], "Not Found", 0 )</f>
        <v>0</v>
      </c>
      <c r="AC2144" s="8">
        <f>_xlfn.XLOOKUP(CustomerCombined[[#This Row],[ID]], Table2[ID],Table2[MC5], "Not Found", 0 )</f>
        <v>0</v>
      </c>
    </row>
    <row r="2145" spans="1:29" x14ac:dyDescent="0.3">
      <c r="A2145" s="6">
        <v>2362</v>
      </c>
      <c r="B2145" s="6">
        <v>192344</v>
      </c>
      <c r="C2145" s="6">
        <v>0</v>
      </c>
      <c r="D2145" s="6">
        <v>0</v>
      </c>
      <c r="E2145" s="6">
        <v>72</v>
      </c>
      <c r="F2145" s="5" t="s">
        <v>6</v>
      </c>
      <c r="G2145" s="5" t="s">
        <v>11</v>
      </c>
      <c r="H2145" s="3" t="s">
        <v>115</v>
      </c>
      <c r="I2145" s="5" t="s">
        <v>439</v>
      </c>
      <c r="J2145" s="5">
        <f>_xlfn.XLOOKUP(CustomerCombined[[#This Row],[ID]], Table4[ID], Table4[Recency], "Not Found", 0)</f>
        <v>9</v>
      </c>
      <c r="K2145" s="5">
        <f>_xlfn.XLOOKUP(CustomerCombined[[#This Row],[ID]], Table4[ID], Table4[Teas], "Not Found", 0)</f>
        <v>2066</v>
      </c>
      <c r="L2145" s="5">
        <f>_xlfn.XLOOKUP(CustomerCombined[[#This Row],[ID]], Table4[ID], Table4[Fruits], "Not Found", 0)</f>
        <v>50</v>
      </c>
      <c r="M2145" s="5">
        <f>_xlfn.XLOOKUP(CustomerCombined[[#This Row],[ID]], Table4[ID], Table4[Meats], "Not Found", 0)</f>
        <v>1446</v>
      </c>
      <c r="N2145" s="5">
        <f>_xlfn.XLOOKUP(CustomerCombined[[#This Row],[ID]], Table4[ID], Table4[Seafood], "Not Found", 0)</f>
        <v>106</v>
      </c>
      <c r="O2145" s="5">
        <f>_xlfn.XLOOKUP(CustomerCombined[[#This Row],[ID]], Table4[ID], Table4[Sweets], "Not Found", 0)</f>
        <v>40</v>
      </c>
      <c r="P2145" s="5">
        <f>_xlfn.XLOOKUP(CustomerCombined[[#This Row],[ID]], Table4[ID], Table4[Premium], "Not Found", 0)</f>
        <v>248</v>
      </c>
      <c r="Q2145" s="5">
        <f>_xlfn.XLOOKUP(CustomerCombined[[#This Row],[ID]], Table4[ID], Table4[Regular], "Not Found", 0)</f>
        <v>3460</v>
      </c>
      <c r="R2145" s="5">
        <f>_xlfn.XLOOKUP(CustomerCombined[[#This Row],[ID]], Table4[ID], Table4[Deals], "Not Found", 0)</f>
        <v>0</v>
      </c>
      <c r="S2145" s="5">
        <f>_xlfn.XLOOKUP(CustomerCombined[[#This Row],[ID]], Table4[ID], Table4[Website], "Not Found", 0)</f>
        <v>5</v>
      </c>
      <c r="T2145" s="5">
        <f>_xlfn.XLOOKUP(CustomerCombined[[#This Row],[ID]], Table4[ID], Table4[Catalog], "Not Found", 0)</f>
        <v>10</v>
      </c>
      <c r="U2145" s="5">
        <f>_xlfn.XLOOKUP(CustomerCombined[[#This Row],[ID]], Table4[ID], Table4[Store], "Not Found", 0)</f>
        <v>5</v>
      </c>
      <c r="V2145" s="5">
        <f>_xlfn.XLOOKUP(CustomerCombined[[#This Row],[ID]], Table4[ID], Table4[Visits], "Not Found", 0)</f>
        <v>1</v>
      </c>
      <c r="W2145" s="8">
        <f>_xlfn.XLOOKUP(CustomerCombined[[#This Row],[ID]], Table2[ID],Table2[Complaint], "Not Found", 0 )</f>
        <v>0</v>
      </c>
      <c r="X2145" s="8">
        <f>_xlfn.XLOOKUP(CustomerCombined[[#This Row],[ID]], Table2[ID],Table2[Pilot], "Not Found", 0 )</f>
        <v>0</v>
      </c>
      <c r="Y2145" s="8">
        <f>_xlfn.XLOOKUP(CustomerCombined[[#This Row],[ID]], Table2[ID],Table2[MC1], "Not Found", 0 )</f>
        <v>0</v>
      </c>
      <c r="Z2145" s="8">
        <f>_xlfn.XLOOKUP(CustomerCombined[[#This Row],[ID]], Table2[ID],Table2[MC2], "Not Found", 0 )</f>
        <v>0</v>
      </c>
      <c r="AA2145" s="8">
        <f>_xlfn.XLOOKUP(CustomerCombined[[#This Row],[ID]], Table2[ID],Table2[MC3], "Not Found", 0 )</f>
        <v>1</v>
      </c>
      <c r="AB2145" s="8">
        <f>_xlfn.XLOOKUP(CustomerCombined[[#This Row],[ID]], Table2[ID],Table2[MC4], "Not Found", 0 )</f>
        <v>0</v>
      </c>
      <c r="AC2145" s="8">
        <f>_xlfn.XLOOKUP(CustomerCombined[[#This Row],[ID]], Table2[ID],Table2[MC5], "Not Found", 0 )</f>
        <v>1</v>
      </c>
    </row>
    <row r="2146" spans="1:29" x14ac:dyDescent="0.3">
      <c r="A2146" s="6">
        <v>2313</v>
      </c>
      <c r="B2146" s="6">
        <v>190842</v>
      </c>
      <c r="C2146" s="6">
        <v>0</v>
      </c>
      <c r="D2146" s="6">
        <v>0</v>
      </c>
      <c r="E2146" s="6">
        <v>72</v>
      </c>
      <c r="F2146" s="5" t="s">
        <v>7</v>
      </c>
      <c r="G2146" s="5" t="s">
        <v>11</v>
      </c>
      <c r="H2146" s="3">
        <v>43891</v>
      </c>
      <c r="I2146" s="5" t="s">
        <v>435</v>
      </c>
      <c r="J2146" s="5">
        <f>_xlfn.XLOOKUP(CustomerCombined[[#This Row],[ID]], Table4[ID], Table4[Recency], "Not Found", 0)</f>
        <v>57</v>
      </c>
      <c r="K2146" s="5">
        <f>_xlfn.XLOOKUP(CustomerCombined[[#This Row],[ID]], Table4[ID], Table4[Teas], "Not Found", 0)</f>
        <v>1626</v>
      </c>
      <c r="L2146" s="5">
        <f>_xlfn.XLOOKUP(CustomerCombined[[#This Row],[ID]], Table4[ID], Table4[Fruits], "Not Found", 0)</f>
        <v>147</v>
      </c>
      <c r="M2146" s="5">
        <f>_xlfn.XLOOKUP(CustomerCombined[[#This Row],[ID]], Table4[ID], Table4[Meats], "Not Found", 0)</f>
        <v>248</v>
      </c>
      <c r="N2146" s="5">
        <f>_xlfn.XLOOKUP(CustomerCombined[[#This Row],[ID]], Table4[ID], Table4[Seafood], "Not Found", 0)</f>
        <v>382</v>
      </c>
      <c r="O2146" s="5">
        <f>_xlfn.XLOOKUP(CustomerCombined[[#This Row],[ID]], Table4[ID], Table4[Sweets], "Not Found", 0)</f>
        <v>393</v>
      </c>
      <c r="P2146" s="5">
        <f>_xlfn.XLOOKUP(CustomerCombined[[#This Row],[ID]], Table4[ID], Table4[Premium], "Not Found", 0)</f>
        <v>195</v>
      </c>
      <c r="Q2146" s="5">
        <f>_xlfn.XLOOKUP(CustomerCombined[[#This Row],[ID]], Table4[ID], Table4[Regular], "Not Found", 0)</f>
        <v>2601</v>
      </c>
      <c r="R2146" s="5">
        <f>_xlfn.XLOOKUP(CustomerCombined[[#This Row],[ID]], Table4[ID], Table4[Deals], "Not Found", 0)</f>
        <v>1</v>
      </c>
      <c r="S2146" s="5">
        <f>_xlfn.XLOOKUP(CustomerCombined[[#This Row],[ID]], Table4[ID], Table4[Website], "Not Found", 0)</f>
        <v>4</v>
      </c>
      <c r="T2146" s="5">
        <f>_xlfn.XLOOKUP(CustomerCombined[[#This Row],[ID]], Table4[ID], Table4[Catalog], "Not Found", 0)</f>
        <v>9</v>
      </c>
      <c r="U2146" s="5">
        <f>_xlfn.XLOOKUP(CustomerCombined[[#This Row],[ID]], Table4[ID], Table4[Store], "Not Found", 0)</f>
        <v>13</v>
      </c>
      <c r="V2146" s="5">
        <f>_xlfn.XLOOKUP(CustomerCombined[[#This Row],[ID]], Table4[ID], Table4[Visits], "Not Found", 0)</f>
        <v>1</v>
      </c>
      <c r="W2146" s="8">
        <f>_xlfn.XLOOKUP(CustomerCombined[[#This Row],[ID]], Table2[ID],Table2[Complaint], "Not Found", 0 )</f>
        <v>0</v>
      </c>
      <c r="X2146" s="8">
        <f>_xlfn.XLOOKUP(CustomerCombined[[#This Row],[ID]], Table2[ID],Table2[Pilot], "Not Found", 0 )</f>
        <v>0</v>
      </c>
      <c r="Y2146" s="8">
        <f>_xlfn.XLOOKUP(CustomerCombined[[#This Row],[ID]], Table2[ID],Table2[MC1], "Not Found", 0 )</f>
        <v>0</v>
      </c>
      <c r="Z2146" s="8">
        <f>_xlfn.XLOOKUP(CustomerCombined[[#This Row],[ID]], Table2[ID],Table2[MC2], "Not Found", 0 )</f>
        <v>0</v>
      </c>
      <c r="AA2146" s="8">
        <f>_xlfn.XLOOKUP(CustomerCombined[[#This Row],[ID]], Table2[ID],Table2[MC3], "Not Found", 0 )</f>
        <v>0</v>
      </c>
      <c r="AB2146" s="8">
        <f>_xlfn.XLOOKUP(CustomerCombined[[#This Row],[ID]], Table2[ID],Table2[MC4], "Not Found", 0 )</f>
        <v>0</v>
      </c>
      <c r="AC2146" s="8">
        <f>_xlfn.XLOOKUP(CustomerCombined[[#This Row],[ID]], Table2[ID],Table2[MC5], "Not Found", 0 )</f>
        <v>0</v>
      </c>
    </row>
    <row r="2147" spans="1:29" x14ac:dyDescent="0.3">
      <c r="A2147" s="6">
        <v>1165</v>
      </c>
      <c r="B2147" s="6">
        <v>183837</v>
      </c>
      <c r="C2147" s="6">
        <v>0</v>
      </c>
      <c r="D2147" s="6">
        <v>0</v>
      </c>
      <c r="E2147" s="6">
        <v>72</v>
      </c>
      <c r="F2147" s="5" t="s">
        <v>6</v>
      </c>
      <c r="G2147" s="5" t="s">
        <v>13</v>
      </c>
      <c r="H2147" s="3" t="s">
        <v>343</v>
      </c>
      <c r="I2147" s="5" t="s">
        <v>437</v>
      </c>
      <c r="J2147" s="5">
        <f>_xlfn.XLOOKUP(CustomerCombined[[#This Row],[ID]], Table4[ID], Table4[Recency], "Not Found", 0)</f>
        <v>79</v>
      </c>
      <c r="K2147" s="5">
        <f>_xlfn.XLOOKUP(CustomerCombined[[#This Row],[ID]], Table4[ID], Table4[Teas], "Not Found", 0)</f>
        <v>1857</v>
      </c>
      <c r="L2147" s="5">
        <f>_xlfn.XLOOKUP(CustomerCombined[[#This Row],[ID]], Table4[ID], Table4[Fruits], "Not Found", 0)</f>
        <v>145</v>
      </c>
      <c r="M2147" s="5">
        <f>_xlfn.XLOOKUP(CustomerCombined[[#This Row],[ID]], Table4[ID], Table4[Meats], "Not Found", 0)</f>
        <v>261</v>
      </c>
      <c r="N2147" s="5">
        <f>_xlfn.XLOOKUP(CustomerCombined[[#This Row],[ID]], Table4[ID], Table4[Seafood], "Not Found", 0)</f>
        <v>189</v>
      </c>
      <c r="O2147" s="5">
        <f>_xlfn.XLOOKUP(CustomerCombined[[#This Row],[ID]], Table4[ID], Table4[Sweets], "Not Found", 0)</f>
        <v>195</v>
      </c>
      <c r="P2147" s="5">
        <f>_xlfn.XLOOKUP(CustomerCombined[[#This Row],[ID]], Table4[ID], Table4[Premium], "Not Found", 0)</f>
        <v>243</v>
      </c>
      <c r="Q2147" s="5">
        <f>_xlfn.XLOOKUP(CustomerCombined[[#This Row],[ID]], Table4[ID], Table4[Regular], "Not Found", 0)</f>
        <v>2403</v>
      </c>
      <c r="R2147" s="5">
        <f>_xlfn.XLOOKUP(CustomerCombined[[#This Row],[ID]], Table4[ID], Table4[Deals], "Not Found", 0)</f>
        <v>1</v>
      </c>
      <c r="S2147" s="5">
        <f>_xlfn.XLOOKUP(CustomerCombined[[#This Row],[ID]], Table4[ID], Table4[Website], "Not Found", 0)</f>
        <v>9</v>
      </c>
      <c r="T2147" s="5">
        <f>_xlfn.XLOOKUP(CustomerCombined[[#This Row],[ID]], Table4[ID], Table4[Catalog], "Not Found", 0)</f>
        <v>10</v>
      </c>
      <c r="U2147" s="5">
        <f>_xlfn.XLOOKUP(CustomerCombined[[#This Row],[ID]], Table4[ID], Table4[Store], "Not Found", 0)</f>
        <v>5</v>
      </c>
      <c r="V2147" s="5">
        <f>_xlfn.XLOOKUP(CustomerCombined[[#This Row],[ID]], Table4[ID], Table4[Visits], "Not Found", 0)</f>
        <v>4</v>
      </c>
      <c r="W2147" s="8">
        <f>_xlfn.XLOOKUP(CustomerCombined[[#This Row],[ID]], Table2[ID],Table2[Complaint], "Not Found", 0 )</f>
        <v>0</v>
      </c>
      <c r="X2147" s="8">
        <f>_xlfn.XLOOKUP(CustomerCombined[[#This Row],[ID]], Table2[ID],Table2[Pilot], "Not Found", 0 )</f>
        <v>1</v>
      </c>
      <c r="Y2147" s="8">
        <f>_xlfn.XLOOKUP(CustomerCombined[[#This Row],[ID]], Table2[ID],Table2[MC1], "Not Found", 0 )</f>
        <v>1</v>
      </c>
      <c r="Z2147" s="8">
        <f>_xlfn.XLOOKUP(CustomerCombined[[#This Row],[ID]], Table2[ID],Table2[MC2], "Not Found", 0 )</f>
        <v>0</v>
      </c>
      <c r="AA2147" s="8">
        <f>_xlfn.XLOOKUP(CustomerCombined[[#This Row],[ID]], Table2[ID],Table2[MC3], "Not Found", 0 )</f>
        <v>0</v>
      </c>
      <c r="AB2147" s="8">
        <f>_xlfn.XLOOKUP(CustomerCombined[[#This Row],[ID]], Table2[ID],Table2[MC4], "Not Found", 0 )</f>
        <v>1</v>
      </c>
      <c r="AC2147" s="8">
        <f>_xlfn.XLOOKUP(CustomerCombined[[#This Row],[ID]], Table2[ID],Table2[MC5], "Not Found", 0 )</f>
        <v>0</v>
      </c>
    </row>
    <row r="2148" spans="1:29" x14ac:dyDescent="0.3">
      <c r="A2148" s="6">
        <v>1205</v>
      </c>
      <c r="B2148" s="6">
        <v>183790</v>
      </c>
      <c r="C2148" s="6">
        <v>0</v>
      </c>
      <c r="D2148" s="6">
        <v>0</v>
      </c>
      <c r="E2148" s="6">
        <v>72</v>
      </c>
      <c r="F2148" s="5" t="s">
        <v>6</v>
      </c>
      <c r="G2148" s="5" t="s">
        <v>12</v>
      </c>
      <c r="H2148" s="3" t="s">
        <v>149</v>
      </c>
      <c r="I2148" s="5" t="s">
        <v>434</v>
      </c>
      <c r="J2148" s="5">
        <f>_xlfn.XLOOKUP(CustomerCombined[[#This Row],[ID]], Table4[ID], Table4[Recency], "Not Found", 0)</f>
        <v>81</v>
      </c>
      <c r="K2148" s="5">
        <f>_xlfn.XLOOKUP(CustomerCombined[[#This Row],[ID]], Table4[ID], Table4[Teas], "Not Found", 0)</f>
        <v>2360</v>
      </c>
      <c r="L2148" s="5">
        <f>_xlfn.XLOOKUP(CustomerCombined[[#This Row],[ID]], Table4[ID], Table4[Fruits], "Not Found", 0)</f>
        <v>35</v>
      </c>
      <c r="M2148" s="5">
        <f>_xlfn.XLOOKUP(CustomerCombined[[#This Row],[ID]], Table4[ID], Table4[Meats], "Not Found", 0)</f>
        <v>915</v>
      </c>
      <c r="N2148" s="5">
        <f>_xlfn.XLOOKUP(CustomerCombined[[#This Row],[ID]], Table4[ID], Table4[Seafood], "Not Found", 0)</f>
        <v>92</v>
      </c>
      <c r="O2148" s="5">
        <f>_xlfn.XLOOKUP(CustomerCombined[[#This Row],[ID]], Table4[ID], Table4[Sweets], "Not Found", 0)</f>
        <v>105</v>
      </c>
      <c r="P2148" s="5">
        <f>_xlfn.XLOOKUP(CustomerCombined[[#This Row],[ID]], Table4[ID], Table4[Premium], "Not Found", 0)</f>
        <v>35</v>
      </c>
      <c r="Q2148" s="5">
        <f>_xlfn.XLOOKUP(CustomerCombined[[#This Row],[ID]], Table4[ID], Table4[Regular], "Not Found", 0)</f>
        <v>3472</v>
      </c>
      <c r="R2148" s="5">
        <f>_xlfn.XLOOKUP(CustomerCombined[[#This Row],[ID]], Table4[ID], Table4[Deals], "Not Found", 0)</f>
        <v>1</v>
      </c>
      <c r="S2148" s="5">
        <f>_xlfn.XLOOKUP(CustomerCombined[[#This Row],[ID]], Table4[ID], Table4[Website], "Not Found", 0)</f>
        <v>8</v>
      </c>
      <c r="T2148" s="5">
        <f>_xlfn.XLOOKUP(CustomerCombined[[#This Row],[ID]], Table4[ID], Table4[Catalog], "Not Found", 0)</f>
        <v>10</v>
      </c>
      <c r="U2148" s="5">
        <f>_xlfn.XLOOKUP(CustomerCombined[[#This Row],[ID]], Table4[ID], Table4[Store], "Not Found", 0)</f>
        <v>6</v>
      </c>
      <c r="V2148" s="5">
        <f>_xlfn.XLOOKUP(CustomerCombined[[#This Row],[ID]], Table4[ID], Table4[Visits], "Not Found", 0)</f>
        <v>3</v>
      </c>
      <c r="W2148" s="8">
        <f>_xlfn.XLOOKUP(CustomerCombined[[#This Row],[ID]], Table2[ID],Table2[Complaint], "Not Found", 0 )</f>
        <v>0</v>
      </c>
      <c r="X2148" s="8">
        <f>_xlfn.XLOOKUP(CustomerCombined[[#This Row],[ID]], Table2[ID],Table2[Pilot], "Not Found", 0 )</f>
        <v>0</v>
      </c>
      <c r="Y2148" s="8">
        <f>_xlfn.XLOOKUP(CustomerCombined[[#This Row],[ID]], Table2[ID],Table2[MC1], "Not Found", 0 )</f>
        <v>0</v>
      </c>
      <c r="Z2148" s="8">
        <f>_xlfn.XLOOKUP(CustomerCombined[[#This Row],[ID]], Table2[ID],Table2[MC2], "Not Found", 0 )</f>
        <v>0</v>
      </c>
      <c r="AA2148" s="8">
        <f>_xlfn.XLOOKUP(CustomerCombined[[#This Row],[ID]], Table2[ID],Table2[MC3], "Not Found", 0 )</f>
        <v>0</v>
      </c>
      <c r="AB2148" s="8">
        <f>_xlfn.XLOOKUP(CustomerCombined[[#This Row],[ID]], Table2[ID],Table2[MC4], "Not Found", 0 )</f>
        <v>1</v>
      </c>
      <c r="AC2148" s="8">
        <f>_xlfn.XLOOKUP(CustomerCombined[[#This Row],[ID]], Table2[ID],Table2[MC5], "Not Found", 0 )</f>
        <v>1</v>
      </c>
    </row>
    <row r="2149" spans="1:29" x14ac:dyDescent="0.3">
      <c r="A2149" s="6">
        <v>2502</v>
      </c>
      <c r="B2149" s="6">
        <v>182032</v>
      </c>
      <c r="C2149" s="6">
        <v>0</v>
      </c>
      <c r="D2149" s="6">
        <v>0</v>
      </c>
      <c r="E2149" s="6">
        <v>72</v>
      </c>
      <c r="F2149" s="5" t="s">
        <v>9</v>
      </c>
      <c r="G2149" s="5" t="s">
        <v>13</v>
      </c>
      <c r="H2149" s="3">
        <v>44083</v>
      </c>
      <c r="I2149" s="5" t="s">
        <v>436</v>
      </c>
      <c r="J2149" s="5">
        <f>_xlfn.XLOOKUP(CustomerCombined[[#This Row],[ID]], Table4[ID], Table4[Recency], "Not Found", 0)</f>
        <v>54</v>
      </c>
      <c r="K2149" s="5">
        <f>_xlfn.XLOOKUP(CustomerCombined[[#This Row],[ID]], Table4[ID], Table4[Teas], "Not Found", 0)</f>
        <v>737</v>
      </c>
      <c r="L2149" s="5">
        <f>_xlfn.XLOOKUP(CustomerCombined[[#This Row],[ID]], Table4[ID], Table4[Fruits], "Not Found", 0)</f>
        <v>430</v>
      </c>
      <c r="M2149" s="5">
        <f>_xlfn.XLOOKUP(CustomerCombined[[#This Row],[ID]], Table4[ID], Table4[Meats], "Not Found", 0)</f>
        <v>837</v>
      </c>
      <c r="N2149" s="5">
        <f>_xlfn.XLOOKUP(CustomerCombined[[#This Row],[ID]], Table4[ID], Table4[Seafood], "Not Found", 0)</f>
        <v>331</v>
      </c>
      <c r="O2149" s="5">
        <f>_xlfn.XLOOKUP(CustomerCombined[[#This Row],[ID]], Table4[ID], Table4[Sweets], "Not Found", 0)</f>
        <v>277</v>
      </c>
      <c r="P2149" s="5">
        <f>_xlfn.XLOOKUP(CustomerCombined[[#This Row],[ID]], Table4[ID], Table4[Premium], "Not Found", 0)</f>
        <v>126</v>
      </c>
      <c r="Q2149" s="5">
        <f>_xlfn.XLOOKUP(CustomerCombined[[#This Row],[ID]], Table4[ID], Table4[Regular], "Not Found", 0)</f>
        <v>2485</v>
      </c>
      <c r="R2149" s="5">
        <f>_xlfn.XLOOKUP(CustomerCombined[[#This Row],[ID]], Table4[ID], Table4[Deals], "Not Found", 0)</f>
        <v>0</v>
      </c>
      <c r="S2149" s="5">
        <f>_xlfn.XLOOKUP(CustomerCombined[[#This Row],[ID]], Table4[ID], Table4[Website], "Not Found", 0)</f>
        <v>4</v>
      </c>
      <c r="T2149" s="5">
        <f>_xlfn.XLOOKUP(CustomerCombined[[#This Row],[ID]], Table4[ID], Table4[Catalog], "Not Found", 0)</f>
        <v>6</v>
      </c>
      <c r="U2149" s="5">
        <f>_xlfn.XLOOKUP(CustomerCombined[[#This Row],[ID]], Table4[ID], Table4[Store], "Not Found", 0)</f>
        <v>7</v>
      </c>
      <c r="V2149" s="5">
        <f>_xlfn.XLOOKUP(CustomerCombined[[#This Row],[ID]], Table4[ID], Table4[Visits], "Not Found", 0)</f>
        <v>1</v>
      </c>
      <c r="W2149" s="8">
        <f>_xlfn.XLOOKUP(CustomerCombined[[#This Row],[ID]], Table2[ID],Table2[Complaint], "Not Found", 0 )</f>
        <v>0</v>
      </c>
      <c r="X2149" s="8">
        <f>_xlfn.XLOOKUP(CustomerCombined[[#This Row],[ID]], Table2[ID],Table2[Pilot], "Not Found", 0 )</f>
        <v>0</v>
      </c>
      <c r="Y2149" s="8">
        <f>_xlfn.XLOOKUP(CustomerCombined[[#This Row],[ID]], Table2[ID],Table2[MC1], "Not Found", 0 )</f>
        <v>0</v>
      </c>
      <c r="Z2149" s="8">
        <f>_xlfn.XLOOKUP(CustomerCombined[[#This Row],[ID]], Table2[ID],Table2[MC2], "Not Found", 0 )</f>
        <v>0</v>
      </c>
      <c r="AA2149" s="8">
        <f>_xlfn.XLOOKUP(CustomerCombined[[#This Row],[ID]], Table2[ID],Table2[MC3], "Not Found", 0 )</f>
        <v>0</v>
      </c>
      <c r="AB2149" s="8">
        <f>_xlfn.XLOOKUP(CustomerCombined[[#This Row],[ID]], Table2[ID],Table2[MC4], "Not Found", 0 )</f>
        <v>0</v>
      </c>
      <c r="AC2149" s="8">
        <f>_xlfn.XLOOKUP(CustomerCombined[[#This Row],[ID]], Table2[ID],Table2[MC5], "Not Found", 0 )</f>
        <v>0</v>
      </c>
    </row>
    <row r="2150" spans="1:29" x14ac:dyDescent="0.3">
      <c r="A2150" s="6">
        <v>3185</v>
      </c>
      <c r="B2150" s="6">
        <v>182032</v>
      </c>
      <c r="C2150" s="6">
        <v>0</v>
      </c>
      <c r="D2150" s="6">
        <v>0</v>
      </c>
      <c r="E2150" s="6">
        <v>72</v>
      </c>
      <c r="F2150" s="5" t="s">
        <v>9</v>
      </c>
      <c r="G2150" s="5" t="s">
        <v>13</v>
      </c>
      <c r="H2150" s="3">
        <v>44083</v>
      </c>
      <c r="I2150" s="5" t="s">
        <v>434</v>
      </c>
      <c r="J2150" s="5">
        <f>_xlfn.XLOOKUP(CustomerCombined[[#This Row],[ID]], Table4[ID], Table4[Recency], "Not Found", 0)</f>
        <v>54</v>
      </c>
      <c r="K2150" s="5">
        <f>_xlfn.XLOOKUP(CustomerCombined[[#This Row],[ID]], Table4[ID], Table4[Teas], "Not Found", 0)</f>
        <v>737</v>
      </c>
      <c r="L2150" s="5">
        <f>_xlfn.XLOOKUP(CustomerCombined[[#This Row],[ID]], Table4[ID], Table4[Fruits], "Not Found", 0)</f>
        <v>430</v>
      </c>
      <c r="M2150" s="5">
        <f>_xlfn.XLOOKUP(CustomerCombined[[#This Row],[ID]], Table4[ID], Table4[Meats], "Not Found", 0)</f>
        <v>837</v>
      </c>
      <c r="N2150" s="5">
        <f>_xlfn.XLOOKUP(CustomerCombined[[#This Row],[ID]], Table4[ID], Table4[Seafood], "Not Found", 0)</f>
        <v>331</v>
      </c>
      <c r="O2150" s="5">
        <f>_xlfn.XLOOKUP(CustomerCombined[[#This Row],[ID]], Table4[ID], Table4[Sweets], "Not Found", 0)</f>
        <v>277</v>
      </c>
      <c r="P2150" s="5">
        <f>_xlfn.XLOOKUP(CustomerCombined[[#This Row],[ID]], Table4[ID], Table4[Premium], "Not Found", 0)</f>
        <v>126</v>
      </c>
      <c r="Q2150" s="5">
        <f>_xlfn.XLOOKUP(CustomerCombined[[#This Row],[ID]], Table4[ID], Table4[Regular], "Not Found", 0)</f>
        <v>2485</v>
      </c>
      <c r="R2150" s="5">
        <f>_xlfn.XLOOKUP(CustomerCombined[[#This Row],[ID]], Table4[ID], Table4[Deals], "Not Found", 0)</f>
        <v>0</v>
      </c>
      <c r="S2150" s="5">
        <f>_xlfn.XLOOKUP(CustomerCombined[[#This Row],[ID]], Table4[ID], Table4[Website], "Not Found", 0)</f>
        <v>4</v>
      </c>
      <c r="T2150" s="5">
        <f>_xlfn.XLOOKUP(CustomerCombined[[#This Row],[ID]], Table4[ID], Table4[Catalog], "Not Found", 0)</f>
        <v>6</v>
      </c>
      <c r="U2150" s="5">
        <f>_xlfn.XLOOKUP(CustomerCombined[[#This Row],[ID]], Table4[ID], Table4[Store], "Not Found", 0)</f>
        <v>7</v>
      </c>
      <c r="V2150" s="5">
        <f>_xlfn.XLOOKUP(CustomerCombined[[#This Row],[ID]], Table4[ID], Table4[Visits], "Not Found", 0)</f>
        <v>1</v>
      </c>
      <c r="W2150" s="8">
        <f>_xlfn.XLOOKUP(CustomerCombined[[#This Row],[ID]], Table2[ID],Table2[Complaint], "Not Found", 0 )</f>
        <v>0</v>
      </c>
      <c r="X2150" s="8">
        <f>_xlfn.XLOOKUP(CustomerCombined[[#This Row],[ID]], Table2[ID],Table2[Pilot], "Not Found", 0 )</f>
        <v>0</v>
      </c>
      <c r="Y2150" s="8">
        <f>_xlfn.XLOOKUP(CustomerCombined[[#This Row],[ID]], Table2[ID],Table2[MC1], "Not Found", 0 )</f>
        <v>0</v>
      </c>
      <c r="Z2150" s="8">
        <f>_xlfn.XLOOKUP(CustomerCombined[[#This Row],[ID]], Table2[ID],Table2[MC2], "Not Found", 0 )</f>
        <v>0</v>
      </c>
      <c r="AA2150" s="8">
        <f>_xlfn.XLOOKUP(CustomerCombined[[#This Row],[ID]], Table2[ID],Table2[MC3], "Not Found", 0 )</f>
        <v>0</v>
      </c>
      <c r="AB2150" s="8">
        <f>_xlfn.XLOOKUP(CustomerCombined[[#This Row],[ID]], Table2[ID],Table2[MC4], "Not Found", 0 )</f>
        <v>0</v>
      </c>
      <c r="AC2150" s="8">
        <f>_xlfn.XLOOKUP(CustomerCombined[[#This Row],[ID]], Table2[ID],Table2[MC5], "Not Found", 0 )</f>
        <v>0</v>
      </c>
    </row>
    <row r="2151" spans="1:29" x14ac:dyDescent="0.3">
      <c r="A2151" s="6">
        <v>2419</v>
      </c>
      <c r="B2151" s="6">
        <v>178427</v>
      </c>
      <c r="C2151" s="6">
        <v>0</v>
      </c>
      <c r="D2151" s="6">
        <v>0</v>
      </c>
      <c r="E2151" s="6">
        <v>72</v>
      </c>
      <c r="F2151" s="5" t="s">
        <v>9</v>
      </c>
      <c r="G2151" s="5" t="s">
        <v>12</v>
      </c>
      <c r="H2151" s="3" t="s">
        <v>370</v>
      </c>
      <c r="I2151" s="5" t="s">
        <v>437</v>
      </c>
      <c r="J2151" s="5">
        <f>_xlfn.XLOOKUP(CustomerCombined[[#This Row],[ID]], Table4[ID], Table4[Recency], "Not Found", 0)</f>
        <v>36</v>
      </c>
      <c r="K2151" s="5">
        <f>_xlfn.XLOOKUP(CustomerCombined[[#This Row],[ID]], Table4[ID], Table4[Teas], "Not Found", 0)</f>
        <v>2211</v>
      </c>
      <c r="L2151" s="5">
        <f>_xlfn.XLOOKUP(CustomerCombined[[#This Row],[ID]], Table4[ID], Table4[Fruits], "Not Found", 0)</f>
        <v>43</v>
      </c>
      <c r="M2151" s="5">
        <f>_xlfn.XLOOKUP(CustomerCombined[[#This Row],[ID]], Table4[ID], Table4[Meats], "Not Found", 0)</f>
        <v>1354</v>
      </c>
      <c r="N2151" s="5">
        <f>_xlfn.XLOOKUP(CustomerCombined[[#This Row],[ID]], Table4[ID], Table4[Seafood], "Not Found", 0)</f>
        <v>410</v>
      </c>
      <c r="O2151" s="5">
        <f>_xlfn.XLOOKUP(CustomerCombined[[#This Row],[ID]], Table4[ID], Table4[Sweets], "Not Found", 0)</f>
        <v>59</v>
      </c>
      <c r="P2151" s="5">
        <f>_xlfn.XLOOKUP(CustomerCombined[[#This Row],[ID]], Table4[ID], Table4[Premium], "Not Found", 0)</f>
        <v>314</v>
      </c>
      <c r="Q2151" s="5">
        <f>_xlfn.XLOOKUP(CustomerCombined[[#This Row],[ID]], Table4[ID], Table4[Regular], "Not Found", 0)</f>
        <v>3763</v>
      </c>
      <c r="R2151" s="5">
        <f>_xlfn.XLOOKUP(CustomerCombined[[#This Row],[ID]], Table4[ID], Table4[Deals], "Not Found", 0)</f>
        <v>3</v>
      </c>
      <c r="S2151" s="5">
        <f>_xlfn.XLOOKUP(CustomerCombined[[#This Row],[ID]], Table4[ID], Table4[Website], "Not Found", 0)</f>
        <v>3</v>
      </c>
      <c r="T2151" s="5">
        <f>_xlfn.XLOOKUP(CustomerCombined[[#This Row],[ID]], Table4[ID], Table4[Catalog], "Not Found", 0)</f>
        <v>7</v>
      </c>
      <c r="U2151" s="5">
        <f>_xlfn.XLOOKUP(CustomerCombined[[#This Row],[ID]], Table4[ID], Table4[Store], "Not Found", 0)</f>
        <v>10</v>
      </c>
      <c r="V2151" s="5">
        <f>_xlfn.XLOOKUP(CustomerCombined[[#This Row],[ID]], Table4[ID], Table4[Visits], "Not Found", 0)</f>
        <v>3</v>
      </c>
      <c r="W2151" s="8">
        <f>_xlfn.XLOOKUP(CustomerCombined[[#This Row],[ID]], Table2[ID],Table2[Complaint], "Not Found", 0 )</f>
        <v>0</v>
      </c>
      <c r="X2151" s="8">
        <f>_xlfn.XLOOKUP(CustomerCombined[[#This Row],[ID]], Table2[ID],Table2[Pilot], "Not Found", 0 )</f>
        <v>1</v>
      </c>
      <c r="Y2151" s="8">
        <f>_xlfn.XLOOKUP(CustomerCombined[[#This Row],[ID]], Table2[ID],Table2[MC1], "Not Found", 0 )</f>
        <v>1</v>
      </c>
      <c r="Z2151" s="8">
        <f>_xlfn.XLOOKUP(CustomerCombined[[#This Row],[ID]], Table2[ID],Table2[MC2], "Not Found", 0 )</f>
        <v>0</v>
      </c>
      <c r="AA2151" s="8">
        <f>_xlfn.XLOOKUP(CustomerCombined[[#This Row],[ID]], Table2[ID],Table2[MC3], "Not Found", 0 )</f>
        <v>0</v>
      </c>
      <c r="AB2151" s="8">
        <f>_xlfn.XLOOKUP(CustomerCombined[[#This Row],[ID]], Table2[ID],Table2[MC4], "Not Found", 0 )</f>
        <v>0</v>
      </c>
      <c r="AC2151" s="8">
        <f>_xlfn.XLOOKUP(CustomerCombined[[#This Row],[ID]], Table2[ID],Table2[MC5], "Not Found", 0 )</f>
        <v>0</v>
      </c>
    </row>
    <row r="2152" spans="1:29" x14ac:dyDescent="0.3">
      <c r="A2152" s="6">
        <v>2149</v>
      </c>
      <c r="B2152" s="6">
        <v>177142</v>
      </c>
      <c r="C2152" s="6">
        <v>0</v>
      </c>
      <c r="D2152" s="6">
        <v>0</v>
      </c>
      <c r="E2152" s="6">
        <v>72</v>
      </c>
      <c r="F2152" s="5" t="s">
        <v>6</v>
      </c>
      <c r="G2152" s="5" t="s">
        <v>11</v>
      </c>
      <c r="H2152" s="3">
        <v>43535</v>
      </c>
      <c r="I2152" s="5" t="s">
        <v>437</v>
      </c>
      <c r="J2152" s="5">
        <f>_xlfn.XLOOKUP(CustomerCombined[[#This Row],[ID]], Table4[ID], Table4[Recency], "Not Found", 0)</f>
        <v>54</v>
      </c>
      <c r="K2152" s="5">
        <f>_xlfn.XLOOKUP(CustomerCombined[[#This Row],[ID]], Table4[ID], Table4[Teas], "Not Found", 0)</f>
        <v>1093</v>
      </c>
      <c r="L2152" s="5">
        <f>_xlfn.XLOOKUP(CustomerCombined[[#This Row],[ID]], Table4[ID], Table4[Fruits], "Not Found", 0)</f>
        <v>172</v>
      </c>
      <c r="M2152" s="5">
        <f>_xlfn.XLOOKUP(CustomerCombined[[#This Row],[ID]], Table4[ID], Table4[Meats], "Not Found", 0)</f>
        <v>372</v>
      </c>
      <c r="N2152" s="5">
        <f>_xlfn.XLOOKUP(CustomerCombined[[#This Row],[ID]], Table4[ID], Table4[Seafood], "Not Found", 0)</f>
        <v>67</v>
      </c>
      <c r="O2152" s="5">
        <f>_xlfn.XLOOKUP(CustomerCombined[[#This Row],[ID]], Table4[ID], Table4[Sweets], "Not Found", 0)</f>
        <v>347</v>
      </c>
      <c r="P2152" s="5">
        <f>_xlfn.XLOOKUP(CustomerCombined[[#This Row],[ID]], Table4[ID], Table4[Premium], "Not Found", 0)</f>
        <v>223</v>
      </c>
      <c r="Q2152" s="5">
        <f>_xlfn.XLOOKUP(CustomerCombined[[#This Row],[ID]], Table4[ID], Table4[Regular], "Not Found", 0)</f>
        <v>1828</v>
      </c>
      <c r="R2152" s="5">
        <f>_xlfn.XLOOKUP(CustomerCombined[[#This Row],[ID]], Table4[ID], Table4[Deals], "Not Found", 0)</f>
        <v>1</v>
      </c>
      <c r="S2152" s="5">
        <f>_xlfn.XLOOKUP(CustomerCombined[[#This Row],[ID]], Table4[ID], Table4[Website], "Not Found", 0)</f>
        <v>4</v>
      </c>
      <c r="T2152" s="5">
        <f>_xlfn.XLOOKUP(CustomerCombined[[#This Row],[ID]], Table4[ID], Table4[Catalog], "Not Found", 0)</f>
        <v>4</v>
      </c>
      <c r="U2152" s="5">
        <f>_xlfn.XLOOKUP(CustomerCombined[[#This Row],[ID]], Table4[ID], Table4[Store], "Not Found", 0)</f>
        <v>8</v>
      </c>
      <c r="V2152" s="5">
        <f>_xlfn.XLOOKUP(CustomerCombined[[#This Row],[ID]], Table4[ID], Table4[Visits], "Not Found", 0)</f>
        <v>2</v>
      </c>
      <c r="W2152" s="8">
        <f>_xlfn.XLOOKUP(CustomerCombined[[#This Row],[ID]], Table2[ID],Table2[Complaint], "Not Found", 0 )</f>
        <v>0</v>
      </c>
      <c r="X2152" s="8">
        <f>_xlfn.XLOOKUP(CustomerCombined[[#This Row],[ID]], Table2[ID],Table2[Pilot], "Not Found", 0 )</f>
        <v>0</v>
      </c>
      <c r="Y2152" s="8">
        <f>_xlfn.XLOOKUP(CustomerCombined[[#This Row],[ID]], Table2[ID],Table2[MC1], "Not Found", 0 )</f>
        <v>0</v>
      </c>
      <c r="Z2152" s="8">
        <f>_xlfn.XLOOKUP(CustomerCombined[[#This Row],[ID]], Table2[ID],Table2[MC2], "Not Found", 0 )</f>
        <v>0</v>
      </c>
      <c r="AA2152" s="8">
        <f>_xlfn.XLOOKUP(CustomerCombined[[#This Row],[ID]], Table2[ID],Table2[MC3], "Not Found", 0 )</f>
        <v>0</v>
      </c>
      <c r="AB2152" s="8">
        <f>_xlfn.XLOOKUP(CustomerCombined[[#This Row],[ID]], Table2[ID],Table2[MC4], "Not Found", 0 )</f>
        <v>0</v>
      </c>
      <c r="AC2152" s="8">
        <f>_xlfn.XLOOKUP(CustomerCombined[[#This Row],[ID]], Table2[ID],Table2[MC5], "Not Found", 0 )</f>
        <v>0</v>
      </c>
    </row>
    <row r="2153" spans="1:29" x14ac:dyDescent="0.3">
      <c r="A2153" s="6">
        <v>1624</v>
      </c>
      <c r="B2153" s="6">
        <v>176140</v>
      </c>
      <c r="C2153" s="6">
        <v>0</v>
      </c>
      <c r="D2153" s="6">
        <v>0</v>
      </c>
      <c r="E2153" s="6">
        <v>72</v>
      </c>
      <c r="F2153" s="5" t="s">
        <v>8</v>
      </c>
      <c r="G2153" s="5" t="s">
        <v>13</v>
      </c>
      <c r="H2153" s="3" t="s">
        <v>51</v>
      </c>
      <c r="I2153" s="5" t="s">
        <v>439</v>
      </c>
      <c r="J2153" s="5">
        <f>_xlfn.XLOOKUP(CustomerCombined[[#This Row],[ID]], Table4[ID], Table4[Recency], "Not Found", 0)</f>
        <v>57</v>
      </c>
      <c r="K2153" s="5">
        <f>_xlfn.XLOOKUP(CustomerCombined[[#This Row],[ID]], Table4[ID], Table4[Teas], "Not Found", 0)</f>
        <v>1356</v>
      </c>
      <c r="L2153" s="5">
        <f>_xlfn.XLOOKUP(CustomerCombined[[#This Row],[ID]], Table4[ID], Table4[Fruits], "Not Found", 0)</f>
        <v>153</v>
      </c>
      <c r="M2153" s="5">
        <f>_xlfn.XLOOKUP(CustomerCombined[[#This Row],[ID]], Table4[ID], Table4[Meats], "Not Found", 0)</f>
        <v>1511</v>
      </c>
      <c r="N2153" s="5">
        <f>_xlfn.XLOOKUP(CustomerCombined[[#This Row],[ID]], Table4[ID], Table4[Seafood], "Not Found", 0)</f>
        <v>39</v>
      </c>
      <c r="O2153" s="5">
        <f>_xlfn.XLOOKUP(CustomerCombined[[#This Row],[ID]], Table4[ID], Table4[Sweets], "Not Found", 0)</f>
        <v>0</v>
      </c>
      <c r="P2153" s="5">
        <f>_xlfn.XLOOKUP(CustomerCombined[[#This Row],[ID]], Table4[ID], Table4[Premium], "Not Found", 0)</f>
        <v>60</v>
      </c>
      <c r="Q2153" s="5">
        <f>_xlfn.XLOOKUP(CustomerCombined[[#This Row],[ID]], Table4[ID], Table4[Regular], "Not Found", 0)</f>
        <v>2998</v>
      </c>
      <c r="R2153" s="5">
        <f>_xlfn.XLOOKUP(CustomerCombined[[#This Row],[ID]], Table4[ID], Table4[Deals], "Not Found", 0)</f>
        <v>1</v>
      </c>
      <c r="S2153" s="5">
        <f>_xlfn.XLOOKUP(CustomerCombined[[#This Row],[ID]], Table4[ID], Table4[Website], "Not Found", 0)</f>
        <v>5</v>
      </c>
      <c r="T2153" s="5">
        <f>_xlfn.XLOOKUP(CustomerCombined[[#This Row],[ID]], Table4[ID], Table4[Catalog], "Not Found", 0)</f>
        <v>9</v>
      </c>
      <c r="U2153" s="5">
        <f>_xlfn.XLOOKUP(CustomerCombined[[#This Row],[ID]], Table4[ID], Table4[Store], "Not Found", 0)</f>
        <v>6</v>
      </c>
      <c r="V2153" s="5">
        <f>_xlfn.XLOOKUP(CustomerCombined[[#This Row],[ID]], Table4[ID], Table4[Visits], "Not Found", 0)</f>
        <v>2</v>
      </c>
      <c r="W2153" s="8">
        <f>_xlfn.XLOOKUP(CustomerCombined[[#This Row],[ID]], Table2[ID],Table2[Complaint], "Not Found", 0 )</f>
        <v>0</v>
      </c>
      <c r="X2153" s="8">
        <f>_xlfn.XLOOKUP(CustomerCombined[[#This Row],[ID]], Table2[ID],Table2[Pilot], "Not Found", 0 )</f>
        <v>0</v>
      </c>
      <c r="Y2153" s="8">
        <f>_xlfn.XLOOKUP(CustomerCombined[[#This Row],[ID]], Table2[ID],Table2[MC1], "Not Found", 0 )</f>
        <v>0</v>
      </c>
      <c r="Z2153" s="8">
        <f>_xlfn.XLOOKUP(CustomerCombined[[#This Row],[ID]], Table2[ID],Table2[MC2], "Not Found", 0 )</f>
        <v>0</v>
      </c>
      <c r="AA2153" s="8">
        <f>_xlfn.XLOOKUP(CustomerCombined[[#This Row],[ID]], Table2[ID],Table2[MC3], "Not Found", 0 )</f>
        <v>0</v>
      </c>
      <c r="AB2153" s="8">
        <f>_xlfn.XLOOKUP(CustomerCombined[[#This Row],[ID]], Table2[ID],Table2[MC4], "Not Found", 0 )</f>
        <v>0</v>
      </c>
      <c r="AC2153" s="8">
        <f>_xlfn.XLOOKUP(CustomerCombined[[#This Row],[ID]], Table2[ID],Table2[MC5], "Not Found", 0 )</f>
        <v>0</v>
      </c>
    </row>
    <row r="2154" spans="1:29" x14ac:dyDescent="0.3">
      <c r="A2154" s="6">
        <v>1060</v>
      </c>
      <c r="B2154" s="6">
        <v>170666</v>
      </c>
      <c r="C2154" s="6">
        <v>0</v>
      </c>
      <c r="D2154" s="6">
        <v>0</v>
      </c>
      <c r="E2154" s="6">
        <v>72</v>
      </c>
      <c r="F2154" s="5" t="s">
        <v>8</v>
      </c>
      <c r="G2154" s="5" t="s">
        <v>11</v>
      </c>
      <c r="H2154" s="3">
        <v>44170</v>
      </c>
      <c r="I2154" s="5" t="s">
        <v>439</v>
      </c>
      <c r="J2154" s="5">
        <f>_xlfn.XLOOKUP(CustomerCombined[[#This Row],[ID]], Table4[ID], Table4[Recency], "Not Found", 0)</f>
        <v>29</v>
      </c>
      <c r="K2154" s="5">
        <f>_xlfn.XLOOKUP(CustomerCombined[[#This Row],[ID]], Table4[ID], Table4[Teas], "Not Found", 0)</f>
        <v>961</v>
      </c>
      <c r="L2154" s="5">
        <f>_xlfn.XLOOKUP(CustomerCombined[[#This Row],[ID]], Table4[ID], Table4[Fruits], "Not Found", 0)</f>
        <v>97</v>
      </c>
      <c r="M2154" s="5">
        <f>_xlfn.XLOOKUP(CustomerCombined[[#This Row],[ID]], Table4[ID], Table4[Meats], "Not Found", 0)</f>
        <v>886</v>
      </c>
      <c r="N2154" s="5">
        <f>_xlfn.XLOOKUP(CustomerCombined[[#This Row],[ID]], Table4[ID], Table4[Seafood], "Not Found", 0)</f>
        <v>287</v>
      </c>
      <c r="O2154" s="5">
        <f>_xlfn.XLOOKUP(CustomerCombined[[#This Row],[ID]], Table4[ID], Table4[Sweets], "Not Found", 0)</f>
        <v>295</v>
      </c>
      <c r="P2154" s="5">
        <f>_xlfn.XLOOKUP(CustomerCombined[[#This Row],[ID]], Table4[ID], Table4[Premium], "Not Found", 0)</f>
        <v>72</v>
      </c>
      <c r="Q2154" s="5">
        <f>_xlfn.XLOOKUP(CustomerCombined[[#This Row],[ID]], Table4[ID], Table4[Regular], "Not Found", 0)</f>
        <v>2454</v>
      </c>
      <c r="R2154" s="5">
        <f>_xlfn.XLOOKUP(CustomerCombined[[#This Row],[ID]], Table4[ID], Table4[Deals], "Not Found", 0)</f>
        <v>1</v>
      </c>
      <c r="S2154" s="5">
        <f>_xlfn.XLOOKUP(CustomerCombined[[#This Row],[ID]], Table4[ID], Table4[Website], "Not Found", 0)</f>
        <v>7</v>
      </c>
      <c r="T2154" s="5">
        <f>_xlfn.XLOOKUP(CustomerCombined[[#This Row],[ID]], Table4[ID], Table4[Catalog], "Not Found", 0)</f>
        <v>4</v>
      </c>
      <c r="U2154" s="5">
        <f>_xlfn.XLOOKUP(CustomerCombined[[#This Row],[ID]], Table4[ID], Table4[Store], "Not Found", 0)</f>
        <v>4</v>
      </c>
      <c r="V2154" s="5">
        <f>_xlfn.XLOOKUP(CustomerCombined[[#This Row],[ID]], Table4[ID], Table4[Visits], "Not Found", 0)</f>
        <v>4</v>
      </c>
      <c r="W2154" s="8">
        <f>_xlfn.XLOOKUP(CustomerCombined[[#This Row],[ID]], Table2[ID],Table2[Complaint], "Not Found", 0 )</f>
        <v>0</v>
      </c>
      <c r="X2154" s="8">
        <f>_xlfn.XLOOKUP(CustomerCombined[[#This Row],[ID]], Table2[ID],Table2[Pilot], "Not Found", 0 )</f>
        <v>0</v>
      </c>
      <c r="Y2154" s="8">
        <f>_xlfn.XLOOKUP(CustomerCombined[[#This Row],[ID]], Table2[ID],Table2[MC1], "Not Found", 0 )</f>
        <v>0</v>
      </c>
      <c r="Z2154" s="8">
        <f>_xlfn.XLOOKUP(CustomerCombined[[#This Row],[ID]], Table2[ID],Table2[MC2], "Not Found", 0 )</f>
        <v>0</v>
      </c>
      <c r="AA2154" s="8">
        <f>_xlfn.XLOOKUP(CustomerCombined[[#This Row],[ID]], Table2[ID],Table2[MC3], "Not Found", 0 )</f>
        <v>0</v>
      </c>
      <c r="AB2154" s="8">
        <f>_xlfn.XLOOKUP(CustomerCombined[[#This Row],[ID]], Table2[ID],Table2[MC4], "Not Found", 0 )</f>
        <v>0</v>
      </c>
      <c r="AC2154" s="8">
        <f>_xlfn.XLOOKUP(CustomerCombined[[#This Row],[ID]], Table2[ID],Table2[MC5], "Not Found", 0 )</f>
        <v>0</v>
      </c>
    </row>
    <row r="2155" spans="1:29" x14ac:dyDescent="0.3">
      <c r="A2155" s="6">
        <v>1689</v>
      </c>
      <c r="B2155" s="6">
        <v>166375</v>
      </c>
      <c r="C2155" s="6">
        <v>0</v>
      </c>
      <c r="D2155" s="6">
        <v>1</v>
      </c>
      <c r="E2155" s="6">
        <v>72</v>
      </c>
      <c r="F2155" s="5" t="s">
        <v>8</v>
      </c>
      <c r="G2155" s="5" t="s">
        <v>13</v>
      </c>
      <c r="H2155" s="3" t="s">
        <v>144</v>
      </c>
      <c r="I2155" s="5" t="s">
        <v>435</v>
      </c>
      <c r="J2155" s="5">
        <f>_xlfn.XLOOKUP(CustomerCombined[[#This Row],[ID]], Table4[ID], Table4[Recency], "Not Found", 0)</f>
        <v>96</v>
      </c>
      <c r="K2155" s="5">
        <f>_xlfn.XLOOKUP(CustomerCombined[[#This Row],[ID]], Table4[ID], Table4[Teas], "Not Found", 0)</f>
        <v>1785</v>
      </c>
      <c r="L2155" s="5">
        <f>_xlfn.XLOOKUP(CustomerCombined[[#This Row],[ID]], Table4[ID], Table4[Fruits], "Not Found", 0)</f>
        <v>0</v>
      </c>
      <c r="M2155" s="5">
        <f>_xlfn.XLOOKUP(CustomerCombined[[#This Row],[ID]], Table4[ID], Table4[Meats], "Not Found", 0)</f>
        <v>113</v>
      </c>
      <c r="N2155" s="5">
        <f>_xlfn.XLOOKUP(CustomerCombined[[#This Row],[ID]], Table4[ID], Table4[Seafood], "Not Found", 0)</f>
        <v>0</v>
      </c>
      <c r="O2155" s="5">
        <f>_xlfn.XLOOKUP(CustomerCombined[[#This Row],[ID]], Table4[ID], Table4[Sweets], "Not Found", 0)</f>
        <v>0</v>
      </c>
      <c r="P2155" s="5">
        <f>_xlfn.XLOOKUP(CustomerCombined[[#This Row],[ID]], Table4[ID], Table4[Premium], "Not Found", 0)</f>
        <v>479</v>
      </c>
      <c r="Q2155" s="5">
        <f>_xlfn.XLOOKUP(CustomerCombined[[#This Row],[ID]], Table4[ID], Table4[Regular], "Not Found", 0)</f>
        <v>1419</v>
      </c>
      <c r="R2155" s="5">
        <f>_xlfn.XLOOKUP(CustomerCombined[[#This Row],[ID]], Table4[ID], Table4[Deals], "Not Found", 0)</f>
        <v>3</v>
      </c>
      <c r="S2155" s="5">
        <f>_xlfn.XLOOKUP(CustomerCombined[[#This Row],[ID]], Table4[ID], Table4[Website], "Not Found", 0)</f>
        <v>2</v>
      </c>
      <c r="T2155" s="5">
        <f>_xlfn.XLOOKUP(CustomerCombined[[#This Row],[ID]], Table4[ID], Table4[Catalog], "Not Found", 0)</f>
        <v>4</v>
      </c>
      <c r="U2155" s="5">
        <f>_xlfn.XLOOKUP(CustomerCombined[[#This Row],[ID]], Table4[ID], Table4[Store], "Not Found", 0)</f>
        <v>5</v>
      </c>
      <c r="V2155" s="5">
        <f>_xlfn.XLOOKUP(CustomerCombined[[#This Row],[ID]], Table4[ID], Table4[Visits], "Not Found", 0)</f>
        <v>7</v>
      </c>
      <c r="W2155" s="8">
        <f>_xlfn.XLOOKUP(CustomerCombined[[#This Row],[ID]], Table2[ID],Table2[Complaint], "Not Found", 0 )</f>
        <v>0</v>
      </c>
      <c r="X2155" s="8">
        <f>_xlfn.XLOOKUP(CustomerCombined[[#This Row],[ID]], Table2[ID],Table2[Pilot], "Not Found", 0 )</f>
        <v>0</v>
      </c>
      <c r="Y2155" s="8">
        <f>_xlfn.XLOOKUP(CustomerCombined[[#This Row],[ID]], Table2[ID],Table2[MC1], "Not Found", 0 )</f>
        <v>0</v>
      </c>
      <c r="Z2155" s="8">
        <f>_xlfn.XLOOKUP(CustomerCombined[[#This Row],[ID]], Table2[ID],Table2[MC2], "Not Found", 0 )</f>
        <v>0</v>
      </c>
      <c r="AA2155" s="8">
        <f>_xlfn.XLOOKUP(CustomerCombined[[#This Row],[ID]], Table2[ID],Table2[MC3], "Not Found", 0 )</f>
        <v>1</v>
      </c>
      <c r="AB2155" s="8">
        <f>_xlfn.XLOOKUP(CustomerCombined[[#This Row],[ID]], Table2[ID],Table2[MC4], "Not Found", 0 )</f>
        <v>0</v>
      </c>
      <c r="AC2155" s="8">
        <f>_xlfn.XLOOKUP(CustomerCombined[[#This Row],[ID]], Table2[ID],Table2[MC5], "Not Found", 0 )</f>
        <v>0</v>
      </c>
    </row>
    <row r="2156" spans="1:29" x14ac:dyDescent="0.3">
      <c r="A2156" s="6">
        <v>1587</v>
      </c>
      <c r="B2156" s="6">
        <v>161467</v>
      </c>
      <c r="C2156" s="6">
        <v>0</v>
      </c>
      <c r="D2156" s="6">
        <v>2</v>
      </c>
      <c r="E2156" s="6">
        <v>72</v>
      </c>
      <c r="F2156" s="5" t="s">
        <v>6</v>
      </c>
      <c r="G2156" s="5" t="s">
        <v>13</v>
      </c>
      <c r="H2156" s="3" t="s">
        <v>349</v>
      </c>
      <c r="I2156" s="5" t="s">
        <v>435</v>
      </c>
      <c r="J2156" s="5">
        <f>_xlfn.XLOOKUP(CustomerCombined[[#This Row],[ID]], Table4[ID], Table4[Recency], "Not Found", 0)</f>
        <v>69</v>
      </c>
      <c r="K2156" s="5">
        <f>_xlfn.XLOOKUP(CustomerCombined[[#This Row],[ID]], Table4[ID], Table4[Teas], "Not Found", 0)</f>
        <v>1077</v>
      </c>
      <c r="L2156" s="5">
        <f>_xlfn.XLOOKUP(CustomerCombined[[#This Row],[ID]], Table4[ID], Table4[Fruits], "Not Found", 0)</f>
        <v>42</v>
      </c>
      <c r="M2156" s="5">
        <f>_xlfn.XLOOKUP(CustomerCombined[[#This Row],[ID]], Table4[ID], Table4[Meats], "Not Found", 0)</f>
        <v>299</v>
      </c>
      <c r="N2156" s="5">
        <f>_xlfn.XLOOKUP(CustomerCombined[[#This Row],[ID]], Table4[ID], Table4[Seafood], "Not Found", 0)</f>
        <v>0</v>
      </c>
      <c r="O2156" s="5">
        <f>_xlfn.XLOOKUP(CustomerCombined[[#This Row],[ID]], Table4[ID], Table4[Sweets], "Not Found", 0)</f>
        <v>13</v>
      </c>
      <c r="P2156" s="5">
        <f>_xlfn.XLOOKUP(CustomerCombined[[#This Row],[ID]], Table4[ID], Table4[Premium], "Not Found", 0)</f>
        <v>129</v>
      </c>
      <c r="Q2156" s="5">
        <f>_xlfn.XLOOKUP(CustomerCombined[[#This Row],[ID]], Table4[ID], Table4[Regular], "Not Found", 0)</f>
        <v>1303</v>
      </c>
      <c r="R2156" s="5">
        <f>_xlfn.XLOOKUP(CustomerCombined[[#This Row],[ID]], Table4[ID], Table4[Deals], "Not Found", 0)</f>
        <v>3</v>
      </c>
      <c r="S2156" s="5">
        <f>_xlfn.XLOOKUP(CustomerCombined[[#This Row],[ID]], Table4[ID], Table4[Website], "Not Found", 0)</f>
        <v>5</v>
      </c>
      <c r="T2156" s="5">
        <f>_xlfn.XLOOKUP(CustomerCombined[[#This Row],[ID]], Table4[ID], Table4[Catalog], "Not Found", 0)</f>
        <v>2</v>
      </c>
      <c r="U2156" s="5">
        <f>_xlfn.XLOOKUP(CustomerCombined[[#This Row],[ID]], Table4[ID], Table4[Store], "Not Found", 0)</f>
        <v>10</v>
      </c>
      <c r="V2156" s="5">
        <f>_xlfn.XLOOKUP(CustomerCombined[[#This Row],[ID]], Table4[ID], Table4[Visits], "Not Found", 0)</f>
        <v>5</v>
      </c>
      <c r="W2156" s="8">
        <f>_xlfn.XLOOKUP(CustomerCombined[[#This Row],[ID]], Table2[ID],Table2[Complaint], "Not Found", 0 )</f>
        <v>0</v>
      </c>
      <c r="X2156" s="8">
        <f>_xlfn.XLOOKUP(CustomerCombined[[#This Row],[ID]], Table2[ID],Table2[Pilot], "Not Found", 0 )</f>
        <v>0</v>
      </c>
      <c r="Y2156" s="8">
        <f>_xlfn.XLOOKUP(CustomerCombined[[#This Row],[ID]], Table2[ID],Table2[MC1], "Not Found", 0 )</f>
        <v>0</v>
      </c>
      <c r="Z2156" s="8">
        <f>_xlfn.XLOOKUP(CustomerCombined[[#This Row],[ID]], Table2[ID],Table2[MC2], "Not Found", 0 )</f>
        <v>0</v>
      </c>
      <c r="AA2156" s="8">
        <f>_xlfn.XLOOKUP(CustomerCombined[[#This Row],[ID]], Table2[ID],Table2[MC3], "Not Found", 0 )</f>
        <v>0</v>
      </c>
      <c r="AB2156" s="8">
        <f>_xlfn.XLOOKUP(CustomerCombined[[#This Row],[ID]], Table2[ID],Table2[MC4], "Not Found", 0 )</f>
        <v>0</v>
      </c>
      <c r="AC2156" s="8">
        <f>_xlfn.XLOOKUP(CustomerCombined[[#This Row],[ID]], Table2[ID],Table2[MC5], "Not Found", 0 )</f>
        <v>0</v>
      </c>
    </row>
    <row r="2157" spans="1:29" x14ac:dyDescent="0.3">
      <c r="A2157" s="6">
        <v>2848</v>
      </c>
      <c r="B2157" s="6">
        <v>160200</v>
      </c>
      <c r="C2157" s="6">
        <v>0</v>
      </c>
      <c r="D2157" s="6">
        <v>1</v>
      </c>
      <c r="E2157" s="6">
        <v>72</v>
      </c>
      <c r="F2157" s="5" t="s">
        <v>7</v>
      </c>
      <c r="G2157" s="5" t="s">
        <v>13</v>
      </c>
      <c r="H2157" s="3">
        <v>43714</v>
      </c>
      <c r="I2157" s="5" t="s">
        <v>439</v>
      </c>
      <c r="J2157" s="5">
        <f>_xlfn.XLOOKUP(CustomerCombined[[#This Row],[ID]], Table4[ID], Table4[Recency], "Not Found", 0)</f>
        <v>3</v>
      </c>
      <c r="K2157" s="5">
        <f>_xlfn.XLOOKUP(CustomerCombined[[#This Row],[ID]], Table4[ID], Table4[Teas], "Not Found", 0)</f>
        <v>1336</v>
      </c>
      <c r="L2157" s="5">
        <f>_xlfn.XLOOKUP(CustomerCombined[[#This Row],[ID]], Table4[ID], Table4[Fruits], "Not Found", 0)</f>
        <v>51</v>
      </c>
      <c r="M2157" s="5">
        <f>_xlfn.XLOOKUP(CustomerCombined[[#This Row],[ID]], Table4[ID], Table4[Meats], "Not Found", 0)</f>
        <v>351</v>
      </c>
      <c r="N2157" s="5">
        <f>_xlfn.XLOOKUP(CustomerCombined[[#This Row],[ID]], Table4[ID], Table4[Seafood], "Not Found", 0)</f>
        <v>0</v>
      </c>
      <c r="O2157" s="5">
        <f>_xlfn.XLOOKUP(CustomerCombined[[#This Row],[ID]], Table4[ID], Table4[Sweets], "Not Found", 0)</f>
        <v>16</v>
      </c>
      <c r="P2157" s="5">
        <f>_xlfn.XLOOKUP(CustomerCombined[[#This Row],[ID]], Table4[ID], Table4[Premium], "Not Found", 0)</f>
        <v>69</v>
      </c>
      <c r="Q2157" s="5">
        <f>_xlfn.XLOOKUP(CustomerCombined[[#This Row],[ID]], Table4[ID], Table4[Regular], "Not Found", 0)</f>
        <v>1684</v>
      </c>
      <c r="R2157" s="5">
        <f>_xlfn.XLOOKUP(CustomerCombined[[#This Row],[ID]], Table4[ID], Table4[Deals], "Not Found", 0)</f>
        <v>6</v>
      </c>
      <c r="S2157" s="5">
        <f>_xlfn.XLOOKUP(CustomerCombined[[#This Row],[ID]], Table4[ID], Table4[Website], "Not Found", 0)</f>
        <v>6</v>
      </c>
      <c r="T2157" s="5">
        <f>_xlfn.XLOOKUP(CustomerCombined[[#This Row],[ID]], Table4[ID], Table4[Catalog], "Not Found", 0)</f>
        <v>2</v>
      </c>
      <c r="U2157" s="5">
        <f>_xlfn.XLOOKUP(CustomerCombined[[#This Row],[ID]], Table4[ID], Table4[Store], "Not Found", 0)</f>
        <v>11</v>
      </c>
      <c r="V2157" s="5">
        <f>_xlfn.XLOOKUP(CustomerCombined[[#This Row],[ID]], Table4[ID], Table4[Visits], "Not Found", 0)</f>
        <v>6</v>
      </c>
      <c r="W2157" s="8">
        <f>_xlfn.XLOOKUP(CustomerCombined[[#This Row],[ID]], Table2[ID],Table2[Complaint], "Not Found", 0 )</f>
        <v>0</v>
      </c>
      <c r="X2157" s="8">
        <f>_xlfn.XLOOKUP(CustomerCombined[[#This Row],[ID]], Table2[ID],Table2[Pilot], "Not Found", 0 )</f>
        <v>0</v>
      </c>
      <c r="Y2157" s="8">
        <f>_xlfn.XLOOKUP(CustomerCombined[[#This Row],[ID]], Table2[ID],Table2[MC1], "Not Found", 0 )</f>
        <v>0</v>
      </c>
      <c r="Z2157" s="8">
        <f>_xlfn.XLOOKUP(CustomerCombined[[#This Row],[ID]], Table2[ID],Table2[MC2], "Not Found", 0 )</f>
        <v>0</v>
      </c>
      <c r="AA2157" s="8">
        <f>_xlfn.XLOOKUP(CustomerCombined[[#This Row],[ID]], Table2[ID],Table2[MC3], "Not Found", 0 )</f>
        <v>0</v>
      </c>
      <c r="AB2157" s="8">
        <f>_xlfn.XLOOKUP(CustomerCombined[[#This Row],[ID]], Table2[ID],Table2[MC4], "Not Found", 0 )</f>
        <v>0</v>
      </c>
      <c r="AC2157" s="8">
        <f>_xlfn.XLOOKUP(CustomerCombined[[#This Row],[ID]], Table2[ID],Table2[MC5], "Not Found", 0 )</f>
        <v>0</v>
      </c>
    </row>
    <row r="2158" spans="1:29" x14ac:dyDescent="0.3">
      <c r="A2158" s="6">
        <v>1425</v>
      </c>
      <c r="B2158" s="6">
        <v>156223</v>
      </c>
      <c r="C2158" s="6">
        <v>0</v>
      </c>
      <c r="D2158" s="6">
        <v>1</v>
      </c>
      <c r="E2158" s="6">
        <v>72</v>
      </c>
      <c r="F2158" s="5" t="s">
        <v>6</v>
      </c>
      <c r="G2158" s="5" t="s">
        <v>13</v>
      </c>
      <c r="H2158" s="3" t="s">
        <v>128</v>
      </c>
      <c r="I2158" s="5" t="s">
        <v>435</v>
      </c>
      <c r="J2158" s="5">
        <f>_xlfn.XLOOKUP(CustomerCombined[[#This Row],[ID]], Table4[ID], Table4[Recency], "Not Found", 0)</f>
        <v>72</v>
      </c>
      <c r="K2158" s="5">
        <f>_xlfn.XLOOKUP(CustomerCombined[[#This Row],[ID]], Table4[ID], Table4[Teas], "Not Found", 0)</f>
        <v>214</v>
      </c>
      <c r="L2158" s="5">
        <f>_xlfn.XLOOKUP(CustomerCombined[[#This Row],[ID]], Table4[ID], Table4[Fruits], "Not Found", 0)</f>
        <v>78</v>
      </c>
      <c r="M2158" s="5">
        <f>_xlfn.XLOOKUP(CustomerCombined[[#This Row],[ID]], Table4[ID], Table4[Meats], "Not Found", 0)</f>
        <v>86</v>
      </c>
      <c r="N2158" s="5">
        <f>_xlfn.XLOOKUP(CustomerCombined[[#This Row],[ID]], Table4[ID], Table4[Seafood], "Not Found", 0)</f>
        <v>44</v>
      </c>
      <c r="O2158" s="5">
        <f>_xlfn.XLOOKUP(CustomerCombined[[#This Row],[ID]], Table4[ID], Table4[Sweets], "Not Found", 0)</f>
        <v>0</v>
      </c>
      <c r="P2158" s="5">
        <f>_xlfn.XLOOKUP(CustomerCombined[[#This Row],[ID]], Table4[ID], Table4[Premium], "Not Found", 0)</f>
        <v>11</v>
      </c>
      <c r="Q2158" s="5">
        <f>_xlfn.XLOOKUP(CustomerCombined[[#This Row],[ID]], Table4[ID], Table4[Regular], "Not Found", 0)</f>
        <v>411</v>
      </c>
      <c r="R2158" s="5">
        <f>_xlfn.XLOOKUP(CustomerCombined[[#This Row],[ID]], Table4[ID], Table4[Deals], "Not Found", 0)</f>
        <v>2</v>
      </c>
      <c r="S2158" s="5">
        <f>_xlfn.XLOOKUP(CustomerCombined[[#This Row],[ID]], Table4[ID], Table4[Website], "Not Found", 0)</f>
        <v>2</v>
      </c>
      <c r="T2158" s="5">
        <f>_xlfn.XLOOKUP(CustomerCombined[[#This Row],[ID]], Table4[ID], Table4[Catalog], "Not Found", 0)</f>
        <v>1</v>
      </c>
      <c r="U2158" s="5">
        <f>_xlfn.XLOOKUP(CustomerCombined[[#This Row],[ID]], Table4[ID], Table4[Store], "Not Found", 0)</f>
        <v>5</v>
      </c>
      <c r="V2158" s="5">
        <f>_xlfn.XLOOKUP(CustomerCombined[[#This Row],[ID]], Table4[ID], Table4[Visits], "Not Found", 0)</f>
        <v>4</v>
      </c>
      <c r="W2158" s="8">
        <f>_xlfn.XLOOKUP(CustomerCombined[[#This Row],[ID]], Table2[ID],Table2[Complaint], "Not Found", 0 )</f>
        <v>0</v>
      </c>
      <c r="X2158" s="8">
        <f>_xlfn.XLOOKUP(CustomerCombined[[#This Row],[ID]], Table2[ID],Table2[Pilot], "Not Found", 0 )</f>
        <v>0</v>
      </c>
      <c r="Y2158" s="8">
        <f>_xlfn.XLOOKUP(CustomerCombined[[#This Row],[ID]], Table2[ID],Table2[MC1], "Not Found", 0 )</f>
        <v>0</v>
      </c>
      <c r="Z2158" s="8">
        <f>_xlfn.XLOOKUP(CustomerCombined[[#This Row],[ID]], Table2[ID],Table2[MC2], "Not Found", 0 )</f>
        <v>0</v>
      </c>
      <c r="AA2158" s="8">
        <f>_xlfn.XLOOKUP(CustomerCombined[[#This Row],[ID]], Table2[ID],Table2[MC3], "Not Found", 0 )</f>
        <v>0</v>
      </c>
      <c r="AB2158" s="8">
        <f>_xlfn.XLOOKUP(CustomerCombined[[#This Row],[ID]], Table2[ID],Table2[MC4], "Not Found", 0 )</f>
        <v>0</v>
      </c>
      <c r="AC2158" s="8">
        <f>_xlfn.XLOOKUP(CustomerCombined[[#This Row],[ID]], Table2[ID],Table2[MC5], "Not Found", 0 )</f>
        <v>0</v>
      </c>
    </row>
    <row r="2159" spans="1:29" x14ac:dyDescent="0.3">
      <c r="A2159" s="6">
        <v>2393</v>
      </c>
      <c r="B2159" s="6">
        <v>151315</v>
      </c>
      <c r="C2159" s="6">
        <v>0</v>
      </c>
      <c r="D2159" s="6">
        <v>0</v>
      </c>
      <c r="E2159" s="6">
        <v>72</v>
      </c>
      <c r="F2159" s="5" t="s">
        <v>8</v>
      </c>
      <c r="G2159" s="5" t="s">
        <v>11</v>
      </c>
      <c r="H2159" s="3" t="s">
        <v>92</v>
      </c>
      <c r="I2159" s="5" t="s">
        <v>434</v>
      </c>
      <c r="J2159" s="5">
        <f>_xlfn.XLOOKUP(CustomerCombined[[#This Row],[ID]], Table4[ID], Table4[Recency], "Not Found", 0)</f>
        <v>45</v>
      </c>
      <c r="K2159" s="5">
        <f>_xlfn.XLOOKUP(CustomerCombined[[#This Row],[ID]], Table4[ID], Table4[Teas], "Not Found", 0)</f>
        <v>201</v>
      </c>
      <c r="L2159" s="5">
        <f>_xlfn.XLOOKUP(CustomerCombined[[#This Row],[ID]], Table4[ID], Table4[Fruits], "Not Found", 0)</f>
        <v>83</v>
      </c>
      <c r="M2159" s="5">
        <f>_xlfn.XLOOKUP(CustomerCombined[[#This Row],[ID]], Table4[ID], Table4[Meats], "Not Found", 0)</f>
        <v>115</v>
      </c>
      <c r="N2159" s="5">
        <f>_xlfn.XLOOKUP(CustomerCombined[[#This Row],[ID]], Table4[ID], Table4[Seafood], "Not Found", 0)</f>
        <v>47</v>
      </c>
      <c r="O2159" s="5">
        <f>_xlfn.XLOOKUP(CustomerCombined[[#This Row],[ID]], Table4[ID], Table4[Sweets], "Not Found", 0)</f>
        <v>88</v>
      </c>
      <c r="P2159" s="5">
        <f>_xlfn.XLOOKUP(CustomerCombined[[#This Row],[ID]], Table4[ID], Table4[Premium], "Not Found", 0)</f>
        <v>121</v>
      </c>
      <c r="Q2159" s="5">
        <f>_xlfn.XLOOKUP(CustomerCombined[[#This Row],[ID]], Table4[ID], Table4[Regular], "Not Found", 0)</f>
        <v>413</v>
      </c>
      <c r="R2159" s="5">
        <f>_xlfn.XLOOKUP(CustomerCombined[[#This Row],[ID]], Table4[ID], Table4[Deals], "Not Found", 0)</f>
        <v>1</v>
      </c>
      <c r="S2159" s="5">
        <f>_xlfn.XLOOKUP(CustomerCombined[[#This Row],[ID]], Table4[ID], Table4[Website], "Not Found", 0)</f>
        <v>2</v>
      </c>
      <c r="T2159" s="5">
        <f>_xlfn.XLOOKUP(CustomerCombined[[#This Row],[ID]], Table4[ID], Table4[Catalog], "Not Found", 0)</f>
        <v>2</v>
      </c>
      <c r="U2159" s="5">
        <f>_xlfn.XLOOKUP(CustomerCombined[[#This Row],[ID]], Table4[ID], Table4[Store], "Not Found", 0)</f>
        <v>5</v>
      </c>
      <c r="V2159" s="5">
        <f>_xlfn.XLOOKUP(CustomerCombined[[#This Row],[ID]], Table4[ID], Table4[Visits], "Not Found", 0)</f>
        <v>2</v>
      </c>
      <c r="W2159" s="8">
        <f>_xlfn.XLOOKUP(CustomerCombined[[#This Row],[ID]], Table2[ID],Table2[Complaint], "Not Found", 0 )</f>
        <v>0</v>
      </c>
      <c r="X2159" s="8">
        <f>_xlfn.XLOOKUP(CustomerCombined[[#This Row],[ID]], Table2[ID],Table2[Pilot], "Not Found", 0 )</f>
        <v>0</v>
      </c>
      <c r="Y2159" s="8">
        <f>_xlfn.XLOOKUP(CustomerCombined[[#This Row],[ID]], Table2[ID],Table2[MC1], "Not Found", 0 )</f>
        <v>0</v>
      </c>
      <c r="Z2159" s="8">
        <f>_xlfn.XLOOKUP(CustomerCombined[[#This Row],[ID]], Table2[ID],Table2[MC2], "Not Found", 0 )</f>
        <v>0</v>
      </c>
      <c r="AA2159" s="8">
        <f>_xlfn.XLOOKUP(CustomerCombined[[#This Row],[ID]], Table2[ID],Table2[MC3], "Not Found", 0 )</f>
        <v>0</v>
      </c>
      <c r="AB2159" s="8">
        <f>_xlfn.XLOOKUP(CustomerCombined[[#This Row],[ID]], Table2[ID],Table2[MC4], "Not Found", 0 )</f>
        <v>0</v>
      </c>
      <c r="AC2159" s="8">
        <f>_xlfn.XLOOKUP(CustomerCombined[[#This Row],[ID]], Table2[ID],Table2[MC5], "Not Found", 0 )</f>
        <v>0</v>
      </c>
    </row>
    <row r="2160" spans="1:29" x14ac:dyDescent="0.3">
      <c r="A2160" s="6">
        <v>1343</v>
      </c>
      <c r="B2160" s="6">
        <v>146681</v>
      </c>
      <c r="C2160" s="6">
        <v>0</v>
      </c>
      <c r="D2160" s="6">
        <v>2</v>
      </c>
      <c r="E2160" s="6">
        <v>72</v>
      </c>
      <c r="F2160" s="5" t="s">
        <v>8</v>
      </c>
      <c r="G2160" s="5" t="s">
        <v>13</v>
      </c>
      <c r="H2160" s="3" t="s">
        <v>174</v>
      </c>
      <c r="I2160" s="5" t="s">
        <v>434</v>
      </c>
      <c r="J2160" s="5">
        <f>_xlfn.XLOOKUP(CustomerCombined[[#This Row],[ID]], Table4[ID], Table4[Recency], "Not Found", 0)</f>
        <v>52</v>
      </c>
      <c r="K2160" s="5">
        <f>_xlfn.XLOOKUP(CustomerCombined[[#This Row],[ID]], Table4[ID], Table4[Teas], "Not Found", 0)</f>
        <v>845</v>
      </c>
      <c r="L2160" s="5">
        <f>_xlfn.XLOOKUP(CustomerCombined[[#This Row],[ID]], Table4[ID], Table4[Fruits], "Not Found", 0)</f>
        <v>47</v>
      </c>
      <c r="M2160" s="5">
        <f>_xlfn.XLOOKUP(CustomerCombined[[#This Row],[ID]], Table4[ID], Table4[Meats], "Not Found", 0)</f>
        <v>217</v>
      </c>
      <c r="N2160" s="5">
        <f>_xlfn.XLOOKUP(CustomerCombined[[#This Row],[ID]], Table4[ID], Table4[Seafood], "Not Found", 0)</f>
        <v>47</v>
      </c>
      <c r="O2160" s="5">
        <f>_xlfn.XLOOKUP(CustomerCombined[[#This Row],[ID]], Table4[ID], Table4[Sweets], "Not Found", 0)</f>
        <v>60</v>
      </c>
      <c r="P2160" s="5">
        <f>_xlfn.XLOOKUP(CustomerCombined[[#This Row],[ID]], Table4[ID], Table4[Premium], "Not Found", 0)</f>
        <v>119</v>
      </c>
      <c r="Q2160" s="5">
        <f>_xlfn.XLOOKUP(CustomerCombined[[#This Row],[ID]], Table4[ID], Table4[Regular], "Not Found", 0)</f>
        <v>1097</v>
      </c>
      <c r="R2160" s="5">
        <f>_xlfn.XLOOKUP(CustomerCombined[[#This Row],[ID]], Table4[ID], Table4[Deals], "Not Found", 0)</f>
        <v>2</v>
      </c>
      <c r="S2160" s="5">
        <f>_xlfn.XLOOKUP(CustomerCombined[[#This Row],[ID]], Table4[ID], Table4[Website], "Not Found", 0)</f>
        <v>4</v>
      </c>
      <c r="T2160" s="5">
        <f>_xlfn.XLOOKUP(CustomerCombined[[#This Row],[ID]], Table4[ID], Table4[Catalog], "Not Found", 0)</f>
        <v>6</v>
      </c>
      <c r="U2160" s="5">
        <f>_xlfn.XLOOKUP(CustomerCombined[[#This Row],[ID]], Table4[ID], Table4[Store], "Not Found", 0)</f>
        <v>4</v>
      </c>
      <c r="V2160" s="5">
        <f>_xlfn.XLOOKUP(CustomerCombined[[#This Row],[ID]], Table4[ID], Table4[Visits], "Not Found", 0)</f>
        <v>5</v>
      </c>
      <c r="W2160" s="8">
        <f>_xlfn.XLOOKUP(CustomerCombined[[#This Row],[ID]], Table2[ID],Table2[Complaint], "Not Found", 0 )</f>
        <v>0</v>
      </c>
      <c r="X2160" s="8">
        <f>_xlfn.XLOOKUP(CustomerCombined[[#This Row],[ID]], Table2[ID],Table2[Pilot], "Not Found", 0 )</f>
        <v>0</v>
      </c>
      <c r="Y2160" s="8">
        <f>_xlfn.XLOOKUP(CustomerCombined[[#This Row],[ID]], Table2[ID],Table2[MC1], "Not Found", 0 )</f>
        <v>0</v>
      </c>
      <c r="Z2160" s="8">
        <f>_xlfn.XLOOKUP(CustomerCombined[[#This Row],[ID]], Table2[ID],Table2[MC2], "Not Found", 0 )</f>
        <v>0</v>
      </c>
      <c r="AA2160" s="8">
        <f>_xlfn.XLOOKUP(CustomerCombined[[#This Row],[ID]], Table2[ID],Table2[MC3], "Not Found", 0 )</f>
        <v>0</v>
      </c>
      <c r="AB2160" s="8">
        <f>_xlfn.XLOOKUP(CustomerCombined[[#This Row],[ID]], Table2[ID],Table2[MC4], "Not Found", 0 )</f>
        <v>0</v>
      </c>
      <c r="AC2160" s="8">
        <f>_xlfn.XLOOKUP(CustomerCombined[[#This Row],[ID]], Table2[ID],Table2[MC5], "Not Found", 0 )</f>
        <v>0</v>
      </c>
    </row>
    <row r="2161" spans="1:29" x14ac:dyDescent="0.3">
      <c r="A2161" s="6">
        <v>2610</v>
      </c>
      <c r="B2161" s="6">
        <v>146681</v>
      </c>
      <c r="C2161" s="6">
        <v>0</v>
      </c>
      <c r="D2161" s="6">
        <v>2</v>
      </c>
      <c r="E2161" s="6">
        <v>72</v>
      </c>
      <c r="F2161" s="5" t="s">
        <v>8</v>
      </c>
      <c r="G2161" s="5" t="s">
        <v>13</v>
      </c>
      <c r="H2161" s="3" t="s">
        <v>174</v>
      </c>
      <c r="I2161" s="5" t="s">
        <v>436</v>
      </c>
      <c r="J2161" s="5">
        <f>_xlfn.XLOOKUP(CustomerCombined[[#This Row],[ID]], Table4[ID], Table4[Recency], "Not Found", 0)</f>
        <v>52</v>
      </c>
      <c r="K2161" s="5">
        <f>_xlfn.XLOOKUP(CustomerCombined[[#This Row],[ID]], Table4[ID], Table4[Teas], "Not Found", 0)</f>
        <v>845</v>
      </c>
      <c r="L2161" s="5">
        <f>_xlfn.XLOOKUP(CustomerCombined[[#This Row],[ID]], Table4[ID], Table4[Fruits], "Not Found", 0)</f>
        <v>47</v>
      </c>
      <c r="M2161" s="5">
        <f>_xlfn.XLOOKUP(CustomerCombined[[#This Row],[ID]], Table4[ID], Table4[Meats], "Not Found", 0)</f>
        <v>217</v>
      </c>
      <c r="N2161" s="5">
        <f>_xlfn.XLOOKUP(CustomerCombined[[#This Row],[ID]], Table4[ID], Table4[Seafood], "Not Found", 0)</f>
        <v>47</v>
      </c>
      <c r="O2161" s="5">
        <f>_xlfn.XLOOKUP(CustomerCombined[[#This Row],[ID]], Table4[ID], Table4[Sweets], "Not Found", 0)</f>
        <v>60</v>
      </c>
      <c r="P2161" s="5">
        <f>_xlfn.XLOOKUP(CustomerCombined[[#This Row],[ID]], Table4[ID], Table4[Premium], "Not Found", 0)</f>
        <v>119</v>
      </c>
      <c r="Q2161" s="5">
        <f>_xlfn.XLOOKUP(CustomerCombined[[#This Row],[ID]], Table4[ID], Table4[Regular], "Not Found", 0)</f>
        <v>1097</v>
      </c>
      <c r="R2161" s="5">
        <f>_xlfn.XLOOKUP(CustomerCombined[[#This Row],[ID]], Table4[ID], Table4[Deals], "Not Found", 0)</f>
        <v>2</v>
      </c>
      <c r="S2161" s="5">
        <f>_xlfn.XLOOKUP(CustomerCombined[[#This Row],[ID]], Table4[ID], Table4[Website], "Not Found", 0)</f>
        <v>4</v>
      </c>
      <c r="T2161" s="5">
        <f>_xlfn.XLOOKUP(CustomerCombined[[#This Row],[ID]], Table4[ID], Table4[Catalog], "Not Found", 0)</f>
        <v>6</v>
      </c>
      <c r="U2161" s="5">
        <f>_xlfn.XLOOKUP(CustomerCombined[[#This Row],[ID]], Table4[ID], Table4[Store], "Not Found", 0)</f>
        <v>4</v>
      </c>
      <c r="V2161" s="5">
        <f>_xlfn.XLOOKUP(CustomerCombined[[#This Row],[ID]], Table4[ID], Table4[Visits], "Not Found", 0)</f>
        <v>5</v>
      </c>
      <c r="W2161" s="8">
        <f>_xlfn.XLOOKUP(CustomerCombined[[#This Row],[ID]], Table2[ID],Table2[Complaint], "Not Found", 0 )</f>
        <v>0</v>
      </c>
      <c r="X2161" s="8">
        <f>_xlfn.XLOOKUP(CustomerCombined[[#This Row],[ID]], Table2[ID],Table2[Pilot], "Not Found", 0 )</f>
        <v>0</v>
      </c>
      <c r="Y2161" s="8">
        <f>_xlfn.XLOOKUP(CustomerCombined[[#This Row],[ID]], Table2[ID],Table2[MC1], "Not Found", 0 )</f>
        <v>0</v>
      </c>
      <c r="Z2161" s="8">
        <f>_xlfn.XLOOKUP(CustomerCombined[[#This Row],[ID]], Table2[ID],Table2[MC2], "Not Found", 0 )</f>
        <v>0</v>
      </c>
      <c r="AA2161" s="8">
        <f>_xlfn.XLOOKUP(CustomerCombined[[#This Row],[ID]], Table2[ID],Table2[MC3], "Not Found", 0 )</f>
        <v>0</v>
      </c>
      <c r="AB2161" s="8">
        <f>_xlfn.XLOOKUP(CustomerCombined[[#This Row],[ID]], Table2[ID],Table2[MC4], "Not Found", 0 )</f>
        <v>0</v>
      </c>
      <c r="AC2161" s="8">
        <f>_xlfn.XLOOKUP(CustomerCombined[[#This Row],[ID]], Table2[ID],Table2[MC5], "Not Found", 0 )</f>
        <v>0</v>
      </c>
    </row>
    <row r="2162" spans="1:29" x14ac:dyDescent="0.3">
      <c r="A2162" s="6">
        <v>2249</v>
      </c>
      <c r="B2162" s="6">
        <v>145579</v>
      </c>
      <c r="C2162" s="6">
        <v>0</v>
      </c>
      <c r="D2162" s="6">
        <v>1</v>
      </c>
      <c r="E2162" s="6">
        <v>72</v>
      </c>
      <c r="F2162" s="5" t="s">
        <v>6</v>
      </c>
      <c r="G2162" s="5" t="s">
        <v>13</v>
      </c>
      <c r="H2162" s="3" t="s">
        <v>197</v>
      </c>
      <c r="I2162" s="5" t="s">
        <v>434</v>
      </c>
      <c r="J2162" s="5">
        <f>_xlfn.XLOOKUP(CustomerCombined[[#This Row],[ID]], Table4[ID], Table4[Recency], "Not Found", 0)</f>
        <v>10</v>
      </c>
      <c r="K2162" s="5">
        <f>_xlfn.XLOOKUP(CustomerCombined[[#This Row],[ID]], Table4[ID], Table4[Teas], "Not Found", 0)</f>
        <v>463</v>
      </c>
      <c r="L2162" s="5">
        <f>_xlfn.XLOOKUP(CustomerCombined[[#This Row],[ID]], Table4[ID], Table4[Fruits], "Not Found", 0)</f>
        <v>3</v>
      </c>
      <c r="M2162" s="5">
        <f>_xlfn.XLOOKUP(CustomerCombined[[#This Row],[ID]], Table4[ID], Table4[Meats], "Not Found", 0)</f>
        <v>105</v>
      </c>
      <c r="N2162" s="5">
        <f>_xlfn.XLOOKUP(CustomerCombined[[#This Row],[ID]], Table4[ID], Table4[Seafood], "Not Found", 0)</f>
        <v>6</v>
      </c>
      <c r="O2162" s="5">
        <f>_xlfn.XLOOKUP(CustomerCombined[[#This Row],[ID]], Table4[ID], Table4[Sweets], "Not Found", 0)</f>
        <v>3</v>
      </c>
      <c r="P2162" s="5">
        <f>_xlfn.XLOOKUP(CustomerCombined[[#This Row],[ID]], Table4[ID], Table4[Premium], "Not Found", 0)</f>
        <v>3</v>
      </c>
      <c r="Q2162" s="5">
        <f>_xlfn.XLOOKUP(CustomerCombined[[#This Row],[ID]], Table4[ID], Table4[Regular], "Not Found", 0)</f>
        <v>578</v>
      </c>
      <c r="R2162" s="5">
        <f>_xlfn.XLOOKUP(CustomerCombined[[#This Row],[ID]], Table4[ID], Table4[Deals], "Not Found", 0)</f>
        <v>1</v>
      </c>
      <c r="S2162" s="5">
        <f>_xlfn.XLOOKUP(CustomerCombined[[#This Row],[ID]], Table4[ID], Table4[Website], "Not Found", 0)</f>
        <v>4</v>
      </c>
      <c r="T2162" s="5">
        <f>_xlfn.XLOOKUP(CustomerCombined[[#This Row],[ID]], Table4[ID], Table4[Catalog], "Not Found", 0)</f>
        <v>1</v>
      </c>
      <c r="U2162" s="5">
        <f>_xlfn.XLOOKUP(CustomerCombined[[#This Row],[ID]], Table4[ID], Table4[Store], "Not Found", 0)</f>
        <v>4</v>
      </c>
      <c r="V2162" s="5">
        <f>_xlfn.XLOOKUP(CustomerCombined[[#This Row],[ID]], Table4[ID], Table4[Visits], "Not Found", 0)</f>
        <v>6</v>
      </c>
      <c r="W2162" s="8">
        <f>_xlfn.XLOOKUP(CustomerCombined[[#This Row],[ID]], Table2[ID],Table2[Complaint], "Not Found", 0 )</f>
        <v>0</v>
      </c>
      <c r="X2162" s="8">
        <f>_xlfn.XLOOKUP(CustomerCombined[[#This Row],[ID]], Table2[ID],Table2[Pilot], "Not Found", 0 )</f>
        <v>0</v>
      </c>
      <c r="Y2162" s="8">
        <f>_xlfn.XLOOKUP(CustomerCombined[[#This Row],[ID]], Table2[ID],Table2[MC1], "Not Found", 0 )</f>
        <v>0</v>
      </c>
      <c r="Z2162" s="8">
        <f>_xlfn.XLOOKUP(CustomerCombined[[#This Row],[ID]], Table2[ID],Table2[MC2], "Not Found", 0 )</f>
        <v>0</v>
      </c>
      <c r="AA2162" s="8">
        <f>_xlfn.XLOOKUP(CustomerCombined[[#This Row],[ID]], Table2[ID],Table2[MC3], "Not Found", 0 )</f>
        <v>0</v>
      </c>
      <c r="AB2162" s="8">
        <f>_xlfn.XLOOKUP(CustomerCombined[[#This Row],[ID]], Table2[ID],Table2[MC4], "Not Found", 0 )</f>
        <v>0</v>
      </c>
      <c r="AC2162" s="8">
        <f>_xlfn.XLOOKUP(CustomerCombined[[#This Row],[ID]], Table2[ID],Table2[MC5], "Not Found", 0 )</f>
        <v>0</v>
      </c>
    </row>
    <row r="2163" spans="1:29" x14ac:dyDescent="0.3">
      <c r="A2163" s="6">
        <v>1714</v>
      </c>
      <c r="B2163" s="6">
        <v>145072</v>
      </c>
      <c r="C2163" s="6">
        <v>1</v>
      </c>
      <c r="D2163" s="6">
        <v>2</v>
      </c>
      <c r="E2163" s="6">
        <v>72</v>
      </c>
      <c r="F2163" s="5" t="s">
        <v>5</v>
      </c>
      <c r="G2163" s="5" t="s">
        <v>13</v>
      </c>
      <c r="H2163" s="3" t="s">
        <v>166</v>
      </c>
      <c r="I2163" s="5" t="s">
        <v>439</v>
      </c>
      <c r="J2163" s="5">
        <f>_xlfn.XLOOKUP(CustomerCombined[[#This Row],[ID]], Table4[ID], Table4[Recency], "Not Found", 0)</f>
        <v>74</v>
      </c>
      <c r="K2163" s="5">
        <f>_xlfn.XLOOKUP(CustomerCombined[[#This Row],[ID]], Table4[ID], Table4[Teas], "Not Found", 0)</f>
        <v>463</v>
      </c>
      <c r="L2163" s="5">
        <f>_xlfn.XLOOKUP(CustomerCombined[[#This Row],[ID]], Table4[ID], Table4[Fruits], "Not Found", 0)</f>
        <v>6</v>
      </c>
      <c r="M2163" s="5">
        <f>_xlfn.XLOOKUP(CustomerCombined[[#This Row],[ID]], Table4[ID], Table4[Meats], "Not Found", 0)</f>
        <v>319</v>
      </c>
      <c r="N2163" s="5">
        <f>_xlfn.XLOOKUP(CustomerCombined[[#This Row],[ID]], Table4[ID], Table4[Seafood], "Not Found", 0)</f>
        <v>23</v>
      </c>
      <c r="O2163" s="5">
        <f>_xlfn.XLOOKUP(CustomerCombined[[#This Row],[ID]], Table4[ID], Table4[Sweets], "Not Found", 0)</f>
        <v>6</v>
      </c>
      <c r="P2163" s="5">
        <f>_xlfn.XLOOKUP(CustomerCombined[[#This Row],[ID]], Table4[ID], Table4[Premium], "Not Found", 0)</f>
        <v>97</v>
      </c>
      <c r="Q2163" s="5">
        <f>_xlfn.XLOOKUP(CustomerCombined[[#This Row],[ID]], Table4[ID], Table4[Regular], "Not Found", 0)</f>
        <v>721</v>
      </c>
      <c r="R2163" s="5">
        <f>_xlfn.XLOOKUP(CustomerCombined[[#This Row],[ID]], Table4[ID], Table4[Deals], "Not Found", 0)</f>
        <v>5</v>
      </c>
      <c r="S2163" s="5">
        <f>_xlfn.XLOOKUP(CustomerCombined[[#This Row],[ID]], Table4[ID], Table4[Website], "Not Found", 0)</f>
        <v>6</v>
      </c>
      <c r="T2163" s="5">
        <f>_xlfn.XLOOKUP(CustomerCombined[[#This Row],[ID]], Table4[ID], Table4[Catalog], "Not Found", 0)</f>
        <v>1</v>
      </c>
      <c r="U2163" s="5">
        <f>_xlfn.XLOOKUP(CustomerCombined[[#This Row],[ID]], Table4[ID], Table4[Store], "Not Found", 0)</f>
        <v>4</v>
      </c>
      <c r="V2163" s="5">
        <f>_xlfn.XLOOKUP(CustomerCombined[[#This Row],[ID]], Table4[ID], Table4[Visits], "Not Found", 0)</f>
        <v>8</v>
      </c>
      <c r="W2163" s="8">
        <f>_xlfn.XLOOKUP(CustomerCombined[[#This Row],[ID]], Table2[ID],Table2[Complaint], "Not Found", 0 )</f>
        <v>0</v>
      </c>
      <c r="X2163" s="8">
        <f>_xlfn.XLOOKUP(CustomerCombined[[#This Row],[ID]], Table2[ID],Table2[Pilot], "Not Found", 0 )</f>
        <v>0</v>
      </c>
      <c r="Y2163" s="8">
        <f>_xlfn.XLOOKUP(CustomerCombined[[#This Row],[ID]], Table2[ID],Table2[MC1], "Not Found", 0 )</f>
        <v>0</v>
      </c>
      <c r="Z2163" s="8">
        <f>_xlfn.XLOOKUP(CustomerCombined[[#This Row],[ID]], Table2[ID],Table2[MC2], "Not Found", 0 )</f>
        <v>0</v>
      </c>
      <c r="AA2163" s="8">
        <f>_xlfn.XLOOKUP(CustomerCombined[[#This Row],[ID]], Table2[ID],Table2[MC3], "Not Found", 0 )</f>
        <v>0</v>
      </c>
      <c r="AB2163" s="8">
        <f>_xlfn.XLOOKUP(CustomerCombined[[#This Row],[ID]], Table2[ID],Table2[MC4], "Not Found", 0 )</f>
        <v>0</v>
      </c>
      <c r="AC2163" s="8">
        <f>_xlfn.XLOOKUP(CustomerCombined[[#This Row],[ID]], Table2[ID],Table2[MC5], "Not Found", 0 )</f>
        <v>0</v>
      </c>
    </row>
    <row r="2164" spans="1:29" x14ac:dyDescent="0.3">
      <c r="A2164" s="6">
        <v>3039</v>
      </c>
      <c r="B2164" s="6">
        <v>142192</v>
      </c>
      <c r="C2164" s="6">
        <v>0</v>
      </c>
      <c r="D2164" s="6">
        <v>0</v>
      </c>
      <c r="E2164" s="6">
        <v>72</v>
      </c>
      <c r="F2164" s="5" t="s">
        <v>6</v>
      </c>
      <c r="G2164" s="5" t="s">
        <v>11</v>
      </c>
      <c r="H2164" s="3">
        <v>44137</v>
      </c>
      <c r="I2164" s="5" t="s">
        <v>435</v>
      </c>
      <c r="J2164" s="5">
        <f>_xlfn.XLOOKUP(CustomerCombined[[#This Row],[ID]], Table4[ID], Table4[Recency], "Not Found", 0)</f>
        <v>40</v>
      </c>
      <c r="K2164" s="5">
        <f>_xlfn.XLOOKUP(CustomerCombined[[#This Row],[ID]], Table4[ID], Table4[Teas], "Not Found", 0)</f>
        <v>135</v>
      </c>
      <c r="L2164" s="5">
        <f>_xlfn.XLOOKUP(CustomerCombined[[#This Row],[ID]], Table4[ID], Table4[Fruits], "Not Found", 0)</f>
        <v>51</v>
      </c>
      <c r="M2164" s="5">
        <f>_xlfn.XLOOKUP(CustomerCombined[[#This Row],[ID]], Table4[ID], Table4[Meats], "Not Found", 0)</f>
        <v>51</v>
      </c>
      <c r="N2164" s="5">
        <f>_xlfn.XLOOKUP(CustomerCombined[[#This Row],[ID]], Table4[ID], Table4[Seafood], "Not Found", 0)</f>
        <v>57</v>
      </c>
      <c r="O2164" s="5">
        <f>_xlfn.XLOOKUP(CustomerCombined[[#This Row],[ID]], Table4[ID], Table4[Sweets], "Not Found", 0)</f>
        <v>20</v>
      </c>
      <c r="P2164" s="5">
        <f>_xlfn.XLOOKUP(CustomerCombined[[#This Row],[ID]], Table4[ID], Table4[Premium], "Not Found", 0)</f>
        <v>24</v>
      </c>
      <c r="Q2164" s="5">
        <f>_xlfn.XLOOKUP(CustomerCombined[[#This Row],[ID]], Table4[ID], Table4[Regular], "Not Found", 0)</f>
        <v>290</v>
      </c>
      <c r="R2164" s="5">
        <f>_xlfn.XLOOKUP(CustomerCombined[[#This Row],[ID]], Table4[ID], Table4[Deals], "Not Found", 0)</f>
        <v>1</v>
      </c>
      <c r="S2164" s="5">
        <f>_xlfn.XLOOKUP(CustomerCombined[[#This Row],[ID]], Table4[ID], Table4[Website], "Not Found", 0)</f>
        <v>2</v>
      </c>
      <c r="T2164" s="5">
        <f>_xlfn.XLOOKUP(CustomerCombined[[#This Row],[ID]], Table4[ID], Table4[Catalog], "Not Found", 0)</f>
        <v>1</v>
      </c>
      <c r="U2164" s="5">
        <f>_xlfn.XLOOKUP(CustomerCombined[[#This Row],[ID]], Table4[ID], Table4[Store], "Not Found", 0)</f>
        <v>3</v>
      </c>
      <c r="V2164" s="5">
        <f>_xlfn.XLOOKUP(CustomerCombined[[#This Row],[ID]], Table4[ID], Table4[Visits], "Not Found", 0)</f>
        <v>4</v>
      </c>
      <c r="W2164" s="8">
        <f>_xlfn.XLOOKUP(CustomerCombined[[#This Row],[ID]], Table2[ID],Table2[Complaint], "Not Found", 0 )</f>
        <v>0</v>
      </c>
      <c r="X2164" s="8">
        <f>_xlfn.XLOOKUP(CustomerCombined[[#This Row],[ID]], Table2[ID],Table2[Pilot], "Not Found", 0 )</f>
        <v>0</v>
      </c>
      <c r="Y2164" s="8">
        <f>_xlfn.XLOOKUP(CustomerCombined[[#This Row],[ID]], Table2[ID],Table2[MC1], "Not Found", 0 )</f>
        <v>0</v>
      </c>
      <c r="Z2164" s="8">
        <f>_xlfn.XLOOKUP(CustomerCombined[[#This Row],[ID]], Table2[ID],Table2[MC2], "Not Found", 0 )</f>
        <v>0</v>
      </c>
      <c r="AA2164" s="8">
        <f>_xlfn.XLOOKUP(CustomerCombined[[#This Row],[ID]], Table2[ID],Table2[MC3], "Not Found", 0 )</f>
        <v>0</v>
      </c>
      <c r="AB2164" s="8">
        <f>_xlfn.XLOOKUP(CustomerCombined[[#This Row],[ID]], Table2[ID],Table2[MC4], "Not Found", 0 )</f>
        <v>0</v>
      </c>
      <c r="AC2164" s="8">
        <f>_xlfn.XLOOKUP(CustomerCombined[[#This Row],[ID]], Table2[ID],Table2[MC5], "Not Found", 0 )</f>
        <v>0</v>
      </c>
    </row>
    <row r="2165" spans="1:29" x14ac:dyDescent="0.3">
      <c r="A2165" s="6">
        <v>1904</v>
      </c>
      <c r="B2165" s="6">
        <v>134469</v>
      </c>
      <c r="C2165" s="6">
        <v>1</v>
      </c>
      <c r="D2165" s="6">
        <v>1</v>
      </c>
      <c r="E2165" s="6">
        <v>72</v>
      </c>
      <c r="F2165" s="5" t="s">
        <v>6</v>
      </c>
      <c r="G2165" s="5" t="s">
        <v>13</v>
      </c>
      <c r="H2165" s="3">
        <v>44053</v>
      </c>
      <c r="I2165" s="5" t="s">
        <v>438</v>
      </c>
      <c r="J2165" s="5">
        <f>_xlfn.XLOOKUP(CustomerCombined[[#This Row],[ID]], Table4[ID], Table4[Recency], "Not Found", 0)</f>
        <v>58</v>
      </c>
      <c r="K2165" s="5">
        <f>_xlfn.XLOOKUP(CustomerCombined[[#This Row],[ID]], Table4[ID], Table4[Teas], "Not Found", 0)</f>
        <v>74</v>
      </c>
      <c r="L2165" s="5">
        <f>_xlfn.XLOOKUP(CustomerCombined[[#This Row],[ID]], Table4[ID], Table4[Fruits], "Not Found", 0)</f>
        <v>23</v>
      </c>
      <c r="M2165" s="5">
        <f>_xlfn.XLOOKUP(CustomerCombined[[#This Row],[ID]], Table4[ID], Table4[Meats], "Not Found", 0)</f>
        <v>78</v>
      </c>
      <c r="N2165" s="5">
        <f>_xlfn.XLOOKUP(CustomerCombined[[#This Row],[ID]], Table4[ID], Table4[Seafood], "Not Found", 0)</f>
        <v>0</v>
      </c>
      <c r="O2165" s="5">
        <f>_xlfn.XLOOKUP(CustomerCombined[[#This Row],[ID]], Table4[ID], Table4[Sweets], "Not Found", 0)</f>
        <v>20</v>
      </c>
      <c r="P2165" s="5">
        <f>_xlfn.XLOOKUP(CustomerCombined[[#This Row],[ID]], Table4[ID], Table4[Premium], "Not Found", 0)</f>
        <v>47</v>
      </c>
      <c r="Q2165" s="5">
        <f>_xlfn.XLOOKUP(CustomerCombined[[#This Row],[ID]], Table4[ID], Table4[Regular], "Not Found", 0)</f>
        <v>148</v>
      </c>
      <c r="R2165" s="5">
        <f>_xlfn.XLOOKUP(CustomerCombined[[#This Row],[ID]], Table4[ID], Table4[Deals], "Not Found", 0)</f>
        <v>3</v>
      </c>
      <c r="S2165" s="5">
        <f>_xlfn.XLOOKUP(CustomerCombined[[#This Row],[ID]], Table4[ID], Table4[Website], "Not Found", 0)</f>
        <v>1</v>
      </c>
      <c r="T2165" s="5">
        <f>_xlfn.XLOOKUP(CustomerCombined[[#This Row],[ID]], Table4[ID], Table4[Catalog], "Not Found", 0)</f>
        <v>1</v>
      </c>
      <c r="U2165" s="5">
        <f>_xlfn.XLOOKUP(CustomerCombined[[#This Row],[ID]], Table4[ID], Table4[Store], "Not Found", 0)</f>
        <v>4</v>
      </c>
      <c r="V2165" s="5">
        <f>_xlfn.XLOOKUP(CustomerCombined[[#This Row],[ID]], Table4[ID], Table4[Visits], "Not Found", 0)</f>
        <v>4</v>
      </c>
      <c r="W2165" s="8">
        <f>_xlfn.XLOOKUP(CustomerCombined[[#This Row],[ID]], Table2[ID],Table2[Complaint], "Not Found", 0 )</f>
        <v>0</v>
      </c>
      <c r="X2165" s="8">
        <f>_xlfn.XLOOKUP(CustomerCombined[[#This Row],[ID]], Table2[ID],Table2[Pilot], "Not Found", 0 )</f>
        <v>0</v>
      </c>
      <c r="Y2165" s="8">
        <f>_xlfn.XLOOKUP(CustomerCombined[[#This Row],[ID]], Table2[ID],Table2[MC1], "Not Found", 0 )</f>
        <v>0</v>
      </c>
      <c r="Z2165" s="8">
        <f>_xlfn.XLOOKUP(CustomerCombined[[#This Row],[ID]], Table2[ID],Table2[MC2], "Not Found", 0 )</f>
        <v>0</v>
      </c>
      <c r="AA2165" s="8">
        <f>_xlfn.XLOOKUP(CustomerCombined[[#This Row],[ID]], Table2[ID],Table2[MC3], "Not Found", 0 )</f>
        <v>0</v>
      </c>
      <c r="AB2165" s="8">
        <f>_xlfn.XLOOKUP(CustomerCombined[[#This Row],[ID]], Table2[ID],Table2[MC4], "Not Found", 0 )</f>
        <v>0</v>
      </c>
      <c r="AC2165" s="8">
        <f>_xlfn.XLOOKUP(CustomerCombined[[#This Row],[ID]], Table2[ID],Table2[MC5], "Not Found", 0 )</f>
        <v>0</v>
      </c>
    </row>
    <row r="2166" spans="1:29" x14ac:dyDescent="0.3">
      <c r="A2166" s="6">
        <v>2967</v>
      </c>
      <c r="B2166" s="6">
        <v>191712</v>
      </c>
      <c r="C2166" s="6">
        <v>0</v>
      </c>
      <c r="D2166" s="6">
        <v>0</v>
      </c>
      <c r="E2166" s="6">
        <v>73</v>
      </c>
      <c r="F2166" s="5" t="s">
        <v>7</v>
      </c>
      <c r="G2166" s="5" t="s">
        <v>12</v>
      </c>
      <c r="H2166" s="3" t="s">
        <v>165</v>
      </c>
      <c r="I2166" s="5" t="s">
        <v>435</v>
      </c>
      <c r="J2166" s="5">
        <f>_xlfn.XLOOKUP(CustomerCombined[[#This Row],[ID]], Table4[ID], Table4[Recency], "Not Found", 0)</f>
        <v>47</v>
      </c>
      <c r="K2166" s="5">
        <f>_xlfn.XLOOKUP(CustomerCombined[[#This Row],[ID]], Table4[ID], Table4[Teas], "Not Found", 0)</f>
        <v>2667</v>
      </c>
      <c r="L2166" s="5">
        <f>_xlfn.XLOOKUP(CustomerCombined[[#This Row],[ID]], Table4[ID], Table4[Fruits], "Not Found", 0)</f>
        <v>50</v>
      </c>
      <c r="M2166" s="5">
        <f>_xlfn.XLOOKUP(CustomerCombined[[#This Row],[ID]], Table4[ID], Table4[Meats], "Not Found", 0)</f>
        <v>1559</v>
      </c>
      <c r="N2166" s="5">
        <f>_xlfn.XLOOKUP(CustomerCombined[[#This Row],[ID]], Table4[ID], Table4[Seafood], "Not Found", 0)</f>
        <v>196</v>
      </c>
      <c r="O2166" s="5">
        <f>_xlfn.XLOOKUP(CustomerCombined[[#This Row],[ID]], Table4[ID], Table4[Sweets], "Not Found", 0)</f>
        <v>61</v>
      </c>
      <c r="P2166" s="5">
        <f>_xlfn.XLOOKUP(CustomerCombined[[#This Row],[ID]], Table4[ID], Table4[Premium], "Not Found", 0)</f>
        <v>100</v>
      </c>
      <c r="Q2166" s="5">
        <f>_xlfn.XLOOKUP(CustomerCombined[[#This Row],[ID]], Table4[ID], Table4[Regular], "Not Found", 0)</f>
        <v>4434</v>
      </c>
      <c r="R2166" s="5">
        <f>_xlfn.XLOOKUP(CustomerCombined[[#This Row],[ID]], Table4[ID], Table4[Deals], "Not Found", 0)</f>
        <v>0</v>
      </c>
      <c r="S2166" s="5">
        <f>_xlfn.XLOOKUP(CustomerCombined[[#This Row],[ID]], Table4[ID], Table4[Website], "Not Found", 0)</f>
        <v>9</v>
      </c>
      <c r="T2166" s="5">
        <f>_xlfn.XLOOKUP(CustomerCombined[[#This Row],[ID]], Table4[ID], Table4[Catalog], "Not Found", 0)</f>
        <v>7</v>
      </c>
      <c r="U2166" s="5">
        <f>_xlfn.XLOOKUP(CustomerCombined[[#This Row],[ID]], Table4[ID], Table4[Store], "Not Found", 0)</f>
        <v>11</v>
      </c>
      <c r="V2166" s="5">
        <f>_xlfn.XLOOKUP(CustomerCombined[[#This Row],[ID]], Table4[ID], Table4[Visits], "Not Found", 0)</f>
        <v>3</v>
      </c>
      <c r="W2166" s="8">
        <f>_xlfn.XLOOKUP(CustomerCombined[[#This Row],[ID]], Table2[ID],Table2[Complaint], "Not Found", 0 )</f>
        <v>0</v>
      </c>
      <c r="X2166" s="8">
        <f>_xlfn.XLOOKUP(CustomerCombined[[#This Row],[ID]], Table2[ID],Table2[Pilot], "Not Found", 0 )</f>
        <v>1</v>
      </c>
      <c r="Y2166" s="8">
        <f>_xlfn.XLOOKUP(CustomerCombined[[#This Row],[ID]], Table2[ID],Table2[MC1], "Not Found", 0 )</f>
        <v>0</v>
      </c>
      <c r="Z2166" s="8">
        <f>_xlfn.XLOOKUP(CustomerCombined[[#This Row],[ID]], Table2[ID],Table2[MC2], "Not Found", 0 )</f>
        <v>0</v>
      </c>
      <c r="AA2166" s="8">
        <f>_xlfn.XLOOKUP(CustomerCombined[[#This Row],[ID]], Table2[ID],Table2[MC3], "Not Found", 0 )</f>
        <v>0</v>
      </c>
      <c r="AB2166" s="8">
        <f>_xlfn.XLOOKUP(CustomerCombined[[#This Row],[ID]], Table2[ID],Table2[MC4], "Not Found", 0 )</f>
        <v>0</v>
      </c>
      <c r="AC2166" s="8">
        <f>_xlfn.XLOOKUP(CustomerCombined[[#This Row],[ID]], Table2[ID],Table2[MC5], "Not Found", 0 )</f>
        <v>1</v>
      </c>
    </row>
    <row r="2167" spans="1:29" x14ac:dyDescent="0.3">
      <c r="A2167" s="6">
        <v>2553</v>
      </c>
      <c r="B2167" s="6">
        <v>181574</v>
      </c>
      <c r="C2167" s="6">
        <v>0</v>
      </c>
      <c r="D2167" s="6">
        <v>0</v>
      </c>
      <c r="E2167" s="6">
        <v>73</v>
      </c>
      <c r="F2167" s="5" t="s">
        <v>8</v>
      </c>
      <c r="G2167" s="5" t="s">
        <v>13</v>
      </c>
      <c r="H2167" s="3">
        <v>43871</v>
      </c>
      <c r="I2167" s="5" t="s">
        <v>435</v>
      </c>
      <c r="J2167" s="5">
        <f>_xlfn.XLOOKUP(CustomerCombined[[#This Row],[ID]], Table4[ID], Table4[Recency], "Not Found", 0)</f>
        <v>89</v>
      </c>
      <c r="K2167" s="5">
        <f>_xlfn.XLOOKUP(CustomerCombined[[#This Row],[ID]], Table4[ID], Table4[Teas], "Not Found", 0)</f>
        <v>2787</v>
      </c>
      <c r="L2167" s="5">
        <f>_xlfn.XLOOKUP(CustomerCombined[[#This Row],[ID]], Table4[ID], Table4[Fruits], "Not Found", 0)</f>
        <v>0</v>
      </c>
      <c r="M2167" s="5">
        <f>_xlfn.XLOOKUP(CustomerCombined[[#This Row],[ID]], Table4[ID], Table4[Meats], "Not Found", 0)</f>
        <v>1035</v>
      </c>
      <c r="N2167" s="5">
        <f>_xlfn.XLOOKUP(CustomerCombined[[#This Row],[ID]], Table4[ID], Table4[Seafood], "Not Found", 0)</f>
        <v>102</v>
      </c>
      <c r="O2167" s="5">
        <f>_xlfn.XLOOKUP(CustomerCombined[[#This Row],[ID]], Table4[ID], Table4[Sweets], "Not Found", 0)</f>
        <v>78</v>
      </c>
      <c r="P2167" s="5">
        <f>_xlfn.XLOOKUP(CustomerCombined[[#This Row],[ID]], Table4[ID], Table4[Premium], "Not Found", 0)</f>
        <v>0</v>
      </c>
      <c r="Q2167" s="5">
        <f>_xlfn.XLOOKUP(CustomerCombined[[#This Row],[ID]], Table4[ID], Table4[Regular], "Not Found", 0)</f>
        <v>4002</v>
      </c>
      <c r="R2167" s="5">
        <f>_xlfn.XLOOKUP(CustomerCombined[[#This Row],[ID]], Table4[ID], Table4[Deals], "Not Found", 0)</f>
        <v>1</v>
      </c>
      <c r="S2167" s="5">
        <f>_xlfn.XLOOKUP(CustomerCombined[[#This Row],[ID]], Table4[ID], Table4[Website], "Not Found", 0)</f>
        <v>4</v>
      </c>
      <c r="T2167" s="5">
        <f>_xlfn.XLOOKUP(CustomerCombined[[#This Row],[ID]], Table4[ID], Table4[Catalog], "Not Found", 0)</f>
        <v>5</v>
      </c>
      <c r="U2167" s="5">
        <f>_xlfn.XLOOKUP(CustomerCombined[[#This Row],[ID]], Table4[ID], Table4[Store], "Not Found", 0)</f>
        <v>8</v>
      </c>
      <c r="V2167" s="5">
        <f>_xlfn.XLOOKUP(CustomerCombined[[#This Row],[ID]], Table4[ID], Table4[Visits], "Not Found", 0)</f>
        <v>1</v>
      </c>
      <c r="W2167" s="8">
        <f>_xlfn.XLOOKUP(CustomerCombined[[#This Row],[ID]], Table2[ID],Table2[Complaint], "Not Found", 0 )</f>
        <v>0</v>
      </c>
      <c r="X2167" s="8">
        <f>_xlfn.XLOOKUP(CustomerCombined[[#This Row],[ID]], Table2[ID],Table2[Pilot], "Not Found", 0 )</f>
        <v>0</v>
      </c>
      <c r="Y2167" s="8">
        <f>_xlfn.XLOOKUP(CustomerCombined[[#This Row],[ID]], Table2[ID],Table2[MC1], "Not Found", 0 )</f>
        <v>0</v>
      </c>
      <c r="Z2167" s="8">
        <f>_xlfn.XLOOKUP(CustomerCombined[[#This Row],[ID]], Table2[ID],Table2[MC2], "Not Found", 0 )</f>
        <v>0</v>
      </c>
      <c r="AA2167" s="8">
        <f>_xlfn.XLOOKUP(CustomerCombined[[#This Row],[ID]], Table2[ID],Table2[MC3], "Not Found", 0 )</f>
        <v>0</v>
      </c>
      <c r="AB2167" s="8">
        <f>_xlfn.XLOOKUP(CustomerCombined[[#This Row],[ID]], Table2[ID],Table2[MC4], "Not Found", 0 )</f>
        <v>1</v>
      </c>
      <c r="AC2167" s="8">
        <f>_xlfn.XLOOKUP(CustomerCombined[[#This Row],[ID]], Table2[ID],Table2[MC5], "Not Found", 0 )</f>
        <v>1</v>
      </c>
    </row>
    <row r="2168" spans="1:29" x14ac:dyDescent="0.3">
      <c r="A2168" s="6">
        <v>3024</v>
      </c>
      <c r="B2168" s="6">
        <v>181044</v>
      </c>
      <c r="C2168" s="6">
        <v>0</v>
      </c>
      <c r="D2168" s="6">
        <v>0</v>
      </c>
      <c r="E2168" s="6">
        <v>73</v>
      </c>
      <c r="F2168" s="5" t="s">
        <v>6</v>
      </c>
      <c r="G2168" s="5" t="s">
        <v>442</v>
      </c>
      <c r="H2168" s="3">
        <v>43867</v>
      </c>
      <c r="I2168" s="5" t="s">
        <v>436</v>
      </c>
      <c r="J2168" s="5">
        <f>_xlfn.XLOOKUP(CustomerCombined[[#This Row],[ID]], Table4[ID], Table4[Recency], "Not Found", 0)</f>
        <v>0</v>
      </c>
      <c r="K2168" s="5">
        <f>_xlfn.XLOOKUP(CustomerCombined[[#This Row],[ID]], Table4[ID], Table4[Teas], "Not Found", 0)</f>
        <v>1005</v>
      </c>
      <c r="L2168" s="5">
        <f>_xlfn.XLOOKUP(CustomerCombined[[#This Row],[ID]], Table4[ID], Table4[Fruits], "Not Found", 0)</f>
        <v>58</v>
      </c>
      <c r="M2168" s="5">
        <f>_xlfn.XLOOKUP(CustomerCombined[[#This Row],[ID]], Table4[ID], Table4[Meats], "Not Found", 0)</f>
        <v>1195</v>
      </c>
      <c r="N2168" s="5">
        <f>_xlfn.XLOOKUP(CustomerCombined[[#This Row],[ID]], Table4[ID], Table4[Seafood], "Not Found", 0)</f>
        <v>163</v>
      </c>
      <c r="O2168" s="5">
        <f>_xlfn.XLOOKUP(CustomerCombined[[#This Row],[ID]], Table4[ID], Table4[Sweets], "Not Found", 0)</f>
        <v>219</v>
      </c>
      <c r="P2168" s="5">
        <f>_xlfn.XLOOKUP(CustomerCombined[[#This Row],[ID]], Table4[ID], Table4[Premium], "Not Found", 0)</f>
        <v>58</v>
      </c>
      <c r="Q2168" s="5">
        <f>_xlfn.XLOOKUP(CustomerCombined[[#This Row],[ID]], Table4[ID], Table4[Regular], "Not Found", 0)</f>
        <v>2582</v>
      </c>
      <c r="R2168" s="5">
        <f>_xlfn.XLOOKUP(CustomerCombined[[#This Row],[ID]], Table4[ID], Table4[Deals], "Not Found", 0)</f>
        <v>1</v>
      </c>
      <c r="S2168" s="5">
        <f>_xlfn.XLOOKUP(CustomerCombined[[#This Row],[ID]], Table4[ID], Table4[Website], "Not Found", 0)</f>
        <v>5</v>
      </c>
      <c r="T2168" s="5">
        <f>_xlfn.XLOOKUP(CustomerCombined[[#This Row],[ID]], Table4[ID], Table4[Catalog], "Not Found", 0)</f>
        <v>6</v>
      </c>
      <c r="U2168" s="5">
        <f>_xlfn.XLOOKUP(CustomerCombined[[#This Row],[ID]], Table4[ID], Table4[Store], "Not Found", 0)</f>
        <v>10</v>
      </c>
      <c r="V2168" s="5">
        <f>_xlfn.XLOOKUP(CustomerCombined[[#This Row],[ID]], Table4[ID], Table4[Visits], "Not Found", 0)</f>
        <v>1</v>
      </c>
      <c r="W2168" s="8">
        <f>_xlfn.XLOOKUP(CustomerCombined[[#This Row],[ID]], Table2[ID],Table2[Complaint], "Not Found", 0 )</f>
        <v>0</v>
      </c>
      <c r="X2168" s="8">
        <f>_xlfn.XLOOKUP(CustomerCombined[[#This Row],[ID]], Table2[ID],Table2[Pilot], "Not Found", 0 )</f>
        <v>0</v>
      </c>
      <c r="Y2168" s="8">
        <f>_xlfn.XLOOKUP(CustomerCombined[[#This Row],[ID]], Table2[ID],Table2[MC1], "Not Found", 0 )</f>
        <v>0</v>
      </c>
      <c r="Z2168" s="8">
        <f>_xlfn.XLOOKUP(CustomerCombined[[#This Row],[ID]], Table2[ID],Table2[MC2], "Not Found", 0 )</f>
        <v>0</v>
      </c>
      <c r="AA2168" s="8">
        <f>_xlfn.XLOOKUP(CustomerCombined[[#This Row],[ID]], Table2[ID],Table2[MC3], "Not Found", 0 )</f>
        <v>0</v>
      </c>
      <c r="AB2168" s="8">
        <f>_xlfn.XLOOKUP(CustomerCombined[[#This Row],[ID]], Table2[ID],Table2[MC4], "Not Found", 0 )</f>
        <v>0</v>
      </c>
      <c r="AC2168" s="8">
        <f>_xlfn.XLOOKUP(CustomerCombined[[#This Row],[ID]], Table2[ID],Table2[MC5], "Not Found", 0 )</f>
        <v>0</v>
      </c>
    </row>
    <row r="2169" spans="1:29" x14ac:dyDescent="0.3">
      <c r="A2169" s="6">
        <v>2557</v>
      </c>
      <c r="B2169" s="6">
        <v>178093</v>
      </c>
      <c r="C2169" s="6">
        <v>0</v>
      </c>
      <c r="D2169" s="6">
        <v>0</v>
      </c>
      <c r="E2169" s="6">
        <v>73</v>
      </c>
      <c r="F2169" s="5" t="s">
        <v>8</v>
      </c>
      <c r="G2169" s="5" t="s">
        <v>12</v>
      </c>
      <c r="H2169" s="3" t="s">
        <v>137</v>
      </c>
      <c r="I2169" s="5" t="s">
        <v>437</v>
      </c>
      <c r="J2169" s="5">
        <f>_xlfn.XLOOKUP(CustomerCombined[[#This Row],[ID]], Table4[ID], Table4[Recency], "Not Found", 0)</f>
        <v>53</v>
      </c>
      <c r="K2169" s="5">
        <f>_xlfn.XLOOKUP(CustomerCombined[[#This Row],[ID]], Table4[ID], Table4[Teas], "Not Found", 0)</f>
        <v>839</v>
      </c>
      <c r="L2169" s="5">
        <f>_xlfn.XLOOKUP(CustomerCombined[[#This Row],[ID]], Table4[ID], Table4[Fruits], "Not Found", 0)</f>
        <v>73</v>
      </c>
      <c r="M2169" s="5">
        <f>_xlfn.XLOOKUP(CustomerCombined[[#This Row],[ID]], Table4[ID], Table4[Meats], "Not Found", 0)</f>
        <v>1457</v>
      </c>
      <c r="N2169" s="5">
        <f>_xlfn.XLOOKUP(CustomerCombined[[#This Row],[ID]], Table4[ID], Table4[Seafood], "Not Found", 0)</f>
        <v>30</v>
      </c>
      <c r="O2169" s="5">
        <f>_xlfn.XLOOKUP(CustomerCombined[[#This Row],[ID]], Table4[ID], Table4[Sweets], "Not Found", 0)</f>
        <v>98</v>
      </c>
      <c r="P2169" s="5">
        <f>_xlfn.XLOOKUP(CustomerCombined[[#This Row],[ID]], Table4[ID], Table4[Premium], "Not Found", 0)</f>
        <v>23</v>
      </c>
      <c r="Q2169" s="5">
        <f>_xlfn.XLOOKUP(CustomerCombined[[#This Row],[ID]], Table4[ID], Table4[Regular], "Not Found", 0)</f>
        <v>2474</v>
      </c>
      <c r="R2169" s="5">
        <f>_xlfn.XLOOKUP(CustomerCombined[[#This Row],[ID]], Table4[ID], Table4[Deals], "Not Found", 0)</f>
        <v>1</v>
      </c>
      <c r="S2169" s="5">
        <f>_xlfn.XLOOKUP(CustomerCombined[[#This Row],[ID]], Table4[ID], Table4[Website], "Not Found", 0)</f>
        <v>4</v>
      </c>
      <c r="T2169" s="5">
        <f>_xlfn.XLOOKUP(CustomerCombined[[#This Row],[ID]], Table4[ID], Table4[Catalog], "Not Found", 0)</f>
        <v>7</v>
      </c>
      <c r="U2169" s="5">
        <f>_xlfn.XLOOKUP(CustomerCombined[[#This Row],[ID]], Table4[ID], Table4[Store], "Not Found", 0)</f>
        <v>5</v>
      </c>
      <c r="V2169" s="5">
        <f>_xlfn.XLOOKUP(CustomerCombined[[#This Row],[ID]], Table4[ID], Table4[Visits], "Not Found", 0)</f>
        <v>1</v>
      </c>
      <c r="W2169" s="8">
        <f>_xlfn.XLOOKUP(CustomerCombined[[#This Row],[ID]], Table2[ID],Table2[Complaint], "Not Found", 0 )</f>
        <v>0</v>
      </c>
      <c r="X2169" s="8">
        <f>_xlfn.XLOOKUP(CustomerCombined[[#This Row],[ID]], Table2[ID],Table2[Pilot], "Not Found", 0 )</f>
        <v>0</v>
      </c>
      <c r="Y2169" s="8">
        <f>_xlfn.XLOOKUP(CustomerCombined[[#This Row],[ID]], Table2[ID],Table2[MC1], "Not Found", 0 )</f>
        <v>0</v>
      </c>
      <c r="Z2169" s="8">
        <f>_xlfn.XLOOKUP(CustomerCombined[[#This Row],[ID]], Table2[ID],Table2[MC2], "Not Found", 0 )</f>
        <v>0</v>
      </c>
      <c r="AA2169" s="8">
        <f>_xlfn.XLOOKUP(CustomerCombined[[#This Row],[ID]], Table2[ID],Table2[MC3], "Not Found", 0 )</f>
        <v>0</v>
      </c>
      <c r="AB2169" s="8">
        <f>_xlfn.XLOOKUP(CustomerCombined[[#This Row],[ID]], Table2[ID],Table2[MC4], "Not Found", 0 )</f>
        <v>0</v>
      </c>
      <c r="AC2169" s="8">
        <f>_xlfn.XLOOKUP(CustomerCombined[[#This Row],[ID]], Table2[ID],Table2[MC5], "Not Found", 0 )</f>
        <v>0</v>
      </c>
    </row>
    <row r="2170" spans="1:29" x14ac:dyDescent="0.3">
      <c r="A2170" s="6">
        <v>1627</v>
      </c>
      <c r="B2170" s="6">
        <v>177632</v>
      </c>
      <c r="C2170" s="6">
        <v>0</v>
      </c>
      <c r="D2170" s="6">
        <v>0</v>
      </c>
      <c r="E2170" s="6">
        <v>73</v>
      </c>
      <c r="F2170" s="5" t="s">
        <v>8</v>
      </c>
      <c r="G2170" s="5" t="s">
        <v>12</v>
      </c>
      <c r="H2170" s="3" t="s">
        <v>297</v>
      </c>
      <c r="I2170" s="5" t="s">
        <v>437</v>
      </c>
      <c r="J2170" s="5">
        <f>_xlfn.XLOOKUP(CustomerCombined[[#This Row],[ID]], Table4[ID], Table4[Recency], "Not Found", 0)</f>
        <v>73</v>
      </c>
      <c r="K2170" s="5">
        <f>_xlfn.XLOOKUP(CustomerCombined[[#This Row],[ID]], Table4[ID], Table4[Teas], "Not Found", 0)</f>
        <v>2746</v>
      </c>
      <c r="L2170" s="5">
        <f>_xlfn.XLOOKUP(CustomerCombined[[#This Row],[ID]], Table4[ID], Table4[Fruits], "Not Found", 0)</f>
        <v>240</v>
      </c>
      <c r="M2170" s="5">
        <f>_xlfn.XLOOKUP(CustomerCombined[[#This Row],[ID]], Table4[ID], Table4[Meats], "Not Found", 0)</f>
        <v>1734</v>
      </c>
      <c r="N2170" s="5">
        <f>_xlfn.XLOOKUP(CustomerCombined[[#This Row],[ID]], Table4[ID], Table4[Seafood], "Not Found", 0)</f>
        <v>0</v>
      </c>
      <c r="O2170" s="5">
        <f>_xlfn.XLOOKUP(CustomerCombined[[#This Row],[ID]], Table4[ID], Table4[Sweets], "Not Found", 0)</f>
        <v>96</v>
      </c>
      <c r="P2170" s="5">
        <f>_xlfn.XLOOKUP(CustomerCombined[[#This Row],[ID]], Table4[ID], Table4[Premium], "Not Found", 0)</f>
        <v>336</v>
      </c>
      <c r="Q2170" s="5">
        <f>_xlfn.XLOOKUP(CustomerCombined[[#This Row],[ID]], Table4[ID], Table4[Regular], "Not Found", 0)</f>
        <v>4480</v>
      </c>
      <c r="R2170" s="5">
        <f>_xlfn.XLOOKUP(CustomerCombined[[#This Row],[ID]], Table4[ID], Table4[Deals], "Not Found", 0)</f>
        <v>1</v>
      </c>
      <c r="S2170" s="5">
        <f>_xlfn.XLOOKUP(CustomerCombined[[#This Row],[ID]], Table4[ID], Table4[Website], "Not Found", 0)</f>
        <v>4</v>
      </c>
      <c r="T2170" s="5">
        <f>_xlfn.XLOOKUP(CustomerCombined[[#This Row],[ID]], Table4[ID], Table4[Catalog], "Not Found", 0)</f>
        <v>2</v>
      </c>
      <c r="U2170" s="5">
        <f>_xlfn.XLOOKUP(CustomerCombined[[#This Row],[ID]], Table4[ID], Table4[Store], "Not Found", 0)</f>
        <v>6</v>
      </c>
      <c r="V2170" s="5">
        <f>_xlfn.XLOOKUP(CustomerCombined[[#This Row],[ID]], Table4[ID], Table4[Visits], "Not Found", 0)</f>
        <v>2</v>
      </c>
      <c r="W2170" s="8">
        <f>_xlfn.XLOOKUP(CustomerCombined[[#This Row],[ID]], Table2[ID],Table2[Complaint], "Not Found", 0 )</f>
        <v>0</v>
      </c>
      <c r="X2170" s="8">
        <f>_xlfn.XLOOKUP(CustomerCombined[[#This Row],[ID]], Table2[ID],Table2[Pilot], "Not Found", 0 )</f>
        <v>1</v>
      </c>
      <c r="Y2170" s="8">
        <f>_xlfn.XLOOKUP(CustomerCombined[[#This Row],[ID]], Table2[ID],Table2[MC1], "Not Found", 0 )</f>
        <v>0</v>
      </c>
      <c r="Z2170" s="8">
        <f>_xlfn.XLOOKUP(CustomerCombined[[#This Row],[ID]], Table2[ID],Table2[MC2], "Not Found", 0 )</f>
        <v>0</v>
      </c>
      <c r="AA2170" s="8">
        <f>_xlfn.XLOOKUP(CustomerCombined[[#This Row],[ID]], Table2[ID],Table2[MC3], "Not Found", 0 )</f>
        <v>0</v>
      </c>
      <c r="AB2170" s="8">
        <f>_xlfn.XLOOKUP(CustomerCombined[[#This Row],[ID]], Table2[ID],Table2[MC4], "Not Found", 0 )</f>
        <v>1</v>
      </c>
      <c r="AC2170" s="8">
        <f>_xlfn.XLOOKUP(CustomerCombined[[#This Row],[ID]], Table2[ID],Table2[MC5], "Not Found", 0 )</f>
        <v>1</v>
      </c>
    </row>
    <row r="2171" spans="1:29" x14ac:dyDescent="0.3">
      <c r="A2171" s="6">
        <v>1294</v>
      </c>
      <c r="B2171" s="6">
        <v>177457</v>
      </c>
      <c r="C2171" s="6">
        <v>0</v>
      </c>
      <c r="D2171" s="6">
        <v>0</v>
      </c>
      <c r="E2171" s="6">
        <v>73</v>
      </c>
      <c r="F2171" s="5" t="s">
        <v>7</v>
      </c>
      <c r="G2171" s="5" t="s">
        <v>11</v>
      </c>
      <c r="H2171" s="3">
        <v>44082</v>
      </c>
      <c r="I2171" s="5" t="s">
        <v>439</v>
      </c>
      <c r="J2171" s="5">
        <f>_xlfn.XLOOKUP(CustomerCombined[[#This Row],[ID]], Table4[ID], Table4[Recency], "Not Found", 0)</f>
        <v>85</v>
      </c>
      <c r="K2171" s="5">
        <f>_xlfn.XLOOKUP(CustomerCombined[[#This Row],[ID]], Table4[ID], Table4[Teas], "Not Found", 0)</f>
        <v>1546</v>
      </c>
      <c r="L2171" s="5">
        <f>_xlfn.XLOOKUP(CustomerCombined[[#This Row],[ID]], Table4[ID], Table4[Fruits], "Not Found", 0)</f>
        <v>25</v>
      </c>
      <c r="M2171" s="5">
        <f>_xlfn.XLOOKUP(CustomerCombined[[#This Row],[ID]], Table4[ID], Table4[Meats], "Not Found", 0)</f>
        <v>916</v>
      </c>
      <c r="N2171" s="5">
        <f>_xlfn.XLOOKUP(CustomerCombined[[#This Row],[ID]], Table4[ID], Table4[Seafood], "Not Found", 0)</f>
        <v>34</v>
      </c>
      <c r="O2171" s="5">
        <f>_xlfn.XLOOKUP(CustomerCombined[[#This Row],[ID]], Table4[ID], Table4[Sweets], "Not Found", 0)</f>
        <v>103</v>
      </c>
      <c r="P2171" s="5">
        <f>_xlfn.XLOOKUP(CustomerCombined[[#This Row],[ID]], Table4[ID], Table4[Premium], "Not Found", 0)</f>
        <v>25</v>
      </c>
      <c r="Q2171" s="5">
        <f>_xlfn.XLOOKUP(CustomerCombined[[#This Row],[ID]], Table4[ID], Table4[Regular], "Not Found", 0)</f>
        <v>2600</v>
      </c>
      <c r="R2171" s="5">
        <f>_xlfn.XLOOKUP(CustomerCombined[[#This Row],[ID]], Table4[ID], Table4[Deals], "Not Found", 0)</f>
        <v>1</v>
      </c>
      <c r="S2171" s="5">
        <f>_xlfn.XLOOKUP(CustomerCombined[[#This Row],[ID]], Table4[ID], Table4[Website], "Not Found", 0)</f>
        <v>2</v>
      </c>
      <c r="T2171" s="5">
        <f>_xlfn.XLOOKUP(CustomerCombined[[#This Row],[ID]], Table4[ID], Table4[Catalog], "Not Found", 0)</f>
        <v>5</v>
      </c>
      <c r="U2171" s="5">
        <f>_xlfn.XLOOKUP(CustomerCombined[[#This Row],[ID]], Table4[ID], Table4[Store], "Not Found", 0)</f>
        <v>10</v>
      </c>
      <c r="V2171" s="5">
        <f>_xlfn.XLOOKUP(CustomerCombined[[#This Row],[ID]], Table4[ID], Table4[Visits], "Not Found", 0)</f>
        <v>1</v>
      </c>
      <c r="W2171" s="8">
        <f>_xlfn.XLOOKUP(CustomerCombined[[#This Row],[ID]], Table2[ID],Table2[Complaint], "Not Found", 0 )</f>
        <v>0</v>
      </c>
      <c r="X2171" s="8">
        <f>_xlfn.XLOOKUP(CustomerCombined[[#This Row],[ID]], Table2[ID],Table2[Pilot], "Not Found", 0 )</f>
        <v>0</v>
      </c>
      <c r="Y2171" s="8">
        <f>_xlfn.XLOOKUP(CustomerCombined[[#This Row],[ID]], Table2[ID],Table2[MC1], "Not Found", 0 )</f>
        <v>0</v>
      </c>
      <c r="Z2171" s="8">
        <f>_xlfn.XLOOKUP(CustomerCombined[[#This Row],[ID]], Table2[ID],Table2[MC2], "Not Found", 0 )</f>
        <v>0</v>
      </c>
      <c r="AA2171" s="8">
        <f>_xlfn.XLOOKUP(CustomerCombined[[#This Row],[ID]], Table2[ID],Table2[MC3], "Not Found", 0 )</f>
        <v>0</v>
      </c>
      <c r="AB2171" s="8">
        <f>_xlfn.XLOOKUP(CustomerCombined[[#This Row],[ID]], Table2[ID],Table2[MC4], "Not Found", 0 )</f>
        <v>0</v>
      </c>
      <c r="AC2171" s="8">
        <f>_xlfn.XLOOKUP(CustomerCombined[[#This Row],[ID]], Table2[ID],Table2[MC5], "Not Found", 0 )</f>
        <v>1</v>
      </c>
    </row>
    <row r="2172" spans="1:29" x14ac:dyDescent="0.3">
      <c r="A2172" s="6">
        <v>2940</v>
      </c>
      <c r="B2172" s="6">
        <v>174485</v>
      </c>
      <c r="C2172" s="6">
        <v>0</v>
      </c>
      <c r="D2172" s="6">
        <v>0</v>
      </c>
      <c r="E2172" s="6">
        <v>73</v>
      </c>
      <c r="F2172" s="5" t="s">
        <v>8</v>
      </c>
      <c r="G2172" s="5" t="s">
        <v>11</v>
      </c>
      <c r="H2172" s="3" t="s">
        <v>193</v>
      </c>
      <c r="I2172" s="5" t="s">
        <v>436</v>
      </c>
      <c r="J2172" s="5">
        <f>_xlfn.XLOOKUP(CustomerCombined[[#This Row],[ID]], Table4[ID], Table4[Recency], "Not Found", 0)</f>
        <v>58</v>
      </c>
      <c r="K2172" s="5">
        <f>_xlfn.XLOOKUP(CustomerCombined[[#This Row],[ID]], Table4[ID], Table4[Teas], "Not Found", 0)</f>
        <v>1169</v>
      </c>
      <c r="L2172" s="5">
        <f>_xlfn.XLOOKUP(CustomerCombined[[#This Row],[ID]], Table4[ID], Table4[Fruits], "Not Found", 0)</f>
        <v>349</v>
      </c>
      <c r="M2172" s="5">
        <f>_xlfn.XLOOKUP(CustomerCombined[[#This Row],[ID]], Table4[ID], Table4[Meats], "Not Found", 0)</f>
        <v>1909</v>
      </c>
      <c r="N2172" s="5">
        <f>_xlfn.XLOOKUP(CustomerCombined[[#This Row],[ID]], Table4[ID], Table4[Seafood], "Not Found", 0)</f>
        <v>405</v>
      </c>
      <c r="O2172" s="5">
        <f>_xlfn.XLOOKUP(CustomerCombined[[#This Row],[ID]], Table4[ID], Table4[Sweets], "Not Found", 0)</f>
        <v>115</v>
      </c>
      <c r="P2172" s="5">
        <f>_xlfn.XLOOKUP(CustomerCombined[[#This Row],[ID]], Table4[ID], Table4[Premium], "Not Found", 0)</f>
        <v>115</v>
      </c>
      <c r="Q2172" s="5">
        <f>_xlfn.XLOOKUP(CustomerCombined[[#This Row],[ID]], Table4[ID], Table4[Regular], "Not Found", 0)</f>
        <v>3832</v>
      </c>
      <c r="R2172" s="5">
        <f>_xlfn.XLOOKUP(CustomerCombined[[#This Row],[ID]], Table4[ID], Table4[Deals], "Not Found", 0)</f>
        <v>1</v>
      </c>
      <c r="S2172" s="5">
        <f>_xlfn.XLOOKUP(CustomerCombined[[#This Row],[ID]], Table4[ID], Table4[Website], "Not Found", 0)</f>
        <v>6</v>
      </c>
      <c r="T2172" s="5">
        <f>_xlfn.XLOOKUP(CustomerCombined[[#This Row],[ID]], Table4[ID], Table4[Catalog], "Not Found", 0)</f>
        <v>7</v>
      </c>
      <c r="U2172" s="5">
        <f>_xlfn.XLOOKUP(CustomerCombined[[#This Row],[ID]], Table4[ID], Table4[Store], "Not Found", 0)</f>
        <v>12</v>
      </c>
      <c r="V2172" s="5">
        <f>_xlfn.XLOOKUP(CustomerCombined[[#This Row],[ID]], Table4[ID], Table4[Visits], "Not Found", 0)</f>
        <v>3</v>
      </c>
      <c r="W2172" s="8">
        <f>_xlfn.XLOOKUP(CustomerCombined[[#This Row],[ID]], Table2[ID],Table2[Complaint], "Not Found", 0 )</f>
        <v>0</v>
      </c>
      <c r="X2172" s="8">
        <f>_xlfn.XLOOKUP(CustomerCombined[[#This Row],[ID]], Table2[ID],Table2[Pilot], "Not Found", 0 )</f>
        <v>0</v>
      </c>
      <c r="Y2172" s="8">
        <f>_xlfn.XLOOKUP(CustomerCombined[[#This Row],[ID]], Table2[ID],Table2[MC1], "Not Found", 0 )</f>
        <v>0</v>
      </c>
      <c r="Z2172" s="8">
        <f>_xlfn.XLOOKUP(CustomerCombined[[#This Row],[ID]], Table2[ID],Table2[MC2], "Not Found", 0 )</f>
        <v>0</v>
      </c>
      <c r="AA2172" s="8">
        <f>_xlfn.XLOOKUP(CustomerCombined[[#This Row],[ID]], Table2[ID],Table2[MC3], "Not Found", 0 )</f>
        <v>0</v>
      </c>
      <c r="AB2172" s="8">
        <f>_xlfn.XLOOKUP(CustomerCombined[[#This Row],[ID]], Table2[ID],Table2[MC4], "Not Found", 0 )</f>
        <v>0</v>
      </c>
      <c r="AC2172" s="8">
        <f>_xlfn.XLOOKUP(CustomerCombined[[#This Row],[ID]], Table2[ID],Table2[MC5], "Not Found", 0 )</f>
        <v>0</v>
      </c>
    </row>
    <row r="2173" spans="1:29" x14ac:dyDescent="0.3">
      <c r="A2173" s="6">
        <v>1640</v>
      </c>
      <c r="B2173" s="6">
        <v>173059</v>
      </c>
      <c r="C2173" s="6">
        <v>0</v>
      </c>
      <c r="D2173" s="6">
        <v>1</v>
      </c>
      <c r="E2173" s="6">
        <v>73</v>
      </c>
      <c r="F2173" s="5" t="s">
        <v>8</v>
      </c>
      <c r="G2173" s="5" t="s">
        <v>13</v>
      </c>
      <c r="H2173" s="3">
        <v>43953</v>
      </c>
      <c r="I2173" s="5" t="s">
        <v>438</v>
      </c>
      <c r="J2173" s="5">
        <f>_xlfn.XLOOKUP(CustomerCombined[[#This Row],[ID]], Table4[ID], Table4[Recency], "Not Found", 0)</f>
        <v>36</v>
      </c>
      <c r="K2173" s="5">
        <f>_xlfn.XLOOKUP(CustomerCombined[[#This Row],[ID]], Table4[ID], Table4[Teas], "Not Found", 0)</f>
        <v>971</v>
      </c>
      <c r="L2173" s="5">
        <f>_xlfn.XLOOKUP(CustomerCombined[[#This Row],[ID]], Table4[ID], Table4[Fruits], "Not Found", 0)</f>
        <v>265</v>
      </c>
      <c r="M2173" s="5">
        <f>_xlfn.XLOOKUP(CustomerCombined[[#This Row],[ID]], Table4[ID], Table4[Meats], "Not Found", 0)</f>
        <v>995</v>
      </c>
      <c r="N2173" s="5">
        <f>_xlfn.XLOOKUP(CustomerCombined[[#This Row],[ID]], Table4[ID], Table4[Seafood], "Not Found", 0)</f>
        <v>0</v>
      </c>
      <c r="O2173" s="5">
        <f>_xlfn.XLOOKUP(CustomerCombined[[#This Row],[ID]], Table4[ID], Table4[Sweets], "Not Found", 0)</f>
        <v>194</v>
      </c>
      <c r="P2173" s="5">
        <f>_xlfn.XLOOKUP(CustomerCombined[[#This Row],[ID]], Table4[ID], Table4[Premium], "Not Found", 0)</f>
        <v>168</v>
      </c>
      <c r="Q2173" s="5">
        <f>_xlfn.XLOOKUP(CustomerCombined[[#This Row],[ID]], Table4[ID], Table4[Regular], "Not Found", 0)</f>
        <v>2257</v>
      </c>
      <c r="R2173" s="5">
        <f>_xlfn.XLOOKUP(CustomerCombined[[#This Row],[ID]], Table4[ID], Table4[Deals], "Not Found", 0)</f>
        <v>1</v>
      </c>
      <c r="S2173" s="5">
        <f>_xlfn.XLOOKUP(CustomerCombined[[#This Row],[ID]], Table4[ID], Table4[Website], "Not Found", 0)</f>
        <v>9</v>
      </c>
      <c r="T2173" s="5">
        <f>_xlfn.XLOOKUP(CustomerCombined[[#This Row],[ID]], Table4[ID], Table4[Catalog], "Not Found", 0)</f>
        <v>3</v>
      </c>
      <c r="U2173" s="5">
        <f>_xlfn.XLOOKUP(CustomerCombined[[#This Row],[ID]], Table4[ID], Table4[Store], "Not Found", 0)</f>
        <v>13</v>
      </c>
      <c r="V2173" s="5">
        <f>_xlfn.XLOOKUP(CustomerCombined[[#This Row],[ID]], Table4[ID], Table4[Visits], "Not Found", 0)</f>
        <v>4</v>
      </c>
      <c r="W2173" s="8">
        <f>_xlfn.XLOOKUP(CustomerCombined[[#This Row],[ID]], Table2[ID],Table2[Complaint], "Not Found", 0 )</f>
        <v>0</v>
      </c>
      <c r="X2173" s="8">
        <f>_xlfn.XLOOKUP(CustomerCombined[[#This Row],[ID]], Table2[ID],Table2[Pilot], "Not Found", 0 )</f>
        <v>0</v>
      </c>
      <c r="Y2173" s="8">
        <f>_xlfn.XLOOKUP(CustomerCombined[[#This Row],[ID]], Table2[ID],Table2[MC1], "Not Found", 0 )</f>
        <v>0</v>
      </c>
      <c r="Z2173" s="8">
        <f>_xlfn.XLOOKUP(CustomerCombined[[#This Row],[ID]], Table2[ID],Table2[MC2], "Not Found", 0 )</f>
        <v>0</v>
      </c>
      <c r="AA2173" s="8">
        <f>_xlfn.XLOOKUP(CustomerCombined[[#This Row],[ID]], Table2[ID],Table2[MC3], "Not Found", 0 )</f>
        <v>0</v>
      </c>
      <c r="AB2173" s="8">
        <f>_xlfn.XLOOKUP(CustomerCombined[[#This Row],[ID]], Table2[ID],Table2[MC4], "Not Found", 0 )</f>
        <v>0</v>
      </c>
      <c r="AC2173" s="8">
        <f>_xlfn.XLOOKUP(CustomerCombined[[#This Row],[ID]], Table2[ID],Table2[MC5], "Not Found", 0 )</f>
        <v>0</v>
      </c>
    </row>
    <row r="2174" spans="1:29" x14ac:dyDescent="0.3">
      <c r="A2174" s="6">
        <v>2606</v>
      </c>
      <c r="B2174" s="6">
        <v>173059</v>
      </c>
      <c r="C2174" s="6">
        <v>0</v>
      </c>
      <c r="D2174" s="6">
        <v>1</v>
      </c>
      <c r="E2174" s="6">
        <v>73</v>
      </c>
      <c r="F2174" s="5" t="s">
        <v>8</v>
      </c>
      <c r="G2174" s="5" t="s">
        <v>13</v>
      </c>
      <c r="H2174" s="3">
        <v>43953</v>
      </c>
      <c r="I2174" s="5" t="s">
        <v>438</v>
      </c>
      <c r="J2174" s="5">
        <f>_xlfn.XLOOKUP(CustomerCombined[[#This Row],[ID]], Table4[ID], Table4[Recency], "Not Found", 0)</f>
        <v>36</v>
      </c>
      <c r="K2174" s="5">
        <f>_xlfn.XLOOKUP(CustomerCombined[[#This Row],[ID]], Table4[ID], Table4[Teas], "Not Found", 0)</f>
        <v>971</v>
      </c>
      <c r="L2174" s="5">
        <f>_xlfn.XLOOKUP(CustomerCombined[[#This Row],[ID]], Table4[ID], Table4[Fruits], "Not Found", 0)</f>
        <v>265</v>
      </c>
      <c r="M2174" s="5">
        <f>_xlfn.XLOOKUP(CustomerCombined[[#This Row],[ID]], Table4[ID], Table4[Meats], "Not Found", 0)</f>
        <v>995</v>
      </c>
      <c r="N2174" s="5">
        <f>_xlfn.XLOOKUP(CustomerCombined[[#This Row],[ID]], Table4[ID], Table4[Seafood], "Not Found", 0)</f>
        <v>0</v>
      </c>
      <c r="O2174" s="5">
        <f>_xlfn.XLOOKUP(CustomerCombined[[#This Row],[ID]], Table4[ID], Table4[Sweets], "Not Found", 0)</f>
        <v>194</v>
      </c>
      <c r="P2174" s="5">
        <f>_xlfn.XLOOKUP(CustomerCombined[[#This Row],[ID]], Table4[ID], Table4[Premium], "Not Found", 0)</f>
        <v>168</v>
      </c>
      <c r="Q2174" s="5">
        <f>_xlfn.XLOOKUP(CustomerCombined[[#This Row],[ID]], Table4[ID], Table4[Regular], "Not Found", 0)</f>
        <v>2257</v>
      </c>
      <c r="R2174" s="5">
        <f>_xlfn.XLOOKUP(CustomerCombined[[#This Row],[ID]], Table4[ID], Table4[Deals], "Not Found", 0)</f>
        <v>1</v>
      </c>
      <c r="S2174" s="5">
        <f>_xlfn.XLOOKUP(CustomerCombined[[#This Row],[ID]], Table4[ID], Table4[Website], "Not Found", 0)</f>
        <v>9</v>
      </c>
      <c r="T2174" s="5">
        <f>_xlfn.XLOOKUP(CustomerCombined[[#This Row],[ID]], Table4[ID], Table4[Catalog], "Not Found", 0)</f>
        <v>3</v>
      </c>
      <c r="U2174" s="5">
        <f>_xlfn.XLOOKUP(CustomerCombined[[#This Row],[ID]], Table4[ID], Table4[Store], "Not Found", 0)</f>
        <v>13</v>
      </c>
      <c r="V2174" s="5">
        <f>_xlfn.XLOOKUP(CustomerCombined[[#This Row],[ID]], Table4[ID], Table4[Visits], "Not Found", 0)</f>
        <v>4</v>
      </c>
      <c r="W2174" s="8">
        <f>_xlfn.XLOOKUP(CustomerCombined[[#This Row],[ID]], Table2[ID],Table2[Complaint], "Not Found", 0 )</f>
        <v>0</v>
      </c>
      <c r="X2174" s="8">
        <f>_xlfn.XLOOKUP(CustomerCombined[[#This Row],[ID]], Table2[ID],Table2[Pilot], "Not Found", 0 )</f>
        <v>0</v>
      </c>
      <c r="Y2174" s="8">
        <f>_xlfn.XLOOKUP(CustomerCombined[[#This Row],[ID]], Table2[ID],Table2[MC1], "Not Found", 0 )</f>
        <v>0</v>
      </c>
      <c r="Z2174" s="8">
        <f>_xlfn.XLOOKUP(CustomerCombined[[#This Row],[ID]], Table2[ID],Table2[MC2], "Not Found", 0 )</f>
        <v>0</v>
      </c>
      <c r="AA2174" s="8">
        <f>_xlfn.XLOOKUP(CustomerCombined[[#This Row],[ID]], Table2[ID],Table2[MC3], "Not Found", 0 )</f>
        <v>0</v>
      </c>
      <c r="AB2174" s="8">
        <f>_xlfn.XLOOKUP(CustomerCombined[[#This Row],[ID]], Table2[ID],Table2[MC4], "Not Found", 0 )</f>
        <v>0</v>
      </c>
      <c r="AC2174" s="8">
        <f>_xlfn.XLOOKUP(CustomerCombined[[#This Row],[ID]], Table2[ID],Table2[MC5], "Not Found", 0 )</f>
        <v>0</v>
      </c>
    </row>
    <row r="2175" spans="1:29" x14ac:dyDescent="0.3">
      <c r="A2175" s="6">
        <v>2718</v>
      </c>
      <c r="B2175" s="6">
        <v>170321</v>
      </c>
      <c r="C2175" s="6">
        <v>0</v>
      </c>
      <c r="D2175" s="6">
        <v>0</v>
      </c>
      <c r="E2175" s="6">
        <v>73</v>
      </c>
      <c r="F2175" s="5" t="s">
        <v>8</v>
      </c>
      <c r="G2175" s="5" t="s">
        <v>11</v>
      </c>
      <c r="H2175" s="3" t="s">
        <v>324</v>
      </c>
      <c r="I2175" s="5" t="s">
        <v>436</v>
      </c>
      <c r="J2175" s="5">
        <f>_xlfn.XLOOKUP(CustomerCombined[[#This Row],[ID]], Table4[ID], Table4[Recency], "Not Found", 0)</f>
        <v>6</v>
      </c>
      <c r="K2175" s="5">
        <f>_xlfn.XLOOKUP(CustomerCombined[[#This Row],[ID]], Table4[ID], Table4[Teas], "Not Found", 0)</f>
        <v>734</v>
      </c>
      <c r="L2175" s="5">
        <f>_xlfn.XLOOKUP(CustomerCombined[[#This Row],[ID]], Table4[ID], Table4[Fruits], "Not Found", 0)</f>
        <v>56</v>
      </c>
      <c r="M2175" s="5">
        <f>_xlfn.XLOOKUP(CustomerCombined[[#This Row],[ID]], Table4[ID], Table4[Meats], "Not Found", 0)</f>
        <v>1819</v>
      </c>
      <c r="N2175" s="5">
        <f>_xlfn.XLOOKUP(CustomerCombined[[#This Row],[ID]], Table4[ID], Table4[Seafood], "Not Found", 0)</f>
        <v>199</v>
      </c>
      <c r="O2175" s="5">
        <f>_xlfn.XLOOKUP(CustomerCombined[[#This Row],[ID]], Table4[ID], Table4[Sweets], "Not Found", 0)</f>
        <v>63</v>
      </c>
      <c r="P2175" s="5">
        <f>_xlfn.XLOOKUP(CustomerCombined[[#This Row],[ID]], Table4[ID], Table4[Premium], "Not Found", 0)</f>
        <v>463</v>
      </c>
      <c r="Q2175" s="5">
        <f>_xlfn.XLOOKUP(CustomerCombined[[#This Row],[ID]], Table4[ID], Table4[Regular], "Not Found", 0)</f>
        <v>2408</v>
      </c>
      <c r="R2175" s="5">
        <f>_xlfn.XLOOKUP(CustomerCombined[[#This Row],[ID]], Table4[ID], Table4[Deals], "Not Found", 0)</f>
        <v>1</v>
      </c>
      <c r="S2175" s="5">
        <f>_xlfn.XLOOKUP(CustomerCombined[[#This Row],[ID]], Table4[ID], Table4[Website], "Not Found", 0)</f>
        <v>6</v>
      </c>
      <c r="T2175" s="5">
        <f>_xlfn.XLOOKUP(CustomerCombined[[#This Row],[ID]], Table4[ID], Table4[Catalog], "Not Found", 0)</f>
        <v>5</v>
      </c>
      <c r="U2175" s="5">
        <f>_xlfn.XLOOKUP(CustomerCombined[[#This Row],[ID]], Table4[ID], Table4[Store], "Not Found", 0)</f>
        <v>13</v>
      </c>
      <c r="V2175" s="5">
        <f>_xlfn.XLOOKUP(CustomerCombined[[#This Row],[ID]], Table4[ID], Table4[Visits], "Not Found", 0)</f>
        <v>4</v>
      </c>
      <c r="W2175" s="8">
        <f>_xlfn.XLOOKUP(CustomerCombined[[#This Row],[ID]], Table2[ID],Table2[Complaint], "Not Found", 0 )</f>
        <v>0</v>
      </c>
      <c r="X2175" s="8">
        <f>_xlfn.XLOOKUP(CustomerCombined[[#This Row],[ID]], Table2[ID],Table2[Pilot], "Not Found", 0 )</f>
        <v>1</v>
      </c>
      <c r="Y2175" s="8">
        <f>_xlfn.XLOOKUP(CustomerCombined[[#This Row],[ID]], Table2[ID],Table2[MC1], "Not Found", 0 )</f>
        <v>0</v>
      </c>
      <c r="Z2175" s="8">
        <f>_xlfn.XLOOKUP(CustomerCombined[[#This Row],[ID]], Table2[ID],Table2[MC2], "Not Found", 0 )</f>
        <v>0</v>
      </c>
      <c r="AA2175" s="8">
        <f>_xlfn.XLOOKUP(CustomerCombined[[#This Row],[ID]], Table2[ID],Table2[MC3], "Not Found", 0 )</f>
        <v>0</v>
      </c>
      <c r="AB2175" s="8">
        <f>_xlfn.XLOOKUP(CustomerCombined[[#This Row],[ID]], Table2[ID],Table2[MC4], "Not Found", 0 )</f>
        <v>0</v>
      </c>
      <c r="AC2175" s="8">
        <f>_xlfn.XLOOKUP(CustomerCombined[[#This Row],[ID]], Table2[ID],Table2[MC5], "Not Found", 0 )</f>
        <v>0</v>
      </c>
    </row>
    <row r="2176" spans="1:29" x14ac:dyDescent="0.3">
      <c r="A2176" s="6">
        <v>3005</v>
      </c>
      <c r="B2176" s="6">
        <v>168117</v>
      </c>
      <c r="C2176" s="6">
        <v>0</v>
      </c>
      <c r="D2176" s="6">
        <v>1</v>
      </c>
      <c r="E2176" s="6">
        <v>73</v>
      </c>
      <c r="F2176" s="5" t="s">
        <v>9</v>
      </c>
      <c r="G2176" s="5" t="s">
        <v>13</v>
      </c>
      <c r="H2176" s="3" t="s">
        <v>297</v>
      </c>
      <c r="I2176" s="5" t="s">
        <v>434</v>
      </c>
      <c r="J2176" s="5">
        <f>_xlfn.XLOOKUP(CustomerCombined[[#This Row],[ID]], Table4[ID], Table4[Recency], "Not Found", 0)</f>
        <v>80</v>
      </c>
      <c r="K2176" s="5">
        <f>_xlfn.XLOOKUP(CustomerCombined[[#This Row],[ID]], Table4[ID], Table4[Teas], "Not Found", 0)</f>
        <v>1525</v>
      </c>
      <c r="L2176" s="5">
        <f>_xlfn.XLOOKUP(CustomerCombined[[#This Row],[ID]], Table4[ID], Table4[Fruits], "Not Found", 0)</f>
        <v>109</v>
      </c>
      <c r="M2176" s="5">
        <f>_xlfn.XLOOKUP(CustomerCombined[[#This Row],[ID]], Table4[ID], Table4[Meats], "Not Found", 0)</f>
        <v>531</v>
      </c>
      <c r="N2176" s="5">
        <f>_xlfn.XLOOKUP(CustomerCombined[[#This Row],[ID]], Table4[ID], Table4[Seafood], "Not Found", 0)</f>
        <v>0</v>
      </c>
      <c r="O2176" s="5">
        <f>_xlfn.XLOOKUP(CustomerCombined[[#This Row],[ID]], Table4[ID], Table4[Sweets], "Not Found", 0)</f>
        <v>42</v>
      </c>
      <c r="P2176" s="5">
        <f>_xlfn.XLOOKUP(CustomerCombined[[#This Row],[ID]], Table4[ID], Table4[Premium], "Not Found", 0)</f>
        <v>89</v>
      </c>
      <c r="Q2176" s="5">
        <f>_xlfn.XLOOKUP(CustomerCombined[[#This Row],[ID]], Table4[ID], Table4[Regular], "Not Found", 0)</f>
        <v>2118</v>
      </c>
      <c r="R2176" s="5">
        <f>_xlfn.XLOOKUP(CustomerCombined[[#This Row],[ID]], Table4[ID], Table4[Deals], "Not Found", 0)</f>
        <v>2</v>
      </c>
      <c r="S2176" s="5">
        <f>_xlfn.XLOOKUP(CustomerCombined[[#This Row],[ID]], Table4[ID], Table4[Website], "Not Found", 0)</f>
        <v>11</v>
      </c>
      <c r="T2176" s="5">
        <f>_xlfn.XLOOKUP(CustomerCombined[[#This Row],[ID]], Table4[ID], Table4[Catalog], "Not Found", 0)</f>
        <v>8</v>
      </c>
      <c r="U2176" s="5">
        <f>_xlfn.XLOOKUP(CustomerCombined[[#This Row],[ID]], Table4[ID], Table4[Store], "Not Found", 0)</f>
        <v>4</v>
      </c>
      <c r="V2176" s="5">
        <f>_xlfn.XLOOKUP(CustomerCombined[[#This Row],[ID]], Table4[ID], Table4[Visits], "Not Found", 0)</f>
        <v>6</v>
      </c>
      <c r="W2176" s="8">
        <f>_xlfn.XLOOKUP(CustomerCombined[[#This Row],[ID]], Table2[ID],Table2[Complaint], "Not Found", 0 )</f>
        <v>0</v>
      </c>
      <c r="X2176" s="8">
        <f>_xlfn.XLOOKUP(CustomerCombined[[#This Row],[ID]], Table2[ID],Table2[Pilot], "Not Found", 0 )</f>
        <v>1</v>
      </c>
      <c r="Y2176" s="8">
        <f>_xlfn.XLOOKUP(CustomerCombined[[#This Row],[ID]], Table2[ID],Table2[MC1], "Not Found", 0 )</f>
        <v>0</v>
      </c>
      <c r="Z2176" s="8">
        <f>_xlfn.XLOOKUP(CustomerCombined[[#This Row],[ID]], Table2[ID],Table2[MC2], "Not Found", 0 )</f>
        <v>0</v>
      </c>
      <c r="AA2176" s="8">
        <f>_xlfn.XLOOKUP(CustomerCombined[[#This Row],[ID]], Table2[ID],Table2[MC3], "Not Found", 0 )</f>
        <v>1</v>
      </c>
      <c r="AB2176" s="8">
        <f>_xlfn.XLOOKUP(CustomerCombined[[#This Row],[ID]], Table2[ID],Table2[MC4], "Not Found", 0 )</f>
        <v>0</v>
      </c>
      <c r="AC2176" s="8">
        <f>_xlfn.XLOOKUP(CustomerCombined[[#This Row],[ID]], Table2[ID],Table2[MC5], "Not Found", 0 )</f>
        <v>0</v>
      </c>
    </row>
    <row r="2177" spans="1:29" x14ac:dyDescent="0.3">
      <c r="A2177" s="6">
        <v>2906</v>
      </c>
      <c r="B2177" s="6">
        <v>167472</v>
      </c>
      <c r="C2177" s="6">
        <v>0</v>
      </c>
      <c r="D2177" s="6">
        <v>1</v>
      </c>
      <c r="E2177" s="6">
        <v>73</v>
      </c>
      <c r="F2177" s="5" t="s">
        <v>6</v>
      </c>
      <c r="G2177" s="5" t="s">
        <v>13</v>
      </c>
      <c r="H2177" s="3">
        <v>43924</v>
      </c>
      <c r="I2177" s="5" t="s">
        <v>438</v>
      </c>
      <c r="J2177" s="5">
        <f>_xlfn.XLOOKUP(CustomerCombined[[#This Row],[ID]], Table4[ID], Table4[Recency], "Not Found", 0)</f>
        <v>93</v>
      </c>
      <c r="K2177" s="5">
        <f>_xlfn.XLOOKUP(CustomerCombined[[#This Row],[ID]], Table4[ID], Table4[Teas], "Not Found", 0)</f>
        <v>402</v>
      </c>
      <c r="L2177" s="5">
        <f>_xlfn.XLOOKUP(CustomerCombined[[#This Row],[ID]], Table4[ID], Table4[Fruits], "Not Found", 0)</f>
        <v>77</v>
      </c>
      <c r="M2177" s="5">
        <f>_xlfn.XLOOKUP(CustomerCombined[[#This Row],[ID]], Table4[ID], Table4[Meats], "Not Found", 0)</f>
        <v>315</v>
      </c>
      <c r="N2177" s="5">
        <f>_xlfn.XLOOKUP(CustomerCombined[[#This Row],[ID]], Table4[ID], Table4[Seafood], "Not Found", 0)</f>
        <v>20</v>
      </c>
      <c r="O2177" s="5">
        <f>_xlfn.XLOOKUP(CustomerCombined[[#This Row],[ID]], Table4[ID], Table4[Sweets], "Not Found", 0)</f>
        <v>42</v>
      </c>
      <c r="P2177" s="5">
        <f>_xlfn.XLOOKUP(CustomerCombined[[#This Row],[ID]], Table4[ID], Table4[Premium], "Not Found", 0)</f>
        <v>171</v>
      </c>
      <c r="Q2177" s="5">
        <f>_xlfn.XLOOKUP(CustomerCombined[[#This Row],[ID]], Table4[ID], Table4[Regular], "Not Found", 0)</f>
        <v>685</v>
      </c>
      <c r="R2177" s="5">
        <f>_xlfn.XLOOKUP(CustomerCombined[[#This Row],[ID]], Table4[ID], Table4[Deals], "Not Found", 0)</f>
        <v>2</v>
      </c>
      <c r="S2177" s="5">
        <f>_xlfn.XLOOKUP(CustomerCombined[[#This Row],[ID]], Table4[ID], Table4[Website], "Not Found", 0)</f>
        <v>4</v>
      </c>
      <c r="T2177" s="5">
        <f>_xlfn.XLOOKUP(CustomerCombined[[#This Row],[ID]], Table4[ID], Table4[Catalog], "Not Found", 0)</f>
        <v>2</v>
      </c>
      <c r="U2177" s="5">
        <f>_xlfn.XLOOKUP(CustomerCombined[[#This Row],[ID]], Table4[ID], Table4[Store], "Not Found", 0)</f>
        <v>7</v>
      </c>
      <c r="V2177" s="5">
        <f>_xlfn.XLOOKUP(CustomerCombined[[#This Row],[ID]], Table4[ID], Table4[Visits], "Not Found", 0)</f>
        <v>3</v>
      </c>
      <c r="W2177" s="8">
        <f>_xlfn.XLOOKUP(CustomerCombined[[#This Row],[ID]], Table2[ID],Table2[Complaint], "Not Found", 0 )</f>
        <v>0</v>
      </c>
      <c r="X2177" s="8">
        <f>_xlfn.XLOOKUP(CustomerCombined[[#This Row],[ID]], Table2[ID],Table2[Pilot], "Not Found", 0 )</f>
        <v>0</v>
      </c>
      <c r="Y2177" s="8">
        <f>_xlfn.XLOOKUP(CustomerCombined[[#This Row],[ID]], Table2[ID],Table2[MC1], "Not Found", 0 )</f>
        <v>0</v>
      </c>
      <c r="Z2177" s="8">
        <f>_xlfn.XLOOKUP(CustomerCombined[[#This Row],[ID]], Table2[ID],Table2[MC2], "Not Found", 0 )</f>
        <v>0</v>
      </c>
      <c r="AA2177" s="8">
        <f>_xlfn.XLOOKUP(CustomerCombined[[#This Row],[ID]], Table2[ID],Table2[MC3], "Not Found", 0 )</f>
        <v>0</v>
      </c>
      <c r="AB2177" s="8">
        <f>_xlfn.XLOOKUP(CustomerCombined[[#This Row],[ID]], Table2[ID],Table2[MC4], "Not Found", 0 )</f>
        <v>0</v>
      </c>
      <c r="AC2177" s="8">
        <f>_xlfn.XLOOKUP(CustomerCombined[[#This Row],[ID]], Table2[ID],Table2[MC5], "Not Found", 0 )</f>
        <v>0</v>
      </c>
    </row>
    <row r="2178" spans="1:29" x14ac:dyDescent="0.3">
      <c r="A2178" s="6">
        <v>2224</v>
      </c>
      <c r="B2178" s="6">
        <v>166000</v>
      </c>
      <c r="C2178" s="6">
        <v>0</v>
      </c>
      <c r="D2178" s="6">
        <v>0</v>
      </c>
      <c r="E2178" s="6">
        <v>73</v>
      </c>
      <c r="F2178" s="5" t="s">
        <v>8</v>
      </c>
      <c r="G2178" s="5" t="s">
        <v>12</v>
      </c>
      <c r="H2178" s="3" t="s">
        <v>62</v>
      </c>
      <c r="I2178" s="5" t="s">
        <v>439</v>
      </c>
      <c r="J2178" s="5">
        <f>_xlfn.XLOOKUP(CustomerCombined[[#This Row],[ID]], Table4[ID], Table4[Recency], "Not Found", 0)</f>
        <v>36</v>
      </c>
      <c r="K2178" s="5">
        <f>_xlfn.XLOOKUP(CustomerCombined[[#This Row],[ID]], Table4[ID], Table4[Teas], "Not Found", 0)</f>
        <v>614</v>
      </c>
      <c r="L2178" s="5">
        <f>_xlfn.XLOOKUP(CustomerCombined[[#This Row],[ID]], Table4[ID], Table4[Fruits], "Not Found", 0)</f>
        <v>128</v>
      </c>
      <c r="M2178" s="5">
        <f>_xlfn.XLOOKUP(CustomerCombined[[#This Row],[ID]], Table4[ID], Table4[Meats], "Not Found", 0)</f>
        <v>679</v>
      </c>
      <c r="N2178" s="5">
        <f>_xlfn.XLOOKUP(CustomerCombined[[#This Row],[ID]], Table4[ID], Table4[Seafood], "Not Found", 0)</f>
        <v>254</v>
      </c>
      <c r="O2178" s="5">
        <f>_xlfn.XLOOKUP(CustomerCombined[[#This Row],[ID]], Table4[ID], Table4[Sweets], "Not Found", 0)</f>
        <v>0</v>
      </c>
      <c r="P2178" s="5">
        <f>_xlfn.XLOOKUP(CustomerCombined[[#This Row],[ID]], Table4[ID], Table4[Premium], "Not Found", 0)</f>
        <v>113</v>
      </c>
      <c r="Q2178" s="5">
        <f>_xlfn.XLOOKUP(CustomerCombined[[#This Row],[ID]], Table4[ID], Table4[Regular], "Not Found", 0)</f>
        <v>1562</v>
      </c>
      <c r="R2178" s="5">
        <f>_xlfn.XLOOKUP(CustomerCombined[[#This Row],[ID]], Table4[ID], Table4[Deals], "Not Found", 0)</f>
        <v>1</v>
      </c>
      <c r="S2178" s="5">
        <f>_xlfn.XLOOKUP(CustomerCombined[[#This Row],[ID]], Table4[ID], Table4[Website], "Not Found", 0)</f>
        <v>1</v>
      </c>
      <c r="T2178" s="5">
        <f>_xlfn.XLOOKUP(CustomerCombined[[#This Row],[ID]], Table4[ID], Table4[Catalog], "Not Found", 0)</f>
        <v>3</v>
      </c>
      <c r="U2178" s="5">
        <f>_xlfn.XLOOKUP(CustomerCombined[[#This Row],[ID]], Table4[ID], Table4[Store], "Not Found", 0)</f>
        <v>5</v>
      </c>
      <c r="V2178" s="5">
        <f>_xlfn.XLOOKUP(CustomerCombined[[#This Row],[ID]], Table4[ID], Table4[Visits], "Not Found", 0)</f>
        <v>1</v>
      </c>
      <c r="W2178" s="8">
        <f>_xlfn.XLOOKUP(CustomerCombined[[#This Row],[ID]], Table2[ID],Table2[Complaint], "Not Found", 0 )</f>
        <v>0</v>
      </c>
      <c r="X2178" s="8">
        <f>_xlfn.XLOOKUP(CustomerCombined[[#This Row],[ID]], Table2[ID],Table2[Pilot], "Not Found", 0 )</f>
        <v>0</v>
      </c>
      <c r="Y2178" s="8">
        <f>_xlfn.XLOOKUP(CustomerCombined[[#This Row],[ID]], Table2[ID],Table2[MC1], "Not Found", 0 )</f>
        <v>0</v>
      </c>
      <c r="Z2178" s="8">
        <f>_xlfn.XLOOKUP(CustomerCombined[[#This Row],[ID]], Table2[ID],Table2[MC2], "Not Found", 0 )</f>
        <v>0</v>
      </c>
      <c r="AA2178" s="8">
        <f>_xlfn.XLOOKUP(CustomerCombined[[#This Row],[ID]], Table2[ID],Table2[MC3], "Not Found", 0 )</f>
        <v>0</v>
      </c>
      <c r="AB2178" s="8">
        <f>_xlfn.XLOOKUP(CustomerCombined[[#This Row],[ID]], Table2[ID],Table2[MC4], "Not Found", 0 )</f>
        <v>0</v>
      </c>
      <c r="AC2178" s="8">
        <f>_xlfn.XLOOKUP(CustomerCombined[[#This Row],[ID]], Table2[ID],Table2[MC5], "Not Found", 0 )</f>
        <v>0</v>
      </c>
    </row>
    <row r="2179" spans="1:29" x14ac:dyDescent="0.3">
      <c r="A2179" s="6">
        <v>2721</v>
      </c>
      <c r="B2179" s="6">
        <v>128389</v>
      </c>
      <c r="C2179" s="6">
        <v>0</v>
      </c>
      <c r="D2179" s="6">
        <v>0</v>
      </c>
      <c r="E2179" s="6">
        <v>73</v>
      </c>
      <c r="F2179" s="5" t="s">
        <v>8</v>
      </c>
      <c r="G2179" s="5" t="s">
        <v>10</v>
      </c>
      <c r="H2179" s="3" t="s">
        <v>356</v>
      </c>
      <c r="I2179" s="5" t="s">
        <v>435</v>
      </c>
      <c r="J2179" s="5">
        <f>_xlfn.XLOOKUP(CustomerCombined[[#This Row],[ID]], Table4[ID], Table4[Recency], "Not Found", 0)</f>
        <v>49</v>
      </c>
      <c r="K2179" s="5">
        <f>_xlfn.XLOOKUP(CustomerCombined[[#This Row],[ID]], Table4[ID], Table4[Teas], "Not Found", 0)</f>
        <v>5</v>
      </c>
      <c r="L2179" s="5">
        <f>_xlfn.XLOOKUP(CustomerCombined[[#This Row],[ID]], Table4[ID], Table4[Fruits], "Not Found", 0)</f>
        <v>23</v>
      </c>
      <c r="M2179" s="5">
        <f>_xlfn.XLOOKUP(CustomerCombined[[#This Row],[ID]], Table4[ID], Table4[Meats], "Not Found", 0)</f>
        <v>14</v>
      </c>
      <c r="N2179" s="5">
        <f>_xlfn.XLOOKUP(CustomerCombined[[#This Row],[ID]], Table4[ID], Table4[Seafood], "Not Found", 0)</f>
        <v>32</v>
      </c>
      <c r="O2179" s="5">
        <f>_xlfn.XLOOKUP(CustomerCombined[[#This Row],[ID]], Table4[ID], Table4[Sweets], "Not Found", 0)</f>
        <v>18</v>
      </c>
      <c r="P2179" s="5">
        <f>_xlfn.XLOOKUP(CustomerCombined[[#This Row],[ID]], Table4[ID], Table4[Premium], "Not Found", 0)</f>
        <v>36</v>
      </c>
      <c r="Q2179" s="5">
        <f>_xlfn.XLOOKUP(CustomerCombined[[#This Row],[ID]], Table4[ID], Table4[Regular], "Not Found", 0)</f>
        <v>54</v>
      </c>
      <c r="R2179" s="5">
        <f>_xlfn.XLOOKUP(CustomerCombined[[#This Row],[ID]], Table4[ID], Table4[Deals], "Not Found", 0)</f>
        <v>1</v>
      </c>
      <c r="S2179" s="5">
        <f>_xlfn.XLOOKUP(CustomerCombined[[#This Row],[ID]], Table4[ID], Table4[Website], "Not Found", 0)</f>
        <v>1</v>
      </c>
      <c r="T2179" s="5">
        <f>_xlfn.XLOOKUP(CustomerCombined[[#This Row],[ID]], Table4[ID], Table4[Catalog], "Not Found", 0)</f>
        <v>0</v>
      </c>
      <c r="U2179" s="5">
        <f>_xlfn.XLOOKUP(CustomerCombined[[#This Row],[ID]], Table4[ID], Table4[Store], "Not Found", 0)</f>
        <v>2</v>
      </c>
      <c r="V2179" s="5">
        <f>_xlfn.XLOOKUP(CustomerCombined[[#This Row],[ID]], Table4[ID], Table4[Visits], "Not Found", 0)</f>
        <v>7</v>
      </c>
      <c r="W2179" s="8">
        <f>_xlfn.XLOOKUP(CustomerCombined[[#This Row],[ID]], Table2[ID],Table2[Complaint], "Not Found", 0 )</f>
        <v>0</v>
      </c>
      <c r="X2179" s="8">
        <f>_xlfn.XLOOKUP(CustomerCombined[[#This Row],[ID]], Table2[ID],Table2[Pilot], "Not Found", 0 )</f>
        <v>0</v>
      </c>
      <c r="Y2179" s="8">
        <f>_xlfn.XLOOKUP(CustomerCombined[[#This Row],[ID]], Table2[ID],Table2[MC1], "Not Found", 0 )</f>
        <v>0</v>
      </c>
      <c r="Z2179" s="8">
        <f>_xlfn.XLOOKUP(CustomerCombined[[#This Row],[ID]], Table2[ID],Table2[MC2], "Not Found", 0 )</f>
        <v>0</v>
      </c>
      <c r="AA2179" s="8">
        <f>_xlfn.XLOOKUP(CustomerCombined[[#This Row],[ID]], Table2[ID],Table2[MC3], "Not Found", 0 )</f>
        <v>0</v>
      </c>
      <c r="AB2179" s="8">
        <f>_xlfn.XLOOKUP(CustomerCombined[[#This Row],[ID]], Table2[ID],Table2[MC4], "Not Found", 0 )</f>
        <v>0</v>
      </c>
      <c r="AC2179" s="8">
        <f>_xlfn.XLOOKUP(CustomerCombined[[#This Row],[ID]], Table2[ID],Table2[MC5], "Not Found", 0 )</f>
        <v>0</v>
      </c>
    </row>
    <row r="2180" spans="1:29" x14ac:dyDescent="0.3">
      <c r="A2180" s="6">
        <v>3160</v>
      </c>
      <c r="B2180" s="6">
        <v>127469</v>
      </c>
      <c r="C2180" s="6">
        <v>0</v>
      </c>
      <c r="D2180" s="6">
        <v>0</v>
      </c>
      <c r="E2180" s="6">
        <v>73</v>
      </c>
      <c r="F2180" s="5" t="s">
        <v>6</v>
      </c>
      <c r="G2180" s="5" t="s">
        <v>11</v>
      </c>
      <c r="H2180" s="3">
        <v>43647</v>
      </c>
      <c r="I2180" s="5" t="s">
        <v>439</v>
      </c>
      <c r="J2180" s="5">
        <f>_xlfn.XLOOKUP(CustomerCombined[[#This Row],[ID]], Table4[ID], Table4[Recency], "Not Found", 0)</f>
        <v>2</v>
      </c>
      <c r="K2180" s="5">
        <f>_xlfn.XLOOKUP(CustomerCombined[[#This Row],[ID]], Table4[ID], Table4[Teas], "Not Found", 0)</f>
        <v>42</v>
      </c>
      <c r="L2180" s="5">
        <f>_xlfn.XLOOKUP(CustomerCombined[[#This Row],[ID]], Table4[ID], Table4[Fruits], "Not Found", 0)</f>
        <v>5</v>
      </c>
      <c r="M2180" s="5">
        <f>_xlfn.XLOOKUP(CustomerCombined[[#This Row],[ID]], Table4[ID], Table4[Meats], "Not Found", 0)</f>
        <v>9</v>
      </c>
      <c r="N2180" s="5">
        <f>_xlfn.XLOOKUP(CustomerCombined[[#This Row],[ID]], Table4[ID], Table4[Seafood], "Not Found", 0)</f>
        <v>14</v>
      </c>
      <c r="O2180" s="5">
        <f>_xlfn.XLOOKUP(CustomerCombined[[#This Row],[ID]], Table4[ID], Table4[Sweets], "Not Found", 0)</f>
        <v>9</v>
      </c>
      <c r="P2180" s="5">
        <f>_xlfn.XLOOKUP(CustomerCombined[[#This Row],[ID]], Table4[ID], Table4[Premium], "Not Found", 0)</f>
        <v>0</v>
      </c>
      <c r="Q2180" s="5">
        <f>_xlfn.XLOOKUP(CustomerCombined[[#This Row],[ID]], Table4[ID], Table4[Regular], "Not Found", 0)</f>
        <v>79</v>
      </c>
      <c r="R2180" s="5">
        <f>_xlfn.XLOOKUP(CustomerCombined[[#This Row],[ID]], Table4[ID], Table4[Deals], "Not Found", 0)</f>
        <v>1</v>
      </c>
      <c r="S2180" s="5">
        <f>_xlfn.XLOOKUP(CustomerCombined[[#This Row],[ID]], Table4[ID], Table4[Website], "Not Found", 0)</f>
        <v>0</v>
      </c>
      <c r="T2180" s="5">
        <f>_xlfn.XLOOKUP(CustomerCombined[[#This Row],[ID]], Table4[ID], Table4[Catalog], "Not Found", 0)</f>
        <v>0</v>
      </c>
      <c r="U2180" s="5">
        <f>_xlfn.XLOOKUP(CustomerCombined[[#This Row],[ID]], Table4[ID], Table4[Store], "Not Found", 0)</f>
        <v>3</v>
      </c>
      <c r="V2180" s="5">
        <f>_xlfn.XLOOKUP(CustomerCombined[[#This Row],[ID]], Table4[ID], Table4[Visits], "Not Found", 0)</f>
        <v>6</v>
      </c>
      <c r="W2180" s="8">
        <f>_xlfn.XLOOKUP(CustomerCombined[[#This Row],[ID]], Table2[ID],Table2[Complaint], "Not Found", 0 )</f>
        <v>0</v>
      </c>
      <c r="X2180" s="8">
        <f>_xlfn.XLOOKUP(CustomerCombined[[#This Row],[ID]], Table2[ID],Table2[Pilot], "Not Found", 0 )</f>
        <v>0</v>
      </c>
      <c r="Y2180" s="8">
        <f>_xlfn.XLOOKUP(CustomerCombined[[#This Row],[ID]], Table2[ID],Table2[MC1], "Not Found", 0 )</f>
        <v>0</v>
      </c>
      <c r="Z2180" s="8">
        <f>_xlfn.XLOOKUP(CustomerCombined[[#This Row],[ID]], Table2[ID],Table2[MC2], "Not Found", 0 )</f>
        <v>0</v>
      </c>
      <c r="AA2180" s="8">
        <f>_xlfn.XLOOKUP(CustomerCombined[[#This Row],[ID]], Table2[ID],Table2[MC3], "Not Found", 0 )</f>
        <v>0</v>
      </c>
      <c r="AB2180" s="8">
        <f>_xlfn.XLOOKUP(CustomerCombined[[#This Row],[ID]], Table2[ID],Table2[MC4], "Not Found", 0 )</f>
        <v>0</v>
      </c>
      <c r="AC2180" s="8">
        <f>_xlfn.XLOOKUP(CustomerCombined[[#This Row],[ID]], Table2[ID],Table2[MC5], "Not Found", 0 )</f>
        <v>0</v>
      </c>
    </row>
    <row r="2181" spans="1:29" x14ac:dyDescent="0.3">
      <c r="A2181" s="6">
        <v>2629</v>
      </c>
      <c r="B2181" s="6">
        <v>125358</v>
      </c>
      <c r="C2181" s="6">
        <v>0</v>
      </c>
      <c r="D2181" s="6">
        <v>1</v>
      </c>
      <c r="E2181" s="6">
        <v>73</v>
      </c>
      <c r="F2181" s="5" t="s">
        <v>9</v>
      </c>
      <c r="G2181" s="5" t="s">
        <v>13</v>
      </c>
      <c r="H2181" s="3" t="s">
        <v>214</v>
      </c>
      <c r="I2181" s="5" t="s">
        <v>437</v>
      </c>
      <c r="J2181" s="5">
        <f>_xlfn.XLOOKUP(CustomerCombined[[#This Row],[ID]], Table4[ID], Table4[Recency], "Not Found", 0)</f>
        <v>57</v>
      </c>
      <c r="K2181" s="5">
        <f>_xlfn.XLOOKUP(CustomerCombined[[#This Row],[ID]], Table4[ID], Table4[Teas], "Not Found", 0)</f>
        <v>94</v>
      </c>
      <c r="L2181" s="5">
        <f>_xlfn.XLOOKUP(CustomerCombined[[#This Row],[ID]], Table4[ID], Table4[Fruits], "Not Found", 0)</f>
        <v>0</v>
      </c>
      <c r="M2181" s="5">
        <f>_xlfn.XLOOKUP(CustomerCombined[[#This Row],[ID]], Table4[ID], Table4[Meats], "Not Found", 0)</f>
        <v>25</v>
      </c>
      <c r="N2181" s="5">
        <f>_xlfn.XLOOKUP(CustomerCombined[[#This Row],[ID]], Table4[ID], Table4[Seafood], "Not Found", 0)</f>
        <v>0</v>
      </c>
      <c r="O2181" s="5">
        <f>_xlfn.XLOOKUP(CustomerCombined[[#This Row],[ID]], Table4[ID], Table4[Sweets], "Not Found", 0)</f>
        <v>0</v>
      </c>
      <c r="P2181" s="5">
        <f>_xlfn.XLOOKUP(CustomerCombined[[#This Row],[ID]], Table4[ID], Table4[Premium], "Not Found", 0)</f>
        <v>40</v>
      </c>
      <c r="Q2181" s="5">
        <f>_xlfn.XLOOKUP(CustomerCombined[[#This Row],[ID]], Table4[ID], Table4[Regular], "Not Found", 0)</f>
        <v>79</v>
      </c>
      <c r="R2181" s="5">
        <f>_xlfn.XLOOKUP(CustomerCombined[[#This Row],[ID]], Table4[ID], Table4[Deals], "Not Found", 0)</f>
        <v>2</v>
      </c>
      <c r="S2181" s="5">
        <f>_xlfn.XLOOKUP(CustomerCombined[[#This Row],[ID]], Table4[ID], Table4[Website], "Not Found", 0)</f>
        <v>1</v>
      </c>
      <c r="T2181" s="5">
        <f>_xlfn.XLOOKUP(CustomerCombined[[#This Row],[ID]], Table4[ID], Table4[Catalog], "Not Found", 0)</f>
        <v>0</v>
      </c>
      <c r="U2181" s="5">
        <f>_xlfn.XLOOKUP(CustomerCombined[[#This Row],[ID]], Table4[ID], Table4[Store], "Not Found", 0)</f>
        <v>3</v>
      </c>
      <c r="V2181" s="5">
        <f>_xlfn.XLOOKUP(CustomerCombined[[#This Row],[ID]], Table4[ID], Table4[Visits], "Not Found", 0)</f>
        <v>6</v>
      </c>
      <c r="W2181" s="8">
        <f>_xlfn.XLOOKUP(CustomerCombined[[#This Row],[ID]], Table2[ID],Table2[Complaint], "Not Found", 0 )</f>
        <v>0</v>
      </c>
      <c r="X2181" s="8">
        <f>_xlfn.XLOOKUP(CustomerCombined[[#This Row],[ID]], Table2[ID],Table2[Pilot], "Not Found", 0 )</f>
        <v>0</v>
      </c>
      <c r="Y2181" s="8">
        <f>_xlfn.XLOOKUP(CustomerCombined[[#This Row],[ID]], Table2[ID],Table2[MC1], "Not Found", 0 )</f>
        <v>0</v>
      </c>
      <c r="Z2181" s="8">
        <f>_xlfn.XLOOKUP(CustomerCombined[[#This Row],[ID]], Table2[ID],Table2[MC2], "Not Found", 0 )</f>
        <v>0</v>
      </c>
      <c r="AA2181" s="8">
        <f>_xlfn.XLOOKUP(CustomerCombined[[#This Row],[ID]], Table2[ID],Table2[MC3], "Not Found", 0 )</f>
        <v>0</v>
      </c>
      <c r="AB2181" s="8">
        <f>_xlfn.XLOOKUP(CustomerCombined[[#This Row],[ID]], Table2[ID],Table2[MC4], "Not Found", 0 )</f>
        <v>0</v>
      </c>
      <c r="AC2181" s="8">
        <f>_xlfn.XLOOKUP(CustomerCombined[[#This Row],[ID]], Table2[ID],Table2[MC5], "Not Found", 0 )</f>
        <v>0</v>
      </c>
    </row>
    <row r="2182" spans="1:29" x14ac:dyDescent="0.3">
      <c r="A2182" s="6">
        <v>1015</v>
      </c>
      <c r="B2182" s="6">
        <v>182800</v>
      </c>
      <c r="C2182" s="6">
        <v>0</v>
      </c>
      <c r="D2182" s="6">
        <v>0</v>
      </c>
      <c r="E2182" s="6">
        <v>74</v>
      </c>
      <c r="F2182" s="5" t="s">
        <v>7</v>
      </c>
      <c r="G2182" s="5" t="s">
        <v>13</v>
      </c>
      <c r="H2182" s="3">
        <v>43470</v>
      </c>
      <c r="I2182" s="5" t="s">
        <v>437</v>
      </c>
      <c r="J2182" s="5">
        <f>_xlfn.XLOOKUP(CustomerCombined[[#This Row],[ID]], Table4[ID], Table4[Recency], "Not Found", 0)</f>
        <v>23</v>
      </c>
      <c r="K2182" s="5">
        <f>_xlfn.XLOOKUP(CustomerCombined[[#This Row],[ID]], Table4[ID], Table4[Teas], "Not Found", 0)</f>
        <v>2221</v>
      </c>
      <c r="L2182" s="5">
        <f>_xlfn.XLOOKUP(CustomerCombined[[#This Row],[ID]], Table4[ID], Table4[Fruits], "Not Found", 0)</f>
        <v>49</v>
      </c>
      <c r="M2182" s="5">
        <f>_xlfn.XLOOKUP(CustomerCombined[[#This Row],[ID]], Table4[ID], Table4[Meats], "Not Found", 0)</f>
        <v>254</v>
      </c>
      <c r="N2182" s="5">
        <f>_xlfn.XLOOKUP(CustomerCombined[[#This Row],[ID]], Table4[ID], Table4[Seafood], "Not Found", 0)</f>
        <v>130</v>
      </c>
      <c r="O2182" s="5">
        <f>_xlfn.XLOOKUP(CustomerCombined[[#This Row],[ID]], Table4[ID], Table4[Sweets], "Not Found", 0)</f>
        <v>150</v>
      </c>
      <c r="P2182" s="5">
        <f>_xlfn.XLOOKUP(CustomerCombined[[#This Row],[ID]], Table4[ID], Table4[Premium], "Not Found", 0)</f>
        <v>99</v>
      </c>
      <c r="Q2182" s="5">
        <f>_xlfn.XLOOKUP(CustomerCombined[[#This Row],[ID]], Table4[ID], Table4[Regular], "Not Found", 0)</f>
        <v>2704</v>
      </c>
      <c r="R2182" s="5">
        <f>_xlfn.XLOOKUP(CustomerCombined[[#This Row],[ID]], Table4[ID], Table4[Deals], "Not Found", 0)</f>
        <v>1</v>
      </c>
      <c r="S2182" s="5">
        <f>_xlfn.XLOOKUP(CustomerCombined[[#This Row],[ID]], Table4[ID], Table4[Website], "Not Found", 0)</f>
        <v>7</v>
      </c>
      <c r="T2182" s="5">
        <f>_xlfn.XLOOKUP(CustomerCombined[[#This Row],[ID]], Table4[ID], Table4[Catalog], "Not Found", 0)</f>
        <v>6</v>
      </c>
      <c r="U2182" s="5">
        <f>_xlfn.XLOOKUP(CustomerCombined[[#This Row],[ID]], Table4[ID], Table4[Store], "Not Found", 0)</f>
        <v>12</v>
      </c>
      <c r="V2182" s="5">
        <f>_xlfn.XLOOKUP(CustomerCombined[[#This Row],[ID]], Table4[ID], Table4[Visits], "Not Found", 0)</f>
        <v>3</v>
      </c>
      <c r="W2182" s="8">
        <f>_xlfn.XLOOKUP(CustomerCombined[[#This Row],[ID]], Table2[ID],Table2[Complaint], "Not Found", 0 )</f>
        <v>0</v>
      </c>
      <c r="X2182" s="8">
        <f>_xlfn.XLOOKUP(CustomerCombined[[#This Row],[ID]], Table2[ID],Table2[Pilot], "Not Found", 0 )</f>
        <v>1</v>
      </c>
      <c r="Y2182" s="8">
        <f>_xlfn.XLOOKUP(CustomerCombined[[#This Row],[ID]], Table2[ID],Table2[MC1], "Not Found", 0 )</f>
        <v>1</v>
      </c>
      <c r="Z2182" s="8">
        <f>_xlfn.XLOOKUP(CustomerCombined[[#This Row],[ID]], Table2[ID],Table2[MC2], "Not Found", 0 )</f>
        <v>0</v>
      </c>
      <c r="AA2182" s="8">
        <f>_xlfn.XLOOKUP(CustomerCombined[[#This Row],[ID]], Table2[ID],Table2[MC3], "Not Found", 0 )</f>
        <v>0</v>
      </c>
      <c r="AB2182" s="8">
        <f>_xlfn.XLOOKUP(CustomerCombined[[#This Row],[ID]], Table2[ID],Table2[MC4], "Not Found", 0 )</f>
        <v>0</v>
      </c>
      <c r="AC2182" s="8">
        <f>_xlfn.XLOOKUP(CustomerCombined[[#This Row],[ID]], Table2[ID],Table2[MC5], "Not Found", 0 )</f>
        <v>1</v>
      </c>
    </row>
    <row r="2183" spans="1:29" x14ac:dyDescent="0.3">
      <c r="A2183" s="6">
        <v>2546</v>
      </c>
      <c r="B2183" s="6">
        <v>182800</v>
      </c>
      <c r="C2183" s="6">
        <v>0</v>
      </c>
      <c r="D2183" s="6">
        <v>0</v>
      </c>
      <c r="E2183" s="6">
        <v>74</v>
      </c>
      <c r="F2183" s="5" t="s">
        <v>7</v>
      </c>
      <c r="G2183" s="5" t="s">
        <v>13</v>
      </c>
      <c r="H2183" s="3">
        <v>43470</v>
      </c>
      <c r="I2183" s="5" t="s">
        <v>438</v>
      </c>
      <c r="J2183" s="5">
        <f>_xlfn.XLOOKUP(CustomerCombined[[#This Row],[ID]], Table4[ID], Table4[Recency], "Not Found", 0)</f>
        <v>23</v>
      </c>
      <c r="K2183" s="5">
        <f>_xlfn.XLOOKUP(CustomerCombined[[#This Row],[ID]], Table4[ID], Table4[Teas], "Not Found", 0)</f>
        <v>2221</v>
      </c>
      <c r="L2183" s="5">
        <f>_xlfn.XLOOKUP(CustomerCombined[[#This Row],[ID]], Table4[ID], Table4[Fruits], "Not Found", 0)</f>
        <v>49</v>
      </c>
      <c r="M2183" s="5">
        <f>_xlfn.XLOOKUP(CustomerCombined[[#This Row],[ID]], Table4[ID], Table4[Meats], "Not Found", 0)</f>
        <v>254</v>
      </c>
      <c r="N2183" s="5">
        <f>_xlfn.XLOOKUP(CustomerCombined[[#This Row],[ID]], Table4[ID], Table4[Seafood], "Not Found", 0)</f>
        <v>130</v>
      </c>
      <c r="O2183" s="5">
        <f>_xlfn.XLOOKUP(CustomerCombined[[#This Row],[ID]], Table4[ID], Table4[Sweets], "Not Found", 0)</f>
        <v>150</v>
      </c>
      <c r="P2183" s="5">
        <f>_xlfn.XLOOKUP(CustomerCombined[[#This Row],[ID]], Table4[ID], Table4[Premium], "Not Found", 0)</f>
        <v>99</v>
      </c>
      <c r="Q2183" s="5">
        <f>_xlfn.XLOOKUP(CustomerCombined[[#This Row],[ID]], Table4[ID], Table4[Regular], "Not Found", 0)</f>
        <v>2704</v>
      </c>
      <c r="R2183" s="5">
        <f>_xlfn.XLOOKUP(CustomerCombined[[#This Row],[ID]], Table4[ID], Table4[Deals], "Not Found", 0)</f>
        <v>1</v>
      </c>
      <c r="S2183" s="5">
        <f>_xlfn.XLOOKUP(CustomerCombined[[#This Row],[ID]], Table4[ID], Table4[Website], "Not Found", 0)</f>
        <v>7</v>
      </c>
      <c r="T2183" s="5">
        <f>_xlfn.XLOOKUP(CustomerCombined[[#This Row],[ID]], Table4[ID], Table4[Catalog], "Not Found", 0)</f>
        <v>6</v>
      </c>
      <c r="U2183" s="5">
        <f>_xlfn.XLOOKUP(CustomerCombined[[#This Row],[ID]], Table4[ID], Table4[Store], "Not Found", 0)</f>
        <v>12</v>
      </c>
      <c r="V2183" s="5">
        <f>_xlfn.XLOOKUP(CustomerCombined[[#This Row],[ID]], Table4[ID], Table4[Visits], "Not Found", 0)</f>
        <v>3</v>
      </c>
      <c r="W2183" s="8">
        <f>_xlfn.XLOOKUP(CustomerCombined[[#This Row],[ID]], Table2[ID],Table2[Complaint], "Not Found", 0 )</f>
        <v>0</v>
      </c>
      <c r="X2183" s="8">
        <f>_xlfn.XLOOKUP(CustomerCombined[[#This Row],[ID]], Table2[ID],Table2[Pilot], "Not Found", 0 )</f>
        <v>1</v>
      </c>
      <c r="Y2183" s="8">
        <f>_xlfn.XLOOKUP(CustomerCombined[[#This Row],[ID]], Table2[ID],Table2[MC1], "Not Found", 0 )</f>
        <v>1</v>
      </c>
      <c r="Z2183" s="8">
        <f>_xlfn.XLOOKUP(CustomerCombined[[#This Row],[ID]], Table2[ID],Table2[MC2], "Not Found", 0 )</f>
        <v>0</v>
      </c>
      <c r="AA2183" s="8">
        <f>_xlfn.XLOOKUP(CustomerCombined[[#This Row],[ID]], Table2[ID],Table2[MC3], "Not Found", 0 )</f>
        <v>0</v>
      </c>
      <c r="AB2183" s="8">
        <f>_xlfn.XLOOKUP(CustomerCombined[[#This Row],[ID]], Table2[ID],Table2[MC4], "Not Found", 0 )</f>
        <v>0</v>
      </c>
      <c r="AC2183" s="8">
        <f>_xlfn.XLOOKUP(CustomerCombined[[#This Row],[ID]], Table2[ID],Table2[MC5], "Not Found", 0 )</f>
        <v>1</v>
      </c>
    </row>
    <row r="2184" spans="1:29" x14ac:dyDescent="0.3">
      <c r="A2184" s="6">
        <v>2420</v>
      </c>
      <c r="B2184" s="6">
        <v>182657</v>
      </c>
      <c r="C2184" s="6">
        <v>0</v>
      </c>
      <c r="D2184" s="6">
        <v>0</v>
      </c>
      <c r="E2184" s="6">
        <v>74</v>
      </c>
      <c r="F2184" s="5" t="s">
        <v>8</v>
      </c>
      <c r="G2184" s="5" t="s">
        <v>11</v>
      </c>
      <c r="H2184" s="3">
        <v>43893</v>
      </c>
      <c r="I2184" s="5" t="s">
        <v>438</v>
      </c>
      <c r="J2184" s="5">
        <f>_xlfn.XLOOKUP(CustomerCombined[[#This Row],[ID]], Table4[ID], Table4[Recency], "Not Found", 0)</f>
        <v>71</v>
      </c>
      <c r="K2184" s="5">
        <f>_xlfn.XLOOKUP(CustomerCombined[[#This Row],[ID]], Table4[ID], Table4[Teas], "Not Found", 0)</f>
        <v>2135</v>
      </c>
      <c r="L2184" s="5">
        <f>_xlfn.XLOOKUP(CustomerCombined[[#This Row],[ID]], Table4[ID], Table4[Fruits], "Not Found", 0)</f>
        <v>371</v>
      </c>
      <c r="M2184" s="5">
        <f>_xlfn.XLOOKUP(CustomerCombined[[#This Row],[ID]], Table4[ID], Table4[Meats], "Not Found", 0)</f>
        <v>1485</v>
      </c>
      <c r="N2184" s="5">
        <f>_xlfn.XLOOKUP(CustomerCombined[[#This Row],[ID]], Table4[ID], Table4[Seafood], "Not Found", 0)</f>
        <v>544</v>
      </c>
      <c r="O2184" s="5">
        <f>_xlfn.XLOOKUP(CustomerCombined[[#This Row],[ID]], Table4[ID], Table4[Sweets], "Not Found", 0)</f>
        <v>232</v>
      </c>
      <c r="P2184" s="5">
        <f>_xlfn.XLOOKUP(CustomerCombined[[#This Row],[ID]], Table4[ID], Table4[Premium], "Not Found", 0)</f>
        <v>278</v>
      </c>
      <c r="Q2184" s="5">
        <f>_xlfn.XLOOKUP(CustomerCombined[[#This Row],[ID]], Table4[ID], Table4[Regular], "Not Found", 0)</f>
        <v>4488</v>
      </c>
      <c r="R2184" s="5">
        <f>_xlfn.XLOOKUP(CustomerCombined[[#This Row],[ID]], Table4[ID], Table4[Deals], "Not Found", 0)</f>
        <v>1</v>
      </c>
      <c r="S2184" s="5">
        <f>_xlfn.XLOOKUP(CustomerCombined[[#This Row],[ID]], Table4[ID], Table4[Website], "Not Found", 0)</f>
        <v>7</v>
      </c>
      <c r="T2184" s="5">
        <f>_xlfn.XLOOKUP(CustomerCombined[[#This Row],[ID]], Table4[ID], Table4[Catalog], "Not Found", 0)</f>
        <v>5</v>
      </c>
      <c r="U2184" s="5">
        <f>_xlfn.XLOOKUP(CustomerCombined[[#This Row],[ID]], Table4[ID], Table4[Store], "Not Found", 0)</f>
        <v>10</v>
      </c>
      <c r="V2184" s="5">
        <f>_xlfn.XLOOKUP(CustomerCombined[[#This Row],[ID]], Table4[ID], Table4[Visits], "Not Found", 0)</f>
        <v>4</v>
      </c>
      <c r="W2184" s="8">
        <f>_xlfn.XLOOKUP(CustomerCombined[[#This Row],[ID]], Table2[ID],Table2[Complaint], "Not Found", 0 )</f>
        <v>0</v>
      </c>
      <c r="X2184" s="8">
        <f>_xlfn.XLOOKUP(CustomerCombined[[#This Row],[ID]], Table2[ID],Table2[Pilot], "Not Found", 0 )</f>
        <v>0</v>
      </c>
      <c r="Y2184" s="8">
        <f>_xlfn.XLOOKUP(CustomerCombined[[#This Row],[ID]], Table2[ID],Table2[MC1], "Not Found", 0 )</f>
        <v>1</v>
      </c>
      <c r="Z2184" s="8">
        <f>_xlfn.XLOOKUP(CustomerCombined[[#This Row],[ID]], Table2[ID],Table2[MC2], "Not Found", 0 )</f>
        <v>0</v>
      </c>
      <c r="AA2184" s="8">
        <f>_xlfn.XLOOKUP(CustomerCombined[[#This Row],[ID]], Table2[ID],Table2[MC3], "Not Found", 0 )</f>
        <v>0</v>
      </c>
      <c r="AB2184" s="8">
        <f>_xlfn.XLOOKUP(CustomerCombined[[#This Row],[ID]], Table2[ID],Table2[MC4], "Not Found", 0 )</f>
        <v>1</v>
      </c>
      <c r="AC2184" s="8">
        <f>_xlfn.XLOOKUP(CustomerCombined[[#This Row],[ID]], Table2[ID],Table2[MC5], "Not Found", 0 )</f>
        <v>0</v>
      </c>
    </row>
    <row r="2185" spans="1:29" x14ac:dyDescent="0.3">
      <c r="A2185" s="6">
        <v>2279</v>
      </c>
      <c r="B2185" s="6">
        <v>178569</v>
      </c>
      <c r="C2185" s="6">
        <v>0</v>
      </c>
      <c r="D2185" s="6">
        <v>0</v>
      </c>
      <c r="E2185" s="6">
        <v>74</v>
      </c>
      <c r="F2185" s="5" t="s">
        <v>6</v>
      </c>
      <c r="G2185" s="5" t="s">
        <v>11</v>
      </c>
      <c r="H2185" s="3" t="s">
        <v>94</v>
      </c>
      <c r="I2185" s="5" t="s">
        <v>434</v>
      </c>
      <c r="J2185" s="5">
        <f>_xlfn.XLOOKUP(CustomerCombined[[#This Row],[ID]], Table4[ID], Table4[Recency], "Not Found", 0)</f>
        <v>14</v>
      </c>
      <c r="K2185" s="5">
        <f>_xlfn.XLOOKUP(CustomerCombined[[#This Row],[ID]], Table4[ID], Table4[Teas], "Not Found", 0)</f>
        <v>1268</v>
      </c>
      <c r="L2185" s="5">
        <f>_xlfn.XLOOKUP(CustomerCombined[[#This Row],[ID]], Table4[ID], Table4[Fruits], "Not Found", 0)</f>
        <v>180</v>
      </c>
      <c r="M2185" s="5">
        <f>_xlfn.XLOOKUP(CustomerCombined[[#This Row],[ID]], Table4[ID], Table4[Meats], "Not Found", 0)</f>
        <v>1414</v>
      </c>
      <c r="N2185" s="5">
        <f>_xlfn.XLOOKUP(CustomerCombined[[#This Row],[ID]], Table4[ID], Table4[Seafood], "Not Found", 0)</f>
        <v>470</v>
      </c>
      <c r="O2185" s="5">
        <f>_xlfn.XLOOKUP(CustomerCombined[[#This Row],[ID]], Table4[ID], Table4[Sweets], "Not Found", 0)</f>
        <v>398</v>
      </c>
      <c r="P2185" s="5">
        <f>_xlfn.XLOOKUP(CustomerCombined[[#This Row],[ID]], Table4[ID], Table4[Premium], "Not Found", 0)</f>
        <v>216</v>
      </c>
      <c r="Q2185" s="5">
        <f>_xlfn.XLOOKUP(CustomerCombined[[#This Row],[ID]], Table4[ID], Table4[Regular], "Not Found", 0)</f>
        <v>3514</v>
      </c>
      <c r="R2185" s="5">
        <f>_xlfn.XLOOKUP(CustomerCombined[[#This Row],[ID]], Table4[ID], Table4[Deals], "Not Found", 0)</f>
        <v>1</v>
      </c>
      <c r="S2185" s="5">
        <f>_xlfn.XLOOKUP(CustomerCombined[[#This Row],[ID]], Table4[ID], Table4[Website], "Not Found", 0)</f>
        <v>4</v>
      </c>
      <c r="T2185" s="5">
        <f>_xlfn.XLOOKUP(CustomerCombined[[#This Row],[ID]], Table4[ID], Table4[Catalog], "Not Found", 0)</f>
        <v>6</v>
      </c>
      <c r="U2185" s="5">
        <f>_xlfn.XLOOKUP(CustomerCombined[[#This Row],[ID]], Table4[ID], Table4[Store], "Not Found", 0)</f>
        <v>4</v>
      </c>
      <c r="V2185" s="5">
        <f>_xlfn.XLOOKUP(CustomerCombined[[#This Row],[ID]], Table4[ID], Table4[Visits], "Not Found", 0)</f>
        <v>1</v>
      </c>
      <c r="W2185" s="8">
        <f>_xlfn.XLOOKUP(CustomerCombined[[#This Row],[ID]], Table2[ID],Table2[Complaint], "Not Found", 0 )</f>
        <v>0</v>
      </c>
      <c r="X2185" s="8">
        <f>_xlfn.XLOOKUP(CustomerCombined[[#This Row],[ID]], Table2[ID],Table2[Pilot], "Not Found", 0 )</f>
        <v>1</v>
      </c>
      <c r="Y2185" s="8">
        <f>_xlfn.XLOOKUP(CustomerCombined[[#This Row],[ID]], Table2[ID],Table2[MC1], "Not Found", 0 )</f>
        <v>0</v>
      </c>
      <c r="Z2185" s="8">
        <f>_xlfn.XLOOKUP(CustomerCombined[[#This Row],[ID]], Table2[ID],Table2[MC2], "Not Found", 0 )</f>
        <v>0</v>
      </c>
      <c r="AA2185" s="8">
        <f>_xlfn.XLOOKUP(CustomerCombined[[#This Row],[ID]], Table2[ID],Table2[MC3], "Not Found", 0 )</f>
        <v>0</v>
      </c>
      <c r="AB2185" s="8">
        <f>_xlfn.XLOOKUP(CustomerCombined[[#This Row],[ID]], Table2[ID],Table2[MC4], "Not Found", 0 )</f>
        <v>0</v>
      </c>
      <c r="AC2185" s="8">
        <f>_xlfn.XLOOKUP(CustomerCombined[[#This Row],[ID]], Table2[ID],Table2[MC5], "Not Found", 0 )</f>
        <v>1</v>
      </c>
    </row>
    <row r="2186" spans="1:29" x14ac:dyDescent="0.3">
      <c r="A2186" s="6">
        <v>1033</v>
      </c>
      <c r="B2186" s="6">
        <v>168657</v>
      </c>
      <c r="C2186" s="6">
        <v>0</v>
      </c>
      <c r="D2186" s="6">
        <v>0</v>
      </c>
      <c r="E2186" s="6">
        <v>74</v>
      </c>
      <c r="F2186" s="5" t="s">
        <v>6</v>
      </c>
      <c r="G2186" s="5" t="s">
        <v>12</v>
      </c>
      <c r="H2186" s="3" t="s">
        <v>303</v>
      </c>
      <c r="I2186" s="5" t="s">
        <v>437</v>
      </c>
      <c r="J2186" s="5">
        <f>_xlfn.XLOOKUP(CustomerCombined[[#This Row],[ID]], Table4[ID], Table4[Recency], "Not Found", 0)</f>
        <v>4</v>
      </c>
      <c r="K2186" s="5">
        <f>_xlfn.XLOOKUP(CustomerCombined[[#This Row],[ID]], Table4[ID], Table4[Teas], "Not Found", 0)</f>
        <v>1184</v>
      </c>
      <c r="L2186" s="5">
        <f>_xlfn.XLOOKUP(CustomerCombined[[#This Row],[ID]], Table4[ID], Table4[Fruits], "Not Found", 0)</f>
        <v>84</v>
      </c>
      <c r="M2186" s="5">
        <f>_xlfn.XLOOKUP(CustomerCombined[[#This Row],[ID]], Table4[ID], Table4[Meats], "Not Found", 0)</f>
        <v>1157</v>
      </c>
      <c r="N2186" s="5">
        <f>_xlfn.XLOOKUP(CustomerCombined[[#This Row],[ID]], Table4[ID], Table4[Seafood], "Not Found", 0)</f>
        <v>292</v>
      </c>
      <c r="O2186" s="5">
        <f>_xlfn.XLOOKUP(CustomerCombined[[#This Row],[ID]], Table4[ID], Table4[Sweets], "Not Found", 0)</f>
        <v>167</v>
      </c>
      <c r="P2186" s="5">
        <f>_xlfn.XLOOKUP(CustomerCombined[[#This Row],[ID]], Table4[ID], Table4[Premium], "Not Found", 0)</f>
        <v>54</v>
      </c>
      <c r="Q2186" s="5">
        <f>_xlfn.XLOOKUP(CustomerCombined[[#This Row],[ID]], Table4[ID], Table4[Regular], "Not Found", 0)</f>
        <v>2830</v>
      </c>
      <c r="R2186" s="5">
        <f>_xlfn.XLOOKUP(CustomerCombined[[#This Row],[ID]], Table4[ID], Table4[Deals], "Not Found", 0)</f>
        <v>1</v>
      </c>
      <c r="S2186" s="5">
        <f>_xlfn.XLOOKUP(CustomerCombined[[#This Row],[ID]], Table4[ID], Table4[Website], "Not Found", 0)</f>
        <v>3</v>
      </c>
      <c r="T2186" s="5">
        <f>_xlfn.XLOOKUP(CustomerCombined[[#This Row],[ID]], Table4[ID], Table4[Catalog], "Not Found", 0)</f>
        <v>5</v>
      </c>
      <c r="U2186" s="5">
        <f>_xlfn.XLOOKUP(CustomerCombined[[#This Row],[ID]], Table4[ID], Table4[Store], "Not Found", 0)</f>
        <v>9</v>
      </c>
      <c r="V2186" s="5">
        <f>_xlfn.XLOOKUP(CustomerCombined[[#This Row],[ID]], Table4[ID], Table4[Visits], "Not Found", 0)</f>
        <v>7</v>
      </c>
      <c r="W2186" s="8">
        <f>_xlfn.XLOOKUP(CustomerCombined[[#This Row],[ID]], Table2[ID],Table2[Complaint], "Not Found", 0 )</f>
        <v>0</v>
      </c>
      <c r="X2186" s="8">
        <f>_xlfn.XLOOKUP(CustomerCombined[[#This Row],[ID]], Table2[ID],Table2[Pilot], "Not Found", 0 )</f>
        <v>0</v>
      </c>
      <c r="Y2186" s="8">
        <f>_xlfn.XLOOKUP(CustomerCombined[[#This Row],[ID]], Table2[ID],Table2[MC1], "Not Found", 0 )</f>
        <v>0</v>
      </c>
      <c r="Z2186" s="8">
        <f>_xlfn.XLOOKUP(CustomerCombined[[#This Row],[ID]], Table2[ID],Table2[MC2], "Not Found", 0 )</f>
        <v>0</v>
      </c>
      <c r="AA2186" s="8">
        <f>_xlfn.XLOOKUP(CustomerCombined[[#This Row],[ID]], Table2[ID],Table2[MC3], "Not Found", 0 )</f>
        <v>0</v>
      </c>
      <c r="AB2186" s="8">
        <f>_xlfn.XLOOKUP(CustomerCombined[[#This Row],[ID]], Table2[ID],Table2[MC4], "Not Found", 0 )</f>
        <v>0</v>
      </c>
      <c r="AC2186" s="8">
        <f>_xlfn.XLOOKUP(CustomerCombined[[#This Row],[ID]], Table2[ID],Table2[MC5], "Not Found", 0 )</f>
        <v>0</v>
      </c>
    </row>
    <row r="2187" spans="1:29" x14ac:dyDescent="0.3">
      <c r="A2187" s="6">
        <v>1171</v>
      </c>
      <c r="B2187" s="6">
        <v>166835</v>
      </c>
      <c r="C2187" s="6">
        <v>0</v>
      </c>
      <c r="D2187" s="6">
        <v>0</v>
      </c>
      <c r="E2187" s="6">
        <v>74</v>
      </c>
      <c r="F2187" s="5" t="s">
        <v>6</v>
      </c>
      <c r="G2187" s="5" t="s">
        <v>12</v>
      </c>
      <c r="H2187" s="3">
        <v>43924</v>
      </c>
      <c r="I2187" s="5" t="s">
        <v>437</v>
      </c>
      <c r="J2187" s="5">
        <f>_xlfn.XLOOKUP(CustomerCombined[[#This Row],[ID]], Table4[ID], Table4[Recency], "Not Found", 0)</f>
        <v>21</v>
      </c>
      <c r="K2187" s="5">
        <f>_xlfn.XLOOKUP(CustomerCombined[[#This Row],[ID]], Table4[ID], Table4[Teas], "Not Found", 0)</f>
        <v>1548</v>
      </c>
      <c r="L2187" s="5">
        <f>_xlfn.XLOOKUP(CustomerCombined[[#This Row],[ID]], Table4[ID], Table4[Fruits], "Not Found", 0)</f>
        <v>65</v>
      </c>
      <c r="M2187" s="5">
        <f>_xlfn.XLOOKUP(CustomerCombined[[#This Row],[ID]], Table4[ID], Table4[Meats], "Not Found", 0)</f>
        <v>487</v>
      </c>
      <c r="N2187" s="5">
        <f>_xlfn.XLOOKUP(CustomerCombined[[#This Row],[ID]], Table4[ID], Table4[Seafood], "Not Found", 0)</f>
        <v>85</v>
      </c>
      <c r="O2187" s="5">
        <f>_xlfn.XLOOKUP(CustomerCombined[[#This Row],[ID]], Table4[ID], Table4[Sweets], "Not Found", 0)</f>
        <v>42</v>
      </c>
      <c r="P2187" s="5">
        <f>_xlfn.XLOOKUP(CustomerCombined[[#This Row],[ID]], Table4[ID], Table4[Premium], "Not Found", 0)</f>
        <v>352</v>
      </c>
      <c r="Q2187" s="5">
        <f>_xlfn.XLOOKUP(CustomerCombined[[#This Row],[ID]], Table4[ID], Table4[Regular], "Not Found", 0)</f>
        <v>1875</v>
      </c>
      <c r="R2187" s="5">
        <f>_xlfn.XLOOKUP(CustomerCombined[[#This Row],[ID]], Table4[ID], Table4[Deals], "Not Found", 0)</f>
        <v>1</v>
      </c>
      <c r="S2187" s="5">
        <f>_xlfn.XLOOKUP(CustomerCombined[[#This Row],[ID]], Table4[ID], Table4[Website], "Not Found", 0)</f>
        <v>6</v>
      </c>
      <c r="T2187" s="5">
        <f>_xlfn.XLOOKUP(CustomerCombined[[#This Row],[ID]], Table4[ID], Table4[Catalog], "Not Found", 0)</f>
        <v>4</v>
      </c>
      <c r="U2187" s="5">
        <f>_xlfn.XLOOKUP(CustomerCombined[[#This Row],[ID]], Table4[ID], Table4[Store], "Not Found", 0)</f>
        <v>13</v>
      </c>
      <c r="V2187" s="5">
        <f>_xlfn.XLOOKUP(CustomerCombined[[#This Row],[ID]], Table4[ID], Table4[Visits], "Not Found", 0)</f>
        <v>2</v>
      </c>
      <c r="W2187" s="8">
        <f>_xlfn.XLOOKUP(CustomerCombined[[#This Row],[ID]], Table2[ID],Table2[Complaint], "Not Found", 0 )</f>
        <v>0</v>
      </c>
      <c r="X2187" s="8">
        <f>_xlfn.XLOOKUP(CustomerCombined[[#This Row],[ID]], Table2[ID],Table2[Pilot], "Not Found", 0 )</f>
        <v>0</v>
      </c>
      <c r="Y2187" s="8">
        <f>_xlfn.XLOOKUP(CustomerCombined[[#This Row],[ID]], Table2[ID],Table2[MC1], "Not Found", 0 )</f>
        <v>0</v>
      </c>
      <c r="Z2187" s="8">
        <f>_xlfn.XLOOKUP(CustomerCombined[[#This Row],[ID]], Table2[ID],Table2[MC2], "Not Found", 0 )</f>
        <v>0</v>
      </c>
      <c r="AA2187" s="8">
        <f>_xlfn.XLOOKUP(CustomerCombined[[#This Row],[ID]], Table2[ID],Table2[MC3], "Not Found", 0 )</f>
        <v>0</v>
      </c>
      <c r="AB2187" s="8">
        <f>_xlfn.XLOOKUP(CustomerCombined[[#This Row],[ID]], Table2[ID],Table2[MC4], "Not Found", 0 )</f>
        <v>0</v>
      </c>
      <c r="AC2187" s="8">
        <f>_xlfn.XLOOKUP(CustomerCombined[[#This Row],[ID]], Table2[ID],Table2[MC5], "Not Found", 0 )</f>
        <v>0</v>
      </c>
    </row>
    <row r="2188" spans="1:29" x14ac:dyDescent="0.3">
      <c r="A2188" s="6">
        <v>2722</v>
      </c>
      <c r="B2188" s="6">
        <v>166835</v>
      </c>
      <c r="C2188" s="6">
        <v>0</v>
      </c>
      <c r="D2188" s="6">
        <v>0</v>
      </c>
      <c r="E2188" s="6">
        <v>74</v>
      </c>
      <c r="F2188" s="5" t="s">
        <v>6</v>
      </c>
      <c r="G2188" s="5" t="s">
        <v>12</v>
      </c>
      <c r="H2188" s="3">
        <v>43924</v>
      </c>
      <c r="I2188" s="5" t="s">
        <v>439</v>
      </c>
      <c r="J2188" s="5">
        <f>_xlfn.XLOOKUP(CustomerCombined[[#This Row],[ID]], Table4[ID], Table4[Recency], "Not Found", 0)</f>
        <v>21</v>
      </c>
      <c r="K2188" s="5">
        <f>_xlfn.XLOOKUP(CustomerCombined[[#This Row],[ID]], Table4[ID], Table4[Teas], "Not Found", 0)</f>
        <v>1548</v>
      </c>
      <c r="L2188" s="5">
        <f>_xlfn.XLOOKUP(CustomerCombined[[#This Row],[ID]], Table4[ID], Table4[Fruits], "Not Found", 0)</f>
        <v>65</v>
      </c>
      <c r="M2188" s="5">
        <f>_xlfn.XLOOKUP(CustomerCombined[[#This Row],[ID]], Table4[ID], Table4[Meats], "Not Found", 0)</f>
        <v>487</v>
      </c>
      <c r="N2188" s="5">
        <f>_xlfn.XLOOKUP(CustomerCombined[[#This Row],[ID]], Table4[ID], Table4[Seafood], "Not Found", 0)</f>
        <v>85</v>
      </c>
      <c r="O2188" s="5">
        <f>_xlfn.XLOOKUP(CustomerCombined[[#This Row],[ID]], Table4[ID], Table4[Sweets], "Not Found", 0)</f>
        <v>42</v>
      </c>
      <c r="P2188" s="5">
        <f>_xlfn.XLOOKUP(CustomerCombined[[#This Row],[ID]], Table4[ID], Table4[Premium], "Not Found", 0)</f>
        <v>352</v>
      </c>
      <c r="Q2188" s="5">
        <f>_xlfn.XLOOKUP(CustomerCombined[[#This Row],[ID]], Table4[ID], Table4[Regular], "Not Found", 0)</f>
        <v>1875</v>
      </c>
      <c r="R2188" s="5">
        <f>_xlfn.XLOOKUP(CustomerCombined[[#This Row],[ID]], Table4[ID], Table4[Deals], "Not Found", 0)</f>
        <v>1</v>
      </c>
      <c r="S2188" s="5">
        <f>_xlfn.XLOOKUP(CustomerCombined[[#This Row],[ID]], Table4[ID], Table4[Website], "Not Found", 0)</f>
        <v>6</v>
      </c>
      <c r="T2188" s="5">
        <f>_xlfn.XLOOKUP(CustomerCombined[[#This Row],[ID]], Table4[ID], Table4[Catalog], "Not Found", 0)</f>
        <v>4</v>
      </c>
      <c r="U2188" s="5">
        <f>_xlfn.XLOOKUP(CustomerCombined[[#This Row],[ID]], Table4[ID], Table4[Store], "Not Found", 0)</f>
        <v>13</v>
      </c>
      <c r="V2188" s="5">
        <f>_xlfn.XLOOKUP(CustomerCombined[[#This Row],[ID]], Table4[ID], Table4[Visits], "Not Found", 0)</f>
        <v>2</v>
      </c>
      <c r="W2188" s="8">
        <f>_xlfn.XLOOKUP(CustomerCombined[[#This Row],[ID]], Table2[ID],Table2[Complaint], "Not Found", 0 )</f>
        <v>0</v>
      </c>
      <c r="X2188" s="8">
        <f>_xlfn.XLOOKUP(CustomerCombined[[#This Row],[ID]], Table2[ID],Table2[Pilot], "Not Found", 0 )</f>
        <v>0</v>
      </c>
      <c r="Y2188" s="8">
        <f>_xlfn.XLOOKUP(CustomerCombined[[#This Row],[ID]], Table2[ID],Table2[MC1], "Not Found", 0 )</f>
        <v>0</v>
      </c>
      <c r="Z2188" s="8">
        <f>_xlfn.XLOOKUP(CustomerCombined[[#This Row],[ID]], Table2[ID],Table2[MC2], "Not Found", 0 )</f>
        <v>0</v>
      </c>
      <c r="AA2188" s="8">
        <f>_xlfn.XLOOKUP(CustomerCombined[[#This Row],[ID]], Table2[ID],Table2[MC3], "Not Found", 0 )</f>
        <v>0</v>
      </c>
      <c r="AB2188" s="8">
        <f>_xlfn.XLOOKUP(CustomerCombined[[#This Row],[ID]], Table2[ID],Table2[MC4], "Not Found", 0 )</f>
        <v>0</v>
      </c>
      <c r="AC2188" s="8">
        <f>_xlfn.XLOOKUP(CustomerCombined[[#This Row],[ID]], Table2[ID],Table2[MC5], "Not Found", 0 )</f>
        <v>0</v>
      </c>
    </row>
    <row r="2189" spans="1:29" x14ac:dyDescent="0.3">
      <c r="A2189" s="6">
        <v>3217</v>
      </c>
      <c r="B2189" s="6">
        <v>166201</v>
      </c>
      <c r="C2189" s="6">
        <v>2</v>
      </c>
      <c r="D2189" s="6">
        <v>1</v>
      </c>
      <c r="E2189" s="6">
        <v>74</v>
      </c>
      <c r="F2189" s="5" t="s">
        <v>8</v>
      </c>
      <c r="G2189" s="5" t="s">
        <v>13</v>
      </c>
      <c r="H2189" s="3" t="s">
        <v>39</v>
      </c>
      <c r="I2189" s="5" t="s">
        <v>437</v>
      </c>
      <c r="J2189" s="5">
        <f>_xlfn.XLOOKUP(CustomerCombined[[#This Row],[ID]], Table4[ID], Table4[Recency], "Not Found", 0)</f>
        <v>56</v>
      </c>
      <c r="K2189" s="5">
        <f>_xlfn.XLOOKUP(CustomerCombined[[#This Row],[ID]], Table4[ID], Table4[Teas], "Not Found", 0)</f>
        <v>1019</v>
      </c>
      <c r="L2189" s="5">
        <f>_xlfn.XLOOKUP(CustomerCombined[[#This Row],[ID]], Table4[ID], Table4[Fruits], "Not Found", 0)</f>
        <v>0</v>
      </c>
      <c r="M2189" s="5">
        <f>_xlfn.XLOOKUP(CustomerCombined[[#This Row],[ID]], Table4[ID], Table4[Meats], "Not Found", 0)</f>
        <v>75</v>
      </c>
      <c r="N2189" s="5">
        <f>_xlfn.XLOOKUP(CustomerCombined[[#This Row],[ID]], Table4[ID], Table4[Seafood], "Not Found", 0)</f>
        <v>0</v>
      </c>
      <c r="O2189" s="5">
        <f>_xlfn.XLOOKUP(CustomerCombined[[#This Row],[ID]], Table4[ID], Table4[Sweets], "Not Found", 0)</f>
        <v>0</v>
      </c>
      <c r="P2189" s="5">
        <f>_xlfn.XLOOKUP(CustomerCombined[[#This Row],[ID]], Table4[ID], Table4[Premium], "Not Found", 0)</f>
        <v>20</v>
      </c>
      <c r="Q2189" s="5">
        <f>_xlfn.XLOOKUP(CustomerCombined[[#This Row],[ID]], Table4[ID], Table4[Regular], "Not Found", 0)</f>
        <v>1075</v>
      </c>
      <c r="R2189" s="5">
        <f>_xlfn.XLOOKUP(CustomerCombined[[#This Row],[ID]], Table4[ID], Table4[Deals], "Not Found", 0)</f>
        <v>7</v>
      </c>
      <c r="S2189" s="5">
        <f>_xlfn.XLOOKUP(CustomerCombined[[#This Row],[ID]], Table4[ID], Table4[Website], "Not Found", 0)</f>
        <v>8</v>
      </c>
      <c r="T2189" s="5">
        <f>_xlfn.XLOOKUP(CustomerCombined[[#This Row],[ID]], Table4[ID], Table4[Catalog], "Not Found", 0)</f>
        <v>0.2</v>
      </c>
      <c r="U2189" s="5">
        <f>_xlfn.XLOOKUP(CustomerCombined[[#This Row],[ID]], Table4[ID], Table4[Store], "Not Found", 0)</f>
        <v>5</v>
      </c>
      <c r="V2189" s="5">
        <f>_xlfn.XLOOKUP(CustomerCombined[[#This Row],[ID]], Table4[ID], Table4[Visits], "Not Found", 0)</f>
        <v>7</v>
      </c>
      <c r="W2189" s="8">
        <f>_xlfn.XLOOKUP(CustomerCombined[[#This Row],[ID]], Table2[ID],Table2[Complaint], "Not Found", 0 )</f>
        <v>0</v>
      </c>
      <c r="X2189" s="8">
        <f>_xlfn.XLOOKUP(CustomerCombined[[#This Row],[ID]], Table2[ID],Table2[Pilot], "Not Found", 0 )</f>
        <v>0</v>
      </c>
      <c r="Y2189" s="8">
        <f>_xlfn.XLOOKUP(CustomerCombined[[#This Row],[ID]], Table2[ID],Table2[MC1], "Not Found", 0 )</f>
        <v>1</v>
      </c>
      <c r="Z2189" s="8">
        <f>_xlfn.XLOOKUP(CustomerCombined[[#This Row],[ID]], Table2[ID],Table2[MC2], "Not Found", 0 )</f>
        <v>0</v>
      </c>
      <c r="AA2189" s="8">
        <f>_xlfn.XLOOKUP(CustomerCombined[[#This Row],[ID]], Table2[ID],Table2[MC3], "Not Found", 0 )</f>
        <v>0</v>
      </c>
      <c r="AB2189" s="8">
        <f>_xlfn.XLOOKUP(CustomerCombined[[#This Row],[ID]], Table2[ID],Table2[MC4], "Not Found", 0 )</f>
        <v>0</v>
      </c>
      <c r="AC2189" s="8">
        <f>_xlfn.XLOOKUP(CustomerCombined[[#This Row],[ID]], Table2[ID],Table2[MC5], "Not Found", 0 )</f>
        <v>0</v>
      </c>
    </row>
    <row r="2190" spans="1:29" x14ac:dyDescent="0.3">
      <c r="A2190" s="6">
        <v>2463</v>
      </c>
      <c r="B2190" s="6">
        <v>164014</v>
      </c>
      <c r="C2190" s="6">
        <v>2</v>
      </c>
      <c r="D2190" s="6">
        <v>1</v>
      </c>
      <c r="E2190" s="6">
        <v>74</v>
      </c>
      <c r="F2190" s="5" t="s">
        <v>8</v>
      </c>
      <c r="G2190" s="5" t="s">
        <v>13</v>
      </c>
      <c r="H2190" s="3" t="s">
        <v>39</v>
      </c>
      <c r="I2190" s="5" t="s">
        <v>435</v>
      </c>
      <c r="J2190" s="5">
        <f>_xlfn.XLOOKUP(CustomerCombined[[#This Row],[ID]], Table4[ID], Table4[Recency], "Not Found", 0)</f>
        <v>56</v>
      </c>
      <c r="K2190" s="5">
        <f>_xlfn.XLOOKUP(CustomerCombined[[#This Row],[ID]], Table4[ID], Table4[Teas], "Not Found", 0)</f>
        <v>1040</v>
      </c>
      <c r="L2190" s="5">
        <f>_xlfn.XLOOKUP(CustomerCombined[[#This Row],[ID]], Table4[ID], Table4[Fruits], "Not Found", 0)</f>
        <v>0</v>
      </c>
      <c r="M2190" s="5">
        <f>_xlfn.XLOOKUP(CustomerCombined[[#This Row],[ID]], Table4[ID], Table4[Meats], "Not Found", 0)</f>
        <v>77</v>
      </c>
      <c r="N2190" s="5">
        <f>_xlfn.XLOOKUP(CustomerCombined[[#This Row],[ID]], Table4[ID], Table4[Seafood], "Not Found", 0)</f>
        <v>0</v>
      </c>
      <c r="O2190" s="5">
        <f>_xlfn.XLOOKUP(CustomerCombined[[#This Row],[ID]], Table4[ID], Table4[Sweets], "Not Found", 0)</f>
        <v>0</v>
      </c>
      <c r="P2190" s="5">
        <f>_xlfn.XLOOKUP(CustomerCombined[[#This Row],[ID]], Table4[ID], Table4[Premium], "Not Found", 0)</f>
        <v>20</v>
      </c>
      <c r="Q2190" s="5">
        <f>_xlfn.XLOOKUP(CustomerCombined[[#This Row],[ID]], Table4[ID], Table4[Regular], "Not Found", 0)</f>
        <v>1097</v>
      </c>
      <c r="R2190" s="5">
        <f>_xlfn.XLOOKUP(CustomerCombined[[#This Row],[ID]], Table4[ID], Table4[Deals], "Not Found", 0)</f>
        <v>7</v>
      </c>
      <c r="S2190" s="5">
        <f>_xlfn.XLOOKUP(CustomerCombined[[#This Row],[ID]], Table4[ID], Table4[Website], "Not Found", 0)</f>
        <v>8</v>
      </c>
      <c r="T2190" s="5">
        <f>_xlfn.XLOOKUP(CustomerCombined[[#This Row],[ID]], Table4[ID], Table4[Catalog], "Not Found", 0)</f>
        <v>2</v>
      </c>
      <c r="U2190" s="5">
        <f>_xlfn.XLOOKUP(CustomerCombined[[#This Row],[ID]], Table4[ID], Table4[Store], "Not Found", 0)</f>
        <v>5</v>
      </c>
      <c r="V2190" s="5">
        <f>_xlfn.XLOOKUP(CustomerCombined[[#This Row],[ID]], Table4[ID], Table4[Visits], "Not Found", 0)</f>
        <v>7</v>
      </c>
      <c r="W2190" s="8">
        <f>_xlfn.XLOOKUP(CustomerCombined[[#This Row],[ID]], Table2[ID],Table2[Complaint], "Not Found", 0 )</f>
        <v>0</v>
      </c>
      <c r="X2190" s="8">
        <f>_xlfn.XLOOKUP(CustomerCombined[[#This Row],[ID]], Table2[ID],Table2[Pilot], "Not Found", 0 )</f>
        <v>0</v>
      </c>
      <c r="Y2190" s="8">
        <f>_xlfn.XLOOKUP(CustomerCombined[[#This Row],[ID]], Table2[ID],Table2[MC1], "Not Found", 0 )</f>
        <v>1</v>
      </c>
      <c r="Z2190" s="8">
        <f>_xlfn.XLOOKUP(CustomerCombined[[#This Row],[ID]], Table2[ID],Table2[MC2], "Not Found", 0 )</f>
        <v>0</v>
      </c>
      <c r="AA2190" s="8">
        <f>_xlfn.XLOOKUP(CustomerCombined[[#This Row],[ID]], Table2[ID],Table2[MC3], "Not Found", 0 )</f>
        <v>0</v>
      </c>
      <c r="AB2190" s="8">
        <f>_xlfn.XLOOKUP(CustomerCombined[[#This Row],[ID]], Table2[ID],Table2[MC4], "Not Found", 0 )</f>
        <v>0</v>
      </c>
      <c r="AC2190" s="8">
        <f>_xlfn.XLOOKUP(CustomerCombined[[#This Row],[ID]], Table2[ID],Table2[MC5], "Not Found", 0 )</f>
        <v>0</v>
      </c>
    </row>
    <row r="2191" spans="1:29" x14ac:dyDescent="0.3">
      <c r="A2191" s="6">
        <v>3202</v>
      </c>
      <c r="B2191" s="6">
        <v>164014</v>
      </c>
      <c r="C2191" s="6">
        <v>2</v>
      </c>
      <c r="D2191" s="6">
        <v>1</v>
      </c>
      <c r="E2191" s="6">
        <v>74</v>
      </c>
      <c r="F2191" s="5" t="s">
        <v>8</v>
      </c>
      <c r="G2191" s="5" t="s">
        <v>13</v>
      </c>
      <c r="H2191" s="3" t="s">
        <v>39</v>
      </c>
      <c r="I2191" s="5" t="s">
        <v>439</v>
      </c>
      <c r="J2191" s="5">
        <f>_xlfn.XLOOKUP(CustomerCombined[[#This Row],[ID]], Table4[ID], Table4[Recency], "Not Found", 0)</f>
        <v>56</v>
      </c>
      <c r="K2191" s="5">
        <f>_xlfn.XLOOKUP(CustomerCombined[[#This Row],[ID]], Table4[ID], Table4[Teas], "Not Found", 0)</f>
        <v>1040</v>
      </c>
      <c r="L2191" s="5">
        <f>_xlfn.XLOOKUP(CustomerCombined[[#This Row],[ID]], Table4[ID], Table4[Fruits], "Not Found", 0)</f>
        <v>0</v>
      </c>
      <c r="M2191" s="5">
        <f>_xlfn.XLOOKUP(CustomerCombined[[#This Row],[ID]], Table4[ID], Table4[Meats], "Not Found", 0)</f>
        <v>77</v>
      </c>
      <c r="N2191" s="5">
        <f>_xlfn.XLOOKUP(CustomerCombined[[#This Row],[ID]], Table4[ID], Table4[Seafood], "Not Found", 0)</f>
        <v>0</v>
      </c>
      <c r="O2191" s="5">
        <f>_xlfn.XLOOKUP(CustomerCombined[[#This Row],[ID]], Table4[ID], Table4[Sweets], "Not Found", 0)</f>
        <v>0</v>
      </c>
      <c r="P2191" s="5">
        <f>_xlfn.XLOOKUP(CustomerCombined[[#This Row],[ID]], Table4[ID], Table4[Premium], "Not Found", 0)</f>
        <v>20</v>
      </c>
      <c r="Q2191" s="5">
        <f>_xlfn.XLOOKUP(CustomerCombined[[#This Row],[ID]], Table4[ID], Table4[Regular], "Not Found", 0)</f>
        <v>1097</v>
      </c>
      <c r="R2191" s="5">
        <f>_xlfn.XLOOKUP(CustomerCombined[[#This Row],[ID]], Table4[ID], Table4[Deals], "Not Found", 0)</f>
        <v>7</v>
      </c>
      <c r="S2191" s="5">
        <f>_xlfn.XLOOKUP(CustomerCombined[[#This Row],[ID]], Table4[ID], Table4[Website], "Not Found", 0)</f>
        <v>8</v>
      </c>
      <c r="T2191" s="5">
        <f>_xlfn.XLOOKUP(CustomerCombined[[#This Row],[ID]], Table4[ID], Table4[Catalog], "Not Found", 0)</f>
        <v>2</v>
      </c>
      <c r="U2191" s="5">
        <f>_xlfn.XLOOKUP(CustomerCombined[[#This Row],[ID]], Table4[ID], Table4[Store], "Not Found", 0)</f>
        <v>5</v>
      </c>
      <c r="V2191" s="5">
        <f>_xlfn.XLOOKUP(CustomerCombined[[#This Row],[ID]], Table4[ID], Table4[Visits], "Not Found", 0)</f>
        <v>7</v>
      </c>
      <c r="W2191" s="8">
        <f>_xlfn.XLOOKUP(CustomerCombined[[#This Row],[ID]], Table2[ID],Table2[Complaint], "Not Found", 0 )</f>
        <v>0</v>
      </c>
      <c r="X2191" s="8">
        <f>_xlfn.XLOOKUP(CustomerCombined[[#This Row],[ID]], Table2[ID],Table2[Pilot], "Not Found", 0 )</f>
        <v>0</v>
      </c>
      <c r="Y2191" s="8">
        <f>_xlfn.XLOOKUP(CustomerCombined[[#This Row],[ID]], Table2[ID],Table2[MC1], "Not Found", 0 )</f>
        <v>1</v>
      </c>
      <c r="Z2191" s="8">
        <f>_xlfn.XLOOKUP(CustomerCombined[[#This Row],[ID]], Table2[ID],Table2[MC2], "Not Found", 0 )</f>
        <v>0</v>
      </c>
      <c r="AA2191" s="8">
        <f>_xlfn.XLOOKUP(CustomerCombined[[#This Row],[ID]], Table2[ID],Table2[MC3], "Not Found", 0 )</f>
        <v>0</v>
      </c>
      <c r="AB2191" s="8">
        <f>_xlfn.XLOOKUP(CustomerCombined[[#This Row],[ID]], Table2[ID],Table2[MC4], "Not Found", 0 )</f>
        <v>0</v>
      </c>
      <c r="AC2191" s="8">
        <f>_xlfn.XLOOKUP(CustomerCombined[[#This Row],[ID]], Table2[ID],Table2[MC5], "Not Found", 0 )</f>
        <v>0</v>
      </c>
    </row>
    <row r="2192" spans="1:29" x14ac:dyDescent="0.3">
      <c r="A2192" s="6">
        <v>2337</v>
      </c>
      <c r="B2192" s="6">
        <v>162159</v>
      </c>
      <c r="C2192" s="6">
        <v>0</v>
      </c>
      <c r="D2192" s="6">
        <v>0</v>
      </c>
      <c r="E2192" s="6">
        <v>74</v>
      </c>
      <c r="F2192" s="5" t="s">
        <v>7</v>
      </c>
      <c r="G2192" s="5" t="s">
        <v>13</v>
      </c>
      <c r="H2192" s="3">
        <v>43871</v>
      </c>
      <c r="I2192" s="5" t="s">
        <v>435</v>
      </c>
      <c r="J2192" s="5">
        <f>_xlfn.XLOOKUP(CustomerCombined[[#This Row],[ID]], Table4[ID], Table4[Recency], "Not Found", 0)</f>
        <v>68</v>
      </c>
      <c r="K2192" s="5">
        <f>_xlfn.XLOOKUP(CustomerCombined[[#This Row],[ID]], Table4[ID], Table4[Teas], "Not Found", 0)</f>
        <v>475</v>
      </c>
      <c r="L2192" s="5">
        <f>_xlfn.XLOOKUP(CustomerCombined[[#This Row],[ID]], Table4[ID], Table4[Fruits], "Not Found", 0)</f>
        <v>44</v>
      </c>
      <c r="M2192" s="5">
        <f>_xlfn.XLOOKUP(CustomerCombined[[#This Row],[ID]], Table4[ID], Table4[Meats], "Not Found", 0)</f>
        <v>676</v>
      </c>
      <c r="N2192" s="5">
        <f>_xlfn.XLOOKUP(CustomerCombined[[#This Row],[ID]], Table4[ID], Table4[Seafood], "Not Found", 0)</f>
        <v>201</v>
      </c>
      <c r="O2192" s="5">
        <f>_xlfn.XLOOKUP(CustomerCombined[[#This Row],[ID]], Table4[ID], Table4[Sweets], "Not Found", 0)</f>
        <v>183</v>
      </c>
      <c r="P2192" s="5">
        <f>_xlfn.XLOOKUP(CustomerCombined[[#This Row],[ID]], Table4[ID], Table4[Premium], "Not Found", 0)</f>
        <v>76</v>
      </c>
      <c r="Q2192" s="5">
        <f>_xlfn.XLOOKUP(CustomerCombined[[#This Row],[ID]], Table4[ID], Table4[Regular], "Not Found", 0)</f>
        <v>1503</v>
      </c>
      <c r="R2192" s="5">
        <f>_xlfn.XLOOKUP(CustomerCombined[[#This Row],[ID]], Table4[ID], Table4[Deals], "Not Found", 0)</f>
        <v>1</v>
      </c>
      <c r="S2192" s="5">
        <f>_xlfn.XLOOKUP(CustomerCombined[[#This Row],[ID]], Table4[ID], Table4[Website], "Not Found", 0)</f>
        <v>6</v>
      </c>
      <c r="T2192" s="5">
        <f>_xlfn.XLOOKUP(CustomerCombined[[#This Row],[ID]], Table4[ID], Table4[Catalog], "Not Found", 0)</f>
        <v>2</v>
      </c>
      <c r="U2192" s="5">
        <f>_xlfn.XLOOKUP(CustomerCombined[[#This Row],[ID]], Table4[ID], Table4[Store], "Not Found", 0)</f>
        <v>10</v>
      </c>
      <c r="V2192" s="5">
        <f>_xlfn.XLOOKUP(CustomerCombined[[#This Row],[ID]], Table4[ID], Table4[Visits], "Not Found", 0)</f>
        <v>4</v>
      </c>
      <c r="W2192" s="8">
        <f>_xlfn.XLOOKUP(CustomerCombined[[#This Row],[ID]], Table2[ID],Table2[Complaint], "Not Found", 0 )</f>
        <v>0</v>
      </c>
      <c r="X2192" s="8">
        <f>_xlfn.XLOOKUP(CustomerCombined[[#This Row],[ID]], Table2[ID],Table2[Pilot], "Not Found", 0 )</f>
        <v>0</v>
      </c>
      <c r="Y2192" s="8">
        <f>_xlfn.XLOOKUP(CustomerCombined[[#This Row],[ID]], Table2[ID],Table2[MC1], "Not Found", 0 )</f>
        <v>0</v>
      </c>
      <c r="Z2192" s="8">
        <f>_xlfn.XLOOKUP(CustomerCombined[[#This Row],[ID]], Table2[ID],Table2[MC2], "Not Found", 0 )</f>
        <v>0</v>
      </c>
      <c r="AA2192" s="8">
        <f>_xlfn.XLOOKUP(CustomerCombined[[#This Row],[ID]], Table2[ID],Table2[MC3], "Not Found", 0 )</f>
        <v>0</v>
      </c>
      <c r="AB2192" s="8">
        <f>_xlfn.XLOOKUP(CustomerCombined[[#This Row],[ID]], Table2[ID],Table2[MC4], "Not Found", 0 )</f>
        <v>0</v>
      </c>
      <c r="AC2192" s="8">
        <f>_xlfn.XLOOKUP(CustomerCombined[[#This Row],[ID]], Table2[ID],Table2[MC5], "Not Found", 0 )</f>
        <v>0</v>
      </c>
    </row>
    <row r="2193" spans="1:29" x14ac:dyDescent="0.3">
      <c r="A2193" s="6">
        <v>1377</v>
      </c>
      <c r="B2193" s="6">
        <v>151012</v>
      </c>
      <c r="C2193" s="6">
        <v>0</v>
      </c>
      <c r="D2193" s="6">
        <v>0</v>
      </c>
      <c r="E2193" s="6">
        <v>74</v>
      </c>
      <c r="F2193" s="5" t="s">
        <v>6</v>
      </c>
      <c r="G2193" s="5" t="s">
        <v>13</v>
      </c>
      <c r="H2193" s="3" t="s">
        <v>271</v>
      </c>
      <c r="I2193" s="5" t="s">
        <v>435</v>
      </c>
      <c r="J2193" s="5">
        <f>_xlfn.XLOOKUP(CustomerCombined[[#This Row],[ID]], Table4[ID], Table4[Recency], "Not Found", 0)</f>
        <v>86</v>
      </c>
      <c r="K2193" s="5">
        <f>_xlfn.XLOOKUP(CustomerCombined[[#This Row],[ID]], Table4[ID], Table4[Teas], "Not Found", 0)</f>
        <v>302</v>
      </c>
      <c r="L2193" s="5">
        <f>_xlfn.XLOOKUP(CustomerCombined[[#This Row],[ID]], Table4[ID], Table4[Fruits], "Not Found", 0)</f>
        <v>27</v>
      </c>
      <c r="M2193" s="5">
        <f>_xlfn.XLOOKUP(CustomerCombined[[#This Row],[ID]], Table4[ID], Table4[Meats], "Not Found", 0)</f>
        <v>187</v>
      </c>
      <c r="N2193" s="5">
        <f>_xlfn.XLOOKUP(CustomerCombined[[#This Row],[ID]], Table4[ID], Table4[Seafood], "Not Found", 0)</f>
        <v>6</v>
      </c>
      <c r="O2193" s="5">
        <f>_xlfn.XLOOKUP(CustomerCombined[[#This Row],[ID]], Table4[ID], Table4[Sweets], "Not Found", 0)</f>
        <v>27</v>
      </c>
      <c r="P2193" s="5">
        <f>_xlfn.XLOOKUP(CustomerCombined[[#This Row],[ID]], Table4[ID], Table4[Premium], "Not Found", 0)</f>
        <v>71</v>
      </c>
      <c r="Q2193" s="5">
        <f>_xlfn.XLOOKUP(CustomerCombined[[#This Row],[ID]], Table4[ID], Table4[Regular], "Not Found", 0)</f>
        <v>477</v>
      </c>
      <c r="R2193" s="5">
        <f>_xlfn.XLOOKUP(CustomerCombined[[#This Row],[ID]], Table4[ID], Table4[Deals], "Not Found", 0)</f>
        <v>1</v>
      </c>
      <c r="S2193" s="5">
        <f>_xlfn.XLOOKUP(CustomerCombined[[#This Row],[ID]], Table4[ID], Table4[Website], "Not Found", 0)</f>
        <v>4</v>
      </c>
      <c r="T2193" s="5">
        <f>_xlfn.XLOOKUP(CustomerCombined[[#This Row],[ID]], Table4[ID], Table4[Catalog], "Not Found", 0)</f>
        <v>1</v>
      </c>
      <c r="U2193" s="5">
        <f>_xlfn.XLOOKUP(CustomerCombined[[#This Row],[ID]], Table4[ID], Table4[Store], "Not Found", 0)</f>
        <v>4</v>
      </c>
      <c r="V2193" s="5">
        <f>_xlfn.XLOOKUP(CustomerCombined[[#This Row],[ID]], Table4[ID], Table4[Visits], "Not Found", 0)</f>
        <v>6</v>
      </c>
      <c r="W2193" s="8">
        <f>_xlfn.XLOOKUP(CustomerCombined[[#This Row],[ID]], Table2[ID],Table2[Complaint], "Not Found", 0 )</f>
        <v>0</v>
      </c>
      <c r="X2193" s="8">
        <f>_xlfn.XLOOKUP(CustomerCombined[[#This Row],[ID]], Table2[ID],Table2[Pilot], "Not Found", 0 )</f>
        <v>0</v>
      </c>
      <c r="Y2193" s="8">
        <f>_xlfn.XLOOKUP(CustomerCombined[[#This Row],[ID]], Table2[ID],Table2[MC1], "Not Found", 0 )</f>
        <v>0</v>
      </c>
      <c r="Z2193" s="8">
        <f>_xlfn.XLOOKUP(CustomerCombined[[#This Row],[ID]], Table2[ID],Table2[MC2], "Not Found", 0 )</f>
        <v>0</v>
      </c>
      <c r="AA2193" s="8">
        <f>_xlfn.XLOOKUP(CustomerCombined[[#This Row],[ID]], Table2[ID],Table2[MC3], "Not Found", 0 )</f>
        <v>0</v>
      </c>
      <c r="AB2193" s="8">
        <f>_xlfn.XLOOKUP(CustomerCombined[[#This Row],[ID]], Table2[ID],Table2[MC4], "Not Found", 0 )</f>
        <v>0</v>
      </c>
      <c r="AC2193" s="8">
        <f>_xlfn.XLOOKUP(CustomerCombined[[#This Row],[ID]], Table2[ID],Table2[MC5], "Not Found", 0 )</f>
        <v>0</v>
      </c>
    </row>
    <row r="2194" spans="1:29" x14ac:dyDescent="0.3">
      <c r="A2194" s="6">
        <v>2746</v>
      </c>
      <c r="B2194" s="6">
        <v>151012</v>
      </c>
      <c r="C2194" s="6">
        <v>0</v>
      </c>
      <c r="D2194" s="6">
        <v>0</v>
      </c>
      <c r="E2194" s="6">
        <v>74</v>
      </c>
      <c r="F2194" s="5" t="s">
        <v>6</v>
      </c>
      <c r="G2194" s="5" t="s">
        <v>13</v>
      </c>
      <c r="H2194" s="3" t="s">
        <v>271</v>
      </c>
      <c r="I2194" s="5" t="s">
        <v>439</v>
      </c>
      <c r="J2194" s="5">
        <f>_xlfn.XLOOKUP(CustomerCombined[[#This Row],[ID]], Table4[ID], Table4[Recency], "Not Found", 0)</f>
        <v>86</v>
      </c>
      <c r="K2194" s="5">
        <f>_xlfn.XLOOKUP(CustomerCombined[[#This Row],[ID]], Table4[ID], Table4[Teas], "Not Found", 0)</f>
        <v>302</v>
      </c>
      <c r="L2194" s="5">
        <f>_xlfn.XLOOKUP(CustomerCombined[[#This Row],[ID]], Table4[ID], Table4[Fruits], "Not Found", 0)</f>
        <v>27</v>
      </c>
      <c r="M2194" s="5">
        <f>_xlfn.XLOOKUP(CustomerCombined[[#This Row],[ID]], Table4[ID], Table4[Meats], "Not Found", 0)</f>
        <v>187</v>
      </c>
      <c r="N2194" s="5">
        <f>_xlfn.XLOOKUP(CustomerCombined[[#This Row],[ID]], Table4[ID], Table4[Seafood], "Not Found", 0)</f>
        <v>6</v>
      </c>
      <c r="O2194" s="5">
        <f>_xlfn.XLOOKUP(CustomerCombined[[#This Row],[ID]], Table4[ID], Table4[Sweets], "Not Found", 0)</f>
        <v>27</v>
      </c>
      <c r="P2194" s="5">
        <f>_xlfn.XLOOKUP(CustomerCombined[[#This Row],[ID]], Table4[ID], Table4[Premium], "Not Found", 0)</f>
        <v>71</v>
      </c>
      <c r="Q2194" s="5">
        <f>_xlfn.XLOOKUP(CustomerCombined[[#This Row],[ID]], Table4[ID], Table4[Regular], "Not Found", 0)</f>
        <v>477</v>
      </c>
      <c r="R2194" s="5">
        <f>_xlfn.XLOOKUP(CustomerCombined[[#This Row],[ID]], Table4[ID], Table4[Deals], "Not Found", 0)</f>
        <v>1</v>
      </c>
      <c r="S2194" s="5">
        <f>_xlfn.XLOOKUP(CustomerCombined[[#This Row],[ID]], Table4[ID], Table4[Website], "Not Found", 0)</f>
        <v>4</v>
      </c>
      <c r="T2194" s="5">
        <f>_xlfn.XLOOKUP(CustomerCombined[[#This Row],[ID]], Table4[ID], Table4[Catalog], "Not Found", 0)</f>
        <v>1</v>
      </c>
      <c r="U2194" s="5">
        <f>_xlfn.XLOOKUP(CustomerCombined[[#This Row],[ID]], Table4[ID], Table4[Store], "Not Found", 0)</f>
        <v>4</v>
      </c>
      <c r="V2194" s="5">
        <f>_xlfn.XLOOKUP(CustomerCombined[[#This Row],[ID]], Table4[ID], Table4[Visits], "Not Found", 0)</f>
        <v>6</v>
      </c>
      <c r="W2194" s="8">
        <f>_xlfn.XLOOKUP(CustomerCombined[[#This Row],[ID]], Table2[ID],Table2[Complaint], "Not Found", 0 )</f>
        <v>0</v>
      </c>
      <c r="X2194" s="8">
        <f>_xlfn.XLOOKUP(CustomerCombined[[#This Row],[ID]], Table2[ID],Table2[Pilot], "Not Found", 0 )</f>
        <v>0</v>
      </c>
      <c r="Y2194" s="8">
        <f>_xlfn.XLOOKUP(CustomerCombined[[#This Row],[ID]], Table2[ID],Table2[MC1], "Not Found", 0 )</f>
        <v>0</v>
      </c>
      <c r="Z2194" s="8">
        <f>_xlfn.XLOOKUP(CustomerCombined[[#This Row],[ID]], Table2[ID],Table2[MC2], "Not Found", 0 )</f>
        <v>0</v>
      </c>
      <c r="AA2194" s="8">
        <f>_xlfn.XLOOKUP(CustomerCombined[[#This Row],[ID]], Table2[ID],Table2[MC3], "Not Found", 0 )</f>
        <v>0</v>
      </c>
      <c r="AB2194" s="8">
        <f>_xlfn.XLOOKUP(CustomerCombined[[#This Row],[ID]], Table2[ID],Table2[MC4], "Not Found", 0 )</f>
        <v>0</v>
      </c>
      <c r="AC2194" s="8">
        <f>_xlfn.XLOOKUP(CustomerCombined[[#This Row],[ID]], Table2[ID],Table2[MC5], "Not Found", 0 )</f>
        <v>0</v>
      </c>
    </row>
    <row r="2195" spans="1:29" x14ac:dyDescent="0.3">
      <c r="A2195" s="6">
        <v>1498</v>
      </c>
      <c r="B2195" s="6">
        <v>144124</v>
      </c>
      <c r="C2195" s="6">
        <v>0</v>
      </c>
      <c r="D2195" s="6">
        <v>1</v>
      </c>
      <c r="E2195" s="6">
        <v>74</v>
      </c>
      <c r="F2195" s="5" t="s">
        <v>8</v>
      </c>
      <c r="G2195" s="5" t="s">
        <v>13</v>
      </c>
      <c r="H2195" s="3" t="s">
        <v>260</v>
      </c>
      <c r="I2195" s="5" t="s">
        <v>439</v>
      </c>
      <c r="J2195" s="5">
        <f>_xlfn.XLOOKUP(CustomerCombined[[#This Row],[ID]], Table4[ID], Table4[Recency], "Not Found", 0)</f>
        <v>62</v>
      </c>
      <c r="K2195" s="5">
        <f>_xlfn.XLOOKUP(CustomerCombined[[#This Row],[ID]], Table4[ID], Table4[Teas], "Not Found", 0)</f>
        <v>928</v>
      </c>
      <c r="L2195" s="5">
        <f>_xlfn.XLOOKUP(CustomerCombined[[#This Row],[ID]], Table4[ID], Table4[Fruits], "Not Found", 0)</f>
        <v>0</v>
      </c>
      <c r="M2195" s="5">
        <f>_xlfn.XLOOKUP(CustomerCombined[[#This Row],[ID]], Table4[ID], Table4[Meats], "Not Found", 0)</f>
        <v>180</v>
      </c>
      <c r="N2195" s="5">
        <f>_xlfn.XLOOKUP(CustomerCombined[[#This Row],[ID]], Table4[ID], Table4[Seafood], "Not Found", 0)</f>
        <v>0</v>
      </c>
      <c r="O2195" s="5">
        <f>_xlfn.XLOOKUP(CustomerCombined[[#This Row],[ID]], Table4[ID], Table4[Sweets], "Not Found", 0)</f>
        <v>20</v>
      </c>
      <c r="P2195" s="5">
        <f>_xlfn.XLOOKUP(CustomerCombined[[#This Row],[ID]], Table4[ID], Table4[Premium], "Not Found", 0)</f>
        <v>170</v>
      </c>
      <c r="Q2195" s="5">
        <f>_xlfn.XLOOKUP(CustomerCombined[[#This Row],[ID]], Table4[ID], Table4[Regular], "Not Found", 0)</f>
        <v>957</v>
      </c>
      <c r="R2195" s="5">
        <f>_xlfn.XLOOKUP(CustomerCombined[[#This Row],[ID]], Table4[ID], Table4[Deals], "Not Found", 0)</f>
        <v>4</v>
      </c>
      <c r="S2195" s="5">
        <f>_xlfn.XLOOKUP(CustomerCombined[[#This Row],[ID]], Table4[ID], Table4[Website], "Not Found", 0)</f>
        <v>6</v>
      </c>
      <c r="T2195" s="5">
        <f>_xlfn.XLOOKUP(CustomerCombined[[#This Row],[ID]], Table4[ID], Table4[Catalog], "Not Found", 0)</f>
        <v>2</v>
      </c>
      <c r="U2195" s="5">
        <f>_xlfn.XLOOKUP(CustomerCombined[[#This Row],[ID]], Table4[ID], Table4[Store], "Not Found", 0)</f>
        <v>5</v>
      </c>
      <c r="V2195" s="5">
        <f>_xlfn.XLOOKUP(CustomerCombined[[#This Row],[ID]], Table4[ID], Table4[Visits], "Not Found", 0)</f>
        <v>8</v>
      </c>
      <c r="W2195" s="8">
        <f>_xlfn.XLOOKUP(CustomerCombined[[#This Row],[ID]], Table2[ID],Table2[Complaint], "Not Found", 0 )</f>
        <v>0</v>
      </c>
      <c r="X2195" s="8">
        <f>_xlfn.XLOOKUP(CustomerCombined[[#This Row],[ID]], Table2[ID],Table2[Pilot], "Not Found", 0 )</f>
        <v>0</v>
      </c>
      <c r="Y2195" s="8">
        <f>_xlfn.XLOOKUP(CustomerCombined[[#This Row],[ID]], Table2[ID],Table2[MC1], "Not Found", 0 )</f>
        <v>0</v>
      </c>
      <c r="Z2195" s="8">
        <f>_xlfn.XLOOKUP(CustomerCombined[[#This Row],[ID]], Table2[ID],Table2[MC2], "Not Found", 0 )</f>
        <v>0</v>
      </c>
      <c r="AA2195" s="8">
        <f>_xlfn.XLOOKUP(CustomerCombined[[#This Row],[ID]], Table2[ID],Table2[MC3], "Not Found", 0 )</f>
        <v>0</v>
      </c>
      <c r="AB2195" s="8">
        <f>_xlfn.XLOOKUP(CustomerCombined[[#This Row],[ID]], Table2[ID],Table2[MC4], "Not Found", 0 )</f>
        <v>0</v>
      </c>
      <c r="AC2195" s="8">
        <f>_xlfn.XLOOKUP(CustomerCombined[[#This Row],[ID]], Table2[ID],Table2[MC5], "Not Found", 0 )</f>
        <v>0</v>
      </c>
    </row>
    <row r="2196" spans="1:29" x14ac:dyDescent="0.3">
      <c r="A2196" s="6">
        <v>1017</v>
      </c>
      <c r="B2196" s="6">
        <v>137760</v>
      </c>
      <c r="C2196" s="6">
        <v>0</v>
      </c>
      <c r="D2196" s="6">
        <v>0</v>
      </c>
      <c r="E2196" s="6">
        <v>74</v>
      </c>
      <c r="F2196" s="5" t="s">
        <v>8</v>
      </c>
      <c r="G2196" s="5" t="s">
        <v>11</v>
      </c>
      <c r="H2196" s="3">
        <v>43587</v>
      </c>
      <c r="I2196" s="5" t="s">
        <v>435</v>
      </c>
      <c r="J2196" s="5">
        <f>_xlfn.XLOOKUP(CustomerCombined[[#This Row],[ID]], Table4[ID], Table4[Recency], "Not Found", 0)</f>
        <v>20</v>
      </c>
      <c r="K2196" s="5">
        <f>_xlfn.XLOOKUP(CustomerCombined[[#This Row],[ID]], Table4[ID], Table4[Teas], "Not Found", 0)</f>
        <v>306</v>
      </c>
      <c r="L2196" s="5">
        <f>_xlfn.XLOOKUP(CustomerCombined[[#This Row],[ID]], Table4[ID], Table4[Fruits], "Not Found", 0)</f>
        <v>18</v>
      </c>
      <c r="M2196" s="5">
        <f>_xlfn.XLOOKUP(CustomerCombined[[#This Row],[ID]], Table4[ID], Table4[Meats], "Not Found", 0)</f>
        <v>139</v>
      </c>
      <c r="N2196" s="5">
        <f>_xlfn.XLOOKUP(CustomerCombined[[#This Row],[ID]], Table4[ID], Table4[Seafood], "Not Found", 0)</f>
        <v>547</v>
      </c>
      <c r="O2196" s="5">
        <f>_xlfn.XLOOKUP(CustomerCombined[[#This Row],[ID]], Table4[ID], Table4[Sweets], "Not Found", 0)</f>
        <v>44</v>
      </c>
      <c r="P2196" s="5">
        <f>_xlfn.XLOOKUP(CustomerCombined[[#This Row],[ID]], Table4[ID], Table4[Premium], "Not Found", 0)</f>
        <v>102</v>
      </c>
      <c r="Q2196" s="5">
        <f>_xlfn.XLOOKUP(CustomerCombined[[#This Row],[ID]], Table4[ID], Table4[Regular], "Not Found", 0)</f>
        <v>952</v>
      </c>
      <c r="R2196" s="5">
        <f>_xlfn.XLOOKUP(CustomerCombined[[#This Row],[ID]], Table4[ID], Table4[Deals], "Not Found", 0)</f>
        <v>2</v>
      </c>
      <c r="S2196" s="5">
        <f>_xlfn.XLOOKUP(CustomerCombined[[#This Row],[ID]], Table4[ID], Table4[Website], "Not Found", 0)</f>
        <v>4</v>
      </c>
      <c r="T2196" s="5">
        <f>_xlfn.XLOOKUP(CustomerCombined[[#This Row],[ID]], Table4[ID], Table4[Catalog], "Not Found", 0)</f>
        <v>1</v>
      </c>
      <c r="U2196" s="5">
        <f>_xlfn.XLOOKUP(CustomerCombined[[#This Row],[ID]], Table4[ID], Table4[Store], "Not Found", 0)</f>
        <v>6</v>
      </c>
      <c r="V2196" s="5">
        <f>_xlfn.XLOOKUP(CustomerCombined[[#This Row],[ID]], Table4[ID], Table4[Visits], "Not Found", 0)</f>
        <v>7</v>
      </c>
      <c r="W2196" s="8">
        <f>_xlfn.XLOOKUP(CustomerCombined[[#This Row],[ID]], Table2[ID],Table2[Complaint], "Not Found", 0 )</f>
        <v>0</v>
      </c>
      <c r="X2196" s="8">
        <f>_xlfn.XLOOKUP(CustomerCombined[[#This Row],[ID]], Table2[ID],Table2[Pilot], "Not Found", 0 )</f>
        <v>0</v>
      </c>
      <c r="Y2196" s="8">
        <f>_xlfn.XLOOKUP(CustomerCombined[[#This Row],[ID]], Table2[ID],Table2[MC1], "Not Found", 0 )</f>
        <v>0</v>
      </c>
      <c r="Z2196" s="8">
        <f>_xlfn.XLOOKUP(CustomerCombined[[#This Row],[ID]], Table2[ID],Table2[MC2], "Not Found", 0 )</f>
        <v>0</v>
      </c>
      <c r="AA2196" s="8">
        <f>_xlfn.XLOOKUP(CustomerCombined[[#This Row],[ID]], Table2[ID],Table2[MC3], "Not Found", 0 )</f>
        <v>0</v>
      </c>
      <c r="AB2196" s="8">
        <f>_xlfn.XLOOKUP(CustomerCombined[[#This Row],[ID]], Table2[ID],Table2[MC4], "Not Found", 0 )</f>
        <v>0</v>
      </c>
      <c r="AC2196" s="8">
        <f>_xlfn.XLOOKUP(CustomerCombined[[#This Row],[ID]], Table2[ID],Table2[MC5], "Not Found", 0 )</f>
        <v>0</v>
      </c>
    </row>
    <row r="2197" spans="1:29" x14ac:dyDescent="0.3">
      <c r="A2197" s="6">
        <v>1269</v>
      </c>
      <c r="B2197" s="6">
        <v>137760</v>
      </c>
      <c r="C2197" s="6">
        <v>0</v>
      </c>
      <c r="D2197" s="6">
        <v>0</v>
      </c>
      <c r="E2197" s="6">
        <v>74</v>
      </c>
      <c r="F2197" s="5" t="s">
        <v>8</v>
      </c>
      <c r="G2197" s="5" t="s">
        <v>11</v>
      </c>
      <c r="H2197" s="3">
        <v>43587</v>
      </c>
      <c r="I2197" s="5" t="s">
        <v>435</v>
      </c>
      <c r="J2197" s="5">
        <f>_xlfn.XLOOKUP(CustomerCombined[[#This Row],[ID]], Table4[ID], Table4[Recency], "Not Found", 0)</f>
        <v>20</v>
      </c>
      <c r="K2197" s="5">
        <f>_xlfn.XLOOKUP(CustomerCombined[[#This Row],[ID]], Table4[ID], Table4[Teas], "Not Found", 0)</f>
        <v>306</v>
      </c>
      <c r="L2197" s="5">
        <f>_xlfn.XLOOKUP(CustomerCombined[[#This Row],[ID]], Table4[ID], Table4[Fruits], "Not Found", 0)</f>
        <v>18</v>
      </c>
      <c r="M2197" s="5">
        <f>_xlfn.XLOOKUP(CustomerCombined[[#This Row],[ID]], Table4[ID], Table4[Meats], "Not Found", 0)</f>
        <v>139</v>
      </c>
      <c r="N2197" s="5">
        <f>_xlfn.XLOOKUP(CustomerCombined[[#This Row],[ID]], Table4[ID], Table4[Seafood], "Not Found", 0)</f>
        <v>547</v>
      </c>
      <c r="O2197" s="5">
        <f>_xlfn.XLOOKUP(CustomerCombined[[#This Row],[ID]], Table4[ID], Table4[Sweets], "Not Found", 0)</f>
        <v>44</v>
      </c>
      <c r="P2197" s="5">
        <f>_xlfn.XLOOKUP(CustomerCombined[[#This Row],[ID]], Table4[ID], Table4[Premium], "Not Found", 0)</f>
        <v>102</v>
      </c>
      <c r="Q2197" s="5">
        <f>_xlfn.XLOOKUP(CustomerCombined[[#This Row],[ID]], Table4[ID], Table4[Regular], "Not Found", 0)</f>
        <v>952</v>
      </c>
      <c r="R2197" s="5">
        <f>_xlfn.XLOOKUP(CustomerCombined[[#This Row],[ID]], Table4[ID], Table4[Deals], "Not Found", 0)</f>
        <v>2</v>
      </c>
      <c r="S2197" s="5">
        <f>_xlfn.XLOOKUP(CustomerCombined[[#This Row],[ID]], Table4[ID], Table4[Website], "Not Found", 0)</f>
        <v>4</v>
      </c>
      <c r="T2197" s="5">
        <f>_xlfn.XLOOKUP(CustomerCombined[[#This Row],[ID]], Table4[ID], Table4[Catalog], "Not Found", 0)</f>
        <v>1</v>
      </c>
      <c r="U2197" s="5">
        <f>_xlfn.XLOOKUP(CustomerCombined[[#This Row],[ID]], Table4[ID], Table4[Store], "Not Found", 0)</f>
        <v>6</v>
      </c>
      <c r="V2197" s="5">
        <f>_xlfn.XLOOKUP(CustomerCombined[[#This Row],[ID]], Table4[ID], Table4[Visits], "Not Found", 0)</f>
        <v>7</v>
      </c>
      <c r="W2197" s="8">
        <f>_xlfn.XLOOKUP(CustomerCombined[[#This Row],[ID]], Table2[ID],Table2[Complaint], "Not Found", 0 )</f>
        <v>0</v>
      </c>
      <c r="X2197" s="8">
        <f>_xlfn.XLOOKUP(CustomerCombined[[#This Row],[ID]], Table2[ID],Table2[Pilot], "Not Found", 0 )</f>
        <v>0</v>
      </c>
      <c r="Y2197" s="8">
        <f>_xlfn.XLOOKUP(CustomerCombined[[#This Row],[ID]], Table2[ID],Table2[MC1], "Not Found", 0 )</f>
        <v>0</v>
      </c>
      <c r="Z2197" s="8">
        <f>_xlfn.XLOOKUP(CustomerCombined[[#This Row],[ID]], Table2[ID],Table2[MC2], "Not Found", 0 )</f>
        <v>0</v>
      </c>
      <c r="AA2197" s="8">
        <f>_xlfn.XLOOKUP(CustomerCombined[[#This Row],[ID]], Table2[ID],Table2[MC3], "Not Found", 0 )</f>
        <v>0</v>
      </c>
      <c r="AB2197" s="8">
        <f>_xlfn.XLOOKUP(CustomerCombined[[#This Row],[ID]], Table2[ID],Table2[MC4], "Not Found", 0 )</f>
        <v>0</v>
      </c>
      <c r="AC2197" s="8">
        <f>_xlfn.XLOOKUP(CustomerCombined[[#This Row],[ID]], Table2[ID],Table2[MC5], "Not Found", 0 )</f>
        <v>0</v>
      </c>
    </row>
    <row r="2198" spans="1:29" x14ac:dyDescent="0.3">
      <c r="A2198" s="6">
        <v>1426</v>
      </c>
      <c r="B2198" s="6">
        <v>118100</v>
      </c>
      <c r="C2198" s="6">
        <v>0</v>
      </c>
      <c r="D2198" s="6">
        <v>0</v>
      </c>
      <c r="E2198" s="6">
        <v>74</v>
      </c>
      <c r="F2198" s="5" t="s">
        <v>6</v>
      </c>
      <c r="G2198" s="5" t="s">
        <v>11</v>
      </c>
      <c r="H2198" s="3">
        <v>44136</v>
      </c>
      <c r="I2198" s="5" t="s">
        <v>439</v>
      </c>
      <c r="J2198" s="5">
        <f>_xlfn.XLOOKUP(CustomerCombined[[#This Row],[ID]], Table4[ID], Table4[Recency], "Not Found", 0)</f>
        <v>14</v>
      </c>
      <c r="K2198" s="5">
        <f>_xlfn.XLOOKUP(CustomerCombined[[#This Row],[ID]], Table4[ID], Table4[Teas], "Not Found", 0)</f>
        <v>20</v>
      </c>
      <c r="L2198" s="5">
        <f>_xlfn.XLOOKUP(CustomerCombined[[#This Row],[ID]], Table4[ID], Table4[Fruits], "Not Found", 0)</f>
        <v>7</v>
      </c>
      <c r="M2198" s="5">
        <f>_xlfn.XLOOKUP(CustomerCombined[[#This Row],[ID]], Table4[ID], Table4[Meats], "Not Found", 0)</f>
        <v>13</v>
      </c>
      <c r="N2198" s="5">
        <f>_xlfn.XLOOKUP(CustomerCombined[[#This Row],[ID]], Table4[ID], Table4[Seafood], "Not Found", 0)</f>
        <v>26</v>
      </c>
      <c r="O2198" s="5">
        <f>_xlfn.XLOOKUP(CustomerCombined[[#This Row],[ID]], Table4[ID], Table4[Sweets], "Not Found", 0)</f>
        <v>20</v>
      </c>
      <c r="P2198" s="5">
        <f>_xlfn.XLOOKUP(CustomerCombined[[#This Row],[ID]], Table4[ID], Table4[Premium], "Not Found", 0)</f>
        <v>7</v>
      </c>
      <c r="Q2198" s="5">
        <f>_xlfn.XLOOKUP(CustomerCombined[[#This Row],[ID]], Table4[ID], Table4[Regular], "Not Found", 0)</f>
        <v>78</v>
      </c>
      <c r="R2198" s="5">
        <f>_xlfn.XLOOKUP(CustomerCombined[[#This Row],[ID]], Table4[ID], Table4[Deals], "Not Found", 0)</f>
        <v>1</v>
      </c>
      <c r="S2198" s="5">
        <f>_xlfn.XLOOKUP(CustomerCombined[[#This Row],[ID]], Table4[ID], Table4[Website], "Not Found", 0)</f>
        <v>0</v>
      </c>
      <c r="T2198" s="5">
        <f>_xlfn.XLOOKUP(CustomerCombined[[#This Row],[ID]], Table4[ID], Table4[Catalog], "Not Found", 0)</f>
        <v>0</v>
      </c>
      <c r="U2198" s="5">
        <f>_xlfn.XLOOKUP(CustomerCombined[[#This Row],[ID]], Table4[ID], Table4[Store], "Not Found", 0)</f>
        <v>3</v>
      </c>
      <c r="V2198" s="5">
        <f>_xlfn.XLOOKUP(CustomerCombined[[#This Row],[ID]], Table4[ID], Table4[Visits], "Not Found", 0)</f>
        <v>5</v>
      </c>
      <c r="W2198" s="8">
        <f>_xlfn.XLOOKUP(CustomerCombined[[#This Row],[ID]], Table2[ID],Table2[Complaint], "Not Found", 0 )</f>
        <v>0</v>
      </c>
      <c r="X2198" s="8">
        <f>_xlfn.XLOOKUP(CustomerCombined[[#This Row],[ID]], Table2[ID],Table2[Pilot], "Not Found", 0 )</f>
        <v>0</v>
      </c>
      <c r="Y2198" s="8">
        <f>_xlfn.XLOOKUP(CustomerCombined[[#This Row],[ID]], Table2[ID],Table2[MC1], "Not Found", 0 )</f>
        <v>0</v>
      </c>
      <c r="Z2198" s="8">
        <f>_xlfn.XLOOKUP(CustomerCombined[[#This Row],[ID]], Table2[ID],Table2[MC2], "Not Found", 0 )</f>
        <v>0</v>
      </c>
      <c r="AA2198" s="8">
        <f>_xlfn.XLOOKUP(CustomerCombined[[#This Row],[ID]], Table2[ID],Table2[MC3], "Not Found", 0 )</f>
        <v>0</v>
      </c>
      <c r="AB2198" s="8">
        <f>_xlfn.XLOOKUP(CustomerCombined[[#This Row],[ID]], Table2[ID],Table2[MC4], "Not Found", 0 )</f>
        <v>0</v>
      </c>
      <c r="AC2198" s="8">
        <f>_xlfn.XLOOKUP(CustomerCombined[[#This Row],[ID]], Table2[ID],Table2[MC5], "Not Found", 0 )</f>
        <v>0</v>
      </c>
    </row>
    <row r="2199" spans="1:29" x14ac:dyDescent="0.3">
      <c r="A2199" s="6">
        <v>2873</v>
      </c>
      <c r="B2199" s="6">
        <v>213734</v>
      </c>
      <c r="C2199" s="6">
        <v>0</v>
      </c>
      <c r="D2199" s="6">
        <v>0</v>
      </c>
      <c r="E2199" s="6">
        <v>75</v>
      </c>
      <c r="F2199" s="5" t="s">
        <v>7</v>
      </c>
      <c r="G2199" s="5" t="s">
        <v>13</v>
      </c>
      <c r="H2199" s="3">
        <v>43841</v>
      </c>
      <c r="I2199" s="5" t="s">
        <v>434</v>
      </c>
      <c r="J2199" s="5">
        <f>_xlfn.XLOOKUP(CustomerCombined[[#This Row],[ID]], Table4[ID], Table4[Recency], "Not Found", 0)</f>
        <v>9</v>
      </c>
      <c r="K2199" s="5">
        <f>_xlfn.XLOOKUP(CustomerCombined[[#This Row],[ID]], Table4[ID], Table4[Teas], "Not Found", 0)</f>
        <v>11</v>
      </c>
      <c r="L2199" s="5">
        <f>_xlfn.XLOOKUP(CustomerCombined[[#This Row],[ID]], Table4[ID], Table4[Fruits], "Not Found", 0)</f>
        <v>4</v>
      </c>
      <c r="M2199" s="5">
        <f>_xlfn.XLOOKUP(CustomerCombined[[#This Row],[ID]], Table4[ID], Table4[Meats], "Not Found", 0)</f>
        <v>6</v>
      </c>
      <c r="N2199" s="5">
        <f>_xlfn.XLOOKUP(CustomerCombined[[#This Row],[ID]], Table4[ID], Table4[Seafood], "Not Found", 0)</f>
        <v>2</v>
      </c>
      <c r="O2199" s="5">
        <f>_xlfn.XLOOKUP(CustomerCombined[[#This Row],[ID]], Table4[ID], Table4[Sweets], "Not Found", 0)</f>
        <v>492</v>
      </c>
      <c r="P2199" s="5">
        <f>_xlfn.XLOOKUP(CustomerCombined[[#This Row],[ID]], Table4[ID], Table4[Premium], "Not Found", 0)</f>
        <v>6</v>
      </c>
      <c r="Q2199" s="5">
        <f>_xlfn.XLOOKUP(CustomerCombined[[#This Row],[ID]], Table4[ID], Table4[Regular], "Not Found", 0)</f>
        <v>509</v>
      </c>
      <c r="R2199" s="5">
        <f>_xlfn.XLOOKUP(CustomerCombined[[#This Row],[ID]], Table4[ID], Table4[Deals], "Not Found", 0)</f>
        <v>0</v>
      </c>
      <c r="S2199" s="5">
        <f>_xlfn.XLOOKUP(CustomerCombined[[#This Row],[ID]], Table4[ID], Table4[Website], "Not Found", 0)</f>
        <v>27</v>
      </c>
      <c r="T2199" s="5">
        <f>_xlfn.XLOOKUP(CustomerCombined[[#This Row],[ID]], Table4[ID], Table4[Catalog], "Not Found", 0)</f>
        <v>0</v>
      </c>
      <c r="U2199" s="5">
        <f>_xlfn.XLOOKUP(CustomerCombined[[#This Row],[ID]], Table4[ID], Table4[Store], "Not Found", 0)</f>
        <v>0</v>
      </c>
      <c r="V2199" s="5">
        <f>_xlfn.XLOOKUP(CustomerCombined[[#This Row],[ID]], Table4[ID], Table4[Visits], "Not Found", 0)</f>
        <v>1</v>
      </c>
      <c r="W2199" s="8">
        <f>_xlfn.XLOOKUP(CustomerCombined[[#This Row],[ID]], Table2[ID],Table2[Complaint], "Not Found", 0 )</f>
        <v>0</v>
      </c>
      <c r="X2199" s="8">
        <f>_xlfn.XLOOKUP(CustomerCombined[[#This Row],[ID]], Table2[ID],Table2[Pilot], "Not Found", 0 )</f>
        <v>0</v>
      </c>
      <c r="Y2199" s="8">
        <f>_xlfn.XLOOKUP(CustomerCombined[[#This Row],[ID]], Table2[ID],Table2[MC1], "Not Found", 0 )</f>
        <v>0</v>
      </c>
      <c r="Z2199" s="8">
        <f>_xlfn.XLOOKUP(CustomerCombined[[#This Row],[ID]], Table2[ID],Table2[MC2], "Not Found", 0 )</f>
        <v>0</v>
      </c>
      <c r="AA2199" s="8">
        <f>_xlfn.XLOOKUP(CustomerCombined[[#This Row],[ID]], Table2[ID],Table2[MC3], "Not Found", 0 )</f>
        <v>0</v>
      </c>
      <c r="AB2199" s="8">
        <f>_xlfn.XLOOKUP(CustomerCombined[[#This Row],[ID]], Table2[ID],Table2[MC4], "Not Found", 0 )</f>
        <v>0</v>
      </c>
      <c r="AC2199" s="8">
        <f>_xlfn.XLOOKUP(CustomerCombined[[#This Row],[ID]], Table2[ID],Table2[MC5], "Not Found", 0 )</f>
        <v>0</v>
      </c>
    </row>
    <row r="2200" spans="1:29" x14ac:dyDescent="0.3">
      <c r="A2200" s="6">
        <v>2309</v>
      </c>
      <c r="B2200" s="6">
        <v>171604</v>
      </c>
      <c r="C2200" s="6">
        <v>0</v>
      </c>
      <c r="D2200" s="6">
        <v>0</v>
      </c>
      <c r="E2200" s="6">
        <v>75</v>
      </c>
      <c r="F2200" s="5" t="s">
        <v>8</v>
      </c>
      <c r="G2200" s="5" t="s">
        <v>13</v>
      </c>
      <c r="H2200" s="3" t="s">
        <v>148</v>
      </c>
      <c r="I2200" s="5" t="s">
        <v>434</v>
      </c>
      <c r="J2200" s="5">
        <f>_xlfn.XLOOKUP(CustomerCombined[[#This Row],[ID]], Table4[ID], Table4[Recency], "Not Found", 0)</f>
        <v>3</v>
      </c>
      <c r="K2200" s="5">
        <f>_xlfn.XLOOKUP(CustomerCombined[[#This Row],[ID]], Table4[ID], Table4[Teas], "Not Found", 0)</f>
        <v>827</v>
      </c>
      <c r="L2200" s="5">
        <f>_xlfn.XLOOKUP(CustomerCombined[[#This Row],[ID]], Table4[ID], Table4[Fruits], "Not Found", 0)</f>
        <v>127</v>
      </c>
      <c r="M2200" s="5">
        <f>_xlfn.XLOOKUP(CustomerCombined[[#This Row],[ID]], Table4[ID], Table4[Meats], "Not Found", 0)</f>
        <v>1265</v>
      </c>
      <c r="N2200" s="5">
        <f>_xlfn.XLOOKUP(CustomerCombined[[#This Row],[ID]], Table4[ID], Table4[Seafood], "Not Found", 0)</f>
        <v>235</v>
      </c>
      <c r="O2200" s="5">
        <f>_xlfn.XLOOKUP(CustomerCombined[[#This Row],[ID]], Table4[ID], Table4[Sweets], "Not Found", 0)</f>
        <v>180</v>
      </c>
      <c r="P2200" s="5">
        <f>_xlfn.XLOOKUP(CustomerCombined[[#This Row],[ID]], Table4[ID], Table4[Premium], "Not Found", 0)</f>
        <v>232</v>
      </c>
      <c r="Q2200" s="5">
        <f>_xlfn.XLOOKUP(CustomerCombined[[#This Row],[ID]], Table4[ID], Table4[Regular], "Not Found", 0)</f>
        <v>2401</v>
      </c>
      <c r="R2200" s="5">
        <f>_xlfn.XLOOKUP(CustomerCombined[[#This Row],[ID]], Table4[ID], Table4[Deals], "Not Found", 0)</f>
        <v>1</v>
      </c>
      <c r="S2200" s="5">
        <f>_xlfn.XLOOKUP(CustomerCombined[[#This Row],[ID]], Table4[ID], Table4[Website], "Not Found", 0)</f>
        <v>8</v>
      </c>
      <c r="T2200" s="5">
        <f>_xlfn.XLOOKUP(CustomerCombined[[#This Row],[ID]], Table4[ID], Table4[Catalog], "Not Found", 0)</f>
        <v>3</v>
      </c>
      <c r="U2200" s="5">
        <f>_xlfn.XLOOKUP(CustomerCombined[[#This Row],[ID]], Table4[ID], Table4[Store], "Not Found", 0)</f>
        <v>5</v>
      </c>
      <c r="V2200" s="5">
        <f>_xlfn.XLOOKUP(CustomerCombined[[#This Row],[ID]], Table4[ID], Table4[Visits], "Not Found", 0)</f>
        <v>4</v>
      </c>
      <c r="W2200" s="8">
        <f>_xlfn.XLOOKUP(CustomerCombined[[#This Row],[ID]], Table2[ID],Table2[Complaint], "Not Found", 0 )</f>
        <v>0</v>
      </c>
      <c r="X2200" s="8">
        <f>_xlfn.XLOOKUP(CustomerCombined[[#This Row],[ID]], Table2[ID],Table2[Pilot], "Not Found", 0 )</f>
        <v>1</v>
      </c>
      <c r="Y2200" s="8">
        <f>_xlfn.XLOOKUP(CustomerCombined[[#This Row],[ID]], Table2[ID],Table2[MC1], "Not Found", 0 )</f>
        <v>0</v>
      </c>
      <c r="Z2200" s="8">
        <f>_xlfn.XLOOKUP(CustomerCombined[[#This Row],[ID]], Table2[ID],Table2[MC2], "Not Found", 0 )</f>
        <v>0</v>
      </c>
      <c r="AA2200" s="8">
        <f>_xlfn.XLOOKUP(CustomerCombined[[#This Row],[ID]], Table2[ID],Table2[MC3], "Not Found", 0 )</f>
        <v>1</v>
      </c>
      <c r="AB2200" s="8">
        <f>_xlfn.XLOOKUP(CustomerCombined[[#This Row],[ID]], Table2[ID],Table2[MC4], "Not Found", 0 )</f>
        <v>0</v>
      </c>
      <c r="AC2200" s="8">
        <f>_xlfn.XLOOKUP(CustomerCombined[[#This Row],[ID]], Table2[ID],Table2[MC5], "Not Found", 0 )</f>
        <v>0</v>
      </c>
    </row>
    <row r="2201" spans="1:29" x14ac:dyDescent="0.3">
      <c r="A2201" s="6">
        <v>1151</v>
      </c>
      <c r="B2201" s="6">
        <v>170356</v>
      </c>
      <c r="C2201" s="6">
        <v>0</v>
      </c>
      <c r="D2201" s="6">
        <v>0</v>
      </c>
      <c r="E2201" s="6">
        <v>75</v>
      </c>
      <c r="F2201" s="5" t="s">
        <v>6</v>
      </c>
      <c r="G2201" s="5" t="s">
        <v>13</v>
      </c>
      <c r="H2201" s="3">
        <v>43803</v>
      </c>
      <c r="I2201" s="5" t="s">
        <v>434</v>
      </c>
      <c r="J2201" s="5">
        <f>_xlfn.XLOOKUP(CustomerCombined[[#This Row],[ID]], Table4[ID], Table4[Recency], "Not Found", 0)</f>
        <v>20</v>
      </c>
      <c r="K2201" s="5">
        <f>_xlfn.XLOOKUP(CustomerCombined[[#This Row],[ID]], Table4[ID], Table4[Teas], "Not Found", 0)</f>
        <v>3266</v>
      </c>
      <c r="L2201" s="5">
        <f>_xlfn.XLOOKUP(CustomerCombined[[#This Row],[ID]], Table4[ID], Table4[Fruits], "Not Found", 0)</f>
        <v>39</v>
      </c>
      <c r="M2201" s="5">
        <f>_xlfn.XLOOKUP(CustomerCombined[[#This Row],[ID]], Table4[ID], Table4[Meats], "Not Found", 0)</f>
        <v>603</v>
      </c>
      <c r="N2201" s="5">
        <f>_xlfn.XLOOKUP(CustomerCombined[[#This Row],[ID]], Table4[ID], Table4[Seafood], "Not Found", 0)</f>
        <v>104</v>
      </c>
      <c r="O2201" s="5">
        <f>_xlfn.XLOOKUP(CustomerCombined[[#This Row],[ID]], Table4[ID], Table4[Sweets], "Not Found", 0)</f>
        <v>39</v>
      </c>
      <c r="P2201" s="5">
        <f>_xlfn.XLOOKUP(CustomerCombined[[#This Row],[ID]], Table4[ID], Table4[Premium], "Not Found", 0)</f>
        <v>80</v>
      </c>
      <c r="Q2201" s="5">
        <f>_xlfn.XLOOKUP(CustomerCombined[[#This Row],[ID]], Table4[ID], Table4[Regular], "Not Found", 0)</f>
        <v>3971</v>
      </c>
      <c r="R2201" s="5">
        <f>_xlfn.XLOOKUP(CustomerCombined[[#This Row],[ID]], Table4[ID], Table4[Deals], "Not Found", 0)</f>
        <v>2</v>
      </c>
      <c r="S2201" s="5">
        <f>_xlfn.XLOOKUP(CustomerCombined[[#This Row],[ID]], Table4[ID], Table4[Website], "Not Found", 0)</f>
        <v>10</v>
      </c>
      <c r="T2201" s="5">
        <f>_xlfn.XLOOKUP(CustomerCombined[[#This Row],[ID]], Table4[ID], Table4[Catalog], "Not Found", 0)</f>
        <v>6</v>
      </c>
      <c r="U2201" s="5">
        <f>_xlfn.XLOOKUP(CustomerCombined[[#This Row],[ID]], Table4[ID], Table4[Store], "Not Found", 0)</f>
        <v>9</v>
      </c>
      <c r="V2201" s="5">
        <f>_xlfn.XLOOKUP(CustomerCombined[[#This Row],[ID]], Table4[ID], Table4[Visits], "Not Found", 0)</f>
        <v>6</v>
      </c>
      <c r="W2201" s="8">
        <f>_xlfn.XLOOKUP(CustomerCombined[[#This Row],[ID]], Table2[ID],Table2[Complaint], "Not Found", 0 )</f>
        <v>0</v>
      </c>
      <c r="X2201" s="8">
        <f>_xlfn.XLOOKUP(CustomerCombined[[#This Row],[ID]], Table2[ID],Table2[Pilot], "Not Found", 0 )</f>
        <v>0</v>
      </c>
      <c r="Y2201" s="8">
        <f>_xlfn.XLOOKUP(CustomerCombined[[#This Row],[ID]], Table2[ID],Table2[MC1], "Not Found", 0 )</f>
        <v>0</v>
      </c>
      <c r="Z2201" s="8">
        <f>_xlfn.XLOOKUP(CustomerCombined[[#This Row],[ID]], Table2[ID],Table2[MC2], "Not Found", 0 )</f>
        <v>0</v>
      </c>
      <c r="AA2201" s="8">
        <f>_xlfn.XLOOKUP(CustomerCombined[[#This Row],[ID]], Table2[ID],Table2[MC3], "Not Found", 0 )</f>
        <v>0</v>
      </c>
      <c r="AB2201" s="8">
        <f>_xlfn.XLOOKUP(CustomerCombined[[#This Row],[ID]], Table2[ID],Table2[MC4], "Not Found", 0 )</f>
        <v>0</v>
      </c>
      <c r="AC2201" s="8">
        <f>_xlfn.XLOOKUP(CustomerCombined[[#This Row],[ID]], Table2[ID],Table2[MC5], "Not Found", 0 )</f>
        <v>0</v>
      </c>
    </row>
    <row r="2202" spans="1:29" x14ac:dyDescent="0.3">
      <c r="A2202" s="6">
        <v>2613</v>
      </c>
      <c r="B2202" s="6">
        <v>169755</v>
      </c>
      <c r="C2202" s="6">
        <v>0</v>
      </c>
      <c r="D2202" s="6">
        <v>0</v>
      </c>
      <c r="E2202" s="6">
        <v>75</v>
      </c>
      <c r="F2202" s="5" t="s">
        <v>6</v>
      </c>
      <c r="G2202" s="5" t="s">
        <v>11</v>
      </c>
      <c r="H2202" s="3">
        <v>44046</v>
      </c>
      <c r="I2202" s="5" t="s">
        <v>435</v>
      </c>
      <c r="J2202" s="5">
        <f>_xlfn.XLOOKUP(CustomerCombined[[#This Row],[ID]], Table4[ID], Table4[Recency], "Not Found", 0)</f>
        <v>23</v>
      </c>
      <c r="K2202" s="5">
        <f>_xlfn.XLOOKUP(CustomerCombined[[#This Row],[ID]], Table4[ID], Table4[Teas], "Not Found", 0)</f>
        <v>528</v>
      </c>
      <c r="L2202" s="5">
        <f>_xlfn.XLOOKUP(CustomerCombined[[#This Row],[ID]], Table4[ID], Table4[Fruits], "Not Found", 0)</f>
        <v>187</v>
      </c>
      <c r="M2202" s="5">
        <f>_xlfn.XLOOKUP(CustomerCombined[[#This Row],[ID]], Table4[ID], Table4[Meats], "Not Found", 0)</f>
        <v>908</v>
      </c>
      <c r="N2202" s="5">
        <f>_xlfn.XLOOKUP(CustomerCombined[[#This Row],[ID]], Table4[ID], Table4[Seafood], "Not Found", 0)</f>
        <v>270</v>
      </c>
      <c r="O2202" s="5">
        <f>_xlfn.XLOOKUP(CustomerCombined[[#This Row],[ID]], Table4[ID], Table4[Sweets], "Not Found", 0)</f>
        <v>56</v>
      </c>
      <c r="P2202" s="5">
        <f>_xlfn.XLOOKUP(CustomerCombined[[#This Row],[ID]], Table4[ID], Table4[Premium], "Not Found", 0)</f>
        <v>226</v>
      </c>
      <c r="Q2202" s="5">
        <f>_xlfn.XLOOKUP(CustomerCombined[[#This Row],[ID]], Table4[ID], Table4[Regular], "Not Found", 0)</f>
        <v>1723</v>
      </c>
      <c r="R2202" s="5">
        <f>_xlfn.XLOOKUP(CustomerCombined[[#This Row],[ID]], Table4[ID], Table4[Deals], "Not Found", 0)</f>
        <v>1</v>
      </c>
      <c r="S2202" s="5">
        <f>_xlfn.XLOOKUP(CustomerCombined[[#This Row],[ID]], Table4[ID], Table4[Website], "Not Found", 0)</f>
        <v>3</v>
      </c>
      <c r="T2202" s="5">
        <f>_xlfn.XLOOKUP(CustomerCombined[[#This Row],[ID]], Table4[ID], Table4[Catalog], "Not Found", 0)</f>
        <v>6</v>
      </c>
      <c r="U2202" s="5">
        <f>_xlfn.XLOOKUP(CustomerCombined[[#This Row],[ID]], Table4[ID], Table4[Store], "Not Found", 0)</f>
        <v>12</v>
      </c>
      <c r="V2202" s="5">
        <f>_xlfn.XLOOKUP(CustomerCombined[[#This Row],[ID]], Table4[ID], Table4[Visits], "Not Found", 0)</f>
        <v>1</v>
      </c>
      <c r="W2202" s="8">
        <f>_xlfn.XLOOKUP(CustomerCombined[[#This Row],[ID]], Table2[ID],Table2[Complaint], "Not Found", 0 )</f>
        <v>0</v>
      </c>
      <c r="X2202" s="8">
        <f>_xlfn.XLOOKUP(CustomerCombined[[#This Row],[ID]], Table2[ID],Table2[Pilot], "Not Found", 0 )</f>
        <v>0</v>
      </c>
      <c r="Y2202" s="8">
        <f>_xlfn.XLOOKUP(CustomerCombined[[#This Row],[ID]], Table2[ID],Table2[MC1], "Not Found", 0 )</f>
        <v>0</v>
      </c>
      <c r="Z2202" s="8">
        <f>_xlfn.XLOOKUP(CustomerCombined[[#This Row],[ID]], Table2[ID],Table2[MC2], "Not Found", 0 )</f>
        <v>0</v>
      </c>
      <c r="AA2202" s="8">
        <f>_xlfn.XLOOKUP(CustomerCombined[[#This Row],[ID]], Table2[ID],Table2[MC3], "Not Found", 0 )</f>
        <v>0</v>
      </c>
      <c r="AB2202" s="8">
        <f>_xlfn.XLOOKUP(CustomerCombined[[#This Row],[ID]], Table2[ID],Table2[MC4], "Not Found", 0 )</f>
        <v>0</v>
      </c>
      <c r="AC2202" s="8">
        <f>_xlfn.XLOOKUP(CustomerCombined[[#This Row],[ID]], Table2[ID],Table2[MC5], "Not Found", 0 )</f>
        <v>0</v>
      </c>
    </row>
    <row r="2203" spans="1:29" x14ac:dyDescent="0.3">
      <c r="A2203" s="6">
        <v>1095</v>
      </c>
      <c r="B2203" s="6">
        <v>165846</v>
      </c>
      <c r="C2203" s="6">
        <v>0</v>
      </c>
      <c r="D2203" s="6">
        <v>0</v>
      </c>
      <c r="E2203" s="6">
        <v>75</v>
      </c>
      <c r="F2203" s="5" t="s">
        <v>6</v>
      </c>
      <c r="G2203" s="5" t="s">
        <v>13</v>
      </c>
      <c r="H2203" s="3" t="s">
        <v>254</v>
      </c>
      <c r="I2203" s="5" t="s">
        <v>435</v>
      </c>
      <c r="J2203" s="5">
        <f>_xlfn.XLOOKUP(CustomerCombined[[#This Row],[ID]], Table4[ID], Table4[Recency], "Not Found", 0)</f>
        <v>68</v>
      </c>
      <c r="K2203" s="5">
        <f>_xlfn.XLOOKUP(CustomerCombined[[#This Row],[ID]], Table4[ID], Table4[Teas], "Not Found", 0)</f>
        <v>1416</v>
      </c>
      <c r="L2203" s="5">
        <f>_xlfn.XLOOKUP(CustomerCombined[[#This Row],[ID]], Table4[ID], Table4[Fruits], "Not Found", 0)</f>
        <v>204</v>
      </c>
      <c r="M2203" s="5">
        <f>_xlfn.XLOOKUP(CustomerCombined[[#This Row],[ID]], Table4[ID], Table4[Meats], "Not Found", 0)</f>
        <v>695</v>
      </c>
      <c r="N2203" s="5">
        <f>_xlfn.XLOOKUP(CustomerCombined[[#This Row],[ID]], Table4[ID], Table4[Seafood], "Not Found", 0)</f>
        <v>201</v>
      </c>
      <c r="O2203" s="5">
        <f>_xlfn.XLOOKUP(CustomerCombined[[#This Row],[ID]], Table4[ID], Table4[Sweets], "Not Found", 0)</f>
        <v>101</v>
      </c>
      <c r="P2203" s="5">
        <f>_xlfn.XLOOKUP(CustomerCombined[[#This Row],[ID]], Table4[ID], Table4[Premium], "Not Found", 0)</f>
        <v>204</v>
      </c>
      <c r="Q2203" s="5">
        <f>_xlfn.XLOOKUP(CustomerCombined[[#This Row],[ID]], Table4[ID], Table4[Regular], "Not Found", 0)</f>
        <v>2413</v>
      </c>
      <c r="R2203" s="5">
        <f>_xlfn.XLOOKUP(CustomerCombined[[#This Row],[ID]], Table4[ID], Table4[Deals], "Not Found", 0)</f>
        <v>1</v>
      </c>
      <c r="S2203" s="5">
        <f>_xlfn.XLOOKUP(CustomerCombined[[#This Row],[ID]], Table4[ID], Table4[Website], "Not Found", 0)</f>
        <v>6</v>
      </c>
      <c r="T2203" s="5">
        <f>_xlfn.XLOOKUP(CustomerCombined[[#This Row],[ID]], Table4[ID], Table4[Catalog], "Not Found", 0)</f>
        <v>3</v>
      </c>
      <c r="U2203" s="5">
        <f>_xlfn.XLOOKUP(CustomerCombined[[#This Row],[ID]], Table4[ID], Table4[Store], "Not Found", 0)</f>
        <v>6</v>
      </c>
      <c r="V2203" s="5">
        <f>_xlfn.XLOOKUP(CustomerCombined[[#This Row],[ID]], Table4[ID], Table4[Visits], "Not Found", 0)</f>
        <v>4</v>
      </c>
      <c r="W2203" s="8">
        <f>_xlfn.XLOOKUP(CustomerCombined[[#This Row],[ID]], Table2[ID],Table2[Complaint], "Not Found", 0 )</f>
        <v>0</v>
      </c>
      <c r="X2203" s="8">
        <f>_xlfn.XLOOKUP(CustomerCombined[[#This Row],[ID]], Table2[ID],Table2[Pilot], "Not Found", 0 )</f>
        <v>0</v>
      </c>
      <c r="Y2203" s="8">
        <f>_xlfn.XLOOKUP(CustomerCombined[[#This Row],[ID]], Table2[ID],Table2[MC1], "Not Found", 0 )</f>
        <v>0</v>
      </c>
      <c r="Z2203" s="8">
        <f>_xlfn.XLOOKUP(CustomerCombined[[#This Row],[ID]], Table2[ID],Table2[MC2], "Not Found", 0 )</f>
        <v>0</v>
      </c>
      <c r="AA2203" s="8">
        <f>_xlfn.XLOOKUP(CustomerCombined[[#This Row],[ID]], Table2[ID],Table2[MC3], "Not Found", 0 )</f>
        <v>0</v>
      </c>
      <c r="AB2203" s="8">
        <f>_xlfn.XLOOKUP(CustomerCombined[[#This Row],[ID]], Table2[ID],Table2[MC4], "Not Found", 0 )</f>
        <v>0</v>
      </c>
      <c r="AC2203" s="8">
        <f>_xlfn.XLOOKUP(CustomerCombined[[#This Row],[ID]], Table2[ID],Table2[MC5], "Not Found", 0 )</f>
        <v>0</v>
      </c>
    </row>
    <row r="2204" spans="1:29" x14ac:dyDescent="0.3">
      <c r="A2204" s="6">
        <v>2125</v>
      </c>
      <c r="B2204" s="6">
        <v>163285</v>
      </c>
      <c r="C2204" s="6">
        <v>0</v>
      </c>
      <c r="D2204" s="6">
        <v>0</v>
      </c>
      <c r="E2204" s="6">
        <v>75</v>
      </c>
      <c r="F2204" s="5" t="s">
        <v>9</v>
      </c>
      <c r="G2204" s="5" t="s">
        <v>11</v>
      </c>
      <c r="H2204" s="3">
        <v>44139</v>
      </c>
      <c r="I2204" s="5" t="s">
        <v>437</v>
      </c>
      <c r="J2204" s="5">
        <f>_xlfn.XLOOKUP(CustomerCombined[[#This Row],[ID]], Table4[ID], Table4[Recency], "Not Found", 0)</f>
        <v>84</v>
      </c>
      <c r="K2204" s="5">
        <f>_xlfn.XLOOKUP(CustomerCombined[[#This Row],[ID]], Table4[ID], Table4[Teas], "Not Found", 0)</f>
        <v>1311</v>
      </c>
      <c r="L2204" s="5">
        <f>_xlfn.XLOOKUP(CustomerCombined[[#This Row],[ID]], Table4[ID], Table4[Fruits], "Not Found", 0)</f>
        <v>320</v>
      </c>
      <c r="M2204" s="5">
        <f>_xlfn.XLOOKUP(CustomerCombined[[#This Row],[ID]], Table4[ID], Table4[Meats], "Not Found", 0)</f>
        <v>642</v>
      </c>
      <c r="N2204" s="5">
        <f>_xlfn.XLOOKUP(CustomerCombined[[#This Row],[ID]], Table4[ID], Table4[Seafood], "Not Found", 0)</f>
        <v>129</v>
      </c>
      <c r="O2204" s="5">
        <f>_xlfn.XLOOKUP(CustomerCombined[[#This Row],[ID]], Table4[ID], Table4[Sweets], "Not Found", 0)</f>
        <v>98</v>
      </c>
      <c r="P2204" s="5">
        <f>_xlfn.XLOOKUP(CustomerCombined[[#This Row],[ID]], Table4[ID], Table4[Premium], "Not Found", 0)</f>
        <v>346</v>
      </c>
      <c r="Q2204" s="5">
        <f>_xlfn.XLOOKUP(CustomerCombined[[#This Row],[ID]], Table4[ID], Table4[Regular], "Not Found", 0)</f>
        <v>2154</v>
      </c>
      <c r="R2204" s="5">
        <f>_xlfn.XLOOKUP(CustomerCombined[[#This Row],[ID]], Table4[ID], Table4[Deals], "Not Found", 0)</f>
        <v>1</v>
      </c>
      <c r="S2204" s="5">
        <f>_xlfn.XLOOKUP(CustomerCombined[[#This Row],[ID]], Table4[ID], Table4[Website], "Not Found", 0)</f>
        <v>6</v>
      </c>
      <c r="T2204" s="5">
        <f>_xlfn.XLOOKUP(CustomerCombined[[#This Row],[ID]], Table4[ID], Table4[Catalog], "Not Found", 0)</f>
        <v>5</v>
      </c>
      <c r="U2204" s="5">
        <f>_xlfn.XLOOKUP(CustomerCombined[[#This Row],[ID]], Table4[ID], Table4[Store], "Not Found", 0)</f>
        <v>13</v>
      </c>
      <c r="V2204" s="5">
        <f>_xlfn.XLOOKUP(CustomerCombined[[#This Row],[ID]], Table4[ID], Table4[Visits], "Not Found", 0)</f>
        <v>3</v>
      </c>
      <c r="W2204" s="8">
        <f>_xlfn.XLOOKUP(CustomerCombined[[#This Row],[ID]], Table2[ID],Table2[Complaint], "Not Found", 0 )</f>
        <v>0</v>
      </c>
      <c r="X2204" s="8">
        <f>_xlfn.XLOOKUP(CustomerCombined[[#This Row],[ID]], Table2[ID],Table2[Pilot], "Not Found", 0 )</f>
        <v>0</v>
      </c>
      <c r="Y2204" s="8">
        <f>_xlfn.XLOOKUP(CustomerCombined[[#This Row],[ID]], Table2[ID],Table2[MC1], "Not Found", 0 )</f>
        <v>0</v>
      </c>
      <c r="Z2204" s="8">
        <f>_xlfn.XLOOKUP(CustomerCombined[[#This Row],[ID]], Table2[ID],Table2[MC2], "Not Found", 0 )</f>
        <v>0</v>
      </c>
      <c r="AA2204" s="8">
        <f>_xlfn.XLOOKUP(CustomerCombined[[#This Row],[ID]], Table2[ID],Table2[MC3], "Not Found", 0 )</f>
        <v>0</v>
      </c>
      <c r="AB2204" s="8">
        <f>_xlfn.XLOOKUP(CustomerCombined[[#This Row],[ID]], Table2[ID],Table2[MC4], "Not Found", 0 )</f>
        <v>0</v>
      </c>
      <c r="AC2204" s="8">
        <f>_xlfn.XLOOKUP(CustomerCombined[[#This Row],[ID]], Table2[ID],Table2[MC5], "Not Found", 0 )</f>
        <v>0</v>
      </c>
    </row>
    <row r="2205" spans="1:29" x14ac:dyDescent="0.3">
      <c r="A2205" s="6">
        <v>1771</v>
      </c>
      <c r="B2205" s="6">
        <v>162847</v>
      </c>
      <c r="C2205" s="6">
        <v>0</v>
      </c>
      <c r="D2205" s="6">
        <v>0</v>
      </c>
      <c r="E2205" s="6">
        <v>75</v>
      </c>
      <c r="F2205" s="5" t="s">
        <v>8</v>
      </c>
      <c r="G2205" s="5" t="s">
        <v>12</v>
      </c>
      <c r="H2205" s="3" t="s">
        <v>325</v>
      </c>
      <c r="I2205" s="5" t="s">
        <v>437</v>
      </c>
      <c r="J2205" s="5">
        <f>_xlfn.XLOOKUP(CustomerCombined[[#This Row],[ID]], Table4[ID], Table4[Recency], "Not Found", 0)</f>
        <v>45</v>
      </c>
      <c r="K2205" s="5">
        <f>_xlfn.XLOOKUP(CustomerCombined[[#This Row],[ID]], Table4[ID], Table4[Teas], "Not Found", 0)</f>
        <v>1350</v>
      </c>
      <c r="L2205" s="5">
        <f>_xlfn.XLOOKUP(CustomerCombined[[#This Row],[ID]], Table4[ID], Table4[Fruits], "Not Found", 0)</f>
        <v>435</v>
      </c>
      <c r="M2205" s="5">
        <f>_xlfn.XLOOKUP(CustomerCombined[[#This Row],[ID]], Table4[ID], Table4[Meats], "Not Found", 0)</f>
        <v>1829</v>
      </c>
      <c r="N2205" s="5">
        <f>_xlfn.XLOOKUP(CustomerCombined[[#This Row],[ID]], Table4[ID], Table4[Seafood], "Not Found", 0)</f>
        <v>207</v>
      </c>
      <c r="O2205" s="5">
        <f>_xlfn.XLOOKUP(CustomerCombined[[#This Row],[ID]], Table4[ID], Table4[Sweets], "Not Found", 0)</f>
        <v>197</v>
      </c>
      <c r="P2205" s="5">
        <f>_xlfn.XLOOKUP(CustomerCombined[[#This Row],[ID]], Table4[ID], Table4[Premium], "Not Found", 0)</f>
        <v>158</v>
      </c>
      <c r="Q2205" s="5">
        <f>_xlfn.XLOOKUP(CustomerCombined[[#This Row],[ID]], Table4[ID], Table4[Regular], "Not Found", 0)</f>
        <v>3861</v>
      </c>
      <c r="R2205" s="5">
        <f>_xlfn.XLOOKUP(CustomerCombined[[#This Row],[ID]], Table4[ID], Table4[Deals], "Not Found", 0)</f>
        <v>1</v>
      </c>
      <c r="S2205" s="5">
        <f>_xlfn.XLOOKUP(CustomerCombined[[#This Row],[ID]], Table4[ID], Table4[Website], "Not Found", 0)</f>
        <v>3</v>
      </c>
      <c r="T2205" s="5">
        <f>_xlfn.XLOOKUP(CustomerCombined[[#This Row],[ID]], Table4[ID], Table4[Catalog], "Not Found", 0)</f>
        <v>6</v>
      </c>
      <c r="U2205" s="5">
        <f>_xlfn.XLOOKUP(CustomerCombined[[#This Row],[ID]], Table4[ID], Table4[Store], "Not Found", 0)</f>
        <v>4</v>
      </c>
      <c r="V2205" s="5">
        <f>_xlfn.XLOOKUP(CustomerCombined[[#This Row],[ID]], Table4[ID], Table4[Visits], "Not Found", 0)</f>
        <v>2</v>
      </c>
      <c r="W2205" s="8">
        <f>_xlfn.XLOOKUP(CustomerCombined[[#This Row],[ID]], Table2[ID],Table2[Complaint], "Not Found", 0 )</f>
        <v>0</v>
      </c>
      <c r="X2205" s="8">
        <f>_xlfn.XLOOKUP(CustomerCombined[[#This Row],[ID]], Table2[ID],Table2[Pilot], "Not Found", 0 )</f>
        <v>0</v>
      </c>
      <c r="Y2205" s="8">
        <f>_xlfn.XLOOKUP(CustomerCombined[[#This Row],[ID]], Table2[ID],Table2[MC1], "Not Found", 0 )</f>
        <v>0</v>
      </c>
      <c r="Z2205" s="8">
        <f>_xlfn.XLOOKUP(CustomerCombined[[#This Row],[ID]], Table2[ID],Table2[MC2], "Not Found", 0 )</f>
        <v>0</v>
      </c>
      <c r="AA2205" s="8">
        <f>_xlfn.XLOOKUP(CustomerCombined[[#This Row],[ID]], Table2[ID],Table2[MC3], "Not Found", 0 )</f>
        <v>0</v>
      </c>
      <c r="AB2205" s="8">
        <f>_xlfn.XLOOKUP(CustomerCombined[[#This Row],[ID]], Table2[ID],Table2[MC4], "Not Found", 0 )</f>
        <v>0</v>
      </c>
      <c r="AC2205" s="8">
        <f>_xlfn.XLOOKUP(CustomerCombined[[#This Row],[ID]], Table2[ID],Table2[MC5], "Not Found", 0 )</f>
        <v>0</v>
      </c>
    </row>
    <row r="2206" spans="1:29" x14ac:dyDescent="0.3">
      <c r="A2206" s="6">
        <v>2717</v>
      </c>
      <c r="B2206" s="6">
        <v>145576</v>
      </c>
      <c r="C2206" s="6">
        <v>0</v>
      </c>
      <c r="D2206" s="6">
        <v>0</v>
      </c>
      <c r="E2206" s="6">
        <v>75</v>
      </c>
      <c r="F2206" s="5" t="s">
        <v>7</v>
      </c>
      <c r="G2206" s="5" t="s">
        <v>13</v>
      </c>
      <c r="H2206" s="3">
        <v>43841</v>
      </c>
      <c r="I2206" s="5" t="s">
        <v>434</v>
      </c>
      <c r="J2206" s="5">
        <f>_xlfn.XLOOKUP(CustomerCombined[[#This Row],[ID]], Table4[ID], Table4[Recency], "Not Found", 0)</f>
        <v>9</v>
      </c>
      <c r="K2206" s="5">
        <f>_xlfn.XLOOKUP(CustomerCombined[[#This Row],[ID]], Table4[ID], Table4[Teas], "Not Found", 0)</f>
        <v>179</v>
      </c>
      <c r="L2206" s="5">
        <f>_xlfn.XLOOKUP(CustomerCombined[[#This Row],[ID]], Table4[ID], Table4[Fruits], "Not Found", 0)</f>
        <v>61</v>
      </c>
      <c r="M2206" s="5">
        <f>_xlfn.XLOOKUP(CustomerCombined[[#This Row],[ID]], Table4[ID], Table4[Meats], "Not Found", 0)</f>
        <v>93</v>
      </c>
      <c r="N2206" s="5">
        <f>_xlfn.XLOOKUP(CustomerCombined[[#This Row],[ID]], Table4[ID], Table4[Seafood], "Not Found", 0)</f>
        <v>6</v>
      </c>
      <c r="O2206" s="5">
        <f>_xlfn.XLOOKUP(CustomerCombined[[#This Row],[ID]], Table4[ID], Table4[Sweets], "Not Found", 0)</f>
        <v>45</v>
      </c>
      <c r="P2206" s="5">
        <f>_xlfn.XLOOKUP(CustomerCombined[[#This Row],[ID]], Table4[ID], Table4[Premium], "Not Found", 0)</f>
        <v>80</v>
      </c>
      <c r="Q2206" s="5">
        <f>_xlfn.XLOOKUP(CustomerCombined[[#This Row],[ID]], Table4[ID], Table4[Regular], "Not Found", 0)</f>
        <v>303</v>
      </c>
      <c r="R2206" s="5">
        <f>_xlfn.XLOOKUP(CustomerCombined[[#This Row],[ID]], Table4[ID], Table4[Deals], "Not Found", 0)</f>
        <v>1</v>
      </c>
      <c r="S2206" s="5">
        <f>_xlfn.XLOOKUP(CustomerCombined[[#This Row],[ID]], Table4[ID], Table4[Website], "Not Found", 0)</f>
        <v>3</v>
      </c>
      <c r="T2206" s="5">
        <f>_xlfn.XLOOKUP(CustomerCombined[[#This Row],[ID]], Table4[ID], Table4[Catalog], "Not Found", 0)</f>
        <v>1</v>
      </c>
      <c r="U2206" s="5">
        <f>_xlfn.XLOOKUP(CustomerCombined[[#This Row],[ID]], Table4[ID], Table4[Store], "Not Found", 0)</f>
        <v>3</v>
      </c>
      <c r="V2206" s="5">
        <f>_xlfn.XLOOKUP(CustomerCombined[[#This Row],[ID]], Table4[ID], Table4[Visits], "Not Found", 0)</f>
        <v>8</v>
      </c>
      <c r="W2206" s="8">
        <f>_xlfn.XLOOKUP(CustomerCombined[[#This Row],[ID]], Table2[ID],Table2[Complaint], "Not Found", 0 )</f>
        <v>0</v>
      </c>
      <c r="X2206" s="8">
        <f>_xlfn.XLOOKUP(CustomerCombined[[#This Row],[ID]], Table2[ID],Table2[Pilot], "Not Found", 0 )</f>
        <v>1</v>
      </c>
      <c r="Y2206" s="8">
        <f>_xlfn.XLOOKUP(CustomerCombined[[#This Row],[ID]], Table2[ID],Table2[MC1], "Not Found", 0 )</f>
        <v>0</v>
      </c>
      <c r="Z2206" s="8">
        <f>_xlfn.XLOOKUP(CustomerCombined[[#This Row],[ID]], Table2[ID],Table2[MC2], "Not Found", 0 )</f>
        <v>0</v>
      </c>
      <c r="AA2206" s="8">
        <f>_xlfn.XLOOKUP(CustomerCombined[[#This Row],[ID]], Table2[ID],Table2[MC3], "Not Found", 0 )</f>
        <v>0</v>
      </c>
      <c r="AB2206" s="8">
        <f>_xlfn.XLOOKUP(CustomerCombined[[#This Row],[ID]], Table2[ID],Table2[MC4], "Not Found", 0 )</f>
        <v>0</v>
      </c>
      <c r="AC2206" s="8">
        <f>_xlfn.XLOOKUP(CustomerCombined[[#This Row],[ID]], Table2[ID],Table2[MC5], "Not Found", 0 )</f>
        <v>0</v>
      </c>
    </row>
    <row r="2207" spans="1:29" x14ac:dyDescent="0.3">
      <c r="A2207" s="6">
        <v>1784</v>
      </c>
      <c r="B2207" s="6">
        <v>182716</v>
      </c>
      <c r="C2207" s="6">
        <v>0</v>
      </c>
      <c r="D2207" s="6">
        <v>0</v>
      </c>
      <c r="E2207" s="6">
        <v>76</v>
      </c>
      <c r="F2207" s="5" t="s">
        <v>7</v>
      </c>
      <c r="G2207" s="5" t="s">
        <v>13</v>
      </c>
      <c r="H2207" s="3">
        <v>44139</v>
      </c>
      <c r="I2207" s="5" t="s">
        <v>438</v>
      </c>
      <c r="J2207" s="5">
        <f>_xlfn.XLOOKUP(CustomerCombined[[#This Row],[ID]], Table4[ID], Table4[Recency], "Not Found", 0)</f>
        <v>8</v>
      </c>
      <c r="K2207" s="5">
        <f>_xlfn.XLOOKUP(CustomerCombined[[#This Row],[ID]], Table4[ID], Table4[Teas], "Not Found", 0)</f>
        <v>1339</v>
      </c>
      <c r="L2207" s="5">
        <f>_xlfn.XLOOKUP(CustomerCombined[[#This Row],[ID]], Table4[ID], Table4[Fruits], "Not Found", 0)</f>
        <v>327</v>
      </c>
      <c r="M2207" s="5">
        <f>_xlfn.XLOOKUP(CustomerCombined[[#This Row],[ID]], Table4[ID], Table4[Meats], "Not Found", 0)</f>
        <v>504</v>
      </c>
      <c r="N2207" s="5">
        <f>_xlfn.XLOOKUP(CustomerCombined[[#This Row],[ID]], Table4[ID], Table4[Seafood], "Not Found", 0)</f>
        <v>33</v>
      </c>
      <c r="O2207" s="5">
        <f>_xlfn.XLOOKUP(CustomerCombined[[#This Row],[ID]], Table4[ID], Table4[Sweets], "Not Found", 0)</f>
        <v>327</v>
      </c>
      <c r="P2207" s="5">
        <f>_xlfn.XLOOKUP(CustomerCombined[[#This Row],[ID]], Table4[ID], Table4[Premium], "Not Found", 0)</f>
        <v>49</v>
      </c>
      <c r="Q2207" s="5">
        <f>_xlfn.XLOOKUP(CustomerCombined[[#This Row],[ID]], Table4[ID], Table4[Regular], "Not Found", 0)</f>
        <v>2481</v>
      </c>
      <c r="R2207" s="5">
        <f>_xlfn.XLOOKUP(CustomerCombined[[#This Row],[ID]], Table4[ID], Table4[Deals], "Not Found", 0)</f>
        <v>1</v>
      </c>
      <c r="S2207" s="5">
        <f>_xlfn.XLOOKUP(CustomerCombined[[#This Row],[ID]], Table4[ID], Table4[Website], "Not Found", 0)</f>
        <v>6</v>
      </c>
      <c r="T2207" s="5">
        <f>_xlfn.XLOOKUP(CustomerCombined[[#This Row],[ID]], Table4[ID], Table4[Catalog], "Not Found", 0)</f>
        <v>8</v>
      </c>
      <c r="U2207" s="5">
        <f>_xlfn.XLOOKUP(CustomerCombined[[#This Row],[ID]], Table4[ID], Table4[Store], "Not Found", 0)</f>
        <v>13</v>
      </c>
      <c r="V2207" s="5">
        <f>_xlfn.XLOOKUP(CustomerCombined[[#This Row],[ID]], Table4[ID], Table4[Visits], "Not Found", 0)</f>
        <v>2</v>
      </c>
      <c r="W2207" s="8">
        <f>_xlfn.XLOOKUP(CustomerCombined[[#This Row],[ID]], Table2[ID],Table2[Complaint], "Not Found", 0 )</f>
        <v>0</v>
      </c>
      <c r="X2207" s="8">
        <f>_xlfn.XLOOKUP(CustomerCombined[[#This Row],[ID]], Table2[ID],Table2[Pilot], "Not Found", 0 )</f>
        <v>0</v>
      </c>
      <c r="Y2207" s="8">
        <f>_xlfn.XLOOKUP(CustomerCombined[[#This Row],[ID]], Table2[ID],Table2[MC1], "Not Found", 0 )</f>
        <v>0</v>
      </c>
      <c r="Z2207" s="8">
        <f>_xlfn.XLOOKUP(CustomerCombined[[#This Row],[ID]], Table2[ID],Table2[MC2], "Not Found", 0 )</f>
        <v>0</v>
      </c>
      <c r="AA2207" s="8">
        <f>_xlfn.XLOOKUP(CustomerCombined[[#This Row],[ID]], Table2[ID],Table2[MC3], "Not Found", 0 )</f>
        <v>0</v>
      </c>
      <c r="AB2207" s="8">
        <f>_xlfn.XLOOKUP(CustomerCombined[[#This Row],[ID]], Table2[ID],Table2[MC4], "Not Found", 0 )</f>
        <v>0</v>
      </c>
      <c r="AC2207" s="8">
        <f>_xlfn.XLOOKUP(CustomerCombined[[#This Row],[ID]], Table2[ID],Table2[MC5], "Not Found", 0 )</f>
        <v>0</v>
      </c>
    </row>
    <row r="2208" spans="1:29" x14ac:dyDescent="0.3">
      <c r="A2208" s="6">
        <v>2389</v>
      </c>
      <c r="B2208" s="6">
        <v>180589</v>
      </c>
      <c r="C2208" s="6">
        <v>0</v>
      </c>
      <c r="D2208" s="6">
        <v>0</v>
      </c>
      <c r="E2208" s="6">
        <v>76</v>
      </c>
      <c r="F2208" s="5" t="s">
        <v>6</v>
      </c>
      <c r="G2208" s="5" t="s">
        <v>11</v>
      </c>
      <c r="H2208" s="3" t="s">
        <v>110</v>
      </c>
      <c r="I2208" s="5" t="s">
        <v>437</v>
      </c>
      <c r="J2208" s="5">
        <f>_xlfn.XLOOKUP(CustomerCombined[[#This Row],[ID]], Table4[ID], Table4[Recency], "Not Found", 0)</f>
        <v>25</v>
      </c>
      <c r="K2208" s="5">
        <f>_xlfn.XLOOKUP(CustomerCombined[[#This Row],[ID]], Table4[ID], Table4[Teas], "Not Found", 0)</f>
        <v>1136</v>
      </c>
      <c r="L2208" s="5">
        <f>_xlfn.XLOOKUP(CustomerCombined[[#This Row],[ID]], Table4[ID], Table4[Fruits], "Not Found", 0)</f>
        <v>208</v>
      </c>
      <c r="M2208" s="5">
        <f>_xlfn.XLOOKUP(CustomerCombined[[#This Row],[ID]], Table4[ID], Table4[Meats], "Not Found", 0)</f>
        <v>1165</v>
      </c>
      <c r="N2208" s="5">
        <f>_xlfn.XLOOKUP(CustomerCombined[[#This Row],[ID]], Table4[ID], Table4[Seafood], "Not Found", 0)</f>
        <v>542</v>
      </c>
      <c r="O2208" s="5">
        <f>_xlfn.XLOOKUP(CustomerCombined[[#This Row],[ID]], Table4[ID], Table4[Sweets], "Not Found", 0)</f>
        <v>90</v>
      </c>
      <c r="P2208" s="5">
        <f>_xlfn.XLOOKUP(CustomerCombined[[#This Row],[ID]], Table4[ID], Table4[Premium], "Not Found", 0)</f>
        <v>58</v>
      </c>
      <c r="Q2208" s="5">
        <f>_xlfn.XLOOKUP(CustomerCombined[[#This Row],[ID]], Table4[ID], Table4[Regular], "Not Found", 0)</f>
        <v>3083</v>
      </c>
      <c r="R2208" s="5">
        <f>_xlfn.XLOOKUP(CustomerCombined[[#This Row],[ID]], Table4[ID], Table4[Deals], "Not Found", 0)</f>
        <v>1</v>
      </c>
      <c r="S2208" s="5">
        <f>_xlfn.XLOOKUP(CustomerCombined[[#This Row],[ID]], Table4[ID], Table4[Website], "Not Found", 0)</f>
        <v>5</v>
      </c>
      <c r="T2208" s="5">
        <f>_xlfn.XLOOKUP(CustomerCombined[[#This Row],[ID]], Table4[ID], Table4[Catalog], "Not Found", 0)</f>
        <v>10</v>
      </c>
      <c r="U2208" s="5">
        <f>_xlfn.XLOOKUP(CustomerCombined[[#This Row],[ID]], Table4[ID], Table4[Store], "Not Found", 0)</f>
        <v>5</v>
      </c>
      <c r="V2208" s="5">
        <f>_xlfn.XLOOKUP(CustomerCombined[[#This Row],[ID]], Table4[ID], Table4[Visits], "Not Found", 0)</f>
        <v>1</v>
      </c>
      <c r="W2208" s="8">
        <f>_xlfn.XLOOKUP(CustomerCombined[[#This Row],[ID]], Table2[ID],Table2[Complaint], "Not Found", 0 )</f>
        <v>0</v>
      </c>
      <c r="X2208" s="8">
        <f>_xlfn.XLOOKUP(CustomerCombined[[#This Row],[ID]], Table2[ID],Table2[Pilot], "Not Found", 0 )</f>
        <v>1</v>
      </c>
      <c r="Y2208" s="8">
        <f>_xlfn.XLOOKUP(CustomerCombined[[#This Row],[ID]], Table2[ID],Table2[MC1], "Not Found", 0 )</f>
        <v>1</v>
      </c>
      <c r="Z2208" s="8">
        <f>_xlfn.XLOOKUP(CustomerCombined[[#This Row],[ID]], Table2[ID],Table2[MC2], "Not Found", 0 )</f>
        <v>0</v>
      </c>
      <c r="AA2208" s="8">
        <f>_xlfn.XLOOKUP(CustomerCombined[[#This Row],[ID]], Table2[ID],Table2[MC3], "Not Found", 0 )</f>
        <v>0</v>
      </c>
      <c r="AB2208" s="8">
        <f>_xlfn.XLOOKUP(CustomerCombined[[#This Row],[ID]], Table2[ID],Table2[MC4], "Not Found", 0 )</f>
        <v>0</v>
      </c>
      <c r="AC2208" s="8">
        <f>_xlfn.XLOOKUP(CustomerCombined[[#This Row],[ID]], Table2[ID],Table2[MC5], "Not Found", 0 )</f>
        <v>0</v>
      </c>
    </row>
    <row r="2209" spans="1:29" x14ac:dyDescent="0.3">
      <c r="A2209" s="6">
        <v>1503</v>
      </c>
      <c r="B2209" s="6">
        <v>180184</v>
      </c>
      <c r="C2209" s="6">
        <v>0</v>
      </c>
      <c r="D2209" s="6">
        <v>0</v>
      </c>
      <c r="E2209" s="6">
        <v>76</v>
      </c>
      <c r="F2209" s="5" t="s">
        <v>6</v>
      </c>
      <c r="G2209" s="5" t="s">
        <v>12</v>
      </c>
      <c r="H2209" s="3">
        <v>43959</v>
      </c>
      <c r="I2209" s="5" t="s">
        <v>435</v>
      </c>
      <c r="J2209" s="5">
        <f>_xlfn.XLOOKUP(CustomerCombined[[#This Row],[ID]], Table4[ID], Table4[Recency], "Not Found", 0)</f>
        <v>19</v>
      </c>
      <c r="K2209" s="5">
        <f>_xlfn.XLOOKUP(CustomerCombined[[#This Row],[ID]], Table4[ID], Table4[Teas], "Not Found", 0)</f>
        <v>2326</v>
      </c>
      <c r="L2209" s="5">
        <f>_xlfn.XLOOKUP(CustomerCombined[[#This Row],[ID]], Table4[ID], Table4[Fruits], "Not Found", 0)</f>
        <v>301</v>
      </c>
      <c r="M2209" s="5">
        <f>_xlfn.XLOOKUP(CustomerCombined[[#This Row],[ID]], Table4[ID], Table4[Meats], "Not Found", 0)</f>
        <v>1506</v>
      </c>
      <c r="N2209" s="5">
        <f>_xlfn.XLOOKUP(CustomerCombined[[#This Row],[ID]], Table4[ID], Table4[Seafood], "Not Found", 0)</f>
        <v>56</v>
      </c>
      <c r="O2209" s="5">
        <f>_xlfn.XLOOKUP(CustomerCombined[[#This Row],[ID]], Table4[ID], Table4[Sweets], "Not Found", 0)</f>
        <v>85</v>
      </c>
      <c r="P2209" s="5">
        <f>_xlfn.XLOOKUP(CustomerCombined[[#This Row],[ID]], Table4[ID], Table4[Premium], "Not Found", 0)</f>
        <v>0</v>
      </c>
      <c r="Q2209" s="5">
        <f>_xlfn.XLOOKUP(CustomerCombined[[#This Row],[ID]], Table4[ID], Table4[Regular], "Not Found", 0)</f>
        <v>4274</v>
      </c>
      <c r="R2209" s="5">
        <f>_xlfn.XLOOKUP(CustomerCombined[[#This Row],[ID]], Table4[ID], Table4[Deals], "Not Found", 0)</f>
        <v>1</v>
      </c>
      <c r="S2209" s="5">
        <f>_xlfn.XLOOKUP(CustomerCombined[[#This Row],[ID]], Table4[ID], Table4[Website], "Not Found", 0)</f>
        <v>6</v>
      </c>
      <c r="T2209" s="5">
        <f>_xlfn.XLOOKUP(CustomerCombined[[#This Row],[ID]], Table4[ID], Table4[Catalog], "Not Found", 0)</f>
        <v>3</v>
      </c>
      <c r="U2209" s="5">
        <f>_xlfn.XLOOKUP(CustomerCombined[[#This Row],[ID]], Table4[ID], Table4[Store], "Not Found", 0)</f>
        <v>10</v>
      </c>
      <c r="V2209" s="5">
        <f>_xlfn.XLOOKUP(CustomerCombined[[#This Row],[ID]], Table4[ID], Table4[Visits], "Not Found", 0)</f>
        <v>3</v>
      </c>
      <c r="W2209" s="8">
        <f>_xlfn.XLOOKUP(CustomerCombined[[#This Row],[ID]], Table2[ID],Table2[Complaint], "Not Found", 0 )</f>
        <v>0</v>
      </c>
      <c r="X2209" s="8">
        <f>_xlfn.XLOOKUP(CustomerCombined[[#This Row],[ID]], Table2[ID],Table2[Pilot], "Not Found", 0 )</f>
        <v>0</v>
      </c>
      <c r="Y2209" s="8">
        <f>_xlfn.XLOOKUP(CustomerCombined[[#This Row],[ID]], Table2[ID],Table2[MC1], "Not Found", 0 )</f>
        <v>1</v>
      </c>
      <c r="Z2209" s="8">
        <f>_xlfn.XLOOKUP(CustomerCombined[[#This Row],[ID]], Table2[ID],Table2[MC2], "Not Found", 0 )</f>
        <v>0</v>
      </c>
      <c r="AA2209" s="8">
        <f>_xlfn.XLOOKUP(CustomerCombined[[#This Row],[ID]], Table2[ID],Table2[MC3], "Not Found", 0 )</f>
        <v>0</v>
      </c>
      <c r="AB2209" s="8">
        <f>_xlfn.XLOOKUP(CustomerCombined[[#This Row],[ID]], Table2[ID],Table2[MC4], "Not Found", 0 )</f>
        <v>0</v>
      </c>
      <c r="AC2209" s="8">
        <f>_xlfn.XLOOKUP(CustomerCombined[[#This Row],[ID]], Table2[ID],Table2[MC5], "Not Found", 0 )</f>
        <v>1</v>
      </c>
    </row>
    <row r="2210" spans="1:29" x14ac:dyDescent="0.3">
      <c r="A2210" s="6">
        <v>1483</v>
      </c>
      <c r="B2210" s="6">
        <v>165275</v>
      </c>
      <c r="C2210" s="6">
        <v>0</v>
      </c>
      <c r="D2210" s="6">
        <v>0</v>
      </c>
      <c r="E2210" s="6">
        <v>76</v>
      </c>
      <c r="F2210" s="5" t="s">
        <v>6</v>
      </c>
      <c r="G2210" s="5" t="s">
        <v>11</v>
      </c>
      <c r="H2210" s="3">
        <v>43686</v>
      </c>
      <c r="I2210" s="5" t="s">
        <v>437</v>
      </c>
      <c r="J2210" s="5">
        <f>_xlfn.XLOOKUP(CustomerCombined[[#This Row],[ID]], Table4[ID], Table4[Recency], "Not Found", 0)</f>
        <v>9</v>
      </c>
      <c r="K2210" s="5">
        <f>_xlfn.XLOOKUP(CustomerCombined[[#This Row],[ID]], Table4[ID], Table4[Teas], "Not Found", 0)</f>
        <v>982</v>
      </c>
      <c r="L2210" s="5">
        <f>_xlfn.XLOOKUP(CustomerCombined[[#This Row],[ID]], Table4[ID], Table4[Fruits], "Not Found", 0)</f>
        <v>35</v>
      </c>
      <c r="M2210" s="5">
        <f>_xlfn.XLOOKUP(CustomerCombined[[#This Row],[ID]], Table4[ID], Table4[Meats], "Not Found", 0)</f>
        <v>552</v>
      </c>
      <c r="N2210" s="5">
        <f>_xlfn.XLOOKUP(CustomerCombined[[#This Row],[ID]], Table4[ID], Table4[Seafood], "Not Found", 0)</f>
        <v>230</v>
      </c>
      <c r="O2210" s="5">
        <f>_xlfn.XLOOKUP(CustomerCombined[[#This Row],[ID]], Table4[ID], Table4[Sweets], "Not Found", 0)</f>
        <v>35</v>
      </c>
      <c r="P2210" s="5">
        <f>_xlfn.XLOOKUP(CustomerCombined[[#This Row],[ID]], Table4[ID], Table4[Premium], "Not Found", 0)</f>
        <v>53</v>
      </c>
      <c r="Q2210" s="5">
        <f>_xlfn.XLOOKUP(CustomerCombined[[#This Row],[ID]], Table4[ID], Table4[Regular], "Not Found", 0)</f>
        <v>1783</v>
      </c>
      <c r="R2210" s="5">
        <f>_xlfn.XLOOKUP(CustomerCombined[[#This Row],[ID]], Table4[ID], Table4[Deals], "Not Found", 0)</f>
        <v>1</v>
      </c>
      <c r="S2210" s="5">
        <f>_xlfn.XLOOKUP(CustomerCombined[[#This Row],[ID]], Table4[ID], Table4[Website], "Not Found", 0)</f>
        <v>4</v>
      </c>
      <c r="T2210" s="5">
        <f>_xlfn.XLOOKUP(CustomerCombined[[#This Row],[ID]], Table4[ID], Table4[Catalog], "Not Found", 0)</f>
        <v>3</v>
      </c>
      <c r="U2210" s="5">
        <f>_xlfn.XLOOKUP(CustomerCombined[[#This Row],[ID]], Table4[ID], Table4[Store], "Not Found", 0)</f>
        <v>13</v>
      </c>
      <c r="V2210" s="5">
        <f>_xlfn.XLOOKUP(CustomerCombined[[#This Row],[ID]], Table4[ID], Table4[Visits], "Not Found", 0)</f>
        <v>2</v>
      </c>
      <c r="W2210" s="8">
        <f>_xlfn.XLOOKUP(CustomerCombined[[#This Row],[ID]], Table2[ID],Table2[Complaint], "Not Found", 0 )</f>
        <v>0</v>
      </c>
      <c r="X2210" s="8">
        <f>_xlfn.XLOOKUP(CustomerCombined[[#This Row],[ID]], Table2[ID],Table2[Pilot], "Not Found", 0 )</f>
        <v>0</v>
      </c>
      <c r="Y2210" s="8">
        <f>_xlfn.XLOOKUP(CustomerCombined[[#This Row],[ID]], Table2[ID],Table2[MC1], "Not Found", 0 )</f>
        <v>0</v>
      </c>
      <c r="Z2210" s="8">
        <f>_xlfn.XLOOKUP(CustomerCombined[[#This Row],[ID]], Table2[ID],Table2[MC2], "Not Found", 0 )</f>
        <v>0</v>
      </c>
      <c r="AA2210" s="8">
        <f>_xlfn.XLOOKUP(CustomerCombined[[#This Row],[ID]], Table2[ID],Table2[MC3], "Not Found", 0 )</f>
        <v>0</v>
      </c>
      <c r="AB2210" s="8">
        <f>_xlfn.XLOOKUP(CustomerCombined[[#This Row],[ID]], Table2[ID],Table2[MC4], "Not Found", 0 )</f>
        <v>0</v>
      </c>
      <c r="AC2210" s="8">
        <f>_xlfn.XLOOKUP(CustomerCombined[[#This Row],[ID]], Table2[ID],Table2[MC5], "Not Found", 0 )</f>
        <v>0</v>
      </c>
    </row>
    <row r="2211" spans="1:29" x14ac:dyDescent="0.3">
      <c r="A2211" s="6">
        <v>2251</v>
      </c>
      <c r="B2211" s="6">
        <v>155956</v>
      </c>
      <c r="C2211" s="6">
        <v>0</v>
      </c>
      <c r="D2211" s="6">
        <v>0</v>
      </c>
      <c r="E2211" s="6">
        <v>76</v>
      </c>
      <c r="F2211" s="5" t="s">
        <v>6</v>
      </c>
      <c r="G2211" s="5" t="s">
        <v>11</v>
      </c>
      <c r="H2211" s="3">
        <v>44144</v>
      </c>
      <c r="I2211" s="5" t="s">
        <v>437</v>
      </c>
      <c r="J2211" s="5">
        <f>_xlfn.XLOOKUP(CustomerCombined[[#This Row],[ID]], Table4[ID], Table4[Recency], "Not Found", 0)</f>
        <v>22</v>
      </c>
      <c r="K2211" s="5">
        <f>_xlfn.XLOOKUP(CustomerCombined[[#This Row],[ID]], Table4[ID], Table4[Teas], "Not Found", 0)</f>
        <v>2118</v>
      </c>
      <c r="L2211" s="5">
        <f>_xlfn.XLOOKUP(CustomerCombined[[#This Row],[ID]], Table4[ID], Table4[Fruits], "Not Found", 0)</f>
        <v>106</v>
      </c>
      <c r="M2211" s="5">
        <f>_xlfn.XLOOKUP(CustomerCombined[[#This Row],[ID]], Table4[ID], Table4[Meats], "Not Found", 0)</f>
        <v>290</v>
      </c>
      <c r="N2211" s="5">
        <f>_xlfn.XLOOKUP(CustomerCombined[[#This Row],[ID]], Table4[ID], Table4[Seafood], "Not Found", 0)</f>
        <v>139</v>
      </c>
      <c r="O2211" s="5">
        <f>_xlfn.XLOOKUP(CustomerCombined[[#This Row],[ID]], Table4[ID], Table4[Sweets], "Not Found", 0)</f>
        <v>25</v>
      </c>
      <c r="P2211" s="5">
        <f>_xlfn.XLOOKUP(CustomerCombined[[#This Row],[ID]], Table4[ID], Table4[Premium], "Not Found", 0)</f>
        <v>106</v>
      </c>
      <c r="Q2211" s="5">
        <f>_xlfn.XLOOKUP(CustomerCombined[[#This Row],[ID]], Table4[ID], Table4[Regular], "Not Found", 0)</f>
        <v>2573</v>
      </c>
      <c r="R2211" s="5">
        <f>_xlfn.XLOOKUP(CustomerCombined[[#This Row],[ID]], Table4[ID], Table4[Deals], "Not Found", 0)</f>
        <v>2</v>
      </c>
      <c r="S2211" s="5">
        <f>_xlfn.XLOOKUP(CustomerCombined[[#This Row],[ID]], Table4[ID], Table4[Website], "Not Found", 0)</f>
        <v>7</v>
      </c>
      <c r="T2211" s="5">
        <f>_xlfn.XLOOKUP(CustomerCombined[[#This Row],[ID]], Table4[ID], Table4[Catalog], "Not Found", 0)</f>
        <v>3</v>
      </c>
      <c r="U2211" s="5">
        <f>_xlfn.XLOOKUP(CustomerCombined[[#This Row],[ID]], Table4[ID], Table4[Store], "Not Found", 0)</f>
        <v>4</v>
      </c>
      <c r="V2211" s="5">
        <f>_xlfn.XLOOKUP(CustomerCombined[[#This Row],[ID]], Table4[ID], Table4[Visits], "Not Found", 0)</f>
        <v>4</v>
      </c>
      <c r="W2211" s="8">
        <f>_xlfn.XLOOKUP(CustomerCombined[[#This Row],[ID]], Table2[ID],Table2[Complaint], "Not Found", 0 )</f>
        <v>0</v>
      </c>
      <c r="X2211" s="8">
        <f>_xlfn.XLOOKUP(CustomerCombined[[#This Row],[ID]], Table2[ID],Table2[Pilot], "Not Found", 0 )</f>
        <v>0</v>
      </c>
      <c r="Y2211" s="8">
        <f>_xlfn.XLOOKUP(CustomerCombined[[#This Row],[ID]], Table2[ID],Table2[MC1], "Not Found", 0 )</f>
        <v>0</v>
      </c>
      <c r="Z2211" s="8">
        <f>_xlfn.XLOOKUP(CustomerCombined[[#This Row],[ID]], Table2[ID],Table2[MC2], "Not Found", 0 )</f>
        <v>0</v>
      </c>
      <c r="AA2211" s="8">
        <f>_xlfn.XLOOKUP(CustomerCombined[[#This Row],[ID]], Table2[ID],Table2[MC3], "Not Found", 0 )</f>
        <v>0</v>
      </c>
      <c r="AB2211" s="8">
        <f>_xlfn.XLOOKUP(CustomerCombined[[#This Row],[ID]], Table2[ID],Table2[MC4], "Not Found", 0 )</f>
        <v>1</v>
      </c>
      <c r="AC2211" s="8">
        <f>_xlfn.XLOOKUP(CustomerCombined[[#This Row],[ID]], Table2[ID],Table2[MC5], "Not Found", 0 )</f>
        <v>0</v>
      </c>
    </row>
    <row r="2212" spans="1:29" x14ac:dyDescent="0.3">
      <c r="A2212" s="6">
        <v>1478</v>
      </c>
      <c r="B2212" s="6">
        <v>155614</v>
      </c>
      <c r="C2212" s="6">
        <v>0</v>
      </c>
      <c r="D2212" s="6">
        <v>0</v>
      </c>
      <c r="E2212" s="6">
        <v>76</v>
      </c>
      <c r="F2212" s="5" t="s">
        <v>5</v>
      </c>
      <c r="G2212" s="5" t="s">
        <v>13</v>
      </c>
      <c r="H2212" s="3">
        <v>43895</v>
      </c>
      <c r="I2212" s="5" t="s">
        <v>438</v>
      </c>
      <c r="J2212" s="5">
        <f>_xlfn.XLOOKUP(CustomerCombined[[#This Row],[ID]], Table4[ID], Table4[Recency], "Not Found", 0)</f>
        <v>85</v>
      </c>
      <c r="K2212" s="5">
        <f>_xlfn.XLOOKUP(CustomerCombined[[#This Row],[ID]], Table4[ID], Table4[Teas], "Not Found", 0)</f>
        <v>1410</v>
      </c>
      <c r="L2212" s="5">
        <f>_xlfn.XLOOKUP(CustomerCombined[[#This Row],[ID]], Table4[ID], Table4[Fruits], "Not Found", 0)</f>
        <v>36</v>
      </c>
      <c r="M2212" s="5">
        <f>_xlfn.XLOOKUP(CustomerCombined[[#This Row],[ID]], Table4[ID], Table4[Meats], "Not Found", 0)</f>
        <v>367</v>
      </c>
      <c r="N2212" s="5">
        <f>_xlfn.XLOOKUP(CustomerCombined[[#This Row],[ID]], Table4[ID], Table4[Seafood], "Not Found", 0)</f>
        <v>22</v>
      </c>
      <c r="O2212" s="5">
        <f>_xlfn.XLOOKUP(CustomerCombined[[#This Row],[ID]], Table4[ID], Table4[Sweets], "Not Found", 0)</f>
        <v>0</v>
      </c>
      <c r="P2212" s="5">
        <f>_xlfn.XLOOKUP(CustomerCombined[[#This Row],[ID]], Table4[ID], Table4[Premium], "Not Found", 0)</f>
        <v>73</v>
      </c>
      <c r="Q2212" s="5">
        <f>_xlfn.XLOOKUP(CustomerCombined[[#This Row],[ID]], Table4[ID], Table4[Regular], "Not Found", 0)</f>
        <v>1763</v>
      </c>
      <c r="R2212" s="5">
        <f>_xlfn.XLOOKUP(CustomerCombined[[#This Row],[ID]], Table4[ID], Table4[Deals], "Not Found", 0)</f>
        <v>1</v>
      </c>
      <c r="S2212" s="5">
        <f>_xlfn.XLOOKUP(CustomerCombined[[#This Row],[ID]], Table4[ID], Table4[Website], "Not Found", 0)</f>
        <v>9</v>
      </c>
      <c r="T2212" s="5">
        <f>_xlfn.XLOOKUP(CustomerCombined[[#This Row],[ID]], Table4[ID], Table4[Catalog], "Not Found", 0)</f>
        <v>4</v>
      </c>
      <c r="U2212" s="5">
        <f>_xlfn.XLOOKUP(CustomerCombined[[#This Row],[ID]], Table4[ID], Table4[Store], "Not Found", 0)</f>
        <v>6</v>
      </c>
      <c r="V2212" s="5">
        <f>_xlfn.XLOOKUP(CustomerCombined[[#This Row],[ID]], Table4[ID], Table4[Visits], "Not Found", 0)</f>
        <v>7</v>
      </c>
      <c r="W2212" s="8">
        <f>_xlfn.XLOOKUP(CustomerCombined[[#This Row],[ID]], Table2[ID],Table2[Complaint], "Not Found", 0 )</f>
        <v>0</v>
      </c>
      <c r="X2212" s="8">
        <f>_xlfn.XLOOKUP(CustomerCombined[[#This Row],[ID]], Table2[ID],Table2[Pilot], "Not Found", 0 )</f>
        <v>0</v>
      </c>
      <c r="Y2212" s="8">
        <f>_xlfn.XLOOKUP(CustomerCombined[[#This Row],[ID]], Table2[ID],Table2[MC1], "Not Found", 0 )</f>
        <v>0</v>
      </c>
      <c r="Z2212" s="8">
        <f>_xlfn.XLOOKUP(CustomerCombined[[#This Row],[ID]], Table2[ID],Table2[MC2], "Not Found", 0 )</f>
        <v>0</v>
      </c>
      <c r="AA2212" s="8">
        <f>_xlfn.XLOOKUP(CustomerCombined[[#This Row],[ID]], Table2[ID],Table2[MC3], "Not Found", 0 )</f>
        <v>0</v>
      </c>
      <c r="AB2212" s="8">
        <f>_xlfn.XLOOKUP(CustomerCombined[[#This Row],[ID]], Table2[ID],Table2[MC4], "Not Found", 0 )</f>
        <v>1</v>
      </c>
      <c r="AC2212" s="8">
        <f>_xlfn.XLOOKUP(CustomerCombined[[#This Row],[ID]], Table2[ID],Table2[MC5], "Not Found", 0 )</f>
        <v>0</v>
      </c>
    </row>
    <row r="2213" spans="1:29" x14ac:dyDescent="0.3">
      <c r="A2213" s="6">
        <v>1595</v>
      </c>
      <c r="B2213" s="6">
        <v>145006</v>
      </c>
      <c r="C2213" s="6">
        <v>0</v>
      </c>
      <c r="D2213" s="6">
        <v>0</v>
      </c>
      <c r="E2213" s="6">
        <v>76</v>
      </c>
      <c r="F2213" s="5" t="s">
        <v>9</v>
      </c>
      <c r="G2213" s="5" t="s">
        <v>12</v>
      </c>
      <c r="H2213" s="3" t="s">
        <v>218</v>
      </c>
      <c r="I2213" s="5" t="s">
        <v>434</v>
      </c>
      <c r="J2213" s="5">
        <f>_xlfn.XLOOKUP(CustomerCombined[[#This Row],[ID]], Table4[ID], Table4[Recency], "Not Found", 0)</f>
        <v>90</v>
      </c>
      <c r="K2213" s="5">
        <f>_xlfn.XLOOKUP(CustomerCombined[[#This Row],[ID]], Table4[ID], Table4[Teas], "Not Found", 0)</f>
        <v>522</v>
      </c>
      <c r="L2213" s="5">
        <f>_xlfn.XLOOKUP(CustomerCombined[[#This Row],[ID]], Table4[ID], Table4[Fruits], "Not Found", 0)</f>
        <v>81</v>
      </c>
      <c r="M2213" s="5">
        <f>_xlfn.XLOOKUP(CustomerCombined[[#This Row],[ID]], Table4[ID], Table4[Meats], "Not Found", 0)</f>
        <v>171</v>
      </c>
      <c r="N2213" s="5">
        <f>_xlfn.XLOOKUP(CustomerCombined[[#This Row],[ID]], Table4[ID], Table4[Seafood], "Not Found", 0)</f>
        <v>52</v>
      </c>
      <c r="O2213" s="5">
        <f>_xlfn.XLOOKUP(CustomerCombined[[#This Row],[ID]], Table4[ID], Table4[Sweets], "Not Found", 0)</f>
        <v>0</v>
      </c>
      <c r="P2213" s="5">
        <f>_xlfn.XLOOKUP(CustomerCombined[[#This Row],[ID]], Table4[ID], Table4[Premium], "Not Found", 0)</f>
        <v>32</v>
      </c>
      <c r="Q2213" s="5">
        <f>_xlfn.XLOOKUP(CustomerCombined[[#This Row],[ID]], Table4[ID], Table4[Regular], "Not Found", 0)</f>
        <v>793</v>
      </c>
      <c r="R2213" s="5">
        <f>_xlfn.XLOOKUP(CustomerCombined[[#This Row],[ID]], Table4[ID], Table4[Deals], "Not Found", 0)</f>
        <v>1</v>
      </c>
      <c r="S2213" s="5">
        <f>_xlfn.XLOOKUP(CustomerCombined[[#This Row],[ID]], Table4[ID], Table4[Website], "Not Found", 0)</f>
        <v>3</v>
      </c>
      <c r="T2213" s="5">
        <f>_xlfn.XLOOKUP(CustomerCombined[[#This Row],[ID]], Table4[ID], Table4[Catalog], "Not Found", 0)</f>
        <v>1</v>
      </c>
      <c r="U2213" s="5">
        <f>_xlfn.XLOOKUP(CustomerCombined[[#This Row],[ID]], Table4[ID], Table4[Store], "Not Found", 0)</f>
        <v>7</v>
      </c>
      <c r="V2213" s="5">
        <f>_xlfn.XLOOKUP(CustomerCombined[[#This Row],[ID]], Table4[ID], Table4[Visits], "Not Found", 0)</f>
        <v>3</v>
      </c>
      <c r="W2213" s="8">
        <f>_xlfn.XLOOKUP(CustomerCombined[[#This Row],[ID]], Table2[ID],Table2[Complaint], "Not Found", 0 )</f>
        <v>0</v>
      </c>
      <c r="X2213" s="8">
        <f>_xlfn.XLOOKUP(CustomerCombined[[#This Row],[ID]], Table2[ID],Table2[Pilot], "Not Found", 0 )</f>
        <v>0</v>
      </c>
      <c r="Y2213" s="8">
        <f>_xlfn.XLOOKUP(CustomerCombined[[#This Row],[ID]], Table2[ID],Table2[MC1], "Not Found", 0 )</f>
        <v>0</v>
      </c>
      <c r="Z2213" s="8">
        <f>_xlfn.XLOOKUP(CustomerCombined[[#This Row],[ID]], Table2[ID],Table2[MC2], "Not Found", 0 )</f>
        <v>0</v>
      </c>
      <c r="AA2213" s="8">
        <f>_xlfn.XLOOKUP(CustomerCombined[[#This Row],[ID]], Table2[ID],Table2[MC3], "Not Found", 0 )</f>
        <v>0</v>
      </c>
      <c r="AB2213" s="8">
        <f>_xlfn.XLOOKUP(CustomerCombined[[#This Row],[ID]], Table2[ID],Table2[MC4], "Not Found", 0 )</f>
        <v>0</v>
      </c>
      <c r="AC2213" s="8">
        <f>_xlfn.XLOOKUP(CustomerCombined[[#This Row],[ID]], Table2[ID],Table2[MC5], "Not Found", 0 )</f>
        <v>0</v>
      </c>
    </row>
    <row r="2214" spans="1:29" x14ac:dyDescent="0.3">
      <c r="A2214" s="6">
        <v>2898</v>
      </c>
      <c r="B2214" s="6">
        <v>177598</v>
      </c>
      <c r="C2214" s="6">
        <v>0</v>
      </c>
      <c r="D2214" s="6">
        <v>0</v>
      </c>
      <c r="E2214" s="6">
        <v>77</v>
      </c>
      <c r="F2214" s="5" t="s">
        <v>7</v>
      </c>
      <c r="G2214" s="5" t="s">
        <v>12</v>
      </c>
      <c r="H2214" s="3">
        <v>44015</v>
      </c>
      <c r="I2214" s="5" t="s">
        <v>436</v>
      </c>
      <c r="J2214" s="5">
        <f>_xlfn.XLOOKUP(CustomerCombined[[#This Row],[ID]], Table4[ID], Table4[Recency], "Not Found", 0)</f>
        <v>53</v>
      </c>
      <c r="K2214" s="5">
        <f>_xlfn.XLOOKUP(CustomerCombined[[#This Row],[ID]], Table4[ID], Table4[Teas], "Not Found", 0)</f>
        <v>2730</v>
      </c>
      <c r="L2214" s="5">
        <f>_xlfn.XLOOKUP(CustomerCombined[[#This Row],[ID]], Table4[ID], Table4[Fruits], "Not Found", 0)</f>
        <v>76</v>
      </c>
      <c r="M2214" s="5">
        <f>_xlfn.XLOOKUP(CustomerCombined[[#This Row],[ID]], Table4[ID], Table4[Meats], "Not Found", 0)</f>
        <v>643</v>
      </c>
      <c r="N2214" s="5">
        <f>_xlfn.XLOOKUP(CustomerCombined[[#This Row],[ID]], Table4[ID], Table4[Seafood], "Not Found", 0)</f>
        <v>295</v>
      </c>
      <c r="O2214" s="5">
        <f>_xlfn.XLOOKUP(CustomerCombined[[#This Row],[ID]], Table4[ID], Table4[Sweets], "Not Found", 0)</f>
        <v>151</v>
      </c>
      <c r="P2214" s="5">
        <f>_xlfn.XLOOKUP(CustomerCombined[[#This Row],[ID]], Table4[ID], Table4[Premium], "Not Found", 0)</f>
        <v>76</v>
      </c>
      <c r="Q2214" s="5">
        <f>_xlfn.XLOOKUP(CustomerCombined[[#This Row],[ID]], Table4[ID], Table4[Regular], "Not Found", 0)</f>
        <v>3820</v>
      </c>
      <c r="R2214" s="5">
        <f>_xlfn.XLOOKUP(CustomerCombined[[#This Row],[ID]], Table4[ID], Table4[Deals], "Not Found", 0)</f>
        <v>1</v>
      </c>
      <c r="S2214" s="5">
        <f>_xlfn.XLOOKUP(CustomerCombined[[#This Row],[ID]], Table4[ID], Table4[Website], "Not Found", 0)</f>
        <v>7</v>
      </c>
      <c r="T2214" s="5">
        <f>_xlfn.XLOOKUP(CustomerCombined[[#This Row],[ID]], Table4[ID], Table4[Catalog], "Not Found", 0)</f>
        <v>5</v>
      </c>
      <c r="U2214" s="5">
        <f>_xlfn.XLOOKUP(CustomerCombined[[#This Row],[ID]], Table4[ID], Table4[Store], "Not Found", 0)</f>
        <v>13</v>
      </c>
      <c r="V2214" s="5">
        <f>_xlfn.XLOOKUP(CustomerCombined[[#This Row],[ID]], Table4[ID], Table4[Visits], "Not Found", 0)</f>
        <v>3</v>
      </c>
      <c r="W2214" s="8">
        <f>_xlfn.XLOOKUP(CustomerCombined[[#This Row],[ID]], Table2[ID],Table2[Complaint], "Not Found", 0 )</f>
        <v>0</v>
      </c>
      <c r="X2214" s="8">
        <f>_xlfn.XLOOKUP(CustomerCombined[[#This Row],[ID]], Table2[ID],Table2[Pilot], "Not Found", 0 )</f>
        <v>0</v>
      </c>
      <c r="Y2214" s="8">
        <f>_xlfn.XLOOKUP(CustomerCombined[[#This Row],[ID]], Table2[ID],Table2[MC1], "Not Found", 0 )</f>
        <v>0</v>
      </c>
      <c r="Z2214" s="8">
        <f>_xlfn.XLOOKUP(CustomerCombined[[#This Row],[ID]], Table2[ID],Table2[MC2], "Not Found", 0 )</f>
        <v>0</v>
      </c>
      <c r="AA2214" s="8">
        <f>_xlfn.XLOOKUP(CustomerCombined[[#This Row],[ID]], Table2[ID],Table2[MC3], "Not Found", 0 )</f>
        <v>0</v>
      </c>
      <c r="AB2214" s="8">
        <f>_xlfn.XLOOKUP(CustomerCombined[[#This Row],[ID]], Table2[ID],Table2[MC4], "Not Found", 0 )</f>
        <v>0</v>
      </c>
      <c r="AC2214" s="8">
        <f>_xlfn.XLOOKUP(CustomerCombined[[#This Row],[ID]], Table2[ID],Table2[MC5], "Not Found", 0 )</f>
        <v>1</v>
      </c>
    </row>
    <row r="2215" spans="1:29" x14ac:dyDescent="0.3">
      <c r="A2215" s="6">
        <v>1399</v>
      </c>
      <c r="B2215" s="6">
        <v>175865</v>
      </c>
      <c r="C2215" s="6">
        <v>0</v>
      </c>
      <c r="D2215" s="6">
        <v>0</v>
      </c>
      <c r="E2215" s="6">
        <v>77</v>
      </c>
      <c r="F2215" s="5" t="s">
        <v>6</v>
      </c>
      <c r="G2215" s="5" t="s">
        <v>13</v>
      </c>
      <c r="H2215" s="3">
        <v>43930</v>
      </c>
      <c r="I2215" s="5" t="s">
        <v>437</v>
      </c>
      <c r="J2215" s="5">
        <f>_xlfn.XLOOKUP(CustomerCombined[[#This Row],[ID]], Table4[ID], Table4[Recency], "Not Found", 0)</f>
        <v>73</v>
      </c>
      <c r="K2215" s="5">
        <f>_xlfn.XLOOKUP(CustomerCombined[[#This Row],[ID]], Table4[ID], Table4[Teas], "Not Found", 0)</f>
        <v>1120</v>
      </c>
      <c r="L2215" s="5">
        <f>_xlfn.XLOOKUP(CustomerCombined[[#This Row],[ID]], Table4[ID], Table4[Fruits], "Not Found", 0)</f>
        <v>0</v>
      </c>
      <c r="M2215" s="5">
        <f>_xlfn.XLOOKUP(CustomerCombined[[#This Row],[ID]], Table4[ID], Table4[Meats], "Not Found", 0)</f>
        <v>1370</v>
      </c>
      <c r="N2215" s="5">
        <f>_xlfn.XLOOKUP(CustomerCombined[[#This Row],[ID]], Table4[ID], Table4[Seafood], "Not Found", 0)</f>
        <v>362</v>
      </c>
      <c r="O2215" s="5">
        <f>_xlfn.XLOOKUP(CustomerCombined[[#This Row],[ID]], Table4[ID], Table4[Sweets], "Not Found", 0)</f>
        <v>0</v>
      </c>
      <c r="P2215" s="5">
        <f>_xlfn.XLOOKUP(CustomerCombined[[#This Row],[ID]], Table4[ID], Table4[Premium], "Not Found", 0)</f>
        <v>28</v>
      </c>
      <c r="Q2215" s="5">
        <f>_xlfn.XLOOKUP(CustomerCombined[[#This Row],[ID]], Table4[ID], Table4[Regular], "Not Found", 0)</f>
        <v>2823</v>
      </c>
      <c r="R2215" s="5">
        <f>_xlfn.XLOOKUP(CustomerCombined[[#This Row],[ID]], Table4[ID], Table4[Deals], "Not Found", 0)</f>
        <v>1</v>
      </c>
      <c r="S2215" s="5">
        <f>_xlfn.XLOOKUP(CustomerCombined[[#This Row],[ID]], Table4[ID], Table4[Website], "Not Found", 0)</f>
        <v>3</v>
      </c>
      <c r="T2215" s="5">
        <f>_xlfn.XLOOKUP(CustomerCombined[[#This Row],[ID]], Table4[ID], Table4[Catalog], "Not Found", 0)</f>
        <v>5</v>
      </c>
      <c r="U2215" s="5">
        <f>_xlfn.XLOOKUP(CustomerCombined[[#This Row],[ID]], Table4[ID], Table4[Store], "Not Found", 0)</f>
        <v>10</v>
      </c>
      <c r="V2215" s="5">
        <f>_xlfn.XLOOKUP(CustomerCombined[[#This Row],[ID]], Table4[ID], Table4[Visits], "Not Found", 0)</f>
        <v>1</v>
      </c>
      <c r="W2215" s="8">
        <f>_xlfn.XLOOKUP(CustomerCombined[[#This Row],[ID]], Table2[ID],Table2[Complaint], "Not Found", 0 )</f>
        <v>0</v>
      </c>
      <c r="X2215" s="8">
        <f>_xlfn.XLOOKUP(CustomerCombined[[#This Row],[ID]], Table2[ID],Table2[Pilot], "Not Found", 0 )</f>
        <v>0</v>
      </c>
      <c r="Y2215" s="8">
        <f>_xlfn.XLOOKUP(CustomerCombined[[#This Row],[ID]], Table2[ID],Table2[MC1], "Not Found", 0 )</f>
        <v>0</v>
      </c>
      <c r="Z2215" s="8">
        <f>_xlfn.XLOOKUP(CustomerCombined[[#This Row],[ID]], Table2[ID],Table2[MC2], "Not Found", 0 )</f>
        <v>0</v>
      </c>
      <c r="AA2215" s="8">
        <f>_xlfn.XLOOKUP(CustomerCombined[[#This Row],[ID]], Table2[ID],Table2[MC3], "Not Found", 0 )</f>
        <v>0</v>
      </c>
      <c r="AB2215" s="8">
        <f>_xlfn.XLOOKUP(CustomerCombined[[#This Row],[ID]], Table2[ID],Table2[MC4], "Not Found", 0 )</f>
        <v>0</v>
      </c>
      <c r="AC2215" s="8">
        <f>_xlfn.XLOOKUP(CustomerCombined[[#This Row],[ID]], Table2[ID],Table2[MC5], "Not Found", 0 )</f>
        <v>0</v>
      </c>
    </row>
    <row r="2216" spans="1:29" x14ac:dyDescent="0.3">
      <c r="A2216" s="6">
        <v>1342</v>
      </c>
      <c r="B2216" s="6">
        <v>165073</v>
      </c>
      <c r="C2216" s="6">
        <v>0</v>
      </c>
      <c r="D2216" s="6">
        <v>0</v>
      </c>
      <c r="E2216" s="6">
        <v>77</v>
      </c>
      <c r="F2216" s="5" t="s">
        <v>6</v>
      </c>
      <c r="G2216" s="5" t="s">
        <v>12</v>
      </c>
      <c r="H2216" s="3" t="s">
        <v>197</v>
      </c>
      <c r="I2216" s="5" t="s">
        <v>439</v>
      </c>
      <c r="J2216" s="5">
        <f>_xlfn.XLOOKUP(CustomerCombined[[#This Row],[ID]], Table4[ID], Table4[Recency], "Not Found", 0)</f>
        <v>65</v>
      </c>
      <c r="K2216" s="5">
        <f>_xlfn.XLOOKUP(CustomerCombined[[#This Row],[ID]], Table4[ID], Table4[Teas], "Not Found", 0)</f>
        <v>1596</v>
      </c>
      <c r="L2216" s="5">
        <f>_xlfn.XLOOKUP(CustomerCombined[[#This Row],[ID]], Table4[ID], Table4[Fruits], "Not Found", 0)</f>
        <v>43</v>
      </c>
      <c r="M2216" s="5">
        <f>_xlfn.XLOOKUP(CustomerCombined[[#This Row],[ID]], Table4[ID], Table4[Meats], "Not Found", 0)</f>
        <v>449</v>
      </c>
      <c r="N2216" s="5">
        <f>_xlfn.XLOOKUP(CustomerCombined[[#This Row],[ID]], Table4[ID], Table4[Seafood], "Not Found", 0)</f>
        <v>175</v>
      </c>
      <c r="O2216" s="5">
        <f>_xlfn.XLOOKUP(CustomerCombined[[#This Row],[ID]], Table4[ID], Table4[Sweets], "Not Found", 0)</f>
        <v>0</v>
      </c>
      <c r="P2216" s="5">
        <f>_xlfn.XLOOKUP(CustomerCombined[[#This Row],[ID]], Table4[ID], Table4[Premium], "Not Found", 0)</f>
        <v>20</v>
      </c>
      <c r="Q2216" s="5">
        <f>_xlfn.XLOOKUP(CustomerCombined[[#This Row],[ID]], Table4[ID], Table4[Regular], "Not Found", 0)</f>
        <v>2242</v>
      </c>
      <c r="R2216" s="5">
        <f>_xlfn.XLOOKUP(CustomerCombined[[#This Row],[ID]], Table4[ID], Table4[Deals], "Not Found", 0)</f>
        <v>1</v>
      </c>
      <c r="S2216" s="5">
        <f>_xlfn.XLOOKUP(CustomerCombined[[#This Row],[ID]], Table4[ID], Table4[Website], "Not Found", 0)</f>
        <v>5</v>
      </c>
      <c r="T2216" s="5">
        <f>_xlfn.XLOOKUP(CustomerCombined[[#This Row],[ID]], Table4[ID], Table4[Catalog], "Not Found", 0)</f>
        <v>3</v>
      </c>
      <c r="U2216" s="5">
        <f>_xlfn.XLOOKUP(CustomerCombined[[#This Row],[ID]], Table4[ID], Table4[Store], "Not Found", 0)</f>
        <v>5</v>
      </c>
      <c r="V2216" s="5">
        <f>_xlfn.XLOOKUP(CustomerCombined[[#This Row],[ID]], Table4[ID], Table4[Visits], "Not Found", 0)</f>
        <v>2</v>
      </c>
      <c r="W2216" s="8">
        <f>_xlfn.XLOOKUP(CustomerCombined[[#This Row],[ID]], Table2[ID],Table2[Complaint], "Not Found", 0 )</f>
        <v>1</v>
      </c>
      <c r="X2216" s="8">
        <f>_xlfn.XLOOKUP(CustomerCombined[[#This Row],[ID]], Table2[ID],Table2[Pilot], "Not Found", 0 )</f>
        <v>0</v>
      </c>
      <c r="Y2216" s="8">
        <f>_xlfn.XLOOKUP(CustomerCombined[[#This Row],[ID]], Table2[ID],Table2[MC1], "Not Found", 0 )</f>
        <v>0</v>
      </c>
      <c r="Z2216" s="8">
        <f>_xlfn.XLOOKUP(CustomerCombined[[#This Row],[ID]], Table2[ID],Table2[MC2], "Not Found", 0 )</f>
        <v>0</v>
      </c>
      <c r="AA2216" s="8">
        <f>_xlfn.XLOOKUP(CustomerCombined[[#This Row],[ID]], Table2[ID],Table2[MC3], "Not Found", 0 )</f>
        <v>0</v>
      </c>
      <c r="AB2216" s="8">
        <f>_xlfn.XLOOKUP(CustomerCombined[[#This Row],[ID]], Table2[ID],Table2[MC4], "Not Found", 0 )</f>
        <v>0</v>
      </c>
      <c r="AC2216" s="8">
        <f>_xlfn.XLOOKUP(CustomerCombined[[#This Row],[ID]], Table2[ID],Table2[MC5], "Not Found", 0 )</f>
        <v>0</v>
      </c>
    </row>
    <row r="2217" spans="1:29" x14ac:dyDescent="0.3">
      <c r="A2217" s="6">
        <v>2131</v>
      </c>
      <c r="B2217" s="6">
        <v>157513</v>
      </c>
      <c r="C2217" s="6">
        <v>0</v>
      </c>
      <c r="D2217" s="6">
        <v>0</v>
      </c>
      <c r="E2217" s="6">
        <v>77</v>
      </c>
      <c r="F2217" s="5" t="s">
        <v>9</v>
      </c>
      <c r="G2217" s="5" t="s">
        <v>13</v>
      </c>
      <c r="H2217" s="3">
        <v>43781</v>
      </c>
      <c r="I2217" s="5" t="s">
        <v>437</v>
      </c>
      <c r="J2217" s="5">
        <f>_xlfn.XLOOKUP(CustomerCombined[[#This Row],[ID]], Table4[ID], Table4[Recency], "Not Found", 0)</f>
        <v>59</v>
      </c>
      <c r="K2217" s="5">
        <f>_xlfn.XLOOKUP(CustomerCombined[[#This Row],[ID]], Table4[ID], Table4[Teas], "Not Found", 0)</f>
        <v>2013</v>
      </c>
      <c r="L2217" s="5">
        <f>_xlfn.XLOOKUP(CustomerCombined[[#This Row],[ID]], Table4[ID], Table4[Fruits], "Not Found", 0)</f>
        <v>110</v>
      </c>
      <c r="M2217" s="5">
        <f>_xlfn.XLOOKUP(CustomerCombined[[#This Row],[ID]], Table4[ID], Table4[Meats], "Not Found", 0)</f>
        <v>501</v>
      </c>
      <c r="N2217" s="5">
        <f>_xlfn.XLOOKUP(CustomerCombined[[#This Row],[ID]], Table4[ID], Table4[Seafood], "Not Found", 0)</f>
        <v>142</v>
      </c>
      <c r="O2217" s="5">
        <f>_xlfn.XLOOKUP(CustomerCombined[[#This Row],[ID]], Table4[ID], Table4[Sweets], "Not Found", 0)</f>
        <v>55</v>
      </c>
      <c r="P2217" s="5">
        <f>_xlfn.XLOOKUP(CustomerCombined[[#This Row],[ID]], Table4[ID], Table4[Premium], "Not Found", 0)</f>
        <v>82</v>
      </c>
      <c r="Q2217" s="5">
        <f>_xlfn.XLOOKUP(CustomerCombined[[#This Row],[ID]], Table4[ID], Table4[Regular], "Not Found", 0)</f>
        <v>2739</v>
      </c>
      <c r="R2217" s="5">
        <f>_xlfn.XLOOKUP(CustomerCombined[[#This Row],[ID]], Table4[ID], Table4[Deals], "Not Found", 0)</f>
        <v>2</v>
      </c>
      <c r="S2217" s="5">
        <f>_xlfn.XLOOKUP(CustomerCombined[[#This Row],[ID]], Table4[ID], Table4[Website], "Not Found", 0)</f>
        <v>9</v>
      </c>
      <c r="T2217" s="5">
        <f>_xlfn.XLOOKUP(CustomerCombined[[#This Row],[ID]], Table4[ID], Table4[Catalog], "Not Found", 0)</f>
        <v>3</v>
      </c>
      <c r="U2217" s="5">
        <f>_xlfn.XLOOKUP(CustomerCombined[[#This Row],[ID]], Table4[ID], Table4[Store], "Not Found", 0)</f>
        <v>13</v>
      </c>
      <c r="V2217" s="5">
        <f>_xlfn.XLOOKUP(CustomerCombined[[#This Row],[ID]], Table4[ID], Table4[Visits], "Not Found", 0)</f>
        <v>6</v>
      </c>
      <c r="W2217" s="8">
        <f>_xlfn.XLOOKUP(CustomerCombined[[#This Row],[ID]], Table2[ID],Table2[Complaint], "Not Found", 0 )</f>
        <v>0</v>
      </c>
      <c r="X2217" s="8">
        <f>_xlfn.XLOOKUP(CustomerCombined[[#This Row],[ID]], Table2[ID],Table2[Pilot], "Not Found", 0 )</f>
        <v>0</v>
      </c>
      <c r="Y2217" s="8">
        <f>_xlfn.XLOOKUP(CustomerCombined[[#This Row],[ID]], Table2[ID],Table2[MC1], "Not Found", 0 )</f>
        <v>0</v>
      </c>
      <c r="Z2217" s="8">
        <f>_xlfn.XLOOKUP(CustomerCombined[[#This Row],[ID]], Table2[ID],Table2[MC2], "Not Found", 0 )</f>
        <v>0</v>
      </c>
      <c r="AA2217" s="8">
        <f>_xlfn.XLOOKUP(CustomerCombined[[#This Row],[ID]], Table2[ID],Table2[MC3], "Not Found", 0 )</f>
        <v>0</v>
      </c>
      <c r="AB2217" s="8">
        <f>_xlfn.XLOOKUP(CustomerCombined[[#This Row],[ID]], Table2[ID],Table2[MC4], "Not Found", 0 )</f>
        <v>0</v>
      </c>
      <c r="AC2217" s="8">
        <f>_xlfn.XLOOKUP(CustomerCombined[[#This Row],[ID]], Table2[ID],Table2[MC5], "Not Found", 0 )</f>
        <v>0</v>
      </c>
    </row>
    <row r="2218" spans="1:29" x14ac:dyDescent="0.3">
      <c r="A2218" s="6">
        <v>1038</v>
      </c>
      <c r="B2218" s="6">
        <v>148948</v>
      </c>
      <c r="C2218" s="6">
        <v>0</v>
      </c>
      <c r="D2218" s="6">
        <v>0</v>
      </c>
      <c r="E2218" s="6">
        <v>77</v>
      </c>
      <c r="F2218" s="5" t="s">
        <v>5</v>
      </c>
      <c r="G2218" s="5" t="s">
        <v>13</v>
      </c>
      <c r="H2218" s="3">
        <v>43715</v>
      </c>
      <c r="I2218" s="5" t="s">
        <v>436</v>
      </c>
      <c r="J2218" s="5">
        <f>_xlfn.XLOOKUP(CustomerCombined[[#This Row],[ID]], Table4[ID], Table4[Recency], "Not Found", 0)</f>
        <v>53</v>
      </c>
      <c r="K2218" s="5">
        <f>_xlfn.XLOOKUP(CustomerCombined[[#This Row],[ID]], Table4[ID], Table4[Teas], "Not Found", 0)</f>
        <v>1330</v>
      </c>
      <c r="L2218" s="5">
        <f>_xlfn.XLOOKUP(CustomerCombined[[#This Row],[ID]], Table4[ID], Table4[Fruits], "Not Found", 0)</f>
        <v>24</v>
      </c>
      <c r="M2218" s="5">
        <f>_xlfn.XLOOKUP(CustomerCombined[[#This Row],[ID]], Table4[ID], Table4[Meats], "Not Found", 0)</f>
        <v>627</v>
      </c>
      <c r="N2218" s="5">
        <f>_xlfn.XLOOKUP(CustomerCombined[[#This Row],[ID]], Table4[ID], Table4[Seafood], "Not Found", 0)</f>
        <v>487</v>
      </c>
      <c r="O2218" s="5">
        <f>_xlfn.XLOOKUP(CustomerCombined[[#This Row],[ID]], Table4[ID], Table4[Sweets], "Not Found", 0)</f>
        <v>149</v>
      </c>
      <c r="P2218" s="5">
        <f>_xlfn.XLOOKUP(CustomerCombined[[#This Row],[ID]], Table4[ID], Table4[Premium], "Not Found", 0)</f>
        <v>128</v>
      </c>
      <c r="Q2218" s="5">
        <f>_xlfn.XLOOKUP(CustomerCombined[[#This Row],[ID]], Table4[ID], Table4[Regular], "Not Found", 0)</f>
        <v>2489</v>
      </c>
      <c r="R2218" s="5">
        <f>_xlfn.XLOOKUP(CustomerCombined[[#This Row],[ID]], Table4[ID], Table4[Deals], "Not Found", 0)</f>
        <v>2</v>
      </c>
      <c r="S2218" s="5">
        <f>_xlfn.XLOOKUP(CustomerCombined[[#This Row],[ID]], Table4[ID], Table4[Website], "Not Found", 0)</f>
        <v>7</v>
      </c>
      <c r="T2218" s="5">
        <f>_xlfn.XLOOKUP(CustomerCombined[[#This Row],[ID]], Table4[ID], Table4[Catalog], "Not Found", 0)</f>
        <v>10</v>
      </c>
      <c r="U2218" s="5">
        <f>_xlfn.XLOOKUP(CustomerCombined[[#This Row],[ID]], Table4[ID], Table4[Store], "Not Found", 0)</f>
        <v>5</v>
      </c>
      <c r="V2218" s="5">
        <f>_xlfn.XLOOKUP(CustomerCombined[[#This Row],[ID]], Table4[ID], Table4[Visits], "Not Found", 0)</f>
        <v>6</v>
      </c>
      <c r="W2218" s="8">
        <f>_xlfn.XLOOKUP(CustomerCombined[[#This Row],[ID]], Table2[ID],Table2[Complaint], "Not Found", 0 )</f>
        <v>0</v>
      </c>
      <c r="X2218" s="8">
        <f>_xlfn.XLOOKUP(CustomerCombined[[#This Row],[ID]], Table2[ID],Table2[Pilot], "Not Found", 0 )</f>
        <v>1</v>
      </c>
      <c r="Y2218" s="8">
        <f>_xlfn.XLOOKUP(CustomerCombined[[#This Row],[ID]], Table2[ID],Table2[MC1], "Not Found", 0 )</f>
        <v>0</v>
      </c>
      <c r="Z2218" s="8">
        <f>_xlfn.XLOOKUP(CustomerCombined[[#This Row],[ID]], Table2[ID],Table2[MC2], "Not Found", 0 )</f>
        <v>0</v>
      </c>
      <c r="AA2218" s="8">
        <f>_xlfn.XLOOKUP(CustomerCombined[[#This Row],[ID]], Table2[ID],Table2[MC3], "Not Found", 0 )</f>
        <v>1</v>
      </c>
      <c r="AB2218" s="8">
        <f>_xlfn.XLOOKUP(CustomerCombined[[#This Row],[ID]], Table2[ID],Table2[MC4], "Not Found", 0 )</f>
        <v>0</v>
      </c>
      <c r="AC2218" s="8">
        <f>_xlfn.XLOOKUP(CustomerCombined[[#This Row],[ID]], Table2[ID],Table2[MC5], "Not Found", 0 )</f>
        <v>0</v>
      </c>
    </row>
    <row r="2219" spans="1:29" x14ac:dyDescent="0.3">
      <c r="A2219" s="6">
        <v>1875</v>
      </c>
      <c r="B2219" s="6">
        <v>148948</v>
      </c>
      <c r="C2219" s="6">
        <v>0</v>
      </c>
      <c r="D2219" s="6">
        <v>0</v>
      </c>
      <c r="E2219" s="6">
        <v>77</v>
      </c>
      <c r="F2219" s="5" t="s">
        <v>5</v>
      </c>
      <c r="G2219" s="5" t="s">
        <v>13</v>
      </c>
      <c r="H2219" s="3">
        <v>43715</v>
      </c>
      <c r="I2219" s="5" t="s">
        <v>435</v>
      </c>
      <c r="J2219" s="5">
        <f>_xlfn.XLOOKUP(CustomerCombined[[#This Row],[ID]], Table4[ID], Table4[Recency], "Not Found", 0)</f>
        <v>53</v>
      </c>
      <c r="K2219" s="5">
        <f>_xlfn.XLOOKUP(CustomerCombined[[#This Row],[ID]], Table4[ID], Table4[Teas], "Not Found", 0)</f>
        <v>1330</v>
      </c>
      <c r="L2219" s="5">
        <f>_xlfn.XLOOKUP(CustomerCombined[[#This Row],[ID]], Table4[ID], Table4[Fruits], "Not Found", 0)</f>
        <v>24</v>
      </c>
      <c r="M2219" s="5">
        <f>_xlfn.XLOOKUP(CustomerCombined[[#This Row],[ID]], Table4[ID], Table4[Meats], "Not Found", 0)</f>
        <v>627</v>
      </c>
      <c r="N2219" s="5">
        <f>_xlfn.XLOOKUP(CustomerCombined[[#This Row],[ID]], Table4[ID], Table4[Seafood], "Not Found", 0)</f>
        <v>487</v>
      </c>
      <c r="O2219" s="5">
        <f>_xlfn.XLOOKUP(CustomerCombined[[#This Row],[ID]], Table4[ID], Table4[Sweets], "Not Found", 0)</f>
        <v>149</v>
      </c>
      <c r="P2219" s="5">
        <f>_xlfn.XLOOKUP(CustomerCombined[[#This Row],[ID]], Table4[ID], Table4[Premium], "Not Found", 0)</f>
        <v>128</v>
      </c>
      <c r="Q2219" s="5">
        <f>_xlfn.XLOOKUP(CustomerCombined[[#This Row],[ID]], Table4[ID], Table4[Regular], "Not Found", 0)</f>
        <v>2489</v>
      </c>
      <c r="R2219" s="5">
        <f>_xlfn.XLOOKUP(CustomerCombined[[#This Row],[ID]], Table4[ID], Table4[Deals], "Not Found", 0)</f>
        <v>2</v>
      </c>
      <c r="S2219" s="5">
        <f>_xlfn.XLOOKUP(CustomerCombined[[#This Row],[ID]], Table4[ID], Table4[Website], "Not Found", 0)</f>
        <v>7</v>
      </c>
      <c r="T2219" s="5">
        <f>_xlfn.XLOOKUP(CustomerCombined[[#This Row],[ID]], Table4[ID], Table4[Catalog], "Not Found", 0)</f>
        <v>10</v>
      </c>
      <c r="U2219" s="5">
        <f>_xlfn.XLOOKUP(CustomerCombined[[#This Row],[ID]], Table4[ID], Table4[Store], "Not Found", 0)</f>
        <v>5</v>
      </c>
      <c r="V2219" s="5">
        <f>_xlfn.XLOOKUP(CustomerCombined[[#This Row],[ID]], Table4[ID], Table4[Visits], "Not Found", 0)</f>
        <v>6</v>
      </c>
      <c r="W2219" s="8">
        <f>_xlfn.XLOOKUP(CustomerCombined[[#This Row],[ID]], Table2[ID],Table2[Complaint], "Not Found", 0 )</f>
        <v>0</v>
      </c>
      <c r="X2219" s="8">
        <f>_xlfn.XLOOKUP(CustomerCombined[[#This Row],[ID]], Table2[ID],Table2[Pilot], "Not Found", 0 )</f>
        <v>1</v>
      </c>
      <c r="Y2219" s="8">
        <f>_xlfn.XLOOKUP(CustomerCombined[[#This Row],[ID]], Table2[ID],Table2[MC1], "Not Found", 0 )</f>
        <v>0</v>
      </c>
      <c r="Z2219" s="8">
        <f>_xlfn.XLOOKUP(CustomerCombined[[#This Row],[ID]], Table2[ID],Table2[MC2], "Not Found", 0 )</f>
        <v>0</v>
      </c>
      <c r="AA2219" s="8">
        <f>_xlfn.XLOOKUP(CustomerCombined[[#This Row],[ID]], Table2[ID],Table2[MC3], "Not Found", 0 )</f>
        <v>1</v>
      </c>
      <c r="AB2219" s="8">
        <f>_xlfn.XLOOKUP(CustomerCombined[[#This Row],[ID]], Table2[ID],Table2[MC4], "Not Found", 0 )</f>
        <v>0</v>
      </c>
      <c r="AC2219" s="8">
        <f>_xlfn.XLOOKUP(CustomerCombined[[#This Row],[ID]], Table2[ID],Table2[MC5], "Not Found", 0 )</f>
        <v>0</v>
      </c>
    </row>
    <row r="2220" spans="1:29" x14ac:dyDescent="0.3">
      <c r="A2220" s="6">
        <v>1408</v>
      </c>
      <c r="B2220" s="6">
        <v>193027</v>
      </c>
      <c r="C2220" s="6">
        <v>0</v>
      </c>
      <c r="D2220" s="6">
        <v>0</v>
      </c>
      <c r="E2220" s="6">
        <v>79</v>
      </c>
      <c r="F2220" s="5" t="s">
        <v>6</v>
      </c>
      <c r="G2220" s="5" t="s">
        <v>13</v>
      </c>
      <c r="H2220" s="3" t="s">
        <v>276</v>
      </c>
      <c r="I2220" s="5" t="s">
        <v>439</v>
      </c>
      <c r="J2220" s="5">
        <f>_xlfn.XLOOKUP(CustomerCombined[[#This Row],[ID]], Table4[ID], Table4[Recency], "Not Found", 0)</f>
        <v>77</v>
      </c>
      <c r="K2220" s="5">
        <f>_xlfn.XLOOKUP(CustomerCombined[[#This Row],[ID]], Table4[ID], Table4[Teas], "Not Found", 0)</f>
        <v>2666</v>
      </c>
      <c r="L2220" s="5">
        <f>_xlfn.XLOOKUP(CustomerCombined[[#This Row],[ID]], Table4[ID], Table4[Fruits], "Not Found", 0)</f>
        <v>87</v>
      </c>
      <c r="M2220" s="5">
        <f>_xlfn.XLOOKUP(CustomerCombined[[#This Row],[ID]], Table4[ID], Table4[Meats], "Not Found", 0)</f>
        <v>1486</v>
      </c>
      <c r="N2220" s="5">
        <f>_xlfn.XLOOKUP(CustomerCombined[[#This Row],[ID]], Table4[ID], Table4[Seafood], "Not Found", 0)</f>
        <v>114</v>
      </c>
      <c r="O2220" s="5">
        <f>_xlfn.XLOOKUP(CustomerCombined[[#This Row],[ID]], Table4[ID], Table4[Sweets], "Not Found", 0)</f>
        <v>0</v>
      </c>
      <c r="P2220" s="5">
        <f>_xlfn.XLOOKUP(CustomerCombined[[#This Row],[ID]], Table4[ID], Table4[Premium], "Not Found", 0)</f>
        <v>44</v>
      </c>
      <c r="Q2220" s="5">
        <f>_xlfn.XLOOKUP(CustomerCombined[[#This Row],[ID]], Table4[ID], Table4[Regular], "Not Found", 0)</f>
        <v>4310</v>
      </c>
      <c r="R2220" s="5">
        <f>_xlfn.XLOOKUP(CustomerCombined[[#This Row],[ID]], Table4[ID], Table4[Deals], "Not Found", 0)</f>
        <v>0</v>
      </c>
      <c r="S2220" s="5">
        <f>_xlfn.XLOOKUP(CustomerCombined[[#This Row],[ID]], Table4[ID], Table4[Website], "Not Found", 0)</f>
        <v>7</v>
      </c>
      <c r="T2220" s="5">
        <f>_xlfn.XLOOKUP(CustomerCombined[[#This Row],[ID]], Table4[ID], Table4[Catalog], "Not Found", 0)</f>
        <v>10</v>
      </c>
      <c r="U2220" s="5">
        <f>_xlfn.XLOOKUP(CustomerCombined[[#This Row],[ID]], Table4[ID], Table4[Store], "Not Found", 0)</f>
        <v>5</v>
      </c>
      <c r="V2220" s="5">
        <f>_xlfn.XLOOKUP(CustomerCombined[[#This Row],[ID]], Table4[ID], Table4[Visits], "Not Found", 0)</f>
        <v>2</v>
      </c>
      <c r="W2220" s="8">
        <f>_xlfn.XLOOKUP(CustomerCombined[[#This Row],[ID]], Table2[ID],Table2[Complaint], "Not Found", 0 )</f>
        <v>0</v>
      </c>
      <c r="X2220" s="8">
        <f>_xlfn.XLOOKUP(CustomerCombined[[#This Row],[ID]], Table2[ID],Table2[Pilot], "Not Found", 0 )</f>
        <v>0</v>
      </c>
      <c r="Y2220" s="8">
        <f>_xlfn.XLOOKUP(CustomerCombined[[#This Row],[ID]], Table2[ID],Table2[MC1], "Not Found", 0 )</f>
        <v>0</v>
      </c>
      <c r="Z2220" s="8">
        <f>_xlfn.XLOOKUP(CustomerCombined[[#This Row],[ID]], Table2[ID],Table2[MC2], "Not Found", 0 )</f>
        <v>0</v>
      </c>
      <c r="AA2220" s="8">
        <f>_xlfn.XLOOKUP(CustomerCombined[[#This Row],[ID]], Table2[ID],Table2[MC3], "Not Found", 0 )</f>
        <v>0</v>
      </c>
      <c r="AB2220" s="8">
        <f>_xlfn.XLOOKUP(CustomerCombined[[#This Row],[ID]], Table2[ID],Table2[MC4], "Not Found", 0 )</f>
        <v>0</v>
      </c>
      <c r="AC2220" s="8">
        <f>_xlfn.XLOOKUP(CustomerCombined[[#This Row],[ID]], Table2[ID],Table2[MC5], "Not Found", 0 )</f>
        <v>1</v>
      </c>
    </row>
    <row r="2221" spans="1:29" x14ac:dyDescent="0.3">
      <c r="A2221" s="7">
        <v>2925</v>
      </c>
      <c r="B2221" s="7">
        <v>151141</v>
      </c>
      <c r="C2221" s="7">
        <v>0</v>
      </c>
      <c r="D2221" s="7">
        <v>0</v>
      </c>
      <c r="E2221" s="7">
        <v>80</v>
      </c>
      <c r="F2221" s="5" t="s">
        <v>7</v>
      </c>
      <c r="G2221" s="5" t="s">
        <v>13</v>
      </c>
      <c r="H2221" s="3" t="s">
        <v>227</v>
      </c>
      <c r="I2221" s="5" t="s">
        <v>435</v>
      </c>
      <c r="J2221" s="5">
        <f>_xlfn.XLOOKUP(CustomerCombined[[#This Row],[ID]], Table4[ID], Table4[Recency], "Not Found", 0)</f>
        <v>96</v>
      </c>
      <c r="K2221" s="5">
        <f>_xlfn.XLOOKUP(CustomerCombined[[#This Row],[ID]], Table4[ID], Table4[Teas], "Not Found", 0)</f>
        <v>426</v>
      </c>
      <c r="L2221" s="5">
        <f>_xlfn.XLOOKUP(CustomerCombined[[#This Row],[ID]], Table4[ID], Table4[Fruits], "Not Found", 0)</f>
        <v>0</v>
      </c>
      <c r="M2221" s="5">
        <f>_xlfn.XLOOKUP(CustomerCombined[[#This Row],[ID]], Table4[ID], Table4[Meats], "Not Found", 0)</f>
        <v>21</v>
      </c>
      <c r="N2221" s="5">
        <f>_xlfn.XLOOKUP(CustomerCombined[[#This Row],[ID]], Table4[ID], Table4[Seafood], "Not Found", 0)</f>
        <v>0</v>
      </c>
      <c r="O2221" s="5">
        <f>_xlfn.XLOOKUP(CustomerCombined[[#This Row],[ID]], Table4[ID], Table4[Sweets], "Not Found", 0)</f>
        <v>0</v>
      </c>
      <c r="P2221" s="5">
        <f>_xlfn.XLOOKUP(CustomerCombined[[#This Row],[ID]], Table4[ID], Table4[Premium], "Not Found", 0)</f>
        <v>18</v>
      </c>
      <c r="Q2221" s="5">
        <f>_xlfn.XLOOKUP(CustomerCombined[[#This Row],[ID]], Table4[ID], Table4[Regular], "Not Found", 0)</f>
        <v>429</v>
      </c>
      <c r="R2221" s="5">
        <f>_xlfn.XLOOKUP(CustomerCombined[[#This Row],[ID]], Table4[ID], Table4[Deals], "Not Found", 0)</f>
        <v>1</v>
      </c>
      <c r="S2221" s="5">
        <f>_xlfn.XLOOKUP(CustomerCombined[[#This Row],[ID]], Table4[ID], Table4[Website], "Not Found", 0)</f>
        <v>3</v>
      </c>
      <c r="T2221" s="5">
        <f>_xlfn.XLOOKUP(CustomerCombined[[#This Row],[ID]], Table4[ID], Table4[Catalog], "Not Found", 0)</f>
        <v>1</v>
      </c>
      <c r="U2221" s="5">
        <f>_xlfn.XLOOKUP(CustomerCombined[[#This Row],[ID]], Table4[ID], Table4[Store], "Not Found", 0)</f>
        <v>4</v>
      </c>
      <c r="V2221" s="5">
        <f>_xlfn.XLOOKUP(CustomerCombined[[#This Row],[ID]], Table4[ID], Table4[Visits], "Not Found", 0)</f>
        <v>5</v>
      </c>
      <c r="W2221" s="8">
        <f>_xlfn.XLOOKUP(CustomerCombined[[#This Row],[ID]], Table2[ID],Table2[Complaint], "Not Found", 0 )</f>
        <v>0</v>
      </c>
      <c r="X2221" s="8">
        <f>_xlfn.XLOOKUP(CustomerCombined[[#This Row],[ID]], Table2[ID],Table2[Pilot], "Not Found", 0 )</f>
        <v>0</v>
      </c>
      <c r="Y2221" s="8">
        <f>_xlfn.XLOOKUP(CustomerCombined[[#This Row],[ID]], Table2[ID],Table2[MC1], "Not Found", 0 )</f>
        <v>0</v>
      </c>
      <c r="Z2221" s="8">
        <f>_xlfn.XLOOKUP(CustomerCombined[[#This Row],[ID]], Table2[ID],Table2[MC2], "Not Found", 0 )</f>
        <v>0</v>
      </c>
      <c r="AA2221" s="8">
        <f>_xlfn.XLOOKUP(CustomerCombined[[#This Row],[ID]], Table2[ID],Table2[MC3], "Not Found", 0 )</f>
        <v>0</v>
      </c>
      <c r="AB2221" s="8">
        <f>_xlfn.XLOOKUP(CustomerCombined[[#This Row],[ID]], Table2[ID],Table2[MC4], "Not Found", 0 )</f>
        <v>0</v>
      </c>
      <c r="AC2221" s="8">
        <f>_xlfn.XLOOKUP(CustomerCombined[[#This Row],[ID]], Table2[ID],Table2[MC5], "Not Found", 0 )</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573AF-8C2A-428C-8743-81F0948323BD}">
  <dimension ref="A1:L34"/>
  <sheetViews>
    <sheetView topLeftCell="A13" workbookViewId="0">
      <selection activeCell="F33" sqref="F33:G34"/>
    </sheetView>
  </sheetViews>
  <sheetFormatPr defaultRowHeight="14.4" x14ac:dyDescent="0.3"/>
  <cols>
    <col min="7" max="7" width="9.109375" bestFit="1" customWidth="1"/>
  </cols>
  <sheetData>
    <row r="1" spans="1:12" ht="15.6" thickTop="1" thickBot="1" x14ac:dyDescent="0.35">
      <c r="A1" s="4" t="s">
        <v>422</v>
      </c>
      <c r="B1" s="15">
        <f>SUBTOTAL(109,CustomerCombined[Teas])</f>
        <v>1734336</v>
      </c>
      <c r="F1" s="4" t="s">
        <v>422</v>
      </c>
      <c r="G1" s="15">
        <f>SUBTOTAL(109,CustomerCombinedCleaned[Teas])</f>
        <v>1739094</v>
      </c>
      <c r="L1" s="6" t="s">
        <v>13</v>
      </c>
    </row>
    <row r="2" spans="1:12" ht="15.6" thickTop="1" thickBot="1" x14ac:dyDescent="0.35">
      <c r="A2" s="4" t="s">
        <v>423</v>
      </c>
      <c r="B2" s="15">
        <f>SUBTOTAL(109,CustomerCombined[Fruits])</f>
        <v>154139</v>
      </c>
      <c r="F2" s="4" t="s">
        <v>423</v>
      </c>
      <c r="G2" s="15">
        <f>SUBTOTAL(109,CustomerCombinedCleaned[Fruits])</f>
        <v>154350</v>
      </c>
      <c r="L2" s="6" t="s">
        <v>11</v>
      </c>
    </row>
    <row r="3" spans="1:12" ht="15.6" thickTop="1" thickBot="1" x14ac:dyDescent="0.35">
      <c r="A3" s="4" t="s">
        <v>424</v>
      </c>
      <c r="B3" s="15">
        <f>SUBTOTAL(109,CustomerCombined[Meats])</f>
        <v>986946</v>
      </c>
      <c r="F3" s="4" t="s">
        <v>424</v>
      </c>
      <c r="G3" s="15">
        <f>SUBTOTAL(109,CustomerCombinedCleaned[Meats])</f>
        <v>988299</v>
      </c>
      <c r="L3" s="6" t="s">
        <v>12</v>
      </c>
    </row>
    <row r="4" spans="1:12" ht="15.6" thickTop="1" thickBot="1" x14ac:dyDescent="0.35">
      <c r="A4" s="4" t="s">
        <v>425</v>
      </c>
      <c r="B4" s="15">
        <f>SUBTOTAL(109,CustomerCombined[Seafood])</f>
        <v>219967</v>
      </c>
      <c r="F4" s="4" t="s">
        <v>425</v>
      </c>
      <c r="G4" s="15">
        <f>SUBTOTAL(109,CustomerCombinedCleaned[Seafood])</f>
        <v>220317</v>
      </c>
      <c r="L4" s="6" t="s">
        <v>442</v>
      </c>
    </row>
    <row r="5" spans="1:12" ht="15" thickTop="1" x14ac:dyDescent="0.3">
      <c r="A5" s="4" t="s">
        <v>426</v>
      </c>
      <c r="B5" s="15">
        <f>SUBTOTAL(109,CustomerCombined[Sweets])</f>
        <v>157502</v>
      </c>
      <c r="F5" s="4" t="s">
        <v>426</v>
      </c>
      <c r="G5" s="15">
        <f>SUBTOTAL(109,CustomerCombinedCleaned[Sweets])</f>
        <v>157628</v>
      </c>
      <c r="L5" s="6" t="s">
        <v>10</v>
      </c>
    </row>
    <row r="6" spans="1:12" ht="15" thickBot="1" x14ac:dyDescent="0.35"/>
    <row r="7" spans="1:12" ht="15.6" thickTop="1" thickBot="1" x14ac:dyDescent="0.35">
      <c r="A7" s="4" t="s">
        <v>429</v>
      </c>
      <c r="B7" s="15">
        <f>SUBTOTAL(109,CustomerCombined[Deals])</f>
        <v>1005160</v>
      </c>
      <c r="F7" s="4" t="s">
        <v>432</v>
      </c>
      <c r="G7" s="15">
        <f>SUBTOTAL(109,CustomerCombinedCleaned[Store])</f>
        <v>12931</v>
      </c>
    </row>
    <row r="8" spans="1:12" ht="15.6" thickTop="1" thickBot="1" x14ac:dyDescent="0.35">
      <c r="A8" s="4" t="s">
        <v>430</v>
      </c>
      <c r="B8" s="15">
        <f>SUBTOTAL(109,CustomerCombined[Website])</f>
        <v>9108</v>
      </c>
      <c r="F8" s="4" t="s">
        <v>433</v>
      </c>
      <c r="G8" s="15">
        <f>SUBTOTAL(109,CustomerCombinedCleaned[Visits])</f>
        <v>11867</v>
      </c>
    </row>
    <row r="9" spans="1:12" ht="15.6" thickTop="1" thickBot="1" x14ac:dyDescent="0.35">
      <c r="A9" s="4" t="s">
        <v>431</v>
      </c>
      <c r="B9" s="15">
        <f>SUBTOTAL(109,CustomerCombined[Catalog])</f>
        <v>5862.2</v>
      </c>
      <c r="F9" s="4" t="s">
        <v>430</v>
      </c>
      <c r="G9" s="15">
        <f>SUBTOTAL(109,CustomerCombinedCleaned[Website])</f>
        <v>9110</v>
      </c>
    </row>
    <row r="10" spans="1:12" ht="15.6" thickTop="1" thickBot="1" x14ac:dyDescent="0.35">
      <c r="A10" s="4" t="s">
        <v>432</v>
      </c>
      <c r="B10" s="15">
        <f>SUBTOTAL(109,CustomerCombined[Store])</f>
        <v>12905</v>
      </c>
      <c r="F10" s="4" t="s">
        <v>431</v>
      </c>
      <c r="G10" s="15">
        <f>SUBTOTAL(109,CustomerCombinedCleaned[Catalog])</f>
        <v>5867</v>
      </c>
    </row>
    <row r="11" spans="1:12" ht="15" thickTop="1" x14ac:dyDescent="0.3">
      <c r="A11" s="4" t="s">
        <v>433</v>
      </c>
      <c r="B11" s="15">
        <f>SUBTOTAL(109,CustomerCombined[Visits])</f>
        <v>11859</v>
      </c>
      <c r="F11" s="4" t="s">
        <v>429</v>
      </c>
      <c r="G11" s="15">
        <f>SUBTOTAL(109,CustomerCombinedCleaned[Deals])</f>
        <v>5162</v>
      </c>
    </row>
    <row r="14" spans="1:12" ht="15" thickBot="1" x14ac:dyDescent="0.35"/>
    <row r="15" spans="1:12" ht="15.6" thickTop="1" thickBot="1" x14ac:dyDescent="0.35">
      <c r="A15" s="15" t="s">
        <v>18</v>
      </c>
      <c r="B15" s="10">
        <f>SUM(CustomerCombined[MC1])</f>
        <v>143</v>
      </c>
    </row>
    <row r="16" spans="1:12" ht="15.6" thickTop="1" thickBot="1" x14ac:dyDescent="0.35">
      <c r="A16" s="15" t="s">
        <v>19</v>
      </c>
      <c r="B16" s="10">
        <f>SUM(CustomerCombined[MC2])</f>
        <v>30</v>
      </c>
    </row>
    <row r="17" spans="1:7" ht="15.6" thickTop="1" thickBot="1" x14ac:dyDescent="0.35">
      <c r="A17" s="15" t="s">
        <v>15</v>
      </c>
      <c r="B17" s="10">
        <f>SUM(CustomerCombined[MC3])</f>
        <v>165</v>
      </c>
    </row>
    <row r="18" spans="1:7" ht="15.6" thickTop="1" thickBot="1" x14ac:dyDescent="0.35">
      <c r="A18" s="15" t="s">
        <v>16</v>
      </c>
      <c r="B18" s="10">
        <f>SUM(CustomerCombined[MC4])</f>
        <v>165</v>
      </c>
    </row>
    <row r="19" spans="1:7" ht="15" thickTop="1" x14ac:dyDescent="0.3">
      <c r="A19" s="15" t="s">
        <v>17</v>
      </c>
      <c r="B19" s="10">
        <f>SUM(CustomerCombined[MC5])</f>
        <v>161</v>
      </c>
    </row>
    <row r="20" spans="1:7" ht="15" thickBot="1" x14ac:dyDescent="0.35"/>
    <row r="21" spans="1:7" ht="15.6" thickTop="1" thickBot="1" x14ac:dyDescent="0.35">
      <c r="A21" s="12" t="s">
        <v>7</v>
      </c>
      <c r="B21" s="15">
        <f>COUNTIF(CustomerCombined[], "=Single")</f>
        <v>482</v>
      </c>
      <c r="F21" s="12" t="s">
        <v>7</v>
      </c>
      <c r="G21" s="15">
        <f>COUNTIF(CustomerCombinedCleaned[Martial Status], "=Single")</f>
        <v>481</v>
      </c>
    </row>
    <row r="22" spans="1:7" ht="15.6" thickTop="1" thickBot="1" x14ac:dyDescent="0.35">
      <c r="A22" s="12" t="s">
        <v>6</v>
      </c>
      <c r="B22" s="15">
        <f>COUNTIF(CustomerCombined[], "=Married")</f>
        <v>860</v>
      </c>
      <c r="F22" s="12" t="s">
        <v>6</v>
      </c>
      <c r="G22" s="15">
        <f>COUNTIF(CustomerCombinedCleaned[], "=Married")</f>
        <v>860</v>
      </c>
    </row>
    <row r="23" spans="1:7" ht="15.6" thickTop="1" thickBot="1" x14ac:dyDescent="0.35">
      <c r="A23" s="12" t="s">
        <v>8</v>
      </c>
      <c r="B23" s="15">
        <f>COUNTIF(CustomerCombined[], "=Together")</f>
        <v>571</v>
      </c>
      <c r="F23" s="12" t="s">
        <v>8</v>
      </c>
      <c r="G23" s="15">
        <f>COUNTIF(CustomerCombinedCleaned[], "=Together")</f>
        <v>572</v>
      </c>
    </row>
    <row r="24" spans="1:7" ht="15.6" thickTop="1" thickBot="1" x14ac:dyDescent="0.35">
      <c r="A24" s="12" t="s">
        <v>9</v>
      </c>
      <c r="B24" s="15">
        <f>COUNTIF(CustomerCombined[], "=Widow")</f>
        <v>76</v>
      </c>
      <c r="F24" s="12" t="s">
        <v>9</v>
      </c>
      <c r="G24" s="15">
        <f>COUNTIF(CustomerCombinedCleaned[], "=Widow")</f>
        <v>76</v>
      </c>
    </row>
    <row r="25" spans="1:7" ht="15" thickTop="1" x14ac:dyDescent="0.3">
      <c r="A25" s="12" t="s">
        <v>5</v>
      </c>
      <c r="B25" s="15">
        <f>COUNTIF(CustomerCombined[], "=Divorced")</f>
        <v>231</v>
      </c>
      <c r="F25" s="12" t="s">
        <v>5</v>
      </c>
      <c r="G25" s="15">
        <f>COUNTIF(CustomerCombinedCleaned[], "=Divorced")</f>
        <v>232</v>
      </c>
    </row>
    <row r="26" spans="1:7" ht="15" thickBot="1" x14ac:dyDescent="0.35"/>
    <row r="27" spans="1:7" ht="15.6" thickTop="1" thickBot="1" x14ac:dyDescent="0.35">
      <c r="A27" s="12" t="s">
        <v>11</v>
      </c>
      <c r="B27" s="15">
        <f>COUNTIF(CustomerCombined[], "=Graduate")</f>
        <v>1122</v>
      </c>
      <c r="F27" s="12" t="s">
        <v>11</v>
      </c>
      <c r="G27" s="15">
        <f>COUNTIF(CustomerCombinedCleaned[], "=Graduate")</f>
        <v>1321</v>
      </c>
    </row>
    <row r="28" spans="1:7" ht="15.6" thickTop="1" thickBot="1" x14ac:dyDescent="0.35">
      <c r="A28" s="12" t="s">
        <v>13</v>
      </c>
      <c r="B28" s="15">
        <f>COUNTIF(CustomerCombined[], "=PhD")</f>
        <v>479</v>
      </c>
      <c r="F28" s="12" t="s">
        <v>13</v>
      </c>
      <c r="G28" s="15">
        <f>COUNTIF(CustomerCombinedCleaned[], "=PhD")</f>
        <v>479</v>
      </c>
    </row>
    <row r="29" spans="1:7" ht="15.6" thickTop="1" thickBot="1" x14ac:dyDescent="0.35">
      <c r="A29" s="12" t="s">
        <v>12</v>
      </c>
      <c r="B29" s="15">
        <f>COUNTIF(CustomerCombined[], "=Master")</f>
        <v>367</v>
      </c>
      <c r="F29" s="12" t="s">
        <v>12</v>
      </c>
      <c r="G29" s="15">
        <f>COUNTIF(CustomerCombinedCleaned[], "=Master")</f>
        <v>367</v>
      </c>
    </row>
    <row r="30" spans="1:7" ht="15.6" thickTop="1" thickBot="1" x14ac:dyDescent="0.35">
      <c r="A30" s="12" t="s">
        <v>442</v>
      </c>
      <c r="B30" s="15">
        <f>COUNTIF(CustomerCombined[], "=NA")</f>
        <v>198</v>
      </c>
      <c r="F30" s="12" t="s">
        <v>10</v>
      </c>
      <c r="G30" s="15">
        <f>COUNTIF(CustomerCombinedCleaned[], "=Basic")</f>
        <v>54</v>
      </c>
    </row>
    <row r="31" spans="1:7" ht="15" thickTop="1" x14ac:dyDescent="0.3">
      <c r="A31" s="12" t="s">
        <v>10</v>
      </c>
      <c r="B31" s="15">
        <f>COUNTIF(CustomerCombined[], "=Basic")</f>
        <v>54</v>
      </c>
    </row>
    <row r="32" spans="1:7" ht="15" thickBot="1" x14ac:dyDescent="0.35"/>
    <row r="33" spans="1:7" ht="15.6" thickTop="1" thickBot="1" x14ac:dyDescent="0.35">
      <c r="A33" s="12" t="s">
        <v>428</v>
      </c>
      <c r="B33" s="19">
        <f>SUM(CustomerCombined[Regular])</f>
        <v>2961904</v>
      </c>
      <c r="F33" s="12" t="s">
        <v>428</v>
      </c>
      <c r="G33" s="19">
        <f>SUM(CustomerCombinedCleaned[Regular])</f>
        <v>2990195</v>
      </c>
    </row>
    <row r="34" spans="1:7" ht="15" thickTop="1" x14ac:dyDescent="0.3">
      <c r="A34" s="12" t="s">
        <v>427</v>
      </c>
      <c r="B34" s="19">
        <f>SUM(CustomerCombined[Premium])</f>
        <v>292422</v>
      </c>
      <c r="F34" s="12" t="s">
        <v>427</v>
      </c>
      <c r="G34" s="19">
        <f>SUM(CustomerCombinedCleaned[Premium])</f>
        <v>292683</v>
      </c>
    </row>
  </sheetData>
  <sortState xmlns:xlrd2="http://schemas.microsoft.com/office/spreadsheetml/2017/richdata2" ref="A33:B34">
    <sortCondition descending="1" ref="B34"/>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46DF7-0077-454E-AB1B-B8CBE266904E}">
  <dimension ref="A1:K2"/>
  <sheetViews>
    <sheetView workbookViewId="0">
      <selection activeCell="A3" sqref="A3"/>
    </sheetView>
  </sheetViews>
  <sheetFormatPr defaultRowHeight="14.4" x14ac:dyDescent="0.3"/>
  <sheetData>
    <row r="1" spans="1:11" ht="59.4" customHeight="1" x14ac:dyDescent="0.3">
      <c r="A1" s="26" t="s">
        <v>443</v>
      </c>
      <c r="B1" s="26"/>
      <c r="C1" s="26"/>
      <c r="D1" s="26"/>
      <c r="E1" s="26"/>
      <c r="F1" s="26"/>
      <c r="G1" s="26"/>
      <c r="H1" s="26"/>
      <c r="I1" s="26"/>
      <c r="J1" s="26"/>
      <c r="K1" s="26"/>
    </row>
    <row r="2" spans="1:11" ht="184.2" customHeight="1" x14ac:dyDescent="0.3">
      <c r="A2" s="27" t="s">
        <v>801</v>
      </c>
      <c r="B2" s="27"/>
      <c r="C2" s="27"/>
      <c r="D2" s="27"/>
      <c r="E2" s="27"/>
      <c r="F2" s="27"/>
      <c r="G2" s="27"/>
      <c r="H2" s="27"/>
      <c r="I2" s="27"/>
      <c r="J2" s="27"/>
      <c r="K2" s="27"/>
    </row>
  </sheetData>
  <mergeCells count="2">
    <mergeCell ref="A1:K1"/>
    <mergeCell ref="A2:K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87D04-4DB1-41D3-9518-9D8F768FC013}">
  <dimension ref="A1:N28"/>
  <sheetViews>
    <sheetView workbookViewId="0">
      <selection activeCell="A22" sqref="A22"/>
    </sheetView>
  </sheetViews>
  <sheetFormatPr defaultRowHeight="14.4" x14ac:dyDescent="0.3"/>
  <cols>
    <col min="1" max="1" width="24" bestFit="1" customWidth="1"/>
    <col min="2" max="2" width="11.109375" bestFit="1" customWidth="1"/>
    <col min="3" max="3" width="25.77734375" bestFit="1" customWidth="1"/>
    <col min="5" max="5" width="26.6640625" bestFit="1" customWidth="1"/>
    <col min="6" max="6" width="9.109375" bestFit="1" customWidth="1"/>
    <col min="7" max="7" width="24.88671875" bestFit="1" customWidth="1"/>
    <col min="8" max="8" width="9.109375" bestFit="1" customWidth="1"/>
    <col min="9" max="10" width="26.5546875" bestFit="1" customWidth="1"/>
    <col min="11" max="11" width="22.5546875" bestFit="1" customWidth="1"/>
    <col min="12" max="12" width="12.6640625" bestFit="1" customWidth="1"/>
    <col min="13" max="13" width="10.77734375" bestFit="1" customWidth="1"/>
  </cols>
  <sheetData>
    <row r="1" spans="1:14" ht="125.4" customHeight="1" x14ac:dyDescent="0.3">
      <c r="A1" s="28" t="s">
        <v>444</v>
      </c>
      <c r="B1" s="28"/>
      <c r="C1" s="28"/>
      <c r="D1" s="28"/>
      <c r="E1" s="28"/>
      <c r="F1" s="28"/>
      <c r="G1" s="28"/>
      <c r="H1" s="28"/>
      <c r="I1" s="28"/>
      <c r="J1" s="28"/>
      <c r="K1" s="28"/>
      <c r="L1" s="28"/>
      <c r="M1" s="28"/>
      <c r="N1" s="28"/>
    </row>
    <row r="2" spans="1:14" x14ac:dyDescent="0.3">
      <c r="A2" s="9" t="s">
        <v>445</v>
      </c>
      <c r="B2" s="10">
        <f>AVERAGE(CustomerCombined[Income])</f>
        <v>151551.35270270272</v>
      </c>
      <c r="C2" s="9" t="s">
        <v>446</v>
      </c>
      <c r="D2" s="10">
        <f>MIN(CustomerCombined[Income])</f>
        <v>0</v>
      </c>
      <c r="E2" s="9" t="s">
        <v>447</v>
      </c>
      <c r="F2" s="10">
        <f>MAX(CustomerCombined[Income])</f>
        <v>213734</v>
      </c>
      <c r="G2" s="9" t="s">
        <v>448</v>
      </c>
      <c r="H2" s="10">
        <f>MODE(CustomerCombined[Income])</f>
        <v>107500</v>
      </c>
      <c r="I2" s="9" t="s">
        <v>461</v>
      </c>
      <c r="J2" s="10">
        <f>MEDIAN(CustomerCombined[Income])</f>
        <v>151400.5</v>
      </c>
      <c r="K2" s="9" t="s">
        <v>449</v>
      </c>
      <c r="L2" s="11">
        <f>F2-D2</f>
        <v>213734</v>
      </c>
      <c r="M2" s="9" t="s">
        <v>450</v>
      </c>
      <c r="N2" s="9">
        <f>SKEW(CustomerCombined[Income])</f>
        <v>-0.30841455012143676</v>
      </c>
    </row>
    <row r="3" spans="1:14" x14ac:dyDescent="0.3">
      <c r="A3" s="9" t="s">
        <v>451</v>
      </c>
      <c r="B3" s="10">
        <f>AVERAGE(CustomerCombined[Age])</f>
        <v>50.991891891891889</v>
      </c>
      <c r="C3" s="9" t="s">
        <v>452</v>
      </c>
      <c r="D3" s="10">
        <f>MIN(CustomerCombined[Age])</f>
        <v>-64</v>
      </c>
      <c r="E3" s="9" t="s">
        <v>453</v>
      </c>
      <c r="F3" s="10">
        <f>MAX(CustomerCombined[Age])</f>
        <v>80</v>
      </c>
      <c r="G3" s="9" t="s">
        <v>454</v>
      </c>
      <c r="H3" s="10">
        <f>MODE(CustomerCombined[Age])</f>
        <v>44</v>
      </c>
      <c r="I3" s="9" t="s">
        <v>462</v>
      </c>
      <c r="J3" s="10">
        <f>MEDIAN(CustomerCombined[Age])</f>
        <v>50</v>
      </c>
      <c r="K3" s="9" t="s">
        <v>455</v>
      </c>
      <c r="L3" s="11">
        <f>F3-D3</f>
        <v>144</v>
      </c>
      <c r="M3" s="9" t="s">
        <v>450</v>
      </c>
      <c r="N3" s="9">
        <f>SKEW(CustomerCombined[Age])</f>
        <v>-0.35234168807497318</v>
      </c>
    </row>
    <row r="4" spans="1:14" x14ac:dyDescent="0.3">
      <c r="A4" s="9" t="s">
        <v>493</v>
      </c>
      <c r="B4" s="10">
        <f>AVERAGE(CustomerCombined[Teas])</f>
        <v>781.23243243243246</v>
      </c>
      <c r="C4" s="9" t="s">
        <v>494</v>
      </c>
      <c r="D4" s="10">
        <f>MIN(CustomerCombined[Teas])</f>
        <v>-621</v>
      </c>
      <c r="E4" s="9" t="s">
        <v>495</v>
      </c>
      <c r="F4" s="10">
        <f>MAX(CustomerCombined[Teas])</f>
        <v>3734</v>
      </c>
      <c r="G4" s="9" t="s">
        <v>496</v>
      </c>
      <c r="H4" s="10">
        <f>MODE(CustomerCombined[Teas])</f>
        <v>5</v>
      </c>
      <c r="I4" s="9" t="s">
        <v>497</v>
      </c>
      <c r="J4" s="10">
        <f>MEDIAN(CustomerCombined[Teas])</f>
        <v>523.5</v>
      </c>
      <c r="K4" s="9" t="s">
        <v>498</v>
      </c>
      <c r="L4" s="11">
        <f t="shared" ref="L4:L8" si="0">F4-D4</f>
        <v>4355</v>
      </c>
      <c r="M4" s="9" t="s">
        <v>450</v>
      </c>
      <c r="N4" s="9">
        <f>SKEW(CustomerCombined[Teas])</f>
        <v>1.0674971738941139</v>
      </c>
    </row>
    <row r="5" spans="1:14" x14ac:dyDescent="0.3">
      <c r="A5" s="9" t="s">
        <v>499</v>
      </c>
      <c r="B5" s="10">
        <f>AVERAGE(CustomerCombined[Fruits])</f>
        <v>69.431981981981977</v>
      </c>
      <c r="C5" s="9" t="s">
        <v>500</v>
      </c>
      <c r="D5" s="10">
        <f>MIN(CustomerCombined[Fruits])</f>
        <v>-5</v>
      </c>
      <c r="E5" s="9" t="s">
        <v>501</v>
      </c>
      <c r="F5" s="10">
        <f>MAX(CustomerCombined[Fruits])</f>
        <v>614</v>
      </c>
      <c r="G5" s="9" t="s">
        <v>502</v>
      </c>
      <c r="H5" s="10">
        <f>MODE(CustomerCombined[Fruits])</f>
        <v>0</v>
      </c>
      <c r="I5" s="9" t="s">
        <v>503</v>
      </c>
      <c r="J5" s="10">
        <f>MEDIAN(CustomerCombined[Fruits])</f>
        <v>29</v>
      </c>
      <c r="K5" s="9" t="s">
        <v>504</v>
      </c>
      <c r="L5" s="11">
        <f t="shared" si="0"/>
        <v>619</v>
      </c>
      <c r="M5" s="9" t="s">
        <v>450</v>
      </c>
      <c r="N5" s="9">
        <f>SKEW(CustomerCombined[Fruits])</f>
        <v>2.02962015824636</v>
      </c>
    </row>
    <row r="6" spans="1:14" x14ac:dyDescent="0.3">
      <c r="A6" s="9" t="s">
        <v>505</v>
      </c>
      <c r="B6" s="10">
        <f>AVERAGE(CustomerCombined[Meats])</f>
        <v>444.57027027027027</v>
      </c>
      <c r="C6" s="9" t="s">
        <v>506</v>
      </c>
      <c r="D6" s="10">
        <f>MIN(CustomerCombined[Meats])</f>
        <v>-69</v>
      </c>
      <c r="E6" s="9" t="s">
        <v>507</v>
      </c>
      <c r="F6" s="10">
        <f>MAX(CustomerCombined[Meats])</f>
        <v>72219</v>
      </c>
      <c r="G6" s="9" t="s">
        <v>508</v>
      </c>
      <c r="H6" s="10">
        <f>MODE(CustomerCombined[Meats])</f>
        <v>50</v>
      </c>
      <c r="I6" s="9" t="s">
        <v>509</v>
      </c>
      <c r="J6" s="10">
        <f>MEDIAN(CustomerCombined[Meats])</f>
        <v>209</v>
      </c>
      <c r="K6" s="9" t="s">
        <v>510</v>
      </c>
      <c r="L6" s="11">
        <f t="shared" si="0"/>
        <v>72288</v>
      </c>
      <c r="M6" s="9" t="s">
        <v>450</v>
      </c>
      <c r="N6" s="9">
        <f>SKEW(CustomerCombined[Meats])</f>
        <v>40.885453094096569</v>
      </c>
    </row>
    <row r="7" spans="1:14" x14ac:dyDescent="0.3">
      <c r="A7" s="9" t="s">
        <v>511</v>
      </c>
      <c r="B7" s="10">
        <f>AVERAGE(CustomerCombined[Seafood])</f>
        <v>99.084234234234231</v>
      </c>
      <c r="C7" s="9" t="s">
        <v>512</v>
      </c>
      <c r="D7" s="10">
        <f>MIN(CustomerCombined[Seafood])</f>
        <v>-34</v>
      </c>
      <c r="E7" s="9" t="s">
        <v>513</v>
      </c>
      <c r="F7" s="10">
        <f>MAX(CustomerCombined[Seafood])</f>
        <v>812</v>
      </c>
      <c r="G7" s="9" t="s">
        <v>514</v>
      </c>
      <c r="H7" s="10">
        <f>MODE(CustomerCombined[Seafood])</f>
        <v>0</v>
      </c>
      <c r="I7" s="9" t="s">
        <v>515</v>
      </c>
      <c r="J7" s="10">
        <f>MEDIAN(CustomerCombined[Seafood])</f>
        <v>43</v>
      </c>
      <c r="K7" s="9" t="s">
        <v>516</v>
      </c>
      <c r="L7" s="11">
        <f t="shared" si="0"/>
        <v>846</v>
      </c>
      <c r="M7" s="9" t="s">
        <v>450</v>
      </c>
      <c r="N7" s="9">
        <f>SKEW(CustomerCombined[Seafood])</f>
        <v>1.8980188574281753</v>
      </c>
    </row>
    <row r="8" spans="1:14" x14ac:dyDescent="0.3">
      <c r="A8" s="9" t="s">
        <v>517</v>
      </c>
      <c r="B8" s="10">
        <f>AVERAGE(CustomerCombined[Sweets])</f>
        <v>70.946846846846853</v>
      </c>
      <c r="C8" s="9" t="s">
        <v>518</v>
      </c>
      <c r="D8" s="10">
        <f>MIN(CustomerCombined[Sweets])</f>
        <v>-10</v>
      </c>
      <c r="E8" s="9" t="s">
        <v>519</v>
      </c>
      <c r="F8" s="10">
        <f>MAX(CustomerCombined[Sweets])</f>
        <v>855</v>
      </c>
      <c r="G8" s="9" t="s">
        <v>520</v>
      </c>
      <c r="H8" s="10">
        <f>MODE(CustomerCombined[Sweets])</f>
        <v>0</v>
      </c>
      <c r="I8" s="9" t="s">
        <v>521</v>
      </c>
      <c r="J8" s="10">
        <f>MEDIAN(CustomerCombined[Sweets])</f>
        <v>29.5</v>
      </c>
      <c r="K8" s="9" t="s">
        <v>522</v>
      </c>
      <c r="L8" s="11">
        <f t="shared" si="0"/>
        <v>865</v>
      </c>
      <c r="M8" s="9" t="s">
        <v>450</v>
      </c>
      <c r="N8" s="9">
        <f>SKEW(CustomerCombined[Sweets])</f>
        <v>2.0840804430286686</v>
      </c>
    </row>
    <row r="9" spans="1:14" x14ac:dyDescent="0.3">
      <c r="A9" s="9" t="s">
        <v>524</v>
      </c>
      <c r="B9" s="10">
        <f>AVERAGE(CustomerCombined[Premium])</f>
        <v>131.72162162162161</v>
      </c>
      <c r="C9" s="9" t="s">
        <v>525</v>
      </c>
      <c r="D9" s="10">
        <f>MIN(CustomerCombined[Premium])</f>
        <v>0</v>
      </c>
      <c r="E9" s="9" t="s">
        <v>526</v>
      </c>
      <c r="F9" s="10">
        <f>MAX(CustomerCombined[Premium])</f>
        <v>7570</v>
      </c>
      <c r="G9" s="9" t="s">
        <v>527</v>
      </c>
      <c r="H9" s="10">
        <f>MODE(CustomerCombined[Premium])</f>
        <v>0</v>
      </c>
      <c r="I9" s="9" t="s">
        <v>528</v>
      </c>
      <c r="J9" s="10">
        <f>MEDIAN(CustomerCombined[Premium])</f>
        <v>79</v>
      </c>
      <c r="K9" s="9" t="s">
        <v>529</v>
      </c>
      <c r="L9" s="11">
        <f t="shared" ref="L9:L10" si="1">F9-D9</f>
        <v>7570</v>
      </c>
      <c r="M9" s="9" t="s">
        <v>450</v>
      </c>
      <c r="N9" s="9">
        <f>SKEW(CustomerCombined[Premium])</f>
        <v>18.119334009656949</v>
      </c>
    </row>
    <row r="10" spans="1:14" x14ac:dyDescent="0.3">
      <c r="A10" s="9" t="s">
        <v>530</v>
      </c>
      <c r="B10" s="10">
        <f>AVERAGE(CustomerCombined[Regular])</f>
        <v>1334.1909909909909</v>
      </c>
      <c r="C10" s="9" t="s">
        <v>531</v>
      </c>
      <c r="D10" s="10">
        <f>MIN(CustomerCombined[Regular])</f>
        <v>-6674</v>
      </c>
      <c r="E10" s="9" t="s">
        <v>532</v>
      </c>
      <c r="F10" s="10">
        <f>MAX(CustomerCombined[Regular])</f>
        <v>72345</v>
      </c>
      <c r="G10" s="9" t="s">
        <v>533</v>
      </c>
      <c r="H10" s="10">
        <f>MODE(CustomerCombined[Regular])</f>
        <v>152</v>
      </c>
      <c r="I10" s="9" t="s">
        <v>534</v>
      </c>
      <c r="J10" s="10">
        <f>MEDIAN(CustomerCombined[Regular])</f>
        <v>898.5</v>
      </c>
      <c r="K10" s="9" t="s">
        <v>535</v>
      </c>
      <c r="L10" s="11">
        <f t="shared" si="1"/>
        <v>79019</v>
      </c>
      <c r="M10" s="9" t="s">
        <v>450</v>
      </c>
      <c r="N10" s="9">
        <f>SKEW(CustomerCombined[Regular])</f>
        <v>21.246514522190907</v>
      </c>
    </row>
    <row r="11" spans="1:14" x14ac:dyDescent="0.3">
      <c r="A11" s="9" t="s">
        <v>463</v>
      </c>
      <c r="B11" s="10">
        <f>AVERAGE(CustomerCombined[Deals])</f>
        <v>452.77477477477476</v>
      </c>
      <c r="C11" s="9" t="s">
        <v>464</v>
      </c>
      <c r="D11" s="10">
        <f>MIN(CustomerCombined[Deals])</f>
        <v>0</v>
      </c>
      <c r="E11" s="9" t="s">
        <v>465</v>
      </c>
      <c r="F11" s="10">
        <f>MAX(CustomerCombined[Deals])</f>
        <v>1000000</v>
      </c>
      <c r="G11" s="9" t="s">
        <v>466</v>
      </c>
      <c r="H11" s="10">
        <f>MODE(CustomerCombined[Deals])</f>
        <v>1</v>
      </c>
      <c r="I11" s="9" t="s">
        <v>467</v>
      </c>
      <c r="J11" s="10">
        <f>MEDIAN(CustomerCombined[Deals])</f>
        <v>2</v>
      </c>
      <c r="K11" s="9" t="s">
        <v>468</v>
      </c>
      <c r="L11" s="11">
        <f>F11-D11</f>
        <v>1000000</v>
      </c>
      <c r="M11" s="9" t="s">
        <v>450</v>
      </c>
      <c r="N11" s="9">
        <f>SKEW(CustomerCombined[Deals])</f>
        <v>47.116875396973285</v>
      </c>
    </row>
    <row r="12" spans="1:14" x14ac:dyDescent="0.3">
      <c r="A12" s="9" t="s">
        <v>469</v>
      </c>
      <c r="B12" s="10">
        <f>AVERAGE(CustomerCombined[Website])</f>
        <v>4.102702702702703</v>
      </c>
      <c r="C12" s="9" t="s">
        <v>470</v>
      </c>
      <c r="D12" s="10">
        <f>MIN(CustomerCombined[Website])</f>
        <v>0</v>
      </c>
      <c r="E12" s="9" t="s">
        <v>471</v>
      </c>
      <c r="F12" s="10">
        <f>MAX(CustomerCombined[Website])</f>
        <v>27</v>
      </c>
      <c r="G12" s="9" t="s">
        <v>472</v>
      </c>
      <c r="H12" s="10">
        <f>MODE(CustomerCombined[Website])</f>
        <v>2</v>
      </c>
      <c r="I12" s="9" t="s">
        <v>473</v>
      </c>
      <c r="J12" s="10">
        <f>MEDIAN(CustomerCombined[Website])</f>
        <v>4</v>
      </c>
      <c r="K12" s="9" t="s">
        <v>474</v>
      </c>
      <c r="L12" s="11">
        <f>F12-D12</f>
        <v>27</v>
      </c>
      <c r="M12" s="9" t="s">
        <v>450</v>
      </c>
      <c r="N12" s="9">
        <f>SKEW(CustomerCombined[Website])</f>
        <v>1.1932427617525134</v>
      </c>
    </row>
    <row r="13" spans="1:14" x14ac:dyDescent="0.3">
      <c r="A13" s="9" t="s">
        <v>475</v>
      </c>
      <c r="B13" s="10">
        <f>AVERAGE(CustomerCombined[Catalog])</f>
        <v>2.6406306306306306</v>
      </c>
      <c r="C13" s="9" t="s">
        <v>476</v>
      </c>
      <c r="D13" s="10">
        <f>MIN(CustomerCombined[Catalog])</f>
        <v>0</v>
      </c>
      <c r="E13" s="9" t="s">
        <v>477</v>
      </c>
      <c r="F13" s="10">
        <f>MAX(CustomerCombined[Catalog])</f>
        <v>28</v>
      </c>
      <c r="G13" s="9" t="s">
        <v>478</v>
      </c>
      <c r="H13" s="10">
        <f>MODE(CustomerCombined[Catalog])</f>
        <v>0</v>
      </c>
      <c r="I13" s="9" t="s">
        <v>479</v>
      </c>
      <c r="J13" s="10">
        <f>MEDIAN(CustomerCombined[Catalog])</f>
        <v>2</v>
      </c>
      <c r="K13" s="9" t="s">
        <v>480</v>
      </c>
      <c r="L13" s="11">
        <f>F13-D13</f>
        <v>28</v>
      </c>
      <c r="M13" s="9" t="s">
        <v>450</v>
      </c>
      <c r="N13" s="9">
        <f>SKEW(CustomerCombined[Catalog])</f>
        <v>1.3702814335936822</v>
      </c>
    </row>
    <row r="14" spans="1:14" x14ac:dyDescent="0.3">
      <c r="A14" s="9" t="s">
        <v>481</v>
      </c>
      <c r="B14" s="10">
        <f>AVERAGE(CustomerCombined[Store])</f>
        <v>5.8130630630630629</v>
      </c>
      <c r="C14" s="9" t="s">
        <v>482</v>
      </c>
      <c r="D14" s="10">
        <f>MIN(CustomerCombined[Store])</f>
        <v>-10</v>
      </c>
      <c r="E14" s="9" t="s">
        <v>483</v>
      </c>
      <c r="F14" s="10">
        <f>MAX(CustomerCombined[Store])</f>
        <v>13</v>
      </c>
      <c r="G14" s="9" t="s">
        <v>484</v>
      </c>
      <c r="H14" s="10">
        <f>MODE(CustomerCombined[Store])</f>
        <v>3</v>
      </c>
      <c r="I14" s="9" t="s">
        <v>485</v>
      </c>
      <c r="J14" s="10">
        <f>MEDIAN(CustomerCombined[Store])</f>
        <v>5</v>
      </c>
      <c r="K14" s="9" t="s">
        <v>486</v>
      </c>
      <c r="L14" s="11">
        <f>F14-D14</f>
        <v>23</v>
      </c>
      <c r="M14" s="9" t="s">
        <v>450</v>
      </c>
      <c r="N14" s="9">
        <f>SKEW(CustomerCombined[Store])</f>
        <v>0.65195490390551869</v>
      </c>
    </row>
    <row r="15" spans="1:14" x14ac:dyDescent="0.3">
      <c r="A15" s="9" t="s">
        <v>487</v>
      </c>
      <c r="B15" s="10">
        <f>AVERAGE(CustomerCombined[Visits])</f>
        <v>5.3418918918918923</v>
      </c>
      <c r="C15" s="9" t="s">
        <v>488</v>
      </c>
      <c r="D15" s="10">
        <f>MIN(CustomerCombined[Visits])</f>
        <v>0</v>
      </c>
      <c r="E15" s="9" t="s">
        <v>489</v>
      </c>
      <c r="F15" s="10">
        <f>MAX(CustomerCombined[Visits])</f>
        <v>20</v>
      </c>
      <c r="G15" s="9" t="s">
        <v>490</v>
      </c>
      <c r="H15" s="10">
        <f>MODE(CustomerCombined[Visits])</f>
        <v>7</v>
      </c>
      <c r="I15" s="9" t="s">
        <v>491</v>
      </c>
      <c r="J15" s="10">
        <f>MEDIAN(CustomerCombined[Visits])</f>
        <v>6</v>
      </c>
      <c r="K15" s="9" t="s">
        <v>492</v>
      </c>
      <c r="L15" s="11">
        <f>F15-D15</f>
        <v>20</v>
      </c>
      <c r="M15" s="9" t="s">
        <v>450</v>
      </c>
      <c r="N15" s="9">
        <f>SKEW(CustomerCombined[Visits])</f>
        <v>0.22611954161619754</v>
      </c>
    </row>
    <row r="16" spans="1:14" x14ac:dyDescent="0.3">
      <c r="A16" s="13"/>
      <c r="B16" s="13"/>
      <c r="C16" s="13"/>
      <c r="D16" s="13"/>
      <c r="E16" s="13"/>
      <c r="F16" s="13"/>
      <c r="G16" s="13"/>
      <c r="H16" s="13"/>
      <c r="I16" s="13"/>
      <c r="J16" s="13"/>
      <c r="K16" s="13"/>
      <c r="L16" s="13"/>
    </row>
    <row r="17" spans="1:12" x14ac:dyDescent="0.3">
      <c r="A17" s="9" t="s">
        <v>456</v>
      </c>
      <c r="B17" s="9" t="s">
        <v>6</v>
      </c>
      <c r="C17" s="14"/>
      <c r="D17" s="14"/>
      <c r="E17" s="14"/>
      <c r="F17" s="14"/>
      <c r="G17" s="14"/>
      <c r="H17" s="14"/>
      <c r="I17" s="14"/>
      <c r="J17" s="14"/>
      <c r="K17" s="14"/>
      <c r="L17" s="14"/>
    </row>
    <row r="18" spans="1:12" x14ac:dyDescent="0.3">
      <c r="A18" s="9" t="s">
        <v>457</v>
      </c>
      <c r="B18" s="9" t="s">
        <v>11</v>
      </c>
      <c r="C18" s="14"/>
      <c r="D18" s="14"/>
      <c r="E18" s="14"/>
      <c r="F18" s="14"/>
      <c r="G18" s="14"/>
      <c r="H18" s="14"/>
      <c r="I18" s="14"/>
      <c r="J18" s="14"/>
      <c r="K18" s="14"/>
      <c r="L18" s="14"/>
    </row>
    <row r="19" spans="1:12" x14ac:dyDescent="0.3">
      <c r="A19" s="9" t="s">
        <v>458</v>
      </c>
      <c r="B19" s="9" t="s">
        <v>429</v>
      </c>
      <c r="C19" s="14"/>
      <c r="D19" s="14"/>
      <c r="E19" s="14"/>
      <c r="F19" s="14"/>
      <c r="G19" s="14"/>
      <c r="H19" s="14"/>
      <c r="I19" s="14"/>
      <c r="J19" s="14"/>
      <c r="K19" s="14"/>
      <c r="L19" s="14"/>
    </row>
    <row r="20" spans="1:12" x14ac:dyDescent="0.3">
      <c r="A20" s="9" t="s">
        <v>523</v>
      </c>
      <c r="B20" s="9" t="s">
        <v>459</v>
      </c>
      <c r="C20" s="14"/>
      <c r="D20" s="14"/>
      <c r="E20" s="14"/>
      <c r="F20" s="14"/>
      <c r="G20" s="14"/>
      <c r="H20" s="14"/>
      <c r="I20" s="14"/>
      <c r="J20" s="14"/>
      <c r="K20" s="14"/>
      <c r="L20" s="14"/>
    </row>
    <row r="21" spans="1:12" x14ac:dyDescent="0.3">
      <c r="A21" s="14"/>
      <c r="B21" s="14"/>
      <c r="C21" s="14"/>
      <c r="D21" s="14"/>
      <c r="E21" s="14"/>
      <c r="F21" s="14"/>
      <c r="G21" s="14"/>
      <c r="H21" s="14"/>
      <c r="I21" s="14"/>
      <c r="J21" s="14"/>
      <c r="K21" s="14"/>
      <c r="L21" s="14"/>
    </row>
    <row r="22" spans="1:12" ht="57.6" x14ac:dyDescent="0.3">
      <c r="A22" s="25" t="s">
        <v>813</v>
      </c>
      <c r="B22" s="14"/>
      <c r="C22" s="14"/>
      <c r="D22" s="14"/>
      <c r="E22" s="14"/>
      <c r="F22" s="14"/>
      <c r="G22" s="14"/>
      <c r="H22" s="14"/>
      <c r="I22" s="14"/>
      <c r="J22" s="14"/>
      <c r="K22" s="14"/>
    </row>
    <row r="23" spans="1:12" x14ac:dyDescent="0.3">
      <c r="A23" s="14"/>
      <c r="B23" s="14"/>
      <c r="C23" s="14"/>
      <c r="D23" s="14"/>
      <c r="E23" s="14"/>
      <c r="F23" s="14"/>
      <c r="G23" s="14"/>
      <c r="H23" s="14"/>
      <c r="I23" s="14"/>
      <c r="J23" s="14"/>
      <c r="K23" s="14"/>
      <c r="L23" s="14"/>
    </row>
    <row r="24" spans="1:12" x14ac:dyDescent="0.3">
      <c r="A24" s="14"/>
      <c r="B24" s="14"/>
      <c r="C24" s="14"/>
      <c r="D24" s="14"/>
      <c r="E24" s="14"/>
      <c r="F24" s="14"/>
      <c r="G24" s="14"/>
      <c r="H24" s="14"/>
      <c r="I24" s="14"/>
      <c r="J24" s="14"/>
      <c r="K24" s="14"/>
      <c r="L24" s="14"/>
    </row>
    <row r="25" spans="1:12" x14ac:dyDescent="0.3">
      <c r="A25" s="14"/>
      <c r="B25" s="14"/>
      <c r="C25" s="14"/>
      <c r="D25" s="14"/>
      <c r="E25" s="14"/>
      <c r="F25" s="14"/>
      <c r="G25" s="14"/>
      <c r="H25" s="14"/>
      <c r="I25" s="14"/>
      <c r="J25" s="14"/>
      <c r="K25" s="14"/>
      <c r="L25" s="14"/>
    </row>
    <row r="26" spans="1:12" x14ac:dyDescent="0.3">
      <c r="A26" s="14"/>
      <c r="B26" s="14"/>
      <c r="C26" s="14"/>
      <c r="D26" s="14"/>
      <c r="E26" s="14"/>
      <c r="F26" s="14"/>
      <c r="G26" s="14"/>
      <c r="H26" s="14"/>
      <c r="I26" s="14"/>
      <c r="J26" s="14"/>
      <c r="K26" s="14"/>
      <c r="L26" s="14"/>
    </row>
    <row r="27" spans="1:12" x14ac:dyDescent="0.3">
      <c r="A27" s="14"/>
      <c r="B27" s="14"/>
      <c r="C27" s="14"/>
      <c r="D27" s="14"/>
      <c r="E27" s="14"/>
      <c r="F27" s="14"/>
      <c r="G27" s="14"/>
      <c r="H27" s="14"/>
      <c r="I27" s="14"/>
      <c r="J27" s="14"/>
      <c r="K27" s="14"/>
      <c r="L27" s="14"/>
    </row>
    <row r="28" spans="1:12" x14ac:dyDescent="0.3">
      <c r="A28" s="14"/>
      <c r="B28" s="14"/>
      <c r="C28" s="14"/>
      <c r="D28" s="14"/>
      <c r="E28" s="14"/>
      <c r="F28" s="14"/>
      <c r="G28" s="14"/>
      <c r="H28" s="14"/>
      <c r="I28" s="14"/>
      <c r="J28" s="14"/>
      <c r="K28" s="14"/>
      <c r="L28" s="14"/>
    </row>
  </sheetData>
  <mergeCells count="1">
    <mergeCell ref="A1:N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5802-5E79-4FCB-8621-F1AE5EEABDAB}">
  <dimension ref="A1:V1"/>
  <sheetViews>
    <sheetView workbookViewId="0">
      <selection activeCell="N27" sqref="N27"/>
    </sheetView>
  </sheetViews>
  <sheetFormatPr defaultRowHeight="14.4" x14ac:dyDescent="0.3"/>
  <sheetData>
    <row r="1" spans="1:22" ht="14.4" customHeight="1" x14ac:dyDescent="0.3">
      <c r="A1" s="29" t="s">
        <v>460</v>
      </c>
      <c r="B1" s="29"/>
      <c r="C1" s="29"/>
      <c r="D1" s="29"/>
      <c r="E1" s="29"/>
      <c r="F1" s="29"/>
      <c r="G1" s="29"/>
      <c r="H1" s="29"/>
      <c r="I1" s="29"/>
      <c r="J1" s="29"/>
      <c r="K1" s="29"/>
      <c r="L1" s="29"/>
      <c r="M1" s="29"/>
      <c r="N1" s="29"/>
      <c r="O1" s="29"/>
      <c r="P1" s="29"/>
      <c r="Q1" s="29"/>
      <c r="R1" s="29"/>
      <c r="S1" s="29"/>
      <c r="T1" s="29"/>
      <c r="U1" s="29"/>
      <c r="V1" s="29"/>
    </row>
  </sheetData>
  <mergeCells count="1">
    <mergeCell ref="A1:V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6DB86-811C-424F-BA59-9D3A6986FF34}">
  <dimension ref="A1:AC2222"/>
  <sheetViews>
    <sheetView zoomScaleNormal="100" workbookViewId="0">
      <selection activeCell="L28" sqref="L28"/>
    </sheetView>
  </sheetViews>
  <sheetFormatPr defaultRowHeight="14.4" x14ac:dyDescent="0.3"/>
  <cols>
    <col min="1" max="1" width="8.88671875" style="5"/>
    <col min="2" max="2" width="9.21875" style="5" customWidth="1"/>
    <col min="3" max="5" width="8.88671875" style="5"/>
    <col min="6" max="6" width="14.88671875" style="5" bestFit="1" customWidth="1"/>
    <col min="7" max="7" width="11.6640625" style="5" bestFit="1" customWidth="1"/>
    <col min="8" max="8" width="14.6640625" style="3" bestFit="1" customWidth="1"/>
    <col min="9" max="9" width="8.88671875" style="5" bestFit="1" customWidth="1"/>
    <col min="10" max="10" width="12.44140625" style="5" bestFit="1" customWidth="1"/>
    <col min="11" max="22" width="8.88671875" style="5"/>
    <col min="23" max="23" width="15.109375" style="5" bestFit="1" customWidth="1"/>
    <col min="24" max="16384" width="8.88671875" style="5"/>
  </cols>
  <sheetData>
    <row r="1" spans="1:29" x14ac:dyDescent="0.3">
      <c r="A1" s="4" t="s">
        <v>0</v>
      </c>
      <c r="B1" s="4" t="s">
        <v>1</v>
      </c>
      <c r="C1" s="4" t="s">
        <v>2</v>
      </c>
      <c r="D1" s="4" t="s">
        <v>3</v>
      </c>
      <c r="E1" s="4" t="s">
        <v>4</v>
      </c>
      <c r="F1" s="5" t="s">
        <v>440</v>
      </c>
      <c r="G1" s="5" t="s">
        <v>441</v>
      </c>
      <c r="H1" s="3" t="s">
        <v>22</v>
      </c>
      <c r="I1" s="5" t="s">
        <v>14</v>
      </c>
      <c r="J1" s="5" t="s">
        <v>421</v>
      </c>
      <c r="K1" s="5" t="s">
        <v>422</v>
      </c>
      <c r="L1" s="5" t="s">
        <v>423</v>
      </c>
      <c r="M1" s="5" t="s">
        <v>424</v>
      </c>
      <c r="N1" s="5" t="s">
        <v>425</v>
      </c>
      <c r="O1" s="5" t="s">
        <v>426</v>
      </c>
      <c r="P1" s="5" t="s">
        <v>427</v>
      </c>
      <c r="Q1" s="5" t="s">
        <v>428</v>
      </c>
      <c r="R1" s="5" t="s">
        <v>429</v>
      </c>
      <c r="S1" s="5" t="s">
        <v>430</v>
      </c>
      <c r="T1" s="5" t="s">
        <v>431</v>
      </c>
      <c r="U1" s="5" t="s">
        <v>432</v>
      </c>
      <c r="V1" s="5" t="s">
        <v>433</v>
      </c>
      <c r="W1" s="5" t="s">
        <v>20</v>
      </c>
      <c r="X1" s="5" t="s">
        <v>21</v>
      </c>
      <c r="Y1" s="5" t="s">
        <v>18</v>
      </c>
      <c r="Z1" s="5" t="s">
        <v>19</v>
      </c>
      <c r="AA1" s="5" t="s">
        <v>15</v>
      </c>
      <c r="AB1" s="5" t="s">
        <v>16</v>
      </c>
      <c r="AC1" s="5" t="s">
        <v>17</v>
      </c>
    </row>
    <row r="2" spans="1:29" x14ac:dyDescent="0.3">
      <c r="A2" s="18">
        <v>3220</v>
      </c>
      <c r="B2" s="16">
        <v>169534</v>
      </c>
      <c r="C2" s="16">
        <v>1</v>
      </c>
      <c r="D2" s="16">
        <v>1</v>
      </c>
      <c r="E2" s="16">
        <v>50</v>
      </c>
      <c r="F2" s="17" t="s">
        <v>6</v>
      </c>
      <c r="G2" s="17" t="s">
        <v>13</v>
      </c>
      <c r="H2" s="3" t="s">
        <v>379</v>
      </c>
      <c r="I2" s="5" t="s">
        <v>439</v>
      </c>
      <c r="J2" s="21">
        <v>40</v>
      </c>
      <c r="K2" s="21">
        <v>205</v>
      </c>
      <c r="L2" s="21">
        <v>7</v>
      </c>
      <c r="M2" s="21">
        <v>149</v>
      </c>
      <c r="N2" s="21">
        <v>5</v>
      </c>
      <c r="O2" s="21">
        <v>2</v>
      </c>
      <c r="P2" s="21">
        <v>51</v>
      </c>
      <c r="Q2" s="21">
        <v>317</v>
      </c>
      <c r="R2" s="21">
        <v>3</v>
      </c>
      <c r="S2" s="21">
        <v>3</v>
      </c>
      <c r="T2" s="21">
        <v>1</v>
      </c>
      <c r="U2" s="21">
        <v>4</v>
      </c>
      <c r="V2" s="21">
        <v>7</v>
      </c>
      <c r="W2" s="21">
        <v>0</v>
      </c>
      <c r="X2" s="21">
        <v>1</v>
      </c>
      <c r="Y2" s="21">
        <v>0</v>
      </c>
      <c r="Z2" s="21">
        <v>0</v>
      </c>
      <c r="AA2" s="21">
        <v>0</v>
      </c>
      <c r="AB2" s="21">
        <v>0</v>
      </c>
      <c r="AC2" s="21">
        <v>0</v>
      </c>
    </row>
    <row r="3" spans="1:29" x14ac:dyDescent="0.3">
      <c r="A3" s="18">
        <v>2151</v>
      </c>
      <c r="B3" s="16">
        <v>114421</v>
      </c>
      <c r="C3" s="16">
        <v>0</v>
      </c>
      <c r="D3" s="16">
        <v>0</v>
      </c>
      <c r="E3" s="16">
        <v>24</v>
      </c>
      <c r="F3" s="17" t="s">
        <v>6</v>
      </c>
      <c r="G3" s="17" t="s">
        <v>10</v>
      </c>
      <c r="H3" s="3" t="s">
        <v>96</v>
      </c>
      <c r="I3" s="5" t="s">
        <v>435</v>
      </c>
      <c r="J3" s="16">
        <f>_xlfn.XLOOKUP(CustomerCombinedCleaned[[#This Row],[ID]], Table4[ID], Table4[Recency], "Not Found", 0)</f>
        <v>81</v>
      </c>
      <c r="K3" s="16">
        <f>_xlfn.XLOOKUP(CustomerCombinedCleaned[[#This Row],[ID]], Table4[ID], Table4[Teas], "Not Found", 0)</f>
        <v>0</v>
      </c>
      <c r="L3" s="16">
        <f>_xlfn.XLOOKUP(CustomerCombinedCleaned[[#This Row],[ID]], Table4[ID], Table4[Fruits], "Not Found", 0)</f>
        <v>0</v>
      </c>
      <c r="M3" s="16">
        <f>_xlfn.XLOOKUP(CustomerCombinedCleaned[[#This Row],[ID]], Table4[ID], Table4[Meats], "Not Found", 0)</f>
        <v>16</v>
      </c>
      <c r="N3" s="16">
        <f>_xlfn.XLOOKUP(CustomerCombinedCleaned[[#This Row],[ID]], Table4[ID], Table4[Seafood], "Not Found", 0)</f>
        <v>24</v>
      </c>
      <c r="O3" s="16">
        <f>_xlfn.XLOOKUP(CustomerCombinedCleaned[[#This Row],[ID]], Table4[ID], Table4[Sweets], "Not Found", 0)</f>
        <v>24</v>
      </c>
      <c r="P3" s="16">
        <f>_xlfn.XLOOKUP(CustomerCombinedCleaned[[#This Row],[ID]], Table4[ID], Table4[Premium], "Not Found", 0)</f>
        <v>63</v>
      </c>
      <c r="Q3" s="16">
        <f>_xlfn.XLOOKUP(CustomerCombinedCleaned[[#This Row],[ID]], Table4[ID], Table4[Regular], "Not Found", 0)</f>
        <v>0</v>
      </c>
      <c r="R3" s="16">
        <f>_xlfn.XLOOKUP(CustomerCombinedCleaned[[#This Row],[ID]], Table4[ID], Table4[Deals], "Not Found", 0)</f>
        <v>1</v>
      </c>
      <c r="S3" s="16">
        <f>_xlfn.XLOOKUP(CustomerCombinedCleaned[[#This Row],[ID]], Table4[ID], Table4[Website], "Not Found", 0)</f>
        <v>1</v>
      </c>
      <c r="T3" s="16">
        <f>_xlfn.XLOOKUP(CustomerCombinedCleaned[[#This Row],[ID]], Table4[ID], Table4[Catalog], "Not Found", 0)</f>
        <v>0</v>
      </c>
      <c r="U3" s="16">
        <f>_xlfn.XLOOKUP(CustomerCombinedCleaned[[#This Row],[ID]], Table4[ID], Table4[Store], "Not Found", 0)</f>
        <v>2</v>
      </c>
      <c r="V3" s="16">
        <f>_xlfn.XLOOKUP(CustomerCombinedCleaned[[#This Row],[ID]], Table4[ID], Table4[Visits], "Not Found", 0)</f>
        <v>5</v>
      </c>
      <c r="W3" s="16">
        <f>_xlfn.XLOOKUP(CustomerCombinedCleaned[[#This Row],[ID]], Table2[ID],Table2[Complaint], "Not Found", 0 )</f>
        <v>0</v>
      </c>
      <c r="X3" s="16">
        <f>_xlfn.XLOOKUP(CustomerCombinedCleaned[[#This Row],[ID]], Table2[ID],Table2[Pilot], "Not Found", 0 )</f>
        <v>0</v>
      </c>
      <c r="Y3" s="16">
        <f>_xlfn.XLOOKUP(CustomerCombinedCleaned[[#This Row],[ID]], Table2[ID],Table2[MC1], "Not Found", 0 )</f>
        <v>0</v>
      </c>
      <c r="Z3" s="16">
        <f>_xlfn.XLOOKUP(CustomerCombinedCleaned[[#This Row],[ID]], Table2[ID],Table2[MC2], "Not Found", 0 )</f>
        <v>0</v>
      </c>
      <c r="AA3" s="16">
        <f>_xlfn.XLOOKUP(CustomerCombinedCleaned[[#This Row],[ID]], Table2[ID],Table2[MC3], "Not Found", 0 )</f>
        <v>1</v>
      </c>
      <c r="AB3" s="16">
        <f>_xlfn.XLOOKUP(CustomerCombinedCleaned[[#This Row],[ID]], Table2[ID],Table2[MC4], "Not Found", 0 )</f>
        <v>0</v>
      </c>
      <c r="AC3" s="16">
        <f>_xlfn.XLOOKUP(CustomerCombinedCleaned[[#This Row],[ID]], Table2[ID],Table2[MC5], "Not Found", 0 )</f>
        <v>0</v>
      </c>
    </row>
    <row r="4" spans="1:29" x14ac:dyDescent="0.3">
      <c r="A4" s="18">
        <v>1044</v>
      </c>
      <c r="B4" s="16">
        <v>107500</v>
      </c>
      <c r="C4" s="16">
        <v>0</v>
      </c>
      <c r="D4" s="16">
        <v>0</v>
      </c>
      <c r="E4" s="16">
        <v>24</v>
      </c>
      <c r="F4" s="17" t="s">
        <v>6</v>
      </c>
      <c r="G4" s="17" t="s">
        <v>11</v>
      </c>
      <c r="H4" s="3" t="s">
        <v>366</v>
      </c>
      <c r="I4" s="5" t="s">
        <v>436</v>
      </c>
      <c r="J4" s="16">
        <f>_xlfn.XLOOKUP(CustomerCombinedCleaned[[#This Row],[ID]], Table4[ID], Table4[Recency], "Not Found", 0)</f>
        <v>24</v>
      </c>
      <c r="K4" s="16">
        <f>_xlfn.XLOOKUP(CustomerCombinedCleaned[[#This Row],[ID]], Table4[ID], Table4[Teas], "Not Found", 0)</f>
        <v>43</v>
      </c>
      <c r="L4" s="16">
        <f>_xlfn.XLOOKUP(CustomerCombinedCleaned[[#This Row],[ID]], Table4[ID], Table4[Fruits], "Not Found", 0)</f>
        <v>258</v>
      </c>
      <c r="M4" s="16">
        <f>_xlfn.XLOOKUP(CustomerCombinedCleaned[[#This Row],[ID]], Table4[ID], Table4[Meats], "Not Found", 0)</f>
        <v>201</v>
      </c>
      <c r="N4" s="16">
        <f>_xlfn.XLOOKUP(CustomerCombinedCleaned[[#This Row],[ID]], Table4[ID], Table4[Seafood], "Not Found", 0)</f>
        <v>215</v>
      </c>
      <c r="O4" s="16">
        <f>_xlfn.XLOOKUP(CustomerCombinedCleaned[[#This Row],[ID]], Table4[ID], Table4[Sweets], "Not Found", 0)</f>
        <v>315</v>
      </c>
      <c r="P4" s="16">
        <f>_xlfn.XLOOKUP(CustomerCombinedCleaned[[#This Row],[ID]], Table4[ID], Table4[Premium], "Not Found", 0)</f>
        <v>717</v>
      </c>
      <c r="Q4" s="16">
        <f>_xlfn.XLOOKUP(CustomerCombinedCleaned[[#This Row],[ID]], Table4[ID], Table4[Regular], "Not Found", 0)</f>
        <v>315</v>
      </c>
      <c r="R4" s="16">
        <f>_xlfn.XLOOKUP(CustomerCombinedCleaned[[#This Row],[ID]], Table4[ID], Table4[Deals], "Not Found", 0)</f>
        <v>3</v>
      </c>
      <c r="S4" s="16">
        <f>_xlfn.XLOOKUP(CustomerCombinedCleaned[[#This Row],[ID]], Table4[ID], Table4[Website], "Not Found", 0)</f>
        <v>3</v>
      </c>
      <c r="T4" s="16">
        <f>_xlfn.XLOOKUP(CustomerCombinedCleaned[[#This Row],[ID]], Table4[ID], Table4[Catalog], "Not Found", 0)</f>
        <v>1</v>
      </c>
      <c r="U4" s="16">
        <f>_xlfn.XLOOKUP(CustomerCombinedCleaned[[#This Row],[ID]], Table4[ID], Table4[Store], "Not Found", 0)</f>
        <v>3</v>
      </c>
      <c r="V4" s="16">
        <f>_xlfn.XLOOKUP(CustomerCombinedCleaned[[#This Row],[ID]], Table4[ID], Table4[Visits], "Not Found", 0)</f>
        <v>9</v>
      </c>
      <c r="W4" s="16">
        <f>_xlfn.XLOOKUP(CustomerCombinedCleaned[[#This Row],[ID]], Table2[ID],Table2[Complaint], "Not Found", 0 )</f>
        <v>0</v>
      </c>
      <c r="X4" s="16">
        <f>_xlfn.XLOOKUP(CustomerCombinedCleaned[[#This Row],[ID]], Table2[ID],Table2[Pilot], "Not Found", 0 )</f>
        <v>1</v>
      </c>
      <c r="Y4" s="16">
        <f>_xlfn.XLOOKUP(CustomerCombinedCleaned[[#This Row],[ID]], Table2[ID],Table2[MC1], "Not Found", 0 )</f>
        <v>0</v>
      </c>
      <c r="Z4" s="16">
        <f>_xlfn.XLOOKUP(CustomerCombinedCleaned[[#This Row],[ID]], Table2[ID],Table2[MC2], "Not Found", 0 )</f>
        <v>0</v>
      </c>
      <c r="AA4" s="16">
        <f>_xlfn.XLOOKUP(CustomerCombinedCleaned[[#This Row],[ID]], Table2[ID],Table2[MC3], "Not Found", 0 )</f>
        <v>0</v>
      </c>
      <c r="AB4" s="16">
        <f>_xlfn.XLOOKUP(CustomerCombinedCleaned[[#This Row],[ID]], Table2[ID],Table2[MC4], "Not Found", 0 )</f>
        <v>0</v>
      </c>
      <c r="AC4" s="16">
        <f>_xlfn.XLOOKUP(CustomerCombinedCleaned[[#This Row],[ID]], Table2[ID],Table2[MC5], "Not Found", 0 )</f>
        <v>0</v>
      </c>
    </row>
    <row r="5" spans="1:29" x14ac:dyDescent="0.3">
      <c r="A5" s="18">
        <v>2825</v>
      </c>
      <c r="B5" s="16">
        <v>183257</v>
      </c>
      <c r="C5" s="16">
        <v>0</v>
      </c>
      <c r="D5" s="16">
        <v>0</v>
      </c>
      <c r="E5" s="16">
        <v>25</v>
      </c>
      <c r="F5" s="17" t="s">
        <v>7</v>
      </c>
      <c r="G5" s="17" t="s">
        <v>11</v>
      </c>
      <c r="H5" s="3" t="s">
        <v>393</v>
      </c>
      <c r="I5" s="5" t="s">
        <v>434</v>
      </c>
      <c r="J5" s="16">
        <f>_xlfn.XLOOKUP(CustomerCombinedCleaned[[#This Row],[ID]], Table4[ID], Table4[Recency], "Not Found", 0)</f>
        <v>56</v>
      </c>
      <c r="K5" s="16">
        <f>_xlfn.XLOOKUP(CustomerCombinedCleaned[[#This Row],[ID]], Table4[ID], Table4[Teas], "Not Found", 0)</f>
        <v>1180</v>
      </c>
      <c r="L5" s="16">
        <f>_xlfn.XLOOKUP(CustomerCombinedCleaned[[#This Row],[ID]], Table4[ID], Table4[Fruits], "Not Found", 0)</f>
        <v>59</v>
      </c>
      <c r="M5" s="16">
        <f>_xlfn.XLOOKUP(CustomerCombinedCleaned[[#This Row],[ID]], Table4[ID], Table4[Meats], "Not Found", 0)</f>
        <v>1299</v>
      </c>
      <c r="N5" s="16">
        <f>_xlfn.XLOOKUP(CustomerCombinedCleaned[[#This Row],[ID]], Table4[ID], Table4[Seafood], "Not Found", 0)</f>
        <v>84</v>
      </c>
      <c r="O5" s="16">
        <f>_xlfn.XLOOKUP(CustomerCombinedCleaned[[#This Row],[ID]], Table4[ID], Table4[Sweets], "Not Found", 0)</f>
        <v>236</v>
      </c>
      <c r="P5" s="16">
        <f>_xlfn.XLOOKUP(CustomerCombinedCleaned[[#This Row],[ID]], Table4[ID], Table4[Premium], "Not Found", 0)</f>
        <v>147</v>
      </c>
      <c r="Q5" s="16">
        <f>_xlfn.XLOOKUP(CustomerCombinedCleaned[[#This Row],[ID]], Table4[ID], Table4[Regular], "Not Found", 0)</f>
        <v>2710</v>
      </c>
      <c r="R5" s="16">
        <f>_xlfn.XLOOKUP(CustomerCombinedCleaned[[#This Row],[ID]], Table4[ID], Table4[Deals], "Not Found", 0)</f>
        <v>1</v>
      </c>
      <c r="S5" s="16">
        <f>_xlfn.XLOOKUP(CustomerCombinedCleaned[[#This Row],[ID]], Table4[ID], Table4[Website], "Not Found", 0)</f>
        <v>5</v>
      </c>
      <c r="T5" s="16">
        <f>_xlfn.XLOOKUP(CustomerCombinedCleaned[[#This Row],[ID]], Table4[ID], Table4[Catalog], "Not Found", 0)</f>
        <v>10</v>
      </c>
      <c r="U5" s="16">
        <f>_xlfn.XLOOKUP(CustomerCombinedCleaned[[#This Row],[ID]], Table4[ID], Table4[Store], "Not Found", 0)</f>
        <v>12</v>
      </c>
      <c r="V5" s="16">
        <f>_xlfn.XLOOKUP(CustomerCombinedCleaned[[#This Row],[ID]], Table4[ID], Table4[Visits], "Not Found", 0)</f>
        <v>6</v>
      </c>
      <c r="W5" s="16">
        <f>_xlfn.XLOOKUP(CustomerCombinedCleaned[[#This Row],[ID]], Table2[ID],Table2[Complaint], "Not Found", 0 )</f>
        <v>1</v>
      </c>
      <c r="X5" s="16">
        <f>_xlfn.XLOOKUP(CustomerCombinedCleaned[[#This Row],[ID]], Table2[ID],Table2[Pilot], "Not Found", 0 )</f>
        <v>1</v>
      </c>
      <c r="Y5" s="16">
        <f>_xlfn.XLOOKUP(CustomerCombinedCleaned[[#This Row],[ID]], Table2[ID],Table2[MC1], "Not Found", 0 )</f>
        <v>0</v>
      </c>
      <c r="Z5" s="16">
        <f>_xlfn.XLOOKUP(CustomerCombinedCleaned[[#This Row],[ID]], Table2[ID],Table2[MC2], "Not Found", 0 )</f>
        <v>0</v>
      </c>
      <c r="AA5" s="16">
        <f>_xlfn.XLOOKUP(CustomerCombinedCleaned[[#This Row],[ID]], Table2[ID],Table2[MC3], "Not Found", 0 )</f>
        <v>1</v>
      </c>
      <c r="AB5" s="16">
        <f>_xlfn.XLOOKUP(CustomerCombinedCleaned[[#This Row],[ID]], Table2[ID],Table2[MC4], "Not Found", 0 )</f>
        <v>0</v>
      </c>
      <c r="AC5" s="16">
        <f>_xlfn.XLOOKUP(CustomerCombinedCleaned[[#This Row],[ID]], Table2[ID],Table2[MC5], "Not Found", 0 )</f>
        <v>1</v>
      </c>
    </row>
    <row r="6" spans="1:29" x14ac:dyDescent="0.3">
      <c r="A6" s="18">
        <v>3181</v>
      </c>
      <c r="B6" s="16">
        <v>180617</v>
      </c>
      <c r="C6" s="16">
        <v>0</v>
      </c>
      <c r="D6" s="16">
        <v>0</v>
      </c>
      <c r="E6" s="16">
        <v>25</v>
      </c>
      <c r="F6" s="17" t="s">
        <v>7</v>
      </c>
      <c r="G6" s="17" t="s">
        <v>11</v>
      </c>
      <c r="H6" s="3" t="s">
        <v>382</v>
      </c>
      <c r="I6" s="5" t="s">
        <v>437</v>
      </c>
      <c r="J6" s="16">
        <f>_xlfn.XLOOKUP(CustomerCombinedCleaned[[#This Row],[ID]], Table4[ID], Table4[Recency], "Not Found", 0)</f>
        <v>42</v>
      </c>
      <c r="K6" s="16">
        <f>_xlfn.XLOOKUP(CustomerCombinedCleaned[[#This Row],[ID]], Table4[ID], Table4[Teas], "Not Found", 0)</f>
        <v>1331</v>
      </c>
      <c r="L6" s="16">
        <f>_xlfn.XLOOKUP(CustomerCombinedCleaned[[#This Row],[ID]], Table4[ID], Table4[Fruits], "Not Found", 0)</f>
        <v>114</v>
      </c>
      <c r="M6" s="16">
        <f>_xlfn.XLOOKUP(CustomerCombinedCleaned[[#This Row],[ID]], Table4[ID], Table4[Meats], "Not Found", 0)</f>
        <v>1414</v>
      </c>
      <c r="N6" s="16">
        <f>_xlfn.XLOOKUP(CustomerCombinedCleaned[[#This Row],[ID]], Table4[ID], Table4[Seafood], "Not Found", 0)</f>
        <v>161</v>
      </c>
      <c r="O6" s="16">
        <f>_xlfn.XLOOKUP(CustomerCombinedCleaned[[#This Row],[ID]], Table4[ID], Table4[Sweets], "Not Found", 0)</f>
        <v>123</v>
      </c>
      <c r="P6" s="16">
        <f>_xlfn.XLOOKUP(CustomerCombinedCleaned[[#This Row],[ID]], Table4[ID], Table4[Premium], "Not Found", 0)</f>
        <v>72</v>
      </c>
      <c r="Q6" s="16">
        <f>_xlfn.XLOOKUP(CustomerCombinedCleaned[[#This Row],[ID]], Table4[ID], Table4[Regular], "Not Found", 0)</f>
        <v>3072</v>
      </c>
      <c r="R6" s="16">
        <f>_xlfn.XLOOKUP(CustomerCombinedCleaned[[#This Row],[ID]], Table4[ID], Table4[Deals], "Not Found", 0)</f>
        <v>1</v>
      </c>
      <c r="S6" s="16">
        <f>_xlfn.XLOOKUP(CustomerCombinedCleaned[[#This Row],[ID]], Table4[ID], Table4[Website], "Not Found", 0)</f>
        <v>4</v>
      </c>
      <c r="T6" s="16">
        <f>_xlfn.XLOOKUP(CustomerCombinedCleaned[[#This Row],[ID]], Table4[ID], Table4[Catalog], "Not Found", 0)</f>
        <v>6</v>
      </c>
      <c r="U6" s="16">
        <f>_xlfn.XLOOKUP(CustomerCombinedCleaned[[#This Row],[ID]], Table4[ID], Table4[Store], "Not Found", 0)</f>
        <v>8</v>
      </c>
      <c r="V6" s="16">
        <f>_xlfn.XLOOKUP(CustomerCombinedCleaned[[#This Row],[ID]], Table4[ID], Table4[Visits], "Not Found", 0)</f>
        <v>2</v>
      </c>
      <c r="W6" s="16">
        <f>_xlfn.XLOOKUP(CustomerCombinedCleaned[[#This Row],[ID]], Table2[ID],Table2[Complaint], "Not Found", 0 )</f>
        <v>0</v>
      </c>
      <c r="X6" s="16">
        <f>_xlfn.XLOOKUP(CustomerCombinedCleaned[[#This Row],[ID]], Table2[ID],Table2[Pilot], "Not Found", 0 )</f>
        <v>0</v>
      </c>
      <c r="Y6" s="16">
        <f>_xlfn.XLOOKUP(CustomerCombinedCleaned[[#This Row],[ID]], Table2[ID],Table2[MC1], "Not Found", 0 )</f>
        <v>0</v>
      </c>
      <c r="Z6" s="16">
        <f>_xlfn.XLOOKUP(CustomerCombinedCleaned[[#This Row],[ID]], Table2[ID],Table2[MC2], "Not Found", 0 )</f>
        <v>0</v>
      </c>
      <c r="AA6" s="16">
        <f>_xlfn.XLOOKUP(CustomerCombinedCleaned[[#This Row],[ID]], Table2[ID],Table2[MC3], "Not Found", 0 )</f>
        <v>0</v>
      </c>
      <c r="AB6" s="16">
        <f>_xlfn.XLOOKUP(CustomerCombinedCleaned[[#This Row],[ID]], Table2[ID],Table2[MC4], "Not Found", 0 )</f>
        <v>0</v>
      </c>
      <c r="AC6" s="16">
        <f>_xlfn.XLOOKUP(CustomerCombinedCleaned[[#This Row],[ID]], Table2[ID],Table2[MC5], "Not Found", 0 )</f>
        <v>0</v>
      </c>
    </row>
    <row r="7" spans="1:29" x14ac:dyDescent="0.3">
      <c r="A7" s="18">
        <v>1728</v>
      </c>
      <c r="B7" s="16">
        <v>171163</v>
      </c>
      <c r="C7" s="16">
        <v>0</v>
      </c>
      <c r="D7" s="16">
        <v>0</v>
      </c>
      <c r="E7" s="16">
        <v>25</v>
      </c>
      <c r="F7" s="17" t="s">
        <v>7</v>
      </c>
      <c r="G7" s="17" t="s">
        <v>11</v>
      </c>
      <c r="H7" s="3" t="s">
        <v>90</v>
      </c>
      <c r="I7" s="5" t="s">
        <v>436</v>
      </c>
      <c r="J7" s="16">
        <f>_xlfn.XLOOKUP(CustomerCombinedCleaned[[#This Row],[ID]], Table4[ID], Table4[Recency], "Not Found", 0)</f>
        <v>30</v>
      </c>
      <c r="K7" s="16">
        <f>_xlfn.XLOOKUP(CustomerCombinedCleaned[[#This Row],[ID]], Table4[ID], Table4[Teas], "Not Found", 0)</f>
        <v>681</v>
      </c>
      <c r="L7" s="16">
        <f>_xlfn.XLOOKUP(CustomerCombinedCleaned[[#This Row],[ID]], Table4[ID], Table4[Fruits], "Not Found", 0)</f>
        <v>41</v>
      </c>
      <c r="M7" s="16">
        <f>_xlfn.XLOOKUP(CustomerCombinedCleaned[[#This Row],[ID]], Table4[ID], Table4[Meats], "Not Found", 0)</f>
        <v>895</v>
      </c>
      <c r="N7" s="16">
        <f>_xlfn.XLOOKUP(CustomerCombinedCleaned[[#This Row],[ID]], Table4[ID], Table4[Seafood], "Not Found", 0)</f>
        <v>332</v>
      </c>
      <c r="O7" s="16">
        <f>_xlfn.XLOOKUP(CustomerCombinedCleaned[[#This Row],[ID]], Table4[ID], Table4[Sweets], "Not Found", 0)</f>
        <v>255</v>
      </c>
      <c r="P7" s="16">
        <f>_xlfn.XLOOKUP(CustomerCombinedCleaned[[#This Row],[ID]], Table4[ID], Table4[Premium], "Not Found", 0)</f>
        <v>106</v>
      </c>
      <c r="Q7" s="16">
        <f>_xlfn.XLOOKUP(CustomerCombinedCleaned[[#This Row],[ID]], Table4[ID], Table4[Regular], "Not Found", 0)</f>
        <v>2097</v>
      </c>
      <c r="R7" s="16">
        <f>_xlfn.XLOOKUP(CustomerCombinedCleaned[[#This Row],[ID]], Table4[ID], Table4[Deals], "Not Found", 0)</f>
        <v>1</v>
      </c>
      <c r="S7" s="16">
        <f>_xlfn.XLOOKUP(CustomerCombinedCleaned[[#This Row],[ID]], Table4[ID], Table4[Website], "Not Found", 0)</f>
        <v>3</v>
      </c>
      <c r="T7" s="16">
        <f>_xlfn.XLOOKUP(CustomerCombinedCleaned[[#This Row],[ID]], Table4[ID], Table4[Catalog], "Not Found", 0)</f>
        <v>8</v>
      </c>
      <c r="U7" s="16">
        <f>_xlfn.XLOOKUP(CustomerCombinedCleaned[[#This Row],[ID]], Table4[ID], Table4[Store], "Not Found", 0)</f>
        <v>12</v>
      </c>
      <c r="V7" s="16">
        <f>_xlfn.XLOOKUP(CustomerCombinedCleaned[[#This Row],[ID]], Table4[ID], Table4[Visits], "Not Found", 0)</f>
        <v>1</v>
      </c>
      <c r="W7" s="16">
        <f>_xlfn.XLOOKUP(CustomerCombinedCleaned[[#This Row],[ID]], Table2[ID],Table2[Complaint], "Not Found", 0 )</f>
        <v>0</v>
      </c>
      <c r="X7" s="16">
        <f>_xlfn.XLOOKUP(CustomerCombinedCleaned[[#This Row],[ID]], Table2[ID],Table2[Pilot], "Not Found", 0 )</f>
        <v>0</v>
      </c>
      <c r="Y7" s="16">
        <f>_xlfn.XLOOKUP(CustomerCombinedCleaned[[#This Row],[ID]], Table2[ID],Table2[MC1], "Not Found", 0 )</f>
        <v>0</v>
      </c>
      <c r="Z7" s="16">
        <f>_xlfn.XLOOKUP(CustomerCombinedCleaned[[#This Row],[ID]], Table2[ID],Table2[MC2], "Not Found", 0 )</f>
        <v>0</v>
      </c>
      <c r="AA7" s="16">
        <f>_xlfn.XLOOKUP(CustomerCombinedCleaned[[#This Row],[ID]], Table2[ID],Table2[MC3], "Not Found", 0 )</f>
        <v>0</v>
      </c>
      <c r="AB7" s="16">
        <f>_xlfn.XLOOKUP(CustomerCombinedCleaned[[#This Row],[ID]], Table2[ID],Table2[MC4], "Not Found", 0 )</f>
        <v>0</v>
      </c>
      <c r="AC7" s="16">
        <f>_xlfn.XLOOKUP(CustomerCombinedCleaned[[#This Row],[ID]], Table2[ID],Table2[MC5], "Not Found", 0 )</f>
        <v>0</v>
      </c>
    </row>
    <row r="8" spans="1:29" x14ac:dyDescent="0.3">
      <c r="A8" s="18">
        <v>1677</v>
      </c>
      <c r="B8" s="16">
        <v>134824</v>
      </c>
      <c r="C8" s="16">
        <v>0</v>
      </c>
      <c r="D8" s="16">
        <v>0</v>
      </c>
      <c r="E8" s="16">
        <v>25</v>
      </c>
      <c r="F8" s="17" t="s">
        <v>7</v>
      </c>
      <c r="G8" s="17" t="s">
        <v>11</v>
      </c>
      <c r="H8" s="3" t="s">
        <v>75</v>
      </c>
      <c r="I8" s="5" t="s">
        <v>435</v>
      </c>
      <c r="J8" s="16">
        <f>_xlfn.XLOOKUP(CustomerCombinedCleaned[[#This Row],[ID]], Table4[ID], Table4[Recency], "Not Found", 0)</f>
        <v>65</v>
      </c>
      <c r="K8" s="16">
        <f>_xlfn.XLOOKUP(CustomerCombinedCleaned[[#This Row],[ID]], Table4[ID], Table4[Teas], "Not Found", 0)</f>
        <v>15</v>
      </c>
      <c r="L8" s="16">
        <f>_xlfn.XLOOKUP(CustomerCombinedCleaned[[#This Row],[ID]], Table4[ID], Table4[Fruits], "Not Found", 0)</f>
        <v>8</v>
      </c>
      <c r="M8" s="16">
        <f>_xlfn.XLOOKUP(CustomerCombinedCleaned[[#This Row],[ID]], Table4[ID], Table4[Meats], "Not Found", 0)</f>
        <v>43</v>
      </c>
      <c r="N8" s="16">
        <f>_xlfn.XLOOKUP(CustomerCombinedCleaned[[#This Row],[ID]], Table4[ID], Table4[Seafood], "Not Found", 0)</f>
        <v>8</v>
      </c>
      <c r="O8" s="16">
        <f>_xlfn.XLOOKUP(CustomerCombinedCleaned[[#This Row],[ID]], Table4[ID], Table4[Sweets], "Not Found", 0)</f>
        <v>0</v>
      </c>
      <c r="P8" s="16">
        <f>_xlfn.XLOOKUP(CustomerCombinedCleaned[[#This Row],[ID]], Table4[ID], Table4[Premium], "Not Found", 0)</f>
        <v>15</v>
      </c>
      <c r="Q8" s="16">
        <f>_xlfn.XLOOKUP(CustomerCombinedCleaned[[#This Row],[ID]], Table4[ID], Table4[Regular], "Not Found", 0)</f>
        <v>58</v>
      </c>
      <c r="R8" s="16">
        <f>_xlfn.XLOOKUP(CustomerCombinedCleaned[[#This Row],[ID]], Table4[ID], Table4[Deals], "Not Found", 0)</f>
        <v>1</v>
      </c>
      <c r="S8" s="16">
        <f>_xlfn.XLOOKUP(CustomerCombinedCleaned[[#This Row],[ID]], Table4[ID], Table4[Website], "Not Found", 0)</f>
        <v>1</v>
      </c>
      <c r="T8" s="16">
        <f>_xlfn.XLOOKUP(CustomerCombinedCleaned[[#This Row],[ID]], Table4[ID], Table4[Catalog], "Not Found", 0)</f>
        <v>0</v>
      </c>
      <c r="U8" s="16">
        <f>_xlfn.XLOOKUP(CustomerCombinedCleaned[[#This Row],[ID]], Table4[ID], Table4[Store], "Not Found", 0)</f>
        <v>2</v>
      </c>
      <c r="V8" s="16">
        <f>_xlfn.XLOOKUP(CustomerCombinedCleaned[[#This Row],[ID]], Table4[ID], Table4[Visits], "Not Found", 0)</f>
        <v>6</v>
      </c>
      <c r="W8" s="16">
        <f>_xlfn.XLOOKUP(CustomerCombinedCleaned[[#This Row],[ID]], Table2[ID],Table2[Complaint], "Not Found", 0 )</f>
        <v>0</v>
      </c>
      <c r="X8" s="16">
        <f>_xlfn.XLOOKUP(CustomerCombinedCleaned[[#This Row],[ID]], Table2[ID],Table2[Pilot], "Not Found", 0 )</f>
        <v>0</v>
      </c>
      <c r="Y8" s="16">
        <f>_xlfn.XLOOKUP(CustomerCombinedCleaned[[#This Row],[ID]], Table2[ID],Table2[MC1], "Not Found", 0 )</f>
        <v>0</v>
      </c>
      <c r="Z8" s="16">
        <f>_xlfn.XLOOKUP(CustomerCombinedCleaned[[#This Row],[ID]], Table2[ID],Table2[MC2], "Not Found", 0 )</f>
        <v>0</v>
      </c>
      <c r="AA8" s="16">
        <f>_xlfn.XLOOKUP(CustomerCombinedCleaned[[#This Row],[ID]], Table2[ID],Table2[MC3], "Not Found", 0 )</f>
        <v>0</v>
      </c>
      <c r="AB8" s="16">
        <f>_xlfn.XLOOKUP(CustomerCombinedCleaned[[#This Row],[ID]], Table2[ID],Table2[MC4], "Not Found", 0 )</f>
        <v>0</v>
      </c>
      <c r="AC8" s="16">
        <f>_xlfn.XLOOKUP(CustomerCombinedCleaned[[#This Row],[ID]], Table2[ID],Table2[MC5], "Not Found", 0 )</f>
        <v>0</v>
      </c>
    </row>
    <row r="9" spans="1:29" x14ac:dyDescent="0.3">
      <c r="A9" s="18">
        <v>1976</v>
      </c>
      <c r="B9" s="16">
        <v>134824</v>
      </c>
      <c r="C9" s="16">
        <v>0</v>
      </c>
      <c r="D9" s="16">
        <v>0</v>
      </c>
      <c r="E9" s="16">
        <v>25</v>
      </c>
      <c r="F9" s="17" t="s">
        <v>7</v>
      </c>
      <c r="G9" s="17" t="s">
        <v>11</v>
      </c>
      <c r="H9" s="3" t="s">
        <v>75</v>
      </c>
      <c r="I9" s="5" t="s">
        <v>438</v>
      </c>
      <c r="J9" s="16">
        <f>_xlfn.XLOOKUP(CustomerCombinedCleaned[[#This Row],[ID]], Table4[ID], Table4[Recency], "Not Found", 0)</f>
        <v>65</v>
      </c>
      <c r="K9" s="16">
        <f>_xlfn.XLOOKUP(CustomerCombinedCleaned[[#This Row],[ID]], Table4[ID], Table4[Teas], "Not Found", 0)</f>
        <v>15</v>
      </c>
      <c r="L9" s="16">
        <f>_xlfn.XLOOKUP(CustomerCombinedCleaned[[#This Row],[ID]], Table4[ID], Table4[Fruits], "Not Found", 0)</f>
        <v>8</v>
      </c>
      <c r="M9" s="16">
        <f>_xlfn.XLOOKUP(CustomerCombinedCleaned[[#This Row],[ID]], Table4[ID], Table4[Meats], "Not Found", 0)</f>
        <v>43</v>
      </c>
      <c r="N9" s="16">
        <f>_xlfn.XLOOKUP(CustomerCombinedCleaned[[#This Row],[ID]], Table4[ID], Table4[Seafood], "Not Found", 0)</f>
        <v>8</v>
      </c>
      <c r="O9" s="16">
        <f>_xlfn.XLOOKUP(CustomerCombinedCleaned[[#This Row],[ID]], Table4[ID], Table4[Sweets], "Not Found", 0)</f>
        <v>0</v>
      </c>
      <c r="P9" s="16">
        <f>_xlfn.XLOOKUP(CustomerCombinedCleaned[[#This Row],[ID]], Table4[ID], Table4[Premium], "Not Found", 0)</f>
        <v>15</v>
      </c>
      <c r="Q9" s="16">
        <f>_xlfn.XLOOKUP(CustomerCombinedCleaned[[#This Row],[ID]], Table4[ID], Table4[Regular], "Not Found", 0)</f>
        <v>58</v>
      </c>
      <c r="R9" s="16">
        <f>_xlfn.XLOOKUP(CustomerCombinedCleaned[[#This Row],[ID]], Table4[ID], Table4[Deals], "Not Found", 0)</f>
        <v>1</v>
      </c>
      <c r="S9" s="16">
        <f>_xlfn.XLOOKUP(CustomerCombinedCleaned[[#This Row],[ID]], Table4[ID], Table4[Website], "Not Found", 0)</f>
        <v>1</v>
      </c>
      <c r="T9" s="16">
        <f>_xlfn.XLOOKUP(CustomerCombinedCleaned[[#This Row],[ID]], Table4[ID], Table4[Catalog], "Not Found", 0)</f>
        <v>0</v>
      </c>
      <c r="U9" s="16">
        <f>_xlfn.XLOOKUP(CustomerCombinedCleaned[[#This Row],[ID]], Table4[ID], Table4[Store], "Not Found", 0)</f>
        <v>2</v>
      </c>
      <c r="V9" s="16">
        <f>_xlfn.XLOOKUP(CustomerCombinedCleaned[[#This Row],[ID]], Table4[ID], Table4[Visits], "Not Found", 0)</f>
        <v>6</v>
      </c>
      <c r="W9" s="16">
        <f>_xlfn.XLOOKUP(CustomerCombinedCleaned[[#This Row],[ID]], Table2[ID],Table2[Complaint], "Not Found", 0 )</f>
        <v>0</v>
      </c>
      <c r="X9" s="16">
        <f>_xlfn.XLOOKUP(CustomerCombinedCleaned[[#This Row],[ID]], Table2[ID],Table2[Pilot], "Not Found", 0 )</f>
        <v>0</v>
      </c>
      <c r="Y9" s="16">
        <f>_xlfn.XLOOKUP(CustomerCombinedCleaned[[#This Row],[ID]], Table2[ID],Table2[MC1], "Not Found", 0 )</f>
        <v>0</v>
      </c>
      <c r="Z9" s="16">
        <f>_xlfn.XLOOKUP(CustomerCombinedCleaned[[#This Row],[ID]], Table2[ID],Table2[MC2], "Not Found", 0 )</f>
        <v>0</v>
      </c>
      <c r="AA9" s="16">
        <f>_xlfn.XLOOKUP(CustomerCombinedCleaned[[#This Row],[ID]], Table2[ID],Table2[MC3], "Not Found", 0 )</f>
        <v>0</v>
      </c>
      <c r="AB9" s="16">
        <f>_xlfn.XLOOKUP(CustomerCombinedCleaned[[#This Row],[ID]], Table2[ID],Table2[MC4], "Not Found", 0 )</f>
        <v>0</v>
      </c>
      <c r="AC9" s="16">
        <f>_xlfn.XLOOKUP(CustomerCombinedCleaned[[#This Row],[ID]], Table2[ID],Table2[MC5], "Not Found", 0 )</f>
        <v>0</v>
      </c>
    </row>
    <row r="10" spans="1:29" x14ac:dyDescent="0.3">
      <c r="A10" s="18">
        <v>1895</v>
      </c>
      <c r="B10" s="16">
        <v>195529</v>
      </c>
      <c r="C10" s="16">
        <v>0</v>
      </c>
      <c r="D10" s="16">
        <v>0</v>
      </c>
      <c r="E10" s="16">
        <v>26</v>
      </c>
      <c r="F10" s="17" t="s">
        <v>7</v>
      </c>
      <c r="G10" s="17" t="s">
        <v>11</v>
      </c>
      <c r="H10" s="3" t="s">
        <v>541</v>
      </c>
      <c r="I10" s="5" t="s">
        <v>434</v>
      </c>
      <c r="J10" s="16">
        <f>_xlfn.XLOOKUP(CustomerCombinedCleaned[[#This Row],[ID]], Table4[ID], Table4[Recency], "Not Found", 0)</f>
        <v>29</v>
      </c>
      <c r="K10" s="16">
        <f>_xlfn.XLOOKUP(CustomerCombinedCleaned[[#This Row],[ID]], Table4[ID], Table4[Teas], "Not Found", 0)</f>
        <v>1576</v>
      </c>
      <c r="L10" s="16">
        <f>_xlfn.XLOOKUP(CustomerCombinedCleaned[[#This Row],[ID]], Table4[ID], Table4[Fruits], "Not Found", 0)</f>
        <v>59</v>
      </c>
      <c r="M10" s="16">
        <f>_xlfn.XLOOKUP(CustomerCombinedCleaned[[#This Row],[ID]], Table4[ID], Table4[Meats], "Not Found", 0)</f>
        <v>1822</v>
      </c>
      <c r="N10" s="16">
        <f>_xlfn.XLOOKUP(CustomerCombinedCleaned[[#This Row],[ID]], Table4[ID], Table4[Seafood], "Not Found", 0)</f>
        <v>512</v>
      </c>
      <c r="O10" s="16">
        <f>_xlfn.XLOOKUP(CustomerCombinedCleaned[[#This Row],[ID]], Table4[ID], Table4[Sweets], "Not Found", 0)</f>
        <v>55</v>
      </c>
      <c r="P10" s="16">
        <f>_xlfn.XLOOKUP(CustomerCombinedCleaned[[#This Row],[ID]], Table4[ID], Table4[Premium], "Not Found", 0)</f>
        <v>49</v>
      </c>
      <c r="Q10" s="16">
        <f>_xlfn.XLOOKUP(CustomerCombinedCleaned[[#This Row],[ID]], Table4[ID], Table4[Regular], "Not Found", 0)</f>
        <v>3975</v>
      </c>
      <c r="R10" s="16">
        <f>_xlfn.XLOOKUP(CustomerCombinedCleaned[[#This Row],[ID]], Table4[ID], Table4[Deals], "Not Found", 0)</f>
        <v>1</v>
      </c>
      <c r="S10" s="16">
        <f>_xlfn.XLOOKUP(CustomerCombinedCleaned[[#This Row],[ID]], Table4[ID], Table4[Website], "Not Found", 0)</f>
        <v>7</v>
      </c>
      <c r="T10" s="16">
        <f>_xlfn.XLOOKUP(CustomerCombinedCleaned[[#This Row],[ID]], Table4[ID], Table4[Catalog], "Not Found", 0)</f>
        <v>3</v>
      </c>
      <c r="U10" s="16">
        <f>_xlfn.XLOOKUP(CustomerCombinedCleaned[[#This Row],[ID]], Table4[ID], Table4[Store], "Not Found", 0)</f>
        <v>7</v>
      </c>
      <c r="V10" s="16">
        <f>_xlfn.XLOOKUP(CustomerCombinedCleaned[[#This Row],[ID]], Table4[ID], Table4[Visits], "Not Found", 0)</f>
        <v>3</v>
      </c>
      <c r="W10" s="16">
        <f>_xlfn.XLOOKUP(CustomerCombinedCleaned[[#This Row],[ID]], Table2[ID],Table2[Complaint], "Not Found", 0 )</f>
        <v>0</v>
      </c>
      <c r="X10" s="16">
        <f>_xlfn.XLOOKUP(CustomerCombinedCleaned[[#This Row],[ID]], Table2[ID],Table2[Pilot], "Not Found", 0 )</f>
        <v>1</v>
      </c>
      <c r="Y10" s="16">
        <f>_xlfn.XLOOKUP(CustomerCombinedCleaned[[#This Row],[ID]], Table2[ID],Table2[MC1], "Not Found", 0 )</f>
        <v>0</v>
      </c>
      <c r="Z10" s="16">
        <f>_xlfn.XLOOKUP(CustomerCombinedCleaned[[#This Row],[ID]], Table2[ID],Table2[MC2], "Not Found", 0 )</f>
        <v>0</v>
      </c>
      <c r="AA10" s="16">
        <f>_xlfn.XLOOKUP(CustomerCombinedCleaned[[#This Row],[ID]], Table2[ID],Table2[MC3], "Not Found", 0 )</f>
        <v>0</v>
      </c>
      <c r="AB10" s="16">
        <f>_xlfn.XLOOKUP(CustomerCombinedCleaned[[#This Row],[ID]], Table2[ID],Table2[MC4], "Not Found", 0 )</f>
        <v>0</v>
      </c>
      <c r="AC10" s="16">
        <f>_xlfn.XLOOKUP(CustomerCombinedCleaned[[#This Row],[ID]], Table2[ID],Table2[MC5], "Not Found", 0 )</f>
        <v>1</v>
      </c>
    </row>
    <row r="11" spans="1:29" x14ac:dyDescent="0.3">
      <c r="A11" s="18">
        <v>2144</v>
      </c>
      <c r="B11" s="16">
        <v>180685</v>
      </c>
      <c r="C11" s="16">
        <v>0</v>
      </c>
      <c r="D11" s="16">
        <v>0</v>
      </c>
      <c r="E11" s="16">
        <v>26</v>
      </c>
      <c r="F11" s="17" t="s">
        <v>8</v>
      </c>
      <c r="G11" s="17" t="s">
        <v>11</v>
      </c>
      <c r="H11" s="3" t="s">
        <v>406</v>
      </c>
      <c r="I11" s="5" t="s">
        <v>438</v>
      </c>
      <c r="J11" s="16">
        <f>_xlfn.XLOOKUP(CustomerCombinedCleaned[[#This Row],[ID]], Table4[ID], Table4[Recency], "Not Found", 0)</f>
        <v>55</v>
      </c>
      <c r="K11" s="16">
        <f>_xlfn.XLOOKUP(CustomerCombinedCleaned[[#This Row],[ID]], Table4[ID], Table4[Teas], "Not Found", 0)</f>
        <v>540</v>
      </c>
      <c r="L11" s="16">
        <f>_xlfn.XLOOKUP(CustomerCombinedCleaned[[#This Row],[ID]], Table4[ID], Table4[Fruits], "Not Found", 0)</f>
        <v>101</v>
      </c>
      <c r="M11" s="16">
        <f>_xlfn.XLOOKUP(CustomerCombinedCleaned[[#This Row],[ID]], Table4[ID], Table4[Meats], "Not Found", 0)</f>
        <v>1353</v>
      </c>
      <c r="N11" s="16">
        <f>_xlfn.XLOOKUP(CustomerCombinedCleaned[[#This Row],[ID]], Table4[ID], Table4[Seafood], "Not Found", 0)</f>
        <v>76</v>
      </c>
      <c r="O11" s="16">
        <f>_xlfn.XLOOKUP(CustomerCombinedCleaned[[#This Row],[ID]], Table4[ID], Table4[Sweets], "Not Found", 0)</f>
        <v>58</v>
      </c>
      <c r="P11" s="16">
        <f>_xlfn.XLOOKUP(CustomerCombinedCleaned[[#This Row],[ID]], Table4[ID], Table4[Premium], "Not Found", 0)</f>
        <v>121</v>
      </c>
      <c r="Q11" s="16">
        <f>_xlfn.XLOOKUP(CustomerCombinedCleaned[[#This Row],[ID]], Table4[ID], Table4[Regular], "Not Found", 0)</f>
        <v>2006</v>
      </c>
      <c r="R11" s="16">
        <f>_xlfn.XLOOKUP(CustomerCombinedCleaned[[#This Row],[ID]], Table4[ID], Table4[Deals], "Not Found", 0)</f>
        <v>1</v>
      </c>
      <c r="S11" s="16">
        <f>_xlfn.XLOOKUP(CustomerCombinedCleaned[[#This Row],[ID]], Table4[ID], Table4[Website], "Not Found", 0)</f>
        <v>6</v>
      </c>
      <c r="T11" s="16">
        <f>_xlfn.XLOOKUP(CustomerCombinedCleaned[[#This Row],[ID]], Table4[ID], Table4[Catalog], "Not Found", 0)</f>
        <v>4</v>
      </c>
      <c r="U11" s="16">
        <f>_xlfn.XLOOKUP(CustomerCombinedCleaned[[#This Row],[ID]], Table4[ID], Table4[Store], "Not Found", 0)</f>
        <v>10</v>
      </c>
      <c r="V11" s="16">
        <f>_xlfn.XLOOKUP(CustomerCombinedCleaned[[#This Row],[ID]], Table4[ID], Table4[Visits], "Not Found", 0)</f>
        <v>2</v>
      </c>
      <c r="W11" s="16">
        <f>_xlfn.XLOOKUP(CustomerCombinedCleaned[[#This Row],[ID]], Table2[ID],Table2[Complaint], "Not Found", 0 )</f>
        <v>0</v>
      </c>
      <c r="X11" s="16">
        <f>_xlfn.XLOOKUP(CustomerCombinedCleaned[[#This Row],[ID]], Table2[ID],Table2[Pilot], "Not Found", 0 )</f>
        <v>0</v>
      </c>
      <c r="Y11" s="16">
        <f>_xlfn.XLOOKUP(CustomerCombinedCleaned[[#This Row],[ID]], Table2[ID],Table2[MC1], "Not Found", 0 )</f>
        <v>0</v>
      </c>
      <c r="Z11" s="16">
        <f>_xlfn.XLOOKUP(CustomerCombinedCleaned[[#This Row],[ID]], Table2[ID],Table2[MC2], "Not Found", 0 )</f>
        <v>0</v>
      </c>
      <c r="AA11" s="16">
        <f>_xlfn.XLOOKUP(CustomerCombinedCleaned[[#This Row],[ID]], Table2[ID],Table2[MC3], "Not Found", 0 )</f>
        <v>0</v>
      </c>
      <c r="AB11" s="16">
        <f>_xlfn.XLOOKUP(CustomerCombinedCleaned[[#This Row],[ID]], Table2[ID],Table2[MC4], "Not Found", 0 )</f>
        <v>0</v>
      </c>
      <c r="AC11" s="16">
        <f>_xlfn.XLOOKUP(CustomerCombinedCleaned[[#This Row],[ID]], Table2[ID],Table2[MC5], "Not Found", 0 )</f>
        <v>0</v>
      </c>
    </row>
    <row r="12" spans="1:29" x14ac:dyDescent="0.3">
      <c r="A12" s="18">
        <v>1401</v>
      </c>
      <c r="B12" s="16">
        <v>180134</v>
      </c>
      <c r="C12" s="16">
        <v>0</v>
      </c>
      <c r="D12" s="16">
        <v>0</v>
      </c>
      <c r="E12" s="16">
        <v>26</v>
      </c>
      <c r="F12" s="17" t="s">
        <v>8</v>
      </c>
      <c r="G12" s="17" t="s">
        <v>11</v>
      </c>
      <c r="H12" s="3" t="s">
        <v>99</v>
      </c>
      <c r="I12" s="5" t="s">
        <v>435</v>
      </c>
      <c r="J12" s="16">
        <f>_xlfn.XLOOKUP(CustomerCombinedCleaned[[#This Row],[ID]], Table4[ID], Table4[Recency], "Not Found", 0)</f>
        <v>11</v>
      </c>
      <c r="K12" s="16">
        <f>_xlfn.XLOOKUP(CustomerCombinedCleaned[[#This Row],[ID]], Table4[ID], Table4[Teas], "Not Found", 0)</f>
        <v>2171</v>
      </c>
      <c r="L12" s="16">
        <f>_xlfn.XLOOKUP(CustomerCombinedCleaned[[#This Row],[ID]], Table4[ID], Table4[Fruits], "Not Found", 0)</f>
        <v>58</v>
      </c>
      <c r="M12" s="16">
        <f>_xlfn.XLOOKUP(CustomerCombinedCleaned[[#This Row],[ID]], Table4[ID], Table4[Meats], "Not Found", 0)</f>
        <v>634</v>
      </c>
      <c r="N12" s="16">
        <f>_xlfn.XLOOKUP(CustomerCombinedCleaned[[#This Row],[ID]], Table4[ID], Table4[Seafood], "Not Found", 0)</f>
        <v>117</v>
      </c>
      <c r="O12" s="16">
        <f>_xlfn.XLOOKUP(CustomerCombinedCleaned[[#This Row],[ID]], Table4[ID], Table4[Sweets], "Not Found", 0)</f>
        <v>58</v>
      </c>
      <c r="P12" s="16">
        <f>_xlfn.XLOOKUP(CustomerCombinedCleaned[[#This Row],[ID]], Table4[ID], Table4[Premium], "Not Found", 0)</f>
        <v>58</v>
      </c>
      <c r="Q12" s="16">
        <f>_xlfn.XLOOKUP(CustomerCombinedCleaned[[#This Row],[ID]], Table4[ID], Table4[Regular], "Not Found", 0)</f>
        <v>2981</v>
      </c>
      <c r="R12" s="16">
        <f>_xlfn.XLOOKUP(CustomerCombinedCleaned[[#This Row],[ID]], Table4[ID], Table4[Deals], "Not Found", 0)</f>
        <v>1</v>
      </c>
      <c r="S12" s="16">
        <f>_xlfn.XLOOKUP(CustomerCombinedCleaned[[#This Row],[ID]], Table4[ID], Table4[Website], "Not Found", 0)</f>
        <v>2</v>
      </c>
      <c r="T12" s="16">
        <f>_xlfn.XLOOKUP(CustomerCombinedCleaned[[#This Row],[ID]], Table4[ID], Table4[Catalog], "Not Found", 0)</f>
        <v>7</v>
      </c>
      <c r="U12" s="16">
        <f>_xlfn.XLOOKUP(CustomerCombinedCleaned[[#This Row],[ID]], Table4[ID], Table4[Store], "Not Found", 0)</f>
        <v>11</v>
      </c>
      <c r="V12" s="16">
        <f>_xlfn.XLOOKUP(CustomerCombinedCleaned[[#This Row],[ID]], Table4[ID], Table4[Visits], "Not Found", 0)</f>
        <v>5</v>
      </c>
      <c r="W12" s="16">
        <f>_xlfn.XLOOKUP(CustomerCombinedCleaned[[#This Row],[ID]], Table2[ID],Table2[Complaint], "Not Found", 0 )</f>
        <v>0</v>
      </c>
      <c r="X12" s="16">
        <f>_xlfn.XLOOKUP(CustomerCombinedCleaned[[#This Row],[ID]], Table2[ID],Table2[Pilot], "Not Found", 0 )</f>
        <v>0</v>
      </c>
      <c r="Y12" s="16">
        <f>_xlfn.XLOOKUP(CustomerCombinedCleaned[[#This Row],[ID]], Table2[ID],Table2[MC1], "Not Found", 0 )</f>
        <v>1</v>
      </c>
      <c r="Z12" s="16">
        <f>_xlfn.XLOOKUP(CustomerCombinedCleaned[[#This Row],[ID]], Table2[ID],Table2[MC2], "Not Found", 0 )</f>
        <v>1</v>
      </c>
      <c r="AA12" s="16">
        <f>_xlfn.XLOOKUP(CustomerCombinedCleaned[[#This Row],[ID]], Table2[ID],Table2[MC3], "Not Found", 0 )</f>
        <v>0</v>
      </c>
      <c r="AB12" s="16">
        <f>_xlfn.XLOOKUP(CustomerCombinedCleaned[[#This Row],[ID]], Table2[ID],Table2[MC4], "Not Found", 0 )</f>
        <v>1</v>
      </c>
      <c r="AC12" s="16">
        <f>_xlfn.XLOOKUP(CustomerCombinedCleaned[[#This Row],[ID]], Table2[ID],Table2[MC5], "Not Found", 0 )</f>
        <v>1</v>
      </c>
    </row>
    <row r="13" spans="1:29" x14ac:dyDescent="0.3">
      <c r="A13" s="18">
        <v>3062</v>
      </c>
      <c r="B13" s="16">
        <v>179244</v>
      </c>
      <c r="C13" s="16">
        <v>0</v>
      </c>
      <c r="D13" s="16">
        <v>0</v>
      </c>
      <c r="E13" s="16">
        <v>27</v>
      </c>
      <c r="F13" s="17" t="s">
        <v>7</v>
      </c>
      <c r="G13" s="17" t="s">
        <v>11</v>
      </c>
      <c r="H13" s="3" t="s">
        <v>340</v>
      </c>
      <c r="I13" s="5" t="s">
        <v>438</v>
      </c>
      <c r="J13" s="16">
        <f>_xlfn.XLOOKUP(CustomerCombinedCleaned[[#This Row],[ID]], Table4[ID], Table4[Recency], "Not Found", 0)</f>
        <v>58</v>
      </c>
      <c r="K13" s="16">
        <f>_xlfn.XLOOKUP(CustomerCombinedCleaned[[#This Row],[ID]], Table4[ID], Table4[Teas], "Not Found", 0)</f>
        <v>1065</v>
      </c>
      <c r="L13" s="16">
        <f>_xlfn.XLOOKUP(CustomerCombinedCleaned[[#This Row],[ID]], Table4[ID], Table4[Fruits], "Not Found", 0)</f>
        <v>231</v>
      </c>
      <c r="M13" s="16">
        <f>_xlfn.XLOOKUP(CustomerCombinedCleaned[[#This Row],[ID]], Table4[ID], Table4[Meats], "Not Found", 0)</f>
        <v>283</v>
      </c>
      <c r="N13" s="16">
        <f>_xlfn.XLOOKUP(CustomerCombinedCleaned[[#This Row],[ID]], Table4[ID], Table4[Seafood], "Not Found", 0)</f>
        <v>480</v>
      </c>
      <c r="O13" s="16">
        <f>_xlfn.XLOOKUP(CustomerCombinedCleaned[[#This Row],[ID]], Table4[ID], Table4[Sweets], "Not Found", 0)</f>
        <v>138</v>
      </c>
      <c r="P13" s="16">
        <f>_xlfn.XLOOKUP(CustomerCombinedCleaned[[#This Row],[ID]], Table4[ID], Table4[Premium], "Not Found", 0)</f>
        <v>554</v>
      </c>
      <c r="Q13" s="16">
        <f>_xlfn.XLOOKUP(CustomerCombinedCleaned[[#This Row],[ID]], Table4[ID], Table4[Regular], "Not Found", 0)</f>
        <v>1642</v>
      </c>
      <c r="R13" s="16">
        <f>_xlfn.XLOOKUP(CustomerCombinedCleaned[[#This Row],[ID]], Table4[ID], Table4[Deals], "Not Found", 0)</f>
        <v>1</v>
      </c>
      <c r="S13" s="16">
        <f>_xlfn.XLOOKUP(CustomerCombinedCleaned[[#This Row],[ID]], Table4[ID], Table4[Website], "Not Found", 0)</f>
        <v>4</v>
      </c>
      <c r="T13" s="16">
        <f>_xlfn.XLOOKUP(CustomerCombinedCleaned[[#This Row],[ID]], Table4[ID], Table4[Catalog], "Not Found", 0)</f>
        <v>10</v>
      </c>
      <c r="U13" s="16">
        <f>_xlfn.XLOOKUP(CustomerCombinedCleaned[[#This Row],[ID]], Table4[ID], Table4[Store], "Not Found", 0)</f>
        <v>7</v>
      </c>
      <c r="V13" s="16">
        <f>_xlfn.XLOOKUP(CustomerCombinedCleaned[[#This Row],[ID]], Table4[ID], Table4[Visits], "Not Found", 0)</f>
        <v>1</v>
      </c>
      <c r="W13" s="16">
        <f>_xlfn.XLOOKUP(CustomerCombinedCleaned[[#This Row],[ID]], Table2[ID],Table2[Complaint], "Not Found", 0 )</f>
        <v>0</v>
      </c>
      <c r="X13" s="16">
        <f>_xlfn.XLOOKUP(CustomerCombinedCleaned[[#This Row],[ID]], Table2[ID],Table2[Pilot], "Not Found", 0 )</f>
        <v>1</v>
      </c>
      <c r="Y13" s="16">
        <f>_xlfn.XLOOKUP(CustomerCombinedCleaned[[#This Row],[ID]], Table2[ID],Table2[MC1], "Not Found", 0 )</f>
        <v>1</v>
      </c>
      <c r="Z13" s="16">
        <f>_xlfn.XLOOKUP(CustomerCombinedCleaned[[#This Row],[ID]], Table2[ID],Table2[MC2], "Not Found", 0 )</f>
        <v>0</v>
      </c>
      <c r="AA13" s="16">
        <f>_xlfn.XLOOKUP(CustomerCombinedCleaned[[#This Row],[ID]], Table2[ID],Table2[MC3], "Not Found", 0 )</f>
        <v>0</v>
      </c>
      <c r="AB13" s="16">
        <f>_xlfn.XLOOKUP(CustomerCombinedCleaned[[#This Row],[ID]], Table2[ID],Table2[MC4], "Not Found", 0 )</f>
        <v>0</v>
      </c>
      <c r="AC13" s="16">
        <f>_xlfn.XLOOKUP(CustomerCombinedCleaned[[#This Row],[ID]], Table2[ID],Table2[MC5], "Not Found", 0 )</f>
        <v>1</v>
      </c>
    </row>
    <row r="14" spans="1:29" x14ac:dyDescent="0.3">
      <c r="A14" s="18">
        <v>1376</v>
      </c>
      <c r="B14" s="16">
        <v>174293</v>
      </c>
      <c r="C14" s="16">
        <v>0</v>
      </c>
      <c r="D14" s="16">
        <v>0</v>
      </c>
      <c r="E14" s="16">
        <v>27</v>
      </c>
      <c r="F14" s="17" t="s">
        <v>7</v>
      </c>
      <c r="G14" s="17" t="s">
        <v>11</v>
      </c>
      <c r="H14" s="3" t="s">
        <v>642</v>
      </c>
      <c r="I14" s="5" t="s">
        <v>438</v>
      </c>
      <c r="J14" s="16">
        <f>_xlfn.XLOOKUP(CustomerCombinedCleaned[[#This Row],[ID]], Table4[ID], Table4[Recency], "Not Found", 0)</f>
        <v>66</v>
      </c>
      <c r="K14" s="16">
        <f>_xlfn.XLOOKUP(CustomerCombinedCleaned[[#This Row],[ID]], Table4[ID], Table4[Teas], "Not Found", 0)</f>
        <v>880</v>
      </c>
      <c r="L14" s="16">
        <f>_xlfn.XLOOKUP(CustomerCombinedCleaned[[#This Row],[ID]], Table4[ID], Table4[Fruits], "Not Found", 0)</f>
        <v>357</v>
      </c>
      <c r="M14" s="16">
        <f>_xlfn.XLOOKUP(CustomerCombinedCleaned[[#This Row],[ID]], Table4[ID], Table4[Meats], "Not Found", 0)</f>
        <v>786</v>
      </c>
      <c r="N14" s="16">
        <f>_xlfn.XLOOKUP(CustomerCombinedCleaned[[#This Row],[ID]], Table4[ID], Table4[Seafood], "Not Found", 0)</f>
        <v>218</v>
      </c>
      <c r="O14" s="16">
        <f>_xlfn.XLOOKUP(CustomerCombinedCleaned[[#This Row],[ID]], Table4[ID], Table4[Sweets], "Not Found", 0)</f>
        <v>213</v>
      </c>
      <c r="P14" s="16">
        <f>_xlfn.XLOOKUP(CustomerCombinedCleaned[[#This Row],[ID]], Table4[ID], Table4[Premium], "Not Found", 0)</f>
        <v>190</v>
      </c>
      <c r="Q14" s="16">
        <f>_xlfn.XLOOKUP(CustomerCombinedCleaned[[#This Row],[ID]], Table4[ID], Table4[Regular], "Not Found", 0)</f>
        <v>2264</v>
      </c>
      <c r="R14" s="16">
        <f>_xlfn.XLOOKUP(CustomerCombinedCleaned[[#This Row],[ID]], Table4[ID], Table4[Deals], "Not Found", 0)</f>
        <v>1</v>
      </c>
      <c r="S14" s="16">
        <f>_xlfn.XLOOKUP(CustomerCombinedCleaned[[#This Row],[ID]], Table4[ID], Table4[Website], "Not Found", 0)</f>
        <v>5</v>
      </c>
      <c r="T14" s="16">
        <f>_xlfn.XLOOKUP(CustomerCombinedCleaned[[#This Row],[ID]], Table4[ID], Table4[Catalog], "Not Found", 0)</f>
        <v>4</v>
      </c>
      <c r="U14" s="16">
        <f>_xlfn.XLOOKUP(CustomerCombinedCleaned[[#This Row],[ID]], Table4[ID], Table4[Store], "Not Found", 0)</f>
        <v>6</v>
      </c>
      <c r="V14" s="16">
        <f>_xlfn.XLOOKUP(CustomerCombinedCleaned[[#This Row],[ID]], Table4[ID], Table4[Visits], "Not Found", 0)</f>
        <v>2</v>
      </c>
      <c r="W14" s="16">
        <f>_xlfn.XLOOKUP(CustomerCombinedCleaned[[#This Row],[ID]], Table2[ID],Table2[Complaint], "Not Found", 0 )</f>
        <v>0</v>
      </c>
      <c r="X14" s="16">
        <f>_xlfn.XLOOKUP(CustomerCombinedCleaned[[#This Row],[ID]], Table2[ID],Table2[Pilot], "Not Found", 0 )</f>
        <v>0</v>
      </c>
      <c r="Y14" s="16">
        <f>_xlfn.XLOOKUP(CustomerCombinedCleaned[[#This Row],[ID]], Table2[ID],Table2[MC1], "Not Found", 0 )</f>
        <v>0</v>
      </c>
      <c r="Z14" s="16">
        <f>_xlfn.XLOOKUP(CustomerCombinedCleaned[[#This Row],[ID]], Table2[ID],Table2[MC2], "Not Found", 0 )</f>
        <v>0</v>
      </c>
      <c r="AA14" s="16">
        <f>_xlfn.XLOOKUP(CustomerCombinedCleaned[[#This Row],[ID]], Table2[ID],Table2[MC3], "Not Found", 0 )</f>
        <v>0</v>
      </c>
      <c r="AB14" s="16">
        <f>_xlfn.XLOOKUP(CustomerCombinedCleaned[[#This Row],[ID]], Table2[ID],Table2[MC4], "Not Found", 0 )</f>
        <v>0</v>
      </c>
      <c r="AC14" s="16">
        <f>_xlfn.XLOOKUP(CustomerCombinedCleaned[[#This Row],[ID]], Table2[ID],Table2[MC5], "Not Found", 0 )</f>
        <v>0</v>
      </c>
    </row>
    <row r="15" spans="1:29" x14ac:dyDescent="0.3">
      <c r="A15" s="18">
        <v>1909</v>
      </c>
      <c r="B15" s="16">
        <v>174293</v>
      </c>
      <c r="C15" s="16">
        <v>0</v>
      </c>
      <c r="D15" s="16">
        <v>0</v>
      </c>
      <c r="E15" s="16">
        <v>27</v>
      </c>
      <c r="F15" s="17" t="s">
        <v>7</v>
      </c>
      <c r="G15" s="17" t="s">
        <v>11</v>
      </c>
      <c r="H15" s="3" t="s">
        <v>642</v>
      </c>
      <c r="I15" s="5" t="s">
        <v>437</v>
      </c>
      <c r="J15" s="16">
        <f>_xlfn.XLOOKUP(CustomerCombinedCleaned[[#This Row],[ID]], Table4[ID], Table4[Recency], "Not Found", 0)</f>
        <v>66</v>
      </c>
      <c r="K15" s="16">
        <f>_xlfn.XLOOKUP(CustomerCombinedCleaned[[#This Row],[ID]], Table4[ID], Table4[Teas], "Not Found", 0)</f>
        <v>880</v>
      </c>
      <c r="L15" s="16">
        <f>_xlfn.XLOOKUP(CustomerCombinedCleaned[[#This Row],[ID]], Table4[ID], Table4[Fruits], "Not Found", 0)</f>
        <v>357</v>
      </c>
      <c r="M15" s="16">
        <f>_xlfn.XLOOKUP(CustomerCombinedCleaned[[#This Row],[ID]], Table4[ID], Table4[Meats], "Not Found", 0)</f>
        <v>786</v>
      </c>
      <c r="N15" s="16">
        <f>_xlfn.XLOOKUP(CustomerCombinedCleaned[[#This Row],[ID]], Table4[ID], Table4[Seafood], "Not Found", 0)</f>
        <v>218</v>
      </c>
      <c r="O15" s="16">
        <f>_xlfn.XLOOKUP(CustomerCombinedCleaned[[#This Row],[ID]], Table4[ID], Table4[Sweets], "Not Found", 0)</f>
        <v>213</v>
      </c>
      <c r="P15" s="16">
        <f>_xlfn.XLOOKUP(CustomerCombinedCleaned[[#This Row],[ID]], Table4[ID], Table4[Premium], "Not Found", 0)</f>
        <v>190</v>
      </c>
      <c r="Q15" s="16">
        <f>_xlfn.XLOOKUP(CustomerCombinedCleaned[[#This Row],[ID]], Table4[ID], Table4[Regular], "Not Found", 0)</f>
        <v>2264</v>
      </c>
      <c r="R15" s="16">
        <f>_xlfn.XLOOKUP(CustomerCombinedCleaned[[#This Row],[ID]], Table4[ID], Table4[Deals], "Not Found", 0)</f>
        <v>1</v>
      </c>
      <c r="S15" s="16">
        <f>_xlfn.XLOOKUP(CustomerCombinedCleaned[[#This Row],[ID]], Table4[ID], Table4[Website], "Not Found", 0)</f>
        <v>5</v>
      </c>
      <c r="T15" s="16">
        <f>_xlfn.XLOOKUP(CustomerCombinedCleaned[[#This Row],[ID]], Table4[ID], Table4[Catalog], "Not Found", 0)</f>
        <v>4</v>
      </c>
      <c r="U15" s="16">
        <f>_xlfn.XLOOKUP(CustomerCombinedCleaned[[#This Row],[ID]], Table4[ID], Table4[Store], "Not Found", 0)</f>
        <v>6</v>
      </c>
      <c r="V15" s="16">
        <f>_xlfn.XLOOKUP(CustomerCombinedCleaned[[#This Row],[ID]], Table4[ID], Table4[Visits], "Not Found", 0)</f>
        <v>2</v>
      </c>
      <c r="W15" s="16">
        <f>_xlfn.XLOOKUP(CustomerCombinedCleaned[[#This Row],[ID]], Table2[ID],Table2[Complaint], "Not Found", 0 )</f>
        <v>0</v>
      </c>
      <c r="X15" s="16">
        <f>_xlfn.XLOOKUP(CustomerCombinedCleaned[[#This Row],[ID]], Table2[ID],Table2[Pilot], "Not Found", 0 )</f>
        <v>0</v>
      </c>
      <c r="Y15" s="16">
        <f>_xlfn.XLOOKUP(CustomerCombinedCleaned[[#This Row],[ID]], Table2[ID],Table2[MC1], "Not Found", 0 )</f>
        <v>0</v>
      </c>
      <c r="Z15" s="16">
        <f>_xlfn.XLOOKUP(CustomerCombinedCleaned[[#This Row],[ID]], Table2[ID],Table2[MC2], "Not Found", 0 )</f>
        <v>0</v>
      </c>
      <c r="AA15" s="16">
        <f>_xlfn.XLOOKUP(CustomerCombinedCleaned[[#This Row],[ID]], Table2[ID],Table2[MC3], "Not Found", 0 )</f>
        <v>0</v>
      </c>
      <c r="AB15" s="16">
        <f>_xlfn.XLOOKUP(CustomerCombinedCleaned[[#This Row],[ID]], Table2[ID],Table2[MC4], "Not Found", 0 )</f>
        <v>0</v>
      </c>
      <c r="AC15" s="16">
        <f>_xlfn.XLOOKUP(CustomerCombinedCleaned[[#This Row],[ID]], Table2[ID],Table2[MC5], "Not Found", 0 )</f>
        <v>0</v>
      </c>
    </row>
    <row r="16" spans="1:29" x14ac:dyDescent="0.3">
      <c r="A16" s="18">
        <v>1902</v>
      </c>
      <c r="B16" s="16">
        <v>172354</v>
      </c>
      <c r="C16" s="16">
        <v>0</v>
      </c>
      <c r="D16" s="16">
        <v>0</v>
      </c>
      <c r="E16" s="16">
        <v>27</v>
      </c>
      <c r="F16" s="17" t="s">
        <v>7</v>
      </c>
      <c r="G16" s="17" t="s">
        <v>11</v>
      </c>
      <c r="H16" s="3" t="s">
        <v>272</v>
      </c>
      <c r="I16" s="5" t="s">
        <v>436</v>
      </c>
      <c r="J16" s="16">
        <f>_xlfn.XLOOKUP(CustomerCombinedCleaned[[#This Row],[ID]], Table4[ID], Table4[Recency], "Not Found", 0)</f>
        <v>67</v>
      </c>
      <c r="K16" s="16">
        <f>_xlfn.XLOOKUP(CustomerCombinedCleaned[[#This Row],[ID]], Table4[ID], Table4[Teas], "Not Found", 0)</f>
        <v>750</v>
      </c>
      <c r="L16" s="16">
        <f>_xlfn.XLOOKUP(CustomerCombinedCleaned[[#This Row],[ID]], Table4[ID], Table4[Fruits], "Not Found", 0)</f>
        <v>62</v>
      </c>
      <c r="M16" s="16">
        <f>_xlfn.XLOOKUP(CustomerCombinedCleaned[[#This Row],[ID]], Table4[ID], Table4[Meats], "Not Found", 0)</f>
        <v>1127</v>
      </c>
      <c r="N16" s="16">
        <f>_xlfn.XLOOKUP(CustomerCombinedCleaned[[#This Row],[ID]], Table4[ID], Table4[Seafood], "Not Found", 0)</f>
        <v>524</v>
      </c>
      <c r="O16" s="16">
        <f>_xlfn.XLOOKUP(CustomerCombinedCleaned[[#This Row],[ID]], Table4[ID], Table4[Sweets], "Not Found", 0)</f>
        <v>29</v>
      </c>
      <c r="P16" s="16">
        <f>_xlfn.XLOOKUP(CustomerCombinedCleaned[[#This Row],[ID]], Table4[ID], Table4[Premium], "Not Found", 0)</f>
        <v>434</v>
      </c>
      <c r="Q16" s="16">
        <f>_xlfn.XLOOKUP(CustomerCombinedCleaned[[#This Row],[ID]], Table4[ID], Table4[Regular], "Not Found", 0)</f>
        <v>2058</v>
      </c>
      <c r="R16" s="16">
        <f>_xlfn.XLOOKUP(CustomerCombinedCleaned[[#This Row],[ID]], Table4[ID], Table4[Deals], "Not Found", 0)</f>
        <v>1</v>
      </c>
      <c r="S16" s="16">
        <f>_xlfn.XLOOKUP(CustomerCombinedCleaned[[#This Row],[ID]], Table4[ID], Table4[Website], "Not Found", 0)</f>
        <v>2</v>
      </c>
      <c r="T16" s="16">
        <f>_xlfn.XLOOKUP(CustomerCombinedCleaned[[#This Row],[ID]], Table4[ID], Table4[Catalog], "Not Found", 0)</f>
        <v>10</v>
      </c>
      <c r="U16" s="16">
        <f>_xlfn.XLOOKUP(CustomerCombinedCleaned[[#This Row],[ID]], Table4[ID], Table4[Store], "Not Found", 0)</f>
        <v>6</v>
      </c>
      <c r="V16" s="16">
        <f>_xlfn.XLOOKUP(CustomerCombinedCleaned[[#This Row],[ID]], Table4[ID], Table4[Visits], "Not Found", 0)</f>
        <v>1</v>
      </c>
      <c r="W16" s="16">
        <f>_xlfn.XLOOKUP(CustomerCombinedCleaned[[#This Row],[ID]], Table2[ID],Table2[Complaint], "Not Found", 0 )</f>
        <v>0</v>
      </c>
      <c r="X16" s="16">
        <f>_xlfn.XLOOKUP(CustomerCombinedCleaned[[#This Row],[ID]], Table2[ID],Table2[Pilot], "Not Found", 0 )</f>
        <v>0</v>
      </c>
      <c r="Y16" s="16">
        <f>_xlfn.XLOOKUP(CustomerCombinedCleaned[[#This Row],[ID]], Table2[ID],Table2[MC1], "Not Found", 0 )</f>
        <v>0</v>
      </c>
      <c r="Z16" s="16">
        <f>_xlfn.XLOOKUP(CustomerCombinedCleaned[[#This Row],[ID]], Table2[ID],Table2[MC2], "Not Found", 0 )</f>
        <v>0</v>
      </c>
      <c r="AA16" s="16">
        <f>_xlfn.XLOOKUP(CustomerCombinedCleaned[[#This Row],[ID]], Table2[ID],Table2[MC3], "Not Found", 0 )</f>
        <v>0</v>
      </c>
      <c r="AB16" s="16">
        <f>_xlfn.XLOOKUP(CustomerCombinedCleaned[[#This Row],[ID]], Table2[ID],Table2[MC4], "Not Found", 0 )</f>
        <v>0</v>
      </c>
      <c r="AC16" s="16">
        <f>_xlfn.XLOOKUP(CustomerCombinedCleaned[[#This Row],[ID]], Table2[ID],Table2[MC5], "Not Found", 0 )</f>
        <v>0</v>
      </c>
    </row>
    <row r="17" spans="1:29" x14ac:dyDescent="0.3">
      <c r="A17" s="18">
        <v>2331</v>
      </c>
      <c r="B17" s="16">
        <v>170515</v>
      </c>
      <c r="C17" s="16">
        <v>0</v>
      </c>
      <c r="D17" s="16">
        <v>0</v>
      </c>
      <c r="E17" s="16">
        <v>27</v>
      </c>
      <c r="F17" s="17" t="s">
        <v>7</v>
      </c>
      <c r="G17" s="17" t="s">
        <v>11</v>
      </c>
      <c r="H17" s="3" t="s">
        <v>161</v>
      </c>
      <c r="I17" s="5" t="s">
        <v>435</v>
      </c>
      <c r="J17" s="16">
        <f>_xlfn.XLOOKUP(CustomerCombinedCleaned[[#This Row],[ID]], Table4[ID], Table4[Recency], "Not Found", 0)</f>
        <v>12</v>
      </c>
      <c r="K17" s="16">
        <f>_xlfn.XLOOKUP(CustomerCombinedCleaned[[#This Row],[ID]], Table4[ID], Table4[Teas], "Not Found", 0)</f>
        <v>1016</v>
      </c>
      <c r="L17" s="16">
        <f>_xlfn.XLOOKUP(CustomerCombinedCleaned[[#This Row],[ID]], Table4[ID], Table4[Fruits], "Not Found", 0)</f>
        <v>0</v>
      </c>
      <c r="M17" s="16">
        <f>_xlfn.XLOOKUP(CustomerCombinedCleaned[[#This Row],[ID]], Table4[ID], Table4[Meats], "Not Found", 0)</f>
        <v>1093</v>
      </c>
      <c r="N17" s="16">
        <f>_xlfn.XLOOKUP(CustomerCombinedCleaned[[#This Row],[ID]], Table4[ID], Table4[Seafood], "Not Found", 0)</f>
        <v>440</v>
      </c>
      <c r="O17" s="16">
        <f>_xlfn.XLOOKUP(CustomerCombinedCleaned[[#This Row],[ID]], Table4[ID], Table4[Sweets], "Not Found", 0)</f>
        <v>155</v>
      </c>
      <c r="P17" s="16">
        <f>_xlfn.XLOOKUP(CustomerCombinedCleaned[[#This Row],[ID]], Table4[ID], Table4[Premium], "Not Found", 0)</f>
        <v>339</v>
      </c>
      <c r="Q17" s="16">
        <f>_xlfn.XLOOKUP(CustomerCombinedCleaned[[#This Row],[ID]], Table4[ID], Table4[Regular], "Not Found", 0)</f>
        <v>2365</v>
      </c>
      <c r="R17" s="16">
        <f>_xlfn.XLOOKUP(CustomerCombinedCleaned[[#This Row],[ID]], Table4[ID], Table4[Deals], "Not Found", 0)</f>
        <v>1</v>
      </c>
      <c r="S17" s="16">
        <f>_xlfn.XLOOKUP(CustomerCombinedCleaned[[#This Row],[ID]], Table4[ID], Table4[Website], "Not Found", 0)</f>
        <v>6</v>
      </c>
      <c r="T17" s="16">
        <f>_xlfn.XLOOKUP(CustomerCombinedCleaned[[#This Row],[ID]], Table4[ID], Table4[Catalog], "Not Found", 0)</f>
        <v>6</v>
      </c>
      <c r="U17" s="16">
        <f>_xlfn.XLOOKUP(CustomerCombinedCleaned[[#This Row],[ID]], Table4[ID], Table4[Store], "Not Found", 0)</f>
        <v>4</v>
      </c>
      <c r="V17" s="16">
        <f>_xlfn.XLOOKUP(CustomerCombinedCleaned[[#This Row],[ID]], Table4[ID], Table4[Visits], "Not Found", 0)</f>
        <v>2</v>
      </c>
      <c r="W17" s="16">
        <f>_xlfn.XLOOKUP(CustomerCombinedCleaned[[#This Row],[ID]], Table2[ID],Table2[Complaint], "Not Found", 0 )</f>
        <v>0</v>
      </c>
      <c r="X17" s="16">
        <f>_xlfn.XLOOKUP(CustomerCombinedCleaned[[#This Row],[ID]], Table2[ID],Table2[Pilot], "Not Found", 0 )</f>
        <v>1</v>
      </c>
      <c r="Y17" s="16">
        <f>_xlfn.XLOOKUP(CustomerCombinedCleaned[[#This Row],[ID]], Table2[ID],Table2[MC1], "Not Found", 0 )</f>
        <v>0</v>
      </c>
      <c r="Z17" s="16">
        <f>_xlfn.XLOOKUP(CustomerCombinedCleaned[[#This Row],[ID]], Table2[ID],Table2[MC2], "Not Found", 0 )</f>
        <v>0</v>
      </c>
      <c r="AA17" s="16">
        <f>_xlfn.XLOOKUP(CustomerCombinedCleaned[[#This Row],[ID]], Table2[ID],Table2[MC3], "Not Found", 0 )</f>
        <v>0</v>
      </c>
      <c r="AB17" s="16">
        <f>_xlfn.XLOOKUP(CustomerCombinedCleaned[[#This Row],[ID]], Table2[ID],Table2[MC4], "Not Found", 0 )</f>
        <v>0</v>
      </c>
      <c r="AC17" s="16">
        <f>_xlfn.XLOOKUP(CustomerCombinedCleaned[[#This Row],[ID]], Table2[ID],Table2[MC5], "Not Found", 0 )</f>
        <v>0</v>
      </c>
    </row>
    <row r="18" spans="1:29" x14ac:dyDescent="0.3">
      <c r="A18" s="18">
        <v>1130</v>
      </c>
      <c r="B18" s="16">
        <v>192859</v>
      </c>
      <c r="C18" s="16">
        <v>0</v>
      </c>
      <c r="D18" s="16">
        <v>0</v>
      </c>
      <c r="E18" s="16">
        <v>28</v>
      </c>
      <c r="F18" s="17" t="s">
        <v>7</v>
      </c>
      <c r="G18" s="17" t="s">
        <v>12</v>
      </c>
      <c r="H18" s="3" t="s">
        <v>375</v>
      </c>
      <c r="I18" s="5" t="s">
        <v>438</v>
      </c>
      <c r="J18" s="16">
        <f>_xlfn.XLOOKUP(CustomerCombinedCleaned[[#This Row],[ID]], Table4[ID], Table4[Recency], "Not Found", 0)</f>
        <v>46</v>
      </c>
      <c r="K18" s="16">
        <f>_xlfn.XLOOKUP(CustomerCombinedCleaned[[#This Row],[ID]], Table4[ID], Table4[Teas], "Not Found", 0)</f>
        <v>1998</v>
      </c>
      <c r="L18" s="16">
        <f>_xlfn.XLOOKUP(CustomerCombinedCleaned[[#This Row],[ID]], Table4[ID], Table4[Fruits], "Not Found", 0)</f>
        <v>127</v>
      </c>
      <c r="M18" s="16">
        <f>_xlfn.XLOOKUP(CustomerCombinedCleaned[[#This Row],[ID]], Table4[ID], Table4[Meats], "Not Found", 0)</f>
        <v>1913</v>
      </c>
      <c r="N18" s="16">
        <f>_xlfn.XLOOKUP(CustomerCombinedCleaned[[#This Row],[ID]], Table4[ID], Table4[Seafood], "Not Found", 0)</f>
        <v>108</v>
      </c>
      <c r="O18" s="16">
        <f>_xlfn.XLOOKUP(CustomerCombinedCleaned[[#This Row],[ID]], Table4[ID], Table4[Sweets], "Not Found", 0)</f>
        <v>127</v>
      </c>
      <c r="P18" s="16">
        <f>_xlfn.XLOOKUP(CustomerCombinedCleaned[[#This Row],[ID]], Table4[ID], Table4[Premium], "Not Found", 0)</f>
        <v>42</v>
      </c>
      <c r="Q18" s="16">
        <f>_xlfn.XLOOKUP(CustomerCombinedCleaned[[#This Row],[ID]], Table4[ID], Table4[Regular], "Not Found", 0)</f>
        <v>4231</v>
      </c>
      <c r="R18" s="16">
        <f>_xlfn.XLOOKUP(CustomerCombinedCleaned[[#This Row],[ID]], Table4[ID], Table4[Deals], "Not Found", 0)</f>
        <v>1</v>
      </c>
      <c r="S18" s="16">
        <f>_xlfn.XLOOKUP(CustomerCombinedCleaned[[#This Row],[ID]], Table4[ID], Table4[Website], "Not Found", 0)</f>
        <v>5</v>
      </c>
      <c r="T18" s="16">
        <f>_xlfn.XLOOKUP(CustomerCombinedCleaned[[#This Row],[ID]], Table4[ID], Table4[Catalog], "Not Found", 0)</f>
        <v>4</v>
      </c>
      <c r="U18" s="16">
        <f>_xlfn.XLOOKUP(CustomerCombinedCleaned[[#This Row],[ID]], Table4[ID], Table4[Store], "Not Found", 0)</f>
        <v>12</v>
      </c>
      <c r="V18" s="16">
        <f>_xlfn.XLOOKUP(CustomerCombinedCleaned[[#This Row],[ID]], Table4[ID], Table4[Visits], "Not Found", 0)</f>
        <v>2</v>
      </c>
      <c r="W18" s="16">
        <f>_xlfn.XLOOKUP(CustomerCombinedCleaned[[#This Row],[ID]], Table2[ID],Table2[Complaint], "Not Found", 0 )</f>
        <v>0</v>
      </c>
      <c r="X18" s="16">
        <f>_xlfn.XLOOKUP(CustomerCombinedCleaned[[#This Row],[ID]], Table2[ID],Table2[Pilot], "Not Found", 0 )</f>
        <v>0</v>
      </c>
      <c r="Y18" s="16">
        <f>_xlfn.XLOOKUP(CustomerCombinedCleaned[[#This Row],[ID]], Table2[ID],Table2[MC1], "Not Found", 0 )</f>
        <v>0</v>
      </c>
      <c r="Z18" s="16">
        <f>_xlfn.XLOOKUP(CustomerCombinedCleaned[[#This Row],[ID]], Table2[ID],Table2[MC2], "Not Found", 0 )</f>
        <v>0</v>
      </c>
      <c r="AA18" s="16">
        <f>_xlfn.XLOOKUP(CustomerCombinedCleaned[[#This Row],[ID]], Table2[ID],Table2[MC3], "Not Found", 0 )</f>
        <v>0</v>
      </c>
      <c r="AB18" s="16">
        <f>_xlfn.XLOOKUP(CustomerCombinedCleaned[[#This Row],[ID]], Table2[ID],Table2[MC4], "Not Found", 0 )</f>
        <v>0</v>
      </c>
      <c r="AC18" s="16">
        <f>_xlfn.XLOOKUP(CustomerCombinedCleaned[[#This Row],[ID]], Table2[ID],Table2[MC5], "Not Found", 0 )</f>
        <v>0</v>
      </c>
    </row>
    <row r="19" spans="1:29" x14ac:dyDescent="0.3">
      <c r="A19" s="18">
        <v>3055</v>
      </c>
      <c r="B19" s="16">
        <v>187000</v>
      </c>
      <c r="C19" s="16">
        <v>0</v>
      </c>
      <c r="D19" s="16">
        <v>0</v>
      </c>
      <c r="E19" s="16">
        <v>28</v>
      </c>
      <c r="F19" s="17" t="s">
        <v>6</v>
      </c>
      <c r="G19" s="17" t="s">
        <v>11</v>
      </c>
      <c r="H19" s="3" t="s">
        <v>344</v>
      </c>
      <c r="I19" s="5" t="s">
        <v>437</v>
      </c>
      <c r="J19" s="16">
        <f>_xlfn.XLOOKUP(CustomerCombinedCleaned[[#This Row],[ID]], Table4[ID], Table4[Recency], "Not Found", 0)</f>
        <v>61</v>
      </c>
      <c r="K19" s="16">
        <f>_xlfn.XLOOKUP(CustomerCombinedCleaned[[#This Row],[ID]], Table4[ID], Table4[Teas], "Not Found", 0)</f>
        <v>421</v>
      </c>
      <c r="L19" s="16">
        <f>_xlfn.XLOOKUP(CustomerCombinedCleaned[[#This Row],[ID]], Table4[ID], Table4[Fruits], "Not Found", 0)</f>
        <v>54</v>
      </c>
      <c r="M19" s="16">
        <f>_xlfn.XLOOKUP(CustomerCombinedCleaned[[#This Row],[ID]], Table4[ID], Table4[Meats], "Not Found", 0)</f>
        <v>1305</v>
      </c>
      <c r="N19" s="16">
        <f>_xlfn.XLOOKUP(CustomerCombinedCleaned[[#This Row],[ID]], Table4[ID], Table4[Seafood], "Not Found", 0)</f>
        <v>144</v>
      </c>
      <c r="O19" s="16">
        <f>_xlfn.XLOOKUP(CustomerCombinedCleaned[[#This Row],[ID]], Table4[ID], Table4[Sweets], "Not Found", 0)</f>
        <v>37</v>
      </c>
      <c r="P19" s="16">
        <f>_xlfn.XLOOKUP(CustomerCombinedCleaned[[#This Row],[ID]], Table4[ID], Table4[Premium], "Not Found", 0)</f>
        <v>105</v>
      </c>
      <c r="Q19" s="16">
        <f>_xlfn.XLOOKUP(CustomerCombinedCleaned[[#This Row],[ID]], Table4[ID], Table4[Regular], "Not Found", 0)</f>
        <v>1855</v>
      </c>
      <c r="R19" s="16">
        <f>_xlfn.XLOOKUP(CustomerCombinedCleaned[[#This Row],[ID]], Table4[ID], Table4[Deals], "Not Found", 0)</f>
        <v>1</v>
      </c>
      <c r="S19" s="16">
        <f>_xlfn.XLOOKUP(CustomerCombinedCleaned[[#This Row],[ID]], Table4[ID], Table4[Website], "Not Found", 0)</f>
        <v>4</v>
      </c>
      <c r="T19" s="16">
        <f>_xlfn.XLOOKUP(CustomerCombinedCleaned[[#This Row],[ID]], Table4[ID], Table4[Catalog], "Not Found", 0)</f>
        <v>6</v>
      </c>
      <c r="U19" s="16">
        <f>_xlfn.XLOOKUP(CustomerCombinedCleaned[[#This Row],[ID]], Table4[ID], Table4[Store], "Not Found", 0)</f>
        <v>7</v>
      </c>
      <c r="V19" s="16">
        <f>_xlfn.XLOOKUP(CustomerCombinedCleaned[[#This Row],[ID]], Table4[ID], Table4[Visits], "Not Found", 0)</f>
        <v>2</v>
      </c>
      <c r="W19" s="16">
        <f>_xlfn.XLOOKUP(CustomerCombinedCleaned[[#This Row],[ID]], Table2[ID],Table2[Complaint], "Not Found", 0 )</f>
        <v>0</v>
      </c>
      <c r="X19" s="16">
        <f>_xlfn.XLOOKUP(CustomerCombinedCleaned[[#This Row],[ID]], Table2[ID],Table2[Pilot], "Not Found", 0 )</f>
        <v>0</v>
      </c>
      <c r="Y19" s="16">
        <f>_xlfn.XLOOKUP(CustomerCombinedCleaned[[#This Row],[ID]], Table2[ID],Table2[MC1], "Not Found", 0 )</f>
        <v>0</v>
      </c>
      <c r="Z19" s="16">
        <f>_xlfn.XLOOKUP(CustomerCombinedCleaned[[#This Row],[ID]], Table2[ID],Table2[MC2], "Not Found", 0 )</f>
        <v>0</v>
      </c>
      <c r="AA19" s="16">
        <f>_xlfn.XLOOKUP(CustomerCombinedCleaned[[#This Row],[ID]], Table2[ID],Table2[MC3], "Not Found", 0 )</f>
        <v>0</v>
      </c>
      <c r="AB19" s="16">
        <f>_xlfn.XLOOKUP(CustomerCombinedCleaned[[#This Row],[ID]], Table2[ID],Table2[MC4], "Not Found", 0 )</f>
        <v>0</v>
      </c>
      <c r="AC19" s="16">
        <f>_xlfn.XLOOKUP(CustomerCombinedCleaned[[#This Row],[ID]], Table2[ID],Table2[MC5], "Not Found", 0 )</f>
        <v>0</v>
      </c>
    </row>
    <row r="20" spans="1:29" x14ac:dyDescent="0.3">
      <c r="A20" s="18">
        <v>2047</v>
      </c>
      <c r="B20" s="16">
        <v>183528</v>
      </c>
      <c r="C20" s="16">
        <v>0</v>
      </c>
      <c r="D20" s="16">
        <v>0</v>
      </c>
      <c r="E20" s="16">
        <v>28</v>
      </c>
      <c r="F20" s="17" t="s">
        <v>7</v>
      </c>
      <c r="G20" s="17" t="s">
        <v>11</v>
      </c>
      <c r="H20" s="3" t="s">
        <v>574</v>
      </c>
      <c r="I20" s="5" t="s">
        <v>437</v>
      </c>
      <c r="J20" s="16">
        <f>_xlfn.XLOOKUP(CustomerCombinedCleaned[[#This Row],[ID]], Table4[ID], Table4[Recency], "Not Found", 0)</f>
        <v>7</v>
      </c>
      <c r="K20" s="16">
        <f>_xlfn.XLOOKUP(CustomerCombinedCleaned[[#This Row],[ID]], Table4[ID], Table4[Teas], "Not Found", 0)</f>
        <v>1165</v>
      </c>
      <c r="L20" s="16">
        <f>_xlfn.XLOOKUP(CustomerCombinedCleaned[[#This Row],[ID]], Table4[ID], Table4[Fruits], "Not Found", 0)</f>
        <v>257</v>
      </c>
      <c r="M20" s="16">
        <f>_xlfn.XLOOKUP(CustomerCombinedCleaned[[#This Row],[ID]], Table4[ID], Table4[Meats], "Not Found", 0)</f>
        <v>1490</v>
      </c>
      <c r="N20" s="16">
        <f>_xlfn.XLOOKUP(CustomerCombinedCleaned[[#This Row],[ID]], Table4[ID], Table4[Seafood], "Not Found", 0)</f>
        <v>294</v>
      </c>
      <c r="O20" s="16">
        <f>_xlfn.XLOOKUP(CustomerCombinedCleaned[[#This Row],[ID]], Table4[ID], Table4[Sweets], "Not Found", 0)</f>
        <v>97</v>
      </c>
      <c r="P20" s="16">
        <f>_xlfn.XLOOKUP(CustomerCombinedCleaned[[#This Row],[ID]], Table4[ID], Table4[Premium], "Not Found", 0)</f>
        <v>323</v>
      </c>
      <c r="Q20" s="16">
        <f>_xlfn.XLOOKUP(CustomerCombinedCleaned[[#This Row],[ID]], Table4[ID], Table4[Regular], "Not Found", 0)</f>
        <v>2979</v>
      </c>
      <c r="R20" s="16">
        <f>_xlfn.XLOOKUP(CustomerCombinedCleaned[[#This Row],[ID]], Table4[ID], Table4[Deals], "Not Found", 0)</f>
        <v>1</v>
      </c>
      <c r="S20" s="16">
        <f>_xlfn.XLOOKUP(CustomerCombinedCleaned[[#This Row],[ID]], Table4[ID], Table4[Website], "Not Found", 0)</f>
        <v>4</v>
      </c>
      <c r="T20" s="16">
        <f>_xlfn.XLOOKUP(CustomerCombinedCleaned[[#This Row],[ID]], Table4[ID], Table4[Catalog], "Not Found", 0)</f>
        <v>10</v>
      </c>
      <c r="U20" s="16">
        <f>_xlfn.XLOOKUP(CustomerCombinedCleaned[[#This Row],[ID]], Table4[ID], Table4[Store], "Not Found", 0)</f>
        <v>8</v>
      </c>
      <c r="V20" s="16">
        <f>_xlfn.XLOOKUP(CustomerCombinedCleaned[[#This Row],[ID]], Table4[ID], Table4[Visits], "Not Found", 0)</f>
        <v>1</v>
      </c>
      <c r="W20" s="16">
        <f>_xlfn.XLOOKUP(CustomerCombinedCleaned[[#This Row],[ID]], Table2[ID],Table2[Complaint], "Not Found", 0 )</f>
        <v>0</v>
      </c>
      <c r="X20" s="16">
        <f>_xlfn.XLOOKUP(CustomerCombinedCleaned[[#This Row],[ID]], Table2[ID],Table2[Pilot], "Not Found", 0 )</f>
        <v>1</v>
      </c>
      <c r="Y20" s="16">
        <f>_xlfn.XLOOKUP(CustomerCombinedCleaned[[#This Row],[ID]], Table2[ID],Table2[MC1], "Not Found", 0 )</f>
        <v>1</v>
      </c>
      <c r="Z20" s="16">
        <f>_xlfn.XLOOKUP(CustomerCombinedCleaned[[#This Row],[ID]], Table2[ID],Table2[MC2], "Not Found", 0 )</f>
        <v>0</v>
      </c>
      <c r="AA20" s="16">
        <f>_xlfn.XLOOKUP(CustomerCombinedCleaned[[#This Row],[ID]], Table2[ID],Table2[MC3], "Not Found", 0 )</f>
        <v>1</v>
      </c>
      <c r="AB20" s="16">
        <f>_xlfn.XLOOKUP(CustomerCombinedCleaned[[#This Row],[ID]], Table2[ID],Table2[MC4], "Not Found", 0 )</f>
        <v>0</v>
      </c>
      <c r="AC20" s="16">
        <f>_xlfn.XLOOKUP(CustomerCombinedCleaned[[#This Row],[ID]], Table2[ID],Table2[MC5], "Not Found", 0 )</f>
        <v>0</v>
      </c>
    </row>
    <row r="21" spans="1:29" x14ac:dyDescent="0.3">
      <c r="A21" s="18">
        <v>1892</v>
      </c>
      <c r="B21" s="16">
        <v>175114</v>
      </c>
      <c r="C21" s="16">
        <v>0</v>
      </c>
      <c r="D21" s="16">
        <v>0</v>
      </c>
      <c r="E21" s="16">
        <v>28</v>
      </c>
      <c r="F21" s="17" t="s">
        <v>8</v>
      </c>
      <c r="G21" s="17" t="s">
        <v>11</v>
      </c>
      <c r="H21" s="3" t="s">
        <v>156</v>
      </c>
      <c r="I21" s="5" t="s">
        <v>438</v>
      </c>
      <c r="J21" s="16">
        <f>_xlfn.XLOOKUP(CustomerCombinedCleaned[[#This Row],[ID]], Table4[ID], Table4[Recency], "Not Found", 0)</f>
        <v>40</v>
      </c>
      <c r="K21" s="16">
        <f>_xlfn.XLOOKUP(CustomerCombinedCleaned[[#This Row],[ID]], Table4[ID], Table4[Teas], "Not Found", 0)</f>
        <v>1331</v>
      </c>
      <c r="L21" s="16">
        <f>_xlfn.XLOOKUP(CustomerCombinedCleaned[[#This Row],[ID]], Table4[ID], Table4[Fruits], "Not Found", 0)</f>
        <v>28</v>
      </c>
      <c r="M21" s="16">
        <f>_xlfn.XLOOKUP(CustomerCombinedCleaned[[#This Row],[ID]], Table4[ID], Table4[Meats], "Not Found", 0)</f>
        <v>1219</v>
      </c>
      <c r="N21" s="16">
        <f>_xlfn.XLOOKUP(CustomerCombinedCleaned[[#This Row],[ID]], Table4[ID], Table4[Seafood], "Not Found", 0)</f>
        <v>147</v>
      </c>
      <c r="O21" s="16">
        <f>_xlfn.XLOOKUP(CustomerCombinedCleaned[[#This Row],[ID]], Table4[ID], Table4[Sweets], "Not Found", 0)</f>
        <v>140</v>
      </c>
      <c r="P21" s="16">
        <f>_xlfn.XLOOKUP(CustomerCombinedCleaned[[#This Row],[ID]], Table4[ID], Table4[Premium], "Not Found", 0)</f>
        <v>56</v>
      </c>
      <c r="Q21" s="16">
        <f>_xlfn.XLOOKUP(CustomerCombinedCleaned[[#This Row],[ID]], Table4[ID], Table4[Regular], "Not Found", 0)</f>
        <v>2809</v>
      </c>
      <c r="R21" s="16">
        <f>_xlfn.XLOOKUP(CustomerCombinedCleaned[[#This Row],[ID]], Table4[ID], Table4[Deals], "Not Found", 0)</f>
        <v>1</v>
      </c>
      <c r="S21" s="16">
        <f>_xlfn.XLOOKUP(CustomerCombinedCleaned[[#This Row],[ID]], Table4[ID], Table4[Website], "Not Found", 0)</f>
        <v>3</v>
      </c>
      <c r="T21" s="16">
        <f>_xlfn.XLOOKUP(CustomerCombinedCleaned[[#This Row],[ID]], Table4[ID], Table4[Catalog], "Not Found", 0)</f>
        <v>10</v>
      </c>
      <c r="U21" s="16">
        <f>_xlfn.XLOOKUP(CustomerCombinedCleaned[[#This Row],[ID]], Table4[ID], Table4[Store], "Not Found", 0)</f>
        <v>5</v>
      </c>
      <c r="V21" s="16">
        <f>_xlfn.XLOOKUP(CustomerCombinedCleaned[[#This Row],[ID]], Table4[ID], Table4[Visits], "Not Found", 0)</f>
        <v>2</v>
      </c>
      <c r="W21" s="16">
        <f>_xlfn.XLOOKUP(CustomerCombinedCleaned[[#This Row],[ID]], Table2[ID],Table2[Complaint], "Not Found", 0 )</f>
        <v>0</v>
      </c>
      <c r="X21" s="16">
        <f>_xlfn.XLOOKUP(CustomerCombinedCleaned[[#This Row],[ID]], Table2[ID],Table2[Pilot], "Not Found", 0 )</f>
        <v>0</v>
      </c>
      <c r="Y21" s="16">
        <f>_xlfn.XLOOKUP(CustomerCombinedCleaned[[#This Row],[ID]], Table2[ID],Table2[MC1], "Not Found", 0 )</f>
        <v>0</v>
      </c>
      <c r="Z21" s="16">
        <f>_xlfn.XLOOKUP(CustomerCombinedCleaned[[#This Row],[ID]], Table2[ID],Table2[MC2], "Not Found", 0 )</f>
        <v>0</v>
      </c>
      <c r="AA21" s="16">
        <f>_xlfn.XLOOKUP(CustomerCombinedCleaned[[#This Row],[ID]], Table2[ID],Table2[MC3], "Not Found", 0 )</f>
        <v>0</v>
      </c>
      <c r="AB21" s="16">
        <f>_xlfn.XLOOKUP(CustomerCombinedCleaned[[#This Row],[ID]], Table2[ID],Table2[MC4], "Not Found", 0 )</f>
        <v>0</v>
      </c>
      <c r="AC21" s="16">
        <f>_xlfn.XLOOKUP(CustomerCombinedCleaned[[#This Row],[ID]], Table2[ID],Table2[MC5], "Not Found", 0 )</f>
        <v>0</v>
      </c>
    </row>
    <row r="22" spans="1:29" x14ac:dyDescent="0.3">
      <c r="A22" s="18">
        <v>2788</v>
      </c>
      <c r="B22" s="16">
        <v>163207</v>
      </c>
      <c r="C22" s="16">
        <v>0</v>
      </c>
      <c r="D22" s="16">
        <v>0</v>
      </c>
      <c r="E22" s="16">
        <v>28</v>
      </c>
      <c r="F22" s="17" t="s">
        <v>8</v>
      </c>
      <c r="G22" s="17" t="s">
        <v>11</v>
      </c>
      <c r="H22" s="3" t="s">
        <v>321</v>
      </c>
      <c r="I22" s="5" t="s">
        <v>439</v>
      </c>
      <c r="J22" s="16">
        <f>_xlfn.XLOOKUP(CustomerCombinedCleaned[[#This Row],[ID]], Table4[ID], Table4[Recency], "Not Found", 0)</f>
        <v>68</v>
      </c>
      <c r="K22" s="16">
        <f>_xlfn.XLOOKUP(CustomerCombinedCleaned[[#This Row],[ID]], Table4[ID], Table4[Teas], "Not Found", 0)</f>
        <v>1131</v>
      </c>
      <c r="L22" s="16">
        <f>_xlfn.XLOOKUP(CustomerCombinedCleaned[[#This Row],[ID]], Table4[ID], Table4[Fruits], "Not Found", 0)</f>
        <v>436</v>
      </c>
      <c r="M22" s="16">
        <f>_xlfn.XLOOKUP(CustomerCombinedCleaned[[#This Row],[ID]], Table4[ID], Table4[Meats], "Not Found", 0)</f>
        <v>1459</v>
      </c>
      <c r="N22" s="16">
        <f>_xlfn.XLOOKUP(CustomerCombinedCleaned[[#This Row],[ID]], Table4[ID], Table4[Seafood], "Not Found", 0)</f>
        <v>235</v>
      </c>
      <c r="O22" s="16">
        <f>_xlfn.XLOOKUP(CustomerCombinedCleaned[[#This Row],[ID]], Table4[ID], Table4[Sweets], "Not Found", 0)</f>
        <v>436</v>
      </c>
      <c r="P22" s="16">
        <f>_xlfn.XLOOKUP(CustomerCombinedCleaned[[#This Row],[ID]], Table4[ID], Table4[Premium], "Not Found", 0)</f>
        <v>181</v>
      </c>
      <c r="Q22" s="16">
        <f>_xlfn.XLOOKUP(CustomerCombinedCleaned[[#This Row],[ID]], Table4[ID], Table4[Regular], "Not Found", 0)</f>
        <v>3517</v>
      </c>
      <c r="R22" s="16">
        <f>_xlfn.XLOOKUP(CustomerCombinedCleaned[[#This Row],[ID]], Table4[ID], Table4[Deals], "Not Found", 0)</f>
        <v>1</v>
      </c>
      <c r="S22" s="16">
        <f>_xlfn.XLOOKUP(CustomerCombinedCleaned[[#This Row],[ID]], Table4[ID], Table4[Website], "Not Found", 0)</f>
        <v>2</v>
      </c>
      <c r="T22" s="16">
        <f>_xlfn.XLOOKUP(CustomerCombinedCleaned[[#This Row],[ID]], Table4[ID], Table4[Catalog], "Not Found", 0)</f>
        <v>3</v>
      </c>
      <c r="U22" s="16">
        <f>_xlfn.XLOOKUP(CustomerCombinedCleaned[[#This Row],[ID]], Table4[ID], Table4[Store], "Not Found", 0)</f>
        <v>6</v>
      </c>
      <c r="V22" s="16">
        <f>_xlfn.XLOOKUP(CustomerCombinedCleaned[[#This Row],[ID]], Table4[ID], Table4[Visits], "Not Found", 0)</f>
        <v>7</v>
      </c>
      <c r="W22" s="16">
        <f>_xlfn.XLOOKUP(CustomerCombinedCleaned[[#This Row],[ID]], Table2[ID],Table2[Complaint], "Not Found", 0 )</f>
        <v>0</v>
      </c>
      <c r="X22" s="16">
        <f>_xlfn.XLOOKUP(CustomerCombinedCleaned[[#This Row],[ID]], Table2[ID],Table2[Pilot], "Not Found", 0 )</f>
        <v>0</v>
      </c>
      <c r="Y22" s="16">
        <f>_xlfn.XLOOKUP(CustomerCombinedCleaned[[#This Row],[ID]], Table2[ID],Table2[MC1], "Not Found", 0 )</f>
        <v>1</v>
      </c>
      <c r="Z22" s="16">
        <f>_xlfn.XLOOKUP(CustomerCombinedCleaned[[#This Row],[ID]], Table2[ID],Table2[MC2], "Not Found", 0 )</f>
        <v>0</v>
      </c>
      <c r="AA22" s="16">
        <f>_xlfn.XLOOKUP(CustomerCombinedCleaned[[#This Row],[ID]], Table2[ID],Table2[MC3], "Not Found", 0 )</f>
        <v>0</v>
      </c>
      <c r="AB22" s="16">
        <f>_xlfn.XLOOKUP(CustomerCombinedCleaned[[#This Row],[ID]], Table2[ID],Table2[MC4], "Not Found", 0 )</f>
        <v>0</v>
      </c>
      <c r="AC22" s="16">
        <f>_xlfn.XLOOKUP(CustomerCombinedCleaned[[#This Row],[ID]], Table2[ID],Table2[MC5], "Not Found", 0 )</f>
        <v>0</v>
      </c>
    </row>
    <row r="23" spans="1:29" x14ac:dyDescent="0.3">
      <c r="A23" s="18">
        <v>1812</v>
      </c>
      <c r="B23" s="16">
        <v>148789</v>
      </c>
      <c r="C23" s="16">
        <v>0</v>
      </c>
      <c r="D23" s="16">
        <v>0</v>
      </c>
      <c r="E23" s="16">
        <v>28</v>
      </c>
      <c r="F23" s="17" t="s">
        <v>7</v>
      </c>
      <c r="G23" s="17" t="s">
        <v>11</v>
      </c>
      <c r="H23" s="3" t="s">
        <v>399</v>
      </c>
      <c r="I23" s="5" t="s">
        <v>436</v>
      </c>
      <c r="J23" s="16">
        <f>_xlfn.XLOOKUP(CustomerCombinedCleaned[[#This Row],[ID]], Table4[ID], Table4[Recency], "Not Found", 0)</f>
        <v>94</v>
      </c>
      <c r="K23" s="16">
        <f>_xlfn.XLOOKUP(CustomerCombinedCleaned[[#This Row],[ID]], Table4[ID], Table4[Teas], "Not Found", 0)</f>
        <v>1070</v>
      </c>
      <c r="L23" s="16">
        <f>_xlfn.XLOOKUP(CustomerCombinedCleaned[[#This Row],[ID]], Table4[ID], Table4[Fruits], "Not Found", 0)</f>
        <v>49</v>
      </c>
      <c r="M23" s="16">
        <f>_xlfn.XLOOKUP(CustomerCombinedCleaned[[#This Row],[ID]], Table4[ID], Table4[Meats], "Not Found", 0)</f>
        <v>476</v>
      </c>
      <c r="N23" s="16">
        <f>_xlfn.XLOOKUP(CustomerCombinedCleaned[[#This Row],[ID]], Table4[ID], Table4[Seafood], "Not Found", 0)</f>
        <v>21</v>
      </c>
      <c r="O23" s="16">
        <f>_xlfn.XLOOKUP(CustomerCombinedCleaned[[#This Row],[ID]], Table4[ID], Table4[Sweets], "Not Found", 0)</f>
        <v>15</v>
      </c>
      <c r="P23" s="16">
        <f>_xlfn.XLOOKUP(CustomerCombinedCleaned[[#This Row],[ID]], Table4[ID], Table4[Premium], "Not Found", 0)</f>
        <v>442</v>
      </c>
      <c r="Q23" s="16">
        <f>_xlfn.XLOOKUP(CustomerCombinedCleaned[[#This Row],[ID]], Table4[ID], Table4[Regular], "Not Found", 0)</f>
        <v>1189</v>
      </c>
      <c r="R23" s="16">
        <f>_xlfn.XLOOKUP(CustomerCombinedCleaned[[#This Row],[ID]], Table4[ID], Table4[Deals], "Not Found", 0)</f>
        <v>1</v>
      </c>
      <c r="S23" s="16">
        <f>_xlfn.XLOOKUP(CustomerCombinedCleaned[[#This Row],[ID]], Table4[ID], Table4[Website], "Not Found", 0)</f>
        <v>6</v>
      </c>
      <c r="T23" s="16">
        <f>_xlfn.XLOOKUP(CustomerCombinedCleaned[[#This Row],[ID]], Table4[ID], Table4[Catalog], "Not Found", 0)</f>
        <v>4</v>
      </c>
      <c r="U23" s="16">
        <f>_xlfn.XLOOKUP(CustomerCombinedCleaned[[#This Row],[ID]], Table4[ID], Table4[Store], "Not Found", 0)</f>
        <v>7</v>
      </c>
      <c r="V23" s="16">
        <f>_xlfn.XLOOKUP(CustomerCombinedCleaned[[#This Row],[ID]], Table4[ID], Table4[Visits], "Not Found", 0)</f>
        <v>6</v>
      </c>
      <c r="W23" s="16">
        <f>_xlfn.XLOOKUP(CustomerCombinedCleaned[[#This Row],[ID]], Table2[ID],Table2[Complaint], "Not Found", 0 )</f>
        <v>0</v>
      </c>
      <c r="X23" s="16">
        <f>_xlfn.XLOOKUP(CustomerCombinedCleaned[[#This Row],[ID]], Table2[ID],Table2[Pilot], "Not Found", 0 )</f>
        <v>0</v>
      </c>
      <c r="Y23" s="16">
        <f>_xlfn.XLOOKUP(CustomerCombinedCleaned[[#This Row],[ID]], Table2[ID],Table2[MC1], "Not Found", 0 )</f>
        <v>0</v>
      </c>
      <c r="Z23" s="16">
        <f>_xlfn.XLOOKUP(CustomerCombinedCleaned[[#This Row],[ID]], Table2[ID],Table2[MC2], "Not Found", 0 )</f>
        <v>0</v>
      </c>
      <c r="AA23" s="16">
        <f>_xlfn.XLOOKUP(CustomerCombinedCleaned[[#This Row],[ID]], Table2[ID],Table2[MC3], "Not Found", 0 )</f>
        <v>0</v>
      </c>
      <c r="AB23" s="16">
        <f>_xlfn.XLOOKUP(CustomerCombinedCleaned[[#This Row],[ID]], Table2[ID],Table2[MC4], "Not Found", 0 )</f>
        <v>0</v>
      </c>
      <c r="AC23" s="16">
        <f>_xlfn.XLOOKUP(CustomerCombinedCleaned[[#This Row],[ID]], Table2[ID],Table2[MC5], "Not Found", 0 )</f>
        <v>0</v>
      </c>
    </row>
    <row r="24" spans="1:29" x14ac:dyDescent="0.3">
      <c r="A24" s="18">
        <v>1296</v>
      </c>
      <c r="B24" s="16">
        <v>142670</v>
      </c>
      <c r="C24" s="16">
        <v>0</v>
      </c>
      <c r="D24" s="16">
        <v>0</v>
      </c>
      <c r="E24" s="16">
        <v>28</v>
      </c>
      <c r="F24" s="17" t="s">
        <v>8</v>
      </c>
      <c r="G24" s="17" t="s">
        <v>12</v>
      </c>
      <c r="H24" s="3" t="s">
        <v>735</v>
      </c>
      <c r="I24" s="5" t="s">
        <v>436</v>
      </c>
      <c r="J24" s="16">
        <f>_xlfn.XLOOKUP(CustomerCombinedCleaned[[#This Row],[ID]], Table4[ID], Table4[Recency], "Not Found", 0)</f>
        <v>12</v>
      </c>
      <c r="K24" s="16">
        <f>_xlfn.XLOOKUP(CustomerCombinedCleaned[[#This Row],[ID]], Table4[ID], Table4[Teas], "Not Found", 0)</f>
        <v>515</v>
      </c>
      <c r="L24" s="16">
        <f>_xlfn.XLOOKUP(CustomerCombinedCleaned[[#This Row],[ID]], Table4[ID], Table4[Fruits], "Not Found", 0)</f>
        <v>7</v>
      </c>
      <c r="M24" s="16">
        <f>_xlfn.XLOOKUP(CustomerCombinedCleaned[[#This Row],[ID]], Table4[ID], Table4[Meats], "Not Found", 0)</f>
        <v>154</v>
      </c>
      <c r="N24" s="16">
        <f>_xlfn.XLOOKUP(CustomerCombinedCleaned[[#This Row],[ID]], Table4[ID], Table4[Seafood], "Not Found", 0)</f>
        <v>67</v>
      </c>
      <c r="O24" s="16">
        <f>_xlfn.XLOOKUP(CustomerCombinedCleaned[[#This Row],[ID]], Table4[ID], Table4[Sweets], "Not Found", 0)</f>
        <v>13</v>
      </c>
      <c r="P24" s="16">
        <f>_xlfn.XLOOKUP(CustomerCombinedCleaned[[#This Row],[ID]], Table4[ID], Table4[Premium], "Not Found", 0)</f>
        <v>50</v>
      </c>
      <c r="Q24" s="16">
        <f>_xlfn.XLOOKUP(CustomerCombinedCleaned[[#This Row],[ID]], Table4[ID], Table4[Regular], "Not Found", 0)</f>
        <v>705</v>
      </c>
      <c r="R24" s="16">
        <f>_xlfn.XLOOKUP(CustomerCombinedCleaned[[#This Row],[ID]], Table4[ID], Table4[Deals], "Not Found", 0)</f>
        <v>1</v>
      </c>
      <c r="S24" s="16">
        <f>_xlfn.XLOOKUP(CustomerCombinedCleaned[[#This Row],[ID]], Table4[ID], Table4[Website], "Not Found", 0)</f>
        <v>4</v>
      </c>
      <c r="T24" s="16">
        <f>_xlfn.XLOOKUP(CustomerCombinedCleaned[[#This Row],[ID]], Table4[ID], Table4[Catalog], "Not Found", 0)</f>
        <v>2</v>
      </c>
      <c r="U24" s="16">
        <f>_xlfn.XLOOKUP(CustomerCombinedCleaned[[#This Row],[ID]], Table4[ID], Table4[Store], "Not Found", 0)</f>
        <v>4</v>
      </c>
      <c r="V24" s="16">
        <f>_xlfn.XLOOKUP(CustomerCombinedCleaned[[#This Row],[ID]], Table4[ID], Table4[Visits], "Not Found", 0)</f>
        <v>4</v>
      </c>
      <c r="W24" s="16">
        <f>_xlfn.XLOOKUP(CustomerCombinedCleaned[[#This Row],[ID]], Table2[ID],Table2[Complaint], "Not Found", 0 )</f>
        <v>0</v>
      </c>
      <c r="X24" s="16">
        <f>_xlfn.XLOOKUP(CustomerCombinedCleaned[[#This Row],[ID]], Table2[ID],Table2[Pilot], "Not Found", 0 )</f>
        <v>0</v>
      </c>
      <c r="Y24" s="16">
        <f>_xlfn.XLOOKUP(CustomerCombinedCleaned[[#This Row],[ID]], Table2[ID],Table2[MC1], "Not Found", 0 )</f>
        <v>0</v>
      </c>
      <c r="Z24" s="16">
        <f>_xlfn.XLOOKUP(CustomerCombinedCleaned[[#This Row],[ID]], Table2[ID],Table2[MC2], "Not Found", 0 )</f>
        <v>0</v>
      </c>
      <c r="AA24" s="16">
        <f>_xlfn.XLOOKUP(CustomerCombinedCleaned[[#This Row],[ID]], Table2[ID],Table2[MC3], "Not Found", 0 )</f>
        <v>0</v>
      </c>
      <c r="AB24" s="16">
        <f>_xlfn.XLOOKUP(CustomerCombinedCleaned[[#This Row],[ID]], Table2[ID],Table2[MC4], "Not Found", 0 )</f>
        <v>0</v>
      </c>
      <c r="AC24" s="16">
        <f>_xlfn.XLOOKUP(CustomerCombinedCleaned[[#This Row],[ID]], Table2[ID],Table2[MC5], "Not Found", 0 )</f>
        <v>0</v>
      </c>
    </row>
    <row r="25" spans="1:29" x14ac:dyDescent="0.3">
      <c r="A25" s="18">
        <v>1492</v>
      </c>
      <c r="B25" s="16">
        <v>134935</v>
      </c>
      <c r="C25" s="16">
        <v>0</v>
      </c>
      <c r="D25" s="16">
        <v>0</v>
      </c>
      <c r="E25" s="16">
        <v>28</v>
      </c>
      <c r="F25" s="17" t="s">
        <v>6</v>
      </c>
      <c r="G25" s="17" t="s">
        <v>11</v>
      </c>
      <c r="H25" s="3" t="s">
        <v>232</v>
      </c>
      <c r="I25" s="5" t="s">
        <v>439</v>
      </c>
      <c r="J25" s="16">
        <f>_xlfn.XLOOKUP(CustomerCombinedCleaned[[#This Row],[ID]], Table4[ID], Table4[Recency], "Not Found", 0)</f>
        <v>71</v>
      </c>
      <c r="K25" s="16">
        <f>_xlfn.XLOOKUP(CustomerCombinedCleaned[[#This Row],[ID]], Table4[ID], Table4[Teas], "Not Found", 0)</f>
        <v>131</v>
      </c>
      <c r="L25" s="16">
        <f>_xlfn.XLOOKUP(CustomerCombinedCleaned[[#This Row],[ID]], Table4[ID], Table4[Fruits], "Not Found", 0)</f>
        <v>15</v>
      </c>
      <c r="M25" s="16">
        <f>_xlfn.XLOOKUP(CustomerCombinedCleaned[[#This Row],[ID]], Table4[ID], Table4[Meats], "Not Found", 0)</f>
        <v>255</v>
      </c>
      <c r="N25" s="16">
        <f>_xlfn.XLOOKUP(CustomerCombinedCleaned[[#This Row],[ID]], Table4[ID], Table4[Seafood], "Not Found", 0)</f>
        <v>12</v>
      </c>
      <c r="O25" s="16">
        <f>_xlfn.XLOOKUP(CustomerCombinedCleaned[[#This Row],[ID]], Table4[ID], Table4[Sweets], "Not Found", 0)</f>
        <v>39</v>
      </c>
      <c r="P25" s="16">
        <f>_xlfn.XLOOKUP(CustomerCombinedCleaned[[#This Row],[ID]], Table4[ID], Table4[Premium], "Not Found", 0)</f>
        <v>77</v>
      </c>
      <c r="Q25" s="16">
        <f>_xlfn.XLOOKUP(CustomerCombinedCleaned[[#This Row],[ID]], Table4[ID], Table4[Regular], "Not Found", 0)</f>
        <v>375</v>
      </c>
      <c r="R25" s="16">
        <f>_xlfn.XLOOKUP(CustomerCombinedCleaned[[#This Row],[ID]], Table4[ID], Table4[Deals], "Not Found", 0)</f>
        <v>1</v>
      </c>
      <c r="S25" s="16">
        <f>_xlfn.XLOOKUP(CustomerCombinedCleaned[[#This Row],[ID]], Table4[ID], Table4[Website], "Not Found", 0)</f>
        <v>2</v>
      </c>
      <c r="T25" s="16">
        <f>_xlfn.XLOOKUP(CustomerCombinedCleaned[[#This Row],[ID]], Table4[ID], Table4[Catalog], "Not Found", 0)</f>
        <v>1</v>
      </c>
      <c r="U25" s="16">
        <f>_xlfn.XLOOKUP(CustomerCombinedCleaned[[#This Row],[ID]], Table4[ID], Table4[Store], "Not Found", 0)</f>
        <v>4</v>
      </c>
      <c r="V25" s="16">
        <f>_xlfn.XLOOKUP(CustomerCombinedCleaned[[#This Row],[ID]], Table4[ID], Table4[Visits], "Not Found", 0)</f>
        <v>7</v>
      </c>
      <c r="W25" s="16">
        <f>_xlfn.XLOOKUP(CustomerCombinedCleaned[[#This Row],[ID]], Table2[ID],Table2[Complaint], "Not Found", 0 )</f>
        <v>0</v>
      </c>
      <c r="X25" s="16">
        <f>_xlfn.XLOOKUP(CustomerCombinedCleaned[[#This Row],[ID]], Table2[ID],Table2[Pilot], "Not Found", 0 )</f>
        <v>0</v>
      </c>
      <c r="Y25" s="16">
        <f>_xlfn.XLOOKUP(CustomerCombinedCleaned[[#This Row],[ID]], Table2[ID],Table2[MC1], "Not Found", 0 )</f>
        <v>0</v>
      </c>
      <c r="Z25" s="16">
        <f>_xlfn.XLOOKUP(CustomerCombinedCleaned[[#This Row],[ID]], Table2[ID],Table2[MC2], "Not Found", 0 )</f>
        <v>0</v>
      </c>
      <c r="AA25" s="16">
        <f>_xlfn.XLOOKUP(CustomerCombinedCleaned[[#This Row],[ID]], Table2[ID],Table2[MC3], "Not Found", 0 )</f>
        <v>0</v>
      </c>
      <c r="AB25" s="16">
        <f>_xlfn.XLOOKUP(CustomerCombinedCleaned[[#This Row],[ID]], Table2[ID],Table2[MC4], "Not Found", 0 )</f>
        <v>0</v>
      </c>
      <c r="AC25" s="16">
        <f>_xlfn.XLOOKUP(CustomerCombinedCleaned[[#This Row],[ID]], Table2[ID],Table2[MC5], "Not Found", 0 )</f>
        <v>0</v>
      </c>
    </row>
    <row r="26" spans="1:29" x14ac:dyDescent="0.3">
      <c r="A26" s="18">
        <v>2554</v>
      </c>
      <c r="B26" s="16">
        <v>134935</v>
      </c>
      <c r="C26" s="16">
        <v>0</v>
      </c>
      <c r="D26" s="16">
        <v>0</v>
      </c>
      <c r="E26" s="16">
        <v>28</v>
      </c>
      <c r="F26" s="17" t="s">
        <v>6</v>
      </c>
      <c r="G26" s="17" t="s">
        <v>11</v>
      </c>
      <c r="H26" s="3" t="s">
        <v>232</v>
      </c>
      <c r="I26" s="5" t="s">
        <v>439</v>
      </c>
      <c r="J26" s="16">
        <f>_xlfn.XLOOKUP(CustomerCombinedCleaned[[#This Row],[ID]], Table4[ID], Table4[Recency], "Not Found", 0)</f>
        <v>71</v>
      </c>
      <c r="K26" s="16">
        <f>_xlfn.XLOOKUP(CustomerCombinedCleaned[[#This Row],[ID]], Table4[ID], Table4[Teas], "Not Found", 0)</f>
        <v>131</v>
      </c>
      <c r="L26" s="16">
        <f>_xlfn.XLOOKUP(CustomerCombinedCleaned[[#This Row],[ID]], Table4[ID], Table4[Fruits], "Not Found", 0)</f>
        <v>15</v>
      </c>
      <c r="M26" s="16">
        <f>_xlfn.XLOOKUP(CustomerCombinedCleaned[[#This Row],[ID]], Table4[ID], Table4[Meats], "Not Found", 0)</f>
        <v>255</v>
      </c>
      <c r="N26" s="16">
        <f>_xlfn.XLOOKUP(CustomerCombinedCleaned[[#This Row],[ID]], Table4[ID], Table4[Seafood], "Not Found", 0)</f>
        <v>12</v>
      </c>
      <c r="O26" s="16">
        <f>_xlfn.XLOOKUP(CustomerCombinedCleaned[[#This Row],[ID]], Table4[ID], Table4[Sweets], "Not Found", 0)</f>
        <v>39</v>
      </c>
      <c r="P26" s="16">
        <f>_xlfn.XLOOKUP(CustomerCombinedCleaned[[#This Row],[ID]], Table4[ID], Table4[Premium], "Not Found", 0)</f>
        <v>77</v>
      </c>
      <c r="Q26" s="16">
        <f>_xlfn.XLOOKUP(CustomerCombinedCleaned[[#This Row],[ID]], Table4[ID], Table4[Regular], "Not Found", 0)</f>
        <v>375</v>
      </c>
      <c r="R26" s="16">
        <f>_xlfn.XLOOKUP(CustomerCombinedCleaned[[#This Row],[ID]], Table4[ID], Table4[Deals], "Not Found", 0)</f>
        <v>1</v>
      </c>
      <c r="S26" s="16">
        <f>_xlfn.XLOOKUP(CustomerCombinedCleaned[[#This Row],[ID]], Table4[ID], Table4[Website], "Not Found", 0)</f>
        <v>2</v>
      </c>
      <c r="T26" s="16">
        <f>_xlfn.XLOOKUP(CustomerCombinedCleaned[[#This Row],[ID]], Table4[ID], Table4[Catalog], "Not Found", 0)</f>
        <v>1</v>
      </c>
      <c r="U26" s="16">
        <f>_xlfn.XLOOKUP(CustomerCombinedCleaned[[#This Row],[ID]], Table4[ID], Table4[Store], "Not Found", 0)</f>
        <v>4</v>
      </c>
      <c r="V26" s="16">
        <f>_xlfn.XLOOKUP(CustomerCombinedCleaned[[#This Row],[ID]], Table4[ID], Table4[Visits], "Not Found", 0)</f>
        <v>7</v>
      </c>
      <c r="W26" s="16">
        <f>_xlfn.XLOOKUP(CustomerCombinedCleaned[[#This Row],[ID]], Table2[ID],Table2[Complaint], "Not Found", 0 )</f>
        <v>0</v>
      </c>
      <c r="X26" s="16">
        <f>_xlfn.XLOOKUP(CustomerCombinedCleaned[[#This Row],[ID]], Table2[ID],Table2[Pilot], "Not Found", 0 )</f>
        <v>0</v>
      </c>
      <c r="Y26" s="16">
        <f>_xlfn.XLOOKUP(CustomerCombinedCleaned[[#This Row],[ID]], Table2[ID],Table2[MC1], "Not Found", 0 )</f>
        <v>0</v>
      </c>
      <c r="Z26" s="16">
        <f>_xlfn.XLOOKUP(CustomerCombinedCleaned[[#This Row],[ID]], Table2[ID],Table2[MC2], "Not Found", 0 )</f>
        <v>0</v>
      </c>
      <c r="AA26" s="16">
        <f>_xlfn.XLOOKUP(CustomerCombinedCleaned[[#This Row],[ID]], Table2[ID],Table2[MC3], "Not Found", 0 )</f>
        <v>0</v>
      </c>
      <c r="AB26" s="16">
        <f>_xlfn.XLOOKUP(CustomerCombinedCleaned[[#This Row],[ID]], Table2[ID],Table2[MC4], "Not Found", 0 )</f>
        <v>0</v>
      </c>
      <c r="AC26" s="16">
        <f>_xlfn.XLOOKUP(CustomerCombinedCleaned[[#This Row],[ID]], Table2[ID],Table2[MC5], "Not Found", 0 )</f>
        <v>0</v>
      </c>
    </row>
    <row r="27" spans="1:29" x14ac:dyDescent="0.3">
      <c r="A27" s="18">
        <v>2689</v>
      </c>
      <c r="B27" s="16">
        <v>118746</v>
      </c>
      <c r="C27" s="16">
        <v>1</v>
      </c>
      <c r="D27" s="16">
        <v>0</v>
      </c>
      <c r="E27" s="16">
        <v>28</v>
      </c>
      <c r="F27" s="17" t="s">
        <v>7</v>
      </c>
      <c r="G27" s="17" t="s">
        <v>10</v>
      </c>
      <c r="H27" s="3" t="s">
        <v>565</v>
      </c>
      <c r="I27" s="5" t="s">
        <v>437</v>
      </c>
      <c r="J27" s="16">
        <f>_xlfn.XLOOKUP(CustomerCombinedCleaned[[#This Row],[ID]], Table4[ID], Table4[Recency], "Not Found", 0)</f>
        <v>41</v>
      </c>
      <c r="K27" s="16">
        <f>_xlfn.XLOOKUP(CustomerCombinedCleaned[[#This Row],[ID]], Table4[ID], Table4[Teas], "Not Found", 0)</f>
        <v>13</v>
      </c>
      <c r="L27" s="16">
        <f>_xlfn.XLOOKUP(CustomerCombinedCleaned[[#This Row],[ID]], Table4[ID], Table4[Fruits], "Not Found", 0)</f>
        <v>63</v>
      </c>
      <c r="M27" s="16">
        <f>_xlfn.XLOOKUP(CustomerCombinedCleaned[[#This Row],[ID]], Table4[ID], Table4[Meats], "Not Found", 0)</f>
        <v>70</v>
      </c>
      <c r="N27" s="16">
        <f>_xlfn.XLOOKUP(CustomerCombinedCleaned[[#This Row],[ID]], Table4[ID], Table4[Seafood], "Not Found", 0)</f>
        <v>76</v>
      </c>
      <c r="O27" s="16">
        <f>_xlfn.XLOOKUP(CustomerCombinedCleaned[[#This Row],[ID]], Table4[ID], Table4[Sweets], "Not Found", 0)</f>
        <v>57</v>
      </c>
      <c r="P27" s="16">
        <f>_xlfn.XLOOKUP(CustomerCombinedCleaned[[#This Row],[ID]], Table4[ID], Table4[Premium], "Not Found", 0)</f>
        <v>127</v>
      </c>
      <c r="Q27" s="16">
        <f>_xlfn.XLOOKUP(CustomerCombinedCleaned[[#This Row],[ID]], Table4[ID], Table4[Regular], "Not Found", 0)</f>
        <v>152</v>
      </c>
      <c r="R27" s="16">
        <f>_xlfn.XLOOKUP(CustomerCombinedCleaned[[#This Row],[ID]], Table4[ID], Table4[Deals], "Not Found", 0)</f>
        <v>2</v>
      </c>
      <c r="S27" s="16">
        <f>_xlfn.XLOOKUP(CustomerCombinedCleaned[[#This Row],[ID]], Table4[ID], Table4[Website], "Not Found", 0)</f>
        <v>3</v>
      </c>
      <c r="T27" s="16">
        <f>_xlfn.XLOOKUP(CustomerCombinedCleaned[[#This Row],[ID]], Table4[ID], Table4[Catalog], "Not Found", 0)</f>
        <v>0</v>
      </c>
      <c r="U27" s="16">
        <f>_xlfn.XLOOKUP(CustomerCombinedCleaned[[#This Row],[ID]], Table4[ID], Table4[Store], "Not Found", 0)</f>
        <v>3</v>
      </c>
      <c r="V27" s="16">
        <f>_xlfn.XLOOKUP(CustomerCombinedCleaned[[#This Row],[ID]], Table4[ID], Table4[Visits], "Not Found", 0)</f>
        <v>6</v>
      </c>
      <c r="W27" s="16">
        <f>_xlfn.XLOOKUP(CustomerCombinedCleaned[[#This Row],[ID]], Table2[ID],Table2[Complaint], "Not Found", 0 )</f>
        <v>0</v>
      </c>
      <c r="X27" s="16">
        <f>_xlfn.XLOOKUP(CustomerCombinedCleaned[[#This Row],[ID]], Table2[ID],Table2[Pilot], "Not Found", 0 )</f>
        <v>0</v>
      </c>
      <c r="Y27" s="16">
        <f>_xlfn.XLOOKUP(CustomerCombinedCleaned[[#This Row],[ID]], Table2[ID],Table2[MC1], "Not Found", 0 )</f>
        <v>0</v>
      </c>
      <c r="Z27" s="16">
        <f>_xlfn.XLOOKUP(CustomerCombinedCleaned[[#This Row],[ID]], Table2[ID],Table2[MC2], "Not Found", 0 )</f>
        <v>0</v>
      </c>
      <c r="AA27" s="16">
        <f>_xlfn.XLOOKUP(CustomerCombinedCleaned[[#This Row],[ID]], Table2[ID],Table2[MC3], "Not Found", 0 )</f>
        <v>0</v>
      </c>
      <c r="AB27" s="16">
        <f>_xlfn.XLOOKUP(CustomerCombinedCleaned[[#This Row],[ID]], Table2[ID],Table2[MC4], "Not Found", 0 )</f>
        <v>0</v>
      </c>
      <c r="AC27" s="16">
        <f>_xlfn.XLOOKUP(CustomerCombinedCleaned[[#This Row],[ID]], Table2[ID],Table2[MC5], "Not Found", 0 )</f>
        <v>0</v>
      </c>
    </row>
    <row r="28" spans="1:29" x14ac:dyDescent="0.3">
      <c r="A28" s="18">
        <v>2341</v>
      </c>
      <c r="B28" s="16">
        <v>117256</v>
      </c>
      <c r="C28" s="16">
        <v>1</v>
      </c>
      <c r="D28" s="16">
        <v>0</v>
      </c>
      <c r="E28" s="16">
        <v>28</v>
      </c>
      <c r="F28" s="17" t="s">
        <v>6</v>
      </c>
      <c r="G28" s="17" t="s">
        <v>10</v>
      </c>
      <c r="H28" s="3" t="s">
        <v>142</v>
      </c>
      <c r="I28" s="5" t="s">
        <v>437</v>
      </c>
      <c r="J28" s="16">
        <f>_xlfn.XLOOKUP(CustomerCombinedCleaned[[#This Row],[ID]], Table4[ID], Table4[Recency], "Not Found", 0)</f>
        <v>10</v>
      </c>
      <c r="K28" s="16">
        <f>_xlfn.XLOOKUP(CustomerCombinedCleaned[[#This Row],[ID]], Table4[ID], Table4[Teas], "Not Found", 0)</f>
        <v>41</v>
      </c>
      <c r="L28" s="16">
        <f>_xlfn.XLOOKUP(CustomerCombinedCleaned[[#This Row],[ID]], Table4[ID], Table4[Fruits], "Not Found", 0)</f>
        <v>27</v>
      </c>
      <c r="M28" s="16">
        <f>_xlfn.XLOOKUP(CustomerCombinedCleaned[[#This Row],[ID]], Table4[ID], Table4[Meats], "Not Found", 0)</f>
        <v>95</v>
      </c>
      <c r="N28" s="16">
        <f>_xlfn.XLOOKUP(CustomerCombinedCleaned[[#This Row],[ID]], Table4[ID], Table4[Seafood], "Not Found", 0)</f>
        <v>54</v>
      </c>
      <c r="O28" s="16">
        <f>_xlfn.XLOOKUP(CustomerCombinedCleaned[[#This Row],[ID]], Table4[ID], Table4[Sweets], "Not Found", 0)</f>
        <v>54</v>
      </c>
      <c r="P28" s="16">
        <f>_xlfn.XLOOKUP(CustomerCombinedCleaned[[#This Row],[ID]], Table4[ID], Table4[Premium], "Not Found", 0)</f>
        <v>149</v>
      </c>
      <c r="Q28" s="16">
        <f>_xlfn.XLOOKUP(CustomerCombinedCleaned[[#This Row],[ID]], Table4[ID], Table4[Regular], "Not Found", 0)</f>
        <v>122</v>
      </c>
      <c r="R28" s="16">
        <f>_xlfn.XLOOKUP(CustomerCombinedCleaned[[#This Row],[ID]], Table4[ID], Table4[Deals], "Not Found", 0)</f>
        <v>2</v>
      </c>
      <c r="S28" s="16">
        <f>_xlfn.XLOOKUP(CustomerCombinedCleaned[[#This Row],[ID]], Table4[ID], Table4[Website], "Not Found", 0)</f>
        <v>2</v>
      </c>
      <c r="T28" s="16">
        <f>_xlfn.XLOOKUP(CustomerCombinedCleaned[[#This Row],[ID]], Table4[ID], Table4[Catalog], "Not Found", 0)</f>
        <v>1</v>
      </c>
      <c r="U28" s="16">
        <f>_xlfn.XLOOKUP(CustomerCombinedCleaned[[#This Row],[ID]], Table4[ID], Table4[Store], "Not Found", 0)</f>
        <v>2</v>
      </c>
      <c r="V28" s="16">
        <f>_xlfn.XLOOKUP(CustomerCombinedCleaned[[#This Row],[ID]], Table4[ID], Table4[Visits], "Not Found", 0)</f>
        <v>8</v>
      </c>
      <c r="W28" s="16">
        <f>_xlfn.XLOOKUP(CustomerCombinedCleaned[[#This Row],[ID]], Table2[ID],Table2[Complaint], "Not Found", 0 )</f>
        <v>0</v>
      </c>
      <c r="X28" s="16">
        <f>_xlfn.XLOOKUP(CustomerCombinedCleaned[[#This Row],[ID]], Table2[ID],Table2[Pilot], "Not Found", 0 )</f>
        <v>0</v>
      </c>
      <c r="Y28" s="16">
        <f>_xlfn.XLOOKUP(CustomerCombinedCleaned[[#This Row],[ID]], Table2[ID],Table2[MC1], "Not Found", 0 )</f>
        <v>0</v>
      </c>
      <c r="Z28" s="16">
        <f>_xlfn.XLOOKUP(CustomerCombinedCleaned[[#This Row],[ID]], Table2[ID],Table2[MC2], "Not Found", 0 )</f>
        <v>0</v>
      </c>
      <c r="AA28" s="16">
        <f>_xlfn.XLOOKUP(CustomerCombinedCleaned[[#This Row],[ID]], Table2[ID],Table2[MC3], "Not Found", 0 )</f>
        <v>1</v>
      </c>
      <c r="AB28" s="16">
        <f>_xlfn.XLOOKUP(CustomerCombinedCleaned[[#This Row],[ID]], Table2[ID],Table2[MC4], "Not Found", 0 )</f>
        <v>0</v>
      </c>
      <c r="AC28" s="16">
        <f>_xlfn.XLOOKUP(CustomerCombinedCleaned[[#This Row],[ID]], Table2[ID],Table2[MC5], "Not Found", 0 )</f>
        <v>0</v>
      </c>
    </row>
    <row r="29" spans="1:29" x14ac:dyDescent="0.3">
      <c r="A29" s="18">
        <v>3132</v>
      </c>
      <c r="B29" s="16">
        <v>115253</v>
      </c>
      <c r="C29" s="16">
        <v>1</v>
      </c>
      <c r="D29" s="16">
        <v>0</v>
      </c>
      <c r="E29" s="16">
        <v>28</v>
      </c>
      <c r="F29" s="17" t="s">
        <v>7</v>
      </c>
      <c r="G29" s="17" t="s">
        <v>10</v>
      </c>
      <c r="H29" s="3" t="s">
        <v>616</v>
      </c>
      <c r="I29" s="5" t="s">
        <v>436</v>
      </c>
      <c r="J29" s="16">
        <f>_xlfn.XLOOKUP(CustomerCombinedCleaned[[#This Row],[ID]], Table4[ID], Table4[Recency], "Not Found", 0)</f>
        <v>13</v>
      </c>
      <c r="K29" s="16">
        <f>_xlfn.XLOOKUP(CustomerCombinedCleaned[[#This Row],[ID]], Table4[ID], Table4[Teas], "Not Found", 0)</f>
        <v>8</v>
      </c>
      <c r="L29" s="16">
        <f>_xlfn.XLOOKUP(CustomerCombinedCleaned[[#This Row],[ID]], Table4[ID], Table4[Fruits], "Not Found", 0)</f>
        <v>23</v>
      </c>
      <c r="M29" s="16">
        <f>_xlfn.XLOOKUP(CustomerCombinedCleaned[[#This Row],[ID]], Table4[ID], Table4[Meats], "Not Found", 0)</f>
        <v>23</v>
      </c>
      <c r="N29" s="16">
        <f>_xlfn.XLOOKUP(CustomerCombinedCleaned[[#This Row],[ID]], Table4[ID], Table4[Seafood], "Not Found", 0)</f>
        <v>60</v>
      </c>
      <c r="O29" s="16">
        <f>_xlfn.XLOOKUP(CustomerCombinedCleaned[[#This Row],[ID]], Table4[ID], Table4[Sweets], "Not Found", 0)</f>
        <v>8</v>
      </c>
      <c r="P29" s="16">
        <f>_xlfn.XLOOKUP(CustomerCombinedCleaned[[#This Row],[ID]], Table4[ID], Table4[Premium], "Not Found", 0)</f>
        <v>98</v>
      </c>
      <c r="Q29" s="16">
        <f>_xlfn.XLOOKUP(CustomerCombinedCleaned[[#This Row],[ID]], Table4[ID], Table4[Regular], "Not Found", 0)</f>
        <v>23</v>
      </c>
      <c r="R29" s="16">
        <f>_xlfn.XLOOKUP(CustomerCombinedCleaned[[#This Row],[ID]], Table4[ID], Table4[Deals], "Not Found", 0)</f>
        <v>2</v>
      </c>
      <c r="S29" s="16">
        <f>_xlfn.XLOOKUP(CustomerCombinedCleaned[[#This Row],[ID]], Table4[ID], Table4[Website], "Not Found", 0)</f>
        <v>1</v>
      </c>
      <c r="T29" s="16">
        <f>_xlfn.XLOOKUP(CustomerCombinedCleaned[[#This Row],[ID]], Table4[ID], Table4[Catalog], "Not Found", 0)</f>
        <v>0</v>
      </c>
      <c r="U29" s="16">
        <f>_xlfn.XLOOKUP(CustomerCombinedCleaned[[#This Row],[ID]], Table4[ID], Table4[Store], "Not Found", 0)</f>
        <v>3</v>
      </c>
      <c r="V29" s="16">
        <f>_xlfn.XLOOKUP(CustomerCombinedCleaned[[#This Row],[ID]], Table4[ID], Table4[Visits], "Not Found", 0)</f>
        <v>7</v>
      </c>
      <c r="W29" s="16">
        <f>_xlfn.XLOOKUP(CustomerCombinedCleaned[[#This Row],[ID]], Table2[ID],Table2[Complaint], "Not Found", 0 )</f>
        <v>0</v>
      </c>
      <c r="X29" s="16">
        <f>_xlfn.XLOOKUP(CustomerCombinedCleaned[[#This Row],[ID]], Table2[ID],Table2[Pilot], "Not Found", 0 )</f>
        <v>0</v>
      </c>
      <c r="Y29" s="16">
        <f>_xlfn.XLOOKUP(CustomerCombinedCleaned[[#This Row],[ID]], Table2[ID],Table2[MC1], "Not Found", 0 )</f>
        <v>0</v>
      </c>
      <c r="Z29" s="16">
        <f>_xlfn.XLOOKUP(CustomerCombinedCleaned[[#This Row],[ID]], Table2[ID],Table2[MC2], "Not Found", 0 )</f>
        <v>0</v>
      </c>
      <c r="AA29" s="16">
        <f>_xlfn.XLOOKUP(CustomerCombinedCleaned[[#This Row],[ID]], Table2[ID],Table2[MC3], "Not Found", 0 )</f>
        <v>0</v>
      </c>
      <c r="AB29" s="16">
        <f>_xlfn.XLOOKUP(CustomerCombinedCleaned[[#This Row],[ID]], Table2[ID],Table2[MC4], "Not Found", 0 )</f>
        <v>0</v>
      </c>
      <c r="AC29" s="16">
        <f>_xlfn.XLOOKUP(CustomerCombinedCleaned[[#This Row],[ID]], Table2[ID],Table2[MC5], "Not Found", 0 )</f>
        <v>0</v>
      </c>
    </row>
    <row r="30" spans="1:29" x14ac:dyDescent="0.3">
      <c r="A30" s="18">
        <v>2227</v>
      </c>
      <c r="B30" s="16">
        <v>107500</v>
      </c>
      <c r="C30" s="16">
        <v>1</v>
      </c>
      <c r="D30" s="16">
        <v>0</v>
      </c>
      <c r="E30" s="16">
        <v>28</v>
      </c>
      <c r="F30" s="17" t="s">
        <v>7</v>
      </c>
      <c r="G30" s="17" t="s">
        <v>10</v>
      </c>
      <c r="H30" s="3" t="s">
        <v>541</v>
      </c>
      <c r="I30" s="5" t="s">
        <v>437</v>
      </c>
      <c r="J30" s="16">
        <f>_xlfn.XLOOKUP(CustomerCombinedCleaned[[#This Row],[ID]], Table4[ID], Table4[Recency], "Not Found", 0)</f>
        <v>63</v>
      </c>
      <c r="K30" s="16">
        <f>_xlfn.XLOOKUP(CustomerCombinedCleaned[[#This Row],[ID]], Table4[ID], Table4[Teas], "Not Found", 0)</f>
        <v>143</v>
      </c>
      <c r="L30" s="16">
        <f>_xlfn.XLOOKUP(CustomerCombinedCleaned[[#This Row],[ID]], Table4[ID], Table4[Fruits], "Not Found", 0)</f>
        <v>244</v>
      </c>
      <c r="M30" s="16">
        <f>_xlfn.XLOOKUP(CustomerCombinedCleaned[[#This Row],[ID]], Table4[ID], Table4[Meats], "Not Found", 0)</f>
        <v>258</v>
      </c>
      <c r="N30" s="16">
        <f>_xlfn.XLOOKUP(CustomerCombinedCleaned[[#This Row],[ID]], Table4[ID], Table4[Seafood], "Not Found", 0)</f>
        <v>115</v>
      </c>
      <c r="O30" s="16">
        <f>_xlfn.XLOOKUP(CustomerCombinedCleaned[[#This Row],[ID]], Table4[ID], Table4[Sweets], "Not Found", 0)</f>
        <v>373</v>
      </c>
      <c r="P30" s="16">
        <f>_xlfn.XLOOKUP(CustomerCombinedCleaned[[#This Row],[ID]], Table4[ID], Table4[Premium], "Not Found", 0)</f>
        <v>573</v>
      </c>
      <c r="Q30" s="16">
        <f>_xlfn.XLOOKUP(CustomerCombinedCleaned[[#This Row],[ID]], Table4[ID], Table4[Regular], "Not Found", 0)</f>
        <v>559</v>
      </c>
      <c r="R30" s="16">
        <f>_xlfn.XLOOKUP(CustomerCombinedCleaned[[#This Row],[ID]], Table4[ID], Table4[Deals], "Not Found", 0)</f>
        <v>4</v>
      </c>
      <c r="S30" s="16">
        <f>_xlfn.XLOOKUP(CustomerCombinedCleaned[[#This Row],[ID]], Table4[ID], Table4[Website], "Not Found", 0)</f>
        <v>3</v>
      </c>
      <c r="T30" s="16">
        <f>_xlfn.XLOOKUP(CustomerCombinedCleaned[[#This Row],[ID]], Table4[ID], Table4[Catalog], "Not Found", 0)</f>
        <v>2</v>
      </c>
      <c r="U30" s="16">
        <f>_xlfn.XLOOKUP(CustomerCombinedCleaned[[#This Row],[ID]], Table4[ID], Table4[Store], "Not Found", 0)</f>
        <v>2</v>
      </c>
      <c r="V30" s="16">
        <f>_xlfn.XLOOKUP(CustomerCombinedCleaned[[#This Row],[ID]], Table4[ID], Table4[Visits], "Not Found", 0)</f>
        <v>9</v>
      </c>
      <c r="W30" s="16">
        <f>_xlfn.XLOOKUP(CustomerCombinedCleaned[[#This Row],[ID]], Table2[ID],Table2[Complaint], "Not Found", 0 )</f>
        <v>0</v>
      </c>
      <c r="X30" s="16">
        <f>_xlfn.XLOOKUP(CustomerCombinedCleaned[[#This Row],[ID]], Table2[ID],Table2[Pilot], "Not Found", 0 )</f>
        <v>0</v>
      </c>
      <c r="Y30" s="16">
        <f>_xlfn.XLOOKUP(CustomerCombinedCleaned[[#This Row],[ID]], Table2[ID],Table2[MC1], "Not Found", 0 )</f>
        <v>0</v>
      </c>
      <c r="Z30" s="16">
        <f>_xlfn.XLOOKUP(CustomerCombinedCleaned[[#This Row],[ID]], Table2[ID],Table2[MC2], "Not Found", 0 )</f>
        <v>0</v>
      </c>
      <c r="AA30" s="16">
        <f>_xlfn.XLOOKUP(CustomerCombinedCleaned[[#This Row],[ID]], Table2[ID],Table2[MC3], "Not Found", 0 )</f>
        <v>0</v>
      </c>
      <c r="AB30" s="16">
        <f>_xlfn.XLOOKUP(CustomerCombinedCleaned[[#This Row],[ID]], Table2[ID],Table2[MC4], "Not Found", 0 )</f>
        <v>0</v>
      </c>
      <c r="AC30" s="16">
        <f>_xlfn.XLOOKUP(CustomerCombinedCleaned[[#This Row],[ID]], Table2[ID],Table2[MC5], "Not Found", 0 )</f>
        <v>0</v>
      </c>
    </row>
    <row r="31" spans="1:29" x14ac:dyDescent="0.3">
      <c r="A31" s="18">
        <v>2160</v>
      </c>
      <c r="B31" s="16">
        <v>190638</v>
      </c>
      <c r="C31" s="16">
        <v>0</v>
      </c>
      <c r="D31" s="16">
        <v>0</v>
      </c>
      <c r="E31" s="16">
        <v>29</v>
      </c>
      <c r="F31" s="17" t="s">
        <v>7</v>
      </c>
      <c r="G31" s="17" t="s">
        <v>12</v>
      </c>
      <c r="H31" s="3" t="s">
        <v>100</v>
      </c>
      <c r="I31" s="5" t="s">
        <v>436</v>
      </c>
      <c r="J31" s="16">
        <f>_xlfn.XLOOKUP(CustomerCombinedCleaned[[#This Row],[ID]], Table4[ID], Table4[Recency], "Not Found", 0)</f>
        <v>29</v>
      </c>
      <c r="K31" s="16">
        <f>_xlfn.XLOOKUP(CustomerCombinedCleaned[[#This Row],[ID]], Table4[ID], Table4[Teas], "Not Found", 0)</f>
        <v>2431</v>
      </c>
      <c r="L31" s="16">
        <f>_xlfn.XLOOKUP(CustomerCombinedCleaned[[#This Row],[ID]], Table4[ID], Table4[Fruits], "Not Found", 0)</f>
        <v>252</v>
      </c>
      <c r="M31" s="16">
        <f>_xlfn.XLOOKUP(CustomerCombinedCleaned[[#This Row],[ID]], Table4[ID], Table4[Meats], "Not Found", 0)</f>
        <v>1925</v>
      </c>
      <c r="N31" s="16">
        <f>_xlfn.XLOOKUP(CustomerCombinedCleaned[[#This Row],[ID]], Table4[ID], Table4[Seafood], "Not Found", 0)</f>
        <v>198</v>
      </c>
      <c r="O31" s="16">
        <f>_xlfn.XLOOKUP(CustomerCombinedCleaned[[#This Row],[ID]], Table4[ID], Table4[Sweets], "Not Found", 0)</f>
        <v>303</v>
      </c>
      <c r="P31" s="16">
        <f>_xlfn.XLOOKUP(CustomerCombinedCleaned[[#This Row],[ID]], Table4[ID], Table4[Premium], "Not Found", 0)</f>
        <v>202</v>
      </c>
      <c r="Q31" s="16">
        <f>_xlfn.XLOOKUP(CustomerCombinedCleaned[[#This Row],[ID]], Table4[ID], Table4[Regular], "Not Found", 0)</f>
        <v>4907</v>
      </c>
      <c r="R31" s="16">
        <f>_xlfn.XLOOKUP(CustomerCombinedCleaned[[#This Row],[ID]], Table4[ID], Table4[Deals], "Not Found", 0)</f>
        <v>1</v>
      </c>
      <c r="S31" s="16">
        <f>_xlfn.XLOOKUP(CustomerCombinedCleaned[[#This Row],[ID]], Table4[ID], Table4[Website], "Not Found", 0)</f>
        <v>3</v>
      </c>
      <c r="T31" s="16">
        <f>_xlfn.XLOOKUP(CustomerCombinedCleaned[[#This Row],[ID]], Table4[ID], Table4[Catalog], "Not Found", 0)</f>
        <v>4</v>
      </c>
      <c r="U31" s="16">
        <f>_xlfn.XLOOKUP(CustomerCombinedCleaned[[#This Row],[ID]], Table4[ID], Table4[Store], "Not Found", 0)</f>
        <v>10</v>
      </c>
      <c r="V31" s="16">
        <f>_xlfn.XLOOKUP(CustomerCombinedCleaned[[#This Row],[ID]], Table4[ID], Table4[Visits], "Not Found", 0)</f>
        <v>1</v>
      </c>
      <c r="W31" s="16">
        <f>_xlfn.XLOOKUP(CustomerCombinedCleaned[[#This Row],[ID]], Table2[ID],Table2[Complaint], "Not Found", 0 )</f>
        <v>0</v>
      </c>
      <c r="X31" s="16">
        <f>_xlfn.XLOOKUP(CustomerCombinedCleaned[[#This Row],[ID]], Table2[ID],Table2[Pilot], "Not Found", 0 )</f>
        <v>0</v>
      </c>
      <c r="Y31" s="16">
        <f>_xlfn.XLOOKUP(CustomerCombinedCleaned[[#This Row],[ID]], Table2[ID],Table2[MC1], "Not Found", 0 )</f>
        <v>0</v>
      </c>
      <c r="Z31" s="16">
        <f>_xlfn.XLOOKUP(CustomerCombinedCleaned[[#This Row],[ID]], Table2[ID],Table2[MC2], "Not Found", 0 )</f>
        <v>0</v>
      </c>
      <c r="AA31" s="16">
        <f>_xlfn.XLOOKUP(CustomerCombinedCleaned[[#This Row],[ID]], Table2[ID],Table2[MC3], "Not Found", 0 )</f>
        <v>0</v>
      </c>
      <c r="AB31" s="16">
        <f>_xlfn.XLOOKUP(CustomerCombinedCleaned[[#This Row],[ID]], Table2[ID],Table2[MC4], "Not Found", 0 )</f>
        <v>0</v>
      </c>
      <c r="AC31" s="16">
        <f>_xlfn.XLOOKUP(CustomerCombinedCleaned[[#This Row],[ID]], Table2[ID],Table2[MC5], "Not Found", 0 )</f>
        <v>1</v>
      </c>
    </row>
    <row r="32" spans="1:29" x14ac:dyDescent="0.3">
      <c r="A32" s="18">
        <v>2548</v>
      </c>
      <c r="B32" s="16">
        <v>190638</v>
      </c>
      <c r="C32" s="16">
        <v>0</v>
      </c>
      <c r="D32" s="16">
        <v>0</v>
      </c>
      <c r="E32" s="16">
        <v>29</v>
      </c>
      <c r="F32" s="17" t="s">
        <v>7</v>
      </c>
      <c r="G32" s="17" t="s">
        <v>12</v>
      </c>
      <c r="H32" s="3" t="s">
        <v>100</v>
      </c>
      <c r="I32" s="5" t="s">
        <v>439</v>
      </c>
      <c r="J32" s="16">
        <f>_xlfn.XLOOKUP(CustomerCombinedCleaned[[#This Row],[ID]], Table4[ID], Table4[Recency], "Not Found", 0)</f>
        <v>29</v>
      </c>
      <c r="K32" s="16">
        <f>_xlfn.XLOOKUP(CustomerCombinedCleaned[[#This Row],[ID]], Table4[ID], Table4[Teas], "Not Found", 0)</f>
        <v>2431</v>
      </c>
      <c r="L32" s="16">
        <f>_xlfn.XLOOKUP(CustomerCombinedCleaned[[#This Row],[ID]], Table4[ID], Table4[Fruits], "Not Found", 0)</f>
        <v>252</v>
      </c>
      <c r="M32" s="16">
        <f>_xlfn.XLOOKUP(CustomerCombinedCleaned[[#This Row],[ID]], Table4[ID], Table4[Meats], "Not Found", 0)</f>
        <v>1925</v>
      </c>
      <c r="N32" s="16">
        <f>_xlfn.XLOOKUP(CustomerCombinedCleaned[[#This Row],[ID]], Table4[ID], Table4[Seafood], "Not Found", 0)</f>
        <v>198</v>
      </c>
      <c r="O32" s="16">
        <f>_xlfn.XLOOKUP(CustomerCombinedCleaned[[#This Row],[ID]], Table4[ID], Table4[Sweets], "Not Found", 0)</f>
        <v>303</v>
      </c>
      <c r="P32" s="16">
        <f>_xlfn.XLOOKUP(CustomerCombinedCleaned[[#This Row],[ID]], Table4[ID], Table4[Premium], "Not Found", 0)</f>
        <v>202</v>
      </c>
      <c r="Q32" s="16">
        <f>_xlfn.XLOOKUP(CustomerCombinedCleaned[[#This Row],[ID]], Table4[ID], Table4[Regular], "Not Found", 0)</f>
        <v>4907</v>
      </c>
      <c r="R32" s="16">
        <f>_xlfn.XLOOKUP(CustomerCombinedCleaned[[#This Row],[ID]], Table4[ID], Table4[Deals], "Not Found", 0)</f>
        <v>1</v>
      </c>
      <c r="S32" s="16">
        <f>_xlfn.XLOOKUP(CustomerCombinedCleaned[[#This Row],[ID]], Table4[ID], Table4[Website], "Not Found", 0)</f>
        <v>3</v>
      </c>
      <c r="T32" s="16">
        <f>_xlfn.XLOOKUP(CustomerCombinedCleaned[[#This Row],[ID]], Table4[ID], Table4[Catalog], "Not Found", 0)</f>
        <v>4</v>
      </c>
      <c r="U32" s="16">
        <f>_xlfn.XLOOKUP(CustomerCombinedCleaned[[#This Row],[ID]], Table4[ID], Table4[Store], "Not Found", 0)</f>
        <v>10</v>
      </c>
      <c r="V32" s="16">
        <f>_xlfn.XLOOKUP(CustomerCombinedCleaned[[#This Row],[ID]], Table4[ID], Table4[Visits], "Not Found", 0)</f>
        <v>1</v>
      </c>
      <c r="W32" s="16">
        <f>_xlfn.XLOOKUP(CustomerCombinedCleaned[[#This Row],[ID]], Table2[ID],Table2[Complaint], "Not Found", 0 )</f>
        <v>0</v>
      </c>
      <c r="X32" s="16">
        <f>_xlfn.XLOOKUP(CustomerCombinedCleaned[[#This Row],[ID]], Table2[ID],Table2[Pilot], "Not Found", 0 )</f>
        <v>1</v>
      </c>
      <c r="Y32" s="16">
        <f>_xlfn.XLOOKUP(CustomerCombinedCleaned[[#This Row],[ID]], Table2[ID],Table2[MC1], "Not Found", 0 )</f>
        <v>0</v>
      </c>
      <c r="Z32" s="16">
        <f>_xlfn.XLOOKUP(CustomerCombinedCleaned[[#This Row],[ID]], Table2[ID],Table2[MC2], "Not Found", 0 )</f>
        <v>0</v>
      </c>
      <c r="AA32" s="16">
        <f>_xlfn.XLOOKUP(CustomerCombinedCleaned[[#This Row],[ID]], Table2[ID],Table2[MC3], "Not Found", 0 )</f>
        <v>0</v>
      </c>
      <c r="AB32" s="16">
        <f>_xlfn.XLOOKUP(CustomerCombinedCleaned[[#This Row],[ID]], Table2[ID],Table2[MC4], "Not Found", 0 )</f>
        <v>0</v>
      </c>
      <c r="AC32" s="16">
        <f>_xlfn.XLOOKUP(CustomerCombinedCleaned[[#This Row],[ID]], Table2[ID],Table2[MC5], "Not Found", 0 )</f>
        <v>1</v>
      </c>
    </row>
    <row r="33" spans="1:29" x14ac:dyDescent="0.3">
      <c r="A33" s="18">
        <v>2697</v>
      </c>
      <c r="B33" s="16">
        <v>190273</v>
      </c>
      <c r="C33" s="16">
        <v>0</v>
      </c>
      <c r="D33" s="16">
        <v>0</v>
      </c>
      <c r="E33" s="16">
        <v>29</v>
      </c>
      <c r="F33" s="17" t="s">
        <v>7</v>
      </c>
      <c r="G33" s="17" t="s">
        <v>11</v>
      </c>
      <c r="H33" s="3" t="s">
        <v>134</v>
      </c>
      <c r="I33" s="5" t="s">
        <v>435</v>
      </c>
      <c r="J33" s="16">
        <f>_xlfn.XLOOKUP(CustomerCombinedCleaned[[#This Row],[ID]], Table4[ID], Table4[Recency], "Not Found", 0)</f>
        <v>32</v>
      </c>
      <c r="K33" s="16">
        <f>_xlfn.XLOOKUP(CustomerCombinedCleaned[[#This Row],[ID]], Table4[ID], Table4[Teas], "Not Found", 0)</f>
        <v>1484</v>
      </c>
      <c r="L33" s="16">
        <f>_xlfn.XLOOKUP(CustomerCombinedCleaned[[#This Row],[ID]], Table4[ID], Table4[Fruits], "Not Found", 0)</f>
        <v>272</v>
      </c>
      <c r="M33" s="16">
        <f>_xlfn.XLOOKUP(CustomerCombinedCleaned[[#This Row],[ID]], Table4[ID], Table4[Meats], "Not Found", 0)</f>
        <v>1798</v>
      </c>
      <c r="N33" s="16">
        <f>_xlfn.XLOOKUP(CustomerCombinedCleaned[[#This Row],[ID]], Table4[ID], Table4[Seafood], "Not Found", 0)</f>
        <v>253</v>
      </c>
      <c r="O33" s="16">
        <f>_xlfn.XLOOKUP(CustomerCombinedCleaned[[#This Row],[ID]], Table4[ID], Table4[Sweets], "Not Found", 0)</f>
        <v>156</v>
      </c>
      <c r="P33" s="16">
        <f>_xlfn.XLOOKUP(CustomerCombinedCleaned[[#This Row],[ID]], Table4[ID], Table4[Premium], "Not Found", 0)</f>
        <v>234</v>
      </c>
      <c r="Q33" s="16">
        <f>_xlfn.XLOOKUP(CustomerCombinedCleaned[[#This Row],[ID]], Table4[ID], Table4[Regular], "Not Found", 0)</f>
        <v>3729</v>
      </c>
      <c r="R33" s="16">
        <f>_xlfn.XLOOKUP(CustomerCombinedCleaned[[#This Row],[ID]], Table4[ID], Table4[Deals], "Not Found", 0)</f>
        <v>1</v>
      </c>
      <c r="S33" s="16">
        <f>_xlfn.XLOOKUP(CustomerCombinedCleaned[[#This Row],[ID]], Table4[ID], Table4[Website], "Not Found", 0)</f>
        <v>5</v>
      </c>
      <c r="T33" s="16">
        <f>_xlfn.XLOOKUP(CustomerCombinedCleaned[[#This Row],[ID]], Table4[ID], Table4[Catalog], "Not Found", 0)</f>
        <v>6</v>
      </c>
      <c r="U33" s="16">
        <f>_xlfn.XLOOKUP(CustomerCombinedCleaned[[#This Row],[ID]], Table4[ID], Table4[Store], "Not Found", 0)</f>
        <v>7</v>
      </c>
      <c r="V33" s="16">
        <f>_xlfn.XLOOKUP(CustomerCombinedCleaned[[#This Row],[ID]], Table4[ID], Table4[Visits], "Not Found", 0)</f>
        <v>2</v>
      </c>
      <c r="W33" s="16">
        <f>_xlfn.XLOOKUP(CustomerCombinedCleaned[[#This Row],[ID]], Table2[ID],Table2[Complaint], "Not Found", 0 )</f>
        <v>0</v>
      </c>
      <c r="X33" s="16">
        <f>_xlfn.XLOOKUP(CustomerCombinedCleaned[[#This Row],[ID]], Table2[ID],Table2[Pilot], "Not Found", 0 )</f>
        <v>1</v>
      </c>
      <c r="Y33" s="16">
        <f>_xlfn.XLOOKUP(CustomerCombinedCleaned[[#This Row],[ID]], Table2[ID],Table2[MC1], "Not Found", 0 )</f>
        <v>1</v>
      </c>
      <c r="Z33" s="16">
        <f>_xlfn.XLOOKUP(CustomerCombinedCleaned[[#This Row],[ID]], Table2[ID],Table2[MC2], "Not Found", 0 )</f>
        <v>0</v>
      </c>
      <c r="AA33" s="16">
        <f>_xlfn.XLOOKUP(CustomerCombinedCleaned[[#This Row],[ID]], Table2[ID],Table2[MC3], "Not Found", 0 )</f>
        <v>0</v>
      </c>
      <c r="AB33" s="16">
        <f>_xlfn.XLOOKUP(CustomerCombinedCleaned[[#This Row],[ID]], Table2[ID],Table2[MC4], "Not Found", 0 )</f>
        <v>1</v>
      </c>
      <c r="AC33" s="16">
        <f>_xlfn.XLOOKUP(CustomerCombinedCleaned[[#This Row],[ID]], Table2[ID],Table2[MC5], "Not Found", 0 )</f>
        <v>1</v>
      </c>
    </row>
    <row r="34" spans="1:29" x14ac:dyDescent="0.3">
      <c r="A34" s="18">
        <v>1710</v>
      </c>
      <c r="B34" s="16">
        <v>189891</v>
      </c>
      <c r="C34" s="16">
        <v>0</v>
      </c>
      <c r="D34" s="16">
        <v>0</v>
      </c>
      <c r="E34" s="16">
        <v>29</v>
      </c>
      <c r="F34" s="17" t="s">
        <v>8</v>
      </c>
      <c r="G34" s="17" t="s">
        <v>11</v>
      </c>
      <c r="H34" s="3" t="s">
        <v>274</v>
      </c>
      <c r="I34" s="5" t="s">
        <v>436</v>
      </c>
      <c r="J34" s="16">
        <f>_xlfn.XLOOKUP(CustomerCombinedCleaned[[#This Row],[ID]], Table4[ID], Table4[Recency], "Not Found", 0)</f>
        <v>17</v>
      </c>
      <c r="K34" s="16">
        <f>_xlfn.XLOOKUP(CustomerCombinedCleaned[[#This Row],[ID]], Table4[ID], Table4[Teas], "Not Found", 0)</f>
        <v>870</v>
      </c>
      <c r="L34" s="16">
        <f>_xlfn.XLOOKUP(CustomerCombinedCleaned[[#This Row],[ID]], Table4[ID], Table4[Fruits], "Not Found", 0)</f>
        <v>46</v>
      </c>
      <c r="M34" s="16">
        <f>_xlfn.XLOOKUP(CustomerCombinedCleaned[[#This Row],[ID]], Table4[ID], Table4[Meats], "Not Found", 0)</f>
        <v>279</v>
      </c>
      <c r="N34" s="16">
        <f>_xlfn.XLOOKUP(CustomerCombinedCleaned[[#This Row],[ID]], Table4[ID], Table4[Seafood], "Not Found", 0)</f>
        <v>125</v>
      </c>
      <c r="O34" s="16">
        <f>_xlfn.XLOOKUP(CustomerCombinedCleaned[[#This Row],[ID]], Table4[ID], Table4[Sweets], "Not Found", 0)</f>
        <v>59</v>
      </c>
      <c r="P34" s="16">
        <f>_xlfn.XLOOKUP(CustomerCombinedCleaned[[#This Row],[ID]], Table4[ID], Table4[Premium], "Not Found", 0)</f>
        <v>387</v>
      </c>
      <c r="Q34" s="16">
        <f>_xlfn.XLOOKUP(CustomerCombinedCleaned[[#This Row],[ID]], Table4[ID], Table4[Regular], "Not Found", 0)</f>
        <v>993</v>
      </c>
      <c r="R34" s="16">
        <f>_xlfn.XLOOKUP(CustomerCombinedCleaned[[#This Row],[ID]], Table4[ID], Table4[Deals], "Not Found", 0)</f>
        <v>1</v>
      </c>
      <c r="S34" s="16">
        <f>_xlfn.XLOOKUP(CustomerCombinedCleaned[[#This Row],[ID]], Table4[ID], Table4[Website], "Not Found", 0)</f>
        <v>11</v>
      </c>
      <c r="T34" s="16">
        <f>_xlfn.XLOOKUP(CustomerCombinedCleaned[[#This Row],[ID]], Table4[ID], Table4[Catalog], "Not Found", 0)</f>
        <v>6</v>
      </c>
      <c r="U34" s="16">
        <f>_xlfn.XLOOKUP(CustomerCombinedCleaned[[#This Row],[ID]], Table4[ID], Table4[Store], "Not Found", 0)</f>
        <v>8</v>
      </c>
      <c r="V34" s="16">
        <f>_xlfn.XLOOKUP(CustomerCombinedCleaned[[#This Row],[ID]], Table4[ID], Table4[Visits], "Not Found", 0)</f>
        <v>4</v>
      </c>
      <c r="W34" s="16">
        <f>_xlfn.XLOOKUP(CustomerCombinedCleaned[[#This Row],[ID]], Table2[ID],Table2[Complaint], "Not Found", 0 )</f>
        <v>0</v>
      </c>
      <c r="X34" s="16">
        <f>_xlfn.XLOOKUP(CustomerCombinedCleaned[[#This Row],[ID]], Table2[ID],Table2[Pilot], "Not Found", 0 )</f>
        <v>0</v>
      </c>
      <c r="Y34" s="16">
        <f>_xlfn.XLOOKUP(CustomerCombinedCleaned[[#This Row],[ID]], Table2[ID],Table2[MC1], "Not Found", 0 )</f>
        <v>0</v>
      </c>
      <c r="Z34" s="16">
        <f>_xlfn.XLOOKUP(CustomerCombinedCleaned[[#This Row],[ID]], Table2[ID],Table2[MC2], "Not Found", 0 )</f>
        <v>0</v>
      </c>
      <c r="AA34" s="16">
        <f>_xlfn.XLOOKUP(CustomerCombinedCleaned[[#This Row],[ID]], Table2[ID],Table2[MC3], "Not Found", 0 )</f>
        <v>0</v>
      </c>
      <c r="AB34" s="16">
        <f>_xlfn.XLOOKUP(CustomerCombinedCleaned[[#This Row],[ID]], Table2[ID],Table2[MC4], "Not Found", 0 )</f>
        <v>0</v>
      </c>
      <c r="AC34" s="16">
        <f>_xlfn.XLOOKUP(CustomerCombinedCleaned[[#This Row],[ID]], Table2[ID],Table2[MC5], "Not Found", 0 )</f>
        <v>1</v>
      </c>
    </row>
    <row r="35" spans="1:29" x14ac:dyDescent="0.3">
      <c r="A35" s="18">
        <v>1105</v>
      </c>
      <c r="B35" s="16">
        <v>186037</v>
      </c>
      <c r="C35" s="16">
        <v>0</v>
      </c>
      <c r="D35" s="16">
        <v>0</v>
      </c>
      <c r="E35" s="16">
        <v>29</v>
      </c>
      <c r="F35" s="17" t="s">
        <v>7</v>
      </c>
      <c r="G35" s="17" t="s">
        <v>11</v>
      </c>
      <c r="H35" s="3" t="s">
        <v>564</v>
      </c>
      <c r="I35" s="5" t="s">
        <v>437</v>
      </c>
      <c r="J35" s="16">
        <f>_xlfn.XLOOKUP(CustomerCombinedCleaned[[#This Row],[ID]], Table4[ID], Table4[Recency], "Not Found", 0)</f>
        <v>95</v>
      </c>
      <c r="K35" s="16">
        <f>_xlfn.XLOOKUP(CustomerCombinedCleaned[[#This Row],[ID]], Table4[ID], Table4[Teas], "Not Found", 0)</f>
        <v>1060</v>
      </c>
      <c r="L35" s="16">
        <f>_xlfn.XLOOKUP(CustomerCombinedCleaned[[#This Row],[ID]], Table4[ID], Table4[Fruits], "Not Found", 0)</f>
        <v>95</v>
      </c>
      <c r="M35" s="16">
        <f>_xlfn.XLOOKUP(CustomerCombinedCleaned[[#This Row],[ID]], Table4[ID], Table4[Meats], "Not Found", 0)</f>
        <v>270</v>
      </c>
      <c r="N35" s="16">
        <f>_xlfn.XLOOKUP(CustomerCombinedCleaned[[#This Row],[ID]], Table4[ID], Table4[Seafood], "Not Found", 0)</f>
        <v>63</v>
      </c>
      <c r="O35" s="16">
        <f>_xlfn.XLOOKUP(CustomerCombinedCleaned[[#This Row],[ID]], Table4[ID], Table4[Sweets], "Not Found", 0)</f>
        <v>43</v>
      </c>
      <c r="P35" s="16">
        <f>_xlfn.XLOOKUP(CustomerCombinedCleaned[[#This Row],[ID]], Table4[ID], Table4[Premium], "Not Found", 0)</f>
        <v>48</v>
      </c>
      <c r="Q35" s="16">
        <f>_xlfn.XLOOKUP(CustomerCombinedCleaned[[#This Row],[ID]], Table4[ID], Table4[Regular], "Not Found", 0)</f>
        <v>1483</v>
      </c>
      <c r="R35" s="16">
        <f>_xlfn.XLOOKUP(CustomerCombinedCleaned[[#This Row],[ID]], Table4[ID], Table4[Deals], "Not Found", 0)</f>
        <v>1</v>
      </c>
      <c r="S35" s="16">
        <f>_xlfn.XLOOKUP(CustomerCombinedCleaned[[#This Row],[ID]], Table4[ID], Table4[Website], "Not Found", 0)</f>
        <v>6</v>
      </c>
      <c r="T35" s="16">
        <f>_xlfn.XLOOKUP(CustomerCombinedCleaned[[#This Row],[ID]], Table4[ID], Table4[Catalog], "Not Found", 0)</f>
        <v>7</v>
      </c>
      <c r="U35" s="16">
        <f>_xlfn.XLOOKUP(CustomerCombinedCleaned[[#This Row],[ID]], Table4[ID], Table4[Store], "Not Found", 0)</f>
        <v>11</v>
      </c>
      <c r="V35" s="16">
        <f>_xlfn.XLOOKUP(CustomerCombinedCleaned[[#This Row],[ID]], Table4[ID], Table4[Visits], "Not Found", 0)</f>
        <v>3</v>
      </c>
      <c r="W35" s="16">
        <f>_xlfn.XLOOKUP(CustomerCombinedCleaned[[#This Row],[ID]], Table2[ID],Table2[Complaint], "Not Found", 0 )</f>
        <v>0</v>
      </c>
      <c r="X35" s="16">
        <f>_xlfn.XLOOKUP(CustomerCombinedCleaned[[#This Row],[ID]], Table2[ID],Table2[Pilot], "Not Found", 0 )</f>
        <v>1</v>
      </c>
      <c r="Y35" s="16">
        <f>_xlfn.XLOOKUP(CustomerCombinedCleaned[[#This Row],[ID]], Table2[ID],Table2[MC1], "Not Found", 0 )</f>
        <v>0</v>
      </c>
      <c r="Z35" s="16">
        <f>_xlfn.XLOOKUP(CustomerCombinedCleaned[[#This Row],[ID]], Table2[ID],Table2[MC2], "Not Found", 0 )</f>
        <v>0</v>
      </c>
      <c r="AA35" s="16">
        <f>_xlfn.XLOOKUP(CustomerCombinedCleaned[[#This Row],[ID]], Table2[ID],Table2[MC3], "Not Found", 0 )</f>
        <v>0</v>
      </c>
      <c r="AB35" s="16">
        <f>_xlfn.XLOOKUP(CustomerCombinedCleaned[[#This Row],[ID]], Table2[ID],Table2[MC4], "Not Found", 0 )</f>
        <v>1</v>
      </c>
      <c r="AC35" s="16">
        <f>_xlfn.XLOOKUP(CustomerCombinedCleaned[[#This Row],[ID]], Table2[ID],Table2[MC5], "Not Found", 0 )</f>
        <v>1</v>
      </c>
    </row>
    <row r="36" spans="1:29" x14ac:dyDescent="0.3">
      <c r="A36" s="18">
        <v>1379</v>
      </c>
      <c r="B36" s="16">
        <v>168682</v>
      </c>
      <c r="C36" s="16">
        <v>0</v>
      </c>
      <c r="D36" s="16">
        <v>0</v>
      </c>
      <c r="E36" s="16">
        <v>29</v>
      </c>
      <c r="F36" s="17" t="s">
        <v>8</v>
      </c>
      <c r="G36" s="17" t="s">
        <v>13</v>
      </c>
      <c r="H36" s="3" t="s">
        <v>664</v>
      </c>
      <c r="I36" s="5" t="s">
        <v>434</v>
      </c>
      <c r="J36" s="16">
        <f>_xlfn.XLOOKUP(CustomerCombinedCleaned[[#This Row],[ID]], Table4[ID], Table4[Recency], "Not Found", 0)</f>
        <v>56</v>
      </c>
      <c r="K36" s="16">
        <f>_xlfn.XLOOKUP(CustomerCombinedCleaned[[#This Row],[ID]], Table4[ID], Table4[Teas], "Not Found", 0)</f>
        <v>2257</v>
      </c>
      <c r="L36" s="16">
        <f>_xlfn.XLOOKUP(CustomerCombinedCleaned[[#This Row],[ID]], Table4[ID], Table4[Fruits], "Not Found", 0)</f>
        <v>0</v>
      </c>
      <c r="M36" s="16">
        <f>_xlfn.XLOOKUP(CustomerCombinedCleaned[[#This Row],[ID]], Table4[ID], Table4[Meats], "Not Found", 0)</f>
        <v>1240</v>
      </c>
      <c r="N36" s="16">
        <f>_xlfn.XLOOKUP(CustomerCombinedCleaned[[#This Row],[ID]], Table4[ID], Table4[Seafood], "Not Found", 0)</f>
        <v>243</v>
      </c>
      <c r="O36" s="16">
        <f>_xlfn.XLOOKUP(CustomerCombinedCleaned[[#This Row],[ID]], Table4[ID], Table4[Sweets], "Not Found", 0)</f>
        <v>74</v>
      </c>
      <c r="P36" s="16">
        <f>_xlfn.XLOOKUP(CustomerCombinedCleaned[[#This Row],[ID]], Table4[ID], Table4[Premium], "Not Found", 0)</f>
        <v>111</v>
      </c>
      <c r="Q36" s="16">
        <f>_xlfn.XLOOKUP(CustomerCombinedCleaned[[#This Row],[ID]], Table4[ID], Table4[Regular], "Not Found", 0)</f>
        <v>3704</v>
      </c>
      <c r="R36" s="16">
        <f>_xlfn.XLOOKUP(CustomerCombinedCleaned[[#This Row],[ID]], Table4[ID], Table4[Deals], "Not Found", 0)</f>
        <v>1</v>
      </c>
      <c r="S36" s="16">
        <f>_xlfn.XLOOKUP(CustomerCombinedCleaned[[#This Row],[ID]], Table4[ID], Table4[Website], "Not Found", 0)</f>
        <v>4</v>
      </c>
      <c r="T36" s="16">
        <f>_xlfn.XLOOKUP(CustomerCombinedCleaned[[#This Row],[ID]], Table4[ID], Table4[Catalog], "Not Found", 0)</f>
        <v>9</v>
      </c>
      <c r="U36" s="16">
        <f>_xlfn.XLOOKUP(CustomerCombinedCleaned[[#This Row],[ID]], Table4[ID], Table4[Store], "Not Found", 0)</f>
        <v>10</v>
      </c>
      <c r="V36" s="16">
        <f>_xlfn.XLOOKUP(CustomerCombinedCleaned[[#This Row],[ID]], Table4[ID], Table4[Visits], "Not Found", 0)</f>
        <v>2</v>
      </c>
      <c r="W36" s="16">
        <f>_xlfn.XLOOKUP(CustomerCombinedCleaned[[#This Row],[ID]], Table2[ID],Table2[Complaint], "Not Found", 0 )</f>
        <v>0</v>
      </c>
      <c r="X36" s="16">
        <f>_xlfn.XLOOKUP(CustomerCombinedCleaned[[#This Row],[ID]], Table2[ID],Table2[Pilot], "Not Found", 0 )</f>
        <v>0</v>
      </c>
      <c r="Y36" s="16">
        <f>_xlfn.XLOOKUP(CustomerCombinedCleaned[[#This Row],[ID]], Table2[ID],Table2[MC1], "Not Found", 0 )</f>
        <v>0</v>
      </c>
      <c r="Z36" s="16">
        <f>_xlfn.XLOOKUP(CustomerCombinedCleaned[[#This Row],[ID]], Table2[ID],Table2[MC2], "Not Found", 0 )</f>
        <v>0</v>
      </c>
      <c r="AA36" s="16">
        <f>_xlfn.XLOOKUP(CustomerCombinedCleaned[[#This Row],[ID]], Table2[ID],Table2[MC3], "Not Found", 0 )</f>
        <v>0</v>
      </c>
      <c r="AB36" s="16">
        <f>_xlfn.XLOOKUP(CustomerCombinedCleaned[[#This Row],[ID]], Table2[ID],Table2[MC4], "Not Found", 0 )</f>
        <v>0</v>
      </c>
      <c r="AC36" s="16">
        <f>_xlfn.XLOOKUP(CustomerCombinedCleaned[[#This Row],[ID]], Table2[ID],Table2[MC5], "Not Found", 0 )</f>
        <v>0</v>
      </c>
    </row>
    <row r="37" spans="1:29" x14ac:dyDescent="0.3">
      <c r="A37" s="18">
        <v>2199</v>
      </c>
      <c r="B37" s="16">
        <v>168682</v>
      </c>
      <c r="C37" s="16">
        <v>0</v>
      </c>
      <c r="D37" s="16">
        <v>0</v>
      </c>
      <c r="E37" s="16">
        <v>29</v>
      </c>
      <c r="F37" s="17" t="s">
        <v>8</v>
      </c>
      <c r="G37" s="17" t="s">
        <v>13</v>
      </c>
      <c r="H37" s="3" t="s">
        <v>664</v>
      </c>
      <c r="I37" s="5" t="s">
        <v>435</v>
      </c>
      <c r="J37" s="16">
        <f>_xlfn.XLOOKUP(CustomerCombinedCleaned[[#This Row],[ID]], Table4[ID], Table4[Recency], "Not Found", 0)</f>
        <v>56</v>
      </c>
      <c r="K37" s="16">
        <f>_xlfn.XLOOKUP(CustomerCombinedCleaned[[#This Row],[ID]], Table4[ID], Table4[Teas], "Not Found", 0)</f>
        <v>2257</v>
      </c>
      <c r="L37" s="16">
        <f>_xlfn.XLOOKUP(CustomerCombinedCleaned[[#This Row],[ID]], Table4[ID], Table4[Fruits], "Not Found", 0)</f>
        <v>0</v>
      </c>
      <c r="M37" s="16">
        <f>_xlfn.XLOOKUP(CustomerCombinedCleaned[[#This Row],[ID]], Table4[ID], Table4[Meats], "Not Found", 0)</f>
        <v>1240</v>
      </c>
      <c r="N37" s="16">
        <f>_xlfn.XLOOKUP(CustomerCombinedCleaned[[#This Row],[ID]], Table4[ID], Table4[Seafood], "Not Found", 0)</f>
        <v>243</v>
      </c>
      <c r="O37" s="16">
        <f>_xlfn.XLOOKUP(CustomerCombinedCleaned[[#This Row],[ID]], Table4[ID], Table4[Sweets], "Not Found", 0)</f>
        <v>74</v>
      </c>
      <c r="P37" s="16">
        <f>_xlfn.XLOOKUP(CustomerCombinedCleaned[[#This Row],[ID]], Table4[ID], Table4[Premium], "Not Found", 0)</f>
        <v>111</v>
      </c>
      <c r="Q37" s="16">
        <f>_xlfn.XLOOKUP(CustomerCombinedCleaned[[#This Row],[ID]], Table4[ID], Table4[Regular], "Not Found", 0)</f>
        <v>3704</v>
      </c>
      <c r="R37" s="16">
        <f>_xlfn.XLOOKUP(CustomerCombinedCleaned[[#This Row],[ID]], Table4[ID], Table4[Deals], "Not Found", 0)</f>
        <v>1</v>
      </c>
      <c r="S37" s="16">
        <f>_xlfn.XLOOKUP(CustomerCombinedCleaned[[#This Row],[ID]], Table4[ID], Table4[Website], "Not Found", 0)</f>
        <v>4</v>
      </c>
      <c r="T37" s="16">
        <f>_xlfn.XLOOKUP(CustomerCombinedCleaned[[#This Row],[ID]], Table4[ID], Table4[Catalog], "Not Found", 0)</f>
        <v>9</v>
      </c>
      <c r="U37" s="16">
        <f>_xlfn.XLOOKUP(CustomerCombinedCleaned[[#This Row],[ID]], Table4[ID], Table4[Store], "Not Found", 0)</f>
        <v>10</v>
      </c>
      <c r="V37" s="16">
        <f>_xlfn.XLOOKUP(CustomerCombinedCleaned[[#This Row],[ID]], Table4[ID], Table4[Visits], "Not Found", 0)</f>
        <v>2</v>
      </c>
      <c r="W37" s="16">
        <f>_xlfn.XLOOKUP(CustomerCombinedCleaned[[#This Row],[ID]], Table2[ID],Table2[Complaint], "Not Found", 0 )</f>
        <v>0</v>
      </c>
      <c r="X37" s="16">
        <f>_xlfn.XLOOKUP(CustomerCombinedCleaned[[#This Row],[ID]], Table2[ID],Table2[Pilot], "Not Found", 0 )</f>
        <v>0</v>
      </c>
      <c r="Y37" s="16">
        <f>_xlfn.XLOOKUP(CustomerCombinedCleaned[[#This Row],[ID]], Table2[ID],Table2[MC1], "Not Found", 0 )</f>
        <v>0</v>
      </c>
      <c r="Z37" s="16">
        <f>_xlfn.XLOOKUP(CustomerCombinedCleaned[[#This Row],[ID]], Table2[ID],Table2[MC2], "Not Found", 0 )</f>
        <v>0</v>
      </c>
      <c r="AA37" s="16">
        <f>_xlfn.XLOOKUP(CustomerCombinedCleaned[[#This Row],[ID]], Table2[ID],Table2[MC3], "Not Found", 0 )</f>
        <v>0</v>
      </c>
      <c r="AB37" s="16">
        <f>_xlfn.XLOOKUP(CustomerCombinedCleaned[[#This Row],[ID]], Table2[ID],Table2[MC4], "Not Found", 0 )</f>
        <v>0</v>
      </c>
      <c r="AC37" s="16">
        <f>_xlfn.XLOOKUP(CustomerCombinedCleaned[[#This Row],[ID]], Table2[ID],Table2[MC5], "Not Found", 0 )</f>
        <v>0</v>
      </c>
    </row>
    <row r="38" spans="1:29" x14ac:dyDescent="0.3">
      <c r="A38" s="18">
        <v>1103</v>
      </c>
      <c r="B38" s="16">
        <v>168126</v>
      </c>
      <c r="C38" s="16">
        <v>0</v>
      </c>
      <c r="D38" s="16">
        <v>0</v>
      </c>
      <c r="E38" s="16">
        <v>29</v>
      </c>
      <c r="F38" s="17" t="s">
        <v>7</v>
      </c>
      <c r="G38" s="17" t="s">
        <v>13</v>
      </c>
      <c r="H38" s="3" t="s">
        <v>365</v>
      </c>
      <c r="I38" s="5" t="s">
        <v>434</v>
      </c>
      <c r="J38" s="16">
        <f>_xlfn.XLOOKUP(CustomerCombinedCleaned[[#This Row],[ID]], Table4[ID], Table4[Recency], "Not Found", 0)</f>
        <v>40</v>
      </c>
      <c r="K38" s="16">
        <f>_xlfn.XLOOKUP(CustomerCombinedCleaned[[#This Row],[ID]], Table4[ID], Table4[Teas], "Not Found", 0)</f>
        <v>3287</v>
      </c>
      <c r="L38" s="16">
        <f>_xlfn.XLOOKUP(CustomerCombinedCleaned[[#This Row],[ID]], Table4[ID], Table4[Fruits], "Not Found", 0)</f>
        <v>42</v>
      </c>
      <c r="M38" s="16">
        <f>_xlfn.XLOOKUP(CustomerCombinedCleaned[[#This Row],[ID]], Table4[ID], Table4[Meats], "Not Found", 0)</f>
        <v>768</v>
      </c>
      <c r="N38" s="16">
        <f>_xlfn.XLOOKUP(CustomerCombinedCleaned[[#This Row],[ID]], Table4[ID], Table4[Seafood], "Not Found", 0)</f>
        <v>57</v>
      </c>
      <c r="O38" s="16">
        <f>_xlfn.XLOOKUP(CustomerCombinedCleaned[[#This Row],[ID]], Table4[ID], Table4[Sweets], "Not Found", 0)</f>
        <v>126</v>
      </c>
      <c r="P38" s="16">
        <f>_xlfn.XLOOKUP(CustomerCombinedCleaned[[#This Row],[ID]], Table4[ID], Table4[Premium], "Not Found", 0)</f>
        <v>212</v>
      </c>
      <c r="Q38" s="16">
        <f>_xlfn.XLOOKUP(CustomerCombinedCleaned[[#This Row],[ID]], Table4[ID], Table4[Regular], "Not Found", 0)</f>
        <v>4067</v>
      </c>
      <c r="R38" s="16">
        <f>_xlfn.XLOOKUP(CustomerCombinedCleaned[[#This Row],[ID]], Table4[ID], Table4[Deals], "Not Found", 0)</f>
        <v>1</v>
      </c>
      <c r="S38" s="16">
        <f>_xlfn.XLOOKUP(CustomerCombinedCleaned[[#This Row],[ID]], Table4[ID], Table4[Website], "Not Found", 0)</f>
        <v>7</v>
      </c>
      <c r="T38" s="16">
        <f>_xlfn.XLOOKUP(CustomerCombinedCleaned[[#This Row],[ID]], Table4[ID], Table4[Catalog], "Not Found", 0)</f>
        <v>4</v>
      </c>
      <c r="U38" s="16">
        <f>_xlfn.XLOOKUP(CustomerCombinedCleaned[[#This Row],[ID]], Table4[ID], Table4[Store], "Not Found", 0)</f>
        <v>5</v>
      </c>
      <c r="V38" s="16">
        <f>_xlfn.XLOOKUP(CustomerCombinedCleaned[[#This Row],[ID]], Table4[ID], Table4[Visits], "Not Found", 0)</f>
        <v>9</v>
      </c>
      <c r="W38" s="16">
        <f>_xlfn.XLOOKUP(CustomerCombinedCleaned[[#This Row],[ID]], Table2[ID],Table2[Complaint], "Not Found", 0 )</f>
        <v>0</v>
      </c>
      <c r="X38" s="16">
        <f>_xlfn.XLOOKUP(CustomerCombinedCleaned[[#This Row],[ID]], Table2[ID],Table2[Pilot], "Not Found", 0 )</f>
        <v>1</v>
      </c>
      <c r="Y38" s="16">
        <f>_xlfn.XLOOKUP(CustomerCombinedCleaned[[#This Row],[ID]], Table2[ID],Table2[MC1], "Not Found", 0 )</f>
        <v>0</v>
      </c>
      <c r="Z38" s="16">
        <f>_xlfn.XLOOKUP(CustomerCombinedCleaned[[#This Row],[ID]], Table2[ID],Table2[MC2], "Not Found", 0 )</f>
        <v>0</v>
      </c>
      <c r="AA38" s="16">
        <f>_xlfn.XLOOKUP(CustomerCombinedCleaned[[#This Row],[ID]], Table2[ID],Table2[MC3], "Not Found", 0 )</f>
        <v>0</v>
      </c>
      <c r="AB38" s="16">
        <f>_xlfn.XLOOKUP(CustomerCombinedCleaned[[#This Row],[ID]], Table2[ID],Table2[MC4], "Not Found", 0 )</f>
        <v>1</v>
      </c>
      <c r="AC38" s="16">
        <f>_xlfn.XLOOKUP(CustomerCombinedCleaned[[#This Row],[ID]], Table2[ID],Table2[MC5], "Not Found", 0 )</f>
        <v>0</v>
      </c>
    </row>
    <row r="39" spans="1:29" x14ac:dyDescent="0.3">
      <c r="A39" s="18">
        <v>1827</v>
      </c>
      <c r="B39" s="16">
        <v>161618</v>
      </c>
      <c r="C39" s="16">
        <v>0</v>
      </c>
      <c r="D39" s="16">
        <v>0</v>
      </c>
      <c r="E39" s="16">
        <v>29</v>
      </c>
      <c r="F39" s="17" t="s">
        <v>7</v>
      </c>
      <c r="G39" s="17" t="s">
        <v>11</v>
      </c>
      <c r="H39" s="3" t="s">
        <v>592</v>
      </c>
      <c r="I39" s="5" t="s">
        <v>435</v>
      </c>
      <c r="J39" s="16">
        <f>_xlfn.XLOOKUP(CustomerCombinedCleaned[[#This Row],[ID]], Table4[ID], Table4[Recency], "Not Found", 0)</f>
        <v>27</v>
      </c>
      <c r="K39" s="16">
        <f>_xlfn.XLOOKUP(CustomerCombinedCleaned[[#This Row],[ID]], Table4[ID], Table4[Teas], "Not Found", 0)</f>
        <v>1587</v>
      </c>
      <c r="L39" s="16">
        <f>_xlfn.XLOOKUP(CustomerCombinedCleaned[[#This Row],[ID]], Table4[ID], Table4[Fruits], "Not Found", 0)</f>
        <v>239</v>
      </c>
      <c r="M39" s="16">
        <f>_xlfn.XLOOKUP(CustomerCombinedCleaned[[#This Row],[ID]], Table4[ID], Table4[Meats], "Not Found", 0)</f>
        <v>1047</v>
      </c>
      <c r="N39" s="16">
        <f>_xlfn.XLOOKUP(CustomerCombinedCleaned[[#This Row],[ID]], Table4[ID], Table4[Seafood], "Not Found", 0)</f>
        <v>0</v>
      </c>
      <c r="O39" s="16">
        <f>_xlfn.XLOOKUP(CustomerCombinedCleaned[[#This Row],[ID]], Table4[ID], Table4[Sweets], "Not Found", 0)</f>
        <v>118</v>
      </c>
      <c r="P39" s="16">
        <f>_xlfn.XLOOKUP(CustomerCombinedCleaned[[#This Row],[ID]], Table4[ID], Table4[Premium], "Not Found", 0)</f>
        <v>538</v>
      </c>
      <c r="Q39" s="16">
        <f>_xlfn.XLOOKUP(CustomerCombinedCleaned[[#This Row],[ID]], Table4[ID], Table4[Regular], "Not Found", 0)</f>
        <v>2452</v>
      </c>
      <c r="R39" s="16">
        <f>_xlfn.XLOOKUP(CustomerCombinedCleaned[[#This Row],[ID]], Table4[ID], Table4[Deals], "Not Found", 0)</f>
        <v>2</v>
      </c>
      <c r="S39" s="16">
        <f>_xlfn.XLOOKUP(CustomerCombinedCleaned[[#This Row],[ID]], Table4[ID], Table4[Website], "Not Found", 0)</f>
        <v>3</v>
      </c>
      <c r="T39" s="16">
        <f>_xlfn.XLOOKUP(CustomerCombinedCleaned[[#This Row],[ID]], Table4[ID], Table4[Catalog], "Not Found", 0)</f>
        <v>6</v>
      </c>
      <c r="U39" s="16">
        <f>_xlfn.XLOOKUP(CustomerCombinedCleaned[[#This Row],[ID]], Table4[ID], Table4[Store], "Not Found", 0)</f>
        <v>8</v>
      </c>
      <c r="V39" s="16">
        <f>_xlfn.XLOOKUP(CustomerCombinedCleaned[[#This Row],[ID]], Table4[ID], Table4[Visits], "Not Found", 0)</f>
        <v>3</v>
      </c>
      <c r="W39" s="16">
        <f>_xlfn.XLOOKUP(CustomerCombinedCleaned[[#This Row],[ID]], Table2[ID],Table2[Complaint], "Not Found", 0 )</f>
        <v>0</v>
      </c>
      <c r="X39" s="16">
        <f>_xlfn.XLOOKUP(CustomerCombinedCleaned[[#This Row],[ID]], Table2[ID],Table2[Pilot], "Not Found", 0 )</f>
        <v>0</v>
      </c>
      <c r="Y39" s="16">
        <f>_xlfn.XLOOKUP(CustomerCombinedCleaned[[#This Row],[ID]], Table2[ID],Table2[MC1], "Not Found", 0 )</f>
        <v>0</v>
      </c>
      <c r="Z39" s="16">
        <f>_xlfn.XLOOKUP(CustomerCombinedCleaned[[#This Row],[ID]], Table2[ID],Table2[MC2], "Not Found", 0 )</f>
        <v>0</v>
      </c>
      <c r="AA39" s="16">
        <f>_xlfn.XLOOKUP(CustomerCombinedCleaned[[#This Row],[ID]], Table2[ID],Table2[MC3], "Not Found", 0 )</f>
        <v>0</v>
      </c>
      <c r="AB39" s="16">
        <f>_xlfn.XLOOKUP(CustomerCombinedCleaned[[#This Row],[ID]], Table2[ID],Table2[MC4], "Not Found", 0 )</f>
        <v>0</v>
      </c>
      <c r="AC39" s="16">
        <f>_xlfn.XLOOKUP(CustomerCombinedCleaned[[#This Row],[ID]], Table2[ID],Table2[MC5], "Not Found", 0 )</f>
        <v>0</v>
      </c>
    </row>
    <row r="40" spans="1:29" x14ac:dyDescent="0.3">
      <c r="A40" s="18">
        <v>2962</v>
      </c>
      <c r="B40" s="16">
        <v>151373</v>
      </c>
      <c r="C40" s="16">
        <v>0</v>
      </c>
      <c r="D40" s="16">
        <v>0</v>
      </c>
      <c r="E40" s="16">
        <v>29</v>
      </c>
      <c r="F40" s="17" t="s">
        <v>6</v>
      </c>
      <c r="G40" s="17" t="s">
        <v>11</v>
      </c>
      <c r="H40" s="3" t="s">
        <v>231</v>
      </c>
      <c r="I40" s="5" t="s">
        <v>439</v>
      </c>
      <c r="J40" s="16">
        <f>_xlfn.XLOOKUP(CustomerCombinedCleaned[[#This Row],[ID]], Table4[ID], Table4[Recency], "Not Found", 0)</f>
        <v>37</v>
      </c>
      <c r="K40" s="16">
        <f>_xlfn.XLOOKUP(CustomerCombinedCleaned[[#This Row],[ID]], Table4[ID], Table4[Teas], "Not Found", 0)</f>
        <v>245</v>
      </c>
      <c r="L40" s="16">
        <f>_xlfn.XLOOKUP(CustomerCombinedCleaned[[#This Row],[ID]], Table4[ID], Table4[Fruits], "Not Found", 0)</f>
        <v>6</v>
      </c>
      <c r="M40" s="16">
        <f>_xlfn.XLOOKUP(CustomerCombinedCleaned[[#This Row],[ID]], Table4[ID], Table4[Meats], "Not Found", 0)</f>
        <v>298</v>
      </c>
      <c r="N40" s="16">
        <f>_xlfn.XLOOKUP(CustomerCombinedCleaned[[#This Row],[ID]], Table4[ID], Table4[Seafood], "Not Found", 0)</f>
        <v>189</v>
      </c>
      <c r="O40" s="16">
        <f>_xlfn.XLOOKUP(CustomerCombinedCleaned[[#This Row],[ID]], Table4[ID], Table4[Sweets], "Not Found", 0)</f>
        <v>77</v>
      </c>
      <c r="P40" s="16">
        <f>_xlfn.XLOOKUP(CustomerCombinedCleaned[[#This Row],[ID]], Table4[ID], Table4[Premium], "Not Found", 0)</f>
        <v>345</v>
      </c>
      <c r="Q40" s="16">
        <f>_xlfn.XLOOKUP(CustomerCombinedCleaned[[#This Row],[ID]], Table4[ID], Table4[Regular], "Not Found", 0)</f>
        <v>469</v>
      </c>
      <c r="R40" s="16">
        <f>_xlfn.XLOOKUP(CustomerCombinedCleaned[[#This Row],[ID]], Table4[ID], Table4[Deals], "Not Found", 0)</f>
        <v>1</v>
      </c>
      <c r="S40" s="16">
        <f>_xlfn.XLOOKUP(CustomerCombinedCleaned[[#This Row],[ID]], Table4[ID], Table4[Website], "Not Found", 0)</f>
        <v>3</v>
      </c>
      <c r="T40" s="16">
        <f>_xlfn.XLOOKUP(CustomerCombinedCleaned[[#This Row],[ID]], Table4[ID], Table4[Catalog], "Not Found", 0)</f>
        <v>5</v>
      </c>
      <c r="U40" s="16">
        <f>_xlfn.XLOOKUP(CustomerCombinedCleaned[[#This Row],[ID]], Table4[ID], Table4[Store], "Not Found", 0)</f>
        <v>3</v>
      </c>
      <c r="V40" s="16">
        <f>_xlfn.XLOOKUP(CustomerCombinedCleaned[[#This Row],[ID]], Table4[ID], Table4[Visits], "Not Found", 0)</f>
        <v>4</v>
      </c>
      <c r="W40" s="16">
        <f>_xlfn.XLOOKUP(CustomerCombinedCleaned[[#This Row],[ID]], Table2[ID],Table2[Complaint], "Not Found", 0 )</f>
        <v>0</v>
      </c>
      <c r="X40" s="16">
        <f>_xlfn.XLOOKUP(CustomerCombinedCleaned[[#This Row],[ID]], Table2[ID],Table2[Pilot], "Not Found", 0 )</f>
        <v>0</v>
      </c>
      <c r="Y40" s="16">
        <f>_xlfn.XLOOKUP(CustomerCombinedCleaned[[#This Row],[ID]], Table2[ID],Table2[MC1], "Not Found", 0 )</f>
        <v>0</v>
      </c>
      <c r="Z40" s="16">
        <f>_xlfn.XLOOKUP(CustomerCombinedCleaned[[#This Row],[ID]], Table2[ID],Table2[MC2], "Not Found", 0 )</f>
        <v>0</v>
      </c>
      <c r="AA40" s="16">
        <f>_xlfn.XLOOKUP(CustomerCombinedCleaned[[#This Row],[ID]], Table2[ID],Table2[MC3], "Not Found", 0 )</f>
        <v>0</v>
      </c>
      <c r="AB40" s="16">
        <f>_xlfn.XLOOKUP(CustomerCombinedCleaned[[#This Row],[ID]], Table2[ID],Table2[MC4], "Not Found", 0 )</f>
        <v>0</v>
      </c>
      <c r="AC40" s="16">
        <f>_xlfn.XLOOKUP(CustomerCombinedCleaned[[#This Row],[ID]], Table2[ID],Table2[MC5], "Not Found", 0 )</f>
        <v>0</v>
      </c>
    </row>
    <row r="41" spans="1:29" x14ac:dyDescent="0.3">
      <c r="A41" s="18">
        <v>3015</v>
      </c>
      <c r="B41" s="16">
        <v>149767</v>
      </c>
      <c r="C41" s="16">
        <v>0</v>
      </c>
      <c r="D41" s="16">
        <v>0</v>
      </c>
      <c r="E41" s="16">
        <v>29</v>
      </c>
      <c r="F41" s="17" t="s">
        <v>7</v>
      </c>
      <c r="G41" s="17" t="s">
        <v>11</v>
      </c>
      <c r="H41" s="3" t="s">
        <v>724</v>
      </c>
      <c r="I41" s="5" t="s">
        <v>435</v>
      </c>
      <c r="J41" s="16">
        <f>_xlfn.XLOOKUP(CustomerCombinedCleaned[[#This Row],[ID]], Table4[ID], Table4[Recency], "Not Found", 0)</f>
        <v>92</v>
      </c>
      <c r="K41" s="16">
        <f>_xlfn.XLOOKUP(CustomerCombinedCleaned[[#This Row],[ID]], Table4[ID], Table4[Teas], "Not Found", 0)</f>
        <v>608</v>
      </c>
      <c r="L41" s="16">
        <f>_xlfn.XLOOKUP(CustomerCombinedCleaned[[#This Row],[ID]], Table4[ID], Table4[Fruits], "Not Found", 0)</f>
        <v>141</v>
      </c>
      <c r="M41" s="16">
        <f>_xlfn.XLOOKUP(CustomerCombinedCleaned[[#This Row],[ID]], Table4[ID], Table4[Meats], "Not Found", 0)</f>
        <v>593</v>
      </c>
      <c r="N41" s="16">
        <f>_xlfn.XLOOKUP(CustomerCombinedCleaned[[#This Row],[ID]], Table4[ID], Table4[Seafood], "Not Found", 0)</f>
        <v>166</v>
      </c>
      <c r="O41" s="16">
        <f>_xlfn.XLOOKUP(CustomerCombinedCleaned[[#This Row],[ID]], Table4[ID], Table4[Sweets], "Not Found", 0)</f>
        <v>126</v>
      </c>
      <c r="P41" s="16">
        <f>_xlfn.XLOOKUP(CustomerCombinedCleaned[[#This Row],[ID]], Table4[ID], Table4[Premium], "Not Found", 0)</f>
        <v>448</v>
      </c>
      <c r="Q41" s="16">
        <f>_xlfn.XLOOKUP(CustomerCombinedCleaned[[#This Row],[ID]], Table4[ID], Table4[Regular], "Not Found", 0)</f>
        <v>1186</v>
      </c>
      <c r="R41" s="16">
        <f>_xlfn.XLOOKUP(CustomerCombinedCleaned[[#This Row],[ID]], Table4[ID], Table4[Deals], "Not Found", 0)</f>
        <v>1</v>
      </c>
      <c r="S41" s="16">
        <f>_xlfn.XLOOKUP(CustomerCombinedCleaned[[#This Row],[ID]], Table4[ID], Table4[Website], "Not Found", 0)</f>
        <v>5</v>
      </c>
      <c r="T41" s="16">
        <f>_xlfn.XLOOKUP(CustomerCombinedCleaned[[#This Row],[ID]], Table4[ID], Table4[Catalog], "Not Found", 0)</f>
        <v>4</v>
      </c>
      <c r="U41" s="16">
        <f>_xlfn.XLOOKUP(CustomerCombinedCleaned[[#This Row],[ID]], Table4[ID], Table4[Store], "Not Found", 0)</f>
        <v>8</v>
      </c>
      <c r="V41" s="16">
        <f>_xlfn.XLOOKUP(CustomerCombinedCleaned[[#This Row],[ID]], Table4[ID], Table4[Visits], "Not Found", 0)</f>
        <v>4</v>
      </c>
      <c r="W41" s="16">
        <f>_xlfn.XLOOKUP(CustomerCombinedCleaned[[#This Row],[ID]], Table2[ID],Table2[Complaint], "Not Found", 0 )</f>
        <v>0</v>
      </c>
      <c r="X41" s="16">
        <f>_xlfn.XLOOKUP(CustomerCombinedCleaned[[#This Row],[ID]], Table2[ID],Table2[Pilot], "Not Found", 0 )</f>
        <v>0</v>
      </c>
      <c r="Y41" s="16">
        <f>_xlfn.XLOOKUP(CustomerCombinedCleaned[[#This Row],[ID]], Table2[ID],Table2[MC1], "Not Found", 0 )</f>
        <v>0</v>
      </c>
      <c r="Z41" s="16">
        <f>_xlfn.XLOOKUP(CustomerCombinedCleaned[[#This Row],[ID]], Table2[ID],Table2[MC2], "Not Found", 0 )</f>
        <v>0</v>
      </c>
      <c r="AA41" s="16">
        <f>_xlfn.XLOOKUP(CustomerCombinedCleaned[[#This Row],[ID]], Table2[ID],Table2[MC3], "Not Found", 0 )</f>
        <v>0</v>
      </c>
      <c r="AB41" s="16">
        <f>_xlfn.XLOOKUP(CustomerCombinedCleaned[[#This Row],[ID]], Table2[ID],Table2[MC4], "Not Found", 0 )</f>
        <v>0</v>
      </c>
      <c r="AC41" s="16">
        <f>_xlfn.XLOOKUP(CustomerCombinedCleaned[[#This Row],[ID]], Table2[ID],Table2[MC5], "Not Found", 0 )</f>
        <v>0</v>
      </c>
    </row>
    <row r="42" spans="1:29" x14ac:dyDescent="0.3">
      <c r="A42" s="18">
        <v>1506</v>
      </c>
      <c r="B42" s="16">
        <v>142691</v>
      </c>
      <c r="C42" s="16">
        <v>0</v>
      </c>
      <c r="D42" s="16">
        <v>0</v>
      </c>
      <c r="E42" s="16">
        <v>29</v>
      </c>
      <c r="F42" s="17" t="s">
        <v>6</v>
      </c>
      <c r="G42" s="17" t="s">
        <v>11</v>
      </c>
      <c r="H42" s="3" t="s">
        <v>201</v>
      </c>
      <c r="I42" s="5" t="s">
        <v>436</v>
      </c>
      <c r="J42" s="16">
        <f>_xlfn.XLOOKUP(CustomerCombinedCleaned[[#This Row],[ID]], Table4[ID], Table4[Recency], "Not Found", 0)</f>
        <v>48</v>
      </c>
      <c r="K42" s="16">
        <f>_xlfn.XLOOKUP(CustomerCombinedCleaned[[#This Row],[ID]], Table4[ID], Table4[Teas], "Not Found", 0)</f>
        <v>598</v>
      </c>
      <c r="L42" s="16">
        <f>_xlfn.XLOOKUP(CustomerCombinedCleaned[[#This Row],[ID]], Table4[ID], Table4[Fruits], "Not Found", 0)</f>
        <v>7</v>
      </c>
      <c r="M42" s="16">
        <f>_xlfn.XLOOKUP(CustomerCombinedCleaned[[#This Row],[ID]], Table4[ID], Table4[Meats], "Not Found", 0)</f>
        <v>214</v>
      </c>
      <c r="N42" s="16">
        <f>_xlfn.XLOOKUP(CustomerCombinedCleaned[[#This Row],[ID]], Table4[ID], Table4[Seafood], "Not Found", 0)</f>
        <v>127</v>
      </c>
      <c r="O42" s="16">
        <f>_xlfn.XLOOKUP(CustomerCombinedCleaned[[#This Row],[ID]], Table4[ID], Table4[Sweets], "Not Found", 0)</f>
        <v>57</v>
      </c>
      <c r="P42" s="16">
        <f>_xlfn.XLOOKUP(CustomerCombinedCleaned[[#This Row],[ID]], Table4[ID], Table4[Premium], "Not Found", 0)</f>
        <v>194</v>
      </c>
      <c r="Q42" s="16">
        <f>_xlfn.XLOOKUP(CustomerCombinedCleaned[[#This Row],[ID]], Table4[ID], Table4[Regular], "Not Found", 0)</f>
        <v>809</v>
      </c>
      <c r="R42" s="16">
        <f>_xlfn.XLOOKUP(CustomerCombinedCleaned[[#This Row],[ID]], Table4[ID], Table4[Deals], "Not Found", 0)</f>
        <v>1</v>
      </c>
      <c r="S42" s="16">
        <f>_xlfn.XLOOKUP(CustomerCombinedCleaned[[#This Row],[ID]], Table4[ID], Table4[Website], "Not Found", 0)</f>
        <v>5</v>
      </c>
      <c r="T42" s="16">
        <f>_xlfn.XLOOKUP(CustomerCombinedCleaned[[#This Row],[ID]], Table4[ID], Table4[Catalog], "Not Found", 0)</f>
        <v>1</v>
      </c>
      <c r="U42" s="16">
        <f>_xlfn.XLOOKUP(CustomerCombinedCleaned[[#This Row],[ID]], Table4[ID], Table4[Store], "Not Found", 0)</f>
        <v>6</v>
      </c>
      <c r="V42" s="16">
        <f>_xlfn.XLOOKUP(CustomerCombinedCleaned[[#This Row],[ID]], Table4[ID], Table4[Visits], "Not Found", 0)</f>
        <v>5</v>
      </c>
      <c r="W42" s="16">
        <f>_xlfn.XLOOKUP(CustomerCombinedCleaned[[#This Row],[ID]], Table2[ID],Table2[Complaint], "Not Found", 0 )</f>
        <v>0</v>
      </c>
      <c r="X42" s="16">
        <f>_xlfn.XLOOKUP(CustomerCombinedCleaned[[#This Row],[ID]], Table2[ID],Table2[Pilot], "Not Found", 0 )</f>
        <v>0</v>
      </c>
      <c r="Y42" s="16">
        <f>_xlfn.XLOOKUP(CustomerCombinedCleaned[[#This Row],[ID]], Table2[ID],Table2[MC1], "Not Found", 0 )</f>
        <v>0</v>
      </c>
      <c r="Z42" s="16">
        <f>_xlfn.XLOOKUP(CustomerCombinedCleaned[[#This Row],[ID]], Table2[ID],Table2[MC2], "Not Found", 0 )</f>
        <v>0</v>
      </c>
      <c r="AA42" s="16">
        <f>_xlfn.XLOOKUP(CustomerCombinedCleaned[[#This Row],[ID]], Table2[ID],Table2[MC3], "Not Found", 0 )</f>
        <v>0</v>
      </c>
      <c r="AB42" s="16">
        <f>_xlfn.XLOOKUP(CustomerCombinedCleaned[[#This Row],[ID]], Table2[ID],Table2[MC4], "Not Found", 0 )</f>
        <v>0</v>
      </c>
      <c r="AC42" s="16">
        <f>_xlfn.XLOOKUP(CustomerCombinedCleaned[[#This Row],[ID]], Table2[ID],Table2[MC5], "Not Found", 0 )</f>
        <v>0</v>
      </c>
    </row>
    <row r="43" spans="1:29" x14ac:dyDescent="0.3">
      <c r="A43" s="18">
        <v>1874</v>
      </c>
      <c r="B43" s="16">
        <v>126868</v>
      </c>
      <c r="C43" s="16">
        <v>1</v>
      </c>
      <c r="D43" s="16">
        <v>0</v>
      </c>
      <c r="E43" s="16">
        <v>29</v>
      </c>
      <c r="F43" s="17" t="s">
        <v>7</v>
      </c>
      <c r="G43" s="17" t="s">
        <v>10</v>
      </c>
      <c r="H43" s="3" t="s">
        <v>617</v>
      </c>
      <c r="I43" s="5" t="s">
        <v>438</v>
      </c>
      <c r="J43" s="16">
        <f>_xlfn.XLOOKUP(CustomerCombinedCleaned[[#This Row],[ID]], Table4[ID], Table4[Recency], "Not Found", 0)</f>
        <v>52</v>
      </c>
      <c r="K43" s="16">
        <f>_xlfn.XLOOKUP(CustomerCombinedCleaned[[#This Row],[ID]], Table4[ID], Table4[Teas], "Not Found", 0)</f>
        <v>0</v>
      </c>
      <c r="L43" s="16">
        <f>_xlfn.XLOOKUP(CustomerCombinedCleaned[[#This Row],[ID]], Table4[ID], Table4[Fruits], "Not Found", 0)</f>
        <v>0</v>
      </c>
      <c r="M43" s="16">
        <f>_xlfn.XLOOKUP(CustomerCombinedCleaned[[#This Row],[ID]], Table4[ID], Table4[Meats], "Not Found", 0)</f>
        <v>5</v>
      </c>
      <c r="N43" s="16">
        <f>_xlfn.XLOOKUP(CustomerCombinedCleaned[[#This Row],[ID]], Table4[ID], Table4[Seafood], "Not Found", 0)</f>
        <v>38</v>
      </c>
      <c r="O43" s="16">
        <f>_xlfn.XLOOKUP(CustomerCombinedCleaned[[#This Row],[ID]], Table4[ID], Table4[Sweets], "Not Found", 0)</f>
        <v>14</v>
      </c>
      <c r="P43" s="16">
        <f>_xlfn.XLOOKUP(CustomerCombinedCleaned[[#This Row],[ID]], Table4[ID], Table4[Premium], "Not Found", 0)</f>
        <v>9</v>
      </c>
      <c r="Q43" s="16">
        <f>_xlfn.XLOOKUP(CustomerCombinedCleaned[[#This Row],[ID]], Table4[ID], Table4[Regular], "Not Found", 0)</f>
        <v>47</v>
      </c>
      <c r="R43" s="16">
        <f>_xlfn.XLOOKUP(CustomerCombinedCleaned[[#This Row],[ID]], Table4[ID], Table4[Deals], "Not Found", 0)</f>
        <v>1</v>
      </c>
      <c r="S43" s="16">
        <f>_xlfn.XLOOKUP(CustomerCombinedCleaned[[#This Row],[ID]], Table4[ID], Table4[Website], "Not Found", 0)</f>
        <v>1</v>
      </c>
      <c r="T43" s="16">
        <f>_xlfn.XLOOKUP(CustomerCombinedCleaned[[#This Row],[ID]], Table4[ID], Table4[Catalog], "Not Found", 0)</f>
        <v>0</v>
      </c>
      <c r="U43" s="16">
        <f>_xlfn.XLOOKUP(CustomerCombinedCleaned[[#This Row],[ID]], Table4[ID], Table4[Store], "Not Found", 0)</f>
        <v>2</v>
      </c>
      <c r="V43" s="16">
        <f>_xlfn.XLOOKUP(CustomerCombinedCleaned[[#This Row],[ID]], Table4[ID], Table4[Visits], "Not Found", 0)</f>
        <v>7</v>
      </c>
      <c r="W43" s="16">
        <f>_xlfn.XLOOKUP(CustomerCombinedCleaned[[#This Row],[ID]], Table2[ID],Table2[Complaint], "Not Found", 0 )</f>
        <v>0</v>
      </c>
      <c r="X43" s="16">
        <f>_xlfn.XLOOKUP(CustomerCombinedCleaned[[#This Row],[ID]], Table2[ID],Table2[Pilot], "Not Found", 0 )</f>
        <v>0</v>
      </c>
      <c r="Y43" s="16">
        <f>_xlfn.XLOOKUP(CustomerCombinedCleaned[[#This Row],[ID]], Table2[ID],Table2[MC1], "Not Found", 0 )</f>
        <v>0</v>
      </c>
      <c r="Z43" s="16">
        <f>_xlfn.XLOOKUP(CustomerCombinedCleaned[[#This Row],[ID]], Table2[ID],Table2[MC2], "Not Found", 0 )</f>
        <v>0</v>
      </c>
      <c r="AA43" s="16">
        <f>_xlfn.XLOOKUP(CustomerCombinedCleaned[[#This Row],[ID]], Table2[ID],Table2[MC3], "Not Found", 0 )</f>
        <v>0</v>
      </c>
      <c r="AB43" s="16">
        <f>_xlfn.XLOOKUP(CustomerCombinedCleaned[[#This Row],[ID]], Table2[ID],Table2[MC4], "Not Found", 0 )</f>
        <v>0</v>
      </c>
      <c r="AC43" s="16">
        <f>_xlfn.XLOOKUP(CustomerCombinedCleaned[[#This Row],[ID]], Table2[ID],Table2[MC5], "Not Found", 0 )</f>
        <v>0</v>
      </c>
    </row>
    <row r="44" spans="1:29" x14ac:dyDescent="0.3">
      <c r="A44" s="18">
        <v>2650</v>
      </c>
      <c r="B44" s="16">
        <v>120193</v>
      </c>
      <c r="C44" s="16">
        <v>0</v>
      </c>
      <c r="D44" s="16">
        <v>0</v>
      </c>
      <c r="E44" s="16">
        <v>29</v>
      </c>
      <c r="F44" s="17" t="s">
        <v>8</v>
      </c>
      <c r="G44" s="17" t="s">
        <v>11</v>
      </c>
      <c r="H44" s="3" t="s">
        <v>730</v>
      </c>
      <c r="I44" s="5" t="s">
        <v>439</v>
      </c>
      <c r="J44" s="16">
        <f>_xlfn.XLOOKUP(CustomerCombinedCleaned[[#This Row],[ID]], Table4[ID], Table4[Recency], "Not Found", 0)</f>
        <v>18</v>
      </c>
      <c r="K44" s="16">
        <f>_xlfn.XLOOKUP(CustomerCombinedCleaned[[#This Row],[ID]], Table4[ID], Table4[Teas], "Not Found", 0)</f>
        <v>48</v>
      </c>
      <c r="L44" s="16">
        <f>_xlfn.XLOOKUP(CustomerCombinedCleaned[[#This Row],[ID]], Table4[ID], Table4[Fruits], "Not Found", 0)</f>
        <v>48</v>
      </c>
      <c r="M44" s="16">
        <f>_xlfn.XLOOKUP(CustomerCombinedCleaned[[#This Row],[ID]], Table4[ID], Table4[Meats], "Not Found", 0)</f>
        <v>131</v>
      </c>
      <c r="N44" s="16">
        <f>_xlfn.XLOOKUP(CustomerCombinedCleaned[[#This Row],[ID]], Table4[ID], Table4[Seafood], "Not Found", 0)</f>
        <v>143</v>
      </c>
      <c r="O44" s="16">
        <f>_xlfn.XLOOKUP(CustomerCombinedCleaned[[#This Row],[ID]], Table4[ID], Table4[Sweets], "Not Found", 0)</f>
        <v>65</v>
      </c>
      <c r="P44" s="16">
        <f>_xlfn.XLOOKUP(CustomerCombinedCleaned[[#This Row],[ID]], Table4[ID], Table4[Premium], "Not Found", 0)</f>
        <v>54</v>
      </c>
      <c r="Q44" s="16">
        <f>_xlfn.XLOOKUP(CustomerCombinedCleaned[[#This Row],[ID]], Table4[ID], Table4[Regular], "Not Found", 0)</f>
        <v>381</v>
      </c>
      <c r="R44" s="16">
        <f>_xlfn.XLOOKUP(CustomerCombinedCleaned[[#This Row],[ID]], Table4[ID], Table4[Deals], "Not Found", 0)</f>
        <v>1</v>
      </c>
      <c r="S44" s="16">
        <f>_xlfn.XLOOKUP(CustomerCombinedCleaned[[#This Row],[ID]], Table4[ID], Table4[Website], "Not Found", 0)</f>
        <v>1</v>
      </c>
      <c r="T44" s="16">
        <f>_xlfn.XLOOKUP(CustomerCombinedCleaned[[#This Row],[ID]], Table4[ID], Table4[Catalog], "Not Found", 0)</f>
        <v>1</v>
      </c>
      <c r="U44" s="16">
        <f>_xlfn.XLOOKUP(CustomerCombinedCleaned[[#This Row],[ID]], Table4[ID], Table4[Store], "Not Found", 0)</f>
        <v>4</v>
      </c>
      <c r="V44" s="16">
        <f>_xlfn.XLOOKUP(CustomerCombinedCleaned[[#This Row],[ID]], Table4[ID], Table4[Visits], "Not Found", 0)</f>
        <v>4</v>
      </c>
      <c r="W44" s="16">
        <f>_xlfn.XLOOKUP(CustomerCombinedCleaned[[#This Row],[ID]], Table2[ID],Table2[Complaint], "Not Found", 0 )</f>
        <v>0</v>
      </c>
      <c r="X44" s="16">
        <f>_xlfn.XLOOKUP(CustomerCombinedCleaned[[#This Row],[ID]], Table2[ID],Table2[Pilot], "Not Found", 0 )</f>
        <v>0</v>
      </c>
      <c r="Y44" s="16">
        <f>_xlfn.XLOOKUP(CustomerCombinedCleaned[[#This Row],[ID]], Table2[ID],Table2[MC1], "Not Found", 0 )</f>
        <v>0</v>
      </c>
      <c r="Z44" s="16">
        <f>_xlfn.XLOOKUP(CustomerCombinedCleaned[[#This Row],[ID]], Table2[ID],Table2[MC2], "Not Found", 0 )</f>
        <v>0</v>
      </c>
      <c r="AA44" s="16">
        <f>_xlfn.XLOOKUP(CustomerCombinedCleaned[[#This Row],[ID]], Table2[ID],Table2[MC3], "Not Found", 0 )</f>
        <v>0</v>
      </c>
      <c r="AB44" s="16">
        <f>_xlfn.XLOOKUP(CustomerCombinedCleaned[[#This Row],[ID]], Table2[ID],Table2[MC4], "Not Found", 0 )</f>
        <v>0</v>
      </c>
      <c r="AC44" s="16">
        <f>_xlfn.XLOOKUP(CustomerCombinedCleaned[[#This Row],[ID]], Table2[ID],Table2[MC5], "Not Found", 0 )</f>
        <v>0</v>
      </c>
    </row>
    <row r="45" spans="1:29" x14ac:dyDescent="0.3">
      <c r="A45" s="18">
        <v>2023</v>
      </c>
      <c r="B45" s="16">
        <v>108028</v>
      </c>
      <c r="C45" s="16">
        <v>0</v>
      </c>
      <c r="D45" s="16">
        <v>0</v>
      </c>
      <c r="E45" s="16">
        <v>29</v>
      </c>
      <c r="F45" s="17" t="s">
        <v>7</v>
      </c>
      <c r="G45" s="17" t="s">
        <v>11</v>
      </c>
      <c r="H45" s="3" t="s">
        <v>393</v>
      </c>
      <c r="I45" s="5" t="s">
        <v>437</v>
      </c>
      <c r="J45" s="16">
        <f>_xlfn.XLOOKUP(CustomerCombinedCleaned[[#This Row],[ID]], Table4[ID], Table4[Recency], "Not Found", 0)</f>
        <v>62</v>
      </c>
      <c r="K45" s="16">
        <f>_xlfn.XLOOKUP(CustomerCombinedCleaned[[#This Row],[ID]], Table4[ID], Table4[Teas], "Not Found", 0)</f>
        <v>982</v>
      </c>
      <c r="L45" s="16">
        <f>_xlfn.XLOOKUP(CustomerCombinedCleaned[[#This Row],[ID]], Table4[ID], Table4[Fruits], "Not Found", 0)</f>
        <v>242</v>
      </c>
      <c r="M45" s="16">
        <f>_xlfn.XLOOKUP(CustomerCombinedCleaned[[#This Row],[ID]], Table4[ID], Table4[Meats], "Not Found", 0)</f>
        <v>888</v>
      </c>
      <c r="N45" s="16">
        <f>_xlfn.XLOOKUP(CustomerCombinedCleaned[[#This Row],[ID]], Table4[ID], Table4[Seafood], "Not Found", 0)</f>
        <v>94</v>
      </c>
      <c r="O45" s="16">
        <f>_xlfn.XLOOKUP(CustomerCombinedCleaned[[#This Row],[ID]], Table4[ID], Table4[Sweets], "Not Found", 0)</f>
        <v>161</v>
      </c>
      <c r="P45" s="16">
        <f>_xlfn.XLOOKUP(CustomerCombinedCleaned[[#This Row],[ID]], Table4[ID], Table4[Premium], "Not Found", 0)</f>
        <v>27</v>
      </c>
      <c r="Q45" s="16">
        <f>_xlfn.XLOOKUP(CustomerCombinedCleaned[[#This Row],[ID]], Table4[ID], Table4[Regular], "Not Found", 0)</f>
        <v>2341</v>
      </c>
      <c r="R45" s="16">
        <f>_xlfn.XLOOKUP(CustomerCombinedCleaned[[#This Row],[ID]], Table4[ID], Table4[Deals], "Not Found", 0)</f>
        <v>15</v>
      </c>
      <c r="S45" s="16">
        <f>_xlfn.XLOOKUP(CustomerCombinedCleaned[[#This Row],[ID]], Table4[ID], Table4[Website], "Not Found", 0)</f>
        <v>0</v>
      </c>
      <c r="T45" s="16">
        <f>_xlfn.XLOOKUP(CustomerCombinedCleaned[[#This Row],[ID]], Table4[ID], Table4[Catalog], "Not Found", 0)</f>
        <v>1</v>
      </c>
      <c r="U45" s="16">
        <f>_xlfn.XLOOKUP(CustomerCombinedCleaned[[#This Row],[ID]], Table4[ID], Table4[Store], "Not Found", 0)</f>
        <v>0</v>
      </c>
      <c r="V45" s="16">
        <f>_xlfn.XLOOKUP(CustomerCombinedCleaned[[#This Row],[ID]], Table4[ID], Table4[Visits], "Not Found", 0)</f>
        <v>19</v>
      </c>
      <c r="W45" s="16">
        <f>_xlfn.XLOOKUP(CustomerCombinedCleaned[[#This Row],[ID]], Table2[ID],Table2[Complaint], "Not Found", 0 )</f>
        <v>0</v>
      </c>
      <c r="X45" s="16">
        <f>_xlfn.XLOOKUP(CustomerCombinedCleaned[[#This Row],[ID]], Table2[ID],Table2[Pilot], "Not Found", 0 )</f>
        <v>0</v>
      </c>
      <c r="Y45" s="16">
        <f>_xlfn.XLOOKUP(CustomerCombinedCleaned[[#This Row],[ID]], Table2[ID],Table2[MC1], "Not Found", 0 )</f>
        <v>0</v>
      </c>
      <c r="Z45" s="16">
        <f>_xlfn.XLOOKUP(CustomerCombinedCleaned[[#This Row],[ID]], Table2[ID],Table2[MC2], "Not Found", 0 )</f>
        <v>0</v>
      </c>
      <c r="AA45" s="16">
        <f>_xlfn.XLOOKUP(CustomerCombinedCleaned[[#This Row],[ID]], Table2[ID],Table2[MC3], "Not Found", 0 )</f>
        <v>0</v>
      </c>
      <c r="AB45" s="16">
        <f>_xlfn.XLOOKUP(CustomerCombinedCleaned[[#This Row],[ID]], Table2[ID],Table2[MC4], "Not Found", 0 )</f>
        <v>0</v>
      </c>
      <c r="AC45" s="16">
        <f>_xlfn.XLOOKUP(CustomerCombinedCleaned[[#This Row],[ID]], Table2[ID],Table2[MC5], "Not Found", 0 )</f>
        <v>0</v>
      </c>
    </row>
    <row r="46" spans="1:29" x14ac:dyDescent="0.3">
      <c r="A46" s="18">
        <v>2933</v>
      </c>
      <c r="B46" s="16">
        <v>196843</v>
      </c>
      <c r="C46" s="16">
        <v>0</v>
      </c>
      <c r="D46" s="16">
        <v>0</v>
      </c>
      <c r="E46" s="16">
        <v>30</v>
      </c>
      <c r="F46" s="17" t="s">
        <v>7</v>
      </c>
      <c r="G46" s="17" t="s">
        <v>11</v>
      </c>
      <c r="H46" s="3" t="s">
        <v>266</v>
      </c>
      <c r="I46" s="5" t="s">
        <v>434</v>
      </c>
      <c r="J46" s="16">
        <f>_xlfn.XLOOKUP(CustomerCombinedCleaned[[#This Row],[ID]], Table4[ID], Table4[Recency], "Not Found", 0)</f>
        <v>60</v>
      </c>
      <c r="K46" s="16">
        <f>_xlfn.XLOOKUP(CustomerCombinedCleaned[[#This Row],[ID]], Table4[ID], Table4[Teas], "Not Found", 0)</f>
        <v>911</v>
      </c>
      <c r="L46" s="16">
        <f>_xlfn.XLOOKUP(CustomerCombinedCleaned[[#This Row],[ID]], Table4[ID], Table4[Fruits], "Not Found", 0)</f>
        <v>144</v>
      </c>
      <c r="M46" s="16">
        <f>_xlfn.XLOOKUP(CustomerCombinedCleaned[[#This Row],[ID]], Table4[ID], Table4[Meats], "Not Found", 0)</f>
        <v>1933</v>
      </c>
      <c r="N46" s="16">
        <f>_xlfn.XLOOKUP(CustomerCombinedCleaned[[#This Row],[ID]], Table4[ID], Table4[Seafood], "Not Found", 0)</f>
        <v>81</v>
      </c>
      <c r="O46" s="16">
        <f>_xlfn.XLOOKUP(CustomerCombinedCleaned[[#This Row],[ID]], Table4[ID], Table4[Sweets], "Not Found", 0)</f>
        <v>35</v>
      </c>
      <c r="P46" s="16">
        <f>_xlfn.XLOOKUP(CustomerCombinedCleaned[[#This Row],[ID]], Table4[ID], Table4[Premium], "Not Found", 0)</f>
        <v>35</v>
      </c>
      <c r="Q46" s="16">
        <f>_xlfn.XLOOKUP(CustomerCombinedCleaned[[#This Row],[ID]], Table4[ID], Table4[Regular], "Not Found", 0)</f>
        <v>3069</v>
      </c>
      <c r="R46" s="16">
        <f>_xlfn.XLOOKUP(CustomerCombinedCleaned[[#This Row],[ID]], Table4[ID], Table4[Deals], "Not Found", 0)</f>
        <v>1</v>
      </c>
      <c r="S46" s="16">
        <f>_xlfn.XLOOKUP(CustomerCombinedCleaned[[#This Row],[ID]], Table4[ID], Table4[Website], "Not Found", 0)</f>
        <v>6</v>
      </c>
      <c r="T46" s="16">
        <f>_xlfn.XLOOKUP(CustomerCombinedCleaned[[#This Row],[ID]], Table4[ID], Table4[Catalog], "Not Found", 0)</f>
        <v>11</v>
      </c>
      <c r="U46" s="16">
        <f>_xlfn.XLOOKUP(CustomerCombinedCleaned[[#This Row],[ID]], Table4[ID], Table4[Store], "Not Found", 0)</f>
        <v>10</v>
      </c>
      <c r="V46" s="16">
        <f>_xlfn.XLOOKUP(CustomerCombinedCleaned[[#This Row],[ID]], Table4[ID], Table4[Visits], "Not Found", 0)</f>
        <v>2</v>
      </c>
      <c r="W46" s="16">
        <f>_xlfn.XLOOKUP(CustomerCombinedCleaned[[#This Row],[ID]], Table2[ID],Table2[Complaint], "Not Found", 0 )</f>
        <v>0</v>
      </c>
      <c r="X46" s="16">
        <f>_xlfn.XLOOKUP(CustomerCombinedCleaned[[#This Row],[ID]], Table2[ID],Table2[Pilot], "Not Found", 0 )</f>
        <v>1</v>
      </c>
      <c r="Y46" s="16">
        <f>_xlfn.XLOOKUP(CustomerCombinedCleaned[[#This Row],[ID]], Table2[ID],Table2[MC1], "Not Found", 0 )</f>
        <v>0</v>
      </c>
      <c r="Z46" s="16">
        <f>_xlfn.XLOOKUP(CustomerCombinedCleaned[[#This Row],[ID]], Table2[ID],Table2[MC2], "Not Found", 0 )</f>
        <v>0</v>
      </c>
      <c r="AA46" s="16">
        <f>_xlfn.XLOOKUP(CustomerCombinedCleaned[[#This Row],[ID]], Table2[ID],Table2[MC3], "Not Found", 0 )</f>
        <v>0</v>
      </c>
      <c r="AB46" s="16">
        <f>_xlfn.XLOOKUP(CustomerCombinedCleaned[[#This Row],[ID]], Table2[ID],Table2[MC4], "Not Found", 0 )</f>
        <v>0</v>
      </c>
      <c r="AC46" s="16">
        <f>_xlfn.XLOOKUP(CustomerCombinedCleaned[[#This Row],[ID]], Table2[ID],Table2[MC5], "Not Found", 0 )</f>
        <v>1</v>
      </c>
    </row>
    <row r="47" spans="1:29" x14ac:dyDescent="0.3">
      <c r="A47" s="18">
        <v>3135</v>
      </c>
      <c r="B47" s="16">
        <v>191172</v>
      </c>
      <c r="C47" s="16">
        <v>0</v>
      </c>
      <c r="D47" s="16">
        <v>0</v>
      </c>
      <c r="E47" s="16">
        <v>30</v>
      </c>
      <c r="F47" s="17" t="s">
        <v>7</v>
      </c>
      <c r="G47" s="17" t="s">
        <v>12</v>
      </c>
      <c r="H47" s="3" t="s">
        <v>547</v>
      </c>
      <c r="I47" s="5" t="s">
        <v>435</v>
      </c>
      <c r="J47" s="16">
        <f>_xlfn.XLOOKUP(CustomerCombinedCleaned[[#This Row],[ID]], Table4[ID], Table4[Recency], "Not Found", 0)</f>
        <v>94</v>
      </c>
      <c r="K47" s="16">
        <f>_xlfn.XLOOKUP(CustomerCombinedCleaned[[#This Row],[ID]], Table4[ID], Table4[Teas], "Not Found", 0)</f>
        <v>340</v>
      </c>
      <c r="L47" s="16">
        <f>_xlfn.XLOOKUP(CustomerCombinedCleaned[[#This Row],[ID]], Table4[ID], Table4[Fruits], "Not Found", 0)</f>
        <v>59</v>
      </c>
      <c r="M47" s="16">
        <f>_xlfn.XLOOKUP(CustomerCombinedCleaned[[#This Row],[ID]], Table4[ID], Table4[Meats], "Not Found", 0)</f>
        <v>1715</v>
      </c>
      <c r="N47" s="16">
        <f>_xlfn.XLOOKUP(CustomerCombinedCleaned[[#This Row],[ID]], Table4[ID], Table4[Seafood], "Not Found", 0)</f>
        <v>0</v>
      </c>
      <c r="O47" s="16">
        <f>_xlfn.XLOOKUP(CustomerCombinedCleaned[[#This Row],[ID]], Table4[ID], Table4[Sweets], "Not Found", 0)</f>
        <v>59</v>
      </c>
      <c r="P47" s="16">
        <f>_xlfn.XLOOKUP(CustomerCombinedCleaned[[#This Row],[ID]], Table4[ID], Table4[Premium], "Not Found", 0)</f>
        <v>117</v>
      </c>
      <c r="Q47" s="16">
        <f>_xlfn.XLOOKUP(CustomerCombinedCleaned[[#This Row],[ID]], Table4[ID], Table4[Regular], "Not Found", 0)</f>
        <v>2055</v>
      </c>
      <c r="R47" s="16">
        <f>_xlfn.XLOOKUP(CustomerCombinedCleaned[[#This Row],[ID]], Table4[ID], Table4[Deals], "Not Found", 0)</f>
        <v>0</v>
      </c>
      <c r="S47" s="16">
        <f>_xlfn.XLOOKUP(CustomerCombinedCleaned[[#This Row],[ID]], Table4[ID], Table4[Website], "Not Found", 0)</f>
        <v>4</v>
      </c>
      <c r="T47" s="16">
        <f>_xlfn.XLOOKUP(CustomerCombinedCleaned[[#This Row],[ID]], Table4[ID], Table4[Catalog], "Not Found", 0)</f>
        <v>3</v>
      </c>
      <c r="U47" s="16">
        <f>_xlfn.XLOOKUP(CustomerCombinedCleaned[[#This Row],[ID]], Table4[ID], Table4[Store], "Not Found", 0)</f>
        <v>7</v>
      </c>
      <c r="V47" s="16">
        <f>_xlfn.XLOOKUP(CustomerCombinedCleaned[[#This Row],[ID]], Table4[ID], Table4[Visits], "Not Found", 0)</f>
        <v>3</v>
      </c>
      <c r="W47" s="16">
        <f>_xlfn.XLOOKUP(CustomerCombinedCleaned[[#This Row],[ID]], Table2[ID],Table2[Complaint], "Not Found", 0 )</f>
        <v>0</v>
      </c>
      <c r="X47" s="16">
        <f>_xlfn.XLOOKUP(CustomerCombinedCleaned[[#This Row],[ID]], Table2[ID],Table2[Pilot], "Not Found", 0 )</f>
        <v>1</v>
      </c>
      <c r="Y47" s="16">
        <f>_xlfn.XLOOKUP(CustomerCombinedCleaned[[#This Row],[ID]], Table2[ID],Table2[MC1], "Not Found", 0 )</f>
        <v>1</v>
      </c>
      <c r="Z47" s="16">
        <f>_xlfn.XLOOKUP(CustomerCombinedCleaned[[#This Row],[ID]], Table2[ID],Table2[MC2], "Not Found", 0 )</f>
        <v>1</v>
      </c>
      <c r="AA47" s="16">
        <f>_xlfn.XLOOKUP(CustomerCombinedCleaned[[#This Row],[ID]], Table2[ID],Table2[MC3], "Not Found", 0 )</f>
        <v>1</v>
      </c>
      <c r="AB47" s="16">
        <f>_xlfn.XLOOKUP(CustomerCombinedCleaned[[#This Row],[ID]], Table2[ID],Table2[MC4], "Not Found", 0 )</f>
        <v>0</v>
      </c>
      <c r="AC47" s="16">
        <f>_xlfn.XLOOKUP(CustomerCombinedCleaned[[#This Row],[ID]], Table2[ID],Table2[MC5], "Not Found", 0 )</f>
        <v>1</v>
      </c>
    </row>
    <row r="48" spans="1:29" x14ac:dyDescent="0.3">
      <c r="A48" s="18">
        <v>2153</v>
      </c>
      <c r="B48" s="16">
        <v>174214</v>
      </c>
      <c r="C48" s="16">
        <v>0</v>
      </c>
      <c r="D48" s="16">
        <v>0</v>
      </c>
      <c r="E48" s="16">
        <v>30</v>
      </c>
      <c r="F48" s="17" t="s">
        <v>6</v>
      </c>
      <c r="G48" s="17" t="s">
        <v>13</v>
      </c>
      <c r="H48" s="3" t="s">
        <v>402</v>
      </c>
      <c r="I48" s="5" t="s">
        <v>434</v>
      </c>
      <c r="J48" s="16">
        <f>_xlfn.XLOOKUP(CustomerCombinedCleaned[[#This Row],[ID]], Table4[ID], Table4[Recency], "Not Found", 0)</f>
        <v>3</v>
      </c>
      <c r="K48" s="16">
        <f>_xlfn.XLOOKUP(CustomerCombinedCleaned[[#This Row],[ID]], Table4[ID], Table4[Teas], "Not Found", 0)</f>
        <v>2026</v>
      </c>
      <c r="L48" s="16">
        <f>_xlfn.XLOOKUP(CustomerCombinedCleaned[[#This Row],[ID]], Table4[ID], Table4[Fruits], "Not Found", 0)</f>
        <v>195</v>
      </c>
      <c r="M48" s="16">
        <f>_xlfn.XLOOKUP(CustomerCombinedCleaned[[#This Row],[ID]], Table4[ID], Table4[Meats], "Not Found", 0)</f>
        <v>1284</v>
      </c>
      <c r="N48" s="16">
        <f>_xlfn.XLOOKUP(CustomerCombinedCleaned[[#This Row],[ID]], Table4[ID], Table4[Seafood], "Not Found", 0)</f>
        <v>202</v>
      </c>
      <c r="O48" s="16">
        <f>_xlfn.XLOOKUP(CustomerCombinedCleaned[[#This Row],[ID]], Table4[ID], Table4[Sweets], "Not Found", 0)</f>
        <v>232</v>
      </c>
      <c r="P48" s="16">
        <f>_xlfn.XLOOKUP(CustomerCombinedCleaned[[#This Row],[ID]], Table4[ID], Table4[Premium], "Not Found", 0)</f>
        <v>77</v>
      </c>
      <c r="Q48" s="16">
        <f>_xlfn.XLOOKUP(CustomerCombinedCleaned[[#This Row],[ID]], Table4[ID], Table4[Regular], "Not Found", 0)</f>
        <v>3862</v>
      </c>
      <c r="R48" s="16">
        <f>_xlfn.XLOOKUP(CustomerCombinedCleaned[[#This Row],[ID]], Table4[ID], Table4[Deals], "Not Found", 0)</f>
        <v>1</v>
      </c>
      <c r="S48" s="16">
        <f>_xlfn.XLOOKUP(CustomerCombinedCleaned[[#This Row],[ID]], Table4[ID], Table4[Website], "Not Found", 0)</f>
        <v>8</v>
      </c>
      <c r="T48" s="16">
        <f>_xlfn.XLOOKUP(CustomerCombinedCleaned[[#This Row],[ID]], Table4[ID], Table4[Catalog], "Not Found", 0)</f>
        <v>2</v>
      </c>
      <c r="U48" s="16">
        <f>_xlfn.XLOOKUP(CustomerCombinedCleaned[[#This Row],[ID]], Table4[ID], Table4[Store], "Not Found", 0)</f>
        <v>5</v>
      </c>
      <c r="V48" s="16">
        <f>_xlfn.XLOOKUP(CustomerCombinedCleaned[[#This Row],[ID]], Table4[ID], Table4[Visits], "Not Found", 0)</f>
        <v>5</v>
      </c>
      <c r="W48" s="16">
        <f>_xlfn.XLOOKUP(CustomerCombinedCleaned[[#This Row],[ID]], Table2[ID],Table2[Complaint], "Not Found", 0 )</f>
        <v>0</v>
      </c>
      <c r="X48" s="16">
        <f>_xlfn.XLOOKUP(CustomerCombinedCleaned[[#This Row],[ID]], Table2[ID],Table2[Pilot], "Not Found", 0 )</f>
        <v>0</v>
      </c>
      <c r="Y48" s="16">
        <f>_xlfn.XLOOKUP(CustomerCombinedCleaned[[#This Row],[ID]], Table2[ID],Table2[MC1], "Not Found", 0 )</f>
        <v>0</v>
      </c>
      <c r="Z48" s="16">
        <f>_xlfn.XLOOKUP(CustomerCombinedCleaned[[#This Row],[ID]], Table2[ID],Table2[MC2], "Not Found", 0 )</f>
        <v>0</v>
      </c>
      <c r="AA48" s="16">
        <f>_xlfn.XLOOKUP(CustomerCombinedCleaned[[#This Row],[ID]], Table2[ID],Table2[MC3], "Not Found", 0 )</f>
        <v>0</v>
      </c>
      <c r="AB48" s="16">
        <f>_xlfn.XLOOKUP(CustomerCombinedCleaned[[#This Row],[ID]], Table2[ID],Table2[MC4], "Not Found", 0 )</f>
        <v>0</v>
      </c>
      <c r="AC48" s="16">
        <f>_xlfn.XLOOKUP(CustomerCombinedCleaned[[#This Row],[ID]], Table2[ID],Table2[MC5], "Not Found", 0 )</f>
        <v>0</v>
      </c>
    </row>
    <row r="49" spans="1:29" x14ac:dyDescent="0.3">
      <c r="A49" s="18">
        <v>1230</v>
      </c>
      <c r="B49" s="16">
        <v>173687</v>
      </c>
      <c r="C49" s="16">
        <v>0</v>
      </c>
      <c r="D49" s="16">
        <v>0</v>
      </c>
      <c r="E49" s="16">
        <v>30</v>
      </c>
      <c r="F49" s="17" t="s">
        <v>6</v>
      </c>
      <c r="G49" s="17" t="s">
        <v>11</v>
      </c>
      <c r="H49" s="3" t="s">
        <v>646</v>
      </c>
      <c r="I49" s="5" t="s">
        <v>436</v>
      </c>
      <c r="J49" s="16">
        <f>_xlfn.XLOOKUP(CustomerCombinedCleaned[[#This Row],[ID]], Table4[ID], Table4[Recency], "Not Found", 0)</f>
        <v>8</v>
      </c>
      <c r="K49" s="16">
        <f>_xlfn.XLOOKUP(CustomerCombinedCleaned[[#This Row],[ID]], Table4[ID], Table4[Teas], "Not Found", 0)</f>
        <v>1318</v>
      </c>
      <c r="L49" s="16">
        <f>_xlfn.XLOOKUP(CustomerCombinedCleaned[[#This Row],[ID]], Table4[ID], Table4[Fruits], "Not Found", 0)</f>
        <v>361</v>
      </c>
      <c r="M49" s="16">
        <f>_xlfn.XLOOKUP(CustomerCombinedCleaned[[#This Row],[ID]], Table4[ID], Table4[Meats], "Not Found", 0)</f>
        <v>1186</v>
      </c>
      <c r="N49" s="16">
        <f>_xlfn.XLOOKUP(CustomerCombinedCleaned[[#This Row],[ID]], Table4[ID], Table4[Seafood], "Not Found", 0)</f>
        <v>514</v>
      </c>
      <c r="O49" s="16">
        <f>_xlfn.XLOOKUP(CustomerCombinedCleaned[[#This Row],[ID]], Table4[ID], Table4[Sweets], "Not Found", 0)</f>
        <v>31</v>
      </c>
      <c r="P49" s="16">
        <f>_xlfn.XLOOKUP(CustomerCombinedCleaned[[#This Row],[ID]], Table4[ID], Table4[Premium], "Not Found", 0)</f>
        <v>427</v>
      </c>
      <c r="Q49" s="16">
        <f>_xlfn.XLOOKUP(CustomerCombinedCleaned[[#This Row],[ID]], Table4[ID], Table4[Regular], "Not Found", 0)</f>
        <v>2982</v>
      </c>
      <c r="R49" s="16">
        <f>_xlfn.XLOOKUP(CustomerCombinedCleaned[[#This Row],[ID]], Table4[ID], Table4[Deals], "Not Found", 0)</f>
        <v>1</v>
      </c>
      <c r="S49" s="16">
        <f>_xlfn.XLOOKUP(CustomerCombinedCleaned[[#This Row],[ID]], Table4[ID], Table4[Website], "Not Found", 0)</f>
        <v>3</v>
      </c>
      <c r="T49" s="16">
        <f>_xlfn.XLOOKUP(CustomerCombinedCleaned[[#This Row],[ID]], Table4[ID], Table4[Catalog], "Not Found", 0)</f>
        <v>9</v>
      </c>
      <c r="U49" s="16">
        <f>_xlfn.XLOOKUP(CustomerCombinedCleaned[[#This Row],[ID]], Table4[ID], Table4[Store], "Not Found", 0)</f>
        <v>9</v>
      </c>
      <c r="V49" s="16">
        <f>_xlfn.XLOOKUP(CustomerCombinedCleaned[[#This Row],[ID]], Table4[ID], Table4[Visits], "Not Found", 0)</f>
        <v>2</v>
      </c>
      <c r="W49" s="16">
        <f>_xlfn.XLOOKUP(CustomerCombinedCleaned[[#This Row],[ID]], Table2[ID],Table2[Complaint], "Not Found", 0 )</f>
        <v>0</v>
      </c>
      <c r="X49" s="16">
        <f>_xlfn.XLOOKUP(CustomerCombinedCleaned[[#This Row],[ID]], Table2[ID],Table2[Pilot], "Not Found", 0 )</f>
        <v>1</v>
      </c>
      <c r="Y49" s="16">
        <f>_xlfn.XLOOKUP(CustomerCombinedCleaned[[#This Row],[ID]], Table2[ID],Table2[MC1], "Not Found", 0 )</f>
        <v>1</v>
      </c>
      <c r="Z49" s="16">
        <f>_xlfn.XLOOKUP(CustomerCombinedCleaned[[#This Row],[ID]], Table2[ID],Table2[MC2], "Not Found", 0 )</f>
        <v>0</v>
      </c>
      <c r="AA49" s="16">
        <f>_xlfn.XLOOKUP(CustomerCombinedCleaned[[#This Row],[ID]], Table2[ID],Table2[MC3], "Not Found", 0 )</f>
        <v>0</v>
      </c>
      <c r="AB49" s="16">
        <f>_xlfn.XLOOKUP(CustomerCombinedCleaned[[#This Row],[ID]], Table2[ID],Table2[MC4], "Not Found", 0 )</f>
        <v>0</v>
      </c>
      <c r="AC49" s="16">
        <f>_xlfn.XLOOKUP(CustomerCombinedCleaned[[#This Row],[ID]], Table2[ID],Table2[MC5], "Not Found", 0 )</f>
        <v>0</v>
      </c>
    </row>
    <row r="50" spans="1:29" x14ac:dyDescent="0.3">
      <c r="A50" s="18">
        <v>2588</v>
      </c>
      <c r="B50" s="16">
        <v>164509</v>
      </c>
      <c r="C50" s="16">
        <v>0</v>
      </c>
      <c r="D50" s="16">
        <v>0</v>
      </c>
      <c r="E50" s="16">
        <v>30</v>
      </c>
      <c r="F50" s="17" t="s">
        <v>7</v>
      </c>
      <c r="G50" s="17" t="s">
        <v>11</v>
      </c>
      <c r="H50" s="3" t="s">
        <v>200</v>
      </c>
      <c r="I50" s="5" t="s">
        <v>438</v>
      </c>
      <c r="J50" s="16">
        <f>_xlfn.XLOOKUP(CustomerCombinedCleaned[[#This Row],[ID]], Table4[ID], Table4[Recency], "Not Found", 0)</f>
        <v>19</v>
      </c>
      <c r="K50" s="16">
        <f>_xlfn.XLOOKUP(CustomerCombinedCleaned[[#This Row],[ID]], Table4[ID], Table4[Teas], "Not Found", 0)</f>
        <v>2132</v>
      </c>
      <c r="L50" s="16">
        <f>_xlfn.XLOOKUP(CustomerCombinedCleaned[[#This Row],[ID]], Table4[ID], Table4[Fruits], "Not Found", 0)</f>
        <v>472</v>
      </c>
      <c r="M50" s="16">
        <f>_xlfn.XLOOKUP(CustomerCombinedCleaned[[#This Row],[ID]], Table4[ID], Table4[Meats], "Not Found", 0)</f>
        <v>1466</v>
      </c>
      <c r="N50" s="16">
        <f>_xlfn.XLOOKUP(CustomerCombinedCleaned[[#This Row],[ID]], Table4[ID], Table4[Seafood], "Not Found", 0)</f>
        <v>61</v>
      </c>
      <c r="O50" s="16">
        <f>_xlfn.XLOOKUP(CustomerCombinedCleaned[[#This Row],[ID]], Table4[ID], Table4[Sweets], "Not Found", 0)</f>
        <v>64</v>
      </c>
      <c r="P50" s="16">
        <f>_xlfn.XLOOKUP(CustomerCombinedCleaned[[#This Row],[ID]], Table4[ID], Table4[Premium], "Not Found", 0)</f>
        <v>196</v>
      </c>
      <c r="Q50" s="16">
        <f>_xlfn.XLOOKUP(CustomerCombinedCleaned[[#This Row],[ID]], Table4[ID], Table4[Regular], "Not Found", 0)</f>
        <v>3999</v>
      </c>
      <c r="R50" s="16">
        <f>_xlfn.XLOOKUP(CustomerCombinedCleaned[[#This Row],[ID]], Table4[ID], Table4[Deals], "Not Found", 0)</f>
        <v>1</v>
      </c>
      <c r="S50" s="16">
        <f>_xlfn.XLOOKUP(CustomerCombinedCleaned[[#This Row],[ID]], Table4[ID], Table4[Website], "Not Found", 0)</f>
        <v>6</v>
      </c>
      <c r="T50" s="16">
        <f>_xlfn.XLOOKUP(CustomerCombinedCleaned[[#This Row],[ID]], Table4[ID], Table4[Catalog], "Not Found", 0)</f>
        <v>3</v>
      </c>
      <c r="U50" s="16">
        <f>_xlfn.XLOOKUP(CustomerCombinedCleaned[[#This Row],[ID]], Table4[ID], Table4[Store], "Not Found", 0)</f>
        <v>9</v>
      </c>
      <c r="V50" s="16">
        <f>_xlfn.XLOOKUP(CustomerCombinedCleaned[[#This Row],[ID]], Table4[ID], Table4[Visits], "Not Found", 0)</f>
        <v>4</v>
      </c>
      <c r="W50" s="16">
        <f>_xlfn.XLOOKUP(CustomerCombinedCleaned[[#This Row],[ID]], Table2[ID],Table2[Complaint], "Not Found", 0 )</f>
        <v>0</v>
      </c>
      <c r="X50" s="16">
        <f>_xlfn.XLOOKUP(CustomerCombinedCleaned[[#This Row],[ID]], Table2[ID],Table2[Pilot], "Not Found", 0 )</f>
        <v>1</v>
      </c>
      <c r="Y50" s="16">
        <f>_xlfn.XLOOKUP(CustomerCombinedCleaned[[#This Row],[ID]], Table2[ID],Table2[MC1], "Not Found", 0 )</f>
        <v>0</v>
      </c>
      <c r="Z50" s="16">
        <f>_xlfn.XLOOKUP(CustomerCombinedCleaned[[#This Row],[ID]], Table2[ID],Table2[MC2], "Not Found", 0 )</f>
        <v>0</v>
      </c>
      <c r="AA50" s="16">
        <f>_xlfn.XLOOKUP(CustomerCombinedCleaned[[#This Row],[ID]], Table2[ID],Table2[MC3], "Not Found", 0 )</f>
        <v>1</v>
      </c>
      <c r="AB50" s="16">
        <f>_xlfn.XLOOKUP(CustomerCombinedCleaned[[#This Row],[ID]], Table2[ID],Table2[MC4], "Not Found", 0 )</f>
        <v>0</v>
      </c>
      <c r="AC50" s="16">
        <f>_xlfn.XLOOKUP(CustomerCombinedCleaned[[#This Row],[ID]], Table2[ID],Table2[MC5], "Not Found", 0 )</f>
        <v>0</v>
      </c>
    </row>
    <row r="51" spans="1:29" x14ac:dyDescent="0.3">
      <c r="A51" s="18">
        <v>2583</v>
      </c>
      <c r="B51" s="16">
        <v>151250</v>
      </c>
      <c r="C51" s="16">
        <v>1</v>
      </c>
      <c r="D51" s="16">
        <v>0</v>
      </c>
      <c r="E51" s="16">
        <v>30</v>
      </c>
      <c r="F51" s="17" t="s">
        <v>7</v>
      </c>
      <c r="G51" s="17" t="s">
        <v>11</v>
      </c>
      <c r="H51" s="3" t="s">
        <v>586</v>
      </c>
      <c r="I51" s="5" t="s">
        <v>435</v>
      </c>
      <c r="J51" s="16">
        <f>_xlfn.XLOOKUP(CustomerCombinedCleaned[[#This Row],[ID]], Table4[ID], Table4[Recency], "Not Found", 0)</f>
        <v>28</v>
      </c>
      <c r="K51" s="16">
        <f>_xlfn.XLOOKUP(CustomerCombinedCleaned[[#This Row],[ID]], Table4[ID], Table4[Teas], "Not Found", 0)</f>
        <v>1009</v>
      </c>
      <c r="L51" s="16">
        <f>_xlfn.XLOOKUP(CustomerCombinedCleaned[[#This Row],[ID]], Table4[ID], Table4[Fruits], "Not Found", 0)</f>
        <v>94</v>
      </c>
      <c r="M51" s="16">
        <f>_xlfn.XLOOKUP(CustomerCombinedCleaned[[#This Row],[ID]], Table4[ID], Table4[Meats], "Not Found", 0)</f>
        <v>679</v>
      </c>
      <c r="N51" s="16">
        <f>_xlfn.XLOOKUP(CustomerCombinedCleaned[[#This Row],[ID]], Table4[ID], Table4[Seafood], "Not Found", 0)</f>
        <v>100</v>
      </c>
      <c r="O51" s="16">
        <f>_xlfn.XLOOKUP(CustomerCombinedCleaned[[#This Row],[ID]], Table4[ID], Table4[Sweets], "Not Found", 0)</f>
        <v>94</v>
      </c>
      <c r="P51" s="16">
        <f>_xlfn.XLOOKUP(CustomerCombinedCleaned[[#This Row],[ID]], Table4[ID], Table4[Premium], "Not Found", 0)</f>
        <v>118</v>
      </c>
      <c r="Q51" s="16">
        <f>_xlfn.XLOOKUP(CustomerCombinedCleaned[[#This Row],[ID]], Table4[ID], Table4[Regular], "Not Found", 0)</f>
        <v>1859</v>
      </c>
      <c r="R51" s="16">
        <f>_xlfn.XLOOKUP(CustomerCombinedCleaned[[#This Row],[ID]], Table4[ID], Table4[Deals], "Not Found", 0)</f>
        <v>5</v>
      </c>
      <c r="S51" s="16">
        <f>_xlfn.XLOOKUP(CustomerCombinedCleaned[[#This Row],[ID]], Table4[ID], Table4[Website], "Not Found", 0)</f>
        <v>10</v>
      </c>
      <c r="T51" s="16">
        <f>_xlfn.XLOOKUP(CustomerCombinedCleaned[[#This Row],[ID]], Table4[ID], Table4[Catalog], "Not Found", 0)</f>
        <v>5</v>
      </c>
      <c r="U51" s="16">
        <f>_xlfn.XLOOKUP(CustomerCombinedCleaned[[#This Row],[ID]], Table4[ID], Table4[Store], "Not Found", 0)</f>
        <v>4</v>
      </c>
      <c r="V51" s="16">
        <f>_xlfn.XLOOKUP(CustomerCombinedCleaned[[#This Row],[ID]], Table4[ID], Table4[Visits], "Not Found", 0)</f>
        <v>9</v>
      </c>
      <c r="W51" s="16">
        <f>_xlfn.XLOOKUP(CustomerCombinedCleaned[[#This Row],[ID]], Table2[ID],Table2[Complaint], "Not Found", 0 )</f>
        <v>0</v>
      </c>
      <c r="X51" s="16">
        <f>_xlfn.XLOOKUP(CustomerCombinedCleaned[[#This Row],[ID]], Table2[ID],Table2[Pilot], "Not Found", 0 )</f>
        <v>0</v>
      </c>
      <c r="Y51" s="16">
        <f>_xlfn.XLOOKUP(CustomerCombinedCleaned[[#This Row],[ID]], Table2[ID],Table2[MC1], "Not Found", 0 )</f>
        <v>0</v>
      </c>
      <c r="Z51" s="16">
        <f>_xlfn.XLOOKUP(CustomerCombinedCleaned[[#This Row],[ID]], Table2[ID],Table2[MC2], "Not Found", 0 )</f>
        <v>0</v>
      </c>
      <c r="AA51" s="16">
        <f>_xlfn.XLOOKUP(CustomerCombinedCleaned[[#This Row],[ID]], Table2[ID],Table2[MC3], "Not Found", 0 )</f>
        <v>1</v>
      </c>
      <c r="AB51" s="16">
        <f>_xlfn.XLOOKUP(CustomerCombinedCleaned[[#This Row],[ID]], Table2[ID],Table2[MC4], "Not Found", 0 )</f>
        <v>0</v>
      </c>
      <c r="AC51" s="16">
        <f>_xlfn.XLOOKUP(CustomerCombinedCleaned[[#This Row],[ID]], Table2[ID],Table2[MC5], "Not Found", 0 )</f>
        <v>0</v>
      </c>
    </row>
    <row r="52" spans="1:29" x14ac:dyDescent="0.3">
      <c r="A52" s="18">
        <v>2470</v>
      </c>
      <c r="B52" s="16">
        <v>135765</v>
      </c>
      <c r="C52" s="16">
        <v>1</v>
      </c>
      <c r="D52" s="16">
        <v>0</v>
      </c>
      <c r="E52" s="16">
        <v>30</v>
      </c>
      <c r="F52" s="17" t="s">
        <v>6</v>
      </c>
      <c r="G52" s="17" t="s">
        <v>11</v>
      </c>
      <c r="H52" s="3" t="s">
        <v>137</v>
      </c>
      <c r="I52" s="5" t="s">
        <v>439</v>
      </c>
      <c r="J52" s="16">
        <f>_xlfn.XLOOKUP(CustomerCombinedCleaned[[#This Row],[ID]], Table4[ID], Table4[Recency], "Not Found", 0)</f>
        <v>86</v>
      </c>
      <c r="K52" s="16">
        <f>_xlfn.XLOOKUP(CustomerCombinedCleaned[[#This Row],[ID]], Table4[ID], Table4[Teas], "Not Found", 0)</f>
        <v>84</v>
      </c>
      <c r="L52" s="16">
        <f>_xlfn.XLOOKUP(CustomerCombinedCleaned[[#This Row],[ID]], Table4[ID], Table4[Fruits], "Not Found", 0)</f>
        <v>11</v>
      </c>
      <c r="M52" s="16">
        <f>_xlfn.XLOOKUP(CustomerCombinedCleaned[[#This Row],[ID]], Table4[ID], Table4[Meats], "Not Found", 0)</f>
        <v>114</v>
      </c>
      <c r="N52" s="16">
        <f>_xlfn.XLOOKUP(CustomerCombinedCleaned[[#This Row],[ID]], Table4[ID], Table4[Seafood], "Not Found", 0)</f>
        <v>0</v>
      </c>
      <c r="O52" s="16">
        <f>_xlfn.XLOOKUP(CustomerCombinedCleaned[[#This Row],[ID]], Table4[ID], Table4[Sweets], "Not Found", 0)</f>
        <v>19</v>
      </c>
      <c r="P52" s="16">
        <f>_xlfn.XLOOKUP(CustomerCombinedCleaned[[#This Row],[ID]], Table4[ID], Table4[Premium], "Not Found", 0)</f>
        <v>57</v>
      </c>
      <c r="Q52" s="16">
        <f>_xlfn.XLOOKUP(CustomerCombinedCleaned[[#This Row],[ID]], Table4[ID], Table4[Regular], "Not Found", 0)</f>
        <v>171</v>
      </c>
      <c r="R52" s="16">
        <f>_xlfn.XLOOKUP(CustomerCombinedCleaned[[#This Row],[ID]], Table4[ID], Table4[Deals], "Not Found", 0)</f>
        <v>2</v>
      </c>
      <c r="S52" s="16">
        <f>_xlfn.XLOOKUP(CustomerCombinedCleaned[[#This Row],[ID]], Table4[ID], Table4[Website], "Not Found", 0)</f>
        <v>2</v>
      </c>
      <c r="T52" s="16">
        <f>_xlfn.XLOOKUP(CustomerCombinedCleaned[[#This Row],[ID]], Table4[ID], Table4[Catalog], "Not Found", 0)</f>
        <v>0</v>
      </c>
      <c r="U52" s="16">
        <f>_xlfn.XLOOKUP(CustomerCombinedCleaned[[#This Row],[ID]], Table4[ID], Table4[Store], "Not Found", 0)</f>
        <v>4</v>
      </c>
      <c r="V52" s="16">
        <f>_xlfn.XLOOKUP(CustomerCombinedCleaned[[#This Row],[ID]], Table4[ID], Table4[Visits], "Not Found", 0)</f>
        <v>6</v>
      </c>
      <c r="W52" s="16">
        <f>_xlfn.XLOOKUP(CustomerCombinedCleaned[[#This Row],[ID]], Table2[ID],Table2[Complaint], "Not Found", 0 )</f>
        <v>0</v>
      </c>
      <c r="X52" s="16">
        <f>_xlfn.XLOOKUP(CustomerCombinedCleaned[[#This Row],[ID]], Table2[ID],Table2[Pilot], "Not Found", 0 )</f>
        <v>0</v>
      </c>
      <c r="Y52" s="16">
        <f>_xlfn.XLOOKUP(CustomerCombinedCleaned[[#This Row],[ID]], Table2[ID],Table2[MC1], "Not Found", 0 )</f>
        <v>0</v>
      </c>
      <c r="Z52" s="16">
        <f>_xlfn.XLOOKUP(CustomerCombinedCleaned[[#This Row],[ID]], Table2[ID],Table2[MC2], "Not Found", 0 )</f>
        <v>0</v>
      </c>
      <c r="AA52" s="16">
        <f>_xlfn.XLOOKUP(CustomerCombinedCleaned[[#This Row],[ID]], Table2[ID],Table2[MC3], "Not Found", 0 )</f>
        <v>0</v>
      </c>
      <c r="AB52" s="16">
        <f>_xlfn.XLOOKUP(CustomerCombinedCleaned[[#This Row],[ID]], Table2[ID],Table2[MC4], "Not Found", 0 )</f>
        <v>0</v>
      </c>
      <c r="AC52" s="16">
        <f>_xlfn.XLOOKUP(CustomerCombinedCleaned[[#This Row],[ID]], Table2[ID],Table2[MC5], "Not Found", 0 )</f>
        <v>0</v>
      </c>
    </row>
    <row r="53" spans="1:29" x14ac:dyDescent="0.3">
      <c r="A53" s="18">
        <v>2390</v>
      </c>
      <c r="B53" s="16">
        <v>134412</v>
      </c>
      <c r="C53" s="16">
        <v>1</v>
      </c>
      <c r="D53" s="16">
        <v>0</v>
      </c>
      <c r="E53" s="16">
        <v>30</v>
      </c>
      <c r="F53" s="17" t="s">
        <v>7</v>
      </c>
      <c r="G53" s="17" t="s">
        <v>11</v>
      </c>
      <c r="H53" s="3" t="s">
        <v>310</v>
      </c>
      <c r="I53" s="5" t="s">
        <v>438</v>
      </c>
      <c r="J53" s="16">
        <f>_xlfn.XLOOKUP(CustomerCombinedCleaned[[#This Row],[ID]], Table4[ID], Table4[Recency], "Not Found", 0)</f>
        <v>62</v>
      </c>
      <c r="K53" s="16">
        <f>_xlfn.XLOOKUP(CustomerCombinedCleaned[[#This Row],[ID]], Table4[ID], Table4[Teas], "Not Found", 0)</f>
        <v>203</v>
      </c>
      <c r="L53" s="16">
        <f>_xlfn.XLOOKUP(CustomerCombinedCleaned[[#This Row],[ID]], Table4[ID], Table4[Fruits], "Not Found", 0)</f>
        <v>47</v>
      </c>
      <c r="M53" s="16">
        <f>_xlfn.XLOOKUP(CustomerCombinedCleaned[[#This Row],[ID]], Table4[ID], Table4[Meats], "Not Found", 0)</f>
        <v>195</v>
      </c>
      <c r="N53" s="16">
        <f>_xlfn.XLOOKUP(CustomerCombinedCleaned[[#This Row],[ID]], Table4[ID], Table4[Seafood], "Not Found", 0)</f>
        <v>16</v>
      </c>
      <c r="O53" s="16">
        <f>_xlfn.XLOOKUP(CustomerCombinedCleaned[[#This Row],[ID]], Table4[ID], Table4[Sweets], "Not Found", 0)</f>
        <v>141</v>
      </c>
      <c r="P53" s="16">
        <f>_xlfn.XLOOKUP(CustomerCombinedCleaned[[#This Row],[ID]], Table4[ID], Table4[Premium], "Not Found", 0)</f>
        <v>215</v>
      </c>
      <c r="Q53" s="16">
        <f>_xlfn.XLOOKUP(CustomerCombinedCleaned[[#This Row],[ID]], Table4[ID], Table4[Regular], "Not Found", 0)</f>
        <v>387</v>
      </c>
      <c r="R53" s="16">
        <f>_xlfn.XLOOKUP(CustomerCombinedCleaned[[#This Row],[ID]], Table4[ID], Table4[Deals], "Not Found", 0)</f>
        <v>3</v>
      </c>
      <c r="S53" s="16">
        <f>_xlfn.XLOOKUP(CustomerCombinedCleaned[[#This Row],[ID]], Table4[ID], Table4[Website], "Not Found", 0)</f>
        <v>5</v>
      </c>
      <c r="T53" s="16">
        <f>_xlfn.XLOOKUP(CustomerCombinedCleaned[[#This Row],[ID]], Table4[ID], Table4[Catalog], "Not Found", 0)</f>
        <v>0</v>
      </c>
      <c r="U53" s="16">
        <f>_xlfn.XLOOKUP(CustomerCombinedCleaned[[#This Row],[ID]], Table4[ID], Table4[Store], "Not Found", 0)</f>
        <v>3</v>
      </c>
      <c r="V53" s="16">
        <f>_xlfn.XLOOKUP(CustomerCombinedCleaned[[#This Row],[ID]], Table4[ID], Table4[Visits], "Not Found", 0)</f>
        <v>9</v>
      </c>
      <c r="W53" s="16">
        <f>_xlfn.XLOOKUP(CustomerCombinedCleaned[[#This Row],[ID]], Table2[ID],Table2[Complaint], "Not Found", 0 )</f>
        <v>0</v>
      </c>
      <c r="X53" s="16">
        <f>_xlfn.XLOOKUP(CustomerCombinedCleaned[[#This Row],[ID]], Table2[ID],Table2[Pilot], "Not Found", 0 )</f>
        <v>0</v>
      </c>
      <c r="Y53" s="16">
        <f>_xlfn.XLOOKUP(CustomerCombinedCleaned[[#This Row],[ID]], Table2[ID],Table2[MC1], "Not Found", 0 )</f>
        <v>0</v>
      </c>
      <c r="Z53" s="16">
        <f>_xlfn.XLOOKUP(CustomerCombinedCleaned[[#This Row],[ID]], Table2[ID],Table2[MC2], "Not Found", 0 )</f>
        <v>0</v>
      </c>
      <c r="AA53" s="16">
        <f>_xlfn.XLOOKUP(CustomerCombinedCleaned[[#This Row],[ID]], Table2[ID],Table2[MC3], "Not Found", 0 )</f>
        <v>0</v>
      </c>
      <c r="AB53" s="16">
        <f>_xlfn.XLOOKUP(CustomerCombinedCleaned[[#This Row],[ID]], Table2[ID],Table2[MC4], "Not Found", 0 )</f>
        <v>0</v>
      </c>
      <c r="AC53" s="16">
        <f>_xlfn.XLOOKUP(CustomerCombinedCleaned[[#This Row],[ID]], Table2[ID],Table2[MC5], "Not Found", 0 )</f>
        <v>0</v>
      </c>
    </row>
    <row r="54" spans="1:29" x14ac:dyDescent="0.3">
      <c r="A54" s="18">
        <v>2822</v>
      </c>
      <c r="B54" s="16">
        <v>130093</v>
      </c>
      <c r="C54" s="16">
        <v>0</v>
      </c>
      <c r="D54" s="16">
        <v>0</v>
      </c>
      <c r="E54" s="16">
        <v>30</v>
      </c>
      <c r="F54" s="17" t="s">
        <v>6</v>
      </c>
      <c r="G54" s="17" t="s">
        <v>11</v>
      </c>
      <c r="H54" s="3" t="s">
        <v>227</v>
      </c>
      <c r="I54" s="5" t="s">
        <v>438</v>
      </c>
      <c r="J54" s="16">
        <f>_xlfn.XLOOKUP(CustomerCombinedCleaned[[#This Row],[ID]], Table4[ID], Table4[Recency], "Not Found", 0)</f>
        <v>19</v>
      </c>
      <c r="K54" s="16">
        <f>_xlfn.XLOOKUP(CustomerCombinedCleaned[[#This Row],[ID]], Table4[ID], Table4[Teas], "Not Found", 0)</f>
        <v>9</v>
      </c>
      <c r="L54" s="16">
        <f>_xlfn.XLOOKUP(CustomerCombinedCleaned[[#This Row],[ID]], Table4[ID], Table4[Fruits], "Not Found", 0)</f>
        <v>26</v>
      </c>
      <c r="M54" s="16">
        <f>_xlfn.XLOOKUP(CustomerCombinedCleaned[[#This Row],[ID]], Table4[ID], Table4[Meats], "Not Found", 0)</f>
        <v>121</v>
      </c>
      <c r="N54" s="16">
        <f>_xlfn.XLOOKUP(CustomerCombinedCleaned[[#This Row],[ID]], Table4[ID], Table4[Seafood], "Not Found", 0)</f>
        <v>56</v>
      </c>
      <c r="O54" s="16">
        <f>_xlfn.XLOOKUP(CustomerCombinedCleaned[[#This Row],[ID]], Table4[ID], Table4[Sweets], "Not Found", 0)</f>
        <v>17</v>
      </c>
      <c r="P54" s="16">
        <f>_xlfn.XLOOKUP(CustomerCombinedCleaned[[#This Row],[ID]], Table4[ID], Table4[Premium], "Not Found", 0)</f>
        <v>69</v>
      </c>
      <c r="Q54" s="16">
        <f>_xlfn.XLOOKUP(CustomerCombinedCleaned[[#This Row],[ID]], Table4[ID], Table4[Regular], "Not Found", 0)</f>
        <v>160</v>
      </c>
      <c r="R54" s="16">
        <f>_xlfn.XLOOKUP(CustomerCombinedCleaned[[#This Row],[ID]], Table4[ID], Table4[Deals], "Not Found", 0)</f>
        <v>1</v>
      </c>
      <c r="S54" s="16">
        <f>_xlfn.XLOOKUP(CustomerCombinedCleaned[[#This Row],[ID]], Table4[ID], Table4[Website], "Not Found", 0)</f>
        <v>2</v>
      </c>
      <c r="T54" s="16">
        <f>_xlfn.XLOOKUP(CustomerCombinedCleaned[[#This Row],[ID]], Table4[ID], Table4[Catalog], "Not Found", 0)</f>
        <v>0</v>
      </c>
      <c r="U54" s="16">
        <f>_xlfn.XLOOKUP(CustomerCombinedCleaned[[#This Row],[ID]], Table4[ID], Table4[Store], "Not Found", 0)</f>
        <v>3</v>
      </c>
      <c r="V54" s="16">
        <f>_xlfn.XLOOKUP(CustomerCombinedCleaned[[#This Row],[ID]], Table4[ID], Table4[Visits], "Not Found", 0)</f>
        <v>7</v>
      </c>
      <c r="W54" s="16">
        <f>_xlfn.XLOOKUP(CustomerCombinedCleaned[[#This Row],[ID]], Table2[ID],Table2[Complaint], "Not Found", 0 )</f>
        <v>0</v>
      </c>
      <c r="X54" s="16">
        <f>_xlfn.XLOOKUP(CustomerCombinedCleaned[[#This Row],[ID]], Table2[ID],Table2[Pilot], "Not Found", 0 )</f>
        <v>0</v>
      </c>
      <c r="Y54" s="16">
        <f>_xlfn.XLOOKUP(CustomerCombinedCleaned[[#This Row],[ID]], Table2[ID],Table2[MC1], "Not Found", 0 )</f>
        <v>0</v>
      </c>
      <c r="Z54" s="16">
        <f>_xlfn.XLOOKUP(CustomerCombinedCleaned[[#This Row],[ID]], Table2[ID],Table2[MC2], "Not Found", 0 )</f>
        <v>0</v>
      </c>
      <c r="AA54" s="16">
        <f>_xlfn.XLOOKUP(CustomerCombinedCleaned[[#This Row],[ID]], Table2[ID],Table2[MC3], "Not Found", 0 )</f>
        <v>0</v>
      </c>
      <c r="AB54" s="16">
        <f>_xlfn.XLOOKUP(CustomerCombinedCleaned[[#This Row],[ID]], Table2[ID],Table2[MC4], "Not Found", 0 )</f>
        <v>0</v>
      </c>
      <c r="AC54" s="16">
        <f>_xlfn.XLOOKUP(CustomerCombinedCleaned[[#This Row],[ID]], Table2[ID],Table2[MC5], "Not Found", 0 )</f>
        <v>0</v>
      </c>
    </row>
    <row r="55" spans="1:29" x14ac:dyDescent="0.3">
      <c r="A55" s="18">
        <v>1501</v>
      </c>
      <c r="B55" s="16">
        <v>126095</v>
      </c>
      <c r="C55" s="16">
        <v>1</v>
      </c>
      <c r="D55" s="16">
        <v>0</v>
      </c>
      <c r="E55" s="16">
        <v>30</v>
      </c>
      <c r="F55" s="17" t="s">
        <v>7</v>
      </c>
      <c r="G55" s="17" t="s">
        <v>11</v>
      </c>
      <c r="H55" s="3" t="s">
        <v>769</v>
      </c>
      <c r="I55" s="5" t="s">
        <v>437</v>
      </c>
      <c r="J55" s="16">
        <f>_xlfn.XLOOKUP(CustomerCombinedCleaned[[#This Row],[ID]], Table4[ID], Table4[Recency], "Not Found", 0)</f>
        <v>77</v>
      </c>
      <c r="K55" s="16">
        <f>_xlfn.XLOOKUP(CustomerCombinedCleaned[[#This Row],[ID]], Table4[ID], Table4[Teas], "Not Found", 0)</f>
        <v>53</v>
      </c>
      <c r="L55" s="16">
        <f>_xlfn.XLOOKUP(CustomerCombinedCleaned[[#This Row],[ID]], Table4[ID], Table4[Fruits], "Not Found", 0)</f>
        <v>34</v>
      </c>
      <c r="M55" s="16">
        <f>_xlfn.XLOOKUP(CustomerCombinedCleaned[[#This Row],[ID]], Table4[ID], Table4[Meats], "Not Found", 0)</f>
        <v>43</v>
      </c>
      <c r="N55" s="16">
        <f>_xlfn.XLOOKUP(CustomerCombinedCleaned[[#This Row],[ID]], Table4[ID], Table4[Seafood], "Not Found", 0)</f>
        <v>14</v>
      </c>
      <c r="O55" s="16">
        <f>_xlfn.XLOOKUP(CustomerCombinedCleaned[[#This Row],[ID]], Table4[ID], Table4[Sweets], "Not Found", 0)</f>
        <v>5</v>
      </c>
      <c r="P55" s="16">
        <f>_xlfn.XLOOKUP(CustomerCombinedCleaned[[#This Row],[ID]], Table4[ID], Table4[Premium], "Not Found", 0)</f>
        <v>53</v>
      </c>
      <c r="Q55" s="16">
        <f>_xlfn.XLOOKUP(CustomerCombinedCleaned[[#This Row],[ID]], Table4[ID], Table4[Regular], "Not Found", 0)</f>
        <v>97</v>
      </c>
      <c r="R55" s="16">
        <f>_xlfn.XLOOKUP(CustomerCombinedCleaned[[#This Row],[ID]], Table4[ID], Table4[Deals], "Not Found", 0)</f>
        <v>1</v>
      </c>
      <c r="S55" s="16">
        <f>_xlfn.XLOOKUP(CustomerCombinedCleaned[[#This Row],[ID]], Table4[ID], Table4[Website], "Not Found", 0)</f>
        <v>1</v>
      </c>
      <c r="T55" s="16">
        <f>_xlfn.XLOOKUP(CustomerCombinedCleaned[[#This Row],[ID]], Table4[ID], Table4[Catalog], "Not Found", 0)</f>
        <v>0</v>
      </c>
      <c r="U55" s="16">
        <f>_xlfn.XLOOKUP(CustomerCombinedCleaned[[#This Row],[ID]], Table4[ID], Table4[Store], "Not Found", 0)</f>
        <v>3</v>
      </c>
      <c r="V55" s="16">
        <f>_xlfn.XLOOKUP(CustomerCombinedCleaned[[#This Row],[ID]], Table4[ID], Table4[Visits], "Not Found", 0)</f>
        <v>7</v>
      </c>
      <c r="W55" s="16">
        <f>_xlfn.XLOOKUP(CustomerCombinedCleaned[[#This Row],[ID]], Table2[ID],Table2[Complaint], "Not Found", 0 )</f>
        <v>0</v>
      </c>
      <c r="X55" s="16">
        <f>_xlfn.XLOOKUP(CustomerCombinedCleaned[[#This Row],[ID]], Table2[ID],Table2[Pilot], "Not Found", 0 )</f>
        <v>0</v>
      </c>
      <c r="Y55" s="16">
        <f>_xlfn.XLOOKUP(CustomerCombinedCleaned[[#This Row],[ID]], Table2[ID],Table2[MC1], "Not Found", 0 )</f>
        <v>0</v>
      </c>
      <c r="Z55" s="16">
        <f>_xlfn.XLOOKUP(CustomerCombinedCleaned[[#This Row],[ID]], Table2[ID],Table2[MC2], "Not Found", 0 )</f>
        <v>0</v>
      </c>
      <c r="AA55" s="16">
        <f>_xlfn.XLOOKUP(CustomerCombinedCleaned[[#This Row],[ID]], Table2[ID],Table2[MC3], "Not Found", 0 )</f>
        <v>0</v>
      </c>
      <c r="AB55" s="16">
        <f>_xlfn.XLOOKUP(CustomerCombinedCleaned[[#This Row],[ID]], Table2[ID],Table2[MC4], "Not Found", 0 )</f>
        <v>0</v>
      </c>
      <c r="AC55" s="16">
        <f>_xlfn.XLOOKUP(CustomerCombinedCleaned[[#This Row],[ID]], Table2[ID],Table2[MC5], "Not Found", 0 )</f>
        <v>0</v>
      </c>
    </row>
    <row r="56" spans="1:29" x14ac:dyDescent="0.3">
      <c r="A56" s="18">
        <v>1529</v>
      </c>
      <c r="B56" s="16">
        <v>124683</v>
      </c>
      <c r="C56" s="16">
        <v>1</v>
      </c>
      <c r="D56" s="16">
        <v>0</v>
      </c>
      <c r="E56" s="16">
        <v>30</v>
      </c>
      <c r="F56" s="17" t="s">
        <v>6</v>
      </c>
      <c r="G56" s="17" t="s">
        <v>11</v>
      </c>
      <c r="H56" s="3" t="s">
        <v>630</v>
      </c>
      <c r="I56" s="5" t="s">
        <v>434</v>
      </c>
      <c r="J56" s="16">
        <f>_xlfn.XLOOKUP(CustomerCombinedCleaned[[#This Row],[ID]], Table4[ID], Table4[Recency], "Not Found", 0)</f>
        <v>98</v>
      </c>
      <c r="K56" s="16">
        <f>_xlfn.XLOOKUP(CustomerCombinedCleaned[[#This Row],[ID]], Table4[ID], Table4[Teas], "Not Found", 0)</f>
        <v>40</v>
      </c>
      <c r="L56" s="16">
        <f>_xlfn.XLOOKUP(CustomerCombinedCleaned[[#This Row],[ID]], Table4[ID], Table4[Fruits], "Not Found", 0)</f>
        <v>20</v>
      </c>
      <c r="M56" s="16">
        <f>_xlfn.XLOOKUP(CustomerCombinedCleaned[[#This Row],[ID]], Table4[ID], Table4[Meats], "Not Found", 0)</f>
        <v>51</v>
      </c>
      <c r="N56" s="16">
        <f>_xlfn.XLOOKUP(CustomerCombinedCleaned[[#This Row],[ID]], Table4[ID], Table4[Seafood], "Not Found", 0)</f>
        <v>30</v>
      </c>
      <c r="O56" s="16">
        <f>_xlfn.XLOOKUP(CustomerCombinedCleaned[[#This Row],[ID]], Table4[ID], Table4[Sweets], "Not Found", 0)</f>
        <v>35</v>
      </c>
      <c r="P56" s="16">
        <f>_xlfn.XLOOKUP(CustomerCombinedCleaned[[#This Row],[ID]], Table4[ID], Table4[Premium], "Not Found", 0)</f>
        <v>30</v>
      </c>
      <c r="Q56" s="16">
        <f>_xlfn.XLOOKUP(CustomerCombinedCleaned[[#This Row],[ID]], Table4[ID], Table4[Regular], "Not Found", 0)</f>
        <v>146</v>
      </c>
      <c r="R56" s="16">
        <f>_xlfn.XLOOKUP(CustomerCombinedCleaned[[#This Row],[ID]], Table4[ID], Table4[Deals], "Not Found", 0)</f>
        <v>2</v>
      </c>
      <c r="S56" s="16">
        <f>_xlfn.XLOOKUP(CustomerCombinedCleaned[[#This Row],[ID]], Table4[ID], Table4[Website], "Not Found", 0)</f>
        <v>2</v>
      </c>
      <c r="T56" s="16">
        <f>_xlfn.XLOOKUP(CustomerCombinedCleaned[[#This Row],[ID]], Table4[ID], Table4[Catalog], "Not Found", 0)</f>
        <v>0</v>
      </c>
      <c r="U56" s="16">
        <f>_xlfn.XLOOKUP(CustomerCombinedCleaned[[#This Row],[ID]], Table4[ID], Table4[Store], "Not Found", 0)</f>
        <v>4</v>
      </c>
      <c r="V56" s="16">
        <f>_xlfn.XLOOKUP(CustomerCombinedCleaned[[#This Row],[ID]], Table4[ID], Table4[Visits], "Not Found", 0)</f>
        <v>5</v>
      </c>
      <c r="W56" s="16">
        <f>_xlfn.XLOOKUP(CustomerCombinedCleaned[[#This Row],[ID]], Table2[ID],Table2[Complaint], "Not Found", 0 )</f>
        <v>0</v>
      </c>
      <c r="X56" s="16">
        <f>_xlfn.XLOOKUP(CustomerCombinedCleaned[[#This Row],[ID]], Table2[ID],Table2[Pilot], "Not Found", 0 )</f>
        <v>0</v>
      </c>
      <c r="Y56" s="16">
        <f>_xlfn.XLOOKUP(CustomerCombinedCleaned[[#This Row],[ID]], Table2[ID],Table2[MC1], "Not Found", 0 )</f>
        <v>0</v>
      </c>
      <c r="Z56" s="16">
        <f>_xlfn.XLOOKUP(CustomerCombinedCleaned[[#This Row],[ID]], Table2[ID],Table2[MC2], "Not Found", 0 )</f>
        <v>0</v>
      </c>
      <c r="AA56" s="16">
        <f>_xlfn.XLOOKUP(CustomerCombinedCleaned[[#This Row],[ID]], Table2[ID],Table2[MC3], "Not Found", 0 )</f>
        <v>0</v>
      </c>
      <c r="AB56" s="16">
        <f>_xlfn.XLOOKUP(CustomerCombinedCleaned[[#This Row],[ID]], Table2[ID],Table2[MC4], "Not Found", 0 )</f>
        <v>0</v>
      </c>
      <c r="AC56" s="16">
        <f>_xlfn.XLOOKUP(CustomerCombinedCleaned[[#This Row],[ID]], Table2[ID],Table2[MC5], "Not Found", 0 )</f>
        <v>0</v>
      </c>
    </row>
    <row r="57" spans="1:29" x14ac:dyDescent="0.3">
      <c r="A57" s="18">
        <v>1486</v>
      </c>
      <c r="B57" s="16">
        <v>124279</v>
      </c>
      <c r="C57" s="16">
        <v>0</v>
      </c>
      <c r="D57" s="16">
        <v>0</v>
      </c>
      <c r="E57" s="16">
        <v>30</v>
      </c>
      <c r="F57" s="17" t="s">
        <v>6</v>
      </c>
      <c r="G57" s="17" t="s">
        <v>10</v>
      </c>
      <c r="H57" s="3" t="s">
        <v>793</v>
      </c>
      <c r="I57" s="5" t="s">
        <v>439</v>
      </c>
      <c r="J57" s="16">
        <f>_xlfn.XLOOKUP(CustomerCombinedCleaned[[#This Row],[ID]], Table4[ID], Table4[Recency], "Not Found", 0)</f>
        <v>6</v>
      </c>
      <c r="K57" s="16">
        <f>_xlfn.XLOOKUP(CustomerCombinedCleaned[[#This Row],[ID]], Table4[ID], Table4[Teas], "Not Found", 0)</f>
        <v>82</v>
      </c>
      <c r="L57" s="16">
        <f>_xlfn.XLOOKUP(CustomerCombinedCleaned[[#This Row],[ID]], Table4[ID], Table4[Fruits], "Not Found", 0)</f>
        <v>184</v>
      </c>
      <c r="M57" s="16">
        <f>_xlfn.XLOOKUP(CustomerCombinedCleaned[[#This Row],[ID]], Table4[ID], Table4[Meats], "Not Found", 0)</f>
        <v>107</v>
      </c>
      <c r="N57" s="16">
        <f>_xlfn.XLOOKUP(CustomerCombinedCleaned[[#This Row],[ID]], Table4[ID], Table4[Seafood], "Not Found", 0)</f>
        <v>102</v>
      </c>
      <c r="O57" s="16">
        <f>_xlfn.XLOOKUP(CustomerCombinedCleaned[[#This Row],[ID]], Table4[ID], Table4[Sweets], "Not Found", 0)</f>
        <v>317</v>
      </c>
      <c r="P57" s="16">
        <f>_xlfn.XLOOKUP(CustomerCombinedCleaned[[#This Row],[ID]], Table4[ID], Table4[Premium], "Not Found", 0)</f>
        <v>553</v>
      </c>
      <c r="Q57" s="16">
        <f>_xlfn.XLOOKUP(CustomerCombinedCleaned[[#This Row],[ID]], Table4[ID], Table4[Regular], "Not Found", 0)</f>
        <v>241</v>
      </c>
      <c r="R57" s="16">
        <f>_xlfn.XLOOKUP(CustomerCombinedCleaned[[#This Row],[ID]], Table4[ID], Table4[Deals], "Not Found", 0)</f>
        <v>1</v>
      </c>
      <c r="S57" s="16">
        <f>_xlfn.XLOOKUP(CustomerCombinedCleaned[[#This Row],[ID]], Table4[ID], Table4[Website], "Not Found", 0)</f>
        <v>4</v>
      </c>
      <c r="T57" s="16">
        <f>_xlfn.XLOOKUP(CustomerCombinedCleaned[[#This Row],[ID]], Table4[ID], Table4[Catalog], "Not Found", 0)</f>
        <v>1</v>
      </c>
      <c r="U57" s="16">
        <f>_xlfn.XLOOKUP(CustomerCombinedCleaned[[#This Row],[ID]], Table4[ID], Table4[Store], "Not Found", 0)</f>
        <v>3</v>
      </c>
      <c r="V57" s="16">
        <f>_xlfn.XLOOKUP(CustomerCombinedCleaned[[#This Row],[ID]], Table4[ID], Table4[Visits], "Not Found", 0)</f>
        <v>8</v>
      </c>
      <c r="W57" s="16">
        <f>_xlfn.XLOOKUP(CustomerCombinedCleaned[[#This Row],[ID]], Table2[ID],Table2[Complaint], "Not Found", 0 )</f>
        <v>0</v>
      </c>
      <c r="X57" s="16">
        <f>_xlfn.XLOOKUP(CustomerCombinedCleaned[[#This Row],[ID]], Table2[ID],Table2[Pilot], "Not Found", 0 )</f>
        <v>0</v>
      </c>
      <c r="Y57" s="16">
        <f>_xlfn.XLOOKUP(CustomerCombinedCleaned[[#This Row],[ID]], Table2[ID],Table2[MC1], "Not Found", 0 )</f>
        <v>0</v>
      </c>
      <c r="Z57" s="16">
        <f>_xlfn.XLOOKUP(CustomerCombinedCleaned[[#This Row],[ID]], Table2[ID],Table2[MC2], "Not Found", 0 )</f>
        <v>0</v>
      </c>
      <c r="AA57" s="16">
        <f>_xlfn.XLOOKUP(CustomerCombinedCleaned[[#This Row],[ID]], Table2[ID],Table2[MC3], "Not Found", 0 )</f>
        <v>0</v>
      </c>
      <c r="AB57" s="16">
        <f>_xlfn.XLOOKUP(CustomerCombinedCleaned[[#This Row],[ID]], Table2[ID],Table2[MC4], "Not Found", 0 )</f>
        <v>0</v>
      </c>
      <c r="AC57" s="16">
        <f>_xlfn.XLOOKUP(CustomerCombinedCleaned[[#This Row],[ID]], Table2[ID],Table2[MC5], "Not Found", 0 )</f>
        <v>0</v>
      </c>
    </row>
    <row r="58" spans="1:29" x14ac:dyDescent="0.3">
      <c r="A58" s="18">
        <v>2323</v>
      </c>
      <c r="B58" s="16">
        <v>118929</v>
      </c>
      <c r="C58" s="16">
        <v>0</v>
      </c>
      <c r="D58" s="16">
        <v>0</v>
      </c>
      <c r="E58" s="16">
        <v>30</v>
      </c>
      <c r="F58" s="17" t="s">
        <v>6</v>
      </c>
      <c r="G58" s="17" t="s">
        <v>11</v>
      </c>
      <c r="H58" s="3" t="s">
        <v>307</v>
      </c>
      <c r="I58" s="5" t="s">
        <v>437</v>
      </c>
      <c r="J58" s="16">
        <f>_xlfn.XLOOKUP(CustomerCombinedCleaned[[#This Row],[ID]], Table4[ID], Table4[Recency], "Not Found", 0)</f>
        <v>15</v>
      </c>
      <c r="K58" s="16">
        <f>_xlfn.XLOOKUP(CustomerCombinedCleaned[[#This Row],[ID]], Table4[ID], Table4[Teas], "Not Found", 0)</f>
        <v>201</v>
      </c>
      <c r="L58" s="16">
        <f>_xlfn.XLOOKUP(CustomerCombinedCleaned[[#This Row],[ID]], Table4[ID], Table4[Fruits], "Not Found", 0)</f>
        <v>0</v>
      </c>
      <c r="M58" s="16">
        <f>_xlfn.XLOOKUP(CustomerCombinedCleaned[[#This Row],[ID]], Table4[ID], Table4[Meats], "Not Found", 0)</f>
        <v>50</v>
      </c>
      <c r="N58" s="16">
        <f>_xlfn.XLOOKUP(CustomerCombinedCleaned[[#This Row],[ID]], Table4[ID], Table4[Seafood], "Not Found", 0)</f>
        <v>145</v>
      </c>
      <c r="O58" s="16">
        <f>_xlfn.XLOOKUP(CustomerCombinedCleaned[[#This Row],[ID]], Table4[ID], Table4[Sweets], "Not Found", 0)</f>
        <v>25</v>
      </c>
      <c r="P58" s="16">
        <f>_xlfn.XLOOKUP(CustomerCombinedCleaned[[#This Row],[ID]], Table4[ID], Table4[Premium], "Not Found", 0)</f>
        <v>113</v>
      </c>
      <c r="Q58" s="16">
        <f>_xlfn.XLOOKUP(CustomerCombinedCleaned[[#This Row],[ID]], Table4[ID], Table4[Regular], "Not Found", 0)</f>
        <v>308</v>
      </c>
      <c r="R58" s="16">
        <f>_xlfn.XLOOKUP(CustomerCombinedCleaned[[#This Row],[ID]], Table4[ID], Table4[Deals], "Not Found", 0)</f>
        <v>1</v>
      </c>
      <c r="S58" s="16">
        <f>_xlfn.XLOOKUP(CustomerCombinedCleaned[[#This Row],[ID]], Table4[ID], Table4[Website], "Not Found", 0)</f>
        <v>1</v>
      </c>
      <c r="T58" s="16">
        <f>_xlfn.XLOOKUP(CustomerCombinedCleaned[[#This Row],[ID]], Table4[ID], Table4[Catalog], "Not Found", 0)</f>
        <v>0</v>
      </c>
      <c r="U58" s="16">
        <f>_xlfn.XLOOKUP(CustomerCombinedCleaned[[#This Row],[ID]], Table4[ID], Table4[Store], "Not Found", 0)</f>
        <v>4</v>
      </c>
      <c r="V58" s="16">
        <f>_xlfn.XLOOKUP(CustomerCombinedCleaned[[#This Row],[ID]], Table4[ID], Table4[Visits], "Not Found", 0)</f>
        <v>6</v>
      </c>
      <c r="W58" s="16">
        <f>_xlfn.XLOOKUP(CustomerCombinedCleaned[[#This Row],[ID]], Table2[ID],Table2[Complaint], "Not Found", 0 )</f>
        <v>0</v>
      </c>
      <c r="X58" s="16">
        <f>_xlfn.XLOOKUP(CustomerCombinedCleaned[[#This Row],[ID]], Table2[ID],Table2[Pilot], "Not Found", 0 )</f>
        <v>0</v>
      </c>
      <c r="Y58" s="16">
        <f>_xlfn.XLOOKUP(CustomerCombinedCleaned[[#This Row],[ID]], Table2[ID],Table2[MC1], "Not Found", 0 )</f>
        <v>0</v>
      </c>
      <c r="Z58" s="16">
        <f>_xlfn.XLOOKUP(CustomerCombinedCleaned[[#This Row],[ID]], Table2[ID],Table2[MC2], "Not Found", 0 )</f>
        <v>0</v>
      </c>
      <c r="AA58" s="16">
        <f>_xlfn.XLOOKUP(CustomerCombinedCleaned[[#This Row],[ID]], Table2[ID],Table2[MC3], "Not Found", 0 )</f>
        <v>0</v>
      </c>
      <c r="AB58" s="16">
        <f>_xlfn.XLOOKUP(CustomerCombinedCleaned[[#This Row],[ID]], Table2[ID],Table2[MC4], "Not Found", 0 )</f>
        <v>0</v>
      </c>
      <c r="AC58" s="16">
        <f>_xlfn.XLOOKUP(CustomerCombinedCleaned[[#This Row],[ID]], Table2[ID],Table2[MC5], "Not Found", 0 )</f>
        <v>0</v>
      </c>
    </row>
    <row r="59" spans="1:29" x14ac:dyDescent="0.3">
      <c r="A59" s="18">
        <v>2891</v>
      </c>
      <c r="B59" s="16">
        <v>118929</v>
      </c>
      <c r="C59" s="16">
        <v>0</v>
      </c>
      <c r="D59" s="16">
        <v>0</v>
      </c>
      <c r="E59" s="16">
        <v>30</v>
      </c>
      <c r="F59" s="17" t="s">
        <v>6</v>
      </c>
      <c r="G59" s="17" t="s">
        <v>11</v>
      </c>
      <c r="H59" s="3" t="s">
        <v>307</v>
      </c>
      <c r="I59" s="5" t="s">
        <v>434</v>
      </c>
      <c r="J59" s="16">
        <f>_xlfn.XLOOKUP(CustomerCombinedCleaned[[#This Row],[ID]], Table4[ID], Table4[Recency], "Not Found", 0)</f>
        <v>15</v>
      </c>
      <c r="K59" s="16">
        <f>_xlfn.XLOOKUP(CustomerCombinedCleaned[[#This Row],[ID]], Table4[ID], Table4[Teas], "Not Found", 0)</f>
        <v>201</v>
      </c>
      <c r="L59" s="16">
        <f>_xlfn.XLOOKUP(CustomerCombinedCleaned[[#This Row],[ID]], Table4[ID], Table4[Fruits], "Not Found", 0)</f>
        <v>0</v>
      </c>
      <c r="M59" s="16">
        <f>_xlfn.XLOOKUP(CustomerCombinedCleaned[[#This Row],[ID]], Table4[ID], Table4[Meats], "Not Found", 0)</f>
        <v>50</v>
      </c>
      <c r="N59" s="16">
        <f>_xlfn.XLOOKUP(CustomerCombinedCleaned[[#This Row],[ID]], Table4[ID], Table4[Seafood], "Not Found", 0)</f>
        <v>145</v>
      </c>
      <c r="O59" s="16">
        <f>_xlfn.XLOOKUP(CustomerCombinedCleaned[[#This Row],[ID]], Table4[ID], Table4[Sweets], "Not Found", 0)</f>
        <v>25</v>
      </c>
      <c r="P59" s="16">
        <f>_xlfn.XLOOKUP(CustomerCombinedCleaned[[#This Row],[ID]], Table4[ID], Table4[Premium], "Not Found", 0)</f>
        <v>113</v>
      </c>
      <c r="Q59" s="16">
        <f>_xlfn.XLOOKUP(CustomerCombinedCleaned[[#This Row],[ID]], Table4[ID], Table4[Regular], "Not Found", 0)</f>
        <v>308</v>
      </c>
      <c r="R59" s="16">
        <f>_xlfn.XLOOKUP(CustomerCombinedCleaned[[#This Row],[ID]], Table4[ID], Table4[Deals], "Not Found", 0)</f>
        <v>1</v>
      </c>
      <c r="S59" s="16">
        <f>_xlfn.XLOOKUP(CustomerCombinedCleaned[[#This Row],[ID]], Table4[ID], Table4[Website], "Not Found", 0)</f>
        <v>1</v>
      </c>
      <c r="T59" s="16">
        <f>_xlfn.XLOOKUP(CustomerCombinedCleaned[[#This Row],[ID]], Table4[ID], Table4[Catalog], "Not Found", 0)</f>
        <v>0</v>
      </c>
      <c r="U59" s="16">
        <f>_xlfn.XLOOKUP(CustomerCombinedCleaned[[#This Row],[ID]], Table4[ID], Table4[Store], "Not Found", 0)</f>
        <v>4</v>
      </c>
      <c r="V59" s="16">
        <f>_xlfn.XLOOKUP(CustomerCombinedCleaned[[#This Row],[ID]], Table4[ID], Table4[Visits], "Not Found", 0)</f>
        <v>6</v>
      </c>
      <c r="W59" s="16">
        <f>_xlfn.XLOOKUP(CustomerCombinedCleaned[[#This Row],[ID]], Table2[ID],Table2[Complaint], "Not Found", 0 )</f>
        <v>0</v>
      </c>
      <c r="X59" s="16">
        <f>_xlfn.XLOOKUP(CustomerCombinedCleaned[[#This Row],[ID]], Table2[ID],Table2[Pilot], "Not Found", 0 )</f>
        <v>0</v>
      </c>
      <c r="Y59" s="16">
        <f>_xlfn.XLOOKUP(CustomerCombinedCleaned[[#This Row],[ID]], Table2[ID],Table2[MC1], "Not Found", 0 )</f>
        <v>0</v>
      </c>
      <c r="Z59" s="16">
        <f>_xlfn.XLOOKUP(CustomerCombinedCleaned[[#This Row],[ID]], Table2[ID],Table2[MC2], "Not Found", 0 )</f>
        <v>0</v>
      </c>
      <c r="AA59" s="16">
        <f>_xlfn.XLOOKUP(CustomerCombinedCleaned[[#This Row],[ID]], Table2[ID],Table2[MC3], "Not Found", 0 )</f>
        <v>0</v>
      </c>
      <c r="AB59" s="16">
        <f>_xlfn.XLOOKUP(CustomerCombinedCleaned[[#This Row],[ID]], Table2[ID],Table2[MC4], "Not Found", 0 )</f>
        <v>0</v>
      </c>
      <c r="AC59" s="16">
        <f>_xlfn.XLOOKUP(CustomerCombinedCleaned[[#This Row],[ID]], Table2[ID],Table2[MC5], "Not Found", 0 )</f>
        <v>0</v>
      </c>
    </row>
    <row r="60" spans="1:29" x14ac:dyDescent="0.3">
      <c r="A60" s="18">
        <v>3172</v>
      </c>
      <c r="B60" s="16">
        <v>118929</v>
      </c>
      <c r="C60" s="16">
        <v>0</v>
      </c>
      <c r="D60" s="16">
        <v>0</v>
      </c>
      <c r="E60" s="16">
        <v>30</v>
      </c>
      <c r="F60" s="17" t="s">
        <v>6</v>
      </c>
      <c r="G60" s="17" t="s">
        <v>11</v>
      </c>
      <c r="H60" s="3" t="s">
        <v>307</v>
      </c>
      <c r="I60" s="5" t="s">
        <v>439</v>
      </c>
      <c r="J60" s="16">
        <f>_xlfn.XLOOKUP(CustomerCombinedCleaned[[#This Row],[ID]], Table4[ID], Table4[Recency], "Not Found", 0)</f>
        <v>15</v>
      </c>
      <c r="K60" s="16">
        <f>_xlfn.XLOOKUP(CustomerCombinedCleaned[[#This Row],[ID]], Table4[ID], Table4[Teas], "Not Found", 0)</f>
        <v>201</v>
      </c>
      <c r="L60" s="16">
        <f>_xlfn.XLOOKUP(CustomerCombinedCleaned[[#This Row],[ID]], Table4[ID], Table4[Fruits], "Not Found", 0)</f>
        <v>0</v>
      </c>
      <c r="M60" s="16">
        <f>_xlfn.XLOOKUP(CustomerCombinedCleaned[[#This Row],[ID]], Table4[ID], Table4[Meats], "Not Found", 0)</f>
        <v>50</v>
      </c>
      <c r="N60" s="16">
        <f>_xlfn.XLOOKUP(CustomerCombinedCleaned[[#This Row],[ID]], Table4[ID], Table4[Seafood], "Not Found", 0)</f>
        <v>145</v>
      </c>
      <c r="O60" s="16">
        <f>_xlfn.XLOOKUP(CustomerCombinedCleaned[[#This Row],[ID]], Table4[ID], Table4[Sweets], "Not Found", 0)</f>
        <v>25</v>
      </c>
      <c r="P60" s="16">
        <f>_xlfn.XLOOKUP(CustomerCombinedCleaned[[#This Row],[ID]], Table4[ID], Table4[Premium], "Not Found", 0)</f>
        <v>113</v>
      </c>
      <c r="Q60" s="16">
        <f>_xlfn.XLOOKUP(CustomerCombinedCleaned[[#This Row],[ID]], Table4[ID], Table4[Regular], "Not Found", 0)</f>
        <v>308</v>
      </c>
      <c r="R60" s="16">
        <f>_xlfn.XLOOKUP(CustomerCombinedCleaned[[#This Row],[ID]], Table4[ID], Table4[Deals], "Not Found", 0)</f>
        <v>1</v>
      </c>
      <c r="S60" s="16">
        <f>_xlfn.XLOOKUP(CustomerCombinedCleaned[[#This Row],[ID]], Table4[ID], Table4[Website], "Not Found", 0)</f>
        <v>1</v>
      </c>
      <c r="T60" s="16">
        <f>_xlfn.XLOOKUP(CustomerCombinedCleaned[[#This Row],[ID]], Table4[ID], Table4[Catalog], "Not Found", 0)</f>
        <v>0</v>
      </c>
      <c r="U60" s="16">
        <f>_xlfn.XLOOKUP(CustomerCombinedCleaned[[#This Row],[ID]], Table4[ID], Table4[Store], "Not Found", 0)</f>
        <v>4</v>
      </c>
      <c r="V60" s="16">
        <f>_xlfn.XLOOKUP(CustomerCombinedCleaned[[#This Row],[ID]], Table4[ID], Table4[Visits], "Not Found", 0)</f>
        <v>6</v>
      </c>
      <c r="W60" s="16">
        <f>_xlfn.XLOOKUP(CustomerCombinedCleaned[[#This Row],[ID]], Table2[ID],Table2[Complaint], "Not Found", 0 )</f>
        <v>0</v>
      </c>
      <c r="X60" s="16">
        <f>_xlfn.XLOOKUP(CustomerCombinedCleaned[[#This Row],[ID]], Table2[ID],Table2[Pilot], "Not Found", 0 )</f>
        <v>0</v>
      </c>
      <c r="Y60" s="16">
        <f>_xlfn.XLOOKUP(CustomerCombinedCleaned[[#This Row],[ID]], Table2[ID],Table2[MC1], "Not Found", 0 )</f>
        <v>0</v>
      </c>
      <c r="Z60" s="16">
        <f>_xlfn.XLOOKUP(CustomerCombinedCleaned[[#This Row],[ID]], Table2[ID],Table2[MC2], "Not Found", 0 )</f>
        <v>0</v>
      </c>
      <c r="AA60" s="16">
        <f>_xlfn.XLOOKUP(CustomerCombinedCleaned[[#This Row],[ID]], Table2[ID],Table2[MC3], "Not Found", 0 )</f>
        <v>0</v>
      </c>
      <c r="AB60" s="16">
        <f>_xlfn.XLOOKUP(CustomerCombinedCleaned[[#This Row],[ID]], Table2[ID],Table2[MC4], "Not Found", 0 )</f>
        <v>0</v>
      </c>
      <c r="AC60" s="16">
        <f>_xlfn.XLOOKUP(CustomerCombinedCleaned[[#This Row],[ID]], Table2[ID],Table2[MC5], "Not Found", 0 )</f>
        <v>0</v>
      </c>
    </row>
    <row r="61" spans="1:29" x14ac:dyDescent="0.3">
      <c r="A61" s="18">
        <v>2188</v>
      </c>
      <c r="B61" s="16">
        <v>118351</v>
      </c>
      <c r="C61" s="16">
        <v>0</v>
      </c>
      <c r="D61" s="16">
        <v>0</v>
      </c>
      <c r="E61" s="16">
        <v>30</v>
      </c>
      <c r="F61" s="17" t="s">
        <v>6</v>
      </c>
      <c r="G61" s="17" t="s">
        <v>11</v>
      </c>
      <c r="H61" s="3" t="s">
        <v>652</v>
      </c>
      <c r="I61" s="5" t="s">
        <v>439</v>
      </c>
      <c r="J61" s="16">
        <f>_xlfn.XLOOKUP(CustomerCombinedCleaned[[#This Row],[ID]], Table4[ID], Table4[Recency], "Not Found", 0)</f>
        <v>1</v>
      </c>
      <c r="K61" s="16">
        <f>_xlfn.XLOOKUP(CustomerCombinedCleaned[[#This Row],[ID]], Table4[ID], Table4[Teas], "Not Found", 0)</f>
        <v>6</v>
      </c>
      <c r="L61" s="16">
        <f>_xlfn.XLOOKUP(CustomerCombinedCleaned[[#This Row],[ID]], Table4[ID], Table4[Fruits], "Not Found", 0)</f>
        <v>77</v>
      </c>
      <c r="M61" s="16">
        <f>_xlfn.XLOOKUP(CustomerCombinedCleaned[[#This Row],[ID]], Table4[ID], Table4[Meats], "Not Found", 0)</f>
        <v>58</v>
      </c>
      <c r="N61" s="16">
        <f>_xlfn.XLOOKUP(CustomerCombinedCleaned[[#This Row],[ID]], Table4[ID], Table4[Seafood], "Not Found", 0)</f>
        <v>0</v>
      </c>
      <c r="O61" s="16">
        <f>_xlfn.XLOOKUP(CustomerCombinedCleaned[[#This Row],[ID]], Table4[ID], Table4[Sweets], "Not Found", 0)</f>
        <v>90</v>
      </c>
      <c r="P61" s="16">
        <f>_xlfn.XLOOKUP(CustomerCombinedCleaned[[#This Row],[ID]], Table4[ID], Table4[Premium], "Not Found", 0)</f>
        <v>45</v>
      </c>
      <c r="Q61" s="16">
        <f>_xlfn.XLOOKUP(CustomerCombinedCleaned[[#This Row],[ID]], Table4[ID], Table4[Regular], "Not Found", 0)</f>
        <v>187</v>
      </c>
      <c r="R61" s="16">
        <f>_xlfn.XLOOKUP(CustomerCombinedCleaned[[#This Row],[ID]], Table4[ID], Table4[Deals], "Not Found", 0)</f>
        <v>1</v>
      </c>
      <c r="S61" s="16">
        <f>_xlfn.XLOOKUP(CustomerCombinedCleaned[[#This Row],[ID]], Table4[ID], Table4[Website], "Not Found", 0)</f>
        <v>2</v>
      </c>
      <c r="T61" s="16">
        <f>_xlfn.XLOOKUP(CustomerCombinedCleaned[[#This Row],[ID]], Table4[ID], Table4[Catalog], "Not Found", 0)</f>
        <v>0</v>
      </c>
      <c r="U61" s="16">
        <f>_xlfn.XLOOKUP(CustomerCombinedCleaned[[#This Row],[ID]], Table4[ID], Table4[Store], "Not Found", 0)</f>
        <v>3</v>
      </c>
      <c r="V61" s="16">
        <f>_xlfn.XLOOKUP(CustomerCombinedCleaned[[#This Row],[ID]], Table4[ID], Table4[Visits], "Not Found", 0)</f>
        <v>7</v>
      </c>
      <c r="W61" s="16">
        <f>_xlfn.XLOOKUP(CustomerCombinedCleaned[[#This Row],[ID]], Table2[ID],Table2[Complaint], "Not Found", 0 )</f>
        <v>0</v>
      </c>
      <c r="X61" s="16">
        <f>_xlfn.XLOOKUP(CustomerCombinedCleaned[[#This Row],[ID]], Table2[ID],Table2[Pilot], "Not Found", 0 )</f>
        <v>0</v>
      </c>
      <c r="Y61" s="16">
        <f>_xlfn.XLOOKUP(CustomerCombinedCleaned[[#This Row],[ID]], Table2[ID],Table2[MC1], "Not Found", 0 )</f>
        <v>0</v>
      </c>
      <c r="Z61" s="16">
        <f>_xlfn.XLOOKUP(CustomerCombinedCleaned[[#This Row],[ID]], Table2[ID],Table2[MC2], "Not Found", 0 )</f>
        <v>0</v>
      </c>
      <c r="AA61" s="16">
        <f>_xlfn.XLOOKUP(CustomerCombinedCleaned[[#This Row],[ID]], Table2[ID],Table2[MC3], "Not Found", 0 )</f>
        <v>0</v>
      </c>
      <c r="AB61" s="16">
        <f>_xlfn.XLOOKUP(CustomerCombinedCleaned[[#This Row],[ID]], Table2[ID],Table2[MC4], "Not Found", 0 )</f>
        <v>0</v>
      </c>
      <c r="AC61" s="16">
        <f>_xlfn.XLOOKUP(CustomerCombinedCleaned[[#This Row],[ID]], Table2[ID],Table2[MC5], "Not Found", 0 )</f>
        <v>0</v>
      </c>
    </row>
    <row r="62" spans="1:29" x14ac:dyDescent="0.3">
      <c r="A62" s="18">
        <v>2669</v>
      </c>
      <c r="B62" s="16">
        <v>118222</v>
      </c>
      <c r="C62" s="16">
        <v>0</v>
      </c>
      <c r="D62" s="16">
        <v>0</v>
      </c>
      <c r="E62" s="16">
        <v>30</v>
      </c>
      <c r="F62" s="17" t="s">
        <v>6</v>
      </c>
      <c r="G62" s="17" t="s">
        <v>11</v>
      </c>
      <c r="H62" s="3" t="s">
        <v>797</v>
      </c>
      <c r="I62" s="5" t="s">
        <v>434</v>
      </c>
      <c r="J62" s="16">
        <f>_xlfn.XLOOKUP(CustomerCombinedCleaned[[#This Row],[ID]], Table4[ID], Table4[Recency], "Not Found", 0)</f>
        <v>70</v>
      </c>
      <c r="K62" s="16">
        <f>_xlfn.XLOOKUP(CustomerCombinedCleaned[[#This Row],[ID]], Table4[ID], Table4[Teas], "Not Found", 0)</f>
        <v>78</v>
      </c>
      <c r="L62" s="16">
        <f>_xlfn.XLOOKUP(CustomerCombinedCleaned[[#This Row],[ID]], Table4[ID], Table4[Fruits], "Not Found", 0)</f>
        <v>26</v>
      </c>
      <c r="M62" s="16">
        <f>_xlfn.XLOOKUP(CustomerCombinedCleaned[[#This Row],[ID]], Table4[ID], Table4[Meats], "Not Found", 0)</f>
        <v>123</v>
      </c>
      <c r="N62" s="16">
        <f>_xlfn.XLOOKUP(CustomerCombinedCleaned[[#This Row],[ID]], Table4[ID], Table4[Seafood], "Not Found", 0)</f>
        <v>78</v>
      </c>
      <c r="O62" s="16">
        <f>_xlfn.XLOOKUP(CustomerCombinedCleaned[[#This Row],[ID]], Table4[ID], Table4[Sweets], "Not Found", 0)</f>
        <v>39</v>
      </c>
      <c r="P62" s="16">
        <f>_xlfn.XLOOKUP(CustomerCombinedCleaned[[#This Row],[ID]], Table4[ID], Table4[Premium], "Not Found", 0)</f>
        <v>91</v>
      </c>
      <c r="Q62" s="16">
        <f>_xlfn.XLOOKUP(CustomerCombinedCleaned[[#This Row],[ID]], Table4[ID], Table4[Regular], "Not Found", 0)</f>
        <v>253</v>
      </c>
      <c r="R62" s="16">
        <f>_xlfn.XLOOKUP(CustomerCombinedCleaned[[#This Row],[ID]], Table4[ID], Table4[Deals], "Not Found", 0)</f>
        <v>1</v>
      </c>
      <c r="S62" s="16">
        <f>_xlfn.XLOOKUP(CustomerCombinedCleaned[[#This Row],[ID]], Table4[ID], Table4[Website], "Not Found", 0)</f>
        <v>2</v>
      </c>
      <c r="T62" s="16">
        <f>_xlfn.XLOOKUP(CustomerCombinedCleaned[[#This Row],[ID]], Table4[ID], Table4[Catalog], "Not Found", 0)</f>
        <v>0</v>
      </c>
      <c r="U62" s="16">
        <f>_xlfn.XLOOKUP(CustomerCombinedCleaned[[#This Row],[ID]], Table4[ID], Table4[Store], "Not Found", 0)</f>
        <v>3</v>
      </c>
      <c r="V62" s="16">
        <f>_xlfn.XLOOKUP(CustomerCombinedCleaned[[#This Row],[ID]], Table4[ID], Table4[Visits], "Not Found", 0)</f>
        <v>8</v>
      </c>
      <c r="W62" s="16">
        <f>_xlfn.XLOOKUP(CustomerCombinedCleaned[[#This Row],[ID]], Table2[ID],Table2[Complaint], "Not Found", 0 )</f>
        <v>0</v>
      </c>
      <c r="X62" s="16">
        <f>_xlfn.XLOOKUP(CustomerCombinedCleaned[[#This Row],[ID]], Table2[ID],Table2[Pilot], "Not Found", 0 )</f>
        <v>0</v>
      </c>
      <c r="Y62" s="16">
        <f>_xlfn.XLOOKUP(CustomerCombinedCleaned[[#This Row],[ID]], Table2[ID],Table2[MC1], "Not Found", 0 )</f>
        <v>0</v>
      </c>
      <c r="Z62" s="16">
        <f>_xlfn.XLOOKUP(CustomerCombinedCleaned[[#This Row],[ID]], Table2[ID],Table2[MC2], "Not Found", 0 )</f>
        <v>0</v>
      </c>
      <c r="AA62" s="16">
        <f>_xlfn.XLOOKUP(CustomerCombinedCleaned[[#This Row],[ID]], Table2[ID],Table2[MC3], "Not Found", 0 )</f>
        <v>0</v>
      </c>
      <c r="AB62" s="16">
        <f>_xlfn.XLOOKUP(CustomerCombinedCleaned[[#This Row],[ID]], Table2[ID],Table2[MC4], "Not Found", 0 )</f>
        <v>0</v>
      </c>
      <c r="AC62" s="16">
        <f>_xlfn.XLOOKUP(CustomerCombinedCleaned[[#This Row],[ID]], Table2[ID],Table2[MC5], "Not Found", 0 )</f>
        <v>0</v>
      </c>
    </row>
    <row r="63" spans="1:29" x14ac:dyDescent="0.3">
      <c r="A63" s="18">
        <v>3168</v>
      </c>
      <c r="B63" s="16">
        <v>116185</v>
      </c>
      <c r="C63" s="16">
        <v>1</v>
      </c>
      <c r="D63" s="16">
        <v>0</v>
      </c>
      <c r="E63" s="16">
        <v>30</v>
      </c>
      <c r="F63" s="17" t="s">
        <v>7</v>
      </c>
      <c r="G63" s="17" t="s">
        <v>10</v>
      </c>
      <c r="H63" s="3" t="s">
        <v>733</v>
      </c>
      <c r="I63" s="5" t="s">
        <v>436</v>
      </c>
      <c r="J63" s="16">
        <f>_xlfn.XLOOKUP(CustomerCombinedCleaned[[#This Row],[ID]], Table4[ID], Table4[Recency], "Not Found", 0)</f>
        <v>71</v>
      </c>
      <c r="K63" s="16">
        <f>_xlfn.XLOOKUP(CustomerCombinedCleaned[[#This Row],[ID]], Table4[ID], Table4[Teas], "Not Found", 0)</f>
        <v>36</v>
      </c>
      <c r="L63" s="16">
        <f>_xlfn.XLOOKUP(CustomerCombinedCleaned[[#This Row],[ID]], Table4[ID], Table4[Fruits], "Not Found", 0)</f>
        <v>79</v>
      </c>
      <c r="M63" s="16">
        <f>_xlfn.XLOOKUP(CustomerCombinedCleaned[[#This Row],[ID]], Table4[ID], Table4[Meats], "Not Found", 0)</f>
        <v>115</v>
      </c>
      <c r="N63" s="16">
        <f>_xlfn.XLOOKUP(CustomerCombinedCleaned[[#This Row],[ID]], Table4[ID], Table4[Seafood], "Not Found", 0)</f>
        <v>151</v>
      </c>
      <c r="O63" s="16">
        <f>_xlfn.XLOOKUP(CustomerCombinedCleaned[[#This Row],[ID]], Table4[ID], Table4[Sweets], "Not Found", 0)</f>
        <v>57</v>
      </c>
      <c r="P63" s="16">
        <f>_xlfn.XLOOKUP(CustomerCombinedCleaned[[#This Row],[ID]], Table4[ID], Table4[Premium], "Not Found", 0)</f>
        <v>323</v>
      </c>
      <c r="Q63" s="16">
        <f>_xlfn.XLOOKUP(CustomerCombinedCleaned[[#This Row],[ID]], Table4[ID], Table4[Regular], "Not Found", 0)</f>
        <v>115</v>
      </c>
      <c r="R63" s="16">
        <f>_xlfn.XLOOKUP(CustomerCombinedCleaned[[#This Row],[ID]], Table4[ID], Table4[Deals], "Not Found", 0)</f>
        <v>2</v>
      </c>
      <c r="S63" s="16">
        <f>_xlfn.XLOOKUP(CustomerCombinedCleaned[[#This Row],[ID]], Table4[ID], Table4[Website], "Not Found", 0)</f>
        <v>2</v>
      </c>
      <c r="T63" s="16">
        <f>_xlfn.XLOOKUP(CustomerCombinedCleaned[[#This Row],[ID]], Table4[ID], Table4[Catalog], "Not Found", 0)</f>
        <v>2</v>
      </c>
      <c r="U63" s="16">
        <f>_xlfn.XLOOKUP(CustomerCombinedCleaned[[#This Row],[ID]], Table4[ID], Table4[Store], "Not Found", 0)</f>
        <v>2</v>
      </c>
      <c r="V63" s="16">
        <f>_xlfn.XLOOKUP(CustomerCombinedCleaned[[#This Row],[ID]], Table4[ID], Table4[Visits], "Not Found", 0)</f>
        <v>8</v>
      </c>
      <c r="W63" s="16">
        <f>_xlfn.XLOOKUP(CustomerCombinedCleaned[[#This Row],[ID]], Table2[ID],Table2[Complaint], "Not Found", 0 )</f>
        <v>0</v>
      </c>
      <c r="X63" s="16">
        <f>_xlfn.XLOOKUP(CustomerCombinedCleaned[[#This Row],[ID]], Table2[ID],Table2[Pilot], "Not Found", 0 )</f>
        <v>0</v>
      </c>
      <c r="Y63" s="16">
        <f>_xlfn.XLOOKUP(CustomerCombinedCleaned[[#This Row],[ID]], Table2[ID],Table2[MC1], "Not Found", 0 )</f>
        <v>0</v>
      </c>
      <c r="Z63" s="16">
        <f>_xlfn.XLOOKUP(CustomerCombinedCleaned[[#This Row],[ID]], Table2[ID],Table2[MC2], "Not Found", 0 )</f>
        <v>0</v>
      </c>
      <c r="AA63" s="16">
        <f>_xlfn.XLOOKUP(CustomerCombinedCleaned[[#This Row],[ID]], Table2[ID],Table2[MC3], "Not Found", 0 )</f>
        <v>0</v>
      </c>
      <c r="AB63" s="16">
        <f>_xlfn.XLOOKUP(CustomerCombinedCleaned[[#This Row],[ID]], Table2[ID],Table2[MC4], "Not Found", 0 )</f>
        <v>0</v>
      </c>
      <c r="AC63" s="16">
        <f>_xlfn.XLOOKUP(CustomerCombinedCleaned[[#This Row],[ID]], Table2[ID],Table2[MC5], "Not Found", 0 )</f>
        <v>0</v>
      </c>
    </row>
    <row r="64" spans="1:29" x14ac:dyDescent="0.3">
      <c r="A64" s="18">
        <v>2866</v>
      </c>
      <c r="B64" s="16">
        <v>188420</v>
      </c>
      <c r="C64" s="16">
        <v>0</v>
      </c>
      <c r="D64" s="16">
        <v>0</v>
      </c>
      <c r="E64" s="16">
        <v>31</v>
      </c>
      <c r="F64" s="17" t="s">
        <v>8</v>
      </c>
      <c r="G64" s="17" t="s">
        <v>12</v>
      </c>
      <c r="H64" s="3" t="s">
        <v>555</v>
      </c>
      <c r="I64" s="5" t="s">
        <v>439</v>
      </c>
      <c r="J64" s="16">
        <f>_xlfn.XLOOKUP(CustomerCombinedCleaned[[#This Row],[ID]], Table4[ID], Table4[Recency], "Not Found", 0)</f>
        <v>87</v>
      </c>
      <c r="K64" s="16">
        <f>_xlfn.XLOOKUP(CustomerCombinedCleaned[[#This Row],[ID]], Table4[ID], Table4[Teas], "Not Found", 0)</f>
        <v>2039</v>
      </c>
      <c r="L64" s="16">
        <f>_xlfn.XLOOKUP(CustomerCombinedCleaned[[#This Row],[ID]], Table4[ID], Table4[Fruits], "Not Found", 0)</f>
        <v>326</v>
      </c>
      <c r="M64" s="16">
        <f>_xlfn.XLOOKUP(CustomerCombinedCleaned[[#This Row],[ID]], Table4[ID], Table4[Meats], "Not Found", 0)</f>
        <v>1304</v>
      </c>
      <c r="N64" s="16">
        <f>_xlfn.XLOOKUP(CustomerCombinedCleaned[[#This Row],[ID]], Table4[ID], Table4[Seafood], "Not Found", 0)</f>
        <v>211</v>
      </c>
      <c r="O64" s="16">
        <f>_xlfn.XLOOKUP(CustomerCombinedCleaned[[#This Row],[ID]], Table4[ID], Table4[Sweets], "Not Found", 0)</f>
        <v>202</v>
      </c>
      <c r="P64" s="16">
        <f>_xlfn.XLOOKUP(CustomerCombinedCleaned[[#This Row],[ID]], Table4[ID], Table4[Premium], "Not Found", 0)</f>
        <v>326</v>
      </c>
      <c r="Q64" s="16">
        <f>_xlfn.XLOOKUP(CustomerCombinedCleaned[[#This Row],[ID]], Table4[ID], Table4[Regular], "Not Found", 0)</f>
        <v>3757</v>
      </c>
      <c r="R64" s="16">
        <f>_xlfn.XLOOKUP(CustomerCombinedCleaned[[#This Row],[ID]], Table4[ID], Table4[Deals], "Not Found", 0)</f>
        <v>1</v>
      </c>
      <c r="S64" s="16">
        <f>_xlfn.XLOOKUP(CustomerCombinedCleaned[[#This Row],[ID]], Table4[ID], Table4[Website], "Not Found", 0)</f>
        <v>4</v>
      </c>
      <c r="T64" s="16">
        <f>_xlfn.XLOOKUP(CustomerCombinedCleaned[[#This Row],[ID]], Table4[ID], Table4[Catalog], "Not Found", 0)</f>
        <v>7</v>
      </c>
      <c r="U64" s="16">
        <f>_xlfn.XLOOKUP(CustomerCombinedCleaned[[#This Row],[ID]], Table4[ID], Table4[Store], "Not Found", 0)</f>
        <v>8</v>
      </c>
      <c r="V64" s="16">
        <f>_xlfn.XLOOKUP(CustomerCombinedCleaned[[#This Row],[ID]], Table4[ID], Table4[Visits], "Not Found", 0)</f>
        <v>1</v>
      </c>
      <c r="W64" s="16">
        <f>_xlfn.XLOOKUP(CustomerCombinedCleaned[[#This Row],[ID]], Table2[ID],Table2[Complaint], "Not Found", 0 )</f>
        <v>0</v>
      </c>
      <c r="X64" s="16">
        <f>_xlfn.XLOOKUP(CustomerCombinedCleaned[[#This Row],[ID]], Table2[ID],Table2[Pilot], "Not Found", 0 )</f>
        <v>0</v>
      </c>
      <c r="Y64" s="16">
        <f>_xlfn.XLOOKUP(CustomerCombinedCleaned[[#This Row],[ID]], Table2[ID],Table2[MC1], "Not Found", 0 )</f>
        <v>1</v>
      </c>
      <c r="Z64" s="16">
        <f>_xlfn.XLOOKUP(CustomerCombinedCleaned[[#This Row],[ID]], Table2[ID],Table2[MC2], "Not Found", 0 )</f>
        <v>0</v>
      </c>
      <c r="AA64" s="16">
        <f>_xlfn.XLOOKUP(CustomerCombinedCleaned[[#This Row],[ID]], Table2[ID],Table2[MC3], "Not Found", 0 )</f>
        <v>1</v>
      </c>
      <c r="AB64" s="16">
        <f>_xlfn.XLOOKUP(CustomerCombinedCleaned[[#This Row],[ID]], Table2[ID],Table2[MC4], "Not Found", 0 )</f>
        <v>0</v>
      </c>
      <c r="AC64" s="16">
        <f>_xlfn.XLOOKUP(CustomerCombinedCleaned[[#This Row],[ID]], Table2[ID],Table2[MC5], "Not Found", 0 )</f>
        <v>1</v>
      </c>
    </row>
    <row r="65" spans="1:29" x14ac:dyDescent="0.3">
      <c r="A65" s="18">
        <v>1840</v>
      </c>
      <c r="B65" s="16">
        <v>185710</v>
      </c>
      <c r="C65" s="16">
        <v>0</v>
      </c>
      <c r="D65" s="16">
        <v>0</v>
      </c>
      <c r="E65" s="16">
        <v>31</v>
      </c>
      <c r="F65" s="17" t="s">
        <v>6</v>
      </c>
      <c r="G65" s="17" t="s">
        <v>11</v>
      </c>
      <c r="H65" s="3" t="s">
        <v>566</v>
      </c>
      <c r="I65" s="5" t="s">
        <v>439</v>
      </c>
      <c r="J65" s="16">
        <f>_xlfn.XLOOKUP(CustomerCombinedCleaned[[#This Row],[ID]], Table4[ID], Table4[Recency], "Not Found", 0)</f>
        <v>5</v>
      </c>
      <c r="K65" s="16">
        <f>_xlfn.XLOOKUP(CustomerCombinedCleaned[[#This Row],[ID]], Table4[ID], Table4[Teas], "Not Found", 0)</f>
        <v>1300</v>
      </c>
      <c r="L65" s="16">
        <f>_xlfn.XLOOKUP(CustomerCombinedCleaned[[#This Row],[ID]], Table4[ID], Table4[Fruits], "Not Found", 0)</f>
        <v>43</v>
      </c>
      <c r="M65" s="16">
        <f>_xlfn.XLOOKUP(CustomerCombinedCleaned[[#This Row],[ID]], Table4[ID], Table4[Meats], "Not Found", 0)</f>
        <v>758</v>
      </c>
      <c r="N65" s="16">
        <f>_xlfn.XLOOKUP(CustomerCombinedCleaned[[#This Row],[ID]], Table4[ID], Table4[Seafood], "Not Found", 0)</f>
        <v>63</v>
      </c>
      <c r="O65" s="16">
        <f>_xlfn.XLOOKUP(CustomerCombinedCleaned[[#This Row],[ID]], Table4[ID], Table4[Sweets], "Not Found", 0)</f>
        <v>65</v>
      </c>
      <c r="P65" s="16">
        <f>_xlfn.XLOOKUP(CustomerCombinedCleaned[[#This Row],[ID]], Table4[ID], Table4[Premium], "Not Found", 0)</f>
        <v>72</v>
      </c>
      <c r="Q65" s="16">
        <f>_xlfn.XLOOKUP(CustomerCombinedCleaned[[#This Row],[ID]], Table4[ID], Table4[Regular], "Not Found", 0)</f>
        <v>2158</v>
      </c>
      <c r="R65" s="16">
        <f>_xlfn.XLOOKUP(CustomerCombinedCleaned[[#This Row],[ID]], Table4[ID], Table4[Deals], "Not Found", 0)</f>
        <v>1</v>
      </c>
      <c r="S65" s="16">
        <f>_xlfn.XLOOKUP(CustomerCombinedCleaned[[#This Row],[ID]], Table4[ID], Table4[Website], "Not Found", 0)</f>
        <v>6</v>
      </c>
      <c r="T65" s="16">
        <f>_xlfn.XLOOKUP(CustomerCombinedCleaned[[#This Row],[ID]], Table4[ID], Table4[Catalog], "Not Found", 0)</f>
        <v>9</v>
      </c>
      <c r="U65" s="16">
        <f>_xlfn.XLOOKUP(CustomerCombinedCleaned[[#This Row],[ID]], Table4[ID], Table4[Store], "Not Found", 0)</f>
        <v>10</v>
      </c>
      <c r="V65" s="16">
        <f>_xlfn.XLOOKUP(CustomerCombinedCleaned[[#This Row],[ID]], Table4[ID], Table4[Visits], "Not Found", 0)</f>
        <v>2</v>
      </c>
      <c r="W65" s="16">
        <f>_xlfn.XLOOKUP(CustomerCombinedCleaned[[#This Row],[ID]], Table2[ID],Table2[Complaint], "Not Found", 0 )</f>
        <v>0</v>
      </c>
      <c r="X65" s="16">
        <f>_xlfn.XLOOKUP(CustomerCombinedCleaned[[#This Row],[ID]], Table2[ID],Table2[Pilot], "Not Found", 0 )</f>
        <v>0</v>
      </c>
      <c r="Y65" s="16">
        <f>_xlfn.XLOOKUP(CustomerCombinedCleaned[[#This Row],[ID]], Table2[ID],Table2[MC1], "Not Found", 0 )</f>
        <v>0</v>
      </c>
      <c r="Z65" s="16">
        <f>_xlfn.XLOOKUP(CustomerCombinedCleaned[[#This Row],[ID]], Table2[ID],Table2[MC2], "Not Found", 0 )</f>
        <v>0</v>
      </c>
      <c r="AA65" s="16">
        <f>_xlfn.XLOOKUP(CustomerCombinedCleaned[[#This Row],[ID]], Table2[ID],Table2[MC3], "Not Found", 0 )</f>
        <v>0</v>
      </c>
      <c r="AB65" s="16">
        <f>_xlfn.XLOOKUP(CustomerCombinedCleaned[[#This Row],[ID]], Table2[ID],Table2[MC4], "Not Found", 0 )</f>
        <v>0</v>
      </c>
      <c r="AC65" s="16">
        <f>_xlfn.XLOOKUP(CustomerCombinedCleaned[[#This Row],[ID]], Table2[ID],Table2[MC5], "Not Found", 0 )</f>
        <v>1</v>
      </c>
    </row>
    <row r="66" spans="1:29" x14ac:dyDescent="0.3">
      <c r="A66" s="18">
        <v>1491</v>
      </c>
      <c r="B66" s="16">
        <v>181217</v>
      </c>
      <c r="C66" s="16">
        <v>0</v>
      </c>
      <c r="D66" s="16">
        <v>0</v>
      </c>
      <c r="E66" s="16">
        <v>31</v>
      </c>
      <c r="F66" s="17" t="s">
        <v>7</v>
      </c>
      <c r="G66" s="17" t="s">
        <v>11</v>
      </c>
      <c r="H66" s="3" t="s">
        <v>217</v>
      </c>
      <c r="I66" s="5" t="s">
        <v>435</v>
      </c>
      <c r="J66" s="16">
        <f>_xlfn.XLOOKUP(CustomerCombinedCleaned[[#This Row],[ID]], Table4[ID], Table4[Recency], "Not Found", 0)</f>
        <v>77</v>
      </c>
      <c r="K66" s="16">
        <f>_xlfn.XLOOKUP(CustomerCombinedCleaned[[#This Row],[ID]], Table4[ID], Table4[Teas], "Not Found", 0)</f>
        <v>1100</v>
      </c>
      <c r="L66" s="16">
        <f>_xlfn.XLOOKUP(CustomerCombinedCleaned[[#This Row],[ID]], Table4[ID], Table4[Fruits], "Not Found", 0)</f>
        <v>156</v>
      </c>
      <c r="M66" s="16">
        <f>_xlfn.XLOOKUP(CustomerCombinedCleaned[[#This Row],[ID]], Table4[ID], Table4[Meats], "Not Found", 0)</f>
        <v>723</v>
      </c>
      <c r="N66" s="16">
        <f>_xlfn.XLOOKUP(CustomerCombinedCleaned[[#This Row],[ID]], Table4[ID], Table4[Seafood], "Not Found", 0)</f>
        <v>326</v>
      </c>
      <c r="O66" s="16">
        <f>_xlfn.XLOOKUP(CustomerCombinedCleaned[[#This Row],[ID]], Table4[ID], Table4[Sweets], "Not Found", 0)</f>
        <v>89</v>
      </c>
      <c r="P66" s="16">
        <f>_xlfn.XLOOKUP(CustomerCombinedCleaned[[#This Row],[ID]], Table4[ID], Table4[Premium], "Not Found", 0)</f>
        <v>187</v>
      </c>
      <c r="Q66" s="16">
        <f>_xlfn.XLOOKUP(CustomerCombinedCleaned[[#This Row],[ID]], Table4[ID], Table4[Regular], "Not Found", 0)</f>
        <v>2207</v>
      </c>
      <c r="R66" s="16">
        <f>_xlfn.XLOOKUP(CustomerCombinedCleaned[[#This Row],[ID]], Table4[ID], Table4[Deals], "Not Found", 0)</f>
        <v>1</v>
      </c>
      <c r="S66" s="16">
        <f>_xlfn.XLOOKUP(CustomerCombinedCleaned[[#This Row],[ID]], Table4[ID], Table4[Website], "Not Found", 0)</f>
        <v>3</v>
      </c>
      <c r="T66" s="16">
        <f>_xlfn.XLOOKUP(CustomerCombinedCleaned[[#This Row],[ID]], Table4[ID], Table4[Catalog], "Not Found", 0)</f>
        <v>7</v>
      </c>
      <c r="U66" s="16">
        <f>_xlfn.XLOOKUP(CustomerCombinedCleaned[[#This Row],[ID]], Table4[ID], Table4[Store], "Not Found", 0)</f>
        <v>11</v>
      </c>
      <c r="V66" s="16">
        <f>_xlfn.XLOOKUP(CustomerCombinedCleaned[[#This Row],[ID]], Table4[ID], Table4[Visits], "Not Found", 0)</f>
        <v>1</v>
      </c>
      <c r="W66" s="16">
        <f>_xlfn.XLOOKUP(CustomerCombinedCleaned[[#This Row],[ID]], Table2[ID],Table2[Complaint], "Not Found", 0 )</f>
        <v>0</v>
      </c>
      <c r="X66" s="16">
        <f>_xlfn.XLOOKUP(CustomerCombinedCleaned[[#This Row],[ID]], Table2[ID],Table2[Pilot], "Not Found", 0 )</f>
        <v>0</v>
      </c>
      <c r="Y66" s="16">
        <f>_xlfn.XLOOKUP(CustomerCombinedCleaned[[#This Row],[ID]], Table2[ID],Table2[MC1], "Not Found", 0 )</f>
        <v>0</v>
      </c>
      <c r="Z66" s="16">
        <f>_xlfn.XLOOKUP(CustomerCombinedCleaned[[#This Row],[ID]], Table2[ID],Table2[MC2], "Not Found", 0 )</f>
        <v>0</v>
      </c>
      <c r="AA66" s="16">
        <f>_xlfn.XLOOKUP(CustomerCombinedCleaned[[#This Row],[ID]], Table2[ID],Table2[MC3], "Not Found", 0 )</f>
        <v>0</v>
      </c>
      <c r="AB66" s="16">
        <f>_xlfn.XLOOKUP(CustomerCombinedCleaned[[#This Row],[ID]], Table2[ID],Table2[MC4], "Not Found", 0 )</f>
        <v>0</v>
      </c>
      <c r="AC66" s="16">
        <f>_xlfn.XLOOKUP(CustomerCombinedCleaned[[#This Row],[ID]], Table2[ID],Table2[MC5], "Not Found", 0 )</f>
        <v>0</v>
      </c>
    </row>
    <row r="67" spans="1:29" x14ac:dyDescent="0.3">
      <c r="A67" s="18">
        <v>2664</v>
      </c>
      <c r="B67" s="16">
        <v>181217</v>
      </c>
      <c r="C67" s="16">
        <v>0</v>
      </c>
      <c r="D67" s="16">
        <v>0</v>
      </c>
      <c r="E67" s="16">
        <v>31</v>
      </c>
      <c r="F67" s="17" t="s">
        <v>7</v>
      </c>
      <c r="G67" s="17" t="s">
        <v>11</v>
      </c>
      <c r="H67" s="3" t="s">
        <v>217</v>
      </c>
      <c r="I67" s="5" t="s">
        <v>436</v>
      </c>
      <c r="J67" s="16">
        <f>_xlfn.XLOOKUP(CustomerCombinedCleaned[[#This Row],[ID]], Table4[ID], Table4[Recency], "Not Found", 0)</f>
        <v>77</v>
      </c>
      <c r="K67" s="16">
        <f>_xlfn.XLOOKUP(CustomerCombinedCleaned[[#This Row],[ID]], Table4[ID], Table4[Teas], "Not Found", 0)</f>
        <v>1100</v>
      </c>
      <c r="L67" s="16">
        <f>_xlfn.XLOOKUP(CustomerCombinedCleaned[[#This Row],[ID]], Table4[ID], Table4[Fruits], "Not Found", 0)</f>
        <v>156</v>
      </c>
      <c r="M67" s="16">
        <f>_xlfn.XLOOKUP(CustomerCombinedCleaned[[#This Row],[ID]], Table4[ID], Table4[Meats], "Not Found", 0)</f>
        <v>723</v>
      </c>
      <c r="N67" s="16">
        <f>_xlfn.XLOOKUP(CustomerCombinedCleaned[[#This Row],[ID]], Table4[ID], Table4[Seafood], "Not Found", 0)</f>
        <v>326</v>
      </c>
      <c r="O67" s="16">
        <f>_xlfn.XLOOKUP(CustomerCombinedCleaned[[#This Row],[ID]], Table4[ID], Table4[Sweets], "Not Found", 0)</f>
        <v>89</v>
      </c>
      <c r="P67" s="16">
        <f>_xlfn.XLOOKUP(CustomerCombinedCleaned[[#This Row],[ID]], Table4[ID], Table4[Premium], "Not Found", 0)</f>
        <v>187</v>
      </c>
      <c r="Q67" s="16">
        <f>_xlfn.XLOOKUP(CustomerCombinedCleaned[[#This Row],[ID]], Table4[ID], Table4[Regular], "Not Found", 0)</f>
        <v>2207</v>
      </c>
      <c r="R67" s="16">
        <f>_xlfn.XLOOKUP(CustomerCombinedCleaned[[#This Row],[ID]], Table4[ID], Table4[Deals], "Not Found", 0)</f>
        <v>1</v>
      </c>
      <c r="S67" s="16">
        <f>_xlfn.XLOOKUP(CustomerCombinedCleaned[[#This Row],[ID]], Table4[ID], Table4[Website], "Not Found", 0)</f>
        <v>3</v>
      </c>
      <c r="T67" s="16">
        <f>_xlfn.XLOOKUP(CustomerCombinedCleaned[[#This Row],[ID]], Table4[ID], Table4[Catalog], "Not Found", 0)</f>
        <v>7</v>
      </c>
      <c r="U67" s="16">
        <f>_xlfn.XLOOKUP(CustomerCombinedCleaned[[#This Row],[ID]], Table4[ID], Table4[Store], "Not Found", 0)</f>
        <v>11</v>
      </c>
      <c r="V67" s="16">
        <f>_xlfn.XLOOKUP(CustomerCombinedCleaned[[#This Row],[ID]], Table4[ID], Table4[Visits], "Not Found", 0)</f>
        <v>1</v>
      </c>
      <c r="W67" s="16">
        <f>_xlfn.XLOOKUP(CustomerCombinedCleaned[[#This Row],[ID]], Table2[ID],Table2[Complaint], "Not Found", 0 )</f>
        <v>0</v>
      </c>
      <c r="X67" s="16">
        <f>_xlfn.XLOOKUP(CustomerCombinedCleaned[[#This Row],[ID]], Table2[ID],Table2[Pilot], "Not Found", 0 )</f>
        <v>0</v>
      </c>
      <c r="Y67" s="16">
        <f>_xlfn.XLOOKUP(CustomerCombinedCleaned[[#This Row],[ID]], Table2[ID],Table2[MC1], "Not Found", 0 )</f>
        <v>0</v>
      </c>
      <c r="Z67" s="16">
        <f>_xlfn.XLOOKUP(CustomerCombinedCleaned[[#This Row],[ID]], Table2[ID],Table2[MC2], "Not Found", 0 )</f>
        <v>0</v>
      </c>
      <c r="AA67" s="16">
        <f>_xlfn.XLOOKUP(CustomerCombinedCleaned[[#This Row],[ID]], Table2[ID],Table2[MC3], "Not Found", 0 )</f>
        <v>0</v>
      </c>
      <c r="AB67" s="16">
        <f>_xlfn.XLOOKUP(CustomerCombinedCleaned[[#This Row],[ID]], Table2[ID],Table2[MC4], "Not Found", 0 )</f>
        <v>0</v>
      </c>
      <c r="AC67" s="16">
        <f>_xlfn.XLOOKUP(CustomerCombinedCleaned[[#This Row],[ID]], Table2[ID],Table2[MC5], "Not Found", 0 )</f>
        <v>0</v>
      </c>
    </row>
    <row r="68" spans="1:29" x14ac:dyDescent="0.3">
      <c r="A68" s="18">
        <v>1669</v>
      </c>
      <c r="B68" s="16">
        <v>177845</v>
      </c>
      <c r="C68" s="16">
        <v>0</v>
      </c>
      <c r="D68" s="16">
        <v>0</v>
      </c>
      <c r="E68" s="16">
        <v>31</v>
      </c>
      <c r="F68" s="17" t="s">
        <v>8</v>
      </c>
      <c r="G68" s="17" t="s">
        <v>13</v>
      </c>
      <c r="H68" s="3" t="s">
        <v>49</v>
      </c>
      <c r="I68" s="5" t="s">
        <v>437</v>
      </c>
      <c r="J68" s="16">
        <f>_xlfn.XLOOKUP(CustomerCombinedCleaned[[#This Row],[ID]], Table4[ID], Table4[Recency], "Not Found", 0)</f>
        <v>40</v>
      </c>
      <c r="K68" s="16">
        <f>_xlfn.XLOOKUP(CustomerCombinedCleaned[[#This Row],[ID]], Table4[ID], Table4[Teas], "Not Found", 0)</f>
        <v>1736</v>
      </c>
      <c r="L68" s="16">
        <f>_xlfn.XLOOKUP(CustomerCombinedCleaned[[#This Row],[ID]], Table4[ID], Table4[Fruits], "Not Found", 0)</f>
        <v>91</v>
      </c>
      <c r="M68" s="16">
        <f>_xlfn.XLOOKUP(CustomerCombinedCleaned[[#This Row],[ID]], Table4[ID], Table4[Meats], "Not Found", 0)</f>
        <v>1097</v>
      </c>
      <c r="N68" s="16">
        <f>_xlfn.XLOOKUP(CustomerCombinedCleaned[[#This Row],[ID]], Table4[ID], Table4[Seafood], "Not Found", 0)</f>
        <v>0</v>
      </c>
      <c r="O68" s="16">
        <f>_xlfn.XLOOKUP(CustomerCombinedCleaned[[#This Row],[ID]], Table4[ID], Table4[Sweets], "Not Found", 0)</f>
        <v>91</v>
      </c>
      <c r="P68" s="16">
        <f>_xlfn.XLOOKUP(CustomerCombinedCleaned[[#This Row],[ID]], Table4[ID], Table4[Premium], "Not Found", 0)</f>
        <v>59</v>
      </c>
      <c r="Q68" s="16">
        <f>_xlfn.XLOOKUP(CustomerCombinedCleaned[[#This Row],[ID]], Table4[ID], Table4[Regular], "Not Found", 0)</f>
        <v>2956</v>
      </c>
      <c r="R68" s="16">
        <f>_xlfn.XLOOKUP(CustomerCombinedCleaned[[#This Row],[ID]], Table4[ID], Table4[Deals], "Not Found", 0)</f>
        <v>1</v>
      </c>
      <c r="S68" s="16">
        <f>_xlfn.XLOOKUP(CustomerCombinedCleaned[[#This Row],[ID]], Table4[ID], Table4[Website], "Not Found", 0)</f>
        <v>3</v>
      </c>
      <c r="T68" s="16">
        <f>_xlfn.XLOOKUP(CustomerCombinedCleaned[[#This Row],[ID]], Table4[ID], Table4[Catalog], "Not Found", 0)</f>
        <v>5</v>
      </c>
      <c r="U68" s="16">
        <f>_xlfn.XLOOKUP(CustomerCombinedCleaned[[#This Row],[ID]], Table4[ID], Table4[Store], "Not Found", 0)</f>
        <v>12</v>
      </c>
      <c r="V68" s="16">
        <f>_xlfn.XLOOKUP(CustomerCombinedCleaned[[#This Row],[ID]], Table4[ID], Table4[Visits], "Not Found", 0)</f>
        <v>1</v>
      </c>
      <c r="W68" s="16">
        <f>_xlfn.XLOOKUP(CustomerCombinedCleaned[[#This Row],[ID]], Table2[ID],Table2[Complaint], "Not Found", 0 )</f>
        <v>0</v>
      </c>
      <c r="X68" s="16">
        <f>_xlfn.XLOOKUP(CustomerCombinedCleaned[[#This Row],[ID]], Table2[ID],Table2[Pilot], "Not Found", 0 )</f>
        <v>0</v>
      </c>
      <c r="Y68" s="16">
        <f>_xlfn.XLOOKUP(CustomerCombinedCleaned[[#This Row],[ID]], Table2[ID],Table2[MC1], "Not Found", 0 )</f>
        <v>1</v>
      </c>
      <c r="Z68" s="16">
        <f>_xlfn.XLOOKUP(CustomerCombinedCleaned[[#This Row],[ID]], Table2[ID],Table2[MC2], "Not Found", 0 )</f>
        <v>0</v>
      </c>
      <c r="AA68" s="16">
        <f>_xlfn.XLOOKUP(CustomerCombinedCleaned[[#This Row],[ID]], Table2[ID],Table2[MC3], "Not Found", 0 )</f>
        <v>0</v>
      </c>
      <c r="AB68" s="16">
        <f>_xlfn.XLOOKUP(CustomerCombinedCleaned[[#This Row],[ID]], Table2[ID],Table2[MC4], "Not Found", 0 )</f>
        <v>0</v>
      </c>
      <c r="AC68" s="16">
        <f>_xlfn.XLOOKUP(CustomerCombinedCleaned[[#This Row],[ID]], Table2[ID],Table2[MC5], "Not Found", 0 )</f>
        <v>1</v>
      </c>
    </row>
    <row r="69" spans="1:29" x14ac:dyDescent="0.3">
      <c r="A69" s="18">
        <v>1411</v>
      </c>
      <c r="B69" s="16">
        <v>175433</v>
      </c>
      <c r="C69" s="16">
        <v>1</v>
      </c>
      <c r="D69" s="16">
        <v>0</v>
      </c>
      <c r="E69" s="16">
        <v>31</v>
      </c>
      <c r="F69" s="17" t="s">
        <v>6</v>
      </c>
      <c r="G69" s="17" t="s">
        <v>11</v>
      </c>
      <c r="H69" s="3" t="s">
        <v>563</v>
      </c>
      <c r="I69" s="5" t="s">
        <v>437</v>
      </c>
      <c r="J69" s="16">
        <f>_xlfn.XLOOKUP(CustomerCombinedCleaned[[#This Row],[ID]], Table4[ID], Table4[Recency], "Not Found", 0)</f>
        <v>28</v>
      </c>
      <c r="K69" s="16">
        <f>_xlfn.XLOOKUP(CustomerCombinedCleaned[[#This Row],[ID]], Table4[ID], Table4[Teas], "Not Found", 0)</f>
        <v>1861</v>
      </c>
      <c r="L69" s="16">
        <f>_xlfn.XLOOKUP(CustomerCombinedCleaned[[#This Row],[ID]], Table4[ID], Table4[Fruits], "Not Found", 0)</f>
        <v>0</v>
      </c>
      <c r="M69" s="16">
        <f>_xlfn.XLOOKUP(CustomerCombinedCleaned[[#This Row],[ID]], Table4[ID], Table4[Meats], "Not Found", 0)</f>
        <v>691</v>
      </c>
      <c r="N69" s="16">
        <f>_xlfn.XLOOKUP(CustomerCombinedCleaned[[#This Row],[ID]], Table4[ID], Table4[Seafood], "Not Found", 0)</f>
        <v>0</v>
      </c>
      <c r="O69" s="16">
        <f>_xlfn.XLOOKUP(CustomerCombinedCleaned[[#This Row],[ID]], Table4[ID], Table4[Sweets], "Not Found", 0)</f>
        <v>79</v>
      </c>
      <c r="P69" s="16">
        <f>_xlfn.XLOOKUP(CustomerCombinedCleaned[[#This Row],[ID]], Table4[ID], Table4[Premium], "Not Found", 0)</f>
        <v>133</v>
      </c>
      <c r="Q69" s="16">
        <f>_xlfn.XLOOKUP(CustomerCombinedCleaned[[#This Row],[ID]], Table4[ID], Table4[Regular], "Not Found", 0)</f>
        <v>2498</v>
      </c>
      <c r="R69" s="16">
        <f>_xlfn.XLOOKUP(CustomerCombinedCleaned[[#This Row],[ID]], Table4[ID], Table4[Deals], "Not Found", 0)</f>
        <v>2</v>
      </c>
      <c r="S69" s="16">
        <f>_xlfn.XLOOKUP(CustomerCombinedCleaned[[#This Row],[ID]], Table4[ID], Table4[Website], "Not Found", 0)</f>
        <v>2</v>
      </c>
      <c r="T69" s="16">
        <f>_xlfn.XLOOKUP(CustomerCombinedCleaned[[#This Row],[ID]], Table4[ID], Table4[Catalog], "Not Found", 0)</f>
        <v>5</v>
      </c>
      <c r="U69" s="16">
        <f>_xlfn.XLOOKUP(CustomerCombinedCleaned[[#This Row],[ID]], Table4[ID], Table4[Store], "Not Found", 0)</f>
        <v>10</v>
      </c>
      <c r="V69" s="16">
        <f>_xlfn.XLOOKUP(CustomerCombinedCleaned[[#This Row],[ID]], Table4[ID], Table4[Visits], "Not Found", 0)</f>
        <v>6</v>
      </c>
      <c r="W69" s="16">
        <f>_xlfn.XLOOKUP(CustomerCombinedCleaned[[#This Row],[ID]], Table2[ID],Table2[Complaint], "Not Found", 0 )</f>
        <v>0</v>
      </c>
      <c r="X69" s="16">
        <f>_xlfn.XLOOKUP(CustomerCombinedCleaned[[#This Row],[ID]], Table2[ID],Table2[Pilot], "Not Found", 0 )</f>
        <v>0</v>
      </c>
      <c r="Y69" s="16">
        <f>_xlfn.XLOOKUP(CustomerCombinedCleaned[[#This Row],[ID]], Table2[ID],Table2[MC1], "Not Found", 0 )</f>
        <v>1</v>
      </c>
      <c r="Z69" s="16">
        <f>_xlfn.XLOOKUP(CustomerCombinedCleaned[[#This Row],[ID]], Table2[ID],Table2[MC2], "Not Found", 0 )</f>
        <v>0</v>
      </c>
      <c r="AA69" s="16">
        <f>_xlfn.XLOOKUP(CustomerCombinedCleaned[[#This Row],[ID]], Table2[ID],Table2[MC3], "Not Found", 0 )</f>
        <v>0</v>
      </c>
      <c r="AB69" s="16">
        <f>_xlfn.XLOOKUP(CustomerCombinedCleaned[[#This Row],[ID]], Table2[ID],Table2[MC4], "Not Found", 0 )</f>
        <v>1</v>
      </c>
      <c r="AC69" s="16">
        <f>_xlfn.XLOOKUP(CustomerCombinedCleaned[[#This Row],[ID]], Table2[ID],Table2[MC5], "Not Found", 0 )</f>
        <v>0</v>
      </c>
    </row>
    <row r="70" spans="1:29" x14ac:dyDescent="0.3">
      <c r="A70" s="18">
        <v>1180</v>
      </c>
      <c r="B70" s="16">
        <v>166973</v>
      </c>
      <c r="C70" s="16">
        <v>0</v>
      </c>
      <c r="D70" s="16">
        <v>0</v>
      </c>
      <c r="E70" s="16">
        <v>31</v>
      </c>
      <c r="F70" s="17" t="s">
        <v>8</v>
      </c>
      <c r="G70" s="17" t="s">
        <v>13</v>
      </c>
      <c r="H70" s="3" t="s">
        <v>254</v>
      </c>
      <c r="I70" s="5" t="s">
        <v>439</v>
      </c>
      <c r="J70" s="16">
        <f>_xlfn.XLOOKUP(CustomerCombinedCleaned[[#This Row],[ID]], Table4[ID], Table4[Recency], "Not Found", 0)</f>
        <v>98</v>
      </c>
      <c r="K70" s="16">
        <f>_xlfn.XLOOKUP(CustomerCombinedCleaned[[#This Row],[ID]], Table4[ID], Table4[Teas], "Not Found", 0)</f>
        <v>1162</v>
      </c>
      <c r="L70" s="16">
        <f>_xlfn.XLOOKUP(CustomerCombinedCleaned[[#This Row],[ID]], Table4[ID], Table4[Fruits], "Not Found", 0)</f>
        <v>55</v>
      </c>
      <c r="M70" s="16">
        <f>_xlfn.XLOOKUP(CustomerCombinedCleaned[[#This Row],[ID]], Table4[ID], Table4[Meats], "Not Found", 0)</f>
        <v>1077</v>
      </c>
      <c r="N70" s="16">
        <f>_xlfn.XLOOKUP(CustomerCombinedCleaned[[#This Row],[ID]], Table4[ID], Table4[Seafood], "Not Found", 0)</f>
        <v>366</v>
      </c>
      <c r="O70" s="16">
        <f>_xlfn.XLOOKUP(CustomerCombinedCleaned[[#This Row],[ID]], Table4[ID], Table4[Sweets], "Not Found", 0)</f>
        <v>282</v>
      </c>
      <c r="P70" s="16">
        <f>_xlfn.XLOOKUP(CustomerCombinedCleaned[[#This Row],[ID]], Table4[ID], Table4[Premium], "Not Found", 0)</f>
        <v>254</v>
      </c>
      <c r="Q70" s="16">
        <f>_xlfn.XLOOKUP(CustomerCombinedCleaned[[#This Row],[ID]], Table4[ID], Table4[Regular], "Not Found", 0)</f>
        <v>2688</v>
      </c>
      <c r="R70" s="16">
        <f>_xlfn.XLOOKUP(CustomerCombinedCleaned[[#This Row],[ID]], Table4[ID], Table4[Deals], "Not Found", 0)</f>
        <v>1</v>
      </c>
      <c r="S70" s="16">
        <f>_xlfn.XLOOKUP(CustomerCombinedCleaned[[#This Row],[ID]], Table4[ID], Table4[Website], "Not Found", 0)</f>
        <v>8</v>
      </c>
      <c r="T70" s="16">
        <f>_xlfn.XLOOKUP(CustomerCombinedCleaned[[#This Row],[ID]], Table4[ID], Table4[Catalog], "Not Found", 0)</f>
        <v>7</v>
      </c>
      <c r="U70" s="16">
        <f>_xlfn.XLOOKUP(CustomerCombinedCleaned[[#This Row],[ID]], Table4[ID], Table4[Store], "Not Found", 0)</f>
        <v>12</v>
      </c>
      <c r="V70" s="16">
        <f>_xlfn.XLOOKUP(CustomerCombinedCleaned[[#This Row],[ID]], Table4[ID], Table4[Visits], "Not Found", 0)</f>
        <v>3</v>
      </c>
      <c r="W70" s="16">
        <f>_xlfn.XLOOKUP(CustomerCombinedCleaned[[#This Row],[ID]], Table2[ID],Table2[Complaint], "Not Found", 0 )</f>
        <v>0</v>
      </c>
      <c r="X70" s="16">
        <f>_xlfn.XLOOKUP(CustomerCombinedCleaned[[#This Row],[ID]], Table2[ID],Table2[Pilot], "Not Found", 0 )</f>
        <v>0</v>
      </c>
      <c r="Y70" s="16">
        <f>_xlfn.XLOOKUP(CustomerCombinedCleaned[[#This Row],[ID]], Table2[ID],Table2[MC1], "Not Found", 0 )</f>
        <v>0</v>
      </c>
      <c r="Z70" s="16">
        <f>_xlfn.XLOOKUP(CustomerCombinedCleaned[[#This Row],[ID]], Table2[ID],Table2[MC2], "Not Found", 0 )</f>
        <v>0</v>
      </c>
      <c r="AA70" s="16">
        <f>_xlfn.XLOOKUP(CustomerCombinedCleaned[[#This Row],[ID]], Table2[ID],Table2[MC3], "Not Found", 0 )</f>
        <v>0</v>
      </c>
      <c r="AB70" s="16">
        <f>_xlfn.XLOOKUP(CustomerCombinedCleaned[[#This Row],[ID]], Table2[ID],Table2[MC4], "Not Found", 0 )</f>
        <v>0</v>
      </c>
      <c r="AC70" s="16">
        <f>_xlfn.XLOOKUP(CustomerCombinedCleaned[[#This Row],[ID]], Table2[ID],Table2[MC5], "Not Found", 0 )</f>
        <v>0</v>
      </c>
    </row>
    <row r="71" spans="1:29" x14ac:dyDescent="0.3">
      <c r="A71" s="18">
        <v>1974</v>
      </c>
      <c r="B71" s="16">
        <v>164449</v>
      </c>
      <c r="C71" s="16">
        <v>1</v>
      </c>
      <c r="D71" s="16">
        <v>0</v>
      </c>
      <c r="E71" s="16">
        <v>31</v>
      </c>
      <c r="F71" s="17" t="s">
        <v>7</v>
      </c>
      <c r="G71" s="17" t="s">
        <v>11</v>
      </c>
      <c r="H71" s="3" t="s">
        <v>95</v>
      </c>
      <c r="I71" s="5" t="s">
        <v>436</v>
      </c>
      <c r="J71" s="16">
        <f>_xlfn.XLOOKUP(CustomerCombinedCleaned[[#This Row],[ID]], Table4[ID], Table4[Recency], "Not Found", 0)</f>
        <v>70</v>
      </c>
      <c r="K71" s="16">
        <f>_xlfn.XLOOKUP(CustomerCombinedCleaned[[#This Row],[ID]], Table4[ID], Table4[Teas], "Not Found", 0)</f>
        <v>556</v>
      </c>
      <c r="L71" s="16">
        <f>_xlfn.XLOOKUP(CustomerCombinedCleaned[[#This Row],[ID]], Table4[ID], Table4[Fruits], "Not Found", 0)</f>
        <v>161</v>
      </c>
      <c r="M71" s="16">
        <f>_xlfn.XLOOKUP(CustomerCombinedCleaned[[#This Row],[ID]], Table4[ID], Table4[Meats], "Not Found", 0)</f>
        <v>720</v>
      </c>
      <c r="N71" s="16">
        <f>_xlfn.XLOOKUP(CustomerCombinedCleaned[[#This Row],[ID]], Table4[ID], Table4[Seafood], "Not Found", 0)</f>
        <v>350</v>
      </c>
      <c r="O71" s="16">
        <f>_xlfn.XLOOKUP(CustomerCombinedCleaned[[#This Row],[ID]], Table4[ID], Table4[Sweets], "Not Found", 0)</f>
        <v>89</v>
      </c>
      <c r="P71" s="16">
        <f>_xlfn.XLOOKUP(CustomerCombinedCleaned[[#This Row],[ID]], Table4[ID], Table4[Premium], "Not Found", 0)</f>
        <v>179</v>
      </c>
      <c r="Q71" s="16">
        <f>_xlfn.XLOOKUP(CustomerCombinedCleaned[[#This Row],[ID]], Table4[ID], Table4[Regular], "Not Found", 0)</f>
        <v>1697</v>
      </c>
      <c r="R71" s="16">
        <f>_xlfn.XLOOKUP(CustomerCombinedCleaned[[#This Row],[ID]], Table4[ID], Table4[Deals], "Not Found", 0)</f>
        <v>4</v>
      </c>
      <c r="S71" s="16">
        <f>_xlfn.XLOOKUP(CustomerCombinedCleaned[[#This Row],[ID]], Table4[ID], Table4[Website], "Not Found", 0)</f>
        <v>5</v>
      </c>
      <c r="T71" s="16">
        <f>_xlfn.XLOOKUP(CustomerCombinedCleaned[[#This Row],[ID]], Table4[ID], Table4[Catalog], "Not Found", 0)</f>
        <v>3</v>
      </c>
      <c r="U71" s="16">
        <f>_xlfn.XLOOKUP(CustomerCombinedCleaned[[#This Row],[ID]], Table4[ID], Table4[Store], "Not Found", 0)</f>
        <v>12</v>
      </c>
      <c r="V71" s="16">
        <f>_xlfn.XLOOKUP(CustomerCombinedCleaned[[#This Row],[ID]], Table4[ID], Table4[Visits], "Not Found", 0)</f>
        <v>4</v>
      </c>
      <c r="W71" s="16">
        <f>_xlfn.XLOOKUP(CustomerCombinedCleaned[[#This Row],[ID]], Table2[ID],Table2[Complaint], "Not Found", 0 )</f>
        <v>0</v>
      </c>
      <c r="X71" s="16">
        <f>_xlfn.XLOOKUP(CustomerCombinedCleaned[[#This Row],[ID]], Table2[ID],Table2[Pilot], "Not Found", 0 )</f>
        <v>0</v>
      </c>
      <c r="Y71" s="16">
        <f>_xlfn.XLOOKUP(CustomerCombinedCleaned[[#This Row],[ID]], Table2[ID],Table2[MC1], "Not Found", 0 )</f>
        <v>0</v>
      </c>
      <c r="Z71" s="16">
        <f>_xlfn.XLOOKUP(CustomerCombinedCleaned[[#This Row],[ID]], Table2[ID],Table2[MC2], "Not Found", 0 )</f>
        <v>0</v>
      </c>
      <c r="AA71" s="16">
        <f>_xlfn.XLOOKUP(CustomerCombinedCleaned[[#This Row],[ID]], Table2[ID],Table2[MC3], "Not Found", 0 )</f>
        <v>0</v>
      </c>
      <c r="AB71" s="16">
        <f>_xlfn.XLOOKUP(CustomerCombinedCleaned[[#This Row],[ID]], Table2[ID],Table2[MC4], "Not Found", 0 )</f>
        <v>0</v>
      </c>
      <c r="AC71" s="16">
        <f>_xlfn.XLOOKUP(CustomerCombinedCleaned[[#This Row],[ID]], Table2[ID],Table2[MC5], "Not Found", 0 )</f>
        <v>0</v>
      </c>
    </row>
    <row r="72" spans="1:29" x14ac:dyDescent="0.3">
      <c r="A72" s="18">
        <v>2294</v>
      </c>
      <c r="B72" s="16">
        <v>159060</v>
      </c>
      <c r="C72" s="16">
        <v>1</v>
      </c>
      <c r="D72" s="16">
        <v>0</v>
      </c>
      <c r="E72" s="16">
        <v>31</v>
      </c>
      <c r="F72" s="17" t="s">
        <v>6</v>
      </c>
      <c r="G72" s="17" t="s">
        <v>11</v>
      </c>
      <c r="H72" s="3" t="s">
        <v>119</v>
      </c>
      <c r="I72" s="5" t="s">
        <v>438</v>
      </c>
      <c r="J72" s="16">
        <f>_xlfn.XLOOKUP(CustomerCombinedCleaned[[#This Row],[ID]], Table4[ID], Table4[Recency], "Not Found", 0)</f>
        <v>77</v>
      </c>
      <c r="K72" s="16">
        <f>_xlfn.XLOOKUP(CustomerCombinedCleaned[[#This Row],[ID]], Table4[ID], Table4[Teas], "Not Found", 0)</f>
        <v>94</v>
      </c>
      <c r="L72" s="16">
        <f>_xlfn.XLOOKUP(CustomerCombinedCleaned[[#This Row],[ID]], Table4[ID], Table4[Fruits], "Not Found", 0)</f>
        <v>108</v>
      </c>
      <c r="M72" s="16">
        <f>_xlfn.XLOOKUP(CustomerCombinedCleaned[[#This Row],[ID]], Table4[ID], Table4[Meats], "Not Found", 0)</f>
        <v>299</v>
      </c>
      <c r="N72" s="16">
        <f>_xlfn.XLOOKUP(CustomerCombinedCleaned[[#This Row],[ID]], Table4[ID], Table4[Seafood], "Not Found", 0)</f>
        <v>97</v>
      </c>
      <c r="O72" s="16">
        <f>_xlfn.XLOOKUP(CustomerCombinedCleaned[[#This Row],[ID]], Table4[ID], Table4[Sweets], "Not Found", 0)</f>
        <v>108</v>
      </c>
      <c r="P72" s="16">
        <f>_xlfn.XLOOKUP(CustomerCombinedCleaned[[#This Row],[ID]], Table4[ID], Table4[Premium], "Not Found", 0)</f>
        <v>32</v>
      </c>
      <c r="Q72" s="16">
        <f>_xlfn.XLOOKUP(CustomerCombinedCleaned[[#This Row],[ID]], Table4[ID], Table4[Regular], "Not Found", 0)</f>
        <v>673</v>
      </c>
      <c r="R72" s="16">
        <f>_xlfn.XLOOKUP(CustomerCombinedCleaned[[#This Row],[ID]], Table4[ID], Table4[Deals], "Not Found", 0)</f>
        <v>3</v>
      </c>
      <c r="S72" s="16">
        <f>_xlfn.XLOOKUP(CustomerCombinedCleaned[[#This Row],[ID]], Table4[ID], Table4[Website], "Not Found", 0)</f>
        <v>3</v>
      </c>
      <c r="T72" s="16">
        <f>_xlfn.XLOOKUP(CustomerCombinedCleaned[[#This Row],[ID]], Table4[ID], Table4[Catalog], "Not Found", 0)</f>
        <v>1</v>
      </c>
      <c r="U72" s="16">
        <f>_xlfn.XLOOKUP(CustomerCombinedCleaned[[#This Row],[ID]], Table4[ID], Table4[Store], "Not Found", 0)</f>
        <v>7</v>
      </c>
      <c r="V72" s="16">
        <f>_xlfn.XLOOKUP(CustomerCombinedCleaned[[#This Row],[ID]], Table4[ID], Table4[Visits], "Not Found", 0)</f>
        <v>4</v>
      </c>
      <c r="W72" s="16">
        <f>_xlfn.XLOOKUP(CustomerCombinedCleaned[[#This Row],[ID]], Table2[ID],Table2[Complaint], "Not Found", 0 )</f>
        <v>0</v>
      </c>
      <c r="X72" s="16">
        <f>_xlfn.XLOOKUP(CustomerCombinedCleaned[[#This Row],[ID]], Table2[ID],Table2[Pilot], "Not Found", 0 )</f>
        <v>0</v>
      </c>
      <c r="Y72" s="16">
        <f>_xlfn.XLOOKUP(CustomerCombinedCleaned[[#This Row],[ID]], Table2[ID],Table2[MC1], "Not Found", 0 )</f>
        <v>0</v>
      </c>
      <c r="Z72" s="16">
        <f>_xlfn.XLOOKUP(CustomerCombinedCleaned[[#This Row],[ID]], Table2[ID],Table2[MC2], "Not Found", 0 )</f>
        <v>0</v>
      </c>
      <c r="AA72" s="16">
        <f>_xlfn.XLOOKUP(CustomerCombinedCleaned[[#This Row],[ID]], Table2[ID],Table2[MC3], "Not Found", 0 )</f>
        <v>0</v>
      </c>
      <c r="AB72" s="16">
        <f>_xlfn.XLOOKUP(CustomerCombinedCleaned[[#This Row],[ID]], Table2[ID],Table2[MC4], "Not Found", 0 )</f>
        <v>0</v>
      </c>
      <c r="AC72" s="16">
        <f>_xlfn.XLOOKUP(CustomerCombinedCleaned[[#This Row],[ID]], Table2[ID],Table2[MC5], "Not Found", 0 )</f>
        <v>0</v>
      </c>
    </row>
    <row r="73" spans="1:29" x14ac:dyDescent="0.3">
      <c r="A73" s="18">
        <v>1912</v>
      </c>
      <c r="B73" s="16">
        <v>146107</v>
      </c>
      <c r="C73" s="16">
        <v>1</v>
      </c>
      <c r="D73" s="16">
        <v>0</v>
      </c>
      <c r="E73" s="16">
        <v>31</v>
      </c>
      <c r="F73" s="17" t="s">
        <v>7</v>
      </c>
      <c r="G73" s="17" t="s">
        <v>11</v>
      </c>
      <c r="H73" s="3" t="s">
        <v>103</v>
      </c>
      <c r="I73" s="5" t="s">
        <v>439</v>
      </c>
      <c r="J73" s="16">
        <f>_xlfn.XLOOKUP(CustomerCombinedCleaned[[#This Row],[ID]], Table4[ID], Table4[Recency], "Not Found", 0)</f>
        <v>78</v>
      </c>
      <c r="K73" s="16">
        <f>_xlfn.XLOOKUP(CustomerCombinedCleaned[[#This Row],[ID]], Table4[ID], Table4[Teas], "Not Found", 0)</f>
        <v>98</v>
      </c>
      <c r="L73" s="16">
        <f>_xlfn.XLOOKUP(CustomerCombinedCleaned[[#This Row],[ID]], Table4[ID], Table4[Fruits], "Not Found", 0)</f>
        <v>29</v>
      </c>
      <c r="M73" s="16">
        <f>_xlfn.XLOOKUP(CustomerCombinedCleaned[[#This Row],[ID]], Table4[ID], Table4[Meats], "Not Found", 0)</f>
        <v>86</v>
      </c>
      <c r="N73" s="16">
        <f>_xlfn.XLOOKUP(CustomerCombinedCleaned[[#This Row],[ID]], Table4[ID], Table4[Seafood], "Not Found", 0)</f>
        <v>51</v>
      </c>
      <c r="O73" s="16">
        <f>_xlfn.XLOOKUP(CustomerCombinedCleaned[[#This Row],[ID]], Table4[ID], Table4[Sweets], "Not Found", 0)</f>
        <v>29</v>
      </c>
      <c r="P73" s="16">
        <f>_xlfn.XLOOKUP(CustomerCombinedCleaned[[#This Row],[ID]], Table4[ID], Table4[Premium], "Not Found", 0)</f>
        <v>105</v>
      </c>
      <c r="Q73" s="16">
        <f>_xlfn.XLOOKUP(CustomerCombinedCleaned[[#This Row],[ID]], Table4[ID], Table4[Regular], "Not Found", 0)</f>
        <v>187</v>
      </c>
      <c r="R73" s="16">
        <f>_xlfn.XLOOKUP(CustomerCombinedCleaned[[#This Row],[ID]], Table4[ID], Table4[Deals], "Not Found", 0)</f>
        <v>1</v>
      </c>
      <c r="S73" s="16">
        <f>_xlfn.XLOOKUP(CustomerCombinedCleaned[[#This Row],[ID]], Table4[ID], Table4[Website], "Not Found", 0)</f>
        <v>1</v>
      </c>
      <c r="T73" s="16">
        <f>_xlfn.XLOOKUP(CustomerCombinedCleaned[[#This Row],[ID]], Table4[ID], Table4[Catalog], "Not Found", 0)</f>
        <v>1</v>
      </c>
      <c r="U73" s="16">
        <f>_xlfn.XLOOKUP(CustomerCombinedCleaned[[#This Row],[ID]], Table4[ID], Table4[Store], "Not Found", 0)</f>
        <v>4</v>
      </c>
      <c r="V73" s="16">
        <f>_xlfn.XLOOKUP(CustomerCombinedCleaned[[#This Row],[ID]], Table4[ID], Table4[Visits], "Not Found", 0)</f>
        <v>3</v>
      </c>
      <c r="W73" s="16">
        <f>_xlfn.XLOOKUP(CustomerCombinedCleaned[[#This Row],[ID]], Table2[ID],Table2[Complaint], "Not Found", 0 )</f>
        <v>0</v>
      </c>
      <c r="X73" s="16">
        <f>_xlfn.XLOOKUP(CustomerCombinedCleaned[[#This Row],[ID]], Table2[ID],Table2[Pilot], "Not Found", 0 )</f>
        <v>0</v>
      </c>
      <c r="Y73" s="16">
        <f>_xlfn.XLOOKUP(CustomerCombinedCleaned[[#This Row],[ID]], Table2[ID],Table2[MC1], "Not Found", 0 )</f>
        <v>0</v>
      </c>
      <c r="Z73" s="16">
        <f>_xlfn.XLOOKUP(CustomerCombinedCleaned[[#This Row],[ID]], Table2[ID],Table2[MC2], "Not Found", 0 )</f>
        <v>0</v>
      </c>
      <c r="AA73" s="16">
        <f>_xlfn.XLOOKUP(CustomerCombinedCleaned[[#This Row],[ID]], Table2[ID],Table2[MC3], "Not Found", 0 )</f>
        <v>0</v>
      </c>
      <c r="AB73" s="16">
        <f>_xlfn.XLOOKUP(CustomerCombinedCleaned[[#This Row],[ID]], Table2[ID],Table2[MC4], "Not Found", 0 )</f>
        <v>0</v>
      </c>
      <c r="AC73" s="16">
        <f>_xlfn.XLOOKUP(CustomerCombinedCleaned[[#This Row],[ID]], Table2[ID],Table2[MC5], "Not Found", 0 )</f>
        <v>0</v>
      </c>
    </row>
    <row r="74" spans="1:29" x14ac:dyDescent="0.3">
      <c r="A74" s="18">
        <v>1415</v>
      </c>
      <c r="B74" s="16">
        <v>142387</v>
      </c>
      <c r="C74" s="16">
        <v>1</v>
      </c>
      <c r="D74" s="16">
        <v>0</v>
      </c>
      <c r="E74" s="16">
        <v>31</v>
      </c>
      <c r="F74" s="17" t="s">
        <v>6</v>
      </c>
      <c r="G74" s="17" t="s">
        <v>11</v>
      </c>
      <c r="H74" s="3" t="s">
        <v>619</v>
      </c>
      <c r="I74" s="5" t="s">
        <v>434</v>
      </c>
      <c r="J74" s="16">
        <f>_xlfn.XLOOKUP(CustomerCombinedCleaned[[#This Row],[ID]], Table4[ID], Table4[Recency], "Not Found", 0)</f>
        <v>42</v>
      </c>
      <c r="K74" s="16">
        <f>_xlfn.XLOOKUP(CustomerCombinedCleaned[[#This Row],[ID]], Table4[ID], Table4[Teas], "Not Found", 0)</f>
        <v>789</v>
      </c>
      <c r="L74" s="16">
        <f>_xlfn.XLOOKUP(CustomerCombinedCleaned[[#This Row],[ID]], Table4[ID], Table4[Fruits], "Not Found", 0)</f>
        <v>0</v>
      </c>
      <c r="M74" s="16">
        <f>_xlfn.XLOOKUP(CustomerCombinedCleaned[[#This Row],[ID]], Table4[ID], Table4[Meats], "Not Found", 0)</f>
        <v>789</v>
      </c>
      <c r="N74" s="16">
        <f>_xlfn.XLOOKUP(CustomerCombinedCleaned[[#This Row],[ID]], Table4[ID], Table4[Seafood], "Not Found", 0)</f>
        <v>64</v>
      </c>
      <c r="O74" s="16">
        <f>_xlfn.XLOOKUP(CustomerCombinedCleaned[[#This Row],[ID]], Table4[ID], Table4[Sweets], "Not Found", 0)</f>
        <v>13</v>
      </c>
      <c r="P74" s="16">
        <f>_xlfn.XLOOKUP(CustomerCombinedCleaned[[#This Row],[ID]], Table4[ID], Table4[Premium], "Not Found", 0)</f>
        <v>642</v>
      </c>
      <c r="Q74" s="16">
        <f>_xlfn.XLOOKUP(CustomerCombinedCleaned[[#This Row],[ID]], Table4[ID], Table4[Regular], "Not Found", 0)</f>
        <v>1014</v>
      </c>
      <c r="R74" s="16">
        <f>_xlfn.XLOOKUP(CustomerCombinedCleaned[[#This Row],[ID]], Table4[ID], Table4[Deals], "Not Found", 0)</f>
        <v>5</v>
      </c>
      <c r="S74" s="16">
        <f>_xlfn.XLOOKUP(CustomerCombinedCleaned[[#This Row],[ID]], Table4[ID], Table4[Website], "Not Found", 0)</f>
        <v>8</v>
      </c>
      <c r="T74" s="16">
        <f>_xlfn.XLOOKUP(CustomerCombinedCleaned[[#This Row],[ID]], Table4[ID], Table4[Catalog], "Not Found", 0)</f>
        <v>1</v>
      </c>
      <c r="U74" s="16">
        <f>_xlfn.XLOOKUP(CustomerCombinedCleaned[[#This Row],[ID]], Table4[ID], Table4[Store], "Not Found", 0)</f>
        <v>7</v>
      </c>
      <c r="V74" s="16">
        <f>_xlfn.XLOOKUP(CustomerCombinedCleaned[[#This Row],[ID]], Table4[ID], Table4[Visits], "Not Found", 0)</f>
        <v>8</v>
      </c>
      <c r="W74" s="16">
        <f>_xlfn.XLOOKUP(CustomerCombinedCleaned[[#This Row],[ID]], Table2[ID],Table2[Complaint], "Not Found", 0 )</f>
        <v>0</v>
      </c>
      <c r="X74" s="16">
        <f>_xlfn.XLOOKUP(CustomerCombinedCleaned[[#This Row],[ID]], Table2[ID],Table2[Pilot], "Not Found", 0 )</f>
        <v>0</v>
      </c>
      <c r="Y74" s="16">
        <f>_xlfn.XLOOKUP(CustomerCombinedCleaned[[#This Row],[ID]], Table2[ID],Table2[MC1], "Not Found", 0 )</f>
        <v>0</v>
      </c>
      <c r="Z74" s="16">
        <f>_xlfn.XLOOKUP(CustomerCombinedCleaned[[#This Row],[ID]], Table2[ID],Table2[MC2], "Not Found", 0 )</f>
        <v>0</v>
      </c>
      <c r="AA74" s="16">
        <f>_xlfn.XLOOKUP(CustomerCombinedCleaned[[#This Row],[ID]], Table2[ID],Table2[MC3], "Not Found", 0 )</f>
        <v>0</v>
      </c>
      <c r="AB74" s="16">
        <f>_xlfn.XLOOKUP(CustomerCombinedCleaned[[#This Row],[ID]], Table2[ID],Table2[MC4], "Not Found", 0 )</f>
        <v>0</v>
      </c>
      <c r="AC74" s="16">
        <f>_xlfn.XLOOKUP(CustomerCombinedCleaned[[#This Row],[ID]], Table2[ID],Table2[MC5], "Not Found", 0 )</f>
        <v>0</v>
      </c>
    </row>
    <row r="75" spans="1:29" x14ac:dyDescent="0.3">
      <c r="A75" s="18">
        <v>1844</v>
      </c>
      <c r="B75" s="16">
        <v>138683</v>
      </c>
      <c r="C75" s="16">
        <v>1</v>
      </c>
      <c r="D75" s="16">
        <v>0</v>
      </c>
      <c r="E75" s="16">
        <v>31</v>
      </c>
      <c r="F75" s="17" t="s">
        <v>8</v>
      </c>
      <c r="G75" s="17" t="s">
        <v>11</v>
      </c>
      <c r="H75" s="3" t="s">
        <v>636</v>
      </c>
      <c r="I75" s="5" t="s">
        <v>438</v>
      </c>
      <c r="J75" s="16">
        <f>_xlfn.XLOOKUP(CustomerCombinedCleaned[[#This Row],[ID]], Table4[ID], Table4[Recency], "Not Found", 0)</f>
        <v>80</v>
      </c>
      <c r="K75" s="16">
        <f>_xlfn.XLOOKUP(CustomerCombinedCleaned[[#This Row],[ID]], Table4[ID], Table4[Teas], "Not Found", 0)</f>
        <v>165</v>
      </c>
      <c r="L75" s="16">
        <f>_xlfn.XLOOKUP(CustomerCombinedCleaned[[#This Row],[ID]], Table4[ID], Table4[Fruits], "Not Found", 0)</f>
        <v>125</v>
      </c>
      <c r="M75" s="16">
        <f>_xlfn.XLOOKUP(CustomerCombinedCleaned[[#This Row],[ID]], Table4[ID], Table4[Meats], "Not Found", 0)</f>
        <v>247</v>
      </c>
      <c r="N75" s="16">
        <f>_xlfn.XLOOKUP(CustomerCombinedCleaned[[#This Row],[ID]], Table4[ID], Table4[Seafood], "Not Found", 0)</f>
        <v>301</v>
      </c>
      <c r="O75" s="16">
        <f>_xlfn.XLOOKUP(CustomerCombinedCleaned[[#This Row],[ID]], Table4[ID], Table4[Sweets], "Not Found", 0)</f>
        <v>147</v>
      </c>
      <c r="P75" s="16">
        <f>_xlfn.XLOOKUP(CustomerCombinedCleaned[[#This Row],[ID]], Table4[ID], Table4[Premium], "Not Found", 0)</f>
        <v>237</v>
      </c>
      <c r="Q75" s="16">
        <f>_xlfn.XLOOKUP(CustomerCombinedCleaned[[#This Row],[ID]], Table4[ID], Table4[Regular], "Not Found", 0)</f>
        <v>749</v>
      </c>
      <c r="R75" s="16">
        <f>_xlfn.XLOOKUP(CustomerCombinedCleaned[[#This Row],[ID]], Table4[ID], Table4[Deals], "Not Found", 0)</f>
        <v>6</v>
      </c>
      <c r="S75" s="16">
        <f>_xlfn.XLOOKUP(CustomerCombinedCleaned[[#This Row],[ID]], Table4[ID], Table4[Website], "Not Found", 0)</f>
        <v>4</v>
      </c>
      <c r="T75" s="16">
        <f>_xlfn.XLOOKUP(CustomerCombinedCleaned[[#This Row],[ID]], Table4[ID], Table4[Catalog], "Not Found", 0)</f>
        <v>1</v>
      </c>
      <c r="U75" s="16">
        <f>_xlfn.XLOOKUP(CustomerCombinedCleaned[[#This Row],[ID]], Table4[ID], Table4[Store], "Not Found", 0)</f>
        <v>6</v>
      </c>
      <c r="V75" s="16">
        <f>_xlfn.XLOOKUP(CustomerCombinedCleaned[[#This Row],[ID]], Table4[ID], Table4[Visits], "Not Found", 0)</f>
        <v>7</v>
      </c>
      <c r="W75" s="16">
        <f>_xlfn.XLOOKUP(CustomerCombinedCleaned[[#This Row],[ID]], Table2[ID],Table2[Complaint], "Not Found", 0 )</f>
        <v>0</v>
      </c>
      <c r="X75" s="16">
        <f>_xlfn.XLOOKUP(CustomerCombinedCleaned[[#This Row],[ID]], Table2[ID],Table2[Pilot], "Not Found", 0 )</f>
        <v>0</v>
      </c>
      <c r="Y75" s="16">
        <f>_xlfn.XLOOKUP(CustomerCombinedCleaned[[#This Row],[ID]], Table2[ID],Table2[MC1], "Not Found", 0 )</f>
        <v>0</v>
      </c>
      <c r="Z75" s="16">
        <f>_xlfn.XLOOKUP(CustomerCombinedCleaned[[#This Row],[ID]], Table2[ID],Table2[MC2], "Not Found", 0 )</f>
        <v>0</v>
      </c>
      <c r="AA75" s="16">
        <f>_xlfn.XLOOKUP(CustomerCombinedCleaned[[#This Row],[ID]], Table2[ID],Table2[MC3], "Not Found", 0 )</f>
        <v>0</v>
      </c>
      <c r="AB75" s="16">
        <f>_xlfn.XLOOKUP(CustomerCombinedCleaned[[#This Row],[ID]], Table2[ID],Table2[MC4], "Not Found", 0 )</f>
        <v>0</v>
      </c>
      <c r="AC75" s="16">
        <f>_xlfn.XLOOKUP(CustomerCombinedCleaned[[#This Row],[ID]], Table2[ID],Table2[MC5], "Not Found", 0 )</f>
        <v>0</v>
      </c>
    </row>
    <row r="76" spans="1:29" x14ac:dyDescent="0.3">
      <c r="A76" s="18">
        <v>1027</v>
      </c>
      <c r="B76" s="16">
        <v>138360</v>
      </c>
      <c r="C76" s="16">
        <v>1</v>
      </c>
      <c r="D76" s="16">
        <v>0</v>
      </c>
      <c r="E76" s="16">
        <v>31</v>
      </c>
      <c r="F76" s="17" t="s">
        <v>6</v>
      </c>
      <c r="G76" s="17" t="s">
        <v>11</v>
      </c>
      <c r="H76" s="3" t="s">
        <v>776</v>
      </c>
      <c r="I76" s="5" t="s">
        <v>437</v>
      </c>
      <c r="J76" s="16">
        <f>_xlfn.XLOOKUP(CustomerCombinedCleaned[[#This Row],[ID]], Table4[ID], Table4[Recency], "Not Found", 0)</f>
        <v>26</v>
      </c>
      <c r="K76" s="16">
        <f>_xlfn.XLOOKUP(CustomerCombinedCleaned[[#This Row],[ID]], Table4[ID], Table4[Teas], "Not Found", 0)</f>
        <v>130</v>
      </c>
      <c r="L76" s="16">
        <f>_xlfn.XLOOKUP(CustomerCombinedCleaned[[#This Row],[ID]], Table4[ID], Table4[Fruits], "Not Found", 0)</f>
        <v>7</v>
      </c>
      <c r="M76" s="16">
        <f>_xlfn.XLOOKUP(CustomerCombinedCleaned[[#This Row],[ID]], Table4[ID], Table4[Meats], "Not Found", 0)</f>
        <v>151</v>
      </c>
      <c r="N76" s="16">
        <f>_xlfn.XLOOKUP(CustomerCombinedCleaned[[#This Row],[ID]], Table4[ID], Table4[Seafood], "Not Found", 0)</f>
        <v>72</v>
      </c>
      <c r="O76" s="16">
        <f>_xlfn.XLOOKUP(CustomerCombinedCleaned[[#This Row],[ID]], Table4[ID], Table4[Sweets], "Not Found", 0)</f>
        <v>76</v>
      </c>
      <c r="P76" s="16">
        <f>_xlfn.XLOOKUP(CustomerCombinedCleaned[[#This Row],[ID]], Table4[ID], Table4[Premium], "Not Found", 0)</f>
        <v>36</v>
      </c>
      <c r="Q76" s="16">
        <f>_xlfn.XLOOKUP(CustomerCombinedCleaned[[#This Row],[ID]], Table4[ID], Table4[Regular], "Not Found", 0)</f>
        <v>400</v>
      </c>
      <c r="R76" s="16">
        <f>_xlfn.XLOOKUP(CustomerCombinedCleaned[[#This Row],[ID]], Table4[ID], Table4[Deals], "Not Found", 0)</f>
        <v>2</v>
      </c>
      <c r="S76" s="16">
        <f>_xlfn.XLOOKUP(CustomerCombinedCleaned[[#This Row],[ID]], Table4[ID], Table4[Website], "Not Found", 0)</f>
        <v>2</v>
      </c>
      <c r="T76" s="16">
        <f>_xlfn.XLOOKUP(CustomerCombinedCleaned[[#This Row],[ID]], Table4[ID], Table4[Catalog], "Not Found", 0)</f>
        <v>1</v>
      </c>
      <c r="U76" s="16">
        <f>_xlfn.XLOOKUP(CustomerCombinedCleaned[[#This Row],[ID]], Table4[ID], Table4[Store], "Not Found", 0)</f>
        <v>4</v>
      </c>
      <c r="V76" s="16">
        <f>_xlfn.XLOOKUP(CustomerCombinedCleaned[[#This Row],[ID]], Table4[ID], Table4[Visits], "Not Found", 0)</f>
        <v>3</v>
      </c>
      <c r="W76" s="16">
        <f>_xlfn.XLOOKUP(CustomerCombinedCleaned[[#This Row],[ID]], Table2[ID],Table2[Complaint], "Not Found", 0 )</f>
        <v>0</v>
      </c>
      <c r="X76" s="16">
        <f>_xlfn.XLOOKUP(CustomerCombinedCleaned[[#This Row],[ID]], Table2[ID],Table2[Pilot], "Not Found", 0 )</f>
        <v>0</v>
      </c>
      <c r="Y76" s="16">
        <f>_xlfn.XLOOKUP(CustomerCombinedCleaned[[#This Row],[ID]], Table2[ID],Table2[MC1], "Not Found", 0 )</f>
        <v>0</v>
      </c>
      <c r="Z76" s="16">
        <f>_xlfn.XLOOKUP(CustomerCombinedCleaned[[#This Row],[ID]], Table2[ID],Table2[MC2], "Not Found", 0 )</f>
        <v>0</v>
      </c>
      <c r="AA76" s="16">
        <f>_xlfn.XLOOKUP(CustomerCombinedCleaned[[#This Row],[ID]], Table2[ID],Table2[MC3], "Not Found", 0 )</f>
        <v>0</v>
      </c>
      <c r="AB76" s="16">
        <f>_xlfn.XLOOKUP(CustomerCombinedCleaned[[#This Row],[ID]], Table2[ID],Table2[MC4], "Not Found", 0 )</f>
        <v>0</v>
      </c>
      <c r="AC76" s="16">
        <f>_xlfn.XLOOKUP(CustomerCombinedCleaned[[#This Row],[ID]], Table2[ID],Table2[MC5], "Not Found", 0 )</f>
        <v>0</v>
      </c>
    </row>
    <row r="77" spans="1:29" x14ac:dyDescent="0.3">
      <c r="A77" s="18">
        <v>2122</v>
      </c>
      <c r="B77" s="16">
        <v>137155</v>
      </c>
      <c r="C77" s="16">
        <v>1</v>
      </c>
      <c r="D77" s="16">
        <v>0</v>
      </c>
      <c r="E77" s="16">
        <v>31</v>
      </c>
      <c r="F77" s="17" t="s">
        <v>6</v>
      </c>
      <c r="G77" s="17" t="s">
        <v>11</v>
      </c>
      <c r="H77" s="3" t="s">
        <v>713</v>
      </c>
      <c r="I77" s="5" t="s">
        <v>439</v>
      </c>
      <c r="J77" s="16">
        <f>_xlfn.XLOOKUP(CustomerCombinedCleaned[[#This Row],[ID]], Table4[ID], Table4[Recency], "Not Found", 0)</f>
        <v>51</v>
      </c>
      <c r="K77" s="16">
        <f>_xlfn.XLOOKUP(CustomerCombinedCleaned[[#This Row],[ID]], Table4[ID], Table4[Teas], "Not Found", 0)</f>
        <v>85</v>
      </c>
      <c r="L77" s="16">
        <f>_xlfn.XLOOKUP(CustomerCombinedCleaned[[#This Row],[ID]], Table4[ID], Table4[Fruits], "Not Found", 0)</f>
        <v>0</v>
      </c>
      <c r="M77" s="16">
        <f>_xlfn.XLOOKUP(CustomerCombinedCleaned[[#This Row],[ID]], Table4[ID], Table4[Meats], "Not Found", 0)</f>
        <v>96</v>
      </c>
      <c r="N77" s="16">
        <f>_xlfn.XLOOKUP(CustomerCombinedCleaned[[#This Row],[ID]], Table4[ID], Table4[Seafood], "Not Found", 0)</f>
        <v>26</v>
      </c>
      <c r="O77" s="16">
        <f>_xlfn.XLOOKUP(CustomerCombinedCleaned[[#This Row],[ID]], Table4[ID], Table4[Sweets], "Not Found", 0)</f>
        <v>55</v>
      </c>
      <c r="P77" s="16">
        <f>_xlfn.XLOOKUP(CustomerCombinedCleaned[[#This Row],[ID]], Table4[ID], Table4[Premium], "Not Found", 0)</f>
        <v>11</v>
      </c>
      <c r="Q77" s="16">
        <f>_xlfn.XLOOKUP(CustomerCombinedCleaned[[#This Row],[ID]], Table4[ID], Table4[Regular], "Not Found", 0)</f>
        <v>251</v>
      </c>
      <c r="R77" s="16">
        <f>_xlfn.XLOOKUP(CustomerCombinedCleaned[[#This Row],[ID]], Table4[ID], Table4[Deals], "Not Found", 0)</f>
        <v>1</v>
      </c>
      <c r="S77" s="16">
        <f>_xlfn.XLOOKUP(CustomerCombinedCleaned[[#This Row],[ID]], Table4[ID], Table4[Website], "Not Found", 0)</f>
        <v>2</v>
      </c>
      <c r="T77" s="16">
        <f>_xlfn.XLOOKUP(CustomerCombinedCleaned[[#This Row],[ID]], Table4[ID], Table4[Catalog], "Not Found", 0)</f>
        <v>0</v>
      </c>
      <c r="U77" s="16">
        <f>_xlfn.XLOOKUP(CustomerCombinedCleaned[[#This Row],[ID]], Table4[ID], Table4[Store], "Not Found", 0)</f>
        <v>4</v>
      </c>
      <c r="V77" s="16">
        <f>_xlfn.XLOOKUP(CustomerCombinedCleaned[[#This Row],[ID]], Table4[ID], Table4[Visits], "Not Found", 0)</f>
        <v>5</v>
      </c>
      <c r="W77" s="16">
        <f>_xlfn.XLOOKUP(CustomerCombinedCleaned[[#This Row],[ID]], Table2[ID],Table2[Complaint], "Not Found", 0 )</f>
        <v>0</v>
      </c>
      <c r="X77" s="16">
        <f>_xlfn.XLOOKUP(CustomerCombinedCleaned[[#This Row],[ID]], Table2[ID],Table2[Pilot], "Not Found", 0 )</f>
        <v>0</v>
      </c>
      <c r="Y77" s="16">
        <f>_xlfn.XLOOKUP(CustomerCombinedCleaned[[#This Row],[ID]], Table2[ID],Table2[MC1], "Not Found", 0 )</f>
        <v>0</v>
      </c>
      <c r="Z77" s="16">
        <f>_xlfn.XLOOKUP(CustomerCombinedCleaned[[#This Row],[ID]], Table2[ID],Table2[MC2], "Not Found", 0 )</f>
        <v>0</v>
      </c>
      <c r="AA77" s="16">
        <f>_xlfn.XLOOKUP(CustomerCombinedCleaned[[#This Row],[ID]], Table2[ID],Table2[MC3], "Not Found", 0 )</f>
        <v>0</v>
      </c>
      <c r="AB77" s="16">
        <f>_xlfn.XLOOKUP(CustomerCombinedCleaned[[#This Row],[ID]], Table2[ID],Table2[MC4], "Not Found", 0 )</f>
        <v>0</v>
      </c>
      <c r="AC77" s="16">
        <f>_xlfn.XLOOKUP(CustomerCombinedCleaned[[#This Row],[ID]], Table2[ID],Table2[MC5], "Not Found", 0 )</f>
        <v>0</v>
      </c>
    </row>
    <row r="78" spans="1:29" x14ac:dyDescent="0.3">
      <c r="A78" s="18">
        <v>1316</v>
      </c>
      <c r="B78" s="16">
        <v>133996</v>
      </c>
      <c r="C78" s="16">
        <v>0</v>
      </c>
      <c r="D78" s="16">
        <v>0</v>
      </c>
      <c r="E78" s="16">
        <v>31</v>
      </c>
      <c r="F78" s="17" t="s">
        <v>7</v>
      </c>
      <c r="G78" s="17" t="s">
        <v>13</v>
      </c>
      <c r="H78" s="3" t="s">
        <v>188</v>
      </c>
      <c r="I78" s="5" t="s">
        <v>438</v>
      </c>
      <c r="J78" s="16">
        <f>_xlfn.XLOOKUP(CustomerCombinedCleaned[[#This Row],[ID]], Table4[ID], Table4[Recency], "Not Found", 0)</f>
        <v>46</v>
      </c>
      <c r="K78" s="16">
        <f>_xlfn.XLOOKUP(CustomerCombinedCleaned[[#This Row],[ID]], Table4[ID], Table4[Teas], "Not Found", 0)</f>
        <v>158</v>
      </c>
      <c r="L78" s="16">
        <f>_xlfn.XLOOKUP(CustomerCombinedCleaned[[#This Row],[ID]], Table4[ID], Table4[Fruits], "Not Found", 0)</f>
        <v>8</v>
      </c>
      <c r="M78" s="16">
        <f>_xlfn.XLOOKUP(CustomerCombinedCleaned[[#This Row],[ID]], Table4[ID], Table4[Meats], "Not Found", 0)</f>
        <v>59</v>
      </c>
      <c r="N78" s="16">
        <f>_xlfn.XLOOKUP(CustomerCombinedCleaned[[#This Row],[ID]], Table4[ID], Table4[Seafood], "Not Found", 0)</f>
        <v>32</v>
      </c>
      <c r="O78" s="16">
        <f>_xlfn.XLOOKUP(CustomerCombinedCleaned[[#This Row],[ID]], Table4[ID], Table4[Sweets], "Not Found", 0)</f>
        <v>0</v>
      </c>
      <c r="P78" s="16">
        <f>_xlfn.XLOOKUP(CustomerCombinedCleaned[[#This Row],[ID]], Table4[ID], Table4[Premium], "Not Found", 0)</f>
        <v>24</v>
      </c>
      <c r="Q78" s="16">
        <f>_xlfn.XLOOKUP(CustomerCombinedCleaned[[#This Row],[ID]], Table4[ID], Table4[Regular], "Not Found", 0)</f>
        <v>233</v>
      </c>
      <c r="R78" s="16">
        <f>_xlfn.XLOOKUP(CustomerCombinedCleaned[[#This Row],[ID]], Table4[ID], Table4[Deals], "Not Found", 0)</f>
        <v>1</v>
      </c>
      <c r="S78" s="16">
        <f>_xlfn.XLOOKUP(CustomerCombinedCleaned[[#This Row],[ID]], Table4[ID], Table4[Website], "Not Found", 0)</f>
        <v>1</v>
      </c>
      <c r="T78" s="16">
        <f>_xlfn.XLOOKUP(CustomerCombinedCleaned[[#This Row],[ID]], Table4[ID], Table4[Catalog], "Not Found", 0)</f>
        <v>1</v>
      </c>
      <c r="U78" s="16">
        <f>_xlfn.XLOOKUP(CustomerCombinedCleaned[[#This Row],[ID]], Table4[ID], Table4[Store], "Not Found", 0)</f>
        <v>3</v>
      </c>
      <c r="V78" s="16">
        <f>_xlfn.XLOOKUP(CustomerCombinedCleaned[[#This Row],[ID]], Table4[ID], Table4[Visits], "Not Found", 0)</f>
        <v>4</v>
      </c>
      <c r="W78" s="16">
        <f>_xlfn.XLOOKUP(CustomerCombinedCleaned[[#This Row],[ID]], Table2[ID],Table2[Complaint], "Not Found", 0 )</f>
        <v>0</v>
      </c>
      <c r="X78" s="16">
        <f>_xlfn.XLOOKUP(CustomerCombinedCleaned[[#This Row],[ID]], Table2[ID],Table2[Pilot], "Not Found", 0 )</f>
        <v>0</v>
      </c>
      <c r="Y78" s="16">
        <f>_xlfn.XLOOKUP(CustomerCombinedCleaned[[#This Row],[ID]], Table2[ID],Table2[MC1], "Not Found", 0 )</f>
        <v>0</v>
      </c>
      <c r="Z78" s="16">
        <f>_xlfn.XLOOKUP(CustomerCombinedCleaned[[#This Row],[ID]], Table2[ID],Table2[MC2], "Not Found", 0 )</f>
        <v>0</v>
      </c>
      <c r="AA78" s="16">
        <f>_xlfn.XLOOKUP(CustomerCombinedCleaned[[#This Row],[ID]], Table2[ID],Table2[MC3], "Not Found", 0 )</f>
        <v>0</v>
      </c>
      <c r="AB78" s="16">
        <f>_xlfn.XLOOKUP(CustomerCombinedCleaned[[#This Row],[ID]], Table2[ID],Table2[MC4], "Not Found", 0 )</f>
        <v>0</v>
      </c>
      <c r="AC78" s="16">
        <f>_xlfn.XLOOKUP(CustomerCombinedCleaned[[#This Row],[ID]], Table2[ID],Table2[MC5], "Not Found", 0 )</f>
        <v>0</v>
      </c>
    </row>
    <row r="79" spans="1:29" x14ac:dyDescent="0.3">
      <c r="A79" s="18">
        <v>2639</v>
      </c>
      <c r="B79" s="16">
        <v>133996</v>
      </c>
      <c r="C79" s="16">
        <v>0</v>
      </c>
      <c r="D79" s="16">
        <v>0</v>
      </c>
      <c r="E79" s="16">
        <v>31</v>
      </c>
      <c r="F79" s="17" t="s">
        <v>7</v>
      </c>
      <c r="G79" s="17" t="s">
        <v>13</v>
      </c>
      <c r="H79" s="3" t="s">
        <v>188</v>
      </c>
      <c r="I79" s="5" t="s">
        <v>434</v>
      </c>
      <c r="J79" s="16">
        <f>_xlfn.XLOOKUP(CustomerCombinedCleaned[[#This Row],[ID]], Table4[ID], Table4[Recency], "Not Found", 0)</f>
        <v>46</v>
      </c>
      <c r="K79" s="16">
        <f>_xlfn.XLOOKUP(CustomerCombinedCleaned[[#This Row],[ID]], Table4[ID], Table4[Teas], "Not Found", 0)</f>
        <v>158</v>
      </c>
      <c r="L79" s="16">
        <f>_xlfn.XLOOKUP(CustomerCombinedCleaned[[#This Row],[ID]], Table4[ID], Table4[Fruits], "Not Found", 0)</f>
        <v>8</v>
      </c>
      <c r="M79" s="16">
        <f>_xlfn.XLOOKUP(CustomerCombinedCleaned[[#This Row],[ID]], Table4[ID], Table4[Meats], "Not Found", 0)</f>
        <v>59</v>
      </c>
      <c r="N79" s="16">
        <f>_xlfn.XLOOKUP(CustomerCombinedCleaned[[#This Row],[ID]], Table4[ID], Table4[Seafood], "Not Found", 0)</f>
        <v>32</v>
      </c>
      <c r="O79" s="16">
        <f>_xlfn.XLOOKUP(CustomerCombinedCleaned[[#This Row],[ID]], Table4[ID], Table4[Sweets], "Not Found", 0)</f>
        <v>0</v>
      </c>
      <c r="P79" s="16">
        <f>_xlfn.XLOOKUP(CustomerCombinedCleaned[[#This Row],[ID]], Table4[ID], Table4[Premium], "Not Found", 0)</f>
        <v>24</v>
      </c>
      <c r="Q79" s="16">
        <f>_xlfn.XLOOKUP(CustomerCombinedCleaned[[#This Row],[ID]], Table4[ID], Table4[Regular], "Not Found", 0)</f>
        <v>233</v>
      </c>
      <c r="R79" s="16">
        <f>_xlfn.XLOOKUP(CustomerCombinedCleaned[[#This Row],[ID]], Table4[ID], Table4[Deals], "Not Found", 0)</f>
        <v>1</v>
      </c>
      <c r="S79" s="16">
        <f>_xlfn.XLOOKUP(CustomerCombinedCleaned[[#This Row],[ID]], Table4[ID], Table4[Website], "Not Found", 0)</f>
        <v>1</v>
      </c>
      <c r="T79" s="16">
        <f>_xlfn.XLOOKUP(CustomerCombinedCleaned[[#This Row],[ID]], Table4[ID], Table4[Catalog], "Not Found", 0)</f>
        <v>1</v>
      </c>
      <c r="U79" s="16">
        <f>_xlfn.XLOOKUP(CustomerCombinedCleaned[[#This Row],[ID]], Table4[ID], Table4[Store], "Not Found", 0)</f>
        <v>3</v>
      </c>
      <c r="V79" s="16">
        <f>_xlfn.XLOOKUP(CustomerCombinedCleaned[[#This Row],[ID]], Table4[ID], Table4[Visits], "Not Found", 0)</f>
        <v>4</v>
      </c>
      <c r="W79" s="16">
        <f>_xlfn.XLOOKUP(CustomerCombinedCleaned[[#This Row],[ID]], Table2[ID],Table2[Complaint], "Not Found", 0 )</f>
        <v>0</v>
      </c>
      <c r="X79" s="16">
        <f>_xlfn.XLOOKUP(CustomerCombinedCleaned[[#This Row],[ID]], Table2[ID],Table2[Pilot], "Not Found", 0 )</f>
        <v>0</v>
      </c>
      <c r="Y79" s="16">
        <f>_xlfn.XLOOKUP(CustomerCombinedCleaned[[#This Row],[ID]], Table2[ID],Table2[MC1], "Not Found", 0 )</f>
        <v>0</v>
      </c>
      <c r="Z79" s="16">
        <f>_xlfn.XLOOKUP(CustomerCombinedCleaned[[#This Row],[ID]], Table2[ID],Table2[MC2], "Not Found", 0 )</f>
        <v>0</v>
      </c>
      <c r="AA79" s="16">
        <f>_xlfn.XLOOKUP(CustomerCombinedCleaned[[#This Row],[ID]], Table2[ID],Table2[MC3], "Not Found", 0 )</f>
        <v>0</v>
      </c>
      <c r="AB79" s="16">
        <f>_xlfn.XLOOKUP(CustomerCombinedCleaned[[#This Row],[ID]], Table2[ID],Table2[MC4], "Not Found", 0 )</f>
        <v>0</v>
      </c>
      <c r="AC79" s="16">
        <f>_xlfn.XLOOKUP(CustomerCombinedCleaned[[#This Row],[ID]], Table2[ID],Table2[MC5], "Not Found", 0 )</f>
        <v>0</v>
      </c>
    </row>
    <row r="80" spans="1:29" x14ac:dyDescent="0.3">
      <c r="A80" s="18">
        <v>2516</v>
      </c>
      <c r="B80" s="16">
        <v>131928</v>
      </c>
      <c r="C80" s="16">
        <v>1</v>
      </c>
      <c r="D80" s="16">
        <v>0</v>
      </c>
      <c r="E80" s="16">
        <v>31</v>
      </c>
      <c r="F80" s="17" t="s">
        <v>8</v>
      </c>
      <c r="G80" s="17" t="s">
        <v>11</v>
      </c>
      <c r="H80" s="3" t="s">
        <v>788</v>
      </c>
      <c r="I80" s="5" t="s">
        <v>438</v>
      </c>
      <c r="J80" s="16">
        <f>_xlfn.XLOOKUP(CustomerCombinedCleaned[[#This Row],[ID]], Table4[ID], Table4[Recency], "Not Found", 0)</f>
        <v>5</v>
      </c>
      <c r="K80" s="16">
        <f>_xlfn.XLOOKUP(CustomerCombinedCleaned[[#This Row],[ID]], Table4[ID], Table4[Teas], "Not Found", 0)</f>
        <v>136</v>
      </c>
      <c r="L80" s="16">
        <f>_xlfn.XLOOKUP(CustomerCombinedCleaned[[#This Row],[ID]], Table4[ID], Table4[Fruits], "Not Found", 0)</f>
        <v>17</v>
      </c>
      <c r="M80" s="16">
        <f>_xlfn.XLOOKUP(CustomerCombinedCleaned[[#This Row],[ID]], Table4[ID], Table4[Meats], "Not Found", 0)</f>
        <v>99</v>
      </c>
      <c r="N80" s="16">
        <f>_xlfn.XLOOKUP(CustomerCombinedCleaned[[#This Row],[ID]], Table4[ID], Table4[Seafood], "Not Found", 0)</f>
        <v>17</v>
      </c>
      <c r="O80" s="16">
        <f>_xlfn.XLOOKUP(CustomerCombinedCleaned[[#This Row],[ID]], Table4[ID], Table4[Sweets], "Not Found", 0)</f>
        <v>8</v>
      </c>
      <c r="P80" s="16">
        <f>_xlfn.XLOOKUP(CustomerCombinedCleaned[[#This Row],[ID]], Table4[ID], Table4[Premium], "Not Found", 0)</f>
        <v>21</v>
      </c>
      <c r="Q80" s="16">
        <f>_xlfn.XLOOKUP(CustomerCombinedCleaned[[#This Row],[ID]], Table4[ID], Table4[Regular], "Not Found", 0)</f>
        <v>256</v>
      </c>
      <c r="R80" s="16">
        <f>_xlfn.XLOOKUP(CustomerCombinedCleaned[[#This Row],[ID]], Table4[ID], Table4[Deals], "Not Found", 0)</f>
        <v>2</v>
      </c>
      <c r="S80" s="16">
        <f>_xlfn.XLOOKUP(CustomerCombinedCleaned[[#This Row],[ID]], Table4[ID], Table4[Website], "Not Found", 0)</f>
        <v>3</v>
      </c>
      <c r="T80" s="16">
        <f>_xlfn.XLOOKUP(CustomerCombinedCleaned[[#This Row],[ID]], Table4[ID], Table4[Catalog], "Not Found", 0)</f>
        <v>0</v>
      </c>
      <c r="U80" s="16">
        <f>_xlfn.XLOOKUP(CustomerCombinedCleaned[[#This Row],[ID]], Table4[ID], Table4[Store], "Not Found", 0)</f>
        <v>4</v>
      </c>
      <c r="V80" s="16">
        <f>_xlfn.XLOOKUP(CustomerCombinedCleaned[[#This Row],[ID]], Table4[ID], Table4[Visits], "Not Found", 0)</f>
        <v>7</v>
      </c>
      <c r="W80" s="16">
        <f>_xlfn.XLOOKUP(CustomerCombinedCleaned[[#This Row],[ID]], Table2[ID],Table2[Complaint], "Not Found", 0 )</f>
        <v>0</v>
      </c>
      <c r="X80" s="16">
        <f>_xlfn.XLOOKUP(CustomerCombinedCleaned[[#This Row],[ID]], Table2[ID],Table2[Pilot], "Not Found", 0 )</f>
        <v>0</v>
      </c>
      <c r="Y80" s="16">
        <f>_xlfn.XLOOKUP(CustomerCombinedCleaned[[#This Row],[ID]], Table2[ID],Table2[MC1], "Not Found", 0 )</f>
        <v>0</v>
      </c>
      <c r="Z80" s="16">
        <f>_xlfn.XLOOKUP(CustomerCombinedCleaned[[#This Row],[ID]], Table2[ID],Table2[MC2], "Not Found", 0 )</f>
        <v>0</v>
      </c>
      <c r="AA80" s="16">
        <f>_xlfn.XLOOKUP(CustomerCombinedCleaned[[#This Row],[ID]], Table2[ID],Table2[MC3], "Not Found", 0 )</f>
        <v>0</v>
      </c>
      <c r="AB80" s="16">
        <f>_xlfn.XLOOKUP(CustomerCombinedCleaned[[#This Row],[ID]], Table2[ID],Table2[MC4], "Not Found", 0 )</f>
        <v>0</v>
      </c>
      <c r="AC80" s="16">
        <f>_xlfn.XLOOKUP(CustomerCombinedCleaned[[#This Row],[ID]], Table2[ID],Table2[MC5], "Not Found", 0 )</f>
        <v>0</v>
      </c>
    </row>
    <row r="81" spans="1:29" x14ac:dyDescent="0.3">
      <c r="A81" s="18">
        <v>1361</v>
      </c>
      <c r="B81" s="16">
        <v>130279</v>
      </c>
      <c r="C81" s="16">
        <v>1</v>
      </c>
      <c r="D81" s="16">
        <v>0</v>
      </c>
      <c r="E81" s="16">
        <v>31</v>
      </c>
      <c r="F81" s="17" t="s">
        <v>7</v>
      </c>
      <c r="G81" s="17" t="s">
        <v>11</v>
      </c>
      <c r="H81" s="3" t="s">
        <v>709</v>
      </c>
      <c r="I81" s="5" t="s">
        <v>434</v>
      </c>
      <c r="J81" s="16">
        <f>_xlfn.XLOOKUP(CustomerCombinedCleaned[[#This Row],[ID]], Table4[ID], Table4[Recency], "Not Found", 0)</f>
        <v>13</v>
      </c>
      <c r="K81" s="16">
        <f>_xlfn.XLOOKUP(CustomerCombinedCleaned[[#This Row],[ID]], Table4[ID], Table4[Teas], "Not Found", 0)</f>
        <v>43</v>
      </c>
      <c r="L81" s="16">
        <f>_xlfn.XLOOKUP(CustomerCombinedCleaned[[#This Row],[ID]], Table4[ID], Table4[Fruits], "Not Found", 0)</f>
        <v>17</v>
      </c>
      <c r="M81" s="16">
        <f>_xlfn.XLOOKUP(CustomerCombinedCleaned[[#This Row],[ID]], Table4[ID], Table4[Meats], "Not Found", 0)</f>
        <v>60</v>
      </c>
      <c r="N81" s="16">
        <f>_xlfn.XLOOKUP(CustomerCombinedCleaned[[#This Row],[ID]], Table4[ID], Table4[Seafood], "Not Found", 0)</f>
        <v>17</v>
      </c>
      <c r="O81" s="16">
        <f>_xlfn.XLOOKUP(CustomerCombinedCleaned[[#This Row],[ID]], Table4[ID], Table4[Sweets], "Not Found", 0)</f>
        <v>17</v>
      </c>
      <c r="P81" s="16">
        <f>_xlfn.XLOOKUP(CustomerCombinedCleaned[[#This Row],[ID]], Table4[ID], Table4[Premium], "Not Found", 0)</f>
        <v>4</v>
      </c>
      <c r="Q81" s="16">
        <f>_xlfn.XLOOKUP(CustomerCombinedCleaned[[#This Row],[ID]], Table4[ID], Table4[Regular], "Not Found", 0)</f>
        <v>151</v>
      </c>
      <c r="R81" s="16">
        <f>_xlfn.XLOOKUP(CustomerCombinedCleaned[[#This Row],[ID]], Table4[ID], Table4[Deals], "Not Found", 0)</f>
        <v>1</v>
      </c>
      <c r="S81" s="16">
        <f>_xlfn.XLOOKUP(CustomerCombinedCleaned[[#This Row],[ID]], Table4[ID], Table4[Website], "Not Found", 0)</f>
        <v>1</v>
      </c>
      <c r="T81" s="16">
        <f>_xlfn.XLOOKUP(CustomerCombinedCleaned[[#This Row],[ID]], Table4[ID], Table4[Catalog], "Not Found", 0)</f>
        <v>0</v>
      </c>
      <c r="U81" s="16">
        <f>_xlfn.XLOOKUP(CustomerCombinedCleaned[[#This Row],[ID]], Table4[ID], Table4[Store], "Not Found", 0)</f>
        <v>3</v>
      </c>
      <c r="V81" s="16">
        <f>_xlfn.XLOOKUP(CustomerCombinedCleaned[[#This Row],[ID]], Table4[ID], Table4[Visits], "Not Found", 0)</f>
        <v>8</v>
      </c>
      <c r="W81" s="16">
        <f>_xlfn.XLOOKUP(CustomerCombinedCleaned[[#This Row],[ID]], Table2[ID],Table2[Complaint], "Not Found", 0 )</f>
        <v>0</v>
      </c>
      <c r="X81" s="16">
        <f>_xlfn.XLOOKUP(CustomerCombinedCleaned[[#This Row],[ID]], Table2[ID],Table2[Pilot], "Not Found", 0 )</f>
        <v>0</v>
      </c>
      <c r="Y81" s="16">
        <f>_xlfn.XLOOKUP(CustomerCombinedCleaned[[#This Row],[ID]], Table2[ID],Table2[MC1], "Not Found", 0 )</f>
        <v>0</v>
      </c>
      <c r="Z81" s="16">
        <f>_xlfn.XLOOKUP(CustomerCombinedCleaned[[#This Row],[ID]], Table2[ID],Table2[MC2], "Not Found", 0 )</f>
        <v>0</v>
      </c>
      <c r="AA81" s="16">
        <f>_xlfn.XLOOKUP(CustomerCombinedCleaned[[#This Row],[ID]], Table2[ID],Table2[MC3], "Not Found", 0 )</f>
        <v>0</v>
      </c>
      <c r="AB81" s="16">
        <f>_xlfn.XLOOKUP(CustomerCombinedCleaned[[#This Row],[ID]], Table2[ID],Table2[MC4], "Not Found", 0 )</f>
        <v>0</v>
      </c>
      <c r="AC81" s="16">
        <f>_xlfn.XLOOKUP(CustomerCombinedCleaned[[#This Row],[ID]], Table2[ID],Table2[MC5], "Not Found", 0 )</f>
        <v>0</v>
      </c>
    </row>
    <row r="82" spans="1:29" x14ac:dyDescent="0.3">
      <c r="A82" s="18">
        <v>1427</v>
      </c>
      <c r="B82" s="16">
        <v>130279</v>
      </c>
      <c r="C82" s="16">
        <v>1</v>
      </c>
      <c r="D82" s="16">
        <v>0</v>
      </c>
      <c r="E82" s="16">
        <v>31</v>
      </c>
      <c r="F82" s="17" t="s">
        <v>7</v>
      </c>
      <c r="G82" s="17" t="s">
        <v>11</v>
      </c>
      <c r="H82" s="3" t="s">
        <v>709</v>
      </c>
      <c r="I82" s="5" t="s">
        <v>434</v>
      </c>
      <c r="J82" s="16">
        <f>_xlfn.XLOOKUP(CustomerCombinedCleaned[[#This Row],[ID]], Table4[ID], Table4[Recency], "Not Found", 0)</f>
        <v>13</v>
      </c>
      <c r="K82" s="16">
        <f>_xlfn.XLOOKUP(CustomerCombinedCleaned[[#This Row],[ID]], Table4[ID], Table4[Teas], "Not Found", 0)</f>
        <v>43</v>
      </c>
      <c r="L82" s="16">
        <f>_xlfn.XLOOKUP(CustomerCombinedCleaned[[#This Row],[ID]], Table4[ID], Table4[Fruits], "Not Found", 0)</f>
        <v>17</v>
      </c>
      <c r="M82" s="16">
        <f>_xlfn.XLOOKUP(CustomerCombinedCleaned[[#This Row],[ID]], Table4[ID], Table4[Meats], "Not Found", 0)</f>
        <v>60</v>
      </c>
      <c r="N82" s="16">
        <f>_xlfn.XLOOKUP(CustomerCombinedCleaned[[#This Row],[ID]], Table4[ID], Table4[Seafood], "Not Found", 0)</f>
        <v>17</v>
      </c>
      <c r="O82" s="16">
        <f>_xlfn.XLOOKUP(CustomerCombinedCleaned[[#This Row],[ID]], Table4[ID], Table4[Sweets], "Not Found", 0)</f>
        <v>17</v>
      </c>
      <c r="P82" s="16">
        <f>_xlfn.XLOOKUP(CustomerCombinedCleaned[[#This Row],[ID]], Table4[ID], Table4[Premium], "Not Found", 0)</f>
        <v>4</v>
      </c>
      <c r="Q82" s="16">
        <f>_xlfn.XLOOKUP(CustomerCombinedCleaned[[#This Row],[ID]], Table4[ID], Table4[Regular], "Not Found", 0)</f>
        <v>151</v>
      </c>
      <c r="R82" s="16">
        <f>_xlfn.XLOOKUP(CustomerCombinedCleaned[[#This Row],[ID]], Table4[ID], Table4[Deals], "Not Found", 0)</f>
        <v>1</v>
      </c>
      <c r="S82" s="16">
        <f>_xlfn.XLOOKUP(CustomerCombinedCleaned[[#This Row],[ID]], Table4[ID], Table4[Website], "Not Found", 0)</f>
        <v>1</v>
      </c>
      <c r="T82" s="16">
        <f>_xlfn.XLOOKUP(CustomerCombinedCleaned[[#This Row],[ID]], Table4[ID], Table4[Catalog], "Not Found", 0)</f>
        <v>0</v>
      </c>
      <c r="U82" s="16">
        <f>_xlfn.XLOOKUP(CustomerCombinedCleaned[[#This Row],[ID]], Table4[ID], Table4[Store], "Not Found", 0)</f>
        <v>3</v>
      </c>
      <c r="V82" s="16">
        <f>_xlfn.XLOOKUP(CustomerCombinedCleaned[[#This Row],[ID]], Table4[ID], Table4[Visits], "Not Found", 0)</f>
        <v>8</v>
      </c>
      <c r="W82" s="16">
        <f>_xlfn.XLOOKUP(CustomerCombinedCleaned[[#This Row],[ID]], Table2[ID],Table2[Complaint], "Not Found", 0 )</f>
        <v>0</v>
      </c>
      <c r="X82" s="16">
        <f>_xlfn.XLOOKUP(CustomerCombinedCleaned[[#This Row],[ID]], Table2[ID],Table2[Pilot], "Not Found", 0 )</f>
        <v>0</v>
      </c>
      <c r="Y82" s="16">
        <f>_xlfn.XLOOKUP(CustomerCombinedCleaned[[#This Row],[ID]], Table2[ID],Table2[MC1], "Not Found", 0 )</f>
        <v>0</v>
      </c>
      <c r="Z82" s="16">
        <f>_xlfn.XLOOKUP(CustomerCombinedCleaned[[#This Row],[ID]], Table2[ID],Table2[MC2], "Not Found", 0 )</f>
        <v>0</v>
      </c>
      <c r="AA82" s="16">
        <f>_xlfn.XLOOKUP(CustomerCombinedCleaned[[#This Row],[ID]], Table2[ID],Table2[MC3], "Not Found", 0 )</f>
        <v>0</v>
      </c>
      <c r="AB82" s="16">
        <f>_xlfn.XLOOKUP(CustomerCombinedCleaned[[#This Row],[ID]], Table2[ID],Table2[MC4], "Not Found", 0 )</f>
        <v>0</v>
      </c>
      <c r="AC82" s="16">
        <f>_xlfn.XLOOKUP(CustomerCombinedCleaned[[#This Row],[ID]], Table2[ID],Table2[MC5], "Not Found", 0 )</f>
        <v>0</v>
      </c>
    </row>
    <row r="83" spans="1:29" x14ac:dyDescent="0.3">
      <c r="A83" s="18">
        <v>1424</v>
      </c>
      <c r="B83" s="16">
        <v>128691</v>
      </c>
      <c r="C83" s="16">
        <v>1</v>
      </c>
      <c r="D83" s="16">
        <v>0</v>
      </c>
      <c r="E83" s="16">
        <v>31</v>
      </c>
      <c r="F83" s="17" t="s">
        <v>6</v>
      </c>
      <c r="G83" s="17" t="s">
        <v>11</v>
      </c>
      <c r="H83" s="3" t="s">
        <v>632</v>
      </c>
      <c r="I83" s="5" t="s">
        <v>438</v>
      </c>
      <c r="J83" s="16">
        <f>_xlfn.XLOOKUP(CustomerCombinedCleaned[[#This Row],[ID]], Table4[ID], Table4[Recency], "Not Found", 0)</f>
        <v>56</v>
      </c>
      <c r="K83" s="16">
        <f>_xlfn.XLOOKUP(CustomerCombinedCleaned[[#This Row],[ID]], Table4[ID], Table4[Teas], "Not Found", 0)</f>
        <v>22</v>
      </c>
      <c r="L83" s="16">
        <f>_xlfn.XLOOKUP(CustomerCombinedCleaned[[#This Row],[ID]], Table4[ID], Table4[Fruits], "Not Found", 0)</f>
        <v>18</v>
      </c>
      <c r="M83" s="16">
        <f>_xlfn.XLOOKUP(CustomerCombinedCleaned[[#This Row],[ID]], Table4[ID], Table4[Meats], "Not Found", 0)</f>
        <v>58</v>
      </c>
      <c r="N83" s="16">
        <f>_xlfn.XLOOKUP(CustomerCombinedCleaned[[#This Row],[ID]], Table4[ID], Table4[Seafood], "Not Found", 0)</f>
        <v>36</v>
      </c>
      <c r="O83" s="16">
        <f>_xlfn.XLOOKUP(CustomerCombinedCleaned[[#This Row],[ID]], Table4[ID], Table4[Sweets], "Not Found", 0)</f>
        <v>0</v>
      </c>
      <c r="P83" s="16">
        <f>_xlfn.XLOOKUP(CustomerCombinedCleaned[[#This Row],[ID]], Table4[ID], Table4[Premium], "Not Found", 0)</f>
        <v>18</v>
      </c>
      <c r="Q83" s="16">
        <f>_xlfn.XLOOKUP(CustomerCombinedCleaned[[#This Row],[ID]], Table4[ID], Table4[Regular], "Not Found", 0)</f>
        <v>117</v>
      </c>
      <c r="R83" s="16">
        <f>_xlfn.XLOOKUP(CustomerCombinedCleaned[[#This Row],[ID]], Table4[ID], Table4[Deals], "Not Found", 0)</f>
        <v>1</v>
      </c>
      <c r="S83" s="16">
        <f>_xlfn.XLOOKUP(CustomerCombinedCleaned[[#This Row],[ID]], Table4[ID], Table4[Website], "Not Found", 0)</f>
        <v>1</v>
      </c>
      <c r="T83" s="16">
        <f>_xlfn.XLOOKUP(CustomerCombinedCleaned[[#This Row],[ID]], Table4[ID], Table4[Catalog], "Not Found", 0)</f>
        <v>0</v>
      </c>
      <c r="U83" s="16">
        <f>_xlfn.XLOOKUP(CustomerCombinedCleaned[[#This Row],[ID]], Table4[ID], Table4[Store], "Not Found", 0)</f>
        <v>3</v>
      </c>
      <c r="V83" s="16">
        <f>_xlfn.XLOOKUP(CustomerCombinedCleaned[[#This Row],[ID]], Table4[ID], Table4[Visits], "Not Found", 0)</f>
        <v>8</v>
      </c>
      <c r="W83" s="16">
        <f>_xlfn.XLOOKUP(CustomerCombinedCleaned[[#This Row],[ID]], Table2[ID],Table2[Complaint], "Not Found", 0 )</f>
        <v>0</v>
      </c>
      <c r="X83" s="16">
        <f>_xlfn.XLOOKUP(CustomerCombinedCleaned[[#This Row],[ID]], Table2[ID],Table2[Pilot], "Not Found", 0 )</f>
        <v>0</v>
      </c>
      <c r="Y83" s="16">
        <f>_xlfn.XLOOKUP(CustomerCombinedCleaned[[#This Row],[ID]], Table2[ID],Table2[MC1], "Not Found", 0 )</f>
        <v>0</v>
      </c>
      <c r="Z83" s="16">
        <f>_xlfn.XLOOKUP(CustomerCombinedCleaned[[#This Row],[ID]], Table2[ID],Table2[MC2], "Not Found", 0 )</f>
        <v>0</v>
      </c>
      <c r="AA83" s="16">
        <f>_xlfn.XLOOKUP(CustomerCombinedCleaned[[#This Row],[ID]], Table2[ID],Table2[MC3], "Not Found", 0 )</f>
        <v>0</v>
      </c>
      <c r="AB83" s="16">
        <f>_xlfn.XLOOKUP(CustomerCombinedCleaned[[#This Row],[ID]], Table2[ID],Table2[MC4], "Not Found", 0 )</f>
        <v>0</v>
      </c>
      <c r="AC83" s="16">
        <f>_xlfn.XLOOKUP(CustomerCombinedCleaned[[#This Row],[ID]], Table2[ID],Table2[MC5], "Not Found", 0 )</f>
        <v>0</v>
      </c>
    </row>
    <row r="84" spans="1:29" x14ac:dyDescent="0.3">
      <c r="A84" s="18">
        <v>2219</v>
      </c>
      <c r="B84" s="16">
        <v>128691</v>
      </c>
      <c r="C84" s="16">
        <v>1</v>
      </c>
      <c r="D84" s="16">
        <v>0</v>
      </c>
      <c r="E84" s="16">
        <v>31</v>
      </c>
      <c r="F84" s="17" t="s">
        <v>6</v>
      </c>
      <c r="G84" s="17" t="s">
        <v>11</v>
      </c>
      <c r="H84" s="3" t="s">
        <v>632</v>
      </c>
      <c r="I84" s="5" t="s">
        <v>434</v>
      </c>
      <c r="J84" s="16">
        <f>_xlfn.XLOOKUP(CustomerCombinedCleaned[[#This Row],[ID]], Table4[ID], Table4[Recency], "Not Found", 0)</f>
        <v>56</v>
      </c>
      <c r="K84" s="16">
        <f>_xlfn.XLOOKUP(CustomerCombinedCleaned[[#This Row],[ID]], Table4[ID], Table4[Teas], "Not Found", 0)</f>
        <v>22</v>
      </c>
      <c r="L84" s="16">
        <f>_xlfn.XLOOKUP(CustomerCombinedCleaned[[#This Row],[ID]], Table4[ID], Table4[Fruits], "Not Found", 0)</f>
        <v>18</v>
      </c>
      <c r="M84" s="16">
        <f>_xlfn.XLOOKUP(CustomerCombinedCleaned[[#This Row],[ID]], Table4[ID], Table4[Meats], "Not Found", 0)</f>
        <v>58</v>
      </c>
      <c r="N84" s="16">
        <f>_xlfn.XLOOKUP(CustomerCombinedCleaned[[#This Row],[ID]], Table4[ID], Table4[Seafood], "Not Found", 0)</f>
        <v>36</v>
      </c>
      <c r="O84" s="16">
        <f>_xlfn.XLOOKUP(CustomerCombinedCleaned[[#This Row],[ID]], Table4[ID], Table4[Sweets], "Not Found", 0)</f>
        <v>0</v>
      </c>
      <c r="P84" s="16">
        <f>_xlfn.XLOOKUP(CustomerCombinedCleaned[[#This Row],[ID]], Table4[ID], Table4[Premium], "Not Found", 0)</f>
        <v>18</v>
      </c>
      <c r="Q84" s="16">
        <f>_xlfn.XLOOKUP(CustomerCombinedCleaned[[#This Row],[ID]], Table4[ID], Table4[Regular], "Not Found", 0)</f>
        <v>117</v>
      </c>
      <c r="R84" s="16">
        <f>_xlfn.XLOOKUP(CustomerCombinedCleaned[[#This Row],[ID]], Table4[ID], Table4[Deals], "Not Found", 0)</f>
        <v>1</v>
      </c>
      <c r="S84" s="16">
        <f>_xlfn.XLOOKUP(CustomerCombinedCleaned[[#This Row],[ID]], Table4[ID], Table4[Website], "Not Found", 0)</f>
        <v>1</v>
      </c>
      <c r="T84" s="16">
        <f>_xlfn.XLOOKUP(CustomerCombinedCleaned[[#This Row],[ID]], Table4[ID], Table4[Catalog], "Not Found", 0)</f>
        <v>0</v>
      </c>
      <c r="U84" s="16">
        <f>_xlfn.XLOOKUP(CustomerCombinedCleaned[[#This Row],[ID]], Table4[ID], Table4[Store], "Not Found", 0)</f>
        <v>3</v>
      </c>
      <c r="V84" s="16">
        <f>_xlfn.XLOOKUP(CustomerCombinedCleaned[[#This Row],[ID]], Table4[ID], Table4[Visits], "Not Found", 0)</f>
        <v>8</v>
      </c>
      <c r="W84" s="16">
        <f>_xlfn.XLOOKUP(CustomerCombinedCleaned[[#This Row],[ID]], Table2[ID],Table2[Complaint], "Not Found", 0 )</f>
        <v>0</v>
      </c>
      <c r="X84" s="16">
        <f>_xlfn.XLOOKUP(CustomerCombinedCleaned[[#This Row],[ID]], Table2[ID],Table2[Pilot], "Not Found", 0 )</f>
        <v>0</v>
      </c>
      <c r="Y84" s="16">
        <f>_xlfn.XLOOKUP(CustomerCombinedCleaned[[#This Row],[ID]], Table2[ID],Table2[MC1], "Not Found", 0 )</f>
        <v>0</v>
      </c>
      <c r="Z84" s="16">
        <f>_xlfn.XLOOKUP(CustomerCombinedCleaned[[#This Row],[ID]], Table2[ID],Table2[MC2], "Not Found", 0 )</f>
        <v>0</v>
      </c>
      <c r="AA84" s="16">
        <f>_xlfn.XLOOKUP(CustomerCombinedCleaned[[#This Row],[ID]], Table2[ID],Table2[MC3], "Not Found", 0 )</f>
        <v>0</v>
      </c>
      <c r="AB84" s="16">
        <f>_xlfn.XLOOKUP(CustomerCombinedCleaned[[#This Row],[ID]], Table2[ID],Table2[MC4], "Not Found", 0 )</f>
        <v>0</v>
      </c>
      <c r="AC84" s="16">
        <f>_xlfn.XLOOKUP(CustomerCombinedCleaned[[#This Row],[ID]], Table2[ID],Table2[MC5], "Not Found", 0 )</f>
        <v>0</v>
      </c>
    </row>
    <row r="85" spans="1:29" x14ac:dyDescent="0.3">
      <c r="A85" s="18">
        <v>1914</v>
      </c>
      <c r="B85" s="16">
        <v>125443</v>
      </c>
      <c r="C85" s="16">
        <v>1</v>
      </c>
      <c r="D85" s="16">
        <v>0</v>
      </c>
      <c r="E85" s="16">
        <v>31</v>
      </c>
      <c r="F85" s="17" t="s">
        <v>6</v>
      </c>
      <c r="G85" s="17" t="s">
        <v>10</v>
      </c>
      <c r="H85" s="3" t="s">
        <v>337</v>
      </c>
      <c r="I85" s="5" t="s">
        <v>436</v>
      </c>
      <c r="J85" s="16">
        <f>_xlfn.XLOOKUP(CustomerCombinedCleaned[[#This Row],[ID]], Table4[ID], Table4[Recency], "Not Found", 0)</f>
        <v>82</v>
      </c>
      <c r="K85" s="16">
        <f>_xlfn.XLOOKUP(CustomerCombinedCleaned[[#This Row],[ID]], Table4[ID], Table4[Teas], "Not Found", 0)</f>
        <v>5</v>
      </c>
      <c r="L85" s="16">
        <f>_xlfn.XLOOKUP(CustomerCombinedCleaned[[#This Row],[ID]], Table4[ID], Table4[Fruits], "Not Found", 0)</f>
        <v>20</v>
      </c>
      <c r="M85" s="16">
        <f>_xlfn.XLOOKUP(CustomerCombinedCleaned[[#This Row],[ID]], Table4[ID], Table4[Meats], "Not Found", 0)</f>
        <v>15</v>
      </c>
      <c r="N85" s="16">
        <f>_xlfn.XLOOKUP(CustomerCombinedCleaned[[#This Row],[ID]], Table4[ID], Table4[Seafood], "Not Found", 0)</f>
        <v>39</v>
      </c>
      <c r="O85" s="16">
        <f>_xlfn.XLOOKUP(CustomerCombinedCleaned[[#This Row],[ID]], Table4[ID], Table4[Sweets], "Not Found", 0)</f>
        <v>44</v>
      </c>
      <c r="P85" s="16">
        <f>_xlfn.XLOOKUP(CustomerCombinedCleaned[[#This Row],[ID]], Table4[ID], Table4[Premium], "Not Found", 0)</f>
        <v>35</v>
      </c>
      <c r="Q85" s="16">
        <f>_xlfn.XLOOKUP(CustomerCombinedCleaned[[#This Row],[ID]], Table4[ID], Table4[Regular], "Not Found", 0)</f>
        <v>89</v>
      </c>
      <c r="R85" s="16">
        <f>_xlfn.XLOOKUP(CustomerCombinedCleaned[[#This Row],[ID]], Table4[ID], Table4[Deals], "Not Found", 0)</f>
        <v>1</v>
      </c>
      <c r="S85" s="16">
        <f>_xlfn.XLOOKUP(CustomerCombinedCleaned[[#This Row],[ID]], Table4[ID], Table4[Website], "Not Found", 0)</f>
        <v>1</v>
      </c>
      <c r="T85" s="16">
        <f>_xlfn.XLOOKUP(CustomerCombinedCleaned[[#This Row],[ID]], Table4[ID], Table4[Catalog], "Not Found", 0)</f>
        <v>0</v>
      </c>
      <c r="U85" s="16">
        <f>_xlfn.XLOOKUP(CustomerCombinedCleaned[[#This Row],[ID]], Table4[ID], Table4[Store], "Not Found", 0)</f>
        <v>3</v>
      </c>
      <c r="V85" s="16">
        <f>_xlfn.XLOOKUP(CustomerCombinedCleaned[[#This Row],[ID]], Table4[ID], Table4[Visits], "Not Found", 0)</f>
        <v>8</v>
      </c>
      <c r="W85" s="16">
        <f>_xlfn.XLOOKUP(CustomerCombinedCleaned[[#This Row],[ID]], Table2[ID],Table2[Complaint], "Not Found", 0 )</f>
        <v>0</v>
      </c>
      <c r="X85" s="16">
        <f>_xlfn.XLOOKUP(CustomerCombinedCleaned[[#This Row],[ID]], Table2[ID],Table2[Pilot], "Not Found", 0 )</f>
        <v>0</v>
      </c>
      <c r="Y85" s="16">
        <f>_xlfn.XLOOKUP(CustomerCombinedCleaned[[#This Row],[ID]], Table2[ID],Table2[MC1], "Not Found", 0 )</f>
        <v>0</v>
      </c>
      <c r="Z85" s="16">
        <f>_xlfn.XLOOKUP(CustomerCombinedCleaned[[#This Row],[ID]], Table2[ID],Table2[MC2], "Not Found", 0 )</f>
        <v>0</v>
      </c>
      <c r="AA85" s="16">
        <f>_xlfn.XLOOKUP(CustomerCombinedCleaned[[#This Row],[ID]], Table2[ID],Table2[MC3], "Not Found", 0 )</f>
        <v>0</v>
      </c>
      <c r="AB85" s="16">
        <f>_xlfn.XLOOKUP(CustomerCombinedCleaned[[#This Row],[ID]], Table2[ID],Table2[MC4], "Not Found", 0 )</f>
        <v>0</v>
      </c>
      <c r="AC85" s="16">
        <f>_xlfn.XLOOKUP(CustomerCombinedCleaned[[#This Row],[ID]], Table2[ID],Table2[MC5], "Not Found", 0 )</f>
        <v>0</v>
      </c>
    </row>
    <row r="86" spans="1:29" x14ac:dyDescent="0.3">
      <c r="A86" s="18">
        <v>1535</v>
      </c>
      <c r="B86" s="16">
        <v>121474</v>
      </c>
      <c r="C86" s="16">
        <v>1</v>
      </c>
      <c r="D86" s="16">
        <v>0</v>
      </c>
      <c r="E86" s="16">
        <v>31</v>
      </c>
      <c r="F86" s="17" t="s">
        <v>7</v>
      </c>
      <c r="G86" s="17" t="s">
        <v>11</v>
      </c>
      <c r="H86" s="3" t="s">
        <v>608</v>
      </c>
      <c r="I86" s="5" t="s">
        <v>434</v>
      </c>
      <c r="J86" s="16">
        <f>_xlfn.XLOOKUP(CustomerCombinedCleaned[[#This Row],[ID]], Table4[ID], Table4[Recency], "Not Found", 0)</f>
        <v>0</v>
      </c>
      <c r="K86" s="16">
        <f>_xlfn.XLOOKUP(CustomerCombinedCleaned[[#This Row],[ID]], Table4[ID], Table4[Teas], "Not Found", 0)</f>
        <v>34</v>
      </c>
      <c r="L86" s="16">
        <f>_xlfn.XLOOKUP(CustomerCombinedCleaned[[#This Row],[ID]], Table4[ID], Table4[Fruits], "Not Found", 0)</f>
        <v>91</v>
      </c>
      <c r="M86" s="16">
        <f>_xlfn.XLOOKUP(CustomerCombinedCleaned[[#This Row],[ID]], Table4[ID], Table4[Meats], "Not Found", 0)</f>
        <v>136</v>
      </c>
      <c r="N86" s="16">
        <f>_xlfn.XLOOKUP(CustomerCombinedCleaned[[#This Row],[ID]], Table4[ID], Table4[Seafood], "Not Found", 0)</f>
        <v>62</v>
      </c>
      <c r="O86" s="16">
        <f>_xlfn.XLOOKUP(CustomerCombinedCleaned[[#This Row],[ID]], Table4[ID], Table4[Sweets], "Not Found", 0)</f>
        <v>0</v>
      </c>
      <c r="P86" s="16">
        <f>_xlfn.XLOOKUP(CustomerCombinedCleaned[[#This Row],[ID]], Table4[ID], Table4[Premium], "Not Found", 0)</f>
        <v>192</v>
      </c>
      <c r="Q86" s="16">
        <f>_xlfn.XLOOKUP(CustomerCombinedCleaned[[#This Row],[ID]], Table4[ID], Table4[Regular], "Not Found", 0)</f>
        <v>130</v>
      </c>
      <c r="R86" s="16">
        <f>_xlfn.XLOOKUP(CustomerCombinedCleaned[[#This Row],[ID]], Table4[ID], Table4[Deals], "Not Found", 0)</f>
        <v>2</v>
      </c>
      <c r="S86" s="16">
        <f>_xlfn.XLOOKUP(CustomerCombinedCleaned[[#This Row],[ID]], Table4[ID], Table4[Website], "Not Found", 0)</f>
        <v>3</v>
      </c>
      <c r="T86" s="16">
        <f>_xlfn.XLOOKUP(CustomerCombinedCleaned[[#This Row],[ID]], Table4[ID], Table4[Catalog], "Not Found", 0)</f>
        <v>1</v>
      </c>
      <c r="U86" s="16">
        <f>_xlfn.XLOOKUP(CustomerCombinedCleaned[[#This Row],[ID]], Table4[ID], Table4[Store], "Not Found", 0)</f>
        <v>2</v>
      </c>
      <c r="V86" s="16">
        <f>_xlfn.XLOOKUP(CustomerCombinedCleaned[[#This Row],[ID]], Table4[ID], Table4[Visits], "Not Found", 0)</f>
        <v>7</v>
      </c>
      <c r="W86" s="16">
        <f>_xlfn.XLOOKUP(CustomerCombinedCleaned[[#This Row],[ID]], Table2[ID],Table2[Complaint], "Not Found", 0 )</f>
        <v>0</v>
      </c>
      <c r="X86" s="16">
        <f>_xlfn.XLOOKUP(CustomerCombinedCleaned[[#This Row],[ID]], Table2[ID],Table2[Pilot], "Not Found", 0 )</f>
        <v>1</v>
      </c>
      <c r="Y86" s="16">
        <f>_xlfn.XLOOKUP(CustomerCombinedCleaned[[#This Row],[ID]], Table2[ID],Table2[MC1], "Not Found", 0 )</f>
        <v>0</v>
      </c>
      <c r="Z86" s="16">
        <f>_xlfn.XLOOKUP(CustomerCombinedCleaned[[#This Row],[ID]], Table2[ID],Table2[MC2], "Not Found", 0 )</f>
        <v>0</v>
      </c>
      <c r="AA86" s="16">
        <f>_xlfn.XLOOKUP(CustomerCombinedCleaned[[#This Row],[ID]], Table2[ID],Table2[MC3], "Not Found", 0 )</f>
        <v>1</v>
      </c>
      <c r="AB86" s="16">
        <f>_xlfn.XLOOKUP(CustomerCombinedCleaned[[#This Row],[ID]], Table2[ID],Table2[MC4], "Not Found", 0 )</f>
        <v>0</v>
      </c>
      <c r="AC86" s="16">
        <f>_xlfn.XLOOKUP(CustomerCombinedCleaned[[#This Row],[ID]], Table2[ID],Table2[MC5], "Not Found", 0 )</f>
        <v>0</v>
      </c>
    </row>
    <row r="87" spans="1:29" x14ac:dyDescent="0.3">
      <c r="A87" s="18">
        <v>2677</v>
      </c>
      <c r="B87" s="16">
        <v>118358</v>
      </c>
      <c r="C87" s="16">
        <v>1</v>
      </c>
      <c r="D87" s="16">
        <v>0</v>
      </c>
      <c r="E87" s="16">
        <v>31</v>
      </c>
      <c r="F87" s="17" t="s">
        <v>7</v>
      </c>
      <c r="G87" s="17" t="s">
        <v>11</v>
      </c>
      <c r="H87" s="3" t="s">
        <v>145</v>
      </c>
      <c r="I87" s="5" t="s">
        <v>437</v>
      </c>
      <c r="J87" s="16">
        <f>_xlfn.XLOOKUP(CustomerCombinedCleaned[[#This Row],[ID]], Table4[ID], Table4[Recency], "Not Found", 0)</f>
        <v>49</v>
      </c>
      <c r="K87" s="16">
        <f>_xlfn.XLOOKUP(CustomerCombinedCleaned[[#This Row],[ID]], Table4[ID], Table4[Teas], "Not Found", 0)</f>
        <v>39</v>
      </c>
      <c r="L87" s="16">
        <f>_xlfn.XLOOKUP(CustomerCombinedCleaned[[#This Row],[ID]], Table4[ID], Table4[Fruits], "Not Found", 0)</f>
        <v>52</v>
      </c>
      <c r="M87" s="16">
        <f>_xlfn.XLOOKUP(CustomerCombinedCleaned[[#This Row],[ID]], Table4[ID], Table4[Meats], "Not Found", 0)</f>
        <v>122</v>
      </c>
      <c r="N87" s="16">
        <f>_xlfn.XLOOKUP(CustomerCombinedCleaned[[#This Row],[ID]], Table4[ID], Table4[Seafood], "Not Found", 0)</f>
        <v>103</v>
      </c>
      <c r="O87" s="16">
        <f>_xlfn.XLOOKUP(CustomerCombinedCleaned[[#This Row],[ID]], Table4[ID], Table4[Sweets], "Not Found", 0)</f>
        <v>26</v>
      </c>
      <c r="P87" s="16">
        <f>_xlfn.XLOOKUP(CustomerCombinedCleaned[[#This Row],[ID]], Table4[ID], Table4[Premium], "Not Found", 0)</f>
        <v>26</v>
      </c>
      <c r="Q87" s="16">
        <f>_xlfn.XLOOKUP(CustomerCombinedCleaned[[#This Row],[ID]], Table4[ID], Table4[Regular], "Not Found", 0)</f>
        <v>316</v>
      </c>
      <c r="R87" s="16">
        <f>_xlfn.XLOOKUP(CustomerCombinedCleaned[[#This Row],[ID]], Table4[ID], Table4[Deals], "Not Found", 0)</f>
        <v>3</v>
      </c>
      <c r="S87" s="16">
        <f>_xlfn.XLOOKUP(CustomerCombinedCleaned[[#This Row],[ID]], Table4[ID], Table4[Website], "Not Found", 0)</f>
        <v>3</v>
      </c>
      <c r="T87" s="16">
        <f>_xlfn.XLOOKUP(CustomerCombinedCleaned[[#This Row],[ID]], Table4[ID], Table4[Catalog], "Not Found", 0)</f>
        <v>0</v>
      </c>
      <c r="U87" s="16">
        <f>_xlfn.XLOOKUP(CustomerCombinedCleaned[[#This Row],[ID]], Table4[ID], Table4[Store], "Not Found", 0)</f>
        <v>4</v>
      </c>
      <c r="V87" s="16">
        <f>_xlfn.XLOOKUP(CustomerCombinedCleaned[[#This Row],[ID]], Table4[ID], Table4[Visits], "Not Found", 0)</f>
        <v>7</v>
      </c>
      <c r="W87" s="16">
        <f>_xlfn.XLOOKUP(CustomerCombinedCleaned[[#This Row],[ID]], Table2[ID],Table2[Complaint], "Not Found", 0 )</f>
        <v>0</v>
      </c>
      <c r="X87" s="16">
        <f>_xlfn.XLOOKUP(CustomerCombinedCleaned[[#This Row],[ID]], Table2[ID],Table2[Pilot], "Not Found", 0 )</f>
        <v>0</v>
      </c>
      <c r="Y87" s="16">
        <f>_xlfn.XLOOKUP(CustomerCombinedCleaned[[#This Row],[ID]], Table2[ID],Table2[MC1], "Not Found", 0 )</f>
        <v>0</v>
      </c>
      <c r="Z87" s="16">
        <f>_xlfn.XLOOKUP(CustomerCombinedCleaned[[#This Row],[ID]], Table2[ID],Table2[MC2], "Not Found", 0 )</f>
        <v>0</v>
      </c>
      <c r="AA87" s="16">
        <f>_xlfn.XLOOKUP(CustomerCombinedCleaned[[#This Row],[ID]], Table2[ID],Table2[MC3], "Not Found", 0 )</f>
        <v>0</v>
      </c>
      <c r="AB87" s="16">
        <f>_xlfn.XLOOKUP(CustomerCombinedCleaned[[#This Row],[ID]], Table2[ID],Table2[MC4], "Not Found", 0 )</f>
        <v>0</v>
      </c>
      <c r="AC87" s="16">
        <f>_xlfn.XLOOKUP(CustomerCombinedCleaned[[#This Row],[ID]], Table2[ID],Table2[MC5], "Not Found", 0 )</f>
        <v>0</v>
      </c>
    </row>
    <row r="88" spans="1:29" x14ac:dyDescent="0.3">
      <c r="A88" s="18">
        <v>1719</v>
      </c>
      <c r="B88" s="16">
        <v>117487</v>
      </c>
      <c r="C88" s="16">
        <v>1</v>
      </c>
      <c r="D88" s="16">
        <v>0</v>
      </c>
      <c r="E88" s="16">
        <v>31</v>
      </c>
      <c r="F88" s="17" t="s">
        <v>6</v>
      </c>
      <c r="G88" s="17" t="s">
        <v>10</v>
      </c>
      <c r="H88" s="3" t="s">
        <v>290</v>
      </c>
      <c r="I88" s="5" t="s">
        <v>435</v>
      </c>
      <c r="J88" s="16">
        <f>_xlfn.XLOOKUP(CustomerCombinedCleaned[[#This Row],[ID]], Table4[ID], Table4[Recency], "Not Found", 0)</f>
        <v>37</v>
      </c>
      <c r="K88" s="16">
        <f>_xlfn.XLOOKUP(CustomerCombinedCleaned[[#This Row],[ID]], Table4[ID], Table4[Teas], "Not Found", 0)</f>
        <v>0</v>
      </c>
      <c r="L88" s="16">
        <f>_xlfn.XLOOKUP(CustomerCombinedCleaned[[#This Row],[ID]], Table4[ID], Table4[Fruits], "Not Found", 0)</f>
        <v>0</v>
      </c>
      <c r="M88" s="16">
        <f>_xlfn.XLOOKUP(CustomerCombinedCleaned[[#This Row],[ID]], Table4[ID], Table4[Meats], "Not Found", 0)</f>
        <v>7</v>
      </c>
      <c r="N88" s="16">
        <f>_xlfn.XLOOKUP(CustomerCombinedCleaned[[#This Row],[ID]], Table4[ID], Table4[Seafood], "Not Found", 0)</f>
        <v>47</v>
      </c>
      <c r="O88" s="16">
        <f>_xlfn.XLOOKUP(CustomerCombinedCleaned[[#This Row],[ID]], Table4[ID], Table4[Sweets], "Not Found", 0)</f>
        <v>27</v>
      </c>
      <c r="P88" s="16">
        <f>_xlfn.XLOOKUP(CustomerCombinedCleaned[[#This Row],[ID]], Table4[ID], Table4[Premium], "Not Found", 0)</f>
        <v>40</v>
      </c>
      <c r="Q88" s="16">
        <f>_xlfn.XLOOKUP(CustomerCombinedCleaned[[#This Row],[ID]], Table4[ID], Table4[Regular], "Not Found", 0)</f>
        <v>40</v>
      </c>
      <c r="R88" s="16">
        <f>_xlfn.XLOOKUP(CustomerCombinedCleaned[[#This Row],[ID]], Table4[ID], Table4[Deals], "Not Found", 0)</f>
        <v>1</v>
      </c>
      <c r="S88" s="16">
        <f>_xlfn.XLOOKUP(CustomerCombinedCleaned[[#This Row],[ID]], Table4[ID], Table4[Website], "Not Found", 0)</f>
        <v>1</v>
      </c>
      <c r="T88" s="16">
        <f>_xlfn.XLOOKUP(CustomerCombinedCleaned[[#This Row],[ID]], Table4[ID], Table4[Catalog], "Not Found", 0)</f>
        <v>0</v>
      </c>
      <c r="U88" s="16">
        <f>_xlfn.XLOOKUP(CustomerCombinedCleaned[[#This Row],[ID]], Table4[ID], Table4[Store], "Not Found", 0)</f>
        <v>2</v>
      </c>
      <c r="V88" s="16">
        <f>_xlfn.XLOOKUP(CustomerCombinedCleaned[[#This Row],[ID]], Table4[ID], Table4[Visits], "Not Found", 0)</f>
        <v>7</v>
      </c>
      <c r="W88" s="16">
        <f>_xlfn.XLOOKUP(CustomerCombinedCleaned[[#This Row],[ID]], Table2[ID],Table2[Complaint], "Not Found", 0 )</f>
        <v>0</v>
      </c>
      <c r="X88" s="16">
        <f>_xlfn.XLOOKUP(CustomerCombinedCleaned[[#This Row],[ID]], Table2[ID],Table2[Pilot], "Not Found", 0 )</f>
        <v>0</v>
      </c>
      <c r="Y88" s="16">
        <f>_xlfn.XLOOKUP(CustomerCombinedCleaned[[#This Row],[ID]], Table2[ID],Table2[MC1], "Not Found", 0 )</f>
        <v>0</v>
      </c>
      <c r="Z88" s="16">
        <f>_xlfn.XLOOKUP(CustomerCombinedCleaned[[#This Row],[ID]], Table2[ID],Table2[MC2], "Not Found", 0 )</f>
        <v>0</v>
      </c>
      <c r="AA88" s="16">
        <f>_xlfn.XLOOKUP(CustomerCombinedCleaned[[#This Row],[ID]], Table2[ID],Table2[MC3], "Not Found", 0 )</f>
        <v>0</v>
      </c>
      <c r="AB88" s="16">
        <f>_xlfn.XLOOKUP(CustomerCombinedCleaned[[#This Row],[ID]], Table2[ID],Table2[MC4], "Not Found", 0 )</f>
        <v>0</v>
      </c>
      <c r="AC88" s="16">
        <f>_xlfn.XLOOKUP(CustomerCombinedCleaned[[#This Row],[ID]], Table2[ID],Table2[MC5], "Not Found", 0 )</f>
        <v>0</v>
      </c>
    </row>
    <row r="89" spans="1:29" x14ac:dyDescent="0.3">
      <c r="A89" s="18">
        <v>1029</v>
      </c>
      <c r="B89" s="16">
        <v>110979</v>
      </c>
      <c r="C89" s="16">
        <v>0</v>
      </c>
      <c r="D89" s="16">
        <v>0</v>
      </c>
      <c r="E89" s="16">
        <v>31</v>
      </c>
      <c r="F89" s="17" t="s">
        <v>5</v>
      </c>
      <c r="G89" s="17" t="s">
        <v>12</v>
      </c>
      <c r="H89" s="3" t="s">
        <v>45</v>
      </c>
      <c r="I89" s="5" t="s">
        <v>435</v>
      </c>
      <c r="J89" s="16">
        <f>_xlfn.XLOOKUP(CustomerCombinedCleaned[[#This Row],[ID]], Table4[ID], Table4[Recency], "Not Found", 0)</f>
        <v>34</v>
      </c>
      <c r="K89" s="16">
        <f>_xlfn.XLOOKUP(CustomerCombinedCleaned[[#This Row],[ID]], Table4[ID], Table4[Teas], "Not Found", 0)</f>
        <v>81</v>
      </c>
      <c r="L89" s="16">
        <f>_xlfn.XLOOKUP(CustomerCombinedCleaned[[#This Row],[ID]], Table4[ID], Table4[Fruits], "Not Found", 0)</f>
        <v>40</v>
      </c>
      <c r="M89" s="16">
        <f>_xlfn.XLOOKUP(CustomerCombinedCleaned[[#This Row],[ID]], Table4[ID], Table4[Meats], "Not Found", 0)</f>
        <v>101</v>
      </c>
      <c r="N89" s="16">
        <f>_xlfn.XLOOKUP(CustomerCombinedCleaned[[#This Row],[ID]], Table4[ID], Table4[Seafood], "Not Found", 0)</f>
        <v>20</v>
      </c>
      <c r="O89" s="16">
        <f>_xlfn.XLOOKUP(CustomerCombinedCleaned[[#This Row],[ID]], Table4[ID], Table4[Sweets], "Not Found", 0)</f>
        <v>20</v>
      </c>
      <c r="P89" s="16">
        <f>_xlfn.XLOOKUP(CustomerCombinedCleaned[[#This Row],[ID]], Table4[ID], Table4[Premium], "Not Found", 0)</f>
        <v>40</v>
      </c>
      <c r="Q89" s="16">
        <f>_xlfn.XLOOKUP(CustomerCombinedCleaned[[#This Row],[ID]], Table4[ID], Table4[Regular], "Not Found", 0)</f>
        <v>222</v>
      </c>
      <c r="R89" s="16">
        <f>_xlfn.XLOOKUP(CustomerCombinedCleaned[[#This Row],[ID]], Table4[ID], Table4[Deals], "Not Found", 0)</f>
        <v>2</v>
      </c>
      <c r="S89" s="16">
        <f>_xlfn.XLOOKUP(CustomerCombinedCleaned[[#This Row],[ID]], Table4[ID], Table4[Website], "Not Found", 0)</f>
        <v>3</v>
      </c>
      <c r="T89" s="16">
        <f>_xlfn.XLOOKUP(CustomerCombinedCleaned[[#This Row],[ID]], Table4[ID], Table4[Catalog], "Not Found", 0)</f>
        <v>0</v>
      </c>
      <c r="U89" s="16">
        <f>_xlfn.XLOOKUP(CustomerCombinedCleaned[[#This Row],[ID]], Table4[ID], Table4[Store], "Not Found", 0)</f>
        <v>3</v>
      </c>
      <c r="V89" s="16">
        <f>_xlfn.XLOOKUP(CustomerCombinedCleaned[[#This Row],[ID]], Table4[ID], Table4[Visits], "Not Found", 0)</f>
        <v>5</v>
      </c>
      <c r="W89" s="16">
        <f>_xlfn.XLOOKUP(CustomerCombinedCleaned[[#This Row],[ID]], Table2[ID],Table2[Complaint], "Not Found", 0 )</f>
        <v>0</v>
      </c>
      <c r="X89" s="16">
        <f>_xlfn.XLOOKUP(CustomerCombinedCleaned[[#This Row],[ID]], Table2[ID],Table2[Pilot], "Not Found", 0 )</f>
        <v>0</v>
      </c>
      <c r="Y89" s="16">
        <f>_xlfn.XLOOKUP(CustomerCombinedCleaned[[#This Row],[ID]], Table2[ID],Table2[MC1], "Not Found", 0 )</f>
        <v>0</v>
      </c>
      <c r="Z89" s="16">
        <f>_xlfn.XLOOKUP(CustomerCombinedCleaned[[#This Row],[ID]], Table2[ID],Table2[MC2], "Not Found", 0 )</f>
        <v>0</v>
      </c>
      <c r="AA89" s="16">
        <f>_xlfn.XLOOKUP(CustomerCombinedCleaned[[#This Row],[ID]], Table2[ID],Table2[MC3], "Not Found", 0 )</f>
        <v>0</v>
      </c>
      <c r="AB89" s="16">
        <f>_xlfn.XLOOKUP(CustomerCombinedCleaned[[#This Row],[ID]], Table2[ID],Table2[MC4], "Not Found", 0 )</f>
        <v>0</v>
      </c>
      <c r="AC89" s="16">
        <f>_xlfn.XLOOKUP(CustomerCombinedCleaned[[#This Row],[ID]], Table2[ID],Table2[MC5], "Not Found", 0 )</f>
        <v>0</v>
      </c>
    </row>
    <row r="90" spans="1:29" x14ac:dyDescent="0.3">
      <c r="A90" s="18">
        <v>2119</v>
      </c>
      <c r="B90" s="16">
        <v>110979</v>
      </c>
      <c r="C90" s="16">
        <v>0</v>
      </c>
      <c r="D90" s="16">
        <v>0</v>
      </c>
      <c r="E90" s="16">
        <v>31</v>
      </c>
      <c r="F90" s="17" t="s">
        <v>5</v>
      </c>
      <c r="G90" s="17" t="s">
        <v>12</v>
      </c>
      <c r="H90" s="3" t="s">
        <v>45</v>
      </c>
      <c r="I90" s="5" t="s">
        <v>437</v>
      </c>
      <c r="J90" s="16">
        <f>_xlfn.XLOOKUP(CustomerCombinedCleaned[[#This Row],[ID]], Table4[ID], Table4[Recency], "Not Found", 0)</f>
        <v>34</v>
      </c>
      <c r="K90" s="16">
        <f>_xlfn.XLOOKUP(CustomerCombinedCleaned[[#This Row],[ID]], Table4[ID], Table4[Teas], "Not Found", 0)</f>
        <v>81</v>
      </c>
      <c r="L90" s="16">
        <f>_xlfn.XLOOKUP(CustomerCombinedCleaned[[#This Row],[ID]], Table4[ID], Table4[Fruits], "Not Found", 0)</f>
        <v>40</v>
      </c>
      <c r="M90" s="16">
        <f>_xlfn.XLOOKUP(CustomerCombinedCleaned[[#This Row],[ID]], Table4[ID], Table4[Meats], "Not Found", 0)</f>
        <v>101</v>
      </c>
      <c r="N90" s="16">
        <f>_xlfn.XLOOKUP(CustomerCombinedCleaned[[#This Row],[ID]], Table4[ID], Table4[Seafood], "Not Found", 0)</f>
        <v>20</v>
      </c>
      <c r="O90" s="16">
        <f>_xlfn.XLOOKUP(CustomerCombinedCleaned[[#This Row],[ID]], Table4[ID], Table4[Sweets], "Not Found", 0)</f>
        <v>20</v>
      </c>
      <c r="P90" s="16">
        <f>_xlfn.XLOOKUP(CustomerCombinedCleaned[[#This Row],[ID]], Table4[ID], Table4[Premium], "Not Found", 0)</f>
        <v>40</v>
      </c>
      <c r="Q90" s="16">
        <f>_xlfn.XLOOKUP(CustomerCombinedCleaned[[#This Row],[ID]], Table4[ID], Table4[Regular], "Not Found", 0)</f>
        <v>222</v>
      </c>
      <c r="R90" s="16">
        <f>_xlfn.XLOOKUP(CustomerCombinedCleaned[[#This Row],[ID]], Table4[ID], Table4[Deals], "Not Found", 0)</f>
        <v>2</v>
      </c>
      <c r="S90" s="16">
        <f>_xlfn.XLOOKUP(CustomerCombinedCleaned[[#This Row],[ID]], Table4[ID], Table4[Website], "Not Found", 0)</f>
        <v>3</v>
      </c>
      <c r="T90" s="16">
        <f>_xlfn.XLOOKUP(CustomerCombinedCleaned[[#This Row],[ID]], Table4[ID], Table4[Catalog], "Not Found", 0)</f>
        <v>0</v>
      </c>
      <c r="U90" s="16">
        <f>_xlfn.XLOOKUP(CustomerCombinedCleaned[[#This Row],[ID]], Table4[ID], Table4[Store], "Not Found", 0)</f>
        <v>3</v>
      </c>
      <c r="V90" s="16">
        <f>_xlfn.XLOOKUP(CustomerCombinedCleaned[[#This Row],[ID]], Table4[ID], Table4[Visits], "Not Found", 0)</f>
        <v>5</v>
      </c>
      <c r="W90" s="16">
        <f>_xlfn.XLOOKUP(CustomerCombinedCleaned[[#This Row],[ID]], Table2[ID],Table2[Complaint], "Not Found", 0 )</f>
        <v>0</v>
      </c>
      <c r="X90" s="16">
        <f>_xlfn.XLOOKUP(CustomerCombinedCleaned[[#This Row],[ID]], Table2[ID],Table2[Pilot], "Not Found", 0 )</f>
        <v>0</v>
      </c>
      <c r="Y90" s="16">
        <f>_xlfn.XLOOKUP(CustomerCombinedCleaned[[#This Row],[ID]], Table2[ID],Table2[MC1], "Not Found", 0 )</f>
        <v>0</v>
      </c>
      <c r="Z90" s="16">
        <f>_xlfn.XLOOKUP(CustomerCombinedCleaned[[#This Row],[ID]], Table2[ID],Table2[MC2], "Not Found", 0 )</f>
        <v>0</v>
      </c>
      <c r="AA90" s="16">
        <f>_xlfn.XLOOKUP(CustomerCombinedCleaned[[#This Row],[ID]], Table2[ID],Table2[MC3], "Not Found", 0 )</f>
        <v>0</v>
      </c>
      <c r="AB90" s="16">
        <f>_xlfn.XLOOKUP(CustomerCombinedCleaned[[#This Row],[ID]], Table2[ID],Table2[MC4], "Not Found", 0 )</f>
        <v>0</v>
      </c>
      <c r="AC90" s="16">
        <f>_xlfn.XLOOKUP(CustomerCombinedCleaned[[#This Row],[ID]], Table2[ID],Table2[MC5], "Not Found", 0 )</f>
        <v>0</v>
      </c>
    </row>
    <row r="91" spans="1:29" x14ac:dyDescent="0.3">
      <c r="A91" s="18">
        <v>1412</v>
      </c>
      <c r="B91" s="16">
        <v>110404</v>
      </c>
      <c r="C91" s="16">
        <v>1</v>
      </c>
      <c r="D91" s="16">
        <v>0</v>
      </c>
      <c r="E91" s="16">
        <v>31</v>
      </c>
      <c r="F91" s="17" t="s">
        <v>8</v>
      </c>
      <c r="G91" s="17" t="s">
        <v>11</v>
      </c>
      <c r="H91" s="3" t="s">
        <v>642</v>
      </c>
      <c r="I91" s="5" t="s">
        <v>438</v>
      </c>
      <c r="J91" s="16">
        <f>_xlfn.XLOOKUP(CustomerCombinedCleaned[[#This Row],[ID]], Table4[ID], Table4[Recency], "Not Found", 0)</f>
        <v>52</v>
      </c>
      <c r="K91" s="16">
        <f>_xlfn.XLOOKUP(CustomerCombinedCleaned[[#This Row],[ID]], Table4[ID], Table4[Teas], "Not Found", 0)</f>
        <v>21</v>
      </c>
      <c r="L91" s="16">
        <f>_xlfn.XLOOKUP(CustomerCombinedCleaned[[#This Row],[ID]], Table4[ID], Table4[Fruits], "Not Found", 0)</f>
        <v>21</v>
      </c>
      <c r="M91" s="16">
        <f>_xlfn.XLOOKUP(CustomerCombinedCleaned[[#This Row],[ID]], Table4[ID], Table4[Meats], "Not Found", 0)</f>
        <v>117</v>
      </c>
      <c r="N91" s="16">
        <f>_xlfn.XLOOKUP(CustomerCombinedCleaned[[#This Row],[ID]], Table4[ID], Table4[Seafood], "Not Found", 0)</f>
        <v>106</v>
      </c>
      <c r="O91" s="16">
        <f>_xlfn.XLOOKUP(CustomerCombinedCleaned[[#This Row],[ID]], Table4[ID], Table4[Sweets], "Not Found", 0)</f>
        <v>64</v>
      </c>
      <c r="P91" s="16">
        <f>_xlfn.XLOOKUP(CustomerCombinedCleaned[[#This Row],[ID]], Table4[ID], Table4[Premium], "Not Found", 0)</f>
        <v>127</v>
      </c>
      <c r="Q91" s="16">
        <f>_xlfn.XLOOKUP(CustomerCombinedCleaned[[#This Row],[ID]], Table4[ID], Table4[Regular], "Not Found", 0)</f>
        <v>202</v>
      </c>
      <c r="R91" s="16">
        <f>_xlfn.XLOOKUP(CustomerCombinedCleaned[[#This Row],[ID]], Table4[ID], Table4[Deals], "Not Found", 0)</f>
        <v>2</v>
      </c>
      <c r="S91" s="16">
        <f>_xlfn.XLOOKUP(CustomerCombinedCleaned[[#This Row],[ID]], Table4[ID], Table4[Website], "Not Found", 0)</f>
        <v>1</v>
      </c>
      <c r="T91" s="16">
        <f>_xlfn.XLOOKUP(CustomerCombinedCleaned[[#This Row],[ID]], Table4[ID], Table4[Catalog], "Not Found", 0)</f>
        <v>0</v>
      </c>
      <c r="U91" s="16">
        <f>_xlfn.XLOOKUP(CustomerCombinedCleaned[[#This Row],[ID]], Table4[ID], Table4[Store], "Not Found", 0)</f>
        <v>4</v>
      </c>
      <c r="V91" s="16">
        <f>_xlfn.XLOOKUP(CustomerCombinedCleaned[[#This Row],[ID]], Table4[ID], Table4[Visits], "Not Found", 0)</f>
        <v>5</v>
      </c>
      <c r="W91" s="16">
        <f>_xlfn.XLOOKUP(CustomerCombinedCleaned[[#This Row],[ID]], Table2[ID],Table2[Complaint], "Not Found", 0 )</f>
        <v>0</v>
      </c>
      <c r="X91" s="16">
        <f>_xlfn.XLOOKUP(CustomerCombinedCleaned[[#This Row],[ID]], Table2[ID],Table2[Pilot], "Not Found", 0 )</f>
        <v>0</v>
      </c>
      <c r="Y91" s="16">
        <f>_xlfn.XLOOKUP(CustomerCombinedCleaned[[#This Row],[ID]], Table2[ID],Table2[MC1], "Not Found", 0 )</f>
        <v>0</v>
      </c>
      <c r="Z91" s="16">
        <f>_xlfn.XLOOKUP(CustomerCombinedCleaned[[#This Row],[ID]], Table2[ID],Table2[MC2], "Not Found", 0 )</f>
        <v>0</v>
      </c>
      <c r="AA91" s="16">
        <f>_xlfn.XLOOKUP(CustomerCombinedCleaned[[#This Row],[ID]], Table2[ID],Table2[MC3], "Not Found", 0 )</f>
        <v>0</v>
      </c>
      <c r="AB91" s="16">
        <f>_xlfn.XLOOKUP(CustomerCombinedCleaned[[#This Row],[ID]], Table2[ID],Table2[MC4], "Not Found", 0 )</f>
        <v>0</v>
      </c>
      <c r="AC91" s="16">
        <f>_xlfn.XLOOKUP(CustomerCombinedCleaned[[#This Row],[ID]], Table2[ID],Table2[MC5], "Not Found", 0 )</f>
        <v>0</v>
      </c>
    </row>
    <row r="92" spans="1:29" x14ac:dyDescent="0.3">
      <c r="A92" s="18">
        <v>2512</v>
      </c>
      <c r="B92" s="16">
        <v>109255</v>
      </c>
      <c r="C92" s="16">
        <v>1</v>
      </c>
      <c r="D92" s="16">
        <v>0</v>
      </c>
      <c r="E92" s="16">
        <v>31</v>
      </c>
      <c r="F92" s="17" t="s">
        <v>7</v>
      </c>
      <c r="G92" s="17" t="s">
        <v>11</v>
      </c>
      <c r="H92" s="3" t="s">
        <v>128</v>
      </c>
      <c r="I92" s="5" t="s">
        <v>439</v>
      </c>
      <c r="J92" s="16">
        <f>_xlfn.XLOOKUP(CustomerCombinedCleaned[[#This Row],[ID]], Table4[ID], Table4[Recency], "Not Found", 0)</f>
        <v>91</v>
      </c>
      <c r="K92" s="16">
        <f>_xlfn.XLOOKUP(CustomerCombinedCleaned[[#This Row],[ID]], Table4[ID], Table4[Teas], "Not Found", 0)</f>
        <v>106</v>
      </c>
      <c r="L92" s="16">
        <f>_xlfn.XLOOKUP(CustomerCombinedCleaned[[#This Row],[ID]], Table4[ID], Table4[Fruits], "Not Found", 0)</f>
        <v>0</v>
      </c>
      <c r="M92" s="16">
        <f>_xlfn.XLOOKUP(CustomerCombinedCleaned[[#This Row],[ID]], Table4[ID], Table4[Meats], "Not Found", 0)</f>
        <v>83</v>
      </c>
      <c r="N92" s="16">
        <f>_xlfn.XLOOKUP(CustomerCombinedCleaned[[#This Row],[ID]], Table4[ID], Table4[Seafood], "Not Found", 0)</f>
        <v>24</v>
      </c>
      <c r="O92" s="16">
        <f>_xlfn.XLOOKUP(CustomerCombinedCleaned[[#This Row],[ID]], Table4[ID], Table4[Sweets], "Not Found", 0)</f>
        <v>0</v>
      </c>
      <c r="P92" s="16">
        <f>_xlfn.XLOOKUP(CustomerCombinedCleaned[[#This Row],[ID]], Table4[ID], Table4[Premium], "Not Found", 0)</f>
        <v>47</v>
      </c>
      <c r="Q92" s="16">
        <f>_xlfn.XLOOKUP(CustomerCombinedCleaned[[#This Row],[ID]], Table4[ID], Table4[Regular], "Not Found", 0)</f>
        <v>165</v>
      </c>
      <c r="R92" s="16">
        <f>_xlfn.XLOOKUP(CustomerCombinedCleaned[[#This Row],[ID]], Table4[ID], Table4[Deals], "Not Found", 0)</f>
        <v>1</v>
      </c>
      <c r="S92" s="16">
        <f>_xlfn.XLOOKUP(CustomerCombinedCleaned[[#This Row],[ID]], Table4[ID], Table4[Website], "Not Found", 0)</f>
        <v>1</v>
      </c>
      <c r="T92" s="16">
        <f>_xlfn.XLOOKUP(CustomerCombinedCleaned[[#This Row],[ID]], Table4[ID], Table4[Catalog], "Not Found", 0)</f>
        <v>1</v>
      </c>
      <c r="U92" s="16">
        <f>_xlfn.XLOOKUP(CustomerCombinedCleaned[[#This Row],[ID]], Table4[ID], Table4[Store], "Not Found", 0)</f>
        <v>2</v>
      </c>
      <c r="V92" s="16">
        <f>_xlfn.XLOOKUP(CustomerCombinedCleaned[[#This Row],[ID]], Table4[ID], Table4[Visits], "Not Found", 0)</f>
        <v>8</v>
      </c>
      <c r="W92" s="16">
        <f>_xlfn.XLOOKUP(CustomerCombinedCleaned[[#This Row],[ID]], Table2[ID],Table2[Complaint], "Not Found", 0 )</f>
        <v>0</v>
      </c>
      <c r="X92" s="16">
        <f>_xlfn.XLOOKUP(CustomerCombinedCleaned[[#This Row],[ID]], Table2[ID],Table2[Pilot], "Not Found", 0 )</f>
        <v>0</v>
      </c>
      <c r="Y92" s="16">
        <f>_xlfn.XLOOKUP(CustomerCombinedCleaned[[#This Row],[ID]], Table2[ID],Table2[MC1], "Not Found", 0 )</f>
        <v>0</v>
      </c>
      <c r="Z92" s="16">
        <f>_xlfn.XLOOKUP(CustomerCombinedCleaned[[#This Row],[ID]], Table2[ID],Table2[MC2], "Not Found", 0 )</f>
        <v>0</v>
      </c>
      <c r="AA92" s="16">
        <f>_xlfn.XLOOKUP(CustomerCombinedCleaned[[#This Row],[ID]], Table2[ID],Table2[MC3], "Not Found", 0 )</f>
        <v>0</v>
      </c>
      <c r="AB92" s="16">
        <f>_xlfn.XLOOKUP(CustomerCombinedCleaned[[#This Row],[ID]], Table2[ID],Table2[MC4], "Not Found", 0 )</f>
        <v>0</v>
      </c>
      <c r="AC92" s="16">
        <f>_xlfn.XLOOKUP(CustomerCombinedCleaned[[#This Row],[ID]], Table2[ID],Table2[MC5], "Not Found", 0 )</f>
        <v>0</v>
      </c>
    </row>
    <row r="93" spans="1:29" x14ac:dyDescent="0.3">
      <c r="A93" s="18">
        <v>1684</v>
      </c>
      <c r="B93" s="16">
        <v>190247</v>
      </c>
      <c r="C93" s="16">
        <v>0</v>
      </c>
      <c r="D93" s="16">
        <v>0</v>
      </c>
      <c r="E93" s="16">
        <v>32</v>
      </c>
      <c r="F93" s="17" t="s">
        <v>7</v>
      </c>
      <c r="G93" s="17" t="s">
        <v>12</v>
      </c>
      <c r="H93" s="3" t="s">
        <v>552</v>
      </c>
      <c r="I93" s="5" t="s">
        <v>439</v>
      </c>
      <c r="J93" s="16">
        <f>_xlfn.XLOOKUP(CustomerCombinedCleaned[[#This Row],[ID]], Table4[ID], Table4[Recency], "Not Found", 0)</f>
        <v>27</v>
      </c>
      <c r="K93" s="16">
        <f>_xlfn.XLOOKUP(CustomerCombinedCleaned[[#This Row],[ID]], Table4[ID], Table4[Teas], "Not Found", 0)</f>
        <v>2496</v>
      </c>
      <c r="L93" s="16">
        <f>_xlfn.XLOOKUP(CustomerCombinedCleaned[[#This Row],[ID]], Table4[ID], Table4[Fruits], "Not Found", 0)</f>
        <v>67</v>
      </c>
      <c r="M93" s="16">
        <f>_xlfn.XLOOKUP(CustomerCombinedCleaned[[#This Row],[ID]], Table4[ID], Table4[Meats], "Not Found", 0)</f>
        <v>742</v>
      </c>
      <c r="N93" s="16">
        <f>_xlfn.XLOOKUP(CustomerCombinedCleaned[[#This Row],[ID]], Table4[ID], Table4[Seafood], "Not Found", 0)</f>
        <v>44</v>
      </c>
      <c r="O93" s="16">
        <f>_xlfn.XLOOKUP(CustomerCombinedCleaned[[#This Row],[ID]], Table4[ID], Table4[Sweets], "Not Found", 0)</f>
        <v>34</v>
      </c>
      <c r="P93" s="16">
        <f>_xlfn.XLOOKUP(CustomerCombinedCleaned[[#This Row],[ID]], Table4[ID], Table4[Premium], "Not Found", 0)</f>
        <v>34</v>
      </c>
      <c r="Q93" s="16">
        <f>_xlfn.XLOOKUP(CustomerCombinedCleaned[[#This Row],[ID]], Table4[ID], Table4[Regular], "Not Found", 0)</f>
        <v>3350</v>
      </c>
      <c r="R93" s="16">
        <f>_xlfn.XLOOKUP(CustomerCombinedCleaned[[#This Row],[ID]], Table4[ID], Table4[Deals], "Not Found", 0)</f>
        <v>1</v>
      </c>
      <c r="S93" s="16">
        <f>_xlfn.XLOOKUP(CustomerCombinedCleaned[[#This Row],[ID]], Table4[ID], Table4[Website], "Not Found", 0)</f>
        <v>3</v>
      </c>
      <c r="T93" s="16">
        <f>_xlfn.XLOOKUP(CustomerCombinedCleaned[[#This Row],[ID]], Table4[ID], Table4[Catalog], "Not Found", 0)</f>
        <v>4</v>
      </c>
      <c r="U93" s="16">
        <f>_xlfn.XLOOKUP(CustomerCombinedCleaned[[#This Row],[ID]], Table4[ID], Table4[Store], "Not Found", 0)</f>
        <v>7</v>
      </c>
      <c r="V93" s="16">
        <f>_xlfn.XLOOKUP(CustomerCombinedCleaned[[#This Row],[ID]], Table4[ID], Table4[Visits], "Not Found", 0)</f>
        <v>1</v>
      </c>
      <c r="W93" s="16">
        <f>_xlfn.XLOOKUP(CustomerCombinedCleaned[[#This Row],[ID]], Table2[ID],Table2[Complaint], "Not Found", 0 )</f>
        <v>0</v>
      </c>
      <c r="X93" s="16">
        <f>_xlfn.XLOOKUP(CustomerCombinedCleaned[[#This Row],[ID]], Table2[ID],Table2[Pilot], "Not Found", 0 )</f>
        <v>1</v>
      </c>
      <c r="Y93" s="16">
        <f>_xlfn.XLOOKUP(CustomerCombinedCleaned[[#This Row],[ID]], Table2[ID],Table2[MC1], "Not Found", 0 )</f>
        <v>1</v>
      </c>
      <c r="Z93" s="16">
        <f>_xlfn.XLOOKUP(CustomerCombinedCleaned[[#This Row],[ID]], Table2[ID],Table2[MC2], "Not Found", 0 )</f>
        <v>0</v>
      </c>
      <c r="AA93" s="16">
        <f>_xlfn.XLOOKUP(CustomerCombinedCleaned[[#This Row],[ID]], Table2[ID],Table2[MC3], "Not Found", 0 )</f>
        <v>0</v>
      </c>
      <c r="AB93" s="16">
        <f>_xlfn.XLOOKUP(CustomerCombinedCleaned[[#This Row],[ID]], Table2[ID],Table2[MC4], "Not Found", 0 )</f>
        <v>1</v>
      </c>
      <c r="AC93" s="16">
        <f>_xlfn.XLOOKUP(CustomerCombinedCleaned[[#This Row],[ID]], Table2[ID],Table2[MC5], "Not Found", 0 )</f>
        <v>1</v>
      </c>
    </row>
    <row r="94" spans="1:29" x14ac:dyDescent="0.3">
      <c r="A94" s="18">
        <v>2468</v>
      </c>
      <c r="B94" s="16">
        <v>187679</v>
      </c>
      <c r="C94" s="16">
        <v>0</v>
      </c>
      <c r="D94" s="16">
        <v>0</v>
      </c>
      <c r="E94" s="16">
        <v>32</v>
      </c>
      <c r="F94" s="17" t="s">
        <v>8</v>
      </c>
      <c r="G94" s="17" t="s">
        <v>11</v>
      </c>
      <c r="H94" s="3" t="s">
        <v>558</v>
      </c>
      <c r="I94" s="5" t="s">
        <v>438</v>
      </c>
      <c r="J94" s="16">
        <f>_xlfn.XLOOKUP(CustomerCombinedCleaned[[#This Row],[ID]], Table4[ID], Table4[Recency], "Not Found", 0)</f>
        <v>62</v>
      </c>
      <c r="K94" s="16">
        <f>_xlfn.XLOOKUP(CustomerCombinedCleaned[[#This Row],[ID]], Table4[ID], Table4[Teas], "Not Found", 0)</f>
        <v>2695</v>
      </c>
      <c r="L94" s="16">
        <f>_xlfn.XLOOKUP(CustomerCombinedCleaned[[#This Row],[ID]], Table4[ID], Table4[Fruits], "Not Found", 0)</f>
        <v>368</v>
      </c>
      <c r="M94" s="16">
        <f>_xlfn.XLOOKUP(CustomerCombinedCleaned[[#This Row],[ID]], Table4[ID], Table4[Meats], "Not Found", 0)</f>
        <v>1745</v>
      </c>
      <c r="N94" s="16">
        <f>_xlfn.XLOOKUP(CustomerCombinedCleaned[[#This Row],[ID]], Table4[ID], Table4[Seafood], "Not Found", 0)</f>
        <v>208</v>
      </c>
      <c r="O94" s="16">
        <f>_xlfn.XLOOKUP(CustomerCombinedCleaned[[#This Row],[ID]], Table4[ID], Table4[Sweets], "Not Found", 0)</f>
        <v>317</v>
      </c>
      <c r="P94" s="16">
        <f>_xlfn.XLOOKUP(CustomerCombinedCleaned[[#This Row],[ID]], Table4[ID], Table4[Premium], "Not Found", 0)</f>
        <v>71</v>
      </c>
      <c r="Q94" s="16">
        <f>_xlfn.XLOOKUP(CustomerCombinedCleaned[[#This Row],[ID]], Table4[ID], Table4[Regular], "Not Found", 0)</f>
        <v>5261</v>
      </c>
      <c r="R94" s="16">
        <f>_xlfn.XLOOKUP(CustomerCombinedCleaned[[#This Row],[ID]], Table4[ID], Table4[Deals], "Not Found", 0)</f>
        <v>1</v>
      </c>
      <c r="S94" s="16">
        <f>_xlfn.XLOOKUP(CustomerCombinedCleaned[[#This Row],[ID]], Table4[ID], Table4[Website], "Not Found", 0)</f>
        <v>7</v>
      </c>
      <c r="T94" s="16">
        <f>_xlfn.XLOOKUP(CustomerCombinedCleaned[[#This Row],[ID]], Table4[ID], Table4[Catalog], "Not Found", 0)</f>
        <v>11</v>
      </c>
      <c r="U94" s="16">
        <f>_xlfn.XLOOKUP(CustomerCombinedCleaned[[#This Row],[ID]], Table4[ID], Table4[Store], "Not Found", 0)</f>
        <v>10</v>
      </c>
      <c r="V94" s="16">
        <f>_xlfn.XLOOKUP(CustomerCombinedCleaned[[#This Row],[ID]], Table4[ID], Table4[Visits], "Not Found", 0)</f>
        <v>4</v>
      </c>
      <c r="W94" s="16">
        <f>_xlfn.XLOOKUP(CustomerCombinedCleaned[[#This Row],[ID]], Table2[ID],Table2[Complaint], "Not Found", 0 )</f>
        <v>0</v>
      </c>
      <c r="X94" s="16">
        <f>_xlfn.XLOOKUP(CustomerCombinedCleaned[[#This Row],[ID]], Table2[ID],Table2[Pilot], "Not Found", 0 )</f>
        <v>1</v>
      </c>
      <c r="Y94" s="16">
        <f>_xlfn.XLOOKUP(CustomerCombinedCleaned[[#This Row],[ID]], Table2[ID],Table2[MC1], "Not Found", 0 )</f>
        <v>1</v>
      </c>
      <c r="Z94" s="16">
        <f>_xlfn.XLOOKUP(CustomerCombinedCleaned[[#This Row],[ID]], Table2[ID],Table2[MC2], "Not Found", 0 )</f>
        <v>0</v>
      </c>
      <c r="AA94" s="16">
        <f>_xlfn.XLOOKUP(CustomerCombinedCleaned[[#This Row],[ID]], Table2[ID],Table2[MC3], "Not Found", 0 )</f>
        <v>1</v>
      </c>
      <c r="AB94" s="16">
        <f>_xlfn.XLOOKUP(CustomerCombinedCleaned[[#This Row],[ID]], Table2[ID],Table2[MC4], "Not Found", 0 )</f>
        <v>0</v>
      </c>
      <c r="AC94" s="16">
        <f>_xlfn.XLOOKUP(CustomerCombinedCleaned[[#This Row],[ID]], Table2[ID],Table2[MC5], "Not Found", 0 )</f>
        <v>1</v>
      </c>
    </row>
    <row r="95" spans="1:29" x14ac:dyDescent="0.3">
      <c r="A95" s="18">
        <v>1951</v>
      </c>
      <c r="B95" s="16">
        <v>184219</v>
      </c>
      <c r="C95" s="16">
        <v>0</v>
      </c>
      <c r="D95" s="16">
        <v>0</v>
      </c>
      <c r="E95" s="16">
        <v>32</v>
      </c>
      <c r="F95" s="17" t="s">
        <v>6</v>
      </c>
      <c r="G95" s="17" t="s">
        <v>11</v>
      </c>
      <c r="H95" s="3" t="s">
        <v>571</v>
      </c>
      <c r="I95" s="5" t="s">
        <v>437</v>
      </c>
      <c r="J95" s="16">
        <f>_xlfn.XLOOKUP(CustomerCombinedCleaned[[#This Row],[ID]], Table4[ID], Table4[Recency], "Not Found", 0)</f>
        <v>27</v>
      </c>
      <c r="K95" s="16">
        <f>_xlfn.XLOOKUP(CustomerCombinedCleaned[[#This Row],[ID]], Table4[ID], Table4[Teas], "Not Found", 0)</f>
        <v>949</v>
      </c>
      <c r="L95" s="16">
        <f>_xlfn.XLOOKUP(CustomerCombinedCleaned[[#This Row],[ID]], Table4[ID], Table4[Fruits], "Not Found", 0)</f>
        <v>300</v>
      </c>
      <c r="M95" s="16">
        <f>_xlfn.XLOOKUP(CustomerCombinedCleaned[[#This Row],[ID]], Table4[ID], Table4[Meats], "Not Found", 0)</f>
        <v>875</v>
      </c>
      <c r="N95" s="16">
        <f>_xlfn.XLOOKUP(CustomerCombinedCleaned[[#This Row],[ID]], Table4[ID], Table4[Seafood], "Not Found", 0)</f>
        <v>98</v>
      </c>
      <c r="O95" s="16">
        <f>_xlfn.XLOOKUP(CustomerCombinedCleaned[[#This Row],[ID]], Table4[ID], Table4[Sweets], "Not Found", 0)</f>
        <v>300</v>
      </c>
      <c r="P95" s="16">
        <f>_xlfn.XLOOKUP(CustomerCombinedCleaned[[#This Row],[ID]], Table4[ID], Table4[Premium], "Not Found", 0)</f>
        <v>98</v>
      </c>
      <c r="Q95" s="16">
        <f>_xlfn.XLOOKUP(CustomerCombinedCleaned[[#This Row],[ID]], Table4[ID], Table4[Regular], "Not Found", 0)</f>
        <v>2424</v>
      </c>
      <c r="R95" s="16">
        <f>_xlfn.XLOOKUP(CustomerCombinedCleaned[[#This Row],[ID]], Table4[ID], Table4[Deals], "Not Found", 0)</f>
        <v>1</v>
      </c>
      <c r="S95" s="16">
        <f>_xlfn.XLOOKUP(CustomerCombinedCleaned[[#This Row],[ID]], Table4[ID], Table4[Website], "Not Found", 0)</f>
        <v>3</v>
      </c>
      <c r="T95" s="16">
        <f>_xlfn.XLOOKUP(CustomerCombinedCleaned[[#This Row],[ID]], Table4[ID], Table4[Catalog], "Not Found", 0)</f>
        <v>4</v>
      </c>
      <c r="U95" s="16">
        <f>_xlfn.XLOOKUP(CustomerCombinedCleaned[[#This Row],[ID]], Table4[ID], Table4[Store], "Not Found", 0)</f>
        <v>10</v>
      </c>
      <c r="V95" s="16">
        <f>_xlfn.XLOOKUP(CustomerCombinedCleaned[[#This Row],[ID]], Table4[ID], Table4[Visits], "Not Found", 0)</f>
        <v>1</v>
      </c>
      <c r="W95" s="16">
        <f>_xlfn.XLOOKUP(CustomerCombinedCleaned[[#This Row],[ID]], Table2[ID],Table2[Complaint], "Not Found", 0 )</f>
        <v>0</v>
      </c>
      <c r="X95" s="16">
        <f>_xlfn.XLOOKUP(CustomerCombinedCleaned[[#This Row],[ID]], Table2[ID],Table2[Pilot], "Not Found", 0 )</f>
        <v>0</v>
      </c>
      <c r="Y95" s="16">
        <f>_xlfn.XLOOKUP(CustomerCombinedCleaned[[#This Row],[ID]], Table2[ID],Table2[MC1], "Not Found", 0 )</f>
        <v>0</v>
      </c>
      <c r="Z95" s="16">
        <f>_xlfn.XLOOKUP(CustomerCombinedCleaned[[#This Row],[ID]], Table2[ID],Table2[MC2], "Not Found", 0 )</f>
        <v>0</v>
      </c>
      <c r="AA95" s="16">
        <f>_xlfn.XLOOKUP(CustomerCombinedCleaned[[#This Row],[ID]], Table2[ID],Table2[MC3], "Not Found", 0 )</f>
        <v>0</v>
      </c>
      <c r="AB95" s="16">
        <f>_xlfn.XLOOKUP(CustomerCombinedCleaned[[#This Row],[ID]], Table2[ID],Table2[MC4], "Not Found", 0 )</f>
        <v>0</v>
      </c>
      <c r="AC95" s="16">
        <f>_xlfn.XLOOKUP(CustomerCombinedCleaned[[#This Row],[ID]], Table2[ID],Table2[MC5], "Not Found", 0 )</f>
        <v>0</v>
      </c>
    </row>
    <row r="96" spans="1:29" x14ac:dyDescent="0.3">
      <c r="A96" s="18">
        <v>2486</v>
      </c>
      <c r="B96" s="16">
        <v>184219</v>
      </c>
      <c r="C96" s="16">
        <v>0</v>
      </c>
      <c r="D96" s="16">
        <v>0</v>
      </c>
      <c r="E96" s="16">
        <v>32</v>
      </c>
      <c r="F96" s="17" t="s">
        <v>6</v>
      </c>
      <c r="G96" s="17" t="s">
        <v>11</v>
      </c>
      <c r="H96" s="3" t="s">
        <v>571</v>
      </c>
      <c r="I96" s="5" t="s">
        <v>438</v>
      </c>
      <c r="J96" s="16">
        <f>_xlfn.XLOOKUP(CustomerCombinedCleaned[[#This Row],[ID]], Table4[ID], Table4[Recency], "Not Found", 0)</f>
        <v>27</v>
      </c>
      <c r="K96" s="16">
        <f>_xlfn.XLOOKUP(CustomerCombinedCleaned[[#This Row],[ID]], Table4[ID], Table4[Teas], "Not Found", 0)</f>
        <v>949</v>
      </c>
      <c r="L96" s="16">
        <f>_xlfn.XLOOKUP(CustomerCombinedCleaned[[#This Row],[ID]], Table4[ID], Table4[Fruits], "Not Found", 0)</f>
        <v>300</v>
      </c>
      <c r="M96" s="16">
        <f>_xlfn.XLOOKUP(CustomerCombinedCleaned[[#This Row],[ID]], Table4[ID], Table4[Meats], "Not Found", 0)</f>
        <v>875</v>
      </c>
      <c r="N96" s="16">
        <f>_xlfn.XLOOKUP(CustomerCombinedCleaned[[#This Row],[ID]], Table4[ID], Table4[Seafood], "Not Found", 0)</f>
        <v>98</v>
      </c>
      <c r="O96" s="16">
        <f>_xlfn.XLOOKUP(CustomerCombinedCleaned[[#This Row],[ID]], Table4[ID], Table4[Sweets], "Not Found", 0)</f>
        <v>300</v>
      </c>
      <c r="P96" s="16">
        <f>_xlfn.XLOOKUP(CustomerCombinedCleaned[[#This Row],[ID]], Table4[ID], Table4[Premium], "Not Found", 0)</f>
        <v>98</v>
      </c>
      <c r="Q96" s="16">
        <f>_xlfn.XLOOKUP(CustomerCombinedCleaned[[#This Row],[ID]], Table4[ID], Table4[Regular], "Not Found", 0)</f>
        <v>2424</v>
      </c>
      <c r="R96" s="16">
        <f>_xlfn.XLOOKUP(CustomerCombinedCleaned[[#This Row],[ID]], Table4[ID], Table4[Deals], "Not Found", 0)</f>
        <v>1</v>
      </c>
      <c r="S96" s="16">
        <f>_xlfn.XLOOKUP(CustomerCombinedCleaned[[#This Row],[ID]], Table4[ID], Table4[Website], "Not Found", 0)</f>
        <v>3</v>
      </c>
      <c r="T96" s="16">
        <f>_xlfn.XLOOKUP(CustomerCombinedCleaned[[#This Row],[ID]], Table4[ID], Table4[Catalog], "Not Found", 0)</f>
        <v>4</v>
      </c>
      <c r="U96" s="16">
        <f>_xlfn.XLOOKUP(CustomerCombinedCleaned[[#This Row],[ID]], Table4[ID], Table4[Store], "Not Found", 0)</f>
        <v>10</v>
      </c>
      <c r="V96" s="16">
        <f>_xlfn.XLOOKUP(CustomerCombinedCleaned[[#This Row],[ID]], Table4[ID], Table4[Visits], "Not Found", 0)</f>
        <v>1</v>
      </c>
      <c r="W96" s="16">
        <f>_xlfn.XLOOKUP(CustomerCombinedCleaned[[#This Row],[ID]], Table2[ID],Table2[Complaint], "Not Found", 0 )</f>
        <v>0</v>
      </c>
      <c r="X96" s="16">
        <f>_xlfn.XLOOKUP(CustomerCombinedCleaned[[#This Row],[ID]], Table2[ID],Table2[Pilot], "Not Found", 0 )</f>
        <v>0</v>
      </c>
      <c r="Y96" s="16">
        <f>_xlfn.XLOOKUP(CustomerCombinedCleaned[[#This Row],[ID]], Table2[ID],Table2[MC1], "Not Found", 0 )</f>
        <v>0</v>
      </c>
      <c r="Z96" s="16">
        <f>_xlfn.XLOOKUP(CustomerCombinedCleaned[[#This Row],[ID]], Table2[ID],Table2[MC2], "Not Found", 0 )</f>
        <v>0</v>
      </c>
      <c r="AA96" s="16">
        <f>_xlfn.XLOOKUP(CustomerCombinedCleaned[[#This Row],[ID]], Table2[ID],Table2[MC3], "Not Found", 0 )</f>
        <v>0</v>
      </c>
      <c r="AB96" s="16">
        <f>_xlfn.XLOOKUP(CustomerCombinedCleaned[[#This Row],[ID]], Table2[ID],Table2[MC4], "Not Found", 0 )</f>
        <v>0</v>
      </c>
      <c r="AC96" s="16">
        <f>_xlfn.XLOOKUP(CustomerCombinedCleaned[[#This Row],[ID]], Table2[ID],Table2[MC5], "Not Found", 0 )</f>
        <v>0</v>
      </c>
    </row>
    <row r="97" spans="1:29" x14ac:dyDescent="0.3">
      <c r="A97" s="18">
        <v>1743</v>
      </c>
      <c r="B97" s="16">
        <v>178285</v>
      </c>
      <c r="C97" s="16">
        <v>0</v>
      </c>
      <c r="D97" s="16">
        <v>0</v>
      </c>
      <c r="E97" s="16">
        <v>32</v>
      </c>
      <c r="F97" s="17" t="s">
        <v>6</v>
      </c>
      <c r="G97" s="17" t="s">
        <v>12</v>
      </c>
      <c r="H97" s="3" t="s">
        <v>616</v>
      </c>
      <c r="I97" s="5" t="s">
        <v>435</v>
      </c>
      <c r="J97" s="16">
        <f>_xlfn.XLOOKUP(CustomerCombinedCleaned[[#This Row],[ID]], Table4[ID], Table4[Recency], "Not Found", 0)</f>
        <v>13</v>
      </c>
      <c r="K97" s="16">
        <f>_xlfn.XLOOKUP(CustomerCombinedCleaned[[#This Row],[ID]], Table4[ID], Table4[Teas], "Not Found", 0)</f>
        <v>1473</v>
      </c>
      <c r="L97" s="16">
        <f>_xlfn.XLOOKUP(CustomerCombinedCleaned[[#This Row],[ID]], Table4[ID], Table4[Fruits], "Not Found", 0)</f>
        <v>244</v>
      </c>
      <c r="M97" s="16">
        <f>_xlfn.XLOOKUP(CustomerCombinedCleaned[[#This Row],[ID]], Table4[ID], Table4[Meats], "Not Found", 0)</f>
        <v>890</v>
      </c>
      <c r="N97" s="16">
        <f>_xlfn.XLOOKUP(CustomerCombinedCleaned[[#This Row],[ID]], Table4[ID], Table4[Seafood], "Not Found", 0)</f>
        <v>399</v>
      </c>
      <c r="O97" s="16">
        <f>_xlfn.XLOOKUP(CustomerCombinedCleaned[[#This Row],[ID]], Table4[ID], Table4[Sweets], "Not Found", 0)</f>
        <v>153</v>
      </c>
      <c r="P97" s="16">
        <f>_xlfn.XLOOKUP(CustomerCombinedCleaned[[#This Row],[ID]], Table4[ID], Table4[Premium], "Not Found", 0)</f>
        <v>91</v>
      </c>
      <c r="Q97" s="16">
        <f>_xlfn.XLOOKUP(CustomerCombinedCleaned[[#This Row],[ID]], Table4[ID], Table4[Regular], "Not Found", 0)</f>
        <v>3068</v>
      </c>
      <c r="R97" s="16">
        <f>_xlfn.XLOOKUP(CustomerCombinedCleaned[[#This Row],[ID]], Table4[ID], Table4[Deals], "Not Found", 0)</f>
        <v>1</v>
      </c>
      <c r="S97" s="16">
        <f>_xlfn.XLOOKUP(CustomerCombinedCleaned[[#This Row],[ID]], Table4[ID], Table4[Website], "Not Found", 0)</f>
        <v>6</v>
      </c>
      <c r="T97" s="16">
        <f>_xlfn.XLOOKUP(CustomerCombinedCleaned[[#This Row],[ID]], Table4[ID], Table4[Catalog], "Not Found", 0)</f>
        <v>4</v>
      </c>
      <c r="U97" s="16">
        <f>_xlfn.XLOOKUP(CustomerCombinedCleaned[[#This Row],[ID]], Table4[ID], Table4[Store], "Not Found", 0)</f>
        <v>10</v>
      </c>
      <c r="V97" s="16">
        <f>_xlfn.XLOOKUP(CustomerCombinedCleaned[[#This Row],[ID]], Table4[ID], Table4[Visits], "Not Found", 0)</f>
        <v>3</v>
      </c>
      <c r="W97" s="16">
        <f>_xlfn.XLOOKUP(CustomerCombinedCleaned[[#This Row],[ID]], Table2[ID],Table2[Complaint], "Not Found", 0 )</f>
        <v>0</v>
      </c>
      <c r="X97" s="16">
        <f>_xlfn.XLOOKUP(CustomerCombinedCleaned[[#This Row],[ID]], Table2[ID],Table2[Pilot], "Not Found", 0 )</f>
        <v>0</v>
      </c>
      <c r="Y97" s="16">
        <f>_xlfn.XLOOKUP(CustomerCombinedCleaned[[#This Row],[ID]], Table2[ID],Table2[MC1], "Not Found", 0 )</f>
        <v>0</v>
      </c>
      <c r="Z97" s="16">
        <f>_xlfn.XLOOKUP(CustomerCombinedCleaned[[#This Row],[ID]], Table2[ID],Table2[MC2], "Not Found", 0 )</f>
        <v>0</v>
      </c>
      <c r="AA97" s="16">
        <f>_xlfn.XLOOKUP(CustomerCombinedCleaned[[#This Row],[ID]], Table2[ID],Table2[MC3], "Not Found", 0 )</f>
        <v>0</v>
      </c>
      <c r="AB97" s="16">
        <f>_xlfn.XLOOKUP(CustomerCombinedCleaned[[#This Row],[ID]], Table2[ID],Table2[MC4], "Not Found", 0 )</f>
        <v>0</v>
      </c>
      <c r="AC97" s="16">
        <f>_xlfn.XLOOKUP(CustomerCombinedCleaned[[#This Row],[ID]], Table2[ID],Table2[MC5], "Not Found", 0 )</f>
        <v>0</v>
      </c>
    </row>
    <row r="98" spans="1:29" x14ac:dyDescent="0.3">
      <c r="A98" s="18">
        <v>1324</v>
      </c>
      <c r="B98" s="16">
        <v>168655</v>
      </c>
      <c r="C98" s="16">
        <v>0</v>
      </c>
      <c r="D98" s="16">
        <v>0</v>
      </c>
      <c r="E98" s="16">
        <v>32</v>
      </c>
      <c r="F98" s="17" t="s">
        <v>7</v>
      </c>
      <c r="G98" s="17" t="s">
        <v>11</v>
      </c>
      <c r="H98" s="3" t="s">
        <v>418</v>
      </c>
      <c r="I98" s="5" t="s">
        <v>439</v>
      </c>
      <c r="J98" s="16">
        <f>_xlfn.XLOOKUP(CustomerCombinedCleaned[[#This Row],[ID]], Table4[ID], Table4[Recency], "Not Found", 0)</f>
        <v>95</v>
      </c>
      <c r="K98" s="16">
        <f>_xlfn.XLOOKUP(CustomerCombinedCleaned[[#This Row],[ID]], Table4[ID], Table4[Teas], "Not Found", 0)</f>
        <v>1120</v>
      </c>
      <c r="L98" s="16">
        <f>_xlfn.XLOOKUP(CustomerCombinedCleaned[[#This Row],[ID]], Table4[ID], Table4[Fruits], "Not Found", 0)</f>
        <v>47</v>
      </c>
      <c r="M98" s="16">
        <f>_xlfn.XLOOKUP(CustomerCombinedCleaned[[#This Row],[ID]], Table4[ID], Table4[Meats], "Not Found", 0)</f>
        <v>2044</v>
      </c>
      <c r="N98" s="16">
        <f>_xlfn.XLOOKUP(CustomerCombinedCleaned[[#This Row],[ID]], Table4[ID], Table4[Seafood], "Not Found", 0)</f>
        <v>184</v>
      </c>
      <c r="O98" s="16">
        <f>_xlfn.XLOOKUP(CustomerCombinedCleaned[[#This Row],[ID]], Table4[ID], Table4[Sweets], "Not Found", 0)</f>
        <v>290</v>
      </c>
      <c r="P98" s="16">
        <f>_xlfn.XLOOKUP(CustomerCombinedCleaned[[#This Row],[ID]], Table4[ID], Table4[Premium], "Not Found", 0)</f>
        <v>93</v>
      </c>
      <c r="Q98" s="16">
        <f>_xlfn.XLOOKUP(CustomerCombinedCleaned[[#This Row],[ID]], Table4[ID], Table4[Regular], "Not Found", 0)</f>
        <v>3591</v>
      </c>
      <c r="R98" s="16">
        <f>_xlfn.XLOOKUP(CustomerCombinedCleaned[[#This Row],[ID]], Table4[ID], Table4[Deals], "Not Found", 0)</f>
        <v>1</v>
      </c>
      <c r="S98" s="16">
        <f>_xlfn.XLOOKUP(CustomerCombinedCleaned[[#This Row],[ID]], Table4[ID], Table4[Website], "Not Found", 0)</f>
        <v>4</v>
      </c>
      <c r="T98" s="16">
        <f>_xlfn.XLOOKUP(CustomerCombinedCleaned[[#This Row],[ID]], Table4[ID], Table4[Catalog], "Not Found", 0)</f>
        <v>5</v>
      </c>
      <c r="U98" s="16">
        <f>_xlfn.XLOOKUP(CustomerCombinedCleaned[[#This Row],[ID]], Table4[ID], Table4[Store], "Not Found", 0)</f>
        <v>11</v>
      </c>
      <c r="V98" s="16">
        <f>_xlfn.XLOOKUP(CustomerCombinedCleaned[[#This Row],[ID]], Table4[ID], Table4[Visits], "Not Found", 0)</f>
        <v>3</v>
      </c>
      <c r="W98" s="16">
        <f>_xlfn.XLOOKUP(CustomerCombinedCleaned[[#This Row],[ID]], Table2[ID],Table2[Complaint], "Not Found", 0 )</f>
        <v>0</v>
      </c>
      <c r="X98" s="16">
        <f>_xlfn.XLOOKUP(CustomerCombinedCleaned[[#This Row],[ID]], Table2[ID],Table2[Pilot], "Not Found", 0 )</f>
        <v>0</v>
      </c>
      <c r="Y98" s="16">
        <f>_xlfn.XLOOKUP(CustomerCombinedCleaned[[#This Row],[ID]], Table2[ID],Table2[MC1], "Not Found", 0 )</f>
        <v>0</v>
      </c>
      <c r="Z98" s="16">
        <f>_xlfn.XLOOKUP(CustomerCombinedCleaned[[#This Row],[ID]], Table2[ID],Table2[MC2], "Not Found", 0 )</f>
        <v>0</v>
      </c>
      <c r="AA98" s="16">
        <f>_xlfn.XLOOKUP(CustomerCombinedCleaned[[#This Row],[ID]], Table2[ID],Table2[MC3], "Not Found", 0 )</f>
        <v>0</v>
      </c>
      <c r="AB98" s="16">
        <f>_xlfn.XLOOKUP(CustomerCombinedCleaned[[#This Row],[ID]], Table2[ID],Table2[MC4], "Not Found", 0 )</f>
        <v>0</v>
      </c>
      <c r="AC98" s="16">
        <f>_xlfn.XLOOKUP(CustomerCombinedCleaned[[#This Row],[ID]], Table2[ID],Table2[MC5], "Not Found", 0 )</f>
        <v>0</v>
      </c>
    </row>
    <row r="99" spans="1:29" x14ac:dyDescent="0.3">
      <c r="A99" s="18">
        <v>2586</v>
      </c>
      <c r="B99" s="16">
        <v>168655</v>
      </c>
      <c r="C99" s="16">
        <v>0</v>
      </c>
      <c r="D99" s="16">
        <v>0</v>
      </c>
      <c r="E99" s="16">
        <v>32</v>
      </c>
      <c r="F99" s="17" t="s">
        <v>7</v>
      </c>
      <c r="G99" s="17" t="s">
        <v>11</v>
      </c>
      <c r="H99" s="3" t="s">
        <v>418</v>
      </c>
      <c r="I99" s="5" t="s">
        <v>436</v>
      </c>
      <c r="J99" s="16">
        <f>_xlfn.XLOOKUP(CustomerCombinedCleaned[[#This Row],[ID]], Table4[ID], Table4[Recency], "Not Found", 0)</f>
        <v>95</v>
      </c>
      <c r="K99" s="16">
        <f>_xlfn.XLOOKUP(CustomerCombinedCleaned[[#This Row],[ID]], Table4[ID], Table4[Teas], "Not Found", 0)</f>
        <v>1120</v>
      </c>
      <c r="L99" s="16">
        <f>_xlfn.XLOOKUP(CustomerCombinedCleaned[[#This Row],[ID]], Table4[ID], Table4[Fruits], "Not Found", 0)</f>
        <v>47</v>
      </c>
      <c r="M99" s="16">
        <f>_xlfn.XLOOKUP(CustomerCombinedCleaned[[#This Row],[ID]], Table4[ID], Table4[Meats], "Not Found", 0)</f>
        <v>2044</v>
      </c>
      <c r="N99" s="16">
        <f>_xlfn.XLOOKUP(CustomerCombinedCleaned[[#This Row],[ID]], Table4[ID], Table4[Seafood], "Not Found", 0)</f>
        <v>184</v>
      </c>
      <c r="O99" s="16">
        <f>_xlfn.XLOOKUP(CustomerCombinedCleaned[[#This Row],[ID]], Table4[ID], Table4[Sweets], "Not Found", 0)</f>
        <v>290</v>
      </c>
      <c r="P99" s="16">
        <f>_xlfn.XLOOKUP(CustomerCombinedCleaned[[#This Row],[ID]], Table4[ID], Table4[Premium], "Not Found", 0)</f>
        <v>93</v>
      </c>
      <c r="Q99" s="16">
        <f>_xlfn.XLOOKUP(CustomerCombinedCleaned[[#This Row],[ID]], Table4[ID], Table4[Regular], "Not Found", 0)</f>
        <v>3591</v>
      </c>
      <c r="R99" s="16">
        <f>_xlfn.XLOOKUP(CustomerCombinedCleaned[[#This Row],[ID]], Table4[ID], Table4[Deals], "Not Found", 0)</f>
        <v>1</v>
      </c>
      <c r="S99" s="16">
        <f>_xlfn.XLOOKUP(CustomerCombinedCleaned[[#This Row],[ID]], Table4[ID], Table4[Website], "Not Found", 0)</f>
        <v>4</v>
      </c>
      <c r="T99" s="16">
        <f>_xlfn.XLOOKUP(CustomerCombinedCleaned[[#This Row],[ID]], Table4[ID], Table4[Catalog], "Not Found", 0)</f>
        <v>5</v>
      </c>
      <c r="U99" s="16">
        <f>_xlfn.XLOOKUP(CustomerCombinedCleaned[[#This Row],[ID]], Table4[ID], Table4[Store], "Not Found", 0)</f>
        <v>11</v>
      </c>
      <c r="V99" s="16">
        <f>_xlfn.XLOOKUP(CustomerCombinedCleaned[[#This Row],[ID]], Table4[ID], Table4[Visits], "Not Found", 0)</f>
        <v>3</v>
      </c>
      <c r="W99" s="16">
        <f>_xlfn.XLOOKUP(CustomerCombinedCleaned[[#This Row],[ID]], Table2[ID],Table2[Complaint], "Not Found", 0 )</f>
        <v>0</v>
      </c>
      <c r="X99" s="16">
        <f>_xlfn.XLOOKUP(CustomerCombinedCleaned[[#This Row],[ID]], Table2[ID],Table2[Pilot], "Not Found", 0 )</f>
        <v>0</v>
      </c>
      <c r="Y99" s="16">
        <f>_xlfn.XLOOKUP(CustomerCombinedCleaned[[#This Row],[ID]], Table2[ID],Table2[MC1], "Not Found", 0 )</f>
        <v>0</v>
      </c>
      <c r="Z99" s="16">
        <f>_xlfn.XLOOKUP(CustomerCombinedCleaned[[#This Row],[ID]], Table2[ID],Table2[MC2], "Not Found", 0 )</f>
        <v>0</v>
      </c>
      <c r="AA99" s="16">
        <f>_xlfn.XLOOKUP(CustomerCombinedCleaned[[#This Row],[ID]], Table2[ID],Table2[MC3], "Not Found", 0 )</f>
        <v>0</v>
      </c>
      <c r="AB99" s="16">
        <f>_xlfn.XLOOKUP(CustomerCombinedCleaned[[#This Row],[ID]], Table2[ID],Table2[MC4], "Not Found", 0 )</f>
        <v>0</v>
      </c>
      <c r="AC99" s="16">
        <f>_xlfn.XLOOKUP(CustomerCombinedCleaned[[#This Row],[ID]], Table2[ID],Table2[MC5], "Not Found", 0 )</f>
        <v>0</v>
      </c>
    </row>
    <row r="100" spans="1:29" x14ac:dyDescent="0.3">
      <c r="A100" s="18">
        <v>2475</v>
      </c>
      <c r="B100" s="16">
        <v>168487</v>
      </c>
      <c r="C100" s="16">
        <v>0</v>
      </c>
      <c r="D100" s="16">
        <v>0</v>
      </c>
      <c r="E100" s="16">
        <v>32</v>
      </c>
      <c r="F100" s="17" t="s">
        <v>6</v>
      </c>
      <c r="G100" s="17" t="s">
        <v>11</v>
      </c>
      <c r="H100" s="3" t="s">
        <v>327</v>
      </c>
      <c r="I100" s="5" t="s">
        <v>435</v>
      </c>
      <c r="J100" s="16">
        <f>_xlfn.XLOOKUP(CustomerCombinedCleaned[[#This Row],[ID]], Table4[ID], Table4[Recency], "Not Found", 0)</f>
        <v>48</v>
      </c>
      <c r="K100" s="16">
        <f>_xlfn.XLOOKUP(CustomerCombinedCleaned[[#This Row],[ID]], Table4[ID], Table4[Teas], "Not Found", 0)</f>
        <v>1865</v>
      </c>
      <c r="L100" s="16">
        <f>_xlfn.XLOOKUP(CustomerCombinedCleaned[[#This Row],[ID]], Table4[ID], Table4[Fruits], "Not Found", 0)</f>
        <v>30</v>
      </c>
      <c r="M100" s="16">
        <f>_xlfn.XLOOKUP(CustomerCombinedCleaned[[#This Row],[ID]], Table4[ID], Table4[Meats], "Not Found", 0)</f>
        <v>947</v>
      </c>
      <c r="N100" s="16">
        <f>_xlfn.XLOOKUP(CustomerCombinedCleaned[[#This Row],[ID]], Table4[ID], Table4[Seafood], "Not Found", 0)</f>
        <v>81</v>
      </c>
      <c r="O100" s="16">
        <f>_xlfn.XLOOKUP(CustomerCombinedCleaned[[#This Row],[ID]], Table4[ID], Table4[Sweets], "Not Found", 0)</f>
        <v>219</v>
      </c>
      <c r="P100" s="16">
        <f>_xlfn.XLOOKUP(CustomerCombinedCleaned[[#This Row],[ID]], Table4[ID], Table4[Premium], "Not Found", 0)</f>
        <v>219</v>
      </c>
      <c r="Q100" s="16">
        <f>_xlfn.XLOOKUP(CustomerCombinedCleaned[[#This Row],[ID]], Table4[ID], Table4[Regular], "Not Found", 0)</f>
        <v>2923</v>
      </c>
      <c r="R100" s="16">
        <f>_xlfn.XLOOKUP(CustomerCombinedCleaned[[#This Row],[ID]], Table4[ID], Table4[Deals], "Not Found", 0)</f>
        <v>1</v>
      </c>
      <c r="S100" s="16">
        <f>_xlfn.XLOOKUP(CustomerCombinedCleaned[[#This Row],[ID]], Table4[ID], Table4[Website], "Not Found", 0)</f>
        <v>9</v>
      </c>
      <c r="T100" s="16">
        <f>_xlfn.XLOOKUP(CustomerCombinedCleaned[[#This Row],[ID]], Table4[ID], Table4[Catalog], "Not Found", 0)</f>
        <v>7</v>
      </c>
      <c r="U100" s="16">
        <f>_xlfn.XLOOKUP(CustomerCombinedCleaned[[#This Row],[ID]], Table4[ID], Table4[Store], "Not Found", 0)</f>
        <v>13</v>
      </c>
      <c r="V100" s="16">
        <f>_xlfn.XLOOKUP(CustomerCombinedCleaned[[#This Row],[ID]], Table4[ID], Table4[Visits], "Not Found", 0)</f>
        <v>4</v>
      </c>
      <c r="W100" s="16">
        <f>_xlfn.XLOOKUP(CustomerCombinedCleaned[[#This Row],[ID]], Table2[ID],Table2[Complaint], "Not Found", 0 )</f>
        <v>0</v>
      </c>
      <c r="X100" s="16">
        <f>_xlfn.XLOOKUP(CustomerCombinedCleaned[[#This Row],[ID]], Table2[ID],Table2[Pilot], "Not Found", 0 )</f>
        <v>0</v>
      </c>
      <c r="Y100" s="16">
        <f>_xlfn.XLOOKUP(CustomerCombinedCleaned[[#This Row],[ID]], Table2[ID],Table2[MC1], "Not Found", 0 )</f>
        <v>0</v>
      </c>
      <c r="Z100" s="16">
        <f>_xlfn.XLOOKUP(CustomerCombinedCleaned[[#This Row],[ID]], Table2[ID],Table2[MC2], "Not Found", 0 )</f>
        <v>0</v>
      </c>
      <c r="AA100" s="16">
        <f>_xlfn.XLOOKUP(CustomerCombinedCleaned[[#This Row],[ID]], Table2[ID],Table2[MC3], "Not Found", 0 )</f>
        <v>0</v>
      </c>
      <c r="AB100" s="16">
        <f>_xlfn.XLOOKUP(CustomerCombinedCleaned[[#This Row],[ID]], Table2[ID],Table2[MC4], "Not Found", 0 )</f>
        <v>0</v>
      </c>
      <c r="AC100" s="16">
        <f>_xlfn.XLOOKUP(CustomerCombinedCleaned[[#This Row],[ID]], Table2[ID],Table2[MC5], "Not Found", 0 )</f>
        <v>0</v>
      </c>
    </row>
    <row r="101" spans="1:29" x14ac:dyDescent="0.3">
      <c r="A101" s="18">
        <v>3053</v>
      </c>
      <c r="B101" s="16">
        <v>168487</v>
      </c>
      <c r="C101" s="16">
        <v>0</v>
      </c>
      <c r="D101" s="16">
        <v>0</v>
      </c>
      <c r="E101" s="16">
        <v>32</v>
      </c>
      <c r="F101" s="17" t="s">
        <v>6</v>
      </c>
      <c r="G101" s="17" t="s">
        <v>11</v>
      </c>
      <c r="H101" s="3" t="s">
        <v>327</v>
      </c>
      <c r="I101" s="5" t="s">
        <v>434</v>
      </c>
      <c r="J101" s="16">
        <f>_xlfn.XLOOKUP(CustomerCombinedCleaned[[#This Row],[ID]], Table4[ID], Table4[Recency], "Not Found", 0)</f>
        <v>48</v>
      </c>
      <c r="K101" s="16">
        <f>_xlfn.XLOOKUP(CustomerCombinedCleaned[[#This Row],[ID]], Table4[ID], Table4[Teas], "Not Found", 0)</f>
        <v>1865</v>
      </c>
      <c r="L101" s="16">
        <f>_xlfn.XLOOKUP(CustomerCombinedCleaned[[#This Row],[ID]], Table4[ID], Table4[Fruits], "Not Found", 0)</f>
        <v>30</v>
      </c>
      <c r="M101" s="16">
        <f>_xlfn.XLOOKUP(CustomerCombinedCleaned[[#This Row],[ID]], Table4[ID], Table4[Meats], "Not Found", 0)</f>
        <v>947</v>
      </c>
      <c r="N101" s="16">
        <f>_xlfn.XLOOKUP(CustomerCombinedCleaned[[#This Row],[ID]], Table4[ID], Table4[Seafood], "Not Found", 0)</f>
        <v>81</v>
      </c>
      <c r="O101" s="16">
        <f>_xlfn.XLOOKUP(CustomerCombinedCleaned[[#This Row],[ID]], Table4[ID], Table4[Sweets], "Not Found", 0)</f>
        <v>219</v>
      </c>
      <c r="P101" s="16">
        <f>_xlfn.XLOOKUP(CustomerCombinedCleaned[[#This Row],[ID]], Table4[ID], Table4[Premium], "Not Found", 0)</f>
        <v>219</v>
      </c>
      <c r="Q101" s="16">
        <f>_xlfn.XLOOKUP(CustomerCombinedCleaned[[#This Row],[ID]], Table4[ID], Table4[Regular], "Not Found", 0)</f>
        <v>2923</v>
      </c>
      <c r="R101" s="16">
        <f>_xlfn.XLOOKUP(CustomerCombinedCleaned[[#This Row],[ID]], Table4[ID], Table4[Deals], "Not Found", 0)</f>
        <v>1</v>
      </c>
      <c r="S101" s="16">
        <f>_xlfn.XLOOKUP(CustomerCombinedCleaned[[#This Row],[ID]], Table4[ID], Table4[Website], "Not Found", 0)</f>
        <v>9</v>
      </c>
      <c r="T101" s="16">
        <f>_xlfn.XLOOKUP(CustomerCombinedCleaned[[#This Row],[ID]], Table4[ID], Table4[Catalog], "Not Found", 0)</f>
        <v>7</v>
      </c>
      <c r="U101" s="16">
        <f>_xlfn.XLOOKUP(CustomerCombinedCleaned[[#This Row],[ID]], Table4[ID], Table4[Store], "Not Found", 0)</f>
        <v>13</v>
      </c>
      <c r="V101" s="16">
        <f>_xlfn.XLOOKUP(CustomerCombinedCleaned[[#This Row],[ID]], Table4[ID], Table4[Visits], "Not Found", 0)</f>
        <v>4</v>
      </c>
      <c r="W101" s="16">
        <f>_xlfn.XLOOKUP(CustomerCombinedCleaned[[#This Row],[ID]], Table2[ID],Table2[Complaint], "Not Found", 0 )</f>
        <v>0</v>
      </c>
      <c r="X101" s="16">
        <f>_xlfn.XLOOKUP(CustomerCombinedCleaned[[#This Row],[ID]], Table2[ID],Table2[Pilot], "Not Found", 0 )</f>
        <v>0</v>
      </c>
      <c r="Y101" s="16">
        <f>_xlfn.XLOOKUP(CustomerCombinedCleaned[[#This Row],[ID]], Table2[ID],Table2[MC1], "Not Found", 0 )</f>
        <v>0</v>
      </c>
      <c r="Z101" s="16">
        <f>_xlfn.XLOOKUP(CustomerCombinedCleaned[[#This Row],[ID]], Table2[ID],Table2[MC2], "Not Found", 0 )</f>
        <v>0</v>
      </c>
      <c r="AA101" s="16">
        <f>_xlfn.XLOOKUP(CustomerCombinedCleaned[[#This Row],[ID]], Table2[ID],Table2[MC3], "Not Found", 0 )</f>
        <v>0</v>
      </c>
      <c r="AB101" s="16">
        <f>_xlfn.XLOOKUP(CustomerCombinedCleaned[[#This Row],[ID]], Table2[ID],Table2[MC4], "Not Found", 0 )</f>
        <v>0</v>
      </c>
      <c r="AC101" s="16">
        <f>_xlfn.XLOOKUP(CustomerCombinedCleaned[[#This Row],[ID]], Table2[ID],Table2[MC5], "Not Found", 0 )</f>
        <v>0</v>
      </c>
    </row>
    <row r="102" spans="1:29" x14ac:dyDescent="0.3">
      <c r="A102" s="18">
        <v>1235</v>
      </c>
      <c r="B102" s="16">
        <v>167546</v>
      </c>
      <c r="C102" s="16">
        <v>0</v>
      </c>
      <c r="D102" s="16">
        <v>0</v>
      </c>
      <c r="E102" s="16">
        <v>32</v>
      </c>
      <c r="F102" s="17" t="s">
        <v>6</v>
      </c>
      <c r="G102" s="17" t="s">
        <v>13</v>
      </c>
      <c r="H102" s="3" t="s">
        <v>681</v>
      </c>
      <c r="I102" s="5" t="s">
        <v>434</v>
      </c>
      <c r="J102" s="16">
        <f>_xlfn.XLOOKUP(CustomerCombinedCleaned[[#This Row],[ID]], Table4[ID], Table4[Recency], "Not Found", 0)</f>
        <v>90</v>
      </c>
      <c r="K102" s="16">
        <f>_xlfn.XLOOKUP(CustomerCombinedCleaned[[#This Row],[ID]], Table4[ID], Table4[Teas], "Not Found", 0)</f>
        <v>2143</v>
      </c>
      <c r="L102" s="16">
        <f>_xlfn.XLOOKUP(CustomerCombinedCleaned[[#This Row],[ID]], Table4[ID], Table4[Fruits], "Not Found", 0)</f>
        <v>332</v>
      </c>
      <c r="M102" s="16">
        <f>_xlfn.XLOOKUP(CustomerCombinedCleaned[[#This Row],[ID]], Table4[ID], Table4[Meats], "Not Found", 0)</f>
        <v>1905</v>
      </c>
      <c r="N102" s="16">
        <f>_xlfn.XLOOKUP(CustomerCombinedCleaned[[#This Row],[ID]], Table4[ID], Table4[Seafood], "Not Found", 0)</f>
        <v>372</v>
      </c>
      <c r="O102" s="16">
        <f>_xlfn.XLOOKUP(CustomerCombinedCleaned[[#This Row],[ID]], Table4[ID], Table4[Sweets], "Not Found", 0)</f>
        <v>94</v>
      </c>
      <c r="P102" s="16">
        <f>_xlfn.XLOOKUP(CustomerCombinedCleaned[[#This Row],[ID]], Table4[ID], Table4[Premium], "Not Found", 0)</f>
        <v>427</v>
      </c>
      <c r="Q102" s="16">
        <f>_xlfn.XLOOKUP(CustomerCombinedCleaned[[#This Row],[ID]], Table4[ID], Table4[Regular], "Not Found", 0)</f>
        <v>4420</v>
      </c>
      <c r="R102" s="16">
        <f>_xlfn.XLOOKUP(CustomerCombinedCleaned[[#This Row],[ID]], Table4[ID], Table4[Deals], "Not Found", 0)</f>
        <v>1</v>
      </c>
      <c r="S102" s="16">
        <f>_xlfn.XLOOKUP(CustomerCombinedCleaned[[#This Row],[ID]], Table4[ID], Table4[Website], "Not Found", 0)</f>
        <v>4</v>
      </c>
      <c r="T102" s="16">
        <f>_xlfn.XLOOKUP(CustomerCombinedCleaned[[#This Row],[ID]], Table4[ID], Table4[Catalog], "Not Found", 0)</f>
        <v>10</v>
      </c>
      <c r="U102" s="16">
        <f>_xlfn.XLOOKUP(CustomerCombinedCleaned[[#This Row],[ID]], Table4[ID], Table4[Store], "Not Found", 0)</f>
        <v>5</v>
      </c>
      <c r="V102" s="16">
        <f>_xlfn.XLOOKUP(CustomerCombinedCleaned[[#This Row],[ID]], Table4[ID], Table4[Visits], "Not Found", 0)</f>
        <v>3</v>
      </c>
      <c r="W102" s="16">
        <f>_xlfn.XLOOKUP(CustomerCombinedCleaned[[#This Row],[ID]], Table2[ID],Table2[Complaint], "Not Found", 0 )</f>
        <v>0</v>
      </c>
      <c r="X102" s="16">
        <f>_xlfn.XLOOKUP(CustomerCombinedCleaned[[#This Row],[ID]], Table2[ID],Table2[Pilot], "Not Found", 0 )</f>
        <v>0</v>
      </c>
      <c r="Y102" s="16">
        <f>_xlfn.XLOOKUP(CustomerCombinedCleaned[[#This Row],[ID]], Table2[ID],Table2[MC1], "Not Found", 0 )</f>
        <v>0</v>
      </c>
      <c r="Z102" s="16">
        <f>_xlfn.XLOOKUP(CustomerCombinedCleaned[[#This Row],[ID]], Table2[ID],Table2[MC2], "Not Found", 0 )</f>
        <v>0</v>
      </c>
      <c r="AA102" s="16">
        <f>_xlfn.XLOOKUP(CustomerCombinedCleaned[[#This Row],[ID]], Table2[ID],Table2[MC3], "Not Found", 0 )</f>
        <v>0</v>
      </c>
      <c r="AB102" s="16">
        <f>_xlfn.XLOOKUP(CustomerCombinedCleaned[[#This Row],[ID]], Table2[ID],Table2[MC4], "Not Found", 0 )</f>
        <v>0</v>
      </c>
      <c r="AC102" s="16">
        <f>_xlfn.XLOOKUP(CustomerCombinedCleaned[[#This Row],[ID]], Table2[ID],Table2[MC5], "Not Found", 0 )</f>
        <v>0</v>
      </c>
    </row>
    <row r="103" spans="1:29" x14ac:dyDescent="0.3">
      <c r="A103" s="18">
        <v>2865</v>
      </c>
      <c r="B103" s="16">
        <v>167546</v>
      </c>
      <c r="C103" s="16">
        <v>0</v>
      </c>
      <c r="D103" s="16">
        <v>0</v>
      </c>
      <c r="E103" s="16">
        <v>32</v>
      </c>
      <c r="F103" s="17" t="s">
        <v>6</v>
      </c>
      <c r="G103" s="17" t="s">
        <v>13</v>
      </c>
      <c r="H103" s="3" t="s">
        <v>681</v>
      </c>
      <c r="I103" s="5" t="s">
        <v>435</v>
      </c>
      <c r="J103" s="16">
        <f>_xlfn.XLOOKUP(CustomerCombinedCleaned[[#This Row],[ID]], Table4[ID], Table4[Recency], "Not Found", 0)</f>
        <v>90</v>
      </c>
      <c r="K103" s="16">
        <f>_xlfn.XLOOKUP(CustomerCombinedCleaned[[#This Row],[ID]], Table4[ID], Table4[Teas], "Not Found", 0)</f>
        <v>2143</v>
      </c>
      <c r="L103" s="16">
        <f>_xlfn.XLOOKUP(CustomerCombinedCleaned[[#This Row],[ID]], Table4[ID], Table4[Fruits], "Not Found", 0)</f>
        <v>332</v>
      </c>
      <c r="M103" s="16">
        <f>_xlfn.XLOOKUP(CustomerCombinedCleaned[[#This Row],[ID]], Table4[ID], Table4[Meats], "Not Found", 0)</f>
        <v>1905</v>
      </c>
      <c r="N103" s="16">
        <f>_xlfn.XLOOKUP(CustomerCombinedCleaned[[#This Row],[ID]], Table4[ID], Table4[Seafood], "Not Found", 0)</f>
        <v>372</v>
      </c>
      <c r="O103" s="16">
        <f>_xlfn.XLOOKUP(CustomerCombinedCleaned[[#This Row],[ID]], Table4[ID], Table4[Sweets], "Not Found", 0)</f>
        <v>94</v>
      </c>
      <c r="P103" s="16">
        <f>_xlfn.XLOOKUP(CustomerCombinedCleaned[[#This Row],[ID]], Table4[ID], Table4[Premium], "Not Found", 0)</f>
        <v>427</v>
      </c>
      <c r="Q103" s="16">
        <f>_xlfn.XLOOKUP(CustomerCombinedCleaned[[#This Row],[ID]], Table4[ID], Table4[Regular], "Not Found", 0)</f>
        <v>4420</v>
      </c>
      <c r="R103" s="16">
        <f>_xlfn.XLOOKUP(CustomerCombinedCleaned[[#This Row],[ID]], Table4[ID], Table4[Deals], "Not Found", 0)</f>
        <v>1</v>
      </c>
      <c r="S103" s="16">
        <f>_xlfn.XLOOKUP(CustomerCombinedCleaned[[#This Row],[ID]], Table4[ID], Table4[Website], "Not Found", 0)</f>
        <v>4</v>
      </c>
      <c r="T103" s="16">
        <f>_xlfn.XLOOKUP(CustomerCombinedCleaned[[#This Row],[ID]], Table4[ID], Table4[Catalog], "Not Found", 0)</f>
        <v>10</v>
      </c>
      <c r="U103" s="16">
        <f>_xlfn.XLOOKUP(CustomerCombinedCleaned[[#This Row],[ID]], Table4[ID], Table4[Store], "Not Found", 0)</f>
        <v>5</v>
      </c>
      <c r="V103" s="16">
        <f>_xlfn.XLOOKUP(CustomerCombinedCleaned[[#This Row],[ID]], Table4[ID], Table4[Visits], "Not Found", 0)</f>
        <v>3</v>
      </c>
      <c r="W103" s="16">
        <f>_xlfn.XLOOKUP(CustomerCombinedCleaned[[#This Row],[ID]], Table2[ID],Table2[Complaint], "Not Found", 0 )</f>
        <v>0</v>
      </c>
      <c r="X103" s="16">
        <f>_xlfn.XLOOKUP(CustomerCombinedCleaned[[#This Row],[ID]], Table2[ID],Table2[Pilot], "Not Found", 0 )</f>
        <v>0</v>
      </c>
      <c r="Y103" s="16">
        <f>_xlfn.XLOOKUP(CustomerCombinedCleaned[[#This Row],[ID]], Table2[ID],Table2[MC1], "Not Found", 0 )</f>
        <v>0</v>
      </c>
      <c r="Z103" s="16">
        <f>_xlfn.XLOOKUP(CustomerCombinedCleaned[[#This Row],[ID]], Table2[ID],Table2[MC2], "Not Found", 0 )</f>
        <v>0</v>
      </c>
      <c r="AA103" s="16">
        <f>_xlfn.XLOOKUP(CustomerCombinedCleaned[[#This Row],[ID]], Table2[ID],Table2[MC3], "Not Found", 0 )</f>
        <v>0</v>
      </c>
      <c r="AB103" s="16">
        <f>_xlfn.XLOOKUP(CustomerCombinedCleaned[[#This Row],[ID]], Table2[ID],Table2[MC4], "Not Found", 0 )</f>
        <v>0</v>
      </c>
      <c r="AC103" s="16">
        <f>_xlfn.XLOOKUP(CustomerCombinedCleaned[[#This Row],[ID]], Table2[ID],Table2[MC5], "Not Found", 0 )</f>
        <v>0</v>
      </c>
    </row>
    <row r="104" spans="1:29" x14ac:dyDescent="0.3">
      <c r="A104" s="18">
        <v>1157</v>
      </c>
      <c r="B104" s="16">
        <v>166951</v>
      </c>
      <c r="C104" s="16">
        <v>0</v>
      </c>
      <c r="D104" s="16">
        <v>0</v>
      </c>
      <c r="E104" s="16">
        <v>32</v>
      </c>
      <c r="F104" s="17" t="s">
        <v>7</v>
      </c>
      <c r="G104" s="17" t="s">
        <v>11</v>
      </c>
      <c r="H104" s="3" t="s">
        <v>624</v>
      </c>
      <c r="I104" s="5" t="s">
        <v>434</v>
      </c>
      <c r="J104" s="16">
        <f>_xlfn.XLOOKUP(CustomerCombinedCleaned[[#This Row],[ID]], Table4[ID], Table4[Recency], "Not Found", 0)</f>
        <v>46</v>
      </c>
      <c r="K104" s="16">
        <f>_xlfn.XLOOKUP(CustomerCombinedCleaned[[#This Row],[ID]], Table4[ID], Table4[Teas], "Not Found", 0)</f>
        <v>691</v>
      </c>
      <c r="L104" s="16">
        <f>_xlfn.XLOOKUP(CustomerCombinedCleaned[[#This Row],[ID]], Table4[ID], Table4[Fruits], "Not Found", 0)</f>
        <v>404</v>
      </c>
      <c r="M104" s="16">
        <f>_xlfn.XLOOKUP(CustomerCombinedCleaned[[#This Row],[ID]], Table4[ID], Table4[Meats], "Not Found", 0)</f>
        <v>761</v>
      </c>
      <c r="N104" s="16">
        <f>_xlfn.XLOOKUP(CustomerCombinedCleaned[[#This Row],[ID]], Table4[ID], Table4[Seafood], "Not Found", 0)</f>
        <v>431</v>
      </c>
      <c r="O104" s="16">
        <f>_xlfn.XLOOKUP(CustomerCombinedCleaned[[#This Row],[ID]], Table4[ID], Table4[Sweets], "Not Found", 0)</f>
        <v>190</v>
      </c>
      <c r="P104" s="16">
        <f>_xlfn.XLOOKUP(CustomerCombinedCleaned[[#This Row],[ID]], Table4[ID], Table4[Premium], "Not Found", 0)</f>
        <v>309</v>
      </c>
      <c r="Q104" s="16">
        <f>_xlfn.XLOOKUP(CustomerCombinedCleaned[[#This Row],[ID]], Table4[ID], Table4[Regular], "Not Found", 0)</f>
        <v>2167</v>
      </c>
      <c r="R104" s="16">
        <f>_xlfn.XLOOKUP(CustomerCombinedCleaned[[#This Row],[ID]], Table4[ID], Table4[Deals], "Not Found", 0)</f>
        <v>1</v>
      </c>
      <c r="S104" s="16">
        <f>_xlfn.XLOOKUP(CustomerCombinedCleaned[[#This Row],[ID]], Table4[ID], Table4[Website], "Not Found", 0)</f>
        <v>3</v>
      </c>
      <c r="T104" s="16">
        <f>_xlfn.XLOOKUP(CustomerCombinedCleaned[[#This Row],[ID]], Table4[ID], Table4[Catalog], "Not Found", 0)</f>
        <v>4</v>
      </c>
      <c r="U104" s="16">
        <f>_xlfn.XLOOKUP(CustomerCombinedCleaned[[#This Row],[ID]], Table4[ID], Table4[Store], "Not Found", 0)</f>
        <v>7</v>
      </c>
      <c r="V104" s="16">
        <f>_xlfn.XLOOKUP(CustomerCombinedCleaned[[#This Row],[ID]], Table4[ID], Table4[Visits], "Not Found", 0)</f>
        <v>1</v>
      </c>
      <c r="W104" s="16">
        <f>_xlfn.XLOOKUP(CustomerCombinedCleaned[[#This Row],[ID]], Table2[ID],Table2[Complaint], "Not Found", 0 )</f>
        <v>0</v>
      </c>
      <c r="X104" s="16">
        <f>_xlfn.XLOOKUP(CustomerCombinedCleaned[[#This Row],[ID]], Table2[ID],Table2[Pilot], "Not Found", 0 )</f>
        <v>0</v>
      </c>
      <c r="Y104" s="16">
        <f>_xlfn.XLOOKUP(CustomerCombinedCleaned[[#This Row],[ID]], Table2[ID],Table2[MC1], "Not Found", 0 )</f>
        <v>0</v>
      </c>
      <c r="Z104" s="16">
        <f>_xlfn.XLOOKUP(CustomerCombinedCleaned[[#This Row],[ID]], Table2[ID],Table2[MC2], "Not Found", 0 )</f>
        <v>0</v>
      </c>
      <c r="AA104" s="16">
        <f>_xlfn.XLOOKUP(CustomerCombinedCleaned[[#This Row],[ID]], Table2[ID],Table2[MC3], "Not Found", 0 )</f>
        <v>0</v>
      </c>
      <c r="AB104" s="16">
        <f>_xlfn.XLOOKUP(CustomerCombinedCleaned[[#This Row],[ID]], Table2[ID],Table2[MC4], "Not Found", 0 )</f>
        <v>0</v>
      </c>
      <c r="AC104" s="16">
        <f>_xlfn.XLOOKUP(CustomerCombinedCleaned[[#This Row],[ID]], Table2[ID],Table2[MC5], "Not Found", 0 )</f>
        <v>0</v>
      </c>
    </row>
    <row r="105" spans="1:29" x14ac:dyDescent="0.3">
      <c r="A105" s="18">
        <v>1208</v>
      </c>
      <c r="B105" s="16">
        <v>145204</v>
      </c>
      <c r="C105" s="16">
        <v>1</v>
      </c>
      <c r="D105" s="16">
        <v>0</v>
      </c>
      <c r="E105" s="16">
        <v>32</v>
      </c>
      <c r="F105" s="17" t="s">
        <v>8</v>
      </c>
      <c r="G105" s="17" t="s">
        <v>11</v>
      </c>
      <c r="H105" s="3" t="s">
        <v>71</v>
      </c>
      <c r="I105" s="5" t="s">
        <v>438</v>
      </c>
      <c r="J105" s="16">
        <f>_xlfn.XLOOKUP(CustomerCombinedCleaned[[#This Row],[ID]], Table4[ID], Table4[Recency], "Not Found", 0)</f>
        <v>93</v>
      </c>
      <c r="K105" s="16">
        <f>_xlfn.XLOOKUP(CustomerCombinedCleaned[[#This Row],[ID]], Table4[ID], Table4[Teas], "Not Found", 0)</f>
        <v>96</v>
      </c>
      <c r="L105" s="16">
        <f>_xlfn.XLOOKUP(CustomerCombinedCleaned[[#This Row],[ID]], Table4[ID], Table4[Fruits], "Not Found", 0)</f>
        <v>35</v>
      </c>
      <c r="M105" s="16">
        <f>_xlfn.XLOOKUP(CustomerCombinedCleaned[[#This Row],[ID]], Table4[ID], Table4[Meats], "Not Found", 0)</f>
        <v>80</v>
      </c>
      <c r="N105" s="16">
        <f>_xlfn.XLOOKUP(CustomerCombinedCleaned[[#This Row],[ID]], Table4[ID], Table4[Seafood], "Not Found", 0)</f>
        <v>93</v>
      </c>
      <c r="O105" s="16">
        <f>_xlfn.XLOOKUP(CustomerCombinedCleaned[[#This Row],[ID]], Table4[ID], Table4[Sweets], "Not Found", 0)</f>
        <v>3</v>
      </c>
      <c r="P105" s="16">
        <f>_xlfn.XLOOKUP(CustomerCombinedCleaned[[#This Row],[ID]], Table4[ID], Table4[Premium], "Not Found", 0)</f>
        <v>58</v>
      </c>
      <c r="Q105" s="16">
        <f>_xlfn.XLOOKUP(CustomerCombinedCleaned[[#This Row],[ID]], Table4[ID], Table4[Regular], "Not Found", 0)</f>
        <v>251</v>
      </c>
      <c r="R105" s="16">
        <f>_xlfn.XLOOKUP(CustomerCombinedCleaned[[#This Row],[ID]], Table4[ID], Table4[Deals], "Not Found", 0)</f>
        <v>1</v>
      </c>
      <c r="S105" s="16">
        <f>_xlfn.XLOOKUP(CustomerCombinedCleaned[[#This Row],[ID]], Table4[ID], Table4[Website], "Not Found", 0)</f>
        <v>1</v>
      </c>
      <c r="T105" s="16">
        <f>_xlfn.XLOOKUP(CustomerCombinedCleaned[[#This Row],[ID]], Table4[ID], Table4[Catalog], "Not Found", 0)</f>
        <v>1</v>
      </c>
      <c r="U105" s="16">
        <f>_xlfn.XLOOKUP(CustomerCombinedCleaned[[#This Row],[ID]], Table4[ID], Table4[Store], "Not Found", 0)</f>
        <v>4</v>
      </c>
      <c r="V105" s="16">
        <f>_xlfn.XLOOKUP(CustomerCombinedCleaned[[#This Row],[ID]], Table4[ID], Table4[Visits], "Not Found", 0)</f>
        <v>3</v>
      </c>
      <c r="W105" s="16">
        <f>_xlfn.XLOOKUP(CustomerCombinedCleaned[[#This Row],[ID]], Table2[ID],Table2[Complaint], "Not Found", 0 )</f>
        <v>0</v>
      </c>
      <c r="X105" s="16">
        <f>_xlfn.XLOOKUP(CustomerCombinedCleaned[[#This Row],[ID]], Table2[ID],Table2[Pilot], "Not Found", 0 )</f>
        <v>0</v>
      </c>
      <c r="Y105" s="16">
        <f>_xlfn.XLOOKUP(CustomerCombinedCleaned[[#This Row],[ID]], Table2[ID],Table2[MC1], "Not Found", 0 )</f>
        <v>0</v>
      </c>
      <c r="Z105" s="16">
        <f>_xlfn.XLOOKUP(CustomerCombinedCleaned[[#This Row],[ID]], Table2[ID],Table2[MC2], "Not Found", 0 )</f>
        <v>0</v>
      </c>
      <c r="AA105" s="16">
        <f>_xlfn.XLOOKUP(CustomerCombinedCleaned[[#This Row],[ID]], Table2[ID],Table2[MC3], "Not Found", 0 )</f>
        <v>0</v>
      </c>
      <c r="AB105" s="16">
        <f>_xlfn.XLOOKUP(CustomerCombinedCleaned[[#This Row],[ID]], Table2[ID],Table2[MC4], "Not Found", 0 )</f>
        <v>0</v>
      </c>
      <c r="AC105" s="16">
        <f>_xlfn.XLOOKUP(CustomerCombinedCleaned[[#This Row],[ID]], Table2[ID],Table2[MC5], "Not Found", 0 )</f>
        <v>0</v>
      </c>
    </row>
    <row r="106" spans="1:29" x14ac:dyDescent="0.3">
      <c r="A106" s="18">
        <v>1134</v>
      </c>
      <c r="B106" s="16">
        <v>141883</v>
      </c>
      <c r="C106" s="16">
        <v>1</v>
      </c>
      <c r="D106" s="16">
        <v>0</v>
      </c>
      <c r="E106" s="16">
        <v>32</v>
      </c>
      <c r="F106" s="17" t="s">
        <v>8</v>
      </c>
      <c r="G106" s="17" t="s">
        <v>11</v>
      </c>
      <c r="H106" s="3" t="s">
        <v>289</v>
      </c>
      <c r="I106" s="5" t="s">
        <v>436</v>
      </c>
      <c r="J106" s="16">
        <f>_xlfn.XLOOKUP(CustomerCombinedCleaned[[#This Row],[ID]], Table4[ID], Table4[Recency], "Not Found", 0)</f>
        <v>13</v>
      </c>
      <c r="K106" s="16">
        <f>_xlfn.XLOOKUP(CustomerCombinedCleaned[[#This Row],[ID]], Table4[ID], Table4[Teas], "Not Found", 0)</f>
        <v>108</v>
      </c>
      <c r="L106" s="16">
        <f>_xlfn.XLOOKUP(CustomerCombinedCleaned[[#This Row],[ID]], Table4[ID], Table4[Fruits], "Not Found", 0)</f>
        <v>115</v>
      </c>
      <c r="M106" s="16">
        <f>_xlfn.XLOOKUP(CustomerCombinedCleaned[[#This Row],[ID]], Table4[ID], Table4[Meats], "Not Found", 0)</f>
        <v>139</v>
      </c>
      <c r="N106" s="16">
        <f>_xlfn.XLOOKUP(CustomerCombinedCleaned[[#This Row],[ID]], Table4[ID], Table4[Seafood], "Not Found", 0)</f>
        <v>247</v>
      </c>
      <c r="O106" s="16">
        <f>_xlfn.XLOOKUP(CustomerCombinedCleaned[[#This Row],[ID]], Table4[ID], Table4[Sweets], "Not Found", 0)</f>
        <v>54</v>
      </c>
      <c r="P106" s="16">
        <f>_xlfn.XLOOKUP(CustomerCombinedCleaned[[#This Row],[ID]], Table4[ID], Table4[Premium], "Not Found", 0)</f>
        <v>393</v>
      </c>
      <c r="Q106" s="16">
        <f>_xlfn.XLOOKUP(CustomerCombinedCleaned[[#This Row],[ID]], Table4[ID], Table4[Regular], "Not Found", 0)</f>
        <v>271</v>
      </c>
      <c r="R106" s="16">
        <f>_xlfn.XLOOKUP(CustomerCombinedCleaned[[#This Row],[ID]], Table4[ID], Table4[Deals], "Not Found", 0)</f>
        <v>3</v>
      </c>
      <c r="S106" s="16">
        <f>_xlfn.XLOOKUP(CustomerCombinedCleaned[[#This Row],[ID]], Table4[ID], Table4[Website], "Not Found", 0)</f>
        <v>4</v>
      </c>
      <c r="T106" s="16">
        <f>_xlfn.XLOOKUP(CustomerCombinedCleaned[[#This Row],[ID]], Table4[ID], Table4[Catalog], "Not Found", 0)</f>
        <v>2</v>
      </c>
      <c r="U106" s="16">
        <f>_xlfn.XLOOKUP(CustomerCombinedCleaned[[#This Row],[ID]], Table4[ID], Table4[Store], "Not Found", 0)</f>
        <v>3</v>
      </c>
      <c r="V106" s="16">
        <f>_xlfn.XLOOKUP(CustomerCombinedCleaned[[#This Row],[ID]], Table4[ID], Table4[Visits], "Not Found", 0)</f>
        <v>7</v>
      </c>
      <c r="W106" s="16">
        <f>_xlfn.XLOOKUP(CustomerCombinedCleaned[[#This Row],[ID]], Table2[ID],Table2[Complaint], "Not Found", 0 )</f>
        <v>0</v>
      </c>
      <c r="X106" s="16">
        <f>_xlfn.XLOOKUP(CustomerCombinedCleaned[[#This Row],[ID]], Table2[ID],Table2[Pilot], "Not Found", 0 )</f>
        <v>0</v>
      </c>
      <c r="Y106" s="16">
        <f>_xlfn.XLOOKUP(CustomerCombinedCleaned[[#This Row],[ID]], Table2[ID],Table2[MC1], "Not Found", 0 )</f>
        <v>0</v>
      </c>
      <c r="Z106" s="16">
        <f>_xlfn.XLOOKUP(CustomerCombinedCleaned[[#This Row],[ID]], Table2[ID],Table2[MC2], "Not Found", 0 )</f>
        <v>0</v>
      </c>
      <c r="AA106" s="16">
        <f>_xlfn.XLOOKUP(CustomerCombinedCleaned[[#This Row],[ID]], Table2[ID],Table2[MC3], "Not Found", 0 )</f>
        <v>0</v>
      </c>
      <c r="AB106" s="16">
        <f>_xlfn.XLOOKUP(CustomerCombinedCleaned[[#This Row],[ID]], Table2[ID],Table2[MC4], "Not Found", 0 )</f>
        <v>0</v>
      </c>
      <c r="AC106" s="16">
        <f>_xlfn.XLOOKUP(CustomerCombinedCleaned[[#This Row],[ID]], Table2[ID],Table2[MC5], "Not Found", 0 )</f>
        <v>0</v>
      </c>
    </row>
    <row r="107" spans="1:29" x14ac:dyDescent="0.3">
      <c r="A107" s="18">
        <v>1290</v>
      </c>
      <c r="B107" s="16">
        <v>139747</v>
      </c>
      <c r="C107" s="16">
        <v>1</v>
      </c>
      <c r="D107" s="16">
        <v>0</v>
      </c>
      <c r="E107" s="16">
        <v>32</v>
      </c>
      <c r="F107" s="17" t="s">
        <v>7</v>
      </c>
      <c r="G107" s="17" t="s">
        <v>11</v>
      </c>
      <c r="H107" s="3" t="s">
        <v>69</v>
      </c>
      <c r="I107" s="5" t="s">
        <v>436</v>
      </c>
      <c r="J107" s="16">
        <f>_xlfn.XLOOKUP(CustomerCombinedCleaned[[#This Row],[ID]], Table4[ID], Table4[Recency], "Not Found", 0)</f>
        <v>43</v>
      </c>
      <c r="K107" s="16">
        <f>_xlfn.XLOOKUP(CustomerCombinedCleaned[[#This Row],[ID]], Table4[ID], Table4[Teas], "Not Found", 0)</f>
        <v>281</v>
      </c>
      <c r="L107" s="16">
        <f>_xlfn.XLOOKUP(CustomerCombinedCleaned[[#This Row],[ID]], Table4[ID], Table4[Fruits], "Not Found", 0)</f>
        <v>53</v>
      </c>
      <c r="M107" s="16">
        <f>_xlfn.XLOOKUP(CustomerCombinedCleaned[[#This Row],[ID]], Table4[ID], Table4[Meats], "Not Found", 0)</f>
        <v>327</v>
      </c>
      <c r="N107" s="16">
        <f>_xlfn.XLOOKUP(CustomerCombinedCleaned[[#This Row],[ID]], Table4[ID], Table4[Seafood], "Not Found", 0)</f>
        <v>70</v>
      </c>
      <c r="O107" s="16">
        <f>_xlfn.XLOOKUP(CustomerCombinedCleaned[[#This Row],[ID]], Table4[ID], Table4[Sweets], "Not Found", 0)</f>
        <v>46</v>
      </c>
      <c r="P107" s="16">
        <f>_xlfn.XLOOKUP(CustomerCombinedCleaned[[#This Row],[ID]], Table4[ID], Table4[Premium], "Not Found", 0)</f>
        <v>183</v>
      </c>
      <c r="Q107" s="16">
        <f>_xlfn.XLOOKUP(CustomerCombinedCleaned[[#This Row],[ID]], Table4[ID], Table4[Regular], "Not Found", 0)</f>
        <v>594</v>
      </c>
      <c r="R107" s="16">
        <f>_xlfn.XLOOKUP(CustomerCombinedCleaned[[#This Row],[ID]], Table4[ID], Table4[Deals], "Not Found", 0)</f>
        <v>3</v>
      </c>
      <c r="S107" s="16">
        <f>_xlfn.XLOOKUP(CustomerCombinedCleaned[[#This Row],[ID]], Table4[ID], Table4[Website], "Not Found", 0)</f>
        <v>5</v>
      </c>
      <c r="T107" s="16">
        <f>_xlfn.XLOOKUP(CustomerCombinedCleaned[[#This Row],[ID]], Table4[ID], Table4[Catalog], "Not Found", 0)</f>
        <v>1</v>
      </c>
      <c r="U107" s="16">
        <f>_xlfn.XLOOKUP(CustomerCombinedCleaned[[#This Row],[ID]], Table4[ID], Table4[Store], "Not Found", 0)</f>
        <v>4</v>
      </c>
      <c r="V107" s="16">
        <f>_xlfn.XLOOKUP(CustomerCombinedCleaned[[#This Row],[ID]], Table4[ID], Table4[Visits], "Not Found", 0)</f>
        <v>8</v>
      </c>
      <c r="W107" s="16">
        <f>_xlfn.XLOOKUP(CustomerCombinedCleaned[[#This Row],[ID]], Table2[ID],Table2[Complaint], "Not Found", 0 )</f>
        <v>0</v>
      </c>
      <c r="X107" s="16">
        <f>_xlfn.XLOOKUP(CustomerCombinedCleaned[[#This Row],[ID]], Table2[ID],Table2[Pilot], "Not Found", 0 )</f>
        <v>0</v>
      </c>
      <c r="Y107" s="16">
        <f>_xlfn.XLOOKUP(CustomerCombinedCleaned[[#This Row],[ID]], Table2[ID],Table2[MC1], "Not Found", 0 )</f>
        <v>0</v>
      </c>
      <c r="Z107" s="16">
        <f>_xlfn.XLOOKUP(CustomerCombinedCleaned[[#This Row],[ID]], Table2[ID],Table2[MC2], "Not Found", 0 )</f>
        <v>0</v>
      </c>
      <c r="AA107" s="16">
        <f>_xlfn.XLOOKUP(CustomerCombinedCleaned[[#This Row],[ID]], Table2[ID],Table2[MC3], "Not Found", 0 )</f>
        <v>0</v>
      </c>
      <c r="AB107" s="16">
        <f>_xlfn.XLOOKUP(CustomerCombinedCleaned[[#This Row],[ID]], Table2[ID],Table2[MC4], "Not Found", 0 )</f>
        <v>0</v>
      </c>
      <c r="AC107" s="16">
        <f>_xlfn.XLOOKUP(CustomerCombinedCleaned[[#This Row],[ID]], Table2[ID],Table2[MC5], "Not Found", 0 )</f>
        <v>0</v>
      </c>
    </row>
    <row r="108" spans="1:29" x14ac:dyDescent="0.3">
      <c r="A108" s="18">
        <v>1181</v>
      </c>
      <c r="B108" s="16">
        <v>138872</v>
      </c>
      <c r="C108" s="16">
        <v>1</v>
      </c>
      <c r="D108" s="16">
        <v>0</v>
      </c>
      <c r="E108" s="16">
        <v>32</v>
      </c>
      <c r="F108" s="17" t="s">
        <v>6</v>
      </c>
      <c r="G108" s="17" t="s">
        <v>11</v>
      </c>
      <c r="H108" s="3" t="s">
        <v>741</v>
      </c>
      <c r="I108" s="5" t="s">
        <v>434</v>
      </c>
      <c r="J108" s="16">
        <f>_xlfn.XLOOKUP(CustomerCombinedCleaned[[#This Row],[ID]], Table4[ID], Table4[Recency], "Not Found", 0)</f>
        <v>93</v>
      </c>
      <c r="K108" s="16">
        <f>_xlfn.XLOOKUP(CustomerCombinedCleaned[[#This Row],[ID]], Table4[ID], Table4[Teas], "Not Found", 0)</f>
        <v>82</v>
      </c>
      <c r="L108" s="16">
        <f>_xlfn.XLOOKUP(CustomerCombinedCleaned[[#This Row],[ID]], Table4[ID], Table4[Fruits], "Not Found", 0)</f>
        <v>11</v>
      </c>
      <c r="M108" s="16">
        <f>_xlfn.XLOOKUP(CustomerCombinedCleaned[[#This Row],[ID]], Table4[ID], Table4[Meats], "Not Found", 0)</f>
        <v>75</v>
      </c>
      <c r="N108" s="16">
        <f>_xlfn.XLOOKUP(CustomerCombinedCleaned[[#This Row],[ID]], Table4[ID], Table4[Seafood], "Not Found", 0)</f>
        <v>11</v>
      </c>
      <c r="O108" s="16">
        <f>_xlfn.XLOOKUP(CustomerCombinedCleaned[[#This Row],[ID]], Table4[ID], Table4[Sweets], "Not Found", 0)</f>
        <v>68</v>
      </c>
      <c r="P108" s="16">
        <f>_xlfn.XLOOKUP(CustomerCombinedCleaned[[#This Row],[ID]], Table4[ID], Table4[Premium], "Not Found", 0)</f>
        <v>79</v>
      </c>
      <c r="Q108" s="16">
        <f>_xlfn.XLOOKUP(CustomerCombinedCleaned[[#This Row],[ID]], Table4[ID], Table4[Regular], "Not Found", 0)</f>
        <v>168</v>
      </c>
      <c r="R108" s="16">
        <f>_xlfn.XLOOKUP(CustomerCombinedCleaned[[#This Row],[ID]], Table4[ID], Table4[Deals], "Not Found", 0)</f>
        <v>2</v>
      </c>
      <c r="S108" s="16">
        <f>_xlfn.XLOOKUP(CustomerCombinedCleaned[[#This Row],[ID]], Table4[ID], Table4[Website], "Not Found", 0)</f>
        <v>3</v>
      </c>
      <c r="T108" s="16">
        <f>_xlfn.XLOOKUP(CustomerCombinedCleaned[[#This Row],[ID]], Table4[ID], Table4[Catalog], "Not Found", 0)</f>
        <v>0</v>
      </c>
      <c r="U108" s="16">
        <f>_xlfn.XLOOKUP(CustomerCombinedCleaned[[#This Row],[ID]], Table4[ID], Table4[Store], "Not Found", 0)</f>
        <v>3</v>
      </c>
      <c r="V108" s="16">
        <f>_xlfn.XLOOKUP(CustomerCombinedCleaned[[#This Row],[ID]], Table4[ID], Table4[Visits], "Not Found", 0)</f>
        <v>8</v>
      </c>
      <c r="W108" s="16">
        <f>_xlfn.XLOOKUP(CustomerCombinedCleaned[[#This Row],[ID]], Table2[ID],Table2[Complaint], "Not Found", 0 )</f>
        <v>0</v>
      </c>
      <c r="X108" s="16">
        <f>_xlfn.XLOOKUP(CustomerCombinedCleaned[[#This Row],[ID]], Table2[ID],Table2[Pilot], "Not Found", 0 )</f>
        <v>0</v>
      </c>
      <c r="Y108" s="16">
        <f>_xlfn.XLOOKUP(CustomerCombinedCleaned[[#This Row],[ID]], Table2[ID],Table2[MC1], "Not Found", 0 )</f>
        <v>0</v>
      </c>
      <c r="Z108" s="16">
        <f>_xlfn.XLOOKUP(CustomerCombinedCleaned[[#This Row],[ID]], Table2[ID],Table2[MC2], "Not Found", 0 )</f>
        <v>0</v>
      </c>
      <c r="AA108" s="16">
        <f>_xlfn.XLOOKUP(CustomerCombinedCleaned[[#This Row],[ID]], Table2[ID],Table2[MC3], "Not Found", 0 )</f>
        <v>0</v>
      </c>
      <c r="AB108" s="16">
        <f>_xlfn.XLOOKUP(CustomerCombinedCleaned[[#This Row],[ID]], Table2[ID],Table2[MC4], "Not Found", 0 )</f>
        <v>0</v>
      </c>
      <c r="AC108" s="16">
        <f>_xlfn.XLOOKUP(CustomerCombinedCleaned[[#This Row],[ID]], Table2[ID],Table2[MC5], "Not Found", 0 )</f>
        <v>0</v>
      </c>
    </row>
    <row r="109" spans="1:29" x14ac:dyDescent="0.3">
      <c r="A109" s="18">
        <v>1283</v>
      </c>
      <c r="B109" s="16">
        <v>135388</v>
      </c>
      <c r="C109" s="16">
        <v>1</v>
      </c>
      <c r="D109" s="16">
        <v>0</v>
      </c>
      <c r="E109" s="16">
        <v>32</v>
      </c>
      <c r="F109" s="17" t="s">
        <v>5</v>
      </c>
      <c r="G109" s="17" t="s">
        <v>11</v>
      </c>
      <c r="H109" s="3" t="s">
        <v>688</v>
      </c>
      <c r="I109" s="5" t="s">
        <v>434</v>
      </c>
      <c r="J109" s="16">
        <f>_xlfn.XLOOKUP(CustomerCombinedCleaned[[#This Row],[ID]], Table4[ID], Table4[Recency], "Not Found", 0)</f>
        <v>20</v>
      </c>
      <c r="K109" s="16">
        <f>_xlfn.XLOOKUP(CustomerCombinedCleaned[[#This Row],[ID]], Table4[ID], Table4[Teas], "Not Found", 0)</f>
        <v>23</v>
      </c>
      <c r="L109" s="16">
        <f>_xlfn.XLOOKUP(CustomerCombinedCleaned[[#This Row],[ID]], Table4[ID], Table4[Fruits], "Not Found", 0)</f>
        <v>15</v>
      </c>
      <c r="M109" s="16">
        <f>_xlfn.XLOOKUP(CustomerCombinedCleaned[[#This Row],[ID]], Table4[ID], Table4[Meats], "Not Found", 0)</f>
        <v>27</v>
      </c>
      <c r="N109" s="16">
        <f>_xlfn.XLOOKUP(CustomerCombinedCleaned[[#This Row],[ID]], Table4[ID], Table4[Seafood], "Not Found", 0)</f>
        <v>15</v>
      </c>
      <c r="O109" s="16">
        <f>_xlfn.XLOOKUP(CustomerCombinedCleaned[[#This Row],[ID]], Table4[ID], Table4[Sweets], "Not Found", 0)</f>
        <v>11</v>
      </c>
      <c r="P109" s="16">
        <f>_xlfn.XLOOKUP(CustomerCombinedCleaned[[#This Row],[ID]], Table4[ID], Table4[Premium], "Not Found", 0)</f>
        <v>31</v>
      </c>
      <c r="Q109" s="16">
        <f>_xlfn.XLOOKUP(CustomerCombinedCleaned[[#This Row],[ID]], Table4[ID], Table4[Regular], "Not Found", 0)</f>
        <v>61</v>
      </c>
      <c r="R109" s="16">
        <f>_xlfn.XLOOKUP(CustomerCombinedCleaned[[#This Row],[ID]], Table4[ID], Table4[Deals], "Not Found", 0)</f>
        <v>1</v>
      </c>
      <c r="S109" s="16">
        <f>_xlfn.XLOOKUP(CustomerCombinedCleaned[[#This Row],[ID]], Table4[ID], Table4[Website], "Not Found", 0)</f>
        <v>1</v>
      </c>
      <c r="T109" s="16">
        <f>_xlfn.XLOOKUP(CustomerCombinedCleaned[[#This Row],[ID]], Table4[ID], Table4[Catalog], "Not Found", 0)</f>
        <v>0</v>
      </c>
      <c r="U109" s="16">
        <f>_xlfn.XLOOKUP(CustomerCombinedCleaned[[#This Row],[ID]], Table4[ID], Table4[Store], "Not Found", 0)</f>
        <v>3</v>
      </c>
      <c r="V109" s="16">
        <f>_xlfn.XLOOKUP(CustomerCombinedCleaned[[#This Row],[ID]], Table4[ID], Table4[Visits], "Not Found", 0)</f>
        <v>7</v>
      </c>
      <c r="W109" s="16">
        <f>_xlfn.XLOOKUP(CustomerCombinedCleaned[[#This Row],[ID]], Table2[ID],Table2[Complaint], "Not Found", 0 )</f>
        <v>0</v>
      </c>
      <c r="X109" s="16">
        <f>_xlfn.XLOOKUP(CustomerCombinedCleaned[[#This Row],[ID]], Table2[ID],Table2[Pilot], "Not Found", 0 )</f>
        <v>0</v>
      </c>
      <c r="Y109" s="16">
        <f>_xlfn.XLOOKUP(CustomerCombinedCleaned[[#This Row],[ID]], Table2[ID],Table2[MC1], "Not Found", 0 )</f>
        <v>0</v>
      </c>
      <c r="Z109" s="16">
        <f>_xlfn.XLOOKUP(CustomerCombinedCleaned[[#This Row],[ID]], Table2[ID],Table2[MC2], "Not Found", 0 )</f>
        <v>0</v>
      </c>
      <c r="AA109" s="16">
        <f>_xlfn.XLOOKUP(CustomerCombinedCleaned[[#This Row],[ID]], Table2[ID],Table2[MC3], "Not Found", 0 )</f>
        <v>0</v>
      </c>
      <c r="AB109" s="16">
        <f>_xlfn.XLOOKUP(CustomerCombinedCleaned[[#This Row],[ID]], Table2[ID],Table2[MC4], "Not Found", 0 )</f>
        <v>0</v>
      </c>
      <c r="AC109" s="16">
        <f>_xlfn.XLOOKUP(CustomerCombinedCleaned[[#This Row],[ID]], Table2[ID],Table2[MC5], "Not Found", 0 )</f>
        <v>0</v>
      </c>
    </row>
    <row r="110" spans="1:29" x14ac:dyDescent="0.3">
      <c r="A110" s="18">
        <v>1143</v>
      </c>
      <c r="B110" s="16">
        <v>134176</v>
      </c>
      <c r="C110" s="16">
        <v>1</v>
      </c>
      <c r="D110" s="16">
        <v>0</v>
      </c>
      <c r="E110" s="16">
        <v>32</v>
      </c>
      <c r="F110" s="17" t="s">
        <v>7</v>
      </c>
      <c r="G110" s="17" t="s">
        <v>11</v>
      </c>
      <c r="H110" s="3" t="s">
        <v>52</v>
      </c>
      <c r="I110" s="5" t="s">
        <v>435</v>
      </c>
      <c r="J110" s="16">
        <f>_xlfn.XLOOKUP(CustomerCombinedCleaned[[#This Row],[ID]], Table4[ID], Table4[Recency], "Not Found", 0)</f>
        <v>12</v>
      </c>
      <c r="K110" s="16">
        <f>_xlfn.XLOOKUP(CustomerCombinedCleaned[[#This Row],[ID]], Table4[ID], Table4[Teas], "Not Found", 0)</f>
        <v>20</v>
      </c>
      <c r="L110" s="16">
        <f>_xlfn.XLOOKUP(CustomerCombinedCleaned[[#This Row],[ID]], Table4[ID], Table4[Fruits], "Not Found", 0)</f>
        <v>27</v>
      </c>
      <c r="M110" s="16">
        <f>_xlfn.XLOOKUP(CustomerCombinedCleaned[[#This Row],[ID]], Table4[ID], Table4[Meats], "Not Found", 0)</f>
        <v>94</v>
      </c>
      <c r="N110" s="16">
        <f>_xlfn.XLOOKUP(CustomerCombinedCleaned[[#This Row],[ID]], Table4[ID], Table4[Seafood], "Not Found", 0)</f>
        <v>75</v>
      </c>
      <c r="O110" s="16">
        <f>_xlfn.XLOOKUP(CustomerCombinedCleaned[[#This Row],[ID]], Table4[ID], Table4[Sweets], "Not Found", 0)</f>
        <v>55</v>
      </c>
      <c r="P110" s="16">
        <f>_xlfn.XLOOKUP(CustomerCombinedCleaned[[#This Row],[ID]], Table4[ID], Table4[Premium], "Not Found", 0)</f>
        <v>79</v>
      </c>
      <c r="Q110" s="16">
        <f>_xlfn.XLOOKUP(CustomerCombinedCleaned[[#This Row],[ID]], Table4[ID], Table4[Regular], "Not Found", 0)</f>
        <v>192</v>
      </c>
      <c r="R110" s="16">
        <f>_xlfn.XLOOKUP(CustomerCombinedCleaned[[#This Row],[ID]], Table4[ID], Table4[Deals], "Not Found", 0)</f>
        <v>4</v>
      </c>
      <c r="S110" s="16">
        <f>_xlfn.XLOOKUP(CustomerCombinedCleaned[[#This Row],[ID]], Table4[ID], Table4[Website], "Not Found", 0)</f>
        <v>3</v>
      </c>
      <c r="T110" s="16">
        <f>_xlfn.XLOOKUP(CustomerCombinedCleaned[[#This Row],[ID]], Table4[ID], Table4[Catalog], "Not Found", 0)</f>
        <v>0</v>
      </c>
      <c r="U110" s="16">
        <f>_xlfn.XLOOKUP(CustomerCombinedCleaned[[#This Row],[ID]], Table4[ID], Table4[Store], "Not Found", 0)</f>
        <v>4</v>
      </c>
      <c r="V110" s="16">
        <f>_xlfn.XLOOKUP(CustomerCombinedCleaned[[#This Row],[ID]], Table4[ID], Table4[Visits], "Not Found", 0)</f>
        <v>6</v>
      </c>
      <c r="W110" s="16">
        <f>_xlfn.XLOOKUP(CustomerCombinedCleaned[[#This Row],[ID]], Table2[ID],Table2[Complaint], "Not Found", 0 )</f>
        <v>0</v>
      </c>
      <c r="X110" s="16">
        <f>_xlfn.XLOOKUP(CustomerCombinedCleaned[[#This Row],[ID]], Table2[ID],Table2[Pilot], "Not Found", 0 )</f>
        <v>0</v>
      </c>
      <c r="Y110" s="16">
        <f>_xlfn.XLOOKUP(CustomerCombinedCleaned[[#This Row],[ID]], Table2[ID],Table2[MC1], "Not Found", 0 )</f>
        <v>0</v>
      </c>
      <c r="Z110" s="16">
        <f>_xlfn.XLOOKUP(CustomerCombinedCleaned[[#This Row],[ID]], Table2[ID],Table2[MC2], "Not Found", 0 )</f>
        <v>0</v>
      </c>
      <c r="AA110" s="16">
        <f>_xlfn.XLOOKUP(CustomerCombinedCleaned[[#This Row],[ID]], Table2[ID],Table2[MC3], "Not Found", 0 )</f>
        <v>0</v>
      </c>
      <c r="AB110" s="16">
        <f>_xlfn.XLOOKUP(CustomerCombinedCleaned[[#This Row],[ID]], Table2[ID],Table2[MC4], "Not Found", 0 )</f>
        <v>0</v>
      </c>
      <c r="AC110" s="16">
        <f>_xlfn.XLOOKUP(CustomerCombinedCleaned[[#This Row],[ID]], Table2[ID],Table2[MC5], "Not Found", 0 )</f>
        <v>0</v>
      </c>
    </row>
    <row r="111" spans="1:29" x14ac:dyDescent="0.3">
      <c r="A111" s="18">
        <v>1823</v>
      </c>
      <c r="B111" s="16">
        <v>134176</v>
      </c>
      <c r="C111" s="16">
        <v>1</v>
      </c>
      <c r="D111" s="16">
        <v>0</v>
      </c>
      <c r="E111" s="16">
        <v>32</v>
      </c>
      <c r="F111" s="17" t="s">
        <v>7</v>
      </c>
      <c r="G111" s="17" t="s">
        <v>11</v>
      </c>
      <c r="H111" s="3" t="s">
        <v>52</v>
      </c>
      <c r="I111" s="5" t="s">
        <v>434</v>
      </c>
      <c r="J111" s="16">
        <f>_xlfn.XLOOKUP(CustomerCombinedCleaned[[#This Row],[ID]], Table4[ID], Table4[Recency], "Not Found", 0)</f>
        <v>12</v>
      </c>
      <c r="K111" s="16">
        <f>_xlfn.XLOOKUP(CustomerCombinedCleaned[[#This Row],[ID]], Table4[ID], Table4[Teas], "Not Found", 0)</f>
        <v>20</v>
      </c>
      <c r="L111" s="16">
        <f>_xlfn.XLOOKUP(CustomerCombinedCleaned[[#This Row],[ID]], Table4[ID], Table4[Fruits], "Not Found", 0)</f>
        <v>27</v>
      </c>
      <c r="M111" s="16">
        <f>_xlfn.XLOOKUP(CustomerCombinedCleaned[[#This Row],[ID]], Table4[ID], Table4[Meats], "Not Found", 0)</f>
        <v>94</v>
      </c>
      <c r="N111" s="16">
        <f>_xlfn.XLOOKUP(CustomerCombinedCleaned[[#This Row],[ID]], Table4[ID], Table4[Seafood], "Not Found", 0)</f>
        <v>75</v>
      </c>
      <c r="O111" s="16">
        <f>_xlfn.XLOOKUP(CustomerCombinedCleaned[[#This Row],[ID]], Table4[ID], Table4[Sweets], "Not Found", 0)</f>
        <v>55</v>
      </c>
      <c r="P111" s="16">
        <f>_xlfn.XLOOKUP(CustomerCombinedCleaned[[#This Row],[ID]], Table4[ID], Table4[Premium], "Not Found", 0)</f>
        <v>79</v>
      </c>
      <c r="Q111" s="16">
        <f>_xlfn.XLOOKUP(CustomerCombinedCleaned[[#This Row],[ID]], Table4[ID], Table4[Regular], "Not Found", 0)</f>
        <v>192</v>
      </c>
      <c r="R111" s="16">
        <f>_xlfn.XLOOKUP(CustomerCombinedCleaned[[#This Row],[ID]], Table4[ID], Table4[Deals], "Not Found", 0)</f>
        <v>4</v>
      </c>
      <c r="S111" s="16">
        <f>_xlfn.XLOOKUP(CustomerCombinedCleaned[[#This Row],[ID]], Table4[ID], Table4[Website], "Not Found", 0)</f>
        <v>3</v>
      </c>
      <c r="T111" s="16">
        <f>_xlfn.XLOOKUP(CustomerCombinedCleaned[[#This Row],[ID]], Table4[ID], Table4[Catalog], "Not Found", 0)</f>
        <v>0</v>
      </c>
      <c r="U111" s="16">
        <f>_xlfn.XLOOKUP(CustomerCombinedCleaned[[#This Row],[ID]], Table4[ID], Table4[Store], "Not Found", 0)</f>
        <v>4</v>
      </c>
      <c r="V111" s="16">
        <f>_xlfn.XLOOKUP(CustomerCombinedCleaned[[#This Row],[ID]], Table4[ID], Table4[Visits], "Not Found", 0)</f>
        <v>6</v>
      </c>
      <c r="W111" s="16">
        <f>_xlfn.XLOOKUP(CustomerCombinedCleaned[[#This Row],[ID]], Table2[ID],Table2[Complaint], "Not Found", 0 )</f>
        <v>0</v>
      </c>
      <c r="X111" s="16">
        <f>_xlfn.XLOOKUP(CustomerCombinedCleaned[[#This Row],[ID]], Table2[ID],Table2[Pilot], "Not Found", 0 )</f>
        <v>0</v>
      </c>
      <c r="Y111" s="16">
        <f>_xlfn.XLOOKUP(CustomerCombinedCleaned[[#This Row],[ID]], Table2[ID],Table2[MC1], "Not Found", 0 )</f>
        <v>0</v>
      </c>
      <c r="Z111" s="16">
        <f>_xlfn.XLOOKUP(CustomerCombinedCleaned[[#This Row],[ID]], Table2[ID],Table2[MC2], "Not Found", 0 )</f>
        <v>0</v>
      </c>
      <c r="AA111" s="16">
        <f>_xlfn.XLOOKUP(CustomerCombinedCleaned[[#This Row],[ID]], Table2[ID],Table2[MC3], "Not Found", 0 )</f>
        <v>0</v>
      </c>
      <c r="AB111" s="16">
        <f>_xlfn.XLOOKUP(CustomerCombinedCleaned[[#This Row],[ID]], Table2[ID],Table2[MC4], "Not Found", 0 )</f>
        <v>0</v>
      </c>
      <c r="AC111" s="16">
        <f>_xlfn.XLOOKUP(CustomerCombinedCleaned[[#This Row],[ID]], Table2[ID],Table2[MC5], "Not Found", 0 )</f>
        <v>0</v>
      </c>
    </row>
    <row r="112" spans="1:29" x14ac:dyDescent="0.3">
      <c r="A112" s="18">
        <v>1194</v>
      </c>
      <c r="B112" s="16">
        <v>129604</v>
      </c>
      <c r="C112" s="16">
        <v>1</v>
      </c>
      <c r="D112" s="16">
        <v>0</v>
      </c>
      <c r="E112" s="16">
        <v>32</v>
      </c>
      <c r="F112" s="17" t="s">
        <v>8</v>
      </c>
      <c r="G112" s="17" t="s">
        <v>11</v>
      </c>
      <c r="H112" s="3" t="s">
        <v>140</v>
      </c>
      <c r="I112" s="5" t="s">
        <v>436</v>
      </c>
      <c r="J112" s="16">
        <f>_xlfn.XLOOKUP(CustomerCombinedCleaned[[#This Row],[ID]], Table4[ID], Table4[Recency], "Not Found", 0)</f>
        <v>88</v>
      </c>
      <c r="K112" s="16">
        <f>_xlfn.XLOOKUP(CustomerCombinedCleaned[[#This Row],[ID]], Table4[ID], Table4[Teas], "Not Found", 0)</f>
        <v>31</v>
      </c>
      <c r="L112" s="16">
        <f>_xlfn.XLOOKUP(CustomerCombinedCleaned[[#This Row],[ID]], Table4[ID], Table4[Fruits], "Not Found", 0)</f>
        <v>26</v>
      </c>
      <c r="M112" s="16">
        <f>_xlfn.XLOOKUP(CustomerCombinedCleaned[[#This Row],[ID]], Table4[ID], Table4[Meats], "Not Found", 0)</f>
        <v>57</v>
      </c>
      <c r="N112" s="16">
        <f>_xlfn.XLOOKUP(CustomerCombinedCleaned[[#This Row],[ID]], Table4[ID], Table4[Seafood], "Not Found", 0)</f>
        <v>31</v>
      </c>
      <c r="O112" s="16">
        <f>_xlfn.XLOOKUP(CustomerCombinedCleaned[[#This Row],[ID]], Table4[ID], Table4[Sweets], "Not Found", 0)</f>
        <v>26</v>
      </c>
      <c r="P112" s="16">
        <f>_xlfn.XLOOKUP(CustomerCombinedCleaned[[#This Row],[ID]], Table4[ID], Table4[Premium], "Not Found", 0)</f>
        <v>61</v>
      </c>
      <c r="Q112" s="16">
        <f>_xlfn.XLOOKUP(CustomerCombinedCleaned[[#This Row],[ID]], Table4[ID], Table4[Regular], "Not Found", 0)</f>
        <v>109</v>
      </c>
      <c r="R112" s="16">
        <f>_xlfn.XLOOKUP(CustomerCombinedCleaned[[#This Row],[ID]], Table4[ID], Table4[Deals], "Not Found", 0)</f>
        <v>1</v>
      </c>
      <c r="S112" s="16">
        <f>_xlfn.XLOOKUP(CustomerCombinedCleaned[[#This Row],[ID]], Table4[ID], Table4[Website], "Not Found", 0)</f>
        <v>1</v>
      </c>
      <c r="T112" s="16">
        <f>_xlfn.XLOOKUP(CustomerCombinedCleaned[[#This Row],[ID]], Table4[ID], Table4[Catalog], "Not Found", 0)</f>
        <v>0</v>
      </c>
      <c r="U112" s="16">
        <f>_xlfn.XLOOKUP(CustomerCombinedCleaned[[#This Row],[ID]], Table4[ID], Table4[Store], "Not Found", 0)</f>
        <v>3</v>
      </c>
      <c r="V112" s="16">
        <f>_xlfn.XLOOKUP(CustomerCombinedCleaned[[#This Row],[ID]], Table4[ID], Table4[Visits], "Not Found", 0)</f>
        <v>9</v>
      </c>
      <c r="W112" s="16">
        <f>_xlfn.XLOOKUP(CustomerCombinedCleaned[[#This Row],[ID]], Table2[ID],Table2[Complaint], "Not Found", 0 )</f>
        <v>0</v>
      </c>
      <c r="X112" s="16">
        <f>_xlfn.XLOOKUP(CustomerCombinedCleaned[[#This Row],[ID]], Table2[ID],Table2[Pilot], "Not Found", 0 )</f>
        <v>0</v>
      </c>
      <c r="Y112" s="16">
        <f>_xlfn.XLOOKUP(CustomerCombinedCleaned[[#This Row],[ID]], Table2[ID],Table2[MC1], "Not Found", 0 )</f>
        <v>0</v>
      </c>
      <c r="Z112" s="16">
        <f>_xlfn.XLOOKUP(CustomerCombinedCleaned[[#This Row],[ID]], Table2[ID],Table2[MC2], "Not Found", 0 )</f>
        <v>0</v>
      </c>
      <c r="AA112" s="16">
        <f>_xlfn.XLOOKUP(CustomerCombinedCleaned[[#This Row],[ID]], Table2[ID],Table2[MC3], "Not Found", 0 )</f>
        <v>1</v>
      </c>
      <c r="AB112" s="16">
        <f>_xlfn.XLOOKUP(CustomerCombinedCleaned[[#This Row],[ID]], Table2[ID],Table2[MC4], "Not Found", 0 )</f>
        <v>0</v>
      </c>
      <c r="AC112" s="16">
        <f>_xlfn.XLOOKUP(CustomerCombinedCleaned[[#This Row],[ID]], Table2[ID],Table2[MC5], "Not Found", 0 )</f>
        <v>0</v>
      </c>
    </row>
    <row r="113" spans="1:29" x14ac:dyDescent="0.3">
      <c r="A113" s="18">
        <v>1054</v>
      </c>
      <c r="B113" s="16">
        <v>127938</v>
      </c>
      <c r="C113" s="16">
        <v>1</v>
      </c>
      <c r="D113" s="16">
        <v>0</v>
      </c>
      <c r="E113" s="16">
        <v>32</v>
      </c>
      <c r="F113" s="17" t="s">
        <v>7</v>
      </c>
      <c r="G113" s="17" t="s">
        <v>11</v>
      </c>
      <c r="H113" s="3" t="s">
        <v>550</v>
      </c>
      <c r="I113" s="5" t="s">
        <v>439</v>
      </c>
      <c r="J113" s="16">
        <f>_xlfn.XLOOKUP(CustomerCombinedCleaned[[#This Row],[ID]], Table4[ID], Table4[Recency], "Not Found", 0)</f>
        <v>31</v>
      </c>
      <c r="K113" s="16">
        <f>_xlfn.XLOOKUP(CustomerCombinedCleaned[[#This Row],[ID]], Table4[ID], Table4[Teas], "Not Found", 0)</f>
        <v>60</v>
      </c>
      <c r="L113" s="16">
        <f>_xlfn.XLOOKUP(CustomerCombinedCleaned[[#This Row],[ID]], Table4[ID], Table4[Fruits], "Not Found", 0)</f>
        <v>0</v>
      </c>
      <c r="M113" s="16">
        <f>_xlfn.XLOOKUP(CustomerCombinedCleaned[[#This Row],[ID]], Table4[ID], Table4[Meats], "Not Found", 0)</f>
        <v>37</v>
      </c>
      <c r="N113" s="16">
        <f>_xlfn.XLOOKUP(CustomerCombinedCleaned[[#This Row],[ID]], Table4[ID], Table4[Seafood], "Not Found", 0)</f>
        <v>9</v>
      </c>
      <c r="O113" s="16">
        <f>_xlfn.XLOOKUP(CustomerCombinedCleaned[[#This Row],[ID]], Table4[ID], Table4[Sweets], "Not Found", 0)</f>
        <v>5</v>
      </c>
      <c r="P113" s="16">
        <f>_xlfn.XLOOKUP(CustomerCombinedCleaned[[#This Row],[ID]], Table4[ID], Table4[Premium], "Not Found", 0)</f>
        <v>23</v>
      </c>
      <c r="Q113" s="16">
        <f>_xlfn.XLOOKUP(CustomerCombinedCleaned[[#This Row],[ID]], Table4[ID], Table4[Regular], "Not Found", 0)</f>
        <v>87</v>
      </c>
      <c r="R113" s="16">
        <f>_xlfn.XLOOKUP(CustomerCombinedCleaned[[#This Row],[ID]], Table4[ID], Table4[Deals], "Not Found", 0)</f>
        <v>1</v>
      </c>
      <c r="S113" s="16">
        <f>_xlfn.XLOOKUP(CustomerCombinedCleaned[[#This Row],[ID]], Table4[ID], Table4[Website], "Not Found", 0)</f>
        <v>1</v>
      </c>
      <c r="T113" s="16">
        <f>_xlfn.XLOOKUP(CustomerCombinedCleaned[[#This Row],[ID]], Table4[ID], Table4[Catalog], "Not Found", 0)</f>
        <v>0</v>
      </c>
      <c r="U113" s="16">
        <f>_xlfn.XLOOKUP(CustomerCombinedCleaned[[#This Row],[ID]], Table4[ID], Table4[Store], "Not Found", 0)</f>
        <v>4</v>
      </c>
      <c r="V113" s="16">
        <f>_xlfn.XLOOKUP(CustomerCombinedCleaned[[#This Row],[ID]], Table4[ID], Table4[Visits], "Not Found", 0)</f>
        <v>3</v>
      </c>
      <c r="W113" s="16">
        <f>_xlfn.XLOOKUP(CustomerCombinedCleaned[[#This Row],[ID]], Table2[ID],Table2[Complaint], "Not Found", 0 )</f>
        <v>0</v>
      </c>
      <c r="X113" s="16">
        <f>_xlfn.XLOOKUP(CustomerCombinedCleaned[[#This Row],[ID]], Table2[ID],Table2[Pilot], "Not Found", 0 )</f>
        <v>0</v>
      </c>
      <c r="Y113" s="16">
        <f>_xlfn.XLOOKUP(CustomerCombinedCleaned[[#This Row],[ID]], Table2[ID],Table2[MC1], "Not Found", 0 )</f>
        <v>0</v>
      </c>
      <c r="Z113" s="16">
        <f>_xlfn.XLOOKUP(CustomerCombinedCleaned[[#This Row],[ID]], Table2[ID],Table2[MC2], "Not Found", 0 )</f>
        <v>0</v>
      </c>
      <c r="AA113" s="16">
        <f>_xlfn.XLOOKUP(CustomerCombinedCleaned[[#This Row],[ID]], Table2[ID],Table2[MC3], "Not Found", 0 )</f>
        <v>0</v>
      </c>
      <c r="AB113" s="16">
        <f>_xlfn.XLOOKUP(CustomerCombinedCleaned[[#This Row],[ID]], Table2[ID],Table2[MC4], "Not Found", 0 )</f>
        <v>0</v>
      </c>
      <c r="AC113" s="16">
        <f>_xlfn.XLOOKUP(CustomerCombinedCleaned[[#This Row],[ID]], Table2[ID],Table2[MC5], "Not Found", 0 )</f>
        <v>0</v>
      </c>
    </row>
    <row r="114" spans="1:29" x14ac:dyDescent="0.3">
      <c r="A114" s="18">
        <v>2824</v>
      </c>
      <c r="B114" s="16">
        <v>125008</v>
      </c>
      <c r="C114" s="16">
        <v>1</v>
      </c>
      <c r="D114" s="16">
        <v>0</v>
      </c>
      <c r="E114" s="16">
        <v>32</v>
      </c>
      <c r="F114" s="17" t="s">
        <v>7</v>
      </c>
      <c r="G114" s="17" t="s">
        <v>11</v>
      </c>
      <c r="H114" s="3" t="s">
        <v>571</v>
      </c>
      <c r="I114" s="5" t="s">
        <v>439</v>
      </c>
      <c r="J114" s="16">
        <f>_xlfn.XLOOKUP(CustomerCombinedCleaned[[#This Row],[ID]], Table4[ID], Table4[Recency], "Not Found", 0)</f>
        <v>72</v>
      </c>
      <c r="K114" s="16">
        <f>_xlfn.XLOOKUP(CustomerCombinedCleaned[[#This Row],[ID]], Table4[ID], Table4[Teas], "Not Found", 0)</f>
        <v>10</v>
      </c>
      <c r="L114" s="16">
        <f>_xlfn.XLOOKUP(CustomerCombinedCleaned[[#This Row],[ID]], Table4[ID], Table4[Fruits], "Not Found", 0)</f>
        <v>40</v>
      </c>
      <c r="M114" s="16">
        <f>_xlfn.XLOOKUP(CustomerCombinedCleaned[[#This Row],[ID]], Table4[ID], Table4[Meats], "Not Found", 0)</f>
        <v>40</v>
      </c>
      <c r="N114" s="16">
        <f>_xlfn.XLOOKUP(CustomerCombinedCleaned[[#This Row],[ID]], Table4[ID], Table4[Seafood], "Not Found", 0)</f>
        <v>30</v>
      </c>
      <c r="O114" s="16">
        <f>_xlfn.XLOOKUP(CustomerCombinedCleaned[[#This Row],[ID]], Table4[ID], Table4[Sweets], "Not Found", 0)</f>
        <v>5</v>
      </c>
      <c r="P114" s="16">
        <f>_xlfn.XLOOKUP(CustomerCombinedCleaned[[#This Row],[ID]], Table4[ID], Table4[Premium], "Not Found", 0)</f>
        <v>45</v>
      </c>
      <c r="Q114" s="16">
        <f>_xlfn.XLOOKUP(CustomerCombinedCleaned[[#This Row],[ID]], Table4[ID], Table4[Regular], "Not Found", 0)</f>
        <v>80</v>
      </c>
      <c r="R114" s="16">
        <f>_xlfn.XLOOKUP(CustomerCombinedCleaned[[#This Row],[ID]], Table4[ID], Table4[Deals], "Not Found", 0)</f>
        <v>2</v>
      </c>
      <c r="S114" s="16">
        <f>_xlfn.XLOOKUP(CustomerCombinedCleaned[[#This Row],[ID]], Table4[ID], Table4[Website], "Not Found", 0)</f>
        <v>1</v>
      </c>
      <c r="T114" s="16">
        <f>_xlfn.XLOOKUP(CustomerCombinedCleaned[[#This Row],[ID]], Table4[ID], Table4[Catalog], "Not Found", 0)</f>
        <v>0</v>
      </c>
      <c r="U114" s="16">
        <f>_xlfn.XLOOKUP(CustomerCombinedCleaned[[#This Row],[ID]], Table4[ID], Table4[Store], "Not Found", 0)</f>
        <v>3</v>
      </c>
      <c r="V114" s="16">
        <f>_xlfn.XLOOKUP(CustomerCombinedCleaned[[#This Row],[ID]], Table4[ID], Table4[Visits], "Not Found", 0)</f>
        <v>8</v>
      </c>
      <c r="W114" s="16">
        <f>_xlfn.XLOOKUP(CustomerCombinedCleaned[[#This Row],[ID]], Table2[ID],Table2[Complaint], "Not Found", 0 )</f>
        <v>0</v>
      </c>
      <c r="X114" s="16">
        <f>_xlfn.XLOOKUP(CustomerCombinedCleaned[[#This Row],[ID]], Table2[ID],Table2[Pilot], "Not Found", 0 )</f>
        <v>0</v>
      </c>
      <c r="Y114" s="16">
        <f>_xlfn.XLOOKUP(CustomerCombinedCleaned[[#This Row],[ID]], Table2[ID],Table2[MC1], "Not Found", 0 )</f>
        <v>0</v>
      </c>
      <c r="Z114" s="16">
        <f>_xlfn.XLOOKUP(CustomerCombinedCleaned[[#This Row],[ID]], Table2[ID],Table2[MC2], "Not Found", 0 )</f>
        <v>0</v>
      </c>
      <c r="AA114" s="16">
        <f>_xlfn.XLOOKUP(CustomerCombinedCleaned[[#This Row],[ID]], Table2[ID],Table2[MC3], "Not Found", 0 )</f>
        <v>0</v>
      </c>
      <c r="AB114" s="16">
        <f>_xlfn.XLOOKUP(CustomerCombinedCleaned[[#This Row],[ID]], Table2[ID],Table2[MC4], "Not Found", 0 )</f>
        <v>0</v>
      </c>
      <c r="AC114" s="16">
        <f>_xlfn.XLOOKUP(CustomerCombinedCleaned[[#This Row],[ID]], Table2[ID],Table2[MC5], "Not Found", 0 )</f>
        <v>0</v>
      </c>
    </row>
    <row r="115" spans="1:29" x14ac:dyDescent="0.3">
      <c r="A115" s="18">
        <v>2538</v>
      </c>
      <c r="B115" s="16">
        <v>124645</v>
      </c>
      <c r="C115" s="16">
        <v>1</v>
      </c>
      <c r="D115" s="16">
        <v>0</v>
      </c>
      <c r="E115" s="16">
        <v>32</v>
      </c>
      <c r="F115" s="17" t="s">
        <v>6</v>
      </c>
      <c r="G115" s="17" t="s">
        <v>11</v>
      </c>
      <c r="H115" s="3" t="s">
        <v>656</v>
      </c>
      <c r="I115" s="5" t="s">
        <v>436</v>
      </c>
      <c r="J115" s="16">
        <f>_xlfn.XLOOKUP(CustomerCombinedCleaned[[#This Row],[ID]], Table4[ID], Table4[Recency], "Not Found", 0)</f>
        <v>16</v>
      </c>
      <c r="K115" s="16">
        <f>_xlfn.XLOOKUP(CustomerCombinedCleaned[[#This Row],[ID]], Table4[ID], Table4[Teas], "Not Found", 0)</f>
        <v>25</v>
      </c>
      <c r="L115" s="16">
        <f>_xlfn.XLOOKUP(CustomerCombinedCleaned[[#This Row],[ID]], Table4[ID], Table4[Fruits], "Not Found", 0)</f>
        <v>15</v>
      </c>
      <c r="M115" s="16">
        <f>_xlfn.XLOOKUP(CustomerCombinedCleaned[[#This Row],[ID]], Table4[ID], Table4[Meats], "Not Found", 0)</f>
        <v>20</v>
      </c>
      <c r="N115" s="16">
        <f>_xlfn.XLOOKUP(CustomerCombinedCleaned[[#This Row],[ID]], Table4[ID], Table4[Seafood], "Not Found", 0)</f>
        <v>20</v>
      </c>
      <c r="O115" s="16">
        <f>_xlfn.XLOOKUP(CustomerCombinedCleaned[[#This Row],[ID]], Table4[ID], Table4[Sweets], "Not Found", 0)</f>
        <v>5</v>
      </c>
      <c r="P115" s="16">
        <f>_xlfn.XLOOKUP(CustomerCombinedCleaned[[#This Row],[ID]], Table4[ID], Table4[Premium], "Not Found", 0)</f>
        <v>0</v>
      </c>
      <c r="Q115" s="16">
        <f>_xlfn.XLOOKUP(CustomerCombinedCleaned[[#This Row],[ID]], Table4[ID], Table4[Regular], "Not Found", 0)</f>
        <v>86</v>
      </c>
      <c r="R115" s="16">
        <f>_xlfn.XLOOKUP(CustomerCombinedCleaned[[#This Row],[ID]], Table4[ID], Table4[Deals], "Not Found", 0)</f>
        <v>1</v>
      </c>
      <c r="S115" s="16">
        <f>_xlfn.XLOOKUP(CustomerCombinedCleaned[[#This Row],[ID]], Table4[ID], Table4[Website], "Not Found", 0)</f>
        <v>1</v>
      </c>
      <c r="T115" s="16">
        <f>_xlfn.XLOOKUP(CustomerCombinedCleaned[[#This Row],[ID]], Table4[ID], Table4[Catalog], "Not Found", 0)</f>
        <v>0</v>
      </c>
      <c r="U115" s="16">
        <f>_xlfn.XLOOKUP(CustomerCombinedCleaned[[#This Row],[ID]], Table4[ID], Table4[Store], "Not Found", 0)</f>
        <v>2</v>
      </c>
      <c r="V115" s="16">
        <f>_xlfn.XLOOKUP(CustomerCombinedCleaned[[#This Row],[ID]], Table4[ID], Table4[Visits], "Not Found", 0)</f>
        <v>8</v>
      </c>
      <c r="W115" s="16">
        <f>_xlfn.XLOOKUP(CustomerCombinedCleaned[[#This Row],[ID]], Table2[ID],Table2[Complaint], "Not Found", 0 )</f>
        <v>0</v>
      </c>
      <c r="X115" s="16">
        <f>_xlfn.XLOOKUP(CustomerCombinedCleaned[[#This Row],[ID]], Table2[ID],Table2[Pilot], "Not Found", 0 )</f>
        <v>0</v>
      </c>
      <c r="Y115" s="16">
        <f>_xlfn.XLOOKUP(CustomerCombinedCleaned[[#This Row],[ID]], Table2[ID],Table2[MC1], "Not Found", 0 )</f>
        <v>0</v>
      </c>
      <c r="Z115" s="16">
        <f>_xlfn.XLOOKUP(CustomerCombinedCleaned[[#This Row],[ID]], Table2[ID],Table2[MC2], "Not Found", 0 )</f>
        <v>0</v>
      </c>
      <c r="AA115" s="16">
        <f>_xlfn.XLOOKUP(CustomerCombinedCleaned[[#This Row],[ID]], Table2[ID],Table2[MC3], "Not Found", 0 )</f>
        <v>0</v>
      </c>
      <c r="AB115" s="16">
        <f>_xlfn.XLOOKUP(CustomerCombinedCleaned[[#This Row],[ID]], Table2[ID],Table2[MC4], "Not Found", 0 )</f>
        <v>0</v>
      </c>
      <c r="AC115" s="16">
        <f>_xlfn.XLOOKUP(CustomerCombinedCleaned[[#This Row],[ID]], Table2[ID],Table2[MC5], "Not Found", 0 )</f>
        <v>0</v>
      </c>
    </row>
    <row r="116" spans="1:29" x14ac:dyDescent="0.3">
      <c r="A116" s="18">
        <v>2510</v>
      </c>
      <c r="B116" s="16">
        <v>123331</v>
      </c>
      <c r="C116" s="16">
        <v>1</v>
      </c>
      <c r="D116" s="16">
        <v>0</v>
      </c>
      <c r="E116" s="16">
        <v>32</v>
      </c>
      <c r="F116" s="17" t="s">
        <v>6</v>
      </c>
      <c r="G116" s="17" t="s">
        <v>11</v>
      </c>
      <c r="H116" s="3" t="s">
        <v>640</v>
      </c>
      <c r="I116" s="5" t="s">
        <v>438</v>
      </c>
      <c r="J116" s="16">
        <f>_xlfn.XLOOKUP(CustomerCombinedCleaned[[#This Row],[ID]], Table4[ID], Table4[Recency], "Not Found", 0)</f>
        <v>92</v>
      </c>
      <c r="K116" s="16">
        <f>_xlfn.XLOOKUP(CustomerCombinedCleaned[[#This Row],[ID]], Table4[ID], Table4[Teas], "Not Found", 0)</f>
        <v>26</v>
      </c>
      <c r="L116" s="16">
        <f>_xlfn.XLOOKUP(CustomerCombinedCleaned[[#This Row],[ID]], Table4[ID], Table4[Fruits], "Not Found", 0)</f>
        <v>190</v>
      </c>
      <c r="M116" s="16">
        <f>_xlfn.XLOOKUP(CustomerCombinedCleaned[[#This Row],[ID]], Table4[ID], Table4[Meats], "Not Found", 0)</f>
        <v>37</v>
      </c>
      <c r="N116" s="16">
        <f>_xlfn.XLOOKUP(CustomerCombinedCleaned[[#This Row],[ID]], Table4[ID], Table4[Seafood], "Not Found", 0)</f>
        <v>0</v>
      </c>
      <c r="O116" s="16">
        <f>_xlfn.XLOOKUP(CustomerCombinedCleaned[[#This Row],[ID]], Table4[ID], Table4[Sweets], "Not Found", 0)</f>
        <v>53</v>
      </c>
      <c r="P116" s="16">
        <f>_xlfn.XLOOKUP(CustomerCombinedCleaned[[#This Row],[ID]], Table4[ID], Table4[Premium], "Not Found", 0)</f>
        <v>238</v>
      </c>
      <c r="Q116" s="16">
        <f>_xlfn.XLOOKUP(CustomerCombinedCleaned[[#This Row],[ID]], Table4[ID], Table4[Regular], "Not Found", 0)</f>
        <v>69</v>
      </c>
      <c r="R116" s="16">
        <f>_xlfn.XLOOKUP(CustomerCombinedCleaned[[#This Row],[ID]], Table4[ID], Table4[Deals], "Not Found", 0)</f>
        <v>2</v>
      </c>
      <c r="S116" s="16">
        <f>_xlfn.XLOOKUP(CustomerCombinedCleaned[[#This Row],[ID]], Table4[ID], Table4[Website], "Not Found", 0)</f>
        <v>3</v>
      </c>
      <c r="T116" s="16">
        <f>_xlfn.XLOOKUP(CustomerCombinedCleaned[[#This Row],[ID]], Table4[ID], Table4[Catalog], "Not Found", 0)</f>
        <v>0</v>
      </c>
      <c r="U116" s="16">
        <f>_xlfn.XLOOKUP(CustomerCombinedCleaned[[#This Row],[ID]], Table4[ID], Table4[Store], "Not Found", 0)</f>
        <v>3</v>
      </c>
      <c r="V116" s="16">
        <f>_xlfn.XLOOKUP(CustomerCombinedCleaned[[#This Row],[ID]], Table4[ID], Table4[Visits], "Not Found", 0)</f>
        <v>8</v>
      </c>
      <c r="W116" s="16">
        <f>_xlfn.XLOOKUP(CustomerCombinedCleaned[[#This Row],[ID]], Table2[ID],Table2[Complaint], "Not Found", 0 )</f>
        <v>0</v>
      </c>
      <c r="X116" s="16">
        <f>_xlfn.XLOOKUP(CustomerCombinedCleaned[[#This Row],[ID]], Table2[ID],Table2[Pilot], "Not Found", 0 )</f>
        <v>0</v>
      </c>
      <c r="Y116" s="16">
        <f>_xlfn.XLOOKUP(CustomerCombinedCleaned[[#This Row],[ID]], Table2[ID],Table2[MC1], "Not Found", 0 )</f>
        <v>0</v>
      </c>
      <c r="Z116" s="16">
        <f>_xlfn.XLOOKUP(CustomerCombinedCleaned[[#This Row],[ID]], Table2[ID],Table2[MC2], "Not Found", 0 )</f>
        <v>0</v>
      </c>
      <c r="AA116" s="16">
        <f>_xlfn.XLOOKUP(CustomerCombinedCleaned[[#This Row],[ID]], Table2[ID],Table2[MC3], "Not Found", 0 )</f>
        <v>0</v>
      </c>
      <c r="AB116" s="16">
        <f>_xlfn.XLOOKUP(CustomerCombinedCleaned[[#This Row],[ID]], Table2[ID],Table2[MC4], "Not Found", 0 )</f>
        <v>0</v>
      </c>
      <c r="AC116" s="16">
        <f>_xlfn.XLOOKUP(CustomerCombinedCleaned[[#This Row],[ID]], Table2[ID],Table2[MC5], "Not Found", 0 )</f>
        <v>0</v>
      </c>
    </row>
    <row r="117" spans="1:29" x14ac:dyDescent="0.3">
      <c r="A117" s="18">
        <v>2511</v>
      </c>
      <c r="B117" s="16">
        <v>123331</v>
      </c>
      <c r="C117" s="16">
        <v>1</v>
      </c>
      <c r="D117" s="16">
        <v>0</v>
      </c>
      <c r="E117" s="16">
        <v>32</v>
      </c>
      <c r="F117" s="17" t="s">
        <v>7</v>
      </c>
      <c r="G117" s="17" t="s">
        <v>11</v>
      </c>
      <c r="H117" s="3" t="s">
        <v>663</v>
      </c>
      <c r="I117" s="5" t="s">
        <v>435</v>
      </c>
      <c r="J117" s="16">
        <f>_xlfn.XLOOKUP(CustomerCombinedCleaned[[#This Row],[ID]], Table4[ID], Table4[Recency], "Not Found", 0)</f>
        <v>97</v>
      </c>
      <c r="K117" s="16">
        <f>_xlfn.XLOOKUP(CustomerCombinedCleaned[[#This Row],[ID]], Table4[ID], Table4[Teas], "Not Found", 0)</f>
        <v>550</v>
      </c>
      <c r="L117" s="16">
        <f>_xlfn.XLOOKUP(CustomerCombinedCleaned[[#This Row],[ID]], Table4[ID], Table4[Fruits], "Not Found", 0)</f>
        <v>106</v>
      </c>
      <c r="M117" s="16">
        <f>_xlfn.XLOOKUP(CustomerCombinedCleaned[[#This Row],[ID]], Table4[ID], Table4[Meats], "Not Found", 0)</f>
        <v>534</v>
      </c>
      <c r="N117" s="16">
        <f>_xlfn.XLOOKUP(CustomerCombinedCleaned[[#This Row],[ID]], Table4[ID], Table4[Seafood], "Not Found", 0)</f>
        <v>127</v>
      </c>
      <c r="O117" s="16">
        <f>_xlfn.XLOOKUP(CustomerCombinedCleaned[[#This Row],[ID]], Table4[ID], Table4[Sweets], "Not Found", 0)</f>
        <v>79</v>
      </c>
      <c r="P117" s="16">
        <f>_xlfn.XLOOKUP(CustomerCombinedCleaned[[#This Row],[ID]], Table4[ID], Table4[Premium], "Not Found", 0)</f>
        <v>26</v>
      </c>
      <c r="Q117" s="16">
        <f>_xlfn.XLOOKUP(CustomerCombinedCleaned[[#This Row],[ID]], Table4[ID], Table4[Regular], "Not Found", 0)</f>
        <v>1369</v>
      </c>
      <c r="R117" s="16">
        <f>_xlfn.XLOOKUP(CustomerCombinedCleaned[[#This Row],[ID]], Table4[ID], Table4[Deals], "Not Found", 0)</f>
        <v>6</v>
      </c>
      <c r="S117" s="16">
        <f>_xlfn.XLOOKUP(CustomerCombinedCleaned[[#This Row],[ID]], Table4[ID], Table4[Website], "Not Found", 0)</f>
        <v>5</v>
      </c>
      <c r="T117" s="16">
        <f>_xlfn.XLOOKUP(CustomerCombinedCleaned[[#This Row],[ID]], Table4[ID], Table4[Catalog], "Not Found", 0)</f>
        <v>1</v>
      </c>
      <c r="U117" s="16">
        <f>_xlfn.XLOOKUP(CustomerCombinedCleaned[[#This Row],[ID]], Table4[ID], Table4[Store], "Not Found", 0)</f>
        <v>5</v>
      </c>
      <c r="V117" s="16">
        <f>_xlfn.XLOOKUP(CustomerCombinedCleaned[[#This Row],[ID]], Table4[ID], Table4[Visits], "Not Found", 0)</f>
        <v>9</v>
      </c>
      <c r="W117" s="16">
        <f>_xlfn.XLOOKUP(CustomerCombinedCleaned[[#This Row],[ID]], Table2[ID],Table2[Complaint], "Not Found", 0 )</f>
        <v>0</v>
      </c>
      <c r="X117" s="16">
        <f>_xlfn.XLOOKUP(CustomerCombinedCleaned[[#This Row],[ID]], Table2[ID],Table2[Pilot], "Not Found", 0 )</f>
        <v>0</v>
      </c>
      <c r="Y117" s="16">
        <f>_xlfn.XLOOKUP(CustomerCombinedCleaned[[#This Row],[ID]], Table2[ID],Table2[MC1], "Not Found", 0 )</f>
        <v>0</v>
      </c>
      <c r="Z117" s="16">
        <f>_xlfn.XLOOKUP(CustomerCombinedCleaned[[#This Row],[ID]], Table2[ID],Table2[MC2], "Not Found", 0 )</f>
        <v>0</v>
      </c>
      <c r="AA117" s="16">
        <f>_xlfn.XLOOKUP(CustomerCombinedCleaned[[#This Row],[ID]], Table2[ID],Table2[MC3], "Not Found", 0 )</f>
        <v>0</v>
      </c>
      <c r="AB117" s="16">
        <f>_xlfn.XLOOKUP(CustomerCombinedCleaned[[#This Row],[ID]], Table2[ID],Table2[MC4], "Not Found", 0 )</f>
        <v>0</v>
      </c>
      <c r="AC117" s="16">
        <f>_xlfn.XLOOKUP(CustomerCombinedCleaned[[#This Row],[ID]], Table2[ID],Table2[MC5], "Not Found", 0 )</f>
        <v>0</v>
      </c>
    </row>
    <row r="118" spans="1:29" x14ac:dyDescent="0.3">
      <c r="A118" s="18">
        <v>1458</v>
      </c>
      <c r="B118" s="16">
        <v>120518</v>
      </c>
      <c r="C118" s="16">
        <v>1</v>
      </c>
      <c r="D118" s="16">
        <v>0</v>
      </c>
      <c r="E118" s="16">
        <v>32</v>
      </c>
      <c r="F118" s="17" t="s">
        <v>7</v>
      </c>
      <c r="G118" s="17" t="s">
        <v>11</v>
      </c>
      <c r="H118" s="3" t="s">
        <v>47</v>
      </c>
      <c r="I118" s="5" t="s">
        <v>436</v>
      </c>
      <c r="J118" s="16">
        <f>_xlfn.XLOOKUP(CustomerCombinedCleaned[[#This Row],[ID]], Table4[ID], Table4[Recency], "Not Found", 0)</f>
        <v>58</v>
      </c>
      <c r="K118" s="16">
        <f>_xlfn.XLOOKUP(CustomerCombinedCleaned[[#This Row],[ID]], Table4[ID], Table4[Teas], "Not Found", 0)</f>
        <v>23</v>
      </c>
      <c r="L118" s="16">
        <f>_xlfn.XLOOKUP(CustomerCombinedCleaned[[#This Row],[ID]], Table4[ID], Table4[Fruits], "Not Found", 0)</f>
        <v>6</v>
      </c>
      <c r="M118" s="16">
        <f>_xlfn.XLOOKUP(CustomerCombinedCleaned[[#This Row],[ID]], Table4[ID], Table4[Meats], "Not Found", 0)</f>
        <v>35</v>
      </c>
      <c r="N118" s="16">
        <f>_xlfn.XLOOKUP(CustomerCombinedCleaned[[#This Row],[ID]], Table4[ID], Table4[Seafood], "Not Found", 0)</f>
        <v>23</v>
      </c>
      <c r="O118" s="16">
        <f>_xlfn.XLOOKUP(CustomerCombinedCleaned[[#This Row],[ID]], Table4[ID], Table4[Sweets], "Not Found", 0)</f>
        <v>6</v>
      </c>
      <c r="P118" s="16">
        <f>_xlfn.XLOOKUP(CustomerCombinedCleaned[[#This Row],[ID]], Table4[ID], Table4[Premium], "Not Found", 0)</f>
        <v>53</v>
      </c>
      <c r="Q118" s="16">
        <f>_xlfn.XLOOKUP(CustomerCombinedCleaned[[#This Row],[ID]], Table4[ID], Table4[Regular], "Not Found", 0)</f>
        <v>41</v>
      </c>
      <c r="R118" s="16">
        <f>_xlfn.XLOOKUP(CustomerCombinedCleaned[[#This Row],[ID]], Table4[ID], Table4[Deals], "Not Found", 0)</f>
        <v>1</v>
      </c>
      <c r="S118" s="16">
        <f>_xlfn.XLOOKUP(CustomerCombinedCleaned[[#This Row],[ID]], Table4[ID], Table4[Website], "Not Found", 0)</f>
        <v>1</v>
      </c>
      <c r="T118" s="16">
        <f>_xlfn.XLOOKUP(CustomerCombinedCleaned[[#This Row],[ID]], Table4[ID], Table4[Catalog], "Not Found", 0)</f>
        <v>1</v>
      </c>
      <c r="U118" s="16">
        <f>_xlfn.XLOOKUP(CustomerCombinedCleaned[[#This Row],[ID]], Table4[ID], Table4[Store], "Not Found", 0)</f>
        <v>2</v>
      </c>
      <c r="V118" s="16">
        <f>_xlfn.XLOOKUP(CustomerCombinedCleaned[[#This Row],[ID]], Table4[ID], Table4[Visits], "Not Found", 0)</f>
        <v>5</v>
      </c>
      <c r="W118" s="16">
        <f>_xlfn.XLOOKUP(CustomerCombinedCleaned[[#This Row],[ID]], Table2[ID],Table2[Complaint], "Not Found", 0 )</f>
        <v>0</v>
      </c>
      <c r="X118" s="16">
        <f>_xlfn.XLOOKUP(CustomerCombinedCleaned[[#This Row],[ID]], Table2[ID],Table2[Pilot], "Not Found", 0 )</f>
        <v>0</v>
      </c>
      <c r="Y118" s="16">
        <f>_xlfn.XLOOKUP(CustomerCombinedCleaned[[#This Row],[ID]], Table2[ID],Table2[MC1], "Not Found", 0 )</f>
        <v>0</v>
      </c>
      <c r="Z118" s="16">
        <f>_xlfn.XLOOKUP(CustomerCombinedCleaned[[#This Row],[ID]], Table2[ID],Table2[MC2], "Not Found", 0 )</f>
        <v>0</v>
      </c>
      <c r="AA118" s="16">
        <f>_xlfn.XLOOKUP(CustomerCombinedCleaned[[#This Row],[ID]], Table2[ID],Table2[MC3], "Not Found", 0 )</f>
        <v>0</v>
      </c>
      <c r="AB118" s="16">
        <f>_xlfn.XLOOKUP(CustomerCombinedCleaned[[#This Row],[ID]], Table2[ID],Table2[MC4], "Not Found", 0 )</f>
        <v>0</v>
      </c>
      <c r="AC118" s="16">
        <f>_xlfn.XLOOKUP(CustomerCombinedCleaned[[#This Row],[ID]], Table2[ID],Table2[MC5], "Not Found", 0 )</f>
        <v>0</v>
      </c>
    </row>
    <row r="119" spans="1:29" x14ac:dyDescent="0.3">
      <c r="A119" s="18">
        <v>1170</v>
      </c>
      <c r="B119" s="16">
        <v>116248</v>
      </c>
      <c r="C119" s="16">
        <v>1</v>
      </c>
      <c r="D119" s="16">
        <v>0</v>
      </c>
      <c r="E119" s="16">
        <v>32</v>
      </c>
      <c r="F119" s="17" t="s">
        <v>6</v>
      </c>
      <c r="G119" s="17" t="s">
        <v>11</v>
      </c>
      <c r="H119" s="3" t="s">
        <v>54</v>
      </c>
      <c r="I119" s="5" t="s">
        <v>436</v>
      </c>
      <c r="J119" s="16">
        <f>_xlfn.XLOOKUP(CustomerCombinedCleaned[[#This Row],[ID]], Table4[ID], Table4[Recency], "Not Found", 0)</f>
        <v>77</v>
      </c>
      <c r="K119" s="16">
        <f>_xlfn.XLOOKUP(CustomerCombinedCleaned[[#This Row],[ID]], Table4[ID], Table4[Teas], "Not Found", 0)</f>
        <v>86</v>
      </c>
      <c r="L119" s="16">
        <f>_xlfn.XLOOKUP(CustomerCombinedCleaned[[#This Row],[ID]], Table4[ID], Table4[Fruits], "Not Found", 0)</f>
        <v>79</v>
      </c>
      <c r="M119" s="16">
        <f>_xlfn.XLOOKUP(CustomerCombinedCleaned[[#This Row],[ID]], Table4[ID], Table4[Meats], "Not Found", 0)</f>
        <v>72</v>
      </c>
      <c r="N119" s="16">
        <f>_xlfn.XLOOKUP(CustomerCombinedCleaned[[#This Row],[ID]], Table4[ID], Table4[Seafood], "Not Found", 0)</f>
        <v>21</v>
      </c>
      <c r="O119" s="16">
        <f>_xlfn.XLOOKUP(CustomerCombinedCleaned[[#This Row],[ID]], Table4[ID], Table4[Sweets], "Not Found", 0)</f>
        <v>86</v>
      </c>
      <c r="P119" s="16">
        <f>_xlfn.XLOOKUP(CustomerCombinedCleaned[[#This Row],[ID]], Table4[ID], Table4[Premium], "Not Found", 0)</f>
        <v>64</v>
      </c>
      <c r="Q119" s="16">
        <f>_xlfn.XLOOKUP(CustomerCombinedCleaned[[#This Row],[ID]], Table4[ID], Table4[Regular], "Not Found", 0)</f>
        <v>279</v>
      </c>
      <c r="R119" s="16">
        <f>_xlfn.XLOOKUP(CustomerCombinedCleaned[[#This Row],[ID]], Table4[ID], Table4[Deals], "Not Found", 0)</f>
        <v>3</v>
      </c>
      <c r="S119" s="16">
        <f>_xlfn.XLOOKUP(CustomerCombinedCleaned[[#This Row],[ID]], Table4[ID], Table4[Website], "Not Found", 0)</f>
        <v>2</v>
      </c>
      <c r="T119" s="16">
        <f>_xlfn.XLOOKUP(CustomerCombinedCleaned[[#This Row],[ID]], Table4[ID], Table4[Catalog], "Not Found", 0)</f>
        <v>1</v>
      </c>
      <c r="U119" s="16">
        <f>_xlfn.XLOOKUP(CustomerCombinedCleaned[[#This Row],[ID]], Table4[ID], Table4[Store], "Not Found", 0)</f>
        <v>3</v>
      </c>
      <c r="V119" s="16">
        <f>_xlfn.XLOOKUP(CustomerCombinedCleaned[[#This Row],[ID]], Table4[ID], Table4[Visits], "Not Found", 0)</f>
        <v>6</v>
      </c>
      <c r="W119" s="16">
        <f>_xlfn.XLOOKUP(CustomerCombinedCleaned[[#This Row],[ID]], Table2[ID],Table2[Complaint], "Not Found", 0 )</f>
        <v>0</v>
      </c>
      <c r="X119" s="16">
        <f>_xlfn.XLOOKUP(CustomerCombinedCleaned[[#This Row],[ID]], Table2[ID],Table2[Pilot], "Not Found", 0 )</f>
        <v>0</v>
      </c>
      <c r="Y119" s="16">
        <f>_xlfn.XLOOKUP(CustomerCombinedCleaned[[#This Row],[ID]], Table2[ID],Table2[MC1], "Not Found", 0 )</f>
        <v>0</v>
      </c>
      <c r="Z119" s="16">
        <f>_xlfn.XLOOKUP(CustomerCombinedCleaned[[#This Row],[ID]], Table2[ID],Table2[MC2], "Not Found", 0 )</f>
        <v>0</v>
      </c>
      <c r="AA119" s="16">
        <f>_xlfn.XLOOKUP(CustomerCombinedCleaned[[#This Row],[ID]], Table2[ID],Table2[MC3], "Not Found", 0 )</f>
        <v>0</v>
      </c>
      <c r="AB119" s="16">
        <f>_xlfn.XLOOKUP(CustomerCombinedCleaned[[#This Row],[ID]], Table2[ID],Table2[MC4], "Not Found", 0 )</f>
        <v>0</v>
      </c>
      <c r="AC119" s="16">
        <f>_xlfn.XLOOKUP(CustomerCombinedCleaned[[#This Row],[ID]], Table2[ID],Table2[MC5], "Not Found", 0 )</f>
        <v>0</v>
      </c>
    </row>
    <row r="120" spans="1:29" x14ac:dyDescent="0.3">
      <c r="A120" s="18">
        <v>1953</v>
      </c>
      <c r="B120" s="16">
        <v>115716</v>
      </c>
      <c r="C120" s="16">
        <v>1</v>
      </c>
      <c r="D120" s="16">
        <v>0</v>
      </c>
      <c r="E120" s="16">
        <v>32</v>
      </c>
      <c r="F120" s="17" t="s">
        <v>6</v>
      </c>
      <c r="G120" s="17" t="s">
        <v>11</v>
      </c>
      <c r="H120" s="3" t="s">
        <v>363</v>
      </c>
      <c r="I120" s="5" t="s">
        <v>435</v>
      </c>
      <c r="J120" s="16">
        <f>_xlfn.XLOOKUP(CustomerCombinedCleaned[[#This Row],[ID]], Table4[ID], Table4[Recency], "Not Found", 0)</f>
        <v>8</v>
      </c>
      <c r="K120" s="16">
        <f>_xlfn.XLOOKUP(CustomerCombinedCleaned[[#This Row],[ID]], Table4[ID], Table4[Teas], "Not Found", 0)</f>
        <v>118</v>
      </c>
      <c r="L120" s="16">
        <f>_xlfn.XLOOKUP(CustomerCombinedCleaned[[#This Row],[ID]], Table4[ID], Table4[Fruits], "Not Found", 0)</f>
        <v>37</v>
      </c>
      <c r="M120" s="16">
        <f>_xlfn.XLOOKUP(CustomerCombinedCleaned[[#This Row],[ID]], Table4[ID], Table4[Meats], "Not Found", 0)</f>
        <v>221</v>
      </c>
      <c r="N120" s="16">
        <f>_xlfn.XLOOKUP(CustomerCombinedCleaned[[#This Row],[ID]], Table4[ID], Table4[Seafood], "Not Found", 0)</f>
        <v>59</v>
      </c>
      <c r="O120" s="16">
        <f>_xlfn.XLOOKUP(CustomerCombinedCleaned[[#This Row],[ID]], Table4[ID], Table4[Sweets], "Not Found", 0)</f>
        <v>52</v>
      </c>
      <c r="P120" s="16">
        <f>_xlfn.XLOOKUP(CustomerCombinedCleaned[[#This Row],[ID]], Table4[ID], Table4[Premium], "Not Found", 0)</f>
        <v>191</v>
      </c>
      <c r="Q120" s="16">
        <f>_xlfn.XLOOKUP(CustomerCombinedCleaned[[#This Row],[ID]], Table4[ID], Table4[Regular], "Not Found", 0)</f>
        <v>295</v>
      </c>
      <c r="R120" s="16">
        <f>_xlfn.XLOOKUP(CustomerCombinedCleaned[[#This Row],[ID]], Table4[ID], Table4[Deals], "Not Found", 0)</f>
        <v>3</v>
      </c>
      <c r="S120" s="16">
        <f>_xlfn.XLOOKUP(CustomerCombinedCleaned[[#This Row],[ID]], Table4[ID], Table4[Website], "Not Found", 0)</f>
        <v>3</v>
      </c>
      <c r="T120" s="16">
        <f>_xlfn.XLOOKUP(CustomerCombinedCleaned[[#This Row],[ID]], Table4[ID], Table4[Catalog], "Not Found", 0)</f>
        <v>0</v>
      </c>
      <c r="U120" s="16">
        <f>_xlfn.XLOOKUP(CustomerCombinedCleaned[[#This Row],[ID]], Table4[ID], Table4[Store], "Not Found", 0)</f>
        <v>4</v>
      </c>
      <c r="V120" s="16">
        <f>_xlfn.XLOOKUP(CustomerCombinedCleaned[[#This Row],[ID]], Table4[ID], Table4[Visits], "Not Found", 0)</f>
        <v>8</v>
      </c>
      <c r="W120" s="16">
        <f>_xlfn.XLOOKUP(CustomerCombinedCleaned[[#This Row],[ID]], Table2[ID],Table2[Complaint], "Not Found", 0 )</f>
        <v>1</v>
      </c>
      <c r="X120" s="16">
        <f>_xlfn.XLOOKUP(CustomerCombinedCleaned[[#This Row],[ID]], Table2[ID],Table2[Pilot], "Not Found", 0 )</f>
        <v>0</v>
      </c>
      <c r="Y120" s="16">
        <f>_xlfn.XLOOKUP(CustomerCombinedCleaned[[#This Row],[ID]], Table2[ID],Table2[MC1], "Not Found", 0 )</f>
        <v>0</v>
      </c>
      <c r="Z120" s="16">
        <f>_xlfn.XLOOKUP(CustomerCombinedCleaned[[#This Row],[ID]], Table2[ID],Table2[MC2], "Not Found", 0 )</f>
        <v>0</v>
      </c>
      <c r="AA120" s="16">
        <f>_xlfn.XLOOKUP(CustomerCombinedCleaned[[#This Row],[ID]], Table2[ID],Table2[MC3], "Not Found", 0 )</f>
        <v>0</v>
      </c>
      <c r="AB120" s="16">
        <f>_xlfn.XLOOKUP(CustomerCombinedCleaned[[#This Row],[ID]], Table2[ID],Table2[MC4], "Not Found", 0 )</f>
        <v>0</v>
      </c>
      <c r="AC120" s="16">
        <f>_xlfn.XLOOKUP(CustomerCombinedCleaned[[#This Row],[ID]], Table2[ID],Table2[MC5], "Not Found", 0 )</f>
        <v>0</v>
      </c>
    </row>
    <row r="121" spans="1:29" x14ac:dyDescent="0.3">
      <c r="A121" s="18">
        <v>2568</v>
      </c>
      <c r="B121" s="16">
        <v>113724</v>
      </c>
      <c r="C121" s="16">
        <v>1</v>
      </c>
      <c r="D121" s="16">
        <v>0</v>
      </c>
      <c r="E121" s="16">
        <v>32</v>
      </c>
      <c r="F121" s="17" t="s">
        <v>8</v>
      </c>
      <c r="G121" s="17" t="s">
        <v>10</v>
      </c>
      <c r="H121" s="3" t="s">
        <v>681</v>
      </c>
      <c r="I121" s="5" t="s">
        <v>436</v>
      </c>
      <c r="J121" s="16">
        <f>_xlfn.XLOOKUP(CustomerCombinedCleaned[[#This Row],[ID]], Table4[ID], Table4[Recency], "Not Found", 0)</f>
        <v>43</v>
      </c>
      <c r="K121" s="16">
        <f>_xlfn.XLOOKUP(CustomerCombinedCleaned[[#This Row],[ID]], Table4[ID], Table4[Teas], "Not Found", 0)</f>
        <v>17</v>
      </c>
      <c r="L121" s="16">
        <f>_xlfn.XLOOKUP(CustomerCombinedCleaned[[#This Row],[ID]], Table4[ID], Table4[Fruits], "Not Found", 0)</f>
        <v>58</v>
      </c>
      <c r="M121" s="16">
        <f>_xlfn.XLOOKUP(CustomerCombinedCleaned[[#This Row],[ID]], Table4[ID], Table4[Meats], "Not Found", 0)</f>
        <v>41</v>
      </c>
      <c r="N121" s="16">
        <f>_xlfn.XLOOKUP(CustomerCombinedCleaned[[#This Row],[ID]], Table4[ID], Table4[Seafood], "Not Found", 0)</f>
        <v>17</v>
      </c>
      <c r="O121" s="16">
        <f>_xlfn.XLOOKUP(CustomerCombinedCleaned[[#This Row],[ID]], Table4[ID], Table4[Sweets], "Not Found", 0)</f>
        <v>124</v>
      </c>
      <c r="P121" s="16">
        <f>_xlfn.XLOOKUP(CustomerCombinedCleaned[[#This Row],[ID]], Table4[ID], Table4[Premium], "Not Found", 0)</f>
        <v>224</v>
      </c>
      <c r="Q121" s="16">
        <f>_xlfn.XLOOKUP(CustomerCombinedCleaned[[#This Row],[ID]], Table4[ID], Table4[Regular], "Not Found", 0)</f>
        <v>33</v>
      </c>
      <c r="R121" s="16">
        <f>_xlfn.XLOOKUP(CustomerCombinedCleaned[[#This Row],[ID]], Table4[ID], Table4[Deals], "Not Found", 0)</f>
        <v>1</v>
      </c>
      <c r="S121" s="16">
        <f>_xlfn.XLOOKUP(CustomerCombinedCleaned[[#This Row],[ID]], Table4[ID], Table4[Website], "Not Found", 0)</f>
        <v>2</v>
      </c>
      <c r="T121" s="16">
        <f>_xlfn.XLOOKUP(CustomerCombinedCleaned[[#This Row],[ID]], Table4[ID], Table4[Catalog], "Not Found", 0)</f>
        <v>0</v>
      </c>
      <c r="U121" s="16">
        <f>_xlfn.XLOOKUP(CustomerCombinedCleaned[[#This Row],[ID]], Table4[ID], Table4[Store], "Not Found", 0)</f>
        <v>2</v>
      </c>
      <c r="V121" s="16">
        <f>_xlfn.XLOOKUP(CustomerCombinedCleaned[[#This Row],[ID]], Table4[ID], Table4[Visits], "Not Found", 0)</f>
        <v>9</v>
      </c>
      <c r="W121" s="16">
        <f>_xlfn.XLOOKUP(CustomerCombinedCleaned[[#This Row],[ID]], Table2[ID],Table2[Complaint], "Not Found", 0 )</f>
        <v>0</v>
      </c>
      <c r="X121" s="16">
        <f>_xlfn.XLOOKUP(CustomerCombinedCleaned[[#This Row],[ID]], Table2[ID],Table2[Pilot], "Not Found", 0 )</f>
        <v>0</v>
      </c>
      <c r="Y121" s="16">
        <f>_xlfn.XLOOKUP(CustomerCombinedCleaned[[#This Row],[ID]], Table2[ID],Table2[MC1], "Not Found", 0 )</f>
        <v>0</v>
      </c>
      <c r="Z121" s="16">
        <f>_xlfn.XLOOKUP(CustomerCombinedCleaned[[#This Row],[ID]], Table2[ID],Table2[MC2], "Not Found", 0 )</f>
        <v>0</v>
      </c>
      <c r="AA121" s="16">
        <f>_xlfn.XLOOKUP(CustomerCombinedCleaned[[#This Row],[ID]], Table2[ID],Table2[MC3], "Not Found", 0 )</f>
        <v>1</v>
      </c>
      <c r="AB121" s="16">
        <f>_xlfn.XLOOKUP(CustomerCombinedCleaned[[#This Row],[ID]], Table2[ID],Table2[MC4], "Not Found", 0 )</f>
        <v>0</v>
      </c>
      <c r="AC121" s="16">
        <f>_xlfn.XLOOKUP(CustomerCombinedCleaned[[#This Row],[ID]], Table2[ID],Table2[MC5], "Not Found", 0 )</f>
        <v>0</v>
      </c>
    </row>
    <row r="122" spans="1:29" x14ac:dyDescent="0.3">
      <c r="A122" s="18">
        <v>1982</v>
      </c>
      <c r="B122" s="16">
        <v>195169</v>
      </c>
      <c r="C122" s="16">
        <v>0</v>
      </c>
      <c r="D122" s="16">
        <v>0</v>
      </c>
      <c r="E122" s="16">
        <v>33</v>
      </c>
      <c r="F122" s="17" t="s">
        <v>7</v>
      </c>
      <c r="G122" s="17" t="s">
        <v>13</v>
      </c>
      <c r="H122" s="3" t="s">
        <v>173</v>
      </c>
      <c r="I122" s="5" t="s">
        <v>438</v>
      </c>
      <c r="J122" s="16">
        <f>_xlfn.XLOOKUP(CustomerCombinedCleaned[[#This Row],[ID]], Table4[ID], Table4[Recency], "Not Found", 0)</f>
        <v>1</v>
      </c>
      <c r="K122" s="16">
        <f>_xlfn.XLOOKUP(CustomerCombinedCleaned[[#This Row],[ID]], Table4[ID], Table4[Teas], "Not Found", 0)</f>
        <v>2635</v>
      </c>
      <c r="L122" s="16">
        <f>_xlfn.XLOOKUP(CustomerCombinedCleaned[[#This Row],[ID]], Table4[ID], Table4[Fruits], "Not Found", 0)</f>
        <v>43</v>
      </c>
      <c r="M122" s="16">
        <f>_xlfn.XLOOKUP(CustomerCombinedCleaned[[#This Row],[ID]], Table4[ID], Table4[Meats], "Not Found", 0)</f>
        <v>921</v>
      </c>
      <c r="N122" s="16">
        <f>_xlfn.XLOOKUP(CustomerCombinedCleaned[[#This Row],[ID]], Table4[ID], Table4[Seafood], "Not Found", 0)</f>
        <v>217</v>
      </c>
      <c r="O122" s="16">
        <f>_xlfn.XLOOKUP(CustomerCombinedCleaned[[#This Row],[ID]], Table4[ID], Table4[Sweets], "Not Found", 0)</f>
        <v>41</v>
      </c>
      <c r="P122" s="16">
        <f>_xlfn.XLOOKUP(CustomerCombinedCleaned[[#This Row],[ID]], Table4[ID], Table4[Premium], "Not Found", 0)</f>
        <v>41</v>
      </c>
      <c r="Q122" s="16">
        <f>_xlfn.XLOOKUP(CustomerCombinedCleaned[[#This Row],[ID]], Table4[ID], Table4[Regular], "Not Found", 0)</f>
        <v>3816</v>
      </c>
      <c r="R122" s="16">
        <f>_xlfn.XLOOKUP(CustomerCombinedCleaned[[#This Row],[ID]], Table4[ID], Table4[Deals], "Not Found", 0)</f>
        <v>1</v>
      </c>
      <c r="S122" s="16">
        <f>_xlfn.XLOOKUP(CustomerCombinedCleaned[[#This Row],[ID]], Table4[ID], Table4[Website], "Not Found", 0)</f>
        <v>4</v>
      </c>
      <c r="T122" s="16">
        <f>_xlfn.XLOOKUP(CustomerCombinedCleaned[[#This Row],[ID]], Table4[ID], Table4[Catalog], "Not Found", 0)</f>
        <v>3</v>
      </c>
      <c r="U122" s="16">
        <f>_xlfn.XLOOKUP(CustomerCombinedCleaned[[#This Row],[ID]], Table4[ID], Table4[Store], "Not Found", 0)</f>
        <v>4</v>
      </c>
      <c r="V122" s="16">
        <f>_xlfn.XLOOKUP(CustomerCombinedCleaned[[#This Row],[ID]], Table4[ID], Table4[Visits], "Not Found", 0)</f>
        <v>1</v>
      </c>
      <c r="W122" s="16">
        <f>_xlfn.XLOOKUP(CustomerCombinedCleaned[[#This Row],[ID]], Table2[ID],Table2[Complaint], "Not Found", 0 )</f>
        <v>0</v>
      </c>
      <c r="X122" s="16">
        <f>_xlfn.XLOOKUP(CustomerCombinedCleaned[[#This Row],[ID]], Table2[ID],Table2[Pilot], "Not Found", 0 )</f>
        <v>1</v>
      </c>
      <c r="Y122" s="16">
        <f>_xlfn.XLOOKUP(CustomerCombinedCleaned[[#This Row],[ID]], Table2[ID],Table2[MC1], "Not Found", 0 )</f>
        <v>1</v>
      </c>
      <c r="Z122" s="16">
        <f>_xlfn.XLOOKUP(CustomerCombinedCleaned[[#This Row],[ID]], Table2[ID],Table2[MC2], "Not Found", 0 )</f>
        <v>0</v>
      </c>
      <c r="AA122" s="16">
        <f>_xlfn.XLOOKUP(CustomerCombinedCleaned[[#This Row],[ID]], Table2[ID],Table2[MC3], "Not Found", 0 )</f>
        <v>0</v>
      </c>
      <c r="AB122" s="16">
        <f>_xlfn.XLOOKUP(CustomerCombinedCleaned[[#This Row],[ID]], Table2[ID],Table2[MC4], "Not Found", 0 )</f>
        <v>0</v>
      </c>
      <c r="AC122" s="16">
        <f>_xlfn.XLOOKUP(CustomerCombinedCleaned[[#This Row],[ID]], Table2[ID],Table2[MC5], "Not Found", 0 )</f>
        <v>1</v>
      </c>
    </row>
    <row r="123" spans="1:29" x14ac:dyDescent="0.3">
      <c r="A123" s="18">
        <v>1079</v>
      </c>
      <c r="B123" s="16">
        <v>181361</v>
      </c>
      <c r="C123" s="16">
        <v>0</v>
      </c>
      <c r="D123" s="16">
        <v>0</v>
      </c>
      <c r="E123" s="16">
        <v>33</v>
      </c>
      <c r="F123" s="17" t="s">
        <v>5</v>
      </c>
      <c r="G123" s="17" t="s">
        <v>11</v>
      </c>
      <c r="H123" s="3" t="s">
        <v>596</v>
      </c>
      <c r="I123" s="5" t="s">
        <v>434</v>
      </c>
      <c r="J123" s="16">
        <f>_xlfn.XLOOKUP(CustomerCombinedCleaned[[#This Row],[ID]], Table4[ID], Table4[Recency], "Not Found", 0)</f>
        <v>18</v>
      </c>
      <c r="K123" s="16">
        <f>_xlfn.XLOOKUP(CustomerCombinedCleaned[[#This Row],[ID]], Table4[ID], Table4[Teas], "Not Found", 0)</f>
        <v>363</v>
      </c>
      <c r="L123" s="16">
        <f>_xlfn.XLOOKUP(CustomerCombinedCleaned[[#This Row],[ID]], Table4[ID], Table4[Fruits], "Not Found", 0)</f>
        <v>51</v>
      </c>
      <c r="M123" s="16">
        <f>_xlfn.XLOOKUP(CustomerCombinedCleaned[[#This Row],[ID]], Table4[ID], Table4[Meats], "Not Found", 0)</f>
        <v>945</v>
      </c>
      <c r="N123" s="16">
        <f>_xlfn.XLOOKUP(CustomerCombinedCleaned[[#This Row],[ID]], Table4[ID], Table4[Seafood], "Not Found", 0)</f>
        <v>60</v>
      </c>
      <c r="O123" s="16">
        <f>_xlfn.XLOOKUP(CustomerCombinedCleaned[[#This Row],[ID]], Table4[ID], Table4[Sweets], "Not Found", 0)</f>
        <v>145</v>
      </c>
      <c r="P123" s="16">
        <f>_xlfn.XLOOKUP(CustomerCombinedCleaned[[#This Row],[ID]], Table4[ID], Table4[Premium], "Not Found", 0)</f>
        <v>169</v>
      </c>
      <c r="Q123" s="16">
        <f>_xlfn.XLOOKUP(CustomerCombinedCleaned[[#This Row],[ID]], Table4[ID], Table4[Regular], "Not Found", 0)</f>
        <v>1395</v>
      </c>
      <c r="R123" s="16">
        <f>_xlfn.XLOOKUP(CustomerCombinedCleaned[[#This Row],[ID]], Table4[ID], Table4[Deals], "Not Found", 0)</f>
        <v>1</v>
      </c>
      <c r="S123" s="16">
        <f>_xlfn.XLOOKUP(CustomerCombinedCleaned[[#This Row],[ID]], Table4[ID], Table4[Website], "Not Found", 0)</f>
        <v>3</v>
      </c>
      <c r="T123" s="16">
        <f>_xlfn.XLOOKUP(CustomerCombinedCleaned[[#This Row],[ID]], Table4[ID], Table4[Catalog], "Not Found", 0)</f>
        <v>10</v>
      </c>
      <c r="U123" s="16">
        <f>_xlfn.XLOOKUP(CustomerCombinedCleaned[[#This Row],[ID]], Table4[ID], Table4[Store], "Not Found", 0)</f>
        <v>13</v>
      </c>
      <c r="V123" s="16">
        <f>_xlfn.XLOOKUP(CustomerCombinedCleaned[[#This Row],[ID]], Table4[ID], Table4[Visits], "Not Found", 0)</f>
        <v>1</v>
      </c>
      <c r="W123" s="16">
        <f>_xlfn.XLOOKUP(CustomerCombinedCleaned[[#This Row],[ID]], Table2[ID],Table2[Complaint], "Not Found", 0 )</f>
        <v>0</v>
      </c>
      <c r="X123" s="16">
        <f>_xlfn.XLOOKUP(CustomerCombinedCleaned[[#This Row],[ID]], Table2[ID],Table2[Pilot], "Not Found", 0 )</f>
        <v>0</v>
      </c>
      <c r="Y123" s="16">
        <f>_xlfn.XLOOKUP(CustomerCombinedCleaned[[#This Row],[ID]], Table2[ID],Table2[MC1], "Not Found", 0 )</f>
        <v>0</v>
      </c>
      <c r="Z123" s="16">
        <f>_xlfn.XLOOKUP(CustomerCombinedCleaned[[#This Row],[ID]], Table2[ID],Table2[MC2], "Not Found", 0 )</f>
        <v>0</v>
      </c>
      <c r="AA123" s="16">
        <f>_xlfn.XLOOKUP(CustomerCombinedCleaned[[#This Row],[ID]], Table2[ID],Table2[MC3], "Not Found", 0 )</f>
        <v>0</v>
      </c>
      <c r="AB123" s="16">
        <f>_xlfn.XLOOKUP(CustomerCombinedCleaned[[#This Row],[ID]], Table2[ID],Table2[MC4], "Not Found", 0 )</f>
        <v>0</v>
      </c>
      <c r="AC123" s="16">
        <f>_xlfn.XLOOKUP(CustomerCombinedCleaned[[#This Row],[ID]], Table2[ID],Table2[MC5], "Not Found", 0 )</f>
        <v>0</v>
      </c>
    </row>
    <row r="124" spans="1:29" x14ac:dyDescent="0.3">
      <c r="A124" s="18">
        <v>2560</v>
      </c>
      <c r="B124" s="16">
        <v>181361</v>
      </c>
      <c r="C124" s="16">
        <v>0</v>
      </c>
      <c r="D124" s="16">
        <v>0</v>
      </c>
      <c r="E124" s="16">
        <v>33</v>
      </c>
      <c r="F124" s="17" t="s">
        <v>5</v>
      </c>
      <c r="G124" s="17" t="s">
        <v>11</v>
      </c>
      <c r="H124" s="3" t="s">
        <v>596</v>
      </c>
      <c r="I124" s="5" t="s">
        <v>439</v>
      </c>
      <c r="J124" s="16">
        <f>_xlfn.XLOOKUP(CustomerCombinedCleaned[[#This Row],[ID]], Table4[ID], Table4[Recency], "Not Found", 0)</f>
        <v>18</v>
      </c>
      <c r="K124" s="16">
        <f>_xlfn.XLOOKUP(CustomerCombinedCleaned[[#This Row],[ID]], Table4[ID], Table4[Teas], "Not Found", 0)</f>
        <v>363</v>
      </c>
      <c r="L124" s="16">
        <f>_xlfn.XLOOKUP(CustomerCombinedCleaned[[#This Row],[ID]], Table4[ID], Table4[Fruits], "Not Found", 0)</f>
        <v>51</v>
      </c>
      <c r="M124" s="16">
        <f>_xlfn.XLOOKUP(CustomerCombinedCleaned[[#This Row],[ID]], Table4[ID], Table4[Meats], "Not Found", 0)</f>
        <v>945</v>
      </c>
      <c r="N124" s="16">
        <f>_xlfn.XLOOKUP(CustomerCombinedCleaned[[#This Row],[ID]], Table4[ID], Table4[Seafood], "Not Found", 0)</f>
        <v>60</v>
      </c>
      <c r="O124" s="16">
        <f>_xlfn.XLOOKUP(CustomerCombinedCleaned[[#This Row],[ID]], Table4[ID], Table4[Sweets], "Not Found", 0)</f>
        <v>145</v>
      </c>
      <c r="P124" s="16">
        <f>_xlfn.XLOOKUP(CustomerCombinedCleaned[[#This Row],[ID]], Table4[ID], Table4[Premium], "Not Found", 0)</f>
        <v>169</v>
      </c>
      <c r="Q124" s="16">
        <f>_xlfn.XLOOKUP(CustomerCombinedCleaned[[#This Row],[ID]], Table4[ID], Table4[Regular], "Not Found", 0)</f>
        <v>1395</v>
      </c>
      <c r="R124" s="16">
        <f>_xlfn.XLOOKUP(CustomerCombinedCleaned[[#This Row],[ID]], Table4[ID], Table4[Deals], "Not Found", 0)</f>
        <v>1</v>
      </c>
      <c r="S124" s="16">
        <f>_xlfn.XLOOKUP(CustomerCombinedCleaned[[#This Row],[ID]], Table4[ID], Table4[Website], "Not Found", 0)</f>
        <v>3</v>
      </c>
      <c r="T124" s="16">
        <f>_xlfn.XLOOKUP(CustomerCombinedCleaned[[#This Row],[ID]], Table4[ID], Table4[Catalog], "Not Found", 0)</f>
        <v>10</v>
      </c>
      <c r="U124" s="16">
        <f>_xlfn.XLOOKUP(CustomerCombinedCleaned[[#This Row],[ID]], Table4[ID], Table4[Store], "Not Found", 0)</f>
        <v>13</v>
      </c>
      <c r="V124" s="16">
        <f>_xlfn.XLOOKUP(CustomerCombinedCleaned[[#This Row],[ID]], Table4[ID], Table4[Visits], "Not Found", 0)</f>
        <v>1</v>
      </c>
      <c r="W124" s="16">
        <f>_xlfn.XLOOKUP(CustomerCombinedCleaned[[#This Row],[ID]], Table2[ID],Table2[Complaint], "Not Found", 0 )</f>
        <v>0</v>
      </c>
      <c r="X124" s="16">
        <f>_xlfn.XLOOKUP(CustomerCombinedCleaned[[#This Row],[ID]], Table2[ID],Table2[Pilot], "Not Found", 0 )</f>
        <v>1</v>
      </c>
      <c r="Y124" s="16">
        <f>_xlfn.XLOOKUP(CustomerCombinedCleaned[[#This Row],[ID]], Table2[ID],Table2[MC1], "Not Found", 0 )</f>
        <v>0</v>
      </c>
      <c r="Z124" s="16">
        <f>_xlfn.XLOOKUP(CustomerCombinedCleaned[[#This Row],[ID]], Table2[ID],Table2[MC2], "Not Found", 0 )</f>
        <v>0</v>
      </c>
      <c r="AA124" s="16">
        <f>_xlfn.XLOOKUP(CustomerCombinedCleaned[[#This Row],[ID]], Table2[ID],Table2[MC3], "Not Found", 0 )</f>
        <v>0</v>
      </c>
      <c r="AB124" s="16">
        <f>_xlfn.XLOOKUP(CustomerCombinedCleaned[[#This Row],[ID]], Table2[ID],Table2[MC4], "Not Found", 0 )</f>
        <v>0</v>
      </c>
      <c r="AC124" s="16">
        <f>_xlfn.XLOOKUP(CustomerCombinedCleaned[[#This Row],[ID]], Table2[ID],Table2[MC5], "Not Found", 0 )</f>
        <v>0</v>
      </c>
    </row>
    <row r="125" spans="1:29" x14ac:dyDescent="0.3">
      <c r="A125" s="18">
        <v>2565</v>
      </c>
      <c r="B125" s="16">
        <v>175794</v>
      </c>
      <c r="C125" s="16">
        <v>0</v>
      </c>
      <c r="D125" s="16">
        <v>0</v>
      </c>
      <c r="E125" s="16">
        <v>33</v>
      </c>
      <c r="F125" s="17" t="s">
        <v>6</v>
      </c>
      <c r="G125" s="17" t="s">
        <v>11</v>
      </c>
      <c r="H125" s="3" t="s">
        <v>124</v>
      </c>
      <c r="I125" s="5" t="s">
        <v>435</v>
      </c>
      <c r="J125" s="16">
        <f>_xlfn.XLOOKUP(CustomerCombinedCleaned[[#This Row],[ID]], Table4[ID], Table4[Recency], "Not Found", 0)</f>
        <v>33</v>
      </c>
      <c r="K125" s="16">
        <f>_xlfn.XLOOKUP(CustomerCombinedCleaned[[#This Row],[ID]], Table4[ID], Table4[Teas], "Not Found", 0)</f>
        <v>1749</v>
      </c>
      <c r="L125" s="16">
        <f>_xlfn.XLOOKUP(CustomerCombinedCleaned[[#This Row],[ID]], Table4[ID], Table4[Fruits], "Not Found", 0)</f>
        <v>371</v>
      </c>
      <c r="M125" s="16">
        <f>_xlfn.XLOOKUP(CustomerCombinedCleaned[[#This Row],[ID]], Table4[ID], Table4[Meats], "Not Found", 0)</f>
        <v>1450</v>
      </c>
      <c r="N125" s="16">
        <f>_xlfn.XLOOKUP(CustomerCombinedCleaned[[#This Row],[ID]], Table4[ID], Table4[Seafood], "Not Found", 0)</f>
        <v>146</v>
      </c>
      <c r="O125" s="16">
        <f>_xlfn.XLOOKUP(CustomerCombinedCleaned[[#This Row],[ID]], Table4[ID], Table4[Sweets], "Not Found", 0)</f>
        <v>74</v>
      </c>
      <c r="P125" s="16">
        <f>_xlfn.XLOOKUP(CustomerCombinedCleaned[[#This Row],[ID]], Table4[ID], Table4[Premium], "Not Found", 0)</f>
        <v>111</v>
      </c>
      <c r="Q125" s="16">
        <f>_xlfn.XLOOKUP(CustomerCombinedCleaned[[#This Row],[ID]], Table4[ID], Table4[Regular], "Not Found", 0)</f>
        <v>3679</v>
      </c>
      <c r="R125" s="16">
        <f>_xlfn.XLOOKUP(CustomerCombinedCleaned[[#This Row],[ID]], Table4[ID], Table4[Deals], "Not Found", 0)</f>
        <v>1</v>
      </c>
      <c r="S125" s="16">
        <f>_xlfn.XLOOKUP(CustomerCombinedCleaned[[#This Row],[ID]], Table4[ID], Table4[Website], "Not Found", 0)</f>
        <v>7</v>
      </c>
      <c r="T125" s="16">
        <f>_xlfn.XLOOKUP(CustomerCombinedCleaned[[#This Row],[ID]], Table4[ID], Table4[Catalog], "Not Found", 0)</f>
        <v>5</v>
      </c>
      <c r="U125" s="16">
        <f>_xlfn.XLOOKUP(CustomerCombinedCleaned[[#This Row],[ID]], Table4[ID], Table4[Store], "Not Found", 0)</f>
        <v>12</v>
      </c>
      <c r="V125" s="16">
        <f>_xlfn.XLOOKUP(CustomerCombinedCleaned[[#This Row],[ID]], Table4[ID], Table4[Visits], "Not Found", 0)</f>
        <v>3</v>
      </c>
      <c r="W125" s="16">
        <f>_xlfn.XLOOKUP(CustomerCombinedCleaned[[#This Row],[ID]], Table2[ID],Table2[Complaint], "Not Found", 0 )</f>
        <v>0</v>
      </c>
      <c r="X125" s="16">
        <f>_xlfn.XLOOKUP(CustomerCombinedCleaned[[#This Row],[ID]], Table2[ID],Table2[Pilot], "Not Found", 0 )</f>
        <v>0</v>
      </c>
      <c r="Y125" s="16">
        <f>_xlfn.XLOOKUP(CustomerCombinedCleaned[[#This Row],[ID]], Table2[ID],Table2[MC1], "Not Found", 0 )</f>
        <v>1</v>
      </c>
      <c r="Z125" s="16">
        <f>_xlfn.XLOOKUP(CustomerCombinedCleaned[[#This Row],[ID]], Table2[ID],Table2[MC2], "Not Found", 0 )</f>
        <v>0</v>
      </c>
      <c r="AA125" s="16">
        <f>_xlfn.XLOOKUP(CustomerCombinedCleaned[[#This Row],[ID]], Table2[ID],Table2[MC3], "Not Found", 0 )</f>
        <v>0</v>
      </c>
      <c r="AB125" s="16">
        <f>_xlfn.XLOOKUP(CustomerCombinedCleaned[[#This Row],[ID]], Table2[ID],Table2[MC4], "Not Found", 0 )</f>
        <v>0</v>
      </c>
      <c r="AC125" s="16">
        <f>_xlfn.XLOOKUP(CustomerCombinedCleaned[[#This Row],[ID]], Table2[ID],Table2[MC5], "Not Found", 0 )</f>
        <v>0</v>
      </c>
    </row>
    <row r="126" spans="1:29" x14ac:dyDescent="0.3">
      <c r="A126" s="18">
        <v>2504</v>
      </c>
      <c r="B126" s="16">
        <v>174004</v>
      </c>
      <c r="C126" s="16">
        <v>0</v>
      </c>
      <c r="D126" s="16">
        <v>0</v>
      </c>
      <c r="E126" s="16">
        <v>33</v>
      </c>
      <c r="F126" s="17" t="s">
        <v>7</v>
      </c>
      <c r="G126" s="17" t="s">
        <v>13</v>
      </c>
      <c r="H126" s="3" t="s">
        <v>91</v>
      </c>
      <c r="I126" s="5" t="s">
        <v>438</v>
      </c>
      <c r="J126" s="16">
        <f>_xlfn.XLOOKUP(CustomerCombinedCleaned[[#This Row],[ID]], Table4[ID], Table4[Recency], "Not Found", 0)</f>
        <v>5</v>
      </c>
      <c r="K126" s="16">
        <f>_xlfn.XLOOKUP(CustomerCombinedCleaned[[#This Row],[ID]], Table4[ID], Table4[Teas], "Not Found", 0)</f>
        <v>1843</v>
      </c>
      <c r="L126" s="16">
        <f>_xlfn.XLOOKUP(CustomerCombinedCleaned[[#This Row],[ID]], Table4[ID], Table4[Fruits], "Not Found", 0)</f>
        <v>113</v>
      </c>
      <c r="M126" s="16">
        <f>_xlfn.XLOOKUP(CustomerCombinedCleaned[[#This Row],[ID]], Table4[ID], Table4[Meats], "Not Found", 0)</f>
        <v>1317</v>
      </c>
      <c r="N126" s="16">
        <f>_xlfn.XLOOKUP(CustomerCombinedCleaned[[#This Row],[ID]], Table4[ID], Table4[Seafood], "Not Found", 0)</f>
        <v>99</v>
      </c>
      <c r="O126" s="16">
        <f>_xlfn.XLOOKUP(CustomerCombinedCleaned[[#This Row],[ID]], Table4[ID], Table4[Sweets], "Not Found", 0)</f>
        <v>414</v>
      </c>
      <c r="P126" s="16">
        <f>_xlfn.XLOOKUP(CustomerCombinedCleaned[[#This Row],[ID]], Table4[ID], Table4[Premium], "Not Found", 0)</f>
        <v>113</v>
      </c>
      <c r="Q126" s="16">
        <f>_xlfn.XLOOKUP(CustomerCombinedCleaned[[#This Row],[ID]], Table4[ID], Table4[Regular], "Not Found", 0)</f>
        <v>3673</v>
      </c>
      <c r="R126" s="16">
        <f>_xlfn.XLOOKUP(CustomerCombinedCleaned[[#This Row],[ID]], Table4[ID], Table4[Deals], "Not Found", 0)</f>
        <v>1</v>
      </c>
      <c r="S126" s="16">
        <f>_xlfn.XLOOKUP(CustomerCombinedCleaned[[#This Row],[ID]], Table4[ID], Table4[Website], "Not Found", 0)</f>
        <v>4</v>
      </c>
      <c r="T126" s="16">
        <f>_xlfn.XLOOKUP(CustomerCombinedCleaned[[#This Row],[ID]], Table4[ID], Table4[Catalog], "Not Found", 0)</f>
        <v>6</v>
      </c>
      <c r="U126" s="16">
        <f>_xlfn.XLOOKUP(CustomerCombinedCleaned[[#This Row],[ID]], Table4[ID], Table4[Store], "Not Found", 0)</f>
        <v>4</v>
      </c>
      <c r="V126" s="16">
        <f>_xlfn.XLOOKUP(CustomerCombinedCleaned[[#This Row],[ID]], Table4[ID], Table4[Visits], "Not Found", 0)</f>
        <v>3</v>
      </c>
      <c r="W126" s="16">
        <f>_xlfn.XLOOKUP(CustomerCombinedCleaned[[#This Row],[ID]], Table2[ID],Table2[Complaint], "Not Found", 0 )</f>
        <v>0</v>
      </c>
      <c r="X126" s="16">
        <f>_xlfn.XLOOKUP(CustomerCombinedCleaned[[#This Row],[ID]], Table2[ID],Table2[Pilot], "Not Found", 0 )</f>
        <v>1</v>
      </c>
      <c r="Y126" s="16">
        <f>_xlfn.XLOOKUP(CustomerCombinedCleaned[[#This Row],[ID]], Table2[ID],Table2[MC1], "Not Found", 0 )</f>
        <v>1</v>
      </c>
      <c r="Z126" s="16">
        <f>_xlfn.XLOOKUP(CustomerCombinedCleaned[[#This Row],[ID]], Table2[ID],Table2[MC2], "Not Found", 0 )</f>
        <v>0</v>
      </c>
      <c r="AA126" s="16">
        <f>_xlfn.XLOOKUP(CustomerCombinedCleaned[[#This Row],[ID]], Table2[ID],Table2[MC3], "Not Found", 0 )</f>
        <v>0</v>
      </c>
      <c r="AB126" s="16">
        <f>_xlfn.XLOOKUP(CustomerCombinedCleaned[[#This Row],[ID]], Table2[ID],Table2[MC4], "Not Found", 0 )</f>
        <v>0</v>
      </c>
      <c r="AC126" s="16">
        <f>_xlfn.XLOOKUP(CustomerCombinedCleaned[[#This Row],[ID]], Table2[ID],Table2[MC5], "Not Found", 0 )</f>
        <v>1</v>
      </c>
    </row>
    <row r="127" spans="1:29" x14ac:dyDescent="0.3">
      <c r="A127" s="18">
        <v>1505</v>
      </c>
      <c r="B127" s="16">
        <v>173454</v>
      </c>
      <c r="C127" s="16">
        <v>0</v>
      </c>
      <c r="D127" s="16">
        <v>0</v>
      </c>
      <c r="E127" s="16">
        <v>33</v>
      </c>
      <c r="F127" s="17" t="s">
        <v>7</v>
      </c>
      <c r="G127" s="17" t="s">
        <v>12</v>
      </c>
      <c r="H127" s="3" t="s">
        <v>603</v>
      </c>
      <c r="I127" s="5" t="s">
        <v>434</v>
      </c>
      <c r="J127" s="16">
        <f>_xlfn.XLOOKUP(CustomerCombinedCleaned[[#This Row],[ID]], Table4[ID], Table4[Recency], "Not Found", 0)</f>
        <v>95</v>
      </c>
      <c r="K127" s="16">
        <f>_xlfn.XLOOKUP(CustomerCombinedCleaned[[#This Row],[ID]], Table4[ID], Table4[Teas], "Not Found", 0)</f>
        <v>2319</v>
      </c>
      <c r="L127" s="16">
        <f>_xlfn.XLOOKUP(CustomerCombinedCleaned[[#This Row],[ID]], Table4[ID], Table4[Fruits], "Not Found", 0)</f>
        <v>172</v>
      </c>
      <c r="M127" s="16">
        <f>_xlfn.XLOOKUP(CustomerCombinedCleaned[[#This Row],[ID]], Table4[ID], Table4[Meats], "Not Found", 0)</f>
        <v>829</v>
      </c>
      <c r="N127" s="16">
        <f>_xlfn.XLOOKUP(CustomerCombinedCleaned[[#This Row],[ID]], Table4[ID], Table4[Seafood], "Not Found", 0)</f>
        <v>132</v>
      </c>
      <c r="O127" s="16">
        <f>_xlfn.XLOOKUP(CustomerCombinedCleaned[[#This Row],[ID]], Table4[ID], Table4[Sweets], "Not Found", 0)</f>
        <v>33</v>
      </c>
      <c r="P127" s="16">
        <f>_xlfn.XLOOKUP(CustomerCombinedCleaned[[#This Row],[ID]], Table4[ID], Table4[Premium], "Not Found", 0)</f>
        <v>413</v>
      </c>
      <c r="Q127" s="16">
        <f>_xlfn.XLOOKUP(CustomerCombinedCleaned[[#This Row],[ID]], Table4[ID], Table4[Regular], "Not Found", 0)</f>
        <v>3072</v>
      </c>
      <c r="R127" s="16">
        <f>_xlfn.XLOOKUP(CustomerCombinedCleaned[[#This Row],[ID]], Table4[ID], Table4[Deals], "Not Found", 0)</f>
        <v>1</v>
      </c>
      <c r="S127" s="16">
        <f>_xlfn.XLOOKUP(CustomerCombinedCleaned[[#This Row],[ID]], Table4[ID], Table4[Website], "Not Found", 0)</f>
        <v>2</v>
      </c>
      <c r="T127" s="16">
        <f>_xlfn.XLOOKUP(CustomerCombinedCleaned[[#This Row],[ID]], Table4[ID], Table4[Catalog], "Not Found", 0)</f>
        <v>4</v>
      </c>
      <c r="U127" s="16">
        <f>_xlfn.XLOOKUP(CustomerCombinedCleaned[[#This Row],[ID]], Table4[ID], Table4[Store], "Not Found", 0)</f>
        <v>6</v>
      </c>
      <c r="V127" s="16">
        <f>_xlfn.XLOOKUP(CustomerCombinedCleaned[[#This Row],[ID]], Table4[ID], Table4[Visits], "Not Found", 0)</f>
        <v>5</v>
      </c>
      <c r="W127" s="16">
        <f>_xlfn.XLOOKUP(CustomerCombinedCleaned[[#This Row],[ID]], Table2[ID],Table2[Complaint], "Not Found", 0 )</f>
        <v>0</v>
      </c>
      <c r="X127" s="16">
        <f>_xlfn.XLOOKUP(CustomerCombinedCleaned[[#This Row],[ID]], Table2[ID],Table2[Pilot], "Not Found", 0 )</f>
        <v>0</v>
      </c>
      <c r="Y127" s="16">
        <f>_xlfn.XLOOKUP(CustomerCombinedCleaned[[#This Row],[ID]], Table2[ID],Table2[MC1], "Not Found", 0 )</f>
        <v>0</v>
      </c>
      <c r="Z127" s="16">
        <f>_xlfn.XLOOKUP(CustomerCombinedCleaned[[#This Row],[ID]], Table2[ID],Table2[MC2], "Not Found", 0 )</f>
        <v>0</v>
      </c>
      <c r="AA127" s="16">
        <f>_xlfn.XLOOKUP(CustomerCombinedCleaned[[#This Row],[ID]], Table2[ID],Table2[MC3], "Not Found", 0 )</f>
        <v>1</v>
      </c>
      <c r="AB127" s="16">
        <f>_xlfn.XLOOKUP(CustomerCombinedCleaned[[#This Row],[ID]], Table2[ID],Table2[MC4], "Not Found", 0 )</f>
        <v>0</v>
      </c>
      <c r="AC127" s="16">
        <f>_xlfn.XLOOKUP(CustomerCombinedCleaned[[#This Row],[ID]], Table2[ID],Table2[MC5], "Not Found", 0 )</f>
        <v>0</v>
      </c>
    </row>
    <row r="128" spans="1:29" x14ac:dyDescent="0.3">
      <c r="A128" s="18">
        <v>2877</v>
      </c>
      <c r="B128" s="16">
        <v>173395</v>
      </c>
      <c r="C128" s="16">
        <v>0</v>
      </c>
      <c r="D128" s="16">
        <v>0</v>
      </c>
      <c r="E128" s="16">
        <v>33</v>
      </c>
      <c r="F128" s="17" t="s">
        <v>6</v>
      </c>
      <c r="G128" s="17" t="s">
        <v>12</v>
      </c>
      <c r="H128" s="3" t="s">
        <v>83</v>
      </c>
      <c r="I128" s="5" t="s">
        <v>435</v>
      </c>
      <c r="J128" s="16">
        <f>_xlfn.XLOOKUP(CustomerCombinedCleaned[[#This Row],[ID]], Table4[ID], Table4[Recency], "Not Found", 0)</f>
        <v>94</v>
      </c>
      <c r="K128" s="16">
        <f>_xlfn.XLOOKUP(CustomerCombinedCleaned[[#This Row],[ID]], Table4[ID], Table4[Teas], "Not Found", 0)</f>
        <v>643</v>
      </c>
      <c r="L128" s="16">
        <f>_xlfn.XLOOKUP(CustomerCombinedCleaned[[#This Row],[ID]], Table4[ID], Table4[Fruits], "Not Found", 0)</f>
        <v>17</v>
      </c>
      <c r="M128" s="16">
        <f>_xlfn.XLOOKUP(CustomerCombinedCleaned[[#This Row],[ID]], Table4[ID], Table4[Meats], "Not Found", 0)</f>
        <v>189</v>
      </c>
      <c r="N128" s="16">
        <f>_xlfn.XLOOKUP(CustomerCombinedCleaned[[#This Row],[ID]], Table4[ID], Table4[Seafood], "Not Found", 0)</f>
        <v>47</v>
      </c>
      <c r="O128" s="16">
        <f>_xlfn.XLOOKUP(CustomerCombinedCleaned[[#This Row],[ID]], Table4[ID], Table4[Sweets], "Not Found", 0)</f>
        <v>17</v>
      </c>
      <c r="P128" s="16">
        <f>_xlfn.XLOOKUP(CustomerCombinedCleaned[[#This Row],[ID]], Table4[ID], Table4[Premium], "Not Found", 0)</f>
        <v>26</v>
      </c>
      <c r="Q128" s="16">
        <f>_xlfn.XLOOKUP(CustomerCombinedCleaned[[#This Row],[ID]], Table4[ID], Table4[Regular], "Not Found", 0)</f>
        <v>886</v>
      </c>
      <c r="R128" s="16">
        <f>_xlfn.XLOOKUP(CustomerCombinedCleaned[[#This Row],[ID]], Table4[ID], Table4[Deals], "Not Found", 0)</f>
        <v>1</v>
      </c>
      <c r="S128" s="16">
        <f>_xlfn.XLOOKUP(CustomerCombinedCleaned[[#This Row],[ID]], Table4[ID], Table4[Website], "Not Found", 0)</f>
        <v>4</v>
      </c>
      <c r="T128" s="16">
        <f>_xlfn.XLOOKUP(CustomerCombinedCleaned[[#This Row],[ID]], Table4[ID], Table4[Catalog], "Not Found", 0)</f>
        <v>4</v>
      </c>
      <c r="U128" s="16">
        <f>_xlfn.XLOOKUP(CustomerCombinedCleaned[[#This Row],[ID]], Table4[ID], Table4[Store], "Not Found", 0)</f>
        <v>6</v>
      </c>
      <c r="V128" s="16">
        <f>_xlfn.XLOOKUP(CustomerCombinedCleaned[[#This Row],[ID]], Table4[ID], Table4[Visits], "Not Found", 0)</f>
        <v>2</v>
      </c>
      <c r="W128" s="16">
        <f>_xlfn.XLOOKUP(CustomerCombinedCleaned[[#This Row],[ID]], Table2[ID],Table2[Complaint], "Not Found", 0 )</f>
        <v>0</v>
      </c>
      <c r="X128" s="16">
        <f>_xlfn.XLOOKUP(CustomerCombinedCleaned[[#This Row],[ID]], Table2[ID],Table2[Pilot], "Not Found", 0 )</f>
        <v>0</v>
      </c>
      <c r="Y128" s="16">
        <f>_xlfn.XLOOKUP(CustomerCombinedCleaned[[#This Row],[ID]], Table2[ID],Table2[MC1], "Not Found", 0 )</f>
        <v>0</v>
      </c>
      <c r="Z128" s="16">
        <f>_xlfn.XLOOKUP(CustomerCombinedCleaned[[#This Row],[ID]], Table2[ID],Table2[MC2], "Not Found", 0 )</f>
        <v>0</v>
      </c>
      <c r="AA128" s="16">
        <f>_xlfn.XLOOKUP(CustomerCombinedCleaned[[#This Row],[ID]], Table2[ID],Table2[MC3], "Not Found", 0 )</f>
        <v>0</v>
      </c>
      <c r="AB128" s="16">
        <f>_xlfn.XLOOKUP(CustomerCombinedCleaned[[#This Row],[ID]], Table2[ID],Table2[MC4], "Not Found", 0 )</f>
        <v>0</v>
      </c>
      <c r="AC128" s="16">
        <f>_xlfn.XLOOKUP(CustomerCombinedCleaned[[#This Row],[ID]], Table2[ID],Table2[MC5], "Not Found", 0 )</f>
        <v>0</v>
      </c>
    </row>
    <row r="129" spans="1:29" x14ac:dyDescent="0.3">
      <c r="A129" s="18">
        <v>2040</v>
      </c>
      <c r="B129" s="16">
        <v>167605</v>
      </c>
      <c r="C129" s="16">
        <v>0</v>
      </c>
      <c r="D129" s="16">
        <v>0</v>
      </c>
      <c r="E129" s="16">
        <v>33</v>
      </c>
      <c r="F129" s="17" t="s">
        <v>8</v>
      </c>
      <c r="G129" s="17" t="s">
        <v>11</v>
      </c>
      <c r="H129" s="3" t="s">
        <v>671</v>
      </c>
      <c r="I129" s="5" t="s">
        <v>436</v>
      </c>
      <c r="J129" s="16">
        <f>_xlfn.XLOOKUP(CustomerCombinedCleaned[[#This Row],[ID]], Table4[ID], Table4[Recency], "Not Found", 0)</f>
        <v>84</v>
      </c>
      <c r="K129" s="16">
        <f>_xlfn.XLOOKUP(CustomerCombinedCleaned[[#This Row],[ID]], Table4[ID], Table4[Teas], "Not Found", 0)</f>
        <v>833</v>
      </c>
      <c r="L129" s="16">
        <f>_xlfn.XLOOKUP(CustomerCombinedCleaned[[#This Row],[ID]], Table4[ID], Table4[Fruits], "Not Found", 0)</f>
        <v>69</v>
      </c>
      <c r="M129" s="16">
        <f>_xlfn.XLOOKUP(CustomerCombinedCleaned[[#This Row],[ID]], Table4[ID], Table4[Meats], "Not Found", 0)</f>
        <v>699</v>
      </c>
      <c r="N129" s="16">
        <f>_xlfn.XLOOKUP(CustomerCombinedCleaned[[#This Row],[ID]], Table4[ID], Table4[Seafood], "Not Found", 0)</f>
        <v>456</v>
      </c>
      <c r="O129" s="16">
        <f>_xlfn.XLOOKUP(CustomerCombinedCleaned[[#This Row],[ID]], Table4[ID], Table4[Sweets], "Not Found", 0)</f>
        <v>134</v>
      </c>
      <c r="P129" s="16">
        <f>_xlfn.XLOOKUP(CustomerCombinedCleaned[[#This Row],[ID]], Table4[ID], Table4[Premium], "Not Found", 0)</f>
        <v>134</v>
      </c>
      <c r="Q129" s="16">
        <f>_xlfn.XLOOKUP(CustomerCombinedCleaned[[#This Row],[ID]], Table4[ID], Table4[Regular], "Not Found", 0)</f>
        <v>2058</v>
      </c>
      <c r="R129" s="16">
        <f>_xlfn.XLOOKUP(CustomerCombinedCleaned[[#This Row],[ID]], Table4[ID], Table4[Deals], "Not Found", 0)</f>
        <v>1</v>
      </c>
      <c r="S129" s="16">
        <f>_xlfn.XLOOKUP(CustomerCombinedCleaned[[#This Row],[ID]], Table4[ID], Table4[Website], "Not Found", 0)</f>
        <v>2</v>
      </c>
      <c r="T129" s="16">
        <f>_xlfn.XLOOKUP(CustomerCombinedCleaned[[#This Row],[ID]], Table4[ID], Table4[Catalog], "Not Found", 0)</f>
        <v>8</v>
      </c>
      <c r="U129" s="16">
        <f>_xlfn.XLOOKUP(CustomerCombinedCleaned[[#This Row],[ID]], Table4[ID], Table4[Store], "Not Found", 0)</f>
        <v>6</v>
      </c>
      <c r="V129" s="16">
        <f>_xlfn.XLOOKUP(CustomerCombinedCleaned[[#This Row],[ID]], Table4[ID], Table4[Visits], "Not Found", 0)</f>
        <v>1</v>
      </c>
      <c r="W129" s="16">
        <f>_xlfn.XLOOKUP(CustomerCombinedCleaned[[#This Row],[ID]], Table2[ID],Table2[Complaint], "Not Found", 0 )</f>
        <v>0</v>
      </c>
      <c r="X129" s="16">
        <f>_xlfn.XLOOKUP(CustomerCombinedCleaned[[#This Row],[ID]], Table2[ID],Table2[Pilot], "Not Found", 0 )</f>
        <v>0</v>
      </c>
      <c r="Y129" s="16">
        <f>_xlfn.XLOOKUP(CustomerCombinedCleaned[[#This Row],[ID]], Table2[ID],Table2[MC1], "Not Found", 0 )</f>
        <v>0</v>
      </c>
      <c r="Z129" s="16">
        <f>_xlfn.XLOOKUP(CustomerCombinedCleaned[[#This Row],[ID]], Table2[ID],Table2[MC2], "Not Found", 0 )</f>
        <v>0</v>
      </c>
      <c r="AA129" s="16">
        <f>_xlfn.XLOOKUP(CustomerCombinedCleaned[[#This Row],[ID]], Table2[ID],Table2[MC3], "Not Found", 0 )</f>
        <v>0</v>
      </c>
      <c r="AB129" s="16">
        <f>_xlfn.XLOOKUP(CustomerCombinedCleaned[[#This Row],[ID]], Table2[ID],Table2[MC4], "Not Found", 0 )</f>
        <v>0</v>
      </c>
      <c r="AC129" s="16">
        <f>_xlfn.XLOOKUP(CustomerCombinedCleaned[[#This Row],[ID]], Table2[ID],Table2[MC5], "Not Found", 0 )</f>
        <v>0</v>
      </c>
    </row>
    <row r="130" spans="1:29" x14ac:dyDescent="0.3">
      <c r="A130" s="18">
        <v>1748</v>
      </c>
      <c r="B130" s="16">
        <v>167430</v>
      </c>
      <c r="C130" s="16">
        <v>0</v>
      </c>
      <c r="D130" s="16">
        <v>0</v>
      </c>
      <c r="E130" s="16">
        <v>33</v>
      </c>
      <c r="F130" s="17" t="s">
        <v>8</v>
      </c>
      <c r="G130" s="17" t="s">
        <v>11</v>
      </c>
      <c r="H130" s="3" t="s">
        <v>682</v>
      </c>
      <c r="I130" s="5" t="s">
        <v>438</v>
      </c>
      <c r="J130" s="16">
        <f>_xlfn.XLOOKUP(CustomerCombinedCleaned[[#This Row],[ID]], Table4[ID], Table4[Recency], "Not Found", 0)</f>
        <v>6</v>
      </c>
      <c r="K130" s="16">
        <f>_xlfn.XLOOKUP(CustomerCombinedCleaned[[#This Row],[ID]], Table4[ID], Table4[Teas], "Not Found", 0)</f>
        <v>1477</v>
      </c>
      <c r="L130" s="16">
        <f>_xlfn.XLOOKUP(CustomerCombinedCleaned[[#This Row],[ID]], Table4[ID], Table4[Fruits], "Not Found", 0)</f>
        <v>241</v>
      </c>
      <c r="M130" s="16">
        <f>_xlfn.XLOOKUP(CustomerCombinedCleaned[[#This Row],[ID]], Table4[ID], Table4[Meats], "Not Found", 0)</f>
        <v>723</v>
      </c>
      <c r="N130" s="16">
        <f>_xlfn.XLOOKUP(CustomerCombinedCleaned[[#This Row],[ID]], Table4[ID], Table4[Seafood], "Not Found", 0)</f>
        <v>315</v>
      </c>
      <c r="O130" s="16">
        <f>_xlfn.XLOOKUP(CustomerCombinedCleaned[[#This Row],[ID]], Table4[ID], Table4[Sweets], "Not Found", 0)</f>
        <v>330</v>
      </c>
      <c r="P130" s="16">
        <f>_xlfn.XLOOKUP(CustomerCombinedCleaned[[#This Row],[ID]], Table4[ID], Table4[Premium], "Not Found", 0)</f>
        <v>300</v>
      </c>
      <c r="Q130" s="16">
        <f>_xlfn.XLOOKUP(CustomerCombinedCleaned[[#This Row],[ID]], Table4[ID], Table4[Regular], "Not Found", 0)</f>
        <v>2786</v>
      </c>
      <c r="R130" s="16">
        <f>_xlfn.XLOOKUP(CustomerCombinedCleaned[[#This Row],[ID]], Table4[ID], Table4[Deals], "Not Found", 0)</f>
        <v>1</v>
      </c>
      <c r="S130" s="16">
        <f>_xlfn.XLOOKUP(CustomerCombinedCleaned[[#This Row],[ID]], Table4[ID], Table4[Website], "Not Found", 0)</f>
        <v>11</v>
      </c>
      <c r="T130" s="16">
        <f>_xlfn.XLOOKUP(CustomerCombinedCleaned[[#This Row],[ID]], Table4[ID], Table4[Catalog], "Not Found", 0)</f>
        <v>5</v>
      </c>
      <c r="U130" s="16">
        <f>_xlfn.XLOOKUP(CustomerCombinedCleaned[[#This Row],[ID]], Table4[ID], Table4[Store], "Not Found", 0)</f>
        <v>12</v>
      </c>
      <c r="V130" s="16">
        <f>_xlfn.XLOOKUP(CustomerCombinedCleaned[[#This Row],[ID]], Table4[ID], Table4[Visits], "Not Found", 0)</f>
        <v>6</v>
      </c>
      <c r="W130" s="16">
        <f>_xlfn.XLOOKUP(CustomerCombinedCleaned[[#This Row],[ID]], Table2[ID],Table2[Complaint], "Not Found", 0 )</f>
        <v>0</v>
      </c>
      <c r="X130" s="16">
        <f>_xlfn.XLOOKUP(CustomerCombinedCleaned[[#This Row],[ID]], Table2[ID],Table2[Pilot], "Not Found", 0 )</f>
        <v>0</v>
      </c>
      <c r="Y130" s="16">
        <f>_xlfn.XLOOKUP(CustomerCombinedCleaned[[#This Row],[ID]], Table2[ID],Table2[MC1], "Not Found", 0 )</f>
        <v>0</v>
      </c>
      <c r="Z130" s="16">
        <f>_xlfn.XLOOKUP(CustomerCombinedCleaned[[#This Row],[ID]], Table2[ID],Table2[MC2], "Not Found", 0 )</f>
        <v>0</v>
      </c>
      <c r="AA130" s="16">
        <f>_xlfn.XLOOKUP(CustomerCombinedCleaned[[#This Row],[ID]], Table2[ID],Table2[MC3], "Not Found", 0 )</f>
        <v>0</v>
      </c>
      <c r="AB130" s="16">
        <f>_xlfn.XLOOKUP(CustomerCombinedCleaned[[#This Row],[ID]], Table2[ID],Table2[MC4], "Not Found", 0 )</f>
        <v>0</v>
      </c>
      <c r="AC130" s="16">
        <f>_xlfn.XLOOKUP(CustomerCombinedCleaned[[#This Row],[ID]], Table2[ID],Table2[MC5], "Not Found", 0 )</f>
        <v>0</v>
      </c>
    </row>
    <row r="131" spans="1:29" x14ac:dyDescent="0.3">
      <c r="A131" s="18">
        <v>2666</v>
      </c>
      <c r="B131" s="16">
        <v>161787</v>
      </c>
      <c r="C131" s="16">
        <v>0</v>
      </c>
      <c r="D131" s="16">
        <v>0</v>
      </c>
      <c r="E131" s="16">
        <v>33</v>
      </c>
      <c r="F131" s="17" t="s">
        <v>5</v>
      </c>
      <c r="G131" s="17" t="s">
        <v>12</v>
      </c>
      <c r="H131" s="3" t="s">
        <v>707</v>
      </c>
      <c r="I131" s="5" t="s">
        <v>438</v>
      </c>
      <c r="J131" s="16">
        <f>_xlfn.XLOOKUP(CustomerCombinedCleaned[[#This Row],[ID]], Table4[ID], Table4[Recency], "Not Found", 0)</f>
        <v>71</v>
      </c>
      <c r="K131" s="16">
        <f>_xlfn.XLOOKUP(CustomerCombinedCleaned[[#This Row],[ID]], Table4[ID], Table4[Teas], "Not Found", 0)</f>
        <v>1626</v>
      </c>
      <c r="L131" s="16">
        <f>_xlfn.XLOOKUP(CustomerCombinedCleaned[[#This Row],[ID]], Table4[ID], Table4[Fruits], "Not Found", 0)</f>
        <v>191</v>
      </c>
      <c r="M131" s="16">
        <f>_xlfn.XLOOKUP(CustomerCombinedCleaned[[#This Row],[ID]], Table4[ID], Table4[Meats], "Not Found", 0)</f>
        <v>1084</v>
      </c>
      <c r="N131" s="16">
        <f>_xlfn.XLOOKUP(CustomerCombinedCleaned[[#This Row],[ID]], Table4[ID], Table4[Seafood], "Not Found", 0)</f>
        <v>204</v>
      </c>
      <c r="O131" s="16">
        <f>_xlfn.XLOOKUP(CustomerCombinedCleaned[[#This Row],[ID]], Table4[ID], Table4[Sweets], "Not Found", 0)</f>
        <v>126</v>
      </c>
      <c r="P131" s="16">
        <f>_xlfn.XLOOKUP(CustomerCombinedCleaned[[#This Row],[ID]], Table4[ID], Table4[Premium], "Not Found", 0)</f>
        <v>223</v>
      </c>
      <c r="Q131" s="16">
        <f>_xlfn.XLOOKUP(CustomerCombinedCleaned[[#This Row],[ID]], Table4[ID], Table4[Regular], "Not Found", 0)</f>
        <v>3009</v>
      </c>
      <c r="R131" s="16">
        <f>_xlfn.XLOOKUP(CustomerCombinedCleaned[[#This Row],[ID]], Table4[ID], Table4[Deals], "Not Found", 0)</f>
        <v>1</v>
      </c>
      <c r="S131" s="16">
        <f>_xlfn.XLOOKUP(CustomerCombinedCleaned[[#This Row],[ID]], Table4[ID], Table4[Website], "Not Found", 0)</f>
        <v>8</v>
      </c>
      <c r="T131" s="16">
        <f>_xlfn.XLOOKUP(CustomerCombinedCleaned[[#This Row],[ID]], Table4[ID], Table4[Catalog], "Not Found", 0)</f>
        <v>4</v>
      </c>
      <c r="U131" s="16">
        <f>_xlfn.XLOOKUP(CustomerCombinedCleaned[[#This Row],[ID]], Table4[ID], Table4[Store], "Not Found", 0)</f>
        <v>6</v>
      </c>
      <c r="V131" s="16">
        <f>_xlfn.XLOOKUP(CustomerCombinedCleaned[[#This Row],[ID]], Table4[ID], Table4[Visits], "Not Found", 0)</f>
        <v>5</v>
      </c>
      <c r="W131" s="16">
        <f>_xlfn.XLOOKUP(CustomerCombinedCleaned[[#This Row],[ID]], Table2[ID],Table2[Complaint], "Not Found", 0 )</f>
        <v>0</v>
      </c>
      <c r="X131" s="16">
        <f>_xlfn.XLOOKUP(CustomerCombinedCleaned[[#This Row],[ID]], Table2[ID],Table2[Pilot], "Not Found", 0 )</f>
        <v>0</v>
      </c>
      <c r="Y131" s="16">
        <f>_xlfn.XLOOKUP(CustomerCombinedCleaned[[#This Row],[ID]], Table2[ID],Table2[MC1], "Not Found", 0 )</f>
        <v>0</v>
      </c>
      <c r="Z131" s="16">
        <f>_xlfn.XLOOKUP(CustomerCombinedCleaned[[#This Row],[ID]], Table2[ID],Table2[MC2], "Not Found", 0 )</f>
        <v>0</v>
      </c>
      <c r="AA131" s="16">
        <f>_xlfn.XLOOKUP(CustomerCombinedCleaned[[#This Row],[ID]], Table2[ID],Table2[MC3], "Not Found", 0 )</f>
        <v>0</v>
      </c>
      <c r="AB131" s="16">
        <f>_xlfn.XLOOKUP(CustomerCombinedCleaned[[#This Row],[ID]], Table2[ID],Table2[MC4], "Not Found", 0 )</f>
        <v>0</v>
      </c>
      <c r="AC131" s="16">
        <f>_xlfn.XLOOKUP(CustomerCombinedCleaned[[#This Row],[ID]], Table2[ID],Table2[MC5], "Not Found", 0 )</f>
        <v>0</v>
      </c>
    </row>
    <row r="132" spans="1:29" x14ac:dyDescent="0.3">
      <c r="A132" s="18">
        <v>2593</v>
      </c>
      <c r="B132" s="16">
        <v>157100</v>
      </c>
      <c r="C132" s="16">
        <v>1</v>
      </c>
      <c r="D132" s="16">
        <v>0</v>
      </c>
      <c r="E132" s="16">
        <v>33</v>
      </c>
      <c r="F132" s="17" t="s">
        <v>7</v>
      </c>
      <c r="G132" s="17" t="s">
        <v>11</v>
      </c>
      <c r="H132" s="3" t="s">
        <v>47</v>
      </c>
      <c r="I132" s="5" t="s">
        <v>437</v>
      </c>
      <c r="J132" s="16">
        <f>_xlfn.XLOOKUP(CustomerCombinedCleaned[[#This Row],[ID]], Table4[ID], Table4[Recency], "Not Found", 0)</f>
        <v>9</v>
      </c>
      <c r="K132" s="16">
        <f>_xlfn.XLOOKUP(CustomerCombinedCleaned[[#This Row],[ID]], Table4[ID], Table4[Teas], "Not Found", 0)</f>
        <v>435</v>
      </c>
      <c r="L132" s="16">
        <f>_xlfn.XLOOKUP(CustomerCombinedCleaned[[#This Row],[ID]], Table4[ID], Table4[Fruits], "Not Found", 0)</f>
        <v>30</v>
      </c>
      <c r="M132" s="16">
        <f>_xlfn.XLOOKUP(CustomerCombinedCleaned[[#This Row],[ID]], Table4[ID], Table4[Meats], "Not Found", 0)</f>
        <v>272</v>
      </c>
      <c r="N132" s="16">
        <f>_xlfn.XLOOKUP(CustomerCombinedCleaned[[#This Row],[ID]], Table4[ID], Table4[Seafood], "Not Found", 0)</f>
        <v>41</v>
      </c>
      <c r="O132" s="16">
        <f>_xlfn.XLOOKUP(CustomerCombinedCleaned[[#This Row],[ID]], Table4[ID], Table4[Sweets], "Not Found", 0)</f>
        <v>30</v>
      </c>
      <c r="P132" s="16">
        <f>_xlfn.XLOOKUP(CustomerCombinedCleaned[[#This Row],[ID]], Table4[ID], Table4[Premium], "Not Found", 0)</f>
        <v>47</v>
      </c>
      <c r="Q132" s="16">
        <f>_xlfn.XLOOKUP(CustomerCombinedCleaned[[#This Row],[ID]], Table4[ID], Table4[Regular], "Not Found", 0)</f>
        <v>762</v>
      </c>
      <c r="R132" s="16">
        <f>_xlfn.XLOOKUP(CustomerCombinedCleaned[[#This Row],[ID]], Table4[ID], Table4[Deals], "Not Found", 0)</f>
        <v>2</v>
      </c>
      <c r="S132" s="16">
        <f>_xlfn.XLOOKUP(CustomerCombinedCleaned[[#This Row],[ID]], Table4[ID], Table4[Website], "Not Found", 0)</f>
        <v>3</v>
      </c>
      <c r="T132" s="16">
        <f>_xlfn.XLOOKUP(CustomerCombinedCleaned[[#This Row],[ID]], Table4[ID], Table4[Catalog], "Not Found", 0)</f>
        <v>2</v>
      </c>
      <c r="U132" s="16">
        <f>_xlfn.XLOOKUP(CustomerCombinedCleaned[[#This Row],[ID]], Table4[ID], Table4[Store], "Not Found", 0)</f>
        <v>7</v>
      </c>
      <c r="V132" s="16">
        <f>_xlfn.XLOOKUP(CustomerCombinedCleaned[[#This Row],[ID]], Table4[ID], Table4[Visits], "Not Found", 0)</f>
        <v>3</v>
      </c>
      <c r="W132" s="16">
        <f>_xlfn.XLOOKUP(CustomerCombinedCleaned[[#This Row],[ID]], Table2[ID],Table2[Complaint], "Not Found", 0 )</f>
        <v>0</v>
      </c>
      <c r="X132" s="16">
        <f>_xlfn.XLOOKUP(CustomerCombinedCleaned[[#This Row],[ID]], Table2[ID],Table2[Pilot], "Not Found", 0 )</f>
        <v>0</v>
      </c>
      <c r="Y132" s="16">
        <f>_xlfn.XLOOKUP(CustomerCombinedCleaned[[#This Row],[ID]], Table2[ID],Table2[MC1], "Not Found", 0 )</f>
        <v>0</v>
      </c>
      <c r="Z132" s="16">
        <f>_xlfn.XLOOKUP(CustomerCombinedCleaned[[#This Row],[ID]], Table2[ID],Table2[MC2], "Not Found", 0 )</f>
        <v>0</v>
      </c>
      <c r="AA132" s="16">
        <f>_xlfn.XLOOKUP(CustomerCombinedCleaned[[#This Row],[ID]], Table2[ID],Table2[MC3], "Not Found", 0 )</f>
        <v>0</v>
      </c>
      <c r="AB132" s="16">
        <f>_xlfn.XLOOKUP(CustomerCombinedCleaned[[#This Row],[ID]], Table2[ID],Table2[MC4], "Not Found", 0 )</f>
        <v>0</v>
      </c>
      <c r="AC132" s="16">
        <f>_xlfn.XLOOKUP(CustomerCombinedCleaned[[#This Row],[ID]], Table2[ID],Table2[MC5], "Not Found", 0 )</f>
        <v>0</v>
      </c>
    </row>
    <row r="133" spans="1:29" x14ac:dyDescent="0.3">
      <c r="A133" s="18">
        <v>1926</v>
      </c>
      <c r="B133" s="16">
        <v>151563</v>
      </c>
      <c r="C133" s="16">
        <v>0</v>
      </c>
      <c r="D133" s="16">
        <v>0</v>
      </c>
      <c r="E133" s="16">
        <v>33</v>
      </c>
      <c r="F133" s="17" t="s">
        <v>6</v>
      </c>
      <c r="G133" s="17" t="s">
        <v>13</v>
      </c>
      <c r="H133" s="3" t="s">
        <v>680</v>
      </c>
      <c r="I133" s="5" t="s">
        <v>436</v>
      </c>
      <c r="J133" s="16">
        <f>_xlfn.XLOOKUP(CustomerCombinedCleaned[[#This Row],[ID]], Table4[ID], Table4[Recency], "Not Found", 0)</f>
        <v>60</v>
      </c>
      <c r="K133" s="16">
        <f>_xlfn.XLOOKUP(CustomerCombinedCleaned[[#This Row],[ID]], Table4[ID], Table4[Teas], "Not Found", 0)</f>
        <v>3427</v>
      </c>
      <c r="L133" s="16">
        <f>_xlfn.XLOOKUP(CustomerCombinedCleaned[[#This Row],[ID]], Table4[ID], Table4[Fruits], "Not Found", 0)</f>
        <v>0</v>
      </c>
      <c r="M133" s="16">
        <f>_xlfn.XLOOKUP(CustomerCombinedCleaned[[#This Row],[ID]], Table4[ID], Table4[Meats], "Not Found", 0)</f>
        <v>141</v>
      </c>
      <c r="N133" s="16">
        <f>_xlfn.XLOOKUP(CustomerCombinedCleaned[[#This Row],[ID]], Table4[ID], Table4[Seafood], "Not Found", 0)</f>
        <v>0</v>
      </c>
      <c r="O133" s="16">
        <f>_xlfn.XLOOKUP(CustomerCombinedCleaned[[#This Row],[ID]], Table4[ID], Table4[Sweets], "Not Found", 0)</f>
        <v>0</v>
      </c>
      <c r="P133" s="16">
        <f>_xlfn.XLOOKUP(CustomerCombinedCleaned[[#This Row],[ID]], Table4[ID], Table4[Premium], "Not Found", 0)</f>
        <v>106</v>
      </c>
      <c r="Q133" s="16">
        <f>_xlfn.XLOOKUP(CustomerCombinedCleaned[[#This Row],[ID]], Table4[ID], Table4[Regular], "Not Found", 0)</f>
        <v>3463</v>
      </c>
      <c r="R133" s="16">
        <f>_xlfn.XLOOKUP(CustomerCombinedCleaned[[#This Row],[ID]], Table4[ID], Table4[Deals], "Not Found", 0)</f>
        <v>1</v>
      </c>
      <c r="S133" s="16">
        <f>_xlfn.XLOOKUP(CustomerCombinedCleaned[[#This Row],[ID]], Table4[ID], Table4[Website], "Not Found", 0)</f>
        <v>4</v>
      </c>
      <c r="T133" s="16">
        <f>_xlfn.XLOOKUP(CustomerCombinedCleaned[[#This Row],[ID]], Table4[ID], Table4[Catalog], "Not Found", 0)</f>
        <v>4</v>
      </c>
      <c r="U133" s="16">
        <f>_xlfn.XLOOKUP(CustomerCombinedCleaned[[#This Row],[ID]], Table4[ID], Table4[Store], "Not Found", 0)</f>
        <v>10</v>
      </c>
      <c r="V133" s="16">
        <f>_xlfn.XLOOKUP(CustomerCombinedCleaned[[#This Row],[ID]], Table4[ID], Table4[Visits], "Not Found", 0)</f>
        <v>8</v>
      </c>
      <c r="W133" s="16">
        <f>_xlfn.XLOOKUP(CustomerCombinedCleaned[[#This Row],[ID]], Table2[ID],Table2[Complaint], "Not Found", 0 )</f>
        <v>0</v>
      </c>
      <c r="X133" s="16">
        <f>_xlfn.XLOOKUP(CustomerCombinedCleaned[[#This Row],[ID]], Table2[ID],Table2[Pilot], "Not Found", 0 )</f>
        <v>0</v>
      </c>
      <c r="Y133" s="16">
        <f>_xlfn.XLOOKUP(CustomerCombinedCleaned[[#This Row],[ID]], Table2[ID],Table2[MC1], "Not Found", 0 )</f>
        <v>0</v>
      </c>
      <c r="Z133" s="16">
        <f>_xlfn.XLOOKUP(CustomerCombinedCleaned[[#This Row],[ID]], Table2[ID],Table2[MC2], "Not Found", 0 )</f>
        <v>0</v>
      </c>
      <c r="AA133" s="16">
        <f>_xlfn.XLOOKUP(CustomerCombinedCleaned[[#This Row],[ID]], Table2[ID],Table2[MC3], "Not Found", 0 )</f>
        <v>0</v>
      </c>
      <c r="AB133" s="16">
        <f>_xlfn.XLOOKUP(CustomerCombinedCleaned[[#This Row],[ID]], Table2[ID],Table2[MC4], "Not Found", 0 )</f>
        <v>1</v>
      </c>
      <c r="AC133" s="16">
        <f>_xlfn.XLOOKUP(CustomerCombinedCleaned[[#This Row],[ID]], Table2[ID],Table2[MC5], "Not Found", 0 )</f>
        <v>1</v>
      </c>
    </row>
    <row r="134" spans="1:29" x14ac:dyDescent="0.3">
      <c r="A134" s="18">
        <v>1397</v>
      </c>
      <c r="B134" s="16">
        <v>146923</v>
      </c>
      <c r="C134" s="16">
        <v>1</v>
      </c>
      <c r="D134" s="16">
        <v>0</v>
      </c>
      <c r="E134" s="16">
        <v>33</v>
      </c>
      <c r="F134" s="17" t="s">
        <v>7</v>
      </c>
      <c r="G134" s="17" t="s">
        <v>11</v>
      </c>
      <c r="H134" s="3" t="s">
        <v>406</v>
      </c>
      <c r="I134" s="5" t="s">
        <v>434</v>
      </c>
      <c r="J134" s="16">
        <f>_xlfn.XLOOKUP(CustomerCombinedCleaned[[#This Row],[ID]], Table4[ID], Table4[Recency], "Not Found", 0)</f>
        <v>90</v>
      </c>
      <c r="K134" s="16">
        <f>_xlfn.XLOOKUP(CustomerCombinedCleaned[[#This Row],[ID]], Table4[ID], Table4[Teas], "Not Found", 0)</f>
        <v>266</v>
      </c>
      <c r="L134" s="16">
        <f>_xlfn.XLOOKUP(CustomerCombinedCleaned[[#This Row],[ID]], Table4[ID], Table4[Fruits], "Not Found", 0)</f>
        <v>138</v>
      </c>
      <c r="M134" s="16">
        <f>_xlfn.XLOOKUP(CustomerCombinedCleaned[[#This Row],[ID]], Table4[ID], Table4[Meats], "Not Found", 0)</f>
        <v>169</v>
      </c>
      <c r="N134" s="16">
        <f>_xlfn.XLOOKUP(CustomerCombinedCleaned[[#This Row],[ID]], Table4[ID], Table4[Seafood], "Not Found", 0)</f>
        <v>319</v>
      </c>
      <c r="O134" s="16">
        <f>_xlfn.XLOOKUP(CustomerCombinedCleaned[[#This Row],[ID]], Table4[ID], Table4[Sweets], "Not Found", 0)</f>
        <v>244</v>
      </c>
      <c r="P134" s="16">
        <f>_xlfn.XLOOKUP(CustomerCombinedCleaned[[#This Row],[ID]], Table4[ID], Table4[Premium], "Not Found", 0)</f>
        <v>19</v>
      </c>
      <c r="Q134" s="16">
        <f>_xlfn.XLOOKUP(CustomerCombinedCleaned[[#This Row],[ID]], Table4[ID], Table4[Regular], "Not Found", 0)</f>
        <v>1118</v>
      </c>
      <c r="R134" s="16">
        <f>_xlfn.XLOOKUP(CustomerCombinedCleaned[[#This Row],[ID]], Table4[ID], Table4[Deals], "Not Found", 0)</f>
        <v>3</v>
      </c>
      <c r="S134" s="16">
        <f>_xlfn.XLOOKUP(CustomerCombinedCleaned[[#This Row],[ID]], Table4[ID], Table4[Website], "Not Found", 0)</f>
        <v>5</v>
      </c>
      <c r="T134" s="16">
        <f>_xlfn.XLOOKUP(CustomerCombinedCleaned[[#This Row],[ID]], Table4[ID], Table4[Catalog], "Not Found", 0)</f>
        <v>1</v>
      </c>
      <c r="U134" s="16">
        <f>_xlfn.XLOOKUP(CustomerCombinedCleaned[[#This Row],[ID]], Table4[ID], Table4[Store], "Not Found", 0)</f>
        <v>7</v>
      </c>
      <c r="V134" s="16">
        <f>_xlfn.XLOOKUP(CustomerCombinedCleaned[[#This Row],[ID]], Table4[ID], Table4[Visits], "Not Found", 0)</f>
        <v>7</v>
      </c>
      <c r="W134" s="16">
        <f>_xlfn.XLOOKUP(CustomerCombinedCleaned[[#This Row],[ID]], Table2[ID],Table2[Complaint], "Not Found", 0 )</f>
        <v>0</v>
      </c>
      <c r="X134" s="16">
        <f>_xlfn.XLOOKUP(CustomerCombinedCleaned[[#This Row],[ID]], Table2[ID],Table2[Pilot], "Not Found", 0 )</f>
        <v>0</v>
      </c>
      <c r="Y134" s="16">
        <f>_xlfn.XLOOKUP(CustomerCombinedCleaned[[#This Row],[ID]], Table2[ID],Table2[MC1], "Not Found", 0 )</f>
        <v>0</v>
      </c>
      <c r="Z134" s="16">
        <f>_xlfn.XLOOKUP(CustomerCombinedCleaned[[#This Row],[ID]], Table2[ID],Table2[MC2], "Not Found", 0 )</f>
        <v>0</v>
      </c>
      <c r="AA134" s="16">
        <f>_xlfn.XLOOKUP(CustomerCombinedCleaned[[#This Row],[ID]], Table2[ID],Table2[MC3], "Not Found", 0 )</f>
        <v>0</v>
      </c>
      <c r="AB134" s="16">
        <f>_xlfn.XLOOKUP(CustomerCombinedCleaned[[#This Row],[ID]], Table2[ID],Table2[MC4], "Not Found", 0 )</f>
        <v>0</v>
      </c>
      <c r="AC134" s="16">
        <f>_xlfn.XLOOKUP(CustomerCombinedCleaned[[#This Row],[ID]], Table2[ID],Table2[MC5], "Not Found", 0 )</f>
        <v>0</v>
      </c>
    </row>
    <row r="135" spans="1:29" x14ac:dyDescent="0.3">
      <c r="A135" s="18">
        <v>2043</v>
      </c>
      <c r="B135" s="16">
        <v>142000</v>
      </c>
      <c r="C135" s="16">
        <v>0</v>
      </c>
      <c r="D135" s="16">
        <v>0</v>
      </c>
      <c r="E135" s="16">
        <v>33</v>
      </c>
      <c r="F135" s="17" t="s">
        <v>7</v>
      </c>
      <c r="G135" s="17" t="s">
        <v>13</v>
      </c>
      <c r="H135" s="3" t="s">
        <v>330</v>
      </c>
      <c r="I135" s="5" t="s">
        <v>435</v>
      </c>
      <c r="J135" s="16">
        <f>_xlfn.XLOOKUP(CustomerCombinedCleaned[[#This Row],[ID]], Table4[ID], Table4[Recency], "Not Found", 0)</f>
        <v>23</v>
      </c>
      <c r="K135" s="16">
        <f>_xlfn.XLOOKUP(CustomerCombinedCleaned[[#This Row],[ID]], Table4[ID], Table4[Teas], "Not Found", 0)</f>
        <v>419</v>
      </c>
      <c r="L135" s="16">
        <f>_xlfn.XLOOKUP(CustomerCombinedCleaned[[#This Row],[ID]], Table4[ID], Table4[Fruits], "Not Found", 0)</f>
        <v>281</v>
      </c>
      <c r="M135" s="16">
        <f>_xlfn.XLOOKUP(CustomerCombinedCleaned[[#This Row],[ID]], Table4[ID], Table4[Meats], "Not Found", 0)</f>
        <v>903</v>
      </c>
      <c r="N135" s="16">
        <f>_xlfn.XLOOKUP(CustomerCombinedCleaned[[#This Row],[ID]], Table4[ID], Table4[Seafood], "Not Found", 0)</f>
        <v>287</v>
      </c>
      <c r="O135" s="16">
        <f>_xlfn.XLOOKUP(CustomerCombinedCleaned[[#This Row],[ID]], Table4[ID], Table4[Sweets], "Not Found", 0)</f>
        <v>199</v>
      </c>
      <c r="P135" s="16">
        <f>_xlfn.XLOOKUP(CustomerCombinedCleaned[[#This Row],[ID]], Table4[ID], Table4[Premium], "Not Found", 0)</f>
        <v>118</v>
      </c>
      <c r="Q135" s="16">
        <f>_xlfn.XLOOKUP(CustomerCombinedCleaned[[#This Row],[ID]], Table4[ID], Table4[Regular], "Not Found", 0)</f>
        <v>1971</v>
      </c>
      <c r="R135" s="16">
        <f>_xlfn.XLOOKUP(CustomerCombinedCleaned[[#This Row],[ID]], Table4[ID], Table4[Deals], "Not Found", 0)</f>
        <v>2</v>
      </c>
      <c r="S135" s="16">
        <f>_xlfn.XLOOKUP(CustomerCombinedCleaned[[#This Row],[ID]], Table4[ID], Table4[Website], "Not Found", 0)</f>
        <v>5</v>
      </c>
      <c r="T135" s="16">
        <f>_xlfn.XLOOKUP(CustomerCombinedCleaned[[#This Row],[ID]], Table4[ID], Table4[Catalog], "Not Found", 0)</f>
        <v>2</v>
      </c>
      <c r="U135" s="16">
        <f>_xlfn.XLOOKUP(CustomerCombinedCleaned[[#This Row],[ID]], Table4[ID], Table4[Store], "Not Found", 0)</f>
        <v>11</v>
      </c>
      <c r="V135" s="16">
        <f>_xlfn.XLOOKUP(CustomerCombinedCleaned[[#This Row],[ID]], Table4[ID], Table4[Visits], "Not Found", 0)</f>
        <v>5</v>
      </c>
      <c r="W135" s="16">
        <f>_xlfn.XLOOKUP(CustomerCombinedCleaned[[#This Row],[ID]], Table2[ID],Table2[Complaint], "Not Found", 0 )</f>
        <v>0</v>
      </c>
      <c r="X135" s="16">
        <f>_xlfn.XLOOKUP(CustomerCombinedCleaned[[#This Row],[ID]], Table2[ID],Table2[Pilot], "Not Found", 0 )</f>
        <v>1</v>
      </c>
      <c r="Y135" s="16">
        <f>_xlfn.XLOOKUP(CustomerCombinedCleaned[[#This Row],[ID]], Table2[ID],Table2[MC1], "Not Found", 0 )</f>
        <v>0</v>
      </c>
      <c r="Z135" s="16">
        <f>_xlfn.XLOOKUP(CustomerCombinedCleaned[[#This Row],[ID]], Table2[ID],Table2[MC2], "Not Found", 0 )</f>
        <v>0</v>
      </c>
      <c r="AA135" s="16">
        <f>_xlfn.XLOOKUP(CustomerCombinedCleaned[[#This Row],[ID]], Table2[ID],Table2[MC3], "Not Found", 0 )</f>
        <v>0</v>
      </c>
      <c r="AB135" s="16">
        <f>_xlfn.XLOOKUP(CustomerCombinedCleaned[[#This Row],[ID]], Table2[ID],Table2[MC4], "Not Found", 0 )</f>
        <v>0</v>
      </c>
      <c r="AC135" s="16">
        <f>_xlfn.XLOOKUP(CustomerCombinedCleaned[[#This Row],[ID]], Table2[ID],Table2[MC5], "Not Found", 0 )</f>
        <v>0</v>
      </c>
    </row>
    <row r="136" spans="1:29" x14ac:dyDescent="0.3">
      <c r="A136" s="18">
        <v>3046</v>
      </c>
      <c r="B136" s="16">
        <v>142000</v>
      </c>
      <c r="C136" s="16">
        <v>0</v>
      </c>
      <c r="D136" s="16">
        <v>0</v>
      </c>
      <c r="E136" s="16">
        <v>33</v>
      </c>
      <c r="F136" s="17" t="s">
        <v>7</v>
      </c>
      <c r="G136" s="17" t="s">
        <v>13</v>
      </c>
      <c r="H136" s="3" t="s">
        <v>330</v>
      </c>
      <c r="I136" s="5" t="s">
        <v>439</v>
      </c>
      <c r="J136" s="16">
        <f>_xlfn.XLOOKUP(CustomerCombinedCleaned[[#This Row],[ID]], Table4[ID], Table4[Recency], "Not Found", 0)</f>
        <v>23</v>
      </c>
      <c r="K136" s="16">
        <f>_xlfn.XLOOKUP(CustomerCombinedCleaned[[#This Row],[ID]], Table4[ID], Table4[Teas], "Not Found", 0)</f>
        <v>419</v>
      </c>
      <c r="L136" s="16">
        <f>_xlfn.XLOOKUP(CustomerCombinedCleaned[[#This Row],[ID]], Table4[ID], Table4[Fruits], "Not Found", 0)</f>
        <v>281</v>
      </c>
      <c r="M136" s="16">
        <f>_xlfn.XLOOKUP(CustomerCombinedCleaned[[#This Row],[ID]], Table4[ID], Table4[Meats], "Not Found", 0)</f>
        <v>903</v>
      </c>
      <c r="N136" s="16">
        <f>_xlfn.XLOOKUP(CustomerCombinedCleaned[[#This Row],[ID]], Table4[ID], Table4[Seafood], "Not Found", 0)</f>
        <v>287</v>
      </c>
      <c r="O136" s="16">
        <f>_xlfn.XLOOKUP(CustomerCombinedCleaned[[#This Row],[ID]], Table4[ID], Table4[Sweets], "Not Found", 0)</f>
        <v>199</v>
      </c>
      <c r="P136" s="16">
        <f>_xlfn.XLOOKUP(CustomerCombinedCleaned[[#This Row],[ID]], Table4[ID], Table4[Premium], "Not Found", 0)</f>
        <v>118</v>
      </c>
      <c r="Q136" s="16">
        <f>_xlfn.XLOOKUP(CustomerCombinedCleaned[[#This Row],[ID]], Table4[ID], Table4[Regular], "Not Found", 0)</f>
        <v>1971</v>
      </c>
      <c r="R136" s="16">
        <f>_xlfn.XLOOKUP(CustomerCombinedCleaned[[#This Row],[ID]], Table4[ID], Table4[Deals], "Not Found", 0)</f>
        <v>2</v>
      </c>
      <c r="S136" s="16">
        <f>_xlfn.XLOOKUP(CustomerCombinedCleaned[[#This Row],[ID]], Table4[ID], Table4[Website], "Not Found", 0)</f>
        <v>5</v>
      </c>
      <c r="T136" s="16">
        <f>_xlfn.XLOOKUP(CustomerCombinedCleaned[[#This Row],[ID]], Table4[ID], Table4[Catalog], "Not Found", 0)</f>
        <v>2</v>
      </c>
      <c r="U136" s="16">
        <f>_xlfn.XLOOKUP(CustomerCombinedCleaned[[#This Row],[ID]], Table4[ID], Table4[Store], "Not Found", 0)</f>
        <v>11</v>
      </c>
      <c r="V136" s="16">
        <f>_xlfn.XLOOKUP(CustomerCombinedCleaned[[#This Row],[ID]], Table4[ID], Table4[Visits], "Not Found", 0)</f>
        <v>5</v>
      </c>
      <c r="W136" s="16">
        <f>_xlfn.XLOOKUP(CustomerCombinedCleaned[[#This Row],[ID]], Table2[ID],Table2[Complaint], "Not Found", 0 )</f>
        <v>0</v>
      </c>
      <c r="X136" s="16">
        <f>_xlfn.XLOOKUP(CustomerCombinedCleaned[[#This Row],[ID]], Table2[ID],Table2[Pilot], "Not Found", 0 )</f>
        <v>1</v>
      </c>
      <c r="Y136" s="16">
        <f>_xlfn.XLOOKUP(CustomerCombinedCleaned[[#This Row],[ID]], Table2[ID],Table2[MC1], "Not Found", 0 )</f>
        <v>0</v>
      </c>
      <c r="Z136" s="16">
        <f>_xlfn.XLOOKUP(CustomerCombinedCleaned[[#This Row],[ID]], Table2[ID],Table2[MC2], "Not Found", 0 )</f>
        <v>0</v>
      </c>
      <c r="AA136" s="16">
        <f>_xlfn.XLOOKUP(CustomerCombinedCleaned[[#This Row],[ID]], Table2[ID],Table2[MC3], "Not Found", 0 )</f>
        <v>0</v>
      </c>
      <c r="AB136" s="16">
        <f>_xlfn.XLOOKUP(CustomerCombinedCleaned[[#This Row],[ID]], Table2[ID],Table2[MC4], "Not Found", 0 )</f>
        <v>0</v>
      </c>
      <c r="AC136" s="16">
        <f>_xlfn.XLOOKUP(CustomerCombinedCleaned[[#This Row],[ID]], Table2[ID],Table2[MC5], "Not Found", 0 )</f>
        <v>0</v>
      </c>
    </row>
    <row r="137" spans="1:29" x14ac:dyDescent="0.3">
      <c r="A137" s="18">
        <v>2454</v>
      </c>
      <c r="B137" s="16">
        <v>141020</v>
      </c>
      <c r="C137" s="16">
        <v>0</v>
      </c>
      <c r="D137" s="16">
        <v>0</v>
      </c>
      <c r="E137" s="16">
        <v>33</v>
      </c>
      <c r="F137" s="17" t="s">
        <v>7</v>
      </c>
      <c r="G137" s="17" t="s">
        <v>12</v>
      </c>
      <c r="H137" s="3" t="s">
        <v>616</v>
      </c>
      <c r="I137" s="5" t="s">
        <v>436</v>
      </c>
      <c r="J137" s="16">
        <f>_xlfn.XLOOKUP(CustomerCombinedCleaned[[#This Row],[ID]], Table4[ID], Table4[Recency], "Not Found", 0)</f>
        <v>68</v>
      </c>
      <c r="K137" s="16">
        <f>_xlfn.XLOOKUP(CustomerCombinedCleaned[[#This Row],[ID]], Table4[ID], Table4[Teas], "Not Found", 0)</f>
        <v>385</v>
      </c>
      <c r="L137" s="16">
        <f>_xlfn.XLOOKUP(CustomerCombinedCleaned[[#This Row],[ID]], Table4[ID], Table4[Fruits], "Not Found", 0)</f>
        <v>3</v>
      </c>
      <c r="M137" s="16">
        <f>_xlfn.XLOOKUP(CustomerCombinedCleaned[[#This Row],[ID]], Table4[ID], Table4[Meats], "Not Found", 0)</f>
        <v>186</v>
      </c>
      <c r="N137" s="16">
        <f>_xlfn.XLOOKUP(CustomerCombinedCleaned[[#This Row],[ID]], Table4[ID], Table4[Seafood], "Not Found", 0)</f>
        <v>24</v>
      </c>
      <c r="O137" s="16">
        <f>_xlfn.XLOOKUP(CustomerCombinedCleaned[[#This Row],[ID]], Table4[ID], Table4[Sweets], "Not Found", 0)</f>
        <v>24</v>
      </c>
      <c r="P137" s="16">
        <f>_xlfn.XLOOKUP(CustomerCombinedCleaned[[#This Row],[ID]], Table4[ID], Table4[Premium], "Not Found", 0)</f>
        <v>124</v>
      </c>
      <c r="Q137" s="16">
        <f>_xlfn.XLOOKUP(CustomerCombinedCleaned[[#This Row],[ID]], Table4[ID], Table4[Regular], "Not Found", 0)</f>
        <v>498</v>
      </c>
      <c r="R137" s="16">
        <f>_xlfn.XLOOKUP(CustomerCombinedCleaned[[#This Row],[ID]], Table4[ID], Table4[Deals], "Not Found", 0)</f>
        <v>1</v>
      </c>
      <c r="S137" s="16">
        <f>_xlfn.XLOOKUP(CustomerCombinedCleaned[[#This Row],[ID]], Table4[ID], Table4[Website], "Not Found", 0)</f>
        <v>3</v>
      </c>
      <c r="T137" s="16">
        <f>_xlfn.XLOOKUP(CustomerCombinedCleaned[[#This Row],[ID]], Table4[ID], Table4[Catalog], "Not Found", 0)</f>
        <v>2</v>
      </c>
      <c r="U137" s="16">
        <f>_xlfn.XLOOKUP(CustomerCombinedCleaned[[#This Row],[ID]], Table4[ID], Table4[Store], "Not Found", 0)</f>
        <v>4</v>
      </c>
      <c r="V137" s="16">
        <f>_xlfn.XLOOKUP(CustomerCombinedCleaned[[#This Row],[ID]], Table4[ID], Table4[Visits], "Not Found", 0)</f>
        <v>3</v>
      </c>
      <c r="W137" s="16">
        <f>_xlfn.XLOOKUP(CustomerCombinedCleaned[[#This Row],[ID]], Table2[ID],Table2[Complaint], "Not Found", 0 )</f>
        <v>0</v>
      </c>
      <c r="X137" s="16">
        <f>_xlfn.XLOOKUP(CustomerCombinedCleaned[[#This Row],[ID]], Table2[ID],Table2[Pilot], "Not Found", 0 )</f>
        <v>0</v>
      </c>
      <c r="Y137" s="16">
        <f>_xlfn.XLOOKUP(CustomerCombinedCleaned[[#This Row],[ID]], Table2[ID],Table2[MC1], "Not Found", 0 )</f>
        <v>0</v>
      </c>
      <c r="Z137" s="16">
        <f>_xlfn.XLOOKUP(CustomerCombinedCleaned[[#This Row],[ID]], Table2[ID],Table2[MC2], "Not Found", 0 )</f>
        <v>0</v>
      </c>
      <c r="AA137" s="16">
        <f>_xlfn.XLOOKUP(CustomerCombinedCleaned[[#This Row],[ID]], Table2[ID],Table2[MC3], "Not Found", 0 )</f>
        <v>0</v>
      </c>
      <c r="AB137" s="16">
        <f>_xlfn.XLOOKUP(CustomerCombinedCleaned[[#This Row],[ID]], Table2[ID],Table2[MC4], "Not Found", 0 )</f>
        <v>0</v>
      </c>
      <c r="AC137" s="16">
        <f>_xlfn.XLOOKUP(CustomerCombinedCleaned[[#This Row],[ID]], Table2[ID],Table2[MC5], "Not Found", 0 )</f>
        <v>0</v>
      </c>
    </row>
    <row r="138" spans="1:29" x14ac:dyDescent="0.3">
      <c r="A138" s="18">
        <v>2522</v>
      </c>
      <c r="B138" s="16">
        <v>130390</v>
      </c>
      <c r="C138" s="16">
        <v>0</v>
      </c>
      <c r="D138" s="16">
        <v>0</v>
      </c>
      <c r="E138" s="16">
        <v>33</v>
      </c>
      <c r="F138" s="17" t="s">
        <v>6</v>
      </c>
      <c r="G138" s="17" t="s">
        <v>11</v>
      </c>
      <c r="H138" s="3" t="s">
        <v>791</v>
      </c>
      <c r="I138" s="5" t="s">
        <v>438</v>
      </c>
      <c r="J138" s="16">
        <f>_xlfn.XLOOKUP(CustomerCombinedCleaned[[#This Row],[ID]], Table4[ID], Table4[Recency], "Not Found", 0)</f>
        <v>5</v>
      </c>
      <c r="K138" s="16">
        <f>_xlfn.XLOOKUP(CustomerCombinedCleaned[[#This Row],[ID]], Table4[ID], Table4[Teas], "Not Found", 0)</f>
        <v>43</v>
      </c>
      <c r="L138" s="16">
        <f>_xlfn.XLOOKUP(CustomerCombinedCleaned[[#This Row],[ID]], Table4[ID], Table4[Fruits], "Not Found", 0)</f>
        <v>51</v>
      </c>
      <c r="M138" s="16">
        <f>_xlfn.XLOOKUP(CustomerCombinedCleaned[[#This Row],[ID]], Table4[ID], Table4[Meats], "Not Found", 0)</f>
        <v>51</v>
      </c>
      <c r="N138" s="16">
        <f>_xlfn.XLOOKUP(CustomerCombinedCleaned[[#This Row],[ID]], Table4[ID], Table4[Seafood], "Not Found", 0)</f>
        <v>107</v>
      </c>
      <c r="O138" s="16">
        <f>_xlfn.XLOOKUP(CustomerCombinedCleaned[[#This Row],[ID]], Table4[ID], Table4[Sweets], "Not Found", 0)</f>
        <v>4</v>
      </c>
      <c r="P138" s="16">
        <f>_xlfn.XLOOKUP(CustomerCombinedCleaned[[#This Row],[ID]], Table4[ID], Table4[Premium], "Not Found", 0)</f>
        <v>86</v>
      </c>
      <c r="Q138" s="16">
        <f>_xlfn.XLOOKUP(CustomerCombinedCleaned[[#This Row],[ID]], Table4[ID], Table4[Regular], "Not Found", 0)</f>
        <v>172</v>
      </c>
      <c r="R138" s="16">
        <f>_xlfn.XLOOKUP(CustomerCombinedCleaned[[#This Row],[ID]], Table4[ID], Table4[Deals], "Not Found", 0)</f>
        <v>1</v>
      </c>
      <c r="S138" s="16">
        <f>_xlfn.XLOOKUP(CustomerCombinedCleaned[[#This Row],[ID]], Table4[ID], Table4[Website], "Not Found", 0)</f>
        <v>2</v>
      </c>
      <c r="T138" s="16">
        <f>_xlfn.XLOOKUP(CustomerCombinedCleaned[[#This Row],[ID]], Table4[ID], Table4[Catalog], "Not Found", 0)</f>
        <v>0</v>
      </c>
      <c r="U138" s="16">
        <f>_xlfn.XLOOKUP(CustomerCombinedCleaned[[#This Row],[ID]], Table4[ID], Table4[Store], "Not Found", 0)</f>
        <v>3</v>
      </c>
      <c r="V138" s="16">
        <f>_xlfn.XLOOKUP(CustomerCombinedCleaned[[#This Row],[ID]], Table4[ID], Table4[Visits], "Not Found", 0)</f>
        <v>6</v>
      </c>
      <c r="W138" s="16">
        <f>_xlfn.XLOOKUP(CustomerCombinedCleaned[[#This Row],[ID]], Table2[ID],Table2[Complaint], "Not Found", 0 )</f>
        <v>0</v>
      </c>
      <c r="X138" s="16">
        <f>_xlfn.XLOOKUP(CustomerCombinedCleaned[[#This Row],[ID]], Table2[ID],Table2[Pilot], "Not Found", 0 )</f>
        <v>0</v>
      </c>
      <c r="Y138" s="16">
        <f>_xlfn.XLOOKUP(CustomerCombinedCleaned[[#This Row],[ID]], Table2[ID],Table2[MC1], "Not Found", 0 )</f>
        <v>0</v>
      </c>
      <c r="Z138" s="16">
        <f>_xlfn.XLOOKUP(CustomerCombinedCleaned[[#This Row],[ID]], Table2[ID],Table2[MC2], "Not Found", 0 )</f>
        <v>0</v>
      </c>
      <c r="AA138" s="16">
        <f>_xlfn.XLOOKUP(CustomerCombinedCleaned[[#This Row],[ID]], Table2[ID],Table2[MC3], "Not Found", 0 )</f>
        <v>0</v>
      </c>
      <c r="AB138" s="16">
        <f>_xlfn.XLOOKUP(CustomerCombinedCleaned[[#This Row],[ID]], Table2[ID],Table2[MC4], "Not Found", 0 )</f>
        <v>0</v>
      </c>
      <c r="AC138" s="16">
        <f>_xlfn.XLOOKUP(CustomerCombinedCleaned[[#This Row],[ID]], Table2[ID],Table2[MC5], "Not Found", 0 )</f>
        <v>0</v>
      </c>
    </row>
    <row r="139" spans="1:29" x14ac:dyDescent="0.3">
      <c r="A139" s="18">
        <v>2805</v>
      </c>
      <c r="B139" s="16">
        <v>129236</v>
      </c>
      <c r="C139" s="16">
        <v>1</v>
      </c>
      <c r="D139" s="16">
        <v>0</v>
      </c>
      <c r="E139" s="16">
        <v>33</v>
      </c>
      <c r="F139" s="17" t="s">
        <v>7</v>
      </c>
      <c r="G139" s="17" t="s">
        <v>11</v>
      </c>
      <c r="H139" s="3" t="s">
        <v>174</v>
      </c>
      <c r="I139" s="5" t="s">
        <v>435</v>
      </c>
      <c r="J139" s="16">
        <f>_xlfn.XLOOKUP(CustomerCombinedCleaned[[#This Row],[ID]], Table4[ID], Table4[Recency], "Not Found", 0)</f>
        <v>30</v>
      </c>
      <c r="K139" s="16">
        <f>_xlfn.XLOOKUP(CustomerCombinedCleaned[[#This Row],[ID]], Table4[ID], Table4[Teas], "Not Found", 0)</f>
        <v>164</v>
      </c>
      <c r="L139" s="16">
        <f>_xlfn.XLOOKUP(CustomerCombinedCleaned[[#This Row],[ID]], Table4[ID], Table4[Fruits], "Not Found", 0)</f>
        <v>18</v>
      </c>
      <c r="M139" s="16">
        <f>_xlfn.XLOOKUP(CustomerCombinedCleaned[[#This Row],[ID]], Table4[ID], Table4[Meats], "Not Found", 0)</f>
        <v>106</v>
      </c>
      <c r="N139" s="16">
        <f>_xlfn.XLOOKUP(CustomerCombinedCleaned[[#This Row],[ID]], Table4[ID], Table4[Seafood], "Not Found", 0)</f>
        <v>71</v>
      </c>
      <c r="O139" s="16">
        <f>_xlfn.XLOOKUP(CustomerCombinedCleaned[[#This Row],[ID]], Table4[ID], Table4[Sweets], "Not Found", 0)</f>
        <v>40</v>
      </c>
      <c r="P139" s="16">
        <f>_xlfn.XLOOKUP(CustomerCombinedCleaned[[#This Row],[ID]], Table4[ID], Table4[Premium], "Not Found", 0)</f>
        <v>40</v>
      </c>
      <c r="Q139" s="16">
        <f>_xlfn.XLOOKUP(CustomerCombinedCleaned[[#This Row],[ID]], Table4[ID], Table4[Regular], "Not Found", 0)</f>
        <v>358</v>
      </c>
      <c r="R139" s="16">
        <f>_xlfn.XLOOKUP(CustomerCombinedCleaned[[#This Row],[ID]], Table4[ID], Table4[Deals], "Not Found", 0)</f>
        <v>2</v>
      </c>
      <c r="S139" s="16">
        <f>_xlfn.XLOOKUP(CustomerCombinedCleaned[[#This Row],[ID]], Table4[ID], Table4[Website], "Not Found", 0)</f>
        <v>4</v>
      </c>
      <c r="T139" s="16">
        <f>_xlfn.XLOOKUP(CustomerCombinedCleaned[[#This Row],[ID]], Table4[ID], Table4[Catalog], "Not Found", 0)</f>
        <v>0</v>
      </c>
      <c r="U139" s="16">
        <f>_xlfn.XLOOKUP(CustomerCombinedCleaned[[#This Row],[ID]], Table4[ID], Table4[Store], "Not Found", 0)</f>
        <v>3</v>
      </c>
      <c r="V139" s="16">
        <f>_xlfn.XLOOKUP(CustomerCombinedCleaned[[#This Row],[ID]], Table4[ID], Table4[Visits], "Not Found", 0)</f>
        <v>9</v>
      </c>
      <c r="W139" s="16">
        <f>_xlfn.XLOOKUP(CustomerCombinedCleaned[[#This Row],[ID]], Table2[ID],Table2[Complaint], "Not Found", 0 )</f>
        <v>0</v>
      </c>
      <c r="X139" s="16">
        <f>_xlfn.XLOOKUP(CustomerCombinedCleaned[[#This Row],[ID]], Table2[ID],Table2[Pilot], "Not Found", 0 )</f>
        <v>0</v>
      </c>
      <c r="Y139" s="16">
        <f>_xlfn.XLOOKUP(CustomerCombinedCleaned[[#This Row],[ID]], Table2[ID],Table2[MC1], "Not Found", 0 )</f>
        <v>0</v>
      </c>
      <c r="Z139" s="16">
        <f>_xlfn.XLOOKUP(CustomerCombinedCleaned[[#This Row],[ID]], Table2[ID],Table2[MC2], "Not Found", 0 )</f>
        <v>0</v>
      </c>
      <c r="AA139" s="16">
        <f>_xlfn.XLOOKUP(CustomerCombinedCleaned[[#This Row],[ID]], Table2[ID],Table2[MC3], "Not Found", 0 )</f>
        <v>0</v>
      </c>
      <c r="AB139" s="16">
        <f>_xlfn.XLOOKUP(CustomerCombinedCleaned[[#This Row],[ID]], Table2[ID],Table2[MC4], "Not Found", 0 )</f>
        <v>0</v>
      </c>
      <c r="AC139" s="16">
        <f>_xlfn.XLOOKUP(CustomerCombinedCleaned[[#This Row],[ID]], Table2[ID],Table2[MC5], "Not Found", 0 )</f>
        <v>0</v>
      </c>
    </row>
    <row r="140" spans="1:29" x14ac:dyDescent="0.3">
      <c r="A140" s="18">
        <v>1508</v>
      </c>
      <c r="B140" s="16">
        <v>125545</v>
      </c>
      <c r="C140" s="16">
        <v>1</v>
      </c>
      <c r="D140" s="16">
        <v>0</v>
      </c>
      <c r="E140" s="16">
        <v>33</v>
      </c>
      <c r="F140" s="17" t="s">
        <v>6</v>
      </c>
      <c r="G140" s="17" t="s">
        <v>11</v>
      </c>
      <c r="H140" s="3" t="s">
        <v>401</v>
      </c>
      <c r="I140" s="5" t="s">
        <v>438</v>
      </c>
      <c r="J140" s="16">
        <f>_xlfn.XLOOKUP(CustomerCombinedCleaned[[#This Row],[ID]], Table4[ID], Table4[Recency], "Not Found", 0)</f>
        <v>35</v>
      </c>
      <c r="K140" s="16">
        <f>_xlfn.XLOOKUP(CustomerCombinedCleaned[[#This Row],[ID]], Table4[ID], Table4[Teas], "Not Found", 0)</f>
        <v>157</v>
      </c>
      <c r="L140" s="16">
        <f>_xlfn.XLOOKUP(CustomerCombinedCleaned[[#This Row],[ID]], Table4[ID], Table4[Fruits], "Not Found", 0)</f>
        <v>5</v>
      </c>
      <c r="M140" s="16">
        <f>_xlfn.XLOOKUP(CustomerCombinedCleaned[[#This Row],[ID]], Table4[ID], Table4[Meats], "Not Found", 0)</f>
        <v>315</v>
      </c>
      <c r="N140" s="16">
        <f>_xlfn.XLOOKUP(CustomerCombinedCleaned[[#This Row],[ID]], Table4[ID], Table4[Seafood], "Not Found", 0)</f>
        <v>79</v>
      </c>
      <c r="O140" s="16">
        <f>_xlfn.XLOOKUP(CustomerCombinedCleaned[[#This Row],[ID]], Table4[ID], Table4[Sweets], "Not Found", 0)</f>
        <v>59</v>
      </c>
      <c r="P140" s="16">
        <f>_xlfn.XLOOKUP(CustomerCombinedCleaned[[#This Row],[ID]], Table4[ID], Table4[Premium], "Not Found", 0)</f>
        <v>418</v>
      </c>
      <c r="Q140" s="16">
        <f>_xlfn.XLOOKUP(CustomerCombinedCleaned[[#This Row],[ID]], Table4[ID], Table4[Regular], "Not Found", 0)</f>
        <v>197</v>
      </c>
      <c r="R140" s="16">
        <f>_xlfn.XLOOKUP(CustomerCombinedCleaned[[#This Row],[ID]], Table4[ID], Table4[Deals], "Not Found", 0)</f>
        <v>3</v>
      </c>
      <c r="S140" s="16">
        <f>_xlfn.XLOOKUP(CustomerCombinedCleaned[[#This Row],[ID]], Table4[ID], Table4[Website], "Not Found", 0)</f>
        <v>2</v>
      </c>
      <c r="T140" s="16">
        <f>_xlfn.XLOOKUP(CustomerCombinedCleaned[[#This Row],[ID]], Table4[ID], Table4[Catalog], "Not Found", 0)</f>
        <v>2</v>
      </c>
      <c r="U140" s="16">
        <f>_xlfn.XLOOKUP(CustomerCombinedCleaned[[#This Row],[ID]], Table4[ID], Table4[Store], "Not Found", 0)</f>
        <v>3</v>
      </c>
      <c r="V140" s="16">
        <f>_xlfn.XLOOKUP(CustomerCombinedCleaned[[#This Row],[ID]], Table4[ID], Table4[Visits], "Not Found", 0)</f>
        <v>6</v>
      </c>
      <c r="W140" s="16">
        <f>_xlfn.XLOOKUP(CustomerCombinedCleaned[[#This Row],[ID]], Table2[ID],Table2[Complaint], "Not Found", 0 )</f>
        <v>0</v>
      </c>
      <c r="X140" s="16">
        <f>_xlfn.XLOOKUP(CustomerCombinedCleaned[[#This Row],[ID]], Table2[ID],Table2[Pilot], "Not Found", 0 )</f>
        <v>1</v>
      </c>
      <c r="Y140" s="16">
        <f>_xlfn.XLOOKUP(CustomerCombinedCleaned[[#This Row],[ID]], Table2[ID],Table2[MC1], "Not Found", 0 )</f>
        <v>0</v>
      </c>
      <c r="Z140" s="16">
        <f>_xlfn.XLOOKUP(CustomerCombinedCleaned[[#This Row],[ID]], Table2[ID],Table2[MC2], "Not Found", 0 )</f>
        <v>0</v>
      </c>
      <c r="AA140" s="16">
        <f>_xlfn.XLOOKUP(CustomerCombinedCleaned[[#This Row],[ID]], Table2[ID],Table2[MC3], "Not Found", 0 )</f>
        <v>0</v>
      </c>
      <c r="AB140" s="16">
        <f>_xlfn.XLOOKUP(CustomerCombinedCleaned[[#This Row],[ID]], Table2[ID],Table2[MC4], "Not Found", 0 )</f>
        <v>0</v>
      </c>
      <c r="AC140" s="16">
        <f>_xlfn.XLOOKUP(CustomerCombinedCleaned[[#This Row],[ID]], Table2[ID],Table2[MC5], "Not Found", 0 )</f>
        <v>0</v>
      </c>
    </row>
    <row r="141" spans="1:29" x14ac:dyDescent="0.3">
      <c r="A141" s="18">
        <v>2850</v>
      </c>
      <c r="B141" s="16">
        <v>123830</v>
      </c>
      <c r="C141" s="16">
        <v>0</v>
      </c>
      <c r="D141" s="16">
        <v>0</v>
      </c>
      <c r="E141" s="16">
        <v>33</v>
      </c>
      <c r="F141" s="17" t="s">
        <v>7</v>
      </c>
      <c r="G141" s="17" t="s">
        <v>11</v>
      </c>
      <c r="H141" s="3" t="s">
        <v>106</v>
      </c>
      <c r="I141" s="5" t="s">
        <v>436</v>
      </c>
      <c r="J141" s="16">
        <f>_xlfn.XLOOKUP(CustomerCombinedCleaned[[#This Row],[ID]], Table4[ID], Table4[Recency], "Not Found", 0)</f>
        <v>3</v>
      </c>
      <c r="K141" s="16">
        <f>_xlfn.XLOOKUP(CustomerCombinedCleaned[[#This Row],[ID]], Table4[ID], Table4[Teas], "Not Found", 0)</f>
        <v>5</v>
      </c>
      <c r="L141" s="16">
        <f>_xlfn.XLOOKUP(CustomerCombinedCleaned[[#This Row],[ID]], Table4[ID], Table4[Fruits], "Not Found", 0)</f>
        <v>42</v>
      </c>
      <c r="M141" s="16">
        <f>_xlfn.XLOOKUP(CustomerCombinedCleaned[[#This Row],[ID]], Table4[ID], Table4[Meats], "Not Found", 0)</f>
        <v>31</v>
      </c>
      <c r="N141" s="16">
        <f>_xlfn.XLOOKUP(CustomerCombinedCleaned[[#This Row],[ID]], Table4[ID], Table4[Seafood], "Not Found", 0)</f>
        <v>21</v>
      </c>
      <c r="O141" s="16">
        <f>_xlfn.XLOOKUP(CustomerCombinedCleaned[[#This Row],[ID]], Table4[ID], Table4[Sweets], "Not Found", 0)</f>
        <v>42</v>
      </c>
      <c r="P141" s="16">
        <f>_xlfn.XLOOKUP(CustomerCombinedCleaned[[#This Row],[ID]], Table4[ID], Table4[Premium], "Not Found", 0)</f>
        <v>83</v>
      </c>
      <c r="Q141" s="16">
        <f>_xlfn.XLOOKUP(CustomerCombinedCleaned[[#This Row],[ID]], Table4[ID], Table4[Regular], "Not Found", 0)</f>
        <v>57</v>
      </c>
      <c r="R141" s="16">
        <f>_xlfn.XLOOKUP(CustomerCombinedCleaned[[#This Row],[ID]], Table4[ID], Table4[Deals], "Not Found", 0)</f>
        <v>1</v>
      </c>
      <c r="S141" s="16">
        <f>_xlfn.XLOOKUP(CustomerCombinedCleaned[[#This Row],[ID]], Table4[ID], Table4[Website], "Not Found", 0)</f>
        <v>1</v>
      </c>
      <c r="T141" s="16">
        <f>_xlfn.XLOOKUP(CustomerCombinedCleaned[[#This Row],[ID]], Table4[ID], Table4[Catalog], "Not Found", 0)</f>
        <v>0</v>
      </c>
      <c r="U141" s="16">
        <f>_xlfn.XLOOKUP(CustomerCombinedCleaned[[#This Row],[ID]], Table4[ID], Table4[Store], "Not Found", 0)</f>
        <v>3</v>
      </c>
      <c r="V141" s="16">
        <f>_xlfn.XLOOKUP(CustomerCombinedCleaned[[#This Row],[ID]], Table4[ID], Table4[Visits], "Not Found", 0)</f>
        <v>7</v>
      </c>
      <c r="W141" s="16">
        <f>_xlfn.XLOOKUP(CustomerCombinedCleaned[[#This Row],[ID]], Table2[ID],Table2[Complaint], "Not Found", 0 )</f>
        <v>0</v>
      </c>
      <c r="X141" s="16">
        <f>_xlfn.XLOOKUP(CustomerCombinedCleaned[[#This Row],[ID]], Table2[ID],Table2[Pilot], "Not Found", 0 )</f>
        <v>0</v>
      </c>
      <c r="Y141" s="16">
        <f>_xlfn.XLOOKUP(CustomerCombinedCleaned[[#This Row],[ID]], Table2[ID],Table2[MC1], "Not Found", 0 )</f>
        <v>0</v>
      </c>
      <c r="Z141" s="16">
        <f>_xlfn.XLOOKUP(CustomerCombinedCleaned[[#This Row],[ID]], Table2[ID],Table2[MC2], "Not Found", 0 )</f>
        <v>0</v>
      </c>
      <c r="AA141" s="16">
        <f>_xlfn.XLOOKUP(CustomerCombinedCleaned[[#This Row],[ID]], Table2[ID],Table2[MC3], "Not Found", 0 )</f>
        <v>0</v>
      </c>
      <c r="AB141" s="16">
        <f>_xlfn.XLOOKUP(CustomerCombinedCleaned[[#This Row],[ID]], Table2[ID],Table2[MC4], "Not Found", 0 )</f>
        <v>0</v>
      </c>
      <c r="AC141" s="16">
        <f>_xlfn.XLOOKUP(CustomerCombinedCleaned[[#This Row],[ID]], Table2[ID],Table2[MC5], "Not Found", 0 )</f>
        <v>0</v>
      </c>
    </row>
    <row r="142" spans="1:29" x14ac:dyDescent="0.3">
      <c r="A142" s="18">
        <v>1382</v>
      </c>
      <c r="B142" s="16">
        <v>123442</v>
      </c>
      <c r="C142" s="16">
        <v>1</v>
      </c>
      <c r="D142" s="16">
        <v>0</v>
      </c>
      <c r="E142" s="16">
        <v>33</v>
      </c>
      <c r="F142" s="17" t="s">
        <v>7</v>
      </c>
      <c r="G142" s="17" t="s">
        <v>11</v>
      </c>
      <c r="H142" s="3" t="s">
        <v>335</v>
      </c>
      <c r="I142" s="5" t="s">
        <v>438</v>
      </c>
      <c r="J142" s="16">
        <f>_xlfn.XLOOKUP(CustomerCombinedCleaned[[#This Row],[ID]], Table4[ID], Table4[Recency], "Not Found", 0)</f>
        <v>71</v>
      </c>
      <c r="K142" s="16">
        <f>_xlfn.XLOOKUP(CustomerCombinedCleaned[[#This Row],[ID]], Table4[ID], Table4[Teas], "Not Found", 0)</f>
        <v>11</v>
      </c>
      <c r="L142" s="16">
        <f>_xlfn.XLOOKUP(CustomerCombinedCleaned[[#This Row],[ID]], Table4[ID], Table4[Fruits], "Not Found", 0)</f>
        <v>0</v>
      </c>
      <c r="M142" s="16">
        <f>_xlfn.XLOOKUP(CustomerCombinedCleaned[[#This Row],[ID]], Table4[ID], Table4[Meats], "Not Found", 0)</f>
        <v>32</v>
      </c>
      <c r="N142" s="16">
        <f>_xlfn.XLOOKUP(CustomerCombinedCleaned[[#This Row],[ID]], Table4[ID], Table4[Seafood], "Not Found", 0)</f>
        <v>42</v>
      </c>
      <c r="O142" s="16">
        <f>_xlfn.XLOOKUP(CustomerCombinedCleaned[[#This Row],[ID]], Table4[ID], Table4[Sweets], "Not Found", 0)</f>
        <v>32</v>
      </c>
      <c r="P142" s="16">
        <f>_xlfn.XLOOKUP(CustomerCombinedCleaned[[#This Row],[ID]], Table4[ID], Table4[Premium], "Not Found", 0)</f>
        <v>26</v>
      </c>
      <c r="Q142" s="16">
        <f>_xlfn.XLOOKUP(CustomerCombinedCleaned[[#This Row],[ID]], Table4[ID], Table4[Regular], "Not Found", 0)</f>
        <v>90</v>
      </c>
      <c r="R142" s="16">
        <f>_xlfn.XLOOKUP(CustomerCombinedCleaned[[#This Row],[ID]], Table4[ID], Table4[Deals], "Not Found", 0)</f>
        <v>1</v>
      </c>
      <c r="S142" s="16">
        <f>_xlfn.XLOOKUP(CustomerCombinedCleaned[[#This Row],[ID]], Table4[ID], Table4[Website], "Not Found", 0)</f>
        <v>1</v>
      </c>
      <c r="T142" s="16">
        <f>_xlfn.XLOOKUP(CustomerCombinedCleaned[[#This Row],[ID]], Table4[ID], Table4[Catalog], "Not Found", 0)</f>
        <v>0</v>
      </c>
      <c r="U142" s="16">
        <f>_xlfn.XLOOKUP(CustomerCombinedCleaned[[#This Row],[ID]], Table4[ID], Table4[Store], "Not Found", 0)</f>
        <v>3</v>
      </c>
      <c r="V142" s="16">
        <f>_xlfn.XLOOKUP(CustomerCombinedCleaned[[#This Row],[ID]], Table4[ID], Table4[Visits], "Not Found", 0)</f>
        <v>7</v>
      </c>
      <c r="W142" s="16">
        <f>_xlfn.XLOOKUP(CustomerCombinedCleaned[[#This Row],[ID]], Table2[ID],Table2[Complaint], "Not Found", 0 )</f>
        <v>0</v>
      </c>
      <c r="X142" s="16">
        <f>_xlfn.XLOOKUP(CustomerCombinedCleaned[[#This Row],[ID]], Table2[ID],Table2[Pilot], "Not Found", 0 )</f>
        <v>0</v>
      </c>
      <c r="Y142" s="16">
        <f>_xlfn.XLOOKUP(CustomerCombinedCleaned[[#This Row],[ID]], Table2[ID],Table2[MC1], "Not Found", 0 )</f>
        <v>0</v>
      </c>
      <c r="Z142" s="16">
        <f>_xlfn.XLOOKUP(CustomerCombinedCleaned[[#This Row],[ID]], Table2[ID],Table2[MC2], "Not Found", 0 )</f>
        <v>0</v>
      </c>
      <c r="AA142" s="16">
        <f>_xlfn.XLOOKUP(CustomerCombinedCleaned[[#This Row],[ID]], Table2[ID],Table2[MC3], "Not Found", 0 )</f>
        <v>0</v>
      </c>
      <c r="AB142" s="16">
        <f>_xlfn.XLOOKUP(CustomerCombinedCleaned[[#This Row],[ID]], Table2[ID],Table2[MC4], "Not Found", 0 )</f>
        <v>0</v>
      </c>
      <c r="AC142" s="16">
        <f>_xlfn.XLOOKUP(CustomerCombinedCleaned[[#This Row],[ID]], Table2[ID],Table2[MC5], "Not Found", 0 )</f>
        <v>0</v>
      </c>
    </row>
    <row r="143" spans="1:29" x14ac:dyDescent="0.3">
      <c r="A143" s="18">
        <v>1984</v>
      </c>
      <c r="B143" s="16">
        <v>122434</v>
      </c>
      <c r="C143" s="16">
        <v>1</v>
      </c>
      <c r="D143" s="16">
        <v>0</v>
      </c>
      <c r="E143" s="16">
        <v>33</v>
      </c>
      <c r="F143" s="17" t="s">
        <v>8</v>
      </c>
      <c r="G143" s="17" t="s">
        <v>11</v>
      </c>
      <c r="H143" s="3" t="s">
        <v>310</v>
      </c>
      <c r="I143" s="5" t="s">
        <v>439</v>
      </c>
      <c r="J143" s="16">
        <f>_xlfn.XLOOKUP(CustomerCombinedCleaned[[#This Row],[ID]], Table4[ID], Table4[Recency], "Not Found", 0)</f>
        <v>25</v>
      </c>
      <c r="K143" s="16">
        <f>_xlfn.XLOOKUP(CustomerCombinedCleaned[[#This Row],[ID]], Table4[ID], Table4[Teas], "Not Found", 0)</f>
        <v>22</v>
      </c>
      <c r="L143" s="16">
        <f>_xlfn.XLOOKUP(CustomerCombinedCleaned[[#This Row],[ID]], Table4[ID], Table4[Fruits], "Not Found", 0)</f>
        <v>65</v>
      </c>
      <c r="M143" s="16">
        <f>_xlfn.XLOOKUP(CustomerCombinedCleaned[[#This Row],[ID]], Table4[ID], Table4[Meats], "Not Found", 0)</f>
        <v>60</v>
      </c>
      <c r="N143" s="16">
        <f>_xlfn.XLOOKUP(CustomerCombinedCleaned[[#This Row],[ID]], Table4[ID], Table4[Seafood], "Not Found", 0)</f>
        <v>16</v>
      </c>
      <c r="O143" s="16">
        <f>_xlfn.XLOOKUP(CustomerCombinedCleaned[[#This Row],[ID]], Table4[ID], Table4[Sweets], "Not Found", 0)</f>
        <v>71</v>
      </c>
      <c r="P143" s="16">
        <f>_xlfn.XLOOKUP(CustomerCombinedCleaned[[#This Row],[ID]], Table4[ID], Table4[Premium], "Not Found", 0)</f>
        <v>82</v>
      </c>
      <c r="Q143" s="16">
        <f>_xlfn.XLOOKUP(CustomerCombinedCleaned[[#This Row],[ID]], Table4[ID], Table4[Regular], "Not Found", 0)</f>
        <v>153</v>
      </c>
      <c r="R143" s="16">
        <f>_xlfn.XLOOKUP(CustomerCombinedCleaned[[#This Row],[ID]], Table4[ID], Table4[Deals], "Not Found", 0)</f>
        <v>2</v>
      </c>
      <c r="S143" s="16">
        <f>_xlfn.XLOOKUP(CustomerCombinedCleaned[[#This Row],[ID]], Table4[ID], Table4[Website], "Not Found", 0)</f>
        <v>2</v>
      </c>
      <c r="T143" s="16">
        <f>_xlfn.XLOOKUP(CustomerCombinedCleaned[[#This Row],[ID]], Table4[ID], Table4[Catalog], "Not Found", 0)</f>
        <v>0</v>
      </c>
      <c r="U143" s="16">
        <f>_xlfn.XLOOKUP(CustomerCombinedCleaned[[#This Row],[ID]], Table4[ID], Table4[Store], "Not Found", 0)</f>
        <v>3</v>
      </c>
      <c r="V143" s="16">
        <f>_xlfn.XLOOKUP(CustomerCombinedCleaned[[#This Row],[ID]], Table4[ID], Table4[Visits], "Not Found", 0)</f>
        <v>8</v>
      </c>
      <c r="W143" s="16">
        <f>_xlfn.XLOOKUP(CustomerCombinedCleaned[[#This Row],[ID]], Table2[ID],Table2[Complaint], "Not Found", 0 )</f>
        <v>0</v>
      </c>
      <c r="X143" s="16">
        <f>_xlfn.XLOOKUP(CustomerCombinedCleaned[[#This Row],[ID]], Table2[ID],Table2[Pilot], "Not Found", 0 )</f>
        <v>0</v>
      </c>
      <c r="Y143" s="16">
        <f>_xlfn.XLOOKUP(CustomerCombinedCleaned[[#This Row],[ID]], Table2[ID],Table2[MC1], "Not Found", 0 )</f>
        <v>0</v>
      </c>
      <c r="Z143" s="16">
        <f>_xlfn.XLOOKUP(CustomerCombinedCleaned[[#This Row],[ID]], Table2[ID],Table2[MC2], "Not Found", 0 )</f>
        <v>0</v>
      </c>
      <c r="AA143" s="16">
        <f>_xlfn.XLOOKUP(CustomerCombinedCleaned[[#This Row],[ID]], Table2[ID],Table2[MC3], "Not Found", 0 )</f>
        <v>0</v>
      </c>
      <c r="AB143" s="16">
        <f>_xlfn.XLOOKUP(CustomerCombinedCleaned[[#This Row],[ID]], Table2[ID],Table2[MC4], "Not Found", 0 )</f>
        <v>0</v>
      </c>
      <c r="AC143" s="16">
        <f>_xlfn.XLOOKUP(CustomerCombinedCleaned[[#This Row],[ID]], Table2[ID],Table2[MC5], "Not Found", 0 )</f>
        <v>0</v>
      </c>
    </row>
    <row r="144" spans="1:29" x14ac:dyDescent="0.3">
      <c r="A144" s="18">
        <v>1649</v>
      </c>
      <c r="B144" s="16">
        <v>121063</v>
      </c>
      <c r="C144" s="16">
        <v>1</v>
      </c>
      <c r="D144" s="16">
        <v>0</v>
      </c>
      <c r="E144" s="16">
        <v>33</v>
      </c>
      <c r="F144" s="17" t="s">
        <v>7</v>
      </c>
      <c r="G144" s="17" t="s">
        <v>10</v>
      </c>
      <c r="H144" s="3" t="s">
        <v>763</v>
      </c>
      <c r="I144" s="5" t="s">
        <v>434</v>
      </c>
      <c r="J144" s="16">
        <f>_xlfn.XLOOKUP(CustomerCombinedCleaned[[#This Row],[ID]], Table4[ID], Table4[Recency], "Not Found", 0)</f>
        <v>34</v>
      </c>
      <c r="K144" s="16">
        <f>_xlfn.XLOOKUP(CustomerCombinedCleaned[[#This Row],[ID]], Table4[ID], Table4[Teas], "Not Found", 0)</f>
        <v>6</v>
      </c>
      <c r="L144" s="16">
        <f>_xlfn.XLOOKUP(CustomerCombinedCleaned[[#This Row],[ID]], Table4[ID], Table4[Fruits], "Not Found", 0)</f>
        <v>57</v>
      </c>
      <c r="M144" s="16">
        <f>_xlfn.XLOOKUP(CustomerCombinedCleaned[[#This Row],[ID]], Table4[ID], Table4[Meats], "Not Found", 0)</f>
        <v>63</v>
      </c>
      <c r="N144" s="16">
        <f>_xlfn.XLOOKUP(CustomerCombinedCleaned[[#This Row],[ID]], Table4[ID], Table4[Seafood], "Not Found", 0)</f>
        <v>109</v>
      </c>
      <c r="O144" s="16">
        <f>_xlfn.XLOOKUP(CustomerCombinedCleaned[[#This Row],[ID]], Table4[ID], Table4[Sweets], "Not Found", 0)</f>
        <v>17</v>
      </c>
      <c r="P144" s="16">
        <f>_xlfn.XLOOKUP(CustomerCombinedCleaned[[#This Row],[ID]], Table4[ID], Table4[Premium], "Not Found", 0)</f>
        <v>86</v>
      </c>
      <c r="Q144" s="16">
        <f>_xlfn.XLOOKUP(CustomerCombinedCleaned[[#This Row],[ID]], Table4[ID], Table4[Regular], "Not Found", 0)</f>
        <v>167</v>
      </c>
      <c r="R144" s="16">
        <f>_xlfn.XLOOKUP(CustomerCombinedCleaned[[#This Row],[ID]], Table4[ID], Table4[Deals], "Not Found", 0)</f>
        <v>2</v>
      </c>
      <c r="S144" s="16">
        <f>_xlfn.XLOOKUP(CustomerCombinedCleaned[[#This Row],[ID]], Table4[ID], Table4[Website], "Not Found", 0)</f>
        <v>2</v>
      </c>
      <c r="T144" s="16">
        <f>_xlfn.XLOOKUP(CustomerCombinedCleaned[[#This Row],[ID]], Table4[ID], Table4[Catalog], "Not Found", 0)</f>
        <v>0</v>
      </c>
      <c r="U144" s="16">
        <f>_xlfn.XLOOKUP(CustomerCombinedCleaned[[#This Row],[ID]], Table4[ID], Table4[Store], "Not Found", 0)</f>
        <v>3</v>
      </c>
      <c r="V144" s="16">
        <f>_xlfn.XLOOKUP(CustomerCombinedCleaned[[#This Row],[ID]], Table4[ID], Table4[Visits], "Not Found", 0)</f>
        <v>6</v>
      </c>
      <c r="W144" s="16">
        <f>_xlfn.XLOOKUP(CustomerCombinedCleaned[[#This Row],[ID]], Table2[ID],Table2[Complaint], "Not Found", 0 )</f>
        <v>0</v>
      </c>
      <c r="X144" s="16">
        <f>_xlfn.XLOOKUP(CustomerCombinedCleaned[[#This Row],[ID]], Table2[ID],Table2[Pilot], "Not Found", 0 )</f>
        <v>0</v>
      </c>
      <c r="Y144" s="16">
        <f>_xlfn.XLOOKUP(CustomerCombinedCleaned[[#This Row],[ID]], Table2[ID],Table2[MC1], "Not Found", 0 )</f>
        <v>0</v>
      </c>
      <c r="Z144" s="16">
        <f>_xlfn.XLOOKUP(CustomerCombinedCleaned[[#This Row],[ID]], Table2[ID],Table2[MC2], "Not Found", 0 )</f>
        <v>0</v>
      </c>
      <c r="AA144" s="16">
        <f>_xlfn.XLOOKUP(CustomerCombinedCleaned[[#This Row],[ID]], Table2[ID],Table2[MC3], "Not Found", 0 )</f>
        <v>0</v>
      </c>
      <c r="AB144" s="16">
        <f>_xlfn.XLOOKUP(CustomerCombinedCleaned[[#This Row],[ID]], Table2[ID],Table2[MC4], "Not Found", 0 )</f>
        <v>0</v>
      </c>
      <c r="AC144" s="16">
        <f>_xlfn.XLOOKUP(CustomerCombinedCleaned[[#This Row],[ID]], Table2[ID],Table2[MC5], "Not Found", 0 )</f>
        <v>0</v>
      </c>
    </row>
    <row r="145" spans="1:29" x14ac:dyDescent="0.3">
      <c r="A145" s="18">
        <v>2332</v>
      </c>
      <c r="B145" s="16">
        <v>118227</v>
      </c>
      <c r="C145" s="16">
        <v>1</v>
      </c>
      <c r="D145" s="16">
        <v>0</v>
      </c>
      <c r="E145" s="16">
        <v>33</v>
      </c>
      <c r="F145" s="17" t="s">
        <v>8</v>
      </c>
      <c r="G145" s="17" t="s">
        <v>11</v>
      </c>
      <c r="H145" s="3" t="s">
        <v>367</v>
      </c>
      <c r="I145" s="5" t="s">
        <v>439</v>
      </c>
      <c r="J145" s="16">
        <f>_xlfn.XLOOKUP(CustomerCombinedCleaned[[#This Row],[ID]], Table4[ID], Table4[Recency], "Not Found", 0)</f>
        <v>21</v>
      </c>
      <c r="K145" s="16">
        <f>_xlfn.XLOOKUP(CustomerCombinedCleaned[[#This Row],[ID]], Table4[ID], Table4[Teas], "Not Found", 0)</f>
        <v>6</v>
      </c>
      <c r="L145" s="16">
        <f>_xlfn.XLOOKUP(CustomerCombinedCleaned[[#This Row],[ID]], Table4[ID], Table4[Fruits], "Not Found", 0)</f>
        <v>13</v>
      </c>
      <c r="M145" s="16">
        <f>_xlfn.XLOOKUP(CustomerCombinedCleaned[[#This Row],[ID]], Table4[ID], Table4[Meats], "Not Found", 0)</f>
        <v>45</v>
      </c>
      <c r="N145" s="16">
        <f>_xlfn.XLOOKUP(CustomerCombinedCleaned[[#This Row],[ID]], Table4[ID], Table4[Seafood], "Not Found", 0)</f>
        <v>26</v>
      </c>
      <c r="O145" s="16">
        <f>_xlfn.XLOOKUP(CustomerCombinedCleaned[[#This Row],[ID]], Table4[ID], Table4[Sweets], "Not Found", 0)</f>
        <v>19</v>
      </c>
      <c r="P145" s="16">
        <f>_xlfn.XLOOKUP(CustomerCombinedCleaned[[#This Row],[ID]], Table4[ID], Table4[Premium], "Not Found", 0)</f>
        <v>71</v>
      </c>
      <c r="Q145" s="16">
        <f>_xlfn.XLOOKUP(CustomerCombinedCleaned[[#This Row],[ID]], Table4[ID], Table4[Regular], "Not Found", 0)</f>
        <v>39</v>
      </c>
      <c r="R145" s="16">
        <f>_xlfn.XLOOKUP(CustomerCombinedCleaned[[#This Row],[ID]], Table4[ID], Table4[Deals], "Not Found", 0)</f>
        <v>1</v>
      </c>
      <c r="S145" s="16">
        <f>_xlfn.XLOOKUP(CustomerCombinedCleaned[[#This Row],[ID]], Table4[ID], Table4[Website], "Not Found", 0)</f>
        <v>0</v>
      </c>
      <c r="T145" s="16">
        <f>_xlfn.XLOOKUP(CustomerCombinedCleaned[[#This Row],[ID]], Table4[ID], Table4[Catalog], "Not Found", 0)</f>
        <v>1</v>
      </c>
      <c r="U145" s="16">
        <f>_xlfn.XLOOKUP(CustomerCombinedCleaned[[#This Row],[ID]], Table4[ID], Table4[Store], "Not Found", 0)</f>
        <v>2</v>
      </c>
      <c r="V145" s="16">
        <f>_xlfn.XLOOKUP(CustomerCombinedCleaned[[#This Row],[ID]], Table4[ID], Table4[Visits], "Not Found", 0)</f>
        <v>8</v>
      </c>
      <c r="W145" s="16">
        <f>_xlfn.XLOOKUP(CustomerCombinedCleaned[[#This Row],[ID]], Table2[ID],Table2[Complaint], "Not Found", 0 )</f>
        <v>0</v>
      </c>
      <c r="X145" s="16">
        <f>_xlfn.XLOOKUP(CustomerCombinedCleaned[[#This Row],[ID]], Table2[ID],Table2[Pilot], "Not Found", 0 )</f>
        <v>0</v>
      </c>
      <c r="Y145" s="16">
        <f>_xlfn.XLOOKUP(CustomerCombinedCleaned[[#This Row],[ID]], Table2[ID],Table2[MC1], "Not Found", 0 )</f>
        <v>0</v>
      </c>
      <c r="Z145" s="16">
        <f>_xlfn.XLOOKUP(CustomerCombinedCleaned[[#This Row],[ID]], Table2[ID],Table2[MC2], "Not Found", 0 )</f>
        <v>0</v>
      </c>
      <c r="AA145" s="16">
        <f>_xlfn.XLOOKUP(CustomerCombinedCleaned[[#This Row],[ID]], Table2[ID],Table2[MC3], "Not Found", 0 )</f>
        <v>0</v>
      </c>
      <c r="AB145" s="16">
        <f>_xlfn.XLOOKUP(CustomerCombinedCleaned[[#This Row],[ID]], Table2[ID],Table2[MC4], "Not Found", 0 )</f>
        <v>0</v>
      </c>
      <c r="AC145" s="16">
        <f>_xlfn.XLOOKUP(CustomerCombinedCleaned[[#This Row],[ID]], Table2[ID],Table2[MC5], "Not Found", 0 )</f>
        <v>0</v>
      </c>
    </row>
    <row r="146" spans="1:29" x14ac:dyDescent="0.3">
      <c r="A146" s="18">
        <v>1014</v>
      </c>
      <c r="B146" s="16">
        <v>117323</v>
      </c>
      <c r="C146" s="16">
        <v>0</v>
      </c>
      <c r="D146" s="16">
        <v>0</v>
      </c>
      <c r="E146" s="16">
        <v>33</v>
      </c>
      <c r="F146" s="17" t="s">
        <v>6</v>
      </c>
      <c r="G146" s="17" t="s">
        <v>11</v>
      </c>
      <c r="H146" s="3" t="s">
        <v>384</v>
      </c>
      <c r="I146" s="5" t="s">
        <v>436</v>
      </c>
      <c r="J146" s="16">
        <f>_xlfn.XLOOKUP(CustomerCombinedCleaned[[#This Row],[ID]], Table4[ID], Table4[Recency], "Not Found", 0)</f>
        <v>38</v>
      </c>
      <c r="K146" s="16">
        <f>_xlfn.XLOOKUP(CustomerCombinedCleaned[[#This Row],[ID]], Table4[ID], Table4[Teas], "Not Found", 0)</f>
        <v>20</v>
      </c>
      <c r="L146" s="16">
        <f>_xlfn.XLOOKUP(CustomerCombinedCleaned[[#This Row],[ID]], Table4[ID], Table4[Fruits], "Not Found", 0)</f>
        <v>95</v>
      </c>
      <c r="M146" s="16">
        <f>_xlfn.XLOOKUP(CustomerCombinedCleaned[[#This Row],[ID]], Table4[ID], Table4[Meats], "Not Found", 0)</f>
        <v>115</v>
      </c>
      <c r="N146" s="16">
        <f>_xlfn.XLOOKUP(CustomerCombinedCleaned[[#This Row],[ID]], Table4[ID], Table4[Seafood], "Not Found", 0)</f>
        <v>41</v>
      </c>
      <c r="O146" s="16">
        <f>_xlfn.XLOOKUP(CustomerCombinedCleaned[[#This Row],[ID]], Table4[ID], Table4[Sweets], "Not Found", 0)</f>
        <v>7</v>
      </c>
      <c r="P146" s="16">
        <f>_xlfn.XLOOKUP(CustomerCombinedCleaned[[#This Row],[ID]], Table4[ID], Table4[Premium], "Not Found", 0)</f>
        <v>34</v>
      </c>
      <c r="Q146" s="16">
        <f>_xlfn.XLOOKUP(CustomerCombinedCleaned[[#This Row],[ID]], Table4[ID], Table4[Regular], "Not Found", 0)</f>
        <v>244</v>
      </c>
      <c r="R146" s="16">
        <f>_xlfn.XLOOKUP(CustomerCombinedCleaned[[#This Row],[ID]], Table4[ID], Table4[Deals], "Not Found", 0)</f>
        <v>1</v>
      </c>
      <c r="S146" s="16">
        <f>_xlfn.XLOOKUP(CustomerCombinedCleaned[[#This Row],[ID]], Table4[ID], Table4[Website], "Not Found", 0)</f>
        <v>1</v>
      </c>
      <c r="T146" s="16">
        <f>_xlfn.XLOOKUP(CustomerCombinedCleaned[[#This Row],[ID]], Table4[ID], Table4[Catalog], "Not Found", 0)</f>
        <v>0</v>
      </c>
      <c r="U146" s="16">
        <f>_xlfn.XLOOKUP(CustomerCombinedCleaned[[#This Row],[ID]], Table4[ID], Table4[Store], "Not Found", 0)</f>
        <v>3</v>
      </c>
      <c r="V146" s="16">
        <f>_xlfn.XLOOKUP(CustomerCombinedCleaned[[#This Row],[ID]], Table4[ID], Table4[Visits], "Not Found", 0)</f>
        <v>8</v>
      </c>
      <c r="W146" s="16">
        <f>_xlfn.XLOOKUP(CustomerCombinedCleaned[[#This Row],[ID]], Table2[ID],Table2[Complaint], "Not Found", 0 )</f>
        <v>0</v>
      </c>
      <c r="X146" s="16">
        <f>_xlfn.XLOOKUP(CustomerCombinedCleaned[[#This Row],[ID]], Table2[ID],Table2[Pilot], "Not Found", 0 )</f>
        <v>0</v>
      </c>
      <c r="Y146" s="16">
        <f>_xlfn.XLOOKUP(CustomerCombinedCleaned[[#This Row],[ID]], Table2[ID],Table2[MC1], "Not Found", 0 )</f>
        <v>0</v>
      </c>
      <c r="Z146" s="16">
        <f>_xlfn.XLOOKUP(CustomerCombinedCleaned[[#This Row],[ID]], Table2[ID],Table2[MC2], "Not Found", 0 )</f>
        <v>0</v>
      </c>
      <c r="AA146" s="16">
        <f>_xlfn.XLOOKUP(CustomerCombinedCleaned[[#This Row],[ID]], Table2[ID],Table2[MC3], "Not Found", 0 )</f>
        <v>0</v>
      </c>
      <c r="AB146" s="16">
        <f>_xlfn.XLOOKUP(CustomerCombinedCleaned[[#This Row],[ID]], Table2[ID],Table2[MC4], "Not Found", 0 )</f>
        <v>0</v>
      </c>
      <c r="AC146" s="16">
        <f>_xlfn.XLOOKUP(CustomerCombinedCleaned[[#This Row],[ID]], Table2[ID],Table2[MC5], "Not Found", 0 )</f>
        <v>0</v>
      </c>
    </row>
    <row r="147" spans="1:29" x14ac:dyDescent="0.3">
      <c r="A147" s="18">
        <v>2008</v>
      </c>
      <c r="B147" s="16">
        <v>115038</v>
      </c>
      <c r="C147" s="16">
        <v>1</v>
      </c>
      <c r="D147" s="16">
        <v>0</v>
      </c>
      <c r="E147" s="16">
        <v>33</v>
      </c>
      <c r="F147" s="17" t="s">
        <v>7</v>
      </c>
      <c r="G147" s="17" t="s">
        <v>10</v>
      </c>
      <c r="H147" s="3" t="s">
        <v>637</v>
      </c>
      <c r="I147" s="5" t="s">
        <v>439</v>
      </c>
      <c r="J147" s="16">
        <f>_xlfn.XLOOKUP(CustomerCombinedCleaned[[#This Row],[ID]], Table4[ID], Table4[Recency], "Not Found", 0)</f>
        <v>93</v>
      </c>
      <c r="K147" s="16">
        <f>_xlfn.XLOOKUP(CustomerCombinedCleaned[[#This Row],[ID]], Table4[ID], Table4[Teas], "Not Found", 0)</f>
        <v>31</v>
      </c>
      <c r="L147" s="16">
        <f>_xlfn.XLOOKUP(CustomerCombinedCleaned[[#This Row],[ID]], Table4[ID], Table4[Fruits], "Not Found", 0)</f>
        <v>61</v>
      </c>
      <c r="M147" s="16">
        <f>_xlfn.XLOOKUP(CustomerCombinedCleaned[[#This Row],[ID]], Table4[ID], Table4[Meats], "Not Found", 0)</f>
        <v>84</v>
      </c>
      <c r="N147" s="16">
        <f>_xlfn.XLOOKUP(CustomerCombinedCleaned[[#This Row],[ID]], Table4[ID], Table4[Seafood], "Not Found", 0)</f>
        <v>145</v>
      </c>
      <c r="O147" s="16">
        <f>_xlfn.XLOOKUP(CustomerCombinedCleaned[[#This Row],[ID]], Table4[ID], Table4[Sweets], "Not Found", 0)</f>
        <v>92</v>
      </c>
      <c r="P147" s="16">
        <f>_xlfn.XLOOKUP(CustomerCombinedCleaned[[#This Row],[ID]], Table4[ID], Table4[Premium], "Not Found", 0)</f>
        <v>199</v>
      </c>
      <c r="Q147" s="16">
        <f>_xlfn.XLOOKUP(CustomerCombinedCleaned[[#This Row],[ID]], Table4[ID], Table4[Regular], "Not Found", 0)</f>
        <v>214</v>
      </c>
      <c r="R147" s="16">
        <f>_xlfn.XLOOKUP(CustomerCombinedCleaned[[#This Row],[ID]], Table4[ID], Table4[Deals], "Not Found", 0)</f>
        <v>2</v>
      </c>
      <c r="S147" s="16">
        <f>_xlfn.XLOOKUP(CustomerCombinedCleaned[[#This Row],[ID]], Table4[ID], Table4[Website], "Not Found", 0)</f>
        <v>2</v>
      </c>
      <c r="T147" s="16">
        <f>_xlfn.XLOOKUP(CustomerCombinedCleaned[[#This Row],[ID]], Table4[ID], Table4[Catalog], "Not Found", 0)</f>
        <v>1</v>
      </c>
      <c r="U147" s="16">
        <f>_xlfn.XLOOKUP(CustomerCombinedCleaned[[#This Row],[ID]], Table4[ID], Table4[Store], "Not Found", 0)</f>
        <v>2</v>
      </c>
      <c r="V147" s="16">
        <f>_xlfn.XLOOKUP(CustomerCombinedCleaned[[#This Row],[ID]], Table4[ID], Table4[Visits], "Not Found", 0)</f>
        <v>9</v>
      </c>
      <c r="W147" s="16">
        <f>_xlfn.XLOOKUP(CustomerCombinedCleaned[[#This Row],[ID]], Table2[ID],Table2[Complaint], "Not Found", 0 )</f>
        <v>0</v>
      </c>
      <c r="X147" s="16">
        <f>_xlfn.XLOOKUP(CustomerCombinedCleaned[[#This Row],[ID]], Table2[ID],Table2[Pilot], "Not Found", 0 )</f>
        <v>0</v>
      </c>
      <c r="Y147" s="16">
        <f>_xlfn.XLOOKUP(CustomerCombinedCleaned[[#This Row],[ID]], Table2[ID],Table2[MC1], "Not Found", 0 )</f>
        <v>0</v>
      </c>
      <c r="Z147" s="16">
        <f>_xlfn.XLOOKUP(CustomerCombinedCleaned[[#This Row],[ID]], Table2[ID],Table2[MC2], "Not Found", 0 )</f>
        <v>0</v>
      </c>
      <c r="AA147" s="16">
        <f>_xlfn.XLOOKUP(CustomerCombinedCleaned[[#This Row],[ID]], Table2[ID],Table2[MC3], "Not Found", 0 )</f>
        <v>0</v>
      </c>
      <c r="AB147" s="16">
        <f>_xlfn.XLOOKUP(CustomerCombinedCleaned[[#This Row],[ID]], Table2[ID],Table2[MC4], "Not Found", 0 )</f>
        <v>0</v>
      </c>
      <c r="AC147" s="16">
        <f>_xlfn.XLOOKUP(CustomerCombinedCleaned[[#This Row],[ID]], Table2[ID],Table2[MC5], "Not Found", 0 )</f>
        <v>0</v>
      </c>
    </row>
    <row r="148" spans="1:29" x14ac:dyDescent="0.3">
      <c r="A148" s="18">
        <v>1843</v>
      </c>
      <c r="B148" s="16">
        <v>107500</v>
      </c>
      <c r="C148" s="16">
        <v>0</v>
      </c>
      <c r="D148" s="16">
        <v>0</v>
      </c>
      <c r="E148" s="16">
        <v>33</v>
      </c>
      <c r="F148" s="17" t="s">
        <v>6</v>
      </c>
      <c r="G148" s="17" t="s">
        <v>11</v>
      </c>
      <c r="H148" s="3" t="s">
        <v>331</v>
      </c>
      <c r="I148" s="5" t="s">
        <v>437</v>
      </c>
      <c r="J148" s="16">
        <f>_xlfn.XLOOKUP(CustomerCombinedCleaned[[#This Row],[ID]], Table4[ID], Table4[Recency], "Not Found", 0)</f>
        <v>94</v>
      </c>
      <c r="K148" s="16">
        <f>_xlfn.XLOOKUP(CustomerCombinedCleaned[[#This Row],[ID]], Table4[ID], Table4[Teas], "Not Found", 0)</f>
        <v>0</v>
      </c>
      <c r="L148" s="16">
        <f>_xlfn.XLOOKUP(CustomerCombinedCleaned[[#This Row],[ID]], Table4[ID], Table4[Fruits], "Not Found", 0)</f>
        <v>29</v>
      </c>
      <c r="M148" s="16">
        <f>_xlfn.XLOOKUP(CustomerCombinedCleaned[[#This Row],[ID]], Table4[ID], Table4[Meats], "Not Found", 0)</f>
        <v>43</v>
      </c>
      <c r="N148" s="16">
        <f>_xlfn.XLOOKUP(CustomerCombinedCleaned[[#This Row],[ID]], Table4[ID], Table4[Seafood], "Not Found", 0)</f>
        <v>57</v>
      </c>
      <c r="O148" s="16">
        <f>_xlfn.XLOOKUP(CustomerCombinedCleaned[[#This Row],[ID]], Table4[ID], Table4[Sweets], "Not Found", 0)</f>
        <v>14</v>
      </c>
      <c r="P148" s="16">
        <f>_xlfn.XLOOKUP(CustomerCombinedCleaned[[#This Row],[ID]], Table4[ID], Table4[Premium], "Not Found", 0)</f>
        <v>72</v>
      </c>
      <c r="Q148" s="16">
        <f>_xlfn.XLOOKUP(CustomerCombinedCleaned[[#This Row],[ID]], Table4[ID], Table4[Regular], "Not Found", 0)</f>
        <v>72</v>
      </c>
      <c r="R148" s="16">
        <f>_xlfn.XLOOKUP(CustomerCombinedCleaned[[#This Row],[ID]], Table4[ID], Table4[Deals], "Not Found", 0)</f>
        <v>1</v>
      </c>
      <c r="S148" s="16">
        <f>_xlfn.XLOOKUP(CustomerCombinedCleaned[[#This Row],[ID]], Table4[ID], Table4[Website], "Not Found", 0)</f>
        <v>0</v>
      </c>
      <c r="T148" s="16">
        <f>_xlfn.XLOOKUP(CustomerCombinedCleaned[[#This Row],[ID]], Table4[ID], Table4[Catalog], "Not Found", 0)</f>
        <v>0</v>
      </c>
      <c r="U148" s="16">
        <f>_xlfn.XLOOKUP(CustomerCombinedCleaned[[#This Row],[ID]], Table4[ID], Table4[Store], "Not Found", 0)</f>
        <v>3</v>
      </c>
      <c r="V148" s="16">
        <f>_xlfn.XLOOKUP(CustomerCombinedCleaned[[#This Row],[ID]], Table4[ID], Table4[Visits], "Not Found", 0)</f>
        <v>6</v>
      </c>
      <c r="W148" s="16">
        <f>_xlfn.XLOOKUP(CustomerCombinedCleaned[[#This Row],[ID]], Table2[ID],Table2[Complaint], "Not Found", 0 )</f>
        <v>0</v>
      </c>
      <c r="X148" s="16">
        <f>_xlfn.XLOOKUP(CustomerCombinedCleaned[[#This Row],[ID]], Table2[ID],Table2[Pilot], "Not Found", 0 )</f>
        <v>0</v>
      </c>
      <c r="Y148" s="16">
        <f>_xlfn.XLOOKUP(CustomerCombinedCleaned[[#This Row],[ID]], Table2[ID],Table2[MC1], "Not Found", 0 )</f>
        <v>0</v>
      </c>
      <c r="Z148" s="16">
        <f>_xlfn.XLOOKUP(CustomerCombinedCleaned[[#This Row],[ID]], Table2[ID],Table2[MC2], "Not Found", 0 )</f>
        <v>0</v>
      </c>
      <c r="AA148" s="16">
        <f>_xlfn.XLOOKUP(CustomerCombinedCleaned[[#This Row],[ID]], Table2[ID],Table2[MC3], "Not Found", 0 )</f>
        <v>0</v>
      </c>
      <c r="AB148" s="16">
        <f>_xlfn.XLOOKUP(CustomerCombinedCleaned[[#This Row],[ID]], Table2[ID],Table2[MC4], "Not Found", 0 )</f>
        <v>0</v>
      </c>
      <c r="AC148" s="16">
        <f>_xlfn.XLOOKUP(CustomerCombinedCleaned[[#This Row],[ID]], Table2[ID],Table2[MC5], "Not Found", 0 )</f>
        <v>0</v>
      </c>
    </row>
    <row r="149" spans="1:29" x14ac:dyDescent="0.3">
      <c r="A149" s="18">
        <v>1410</v>
      </c>
      <c r="B149" s="16">
        <v>192910</v>
      </c>
      <c r="C149" s="16">
        <v>0</v>
      </c>
      <c r="D149" s="16">
        <v>0</v>
      </c>
      <c r="E149" s="16">
        <v>34</v>
      </c>
      <c r="F149" s="17" t="s">
        <v>6</v>
      </c>
      <c r="G149" s="17" t="s">
        <v>11</v>
      </c>
      <c r="H149" s="3" t="s">
        <v>58</v>
      </c>
      <c r="I149" s="5" t="s">
        <v>436</v>
      </c>
      <c r="J149" s="16">
        <f>_xlfn.XLOOKUP(CustomerCombinedCleaned[[#This Row],[ID]], Table4[ID], Table4[Recency], "Not Found", 0)</f>
        <v>42</v>
      </c>
      <c r="K149" s="16">
        <f>_xlfn.XLOOKUP(CustomerCombinedCleaned[[#This Row],[ID]], Table4[ID], Table4[Teas], "Not Found", 0)</f>
        <v>1144</v>
      </c>
      <c r="L149" s="16">
        <f>_xlfn.XLOOKUP(CustomerCombinedCleaned[[#This Row],[ID]], Table4[ID], Table4[Fruits], "Not Found", 0)</f>
        <v>284</v>
      </c>
      <c r="M149" s="16">
        <f>_xlfn.XLOOKUP(CustomerCombinedCleaned[[#This Row],[ID]], Table4[ID], Table4[Meats], "Not Found", 0)</f>
        <v>1644</v>
      </c>
      <c r="N149" s="16">
        <f>_xlfn.XLOOKUP(CustomerCombinedCleaned[[#This Row],[ID]], Table4[ID], Table4[Seafood], "Not Found", 0)</f>
        <v>372</v>
      </c>
      <c r="O149" s="16">
        <f>_xlfn.XLOOKUP(CustomerCombinedCleaned[[#This Row],[ID]], Table4[ID], Table4[Sweets], "Not Found", 0)</f>
        <v>214</v>
      </c>
      <c r="P149" s="16">
        <f>_xlfn.XLOOKUP(CustomerCombinedCleaned[[#This Row],[ID]], Table4[ID], Table4[Premium], "Not Found", 0)</f>
        <v>69</v>
      </c>
      <c r="Q149" s="16">
        <f>_xlfn.XLOOKUP(CustomerCombinedCleaned[[#This Row],[ID]], Table4[ID], Table4[Regular], "Not Found", 0)</f>
        <v>3590</v>
      </c>
      <c r="R149" s="16">
        <f>_xlfn.XLOOKUP(CustomerCombinedCleaned[[#This Row],[ID]], Table4[ID], Table4[Deals], "Not Found", 0)</f>
        <v>1</v>
      </c>
      <c r="S149" s="16">
        <f>_xlfn.XLOOKUP(CustomerCombinedCleaned[[#This Row],[ID]], Table4[ID], Table4[Website], "Not Found", 0)</f>
        <v>6</v>
      </c>
      <c r="T149" s="16">
        <f>_xlfn.XLOOKUP(CustomerCombinedCleaned[[#This Row],[ID]], Table4[ID], Table4[Catalog], "Not Found", 0)</f>
        <v>7</v>
      </c>
      <c r="U149" s="16">
        <f>_xlfn.XLOOKUP(CustomerCombinedCleaned[[#This Row],[ID]], Table4[ID], Table4[Store], "Not Found", 0)</f>
        <v>13</v>
      </c>
      <c r="V149" s="16">
        <f>_xlfn.XLOOKUP(CustomerCombinedCleaned[[#This Row],[ID]], Table4[ID], Table4[Visits], "Not Found", 0)</f>
        <v>1</v>
      </c>
      <c r="W149" s="16">
        <f>_xlfn.XLOOKUP(CustomerCombinedCleaned[[#This Row],[ID]], Table2[ID],Table2[Complaint], "Not Found", 0 )</f>
        <v>0</v>
      </c>
      <c r="X149" s="16">
        <f>_xlfn.XLOOKUP(CustomerCombinedCleaned[[#This Row],[ID]], Table2[ID],Table2[Pilot], "Not Found", 0 )</f>
        <v>0</v>
      </c>
      <c r="Y149" s="16">
        <f>_xlfn.XLOOKUP(CustomerCombinedCleaned[[#This Row],[ID]], Table2[ID],Table2[MC1], "Not Found", 0 )</f>
        <v>1</v>
      </c>
      <c r="Z149" s="16">
        <f>_xlfn.XLOOKUP(CustomerCombinedCleaned[[#This Row],[ID]], Table2[ID],Table2[MC2], "Not Found", 0 )</f>
        <v>0</v>
      </c>
      <c r="AA149" s="16">
        <f>_xlfn.XLOOKUP(CustomerCombinedCleaned[[#This Row],[ID]], Table2[ID],Table2[MC3], "Not Found", 0 )</f>
        <v>0</v>
      </c>
      <c r="AB149" s="16">
        <f>_xlfn.XLOOKUP(CustomerCombinedCleaned[[#This Row],[ID]], Table2[ID],Table2[MC4], "Not Found", 0 )</f>
        <v>1</v>
      </c>
      <c r="AC149" s="16">
        <f>_xlfn.XLOOKUP(CustomerCombinedCleaned[[#This Row],[ID]], Table2[ID],Table2[MC5], "Not Found", 0 )</f>
        <v>1</v>
      </c>
    </row>
    <row r="150" spans="1:29" x14ac:dyDescent="0.3">
      <c r="A150" s="18">
        <v>1795</v>
      </c>
      <c r="B150" s="16">
        <v>191820</v>
      </c>
      <c r="C150" s="16">
        <v>0</v>
      </c>
      <c r="D150" s="16">
        <v>0</v>
      </c>
      <c r="E150" s="16">
        <v>34</v>
      </c>
      <c r="F150" s="17" t="s">
        <v>8</v>
      </c>
      <c r="G150" s="17" t="s">
        <v>13</v>
      </c>
      <c r="H150" s="3" t="s">
        <v>142</v>
      </c>
      <c r="I150" s="5" t="s">
        <v>437</v>
      </c>
      <c r="J150" s="16">
        <f>_xlfn.XLOOKUP(CustomerCombinedCleaned[[#This Row],[ID]], Table4[ID], Table4[Recency], "Not Found", 0)</f>
        <v>72</v>
      </c>
      <c r="K150" s="16">
        <f>_xlfn.XLOOKUP(CustomerCombinedCleaned[[#This Row],[ID]], Table4[ID], Table4[Teas], "Not Found", 0)</f>
        <v>857</v>
      </c>
      <c r="L150" s="16">
        <f>_xlfn.XLOOKUP(CustomerCombinedCleaned[[#This Row],[ID]], Table4[ID], Table4[Fruits], "Not Found", 0)</f>
        <v>153</v>
      </c>
      <c r="M150" s="16">
        <f>_xlfn.XLOOKUP(CustomerCombinedCleaned[[#This Row],[ID]], Table4[ID], Table4[Meats], "Not Found", 0)</f>
        <v>1561</v>
      </c>
      <c r="N150" s="16">
        <f>_xlfn.XLOOKUP(CustomerCombinedCleaned[[#This Row],[ID]], Table4[ID], Table4[Seafood], "Not Found", 0)</f>
        <v>159</v>
      </c>
      <c r="O150" s="16">
        <f>_xlfn.XLOOKUP(CustomerCombinedCleaned[[#This Row],[ID]], Table4[ID], Table4[Sweets], "Not Found", 0)</f>
        <v>336</v>
      </c>
      <c r="P150" s="16">
        <f>_xlfn.XLOOKUP(CustomerCombinedCleaned[[#This Row],[ID]], Table4[ID], Table4[Premium], "Not Found", 0)</f>
        <v>63</v>
      </c>
      <c r="Q150" s="16">
        <f>_xlfn.XLOOKUP(CustomerCombinedCleaned[[#This Row],[ID]], Table4[ID], Table4[Regular], "Not Found", 0)</f>
        <v>3002</v>
      </c>
      <c r="R150" s="16">
        <f>_xlfn.XLOOKUP(CustomerCombinedCleaned[[#This Row],[ID]], Table4[ID], Table4[Deals], "Not Found", 0)</f>
        <v>0</v>
      </c>
      <c r="S150" s="16">
        <f>_xlfn.XLOOKUP(CustomerCombinedCleaned[[#This Row],[ID]], Table4[ID], Table4[Website], "Not Found", 0)</f>
        <v>5</v>
      </c>
      <c r="T150" s="16">
        <f>_xlfn.XLOOKUP(CustomerCombinedCleaned[[#This Row],[ID]], Table4[ID], Table4[Catalog], "Not Found", 0)</f>
        <v>5</v>
      </c>
      <c r="U150" s="16">
        <f>_xlfn.XLOOKUP(CustomerCombinedCleaned[[#This Row],[ID]], Table4[ID], Table4[Store], "Not Found", 0)</f>
        <v>12</v>
      </c>
      <c r="V150" s="16">
        <f>_xlfn.XLOOKUP(CustomerCombinedCleaned[[#This Row],[ID]], Table4[ID], Table4[Visits], "Not Found", 0)</f>
        <v>1</v>
      </c>
      <c r="W150" s="16">
        <f>_xlfn.XLOOKUP(CustomerCombinedCleaned[[#This Row],[ID]], Table2[ID],Table2[Complaint], "Not Found", 0 )</f>
        <v>0</v>
      </c>
      <c r="X150" s="16">
        <f>_xlfn.XLOOKUP(CustomerCombinedCleaned[[#This Row],[ID]], Table2[ID],Table2[Pilot], "Not Found", 0 )</f>
        <v>0</v>
      </c>
      <c r="Y150" s="16">
        <f>_xlfn.XLOOKUP(CustomerCombinedCleaned[[#This Row],[ID]], Table2[ID],Table2[MC1], "Not Found", 0 )</f>
        <v>0</v>
      </c>
      <c r="Z150" s="16">
        <f>_xlfn.XLOOKUP(CustomerCombinedCleaned[[#This Row],[ID]], Table2[ID],Table2[MC2], "Not Found", 0 )</f>
        <v>0</v>
      </c>
      <c r="AA150" s="16">
        <f>_xlfn.XLOOKUP(CustomerCombinedCleaned[[#This Row],[ID]], Table2[ID],Table2[MC3], "Not Found", 0 )</f>
        <v>0</v>
      </c>
      <c r="AB150" s="16">
        <f>_xlfn.XLOOKUP(CustomerCombinedCleaned[[#This Row],[ID]], Table2[ID],Table2[MC4], "Not Found", 0 )</f>
        <v>0</v>
      </c>
      <c r="AC150" s="16">
        <f>_xlfn.XLOOKUP(CustomerCombinedCleaned[[#This Row],[ID]], Table2[ID],Table2[MC5], "Not Found", 0 )</f>
        <v>0</v>
      </c>
    </row>
    <row r="151" spans="1:29" x14ac:dyDescent="0.3">
      <c r="A151" s="18">
        <v>2685</v>
      </c>
      <c r="B151" s="16">
        <v>183512</v>
      </c>
      <c r="C151" s="16">
        <v>0</v>
      </c>
      <c r="D151" s="16">
        <v>0</v>
      </c>
      <c r="E151" s="16">
        <v>34</v>
      </c>
      <c r="F151" s="17" t="s">
        <v>6</v>
      </c>
      <c r="G151" s="17" t="s">
        <v>11</v>
      </c>
      <c r="H151" s="3" t="s">
        <v>32</v>
      </c>
      <c r="I151" s="5" t="s">
        <v>435</v>
      </c>
      <c r="J151" s="16">
        <f>_xlfn.XLOOKUP(CustomerCombinedCleaned[[#This Row],[ID]], Table4[ID], Table4[Recency], "Not Found", 0)</f>
        <v>31</v>
      </c>
      <c r="K151" s="16">
        <f>_xlfn.XLOOKUP(CustomerCombinedCleaned[[#This Row],[ID]], Table4[ID], Table4[Teas], "Not Found", 0)</f>
        <v>2329</v>
      </c>
      <c r="L151" s="16">
        <f>_xlfn.XLOOKUP(CustomerCombinedCleaned[[#This Row],[ID]], Table4[ID], Table4[Fruits], "Not Found", 0)</f>
        <v>134</v>
      </c>
      <c r="M151" s="16">
        <f>_xlfn.XLOOKUP(CustomerCombinedCleaned[[#This Row],[ID]], Table4[ID], Table4[Meats], "Not Found", 0)</f>
        <v>1835</v>
      </c>
      <c r="N151" s="16">
        <f>_xlfn.XLOOKUP(CustomerCombinedCleaned[[#This Row],[ID]], Table4[ID], Table4[Seafood], "Not Found", 0)</f>
        <v>176</v>
      </c>
      <c r="O151" s="16">
        <f>_xlfn.XLOOKUP(CustomerCombinedCleaned[[#This Row],[ID]], Table4[ID], Table4[Sweets], "Not Found", 0)</f>
        <v>44</v>
      </c>
      <c r="P151" s="16">
        <f>_xlfn.XLOOKUP(CustomerCombinedCleaned[[#This Row],[ID]], Table4[ID], Table4[Premium], "Not Found", 0)</f>
        <v>222</v>
      </c>
      <c r="Q151" s="16">
        <f>_xlfn.XLOOKUP(CustomerCombinedCleaned[[#This Row],[ID]], Table4[ID], Table4[Regular], "Not Found", 0)</f>
        <v>4296</v>
      </c>
      <c r="R151" s="16">
        <f>_xlfn.XLOOKUP(CustomerCombinedCleaned[[#This Row],[ID]], Table4[ID], Table4[Deals], "Not Found", 0)</f>
        <v>1</v>
      </c>
      <c r="S151" s="16">
        <f>_xlfn.XLOOKUP(CustomerCombinedCleaned[[#This Row],[ID]], Table4[ID], Table4[Website], "Not Found", 0)</f>
        <v>4</v>
      </c>
      <c r="T151" s="16">
        <f>_xlfn.XLOOKUP(CustomerCombinedCleaned[[#This Row],[ID]], Table4[ID], Table4[Catalog], "Not Found", 0)</f>
        <v>7</v>
      </c>
      <c r="U151" s="16">
        <f>_xlfn.XLOOKUP(CustomerCombinedCleaned[[#This Row],[ID]], Table4[ID], Table4[Store], "Not Found", 0)</f>
        <v>10</v>
      </c>
      <c r="V151" s="16">
        <f>_xlfn.XLOOKUP(CustomerCombinedCleaned[[#This Row],[ID]], Table4[ID], Table4[Visits], "Not Found", 0)</f>
        <v>1</v>
      </c>
      <c r="W151" s="16">
        <f>_xlfn.XLOOKUP(CustomerCombinedCleaned[[#This Row],[ID]], Table2[ID],Table2[Complaint], "Not Found", 0 )</f>
        <v>0</v>
      </c>
      <c r="X151" s="16">
        <f>_xlfn.XLOOKUP(CustomerCombinedCleaned[[#This Row],[ID]], Table2[ID],Table2[Pilot], "Not Found", 0 )</f>
        <v>1</v>
      </c>
      <c r="Y151" s="16">
        <f>_xlfn.XLOOKUP(CustomerCombinedCleaned[[#This Row],[ID]], Table2[ID],Table2[MC1], "Not Found", 0 )</f>
        <v>1</v>
      </c>
      <c r="Z151" s="16">
        <f>_xlfn.XLOOKUP(CustomerCombinedCleaned[[#This Row],[ID]], Table2[ID],Table2[MC2], "Not Found", 0 )</f>
        <v>1</v>
      </c>
      <c r="AA151" s="16">
        <f>_xlfn.XLOOKUP(CustomerCombinedCleaned[[#This Row],[ID]], Table2[ID],Table2[MC3], "Not Found", 0 )</f>
        <v>1</v>
      </c>
      <c r="AB151" s="16">
        <f>_xlfn.XLOOKUP(CustomerCombinedCleaned[[#This Row],[ID]], Table2[ID],Table2[MC4], "Not Found", 0 )</f>
        <v>0</v>
      </c>
      <c r="AC151" s="16">
        <f>_xlfn.XLOOKUP(CustomerCombinedCleaned[[#This Row],[ID]], Table2[ID],Table2[MC5], "Not Found", 0 )</f>
        <v>1</v>
      </c>
    </row>
    <row r="152" spans="1:29" x14ac:dyDescent="0.3">
      <c r="A152" s="18">
        <v>1905</v>
      </c>
      <c r="B152" s="16">
        <v>183033</v>
      </c>
      <c r="C152" s="16">
        <v>1</v>
      </c>
      <c r="D152" s="16">
        <v>0</v>
      </c>
      <c r="E152" s="16">
        <v>34</v>
      </c>
      <c r="F152" s="17" t="s">
        <v>8</v>
      </c>
      <c r="G152" s="17" t="s">
        <v>11</v>
      </c>
      <c r="H152" s="3" t="s">
        <v>47</v>
      </c>
      <c r="I152" s="5" t="s">
        <v>435</v>
      </c>
      <c r="J152" s="16">
        <f>_xlfn.XLOOKUP(CustomerCombinedCleaned[[#This Row],[ID]], Table4[ID], Table4[Recency], "Not Found", 0)</f>
        <v>82</v>
      </c>
      <c r="K152" s="16">
        <f>_xlfn.XLOOKUP(CustomerCombinedCleaned[[#This Row],[ID]], Table4[ID], Table4[Teas], "Not Found", 0)</f>
        <v>1790</v>
      </c>
      <c r="L152" s="16">
        <f>_xlfn.XLOOKUP(CustomerCombinedCleaned[[#This Row],[ID]], Table4[ID], Table4[Fruits], "Not Found", 0)</f>
        <v>218</v>
      </c>
      <c r="M152" s="16">
        <f>_xlfn.XLOOKUP(CustomerCombinedCleaned[[#This Row],[ID]], Table4[ID], Table4[Meats], "Not Found", 0)</f>
        <v>950</v>
      </c>
      <c r="N152" s="16">
        <f>_xlfn.XLOOKUP(CustomerCombinedCleaned[[#This Row],[ID]], Table4[ID], Table4[Seafood], "Not Found", 0)</f>
        <v>522</v>
      </c>
      <c r="O152" s="16">
        <f>_xlfn.XLOOKUP(CustomerCombinedCleaned[[#This Row],[ID]], Table4[ID], Table4[Sweets], "Not Found", 0)</f>
        <v>328</v>
      </c>
      <c r="P152" s="16">
        <f>_xlfn.XLOOKUP(CustomerCombinedCleaned[[#This Row],[ID]], Table4[ID], Table4[Premium], "Not Found", 0)</f>
        <v>73</v>
      </c>
      <c r="Q152" s="16">
        <f>_xlfn.XLOOKUP(CustomerCombinedCleaned[[#This Row],[ID]], Table4[ID], Table4[Regular], "Not Found", 0)</f>
        <v>3736</v>
      </c>
      <c r="R152" s="16">
        <f>_xlfn.XLOOKUP(CustomerCombinedCleaned[[#This Row],[ID]], Table4[ID], Table4[Deals], "Not Found", 0)</f>
        <v>1</v>
      </c>
      <c r="S152" s="16">
        <f>_xlfn.XLOOKUP(CustomerCombinedCleaned[[#This Row],[ID]], Table4[ID], Table4[Website], "Not Found", 0)</f>
        <v>11</v>
      </c>
      <c r="T152" s="16">
        <f>_xlfn.XLOOKUP(CustomerCombinedCleaned[[#This Row],[ID]], Table4[ID], Table4[Catalog], "Not Found", 0)</f>
        <v>4</v>
      </c>
      <c r="U152" s="16">
        <f>_xlfn.XLOOKUP(CustomerCombinedCleaned[[#This Row],[ID]], Table4[ID], Table4[Store], "Not Found", 0)</f>
        <v>10</v>
      </c>
      <c r="V152" s="16">
        <f>_xlfn.XLOOKUP(CustomerCombinedCleaned[[#This Row],[ID]], Table4[ID], Table4[Visits], "Not Found", 0)</f>
        <v>5</v>
      </c>
      <c r="W152" s="16">
        <f>_xlfn.XLOOKUP(CustomerCombinedCleaned[[#This Row],[ID]], Table2[ID],Table2[Complaint], "Not Found", 0 )</f>
        <v>0</v>
      </c>
      <c r="X152" s="16">
        <f>_xlfn.XLOOKUP(CustomerCombinedCleaned[[#This Row],[ID]], Table2[ID],Table2[Pilot], "Not Found", 0 )</f>
        <v>0</v>
      </c>
      <c r="Y152" s="16">
        <f>_xlfn.XLOOKUP(CustomerCombinedCleaned[[#This Row],[ID]], Table2[ID],Table2[MC1], "Not Found", 0 )</f>
        <v>1</v>
      </c>
      <c r="Z152" s="16">
        <f>_xlfn.XLOOKUP(CustomerCombinedCleaned[[#This Row],[ID]], Table2[ID],Table2[MC2], "Not Found", 0 )</f>
        <v>0</v>
      </c>
      <c r="AA152" s="16">
        <f>_xlfn.XLOOKUP(CustomerCombinedCleaned[[#This Row],[ID]], Table2[ID],Table2[MC3], "Not Found", 0 )</f>
        <v>0</v>
      </c>
      <c r="AB152" s="16">
        <f>_xlfn.XLOOKUP(CustomerCombinedCleaned[[#This Row],[ID]], Table2[ID],Table2[MC4], "Not Found", 0 )</f>
        <v>0</v>
      </c>
      <c r="AC152" s="16">
        <f>_xlfn.XLOOKUP(CustomerCombinedCleaned[[#This Row],[ID]], Table2[ID],Table2[MC5], "Not Found", 0 )</f>
        <v>0</v>
      </c>
    </row>
    <row r="153" spans="1:29" x14ac:dyDescent="0.3">
      <c r="A153" s="18">
        <v>3096</v>
      </c>
      <c r="B153" s="16">
        <v>182333</v>
      </c>
      <c r="C153" s="16">
        <v>0</v>
      </c>
      <c r="D153" s="16">
        <v>0</v>
      </c>
      <c r="E153" s="16">
        <v>34</v>
      </c>
      <c r="F153" s="17" t="s">
        <v>6</v>
      </c>
      <c r="G153" s="17" t="s">
        <v>13</v>
      </c>
      <c r="H153" s="3" t="s">
        <v>586</v>
      </c>
      <c r="I153" s="5" t="s">
        <v>436</v>
      </c>
      <c r="J153" s="16">
        <f>_xlfn.XLOOKUP(CustomerCombinedCleaned[[#This Row],[ID]], Table4[ID], Table4[Recency], "Not Found", 0)</f>
        <v>60</v>
      </c>
      <c r="K153" s="16">
        <f>_xlfn.XLOOKUP(CustomerCombinedCleaned[[#This Row],[ID]], Table4[ID], Table4[Teas], "Not Found", 0)</f>
        <v>2903</v>
      </c>
      <c r="L153" s="16">
        <f>_xlfn.XLOOKUP(CustomerCombinedCleaned[[#This Row],[ID]], Table4[ID], Table4[Fruits], "Not Found", 0)</f>
        <v>0</v>
      </c>
      <c r="M153" s="16">
        <f>_xlfn.XLOOKUP(CustomerCombinedCleaned[[#This Row],[ID]], Table4[ID], Table4[Meats], "Not Found", 0)</f>
        <v>795</v>
      </c>
      <c r="N153" s="16">
        <f>_xlfn.XLOOKUP(CustomerCombinedCleaned[[#This Row],[ID]], Table4[ID], Table4[Seafood], "Not Found", 0)</f>
        <v>102</v>
      </c>
      <c r="O153" s="16">
        <f>_xlfn.XLOOKUP(CustomerCombinedCleaned[[#This Row],[ID]], Table4[ID], Table4[Sweets], "Not Found", 0)</f>
        <v>197</v>
      </c>
      <c r="P153" s="16">
        <f>_xlfn.XLOOKUP(CustomerCombinedCleaned[[#This Row],[ID]], Table4[ID], Table4[Premium], "Not Found", 0)</f>
        <v>38</v>
      </c>
      <c r="Q153" s="16">
        <f>_xlfn.XLOOKUP(CustomerCombinedCleaned[[#This Row],[ID]], Table4[ID], Table4[Regular], "Not Found", 0)</f>
        <v>3960</v>
      </c>
      <c r="R153" s="16">
        <f>_xlfn.XLOOKUP(CustomerCombinedCleaned[[#This Row],[ID]], Table4[ID], Table4[Deals], "Not Found", 0)</f>
        <v>1</v>
      </c>
      <c r="S153" s="16">
        <f>_xlfn.XLOOKUP(CustomerCombinedCleaned[[#This Row],[ID]], Table4[ID], Table4[Website], "Not Found", 0)</f>
        <v>4</v>
      </c>
      <c r="T153" s="16">
        <f>_xlfn.XLOOKUP(CustomerCombinedCleaned[[#This Row],[ID]], Table4[ID], Table4[Catalog], "Not Found", 0)</f>
        <v>3</v>
      </c>
      <c r="U153" s="16">
        <f>_xlfn.XLOOKUP(CustomerCombinedCleaned[[#This Row],[ID]], Table4[ID], Table4[Store], "Not Found", 0)</f>
        <v>10</v>
      </c>
      <c r="V153" s="16">
        <f>_xlfn.XLOOKUP(CustomerCombinedCleaned[[#This Row],[ID]], Table4[ID], Table4[Visits], "Not Found", 0)</f>
        <v>2</v>
      </c>
      <c r="W153" s="16">
        <f>_xlfn.XLOOKUP(CustomerCombinedCleaned[[#This Row],[ID]], Table2[ID],Table2[Complaint], "Not Found", 0 )</f>
        <v>0</v>
      </c>
      <c r="X153" s="16">
        <f>_xlfn.XLOOKUP(CustomerCombinedCleaned[[#This Row],[ID]], Table2[ID],Table2[Pilot], "Not Found", 0 )</f>
        <v>1</v>
      </c>
      <c r="Y153" s="16">
        <f>_xlfn.XLOOKUP(CustomerCombinedCleaned[[#This Row],[ID]], Table2[ID],Table2[MC1], "Not Found", 0 )</f>
        <v>0</v>
      </c>
      <c r="Z153" s="16">
        <f>_xlfn.XLOOKUP(CustomerCombinedCleaned[[#This Row],[ID]], Table2[ID],Table2[MC2], "Not Found", 0 )</f>
        <v>0</v>
      </c>
      <c r="AA153" s="16">
        <f>_xlfn.XLOOKUP(CustomerCombinedCleaned[[#This Row],[ID]], Table2[ID],Table2[MC3], "Not Found", 0 )</f>
        <v>0</v>
      </c>
      <c r="AB153" s="16">
        <f>_xlfn.XLOOKUP(CustomerCombinedCleaned[[#This Row],[ID]], Table2[ID],Table2[MC4], "Not Found", 0 )</f>
        <v>0</v>
      </c>
      <c r="AC153" s="16">
        <f>_xlfn.XLOOKUP(CustomerCombinedCleaned[[#This Row],[ID]], Table2[ID],Table2[MC5], "Not Found", 0 )</f>
        <v>1</v>
      </c>
    </row>
    <row r="154" spans="1:29" x14ac:dyDescent="0.3">
      <c r="A154" s="18">
        <v>2078</v>
      </c>
      <c r="B154" s="16">
        <v>180910</v>
      </c>
      <c r="C154" s="16">
        <v>0</v>
      </c>
      <c r="D154" s="16">
        <v>0</v>
      </c>
      <c r="E154" s="16">
        <v>34</v>
      </c>
      <c r="F154" s="17" t="s">
        <v>7</v>
      </c>
      <c r="G154" s="17" t="s">
        <v>11</v>
      </c>
      <c r="H154" s="3" t="s">
        <v>584</v>
      </c>
      <c r="I154" s="5" t="s">
        <v>438</v>
      </c>
      <c r="J154" s="16">
        <f>_xlfn.XLOOKUP(CustomerCombinedCleaned[[#This Row],[ID]], Table4[ID], Table4[Recency], "Not Found", 0)</f>
        <v>71</v>
      </c>
      <c r="K154" s="16">
        <f>_xlfn.XLOOKUP(CustomerCombinedCleaned[[#This Row],[ID]], Table4[ID], Table4[Teas], "Not Found", 0)</f>
        <v>358</v>
      </c>
      <c r="L154" s="16">
        <f>_xlfn.XLOOKUP(CustomerCombinedCleaned[[#This Row],[ID]], Table4[ID], Table4[Fruits], "Not Found", 0)</f>
        <v>179</v>
      </c>
      <c r="M154" s="16">
        <f>_xlfn.XLOOKUP(CustomerCombinedCleaned[[#This Row],[ID]], Table4[ID], Table4[Meats], "Not Found", 0)</f>
        <v>825</v>
      </c>
      <c r="N154" s="16">
        <f>_xlfn.XLOOKUP(CustomerCombinedCleaned[[#This Row],[ID]], Table4[ID], Table4[Seafood], "Not Found", 0)</f>
        <v>150</v>
      </c>
      <c r="O154" s="16">
        <f>_xlfn.XLOOKUP(CustomerCombinedCleaned[[#This Row],[ID]], Table4[ID], Table4[Sweets], "Not Found", 0)</f>
        <v>87</v>
      </c>
      <c r="P154" s="16">
        <f>_xlfn.XLOOKUP(CustomerCombinedCleaned[[#This Row],[ID]], Table4[ID], Table4[Premium], "Not Found", 0)</f>
        <v>92</v>
      </c>
      <c r="Q154" s="16">
        <f>_xlfn.XLOOKUP(CustomerCombinedCleaned[[#This Row],[ID]], Table4[ID], Table4[Regular], "Not Found", 0)</f>
        <v>1507</v>
      </c>
      <c r="R154" s="16">
        <f>_xlfn.XLOOKUP(CustomerCombinedCleaned[[#This Row],[ID]], Table4[ID], Table4[Deals], "Not Found", 0)</f>
        <v>1</v>
      </c>
      <c r="S154" s="16">
        <f>_xlfn.XLOOKUP(CustomerCombinedCleaned[[#This Row],[ID]], Table4[ID], Table4[Website], "Not Found", 0)</f>
        <v>3</v>
      </c>
      <c r="T154" s="16">
        <f>_xlfn.XLOOKUP(CustomerCombinedCleaned[[#This Row],[ID]], Table4[ID], Table4[Catalog], "Not Found", 0)</f>
        <v>3</v>
      </c>
      <c r="U154" s="16">
        <f>_xlfn.XLOOKUP(CustomerCombinedCleaned[[#This Row],[ID]], Table4[ID], Table4[Store], "Not Found", 0)</f>
        <v>8</v>
      </c>
      <c r="V154" s="16">
        <f>_xlfn.XLOOKUP(CustomerCombinedCleaned[[#This Row],[ID]], Table4[ID], Table4[Visits], "Not Found", 0)</f>
        <v>1</v>
      </c>
      <c r="W154" s="16">
        <f>_xlfn.XLOOKUP(CustomerCombinedCleaned[[#This Row],[ID]], Table2[ID],Table2[Complaint], "Not Found", 0 )</f>
        <v>0</v>
      </c>
      <c r="X154" s="16">
        <f>_xlfn.XLOOKUP(CustomerCombinedCleaned[[#This Row],[ID]], Table2[ID],Table2[Pilot], "Not Found", 0 )</f>
        <v>0</v>
      </c>
      <c r="Y154" s="16">
        <f>_xlfn.XLOOKUP(CustomerCombinedCleaned[[#This Row],[ID]], Table2[ID],Table2[MC1], "Not Found", 0 )</f>
        <v>0</v>
      </c>
      <c r="Z154" s="16">
        <f>_xlfn.XLOOKUP(CustomerCombinedCleaned[[#This Row],[ID]], Table2[ID],Table2[MC2], "Not Found", 0 )</f>
        <v>0</v>
      </c>
      <c r="AA154" s="16">
        <f>_xlfn.XLOOKUP(CustomerCombinedCleaned[[#This Row],[ID]], Table2[ID],Table2[MC3], "Not Found", 0 )</f>
        <v>0</v>
      </c>
      <c r="AB154" s="16">
        <f>_xlfn.XLOOKUP(CustomerCombinedCleaned[[#This Row],[ID]], Table2[ID],Table2[MC4], "Not Found", 0 )</f>
        <v>0</v>
      </c>
      <c r="AC154" s="16">
        <f>_xlfn.XLOOKUP(CustomerCombinedCleaned[[#This Row],[ID]], Table2[ID],Table2[MC5], "Not Found", 0 )</f>
        <v>0</v>
      </c>
    </row>
    <row r="155" spans="1:29" x14ac:dyDescent="0.3">
      <c r="A155" s="18">
        <v>2647</v>
      </c>
      <c r="B155" s="16">
        <v>180141</v>
      </c>
      <c r="C155" s="16">
        <v>0</v>
      </c>
      <c r="D155" s="16">
        <v>0</v>
      </c>
      <c r="E155" s="16">
        <v>34</v>
      </c>
      <c r="F155" s="17" t="s">
        <v>6</v>
      </c>
      <c r="G155" s="17" t="s">
        <v>12</v>
      </c>
      <c r="H155" s="3" t="s">
        <v>329</v>
      </c>
      <c r="I155" s="5" t="s">
        <v>437</v>
      </c>
      <c r="J155" s="16">
        <f>_xlfn.XLOOKUP(CustomerCombinedCleaned[[#This Row],[ID]], Table4[ID], Table4[Recency], "Not Found", 0)</f>
        <v>20</v>
      </c>
      <c r="K155" s="16">
        <f>_xlfn.XLOOKUP(CustomerCombinedCleaned[[#This Row],[ID]], Table4[ID], Table4[Teas], "Not Found", 0)</f>
        <v>2661</v>
      </c>
      <c r="L155" s="16">
        <f>_xlfn.XLOOKUP(CustomerCombinedCleaned[[#This Row],[ID]], Table4[ID], Table4[Fruits], "Not Found", 0)</f>
        <v>229</v>
      </c>
      <c r="M155" s="16">
        <f>_xlfn.XLOOKUP(CustomerCombinedCleaned[[#This Row],[ID]], Table4[ID], Table4[Meats], "Not Found", 0)</f>
        <v>1513</v>
      </c>
      <c r="N155" s="16">
        <f>_xlfn.XLOOKUP(CustomerCombinedCleaned[[#This Row],[ID]], Table4[ID], Table4[Seafood], "Not Found", 0)</f>
        <v>117</v>
      </c>
      <c r="O155" s="16">
        <f>_xlfn.XLOOKUP(CustomerCombinedCleaned[[#This Row],[ID]], Table4[ID], Table4[Sweets], "Not Found", 0)</f>
        <v>90</v>
      </c>
      <c r="P155" s="16">
        <f>_xlfn.XLOOKUP(CustomerCombinedCleaned[[#This Row],[ID]], Table4[ID], Table4[Premium], "Not Found", 0)</f>
        <v>90</v>
      </c>
      <c r="Q155" s="16">
        <f>_xlfn.XLOOKUP(CustomerCombinedCleaned[[#This Row],[ID]], Table4[ID], Table4[Regular], "Not Found", 0)</f>
        <v>4520</v>
      </c>
      <c r="R155" s="16">
        <f>_xlfn.XLOOKUP(CustomerCombinedCleaned[[#This Row],[ID]], Table4[ID], Table4[Deals], "Not Found", 0)</f>
        <v>1</v>
      </c>
      <c r="S155" s="16">
        <f>_xlfn.XLOOKUP(CustomerCombinedCleaned[[#This Row],[ID]], Table4[ID], Table4[Website], "Not Found", 0)</f>
        <v>7</v>
      </c>
      <c r="T155" s="16">
        <f>_xlfn.XLOOKUP(CustomerCombinedCleaned[[#This Row],[ID]], Table4[ID], Table4[Catalog], "Not Found", 0)</f>
        <v>4</v>
      </c>
      <c r="U155" s="16">
        <f>_xlfn.XLOOKUP(CustomerCombinedCleaned[[#This Row],[ID]], Table4[ID], Table4[Store], "Not Found", 0)</f>
        <v>10</v>
      </c>
      <c r="V155" s="16">
        <f>_xlfn.XLOOKUP(CustomerCombinedCleaned[[#This Row],[ID]], Table4[ID], Table4[Visits], "Not Found", 0)</f>
        <v>6</v>
      </c>
      <c r="W155" s="16">
        <f>_xlfn.XLOOKUP(CustomerCombinedCleaned[[#This Row],[ID]], Table2[ID],Table2[Complaint], "Not Found", 0 )</f>
        <v>0</v>
      </c>
      <c r="X155" s="16">
        <f>_xlfn.XLOOKUP(CustomerCombinedCleaned[[#This Row],[ID]], Table2[ID],Table2[Pilot], "Not Found", 0 )</f>
        <v>1</v>
      </c>
      <c r="Y155" s="16">
        <f>_xlfn.XLOOKUP(CustomerCombinedCleaned[[#This Row],[ID]], Table2[ID],Table2[MC1], "Not Found", 0 )</f>
        <v>0</v>
      </c>
      <c r="Z155" s="16">
        <f>_xlfn.XLOOKUP(CustomerCombinedCleaned[[#This Row],[ID]], Table2[ID],Table2[MC2], "Not Found", 0 )</f>
        <v>0</v>
      </c>
      <c r="AA155" s="16">
        <f>_xlfn.XLOOKUP(CustomerCombinedCleaned[[#This Row],[ID]], Table2[ID],Table2[MC3], "Not Found", 0 )</f>
        <v>0</v>
      </c>
      <c r="AB155" s="16">
        <f>_xlfn.XLOOKUP(CustomerCombinedCleaned[[#This Row],[ID]], Table2[ID],Table2[MC4], "Not Found", 0 )</f>
        <v>0</v>
      </c>
      <c r="AC155" s="16">
        <f>_xlfn.XLOOKUP(CustomerCombinedCleaned[[#This Row],[ID]], Table2[ID],Table2[MC5], "Not Found", 0 )</f>
        <v>1</v>
      </c>
    </row>
    <row r="156" spans="1:29" x14ac:dyDescent="0.3">
      <c r="A156" s="18">
        <v>2489</v>
      </c>
      <c r="B156" s="16">
        <v>179529</v>
      </c>
      <c r="C156" s="16">
        <v>0</v>
      </c>
      <c r="D156" s="16">
        <v>0</v>
      </c>
      <c r="E156" s="16">
        <v>34</v>
      </c>
      <c r="F156" s="17" t="s">
        <v>6</v>
      </c>
      <c r="G156" s="17" t="s">
        <v>11</v>
      </c>
      <c r="H156" s="3" t="s">
        <v>609</v>
      </c>
      <c r="I156" s="5" t="s">
        <v>434</v>
      </c>
      <c r="J156" s="16">
        <f>_xlfn.XLOOKUP(CustomerCombinedCleaned[[#This Row],[ID]], Table4[ID], Table4[Recency], "Not Found", 0)</f>
        <v>1</v>
      </c>
      <c r="K156" s="16">
        <f>_xlfn.XLOOKUP(CustomerCombinedCleaned[[#This Row],[ID]], Table4[ID], Table4[Teas], "Not Found", 0)</f>
        <v>955</v>
      </c>
      <c r="L156" s="16">
        <f>_xlfn.XLOOKUP(CustomerCombinedCleaned[[#This Row],[ID]], Table4[ID], Table4[Fruits], "Not Found", 0)</f>
        <v>95</v>
      </c>
      <c r="M156" s="16">
        <f>_xlfn.XLOOKUP(CustomerCombinedCleaned[[#This Row],[ID]], Table4[ID], Table4[Meats], "Not Found", 0)</f>
        <v>1594</v>
      </c>
      <c r="N156" s="16">
        <f>_xlfn.XLOOKUP(CustomerCombinedCleaned[[#This Row],[ID]], Table4[ID], Table4[Seafood], "Not Found", 0)</f>
        <v>165</v>
      </c>
      <c r="O156" s="16">
        <f>_xlfn.XLOOKUP(CustomerCombinedCleaned[[#This Row],[ID]], Table4[ID], Table4[Sweets], "Not Found", 0)</f>
        <v>445</v>
      </c>
      <c r="P156" s="16">
        <f>_xlfn.XLOOKUP(CustomerCombinedCleaned[[#This Row],[ID]], Table4[ID], Table4[Premium], "Not Found", 0)</f>
        <v>445</v>
      </c>
      <c r="Q156" s="16">
        <f>_xlfn.XLOOKUP(CustomerCombinedCleaned[[#This Row],[ID]], Table4[ID], Table4[Regular], "Not Found", 0)</f>
        <v>2808</v>
      </c>
      <c r="R156" s="16">
        <f>_xlfn.XLOOKUP(CustomerCombinedCleaned[[#This Row],[ID]], Table4[ID], Table4[Deals], "Not Found", 0)</f>
        <v>1</v>
      </c>
      <c r="S156" s="16">
        <f>_xlfn.XLOOKUP(CustomerCombinedCleaned[[#This Row],[ID]], Table4[ID], Table4[Website], "Not Found", 0)</f>
        <v>4</v>
      </c>
      <c r="T156" s="16">
        <f>_xlfn.XLOOKUP(CustomerCombinedCleaned[[#This Row],[ID]], Table4[ID], Table4[Catalog], "Not Found", 0)</f>
        <v>8</v>
      </c>
      <c r="U156" s="16">
        <f>_xlfn.XLOOKUP(CustomerCombinedCleaned[[#This Row],[ID]], Table4[ID], Table4[Store], "Not Found", 0)</f>
        <v>9</v>
      </c>
      <c r="V156" s="16">
        <f>_xlfn.XLOOKUP(CustomerCombinedCleaned[[#This Row],[ID]], Table4[ID], Table4[Visits], "Not Found", 0)</f>
        <v>2</v>
      </c>
      <c r="W156" s="16">
        <f>_xlfn.XLOOKUP(CustomerCombinedCleaned[[#This Row],[ID]], Table2[ID],Table2[Complaint], "Not Found", 0 )</f>
        <v>0</v>
      </c>
      <c r="X156" s="16">
        <f>_xlfn.XLOOKUP(CustomerCombinedCleaned[[#This Row],[ID]], Table2[ID],Table2[Pilot], "Not Found", 0 )</f>
        <v>0</v>
      </c>
      <c r="Y156" s="16">
        <f>_xlfn.XLOOKUP(CustomerCombinedCleaned[[#This Row],[ID]], Table2[ID],Table2[MC1], "Not Found", 0 )</f>
        <v>0</v>
      </c>
      <c r="Z156" s="16">
        <f>_xlfn.XLOOKUP(CustomerCombinedCleaned[[#This Row],[ID]], Table2[ID],Table2[MC2], "Not Found", 0 )</f>
        <v>0</v>
      </c>
      <c r="AA156" s="16">
        <f>_xlfn.XLOOKUP(CustomerCombinedCleaned[[#This Row],[ID]], Table2[ID],Table2[MC3], "Not Found", 0 )</f>
        <v>0</v>
      </c>
      <c r="AB156" s="16">
        <f>_xlfn.XLOOKUP(CustomerCombinedCleaned[[#This Row],[ID]], Table2[ID],Table2[MC4], "Not Found", 0 )</f>
        <v>0</v>
      </c>
      <c r="AC156" s="16">
        <f>_xlfn.XLOOKUP(CustomerCombinedCleaned[[#This Row],[ID]], Table2[ID],Table2[MC5], "Not Found", 0 )</f>
        <v>0</v>
      </c>
    </row>
    <row r="157" spans="1:29" x14ac:dyDescent="0.3">
      <c r="A157" s="18">
        <v>2802</v>
      </c>
      <c r="B157" s="16">
        <v>178394</v>
      </c>
      <c r="C157" s="16">
        <v>0</v>
      </c>
      <c r="D157" s="16">
        <v>0</v>
      </c>
      <c r="E157" s="16">
        <v>34</v>
      </c>
      <c r="F157" s="17" t="s">
        <v>8</v>
      </c>
      <c r="G157" s="17" t="s">
        <v>11</v>
      </c>
      <c r="H157" s="3" t="s">
        <v>308</v>
      </c>
      <c r="I157" s="5" t="s">
        <v>436</v>
      </c>
      <c r="J157" s="16">
        <f>_xlfn.XLOOKUP(CustomerCombinedCleaned[[#This Row],[ID]], Table4[ID], Table4[Recency], "Not Found", 0)</f>
        <v>13</v>
      </c>
      <c r="K157" s="16">
        <f>_xlfn.XLOOKUP(CustomerCombinedCleaned[[#This Row],[ID]], Table4[ID], Table4[Teas], "Not Found", 0)</f>
        <v>678</v>
      </c>
      <c r="L157" s="16">
        <f>_xlfn.XLOOKUP(CustomerCombinedCleaned[[#This Row],[ID]], Table4[ID], Table4[Fruits], "Not Found", 0)</f>
        <v>61</v>
      </c>
      <c r="M157" s="16">
        <f>_xlfn.XLOOKUP(CustomerCombinedCleaned[[#This Row],[ID]], Table4[ID], Table4[Meats], "Not Found", 0)</f>
        <v>1586</v>
      </c>
      <c r="N157" s="16">
        <f>_xlfn.XLOOKUP(CustomerCombinedCleaned[[#This Row],[ID]], Table4[ID], Table4[Seafood], "Not Found", 0)</f>
        <v>492</v>
      </c>
      <c r="O157" s="16">
        <f>_xlfn.XLOOKUP(CustomerCombinedCleaned[[#This Row],[ID]], Table4[ID], Table4[Sweets], "Not Found", 0)</f>
        <v>55</v>
      </c>
      <c r="P157" s="16">
        <f>_xlfn.XLOOKUP(CustomerCombinedCleaned[[#This Row],[ID]], Table4[ID], Table4[Premium], "Not Found", 0)</f>
        <v>378</v>
      </c>
      <c r="Q157" s="16">
        <f>_xlfn.XLOOKUP(CustomerCombinedCleaned[[#This Row],[ID]], Table4[ID], Table4[Regular], "Not Found", 0)</f>
        <v>2494</v>
      </c>
      <c r="R157" s="16">
        <f>_xlfn.XLOOKUP(CustomerCombinedCleaned[[#This Row],[ID]], Table4[ID], Table4[Deals], "Not Found", 0)</f>
        <v>1</v>
      </c>
      <c r="S157" s="16">
        <f>_xlfn.XLOOKUP(CustomerCombinedCleaned[[#This Row],[ID]], Table4[ID], Table4[Website], "Not Found", 0)</f>
        <v>4</v>
      </c>
      <c r="T157" s="16">
        <f>_xlfn.XLOOKUP(CustomerCombinedCleaned[[#This Row],[ID]], Table4[ID], Table4[Catalog], "Not Found", 0)</f>
        <v>6</v>
      </c>
      <c r="U157" s="16">
        <f>_xlfn.XLOOKUP(CustomerCombinedCleaned[[#This Row],[ID]], Table4[ID], Table4[Store], "Not Found", 0)</f>
        <v>5</v>
      </c>
      <c r="V157" s="16">
        <f>_xlfn.XLOOKUP(CustomerCombinedCleaned[[#This Row],[ID]], Table4[ID], Table4[Visits], "Not Found", 0)</f>
        <v>2</v>
      </c>
      <c r="W157" s="16">
        <f>_xlfn.XLOOKUP(CustomerCombinedCleaned[[#This Row],[ID]], Table2[ID],Table2[Complaint], "Not Found", 0 )</f>
        <v>0</v>
      </c>
      <c r="X157" s="16">
        <f>_xlfn.XLOOKUP(CustomerCombinedCleaned[[#This Row],[ID]], Table2[ID],Table2[Pilot], "Not Found", 0 )</f>
        <v>1</v>
      </c>
      <c r="Y157" s="16">
        <f>_xlfn.XLOOKUP(CustomerCombinedCleaned[[#This Row],[ID]], Table2[ID],Table2[MC1], "Not Found", 0 )</f>
        <v>0</v>
      </c>
      <c r="Z157" s="16">
        <f>_xlfn.XLOOKUP(CustomerCombinedCleaned[[#This Row],[ID]], Table2[ID],Table2[MC2], "Not Found", 0 )</f>
        <v>0</v>
      </c>
      <c r="AA157" s="16">
        <f>_xlfn.XLOOKUP(CustomerCombinedCleaned[[#This Row],[ID]], Table2[ID],Table2[MC3], "Not Found", 0 )</f>
        <v>0</v>
      </c>
      <c r="AB157" s="16">
        <f>_xlfn.XLOOKUP(CustomerCombinedCleaned[[#This Row],[ID]], Table2[ID],Table2[MC4], "Not Found", 0 )</f>
        <v>0</v>
      </c>
      <c r="AC157" s="16">
        <f>_xlfn.XLOOKUP(CustomerCombinedCleaned[[#This Row],[ID]], Table2[ID],Table2[MC5], "Not Found", 0 )</f>
        <v>0</v>
      </c>
    </row>
    <row r="158" spans="1:29" x14ac:dyDescent="0.3">
      <c r="A158" s="18">
        <v>1335</v>
      </c>
      <c r="B158" s="16">
        <v>171952</v>
      </c>
      <c r="C158" s="16">
        <v>1</v>
      </c>
      <c r="D158" s="16">
        <v>0</v>
      </c>
      <c r="E158" s="16">
        <v>34</v>
      </c>
      <c r="F158" s="17" t="s">
        <v>6</v>
      </c>
      <c r="G158" s="17" t="s">
        <v>11</v>
      </c>
      <c r="H158" s="3" t="s">
        <v>330</v>
      </c>
      <c r="I158" s="5" t="s">
        <v>435</v>
      </c>
      <c r="J158" s="16">
        <f>_xlfn.XLOOKUP(CustomerCombinedCleaned[[#This Row],[ID]], Table4[ID], Table4[Recency], "Not Found", 0)</f>
        <v>93</v>
      </c>
      <c r="K158" s="16">
        <f>_xlfn.XLOOKUP(CustomerCombinedCleaned[[#This Row],[ID]], Table4[ID], Table4[Teas], "Not Found", 0)</f>
        <v>1568</v>
      </c>
      <c r="L158" s="16">
        <f>_xlfn.XLOOKUP(CustomerCombinedCleaned[[#This Row],[ID]], Table4[ID], Table4[Fruits], "Not Found", 0)</f>
        <v>191</v>
      </c>
      <c r="M158" s="16">
        <f>_xlfn.XLOOKUP(CustomerCombinedCleaned[[#This Row],[ID]], Table4[ID], Table4[Meats], "Not Found", 0)</f>
        <v>1087</v>
      </c>
      <c r="N158" s="16">
        <f>_xlfn.XLOOKUP(CustomerCombinedCleaned[[#This Row],[ID]], Table4[ID], Table4[Seafood], "Not Found", 0)</f>
        <v>124</v>
      </c>
      <c r="O158" s="16">
        <f>_xlfn.XLOOKUP(CustomerCombinedCleaned[[#This Row],[ID]], Table4[ID], Table4[Sweets], "Not Found", 0)</f>
        <v>256</v>
      </c>
      <c r="P158" s="16">
        <f>_xlfn.XLOOKUP(CustomerCombinedCleaned[[#This Row],[ID]], Table4[ID], Table4[Premium], "Not Found", 0)</f>
        <v>222</v>
      </c>
      <c r="Q158" s="16">
        <f>_xlfn.XLOOKUP(CustomerCombinedCleaned[[#This Row],[ID]], Table4[ID], Table4[Regular], "Not Found", 0)</f>
        <v>3004</v>
      </c>
      <c r="R158" s="16">
        <f>_xlfn.XLOOKUP(CustomerCombinedCleaned[[#This Row],[ID]], Table4[ID], Table4[Deals], "Not Found", 0)</f>
        <v>2</v>
      </c>
      <c r="S158" s="16">
        <f>_xlfn.XLOOKUP(CustomerCombinedCleaned[[#This Row],[ID]], Table4[ID], Table4[Website], "Not Found", 0)</f>
        <v>8</v>
      </c>
      <c r="T158" s="16">
        <f>_xlfn.XLOOKUP(CustomerCombinedCleaned[[#This Row],[ID]], Table4[ID], Table4[Catalog], "Not Found", 0)</f>
        <v>4</v>
      </c>
      <c r="U158" s="16">
        <f>_xlfn.XLOOKUP(CustomerCombinedCleaned[[#This Row],[ID]], Table4[ID], Table4[Store], "Not Found", 0)</f>
        <v>8</v>
      </c>
      <c r="V158" s="16">
        <f>_xlfn.XLOOKUP(CustomerCombinedCleaned[[#This Row],[ID]], Table4[ID], Table4[Visits], "Not Found", 0)</f>
        <v>4</v>
      </c>
      <c r="W158" s="16">
        <f>_xlfn.XLOOKUP(CustomerCombinedCleaned[[#This Row],[ID]], Table2[ID],Table2[Complaint], "Not Found", 0 )</f>
        <v>0</v>
      </c>
      <c r="X158" s="16">
        <f>_xlfn.XLOOKUP(CustomerCombinedCleaned[[#This Row],[ID]], Table2[ID],Table2[Pilot], "Not Found", 0 )</f>
        <v>0</v>
      </c>
      <c r="Y158" s="16">
        <f>_xlfn.XLOOKUP(CustomerCombinedCleaned[[#This Row],[ID]], Table2[ID],Table2[MC1], "Not Found", 0 )</f>
        <v>0</v>
      </c>
      <c r="Z158" s="16">
        <f>_xlfn.XLOOKUP(CustomerCombinedCleaned[[#This Row],[ID]], Table2[ID],Table2[MC2], "Not Found", 0 )</f>
        <v>0</v>
      </c>
      <c r="AA158" s="16">
        <f>_xlfn.XLOOKUP(CustomerCombinedCleaned[[#This Row],[ID]], Table2[ID],Table2[MC3], "Not Found", 0 )</f>
        <v>1</v>
      </c>
      <c r="AB158" s="16">
        <f>_xlfn.XLOOKUP(CustomerCombinedCleaned[[#This Row],[ID]], Table2[ID],Table2[MC4], "Not Found", 0 )</f>
        <v>0</v>
      </c>
      <c r="AC158" s="16">
        <f>_xlfn.XLOOKUP(CustomerCombinedCleaned[[#This Row],[ID]], Table2[ID],Table2[MC5], "Not Found", 0 )</f>
        <v>1</v>
      </c>
    </row>
    <row r="159" spans="1:29" x14ac:dyDescent="0.3">
      <c r="A159" s="18">
        <v>1686</v>
      </c>
      <c r="B159" s="16">
        <v>171952</v>
      </c>
      <c r="C159" s="16">
        <v>1</v>
      </c>
      <c r="D159" s="16">
        <v>0</v>
      </c>
      <c r="E159" s="16">
        <v>34</v>
      </c>
      <c r="F159" s="17" t="s">
        <v>6</v>
      </c>
      <c r="G159" s="17" t="s">
        <v>11</v>
      </c>
      <c r="H159" s="3" t="s">
        <v>330</v>
      </c>
      <c r="I159" s="5" t="s">
        <v>436</v>
      </c>
      <c r="J159" s="16">
        <f>_xlfn.XLOOKUP(CustomerCombinedCleaned[[#This Row],[ID]], Table4[ID], Table4[Recency], "Not Found", 0)</f>
        <v>93</v>
      </c>
      <c r="K159" s="16">
        <f>_xlfn.XLOOKUP(CustomerCombinedCleaned[[#This Row],[ID]], Table4[ID], Table4[Teas], "Not Found", 0)</f>
        <v>1568</v>
      </c>
      <c r="L159" s="16">
        <f>_xlfn.XLOOKUP(CustomerCombinedCleaned[[#This Row],[ID]], Table4[ID], Table4[Fruits], "Not Found", 0)</f>
        <v>191</v>
      </c>
      <c r="M159" s="16">
        <f>_xlfn.XLOOKUP(CustomerCombinedCleaned[[#This Row],[ID]], Table4[ID], Table4[Meats], "Not Found", 0)</f>
        <v>1087</v>
      </c>
      <c r="N159" s="16">
        <f>_xlfn.XLOOKUP(CustomerCombinedCleaned[[#This Row],[ID]], Table4[ID], Table4[Seafood], "Not Found", 0)</f>
        <v>124</v>
      </c>
      <c r="O159" s="16">
        <f>_xlfn.XLOOKUP(CustomerCombinedCleaned[[#This Row],[ID]], Table4[ID], Table4[Sweets], "Not Found", 0)</f>
        <v>256</v>
      </c>
      <c r="P159" s="16">
        <f>_xlfn.XLOOKUP(CustomerCombinedCleaned[[#This Row],[ID]], Table4[ID], Table4[Premium], "Not Found", 0)</f>
        <v>222</v>
      </c>
      <c r="Q159" s="16">
        <f>_xlfn.XLOOKUP(CustomerCombinedCleaned[[#This Row],[ID]], Table4[ID], Table4[Regular], "Not Found", 0)</f>
        <v>3004</v>
      </c>
      <c r="R159" s="16">
        <f>_xlfn.XLOOKUP(CustomerCombinedCleaned[[#This Row],[ID]], Table4[ID], Table4[Deals], "Not Found", 0)</f>
        <v>2</v>
      </c>
      <c r="S159" s="16">
        <f>_xlfn.XLOOKUP(CustomerCombinedCleaned[[#This Row],[ID]], Table4[ID], Table4[Website], "Not Found", 0)</f>
        <v>8</v>
      </c>
      <c r="T159" s="16">
        <f>_xlfn.XLOOKUP(CustomerCombinedCleaned[[#This Row],[ID]], Table4[ID], Table4[Catalog], "Not Found", 0)</f>
        <v>4</v>
      </c>
      <c r="U159" s="16">
        <f>_xlfn.XLOOKUP(CustomerCombinedCleaned[[#This Row],[ID]], Table4[ID], Table4[Store], "Not Found", 0)</f>
        <v>8</v>
      </c>
      <c r="V159" s="16">
        <f>_xlfn.XLOOKUP(CustomerCombinedCleaned[[#This Row],[ID]], Table4[ID], Table4[Visits], "Not Found", 0)</f>
        <v>4</v>
      </c>
      <c r="W159" s="16">
        <f>_xlfn.XLOOKUP(CustomerCombinedCleaned[[#This Row],[ID]], Table2[ID],Table2[Complaint], "Not Found", 0 )</f>
        <v>0</v>
      </c>
      <c r="X159" s="16">
        <f>_xlfn.XLOOKUP(CustomerCombinedCleaned[[#This Row],[ID]], Table2[ID],Table2[Pilot], "Not Found", 0 )</f>
        <v>0</v>
      </c>
      <c r="Y159" s="16">
        <f>_xlfn.XLOOKUP(CustomerCombinedCleaned[[#This Row],[ID]], Table2[ID],Table2[MC1], "Not Found", 0 )</f>
        <v>0</v>
      </c>
      <c r="Z159" s="16">
        <f>_xlfn.XLOOKUP(CustomerCombinedCleaned[[#This Row],[ID]], Table2[ID],Table2[MC2], "Not Found", 0 )</f>
        <v>0</v>
      </c>
      <c r="AA159" s="16">
        <f>_xlfn.XLOOKUP(CustomerCombinedCleaned[[#This Row],[ID]], Table2[ID],Table2[MC3], "Not Found", 0 )</f>
        <v>1</v>
      </c>
      <c r="AB159" s="16">
        <f>_xlfn.XLOOKUP(CustomerCombinedCleaned[[#This Row],[ID]], Table2[ID],Table2[MC4], "Not Found", 0 )</f>
        <v>0</v>
      </c>
      <c r="AC159" s="16">
        <f>_xlfn.XLOOKUP(CustomerCombinedCleaned[[#This Row],[ID]], Table2[ID],Table2[MC5], "Not Found", 0 )</f>
        <v>1</v>
      </c>
    </row>
    <row r="160" spans="1:29" x14ac:dyDescent="0.3">
      <c r="A160" s="18">
        <v>1265</v>
      </c>
      <c r="B160" s="16">
        <v>169867</v>
      </c>
      <c r="C160" s="16">
        <v>0</v>
      </c>
      <c r="D160" s="16">
        <v>0</v>
      </c>
      <c r="E160" s="16">
        <v>34</v>
      </c>
      <c r="F160" s="17" t="s">
        <v>7</v>
      </c>
      <c r="G160" s="17" t="s">
        <v>13</v>
      </c>
      <c r="H160" s="3" t="s">
        <v>669</v>
      </c>
      <c r="I160" s="5" t="s">
        <v>434</v>
      </c>
      <c r="J160" s="16">
        <f>_xlfn.XLOOKUP(CustomerCombinedCleaned[[#This Row],[ID]], Table4[ID], Table4[Recency], "Not Found", 0)</f>
        <v>30</v>
      </c>
      <c r="K160" s="16">
        <f>_xlfn.XLOOKUP(CustomerCombinedCleaned[[#This Row],[ID]], Table4[ID], Table4[Teas], "Not Found", 0)</f>
        <v>477</v>
      </c>
      <c r="L160" s="16">
        <f>_xlfn.XLOOKUP(CustomerCombinedCleaned[[#This Row],[ID]], Table4[ID], Table4[Fruits], "Not Found", 0)</f>
        <v>0</v>
      </c>
      <c r="M160" s="16">
        <f>_xlfn.XLOOKUP(CustomerCombinedCleaned[[#This Row],[ID]], Table4[ID], Table4[Meats], "Not Found", 0)</f>
        <v>1245</v>
      </c>
      <c r="N160" s="16">
        <f>_xlfn.XLOOKUP(CustomerCombinedCleaned[[#This Row],[ID]], Table4[ID], Table4[Seafood], "Not Found", 0)</f>
        <v>80</v>
      </c>
      <c r="O160" s="16">
        <f>_xlfn.XLOOKUP(CustomerCombinedCleaned[[#This Row],[ID]], Table4[ID], Table4[Sweets], "Not Found", 0)</f>
        <v>316</v>
      </c>
      <c r="P160" s="16">
        <f>_xlfn.XLOOKUP(CustomerCombinedCleaned[[#This Row],[ID]], Table4[ID], Table4[Premium], "Not Found", 0)</f>
        <v>131</v>
      </c>
      <c r="Q160" s="16">
        <f>_xlfn.XLOOKUP(CustomerCombinedCleaned[[#This Row],[ID]], Table4[ID], Table4[Regular], "Not Found", 0)</f>
        <v>1986</v>
      </c>
      <c r="R160" s="16">
        <f>_xlfn.XLOOKUP(CustomerCombinedCleaned[[#This Row],[ID]], Table4[ID], Table4[Deals], "Not Found", 0)</f>
        <v>1</v>
      </c>
      <c r="S160" s="16">
        <f>_xlfn.XLOOKUP(CustomerCombinedCleaned[[#This Row],[ID]], Table4[ID], Table4[Website], "Not Found", 0)</f>
        <v>3</v>
      </c>
      <c r="T160" s="16">
        <f>_xlfn.XLOOKUP(CustomerCombinedCleaned[[#This Row],[ID]], Table4[ID], Table4[Catalog], "Not Found", 0)</f>
        <v>5</v>
      </c>
      <c r="U160" s="16">
        <f>_xlfn.XLOOKUP(CustomerCombinedCleaned[[#This Row],[ID]], Table4[ID], Table4[Store], "Not Found", 0)</f>
        <v>8</v>
      </c>
      <c r="V160" s="16">
        <f>_xlfn.XLOOKUP(CustomerCombinedCleaned[[#This Row],[ID]], Table4[ID], Table4[Visits], "Not Found", 0)</f>
        <v>1</v>
      </c>
      <c r="W160" s="16">
        <f>_xlfn.XLOOKUP(CustomerCombinedCleaned[[#This Row],[ID]], Table2[ID],Table2[Complaint], "Not Found", 0 )</f>
        <v>0</v>
      </c>
      <c r="X160" s="16">
        <f>_xlfn.XLOOKUP(CustomerCombinedCleaned[[#This Row],[ID]], Table2[ID],Table2[Pilot], "Not Found", 0 )</f>
        <v>1</v>
      </c>
      <c r="Y160" s="16">
        <f>_xlfn.XLOOKUP(CustomerCombinedCleaned[[#This Row],[ID]], Table2[ID],Table2[MC1], "Not Found", 0 )</f>
        <v>1</v>
      </c>
      <c r="Z160" s="16">
        <f>_xlfn.XLOOKUP(CustomerCombinedCleaned[[#This Row],[ID]], Table2[ID],Table2[MC2], "Not Found", 0 )</f>
        <v>0</v>
      </c>
      <c r="AA160" s="16">
        <f>_xlfn.XLOOKUP(CustomerCombinedCleaned[[#This Row],[ID]], Table2[ID],Table2[MC3], "Not Found", 0 )</f>
        <v>0</v>
      </c>
      <c r="AB160" s="16">
        <f>_xlfn.XLOOKUP(CustomerCombinedCleaned[[#This Row],[ID]], Table2[ID],Table2[MC4], "Not Found", 0 )</f>
        <v>0</v>
      </c>
      <c r="AC160" s="16">
        <f>_xlfn.XLOOKUP(CustomerCombinedCleaned[[#This Row],[ID]], Table2[ID],Table2[MC5], "Not Found", 0 )</f>
        <v>0</v>
      </c>
    </row>
    <row r="161" spans="1:29" x14ac:dyDescent="0.3">
      <c r="A161" s="18">
        <v>3214</v>
      </c>
      <c r="B161" s="16">
        <v>162868</v>
      </c>
      <c r="C161" s="16">
        <v>0</v>
      </c>
      <c r="D161" s="16">
        <v>0</v>
      </c>
      <c r="E161" s="16">
        <v>34</v>
      </c>
      <c r="F161" s="17" t="s">
        <v>7</v>
      </c>
      <c r="G161" s="17" t="s">
        <v>11</v>
      </c>
      <c r="H161" s="3" t="s">
        <v>411</v>
      </c>
      <c r="I161" s="5" t="s">
        <v>439</v>
      </c>
      <c r="J161" s="16">
        <f>_xlfn.XLOOKUP(CustomerCombinedCleaned[[#This Row],[ID]], Table4[ID], Table4[Recency], "Not Found", 0)</f>
        <v>50</v>
      </c>
      <c r="K161" s="16">
        <f>_xlfn.XLOOKUP(CustomerCombinedCleaned[[#This Row],[ID]], Table4[ID], Table4[Teas], "Not Found", 0)</f>
        <v>13</v>
      </c>
      <c r="L161" s="16">
        <f>_xlfn.XLOOKUP(CustomerCombinedCleaned[[#This Row],[ID]], Table4[ID], Table4[Fruits], "Not Found", 0)</f>
        <v>3</v>
      </c>
      <c r="M161" s="16">
        <f>_xlfn.XLOOKUP(CustomerCombinedCleaned[[#This Row],[ID]], Table4[ID], Table4[Meats], "Not Found", 0)</f>
        <v>16</v>
      </c>
      <c r="N161" s="16">
        <f>_xlfn.XLOOKUP(CustomerCombinedCleaned[[#This Row],[ID]], Table4[ID], Table4[Seafood], "Not Found", 0)</f>
        <v>8</v>
      </c>
      <c r="O161" s="16">
        <v>10</v>
      </c>
      <c r="P161" s="16">
        <f>_xlfn.XLOOKUP(CustomerCombinedCleaned[[#This Row],[ID]], Table4[ID], Table4[Premium], "Not Found", 0)</f>
        <v>8</v>
      </c>
      <c r="Q161" s="16">
        <f>_xlfn.XLOOKUP(CustomerCombinedCleaned[[#This Row],[ID]], Table4[ID], Table4[Regular], "Not Found", 0)</f>
        <v>41</v>
      </c>
      <c r="R161" s="16">
        <f>_xlfn.XLOOKUP(CustomerCombinedCleaned[[#This Row],[ID]], Table4[ID], Table4[Deals], "Not Found", 0)</f>
        <v>1</v>
      </c>
      <c r="S161" s="16">
        <f>_xlfn.XLOOKUP(CustomerCombinedCleaned[[#This Row],[ID]], Table4[ID], Table4[Website], "Not Found", 0)</f>
        <v>0</v>
      </c>
      <c r="T161" s="16">
        <f>_xlfn.XLOOKUP(CustomerCombinedCleaned[[#This Row],[ID]], Table4[ID], Table4[Catalog], "Not Found", 0)</f>
        <v>0</v>
      </c>
      <c r="U161" s="16">
        <f>_xlfn.XLOOKUP(CustomerCombinedCleaned[[#This Row],[ID]], Table4[ID], Table4[Store], "Not Found", 0)</f>
        <v>3</v>
      </c>
      <c r="V161" s="16">
        <f>_xlfn.XLOOKUP(CustomerCombinedCleaned[[#This Row],[ID]], Table4[ID], Table4[Visits], "Not Found", 0)</f>
        <v>4</v>
      </c>
      <c r="W161" s="16">
        <f>_xlfn.XLOOKUP(CustomerCombinedCleaned[[#This Row],[ID]], Table2[ID],Table2[Complaint], "Not Found", 0 )</f>
        <v>0</v>
      </c>
      <c r="X161" s="16">
        <f>_xlfn.XLOOKUP(CustomerCombinedCleaned[[#This Row],[ID]], Table2[ID],Table2[Pilot], "Not Found", 0 )</f>
        <v>0</v>
      </c>
      <c r="Y161" s="16">
        <f>_xlfn.XLOOKUP(CustomerCombinedCleaned[[#This Row],[ID]], Table2[ID],Table2[MC1], "Not Found", 0 )</f>
        <v>0</v>
      </c>
      <c r="Z161" s="16">
        <f>_xlfn.XLOOKUP(CustomerCombinedCleaned[[#This Row],[ID]], Table2[ID],Table2[MC2], "Not Found", 0 )</f>
        <v>0</v>
      </c>
      <c r="AA161" s="16">
        <f>_xlfn.XLOOKUP(CustomerCombinedCleaned[[#This Row],[ID]], Table2[ID],Table2[MC3], "Not Found", 0 )</f>
        <v>0</v>
      </c>
      <c r="AB161" s="16">
        <f>_xlfn.XLOOKUP(CustomerCombinedCleaned[[#This Row],[ID]], Table2[ID],Table2[MC4], "Not Found", 0 )</f>
        <v>0</v>
      </c>
      <c r="AC161" s="16">
        <f>_xlfn.XLOOKUP(CustomerCombinedCleaned[[#This Row],[ID]], Table2[ID],Table2[MC5], "Not Found", 0 )</f>
        <v>0</v>
      </c>
    </row>
    <row r="162" spans="1:29" x14ac:dyDescent="0.3">
      <c r="A162" s="18">
        <v>1890</v>
      </c>
      <c r="B162" s="16">
        <v>145921</v>
      </c>
      <c r="C162" s="16">
        <v>0</v>
      </c>
      <c r="D162" s="16">
        <v>0</v>
      </c>
      <c r="E162" s="16">
        <v>34</v>
      </c>
      <c r="F162" s="17" t="s">
        <v>6</v>
      </c>
      <c r="G162" s="17" t="s">
        <v>13</v>
      </c>
      <c r="H162" s="3" t="s">
        <v>89</v>
      </c>
      <c r="I162" s="5" t="s">
        <v>436</v>
      </c>
      <c r="J162" s="16">
        <f>_xlfn.XLOOKUP(CustomerCombinedCleaned[[#This Row],[ID]], Table4[ID], Table4[Recency], "Not Found", 0)</f>
        <v>23</v>
      </c>
      <c r="K162" s="16">
        <f>_xlfn.XLOOKUP(CustomerCombinedCleaned[[#This Row],[ID]], Table4[ID], Table4[Teas], "Not Found", 0)</f>
        <v>324</v>
      </c>
      <c r="L162" s="16">
        <f>_xlfn.XLOOKUP(CustomerCombinedCleaned[[#This Row],[ID]], Table4[ID], Table4[Fruits], "Not Found", 0)</f>
        <v>29</v>
      </c>
      <c r="M162" s="16">
        <f>_xlfn.XLOOKUP(CustomerCombinedCleaned[[#This Row],[ID]], Table4[ID], Table4[Meats], "Not Found", 0)</f>
        <v>156</v>
      </c>
      <c r="N162" s="16">
        <f>_xlfn.XLOOKUP(CustomerCombinedCleaned[[#This Row],[ID]], Table4[ID], Table4[Seafood], "Not Found", 0)</f>
        <v>76</v>
      </c>
      <c r="O162" s="16">
        <f>_xlfn.XLOOKUP(CustomerCombinedCleaned[[#This Row],[ID]], Table4[ID], Table4[Sweets], "Not Found", 0)</f>
        <v>10</v>
      </c>
      <c r="P162" s="16">
        <f>_xlfn.XLOOKUP(CustomerCombinedCleaned[[#This Row],[ID]], Table4[ID], Table4[Premium], "Not Found", 0)</f>
        <v>38</v>
      </c>
      <c r="Q162" s="16">
        <f>_xlfn.XLOOKUP(CustomerCombinedCleaned[[#This Row],[ID]], Table4[ID], Table4[Regular], "Not Found", 0)</f>
        <v>556</v>
      </c>
      <c r="R162" s="16">
        <f>_xlfn.XLOOKUP(CustomerCombinedCleaned[[#This Row],[ID]], Table4[ID], Table4[Deals], "Not Found", 0)</f>
        <v>1</v>
      </c>
      <c r="S162" s="16">
        <f>_xlfn.XLOOKUP(CustomerCombinedCleaned[[#This Row],[ID]], Table4[ID], Table4[Website], "Not Found", 0)</f>
        <v>2</v>
      </c>
      <c r="T162" s="16">
        <f>_xlfn.XLOOKUP(CustomerCombinedCleaned[[#This Row],[ID]], Table4[ID], Table4[Catalog], "Not Found", 0)</f>
        <v>1</v>
      </c>
      <c r="U162" s="16">
        <f>_xlfn.XLOOKUP(CustomerCombinedCleaned[[#This Row],[ID]], Table4[ID], Table4[Store], "Not Found", 0)</f>
        <v>6</v>
      </c>
      <c r="V162" s="16">
        <f>_xlfn.XLOOKUP(CustomerCombinedCleaned[[#This Row],[ID]], Table4[ID], Table4[Visits], "Not Found", 0)</f>
        <v>4</v>
      </c>
      <c r="W162" s="16">
        <f>_xlfn.XLOOKUP(CustomerCombinedCleaned[[#This Row],[ID]], Table2[ID],Table2[Complaint], "Not Found", 0 )</f>
        <v>0</v>
      </c>
      <c r="X162" s="16">
        <f>_xlfn.XLOOKUP(CustomerCombinedCleaned[[#This Row],[ID]], Table2[ID],Table2[Pilot], "Not Found", 0 )</f>
        <v>0</v>
      </c>
      <c r="Y162" s="16">
        <f>_xlfn.XLOOKUP(CustomerCombinedCleaned[[#This Row],[ID]], Table2[ID],Table2[MC1], "Not Found", 0 )</f>
        <v>0</v>
      </c>
      <c r="Z162" s="16">
        <f>_xlfn.XLOOKUP(CustomerCombinedCleaned[[#This Row],[ID]], Table2[ID],Table2[MC2], "Not Found", 0 )</f>
        <v>0</v>
      </c>
      <c r="AA162" s="16">
        <f>_xlfn.XLOOKUP(CustomerCombinedCleaned[[#This Row],[ID]], Table2[ID],Table2[MC3], "Not Found", 0 )</f>
        <v>0</v>
      </c>
      <c r="AB162" s="16">
        <f>_xlfn.XLOOKUP(CustomerCombinedCleaned[[#This Row],[ID]], Table2[ID],Table2[MC4], "Not Found", 0 )</f>
        <v>0</v>
      </c>
      <c r="AC162" s="16">
        <f>_xlfn.XLOOKUP(CustomerCombinedCleaned[[#This Row],[ID]], Table2[ID],Table2[MC5], "Not Found", 0 )</f>
        <v>0</v>
      </c>
    </row>
    <row r="163" spans="1:29" x14ac:dyDescent="0.3">
      <c r="A163" s="18">
        <v>1284</v>
      </c>
      <c r="B163" s="16">
        <v>142386</v>
      </c>
      <c r="C163" s="16">
        <v>1</v>
      </c>
      <c r="D163" s="16">
        <v>0</v>
      </c>
      <c r="E163" s="16">
        <v>34</v>
      </c>
      <c r="F163" s="17" t="s">
        <v>8</v>
      </c>
      <c r="G163" s="17" t="s">
        <v>12</v>
      </c>
      <c r="H163" s="3" t="s">
        <v>327</v>
      </c>
      <c r="I163" s="5" t="s">
        <v>436</v>
      </c>
      <c r="J163" s="16">
        <f>_xlfn.XLOOKUP(CustomerCombinedCleaned[[#This Row],[ID]], Table4[ID], Table4[Recency], "Not Found", 0)</f>
        <v>43</v>
      </c>
      <c r="K163" s="16">
        <f>_xlfn.XLOOKUP(CustomerCombinedCleaned[[#This Row],[ID]], Table4[ID], Table4[Teas], "Not Found", 0)</f>
        <v>218</v>
      </c>
      <c r="L163" s="16">
        <f>_xlfn.XLOOKUP(CustomerCombinedCleaned[[#This Row],[ID]], Table4[ID], Table4[Fruits], "Not Found", 0)</f>
        <v>13</v>
      </c>
      <c r="M163" s="16">
        <f>_xlfn.XLOOKUP(CustomerCombinedCleaned[[#This Row],[ID]], Table4[ID], Table4[Meats], "Not Found", 0)</f>
        <v>54</v>
      </c>
      <c r="N163" s="16">
        <f>_xlfn.XLOOKUP(CustomerCombinedCleaned[[#This Row],[ID]], Table4[ID], Table4[Seafood], "Not Found", 0)</f>
        <v>0</v>
      </c>
      <c r="O163" s="16">
        <f>_xlfn.XLOOKUP(CustomerCombinedCleaned[[#This Row],[ID]], Table4[ID], Table4[Sweets], "Not Found", 0)</f>
        <v>13</v>
      </c>
      <c r="P163" s="16">
        <f>_xlfn.XLOOKUP(CustomerCombinedCleaned[[#This Row],[ID]], Table4[ID], Table4[Premium], "Not Found", 0)</f>
        <v>37</v>
      </c>
      <c r="Q163" s="16">
        <f>_xlfn.XLOOKUP(CustomerCombinedCleaned[[#This Row],[ID]], Table4[ID], Table4[Regular], "Not Found", 0)</f>
        <v>262</v>
      </c>
      <c r="R163" s="16">
        <f>_xlfn.XLOOKUP(CustomerCombinedCleaned[[#This Row],[ID]], Table4[ID], Table4[Deals], "Not Found", 0)</f>
        <v>1</v>
      </c>
      <c r="S163" s="16">
        <f>_xlfn.XLOOKUP(CustomerCombinedCleaned[[#This Row],[ID]], Table4[ID], Table4[Website], "Not Found", 0)</f>
        <v>3</v>
      </c>
      <c r="T163" s="16">
        <f>_xlfn.XLOOKUP(CustomerCombinedCleaned[[#This Row],[ID]], Table4[ID], Table4[Catalog], "Not Found", 0)</f>
        <v>0</v>
      </c>
      <c r="U163" s="16">
        <f>_xlfn.XLOOKUP(CustomerCombinedCleaned[[#This Row],[ID]], Table4[ID], Table4[Store], "Not Found", 0)</f>
        <v>3</v>
      </c>
      <c r="V163" s="16">
        <f>_xlfn.XLOOKUP(CustomerCombinedCleaned[[#This Row],[ID]], Table4[ID], Table4[Visits], "Not Found", 0)</f>
        <v>8</v>
      </c>
      <c r="W163" s="16">
        <f>_xlfn.XLOOKUP(CustomerCombinedCleaned[[#This Row],[ID]], Table2[ID],Table2[Complaint], "Not Found", 0 )</f>
        <v>0</v>
      </c>
      <c r="X163" s="16">
        <f>_xlfn.XLOOKUP(CustomerCombinedCleaned[[#This Row],[ID]], Table2[ID],Table2[Pilot], "Not Found", 0 )</f>
        <v>0</v>
      </c>
      <c r="Y163" s="16">
        <f>_xlfn.XLOOKUP(CustomerCombinedCleaned[[#This Row],[ID]], Table2[ID],Table2[MC1], "Not Found", 0 )</f>
        <v>0</v>
      </c>
      <c r="Z163" s="16">
        <f>_xlfn.XLOOKUP(CustomerCombinedCleaned[[#This Row],[ID]], Table2[ID],Table2[MC2], "Not Found", 0 )</f>
        <v>0</v>
      </c>
      <c r="AA163" s="16">
        <f>_xlfn.XLOOKUP(CustomerCombinedCleaned[[#This Row],[ID]], Table2[ID],Table2[MC3], "Not Found", 0 )</f>
        <v>0</v>
      </c>
      <c r="AB163" s="16">
        <f>_xlfn.XLOOKUP(CustomerCombinedCleaned[[#This Row],[ID]], Table2[ID],Table2[MC4], "Not Found", 0 )</f>
        <v>0</v>
      </c>
      <c r="AC163" s="16">
        <f>_xlfn.XLOOKUP(CustomerCombinedCleaned[[#This Row],[ID]], Table2[ID],Table2[MC5], "Not Found", 0 )</f>
        <v>0</v>
      </c>
    </row>
    <row r="164" spans="1:29" x14ac:dyDescent="0.3">
      <c r="A164" s="18">
        <v>2521</v>
      </c>
      <c r="B164" s="16">
        <v>142386</v>
      </c>
      <c r="C164" s="16">
        <v>1</v>
      </c>
      <c r="D164" s="16">
        <v>0</v>
      </c>
      <c r="E164" s="16">
        <v>34</v>
      </c>
      <c r="F164" s="17" t="s">
        <v>8</v>
      </c>
      <c r="G164" s="17" t="s">
        <v>12</v>
      </c>
      <c r="H164" s="3" t="s">
        <v>327</v>
      </c>
      <c r="I164" s="5" t="s">
        <v>437</v>
      </c>
      <c r="J164" s="16">
        <f>_xlfn.XLOOKUP(CustomerCombinedCleaned[[#This Row],[ID]], Table4[ID], Table4[Recency], "Not Found", 0)</f>
        <v>43</v>
      </c>
      <c r="K164" s="16">
        <f>_xlfn.XLOOKUP(CustomerCombinedCleaned[[#This Row],[ID]], Table4[ID], Table4[Teas], "Not Found", 0)</f>
        <v>218</v>
      </c>
      <c r="L164" s="16">
        <f>_xlfn.XLOOKUP(CustomerCombinedCleaned[[#This Row],[ID]], Table4[ID], Table4[Fruits], "Not Found", 0)</f>
        <v>13</v>
      </c>
      <c r="M164" s="16">
        <f>_xlfn.XLOOKUP(CustomerCombinedCleaned[[#This Row],[ID]], Table4[ID], Table4[Meats], "Not Found", 0)</f>
        <v>54</v>
      </c>
      <c r="N164" s="16">
        <f>_xlfn.XLOOKUP(CustomerCombinedCleaned[[#This Row],[ID]], Table4[ID], Table4[Seafood], "Not Found", 0)</f>
        <v>0</v>
      </c>
      <c r="O164" s="16">
        <f>_xlfn.XLOOKUP(CustomerCombinedCleaned[[#This Row],[ID]], Table4[ID], Table4[Sweets], "Not Found", 0)</f>
        <v>13</v>
      </c>
      <c r="P164" s="16">
        <f>_xlfn.XLOOKUP(CustomerCombinedCleaned[[#This Row],[ID]], Table4[ID], Table4[Premium], "Not Found", 0)</f>
        <v>37</v>
      </c>
      <c r="Q164" s="16">
        <f>_xlfn.XLOOKUP(CustomerCombinedCleaned[[#This Row],[ID]], Table4[ID], Table4[Regular], "Not Found", 0)</f>
        <v>262</v>
      </c>
      <c r="R164" s="16">
        <f>_xlfn.XLOOKUP(CustomerCombinedCleaned[[#This Row],[ID]], Table4[ID], Table4[Deals], "Not Found", 0)</f>
        <v>1</v>
      </c>
      <c r="S164" s="16">
        <f>_xlfn.XLOOKUP(CustomerCombinedCleaned[[#This Row],[ID]], Table4[ID], Table4[Website], "Not Found", 0)</f>
        <v>3</v>
      </c>
      <c r="T164" s="16">
        <f>_xlfn.XLOOKUP(CustomerCombinedCleaned[[#This Row],[ID]], Table4[ID], Table4[Catalog], "Not Found", 0)</f>
        <v>0</v>
      </c>
      <c r="U164" s="16">
        <f>_xlfn.XLOOKUP(CustomerCombinedCleaned[[#This Row],[ID]], Table4[ID], Table4[Store], "Not Found", 0)</f>
        <v>3</v>
      </c>
      <c r="V164" s="16">
        <f>_xlfn.XLOOKUP(CustomerCombinedCleaned[[#This Row],[ID]], Table4[ID], Table4[Visits], "Not Found", 0)</f>
        <v>8</v>
      </c>
      <c r="W164" s="16">
        <f>_xlfn.XLOOKUP(CustomerCombinedCleaned[[#This Row],[ID]], Table2[ID],Table2[Complaint], "Not Found", 0 )</f>
        <v>0</v>
      </c>
      <c r="X164" s="16">
        <f>_xlfn.XLOOKUP(CustomerCombinedCleaned[[#This Row],[ID]], Table2[ID],Table2[Pilot], "Not Found", 0 )</f>
        <v>0</v>
      </c>
      <c r="Y164" s="16">
        <f>_xlfn.XLOOKUP(CustomerCombinedCleaned[[#This Row],[ID]], Table2[ID],Table2[MC1], "Not Found", 0 )</f>
        <v>0</v>
      </c>
      <c r="Z164" s="16">
        <f>_xlfn.XLOOKUP(CustomerCombinedCleaned[[#This Row],[ID]], Table2[ID],Table2[MC2], "Not Found", 0 )</f>
        <v>0</v>
      </c>
      <c r="AA164" s="16">
        <f>_xlfn.XLOOKUP(CustomerCombinedCleaned[[#This Row],[ID]], Table2[ID],Table2[MC3], "Not Found", 0 )</f>
        <v>0</v>
      </c>
      <c r="AB164" s="16">
        <f>_xlfn.XLOOKUP(CustomerCombinedCleaned[[#This Row],[ID]], Table2[ID],Table2[MC4], "Not Found", 0 )</f>
        <v>0</v>
      </c>
      <c r="AC164" s="16">
        <f>_xlfn.XLOOKUP(CustomerCombinedCleaned[[#This Row],[ID]], Table2[ID],Table2[MC5], "Not Found", 0 )</f>
        <v>0</v>
      </c>
    </row>
    <row r="165" spans="1:29" x14ac:dyDescent="0.3">
      <c r="A165" s="18">
        <v>1325</v>
      </c>
      <c r="B165" s="16">
        <v>141411</v>
      </c>
      <c r="C165" s="16">
        <v>0</v>
      </c>
      <c r="D165" s="16">
        <v>0</v>
      </c>
      <c r="E165" s="16">
        <v>34</v>
      </c>
      <c r="F165" s="17" t="s">
        <v>5</v>
      </c>
      <c r="G165" s="17" t="s">
        <v>11</v>
      </c>
      <c r="H165" s="3" t="s">
        <v>141</v>
      </c>
      <c r="I165" s="5" t="s">
        <v>434</v>
      </c>
      <c r="J165" s="16">
        <f>_xlfn.XLOOKUP(CustomerCombinedCleaned[[#This Row],[ID]], Table4[ID], Table4[Recency], "Not Found", 0)</f>
        <v>11</v>
      </c>
      <c r="K165" s="16">
        <f>_xlfn.XLOOKUP(CustomerCombinedCleaned[[#This Row],[ID]], Table4[ID], Table4[Teas], "Not Found", 0)</f>
        <v>126</v>
      </c>
      <c r="L165" s="16">
        <f>_xlfn.XLOOKUP(CustomerCombinedCleaned[[#This Row],[ID]], Table4[ID], Table4[Fruits], "Not Found", 0)</f>
        <v>109</v>
      </c>
      <c r="M165" s="16">
        <f>_xlfn.XLOOKUP(CustomerCombinedCleaned[[#This Row],[ID]], Table4[ID], Table4[Meats], "Not Found", 0)</f>
        <v>130</v>
      </c>
      <c r="N165" s="16">
        <f>_xlfn.XLOOKUP(CustomerCombinedCleaned[[#This Row],[ID]], Table4[ID], Table4[Seafood], "Not Found", 0)</f>
        <v>38</v>
      </c>
      <c r="O165" s="16">
        <f>_xlfn.XLOOKUP(CustomerCombinedCleaned[[#This Row],[ID]], Table4[ID], Table4[Sweets], "Not Found", 0)</f>
        <v>10</v>
      </c>
      <c r="P165" s="16">
        <f>_xlfn.XLOOKUP(CustomerCombinedCleaned[[#This Row],[ID]], Table4[ID], Table4[Premium], "Not Found", 0)</f>
        <v>61</v>
      </c>
      <c r="Q165" s="16">
        <f>_xlfn.XLOOKUP(CustomerCombinedCleaned[[#This Row],[ID]], Table4[ID], Table4[Regular], "Not Found", 0)</f>
        <v>352</v>
      </c>
      <c r="R165" s="16">
        <f>_xlfn.XLOOKUP(CustomerCombinedCleaned[[#This Row],[ID]], Table4[ID], Table4[Deals], "Not Found", 0)</f>
        <v>1</v>
      </c>
      <c r="S165" s="16">
        <f>_xlfn.XLOOKUP(CustomerCombinedCleaned[[#This Row],[ID]], Table4[ID], Table4[Website], "Not Found", 0)</f>
        <v>2</v>
      </c>
      <c r="T165" s="16">
        <f>_xlfn.XLOOKUP(CustomerCombinedCleaned[[#This Row],[ID]], Table4[ID], Table4[Catalog], "Not Found", 0)</f>
        <v>1</v>
      </c>
      <c r="U165" s="16">
        <f>_xlfn.XLOOKUP(CustomerCombinedCleaned[[#This Row],[ID]], Table4[ID], Table4[Store], "Not Found", 0)</f>
        <v>4</v>
      </c>
      <c r="V165" s="16">
        <f>_xlfn.XLOOKUP(CustomerCombinedCleaned[[#This Row],[ID]], Table4[ID], Table4[Visits], "Not Found", 0)</f>
        <v>6</v>
      </c>
      <c r="W165" s="16">
        <f>_xlfn.XLOOKUP(CustomerCombinedCleaned[[#This Row],[ID]], Table2[ID],Table2[Complaint], "Not Found", 0 )</f>
        <v>0</v>
      </c>
      <c r="X165" s="16">
        <f>_xlfn.XLOOKUP(CustomerCombinedCleaned[[#This Row],[ID]], Table2[ID],Table2[Pilot], "Not Found", 0 )</f>
        <v>0</v>
      </c>
      <c r="Y165" s="16">
        <f>_xlfn.XLOOKUP(CustomerCombinedCleaned[[#This Row],[ID]], Table2[ID],Table2[MC1], "Not Found", 0 )</f>
        <v>0</v>
      </c>
      <c r="Z165" s="16">
        <f>_xlfn.XLOOKUP(CustomerCombinedCleaned[[#This Row],[ID]], Table2[ID],Table2[MC2], "Not Found", 0 )</f>
        <v>0</v>
      </c>
      <c r="AA165" s="16">
        <f>_xlfn.XLOOKUP(CustomerCombinedCleaned[[#This Row],[ID]], Table2[ID],Table2[MC3], "Not Found", 0 )</f>
        <v>0</v>
      </c>
      <c r="AB165" s="16">
        <f>_xlfn.XLOOKUP(CustomerCombinedCleaned[[#This Row],[ID]], Table2[ID],Table2[MC4], "Not Found", 0 )</f>
        <v>0</v>
      </c>
      <c r="AC165" s="16">
        <f>_xlfn.XLOOKUP(CustomerCombinedCleaned[[#This Row],[ID]], Table2[ID],Table2[MC5], "Not Found", 0 )</f>
        <v>0</v>
      </c>
    </row>
    <row r="166" spans="1:29" x14ac:dyDescent="0.3">
      <c r="A166" s="18">
        <v>2986</v>
      </c>
      <c r="B166" s="16">
        <v>139146</v>
      </c>
      <c r="C166" s="16">
        <v>1</v>
      </c>
      <c r="D166" s="16">
        <v>0</v>
      </c>
      <c r="E166" s="16">
        <v>34</v>
      </c>
      <c r="F166" s="17" t="s">
        <v>7</v>
      </c>
      <c r="G166" s="17" t="s">
        <v>11</v>
      </c>
      <c r="H166" s="3" t="s">
        <v>309</v>
      </c>
      <c r="I166" s="5" t="s">
        <v>439</v>
      </c>
      <c r="J166" s="16">
        <f>_xlfn.XLOOKUP(CustomerCombinedCleaned[[#This Row],[ID]], Table4[ID], Table4[Recency], "Not Found", 0)</f>
        <v>1</v>
      </c>
      <c r="K166" s="16">
        <f>_xlfn.XLOOKUP(CustomerCombinedCleaned[[#This Row],[ID]], Table4[ID], Table4[Teas], "Not Found", 0)</f>
        <v>334</v>
      </c>
      <c r="L166" s="16">
        <f>_xlfn.XLOOKUP(CustomerCombinedCleaned[[#This Row],[ID]], Table4[ID], Table4[Fruits], "Not Found", 0)</f>
        <v>4</v>
      </c>
      <c r="M166" s="16">
        <f>_xlfn.XLOOKUP(CustomerCombinedCleaned[[#This Row],[ID]], Table4[ID], Table4[Meats], "Not Found", 0)</f>
        <v>117</v>
      </c>
      <c r="N166" s="16">
        <f>_xlfn.XLOOKUP(CustomerCombinedCleaned[[#This Row],[ID]], Table4[ID], Table4[Seafood], "Not Found", 0)</f>
        <v>46</v>
      </c>
      <c r="O166" s="16">
        <f>_xlfn.XLOOKUP(CustomerCombinedCleaned[[#This Row],[ID]], Table4[ID], Table4[Sweets], "Not Found", 0)</f>
        <v>43</v>
      </c>
      <c r="P166" s="16">
        <f>_xlfn.XLOOKUP(CustomerCombinedCleaned[[#This Row],[ID]], Table4[ID], Table4[Premium], "Not Found", 0)</f>
        <v>43</v>
      </c>
      <c r="Q166" s="16">
        <f>_xlfn.XLOOKUP(CustomerCombinedCleaned[[#This Row],[ID]], Table4[ID], Table4[Regular], "Not Found", 0)</f>
        <v>501</v>
      </c>
      <c r="R166" s="16">
        <f>_xlfn.XLOOKUP(CustomerCombinedCleaned[[#This Row],[ID]], Table4[ID], Table4[Deals], "Not Found", 0)</f>
        <v>3</v>
      </c>
      <c r="S166" s="16">
        <f>_xlfn.XLOOKUP(CustomerCombinedCleaned[[#This Row],[ID]], Table4[ID], Table4[Website], "Not Found", 0)</f>
        <v>4</v>
      </c>
      <c r="T166" s="16">
        <f>_xlfn.XLOOKUP(CustomerCombinedCleaned[[#This Row],[ID]], Table4[ID], Table4[Catalog], "Not Found", 0)</f>
        <v>0</v>
      </c>
      <c r="U166" s="16">
        <f>_xlfn.XLOOKUP(CustomerCombinedCleaned[[#This Row],[ID]], Table4[ID], Table4[Store], "Not Found", 0)</f>
        <v>4</v>
      </c>
      <c r="V166" s="16">
        <f>_xlfn.XLOOKUP(CustomerCombinedCleaned[[#This Row],[ID]], Table4[ID], Table4[Visits], "Not Found", 0)</f>
        <v>8</v>
      </c>
      <c r="W166" s="16">
        <f>_xlfn.XLOOKUP(CustomerCombinedCleaned[[#This Row],[ID]], Table2[ID],Table2[Complaint], "Not Found", 0 )</f>
        <v>0</v>
      </c>
      <c r="X166" s="16">
        <f>_xlfn.XLOOKUP(CustomerCombinedCleaned[[#This Row],[ID]], Table2[ID],Table2[Pilot], "Not Found", 0 )</f>
        <v>0</v>
      </c>
      <c r="Y166" s="16">
        <f>_xlfn.XLOOKUP(CustomerCombinedCleaned[[#This Row],[ID]], Table2[ID],Table2[MC1], "Not Found", 0 )</f>
        <v>0</v>
      </c>
      <c r="Z166" s="16">
        <f>_xlfn.XLOOKUP(CustomerCombinedCleaned[[#This Row],[ID]], Table2[ID],Table2[MC2], "Not Found", 0 )</f>
        <v>0</v>
      </c>
      <c r="AA166" s="16">
        <f>_xlfn.XLOOKUP(CustomerCombinedCleaned[[#This Row],[ID]], Table2[ID],Table2[MC3], "Not Found", 0 )</f>
        <v>0</v>
      </c>
      <c r="AB166" s="16">
        <f>_xlfn.XLOOKUP(CustomerCombinedCleaned[[#This Row],[ID]], Table2[ID],Table2[MC4], "Not Found", 0 )</f>
        <v>0</v>
      </c>
      <c r="AC166" s="16">
        <f>_xlfn.XLOOKUP(CustomerCombinedCleaned[[#This Row],[ID]], Table2[ID],Table2[MC5], "Not Found", 0 )</f>
        <v>0</v>
      </c>
    </row>
    <row r="167" spans="1:29" x14ac:dyDescent="0.3">
      <c r="A167" s="18">
        <v>2083</v>
      </c>
      <c r="B167" s="16">
        <v>138508</v>
      </c>
      <c r="C167" s="16">
        <v>1</v>
      </c>
      <c r="D167" s="16">
        <v>0</v>
      </c>
      <c r="E167" s="16">
        <v>34</v>
      </c>
      <c r="F167" s="17" t="s">
        <v>6</v>
      </c>
      <c r="G167" s="17" t="s">
        <v>11</v>
      </c>
      <c r="H167" s="3" t="s">
        <v>715</v>
      </c>
      <c r="I167" s="5" t="s">
        <v>437</v>
      </c>
      <c r="J167" s="16">
        <f>_xlfn.XLOOKUP(CustomerCombinedCleaned[[#This Row],[ID]], Table4[ID], Table4[Recency], "Not Found", 0)</f>
        <v>95</v>
      </c>
      <c r="K167" s="16">
        <f>_xlfn.XLOOKUP(CustomerCombinedCleaned[[#This Row],[ID]], Table4[ID], Table4[Teas], "Not Found", 0)</f>
        <v>432</v>
      </c>
      <c r="L167" s="16">
        <f>_xlfn.XLOOKUP(CustomerCombinedCleaned[[#This Row],[ID]], Table4[ID], Table4[Fruits], "Not Found", 0)</f>
        <v>68</v>
      </c>
      <c r="M167" s="16">
        <f>_xlfn.XLOOKUP(CustomerCombinedCleaned[[#This Row],[ID]], Table4[ID], Table4[Meats], "Not Found", 0)</f>
        <v>741</v>
      </c>
      <c r="N167" s="16">
        <f>_xlfn.XLOOKUP(CustomerCombinedCleaned[[#This Row],[ID]], Table4[ID], Table4[Seafood], "Not Found", 0)</f>
        <v>90</v>
      </c>
      <c r="O167" s="16">
        <f>_xlfn.XLOOKUP(CustomerCombinedCleaned[[#This Row],[ID]], Table4[ID], Table4[Sweets], "Not Found", 0)</f>
        <v>68</v>
      </c>
      <c r="P167" s="16">
        <f>_xlfn.XLOOKUP(CustomerCombinedCleaned[[#This Row],[ID]], Table4[ID], Table4[Premium], "Not Found", 0)</f>
        <v>194</v>
      </c>
      <c r="Q167" s="16">
        <f>_xlfn.XLOOKUP(CustomerCombinedCleaned[[#This Row],[ID]], Table4[ID], Table4[Regular], "Not Found", 0)</f>
        <v>1205</v>
      </c>
      <c r="R167" s="16">
        <f>_xlfn.XLOOKUP(CustomerCombinedCleaned[[#This Row],[ID]], Table4[ID], Table4[Deals], "Not Found", 0)</f>
        <v>6</v>
      </c>
      <c r="S167" s="16">
        <f>_xlfn.XLOOKUP(CustomerCombinedCleaned[[#This Row],[ID]], Table4[ID], Table4[Website], "Not Found", 0)</f>
        <v>7</v>
      </c>
      <c r="T167" s="16">
        <f>_xlfn.XLOOKUP(CustomerCombinedCleaned[[#This Row],[ID]], Table4[ID], Table4[Catalog], "Not Found", 0)</f>
        <v>2</v>
      </c>
      <c r="U167" s="16">
        <f>_xlfn.XLOOKUP(CustomerCombinedCleaned[[#This Row],[ID]], Table4[ID], Table4[Store], "Not Found", 0)</f>
        <v>5</v>
      </c>
      <c r="V167" s="16">
        <f>_xlfn.XLOOKUP(CustomerCombinedCleaned[[#This Row],[ID]], Table4[ID], Table4[Visits], "Not Found", 0)</f>
        <v>8</v>
      </c>
      <c r="W167" s="16">
        <f>_xlfn.XLOOKUP(CustomerCombinedCleaned[[#This Row],[ID]], Table2[ID],Table2[Complaint], "Not Found", 0 )</f>
        <v>0</v>
      </c>
      <c r="X167" s="16">
        <f>_xlfn.XLOOKUP(CustomerCombinedCleaned[[#This Row],[ID]], Table2[ID],Table2[Pilot], "Not Found", 0 )</f>
        <v>0</v>
      </c>
      <c r="Y167" s="16">
        <f>_xlfn.XLOOKUP(CustomerCombinedCleaned[[#This Row],[ID]], Table2[ID],Table2[MC1], "Not Found", 0 )</f>
        <v>0</v>
      </c>
      <c r="Z167" s="16">
        <f>_xlfn.XLOOKUP(CustomerCombinedCleaned[[#This Row],[ID]], Table2[ID],Table2[MC2], "Not Found", 0 )</f>
        <v>0</v>
      </c>
      <c r="AA167" s="16">
        <f>_xlfn.XLOOKUP(CustomerCombinedCleaned[[#This Row],[ID]], Table2[ID],Table2[MC3], "Not Found", 0 )</f>
        <v>0</v>
      </c>
      <c r="AB167" s="16">
        <f>_xlfn.XLOOKUP(CustomerCombinedCleaned[[#This Row],[ID]], Table2[ID],Table2[MC4], "Not Found", 0 )</f>
        <v>0</v>
      </c>
      <c r="AC167" s="16">
        <f>_xlfn.XLOOKUP(CustomerCombinedCleaned[[#This Row],[ID]], Table2[ID],Table2[MC5], "Not Found", 0 )</f>
        <v>0</v>
      </c>
    </row>
    <row r="168" spans="1:29" x14ac:dyDescent="0.3">
      <c r="A168" s="18">
        <v>2212</v>
      </c>
      <c r="B168" s="16">
        <v>138197</v>
      </c>
      <c r="C168" s="16">
        <v>1</v>
      </c>
      <c r="D168" s="16">
        <v>0</v>
      </c>
      <c r="E168" s="16">
        <v>34</v>
      </c>
      <c r="F168" s="17" t="s">
        <v>8</v>
      </c>
      <c r="G168" s="17" t="s">
        <v>13</v>
      </c>
      <c r="H168" s="3" t="s">
        <v>614</v>
      </c>
      <c r="I168" s="5" t="s">
        <v>439</v>
      </c>
      <c r="J168" s="16">
        <f>_xlfn.XLOOKUP(CustomerCombinedCleaned[[#This Row],[ID]], Table4[ID], Table4[Recency], "Not Found", 0)</f>
        <v>86</v>
      </c>
      <c r="K168" s="16">
        <f>_xlfn.XLOOKUP(CustomerCombinedCleaned[[#This Row],[ID]], Table4[ID], Table4[Teas], "Not Found", 0)</f>
        <v>83</v>
      </c>
      <c r="L168" s="16">
        <f>_xlfn.XLOOKUP(CustomerCombinedCleaned[[#This Row],[ID]], Table4[ID], Table4[Fruits], "Not Found", 0)</f>
        <v>0</v>
      </c>
      <c r="M168" s="16">
        <f>_xlfn.XLOOKUP(CustomerCombinedCleaned[[#This Row],[ID]], Table4[ID], Table4[Meats], "Not Found", 0)</f>
        <v>40</v>
      </c>
      <c r="N168" s="16">
        <f>_xlfn.XLOOKUP(CustomerCombinedCleaned[[#This Row],[ID]], Table4[ID], Table4[Seafood], "Not Found", 0)</f>
        <v>7</v>
      </c>
      <c r="O168" s="16">
        <f>_xlfn.XLOOKUP(CustomerCombinedCleaned[[#This Row],[ID]], Table4[ID], Table4[Sweets], "Not Found", 0)</f>
        <v>4</v>
      </c>
      <c r="P168" s="16">
        <f>_xlfn.XLOOKUP(CustomerCombinedCleaned[[#This Row],[ID]], Table4[ID], Table4[Premium], "Not Found", 0)</f>
        <v>11</v>
      </c>
      <c r="Q168" s="16">
        <f>_xlfn.XLOOKUP(CustomerCombinedCleaned[[#This Row],[ID]], Table4[ID], Table4[Regular], "Not Found", 0)</f>
        <v>123</v>
      </c>
      <c r="R168" s="16">
        <f>_xlfn.XLOOKUP(CustomerCombinedCleaned[[#This Row],[ID]], Table4[ID], Table4[Deals], "Not Found", 0)</f>
        <v>1</v>
      </c>
      <c r="S168" s="16">
        <f>_xlfn.XLOOKUP(CustomerCombinedCleaned[[#This Row],[ID]], Table4[ID], Table4[Website], "Not Found", 0)</f>
        <v>1</v>
      </c>
      <c r="T168" s="16">
        <f>_xlfn.XLOOKUP(CustomerCombinedCleaned[[#This Row],[ID]], Table4[ID], Table4[Catalog], "Not Found", 0)</f>
        <v>0</v>
      </c>
      <c r="U168" s="16">
        <f>_xlfn.XLOOKUP(CustomerCombinedCleaned[[#This Row],[ID]], Table4[ID], Table4[Store], "Not Found", 0)</f>
        <v>3</v>
      </c>
      <c r="V168" s="16">
        <f>_xlfn.XLOOKUP(CustomerCombinedCleaned[[#This Row],[ID]], Table4[ID], Table4[Visits], "Not Found", 0)</f>
        <v>5</v>
      </c>
      <c r="W168" s="16">
        <f>_xlfn.XLOOKUP(CustomerCombinedCleaned[[#This Row],[ID]], Table2[ID],Table2[Complaint], "Not Found", 0 )</f>
        <v>0</v>
      </c>
      <c r="X168" s="16">
        <f>_xlfn.XLOOKUP(CustomerCombinedCleaned[[#This Row],[ID]], Table2[ID],Table2[Pilot], "Not Found", 0 )</f>
        <v>0</v>
      </c>
      <c r="Y168" s="16">
        <f>_xlfn.XLOOKUP(CustomerCombinedCleaned[[#This Row],[ID]], Table2[ID],Table2[MC1], "Not Found", 0 )</f>
        <v>0</v>
      </c>
      <c r="Z168" s="16">
        <f>_xlfn.XLOOKUP(CustomerCombinedCleaned[[#This Row],[ID]], Table2[ID],Table2[MC2], "Not Found", 0 )</f>
        <v>0</v>
      </c>
      <c r="AA168" s="16">
        <f>_xlfn.XLOOKUP(CustomerCombinedCleaned[[#This Row],[ID]], Table2[ID],Table2[MC3], "Not Found", 0 )</f>
        <v>0</v>
      </c>
      <c r="AB168" s="16">
        <f>_xlfn.XLOOKUP(CustomerCombinedCleaned[[#This Row],[ID]], Table2[ID],Table2[MC4], "Not Found", 0 )</f>
        <v>0</v>
      </c>
      <c r="AC168" s="16">
        <f>_xlfn.XLOOKUP(CustomerCombinedCleaned[[#This Row],[ID]], Table2[ID],Table2[MC5], "Not Found", 0 )</f>
        <v>0</v>
      </c>
    </row>
    <row r="169" spans="1:29" x14ac:dyDescent="0.3">
      <c r="A169" s="18">
        <v>2025</v>
      </c>
      <c r="B169" s="16">
        <v>134728</v>
      </c>
      <c r="C169" s="16">
        <v>1</v>
      </c>
      <c r="D169" s="16">
        <v>0</v>
      </c>
      <c r="E169" s="16">
        <v>34</v>
      </c>
      <c r="F169" s="17" t="s">
        <v>8</v>
      </c>
      <c r="G169" s="17" t="s">
        <v>11</v>
      </c>
      <c r="H169" s="3" t="s">
        <v>704</v>
      </c>
      <c r="I169" s="5" t="s">
        <v>435</v>
      </c>
      <c r="J169" s="16">
        <f>_xlfn.XLOOKUP(CustomerCombinedCleaned[[#This Row],[ID]], Table4[ID], Table4[Recency], "Not Found", 0)</f>
        <v>2</v>
      </c>
      <c r="K169" s="16">
        <f>_xlfn.XLOOKUP(CustomerCombinedCleaned[[#This Row],[ID]], Table4[ID], Table4[Teas], "Not Found", 0)</f>
        <v>54</v>
      </c>
      <c r="L169" s="16">
        <f>_xlfn.XLOOKUP(CustomerCombinedCleaned[[#This Row],[ID]], Table4[ID], Table4[Fruits], "Not Found", 0)</f>
        <v>0</v>
      </c>
      <c r="M169" s="16">
        <f>_xlfn.XLOOKUP(CustomerCombinedCleaned[[#This Row],[ID]], Table4[ID], Table4[Meats], "Not Found", 0)</f>
        <v>62</v>
      </c>
      <c r="N169" s="16">
        <f>_xlfn.XLOOKUP(CustomerCombinedCleaned[[#This Row],[ID]], Table4[ID], Table4[Seafood], "Not Found", 0)</f>
        <v>0</v>
      </c>
      <c r="O169" s="16">
        <f>_xlfn.XLOOKUP(CustomerCombinedCleaned[[#This Row],[ID]], Table4[ID], Table4[Sweets], "Not Found", 0)</f>
        <v>0</v>
      </c>
      <c r="P169" s="16">
        <f>_xlfn.XLOOKUP(CustomerCombinedCleaned[[#This Row],[ID]], Table4[ID], Table4[Premium], "Not Found", 0)</f>
        <v>23</v>
      </c>
      <c r="Q169" s="16">
        <f>_xlfn.XLOOKUP(CustomerCombinedCleaned[[#This Row],[ID]], Table4[ID], Table4[Regular], "Not Found", 0)</f>
        <v>93</v>
      </c>
      <c r="R169" s="16">
        <f>_xlfn.XLOOKUP(CustomerCombinedCleaned[[#This Row],[ID]], Table4[ID], Table4[Deals], "Not Found", 0)</f>
        <v>1</v>
      </c>
      <c r="S169" s="16">
        <f>_xlfn.XLOOKUP(CustomerCombinedCleaned[[#This Row],[ID]], Table4[ID], Table4[Website], "Not Found", 0)</f>
        <v>1</v>
      </c>
      <c r="T169" s="16">
        <f>_xlfn.XLOOKUP(CustomerCombinedCleaned[[#This Row],[ID]], Table4[ID], Table4[Catalog], "Not Found", 0)</f>
        <v>1</v>
      </c>
      <c r="U169" s="16">
        <f>_xlfn.XLOOKUP(CustomerCombinedCleaned[[#This Row],[ID]], Table4[ID], Table4[Store], "Not Found", 0)</f>
        <v>2</v>
      </c>
      <c r="V169" s="16">
        <f>_xlfn.XLOOKUP(CustomerCombinedCleaned[[#This Row],[ID]], Table4[ID], Table4[Visits], "Not Found", 0)</f>
        <v>6</v>
      </c>
      <c r="W169" s="16">
        <f>_xlfn.XLOOKUP(CustomerCombinedCleaned[[#This Row],[ID]], Table2[ID],Table2[Complaint], "Not Found", 0 )</f>
        <v>0</v>
      </c>
      <c r="X169" s="16">
        <f>_xlfn.XLOOKUP(CustomerCombinedCleaned[[#This Row],[ID]], Table2[ID],Table2[Pilot], "Not Found", 0 )</f>
        <v>1</v>
      </c>
      <c r="Y169" s="16">
        <f>_xlfn.XLOOKUP(CustomerCombinedCleaned[[#This Row],[ID]], Table2[ID],Table2[MC1], "Not Found", 0 )</f>
        <v>0</v>
      </c>
      <c r="Z169" s="16">
        <f>_xlfn.XLOOKUP(CustomerCombinedCleaned[[#This Row],[ID]], Table2[ID],Table2[MC2], "Not Found", 0 )</f>
        <v>0</v>
      </c>
      <c r="AA169" s="16">
        <f>_xlfn.XLOOKUP(CustomerCombinedCleaned[[#This Row],[ID]], Table2[ID],Table2[MC3], "Not Found", 0 )</f>
        <v>0</v>
      </c>
      <c r="AB169" s="16">
        <f>_xlfn.XLOOKUP(CustomerCombinedCleaned[[#This Row],[ID]], Table2[ID],Table2[MC4], "Not Found", 0 )</f>
        <v>0</v>
      </c>
      <c r="AC169" s="16">
        <f>_xlfn.XLOOKUP(CustomerCombinedCleaned[[#This Row],[ID]], Table2[ID],Table2[MC5], "Not Found", 0 )</f>
        <v>0</v>
      </c>
    </row>
    <row r="170" spans="1:29" x14ac:dyDescent="0.3">
      <c r="A170" s="18">
        <v>1217</v>
      </c>
      <c r="B170" s="16">
        <v>134320</v>
      </c>
      <c r="C170" s="16">
        <v>1</v>
      </c>
      <c r="D170" s="16">
        <v>0</v>
      </c>
      <c r="E170" s="16">
        <v>34</v>
      </c>
      <c r="F170" s="17" t="s">
        <v>8</v>
      </c>
      <c r="G170" s="17" t="s">
        <v>13</v>
      </c>
      <c r="H170" s="3" t="s">
        <v>97</v>
      </c>
      <c r="I170" s="5" t="s">
        <v>434</v>
      </c>
      <c r="J170" s="16">
        <f>_xlfn.XLOOKUP(CustomerCombinedCleaned[[#This Row],[ID]], Table4[ID], Table4[Recency], "Not Found", 0)</f>
        <v>66</v>
      </c>
      <c r="K170" s="16">
        <f>_xlfn.XLOOKUP(CustomerCombinedCleaned[[#This Row],[ID]], Table4[ID], Table4[Teas], "Not Found", 0)</f>
        <v>16</v>
      </c>
      <c r="L170" s="16">
        <f>_xlfn.XLOOKUP(CustomerCombinedCleaned[[#This Row],[ID]], Table4[ID], Table4[Fruits], "Not Found", 0)</f>
        <v>4</v>
      </c>
      <c r="M170" s="16">
        <f>_xlfn.XLOOKUP(CustomerCombinedCleaned[[#This Row],[ID]], Table4[ID], Table4[Meats], "Not Found", 0)</f>
        <v>35</v>
      </c>
      <c r="N170" s="16">
        <f>_xlfn.XLOOKUP(CustomerCombinedCleaned[[#This Row],[ID]], Table4[ID], Table4[Seafood], "Not Found", 0)</f>
        <v>12</v>
      </c>
      <c r="O170" s="16">
        <f>_xlfn.XLOOKUP(CustomerCombinedCleaned[[#This Row],[ID]], Table4[ID], Table4[Sweets], "Not Found", 0)</f>
        <v>0</v>
      </c>
      <c r="P170" s="16">
        <f>_xlfn.XLOOKUP(CustomerCombinedCleaned[[#This Row],[ID]], Table4[ID], Table4[Premium], "Not Found", 0)</f>
        <v>0</v>
      </c>
      <c r="Q170" s="16">
        <f>_xlfn.XLOOKUP(CustomerCombinedCleaned[[#This Row],[ID]], Table4[ID], Table4[Regular], "Not Found", 0)</f>
        <v>67</v>
      </c>
      <c r="R170" s="16">
        <f>_xlfn.XLOOKUP(CustomerCombinedCleaned[[#This Row],[ID]], Table4[ID], Table4[Deals], "Not Found", 0)</f>
        <v>1</v>
      </c>
      <c r="S170" s="16">
        <f>_xlfn.XLOOKUP(CustomerCombinedCleaned[[#This Row],[ID]], Table4[ID], Table4[Website], "Not Found", 0)</f>
        <v>1</v>
      </c>
      <c r="T170" s="16">
        <f>_xlfn.XLOOKUP(CustomerCombinedCleaned[[#This Row],[ID]], Table4[ID], Table4[Catalog], "Not Found", 0)</f>
        <v>0</v>
      </c>
      <c r="U170" s="16">
        <f>_xlfn.XLOOKUP(CustomerCombinedCleaned[[#This Row],[ID]], Table4[ID], Table4[Store], "Not Found", 0)</f>
        <v>2</v>
      </c>
      <c r="V170" s="16">
        <f>_xlfn.XLOOKUP(CustomerCombinedCleaned[[#This Row],[ID]], Table4[ID], Table4[Visits], "Not Found", 0)</f>
        <v>8</v>
      </c>
      <c r="W170" s="16">
        <f>_xlfn.XLOOKUP(CustomerCombinedCleaned[[#This Row],[ID]], Table2[ID],Table2[Complaint], "Not Found", 0 )</f>
        <v>0</v>
      </c>
      <c r="X170" s="16">
        <f>_xlfn.XLOOKUP(CustomerCombinedCleaned[[#This Row],[ID]], Table2[ID],Table2[Pilot], "Not Found", 0 )</f>
        <v>0</v>
      </c>
      <c r="Y170" s="16">
        <f>_xlfn.XLOOKUP(CustomerCombinedCleaned[[#This Row],[ID]], Table2[ID],Table2[MC1], "Not Found", 0 )</f>
        <v>0</v>
      </c>
      <c r="Z170" s="16">
        <f>_xlfn.XLOOKUP(CustomerCombinedCleaned[[#This Row],[ID]], Table2[ID],Table2[MC2], "Not Found", 0 )</f>
        <v>0</v>
      </c>
      <c r="AA170" s="16">
        <f>_xlfn.XLOOKUP(CustomerCombinedCleaned[[#This Row],[ID]], Table2[ID],Table2[MC3], "Not Found", 0 )</f>
        <v>0</v>
      </c>
      <c r="AB170" s="16">
        <f>_xlfn.XLOOKUP(CustomerCombinedCleaned[[#This Row],[ID]], Table2[ID],Table2[MC4], "Not Found", 0 )</f>
        <v>0</v>
      </c>
      <c r="AC170" s="16">
        <f>_xlfn.XLOOKUP(CustomerCombinedCleaned[[#This Row],[ID]], Table2[ID],Table2[MC5], "Not Found", 0 )</f>
        <v>0</v>
      </c>
    </row>
    <row r="171" spans="1:29" x14ac:dyDescent="0.3">
      <c r="A171" s="18">
        <v>2882</v>
      </c>
      <c r="B171" s="16">
        <v>133235</v>
      </c>
      <c r="C171" s="16">
        <v>1</v>
      </c>
      <c r="D171" s="16">
        <v>0</v>
      </c>
      <c r="E171" s="16">
        <v>34</v>
      </c>
      <c r="F171" s="17" t="s">
        <v>8</v>
      </c>
      <c r="G171" s="17" t="s">
        <v>11</v>
      </c>
      <c r="H171" s="3" t="s">
        <v>557</v>
      </c>
      <c r="I171" s="5" t="s">
        <v>438</v>
      </c>
      <c r="J171" s="16">
        <f>_xlfn.XLOOKUP(CustomerCombinedCleaned[[#This Row],[ID]], Table4[ID], Table4[Recency], "Not Found", 0)</f>
        <v>71</v>
      </c>
      <c r="K171" s="16">
        <f>_xlfn.XLOOKUP(CustomerCombinedCleaned[[#This Row],[ID]], Table4[ID], Table4[Teas], "Not Found", 0)</f>
        <v>180</v>
      </c>
      <c r="L171" s="16">
        <f>_xlfn.XLOOKUP(CustomerCombinedCleaned[[#This Row],[ID]], Table4[ID], Table4[Fruits], "Not Found", 0)</f>
        <v>0</v>
      </c>
      <c r="M171" s="16">
        <f>_xlfn.XLOOKUP(CustomerCombinedCleaned[[#This Row],[ID]], Table4[ID], Table4[Meats], "Not Found", 0)</f>
        <v>64</v>
      </c>
      <c r="N171" s="16">
        <f>_xlfn.XLOOKUP(CustomerCombinedCleaned[[#This Row],[ID]], Table4[ID], Table4[Seafood], "Not Found", 0)</f>
        <v>8</v>
      </c>
      <c r="O171" s="16">
        <f>_xlfn.XLOOKUP(CustomerCombinedCleaned[[#This Row],[ID]], Table4[ID], Table4[Sweets], "Not Found", 0)</f>
        <v>4</v>
      </c>
      <c r="P171" s="16">
        <f>_xlfn.XLOOKUP(CustomerCombinedCleaned[[#This Row],[ID]], Table4[ID], Table4[Premium], "Not Found", 0)</f>
        <v>24</v>
      </c>
      <c r="Q171" s="16">
        <f>_xlfn.XLOOKUP(CustomerCombinedCleaned[[#This Row],[ID]], Table4[ID], Table4[Regular], "Not Found", 0)</f>
        <v>233</v>
      </c>
      <c r="R171" s="16">
        <f>_xlfn.XLOOKUP(CustomerCombinedCleaned[[#This Row],[ID]], Table4[ID], Table4[Deals], "Not Found", 0)</f>
        <v>1</v>
      </c>
      <c r="S171" s="16">
        <f>_xlfn.XLOOKUP(CustomerCombinedCleaned[[#This Row],[ID]], Table4[ID], Table4[Website], "Not Found", 0)</f>
        <v>3</v>
      </c>
      <c r="T171" s="16">
        <f>_xlfn.XLOOKUP(CustomerCombinedCleaned[[#This Row],[ID]], Table4[ID], Table4[Catalog], "Not Found", 0)</f>
        <v>0</v>
      </c>
      <c r="U171" s="16">
        <f>_xlfn.XLOOKUP(CustomerCombinedCleaned[[#This Row],[ID]], Table4[ID], Table4[Store], "Not Found", 0)</f>
        <v>3</v>
      </c>
      <c r="V171" s="16">
        <f>_xlfn.XLOOKUP(CustomerCombinedCleaned[[#This Row],[ID]], Table4[ID], Table4[Visits], "Not Found", 0)</f>
        <v>7</v>
      </c>
      <c r="W171" s="16">
        <f>_xlfn.XLOOKUP(CustomerCombinedCleaned[[#This Row],[ID]], Table2[ID],Table2[Complaint], "Not Found", 0 )</f>
        <v>0</v>
      </c>
      <c r="X171" s="16">
        <f>_xlfn.XLOOKUP(CustomerCombinedCleaned[[#This Row],[ID]], Table2[ID],Table2[Pilot], "Not Found", 0 )</f>
        <v>0</v>
      </c>
      <c r="Y171" s="16">
        <f>_xlfn.XLOOKUP(CustomerCombinedCleaned[[#This Row],[ID]], Table2[ID],Table2[MC1], "Not Found", 0 )</f>
        <v>0</v>
      </c>
      <c r="Z171" s="16">
        <f>_xlfn.XLOOKUP(CustomerCombinedCleaned[[#This Row],[ID]], Table2[ID],Table2[MC2], "Not Found", 0 )</f>
        <v>0</v>
      </c>
      <c r="AA171" s="16">
        <f>_xlfn.XLOOKUP(CustomerCombinedCleaned[[#This Row],[ID]], Table2[ID],Table2[MC3], "Not Found", 0 )</f>
        <v>0</v>
      </c>
      <c r="AB171" s="16">
        <f>_xlfn.XLOOKUP(CustomerCombinedCleaned[[#This Row],[ID]], Table2[ID],Table2[MC4], "Not Found", 0 )</f>
        <v>0</v>
      </c>
      <c r="AC171" s="16">
        <f>_xlfn.XLOOKUP(CustomerCombinedCleaned[[#This Row],[ID]], Table2[ID],Table2[MC5], "Not Found", 0 )</f>
        <v>0</v>
      </c>
    </row>
    <row r="172" spans="1:29" x14ac:dyDescent="0.3">
      <c r="A172" s="18">
        <v>1509</v>
      </c>
      <c r="B172" s="16">
        <v>132880</v>
      </c>
      <c r="C172" s="16">
        <v>1</v>
      </c>
      <c r="D172" s="16">
        <v>0</v>
      </c>
      <c r="E172" s="16">
        <v>34</v>
      </c>
      <c r="F172" s="17" t="s">
        <v>6</v>
      </c>
      <c r="G172" s="17" t="s">
        <v>11</v>
      </c>
      <c r="H172" s="3" t="s">
        <v>786</v>
      </c>
      <c r="I172" s="5" t="s">
        <v>435</v>
      </c>
      <c r="J172" s="16">
        <f>_xlfn.XLOOKUP(CustomerCombinedCleaned[[#This Row],[ID]], Table4[ID], Table4[Recency], "Not Found", 0)</f>
        <v>76</v>
      </c>
      <c r="K172" s="16">
        <f>_xlfn.XLOOKUP(CustomerCombinedCleaned[[#This Row],[ID]], Table4[ID], Table4[Teas], "Not Found", 0)</f>
        <v>32</v>
      </c>
      <c r="L172" s="16">
        <f>_xlfn.XLOOKUP(CustomerCombinedCleaned[[#This Row],[ID]], Table4[ID], Table4[Fruits], "Not Found", 0)</f>
        <v>16</v>
      </c>
      <c r="M172" s="16">
        <f>_xlfn.XLOOKUP(CustomerCombinedCleaned[[#This Row],[ID]], Table4[ID], Table4[Meats], "Not Found", 0)</f>
        <v>61</v>
      </c>
      <c r="N172" s="16">
        <f>_xlfn.XLOOKUP(CustomerCombinedCleaned[[#This Row],[ID]], Table4[ID], Table4[Seafood], "Not Found", 0)</f>
        <v>28</v>
      </c>
      <c r="O172" s="16">
        <f>_xlfn.XLOOKUP(CustomerCombinedCleaned[[#This Row],[ID]], Table4[ID], Table4[Sweets], "Not Found", 0)</f>
        <v>24</v>
      </c>
      <c r="P172" s="16">
        <f>_xlfn.XLOOKUP(CustomerCombinedCleaned[[#This Row],[ID]], Table4[ID], Table4[Premium], "Not Found", 0)</f>
        <v>8</v>
      </c>
      <c r="Q172" s="16">
        <f>_xlfn.XLOOKUP(CustomerCombinedCleaned[[#This Row],[ID]], Table4[ID], Table4[Regular], "Not Found", 0)</f>
        <v>154</v>
      </c>
      <c r="R172" s="16">
        <f>_xlfn.XLOOKUP(CustomerCombinedCleaned[[#This Row],[ID]], Table4[ID], Table4[Deals], "Not Found", 0)</f>
        <v>1</v>
      </c>
      <c r="S172" s="16">
        <f>_xlfn.XLOOKUP(CustomerCombinedCleaned[[#This Row],[ID]], Table4[ID], Table4[Website], "Not Found", 0)</f>
        <v>1</v>
      </c>
      <c r="T172" s="16">
        <f>_xlfn.XLOOKUP(CustomerCombinedCleaned[[#This Row],[ID]], Table4[ID], Table4[Catalog], "Not Found", 0)</f>
        <v>0</v>
      </c>
      <c r="U172" s="16">
        <f>_xlfn.XLOOKUP(CustomerCombinedCleaned[[#This Row],[ID]], Table4[ID], Table4[Store], "Not Found", 0)</f>
        <v>3</v>
      </c>
      <c r="V172" s="16">
        <f>_xlfn.XLOOKUP(CustomerCombinedCleaned[[#This Row],[ID]], Table4[ID], Table4[Visits], "Not Found", 0)</f>
        <v>8</v>
      </c>
      <c r="W172" s="16">
        <f>_xlfn.XLOOKUP(CustomerCombinedCleaned[[#This Row],[ID]], Table2[ID],Table2[Complaint], "Not Found", 0 )</f>
        <v>0</v>
      </c>
      <c r="X172" s="16">
        <f>_xlfn.XLOOKUP(CustomerCombinedCleaned[[#This Row],[ID]], Table2[ID],Table2[Pilot], "Not Found", 0 )</f>
        <v>0</v>
      </c>
      <c r="Y172" s="16">
        <f>_xlfn.XLOOKUP(CustomerCombinedCleaned[[#This Row],[ID]], Table2[ID],Table2[MC1], "Not Found", 0 )</f>
        <v>0</v>
      </c>
      <c r="Z172" s="16">
        <f>_xlfn.XLOOKUP(CustomerCombinedCleaned[[#This Row],[ID]], Table2[ID],Table2[MC2], "Not Found", 0 )</f>
        <v>0</v>
      </c>
      <c r="AA172" s="16">
        <f>_xlfn.XLOOKUP(CustomerCombinedCleaned[[#This Row],[ID]], Table2[ID],Table2[MC3], "Not Found", 0 )</f>
        <v>0</v>
      </c>
      <c r="AB172" s="16">
        <f>_xlfn.XLOOKUP(CustomerCombinedCleaned[[#This Row],[ID]], Table2[ID],Table2[MC4], "Not Found", 0 )</f>
        <v>0</v>
      </c>
      <c r="AC172" s="16">
        <f>_xlfn.XLOOKUP(CustomerCombinedCleaned[[#This Row],[ID]], Table2[ID],Table2[MC5], "Not Found", 0 )</f>
        <v>0</v>
      </c>
    </row>
    <row r="173" spans="1:29" x14ac:dyDescent="0.3">
      <c r="A173" s="18">
        <v>1314</v>
      </c>
      <c r="B173" s="16">
        <v>129999</v>
      </c>
      <c r="C173" s="16">
        <v>1</v>
      </c>
      <c r="D173" s="16">
        <v>0</v>
      </c>
      <c r="E173" s="16">
        <v>34</v>
      </c>
      <c r="F173" s="17" t="s">
        <v>7</v>
      </c>
      <c r="G173" s="17" t="s">
        <v>13</v>
      </c>
      <c r="H173" s="3" t="s">
        <v>310</v>
      </c>
      <c r="I173" s="5" t="s">
        <v>436</v>
      </c>
      <c r="J173" s="16">
        <f>_xlfn.XLOOKUP(CustomerCombinedCleaned[[#This Row],[ID]], Table4[ID], Table4[Recency], "Not Found", 0)</f>
        <v>22</v>
      </c>
      <c r="K173" s="16">
        <f>_xlfn.XLOOKUP(CustomerCombinedCleaned[[#This Row],[ID]], Table4[ID], Table4[Teas], "Not Found", 0)</f>
        <v>295</v>
      </c>
      <c r="L173" s="16">
        <f>_xlfn.XLOOKUP(CustomerCombinedCleaned[[#This Row],[ID]], Table4[ID], Table4[Fruits], "Not Found", 0)</f>
        <v>30</v>
      </c>
      <c r="M173" s="16">
        <f>_xlfn.XLOOKUP(CustomerCombinedCleaned[[#This Row],[ID]], Table4[ID], Table4[Meats], "Not Found", 0)</f>
        <v>256</v>
      </c>
      <c r="N173" s="16">
        <f>_xlfn.XLOOKUP(CustomerCombinedCleaned[[#This Row],[ID]], Table4[ID], Table4[Seafood], "Not Found", 0)</f>
        <v>43</v>
      </c>
      <c r="O173" s="16">
        <f>_xlfn.XLOOKUP(CustomerCombinedCleaned[[#This Row],[ID]], Table4[ID], Table4[Sweets], "Not Found", 0)</f>
        <v>22</v>
      </c>
      <c r="P173" s="16">
        <f>_xlfn.XLOOKUP(CustomerCombinedCleaned[[#This Row],[ID]], Table4[ID], Table4[Premium], "Not Found", 0)</f>
        <v>48</v>
      </c>
      <c r="Q173" s="16">
        <f>_xlfn.XLOOKUP(CustomerCombinedCleaned[[#This Row],[ID]], Table4[ID], Table4[Regular], "Not Found", 0)</f>
        <v>598</v>
      </c>
      <c r="R173" s="16">
        <f>_xlfn.XLOOKUP(CustomerCombinedCleaned[[#This Row],[ID]], Table4[ID], Table4[Deals], "Not Found", 0)</f>
        <v>4</v>
      </c>
      <c r="S173" s="16">
        <f>_xlfn.XLOOKUP(CustomerCombinedCleaned[[#This Row],[ID]], Table4[ID], Table4[Website], "Not Found", 0)</f>
        <v>3</v>
      </c>
      <c r="T173" s="16">
        <f>_xlfn.XLOOKUP(CustomerCombinedCleaned[[#This Row],[ID]], Table4[ID], Table4[Catalog], "Not Found", 0)</f>
        <v>1</v>
      </c>
      <c r="U173" s="16">
        <f>_xlfn.XLOOKUP(CustomerCombinedCleaned[[#This Row],[ID]], Table4[ID], Table4[Store], "Not Found", 0)</f>
        <v>4</v>
      </c>
      <c r="V173" s="16">
        <f>_xlfn.XLOOKUP(CustomerCombinedCleaned[[#This Row],[ID]], Table4[ID], Table4[Visits], "Not Found", 0)</f>
        <v>8</v>
      </c>
      <c r="W173" s="16">
        <f>_xlfn.XLOOKUP(CustomerCombinedCleaned[[#This Row],[ID]], Table2[ID],Table2[Complaint], "Not Found", 0 )</f>
        <v>0</v>
      </c>
      <c r="X173" s="16">
        <f>_xlfn.XLOOKUP(CustomerCombinedCleaned[[#This Row],[ID]], Table2[ID],Table2[Pilot], "Not Found", 0 )</f>
        <v>0</v>
      </c>
      <c r="Y173" s="16">
        <f>_xlfn.XLOOKUP(CustomerCombinedCleaned[[#This Row],[ID]], Table2[ID],Table2[MC1], "Not Found", 0 )</f>
        <v>0</v>
      </c>
      <c r="Z173" s="16">
        <f>_xlfn.XLOOKUP(CustomerCombinedCleaned[[#This Row],[ID]], Table2[ID],Table2[MC2], "Not Found", 0 )</f>
        <v>0</v>
      </c>
      <c r="AA173" s="16">
        <f>_xlfn.XLOOKUP(CustomerCombinedCleaned[[#This Row],[ID]], Table2[ID],Table2[MC3], "Not Found", 0 )</f>
        <v>0</v>
      </c>
      <c r="AB173" s="16">
        <f>_xlfn.XLOOKUP(CustomerCombinedCleaned[[#This Row],[ID]], Table2[ID],Table2[MC4], "Not Found", 0 )</f>
        <v>0</v>
      </c>
      <c r="AC173" s="16">
        <f>_xlfn.XLOOKUP(CustomerCombinedCleaned[[#This Row],[ID]], Table2[ID],Table2[MC5], "Not Found", 0 )</f>
        <v>0</v>
      </c>
    </row>
    <row r="174" spans="1:29" x14ac:dyDescent="0.3">
      <c r="A174" s="18">
        <v>2440</v>
      </c>
      <c r="B174" s="16">
        <v>128072</v>
      </c>
      <c r="C174" s="16">
        <v>1</v>
      </c>
      <c r="D174" s="16">
        <v>0</v>
      </c>
      <c r="E174" s="16">
        <v>34</v>
      </c>
      <c r="F174" s="17" t="s">
        <v>6</v>
      </c>
      <c r="G174" s="17" t="s">
        <v>12</v>
      </c>
      <c r="H174" s="3" t="s">
        <v>227</v>
      </c>
      <c r="I174" s="5" t="s">
        <v>439</v>
      </c>
      <c r="J174" s="16">
        <f>_xlfn.XLOOKUP(CustomerCombinedCleaned[[#This Row],[ID]], Table4[ID], Table4[Recency], "Not Found", 0)</f>
        <v>10</v>
      </c>
      <c r="K174" s="16">
        <f>_xlfn.XLOOKUP(CustomerCombinedCleaned[[#This Row],[ID]], Table4[ID], Table4[Teas], "Not Found", 0)</f>
        <v>137</v>
      </c>
      <c r="L174" s="16">
        <f>_xlfn.XLOOKUP(CustomerCombinedCleaned[[#This Row],[ID]], Table4[ID], Table4[Fruits], "Not Found", 0)</f>
        <v>0</v>
      </c>
      <c r="M174" s="16">
        <f>_xlfn.XLOOKUP(CustomerCombinedCleaned[[#This Row],[ID]], Table4[ID], Table4[Meats], "Not Found", 0)</f>
        <v>46</v>
      </c>
      <c r="N174" s="16">
        <f>_xlfn.XLOOKUP(CustomerCombinedCleaned[[#This Row],[ID]], Table4[ID], Table4[Seafood], "Not Found", 0)</f>
        <v>9</v>
      </c>
      <c r="O174" s="16">
        <f>_xlfn.XLOOKUP(CustomerCombinedCleaned[[#This Row],[ID]], Table4[ID], Table4[Sweets], "Not Found", 0)</f>
        <v>0</v>
      </c>
      <c r="P174" s="16">
        <f>_xlfn.XLOOKUP(CustomerCombinedCleaned[[#This Row],[ID]], Table4[ID], Table4[Premium], "Not Found", 0)</f>
        <v>23</v>
      </c>
      <c r="Q174" s="16">
        <f>_xlfn.XLOOKUP(CustomerCombinedCleaned[[#This Row],[ID]], Table4[ID], Table4[Regular], "Not Found", 0)</f>
        <v>169</v>
      </c>
      <c r="R174" s="16">
        <f>_xlfn.XLOOKUP(CustomerCombinedCleaned[[#This Row],[ID]], Table4[ID], Table4[Deals], "Not Found", 0)</f>
        <v>1</v>
      </c>
      <c r="S174" s="16">
        <f>_xlfn.XLOOKUP(CustomerCombinedCleaned[[#This Row],[ID]], Table4[ID], Table4[Website], "Not Found", 0)</f>
        <v>1</v>
      </c>
      <c r="T174" s="16">
        <f>_xlfn.XLOOKUP(CustomerCombinedCleaned[[#This Row],[ID]], Table4[ID], Table4[Catalog], "Not Found", 0)</f>
        <v>0</v>
      </c>
      <c r="U174" s="16">
        <f>_xlfn.XLOOKUP(CustomerCombinedCleaned[[#This Row],[ID]], Table4[ID], Table4[Store], "Not Found", 0)</f>
        <v>3</v>
      </c>
      <c r="V174" s="16">
        <f>_xlfn.XLOOKUP(CustomerCombinedCleaned[[#This Row],[ID]], Table4[ID], Table4[Visits], "Not Found", 0)</f>
        <v>7</v>
      </c>
      <c r="W174" s="16">
        <f>_xlfn.XLOOKUP(CustomerCombinedCleaned[[#This Row],[ID]], Table2[ID],Table2[Complaint], "Not Found", 0 )</f>
        <v>0</v>
      </c>
      <c r="X174" s="16">
        <f>_xlfn.XLOOKUP(CustomerCombinedCleaned[[#This Row],[ID]], Table2[ID],Table2[Pilot], "Not Found", 0 )</f>
        <v>0</v>
      </c>
      <c r="Y174" s="16">
        <f>_xlfn.XLOOKUP(CustomerCombinedCleaned[[#This Row],[ID]], Table2[ID],Table2[MC1], "Not Found", 0 )</f>
        <v>0</v>
      </c>
      <c r="Z174" s="16">
        <f>_xlfn.XLOOKUP(CustomerCombinedCleaned[[#This Row],[ID]], Table2[ID],Table2[MC2], "Not Found", 0 )</f>
        <v>0</v>
      </c>
      <c r="AA174" s="16">
        <f>_xlfn.XLOOKUP(CustomerCombinedCleaned[[#This Row],[ID]], Table2[ID],Table2[MC3], "Not Found", 0 )</f>
        <v>0</v>
      </c>
      <c r="AB174" s="16">
        <f>_xlfn.XLOOKUP(CustomerCombinedCleaned[[#This Row],[ID]], Table2[ID],Table2[MC4], "Not Found", 0 )</f>
        <v>0</v>
      </c>
      <c r="AC174" s="16">
        <f>_xlfn.XLOOKUP(CustomerCombinedCleaned[[#This Row],[ID]], Table2[ID],Table2[MC5], "Not Found", 0 )</f>
        <v>0</v>
      </c>
    </row>
    <row r="175" spans="1:29" x14ac:dyDescent="0.3">
      <c r="A175" s="18">
        <v>2549</v>
      </c>
      <c r="B175" s="16">
        <v>127161</v>
      </c>
      <c r="C175" s="16">
        <v>1</v>
      </c>
      <c r="D175" s="16">
        <v>0</v>
      </c>
      <c r="E175" s="16">
        <v>34</v>
      </c>
      <c r="F175" s="17" t="s">
        <v>6</v>
      </c>
      <c r="G175" s="17" t="s">
        <v>12</v>
      </c>
      <c r="H175" s="3" t="s">
        <v>616</v>
      </c>
      <c r="I175" s="5" t="s">
        <v>434</v>
      </c>
      <c r="J175" s="16">
        <f>_xlfn.XLOOKUP(CustomerCombinedCleaned[[#This Row],[ID]], Table4[ID], Table4[Recency], "Not Found", 0)</f>
        <v>41</v>
      </c>
      <c r="K175" s="16">
        <f>_xlfn.XLOOKUP(CustomerCombinedCleaned[[#This Row],[ID]], Table4[ID], Table4[Teas], "Not Found", 0)</f>
        <v>33</v>
      </c>
      <c r="L175" s="16">
        <f>_xlfn.XLOOKUP(CustomerCombinedCleaned[[#This Row],[ID]], Table4[ID], Table4[Fruits], "Not Found", 0)</f>
        <v>19</v>
      </c>
      <c r="M175" s="16">
        <f>_xlfn.XLOOKUP(CustomerCombinedCleaned[[#This Row],[ID]], Table4[ID], Table4[Meats], "Not Found", 0)</f>
        <v>108</v>
      </c>
      <c r="N175" s="16">
        <f>_xlfn.XLOOKUP(CustomerCombinedCleaned[[#This Row],[ID]], Table4[ID], Table4[Seafood], "Not Found", 0)</f>
        <v>33</v>
      </c>
      <c r="O175" s="16">
        <f>_xlfn.XLOOKUP(CustomerCombinedCleaned[[#This Row],[ID]], Table4[ID], Table4[Sweets], "Not Found", 0)</f>
        <v>0</v>
      </c>
      <c r="P175" s="16">
        <f>_xlfn.XLOOKUP(CustomerCombinedCleaned[[#This Row],[ID]], Table4[ID], Table4[Premium], "Not Found", 0)</f>
        <v>51</v>
      </c>
      <c r="Q175" s="16">
        <f>_xlfn.XLOOKUP(CustomerCombinedCleaned[[#This Row],[ID]], Table4[ID], Table4[Regular], "Not Found", 0)</f>
        <v>140</v>
      </c>
      <c r="R175" s="16">
        <f>_xlfn.XLOOKUP(CustomerCombinedCleaned[[#This Row],[ID]], Table4[ID], Table4[Deals], "Not Found", 0)</f>
        <v>1</v>
      </c>
      <c r="S175" s="16">
        <f>_xlfn.XLOOKUP(CustomerCombinedCleaned[[#This Row],[ID]], Table4[ID], Table4[Website], "Not Found", 0)</f>
        <v>1</v>
      </c>
      <c r="T175" s="16">
        <f>_xlfn.XLOOKUP(CustomerCombinedCleaned[[#This Row],[ID]], Table4[ID], Table4[Catalog], "Not Found", 0)</f>
        <v>0</v>
      </c>
      <c r="U175" s="16">
        <f>_xlfn.XLOOKUP(CustomerCombinedCleaned[[#This Row],[ID]], Table4[ID], Table4[Store], "Not Found", 0)</f>
        <v>3</v>
      </c>
      <c r="V175" s="16">
        <f>_xlfn.XLOOKUP(CustomerCombinedCleaned[[#This Row],[ID]], Table4[ID], Table4[Visits], "Not Found", 0)</f>
        <v>7</v>
      </c>
      <c r="W175" s="16">
        <f>_xlfn.XLOOKUP(CustomerCombinedCleaned[[#This Row],[ID]], Table2[ID],Table2[Complaint], "Not Found", 0 )</f>
        <v>0</v>
      </c>
      <c r="X175" s="16">
        <f>_xlfn.XLOOKUP(CustomerCombinedCleaned[[#This Row],[ID]], Table2[ID],Table2[Pilot], "Not Found", 0 )</f>
        <v>0</v>
      </c>
      <c r="Y175" s="16">
        <f>_xlfn.XLOOKUP(CustomerCombinedCleaned[[#This Row],[ID]], Table2[ID],Table2[MC1], "Not Found", 0 )</f>
        <v>0</v>
      </c>
      <c r="Z175" s="16">
        <f>_xlfn.XLOOKUP(CustomerCombinedCleaned[[#This Row],[ID]], Table2[ID],Table2[MC2], "Not Found", 0 )</f>
        <v>0</v>
      </c>
      <c r="AA175" s="16">
        <f>_xlfn.XLOOKUP(CustomerCombinedCleaned[[#This Row],[ID]], Table2[ID],Table2[MC3], "Not Found", 0 )</f>
        <v>0</v>
      </c>
      <c r="AB175" s="16">
        <f>_xlfn.XLOOKUP(CustomerCombinedCleaned[[#This Row],[ID]], Table2[ID],Table2[MC4], "Not Found", 0 )</f>
        <v>0</v>
      </c>
      <c r="AC175" s="16">
        <f>_xlfn.XLOOKUP(CustomerCombinedCleaned[[#This Row],[ID]], Table2[ID],Table2[MC5], "Not Found", 0 )</f>
        <v>0</v>
      </c>
    </row>
    <row r="176" spans="1:29" x14ac:dyDescent="0.3">
      <c r="A176" s="18">
        <v>3199</v>
      </c>
      <c r="B176" s="16">
        <v>126816</v>
      </c>
      <c r="C176" s="16">
        <v>0</v>
      </c>
      <c r="D176" s="16">
        <v>0</v>
      </c>
      <c r="E176" s="16">
        <v>34</v>
      </c>
      <c r="F176" s="17" t="s">
        <v>7</v>
      </c>
      <c r="G176" s="17" t="s">
        <v>11</v>
      </c>
      <c r="H176" s="3" t="s">
        <v>411</v>
      </c>
      <c r="I176" s="5" t="s">
        <v>437</v>
      </c>
      <c r="J176" s="16">
        <f>_xlfn.XLOOKUP(CustomerCombinedCleaned[[#This Row],[ID]], Table4[ID], Table4[Recency], "Not Found", 0)</f>
        <v>50</v>
      </c>
      <c r="K176" s="16">
        <f>_xlfn.XLOOKUP(CustomerCombinedCleaned[[#This Row],[ID]], Table4[ID], Table4[Teas], "Not Found", 0)</f>
        <v>24</v>
      </c>
      <c r="L176" s="16">
        <f>_xlfn.XLOOKUP(CustomerCombinedCleaned[[#This Row],[ID]], Table4[ID], Table4[Fruits], "Not Found", 0)</f>
        <v>5</v>
      </c>
      <c r="M176" s="16">
        <f>_xlfn.XLOOKUP(CustomerCombinedCleaned[[#This Row],[ID]], Table4[ID], Table4[Meats], "Not Found", 0)</f>
        <v>28</v>
      </c>
      <c r="N176" s="16">
        <f>_xlfn.XLOOKUP(CustomerCombinedCleaned[[#This Row],[ID]], Table4[ID], Table4[Seafood], "Not Found", 0)</f>
        <v>14</v>
      </c>
      <c r="O176" s="16">
        <f>_xlfn.XLOOKUP(CustomerCombinedCleaned[[#This Row],[ID]], Table4[ID], Table4[Sweets], "Not Found", 0)</f>
        <v>19</v>
      </c>
      <c r="P176" s="16">
        <f>_xlfn.XLOOKUP(CustomerCombinedCleaned[[#This Row],[ID]], Table4[ID], Table4[Premium], "Not Found", 0)</f>
        <v>14</v>
      </c>
      <c r="Q176" s="16">
        <f>_xlfn.XLOOKUP(CustomerCombinedCleaned[[#This Row],[ID]], Table4[ID], Table4[Regular], "Not Found", 0)</f>
        <v>76</v>
      </c>
      <c r="R176" s="16">
        <f>_xlfn.XLOOKUP(CustomerCombinedCleaned[[#This Row],[ID]], Table4[ID], Table4[Deals], "Not Found", 0)</f>
        <v>1</v>
      </c>
      <c r="S176" s="16">
        <f>_xlfn.XLOOKUP(CustomerCombinedCleaned[[#This Row],[ID]], Table4[ID], Table4[Website], "Not Found", 0)</f>
        <v>0</v>
      </c>
      <c r="T176" s="16">
        <f>_xlfn.XLOOKUP(CustomerCombinedCleaned[[#This Row],[ID]], Table4[ID], Table4[Catalog], "Not Found", 0)</f>
        <v>0</v>
      </c>
      <c r="U176" s="16">
        <f>_xlfn.XLOOKUP(CustomerCombinedCleaned[[#This Row],[ID]], Table4[ID], Table4[Store], "Not Found", 0)</f>
        <v>3</v>
      </c>
      <c r="V176" s="16">
        <f>_xlfn.XLOOKUP(CustomerCombinedCleaned[[#This Row],[ID]], Table4[ID], Table4[Visits], "Not Found", 0)</f>
        <v>4</v>
      </c>
      <c r="W176" s="16">
        <f>_xlfn.XLOOKUP(CustomerCombinedCleaned[[#This Row],[ID]], Table2[ID],Table2[Complaint], "Not Found", 0 )</f>
        <v>0</v>
      </c>
      <c r="X176" s="16">
        <f>_xlfn.XLOOKUP(CustomerCombinedCleaned[[#This Row],[ID]], Table2[ID],Table2[Pilot], "Not Found", 0 )</f>
        <v>0</v>
      </c>
      <c r="Y176" s="16">
        <f>_xlfn.XLOOKUP(CustomerCombinedCleaned[[#This Row],[ID]], Table2[ID],Table2[MC1], "Not Found", 0 )</f>
        <v>0</v>
      </c>
      <c r="Z176" s="16">
        <f>_xlfn.XLOOKUP(CustomerCombinedCleaned[[#This Row],[ID]], Table2[ID],Table2[MC2], "Not Found", 0 )</f>
        <v>0</v>
      </c>
      <c r="AA176" s="16">
        <f>_xlfn.XLOOKUP(CustomerCombinedCleaned[[#This Row],[ID]], Table2[ID],Table2[MC3], "Not Found", 0 )</f>
        <v>0</v>
      </c>
      <c r="AB176" s="16">
        <f>_xlfn.XLOOKUP(CustomerCombinedCleaned[[#This Row],[ID]], Table2[ID],Table2[MC4], "Not Found", 0 )</f>
        <v>0</v>
      </c>
      <c r="AC176" s="16">
        <f>_xlfn.XLOOKUP(CustomerCombinedCleaned[[#This Row],[ID]], Table2[ID],Table2[MC5], "Not Found", 0 )</f>
        <v>0</v>
      </c>
    </row>
    <row r="177" spans="1:29" x14ac:dyDescent="0.3">
      <c r="A177" s="18">
        <v>2130</v>
      </c>
      <c r="B177" s="16">
        <v>126576</v>
      </c>
      <c r="C177" s="16">
        <v>1</v>
      </c>
      <c r="D177" s="16">
        <v>0</v>
      </c>
      <c r="E177" s="16">
        <v>34</v>
      </c>
      <c r="F177" s="17" t="s">
        <v>7</v>
      </c>
      <c r="G177" s="17" t="s">
        <v>11</v>
      </c>
      <c r="H177" s="3" t="s">
        <v>381</v>
      </c>
      <c r="I177" s="5" t="s">
        <v>436</v>
      </c>
      <c r="J177" s="16">
        <f>_xlfn.XLOOKUP(CustomerCombinedCleaned[[#This Row],[ID]], Table4[ID], Table4[Recency], "Not Found", 0)</f>
        <v>40</v>
      </c>
      <c r="K177" s="16">
        <f>_xlfn.XLOOKUP(CustomerCombinedCleaned[[#This Row],[ID]], Table4[ID], Table4[Teas], "Not Found", 0)</f>
        <v>48</v>
      </c>
      <c r="L177" s="16">
        <f>_xlfn.XLOOKUP(CustomerCombinedCleaned[[#This Row],[ID]], Table4[ID], Table4[Fruits], "Not Found", 0)</f>
        <v>0</v>
      </c>
      <c r="M177" s="16">
        <f>_xlfn.XLOOKUP(CustomerCombinedCleaned[[#This Row],[ID]], Table4[ID], Table4[Meats], "Not Found", 0)</f>
        <v>38</v>
      </c>
      <c r="N177" s="16">
        <f>_xlfn.XLOOKUP(CustomerCombinedCleaned[[#This Row],[ID]], Table4[ID], Table4[Seafood], "Not Found", 0)</f>
        <v>0</v>
      </c>
      <c r="O177" s="16">
        <f>_xlfn.XLOOKUP(CustomerCombinedCleaned[[#This Row],[ID]], Table4[ID], Table4[Sweets], "Not Found", 0)</f>
        <v>0</v>
      </c>
      <c r="P177" s="16">
        <f>_xlfn.XLOOKUP(CustomerCombinedCleaned[[#This Row],[ID]], Table4[ID], Table4[Premium], "Not Found", 0)</f>
        <v>43</v>
      </c>
      <c r="Q177" s="16">
        <f>_xlfn.XLOOKUP(CustomerCombinedCleaned[[#This Row],[ID]], Table4[ID], Table4[Regular], "Not Found", 0)</f>
        <v>43</v>
      </c>
      <c r="R177" s="16">
        <f>_xlfn.XLOOKUP(CustomerCombinedCleaned[[#This Row],[ID]], Table4[ID], Table4[Deals], "Not Found", 0)</f>
        <v>1</v>
      </c>
      <c r="S177" s="16">
        <f>_xlfn.XLOOKUP(CustomerCombinedCleaned[[#This Row],[ID]], Table4[ID], Table4[Website], "Not Found", 0)</f>
        <v>1</v>
      </c>
      <c r="T177" s="16">
        <f>_xlfn.XLOOKUP(CustomerCombinedCleaned[[#This Row],[ID]], Table4[ID], Table4[Catalog], "Not Found", 0)</f>
        <v>0</v>
      </c>
      <c r="U177" s="16">
        <f>_xlfn.XLOOKUP(CustomerCombinedCleaned[[#This Row],[ID]], Table4[ID], Table4[Store], "Not Found", 0)</f>
        <v>2</v>
      </c>
      <c r="V177" s="16">
        <f>_xlfn.XLOOKUP(CustomerCombinedCleaned[[#This Row],[ID]], Table4[ID], Table4[Visits], "Not Found", 0)</f>
        <v>9</v>
      </c>
      <c r="W177" s="16">
        <f>_xlfn.XLOOKUP(CustomerCombinedCleaned[[#This Row],[ID]], Table2[ID],Table2[Complaint], "Not Found", 0 )</f>
        <v>0</v>
      </c>
      <c r="X177" s="16">
        <f>_xlfn.XLOOKUP(CustomerCombinedCleaned[[#This Row],[ID]], Table2[ID],Table2[Pilot], "Not Found", 0 )</f>
        <v>1</v>
      </c>
      <c r="Y177" s="16">
        <f>_xlfn.XLOOKUP(CustomerCombinedCleaned[[#This Row],[ID]], Table2[ID],Table2[MC1], "Not Found", 0 )</f>
        <v>0</v>
      </c>
      <c r="Z177" s="16">
        <f>_xlfn.XLOOKUP(CustomerCombinedCleaned[[#This Row],[ID]], Table2[ID],Table2[MC2], "Not Found", 0 )</f>
        <v>0</v>
      </c>
      <c r="AA177" s="16">
        <f>_xlfn.XLOOKUP(CustomerCombinedCleaned[[#This Row],[ID]], Table2[ID],Table2[MC3], "Not Found", 0 )</f>
        <v>1</v>
      </c>
      <c r="AB177" s="16">
        <f>_xlfn.XLOOKUP(CustomerCombinedCleaned[[#This Row],[ID]], Table2[ID],Table2[MC4], "Not Found", 0 )</f>
        <v>0</v>
      </c>
      <c r="AC177" s="16">
        <f>_xlfn.XLOOKUP(CustomerCombinedCleaned[[#This Row],[ID]], Table2[ID],Table2[MC5], "Not Found", 0 )</f>
        <v>0</v>
      </c>
    </row>
    <row r="178" spans="1:29" x14ac:dyDescent="0.3">
      <c r="A178" s="18">
        <v>1691</v>
      </c>
      <c r="B178" s="16">
        <v>125252</v>
      </c>
      <c r="C178" s="16">
        <v>1</v>
      </c>
      <c r="D178" s="16">
        <v>0</v>
      </c>
      <c r="E178" s="16">
        <v>34</v>
      </c>
      <c r="F178" s="17" t="s">
        <v>6</v>
      </c>
      <c r="G178" s="17" t="s">
        <v>11</v>
      </c>
      <c r="H178" s="3" t="s">
        <v>224</v>
      </c>
      <c r="I178" s="5" t="s">
        <v>434</v>
      </c>
      <c r="J178" s="16">
        <f>_xlfn.XLOOKUP(CustomerCombinedCleaned[[#This Row],[ID]], Table4[ID], Table4[Recency], "Not Found", 0)</f>
        <v>26</v>
      </c>
      <c r="K178" s="16">
        <f>_xlfn.XLOOKUP(CustomerCombinedCleaned[[#This Row],[ID]], Table4[ID], Table4[Teas], "Not Found", 0)</f>
        <v>5</v>
      </c>
      <c r="L178" s="16">
        <f>_xlfn.XLOOKUP(CustomerCombinedCleaned[[#This Row],[ID]], Table4[ID], Table4[Fruits], "Not Found", 0)</f>
        <v>15</v>
      </c>
      <c r="M178" s="16">
        <f>_xlfn.XLOOKUP(CustomerCombinedCleaned[[#This Row],[ID]], Table4[ID], Table4[Meats], "Not Found", 0)</f>
        <v>20</v>
      </c>
      <c r="N178" s="16">
        <f>_xlfn.XLOOKUP(CustomerCombinedCleaned[[#This Row],[ID]], Table4[ID], Table4[Seafood], "Not Found", 0)</f>
        <v>10</v>
      </c>
      <c r="O178" s="16">
        <f>_xlfn.XLOOKUP(CustomerCombinedCleaned[[#This Row],[ID]], Table4[ID], Table4[Sweets], "Not Found", 0)</f>
        <v>10</v>
      </c>
      <c r="P178" s="16">
        <f>_xlfn.XLOOKUP(CustomerCombinedCleaned[[#This Row],[ID]], Table4[ID], Table4[Premium], "Not Found", 0)</f>
        <v>30</v>
      </c>
      <c r="Q178" s="16">
        <f>_xlfn.XLOOKUP(CustomerCombinedCleaned[[#This Row],[ID]], Table4[ID], Table4[Regular], "Not Found", 0)</f>
        <v>30</v>
      </c>
      <c r="R178" s="16">
        <f>_xlfn.XLOOKUP(CustomerCombinedCleaned[[#This Row],[ID]], Table4[ID], Table4[Deals], "Not Found", 0)</f>
        <v>1</v>
      </c>
      <c r="S178" s="16">
        <f>_xlfn.XLOOKUP(CustomerCombinedCleaned[[#This Row],[ID]], Table4[ID], Table4[Website], "Not Found", 0)</f>
        <v>1</v>
      </c>
      <c r="T178" s="16">
        <f>_xlfn.XLOOKUP(CustomerCombinedCleaned[[#This Row],[ID]], Table4[ID], Table4[Catalog], "Not Found", 0)</f>
        <v>0</v>
      </c>
      <c r="U178" s="16">
        <f>_xlfn.XLOOKUP(CustomerCombinedCleaned[[#This Row],[ID]], Table4[ID], Table4[Store], "Not Found", 0)</f>
        <v>2</v>
      </c>
      <c r="V178" s="16">
        <f>_xlfn.XLOOKUP(CustomerCombinedCleaned[[#This Row],[ID]], Table4[ID], Table4[Visits], "Not Found", 0)</f>
        <v>8</v>
      </c>
      <c r="W178" s="16">
        <f>_xlfn.XLOOKUP(CustomerCombinedCleaned[[#This Row],[ID]], Table2[ID],Table2[Complaint], "Not Found", 0 )</f>
        <v>0</v>
      </c>
      <c r="X178" s="16">
        <f>_xlfn.XLOOKUP(CustomerCombinedCleaned[[#This Row],[ID]], Table2[ID],Table2[Pilot], "Not Found", 0 )</f>
        <v>0</v>
      </c>
      <c r="Y178" s="16">
        <f>_xlfn.XLOOKUP(CustomerCombinedCleaned[[#This Row],[ID]], Table2[ID],Table2[MC1], "Not Found", 0 )</f>
        <v>0</v>
      </c>
      <c r="Z178" s="16">
        <f>_xlfn.XLOOKUP(CustomerCombinedCleaned[[#This Row],[ID]], Table2[ID],Table2[MC2], "Not Found", 0 )</f>
        <v>0</v>
      </c>
      <c r="AA178" s="16">
        <f>_xlfn.XLOOKUP(CustomerCombinedCleaned[[#This Row],[ID]], Table2[ID],Table2[MC3], "Not Found", 0 )</f>
        <v>0</v>
      </c>
      <c r="AB178" s="16">
        <f>_xlfn.XLOOKUP(CustomerCombinedCleaned[[#This Row],[ID]], Table2[ID],Table2[MC4], "Not Found", 0 )</f>
        <v>0</v>
      </c>
      <c r="AC178" s="16">
        <f>_xlfn.XLOOKUP(CustomerCombinedCleaned[[#This Row],[ID]], Table2[ID],Table2[MC5], "Not Found", 0 )</f>
        <v>0</v>
      </c>
    </row>
    <row r="179" spans="1:29" x14ac:dyDescent="0.3">
      <c r="A179" s="18">
        <v>2963</v>
      </c>
      <c r="B179" s="16">
        <v>123477</v>
      </c>
      <c r="C179" s="16">
        <v>1</v>
      </c>
      <c r="D179" s="16">
        <v>0</v>
      </c>
      <c r="E179" s="16">
        <v>34</v>
      </c>
      <c r="F179" s="17" t="s">
        <v>6</v>
      </c>
      <c r="G179" s="17" t="s">
        <v>11</v>
      </c>
      <c r="H179" s="3" t="s">
        <v>161</v>
      </c>
      <c r="I179" s="5" t="s">
        <v>434</v>
      </c>
      <c r="J179" s="16">
        <f>_xlfn.XLOOKUP(CustomerCombinedCleaned[[#This Row],[ID]], Table4[ID], Table4[Recency], "Not Found", 0)</f>
        <v>39</v>
      </c>
      <c r="K179" s="16">
        <f>_xlfn.XLOOKUP(CustomerCombinedCleaned[[#This Row],[ID]], Table4[ID], Table4[Teas], "Not Found", 0)</f>
        <v>200</v>
      </c>
      <c r="L179" s="16">
        <f>_xlfn.XLOOKUP(CustomerCombinedCleaned[[#This Row],[ID]], Table4[ID], Table4[Fruits], "Not Found", 0)</f>
        <v>79</v>
      </c>
      <c r="M179" s="16">
        <f>_xlfn.XLOOKUP(CustomerCombinedCleaned[[#This Row],[ID]], Table4[ID], Table4[Meats], "Not Found", 0)</f>
        <v>284</v>
      </c>
      <c r="N179" s="16">
        <f>_xlfn.XLOOKUP(CustomerCombinedCleaned[[#This Row],[ID]], Table4[ID], Table4[Seafood], "Not Found", 0)</f>
        <v>16</v>
      </c>
      <c r="O179" s="16">
        <f>_xlfn.XLOOKUP(CustomerCombinedCleaned[[#This Row],[ID]], Table4[ID], Table4[Sweets], "Not Found", 0)</f>
        <v>42</v>
      </c>
      <c r="P179" s="16">
        <f>_xlfn.XLOOKUP(CustomerCombinedCleaned[[#This Row],[ID]], Table4[ID], Table4[Premium], "Not Found", 0)</f>
        <v>153</v>
      </c>
      <c r="Q179" s="16">
        <f>_xlfn.XLOOKUP(CustomerCombinedCleaned[[#This Row],[ID]], Table4[ID], Table4[Regular], "Not Found", 0)</f>
        <v>468</v>
      </c>
      <c r="R179" s="16">
        <f>_xlfn.XLOOKUP(CustomerCombinedCleaned[[#This Row],[ID]], Table4[ID], Table4[Deals], "Not Found", 0)</f>
        <v>3</v>
      </c>
      <c r="S179" s="16">
        <f>_xlfn.XLOOKUP(CustomerCombinedCleaned[[#This Row],[ID]], Table4[ID], Table4[Website], "Not Found", 0)</f>
        <v>3</v>
      </c>
      <c r="T179" s="16">
        <f>_xlfn.XLOOKUP(CustomerCombinedCleaned[[#This Row],[ID]], Table4[ID], Table4[Catalog], "Not Found", 0)</f>
        <v>0</v>
      </c>
      <c r="U179" s="16">
        <f>_xlfn.XLOOKUP(CustomerCombinedCleaned[[#This Row],[ID]], Table4[ID], Table4[Store], "Not Found", 0)</f>
        <v>4</v>
      </c>
      <c r="V179" s="16">
        <f>_xlfn.XLOOKUP(CustomerCombinedCleaned[[#This Row],[ID]], Table4[ID], Table4[Visits], "Not Found", 0)</f>
        <v>8</v>
      </c>
      <c r="W179" s="16">
        <f>_xlfn.XLOOKUP(CustomerCombinedCleaned[[#This Row],[ID]], Table2[ID],Table2[Complaint], "Not Found", 0 )</f>
        <v>0</v>
      </c>
      <c r="X179" s="16">
        <f>_xlfn.XLOOKUP(CustomerCombinedCleaned[[#This Row],[ID]], Table2[ID],Table2[Pilot], "Not Found", 0 )</f>
        <v>0</v>
      </c>
      <c r="Y179" s="16">
        <f>_xlfn.XLOOKUP(CustomerCombinedCleaned[[#This Row],[ID]], Table2[ID],Table2[MC1], "Not Found", 0 )</f>
        <v>0</v>
      </c>
      <c r="Z179" s="16">
        <f>_xlfn.XLOOKUP(CustomerCombinedCleaned[[#This Row],[ID]], Table2[ID],Table2[MC2], "Not Found", 0 )</f>
        <v>0</v>
      </c>
      <c r="AA179" s="16">
        <f>_xlfn.XLOOKUP(CustomerCombinedCleaned[[#This Row],[ID]], Table2[ID],Table2[MC3], "Not Found", 0 )</f>
        <v>0</v>
      </c>
      <c r="AB179" s="16">
        <f>_xlfn.XLOOKUP(CustomerCombinedCleaned[[#This Row],[ID]], Table2[ID],Table2[MC4], "Not Found", 0 )</f>
        <v>0</v>
      </c>
      <c r="AC179" s="16">
        <f>_xlfn.XLOOKUP(CustomerCombinedCleaned[[#This Row],[ID]], Table2[ID],Table2[MC5], "Not Found", 0 )</f>
        <v>0</v>
      </c>
    </row>
    <row r="180" spans="1:29" x14ac:dyDescent="0.3">
      <c r="A180" s="18">
        <v>2208</v>
      </c>
      <c r="B180" s="16">
        <v>122518</v>
      </c>
      <c r="C180" s="16">
        <v>1</v>
      </c>
      <c r="D180" s="16">
        <v>0</v>
      </c>
      <c r="E180" s="16">
        <v>34</v>
      </c>
      <c r="F180" s="17" t="s">
        <v>6</v>
      </c>
      <c r="G180" s="17" t="s">
        <v>11</v>
      </c>
      <c r="H180" s="3" t="s">
        <v>372</v>
      </c>
      <c r="I180" s="5" t="s">
        <v>436</v>
      </c>
      <c r="J180" s="16">
        <f>_xlfn.XLOOKUP(CustomerCombinedCleaned[[#This Row],[ID]], Table4[ID], Table4[Recency], "Not Found", 0)</f>
        <v>36</v>
      </c>
      <c r="K180" s="16">
        <f>_xlfn.XLOOKUP(CustomerCombinedCleaned[[#This Row],[ID]], Table4[ID], Table4[Teas], "Not Found", 0)</f>
        <v>60</v>
      </c>
      <c r="L180" s="16">
        <f>_xlfn.XLOOKUP(CustomerCombinedCleaned[[#This Row],[ID]], Table4[ID], Table4[Fruits], "Not Found", 0)</f>
        <v>38</v>
      </c>
      <c r="M180" s="16">
        <f>_xlfn.XLOOKUP(CustomerCombinedCleaned[[#This Row],[ID]], Table4[ID], Table4[Meats], "Not Found", 0)</f>
        <v>65</v>
      </c>
      <c r="N180" s="16">
        <f>_xlfn.XLOOKUP(CustomerCombinedCleaned[[#This Row],[ID]], Table4[ID], Table4[Seafood], "Not Found", 0)</f>
        <v>11</v>
      </c>
      <c r="O180" s="16">
        <f>_xlfn.XLOOKUP(CustomerCombinedCleaned[[#This Row],[ID]], Table4[ID], Table4[Sweets], "Not Found", 0)</f>
        <v>11</v>
      </c>
      <c r="P180" s="16">
        <f>_xlfn.XLOOKUP(CustomerCombinedCleaned[[#This Row],[ID]], Table4[ID], Table4[Premium], "Not Found", 0)</f>
        <v>147</v>
      </c>
      <c r="Q180" s="16">
        <f>_xlfn.XLOOKUP(CustomerCombinedCleaned[[#This Row],[ID]], Table4[ID], Table4[Regular], "Not Found", 0)</f>
        <v>38</v>
      </c>
      <c r="R180" s="16">
        <f>_xlfn.XLOOKUP(CustomerCombinedCleaned[[#This Row],[ID]], Table4[ID], Table4[Deals], "Not Found", 0)</f>
        <v>2</v>
      </c>
      <c r="S180" s="16">
        <f>_xlfn.XLOOKUP(CustomerCombinedCleaned[[#This Row],[ID]], Table4[ID], Table4[Website], "Not Found", 0)</f>
        <v>2</v>
      </c>
      <c r="T180" s="16">
        <f>_xlfn.XLOOKUP(CustomerCombinedCleaned[[#This Row],[ID]], Table4[ID], Table4[Catalog], "Not Found", 0)</f>
        <v>1</v>
      </c>
      <c r="U180" s="16">
        <f>_xlfn.XLOOKUP(CustomerCombinedCleaned[[#This Row],[ID]], Table4[ID], Table4[Store], "Not Found", 0)</f>
        <v>2</v>
      </c>
      <c r="V180" s="16">
        <f>_xlfn.XLOOKUP(CustomerCombinedCleaned[[#This Row],[ID]], Table4[ID], Table4[Visits], "Not Found", 0)</f>
        <v>5</v>
      </c>
      <c r="W180" s="16">
        <f>_xlfn.XLOOKUP(CustomerCombinedCleaned[[#This Row],[ID]], Table2[ID],Table2[Complaint], "Not Found", 0 )</f>
        <v>0</v>
      </c>
      <c r="X180" s="16">
        <f>_xlfn.XLOOKUP(CustomerCombinedCleaned[[#This Row],[ID]], Table2[ID],Table2[Pilot], "Not Found", 0 )</f>
        <v>1</v>
      </c>
      <c r="Y180" s="16">
        <f>_xlfn.XLOOKUP(CustomerCombinedCleaned[[#This Row],[ID]], Table2[ID],Table2[MC1], "Not Found", 0 )</f>
        <v>0</v>
      </c>
      <c r="Z180" s="16">
        <f>_xlfn.XLOOKUP(CustomerCombinedCleaned[[#This Row],[ID]], Table2[ID],Table2[MC2], "Not Found", 0 )</f>
        <v>0</v>
      </c>
      <c r="AA180" s="16">
        <f>_xlfn.XLOOKUP(CustomerCombinedCleaned[[#This Row],[ID]], Table2[ID],Table2[MC3], "Not Found", 0 )</f>
        <v>1</v>
      </c>
      <c r="AB180" s="16">
        <f>_xlfn.XLOOKUP(CustomerCombinedCleaned[[#This Row],[ID]], Table2[ID],Table2[MC4], "Not Found", 0 )</f>
        <v>0</v>
      </c>
      <c r="AC180" s="16">
        <f>_xlfn.XLOOKUP(CustomerCombinedCleaned[[#This Row],[ID]], Table2[ID],Table2[MC5], "Not Found", 0 )</f>
        <v>0</v>
      </c>
    </row>
    <row r="181" spans="1:29" x14ac:dyDescent="0.3">
      <c r="A181" s="18">
        <v>2739</v>
      </c>
      <c r="B181" s="16">
        <v>121955</v>
      </c>
      <c r="C181" s="16">
        <v>1</v>
      </c>
      <c r="D181" s="16">
        <v>0</v>
      </c>
      <c r="E181" s="16">
        <v>34</v>
      </c>
      <c r="F181" s="17" t="s">
        <v>6</v>
      </c>
      <c r="G181" s="17" t="s">
        <v>11</v>
      </c>
      <c r="H181" s="3" t="s">
        <v>745</v>
      </c>
      <c r="I181" s="5" t="s">
        <v>435</v>
      </c>
      <c r="J181" s="16">
        <f>_xlfn.XLOOKUP(CustomerCombinedCleaned[[#This Row],[ID]], Table4[ID], Table4[Recency], "Not Found", 0)</f>
        <v>81</v>
      </c>
      <c r="K181" s="16">
        <f>_xlfn.XLOOKUP(CustomerCombinedCleaned[[#This Row],[ID]], Table4[ID], Table4[Teas], "Not Found", 0)</f>
        <v>28</v>
      </c>
      <c r="L181" s="16">
        <f>_xlfn.XLOOKUP(CustomerCombinedCleaned[[#This Row],[ID]], Table4[ID], Table4[Fruits], "Not Found", 0)</f>
        <v>6</v>
      </c>
      <c r="M181" s="16">
        <f>_xlfn.XLOOKUP(CustomerCombinedCleaned[[#This Row],[ID]], Table4[ID], Table4[Meats], "Not Found", 0)</f>
        <v>39</v>
      </c>
      <c r="N181" s="16">
        <f>_xlfn.XLOOKUP(CustomerCombinedCleaned[[#This Row],[ID]], Table4[ID], Table4[Seafood], "Not Found", 0)</f>
        <v>94</v>
      </c>
      <c r="O181" s="16">
        <f>_xlfn.XLOOKUP(CustomerCombinedCleaned[[#This Row],[ID]], Table4[ID], Table4[Sweets], "Not Found", 0)</f>
        <v>78</v>
      </c>
      <c r="P181" s="16">
        <f>_xlfn.XLOOKUP(CustomerCombinedCleaned[[#This Row],[ID]], Table4[ID], Table4[Premium], "Not Found", 0)</f>
        <v>61</v>
      </c>
      <c r="Q181" s="16">
        <f>_xlfn.XLOOKUP(CustomerCombinedCleaned[[#This Row],[ID]], Table4[ID], Table4[Regular], "Not Found", 0)</f>
        <v>183</v>
      </c>
      <c r="R181" s="16">
        <f>_xlfn.XLOOKUP(CustomerCombinedCleaned[[#This Row],[ID]], Table4[ID], Table4[Deals], "Not Found", 0)</f>
        <v>2</v>
      </c>
      <c r="S181" s="16">
        <f>_xlfn.XLOOKUP(CustomerCombinedCleaned[[#This Row],[ID]], Table4[ID], Table4[Website], "Not Found", 0)</f>
        <v>2</v>
      </c>
      <c r="T181" s="16">
        <f>_xlfn.XLOOKUP(CustomerCombinedCleaned[[#This Row],[ID]], Table4[ID], Table4[Catalog], "Not Found", 0)</f>
        <v>1</v>
      </c>
      <c r="U181" s="16">
        <f>_xlfn.XLOOKUP(CustomerCombinedCleaned[[#This Row],[ID]], Table4[ID], Table4[Store], "Not Found", 0)</f>
        <v>3</v>
      </c>
      <c r="V181" s="16">
        <f>_xlfn.XLOOKUP(CustomerCombinedCleaned[[#This Row],[ID]], Table4[ID], Table4[Visits], "Not Found", 0)</f>
        <v>6</v>
      </c>
      <c r="W181" s="16">
        <f>_xlfn.XLOOKUP(CustomerCombinedCleaned[[#This Row],[ID]], Table2[ID],Table2[Complaint], "Not Found", 0 )</f>
        <v>0</v>
      </c>
      <c r="X181" s="16">
        <f>_xlfn.XLOOKUP(CustomerCombinedCleaned[[#This Row],[ID]], Table2[ID],Table2[Pilot], "Not Found", 0 )</f>
        <v>0</v>
      </c>
      <c r="Y181" s="16">
        <f>_xlfn.XLOOKUP(CustomerCombinedCleaned[[#This Row],[ID]], Table2[ID],Table2[MC1], "Not Found", 0 )</f>
        <v>0</v>
      </c>
      <c r="Z181" s="16">
        <f>_xlfn.XLOOKUP(CustomerCombinedCleaned[[#This Row],[ID]], Table2[ID],Table2[MC2], "Not Found", 0 )</f>
        <v>0</v>
      </c>
      <c r="AA181" s="16">
        <f>_xlfn.XLOOKUP(CustomerCombinedCleaned[[#This Row],[ID]], Table2[ID],Table2[MC3], "Not Found", 0 )</f>
        <v>0</v>
      </c>
      <c r="AB181" s="16">
        <f>_xlfn.XLOOKUP(CustomerCombinedCleaned[[#This Row],[ID]], Table2[ID],Table2[MC4], "Not Found", 0 )</f>
        <v>0</v>
      </c>
      <c r="AC181" s="16">
        <f>_xlfn.XLOOKUP(CustomerCombinedCleaned[[#This Row],[ID]], Table2[ID],Table2[MC5], "Not Found", 0 )</f>
        <v>0</v>
      </c>
    </row>
    <row r="182" spans="1:29" x14ac:dyDescent="0.3">
      <c r="A182" s="18">
        <v>1589</v>
      </c>
      <c r="B182" s="16">
        <v>121888</v>
      </c>
      <c r="C182" s="16">
        <v>1</v>
      </c>
      <c r="D182" s="16">
        <v>0</v>
      </c>
      <c r="E182" s="16">
        <v>34</v>
      </c>
      <c r="F182" s="17" t="s">
        <v>7</v>
      </c>
      <c r="G182" s="17" t="s">
        <v>12</v>
      </c>
      <c r="H182" s="3" t="s">
        <v>793</v>
      </c>
      <c r="I182" s="5" t="s">
        <v>434</v>
      </c>
      <c r="J182" s="16">
        <f>_xlfn.XLOOKUP(CustomerCombinedCleaned[[#This Row],[ID]], Table4[ID], Table4[Recency], "Not Found", 0)</f>
        <v>15</v>
      </c>
      <c r="K182" s="16">
        <f>_xlfn.XLOOKUP(CustomerCombinedCleaned[[#This Row],[ID]], Table4[ID], Table4[Teas], "Not Found", 0)</f>
        <v>490</v>
      </c>
      <c r="L182" s="16">
        <f>_xlfn.XLOOKUP(CustomerCombinedCleaned[[#This Row],[ID]], Table4[ID], Table4[Fruits], "Not Found", 0)</f>
        <v>56</v>
      </c>
      <c r="M182" s="16">
        <f>_xlfn.XLOOKUP(CustomerCombinedCleaned[[#This Row],[ID]], Table4[ID], Table4[Meats], "Not Found", 0)</f>
        <v>256</v>
      </c>
      <c r="N182" s="16">
        <f>_xlfn.XLOOKUP(CustomerCombinedCleaned[[#This Row],[ID]], Table4[ID], Table4[Seafood], "Not Found", 0)</f>
        <v>11</v>
      </c>
      <c r="O182" s="16">
        <f>_xlfn.XLOOKUP(CustomerCombinedCleaned[[#This Row],[ID]], Table4[ID], Table4[Sweets], "Not Found", 0)</f>
        <v>17</v>
      </c>
      <c r="P182" s="16">
        <f>_xlfn.XLOOKUP(CustomerCombinedCleaned[[#This Row],[ID]], Table4[ID], Table4[Premium], "Not Found", 0)</f>
        <v>356</v>
      </c>
      <c r="Q182" s="16">
        <f>_xlfn.XLOOKUP(CustomerCombinedCleaned[[#This Row],[ID]], Table4[ID], Table4[Regular], "Not Found", 0)</f>
        <v>473</v>
      </c>
      <c r="R182" s="16">
        <f>_xlfn.XLOOKUP(CustomerCombinedCleaned[[#This Row],[ID]], Table4[ID], Table4[Deals], "Not Found", 0)</f>
        <v>4</v>
      </c>
      <c r="S182" s="16">
        <f>_xlfn.XLOOKUP(CustomerCombinedCleaned[[#This Row],[ID]], Table4[ID], Table4[Website], "Not Found", 0)</f>
        <v>5</v>
      </c>
      <c r="T182" s="16">
        <f>_xlfn.XLOOKUP(CustomerCombinedCleaned[[#This Row],[ID]], Table4[ID], Table4[Catalog], "Not Found", 0)</f>
        <v>1</v>
      </c>
      <c r="U182" s="16">
        <f>_xlfn.XLOOKUP(CustomerCombinedCleaned[[#This Row],[ID]], Table4[ID], Table4[Store], "Not Found", 0)</f>
        <v>2</v>
      </c>
      <c r="V182" s="16">
        <f>_xlfn.XLOOKUP(CustomerCombinedCleaned[[#This Row],[ID]], Table4[ID], Table4[Visits], "Not Found", 0)</f>
        <v>10</v>
      </c>
      <c r="W182" s="16">
        <f>_xlfn.XLOOKUP(CustomerCombinedCleaned[[#This Row],[ID]], Table2[ID],Table2[Complaint], "Not Found", 0 )</f>
        <v>0</v>
      </c>
      <c r="X182" s="16">
        <f>_xlfn.XLOOKUP(CustomerCombinedCleaned[[#This Row],[ID]], Table2[ID],Table2[Pilot], "Not Found", 0 )</f>
        <v>1</v>
      </c>
      <c r="Y182" s="16">
        <f>_xlfn.XLOOKUP(CustomerCombinedCleaned[[#This Row],[ID]], Table2[ID],Table2[MC1], "Not Found", 0 )</f>
        <v>0</v>
      </c>
      <c r="Z182" s="16">
        <f>_xlfn.XLOOKUP(CustomerCombinedCleaned[[#This Row],[ID]], Table2[ID],Table2[MC2], "Not Found", 0 )</f>
        <v>0</v>
      </c>
      <c r="AA182" s="16">
        <f>_xlfn.XLOOKUP(CustomerCombinedCleaned[[#This Row],[ID]], Table2[ID],Table2[MC3], "Not Found", 0 )</f>
        <v>0</v>
      </c>
      <c r="AB182" s="16">
        <f>_xlfn.XLOOKUP(CustomerCombinedCleaned[[#This Row],[ID]], Table2[ID],Table2[MC4], "Not Found", 0 )</f>
        <v>0</v>
      </c>
      <c r="AC182" s="16">
        <f>_xlfn.XLOOKUP(CustomerCombinedCleaned[[#This Row],[ID]], Table2[ID],Table2[MC5], "Not Found", 0 )</f>
        <v>0</v>
      </c>
    </row>
    <row r="183" spans="1:29" x14ac:dyDescent="0.3">
      <c r="A183" s="18">
        <v>1880</v>
      </c>
      <c r="B183" s="16">
        <v>121846</v>
      </c>
      <c r="C183" s="16">
        <v>1</v>
      </c>
      <c r="D183" s="16">
        <v>0</v>
      </c>
      <c r="E183" s="16">
        <v>34</v>
      </c>
      <c r="F183" s="17" t="s">
        <v>5</v>
      </c>
      <c r="G183" s="17" t="s">
        <v>11</v>
      </c>
      <c r="H183" s="3" t="s">
        <v>160</v>
      </c>
      <c r="I183" s="5" t="s">
        <v>438</v>
      </c>
      <c r="J183" s="16">
        <f>_xlfn.XLOOKUP(CustomerCombinedCleaned[[#This Row],[ID]], Table4[ID], Table4[Recency], "Not Found", 0)</f>
        <v>38</v>
      </c>
      <c r="K183" s="16">
        <f>_xlfn.XLOOKUP(CustomerCombinedCleaned[[#This Row],[ID]], Table4[ID], Table4[Teas], "Not Found", 0)</f>
        <v>39</v>
      </c>
      <c r="L183" s="16">
        <f>_xlfn.XLOOKUP(CustomerCombinedCleaned[[#This Row],[ID]], Table4[ID], Table4[Fruits], "Not Found", 0)</f>
        <v>95</v>
      </c>
      <c r="M183" s="16">
        <f>_xlfn.XLOOKUP(CustomerCombinedCleaned[[#This Row],[ID]], Table4[ID], Table4[Meats], "Not Found", 0)</f>
        <v>100</v>
      </c>
      <c r="N183" s="16">
        <f>_xlfn.XLOOKUP(CustomerCombinedCleaned[[#This Row],[ID]], Table4[ID], Table4[Seafood], "Not Found", 0)</f>
        <v>33</v>
      </c>
      <c r="O183" s="16">
        <f>_xlfn.XLOOKUP(CustomerCombinedCleaned[[#This Row],[ID]], Table4[ID], Table4[Sweets], "Not Found", 0)</f>
        <v>56</v>
      </c>
      <c r="P183" s="16">
        <f>_xlfn.XLOOKUP(CustomerCombinedCleaned[[#This Row],[ID]], Table4[ID], Table4[Premium], "Not Found", 0)</f>
        <v>145</v>
      </c>
      <c r="Q183" s="16">
        <f>_xlfn.XLOOKUP(CustomerCombinedCleaned[[#This Row],[ID]], Table4[ID], Table4[Regular], "Not Found", 0)</f>
        <v>178</v>
      </c>
      <c r="R183" s="16">
        <f>_xlfn.XLOOKUP(CustomerCombinedCleaned[[#This Row],[ID]], Table4[ID], Table4[Deals], "Not Found", 0)</f>
        <v>4</v>
      </c>
      <c r="S183" s="16">
        <f>_xlfn.XLOOKUP(CustomerCombinedCleaned[[#This Row],[ID]], Table4[ID], Table4[Website], "Not Found", 0)</f>
        <v>4</v>
      </c>
      <c r="T183" s="16">
        <f>_xlfn.XLOOKUP(CustomerCombinedCleaned[[#This Row],[ID]], Table4[ID], Table4[Catalog], "Not Found", 0)</f>
        <v>0</v>
      </c>
      <c r="U183" s="16">
        <f>_xlfn.XLOOKUP(CustomerCombinedCleaned[[#This Row],[ID]], Table4[ID], Table4[Store], "Not Found", 0)</f>
        <v>3</v>
      </c>
      <c r="V183" s="16">
        <f>_xlfn.XLOOKUP(CustomerCombinedCleaned[[#This Row],[ID]], Table4[ID], Table4[Visits], "Not Found", 0)</f>
        <v>8</v>
      </c>
      <c r="W183" s="16">
        <f>_xlfn.XLOOKUP(CustomerCombinedCleaned[[#This Row],[ID]], Table2[ID],Table2[Complaint], "Not Found", 0 )</f>
        <v>0</v>
      </c>
      <c r="X183" s="16">
        <f>_xlfn.XLOOKUP(CustomerCombinedCleaned[[#This Row],[ID]], Table2[ID],Table2[Pilot], "Not Found", 0 )</f>
        <v>0</v>
      </c>
      <c r="Y183" s="16">
        <f>_xlfn.XLOOKUP(CustomerCombinedCleaned[[#This Row],[ID]], Table2[ID],Table2[MC1], "Not Found", 0 )</f>
        <v>0</v>
      </c>
      <c r="Z183" s="16">
        <f>_xlfn.XLOOKUP(CustomerCombinedCleaned[[#This Row],[ID]], Table2[ID],Table2[MC2], "Not Found", 0 )</f>
        <v>0</v>
      </c>
      <c r="AA183" s="16">
        <f>_xlfn.XLOOKUP(CustomerCombinedCleaned[[#This Row],[ID]], Table2[ID],Table2[MC3], "Not Found", 0 )</f>
        <v>0</v>
      </c>
      <c r="AB183" s="16">
        <f>_xlfn.XLOOKUP(CustomerCombinedCleaned[[#This Row],[ID]], Table2[ID],Table2[MC4], "Not Found", 0 )</f>
        <v>0</v>
      </c>
      <c r="AC183" s="16">
        <f>_xlfn.XLOOKUP(CustomerCombinedCleaned[[#This Row],[ID]], Table2[ID],Table2[MC5], "Not Found", 0 )</f>
        <v>0</v>
      </c>
    </row>
    <row r="184" spans="1:29" x14ac:dyDescent="0.3">
      <c r="A184" s="18">
        <v>2413</v>
      </c>
      <c r="B184" s="16">
        <v>120491</v>
      </c>
      <c r="C184" s="16">
        <v>0</v>
      </c>
      <c r="D184" s="16">
        <v>0</v>
      </c>
      <c r="E184" s="16">
        <v>34</v>
      </c>
      <c r="F184" s="17" t="s">
        <v>8</v>
      </c>
      <c r="G184" s="17" t="s">
        <v>11</v>
      </c>
      <c r="H184" s="3" t="s">
        <v>727</v>
      </c>
      <c r="I184" s="5" t="s">
        <v>437</v>
      </c>
      <c r="J184" s="16">
        <f>_xlfn.XLOOKUP(CustomerCombinedCleaned[[#This Row],[ID]], Table4[ID], Table4[Recency], "Not Found", 0)</f>
        <v>16</v>
      </c>
      <c r="K184" s="16">
        <f>_xlfn.XLOOKUP(CustomerCombinedCleaned[[#This Row],[ID]], Table4[ID], Table4[Teas], "Not Found", 0)</f>
        <v>29</v>
      </c>
      <c r="L184" s="16">
        <f>_xlfn.XLOOKUP(CustomerCombinedCleaned[[#This Row],[ID]], Table4[ID], Table4[Fruits], "Not Found", 0)</f>
        <v>24</v>
      </c>
      <c r="M184" s="16">
        <f>_xlfn.XLOOKUP(CustomerCombinedCleaned[[#This Row],[ID]], Table4[ID], Table4[Meats], "Not Found", 0)</f>
        <v>29</v>
      </c>
      <c r="N184" s="16">
        <f>_xlfn.XLOOKUP(CustomerCombinedCleaned[[#This Row],[ID]], Table4[ID], Table4[Seafood], "Not Found", 0)</f>
        <v>24</v>
      </c>
      <c r="O184" s="16">
        <f>_xlfn.XLOOKUP(CustomerCombinedCleaned[[#This Row],[ID]], Table4[ID], Table4[Sweets], "Not Found", 0)</f>
        <v>12</v>
      </c>
      <c r="P184" s="16">
        <f>_xlfn.XLOOKUP(CustomerCombinedCleaned[[#This Row],[ID]], Table4[ID], Table4[Premium], "Not Found", 0)</f>
        <v>59</v>
      </c>
      <c r="Q184" s="16">
        <f>_xlfn.XLOOKUP(CustomerCombinedCleaned[[#This Row],[ID]], Table4[ID], Table4[Regular], "Not Found", 0)</f>
        <v>59</v>
      </c>
      <c r="R184" s="16">
        <f>_xlfn.XLOOKUP(CustomerCombinedCleaned[[#This Row],[ID]], Table4[ID], Table4[Deals], "Not Found", 0)</f>
        <v>1</v>
      </c>
      <c r="S184" s="16">
        <f>_xlfn.XLOOKUP(CustomerCombinedCleaned[[#This Row],[ID]], Table4[ID], Table4[Website], "Not Found", 0)</f>
        <v>0</v>
      </c>
      <c r="T184" s="16">
        <f>_xlfn.XLOOKUP(CustomerCombinedCleaned[[#This Row],[ID]], Table4[ID], Table4[Catalog], "Not Found", 0)</f>
        <v>1</v>
      </c>
      <c r="U184" s="16">
        <f>_xlfn.XLOOKUP(CustomerCombinedCleaned[[#This Row],[ID]], Table4[ID], Table4[Store], "Not Found", 0)</f>
        <v>2</v>
      </c>
      <c r="V184" s="16">
        <f>_xlfn.XLOOKUP(CustomerCombinedCleaned[[#This Row],[ID]], Table4[ID], Table4[Visits], "Not Found", 0)</f>
        <v>7</v>
      </c>
      <c r="W184" s="16">
        <f>_xlfn.XLOOKUP(CustomerCombinedCleaned[[#This Row],[ID]], Table2[ID],Table2[Complaint], "Not Found", 0 )</f>
        <v>0</v>
      </c>
      <c r="X184" s="16">
        <f>_xlfn.XLOOKUP(CustomerCombinedCleaned[[#This Row],[ID]], Table2[ID],Table2[Pilot], "Not Found", 0 )</f>
        <v>0</v>
      </c>
      <c r="Y184" s="16">
        <f>_xlfn.XLOOKUP(CustomerCombinedCleaned[[#This Row],[ID]], Table2[ID],Table2[MC1], "Not Found", 0 )</f>
        <v>0</v>
      </c>
      <c r="Z184" s="16">
        <f>_xlfn.XLOOKUP(CustomerCombinedCleaned[[#This Row],[ID]], Table2[ID],Table2[MC2], "Not Found", 0 )</f>
        <v>0</v>
      </c>
      <c r="AA184" s="16">
        <f>_xlfn.XLOOKUP(CustomerCombinedCleaned[[#This Row],[ID]], Table2[ID],Table2[MC3], "Not Found", 0 )</f>
        <v>0</v>
      </c>
      <c r="AB184" s="16">
        <f>_xlfn.XLOOKUP(CustomerCombinedCleaned[[#This Row],[ID]], Table2[ID],Table2[MC4], "Not Found", 0 )</f>
        <v>0</v>
      </c>
      <c r="AC184" s="16">
        <f>_xlfn.XLOOKUP(CustomerCombinedCleaned[[#This Row],[ID]], Table2[ID],Table2[MC5], "Not Found", 0 )</f>
        <v>0</v>
      </c>
    </row>
    <row r="185" spans="1:29" x14ac:dyDescent="0.3">
      <c r="A185" s="18">
        <v>1766</v>
      </c>
      <c r="B185" s="16">
        <v>120425</v>
      </c>
      <c r="C185" s="16">
        <v>1</v>
      </c>
      <c r="D185" s="16">
        <v>0</v>
      </c>
      <c r="E185" s="16">
        <v>34</v>
      </c>
      <c r="F185" s="17" t="s">
        <v>6</v>
      </c>
      <c r="G185" s="17" t="s">
        <v>10</v>
      </c>
      <c r="H185" s="3" t="s">
        <v>619</v>
      </c>
      <c r="I185" s="5" t="s">
        <v>438</v>
      </c>
      <c r="J185" s="16">
        <f>_xlfn.XLOOKUP(CustomerCombinedCleaned[[#This Row],[ID]], Table4[ID], Table4[Recency], "Not Found", 0)</f>
        <v>5</v>
      </c>
      <c r="K185" s="16">
        <f>_xlfn.XLOOKUP(CustomerCombinedCleaned[[#This Row],[ID]], Table4[ID], Table4[Teas], "Not Found", 0)</f>
        <v>24</v>
      </c>
      <c r="L185" s="16">
        <f>_xlfn.XLOOKUP(CustomerCombinedCleaned[[#This Row],[ID]], Table4[ID], Table4[Fruits], "Not Found", 0)</f>
        <v>71</v>
      </c>
      <c r="M185" s="16">
        <f>_xlfn.XLOOKUP(CustomerCombinedCleaned[[#This Row],[ID]], Table4[ID], Table4[Meats], "Not Found", 0)</f>
        <v>29</v>
      </c>
      <c r="N185" s="16">
        <f>_xlfn.XLOOKUP(CustomerCombinedCleaned[[#This Row],[ID]], Table4[ID], Table4[Seafood], "Not Found", 0)</f>
        <v>18</v>
      </c>
      <c r="O185" s="16">
        <f>_xlfn.XLOOKUP(CustomerCombinedCleaned[[#This Row],[ID]], Table4[ID], Table4[Sweets], "Not Found", 0)</f>
        <v>94</v>
      </c>
      <c r="P185" s="16">
        <f>_xlfn.XLOOKUP(CustomerCombinedCleaned[[#This Row],[ID]], Table4[ID], Table4[Premium], "Not Found", 0)</f>
        <v>100</v>
      </c>
      <c r="Q185" s="16">
        <f>_xlfn.XLOOKUP(CustomerCombinedCleaned[[#This Row],[ID]], Table4[ID], Table4[Regular], "Not Found", 0)</f>
        <v>136</v>
      </c>
      <c r="R185" s="16">
        <f>_xlfn.XLOOKUP(CustomerCombinedCleaned[[#This Row],[ID]], Table4[ID], Table4[Deals], "Not Found", 0)</f>
        <v>2</v>
      </c>
      <c r="S185" s="16">
        <f>_xlfn.XLOOKUP(CustomerCombinedCleaned[[#This Row],[ID]], Table4[ID], Table4[Website], "Not Found", 0)</f>
        <v>2</v>
      </c>
      <c r="T185" s="16">
        <f>_xlfn.XLOOKUP(CustomerCombinedCleaned[[#This Row],[ID]], Table4[ID], Table4[Catalog], "Not Found", 0)</f>
        <v>0</v>
      </c>
      <c r="U185" s="16">
        <f>_xlfn.XLOOKUP(CustomerCombinedCleaned[[#This Row],[ID]], Table4[ID], Table4[Store], "Not Found", 0)</f>
        <v>3</v>
      </c>
      <c r="V185" s="16">
        <f>_xlfn.XLOOKUP(CustomerCombinedCleaned[[#This Row],[ID]], Table4[ID], Table4[Visits], "Not Found", 0)</f>
        <v>7</v>
      </c>
      <c r="W185" s="16">
        <f>_xlfn.XLOOKUP(CustomerCombinedCleaned[[#This Row],[ID]], Table2[ID],Table2[Complaint], "Not Found", 0 )</f>
        <v>0</v>
      </c>
      <c r="X185" s="16">
        <f>_xlfn.XLOOKUP(CustomerCombinedCleaned[[#This Row],[ID]], Table2[ID],Table2[Pilot], "Not Found", 0 )</f>
        <v>0</v>
      </c>
      <c r="Y185" s="16">
        <f>_xlfn.XLOOKUP(CustomerCombinedCleaned[[#This Row],[ID]], Table2[ID],Table2[MC1], "Not Found", 0 )</f>
        <v>0</v>
      </c>
      <c r="Z185" s="16">
        <f>_xlfn.XLOOKUP(CustomerCombinedCleaned[[#This Row],[ID]], Table2[ID],Table2[MC2], "Not Found", 0 )</f>
        <v>0</v>
      </c>
      <c r="AA185" s="16">
        <f>_xlfn.XLOOKUP(CustomerCombinedCleaned[[#This Row],[ID]], Table2[ID],Table2[MC3], "Not Found", 0 )</f>
        <v>0</v>
      </c>
      <c r="AB185" s="16">
        <f>_xlfn.XLOOKUP(CustomerCombinedCleaned[[#This Row],[ID]], Table2[ID],Table2[MC4], "Not Found", 0 )</f>
        <v>0</v>
      </c>
      <c r="AC185" s="16">
        <f>_xlfn.XLOOKUP(CustomerCombinedCleaned[[#This Row],[ID]], Table2[ID],Table2[MC5], "Not Found", 0 )</f>
        <v>0</v>
      </c>
    </row>
    <row r="186" spans="1:29" x14ac:dyDescent="0.3">
      <c r="A186" s="18">
        <v>3074</v>
      </c>
      <c r="B186" s="16">
        <v>120425</v>
      </c>
      <c r="C186" s="16">
        <v>1</v>
      </c>
      <c r="D186" s="16">
        <v>0</v>
      </c>
      <c r="E186" s="16">
        <v>34</v>
      </c>
      <c r="F186" s="17" t="s">
        <v>6</v>
      </c>
      <c r="G186" s="17" t="s">
        <v>10</v>
      </c>
      <c r="H186" s="3" t="s">
        <v>619</v>
      </c>
      <c r="I186" s="5" t="s">
        <v>438</v>
      </c>
      <c r="J186" s="16">
        <f>_xlfn.XLOOKUP(CustomerCombinedCleaned[[#This Row],[ID]], Table4[ID], Table4[Recency], "Not Found", 0)</f>
        <v>5</v>
      </c>
      <c r="K186" s="16">
        <f>_xlfn.XLOOKUP(CustomerCombinedCleaned[[#This Row],[ID]], Table4[ID], Table4[Teas], "Not Found", 0)</f>
        <v>24</v>
      </c>
      <c r="L186" s="16">
        <f>_xlfn.XLOOKUP(CustomerCombinedCleaned[[#This Row],[ID]], Table4[ID], Table4[Fruits], "Not Found", 0)</f>
        <v>71</v>
      </c>
      <c r="M186" s="16">
        <f>_xlfn.XLOOKUP(CustomerCombinedCleaned[[#This Row],[ID]], Table4[ID], Table4[Meats], "Not Found", 0)</f>
        <v>29</v>
      </c>
      <c r="N186" s="16">
        <f>_xlfn.XLOOKUP(CustomerCombinedCleaned[[#This Row],[ID]], Table4[ID], Table4[Seafood], "Not Found", 0)</f>
        <v>18</v>
      </c>
      <c r="O186" s="16">
        <f>_xlfn.XLOOKUP(CustomerCombinedCleaned[[#This Row],[ID]], Table4[ID], Table4[Sweets], "Not Found", 0)</f>
        <v>94</v>
      </c>
      <c r="P186" s="16">
        <f>_xlfn.XLOOKUP(CustomerCombinedCleaned[[#This Row],[ID]], Table4[ID], Table4[Premium], "Not Found", 0)</f>
        <v>100</v>
      </c>
      <c r="Q186" s="16">
        <f>_xlfn.XLOOKUP(CustomerCombinedCleaned[[#This Row],[ID]], Table4[ID], Table4[Regular], "Not Found", 0)</f>
        <v>136</v>
      </c>
      <c r="R186" s="16">
        <f>_xlfn.XLOOKUP(CustomerCombinedCleaned[[#This Row],[ID]], Table4[ID], Table4[Deals], "Not Found", 0)</f>
        <v>2</v>
      </c>
      <c r="S186" s="16">
        <f>_xlfn.XLOOKUP(CustomerCombinedCleaned[[#This Row],[ID]], Table4[ID], Table4[Website], "Not Found", 0)</f>
        <v>2</v>
      </c>
      <c r="T186" s="16">
        <f>_xlfn.XLOOKUP(CustomerCombinedCleaned[[#This Row],[ID]], Table4[ID], Table4[Catalog], "Not Found", 0)</f>
        <v>0</v>
      </c>
      <c r="U186" s="16">
        <f>_xlfn.XLOOKUP(CustomerCombinedCleaned[[#This Row],[ID]], Table4[ID], Table4[Store], "Not Found", 0)</f>
        <v>3</v>
      </c>
      <c r="V186" s="16">
        <f>_xlfn.XLOOKUP(CustomerCombinedCleaned[[#This Row],[ID]], Table4[ID], Table4[Visits], "Not Found", 0)</f>
        <v>7</v>
      </c>
      <c r="W186" s="16">
        <f>_xlfn.XLOOKUP(CustomerCombinedCleaned[[#This Row],[ID]], Table2[ID],Table2[Complaint], "Not Found", 0 )</f>
        <v>0</v>
      </c>
      <c r="X186" s="16">
        <f>_xlfn.XLOOKUP(CustomerCombinedCleaned[[#This Row],[ID]], Table2[ID],Table2[Pilot], "Not Found", 0 )</f>
        <v>0</v>
      </c>
      <c r="Y186" s="16">
        <f>_xlfn.XLOOKUP(CustomerCombinedCleaned[[#This Row],[ID]], Table2[ID],Table2[MC1], "Not Found", 0 )</f>
        <v>0</v>
      </c>
      <c r="Z186" s="16">
        <f>_xlfn.XLOOKUP(CustomerCombinedCleaned[[#This Row],[ID]], Table2[ID],Table2[MC2], "Not Found", 0 )</f>
        <v>0</v>
      </c>
      <c r="AA186" s="16">
        <f>_xlfn.XLOOKUP(CustomerCombinedCleaned[[#This Row],[ID]], Table2[ID],Table2[MC3], "Not Found", 0 )</f>
        <v>0</v>
      </c>
      <c r="AB186" s="16">
        <f>_xlfn.XLOOKUP(CustomerCombinedCleaned[[#This Row],[ID]], Table2[ID],Table2[MC4], "Not Found", 0 )</f>
        <v>0</v>
      </c>
      <c r="AC186" s="16">
        <f>_xlfn.XLOOKUP(CustomerCombinedCleaned[[#This Row],[ID]], Table2[ID],Table2[MC5], "Not Found", 0 )</f>
        <v>0</v>
      </c>
    </row>
    <row r="187" spans="1:29" x14ac:dyDescent="0.3">
      <c r="A187" s="18">
        <v>1848</v>
      </c>
      <c r="B187" s="16">
        <v>119485</v>
      </c>
      <c r="C187" s="16">
        <v>2</v>
      </c>
      <c r="D187" s="16">
        <v>0</v>
      </c>
      <c r="E187" s="16">
        <v>34</v>
      </c>
      <c r="F187" s="17" t="s">
        <v>7</v>
      </c>
      <c r="G187" s="17" t="s">
        <v>12</v>
      </c>
      <c r="H187" s="3" t="s">
        <v>175</v>
      </c>
      <c r="I187" s="5" t="s">
        <v>436</v>
      </c>
      <c r="J187" s="16">
        <f>_xlfn.XLOOKUP(CustomerCombinedCleaned[[#This Row],[ID]], Table4[ID], Table4[Recency], "Not Found", 0)</f>
        <v>80</v>
      </c>
      <c r="K187" s="16">
        <f>_xlfn.XLOOKUP(CustomerCombinedCleaned[[#This Row],[ID]], Table4[ID], Table4[Teas], "Not Found", 0)</f>
        <v>37</v>
      </c>
      <c r="L187" s="16">
        <f>_xlfn.XLOOKUP(CustomerCombinedCleaned[[#This Row],[ID]], Table4[ID], Table4[Fruits], "Not Found", 0)</f>
        <v>0</v>
      </c>
      <c r="M187" s="16">
        <f>_xlfn.XLOOKUP(CustomerCombinedCleaned[[#This Row],[ID]], Table4[ID], Table4[Meats], "Not Found", 0)</f>
        <v>25</v>
      </c>
      <c r="N187" s="16">
        <f>_xlfn.XLOOKUP(CustomerCombinedCleaned[[#This Row],[ID]], Table4[ID], Table4[Seafood], "Not Found", 0)</f>
        <v>0</v>
      </c>
      <c r="O187" s="16">
        <f>_xlfn.XLOOKUP(CustomerCombinedCleaned[[#This Row],[ID]], Table4[ID], Table4[Sweets], "Not Found", 0)</f>
        <v>0</v>
      </c>
      <c r="P187" s="16">
        <f>_xlfn.XLOOKUP(CustomerCombinedCleaned[[#This Row],[ID]], Table4[ID], Table4[Premium], "Not Found", 0)</f>
        <v>0</v>
      </c>
      <c r="Q187" s="16">
        <f>_xlfn.XLOOKUP(CustomerCombinedCleaned[[#This Row],[ID]], Table4[ID], Table4[Regular], "Not Found", 0)</f>
        <v>61</v>
      </c>
      <c r="R187" s="16">
        <f>_xlfn.XLOOKUP(CustomerCombinedCleaned[[#This Row],[ID]], Table4[ID], Table4[Deals], "Not Found", 0)</f>
        <v>1</v>
      </c>
      <c r="S187" s="16">
        <f>_xlfn.XLOOKUP(CustomerCombinedCleaned[[#This Row],[ID]], Table4[ID], Table4[Website], "Not Found", 0)</f>
        <v>1</v>
      </c>
      <c r="T187" s="16">
        <f>_xlfn.XLOOKUP(CustomerCombinedCleaned[[#This Row],[ID]], Table4[ID], Table4[Catalog], "Not Found", 0)</f>
        <v>0</v>
      </c>
      <c r="U187" s="16">
        <f>_xlfn.XLOOKUP(CustomerCombinedCleaned[[#This Row],[ID]], Table4[ID], Table4[Store], "Not Found", 0)</f>
        <v>2</v>
      </c>
      <c r="V187" s="16">
        <f>_xlfn.XLOOKUP(CustomerCombinedCleaned[[#This Row],[ID]], Table4[ID], Table4[Visits], "Not Found", 0)</f>
        <v>7</v>
      </c>
      <c r="W187" s="16">
        <f>_xlfn.XLOOKUP(CustomerCombinedCleaned[[#This Row],[ID]], Table2[ID],Table2[Complaint], "Not Found", 0 )</f>
        <v>0</v>
      </c>
      <c r="X187" s="16">
        <f>_xlfn.XLOOKUP(CustomerCombinedCleaned[[#This Row],[ID]], Table2[ID],Table2[Pilot], "Not Found", 0 )</f>
        <v>0</v>
      </c>
      <c r="Y187" s="16">
        <f>_xlfn.XLOOKUP(CustomerCombinedCleaned[[#This Row],[ID]], Table2[ID],Table2[MC1], "Not Found", 0 )</f>
        <v>0</v>
      </c>
      <c r="Z187" s="16">
        <f>_xlfn.XLOOKUP(CustomerCombinedCleaned[[#This Row],[ID]], Table2[ID],Table2[MC2], "Not Found", 0 )</f>
        <v>0</v>
      </c>
      <c r="AA187" s="16">
        <f>_xlfn.XLOOKUP(CustomerCombinedCleaned[[#This Row],[ID]], Table2[ID],Table2[MC3], "Not Found", 0 )</f>
        <v>0</v>
      </c>
      <c r="AB187" s="16">
        <f>_xlfn.XLOOKUP(CustomerCombinedCleaned[[#This Row],[ID]], Table2[ID],Table2[MC4], "Not Found", 0 )</f>
        <v>0</v>
      </c>
      <c r="AC187" s="16">
        <f>_xlfn.XLOOKUP(CustomerCombinedCleaned[[#This Row],[ID]], Table2[ID],Table2[MC5], "Not Found", 0 )</f>
        <v>0</v>
      </c>
    </row>
    <row r="188" spans="1:29" x14ac:dyDescent="0.3">
      <c r="A188" s="18">
        <v>1925</v>
      </c>
      <c r="B188" s="16">
        <v>114906</v>
      </c>
      <c r="C188" s="16">
        <v>0</v>
      </c>
      <c r="D188" s="16">
        <v>0</v>
      </c>
      <c r="E188" s="16">
        <v>34</v>
      </c>
      <c r="F188" s="17" t="s">
        <v>7</v>
      </c>
      <c r="G188" s="17" t="s">
        <v>10</v>
      </c>
      <c r="H188" s="3" t="s">
        <v>337</v>
      </c>
      <c r="I188" s="5" t="s">
        <v>434</v>
      </c>
      <c r="J188" s="16">
        <f>_xlfn.XLOOKUP(CustomerCombinedCleaned[[#This Row],[ID]], Table4[ID], Table4[Recency], "Not Found", 0)</f>
        <v>86</v>
      </c>
      <c r="K188" s="16">
        <f>_xlfn.XLOOKUP(CustomerCombinedCleaned[[#This Row],[ID]], Table4[ID], Table4[Teas], "Not Found", 0)</f>
        <v>54</v>
      </c>
      <c r="L188" s="16">
        <f>_xlfn.XLOOKUP(CustomerCombinedCleaned[[#This Row],[ID]], Table4[ID], Table4[Fruits], "Not Found", 0)</f>
        <v>54</v>
      </c>
      <c r="M188" s="16">
        <f>_xlfn.XLOOKUP(CustomerCombinedCleaned[[#This Row],[ID]], Table4[ID], Table4[Meats], "Not Found", 0)</f>
        <v>108</v>
      </c>
      <c r="N188" s="16">
        <f>_xlfn.XLOOKUP(CustomerCombinedCleaned[[#This Row],[ID]], Table4[ID], Table4[Seafood], "Not Found", 0)</f>
        <v>54</v>
      </c>
      <c r="O188" s="16">
        <f>_xlfn.XLOOKUP(CustomerCombinedCleaned[[#This Row],[ID]], Table4[ID], Table4[Sweets], "Not Found", 0)</f>
        <v>123</v>
      </c>
      <c r="P188" s="16">
        <f>_xlfn.XLOOKUP(CustomerCombinedCleaned[[#This Row],[ID]], Table4[ID], Table4[Premium], "Not Found", 0)</f>
        <v>116</v>
      </c>
      <c r="Q188" s="16">
        <f>_xlfn.XLOOKUP(CustomerCombinedCleaned[[#This Row],[ID]], Table4[ID], Table4[Regular], "Not Found", 0)</f>
        <v>278</v>
      </c>
      <c r="R188" s="16">
        <f>_xlfn.XLOOKUP(CustomerCombinedCleaned[[#This Row],[ID]], Table4[ID], Table4[Deals], "Not Found", 0)</f>
        <v>3</v>
      </c>
      <c r="S188" s="16">
        <f>_xlfn.XLOOKUP(CustomerCombinedCleaned[[#This Row],[ID]], Table4[ID], Table4[Website], "Not Found", 0)</f>
        <v>2</v>
      </c>
      <c r="T188" s="16">
        <f>_xlfn.XLOOKUP(CustomerCombinedCleaned[[#This Row],[ID]], Table4[ID], Table4[Catalog], "Not Found", 0)</f>
        <v>1</v>
      </c>
      <c r="U188" s="16">
        <f>_xlfn.XLOOKUP(CustomerCombinedCleaned[[#This Row],[ID]], Table4[ID], Table4[Store], "Not Found", 0)</f>
        <v>3</v>
      </c>
      <c r="V188" s="16">
        <f>_xlfn.XLOOKUP(CustomerCombinedCleaned[[#This Row],[ID]], Table4[ID], Table4[Visits], "Not Found", 0)</f>
        <v>7</v>
      </c>
      <c r="W188" s="16">
        <f>_xlfn.XLOOKUP(CustomerCombinedCleaned[[#This Row],[ID]], Table2[ID],Table2[Complaint], "Not Found", 0 )</f>
        <v>0</v>
      </c>
      <c r="X188" s="16">
        <f>_xlfn.XLOOKUP(CustomerCombinedCleaned[[#This Row],[ID]], Table2[ID],Table2[Pilot], "Not Found", 0 )</f>
        <v>0</v>
      </c>
      <c r="Y188" s="16">
        <f>_xlfn.XLOOKUP(CustomerCombinedCleaned[[#This Row],[ID]], Table2[ID],Table2[MC1], "Not Found", 0 )</f>
        <v>0</v>
      </c>
      <c r="Z188" s="16">
        <f>_xlfn.XLOOKUP(CustomerCombinedCleaned[[#This Row],[ID]], Table2[ID],Table2[MC2], "Not Found", 0 )</f>
        <v>0</v>
      </c>
      <c r="AA188" s="16">
        <f>_xlfn.XLOOKUP(CustomerCombinedCleaned[[#This Row],[ID]], Table2[ID],Table2[MC3], "Not Found", 0 )</f>
        <v>0</v>
      </c>
      <c r="AB188" s="16">
        <f>_xlfn.XLOOKUP(CustomerCombinedCleaned[[#This Row],[ID]], Table2[ID],Table2[MC4], "Not Found", 0 )</f>
        <v>0</v>
      </c>
      <c r="AC188" s="16">
        <f>_xlfn.XLOOKUP(CustomerCombinedCleaned[[#This Row],[ID]], Table2[ID],Table2[MC5], "Not Found", 0 )</f>
        <v>0</v>
      </c>
    </row>
    <row r="189" spans="1:29" x14ac:dyDescent="0.3">
      <c r="A189" s="18">
        <v>2201</v>
      </c>
      <c r="B189" s="16">
        <v>108940</v>
      </c>
      <c r="C189" s="16">
        <v>1</v>
      </c>
      <c r="D189" s="16">
        <v>0</v>
      </c>
      <c r="E189" s="16">
        <v>34</v>
      </c>
      <c r="F189" s="17" t="s">
        <v>7</v>
      </c>
      <c r="G189" s="17" t="s">
        <v>10</v>
      </c>
      <c r="H189" s="3" t="s">
        <v>406</v>
      </c>
      <c r="I189" s="5" t="s">
        <v>434</v>
      </c>
      <c r="J189" s="16">
        <f>_xlfn.XLOOKUP(CustomerCombinedCleaned[[#This Row],[ID]], Table4[ID], Table4[Recency], "Not Found", 0)</f>
        <v>25</v>
      </c>
      <c r="K189" s="16">
        <f>_xlfn.XLOOKUP(CustomerCombinedCleaned[[#This Row],[ID]], Table4[ID], Table4[Teas], "Not Found", 0)</f>
        <v>12</v>
      </c>
      <c r="L189" s="16">
        <f>_xlfn.XLOOKUP(CustomerCombinedCleaned[[#This Row],[ID]], Table4[ID], Table4[Fruits], "Not Found", 0)</f>
        <v>548</v>
      </c>
      <c r="M189" s="16">
        <f>_xlfn.XLOOKUP(CustomerCombinedCleaned[[#This Row],[ID]], Table4[ID], Table4[Meats], "Not Found", 0)</f>
        <v>37</v>
      </c>
      <c r="N189" s="16">
        <f>_xlfn.XLOOKUP(CustomerCombinedCleaned[[#This Row],[ID]], Table4[ID], Table4[Seafood], "Not Found", 0)</f>
        <v>49</v>
      </c>
      <c r="O189" s="16">
        <f>_xlfn.XLOOKUP(CustomerCombinedCleaned[[#This Row],[ID]], Table4[ID], Table4[Sweets], "Not Found", 0)</f>
        <v>73</v>
      </c>
      <c r="P189" s="16">
        <f>_xlfn.XLOOKUP(CustomerCombinedCleaned[[#This Row],[ID]], Table4[ID], Table4[Premium], "Not Found", 0)</f>
        <v>512</v>
      </c>
      <c r="Q189" s="16">
        <f>_xlfn.XLOOKUP(CustomerCombinedCleaned[[#This Row],[ID]], Table4[ID], Table4[Regular], "Not Found", 0)</f>
        <v>207</v>
      </c>
      <c r="R189" s="16">
        <f>_xlfn.XLOOKUP(CustomerCombinedCleaned[[#This Row],[ID]], Table4[ID], Table4[Deals], "Not Found", 0)</f>
        <v>3</v>
      </c>
      <c r="S189" s="16">
        <f>_xlfn.XLOOKUP(CustomerCombinedCleaned[[#This Row],[ID]], Table4[ID], Table4[Website], "Not Found", 0)</f>
        <v>3</v>
      </c>
      <c r="T189" s="16">
        <f>_xlfn.XLOOKUP(CustomerCombinedCleaned[[#This Row],[ID]], Table4[ID], Table4[Catalog], "Not Found", 0)</f>
        <v>1</v>
      </c>
      <c r="U189" s="16">
        <f>_xlfn.XLOOKUP(CustomerCombinedCleaned[[#This Row],[ID]], Table4[ID], Table4[Store], "Not Found", 0)</f>
        <v>3</v>
      </c>
      <c r="V189" s="16">
        <f>_xlfn.XLOOKUP(CustomerCombinedCleaned[[#This Row],[ID]], Table4[ID], Table4[Visits], "Not Found", 0)</f>
        <v>8</v>
      </c>
      <c r="W189" s="16">
        <f>_xlfn.XLOOKUP(CustomerCombinedCleaned[[#This Row],[ID]], Table2[ID],Table2[Complaint], "Not Found", 0 )</f>
        <v>0</v>
      </c>
      <c r="X189" s="16">
        <f>_xlfn.XLOOKUP(CustomerCombinedCleaned[[#This Row],[ID]], Table2[ID],Table2[Pilot], "Not Found", 0 )</f>
        <v>0</v>
      </c>
      <c r="Y189" s="16">
        <f>_xlfn.XLOOKUP(CustomerCombinedCleaned[[#This Row],[ID]], Table2[ID],Table2[MC1], "Not Found", 0 )</f>
        <v>0</v>
      </c>
      <c r="Z189" s="16">
        <f>_xlfn.XLOOKUP(CustomerCombinedCleaned[[#This Row],[ID]], Table2[ID],Table2[MC2], "Not Found", 0 )</f>
        <v>0</v>
      </c>
      <c r="AA189" s="16">
        <f>_xlfn.XLOOKUP(CustomerCombinedCleaned[[#This Row],[ID]], Table2[ID],Table2[MC3], "Not Found", 0 )</f>
        <v>0</v>
      </c>
      <c r="AB189" s="16">
        <f>_xlfn.XLOOKUP(CustomerCombinedCleaned[[#This Row],[ID]], Table2[ID],Table2[MC4], "Not Found", 0 )</f>
        <v>0</v>
      </c>
      <c r="AC189" s="16">
        <f>_xlfn.XLOOKUP(CustomerCombinedCleaned[[#This Row],[ID]], Table2[ID],Table2[MC5], "Not Found", 0 )</f>
        <v>0</v>
      </c>
    </row>
    <row r="190" spans="1:29" x14ac:dyDescent="0.3">
      <c r="A190" s="18">
        <v>1423</v>
      </c>
      <c r="B190" s="16">
        <v>107500</v>
      </c>
      <c r="C190" s="16">
        <v>1</v>
      </c>
      <c r="D190" s="16">
        <v>0</v>
      </c>
      <c r="E190" s="16">
        <v>34</v>
      </c>
      <c r="F190" s="17" t="s">
        <v>6</v>
      </c>
      <c r="G190" s="17" t="s">
        <v>11</v>
      </c>
      <c r="H190" s="3" t="s">
        <v>316</v>
      </c>
      <c r="I190" s="5" t="s">
        <v>437</v>
      </c>
      <c r="J190" s="16">
        <f>_xlfn.XLOOKUP(CustomerCombinedCleaned[[#This Row],[ID]], Table4[ID], Table4[Recency], "Not Found", 0)</f>
        <v>96</v>
      </c>
      <c r="K190" s="16">
        <f>_xlfn.XLOOKUP(CustomerCombinedCleaned[[#This Row],[ID]], Table4[ID], Table4[Teas], "Not Found", 0)</f>
        <v>14</v>
      </c>
      <c r="L190" s="16">
        <f>_xlfn.XLOOKUP(CustomerCombinedCleaned[[#This Row],[ID]], Table4[ID], Table4[Fruits], "Not Found", 0)</f>
        <v>158</v>
      </c>
      <c r="M190" s="16">
        <f>_xlfn.XLOOKUP(CustomerCombinedCleaned[[#This Row],[ID]], Table4[ID], Table4[Meats], "Not Found", 0)</f>
        <v>72</v>
      </c>
      <c r="N190" s="16">
        <f>_xlfn.XLOOKUP(CustomerCombinedCleaned[[#This Row],[ID]], Table4[ID], Table4[Seafood], "Not Found", 0)</f>
        <v>57</v>
      </c>
      <c r="O190" s="16">
        <f>_xlfn.XLOOKUP(CustomerCombinedCleaned[[#This Row],[ID]], Table4[ID], Table4[Sweets], "Not Found", 0)</f>
        <v>86</v>
      </c>
      <c r="P190" s="16">
        <f>_xlfn.XLOOKUP(CustomerCombinedCleaned[[#This Row],[ID]], Table4[ID], Table4[Premium], "Not Found", 0)</f>
        <v>129</v>
      </c>
      <c r="Q190" s="16">
        <f>_xlfn.XLOOKUP(CustomerCombinedCleaned[[#This Row],[ID]], Table4[ID], Table4[Regular], "Not Found", 0)</f>
        <v>258</v>
      </c>
      <c r="R190" s="16">
        <f>_xlfn.XLOOKUP(CustomerCombinedCleaned[[#This Row],[ID]], Table4[ID], Table4[Deals], "Not Found", 0)</f>
        <v>2</v>
      </c>
      <c r="S190" s="16">
        <f>_xlfn.XLOOKUP(CustomerCombinedCleaned[[#This Row],[ID]], Table4[ID], Table4[Website], "Not Found", 0)</f>
        <v>2</v>
      </c>
      <c r="T190" s="16">
        <f>_xlfn.XLOOKUP(CustomerCombinedCleaned[[#This Row],[ID]], Table4[ID], Table4[Catalog], "Not Found", 0)</f>
        <v>0</v>
      </c>
      <c r="U190" s="16">
        <f>_xlfn.XLOOKUP(CustomerCombinedCleaned[[#This Row],[ID]], Table4[ID], Table4[Store], "Not Found", 0)</f>
        <v>3</v>
      </c>
      <c r="V190" s="16">
        <f>_xlfn.XLOOKUP(CustomerCombinedCleaned[[#This Row],[ID]], Table4[ID], Table4[Visits], "Not Found", 0)</f>
        <v>8</v>
      </c>
      <c r="W190" s="16">
        <f>_xlfn.XLOOKUP(CustomerCombinedCleaned[[#This Row],[ID]], Table2[ID],Table2[Complaint], "Not Found", 0 )</f>
        <v>0</v>
      </c>
      <c r="X190" s="16">
        <f>_xlfn.XLOOKUP(CustomerCombinedCleaned[[#This Row],[ID]], Table2[ID],Table2[Pilot], "Not Found", 0 )</f>
        <v>0</v>
      </c>
      <c r="Y190" s="16">
        <f>_xlfn.XLOOKUP(CustomerCombinedCleaned[[#This Row],[ID]], Table2[ID],Table2[MC1], "Not Found", 0 )</f>
        <v>0</v>
      </c>
      <c r="Z190" s="16">
        <f>_xlfn.XLOOKUP(CustomerCombinedCleaned[[#This Row],[ID]], Table2[ID],Table2[MC2], "Not Found", 0 )</f>
        <v>0</v>
      </c>
      <c r="AA190" s="16">
        <f>_xlfn.XLOOKUP(CustomerCombinedCleaned[[#This Row],[ID]], Table2[ID],Table2[MC3], "Not Found", 0 )</f>
        <v>0</v>
      </c>
      <c r="AB190" s="16">
        <f>_xlfn.XLOOKUP(CustomerCombinedCleaned[[#This Row],[ID]], Table2[ID],Table2[MC4], "Not Found", 0 )</f>
        <v>0</v>
      </c>
      <c r="AC190" s="16">
        <f>_xlfn.XLOOKUP(CustomerCombinedCleaned[[#This Row],[ID]], Table2[ID],Table2[MC5], "Not Found", 0 )</f>
        <v>0</v>
      </c>
    </row>
    <row r="191" spans="1:29" x14ac:dyDescent="0.3">
      <c r="A191" s="18">
        <v>2408</v>
      </c>
      <c r="B191" s="16">
        <v>192533</v>
      </c>
      <c r="C191" s="16">
        <v>0</v>
      </c>
      <c r="D191" s="16">
        <v>0</v>
      </c>
      <c r="E191" s="16">
        <v>35</v>
      </c>
      <c r="F191" s="17" t="s">
        <v>6</v>
      </c>
      <c r="G191" s="17" t="s">
        <v>11</v>
      </c>
      <c r="H191" s="3" t="s">
        <v>129</v>
      </c>
      <c r="I191" s="5" t="s">
        <v>438</v>
      </c>
      <c r="J191" s="16">
        <f>_xlfn.XLOOKUP(CustomerCombinedCleaned[[#This Row],[ID]], Table4[ID], Table4[Recency], "Not Found", 0)</f>
        <v>84</v>
      </c>
      <c r="K191" s="16">
        <f>_xlfn.XLOOKUP(CustomerCombinedCleaned[[#This Row],[ID]], Table4[ID], Table4[Teas], "Not Found", 0)</f>
        <v>1442</v>
      </c>
      <c r="L191" s="16">
        <f>_xlfn.XLOOKUP(CustomerCombinedCleaned[[#This Row],[ID]], Table4[ID], Table4[Fruits], "Not Found", 0)</f>
        <v>44</v>
      </c>
      <c r="M191" s="16">
        <f>_xlfn.XLOOKUP(CustomerCombinedCleaned[[#This Row],[ID]], Table4[ID], Table4[Meats], "Not Found", 0)</f>
        <v>246</v>
      </c>
      <c r="N191" s="16">
        <f>_xlfn.XLOOKUP(CustomerCombinedCleaned[[#This Row],[ID]], Table4[ID], Table4[Seafood], "Not Found", 0)</f>
        <v>229</v>
      </c>
      <c r="O191" s="16">
        <f>_xlfn.XLOOKUP(CustomerCombinedCleaned[[#This Row],[ID]], Table4[ID], Table4[Sweets], "Not Found", 0)</f>
        <v>306</v>
      </c>
      <c r="P191" s="16">
        <f>_xlfn.XLOOKUP(CustomerCombinedCleaned[[#This Row],[ID]], Table4[ID], Table4[Premium], "Not Found", 0)</f>
        <v>87</v>
      </c>
      <c r="Q191" s="16">
        <f>_xlfn.XLOOKUP(CustomerCombinedCleaned[[#This Row],[ID]], Table4[ID], Table4[Regular], "Not Found", 0)</f>
        <v>2178</v>
      </c>
      <c r="R191" s="16">
        <f>_xlfn.XLOOKUP(CustomerCombinedCleaned[[#This Row],[ID]], Table4[ID], Table4[Deals], "Not Found", 0)</f>
        <v>1</v>
      </c>
      <c r="S191" s="16">
        <f>_xlfn.XLOOKUP(CustomerCombinedCleaned[[#This Row],[ID]], Table4[ID], Table4[Website], "Not Found", 0)</f>
        <v>6</v>
      </c>
      <c r="T191" s="16">
        <f>_xlfn.XLOOKUP(CustomerCombinedCleaned[[#This Row],[ID]], Table4[ID], Table4[Catalog], "Not Found", 0)</f>
        <v>5</v>
      </c>
      <c r="U191" s="16">
        <f>_xlfn.XLOOKUP(CustomerCombinedCleaned[[#This Row],[ID]], Table4[ID], Table4[Store], "Not Found", 0)</f>
        <v>11</v>
      </c>
      <c r="V191" s="16">
        <f>_xlfn.XLOOKUP(CustomerCombinedCleaned[[#This Row],[ID]], Table4[ID], Table4[Visits], "Not Found", 0)</f>
        <v>2</v>
      </c>
      <c r="W191" s="16">
        <f>_xlfn.XLOOKUP(CustomerCombinedCleaned[[#This Row],[ID]], Table2[ID],Table2[Complaint], "Not Found", 0 )</f>
        <v>0</v>
      </c>
      <c r="X191" s="16">
        <f>_xlfn.XLOOKUP(CustomerCombinedCleaned[[#This Row],[ID]], Table2[ID],Table2[Pilot], "Not Found", 0 )</f>
        <v>0</v>
      </c>
      <c r="Y191" s="16">
        <f>_xlfn.XLOOKUP(CustomerCombinedCleaned[[#This Row],[ID]], Table2[ID],Table2[MC1], "Not Found", 0 )</f>
        <v>1</v>
      </c>
      <c r="Z191" s="16">
        <f>_xlfn.XLOOKUP(CustomerCombinedCleaned[[#This Row],[ID]], Table2[ID],Table2[MC2], "Not Found", 0 )</f>
        <v>0</v>
      </c>
      <c r="AA191" s="16">
        <f>_xlfn.XLOOKUP(CustomerCombinedCleaned[[#This Row],[ID]], Table2[ID],Table2[MC3], "Not Found", 0 )</f>
        <v>0</v>
      </c>
      <c r="AB191" s="16">
        <f>_xlfn.XLOOKUP(CustomerCombinedCleaned[[#This Row],[ID]], Table2[ID],Table2[MC4], "Not Found", 0 )</f>
        <v>0</v>
      </c>
      <c r="AC191" s="16">
        <f>_xlfn.XLOOKUP(CustomerCombinedCleaned[[#This Row],[ID]], Table2[ID],Table2[MC5], "Not Found", 0 )</f>
        <v>1</v>
      </c>
    </row>
    <row r="192" spans="1:29" x14ac:dyDescent="0.3">
      <c r="A192" s="18">
        <v>2115</v>
      </c>
      <c r="B192" s="16">
        <v>172903</v>
      </c>
      <c r="C192" s="16">
        <v>0</v>
      </c>
      <c r="D192" s="16">
        <v>0</v>
      </c>
      <c r="E192" s="16">
        <v>35</v>
      </c>
      <c r="F192" s="17" t="s">
        <v>7</v>
      </c>
      <c r="G192" s="17" t="s">
        <v>11</v>
      </c>
      <c r="H192" s="3" t="s">
        <v>652</v>
      </c>
      <c r="I192" s="5" t="s">
        <v>435</v>
      </c>
      <c r="J192" s="16">
        <f>_xlfn.XLOOKUP(CustomerCombinedCleaned[[#This Row],[ID]], Table4[ID], Table4[Recency], "Not Found", 0)</f>
        <v>74</v>
      </c>
      <c r="K192" s="16">
        <f>_xlfn.XLOOKUP(CustomerCombinedCleaned[[#This Row],[ID]], Table4[ID], Table4[Teas], "Not Found", 0)</f>
        <v>2531</v>
      </c>
      <c r="L192" s="16">
        <f>_xlfn.XLOOKUP(CustomerCombinedCleaned[[#This Row],[ID]], Table4[ID], Table4[Fruits], "Not Found", 0)</f>
        <v>327</v>
      </c>
      <c r="M192" s="16">
        <f>_xlfn.XLOOKUP(CustomerCombinedCleaned[[#This Row],[ID]], Table4[ID], Table4[Meats], "Not Found", 0)</f>
        <v>1779</v>
      </c>
      <c r="N192" s="16">
        <f>_xlfn.XLOOKUP(CustomerCombinedCleaned[[#This Row],[ID]], Table4[ID], Table4[Seafood], "Not Found", 0)</f>
        <v>0</v>
      </c>
      <c r="O192" s="16">
        <f>_xlfn.XLOOKUP(CustomerCombinedCleaned[[#This Row],[ID]], Table4[ID], Table4[Sweets], "Not Found", 0)</f>
        <v>45</v>
      </c>
      <c r="P192" s="16">
        <f>_xlfn.XLOOKUP(CustomerCombinedCleaned[[#This Row],[ID]], Table4[ID], Table4[Premium], "Not Found", 0)</f>
        <v>92</v>
      </c>
      <c r="Q192" s="16">
        <f>_xlfn.XLOOKUP(CustomerCombinedCleaned[[#This Row],[ID]], Table4[ID], Table4[Regular], "Not Found", 0)</f>
        <v>4589</v>
      </c>
      <c r="R192" s="16">
        <f>_xlfn.XLOOKUP(CustomerCombinedCleaned[[#This Row],[ID]], Table4[ID], Table4[Deals], "Not Found", 0)</f>
        <v>1</v>
      </c>
      <c r="S192" s="16">
        <f>_xlfn.XLOOKUP(CustomerCombinedCleaned[[#This Row],[ID]], Table4[ID], Table4[Website], "Not Found", 0)</f>
        <v>7</v>
      </c>
      <c r="T192" s="16">
        <f>_xlfn.XLOOKUP(CustomerCombinedCleaned[[#This Row],[ID]], Table4[ID], Table4[Catalog], "Not Found", 0)</f>
        <v>5</v>
      </c>
      <c r="U192" s="16">
        <f>_xlfn.XLOOKUP(CustomerCombinedCleaned[[#This Row],[ID]], Table4[ID], Table4[Store], "Not Found", 0)</f>
        <v>8</v>
      </c>
      <c r="V192" s="16">
        <f>_xlfn.XLOOKUP(CustomerCombinedCleaned[[#This Row],[ID]], Table4[ID], Table4[Visits], "Not Found", 0)</f>
        <v>4</v>
      </c>
      <c r="W192" s="16">
        <f>_xlfn.XLOOKUP(CustomerCombinedCleaned[[#This Row],[ID]], Table2[ID],Table2[Complaint], "Not Found", 0 )</f>
        <v>0</v>
      </c>
      <c r="X192" s="16">
        <f>_xlfn.XLOOKUP(CustomerCombinedCleaned[[#This Row],[ID]], Table2[ID],Table2[Pilot], "Not Found", 0 )</f>
        <v>1</v>
      </c>
      <c r="Y192" s="16">
        <f>_xlfn.XLOOKUP(CustomerCombinedCleaned[[#This Row],[ID]], Table2[ID],Table2[MC1], "Not Found", 0 )</f>
        <v>1</v>
      </c>
      <c r="Z192" s="16">
        <f>_xlfn.XLOOKUP(CustomerCombinedCleaned[[#This Row],[ID]], Table2[ID],Table2[MC2], "Not Found", 0 )</f>
        <v>0</v>
      </c>
      <c r="AA192" s="16">
        <f>_xlfn.XLOOKUP(CustomerCombinedCleaned[[#This Row],[ID]], Table2[ID],Table2[MC3], "Not Found", 0 )</f>
        <v>0</v>
      </c>
      <c r="AB192" s="16">
        <f>_xlfn.XLOOKUP(CustomerCombinedCleaned[[#This Row],[ID]], Table2[ID],Table2[MC4], "Not Found", 0 )</f>
        <v>1</v>
      </c>
      <c r="AC192" s="16">
        <f>_xlfn.XLOOKUP(CustomerCombinedCleaned[[#This Row],[ID]], Table2[ID],Table2[MC5], "Not Found", 0 )</f>
        <v>1</v>
      </c>
    </row>
    <row r="193" spans="1:29" x14ac:dyDescent="0.3">
      <c r="A193" s="18">
        <v>1202</v>
      </c>
      <c r="B193" s="16">
        <v>170951</v>
      </c>
      <c r="C193" s="16">
        <v>0</v>
      </c>
      <c r="D193" s="16">
        <v>0</v>
      </c>
      <c r="E193" s="16">
        <v>35</v>
      </c>
      <c r="F193" s="17" t="s">
        <v>6</v>
      </c>
      <c r="G193" s="17" t="s">
        <v>11</v>
      </c>
      <c r="H193" s="3" t="s">
        <v>658</v>
      </c>
      <c r="I193" s="5" t="s">
        <v>438</v>
      </c>
      <c r="J193" s="16">
        <f>_xlfn.XLOOKUP(CustomerCombinedCleaned[[#This Row],[ID]], Table4[ID], Table4[Recency], "Not Found", 0)</f>
        <v>66</v>
      </c>
      <c r="K193" s="16">
        <f>_xlfn.XLOOKUP(CustomerCombinedCleaned[[#This Row],[ID]], Table4[ID], Table4[Teas], "Not Found", 0)</f>
        <v>576</v>
      </c>
      <c r="L193" s="16">
        <f>_xlfn.XLOOKUP(CustomerCombinedCleaned[[#This Row],[ID]], Table4[ID], Table4[Fruits], "Not Found", 0)</f>
        <v>24</v>
      </c>
      <c r="M193" s="16">
        <f>_xlfn.XLOOKUP(CustomerCombinedCleaned[[#This Row],[ID]], Table4[ID], Table4[Meats], "Not Found", 0)</f>
        <v>1335</v>
      </c>
      <c r="N193" s="16">
        <f>_xlfn.XLOOKUP(CustomerCombinedCleaned[[#This Row],[ID]], Table4[ID], Table4[Seafood], "Not Found", 0)</f>
        <v>612</v>
      </c>
      <c r="O193" s="16">
        <f>_xlfn.XLOOKUP(CustomerCombinedCleaned[[#This Row],[ID]], Table4[ID], Table4[Sweets], "Not Found", 0)</f>
        <v>210</v>
      </c>
      <c r="P193" s="16">
        <f>_xlfn.XLOOKUP(CustomerCombinedCleaned[[#This Row],[ID]], Table4[ID], Table4[Premium], "Not Found", 0)</f>
        <v>130</v>
      </c>
      <c r="Q193" s="16">
        <f>_xlfn.XLOOKUP(CustomerCombinedCleaned[[#This Row],[ID]], Table4[ID], Table4[Regular], "Not Found", 0)</f>
        <v>2626</v>
      </c>
      <c r="R193" s="16">
        <f>_xlfn.XLOOKUP(CustomerCombinedCleaned[[#This Row],[ID]], Table4[ID], Table4[Deals], "Not Found", 0)</f>
        <v>1</v>
      </c>
      <c r="S193" s="16">
        <f>_xlfn.XLOOKUP(CustomerCombinedCleaned[[#This Row],[ID]], Table4[ID], Table4[Website], "Not Found", 0)</f>
        <v>3</v>
      </c>
      <c r="T193" s="16">
        <f>_xlfn.XLOOKUP(CustomerCombinedCleaned[[#This Row],[ID]], Table4[ID], Table4[Catalog], "Not Found", 0)</f>
        <v>4</v>
      </c>
      <c r="U193" s="16">
        <f>_xlfn.XLOOKUP(CustomerCombinedCleaned[[#This Row],[ID]], Table4[ID], Table4[Store], "Not Found", 0)</f>
        <v>9</v>
      </c>
      <c r="V193" s="16">
        <f>_xlfn.XLOOKUP(CustomerCombinedCleaned[[#This Row],[ID]], Table4[ID], Table4[Visits], "Not Found", 0)</f>
        <v>1</v>
      </c>
      <c r="W193" s="16">
        <f>_xlfn.XLOOKUP(CustomerCombinedCleaned[[#This Row],[ID]], Table2[ID],Table2[Complaint], "Not Found", 0 )</f>
        <v>0</v>
      </c>
      <c r="X193" s="16">
        <f>_xlfn.XLOOKUP(CustomerCombinedCleaned[[#This Row],[ID]], Table2[ID],Table2[Pilot], "Not Found", 0 )</f>
        <v>0</v>
      </c>
      <c r="Y193" s="16">
        <f>_xlfn.XLOOKUP(CustomerCombinedCleaned[[#This Row],[ID]], Table2[ID],Table2[MC1], "Not Found", 0 )</f>
        <v>0</v>
      </c>
      <c r="Z193" s="16">
        <f>_xlfn.XLOOKUP(CustomerCombinedCleaned[[#This Row],[ID]], Table2[ID],Table2[MC2], "Not Found", 0 )</f>
        <v>0</v>
      </c>
      <c r="AA193" s="16">
        <f>_xlfn.XLOOKUP(CustomerCombinedCleaned[[#This Row],[ID]], Table2[ID],Table2[MC3], "Not Found", 0 )</f>
        <v>0</v>
      </c>
      <c r="AB193" s="16">
        <f>_xlfn.XLOOKUP(CustomerCombinedCleaned[[#This Row],[ID]], Table2[ID],Table2[MC4], "Not Found", 0 )</f>
        <v>0</v>
      </c>
      <c r="AC193" s="16">
        <f>_xlfn.XLOOKUP(CustomerCombinedCleaned[[#This Row],[ID]], Table2[ID],Table2[MC5], "Not Found", 0 )</f>
        <v>0</v>
      </c>
    </row>
    <row r="194" spans="1:29" x14ac:dyDescent="0.3">
      <c r="A194" s="18">
        <v>2036</v>
      </c>
      <c r="B194" s="16">
        <v>170596</v>
      </c>
      <c r="C194" s="16">
        <v>0</v>
      </c>
      <c r="D194" s="16">
        <v>0</v>
      </c>
      <c r="E194" s="16">
        <v>35</v>
      </c>
      <c r="F194" s="17" t="s">
        <v>7</v>
      </c>
      <c r="G194" s="17" t="s">
        <v>11</v>
      </c>
      <c r="H194" s="3" t="s">
        <v>663</v>
      </c>
      <c r="I194" s="5" t="s">
        <v>438</v>
      </c>
      <c r="J194" s="16">
        <f>_xlfn.XLOOKUP(CustomerCombinedCleaned[[#This Row],[ID]], Table4[ID], Table4[Recency], "Not Found", 0)</f>
        <v>68</v>
      </c>
      <c r="K194" s="16">
        <f>_xlfn.XLOOKUP(CustomerCombinedCleaned[[#This Row],[ID]], Table4[ID], Table4[Teas], "Not Found", 0)</f>
        <v>839</v>
      </c>
      <c r="L194" s="16">
        <f>_xlfn.XLOOKUP(CustomerCombinedCleaned[[#This Row],[ID]], Table4[ID], Table4[Fruits], "Not Found", 0)</f>
        <v>106</v>
      </c>
      <c r="M194" s="16">
        <f>_xlfn.XLOOKUP(CustomerCombinedCleaned[[#This Row],[ID]], Table4[ID], Table4[Meats], "Not Found", 0)</f>
        <v>1290</v>
      </c>
      <c r="N194" s="16">
        <f>_xlfn.XLOOKUP(CustomerCombinedCleaned[[#This Row],[ID]], Table4[ID], Table4[Seafood], "Not Found", 0)</f>
        <v>41</v>
      </c>
      <c r="O194" s="16">
        <f>_xlfn.XLOOKUP(CustomerCombinedCleaned[[#This Row],[ID]], Table4[ID], Table4[Sweets], "Not Found", 0)</f>
        <v>0</v>
      </c>
      <c r="P194" s="16">
        <f>_xlfn.XLOOKUP(CustomerCombinedCleaned[[#This Row],[ID]], Table4[ID], Table4[Premium], "Not Found", 0)</f>
        <v>63</v>
      </c>
      <c r="Q194" s="16">
        <f>_xlfn.XLOOKUP(CustomerCombinedCleaned[[#This Row],[ID]], Table4[ID], Table4[Regular], "Not Found", 0)</f>
        <v>2214</v>
      </c>
      <c r="R194" s="16">
        <f>_xlfn.XLOOKUP(CustomerCombinedCleaned[[#This Row],[ID]], Table4[ID], Table4[Deals], "Not Found", 0)</f>
        <v>1</v>
      </c>
      <c r="S194" s="16">
        <f>_xlfn.XLOOKUP(CustomerCombinedCleaned[[#This Row],[ID]], Table4[ID], Table4[Website], "Not Found", 0)</f>
        <v>3</v>
      </c>
      <c r="T194" s="16">
        <f>_xlfn.XLOOKUP(CustomerCombinedCleaned[[#This Row],[ID]], Table4[ID], Table4[Catalog], "Not Found", 0)</f>
        <v>5</v>
      </c>
      <c r="U194" s="16">
        <f>_xlfn.XLOOKUP(CustomerCombinedCleaned[[#This Row],[ID]], Table4[ID], Table4[Store], "Not Found", 0)</f>
        <v>12</v>
      </c>
      <c r="V194" s="16">
        <f>_xlfn.XLOOKUP(CustomerCombinedCleaned[[#This Row],[ID]], Table4[ID], Table4[Visits], "Not Found", 0)</f>
        <v>2</v>
      </c>
      <c r="W194" s="16">
        <f>_xlfn.XLOOKUP(CustomerCombinedCleaned[[#This Row],[ID]], Table2[ID],Table2[Complaint], "Not Found", 0 )</f>
        <v>0</v>
      </c>
      <c r="X194" s="16">
        <f>_xlfn.XLOOKUP(CustomerCombinedCleaned[[#This Row],[ID]], Table2[ID],Table2[Pilot], "Not Found", 0 )</f>
        <v>0</v>
      </c>
      <c r="Y194" s="16">
        <f>_xlfn.XLOOKUP(CustomerCombinedCleaned[[#This Row],[ID]], Table2[ID],Table2[MC1], "Not Found", 0 )</f>
        <v>0</v>
      </c>
      <c r="Z194" s="16">
        <f>_xlfn.XLOOKUP(CustomerCombinedCleaned[[#This Row],[ID]], Table2[ID],Table2[MC2], "Not Found", 0 )</f>
        <v>0</v>
      </c>
      <c r="AA194" s="16">
        <f>_xlfn.XLOOKUP(CustomerCombinedCleaned[[#This Row],[ID]], Table2[ID],Table2[MC3], "Not Found", 0 )</f>
        <v>0</v>
      </c>
      <c r="AB194" s="16">
        <f>_xlfn.XLOOKUP(CustomerCombinedCleaned[[#This Row],[ID]], Table2[ID],Table2[MC4], "Not Found", 0 )</f>
        <v>0</v>
      </c>
      <c r="AC194" s="16">
        <f>_xlfn.XLOOKUP(CustomerCombinedCleaned[[#This Row],[ID]], Table2[ID],Table2[MC5], "Not Found", 0 )</f>
        <v>0</v>
      </c>
    </row>
    <row r="195" spans="1:29" x14ac:dyDescent="0.3">
      <c r="A195" s="18">
        <v>2747</v>
      </c>
      <c r="B195" s="16">
        <v>170596</v>
      </c>
      <c r="C195" s="16">
        <v>0</v>
      </c>
      <c r="D195" s="16">
        <v>0</v>
      </c>
      <c r="E195" s="16">
        <v>35</v>
      </c>
      <c r="F195" s="17" t="s">
        <v>7</v>
      </c>
      <c r="G195" s="17" t="s">
        <v>11</v>
      </c>
      <c r="H195" s="3" t="s">
        <v>663</v>
      </c>
      <c r="I195" s="5" t="s">
        <v>434</v>
      </c>
      <c r="J195" s="16">
        <f>_xlfn.XLOOKUP(CustomerCombinedCleaned[[#This Row],[ID]], Table4[ID], Table4[Recency], "Not Found", 0)</f>
        <v>68</v>
      </c>
      <c r="K195" s="16">
        <f>_xlfn.XLOOKUP(CustomerCombinedCleaned[[#This Row],[ID]], Table4[ID], Table4[Teas], "Not Found", 0)</f>
        <v>839</v>
      </c>
      <c r="L195" s="16">
        <f>_xlfn.XLOOKUP(CustomerCombinedCleaned[[#This Row],[ID]], Table4[ID], Table4[Fruits], "Not Found", 0)</f>
        <v>106</v>
      </c>
      <c r="M195" s="16">
        <f>_xlfn.XLOOKUP(CustomerCombinedCleaned[[#This Row],[ID]], Table4[ID], Table4[Meats], "Not Found", 0)</f>
        <v>1290</v>
      </c>
      <c r="N195" s="16">
        <f>_xlfn.XLOOKUP(CustomerCombinedCleaned[[#This Row],[ID]], Table4[ID], Table4[Seafood], "Not Found", 0)</f>
        <v>41</v>
      </c>
      <c r="O195" s="16">
        <f>_xlfn.XLOOKUP(CustomerCombinedCleaned[[#This Row],[ID]], Table4[ID], Table4[Sweets], "Not Found", 0)</f>
        <v>0</v>
      </c>
      <c r="P195" s="16">
        <f>_xlfn.XLOOKUP(CustomerCombinedCleaned[[#This Row],[ID]], Table4[ID], Table4[Premium], "Not Found", 0)</f>
        <v>63</v>
      </c>
      <c r="Q195" s="16">
        <f>_xlfn.XLOOKUP(CustomerCombinedCleaned[[#This Row],[ID]], Table4[ID], Table4[Regular], "Not Found", 0)</f>
        <v>2214</v>
      </c>
      <c r="R195" s="16">
        <f>_xlfn.XLOOKUP(CustomerCombinedCleaned[[#This Row],[ID]], Table4[ID], Table4[Deals], "Not Found", 0)</f>
        <v>1</v>
      </c>
      <c r="S195" s="16">
        <f>_xlfn.XLOOKUP(CustomerCombinedCleaned[[#This Row],[ID]], Table4[ID], Table4[Website], "Not Found", 0)</f>
        <v>3</v>
      </c>
      <c r="T195" s="16">
        <f>_xlfn.XLOOKUP(CustomerCombinedCleaned[[#This Row],[ID]], Table4[ID], Table4[Catalog], "Not Found", 0)</f>
        <v>5</v>
      </c>
      <c r="U195" s="16">
        <f>_xlfn.XLOOKUP(CustomerCombinedCleaned[[#This Row],[ID]], Table4[ID], Table4[Store], "Not Found", 0)</f>
        <v>12</v>
      </c>
      <c r="V195" s="16">
        <f>_xlfn.XLOOKUP(CustomerCombinedCleaned[[#This Row],[ID]], Table4[ID], Table4[Visits], "Not Found", 0)</f>
        <v>2</v>
      </c>
      <c r="W195" s="16">
        <f>_xlfn.XLOOKUP(CustomerCombinedCleaned[[#This Row],[ID]], Table2[ID],Table2[Complaint], "Not Found", 0 )</f>
        <v>0</v>
      </c>
      <c r="X195" s="16">
        <f>_xlfn.XLOOKUP(CustomerCombinedCleaned[[#This Row],[ID]], Table2[ID],Table2[Pilot], "Not Found", 0 )</f>
        <v>0</v>
      </c>
      <c r="Y195" s="16">
        <f>_xlfn.XLOOKUP(CustomerCombinedCleaned[[#This Row],[ID]], Table2[ID],Table2[MC1], "Not Found", 0 )</f>
        <v>0</v>
      </c>
      <c r="Z195" s="16">
        <f>_xlfn.XLOOKUP(CustomerCombinedCleaned[[#This Row],[ID]], Table2[ID],Table2[MC2], "Not Found", 0 )</f>
        <v>0</v>
      </c>
      <c r="AA195" s="16">
        <f>_xlfn.XLOOKUP(CustomerCombinedCleaned[[#This Row],[ID]], Table2[ID],Table2[MC3], "Not Found", 0 )</f>
        <v>0</v>
      </c>
      <c r="AB195" s="16">
        <f>_xlfn.XLOOKUP(CustomerCombinedCleaned[[#This Row],[ID]], Table2[ID],Table2[MC4], "Not Found", 0 )</f>
        <v>0</v>
      </c>
      <c r="AC195" s="16">
        <f>_xlfn.XLOOKUP(CustomerCombinedCleaned[[#This Row],[ID]], Table2[ID],Table2[MC5], "Not Found", 0 )</f>
        <v>0</v>
      </c>
    </row>
    <row r="196" spans="1:29" x14ac:dyDescent="0.3">
      <c r="A196" s="18">
        <v>1303</v>
      </c>
      <c r="B196" s="16">
        <v>166503</v>
      </c>
      <c r="C196" s="16">
        <v>1</v>
      </c>
      <c r="D196" s="16">
        <v>0</v>
      </c>
      <c r="E196" s="16">
        <v>35</v>
      </c>
      <c r="F196" s="17" t="s">
        <v>7</v>
      </c>
      <c r="G196" s="17" t="s">
        <v>11</v>
      </c>
      <c r="H196" s="3" t="s">
        <v>414</v>
      </c>
      <c r="I196" s="5" t="s">
        <v>437</v>
      </c>
      <c r="J196" s="16">
        <f>_xlfn.XLOOKUP(CustomerCombinedCleaned[[#This Row],[ID]], Table4[ID], Table4[Recency], "Not Found", 0)</f>
        <v>30</v>
      </c>
      <c r="K196" s="16">
        <f>_xlfn.XLOOKUP(CustomerCombinedCleaned[[#This Row],[ID]], Table4[ID], Table4[Teas], "Not Found", 0)</f>
        <v>228</v>
      </c>
      <c r="L196" s="16">
        <f>_xlfn.XLOOKUP(CustomerCombinedCleaned[[#This Row],[ID]], Table4[ID], Table4[Fruits], "Not Found", 0)</f>
        <v>160</v>
      </c>
      <c r="M196" s="16">
        <f>_xlfn.XLOOKUP(CustomerCombinedCleaned[[#This Row],[ID]], Table4[ID], Table4[Meats], "Not Found", 0)</f>
        <v>320</v>
      </c>
      <c r="N196" s="16">
        <f>_xlfn.XLOOKUP(CustomerCombinedCleaned[[#This Row],[ID]], Table4[ID], Table4[Seafood], "Not Found", 0)</f>
        <v>163</v>
      </c>
      <c r="O196" s="16">
        <f>_xlfn.XLOOKUP(CustomerCombinedCleaned[[#This Row],[ID]], Table4[ID], Table4[Sweets], "Not Found", 0)</f>
        <v>8</v>
      </c>
      <c r="P196" s="16">
        <f>_xlfn.XLOOKUP(CustomerCombinedCleaned[[#This Row],[ID]], Table4[ID], Table4[Premium], "Not Found", 0)</f>
        <v>125</v>
      </c>
      <c r="Q196" s="16">
        <f>_xlfn.XLOOKUP(CustomerCombinedCleaned[[#This Row],[ID]], Table4[ID], Table4[Regular], "Not Found", 0)</f>
        <v>754</v>
      </c>
      <c r="R196" s="16">
        <f>_xlfn.XLOOKUP(CustomerCombinedCleaned[[#This Row],[ID]], Table4[ID], Table4[Deals], "Not Found", 0)</f>
        <v>2</v>
      </c>
      <c r="S196" s="16">
        <f>_xlfn.XLOOKUP(CustomerCombinedCleaned[[#This Row],[ID]], Table4[ID], Table4[Website], "Not Found", 0)</f>
        <v>4</v>
      </c>
      <c r="T196" s="16">
        <f>_xlfn.XLOOKUP(CustomerCombinedCleaned[[#This Row],[ID]], Table4[ID], Table4[Catalog], "Not Found", 0)</f>
        <v>3</v>
      </c>
      <c r="U196" s="16">
        <f>_xlfn.XLOOKUP(CustomerCombinedCleaned[[#This Row],[ID]], Table4[ID], Table4[Store], "Not Found", 0)</f>
        <v>6</v>
      </c>
      <c r="V196" s="16">
        <f>_xlfn.XLOOKUP(CustomerCombinedCleaned[[#This Row],[ID]], Table4[ID], Table4[Visits], "Not Found", 0)</f>
        <v>3</v>
      </c>
      <c r="W196" s="16">
        <f>_xlfn.XLOOKUP(CustomerCombinedCleaned[[#This Row],[ID]], Table2[ID],Table2[Complaint], "Not Found", 0 )</f>
        <v>0</v>
      </c>
      <c r="X196" s="16">
        <f>_xlfn.XLOOKUP(CustomerCombinedCleaned[[#This Row],[ID]], Table2[ID],Table2[Pilot], "Not Found", 0 )</f>
        <v>0</v>
      </c>
      <c r="Y196" s="16">
        <f>_xlfn.XLOOKUP(CustomerCombinedCleaned[[#This Row],[ID]], Table2[ID],Table2[MC1], "Not Found", 0 )</f>
        <v>0</v>
      </c>
      <c r="Z196" s="16">
        <f>_xlfn.XLOOKUP(CustomerCombinedCleaned[[#This Row],[ID]], Table2[ID],Table2[MC2], "Not Found", 0 )</f>
        <v>0</v>
      </c>
      <c r="AA196" s="16">
        <f>_xlfn.XLOOKUP(CustomerCombinedCleaned[[#This Row],[ID]], Table2[ID],Table2[MC3], "Not Found", 0 )</f>
        <v>0</v>
      </c>
      <c r="AB196" s="16">
        <f>_xlfn.XLOOKUP(CustomerCombinedCleaned[[#This Row],[ID]], Table2[ID],Table2[MC4], "Not Found", 0 )</f>
        <v>0</v>
      </c>
      <c r="AC196" s="16">
        <f>_xlfn.XLOOKUP(CustomerCombinedCleaned[[#This Row],[ID]], Table2[ID],Table2[MC5], "Not Found", 0 )</f>
        <v>0</v>
      </c>
    </row>
    <row r="197" spans="1:29" x14ac:dyDescent="0.3">
      <c r="A197" s="18">
        <v>1487</v>
      </c>
      <c r="B197" s="16">
        <v>164355</v>
      </c>
      <c r="C197" s="16">
        <v>1</v>
      </c>
      <c r="D197" s="16">
        <v>0</v>
      </c>
      <c r="E197" s="16">
        <v>35</v>
      </c>
      <c r="F197" s="17" t="s">
        <v>6</v>
      </c>
      <c r="G197" s="17" t="s">
        <v>13</v>
      </c>
      <c r="H197" s="3" t="s">
        <v>404</v>
      </c>
      <c r="I197" s="5" t="s">
        <v>434</v>
      </c>
      <c r="J197" s="16">
        <f>_xlfn.XLOOKUP(CustomerCombinedCleaned[[#This Row],[ID]], Table4[ID], Table4[Recency], "Not Found", 0)</f>
        <v>66</v>
      </c>
      <c r="K197" s="16">
        <f>_xlfn.XLOOKUP(CustomerCombinedCleaned[[#This Row],[ID]], Table4[ID], Table4[Teas], "Not Found", 0)</f>
        <v>2674</v>
      </c>
      <c r="L197" s="16">
        <f>_xlfn.XLOOKUP(CustomerCombinedCleaned[[#This Row],[ID]], Table4[ID], Table4[Fruits], "Not Found", 0)</f>
        <v>0</v>
      </c>
      <c r="M197" s="16">
        <f>_xlfn.XLOOKUP(CustomerCombinedCleaned[[#This Row],[ID]], Table4[ID], Table4[Meats], "Not Found", 0)</f>
        <v>358</v>
      </c>
      <c r="N197" s="16">
        <f>_xlfn.XLOOKUP(CustomerCombinedCleaned[[#This Row],[ID]], Table4[ID], Table4[Seafood], "Not Found", 0)</f>
        <v>171</v>
      </c>
      <c r="O197" s="16">
        <f>_xlfn.XLOOKUP(CustomerCombinedCleaned[[#This Row],[ID]], Table4[ID], Table4[Sweets], "Not Found", 0)</f>
        <v>97</v>
      </c>
      <c r="P197" s="16">
        <f>_xlfn.XLOOKUP(CustomerCombinedCleaned[[#This Row],[ID]], Table4[ID], Table4[Premium], "Not Found", 0)</f>
        <v>391</v>
      </c>
      <c r="Q197" s="16">
        <f>_xlfn.XLOOKUP(CustomerCombinedCleaned[[#This Row],[ID]], Table4[ID], Table4[Regular], "Not Found", 0)</f>
        <v>2909</v>
      </c>
      <c r="R197" s="16">
        <f>_xlfn.XLOOKUP(CustomerCombinedCleaned[[#This Row],[ID]], Table4[ID], Table4[Deals], "Not Found", 0)</f>
        <v>2</v>
      </c>
      <c r="S197" s="16">
        <f>_xlfn.XLOOKUP(CustomerCombinedCleaned[[#This Row],[ID]], Table4[ID], Table4[Website], "Not Found", 0)</f>
        <v>4</v>
      </c>
      <c r="T197" s="16">
        <f>_xlfn.XLOOKUP(CustomerCombinedCleaned[[#This Row],[ID]], Table4[ID], Table4[Catalog], "Not Found", 0)</f>
        <v>3</v>
      </c>
      <c r="U197" s="16">
        <f>_xlfn.XLOOKUP(CustomerCombinedCleaned[[#This Row],[ID]], Table4[ID], Table4[Store], "Not Found", 0)</f>
        <v>12</v>
      </c>
      <c r="V197" s="16">
        <f>_xlfn.XLOOKUP(CustomerCombinedCleaned[[#This Row],[ID]], Table4[ID], Table4[Visits], "Not Found", 0)</f>
        <v>8</v>
      </c>
      <c r="W197" s="16">
        <f>_xlfn.XLOOKUP(CustomerCombinedCleaned[[#This Row],[ID]], Table2[ID],Table2[Complaint], "Not Found", 0 )</f>
        <v>0</v>
      </c>
      <c r="X197" s="16">
        <f>_xlfn.XLOOKUP(CustomerCombinedCleaned[[#This Row],[ID]], Table2[ID],Table2[Pilot], "Not Found", 0 )</f>
        <v>0</v>
      </c>
      <c r="Y197" s="16">
        <f>_xlfn.XLOOKUP(CustomerCombinedCleaned[[#This Row],[ID]], Table2[ID],Table2[MC1], "Not Found", 0 )</f>
        <v>0</v>
      </c>
      <c r="Z197" s="16">
        <f>_xlfn.XLOOKUP(CustomerCombinedCleaned[[#This Row],[ID]], Table2[ID],Table2[MC2], "Not Found", 0 )</f>
        <v>0</v>
      </c>
      <c r="AA197" s="16">
        <f>_xlfn.XLOOKUP(CustomerCombinedCleaned[[#This Row],[ID]], Table2[ID],Table2[MC3], "Not Found", 0 )</f>
        <v>0</v>
      </c>
      <c r="AB197" s="16">
        <f>_xlfn.XLOOKUP(CustomerCombinedCleaned[[#This Row],[ID]], Table2[ID],Table2[MC4], "Not Found", 0 )</f>
        <v>0</v>
      </c>
      <c r="AC197" s="16">
        <f>_xlfn.XLOOKUP(CustomerCombinedCleaned[[#This Row],[ID]], Table2[ID],Table2[MC5], "Not Found", 0 )</f>
        <v>0</v>
      </c>
    </row>
    <row r="198" spans="1:29" x14ac:dyDescent="0.3">
      <c r="A198" s="18">
        <v>1838</v>
      </c>
      <c r="B198" s="16">
        <v>155357</v>
      </c>
      <c r="C198" s="16">
        <v>2</v>
      </c>
      <c r="D198" s="16">
        <v>0</v>
      </c>
      <c r="E198" s="16">
        <v>35</v>
      </c>
      <c r="F198" s="17" t="s">
        <v>6</v>
      </c>
      <c r="G198" s="17" t="s">
        <v>11</v>
      </c>
      <c r="H198" s="3" t="s">
        <v>304</v>
      </c>
      <c r="I198" s="5" t="s">
        <v>438</v>
      </c>
      <c r="J198" s="16">
        <f>_xlfn.XLOOKUP(CustomerCombinedCleaned[[#This Row],[ID]], Table4[ID], Table4[Recency], "Not Found", 0)</f>
        <v>66</v>
      </c>
      <c r="K198" s="16">
        <f>_xlfn.XLOOKUP(CustomerCombinedCleaned[[#This Row],[ID]], Table4[ID], Table4[Teas], "Not Found", 0)</f>
        <v>1050</v>
      </c>
      <c r="L198" s="16">
        <f>_xlfn.XLOOKUP(CustomerCombinedCleaned[[#This Row],[ID]], Table4[ID], Table4[Fruits], "Not Found", 0)</f>
        <v>180</v>
      </c>
      <c r="M198" s="16">
        <f>_xlfn.XLOOKUP(CustomerCombinedCleaned[[#This Row],[ID]], Table4[ID], Table4[Meats], "Not Found", 0)</f>
        <v>326</v>
      </c>
      <c r="N198" s="16">
        <f>_xlfn.XLOOKUP(CustomerCombinedCleaned[[#This Row],[ID]], Table4[ID], Table4[Seafood], "Not Found", 0)</f>
        <v>236</v>
      </c>
      <c r="O198" s="16">
        <f>_xlfn.XLOOKUP(CustomerCombinedCleaned[[#This Row],[ID]], Table4[ID], Table4[Sweets], "Not Found", 0)</f>
        <v>70</v>
      </c>
      <c r="P198" s="16">
        <f>_xlfn.XLOOKUP(CustomerCombinedCleaned[[#This Row],[ID]], Table4[ID], Table4[Premium], "Not Found", 0)</f>
        <v>180</v>
      </c>
      <c r="Q198" s="16">
        <f>_xlfn.XLOOKUP(CustomerCombinedCleaned[[#This Row],[ID]], Table4[ID], Table4[Regular], "Not Found", 0)</f>
        <v>1681</v>
      </c>
      <c r="R198" s="16">
        <f>_xlfn.XLOOKUP(CustomerCombinedCleaned[[#This Row],[ID]], Table4[ID], Table4[Deals], "Not Found", 0)</f>
        <v>3</v>
      </c>
      <c r="S198" s="16">
        <f>_xlfn.XLOOKUP(CustomerCombinedCleaned[[#This Row],[ID]], Table4[ID], Table4[Website], "Not Found", 0)</f>
        <v>6</v>
      </c>
      <c r="T198" s="16">
        <f>_xlfn.XLOOKUP(CustomerCombinedCleaned[[#This Row],[ID]], Table4[ID], Table4[Catalog], "Not Found", 0)</f>
        <v>2</v>
      </c>
      <c r="U198" s="16">
        <f>_xlfn.XLOOKUP(CustomerCombinedCleaned[[#This Row],[ID]], Table4[ID], Table4[Store], "Not Found", 0)</f>
        <v>11</v>
      </c>
      <c r="V198" s="16">
        <f>_xlfn.XLOOKUP(CustomerCombinedCleaned[[#This Row],[ID]], Table4[ID], Table4[Visits], "Not Found", 0)</f>
        <v>5</v>
      </c>
      <c r="W198" s="16">
        <f>_xlfn.XLOOKUP(CustomerCombinedCleaned[[#This Row],[ID]], Table2[ID],Table2[Complaint], "Not Found", 0 )</f>
        <v>0</v>
      </c>
      <c r="X198" s="16">
        <f>_xlfn.XLOOKUP(CustomerCombinedCleaned[[#This Row],[ID]], Table2[ID],Table2[Pilot], "Not Found", 0 )</f>
        <v>0</v>
      </c>
      <c r="Y198" s="16">
        <f>_xlfn.XLOOKUP(CustomerCombinedCleaned[[#This Row],[ID]], Table2[ID],Table2[MC1], "Not Found", 0 )</f>
        <v>0</v>
      </c>
      <c r="Z198" s="16">
        <f>_xlfn.XLOOKUP(CustomerCombinedCleaned[[#This Row],[ID]], Table2[ID],Table2[MC2], "Not Found", 0 )</f>
        <v>0</v>
      </c>
      <c r="AA198" s="16">
        <f>_xlfn.XLOOKUP(CustomerCombinedCleaned[[#This Row],[ID]], Table2[ID],Table2[MC3], "Not Found", 0 )</f>
        <v>0</v>
      </c>
      <c r="AB198" s="16">
        <f>_xlfn.XLOOKUP(CustomerCombinedCleaned[[#This Row],[ID]], Table2[ID],Table2[MC4], "Not Found", 0 )</f>
        <v>0</v>
      </c>
      <c r="AC198" s="16">
        <f>_xlfn.XLOOKUP(CustomerCombinedCleaned[[#This Row],[ID]], Table2[ID],Table2[MC5], "Not Found", 0 )</f>
        <v>0</v>
      </c>
    </row>
    <row r="199" spans="1:29" x14ac:dyDescent="0.3">
      <c r="A199" s="18">
        <v>2834</v>
      </c>
      <c r="B199" s="16">
        <v>154006</v>
      </c>
      <c r="C199" s="16">
        <v>1</v>
      </c>
      <c r="D199" s="16">
        <v>0</v>
      </c>
      <c r="E199" s="16">
        <v>35</v>
      </c>
      <c r="F199" s="17" t="s">
        <v>8</v>
      </c>
      <c r="G199" s="17" t="s">
        <v>11</v>
      </c>
      <c r="H199" s="3" t="s">
        <v>393</v>
      </c>
      <c r="I199" s="5" t="s">
        <v>438</v>
      </c>
      <c r="J199" s="16">
        <f>_xlfn.XLOOKUP(CustomerCombinedCleaned[[#This Row],[ID]], Table4[ID], Table4[Recency], "Not Found", 0)</f>
        <v>42</v>
      </c>
      <c r="K199" s="16">
        <f>_xlfn.XLOOKUP(CustomerCombinedCleaned[[#This Row],[ID]], Table4[ID], Table4[Teas], "Not Found", 0)</f>
        <v>496</v>
      </c>
      <c r="L199" s="16">
        <f>_xlfn.XLOOKUP(CustomerCombinedCleaned[[#This Row],[ID]], Table4[ID], Table4[Fruits], "Not Found", 0)</f>
        <v>220</v>
      </c>
      <c r="M199" s="16">
        <f>_xlfn.XLOOKUP(CustomerCombinedCleaned[[#This Row],[ID]], Table4[ID], Table4[Meats], "Not Found", 0)</f>
        <v>579</v>
      </c>
      <c r="N199" s="16">
        <f>_xlfn.XLOOKUP(CustomerCombinedCleaned[[#This Row],[ID]], Table4[ID], Table4[Seafood], "Not Found", 0)</f>
        <v>17</v>
      </c>
      <c r="O199" s="16">
        <f>_xlfn.XLOOKUP(CustomerCombinedCleaned[[#This Row],[ID]], Table4[ID], Table4[Sweets], "Not Found", 0)</f>
        <v>68</v>
      </c>
      <c r="P199" s="16">
        <f>_xlfn.XLOOKUP(CustomerCombinedCleaned[[#This Row],[ID]], Table4[ID], Table4[Premium], "Not Found", 0)</f>
        <v>277</v>
      </c>
      <c r="Q199" s="16">
        <f>_xlfn.XLOOKUP(CustomerCombinedCleaned[[#This Row],[ID]], Table4[ID], Table4[Regular], "Not Found", 0)</f>
        <v>1104</v>
      </c>
      <c r="R199" s="16">
        <f>_xlfn.XLOOKUP(CustomerCombinedCleaned[[#This Row],[ID]], Table4[ID], Table4[Deals], "Not Found", 0)</f>
        <v>2</v>
      </c>
      <c r="S199" s="16">
        <f>_xlfn.XLOOKUP(CustomerCombinedCleaned[[#This Row],[ID]], Table4[ID], Table4[Website], "Not Found", 0)</f>
        <v>8</v>
      </c>
      <c r="T199" s="16">
        <f>_xlfn.XLOOKUP(CustomerCombinedCleaned[[#This Row],[ID]], Table4[ID], Table4[Catalog], "Not Found", 0)</f>
        <v>1</v>
      </c>
      <c r="U199" s="16">
        <f>_xlfn.XLOOKUP(CustomerCombinedCleaned[[#This Row],[ID]], Table4[ID], Table4[Store], "Not Found", 0)</f>
        <v>7</v>
      </c>
      <c r="V199" s="16">
        <f>_xlfn.XLOOKUP(CustomerCombinedCleaned[[#This Row],[ID]], Table4[ID], Table4[Visits], "Not Found", 0)</f>
        <v>7</v>
      </c>
      <c r="W199" s="16">
        <f>_xlfn.XLOOKUP(CustomerCombinedCleaned[[#This Row],[ID]], Table2[ID],Table2[Complaint], "Not Found", 0 )</f>
        <v>0</v>
      </c>
      <c r="X199" s="16">
        <f>_xlfn.XLOOKUP(CustomerCombinedCleaned[[#This Row],[ID]], Table2[ID],Table2[Pilot], "Not Found", 0 )</f>
        <v>0</v>
      </c>
      <c r="Y199" s="16">
        <f>_xlfn.XLOOKUP(CustomerCombinedCleaned[[#This Row],[ID]], Table2[ID],Table2[MC1], "Not Found", 0 )</f>
        <v>0</v>
      </c>
      <c r="Z199" s="16">
        <f>_xlfn.XLOOKUP(CustomerCombinedCleaned[[#This Row],[ID]], Table2[ID],Table2[MC2], "Not Found", 0 )</f>
        <v>0</v>
      </c>
      <c r="AA199" s="16">
        <f>_xlfn.XLOOKUP(CustomerCombinedCleaned[[#This Row],[ID]], Table2[ID],Table2[MC3], "Not Found", 0 )</f>
        <v>0</v>
      </c>
      <c r="AB199" s="16">
        <f>_xlfn.XLOOKUP(CustomerCombinedCleaned[[#This Row],[ID]], Table2[ID],Table2[MC4], "Not Found", 0 )</f>
        <v>0</v>
      </c>
      <c r="AC199" s="16">
        <f>_xlfn.XLOOKUP(CustomerCombinedCleaned[[#This Row],[ID]], Table2[ID],Table2[MC5], "Not Found", 0 )</f>
        <v>0</v>
      </c>
    </row>
    <row r="200" spans="1:29" x14ac:dyDescent="0.3">
      <c r="A200" s="18">
        <v>2540</v>
      </c>
      <c r="B200" s="16">
        <v>144322</v>
      </c>
      <c r="C200" s="16">
        <v>1</v>
      </c>
      <c r="D200" s="16">
        <v>0</v>
      </c>
      <c r="E200" s="16">
        <v>35</v>
      </c>
      <c r="F200" s="17" t="s">
        <v>6</v>
      </c>
      <c r="G200" s="17" t="s">
        <v>11</v>
      </c>
      <c r="H200" s="3" t="s">
        <v>33</v>
      </c>
      <c r="I200" s="5" t="s">
        <v>438</v>
      </c>
      <c r="J200" s="16">
        <f>_xlfn.XLOOKUP(CustomerCombinedCleaned[[#This Row],[ID]], Table4[ID], Table4[Recency], "Not Found", 0)</f>
        <v>30</v>
      </c>
      <c r="K200" s="16">
        <f>_xlfn.XLOOKUP(CustomerCombinedCleaned[[#This Row],[ID]], Table4[ID], Table4[Teas], "Not Found", 0)</f>
        <v>150</v>
      </c>
      <c r="L200" s="16">
        <f>_xlfn.XLOOKUP(CustomerCombinedCleaned[[#This Row],[ID]], Table4[ID], Table4[Fruits], "Not Found", 0)</f>
        <v>0</v>
      </c>
      <c r="M200" s="16">
        <f>_xlfn.XLOOKUP(CustomerCombinedCleaned[[#This Row],[ID]], Table4[ID], Table4[Meats], "Not Found", 0)</f>
        <v>130</v>
      </c>
      <c r="N200" s="16">
        <f>_xlfn.XLOOKUP(CustomerCombinedCleaned[[#This Row],[ID]], Table4[ID], Table4[Seafood], "Not Found", 0)</f>
        <v>10</v>
      </c>
      <c r="O200" s="16">
        <f>_xlfn.XLOOKUP(CustomerCombinedCleaned[[#This Row],[ID]], Table4[ID], Table4[Sweets], "Not Found", 0)</f>
        <v>0</v>
      </c>
      <c r="P200" s="16">
        <f>_xlfn.XLOOKUP(CustomerCombinedCleaned[[#This Row],[ID]], Table4[ID], Table4[Premium], "Not Found", 0)</f>
        <v>10</v>
      </c>
      <c r="Q200" s="16">
        <f>_xlfn.XLOOKUP(CustomerCombinedCleaned[[#This Row],[ID]], Table4[ID], Table4[Regular], "Not Found", 0)</f>
        <v>280</v>
      </c>
      <c r="R200" s="16">
        <f>_xlfn.XLOOKUP(CustomerCombinedCleaned[[#This Row],[ID]], Table4[ID], Table4[Deals], "Not Found", 0)</f>
        <v>2</v>
      </c>
      <c r="S200" s="16">
        <f>_xlfn.XLOOKUP(CustomerCombinedCleaned[[#This Row],[ID]], Table4[ID], Table4[Website], "Not Found", 0)</f>
        <v>3</v>
      </c>
      <c r="T200" s="16">
        <f>_xlfn.XLOOKUP(CustomerCombinedCleaned[[#This Row],[ID]], Table4[ID], Table4[Catalog], "Not Found", 0)</f>
        <v>0</v>
      </c>
      <c r="U200" s="16">
        <f>_xlfn.XLOOKUP(CustomerCombinedCleaned[[#This Row],[ID]], Table4[ID], Table4[Store], "Not Found", 0)</f>
        <v>3</v>
      </c>
      <c r="V200" s="16">
        <f>_xlfn.XLOOKUP(CustomerCombinedCleaned[[#This Row],[ID]], Table4[ID], Table4[Visits], "Not Found", 0)</f>
        <v>8</v>
      </c>
      <c r="W200" s="16">
        <f>_xlfn.XLOOKUP(CustomerCombinedCleaned[[#This Row],[ID]], Table2[ID],Table2[Complaint], "Not Found", 0 )</f>
        <v>0</v>
      </c>
      <c r="X200" s="16">
        <f>_xlfn.XLOOKUP(CustomerCombinedCleaned[[#This Row],[ID]], Table2[ID],Table2[Pilot], "Not Found", 0 )</f>
        <v>0</v>
      </c>
      <c r="Y200" s="16">
        <f>_xlfn.XLOOKUP(CustomerCombinedCleaned[[#This Row],[ID]], Table2[ID],Table2[MC1], "Not Found", 0 )</f>
        <v>0</v>
      </c>
      <c r="Z200" s="16">
        <f>_xlfn.XLOOKUP(CustomerCombinedCleaned[[#This Row],[ID]], Table2[ID],Table2[MC2], "Not Found", 0 )</f>
        <v>0</v>
      </c>
      <c r="AA200" s="16">
        <f>_xlfn.XLOOKUP(CustomerCombinedCleaned[[#This Row],[ID]], Table2[ID],Table2[MC3], "Not Found", 0 )</f>
        <v>0</v>
      </c>
      <c r="AB200" s="16">
        <f>_xlfn.XLOOKUP(CustomerCombinedCleaned[[#This Row],[ID]], Table2[ID],Table2[MC4], "Not Found", 0 )</f>
        <v>0</v>
      </c>
      <c r="AC200" s="16">
        <f>_xlfn.XLOOKUP(CustomerCombinedCleaned[[#This Row],[ID]], Table2[ID],Table2[MC5], "Not Found", 0 )</f>
        <v>0</v>
      </c>
    </row>
    <row r="201" spans="1:29" x14ac:dyDescent="0.3">
      <c r="A201" s="18">
        <v>2640</v>
      </c>
      <c r="B201" s="16">
        <v>141473</v>
      </c>
      <c r="C201" s="16">
        <v>1</v>
      </c>
      <c r="D201" s="16">
        <v>0</v>
      </c>
      <c r="E201" s="16">
        <v>35</v>
      </c>
      <c r="F201" s="17" t="s">
        <v>7</v>
      </c>
      <c r="G201" s="17" t="s">
        <v>11</v>
      </c>
      <c r="H201" s="3" t="s">
        <v>234</v>
      </c>
      <c r="I201" s="5" t="s">
        <v>436</v>
      </c>
      <c r="J201" s="16">
        <f>_xlfn.XLOOKUP(CustomerCombinedCleaned[[#This Row],[ID]], Table4[ID], Table4[Recency], "Not Found", 0)</f>
        <v>80</v>
      </c>
      <c r="K201" s="16">
        <f>_xlfn.XLOOKUP(CustomerCombinedCleaned[[#This Row],[ID]], Table4[ID], Table4[Teas], "Not Found", 0)</f>
        <v>72</v>
      </c>
      <c r="L201" s="16">
        <f>_xlfn.XLOOKUP(CustomerCombinedCleaned[[#This Row],[ID]], Table4[ID], Table4[Fruits], "Not Found", 0)</f>
        <v>27</v>
      </c>
      <c r="M201" s="16">
        <f>_xlfn.XLOOKUP(CustomerCombinedCleaned[[#This Row],[ID]], Table4[ID], Table4[Meats], "Not Found", 0)</f>
        <v>68</v>
      </c>
      <c r="N201" s="16">
        <f>_xlfn.XLOOKUP(CustomerCombinedCleaned[[#This Row],[ID]], Table4[ID], Table4[Seafood], "Not Found", 0)</f>
        <v>51</v>
      </c>
      <c r="O201" s="16">
        <f>_xlfn.XLOOKUP(CustomerCombinedCleaned[[#This Row],[ID]], Table4[ID], Table4[Sweets], "Not Found", 0)</f>
        <v>10</v>
      </c>
      <c r="P201" s="16">
        <f>_xlfn.XLOOKUP(CustomerCombinedCleaned[[#This Row],[ID]], Table4[ID], Table4[Premium], "Not Found", 0)</f>
        <v>31</v>
      </c>
      <c r="Q201" s="16">
        <f>_xlfn.XLOOKUP(CustomerCombinedCleaned[[#This Row],[ID]], Table4[ID], Table4[Regular], "Not Found", 0)</f>
        <v>198</v>
      </c>
      <c r="R201" s="16">
        <f>_xlfn.XLOOKUP(CustomerCombinedCleaned[[#This Row],[ID]], Table4[ID], Table4[Deals], "Not Found", 0)</f>
        <v>1</v>
      </c>
      <c r="S201" s="16">
        <f>_xlfn.XLOOKUP(CustomerCombinedCleaned[[#This Row],[ID]], Table4[ID], Table4[Website], "Not Found", 0)</f>
        <v>2</v>
      </c>
      <c r="T201" s="16">
        <f>_xlfn.XLOOKUP(CustomerCombinedCleaned[[#This Row],[ID]], Table4[ID], Table4[Catalog], "Not Found", 0)</f>
        <v>0</v>
      </c>
      <c r="U201" s="16">
        <f>_xlfn.XLOOKUP(CustomerCombinedCleaned[[#This Row],[ID]], Table4[ID], Table4[Store], "Not Found", 0)</f>
        <v>3</v>
      </c>
      <c r="V201" s="16">
        <f>_xlfn.XLOOKUP(CustomerCombinedCleaned[[#This Row],[ID]], Table4[ID], Table4[Visits], "Not Found", 0)</f>
        <v>7</v>
      </c>
      <c r="W201" s="16">
        <f>_xlfn.XLOOKUP(CustomerCombinedCleaned[[#This Row],[ID]], Table2[ID],Table2[Complaint], "Not Found", 0 )</f>
        <v>0</v>
      </c>
      <c r="X201" s="16">
        <f>_xlfn.XLOOKUP(CustomerCombinedCleaned[[#This Row],[ID]], Table2[ID],Table2[Pilot], "Not Found", 0 )</f>
        <v>0</v>
      </c>
      <c r="Y201" s="16">
        <f>_xlfn.XLOOKUP(CustomerCombinedCleaned[[#This Row],[ID]], Table2[ID],Table2[MC1], "Not Found", 0 )</f>
        <v>0</v>
      </c>
      <c r="Z201" s="16">
        <f>_xlfn.XLOOKUP(CustomerCombinedCleaned[[#This Row],[ID]], Table2[ID],Table2[MC2], "Not Found", 0 )</f>
        <v>0</v>
      </c>
      <c r="AA201" s="16">
        <f>_xlfn.XLOOKUP(CustomerCombinedCleaned[[#This Row],[ID]], Table2[ID],Table2[MC3], "Not Found", 0 )</f>
        <v>0</v>
      </c>
      <c r="AB201" s="16">
        <f>_xlfn.XLOOKUP(CustomerCombinedCleaned[[#This Row],[ID]], Table2[ID],Table2[MC4], "Not Found", 0 )</f>
        <v>0</v>
      </c>
      <c r="AC201" s="16">
        <f>_xlfn.XLOOKUP(CustomerCombinedCleaned[[#This Row],[ID]], Table2[ID],Table2[MC5], "Not Found", 0 )</f>
        <v>0</v>
      </c>
    </row>
    <row r="202" spans="1:29" x14ac:dyDescent="0.3">
      <c r="A202" s="18">
        <v>3187</v>
      </c>
      <c r="B202" s="16">
        <v>140101</v>
      </c>
      <c r="C202" s="16">
        <v>1</v>
      </c>
      <c r="D202" s="16">
        <v>0</v>
      </c>
      <c r="E202" s="16">
        <v>35</v>
      </c>
      <c r="F202" s="17" t="s">
        <v>8</v>
      </c>
      <c r="G202" s="17" t="s">
        <v>12</v>
      </c>
      <c r="H202" s="3" t="s">
        <v>380</v>
      </c>
      <c r="I202" s="5" t="s">
        <v>437</v>
      </c>
      <c r="J202" s="16">
        <f>_xlfn.XLOOKUP(CustomerCombinedCleaned[[#This Row],[ID]], Table4[ID], Table4[Recency], "Not Found", 0)</f>
        <v>73</v>
      </c>
      <c r="K202" s="16">
        <f>_xlfn.XLOOKUP(CustomerCombinedCleaned[[#This Row],[ID]], Table4[ID], Table4[Teas], "Not Found", 0)</f>
        <v>597</v>
      </c>
      <c r="L202" s="16">
        <f>_xlfn.XLOOKUP(CustomerCombinedCleaned[[#This Row],[ID]], Table4[ID], Table4[Fruits], "Not Found", 0)</f>
        <v>10</v>
      </c>
      <c r="M202" s="16">
        <f>_xlfn.XLOOKUP(CustomerCombinedCleaned[[#This Row],[ID]], Table4[ID], Table4[Meats], "Not Found", 0)</f>
        <v>451</v>
      </c>
      <c r="N202" s="16">
        <f>_xlfn.XLOOKUP(CustomerCombinedCleaned[[#This Row],[ID]], Table4[ID], Table4[Seafood], "Not Found", 0)</f>
        <v>91</v>
      </c>
      <c r="O202" s="16">
        <f>_xlfn.XLOOKUP(CustomerCombinedCleaned[[#This Row],[ID]], Table4[ID], Table4[Sweets], "Not Found", 0)</f>
        <v>84</v>
      </c>
      <c r="P202" s="16">
        <f>_xlfn.XLOOKUP(CustomerCombinedCleaned[[#This Row],[ID]], Table4[ID], Table4[Premium], "Not Found", 0)</f>
        <v>217</v>
      </c>
      <c r="Q202" s="16">
        <f>_xlfn.XLOOKUP(CustomerCombinedCleaned[[#This Row],[ID]], Table4[ID], Table4[Regular], "Not Found", 0)</f>
        <v>1017</v>
      </c>
      <c r="R202" s="16">
        <f>_xlfn.XLOOKUP(CustomerCombinedCleaned[[#This Row],[ID]], Table4[ID], Table4[Deals], "Not Found", 0)</f>
        <v>4</v>
      </c>
      <c r="S202" s="16">
        <f>_xlfn.XLOOKUP(CustomerCombinedCleaned[[#This Row],[ID]], Table4[ID], Table4[Website], "Not Found", 0)</f>
        <v>6</v>
      </c>
      <c r="T202" s="16">
        <f>_xlfn.XLOOKUP(CustomerCombinedCleaned[[#This Row],[ID]], Table4[ID], Table4[Catalog], "Not Found", 0)</f>
        <v>1</v>
      </c>
      <c r="U202" s="16">
        <f>_xlfn.XLOOKUP(CustomerCombinedCleaned[[#This Row],[ID]], Table4[ID], Table4[Store], "Not Found", 0)</f>
        <v>6</v>
      </c>
      <c r="V202" s="16">
        <f>_xlfn.XLOOKUP(CustomerCombinedCleaned[[#This Row],[ID]], Table4[ID], Table4[Visits], "Not Found", 0)</f>
        <v>7</v>
      </c>
      <c r="W202" s="16">
        <f>_xlfn.XLOOKUP(CustomerCombinedCleaned[[#This Row],[ID]], Table2[ID],Table2[Complaint], "Not Found", 0 )</f>
        <v>0</v>
      </c>
      <c r="X202" s="16">
        <f>_xlfn.XLOOKUP(CustomerCombinedCleaned[[#This Row],[ID]], Table2[ID],Table2[Pilot], "Not Found", 0 )</f>
        <v>0</v>
      </c>
      <c r="Y202" s="16">
        <f>_xlfn.XLOOKUP(CustomerCombinedCleaned[[#This Row],[ID]], Table2[ID],Table2[MC1], "Not Found", 0 )</f>
        <v>0</v>
      </c>
      <c r="Z202" s="16">
        <f>_xlfn.XLOOKUP(CustomerCombinedCleaned[[#This Row],[ID]], Table2[ID],Table2[MC2], "Not Found", 0 )</f>
        <v>0</v>
      </c>
      <c r="AA202" s="16">
        <f>_xlfn.XLOOKUP(CustomerCombinedCleaned[[#This Row],[ID]], Table2[ID],Table2[MC3], "Not Found", 0 )</f>
        <v>0</v>
      </c>
      <c r="AB202" s="16">
        <f>_xlfn.XLOOKUP(CustomerCombinedCleaned[[#This Row],[ID]], Table2[ID],Table2[MC4], "Not Found", 0 )</f>
        <v>0</v>
      </c>
      <c r="AC202" s="16">
        <f>_xlfn.XLOOKUP(CustomerCombinedCleaned[[#This Row],[ID]], Table2[ID],Table2[MC5], "Not Found", 0 )</f>
        <v>0</v>
      </c>
    </row>
    <row r="203" spans="1:29" x14ac:dyDescent="0.3">
      <c r="A203" s="18">
        <v>2645</v>
      </c>
      <c r="B203" s="16">
        <v>137929</v>
      </c>
      <c r="C203" s="16">
        <v>0</v>
      </c>
      <c r="D203" s="16">
        <v>0</v>
      </c>
      <c r="E203" s="16">
        <v>35</v>
      </c>
      <c r="F203" s="17" t="s">
        <v>7</v>
      </c>
      <c r="G203" s="17" t="s">
        <v>13</v>
      </c>
      <c r="H203" s="3" t="s">
        <v>704</v>
      </c>
      <c r="I203" s="5" t="s">
        <v>434</v>
      </c>
      <c r="J203" s="16">
        <f>_xlfn.XLOOKUP(CustomerCombinedCleaned[[#This Row],[ID]], Table4[ID], Table4[Recency], "Not Found", 0)</f>
        <v>49</v>
      </c>
      <c r="K203" s="16">
        <f>_xlfn.XLOOKUP(CustomerCombinedCleaned[[#This Row],[ID]], Table4[ID], Table4[Teas], "Not Found", 0)</f>
        <v>735</v>
      </c>
      <c r="L203" s="16">
        <f>_xlfn.XLOOKUP(CustomerCombinedCleaned[[#This Row],[ID]], Table4[ID], Table4[Fruits], "Not Found", 0)</f>
        <v>7</v>
      </c>
      <c r="M203" s="16">
        <f>_xlfn.XLOOKUP(CustomerCombinedCleaned[[#This Row],[ID]], Table4[ID], Table4[Meats], "Not Found", 0)</f>
        <v>167</v>
      </c>
      <c r="N203" s="16">
        <f>_xlfn.XLOOKUP(CustomerCombinedCleaned[[#This Row],[ID]], Table4[ID], Table4[Seafood], "Not Found", 0)</f>
        <v>11</v>
      </c>
      <c r="O203" s="16">
        <f>_xlfn.XLOOKUP(CustomerCombinedCleaned[[#This Row],[ID]], Table4[ID], Table4[Sweets], "Not Found", 0)</f>
        <v>7</v>
      </c>
      <c r="P203" s="16">
        <f>_xlfn.XLOOKUP(CustomerCombinedCleaned[[#This Row],[ID]], Table4[ID], Table4[Premium], "Not Found", 0)</f>
        <v>36</v>
      </c>
      <c r="Q203" s="16">
        <f>_xlfn.XLOOKUP(CustomerCombinedCleaned[[#This Row],[ID]], Table4[ID], Table4[Regular], "Not Found", 0)</f>
        <v>891</v>
      </c>
      <c r="R203" s="16">
        <f>_xlfn.XLOOKUP(CustomerCombinedCleaned[[#This Row],[ID]], Table4[ID], Table4[Deals], "Not Found", 0)</f>
        <v>2</v>
      </c>
      <c r="S203" s="16">
        <f>_xlfn.XLOOKUP(CustomerCombinedCleaned[[#This Row],[ID]], Table4[ID], Table4[Website], "Not Found", 0)</f>
        <v>4</v>
      </c>
      <c r="T203" s="16">
        <f>_xlfn.XLOOKUP(CustomerCombinedCleaned[[#This Row],[ID]], Table4[ID], Table4[Catalog], "Not Found", 0)</f>
        <v>2</v>
      </c>
      <c r="U203" s="16">
        <f>_xlfn.XLOOKUP(CustomerCombinedCleaned[[#This Row],[ID]], Table4[ID], Table4[Store], "Not Found", 0)</f>
        <v>5</v>
      </c>
      <c r="V203" s="16">
        <f>_xlfn.XLOOKUP(CustomerCombinedCleaned[[#This Row],[ID]], Table4[ID], Table4[Visits], "Not Found", 0)</f>
        <v>7</v>
      </c>
      <c r="W203" s="16">
        <f>_xlfn.XLOOKUP(CustomerCombinedCleaned[[#This Row],[ID]], Table2[ID],Table2[Complaint], "Not Found", 0 )</f>
        <v>0</v>
      </c>
      <c r="X203" s="16">
        <f>_xlfn.XLOOKUP(CustomerCombinedCleaned[[#This Row],[ID]], Table2[ID],Table2[Pilot], "Not Found", 0 )</f>
        <v>1</v>
      </c>
      <c r="Y203" s="16">
        <f>_xlfn.XLOOKUP(CustomerCombinedCleaned[[#This Row],[ID]], Table2[ID],Table2[MC1], "Not Found", 0 )</f>
        <v>1</v>
      </c>
      <c r="Z203" s="16">
        <f>_xlfn.XLOOKUP(CustomerCombinedCleaned[[#This Row],[ID]], Table2[ID],Table2[MC2], "Not Found", 0 )</f>
        <v>0</v>
      </c>
      <c r="AA203" s="16">
        <f>_xlfn.XLOOKUP(CustomerCombinedCleaned[[#This Row],[ID]], Table2[ID],Table2[MC3], "Not Found", 0 )</f>
        <v>0</v>
      </c>
      <c r="AB203" s="16">
        <f>_xlfn.XLOOKUP(CustomerCombinedCleaned[[#This Row],[ID]], Table2[ID],Table2[MC4], "Not Found", 0 )</f>
        <v>1</v>
      </c>
      <c r="AC203" s="16">
        <f>_xlfn.XLOOKUP(CustomerCombinedCleaned[[#This Row],[ID]], Table2[ID],Table2[MC5], "Not Found", 0 )</f>
        <v>0</v>
      </c>
    </row>
    <row r="204" spans="1:29" x14ac:dyDescent="0.3">
      <c r="A204" s="18">
        <v>1660</v>
      </c>
      <c r="B204" s="16">
        <v>136145</v>
      </c>
      <c r="C204" s="16">
        <v>1</v>
      </c>
      <c r="D204" s="16">
        <v>0</v>
      </c>
      <c r="E204" s="16">
        <v>35</v>
      </c>
      <c r="F204" s="17" t="s">
        <v>6</v>
      </c>
      <c r="G204" s="17" t="s">
        <v>11</v>
      </c>
      <c r="H204" s="3" t="s">
        <v>237</v>
      </c>
      <c r="I204" s="5" t="s">
        <v>439</v>
      </c>
      <c r="J204" s="16">
        <f>_xlfn.XLOOKUP(CustomerCombinedCleaned[[#This Row],[ID]], Table4[ID], Table4[Recency], "Not Found", 0)</f>
        <v>13</v>
      </c>
      <c r="K204" s="16">
        <f>_xlfn.XLOOKUP(CustomerCombinedCleaned[[#This Row],[ID]], Table4[ID], Table4[Teas], "Not Found", 0)</f>
        <v>211</v>
      </c>
      <c r="L204" s="16">
        <f>_xlfn.XLOOKUP(CustomerCombinedCleaned[[#This Row],[ID]], Table4[ID], Table4[Fruits], "Not Found", 0)</f>
        <v>15</v>
      </c>
      <c r="M204" s="16">
        <f>_xlfn.XLOOKUP(CustomerCombinedCleaned[[#This Row],[ID]], Table4[ID], Table4[Meats], "Not Found", 0)</f>
        <v>286</v>
      </c>
      <c r="N204" s="16">
        <f>_xlfn.XLOOKUP(CustomerCombinedCleaned[[#This Row],[ID]], Table4[ID], Table4[Seafood], "Not Found", 0)</f>
        <v>64</v>
      </c>
      <c r="O204" s="16">
        <f>_xlfn.XLOOKUP(CustomerCombinedCleaned[[#This Row],[ID]], Table4[ID], Table4[Sweets], "Not Found", 0)</f>
        <v>4</v>
      </c>
      <c r="P204" s="16">
        <f>_xlfn.XLOOKUP(CustomerCombinedCleaned[[#This Row],[ID]], Table4[ID], Table4[Premium], "Not Found", 0)</f>
        <v>68</v>
      </c>
      <c r="Q204" s="16">
        <f>_xlfn.XLOOKUP(CustomerCombinedCleaned[[#This Row],[ID]], Table4[ID], Table4[Regular], "Not Found", 0)</f>
        <v>512</v>
      </c>
      <c r="R204" s="16">
        <f>_xlfn.XLOOKUP(CustomerCombinedCleaned[[#This Row],[ID]], Table4[ID], Table4[Deals], "Not Found", 0)</f>
        <v>4</v>
      </c>
      <c r="S204" s="16">
        <f>_xlfn.XLOOKUP(CustomerCombinedCleaned[[#This Row],[ID]], Table4[ID], Table4[Website], "Not Found", 0)</f>
        <v>4</v>
      </c>
      <c r="T204" s="16">
        <f>_xlfn.XLOOKUP(CustomerCombinedCleaned[[#This Row],[ID]], Table4[ID], Table4[Catalog], "Not Found", 0)</f>
        <v>1</v>
      </c>
      <c r="U204" s="16">
        <f>_xlfn.XLOOKUP(CustomerCombinedCleaned[[#This Row],[ID]], Table4[ID], Table4[Store], "Not Found", 0)</f>
        <v>3</v>
      </c>
      <c r="V204" s="16">
        <f>_xlfn.XLOOKUP(CustomerCombinedCleaned[[#This Row],[ID]], Table4[ID], Table4[Visits], "Not Found", 0)</f>
        <v>9</v>
      </c>
      <c r="W204" s="16">
        <f>_xlfn.XLOOKUP(CustomerCombinedCleaned[[#This Row],[ID]], Table2[ID],Table2[Complaint], "Not Found", 0 )</f>
        <v>0</v>
      </c>
      <c r="X204" s="16">
        <f>_xlfn.XLOOKUP(CustomerCombinedCleaned[[#This Row],[ID]], Table2[ID],Table2[Pilot], "Not Found", 0 )</f>
        <v>1</v>
      </c>
      <c r="Y204" s="16">
        <f>_xlfn.XLOOKUP(CustomerCombinedCleaned[[#This Row],[ID]], Table2[ID],Table2[MC1], "Not Found", 0 )</f>
        <v>0</v>
      </c>
      <c r="Z204" s="16">
        <f>_xlfn.XLOOKUP(CustomerCombinedCleaned[[#This Row],[ID]], Table2[ID],Table2[MC2], "Not Found", 0 )</f>
        <v>0</v>
      </c>
      <c r="AA204" s="16">
        <f>_xlfn.XLOOKUP(CustomerCombinedCleaned[[#This Row],[ID]], Table2[ID],Table2[MC3], "Not Found", 0 )</f>
        <v>1</v>
      </c>
      <c r="AB204" s="16">
        <f>_xlfn.XLOOKUP(CustomerCombinedCleaned[[#This Row],[ID]], Table2[ID],Table2[MC4], "Not Found", 0 )</f>
        <v>0</v>
      </c>
      <c r="AC204" s="16">
        <f>_xlfn.XLOOKUP(CustomerCombinedCleaned[[#This Row],[ID]], Table2[ID],Table2[MC5], "Not Found", 0 )</f>
        <v>0</v>
      </c>
    </row>
    <row r="205" spans="1:29" x14ac:dyDescent="0.3">
      <c r="A205" s="18">
        <v>1019</v>
      </c>
      <c r="B205" s="16">
        <v>133812</v>
      </c>
      <c r="C205" s="16">
        <v>1</v>
      </c>
      <c r="D205" s="16">
        <v>0</v>
      </c>
      <c r="E205" s="16">
        <v>35</v>
      </c>
      <c r="F205" s="17" t="s">
        <v>7</v>
      </c>
      <c r="G205" s="17" t="s">
        <v>11</v>
      </c>
      <c r="H205" s="3" t="s">
        <v>742</v>
      </c>
      <c r="I205" s="5" t="s">
        <v>434</v>
      </c>
      <c r="J205" s="16">
        <f>_xlfn.XLOOKUP(CustomerCombinedCleaned[[#This Row],[ID]], Table4[ID], Table4[Recency], "Not Found", 0)</f>
        <v>86</v>
      </c>
      <c r="K205" s="16">
        <f>_xlfn.XLOOKUP(CustomerCombinedCleaned[[#This Row],[ID]], Table4[ID], Table4[Teas], "Not Found", 0)</f>
        <v>16</v>
      </c>
      <c r="L205" s="16">
        <f>_xlfn.XLOOKUP(CustomerCombinedCleaned[[#This Row],[ID]], Table4[ID], Table4[Fruits], "Not Found", 0)</f>
        <v>67</v>
      </c>
      <c r="M205" s="16">
        <f>_xlfn.XLOOKUP(CustomerCombinedCleaned[[#This Row],[ID]], Table4[ID], Table4[Meats], "Not Found", 0)</f>
        <v>75</v>
      </c>
      <c r="N205" s="16">
        <f>_xlfn.XLOOKUP(CustomerCombinedCleaned[[#This Row],[ID]], Table4[ID], Table4[Seafood], "Not Found", 0)</f>
        <v>119</v>
      </c>
      <c r="O205" s="16">
        <f>_xlfn.XLOOKUP(CustomerCombinedCleaned[[#This Row],[ID]], Table4[ID], Table4[Sweets], "Not Found", 0)</f>
        <v>95</v>
      </c>
      <c r="P205" s="16">
        <f>_xlfn.XLOOKUP(CustomerCombinedCleaned[[#This Row],[ID]], Table4[ID], Table4[Premium], "Not Found", 0)</f>
        <v>154</v>
      </c>
      <c r="Q205" s="16">
        <f>_xlfn.XLOOKUP(CustomerCombinedCleaned[[#This Row],[ID]], Table4[ID], Table4[Regular], "Not Found", 0)</f>
        <v>218</v>
      </c>
      <c r="R205" s="16">
        <f>_xlfn.XLOOKUP(CustomerCombinedCleaned[[#This Row],[ID]], Table4[ID], Table4[Deals], "Not Found", 0)</f>
        <v>2</v>
      </c>
      <c r="S205" s="16">
        <f>_xlfn.XLOOKUP(CustomerCombinedCleaned[[#This Row],[ID]], Table4[ID], Table4[Website], "Not Found", 0)</f>
        <v>2</v>
      </c>
      <c r="T205" s="16">
        <f>_xlfn.XLOOKUP(CustomerCombinedCleaned[[#This Row],[ID]], Table4[ID], Table4[Catalog], "Not Found", 0)</f>
        <v>1</v>
      </c>
      <c r="U205" s="16">
        <f>_xlfn.XLOOKUP(CustomerCombinedCleaned[[#This Row],[ID]], Table4[ID], Table4[Store], "Not Found", 0)</f>
        <v>3</v>
      </c>
      <c r="V205" s="16">
        <f>_xlfn.XLOOKUP(CustomerCombinedCleaned[[#This Row],[ID]], Table4[ID], Table4[Visits], "Not Found", 0)</f>
        <v>6</v>
      </c>
      <c r="W205" s="16">
        <f>_xlfn.XLOOKUP(CustomerCombinedCleaned[[#This Row],[ID]], Table2[ID],Table2[Complaint], "Not Found", 0 )</f>
        <v>0</v>
      </c>
      <c r="X205" s="16">
        <f>_xlfn.XLOOKUP(CustomerCombinedCleaned[[#This Row],[ID]], Table2[ID],Table2[Pilot], "Not Found", 0 )</f>
        <v>0</v>
      </c>
      <c r="Y205" s="16">
        <f>_xlfn.XLOOKUP(CustomerCombinedCleaned[[#This Row],[ID]], Table2[ID],Table2[MC1], "Not Found", 0 )</f>
        <v>0</v>
      </c>
      <c r="Z205" s="16">
        <f>_xlfn.XLOOKUP(CustomerCombinedCleaned[[#This Row],[ID]], Table2[ID],Table2[MC2], "Not Found", 0 )</f>
        <v>0</v>
      </c>
      <c r="AA205" s="16">
        <f>_xlfn.XLOOKUP(CustomerCombinedCleaned[[#This Row],[ID]], Table2[ID],Table2[MC3], "Not Found", 0 )</f>
        <v>0</v>
      </c>
      <c r="AB205" s="16">
        <f>_xlfn.XLOOKUP(CustomerCombinedCleaned[[#This Row],[ID]], Table2[ID],Table2[MC4], "Not Found", 0 )</f>
        <v>0</v>
      </c>
      <c r="AC205" s="16">
        <f>_xlfn.XLOOKUP(CustomerCombinedCleaned[[#This Row],[ID]], Table2[ID],Table2[MC5], "Not Found", 0 )</f>
        <v>0</v>
      </c>
    </row>
    <row r="206" spans="1:29" x14ac:dyDescent="0.3">
      <c r="A206" s="18">
        <v>1008</v>
      </c>
      <c r="B206" s="16">
        <v>133454</v>
      </c>
      <c r="C206" s="16">
        <v>1</v>
      </c>
      <c r="D206" s="16">
        <v>0</v>
      </c>
      <c r="E206" s="16">
        <v>35</v>
      </c>
      <c r="F206" s="17" t="s">
        <v>6</v>
      </c>
      <c r="G206" s="17" t="s">
        <v>13</v>
      </c>
      <c r="H206" s="3" t="s">
        <v>263</v>
      </c>
      <c r="I206" s="5" t="s">
        <v>436</v>
      </c>
      <c r="J206" s="16">
        <f>_xlfn.XLOOKUP(CustomerCombinedCleaned[[#This Row],[ID]], Table4[ID], Table4[Recency], "Not Found", 0)</f>
        <v>32</v>
      </c>
      <c r="K206" s="16">
        <f>_xlfn.XLOOKUP(CustomerCombinedCleaned[[#This Row],[ID]], Table4[ID], Table4[Teas], "Not Found", 0)</f>
        <v>303</v>
      </c>
      <c r="L206" s="16">
        <f>_xlfn.XLOOKUP(CustomerCombinedCleaned[[#This Row],[ID]], Table4[ID], Table4[Fruits], "Not Found", 0)</f>
        <v>40</v>
      </c>
      <c r="M206" s="16">
        <f>_xlfn.XLOOKUP(CustomerCombinedCleaned[[#This Row],[ID]], Table4[ID], Table4[Meats], "Not Found", 0)</f>
        <v>223</v>
      </c>
      <c r="N206" s="16">
        <f>_xlfn.XLOOKUP(CustomerCombinedCleaned[[#This Row],[ID]], Table4[ID], Table4[Seafood], "Not Found", 0)</f>
        <v>12</v>
      </c>
      <c r="O206" s="16">
        <f>_xlfn.XLOOKUP(CustomerCombinedCleaned[[#This Row],[ID]], Table4[ID], Table4[Sweets], "Not Found", 0)</f>
        <v>4</v>
      </c>
      <c r="P206" s="16">
        <f>_xlfn.XLOOKUP(CustomerCombinedCleaned[[#This Row],[ID]], Table4[ID], Table4[Premium], "Not Found", 0)</f>
        <v>92</v>
      </c>
      <c r="Q206" s="16">
        <f>_xlfn.XLOOKUP(CustomerCombinedCleaned[[#This Row],[ID]], Table4[ID], Table4[Regular], "Not Found", 0)</f>
        <v>491</v>
      </c>
      <c r="R206" s="16">
        <f>_xlfn.XLOOKUP(CustomerCombinedCleaned[[#This Row],[ID]], Table4[ID], Table4[Deals], "Not Found", 0)</f>
        <v>2</v>
      </c>
      <c r="S206" s="16">
        <f>_xlfn.XLOOKUP(CustomerCombinedCleaned[[#This Row],[ID]], Table4[ID], Table4[Website], "Not Found", 0)</f>
        <v>4</v>
      </c>
      <c r="T206" s="16">
        <f>_xlfn.XLOOKUP(CustomerCombinedCleaned[[#This Row],[ID]], Table4[ID], Table4[Catalog], "Not Found", 0)</f>
        <v>0</v>
      </c>
      <c r="U206" s="16">
        <f>_xlfn.XLOOKUP(CustomerCombinedCleaned[[#This Row],[ID]], Table4[ID], Table4[Store], "Not Found", 0)</f>
        <v>4</v>
      </c>
      <c r="V206" s="16">
        <f>_xlfn.XLOOKUP(CustomerCombinedCleaned[[#This Row],[ID]], Table4[ID], Table4[Visits], "Not Found", 0)</f>
        <v>8</v>
      </c>
      <c r="W206" s="16">
        <f>_xlfn.XLOOKUP(CustomerCombinedCleaned[[#This Row],[ID]], Table2[ID],Table2[Complaint], "Not Found", 0 )</f>
        <v>0</v>
      </c>
      <c r="X206" s="16">
        <f>_xlfn.XLOOKUP(CustomerCombinedCleaned[[#This Row],[ID]], Table2[ID],Table2[Pilot], "Not Found", 0 )</f>
        <v>0</v>
      </c>
      <c r="Y206" s="16">
        <f>_xlfn.XLOOKUP(CustomerCombinedCleaned[[#This Row],[ID]], Table2[ID],Table2[MC1], "Not Found", 0 )</f>
        <v>0</v>
      </c>
      <c r="Z206" s="16">
        <f>_xlfn.XLOOKUP(CustomerCombinedCleaned[[#This Row],[ID]], Table2[ID],Table2[MC2], "Not Found", 0 )</f>
        <v>0</v>
      </c>
      <c r="AA206" s="16">
        <f>_xlfn.XLOOKUP(CustomerCombinedCleaned[[#This Row],[ID]], Table2[ID],Table2[MC3], "Not Found", 0 )</f>
        <v>0</v>
      </c>
      <c r="AB206" s="16">
        <f>_xlfn.XLOOKUP(CustomerCombinedCleaned[[#This Row],[ID]], Table2[ID],Table2[MC4], "Not Found", 0 )</f>
        <v>0</v>
      </c>
      <c r="AC206" s="16">
        <f>_xlfn.XLOOKUP(CustomerCombinedCleaned[[#This Row],[ID]], Table2[ID],Table2[MC5], "Not Found", 0 )</f>
        <v>0</v>
      </c>
    </row>
    <row r="207" spans="1:29" x14ac:dyDescent="0.3">
      <c r="A207" s="18">
        <v>2867</v>
      </c>
      <c r="B207" s="16">
        <v>131158</v>
      </c>
      <c r="C207" s="16">
        <v>1</v>
      </c>
      <c r="D207" s="16">
        <v>0</v>
      </c>
      <c r="E207" s="16">
        <v>35</v>
      </c>
      <c r="F207" s="17" t="s">
        <v>6</v>
      </c>
      <c r="G207" s="17" t="s">
        <v>11</v>
      </c>
      <c r="H207" s="3" t="s">
        <v>784</v>
      </c>
      <c r="I207" s="5" t="s">
        <v>434</v>
      </c>
      <c r="J207" s="16">
        <f>_xlfn.XLOOKUP(CustomerCombinedCleaned[[#This Row],[ID]], Table4[ID], Table4[Recency], "Not Found", 0)</f>
        <v>62</v>
      </c>
      <c r="K207" s="16">
        <f>_xlfn.XLOOKUP(CustomerCombinedCleaned[[#This Row],[ID]], Table4[ID], Table4[Teas], "Not Found", 0)</f>
        <v>105</v>
      </c>
      <c r="L207" s="16">
        <f>_xlfn.XLOOKUP(CustomerCombinedCleaned[[#This Row],[ID]], Table4[ID], Table4[Fruits], "Not Found", 0)</f>
        <v>25</v>
      </c>
      <c r="M207" s="16">
        <f>_xlfn.XLOOKUP(CustomerCombinedCleaned[[#This Row],[ID]], Table4[ID], Table4[Meats], "Not Found", 0)</f>
        <v>67</v>
      </c>
      <c r="N207" s="16">
        <f>_xlfn.XLOOKUP(CustomerCombinedCleaned[[#This Row],[ID]], Table4[ID], Table4[Seafood], "Not Found", 0)</f>
        <v>84</v>
      </c>
      <c r="O207" s="16">
        <f>_xlfn.XLOOKUP(CustomerCombinedCleaned[[#This Row],[ID]], Table4[ID], Table4[Sweets], "Not Found", 0)</f>
        <v>0</v>
      </c>
      <c r="P207" s="16">
        <f>_xlfn.XLOOKUP(CustomerCombinedCleaned[[#This Row],[ID]], Table4[ID], Table4[Premium], "Not Found", 0)</f>
        <v>21</v>
      </c>
      <c r="Q207" s="16">
        <f>_xlfn.XLOOKUP(CustomerCombinedCleaned[[#This Row],[ID]], Table4[ID], Table4[Regular], "Not Found", 0)</f>
        <v>261</v>
      </c>
      <c r="R207" s="16">
        <f>_xlfn.XLOOKUP(CustomerCombinedCleaned[[#This Row],[ID]], Table4[ID], Table4[Deals], "Not Found", 0)</f>
        <v>2</v>
      </c>
      <c r="S207" s="16">
        <f>_xlfn.XLOOKUP(CustomerCombinedCleaned[[#This Row],[ID]], Table4[ID], Table4[Website], "Not Found", 0)</f>
        <v>2</v>
      </c>
      <c r="T207" s="16">
        <f>_xlfn.XLOOKUP(CustomerCombinedCleaned[[#This Row],[ID]], Table4[ID], Table4[Catalog], "Not Found", 0)</f>
        <v>0</v>
      </c>
      <c r="U207" s="16">
        <f>_xlfn.XLOOKUP(CustomerCombinedCleaned[[#This Row],[ID]], Table4[ID], Table4[Store], "Not Found", 0)</f>
        <v>3</v>
      </c>
      <c r="V207" s="16">
        <f>_xlfn.XLOOKUP(CustomerCombinedCleaned[[#This Row],[ID]], Table4[ID], Table4[Visits], "Not Found", 0)</f>
        <v>8</v>
      </c>
      <c r="W207" s="16">
        <f>_xlfn.XLOOKUP(CustomerCombinedCleaned[[#This Row],[ID]], Table2[ID],Table2[Complaint], "Not Found", 0 )</f>
        <v>0</v>
      </c>
      <c r="X207" s="16">
        <f>_xlfn.XLOOKUP(CustomerCombinedCleaned[[#This Row],[ID]], Table2[ID],Table2[Pilot], "Not Found", 0 )</f>
        <v>0</v>
      </c>
      <c r="Y207" s="16">
        <f>_xlfn.XLOOKUP(CustomerCombinedCleaned[[#This Row],[ID]], Table2[ID],Table2[MC1], "Not Found", 0 )</f>
        <v>0</v>
      </c>
      <c r="Z207" s="16">
        <f>_xlfn.XLOOKUP(CustomerCombinedCleaned[[#This Row],[ID]], Table2[ID],Table2[MC2], "Not Found", 0 )</f>
        <v>0</v>
      </c>
      <c r="AA207" s="16">
        <f>_xlfn.XLOOKUP(CustomerCombinedCleaned[[#This Row],[ID]], Table2[ID],Table2[MC3], "Not Found", 0 )</f>
        <v>0</v>
      </c>
      <c r="AB207" s="16">
        <f>_xlfn.XLOOKUP(CustomerCombinedCleaned[[#This Row],[ID]], Table2[ID],Table2[MC4], "Not Found", 0 )</f>
        <v>0</v>
      </c>
      <c r="AC207" s="16">
        <f>_xlfn.XLOOKUP(CustomerCombinedCleaned[[#This Row],[ID]], Table2[ID],Table2[MC5], "Not Found", 0 )</f>
        <v>0</v>
      </c>
    </row>
    <row r="208" spans="1:29" x14ac:dyDescent="0.3">
      <c r="A208" s="18">
        <v>2859</v>
      </c>
      <c r="B208" s="16">
        <v>130298</v>
      </c>
      <c r="C208" s="16">
        <v>0</v>
      </c>
      <c r="D208" s="16">
        <v>0</v>
      </c>
      <c r="E208" s="16">
        <v>35</v>
      </c>
      <c r="F208" s="17" t="s">
        <v>7</v>
      </c>
      <c r="G208" s="17" t="s">
        <v>13</v>
      </c>
      <c r="H208" s="3" t="s">
        <v>46</v>
      </c>
      <c r="I208" s="5" t="s">
        <v>435</v>
      </c>
      <c r="J208" s="16">
        <f>_xlfn.XLOOKUP(CustomerCombinedCleaned[[#This Row],[ID]], Table4[ID], Table4[Recency], "Not Found", 0)</f>
        <v>48</v>
      </c>
      <c r="K208" s="16">
        <f>_xlfn.XLOOKUP(CustomerCombinedCleaned[[#This Row],[ID]], Table4[ID], Table4[Teas], "Not Found", 0)</f>
        <v>26</v>
      </c>
      <c r="L208" s="16">
        <f>_xlfn.XLOOKUP(CustomerCombinedCleaned[[#This Row],[ID]], Table4[ID], Table4[Fruits], "Not Found", 0)</f>
        <v>13</v>
      </c>
      <c r="M208" s="16">
        <f>_xlfn.XLOOKUP(CustomerCombinedCleaned[[#This Row],[ID]], Table4[ID], Table4[Meats], "Not Found", 0)</f>
        <v>52</v>
      </c>
      <c r="N208" s="16">
        <f>_xlfn.XLOOKUP(CustomerCombinedCleaned[[#This Row],[ID]], Table4[ID], Table4[Seafood], "Not Found", 0)</f>
        <v>26</v>
      </c>
      <c r="O208" s="16">
        <f>_xlfn.XLOOKUP(CustomerCombinedCleaned[[#This Row],[ID]], Table4[ID], Table4[Sweets], "Not Found", 0)</f>
        <v>4</v>
      </c>
      <c r="P208" s="16">
        <f>_xlfn.XLOOKUP(CustomerCombinedCleaned[[#This Row],[ID]], Table4[ID], Table4[Premium], "Not Found", 0)</f>
        <v>0</v>
      </c>
      <c r="Q208" s="16">
        <f>_xlfn.XLOOKUP(CustomerCombinedCleaned[[#This Row],[ID]], Table4[ID], Table4[Regular], "Not Found", 0)</f>
        <v>120</v>
      </c>
      <c r="R208" s="16">
        <f>_xlfn.XLOOKUP(CustomerCombinedCleaned[[#This Row],[ID]], Table4[ID], Table4[Deals], "Not Found", 0)</f>
        <v>1</v>
      </c>
      <c r="S208" s="16">
        <f>_xlfn.XLOOKUP(CustomerCombinedCleaned[[#This Row],[ID]], Table4[ID], Table4[Website], "Not Found", 0)</f>
        <v>1</v>
      </c>
      <c r="T208" s="16">
        <f>_xlfn.XLOOKUP(CustomerCombinedCleaned[[#This Row],[ID]], Table4[ID], Table4[Catalog], "Not Found", 0)</f>
        <v>1</v>
      </c>
      <c r="U208" s="16">
        <f>_xlfn.XLOOKUP(CustomerCombinedCleaned[[#This Row],[ID]], Table4[ID], Table4[Store], "Not Found", 0)</f>
        <v>3</v>
      </c>
      <c r="V208" s="16">
        <f>_xlfn.XLOOKUP(CustomerCombinedCleaned[[#This Row],[ID]], Table4[ID], Table4[Visits], "Not Found", 0)</f>
        <v>3</v>
      </c>
      <c r="W208" s="16">
        <f>_xlfn.XLOOKUP(CustomerCombinedCleaned[[#This Row],[ID]], Table2[ID],Table2[Complaint], "Not Found", 0 )</f>
        <v>0</v>
      </c>
      <c r="X208" s="16">
        <f>_xlfn.XLOOKUP(CustomerCombinedCleaned[[#This Row],[ID]], Table2[ID],Table2[Pilot], "Not Found", 0 )</f>
        <v>0</v>
      </c>
      <c r="Y208" s="16">
        <f>_xlfn.XLOOKUP(CustomerCombinedCleaned[[#This Row],[ID]], Table2[ID],Table2[MC1], "Not Found", 0 )</f>
        <v>0</v>
      </c>
      <c r="Z208" s="16">
        <f>_xlfn.XLOOKUP(CustomerCombinedCleaned[[#This Row],[ID]], Table2[ID],Table2[MC2], "Not Found", 0 )</f>
        <v>0</v>
      </c>
      <c r="AA208" s="16">
        <f>_xlfn.XLOOKUP(CustomerCombinedCleaned[[#This Row],[ID]], Table2[ID],Table2[MC3], "Not Found", 0 )</f>
        <v>0</v>
      </c>
      <c r="AB208" s="16">
        <f>_xlfn.XLOOKUP(CustomerCombinedCleaned[[#This Row],[ID]], Table2[ID],Table2[MC4], "Not Found", 0 )</f>
        <v>0</v>
      </c>
      <c r="AC208" s="16">
        <f>_xlfn.XLOOKUP(CustomerCombinedCleaned[[#This Row],[ID]], Table2[ID],Table2[MC5], "Not Found", 0 )</f>
        <v>0</v>
      </c>
    </row>
    <row r="209" spans="1:29" x14ac:dyDescent="0.3">
      <c r="A209" s="18">
        <v>1238</v>
      </c>
      <c r="B209" s="16">
        <v>129938</v>
      </c>
      <c r="C209" s="16">
        <v>1</v>
      </c>
      <c r="D209" s="16">
        <v>0</v>
      </c>
      <c r="E209" s="16">
        <v>35</v>
      </c>
      <c r="F209" s="17" t="s">
        <v>7</v>
      </c>
      <c r="G209" s="17" t="s">
        <v>11</v>
      </c>
      <c r="H209" s="3" t="s">
        <v>628</v>
      </c>
      <c r="I209" s="5" t="s">
        <v>438</v>
      </c>
      <c r="J209" s="16">
        <f>_xlfn.XLOOKUP(CustomerCombinedCleaned[[#This Row],[ID]], Table4[ID], Table4[Recency], "Not Found", 0)</f>
        <v>52</v>
      </c>
      <c r="K209" s="16">
        <f>_xlfn.XLOOKUP(CustomerCombinedCleaned[[#This Row],[ID]], Table4[ID], Table4[Teas], "Not Found", 0)</f>
        <v>13</v>
      </c>
      <c r="L209" s="16">
        <f>_xlfn.XLOOKUP(CustomerCombinedCleaned[[#This Row],[ID]], Table4[ID], Table4[Fruits], "Not Found", 0)</f>
        <v>13</v>
      </c>
      <c r="M209" s="16">
        <f>_xlfn.XLOOKUP(CustomerCombinedCleaned[[#This Row],[ID]], Table4[ID], Table4[Meats], "Not Found", 0)</f>
        <v>30</v>
      </c>
      <c r="N209" s="16">
        <f>_xlfn.XLOOKUP(CustomerCombinedCleaned[[#This Row],[ID]], Table4[ID], Table4[Seafood], "Not Found", 0)</f>
        <v>0</v>
      </c>
      <c r="O209" s="16">
        <f>_xlfn.XLOOKUP(CustomerCombinedCleaned[[#This Row],[ID]], Table4[ID], Table4[Sweets], "Not Found", 0)</f>
        <v>9</v>
      </c>
      <c r="P209" s="16">
        <f>_xlfn.XLOOKUP(CustomerCombinedCleaned[[#This Row],[ID]], Table4[ID], Table4[Premium], "Not Found", 0)</f>
        <v>48</v>
      </c>
      <c r="Q209" s="16">
        <f>_xlfn.XLOOKUP(CustomerCombinedCleaned[[#This Row],[ID]], Table4[ID], Table4[Regular], "Not Found", 0)</f>
        <v>17</v>
      </c>
      <c r="R209" s="16">
        <f>_xlfn.XLOOKUP(CustomerCombinedCleaned[[#This Row],[ID]], Table4[ID], Table4[Deals], "Not Found", 0)</f>
        <v>2</v>
      </c>
      <c r="S209" s="16">
        <f>_xlfn.XLOOKUP(CustomerCombinedCleaned[[#This Row],[ID]], Table4[ID], Table4[Website], "Not Found", 0)</f>
        <v>1</v>
      </c>
      <c r="T209" s="16">
        <f>_xlfn.XLOOKUP(CustomerCombinedCleaned[[#This Row],[ID]], Table4[ID], Table4[Catalog], "Not Found", 0)</f>
        <v>0</v>
      </c>
      <c r="U209" s="16">
        <f>_xlfn.XLOOKUP(CustomerCombinedCleaned[[#This Row],[ID]], Table4[ID], Table4[Store], "Not Found", 0)</f>
        <v>3</v>
      </c>
      <c r="V209" s="16">
        <f>_xlfn.XLOOKUP(CustomerCombinedCleaned[[#This Row],[ID]], Table4[ID], Table4[Visits], "Not Found", 0)</f>
        <v>6</v>
      </c>
      <c r="W209" s="16">
        <f>_xlfn.XLOOKUP(CustomerCombinedCleaned[[#This Row],[ID]], Table2[ID],Table2[Complaint], "Not Found", 0 )</f>
        <v>0</v>
      </c>
      <c r="X209" s="16">
        <f>_xlfn.XLOOKUP(CustomerCombinedCleaned[[#This Row],[ID]], Table2[ID],Table2[Pilot], "Not Found", 0 )</f>
        <v>0</v>
      </c>
      <c r="Y209" s="16">
        <f>_xlfn.XLOOKUP(CustomerCombinedCleaned[[#This Row],[ID]], Table2[ID],Table2[MC1], "Not Found", 0 )</f>
        <v>0</v>
      </c>
      <c r="Z209" s="16">
        <f>_xlfn.XLOOKUP(CustomerCombinedCleaned[[#This Row],[ID]], Table2[ID],Table2[MC2], "Not Found", 0 )</f>
        <v>0</v>
      </c>
      <c r="AA209" s="16">
        <f>_xlfn.XLOOKUP(CustomerCombinedCleaned[[#This Row],[ID]], Table2[ID],Table2[MC3], "Not Found", 0 )</f>
        <v>0</v>
      </c>
      <c r="AB209" s="16">
        <f>_xlfn.XLOOKUP(CustomerCombinedCleaned[[#This Row],[ID]], Table2[ID],Table2[MC4], "Not Found", 0 )</f>
        <v>0</v>
      </c>
      <c r="AC209" s="16">
        <f>_xlfn.XLOOKUP(CustomerCombinedCleaned[[#This Row],[ID]], Table2[ID],Table2[MC5], "Not Found", 0 )</f>
        <v>0</v>
      </c>
    </row>
    <row r="210" spans="1:29" x14ac:dyDescent="0.3">
      <c r="A210" s="18">
        <v>1075</v>
      </c>
      <c r="B210" s="16">
        <v>129760</v>
      </c>
      <c r="C210" s="16">
        <v>1</v>
      </c>
      <c r="D210" s="16">
        <v>0</v>
      </c>
      <c r="E210" s="16">
        <v>35</v>
      </c>
      <c r="F210" s="17" t="s">
        <v>7</v>
      </c>
      <c r="G210" s="17" t="s">
        <v>11</v>
      </c>
      <c r="H210" s="3" t="s">
        <v>610</v>
      </c>
      <c r="I210" s="5" t="s">
        <v>437</v>
      </c>
      <c r="J210" s="16">
        <f>_xlfn.XLOOKUP(CustomerCombinedCleaned[[#This Row],[ID]], Table4[ID], Table4[Recency], "Not Found", 0)</f>
        <v>87</v>
      </c>
      <c r="K210" s="16">
        <f>_xlfn.XLOOKUP(CustomerCombinedCleaned[[#This Row],[ID]], Table4[ID], Table4[Teas], "Not Found", 0)</f>
        <v>279</v>
      </c>
      <c r="L210" s="16">
        <f>_xlfn.XLOOKUP(CustomerCombinedCleaned[[#This Row],[ID]], Table4[ID], Table4[Fruits], "Not Found", 0)</f>
        <v>17</v>
      </c>
      <c r="M210" s="16">
        <f>_xlfn.XLOOKUP(CustomerCombinedCleaned[[#This Row],[ID]], Table4[ID], Table4[Meats], "Not Found", 0)</f>
        <v>296</v>
      </c>
      <c r="N210" s="16">
        <f>_xlfn.XLOOKUP(CustomerCombinedCleaned[[#This Row],[ID]], Table4[ID], Table4[Seafood], "Not Found", 0)</f>
        <v>31</v>
      </c>
      <c r="O210" s="16">
        <f>_xlfn.XLOOKUP(CustomerCombinedCleaned[[#This Row],[ID]], Table4[ID], Table4[Sweets], "Not Found", 0)</f>
        <v>22</v>
      </c>
      <c r="P210" s="16">
        <f>_xlfn.XLOOKUP(CustomerCombinedCleaned[[#This Row],[ID]], Table4[ID], Table4[Premium], "Not Found", 0)</f>
        <v>74</v>
      </c>
      <c r="Q210" s="16">
        <f>_xlfn.XLOOKUP(CustomerCombinedCleaned[[#This Row],[ID]], Table4[ID], Table4[Regular], "Not Found", 0)</f>
        <v>571</v>
      </c>
      <c r="R210" s="16">
        <f>_xlfn.XLOOKUP(CustomerCombinedCleaned[[#This Row],[ID]], Table4[ID], Table4[Deals], "Not Found", 0)</f>
        <v>4</v>
      </c>
      <c r="S210" s="16">
        <f>_xlfn.XLOOKUP(CustomerCombinedCleaned[[#This Row],[ID]], Table4[ID], Table4[Website], "Not Found", 0)</f>
        <v>3</v>
      </c>
      <c r="T210" s="16">
        <f>_xlfn.XLOOKUP(CustomerCombinedCleaned[[#This Row],[ID]], Table4[ID], Table4[Catalog], "Not Found", 0)</f>
        <v>1</v>
      </c>
      <c r="U210" s="16">
        <f>_xlfn.XLOOKUP(CustomerCombinedCleaned[[#This Row],[ID]], Table4[ID], Table4[Store], "Not Found", 0)</f>
        <v>4</v>
      </c>
      <c r="V210" s="16">
        <f>_xlfn.XLOOKUP(CustomerCombinedCleaned[[#This Row],[ID]], Table4[ID], Table4[Visits], "Not Found", 0)</f>
        <v>8</v>
      </c>
      <c r="W210" s="16">
        <f>_xlfn.XLOOKUP(CustomerCombinedCleaned[[#This Row],[ID]], Table2[ID],Table2[Complaint], "Not Found", 0 )</f>
        <v>0</v>
      </c>
      <c r="X210" s="16">
        <f>_xlfn.XLOOKUP(CustomerCombinedCleaned[[#This Row],[ID]], Table2[ID],Table2[Pilot], "Not Found", 0 )</f>
        <v>0</v>
      </c>
      <c r="Y210" s="16">
        <f>_xlfn.XLOOKUP(CustomerCombinedCleaned[[#This Row],[ID]], Table2[ID],Table2[MC1], "Not Found", 0 )</f>
        <v>0</v>
      </c>
      <c r="Z210" s="16">
        <f>_xlfn.XLOOKUP(CustomerCombinedCleaned[[#This Row],[ID]], Table2[ID],Table2[MC2], "Not Found", 0 )</f>
        <v>0</v>
      </c>
      <c r="AA210" s="16">
        <f>_xlfn.XLOOKUP(CustomerCombinedCleaned[[#This Row],[ID]], Table2[ID],Table2[MC3], "Not Found", 0 )</f>
        <v>0</v>
      </c>
      <c r="AB210" s="16">
        <f>_xlfn.XLOOKUP(CustomerCombinedCleaned[[#This Row],[ID]], Table2[ID],Table2[MC4], "Not Found", 0 )</f>
        <v>0</v>
      </c>
      <c r="AC210" s="16">
        <f>_xlfn.XLOOKUP(CustomerCombinedCleaned[[#This Row],[ID]], Table2[ID],Table2[MC5], "Not Found", 0 )</f>
        <v>0</v>
      </c>
    </row>
    <row r="211" spans="1:29" x14ac:dyDescent="0.3">
      <c r="A211" s="18">
        <v>2751</v>
      </c>
      <c r="B211" s="16">
        <v>129760</v>
      </c>
      <c r="C211" s="16">
        <v>1</v>
      </c>
      <c r="D211" s="16">
        <v>0</v>
      </c>
      <c r="E211" s="16">
        <v>35</v>
      </c>
      <c r="F211" s="17" t="s">
        <v>7</v>
      </c>
      <c r="G211" s="17" t="s">
        <v>11</v>
      </c>
      <c r="H211" s="3" t="s">
        <v>610</v>
      </c>
      <c r="I211" s="5" t="s">
        <v>435</v>
      </c>
      <c r="J211" s="16">
        <f>_xlfn.XLOOKUP(CustomerCombinedCleaned[[#This Row],[ID]], Table4[ID], Table4[Recency], "Not Found", 0)</f>
        <v>87</v>
      </c>
      <c r="K211" s="16">
        <f>_xlfn.XLOOKUP(CustomerCombinedCleaned[[#This Row],[ID]], Table4[ID], Table4[Teas], "Not Found", 0)</f>
        <v>279</v>
      </c>
      <c r="L211" s="16">
        <f>_xlfn.XLOOKUP(CustomerCombinedCleaned[[#This Row],[ID]], Table4[ID], Table4[Fruits], "Not Found", 0)</f>
        <v>17</v>
      </c>
      <c r="M211" s="16">
        <f>_xlfn.XLOOKUP(CustomerCombinedCleaned[[#This Row],[ID]], Table4[ID], Table4[Meats], "Not Found", 0)</f>
        <v>296</v>
      </c>
      <c r="N211" s="16">
        <f>_xlfn.XLOOKUP(CustomerCombinedCleaned[[#This Row],[ID]], Table4[ID], Table4[Seafood], "Not Found", 0)</f>
        <v>31</v>
      </c>
      <c r="O211" s="16">
        <f>_xlfn.XLOOKUP(CustomerCombinedCleaned[[#This Row],[ID]], Table4[ID], Table4[Sweets], "Not Found", 0)</f>
        <v>22</v>
      </c>
      <c r="P211" s="16">
        <f>_xlfn.XLOOKUP(CustomerCombinedCleaned[[#This Row],[ID]], Table4[ID], Table4[Premium], "Not Found", 0)</f>
        <v>74</v>
      </c>
      <c r="Q211" s="16">
        <f>_xlfn.XLOOKUP(CustomerCombinedCleaned[[#This Row],[ID]], Table4[ID], Table4[Regular], "Not Found", 0)</f>
        <v>571</v>
      </c>
      <c r="R211" s="16">
        <f>_xlfn.XLOOKUP(CustomerCombinedCleaned[[#This Row],[ID]], Table4[ID], Table4[Deals], "Not Found", 0)</f>
        <v>4</v>
      </c>
      <c r="S211" s="16">
        <f>_xlfn.XLOOKUP(CustomerCombinedCleaned[[#This Row],[ID]], Table4[ID], Table4[Website], "Not Found", 0)</f>
        <v>3</v>
      </c>
      <c r="T211" s="16">
        <f>_xlfn.XLOOKUP(CustomerCombinedCleaned[[#This Row],[ID]], Table4[ID], Table4[Catalog], "Not Found", 0)</f>
        <v>1</v>
      </c>
      <c r="U211" s="16">
        <f>_xlfn.XLOOKUP(CustomerCombinedCleaned[[#This Row],[ID]], Table4[ID], Table4[Store], "Not Found", 0)</f>
        <v>4</v>
      </c>
      <c r="V211" s="16">
        <f>_xlfn.XLOOKUP(CustomerCombinedCleaned[[#This Row],[ID]], Table4[ID], Table4[Visits], "Not Found", 0)</f>
        <v>8</v>
      </c>
      <c r="W211" s="16">
        <f>_xlfn.XLOOKUP(CustomerCombinedCleaned[[#This Row],[ID]], Table2[ID],Table2[Complaint], "Not Found", 0 )</f>
        <v>0</v>
      </c>
      <c r="X211" s="16">
        <f>_xlfn.XLOOKUP(CustomerCombinedCleaned[[#This Row],[ID]], Table2[ID],Table2[Pilot], "Not Found", 0 )</f>
        <v>0</v>
      </c>
      <c r="Y211" s="16">
        <f>_xlfn.XLOOKUP(CustomerCombinedCleaned[[#This Row],[ID]], Table2[ID],Table2[MC1], "Not Found", 0 )</f>
        <v>0</v>
      </c>
      <c r="Z211" s="16">
        <f>_xlfn.XLOOKUP(CustomerCombinedCleaned[[#This Row],[ID]], Table2[ID],Table2[MC2], "Not Found", 0 )</f>
        <v>0</v>
      </c>
      <c r="AA211" s="16">
        <f>_xlfn.XLOOKUP(CustomerCombinedCleaned[[#This Row],[ID]], Table2[ID],Table2[MC3], "Not Found", 0 )</f>
        <v>0</v>
      </c>
      <c r="AB211" s="16">
        <f>_xlfn.XLOOKUP(CustomerCombinedCleaned[[#This Row],[ID]], Table2[ID],Table2[MC4], "Not Found", 0 )</f>
        <v>0</v>
      </c>
      <c r="AC211" s="16">
        <f>_xlfn.XLOOKUP(CustomerCombinedCleaned[[#This Row],[ID]], Table2[ID],Table2[MC5], "Not Found", 0 )</f>
        <v>0</v>
      </c>
    </row>
    <row r="212" spans="1:29" x14ac:dyDescent="0.3">
      <c r="A212" s="18">
        <v>1634</v>
      </c>
      <c r="B212" s="16">
        <v>129103</v>
      </c>
      <c r="C212" s="16">
        <v>1</v>
      </c>
      <c r="D212" s="16">
        <v>0</v>
      </c>
      <c r="E212" s="16">
        <v>35</v>
      </c>
      <c r="F212" s="17" t="s">
        <v>8</v>
      </c>
      <c r="G212" s="17" t="s">
        <v>11</v>
      </c>
      <c r="H212" s="3" t="s">
        <v>639</v>
      </c>
      <c r="I212" s="5" t="s">
        <v>438</v>
      </c>
      <c r="J212" s="16">
        <f>_xlfn.XLOOKUP(CustomerCombinedCleaned[[#This Row],[ID]], Table4[ID], Table4[Recency], "Not Found", 0)</f>
        <v>38</v>
      </c>
      <c r="K212" s="16">
        <f>_xlfn.XLOOKUP(CustomerCombinedCleaned[[#This Row],[ID]], Table4[ID], Table4[Teas], "Not Found", 0)</f>
        <v>71</v>
      </c>
      <c r="L212" s="16">
        <f>_xlfn.XLOOKUP(CustomerCombinedCleaned[[#This Row],[ID]], Table4[ID], Table4[Fruits], "Not Found", 0)</f>
        <v>0</v>
      </c>
      <c r="M212" s="16">
        <f>_xlfn.XLOOKUP(CustomerCombinedCleaned[[#This Row],[ID]], Table4[ID], Table4[Meats], "Not Found", 0)</f>
        <v>75</v>
      </c>
      <c r="N212" s="16">
        <f>_xlfn.XLOOKUP(CustomerCombinedCleaned[[#This Row],[ID]], Table4[ID], Table4[Seafood], "Not Found", 0)</f>
        <v>27</v>
      </c>
      <c r="O212" s="16">
        <f>_xlfn.XLOOKUP(CustomerCombinedCleaned[[#This Row],[ID]], Table4[ID], Table4[Sweets], "Not Found", 0)</f>
        <v>13</v>
      </c>
      <c r="P212" s="16">
        <f>_xlfn.XLOOKUP(CustomerCombinedCleaned[[#This Row],[ID]], Table4[ID], Table4[Premium], "Not Found", 0)</f>
        <v>27</v>
      </c>
      <c r="Q212" s="16">
        <f>_xlfn.XLOOKUP(CustomerCombinedCleaned[[#This Row],[ID]], Table4[ID], Table4[Regular], "Not Found", 0)</f>
        <v>160</v>
      </c>
      <c r="R212" s="16">
        <f>_xlfn.XLOOKUP(CustomerCombinedCleaned[[#This Row],[ID]], Table4[ID], Table4[Deals], "Not Found", 0)</f>
        <v>2</v>
      </c>
      <c r="S212" s="16">
        <f>_xlfn.XLOOKUP(CustomerCombinedCleaned[[#This Row],[ID]], Table4[ID], Table4[Website], "Not Found", 0)</f>
        <v>1</v>
      </c>
      <c r="T212" s="16">
        <f>_xlfn.XLOOKUP(CustomerCombinedCleaned[[#This Row],[ID]], Table4[ID], Table4[Catalog], "Not Found", 0)</f>
        <v>0</v>
      </c>
      <c r="U212" s="16">
        <f>_xlfn.XLOOKUP(CustomerCombinedCleaned[[#This Row],[ID]], Table4[ID], Table4[Store], "Not Found", 0)</f>
        <v>3</v>
      </c>
      <c r="V212" s="16">
        <f>_xlfn.XLOOKUP(CustomerCombinedCleaned[[#This Row],[ID]], Table4[ID], Table4[Visits], "Not Found", 0)</f>
        <v>9</v>
      </c>
      <c r="W212" s="16">
        <f>_xlfn.XLOOKUP(CustomerCombinedCleaned[[#This Row],[ID]], Table2[ID],Table2[Complaint], "Not Found", 0 )</f>
        <v>0</v>
      </c>
      <c r="X212" s="16">
        <f>_xlfn.XLOOKUP(CustomerCombinedCleaned[[#This Row],[ID]], Table2[ID],Table2[Pilot], "Not Found", 0 )</f>
        <v>0</v>
      </c>
      <c r="Y212" s="16">
        <f>_xlfn.XLOOKUP(CustomerCombinedCleaned[[#This Row],[ID]], Table2[ID],Table2[MC1], "Not Found", 0 )</f>
        <v>0</v>
      </c>
      <c r="Z212" s="16">
        <f>_xlfn.XLOOKUP(CustomerCombinedCleaned[[#This Row],[ID]], Table2[ID],Table2[MC2], "Not Found", 0 )</f>
        <v>0</v>
      </c>
      <c r="AA212" s="16">
        <f>_xlfn.XLOOKUP(CustomerCombinedCleaned[[#This Row],[ID]], Table2[ID],Table2[MC3], "Not Found", 0 )</f>
        <v>0</v>
      </c>
      <c r="AB212" s="16">
        <f>_xlfn.XLOOKUP(CustomerCombinedCleaned[[#This Row],[ID]], Table2[ID],Table2[MC4], "Not Found", 0 )</f>
        <v>0</v>
      </c>
      <c r="AC212" s="16">
        <f>_xlfn.XLOOKUP(CustomerCombinedCleaned[[#This Row],[ID]], Table2[ID],Table2[MC5], "Not Found", 0 )</f>
        <v>0</v>
      </c>
    </row>
    <row r="213" spans="1:29" x14ac:dyDescent="0.3">
      <c r="A213" s="18">
        <v>2282</v>
      </c>
      <c r="B213" s="16">
        <v>123148</v>
      </c>
      <c r="C213" s="16">
        <v>0</v>
      </c>
      <c r="D213" s="16">
        <v>0</v>
      </c>
      <c r="E213" s="16">
        <v>35</v>
      </c>
      <c r="F213" s="17" t="s">
        <v>6</v>
      </c>
      <c r="G213" s="17" t="s">
        <v>11</v>
      </c>
      <c r="H213" s="3" t="s">
        <v>95</v>
      </c>
      <c r="I213" s="5" t="s">
        <v>438</v>
      </c>
      <c r="J213" s="16">
        <f>_xlfn.XLOOKUP(CustomerCombinedCleaned[[#This Row],[ID]], Table4[ID], Table4[Recency], "Not Found", 0)</f>
        <v>83</v>
      </c>
      <c r="K213" s="16">
        <f>_xlfn.XLOOKUP(CustomerCombinedCleaned[[#This Row],[ID]], Table4[ID], Table4[Teas], "Not Found", 0)</f>
        <v>21</v>
      </c>
      <c r="L213" s="16">
        <f>_xlfn.XLOOKUP(CustomerCombinedCleaned[[#This Row],[ID]], Table4[ID], Table4[Fruits], "Not Found", 0)</f>
        <v>32</v>
      </c>
      <c r="M213" s="16">
        <f>_xlfn.XLOOKUP(CustomerCombinedCleaned[[#This Row],[ID]], Table4[ID], Table4[Meats], "Not Found", 0)</f>
        <v>43</v>
      </c>
      <c r="N213" s="16">
        <f>_xlfn.XLOOKUP(CustomerCombinedCleaned[[#This Row],[ID]], Table4[ID], Table4[Seafood], "Not Found", 0)</f>
        <v>32</v>
      </c>
      <c r="O213" s="16">
        <f>_xlfn.XLOOKUP(CustomerCombinedCleaned[[#This Row],[ID]], Table4[ID], Table4[Sweets], "Not Found", 0)</f>
        <v>16</v>
      </c>
      <c r="P213" s="16">
        <f>_xlfn.XLOOKUP(CustomerCombinedCleaned[[#This Row],[ID]], Table4[ID], Table4[Premium], "Not Found", 0)</f>
        <v>53</v>
      </c>
      <c r="Q213" s="16">
        <f>_xlfn.XLOOKUP(CustomerCombinedCleaned[[#This Row],[ID]], Table4[ID], Table4[Regular], "Not Found", 0)</f>
        <v>90</v>
      </c>
      <c r="R213" s="16">
        <f>_xlfn.XLOOKUP(CustomerCombinedCleaned[[#This Row],[ID]], Table4[ID], Table4[Deals], "Not Found", 0)</f>
        <v>1</v>
      </c>
      <c r="S213" s="16">
        <f>_xlfn.XLOOKUP(CustomerCombinedCleaned[[#This Row],[ID]], Table4[ID], Table4[Website], "Not Found", 0)</f>
        <v>2</v>
      </c>
      <c r="T213" s="16">
        <f>_xlfn.XLOOKUP(CustomerCombinedCleaned[[#This Row],[ID]], Table4[ID], Table4[Catalog], "Not Found", 0)</f>
        <v>0</v>
      </c>
      <c r="U213" s="16">
        <f>_xlfn.XLOOKUP(CustomerCombinedCleaned[[#This Row],[ID]], Table4[ID], Table4[Store], "Not Found", 0)</f>
        <v>3</v>
      </c>
      <c r="V213" s="16">
        <f>_xlfn.XLOOKUP(CustomerCombinedCleaned[[#This Row],[ID]], Table4[ID], Table4[Visits], "Not Found", 0)</f>
        <v>7</v>
      </c>
      <c r="W213" s="16">
        <f>_xlfn.XLOOKUP(CustomerCombinedCleaned[[#This Row],[ID]], Table2[ID],Table2[Complaint], "Not Found", 0 )</f>
        <v>0</v>
      </c>
      <c r="X213" s="16">
        <f>_xlfn.XLOOKUP(CustomerCombinedCleaned[[#This Row],[ID]], Table2[ID],Table2[Pilot], "Not Found", 0 )</f>
        <v>0</v>
      </c>
      <c r="Y213" s="16">
        <f>_xlfn.XLOOKUP(CustomerCombinedCleaned[[#This Row],[ID]], Table2[ID],Table2[MC1], "Not Found", 0 )</f>
        <v>0</v>
      </c>
      <c r="Z213" s="16">
        <f>_xlfn.XLOOKUP(CustomerCombinedCleaned[[#This Row],[ID]], Table2[ID],Table2[MC2], "Not Found", 0 )</f>
        <v>0</v>
      </c>
      <c r="AA213" s="16">
        <f>_xlfn.XLOOKUP(CustomerCombinedCleaned[[#This Row],[ID]], Table2[ID],Table2[MC3], "Not Found", 0 )</f>
        <v>0</v>
      </c>
      <c r="AB213" s="16">
        <f>_xlfn.XLOOKUP(CustomerCombinedCleaned[[#This Row],[ID]], Table2[ID],Table2[MC4], "Not Found", 0 )</f>
        <v>0</v>
      </c>
      <c r="AC213" s="16">
        <f>_xlfn.XLOOKUP(CustomerCombinedCleaned[[#This Row],[ID]], Table2[ID],Table2[MC5], "Not Found", 0 )</f>
        <v>0</v>
      </c>
    </row>
    <row r="214" spans="1:29" x14ac:dyDescent="0.3">
      <c r="A214" s="18">
        <v>2166</v>
      </c>
      <c r="B214" s="16">
        <v>122327</v>
      </c>
      <c r="C214" s="16">
        <v>1</v>
      </c>
      <c r="D214" s="16">
        <v>0</v>
      </c>
      <c r="E214" s="16">
        <v>35</v>
      </c>
      <c r="F214" s="17" t="s">
        <v>7</v>
      </c>
      <c r="G214" s="17" t="s">
        <v>11</v>
      </c>
      <c r="H214" s="3" t="s">
        <v>715</v>
      </c>
      <c r="I214" s="5" t="s">
        <v>436</v>
      </c>
      <c r="J214" s="16">
        <f>_xlfn.XLOOKUP(CustomerCombinedCleaned[[#This Row],[ID]], Table4[ID], Table4[Recency], "Not Found", 0)</f>
        <v>94</v>
      </c>
      <c r="K214" s="16">
        <f>_xlfn.XLOOKUP(CustomerCombinedCleaned[[#This Row],[ID]], Table4[ID], Table4[Teas], "Not Found", 0)</f>
        <v>27</v>
      </c>
      <c r="L214" s="16">
        <f>_xlfn.XLOOKUP(CustomerCombinedCleaned[[#This Row],[ID]], Table4[ID], Table4[Fruits], "Not Found", 0)</f>
        <v>22</v>
      </c>
      <c r="M214" s="16">
        <f>_xlfn.XLOOKUP(CustomerCombinedCleaned[[#This Row],[ID]], Table4[ID], Table4[Meats], "Not Found", 0)</f>
        <v>44</v>
      </c>
      <c r="N214" s="16">
        <f>_xlfn.XLOOKUP(CustomerCombinedCleaned[[#This Row],[ID]], Table4[ID], Table4[Seafood], "Not Found", 0)</f>
        <v>11</v>
      </c>
      <c r="O214" s="16">
        <f>_xlfn.XLOOKUP(CustomerCombinedCleaned[[#This Row],[ID]], Table4[ID], Table4[Sweets], "Not Found", 0)</f>
        <v>0</v>
      </c>
      <c r="P214" s="16">
        <f>_xlfn.XLOOKUP(CustomerCombinedCleaned[[#This Row],[ID]], Table4[ID], Table4[Premium], "Not Found", 0)</f>
        <v>27</v>
      </c>
      <c r="Q214" s="16">
        <f>_xlfn.XLOOKUP(CustomerCombinedCleaned[[#This Row],[ID]], Table4[ID], Table4[Regular], "Not Found", 0)</f>
        <v>77</v>
      </c>
      <c r="R214" s="16">
        <f>_xlfn.XLOOKUP(CustomerCombinedCleaned[[#This Row],[ID]], Table4[ID], Table4[Deals], "Not Found", 0)</f>
        <v>1</v>
      </c>
      <c r="S214" s="16">
        <f>_xlfn.XLOOKUP(CustomerCombinedCleaned[[#This Row],[ID]], Table4[ID], Table4[Website], "Not Found", 0)</f>
        <v>1</v>
      </c>
      <c r="T214" s="16">
        <f>_xlfn.XLOOKUP(CustomerCombinedCleaned[[#This Row],[ID]], Table4[ID], Table4[Catalog], "Not Found", 0)</f>
        <v>0</v>
      </c>
      <c r="U214" s="16">
        <f>_xlfn.XLOOKUP(CustomerCombinedCleaned[[#This Row],[ID]], Table4[ID], Table4[Store], "Not Found", 0)</f>
        <v>3</v>
      </c>
      <c r="V214" s="16">
        <f>_xlfn.XLOOKUP(CustomerCombinedCleaned[[#This Row],[ID]], Table4[ID], Table4[Visits], "Not Found", 0)</f>
        <v>5</v>
      </c>
      <c r="W214" s="16">
        <f>_xlfn.XLOOKUP(CustomerCombinedCleaned[[#This Row],[ID]], Table2[ID],Table2[Complaint], "Not Found", 0 )</f>
        <v>0</v>
      </c>
      <c r="X214" s="16">
        <f>_xlfn.XLOOKUP(CustomerCombinedCleaned[[#This Row],[ID]], Table2[ID],Table2[Pilot], "Not Found", 0 )</f>
        <v>0</v>
      </c>
      <c r="Y214" s="16">
        <f>_xlfn.XLOOKUP(CustomerCombinedCleaned[[#This Row],[ID]], Table2[ID],Table2[MC1], "Not Found", 0 )</f>
        <v>0</v>
      </c>
      <c r="Z214" s="16">
        <f>_xlfn.XLOOKUP(CustomerCombinedCleaned[[#This Row],[ID]], Table2[ID],Table2[MC2], "Not Found", 0 )</f>
        <v>0</v>
      </c>
      <c r="AA214" s="16">
        <f>_xlfn.XLOOKUP(CustomerCombinedCleaned[[#This Row],[ID]], Table2[ID],Table2[MC3], "Not Found", 0 )</f>
        <v>0</v>
      </c>
      <c r="AB214" s="16">
        <f>_xlfn.XLOOKUP(CustomerCombinedCleaned[[#This Row],[ID]], Table2[ID],Table2[MC4], "Not Found", 0 )</f>
        <v>0</v>
      </c>
      <c r="AC214" s="16">
        <f>_xlfn.XLOOKUP(CustomerCombinedCleaned[[#This Row],[ID]], Table2[ID],Table2[MC5], "Not Found", 0 )</f>
        <v>0</v>
      </c>
    </row>
    <row r="215" spans="1:29" x14ac:dyDescent="0.3">
      <c r="A215" s="18">
        <v>2357</v>
      </c>
      <c r="B215" s="16">
        <v>121355</v>
      </c>
      <c r="C215" s="16">
        <v>1</v>
      </c>
      <c r="D215" s="16">
        <v>0</v>
      </c>
      <c r="E215" s="16">
        <v>35</v>
      </c>
      <c r="F215" s="17" t="s">
        <v>6</v>
      </c>
      <c r="G215" s="17" t="s">
        <v>11</v>
      </c>
      <c r="H215" s="3" t="s">
        <v>197</v>
      </c>
      <c r="I215" s="5" t="s">
        <v>434</v>
      </c>
      <c r="J215" s="16">
        <f>_xlfn.XLOOKUP(CustomerCombinedCleaned[[#This Row],[ID]], Table4[ID], Table4[Recency], "Not Found", 0)</f>
        <v>5</v>
      </c>
      <c r="K215" s="16">
        <f>_xlfn.XLOOKUP(CustomerCombinedCleaned[[#This Row],[ID]], Table4[ID], Table4[Teas], "Not Found", 0)</f>
        <v>28</v>
      </c>
      <c r="L215" s="16">
        <f>_xlfn.XLOOKUP(CustomerCombinedCleaned[[#This Row],[ID]], Table4[ID], Table4[Fruits], "Not Found", 0)</f>
        <v>74</v>
      </c>
      <c r="M215" s="16">
        <f>_xlfn.XLOOKUP(CustomerCombinedCleaned[[#This Row],[ID]], Table4[ID], Table4[Meats], "Not Found", 0)</f>
        <v>80</v>
      </c>
      <c r="N215" s="16">
        <f>_xlfn.XLOOKUP(CustomerCombinedCleaned[[#This Row],[ID]], Table4[ID], Table4[Seafood], "Not Found", 0)</f>
        <v>0</v>
      </c>
      <c r="O215" s="16">
        <f>_xlfn.XLOOKUP(CustomerCombinedCleaned[[#This Row],[ID]], Table4[ID], Table4[Sweets], "Not Found", 0)</f>
        <v>28</v>
      </c>
      <c r="P215" s="16">
        <f>_xlfn.XLOOKUP(CustomerCombinedCleaned[[#This Row],[ID]], Table4[ID], Table4[Premium], "Not Found", 0)</f>
        <v>176</v>
      </c>
      <c r="Q215" s="16">
        <f>_xlfn.XLOOKUP(CustomerCombinedCleaned[[#This Row],[ID]], Table4[ID], Table4[Regular], "Not Found", 0)</f>
        <v>34</v>
      </c>
      <c r="R215" s="16">
        <f>_xlfn.XLOOKUP(CustomerCombinedCleaned[[#This Row],[ID]], Table4[ID], Table4[Deals], "Not Found", 0)</f>
        <v>2</v>
      </c>
      <c r="S215" s="16">
        <f>_xlfn.XLOOKUP(CustomerCombinedCleaned[[#This Row],[ID]], Table4[ID], Table4[Website], "Not Found", 0)</f>
        <v>2</v>
      </c>
      <c r="T215" s="16">
        <f>_xlfn.XLOOKUP(CustomerCombinedCleaned[[#This Row],[ID]], Table4[ID], Table4[Catalog], "Not Found", 0)</f>
        <v>1</v>
      </c>
      <c r="U215" s="16">
        <f>_xlfn.XLOOKUP(CustomerCombinedCleaned[[#This Row],[ID]], Table4[ID], Table4[Store], "Not Found", 0)</f>
        <v>2</v>
      </c>
      <c r="V215" s="16">
        <f>_xlfn.XLOOKUP(CustomerCombinedCleaned[[#This Row],[ID]], Table4[ID], Table4[Visits], "Not Found", 0)</f>
        <v>6</v>
      </c>
      <c r="W215" s="16">
        <f>_xlfn.XLOOKUP(CustomerCombinedCleaned[[#This Row],[ID]], Table2[ID],Table2[Complaint], "Not Found", 0 )</f>
        <v>0</v>
      </c>
      <c r="X215" s="16">
        <f>_xlfn.XLOOKUP(CustomerCombinedCleaned[[#This Row],[ID]], Table2[ID],Table2[Pilot], "Not Found", 0 )</f>
        <v>1</v>
      </c>
      <c r="Y215" s="16">
        <f>_xlfn.XLOOKUP(CustomerCombinedCleaned[[#This Row],[ID]], Table2[ID],Table2[MC1], "Not Found", 0 )</f>
        <v>0</v>
      </c>
      <c r="Z215" s="16">
        <f>_xlfn.XLOOKUP(CustomerCombinedCleaned[[#This Row],[ID]], Table2[ID],Table2[MC2], "Not Found", 0 )</f>
        <v>0</v>
      </c>
      <c r="AA215" s="16">
        <f>_xlfn.XLOOKUP(CustomerCombinedCleaned[[#This Row],[ID]], Table2[ID],Table2[MC3], "Not Found", 0 )</f>
        <v>1</v>
      </c>
      <c r="AB215" s="16">
        <f>_xlfn.XLOOKUP(CustomerCombinedCleaned[[#This Row],[ID]], Table2[ID],Table2[MC4], "Not Found", 0 )</f>
        <v>0</v>
      </c>
      <c r="AC215" s="16">
        <f>_xlfn.XLOOKUP(CustomerCombinedCleaned[[#This Row],[ID]], Table2[ID],Table2[MC5], "Not Found", 0 )</f>
        <v>0</v>
      </c>
    </row>
    <row r="216" spans="1:29" x14ac:dyDescent="0.3">
      <c r="A216" s="18">
        <v>1040</v>
      </c>
      <c r="B216" s="16">
        <v>120559</v>
      </c>
      <c r="C216" s="16">
        <v>1</v>
      </c>
      <c r="D216" s="16">
        <v>0</v>
      </c>
      <c r="E216" s="16">
        <v>35</v>
      </c>
      <c r="F216" s="17" t="s">
        <v>6</v>
      </c>
      <c r="G216" s="17" t="s">
        <v>12</v>
      </c>
      <c r="H216" s="3" t="s">
        <v>295</v>
      </c>
      <c r="I216" s="5" t="s">
        <v>438</v>
      </c>
      <c r="J216" s="16">
        <f>_xlfn.XLOOKUP(CustomerCombinedCleaned[[#This Row],[ID]], Table4[ID], Table4[Recency], "Not Found", 0)</f>
        <v>88</v>
      </c>
      <c r="K216" s="16">
        <f>_xlfn.XLOOKUP(CustomerCombinedCleaned[[#This Row],[ID]], Table4[ID], Table4[Teas], "Not Found", 0)</f>
        <v>76</v>
      </c>
      <c r="L216" s="16">
        <f>_xlfn.XLOOKUP(CustomerCombinedCleaned[[#This Row],[ID]], Table4[ID], Table4[Fruits], "Not Found", 0)</f>
        <v>6</v>
      </c>
      <c r="M216" s="16">
        <f>_xlfn.XLOOKUP(CustomerCombinedCleaned[[#This Row],[ID]], Table4[ID], Table4[Meats], "Not Found", 0)</f>
        <v>170</v>
      </c>
      <c r="N216" s="16">
        <f>_xlfn.XLOOKUP(CustomerCombinedCleaned[[#This Row],[ID]], Table4[ID], Table4[Seafood], "Not Found", 0)</f>
        <v>18</v>
      </c>
      <c r="O216" s="16">
        <f>_xlfn.XLOOKUP(CustomerCombinedCleaned[[#This Row],[ID]], Table4[ID], Table4[Sweets], "Not Found", 0)</f>
        <v>0</v>
      </c>
      <c r="P216" s="16">
        <f>_xlfn.XLOOKUP(CustomerCombinedCleaned[[#This Row],[ID]], Table4[ID], Table4[Premium], "Not Found", 0)</f>
        <v>41</v>
      </c>
      <c r="Q216" s="16">
        <f>_xlfn.XLOOKUP(CustomerCombinedCleaned[[#This Row],[ID]], Table4[ID], Table4[Regular], "Not Found", 0)</f>
        <v>229</v>
      </c>
      <c r="R216" s="16">
        <f>_xlfn.XLOOKUP(CustomerCombinedCleaned[[#This Row],[ID]], Table4[ID], Table4[Deals], "Not Found", 0)</f>
        <v>2</v>
      </c>
      <c r="S216" s="16">
        <f>_xlfn.XLOOKUP(CustomerCombinedCleaned[[#This Row],[ID]], Table4[ID], Table4[Website], "Not Found", 0)</f>
        <v>2</v>
      </c>
      <c r="T216" s="16">
        <f>_xlfn.XLOOKUP(CustomerCombinedCleaned[[#This Row],[ID]], Table4[ID], Table4[Catalog], "Not Found", 0)</f>
        <v>0</v>
      </c>
      <c r="U216" s="16">
        <f>_xlfn.XLOOKUP(CustomerCombinedCleaned[[#This Row],[ID]], Table4[ID], Table4[Store], "Not Found", 0)</f>
        <v>3</v>
      </c>
      <c r="V216" s="16">
        <f>_xlfn.XLOOKUP(CustomerCombinedCleaned[[#This Row],[ID]], Table4[ID], Table4[Visits], "Not Found", 0)</f>
        <v>8</v>
      </c>
      <c r="W216" s="16">
        <f>_xlfn.XLOOKUP(CustomerCombinedCleaned[[#This Row],[ID]], Table2[ID],Table2[Complaint], "Not Found", 0 )</f>
        <v>0</v>
      </c>
      <c r="X216" s="16">
        <f>_xlfn.XLOOKUP(CustomerCombinedCleaned[[#This Row],[ID]], Table2[ID],Table2[Pilot], "Not Found", 0 )</f>
        <v>0</v>
      </c>
      <c r="Y216" s="16">
        <f>_xlfn.XLOOKUP(CustomerCombinedCleaned[[#This Row],[ID]], Table2[ID],Table2[MC1], "Not Found", 0 )</f>
        <v>0</v>
      </c>
      <c r="Z216" s="16">
        <f>_xlfn.XLOOKUP(CustomerCombinedCleaned[[#This Row],[ID]], Table2[ID],Table2[MC2], "Not Found", 0 )</f>
        <v>0</v>
      </c>
      <c r="AA216" s="16">
        <f>_xlfn.XLOOKUP(CustomerCombinedCleaned[[#This Row],[ID]], Table2[ID],Table2[MC3], "Not Found", 0 )</f>
        <v>0</v>
      </c>
      <c r="AB216" s="16">
        <f>_xlfn.XLOOKUP(CustomerCombinedCleaned[[#This Row],[ID]], Table2[ID],Table2[MC4], "Not Found", 0 )</f>
        <v>0</v>
      </c>
      <c r="AC216" s="16">
        <f>_xlfn.XLOOKUP(CustomerCombinedCleaned[[#This Row],[ID]], Table2[ID],Table2[MC5], "Not Found", 0 )</f>
        <v>0</v>
      </c>
    </row>
    <row r="217" spans="1:29" x14ac:dyDescent="0.3">
      <c r="A217" s="18">
        <v>1365</v>
      </c>
      <c r="B217" s="16">
        <v>119986</v>
      </c>
      <c r="C217" s="16">
        <v>1</v>
      </c>
      <c r="D217" s="16">
        <v>0</v>
      </c>
      <c r="E217" s="16">
        <v>35</v>
      </c>
      <c r="F217" s="17" t="s">
        <v>6</v>
      </c>
      <c r="G217" s="17" t="s">
        <v>11</v>
      </c>
      <c r="H217" s="3" t="s">
        <v>150</v>
      </c>
      <c r="I217" s="5" t="s">
        <v>435</v>
      </c>
      <c r="J217" s="16">
        <f>_xlfn.XLOOKUP(CustomerCombinedCleaned[[#This Row],[ID]], Table4[ID], Table4[Recency], "Not Found", 0)</f>
        <v>74</v>
      </c>
      <c r="K217" s="16">
        <f>_xlfn.XLOOKUP(CustomerCombinedCleaned[[#This Row],[ID]], Table4[ID], Table4[Teas], "Not Found", 0)</f>
        <v>18</v>
      </c>
      <c r="L217" s="16">
        <f>_xlfn.XLOOKUP(CustomerCombinedCleaned[[#This Row],[ID]], Table4[ID], Table4[Fruits], "Not Found", 0)</f>
        <v>36</v>
      </c>
      <c r="M217" s="16">
        <f>_xlfn.XLOOKUP(CustomerCombinedCleaned[[#This Row],[ID]], Table4[ID], Table4[Meats], "Not Found", 0)</f>
        <v>30</v>
      </c>
      <c r="N217" s="16">
        <f>_xlfn.XLOOKUP(CustomerCombinedCleaned[[#This Row],[ID]], Table4[ID], Table4[Seafood], "Not Found", 0)</f>
        <v>0</v>
      </c>
      <c r="O217" s="16">
        <f>_xlfn.XLOOKUP(CustomerCombinedCleaned[[#This Row],[ID]], Table4[ID], Table4[Sweets], "Not Found", 0)</f>
        <v>12</v>
      </c>
      <c r="P217" s="16">
        <f>_xlfn.XLOOKUP(CustomerCombinedCleaned[[#This Row],[ID]], Table4[ID], Table4[Premium], "Not Found", 0)</f>
        <v>36</v>
      </c>
      <c r="Q217" s="16">
        <f>_xlfn.XLOOKUP(CustomerCombinedCleaned[[#This Row],[ID]], Table4[ID], Table4[Regular], "Not Found", 0)</f>
        <v>60</v>
      </c>
      <c r="R217" s="16">
        <f>_xlfn.XLOOKUP(CustomerCombinedCleaned[[#This Row],[ID]], Table4[ID], Table4[Deals], "Not Found", 0)</f>
        <v>1</v>
      </c>
      <c r="S217" s="16">
        <f>_xlfn.XLOOKUP(CustomerCombinedCleaned[[#This Row],[ID]], Table4[ID], Table4[Website], "Not Found", 0)</f>
        <v>0</v>
      </c>
      <c r="T217" s="16">
        <f>_xlfn.XLOOKUP(CustomerCombinedCleaned[[#This Row],[ID]], Table4[ID], Table4[Catalog], "Not Found", 0)</f>
        <v>0</v>
      </c>
      <c r="U217" s="16">
        <f>_xlfn.XLOOKUP(CustomerCombinedCleaned[[#This Row],[ID]], Table4[ID], Table4[Store], "Not Found", 0)</f>
        <v>3</v>
      </c>
      <c r="V217" s="16">
        <f>_xlfn.XLOOKUP(CustomerCombinedCleaned[[#This Row],[ID]], Table4[ID], Table4[Visits], "Not Found", 0)</f>
        <v>7</v>
      </c>
      <c r="W217" s="16">
        <f>_xlfn.XLOOKUP(CustomerCombinedCleaned[[#This Row],[ID]], Table2[ID],Table2[Complaint], "Not Found", 0 )</f>
        <v>0</v>
      </c>
      <c r="X217" s="16">
        <f>_xlfn.XLOOKUP(CustomerCombinedCleaned[[#This Row],[ID]], Table2[ID],Table2[Pilot], "Not Found", 0 )</f>
        <v>0</v>
      </c>
      <c r="Y217" s="16">
        <f>_xlfn.XLOOKUP(CustomerCombinedCleaned[[#This Row],[ID]], Table2[ID],Table2[MC1], "Not Found", 0 )</f>
        <v>0</v>
      </c>
      <c r="Z217" s="16">
        <f>_xlfn.XLOOKUP(CustomerCombinedCleaned[[#This Row],[ID]], Table2[ID],Table2[MC2], "Not Found", 0 )</f>
        <v>0</v>
      </c>
      <c r="AA217" s="16">
        <f>_xlfn.XLOOKUP(CustomerCombinedCleaned[[#This Row],[ID]], Table2[ID],Table2[MC3], "Not Found", 0 )</f>
        <v>0</v>
      </c>
      <c r="AB217" s="16">
        <f>_xlfn.XLOOKUP(CustomerCombinedCleaned[[#This Row],[ID]], Table2[ID],Table2[MC4], "Not Found", 0 )</f>
        <v>0</v>
      </c>
      <c r="AC217" s="16">
        <f>_xlfn.XLOOKUP(CustomerCombinedCleaned[[#This Row],[ID]], Table2[ID],Table2[MC5], "Not Found", 0 )</f>
        <v>0</v>
      </c>
    </row>
    <row r="218" spans="1:29" x14ac:dyDescent="0.3">
      <c r="A218" s="18">
        <v>1643</v>
      </c>
      <c r="B218" s="16">
        <v>119986</v>
      </c>
      <c r="C218" s="16">
        <v>1</v>
      </c>
      <c r="D218" s="16">
        <v>0</v>
      </c>
      <c r="E218" s="16">
        <v>35</v>
      </c>
      <c r="F218" s="17" t="s">
        <v>6</v>
      </c>
      <c r="G218" s="17" t="s">
        <v>11</v>
      </c>
      <c r="H218" s="3" t="s">
        <v>150</v>
      </c>
      <c r="I218" s="5" t="s">
        <v>434</v>
      </c>
      <c r="J218" s="16">
        <f>_xlfn.XLOOKUP(CustomerCombinedCleaned[[#This Row],[ID]], Table4[ID], Table4[Recency], "Not Found", 0)</f>
        <v>74</v>
      </c>
      <c r="K218" s="16">
        <f>_xlfn.XLOOKUP(CustomerCombinedCleaned[[#This Row],[ID]], Table4[ID], Table4[Teas], "Not Found", 0)</f>
        <v>18</v>
      </c>
      <c r="L218" s="16">
        <f>_xlfn.XLOOKUP(CustomerCombinedCleaned[[#This Row],[ID]], Table4[ID], Table4[Fruits], "Not Found", 0)</f>
        <v>36</v>
      </c>
      <c r="M218" s="16">
        <f>_xlfn.XLOOKUP(CustomerCombinedCleaned[[#This Row],[ID]], Table4[ID], Table4[Meats], "Not Found", 0)</f>
        <v>30</v>
      </c>
      <c r="N218" s="16">
        <f>_xlfn.XLOOKUP(CustomerCombinedCleaned[[#This Row],[ID]], Table4[ID], Table4[Seafood], "Not Found", 0)</f>
        <v>0</v>
      </c>
      <c r="O218" s="16">
        <f>_xlfn.XLOOKUP(CustomerCombinedCleaned[[#This Row],[ID]], Table4[ID], Table4[Sweets], "Not Found", 0)</f>
        <v>12</v>
      </c>
      <c r="P218" s="16">
        <f>_xlfn.XLOOKUP(CustomerCombinedCleaned[[#This Row],[ID]], Table4[ID], Table4[Premium], "Not Found", 0)</f>
        <v>36</v>
      </c>
      <c r="Q218" s="16">
        <f>_xlfn.XLOOKUP(CustomerCombinedCleaned[[#This Row],[ID]], Table4[ID], Table4[Regular], "Not Found", 0)</f>
        <v>60</v>
      </c>
      <c r="R218" s="16">
        <f>_xlfn.XLOOKUP(CustomerCombinedCleaned[[#This Row],[ID]], Table4[ID], Table4[Deals], "Not Found", 0)</f>
        <v>1</v>
      </c>
      <c r="S218" s="16">
        <f>_xlfn.XLOOKUP(CustomerCombinedCleaned[[#This Row],[ID]], Table4[ID], Table4[Website], "Not Found", 0)</f>
        <v>0</v>
      </c>
      <c r="T218" s="16">
        <f>_xlfn.XLOOKUP(CustomerCombinedCleaned[[#This Row],[ID]], Table4[ID], Table4[Catalog], "Not Found", 0)</f>
        <v>0</v>
      </c>
      <c r="U218" s="16">
        <f>_xlfn.XLOOKUP(CustomerCombinedCleaned[[#This Row],[ID]], Table4[ID], Table4[Store], "Not Found", 0)</f>
        <v>3</v>
      </c>
      <c r="V218" s="16">
        <f>_xlfn.XLOOKUP(CustomerCombinedCleaned[[#This Row],[ID]], Table4[ID], Table4[Visits], "Not Found", 0)</f>
        <v>7</v>
      </c>
      <c r="W218" s="16">
        <f>_xlfn.XLOOKUP(CustomerCombinedCleaned[[#This Row],[ID]], Table2[ID],Table2[Complaint], "Not Found", 0 )</f>
        <v>0</v>
      </c>
      <c r="X218" s="16">
        <f>_xlfn.XLOOKUP(CustomerCombinedCleaned[[#This Row],[ID]], Table2[ID],Table2[Pilot], "Not Found", 0 )</f>
        <v>0</v>
      </c>
      <c r="Y218" s="16">
        <f>_xlfn.XLOOKUP(CustomerCombinedCleaned[[#This Row],[ID]], Table2[ID],Table2[MC1], "Not Found", 0 )</f>
        <v>0</v>
      </c>
      <c r="Z218" s="16">
        <f>_xlfn.XLOOKUP(CustomerCombinedCleaned[[#This Row],[ID]], Table2[ID],Table2[MC2], "Not Found", 0 )</f>
        <v>0</v>
      </c>
      <c r="AA218" s="16">
        <f>_xlfn.XLOOKUP(CustomerCombinedCleaned[[#This Row],[ID]], Table2[ID],Table2[MC3], "Not Found", 0 )</f>
        <v>0</v>
      </c>
      <c r="AB218" s="16">
        <f>_xlfn.XLOOKUP(CustomerCombinedCleaned[[#This Row],[ID]], Table2[ID],Table2[MC4], "Not Found", 0 )</f>
        <v>0</v>
      </c>
      <c r="AC218" s="16">
        <f>_xlfn.XLOOKUP(CustomerCombinedCleaned[[#This Row],[ID]], Table2[ID],Table2[MC5], "Not Found", 0 )</f>
        <v>0</v>
      </c>
    </row>
    <row r="219" spans="1:29" x14ac:dyDescent="0.3">
      <c r="A219" s="18">
        <v>1114</v>
      </c>
      <c r="B219" s="16">
        <v>119510</v>
      </c>
      <c r="C219" s="16">
        <v>2</v>
      </c>
      <c r="D219" s="16">
        <v>0</v>
      </c>
      <c r="E219" s="16">
        <v>35</v>
      </c>
      <c r="F219" s="17" t="s">
        <v>6</v>
      </c>
      <c r="G219" s="17" t="s">
        <v>12</v>
      </c>
      <c r="H219" s="3" t="s">
        <v>792</v>
      </c>
      <c r="I219" s="5" t="s">
        <v>439</v>
      </c>
      <c r="J219" s="16">
        <f>_xlfn.XLOOKUP(CustomerCombinedCleaned[[#This Row],[ID]], Table4[ID], Table4[Recency], "Not Found", 0)</f>
        <v>63</v>
      </c>
      <c r="K219" s="16">
        <f>_xlfn.XLOOKUP(CustomerCombinedCleaned[[#This Row],[ID]], Table4[ID], Table4[Teas], "Not Found", 0)</f>
        <v>55</v>
      </c>
      <c r="L219" s="16">
        <f>_xlfn.XLOOKUP(CustomerCombinedCleaned[[#This Row],[ID]], Table4[ID], Table4[Fruits], "Not Found", 0)</f>
        <v>0</v>
      </c>
      <c r="M219" s="16">
        <f>_xlfn.XLOOKUP(CustomerCombinedCleaned[[#This Row],[ID]], Table4[ID], Table4[Meats], "Not Found", 0)</f>
        <v>43</v>
      </c>
      <c r="N219" s="16">
        <f>_xlfn.XLOOKUP(CustomerCombinedCleaned[[#This Row],[ID]], Table4[ID], Table4[Seafood], "Not Found", 0)</f>
        <v>18</v>
      </c>
      <c r="O219" s="16">
        <f>_xlfn.XLOOKUP(CustomerCombinedCleaned[[#This Row],[ID]], Table4[ID], Table4[Sweets], "Not Found", 0)</f>
        <v>25</v>
      </c>
      <c r="P219" s="16">
        <f>_xlfn.XLOOKUP(CustomerCombinedCleaned[[#This Row],[ID]], Table4[ID], Table4[Premium], "Not Found", 0)</f>
        <v>43</v>
      </c>
      <c r="Q219" s="16">
        <f>_xlfn.XLOOKUP(CustomerCombinedCleaned[[#This Row],[ID]], Table4[ID], Table4[Regular], "Not Found", 0)</f>
        <v>98</v>
      </c>
      <c r="R219" s="16">
        <f>_xlfn.XLOOKUP(CustomerCombinedCleaned[[#This Row],[ID]], Table4[ID], Table4[Deals], "Not Found", 0)</f>
        <v>2</v>
      </c>
      <c r="S219" s="16">
        <f>_xlfn.XLOOKUP(CustomerCombinedCleaned[[#This Row],[ID]], Table4[ID], Table4[Website], "Not Found", 0)</f>
        <v>1</v>
      </c>
      <c r="T219" s="16">
        <f>_xlfn.XLOOKUP(CustomerCombinedCleaned[[#This Row],[ID]], Table4[ID], Table4[Catalog], "Not Found", 0)</f>
        <v>0</v>
      </c>
      <c r="U219" s="16">
        <f>_xlfn.XLOOKUP(CustomerCombinedCleaned[[#This Row],[ID]], Table4[ID], Table4[Store], "Not Found", 0)</f>
        <v>3</v>
      </c>
      <c r="V219" s="16">
        <f>_xlfn.XLOOKUP(CustomerCombinedCleaned[[#This Row],[ID]], Table4[ID], Table4[Visits], "Not Found", 0)</f>
        <v>7</v>
      </c>
      <c r="W219" s="16">
        <f>_xlfn.XLOOKUP(CustomerCombinedCleaned[[#This Row],[ID]], Table2[ID],Table2[Complaint], "Not Found", 0 )</f>
        <v>0</v>
      </c>
      <c r="X219" s="16">
        <f>_xlfn.XLOOKUP(CustomerCombinedCleaned[[#This Row],[ID]], Table2[ID],Table2[Pilot], "Not Found", 0 )</f>
        <v>0</v>
      </c>
      <c r="Y219" s="16">
        <f>_xlfn.XLOOKUP(CustomerCombinedCleaned[[#This Row],[ID]], Table2[ID],Table2[MC1], "Not Found", 0 )</f>
        <v>0</v>
      </c>
      <c r="Z219" s="16">
        <f>_xlfn.XLOOKUP(CustomerCombinedCleaned[[#This Row],[ID]], Table2[ID],Table2[MC2], "Not Found", 0 )</f>
        <v>0</v>
      </c>
      <c r="AA219" s="16">
        <f>_xlfn.XLOOKUP(CustomerCombinedCleaned[[#This Row],[ID]], Table2[ID],Table2[MC3], "Not Found", 0 )</f>
        <v>0</v>
      </c>
      <c r="AB219" s="16">
        <f>_xlfn.XLOOKUP(CustomerCombinedCleaned[[#This Row],[ID]], Table2[ID],Table2[MC4], "Not Found", 0 )</f>
        <v>0</v>
      </c>
      <c r="AC219" s="16">
        <f>_xlfn.XLOOKUP(CustomerCombinedCleaned[[#This Row],[ID]], Table2[ID],Table2[MC5], "Not Found", 0 )</f>
        <v>0</v>
      </c>
    </row>
    <row r="220" spans="1:29" x14ac:dyDescent="0.3">
      <c r="A220" s="18">
        <v>2667</v>
      </c>
      <c r="B220" s="16">
        <v>118169</v>
      </c>
      <c r="C220" s="16">
        <v>1</v>
      </c>
      <c r="D220" s="16">
        <v>0</v>
      </c>
      <c r="E220" s="16">
        <v>35</v>
      </c>
      <c r="F220" s="17" t="s">
        <v>6</v>
      </c>
      <c r="G220" s="17" t="s">
        <v>13</v>
      </c>
      <c r="H220" s="3" t="s">
        <v>304</v>
      </c>
      <c r="I220" s="5" t="s">
        <v>435</v>
      </c>
      <c r="J220" s="16">
        <f>_xlfn.XLOOKUP(CustomerCombinedCleaned[[#This Row],[ID]], Table4[ID], Table4[Recency], "Not Found", 0)</f>
        <v>40</v>
      </c>
      <c r="K220" s="16">
        <f>_xlfn.XLOOKUP(CustomerCombinedCleaned[[#This Row],[ID]], Table4[ID], Table4[Teas], "Not Found", 0)</f>
        <v>59</v>
      </c>
      <c r="L220" s="16">
        <f>_xlfn.XLOOKUP(CustomerCombinedCleaned[[#This Row],[ID]], Table4[ID], Table4[Fruits], "Not Found", 0)</f>
        <v>0</v>
      </c>
      <c r="M220" s="16">
        <f>_xlfn.XLOOKUP(CustomerCombinedCleaned[[#This Row],[ID]], Table4[ID], Table4[Meats], "Not Found", 0)</f>
        <v>33</v>
      </c>
      <c r="N220" s="16">
        <f>_xlfn.XLOOKUP(CustomerCombinedCleaned[[#This Row],[ID]], Table4[ID], Table4[Seafood], "Not Found", 0)</f>
        <v>0</v>
      </c>
      <c r="O220" s="16">
        <f>_xlfn.XLOOKUP(CustomerCombinedCleaned[[#This Row],[ID]], Table4[ID], Table4[Sweets], "Not Found", 0)</f>
        <v>0</v>
      </c>
      <c r="P220" s="16">
        <f>_xlfn.XLOOKUP(CustomerCombinedCleaned[[#This Row],[ID]], Table4[ID], Table4[Premium], "Not Found", 0)</f>
        <v>46</v>
      </c>
      <c r="Q220" s="16">
        <f>_xlfn.XLOOKUP(CustomerCombinedCleaned[[#This Row],[ID]], Table4[ID], Table4[Regular], "Not Found", 0)</f>
        <v>46</v>
      </c>
      <c r="R220" s="16">
        <f>_xlfn.XLOOKUP(CustomerCombinedCleaned[[#This Row],[ID]], Table4[ID], Table4[Deals], "Not Found", 0)</f>
        <v>1</v>
      </c>
      <c r="S220" s="16">
        <f>_xlfn.XLOOKUP(CustomerCombinedCleaned[[#This Row],[ID]], Table4[ID], Table4[Website], "Not Found", 0)</f>
        <v>1</v>
      </c>
      <c r="T220" s="16">
        <f>_xlfn.XLOOKUP(CustomerCombinedCleaned[[#This Row],[ID]], Table4[ID], Table4[Catalog], "Not Found", 0)</f>
        <v>0</v>
      </c>
      <c r="U220" s="16">
        <f>_xlfn.XLOOKUP(CustomerCombinedCleaned[[#This Row],[ID]], Table4[ID], Table4[Store], "Not Found", 0)</f>
        <v>2</v>
      </c>
      <c r="V220" s="16">
        <f>_xlfn.XLOOKUP(CustomerCombinedCleaned[[#This Row],[ID]], Table4[ID], Table4[Visits], "Not Found", 0)</f>
        <v>8</v>
      </c>
      <c r="W220" s="16">
        <f>_xlfn.XLOOKUP(CustomerCombinedCleaned[[#This Row],[ID]], Table2[ID],Table2[Complaint], "Not Found", 0 )</f>
        <v>0</v>
      </c>
      <c r="X220" s="16">
        <f>_xlfn.XLOOKUP(CustomerCombinedCleaned[[#This Row],[ID]], Table2[ID],Table2[Pilot], "Not Found", 0 )</f>
        <v>0</v>
      </c>
      <c r="Y220" s="16">
        <f>_xlfn.XLOOKUP(CustomerCombinedCleaned[[#This Row],[ID]], Table2[ID],Table2[MC1], "Not Found", 0 )</f>
        <v>0</v>
      </c>
      <c r="Z220" s="16">
        <f>_xlfn.XLOOKUP(CustomerCombinedCleaned[[#This Row],[ID]], Table2[ID],Table2[MC2], "Not Found", 0 )</f>
        <v>0</v>
      </c>
      <c r="AA220" s="16">
        <f>_xlfn.XLOOKUP(CustomerCombinedCleaned[[#This Row],[ID]], Table2[ID],Table2[MC3], "Not Found", 0 )</f>
        <v>0</v>
      </c>
      <c r="AB220" s="16">
        <f>_xlfn.XLOOKUP(CustomerCombinedCleaned[[#This Row],[ID]], Table2[ID],Table2[MC4], "Not Found", 0 )</f>
        <v>0</v>
      </c>
      <c r="AC220" s="16">
        <f>_xlfn.XLOOKUP(CustomerCombinedCleaned[[#This Row],[ID]], Table2[ID],Table2[MC5], "Not Found", 0 )</f>
        <v>0</v>
      </c>
    </row>
    <row r="221" spans="1:29" x14ac:dyDescent="0.3">
      <c r="A221" s="18">
        <v>2109</v>
      </c>
      <c r="B221" s="16">
        <v>116581</v>
      </c>
      <c r="C221" s="16">
        <v>0</v>
      </c>
      <c r="D221" s="16">
        <v>0</v>
      </c>
      <c r="E221" s="16">
        <v>35</v>
      </c>
      <c r="F221" s="17" t="s">
        <v>7</v>
      </c>
      <c r="G221" s="17" t="s">
        <v>10</v>
      </c>
      <c r="H221" s="3" t="s">
        <v>328</v>
      </c>
      <c r="I221" s="5" t="s">
        <v>435</v>
      </c>
      <c r="J221" s="16">
        <f>_xlfn.XLOOKUP(CustomerCombinedCleaned[[#This Row],[ID]], Table4[ID], Table4[Recency], "Not Found", 0)</f>
        <v>51</v>
      </c>
      <c r="K221" s="16">
        <f>_xlfn.XLOOKUP(CustomerCombinedCleaned[[#This Row],[ID]], Table4[ID], Table4[Teas], "Not Found", 0)</f>
        <v>7</v>
      </c>
      <c r="L221" s="16">
        <f>_xlfn.XLOOKUP(CustomerCombinedCleaned[[#This Row],[ID]], Table4[ID], Table4[Fruits], "Not Found", 0)</f>
        <v>21</v>
      </c>
      <c r="M221" s="16">
        <f>_xlfn.XLOOKUP(CustomerCombinedCleaned[[#This Row],[ID]], Table4[ID], Table4[Meats], "Not Found", 0)</f>
        <v>28</v>
      </c>
      <c r="N221" s="16">
        <f>_xlfn.XLOOKUP(CustomerCombinedCleaned[[#This Row],[ID]], Table4[ID], Table4[Seafood], "Not Found", 0)</f>
        <v>14</v>
      </c>
      <c r="O221" s="16">
        <f>_xlfn.XLOOKUP(CustomerCombinedCleaned[[#This Row],[ID]], Table4[ID], Table4[Sweets], "Not Found", 0)</f>
        <v>21</v>
      </c>
      <c r="P221" s="16">
        <f>_xlfn.XLOOKUP(CustomerCombinedCleaned[[#This Row],[ID]], Table4[ID], Table4[Premium], "Not Found", 0)</f>
        <v>77</v>
      </c>
      <c r="Q221" s="16">
        <f>_xlfn.XLOOKUP(CustomerCombinedCleaned[[#This Row],[ID]], Table4[ID], Table4[Regular], "Not Found", 0)</f>
        <v>14</v>
      </c>
      <c r="R221" s="16">
        <f>_xlfn.XLOOKUP(CustomerCombinedCleaned[[#This Row],[ID]], Table4[ID], Table4[Deals], "Not Found", 0)</f>
        <v>1</v>
      </c>
      <c r="S221" s="16">
        <f>_xlfn.XLOOKUP(CustomerCombinedCleaned[[#This Row],[ID]], Table4[ID], Table4[Website], "Not Found", 0)</f>
        <v>0</v>
      </c>
      <c r="T221" s="16">
        <f>_xlfn.XLOOKUP(CustomerCombinedCleaned[[#This Row],[ID]], Table4[ID], Table4[Catalog], "Not Found", 0)</f>
        <v>0</v>
      </c>
      <c r="U221" s="16">
        <f>_xlfn.XLOOKUP(CustomerCombinedCleaned[[#This Row],[ID]], Table4[ID], Table4[Store], "Not Found", 0)</f>
        <v>3</v>
      </c>
      <c r="V221" s="16">
        <f>_xlfn.XLOOKUP(CustomerCombinedCleaned[[#This Row],[ID]], Table4[ID], Table4[Visits], "Not Found", 0)</f>
        <v>4</v>
      </c>
      <c r="W221" s="16">
        <f>_xlfn.XLOOKUP(CustomerCombinedCleaned[[#This Row],[ID]], Table2[ID],Table2[Complaint], "Not Found", 0 )</f>
        <v>0</v>
      </c>
      <c r="X221" s="16">
        <f>_xlfn.XLOOKUP(CustomerCombinedCleaned[[#This Row],[ID]], Table2[ID],Table2[Pilot], "Not Found", 0 )</f>
        <v>0</v>
      </c>
      <c r="Y221" s="16">
        <f>_xlfn.XLOOKUP(CustomerCombinedCleaned[[#This Row],[ID]], Table2[ID],Table2[MC1], "Not Found", 0 )</f>
        <v>0</v>
      </c>
      <c r="Z221" s="16">
        <f>_xlfn.XLOOKUP(CustomerCombinedCleaned[[#This Row],[ID]], Table2[ID],Table2[MC2], "Not Found", 0 )</f>
        <v>0</v>
      </c>
      <c r="AA221" s="16">
        <f>_xlfn.XLOOKUP(CustomerCombinedCleaned[[#This Row],[ID]], Table2[ID],Table2[MC3], "Not Found", 0 )</f>
        <v>0</v>
      </c>
      <c r="AB221" s="16">
        <f>_xlfn.XLOOKUP(CustomerCombinedCleaned[[#This Row],[ID]], Table2[ID],Table2[MC4], "Not Found", 0 )</f>
        <v>0</v>
      </c>
      <c r="AC221" s="16">
        <f>_xlfn.XLOOKUP(CustomerCombinedCleaned[[#This Row],[ID]], Table2[ID],Table2[MC5], "Not Found", 0 )</f>
        <v>0</v>
      </c>
    </row>
    <row r="222" spans="1:29" x14ac:dyDescent="0.3">
      <c r="A222" s="18">
        <v>3004</v>
      </c>
      <c r="B222" s="16">
        <v>107500</v>
      </c>
      <c r="C222" s="16">
        <v>1</v>
      </c>
      <c r="D222" s="16">
        <v>0</v>
      </c>
      <c r="E222" s="16">
        <v>35</v>
      </c>
      <c r="F222" s="17" t="s">
        <v>8</v>
      </c>
      <c r="G222" s="17" t="s">
        <v>11</v>
      </c>
      <c r="H222" s="3" t="s">
        <v>582</v>
      </c>
      <c r="I222" s="5" t="s">
        <v>439</v>
      </c>
      <c r="J222" s="16">
        <f>_xlfn.XLOOKUP(CustomerCombinedCleaned[[#This Row],[ID]], Table4[ID], Table4[Recency], "Not Found", 0)</f>
        <v>98</v>
      </c>
      <c r="K222" s="16">
        <f>_xlfn.XLOOKUP(CustomerCombinedCleaned[[#This Row],[ID]], Table4[ID], Table4[Teas], "Not Found", 0)</f>
        <v>72</v>
      </c>
      <c r="L222" s="16">
        <f>_xlfn.XLOOKUP(CustomerCombinedCleaned[[#This Row],[ID]], Table4[ID], Table4[Fruits], "Not Found", 0)</f>
        <v>244</v>
      </c>
      <c r="M222" s="16">
        <f>_xlfn.XLOOKUP(CustomerCombinedCleaned[[#This Row],[ID]], Table4[ID], Table4[Meats], "Not Found", 0)</f>
        <v>244</v>
      </c>
      <c r="N222" s="16">
        <f>_xlfn.XLOOKUP(CustomerCombinedCleaned[[#This Row],[ID]], Table4[ID], Table4[Seafood], "Not Found", 0)</f>
        <v>186</v>
      </c>
      <c r="O222" s="16">
        <f>_xlfn.XLOOKUP(CustomerCombinedCleaned[[#This Row],[ID]], Table4[ID], Table4[Sweets], "Not Found", 0)</f>
        <v>201</v>
      </c>
      <c r="P222" s="16">
        <f>_xlfn.XLOOKUP(CustomerCombinedCleaned[[#This Row],[ID]], Table4[ID], Table4[Premium], "Not Found", 0)</f>
        <v>487</v>
      </c>
      <c r="Q222" s="16">
        <f>_xlfn.XLOOKUP(CustomerCombinedCleaned[[#This Row],[ID]], Table4[ID], Table4[Regular], "Not Found", 0)</f>
        <v>459</v>
      </c>
      <c r="R222" s="16">
        <f>_xlfn.XLOOKUP(CustomerCombinedCleaned[[#This Row],[ID]], Table4[ID], Table4[Deals], "Not Found", 0)</f>
        <v>4</v>
      </c>
      <c r="S222" s="16">
        <f>_xlfn.XLOOKUP(CustomerCombinedCleaned[[#This Row],[ID]], Table4[ID], Table4[Website], "Not Found", 0)</f>
        <v>2</v>
      </c>
      <c r="T222" s="16">
        <f>_xlfn.XLOOKUP(CustomerCombinedCleaned[[#This Row],[ID]], Table4[ID], Table4[Catalog], "Not Found", 0)</f>
        <v>1</v>
      </c>
      <c r="U222" s="16">
        <f>_xlfn.XLOOKUP(CustomerCombinedCleaned[[#This Row],[ID]], Table4[ID], Table4[Store], "Not Found", 0)</f>
        <v>3</v>
      </c>
      <c r="V222" s="16">
        <f>_xlfn.XLOOKUP(CustomerCombinedCleaned[[#This Row],[ID]], Table4[ID], Table4[Visits], "Not Found", 0)</f>
        <v>9</v>
      </c>
      <c r="W222" s="16">
        <f>_xlfn.XLOOKUP(CustomerCombinedCleaned[[#This Row],[ID]], Table2[ID],Table2[Complaint], "Not Found", 0 )</f>
        <v>0</v>
      </c>
      <c r="X222" s="16">
        <f>_xlfn.XLOOKUP(CustomerCombinedCleaned[[#This Row],[ID]], Table2[ID],Table2[Pilot], "Not Found", 0 )</f>
        <v>0</v>
      </c>
      <c r="Y222" s="16">
        <f>_xlfn.XLOOKUP(CustomerCombinedCleaned[[#This Row],[ID]], Table2[ID],Table2[MC1], "Not Found", 0 )</f>
        <v>0</v>
      </c>
      <c r="Z222" s="16">
        <f>_xlfn.XLOOKUP(CustomerCombinedCleaned[[#This Row],[ID]], Table2[ID],Table2[MC2], "Not Found", 0 )</f>
        <v>0</v>
      </c>
      <c r="AA222" s="16">
        <f>_xlfn.XLOOKUP(CustomerCombinedCleaned[[#This Row],[ID]], Table2[ID],Table2[MC3], "Not Found", 0 )</f>
        <v>0</v>
      </c>
      <c r="AB222" s="16">
        <f>_xlfn.XLOOKUP(CustomerCombinedCleaned[[#This Row],[ID]], Table2[ID],Table2[MC4], "Not Found", 0 )</f>
        <v>0</v>
      </c>
      <c r="AC222" s="16">
        <f>_xlfn.XLOOKUP(CustomerCombinedCleaned[[#This Row],[ID]], Table2[ID],Table2[MC5], "Not Found", 0 )</f>
        <v>0</v>
      </c>
    </row>
    <row r="223" spans="1:29" x14ac:dyDescent="0.3">
      <c r="A223" s="18">
        <v>3136</v>
      </c>
      <c r="B223" s="16">
        <v>190000</v>
      </c>
      <c r="C223" s="16">
        <v>0</v>
      </c>
      <c r="D223" s="16">
        <v>0</v>
      </c>
      <c r="E223" s="16">
        <v>36</v>
      </c>
      <c r="F223" s="17" t="s">
        <v>6</v>
      </c>
      <c r="G223" s="17" t="s">
        <v>11</v>
      </c>
      <c r="H223" s="3" t="s">
        <v>125</v>
      </c>
      <c r="I223" s="5" t="s">
        <v>439</v>
      </c>
      <c r="J223" s="16">
        <f>_xlfn.XLOOKUP(CustomerCombinedCleaned[[#This Row],[ID]], Table4[ID], Table4[Recency], "Not Found", 0)</f>
        <v>91</v>
      </c>
      <c r="K223" s="16">
        <f>_xlfn.XLOOKUP(CustomerCombinedCleaned[[#This Row],[ID]], Table4[ID], Table4[Teas], "Not Found", 0)</f>
        <v>1425</v>
      </c>
      <c r="L223" s="16">
        <f>_xlfn.XLOOKUP(CustomerCombinedCleaned[[#This Row],[ID]], Table4[ID], Table4[Fruits], "Not Found", 0)</f>
        <v>304</v>
      </c>
      <c r="M223" s="16">
        <f>_xlfn.XLOOKUP(CustomerCombinedCleaned[[#This Row],[ID]], Table4[ID], Table4[Meats], "Not Found", 0)</f>
        <v>281</v>
      </c>
      <c r="N223" s="16">
        <f>_xlfn.XLOOKUP(CustomerCombinedCleaned[[#This Row],[ID]], Table4[ID], Table4[Seafood], "Not Found", 0)</f>
        <v>198</v>
      </c>
      <c r="O223" s="16">
        <f>_xlfn.XLOOKUP(CustomerCombinedCleaned[[#This Row],[ID]], Table4[ID], Table4[Sweets], "Not Found", 0)</f>
        <v>405</v>
      </c>
      <c r="P223" s="16">
        <f>_xlfn.XLOOKUP(CustomerCombinedCleaned[[#This Row],[ID]], Table4[ID], Table4[Premium], "Not Found", 0)</f>
        <v>509</v>
      </c>
      <c r="Q223" s="16">
        <f>_xlfn.XLOOKUP(CustomerCombinedCleaned[[#This Row],[ID]], Table4[ID], Table4[Regular], "Not Found", 0)</f>
        <v>2105</v>
      </c>
      <c r="R223" s="16">
        <f>_xlfn.XLOOKUP(CustomerCombinedCleaned[[#This Row],[ID]], Table4[ID], Table4[Deals], "Not Found", 0)</f>
        <v>1</v>
      </c>
      <c r="S223" s="16">
        <f>_xlfn.XLOOKUP(CustomerCombinedCleaned[[#This Row],[ID]], Table4[ID], Table4[Website], "Not Found", 0)</f>
        <v>4</v>
      </c>
      <c r="T223" s="16">
        <f>_xlfn.XLOOKUP(CustomerCombinedCleaned[[#This Row],[ID]], Table4[ID], Table4[Catalog], "Not Found", 0)</f>
        <v>8</v>
      </c>
      <c r="U223" s="16">
        <f>_xlfn.XLOOKUP(CustomerCombinedCleaned[[#This Row],[ID]], Table4[ID], Table4[Store], "Not Found", 0)</f>
        <v>5</v>
      </c>
      <c r="V223" s="16">
        <f>_xlfn.XLOOKUP(CustomerCombinedCleaned[[#This Row],[ID]], Table4[ID], Table4[Visits], "Not Found", 0)</f>
        <v>1</v>
      </c>
      <c r="W223" s="16">
        <f>_xlfn.XLOOKUP(CustomerCombinedCleaned[[#This Row],[ID]], Table2[ID],Table2[Complaint], "Not Found", 0 )</f>
        <v>0</v>
      </c>
      <c r="X223" s="16">
        <f>_xlfn.XLOOKUP(CustomerCombinedCleaned[[#This Row],[ID]], Table2[ID],Table2[Pilot], "Not Found", 0 )</f>
        <v>0</v>
      </c>
      <c r="Y223" s="16">
        <f>_xlfn.XLOOKUP(CustomerCombinedCleaned[[#This Row],[ID]], Table2[ID],Table2[MC1], "Not Found", 0 )</f>
        <v>1</v>
      </c>
      <c r="Z223" s="16">
        <f>_xlfn.XLOOKUP(CustomerCombinedCleaned[[#This Row],[ID]], Table2[ID],Table2[MC2], "Not Found", 0 )</f>
        <v>0</v>
      </c>
      <c r="AA223" s="16">
        <f>_xlfn.XLOOKUP(CustomerCombinedCleaned[[#This Row],[ID]], Table2[ID],Table2[MC3], "Not Found", 0 )</f>
        <v>1</v>
      </c>
      <c r="AB223" s="16">
        <f>_xlfn.XLOOKUP(CustomerCombinedCleaned[[#This Row],[ID]], Table2[ID],Table2[MC4], "Not Found", 0 )</f>
        <v>0</v>
      </c>
      <c r="AC223" s="16">
        <f>_xlfn.XLOOKUP(CustomerCombinedCleaned[[#This Row],[ID]], Table2[ID],Table2[MC5], "Not Found", 0 )</f>
        <v>1</v>
      </c>
    </row>
    <row r="224" spans="1:29" x14ac:dyDescent="0.3">
      <c r="A224" s="18">
        <v>2829</v>
      </c>
      <c r="B224" s="16">
        <v>182733</v>
      </c>
      <c r="C224" s="16">
        <v>0</v>
      </c>
      <c r="D224" s="16">
        <v>0</v>
      </c>
      <c r="E224" s="16">
        <v>36</v>
      </c>
      <c r="F224" s="17" t="s">
        <v>7</v>
      </c>
      <c r="G224" s="17" t="s">
        <v>13</v>
      </c>
      <c r="H224" s="3" t="s">
        <v>189</v>
      </c>
      <c r="I224" s="5" t="s">
        <v>435</v>
      </c>
      <c r="J224" s="16">
        <f>_xlfn.XLOOKUP(CustomerCombinedCleaned[[#This Row],[ID]], Table4[ID], Table4[Recency], "Not Found", 0)</f>
        <v>28</v>
      </c>
      <c r="K224" s="16">
        <f>_xlfn.XLOOKUP(CustomerCombinedCleaned[[#This Row],[ID]], Table4[ID], Table4[Teas], "Not Found", 0)</f>
        <v>1573</v>
      </c>
      <c r="L224" s="16">
        <f>_xlfn.XLOOKUP(CustomerCombinedCleaned[[#This Row],[ID]], Table4[ID], Table4[Fruits], "Not Found", 0)</f>
        <v>110</v>
      </c>
      <c r="M224" s="16">
        <f>_xlfn.XLOOKUP(CustomerCombinedCleaned[[#This Row],[ID]], Table4[ID], Table4[Meats], "Not Found", 0)</f>
        <v>928</v>
      </c>
      <c r="N224" s="16">
        <f>_xlfn.XLOOKUP(CustomerCombinedCleaned[[#This Row],[ID]], Table4[ID], Table4[Seafood], "Not Found", 0)</f>
        <v>144</v>
      </c>
      <c r="O224" s="16">
        <f>_xlfn.XLOOKUP(CustomerCombinedCleaned[[#This Row],[ID]], Table4[ID], Table4[Sweets], "Not Found", 0)</f>
        <v>84</v>
      </c>
      <c r="P224" s="16">
        <f>_xlfn.XLOOKUP(CustomerCombinedCleaned[[#This Row],[ID]], Table4[ID], Table4[Premium], "Not Found", 0)</f>
        <v>84</v>
      </c>
      <c r="Q224" s="16">
        <f>_xlfn.XLOOKUP(CustomerCombinedCleaned[[#This Row],[ID]], Table4[ID], Table4[Regular], "Not Found", 0)</f>
        <v>2754</v>
      </c>
      <c r="R224" s="16">
        <f>_xlfn.XLOOKUP(CustomerCombinedCleaned[[#This Row],[ID]], Table4[ID], Table4[Deals], "Not Found", 0)</f>
        <v>1</v>
      </c>
      <c r="S224" s="16">
        <f>_xlfn.XLOOKUP(CustomerCombinedCleaned[[#This Row],[ID]], Table4[ID], Table4[Website], "Not Found", 0)</f>
        <v>8</v>
      </c>
      <c r="T224" s="16">
        <f>_xlfn.XLOOKUP(CustomerCombinedCleaned[[#This Row],[ID]], Table4[ID], Table4[Catalog], "Not Found", 0)</f>
        <v>4</v>
      </c>
      <c r="U224" s="16">
        <f>_xlfn.XLOOKUP(CustomerCombinedCleaned[[#This Row],[ID]], Table4[ID], Table4[Store], "Not Found", 0)</f>
        <v>7</v>
      </c>
      <c r="V224" s="16">
        <f>_xlfn.XLOOKUP(CustomerCombinedCleaned[[#This Row],[ID]], Table4[ID], Table4[Visits], "Not Found", 0)</f>
        <v>4</v>
      </c>
      <c r="W224" s="16">
        <f>_xlfn.XLOOKUP(CustomerCombinedCleaned[[#This Row],[ID]], Table2[ID],Table2[Complaint], "Not Found", 0 )</f>
        <v>0</v>
      </c>
      <c r="X224" s="16">
        <f>_xlfn.XLOOKUP(CustomerCombinedCleaned[[#This Row],[ID]], Table2[ID],Table2[Pilot], "Not Found", 0 )</f>
        <v>1</v>
      </c>
      <c r="Y224" s="16">
        <f>_xlfn.XLOOKUP(CustomerCombinedCleaned[[#This Row],[ID]], Table2[ID],Table2[MC1], "Not Found", 0 )</f>
        <v>0</v>
      </c>
      <c r="Z224" s="16">
        <f>_xlfn.XLOOKUP(CustomerCombinedCleaned[[#This Row],[ID]], Table2[ID],Table2[MC2], "Not Found", 0 )</f>
        <v>0</v>
      </c>
      <c r="AA224" s="16">
        <f>_xlfn.XLOOKUP(CustomerCombinedCleaned[[#This Row],[ID]], Table2[ID],Table2[MC3], "Not Found", 0 )</f>
        <v>0</v>
      </c>
      <c r="AB224" s="16">
        <f>_xlfn.XLOOKUP(CustomerCombinedCleaned[[#This Row],[ID]], Table2[ID],Table2[MC4], "Not Found", 0 )</f>
        <v>0</v>
      </c>
      <c r="AC224" s="16">
        <f>_xlfn.XLOOKUP(CustomerCombinedCleaned[[#This Row],[ID]], Table2[ID],Table2[MC5], "Not Found", 0 )</f>
        <v>0</v>
      </c>
    </row>
    <row r="225" spans="1:29" x14ac:dyDescent="0.3">
      <c r="A225" s="18">
        <v>1118</v>
      </c>
      <c r="B225" s="16">
        <v>179607</v>
      </c>
      <c r="C225" s="16">
        <v>0</v>
      </c>
      <c r="D225" s="16">
        <v>0</v>
      </c>
      <c r="E225" s="16">
        <v>36</v>
      </c>
      <c r="F225" s="17" t="s">
        <v>7</v>
      </c>
      <c r="G225" s="17" t="s">
        <v>11</v>
      </c>
      <c r="H225" s="3" t="s">
        <v>268</v>
      </c>
      <c r="I225" s="5" t="s">
        <v>438</v>
      </c>
      <c r="J225" s="16">
        <f>_xlfn.XLOOKUP(CustomerCombinedCleaned[[#This Row],[ID]], Table4[ID], Table4[Recency], "Not Found", 0)</f>
        <v>37</v>
      </c>
      <c r="K225" s="16">
        <f>_xlfn.XLOOKUP(CustomerCombinedCleaned[[#This Row],[ID]], Table4[ID], Table4[Teas], "Not Found", 0)</f>
        <v>1015</v>
      </c>
      <c r="L225" s="16">
        <f>_xlfn.XLOOKUP(CustomerCombinedCleaned[[#This Row],[ID]], Table4[ID], Table4[Fruits], "Not Found", 0)</f>
        <v>300</v>
      </c>
      <c r="M225" s="16">
        <f>_xlfn.XLOOKUP(CustomerCombinedCleaned[[#This Row],[ID]], Table4[ID], Table4[Meats], "Not Found", 0)</f>
        <v>2146</v>
      </c>
      <c r="N225" s="16">
        <f>_xlfn.XLOOKUP(CustomerCombinedCleaned[[#This Row],[ID]], Table4[ID], Table4[Seafood], "Not Found", 0)</f>
        <v>390</v>
      </c>
      <c r="O225" s="16">
        <f>_xlfn.XLOOKUP(CustomerCombinedCleaned[[#This Row],[ID]], Table4[ID], Table4[Sweets], "Not Found", 0)</f>
        <v>0</v>
      </c>
      <c r="P225" s="16">
        <f>_xlfn.XLOOKUP(CustomerCombinedCleaned[[#This Row],[ID]], Table4[ID], Table4[Premium], "Not Found", 0)</f>
        <v>487</v>
      </c>
      <c r="Q225" s="16">
        <f>_xlfn.XLOOKUP(CustomerCombinedCleaned[[#This Row],[ID]], Table4[ID], Table4[Regular], "Not Found", 0)</f>
        <v>3364</v>
      </c>
      <c r="R225" s="16">
        <f>_xlfn.XLOOKUP(CustomerCombinedCleaned[[#This Row],[ID]], Table4[ID], Table4[Deals], "Not Found", 0)</f>
        <v>1</v>
      </c>
      <c r="S225" s="16">
        <f>_xlfn.XLOOKUP(CustomerCombinedCleaned[[#This Row],[ID]], Table4[ID], Table4[Website], "Not Found", 0)</f>
        <v>3</v>
      </c>
      <c r="T225" s="16">
        <f>_xlfn.XLOOKUP(CustomerCombinedCleaned[[#This Row],[ID]], Table4[ID], Table4[Catalog], "Not Found", 0)</f>
        <v>6</v>
      </c>
      <c r="U225" s="16">
        <f>_xlfn.XLOOKUP(CustomerCombinedCleaned[[#This Row],[ID]], Table4[ID], Table4[Store], "Not Found", 0)</f>
        <v>6</v>
      </c>
      <c r="V225" s="16">
        <f>_xlfn.XLOOKUP(CustomerCombinedCleaned[[#This Row],[ID]], Table4[ID], Table4[Visits], "Not Found", 0)</f>
        <v>1</v>
      </c>
      <c r="W225" s="16">
        <f>_xlfn.XLOOKUP(CustomerCombinedCleaned[[#This Row],[ID]], Table2[ID],Table2[Complaint], "Not Found", 0 )</f>
        <v>0</v>
      </c>
      <c r="X225" s="16">
        <f>_xlfn.XLOOKUP(CustomerCombinedCleaned[[#This Row],[ID]], Table2[ID],Table2[Pilot], "Not Found", 0 )</f>
        <v>1</v>
      </c>
      <c r="Y225" s="16">
        <f>_xlfn.XLOOKUP(CustomerCombinedCleaned[[#This Row],[ID]], Table2[ID],Table2[MC1], "Not Found", 0 )</f>
        <v>0</v>
      </c>
      <c r="Z225" s="16">
        <f>_xlfn.XLOOKUP(CustomerCombinedCleaned[[#This Row],[ID]], Table2[ID],Table2[MC2], "Not Found", 0 )</f>
        <v>0</v>
      </c>
      <c r="AA225" s="16">
        <f>_xlfn.XLOOKUP(CustomerCombinedCleaned[[#This Row],[ID]], Table2[ID],Table2[MC3], "Not Found", 0 )</f>
        <v>0</v>
      </c>
      <c r="AB225" s="16">
        <f>_xlfn.XLOOKUP(CustomerCombinedCleaned[[#This Row],[ID]], Table2[ID],Table2[MC4], "Not Found", 0 )</f>
        <v>0</v>
      </c>
      <c r="AC225" s="16">
        <f>_xlfn.XLOOKUP(CustomerCombinedCleaned[[#This Row],[ID]], Table2[ID],Table2[MC5], "Not Found", 0 )</f>
        <v>0</v>
      </c>
    </row>
    <row r="226" spans="1:29" x14ac:dyDescent="0.3">
      <c r="A226" s="18">
        <v>2915</v>
      </c>
      <c r="B226" s="16">
        <v>173356</v>
      </c>
      <c r="C226" s="16">
        <v>0</v>
      </c>
      <c r="D226" s="16">
        <v>0</v>
      </c>
      <c r="E226" s="16">
        <v>36</v>
      </c>
      <c r="F226" s="17" t="s">
        <v>6</v>
      </c>
      <c r="G226" s="17" t="s">
        <v>13</v>
      </c>
      <c r="H226" s="3" t="s">
        <v>107</v>
      </c>
      <c r="I226" s="5" t="s">
        <v>434</v>
      </c>
      <c r="J226" s="16">
        <f>_xlfn.XLOOKUP(CustomerCombinedCleaned[[#This Row],[ID]], Table4[ID], Table4[Recency], "Not Found", 0)</f>
        <v>56</v>
      </c>
      <c r="K226" s="16">
        <f>_xlfn.XLOOKUP(CustomerCombinedCleaned[[#This Row],[ID]], Table4[ID], Table4[Teas], "Not Found", 0)</f>
        <v>2481</v>
      </c>
      <c r="L226" s="16">
        <f>_xlfn.XLOOKUP(CustomerCombinedCleaned[[#This Row],[ID]], Table4[ID], Table4[Fruits], "Not Found", 0)</f>
        <v>33</v>
      </c>
      <c r="M226" s="16">
        <f>_xlfn.XLOOKUP(CustomerCombinedCleaned[[#This Row],[ID]], Table4[ID], Table4[Meats], "Not Found", 0)</f>
        <v>761</v>
      </c>
      <c r="N226" s="16">
        <f>_xlfn.XLOOKUP(CustomerCombinedCleaned[[#This Row],[ID]], Table4[ID], Table4[Seafood], "Not Found", 0)</f>
        <v>0</v>
      </c>
      <c r="O226" s="16">
        <f>_xlfn.XLOOKUP(CustomerCombinedCleaned[[#This Row],[ID]], Table4[ID], Table4[Sweets], "Not Found", 0)</f>
        <v>33</v>
      </c>
      <c r="P226" s="16">
        <f>_xlfn.XLOOKUP(CustomerCombinedCleaned[[#This Row],[ID]], Table4[ID], Table4[Premium], "Not Found", 0)</f>
        <v>265</v>
      </c>
      <c r="Q226" s="16">
        <f>_xlfn.XLOOKUP(CustomerCombinedCleaned[[#This Row],[ID]], Table4[ID], Table4[Regular], "Not Found", 0)</f>
        <v>3044</v>
      </c>
      <c r="R226" s="16">
        <f>_xlfn.XLOOKUP(CustomerCombinedCleaned[[#This Row],[ID]], Table4[ID], Table4[Deals], "Not Found", 0)</f>
        <v>1</v>
      </c>
      <c r="S226" s="16">
        <f>_xlfn.XLOOKUP(CustomerCombinedCleaned[[#This Row],[ID]], Table4[ID], Table4[Website], "Not Found", 0)</f>
        <v>5</v>
      </c>
      <c r="T226" s="16">
        <f>_xlfn.XLOOKUP(CustomerCombinedCleaned[[#This Row],[ID]], Table4[ID], Table4[Catalog], "Not Found", 0)</f>
        <v>11</v>
      </c>
      <c r="U226" s="16">
        <f>_xlfn.XLOOKUP(CustomerCombinedCleaned[[#This Row],[ID]], Table4[ID], Table4[Store], "Not Found", 0)</f>
        <v>5</v>
      </c>
      <c r="V226" s="16">
        <f>_xlfn.XLOOKUP(CustomerCombinedCleaned[[#This Row],[ID]], Table4[ID], Table4[Visits], "Not Found", 0)</f>
        <v>2</v>
      </c>
      <c r="W226" s="16">
        <f>_xlfn.XLOOKUP(CustomerCombinedCleaned[[#This Row],[ID]], Table2[ID],Table2[Complaint], "Not Found", 0 )</f>
        <v>0</v>
      </c>
      <c r="X226" s="16">
        <f>_xlfn.XLOOKUP(CustomerCombinedCleaned[[#This Row],[ID]], Table2[ID],Table2[Pilot], "Not Found", 0 )</f>
        <v>1</v>
      </c>
      <c r="Y226" s="16">
        <f>_xlfn.XLOOKUP(CustomerCombinedCleaned[[#This Row],[ID]], Table2[ID],Table2[MC1], "Not Found", 0 )</f>
        <v>1</v>
      </c>
      <c r="Z226" s="16">
        <f>_xlfn.XLOOKUP(CustomerCombinedCleaned[[#This Row],[ID]], Table2[ID],Table2[MC2], "Not Found", 0 )</f>
        <v>0</v>
      </c>
      <c r="AA226" s="16">
        <f>_xlfn.XLOOKUP(CustomerCombinedCleaned[[#This Row],[ID]], Table2[ID],Table2[MC3], "Not Found", 0 )</f>
        <v>1</v>
      </c>
      <c r="AB226" s="16">
        <f>_xlfn.XLOOKUP(CustomerCombinedCleaned[[#This Row],[ID]], Table2[ID],Table2[MC4], "Not Found", 0 )</f>
        <v>0</v>
      </c>
      <c r="AC226" s="16">
        <f>_xlfn.XLOOKUP(CustomerCombinedCleaned[[#This Row],[ID]], Table2[ID],Table2[MC5], "Not Found", 0 )</f>
        <v>1</v>
      </c>
    </row>
    <row r="227" spans="1:29" x14ac:dyDescent="0.3">
      <c r="A227" s="18">
        <v>2918</v>
      </c>
      <c r="B227" s="16">
        <v>172570</v>
      </c>
      <c r="C227" s="16">
        <v>0</v>
      </c>
      <c r="D227" s="16">
        <v>0</v>
      </c>
      <c r="E227" s="16">
        <v>36</v>
      </c>
      <c r="F227" s="17" t="s">
        <v>6</v>
      </c>
      <c r="G227" s="17" t="s">
        <v>11</v>
      </c>
      <c r="H227" s="3" t="s">
        <v>57</v>
      </c>
      <c r="I227" s="5" t="s">
        <v>438</v>
      </c>
      <c r="J227" s="16">
        <f>_xlfn.XLOOKUP(CustomerCombinedCleaned[[#This Row],[ID]], Table4[ID], Table4[Recency], "Not Found", 0)</f>
        <v>67</v>
      </c>
      <c r="K227" s="16">
        <f>_xlfn.XLOOKUP(CustomerCombinedCleaned[[#This Row],[ID]], Table4[ID], Table4[Teas], "Not Found", 0)</f>
        <v>652</v>
      </c>
      <c r="L227" s="16">
        <f>_xlfn.XLOOKUP(CustomerCombinedCleaned[[#This Row],[ID]], Table4[ID], Table4[Fruits], "Not Found", 0)</f>
        <v>197</v>
      </c>
      <c r="M227" s="16">
        <f>_xlfn.XLOOKUP(CustomerCombinedCleaned[[#This Row],[ID]], Table4[ID], Table4[Meats], "Not Found", 0)</f>
        <v>514</v>
      </c>
      <c r="N227" s="16">
        <f>_xlfn.XLOOKUP(CustomerCombinedCleaned[[#This Row],[ID]], Table4[ID], Table4[Seafood], "Not Found", 0)</f>
        <v>359</v>
      </c>
      <c r="O227" s="16">
        <f>_xlfn.XLOOKUP(CustomerCombinedCleaned[[#This Row],[ID]], Table4[ID], Table4[Sweets], "Not Found", 0)</f>
        <v>335</v>
      </c>
      <c r="P227" s="16">
        <f>_xlfn.XLOOKUP(CustomerCombinedCleaned[[#This Row],[ID]], Table4[ID], Table4[Premium], "Not Found", 0)</f>
        <v>533</v>
      </c>
      <c r="Q227" s="16">
        <f>_xlfn.XLOOKUP(CustomerCombinedCleaned[[#This Row],[ID]], Table4[ID], Table4[Regular], "Not Found", 0)</f>
        <v>1524</v>
      </c>
      <c r="R227" s="16">
        <f>_xlfn.XLOOKUP(CustomerCombinedCleaned[[#This Row],[ID]], Table4[ID], Table4[Deals], "Not Found", 0)</f>
        <v>1</v>
      </c>
      <c r="S227" s="16">
        <f>_xlfn.XLOOKUP(CustomerCombinedCleaned[[#This Row],[ID]], Table4[ID], Table4[Website], "Not Found", 0)</f>
        <v>4</v>
      </c>
      <c r="T227" s="16">
        <f>_xlfn.XLOOKUP(CustomerCombinedCleaned[[#This Row],[ID]], Table4[ID], Table4[Catalog], "Not Found", 0)</f>
        <v>6</v>
      </c>
      <c r="U227" s="16">
        <f>_xlfn.XLOOKUP(CustomerCombinedCleaned[[#This Row],[ID]], Table4[ID], Table4[Store], "Not Found", 0)</f>
        <v>12</v>
      </c>
      <c r="V227" s="16">
        <f>_xlfn.XLOOKUP(CustomerCombinedCleaned[[#This Row],[ID]], Table4[ID], Table4[Visits], "Not Found", 0)</f>
        <v>1</v>
      </c>
      <c r="W227" s="16">
        <f>_xlfn.XLOOKUP(CustomerCombinedCleaned[[#This Row],[ID]], Table2[ID],Table2[Complaint], "Not Found", 0 )</f>
        <v>0</v>
      </c>
      <c r="X227" s="16">
        <f>_xlfn.XLOOKUP(CustomerCombinedCleaned[[#This Row],[ID]], Table2[ID],Table2[Pilot], "Not Found", 0 )</f>
        <v>0</v>
      </c>
      <c r="Y227" s="16">
        <f>_xlfn.XLOOKUP(CustomerCombinedCleaned[[#This Row],[ID]], Table2[ID],Table2[MC1], "Not Found", 0 )</f>
        <v>0</v>
      </c>
      <c r="Z227" s="16">
        <f>_xlfn.XLOOKUP(CustomerCombinedCleaned[[#This Row],[ID]], Table2[ID],Table2[MC2], "Not Found", 0 )</f>
        <v>0</v>
      </c>
      <c r="AA227" s="16">
        <f>_xlfn.XLOOKUP(CustomerCombinedCleaned[[#This Row],[ID]], Table2[ID],Table2[MC3], "Not Found", 0 )</f>
        <v>0</v>
      </c>
      <c r="AB227" s="16">
        <f>_xlfn.XLOOKUP(CustomerCombinedCleaned[[#This Row],[ID]], Table2[ID],Table2[MC4], "Not Found", 0 )</f>
        <v>0</v>
      </c>
      <c r="AC227" s="16">
        <f>_xlfn.XLOOKUP(CustomerCombinedCleaned[[#This Row],[ID]], Table2[ID],Table2[MC5], "Not Found", 0 )</f>
        <v>0</v>
      </c>
    </row>
    <row r="228" spans="1:29" x14ac:dyDescent="0.3">
      <c r="A228" s="18">
        <v>2855</v>
      </c>
      <c r="B228" s="16">
        <v>170643</v>
      </c>
      <c r="C228" s="16">
        <v>0</v>
      </c>
      <c r="D228" s="16">
        <v>0</v>
      </c>
      <c r="E228" s="16">
        <v>36</v>
      </c>
      <c r="F228" s="17" t="s">
        <v>6</v>
      </c>
      <c r="G228" s="17" t="s">
        <v>13</v>
      </c>
      <c r="H228" s="3" t="s">
        <v>379</v>
      </c>
      <c r="I228" s="5" t="s">
        <v>434</v>
      </c>
      <c r="J228" s="16">
        <f>_xlfn.XLOOKUP(CustomerCombinedCleaned[[#This Row],[ID]], Table4[ID], Table4[Recency], "Not Found", 0)</f>
        <v>66</v>
      </c>
      <c r="K228" s="16">
        <f>_xlfn.XLOOKUP(CustomerCombinedCleaned[[#This Row],[ID]], Table4[ID], Table4[Teas], "Not Found", 0)</f>
        <v>2942</v>
      </c>
      <c r="L228" s="16">
        <f>_xlfn.XLOOKUP(CustomerCombinedCleaned[[#This Row],[ID]], Table4[ID], Table4[Fruits], "Not Found", 0)</f>
        <v>258</v>
      </c>
      <c r="M228" s="16">
        <f>_xlfn.XLOOKUP(CustomerCombinedCleaned[[#This Row],[ID]], Table4[ID], Table4[Meats], "Not Found", 0)</f>
        <v>734</v>
      </c>
      <c r="N228" s="16">
        <f>_xlfn.XLOOKUP(CustomerCombinedCleaned[[#This Row],[ID]], Table4[ID], Table4[Seafood], "Not Found", 0)</f>
        <v>56</v>
      </c>
      <c r="O228" s="16">
        <f>_xlfn.XLOOKUP(CustomerCombinedCleaned[[#This Row],[ID]], Table4[ID], Table4[Sweets], "Not Found", 0)</f>
        <v>345</v>
      </c>
      <c r="P228" s="16">
        <f>_xlfn.XLOOKUP(CustomerCombinedCleaned[[#This Row],[ID]], Table4[ID], Table4[Premium], "Not Found", 0)</f>
        <v>80</v>
      </c>
      <c r="Q228" s="16">
        <f>_xlfn.XLOOKUP(CustomerCombinedCleaned[[#This Row],[ID]], Table4[ID], Table4[Regular], "Not Found", 0)</f>
        <v>4256</v>
      </c>
      <c r="R228" s="16">
        <f>_xlfn.XLOOKUP(CustomerCombinedCleaned[[#This Row],[ID]], Table4[ID], Table4[Deals], "Not Found", 0)</f>
        <v>1</v>
      </c>
      <c r="S228" s="16">
        <f>_xlfn.XLOOKUP(CustomerCombinedCleaned[[#This Row],[ID]], Table4[ID], Table4[Website], "Not Found", 0)</f>
        <v>5</v>
      </c>
      <c r="T228" s="16">
        <f>_xlfn.XLOOKUP(CustomerCombinedCleaned[[#This Row],[ID]], Table4[ID], Table4[Catalog], "Not Found", 0)</f>
        <v>8</v>
      </c>
      <c r="U228" s="16">
        <f>_xlfn.XLOOKUP(CustomerCombinedCleaned[[#This Row],[ID]], Table4[ID], Table4[Store], "Not Found", 0)</f>
        <v>4</v>
      </c>
      <c r="V228" s="16">
        <f>_xlfn.XLOOKUP(CustomerCombinedCleaned[[#This Row],[ID]], Table4[ID], Table4[Visits], "Not Found", 0)</f>
        <v>6</v>
      </c>
      <c r="W228" s="16">
        <f>_xlfn.XLOOKUP(CustomerCombinedCleaned[[#This Row],[ID]], Table2[ID],Table2[Complaint], "Not Found", 0 )</f>
        <v>0</v>
      </c>
      <c r="X228" s="16">
        <f>_xlfn.XLOOKUP(CustomerCombinedCleaned[[#This Row],[ID]], Table2[ID],Table2[Pilot], "Not Found", 0 )</f>
        <v>1</v>
      </c>
      <c r="Y228" s="16">
        <f>_xlfn.XLOOKUP(CustomerCombinedCleaned[[#This Row],[ID]], Table2[ID],Table2[MC1], "Not Found", 0 )</f>
        <v>0</v>
      </c>
      <c r="Z228" s="16">
        <f>_xlfn.XLOOKUP(CustomerCombinedCleaned[[#This Row],[ID]], Table2[ID],Table2[MC2], "Not Found", 0 )</f>
        <v>0</v>
      </c>
      <c r="AA228" s="16">
        <f>_xlfn.XLOOKUP(CustomerCombinedCleaned[[#This Row],[ID]], Table2[ID],Table2[MC3], "Not Found", 0 )</f>
        <v>0</v>
      </c>
      <c r="AB228" s="16">
        <f>_xlfn.XLOOKUP(CustomerCombinedCleaned[[#This Row],[ID]], Table2[ID],Table2[MC4], "Not Found", 0 )</f>
        <v>0</v>
      </c>
      <c r="AC228" s="16">
        <f>_xlfn.XLOOKUP(CustomerCombinedCleaned[[#This Row],[ID]], Table2[ID],Table2[MC5], "Not Found", 0 )</f>
        <v>0</v>
      </c>
    </row>
    <row r="229" spans="1:29" x14ac:dyDescent="0.3">
      <c r="A229" s="18">
        <v>2754</v>
      </c>
      <c r="B229" s="16">
        <v>165370</v>
      </c>
      <c r="C229" s="16">
        <v>0</v>
      </c>
      <c r="D229" s="16">
        <v>0</v>
      </c>
      <c r="E229" s="16">
        <v>36</v>
      </c>
      <c r="F229" s="17" t="s">
        <v>6</v>
      </c>
      <c r="G229" s="17" t="s">
        <v>11</v>
      </c>
      <c r="H229" s="3" t="s">
        <v>698</v>
      </c>
      <c r="I229" s="5" t="s">
        <v>436</v>
      </c>
      <c r="J229" s="16">
        <f>_xlfn.XLOOKUP(CustomerCombinedCleaned[[#This Row],[ID]], Table4[ID], Table4[Recency], "Not Found", 0)</f>
        <v>1</v>
      </c>
      <c r="K229" s="16">
        <f>_xlfn.XLOOKUP(CustomerCombinedCleaned[[#This Row],[ID]], Table4[ID], Table4[Teas], "Not Found", 0)</f>
        <v>180</v>
      </c>
      <c r="L229" s="16">
        <f>_xlfn.XLOOKUP(CustomerCombinedCleaned[[#This Row],[ID]], Table4[ID], Table4[Fruits], "Not Found", 0)</f>
        <v>56</v>
      </c>
      <c r="M229" s="16">
        <f>_xlfn.XLOOKUP(CustomerCombinedCleaned[[#This Row],[ID]], Table4[ID], Table4[Meats], "Not Found", 0)</f>
        <v>283</v>
      </c>
      <c r="N229" s="16">
        <f>_xlfn.XLOOKUP(CustomerCombinedCleaned[[#This Row],[ID]], Table4[ID], Table4[Seafood], "Not Found", 0)</f>
        <v>349</v>
      </c>
      <c r="O229" s="16">
        <f>_xlfn.XLOOKUP(CustomerCombinedCleaned[[#This Row],[ID]], Table4[ID], Table4[Sweets], "Not Found", 0)</f>
        <v>225</v>
      </c>
      <c r="P229" s="16">
        <f>_xlfn.XLOOKUP(CustomerCombinedCleaned[[#This Row],[ID]], Table4[ID], Table4[Premium], "Not Found", 0)</f>
        <v>73</v>
      </c>
      <c r="Q229" s="16">
        <f>_xlfn.XLOOKUP(CustomerCombinedCleaned[[#This Row],[ID]], Table4[ID], Table4[Regular], "Not Found", 0)</f>
        <v>1019</v>
      </c>
      <c r="R229" s="16">
        <f>_xlfn.XLOOKUP(CustomerCombinedCleaned[[#This Row],[ID]], Table4[ID], Table4[Deals], "Not Found", 0)</f>
        <v>1</v>
      </c>
      <c r="S229" s="16">
        <f>_xlfn.XLOOKUP(CustomerCombinedCleaned[[#This Row],[ID]], Table4[ID], Table4[Website], "Not Found", 0)</f>
        <v>2</v>
      </c>
      <c r="T229" s="16">
        <f>_xlfn.XLOOKUP(CustomerCombinedCleaned[[#This Row],[ID]], Table4[ID], Table4[Catalog], "Not Found", 0)</f>
        <v>3</v>
      </c>
      <c r="U229" s="16">
        <f>_xlfn.XLOOKUP(CustomerCombinedCleaned[[#This Row],[ID]], Table4[ID], Table4[Store], "Not Found", 0)</f>
        <v>13</v>
      </c>
      <c r="V229" s="16">
        <f>_xlfn.XLOOKUP(CustomerCombinedCleaned[[#This Row],[ID]], Table4[ID], Table4[Visits], "Not Found", 0)</f>
        <v>1</v>
      </c>
      <c r="W229" s="16">
        <f>_xlfn.XLOOKUP(CustomerCombinedCleaned[[#This Row],[ID]], Table2[ID],Table2[Complaint], "Not Found", 0 )</f>
        <v>0</v>
      </c>
      <c r="X229" s="16">
        <f>_xlfn.XLOOKUP(CustomerCombinedCleaned[[#This Row],[ID]], Table2[ID],Table2[Pilot], "Not Found", 0 )</f>
        <v>0</v>
      </c>
      <c r="Y229" s="16">
        <f>_xlfn.XLOOKUP(CustomerCombinedCleaned[[#This Row],[ID]], Table2[ID],Table2[MC1], "Not Found", 0 )</f>
        <v>0</v>
      </c>
      <c r="Z229" s="16">
        <f>_xlfn.XLOOKUP(CustomerCombinedCleaned[[#This Row],[ID]], Table2[ID],Table2[MC2], "Not Found", 0 )</f>
        <v>0</v>
      </c>
      <c r="AA229" s="16">
        <f>_xlfn.XLOOKUP(CustomerCombinedCleaned[[#This Row],[ID]], Table2[ID],Table2[MC3], "Not Found", 0 )</f>
        <v>0</v>
      </c>
      <c r="AB229" s="16">
        <f>_xlfn.XLOOKUP(CustomerCombinedCleaned[[#This Row],[ID]], Table2[ID],Table2[MC4], "Not Found", 0 )</f>
        <v>0</v>
      </c>
      <c r="AC229" s="16">
        <f>_xlfn.XLOOKUP(CustomerCombinedCleaned[[#This Row],[ID]], Table2[ID],Table2[MC5], "Not Found", 0 )</f>
        <v>0</v>
      </c>
    </row>
    <row r="230" spans="1:29" x14ac:dyDescent="0.3">
      <c r="A230" s="18">
        <v>3212</v>
      </c>
      <c r="B230" s="16">
        <v>160646</v>
      </c>
      <c r="C230" s="16">
        <v>1</v>
      </c>
      <c r="D230" s="16">
        <v>0</v>
      </c>
      <c r="E230" s="16">
        <v>36</v>
      </c>
      <c r="F230" s="17" t="s">
        <v>7</v>
      </c>
      <c r="G230" s="17" t="s">
        <v>11</v>
      </c>
      <c r="H230" s="3" t="s">
        <v>292</v>
      </c>
      <c r="I230" s="5" t="s">
        <v>438</v>
      </c>
      <c r="J230" s="16">
        <f>_xlfn.XLOOKUP(CustomerCombinedCleaned[[#This Row],[ID]], Table4[ID], Table4[Recency], "Not Found", 0)</f>
        <v>82</v>
      </c>
      <c r="K230" s="16">
        <f>_xlfn.XLOOKUP(CustomerCombinedCleaned[[#This Row],[ID]], Table4[ID], Table4[Teas], "Not Found", 0)</f>
        <v>64</v>
      </c>
      <c r="L230" s="16">
        <f>_xlfn.XLOOKUP(CustomerCombinedCleaned[[#This Row],[ID]], Table4[ID], Table4[Fruits], "Not Found", 0)</f>
        <v>8</v>
      </c>
      <c r="M230" s="16">
        <v>69</v>
      </c>
      <c r="N230" s="16">
        <f>_xlfn.XLOOKUP(CustomerCombinedCleaned[[#This Row],[ID]], Table4[ID], Table4[Seafood], "Not Found", 0)</f>
        <v>19</v>
      </c>
      <c r="O230" s="16">
        <f>_xlfn.XLOOKUP(CustomerCombinedCleaned[[#This Row],[ID]], Table4[ID], Table4[Sweets], "Not Found", 0)</f>
        <v>3</v>
      </c>
      <c r="P230" s="16">
        <f>_xlfn.XLOOKUP(CustomerCombinedCleaned[[#This Row],[ID]], Table4[ID], Table4[Premium], "Not Found", 0)</f>
        <v>61</v>
      </c>
      <c r="Q230" s="16">
        <f>_xlfn.XLOOKUP(CustomerCombinedCleaned[[#This Row],[ID]], Table4[ID], Table4[Regular], "Not Found", 0)</f>
        <v>101</v>
      </c>
      <c r="R230" s="16">
        <f>_xlfn.XLOOKUP(CustomerCombinedCleaned[[#This Row],[ID]], Table4[ID], Table4[Deals], "Not Found", 0)</f>
        <v>3</v>
      </c>
      <c r="S230" s="16">
        <f>_xlfn.XLOOKUP(CustomerCombinedCleaned[[#This Row],[ID]], Table4[ID], Table4[Website], "Not Found", 0)</f>
        <v>3</v>
      </c>
      <c r="T230" s="16">
        <f>_xlfn.XLOOKUP(CustomerCombinedCleaned[[#This Row],[ID]], Table4[ID], Table4[Catalog], "Not Found", 0)</f>
        <v>1</v>
      </c>
      <c r="U230" s="16">
        <f>_xlfn.XLOOKUP(CustomerCombinedCleaned[[#This Row],[ID]], Table4[ID], Table4[Store], "Not Found", 0)</f>
        <v>2</v>
      </c>
      <c r="V230" s="16">
        <f>_xlfn.XLOOKUP(CustomerCombinedCleaned[[#This Row],[ID]], Table4[ID], Table4[Visits], "Not Found", 0)</f>
        <v>9</v>
      </c>
      <c r="W230" s="16">
        <f>_xlfn.XLOOKUP(CustomerCombinedCleaned[[#This Row],[ID]], Table2[ID],Table2[Complaint], "Not Found", 0 )</f>
        <v>0</v>
      </c>
      <c r="X230" s="16">
        <f>_xlfn.XLOOKUP(CustomerCombinedCleaned[[#This Row],[ID]], Table2[ID],Table2[Pilot], "Not Found", 0 )</f>
        <v>0</v>
      </c>
      <c r="Y230" s="16">
        <f>_xlfn.XLOOKUP(CustomerCombinedCleaned[[#This Row],[ID]], Table2[ID],Table2[MC1], "Not Found", 0 )</f>
        <v>0</v>
      </c>
      <c r="Z230" s="16">
        <f>_xlfn.XLOOKUP(CustomerCombinedCleaned[[#This Row],[ID]], Table2[ID],Table2[MC2], "Not Found", 0 )</f>
        <v>0</v>
      </c>
      <c r="AA230" s="16">
        <f>_xlfn.XLOOKUP(CustomerCombinedCleaned[[#This Row],[ID]], Table2[ID],Table2[MC3], "Not Found", 0 )</f>
        <v>1</v>
      </c>
      <c r="AB230" s="16">
        <f>_xlfn.XLOOKUP(CustomerCombinedCleaned[[#This Row],[ID]], Table2[ID],Table2[MC4], "Not Found", 0 )</f>
        <v>0</v>
      </c>
      <c r="AC230" s="16">
        <f>_xlfn.XLOOKUP(CustomerCombinedCleaned[[#This Row],[ID]], Table2[ID],Table2[MC5], "Not Found", 0 )</f>
        <v>0</v>
      </c>
    </row>
    <row r="231" spans="1:29" x14ac:dyDescent="0.3">
      <c r="A231" s="18">
        <v>2591</v>
      </c>
      <c r="B231" s="16">
        <v>155434</v>
      </c>
      <c r="C231" s="16">
        <v>1</v>
      </c>
      <c r="D231" s="16">
        <v>0</v>
      </c>
      <c r="E231" s="16">
        <v>36</v>
      </c>
      <c r="F231" s="17" t="s">
        <v>6</v>
      </c>
      <c r="G231" s="17" t="s">
        <v>11</v>
      </c>
      <c r="H231" s="3" t="s">
        <v>731</v>
      </c>
      <c r="I231" s="5" t="s">
        <v>434</v>
      </c>
      <c r="J231" s="16">
        <f>_xlfn.XLOOKUP(CustomerCombinedCleaned[[#This Row],[ID]], Table4[ID], Table4[Recency], "Not Found", 0)</f>
        <v>21</v>
      </c>
      <c r="K231" s="16">
        <f>_xlfn.XLOOKUP(CustomerCombinedCleaned[[#This Row],[ID]], Table4[ID], Table4[Teas], "Not Found", 0)</f>
        <v>667</v>
      </c>
      <c r="L231" s="16">
        <f>_xlfn.XLOOKUP(CustomerCombinedCleaned[[#This Row],[ID]], Table4[ID], Table4[Fruits], "Not Found", 0)</f>
        <v>322</v>
      </c>
      <c r="M231" s="16">
        <f>_xlfn.XLOOKUP(CustomerCombinedCleaned[[#This Row],[ID]], Table4[ID], Table4[Meats], "Not Found", 0)</f>
        <v>603</v>
      </c>
      <c r="N231" s="16">
        <f>_xlfn.XLOOKUP(CustomerCombinedCleaned[[#This Row],[ID]], Table4[ID], Table4[Seafood], "Not Found", 0)</f>
        <v>474</v>
      </c>
      <c r="O231" s="16">
        <f>_xlfn.XLOOKUP(CustomerCombinedCleaned[[#This Row],[ID]], Table4[ID], Table4[Sweets], "Not Found", 0)</f>
        <v>193</v>
      </c>
      <c r="P231" s="16">
        <f>_xlfn.XLOOKUP(CustomerCombinedCleaned[[#This Row],[ID]], Table4[ID], Table4[Premium], "Not Found", 0)</f>
        <v>213</v>
      </c>
      <c r="Q231" s="16">
        <f>_xlfn.XLOOKUP(CustomerCombinedCleaned[[#This Row],[ID]], Table4[ID], Table4[Regular], "Not Found", 0)</f>
        <v>2047</v>
      </c>
      <c r="R231" s="16">
        <f>_xlfn.XLOOKUP(CustomerCombinedCleaned[[#This Row],[ID]], Table4[ID], Table4[Deals], "Not Found", 0)</f>
        <v>3</v>
      </c>
      <c r="S231" s="16">
        <f>_xlfn.XLOOKUP(CustomerCombinedCleaned[[#This Row],[ID]], Table4[ID], Table4[Website], "Not Found", 0)</f>
        <v>5</v>
      </c>
      <c r="T231" s="16">
        <f>_xlfn.XLOOKUP(CustomerCombinedCleaned[[#This Row],[ID]], Table4[ID], Table4[Catalog], "Not Found", 0)</f>
        <v>3</v>
      </c>
      <c r="U231" s="16">
        <f>_xlfn.XLOOKUP(CustomerCombinedCleaned[[#This Row],[ID]], Table4[ID], Table4[Store], "Not Found", 0)</f>
        <v>13</v>
      </c>
      <c r="V231" s="16">
        <f>_xlfn.XLOOKUP(CustomerCombinedCleaned[[#This Row],[ID]], Table4[ID], Table4[Visits], "Not Found", 0)</f>
        <v>4</v>
      </c>
      <c r="W231" s="16">
        <f>_xlfn.XLOOKUP(CustomerCombinedCleaned[[#This Row],[ID]], Table2[ID],Table2[Complaint], "Not Found", 0 )</f>
        <v>0</v>
      </c>
      <c r="X231" s="16">
        <f>_xlfn.XLOOKUP(CustomerCombinedCleaned[[#This Row],[ID]], Table2[ID],Table2[Pilot], "Not Found", 0 )</f>
        <v>0</v>
      </c>
      <c r="Y231" s="16">
        <f>_xlfn.XLOOKUP(CustomerCombinedCleaned[[#This Row],[ID]], Table2[ID],Table2[MC1], "Not Found", 0 )</f>
        <v>0</v>
      </c>
      <c r="Z231" s="16">
        <f>_xlfn.XLOOKUP(CustomerCombinedCleaned[[#This Row],[ID]], Table2[ID],Table2[MC2], "Not Found", 0 )</f>
        <v>0</v>
      </c>
      <c r="AA231" s="16">
        <f>_xlfn.XLOOKUP(CustomerCombinedCleaned[[#This Row],[ID]], Table2[ID],Table2[MC3], "Not Found", 0 )</f>
        <v>0</v>
      </c>
      <c r="AB231" s="16">
        <f>_xlfn.XLOOKUP(CustomerCombinedCleaned[[#This Row],[ID]], Table2[ID],Table2[MC4], "Not Found", 0 )</f>
        <v>0</v>
      </c>
      <c r="AC231" s="16">
        <f>_xlfn.XLOOKUP(CustomerCombinedCleaned[[#This Row],[ID]], Table2[ID],Table2[MC5], "Not Found", 0 )</f>
        <v>0</v>
      </c>
    </row>
    <row r="232" spans="1:29" x14ac:dyDescent="0.3">
      <c r="A232" s="18">
        <v>2860</v>
      </c>
      <c r="B232" s="16">
        <v>152413</v>
      </c>
      <c r="C232" s="16">
        <v>1</v>
      </c>
      <c r="D232" s="16">
        <v>0</v>
      </c>
      <c r="E232" s="16">
        <v>36</v>
      </c>
      <c r="F232" s="17" t="s">
        <v>7</v>
      </c>
      <c r="G232" s="17" t="s">
        <v>11</v>
      </c>
      <c r="H232" s="3" t="s">
        <v>742</v>
      </c>
      <c r="I232" s="5" t="s">
        <v>439</v>
      </c>
      <c r="J232" s="16">
        <f>_xlfn.XLOOKUP(CustomerCombinedCleaned[[#This Row],[ID]], Table4[ID], Table4[Recency], "Not Found", 0)</f>
        <v>67</v>
      </c>
      <c r="K232" s="16">
        <f>_xlfn.XLOOKUP(CustomerCombinedCleaned[[#This Row],[ID]], Table4[ID], Table4[Teas], "Not Found", 0)</f>
        <v>538</v>
      </c>
      <c r="L232" s="16">
        <f>_xlfn.XLOOKUP(CustomerCombinedCleaned[[#This Row],[ID]], Table4[ID], Table4[Fruits], "Not Found", 0)</f>
        <v>23</v>
      </c>
      <c r="M232" s="16">
        <f>_xlfn.XLOOKUP(CustomerCombinedCleaned[[#This Row],[ID]], Table4[ID], Table4[Meats], "Not Found", 0)</f>
        <v>387</v>
      </c>
      <c r="N232" s="16">
        <f>_xlfn.XLOOKUP(CustomerCombinedCleaned[[#This Row],[ID]], Table4[ID], Table4[Seafood], "Not Found", 0)</f>
        <v>163</v>
      </c>
      <c r="O232" s="16">
        <f>_xlfn.XLOOKUP(CustomerCombinedCleaned[[#This Row],[ID]], Table4[ID], Table4[Sweets], "Not Found", 0)</f>
        <v>163</v>
      </c>
      <c r="P232" s="16">
        <f>_xlfn.XLOOKUP(CustomerCombinedCleaned[[#This Row],[ID]], Table4[ID], Table4[Premium], "Not Found", 0)</f>
        <v>35</v>
      </c>
      <c r="Q232" s="16">
        <f>_xlfn.XLOOKUP(CustomerCombinedCleaned[[#This Row],[ID]], Table4[ID], Table4[Regular], "Not Found", 0)</f>
        <v>1239</v>
      </c>
      <c r="R232" s="16">
        <f>_xlfn.XLOOKUP(CustomerCombinedCleaned[[#This Row],[ID]], Table4[ID], Table4[Deals], "Not Found", 0)</f>
        <v>2</v>
      </c>
      <c r="S232" s="16">
        <f>_xlfn.XLOOKUP(CustomerCombinedCleaned[[#This Row],[ID]], Table4[ID], Table4[Website], "Not Found", 0)</f>
        <v>7</v>
      </c>
      <c r="T232" s="16">
        <f>_xlfn.XLOOKUP(CustomerCombinedCleaned[[#This Row],[ID]], Table4[ID], Table4[Catalog], "Not Found", 0)</f>
        <v>1</v>
      </c>
      <c r="U232" s="16">
        <f>_xlfn.XLOOKUP(CustomerCombinedCleaned[[#This Row],[ID]], Table4[ID], Table4[Store], "Not Found", 0)</f>
        <v>7</v>
      </c>
      <c r="V232" s="16">
        <f>_xlfn.XLOOKUP(CustomerCombinedCleaned[[#This Row],[ID]], Table4[ID], Table4[Visits], "Not Found", 0)</f>
        <v>7</v>
      </c>
      <c r="W232" s="16">
        <f>_xlfn.XLOOKUP(CustomerCombinedCleaned[[#This Row],[ID]], Table2[ID],Table2[Complaint], "Not Found", 0 )</f>
        <v>0</v>
      </c>
      <c r="X232" s="16">
        <f>_xlfn.XLOOKUP(CustomerCombinedCleaned[[#This Row],[ID]], Table2[ID],Table2[Pilot], "Not Found", 0 )</f>
        <v>0</v>
      </c>
      <c r="Y232" s="16">
        <f>_xlfn.XLOOKUP(CustomerCombinedCleaned[[#This Row],[ID]], Table2[ID],Table2[MC1], "Not Found", 0 )</f>
        <v>0</v>
      </c>
      <c r="Z232" s="16">
        <f>_xlfn.XLOOKUP(CustomerCombinedCleaned[[#This Row],[ID]], Table2[ID],Table2[MC2], "Not Found", 0 )</f>
        <v>0</v>
      </c>
      <c r="AA232" s="16">
        <f>_xlfn.XLOOKUP(CustomerCombinedCleaned[[#This Row],[ID]], Table2[ID],Table2[MC3], "Not Found", 0 )</f>
        <v>0</v>
      </c>
      <c r="AB232" s="16">
        <f>_xlfn.XLOOKUP(CustomerCombinedCleaned[[#This Row],[ID]], Table2[ID],Table2[MC4], "Not Found", 0 )</f>
        <v>0</v>
      </c>
      <c r="AC232" s="16">
        <f>_xlfn.XLOOKUP(CustomerCombinedCleaned[[#This Row],[ID]], Table2[ID],Table2[MC5], "Not Found", 0 )</f>
        <v>0</v>
      </c>
    </row>
    <row r="233" spans="1:29" x14ac:dyDescent="0.3">
      <c r="A233" s="18">
        <v>1526</v>
      </c>
      <c r="B233" s="16">
        <v>142710</v>
      </c>
      <c r="C233" s="16">
        <v>1</v>
      </c>
      <c r="D233" s="16">
        <v>0</v>
      </c>
      <c r="E233" s="16">
        <v>36</v>
      </c>
      <c r="F233" s="17" t="s">
        <v>7</v>
      </c>
      <c r="G233" s="17" t="s">
        <v>13</v>
      </c>
      <c r="H233" s="3" t="s">
        <v>730</v>
      </c>
      <c r="I233" s="5" t="s">
        <v>438</v>
      </c>
      <c r="J233" s="16">
        <f>_xlfn.XLOOKUP(CustomerCombinedCleaned[[#This Row],[ID]], Table4[ID], Table4[Recency], "Not Found", 0)</f>
        <v>38</v>
      </c>
      <c r="K233" s="16">
        <f>_xlfn.XLOOKUP(CustomerCombinedCleaned[[#This Row],[ID]], Table4[ID], Table4[Teas], "Not Found", 0)</f>
        <v>842</v>
      </c>
      <c r="L233" s="16">
        <f>_xlfn.XLOOKUP(CustomerCombinedCleaned[[#This Row],[ID]], Table4[ID], Table4[Fruits], "Not Found", 0)</f>
        <v>10</v>
      </c>
      <c r="M233" s="16">
        <f>_xlfn.XLOOKUP(CustomerCombinedCleaned[[#This Row],[ID]], Table4[ID], Table4[Meats], "Not Found", 0)</f>
        <v>140</v>
      </c>
      <c r="N233" s="16">
        <f>_xlfn.XLOOKUP(CustomerCombinedCleaned[[#This Row],[ID]], Table4[ID], Table4[Seafood], "Not Found", 0)</f>
        <v>13</v>
      </c>
      <c r="O233" s="16">
        <f>_xlfn.XLOOKUP(CustomerCombinedCleaned[[#This Row],[ID]], Table4[ID], Table4[Sweets], "Not Found", 0)</f>
        <v>10</v>
      </c>
      <c r="P233" s="16">
        <f>_xlfn.XLOOKUP(CustomerCombinedCleaned[[#This Row],[ID]], Table4[ID], Table4[Premium], "Not Found", 0)</f>
        <v>341</v>
      </c>
      <c r="Q233" s="16">
        <f>_xlfn.XLOOKUP(CustomerCombinedCleaned[[#This Row],[ID]], Table4[ID], Table4[Regular], "Not Found", 0)</f>
        <v>675</v>
      </c>
      <c r="R233" s="16">
        <f>_xlfn.XLOOKUP(CustomerCombinedCleaned[[#This Row],[ID]], Table4[ID], Table4[Deals], "Not Found", 0)</f>
        <v>2</v>
      </c>
      <c r="S233" s="16">
        <f>_xlfn.XLOOKUP(CustomerCombinedCleaned[[#This Row],[ID]], Table4[ID], Table4[Website], "Not Found", 0)</f>
        <v>4</v>
      </c>
      <c r="T233" s="16">
        <f>_xlfn.XLOOKUP(CustomerCombinedCleaned[[#This Row],[ID]], Table4[ID], Table4[Catalog], "Not Found", 0)</f>
        <v>5</v>
      </c>
      <c r="U233" s="16">
        <f>_xlfn.XLOOKUP(CustomerCombinedCleaned[[#This Row],[ID]], Table4[ID], Table4[Store], "Not Found", 0)</f>
        <v>3</v>
      </c>
      <c r="V233" s="16">
        <f>_xlfn.XLOOKUP(CustomerCombinedCleaned[[#This Row],[ID]], Table4[ID], Table4[Visits], "Not Found", 0)</f>
        <v>6</v>
      </c>
      <c r="W233" s="16">
        <f>_xlfn.XLOOKUP(CustomerCombinedCleaned[[#This Row],[ID]], Table2[ID],Table2[Complaint], "Not Found", 0 )</f>
        <v>0</v>
      </c>
      <c r="X233" s="16">
        <f>_xlfn.XLOOKUP(CustomerCombinedCleaned[[#This Row],[ID]], Table2[ID],Table2[Pilot], "Not Found", 0 )</f>
        <v>0</v>
      </c>
      <c r="Y233" s="16">
        <f>_xlfn.XLOOKUP(CustomerCombinedCleaned[[#This Row],[ID]], Table2[ID],Table2[MC1], "Not Found", 0 )</f>
        <v>0</v>
      </c>
      <c r="Z233" s="16">
        <f>_xlfn.XLOOKUP(CustomerCombinedCleaned[[#This Row],[ID]], Table2[ID],Table2[MC2], "Not Found", 0 )</f>
        <v>0</v>
      </c>
      <c r="AA233" s="16">
        <f>_xlfn.XLOOKUP(CustomerCombinedCleaned[[#This Row],[ID]], Table2[ID],Table2[MC3], "Not Found", 0 )</f>
        <v>0</v>
      </c>
      <c r="AB233" s="16">
        <f>_xlfn.XLOOKUP(CustomerCombinedCleaned[[#This Row],[ID]], Table2[ID],Table2[MC4], "Not Found", 0 )</f>
        <v>0</v>
      </c>
      <c r="AC233" s="16">
        <f>_xlfn.XLOOKUP(CustomerCombinedCleaned[[#This Row],[ID]], Table2[ID],Table2[MC5], "Not Found", 0 )</f>
        <v>0</v>
      </c>
    </row>
    <row r="234" spans="1:29" x14ac:dyDescent="0.3">
      <c r="A234" s="18">
        <v>1441</v>
      </c>
      <c r="B234" s="16">
        <v>142207</v>
      </c>
      <c r="C234" s="16">
        <v>1</v>
      </c>
      <c r="D234" s="16">
        <v>0</v>
      </c>
      <c r="E234" s="16">
        <v>36</v>
      </c>
      <c r="F234" s="17" t="s">
        <v>6</v>
      </c>
      <c r="G234" s="17" t="s">
        <v>12</v>
      </c>
      <c r="H234" s="3" t="s">
        <v>720</v>
      </c>
      <c r="I234" s="5" t="s">
        <v>437</v>
      </c>
      <c r="J234" s="16">
        <f>_xlfn.XLOOKUP(CustomerCombinedCleaned[[#This Row],[ID]], Table4[ID], Table4[Recency], "Not Found", 0)</f>
        <v>71</v>
      </c>
      <c r="K234" s="16">
        <f>_xlfn.XLOOKUP(CustomerCombinedCleaned[[#This Row],[ID]], Table4[ID], Table4[Teas], "Not Found", 0)</f>
        <v>391</v>
      </c>
      <c r="L234" s="16">
        <f>_xlfn.XLOOKUP(CustomerCombinedCleaned[[#This Row],[ID]], Table4[ID], Table4[Fruits], "Not Found", 0)</f>
        <v>37</v>
      </c>
      <c r="M234" s="16">
        <f>_xlfn.XLOOKUP(CustomerCombinedCleaned[[#This Row],[ID]], Table4[ID], Table4[Meats], "Not Found", 0)</f>
        <v>243</v>
      </c>
      <c r="N234" s="16">
        <f>_xlfn.XLOOKUP(CustomerCombinedCleaned[[#This Row],[ID]], Table4[ID], Table4[Seafood], "Not Found", 0)</f>
        <v>10</v>
      </c>
      <c r="O234" s="16">
        <f>_xlfn.XLOOKUP(CustomerCombinedCleaned[[#This Row],[ID]], Table4[ID], Table4[Sweets], "Not Found", 0)</f>
        <v>57</v>
      </c>
      <c r="P234" s="16">
        <f>_xlfn.XLOOKUP(CustomerCombinedCleaned[[#This Row],[ID]], Table4[ID], Table4[Premium], "Not Found", 0)</f>
        <v>155</v>
      </c>
      <c r="Q234" s="16">
        <f>_xlfn.XLOOKUP(CustomerCombinedCleaned[[#This Row],[ID]], Table4[ID], Table4[Regular], "Not Found", 0)</f>
        <v>583</v>
      </c>
      <c r="R234" s="16">
        <f>_xlfn.XLOOKUP(CustomerCombinedCleaned[[#This Row],[ID]], Table4[ID], Table4[Deals], "Not Found", 0)</f>
        <v>4</v>
      </c>
      <c r="S234" s="16">
        <f>_xlfn.XLOOKUP(CustomerCombinedCleaned[[#This Row],[ID]], Table4[ID], Table4[Website], "Not Found", 0)</f>
        <v>4</v>
      </c>
      <c r="T234" s="16">
        <f>_xlfn.XLOOKUP(CustomerCombinedCleaned[[#This Row],[ID]], Table4[ID], Table4[Catalog], "Not Found", 0)</f>
        <v>1</v>
      </c>
      <c r="U234" s="16">
        <f>_xlfn.XLOOKUP(CustomerCombinedCleaned[[#This Row],[ID]], Table4[ID], Table4[Store], "Not Found", 0)</f>
        <v>5</v>
      </c>
      <c r="V234" s="16">
        <f>_xlfn.XLOOKUP(CustomerCombinedCleaned[[#This Row],[ID]], Table4[ID], Table4[Visits], "Not Found", 0)</f>
        <v>6</v>
      </c>
      <c r="W234" s="16">
        <f>_xlfn.XLOOKUP(CustomerCombinedCleaned[[#This Row],[ID]], Table2[ID],Table2[Complaint], "Not Found", 0 )</f>
        <v>0</v>
      </c>
      <c r="X234" s="16">
        <f>_xlfn.XLOOKUP(CustomerCombinedCleaned[[#This Row],[ID]], Table2[ID],Table2[Pilot], "Not Found", 0 )</f>
        <v>1</v>
      </c>
      <c r="Y234" s="16">
        <f>_xlfn.XLOOKUP(CustomerCombinedCleaned[[#This Row],[ID]], Table2[ID],Table2[MC1], "Not Found", 0 )</f>
        <v>0</v>
      </c>
      <c r="Z234" s="16">
        <f>_xlfn.XLOOKUP(CustomerCombinedCleaned[[#This Row],[ID]], Table2[ID],Table2[MC2], "Not Found", 0 )</f>
        <v>0</v>
      </c>
      <c r="AA234" s="16">
        <f>_xlfn.XLOOKUP(CustomerCombinedCleaned[[#This Row],[ID]], Table2[ID],Table2[MC3], "Not Found", 0 )</f>
        <v>1</v>
      </c>
      <c r="AB234" s="16">
        <f>_xlfn.XLOOKUP(CustomerCombinedCleaned[[#This Row],[ID]], Table2[ID],Table2[MC4], "Not Found", 0 )</f>
        <v>0</v>
      </c>
      <c r="AC234" s="16">
        <f>_xlfn.XLOOKUP(CustomerCombinedCleaned[[#This Row],[ID]], Table2[ID],Table2[MC5], "Not Found", 0 )</f>
        <v>0</v>
      </c>
    </row>
    <row r="235" spans="1:29" x14ac:dyDescent="0.3">
      <c r="A235" s="18">
        <v>3009</v>
      </c>
      <c r="B235" s="16">
        <v>140059</v>
      </c>
      <c r="C235" s="16">
        <v>1</v>
      </c>
      <c r="D235" s="16">
        <v>0</v>
      </c>
      <c r="E235" s="16">
        <v>36</v>
      </c>
      <c r="F235" s="17" t="s">
        <v>6</v>
      </c>
      <c r="G235" s="17" t="s">
        <v>11</v>
      </c>
      <c r="H235" s="3" t="s">
        <v>670</v>
      </c>
      <c r="I235" s="5" t="s">
        <v>435</v>
      </c>
      <c r="J235" s="16">
        <f>_xlfn.XLOOKUP(CustomerCombinedCleaned[[#This Row],[ID]], Table4[ID], Table4[Recency], "Not Found", 0)</f>
        <v>82</v>
      </c>
      <c r="K235" s="16">
        <f>_xlfn.XLOOKUP(CustomerCombinedCleaned[[#This Row],[ID]], Table4[ID], Table4[Teas], "Not Found", 0)</f>
        <v>385</v>
      </c>
      <c r="L235" s="16">
        <f>_xlfn.XLOOKUP(CustomerCombinedCleaned[[#This Row],[ID]], Table4[ID], Table4[Fruits], "Not Found", 0)</f>
        <v>101</v>
      </c>
      <c r="M235" s="16">
        <f>_xlfn.XLOOKUP(CustomerCombinedCleaned[[#This Row],[ID]], Table4[ID], Table4[Meats], "Not Found", 0)</f>
        <v>322</v>
      </c>
      <c r="N235" s="16">
        <f>_xlfn.XLOOKUP(CustomerCombinedCleaned[[#This Row],[ID]], Table4[ID], Table4[Seafood], "Not Found", 0)</f>
        <v>98</v>
      </c>
      <c r="O235" s="16">
        <f>_xlfn.XLOOKUP(CustomerCombinedCleaned[[#This Row],[ID]], Table4[ID], Table4[Sweets], "Not Found", 0)</f>
        <v>35</v>
      </c>
      <c r="P235" s="16">
        <f>_xlfn.XLOOKUP(CustomerCombinedCleaned[[#This Row],[ID]], Table4[ID], Table4[Premium], "Not Found", 0)</f>
        <v>507</v>
      </c>
      <c r="Q235" s="16">
        <f>_xlfn.XLOOKUP(CustomerCombinedCleaned[[#This Row],[ID]], Table4[ID], Table4[Regular], "Not Found", 0)</f>
        <v>434</v>
      </c>
      <c r="R235" s="16">
        <f>_xlfn.XLOOKUP(CustomerCombinedCleaned[[#This Row],[ID]], Table4[ID], Table4[Deals], "Not Found", 0)</f>
        <v>1</v>
      </c>
      <c r="S235" s="16">
        <f>_xlfn.XLOOKUP(CustomerCombinedCleaned[[#This Row],[ID]], Table4[ID], Table4[Website], "Not Found", 0)</f>
        <v>6</v>
      </c>
      <c r="T235" s="16">
        <f>_xlfn.XLOOKUP(CustomerCombinedCleaned[[#This Row],[ID]], Table4[ID], Table4[Catalog], "Not Found", 0)</f>
        <v>2</v>
      </c>
      <c r="U235" s="16">
        <f>_xlfn.XLOOKUP(CustomerCombinedCleaned[[#This Row],[ID]], Table4[ID], Table4[Store], "Not Found", 0)</f>
        <v>3</v>
      </c>
      <c r="V235" s="16">
        <f>_xlfn.XLOOKUP(CustomerCombinedCleaned[[#This Row],[ID]], Table4[ID], Table4[Visits], "Not Found", 0)</f>
        <v>8</v>
      </c>
      <c r="W235" s="16">
        <f>_xlfn.XLOOKUP(CustomerCombinedCleaned[[#This Row],[ID]], Table2[ID],Table2[Complaint], "Not Found", 0 )</f>
        <v>0</v>
      </c>
      <c r="X235" s="16">
        <f>_xlfn.XLOOKUP(CustomerCombinedCleaned[[#This Row],[ID]], Table2[ID],Table2[Pilot], "Not Found", 0 )</f>
        <v>0</v>
      </c>
      <c r="Y235" s="16">
        <f>_xlfn.XLOOKUP(CustomerCombinedCleaned[[#This Row],[ID]], Table2[ID],Table2[MC1], "Not Found", 0 )</f>
        <v>0</v>
      </c>
      <c r="Z235" s="16">
        <f>_xlfn.XLOOKUP(CustomerCombinedCleaned[[#This Row],[ID]], Table2[ID],Table2[MC2], "Not Found", 0 )</f>
        <v>0</v>
      </c>
      <c r="AA235" s="16">
        <f>_xlfn.XLOOKUP(CustomerCombinedCleaned[[#This Row],[ID]], Table2[ID],Table2[MC3], "Not Found", 0 )</f>
        <v>1</v>
      </c>
      <c r="AB235" s="16">
        <f>_xlfn.XLOOKUP(CustomerCombinedCleaned[[#This Row],[ID]], Table2[ID],Table2[MC4], "Not Found", 0 )</f>
        <v>0</v>
      </c>
      <c r="AC235" s="16">
        <f>_xlfn.XLOOKUP(CustomerCombinedCleaned[[#This Row],[ID]], Table2[ID],Table2[MC5], "Not Found", 0 )</f>
        <v>0</v>
      </c>
    </row>
    <row r="236" spans="1:29" x14ac:dyDescent="0.3">
      <c r="A236" s="18">
        <v>1574</v>
      </c>
      <c r="B236" s="16">
        <v>139684</v>
      </c>
      <c r="C236" s="16">
        <v>1</v>
      </c>
      <c r="D236" s="16">
        <v>0</v>
      </c>
      <c r="E236" s="16">
        <v>36</v>
      </c>
      <c r="F236" s="17" t="s">
        <v>7</v>
      </c>
      <c r="G236" s="17" t="s">
        <v>13</v>
      </c>
      <c r="H236" s="3" t="s">
        <v>382</v>
      </c>
      <c r="I236" s="5" t="s">
        <v>438</v>
      </c>
      <c r="J236" s="16">
        <f>_xlfn.XLOOKUP(CustomerCombinedCleaned[[#This Row],[ID]], Table4[ID], Table4[Recency], "Not Found", 0)</f>
        <v>41</v>
      </c>
      <c r="K236" s="16">
        <f>_xlfn.XLOOKUP(CustomerCombinedCleaned[[#This Row],[ID]], Table4[ID], Table4[Teas], "Not Found", 0)</f>
        <v>67</v>
      </c>
      <c r="L236" s="16">
        <f>_xlfn.XLOOKUP(CustomerCombinedCleaned[[#This Row],[ID]], Table4[ID], Table4[Fruits], "Not Found", 0)</f>
        <v>0</v>
      </c>
      <c r="M236" s="16">
        <f>_xlfn.XLOOKUP(CustomerCombinedCleaned[[#This Row],[ID]], Table4[ID], Table4[Meats], "Not Found", 0)</f>
        <v>123</v>
      </c>
      <c r="N236" s="16">
        <f>_xlfn.XLOOKUP(CustomerCombinedCleaned[[#This Row],[ID]], Table4[ID], Table4[Seafood], "Not Found", 0)</f>
        <v>21</v>
      </c>
      <c r="O236" s="16">
        <f>_xlfn.XLOOKUP(CustomerCombinedCleaned[[#This Row],[ID]], Table4[ID], Table4[Sweets], "Not Found", 0)</f>
        <v>14</v>
      </c>
      <c r="P236" s="16">
        <f>_xlfn.XLOOKUP(CustomerCombinedCleaned[[#This Row],[ID]], Table4[ID], Table4[Premium], "Not Found", 0)</f>
        <v>60</v>
      </c>
      <c r="Q236" s="16">
        <f>_xlfn.XLOOKUP(CustomerCombinedCleaned[[#This Row],[ID]], Table4[ID], Table4[Regular], "Not Found", 0)</f>
        <v>165</v>
      </c>
      <c r="R236" s="16">
        <f>_xlfn.XLOOKUP(CustomerCombinedCleaned[[#This Row],[ID]], Table4[ID], Table4[Deals], "Not Found", 0)</f>
        <v>2</v>
      </c>
      <c r="S236" s="16">
        <f>_xlfn.XLOOKUP(CustomerCombinedCleaned[[#This Row],[ID]], Table4[ID], Table4[Website], "Not Found", 0)</f>
        <v>2</v>
      </c>
      <c r="T236" s="16">
        <f>_xlfn.XLOOKUP(CustomerCombinedCleaned[[#This Row],[ID]], Table4[ID], Table4[Catalog], "Not Found", 0)</f>
        <v>1</v>
      </c>
      <c r="U236" s="16">
        <f>_xlfn.XLOOKUP(CustomerCombinedCleaned[[#This Row],[ID]], Table4[ID], Table4[Store], "Not Found", 0)</f>
        <v>2</v>
      </c>
      <c r="V236" s="16">
        <f>_xlfn.XLOOKUP(CustomerCombinedCleaned[[#This Row],[ID]], Table4[ID], Table4[Visits], "Not Found", 0)</f>
        <v>7</v>
      </c>
      <c r="W236" s="16">
        <f>_xlfn.XLOOKUP(CustomerCombinedCleaned[[#This Row],[ID]], Table2[ID],Table2[Complaint], "Not Found", 0 )</f>
        <v>1</v>
      </c>
      <c r="X236" s="16">
        <f>_xlfn.XLOOKUP(CustomerCombinedCleaned[[#This Row],[ID]], Table2[ID],Table2[Pilot], "Not Found", 0 )</f>
        <v>1</v>
      </c>
      <c r="Y236" s="16">
        <f>_xlfn.XLOOKUP(CustomerCombinedCleaned[[#This Row],[ID]], Table2[ID],Table2[MC1], "Not Found", 0 )</f>
        <v>0</v>
      </c>
      <c r="Z236" s="16">
        <f>_xlfn.XLOOKUP(CustomerCombinedCleaned[[#This Row],[ID]], Table2[ID],Table2[MC2], "Not Found", 0 )</f>
        <v>0</v>
      </c>
      <c r="AA236" s="16">
        <f>_xlfn.XLOOKUP(CustomerCombinedCleaned[[#This Row],[ID]], Table2[ID],Table2[MC3], "Not Found", 0 )</f>
        <v>0</v>
      </c>
      <c r="AB236" s="16">
        <f>_xlfn.XLOOKUP(CustomerCombinedCleaned[[#This Row],[ID]], Table2[ID],Table2[MC4], "Not Found", 0 )</f>
        <v>0</v>
      </c>
      <c r="AC236" s="16">
        <f>_xlfn.XLOOKUP(CustomerCombinedCleaned[[#This Row],[ID]], Table2[ID],Table2[MC5], "Not Found", 0 )</f>
        <v>0</v>
      </c>
    </row>
    <row r="237" spans="1:29" x14ac:dyDescent="0.3">
      <c r="A237" s="18">
        <v>3013</v>
      </c>
      <c r="B237" s="16">
        <v>138680</v>
      </c>
      <c r="C237" s="16">
        <v>1</v>
      </c>
      <c r="D237" s="16">
        <v>0</v>
      </c>
      <c r="E237" s="16">
        <v>36</v>
      </c>
      <c r="F237" s="17" t="s">
        <v>6</v>
      </c>
      <c r="G237" s="17" t="s">
        <v>11</v>
      </c>
      <c r="H237" s="3" t="s">
        <v>602</v>
      </c>
      <c r="I237" s="5" t="s">
        <v>437</v>
      </c>
      <c r="J237" s="16">
        <f>_xlfn.XLOOKUP(CustomerCombinedCleaned[[#This Row],[ID]], Table4[ID], Table4[Recency], "Not Found", 0)</f>
        <v>97</v>
      </c>
      <c r="K237" s="16">
        <f>_xlfn.XLOOKUP(CustomerCombinedCleaned[[#This Row],[ID]], Table4[ID], Table4[Teas], "Not Found", 0)</f>
        <v>39</v>
      </c>
      <c r="L237" s="16">
        <f>_xlfn.XLOOKUP(CustomerCombinedCleaned[[#This Row],[ID]], Table4[ID], Table4[Fruits], "Not Found", 0)</f>
        <v>0</v>
      </c>
      <c r="M237" s="16">
        <f>_xlfn.XLOOKUP(CustomerCombinedCleaned[[#This Row],[ID]], Table4[ID], Table4[Meats], "Not Found", 0)</f>
        <v>129</v>
      </c>
      <c r="N237" s="16">
        <f>_xlfn.XLOOKUP(CustomerCombinedCleaned[[#This Row],[ID]], Table4[ID], Table4[Seafood], "Not Found", 0)</f>
        <v>54</v>
      </c>
      <c r="O237" s="16">
        <f>_xlfn.XLOOKUP(CustomerCombinedCleaned[[#This Row],[ID]], Table4[ID], Table4[Sweets], "Not Found", 0)</f>
        <v>18</v>
      </c>
      <c r="P237" s="16">
        <f>_xlfn.XLOOKUP(CustomerCombinedCleaned[[#This Row],[ID]], Table4[ID], Table4[Premium], "Not Found", 0)</f>
        <v>43</v>
      </c>
      <c r="Q237" s="16">
        <f>_xlfn.XLOOKUP(CustomerCombinedCleaned[[#This Row],[ID]], Table4[ID], Table4[Regular], "Not Found", 0)</f>
        <v>197</v>
      </c>
      <c r="R237" s="16">
        <f>_xlfn.XLOOKUP(CustomerCombinedCleaned[[#This Row],[ID]], Table4[ID], Table4[Deals], "Not Found", 0)</f>
        <v>1</v>
      </c>
      <c r="S237" s="16">
        <f>_xlfn.XLOOKUP(CustomerCombinedCleaned[[#This Row],[ID]], Table4[ID], Table4[Website], "Not Found", 0)</f>
        <v>2</v>
      </c>
      <c r="T237" s="16">
        <f>_xlfn.XLOOKUP(CustomerCombinedCleaned[[#This Row],[ID]], Table4[ID], Table4[Catalog], "Not Found", 0)</f>
        <v>0</v>
      </c>
      <c r="U237" s="16">
        <f>_xlfn.XLOOKUP(CustomerCombinedCleaned[[#This Row],[ID]], Table4[ID], Table4[Store], "Not Found", 0)</f>
        <v>3</v>
      </c>
      <c r="V237" s="16">
        <f>_xlfn.XLOOKUP(CustomerCombinedCleaned[[#This Row],[ID]], Table4[ID], Table4[Visits], "Not Found", 0)</f>
        <v>7</v>
      </c>
      <c r="W237" s="16">
        <f>_xlfn.XLOOKUP(CustomerCombinedCleaned[[#This Row],[ID]], Table2[ID],Table2[Complaint], "Not Found", 0 )</f>
        <v>0</v>
      </c>
      <c r="X237" s="16">
        <f>_xlfn.XLOOKUP(CustomerCombinedCleaned[[#This Row],[ID]], Table2[ID],Table2[Pilot], "Not Found", 0 )</f>
        <v>0</v>
      </c>
      <c r="Y237" s="16">
        <f>_xlfn.XLOOKUP(CustomerCombinedCleaned[[#This Row],[ID]], Table2[ID],Table2[MC1], "Not Found", 0 )</f>
        <v>0</v>
      </c>
      <c r="Z237" s="16">
        <f>_xlfn.XLOOKUP(CustomerCombinedCleaned[[#This Row],[ID]], Table2[ID],Table2[MC2], "Not Found", 0 )</f>
        <v>0</v>
      </c>
      <c r="AA237" s="16">
        <f>_xlfn.XLOOKUP(CustomerCombinedCleaned[[#This Row],[ID]], Table2[ID],Table2[MC3], "Not Found", 0 )</f>
        <v>0</v>
      </c>
      <c r="AB237" s="16">
        <f>_xlfn.XLOOKUP(CustomerCombinedCleaned[[#This Row],[ID]], Table2[ID],Table2[MC4], "Not Found", 0 )</f>
        <v>0</v>
      </c>
      <c r="AC237" s="16">
        <f>_xlfn.XLOOKUP(CustomerCombinedCleaned[[#This Row],[ID]], Table2[ID],Table2[MC5], "Not Found", 0 )</f>
        <v>0</v>
      </c>
    </row>
    <row r="238" spans="1:29" x14ac:dyDescent="0.3">
      <c r="A238" s="18">
        <v>2680</v>
      </c>
      <c r="B238" s="16">
        <v>138175</v>
      </c>
      <c r="C238" s="16">
        <v>1</v>
      </c>
      <c r="D238" s="16">
        <v>0</v>
      </c>
      <c r="E238" s="16">
        <v>36</v>
      </c>
      <c r="F238" s="17" t="s">
        <v>6</v>
      </c>
      <c r="G238" s="17" t="s">
        <v>13</v>
      </c>
      <c r="H238" s="3" t="s">
        <v>176</v>
      </c>
      <c r="I238" s="5" t="s">
        <v>439</v>
      </c>
      <c r="J238" s="16">
        <f>_xlfn.XLOOKUP(CustomerCombinedCleaned[[#This Row],[ID]], Table4[ID], Table4[Recency], "Not Found", 0)</f>
        <v>6</v>
      </c>
      <c r="K238" s="16">
        <f>_xlfn.XLOOKUP(CustomerCombinedCleaned[[#This Row],[ID]], Table4[ID], Table4[Teas], "Not Found", 0)</f>
        <v>253</v>
      </c>
      <c r="L238" s="16">
        <f>_xlfn.XLOOKUP(CustomerCombinedCleaned[[#This Row],[ID]], Table4[ID], Table4[Fruits], "Not Found", 0)</f>
        <v>22</v>
      </c>
      <c r="M238" s="16">
        <f>_xlfn.XLOOKUP(CustomerCombinedCleaned[[#This Row],[ID]], Table4[ID], Table4[Meats], "Not Found", 0)</f>
        <v>250</v>
      </c>
      <c r="N238" s="16">
        <f>_xlfn.XLOOKUP(CustomerCombinedCleaned[[#This Row],[ID]], Table4[ID], Table4[Seafood], "Not Found", 0)</f>
        <v>7</v>
      </c>
      <c r="O238" s="16">
        <f>_xlfn.XLOOKUP(CustomerCombinedCleaned[[#This Row],[ID]], Table4[ID], Table4[Sweets], "Not Found", 0)</f>
        <v>11</v>
      </c>
      <c r="P238" s="16">
        <f>_xlfn.XLOOKUP(CustomerCombinedCleaned[[#This Row],[ID]], Table4[ID], Table4[Premium], "Not Found", 0)</f>
        <v>11</v>
      </c>
      <c r="Q238" s="16">
        <f>_xlfn.XLOOKUP(CustomerCombinedCleaned[[#This Row],[ID]], Table4[ID], Table4[Regular], "Not Found", 0)</f>
        <v>532</v>
      </c>
      <c r="R238" s="16">
        <f>_xlfn.XLOOKUP(CustomerCombinedCleaned[[#This Row],[ID]], Table4[ID], Table4[Deals], "Not Found", 0)</f>
        <v>3</v>
      </c>
      <c r="S238" s="16">
        <f>_xlfn.XLOOKUP(CustomerCombinedCleaned[[#This Row],[ID]], Table4[ID], Table4[Website], "Not Found", 0)</f>
        <v>3</v>
      </c>
      <c r="T238" s="16">
        <f>_xlfn.XLOOKUP(CustomerCombinedCleaned[[#This Row],[ID]], Table4[ID], Table4[Catalog], "Not Found", 0)</f>
        <v>1</v>
      </c>
      <c r="U238" s="16">
        <f>_xlfn.XLOOKUP(CustomerCombinedCleaned[[#This Row],[ID]], Table4[ID], Table4[Store], "Not Found", 0)</f>
        <v>4</v>
      </c>
      <c r="V238" s="16">
        <f>_xlfn.XLOOKUP(CustomerCombinedCleaned[[#This Row],[ID]], Table4[ID], Table4[Visits], "Not Found", 0)</f>
        <v>7</v>
      </c>
      <c r="W238" s="16">
        <f>_xlfn.XLOOKUP(CustomerCombinedCleaned[[#This Row],[ID]], Table2[ID],Table2[Complaint], "Not Found", 0 )</f>
        <v>0</v>
      </c>
      <c r="X238" s="16">
        <f>_xlfn.XLOOKUP(CustomerCombinedCleaned[[#This Row],[ID]], Table2[ID],Table2[Pilot], "Not Found", 0 )</f>
        <v>0</v>
      </c>
      <c r="Y238" s="16">
        <f>_xlfn.XLOOKUP(CustomerCombinedCleaned[[#This Row],[ID]], Table2[ID],Table2[MC1], "Not Found", 0 )</f>
        <v>0</v>
      </c>
      <c r="Z238" s="16">
        <f>_xlfn.XLOOKUP(CustomerCombinedCleaned[[#This Row],[ID]], Table2[ID],Table2[MC2], "Not Found", 0 )</f>
        <v>0</v>
      </c>
      <c r="AA238" s="16">
        <f>_xlfn.XLOOKUP(CustomerCombinedCleaned[[#This Row],[ID]], Table2[ID],Table2[MC3], "Not Found", 0 )</f>
        <v>0</v>
      </c>
      <c r="AB238" s="16">
        <f>_xlfn.XLOOKUP(CustomerCombinedCleaned[[#This Row],[ID]], Table2[ID],Table2[MC4], "Not Found", 0 )</f>
        <v>0</v>
      </c>
      <c r="AC238" s="16">
        <f>_xlfn.XLOOKUP(CustomerCombinedCleaned[[#This Row],[ID]], Table2[ID],Table2[MC5], "Not Found", 0 )</f>
        <v>0</v>
      </c>
    </row>
    <row r="239" spans="1:29" x14ac:dyDescent="0.3">
      <c r="A239" s="18">
        <v>2299</v>
      </c>
      <c r="B239" s="16">
        <v>137235</v>
      </c>
      <c r="C239" s="16">
        <v>1</v>
      </c>
      <c r="D239" s="16">
        <v>0</v>
      </c>
      <c r="E239" s="16">
        <v>36</v>
      </c>
      <c r="F239" s="17" t="s">
        <v>8</v>
      </c>
      <c r="G239" s="17" t="s">
        <v>11</v>
      </c>
      <c r="H239" s="3" t="s">
        <v>779</v>
      </c>
      <c r="I239" s="5" t="s">
        <v>437</v>
      </c>
      <c r="J239" s="16">
        <f>_xlfn.XLOOKUP(CustomerCombinedCleaned[[#This Row],[ID]], Table4[ID], Table4[Recency], "Not Found", 0)</f>
        <v>68</v>
      </c>
      <c r="K239" s="16">
        <f>_xlfn.XLOOKUP(CustomerCombinedCleaned[[#This Row],[ID]], Table4[ID], Table4[Teas], "Not Found", 0)</f>
        <v>74</v>
      </c>
      <c r="L239" s="16">
        <f>_xlfn.XLOOKUP(CustomerCombinedCleaned[[#This Row],[ID]], Table4[ID], Table4[Fruits], "Not Found", 0)</f>
        <v>7</v>
      </c>
      <c r="M239" s="16">
        <f>_xlfn.XLOOKUP(CustomerCombinedCleaned[[#This Row],[ID]], Table4[ID], Table4[Meats], "Not Found", 0)</f>
        <v>33</v>
      </c>
      <c r="N239" s="16">
        <f>_xlfn.XLOOKUP(CustomerCombinedCleaned[[#This Row],[ID]], Table4[ID], Table4[Seafood], "Not Found", 0)</f>
        <v>15</v>
      </c>
      <c r="O239" s="16">
        <f>_xlfn.XLOOKUP(CustomerCombinedCleaned[[#This Row],[ID]], Table4[ID], Table4[Sweets], "Not Found", 0)</f>
        <v>22</v>
      </c>
      <c r="P239" s="16">
        <f>_xlfn.XLOOKUP(CustomerCombinedCleaned[[#This Row],[ID]], Table4[ID], Table4[Premium], "Not Found", 0)</f>
        <v>74</v>
      </c>
      <c r="Q239" s="16">
        <f>_xlfn.XLOOKUP(CustomerCombinedCleaned[[#This Row],[ID]], Table4[ID], Table4[Regular], "Not Found", 0)</f>
        <v>77</v>
      </c>
      <c r="R239" s="16">
        <f>_xlfn.XLOOKUP(CustomerCombinedCleaned[[#This Row],[ID]], Table4[ID], Table4[Deals], "Not Found", 0)</f>
        <v>1</v>
      </c>
      <c r="S239" s="16">
        <f>_xlfn.XLOOKUP(CustomerCombinedCleaned[[#This Row],[ID]], Table4[ID], Table4[Website], "Not Found", 0)</f>
        <v>1</v>
      </c>
      <c r="T239" s="16">
        <f>_xlfn.XLOOKUP(CustomerCombinedCleaned[[#This Row],[ID]], Table4[ID], Table4[Catalog], "Not Found", 0)</f>
        <v>1</v>
      </c>
      <c r="U239" s="16">
        <f>_xlfn.XLOOKUP(CustomerCombinedCleaned[[#This Row],[ID]], Table4[ID], Table4[Store], "Not Found", 0)</f>
        <v>2</v>
      </c>
      <c r="V239" s="16">
        <f>_xlfn.XLOOKUP(CustomerCombinedCleaned[[#This Row],[ID]], Table4[ID], Table4[Visits], "Not Found", 0)</f>
        <v>4</v>
      </c>
      <c r="W239" s="16">
        <f>_xlfn.XLOOKUP(CustomerCombinedCleaned[[#This Row],[ID]], Table2[ID],Table2[Complaint], "Not Found", 0 )</f>
        <v>0</v>
      </c>
      <c r="X239" s="16">
        <f>_xlfn.XLOOKUP(CustomerCombinedCleaned[[#This Row],[ID]], Table2[ID],Table2[Pilot], "Not Found", 0 )</f>
        <v>0</v>
      </c>
      <c r="Y239" s="16">
        <f>_xlfn.XLOOKUP(CustomerCombinedCleaned[[#This Row],[ID]], Table2[ID],Table2[MC1], "Not Found", 0 )</f>
        <v>0</v>
      </c>
      <c r="Z239" s="16">
        <f>_xlfn.XLOOKUP(CustomerCombinedCleaned[[#This Row],[ID]], Table2[ID],Table2[MC2], "Not Found", 0 )</f>
        <v>0</v>
      </c>
      <c r="AA239" s="16">
        <f>_xlfn.XLOOKUP(CustomerCombinedCleaned[[#This Row],[ID]], Table2[ID],Table2[MC3], "Not Found", 0 )</f>
        <v>0</v>
      </c>
      <c r="AB239" s="16">
        <f>_xlfn.XLOOKUP(CustomerCombinedCleaned[[#This Row],[ID]], Table2[ID],Table2[MC4], "Not Found", 0 )</f>
        <v>0</v>
      </c>
      <c r="AC239" s="16">
        <f>_xlfn.XLOOKUP(CustomerCombinedCleaned[[#This Row],[ID]], Table2[ID],Table2[MC5], "Not Found", 0 )</f>
        <v>0</v>
      </c>
    </row>
    <row r="240" spans="1:29" x14ac:dyDescent="0.3">
      <c r="A240" s="18">
        <v>2573</v>
      </c>
      <c r="B240" s="16">
        <v>136108</v>
      </c>
      <c r="C240" s="16">
        <v>1</v>
      </c>
      <c r="D240" s="16">
        <v>0</v>
      </c>
      <c r="E240" s="16">
        <v>36</v>
      </c>
      <c r="F240" s="17" t="s">
        <v>7</v>
      </c>
      <c r="G240" s="17" t="s">
        <v>11</v>
      </c>
      <c r="H240" s="3" t="s">
        <v>167</v>
      </c>
      <c r="I240" s="5" t="s">
        <v>434</v>
      </c>
      <c r="J240" s="16">
        <f>_xlfn.XLOOKUP(CustomerCombinedCleaned[[#This Row],[ID]], Table4[ID], Table4[Recency], "Not Found", 0)</f>
        <v>68</v>
      </c>
      <c r="K240" s="16">
        <f>_xlfn.XLOOKUP(CustomerCombinedCleaned[[#This Row],[ID]], Table4[ID], Table4[Teas], "Not Found", 0)</f>
        <v>531</v>
      </c>
      <c r="L240" s="16">
        <f>_xlfn.XLOOKUP(CustomerCombinedCleaned[[#This Row],[ID]], Table4[ID], Table4[Fruits], "Not Found", 0)</f>
        <v>30</v>
      </c>
      <c r="M240" s="16">
        <f>_xlfn.XLOOKUP(CustomerCombinedCleaned[[#This Row],[ID]], Table4[ID], Table4[Meats], "Not Found", 0)</f>
        <v>486</v>
      </c>
      <c r="N240" s="16">
        <f>_xlfn.XLOOKUP(CustomerCombinedCleaned[[#This Row],[ID]], Table4[ID], Table4[Seafood], "Not Found", 0)</f>
        <v>11</v>
      </c>
      <c r="O240" s="16">
        <f>_xlfn.XLOOKUP(CustomerCombinedCleaned[[#This Row],[ID]], Table4[ID], Table4[Sweets], "Not Found", 0)</f>
        <v>41</v>
      </c>
      <c r="P240" s="16">
        <f>_xlfn.XLOOKUP(CustomerCombinedCleaned[[#This Row],[ID]], Table4[ID], Table4[Premium], "Not Found", 0)</f>
        <v>177</v>
      </c>
      <c r="Q240" s="16">
        <f>_xlfn.XLOOKUP(CustomerCombinedCleaned[[#This Row],[ID]], Table4[ID], Table4[Regular], "Not Found", 0)</f>
        <v>924</v>
      </c>
      <c r="R240" s="16">
        <f>_xlfn.XLOOKUP(CustomerCombinedCleaned[[#This Row],[ID]], Table4[ID], Table4[Deals], "Not Found", 0)</f>
        <v>3</v>
      </c>
      <c r="S240" s="16">
        <f>_xlfn.XLOOKUP(CustomerCombinedCleaned[[#This Row],[ID]], Table4[ID], Table4[Website], "Not Found", 0)</f>
        <v>7</v>
      </c>
      <c r="T240" s="16">
        <f>_xlfn.XLOOKUP(CustomerCombinedCleaned[[#This Row],[ID]], Table4[ID], Table4[Catalog], "Not Found", 0)</f>
        <v>1</v>
      </c>
      <c r="U240" s="16">
        <f>_xlfn.XLOOKUP(CustomerCombinedCleaned[[#This Row],[ID]], Table4[ID], Table4[Store], "Not Found", 0)</f>
        <v>4</v>
      </c>
      <c r="V240" s="16">
        <f>_xlfn.XLOOKUP(CustomerCombinedCleaned[[#This Row],[ID]], Table4[ID], Table4[Visits], "Not Found", 0)</f>
        <v>9</v>
      </c>
      <c r="W240" s="16">
        <f>_xlfn.XLOOKUP(CustomerCombinedCleaned[[#This Row],[ID]], Table2[ID],Table2[Complaint], "Not Found", 0 )</f>
        <v>0</v>
      </c>
      <c r="X240" s="16">
        <f>_xlfn.XLOOKUP(CustomerCombinedCleaned[[#This Row],[ID]], Table2[ID],Table2[Pilot], "Not Found", 0 )</f>
        <v>0</v>
      </c>
      <c r="Y240" s="16">
        <f>_xlfn.XLOOKUP(CustomerCombinedCleaned[[#This Row],[ID]], Table2[ID],Table2[MC1], "Not Found", 0 )</f>
        <v>0</v>
      </c>
      <c r="Z240" s="16">
        <f>_xlfn.XLOOKUP(CustomerCombinedCleaned[[#This Row],[ID]], Table2[ID],Table2[MC2], "Not Found", 0 )</f>
        <v>0</v>
      </c>
      <c r="AA240" s="16">
        <f>_xlfn.XLOOKUP(CustomerCombinedCleaned[[#This Row],[ID]], Table2[ID],Table2[MC3], "Not Found", 0 )</f>
        <v>1</v>
      </c>
      <c r="AB240" s="16">
        <f>_xlfn.XLOOKUP(CustomerCombinedCleaned[[#This Row],[ID]], Table2[ID],Table2[MC4], "Not Found", 0 )</f>
        <v>0</v>
      </c>
      <c r="AC240" s="16">
        <f>_xlfn.XLOOKUP(CustomerCombinedCleaned[[#This Row],[ID]], Table2[ID],Table2[MC5], "Not Found", 0 )</f>
        <v>0</v>
      </c>
    </row>
    <row r="241" spans="1:29" x14ac:dyDescent="0.3">
      <c r="A241" s="18">
        <v>1354</v>
      </c>
      <c r="B241" s="16">
        <v>135684</v>
      </c>
      <c r="C241" s="16">
        <v>1</v>
      </c>
      <c r="D241" s="16">
        <v>0</v>
      </c>
      <c r="E241" s="16">
        <v>36</v>
      </c>
      <c r="F241" s="17" t="s">
        <v>6</v>
      </c>
      <c r="G241" s="17" t="s">
        <v>11</v>
      </c>
      <c r="H241" s="3" t="s">
        <v>60</v>
      </c>
      <c r="I241" s="5" t="s">
        <v>439</v>
      </c>
      <c r="J241" s="16">
        <f>_xlfn.XLOOKUP(CustomerCombinedCleaned[[#This Row],[ID]], Table4[ID], Table4[Recency], "Not Found", 0)</f>
        <v>66</v>
      </c>
      <c r="K241" s="16">
        <f>_xlfn.XLOOKUP(CustomerCombinedCleaned[[#This Row],[ID]], Table4[ID], Table4[Teas], "Not Found", 0)</f>
        <v>38</v>
      </c>
      <c r="L241" s="16">
        <f>_xlfn.XLOOKUP(CustomerCombinedCleaned[[#This Row],[ID]], Table4[ID], Table4[Fruits], "Not Found", 0)</f>
        <v>15</v>
      </c>
      <c r="M241" s="16">
        <f>_xlfn.XLOOKUP(CustomerCombinedCleaned[[#This Row],[ID]], Table4[ID], Table4[Meats], "Not Found", 0)</f>
        <v>27</v>
      </c>
      <c r="N241" s="16">
        <f>_xlfn.XLOOKUP(CustomerCombinedCleaned[[#This Row],[ID]], Table4[ID], Table4[Seafood], "Not Found", 0)</f>
        <v>0</v>
      </c>
      <c r="O241" s="16">
        <f>_xlfn.XLOOKUP(CustomerCombinedCleaned[[#This Row],[ID]], Table4[ID], Table4[Sweets], "Not Found", 0)</f>
        <v>23</v>
      </c>
      <c r="P241" s="16">
        <f>_xlfn.XLOOKUP(CustomerCombinedCleaned[[#This Row],[ID]], Table4[ID], Table4[Premium], "Not Found", 0)</f>
        <v>11</v>
      </c>
      <c r="Q241" s="16">
        <f>_xlfn.XLOOKUP(CustomerCombinedCleaned[[#This Row],[ID]], Table4[ID], Table4[Regular], "Not Found", 0)</f>
        <v>91</v>
      </c>
      <c r="R241" s="16">
        <f>_xlfn.XLOOKUP(CustomerCombinedCleaned[[#This Row],[ID]], Table4[ID], Table4[Deals], "Not Found", 0)</f>
        <v>1</v>
      </c>
      <c r="S241" s="16">
        <f>_xlfn.XLOOKUP(CustomerCombinedCleaned[[#This Row],[ID]], Table4[ID], Table4[Website], "Not Found", 0)</f>
        <v>1</v>
      </c>
      <c r="T241" s="16">
        <f>_xlfn.XLOOKUP(CustomerCombinedCleaned[[#This Row],[ID]], Table4[ID], Table4[Catalog], "Not Found", 0)</f>
        <v>0</v>
      </c>
      <c r="U241" s="16">
        <f>_xlfn.XLOOKUP(CustomerCombinedCleaned[[#This Row],[ID]], Table4[ID], Table4[Store], "Not Found", 0)</f>
        <v>3</v>
      </c>
      <c r="V241" s="16">
        <f>_xlfn.XLOOKUP(CustomerCombinedCleaned[[#This Row],[ID]], Table4[ID], Table4[Visits], "Not Found", 0)</f>
        <v>6</v>
      </c>
      <c r="W241" s="16">
        <f>_xlfn.XLOOKUP(CustomerCombinedCleaned[[#This Row],[ID]], Table2[ID],Table2[Complaint], "Not Found", 0 )</f>
        <v>0</v>
      </c>
      <c r="X241" s="16">
        <f>_xlfn.XLOOKUP(CustomerCombinedCleaned[[#This Row],[ID]], Table2[ID],Table2[Pilot], "Not Found", 0 )</f>
        <v>0</v>
      </c>
      <c r="Y241" s="16">
        <f>_xlfn.XLOOKUP(CustomerCombinedCleaned[[#This Row],[ID]], Table2[ID],Table2[MC1], "Not Found", 0 )</f>
        <v>0</v>
      </c>
      <c r="Z241" s="16">
        <f>_xlfn.XLOOKUP(CustomerCombinedCleaned[[#This Row],[ID]], Table2[ID],Table2[MC2], "Not Found", 0 )</f>
        <v>0</v>
      </c>
      <c r="AA241" s="16">
        <f>_xlfn.XLOOKUP(CustomerCombinedCleaned[[#This Row],[ID]], Table2[ID],Table2[MC3], "Not Found", 0 )</f>
        <v>0</v>
      </c>
      <c r="AB241" s="16">
        <f>_xlfn.XLOOKUP(CustomerCombinedCleaned[[#This Row],[ID]], Table2[ID],Table2[MC4], "Not Found", 0 )</f>
        <v>0</v>
      </c>
      <c r="AC241" s="16">
        <f>_xlfn.XLOOKUP(CustomerCombinedCleaned[[#This Row],[ID]], Table2[ID],Table2[MC5], "Not Found", 0 )</f>
        <v>0</v>
      </c>
    </row>
    <row r="242" spans="1:29" x14ac:dyDescent="0.3">
      <c r="A242" s="18">
        <v>2029</v>
      </c>
      <c r="B242" s="16">
        <v>135196</v>
      </c>
      <c r="C242" s="16">
        <v>1</v>
      </c>
      <c r="D242" s="16">
        <v>0</v>
      </c>
      <c r="E242" s="16">
        <v>36</v>
      </c>
      <c r="F242" s="17" t="s">
        <v>8</v>
      </c>
      <c r="G242" s="17" t="s">
        <v>11</v>
      </c>
      <c r="H242" s="3" t="s">
        <v>362</v>
      </c>
      <c r="I242" s="5" t="s">
        <v>437</v>
      </c>
      <c r="J242" s="16">
        <f>_xlfn.XLOOKUP(CustomerCombinedCleaned[[#This Row],[ID]], Table4[ID], Table4[Recency], "Not Found", 0)</f>
        <v>68</v>
      </c>
      <c r="K242" s="16">
        <f>_xlfn.XLOOKUP(CustomerCombinedCleaned[[#This Row],[ID]], Table4[ID], Table4[Teas], "Not Found", 0)</f>
        <v>288</v>
      </c>
      <c r="L242" s="16">
        <f>_xlfn.XLOOKUP(CustomerCombinedCleaned[[#This Row],[ID]], Table4[ID], Table4[Fruits], "Not Found", 0)</f>
        <v>46</v>
      </c>
      <c r="M242" s="16">
        <f>_xlfn.XLOOKUP(CustomerCombinedCleaned[[#This Row],[ID]], Table4[ID], Table4[Meats], "Not Found", 0)</f>
        <v>542</v>
      </c>
      <c r="N242" s="16">
        <f>_xlfn.XLOOKUP(CustomerCombinedCleaned[[#This Row],[ID]], Table4[ID], Table4[Seafood], "Not Found", 0)</f>
        <v>165</v>
      </c>
      <c r="O242" s="16">
        <f>_xlfn.XLOOKUP(CustomerCombinedCleaned[[#This Row],[ID]], Table4[ID], Table4[Sweets], "Not Found", 0)</f>
        <v>150</v>
      </c>
      <c r="P242" s="16">
        <f>_xlfn.XLOOKUP(CustomerCombinedCleaned[[#This Row],[ID]], Table4[ID], Table4[Premium], "Not Found", 0)</f>
        <v>718</v>
      </c>
      <c r="Q242" s="16">
        <f>_xlfn.XLOOKUP(CustomerCombinedCleaned[[#This Row],[ID]], Table4[ID], Table4[Regular], "Not Found", 0)</f>
        <v>472</v>
      </c>
      <c r="R242" s="16">
        <f>_xlfn.XLOOKUP(CustomerCombinedCleaned[[#This Row],[ID]], Table4[ID], Table4[Deals], "Not Found", 0)</f>
        <v>6</v>
      </c>
      <c r="S242" s="16">
        <f>_xlfn.XLOOKUP(CustomerCombinedCleaned[[#This Row],[ID]], Table4[ID], Table4[Website], "Not Found", 0)</f>
        <v>6</v>
      </c>
      <c r="T242" s="16">
        <f>_xlfn.XLOOKUP(CustomerCombinedCleaned[[#This Row],[ID]], Table4[ID], Table4[Catalog], "Not Found", 0)</f>
        <v>1</v>
      </c>
      <c r="U242" s="16">
        <f>_xlfn.XLOOKUP(CustomerCombinedCleaned[[#This Row],[ID]], Table4[ID], Table4[Store], "Not Found", 0)</f>
        <v>5</v>
      </c>
      <c r="V242" s="16">
        <f>_xlfn.XLOOKUP(CustomerCombinedCleaned[[#This Row],[ID]], Table4[ID], Table4[Visits], "Not Found", 0)</f>
        <v>8</v>
      </c>
      <c r="W242" s="16">
        <f>_xlfn.XLOOKUP(CustomerCombinedCleaned[[#This Row],[ID]], Table2[ID],Table2[Complaint], "Not Found", 0 )</f>
        <v>0</v>
      </c>
      <c r="X242" s="16">
        <f>_xlfn.XLOOKUP(CustomerCombinedCleaned[[#This Row],[ID]], Table2[ID],Table2[Pilot], "Not Found", 0 )</f>
        <v>1</v>
      </c>
      <c r="Y242" s="16">
        <f>_xlfn.XLOOKUP(CustomerCombinedCleaned[[#This Row],[ID]], Table2[ID],Table2[MC1], "Not Found", 0 )</f>
        <v>0</v>
      </c>
      <c r="Z242" s="16">
        <f>_xlfn.XLOOKUP(CustomerCombinedCleaned[[#This Row],[ID]], Table2[ID],Table2[MC2], "Not Found", 0 )</f>
        <v>0</v>
      </c>
      <c r="AA242" s="16">
        <f>_xlfn.XLOOKUP(CustomerCombinedCleaned[[#This Row],[ID]], Table2[ID],Table2[MC3], "Not Found", 0 )</f>
        <v>0</v>
      </c>
      <c r="AB242" s="16">
        <f>_xlfn.XLOOKUP(CustomerCombinedCleaned[[#This Row],[ID]], Table2[ID],Table2[MC4], "Not Found", 0 )</f>
        <v>0</v>
      </c>
      <c r="AC242" s="16">
        <f>_xlfn.XLOOKUP(CustomerCombinedCleaned[[#This Row],[ID]], Table2[ID],Table2[MC5], "Not Found", 0 )</f>
        <v>0</v>
      </c>
    </row>
    <row r="243" spans="1:29" x14ac:dyDescent="0.3">
      <c r="A243" s="18">
        <v>2690</v>
      </c>
      <c r="B243" s="16">
        <v>135196</v>
      </c>
      <c r="C243" s="16">
        <v>1</v>
      </c>
      <c r="D243" s="16">
        <v>0</v>
      </c>
      <c r="E243" s="16">
        <v>36</v>
      </c>
      <c r="F243" s="17" t="s">
        <v>8</v>
      </c>
      <c r="G243" s="17" t="s">
        <v>11</v>
      </c>
      <c r="H243" s="3" t="s">
        <v>362</v>
      </c>
      <c r="I243" s="5" t="s">
        <v>438</v>
      </c>
      <c r="J243" s="16">
        <f>_xlfn.XLOOKUP(CustomerCombinedCleaned[[#This Row],[ID]], Table4[ID], Table4[Recency], "Not Found", 0)</f>
        <v>68</v>
      </c>
      <c r="K243" s="16">
        <f>_xlfn.XLOOKUP(CustomerCombinedCleaned[[#This Row],[ID]], Table4[ID], Table4[Teas], "Not Found", 0)</f>
        <v>288</v>
      </c>
      <c r="L243" s="16">
        <f>_xlfn.XLOOKUP(CustomerCombinedCleaned[[#This Row],[ID]], Table4[ID], Table4[Fruits], "Not Found", 0)</f>
        <v>46</v>
      </c>
      <c r="M243" s="16">
        <f>_xlfn.XLOOKUP(CustomerCombinedCleaned[[#This Row],[ID]], Table4[ID], Table4[Meats], "Not Found", 0)</f>
        <v>542</v>
      </c>
      <c r="N243" s="16">
        <f>_xlfn.XLOOKUP(CustomerCombinedCleaned[[#This Row],[ID]], Table4[ID], Table4[Seafood], "Not Found", 0)</f>
        <v>165</v>
      </c>
      <c r="O243" s="16">
        <f>_xlfn.XLOOKUP(CustomerCombinedCleaned[[#This Row],[ID]], Table4[ID], Table4[Sweets], "Not Found", 0)</f>
        <v>150</v>
      </c>
      <c r="P243" s="16">
        <f>_xlfn.XLOOKUP(CustomerCombinedCleaned[[#This Row],[ID]], Table4[ID], Table4[Premium], "Not Found", 0)</f>
        <v>718</v>
      </c>
      <c r="Q243" s="16">
        <f>_xlfn.XLOOKUP(CustomerCombinedCleaned[[#This Row],[ID]], Table4[ID], Table4[Regular], "Not Found", 0)</f>
        <v>472</v>
      </c>
      <c r="R243" s="16">
        <f>_xlfn.XLOOKUP(CustomerCombinedCleaned[[#This Row],[ID]], Table4[ID], Table4[Deals], "Not Found", 0)</f>
        <v>6</v>
      </c>
      <c r="S243" s="16">
        <f>_xlfn.XLOOKUP(CustomerCombinedCleaned[[#This Row],[ID]], Table4[ID], Table4[Website], "Not Found", 0)</f>
        <v>6</v>
      </c>
      <c r="T243" s="16">
        <f>_xlfn.XLOOKUP(CustomerCombinedCleaned[[#This Row],[ID]], Table4[ID], Table4[Catalog], "Not Found", 0)</f>
        <v>1</v>
      </c>
      <c r="U243" s="16">
        <f>_xlfn.XLOOKUP(CustomerCombinedCleaned[[#This Row],[ID]], Table4[ID], Table4[Store], "Not Found", 0)</f>
        <v>5</v>
      </c>
      <c r="V243" s="16">
        <f>_xlfn.XLOOKUP(CustomerCombinedCleaned[[#This Row],[ID]], Table4[ID], Table4[Visits], "Not Found", 0)</f>
        <v>8</v>
      </c>
      <c r="W243" s="16">
        <f>_xlfn.XLOOKUP(CustomerCombinedCleaned[[#This Row],[ID]], Table2[ID],Table2[Complaint], "Not Found", 0 )</f>
        <v>0</v>
      </c>
      <c r="X243" s="16">
        <f>_xlfn.XLOOKUP(CustomerCombinedCleaned[[#This Row],[ID]], Table2[ID],Table2[Pilot], "Not Found", 0 )</f>
        <v>0</v>
      </c>
      <c r="Y243" s="16">
        <f>_xlfn.XLOOKUP(CustomerCombinedCleaned[[#This Row],[ID]], Table2[ID],Table2[MC1], "Not Found", 0 )</f>
        <v>0</v>
      </c>
      <c r="Z243" s="16">
        <f>_xlfn.XLOOKUP(CustomerCombinedCleaned[[#This Row],[ID]], Table2[ID],Table2[MC2], "Not Found", 0 )</f>
        <v>0</v>
      </c>
      <c r="AA243" s="16">
        <f>_xlfn.XLOOKUP(CustomerCombinedCleaned[[#This Row],[ID]], Table2[ID],Table2[MC3], "Not Found", 0 )</f>
        <v>0</v>
      </c>
      <c r="AB243" s="16">
        <f>_xlfn.XLOOKUP(CustomerCombinedCleaned[[#This Row],[ID]], Table2[ID],Table2[MC4], "Not Found", 0 )</f>
        <v>0</v>
      </c>
      <c r="AC243" s="16">
        <f>_xlfn.XLOOKUP(CustomerCombinedCleaned[[#This Row],[ID]], Table2[ID],Table2[MC5], "Not Found", 0 )</f>
        <v>0</v>
      </c>
    </row>
    <row r="244" spans="1:29" x14ac:dyDescent="0.3">
      <c r="A244" s="18">
        <v>2842</v>
      </c>
      <c r="B244" s="16">
        <v>134738</v>
      </c>
      <c r="C244" s="16">
        <v>1</v>
      </c>
      <c r="D244" s="16">
        <v>0</v>
      </c>
      <c r="E244" s="16">
        <v>36</v>
      </c>
      <c r="F244" s="17" t="s">
        <v>7</v>
      </c>
      <c r="G244" s="17" t="s">
        <v>11</v>
      </c>
      <c r="H244" s="3" t="s">
        <v>53</v>
      </c>
      <c r="I244" s="5" t="s">
        <v>439</v>
      </c>
      <c r="J244" s="16">
        <f>_xlfn.XLOOKUP(CustomerCombinedCleaned[[#This Row],[ID]], Table4[ID], Table4[Recency], "Not Found", 0)</f>
        <v>51</v>
      </c>
      <c r="K244" s="16">
        <f>_xlfn.XLOOKUP(CustomerCombinedCleaned[[#This Row],[ID]], Table4[ID], Table4[Teas], "Not Found", 0)</f>
        <v>12</v>
      </c>
      <c r="L244" s="16">
        <f>_xlfn.XLOOKUP(CustomerCombinedCleaned[[#This Row],[ID]], Table4[ID], Table4[Fruits], "Not Found", 0)</f>
        <v>8</v>
      </c>
      <c r="M244" s="16">
        <f>_xlfn.XLOOKUP(CustomerCombinedCleaned[[#This Row],[ID]], Table4[ID], Table4[Meats], "Not Found", 0)</f>
        <v>39</v>
      </c>
      <c r="N244" s="16">
        <f>_xlfn.XLOOKUP(CustomerCombinedCleaned[[#This Row],[ID]], Table4[ID], Table4[Seafood], "Not Found", 0)</f>
        <v>12</v>
      </c>
      <c r="O244" s="16">
        <f>_xlfn.XLOOKUP(CustomerCombinedCleaned[[#This Row],[ID]], Table4[ID], Table4[Sweets], "Not Found", 0)</f>
        <v>0</v>
      </c>
      <c r="P244" s="16">
        <f>_xlfn.XLOOKUP(CustomerCombinedCleaned[[#This Row],[ID]], Table4[ID], Table4[Premium], "Not Found", 0)</f>
        <v>8</v>
      </c>
      <c r="Q244" s="16">
        <f>_xlfn.XLOOKUP(CustomerCombinedCleaned[[#This Row],[ID]], Table4[ID], Table4[Regular], "Not Found", 0)</f>
        <v>62</v>
      </c>
      <c r="R244" s="16">
        <f>_xlfn.XLOOKUP(CustomerCombinedCleaned[[#This Row],[ID]], Table4[ID], Table4[Deals], "Not Found", 0)</f>
        <v>1</v>
      </c>
      <c r="S244" s="16">
        <f>_xlfn.XLOOKUP(CustomerCombinedCleaned[[#This Row],[ID]], Table4[ID], Table4[Website], "Not Found", 0)</f>
        <v>1</v>
      </c>
      <c r="T244" s="16">
        <f>_xlfn.XLOOKUP(CustomerCombinedCleaned[[#This Row],[ID]], Table4[ID], Table4[Catalog], "Not Found", 0)</f>
        <v>0</v>
      </c>
      <c r="U244" s="16">
        <f>_xlfn.XLOOKUP(CustomerCombinedCleaned[[#This Row],[ID]], Table4[ID], Table4[Store], "Not Found", 0)</f>
        <v>3</v>
      </c>
      <c r="V244" s="16">
        <f>_xlfn.XLOOKUP(CustomerCombinedCleaned[[#This Row],[ID]], Table4[ID], Table4[Visits], "Not Found", 0)</f>
        <v>6</v>
      </c>
      <c r="W244" s="16">
        <f>_xlfn.XLOOKUP(CustomerCombinedCleaned[[#This Row],[ID]], Table2[ID],Table2[Complaint], "Not Found", 0 )</f>
        <v>0</v>
      </c>
      <c r="X244" s="16">
        <f>_xlfn.XLOOKUP(CustomerCombinedCleaned[[#This Row],[ID]], Table2[ID],Table2[Pilot], "Not Found", 0 )</f>
        <v>0</v>
      </c>
      <c r="Y244" s="16">
        <f>_xlfn.XLOOKUP(CustomerCombinedCleaned[[#This Row],[ID]], Table2[ID],Table2[MC1], "Not Found", 0 )</f>
        <v>0</v>
      </c>
      <c r="Z244" s="16">
        <f>_xlfn.XLOOKUP(CustomerCombinedCleaned[[#This Row],[ID]], Table2[ID],Table2[MC2], "Not Found", 0 )</f>
        <v>0</v>
      </c>
      <c r="AA244" s="16">
        <f>_xlfn.XLOOKUP(CustomerCombinedCleaned[[#This Row],[ID]], Table2[ID],Table2[MC3], "Not Found", 0 )</f>
        <v>0</v>
      </c>
      <c r="AB244" s="16">
        <f>_xlfn.XLOOKUP(CustomerCombinedCleaned[[#This Row],[ID]], Table2[ID],Table2[MC4], "Not Found", 0 )</f>
        <v>0</v>
      </c>
      <c r="AC244" s="16">
        <f>_xlfn.XLOOKUP(CustomerCombinedCleaned[[#This Row],[ID]], Table2[ID],Table2[MC5], "Not Found", 0 )</f>
        <v>0</v>
      </c>
    </row>
    <row r="245" spans="1:29" x14ac:dyDescent="0.3">
      <c r="A245" s="18">
        <v>1277</v>
      </c>
      <c r="B245" s="16">
        <v>132414</v>
      </c>
      <c r="C245" s="16">
        <v>0</v>
      </c>
      <c r="D245" s="16">
        <v>0</v>
      </c>
      <c r="E245" s="16">
        <v>36</v>
      </c>
      <c r="F245" s="17" t="s">
        <v>8</v>
      </c>
      <c r="G245" s="17" t="s">
        <v>11</v>
      </c>
      <c r="H245" s="3" t="s">
        <v>632</v>
      </c>
      <c r="I245" s="5" t="s">
        <v>434</v>
      </c>
      <c r="J245" s="16">
        <f>_xlfn.XLOOKUP(CustomerCombinedCleaned[[#This Row],[ID]], Table4[ID], Table4[Recency], "Not Found", 0)</f>
        <v>11</v>
      </c>
      <c r="K245" s="16">
        <f>_xlfn.XLOOKUP(CustomerCombinedCleaned[[#This Row],[ID]], Table4[ID], Table4[Teas], "Not Found", 0)</f>
        <v>82</v>
      </c>
      <c r="L245" s="16">
        <f>_xlfn.XLOOKUP(CustomerCombinedCleaned[[#This Row],[ID]], Table4[ID], Table4[Fruits], "Not Found", 0)</f>
        <v>25</v>
      </c>
      <c r="M245" s="16">
        <f>_xlfn.XLOOKUP(CustomerCombinedCleaned[[#This Row],[ID]], Table4[ID], Table4[Meats], "Not Found", 0)</f>
        <v>20</v>
      </c>
      <c r="N245" s="16">
        <f>_xlfn.XLOOKUP(CustomerCombinedCleaned[[#This Row],[ID]], Table4[ID], Table4[Seafood], "Not Found", 0)</f>
        <v>0</v>
      </c>
      <c r="O245" s="16">
        <f>_xlfn.XLOOKUP(CustomerCombinedCleaned[[#This Row],[ID]], Table4[ID], Table4[Sweets], "Not Found", 0)</f>
        <v>37</v>
      </c>
      <c r="P245" s="16">
        <f>_xlfn.XLOOKUP(CustomerCombinedCleaned[[#This Row],[ID]], Table4[ID], Table4[Premium], "Not Found", 0)</f>
        <v>49</v>
      </c>
      <c r="Q245" s="16">
        <f>_xlfn.XLOOKUP(CustomerCombinedCleaned[[#This Row],[ID]], Table4[ID], Table4[Regular], "Not Found", 0)</f>
        <v>114</v>
      </c>
      <c r="R245" s="16">
        <f>_xlfn.XLOOKUP(CustomerCombinedCleaned[[#This Row],[ID]], Table4[ID], Table4[Deals], "Not Found", 0)</f>
        <v>1</v>
      </c>
      <c r="S245" s="16">
        <f>_xlfn.XLOOKUP(CustomerCombinedCleaned[[#This Row],[ID]], Table4[ID], Table4[Website], "Not Found", 0)</f>
        <v>1</v>
      </c>
      <c r="T245" s="16">
        <f>_xlfn.XLOOKUP(CustomerCombinedCleaned[[#This Row],[ID]], Table4[ID], Table4[Catalog], "Not Found", 0)</f>
        <v>0</v>
      </c>
      <c r="U245" s="16">
        <f>_xlfn.XLOOKUP(CustomerCombinedCleaned[[#This Row],[ID]], Table4[ID], Table4[Store], "Not Found", 0)</f>
        <v>3</v>
      </c>
      <c r="V245" s="16">
        <f>_xlfn.XLOOKUP(CustomerCombinedCleaned[[#This Row],[ID]], Table4[ID], Table4[Visits], "Not Found", 0)</f>
        <v>7</v>
      </c>
      <c r="W245" s="16">
        <f>_xlfn.XLOOKUP(CustomerCombinedCleaned[[#This Row],[ID]], Table2[ID],Table2[Complaint], "Not Found", 0 )</f>
        <v>0</v>
      </c>
      <c r="X245" s="16">
        <f>_xlfn.XLOOKUP(CustomerCombinedCleaned[[#This Row],[ID]], Table2[ID],Table2[Pilot], "Not Found", 0 )</f>
        <v>0</v>
      </c>
      <c r="Y245" s="16">
        <f>_xlfn.XLOOKUP(CustomerCombinedCleaned[[#This Row],[ID]], Table2[ID],Table2[MC1], "Not Found", 0 )</f>
        <v>0</v>
      </c>
      <c r="Z245" s="16">
        <f>_xlfn.XLOOKUP(CustomerCombinedCleaned[[#This Row],[ID]], Table2[ID],Table2[MC2], "Not Found", 0 )</f>
        <v>0</v>
      </c>
      <c r="AA245" s="16">
        <f>_xlfn.XLOOKUP(CustomerCombinedCleaned[[#This Row],[ID]], Table2[ID],Table2[MC3], "Not Found", 0 )</f>
        <v>1</v>
      </c>
      <c r="AB245" s="16">
        <f>_xlfn.XLOOKUP(CustomerCombinedCleaned[[#This Row],[ID]], Table2[ID],Table2[MC4], "Not Found", 0 )</f>
        <v>0</v>
      </c>
      <c r="AC245" s="16">
        <f>_xlfn.XLOOKUP(CustomerCombinedCleaned[[#This Row],[ID]], Table2[ID],Table2[MC5], "Not Found", 0 )</f>
        <v>0</v>
      </c>
    </row>
    <row r="246" spans="1:29" x14ac:dyDescent="0.3">
      <c r="A246" s="18">
        <v>3041</v>
      </c>
      <c r="B246" s="16">
        <v>131761</v>
      </c>
      <c r="C246" s="16">
        <v>1</v>
      </c>
      <c r="D246" s="16">
        <v>0</v>
      </c>
      <c r="E246" s="16">
        <v>36</v>
      </c>
      <c r="F246" s="17" t="s">
        <v>6</v>
      </c>
      <c r="G246" s="17" t="s">
        <v>11</v>
      </c>
      <c r="H246" s="3" t="s">
        <v>563</v>
      </c>
      <c r="I246" s="5" t="s">
        <v>434</v>
      </c>
      <c r="J246" s="16">
        <f>_xlfn.XLOOKUP(CustomerCombinedCleaned[[#This Row],[ID]], Table4[ID], Table4[Recency], "Not Found", 0)</f>
        <v>96</v>
      </c>
      <c r="K246" s="16">
        <f>_xlfn.XLOOKUP(CustomerCombinedCleaned[[#This Row],[ID]], Table4[ID], Table4[Teas], "Not Found", 0)</f>
        <v>79</v>
      </c>
      <c r="L246" s="16">
        <f>_xlfn.XLOOKUP(CustomerCombinedCleaned[[#This Row],[ID]], Table4[ID], Table4[Fruits], "Not Found", 0)</f>
        <v>4</v>
      </c>
      <c r="M246" s="16">
        <f>_xlfn.XLOOKUP(CustomerCombinedCleaned[[#This Row],[ID]], Table4[ID], Table4[Meats], "Not Found", 0)</f>
        <v>83</v>
      </c>
      <c r="N246" s="16">
        <f>_xlfn.XLOOKUP(CustomerCombinedCleaned[[#This Row],[ID]], Table4[ID], Table4[Seafood], "Not Found", 0)</f>
        <v>66</v>
      </c>
      <c r="O246" s="16">
        <f>_xlfn.XLOOKUP(CustomerCombinedCleaned[[#This Row],[ID]], Table4[ID], Table4[Sweets], "Not Found", 0)</f>
        <v>58</v>
      </c>
      <c r="P246" s="16">
        <f>_xlfn.XLOOKUP(CustomerCombinedCleaned[[#This Row],[ID]], Table4[ID], Table4[Premium], "Not Found", 0)</f>
        <v>116</v>
      </c>
      <c r="Q246" s="16">
        <f>_xlfn.XLOOKUP(CustomerCombinedCleaned[[#This Row],[ID]], Table4[ID], Table4[Regular], "Not Found", 0)</f>
        <v>174</v>
      </c>
      <c r="R246" s="16">
        <f>_xlfn.XLOOKUP(CustomerCombinedCleaned[[#This Row],[ID]], Table4[ID], Table4[Deals], "Not Found", 0)</f>
        <v>2</v>
      </c>
      <c r="S246" s="16">
        <f>_xlfn.XLOOKUP(CustomerCombinedCleaned[[#This Row],[ID]], Table4[ID], Table4[Website], "Not Found", 0)</f>
        <v>3</v>
      </c>
      <c r="T246" s="16">
        <f>_xlfn.XLOOKUP(CustomerCombinedCleaned[[#This Row],[ID]], Table4[ID], Table4[Catalog], "Not Found", 0)</f>
        <v>0</v>
      </c>
      <c r="U246" s="16">
        <f>_xlfn.XLOOKUP(CustomerCombinedCleaned[[#This Row],[ID]], Table4[ID], Table4[Store], "Not Found", 0)</f>
        <v>4</v>
      </c>
      <c r="V246" s="16">
        <f>_xlfn.XLOOKUP(CustomerCombinedCleaned[[#This Row],[ID]], Table4[ID], Table4[Visits], "Not Found", 0)</f>
        <v>5</v>
      </c>
      <c r="W246" s="16">
        <f>_xlfn.XLOOKUP(CustomerCombinedCleaned[[#This Row],[ID]], Table2[ID],Table2[Complaint], "Not Found", 0 )</f>
        <v>0</v>
      </c>
      <c r="X246" s="16">
        <f>_xlfn.XLOOKUP(CustomerCombinedCleaned[[#This Row],[ID]], Table2[ID],Table2[Pilot], "Not Found", 0 )</f>
        <v>0</v>
      </c>
      <c r="Y246" s="16">
        <f>_xlfn.XLOOKUP(CustomerCombinedCleaned[[#This Row],[ID]], Table2[ID],Table2[MC1], "Not Found", 0 )</f>
        <v>0</v>
      </c>
      <c r="Z246" s="16">
        <f>_xlfn.XLOOKUP(CustomerCombinedCleaned[[#This Row],[ID]], Table2[ID],Table2[MC2], "Not Found", 0 )</f>
        <v>0</v>
      </c>
      <c r="AA246" s="16">
        <f>_xlfn.XLOOKUP(CustomerCombinedCleaned[[#This Row],[ID]], Table2[ID],Table2[MC3], "Not Found", 0 )</f>
        <v>0</v>
      </c>
      <c r="AB246" s="16">
        <f>_xlfn.XLOOKUP(CustomerCombinedCleaned[[#This Row],[ID]], Table2[ID],Table2[MC4], "Not Found", 0 )</f>
        <v>0</v>
      </c>
      <c r="AC246" s="16">
        <f>_xlfn.XLOOKUP(CustomerCombinedCleaned[[#This Row],[ID]], Table2[ID],Table2[MC5], "Not Found", 0 )</f>
        <v>0</v>
      </c>
    </row>
    <row r="247" spans="1:29" x14ac:dyDescent="0.3">
      <c r="A247" s="18">
        <v>2954</v>
      </c>
      <c r="B247" s="16">
        <v>131385</v>
      </c>
      <c r="C247" s="16">
        <v>1</v>
      </c>
      <c r="D247" s="16">
        <v>0</v>
      </c>
      <c r="E247" s="16">
        <v>36</v>
      </c>
      <c r="F247" s="17" t="s">
        <v>7</v>
      </c>
      <c r="G247" s="17" t="s">
        <v>12</v>
      </c>
      <c r="H247" s="3" t="s">
        <v>686</v>
      </c>
      <c r="I247" s="5" t="s">
        <v>438</v>
      </c>
      <c r="J247" s="16">
        <f>_xlfn.XLOOKUP(CustomerCombinedCleaned[[#This Row],[ID]], Table4[ID], Table4[Recency], "Not Found", 0)</f>
        <v>56</v>
      </c>
      <c r="K247" s="16">
        <f>_xlfn.XLOOKUP(CustomerCombinedCleaned[[#This Row],[ID]], Table4[ID], Table4[Teas], "Not Found", 0)</f>
        <v>13</v>
      </c>
      <c r="L247" s="16">
        <f>_xlfn.XLOOKUP(CustomerCombinedCleaned[[#This Row],[ID]], Table4[ID], Table4[Fruits], "Not Found", 0)</f>
        <v>8</v>
      </c>
      <c r="M247" s="16">
        <f>_xlfn.XLOOKUP(CustomerCombinedCleaned[[#This Row],[ID]], Table4[ID], Table4[Meats], "Not Found", 0)</f>
        <v>50</v>
      </c>
      <c r="N247" s="16">
        <f>_xlfn.XLOOKUP(CustomerCombinedCleaned[[#This Row],[ID]], Table4[ID], Table4[Seafood], "Not Found", 0)</f>
        <v>0</v>
      </c>
      <c r="O247" s="16">
        <f>_xlfn.XLOOKUP(CustomerCombinedCleaned[[#This Row],[ID]], Table4[ID], Table4[Sweets], "Not Found", 0)</f>
        <v>4</v>
      </c>
      <c r="P247" s="16">
        <f>_xlfn.XLOOKUP(CustomerCombinedCleaned[[#This Row],[ID]], Table4[ID], Table4[Premium], "Not Found", 0)</f>
        <v>38</v>
      </c>
      <c r="Q247" s="16">
        <f>_xlfn.XLOOKUP(CustomerCombinedCleaned[[#This Row],[ID]], Table4[ID], Table4[Regular], "Not Found", 0)</f>
        <v>38</v>
      </c>
      <c r="R247" s="16">
        <f>_xlfn.XLOOKUP(CustomerCombinedCleaned[[#This Row],[ID]], Table4[ID], Table4[Deals], "Not Found", 0)</f>
        <v>1</v>
      </c>
      <c r="S247" s="16">
        <f>_xlfn.XLOOKUP(CustomerCombinedCleaned[[#This Row],[ID]], Table4[ID], Table4[Website], "Not Found", 0)</f>
        <v>1</v>
      </c>
      <c r="T247" s="16">
        <f>_xlfn.XLOOKUP(CustomerCombinedCleaned[[#This Row],[ID]], Table4[ID], Table4[Catalog], "Not Found", 0)</f>
        <v>0</v>
      </c>
      <c r="U247" s="16">
        <f>_xlfn.XLOOKUP(CustomerCombinedCleaned[[#This Row],[ID]], Table4[ID], Table4[Store], "Not Found", 0)</f>
        <v>2</v>
      </c>
      <c r="V247" s="16">
        <f>_xlfn.XLOOKUP(CustomerCombinedCleaned[[#This Row],[ID]], Table4[ID], Table4[Visits], "Not Found", 0)</f>
        <v>8</v>
      </c>
      <c r="W247" s="16">
        <f>_xlfn.XLOOKUP(CustomerCombinedCleaned[[#This Row],[ID]], Table2[ID],Table2[Complaint], "Not Found", 0 )</f>
        <v>0</v>
      </c>
      <c r="X247" s="16">
        <f>_xlfn.XLOOKUP(CustomerCombinedCleaned[[#This Row],[ID]], Table2[ID],Table2[Pilot], "Not Found", 0 )</f>
        <v>1</v>
      </c>
      <c r="Y247" s="16">
        <f>_xlfn.XLOOKUP(CustomerCombinedCleaned[[#This Row],[ID]], Table2[ID],Table2[MC1], "Not Found", 0 )</f>
        <v>0</v>
      </c>
      <c r="Z247" s="16">
        <f>_xlfn.XLOOKUP(CustomerCombinedCleaned[[#This Row],[ID]], Table2[ID],Table2[MC2], "Not Found", 0 )</f>
        <v>0</v>
      </c>
      <c r="AA247" s="16">
        <f>_xlfn.XLOOKUP(CustomerCombinedCleaned[[#This Row],[ID]], Table2[ID],Table2[MC3], "Not Found", 0 )</f>
        <v>1</v>
      </c>
      <c r="AB247" s="16">
        <f>_xlfn.XLOOKUP(CustomerCombinedCleaned[[#This Row],[ID]], Table2[ID],Table2[MC4], "Not Found", 0 )</f>
        <v>0</v>
      </c>
      <c r="AC247" s="16">
        <f>_xlfn.XLOOKUP(CustomerCombinedCleaned[[#This Row],[ID]], Table2[ID],Table2[MC5], "Not Found", 0 )</f>
        <v>0</v>
      </c>
    </row>
    <row r="248" spans="1:29" x14ac:dyDescent="0.3">
      <c r="A248" s="18">
        <v>1172</v>
      </c>
      <c r="B248" s="16">
        <v>130477</v>
      </c>
      <c r="C248" s="16">
        <v>1</v>
      </c>
      <c r="D248" s="16">
        <v>0</v>
      </c>
      <c r="E248" s="16">
        <v>36</v>
      </c>
      <c r="F248" s="17" t="s">
        <v>6</v>
      </c>
      <c r="G248" s="17" t="s">
        <v>12</v>
      </c>
      <c r="H248" s="3" t="s">
        <v>110</v>
      </c>
      <c r="I248" s="5" t="s">
        <v>438</v>
      </c>
      <c r="J248" s="16">
        <f>_xlfn.XLOOKUP(CustomerCombinedCleaned[[#This Row],[ID]], Table4[ID], Table4[Recency], "Not Found", 0)</f>
        <v>16</v>
      </c>
      <c r="K248" s="16">
        <f>_xlfn.XLOOKUP(CustomerCombinedCleaned[[#This Row],[ID]], Table4[ID], Table4[Teas], "Not Found", 0)</f>
        <v>201</v>
      </c>
      <c r="L248" s="16">
        <f>_xlfn.XLOOKUP(CustomerCombinedCleaned[[#This Row],[ID]], Table4[ID], Table4[Fruits], "Not Found", 0)</f>
        <v>4</v>
      </c>
      <c r="M248" s="16">
        <f>_xlfn.XLOOKUP(CustomerCombinedCleaned[[#This Row],[ID]], Table4[ID], Table4[Meats], "Not Found", 0)</f>
        <v>26</v>
      </c>
      <c r="N248" s="16">
        <f>_xlfn.XLOOKUP(CustomerCombinedCleaned[[#This Row],[ID]], Table4[ID], Table4[Seafood], "Not Found", 0)</f>
        <v>0</v>
      </c>
      <c r="O248" s="16">
        <f>_xlfn.XLOOKUP(CustomerCombinedCleaned[[#This Row],[ID]], Table4[ID], Table4[Sweets], "Not Found", 0)</f>
        <v>0</v>
      </c>
      <c r="P248" s="16">
        <f>_xlfn.XLOOKUP(CustomerCombinedCleaned[[#This Row],[ID]], Table4[ID], Table4[Premium], "Not Found", 0)</f>
        <v>51</v>
      </c>
      <c r="Q248" s="16">
        <f>_xlfn.XLOOKUP(CustomerCombinedCleaned[[#This Row],[ID]], Table4[ID], Table4[Regular], "Not Found", 0)</f>
        <v>180</v>
      </c>
      <c r="R248" s="16">
        <f>_xlfn.XLOOKUP(CustomerCombinedCleaned[[#This Row],[ID]], Table4[ID], Table4[Deals], "Not Found", 0)</f>
        <v>1</v>
      </c>
      <c r="S248" s="16">
        <f>_xlfn.XLOOKUP(CustomerCombinedCleaned[[#This Row],[ID]], Table4[ID], Table4[Website], "Not Found", 0)</f>
        <v>1</v>
      </c>
      <c r="T248" s="16">
        <f>_xlfn.XLOOKUP(CustomerCombinedCleaned[[#This Row],[ID]], Table4[ID], Table4[Catalog], "Not Found", 0)</f>
        <v>1</v>
      </c>
      <c r="U248" s="16">
        <f>_xlfn.XLOOKUP(CustomerCombinedCleaned[[#This Row],[ID]], Table4[ID], Table4[Store], "Not Found", 0)</f>
        <v>3</v>
      </c>
      <c r="V248" s="16">
        <f>_xlfn.XLOOKUP(CustomerCombinedCleaned[[#This Row],[ID]], Table4[ID], Table4[Visits], "Not Found", 0)</f>
        <v>6</v>
      </c>
      <c r="W248" s="16">
        <f>_xlfn.XLOOKUP(CustomerCombinedCleaned[[#This Row],[ID]], Table2[ID],Table2[Complaint], "Not Found", 0 )</f>
        <v>0</v>
      </c>
      <c r="X248" s="16">
        <f>_xlfn.XLOOKUP(CustomerCombinedCleaned[[#This Row],[ID]], Table2[ID],Table2[Pilot], "Not Found", 0 )</f>
        <v>0</v>
      </c>
      <c r="Y248" s="16">
        <f>_xlfn.XLOOKUP(CustomerCombinedCleaned[[#This Row],[ID]], Table2[ID],Table2[MC1], "Not Found", 0 )</f>
        <v>0</v>
      </c>
      <c r="Z248" s="16">
        <f>_xlfn.XLOOKUP(CustomerCombinedCleaned[[#This Row],[ID]], Table2[ID],Table2[MC2], "Not Found", 0 )</f>
        <v>0</v>
      </c>
      <c r="AA248" s="16">
        <f>_xlfn.XLOOKUP(CustomerCombinedCleaned[[#This Row],[ID]], Table2[ID],Table2[MC3], "Not Found", 0 )</f>
        <v>0</v>
      </c>
      <c r="AB248" s="16">
        <f>_xlfn.XLOOKUP(CustomerCombinedCleaned[[#This Row],[ID]], Table2[ID],Table2[MC4], "Not Found", 0 )</f>
        <v>0</v>
      </c>
      <c r="AC248" s="16">
        <f>_xlfn.XLOOKUP(CustomerCombinedCleaned[[#This Row],[ID]], Table2[ID],Table2[MC5], "Not Found", 0 )</f>
        <v>0</v>
      </c>
    </row>
    <row r="249" spans="1:29" x14ac:dyDescent="0.3">
      <c r="A249" s="18">
        <v>1312</v>
      </c>
      <c r="B249" s="16">
        <v>127255</v>
      </c>
      <c r="C249" s="16">
        <v>1</v>
      </c>
      <c r="D249" s="16">
        <v>0</v>
      </c>
      <c r="E249" s="16">
        <v>36</v>
      </c>
      <c r="F249" s="17" t="s">
        <v>6</v>
      </c>
      <c r="G249" s="17" t="s">
        <v>11</v>
      </c>
      <c r="H249" s="3" t="s">
        <v>156</v>
      </c>
      <c r="I249" s="5" t="s">
        <v>439</v>
      </c>
      <c r="J249" s="16">
        <f>_xlfn.XLOOKUP(CustomerCombinedCleaned[[#This Row],[ID]], Table4[ID], Table4[Recency], "Not Found", 0)</f>
        <v>3</v>
      </c>
      <c r="K249" s="16">
        <f>_xlfn.XLOOKUP(CustomerCombinedCleaned[[#This Row],[ID]], Table4[ID], Table4[Teas], "Not Found", 0)</f>
        <v>103</v>
      </c>
      <c r="L249" s="16">
        <f>_xlfn.XLOOKUP(CustomerCombinedCleaned[[#This Row],[ID]], Table4[ID], Table4[Fruits], "Not Found", 0)</f>
        <v>5</v>
      </c>
      <c r="M249" s="16">
        <f>_xlfn.XLOOKUP(CustomerCombinedCleaned[[#This Row],[ID]], Table4[ID], Table4[Meats], "Not Found", 0)</f>
        <v>51</v>
      </c>
      <c r="N249" s="16">
        <f>_xlfn.XLOOKUP(CustomerCombinedCleaned[[#This Row],[ID]], Table4[ID], Table4[Seafood], "Not Found", 0)</f>
        <v>0</v>
      </c>
      <c r="O249" s="16">
        <f>_xlfn.XLOOKUP(CustomerCombinedCleaned[[#This Row],[ID]], Table4[ID], Table4[Sweets], "Not Found", 0)</f>
        <v>5</v>
      </c>
      <c r="P249" s="16">
        <f>_xlfn.XLOOKUP(CustomerCombinedCleaned[[#This Row],[ID]], Table4[ID], Table4[Premium], "Not Found", 0)</f>
        <v>9</v>
      </c>
      <c r="Q249" s="16">
        <f>_xlfn.XLOOKUP(CustomerCombinedCleaned[[#This Row],[ID]], Table4[ID], Table4[Regular], "Not Found", 0)</f>
        <v>154</v>
      </c>
      <c r="R249" s="16">
        <f>_xlfn.XLOOKUP(CustomerCombinedCleaned[[#This Row],[ID]], Table4[ID], Table4[Deals], "Not Found", 0)</f>
        <v>1</v>
      </c>
      <c r="S249" s="16">
        <f>_xlfn.XLOOKUP(CustomerCombinedCleaned[[#This Row],[ID]], Table4[ID], Table4[Website], "Not Found", 0)</f>
        <v>1</v>
      </c>
      <c r="T249" s="16">
        <f>_xlfn.XLOOKUP(CustomerCombinedCleaned[[#This Row],[ID]], Table4[ID], Table4[Catalog], "Not Found", 0)</f>
        <v>0</v>
      </c>
      <c r="U249" s="16">
        <f>_xlfn.XLOOKUP(CustomerCombinedCleaned[[#This Row],[ID]], Table4[ID], Table4[Store], "Not Found", 0)</f>
        <v>3</v>
      </c>
      <c r="V249" s="16">
        <f>_xlfn.XLOOKUP(CustomerCombinedCleaned[[#This Row],[ID]], Table4[ID], Table4[Visits], "Not Found", 0)</f>
        <v>7</v>
      </c>
      <c r="W249" s="16">
        <f>_xlfn.XLOOKUP(CustomerCombinedCleaned[[#This Row],[ID]], Table2[ID],Table2[Complaint], "Not Found", 0 )</f>
        <v>0</v>
      </c>
      <c r="X249" s="16">
        <f>_xlfn.XLOOKUP(CustomerCombinedCleaned[[#This Row],[ID]], Table2[ID],Table2[Pilot], "Not Found", 0 )</f>
        <v>0</v>
      </c>
      <c r="Y249" s="16">
        <f>_xlfn.XLOOKUP(CustomerCombinedCleaned[[#This Row],[ID]], Table2[ID],Table2[MC1], "Not Found", 0 )</f>
        <v>0</v>
      </c>
      <c r="Z249" s="16">
        <f>_xlfn.XLOOKUP(CustomerCombinedCleaned[[#This Row],[ID]], Table2[ID],Table2[MC2], "Not Found", 0 )</f>
        <v>0</v>
      </c>
      <c r="AA249" s="16">
        <f>_xlfn.XLOOKUP(CustomerCombinedCleaned[[#This Row],[ID]], Table2[ID],Table2[MC3], "Not Found", 0 )</f>
        <v>0</v>
      </c>
      <c r="AB249" s="16">
        <f>_xlfn.XLOOKUP(CustomerCombinedCleaned[[#This Row],[ID]], Table2[ID],Table2[MC4], "Not Found", 0 )</f>
        <v>0</v>
      </c>
      <c r="AC249" s="16">
        <f>_xlfn.XLOOKUP(CustomerCombinedCleaned[[#This Row],[ID]], Table2[ID],Table2[MC5], "Not Found", 0 )</f>
        <v>0</v>
      </c>
    </row>
    <row r="250" spans="1:29" x14ac:dyDescent="0.3">
      <c r="A250" s="18">
        <v>1004</v>
      </c>
      <c r="B250" s="16">
        <v>126646</v>
      </c>
      <c r="C250" s="16">
        <v>1</v>
      </c>
      <c r="D250" s="16">
        <v>0</v>
      </c>
      <c r="E250" s="16">
        <v>36</v>
      </c>
      <c r="F250" s="17" t="s">
        <v>8</v>
      </c>
      <c r="G250" s="17" t="s">
        <v>11</v>
      </c>
      <c r="H250" s="3" t="s">
        <v>103</v>
      </c>
      <c r="I250" s="5" t="s">
        <v>438</v>
      </c>
      <c r="J250" s="16">
        <f>_xlfn.XLOOKUP(CustomerCombinedCleaned[[#This Row],[ID]], Table4[ID], Table4[Recency], "Not Found", 0)</f>
        <v>26</v>
      </c>
      <c r="K250" s="16">
        <f>_xlfn.XLOOKUP(CustomerCombinedCleaned[[#This Row],[ID]], Table4[ID], Table4[Teas], "Not Found", 0)</f>
        <v>52</v>
      </c>
      <c r="L250" s="16">
        <f>_xlfn.XLOOKUP(CustomerCombinedCleaned[[#This Row],[ID]], Table4[ID], Table4[Fruits], "Not Found", 0)</f>
        <v>19</v>
      </c>
      <c r="M250" s="16">
        <f>_xlfn.XLOOKUP(CustomerCombinedCleaned[[#This Row],[ID]], Table4[ID], Table4[Meats], "Not Found", 0)</f>
        <v>95</v>
      </c>
      <c r="N250" s="16">
        <f>_xlfn.XLOOKUP(CustomerCombinedCleaned[[#This Row],[ID]], Table4[ID], Table4[Seafood], "Not Found", 0)</f>
        <v>48</v>
      </c>
      <c r="O250" s="16">
        <f>_xlfn.XLOOKUP(CustomerCombinedCleaned[[#This Row],[ID]], Table4[ID], Table4[Sweets], "Not Found", 0)</f>
        <v>14</v>
      </c>
      <c r="P250" s="16">
        <f>_xlfn.XLOOKUP(CustomerCombinedCleaned[[#This Row],[ID]], Table4[ID], Table4[Premium], "Not Found", 0)</f>
        <v>24</v>
      </c>
      <c r="Q250" s="16">
        <f>_xlfn.XLOOKUP(CustomerCombinedCleaned[[#This Row],[ID]], Table4[ID], Table4[Regular], "Not Found", 0)</f>
        <v>204</v>
      </c>
      <c r="R250" s="16">
        <f>_xlfn.XLOOKUP(CustomerCombinedCleaned[[#This Row],[ID]], Table4[ID], Table4[Deals], "Not Found", 0)</f>
        <v>2</v>
      </c>
      <c r="S250" s="16">
        <f>_xlfn.XLOOKUP(CustomerCombinedCleaned[[#This Row],[ID]], Table4[ID], Table4[Website], "Not Found", 0)</f>
        <v>2</v>
      </c>
      <c r="T250" s="16">
        <f>_xlfn.XLOOKUP(CustomerCombinedCleaned[[#This Row],[ID]], Table4[ID], Table4[Catalog], "Not Found", 0)</f>
        <v>0</v>
      </c>
      <c r="U250" s="16">
        <f>_xlfn.XLOOKUP(CustomerCombinedCleaned[[#This Row],[ID]], Table4[ID], Table4[Store], "Not Found", 0)</f>
        <v>4</v>
      </c>
      <c r="V250" s="16">
        <f>_xlfn.XLOOKUP(CustomerCombinedCleaned[[#This Row],[ID]], Table4[ID], Table4[Visits], "Not Found", 0)</f>
        <v>6</v>
      </c>
      <c r="W250" s="16">
        <f>_xlfn.XLOOKUP(CustomerCombinedCleaned[[#This Row],[ID]], Table2[ID],Table2[Complaint], "Not Found", 0 )</f>
        <v>0</v>
      </c>
      <c r="X250" s="16">
        <f>_xlfn.XLOOKUP(CustomerCombinedCleaned[[#This Row],[ID]], Table2[ID],Table2[Pilot], "Not Found", 0 )</f>
        <v>0</v>
      </c>
      <c r="Y250" s="16">
        <f>_xlfn.XLOOKUP(CustomerCombinedCleaned[[#This Row],[ID]], Table2[ID],Table2[MC1], "Not Found", 0 )</f>
        <v>0</v>
      </c>
      <c r="Z250" s="16">
        <f>_xlfn.XLOOKUP(CustomerCombinedCleaned[[#This Row],[ID]], Table2[ID],Table2[MC2], "Not Found", 0 )</f>
        <v>0</v>
      </c>
      <c r="AA250" s="16">
        <f>_xlfn.XLOOKUP(CustomerCombinedCleaned[[#This Row],[ID]], Table2[ID],Table2[MC3], "Not Found", 0 )</f>
        <v>0</v>
      </c>
      <c r="AB250" s="16">
        <f>_xlfn.XLOOKUP(CustomerCombinedCleaned[[#This Row],[ID]], Table2[ID],Table2[MC4], "Not Found", 0 )</f>
        <v>0</v>
      </c>
      <c r="AC250" s="16">
        <f>_xlfn.XLOOKUP(CustomerCombinedCleaned[[#This Row],[ID]], Table2[ID],Table2[MC5], "Not Found", 0 )</f>
        <v>0</v>
      </c>
    </row>
    <row r="251" spans="1:29" x14ac:dyDescent="0.3">
      <c r="A251" s="18">
        <v>2221</v>
      </c>
      <c r="B251" s="16">
        <v>125707</v>
      </c>
      <c r="C251" s="16">
        <v>1</v>
      </c>
      <c r="D251" s="16">
        <v>0</v>
      </c>
      <c r="E251" s="16">
        <v>36</v>
      </c>
      <c r="F251" s="17" t="s">
        <v>7</v>
      </c>
      <c r="G251" s="17" t="s">
        <v>10</v>
      </c>
      <c r="H251" s="3" t="s">
        <v>113</v>
      </c>
      <c r="I251" s="5" t="s">
        <v>437</v>
      </c>
      <c r="J251" s="16">
        <f>_xlfn.XLOOKUP(CustomerCombinedCleaned[[#This Row],[ID]], Table4[ID], Table4[Recency], "Not Found", 0)</f>
        <v>18</v>
      </c>
      <c r="K251" s="16">
        <f>_xlfn.XLOOKUP(CustomerCombinedCleaned[[#This Row],[ID]], Table4[ID], Table4[Teas], "Not Found", 0)</f>
        <v>5</v>
      </c>
      <c r="L251" s="16">
        <f>_xlfn.XLOOKUP(CustomerCombinedCleaned[[#This Row],[ID]], Table4[ID], Table4[Fruits], "Not Found", 0)</f>
        <v>29</v>
      </c>
      <c r="M251" s="16">
        <f>_xlfn.XLOOKUP(CustomerCombinedCleaned[[#This Row],[ID]], Table4[ID], Table4[Meats], "Not Found", 0)</f>
        <v>10</v>
      </c>
      <c r="N251" s="16">
        <f>_xlfn.XLOOKUP(CustomerCombinedCleaned[[#This Row],[ID]], Table4[ID], Table4[Seafood], "Not Found", 0)</f>
        <v>15</v>
      </c>
      <c r="O251" s="16">
        <f>_xlfn.XLOOKUP(CustomerCombinedCleaned[[#This Row],[ID]], Table4[ID], Table4[Sweets], "Not Found", 0)</f>
        <v>29</v>
      </c>
      <c r="P251" s="16">
        <f>_xlfn.XLOOKUP(CustomerCombinedCleaned[[#This Row],[ID]], Table4[ID], Table4[Premium], "Not Found", 0)</f>
        <v>15</v>
      </c>
      <c r="Q251" s="16">
        <f>_xlfn.XLOOKUP(CustomerCombinedCleaned[[#This Row],[ID]], Table4[ID], Table4[Regular], "Not Found", 0)</f>
        <v>73</v>
      </c>
      <c r="R251" s="16">
        <f>_xlfn.XLOOKUP(CustomerCombinedCleaned[[#This Row],[ID]], Table4[ID], Table4[Deals], "Not Found", 0)</f>
        <v>1</v>
      </c>
      <c r="S251" s="16">
        <f>_xlfn.XLOOKUP(CustomerCombinedCleaned[[#This Row],[ID]], Table4[ID], Table4[Website], "Not Found", 0)</f>
        <v>1</v>
      </c>
      <c r="T251" s="16">
        <f>_xlfn.XLOOKUP(CustomerCombinedCleaned[[#This Row],[ID]], Table4[ID], Table4[Catalog], "Not Found", 0)</f>
        <v>0</v>
      </c>
      <c r="U251" s="16">
        <f>_xlfn.XLOOKUP(CustomerCombinedCleaned[[#This Row],[ID]], Table4[ID], Table4[Store], "Not Found", 0)</f>
        <v>3</v>
      </c>
      <c r="V251" s="16">
        <f>_xlfn.XLOOKUP(CustomerCombinedCleaned[[#This Row],[ID]], Table4[ID], Table4[Visits], "Not Found", 0)</f>
        <v>7</v>
      </c>
      <c r="W251" s="16">
        <f>_xlfn.XLOOKUP(CustomerCombinedCleaned[[#This Row],[ID]], Table2[ID],Table2[Complaint], "Not Found", 0 )</f>
        <v>0</v>
      </c>
      <c r="X251" s="16">
        <f>_xlfn.XLOOKUP(CustomerCombinedCleaned[[#This Row],[ID]], Table2[ID],Table2[Pilot], "Not Found", 0 )</f>
        <v>0</v>
      </c>
      <c r="Y251" s="16">
        <f>_xlfn.XLOOKUP(CustomerCombinedCleaned[[#This Row],[ID]], Table2[ID],Table2[MC1], "Not Found", 0 )</f>
        <v>0</v>
      </c>
      <c r="Z251" s="16">
        <f>_xlfn.XLOOKUP(CustomerCombinedCleaned[[#This Row],[ID]], Table2[ID],Table2[MC2], "Not Found", 0 )</f>
        <v>0</v>
      </c>
      <c r="AA251" s="16">
        <f>_xlfn.XLOOKUP(CustomerCombinedCleaned[[#This Row],[ID]], Table2[ID],Table2[MC3], "Not Found", 0 )</f>
        <v>0</v>
      </c>
      <c r="AB251" s="16">
        <f>_xlfn.XLOOKUP(CustomerCombinedCleaned[[#This Row],[ID]], Table2[ID],Table2[MC4], "Not Found", 0 )</f>
        <v>0</v>
      </c>
      <c r="AC251" s="16">
        <f>_xlfn.XLOOKUP(CustomerCombinedCleaned[[#This Row],[ID]], Table2[ID],Table2[MC5], "Not Found", 0 )</f>
        <v>0</v>
      </c>
    </row>
    <row r="252" spans="1:29" x14ac:dyDescent="0.3">
      <c r="A252" s="18">
        <v>2955</v>
      </c>
      <c r="B252" s="16">
        <v>124570</v>
      </c>
      <c r="C252" s="16">
        <v>1</v>
      </c>
      <c r="D252" s="16">
        <v>0</v>
      </c>
      <c r="E252" s="16">
        <v>36</v>
      </c>
      <c r="F252" s="17" t="s">
        <v>6</v>
      </c>
      <c r="G252" s="17" t="s">
        <v>11</v>
      </c>
      <c r="H252" s="3" t="s">
        <v>562</v>
      </c>
      <c r="I252" s="5" t="s">
        <v>435</v>
      </c>
      <c r="J252" s="16">
        <f>_xlfn.XLOOKUP(CustomerCombinedCleaned[[#This Row],[ID]], Table4[ID], Table4[Recency], "Not Found", 0)</f>
        <v>97</v>
      </c>
      <c r="K252" s="16">
        <f>_xlfn.XLOOKUP(CustomerCombinedCleaned[[#This Row],[ID]], Table4[ID], Table4[Teas], "Not Found", 0)</f>
        <v>142</v>
      </c>
      <c r="L252" s="16">
        <f>_xlfn.XLOOKUP(CustomerCombinedCleaned[[#This Row],[ID]], Table4[ID], Table4[Fruits], "Not Found", 0)</f>
        <v>172</v>
      </c>
      <c r="M252" s="16">
        <f>_xlfn.XLOOKUP(CustomerCombinedCleaned[[#This Row],[ID]], Table4[ID], Table4[Meats], "Not Found", 0)</f>
        <v>314</v>
      </c>
      <c r="N252" s="16">
        <f>_xlfn.XLOOKUP(CustomerCombinedCleaned[[#This Row],[ID]], Table4[ID], Table4[Seafood], "Not Found", 0)</f>
        <v>56</v>
      </c>
      <c r="O252" s="16">
        <f>_xlfn.XLOOKUP(CustomerCombinedCleaned[[#This Row],[ID]], Table4[ID], Table4[Sweets], "Not Found", 0)</f>
        <v>71</v>
      </c>
      <c r="P252" s="16">
        <f>_xlfn.XLOOKUP(CustomerCombinedCleaned[[#This Row],[ID]], Table4[ID], Table4[Premium], "Not Found", 0)</f>
        <v>223</v>
      </c>
      <c r="Q252" s="16">
        <f>_xlfn.XLOOKUP(CustomerCombinedCleaned[[#This Row],[ID]], Table4[ID], Table4[Regular], "Not Found", 0)</f>
        <v>532</v>
      </c>
      <c r="R252" s="16">
        <f>_xlfn.XLOOKUP(CustomerCombinedCleaned[[#This Row],[ID]], Table4[ID], Table4[Deals], "Not Found", 0)</f>
        <v>3</v>
      </c>
      <c r="S252" s="16">
        <f>_xlfn.XLOOKUP(CustomerCombinedCleaned[[#This Row],[ID]], Table4[ID], Table4[Website], "Not Found", 0)</f>
        <v>4</v>
      </c>
      <c r="T252" s="16">
        <f>_xlfn.XLOOKUP(CustomerCombinedCleaned[[#This Row],[ID]], Table4[ID], Table4[Catalog], "Not Found", 0)</f>
        <v>0</v>
      </c>
      <c r="U252" s="16">
        <f>_xlfn.XLOOKUP(CustomerCombinedCleaned[[#This Row],[ID]], Table4[ID], Table4[Store], "Not Found", 0)</f>
        <v>4</v>
      </c>
      <c r="V252" s="16">
        <f>_xlfn.XLOOKUP(CustomerCombinedCleaned[[#This Row],[ID]], Table4[ID], Table4[Visits], "Not Found", 0)</f>
        <v>9</v>
      </c>
      <c r="W252" s="16">
        <f>_xlfn.XLOOKUP(CustomerCombinedCleaned[[#This Row],[ID]], Table2[ID],Table2[Complaint], "Not Found", 0 )</f>
        <v>0</v>
      </c>
      <c r="X252" s="16">
        <f>_xlfn.XLOOKUP(CustomerCombinedCleaned[[#This Row],[ID]], Table2[ID],Table2[Pilot], "Not Found", 0 )</f>
        <v>0</v>
      </c>
      <c r="Y252" s="16">
        <f>_xlfn.XLOOKUP(CustomerCombinedCleaned[[#This Row],[ID]], Table2[ID],Table2[MC1], "Not Found", 0 )</f>
        <v>0</v>
      </c>
      <c r="Z252" s="16">
        <f>_xlfn.XLOOKUP(CustomerCombinedCleaned[[#This Row],[ID]], Table2[ID],Table2[MC2], "Not Found", 0 )</f>
        <v>0</v>
      </c>
      <c r="AA252" s="16">
        <f>_xlfn.XLOOKUP(CustomerCombinedCleaned[[#This Row],[ID]], Table2[ID],Table2[MC3], "Not Found", 0 )</f>
        <v>0</v>
      </c>
      <c r="AB252" s="16">
        <f>_xlfn.XLOOKUP(CustomerCombinedCleaned[[#This Row],[ID]], Table2[ID],Table2[MC4], "Not Found", 0 )</f>
        <v>0</v>
      </c>
      <c r="AC252" s="16">
        <f>_xlfn.XLOOKUP(CustomerCombinedCleaned[[#This Row],[ID]], Table2[ID],Table2[MC5], "Not Found", 0 )</f>
        <v>0</v>
      </c>
    </row>
    <row r="253" spans="1:29" x14ac:dyDescent="0.3">
      <c r="A253" s="18">
        <v>1291</v>
      </c>
      <c r="B253" s="16">
        <v>123976</v>
      </c>
      <c r="C253" s="16">
        <v>1</v>
      </c>
      <c r="D253" s="16">
        <v>0</v>
      </c>
      <c r="E253" s="16">
        <v>36</v>
      </c>
      <c r="F253" s="17" t="s">
        <v>8</v>
      </c>
      <c r="G253" s="17" t="s">
        <v>11</v>
      </c>
      <c r="H253" s="3" t="s">
        <v>600</v>
      </c>
      <c r="I253" s="5" t="s">
        <v>437</v>
      </c>
      <c r="J253" s="16">
        <f>_xlfn.XLOOKUP(CustomerCombinedCleaned[[#This Row],[ID]], Table4[ID], Table4[Recency], "Not Found", 0)</f>
        <v>68</v>
      </c>
      <c r="K253" s="16">
        <f>_xlfn.XLOOKUP(CustomerCombinedCleaned[[#This Row],[ID]], Table4[ID], Table4[Teas], "Not Found", 0)</f>
        <v>72</v>
      </c>
      <c r="L253" s="16">
        <f>_xlfn.XLOOKUP(CustomerCombinedCleaned[[#This Row],[ID]], Table4[ID], Table4[Fruits], "Not Found", 0)</f>
        <v>5</v>
      </c>
      <c r="M253" s="16">
        <f>_xlfn.XLOOKUP(CustomerCombinedCleaned[[#This Row],[ID]], Table4[ID], Table4[Meats], "Not Found", 0)</f>
        <v>109</v>
      </c>
      <c r="N253" s="16">
        <f>_xlfn.XLOOKUP(CustomerCombinedCleaned[[#This Row],[ID]], Table4[ID], Table4[Seafood], "Not Found", 0)</f>
        <v>10</v>
      </c>
      <c r="O253" s="16">
        <f>_xlfn.XLOOKUP(CustomerCombinedCleaned[[#This Row],[ID]], Table4[ID], Table4[Sweets], "Not Found", 0)</f>
        <v>16</v>
      </c>
      <c r="P253" s="16">
        <f>_xlfn.XLOOKUP(CustomerCombinedCleaned[[#This Row],[ID]], Table4[ID], Table4[Premium], "Not Found", 0)</f>
        <v>129</v>
      </c>
      <c r="Q253" s="16">
        <f>_xlfn.XLOOKUP(CustomerCombinedCleaned[[#This Row],[ID]], Table4[ID], Table4[Regular], "Not Found", 0)</f>
        <v>83</v>
      </c>
      <c r="R253" s="16">
        <f>_xlfn.XLOOKUP(CustomerCombinedCleaned[[#This Row],[ID]], Table4[ID], Table4[Deals], "Not Found", 0)</f>
        <v>3</v>
      </c>
      <c r="S253" s="16">
        <f>_xlfn.XLOOKUP(CustomerCombinedCleaned[[#This Row],[ID]], Table4[ID], Table4[Website], "Not Found", 0)</f>
        <v>3</v>
      </c>
      <c r="T253" s="16">
        <f>_xlfn.XLOOKUP(CustomerCombinedCleaned[[#This Row],[ID]], Table4[ID], Table4[Catalog], "Not Found", 0)</f>
        <v>1</v>
      </c>
      <c r="U253" s="16">
        <f>_xlfn.XLOOKUP(CustomerCombinedCleaned[[#This Row],[ID]], Table4[ID], Table4[Store], "Not Found", 0)</f>
        <v>3</v>
      </c>
      <c r="V253" s="16">
        <f>_xlfn.XLOOKUP(CustomerCombinedCleaned[[#This Row],[ID]], Table4[ID], Table4[Visits], "Not Found", 0)</f>
        <v>7</v>
      </c>
      <c r="W253" s="16">
        <f>_xlfn.XLOOKUP(CustomerCombinedCleaned[[#This Row],[ID]], Table2[ID],Table2[Complaint], "Not Found", 0 )</f>
        <v>0</v>
      </c>
      <c r="X253" s="16">
        <f>_xlfn.XLOOKUP(CustomerCombinedCleaned[[#This Row],[ID]], Table2[ID],Table2[Pilot], "Not Found", 0 )</f>
        <v>0</v>
      </c>
      <c r="Y253" s="16">
        <f>_xlfn.XLOOKUP(CustomerCombinedCleaned[[#This Row],[ID]], Table2[ID],Table2[MC1], "Not Found", 0 )</f>
        <v>0</v>
      </c>
      <c r="Z253" s="16">
        <f>_xlfn.XLOOKUP(CustomerCombinedCleaned[[#This Row],[ID]], Table2[ID],Table2[MC2], "Not Found", 0 )</f>
        <v>0</v>
      </c>
      <c r="AA253" s="16">
        <f>_xlfn.XLOOKUP(CustomerCombinedCleaned[[#This Row],[ID]], Table2[ID],Table2[MC3], "Not Found", 0 )</f>
        <v>0</v>
      </c>
      <c r="AB253" s="16">
        <f>_xlfn.XLOOKUP(CustomerCombinedCleaned[[#This Row],[ID]], Table2[ID],Table2[MC4], "Not Found", 0 )</f>
        <v>0</v>
      </c>
      <c r="AC253" s="16">
        <f>_xlfn.XLOOKUP(CustomerCombinedCleaned[[#This Row],[ID]], Table2[ID],Table2[MC5], "Not Found", 0 )</f>
        <v>0</v>
      </c>
    </row>
    <row r="254" spans="1:29" x14ac:dyDescent="0.3">
      <c r="A254" s="18">
        <v>1152</v>
      </c>
      <c r="B254" s="16">
        <v>123228</v>
      </c>
      <c r="C254" s="16">
        <v>1</v>
      </c>
      <c r="D254" s="16">
        <v>0</v>
      </c>
      <c r="E254" s="16">
        <v>36</v>
      </c>
      <c r="F254" s="17" t="s">
        <v>6</v>
      </c>
      <c r="G254" s="17" t="s">
        <v>11</v>
      </c>
      <c r="H254" s="3" t="s">
        <v>755</v>
      </c>
      <c r="I254" s="5" t="s">
        <v>436</v>
      </c>
      <c r="J254" s="16">
        <f>_xlfn.XLOOKUP(CustomerCombinedCleaned[[#This Row],[ID]], Table4[ID], Table4[Recency], "Not Found", 0)</f>
        <v>91</v>
      </c>
      <c r="K254" s="16">
        <f>_xlfn.XLOOKUP(CustomerCombinedCleaned[[#This Row],[ID]], Table4[ID], Table4[Teas], "Not Found", 0)</f>
        <v>281</v>
      </c>
      <c r="L254" s="16">
        <f>_xlfn.XLOOKUP(CustomerCombinedCleaned[[#This Row],[ID]], Table4[ID], Table4[Fruits], "Not Found", 0)</f>
        <v>16</v>
      </c>
      <c r="M254" s="16">
        <f>_xlfn.XLOOKUP(CustomerCombinedCleaned[[#This Row],[ID]], Table4[ID], Table4[Meats], "Not Found", 0)</f>
        <v>260</v>
      </c>
      <c r="N254" s="16">
        <f>_xlfn.XLOOKUP(CustomerCombinedCleaned[[#This Row],[ID]], Table4[ID], Table4[Seafood], "Not Found", 0)</f>
        <v>37</v>
      </c>
      <c r="O254" s="16">
        <f>_xlfn.XLOOKUP(CustomerCombinedCleaned[[#This Row],[ID]], Table4[ID], Table4[Sweets], "Not Found", 0)</f>
        <v>21</v>
      </c>
      <c r="P254" s="16">
        <f>_xlfn.XLOOKUP(CustomerCombinedCleaned[[#This Row],[ID]], Table4[ID], Table4[Premium], "Not Found", 0)</f>
        <v>27</v>
      </c>
      <c r="Q254" s="16">
        <f>_xlfn.XLOOKUP(CustomerCombinedCleaned[[#This Row],[ID]], Table4[ID], Table4[Regular], "Not Found", 0)</f>
        <v>589</v>
      </c>
      <c r="R254" s="16">
        <f>_xlfn.XLOOKUP(CustomerCombinedCleaned[[#This Row],[ID]], Table4[ID], Table4[Deals], "Not Found", 0)</f>
        <v>4</v>
      </c>
      <c r="S254" s="16">
        <f>_xlfn.XLOOKUP(CustomerCombinedCleaned[[#This Row],[ID]], Table4[ID], Table4[Website], "Not Found", 0)</f>
        <v>3</v>
      </c>
      <c r="T254" s="16">
        <f>_xlfn.XLOOKUP(CustomerCombinedCleaned[[#This Row],[ID]], Table4[ID], Table4[Catalog], "Not Found", 0)</f>
        <v>0</v>
      </c>
      <c r="U254" s="16">
        <f>_xlfn.XLOOKUP(CustomerCombinedCleaned[[#This Row],[ID]], Table4[ID], Table4[Store], "Not Found", 0)</f>
        <v>4</v>
      </c>
      <c r="V254" s="16">
        <f>_xlfn.XLOOKUP(CustomerCombinedCleaned[[#This Row],[ID]], Table4[ID], Table4[Visits], "Not Found", 0)</f>
        <v>8</v>
      </c>
      <c r="W254" s="16">
        <f>_xlfn.XLOOKUP(CustomerCombinedCleaned[[#This Row],[ID]], Table2[ID],Table2[Complaint], "Not Found", 0 )</f>
        <v>0</v>
      </c>
      <c r="X254" s="16">
        <f>_xlfn.XLOOKUP(CustomerCombinedCleaned[[#This Row],[ID]], Table2[ID],Table2[Pilot], "Not Found", 0 )</f>
        <v>0</v>
      </c>
      <c r="Y254" s="16">
        <f>_xlfn.XLOOKUP(CustomerCombinedCleaned[[#This Row],[ID]], Table2[ID],Table2[MC1], "Not Found", 0 )</f>
        <v>0</v>
      </c>
      <c r="Z254" s="16">
        <f>_xlfn.XLOOKUP(CustomerCombinedCleaned[[#This Row],[ID]], Table2[ID],Table2[MC2], "Not Found", 0 )</f>
        <v>0</v>
      </c>
      <c r="AA254" s="16">
        <f>_xlfn.XLOOKUP(CustomerCombinedCleaned[[#This Row],[ID]], Table2[ID],Table2[MC3], "Not Found", 0 )</f>
        <v>0</v>
      </c>
      <c r="AB254" s="16">
        <f>_xlfn.XLOOKUP(CustomerCombinedCleaned[[#This Row],[ID]], Table2[ID],Table2[MC4], "Not Found", 0 )</f>
        <v>0</v>
      </c>
      <c r="AC254" s="16">
        <f>_xlfn.XLOOKUP(CustomerCombinedCleaned[[#This Row],[ID]], Table2[ID],Table2[MC5], "Not Found", 0 )</f>
        <v>0</v>
      </c>
    </row>
    <row r="255" spans="1:29" x14ac:dyDescent="0.3">
      <c r="A255" s="18">
        <v>1703</v>
      </c>
      <c r="B255" s="16">
        <v>118988</v>
      </c>
      <c r="C255" s="16">
        <v>1</v>
      </c>
      <c r="D255" s="16">
        <v>0</v>
      </c>
      <c r="E255" s="16">
        <v>36</v>
      </c>
      <c r="F255" s="17" t="s">
        <v>6</v>
      </c>
      <c r="G255" s="17" t="s">
        <v>13</v>
      </c>
      <c r="H255" s="3" t="s">
        <v>44</v>
      </c>
      <c r="I255" s="5" t="s">
        <v>434</v>
      </c>
      <c r="J255" s="16">
        <f>_xlfn.XLOOKUP(CustomerCombinedCleaned[[#This Row],[ID]], Table4[ID], Table4[Recency], "Not Found", 0)</f>
        <v>43</v>
      </c>
      <c r="K255" s="16">
        <f>_xlfn.XLOOKUP(CustomerCombinedCleaned[[#This Row],[ID]], Table4[ID], Table4[Teas], "Not Found", 0)</f>
        <v>38</v>
      </c>
      <c r="L255" s="16">
        <f>_xlfn.XLOOKUP(CustomerCombinedCleaned[[#This Row],[ID]], Table4[ID], Table4[Fruits], "Not Found", 0)</f>
        <v>0</v>
      </c>
      <c r="M255" s="16">
        <f>_xlfn.XLOOKUP(CustomerCombinedCleaned[[#This Row],[ID]], Table4[ID], Table4[Meats], "Not Found", 0)</f>
        <v>38</v>
      </c>
      <c r="N255" s="16">
        <f>_xlfn.XLOOKUP(CustomerCombinedCleaned[[#This Row],[ID]], Table4[ID], Table4[Seafood], "Not Found", 0)</f>
        <v>13</v>
      </c>
      <c r="O255" s="16">
        <f>_xlfn.XLOOKUP(CustomerCombinedCleaned[[#This Row],[ID]], Table4[ID], Table4[Sweets], "Not Found", 0)</f>
        <v>6</v>
      </c>
      <c r="P255" s="16">
        <f>_xlfn.XLOOKUP(CustomerCombinedCleaned[[#This Row],[ID]], Table4[ID], Table4[Premium], "Not Found", 0)</f>
        <v>6</v>
      </c>
      <c r="Q255" s="16">
        <f>_xlfn.XLOOKUP(CustomerCombinedCleaned[[#This Row],[ID]], Table4[ID], Table4[Regular], "Not Found", 0)</f>
        <v>88</v>
      </c>
      <c r="R255" s="16">
        <f>_xlfn.XLOOKUP(CustomerCombinedCleaned[[#This Row],[ID]], Table4[ID], Table4[Deals], "Not Found", 0)</f>
        <v>2</v>
      </c>
      <c r="S255" s="16">
        <f>_xlfn.XLOOKUP(CustomerCombinedCleaned[[#This Row],[ID]], Table4[ID], Table4[Website], "Not Found", 0)</f>
        <v>1</v>
      </c>
      <c r="T255" s="16">
        <f>_xlfn.XLOOKUP(CustomerCombinedCleaned[[#This Row],[ID]], Table4[ID], Table4[Catalog], "Not Found", 0)</f>
        <v>0</v>
      </c>
      <c r="U255" s="16">
        <f>_xlfn.XLOOKUP(CustomerCombinedCleaned[[#This Row],[ID]], Table4[ID], Table4[Store], "Not Found", 0)</f>
        <v>3</v>
      </c>
      <c r="V255" s="16">
        <f>_xlfn.XLOOKUP(CustomerCombinedCleaned[[#This Row],[ID]], Table4[ID], Table4[Visits], "Not Found", 0)</f>
        <v>7</v>
      </c>
      <c r="W255" s="16">
        <f>_xlfn.XLOOKUP(CustomerCombinedCleaned[[#This Row],[ID]], Table2[ID],Table2[Complaint], "Not Found", 0 )</f>
        <v>0</v>
      </c>
      <c r="X255" s="16">
        <f>_xlfn.XLOOKUP(CustomerCombinedCleaned[[#This Row],[ID]], Table2[ID],Table2[Pilot], "Not Found", 0 )</f>
        <v>0</v>
      </c>
      <c r="Y255" s="16">
        <f>_xlfn.XLOOKUP(CustomerCombinedCleaned[[#This Row],[ID]], Table2[ID],Table2[MC1], "Not Found", 0 )</f>
        <v>0</v>
      </c>
      <c r="Z255" s="16">
        <f>_xlfn.XLOOKUP(CustomerCombinedCleaned[[#This Row],[ID]], Table2[ID],Table2[MC2], "Not Found", 0 )</f>
        <v>0</v>
      </c>
      <c r="AA255" s="16">
        <f>_xlfn.XLOOKUP(CustomerCombinedCleaned[[#This Row],[ID]], Table2[ID],Table2[MC3], "Not Found", 0 )</f>
        <v>0</v>
      </c>
      <c r="AB255" s="16">
        <f>_xlfn.XLOOKUP(CustomerCombinedCleaned[[#This Row],[ID]], Table2[ID],Table2[MC4], "Not Found", 0 )</f>
        <v>0</v>
      </c>
      <c r="AC255" s="16">
        <f>_xlfn.XLOOKUP(CustomerCombinedCleaned[[#This Row],[ID]], Table2[ID],Table2[MC5], "Not Found", 0 )</f>
        <v>0</v>
      </c>
    </row>
    <row r="256" spans="1:29" x14ac:dyDescent="0.3">
      <c r="A256" s="18">
        <v>1193</v>
      </c>
      <c r="B256" s="16">
        <v>118890</v>
      </c>
      <c r="C256" s="16">
        <v>0</v>
      </c>
      <c r="D256" s="16">
        <v>0</v>
      </c>
      <c r="E256" s="16">
        <v>36</v>
      </c>
      <c r="F256" s="17" t="s">
        <v>7</v>
      </c>
      <c r="G256" s="17" t="s">
        <v>12</v>
      </c>
      <c r="H256" s="3" t="s">
        <v>365</v>
      </c>
      <c r="I256" s="5" t="s">
        <v>434</v>
      </c>
      <c r="J256" s="16">
        <f>_xlfn.XLOOKUP(CustomerCombinedCleaned[[#This Row],[ID]], Table4[ID], Table4[Recency], "Not Found", 0)</f>
        <v>5</v>
      </c>
      <c r="K256" s="16">
        <f>_xlfn.XLOOKUP(CustomerCombinedCleaned[[#This Row],[ID]], Table4[ID], Table4[Teas], "Not Found", 0)</f>
        <v>38</v>
      </c>
      <c r="L256" s="16">
        <f>_xlfn.XLOOKUP(CustomerCombinedCleaned[[#This Row],[ID]], Table4[ID], Table4[Fruits], "Not Found", 0)</f>
        <v>25</v>
      </c>
      <c r="M256" s="16">
        <f>_xlfn.XLOOKUP(CustomerCombinedCleaned[[#This Row],[ID]], Table4[ID], Table4[Meats], "Not Found", 0)</f>
        <v>6</v>
      </c>
      <c r="N256" s="16">
        <f>_xlfn.XLOOKUP(CustomerCombinedCleaned[[#This Row],[ID]], Table4[ID], Table4[Seafood], "Not Found", 0)</f>
        <v>44</v>
      </c>
      <c r="O256" s="16">
        <f>_xlfn.XLOOKUP(CustomerCombinedCleaned[[#This Row],[ID]], Table4[ID], Table4[Sweets], "Not Found", 0)</f>
        <v>13</v>
      </c>
      <c r="P256" s="16">
        <f>_xlfn.XLOOKUP(CustomerCombinedCleaned[[#This Row],[ID]], Table4[ID], Table4[Premium], "Not Found", 0)</f>
        <v>94</v>
      </c>
      <c r="Q256" s="16">
        <f>_xlfn.XLOOKUP(CustomerCombinedCleaned[[#This Row],[ID]], Table4[ID], Table4[Regular], "Not Found", 0)</f>
        <v>31</v>
      </c>
      <c r="R256" s="16">
        <f>_xlfn.XLOOKUP(CustomerCombinedCleaned[[#This Row],[ID]], Table4[ID], Table4[Deals], "Not Found", 0)</f>
        <v>1</v>
      </c>
      <c r="S256" s="16">
        <f>_xlfn.XLOOKUP(CustomerCombinedCleaned[[#This Row],[ID]], Table4[ID], Table4[Website], "Not Found", 0)</f>
        <v>0</v>
      </c>
      <c r="T256" s="16">
        <f>_xlfn.XLOOKUP(CustomerCombinedCleaned[[#This Row],[ID]], Table4[ID], Table4[Catalog], "Not Found", 0)</f>
        <v>1</v>
      </c>
      <c r="U256" s="16">
        <f>_xlfn.XLOOKUP(CustomerCombinedCleaned[[#This Row],[ID]], Table4[ID], Table4[Store], "Not Found", 0)</f>
        <v>2</v>
      </c>
      <c r="V256" s="16">
        <f>_xlfn.XLOOKUP(CustomerCombinedCleaned[[#This Row],[ID]], Table4[ID], Table4[Visits], "Not Found", 0)</f>
        <v>6</v>
      </c>
      <c r="W256" s="16">
        <f>_xlfn.XLOOKUP(CustomerCombinedCleaned[[#This Row],[ID]], Table2[ID],Table2[Complaint], "Not Found", 0 )</f>
        <v>0</v>
      </c>
      <c r="X256" s="16">
        <f>_xlfn.XLOOKUP(CustomerCombinedCleaned[[#This Row],[ID]], Table2[ID],Table2[Pilot], "Not Found", 0 )</f>
        <v>1</v>
      </c>
      <c r="Y256" s="16">
        <f>_xlfn.XLOOKUP(CustomerCombinedCleaned[[#This Row],[ID]], Table2[ID],Table2[MC1], "Not Found", 0 )</f>
        <v>0</v>
      </c>
      <c r="Z256" s="16">
        <f>_xlfn.XLOOKUP(CustomerCombinedCleaned[[#This Row],[ID]], Table2[ID],Table2[MC2], "Not Found", 0 )</f>
        <v>0</v>
      </c>
      <c r="AA256" s="16">
        <f>_xlfn.XLOOKUP(CustomerCombinedCleaned[[#This Row],[ID]], Table2[ID],Table2[MC3], "Not Found", 0 )</f>
        <v>1</v>
      </c>
      <c r="AB256" s="16">
        <f>_xlfn.XLOOKUP(CustomerCombinedCleaned[[#This Row],[ID]], Table2[ID],Table2[MC4], "Not Found", 0 )</f>
        <v>0</v>
      </c>
      <c r="AC256" s="16">
        <f>_xlfn.XLOOKUP(CustomerCombinedCleaned[[#This Row],[ID]], Table2[ID],Table2[MC5], "Not Found", 0 )</f>
        <v>0</v>
      </c>
    </row>
    <row r="257" spans="1:29" x14ac:dyDescent="0.3">
      <c r="A257" s="18">
        <v>1810</v>
      </c>
      <c r="B257" s="16">
        <v>116529</v>
      </c>
      <c r="C257" s="16">
        <v>1</v>
      </c>
      <c r="D257" s="16">
        <v>0</v>
      </c>
      <c r="E257" s="16">
        <v>36</v>
      </c>
      <c r="F257" s="17" t="s">
        <v>8</v>
      </c>
      <c r="G257" s="17" t="s">
        <v>11</v>
      </c>
      <c r="H257" s="3" t="s">
        <v>603</v>
      </c>
      <c r="I257" s="5" t="s">
        <v>439</v>
      </c>
      <c r="J257" s="16">
        <f>_xlfn.XLOOKUP(CustomerCombinedCleaned[[#This Row],[ID]], Table4[ID], Table4[Recency], "Not Found", 0)</f>
        <v>23</v>
      </c>
      <c r="K257" s="16">
        <f>_xlfn.XLOOKUP(CustomerCombinedCleaned[[#This Row],[ID]], Table4[ID], Table4[Teas], "Not Found", 0)</f>
        <v>21</v>
      </c>
      <c r="L257" s="16">
        <f>_xlfn.XLOOKUP(CustomerCombinedCleaned[[#This Row],[ID]], Table4[ID], Table4[Fruits], "Not Found", 0)</f>
        <v>0</v>
      </c>
      <c r="M257" s="16">
        <f>_xlfn.XLOOKUP(CustomerCombinedCleaned[[#This Row],[ID]], Table4[ID], Table4[Meats], "Not Found", 0)</f>
        <v>35</v>
      </c>
      <c r="N257" s="16">
        <f>_xlfn.XLOOKUP(CustomerCombinedCleaned[[#This Row],[ID]], Table4[ID], Table4[Seafood], "Not Found", 0)</f>
        <v>92</v>
      </c>
      <c r="O257" s="16">
        <f>_xlfn.XLOOKUP(CustomerCombinedCleaned[[#This Row],[ID]], Table4[ID], Table4[Sweets], "Not Found", 0)</f>
        <v>0</v>
      </c>
      <c r="P257" s="16">
        <f>_xlfn.XLOOKUP(CustomerCombinedCleaned[[#This Row],[ID]], Table4[ID], Table4[Premium], "Not Found", 0)</f>
        <v>7</v>
      </c>
      <c r="Q257" s="16">
        <f>_xlfn.XLOOKUP(CustomerCombinedCleaned[[#This Row],[ID]], Table4[ID], Table4[Regular], "Not Found", 0)</f>
        <v>141</v>
      </c>
      <c r="R257" s="16">
        <f>_xlfn.XLOOKUP(CustomerCombinedCleaned[[#This Row],[ID]], Table4[ID], Table4[Deals], "Not Found", 0)</f>
        <v>1</v>
      </c>
      <c r="S257" s="16">
        <f>_xlfn.XLOOKUP(CustomerCombinedCleaned[[#This Row],[ID]], Table4[ID], Table4[Website], "Not Found", 0)</f>
        <v>1</v>
      </c>
      <c r="T257" s="16">
        <f>_xlfn.XLOOKUP(CustomerCombinedCleaned[[#This Row],[ID]], Table4[ID], Table4[Catalog], "Not Found", 0)</f>
        <v>0</v>
      </c>
      <c r="U257" s="16">
        <f>_xlfn.XLOOKUP(CustomerCombinedCleaned[[#This Row],[ID]], Table4[ID], Table4[Store], "Not Found", 0)</f>
        <v>3</v>
      </c>
      <c r="V257" s="16">
        <f>_xlfn.XLOOKUP(CustomerCombinedCleaned[[#This Row],[ID]], Table4[ID], Table4[Visits], "Not Found", 0)</f>
        <v>6</v>
      </c>
      <c r="W257" s="16">
        <f>_xlfn.XLOOKUP(CustomerCombinedCleaned[[#This Row],[ID]], Table2[ID],Table2[Complaint], "Not Found", 0 )</f>
        <v>0</v>
      </c>
      <c r="X257" s="16">
        <f>_xlfn.XLOOKUP(CustomerCombinedCleaned[[#This Row],[ID]], Table2[ID],Table2[Pilot], "Not Found", 0 )</f>
        <v>0</v>
      </c>
      <c r="Y257" s="16">
        <f>_xlfn.XLOOKUP(CustomerCombinedCleaned[[#This Row],[ID]], Table2[ID],Table2[MC1], "Not Found", 0 )</f>
        <v>0</v>
      </c>
      <c r="Z257" s="16">
        <f>_xlfn.XLOOKUP(CustomerCombinedCleaned[[#This Row],[ID]], Table2[ID],Table2[MC2], "Not Found", 0 )</f>
        <v>0</v>
      </c>
      <c r="AA257" s="16">
        <f>_xlfn.XLOOKUP(CustomerCombinedCleaned[[#This Row],[ID]], Table2[ID],Table2[MC3], "Not Found", 0 )</f>
        <v>0</v>
      </c>
      <c r="AB257" s="16">
        <f>_xlfn.XLOOKUP(CustomerCombinedCleaned[[#This Row],[ID]], Table2[ID],Table2[MC4], "Not Found", 0 )</f>
        <v>0</v>
      </c>
      <c r="AC257" s="16">
        <f>_xlfn.XLOOKUP(CustomerCombinedCleaned[[#This Row],[ID]], Table2[ID],Table2[MC5], "Not Found", 0 )</f>
        <v>0</v>
      </c>
    </row>
    <row r="258" spans="1:29" x14ac:dyDescent="0.3">
      <c r="A258" s="18">
        <v>2095</v>
      </c>
      <c r="B258" s="16">
        <v>116269</v>
      </c>
      <c r="C258" s="16">
        <v>1</v>
      </c>
      <c r="D258" s="16">
        <v>0</v>
      </c>
      <c r="E258" s="16">
        <v>36</v>
      </c>
      <c r="F258" s="17" t="s">
        <v>7</v>
      </c>
      <c r="G258" s="17" t="s">
        <v>13</v>
      </c>
      <c r="H258" s="3" t="s">
        <v>764</v>
      </c>
      <c r="I258" s="5" t="s">
        <v>437</v>
      </c>
      <c r="J258" s="16">
        <f>_xlfn.XLOOKUP(CustomerCombinedCleaned[[#This Row],[ID]], Table4[ID], Table4[Recency], "Not Found", 0)</f>
        <v>75</v>
      </c>
      <c r="K258" s="16">
        <f>_xlfn.XLOOKUP(CustomerCombinedCleaned[[#This Row],[ID]], Table4[ID], Table4[Teas], "Not Found", 0)</f>
        <v>136</v>
      </c>
      <c r="L258" s="16">
        <f>_xlfn.XLOOKUP(CustomerCombinedCleaned[[#This Row],[ID]], Table4[ID], Table4[Fruits], "Not Found", 0)</f>
        <v>21</v>
      </c>
      <c r="M258" s="16">
        <f>_xlfn.XLOOKUP(CustomerCombinedCleaned[[#This Row],[ID]], Table4[ID], Table4[Meats], "Not Found", 0)</f>
        <v>129</v>
      </c>
      <c r="N258" s="16">
        <f>_xlfn.XLOOKUP(CustomerCombinedCleaned[[#This Row],[ID]], Table4[ID], Table4[Seafood], "Not Found", 0)</f>
        <v>21</v>
      </c>
      <c r="O258" s="16">
        <f>_xlfn.XLOOKUP(CustomerCombinedCleaned[[#This Row],[ID]], Table4[ID], Table4[Sweets], "Not Found", 0)</f>
        <v>7</v>
      </c>
      <c r="P258" s="16">
        <f>_xlfn.XLOOKUP(CustomerCombinedCleaned[[#This Row],[ID]], Table4[ID], Table4[Premium], "Not Found", 0)</f>
        <v>0</v>
      </c>
      <c r="Q258" s="16">
        <f>_xlfn.XLOOKUP(CustomerCombinedCleaned[[#This Row],[ID]], Table4[ID], Table4[Regular], "Not Found", 0)</f>
        <v>314</v>
      </c>
      <c r="R258" s="16">
        <f>_xlfn.XLOOKUP(CustomerCombinedCleaned[[#This Row],[ID]], Table4[ID], Table4[Deals], "Not Found", 0)</f>
        <v>3</v>
      </c>
      <c r="S258" s="16">
        <f>_xlfn.XLOOKUP(CustomerCombinedCleaned[[#This Row],[ID]], Table4[ID], Table4[Website], "Not Found", 0)</f>
        <v>3</v>
      </c>
      <c r="T258" s="16">
        <f>_xlfn.XLOOKUP(CustomerCombinedCleaned[[#This Row],[ID]], Table4[ID], Table4[Catalog], "Not Found", 0)</f>
        <v>0</v>
      </c>
      <c r="U258" s="16">
        <f>_xlfn.XLOOKUP(CustomerCombinedCleaned[[#This Row],[ID]], Table4[ID], Table4[Store], "Not Found", 0)</f>
        <v>3</v>
      </c>
      <c r="V258" s="16">
        <f>_xlfn.XLOOKUP(CustomerCombinedCleaned[[#This Row],[ID]], Table4[ID], Table4[Visits], "Not Found", 0)</f>
        <v>8</v>
      </c>
      <c r="W258" s="16">
        <f>_xlfn.XLOOKUP(CustomerCombinedCleaned[[#This Row],[ID]], Table2[ID],Table2[Complaint], "Not Found", 0 )</f>
        <v>0</v>
      </c>
      <c r="X258" s="16">
        <f>_xlfn.XLOOKUP(CustomerCombinedCleaned[[#This Row],[ID]], Table2[ID],Table2[Pilot], "Not Found", 0 )</f>
        <v>0</v>
      </c>
      <c r="Y258" s="16">
        <f>_xlfn.XLOOKUP(CustomerCombinedCleaned[[#This Row],[ID]], Table2[ID],Table2[MC1], "Not Found", 0 )</f>
        <v>0</v>
      </c>
      <c r="Z258" s="16">
        <f>_xlfn.XLOOKUP(CustomerCombinedCleaned[[#This Row],[ID]], Table2[ID],Table2[MC2], "Not Found", 0 )</f>
        <v>0</v>
      </c>
      <c r="AA258" s="16">
        <f>_xlfn.XLOOKUP(CustomerCombinedCleaned[[#This Row],[ID]], Table2[ID],Table2[MC3], "Not Found", 0 )</f>
        <v>0</v>
      </c>
      <c r="AB258" s="16">
        <f>_xlfn.XLOOKUP(CustomerCombinedCleaned[[#This Row],[ID]], Table2[ID],Table2[MC4], "Not Found", 0 )</f>
        <v>0</v>
      </c>
      <c r="AC258" s="16">
        <f>_xlfn.XLOOKUP(CustomerCombinedCleaned[[#This Row],[ID]], Table2[ID],Table2[MC5], "Not Found", 0 )</f>
        <v>0</v>
      </c>
    </row>
    <row r="259" spans="1:29" x14ac:dyDescent="0.3">
      <c r="A259" s="18">
        <v>1381</v>
      </c>
      <c r="B259" s="16">
        <v>115345</v>
      </c>
      <c r="C259" s="16">
        <v>1</v>
      </c>
      <c r="D259" s="16">
        <v>0</v>
      </c>
      <c r="E259" s="16">
        <v>36</v>
      </c>
      <c r="F259" s="17" t="s">
        <v>8</v>
      </c>
      <c r="G259" s="17" t="s">
        <v>11</v>
      </c>
      <c r="H259" s="3" t="s">
        <v>681</v>
      </c>
      <c r="I259" s="5" t="s">
        <v>437</v>
      </c>
      <c r="J259" s="16">
        <f>_xlfn.XLOOKUP(CustomerCombinedCleaned[[#This Row],[ID]], Table4[ID], Table4[Recency], "Not Found", 0)</f>
        <v>51</v>
      </c>
      <c r="K259" s="16">
        <f>_xlfn.XLOOKUP(CustomerCombinedCleaned[[#This Row],[ID]], Table4[ID], Table4[Teas], "Not Found", 0)</f>
        <v>38</v>
      </c>
      <c r="L259" s="16">
        <f>_xlfn.XLOOKUP(CustomerCombinedCleaned[[#This Row],[ID]], Table4[ID], Table4[Fruits], "Not Found", 0)</f>
        <v>15</v>
      </c>
      <c r="M259" s="16">
        <f>_xlfn.XLOOKUP(CustomerCombinedCleaned[[#This Row],[ID]], Table4[ID], Table4[Meats], "Not Found", 0)</f>
        <v>120</v>
      </c>
      <c r="N259" s="16">
        <f>_xlfn.XLOOKUP(CustomerCombinedCleaned[[#This Row],[ID]], Table4[ID], Table4[Seafood], "Not Found", 0)</f>
        <v>23</v>
      </c>
      <c r="O259" s="16">
        <f>_xlfn.XLOOKUP(CustomerCombinedCleaned[[#This Row],[ID]], Table4[ID], Table4[Sweets], "Not Found", 0)</f>
        <v>15</v>
      </c>
      <c r="P259" s="16">
        <f>_xlfn.XLOOKUP(CustomerCombinedCleaned[[#This Row],[ID]], Table4[ID], Table4[Premium], "Not Found", 0)</f>
        <v>143</v>
      </c>
      <c r="Q259" s="16">
        <f>_xlfn.XLOOKUP(CustomerCombinedCleaned[[#This Row],[ID]], Table4[ID], Table4[Regular], "Not Found", 0)</f>
        <v>68</v>
      </c>
      <c r="R259" s="16">
        <f>_xlfn.XLOOKUP(CustomerCombinedCleaned[[#This Row],[ID]], Table4[ID], Table4[Deals], "Not Found", 0)</f>
        <v>2</v>
      </c>
      <c r="S259" s="16">
        <f>_xlfn.XLOOKUP(CustomerCombinedCleaned[[#This Row],[ID]], Table4[ID], Table4[Website], "Not Found", 0)</f>
        <v>1</v>
      </c>
      <c r="T259" s="16">
        <f>_xlfn.XLOOKUP(CustomerCombinedCleaned[[#This Row],[ID]], Table4[ID], Table4[Catalog], "Not Found", 0)</f>
        <v>1</v>
      </c>
      <c r="U259" s="16">
        <f>_xlfn.XLOOKUP(CustomerCombinedCleaned[[#This Row],[ID]], Table4[ID], Table4[Store], "Not Found", 0)</f>
        <v>2</v>
      </c>
      <c r="V259" s="16">
        <f>_xlfn.XLOOKUP(CustomerCombinedCleaned[[#This Row],[ID]], Table4[ID], Table4[Visits], "Not Found", 0)</f>
        <v>8</v>
      </c>
      <c r="W259" s="16">
        <f>_xlfn.XLOOKUP(CustomerCombinedCleaned[[#This Row],[ID]], Table2[ID],Table2[Complaint], "Not Found", 0 )</f>
        <v>0</v>
      </c>
      <c r="X259" s="16">
        <f>_xlfn.XLOOKUP(CustomerCombinedCleaned[[#This Row],[ID]], Table2[ID],Table2[Pilot], "Not Found", 0 )</f>
        <v>1</v>
      </c>
      <c r="Y259" s="16">
        <f>_xlfn.XLOOKUP(CustomerCombinedCleaned[[#This Row],[ID]], Table2[ID],Table2[MC1], "Not Found", 0 )</f>
        <v>0</v>
      </c>
      <c r="Z259" s="16">
        <f>_xlfn.XLOOKUP(CustomerCombinedCleaned[[#This Row],[ID]], Table2[ID],Table2[MC2], "Not Found", 0 )</f>
        <v>0</v>
      </c>
      <c r="AA259" s="16">
        <f>_xlfn.XLOOKUP(CustomerCombinedCleaned[[#This Row],[ID]], Table2[ID],Table2[MC3], "Not Found", 0 )</f>
        <v>0</v>
      </c>
      <c r="AB259" s="16">
        <f>_xlfn.XLOOKUP(CustomerCombinedCleaned[[#This Row],[ID]], Table2[ID],Table2[MC4], "Not Found", 0 )</f>
        <v>0</v>
      </c>
      <c r="AC259" s="16">
        <f>_xlfn.XLOOKUP(CustomerCombinedCleaned[[#This Row],[ID]], Table2[ID],Table2[MC5], "Not Found", 0 )</f>
        <v>0</v>
      </c>
    </row>
    <row r="260" spans="1:29" x14ac:dyDescent="0.3">
      <c r="A260" s="18">
        <v>3071</v>
      </c>
      <c r="B260" s="16">
        <v>114796</v>
      </c>
      <c r="C260" s="16">
        <v>1</v>
      </c>
      <c r="D260" s="16">
        <v>0</v>
      </c>
      <c r="E260" s="16">
        <v>36</v>
      </c>
      <c r="F260" s="17" t="s">
        <v>6</v>
      </c>
      <c r="G260" s="17" t="s">
        <v>11</v>
      </c>
      <c r="H260" s="3" t="s">
        <v>394</v>
      </c>
      <c r="I260" s="5" t="s">
        <v>434</v>
      </c>
      <c r="J260" s="16">
        <f>_xlfn.XLOOKUP(CustomerCombinedCleaned[[#This Row],[ID]], Table4[ID], Table4[Recency], "Not Found", 0)</f>
        <v>1</v>
      </c>
      <c r="K260" s="16">
        <f>_xlfn.XLOOKUP(CustomerCombinedCleaned[[#This Row],[ID]], Table4[ID], Table4[Teas], "Not Found", 0)</f>
        <v>101</v>
      </c>
      <c r="L260" s="16">
        <f>_xlfn.XLOOKUP(CustomerCombinedCleaned[[#This Row],[ID]], Table4[ID], Table4[Fruits], "Not Found", 0)</f>
        <v>23</v>
      </c>
      <c r="M260" s="16">
        <f>_xlfn.XLOOKUP(CustomerCombinedCleaned[[#This Row],[ID]], Table4[ID], Table4[Meats], "Not Found", 0)</f>
        <v>62</v>
      </c>
      <c r="N260" s="16">
        <f>_xlfn.XLOOKUP(CustomerCombinedCleaned[[#This Row],[ID]], Table4[ID], Table4[Seafood], "Not Found", 0)</f>
        <v>54</v>
      </c>
      <c r="O260" s="16">
        <f>_xlfn.XLOOKUP(CustomerCombinedCleaned[[#This Row],[ID]], Table4[ID], Table4[Sweets], "Not Found", 0)</f>
        <v>31</v>
      </c>
      <c r="P260" s="16">
        <f>_xlfn.XLOOKUP(CustomerCombinedCleaned[[#This Row],[ID]], Table4[ID], Table4[Premium], "Not Found", 0)</f>
        <v>124</v>
      </c>
      <c r="Q260" s="16">
        <f>_xlfn.XLOOKUP(CustomerCombinedCleaned[[#This Row],[ID]], Table4[ID], Table4[Regular], "Not Found", 0)</f>
        <v>147</v>
      </c>
      <c r="R260" s="16">
        <f>_xlfn.XLOOKUP(CustomerCombinedCleaned[[#This Row],[ID]], Table4[ID], Table4[Deals], "Not Found", 0)</f>
        <v>2</v>
      </c>
      <c r="S260" s="16">
        <f>_xlfn.XLOOKUP(CustomerCombinedCleaned[[#This Row],[ID]], Table4[ID], Table4[Website], "Not Found", 0)</f>
        <v>1</v>
      </c>
      <c r="T260" s="16">
        <f>_xlfn.XLOOKUP(CustomerCombinedCleaned[[#This Row],[ID]], Table4[ID], Table4[Catalog], "Not Found", 0)</f>
        <v>0</v>
      </c>
      <c r="U260" s="16">
        <f>_xlfn.XLOOKUP(CustomerCombinedCleaned[[#This Row],[ID]], Table4[ID], Table4[Store], "Not Found", 0)</f>
        <v>3</v>
      </c>
      <c r="V260" s="16">
        <f>_xlfn.XLOOKUP(CustomerCombinedCleaned[[#This Row],[ID]], Table4[ID], Table4[Visits], "Not Found", 0)</f>
        <v>9</v>
      </c>
      <c r="W260" s="16">
        <f>_xlfn.XLOOKUP(CustomerCombinedCleaned[[#This Row],[ID]], Table2[ID],Table2[Complaint], "Not Found", 0 )</f>
        <v>0</v>
      </c>
      <c r="X260" s="16">
        <f>_xlfn.XLOOKUP(CustomerCombinedCleaned[[#This Row],[ID]], Table2[ID],Table2[Pilot], "Not Found", 0 )</f>
        <v>1</v>
      </c>
      <c r="Y260" s="16">
        <f>_xlfn.XLOOKUP(CustomerCombinedCleaned[[#This Row],[ID]], Table2[ID],Table2[MC1], "Not Found", 0 )</f>
        <v>0</v>
      </c>
      <c r="Z260" s="16">
        <f>_xlfn.XLOOKUP(CustomerCombinedCleaned[[#This Row],[ID]], Table2[ID],Table2[MC2], "Not Found", 0 )</f>
        <v>0</v>
      </c>
      <c r="AA260" s="16">
        <f>_xlfn.XLOOKUP(CustomerCombinedCleaned[[#This Row],[ID]], Table2[ID],Table2[MC3], "Not Found", 0 )</f>
        <v>0</v>
      </c>
      <c r="AB260" s="16">
        <f>_xlfn.XLOOKUP(CustomerCombinedCleaned[[#This Row],[ID]], Table2[ID],Table2[MC4], "Not Found", 0 )</f>
        <v>0</v>
      </c>
      <c r="AC260" s="16">
        <f>_xlfn.XLOOKUP(CustomerCombinedCleaned[[#This Row],[ID]], Table2[ID],Table2[MC5], "Not Found", 0 )</f>
        <v>0</v>
      </c>
    </row>
    <row r="261" spans="1:29" x14ac:dyDescent="0.3">
      <c r="A261" s="18">
        <v>3197</v>
      </c>
      <c r="B261" s="16">
        <v>111012</v>
      </c>
      <c r="C261" s="16">
        <v>1</v>
      </c>
      <c r="D261" s="16">
        <v>0</v>
      </c>
      <c r="E261" s="16">
        <v>36</v>
      </c>
      <c r="F261" s="17" t="s">
        <v>7</v>
      </c>
      <c r="G261" s="17" t="s">
        <v>11</v>
      </c>
      <c r="H261" s="3" t="s">
        <v>292</v>
      </c>
      <c r="I261" s="5" t="s">
        <v>434</v>
      </c>
      <c r="J261" s="16">
        <f>_xlfn.XLOOKUP(CustomerCombinedCleaned[[#This Row],[ID]], Table4[ID], Table4[Recency], "Not Found", 0)</f>
        <v>82</v>
      </c>
      <c r="K261" s="16">
        <f>_xlfn.XLOOKUP(CustomerCombinedCleaned[[#This Row],[ID]], Table4[ID], Table4[Teas], "Not Found", 0)</f>
        <v>242</v>
      </c>
      <c r="L261" s="16">
        <f>_xlfn.XLOOKUP(CustomerCombinedCleaned[[#This Row],[ID]], Table4[ID], Table4[Fruits], "Not Found", 0)</f>
        <v>30</v>
      </c>
      <c r="M261" s="16">
        <f>_xlfn.XLOOKUP(CustomerCombinedCleaned[[#This Row],[ID]], Table4[ID], Table4[Meats], "Not Found", 0)</f>
        <v>262</v>
      </c>
      <c r="N261" s="16">
        <f>_xlfn.XLOOKUP(CustomerCombinedCleaned[[#This Row],[ID]], Table4[ID], Table4[Seafood], "Not Found", 0)</f>
        <v>71</v>
      </c>
      <c r="O261" s="16">
        <f>_xlfn.XLOOKUP(CustomerCombinedCleaned[[#This Row],[ID]], Table4[ID], Table4[Sweets], "Not Found", 0)</f>
        <v>10</v>
      </c>
      <c r="P261" s="16">
        <f>_xlfn.XLOOKUP(CustomerCombinedCleaned[[#This Row],[ID]], Table4[ID], Table4[Premium], "Not Found", 0)</f>
        <v>232</v>
      </c>
      <c r="Q261" s="16">
        <f>_xlfn.XLOOKUP(CustomerCombinedCleaned[[#This Row],[ID]], Table4[ID], Table4[Regular], "Not Found", 0)</f>
        <v>383</v>
      </c>
      <c r="R261" s="16">
        <f>_xlfn.XLOOKUP(CustomerCombinedCleaned[[#This Row],[ID]], Table4[ID], Table4[Deals], "Not Found", 0)</f>
        <v>3</v>
      </c>
      <c r="S261" s="16">
        <f>_xlfn.XLOOKUP(CustomerCombinedCleaned[[#This Row],[ID]], Table4[ID], Table4[Website], "Not Found", 0)</f>
        <v>3</v>
      </c>
      <c r="T261" s="16">
        <f>_xlfn.XLOOKUP(CustomerCombinedCleaned[[#This Row],[ID]], Table4[ID], Table4[Catalog], "Not Found", 0)</f>
        <v>1</v>
      </c>
      <c r="U261" s="16">
        <f>_xlfn.XLOOKUP(CustomerCombinedCleaned[[#This Row],[ID]], Table4[ID], Table4[Store], "Not Found", 0)</f>
        <v>2</v>
      </c>
      <c r="V261" s="16">
        <f>_xlfn.XLOOKUP(CustomerCombinedCleaned[[#This Row],[ID]], Table4[ID], Table4[Visits], "Not Found", 0)</f>
        <v>9</v>
      </c>
      <c r="W261" s="16">
        <f>_xlfn.XLOOKUP(CustomerCombinedCleaned[[#This Row],[ID]], Table2[ID],Table2[Complaint], "Not Found", 0 )</f>
        <v>0</v>
      </c>
      <c r="X261" s="16">
        <f>_xlfn.XLOOKUP(CustomerCombinedCleaned[[#This Row],[ID]], Table2[ID],Table2[Pilot], "Not Found", 0 )</f>
        <v>0</v>
      </c>
      <c r="Y261" s="16">
        <f>_xlfn.XLOOKUP(CustomerCombinedCleaned[[#This Row],[ID]], Table2[ID],Table2[MC1], "Not Found", 0 )</f>
        <v>0</v>
      </c>
      <c r="Z261" s="16">
        <f>_xlfn.XLOOKUP(CustomerCombinedCleaned[[#This Row],[ID]], Table2[ID],Table2[MC2], "Not Found", 0 )</f>
        <v>0</v>
      </c>
      <c r="AA261" s="16">
        <f>_xlfn.XLOOKUP(CustomerCombinedCleaned[[#This Row],[ID]], Table2[ID],Table2[MC3], "Not Found", 0 )</f>
        <v>1</v>
      </c>
      <c r="AB261" s="16">
        <f>_xlfn.XLOOKUP(CustomerCombinedCleaned[[#This Row],[ID]], Table2[ID],Table2[MC4], "Not Found", 0 )</f>
        <v>0</v>
      </c>
      <c r="AC261" s="16">
        <f>_xlfn.XLOOKUP(CustomerCombinedCleaned[[#This Row],[ID]], Table2[ID],Table2[MC5], "Not Found", 0 )</f>
        <v>0</v>
      </c>
    </row>
    <row r="262" spans="1:29" x14ac:dyDescent="0.3">
      <c r="A262" s="18">
        <v>1116</v>
      </c>
      <c r="B262" s="16">
        <v>201970</v>
      </c>
      <c r="C262" s="16">
        <v>0</v>
      </c>
      <c r="D262" s="16">
        <v>0</v>
      </c>
      <c r="E262" s="16">
        <v>37</v>
      </c>
      <c r="F262" s="17" t="s">
        <v>7</v>
      </c>
      <c r="G262" s="17" t="s">
        <v>11</v>
      </c>
      <c r="H262" s="3" t="s">
        <v>295</v>
      </c>
      <c r="I262" s="5" t="s">
        <v>436</v>
      </c>
      <c r="J262" s="16">
        <f>_xlfn.XLOOKUP(CustomerCombinedCleaned[[#This Row],[ID]], Table4[ID], Table4[Recency], "Not Found", 0)</f>
        <v>69</v>
      </c>
      <c r="K262" s="16">
        <f>_xlfn.XLOOKUP(CustomerCombinedCleaned[[#This Row],[ID]], Table4[ID], Table4[Teas], "Not Found", 0)</f>
        <v>1430</v>
      </c>
      <c r="L262" s="16">
        <f>_xlfn.XLOOKUP(CustomerCombinedCleaned[[#This Row],[ID]], Table4[ID], Table4[Fruits], "Not Found", 0)</f>
        <v>53</v>
      </c>
      <c r="M262" s="16">
        <f>_xlfn.XLOOKUP(CustomerCombinedCleaned[[#This Row],[ID]], Table4[ID], Table4[Meats], "Not Found", 0)</f>
        <v>202</v>
      </c>
      <c r="N262" s="16">
        <f>_xlfn.XLOOKUP(CustomerCombinedCleaned[[#This Row],[ID]], Table4[ID], Table4[Seafood], "Not Found", 0)</f>
        <v>87</v>
      </c>
      <c r="O262" s="16">
        <f>_xlfn.XLOOKUP(CustomerCombinedCleaned[[#This Row],[ID]], Table4[ID], Table4[Sweets], "Not Found", 0)</f>
        <v>143</v>
      </c>
      <c r="P262" s="16">
        <f>_xlfn.XLOOKUP(CustomerCombinedCleaned[[#This Row],[ID]], Table4[ID], Table4[Premium], "Not Found", 0)</f>
        <v>333</v>
      </c>
      <c r="Q262" s="16">
        <f>_xlfn.XLOOKUP(CustomerCombinedCleaned[[#This Row],[ID]], Table4[ID], Table4[Regular], "Not Found", 0)</f>
        <v>1583</v>
      </c>
      <c r="R262" s="16">
        <f>_xlfn.XLOOKUP(CustomerCombinedCleaned[[#This Row],[ID]], Table4[ID], Table4[Deals], "Not Found", 0)</f>
        <v>0</v>
      </c>
      <c r="S262" s="16">
        <f>_xlfn.XLOOKUP(CustomerCombinedCleaned[[#This Row],[ID]], Table4[ID], Table4[Website], "Not Found", 0)</f>
        <v>6</v>
      </c>
      <c r="T262" s="16">
        <f>_xlfn.XLOOKUP(CustomerCombinedCleaned[[#This Row],[ID]], Table4[ID], Table4[Catalog], "Not Found", 0)</f>
        <v>8</v>
      </c>
      <c r="U262" s="16">
        <f>_xlfn.XLOOKUP(CustomerCombinedCleaned[[#This Row],[ID]], Table4[ID], Table4[Store], "Not Found", 0)</f>
        <v>13</v>
      </c>
      <c r="V262" s="16">
        <f>_xlfn.XLOOKUP(CustomerCombinedCleaned[[#This Row],[ID]], Table4[ID], Table4[Visits], "Not Found", 0)</f>
        <v>2</v>
      </c>
      <c r="W262" s="16">
        <f>_xlfn.XLOOKUP(CustomerCombinedCleaned[[#This Row],[ID]], Table2[ID],Table2[Complaint], "Not Found", 0 )</f>
        <v>0</v>
      </c>
      <c r="X262" s="16">
        <f>_xlfn.XLOOKUP(CustomerCombinedCleaned[[#This Row],[ID]], Table2[ID],Table2[Pilot], "Not Found", 0 )</f>
        <v>1</v>
      </c>
      <c r="Y262" s="16">
        <f>_xlfn.XLOOKUP(CustomerCombinedCleaned[[#This Row],[ID]], Table2[ID],Table2[MC1], "Not Found", 0 )</f>
        <v>1</v>
      </c>
      <c r="Z262" s="16">
        <f>_xlfn.XLOOKUP(CustomerCombinedCleaned[[#This Row],[ID]], Table2[ID],Table2[MC2], "Not Found", 0 )</f>
        <v>0</v>
      </c>
      <c r="AA262" s="16">
        <f>_xlfn.XLOOKUP(CustomerCombinedCleaned[[#This Row],[ID]], Table2[ID],Table2[MC3], "Not Found", 0 )</f>
        <v>0</v>
      </c>
      <c r="AB262" s="16">
        <f>_xlfn.XLOOKUP(CustomerCombinedCleaned[[#This Row],[ID]], Table2[ID],Table2[MC4], "Not Found", 0 )</f>
        <v>1</v>
      </c>
      <c r="AC262" s="16">
        <f>_xlfn.XLOOKUP(CustomerCombinedCleaned[[#This Row],[ID]], Table2[ID],Table2[MC5], "Not Found", 0 )</f>
        <v>1</v>
      </c>
    </row>
    <row r="263" spans="1:29" x14ac:dyDescent="0.3">
      <c r="A263" s="18">
        <v>2696</v>
      </c>
      <c r="B263" s="16">
        <v>192491</v>
      </c>
      <c r="C263" s="16">
        <v>0</v>
      </c>
      <c r="D263" s="16">
        <v>0</v>
      </c>
      <c r="E263" s="16">
        <v>37</v>
      </c>
      <c r="F263" s="17" t="s">
        <v>6</v>
      </c>
      <c r="G263" s="17" t="s">
        <v>13</v>
      </c>
      <c r="H263" s="3" t="s">
        <v>546</v>
      </c>
      <c r="I263" s="5" t="s">
        <v>438</v>
      </c>
      <c r="J263" s="16">
        <f>_xlfn.XLOOKUP(CustomerCombinedCleaned[[#This Row],[ID]], Table4[ID], Table4[Recency], "Not Found", 0)</f>
        <v>71</v>
      </c>
      <c r="K263" s="16">
        <f>_xlfn.XLOOKUP(CustomerCombinedCleaned[[#This Row],[ID]], Table4[ID], Table4[Teas], "Not Found", 0)</f>
        <v>2037</v>
      </c>
      <c r="L263" s="16">
        <f>_xlfn.XLOOKUP(CustomerCombinedCleaned[[#This Row],[ID]], Table4[ID], Table4[Fruits], "Not Found", 0)</f>
        <v>92</v>
      </c>
      <c r="M263" s="16">
        <f>_xlfn.XLOOKUP(CustomerCombinedCleaned[[#This Row],[ID]], Table4[ID], Table4[Meats], "Not Found", 0)</f>
        <v>1946</v>
      </c>
      <c r="N263" s="16">
        <f>_xlfn.XLOOKUP(CustomerCombinedCleaned[[#This Row],[ID]], Table4[ID], Table4[Seafood], "Not Found", 0)</f>
        <v>60</v>
      </c>
      <c r="O263" s="16">
        <f>_xlfn.XLOOKUP(CustomerCombinedCleaned[[#This Row],[ID]], Table4[ID], Table4[Sweets], "Not Found", 0)</f>
        <v>52</v>
      </c>
      <c r="P263" s="16">
        <f>_xlfn.XLOOKUP(CustomerCombinedCleaned[[#This Row],[ID]], Table4[ID], Table4[Premium], "Not Found", 0)</f>
        <v>46</v>
      </c>
      <c r="Q263" s="16">
        <f>_xlfn.XLOOKUP(CustomerCombinedCleaned[[#This Row],[ID]], Table4[ID], Table4[Regular], "Not Found", 0)</f>
        <v>4142</v>
      </c>
      <c r="R263" s="16">
        <f>_xlfn.XLOOKUP(CustomerCombinedCleaned[[#This Row],[ID]], Table4[ID], Table4[Deals], "Not Found", 0)</f>
        <v>1</v>
      </c>
      <c r="S263" s="16">
        <f>_xlfn.XLOOKUP(CustomerCombinedCleaned[[#This Row],[ID]], Table4[ID], Table4[Website], "Not Found", 0)</f>
        <v>7</v>
      </c>
      <c r="T263" s="16">
        <f>_xlfn.XLOOKUP(CustomerCombinedCleaned[[#This Row],[ID]], Table4[ID], Table4[Catalog], "Not Found", 0)</f>
        <v>5</v>
      </c>
      <c r="U263" s="16">
        <f>_xlfn.XLOOKUP(CustomerCombinedCleaned[[#This Row],[ID]], Table4[ID], Table4[Store], "Not Found", 0)</f>
        <v>12</v>
      </c>
      <c r="V263" s="16">
        <f>_xlfn.XLOOKUP(CustomerCombinedCleaned[[#This Row],[ID]], Table4[ID], Table4[Visits], "Not Found", 0)</f>
        <v>3</v>
      </c>
      <c r="W263" s="16">
        <f>_xlfn.XLOOKUP(CustomerCombinedCleaned[[#This Row],[ID]], Table2[ID],Table2[Complaint], "Not Found", 0 )</f>
        <v>0</v>
      </c>
      <c r="X263" s="16">
        <f>_xlfn.XLOOKUP(CustomerCombinedCleaned[[#This Row],[ID]], Table2[ID],Table2[Pilot], "Not Found", 0 )</f>
        <v>1</v>
      </c>
      <c r="Y263" s="16">
        <f>_xlfn.XLOOKUP(CustomerCombinedCleaned[[#This Row],[ID]], Table2[ID],Table2[MC1], "Not Found", 0 )</f>
        <v>1</v>
      </c>
      <c r="Z263" s="16">
        <f>_xlfn.XLOOKUP(CustomerCombinedCleaned[[#This Row],[ID]], Table2[ID],Table2[MC2], "Not Found", 0 )</f>
        <v>0</v>
      </c>
      <c r="AA263" s="16">
        <f>_xlfn.XLOOKUP(CustomerCombinedCleaned[[#This Row],[ID]], Table2[ID],Table2[MC3], "Not Found", 0 )</f>
        <v>0</v>
      </c>
      <c r="AB263" s="16">
        <f>_xlfn.XLOOKUP(CustomerCombinedCleaned[[#This Row],[ID]], Table2[ID],Table2[MC4], "Not Found", 0 )</f>
        <v>1</v>
      </c>
      <c r="AC263" s="16">
        <f>_xlfn.XLOOKUP(CustomerCombinedCleaned[[#This Row],[ID]], Table2[ID],Table2[MC5], "Not Found", 0 )</f>
        <v>1</v>
      </c>
    </row>
    <row r="264" spans="1:29" x14ac:dyDescent="0.3">
      <c r="A264" s="18">
        <v>2242</v>
      </c>
      <c r="B264" s="16">
        <v>190687</v>
      </c>
      <c r="C264" s="16">
        <v>0</v>
      </c>
      <c r="D264" s="16">
        <v>0</v>
      </c>
      <c r="E264" s="16">
        <v>37</v>
      </c>
      <c r="F264" s="17" t="s">
        <v>5</v>
      </c>
      <c r="G264" s="17" t="s">
        <v>13</v>
      </c>
      <c r="H264" s="3" t="s">
        <v>249</v>
      </c>
      <c r="I264" s="5" t="s">
        <v>439</v>
      </c>
      <c r="J264" s="16">
        <f>_xlfn.XLOOKUP(CustomerCombinedCleaned[[#This Row],[ID]], Table4[ID], Table4[Recency], "Not Found", 0)</f>
        <v>98</v>
      </c>
      <c r="K264" s="16">
        <f>_xlfn.XLOOKUP(CustomerCombinedCleaned[[#This Row],[ID]], Table4[ID], Table4[Teas], "Not Found", 0)</f>
        <v>2065</v>
      </c>
      <c r="L264" s="16">
        <f>_xlfn.XLOOKUP(CustomerCombinedCleaned[[#This Row],[ID]], Table4[ID], Table4[Fruits], "Not Found", 0)</f>
        <v>36</v>
      </c>
      <c r="M264" s="16">
        <f>_xlfn.XLOOKUP(CustomerCombinedCleaned[[#This Row],[ID]], Table4[ID], Table4[Meats], "Not Found", 0)</f>
        <v>1413</v>
      </c>
      <c r="N264" s="16">
        <f>_xlfn.XLOOKUP(CustomerCombinedCleaned[[#This Row],[ID]], Table4[ID], Table4[Seafood], "Not Found", 0)</f>
        <v>48</v>
      </c>
      <c r="O264" s="16">
        <f>_xlfn.XLOOKUP(CustomerCombinedCleaned[[#This Row],[ID]], Table4[ID], Table4[Sweets], "Not Found", 0)</f>
        <v>71</v>
      </c>
      <c r="P264" s="16">
        <f>_xlfn.XLOOKUP(CustomerCombinedCleaned[[#This Row],[ID]], Table4[ID], Table4[Premium], "Not Found", 0)</f>
        <v>107</v>
      </c>
      <c r="Q264" s="16">
        <f>_xlfn.XLOOKUP(CustomerCombinedCleaned[[#This Row],[ID]], Table4[ID], Table4[Regular], "Not Found", 0)</f>
        <v>3526</v>
      </c>
      <c r="R264" s="16">
        <f>_xlfn.XLOOKUP(CustomerCombinedCleaned[[#This Row],[ID]], Table4[ID], Table4[Deals], "Not Found", 0)</f>
        <v>1</v>
      </c>
      <c r="S264" s="16">
        <f>_xlfn.XLOOKUP(CustomerCombinedCleaned[[#This Row],[ID]], Table4[ID], Table4[Website], "Not Found", 0)</f>
        <v>6</v>
      </c>
      <c r="T264" s="16">
        <f>_xlfn.XLOOKUP(CustomerCombinedCleaned[[#This Row],[ID]], Table4[ID], Table4[Catalog], "Not Found", 0)</f>
        <v>2</v>
      </c>
      <c r="U264" s="16">
        <f>_xlfn.XLOOKUP(CustomerCombinedCleaned[[#This Row],[ID]], Table4[ID], Table4[Store], "Not Found", 0)</f>
        <v>8</v>
      </c>
      <c r="V264" s="16">
        <f>_xlfn.XLOOKUP(CustomerCombinedCleaned[[#This Row],[ID]], Table4[ID], Table4[Visits], "Not Found", 0)</f>
        <v>2</v>
      </c>
      <c r="W264" s="16">
        <f>_xlfn.XLOOKUP(CustomerCombinedCleaned[[#This Row],[ID]], Table2[ID],Table2[Complaint], "Not Found", 0 )</f>
        <v>0</v>
      </c>
      <c r="X264" s="16">
        <f>_xlfn.XLOOKUP(CustomerCombinedCleaned[[#This Row],[ID]], Table2[ID],Table2[Pilot], "Not Found", 0 )</f>
        <v>1</v>
      </c>
      <c r="Y264" s="16">
        <f>_xlfn.XLOOKUP(CustomerCombinedCleaned[[#This Row],[ID]], Table2[ID],Table2[MC1], "Not Found", 0 )</f>
        <v>0</v>
      </c>
      <c r="Z264" s="16">
        <f>_xlfn.XLOOKUP(CustomerCombinedCleaned[[#This Row],[ID]], Table2[ID],Table2[MC2], "Not Found", 0 )</f>
        <v>0</v>
      </c>
      <c r="AA264" s="16">
        <f>_xlfn.XLOOKUP(CustomerCombinedCleaned[[#This Row],[ID]], Table2[ID],Table2[MC3], "Not Found", 0 )</f>
        <v>0</v>
      </c>
      <c r="AB264" s="16">
        <f>_xlfn.XLOOKUP(CustomerCombinedCleaned[[#This Row],[ID]], Table2[ID],Table2[MC4], "Not Found", 0 )</f>
        <v>0</v>
      </c>
      <c r="AC264" s="16">
        <f>_xlfn.XLOOKUP(CustomerCombinedCleaned[[#This Row],[ID]], Table2[ID],Table2[MC5], "Not Found", 0 )</f>
        <v>1</v>
      </c>
    </row>
    <row r="265" spans="1:29" x14ac:dyDescent="0.3">
      <c r="A265" s="18">
        <v>3158</v>
      </c>
      <c r="B265" s="16">
        <v>189616</v>
      </c>
      <c r="C265" s="16">
        <v>0</v>
      </c>
      <c r="D265" s="16">
        <v>0</v>
      </c>
      <c r="E265" s="16">
        <v>37</v>
      </c>
      <c r="F265" s="17" t="s">
        <v>7</v>
      </c>
      <c r="G265" s="17" t="s">
        <v>12</v>
      </c>
      <c r="H265" s="3" t="s">
        <v>554</v>
      </c>
      <c r="I265" s="5" t="s">
        <v>438</v>
      </c>
      <c r="J265" s="16">
        <f>_xlfn.XLOOKUP(CustomerCombinedCleaned[[#This Row],[ID]], Table4[ID], Table4[Recency], "Not Found", 0)</f>
        <v>36</v>
      </c>
      <c r="K265" s="16">
        <f>_xlfn.XLOOKUP(CustomerCombinedCleaned[[#This Row],[ID]], Table4[ID], Table4[Teas], "Not Found", 0)</f>
        <v>1420</v>
      </c>
      <c r="L265" s="16">
        <f>_xlfn.XLOOKUP(CustomerCombinedCleaned[[#This Row],[ID]], Table4[ID], Table4[Fruits], "Not Found", 0)</f>
        <v>99</v>
      </c>
      <c r="M265" s="16">
        <f>_xlfn.XLOOKUP(CustomerCombinedCleaned[[#This Row],[ID]], Table4[ID], Table4[Meats], "Not Found", 0)</f>
        <v>1386</v>
      </c>
      <c r="N265" s="16">
        <f>_xlfn.XLOOKUP(CustomerCombinedCleaned[[#This Row],[ID]], Table4[ID], Table4[Seafood], "Not Found", 0)</f>
        <v>307</v>
      </c>
      <c r="O265" s="16">
        <f>_xlfn.XLOOKUP(CustomerCombinedCleaned[[#This Row],[ID]], Table4[ID], Table4[Sweets], "Not Found", 0)</f>
        <v>235</v>
      </c>
      <c r="P265" s="16">
        <f>_xlfn.XLOOKUP(CustomerCombinedCleaned[[#This Row],[ID]], Table4[ID], Table4[Premium], "Not Found", 0)</f>
        <v>32</v>
      </c>
      <c r="Q265" s="16">
        <f>_xlfn.XLOOKUP(CustomerCombinedCleaned[[#This Row],[ID]], Table4[ID], Table4[Regular], "Not Found", 0)</f>
        <v>3415</v>
      </c>
      <c r="R265" s="16">
        <f>_xlfn.XLOOKUP(CustomerCombinedCleaned[[#This Row],[ID]], Table4[ID], Table4[Deals], "Not Found", 0)</f>
        <v>1</v>
      </c>
      <c r="S265" s="16">
        <f>_xlfn.XLOOKUP(CustomerCombinedCleaned[[#This Row],[ID]], Table4[ID], Table4[Website], "Not Found", 0)</f>
        <v>7</v>
      </c>
      <c r="T265" s="16">
        <f>_xlfn.XLOOKUP(CustomerCombinedCleaned[[#This Row],[ID]], Table4[ID], Table4[Catalog], "Not Found", 0)</f>
        <v>5</v>
      </c>
      <c r="U265" s="16">
        <f>_xlfn.XLOOKUP(CustomerCombinedCleaned[[#This Row],[ID]], Table4[ID], Table4[Store], "Not Found", 0)</f>
        <v>12</v>
      </c>
      <c r="V265" s="16">
        <f>_xlfn.XLOOKUP(CustomerCombinedCleaned[[#This Row],[ID]], Table4[ID], Table4[Visits], "Not Found", 0)</f>
        <v>2</v>
      </c>
      <c r="W265" s="16">
        <f>_xlfn.XLOOKUP(CustomerCombinedCleaned[[#This Row],[ID]], Table2[ID],Table2[Complaint], "Not Found", 0 )</f>
        <v>0</v>
      </c>
      <c r="X265" s="16">
        <f>_xlfn.XLOOKUP(CustomerCombinedCleaned[[#This Row],[ID]], Table2[ID],Table2[Pilot], "Not Found", 0 )</f>
        <v>1</v>
      </c>
      <c r="Y265" s="16">
        <f>_xlfn.XLOOKUP(CustomerCombinedCleaned[[#This Row],[ID]], Table2[ID],Table2[MC1], "Not Found", 0 )</f>
        <v>0</v>
      </c>
      <c r="Z265" s="16">
        <f>_xlfn.XLOOKUP(CustomerCombinedCleaned[[#This Row],[ID]], Table2[ID],Table2[MC2], "Not Found", 0 )</f>
        <v>0</v>
      </c>
      <c r="AA265" s="16">
        <f>_xlfn.XLOOKUP(CustomerCombinedCleaned[[#This Row],[ID]], Table2[ID],Table2[MC3], "Not Found", 0 )</f>
        <v>0</v>
      </c>
      <c r="AB265" s="16">
        <f>_xlfn.XLOOKUP(CustomerCombinedCleaned[[#This Row],[ID]], Table2[ID],Table2[MC4], "Not Found", 0 )</f>
        <v>0</v>
      </c>
      <c r="AC265" s="16">
        <f>_xlfn.XLOOKUP(CustomerCombinedCleaned[[#This Row],[ID]], Table2[ID],Table2[MC5], "Not Found", 0 )</f>
        <v>0</v>
      </c>
    </row>
    <row r="266" spans="1:29" x14ac:dyDescent="0.3">
      <c r="A266" s="18">
        <v>2496</v>
      </c>
      <c r="B266" s="16">
        <v>187188</v>
      </c>
      <c r="C266" s="16">
        <v>0</v>
      </c>
      <c r="D266" s="16">
        <v>0</v>
      </c>
      <c r="E266" s="16">
        <v>37</v>
      </c>
      <c r="F266" s="17" t="s">
        <v>7</v>
      </c>
      <c r="G266" s="17" t="s">
        <v>13</v>
      </c>
      <c r="H266" s="3" t="s">
        <v>560</v>
      </c>
      <c r="I266" s="5" t="s">
        <v>436</v>
      </c>
      <c r="J266" s="16">
        <f>_xlfn.XLOOKUP(CustomerCombinedCleaned[[#This Row],[ID]], Table4[ID], Table4[Recency], "Not Found", 0)</f>
        <v>73</v>
      </c>
      <c r="K266" s="16">
        <f>_xlfn.XLOOKUP(CustomerCombinedCleaned[[#This Row],[ID]], Table4[ID], Table4[Teas], "Not Found", 0)</f>
        <v>1954</v>
      </c>
      <c r="L266" s="16">
        <f>_xlfn.XLOOKUP(CustomerCombinedCleaned[[#This Row],[ID]], Table4[ID], Table4[Fruits], "Not Found", 0)</f>
        <v>238</v>
      </c>
      <c r="M266" s="16">
        <f>_xlfn.XLOOKUP(CustomerCombinedCleaned[[#This Row],[ID]], Table4[ID], Table4[Meats], "Not Found", 0)</f>
        <v>1554</v>
      </c>
      <c r="N266" s="16">
        <f>_xlfn.XLOOKUP(CustomerCombinedCleaned[[#This Row],[ID]], Table4[ID], Table4[Seafood], "Not Found", 0)</f>
        <v>105</v>
      </c>
      <c r="O266" s="16">
        <f>_xlfn.XLOOKUP(CustomerCombinedCleaned[[#This Row],[ID]], Table4[ID], Table4[Sweets], "Not Found", 0)</f>
        <v>159</v>
      </c>
      <c r="P266" s="16">
        <f>_xlfn.XLOOKUP(CustomerCombinedCleaned[[#This Row],[ID]], Table4[ID], Table4[Premium], "Not Found", 0)</f>
        <v>118</v>
      </c>
      <c r="Q266" s="16">
        <f>_xlfn.XLOOKUP(CustomerCombinedCleaned[[#This Row],[ID]], Table4[ID], Table4[Regular], "Not Found", 0)</f>
        <v>3892</v>
      </c>
      <c r="R266" s="16">
        <f>_xlfn.XLOOKUP(CustomerCombinedCleaned[[#This Row],[ID]], Table4[ID], Table4[Deals], "Not Found", 0)</f>
        <v>1</v>
      </c>
      <c r="S266" s="16">
        <f>_xlfn.XLOOKUP(CustomerCombinedCleaned[[#This Row],[ID]], Table4[ID], Table4[Website], "Not Found", 0)</f>
        <v>10</v>
      </c>
      <c r="T266" s="16">
        <f>_xlfn.XLOOKUP(CustomerCombinedCleaned[[#This Row],[ID]], Table4[ID], Table4[Catalog], "Not Found", 0)</f>
        <v>2</v>
      </c>
      <c r="U266" s="16">
        <f>_xlfn.XLOOKUP(CustomerCombinedCleaned[[#This Row],[ID]], Table4[ID], Table4[Store], "Not Found", 0)</f>
        <v>6</v>
      </c>
      <c r="V266" s="16">
        <f>_xlfn.XLOOKUP(CustomerCombinedCleaned[[#This Row],[ID]], Table4[ID], Table4[Visits], "Not Found", 0)</f>
        <v>3</v>
      </c>
      <c r="W266" s="16">
        <f>_xlfn.XLOOKUP(CustomerCombinedCleaned[[#This Row],[ID]], Table2[ID],Table2[Complaint], "Not Found", 0 )</f>
        <v>0</v>
      </c>
      <c r="X266" s="16">
        <f>_xlfn.XLOOKUP(CustomerCombinedCleaned[[#This Row],[ID]], Table2[ID],Table2[Pilot], "Not Found", 0 )</f>
        <v>1</v>
      </c>
      <c r="Y266" s="16">
        <f>_xlfn.XLOOKUP(CustomerCombinedCleaned[[#This Row],[ID]], Table2[ID],Table2[MC1], "Not Found", 0 )</f>
        <v>0</v>
      </c>
      <c r="Z266" s="16">
        <f>_xlfn.XLOOKUP(CustomerCombinedCleaned[[#This Row],[ID]], Table2[ID],Table2[MC2], "Not Found", 0 )</f>
        <v>0</v>
      </c>
      <c r="AA266" s="16">
        <f>_xlfn.XLOOKUP(CustomerCombinedCleaned[[#This Row],[ID]], Table2[ID],Table2[MC3], "Not Found", 0 )</f>
        <v>0</v>
      </c>
      <c r="AB266" s="16">
        <f>_xlfn.XLOOKUP(CustomerCombinedCleaned[[#This Row],[ID]], Table2[ID],Table2[MC4], "Not Found", 0 )</f>
        <v>0</v>
      </c>
      <c r="AC266" s="16">
        <f>_xlfn.XLOOKUP(CustomerCombinedCleaned[[#This Row],[ID]], Table2[ID],Table2[MC5], "Not Found", 0 )</f>
        <v>0</v>
      </c>
    </row>
    <row r="267" spans="1:29" x14ac:dyDescent="0.3">
      <c r="A267" s="18">
        <v>2672</v>
      </c>
      <c r="B267" s="16">
        <v>186580</v>
      </c>
      <c r="C267" s="16">
        <v>0</v>
      </c>
      <c r="D267" s="16">
        <v>0</v>
      </c>
      <c r="E267" s="16">
        <v>37</v>
      </c>
      <c r="F267" s="17" t="s">
        <v>6</v>
      </c>
      <c r="G267" s="17" t="s">
        <v>13</v>
      </c>
      <c r="H267" s="3" t="s">
        <v>562</v>
      </c>
      <c r="I267" s="5" t="s">
        <v>438</v>
      </c>
      <c r="J267" s="16">
        <f>_xlfn.XLOOKUP(CustomerCombinedCleaned[[#This Row],[ID]], Table4[ID], Table4[Recency], "Not Found", 0)</f>
        <v>72</v>
      </c>
      <c r="K267" s="16">
        <f>_xlfn.XLOOKUP(CustomerCombinedCleaned[[#This Row],[ID]], Table4[ID], Table4[Teas], "Not Found", 0)</f>
        <v>1146</v>
      </c>
      <c r="L267" s="16">
        <f>_xlfn.XLOOKUP(CustomerCombinedCleaned[[#This Row],[ID]], Table4[ID], Table4[Fruits], "Not Found", 0)</f>
        <v>45</v>
      </c>
      <c r="M267" s="16">
        <f>_xlfn.XLOOKUP(CustomerCombinedCleaned[[#This Row],[ID]], Table4[ID], Table4[Meats], "Not Found", 0)</f>
        <v>274</v>
      </c>
      <c r="N267" s="16">
        <f>_xlfn.XLOOKUP(CustomerCombinedCleaned[[#This Row],[ID]], Table4[ID], Table4[Seafood], "Not Found", 0)</f>
        <v>56</v>
      </c>
      <c r="O267" s="16">
        <f>_xlfn.XLOOKUP(CustomerCombinedCleaned[[#This Row],[ID]], Table4[ID], Table4[Sweets], "Not Found", 0)</f>
        <v>43</v>
      </c>
      <c r="P267" s="16">
        <f>_xlfn.XLOOKUP(CustomerCombinedCleaned[[#This Row],[ID]], Table4[ID], Table4[Premium], "Not Found", 0)</f>
        <v>43</v>
      </c>
      <c r="Q267" s="16">
        <f>_xlfn.XLOOKUP(CustomerCombinedCleaned[[#This Row],[ID]], Table4[ID], Table4[Regular], "Not Found", 0)</f>
        <v>1521</v>
      </c>
      <c r="R267" s="16">
        <f>_xlfn.XLOOKUP(CustomerCombinedCleaned[[#This Row],[ID]], Table4[ID], Table4[Deals], "Not Found", 0)</f>
        <v>0</v>
      </c>
      <c r="S267" s="16">
        <f>_xlfn.XLOOKUP(CustomerCombinedCleaned[[#This Row],[ID]], Table4[ID], Table4[Website], "Not Found", 0)</f>
        <v>4</v>
      </c>
      <c r="T267" s="16">
        <f>_xlfn.XLOOKUP(CustomerCombinedCleaned[[#This Row],[ID]], Table4[ID], Table4[Catalog], "Not Found", 0)</f>
        <v>2</v>
      </c>
      <c r="U267" s="16">
        <f>_xlfn.XLOOKUP(CustomerCombinedCleaned[[#This Row],[ID]], Table4[ID], Table4[Store], "Not Found", 0)</f>
        <v>5</v>
      </c>
      <c r="V267" s="16">
        <f>_xlfn.XLOOKUP(CustomerCombinedCleaned[[#This Row],[ID]], Table4[ID], Table4[Visits], "Not Found", 0)</f>
        <v>1</v>
      </c>
      <c r="W267" s="16">
        <f>_xlfn.XLOOKUP(CustomerCombinedCleaned[[#This Row],[ID]], Table2[ID],Table2[Complaint], "Not Found", 0 )</f>
        <v>0</v>
      </c>
      <c r="X267" s="16">
        <f>_xlfn.XLOOKUP(CustomerCombinedCleaned[[#This Row],[ID]], Table2[ID],Table2[Pilot], "Not Found", 0 )</f>
        <v>0</v>
      </c>
      <c r="Y267" s="16">
        <f>_xlfn.XLOOKUP(CustomerCombinedCleaned[[#This Row],[ID]], Table2[ID],Table2[MC1], "Not Found", 0 )</f>
        <v>0</v>
      </c>
      <c r="Z267" s="16">
        <f>_xlfn.XLOOKUP(CustomerCombinedCleaned[[#This Row],[ID]], Table2[ID],Table2[MC2], "Not Found", 0 )</f>
        <v>0</v>
      </c>
      <c r="AA267" s="16">
        <f>_xlfn.XLOOKUP(CustomerCombinedCleaned[[#This Row],[ID]], Table2[ID],Table2[MC3], "Not Found", 0 )</f>
        <v>0</v>
      </c>
      <c r="AB267" s="16">
        <f>_xlfn.XLOOKUP(CustomerCombinedCleaned[[#This Row],[ID]], Table2[ID],Table2[MC4], "Not Found", 0 )</f>
        <v>0</v>
      </c>
      <c r="AC267" s="16">
        <f>_xlfn.XLOOKUP(CustomerCombinedCleaned[[#This Row],[ID]], Table2[ID],Table2[MC5], "Not Found", 0 )</f>
        <v>1</v>
      </c>
    </row>
    <row r="268" spans="1:29" x14ac:dyDescent="0.3">
      <c r="A268" s="18">
        <v>1923</v>
      </c>
      <c r="B268" s="16">
        <v>182025</v>
      </c>
      <c r="C268" s="16">
        <v>0</v>
      </c>
      <c r="D268" s="16">
        <v>0</v>
      </c>
      <c r="E268" s="16">
        <v>37</v>
      </c>
      <c r="F268" s="17" t="s">
        <v>5</v>
      </c>
      <c r="G268" s="17" t="s">
        <v>11</v>
      </c>
      <c r="H268" s="3" t="s">
        <v>590</v>
      </c>
      <c r="I268" s="5" t="s">
        <v>435</v>
      </c>
      <c r="J268" s="16">
        <f>_xlfn.XLOOKUP(CustomerCombinedCleaned[[#This Row],[ID]], Table4[ID], Table4[Recency], "Not Found", 0)</f>
        <v>76</v>
      </c>
      <c r="K268" s="16">
        <f>_xlfn.XLOOKUP(CustomerCombinedCleaned[[#This Row],[ID]], Table4[ID], Table4[Teas], "Not Found", 0)</f>
        <v>593</v>
      </c>
      <c r="L268" s="16">
        <f>_xlfn.XLOOKUP(CustomerCombinedCleaned[[#This Row],[ID]], Table4[ID], Table4[Fruits], "Not Found", 0)</f>
        <v>217</v>
      </c>
      <c r="M268" s="16">
        <f>_xlfn.XLOOKUP(CustomerCombinedCleaned[[#This Row],[ID]], Table4[ID], Table4[Meats], "Not Found", 0)</f>
        <v>1345</v>
      </c>
      <c r="N268" s="16">
        <f>_xlfn.XLOOKUP(CustomerCombinedCleaned[[#This Row],[ID]], Table4[ID], Table4[Seafood], "Not Found", 0)</f>
        <v>107</v>
      </c>
      <c r="O268" s="16">
        <f>_xlfn.XLOOKUP(CustomerCombinedCleaned[[#This Row],[ID]], Table4[ID], Table4[Sweets], "Not Found", 0)</f>
        <v>155</v>
      </c>
      <c r="P268" s="16">
        <f>_xlfn.XLOOKUP(CustomerCombinedCleaned[[#This Row],[ID]], Table4[ID], Table4[Premium], "Not Found", 0)</f>
        <v>217</v>
      </c>
      <c r="Q268" s="16">
        <f>_xlfn.XLOOKUP(CustomerCombinedCleaned[[#This Row],[ID]], Table4[ID], Table4[Regular], "Not Found", 0)</f>
        <v>2199</v>
      </c>
      <c r="R268" s="16">
        <f>_xlfn.XLOOKUP(CustomerCombinedCleaned[[#This Row],[ID]], Table4[ID], Table4[Deals], "Not Found", 0)</f>
        <v>1</v>
      </c>
      <c r="S268" s="16">
        <f>_xlfn.XLOOKUP(CustomerCombinedCleaned[[#This Row],[ID]], Table4[ID], Table4[Website], "Not Found", 0)</f>
        <v>3</v>
      </c>
      <c r="T268" s="16">
        <f>_xlfn.XLOOKUP(CustomerCombinedCleaned[[#This Row],[ID]], Table4[ID], Table4[Catalog], "Not Found", 0)</f>
        <v>2</v>
      </c>
      <c r="U268" s="16">
        <f>_xlfn.XLOOKUP(CustomerCombinedCleaned[[#This Row],[ID]], Table4[ID], Table4[Store], "Not Found", 0)</f>
        <v>6</v>
      </c>
      <c r="V268" s="16">
        <f>_xlfn.XLOOKUP(CustomerCombinedCleaned[[#This Row],[ID]], Table4[ID], Table4[Visits], "Not Found", 0)</f>
        <v>1</v>
      </c>
      <c r="W268" s="16">
        <f>_xlfn.XLOOKUP(CustomerCombinedCleaned[[#This Row],[ID]], Table2[ID],Table2[Complaint], "Not Found", 0 )</f>
        <v>0</v>
      </c>
      <c r="X268" s="16">
        <f>_xlfn.XLOOKUP(CustomerCombinedCleaned[[#This Row],[ID]], Table2[ID],Table2[Pilot], "Not Found", 0 )</f>
        <v>1</v>
      </c>
      <c r="Y268" s="16">
        <f>_xlfn.XLOOKUP(CustomerCombinedCleaned[[#This Row],[ID]], Table2[ID],Table2[MC1], "Not Found", 0 )</f>
        <v>0</v>
      </c>
      <c r="Z268" s="16">
        <f>_xlfn.XLOOKUP(CustomerCombinedCleaned[[#This Row],[ID]], Table2[ID],Table2[MC2], "Not Found", 0 )</f>
        <v>0</v>
      </c>
      <c r="AA268" s="16">
        <f>_xlfn.XLOOKUP(CustomerCombinedCleaned[[#This Row],[ID]], Table2[ID],Table2[MC3], "Not Found", 0 )</f>
        <v>0</v>
      </c>
      <c r="AB268" s="16">
        <f>_xlfn.XLOOKUP(CustomerCombinedCleaned[[#This Row],[ID]], Table2[ID],Table2[MC4], "Not Found", 0 )</f>
        <v>0</v>
      </c>
      <c r="AC268" s="16">
        <f>_xlfn.XLOOKUP(CustomerCombinedCleaned[[#This Row],[ID]], Table2[ID],Table2[MC5], "Not Found", 0 )</f>
        <v>1</v>
      </c>
    </row>
    <row r="269" spans="1:29" x14ac:dyDescent="0.3">
      <c r="A269" s="18">
        <v>2092</v>
      </c>
      <c r="B269" s="16">
        <v>181698</v>
      </c>
      <c r="C269" s="16">
        <v>0</v>
      </c>
      <c r="D269" s="16">
        <v>0</v>
      </c>
      <c r="E269" s="16">
        <v>37</v>
      </c>
      <c r="F269" s="17" t="s">
        <v>7</v>
      </c>
      <c r="G269" s="17" t="s">
        <v>11</v>
      </c>
      <c r="H269" s="3" t="s">
        <v>595</v>
      </c>
      <c r="I269" s="5" t="s">
        <v>439</v>
      </c>
      <c r="J269" s="16">
        <f>_xlfn.XLOOKUP(CustomerCombinedCleaned[[#This Row],[ID]], Table4[ID], Table4[Recency], "Not Found", 0)</f>
        <v>1</v>
      </c>
      <c r="K269" s="16">
        <f>_xlfn.XLOOKUP(CustomerCombinedCleaned[[#This Row],[ID]], Table4[ID], Table4[Teas], "Not Found", 0)</f>
        <v>1577</v>
      </c>
      <c r="L269" s="16">
        <f>_xlfn.XLOOKUP(CustomerCombinedCleaned[[#This Row],[ID]], Table4[ID], Table4[Fruits], "Not Found", 0)</f>
        <v>100</v>
      </c>
      <c r="M269" s="16">
        <f>_xlfn.XLOOKUP(CustomerCombinedCleaned[[#This Row],[ID]], Table4[ID], Table4[Meats], "Not Found", 0)</f>
        <v>256</v>
      </c>
      <c r="N269" s="16">
        <f>_xlfn.XLOOKUP(CustomerCombinedCleaned[[#This Row],[ID]], Table4[ID], Table4[Seafood], "Not Found", 0)</f>
        <v>67</v>
      </c>
      <c r="O269" s="16">
        <f>_xlfn.XLOOKUP(CustomerCombinedCleaned[[#This Row],[ID]], Table4[ID], Table4[Sweets], "Not Found", 0)</f>
        <v>356</v>
      </c>
      <c r="P269" s="16">
        <f>_xlfn.XLOOKUP(CustomerCombinedCleaned[[#This Row],[ID]], Table4[ID], Table4[Premium], "Not Found", 0)</f>
        <v>100</v>
      </c>
      <c r="Q269" s="16">
        <f>_xlfn.XLOOKUP(CustomerCombinedCleaned[[#This Row],[ID]], Table4[ID], Table4[Regular], "Not Found", 0)</f>
        <v>2255</v>
      </c>
      <c r="R269" s="16">
        <f>_xlfn.XLOOKUP(CustomerCombinedCleaned[[#This Row],[ID]], Table4[ID], Table4[Deals], "Not Found", 0)</f>
        <v>1</v>
      </c>
      <c r="S269" s="16">
        <f>_xlfn.XLOOKUP(CustomerCombinedCleaned[[#This Row],[ID]], Table4[ID], Table4[Website], "Not Found", 0)</f>
        <v>8</v>
      </c>
      <c r="T269" s="16">
        <f>_xlfn.XLOOKUP(CustomerCombinedCleaned[[#This Row],[ID]], Table4[ID], Table4[Catalog], "Not Found", 0)</f>
        <v>2</v>
      </c>
      <c r="U269" s="16">
        <f>_xlfn.XLOOKUP(CustomerCombinedCleaned[[#This Row],[ID]], Table4[ID], Table4[Store], "Not Found", 0)</f>
        <v>5</v>
      </c>
      <c r="V269" s="16">
        <f>_xlfn.XLOOKUP(CustomerCombinedCleaned[[#This Row],[ID]], Table4[ID], Table4[Visits], "Not Found", 0)</f>
        <v>5</v>
      </c>
      <c r="W269" s="16">
        <f>_xlfn.XLOOKUP(CustomerCombinedCleaned[[#This Row],[ID]], Table2[ID],Table2[Complaint], "Not Found", 0 )</f>
        <v>0</v>
      </c>
      <c r="X269" s="16">
        <f>_xlfn.XLOOKUP(CustomerCombinedCleaned[[#This Row],[ID]], Table2[ID],Table2[Pilot], "Not Found", 0 )</f>
        <v>1</v>
      </c>
      <c r="Y269" s="16">
        <f>_xlfn.XLOOKUP(CustomerCombinedCleaned[[#This Row],[ID]], Table2[ID],Table2[MC1], "Not Found", 0 )</f>
        <v>1</v>
      </c>
      <c r="Z269" s="16">
        <f>_xlfn.XLOOKUP(CustomerCombinedCleaned[[#This Row],[ID]], Table2[ID],Table2[MC2], "Not Found", 0 )</f>
        <v>0</v>
      </c>
      <c r="AA269" s="16">
        <f>_xlfn.XLOOKUP(CustomerCombinedCleaned[[#This Row],[ID]], Table2[ID],Table2[MC3], "Not Found", 0 )</f>
        <v>0</v>
      </c>
      <c r="AB269" s="16">
        <f>_xlfn.XLOOKUP(CustomerCombinedCleaned[[#This Row],[ID]], Table2[ID],Table2[MC4], "Not Found", 0 )</f>
        <v>0</v>
      </c>
      <c r="AC269" s="16">
        <f>_xlfn.XLOOKUP(CustomerCombinedCleaned[[#This Row],[ID]], Table2[ID],Table2[MC5], "Not Found", 0 )</f>
        <v>0</v>
      </c>
    </row>
    <row r="270" spans="1:29" x14ac:dyDescent="0.3">
      <c r="A270" s="18">
        <v>2261</v>
      </c>
      <c r="B270" s="16">
        <v>178687</v>
      </c>
      <c r="C270" s="16">
        <v>0</v>
      </c>
      <c r="D270" s="16">
        <v>0</v>
      </c>
      <c r="E270" s="16">
        <v>37</v>
      </c>
      <c r="F270" s="17" t="s">
        <v>8</v>
      </c>
      <c r="G270" s="17" t="s">
        <v>11</v>
      </c>
      <c r="H270" s="3" t="s">
        <v>419</v>
      </c>
      <c r="I270" s="5" t="s">
        <v>434</v>
      </c>
      <c r="J270" s="16">
        <f>_xlfn.XLOOKUP(CustomerCombinedCleaned[[#This Row],[ID]], Table4[ID], Table4[Recency], "Not Found", 0)</f>
        <v>13</v>
      </c>
      <c r="K270" s="16">
        <f>_xlfn.XLOOKUP(CustomerCombinedCleaned[[#This Row],[ID]], Table4[ID], Table4[Teas], "Not Found", 0)</f>
        <v>1855</v>
      </c>
      <c r="L270" s="16">
        <f>_xlfn.XLOOKUP(CustomerCombinedCleaned[[#This Row],[ID]], Table4[ID], Table4[Fruits], "Not Found", 0)</f>
        <v>420</v>
      </c>
      <c r="M270" s="16">
        <f>_xlfn.XLOOKUP(CustomerCombinedCleaned[[#This Row],[ID]], Table4[ID], Table4[Meats], "Not Found", 0)</f>
        <v>1560</v>
      </c>
      <c r="N270" s="16">
        <f>_xlfn.XLOOKUP(CustomerCombinedCleaned[[#This Row],[ID]], Table4[ID], Table4[Seafood], "Not Found", 0)</f>
        <v>329</v>
      </c>
      <c r="O270" s="16">
        <f>_xlfn.XLOOKUP(CustomerCombinedCleaned[[#This Row],[ID]], Table4[ID], Table4[Sweets], "Not Found", 0)</f>
        <v>125</v>
      </c>
      <c r="P270" s="16">
        <f>_xlfn.XLOOKUP(CustomerCombinedCleaned[[#This Row],[ID]], Table4[ID], Table4[Premium], "Not Found", 0)</f>
        <v>547</v>
      </c>
      <c r="Q270" s="16">
        <f>_xlfn.XLOOKUP(CustomerCombinedCleaned[[#This Row],[ID]], Table4[ID], Table4[Regular], "Not Found", 0)</f>
        <v>3742</v>
      </c>
      <c r="R270" s="16">
        <f>_xlfn.XLOOKUP(CustomerCombinedCleaned[[#This Row],[ID]], Table4[ID], Table4[Deals], "Not Found", 0)</f>
        <v>1</v>
      </c>
      <c r="S270" s="16">
        <f>_xlfn.XLOOKUP(CustomerCombinedCleaned[[#This Row],[ID]], Table4[ID], Table4[Website], "Not Found", 0)</f>
        <v>4</v>
      </c>
      <c r="T270" s="16">
        <f>_xlfn.XLOOKUP(CustomerCombinedCleaned[[#This Row],[ID]], Table4[ID], Table4[Catalog], "Not Found", 0)</f>
        <v>6</v>
      </c>
      <c r="U270" s="16">
        <f>_xlfn.XLOOKUP(CustomerCombinedCleaned[[#This Row],[ID]], Table4[ID], Table4[Store], "Not Found", 0)</f>
        <v>8</v>
      </c>
      <c r="V270" s="16">
        <f>_xlfn.XLOOKUP(CustomerCombinedCleaned[[#This Row],[ID]], Table4[ID], Table4[Visits], "Not Found", 0)</f>
        <v>2</v>
      </c>
      <c r="W270" s="16">
        <f>_xlfn.XLOOKUP(CustomerCombinedCleaned[[#This Row],[ID]], Table2[ID],Table2[Complaint], "Not Found", 0 )</f>
        <v>0</v>
      </c>
      <c r="X270" s="16">
        <f>_xlfn.XLOOKUP(CustomerCombinedCleaned[[#This Row],[ID]], Table2[ID],Table2[Pilot], "Not Found", 0 )</f>
        <v>1</v>
      </c>
      <c r="Y270" s="16">
        <f>_xlfn.XLOOKUP(CustomerCombinedCleaned[[#This Row],[ID]], Table2[ID],Table2[MC1], "Not Found", 0 )</f>
        <v>0</v>
      </c>
      <c r="Z270" s="16">
        <f>_xlfn.XLOOKUP(CustomerCombinedCleaned[[#This Row],[ID]], Table2[ID],Table2[MC2], "Not Found", 0 )</f>
        <v>0</v>
      </c>
      <c r="AA270" s="16">
        <f>_xlfn.XLOOKUP(CustomerCombinedCleaned[[#This Row],[ID]], Table2[ID],Table2[MC3], "Not Found", 0 )</f>
        <v>0</v>
      </c>
      <c r="AB270" s="16">
        <f>_xlfn.XLOOKUP(CustomerCombinedCleaned[[#This Row],[ID]], Table2[ID],Table2[MC4], "Not Found", 0 )</f>
        <v>0</v>
      </c>
      <c r="AC270" s="16">
        <f>_xlfn.XLOOKUP(CustomerCombinedCleaned[[#This Row],[ID]], Table2[ID],Table2[MC5], "Not Found", 0 )</f>
        <v>1</v>
      </c>
    </row>
    <row r="271" spans="1:29" x14ac:dyDescent="0.3">
      <c r="A271" s="18">
        <v>1873</v>
      </c>
      <c r="B271" s="16">
        <v>176630</v>
      </c>
      <c r="C271" s="16">
        <v>0</v>
      </c>
      <c r="D271" s="16">
        <v>0</v>
      </c>
      <c r="E271" s="16">
        <v>37</v>
      </c>
      <c r="F271" s="17" t="s">
        <v>6</v>
      </c>
      <c r="G271" s="17" t="s">
        <v>11</v>
      </c>
      <c r="H271" s="3" t="s">
        <v>116</v>
      </c>
      <c r="I271" s="5" t="s">
        <v>437</v>
      </c>
      <c r="J271" s="16">
        <f>_xlfn.XLOOKUP(CustomerCombinedCleaned[[#This Row],[ID]], Table4[ID], Table4[Recency], "Not Found", 0)</f>
        <v>93</v>
      </c>
      <c r="K271" s="16">
        <f>_xlfn.XLOOKUP(CustomerCombinedCleaned[[#This Row],[ID]], Table4[ID], Table4[Teas], "Not Found", 0)</f>
        <v>588</v>
      </c>
      <c r="L271" s="16">
        <f>_xlfn.XLOOKUP(CustomerCombinedCleaned[[#This Row],[ID]], Table4[ID], Table4[Fruits], "Not Found", 0)</f>
        <v>71</v>
      </c>
      <c r="M271" s="16">
        <f>_xlfn.XLOOKUP(CustomerCombinedCleaned[[#This Row],[ID]], Table4[ID], Table4[Meats], "Not Found", 0)</f>
        <v>1028</v>
      </c>
      <c r="N271" s="16">
        <f>_xlfn.XLOOKUP(CustomerCombinedCleaned[[#This Row],[ID]], Table4[ID], Table4[Seafood], "Not Found", 0)</f>
        <v>92</v>
      </c>
      <c r="O271" s="16">
        <f>_xlfn.XLOOKUP(CustomerCombinedCleaned[[#This Row],[ID]], Table4[ID], Table4[Sweets], "Not Found", 0)</f>
        <v>129</v>
      </c>
      <c r="P271" s="16">
        <f>_xlfn.XLOOKUP(CustomerCombinedCleaned[[#This Row],[ID]], Table4[ID], Table4[Premium], "Not Found", 0)</f>
        <v>403</v>
      </c>
      <c r="Q271" s="16">
        <f>_xlfn.XLOOKUP(CustomerCombinedCleaned[[#This Row],[ID]], Table4[ID], Table4[Regular], "Not Found", 0)</f>
        <v>1505</v>
      </c>
      <c r="R271" s="16">
        <f>_xlfn.XLOOKUP(CustomerCombinedCleaned[[#This Row],[ID]], Table4[ID], Table4[Deals], "Not Found", 0)</f>
        <v>1</v>
      </c>
      <c r="S271" s="16">
        <f>_xlfn.XLOOKUP(CustomerCombinedCleaned[[#This Row],[ID]], Table4[ID], Table4[Website], "Not Found", 0)</f>
        <v>3</v>
      </c>
      <c r="T271" s="16">
        <f>_xlfn.XLOOKUP(CustomerCombinedCleaned[[#This Row],[ID]], Table4[ID], Table4[Catalog], "Not Found", 0)</f>
        <v>10</v>
      </c>
      <c r="U271" s="16">
        <f>_xlfn.XLOOKUP(CustomerCombinedCleaned[[#This Row],[ID]], Table4[ID], Table4[Store], "Not Found", 0)</f>
        <v>11</v>
      </c>
      <c r="V271" s="16">
        <f>_xlfn.XLOOKUP(CustomerCombinedCleaned[[#This Row],[ID]], Table4[ID], Table4[Visits], "Not Found", 0)</f>
        <v>1</v>
      </c>
      <c r="W271" s="16">
        <f>_xlfn.XLOOKUP(CustomerCombinedCleaned[[#This Row],[ID]], Table2[ID],Table2[Complaint], "Not Found", 0 )</f>
        <v>0</v>
      </c>
      <c r="X271" s="16">
        <f>_xlfn.XLOOKUP(CustomerCombinedCleaned[[#This Row],[ID]], Table2[ID],Table2[Pilot], "Not Found", 0 )</f>
        <v>0</v>
      </c>
      <c r="Y271" s="16">
        <f>_xlfn.XLOOKUP(CustomerCombinedCleaned[[#This Row],[ID]], Table2[ID],Table2[MC1], "Not Found", 0 )</f>
        <v>0</v>
      </c>
      <c r="Z271" s="16">
        <f>_xlfn.XLOOKUP(CustomerCombinedCleaned[[#This Row],[ID]], Table2[ID],Table2[MC2], "Not Found", 0 )</f>
        <v>0</v>
      </c>
      <c r="AA271" s="16">
        <f>_xlfn.XLOOKUP(CustomerCombinedCleaned[[#This Row],[ID]], Table2[ID],Table2[MC3], "Not Found", 0 )</f>
        <v>0</v>
      </c>
      <c r="AB271" s="16">
        <f>_xlfn.XLOOKUP(CustomerCombinedCleaned[[#This Row],[ID]], Table2[ID],Table2[MC4], "Not Found", 0 )</f>
        <v>0</v>
      </c>
      <c r="AC271" s="16">
        <f>_xlfn.XLOOKUP(CustomerCombinedCleaned[[#This Row],[ID]], Table2[ID],Table2[MC5], "Not Found", 0 )</f>
        <v>0</v>
      </c>
    </row>
    <row r="272" spans="1:29" x14ac:dyDescent="0.3">
      <c r="A272" s="18">
        <v>1851</v>
      </c>
      <c r="B272" s="16">
        <v>170123</v>
      </c>
      <c r="C272" s="16">
        <v>0</v>
      </c>
      <c r="D272" s="16">
        <v>0</v>
      </c>
      <c r="E272" s="16">
        <v>37</v>
      </c>
      <c r="F272" s="17" t="s">
        <v>8</v>
      </c>
      <c r="G272" s="17" t="s">
        <v>13</v>
      </c>
      <c r="H272" s="3" t="s">
        <v>670</v>
      </c>
      <c r="I272" s="5" t="s">
        <v>435</v>
      </c>
      <c r="J272" s="16">
        <f>_xlfn.XLOOKUP(CustomerCombinedCleaned[[#This Row],[ID]], Table4[ID], Table4[Recency], "Not Found", 0)</f>
        <v>27</v>
      </c>
      <c r="K272" s="16">
        <f>_xlfn.XLOOKUP(CustomerCombinedCleaned[[#This Row],[ID]], Table4[ID], Table4[Teas], "Not Found", 0)</f>
        <v>3173</v>
      </c>
      <c r="L272" s="16">
        <f>_xlfn.XLOOKUP(CustomerCombinedCleaned[[#This Row],[ID]], Table4[ID], Table4[Fruits], "Not Found", 0)</f>
        <v>0</v>
      </c>
      <c r="M272" s="16">
        <f>_xlfn.XLOOKUP(CustomerCombinedCleaned[[#This Row],[ID]], Table4[ID], Table4[Meats], "Not Found", 0)</f>
        <v>961</v>
      </c>
      <c r="N272" s="16">
        <f>_xlfn.XLOOKUP(CustomerCombinedCleaned[[#This Row],[ID]], Table4[ID], Table4[Seafood], "Not Found", 0)</f>
        <v>56</v>
      </c>
      <c r="O272" s="16">
        <f>_xlfn.XLOOKUP(CustomerCombinedCleaned[[#This Row],[ID]], Table4[ID], Table4[Sweets], "Not Found", 0)</f>
        <v>0</v>
      </c>
      <c r="P272" s="16">
        <f>_xlfn.XLOOKUP(CustomerCombinedCleaned[[#This Row],[ID]], Table4[ID], Table4[Premium], "Not Found", 0)</f>
        <v>0</v>
      </c>
      <c r="Q272" s="16">
        <f>_xlfn.XLOOKUP(CustomerCombinedCleaned[[#This Row],[ID]], Table4[ID], Table4[Regular], "Not Found", 0)</f>
        <v>4190</v>
      </c>
      <c r="R272" s="16">
        <f>_xlfn.XLOOKUP(CustomerCombinedCleaned[[#This Row],[ID]], Table4[ID], Table4[Deals], "Not Found", 0)</f>
        <v>1</v>
      </c>
      <c r="S272" s="16">
        <f>_xlfn.XLOOKUP(CustomerCombinedCleaned[[#This Row],[ID]], Table4[ID], Table4[Website], "Not Found", 0)</f>
        <v>5</v>
      </c>
      <c r="T272" s="16">
        <f>_xlfn.XLOOKUP(CustomerCombinedCleaned[[#This Row],[ID]], Table4[ID], Table4[Catalog], "Not Found", 0)</f>
        <v>7</v>
      </c>
      <c r="U272" s="16">
        <f>_xlfn.XLOOKUP(CustomerCombinedCleaned[[#This Row],[ID]], Table4[ID], Table4[Store], "Not Found", 0)</f>
        <v>4</v>
      </c>
      <c r="V272" s="16">
        <f>_xlfn.XLOOKUP(CustomerCombinedCleaned[[#This Row],[ID]], Table4[ID], Table4[Visits], "Not Found", 0)</f>
        <v>3</v>
      </c>
      <c r="W272" s="16">
        <f>_xlfn.XLOOKUP(CustomerCombinedCleaned[[#This Row],[ID]], Table2[ID],Table2[Complaint], "Not Found", 0 )</f>
        <v>0</v>
      </c>
      <c r="X272" s="16">
        <f>_xlfn.XLOOKUP(CustomerCombinedCleaned[[#This Row],[ID]], Table2[ID],Table2[Pilot], "Not Found", 0 )</f>
        <v>0</v>
      </c>
      <c r="Y272" s="16">
        <f>_xlfn.XLOOKUP(CustomerCombinedCleaned[[#This Row],[ID]], Table2[ID],Table2[MC1], "Not Found", 0 )</f>
        <v>0</v>
      </c>
      <c r="Z272" s="16">
        <f>_xlfn.XLOOKUP(CustomerCombinedCleaned[[#This Row],[ID]], Table2[ID],Table2[MC2], "Not Found", 0 )</f>
        <v>1</v>
      </c>
      <c r="AA272" s="16">
        <f>_xlfn.XLOOKUP(CustomerCombinedCleaned[[#This Row],[ID]], Table2[ID],Table2[MC3], "Not Found", 0 )</f>
        <v>0</v>
      </c>
      <c r="AB272" s="16">
        <f>_xlfn.XLOOKUP(CustomerCombinedCleaned[[#This Row],[ID]], Table2[ID],Table2[MC4], "Not Found", 0 )</f>
        <v>1</v>
      </c>
      <c r="AC272" s="16">
        <f>_xlfn.XLOOKUP(CustomerCombinedCleaned[[#This Row],[ID]], Table2[ID],Table2[MC5], "Not Found", 0 )</f>
        <v>0</v>
      </c>
    </row>
    <row r="273" spans="1:29" x14ac:dyDescent="0.3">
      <c r="A273" s="18">
        <v>3047</v>
      </c>
      <c r="B273" s="16">
        <v>169520</v>
      </c>
      <c r="C273" s="16">
        <v>0</v>
      </c>
      <c r="D273" s="16">
        <v>0</v>
      </c>
      <c r="E273" s="16">
        <v>37</v>
      </c>
      <c r="F273" s="17" t="s">
        <v>6</v>
      </c>
      <c r="G273" s="17" t="s">
        <v>11</v>
      </c>
      <c r="H273" s="3" t="s">
        <v>674</v>
      </c>
      <c r="I273" s="5" t="s">
        <v>434</v>
      </c>
      <c r="J273" s="16">
        <f>_xlfn.XLOOKUP(CustomerCombinedCleaned[[#This Row],[ID]], Table4[ID], Table4[Recency], "Not Found", 0)</f>
        <v>95</v>
      </c>
      <c r="K273" s="16">
        <f>_xlfn.XLOOKUP(CustomerCombinedCleaned[[#This Row],[ID]], Table4[ID], Table4[Teas], "Not Found", 0)</f>
        <v>1529</v>
      </c>
      <c r="L273" s="16">
        <f>_xlfn.XLOOKUP(CustomerCombinedCleaned[[#This Row],[ID]], Table4[ID], Table4[Fruits], "Not Found", 0)</f>
        <v>293</v>
      </c>
      <c r="M273" s="16">
        <f>_xlfn.XLOOKUP(CustomerCombinedCleaned[[#This Row],[ID]], Table4[ID], Table4[Meats], "Not Found", 0)</f>
        <v>1010</v>
      </c>
      <c r="N273" s="16">
        <f>_xlfn.XLOOKUP(CustomerCombinedCleaned[[#This Row],[ID]], Table4[ID], Table4[Seafood], "Not Found", 0)</f>
        <v>295</v>
      </c>
      <c r="O273" s="16">
        <f>_xlfn.XLOOKUP(CustomerCombinedCleaned[[#This Row],[ID]], Table4[ID], Table4[Sweets], "Not Found", 0)</f>
        <v>195</v>
      </c>
      <c r="P273" s="16">
        <f>_xlfn.XLOOKUP(CustomerCombinedCleaned[[#This Row],[ID]], Table4[ID], Table4[Premium], "Not Found", 0)</f>
        <v>227</v>
      </c>
      <c r="Q273" s="16">
        <f>_xlfn.XLOOKUP(CustomerCombinedCleaned[[#This Row],[ID]], Table4[ID], Table4[Regular], "Not Found", 0)</f>
        <v>3094</v>
      </c>
      <c r="R273" s="16">
        <f>_xlfn.XLOOKUP(CustomerCombinedCleaned[[#This Row],[ID]], Table4[ID], Table4[Deals], "Not Found", 0)</f>
        <v>1</v>
      </c>
      <c r="S273" s="16">
        <f>_xlfn.XLOOKUP(CustomerCombinedCleaned[[#This Row],[ID]], Table4[ID], Table4[Website], "Not Found", 0)</f>
        <v>9</v>
      </c>
      <c r="T273" s="16">
        <f>_xlfn.XLOOKUP(CustomerCombinedCleaned[[#This Row],[ID]], Table4[ID], Table4[Catalog], "Not Found", 0)</f>
        <v>6</v>
      </c>
      <c r="U273" s="16">
        <f>_xlfn.XLOOKUP(CustomerCombinedCleaned[[#This Row],[ID]], Table4[ID], Table4[Store], "Not Found", 0)</f>
        <v>5</v>
      </c>
      <c r="V273" s="16">
        <f>_xlfn.XLOOKUP(CustomerCombinedCleaned[[#This Row],[ID]], Table4[ID], Table4[Visits], "Not Found", 0)</f>
        <v>5</v>
      </c>
      <c r="W273" s="16">
        <f>_xlfn.XLOOKUP(CustomerCombinedCleaned[[#This Row],[ID]], Table2[ID],Table2[Complaint], "Not Found", 0 )</f>
        <v>0</v>
      </c>
      <c r="X273" s="16">
        <f>_xlfn.XLOOKUP(CustomerCombinedCleaned[[#This Row],[ID]], Table2[ID],Table2[Pilot], "Not Found", 0 )</f>
        <v>0</v>
      </c>
      <c r="Y273" s="16">
        <f>_xlfn.XLOOKUP(CustomerCombinedCleaned[[#This Row],[ID]], Table2[ID],Table2[MC1], "Not Found", 0 )</f>
        <v>0</v>
      </c>
      <c r="Z273" s="16">
        <f>_xlfn.XLOOKUP(CustomerCombinedCleaned[[#This Row],[ID]], Table2[ID],Table2[MC2], "Not Found", 0 )</f>
        <v>0</v>
      </c>
      <c r="AA273" s="16">
        <f>_xlfn.XLOOKUP(CustomerCombinedCleaned[[#This Row],[ID]], Table2[ID],Table2[MC3], "Not Found", 0 )</f>
        <v>0</v>
      </c>
      <c r="AB273" s="16">
        <f>_xlfn.XLOOKUP(CustomerCombinedCleaned[[#This Row],[ID]], Table2[ID],Table2[MC4], "Not Found", 0 )</f>
        <v>0</v>
      </c>
      <c r="AC273" s="16">
        <f>_xlfn.XLOOKUP(CustomerCombinedCleaned[[#This Row],[ID]], Table2[ID],Table2[MC5], "Not Found", 0 )</f>
        <v>0</v>
      </c>
    </row>
    <row r="274" spans="1:29" x14ac:dyDescent="0.3">
      <c r="A274" s="18">
        <v>1091</v>
      </c>
      <c r="B274" s="16">
        <v>150150</v>
      </c>
      <c r="C274" s="16">
        <v>0</v>
      </c>
      <c r="D274" s="16">
        <v>0</v>
      </c>
      <c r="E274" s="16">
        <v>37</v>
      </c>
      <c r="F274" s="17" t="s">
        <v>6</v>
      </c>
      <c r="G274" s="17" t="s">
        <v>13</v>
      </c>
      <c r="H274" s="3" t="s">
        <v>233</v>
      </c>
      <c r="I274" s="5" t="s">
        <v>434</v>
      </c>
      <c r="J274" s="16">
        <f>_xlfn.XLOOKUP(CustomerCombinedCleaned[[#This Row],[ID]], Table4[ID], Table4[Recency], "Not Found", 0)</f>
        <v>32</v>
      </c>
      <c r="K274" s="16">
        <f>_xlfn.XLOOKUP(CustomerCombinedCleaned[[#This Row],[ID]], Table4[ID], Table4[Teas], "Not Found", 0)</f>
        <v>404</v>
      </c>
      <c r="L274" s="16">
        <f>_xlfn.XLOOKUP(CustomerCombinedCleaned[[#This Row],[ID]], Table4[ID], Table4[Fruits], "Not Found", 0)</f>
        <v>138</v>
      </c>
      <c r="M274" s="16">
        <f>_xlfn.XLOOKUP(CustomerCombinedCleaned[[#This Row],[ID]], Table4[ID], Table4[Meats], "Not Found", 0)</f>
        <v>275</v>
      </c>
      <c r="N274" s="16">
        <f>_xlfn.XLOOKUP(CustomerCombinedCleaned[[#This Row],[ID]], Table4[ID], Table4[Seafood], "Not Found", 0)</f>
        <v>195</v>
      </c>
      <c r="O274" s="16">
        <f>_xlfn.XLOOKUP(CustomerCombinedCleaned[[#This Row],[ID]], Table4[ID], Table4[Sweets], "Not Found", 0)</f>
        <v>183</v>
      </c>
      <c r="P274" s="16">
        <f>_xlfn.XLOOKUP(CustomerCombinedCleaned[[#This Row],[ID]], Table4[ID], Table4[Premium], "Not Found", 0)</f>
        <v>33</v>
      </c>
      <c r="Q274" s="16">
        <f>_xlfn.XLOOKUP(CustomerCombinedCleaned[[#This Row],[ID]], Table4[ID], Table4[Regular], "Not Found", 0)</f>
        <v>1162</v>
      </c>
      <c r="R274" s="16">
        <f>_xlfn.XLOOKUP(CustomerCombinedCleaned[[#This Row],[ID]], Table4[ID], Table4[Deals], "Not Found", 0)</f>
        <v>2</v>
      </c>
      <c r="S274" s="16">
        <f>_xlfn.XLOOKUP(CustomerCombinedCleaned[[#This Row],[ID]], Table4[ID], Table4[Website], "Not Found", 0)</f>
        <v>5</v>
      </c>
      <c r="T274" s="16">
        <f>_xlfn.XLOOKUP(CustomerCombinedCleaned[[#This Row],[ID]], Table4[ID], Table4[Catalog], "Not Found", 0)</f>
        <v>2</v>
      </c>
      <c r="U274" s="16">
        <f>_xlfn.XLOOKUP(CustomerCombinedCleaned[[#This Row],[ID]], Table4[ID], Table4[Store], "Not Found", 0)</f>
        <v>7</v>
      </c>
      <c r="V274" s="16">
        <f>_xlfn.XLOOKUP(CustomerCombinedCleaned[[#This Row],[ID]], Table4[ID], Table4[Visits], "Not Found", 0)</f>
        <v>5</v>
      </c>
      <c r="W274" s="16">
        <f>_xlfn.XLOOKUP(CustomerCombinedCleaned[[#This Row],[ID]], Table2[ID],Table2[Complaint], "Not Found", 0 )</f>
        <v>0</v>
      </c>
      <c r="X274" s="16">
        <f>_xlfn.XLOOKUP(CustomerCombinedCleaned[[#This Row],[ID]], Table2[ID],Table2[Pilot], "Not Found", 0 )</f>
        <v>0</v>
      </c>
      <c r="Y274" s="16">
        <f>_xlfn.XLOOKUP(CustomerCombinedCleaned[[#This Row],[ID]], Table2[ID],Table2[MC1], "Not Found", 0 )</f>
        <v>0</v>
      </c>
      <c r="Z274" s="16">
        <f>_xlfn.XLOOKUP(CustomerCombinedCleaned[[#This Row],[ID]], Table2[ID],Table2[MC2], "Not Found", 0 )</f>
        <v>0</v>
      </c>
      <c r="AA274" s="16">
        <f>_xlfn.XLOOKUP(CustomerCombinedCleaned[[#This Row],[ID]], Table2[ID],Table2[MC3], "Not Found", 0 )</f>
        <v>0</v>
      </c>
      <c r="AB274" s="16">
        <f>_xlfn.XLOOKUP(CustomerCombinedCleaned[[#This Row],[ID]], Table2[ID],Table2[MC4], "Not Found", 0 )</f>
        <v>0</v>
      </c>
      <c r="AC274" s="16">
        <f>_xlfn.XLOOKUP(CustomerCombinedCleaned[[#This Row],[ID]], Table2[ID],Table2[MC5], "Not Found", 0 )</f>
        <v>0</v>
      </c>
    </row>
    <row r="275" spans="1:29" x14ac:dyDescent="0.3">
      <c r="A275" s="18">
        <v>2327</v>
      </c>
      <c r="B275" s="16">
        <v>150150</v>
      </c>
      <c r="C275" s="16">
        <v>0</v>
      </c>
      <c r="D275" s="16">
        <v>0</v>
      </c>
      <c r="E275" s="16">
        <v>37</v>
      </c>
      <c r="F275" s="17" t="s">
        <v>6</v>
      </c>
      <c r="G275" s="17" t="s">
        <v>13</v>
      </c>
      <c r="H275" s="3" t="s">
        <v>233</v>
      </c>
      <c r="I275" s="5" t="s">
        <v>434</v>
      </c>
      <c r="J275" s="16">
        <f>_xlfn.XLOOKUP(CustomerCombinedCleaned[[#This Row],[ID]], Table4[ID], Table4[Recency], "Not Found", 0)</f>
        <v>32</v>
      </c>
      <c r="K275" s="16">
        <f>_xlfn.XLOOKUP(CustomerCombinedCleaned[[#This Row],[ID]], Table4[ID], Table4[Teas], "Not Found", 0)</f>
        <v>404</v>
      </c>
      <c r="L275" s="16">
        <f>_xlfn.XLOOKUP(CustomerCombinedCleaned[[#This Row],[ID]], Table4[ID], Table4[Fruits], "Not Found", 0)</f>
        <v>138</v>
      </c>
      <c r="M275" s="16">
        <f>_xlfn.XLOOKUP(CustomerCombinedCleaned[[#This Row],[ID]], Table4[ID], Table4[Meats], "Not Found", 0)</f>
        <v>275</v>
      </c>
      <c r="N275" s="16">
        <f>_xlfn.XLOOKUP(CustomerCombinedCleaned[[#This Row],[ID]], Table4[ID], Table4[Seafood], "Not Found", 0)</f>
        <v>195</v>
      </c>
      <c r="O275" s="16">
        <f>_xlfn.XLOOKUP(CustomerCombinedCleaned[[#This Row],[ID]], Table4[ID], Table4[Sweets], "Not Found", 0)</f>
        <v>183</v>
      </c>
      <c r="P275" s="16">
        <f>_xlfn.XLOOKUP(CustomerCombinedCleaned[[#This Row],[ID]], Table4[ID], Table4[Premium], "Not Found", 0)</f>
        <v>33</v>
      </c>
      <c r="Q275" s="16">
        <f>_xlfn.XLOOKUP(CustomerCombinedCleaned[[#This Row],[ID]], Table4[ID], Table4[Regular], "Not Found", 0)</f>
        <v>1162</v>
      </c>
      <c r="R275" s="16">
        <f>_xlfn.XLOOKUP(CustomerCombinedCleaned[[#This Row],[ID]], Table4[ID], Table4[Deals], "Not Found", 0)</f>
        <v>2</v>
      </c>
      <c r="S275" s="16">
        <f>_xlfn.XLOOKUP(CustomerCombinedCleaned[[#This Row],[ID]], Table4[ID], Table4[Website], "Not Found", 0)</f>
        <v>5</v>
      </c>
      <c r="T275" s="16">
        <f>_xlfn.XLOOKUP(CustomerCombinedCleaned[[#This Row],[ID]], Table4[ID], Table4[Catalog], "Not Found", 0)</f>
        <v>2</v>
      </c>
      <c r="U275" s="16">
        <f>_xlfn.XLOOKUP(CustomerCombinedCleaned[[#This Row],[ID]], Table4[ID], Table4[Store], "Not Found", 0)</f>
        <v>7</v>
      </c>
      <c r="V275" s="16">
        <f>_xlfn.XLOOKUP(CustomerCombinedCleaned[[#This Row],[ID]], Table4[ID], Table4[Visits], "Not Found", 0)</f>
        <v>5</v>
      </c>
      <c r="W275" s="16">
        <f>_xlfn.XLOOKUP(CustomerCombinedCleaned[[#This Row],[ID]], Table2[ID],Table2[Complaint], "Not Found", 0 )</f>
        <v>0</v>
      </c>
      <c r="X275" s="16">
        <f>_xlfn.XLOOKUP(CustomerCombinedCleaned[[#This Row],[ID]], Table2[ID],Table2[Pilot], "Not Found", 0 )</f>
        <v>0</v>
      </c>
      <c r="Y275" s="16">
        <f>_xlfn.XLOOKUP(CustomerCombinedCleaned[[#This Row],[ID]], Table2[ID],Table2[MC1], "Not Found", 0 )</f>
        <v>0</v>
      </c>
      <c r="Z275" s="16">
        <f>_xlfn.XLOOKUP(CustomerCombinedCleaned[[#This Row],[ID]], Table2[ID],Table2[MC2], "Not Found", 0 )</f>
        <v>0</v>
      </c>
      <c r="AA275" s="16">
        <f>_xlfn.XLOOKUP(CustomerCombinedCleaned[[#This Row],[ID]], Table2[ID],Table2[MC3], "Not Found", 0 )</f>
        <v>0</v>
      </c>
      <c r="AB275" s="16">
        <f>_xlfn.XLOOKUP(CustomerCombinedCleaned[[#This Row],[ID]], Table2[ID],Table2[MC4], "Not Found", 0 )</f>
        <v>0</v>
      </c>
      <c r="AC275" s="16">
        <f>_xlfn.XLOOKUP(CustomerCombinedCleaned[[#This Row],[ID]], Table2[ID],Table2[MC5], "Not Found", 0 )</f>
        <v>0</v>
      </c>
    </row>
    <row r="276" spans="1:29" x14ac:dyDescent="0.3">
      <c r="A276" s="18">
        <v>2069</v>
      </c>
      <c r="B276" s="16">
        <v>143776</v>
      </c>
      <c r="C276" s="16">
        <v>1</v>
      </c>
      <c r="D276" s="16">
        <v>0</v>
      </c>
      <c r="E276" s="16">
        <v>37</v>
      </c>
      <c r="F276" s="17" t="s">
        <v>8</v>
      </c>
      <c r="G276" s="17" t="s">
        <v>11</v>
      </c>
      <c r="H276" s="3" t="s">
        <v>629</v>
      </c>
      <c r="I276" s="5" t="s">
        <v>434</v>
      </c>
      <c r="J276" s="16">
        <f>_xlfn.XLOOKUP(CustomerCombinedCleaned[[#This Row],[ID]], Table4[ID], Table4[Recency], "Not Found", 0)</f>
        <v>77</v>
      </c>
      <c r="K276" s="16">
        <f>_xlfn.XLOOKUP(CustomerCombinedCleaned[[#This Row],[ID]], Table4[ID], Table4[Teas], "Not Found", 0)</f>
        <v>26</v>
      </c>
      <c r="L276" s="16">
        <f>_xlfn.XLOOKUP(CustomerCombinedCleaned[[#This Row],[ID]], Table4[ID], Table4[Fruits], "Not Found", 0)</f>
        <v>0</v>
      </c>
      <c r="M276" s="16">
        <f>_xlfn.XLOOKUP(CustomerCombinedCleaned[[#This Row],[ID]], Table4[ID], Table4[Meats], "Not Found", 0)</f>
        <v>30</v>
      </c>
      <c r="N276" s="16">
        <f>_xlfn.XLOOKUP(CustomerCombinedCleaned[[#This Row],[ID]], Table4[ID], Table4[Seafood], "Not Found", 0)</f>
        <v>7</v>
      </c>
      <c r="O276" s="16">
        <f>_xlfn.XLOOKUP(CustomerCombinedCleaned[[#This Row],[ID]], Table4[ID], Table4[Sweets], "Not Found", 0)</f>
        <v>3</v>
      </c>
      <c r="P276" s="16">
        <f>_xlfn.XLOOKUP(CustomerCombinedCleaned[[#This Row],[ID]], Table4[ID], Table4[Premium], "Not Found", 0)</f>
        <v>10</v>
      </c>
      <c r="Q276" s="16">
        <f>_xlfn.XLOOKUP(CustomerCombinedCleaned[[#This Row],[ID]], Table4[ID], Table4[Regular], "Not Found", 0)</f>
        <v>56</v>
      </c>
      <c r="R276" s="16">
        <f>_xlfn.XLOOKUP(CustomerCombinedCleaned[[#This Row],[ID]], Table4[ID], Table4[Deals], "Not Found", 0)</f>
        <v>1</v>
      </c>
      <c r="S276" s="16">
        <f>_xlfn.XLOOKUP(CustomerCombinedCleaned[[#This Row],[ID]], Table4[ID], Table4[Website], "Not Found", 0)</f>
        <v>1</v>
      </c>
      <c r="T276" s="16">
        <f>_xlfn.XLOOKUP(CustomerCombinedCleaned[[#This Row],[ID]], Table4[ID], Table4[Catalog], "Not Found", 0)</f>
        <v>0</v>
      </c>
      <c r="U276" s="16">
        <f>_xlfn.XLOOKUP(CustomerCombinedCleaned[[#This Row],[ID]], Table4[ID], Table4[Store], "Not Found", 0)</f>
        <v>2</v>
      </c>
      <c r="V276" s="16">
        <f>_xlfn.XLOOKUP(CustomerCombinedCleaned[[#This Row],[ID]], Table4[ID], Table4[Visits], "Not Found", 0)</f>
        <v>6</v>
      </c>
      <c r="W276" s="16">
        <f>_xlfn.XLOOKUP(CustomerCombinedCleaned[[#This Row],[ID]], Table2[ID],Table2[Complaint], "Not Found", 0 )</f>
        <v>0</v>
      </c>
      <c r="X276" s="16">
        <f>_xlfn.XLOOKUP(CustomerCombinedCleaned[[#This Row],[ID]], Table2[ID],Table2[Pilot], "Not Found", 0 )</f>
        <v>0</v>
      </c>
      <c r="Y276" s="16">
        <f>_xlfn.XLOOKUP(CustomerCombinedCleaned[[#This Row],[ID]], Table2[ID],Table2[MC1], "Not Found", 0 )</f>
        <v>0</v>
      </c>
      <c r="Z276" s="16">
        <f>_xlfn.XLOOKUP(CustomerCombinedCleaned[[#This Row],[ID]], Table2[ID],Table2[MC2], "Not Found", 0 )</f>
        <v>0</v>
      </c>
      <c r="AA276" s="16">
        <f>_xlfn.XLOOKUP(CustomerCombinedCleaned[[#This Row],[ID]], Table2[ID],Table2[MC3], "Not Found", 0 )</f>
        <v>0</v>
      </c>
      <c r="AB276" s="16">
        <f>_xlfn.XLOOKUP(CustomerCombinedCleaned[[#This Row],[ID]], Table2[ID],Table2[MC4], "Not Found", 0 )</f>
        <v>0</v>
      </c>
      <c r="AC276" s="16">
        <f>_xlfn.XLOOKUP(CustomerCombinedCleaned[[#This Row],[ID]], Table2[ID],Table2[MC5], "Not Found", 0 )</f>
        <v>0</v>
      </c>
    </row>
    <row r="277" spans="1:29" x14ac:dyDescent="0.3">
      <c r="A277" s="18">
        <v>1858</v>
      </c>
      <c r="B277" s="16">
        <v>139922</v>
      </c>
      <c r="C277" s="16">
        <v>1</v>
      </c>
      <c r="D277" s="16">
        <v>0</v>
      </c>
      <c r="E277" s="16">
        <v>37</v>
      </c>
      <c r="F277" s="17" t="s">
        <v>6</v>
      </c>
      <c r="G277" s="17" t="s">
        <v>11</v>
      </c>
      <c r="H277" s="3" t="s">
        <v>309</v>
      </c>
      <c r="I277" s="5" t="s">
        <v>439</v>
      </c>
      <c r="J277" s="16">
        <f>_xlfn.XLOOKUP(CustomerCombinedCleaned[[#This Row],[ID]], Table4[ID], Table4[Recency], "Not Found", 0)</f>
        <v>30</v>
      </c>
      <c r="K277" s="16">
        <f>_xlfn.XLOOKUP(CustomerCombinedCleaned[[#This Row],[ID]], Table4[ID], Table4[Teas], "Not Found", 0)</f>
        <v>102</v>
      </c>
      <c r="L277" s="16">
        <f>_xlfn.XLOOKUP(CustomerCombinedCleaned[[#This Row],[ID]], Table4[ID], Table4[Fruits], "Not Found", 0)</f>
        <v>42</v>
      </c>
      <c r="M277" s="16">
        <f>_xlfn.XLOOKUP(CustomerCombinedCleaned[[#This Row],[ID]], Table4[ID], Table4[Meats], "Not Found", 0)</f>
        <v>207</v>
      </c>
      <c r="N277" s="16">
        <f>_xlfn.XLOOKUP(CustomerCombinedCleaned[[#This Row],[ID]], Table4[ID], Table4[Seafood], "Not Found", 0)</f>
        <v>67</v>
      </c>
      <c r="O277" s="16">
        <f>_xlfn.XLOOKUP(CustomerCombinedCleaned[[#This Row],[ID]], Table4[ID], Table4[Sweets], "Not Found", 0)</f>
        <v>4</v>
      </c>
      <c r="P277" s="16">
        <f>_xlfn.XLOOKUP(CustomerCombinedCleaned[[#This Row],[ID]], Table4[ID], Table4[Premium], "Not Found", 0)</f>
        <v>126</v>
      </c>
      <c r="Q277" s="16">
        <f>_xlfn.XLOOKUP(CustomerCombinedCleaned[[#This Row],[ID]], Table4[ID], Table4[Regular], "Not Found", 0)</f>
        <v>294</v>
      </c>
      <c r="R277" s="16">
        <f>_xlfn.XLOOKUP(CustomerCombinedCleaned[[#This Row],[ID]], Table4[ID], Table4[Deals], "Not Found", 0)</f>
        <v>2</v>
      </c>
      <c r="S277" s="16">
        <f>_xlfn.XLOOKUP(CustomerCombinedCleaned[[#This Row],[ID]], Table4[ID], Table4[Website], "Not Found", 0)</f>
        <v>3</v>
      </c>
      <c r="T277" s="16">
        <f>_xlfn.XLOOKUP(CustomerCombinedCleaned[[#This Row],[ID]], Table4[ID], Table4[Catalog], "Not Found", 0)</f>
        <v>0</v>
      </c>
      <c r="U277" s="16">
        <f>_xlfn.XLOOKUP(CustomerCombinedCleaned[[#This Row],[ID]], Table4[ID], Table4[Store], "Not Found", 0)</f>
        <v>4</v>
      </c>
      <c r="V277" s="16">
        <f>_xlfn.XLOOKUP(CustomerCombinedCleaned[[#This Row],[ID]], Table4[ID], Table4[Visits], "Not Found", 0)</f>
        <v>8</v>
      </c>
      <c r="W277" s="16">
        <f>_xlfn.XLOOKUP(CustomerCombinedCleaned[[#This Row],[ID]], Table2[ID],Table2[Complaint], "Not Found", 0 )</f>
        <v>0</v>
      </c>
      <c r="X277" s="16">
        <f>_xlfn.XLOOKUP(CustomerCombinedCleaned[[#This Row],[ID]], Table2[ID],Table2[Pilot], "Not Found", 0 )</f>
        <v>0</v>
      </c>
      <c r="Y277" s="16">
        <f>_xlfn.XLOOKUP(CustomerCombinedCleaned[[#This Row],[ID]], Table2[ID],Table2[MC1], "Not Found", 0 )</f>
        <v>0</v>
      </c>
      <c r="Z277" s="16">
        <f>_xlfn.XLOOKUP(CustomerCombinedCleaned[[#This Row],[ID]], Table2[ID],Table2[MC2], "Not Found", 0 )</f>
        <v>0</v>
      </c>
      <c r="AA277" s="16">
        <f>_xlfn.XLOOKUP(CustomerCombinedCleaned[[#This Row],[ID]], Table2[ID],Table2[MC3], "Not Found", 0 )</f>
        <v>0</v>
      </c>
      <c r="AB277" s="16">
        <f>_xlfn.XLOOKUP(CustomerCombinedCleaned[[#This Row],[ID]], Table2[ID],Table2[MC4], "Not Found", 0 )</f>
        <v>0</v>
      </c>
      <c r="AC277" s="16">
        <f>_xlfn.XLOOKUP(CustomerCombinedCleaned[[#This Row],[ID]], Table2[ID],Table2[MC5], "Not Found", 0 )</f>
        <v>0</v>
      </c>
    </row>
    <row r="278" spans="1:29" x14ac:dyDescent="0.3">
      <c r="A278" s="18">
        <v>2415</v>
      </c>
      <c r="B278" s="16">
        <v>139922</v>
      </c>
      <c r="C278" s="16">
        <v>1</v>
      </c>
      <c r="D278" s="16">
        <v>0</v>
      </c>
      <c r="E278" s="16">
        <v>37</v>
      </c>
      <c r="F278" s="17" t="s">
        <v>6</v>
      </c>
      <c r="G278" s="17" t="s">
        <v>11</v>
      </c>
      <c r="H278" s="3" t="s">
        <v>309</v>
      </c>
      <c r="I278" s="5" t="s">
        <v>435</v>
      </c>
      <c r="J278" s="16">
        <f>_xlfn.XLOOKUP(CustomerCombinedCleaned[[#This Row],[ID]], Table4[ID], Table4[Recency], "Not Found", 0)</f>
        <v>30</v>
      </c>
      <c r="K278" s="16">
        <f>_xlfn.XLOOKUP(CustomerCombinedCleaned[[#This Row],[ID]], Table4[ID], Table4[Teas], "Not Found", 0)</f>
        <v>102</v>
      </c>
      <c r="L278" s="16">
        <f>_xlfn.XLOOKUP(CustomerCombinedCleaned[[#This Row],[ID]], Table4[ID], Table4[Fruits], "Not Found", 0)</f>
        <v>42</v>
      </c>
      <c r="M278" s="16">
        <f>_xlfn.XLOOKUP(CustomerCombinedCleaned[[#This Row],[ID]], Table4[ID], Table4[Meats], "Not Found", 0)</f>
        <v>207</v>
      </c>
      <c r="N278" s="16">
        <f>_xlfn.XLOOKUP(CustomerCombinedCleaned[[#This Row],[ID]], Table4[ID], Table4[Seafood], "Not Found", 0)</f>
        <v>67</v>
      </c>
      <c r="O278" s="16">
        <f>_xlfn.XLOOKUP(CustomerCombinedCleaned[[#This Row],[ID]], Table4[ID], Table4[Sweets], "Not Found", 0)</f>
        <v>4</v>
      </c>
      <c r="P278" s="16">
        <f>_xlfn.XLOOKUP(CustomerCombinedCleaned[[#This Row],[ID]], Table4[ID], Table4[Premium], "Not Found", 0)</f>
        <v>126</v>
      </c>
      <c r="Q278" s="16">
        <f>_xlfn.XLOOKUP(CustomerCombinedCleaned[[#This Row],[ID]], Table4[ID], Table4[Regular], "Not Found", 0)</f>
        <v>294</v>
      </c>
      <c r="R278" s="16">
        <f>_xlfn.XLOOKUP(CustomerCombinedCleaned[[#This Row],[ID]], Table4[ID], Table4[Deals], "Not Found", 0)</f>
        <v>2</v>
      </c>
      <c r="S278" s="16">
        <f>_xlfn.XLOOKUP(CustomerCombinedCleaned[[#This Row],[ID]], Table4[ID], Table4[Website], "Not Found", 0)</f>
        <v>3</v>
      </c>
      <c r="T278" s="16">
        <f>_xlfn.XLOOKUP(CustomerCombinedCleaned[[#This Row],[ID]], Table4[ID], Table4[Catalog], "Not Found", 0)</f>
        <v>0</v>
      </c>
      <c r="U278" s="16">
        <f>_xlfn.XLOOKUP(CustomerCombinedCleaned[[#This Row],[ID]], Table4[ID], Table4[Store], "Not Found", 0)</f>
        <v>4</v>
      </c>
      <c r="V278" s="16">
        <f>_xlfn.XLOOKUP(CustomerCombinedCleaned[[#This Row],[ID]], Table4[ID], Table4[Visits], "Not Found", 0)</f>
        <v>8</v>
      </c>
      <c r="W278" s="16">
        <f>_xlfn.XLOOKUP(CustomerCombinedCleaned[[#This Row],[ID]], Table2[ID],Table2[Complaint], "Not Found", 0 )</f>
        <v>0</v>
      </c>
      <c r="X278" s="16">
        <f>_xlfn.XLOOKUP(CustomerCombinedCleaned[[#This Row],[ID]], Table2[ID],Table2[Pilot], "Not Found", 0 )</f>
        <v>0</v>
      </c>
      <c r="Y278" s="16">
        <f>_xlfn.XLOOKUP(CustomerCombinedCleaned[[#This Row],[ID]], Table2[ID],Table2[MC1], "Not Found", 0 )</f>
        <v>0</v>
      </c>
      <c r="Z278" s="16">
        <f>_xlfn.XLOOKUP(CustomerCombinedCleaned[[#This Row],[ID]], Table2[ID],Table2[MC2], "Not Found", 0 )</f>
        <v>0</v>
      </c>
      <c r="AA278" s="16">
        <f>_xlfn.XLOOKUP(CustomerCombinedCleaned[[#This Row],[ID]], Table2[ID],Table2[MC3], "Not Found", 0 )</f>
        <v>0</v>
      </c>
      <c r="AB278" s="16">
        <f>_xlfn.XLOOKUP(CustomerCombinedCleaned[[#This Row],[ID]], Table2[ID],Table2[MC4], "Not Found", 0 )</f>
        <v>0</v>
      </c>
      <c r="AC278" s="16">
        <f>_xlfn.XLOOKUP(CustomerCombinedCleaned[[#This Row],[ID]], Table2[ID],Table2[MC5], "Not Found", 0 )</f>
        <v>0</v>
      </c>
    </row>
    <row r="279" spans="1:29" x14ac:dyDescent="0.3">
      <c r="A279" s="18">
        <v>2536</v>
      </c>
      <c r="B279" s="16">
        <v>139922</v>
      </c>
      <c r="C279" s="16">
        <v>1</v>
      </c>
      <c r="D279" s="16">
        <v>0</v>
      </c>
      <c r="E279" s="16">
        <v>37</v>
      </c>
      <c r="F279" s="17" t="s">
        <v>6</v>
      </c>
      <c r="G279" s="17" t="s">
        <v>11</v>
      </c>
      <c r="H279" s="3" t="s">
        <v>309</v>
      </c>
      <c r="I279" s="5" t="s">
        <v>439</v>
      </c>
      <c r="J279" s="16">
        <f>_xlfn.XLOOKUP(CustomerCombinedCleaned[[#This Row],[ID]], Table4[ID], Table4[Recency], "Not Found", 0)</f>
        <v>30</v>
      </c>
      <c r="K279" s="16">
        <f>_xlfn.XLOOKUP(CustomerCombinedCleaned[[#This Row],[ID]], Table4[ID], Table4[Teas], "Not Found", 0)</f>
        <v>102</v>
      </c>
      <c r="L279" s="16">
        <f>_xlfn.XLOOKUP(CustomerCombinedCleaned[[#This Row],[ID]], Table4[ID], Table4[Fruits], "Not Found", 0)</f>
        <v>42</v>
      </c>
      <c r="M279" s="16">
        <f>_xlfn.XLOOKUP(CustomerCombinedCleaned[[#This Row],[ID]], Table4[ID], Table4[Meats], "Not Found", 0)</f>
        <v>207</v>
      </c>
      <c r="N279" s="16">
        <f>_xlfn.XLOOKUP(CustomerCombinedCleaned[[#This Row],[ID]], Table4[ID], Table4[Seafood], "Not Found", 0)</f>
        <v>67</v>
      </c>
      <c r="O279" s="16">
        <f>_xlfn.XLOOKUP(CustomerCombinedCleaned[[#This Row],[ID]], Table4[ID], Table4[Sweets], "Not Found", 0)</f>
        <v>4</v>
      </c>
      <c r="P279" s="16">
        <f>_xlfn.XLOOKUP(CustomerCombinedCleaned[[#This Row],[ID]], Table4[ID], Table4[Premium], "Not Found", 0)</f>
        <v>126</v>
      </c>
      <c r="Q279" s="16">
        <f>_xlfn.XLOOKUP(CustomerCombinedCleaned[[#This Row],[ID]], Table4[ID], Table4[Regular], "Not Found", 0)</f>
        <v>294</v>
      </c>
      <c r="R279" s="16">
        <f>_xlfn.XLOOKUP(CustomerCombinedCleaned[[#This Row],[ID]], Table4[ID], Table4[Deals], "Not Found", 0)</f>
        <v>2</v>
      </c>
      <c r="S279" s="16">
        <f>_xlfn.XLOOKUP(CustomerCombinedCleaned[[#This Row],[ID]], Table4[ID], Table4[Website], "Not Found", 0)</f>
        <v>3</v>
      </c>
      <c r="T279" s="16">
        <f>_xlfn.XLOOKUP(CustomerCombinedCleaned[[#This Row],[ID]], Table4[ID], Table4[Catalog], "Not Found", 0)</f>
        <v>0</v>
      </c>
      <c r="U279" s="16">
        <f>_xlfn.XLOOKUP(CustomerCombinedCleaned[[#This Row],[ID]], Table4[ID], Table4[Store], "Not Found", 0)</f>
        <v>4</v>
      </c>
      <c r="V279" s="16">
        <f>_xlfn.XLOOKUP(CustomerCombinedCleaned[[#This Row],[ID]], Table4[ID], Table4[Visits], "Not Found", 0)</f>
        <v>8</v>
      </c>
      <c r="W279" s="16">
        <f>_xlfn.XLOOKUP(CustomerCombinedCleaned[[#This Row],[ID]], Table2[ID],Table2[Complaint], "Not Found", 0 )</f>
        <v>0</v>
      </c>
      <c r="X279" s="16">
        <f>_xlfn.XLOOKUP(CustomerCombinedCleaned[[#This Row],[ID]], Table2[ID],Table2[Pilot], "Not Found", 0 )</f>
        <v>0</v>
      </c>
      <c r="Y279" s="16">
        <f>_xlfn.XLOOKUP(CustomerCombinedCleaned[[#This Row],[ID]], Table2[ID],Table2[MC1], "Not Found", 0 )</f>
        <v>0</v>
      </c>
      <c r="Z279" s="16">
        <f>_xlfn.XLOOKUP(CustomerCombinedCleaned[[#This Row],[ID]], Table2[ID],Table2[MC2], "Not Found", 0 )</f>
        <v>0</v>
      </c>
      <c r="AA279" s="16">
        <f>_xlfn.XLOOKUP(CustomerCombinedCleaned[[#This Row],[ID]], Table2[ID],Table2[MC3], "Not Found", 0 )</f>
        <v>0</v>
      </c>
      <c r="AB279" s="16">
        <f>_xlfn.XLOOKUP(CustomerCombinedCleaned[[#This Row],[ID]], Table2[ID],Table2[MC4], "Not Found", 0 )</f>
        <v>0</v>
      </c>
      <c r="AC279" s="16">
        <f>_xlfn.XLOOKUP(CustomerCombinedCleaned[[#This Row],[ID]], Table2[ID],Table2[MC5], "Not Found", 0 )</f>
        <v>0</v>
      </c>
    </row>
    <row r="280" spans="1:29" x14ac:dyDescent="0.3">
      <c r="A280" s="18">
        <v>1568</v>
      </c>
      <c r="B280" s="16">
        <v>139453</v>
      </c>
      <c r="C280" s="16">
        <v>1</v>
      </c>
      <c r="D280" s="16">
        <v>0</v>
      </c>
      <c r="E280" s="16">
        <v>37</v>
      </c>
      <c r="F280" s="17" t="s">
        <v>8</v>
      </c>
      <c r="G280" s="17" t="s">
        <v>11</v>
      </c>
      <c r="H280" s="3" t="s">
        <v>543</v>
      </c>
      <c r="I280" s="5" t="s">
        <v>438</v>
      </c>
      <c r="J280" s="16">
        <f>_xlfn.XLOOKUP(CustomerCombinedCleaned[[#This Row],[ID]], Table4[ID], Table4[Recency], "Not Found", 0)</f>
        <v>64</v>
      </c>
      <c r="K280" s="16">
        <f>_xlfn.XLOOKUP(CustomerCombinedCleaned[[#This Row],[ID]], Table4[ID], Table4[Teas], "Not Found", 0)</f>
        <v>163</v>
      </c>
      <c r="L280" s="16">
        <f>_xlfn.XLOOKUP(CustomerCombinedCleaned[[#This Row],[ID]], Table4[ID], Table4[Fruits], "Not Found", 0)</f>
        <v>0</v>
      </c>
      <c r="M280" s="16">
        <f>_xlfn.XLOOKUP(CustomerCombinedCleaned[[#This Row],[ID]], Table4[ID], Table4[Meats], "Not Found", 0)</f>
        <v>25</v>
      </c>
      <c r="N280" s="16">
        <f>_xlfn.XLOOKUP(CustomerCombinedCleaned[[#This Row],[ID]], Table4[ID], Table4[Seafood], "Not Found", 0)</f>
        <v>0</v>
      </c>
      <c r="O280" s="16">
        <f>_xlfn.XLOOKUP(CustomerCombinedCleaned[[#This Row],[ID]], Table4[ID], Table4[Sweets], "Not Found", 0)</f>
        <v>0</v>
      </c>
      <c r="P280" s="16">
        <f>_xlfn.XLOOKUP(CustomerCombinedCleaned[[#This Row],[ID]], Table4[ID], Table4[Premium], "Not Found", 0)</f>
        <v>7</v>
      </c>
      <c r="Q280" s="16">
        <f>_xlfn.XLOOKUP(CustomerCombinedCleaned[[#This Row],[ID]], Table4[ID], Table4[Regular], "Not Found", 0)</f>
        <v>180</v>
      </c>
      <c r="R280" s="16">
        <f>_xlfn.XLOOKUP(CustomerCombinedCleaned[[#This Row],[ID]], Table4[ID], Table4[Deals], "Not Found", 0)</f>
        <v>2</v>
      </c>
      <c r="S280" s="16">
        <f>_xlfn.XLOOKUP(CustomerCombinedCleaned[[#This Row],[ID]], Table4[ID], Table4[Website], "Not Found", 0)</f>
        <v>2</v>
      </c>
      <c r="T280" s="16">
        <f>_xlfn.XLOOKUP(CustomerCombinedCleaned[[#This Row],[ID]], Table4[ID], Table4[Catalog], "Not Found", 0)</f>
        <v>0</v>
      </c>
      <c r="U280" s="16">
        <f>_xlfn.XLOOKUP(CustomerCombinedCleaned[[#This Row],[ID]], Table4[ID], Table4[Store], "Not Found", 0)</f>
        <v>3</v>
      </c>
      <c r="V280" s="16">
        <f>_xlfn.XLOOKUP(CustomerCombinedCleaned[[#This Row],[ID]], Table4[ID], Table4[Visits], "Not Found", 0)</f>
        <v>6</v>
      </c>
      <c r="W280" s="16">
        <f>_xlfn.XLOOKUP(CustomerCombinedCleaned[[#This Row],[ID]], Table2[ID],Table2[Complaint], "Not Found", 0 )</f>
        <v>0</v>
      </c>
      <c r="X280" s="16">
        <f>_xlfn.XLOOKUP(CustomerCombinedCleaned[[#This Row],[ID]], Table2[ID],Table2[Pilot], "Not Found", 0 )</f>
        <v>0</v>
      </c>
      <c r="Y280" s="16">
        <f>_xlfn.XLOOKUP(CustomerCombinedCleaned[[#This Row],[ID]], Table2[ID],Table2[MC1], "Not Found", 0 )</f>
        <v>0</v>
      </c>
      <c r="Z280" s="16">
        <f>_xlfn.XLOOKUP(CustomerCombinedCleaned[[#This Row],[ID]], Table2[ID],Table2[MC2], "Not Found", 0 )</f>
        <v>0</v>
      </c>
      <c r="AA280" s="16">
        <f>_xlfn.XLOOKUP(CustomerCombinedCleaned[[#This Row],[ID]], Table2[ID],Table2[MC3], "Not Found", 0 )</f>
        <v>0</v>
      </c>
      <c r="AB280" s="16">
        <f>_xlfn.XLOOKUP(CustomerCombinedCleaned[[#This Row],[ID]], Table2[ID],Table2[MC4], "Not Found", 0 )</f>
        <v>0</v>
      </c>
      <c r="AC280" s="16">
        <f>_xlfn.XLOOKUP(CustomerCombinedCleaned[[#This Row],[ID]], Table2[ID],Table2[MC5], "Not Found", 0 )</f>
        <v>0</v>
      </c>
    </row>
    <row r="281" spans="1:29" x14ac:dyDescent="0.3">
      <c r="A281" s="18">
        <v>2946</v>
      </c>
      <c r="B281" s="16">
        <v>139062</v>
      </c>
      <c r="C281" s="16">
        <v>1</v>
      </c>
      <c r="D281" s="16">
        <v>0</v>
      </c>
      <c r="E281" s="16">
        <v>37</v>
      </c>
      <c r="F281" s="17" t="s">
        <v>7</v>
      </c>
      <c r="G281" s="17" t="s">
        <v>11</v>
      </c>
      <c r="H281" s="3" t="s">
        <v>76</v>
      </c>
      <c r="I281" s="5" t="s">
        <v>436</v>
      </c>
      <c r="J281" s="16">
        <f>_xlfn.XLOOKUP(CustomerCombinedCleaned[[#This Row],[ID]], Table4[ID], Table4[Recency], "Not Found", 0)</f>
        <v>28</v>
      </c>
      <c r="K281" s="16">
        <f>_xlfn.XLOOKUP(CustomerCombinedCleaned[[#This Row],[ID]], Table4[ID], Table4[Teas], "Not Found", 0)</f>
        <v>82</v>
      </c>
      <c r="L281" s="16">
        <f>_xlfn.XLOOKUP(CustomerCombinedCleaned[[#This Row],[ID]], Table4[ID], Table4[Fruits], "Not Found", 0)</f>
        <v>0</v>
      </c>
      <c r="M281" s="16">
        <f>_xlfn.XLOOKUP(CustomerCombinedCleaned[[#This Row],[ID]], Table4[ID], Table4[Meats], "Not Found", 0)</f>
        <v>32</v>
      </c>
      <c r="N281" s="16">
        <f>_xlfn.XLOOKUP(CustomerCombinedCleaned[[#This Row],[ID]], Table4[ID], Table4[Seafood], "Not Found", 0)</f>
        <v>0</v>
      </c>
      <c r="O281" s="16">
        <f>_xlfn.XLOOKUP(CustomerCombinedCleaned[[#This Row],[ID]], Table4[ID], Table4[Sweets], "Not Found", 0)</f>
        <v>0</v>
      </c>
      <c r="P281" s="16">
        <f>_xlfn.XLOOKUP(CustomerCombinedCleaned[[#This Row],[ID]], Table4[ID], Table4[Premium], "Not Found", 0)</f>
        <v>43</v>
      </c>
      <c r="Q281" s="16">
        <f>_xlfn.XLOOKUP(CustomerCombinedCleaned[[#This Row],[ID]], Table4[ID], Table4[Regular], "Not Found", 0)</f>
        <v>71</v>
      </c>
      <c r="R281" s="16">
        <f>_xlfn.XLOOKUP(CustomerCombinedCleaned[[#This Row],[ID]], Table4[ID], Table4[Deals], "Not Found", 0)</f>
        <v>1</v>
      </c>
      <c r="S281" s="16">
        <f>_xlfn.XLOOKUP(CustomerCombinedCleaned[[#This Row],[ID]], Table4[ID], Table4[Website], "Not Found", 0)</f>
        <v>1</v>
      </c>
      <c r="T281" s="16">
        <f>_xlfn.XLOOKUP(CustomerCombinedCleaned[[#This Row],[ID]], Table4[ID], Table4[Catalog], "Not Found", 0)</f>
        <v>0</v>
      </c>
      <c r="U281" s="16">
        <f>_xlfn.XLOOKUP(CustomerCombinedCleaned[[#This Row],[ID]], Table4[ID], Table4[Store], "Not Found", 0)</f>
        <v>3</v>
      </c>
      <c r="V281" s="16">
        <f>_xlfn.XLOOKUP(CustomerCombinedCleaned[[#This Row],[ID]], Table4[ID], Table4[Visits], "Not Found", 0)</f>
        <v>4</v>
      </c>
      <c r="W281" s="16">
        <f>_xlfn.XLOOKUP(CustomerCombinedCleaned[[#This Row],[ID]], Table2[ID],Table2[Complaint], "Not Found", 0 )</f>
        <v>0</v>
      </c>
      <c r="X281" s="16">
        <f>_xlfn.XLOOKUP(CustomerCombinedCleaned[[#This Row],[ID]], Table2[ID],Table2[Pilot], "Not Found", 0 )</f>
        <v>0</v>
      </c>
      <c r="Y281" s="16">
        <f>_xlfn.XLOOKUP(CustomerCombinedCleaned[[#This Row],[ID]], Table2[ID],Table2[MC1], "Not Found", 0 )</f>
        <v>0</v>
      </c>
      <c r="Z281" s="16">
        <f>_xlfn.XLOOKUP(CustomerCombinedCleaned[[#This Row],[ID]], Table2[ID],Table2[MC2], "Not Found", 0 )</f>
        <v>0</v>
      </c>
      <c r="AA281" s="16">
        <f>_xlfn.XLOOKUP(CustomerCombinedCleaned[[#This Row],[ID]], Table2[ID],Table2[MC3], "Not Found", 0 )</f>
        <v>1</v>
      </c>
      <c r="AB281" s="16">
        <f>_xlfn.XLOOKUP(CustomerCombinedCleaned[[#This Row],[ID]], Table2[ID],Table2[MC4], "Not Found", 0 )</f>
        <v>0</v>
      </c>
      <c r="AC281" s="16">
        <f>_xlfn.XLOOKUP(CustomerCombinedCleaned[[#This Row],[ID]], Table2[ID],Table2[MC5], "Not Found", 0 )</f>
        <v>0</v>
      </c>
    </row>
    <row r="282" spans="1:29" x14ac:dyDescent="0.3">
      <c r="A282" s="18">
        <v>2716</v>
      </c>
      <c r="B282" s="16">
        <v>137292</v>
      </c>
      <c r="C282" s="16">
        <v>1</v>
      </c>
      <c r="D282" s="16">
        <v>0</v>
      </c>
      <c r="E282" s="16">
        <v>37</v>
      </c>
      <c r="F282" s="17" t="s">
        <v>8</v>
      </c>
      <c r="G282" s="17" t="s">
        <v>11</v>
      </c>
      <c r="H282" s="3" t="s">
        <v>271</v>
      </c>
      <c r="I282" s="5" t="s">
        <v>439</v>
      </c>
      <c r="J282" s="16">
        <f>_xlfn.XLOOKUP(CustomerCombinedCleaned[[#This Row],[ID]], Table4[ID], Table4[Recency], "Not Found", 0)</f>
        <v>32</v>
      </c>
      <c r="K282" s="16">
        <f>_xlfn.XLOOKUP(CustomerCombinedCleaned[[#This Row],[ID]], Table4[ID], Table4[Teas], "Not Found", 0)</f>
        <v>1012</v>
      </c>
      <c r="L282" s="16">
        <f>_xlfn.XLOOKUP(CustomerCombinedCleaned[[#This Row],[ID]], Table4[ID], Table4[Fruits], "Not Found", 0)</f>
        <v>0</v>
      </c>
      <c r="M282" s="16">
        <f>_xlfn.XLOOKUP(CustomerCombinedCleaned[[#This Row],[ID]], Table4[ID], Table4[Meats], "Not Found", 0)</f>
        <v>317</v>
      </c>
      <c r="N282" s="16">
        <f>_xlfn.XLOOKUP(CustomerCombinedCleaned[[#This Row],[ID]], Table4[ID], Table4[Seafood], "Not Found", 0)</f>
        <v>37</v>
      </c>
      <c r="O282" s="16">
        <f>_xlfn.XLOOKUP(CustomerCombinedCleaned[[#This Row],[ID]], Table4[ID], Table4[Sweets], "Not Found", 0)</f>
        <v>85</v>
      </c>
      <c r="P282" s="16">
        <f>_xlfn.XLOOKUP(CustomerCombinedCleaned[[#This Row],[ID]], Table4[ID], Table4[Premium], "Not Found", 0)</f>
        <v>243</v>
      </c>
      <c r="Q282" s="16">
        <f>_xlfn.XLOOKUP(CustomerCombinedCleaned[[#This Row],[ID]], Table4[ID], Table4[Regular], "Not Found", 0)</f>
        <v>1208</v>
      </c>
      <c r="R282" s="16">
        <f>_xlfn.XLOOKUP(CustomerCombinedCleaned[[#This Row],[ID]], Table4[ID], Table4[Deals], "Not Found", 0)</f>
        <v>5</v>
      </c>
      <c r="S282" s="16">
        <f>_xlfn.XLOOKUP(CustomerCombinedCleaned[[#This Row],[ID]], Table4[ID], Table4[Website], "Not Found", 0)</f>
        <v>6</v>
      </c>
      <c r="T282" s="16">
        <f>_xlfn.XLOOKUP(CustomerCombinedCleaned[[#This Row],[ID]], Table4[ID], Table4[Catalog], "Not Found", 0)</f>
        <v>3</v>
      </c>
      <c r="U282" s="16">
        <f>_xlfn.XLOOKUP(CustomerCombinedCleaned[[#This Row],[ID]], Table4[ID], Table4[Store], "Not Found", 0)</f>
        <v>5</v>
      </c>
      <c r="V282" s="16">
        <f>_xlfn.XLOOKUP(CustomerCombinedCleaned[[#This Row],[ID]], Table4[ID], Table4[Visits], "Not Found", 0)</f>
        <v>8</v>
      </c>
      <c r="W282" s="16">
        <f>_xlfn.XLOOKUP(CustomerCombinedCleaned[[#This Row],[ID]], Table2[ID],Table2[Complaint], "Not Found", 0 )</f>
        <v>0</v>
      </c>
      <c r="X282" s="16">
        <f>_xlfn.XLOOKUP(CustomerCombinedCleaned[[#This Row],[ID]], Table2[ID],Table2[Pilot], "Not Found", 0 )</f>
        <v>0</v>
      </c>
      <c r="Y282" s="16">
        <f>_xlfn.XLOOKUP(CustomerCombinedCleaned[[#This Row],[ID]], Table2[ID],Table2[MC1], "Not Found", 0 )</f>
        <v>0</v>
      </c>
      <c r="Z282" s="16">
        <f>_xlfn.XLOOKUP(CustomerCombinedCleaned[[#This Row],[ID]], Table2[ID],Table2[MC2], "Not Found", 0 )</f>
        <v>0</v>
      </c>
      <c r="AA282" s="16">
        <f>_xlfn.XLOOKUP(CustomerCombinedCleaned[[#This Row],[ID]], Table2[ID],Table2[MC3], "Not Found", 0 )</f>
        <v>0</v>
      </c>
      <c r="AB282" s="16">
        <f>_xlfn.XLOOKUP(CustomerCombinedCleaned[[#This Row],[ID]], Table2[ID],Table2[MC4], "Not Found", 0 )</f>
        <v>0</v>
      </c>
      <c r="AC282" s="16">
        <f>_xlfn.XLOOKUP(CustomerCombinedCleaned[[#This Row],[ID]], Table2[ID],Table2[MC5], "Not Found", 0 )</f>
        <v>0</v>
      </c>
    </row>
    <row r="283" spans="1:29" x14ac:dyDescent="0.3">
      <c r="A283" s="18">
        <v>2991</v>
      </c>
      <c r="B283" s="16">
        <v>136790</v>
      </c>
      <c r="C283" s="16">
        <v>0</v>
      </c>
      <c r="D283" s="16">
        <v>0</v>
      </c>
      <c r="E283" s="16">
        <v>37</v>
      </c>
      <c r="F283" s="17" t="s">
        <v>6</v>
      </c>
      <c r="G283" s="17" t="s">
        <v>11</v>
      </c>
      <c r="H283" s="3" t="s">
        <v>595</v>
      </c>
      <c r="I283" s="5" t="s">
        <v>435</v>
      </c>
      <c r="J283" s="16">
        <f>_xlfn.XLOOKUP(CustomerCombinedCleaned[[#This Row],[ID]], Table4[ID], Table4[Recency], "Not Found", 0)</f>
        <v>14</v>
      </c>
      <c r="K283" s="16">
        <f>_xlfn.XLOOKUP(CustomerCombinedCleaned[[#This Row],[ID]], Table4[ID], Table4[Teas], "Not Found", 0)</f>
        <v>11</v>
      </c>
      <c r="L283" s="16">
        <f>_xlfn.XLOOKUP(CustomerCombinedCleaned[[#This Row],[ID]], Table4[ID], Table4[Fruits], "Not Found", 0)</f>
        <v>11</v>
      </c>
      <c r="M283" s="16">
        <f>_xlfn.XLOOKUP(CustomerCombinedCleaned[[#This Row],[ID]], Table4[ID], Table4[Meats], "Not Found", 0)</f>
        <v>52</v>
      </c>
      <c r="N283" s="16">
        <f>_xlfn.XLOOKUP(CustomerCombinedCleaned[[#This Row],[ID]], Table4[ID], Table4[Seafood], "Not Found", 0)</f>
        <v>56</v>
      </c>
      <c r="O283" s="16">
        <f>_xlfn.XLOOKUP(CustomerCombinedCleaned[[#This Row],[ID]], Table4[ID], Table4[Sweets], "Not Found", 0)</f>
        <v>78</v>
      </c>
      <c r="P283" s="16">
        <f>_xlfn.XLOOKUP(CustomerCombinedCleaned[[#This Row],[ID]], Table4[ID], Table4[Premium], "Not Found", 0)</f>
        <v>37</v>
      </c>
      <c r="Q283" s="16">
        <f>_xlfn.XLOOKUP(CustomerCombinedCleaned[[#This Row],[ID]], Table4[ID], Table4[Regular], "Not Found", 0)</f>
        <v>171</v>
      </c>
      <c r="R283" s="16">
        <f>_xlfn.XLOOKUP(CustomerCombinedCleaned[[#This Row],[ID]], Table4[ID], Table4[Deals], "Not Found", 0)</f>
        <v>1</v>
      </c>
      <c r="S283" s="16">
        <f>_xlfn.XLOOKUP(CustomerCombinedCleaned[[#This Row],[ID]], Table4[ID], Table4[Website], "Not Found", 0)</f>
        <v>2</v>
      </c>
      <c r="T283" s="16">
        <f>_xlfn.XLOOKUP(CustomerCombinedCleaned[[#This Row],[ID]], Table4[ID], Table4[Catalog], "Not Found", 0)</f>
        <v>1</v>
      </c>
      <c r="U283" s="16">
        <f>_xlfn.XLOOKUP(CustomerCombinedCleaned[[#This Row],[ID]], Table4[ID], Table4[Store], "Not Found", 0)</f>
        <v>2</v>
      </c>
      <c r="V283" s="16">
        <f>_xlfn.XLOOKUP(CustomerCombinedCleaned[[#This Row],[ID]], Table4[ID], Table4[Visits], "Not Found", 0)</f>
        <v>9</v>
      </c>
      <c r="W283" s="16">
        <f>_xlfn.XLOOKUP(CustomerCombinedCleaned[[#This Row],[ID]], Table2[ID],Table2[Complaint], "Not Found", 0 )</f>
        <v>0</v>
      </c>
      <c r="X283" s="16">
        <f>_xlfn.XLOOKUP(CustomerCombinedCleaned[[#This Row],[ID]], Table2[ID],Table2[Pilot], "Not Found", 0 )</f>
        <v>1</v>
      </c>
      <c r="Y283" s="16">
        <f>_xlfn.XLOOKUP(CustomerCombinedCleaned[[#This Row],[ID]], Table2[ID],Table2[MC1], "Not Found", 0 )</f>
        <v>0</v>
      </c>
      <c r="Z283" s="16">
        <f>_xlfn.XLOOKUP(CustomerCombinedCleaned[[#This Row],[ID]], Table2[ID],Table2[MC2], "Not Found", 0 )</f>
        <v>0</v>
      </c>
      <c r="AA283" s="16">
        <f>_xlfn.XLOOKUP(CustomerCombinedCleaned[[#This Row],[ID]], Table2[ID],Table2[MC3], "Not Found", 0 )</f>
        <v>0</v>
      </c>
      <c r="AB283" s="16">
        <f>_xlfn.XLOOKUP(CustomerCombinedCleaned[[#This Row],[ID]], Table2[ID],Table2[MC4], "Not Found", 0 )</f>
        <v>0</v>
      </c>
      <c r="AC283" s="16">
        <f>_xlfn.XLOOKUP(CustomerCombinedCleaned[[#This Row],[ID]], Table2[ID],Table2[MC5], "Not Found", 0 )</f>
        <v>0</v>
      </c>
    </row>
    <row r="284" spans="1:29" x14ac:dyDescent="0.3">
      <c r="A284" s="18">
        <v>2098</v>
      </c>
      <c r="B284" s="16">
        <v>136262</v>
      </c>
      <c r="C284" s="16">
        <v>0</v>
      </c>
      <c r="D284" s="16">
        <v>0</v>
      </c>
      <c r="E284" s="16">
        <v>37</v>
      </c>
      <c r="F284" s="17" t="s">
        <v>6</v>
      </c>
      <c r="G284" s="17" t="s">
        <v>12</v>
      </c>
      <c r="H284" s="3" t="s">
        <v>179</v>
      </c>
      <c r="I284" s="5" t="s">
        <v>439</v>
      </c>
      <c r="J284" s="16">
        <f>_xlfn.XLOOKUP(CustomerCombinedCleaned[[#This Row],[ID]], Table4[ID], Table4[Recency], "Not Found", 0)</f>
        <v>24</v>
      </c>
      <c r="K284" s="16">
        <f>_xlfn.XLOOKUP(CustomerCombinedCleaned[[#This Row],[ID]], Table4[ID], Table4[Teas], "Not Found", 0)</f>
        <v>331</v>
      </c>
      <c r="L284" s="16">
        <f>_xlfn.XLOOKUP(CustomerCombinedCleaned[[#This Row],[ID]], Table4[ID], Table4[Fruits], "Not Found", 0)</f>
        <v>147</v>
      </c>
      <c r="M284" s="16">
        <f>_xlfn.XLOOKUP(CustomerCombinedCleaned[[#This Row],[ID]], Table4[ID], Table4[Meats], "Not Found", 0)</f>
        <v>203</v>
      </c>
      <c r="N284" s="16">
        <f>_xlfn.XLOOKUP(CustomerCombinedCleaned[[#This Row],[ID]], Table4[ID], Table4[Seafood], "Not Found", 0)</f>
        <v>240</v>
      </c>
      <c r="O284" s="16">
        <f>_xlfn.XLOOKUP(CustomerCombinedCleaned[[#This Row],[ID]], Table4[ID], Table4[Sweets], "Not Found", 0)</f>
        <v>105</v>
      </c>
      <c r="P284" s="16">
        <f>_xlfn.XLOOKUP(CustomerCombinedCleaned[[#This Row],[ID]], Table4[ID], Table4[Premium], "Not Found", 0)</f>
        <v>575</v>
      </c>
      <c r="Q284" s="16">
        <f>_xlfn.XLOOKUP(CustomerCombinedCleaned[[#This Row],[ID]], Table4[ID], Table4[Regular], "Not Found", 0)</f>
        <v>451</v>
      </c>
      <c r="R284" s="16">
        <f>_xlfn.XLOOKUP(CustomerCombinedCleaned[[#This Row],[ID]], Table4[ID], Table4[Deals], "Not Found", 0)</f>
        <v>1</v>
      </c>
      <c r="S284" s="16">
        <f>_xlfn.XLOOKUP(CustomerCombinedCleaned[[#This Row],[ID]], Table4[ID], Table4[Website], "Not Found", 0)</f>
        <v>3</v>
      </c>
      <c r="T284" s="16">
        <f>_xlfn.XLOOKUP(CustomerCombinedCleaned[[#This Row],[ID]], Table4[ID], Table4[Catalog], "Not Found", 0)</f>
        <v>5</v>
      </c>
      <c r="U284" s="16">
        <f>_xlfn.XLOOKUP(CustomerCombinedCleaned[[#This Row],[ID]], Table4[ID], Table4[Store], "Not Found", 0)</f>
        <v>3</v>
      </c>
      <c r="V284" s="16">
        <f>_xlfn.XLOOKUP(CustomerCombinedCleaned[[#This Row],[ID]], Table4[ID], Table4[Visits], "Not Found", 0)</f>
        <v>6</v>
      </c>
      <c r="W284" s="16">
        <f>_xlfn.XLOOKUP(CustomerCombinedCleaned[[#This Row],[ID]], Table2[ID],Table2[Complaint], "Not Found", 0 )</f>
        <v>0</v>
      </c>
      <c r="X284" s="16">
        <f>_xlfn.XLOOKUP(CustomerCombinedCleaned[[#This Row],[ID]], Table2[ID],Table2[Pilot], "Not Found", 0 )</f>
        <v>1</v>
      </c>
      <c r="Y284" s="16">
        <f>_xlfn.XLOOKUP(CustomerCombinedCleaned[[#This Row],[ID]], Table2[ID],Table2[MC1], "Not Found", 0 )</f>
        <v>0</v>
      </c>
      <c r="Z284" s="16">
        <f>_xlfn.XLOOKUP(CustomerCombinedCleaned[[#This Row],[ID]], Table2[ID],Table2[MC2], "Not Found", 0 )</f>
        <v>0</v>
      </c>
      <c r="AA284" s="16">
        <f>_xlfn.XLOOKUP(CustomerCombinedCleaned[[#This Row],[ID]], Table2[ID],Table2[MC3], "Not Found", 0 )</f>
        <v>1</v>
      </c>
      <c r="AB284" s="16">
        <f>_xlfn.XLOOKUP(CustomerCombinedCleaned[[#This Row],[ID]], Table2[ID],Table2[MC4], "Not Found", 0 )</f>
        <v>0</v>
      </c>
      <c r="AC284" s="16">
        <f>_xlfn.XLOOKUP(CustomerCombinedCleaned[[#This Row],[ID]], Table2[ID],Table2[MC5], "Not Found", 0 )</f>
        <v>0</v>
      </c>
    </row>
    <row r="285" spans="1:29" x14ac:dyDescent="0.3">
      <c r="A285" s="18">
        <v>2762</v>
      </c>
      <c r="B285" s="16">
        <v>136075</v>
      </c>
      <c r="C285" s="16">
        <v>1</v>
      </c>
      <c r="D285" s="16">
        <v>0</v>
      </c>
      <c r="E285" s="16">
        <v>37</v>
      </c>
      <c r="F285" s="17" t="s">
        <v>8</v>
      </c>
      <c r="G285" s="17" t="s">
        <v>11</v>
      </c>
      <c r="H285" s="3" t="s">
        <v>139</v>
      </c>
      <c r="I285" s="5" t="s">
        <v>438</v>
      </c>
      <c r="J285" s="16">
        <f>_xlfn.XLOOKUP(CustomerCombinedCleaned[[#This Row],[ID]], Table4[ID], Table4[Recency], "Not Found", 0)</f>
        <v>54</v>
      </c>
      <c r="K285" s="16">
        <f>_xlfn.XLOOKUP(CustomerCombinedCleaned[[#This Row],[ID]], Table4[ID], Table4[Teas], "Not Found", 0)</f>
        <v>174</v>
      </c>
      <c r="L285" s="16">
        <f>_xlfn.XLOOKUP(CustomerCombinedCleaned[[#This Row],[ID]], Table4[ID], Table4[Fruits], "Not Found", 0)</f>
        <v>0</v>
      </c>
      <c r="M285" s="16">
        <f>_xlfn.XLOOKUP(CustomerCombinedCleaned[[#This Row],[ID]], Table4[ID], Table4[Meats], "Not Found", 0)</f>
        <v>113</v>
      </c>
      <c r="N285" s="16">
        <f>_xlfn.XLOOKUP(CustomerCombinedCleaned[[#This Row],[ID]], Table4[ID], Table4[Seafood], "Not Found", 0)</f>
        <v>45</v>
      </c>
      <c r="O285" s="16">
        <f>_xlfn.XLOOKUP(CustomerCombinedCleaned[[#This Row],[ID]], Table4[ID], Table4[Sweets], "Not Found", 0)</f>
        <v>4</v>
      </c>
      <c r="P285" s="16">
        <f>_xlfn.XLOOKUP(CustomerCombinedCleaned[[#This Row],[ID]], Table4[ID], Table4[Premium], "Not Found", 0)</f>
        <v>113</v>
      </c>
      <c r="Q285" s="16">
        <f>_xlfn.XLOOKUP(CustomerCombinedCleaned[[#This Row],[ID]], Table4[ID], Table4[Regular], "Not Found", 0)</f>
        <v>223</v>
      </c>
      <c r="R285" s="16">
        <f>_xlfn.XLOOKUP(CustomerCombinedCleaned[[#This Row],[ID]], Table4[ID], Table4[Deals], "Not Found", 0)</f>
        <v>1</v>
      </c>
      <c r="S285" s="16">
        <f>_xlfn.XLOOKUP(CustomerCombinedCleaned[[#This Row],[ID]], Table4[ID], Table4[Website], "Not Found", 0)</f>
        <v>2</v>
      </c>
      <c r="T285" s="16">
        <f>_xlfn.XLOOKUP(CustomerCombinedCleaned[[#This Row],[ID]], Table4[ID], Table4[Catalog], "Not Found", 0)</f>
        <v>0</v>
      </c>
      <c r="U285" s="16">
        <f>_xlfn.XLOOKUP(CustomerCombinedCleaned[[#This Row],[ID]], Table4[ID], Table4[Store], "Not Found", 0)</f>
        <v>4</v>
      </c>
      <c r="V285" s="16">
        <f>_xlfn.XLOOKUP(CustomerCombinedCleaned[[#This Row],[ID]], Table4[ID], Table4[Visits], "Not Found", 0)</f>
        <v>6</v>
      </c>
      <c r="W285" s="16">
        <f>_xlfn.XLOOKUP(CustomerCombinedCleaned[[#This Row],[ID]], Table2[ID],Table2[Complaint], "Not Found", 0 )</f>
        <v>0</v>
      </c>
      <c r="X285" s="16">
        <f>_xlfn.XLOOKUP(CustomerCombinedCleaned[[#This Row],[ID]], Table2[ID],Table2[Pilot], "Not Found", 0 )</f>
        <v>0</v>
      </c>
      <c r="Y285" s="16">
        <f>_xlfn.XLOOKUP(CustomerCombinedCleaned[[#This Row],[ID]], Table2[ID],Table2[MC1], "Not Found", 0 )</f>
        <v>0</v>
      </c>
      <c r="Z285" s="16">
        <f>_xlfn.XLOOKUP(CustomerCombinedCleaned[[#This Row],[ID]], Table2[ID],Table2[MC2], "Not Found", 0 )</f>
        <v>0</v>
      </c>
      <c r="AA285" s="16">
        <f>_xlfn.XLOOKUP(CustomerCombinedCleaned[[#This Row],[ID]], Table2[ID],Table2[MC3], "Not Found", 0 )</f>
        <v>0</v>
      </c>
      <c r="AB285" s="16">
        <f>_xlfn.XLOOKUP(CustomerCombinedCleaned[[#This Row],[ID]], Table2[ID],Table2[MC4], "Not Found", 0 )</f>
        <v>0</v>
      </c>
      <c r="AC285" s="16">
        <f>_xlfn.XLOOKUP(CustomerCombinedCleaned[[#This Row],[ID]], Table2[ID],Table2[MC5], "Not Found", 0 )</f>
        <v>0</v>
      </c>
    </row>
    <row r="286" spans="1:29" x14ac:dyDescent="0.3">
      <c r="A286" s="18">
        <v>2317</v>
      </c>
      <c r="B286" s="16">
        <v>135876</v>
      </c>
      <c r="C286" s="16">
        <v>0</v>
      </c>
      <c r="D286" s="16">
        <v>0</v>
      </c>
      <c r="E286" s="16">
        <v>37</v>
      </c>
      <c r="F286" s="17" t="s">
        <v>6</v>
      </c>
      <c r="G286" s="17" t="s">
        <v>12</v>
      </c>
      <c r="H286" s="3" t="s">
        <v>62</v>
      </c>
      <c r="I286" s="5" t="s">
        <v>437</v>
      </c>
      <c r="J286" s="16">
        <f>_xlfn.XLOOKUP(CustomerCombinedCleaned[[#This Row],[ID]], Table4[ID], Table4[Recency], "Not Found", 0)</f>
        <v>13</v>
      </c>
      <c r="K286" s="16">
        <f>_xlfn.XLOOKUP(CustomerCombinedCleaned[[#This Row],[ID]], Table4[ID], Table4[Teas], "Not Found", 0)</f>
        <v>250</v>
      </c>
      <c r="L286" s="16">
        <f>_xlfn.XLOOKUP(CustomerCombinedCleaned[[#This Row],[ID]], Table4[ID], Table4[Fruits], "Not Found", 0)</f>
        <v>8</v>
      </c>
      <c r="M286" s="16">
        <f>_xlfn.XLOOKUP(CustomerCombinedCleaned[[#This Row],[ID]], Table4[ID], Table4[Meats], "Not Found", 0)</f>
        <v>151</v>
      </c>
      <c r="N286" s="16">
        <f>_xlfn.XLOOKUP(CustomerCombinedCleaned[[#This Row],[ID]], Table4[ID], Table4[Seafood], "Not Found", 0)</f>
        <v>15</v>
      </c>
      <c r="O286" s="16">
        <f>_xlfn.XLOOKUP(CustomerCombinedCleaned[[#This Row],[ID]], Table4[ID], Table4[Sweets], "Not Found", 0)</f>
        <v>11</v>
      </c>
      <c r="P286" s="16">
        <f>_xlfn.XLOOKUP(CustomerCombinedCleaned[[#This Row],[ID]], Table4[ID], Table4[Premium], "Not Found", 0)</f>
        <v>53</v>
      </c>
      <c r="Q286" s="16">
        <f>_xlfn.XLOOKUP(CustomerCombinedCleaned[[#This Row],[ID]], Table4[ID], Table4[Regular], "Not Found", 0)</f>
        <v>383</v>
      </c>
      <c r="R286" s="16">
        <f>_xlfn.XLOOKUP(CustomerCombinedCleaned[[#This Row],[ID]], Table4[ID], Table4[Deals], "Not Found", 0)</f>
        <v>1</v>
      </c>
      <c r="S286" s="16">
        <f>_xlfn.XLOOKUP(CustomerCombinedCleaned[[#This Row],[ID]], Table4[ID], Table4[Website], "Not Found", 0)</f>
        <v>3</v>
      </c>
      <c r="T286" s="16">
        <f>_xlfn.XLOOKUP(CustomerCombinedCleaned[[#This Row],[ID]], Table4[ID], Table4[Catalog], "Not Found", 0)</f>
        <v>1</v>
      </c>
      <c r="U286" s="16">
        <f>_xlfn.XLOOKUP(CustomerCombinedCleaned[[#This Row],[ID]], Table4[ID], Table4[Store], "Not Found", 0)</f>
        <v>3</v>
      </c>
      <c r="V286" s="16">
        <f>_xlfn.XLOOKUP(CustomerCombinedCleaned[[#This Row],[ID]], Table4[ID], Table4[Visits], "Not Found", 0)</f>
        <v>6</v>
      </c>
      <c r="W286" s="16">
        <f>_xlfn.XLOOKUP(CustomerCombinedCleaned[[#This Row],[ID]], Table2[ID],Table2[Complaint], "Not Found", 0 )</f>
        <v>0</v>
      </c>
      <c r="X286" s="16">
        <f>_xlfn.XLOOKUP(CustomerCombinedCleaned[[#This Row],[ID]], Table2[ID],Table2[Pilot], "Not Found", 0 )</f>
        <v>0</v>
      </c>
      <c r="Y286" s="16">
        <f>_xlfn.XLOOKUP(CustomerCombinedCleaned[[#This Row],[ID]], Table2[ID],Table2[MC1], "Not Found", 0 )</f>
        <v>0</v>
      </c>
      <c r="Z286" s="16">
        <f>_xlfn.XLOOKUP(CustomerCombinedCleaned[[#This Row],[ID]], Table2[ID],Table2[MC2], "Not Found", 0 )</f>
        <v>0</v>
      </c>
      <c r="AA286" s="16">
        <f>_xlfn.XLOOKUP(CustomerCombinedCleaned[[#This Row],[ID]], Table2[ID],Table2[MC3], "Not Found", 0 )</f>
        <v>0</v>
      </c>
      <c r="AB286" s="16">
        <f>_xlfn.XLOOKUP(CustomerCombinedCleaned[[#This Row],[ID]], Table2[ID],Table2[MC4], "Not Found", 0 )</f>
        <v>0</v>
      </c>
      <c r="AC286" s="16">
        <f>_xlfn.XLOOKUP(CustomerCombinedCleaned[[#This Row],[ID]], Table2[ID],Table2[MC5], "Not Found", 0 )</f>
        <v>0</v>
      </c>
    </row>
    <row r="287" spans="1:29" x14ac:dyDescent="0.3">
      <c r="A287" s="18">
        <v>2097</v>
      </c>
      <c r="B287" s="16">
        <v>133569</v>
      </c>
      <c r="C287" s="16">
        <v>1</v>
      </c>
      <c r="D287" s="16">
        <v>0</v>
      </c>
      <c r="E287" s="16">
        <v>37</v>
      </c>
      <c r="F287" s="17" t="s">
        <v>6</v>
      </c>
      <c r="G287" s="17" t="s">
        <v>13</v>
      </c>
      <c r="H287" s="3" t="s">
        <v>166</v>
      </c>
      <c r="I287" s="5" t="s">
        <v>435</v>
      </c>
      <c r="J287" s="16">
        <f>_xlfn.XLOOKUP(CustomerCombinedCleaned[[#This Row],[ID]], Table4[ID], Table4[Recency], "Not Found", 0)</f>
        <v>10</v>
      </c>
      <c r="K287" s="16">
        <f>_xlfn.XLOOKUP(CustomerCombinedCleaned[[#This Row],[ID]], Table4[ID], Table4[Teas], "Not Found", 0)</f>
        <v>64</v>
      </c>
      <c r="L287" s="16">
        <f>_xlfn.XLOOKUP(CustomerCombinedCleaned[[#This Row],[ID]], Table4[ID], Table4[Fruits], "Not Found", 0)</f>
        <v>8</v>
      </c>
      <c r="M287" s="16">
        <f>_xlfn.XLOOKUP(CustomerCombinedCleaned[[#This Row],[ID]], Table4[ID], Table4[Meats], "Not Found", 0)</f>
        <v>72</v>
      </c>
      <c r="N287" s="16">
        <f>_xlfn.XLOOKUP(CustomerCombinedCleaned[[#This Row],[ID]], Table4[ID], Table4[Seafood], "Not Found", 0)</f>
        <v>12</v>
      </c>
      <c r="O287" s="16">
        <f>_xlfn.XLOOKUP(CustomerCombinedCleaned[[#This Row],[ID]], Table4[ID], Table4[Sweets], "Not Found", 0)</f>
        <v>0</v>
      </c>
      <c r="P287" s="16">
        <f>_xlfn.XLOOKUP(CustomerCombinedCleaned[[#This Row],[ID]], Table4[ID], Table4[Premium], "Not Found", 0)</f>
        <v>95</v>
      </c>
      <c r="Q287" s="16">
        <f>_xlfn.XLOOKUP(CustomerCombinedCleaned[[#This Row],[ID]], Table4[ID], Table4[Regular], "Not Found", 0)</f>
        <v>60</v>
      </c>
      <c r="R287" s="16">
        <f>_xlfn.XLOOKUP(CustomerCombinedCleaned[[#This Row],[ID]], Table4[ID], Table4[Deals], "Not Found", 0)</f>
        <v>1</v>
      </c>
      <c r="S287" s="16">
        <f>_xlfn.XLOOKUP(CustomerCombinedCleaned[[#This Row],[ID]], Table4[ID], Table4[Website], "Not Found", 0)</f>
        <v>1</v>
      </c>
      <c r="T287" s="16">
        <f>_xlfn.XLOOKUP(CustomerCombinedCleaned[[#This Row],[ID]], Table4[ID], Table4[Catalog], "Not Found", 0)</f>
        <v>1</v>
      </c>
      <c r="U287" s="16">
        <f>_xlfn.XLOOKUP(CustomerCombinedCleaned[[#This Row],[ID]], Table4[ID], Table4[Store], "Not Found", 0)</f>
        <v>2</v>
      </c>
      <c r="V287" s="16">
        <f>_xlfn.XLOOKUP(CustomerCombinedCleaned[[#This Row],[ID]], Table4[ID], Table4[Visits], "Not Found", 0)</f>
        <v>8</v>
      </c>
      <c r="W287" s="16">
        <f>_xlfn.XLOOKUP(CustomerCombinedCleaned[[#This Row],[ID]], Table2[ID],Table2[Complaint], "Not Found", 0 )</f>
        <v>0</v>
      </c>
      <c r="X287" s="16">
        <f>_xlfn.XLOOKUP(CustomerCombinedCleaned[[#This Row],[ID]], Table2[ID],Table2[Pilot], "Not Found", 0 )</f>
        <v>1</v>
      </c>
      <c r="Y287" s="16">
        <f>_xlfn.XLOOKUP(CustomerCombinedCleaned[[#This Row],[ID]], Table2[ID],Table2[MC1], "Not Found", 0 )</f>
        <v>0</v>
      </c>
      <c r="Z287" s="16">
        <f>_xlfn.XLOOKUP(CustomerCombinedCleaned[[#This Row],[ID]], Table2[ID],Table2[MC2], "Not Found", 0 )</f>
        <v>0</v>
      </c>
      <c r="AA287" s="16">
        <f>_xlfn.XLOOKUP(CustomerCombinedCleaned[[#This Row],[ID]], Table2[ID],Table2[MC3], "Not Found", 0 )</f>
        <v>1</v>
      </c>
      <c r="AB287" s="16">
        <f>_xlfn.XLOOKUP(CustomerCombinedCleaned[[#This Row],[ID]], Table2[ID],Table2[MC4], "Not Found", 0 )</f>
        <v>0</v>
      </c>
      <c r="AC287" s="16">
        <f>_xlfn.XLOOKUP(CustomerCombinedCleaned[[#This Row],[ID]], Table2[ID],Table2[MC5], "Not Found", 0 )</f>
        <v>0</v>
      </c>
    </row>
    <row r="288" spans="1:29" x14ac:dyDescent="0.3">
      <c r="A288" s="18">
        <v>3123</v>
      </c>
      <c r="B288" s="16">
        <v>132146</v>
      </c>
      <c r="C288" s="16">
        <v>1</v>
      </c>
      <c r="D288" s="16">
        <v>0</v>
      </c>
      <c r="E288" s="16">
        <v>37</v>
      </c>
      <c r="F288" s="17" t="s">
        <v>6</v>
      </c>
      <c r="G288" s="17" t="s">
        <v>11</v>
      </c>
      <c r="H288" s="3" t="s">
        <v>52</v>
      </c>
      <c r="I288" s="5" t="s">
        <v>435</v>
      </c>
      <c r="J288" s="16">
        <f>_xlfn.XLOOKUP(CustomerCombinedCleaned[[#This Row],[ID]], Table4[ID], Table4[Recency], "Not Found", 0)</f>
        <v>16</v>
      </c>
      <c r="K288" s="16">
        <f>_xlfn.XLOOKUP(CustomerCombinedCleaned[[#This Row],[ID]], Table4[ID], Table4[Teas], "Not Found", 0)</f>
        <v>107</v>
      </c>
      <c r="L288" s="16">
        <f>_xlfn.XLOOKUP(CustomerCombinedCleaned[[#This Row],[ID]], Table4[ID], Table4[Fruits], "Not Found", 0)</f>
        <v>12</v>
      </c>
      <c r="M288" s="16">
        <f>_xlfn.XLOOKUP(CustomerCombinedCleaned[[#This Row],[ID]], Table4[ID], Table4[Meats], "Not Found", 0)</f>
        <v>95</v>
      </c>
      <c r="N288" s="16">
        <f>_xlfn.XLOOKUP(CustomerCombinedCleaned[[#This Row],[ID]], Table4[ID], Table4[Seafood], "Not Found", 0)</f>
        <v>16</v>
      </c>
      <c r="O288" s="16">
        <f>_xlfn.XLOOKUP(CustomerCombinedCleaned[[#This Row],[ID]], Table4[ID], Table4[Sweets], "Not Found", 0)</f>
        <v>29</v>
      </c>
      <c r="P288" s="16">
        <f>_xlfn.XLOOKUP(CustomerCombinedCleaned[[#This Row],[ID]], Table4[ID], Table4[Premium], "Not Found", 0)</f>
        <v>12</v>
      </c>
      <c r="Q288" s="16">
        <f>_xlfn.XLOOKUP(CustomerCombinedCleaned[[#This Row],[ID]], Table4[ID], Table4[Regular], "Not Found", 0)</f>
        <v>247</v>
      </c>
      <c r="R288" s="16">
        <f>_xlfn.XLOOKUP(CustomerCombinedCleaned[[#This Row],[ID]], Table4[ID], Table4[Deals], "Not Found", 0)</f>
        <v>2</v>
      </c>
      <c r="S288" s="16">
        <f>_xlfn.XLOOKUP(CustomerCombinedCleaned[[#This Row],[ID]], Table4[ID], Table4[Website], "Not Found", 0)</f>
        <v>2</v>
      </c>
      <c r="T288" s="16">
        <f>_xlfn.XLOOKUP(CustomerCombinedCleaned[[#This Row],[ID]], Table4[ID], Table4[Catalog], "Not Found", 0)</f>
        <v>0</v>
      </c>
      <c r="U288" s="16">
        <f>_xlfn.XLOOKUP(CustomerCombinedCleaned[[#This Row],[ID]], Table4[ID], Table4[Store], "Not Found", 0)</f>
        <v>4</v>
      </c>
      <c r="V288" s="16">
        <f>_xlfn.XLOOKUP(CustomerCombinedCleaned[[#This Row],[ID]], Table4[ID], Table4[Visits], "Not Found", 0)</f>
        <v>6</v>
      </c>
      <c r="W288" s="16">
        <f>_xlfn.XLOOKUP(CustomerCombinedCleaned[[#This Row],[ID]], Table2[ID],Table2[Complaint], "Not Found", 0 )</f>
        <v>0</v>
      </c>
      <c r="X288" s="16">
        <f>_xlfn.XLOOKUP(CustomerCombinedCleaned[[#This Row],[ID]], Table2[ID],Table2[Pilot], "Not Found", 0 )</f>
        <v>0</v>
      </c>
      <c r="Y288" s="16">
        <f>_xlfn.XLOOKUP(CustomerCombinedCleaned[[#This Row],[ID]], Table2[ID],Table2[MC1], "Not Found", 0 )</f>
        <v>0</v>
      </c>
      <c r="Z288" s="16">
        <f>_xlfn.XLOOKUP(CustomerCombinedCleaned[[#This Row],[ID]], Table2[ID],Table2[MC2], "Not Found", 0 )</f>
        <v>0</v>
      </c>
      <c r="AA288" s="16">
        <f>_xlfn.XLOOKUP(CustomerCombinedCleaned[[#This Row],[ID]], Table2[ID],Table2[MC3], "Not Found", 0 )</f>
        <v>0</v>
      </c>
      <c r="AB288" s="16">
        <f>_xlfn.XLOOKUP(CustomerCombinedCleaned[[#This Row],[ID]], Table2[ID],Table2[MC4], "Not Found", 0 )</f>
        <v>0</v>
      </c>
      <c r="AC288" s="16">
        <f>_xlfn.XLOOKUP(CustomerCombinedCleaned[[#This Row],[ID]], Table2[ID],Table2[MC5], "Not Found", 0 )</f>
        <v>0</v>
      </c>
    </row>
    <row r="289" spans="1:29" x14ac:dyDescent="0.3">
      <c r="A289" s="18">
        <v>1258</v>
      </c>
      <c r="B289" s="16">
        <v>131788</v>
      </c>
      <c r="C289" s="16">
        <v>1</v>
      </c>
      <c r="D289" s="16">
        <v>0</v>
      </c>
      <c r="E289" s="16">
        <v>37</v>
      </c>
      <c r="F289" s="17" t="s">
        <v>7</v>
      </c>
      <c r="G289" s="17" t="s">
        <v>12</v>
      </c>
      <c r="H289" s="3" t="s">
        <v>81</v>
      </c>
      <c r="I289" s="5" t="s">
        <v>439</v>
      </c>
      <c r="J289" s="16">
        <f>_xlfn.XLOOKUP(CustomerCombinedCleaned[[#This Row],[ID]], Table4[ID], Table4[Recency], "Not Found", 0)</f>
        <v>15</v>
      </c>
      <c r="K289" s="16">
        <f>_xlfn.XLOOKUP(CustomerCombinedCleaned[[#This Row],[ID]], Table4[ID], Table4[Teas], "Not Found", 0)</f>
        <v>66</v>
      </c>
      <c r="L289" s="16">
        <f>_xlfn.XLOOKUP(CustomerCombinedCleaned[[#This Row],[ID]], Table4[ID], Table4[Fruits], "Not Found", 0)</f>
        <v>29</v>
      </c>
      <c r="M289" s="16">
        <f>_xlfn.XLOOKUP(CustomerCombinedCleaned[[#This Row],[ID]], Table4[ID], Table4[Meats], "Not Found", 0)</f>
        <v>95</v>
      </c>
      <c r="N289" s="16">
        <f>_xlfn.XLOOKUP(CustomerCombinedCleaned[[#This Row],[ID]], Table4[ID], Table4[Seafood], "Not Found", 0)</f>
        <v>0</v>
      </c>
      <c r="O289" s="16">
        <f>_xlfn.XLOOKUP(CustomerCombinedCleaned[[#This Row],[ID]], Table4[ID], Table4[Sweets], "Not Found", 0)</f>
        <v>33</v>
      </c>
      <c r="P289" s="16">
        <f>_xlfn.XLOOKUP(CustomerCombinedCleaned[[#This Row],[ID]], Table4[ID], Table4[Premium], "Not Found", 0)</f>
        <v>25</v>
      </c>
      <c r="Q289" s="16">
        <f>_xlfn.XLOOKUP(CustomerCombinedCleaned[[#This Row],[ID]], Table4[ID], Table4[Regular], "Not Found", 0)</f>
        <v>199</v>
      </c>
      <c r="R289" s="16">
        <f>_xlfn.XLOOKUP(CustomerCombinedCleaned[[#This Row],[ID]], Table4[ID], Table4[Deals], "Not Found", 0)</f>
        <v>3</v>
      </c>
      <c r="S289" s="16">
        <f>_xlfn.XLOOKUP(CustomerCombinedCleaned[[#This Row],[ID]], Table4[ID], Table4[Website], "Not Found", 0)</f>
        <v>3</v>
      </c>
      <c r="T289" s="16">
        <f>_xlfn.XLOOKUP(CustomerCombinedCleaned[[#This Row],[ID]], Table4[ID], Table4[Catalog], "Not Found", 0)</f>
        <v>0</v>
      </c>
      <c r="U289" s="16">
        <f>_xlfn.XLOOKUP(CustomerCombinedCleaned[[#This Row],[ID]], Table4[ID], Table4[Store], "Not Found", 0)</f>
        <v>4</v>
      </c>
      <c r="V289" s="16">
        <f>_xlfn.XLOOKUP(CustomerCombinedCleaned[[#This Row],[ID]], Table4[ID], Table4[Visits], "Not Found", 0)</f>
        <v>5</v>
      </c>
      <c r="W289" s="16">
        <f>_xlfn.XLOOKUP(CustomerCombinedCleaned[[#This Row],[ID]], Table2[ID],Table2[Complaint], "Not Found", 0 )</f>
        <v>1</v>
      </c>
      <c r="X289" s="16">
        <f>_xlfn.XLOOKUP(CustomerCombinedCleaned[[#This Row],[ID]], Table2[ID],Table2[Pilot], "Not Found", 0 )</f>
        <v>0</v>
      </c>
      <c r="Y289" s="16">
        <f>_xlfn.XLOOKUP(CustomerCombinedCleaned[[#This Row],[ID]], Table2[ID],Table2[MC1], "Not Found", 0 )</f>
        <v>0</v>
      </c>
      <c r="Z289" s="16">
        <f>_xlfn.XLOOKUP(CustomerCombinedCleaned[[#This Row],[ID]], Table2[ID],Table2[MC2], "Not Found", 0 )</f>
        <v>0</v>
      </c>
      <c r="AA289" s="16">
        <f>_xlfn.XLOOKUP(CustomerCombinedCleaned[[#This Row],[ID]], Table2[ID],Table2[MC3], "Not Found", 0 )</f>
        <v>0</v>
      </c>
      <c r="AB289" s="16">
        <f>_xlfn.XLOOKUP(CustomerCombinedCleaned[[#This Row],[ID]], Table2[ID],Table2[MC4], "Not Found", 0 )</f>
        <v>0</v>
      </c>
      <c r="AC289" s="16">
        <f>_xlfn.XLOOKUP(CustomerCombinedCleaned[[#This Row],[ID]], Table2[ID],Table2[MC5], "Not Found", 0 )</f>
        <v>0</v>
      </c>
    </row>
    <row r="290" spans="1:29" x14ac:dyDescent="0.3">
      <c r="A290" s="18">
        <v>1087</v>
      </c>
      <c r="B290" s="16">
        <v>130096</v>
      </c>
      <c r="C290" s="16">
        <v>1</v>
      </c>
      <c r="D290" s="16">
        <v>0</v>
      </c>
      <c r="E290" s="16">
        <v>37</v>
      </c>
      <c r="F290" s="17" t="s">
        <v>6</v>
      </c>
      <c r="G290" s="17" t="s">
        <v>11</v>
      </c>
      <c r="H290" s="3" t="s">
        <v>45</v>
      </c>
      <c r="I290" s="5" t="s">
        <v>437</v>
      </c>
      <c r="J290" s="16">
        <f>_xlfn.XLOOKUP(CustomerCombinedCleaned[[#This Row],[ID]], Table4[ID], Table4[Recency], "Not Found", 0)</f>
        <v>30</v>
      </c>
      <c r="K290" s="16">
        <f>_xlfn.XLOOKUP(CustomerCombinedCleaned[[#This Row],[ID]], Table4[ID], Table4[Teas], "Not Found", 0)</f>
        <v>22</v>
      </c>
      <c r="L290" s="16">
        <f>_xlfn.XLOOKUP(CustomerCombinedCleaned[[#This Row],[ID]], Table4[ID], Table4[Fruits], "Not Found", 0)</f>
        <v>13</v>
      </c>
      <c r="M290" s="16">
        <f>_xlfn.XLOOKUP(CustomerCombinedCleaned[[#This Row],[ID]], Table4[ID], Table4[Meats], "Not Found", 0)</f>
        <v>48</v>
      </c>
      <c r="N290" s="16">
        <f>_xlfn.XLOOKUP(CustomerCombinedCleaned[[#This Row],[ID]], Table4[ID], Table4[Seafood], "Not Found", 0)</f>
        <v>52</v>
      </c>
      <c r="O290" s="16">
        <f>_xlfn.XLOOKUP(CustomerCombinedCleaned[[#This Row],[ID]], Table4[ID], Table4[Sweets], "Not Found", 0)</f>
        <v>22</v>
      </c>
      <c r="P290" s="16">
        <f>_xlfn.XLOOKUP(CustomerCombinedCleaned[[#This Row],[ID]], Table4[ID], Table4[Premium], "Not Found", 0)</f>
        <v>39</v>
      </c>
      <c r="Q290" s="16">
        <f>_xlfn.XLOOKUP(CustomerCombinedCleaned[[#This Row],[ID]], Table4[ID], Table4[Regular], "Not Found", 0)</f>
        <v>117</v>
      </c>
      <c r="R290" s="16">
        <f>_xlfn.XLOOKUP(CustomerCombinedCleaned[[#This Row],[ID]], Table4[ID], Table4[Deals], "Not Found", 0)</f>
        <v>1</v>
      </c>
      <c r="S290" s="16">
        <f>_xlfn.XLOOKUP(CustomerCombinedCleaned[[#This Row],[ID]], Table4[ID], Table4[Website], "Not Found", 0)</f>
        <v>2</v>
      </c>
      <c r="T290" s="16">
        <f>_xlfn.XLOOKUP(CustomerCombinedCleaned[[#This Row],[ID]], Table4[ID], Table4[Catalog], "Not Found", 0)</f>
        <v>0</v>
      </c>
      <c r="U290" s="16">
        <f>_xlfn.XLOOKUP(CustomerCombinedCleaned[[#This Row],[ID]], Table4[ID], Table4[Store], "Not Found", 0)</f>
        <v>3</v>
      </c>
      <c r="V290" s="16">
        <f>_xlfn.XLOOKUP(CustomerCombinedCleaned[[#This Row],[ID]], Table4[ID], Table4[Visits], "Not Found", 0)</f>
        <v>6</v>
      </c>
      <c r="W290" s="16">
        <f>_xlfn.XLOOKUP(CustomerCombinedCleaned[[#This Row],[ID]], Table2[ID],Table2[Complaint], "Not Found", 0 )</f>
        <v>0</v>
      </c>
      <c r="X290" s="16">
        <f>_xlfn.XLOOKUP(CustomerCombinedCleaned[[#This Row],[ID]], Table2[ID],Table2[Pilot], "Not Found", 0 )</f>
        <v>0</v>
      </c>
      <c r="Y290" s="16">
        <f>_xlfn.XLOOKUP(CustomerCombinedCleaned[[#This Row],[ID]], Table2[ID],Table2[MC1], "Not Found", 0 )</f>
        <v>0</v>
      </c>
      <c r="Z290" s="16">
        <f>_xlfn.XLOOKUP(CustomerCombinedCleaned[[#This Row],[ID]], Table2[ID],Table2[MC2], "Not Found", 0 )</f>
        <v>0</v>
      </c>
      <c r="AA290" s="16">
        <f>_xlfn.XLOOKUP(CustomerCombinedCleaned[[#This Row],[ID]], Table2[ID],Table2[MC3], "Not Found", 0 )</f>
        <v>0</v>
      </c>
      <c r="AB290" s="16">
        <f>_xlfn.XLOOKUP(CustomerCombinedCleaned[[#This Row],[ID]], Table2[ID],Table2[MC4], "Not Found", 0 )</f>
        <v>0</v>
      </c>
      <c r="AC290" s="16">
        <f>_xlfn.XLOOKUP(CustomerCombinedCleaned[[#This Row],[ID]], Table2[ID],Table2[MC5], "Not Found", 0 )</f>
        <v>0</v>
      </c>
    </row>
    <row r="291" spans="1:29" x14ac:dyDescent="0.3">
      <c r="A291" s="18">
        <v>1405</v>
      </c>
      <c r="B291" s="16">
        <v>130096</v>
      </c>
      <c r="C291" s="16">
        <v>1</v>
      </c>
      <c r="D291" s="16">
        <v>0</v>
      </c>
      <c r="E291" s="16">
        <v>37</v>
      </c>
      <c r="F291" s="17" t="s">
        <v>6</v>
      </c>
      <c r="G291" s="17" t="s">
        <v>11</v>
      </c>
      <c r="H291" s="3" t="s">
        <v>45</v>
      </c>
      <c r="I291" s="5" t="s">
        <v>437</v>
      </c>
      <c r="J291" s="16">
        <f>_xlfn.XLOOKUP(CustomerCombinedCleaned[[#This Row],[ID]], Table4[ID], Table4[Recency], "Not Found", 0)</f>
        <v>30</v>
      </c>
      <c r="K291" s="16">
        <f>_xlfn.XLOOKUP(CustomerCombinedCleaned[[#This Row],[ID]], Table4[ID], Table4[Teas], "Not Found", 0)</f>
        <v>22</v>
      </c>
      <c r="L291" s="16">
        <f>_xlfn.XLOOKUP(CustomerCombinedCleaned[[#This Row],[ID]], Table4[ID], Table4[Fruits], "Not Found", 0)</f>
        <v>13</v>
      </c>
      <c r="M291" s="16">
        <f>_xlfn.XLOOKUP(CustomerCombinedCleaned[[#This Row],[ID]], Table4[ID], Table4[Meats], "Not Found", 0)</f>
        <v>48</v>
      </c>
      <c r="N291" s="16">
        <f>_xlfn.XLOOKUP(CustomerCombinedCleaned[[#This Row],[ID]], Table4[ID], Table4[Seafood], "Not Found", 0)</f>
        <v>52</v>
      </c>
      <c r="O291" s="16">
        <f>_xlfn.XLOOKUP(CustomerCombinedCleaned[[#This Row],[ID]], Table4[ID], Table4[Sweets], "Not Found", 0)</f>
        <v>22</v>
      </c>
      <c r="P291" s="16">
        <f>_xlfn.XLOOKUP(CustomerCombinedCleaned[[#This Row],[ID]], Table4[ID], Table4[Premium], "Not Found", 0)</f>
        <v>39</v>
      </c>
      <c r="Q291" s="16">
        <f>_xlfn.XLOOKUP(CustomerCombinedCleaned[[#This Row],[ID]], Table4[ID], Table4[Regular], "Not Found", 0)</f>
        <v>117</v>
      </c>
      <c r="R291" s="16">
        <f>_xlfn.XLOOKUP(CustomerCombinedCleaned[[#This Row],[ID]], Table4[ID], Table4[Deals], "Not Found", 0)</f>
        <v>1</v>
      </c>
      <c r="S291" s="16">
        <f>_xlfn.XLOOKUP(CustomerCombinedCleaned[[#This Row],[ID]], Table4[ID], Table4[Website], "Not Found", 0)</f>
        <v>2</v>
      </c>
      <c r="T291" s="16">
        <f>_xlfn.XLOOKUP(CustomerCombinedCleaned[[#This Row],[ID]], Table4[ID], Table4[Catalog], "Not Found", 0)</f>
        <v>0</v>
      </c>
      <c r="U291" s="16">
        <f>_xlfn.XLOOKUP(CustomerCombinedCleaned[[#This Row],[ID]], Table4[ID], Table4[Store], "Not Found", 0)</f>
        <v>3</v>
      </c>
      <c r="V291" s="16">
        <f>_xlfn.XLOOKUP(CustomerCombinedCleaned[[#This Row],[ID]], Table4[ID], Table4[Visits], "Not Found", 0)</f>
        <v>6</v>
      </c>
      <c r="W291" s="16">
        <f>_xlfn.XLOOKUP(CustomerCombinedCleaned[[#This Row],[ID]], Table2[ID],Table2[Complaint], "Not Found", 0 )</f>
        <v>0</v>
      </c>
      <c r="X291" s="16">
        <f>_xlfn.XLOOKUP(CustomerCombinedCleaned[[#This Row],[ID]], Table2[ID],Table2[Pilot], "Not Found", 0 )</f>
        <v>0</v>
      </c>
      <c r="Y291" s="16">
        <f>_xlfn.XLOOKUP(CustomerCombinedCleaned[[#This Row],[ID]], Table2[ID],Table2[MC1], "Not Found", 0 )</f>
        <v>0</v>
      </c>
      <c r="Z291" s="16">
        <f>_xlfn.XLOOKUP(CustomerCombinedCleaned[[#This Row],[ID]], Table2[ID],Table2[MC2], "Not Found", 0 )</f>
        <v>0</v>
      </c>
      <c r="AA291" s="16">
        <f>_xlfn.XLOOKUP(CustomerCombinedCleaned[[#This Row],[ID]], Table2[ID],Table2[MC3], "Not Found", 0 )</f>
        <v>0</v>
      </c>
      <c r="AB291" s="16">
        <f>_xlfn.XLOOKUP(CustomerCombinedCleaned[[#This Row],[ID]], Table2[ID],Table2[MC4], "Not Found", 0 )</f>
        <v>0</v>
      </c>
      <c r="AC291" s="16">
        <f>_xlfn.XLOOKUP(CustomerCombinedCleaned[[#This Row],[ID]], Table2[ID],Table2[MC5], "Not Found", 0 )</f>
        <v>0</v>
      </c>
    </row>
    <row r="292" spans="1:29" x14ac:dyDescent="0.3">
      <c r="A292" s="18">
        <v>2214</v>
      </c>
      <c r="B292" s="16">
        <v>128427</v>
      </c>
      <c r="C292" s="16">
        <v>1</v>
      </c>
      <c r="D292" s="16">
        <v>0</v>
      </c>
      <c r="E292" s="16">
        <v>37</v>
      </c>
      <c r="F292" s="17" t="s">
        <v>8</v>
      </c>
      <c r="G292" s="17" t="s">
        <v>11</v>
      </c>
      <c r="H292" s="3" t="s">
        <v>287</v>
      </c>
      <c r="I292" s="5" t="s">
        <v>436</v>
      </c>
      <c r="J292" s="16">
        <f>_xlfn.XLOOKUP(CustomerCombinedCleaned[[#This Row],[ID]], Table4[ID], Table4[Recency], "Not Found", 0)</f>
        <v>67</v>
      </c>
      <c r="K292" s="16">
        <f>_xlfn.XLOOKUP(CustomerCombinedCleaned[[#This Row],[ID]], Table4[ID], Table4[Teas], "Not Found", 0)</f>
        <v>81</v>
      </c>
      <c r="L292" s="16">
        <f>_xlfn.XLOOKUP(CustomerCombinedCleaned[[#This Row],[ID]], Table4[ID], Table4[Fruits], "Not Found", 0)</f>
        <v>14</v>
      </c>
      <c r="M292" s="16">
        <f>_xlfn.XLOOKUP(CustomerCombinedCleaned[[#This Row],[ID]], Table4[ID], Table4[Meats], "Not Found", 0)</f>
        <v>86</v>
      </c>
      <c r="N292" s="16">
        <f>_xlfn.XLOOKUP(CustomerCombinedCleaned[[#This Row],[ID]], Table4[ID], Table4[Seafood], "Not Found", 0)</f>
        <v>14</v>
      </c>
      <c r="O292" s="16">
        <f>_xlfn.XLOOKUP(CustomerCombinedCleaned[[#This Row],[ID]], Table4[ID], Table4[Sweets], "Not Found", 0)</f>
        <v>14</v>
      </c>
      <c r="P292" s="16">
        <f>_xlfn.XLOOKUP(CustomerCombinedCleaned[[#This Row],[ID]], Table4[ID], Table4[Premium], "Not Found", 0)</f>
        <v>27</v>
      </c>
      <c r="Q292" s="16">
        <f>_xlfn.XLOOKUP(CustomerCombinedCleaned[[#This Row],[ID]], Table4[ID], Table4[Regular], "Not Found", 0)</f>
        <v>181</v>
      </c>
      <c r="R292" s="16">
        <f>_xlfn.XLOOKUP(CustomerCombinedCleaned[[#This Row],[ID]], Table4[ID], Table4[Deals], "Not Found", 0)</f>
        <v>2</v>
      </c>
      <c r="S292" s="16">
        <f>_xlfn.XLOOKUP(CustomerCombinedCleaned[[#This Row],[ID]], Table4[ID], Table4[Website], "Not Found", 0)</f>
        <v>2</v>
      </c>
      <c r="T292" s="16">
        <f>_xlfn.XLOOKUP(CustomerCombinedCleaned[[#This Row],[ID]], Table4[ID], Table4[Catalog], "Not Found", 0)</f>
        <v>0</v>
      </c>
      <c r="U292" s="16">
        <f>_xlfn.XLOOKUP(CustomerCombinedCleaned[[#This Row],[ID]], Table4[ID], Table4[Store], "Not Found", 0)</f>
        <v>3</v>
      </c>
      <c r="V292" s="16">
        <f>_xlfn.XLOOKUP(CustomerCombinedCleaned[[#This Row],[ID]], Table4[ID], Table4[Visits], "Not Found", 0)</f>
        <v>8</v>
      </c>
      <c r="W292" s="16">
        <f>_xlfn.XLOOKUP(CustomerCombinedCleaned[[#This Row],[ID]], Table2[ID],Table2[Complaint], "Not Found", 0 )</f>
        <v>0</v>
      </c>
      <c r="X292" s="16">
        <f>_xlfn.XLOOKUP(CustomerCombinedCleaned[[#This Row],[ID]], Table2[ID],Table2[Pilot], "Not Found", 0 )</f>
        <v>0</v>
      </c>
      <c r="Y292" s="16">
        <f>_xlfn.XLOOKUP(CustomerCombinedCleaned[[#This Row],[ID]], Table2[ID],Table2[MC1], "Not Found", 0 )</f>
        <v>0</v>
      </c>
      <c r="Z292" s="16">
        <f>_xlfn.XLOOKUP(CustomerCombinedCleaned[[#This Row],[ID]], Table2[ID],Table2[MC2], "Not Found", 0 )</f>
        <v>0</v>
      </c>
      <c r="AA292" s="16">
        <f>_xlfn.XLOOKUP(CustomerCombinedCleaned[[#This Row],[ID]], Table2[ID],Table2[MC3], "Not Found", 0 )</f>
        <v>0</v>
      </c>
      <c r="AB292" s="16">
        <f>_xlfn.XLOOKUP(CustomerCombinedCleaned[[#This Row],[ID]], Table2[ID],Table2[MC4], "Not Found", 0 )</f>
        <v>0</v>
      </c>
      <c r="AC292" s="16">
        <f>_xlfn.XLOOKUP(CustomerCombinedCleaned[[#This Row],[ID]], Table2[ID],Table2[MC5], "Not Found", 0 )</f>
        <v>0</v>
      </c>
    </row>
    <row r="293" spans="1:29" x14ac:dyDescent="0.3">
      <c r="A293" s="18">
        <v>3184</v>
      </c>
      <c r="B293" s="16">
        <v>128427</v>
      </c>
      <c r="C293" s="16">
        <v>1</v>
      </c>
      <c r="D293" s="16">
        <v>0</v>
      </c>
      <c r="E293" s="16">
        <v>37</v>
      </c>
      <c r="F293" s="17" t="s">
        <v>8</v>
      </c>
      <c r="G293" s="17" t="s">
        <v>11</v>
      </c>
      <c r="H293" s="3" t="s">
        <v>287</v>
      </c>
      <c r="I293" s="5" t="s">
        <v>439</v>
      </c>
      <c r="J293" s="16">
        <f>_xlfn.XLOOKUP(CustomerCombinedCleaned[[#This Row],[ID]], Table4[ID], Table4[Recency], "Not Found", 0)</f>
        <v>67</v>
      </c>
      <c r="K293" s="16">
        <f>_xlfn.XLOOKUP(CustomerCombinedCleaned[[#This Row],[ID]], Table4[ID], Table4[Teas], "Not Found", 0)</f>
        <v>81</v>
      </c>
      <c r="L293" s="16">
        <f>_xlfn.XLOOKUP(CustomerCombinedCleaned[[#This Row],[ID]], Table4[ID], Table4[Fruits], "Not Found", 0)</f>
        <v>14</v>
      </c>
      <c r="M293" s="16">
        <f>_xlfn.XLOOKUP(CustomerCombinedCleaned[[#This Row],[ID]], Table4[ID], Table4[Meats], "Not Found", 0)</f>
        <v>86</v>
      </c>
      <c r="N293" s="16">
        <f>_xlfn.XLOOKUP(CustomerCombinedCleaned[[#This Row],[ID]], Table4[ID], Table4[Seafood], "Not Found", 0)</f>
        <v>14</v>
      </c>
      <c r="O293" s="16">
        <f>_xlfn.XLOOKUP(CustomerCombinedCleaned[[#This Row],[ID]], Table4[ID], Table4[Sweets], "Not Found", 0)</f>
        <v>14</v>
      </c>
      <c r="P293" s="16">
        <f>_xlfn.XLOOKUP(CustomerCombinedCleaned[[#This Row],[ID]], Table4[ID], Table4[Premium], "Not Found", 0)</f>
        <v>27</v>
      </c>
      <c r="Q293" s="16">
        <f>_xlfn.XLOOKUP(CustomerCombinedCleaned[[#This Row],[ID]], Table4[ID], Table4[Regular], "Not Found", 0)</f>
        <v>181</v>
      </c>
      <c r="R293" s="16">
        <f>_xlfn.XLOOKUP(CustomerCombinedCleaned[[#This Row],[ID]], Table4[ID], Table4[Deals], "Not Found", 0)</f>
        <v>2</v>
      </c>
      <c r="S293" s="16">
        <f>_xlfn.XLOOKUP(CustomerCombinedCleaned[[#This Row],[ID]], Table4[ID], Table4[Website], "Not Found", 0)</f>
        <v>2</v>
      </c>
      <c r="T293" s="16">
        <f>_xlfn.XLOOKUP(CustomerCombinedCleaned[[#This Row],[ID]], Table4[ID], Table4[Catalog], "Not Found", 0)</f>
        <v>0</v>
      </c>
      <c r="U293" s="16">
        <f>_xlfn.XLOOKUP(CustomerCombinedCleaned[[#This Row],[ID]], Table4[ID], Table4[Store], "Not Found", 0)</f>
        <v>3</v>
      </c>
      <c r="V293" s="16">
        <f>_xlfn.XLOOKUP(CustomerCombinedCleaned[[#This Row],[ID]], Table4[ID], Table4[Visits], "Not Found", 0)</f>
        <v>8</v>
      </c>
      <c r="W293" s="16">
        <f>_xlfn.XLOOKUP(CustomerCombinedCleaned[[#This Row],[ID]], Table2[ID],Table2[Complaint], "Not Found", 0 )</f>
        <v>0</v>
      </c>
      <c r="X293" s="16">
        <f>_xlfn.XLOOKUP(CustomerCombinedCleaned[[#This Row],[ID]], Table2[ID],Table2[Pilot], "Not Found", 0 )</f>
        <v>0</v>
      </c>
      <c r="Y293" s="16">
        <f>_xlfn.XLOOKUP(CustomerCombinedCleaned[[#This Row],[ID]], Table2[ID],Table2[MC1], "Not Found", 0 )</f>
        <v>0</v>
      </c>
      <c r="Z293" s="16">
        <f>_xlfn.XLOOKUP(CustomerCombinedCleaned[[#This Row],[ID]], Table2[ID],Table2[MC2], "Not Found", 0 )</f>
        <v>0</v>
      </c>
      <c r="AA293" s="16">
        <f>_xlfn.XLOOKUP(CustomerCombinedCleaned[[#This Row],[ID]], Table2[ID],Table2[MC3], "Not Found", 0 )</f>
        <v>0</v>
      </c>
      <c r="AB293" s="16">
        <f>_xlfn.XLOOKUP(CustomerCombinedCleaned[[#This Row],[ID]], Table2[ID],Table2[MC4], "Not Found", 0 )</f>
        <v>0</v>
      </c>
      <c r="AC293" s="16">
        <f>_xlfn.XLOOKUP(CustomerCombinedCleaned[[#This Row],[ID]], Table2[ID],Table2[MC5], "Not Found", 0 )</f>
        <v>0</v>
      </c>
    </row>
    <row r="294" spans="1:29" x14ac:dyDescent="0.3">
      <c r="A294" s="18">
        <v>2592</v>
      </c>
      <c r="B294" s="16">
        <v>128359</v>
      </c>
      <c r="C294" s="16">
        <v>1</v>
      </c>
      <c r="D294" s="16">
        <v>0</v>
      </c>
      <c r="E294" s="16">
        <v>37</v>
      </c>
      <c r="F294" s="17" t="s">
        <v>8</v>
      </c>
      <c r="G294" s="17" t="s">
        <v>11</v>
      </c>
      <c r="H294" s="3" t="s">
        <v>628</v>
      </c>
      <c r="I294" s="5" t="s">
        <v>436</v>
      </c>
      <c r="J294" s="16">
        <f>_xlfn.XLOOKUP(CustomerCombinedCleaned[[#This Row],[ID]], Table4[ID], Table4[Recency], "Not Found", 0)</f>
        <v>35</v>
      </c>
      <c r="K294" s="16">
        <f>_xlfn.XLOOKUP(CustomerCombinedCleaned[[#This Row],[ID]], Table4[ID], Table4[Teas], "Not Found", 0)</f>
        <v>27</v>
      </c>
      <c r="L294" s="16">
        <f>_xlfn.XLOOKUP(CustomerCombinedCleaned[[#This Row],[ID]], Table4[ID], Table4[Fruits], "Not Found", 0)</f>
        <v>0</v>
      </c>
      <c r="M294" s="16">
        <f>_xlfn.XLOOKUP(CustomerCombinedCleaned[[#This Row],[ID]], Table4[ID], Table4[Meats], "Not Found", 0)</f>
        <v>23</v>
      </c>
      <c r="N294" s="16">
        <f>_xlfn.XLOOKUP(CustomerCombinedCleaned[[#This Row],[ID]], Table4[ID], Table4[Seafood], "Not Found", 0)</f>
        <v>9</v>
      </c>
      <c r="O294" s="16">
        <f>_xlfn.XLOOKUP(CustomerCombinedCleaned[[#This Row],[ID]], Table4[ID], Table4[Sweets], "Not Found", 0)</f>
        <v>5</v>
      </c>
      <c r="P294" s="16">
        <f>_xlfn.XLOOKUP(CustomerCombinedCleaned[[#This Row],[ID]], Table4[ID], Table4[Premium], "Not Found", 0)</f>
        <v>9</v>
      </c>
      <c r="Q294" s="16">
        <f>_xlfn.XLOOKUP(CustomerCombinedCleaned[[#This Row],[ID]], Table4[ID], Table4[Regular], "Not Found", 0)</f>
        <v>54</v>
      </c>
      <c r="R294" s="16">
        <f>_xlfn.XLOOKUP(CustomerCombinedCleaned[[#This Row],[ID]], Table4[ID], Table4[Deals], "Not Found", 0)</f>
        <v>1</v>
      </c>
      <c r="S294" s="16">
        <f>_xlfn.XLOOKUP(CustomerCombinedCleaned[[#This Row],[ID]], Table4[ID], Table4[Website], "Not Found", 0)</f>
        <v>1</v>
      </c>
      <c r="T294" s="16">
        <f>_xlfn.XLOOKUP(CustomerCombinedCleaned[[#This Row],[ID]], Table4[ID], Table4[Catalog], "Not Found", 0)</f>
        <v>0</v>
      </c>
      <c r="U294" s="16">
        <f>_xlfn.XLOOKUP(CustomerCombinedCleaned[[#This Row],[ID]], Table4[ID], Table4[Store], "Not Found", 0)</f>
        <v>2</v>
      </c>
      <c r="V294" s="16">
        <f>_xlfn.XLOOKUP(CustomerCombinedCleaned[[#This Row],[ID]], Table4[ID], Table4[Visits], "Not Found", 0)</f>
        <v>7</v>
      </c>
      <c r="W294" s="16">
        <f>_xlfn.XLOOKUP(CustomerCombinedCleaned[[#This Row],[ID]], Table2[ID],Table2[Complaint], "Not Found", 0 )</f>
        <v>0</v>
      </c>
      <c r="X294" s="16">
        <f>_xlfn.XLOOKUP(CustomerCombinedCleaned[[#This Row],[ID]], Table2[ID],Table2[Pilot], "Not Found", 0 )</f>
        <v>0</v>
      </c>
      <c r="Y294" s="16">
        <f>_xlfn.XLOOKUP(CustomerCombinedCleaned[[#This Row],[ID]], Table2[ID],Table2[MC1], "Not Found", 0 )</f>
        <v>0</v>
      </c>
      <c r="Z294" s="16">
        <f>_xlfn.XLOOKUP(CustomerCombinedCleaned[[#This Row],[ID]], Table2[ID],Table2[MC2], "Not Found", 0 )</f>
        <v>0</v>
      </c>
      <c r="AA294" s="16">
        <f>_xlfn.XLOOKUP(CustomerCombinedCleaned[[#This Row],[ID]], Table2[ID],Table2[MC3], "Not Found", 0 )</f>
        <v>0</v>
      </c>
      <c r="AB294" s="16">
        <f>_xlfn.XLOOKUP(CustomerCombinedCleaned[[#This Row],[ID]], Table2[ID],Table2[MC4], "Not Found", 0 )</f>
        <v>0</v>
      </c>
      <c r="AC294" s="16">
        <f>_xlfn.XLOOKUP(CustomerCombinedCleaned[[#This Row],[ID]], Table2[ID],Table2[MC5], "Not Found", 0 )</f>
        <v>0</v>
      </c>
    </row>
    <row r="295" spans="1:29" x14ac:dyDescent="0.3">
      <c r="A295" s="18">
        <v>2035</v>
      </c>
      <c r="B295" s="16">
        <v>127100</v>
      </c>
      <c r="C295" s="16">
        <v>1</v>
      </c>
      <c r="D295" s="16">
        <v>0</v>
      </c>
      <c r="E295" s="16">
        <v>37</v>
      </c>
      <c r="F295" s="17" t="s">
        <v>6</v>
      </c>
      <c r="G295" s="17" t="s">
        <v>12</v>
      </c>
      <c r="H295" s="3" t="s">
        <v>538</v>
      </c>
      <c r="I295" s="5" t="s">
        <v>437</v>
      </c>
      <c r="J295" s="16">
        <f>_xlfn.XLOOKUP(CustomerCombinedCleaned[[#This Row],[ID]], Table4[ID], Table4[Recency], "Not Found", 0)</f>
        <v>64</v>
      </c>
      <c r="K295" s="16">
        <f>_xlfn.XLOOKUP(CustomerCombinedCleaned[[#This Row],[ID]], Table4[ID], Table4[Teas], "Not Found", 0)</f>
        <v>56</v>
      </c>
      <c r="L295" s="16">
        <f>_xlfn.XLOOKUP(CustomerCombinedCleaned[[#This Row],[ID]], Table4[ID], Table4[Fruits], "Not Found", 0)</f>
        <v>0</v>
      </c>
      <c r="M295" s="16">
        <f>_xlfn.XLOOKUP(CustomerCombinedCleaned[[#This Row],[ID]], Table4[ID], Table4[Meats], "Not Found", 0)</f>
        <v>61</v>
      </c>
      <c r="N295" s="16">
        <f>_xlfn.XLOOKUP(CustomerCombinedCleaned[[#This Row],[ID]], Table4[ID], Table4[Seafood], "Not Found", 0)</f>
        <v>9</v>
      </c>
      <c r="O295" s="16">
        <f>_xlfn.XLOOKUP(CustomerCombinedCleaned[[#This Row],[ID]], Table4[ID], Table4[Sweets], "Not Found", 0)</f>
        <v>0</v>
      </c>
      <c r="P295" s="16">
        <f>_xlfn.XLOOKUP(CustomerCombinedCleaned[[#This Row],[ID]], Table4[ID], Table4[Premium], "Not Found", 0)</f>
        <v>47</v>
      </c>
      <c r="Q295" s="16">
        <f>_xlfn.XLOOKUP(CustomerCombinedCleaned[[#This Row],[ID]], Table4[ID], Table4[Regular], "Not Found", 0)</f>
        <v>80</v>
      </c>
      <c r="R295" s="16">
        <f>_xlfn.XLOOKUP(CustomerCombinedCleaned[[#This Row],[ID]], Table4[ID], Table4[Deals], "Not Found", 0)</f>
        <v>1</v>
      </c>
      <c r="S295" s="16">
        <f>_xlfn.XLOOKUP(CustomerCombinedCleaned[[#This Row],[ID]], Table4[ID], Table4[Website], "Not Found", 0)</f>
        <v>1</v>
      </c>
      <c r="T295" s="16">
        <f>_xlfn.XLOOKUP(CustomerCombinedCleaned[[#This Row],[ID]], Table4[ID], Table4[Catalog], "Not Found", 0)</f>
        <v>0</v>
      </c>
      <c r="U295" s="16">
        <f>_xlfn.XLOOKUP(CustomerCombinedCleaned[[#This Row],[ID]], Table4[ID], Table4[Store], "Not Found", 0)</f>
        <v>3</v>
      </c>
      <c r="V295" s="16">
        <f>_xlfn.XLOOKUP(CustomerCombinedCleaned[[#This Row],[ID]], Table4[ID], Table4[Visits], "Not Found", 0)</f>
        <v>7</v>
      </c>
      <c r="W295" s="16">
        <f>_xlfn.XLOOKUP(CustomerCombinedCleaned[[#This Row],[ID]], Table2[ID],Table2[Complaint], "Not Found", 0 )</f>
        <v>0</v>
      </c>
      <c r="X295" s="16">
        <f>_xlfn.XLOOKUP(CustomerCombinedCleaned[[#This Row],[ID]], Table2[ID],Table2[Pilot], "Not Found", 0 )</f>
        <v>0</v>
      </c>
      <c r="Y295" s="16">
        <f>_xlfn.XLOOKUP(CustomerCombinedCleaned[[#This Row],[ID]], Table2[ID],Table2[MC1], "Not Found", 0 )</f>
        <v>0</v>
      </c>
      <c r="Z295" s="16">
        <f>_xlfn.XLOOKUP(CustomerCombinedCleaned[[#This Row],[ID]], Table2[ID],Table2[MC2], "Not Found", 0 )</f>
        <v>0</v>
      </c>
      <c r="AA295" s="16">
        <f>_xlfn.XLOOKUP(CustomerCombinedCleaned[[#This Row],[ID]], Table2[ID],Table2[MC3], "Not Found", 0 )</f>
        <v>0</v>
      </c>
      <c r="AB295" s="16">
        <f>_xlfn.XLOOKUP(CustomerCombinedCleaned[[#This Row],[ID]], Table2[ID],Table2[MC4], "Not Found", 0 )</f>
        <v>0</v>
      </c>
      <c r="AC295" s="16">
        <f>_xlfn.XLOOKUP(CustomerCombinedCleaned[[#This Row],[ID]], Table2[ID],Table2[MC5], "Not Found", 0 )</f>
        <v>0</v>
      </c>
    </row>
    <row r="296" spans="1:29" x14ac:dyDescent="0.3">
      <c r="A296" s="18">
        <v>2406</v>
      </c>
      <c r="B296" s="16">
        <v>127100</v>
      </c>
      <c r="C296" s="16">
        <v>1</v>
      </c>
      <c r="D296" s="16">
        <v>0</v>
      </c>
      <c r="E296" s="16">
        <v>37</v>
      </c>
      <c r="F296" s="17" t="s">
        <v>6</v>
      </c>
      <c r="G296" s="17" t="s">
        <v>12</v>
      </c>
      <c r="H296" s="3" t="s">
        <v>538</v>
      </c>
      <c r="I296" s="5" t="s">
        <v>436</v>
      </c>
      <c r="J296" s="16">
        <f>_xlfn.XLOOKUP(CustomerCombinedCleaned[[#This Row],[ID]], Table4[ID], Table4[Recency], "Not Found", 0)</f>
        <v>64</v>
      </c>
      <c r="K296" s="16">
        <f>_xlfn.XLOOKUP(CustomerCombinedCleaned[[#This Row],[ID]], Table4[ID], Table4[Teas], "Not Found", 0)</f>
        <v>56</v>
      </c>
      <c r="L296" s="16">
        <f>_xlfn.XLOOKUP(CustomerCombinedCleaned[[#This Row],[ID]], Table4[ID], Table4[Fruits], "Not Found", 0)</f>
        <v>0</v>
      </c>
      <c r="M296" s="16">
        <f>_xlfn.XLOOKUP(CustomerCombinedCleaned[[#This Row],[ID]], Table4[ID], Table4[Meats], "Not Found", 0)</f>
        <v>61</v>
      </c>
      <c r="N296" s="16">
        <f>_xlfn.XLOOKUP(CustomerCombinedCleaned[[#This Row],[ID]], Table4[ID], Table4[Seafood], "Not Found", 0)</f>
        <v>9</v>
      </c>
      <c r="O296" s="16">
        <f>_xlfn.XLOOKUP(CustomerCombinedCleaned[[#This Row],[ID]], Table4[ID], Table4[Sweets], "Not Found", 0)</f>
        <v>0</v>
      </c>
      <c r="P296" s="16">
        <f>_xlfn.XLOOKUP(CustomerCombinedCleaned[[#This Row],[ID]], Table4[ID], Table4[Premium], "Not Found", 0)</f>
        <v>47</v>
      </c>
      <c r="Q296" s="16">
        <f>_xlfn.XLOOKUP(CustomerCombinedCleaned[[#This Row],[ID]], Table4[ID], Table4[Regular], "Not Found", 0)</f>
        <v>80</v>
      </c>
      <c r="R296" s="16">
        <f>_xlfn.XLOOKUP(CustomerCombinedCleaned[[#This Row],[ID]], Table4[ID], Table4[Deals], "Not Found", 0)</f>
        <v>1</v>
      </c>
      <c r="S296" s="16">
        <f>_xlfn.XLOOKUP(CustomerCombinedCleaned[[#This Row],[ID]], Table4[ID], Table4[Website], "Not Found", 0)</f>
        <v>1</v>
      </c>
      <c r="T296" s="16">
        <f>_xlfn.XLOOKUP(CustomerCombinedCleaned[[#This Row],[ID]], Table4[ID], Table4[Catalog], "Not Found", 0)</f>
        <v>0</v>
      </c>
      <c r="U296" s="16">
        <f>_xlfn.XLOOKUP(CustomerCombinedCleaned[[#This Row],[ID]], Table4[ID], Table4[Store], "Not Found", 0)</f>
        <v>3</v>
      </c>
      <c r="V296" s="16">
        <f>_xlfn.XLOOKUP(CustomerCombinedCleaned[[#This Row],[ID]], Table4[ID], Table4[Visits], "Not Found", 0)</f>
        <v>7</v>
      </c>
      <c r="W296" s="16">
        <f>_xlfn.XLOOKUP(CustomerCombinedCleaned[[#This Row],[ID]], Table2[ID],Table2[Complaint], "Not Found", 0 )</f>
        <v>0</v>
      </c>
      <c r="X296" s="16">
        <f>_xlfn.XLOOKUP(CustomerCombinedCleaned[[#This Row],[ID]], Table2[ID],Table2[Pilot], "Not Found", 0 )</f>
        <v>0</v>
      </c>
      <c r="Y296" s="16">
        <f>_xlfn.XLOOKUP(CustomerCombinedCleaned[[#This Row],[ID]], Table2[ID],Table2[MC1], "Not Found", 0 )</f>
        <v>0</v>
      </c>
      <c r="Z296" s="16">
        <f>_xlfn.XLOOKUP(CustomerCombinedCleaned[[#This Row],[ID]], Table2[ID],Table2[MC2], "Not Found", 0 )</f>
        <v>0</v>
      </c>
      <c r="AA296" s="16">
        <f>_xlfn.XLOOKUP(CustomerCombinedCleaned[[#This Row],[ID]], Table2[ID],Table2[MC3], "Not Found", 0 )</f>
        <v>0</v>
      </c>
      <c r="AB296" s="16">
        <f>_xlfn.XLOOKUP(CustomerCombinedCleaned[[#This Row],[ID]], Table2[ID],Table2[MC4], "Not Found", 0 )</f>
        <v>0</v>
      </c>
      <c r="AC296" s="16">
        <f>_xlfn.XLOOKUP(CustomerCombinedCleaned[[#This Row],[ID]], Table2[ID],Table2[MC5], "Not Found", 0 )</f>
        <v>0</v>
      </c>
    </row>
    <row r="297" spans="1:29" x14ac:dyDescent="0.3">
      <c r="A297" s="18">
        <v>1174</v>
      </c>
      <c r="B297" s="16">
        <v>125271</v>
      </c>
      <c r="C297" s="16">
        <v>1</v>
      </c>
      <c r="D297" s="16">
        <v>0</v>
      </c>
      <c r="E297" s="16">
        <v>37</v>
      </c>
      <c r="F297" s="17" t="s">
        <v>6</v>
      </c>
      <c r="G297" s="17" t="s">
        <v>11</v>
      </c>
      <c r="H297" s="3" t="s">
        <v>686</v>
      </c>
      <c r="I297" s="5" t="s">
        <v>439</v>
      </c>
      <c r="J297" s="16">
        <f>_xlfn.XLOOKUP(CustomerCombinedCleaned[[#This Row],[ID]], Table4[ID], Table4[Recency], "Not Found", 0)</f>
        <v>45</v>
      </c>
      <c r="K297" s="16">
        <f>_xlfn.XLOOKUP(CustomerCombinedCleaned[[#This Row],[ID]], Table4[ID], Table4[Teas], "Not Found", 0)</f>
        <v>50</v>
      </c>
      <c r="L297" s="16">
        <f>_xlfn.XLOOKUP(CustomerCombinedCleaned[[#This Row],[ID]], Table4[ID], Table4[Fruits], "Not Found", 0)</f>
        <v>5</v>
      </c>
      <c r="M297" s="16">
        <f>_xlfn.XLOOKUP(CustomerCombinedCleaned[[#This Row],[ID]], Table4[ID], Table4[Meats], "Not Found", 0)</f>
        <v>89</v>
      </c>
      <c r="N297" s="16">
        <f>_xlfn.XLOOKUP(CustomerCombinedCleaned[[#This Row],[ID]], Table4[ID], Table4[Seafood], "Not Found", 0)</f>
        <v>50</v>
      </c>
      <c r="O297" s="16">
        <f>_xlfn.XLOOKUP(CustomerCombinedCleaned[[#This Row],[ID]], Table4[ID], Table4[Sweets], "Not Found", 0)</f>
        <v>20</v>
      </c>
      <c r="P297" s="16">
        <f>_xlfn.XLOOKUP(CustomerCombinedCleaned[[#This Row],[ID]], Table4[ID], Table4[Premium], "Not Found", 0)</f>
        <v>35</v>
      </c>
      <c r="Q297" s="16">
        <f>_xlfn.XLOOKUP(CustomerCombinedCleaned[[#This Row],[ID]], Table4[ID], Table4[Regular], "Not Found", 0)</f>
        <v>178</v>
      </c>
      <c r="R297" s="16">
        <f>_xlfn.XLOOKUP(CustomerCombinedCleaned[[#This Row],[ID]], Table4[ID], Table4[Deals], "Not Found", 0)</f>
        <v>1</v>
      </c>
      <c r="S297" s="16">
        <f>_xlfn.XLOOKUP(CustomerCombinedCleaned[[#This Row],[ID]], Table4[ID], Table4[Website], "Not Found", 0)</f>
        <v>1</v>
      </c>
      <c r="T297" s="16">
        <f>_xlfn.XLOOKUP(CustomerCombinedCleaned[[#This Row],[ID]], Table4[ID], Table4[Catalog], "Not Found", 0)</f>
        <v>1</v>
      </c>
      <c r="U297" s="16">
        <f>_xlfn.XLOOKUP(CustomerCombinedCleaned[[#This Row],[ID]], Table4[ID], Table4[Store], "Not Found", 0)</f>
        <v>2</v>
      </c>
      <c r="V297" s="16">
        <f>_xlfn.XLOOKUP(CustomerCombinedCleaned[[#This Row],[ID]], Table4[ID], Table4[Visits], "Not Found", 0)</f>
        <v>9</v>
      </c>
      <c r="W297" s="16">
        <f>_xlfn.XLOOKUP(CustomerCombinedCleaned[[#This Row],[ID]], Table2[ID],Table2[Complaint], "Not Found", 0 )</f>
        <v>0</v>
      </c>
      <c r="X297" s="16">
        <f>_xlfn.XLOOKUP(CustomerCombinedCleaned[[#This Row],[ID]], Table2[ID],Table2[Pilot], "Not Found", 0 )</f>
        <v>0</v>
      </c>
      <c r="Y297" s="16">
        <f>_xlfn.XLOOKUP(CustomerCombinedCleaned[[#This Row],[ID]], Table2[ID],Table2[MC1], "Not Found", 0 )</f>
        <v>0</v>
      </c>
      <c r="Z297" s="16">
        <f>_xlfn.XLOOKUP(CustomerCombinedCleaned[[#This Row],[ID]], Table2[ID],Table2[MC2], "Not Found", 0 )</f>
        <v>0</v>
      </c>
      <c r="AA297" s="16">
        <f>_xlfn.XLOOKUP(CustomerCombinedCleaned[[#This Row],[ID]], Table2[ID],Table2[MC3], "Not Found", 0 )</f>
        <v>0</v>
      </c>
      <c r="AB297" s="16">
        <f>_xlfn.XLOOKUP(CustomerCombinedCleaned[[#This Row],[ID]], Table2[ID],Table2[MC4], "Not Found", 0 )</f>
        <v>0</v>
      </c>
      <c r="AC297" s="16">
        <f>_xlfn.XLOOKUP(CustomerCombinedCleaned[[#This Row],[ID]], Table2[ID],Table2[MC5], "Not Found", 0 )</f>
        <v>0</v>
      </c>
    </row>
    <row r="298" spans="1:29" x14ac:dyDescent="0.3">
      <c r="A298" s="18">
        <v>1315</v>
      </c>
      <c r="B298" s="16">
        <v>124072</v>
      </c>
      <c r="C298" s="16">
        <v>1</v>
      </c>
      <c r="D298" s="16">
        <v>0</v>
      </c>
      <c r="E298" s="16">
        <v>37</v>
      </c>
      <c r="F298" s="17" t="s">
        <v>7</v>
      </c>
      <c r="G298" s="17" t="s">
        <v>11</v>
      </c>
      <c r="H298" s="3" t="s">
        <v>273</v>
      </c>
      <c r="I298" s="5" t="s">
        <v>437</v>
      </c>
      <c r="J298" s="16">
        <f>_xlfn.XLOOKUP(CustomerCombinedCleaned[[#This Row],[ID]], Table4[ID], Table4[Recency], "Not Found", 0)</f>
        <v>79</v>
      </c>
      <c r="K298" s="16">
        <f>_xlfn.XLOOKUP(CustomerCombinedCleaned[[#This Row],[ID]], Table4[ID], Table4[Teas], "Not Found", 0)</f>
        <v>46</v>
      </c>
      <c r="L298" s="16">
        <f>_xlfn.XLOOKUP(CustomerCombinedCleaned[[#This Row],[ID]], Table4[ID], Table4[Fruits], "Not Found", 0)</f>
        <v>5</v>
      </c>
      <c r="M298" s="16">
        <f>_xlfn.XLOOKUP(CustomerCombinedCleaned[[#This Row],[ID]], Table4[ID], Table4[Meats], "Not Found", 0)</f>
        <v>31</v>
      </c>
      <c r="N298" s="16">
        <f>_xlfn.XLOOKUP(CustomerCombinedCleaned[[#This Row],[ID]], Table4[ID], Table4[Seafood], "Not Found", 0)</f>
        <v>15</v>
      </c>
      <c r="O298" s="16">
        <f>_xlfn.XLOOKUP(CustomerCombinedCleaned[[#This Row],[ID]], Table4[ID], Table4[Sweets], "Not Found", 0)</f>
        <v>0</v>
      </c>
      <c r="P298" s="16">
        <f>_xlfn.XLOOKUP(CustomerCombinedCleaned[[#This Row],[ID]], Table4[ID], Table4[Premium], "Not Found", 0)</f>
        <v>21</v>
      </c>
      <c r="Q298" s="16">
        <f>_xlfn.XLOOKUP(CustomerCombinedCleaned[[#This Row],[ID]], Table4[ID], Table4[Regular], "Not Found", 0)</f>
        <v>77</v>
      </c>
      <c r="R298" s="16">
        <f>_xlfn.XLOOKUP(CustomerCombinedCleaned[[#This Row],[ID]], Table4[ID], Table4[Deals], "Not Found", 0)</f>
        <v>1</v>
      </c>
      <c r="S298" s="16">
        <f>_xlfn.XLOOKUP(CustomerCombinedCleaned[[#This Row],[ID]], Table4[ID], Table4[Website], "Not Found", 0)</f>
        <v>1</v>
      </c>
      <c r="T298" s="16">
        <f>_xlfn.XLOOKUP(CustomerCombinedCleaned[[#This Row],[ID]], Table4[ID], Table4[Catalog], "Not Found", 0)</f>
        <v>0</v>
      </c>
      <c r="U298" s="16">
        <f>_xlfn.XLOOKUP(CustomerCombinedCleaned[[#This Row],[ID]], Table4[ID], Table4[Store], "Not Found", 0)</f>
        <v>2</v>
      </c>
      <c r="V298" s="16">
        <f>_xlfn.XLOOKUP(CustomerCombinedCleaned[[#This Row],[ID]], Table4[ID], Table4[Visits], "Not Found", 0)</f>
        <v>8</v>
      </c>
      <c r="W298" s="16">
        <f>_xlfn.XLOOKUP(CustomerCombinedCleaned[[#This Row],[ID]], Table2[ID],Table2[Complaint], "Not Found", 0 )</f>
        <v>0</v>
      </c>
      <c r="X298" s="16">
        <f>_xlfn.XLOOKUP(CustomerCombinedCleaned[[#This Row],[ID]], Table2[ID],Table2[Pilot], "Not Found", 0 )</f>
        <v>0</v>
      </c>
      <c r="Y298" s="16">
        <f>_xlfn.XLOOKUP(CustomerCombinedCleaned[[#This Row],[ID]], Table2[ID],Table2[MC1], "Not Found", 0 )</f>
        <v>0</v>
      </c>
      <c r="Z298" s="16">
        <f>_xlfn.XLOOKUP(CustomerCombinedCleaned[[#This Row],[ID]], Table2[ID],Table2[MC2], "Not Found", 0 )</f>
        <v>0</v>
      </c>
      <c r="AA298" s="16">
        <f>_xlfn.XLOOKUP(CustomerCombinedCleaned[[#This Row],[ID]], Table2[ID],Table2[MC3], "Not Found", 0 )</f>
        <v>0</v>
      </c>
      <c r="AB298" s="16">
        <f>_xlfn.XLOOKUP(CustomerCombinedCleaned[[#This Row],[ID]], Table2[ID],Table2[MC4], "Not Found", 0 )</f>
        <v>0</v>
      </c>
      <c r="AC298" s="16">
        <f>_xlfn.XLOOKUP(CustomerCombinedCleaned[[#This Row],[ID]], Table2[ID],Table2[MC5], "Not Found", 0 )</f>
        <v>0</v>
      </c>
    </row>
    <row r="299" spans="1:29" x14ac:dyDescent="0.3">
      <c r="A299" s="18">
        <v>2658</v>
      </c>
      <c r="B299" s="16">
        <v>123536</v>
      </c>
      <c r="C299" s="16">
        <v>1</v>
      </c>
      <c r="D299" s="16">
        <v>0</v>
      </c>
      <c r="E299" s="16">
        <v>37</v>
      </c>
      <c r="F299" s="17" t="s">
        <v>6</v>
      </c>
      <c r="G299" s="17" t="s">
        <v>13</v>
      </c>
      <c r="H299" s="3" t="s">
        <v>794</v>
      </c>
      <c r="I299" s="5" t="s">
        <v>436</v>
      </c>
      <c r="J299" s="16">
        <f>_xlfn.XLOOKUP(CustomerCombinedCleaned[[#This Row],[ID]], Table4[ID], Table4[Recency], "Not Found", 0)</f>
        <v>53</v>
      </c>
      <c r="K299" s="16">
        <f>_xlfn.XLOOKUP(CustomerCombinedCleaned[[#This Row],[ID]], Table4[ID], Table4[Teas], "Not Found", 0)</f>
        <v>31</v>
      </c>
      <c r="L299" s="16">
        <f>_xlfn.XLOOKUP(CustomerCombinedCleaned[[#This Row],[ID]], Table4[ID], Table4[Fruits], "Not Found", 0)</f>
        <v>0</v>
      </c>
      <c r="M299" s="16">
        <f>_xlfn.XLOOKUP(CustomerCombinedCleaned[[#This Row],[ID]], Table4[ID], Table4[Meats], "Not Found", 0)</f>
        <v>16</v>
      </c>
      <c r="N299" s="16">
        <f>_xlfn.XLOOKUP(CustomerCombinedCleaned[[#This Row],[ID]], Table4[ID], Table4[Seafood], "Not Found", 0)</f>
        <v>0</v>
      </c>
      <c r="O299" s="16">
        <f>_xlfn.XLOOKUP(CustomerCombinedCleaned[[#This Row],[ID]], Table4[ID], Table4[Sweets], "Not Found", 0)</f>
        <v>0</v>
      </c>
      <c r="P299" s="16">
        <f>_xlfn.XLOOKUP(CustomerCombinedCleaned[[#This Row],[ID]], Table4[ID], Table4[Premium], "Not Found", 0)</f>
        <v>5</v>
      </c>
      <c r="Q299" s="16">
        <f>_xlfn.XLOOKUP(CustomerCombinedCleaned[[#This Row],[ID]], Table4[ID], Table4[Regular], "Not Found", 0)</f>
        <v>42</v>
      </c>
      <c r="R299" s="16">
        <f>_xlfn.XLOOKUP(CustomerCombinedCleaned[[#This Row],[ID]], Table4[ID], Table4[Deals], "Not Found", 0)</f>
        <v>1</v>
      </c>
      <c r="S299" s="16">
        <f>_xlfn.XLOOKUP(CustomerCombinedCleaned[[#This Row],[ID]], Table4[ID], Table4[Website], "Not Found", 0)</f>
        <v>0</v>
      </c>
      <c r="T299" s="16">
        <f>_xlfn.XLOOKUP(CustomerCombinedCleaned[[#This Row],[ID]], Table4[ID], Table4[Catalog], "Not Found", 0)</f>
        <v>0</v>
      </c>
      <c r="U299" s="16">
        <f>_xlfn.XLOOKUP(CustomerCombinedCleaned[[#This Row],[ID]], Table4[ID], Table4[Store], "Not Found", 0)</f>
        <v>3</v>
      </c>
      <c r="V299" s="16">
        <f>_xlfn.XLOOKUP(CustomerCombinedCleaned[[#This Row],[ID]], Table4[ID], Table4[Visits], "Not Found", 0)</f>
        <v>3</v>
      </c>
      <c r="W299" s="16">
        <f>_xlfn.XLOOKUP(CustomerCombinedCleaned[[#This Row],[ID]], Table2[ID],Table2[Complaint], "Not Found", 0 )</f>
        <v>0</v>
      </c>
      <c r="X299" s="16">
        <f>_xlfn.XLOOKUP(CustomerCombinedCleaned[[#This Row],[ID]], Table2[ID],Table2[Pilot], "Not Found", 0 )</f>
        <v>0</v>
      </c>
      <c r="Y299" s="16">
        <f>_xlfn.XLOOKUP(CustomerCombinedCleaned[[#This Row],[ID]], Table2[ID],Table2[MC1], "Not Found", 0 )</f>
        <v>0</v>
      </c>
      <c r="Z299" s="16">
        <f>_xlfn.XLOOKUP(CustomerCombinedCleaned[[#This Row],[ID]], Table2[ID],Table2[MC2], "Not Found", 0 )</f>
        <v>0</v>
      </c>
      <c r="AA299" s="16">
        <f>_xlfn.XLOOKUP(CustomerCombinedCleaned[[#This Row],[ID]], Table2[ID],Table2[MC3], "Not Found", 0 )</f>
        <v>0</v>
      </c>
      <c r="AB299" s="16">
        <f>_xlfn.XLOOKUP(CustomerCombinedCleaned[[#This Row],[ID]], Table2[ID],Table2[MC4], "Not Found", 0 )</f>
        <v>0</v>
      </c>
      <c r="AC299" s="16">
        <f>_xlfn.XLOOKUP(CustomerCombinedCleaned[[#This Row],[ID]], Table2[ID],Table2[MC5], "Not Found", 0 )</f>
        <v>0</v>
      </c>
    </row>
    <row r="300" spans="1:29" x14ac:dyDescent="0.3">
      <c r="A300" s="18">
        <v>2876</v>
      </c>
      <c r="B300" s="16">
        <v>122148</v>
      </c>
      <c r="C300" s="16">
        <v>0</v>
      </c>
      <c r="D300" s="16">
        <v>0</v>
      </c>
      <c r="E300" s="16">
        <v>37</v>
      </c>
      <c r="F300" s="17" t="s">
        <v>7</v>
      </c>
      <c r="G300" s="17" t="s">
        <v>11</v>
      </c>
      <c r="H300" s="3" t="s">
        <v>69</v>
      </c>
      <c r="I300" s="5" t="s">
        <v>438</v>
      </c>
      <c r="J300" s="16">
        <f>_xlfn.XLOOKUP(CustomerCombinedCleaned[[#This Row],[ID]], Table4[ID], Table4[Recency], "Not Found", 0)</f>
        <v>16</v>
      </c>
      <c r="K300" s="16">
        <f>_xlfn.XLOOKUP(CustomerCombinedCleaned[[#This Row],[ID]], Table4[ID], Table4[Teas], "Not Found", 0)</f>
        <v>83</v>
      </c>
      <c r="L300" s="16">
        <f>_xlfn.XLOOKUP(CustomerCombinedCleaned[[#This Row],[ID]], Table4[ID], Table4[Fruits], "Not Found", 0)</f>
        <v>28</v>
      </c>
      <c r="M300" s="16">
        <f>_xlfn.XLOOKUP(CustomerCombinedCleaned[[#This Row],[ID]], Table4[ID], Table4[Meats], "Not Found", 0)</f>
        <v>77</v>
      </c>
      <c r="N300" s="16">
        <f>_xlfn.XLOOKUP(CustomerCombinedCleaned[[#This Row],[ID]], Table4[ID], Table4[Seafood], "Not Found", 0)</f>
        <v>0</v>
      </c>
      <c r="O300" s="16">
        <f>_xlfn.XLOOKUP(CustomerCombinedCleaned[[#This Row],[ID]], Table4[ID], Table4[Sweets], "Not Found", 0)</f>
        <v>22</v>
      </c>
      <c r="P300" s="16">
        <f>_xlfn.XLOOKUP(CustomerCombinedCleaned[[#This Row],[ID]], Table4[ID], Table4[Premium], "Not Found", 0)</f>
        <v>61</v>
      </c>
      <c r="Q300" s="16">
        <f>_xlfn.XLOOKUP(CustomerCombinedCleaned[[#This Row],[ID]], Table4[ID], Table4[Regular], "Not Found", 0)</f>
        <v>149</v>
      </c>
      <c r="R300" s="16">
        <f>_xlfn.XLOOKUP(CustomerCombinedCleaned[[#This Row],[ID]], Table4[ID], Table4[Deals], "Not Found", 0)</f>
        <v>1</v>
      </c>
      <c r="S300" s="16">
        <f>_xlfn.XLOOKUP(CustomerCombinedCleaned[[#This Row],[ID]], Table4[ID], Table4[Website], "Not Found", 0)</f>
        <v>1</v>
      </c>
      <c r="T300" s="16">
        <f>_xlfn.XLOOKUP(CustomerCombinedCleaned[[#This Row],[ID]], Table4[ID], Table4[Catalog], "Not Found", 0)</f>
        <v>0</v>
      </c>
      <c r="U300" s="16">
        <f>_xlfn.XLOOKUP(CustomerCombinedCleaned[[#This Row],[ID]], Table4[ID], Table4[Store], "Not Found", 0)</f>
        <v>3</v>
      </c>
      <c r="V300" s="16">
        <f>_xlfn.XLOOKUP(CustomerCombinedCleaned[[#This Row],[ID]], Table4[ID], Table4[Visits], "Not Found", 0)</f>
        <v>7</v>
      </c>
      <c r="W300" s="16">
        <f>_xlfn.XLOOKUP(CustomerCombinedCleaned[[#This Row],[ID]], Table2[ID],Table2[Complaint], "Not Found", 0 )</f>
        <v>0</v>
      </c>
      <c r="X300" s="16">
        <f>_xlfn.XLOOKUP(CustomerCombinedCleaned[[#This Row],[ID]], Table2[ID],Table2[Pilot], "Not Found", 0 )</f>
        <v>0</v>
      </c>
      <c r="Y300" s="16">
        <f>_xlfn.XLOOKUP(CustomerCombinedCleaned[[#This Row],[ID]], Table2[ID],Table2[MC1], "Not Found", 0 )</f>
        <v>0</v>
      </c>
      <c r="Z300" s="16">
        <f>_xlfn.XLOOKUP(CustomerCombinedCleaned[[#This Row],[ID]], Table2[ID],Table2[MC2], "Not Found", 0 )</f>
        <v>0</v>
      </c>
      <c r="AA300" s="16">
        <f>_xlfn.XLOOKUP(CustomerCombinedCleaned[[#This Row],[ID]], Table2[ID],Table2[MC3], "Not Found", 0 )</f>
        <v>0</v>
      </c>
      <c r="AB300" s="16">
        <f>_xlfn.XLOOKUP(CustomerCombinedCleaned[[#This Row],[ID]], Table2[ID],Table2[MC4], "Not Found", 0 )</f>
        <v>0</v>
      </c>
      <c r="AC300" s="16">
        <f>_xlfn.XLOOKUP(CustomerCombinedCleaned[[#This Row],[ID]], Table2[ID],Table2[MC5], "Not Found", 0 )</f>
        <v>0</v>
      </c>
    </row>
    <row r="301" spans="1:29" x14ac:dyDescent="0.3">
      <c r="A301" s="18">
        <v>1319</v>
      </c>
      <c r="B301" s="16">
        <v>122010</v>
      </c>
      <c r="C301" s="16">
        <v>1</v>
      </c>
      <c r="D301" s="16">
        <v>0</v>
      </c>
      <c r="E301" s="16">
        <v>37</v>
      </c>
      <c r="F301" s="17" t="s">
        <v>8</v>
      </c>
      <c r="G301" s="17" t="s">
        <v>11</v>
      </c>
      <c r="H301" s="3" t="s">
        <v>769</v>
      </c>
      <c r="I301" s="5" t="s">
        <v>434</v>
      </c>
      <c r="J301" s="16">
        <f>_xlfn.XLOOKUP(CustomerCombinedCleaned[[#This Row],[ID]], Table4[ID], Table4[Recency], "Not Found", 0)</f>
        <v>51</v>
      </c>
      <c r="K301" s="16">
        <f>_xlfn.XLOOKUP(CustomerCombinedCleaned[[#This Row],[ID]], Table4[ID], Table4[Teas], "Not Found", 0)</f>
        <v>61</v>
      </c>
      <c r="L301" s="16">
        <f>_xlfn.XLOOKUP(CustomerCombinedCleaned[[#This Row],[ID]], Table4[ID], Table4[Fruits], "Not Found", 0)</f>
        <v>11</v>
      </c>
      <c r="M301" s="16">
        <f>_xlfn.XLOOKUP(CustomerCombinedCleaned[[#This Row],[ID]], Table4[ID], Table4[Meats], "Not Found", 0)</f>
        <v>50</v>
      </c>
      <c r="N301" s="16">
        <f>_xlfn.XLOOKUP(CustomerCombinedCleaned[[#This Row],[ID]], Table4[ID], Table4[Seafood], "Not Found", 0)</f>
        <v>17</v>
      </c>
      <c r="O301" s="16">
        <f>_xlfn.XLOOKUP(CustomerCombinedCleaned[[#This Row],[ID]], Table4[ID], Table4[Sweets], "Not Found", 0)</f>
        <v>0</v>
      </c>
      <c r="P301" s="16">
        <f>_xlfn.XLOOKUP(CustomerCombinedCleaned[[#This Row],[ID]], Table4[ID], Table4[Premium], "Not Found", 0)</f>
        <v>44</v>
      </c>
      <c r="Q301" s="16">
        <f>_xlfn.XLOOKUP(CustomerCombinedCleaned[[#This Row],[ID]], Table4[ID], Table4[Regular], "Not Found", 0)</f>
        <v>94</v>
      </c>
      <c r="R301" s="16">
        <f>_xlfn.XLOOKUP(CustomerCombinedCleaned[[#This Row],[ID]], Table4[ID], Table4[Deals], "Not Found", 0)</f>
        <v>2</v>
      </c>
      <c r="S301" s="16">
        <f>_xlfn.XLOOKUP(CustomerCombinedCleaned[[#This Row],[ID]], Table4[ID], Table4[Website], "Not Found", 0)</f>
        <v>2</v>
      </c>
      <c r="T301" s="16">
        <f>_xlfn.XLOOKUP(CustomerCombinedCleaned[[#This Row],[ID]], Table4[ID], Table4[Catalog], "Not Found", 0)</f>
        <v>0</v>
      </c>
      <c r="U301" s="16">
        <f>_xlfn.XLOOKUP(CustomerCombinedCleaned[[#This Row],[ID]], Table4[ID], Table4[Store], "Not Found", 0)</f>
        <v>3</v>
      </c>
      <c r="V301" s="16">
        <f>_xlfn.XLOOKUP(CustomerCombinedCleaned[[#This Row],[ID]], Table4[ID], Table4[Visits], "Not Found", 0)</f>
        <v>8</v>
      </c>
      <c r="W301" s="16">
        <f>_xlfn.XLOOKUP(CustomerCombinedCleaned[[#This Row],[ID]], Table2[ID],Table2[Complaint], "Not Found", 0 )</f>
        <v>0</v>
      </c>
      <c r="X301" s="16">
        <f>_xlfn.XLOOKUP(CustomerCombinedCleaned[[#This Row],[ID]], Table2[ID],Table2[Pilot], "Not Found", 0 )</f>
        <v>0</v>
      </c>
      <c r="Y301" s="16">
        <f>_xlfn.XLOOKUP(CustomerCombinedCleaned[[#This Row],[ID]], Table2[ID],Table2[MC1], "Not Found", 0 )</f>
        <v>0</v>
      </c>
      <c r="Z301" s="16">
        <f>_xlfn.XLOOKUP(CustomerCombinedCleaned[[#This Row],[ID]], Table2[ID],Table2[MC2], "Not Found", 0 )</f>
        <v>0</v>
      </c>
      <c r="AA301" s="16">
        <f>_xlfn.XLOOKUP(CustomerCombinedCleaned[[#This Row],[ID]], Table2[ID],Table2[MC3], "Not Found", 0 )</f>
        <v>0</v>
      </c>
      <c r="AB301" s="16">
        <f>_xlfn.XLOOKUP(CustomerCombinedCleaned[[#This Row],[ID]], Table2[ID],Table2[MC4], "Not Found", 0 )</f>
        <v>0</v>
      </c>
      <c r="AC301" s="16">
        <f>_xlfn.XLOOKUP(CustomerCombinedCleaned[[#This Row],[ID]], Table2[ID],Table2[MC5], "Not Found", 0 )</f>
        <v>0</v>
      </c>
    </row>
    <row r="302" spans="1:29" x14ac:dyDescent="0.3">
      <c r="A302" s="18">
        <v>2790</v>
      </c>
      <c r="B302" s="16">
        <v>121840</v>
      </c>
      <c r="C302" s="16">
        <v>1</v>
      </c>
      <c r="D302" s="16">
        <v>0</v>
      </c>
      <c r="E302" s="16">
        <v>37</v>
      </c>
      <c r="F302" s="17" t="s">
        <v>8</v>
      </c>
      <c r="G302" s="17" t="s">
        <v>13</v>
      </c>
      <c r="H302" s="3" t="s">
        <v>215</v>
      </c>
      <c r="I302" s="5" t="s">
        <v>436</v>
      </c>
      <c r="J302" s="16">
        <f>_xlfn.XLOOKUP(CustomerCombinedCleaned[[#This Row],[ID]], Table4[ID], Table4[Recency], "Not Found", 0)</f>
        <v>80</v>
      </c>
      <c r="K302" s="16">
        <f>_xlfn.XLOOKUP(CustomerCombinedCleaned[[#This Row],[ID]], Table4[ID], Table4[Teas], "Not Found", 0)</f>
        <v>95</v>
      </c>
      <c r="L302" s="16">
        <f>_xlfn.XLOOKUP(CustomerCombinedCleaned[[#This Row],[ID]], Table4[ID], Table4[Fruits], "Not Found", 0)</f>
        <v>0</v>
      </c>
      <c r="M302" s="16">
        <f>_xlfn.XLOOKUP(CustomerCombinedCleaned[[#This Row],[ID]], Table4[ID], Table4[Meats], "Not Found", 0)</f>
        <v>50</v>
      </c>
      <c r="N302" s="16">
        <f>_xlfn.XLOOKUP(CustomerCombinedCleaned[[#This Row],[ID]], Table4[ID], Table4[Seafood], "Not Found", 0)</f>
        <v>0</v>
      </c>
      <c r="O302" s="16">
        <f>_xlfn.XLOOKUP(CustomerCombinedCleaned[[#This Row],[ID]], Table4[ID], Table4[Sweets], "Not Found", 0)</f>
        <v>0</v>
      </c>
      <c r="P302" s="16">
        <f>_xlfn.XLOOKUP(CustomerCombinedCleaned[[#This Row],[ID]], Table4[ID], Table4[Premium], "Not Found", 0)</f>
        <v>6</v>
      </c>
      <c r="Q302" s="16">
        <f>_xlfn.XLOOKUP(CustomerCombinedCleaned[[#This Row],[ID]], Table4[ID], Table4[Regular], "Not Found", 0)</f>
        <v>139</v>
      </c>
      <c r="R302" s="16">
        <f>_xlfn.XLOOKUP(CustomerCombinedCleaned[[#This Row],[ID]], Table4[ID], Table4[Deals], "Not Found", 0)</f>
        <v>1</v>
      </c>
      <c r="S302" s="16">
        <f>_xlfn.XLOOKUP(CustomerCombinedCleaned[[#This Row],[ID]], Table4[ID], Table4[Website], "Not Found", 0)</f>
        <v>1</v>
      </c>
      <c r="T302" s="16">
        <f>_xlfn.XLOOKUP(CustomerCombinedCleaned[[#This Row],[ID]], Table4[ID], Table4[Catalog], "Not Found", 0)</f>
        <v>0</v>
      </c>
      <c r="U302" s="16">
        <f>_xlfn.XLOOKUP(CustomerCombinedCleaned[[#This Row],[ID]], Table4[ID], Table4[Store], "Not Found", 0)</f>
        <v>3</v>
      </c>
      <c r="V302" s="16">
        <f>_xlfn.XLOOKUP(CustomerCombinedCleaned[[#This Row],[ID]], Table4[ID], Table4[Visits], "Not Found", 0)</f>
        <v>9</v>
      </c>
      <c r="W302" s="16">
        <f>_xlfn.XLOOKUP(CustomerCombinedCleaned[[#This Row],[ID]], Table2[ID],Table2[Complaint], "Not Found", 0 )</f>
        <v>0</v>
      </c>
      <c r="X302" s="16">
        <f>_xlfn.XLOOKUP(CustomerCombinedCleaned[[#This Row],[ID]], Table2[ID],Table2[Pilot], "Not Found", 0 )</f>
        <v>0</v>
      </c>
      <c r="Y302" s="16">
        <f>_xlfn.XLOOKUP(CustomerCombinedCleaned[[#This Row],[ID]], Table2[ID],Table2[MC1], "Not Found", 0 )</f>
        <v>0</v>
      </c>
      <c r="Z302" s="16">
        <f>_xlfn.XLOOKUP(CustomerCombinedCleaned[[#This Row],[ID]], Table2[ID],Table2[MC2], "Not Found", 0 )</f>
        <v>0</v>
      </c>
      <c r="AA302" s="16">
        <f>_xlfn.XLOOKUP(CustomerCombinedCleaned[[#This Row],[ID]], Table2[ID],Table2[MC3], "Not Found", 0 )</f>
        <v>0</v>
      </c>
      <c r="AB302" s="16">
        <f>_xlfn.XLOOKUP(CustomerCombinedCleaned[[#This Row],[ID]], Table2[ID],Table2[MC4], "Not Found", 0 )</f>
        <v>0</v>
      </c>
      <c r="AC302" s="16">
        <f>_xlfn.XLOOKUP(CustomerCombinedCleaned[[#This Row],[ID]], Table2[ID],Table2[MC5], "Not Found", 0 )</f>
        <v>0</v>
      </c>
    </row>
    <row r="303" spans="1:29" x14ac:dyDescent="0.3">
      <c r="A303" s="18">
        <v>1527</v>
      </c>
      <c r="B303" s="16">
        <v>184169</v>
      </c>
      <c r="C303" s="16">
        <v>0</v>
      </c>
      <c r="D303" s="16">
        <v>0</v>
      </c>
      <c r="E303" s="16">
        <v>38</v>
      </c>
      <c r="F303" s="17" t="s">
        <v>6</v>
      </c>
      <c r="G303" s="17" t="s">
        <v>13</v>
      </c>
      <c r="H303" s="3" t="s">
        <v>572</v>
      </c>
      <c r="I303" s="5" t="s">
        <v>435</v>
      </c>
      <c r="J303" s="16">
        <f>_xlfn.XLOOKUP(CustomerCombinedCleaned[[#This Row],[ID]], Table4[ID], Table4[Recency], "Not Found", 0)</f>
        <v>9</v>
      </c>
      <c r="K303" s="16">
        <f>_xlfn.XLOOKUP(CustomerCombinedCleaned[[#This Row],[ID]], Table4[ID], Table4[Teas], "Not Found", 0)</f>
        <v>3234</v>
      </c>
      <c r="L303" s="16">
        <f>_xlfn.XLOOKUP(CustomerCombinedCleaned[[#This Row],[ID]], Table4[ID], Table4[Fruits], "Not Found", 0)</f>
        <v>42</v>
      </c>
      <c r="M303" s="16">
        <f>_xlfn.XLOOKUP(CustomerCombinedCleaned[[#This Row],[ID]], Table4[ID], Table4[Meats], "Not Found", 0)</f>
        <v>882</v>
      </c>
      <c r="N303" s="16">
        <f>_xlfn.XLOOKUP(CustomerCombinedCleaned[[#This Row],[ID]], Table4[ID], Table4[Seafood], "Not Found", 0)</f>
        <v>0</v>
      </c>
      <c r="O303" s="16">
        <f>_xlfn.XLOOKUP(CustomerCombinedCleaned[[#This Row],[ID]], Table4[ID], Table4[Sweets], "Not Found", 0)</f>
        <v>42</v>
      </c>
      <c r="P303" s="16">
        <f>_xlfn.XLOOKUP(CustomerCombinedCleaned[[#This Row],[ID]], Table4[ID], Table4[Premium], "Not Found", 0)</f>
        <v>0</v>
      </c>
      <c r="Q303" s="16">
        <f>_xlfn.XLOOKUP(CustomerCombinedCleaned[[#This Row],[ID]], Table4[ID], Table4[Regular], "Not Found", 0)</f>
        <v>4199</v>
      </c>
      <c r="R303" s="16">
        <f>_xlfn.XLOOKUP(CustomerCombinedCleaned[[#This Row],[ID]], Table4[ID], Table4[Deals], "Not Found", 0)</f>
        <v>1</v>
      </c>
      <c r="S303" s="16">
        <f>_xlfn.XLOOKUP(CustomerCombinedCleaned[[#This Row],[ID]], Table4[ID], Table4[Website], "Not Found", 0)</f>
        <v>7</v>
      </c>
      <c r="T303" s="16">
        <f>_xlfn.XLOOKUP(CustomerCombinedCleaned[[#This Row],[ID]], Table4[ID], Table4[Catalog], "Not Found", 0)</f>
        <v>6</v>
      </c>
      <c r="U303" s="16">
        <f>_xlfn.XLOOKUP(CustomerCombinedCleaned[[#This Row],[ID]], Table4[ID], Table4[Store], "Not Found", 0)</f>
        <v>6</v>
      </c>
      <c r="V303" s="16">
        <f>_xlfn.XLOOKUP(CustomerCombinedCleaned[[#This Row],[ID]], Table4[ID], Table4[Visits], "Not Found", 0)</f>
        <v>3</v>
      </c>
      <c r="W303" s="16">
        <f>_xlfn.XLOOKUP(CustomerCombinedCleaned[[#This Row],[ID]], Table2[ID],Table2[Complaint], "Not Found", 0 )</f>
        <v>0</v>
      </c>
      <c r="X303" s="16">
        <f>_xlfn.XLOOKUP(CustomerCombinedCleaned[[#This Row],[ID]], Table2[ID],Table2[Pilot], "Not Found", 0 )</f>
        <v>1</v>
      </c>
      <c r="Y303" s="16">
        <f>_xlfn.XLOOKUP(CustomerCombinedCleaned[[#This Row],[ID]], Table2[ID],Table2[MC1], "Not Found", 0 )</f>
        <v>0</v>
      </c>
      <c r="Z303" s="16">
        <f>_xlfn.XLOOKUP(CustomerCombinedCleaned[[#This Row],[ID]], Table2[ID],Table2[MC2], "Not Found", 0 )</f>
        <v>0</v>
      </c>
      <c r="AA303" s="16">
        <f>_xlfn.XLOOKUP(CustomerCombinedCleaned[[#This Row],[ID]], Table2[ID],Table2[MC3], "Not Found", 0 )</f>
        <v>0</v>
      </c>
      <c r="AB303" s="16">
        <f>_xlfn.XLOOKUP(CustomerCombinedCleaned[[#This Row],[ID]], Table2[ID],Table2[MC4], "Not Found", 0 )</f>
        <v>1</v>
      </c>
      <c r="AC303" s="16">
        <f>_xlfn.XLOOKUP(CustomerCombinedCleaned[[#This Row],[ID]], Table2[ID],Table2[MC5], "Not Found", 0 )</f>
        <v>1</v>
      </c>
    </row>
    <row r="304" spans="1:29" x14ac:dyDescent="0.3">
      <c r="A304" s="18">
        <v>1898</v>
      </c>
      <c r="B304" s="16">
        <v>184169</v>
      </c>
      <c r="C304" s="16">
        <v>0</v>
      </c>
      <c r="D304" s="16">
        <v>0</v>
      </c>
      <c r="E304" s="16">
        <v>38</v>
      </c>
      <c r="F304" s="17" t="s">
        <v>6</v>
      </c>
      <c r="G304" s="17" t="s">
        <v>13</v>
      </c>
      <c r="H304" s="3" t="s">
        <v>572</v>
      </c>
      <c r="I304" s="5" t="s">
        <v>438</v>
      </c>
      <c r="J304" s="16">
        <f>_xlfn.XLOOKUP(CustomerCombinedCleaned[[#This Row],[ID]], Table4[ID], Table4[Recency], "Not Found", 0)</f>
        <v>9</v>
      </c>
      <c r="K304" s="16">
        <f>_xlfn.XLOOKUP(CustomerCombinedCleaned[[#This Row],[ID]], Table4[ID], Table4[Teas], "Not Found", 0)</f>
        <v>3234</v>
      </c>
      <c r="L304" s="16">
        <f>_xlfn.XLOOKUP(CustomerCombinedCleaned[[#This Row],[ID]], Table4[ID], Table4[Fruits], "Not Found", 0)</f>
        <v>42</v>
      </c>
      <c r="M304" s="16">
        <f>_xlfn.XLOOKUP(CustomerCombinedCleaned[[#This Row],[ID]], Table4[ID], Table4[Meats], "Not Found", 0)</f>
        <v>882</v>
      </c>
      <c r="N304" s="16">
        <f>_xlfn.XLOOKUP(CustomerCombinedCleaned[[#This Row],[ID]], Table4[ID], Table4[Seafood], "Not Found", 0)</f>
        <v>0</v>
      </c>
      <c r="O304" s="16">
        <f>_xlfn.XLOOKUP(CustomerCombinedCleaned[[#This Row],[ID]], Table4[ID], Table4[Sweets], "Not Found", 0)</f>
        <v>42</v>
      </c>
      <c r="P304" s="16">
        <f>_xlfn.XLOOKUP(CustomerCombinedCleaned[[#This Row],[ID]], Table4[ID], Table4[Premium], "Not Found", 0)</f>
        <v>0</v>
      </c>
      <c r="Q304" s="16">
        <f>_xlfn.XLOOKUP(CustomerCombinedCleaned[[#This Row],[ID]], Table4[ID], Table4[Regular], "Not Found", 0)</f>
        <v>4199</v>
      </c>
      <c r="R304" s="16">
        <f>_xlfn.XLOOKUP(CustomerCombinedCleaned[[#This Row],[ID]], Table4[ID], Table4[Deals], "Not Found", 0)</f>
        <v>1</v>
      </c>
      <c r="S304" s="16">
        <f>_xlfn.XLOOKUP(CustomerCombinedCleaned[[#This Row],[ID]], Table4[ID], Table4[Website], "Not Found", 0)</f>
        <v>7</v>
      </c>
      <c r="T304" s="16">
        <f>_xlfn.XLOOKUP(CustomerCombinedCleaned[[#This Row],[ID]], Table4[ID], Table4[Catalog], "Not Found", 0)</f>
        <v>6</v>
      </c>
      <c r="U304" s="16">
        <f>_xlfn.XLOOKUP(CustomerCombinedCleaned[[#This Row],[ID]], Table4[ID], Table4[Store], "Not Found", 0)</f>
        <v>6</v>
      </c>
      <c r="V304" s="16">
        <f>_xlfn.XLOOKUP(CustomerCombinedCleaned[[#This Row],[ID]], Table4[ID], Table4[Visits], "Not Found", 0)</f>
        <v>3</v>
      </c>
      <c r="W304" s="16">
        <f>_xlfn.XLOOKUP(CustomerCombinedCleaned[[#This Row],[ID]], Table2[ID],Table2[Complaint], "Not Found", 0 )</f>
        <v>0</v>
      </c>
      <c r="X304" s="16">
        <f>_xlfn.XLOOKUP(CustomerCombinedCleaned[[#This Row],[ID]], Table2[ID],Table2[Pilot], "Not Found", 0 )</f>
        <v>1</v>
      </c>
      <c r="Y304" s="16">
        <f>_xlfn.XLOOKUP(CustomerCombinedCleaned[[#This Row],[ID]], Table2[ID],Table2[MC1], "Not Found", 0 )</f>
        <v>0</v>
      </c>
      <c r="Z304" s="16">
        <f>_xlfn.XLOOKUP(CustomerCombinedCleaned[[#This Row],[ID]], Table2[ID],Table2[MC2], "Not Found", 0 )</f>
        <v>0</v>
      </c>
      <c r="AA304" s="16">
        <f>_xlfn.XLOOKUP(CustomerCombinedCleaned[[#This Row],[ID]], Table2[ID],Table2[MC3], "Not Found", 0 )</f>
        <v>0</v>
      </c>
      <c r="AB304" s="16">
        <f>_xlfn.XLOOKUP(CustomerCombinedCleaned[[#This Row],[ID]], Table2[ID],Table2[MC4], "Not Found", 0 )</f>
        <v>1</v>
      </c>
      <c r="AC304" s="16">
        <f>_xlfn.XLOOKUP(CustomerCombinedCleaned[[#This Row],[ID]], Table2[ID],Table2[MC5], "Not Found", 0 )</f>
        <v>1</v>
      </c>
    </row>
    <row r="305" spans="1:29" x14ac:dyDescent="0.3">
      <c r="A305" s="18">
        <v>1541</v>
      </c>
      <c r="B305" s="16">
        <v>179908</v>
      </c>
      <c r="C305" s="16">
        <v>0</v>
      </c>
      <c r="D305" s="16">
        <v>0</v>
      </c>
      <c r="E305" s="16">
        <v>38</v>
      </c>
      <c r="F305" s="17" t="s">
        <v>6</v>
      </c>
      <c r="G305" s="17" t="s">
        <v>11</v>
      </c>
      <c r="H305" s="3" t="s">
        <v>538</v>
      </c>
      <c r="I305" s="5" t="s">
        <v>434</v>
      </c>
      <c r="J305" s="16">
        <f>_xlfn.XLOOKUP(CustomerCombinedCleaned[[#This Row],[ID]], Table4[ID], Table4[Recency], "Not Found", 0)</f>
        <v>30</v>
      </c>
      <c r="K305" s="16">
        <f>_xlfn.XLOOKUP(CustomerCombinedCleaned[[#This Row],[ID]], Table4[ID], Table4[Teas], "Not Found", 0)</f>
        <v>1254</v>
      </c>
      <c r="L305" s="16">
        <f>_xlfn.XLOOKUP(CustomerCombinedCleaned[[#This Row],[ID]], Table4[ID], Table4[Fruits], "Not Found", 0)</f>
        <v>290</v>
      </c>
      <c r="M305" s="16">
        <f>_xlfn.XLOOKUP(CustomerCombinedCleaned[[#This Row],[ID]], Table4[ID], Table4[Meats], "Not Found", 0)</f>
        <v>1713</v>
      </c>
      <c r="N305" s="16">
        <f>_xlfn.XLOOKUP(CustomerCombinedCleaned[[#This Row],[ID]], Table4[ID], Table4[Seafood], "Not Found", 0)</f>
        <v>65</v>
      </c>
      <c r="O305" s="16">
        <f>_xlfn.XLOOKUP(CustomerCombinedCleaned[[#This Row],[ID]], Table4[ID], Table4[Sweets], "Not Found", 0)</f>
        <v>417</v>
      </c>
      <c r="P305" s="16">
        <f>_xlfn.XLOOKUP(CustomerCombinedCleaned[[#This Row],[ID]], Table4[ID], Table4[Premium], "Not Found", 0)</f>
        <v>250</v>
      </c>
      <c r="Q305" s="16">
        <f>_xlfn.XLOOKUP(CustomerCombinedCleaned[[#This Row],[ID]], Table4[ID], Table4[Regular], "Not Found", 0)</f>
        <v>3490</v>
      </c>
      <c r="R305" s="16">
        <f>_xlfn.XLOOKUP(CustomerCombinedCleaned[[#This Row],[ID]], Table4[ID], Table4[Deals], "Not Found", 0)</f>
        <v>1</v>
      </c>
      <c r="S305" s="16">
        <f>_xlfn.XLOOKUP(CustomerCombinedCleaned[[#This Row],[ID]], Table4[ID], Table4[Website], "Not Found", 0)</f>
        <v>5</v>
      </c>
      <c r="T305" s="16">
        <f>_xlfn.XLOOKUP(CustomerCombinedCleaned[[#This Row],[ID]], Table4[ID], Table4[Catalog], "Not Found", 0)</f>
        <v>6</v>
      </c>
      <c r="U305" s="16">
        <f>_xlfn.XLOOKUP(CustomerCombinedCleaned[[#This Row],[ID]], Table4[ID], Table4[Store], "Not Found", 0)</f>
        <v>7</v>
      </c>
      <c r="V305" s="16">
        <f>_xlfn.XLOOKUP(CustomerCombinedCleaned[[#This Row],[ID]], Table4[ID], Table4[Visits], "Not Found", 0)</f>
        <v>2</v>
      </c>
      <c r="W305" s="16">
        <f>_xlfn.XLOOKUP(CustomerCombinedCleaned[[#This Row],[ID]], Table2[ID],Table2[Complaint], "Not Found", 0 )</f>
        <v>0</v>
      </c>
      <c r="X305" s="16">
        <f>_xlfn.XLOOKUP(CustomerCombinedCleaned[[#This Row],[ID]], Table2[ID],Table2[Pilot], "Not Found", 0 )</f>
        <v>0</v>
      </c>
      <c r="Y305" s="16">
        <f>_xlfn.XLOOKUP(CustomerCombinedCleaned[[#This Row],[ID]], Table2[ID],Table2[MC1], "Not Found", 0 )</f>
        <v>0</v>
      </c>
      <c r="Z305" s="16">
        <f>_xlfn.XLOOKUP(CustomerCombinedCleaned[[#This Row],[ID]], Table2[ID],Table2[MC2], "Not Found", 0 )</f>
        <v>0</v>
      </c>
      <c r="AA305" s="16">
        <f>_xlfn.XLOOKUP(CustomerCombinedCleaned[[#This Row],[ID]], Table2[ID],Table2[MC3], "Not Found", 0 )</f>
        <v>0</v>
      </c>
      <c r="AB305" s="16">
        <f>_xlfn.XLOOKUP(CustomerCombinedCleaned[[#This Row],[ID]], Table2[ID],Table2[MC4], "Not Found", 0 )</f>
        <v>0</v>
      </c>
      <c r="AC305" s="16">
        <f>_xlfn.XLOOKUP(CustomerCombinedCleaned[[#This Row],[ID]], Table2[ID],Table2[MC5], "Not Found", 0 )</f>
        <v>1</v>
      </c>
    </row>
    <row r="306" spans="1:29" x14ac:dyDescent="0.3">
      <c r="A306" s="18">
        <v>1056</v>
      </c>
      <c r="B306" s="16">
        <v>175777</v>
      </c>
      <c r="C306" s="16">
        <v>0</v>
      </c>
      <c r="D306" s="16">
        <v>0</v>
      </c>
      <c r="E306" s="16">
        <v>38</v>
      </c>
      <c r="F306" s="17" t="s">
        <v>7</v>
      </c>
      <c r="G306" s="17" t="s">
        <v>12</v>
      </c>
      <c r="H306" s="3" t="s">
        <v>632</v>
      </c>
      <c r="I306" s="5" t="s">
        <v>436</v>
      </c>
      <c r="J306" s="16">
        <f>_xlfn.XLOOKUP(CustomerCombinedCleaned[[#This Row],[ID]], Table4[ID], Table4[Recency], "Not Found", 0)</f>
        <v>12</v>
      </c>
      <c r="K306" s="16">
        <f>_xlfn.XLOOKUP(CustomerCombinedCleaned[[#This Row],[ID]], Table4[ID], Table4[Teas], "Not Found", 0)</f>
        <v>1652</v>
      </c>
      <c r="L306" s="16">
        <f>_xlfn.XLOOKUP(CustomerCombinedCleaned[[#This Row],[ID]], Table4[ID], Table4[Fruits], "Not Found", 0)</f>
        <v>60</v>
      </c>
      <c r="M306" s="16">
        <f>_xlfn.XLOOKUP(CustomerCombinedCleaned[[#This Row],[ID]], Table4[ID], Table4[Meats], "Not Found", 0)</f>
        <v>1248</v>
      </c>
      <c r="N306" s="16">
        <f>_xlfn.XLOOKUP(CustomerCombinedCleaned[[#This Row],[ID]], Table4[ID], Table4[Seafood], "Not Found", 0)</f>
        <v>160</v>
      </c>
      <c r="O306" s="16">
        <f>_xlfn.XLOOKUP(CustomerCombinedCleaned[[#This Row],[ID]], Table4[ID], Table4[Sweets], "Not Found", 0)</f>
        <v>30</v>
      </c>
      <c r="P306" s="16">
        <f>_xlfn.XLOOKUP(CustomerCombinedCleaned[[#This Row],[ID]], Table4[ID], Table4[Premium], "Not Found", 0)</f>
        <v>186</v>
      </c>
      <c r="Q306" s="16">
        <f>_xlfn.XLOOKUP(CustomerCombinedCleaned[[#This Row],[ID]], Table4[ID], Table4[Regular], "Not Found", 0)</f>
        <v>2965</v>
      </c>
      <c r="R306" s="16">
        <f>_xlfn.XLOOKUP(CustomerCombinedCleaned[[#This Row],[ID]], Table4[ID], Table4[Deals], "Not Found", 0)</f>
        <v>1</v>
      </c>
      <c r="S306" s="16">
        <f>_xlfn.XLOOKUP(CustomerCombinedCleaned[[#This Row],[ID]], Table4[ID], Table4[Website], "Not Found", 0)</f>
        <v>3</v>
      </c>
      <c r="T306" s="16">
        <f>_xlfn.XLOOKUP(CustomerCombinedCleaned[[#This Row],[ID]], Table4[ID], Table4[Catalog], "Not Found", 0)</f>
        <v>6</v>
      </c>
      <c r="U306" s="16">
        <f>_xlfn.XLOOKUP(CustomerCombinedCleaned[[#This Row],[ID]], Table4[ID], Table4[Store], "Not Found", 0)</f>
        <v>11</v>
      </c>
      <c r="V306" s="16">
        <f>_xlfn.XLOOKUP(CustomerCombinedCleaned[[#This Row],[ID]], Table4[ID], Table4[Visits], "Not Found", 0)</f>
        <v>1</v>
      </c>
      <c r="W306" s="16">
        <f>_xlfn.XLOOKUP(CustomerCombinedCleaned[[#This Row],[ID]], Table2[ID],Table2[Complaint], "Not Found", 0 )</f>
        <v>0</v>
      </c>
      <c r="X306" s="16">
        <f>_xlfn.XLOOKUP(CustomerCombinedCleaned[[#This Row],[ID]], Table2[ID],Table2[Pilot], "Not Found", 0 )</f>
        <v>1</v>
      </c>
      <c r="Y306" s="16">
        <f>_xlfn.XLOOKUP(CustomerCombinedCleaned[[#This Row],[ID]], Table2[ID],Table2[MC1], "Not Found", 0 )</f>
        <v>0</v>
      </c>
      <c r="Z306" s="16">
        <f>_xlfn.XLOOKUP(CustomerCombinedCleaned[[#This Row],[ID]], Table2[ID],Table2[MC2], "Not Found", 0 )</f>
        <v>0</v>
      </c>
      <c r="AA306" s="16">
        <f>_xlfn.XLOOKUP(CustomerCombinedCleaned[[#This Row],[ID]], Table2[ID],Table2[MC3], "Not Found", 0 )</f>
        <v>0</v>
      </c>
      <c r="AB306" s="16">
        <f>_xlfn.XLOOKUP(CustomerCombinedCleaned[[#This Row],[ID]], Table2[ID],Table2[MC4], "Not Found", 0 )</f>
        <v>1</v>
      </c>
      <c r="AC306" s="16">
        <f>_xlfn.XLOOKUP(CustomerCombinedCleaned[[#This Row],[ID]], Table2[ID],Table2[MC5], "Not Found", 0 )</f>
        <v>1</v>
      </c>
    </row>
    <row r="307" spans="1:29" x14ac:dyDescent="0.3">
      <c r="A307" s="18">
        <v>3189</v>
      </c>
      <c r="B307" s="16">
        <v>175777</v>
      </c>
      <c r="C307" s="16">
        <v>0</v>
      </c>
      <c r="D307" s="16">
        <v>0</v>
      </c>
      <c r="E307" s="16">
        <v>38</v>
      </c>
      <c r="F307" s="17" t="s">
        <v>7</v>
      </c>
      <c r="G307" s="17" t="s">
        <v>12</v>
      </c>
      <c r="H307" s="3" t="s">
        <v>632</v>
      </c>
      <c r="I307" s="5" t="s">
        <v>435</v>
      </c>
      <c r="J307" s="16">
        <f>_xlfn.XLOOKUP(CustomerCombinedCleaned[[#This Row],[ID]], Table4[ID], Table4[Recency], "Not Found", 0)</f>
        <v>12</v>
      </c>
      <c r="K307" s="16">
        <f>_xlfn.XLOOKUP(CustomerCombinedCleaned[[#This Row],[ID]], Table4[ID], Table4[Teas], "Not Found", 0)</f>
        <v>1652</v>
      </c>
      <c r="L307" s="16">
        <f>_xlfn.XLOOKUP(CustomerCombinedCleaned[[#This Row],[ID]], Table4[ID], Table4[Fruits], "Not Found", 0)</f>
        <v>60</v>
      </c>
      <c r="M307" s="16">
        <f>_xlfn.XLOOKUP(CustomerCombinedCleaned[[#This Row],[ID]], Table4[ID], Table4[Meats], "Not Found", 0)</f>
        <v>1248</v>
      </c>
      <c r="N307" s="16">
        <f>_xlfn.XLOOKUP(CustomerCombinedCleaned[[#This Row],[ID]], Table4[ID], Table4[Seafood], "Not Found", 0)</f>
        <v>160</v>
      </c>
      <c r="O307" s="16">
        <f>_xlfn.XLOOKUP(CustomerCombinedCleaned[[#This Row],[ID]], Table4[ID], Table4[Sweets], "Not Found", 0)</f>
        <v>30</v>
      </c>
      <c r="P307" s="16">
        <f>_xlfn.XLOOKUP(CustomerCombinedCleaned[[#This Row],[ID]], Table4[ID], Table4[Premium], "Not Found", 0)</f>
        <v>186</v>
      </c>
      <c r="Q307" s="16">
        <f>_xlfn.XLOOKUP(CustomerCombinedCleaned[[#This Row],[ID]], Table4[ID], Table4[Regular], "Not Found", 0)</f>
        <v>2965</v>
      </c>
      <c r="R307" s="16">
        <f>_xlfn.XLOOKUP(CustomerCombinedCleaned[[#This Row],[ID]], Table4[ID], Table4[Deals], "Not Found", 0)</f>
        <v>1</v>
      </c>
      <c r="S307" s="16">
        <f>_xlfn.XLOOKUP(CustomerCombinedCleaned[[#This Row],[ID]], Table4[ID], Table4[Website], "Not Found", 0)</f>
        <v>3</v>
      </c>
      <c r="T307" s="16">
        <f>_xlfn.XLOOKUP(CustomerCombinedCleaned[[#This Row],[ID]], Table4[ID], Table4[Catalog], "Not Found", 0)</f>
        <v>6</v>
      </c>
      <c r="U307" s="16">
        <f>_xlfn.XLOOKUP(CustomerCombinedCleaned[[#This Row],[ID]], Table4[ID], Table4[Store], "Not Found", 0)</f>
        <v>11</v>
      </c>
      <c r="V307" s="16">
        <f>_xlfn.XLOOKUP(CustomerCombinedCleaned[[#This Row],[ID]], Table4[ID], Table4[Visits], "Not Found", 0)</f>
        <v>1</v>
      </c>
      <c r="W307" s="16">
        <f>_xlfn.XLOOKUP(CustomerCombinedCleaned[[#This Row],[ID]], Table2[ID],Table2[Complaint], "Not Found", 0 )</f>
        <v>0</v>
      </c>
      <c r="X307" s="16">
        <f>_xlfn.XLOOKUP(CustomerCombinedCleaned[[#This Row],[ID]], Table2[ID],Table2[Pilot], "Not Found", 0 )</f>
        <v>1</v>
      </c>
      <c r="Y307" s="16">
        <f>_xlfn.XLOOKUP(CustomerCombinedCleaned[[#This Row],[ID]], Table2[ID],Table2[MC1], "Not Found", 0 )</f>
        <v>0</v>
      </c>
      <c r="Z307" s="16">
        <f>_xlfn.XLOOKUP(CustomerCombinedCleaned[[#This Row],[ID]], Table2[ID],Table2[MC2], "Not Found", 0 )</f>
        <v>0</v>
      </c>
      <c r="AA307" s="16">
        <f>_xlfn.XLOOKUP(CustomerCombinedCleaned[[#This Row],[ID]], Table2[ID],Table2[MC3], "Not Found", 0 )</f>
        <v>0</v>
      </c>
      <c r="AB307" s="16">
        <f>_xlfn.XLOOKUP(CustomerCombinedCleaned[[#This Row],[ID]], Table2[ID],Table2[MC4], "Not Found", 0 )</f>
        <v>1</v>
      </c>
      <c r="AC307" s="16">
        <f>_xlfn.XLOOKUP(CustomerCombinedCleaned[[#This Row],[ID]], Table2[ID],Table2[MC5], "Not Found", 0 )</f>
        <v>1</v>
      </c>
    </row>
    <row r="308" spans="1:29" x14ac:dyDescent="0.3">
      <c r="A308" s="18">
        <v>1908</v>
      </c>
      <c r="B308" s="16">
        <v>174116</v>
      </c>
      <c r="C308" s="16">
        <v>0</v>
      </c>
      <c r="D308" s="16">
        <v>0</v>
      </c>
      <c r="E308" s="16">
        <v>38</v>
      </c>
      <c r="F308" s="17" t="s">
        <v>7</v>
      </c>
      <c r="G308" s="17" t="s">
        <v>11</v>
      </c>
      <c r="H308" s="3" t="s">
        <v>644</v>
      </c>
      <c r="I308" s="5" t="s">
        <v>436</v>
      </c>
      <c r="J308" s="16">
        <f>_xlfn.XLOOKUP(CustomerCombinedCleaned[[#This Row],[ID]], Table4[ID], Table4[Recency], "Not Found", 0)</f>
        <v>53</v>
      </c>
      <c r="K308" s="16">
        <f>_xlfn.XLOOKUP(CustomerCombinedCleaned[[#This Row],[ID]], Table4[ID], Table4[Teas], "Not Found", 0)</f>
        <v>2046</v>
      </c>
      <c r="L308" s="16">
        <f>_xlfn.XLOOKUP(CustomerCombinedCleaned[[#This Row],[ID]], Table4[ID], Table4[Fruits], "Not Found", 0)</f>
        <v>261</v>
      </c>
      <c r="M308" s="16">
        <f>_xlfn.XLOOKUP(CustomerCombinedCleaned[[#This Row],[ID]], Table4[ID], Table4[Meats], "Not Found", 0)</f>
        <v>1654</v>
      </c>
      <c r="N308" s="16">
        <f>_xlfn.XLOOKUP(CustomerCombinedCleaned[[#This Row],[ID]], Table4[ID], Table4[Seafood], "Not Found", 0)</f>
        <v>341</v>
      </c>
      <c r="O308" s="16">
        <f>_xlfn.XLOOKUP(CustomerCombinedCleaned[[#This Row],[ID]], Table4[ID], Table4[Sweets], "Not Found", 0)</f>
        <v>129</v>
      </c>
      <c r="P308" s="16">
        <f>_xlfn.XLOOKUP(CustomerCombinedCleaned[[#This Row],[ID]], Table4[ID], Table4[Premium], "Not Found", 0)</f>
        <v>390</v>
      </c>
      <c r="Q308" s="16">
        <f>_xlfn.XLOOKUP(CustomerCombinedCleaned[[#This Row],[ID]], Table4[ID], Table4[Regular], "Not Found", 0)</f>
        <v>4041</v>
      </c>
      <c r="R308" s="16">
        <f>_xlfn.XLOOKUP(CustomerCombinedCleaned[[#This Row],[ID]], Table4[ID], Table4[Deals], "Not Found", 0)</f>
        <v>1</v>
      </c>
      <c r="S308" s="16">
        <f>_xlfn.XLOOKUP(CustomerCombinedCleaned[[#This Row],[ID]], Table4[ID], Table4[Website], "Not Found", 0)</f>
        <v>4</v>
      </c>
      <c r="T308" s="16">
        <f>_xlfn.XLOOKUP(CustomerCombinedCleaned[[#This Row],[ID]], Table4[ID], Table4[Catalog], "Not Found", 0)</f>
        <v>4</v>
      </c>
      <c r="U308" s="16">
        <f>_xlfn.XLOOKUP(CustomerCombinedCleaned[[#This Row],[ID]], Table4[ID], Table4[Store], "Not Found", 0)</f>
        <v>10</v>
      </c>
      <c r="V308" s="16">
        <f>_xlfn.XLOOKUP(CustomerCombinedCleaned[[#This Row],[ID]], Table4[ID], Table4[Visits], "Not Found", 0)</f>
        <v>2</v>
      </c>
      <c r="W308" s="16">
        <f>_xlfn.XLOOKUP(CustomerCombinedCleaned[[#This Row],[ID]], Table2[ID],Table2[Complaint], "Not Found", 0 )</f>
        <v>0</v>
      </c>
      <c r="X308" s="16">
        <f>_xlfn.XLOOKUP(CustomerCombinedCleaned[[#This Row],[ID]], Table2[ID],Table2[Pilot], "Not Found", 0 )</f>
        <v>0</v>
      </c>
      <c r="Y308" s="16">
        <f>_xlfn.XLOOKUP(CustomerCombinedCleaned[[#This Row],[ID]], Table2[ID],Table2[MC1], "Not Found", 0 )</f>
        <v>0</v>
      </c>
      <c r="Z308" s="16">
        <f>_xlfn.XLOOKUP(CustomerCombinedCleaned[[#This Row],[ID]], Table2[ID],Table2[MC2], "Not Found", 0 )</f>
        <v>0</v>
      </c>
      <c r="AA308" s="16">
        <f>_xlfn.XLOOKUP(CustomerCombinedCleaned[[#This Row],[ID]], Table2[ID],Table2[MC3], "Not Found", 0 )</f>
        <v>0</v>
      </c>
      <c r="AB308" s="16">
        <f>_xlfn.XLOOKUP(CustomerCombinedCleaned[[#This Row],[ID]], Table2[ID],Table2[MC4], "Not Found", 0 )</f>
        <v>1</v>
      </c>
      <c r="AC308" s="16">
        <f>_xlfn.XLOOKUP(CustomerCombinedCleaned[[#This Row],[ID]], Table2[ID],Table2[MC5], "Not Found", 0 )</f>
        <v>0</v>
      </c>
    </row>
    <row r="309" spans="1:29" x14ac:dyDescent="0.3">
      <c r="A309" s="18">
        <v>2243</v>
      </c>
      <c r="B309" s="16">
        <v>173450</v>
      </c>
      <c r="C309" s="16">
        <v>0</v>
      </c>
      <c r="D309" s="16">
        <v>0</v>
      </c>
      <c r="E309" s="16">
        <v>38</v>
      </c>
      <c r="F309" s="17" t="s">
        <v>8</v>
      </c>
      <c r="G309" s="17" t="s">
        <v>12</v>
      </c>
      <c r="H309" s="3" t="s">
        <v>648</v>
      </c>
      <c r="I309" s="5" t="s">
        <v>434</v>
      </c>
      <c r="J309" s="16">
        <f>_xlfn.XLOOKUP(CustomerCombinedCleaned[[#This Row],[ID]], Table4[ID], Table4[Recency], "Not Found", 0)</f>
        <v>85</v>
      </c>
      <c r="K309" s="16">
        <f>_xlfn.XLOOKUP(CustomerCombinedCleaned[[#This Row],[ID]], Table4[ID], Table4[Teas], "Not Found", 0)</f>
        <v>2697</v>
      </c>
      <c r="L309" s="16">
        <f>_xlfn.XLOOKUP(CustomerCombinedCleaned[[#This Row],[ID]], Table4[ID], Table4[Fruits], "Not Found", 0)</f>
        <v>120</v>
      </c>
      <c r="M309" s="16">
        <f>_xlfn.XLOOKUP(CustomerCombinedCleaned[[#This Row],[ID]], Table4[ID], Table4[Meats], "Not Found", 0)</f>
        <v>980</v>
      </c>
      <c r="N309" s="16">
        <f>_xlfn.XLOOKUP(CustomerCombinedCleaned[[#This Row],[ID]], Table4[ID], Table4[Seafood], "Not Found", 0)</f>
        <v>213</v>
      </c>
      <c r="O309" s="16">
        <f>_xlfn.XLOOKUP(CustomerCombinedCleaned[[#This Row],[ID]], Table4[ID], Table4[Sweets], "Not Found", 0)</f>
        <v>163</v>
      </c>
      <c r="P309" s="16">
        <f>_xlfn.XLOOKUP(CustomerCombinedCleaned[[#This Row],[ID]], Table4[ID], Table4[Premium], "Not Found", 0)</f>
        <v>87</v>
      </c>
      <c r="Q309" s="16">
        <f>_xlfn.XLOOKUP(CustomerCombinedCleaned[[#This Row],[ID]], Table4[ID], Table4[Regular], "Not Found", 0)</f>
        <v>4085</v>
      </c>
      <c r="R309" s="16">
        <f>_xlfn.XLOOKUP(CustomerCombinedCleaned[[#This Row],[ID]], Table4[ID], Table4[Deals], "Not Found", 0)</f>
        <v>1</v>
      </c>
      <c r="S309" s="16">
        <f>_xlfn.XLOOKUP(CustomerCombinedCleaned[[#This Row],[ID]], Table4[ID], Table4[Website], "Not Found", 0)</f>
        <v>7</v>
      </c>
      <c r="T309" s="16">
        <f>_xlfn.XLOOKUP(CustomerCombinedCleaned[[#This Row],[ID]], Table4[ID], Table4[Catalog], "Not Found", 0)</f>
        <v>8</v>
      </c>
      <c r="U309" s="16">
        <f>_xlfn.XLOOKUP(CustomerCombinedCleaned[[#This Row],[ID]], Table4[ID], Table4[Store], "Not Found", 0)</f>
        <v>11</v>
      </c>
      <c r="V309" s="16">
        <f>_xlfn.XLOOKUP(CustomerCombinedCleaned[[#This Row],[ID]], Table4[ID], Table4[Visits], "Not Found", 0)</f>
        <v>3</v>
      </c>
      <c r="W309" s="16">
        <f>_xlfn.XLOOKUP(CustomerCombinedCleaned[[#This Row],[ID]], Table2[ID],Table2[Complaint], "Not Found", 0 )</f>
        <v>0</v>
      </c>
      <c r="X309" s="16">
        <f>_xlfn.XLOOKUP(CustomerCombinedCleaned[[#This Row],[ID]], Table2[ID],Table2[Pilot], "Not Found", 0 )</f>
        <v>0</v>
      </c>
      <c r="Y309" s="16">
        <f>_xlfn.XLOOKUP(CustomerCombinedCleaned[[#This Row],[ID]], Table2[ID],Table2[MC1], "Not Found", 0 )</f>
        <v>1</v>
      </c>
      <c r="Z309" s="16">
        <f>_xlfn.XLOOKUP(CustomerCombinedCleaned[[#This Row],[ID]], Table2[ID],Table2[MC2], "Not Found", 0 )</f>
        <v>0</v>
      </c>
      <c r="AA309" s="16">
        <f>_xlfn.XLOOKUP(CustomerCombinedCleaned[[#This Row],[ID]], Table2[ID],Table2[MC3], "Not Found", 0 )</f>
        <v>1</v>
      </c>
      <c r="AB309" s="16">
        <f>_xlfn.XLOOKUP(CustomerCombinedCleaned[[#This Row],[ID]], Table2[ID],Table2[MC4], "Not Found", 0 )</f>
        <v>0</v>
      </c>
      <c r="AC309" s="16">
        <f>_xlfn.XLOOKUP(CustomerCombinedCleaned[[#This Row],[ID]], Table2[ID],Table2[MC5], "Not Found", 0 )</f>
        <v>0</v>
      </c>
    </row>
    <row r="310" spans="1:29" x14ac:dyDescent="0.3">
      <c r="A310" s="18">
        <v>2316</v>
      </c>
      <c r="B310" s="16">
        <v>171853</v>
      </c>
      <c r="C310" s="16">
        <v>0</v>
      </c>
      <c r="D310" s="16">
        <v>0</v>
      </c>
      <c r="E310" s="16">
        <v>38</v>
      </c>
      <c r="F310" s="17" t="s">
        <v>8</v>
      </c>
      <c r="G310" s="17" t="s">
        <v>11</v>
      </c>
      <c r="H310" s="3" t="s">
        <v>263</v>
      </c>
      <c r="I310" s="5" t="s">
        <v>436</v>
      </c>
      <c r="J310" s="16">
        <f>_xlfn.XLOOKUP(CustomerCombinedCleaned[[#This Row],[ID]], Table4[ID], Table4[Recency], "Not Found", 0)</f>
        <v>29</v>
      </c>
      <c r="K310" s="16">
        <f>_xlfn.XLOOKUP(CustomerCombinedCleaned[[#This Row],[ID]], Table4[ID], Table4[Teas], "Not Found", 0)</f>
        <v>856</v>
      </c>
      <c r="L310" s="16">
        <f>_xlfn.XLOOKUP(CustomerCombinedCleaned[[#This Row],[ID]], Table4[ID], Table4[Fruits], "Not Found", 0)</f>
        <v>258</v>
      </c>
      <c r="M310" s="16">
        <f>_xlfn.XLOOKUP(CustomerCombinedCleaned[[#This Row],[ID]], Table4[ID], Table4[Meats], "Not Found", 0)</f>
        <v>988</v>
      </c>
      <c r="N310" s="16">
        <f>_xlfn.XLOOKUP(CustomerCombinedCleaned[[#This Row],[ID]], Table4[ID], Table4[Seafood], "Not Found", 0)</f>
        <v>337</v>
      </c>
      <c r="O310" s="16">
        <f>_xlfn.XLOOKUP(CustomerCombinedCleaned[[#This Row],[ID]], Table4[ID], Table4[Sweets], "Not Found", 0)</f>
        <v>232</v>
      </c>
      <c r="P310" s="16">
        <f>_xlfn.XLOOKUP(CustomerCombinedCleaned[[#This Row],[ID]], Table4[ID], Table4[Premium], "Not Found", 0)</f>
        <v>77</v>
      </c>
      <c r="Q310" s="16">
        <f>_xlfn.XLOOKUP(CustomerCombinedCleaned[[#This Row],[ID]], Table4[ID], Table4[Regular], "Not Found", 0)</f>
        <v>2595</v>
      </c>
      <c r="R310" s="16">
        <f>_xlfn.XLOOKUP(CustomerCombinedCleaned[[#This Row],[ID]], Table4[ID], Table4[Deals], "Not Found", 0)</f>
        <v>1</v>
      </c>
      <c r="S310" s="16">
        <f>_xlfn.XLOOKUP(CustomerCombinedCleaned[[#This Row],[ID]], Table4[ID], Table4[Website], "Not Found", 0)</f>
        <v>2</v>
      </c>
      <c r="T310" s="16">
        <f>_xlfn.XLOOKUP(CustomerCombinedCleaned[[#This Row],[ID]], Table4[ID], Table4[Catalog], "Not Found", 0)</f>
        <v>8</v>
      </c>
      <c r="U310" s="16">
        <f>_xlfn.XLOOKUP(CustomerCombinedCleaned[[#This Row],[ID]], Table4[ID], Table4[Store], "Not Found", 0)</f>
        <v>6</v>
      </c>
      <c r="V310" s="16">
        <f>_xlfn.XLOOKUP(CustomerCombinedCleaned[[#This Row],[ID]], Table4[ID], Table4[Visits], "Not Found", 0)</f>
        <v>1</v>
      </c>
      <c r="W310" s="16">
        <f>_xlfn.XLOOKUP(CustomerCombinedCleaned[[#This Row],[ID]], Table2[ID],Table2[Complaint], "Not Found", 0 )</f>
        <v>0</v>
      </c>
      <c r="X310" s="16">
        <f>_xlfn.XLOOKUP(CustomerCombinedCleaned[[#This Row],[ID]], Table2[ID],Table2[Pilot], "Not Found", 0 )</f>
        <v>0</v>
      </c>
      <c r="Y310" s="16">
        <f>_xlfn.XLOOKUP(CustomerCombinedCleaned[[#This Row],[ID]], Table2[ID],Table2[MC1], "Not Found", 0 )</f>
        <v>0</v>
      </c>
      <c r="Z310" s="16">
        <f>_xlfn.XLOOKUP(CustomerCombinedCleaned[[#This Row],[ID]], Table2[ID],Table2[MC2], "Not Found", 0 )</f>
        <v>0</v>
      </c>
      <c r="AA310" s="16">
        <f>_xlfn.XLOOKUP(CustomerCombinedCleaned[[#This Row],[ID]], Table2[ID],Table2[MC3], "Not Found", 0 )</f>
        <v>0</v>
      </c>
      <c r="AB310" s="16">
        <f>_xlfn.XLOOKUP(CustomerCombinedCleaned[[#This Row],[ID]], Table2[ID],Table2[MC4], "Not Found", 0 )</f>
        <v>0</v>
      </c>
      <c r="AC310" s="16">
        <f>_xlfn.XLOOKUP(CustomerCombinedCleaned[[#This Row],[ID]], Table2[ID],Table2[MC5], "Not Found", 0 )</f>
        <v>0</v>
      </c>
    </row>
    <row r="311" spans="1:29" x14ac:dyDescent="0.3">
      <c r="A311" s="18">
        <v>2742</v>
      </c>
      <c r="B311" s="16">
        <v>171853</v>
      </c>
      <c r="C311" s="16">
        <v>0</v>
      </c>
      <c r="D311" s="16">
        <v>0</v>
      </c>
      <c r="E311" s="16">
        <v>38</v>
      </c>
      <c r="F311" s="17" t="s">
        <v>8</v>
      </c>
      <c r="G311" s="17" t="s">
        <v>11</v>
      </c>
      <c r="H311" s="3" t="s">
        <v>263</v>
      </c>
      <c r="I311" s="5" t="s">
        <v>436</v>
      </c>
      <c r="J311" s="16">
        <f>_xlfn.XLOOKUP(CustomerCombinedCleaned[[#This Row],[ID]], Table4[ID], Table4[Recency], "Not Found", 0)</f>
        <v>29</v>
      </c>
      <c r="K311" s="16">
        <f>_xlfn.XLOOKUP(CustomerCombinedCleaned[[#This Row],[ID]], Table4[ID], Table4[Teas], "Not Found", 0)</f>
        <v>856</v>
      </c>
      <c r="L311" s="16">
        <f>_xlfn.XLOOKUP(CustomerCombinedCleaned[[#This Row],[ID]], Table4[ID], Table4[Fruits], "Not Found", 0)</f>
        <v>258</v>
      </c>
      <c r="M311" s="16">
        <f>_xlfn.XLOOKUP(CustomerCombinedCleaned[[#This Row],[ID]], Table4[ID], Table4[Meats], "Not Found", 0)</f>
        <v>988</v>
      </c>
      <c r="N311" s="16">
        <f>_xlfn.XLOOKUP(CustomerCombinedCleaned[[#This Row],[ID]], Table4[ID], Table4[Seafood], "Not Found", 0)</f>
        <v>337</v>
      </c>
      <c r="O311" s="16">
        <f>_xlfn.XLOOKUP(CustomerCombinedCleaned[[#This Row],[ID]], Table4[ID], Table4[Sweets], "Not Found", 0)</f>
        <v>232</v>
      </c>
      <c r="P311" s="16">
        <f>_xlfn.XLOOKUP(CustomerCombinedCleaned[[#This Row],[ID]], Table4[ID], Table4[Premium], "Not Found", 0)</f>
        <v>77</v>
      </c>
      <c r="Q311" s="16">
        <f>_xlfn.XLOOKUP(CustomerCombinedCleaned[[#This Row],[ID]], Table4[ID], Table4[Regular], "Not Found", 0)</f>
        <v>2595</v>
      </c>
      <c r="R311" s="16">
        <f>_xlfn.XLOOKUP(CustomerCombinedCleaned[[#This Row],[ID]], Table4[ID], Table4[Deals], "Not Found", 0)</f>
        <v>1</v>
      </c>
      <c r="S311" s="16">
        <f>_xlfn.XLOOKUP(CustomerCombinedCleaned[[#This Row],[ID]], Table4[ID], Table4[Website], "Not Found", 0)</f>
        <v>2</v>
      </c>
      <c r="T311" s="16">
        <f>_xlfn.XLOOKUP(CustomerCombinedCleaned[[#This Row],[ID]], Table4[ID], Table4[Catalog], "Not Found", 0)</f>
        <v>8</v>
      </c>
      <c r="U311" s="16">
        <f>_xlfn.XLOOKUP(CustomerCombinedCleaned[[#This Row],[ID]], Table4[ID], Table4[Store], "Not Found", 0)</f>
        <v>6</v>
      </c>
      <c r="V311" s="16">
        <f>_xlfn.XLOOKUP(CustomerCombinedCleaned[[#This Row],[ID]], Table4[ID], Table4[Visits], "Not Found", 0)</f>
        <v>1</v>
      </c>
      <c r="W311" s="16">
        <f>_xlfn.XLOOKUP(CustomerCombinedCleaned[[#This Row],[ID]], Table2[ID],Table2[Complaint], "Not Found", 0 )</f>
        <v>0</v>
      </c>
      <c r="X311" s="16">
        <f>_xlfn.XLOOKUP(CustomerCombinedCleaned[[#This Row],[ID]], Table2[ID],Table2[Pilot], "Not Found", 0 )</f>
        <v>0</v>
      </c>
      <c r="Y311" s="16">
        <f>_xlfn.XLOOKUP(CustomerCombinedCleaned[[#This Row],[ID]], Table2[ID],Table2[MC1], "Not Found", 0 )</f>
        <v>0</v>
      </c>
      <c r="Z311" s="16">
        <f>_xlfn.XLOOKUP(CustomerCombinedCleaned[[#This Row],[ID]], Table2[ID],Table2[MC2], "Not Found", 0 )</f>
        <v>0</v>
      </c>
      <c r="AA311" s="16">
        <f>_xlfn.XLOOKUP(CustomerCombinedCleaned[[#This Row],[ID]], Table2[ID],Table2[MC3], "Not Found", 0 )</f>
        <v>0</v>
      </c>
      <c r="AB311" s="16">
        <f>_xlfn.XLOOKUP(CustomerCombinedCleaned[[#This Row],[ID]], Table2[ID],Table2[MC4], "Not Found", 0 )</f>
        <v>0</v>
      </c>
      <c r="AC311" s="16">
        <f>_xlfn.XLOOKUP(CustomerCombinedCleaned[[#This Row],[ID]], Table2[ID],Table2[MC5], "Not Found", 0 )</f>
        <v>0</v>
      </c>
    </row>
    <row r="312" spans="1:29" x14ac:dyDescent="0.3">
      <c r="A312" s="18">
        <v>2424</v>
      </c>
      <c r="B312" s="16">
        <v>170038</v>
      </c>
      <c r="C312" s="16">
        <v>0</v>
      </c>
      <c r="D312" s="16">
        <v>0</v>
      </c>
      <c r="E312" s="16">
        <v>38</v>
      </c>
      <c r="F312" s="17" t="s">
        <v>8</v>
      </c>
      <c r="G312" s="17" t="s">
        <v>13</v>
      </c>
      <c r="H312" s="3" t="s">
        <v>157</v>
      </c>
      <c r="I312" s="5" t="s">
        <v>436</v>
      </c>
      <c r="J312" s="16">
        <f>_xlfn.XLOOKUP(CustomerCombinedCleaned[[#This Row],[ID]], Table4[ID], Table4[Recency], "Not Found", 0)</f>
        <v>54</v>
      </c>
      <c r="K312" s="16">
        <f>_xlfn.XLOOKUP(CustomerCombinedCleaned[[#This Row],[ID]], Table4[ID], Table4[Teas], "Not Found", 0)</f>
        <v>1425</v>
      </c>
      <c r="L312" s="16">
        <f>_xlfn.XLOOKUP(CustomerCombinedCleaned[[#This Row],[ID]], Table4[ID], Table4[Fruits], "Not Found", 0)</f>
        <v>131</v>
      </c>
      <c r="M312" s="16">
        <f>_xlfn.XLOOKUP(CustomerCombinedCleaned[[#This Row],[ID]], Table4[ID], Table4[Meats], "Not Found", 0)</f>
        <v>845</v>
      </c>
      <c r="N312" s="16">
        <f>_xlfn.XLOOKUP(CustomerCombinedCleaned[[#This Row],[ID]], Table4[ID], Table4[Seafood], "Not Found", 0)</f>
        <v>172</v>
      </c>
      <c r="O312" s="16">
        <f>_xlfn.XLOOKUP(CustomerCombinedCleaned[[#This Row],[ID]], Table4[ID], Table4[Sweets], "Not Found", 0)</f>
        <v>131</v>
      </c>
      <c r="P312" s="16">
        <f>_xlfn.XLOOKUP(CustomerCombinedCleaned[[#This Row],[ID]], Table4[ID], Table4[Premium], "Not Found", 0)</f>
        <v>316</v>
      </c>
      <c r="Q312" s="16">
        <f>_xlfn.XLOOKUP(CustomerCombinedCleaned[[#This Row],[ID]], Table4[ID], Table4[Regular], "Not Found", 0)</f>
        <v>2389</v>
      </c>
      <c r="R312" s="16">
        <f>_xlfn.XLOOKUP(CustomerCombinedCleaned[[#This Row],[ID]], Table4[ID], Table4[Deals], "Not Found", 0)</f>
        <v>1</v>
      </c>
      <c r="S312" s="16">
        <f>_xlfn.XLOOKUP(CustomerCombinedCleaned[[#This Row],[ID]], Table4[ID], Table4[Website], "Not Found", 0)</f>
        <v>4</v>
      </c>
      <c r="T312" s="16">
        <f>_xlfn.XLOOKUP(CustomerCombinedCleaned[[#This Row],[ID]], Table4[ID], Table4[Catalog], "Not Found", 0)</f>
        <v>4</v>
      </c>
      <c r="U312" s="16">
        <f>_xlfn.XLOOKUP(CustomerCombinedCleaned[[#This Row],[ID]], Table4[ID], Table4[Store], "Not Found", 0)</f>
        <v>8</v>
      </c>
      <c r="V312" s="16">
        <f>_xlfn.XLOOKUP(CustomerCombinedCleaned[[#This Row],[ID]], Table4[ID], Table4[Visits], "Not Found", 0)</f>
        <v>2</v>
      </c>
      <c r="W312" s="16">
        <f>_xlfn.XLOOKUP(CustomerCombinedCleaned[[#This Row],[ID]], Table2[ID],Table2[Complaint], "Not Found", 0 )</f>
        <v>0</v>
      </c>
      <c r="X312" s="16">
        <f>_xlfn.XLOOKUP(CustomerCombinedCleaned[[#This Row],[ID]], Table2[ID],Table2[Pilot], "Not Found", 0 )</f>
        <v>0</v>
      </c>
      <c r="Y312" s="16">
        <f>_xlfn.XLOOKUP(CustomerCombinedCleaned[[#This Row],[ID]], Table2[ID],Table2[MC1], "Not Found", 0 )</f>
        <v>0</v>
      </c>
      <c r="Z312" s="16">
        <f>_xlfn.XLOOKUP(CustomerCombinedCleaned[[#This Row],[ID]], Table2[ID],Table2[MC2], "Not Found", 0 )</f>
        <v>0</v>
      </c>
      <c r="AA312" s="16">
        <f>_xlfn.XLOOKUP(CustomerCombinedCleaned[[#This Row],[ID]], Table2[ID],Table2[MC3], "Not Found", 0 )</f>
        <v>0</v>
      </c>
      <c r="AB312" s="16">
        <f>_xlfn.XLOOKUP(CustomerCombinedCleaned[[#This Row],[ID]], Table2[ID],Table2[MC4], "Not Found", 0 )</f>
        <v>0</v>
      </c>
      <c r="AC312" s="16">
        <f>_xlfn.XLOOKUP(CustomerCombinedCleaned[[#This Row],[ID]], Table2[ID],Table2[MC5], "Not Found", 0 )</f>
        <v>0</v>
      </c>
    </row>
    <row r="313" spans="1:29" x14ac:dyDescent="0.3">
      <c r="A313" s="18">
        <v>3035</v>
      </c>
      <c r="B313" s="16">
        <v>170038</v>
      </c>
      <c r="C313" s="16">
        <v>0</v>
      </c>
      <c r="D313" s="16">
        <v>0</v>
      </c>
      <c r="E313" s="16">
        <v>38</v>
      </c>
      <c r="F313" s="17" t="s">
        <v>8</v>
      </c>
      <c r="G313" s="17" t="s">
        <v>13</v>
      </c>
      <c r="H313" s="3" t="s">
        <v>157</v>
      </c>
      <c r="I313" s="5" t="s">
        <v>434</v>
      </c>
      <c r="J313" s="16">
        <f>_xlfn.XLOOKUP(CustomerCombinedCleaned[[#This Row],[ID]], Table4[ID], Table4[Recency], "Not Found", 0)</f>
        <v>54</v>
      </c>
      <c r="K313" s="16">
        <f>_xlfn.XLOOKUP(CustomerCombinedCleaned[[#This Row],[ID]], Table4[ID], Table4[Teas], "Not Found", 0)</f>
        <v>1425</v>
      </c>
      <c r="L313" s="16">
        <f>_xlfn.XLOOKUP(CustomerCombinedCleaned[[#This Row],[ID]], Table4[ID], Table4[Fruits], "Not Found", 0)</f>
        <v>131</v>
      </c>
      <c r="M313" s="16">
        <f>_xlfn.XLOOKUP(CustomerCombinedCleaned[[#This Row],[ID]], Table4[ID], Table4[Meats], "Not Found", 0)</f>
        <v>845</v>
      </c>
      <c r="N313" s="16">
        <f>_xlfn.XLOOKUP(CustomerCombinedCleaned[[#This Row],[ID]], Table4[ID], Table4[Seafood], "Not Found", 0)</f>
        <v>172</v>
      </c>
      <c r="O313" s="16">
        <f>_xlfn.XLOOKUP(CustomerCombinedCleaned[[#This Row],[ID]], Table4[ID], Table4[Sweets], "Not Found", 0)</f>
        <v>131</v>
      </c>
      <c r="P313" s="16">
        <f>_xlfn.XLOOKUP(CustomerCombinedCleaned[[#This Row],[ID]], Table4[ID], Table4[Premium], "Not Found", 0)</f>
        <v>316</v>
      </c>
      <c r="Q313" s="16">
        <f>_xlfn.XLOOKUP(CustomerCombinedCleaned[[#This Row],[ID]], Table4[ID], Table4[Regular], "Not Found", 0)</f>
        <v>2389</v>
      </c>
      <c r="R313" s="16">
        <f>_xlfn.XLOOKUP(CustomerCombinedCleaned[[#This Row],[ID]], Table4[ID], Table4[Deals], "Not Found", 0)</f>
        <v>1</v>
      </c>
      <c r="S313" s="16">
        <f>_xlfn.XLOOKUP(CustomerCombinedCleaned[[#This Row],[ID]], Table4[ID], Table4[Website], "Not Found", 0)</f>
        <v>4</v>
      </c>
      <c r="T313" s="16">
        <f>_xlfn.XLOOKUP(CustomerCombinedCleaned[[#This Row],[ID]], Table4[ID], Table4[Catalog], "Not Found", 0)</f>
        <v>4</v>
      </c>
      <c r="U313" s="16">
        <f>_xlfn.XLOOKUP(CustomerCombinedCleaned[[#This Row],[ID]], Table4[ID], Table4[Store], "Not Found", 0)</f>
        <v>8</v>
      </c>
      <c r="V313" s="16">
        <f>_xlfn.XLOOKUP(CustomerCombinedCleaned[[#This Row],[ID]], Table4[ID], Table4[Visits], "Not Found", 0)</f>
        <v>2</v>
      </c>
      <c r="W313" s="16">
        <f>_xlfn.XLOOKUP(CustomerCombinedCleaned[[#This Row],[ID]], Table2[ID],Table2[Complaint], "Not Found", 0 )</f>
        <v>0</v>
      </c>
      <c r="X313" s="16">
        <f>_xlfn.XLOOKUP(CustomerCombinedCleaned[[#This Row],[ID]], Table2[ID],Table2[Pilot], "Not Found", 0 )</f>
        <v>0</v>
      </c>
      <c r="Y313" s="16">
        <f>_xlfn.XLOOKUP(CustomerCombinedCleaned[[#This Row],[ID]], Table2[ID],Table2[MC1], "Not Found", 0 )</f>
        <v>0</v>
      </c>
      <c r="Z313" s="16">
        <f>_xlfn.XLOOKUP(CustomerCombinedCleaned[[#This Row],[ID]], Table2[ID],Table2[MC2], "Not Found", 0 )</f>
        <v>0</v>
      </c>
      <c r="AA313" s="16">
        <f>_xlfn.XLOOKUP(CustomerCombinedCleaned[[#This Row],[ID]], Table2[ID],Table2[MC3], "Not Found", 0 )</f>
        <v>0</v>
      </c>
      <c r="AB313" s="16">
        <f>_xlfn.XLOOKUP(CustomerCombinedCleaned[[#This Row],[ID]], Table2[ID],Table2[MC4], "Not Found", 0 )</f>
        <v>0</v>
      </c>
      <c r="AC313" s="16">
        <f>_xlfn.XLOOKUP(CustomerCombinedCleaned[[#This Row],[ID]], Table2[ID],Table2[MC5], "Not Found", 0 )</f>
        <v>0</v>
      </c>
    </row>
    <row r="314" spans="1:29" x14ac:dyDescent="0.3">
      <c r="A314" s="18">
        <v>2334</v>
      </c>
      <c r="B314" s="16">
        <v>169109</v>
      </c>
      <c r="C314" s="16">
        <v>0</v>
      </c>
      <c r="D314" s="16">
        <v>0</v>
      </c>
      <c r="E314" s="16">
        <v>38</v>
      </c>
      <c r="F314" s="17" t="s">
        <v>6</v>
      </c>
      <c r="G314" s="17" t="s">
        <v>11</v>
      </c>
      <c r="H314" s="3" t="s">
        <v>366</v>
      </c>
      <c r="I314" s="5" t="s">
        <v>436</v>
      </c>
      <c r="J314" s="16">
        <f>_xlfn.XLOOKUP(CustomerCombinedCleaned[[#This Row],[ID]], Table4[ID], Table4[Recency], "Not Found", 0)</f>
        <v>10</v>
      </c>
      <c r="K314" s="16">
        <f>_xlfn.XLOOKUP(CustomerCombinedCleaned[[#This Row],[ID]], Table4[ID], Table4[Teas], "Not Found", 0)</f>
        <v>2014</v>
      </c>
      <c r="L314" s="16">
        <f>_xlfn.XLOOKUP(CustomerCombinedCleaned[[#This Row],[ID]], Table4[ID], Table4[Fruits], "Not Found", 0)</f>
        <v>61</v>
      </c>
      <c r="M314" s="16">
        <f>_xlfn.XLOOKUP(CustomerCombinedCleaned[[#This Row],[ID]], Table4[ID], Table4[Meats], "Not Found", 0)</f>
        <v>1123</v>
      </c>
      <c r="N314" s="16">
        <f>_xlfn.XLOOKUP(CustomerCombinedCleaned[[#This Row],[ID]], Table4[ID], Table4[Seafood], "Not Found", 0)</f>
        <v>303</v>
      </c>
      <c r="O314" s="16">
        <f>_xlfn.XLOOKUP(CustomerCombinedCleaned[[#This Row],[ID]], Table4[ID], Table4[Sweets], "Not Found", 0)</f>
        <v>71</v>
      </c>
      <c r="P314" s="16">
        <f>_xlfn.XLOOKUP(CustomerCombinedCleaned[[#This Row],[ID]], Table4[ID], Table4[Premium], "Not Found", 0)</f>
        <v>232</v>
      </c>
      <c r="Q314" s="16">
        <f>_xlfn.XLOOKUP(CustomerCombinedCleaned[[#This Row],[ID]], Table4[ID], Table4[Regular], "Not Found", 0)</f>
        <v>3340</v>
      </c>
      <c r="R314" s="16">
        <f>_xlfn.XLOOKUP(CustomerCombinedCleaned[[#This Row],[ID]], Table4[ID], Table4[Deals], "Not Found", 0)</f>
        <v>1</v>
      </c>
      <c r="S314" s="16">
        <f>_xlfn.XLOOKUP(CustomerCombinedCleaned[[#This Row],[ID]], Table4[ID], Table4[Website], "Not Found", 0)</f>
        <v>6</v>
      </c>
      <c r="T314" s="16">
        <f>_xlfn.XLOOKUP(CustomerCombinedCleaned[[#This Row],[ID]], Table4[ID], Table4[Catalog], "Not Found", 0)</f>
        <v>6</v>
      </c>
      <c r="U314" s="16">
        <f>_xlfn.XLOOKUP(CustomerCombinedCleaned[[#This Row],[ID]], Table4[ID], Table4[Store], "Not Found", 0)</f>
        <v>7</v>
      </c>
      <c r="V314" s="16">
        <f>_xlfn.XLOOKUP(CustomerCombinedCleaned[[#This Row],[ID]], Table4[ID], Table4[Visits], "Not Found", 0)</f>
        <v>4</v>
      </c>
      <c r="W314" s="16">
        <f>_xlfn.XLOOKUP(CustomerCombinedCleaned[[#This Row],[ID]], Table2[ID],Table2[Complaint], "Not Found", 0 )</f>
        <v>0</v>
      </c>
      <c r="X314" s="16">
        <f>_xlfn.XLOOKUP(CustomerCombinedCleaned[[#This Row],[ID]], Table2[ID],Table2[Pilot], "Not Found", 0 )</f>
        <v>1</v>
      </c>
      <c r="Y314" s="16">
        <f>_xlfn.XLOOKUP(CustomerCombinedCleaned[[#This Row],[ID]], Table2[ID],Table2[MC1], "Not Found", 0 )</f>
        <v>0</v>
      </c>
      <c r="Z314" s="16">
        <f>_xlfn.XLOOKUP(CustomerCombinedCleaned[[#This Row],[ID]], Table2[ID],Table2[MC2], "Not Found", 0 )</f>
        <v>0</v>
      </c>
      <c r="AA314" s="16">
        <f>_xlfn.XLOOKUP(CustomerCombinedCleaned[[#This Row],[ID]], Table2[ID],Table2[MC3], "Not Found", 0 )</f>
        <v>0</v>
      </c>
      <c r="AB314" s="16">
        <f>_xlfn.XLOOKUP(CustomerCombinedCleaned[[#This Row],[ID]], Table2[ID],Table2[MC4], "Not Found", 0 )</f>
        <v>0</v>
      </c>
      <c r="AC314" s="16">
        <f>_xlfn.XLOOKUP(CustomerCombinedCleaned[[#This Row],[ID]], Table2[ID],Table2[MC5], "Not Found", 0 )</f>
        <v>1</v>
      </c>
    </row>
    <row r="315" spans="1:29" x14ac:dyDescent="0.3">
      <c r="A315" s="18">
        <v>2839</v>
      </c>
      <c r="B315" s="16">
        <v>169109</v>
      </c>
      <c r="C315" s="16">
        <v>0</v>
      </c>
      <c r="D315" s="16">
        <v>0</v>
      </c>
      <c r="E315" s="16">
        <v>38</v>
      </c>
      <c r="F315" s="17" t="s">
        <v>6</v>
      </c>
      <c r="G315" s="17" t="s">
        <v>11</v>
      </c>
      <c r="H315" s="3" t="s">
        <v>366</v>
      </c>
      <c r="I315" s="5" t="s">
        <v>437</v>
      </c>
      <c r="J315" s="16">
        <f>_xlfn.XLOOKUP(CustomerCombinedCleaned[[#This Row],[ID]], Table4[ID], Table4[Recency], "Not Found", 0)</f>
        <v>10</v>
      </c>
      <c r="K315" s="16">
        <f>_xlfn.XLOOKUP(CustomerCombinedCleaned[[#This Row],[ID]], Table4[ID], Table4[Teas], "Not Found", 0)</f>
        <v>2014</v>
      </c>
      <c r="L315" s="16">
        <f>_xlfn.XLOOKUP(CustomerCombinedCleaned[[#This Row],[ID]], Table4[ID], Table4[Fruits], "Not Found", 0)</f>
        <v>61</v>
      </c>
      <c r="M315" s="16">
        <f>_xlfn.XLOOKUP(CustomerCombinedCleaned[[#This Row],[ID]], Table4[ID], Table4[Meats], "Not Found", 0)</f>
        <v>1123</v>
      </c>
      <c r="N315" s="16">
        <f>_xlfn.XLOOKUP(CustomerCombinedCleaned[[#This Row],[ID]], Table4[ID], Table4[Seafood], "Not Found", 0)</f>
        <v>303</v>
      </c>
      <c r="O315" s="16">
        <f>_xlfn.XLOOKUP(CustomerCombinedCleaned[[#This Row],[ID]], Table4[ID], Table4[Sweets], "Not Found", 0)</f>
        <v>71</v>
      </c>
      <c r="P315" s="16">
        <f>_xlfn.XLOOKUP(CustomerCombinedCleaned[[#This Row],[ID]], Table4[ID], Table4[Premium], "Not Found", 0)</f>
        <v>232</v>
      </c>
      <c r="Q315" s="16">
        <f>_xlfn.XLOOKUP(CustomerCombinedCleaned[[#This Row],[ID]], Table4[ID], Table4[Regular], "Not Found", 0)</f>
        <v>3340</v>
      </c>
      <c r="R315" s="16">
        <f>_xlfn.XLOOKUP(CustomerCombinedCleaned[[#This Row],[ID]], Table4[ID], Table4[Deals], "Not Found", 0)</f>
        <v>1</v>
      </c>
      <c r="S315" s="16">
        <f>_xlfn.XLOOKUP(CustomerCombinedCleaned[[#This Row],[ID]], Table4[ID], Table4[Website], "Not Found", 0)</f>
        <v>6</v>
      </c>
      <c r="T315" s="16">
        <f>_xlfn.XLOOKUP(CustomerCombinedCleaned[[#This Row],[ID]], Table4[ID], Table4[Catalog], "Not Found", 0)</f>
        <v>6</v>
      </c>
      <c r="U315" s="16">
        <f>_xlfn.XLOOKUP(CustomerCombinedCleaned[[#This Row],[ID]], Table4[ID], Table4[Store], "Not Found", 0)</f>
        <v>7</v>
      </c>
      <c r="V315" s="16">
        <f>_xlfn.XLOOKUP(CustomerCombinedCleaned[[#This Row],[ID]], Table4[ID], Table4[Visits], "Not Found", 0)</f>
        <v>4</v>
      </c>
      <c r="W315" s="16">
        <f>_xlfn.XLOOKUP(CustomerCombinedCleaned[[#This Row],[ID]], Table2[ID],Table2[Complaint], "Not Found", 0 )</f>
        <v>0</v>
      </c>
      <c r="X315" s="16">
        <f>_xlfn.XLOOKUP(CustomerCombinedCleaned[[#This Row],[ID]], Table2[ID],Table2[Pilot], "Not Found", 0 )</f>
        <v>1</v>
      </c>
      <c r="Y315" s="16">
        <f>_xlfn.XLOOKUP(CustomerCombinedCleaned[[#This Row],[ID]], Table2[ID],Table2[MC1], "Not Found", 0 )</f>
        <v>0</v>
      </c>
      <c r="Z315" s="16">
        <f>_xlfn.XLOOKUP(CustomerCombinedCleaned[[#This Row],[ID]], Table2[ID],Table2[MC2], "Not Found", 0 )</f>
        <v>0</v>
      </c>
      <c r="AA315" s="16">
        <f>_xlfn.XLOOKUP(CustomerCombinedCleaned[[#This Row],[ID]], Table2[ID],Table2[MC3], "Not Found", 0 )</f>
        <v>0</v>
      </c>
      <c r="AB315" s="16">
        <f>_xlfn.XLOOKUP(CustomerCombinedCleaned[[#This Row],[ID]], Table2[ID],Table2[MC4], "Not Found", 0 )</f>
        <v>0</v>
      </c>
      <c r="AC315" s="16">
        <f>_xlfn.XLOOKUP(CustomerCombinedCleaned[[#This Row],[ID]], Table2[ID],Table2[MC5], "Not Found", 0 )</f>
        <v>1</v>
      </c>
    </row>
    <row r="316" spans="1:29" x14ac:dyDescent="0.3">
      <c r="A316" s="18">
        <v>1285</v>
      </c>
      <c r="B316" s="16">
        <v>168627</v>
      </c>
      <c r="C316" s="16">
        <v>0</v>
      </c>
      <c r="D316" s="16">
        <v>0</v>
      </c>
      <c r="E316" s="16">
        <v>38</v>
      </c>
      <c r="F316" s="17" t="s">
        <v>7</v>
      </c>
      <c r="G316" s="17" t="s">
        <v>11</v>
      </c>
      <c r="H316" s="3" t="s">
        <v>328</v>
      </c>
      <c r="I316" s="5" t="s">
        <v>437</v>
      </c>
      <c r="J316" s="16">
        <f>_xlfn.XLOOKUP(CustomerCombinedCleaned[[#This Row],[ID]], Table4[ID], Table4[Recency], "Not Found", 0)</f>
        <v>45</v>
      </c>
      <c r="K316" s="16">
        <f>_xlfn.XLOOKUP(CustomerCombinedCleaned[[#This Row],[ID]], Table4[ID], Table4[Teas], "Not Found", 0)</f>
        <v>971</v>
      </c>
      <c r="L316" s="16">
        <f>_xlfn.XLOOKUP(CustomerCombinedCleaned[[#This Row],[ID]], Table4[ID], Table4[Fruits], "Not Found", 0)</f>
        <v>37</v>
      </c>
      <c r="M316" s="16">
        <f>_xlfn.XLOOKUP(CustomerCombinedCleaned[[#This Row],[ID]], Table4[ID], Table4[Meats], "Not Found", 0)</f>
        <v>646</v>
      </c>
      <c r="N316" s="16">
        <f>_xlfn.XLOOKUP(CustomerCombinedCleaned[[#This Row],[ID]], Table4[ID], Table4[Seafood], "Not Found", 0)</f>
        <v>147</v>
      </c>
      <c r="O316" s="16">
        <f>_xlfn.XLOOKUP(CustomerCombinedCleaned[[#This Row],[ID]], Table4[ID], Table4[Sweets], "Not Found", 0)</f>
        <v>133</v>
      </c>
      <c r="P316" s="16">
        <f>_xlfn.XLOOKUP(CustomerCombinedCleaned[[#This Row],[ID]], Table4[ID], Table4[Premium], "Not Found", 0)</f>
        <v>93</v>
      </c>
      <c r="Q316" s="16">
        <f>_xlfn.XLOOKUP(CustomerCombinedCleaned[[#This Row],[ID]], Table4[ID], Table4[Regular], "Not Found", 0)</f>
        <v>1840</v>
      </c>
      <c r="R316" s="16">
        <f>_xlfn.XLOOKUP(CustomerCombinedCleaned[[#This Row],[ID]], Table4[ID], Table4[Deals], "Not Found", 0)</f>
        <v>1</v>
      </c>
      <c r="S316" s="16">
        <f>_xlfn.XLOOKUP(CustomerCombinedCleaned[[#This Row],[ID]], Table4[ID], Table4[Website], "Not Found", 0)</f>
        <v>2</v>
      </c>
      <c r="T316" s="16">
        <f>_xlfn.XLOOKUP(CustomerCombinedCleaned[[#This Row],[ID]], Table4[ID], Table4[Catalog], "Not Found", 0)</f>
        <v>3</v>
      </c>
      <c r="U316" s="16">
        <f>_xlfn.XLOOKUP(CustomerCombinedCleaned[[#This Row],[ID]], Table4[ID], Table4[Store], "Not Found", 0)</f>
        <v>6</v>
      </c>
      <c r="V316" s="16">
        <f>_xlfn.XLOOKUP(CustomerCombinedCleaned[[#This Row],[ID]], Table4[ID], Table4[Visits], "Not Found", 0)</f>
        <v>1</v>
      </c>
      <c r="W316" s="16">
        <f>_xlfn.XLOOKUP(CustomerCombinedCleaned[[#This Row],[ID]], Table2[ID],Table2[Complaint], "Not Found", 0 )</f>
        <v>0</v>
      </c>
      <c r="X316" s="16">
        <f>_xlfn.XLOOKUP(CustomerCombinedCleaned[[#This Row],[ID]], Table2[ID],Table2[Pilot], "Not Found", 0 )</f>
        <v>0</v>
      </c>
      <c r="Y316" s="16">
        <f>_xlfn.XLOOKUP(CustomerCombinedCleaned[[#This Row],[ID]], Table2[ID],Table2[MC1], "Not Found", 0 )</f>
        <v>0</v>
      </c>
      <c r="Z316" s="16">
        <f>_xlfn.XLOOKUP(CustomerCombinedCleaned[[#This Row],[ID]], Table2[ID],Table2[MC2], "Not Found", 0 )</f>
        <v>0</v>
      </c>
      <c r="AA316" s="16">
        <f>_xlfn.XLOOKUP(CustomerCombinedCleaned[[#This Row],[ID]], Table2[ID],Table2[MC3], "Not Found", 0 )</f>
        <v>0</v>
      </c>
      <c r="AB316" s="16">
        <f>_xlfn.XLOOKUP(CustomerCombinedCleaned[[#This Row],[ID]], Table2[ID],Table2[MC4], "Not Found", 0 )</f>
        <v>0</v>
      </c>
      <c r="AC316" s="16">
        <f>_xlfn.XLOOKUP(CustomerCombinedCleaned[[#This Row],[ID]], Table2[ID],Table2[MC5], "Not Found", 0 )</f>
        <v>0</v>
      </c>
    </row>
    <row r="317" spans="1:29" x14ac:dyDescent="0.3">
      <c r="A317" s="18">
        <v>1443</v>
      </c>
      <c r="B317" s="16">
        <v>166664</v>
      </c>
      <c r="C317" s="16">
        <v>0</v>
      </c>
      <c r="D317" s="16">
        <v>0</v>
      </c>
      <c r="E317" s="16">
        <v>38</v>
      </c>
      <c r="F317" s="17" t="s">
        <v>8</v>
      </c>
      <c r="G317" s="17" t="s">
        <v>11</v>
      </c>
      <c r="H317" s="3" t="s">
        <v>576</v>
      </c>
      <c r="I317" s="5" t="s">
        <v>435</v>
      </c>
      <c r="J317" s="16">
        <f>_xlfn.XLOOKUP(CustomerCombinedCleaned[[#This Row],[ID]], Table4[ID], Table4[Recency], "Not Found", 0)</f>
        <v>78</v>
      </c>
      <c r="K317" s="16">
        <f>_xlfn.XLOOKUP(CustomerCombinedCleaned[[#This Row],[ID]], Table4[ID], Table4[Teas], "Not Found", 0)</f>
        <v>995</v>
      </c>
      <c r="L317" s="16">
        <f>_xlfn.XLOOKUP(CustomerCombinedCleaned[[#This Row],[ID]], Table4[ID], Table4[Fruits], "Not Found", 0)</f>
        <v>240</v>
      </c>
      <c r="M317" s="16">
        <f>_xlfn.XLOOKUP(CustomerCombinedCleaned[[#This Row],[ID]], Table4[ID], Table4[Meats], "Not Found", 0)</f>
        <v>1118</v>
      </c>
      <c r="N317" s="16">
        <f>_xlfn.XLOOKUP(CustomerCombinedCleaned[[#This Row],[ID]], Table4[ID], Table4[Seafood], "Not Found", 0)</f>
        <v>550</v>
      </c>
      <c r="O317" s="16">
        <f>_xlfn.XLOOKUP(CustomerCombinedCleaned[[#This Row],[ID]], Table4[ID], Table4[Sweets], "Not Found", 0)</f>
        <v>240</v>
      </c>
      <c r="P317" s="16">
        <f>_xlfn.XLOOKUP(CustomerCombinedCleaned[[#This Row],[ID]], Table4[ID], Table4[Premium], "Not Found", 0)</f>
        <v>80</v>
      </c>
      <c r="Q317" s="16">
        <f>_xlfn.XLOOKUP(CustomerCombinedCleaned[[#This Row],[ID]], Table4[ID], Table4[Regular], "Not Found", 0)</f>
        <v>3063</v>
      </c>
      <c r="R317" s="16">
        <f>_xlfn.XLOOKUP(CustomerCombinedCleaned[[#This Row],[ID]], Table4[ID], Table4[Deals], "Not Found", 0)</f>
        <v>1</v>
      </c>
      <c r="S317" s="16">
        <f>_xlfn.XLOOKUP(CustomerCombinedCleaned[[#This Row],[ID]], Table4[ID], Table4[Website], "Not Found", 0)</f>
        <v>5</v>
      </c>
      <c r="T317" s="16">
        <f>_xlfn.XLOOKUP(CustomerCombinedCleaned[[#This Row],[ID]], Table4[ID], Table4[Catalog], "Not Found", 0)</f>
        <v>7</v>
      </c>
      <c r="U317" s="16">
        <f>_xlfn.XLOOKUP(CustomerCombinedCleaned[[#This Row],[ID]], Table4[ID], Table4[Store], "Not Found", 0)</f>
        <v>6</v>
      </c>
      <c r="V317" s="16">
        <f>_xlfn.XLOOKUP(CustomerCombinedCleaned[[#This Row],[ID]], Table4[ID], Table4[Visits], "Not Found", 0)</f>
        <v>3</v>
      </c>
      <c r="W317" s="16">
        <f>_xlfn.XLOOKUP(CustomerCombinedCleaned[[#This Row],[ID]], Table2[ID],Table2[Complaint], "Not Found", 0 )</f>
        <v>0</v>
      </c>
      <c r="X317" s="16">
        <f>_xlfn.XLOOKUP(CustomerCombinedCleaned[[#This Row],[ID]], Table2[ID],Table2[Pilot], "Not Found", 0 )</f>
        <v>0</v>
      </c>
      <c r="Y317" s="16">
        <f>_xlfn.XLOOKUP(CustomerCombinedCleaned[[#This Row],[ID]], Table2[ID],Table2[MC1], "Not Found", 0 )</f>
        <v>0</v>
      </c>
      <c r="Z317" s="16">
        <f>_xlfn.XLOOKUP(CustomerCombinedCleaned[[#This Row],[ID]], Table2[ID],Table2[MC2], "Not Found", 0 )</f>
        <v>0</v>
      </c>
      <c r="AA317" s="16">
        <f>_xlfn.XLOOKUP(CustomerCombinedCleaned[[#This Row],[ID]], Table2[ID],Table2[MC3], "Not Found", 0 )</f>
        <v>0</v>
      </c>
      <c r="AB317" s="16">
        <f>_xlfn.XLOOKUP(CustomerCombinedCleaned[[#This Row],[ID]], Table2[ID],Table2[MC4], "Not Found", 0 )</f>
        <v>0</v>
      </c>
      <c r="AC317" s="16">
        <f>_xlfn.XLOOKUP(CustomerCombinedCleaned[[#This Row],[ID]], Table2[ID],Table2[MC5], "Not Found", 0 )</f>
        <v>0</v>
      </c>
    </row>
    <row r="318" spans="1:29" x14ac:dyDescent="0.3">
      <c r="A318" s="18">
        <v>2598</v>
      </c>
      <c r="B318" s="16">
        <v>166664</v>
      </c>
      <c r="C318" s="16">
        <v>0</v>
      </c>
      <c r="D318" s="16">
        <v>0</v>
      </c>
      <c r="E318" s="16">
        <v>38</v>
      </c>
      <c r="F318" s="17" t="s">
        <v>8</v>
      </c>
      <c r="G318" s="17" t="s">
        <v>11</v>
      </c>
      <c r="H318" s="3" t="s">
        <v>576</v>
      </c>
      <c r="I318" s="5" t="s">
        <v>436</v>
      </c>
      <c r="J318" s="16">
        <f>_xlfn.XLOOKUP(CustomerCombinedCleaned[[#This Row],[ID]], Table4[ID], Table4[Recency], "Not Found", 0)</f>
        <v>78</v>
      </c>
      <c r="K318" s="16">
        <f>_xlfn.XLOOKUP(CustomerCombinedCleaned[[#This Row],[ID]], Table4[ID], Table4[Teas], "Not Found", 0)</f>
        <v>995</v>
      </c>
      <c r="L318" s="16">
        <f>_xlfn.XLOOKUP(CustomerCombinedCleaned[[#This Row],[ID]], Table4[ID], Table4[Fruits], "Not Found", 0)</f>
        <v>240</v>
      </c>
      <c r="M318" s="16">
        <f>_xlfn.XLOOKUP(CustomerCombinedCleaned[[#This Row],[ID]], Table4[ID], Table4[Meats], "Not Found", 0)</f>
        <v>1118</v>
      </c>
      <c r="N318" s="16">
        <f>_xlfn.XLOOKUP(CustomerCombinedCleaned[[#This Row],[ID]], Table4[ID], Table4[Seafood], "Not Found", 0)</f>
        <v>550</v>
      </c>
      <c r="O318" s="16">
        <f>_xlfn.XLOOKUP(CustomerCombinedCleaned[[#This Row],[ID]], Table4[ID], Table4[Sweets], "Not Found", 0)</f>
        <v>240</v>
      </c>
      <c r="P318" s="16">
        <f>_xlfn.XLOOKUP(CustomerCombinedCleaned[[#This Row],[ID]], Table4[ID], Table4[Premium], "Not Found", 0)</f>
        <v>80</v>
      </c>
      <c r="Q318" s="16">
        <f>_xlfn.XLOOKUP(CustomerCombinedCleaned[[#This Row],[ID]], Table4[ID], Table4[Regular], "Not Found", 0)</f>
        <v>3063</v>
      </c>
      <c r="R318" s="16">
        <f>_xlfn.XLOOKUP(CustomerCombinedCleaned[[#This Row],[ID]], Table4[ID], Table4[Deals], "Not Found", 0)</f>
        <v>1</v>
      </c>
      <c r="S318" s="16">
        <f>_xlfn.XLOOKUP(CustomerCombinedCleaned[[#This Row],[ID]], Table4[ID], Table4[Website], "Not Found", 0)</f>
        <v>5</v>
      </c>
      <c r="T318" s="16">
        <f>_xlfn.XLOOKUP(CustomerCombinedCleaned[[#This Row],[ID]], Table4[ID], Table4[Catalog], "Not Found", 0)</f>
        <v>7</v>
      </c>
      <c r="U318" s="16">
        <f>_xlfn.XLOOKUP(CustomerCombinedCleaned[[#This Row],[ID]], Table4[ID], Table4[Store], "Not Found", 0)</f>
        <v>6</v>
      </c>
      <c r="V318" s="16">
        <f>_xlfn.XLOOKUP(CustomerCombinedCleaned[[#This Row],[ID]], Table4[ID], Table4[Visits], "Not Found", 0)</f>
        <v>3</v>
      </c>
      <c r="W318" s="16">
        <f>_xlfn.XLOOKUP(CustomerCombinedCleaned[[#This Row],[ID]], Table2[ID],Table2[Complaint], "Not Found", 0 )</f>
        <v>0</v>
      </c>
      <c r="X318" s="16">
        <f>_xlfn.XLOOKUP(CustomerCombinedCleaned[[#This Row],[ID]], Table2[ID],Table2[Pilot], "Not Found", 0 )</f>
        <v>0</v>
      </c>
      <c r="Y318" s="16">
        <f>_xlfn.XLOOKUP(CustomerCombinedCleaned[[#This Row],[ID]], Table2[ID],Table2[MC1], "Not Found", 0 )</f>
        <v>0</v>
      </c>
      <c r="Z318" s="16">
        <f>_xlfn.XLOOKUP(CustomerCombinedCleaned[[#This Row],[ID]], Table2[ID],Table2[MC2], "Not Found", 0 )</f>
        <v>0</v>
      </c>
      <c r="AA318" s="16">
        <f>_xlfn.XLOOKUP(CustomerCombinedCleaned[[#This Row],[ID]], Table2[ID],Table2[MC3], "Not Found", 0 )</f>
        <v>0</v>
      </c>
      <c r="AB318" s="16">
        <f>_xlfn.XLOOKUP(CustomerCombinedCleaned[[#This Row],[ID]], Table2[ID],Table2[MC4], "Not Found", 0 )</f>
        <v>0</v>
      </c>
      <c r="AC318" s="16">
        <f>_xlfn.XLOOKUP(CustomerCombinedCleaned[[#This Row],[ID]], Table2[ID],Table2[MC5], "Not Found", 0 )</f>
        <v>0</v>
      </c>
    </row>
    <row r="319" spans="1:29" x14ac:dyDescent="0.3">
      <c r="A319" s="18">
        <v>2288</v>
      </c>
      <c r="B319" s="16">
        <v>165169</v>
      </c>
      <c r="C319" s="16">
        <v>0</v>
      </c>
      <c r="D319" s="16">
        <v>0</v>
      </c>
      <c r="E319" s="16">
        <v>38</v>
      </c>
      <c r="F319" s="17" t="s">
        <v>6</v>
      </c>
      <c r="G319" s="17" t="s">
        <v>11</v>
      </c>
      <c r="H319" s="3" t="s">
        <v>116</v>
      </c>
      <c r="I319" s="5" t="s">
        <v>438</v>
      </c>
      <c r="J319" s="16">
        <f>_xlfn.XLOOKUP(CustomerCombinedCleaned[[#This Row],[ID]], Table4[ID], Table4[Recency], "Not Found", 0)</f>
        <v>23</v>
      </c>
      <c r="K319" s="16">
        <f>_xlfn.XLOOKUP(CustomerCombinedCleaned[[#This Row],[ID]], Table4[ID], Table4[Teas], "Not Found", 0)</f>
        <v>2722</v>
      </c>
      <c r="L319" s="16">
        <f>_xlfn.XLOOKUP(CustomerCombinedCleaned[[#This Row],[ID]], Table4[ID], Table4[Fruits], "Not Found", 0)</f>
        <v>0</v>
      </c>
      <c r="M319" s="16">
        <f>_xlfn.XLOOKUP(CustomerCombinedCleaned[[#This Row],[ID]], Table4[ID], Table4[Meats], "Not Found", 0)</f>
        <v>175</v>
      </c>
      <c r="N319" s="16">
        <f>_xlfn.XLOOKUP(CustomerCombinedCleaned[[#This Row],[ID]], Table4[ID], Table4[Seafood], "Not Found", 0)</f>
        <v>0</v>
      </c>
      <c r="O319" s="16">
        <f>_xlfn.XLOOKUP(CustomerCombinedCleaned[[#This Row],[ID]], Table4[ID], Table4[Sweets], "Not Found", 0)</f>
        <v>0</v>
      </c>
      <c r="P319" s="16">
        <f>_xlfn.XLOOKUP(CustomerCombinedCleaned[[#This Row],[ID]], Table4[ID], Table4[Premium], "Not Found", 0)</f>
        <v>117</v>
      </c>
      <c r="Q319" s="16">
        <f>_xlfn.XLOOKUP(CustomerCombinedCleaned[[#This Row],[ID]], Table4[ID], Table4[Regular], "Not Found", 0)</f>
        <v>2780</v>
      </c>
      <c r="R319" s="16">
        <f>_xlfn.XLOOKUP(CustomerCombinedCleaned[[#This Row],[ID]], Table4[ID], Table4[Deals], "Not Found", 0)</f>
        <v>1</v>
      </c>
      <c r="S319" s="16">
        <f>_xlfn.XLOOKUP(CustomerCombinedCleaned[[#This Row],[ID]], Table4[ID], Table4[Website], "Not Found", 0)</f>
        <v>10</v>
      </c>
      <c r="T319" s="16">
        <f>_xlfn.XLOOKUP(CustomerCombinedCleaned[[#This Row],[ID]], Table4[ID], Table4[Catalog], "Not Found", 0)</f>
        <v>4</v>
      </c>
      <c r="U319" s="16">
        <f>_xlfn.XLOOKUP(CustomerCombinedCleaned[[#This Row],[ID]], Table4[ID], Table4[Store], "Not Found", 0)</f>
        <v>13</v>
      </c>
      <c r="V319" s="16">
        <f>_xlfn.XLOOKUP(CustomerCombinedCleaned[[#This Row],[ID]], Table4[ID], Table4[Visits], "Not Found", 0)</f>
        <v>6</v>
      </c>
      <c r="W319" s="16">
        <f>_xlfn.XLOOKUP(CustomerCombinedCleaned[[#This Row],[ID]], Table2[ID],Table2[Complaint], "Not Found", 0 )</f>
        <v>0</v>
      </c>
      <c r="X319" s="16">
        <f>_xlfn.XLOOKUP(CustomerCombinedCleaned[[#This Row],[ID]], Table2[ID],Table2[Pilot], "Not Found", 0 )</f>
        <v>1</v>
      </c>
      <c r="Y319" s="16">
        <f>_xlfn.XLOOKUP(CustomerCombinedCleaned[[#This Row],[ID]], Table2[ID],Table2[MC1], "Not Found", 0 )</f>
        <v>1</v>
      </c>
      <c r="Z319" s="16">
        <f>_xlfn.XLOOKUP(CustomerCombinedCleaned[[#This Row],[ID]], Table2[ID],Table2[MC2], "Not Found", 0 )</f>
        <v>1</v>
      </c>
      <c r="AA319" s="16">
        <f>_xlfn.XLOOKUP(CustomerCombinedCleaned[[#This Row],[ID]], Table2[ID],Table2[MC3], "Not Found", 0 )</f>
        <v>1</v>
      </c>
      <c r="AB319" s="16">
        <f>_xlfn.XLOOKUP(CustomerCombinedCleaned[[#This Row],[ID]], Table2[ID],Table2[MC4], "Not Found", 0 )</f>
        <v>0</v>
      </c>
      <c r="AC319" s="16">
        <f>_xlfn.XLOOKUP(CustomerCombinedCleaned[[#This Row],[ID]], Table2[ID],Table2[MC5], "Not Found", 0 )</f>
        <v>1</v>
      </c>
    </row>
    <row r="320" spans="1:29" x14ac:dyDescent="0.3">
      <c r="A320" s="18">
        <v>2921</v>
      </c>
      <c r="B320" s="16">
        <v>163211</v>
      </c>
      <c r="C320" s="16">
        <v>0</v>
      </c>
      <c r="D320" s="16">
        <v>0</v>
      </c>
      <c r="E320" s="16">
        <v>38</v>
      </c>
      <c r="F320" s="17" t="s">
        <v>6</v>
      </c>
      <c r="G320" s="17" t="s">
        <v>11</v>
      </c>
      <c r="H320" s="3" t="s">
        <v>539</v>
      </c>
      <c r="I320" s="5" t="s">
        <v>434</v>
      </c>
      <c r="J320" s="16">
        <f>_xlfn.XLOOKUP(CustomerCombinedCleaned[[#This Row],[ID]], Table4[ID], Table4[Recency], "Not Found", 0)</f>
        <v>3</v>
      </c>
      <c r="K320" s="16">
        <f>_xlfn.XLOOKUP(CustomerCombinedCleaned[[#This Row],[ID]], Table4[ID], Table4[Teas], "Not Found", 0)</f>
        <v>374</v>
      </c>
      <c r="L320" s="16">
        <f>_xlfn.XLOOKUP(CustomerCombinedCleaned[[#This Row],[ID]], Table4[ID], Table4[Fruits], "Not Found", 0)</f>
        <v>498</v>
      </c>
      <c r="M320" s="16">
        <f>_xlfn.XLOOKUP(CustomerCombinedCleaned[[#This Row],[ID]], Table4[ID], Table4[Meats], "Not Found", 0)</f>
        <v>1185</v>
      </c>
      <c r="N320" s="16">
        <f>_xlfn.XLOOKUP(CustomerCombinedCleaned[[#This Row],[ID]], Table4[ID], Table4[Seafood], "Not Found", 0)</f>
        <v>529</v>
      </c>
      <c r="O320" s="16">
        <f>_xlfn.XLOOKUP(CustomerCombinedCleaned[[#This Row],[ID]], Table4[ID], Table4[Sweets], "Not Found", 0)</f>
        <v>67</v>
      </c>
      <c r="P320" s="16">
        <f>_xlfn.XLOOKUP(CustomerCombinedCleaned[[#This Row],[ID]], Table4[ID], Table4[Premium], "Not Found", 0)</f>
        <v>374</v>
      </c>
      <c r="Q320" s="16">
        <f>_xlfn.XLOOKUP(CustomerCombinedCleaned[[#This Row],[ID]], Table4[ID], Table4[Regular], "Not Found", 0)</f>
        <v>2280</v>
      </c>
      <c r="R320" s="16">
        <f>_xlfn.XLOOKUP(CustomerCombinedCleaned[[#This Row],[ID]], Table4[ID], Table4[Deals], "Not Found", 0)</f>
        <v>2</v>
      </c>
      <c r="S320" s="16">
        <f>_xlfn.XLOOKUP(CustomerCombinedCleaned[[#This Row],[ID]], Table4[ID], Table4[Website], "Not Found", 0)</f>
        <v>3</v>
      </c>
      <c r="T320" s="16">
        <f>_xlfn.XLOOKUP(CustomerCombinedCleaned[[#This Row],[ID]], Table4[ID], Table4[Catalog], "Not Found", 0)</f>
        <v>8</v>
      </c>
      <c r="U320" s="16">
        <f>_xlfn.XLOOKUP(CustomerCombinedCleaned[[#This Row],[ID]], Table4[ID], Table4[Store], "Not Found", 0)</f>
        <v>7</v>
      </c>
      <c r="V320" s="16">
        <f>_xlfn.XLOOKUP(CustomerCombinedCleaned[[#This Row],[ID]], Table4[ID], Table4[Visits], "Not Found", 0)</f>
        <v>2</v>
      </c>
      <c r="W320" s="16">
        <f>_xlfn.XLOOKUP(CustomerCombinedCleaned[[#This Row],[ID]], Table2[ID],Table2[Complaint], "Not Found", 0 )</f>
        <v>0</v>
      </c>
      <c r="X320" s="16">
        <f>_xlfn.XLOOKUP(CustomerCombinedCleaned[[#This Row],[ID]], Table2[ID],Table2[Pilot], "Not Found", 0 )</f>
        <v>1</v>
      </c>
      <c r="Y320" s="16">
        <f>_xlfn.XLOOKUP(CustomerCombinedCleaned[[#This Row],[ID]], Table2[ID],Table2[MC1], "Not Found", 0 )</f>
        <v>0</v>
      </c>
      <c r="Z320" s="16">
        <f>_xlfn.XLOOKUP(CustomerCombinedCleaned[[#This Row],[ID]], Table2[ID],Table2[MC2], "Not Found", 0 )</f>
        <v>0</v>
      </c>
      <c r="AA320" s="16">
        <f>_xlfn.XLOOKUP(CustomerCombinedCleaned[[#This Row],[ID]], Table2[ID],Table2[MC3], "Not Found", 0 )</f>
        <v>0</v>
      </c>
      <c r="AB320" s="16">
        <f>_xlfn.XLOOKUP(CustomerCombinedCleaned[[#This Row],[ID]], Table2[ID],Table2[MC4], "Not Found", 0 )</f>
        <v>0</v>
      </c>
      <c r="AC320" s="16">
        <f>_xlfn.XLOOKUP(CustomerCombinedCleaned[[#This Row],[ID]], Table2[ID],Table2[MC5], "Not Found", 0 )</f>
        <v>0</v>
      </c>
    </row>
    <row r="321" spans="1:29" x14ac:dyDescent="0.3">
      <c r="A321" s="18">
        <v>3014</v>
      </c>
      <c r="B321" s="16">
        <v>161416</v>
      </c>
      <c r="C321" s="16">
        <v>0</v>
      </c>
      <c r="D321" s="16">
        <v>0</v>
      </c>
      <c r="E321" s="16">
        <v>38</v>
      </c>
      <c r="F321" s="17" t="s">
        <v>8</v>
      </c>
      <c r="G321" s="17" t="s">
        <v>11</v>
      </c>
      <c r="H321" s="3" t="s">
        <v>315</v>
      </c>
      <c r="I321" s="5" t="s">
        <v>438</v>
      </c>
      <c r="J321" s="16">
        <f>_xlfn.XLOOKUP(CustomerCombinedCleaned[[#This Row],[ID]], Table4[ID], Table4[Recency], "Not Found", 0)</f>
        <v>25</v>
      </c>
      <c r="K321" s="16">
        <f>_xlfn.XLOOKUP(CustomerCombinedCleaned[[#This Row],[ID]], Table4[ID], Table4[Teas], "Not Found", 0)</f>
        <v>2229</v>
      </c>
      <c r="L321" s="16">
        <f>_xlfn.XLOOKUP(CustomerCombinedCleaned[[#This Row],[ID]], Table4[ID], Table4[Fruits], "Not Found", 0)</f>
        <v>405</v>
      </c>
      <c r="M321" s="16">
        <f>_xlfn.XLOOKUP(CustomerCombinedCleaned[[#This Row],[ID]], Table4[ID], Table4[Meats], "Not Found", 0)</f>
        <v>849</v>
      </c>
      <c r="N321" s="16">
        <f>_xlfn.XLOOKUP(CustomerCombinedCleaned[[#This Row],[ID]], Table4[ID], Table4[Seafood], "Not Found", 0)</f>
        <v>528</v>
      </c>
      <c r="O321" s="16">
        <f>_xlfn.XLOOKUP(CustomerCombinedCleaned[[#This Row],[ID]], Table4[ID], Table4[Sweets], "Not Found", 0)</f>
        <v>160</v>
      </c>
      <c r="P321" s="16">
        <f>_xlfn.XLOOKUP(CustomerCombinedCleaned[[#This Row],[ID]], Table4[ID], Table4[Premium], "Not Found", 0)</f>
        <v>205</v>
      </c>
      <c r="Q321" s="16">
        <f>_xlfn.XLOOKUP(CustomerCombinedCleaned[[#This Row],[ID]], Table4[ID], Table4[Regular], "Not Found", 0)</f>
        <v>3966</v>
      </c>
      <c r="R321" s="16">
        <f>_xlfn.XLOOKUP(CustomerCombinedCleaned[[#This Row],[ID]], Table4[ID], Table4[Deals], "Not Found", 0)</f>
        <v>1</v>
      </c>
      <c r="S321" s="16">
        <f>_xlfn.XLOOKUP(CustomerCombinedCleaned[[#This Row],[ID]], Table4[ID], Table4[Website], "Not Found", 0)</f>
        <v>10</v>
      </c>
      <c r="T321" s="16">
        <f>_xlfn.XLOOKUP(CustomerCombinedCleaned[[#This Row],[ID]], Table4[ID], Table4[Catalog], "Not Found", 0)</f>
        <v>3</v>
      </c>
      <c r="U321" s="16">
        <f>_xlfn.XLOOKUP(CustomerCombinedCleaned[[#This Row],[ID]], Table4[ID], Table4[Store], "Not Found", 0)</f>
        <v>10</v>
      </c>
      <c r="V321" s="16">
        <f>_xlfn.XLOOKUP(CustomerCombinedCleaned[[#This Row],[ID]], Table4[ID], Table4[Visits], "Not Found", 0)</f>
        <v>6</v>
      </c>
      <c r="W321" s="16">
        <f>_xlfn.XLOOKUP(CustomerCombinedCleaned[[#This Row],[ID]], Table2[ID],Table2[Complaint], "Not Found", 0 )</f>
        <v>0</v>
      </c>
      <c r="X321" s="16">
        <f>_xlfn.XLOOKUP(CustomerCombinedCleaned[[#This Row],[ID]], Table2[ID],Table2[Pilot], "Not Found", 0 )</f>
        <v>0</v>
      </c>
      <c r="Y321" s="16">
        <f>_xlfn.XLOOKUP(CustomerCombinedCleaned[[#This Row],[ID]], Table2[ID],Table2[MC1], "Not Found", 0 )</f>
        <v>0</v>
      </c>
      <c r="Z321" s="16">
        <f>_xlfn.XLOOKUP(CustomerCombinedCleaned[[#This Row],[ID]], Table2[ID],Table2[MC2], "Not Found", 0 )</f>
        <v>0</v>
      </c>
      <c r="AA321" s="16">
        <f>_xlfn.XLOOKUP(CustomerCombinedCleaned[[#This Row],[ID]], Table2[ID],Table2[MC3], "Not Found", 0 )</f>
        <v>1</v>
      </c>
      <c r="AB321" s="16">
        <f>_xlfn.XLOOKUP(CustomerCombinedCleaned[[#This Row],[ID]], Table2[ID],Table2[MC4], "Not Found", 0 )</f>
        <v>0</v>
      </c>
      <c r="AC321" s="16">
        <f>_xlfn.XLOOKUP(CustomerCombinedCleaned[[#This Row],[ID]], Table2[ID],Table2[MC5], "Not Found", 0 )</f>
        <v>0</v>
      </c>
    </row>
    <row r="322" spans="1:29" x14ac:dyDescent="0.3">
      <c r="A322" s="18">
        <v>2791</v>
      </c>
      <c r="B322" s="16">
        <v>158582</v>
      </c>
      <c r="C322" s="16">
        <v>0</v>
      </c>
      <c r="D322" s="16">
        <v>1</v>
      </c>
      <c r="E322" s="16">
        <v>38</v>
      </c>
      <c r="F322" s="17" t="s">
        <v>8</v>
      </c>
      <c r="G322" s="17" t="s">
        <v>11</v>
      </c>
      <c r="H322" s="3" t="s">
        <v>670</v>
      </c>
      <c r="I322" s="5" t="s">
        <v>437</v>
      </c>
      <c r="J322" s="16">
        <f>_xlfn.XLOOKUP(CustomerCombinedCleaned[[#This Row],[ID]], Table4[ID], Table4[Recency], "Not Found", 0)</f>
        <v>15</v>
      </c>
      <c r="K322" s="16">
        <f>_xlfn.XLOOKUP(CustomerCombinedCleaned[[#This Row],[ID]], Table4[ID], Table4[Teas], "Not Found", 0)</f>
        <v>1088</v>
      </c>
      <c r="L322" s="16">
        <f>_xlfn.XLOOKUP(CustomerCombinedCleaned[[#This Row],[ID]], Table4[ID], Table4[Fruits], "Not Found", 0)</f>
        <v>95</v>
      </c>
      <c r="M322" s="16">
        <f>_xlfn.XLOOKUP(CustomerCombinedCleaned[[#This Row],[ID]], Table4[ID], Table4[Meats], "Not Found", 0)</f>
        <v>287</v>
      </c>
      <c r="N322" s="16">
        <f>_xlfn.XLOOKUP(CustomerCombinedCleaned[[#This Row],[ID]], Table4[ID], Table4[Seafood], "Not Found", 0)</f>
        <v>273</v>
      </c>
      <c r="O322" s="16">
        <f>_xlfn.XLOOKUP(CustomerCombinedCleaned[[#This Row],[ID]], Table4[ID], Table4[Sweets], "Not Found", 0)</f>
        <v>208</v>
      </c>
      <c r="P322" s="16">
        <f>_xlfn.XLOOKUP(CustomerCombinedCleaned[[#This Row],[ID]], Table4[ID], Table4[Premium], "Not Found", 0)</f>
        <v>114</v>
      </c>
      <c r="Q322" s="16">
        <f>_xlfn.XLOOKUP(CustomerCombinedCleaned[[#This Row],[ID]], Table4[ID], Table4[Regular], "Not Found", 0)</f>
        <v>1838</v>
      </c>
      <c r="R322" s="16">
        <f>_xlfn.XLOOKUP(CustomerCombinedCleaned[[#This Row],[ID]], Table4[ID], Table4[Deals], "Not Found", 0)</f>
        <v>2</v>
      </c>
      <c r="S322" s="16">
        <f>_xlfn.XLOOKUP(CustomerCombinedCleaned[[#This Row],[ID]], Table4[ID], Table4[Website], "Not Found", 0)</f>
        <v>9</v>
      </c>
      <c r="T322" s="16">
        <f>_xlfn.XLOOKUP(CustomerCombinedCleaned[[#This Row],[ID]], Table4[ID], Table4[Catalog], "Not Found", 0)</f>
        <v>2</v>
      </c>
      <c r="U322" s="16">
        <f>_xlfn.XLOOKUP(CustomerCombinedCleaned[[#This Row],[ID]], Table4[ID], Table4[Store], "Not Found", 0)</f>
        <v>9</v>
      </c>
      <c r="V322" s="16">
        <f>_xlfn.XLOOKUP(CustomerCombinedCleaned[[#This Row],[ID]], Table4[ID], Table4[Visits], "Not Found", 0)</f>
        <v>5</v>
      </c>
      <c r="W322" s="16">
        <f>_xlfn.XLOOKUP(CustomerCombinedCleaned[[#This Row],[ID]], Table2[ID],Table2[Complaint], "Not Found", 0 )</f>
        <v>0</v>
      </c>
      <c r="X322" s="16">
        <f>_xlfn.XLOOKUP(CustomerCombinedCleaned[[#This Row],[ID]], Table2[ID],Table2[Pilot], "Not Found", 0 )</f>
        <v>0</v>
      </c>
      <c r="Y322" s="16">
        <f>_xlfn.XLOOKUP(CustomerCombinedCleaned[[#This Row],[ID]], Table2[ID],Table2[MC1], "Not Found", 0 )</f>
        <v>0</v>
      </c>
      <c r="Z322" s="16">
        <f>_xlfn.XLOOKUP(CustomerCombinedCleaned[[#This Row],[ID]], Table2[ID],Table2[MC2], "Not Found", 0 )</f>
        <v>0</v>
      </c>
      <c r="AA322" s="16">
        <f>_xlfn.XLOOKUP(CustomerCombinedCleaned[[#This Row],[ID]], Table2[ID],Table2[MC3], "Not Found", 0 )</f>
        <v>0</v>
      </c>
      <c r="AB322" s="16">
        <f>_xlfn.XLOOKUP(CustomerCombinedCleaned[[#This Row],[ID]], Table2[ID],Table2[MC4], "Not Found", 0 )</f>
        <v>1</v>
      </c>
      <c r="AC322" s="16">
        <f>_xlfn.XLOOKUP(CustomerCombinedCleaned[[#This Row],[ID]], Table2[ID],Table2[MC5], "Not Found", 0 )</f>
        <v>0</v>
      </c>
    </row>
    <row r="323" spans="1:29" x14ac:dyDescent="0.3">
      <c r="A323" s="18">
        <v>1927</v>
      </c>
      <c r="B323" s="16">
        <v>157937</v>
      </c>
      <c r="C323" s="16">
        <v>0</v>
      </c>
      <c r="D323" s="16">
        <v>1</v>
      </c>
      <c r="E323" s="16">
        <v>38</v>
      </c>
      <c r="F323" s="17" t="s">
        <v>6</v>
      </c>
      <c r="G323" s="17" t="s">
        <v>11</v>
      </c>
      <c r="H323" s="3" t="s">
        <v>97</v>
      </c>
      <c r="I323" s="5" t="s">
        <v>437</v>
      </c>
      <c r="J323" s="16">
        <f>_xlfn.XLOOKUP(CustomerCombinedCleaned[[#This Row],[ID]], Table4[ID], Table4[Recency], "Not Found", 0)</f>
        <v>56</v>
      </c>
      <c r="K323" s="16">
        <f>_xlfn.XLOOKUP(CustomerCombinedCleaned[[#This Row],[ID]], Table4[ID], Table4[Teas], "Not Found", 0)</f>
        <v>711</v>
      </c>
      <c r="L323" s="16">
        <f>_xlfn.XLOOKUP(CustomerCombinedCleaned[[#This Row],[ID]], Table4[ID], Table4[Fruits], "Not Found", 0)</f>
        <v>114</v>
      </c>
      <c r="M323" s="16">
        <f>_xlfn.XLOOKUP(CustomerCombinedCleaned[[#This Row],[ID]], Table4[ID], Table4[Meats], "Not Found", 0)</f>
        <v>393</v>
      </c>
      <c r="N323" s="16">
        <f>_xlfn.XLOOKUP(CustomerCombinedCleaned[[#This Row],[ID]], Table4[ID], Table4[Seafood], "Not Found", 0)</f>
        <v>150</v>
      </c>
      <c r="O323" s="16">
        <f>_xlfn.XLOOKUP(CustomerCombinedCleaned[[#This Row],[ID]], Table4[ID], Table4[Sweets], "Not Found", 0)</f>
        <v>131</v>
      </c>
      <c r="P323" s="16">
        <f>_xlfn.XLOOKUP(CustomerCombinedCleaned[[#This Row],[ID]], Table4[ID], Table4[Premium], "Not Found", 0)</f>
        <v>363</v>
      </c>
      <c r="Q323" s="16">
        <f>_xlfn.XLOOKUP(CustomerCombinedCleaned[[#This Row],[ID]], Table4[ID], Table4[Regular], "Not Found", 0)</f>
        <v>1137</v>
      </c>
      <c r="R323" s="16">
        <f>_xlfn.XLOOKUP(CustomerCombinedCleaned[[#This Row],[ID]], Table4[ID], Table4[Deals], "Not Found", 0)</f>
        <v>3</v>
      </c>
      <c r="S323" s="16">
        <f>_xlfn.XLOOKUP(CustomerCombinedCleaned[[#This Row],[ID]], Table4[ID], Table4[Website], "Not Found", 0)</f>
        <v>4</v>
      </c>
      <c r="T323" s="16">
        <f>_xlfn.XLOOKUP(CustomerCombinedCleaned[[#This Row],[ID]], Table4[ID], Table4[Catalog], "Not Found", 0)</f>
        <v>4</v>
      </c>
      <c r="U323" s="16">
        <f>_xlfn.XLOOKUP(CustomerCombinedCleaned[[#This Row],[ID]], Table4[ID], Table4[Store], "Not Found", 0)</f>
        <v>9</v>
      </c>
      <c r="V323" s="16">
        <f>_xlfn.XLOOKUP(CustomerCombinedCleaned[[#This Row],[ID]], Table4[ID], Table4[Visits], "Not Found", 0)</f>
        <v>3</v>
      </c>
      <c r="W323" s="16">
        <f>_xlfn.XLOOKUP(CustomerCombinedCleaned[[#This Row],[ID]], Table2[ID],Table2[Complaint], "Not Found", 0 )</f>
        <v>0</v>
      </c>
      <c r="X323" s="16">
        <f>_xlfn.XLOOKUP(CustomerCombinedCleaned[[#This Row],[ID]], Table2[ID],Table2[Pilot], "Not Found", 0 )</f>
        <v>0</v>
      </c>
      <c r="Y323" s="16">
        <f>_xlfn.XLOOKUP(CustomerCombinedCleaned[[#This Row],[ID]], Table2[ID],Table2[MC1], "Not Found", 0 )</f>
        <v>0</v>
      </c>
      <c r="Z323" s="16">
        <f>_xlfn.XLOOKUP(CustomerCombinedCleaned[[#This Row],[ID]], Table2[ID],Table2[MC2], "Not Found", 0 )</f>
        <v>0</v>
      </c>
      <c r="AA323" s="16">
        <f>_xlfn.XLOOKUP(CustomerCombinedCleaned[[#This Row],[ID]], Table2[ID],Table2[MC3], "Not Found", 0 )</f>
        <v>0</v>
      </c>
      <c r="AB323" s="16">
        <f>_xlfn.XLOOKUP(CustomerCombinedCleaned[[#This Row],[ID]], Table2[ID],Table2[MC4], "Not Found", 0 )</f>
        <v>0</v>
      </c>
      <c r="AC323" s="16">
        <f>_xlfn.XLOOKUP(CustomerCombinedCleaned[[#This Row],[ID]], Table2[ID],Table2[MC5], "Not Found", 0 )</f>
        <v>0</v>
      </c>
    </row>
    <row r="324" spans="1:29" x14ac:dyDescent="0.3">
      <c r="A324" s="18">
        <v>1695</v>
      </c>
      <c r="B324" s="16">
        <v>150272</v>
      </c>
      <c r="C324" s="16">
        <v>1</v>
      </c>
      <c r="D324" s="16">
        <v>0</v>
      </c>
      <c r="E324" s="16">
        <v>38</v>
      </c>
      <c r="F324" s="17" t="s">
        <v>8</v>
      </c>
      <c r="G324" s="17" t="s">
        <v>11</v>
      </c>
      <c r="H324" s="3" t="s">
        <v>572</v>
      </c>
      <c r="I324" s="5" t="s">
        <v>435</v>
      </c>
      <c r="J324" s="16">
        <f>_xlfn.XLOOKUP(CustomerCombinedCleaned[[#This Row],[ID]], Table4[ID], Table4[Recency], "Not Found", 0)</f>
        <v>75</v>
      </c>
      <c r="K324" s="16">
        <f>_xlfn.XLOOKUP(CustomerCombinedCleaned[[#This Row],[ID]], Table4[ID], Table4[Teas], "Not Found", 0)</f>
        <v>296</v>
      </c>
      <c r="L324" s="16">
        <f>_xlfn.XLOOKUP(CustomerCombinedCleaned[[#This Row],[ID]], Table4[ID], Table4[Fruits], "Not Found", 0)</f>
        <v>39</v>
      </c>
      <c r="M324" s="16">
        <f>_xlfn.XLOOKUP(CustomerCombinedCleaned[[#This Row],[ID]], Table4[ID], Table4[Meats], "Not Found", 0)</f>
        <v>197</v>
      </c>
      <c r="N324" s="16">
        <f>_xlfn.XLOOKUP(CustomerCombinedCleaned[[#This Row],[ID]], Table4[ID], Table4[Seafood], "Not Found", 0)</f>
        <v>129</v>
      </c>
      <c r="O324" s="16">
        <f>_xlfn.XLOOKUP(CustomerCombinedCleaned[[#This Row],[ID]], Table4[ID], Table4[Sweets], "Not Found", 0)</f>
        <v>24</v>
      </c>
      <c r="P324" s="16">
        <f>_xlfn.XLOOKUP(CustomerCombinedCleaned[[#This Row],[ID]], Table4[ID], Table4[Premium], "Not Found", 0)</f>
        <v>12</v>
      </c>
      <c r="Q324" s="16">
        <f>_xlfn.XLOOKUP(CustomerCombinedCleaned[[#This Row],[ID]], Table4[ID], Table4[Regular], "Not Found", 0)</f>
        <v>673</v>
      </c>
      <c r="R324" s="16">
        <f>_xlfn.XLOOKUP(CustomerCombinedCleaned[[#This Row],[ID]], Table4[ID], Table4[Deals], "Not Found", 0)</f>
        <v>3</v>
      </c>
      <c r="S324" s="16">
        <f>_xlfn.XLOOKUP(CustomerCombinedCleaned[[#This Row],[ID]], Table4[ID], Table4[Website], "Not Found", 0)</f>
        <v>4</v>
      </c>
      <c r="T324" s="16">
        <f>_xlfn.XLOOKUP(CustomerCombinedCleaned[[#This Row],[ID]], Table4[ID], Table4[Catalog], "Not Found", 0)</f>
        <v>1</v>
      </c>
      <c r="U324" s="16">
        <f>_xlfn.XLOOKUP(CustomerCombinedCleaned[[#This Row],[ID]], Table4[ID], Table4[Store], "Not Found", 0)</f>
        <v>5</v>
      </c>
      <c r="V324" s="16">
        <f>_xlfn.XLOOKUP(CustomerCombinedCleaned[[#This Row],[ID]], Table4[ID], Table4[Visits], "Not Found", 0)</f>
        <v>7</v>
      </c>
      <c r="W324" s="16">
        <f>_xlfn.XLOOKUP(CustomerCombinedCleaned[[#This Row],[ID]], Table2[ID],Table2[Complaint], "Not Found", 0 )</f>
        <v>0</v>
      </c>
      <c r="X324" s="16">
        <f>_xlfn.XLOOKUP(CustomerCombinedCleaned[[#This Row],[ID]], Table2[ID],Table2[Pilot], "Not Found", 0 )</f>
        <v>0</v>
      </c>
      <c r="Y324" s="16">
        <f>_xlfn.XLOOKUP(CustomerCombinedCleaned[[#This Row],[ID]], Table2[ID],Table2[MC1], "Not Found", 0 )</f>
        <v>0</v>
      </c>
      <c r="Z324" s="16">
        <f>_xlfn.XLOOKUP(CustomerCombinedCleaned[[#This Row],[ID]], Table2[ID],Table2[MC2], "Not Found", 0 )</f>
        <v>0</v>
      </c>
      <c r="AA324" s="16">
        <f>_xlfn.XLOOKUP(CustomerCombinedCleaned[[#This Row],[ID]], Table2[ID],Table2[MC3], "Not Found", 0 )</f>
        <v>0</v>
      </c>
      <c r="AB324" s="16">
        <f>_xlfn.XLOOKUP(CustomerCombinedCleaned[[#This Row],[ID]], Table2[ID],Table2[MC4], "Not Found", 0 )</f>
        <v>0</v>
      </c>
      <c r="AC324" s="16">
        <f>_xlfn.XLOOKUP(CustomerCombinedCleaned[[#This Row],[ID]], Table2[ID],Table2[MC5], "Not Found", 0 )</f>
        <v>0</v>
      </c>
    </row>
    <row r="325" spans="1:29" x14ac:dyDescent="0.3">
      <c r="A325" s="18">
        <v>2552</v>
      </c>
      <c r="B325" s="16">
        <v>145203</v>
      </c>
      <c r="C325" s="16">
        <v>2</v>
      </c>
      <c r="D325" s="16">
        <v>0</v>
      </c>
      <c r="E325" s="16">
        <v>38</v>
      </c>
      <c r="F325" s="17" t="s">
        <v>8</v>
      </c>
      <c r="G325" s="17" t="s">
        <v>11</v>
      </c>
      <c r="H325" s="3" t="s">
        <v>78</v>
      </c>
      <c r="I325" s="5" t="s">
        <v>438</v>
      </c>
      <c r="J325" s="16">
        <f>_xlfn.XLOOKUP(CustomerCombinedCleaned[[#This Row],[ID]], Table4[ID], Table4[Recency], "Not Found", 0)</f>
        <v>4</v>
      </c>
      <c r="K325" s="16">
        <f>_xlfn.XLOOKUP(CustomerCombinedCleaned[[#This Row],[ID]], Table4[ID], Table4[Teas], "Not Found", 0)</f>
        <v>112</v>
      </c>
      <c r="L325" s="16">
        <f>_xlfn.XLOOKUP(CustomerCombinedCleaned[[#This Row],[ID]], Table4[ID], Table4[Fruits], "Not Found", 0)</f>
        <v>10</v>
      </c>
      <c r="M325" s="16">
        <f>_xlfn.XLOOKUP(CustomerCombinedCleaned[[#This Row],[ID]], Table4[ID], Table4[Meats], "Not Found", 0)</f>
        <v>215</v>
      </c>
      <c r="N325" s="16">
        <f>_xlfn.XLOOKUP(CustomerCombinedCleaned[[#This Row],[ID]], Table4[ID], Table4[Seafood], "Not Found", 0)</f>
        <v>32</v>
      </c>
      <c r="O325" s="16">
        <f>_xlfn.XLOOKUP(CustomerCombinedCleaned[[#This Row],[ID]], Table4[ID], Table4[Sweets], "Not Found", 0)</f>
        <v>26</v>
      </c>
      <c r="P325" s="16">
        <f>_xlfn.XLOOKUP(CustomerCombinedCleaned[[#This Row],[ID]], Table4[ID], Table4[Premium], "Not Found", 0)</f>
        <v>77</v>
      </c>
      <c r="Q325" s="16">
        <f>_xlfn.XLOOKUP(CustomerCombinedCleaned[[#This Row],[ID]], Table4[ID], Table4[Regular], "Not Found", 0)</f>
        <v>318</v>
      </c>
      <c r="R325" s="16">
        <f>_xlfn.XLOOKUP(CustomerCombinedCleaned[[#This Row],[ID]], Table4[ID], Table4[Deals], "Not Found", 0)</f>
        <v>1</v>
      </c>
      <c r="S325" s="16">
        <f>_xlfn.XLOOKUP(CustomerCombinedCleaned[[#This Row],[ID]], Table4[ID], Table4[Website], "Not Found", 0)</f>
        <v>3</v>
      </c>
      <c r="T325" s="16">
        <f>_xlfn.XLOOKUP(CustomerCombinedCleaned[[#This Row],[ID]], Table4[ID], Table4[Catalog], "Not Found", 0)</f>
        <v>1</v>
      </c>
      <c r="U325" s="16">
        <f>_xlfn.XLOOKUP(CustomerCombinedCleaned[[#This Row],[ID]], Table4[ID], Table4[Store], "Not Found", 0)</f>
        <v>3</v>
      </c>
      <c r="V325" s="16">
        <f>_xlfn.XLOOKUP(CustomerCombinedCleaned[[#This Row],[ID]], Table4[ID], Table4[Visits], "Not Found", 0)</f>
        <v>6</v>
      </c>
      <c r="W325" s="16">
        <f>_xlfn.XLOOKUP(CustomerCombinedCleaned[[#This Row],[ID]], Table2[ID],Table2[Complaint], "Not Found", 0 )</f>
        <v>0</v>
      </c>
      <c r="X325" s="16">
        <f>_xlfn.XLOOKUP(CustomerCombinedCleaned[[#This Row],[ID]], Table2[ID],Table2[Pilot], "Not Found", 0 )</f>
        <v>1</v>
      </c>
      <c r="Y325" s="16">
        <f>_xlfn.XLOOKUP(CustomerCombinedCleaned[[#This Row],[ID]], Table2[ID],Table2[MC1], "Not Found", 0 )</f>
        <v>0</v>
      </c>
      <c r="Z325" s="16">
        <f>_xlfn.XLOOKUP(CustomerCombinedCleaned[[#This Row],[ID]], Table2[ID],Table2[MC2], "Not Found", 0 )</f>
        <v>0</v>
      </c>
      <c r="AA325" s="16">
        <f>_xlfn.XLOOKUP(CustomerCombinedCleaned[[#This Row],[ID]], Table2[ID],Table2[MC3], "Not Found", 0 )</f>
        <v>0</v>
      </c>
      <c r="AB325" s="16">
        <f>_xlfn.XLOOKUP(CustomerCombinedCleaned[[#This Row],[ID]], Table2[ID],Table2[MC4], "Not Found", 0 )</f>
        <v>0</v>
      </c>
      <c r="AC325" s="16">
        <f>_xlfn.XLOOKUP(CustomerCombinedCleaned[[#This Row],[ID]], Table2[ID],Table2[MC5], "Not Found", 0 )</f>
        <v>0</v>
      </c>
    </row>
    <row r="326" spans="1:29" x14ac:dyDescent="0.3">
      <c r="A326" s="18">
        <v>2996</v>
      </c>
      <c r="B326" s="16">
        <v>143815</v>
      </c>
      <c r="C326" s="16">
        <v>1</v>
      </c>
      <c r="D326" s="16">
        <v>0</v>
      </c>
      <c r="E326" s="16">
        <v>38</v>
      </c>
      <c r="F326" s="17" t="s">
        <v>6</v>
      </c>
      <c r="G326" s="17" t="s">
        <v>12</v>
      </c>
      <c r="H326" s="3" t="s">
        <v>538</v>
      </c>
      <c r="I326" s="5" t="s">
        <v>438</v>
      </c>
      <c r="J326" s="16">
        <f>_xlfn.XLOOKUP(CustomerCombinedCleaned[[#This Row],[ID]], Table4[ID], Table4[Recency], "Not Found", 0)</f>
        <v>53</v>
      </c>
      <c r="K326" s="16">
        <f>_xlfn.XLOOKUP(CustomerCombinedCleaned[[#This Row],[ID]], Table4[ID], Table4[Teas], "Not Found", 0)</f>
        <v>46</v>
      </c>
      <c r="L326" s="16">
        <f>_xlfn.XLOOKUP(CustomerCombinedCleaned[[#This Row],[ID]], Table4[ID], Table4[Fruits], "Not Found", 0)</f>
        <v>33</v>
      </c>
      <c r="M326" s="16">
        <f>_xlfn.XLOOKUP(CustomerCombinedCleaned[[#This Row],[ID]], Table4[ID], Table4[Meats], "Not Found", 0)</f>
        <v>95</v>
      </c>
      <c r="N326" s="16">
        <f>_xlfn.XLOOKUP(CustomerCombinedCleaned[[#This Row],[ID]], Table4[ID], Table4[Seafood], "Not Found", 0)</f>
        <v>13</v>
      </c>
      <c r="O326" s="16">
        <f>_xlfn.XLOOKUP(CustomerCombinedCleaned[[#This Row],[ID]], Table4[ID], Table4[Sweets], "Not Found", 0)</f>
        <v>23</v>
      </c>
      <c r="P326" s="16">
        <f>_xlfn.XLOOKUP(CustomerCombinedCleaned[[#This Row],[ID]], Table4[ID], Table4[Premium], "Not Found", 0)</f>
        <v>49</v>
      </c>
      <c r="Q326" s="16">
        <f>_xlfn.XLOOKUP(CustomerCombinedCleaned[[#This Row],[ID]], Table4[ID], Table4[Regular], "Not Found", 0)</f>
        <v>161</v>
      </c>
      <c r="R326" s="16">
        <f>_xlfn.XLOOKUP(CustomerCombinedCleaned[[#This Row],[ID]], Table4[ID], Table4[Deals], "Not Found", 0)</f>
        <v>1</v>
      </c>
      <c r="S326" s="16">
        <f>_xlfn.XLOOKUP(CustomerCombinedCleaned[[#This Row],[ID]], Table4[ID], Table4[Website], "Not Found", 0)</f>
        <v>2</v>
      </c>
      <c r="T326" s="16">
        <f>_xlfn.XLOOKUP(CustomerCombinedCleaned[[#This Row],[ID]], Table4[ID], Table4[Catalog], "Not Found", 0)</f>
        <v>0</v>
      </c>
      <c r="U326" s="16">
        <f>_xlfn.XLOOKUP(CustomerCombinedCleaned[[#This Row],[ID]], Table4[ID], Table4[Store], "Not Found", 0)</f>
        <v>3</v>
      </c>
      <c r="V326" s="16">
        <f>_xlfn.XLOOKUP(CustomerCombinedCleaned[[#This Row],[ID]], Table4[ID], Table4[Visits], "Not Found", 0)</f>
        <v>6</v>
      </c>
      <c r="W326" s="16">
        <f>_xlfn.XLOOKUP(CustomerCombinedCleaned[[#This Row],[ID]], Table2[ID],Table2[Complaint], "Not Found", 0 )</f>
        <v>0</v>
      </c>
      <c r="X326" s="16">
        <f>_xlfn.XLOOKUP(CustomerCombinedCleaned[[#This Row],[ID]], Table2[ID],Table2[Pilot], "Not Found", 0 )</f>
        <v>0</v>
      </c>
      <c r="Y326" s="16">
        <f>_xlfn.XLOOKUP(CustomerCombinedCleaned[[#This Row],[ID]], Table2[ID],Table2[MC1], "Not Found", 0 )</f>
        <v>0</v>
      </c>
      <c r="Z326" s="16">
        <f>_xlfn.XLOOKUP(CustomerCombinedCleaned[[#This Row],[ID]], Table2[ID],Table2[MC2], "Not Found", 0 )</f>
        <v>0</v>
      </c>
      <c r="AA326" s="16">
        <f>_xlfn.XLOOKUP(CustomerCombinedCleaned[[#This Row],[ID]], Table2[ID],Table2[MC3], "Not Found", 0 )</f>
        <v>0</v>
      </c>
      <c r="AB326" s="16">
        <f>_xlfn.XLOOKUP(CustomerCombinedCleaned[[#This Row],[ID]], Table2[ID],Table2[MC4], "Not Found", 0 )</f>
        <v>0</v>
      </c>
      <c r="AC326" s="16">
        <f>_xlfn.XLOOKUP(CustomerCombinedCleaned[[#This Row],[ID]], Table2[ID],Table2[MC5], "Not Found", 0 )</f>
        <v>0</v>
      </c>
    </row>
    <row r="327" spans="1:29" x14ac:dyDescent="0.3">
      <c r="A327" s="18">
        <v>2864</v>
      </c>
      <c r="B327" s="16">
        <v>142081</v>
      </c>
      <c r="C327" s="16">
        <v>1</v>
      </c>
      <c r="D327" s="16">
        <v>0</v>
      </c>
      <c r="E327" s="16">
        <v>38</v>
      </c>
      <c r="F327" s="17" t="s">
        <v>6</v>
      </c>
      <c r="G327" s="17" t="s">
        <v>11</v>
      </c>
      <c r="H327" s="3" t="s">
        <v>690</v>
      </c>
      <c r="I327" s="5" t="s">
        <v>438</v>
      </c>
      <c r="J327" s="16">
        <f>_xlfn.XLOOKUP(CustomerCombinedCleaned[[#This Row],[ID]], Table4[ID], Table4[Recency], "Not Found", 0)</f>
        <v>86</v>
      </c>
      <c r="K327" s="16">
        <f>_xlfn.XLOOKUP(CustomerCombinedCleaned[[#This Row],[ID]], Table4[ID], Table4[Teas], "Not Found", 0)</f>
        <v>591</v>
      </c>
      <c r="L327" s="16">
        <f>_xlfn.XLOOKUP(CustomerCombinedCleaned[[#This Row],[ID]], Table4[ID], Table4[Fruits], "Not Found", 0)</f>
        <v>34</v>
      </c>
      <c r="M327" s="16">
        <f>_xlfn.XLOOKUP(CustomerCombinedCleaned[[#This Row],[ID]], Table4[ID], Table4[Meats], "Not Found", 0)</f>
        <v>371</v>
      </c>
      <c r="N327" s="16">
        <f>_xlfn.XLOOKUP(CustomerCombinedCleaned[[#This Row],[ID]], Table4[ID], Table4[Seafood], "Not Found", 0)</f>
        <v>182</v>
      </c>
      <c r="O327" s="16">
        <f>_xlfn.XLOOKUP(CustomerCombinedCleaned[[#This Row],[ID]], Table4[ID], Table4[Sweets], "Not Found", 0)</f>
        <v>20</v>
      </c>
      <c r="P327" s="16">
        <f>_xlfn.XLOOKUP(CustomerCombinedCleaned[[#This Row],[ID]], Table4[ID], Table4[Premium], "Not Found", 0)</f>
        <v>91</v>
      </c>
      <c r="Q327" s="16">
        <f>_xlfn.XLOOKUP(CustomerCombinedCleaned[[#This Row],[ID]], Table4[ID], Table4[Regular], "Not Found", 0)</f>
        <v>1107</v>
      </c>
      <c r="R327" s="16">
        <f>_xlfn.XLOOKUP(CustomerCombinedCleaned[[#This Row],[ID]], Table4[ID], Table4[Deals], "Not Found", 0)</f>
        <v>2</v>
      </c>
      <c r="S327" s="16">
        <f>_xlfn.XLOOKUP(CustomerCombinedCleaned[[#This Row],[ID]], Table4[ID], Table4[Website], "Not Found", 0)</f>
        <v>6</v>
      </c>
      <c r="T327" s="16">
        <f>_xlfn.XLOOKUP(CustomerCombinedCleaned[[#This Row],[ID]], Table4[ID], Table4[Catalog], "Not Found", 0)</f>
        <v>3</v>
      </c>
      <c r="U327" s="16">
        <f>_xlfn.XLOOKUP(CustomerCombinedCleaned[[#This Row],[ID]], Table4[ID], Table4[Store], "Not Found", 0)</f>
        <v>4</v>
      </c>
      <c r="V327" s="16">
        <f>_xlfn.XLOOKUP(CustomerCombinedCleaned[[#This Row],[ID]], Table4[ID], Table4[Visits], "Not Found", 0)</f>
        <v>6</v>
      </c>
      <c r="W327" s="16">
        <f>_xlfn.XLOOKUP(CustomerCombinedCleaned[[#This Row],[ID]], Table2[ID],Table2[Complaint], "Not Found", 0 )</f>
        <v>0</v>
      </c>
      <c r="X327" s="16">
        <f>_xlfn.XLOOKUP(CustomerCombinedCleaned[[#This Row],[ID]], Table2[ID],Table2[Pilot], "Not Found", 0 )</f>
        <v>0</v>
      </c>
      <c r="Y327" s="16">
        <f>_xlfn.XLOOKUP(CustomerCombinedCleaned[[#This Row],[ID]], Table2[ID],Table2[MC1], "Not Found", 0 )</f>
        <v>0</v>
      </c>
      <c r="Z327" s="16">
        <f>_xlfn.XLOOKUP(CustomerCombinedCleaned[[#This Row],[ID]], Table2[ID],Table2[MC2], "Not Found", 0 )</f>
        <v>0</v>
      </c>
      <c r="AA327" s="16">
        <f>_xlfn.XLOOKUP(CustomerCombinedCleaned[[#This Row],[ID]], Table2[ID],Table2[MC3], "Not Found", 0 )</f>
        <v>1</v>
      </c>
      <c r="AB327" s="16">
        <f>_xlfn.XLOOKUP(CustomerCombinedCleaned[[#This Row],[ID]], Table2[ID],Table2[MC4], "Not Found", 0 )</f>
        <v>0</v>
      </c>
      <c r="AC327" s="16">
        <f>_xlfn.XLOOKUP(CustomerCombinedCleaned[[#This Row],[ID]], Table2[ID],Table2[MC5], "Not Found", 0 )</f>
        <v>0</v>
      </c>
    </row>
    <row r="328" spans="1:29" x14ac:dyDescent="0.3">
      <c r="A328" s="18">
        <v>1664</v>
      </c>
      <c r="B328" s="16">
        <v>141039</v>
      </c>
      <c r="C328" s="16">
        <v>0</v>
      </c>
      <c r="D328" s="16">
        <v>0</v>
      </c>
      <c r="E328" s="16">
        <v>38</v>
      </c>
      <c r="F328" s="17" t="s">
        <v>8</v>
      </c>
      <c r="G328" s="17" t="s">
        <v>11</v>
      </c>
      <c r="H328" s="3" t="s">
        <v>211</v>
      </c>
      <c r="I328" s="5" t="s">
        <v>438</v>
      </c>
      <c r="J328" s="16">
        <f>_xlfn.XLOOKUP(CustomerCombinedCleaned[[#This Row],[ID]], Table4[ID], Table4[Recency], "Not Found", 0)</f>
        <v>32</v>
      </c>
      <c r="K328" s="16">
        <f>_xlfn.XLOOKUP(CustomerCombinedCleaned[[#This Row],[ID]], Table4[ID], Table4[Teas], "Not Found", 0)</f>
        <v>117</v>
      </c>
      <c r="L328" s="16">
        <f>_xlfn.XLOOKUP(CustomerCombinedCleaned[[#This Row],[ID]], Table4[ID], Table4[Fruits], "Not Found", 0)</f>
        <v>38</v>
      </c>
      <c r="M328" s="16">
        <f>_xlfn.XLOOKUP(CustomerCombinedCleaned[[#This Row],[ID]], Table4[ID], Table4[Meats], "Not Found", 0)</f>
        <v>471</v>
      </c>
      <c r="N328" s="16">
        <f>_xlfn.XLOOKUP(CustomerCombinedCleaned[[#This Row],[ID]], Table4[ID], Table4[Seafood], "Not Found", 0)</f>
        <v>615</v>
      </c>
      <c r="O328" s="16">
        <f>_xlfn.XLOOKUP(CustomerCombinedCleaned[[#This Row],[ID]], Table4[ID], Table4[Sweets], "Not Found", 0)</f>
        <v>210</v>
      </c>
      <c r="P328" s="16">
        <f>_xlfn.XLOOKUP(CustomerCombinedCleaned[[#This Row],[ID]], Table4[ID], Table4[Premium], "Not Found", 0)</f>
        <v>155</v>
      </c>
      <c r="Q328" s="16">
        <f>_xlfn.XLOOKUP(CustomerCombinedCleaned[[#This Row],[ID]], Table4[ID], Table4[Regular], "Not Found", 0)</f>
        <v>1296</v>
      </c>
      <c r="R328" s="16">
        <f>_xlfn.XLOOKUP(CustomerCombinedCleaned[[#This Row],[ID]], Table4[ID], Table4[Deals], "Not Found", 0)</f>
        <v>1</v>
      </c>
      <c r="S328" s="16">
        <f>_xlfn.XLOOKUP(CustomerCombinedCleaned[[#This Row],[ID]], Table4[ID], Table4[Website], "Not Found", 0)</f>
        <v>8</v>
      </c>
      <c r="T328" s="16">
        <f>_xlfn.XLOOKUP(CustomerCombinedCleaned[[#This Row],[ID]], Table4[ID], Table4[Catalog], "Not Found", 0)</f>
        <v>1</v>
      </c>
      <c r="U328" s="16">
        <f>_xlfn.XLOOKUP(CustomerCombinedCleaned[[#This Row],[ID]], Table4[ID], Table4[Store], "Not Found", 0)</f>
        <v>5</v>
      </c>
      <c r="V328" s="16">
        <f>_xlfn.XLOOKUP(CustomerCombinedCleaned[[#This Row],[ID]], Table4[ID], Table4[Visits], "Not Found", 0)</f>
        <v>8</v>
      </c>
      <c r="W328" s="16">
        <f>_xlfn.XLOOKUP(CustomerCombinedCleaned[[#This Row],[ID]], Table2[ID],Table2[Complaint], "Not Found", 0 )</f>
        <v>0</v>
      </c>
      <c r="X328" s="16">
        <f>_xlfn.XLOOKUP(CustomerCombinedCleaned[[#This Row],[ID]], Table2[ID],Table2[Pilot], "Not Found", 0 )</f>
        <v>0</v>
      </c>
      <c r="Y328" s="16">
        <f>_xlfn.XLOOKUP(CustomerCombinedCleaned[[#This Row],[ID]], Table2[ID],Table2[MC1], "Not Found", 0 )</f>
        <v>0</v>
      </c>
      <c r="Z328" s="16">
        <f>_xlfn.XLOOKUP(CustomerCombinedCleaned[[#This Row],[ID]], Table2[ID],Table2[MC2], "Not Found", 0 )</f>
        <v>0</v>
      </c>
      <c r="AA328" s="16">
        <f>_xlfn.XLOOKUP(CustomerCombinedCleaned[[#This Row],[ID]], Table2[ID],Table2[MC3], "Not Found", 0 )</f>
        <v>0</v>
      </c>
      <c r="AB328" s="16">
        <f>_xlfn.XLOOKUP(CustomerCombinedCleaned[[#This Row],[ID]], Table2[ID],Table2[MC4], "Not Found", 0 )</f>
        <v>0</v>
      </c>
      <c r="AC328" s="16">
        <f>_xlfn.XLOOKUP(CustomerCombinedCleaned[[#This Row],[ID]], Table2[ID],Table2[MC5], "Not Found", 0 )</f>
        <v>0</v>
      </c>
    </row>
    <row r="329" spans="1:29" x14ac:dyDescent="0.3">
      <c r="A329" s="18">
        <v>2064</v>
      </c>
      <c r="B329" s="16">
        <v>140479</v>
      </c>
      <c r="C329" s="16">
        <v>1</v>
      </c>
      <c r="D329" s="16">
        <v>0</v>
      </c>
      <c r="E329" s="16">
        <v>38</v>
      </c>
      <c r="F329" s="17" t="s">
        <v>8</v>
      </c>
      <c r="G329" s="17" t="s">
        <v>11</v>
      </c>
      <c r="H329" s="3" t="s">
        <v>200</v>
      </c>
      <c r="I329" s="5" t="s">
        <v>436</v>
      </c>
      <c r="J329" s="16">
        <f>_xlfn.XLOOKUP(CustomerCombinedCleaned[[#This Row],[ID]], Table4[ID], Table4[Recency], "Not Found", 0)</f>
        <v>95</v>
      </c>
      <c r="K329" s="16">
        <f>_xlfn.XLOOKUP(CustomerCombinedCleaned[[#This Row],[ID]], Table4[ID], Table4[Teas], "Not Found", 0)</f>
        <v>17</v>
      </c>
      <c r="L329" s="16">
        <f>_xlfn.XLOOKUP(CustomerCombinedCleaned[[#This Row],[ID]], Table4[ID], Table4[Fruits], "Not Found", 0)</f>
        <v>0</v>
      </c>
      <c r="M329" s="16">
        <f>_xlfn.XLOOKUP(CustomerCombinedCleaned[[#This Row],[ID]], Table4[ID], Table4[Meats], "Not Found", 0)</f>
        <v>28</v>
      </c>
      <c r="N329" s="16">
        <f>_xlfn.XLOOKUP(CustomerCombinedCleaned[[#This Row],[ID]], Table4[ID], Table4[Seafood], "Not Found", 0)</f>
        <v>7</v>
      </c>
      <c r="O329" s="16">
        <f>_xlfn.XLOOKUP(CustomerCombinedCleaned[[#This Row],[ID]], Table4[ID], Table4[Sweets], "Not Found", 0)</f>
        <v>0</v>
      </c>
      <c r="P329" s="16">
        <f>_xlfn.XLOOKUP(CustomerCombinedCleaned[[#This Row],[ID]], Table4[ID], Table4[Premium], "Not Found", 0)</f>
        <v>0</v>
      </c>
      <c r="Q329" s="16">
        <f>_xlfn.XLOOKUP(CustomerCombinedCleaned[[#This Row],[ID]], Table4[ID], Table4[Regular], "Not Found", 0)</f>
        <v>52</v>
      </c>
      <c r="R329" s="16">
        <f>_xlfn.XLOOKUP(CustomerCombinedCleaned[[#This Row],[ID]], Table4[ID], Table4[Deals], "Not Found", 0)</f>
        <v>1</v>
      </c>
      <c r="S329" s="16">
        <f>_xlfn.XLOOKUP(CustomerCombinedCleaned[[#This Row],[ID]], Table4[ID], Table4[Website], "Not Found", 0)</f>
        <v>0</v>
      </c>
      <c r="T329" s="16">
        <f>_xlfn.XLOOKUP(CustomerCombinedCleaned[[#This Row],[ID]], Table4[ID], Table4[Catalog], "Not Found", 0)</f>
        <v>0</v>
      </c>
      <c r="U329" s="16">
        <f>_xlfn.XLOOKUP(CustomerCombinedCleaned[[#This Row],[ID]], Table4[ID], Table4[Store], "Not Found", 0)</f>
        <v>3</v>
      </c>
      <c r="V329" s="16">
        <f>_xlfn.XLOOKUP(CustomerCombinedCleaned[[#This Row],[ID]], Table4[ID], Table4[Visits], "Not Found", 0)</f>
        <v>4</v>
      </c>
      <c r="W329" s="16">
        <f>_xlfn.XLOOKUP(CustomerCombinedCleaned[[#This Row],[ID]], Table2[ID],Table2[Complaint], "Not Found", 0 )</f>
        <v>0</v>
      </c>
      <c r="X329" s="16">
        <f>_xlfn.XLOOKUP(CustomerCombinedCleaned[[#This Row],[ID]], Table2[ID],Table2[Pilot], "Not Found", 0 )</f>
        <v>0</v>
      </c>
      <c r="Y329" s="16">
        <f>_xlfn.XLOOKUP(CustomerCombinedCleaned[[#This Row],[ID]], Table2[ID],Table2[MC1], "Not Found", 0 )</f>
        <v>0</v>
      </c>
      <c r="Z329" s="16">
        <f>_xlfn.XLOOKUP(CustomerCombinedCleaned[[#This Row],[ID]], Table2[ID],Table2[MC2], "Not Found", 0 )</f>
        <v>0</v>
      </c>
      <c r="AA329" s="16">
        <f>_xlfn.XLOOKUP(CustomerCombinedCleaned[[#This Row],[ID]], Table2[ID],Table2[MC3], "Not Found", 0 )</f>
        <v>0</v>
      </c>
      <c r="AB329" s="16">
        <f>_xlfn.XLOOKUP(CustomerCombinedCleaned[[#This Row],[ID]], Table2[ID],Table2[MC4], "Not Found", 0 )</f>
        <v>0</v>
      </c>
      <c r="AC329" s="16">
        <f>_xlfn.XLOOKUP(CustomerCombinedCleaned[[#This Row],[ID]], Table2[ID],Table2[MC5], "Not Found", 0 )</f>
        <v>0</v>
      </c>
    </row>
    <row r="330" spans="1:29" x14ac:dyDescent="0.3">
      <c r="A330" s="18">
        <v>2319</v>
      </c>
      <c r="B330" s="16">
        <v>139660</v>
      </c>
      <c r="C330" s="16">
        <v>1</v>
      </c>
      <c r="D330" s="16">
        <v>0</v>
      </c>
      <c r="E330" s="16">
        <v>38</v>
      </c>
      <c r="F330" s="17" t="s">
        <v>7</v>
      </c>
      <c r="G330" s="17" t="s">
        <v>11</v>
      </c>
      <c r="H330" s="3" t="s">
        <v>420</v>
      </c>
      <c r="I330" s="5" t="s">
        <v>435</v>
      </c>
      <c r="J330" s="16">
        <f>_xlfn.XLOOKUP(CustomerCombinedCleaned[[#This Row],[ID]], Table4[ID], Table4[Recency], "Not Found", 0)</f>
        <v>36</v>
      </c>
      <c r="K330" s="16">
        <f>_xlfn.XLOOKUP(CustomerCombinedCleaned[[#This Row],[ID]], Table4[ID], Table4[Teas], "Not Found", 0)</f>
        <v>489</v>
      </c>
      <c r="L330" s="16">
        <f>_xlfn.XLOOKUP(CustomerCombinedCleaned[[#This Row],[ID]], Table4[ID], Table4[Fruits], "Not Found", 0)</f>
        <v>46</v>
      </c>
      <c r="M330" s="16">
        <f>_xlfn.XLOOKUP(CustomerCombinedCleaned[[#This Row],[ID]], Table4[ID], Table4[Meats], "Not Found", 0)</f>
        <v>275</v>
      </c>
      <c r="N330" s="16">
        <f>_xlfn.XLOOKUP(CustomerCombinedCleaned[[#This Row],[ID]], Table4[ID], Table4[Seafood], "Not Found", 0)</f>
        <v>70</v>
      </c>
      <c r="O330" s="16">
        <f>_xlfn.XLOOKUP(CustomerCombinedCleaned[[#This Row],[ID]], Table4[ID], Table4[Sweets], "Not Found", 0)</f>
        <v>46</v>
      </c>
      <c r="P330" s="16">
        <f>_xlfn.XLOOKUP(CustomerCombinedCleaned[[#This Row],[ID]], Table4[ID], Table4[Premium], "Not Found", 0)</f>
        <v>127</v>
      </c>
      <c r="Q330" s="16">
        <f>_xlfn.XLOOKUP(CustomerCombinedCleaned[[#This Row],[ID]], Table4[ID], Table4[Regular], "Not Found", 0)</f>
        <v>799</v>
      </c>
      <c r="R330" s="16">
        <f>_xlfn.XLOOKUP(CustomerCombinedCleaned[[#This Row],[ID]], Table4[ID], Table4[Deals], "Not Found", 0)</f>
        <v>3</v>
      </c>
      <c r="S330" s="16">
        <f>_xlfn.XLOOKUP(CustomerCombinedCleaned[[#This Row],[ID]], Table4[ID], Table4[Website], "Not Found", 0)</f>
        <v>7</v>
      </c>
      <c r="T330" s="16">
        <f>_xlfn.XLOOKUP(CustomerCombinedCleaned[[#This Row],[ID]], Table4[ID], Table4[Catalog], "Not Found", 0)</f>
        <v>1</v>
      </c>
      <c r="U330" s="16">
        <f>_xlfn.XLOOKUP(CustomerCombinedCleaned[[#This Row],[ID]], Table4[ID], Table4[Store], "Not Found", 0)</f>
        <v>3</v>
      </c>
      <c r="V330" s="16">
        <f>_xlfn.XLOOKUP(CustomerCombinedCleaned[[#This Row],[ID]], Table4[ID], Table4[Visits], "Not Found", 0)</f>
        <v>9</v>
      </c>
      <c r="W330" s="16">
        <f>_xlfn.XLOOKUP(CustomerCombinedCleaned[[#This Row],[ID]], Table2[ID],Table2[Complaint], "Not Found", 0 )</f>
        <v>0</v>
      </c>
      <c r="X330" s="16">
        <f>_xlfn.XLOOKUP(CustomerCombinedCleaned[[#This Row],[ID]], Table2[ID],Table2[Pilot], "Not Found", 0 )</f>
        <v>1</v>
      </c>
      <c r="Y330" s="16">
        <f>_xlfn.XLOOKUP(CustomerCombinedCleaned[[#This Row],[ID]], Table2[ID],Table2[MC1], "Not Found", 0 )</f>
        <v>0</v>
      </c>
      <c r="Z330" s="16">
        <f>_xlfn.XLOOKUP(CustomerCombinedCleaned[[#This Row],[ID]], Table2[ID],Table2[MC2], "Not Found", 0 )</f>
        <v>0</v>
      </c>
      <c r="AA330" s="16">
        <f>_xlfn.XLOOKUP(CustomerCombinedCleaned[[#This Row],[ID]], Table2[ID],Table2[MC3], "Not Found", 0 )</f>
        <v>0</v>
      </c>
      <c r="AB330" s="16">
        <f>_xlfn.XLOOKUP(CustomerCombinedCleaned[[#This Row],[ID]], Table2[ID],Table2[MC4], "Not Found", 0 )</f>
        <v>0</v>
      </c>
      <c r="AC330" s="16">
        <f>_xlfn.XLOOKUP(CustomerCombinedCleaned[[#This Row],[ID]], Table2[ID],Table2[MC5], "Not Found", 0 )</f>
        <v>0</v>
      </c>
    </row>
    <row r="331" spans="1:29" x14ac:dyDescent="0.3">
      <c r="A331" s="18">
        <v>2699</v>
      </c>
      <c r="B331" s="16">
        <v>138513</v>
      </c>
      <c r="C331" s="16">
        <v>1</v>
      </c>
      <c r="D331" s="16">
        <v>0</v>
      </c>
      <c r="E331" s="16">
        <v>38</v>
      </c>
      <c r="F331" s="17" t="s">
        <v>7</v>
      </c>
      <c r="G331" s="17" t="s">
        <v>13</v>
      </c>
      <c r="H331" s="3" t="s">
        <v>749</v>
      </c>
      <c r="I331" s="5" t="s">
        <v>434</v>
      </c>
      <c r="J331" s="16">
        <f>_xlfn.XLOOKUP(CustomerCombinedCleaned[[#This Row],[ID]], Table4[ID], Table4[Recency], "Not Found", 0)</f>
        <v>20</v>
      </c>
      <c r="K331" s="16">
        <f>_xlfn.XLOOKUP(CustomerCombinedCleaned[[#This Row],[ID]], Table4[ID], Table4[Teas], "Not Found", 0)</f>
        <v>619</v>
      </c>
      <c r="L331" s="16">
        <f>_xlfn.XLOOKUP(CustomerCombinedCleaned[[#This Row],[ID]], Table4[ID], Table4[Fruits], "Not Found", 0)</f>
        <v>11</v>
      </c>
      <c r="M331" s="16">
        <f>_xlfn.XLOOKUP(CustomerCombinedCleaned[[#This Row],[ID]], Table4[ID], Table4[Meats], "Not Found", 0)</f>
        <v>414</v>
      </c>
      <c r="N331" s="16">
        <f>_xlfn.XLOOKUP(CustomerCombinedCleaned[[#This Row],[ID]], Table4[ID], Table4[Seafood], "Not Found", 0)</f>
        <v>58</v>
      </c>
      <c r="O331" s="16">
        <f>_xlfn.XLOOKUP(CustomerCombinedCleaned[[#This Row],[ID]], Table4[ID], Table4[Sweets], "Not Found", 0)</f>
        <v>0</v>
      </c>
      <c r="P331" s="16">
        <f>_xlfn.XLOOKUP(CustomerCombinedCleaned[[#This Row],[ID]], Table4[ID], Table4[Premium], "Not Found", 0)</f>
        <v>65</v>
      </c>
      <c r="Q331" s="16">
        <f>_xlfn.XLOOKUP(CustomerCombinedCleaned[[#This Row],[ID]], Table4[ID], Table4[Regular], "Not Found", 0)</f>
        <v>1036</v>
      </c>
      <c r="R331" s="16">
        <f>_xlfn.XLOOKUP(CustomerCombinedCleaned[[#This Row],[ID]], Table4[ID], Table4[Deals], "Not Found", 0)</f>
        <v>5</v>
      </c>
      <c r="S331" s="16">
        <f>_xlfn.XLOOKUP(CustomerCombinedCleaned[[#This Row],[ID]], Table4[ID], Table4[Website], "Not Found", 0)</f>
        <v>6</v>
      </c>
      <c r="T331" s="16">
        <f>_xlfn.XLOOKUP(CustomerCombinedCleaned[[#This Row],[ID]], Table4[ID], Table4[Catalog], "Not Found", 0)</f>
        <v>1</v>
      </c>
      <c r="U331" s="16">
        <f>_xlfn.XLOOKUP(CustomerCombinedCleaned[[#This Row],[ID]], Table4[ID], Table4[Store], "Not Found", 0)</f>
        <v>5</v>
      </c>
      <c r="V331" s="16">
        <f>_xlfn.XLOOKUP(CustomerCombinedCleaned[[#This Row],[ID]], Table4[ID], Table4[Visits], "Not Found", 0)</f>
        <v>8</v>
      </c>
      <c r="W331" s="16">
        <f>_xlfn.XLOOKUP(CustomerCombinedCleaned[[#This Row],[ID]], Table2[ID],Table2[Complaint], "Not Found", 0 )</f>
        <v>0</v>
      </c>
      <c r="X331" s="16">
        <f>_xlfn.XLOOKUP(CustomerCombinedCleaned[[#This Row],[ID]], Table2[ID],Table2[Pilot], "Not Found", 0 )</f>
        <v>1</v>
      </c>
      <c r="Y331" s="16">
        <f>_xlfn.XLOOKUP(CustomerCombinedCleaned[[#This Row],[ID]], Table2[ID],Table2[MC1], "Not Found", 0 )</f>
        <v>0</v>
      </c>
      <c r="Z331" s="16">
        <f>_xlfn.XLOOKUP(CustomerCombinedCleaned[[#This Row],[ID]], Table2[ID],Table2[MC2], "Not Found", 0 )</f>
        <v>0</v>
      </c>
      <c r="AA331" s="16">
        <f>_xlfn.XLOOKUP(CustomerCombinedCleaned[[#This Row],[ID]], Table2[ID],Table2[MC3], "Not Found", 0 )</f>
        <v>0</v>
      </c>
      <c r="AB331" s="16">
        <f>_xlfn.XLOOKUP(CustomerCombinedCleaned[[#This Row],[ID]], Table2[ID],Table2[MC4], "Not Found", 0 )</f>
        <v>0</v>
      </c>
      <c r="AC331" s="16">
        <f>_xlfn.XLOOKUP(CustomerCombinedCleaned[[#This Row],[ID]], Table2[ID],Table2[MC5], "Not Found", 0 )</f>
        <v>0</v>
      </c>
    </row>
    <row r="332" spans="1:29" x14ac:dyDescent="0.3">
      <c r="A332" s="18">
        <v>1020</v>
      </c>
      <c r="B332" s="16">
        <v>137040</v>
      </c>
      <c r="C332" s="16">
        <v>0</v>
      </c>
      <c r="D332" s="16">
        <v>0</v>
      </c>
      <c r="E332" s="16">
        <v>38</v>
      </c>
      <c r="F332" s="17" t="s">
        <v>6</v>
      </c>
      <c r="G332" s="17" t="s">
        <v>11</v>
      </c>
      <c r="H332" s="3" t="s">
        <v>420</v>
      </c>
      <c r="I332" s="5" t="s">
        <v>436</v>
      </c>
      <c r="J332" s="16">
        <f>_xlfn.XLOOKUP(CustomerCombinedCleaned[[#This Row],[ID]], Table4[ID], Table4[Recency], "Not Found", 0)</f>
        <v>41</v>
      </c>
      <c r="K332" s="16">
        <f>_xlfn.XLOOKUP(CustomerCombinedCleaned[[#This Row],[ID]], Table4[ID], Table4[Teas], "Not Found", 0)</f>
        <v>318</v>
      </c>
      <c r="L332" s="16">
        <f>_xlfn.XLOOKUP(CustomerCombinedCleaned[[#This Row],[ID]], Table4[ID], Table4[Fruits], "Not Found", 0)</f>
        <v>7</v>
      </c>
      <c r="M332" s="16">
        <f>_xlfn.XLOOKUP(CustomerCombinedCleaned[[#This Row],[ID]], Table4[ID], Table4[Meats], "Not Found", 0)</f>
        <v>270</v>
      </c>
      <c r="N332" s="16">
        <f>_xlfn.XLOOKUP(CustomerCombinedCleaned[[#This Row],[ID]], Table4[ID], Table4[Seafood], "Not Found", 0)</f>
        <v>255</v>
      </c>
      <c r="O332" s="16">
        <f>_xlfn.XLOOKUP(CustomerCombinedCleaned[[#This Row],[ID]], Table4[ID], Table4[Sweets], "Not Found", 0)</f>
        <v>141</v>
      </c>
      <c r="P332" s="16">
        <f>_xlfn.XLOOKUP(CustomerCombinedCleaned[[#This Row],[ID]], Table4[ID], Table4[Premium], "Not Found", 0)</f>
        <v>178</v>
      </c>
      <c r="Q332" s="16">
        <f>_xlfn.XLOOKUP(CustomerCombinedCleaned[[#This Row],[ID]], Table4[ID], Table4[Regular], "Not Found", 0)</f>
        <v>814</v>
      </c>
      <c r="R332" s="16">
        <f>_xlfn.XLOOKUP(CustomerCombinedCleaned[[#This Row],[ID]], Table4[ID], Table4[Deals], "Not Found", 0)</f>
        <v>1</v>
      </c>
      <c r="S332" s="16">
        <f>_xlfn.XLOOKUP(CustomerCombinedCleaned[[#This Row],[ID]], Table4[ID], Table4[Website], "Not Found", 0)</f>
        <v>4</v>
      </c>
      <c r="T332" s="16">
        <f>_xlfn.XLOOKUP(CustomerCombinedCleaned[[#This Row],[ID]], Table4[ID], Table4[Catalog], "Not Found", 0)</f>
        <v>2</v>
      </c>
      <c r="U332" s="16">
        <f>_xlfn.XLOOKUP(CustomerCombinedCleaned[[#This Row],[ID]], Table4[ID], Table4[Store], "Not Found", 0)</f>
        <v>5</v>
      </c>
      <c r="V332" s="16">
        <f>_xlfn.XLOOKUP(CustomerCombinedCleaned[[#This Row],[ID]], Table4[ID], Table4[Visits], "Not Found", 0)</f>
        <v>8</v>
      </c>
      <c r="W332" s="16">
        <f>_xlfn.XLOOKUP(CustomerCombinedCleaned[[#This Row],[ID]], Table2[ID],Table2[Complaint], "Not Found", 0 )</f>
        <v>0</v>
      </c>
      <c r="X332" s="16">
        <f>_xlfn.XLOOKUP(CustomerCombinedCleaned[[#This Row],[ID]], Table2[ID],Table2[Pilot], "Not Found", 0 )</f>
        <v>0</v>
      </c>
      <c r="Y332" s="16">
        <f>_xlfn.XLOOKUP(CustomerCombinedCleaned[[#This Row],[ID]], Table2[ID],Table2[MC1], "Not Found", 0 )</f>
        <v>0</v>
      </c>
      <c r="Z332" s="16">
        <f>_xlfn.XLOOKUP(CustomerCombinedCleaned[[#This Row],[ID]], Table2[ID],Table2[MC2], "Not Found", 0 )</f>
        <v>0</v>
      </c>
      <c r="AA332" s="16">
        <f>_xlfn.XLOOKUP(CustomerCombinedCleaned[[#This Row],[ID]], Table2[ID],Table2[MC3], "Not Found", 0 )</f>
        <v>0</v>
      </c>
      <c r="AB332" s="16">
        <f>_xlfn.XLOOKUP(CustomerCombinedCleaned[[#This Row],[ID]], Table2[ID],Table2[MC4], "Not Found", 0 )</f>
        <v>0</v>
      </c>
      <c r="AC332" s="16">
        <f>_xlfn.XLOOKUP(CustomerCombinedCleaned[[#This Row],[ID]], Table2[ID],Table2[MC5], "Not Found", 0 )</f>
        <v>0</v>
      </c>
    </row>
    <row r="333" spans="1:29" x14ac:dyDescent="0.3">
      <c r="A333" s="18">
        <v>2815</v>
      </c>
      <c r="B333" s="16">
        <v>132313</v>
      </c>
      <c r="C333" s="16">
        <v>1</v>
      </c>
      <c r="D333" s="16">
        <v>0</v>
      </c>
      <c r="E333" s="16">
        <v>38</v>
      </c>
      <c r="F333" s="17" t="s">
        <v>8</v>
      </c>
      <c r="G333" s="17" t="s">
        <v>13</v>
      </c>
      <c r="H333" s="3" t="s">
        <v>312</v>
      </c>
      <c r="I333" s="5" t="s">
        <v>437</v>
      </c>
      <c r="J333" s="16">
        <f>_xlfn.XLOOKUP(CustomerCombinedCleaned[[#This Row],[ID]], Table4[ID], Table4[Recency], "Not Found", 0)</f>
        <v>60</v>
      </c>
      <c r="K333" s="16">
        <f>_xlfn.XLOOKUP(CustomerCombinedCleaned[[#This Row],[ID]], Table4[ID], Table4[Teas], "Not Found", 0)</f>
        <v>352</v>
      </c>
      <c r="L333" s="16">
        <f>_xlfn.XLOOKUP(CustomerCombinedCleaned[[#This Row],[ID]], Table4[ID], Table4[Fruits], "Not Found", 0)</f>
        <v>16</v>
      </c>
      <c r="M333" s="16">
        <f>_xlfn.XLOOKUP(CustomerCombinedCleaned[[#This Row],[ID]], Table4[ID], Table4[Meats], "Not Found", 0)</f>
        <v>229</v>
      </c>
      <c r="N333" s="16">
        <f>_xlfn.XLOOKUP(CustomerCombinedCleaned[[#This Row],[ID]], Table4[ID], Table4[Seafood], "Not Found", 0)</f>
        <v>8</v>
      </c>
      <c r="O333" s="16">
        <f>_xlfn.XLOOKUP(CustomerCombinedCleaned[[#This Row],[ID]], Table4[ID], Table4[Sweets], "Not Found", 0)</f>
        <v>16</v>
      </c>
      <c r="P333" s="16">
        <f>_xlfn.XLOOKUP(CustomerCombinedCleaned[[#This Row],[ID]], Table4[ID], Table4[Premium], "Not Found", 0)</f>
        <v>29</v>
      </c>
      <c r="Q333" s="16">
        <f>_xlfn.XLOOKUP(CustomerCombinedCleaned[[#This Row],[ID]], Table4[ID], Table4[Regular], "Not Found", 0)</f>
        <v>594</v>
      </c>
      <c r="R333" s="16">
        <f>_xlfn.XLOOKUP(CustomerCombinedCleaned[[#This Row],[ID]], Table4[ID], Table4[Deals], "Not Found", 0)</f>
        <v>3</v>
      </c>
      <c r="S333" s="16">
        <f>_xlfn.XLOOKUP(CustomerCombinedCleaned[[#This Row],[ID]], Table4[ID], Table4[Website], "Not Found", 0)</f>
        <v>4</v>
      </c>
      <c r="T333" s="16">
        <f>_xlfn.XLOOKUP(CustomerCombinedCleaned[[#This Row],[ID]], Table4[ID], Table4[Catalog], "Not Found", 0)</f>
        <v>0</v>
      </c>
      <c r="U333" s="16">
        <f>_xlfn.XLOOKUP(CustomerCombinedCleaned[[#This Row],[ID]], Table4[ID], Table4[Store], "Not Found", 0)</f>
        <v>4</v>
      </c>
      <c r="V333" s="16">
        <f>_xlfn.XLOOKUP(CustomerCombinedCleaned[[#This Row],[ID]], Table4[ID], Table4[Visits], "Not Found", 0)</f>
        <v>9</v>
      </c>
      <c r="W333" s="16">
        <f>_xlfn.XLOOKUP(CustomerCombinedCleaned[[#This Row],[ID]], Table2[ID],Table2[Complaint], "Not Found", 0 )</f>
        <v>0</v>
      </c>
      <c r="X333" s="16">
        <f>_xlfn.XLOOKUP(CustomerCombinedCleaned[[#This Row],[ID]], Table2[ID],Table2[Pilot], "Not Found", 0 )</f>
        <v>0</v>
      </c>
      <c r="Y333" s="16">
        <f>_xlfn.XLOOKUP(CustomerCombinedCleaned[[#This Row],[ID]], Table2[ID],Table2[MC1], "Not Found", 0 )</f>
        <v>0</v>
      </c>
      <c r="Z333" s="16">
        <f>_xlfn.XLOOKUP(CustomerCombinedCleaned[[#This Row],[ID]], Table2[ID],Table2[MC2], "Not Found", 0 )</f>
        <v>0</v>
      </c>
      <c r="AA333" s="16">
        <f>_xlfn.XLOOKUP(CustomerCombinedCleaned[[#This Row],[ID]], Table2[ID],Table2[MC3], "Not Found", 0 )</f>
        <v>0</v>
      </c>
      <c r="AB333" s="16">
        <f>_xlfn.XLOOKUP(CustomerCombinedCleaned[[#This Row],[ID]], Table2[ID],Table2[MC4], "Not Found", 0 )</f>
        <v>0</v>
      </c>
      <c r="AC333" s="16">
        <f>_xlfn.XLOOKUP(CustomerCombinedCleaned[[#This Row],[ID]], Table2[ID],Table2[MC5], "Not Found", 0 )</f>
        <v>0</v>
      </c>
    </row>
    <row r="334" spans="1:29" x14ac:dyDescent="0.3">
      <c r="A334" s="18">
        <v>1160</v>
      </c>
      <c r="B334" s="16">
        <v>128718</v>
      </c>
      <c r="C334" s="16">
        <v>1</v>
      </c>
      <c r="D334" s="16">
        <v>0</v>
      </c>
      <c r="E334" s="16">
        <v>38</v>
      </c>
      <c r="F334" s="17" t="s">
        <v>6</v>
      </c>
      <c r="G334" s="17" t="s">
        <v>11</v>
      </c>
      <c r="H334" s="3" t="s">
        <v>223</v>
      </c>
      <c r="I334" s="5" t="s">
        <v>438</v>
      </c>
      <c r="J334" s="16">
        <f>_xlfn.XLOOKUP(CustomerCombinedCleaned[[#This Row],[ID]], Table4[ID], Table4[Recency], "Not Found", 0)</f>
        <v>78</v>
      </c>
      <c r="K334" s="16">
        <f>_xlfn.XLOOKUP(CustomerCombinedCleaned[[#This Row],[ID]], Table4[ID], Table4[Teas], "Not Found", 0)</f>
        <v>54</v>
      </c>
      <c r="L334" s="16">
        <f>_xlfn.XLOOKUP(CustomerCombinedCleaned[[#This Row],[ID]], Table4[ID], Table4[Fruits], "Not Found", 0)</f>
        <v>18</v>
      </c>
      <c r="M334" s="16">
        <f>_xlfn.XLOOKUP(CustomerCombinedCleaned[[#This Row],[ID]], Table4[ID], Table4[Meats], "Not Found", 0)</f>
        <v>27</v>
      </c>
      <c r="N334" s="16">
        <f>_xlfn.XLOOKUP(CustomerCombinedCleaned[[#This Row],[ID]], Table4[ID], Table4[Seafood], "Not Found", 0)</f>
        <v>49</v>
      </c>
      <c r="O334" s="16">
        <f>_xlfn.XLOOKUP(CustomerCombinedCleaned[[#This Row],[ID]], Table4[ID], Table4[Sweets], "Not Found", 0)</f>
        <v>36</v>
      </c>
      <c r="P334" s="16">
        <f>_xlfn.XLOOKUP(CustomerCombinedCleaned[[#This Row],[ID]], Table4[ID], Table4[Premium], "Not Found", 0)</f>
        <v>72</v>
      </c>
      <c r="Q334" s="16">
        <f>_xlfn.XLOOKUP(CustomerCombinedCleaned[[#This Row],[ID]], Table4[ID], Table4[Regular], "Not Found", 0)</f>
        <v>112</v>
      </c>
      <c r="R334" s="16">
        <f>_xlfn.XLOOKUP(CustomerCombinedCleaned[[#This Row],[ID]], Table4[ID], Table4[Deals], "Not Found", 0)</f>
        <v>2</v>
      </c>
      <c r="S334" s="16">
        <f>_xlfn.XLOOKUP(CustomerCombinedCleaned[[#This Row],[ID]], Table4[ID], Table4[Website], "Not Found", 0)</f>
        <v>2</v>
      </c>
      <c r="T334" s="16">
        <f>_xlfn.XLOOKUP(CustomerCombinedCleaned[[#This Row],[ID]], Table4[ID], Table4[Catalog], "Not Found", 0)</f>
        <v>0</v>
      </c>
      <c r="U334" s="16">
        <f>_xlfn.XLOOKUP(CustomerCombinedCleaned[[#This Row],[ID]], Table4[ID], Table4[Store], "Not Found", 0)</f>
        <v>3</v>
      </c>
      <c r="V334" s="16">
        <f>_xlfn.XLOOKUP(CustomerCombinedCleaned[[#This Row],[ID]], Table4[ID], Table4[Visits], "Not Found", 0)</f>
        <v>8</v>
      </c>
      <c r="W334" s="16">
        <f>_xlfn.XLOOKUP(CustomerCombinedCleaned[[#This Row],[ID]], Table2[ID],Table2[Complaint], "Not Found", 0 )</f>
        <v>0</v>
      </c>
      <c r="X334" s="16">
        <f>_xlfn.XLOOKUP(CustomerCombinedCleaned[[#This Row],[ID]], Table2[ID],Table2[Pilot], "Not Found", 0 )</f>
        <v>0</v>
      </c>
      <c r="Y334" s="16">
        <f>_xlfn.XLOOKUP(CustomerCombinedCleaned[[#This Row],[ID]], Table2[ID],Table2[MC1], "Not Found", 0 )</f>
        <v>0</v>
      </c>
      <c r="Z334" s="16">
        <f>_xlfn.XLOOKUP(CustomerCombinedCleaned[[#This Row],[ID]], Table2[ID],Table2[MC2], "Not Found", 0 )</f>
        <v>0</v>
      </c>
      <c r="AA334" s="16">
        <f>_xlfn.XLOOKUP(CustomerCombinedCleaned[[#This Row],[ID]], Table2[ID],Table2[MC3], "Not Found", 0 )</f>
        <v>0</v>
      </c>
      <c r="AB334" s="16">
        <f>_xlfn.XLOOKUP(CustomerCombinedCleaned[[#This Row],[ID]], Table2[ID],Table2[MC4], "Not Found", 0 )</f>
        <v>0</v>
      </c>
      <c r="AC334" s="16">
        <f>_xlfn.XLOOKUP(CustomerCombinedCleaned[[#This Row],[ID]], Table2[ID],Table2[MC5], "Not Found", 0 )</f>
        <v>0</v>
      </c>
    </row>
    <row r="335" spans="1:29" x14ac:dyDescent="0.3">
      <c r="A335" s="18">
        <v>1518</v>
      </c>
      <c r="B335" s="16">
        <v>128567</v>
      </c>
      <c r="C335" s="16">
        <v>1</v>
      </c>
      <c r="D335" s="16">
        <v>0</v>
      </c>
      <c r="E335" s="16">
        <v>38</v>
      </c>
      <c r="F335" s="17" t="s">
        <v>7</v>
      </c>
      <c r="G335" s="17" t="s">
        <v>11</v>
      </c>
      <c r="H335" s="3" t="s">
        <v>236</v>
      </c>
      <c r="I335" s="5" t="s">
        <v>436</v>
      </c>
      <c r="J335" s="16">
        <f>_xlfn.XLOOKUP(CustomerCombinedCleaned[[#This Row],[ID]], Table4[ID], Table4[Recency], "Not Found", 0)</f>
        <v>57</v>
      </c>
      <c r="K335" s="16">
        <f>_xlfn.XLOOKUP(CustomerCombinedCleaned[[#This Row],[ID]], Table4[ID], Table4[Teas], "Not Found", 0)</f>
        <v>50</v>
      </c>
      <c r="L335" s="16">
        <f>_xlfn.XLOOKUP(CustomerCombinedCleaned[[#This Row],[ID]], Table4[ID], Table4[Fruits], "Not Found", 0)</f>
        <v>14</v>
      </c>
      <c r="M335" s="16">
        <f>_xlfn.XLOOKUP(CustomerCombinedCleaned[[#This Row],[ID]], Table4[ID], Table4[Meats], "Not Found", 0)</f>
        <v>99</v>
      </c>
      <c r="N335" s="16">
        <f>_xlfn.XLOOKUP(CustomerCombinedCleaned[[#This Row],[ID]], Table4[ID], Table4[Seafood], "Not Found", 0)</f>
        <v>9</v>
      </c>
      <c r="O335" s="16">
        <f>_xlfn.XLOOKUP(CustomerCombinedCleaned[[#This Row],[ID]], Table4[ID], Table4[Sweets], "Not Found", 0)</f>
        <v>9</v>
      </c>
      <c r="P335" s="16">
        <f>_xlfn.XLOOKUP(CustomerCombinedCleaned[[#This Row],[ID]], Table4[ID], Table4[Premium], "Not Found", 0)</f>
        <v>27</v>
      </c>
      <c r="Q335" s="16">
        <f>_xlfn.XLOOKUP(CustomerCombinedCleaned[[#This Row],[ID]], Table4[ID], Table4[Regular], "Not Found", 0)</f>
        <v>153</v>
      </c>
      <c r="R335" s="16">
        <f>_xlfn.XLOOKUP(CustomerCombinedCleaned[[#This Row],[ID]], Table4[ID], Table4[Deals], "Not Found", 0)</f>
        <v>2</v>
      </c>
      <c r="S335" s="16">
        <f>_xlfn.XLOOKUP(CustomerCombinedCleaned[[#This Row],[ID]], Table4[ID], Table4[Website], "Not Found", 0)</f>
        <v>2</v>
      </c>
      <c r="T335" s="16">
        <f>_xlfn.XLOOKUP(CustomerCombinedCleaned[[#This Row],[ID]], Table4[ID], Table4[Catalog], "Not Found", 0)</f>
        <v>0</v>
      </c>
      <c r="U335" s="16">
        <f>_xlfn.XLOOKUP(CustomerCombinedCleaned[[#This Row],[ID]], Table4[ID], Table4[Store], "Not Found", 0)</f>
        <v>3</v>
      </c>
      <c r="V335" s="16">
        <f>_xlfn.XLOOKUP(CustomerCombinedCleaned[[#This Row],[ID]], Table4[ID], Table4[Visits], "Not Found", 0)</f>
        <v>6</v>
      </c>
      <c r="W335" s="16">
        <f>_xlfn.XLOOKUP(CustomerCombinedCleaned[[#This Row],[ID]], Table2[ID],Table2[Complaint], "Not Found", 0 )</f>
        <v>0</v>
      </c>
      <c r="X335" s="16">
        <f>_xlfn.XLOOKUP(CustomerCombinedCleaned[[#This Row],[ID]], Table2[ID],Table2[Pilot], "Not Found", 0 )</f>
        <v>0</v>
      </c>
      <c r="Y335" s="16">
        <f>_xlfn.XLOOKUP(CustomerCombinedCleaned[[#This Row],[ID]], Table2[ID],Table2[MC1], "Not Found", 0 )</f>
        <v>0</v>
      </c>
      <c r="Z335" s="16">
        <f>_xlfn.XLOOKUP(CustomerCombinedCleaned[[#This Row],[ID]], Table2[ID],Table2[MC2], "Not Found", 0 )</f>
        <v>0</v>
      </c>
      <c r="AA335" s="16">
        <f>_xlfn.XLOOKUP(CustomerCombinedCleaned[[#This Row],[ID]], Table2[ID],Table2[MC3], "Not Found", 0 )</f>
        <v>0</v>
      </c>
      <c r="AB335" s="16">
        <f>_xlfn.XLOOKUP(CustomerCombinedCleaned[[#This Row],[ID]], Table2[ID],Table2[MC4], "Not Found", 0 )</f>
        <v>0</v>
      </c>
      <c r="AC335" s="16">
        <f>_xlfn.XLOOKUP(CustomerCombinedCleaned[[#This Row],[ID]], Table2[ID],Table2[MC5], "Not Found", 0 )</f>
        <v>0</v>
      </c>
    </row>
    <row r="336" spans="1:29" x14ac:dyDescent="0.3">
      <c r="A336" s="18">
        <v>2079</v>
      </c>
      <c r="B336" s="16">
        <v>127590</v>
      </c>
      <c r="C336" s="16">
        <v>1</v>
      </c>
      <c r="D336" s="16">
        <v>0</v>
      </c>
      <c r="E336" s="16">
        <v>38</v>
      </c>
      <c r="F336" s="17" t="s">
        <v>8</v>
      </c>
      <c r="G336" s="17" t="s">
        <v>12</v>
      </c>
      <c r="H336" s="3" t="s">
        <v>266</v>
      </c>
      <c r="I336" s="5" t="s">
        <v>435</v>
      </c>
      <c r="J336" s="16">
        <f>_xlfn.XLOOKUP(CustomerCombinedCleaned[[#This Row],[ID]], Table4[ID], Table4[Recency], "Not Found", 0)</f>
        <v>38</v>
      </c>
      <c r="K336" s="16">
        <f>_xlfn.XLOOKUP(CustomerCombinedCleaned[[#This Row],[ID]], Table4[ID], Table4[Teas], "Not Found", 0)</f>
        <v>28</v>
      </c>
      <c r="L336" s="16">
        <f>_xlfn.XLOOKUP(CustomerCombinedCleaned[[#This Row],[ID]], Table4[ID], Table4[Fruits], "Not Found", 0)</f>
        <v>0</v>
      </c>
      <c r="M336" s="16">
        <f>_xlfn.XLOOKUP(CustomerCombinedCleaned[[#This Row],[ID]], Table4[ID], Table4[Meats], "Not Found", 0)</f>
        <v>23</v>
      </c>
      <c r="N336" s="16">
        <f>_xlfn.XLOOKUP(CustomerCombinedCleaned[[#This Row],[ID]], Table4[ID], Table4[Seafood], "Not Found", 0)</f>
        <v>0</v>
      </c>
      <c r="O336" s="16">
        <f>_xlfn.XLOOKUP(CustomerCombinedCleaned[[#This Row],[ID]], Table4[ID], Table4[Sweets], "Not Found", 0)</f>
        <v>0</v>
      </c>
      <c r="P336" s="16">
        <f>_xlfn.XLOOKUP(CustomerCombinedCleaned[[#This Row],[ID]], Table4[ID], Table4[Premium], "Not Found", 0)</f>
        <v>5</v>
      </c>
      <c r="Q336" s="16">
        <f>_xlfn.XLOOKUP(CustomerCombinedCleaned[[#This Row],[ID]], Table4[ID], Table4[Regular], "Not Found", 0)</f>
        <v>46</v>
      </c>
      <c r="R336" s="16">
        <f>_xlfn.XLOOKUP(CustomerCombinedCleaned[[#This Row],[ID]], Table4[ID], Table4[Deals], "Not Found", 0)</f>
        <v>1</v>
      </c>
      <c r="S336" s="16">
        <f>_xlfn.XLOOKUP(CustomerCombinedCleaned[[#This Row],[ID]], Table4[ID], Table4[Website], "Not Found", 0)</f>
        <v>1</v>
      </c>
      <c r="T336" s="16">
        <f>_xlfn.XLOOKUP(CustomerCombinedCleaned[[#This Row],[ID]], Table4[ID], Table4[Catalog], "Not Found", 0)</f>
        <v>0</v>
      </c>
      <c r="U336" s="16">
        <f>_xlfn.XLOOKUP(CustomerCombinedCleaned[[#This Row],[ID]], Table4[ID], Table4[Store], "Not Found", 0)</f>
        <v>2</v>
      </c>
      <c r="V336" s="16">
        <f>_xlfn.XLOOKUP(CustomerCombinedCleaned[[#This Row],[ID]], Table4[ID], Table4[Visits], "Not Found", 0)</f>
        <v>7</v>
      </c>
      <c r="W336" s="16">
        <f>_xlfn.XLOOKUP(CustomerCombinedCleaned[[#This Row],[ID]], Table2[ID],Table2[Complaint], "Not Found", 0 )</f>
        <v>0</v>
      </c>
      <c r="X336" s="16">
        <f>_xlfn.XLOOKUP(CustomerCombinedCleaned[[#This Row],[ID]], Table2[ID],Table2[Pilot], "Not Found", 0 )</f>
        <v>0</v>
      </c>
      <c r="Y336" s="16">
        <f>_xlfn.XLOOKUP(CustomerCombinedCleaned[[#This Row],[ID]], Table2[ID],Table2[MC1], "Not Found", 0 )</f>
        <v>0</v>
      </c>
      <c r="Z336" s="16">
        <f>_xlfn.XLOOKUP(CustomerCombinedCleaned[[#This Row],[ID]], Table2[ID],Table2[MC2], "Not Found", 0 )</f>
        <v>0</v>
      </c>
      <c r="AA336" s="16">
        <f>_xlfn.XLOOKUP(CustomerCombinedCleaned[[#This Row],[ID]], Table2[ID],Table2[MC3], "Not Found", 0 )</f>
        <v>0</v>
      </c>
      <c r="AB336" s="16">
        <f>_xlfn.XLOOKUP(CustomerCombinedCleaned[[#This Row],[ID]], Table2[ID],Table2[MC4], "Not Found", 0 )</f>
        <v>0</v>
      </c>
      <c r="AC336" s="16">
        <f>_xlfn.XLOOKUP(CustomerCombinedCleaned[[#This Row],[ID]], Table2[ID],Table2[MC5], "Not Found", 0 )</f>
        <v>0</v>
      </c>
    </row>
    <row r="337" spans="1:29" x14ac:dyDescent="0.3">
      <c r="A337" s="18">
        <v>2306</v>
      </c>
      <c r="B337" s="16">
        <v>124711</v>
      </c>
      <c r="C337" s="16">
        <v>0</v>
      </c>
      <c r="D337" s="16">
        <v>0</v>
      </c>
      <c r="E337" s="16">
        <v>38</v>
      </c>
      <c r="F337" s="17" t="s">
        <v>6</v>
      </c>
      <c r="G337" s="17" t="s">
        <v>11</v>
      </c>
      <c r="H337" s="3" t="s">
        <v>64</v>
      </c>
      <c r="I337" s="5" t="s">
        <v>438</v>
      </c>
      <c r="J337" s="16">
        <f>_xlfn.XLOOKUP(CustomerCombinedCleaned[[#This Row],[ID]], Table4[ID], Table4[Recency], "Not Found", 0)</f>
        <v>86</v>
      </c>
      <c r="K337" s="16">
        <f>_xlfn.XLOOKUP(CustomerCombinedCleaned[[#This Row],[ID]], Table4[ID], Table4[Teas], "Not Found", 0)</f>
        <v>50</v>
      </c>
      <c r="L337" s="16">
        <f>_xlfn.XLOOKUP(CustomerCombinedCleaned[[#This Row],[ID]], Table4[ID], Table4[Fruits], "Not Found", 0)</f>
        <v>35</v>
      </c>
      <c r="M337" s="16">
        <f>_xlfn.XLOOKUP(CustomerCombinedCleaned[[#This Row],[ID]], Table4[ID], Table4[Meats], "Not Found", 0)</f>
        <v>126</v>
      </c>
      <c r="N337" s="16">
        <f>_xlfn.XLOOKUP(CustomerCombinedCleaned[[#This Row],[ID]], Table4[ID], Table4[Seafood], "Not Found", 0)</f>
        <v>30</v>
      </c>
      <c r="O337" s="16">
        <f>_xlfn.XLOOKUP(CustomerCombinedCleaned[[#This Row],[ID]], Table4[ID], Table4[Sweets], "Not Found", 0)</f>
        <v>15</v>
      </c>
      <c r="P337" s="16">
        <f>_xlfn.XLOOKUP(CustomerCombinedCleaned[[#This Row],[ID]], Table4[ID], Table4[Premium], "Not Found", 0)</f>
        <v>35</v>
      </c>
      <c r="Q337" s="16">
        <f>_xlfn.XLOOKUP(CustomerCombinedCleaned[[#This Row],[ID]], Table4[ID], Table4[Regular], "Not Found", 0)</f>
        <v>222</v>
      </c>
      <c r="R337" s="16">
        <f>_xlfn.XLOOKUP(CustomerCombinedCleaned[[#This Row],[ID]], Table4[ID], Table4[Deals], "Not Found", 0)</f>
        <v>1</v>
      </c>
      <c r="S337" s="16">
        <f>_xlfn.XLOOKUP(CustomerCombinedCleaned[[#This Row],[ID]], Table4[ID], Table4[Website], "Not Found", 0)</f>
        <v>3</v>
      </c>
      <c r="T337" s="16">
        <f>_xlfn.XLOOKUP(CustomerCombinedCleaned[[#This Row],[ID]], Table4[ID], Table4[Catalog], "Not Found", 0)</f>
        <v>0</v>
      </c>
      <c r="U337" s="16">
        <f>_xlfn.XLOOKUP(CustomerCombinedCleaned[[#This Row],[ID]], Table4[ID], Table4[Store], "Not Found", 0)</f>
        <v>3</v>
      </c>
      <c r="V337" s="16">
        <f>_xlfn.XLOOKUP(CustomerCombinedCleaned[[#This Row],[ID]], Table4[ID], Table4[Visits], "Not Found", 0)</f>
        <v>7</v>
      </c>
      <c r="W337" s="16">
        <f>_xlfn.XLOOKUP(CustomerCombinedCleaned[[#This Row],[ID]], Table2[ID],Table2[Complaint], "Not Found", 0 )</f>
        <v>0</v>
      </c>
      <c r="X337" s="16">
        <f>_xlfn.XLOOKUP(CustomerCombinedCleaned[[#This Row],[ID]], Table2[ID],Table2[Pilot], "Not Found", 0 )</f>
        <v>0</v>
      </c>
      <c r="Y337" s="16">
        <f>_xlfn.XLOOKUP(CustomerCombinedCleaned[[#This Row],[ID]], Table2[ID],Table2[MC1], "Not Found", 0 )</f>
        <v>0</v>
      </c>
      <c r="Z337" s="16">
        <f>_xlfn.XLOOKUP(CustomerCombinedCleaned[[#This Row],[ID]], Table2[ID],Table2[MC2], "Not Found", 0 )</f>
        <v>0</v>
      </c>
      <c r="AA337" s="16">
        <f>_xlfn.XLOOKUP(CustomerCombinedCleaned[[#This Row],[ID]], Table2[ID],Table2[MC3], "Not Found", 0 )</f>
        <v>0</v>
      </c>
      <c r="AB337" s="16">
        <f>_xlfn.XLOOKUP(CustomerCombinedCleaned[[#This Row],[ID]], Table2[ID],Table2[MC4], "Not Found", 0 )</f>
        <v>0</v>
      </c>
      <c r="AC337" s="16">
        <f>_xlfn.XLOOKUP(CustomerCombinedCleaned[[#This Row],[ID]], Table2[ID],Table2[MC5], "Not Found", 0 )</f>
        <v>0</v>
      </c>
    </row>
    <row r="338" spans="1:29" x14ac:dyDescent="0.3">
      <c r="A338" s="18">
        <v>2324</v>
      </c>
      <c r="B338" s="16">
        <v>124367</v>
      </c>
      <c r="C338" s="16">
        <v>1</v>
      </c>
      <c r="D338" s="16">
        <v>0</v>
      </c>
      <c r="E338" s="16">
        <v>38</v>
      </c>
      <c r="F338" s="17" t="s">
        <v>7</v>
      </c>
      <c r="G338" s="17" t="s">
        <v>10</v>
      </c>
      <c r="H338" s="3" t="s">
        <v>288</v>
      </c>
      <c r="I338" s="5" t="s">
        <v>438</v>
      </c>
      <c r="J338" s="16">
        <f>_xlfn.XLOOKUP(CustomerCombinedCleaned[[#This Row],[ID]], Table4[ID], Table4[Recency], "Not Found", 0)</f>
        <v>58</v>
      </c>
      <c r="K338" s="16">
        <f>_xlfn.XLOOKUP(CustomerCombinedCleaned[[#This Row],[ID]], Table4[ID], Table4[Teas], "Not Found", 0)</f>
        <v>10</v>
      </c>
      <c r="L338" s="16">
        <f>_xlfn.XLOOKUP(CustomerCombinedCleaned[[#This Row],[ID]], Table4[ID], Table4[Fruits], "Not Found", 0)</f>
        <v>20</v>
      </c>
      <c r="M338" s="16">
        <f>_xlfn.XLOOKUP(CustomerCombinedCleaned[[#This Row],[ID]], Table4[ID], Table4[Meats], "Not Found", 0)</f>
        <v>10</v>
      </c>
      <c r="N338" s="16">
        <f>_xlfn.XLOOKUP(CustomerCombinedCleaned[[#This Row],[ID]], Table4[ID], Table4[Seafood], "Not Found", 0)</f>
        <v>0</v>
      </c>
      <c r="O338" s="16">
        <f>_xlfn.XLOOKUP(CustomerCombinedCleaned[[#This Row],[ID]], Table4[ID], Table4[Sweets], "Not Found", 0)</f>
        <v>56</v>
      </c>
      <c r="P338" s="16">
        <f>_xlfn.XLOOKUP(CustomerCombinedCleaned[[#This Row],[ID]], Table4[ID], Table4[Premium], "Not Found", 0)</f>
        <v>26</v>
      </c>
      <c r="Q338" s="16">
        <f>_xlfn.XLOOKUP(CustomerCombinedCleaned[[#This Row],[ID]], Table4[ID], Table4[Regular], "Not Found", 0)</f>
        <v>71</v>
      </c>
      <c r="R338" s="16">
        <f>_xlfn.XLOOKUP(CustomerCombinedCleaned[[#This Row],[ID]], Table4[ID], Table4[Deals], "Not Found", 0)</f>
        <v>1</v>
      </c>
      <c r="S338" s="16">
        <f>_xlfn.XLOOKUP(CustomerCombinedCleaned[[#This Row],[ID]], Table4[ID], Table4[Website], "Not Found", 0)</f>
        <v>1</v>
      </c>
      <c r="T338" s="16">
        <f>_xlfn.XLOOKUP(CustomerCombinedCleaned[[#This Row],[ID]], Table4[ID], Table4[Catalog], "Not Found", 0)</f>
        <v>0</v>
      </c>
      <c r="U338" s="16">
        <f>_xlfn.XLOOKUP(CustomerCombinedCleaned[[#This Row],[ID]], Table4[ID], Table4[Store], "Not Found", 0)</f>
        <v>2</v>
      </c>
      <c r="V338" s="16">
        <f>_xlfn.XLOOKUP(CustomerCombinedCleaned[[#This Row],[ID]], Table4[ID], Table4[Visits], "Not Found", 0)</f>
        <v>9</v>
      </c>
      <c r="W338" s="16">
        <f>_xlfn.XLOOKUP(CustomerCombinedCleaned[[#This Row],[ID]], Table2[ID],Table2[Complaint], "Not Found", 0 )</f>
        <v>0</v>
      </c>
      <c r="X338" s="16">
        <f>_xlfn.XLOOKUP(CustomerCombinedCleaned[[#This Row],[ID]], Table2[ID],Table2[Pilot], "Not Found", 0 )</f>
        <v>0</v>
      </c>
      <c r="Y338" s="16">
        <f>_xlfn.XLOOKUP(CustomerCombinedCleaned[[#This Row],[ID]], Table2[ID],Table2[MC1], "Not Found", 0 )</f>
        <v>0</v>
      </c>
      <c r="Z338" s="16">
        <f>_xlfn.XLOOKUP(CustomerCombinedCleaned[[#This Row],[ID]], Table2[ID],Table2[MC2], "Not Found", 0 )</f>
        <v>0</v>
      </c>
      <c r="AA338" s="16">
        <f>_xlfn.XLOOKUP(CustomerCombinedCleaned[[#This Row],[ID]], Table2[ID],Table2[MC3], "Not Found", 0 )</f>
        <v>0</v>
      </c>
      <c r="AB338" s="16">
        <f>_xlfn.XLOOKUP(CustomerCombinedCleaned[[#This Row],[ID]], Table2[ID],Table2[MC4], "Not Found", 0 )</f>
        <v>0</v>
      </c>
      <c r="AC338" s="16">
        <f>_xlfn.XLOOKUP(CustomerCombinedCleaned[[#This Row],[ID]], Table2[ID],Table2[MC5], "Not Found", 0 )</f>
        <v>0</v>
      </c>
    </row>
    <row r="339" spans="1:29" x14ac:dyDescent="0.3">
      <c r="A339" s="18">
        <v>1224</v>
      </c>
      <c r="B339" s="16">
        <v>123661</v>
      </c>
      <c r="C339" s="16">
        <v>1</v>
      </c>
      <c r="D339" s="16">
        <v>0</v>
      </c>
      <c r="E339" s="16">
        <v>38</v>
      </c>
      <c r="F339" s="17" t="s">
        <v>8</v>
      </c>
      <c r="G339" s="17" t="s">
        <v>12</v>
      </c>
      <c r="H339" s="3" t="s">
        <v>687</v>
      </c>
      <c r="I339" s="5" t="s">
        <v>436</v>
      </c>
      <c r="J339" s="16">
        <f>_xlfn.XLOOKUP(CustomerCombinedCleaned[[#This Row],[ID]], Table4[ID], Table4[Recency], "Not Found", 0)</f>
        <v>46</v>
      </c>
      <c r="K339" s="16">
        <f>_xlfn.XLOOKUP(CustomerCombinedCleaned[[#This Row],[ID]], Table4[ID], Table4[Teas], "Not Found", 0)</f>
        <v>94</v>
      </c>
      <c r="L339" s="16">
        <f>_xlfn.XLOOKUP(CustomerCombinedCleaned[[#This Row],[ID]], Table4[ID], Table4[Fruits], "Not Found", 0)</f>
        <v>0</v>
      </c>
      <c r="M339" s="16">
        <f>_xlfn.XLOOKUP(CustomerCombinedCleaned[[#This Row],[ID]], Table4[ID], Table4[Meats], "Not Found", 0)</f>
        <v>21</v>
      </c>
      <c r="N339" s="16">
        <f>_xlfn.XLOOKUP(CustomerCombinedCleaned[[#This Row],[ID]], Table4[ID], Table4[Seafood], "Not Found", 0)</f>
        <v>0</v>
      </c>
      <c r="O339" s="16">
        <f>_xlfn.XLOOKUP(CustomerCombinedCleaned[[#This Row],[ID]], Table4[ID], Table4[Sweets], "Not Found", 0)</f>
        <v>0</v>
      </c>
      <c r="P339" s="16">
        <f>_xlfn.XLOOKUP(CustomerCombinedCleaned[[#This Row],[ID]], Table4[ID], Table4[Premium], "Not Found", 0)</f>
        <v>5</v>
      </c>
      <c r="Q339" s="16">
        <f>_xlfn.XLOOKUP(CustomerCombinedCleaned[[#This Row],[ID]], Table4[ID], Table4[Regular], "Not Found", 0)</f>
        <v>110</v>
      </c>
      <c r="R339" s="16">
        <f>_xlfn.XLOOKUP(CustomerCombinedCleaned[[#This Row],[ID]], Table4[ID], Table4[Deals], "Not Found", 0)</f>
        <v>1</v>
      </c>
      <c r="S339" s="16">
        <f>_xlfn.XLOOKUP(CustomerCombinedCleaned[[#This Row],[ID]], Table4[ID], Table4[Website], "Not Found", 0)</f>
        <v>1</v>
      </c>
      <c r="T339" s="16">
        <f>_xlfn.XLOOKUP(CustomerCombinedCleaned[[#This Row],[ID]], Table4[ID], Table4[Catalog], "Not Found", 0)</f>
        <v>0</v>
      </c>
      <c r="U339" s="16">
        <f>_xlfn.XLOOKUP(CustomerCombinedCleaned[[#This Row],[ID]], Table4[ID], Table4[Store], "Not Found", 0)</f>
        <v>3</v>
      </c>
      <c r="V339" s="16">
        <f>_xlfn.XLOOKUP(CustomerCombinedCleaned[[#This Row],[ID]], Table4[ID], Table4[Visits], "Not Found", 0)</f>
        <v>7</v>
      </c>
      <c r="W339" s="16">
        <f>_xlfn.XLOOKUP(CustomerCombinedCleaned[[#This Row],[ID]], Table2[ID],Table2[Complaint], "Not Found", 0 )</f>
        <v>0</v>
      </c>
      <c r="X339" s="16">
        <f>_xlfn.XLOOKUP(CustomerCombinedCleaned[[#This Row],[ID]], Table2[ID],Table2[Pilot], "Not Found", 0 )</f>
        <v>0</v>
      </c>
      <c r="Y339" s="16">
        <f>_xlfn.XLOOKUP(CustomerCombinedCleaned[[#This Row],[ID]], Table2[ID],Table2[MC1], "Not Found", 0 )</f>
        <v>0</v>
      </c>
      <c r="Z339" s="16">
        <f>_xlfn.XLOOKUP(CustomerCombinedCleaned[[#This Row],[ID]], Table2[ID],Table2[MC2], "Not Found", 0 )</f>
        <v>0</v>
      </c>
      <c r="AA339" s="16">
        <f>_xlfn.XLOOKUP(CustomerCombinedCleaned[[#This Row],[ID]], Table2[ID],Table2[MC3], "Not Found", 0 )</f>
        <v>0</v>
      </c>
      <c r="AB339" s="16">
        <f>_xlfn.XLOOKUP(CustomerCombinedCleaned[[#This Row],[ID]], Table2[ID],Table2[MC4], "Not Found", 0 )</f>
        <v>0</v>
      </c>
      <c r="AC339" s="16">
        <f>_xlfn.XLOOKUP(CustomerCombinedCleaned[[#This Row],[ID]], Table2[ID],Table2[MC5], "Not Found", 0 )</f>
        <v>0</v>
      </c>
    </row>
    <row r="340" spans="1:29" x14ac:dyDescent="0.3">
      <c r="A340" s="18">
        <v>1394</v>
      </c>
      <c r="B340" s="16">
        <v>123616</v>
      </c>
      <c r="C340" s="16">
        <v>1</v>
      </c>
      <c r="D340" s="16">
        <v>0</v>
      </c>
      <c r="E340" s="16">
        <v>38</v>
      </c>
      <c r="F340" s="17" t="s">
        <v>7</v>
      </c>
      <c r="G340" s="17" t="s">
        <v>11</v>
      </c>
      <c r="H340" s="3" t="s">
        <v>359</v>
      </c>
      <c r="I340" s="5" t="s">
        <v>438</v>
      </c>
      <c r="J340" s="16">
        <f>_xlfn.XLOOKUP(CustomerCombinedCleaned[[#This Row],[ID]], Table4[ID], Table4[Recency], "Not Found", 0)</f>
        <v>76</v>
      </c>
      <c r="K340" s="16">
        <f>_xlfn.XLOOKUP(CustomerCombinedCleaned[[#This Row],[ID]], Table4[ID], Table4[Teas], "Not Found", 0)</f>
        <v>21</v>
      </c>
      <c r="L340" s="16">
        <f>_xlfn.XLOOKUP(CustomerCombinedCleaned[[#This Row],[ID]], Table4[ID], Table4[Fruits], "Not Found", 0)</f>
        <v>115</v>
      </c>
      <c r="M340" s="16">
        <f>_xlfn.XLOOKUP(CustomerCombinedCleaned[[#This Row],[ID]], Table4[ID], Table4[Meats], "Not Found", 0)</f>
        <v>58</v>
      </c>
      <c r="N340" s="16">
        <f>_xlfn.XLOOKUP(CustomerCombinedCleaned[[#This Row],[ID]], Table4[ID], Table4[Seafood], "Not Found", 0)</f>
        <v>16</v>
      </c>
      <c r="O340" s="16">
        <f>_xlfn.XLOOKUP(CustomerCombinedCleaned[[#This Row],[ID]], Table4[ID], Table4[Sweets], "Not Found", 0)</f>
        <v>37</v>
      </c>
      <c r="P340" s="16">
        <f>_xlfn.XLOOKUP(CustomerCombinedCleaned[[#This Row],[ID]], Table4[ID], Table4[Premium], "Not Found", 0)</f>
        <v>168</v>
      </c>
      <c r="Q340" s="16">
        <f>_xlfn.XLOOKUP(CustomerCombinedCleaned[[#This Row],[ID]], Table4[ID], Table4[Regular], "Not Found", 0)</f>
        <v>79</v>
      </c>
      <c r="R340" s="16">
        <f>_xlfn.XLOOKUP(CustomerCombinedCleaned[[#This Row],[ID]], Table4[ID], Table4[Deals], "Not Found", 0)</f>
        <v>2</v>
      </c>
      <c r="S340" s="16">
        <f>_xlfn.XLOOKUP(CustomerCombinedCleaned[[#This Row],[ID]], Table4[ID], Table4[Website], "Not Found", 0)</f>
        <v>3</v>
      </c>
      <c r="T340" s="16">
        <f>_xlfn.XLOOKUP(CustomerCombinedCleaned[[#This Row],[ID]], Table4[ID], Table4[Catalog], "Not Found", 0)</f>
        <v>0</v>
      </c>
      <c r="U340" s="16">
        <f>_xlfn.XLOOKUP(CustomerCombinedCleaned[[#This Row],[ID]], Table4[ID], Table4[Store], "Not Found", 0)</f>
        <v>3</v>
      </c>
      <c r="V340" s="16">
        <f>_xlfn.XLOOKUP(CustomerCombinedCleaned[[#This Row],[ID]], Table4[ID], Table4[Visits], "Not Found", 0)</f>
        <v>8</v>
      </c>
      <c r="W340" s="16">
        <f>_xlfn.XLOOKUP(CustomerCombinedCleaned[[#This Row],[ID]], Table2[ID],Table2[Complaint], "Not Found", 0 )</f>
        <v>0</v>
      </c>
      <c r="X340" s="16">
        <f>_xlfn.XLOOKUP(CustomerCombinedCleaned[[#This Row],[ID]], Table2[ID],Table2[Pilot], "Not Found", 0 )</f>
        <v>1</v>
      </c>
      <c r="Y340" s="16">
        <f>_xlfn.XLOOKUP(CustomerCombinedCleaned[[#This Row],[ID]], Table2[ID],Table2[MC1], "Not Found", 0 )</f>
        <v>0</v>
      </c>
      <c r="Z340" s="16">
        <f>_xlfn.XLOOKUP(CustomerCombinedCleaned[[#This Row],[ID]], Table2[ID],Table2[MC2], "Not Found", 0 )</f>
        <v>0</v>
      </c>
      <c r="AA340" s="16">
        <f>_xlfn.XLOOKUP(CustomerCombinedCleaned[[#This Row],[ID]], Table2[ID],Table2[MC3], "Not Found", 0 )</f>
        <v>0</v>
      </c>
      <c r="AB340" s="16">
        <f>_xlfn.XLOOKUP(CustomerCombinedCleaned[[#This Row],[ID]], Table2[ID],Table2[MC4], "Not Found", 0 )</f>
        <v>0</v>
      </c>
      <c r="AC340" s="16">
        <f>_xlfn.XLOOKUP(CustomerCombinedCleaned[[#This Row],[ID]], Table2[ID],Table2[MC5], "Not Found", 0 )</f>
        <v>0</v>
      </c>
    </row>
    <row r="341" spans="1:29" x14ac:dyDescent="0.3">
      <c r="A341" s="18">
        <v>2626</v>
      </c>
      <c r="B341" s="16">
        <v>122448</v>
      </c>
      <c r="C341" s="16">
        <v>1</v>
      </c>
      <c r="D341" s="16">
        <v>0</v>
      </c>
      <c r="E341" s="16">
        <v>38</v>
      </c>
      <c r="F341" s="17" t="s">
        <v>6</v>
      </c>
      <c r="G341" s="17" t="s">
        <v>11</v>
      </c>
      <c r="H341" s="3" t="s">
        <v>778</v>
      </c>
      <c r="I341" s="5" t="s">
        <v>439</v>
      </c>
      <c r="J341" s="16">
        <f>_xlfn.XLOOKUP(CustomerCombinedCleaned[[#This Row],[ID]], Table4[ID], Table4[Recency], "Not Found", 0)</f>
        <v>86</v>
      </c>
      <c r="K341" s="16">
        <f>_xlfn.XLOOKUP(CustomerCombinedCleaned[[#This Row],[ID]], Table4[ID], Table4[Teas], "Not Found", 0)</f>
        <v>16</v>
      </c>
      <c r="L341" s="16">
        <f>_xlfn.XLOOKUP(CustomerCombinedCleaned[[#This Row],[ID]], Table4[ID], Table4[Fruits], "Not Found", 0)</f>
        <v>5</v>
      </c>
      <c r="M341" s="16">
        <f>_xlfn.XLOOKUP(CustomerCombinedCleaned[[#This Row],[ID]], Table4[ID], Table4[Meats], "Not Found", 0)</f>
        <v>44</v>
      </c>
      <c r="N341" s="16">
        <f>_xlfn.XLOOKUP(CustomerCombinedCleaned[[#This Row],[ID]], Table4[ID], Table4[Seafood], "Not Found", 0)</f>
        <v>125</v>
      </c>
      <c r="O341" s="16">
        <f>_xlfn.XLOOKUP(CustomerCombinedCleaned[[#This Row],[ID]], Table4[ID], Table4[Sweets], "Not Found", 0)</f>
        <v>11</v>
      </c>
      <c r="P341" s="16">
        <f>_xlfn.XLOOKUP(CustomerCombinedCleaned[[#This Row],[ID]], Table4[ID], Table4[Premium], "Not Found", 0)</f>
        <v>98</v>
      </c>
      <c r="Q341" s="16">
        <f>_xlfn.XLOOKUP(CustomerCombinedCleaned[[#This Row],[ID]], Table4[ID], Table4[Regular], "Not Found", 0)</f>
        <v>104</v>
      </c>
      <c r="R341" s="16">
        <f>_xlfn.XLOOKUP(CustomerCombinedCleaned[[#This Row],[ID]], Table4[ID], Table4[Deals], "Not Found", 0)</f>
        <v>3</v>
      </c>
      <c r="S341" s="16">
        <f>_xlfn.XLOOKUP(CustomerCombinedCleaned[[#This Row],[ID]], Table4[ID], Table4[Website], "Not Found", 0)</f>
        <v>2</v>
      </c>
      <c r="T341" s="16">
        <f>_xlfn.XLOOKUP(CustomerCombinedCleaned[[#This Row],[ID]], Table4[ID], Table4[Catalog], "Not Found", 0)</f>
        <v>1</v>
      </c>
      <c r="U341" s="16">
        <f>_xlfn.XLOOKUP(CustomerCombinedCleaned[[#This Row],[ID]], Table4[ID], Table4[Store], "Not Found", 0)</f>
        <v>3</v>
      </c>
      <c r="V341" s="16">
        <f>_xlfn.XLOOKUP(CustomerCombinedCleaned[[#This Row],[ID]], Table4[ID], Table4[Visits], "Not Found", 0)</f>
        <v>3</v>
      </c>
      <c r="W341" s="16">
        <f>_xlfn.XLOOKUP(CustomerCombinedCleaned[[#This Row],[ID]], Table2[ID],Table2[Complaint], "Not Found", 0 )</f>
        <v>0</v>
      </c>
      <c r="X341" s="16">
        <f>_xlfn.XLOOKUP(CustomerCombinedCleaned[[#This Row],[ID]], Table2[ID],Table2[Pilot], "Not Found", 0 )</f>
        <v>0</v>
      </c>
      <c r="Y341" s="16">
        <f>_xlfn.XLOOKUP(CustomerCombinedCleaned[[#This Row],[ID]], Table2[ID],Table2[MC1], "Not Found", 0 )</f>
        <v>0</v>
      </c>
      <c r="Z341" s="16">
        <f>_xlfn.XLOOKUP(CustomerCombinedCleaned[[#This Row],[ID]], Table2[ID],Table2[MC2], "Not Found", 0 )</f>
        <v>0</v>
      </c>
      <c r="AA341" s="16">
        <f>_xlfn.XLOOKUP(CustomerCombinedCleaned[[#This Row],[ID]], Table2[ID],Table2[MC3], "Not Found", 0 )</f>
        <v>0</v>
      </c>
      <c r="AB341" s="16">
        <f>_xlfn.XLOOKUP(CustomerCombinedCleaned[[#This Row],[ID]], Table2[ID],Table2[MC4], "Not Found", 0 )</f>
        <v>0</v>
      </c>
      <c r="AC341" s="16">
        <f>_xlfn.XLOOKUP(CustomerCombinedCleaned[[#This Row],[ID]], Table2[ID],Table2[MC5], "Not Found", 0 )</f>
        <v>0</v>
      </c>
    </row>
    <row r="342" spans="1:29" x14ac:dyDescent="0.3">
      <c r="A342" s="18">
        <v>2907</v>
      </c>
      <c r="B342" s="16">
        <v>121059</v>
      </c>
      <c r="C342" s="16">
        <v>1</v>
      </c>
      <c r="D342" s="16">
        <v>0</v>
      </c>
      <c r="E342" s="16">
        <v>38</v>
      </c>
      <c r="F342" s="17" t="s">
        <v>6</v>
      </c>
      <c r="G342" s="17" t="s">
        <v>12</v>
      </c>
      <c r="H342" s="3" t="s">
        <v>122</v>
      </c>
      <c r="I342" s="5" t="s">
        <v>435</v>
      </c>
      <c r="J342" s="16">
        <f>_xlfn.XLOOKUP(CustomerCombinedCleaned[[#This Row],[ID]], Table4[ID], Table4[Recency], "Not Found", 0)</f>
        <v>40</v>
      </c>
      <c r="K342" s="16">
        <f>_xlfn.XLOOKUP(CustomerCombinedCleaned[[#This Row],[ID]], Table4[ID], Table4[Teas], "Not Found", 0)</f>
        <v>46</v>
      </c>
      <c r="L342" s="16">
        <f>_xlfn.XLOOKUP(CustomerCombinedCleaned[[#This Row],[ID]], Table4[ID], Table4[Fruits], "Not Found", 0)</f>
        <v>17</v>
      </c>
      <c r="M342" s="16">
        <f>_xlfn.XLOOKUP(CustomerCombinedCleaned[[#This Row],[ID]], Table4[ID], Table4[Meats], "Not Found", 0)</f>
        <v>109</v>
      </c>
      <c r="N342" s="16">
        <f>_xlfn.XLOOKUP(CustomerCombinedCleaned[[#This Row],[ID]], Table4[ID], Table4[Seafood], "Not Found", 0)</f>
        <v>17</v>
      </c>
      <c r="O342" s="16">
        <f>_xlfn.XLOOKUP(CustomerCombinedCleaned[[#This Row],[ID]], Table4[ID], Table4[Sweets], "Not Found", 0)</f>
        <v>17</v>
      </c>
      <c r="P342" s="16">
        <f>_xlfn.XLOOKUP(CustomerCombinedCleaned[[#This Row],[ID]], Table4[ID], Table4[Premium], "Not Found", 0)</f>
        <v>46</v>
      </c>
      <c r="Q342" s="16">
        <f>_xlfn.XLOOKUP(CustomerCombinedCleaned[[#This Row],[ID]], Table4[ID], Table4[Regular], "Not Found", 0)</f>
        <v>161</v>
      </c>
      <c r="R342" s="16">
        <f>_xlfn.XLOOKUP(CustomerCombinedCleaned[[#This Row],[ID]], Table4[ID], Table4[Deals], "Not Found", 0)</f>
        <v>3</v>
      </c>
      <c r="S342" s="16">
        <f>_xlfn.XLOOKUP(CustomerCombinedCleaned[[#This Row],[ID]], Table4[ID], Table4[Website], "Not Found", 0)</f>
        <v>3</v>
      </c>
      <c r="T342" s="16">
        <f>_xlfn.XLOOKUP(CustomerCombinedCleaned[[#This Row],[ID]], Table4[ID], Table4[Catalog], "Not Found", 0)</f>
        <v>0</v>
      </c>
      <c r="U342" s="16">
        <f>_xlfn.XLOOKUP(CustomerCombinedCleaned[[#This Row],[ID]], Table4[ID], Table4[Store], "Not Found", 0)</f>
        <v>3</v>
      </c>
      <c r="V342" s="16">
        <f>_xlfn.XLOOKUP(CustomerCombinedCleaned[[#This Row],[ID]], Table4[ID], Table4[Visits], "Not Found", 0)</f>
        <v>6</v>
      </c>
      <c r="W342" s="16">
        <f>_xlfn.XLOOKUP(CustomerCombinedCleaned[[#This Row],[ID]], Table2[ID],Table2[Complaint], "Not Found", 0 )</f>
        <v>0</v>
      </c>
      <c r="X342" s="16">
        <f>_xlfn.XLOOKUP(CustomerCombinedCleaned[[#This Row],[ID]], Table2[ID],Table2[Pilot], "Not Found", 0 )</f>
        <v>0</v>
      </c>
      <c r="Y342" s="16">
        <f>_xlfn.XLOOKUP(CustomerCombinedCleaned[[#This Row],[ID]], Table2[ID],Table2[MC1], "Not Found", 0 )</f>
        <v>0</v>
      </c>
      <c r="Z342" s="16">
        <f>_xlfn.XLOOKUP(CustomerCombinedCleaned[[#This Row],[ID]], Table2[ID],Table2[MC2], "Not Found", 0 )</f>
        <v>0</v>
      </c>
      <c r="AA342" s="16">
        <f>_xlfn.XLOOKUP(CustomerCombinedCleaned[[#This Row],[ID]], Table2[ID],Table2[MC3], "Not Found", 0 )</f>
        <v>0</v>
      </c>
      <c r="AB342" s="16">
        <f>_xlfn.XLOOKUP(CustomerCombinedCleaned[[#This Row],[ID]], Table2[ID],Table2[MC4], "Not Found", 0 )</f>
        <v>0</v>
      </c>
      <c r="AC342" s="16">
        <f>_xlfn.XLOOKUP(CustomerCombinedCleaned[[#This Row],[ID]], Table2[ID],Table2[MC5], "Not Found", 0 )</f>
        <v>0</v>
      </c>
    </row>
    <row r="343" spans="1:29" x14ac:dyDescent="0.3">
      <c r="A343" s="18">
        <v>2604</v>
      </c>
      <c r="B343" s="16">
        <v>119444</v>
      </c>
      <c r="C343" s="16">
        <v>1</v>
      </c>
      <c r="D343" s="16">
        <v>0</v>
      </c>
      <c r="E343" s="16">
        <v>38</v>
      </c>
      <c r="F343" s="17" t="s">
        <v>8</v>
      </c>
      <c r="G343" s="17" t="s">
        <v>11</v>
      </c>
      <c r="H343" s="3" t="s">
        <v>93</v>
      </c>
      <c r="I343" s="5" t="s">
        <v>436</v>
      </c>
      <c r="J343" s="16">
        <f>_xlfn.XLOOKUP(CustomerCombinedCleaned[[#This Row],[ID]], Table4[ID], Table4[Recency], "Not Found", 0)</f>
        <v>8</v>
      </c>
      <c r="K343" s="16">
        <f>_xlfn.XLOOKUP(CustomerCombinedCleaned[[#This Row],[ID]], Table4[ID], Table4[Teas], "Not Found", 0)</f>
        <v>98</v>
      </c>
      <c r="L343" s="16">
        <f>_xlfn.XLOOKUP(CustomerCombinedCleaned[[#This Row],[ID]], Table4[ID], Table4[Fruits], "Not Found", 0)</f>
        <v>0</v>
      </c>
      <c r="M343" s="16">
        <f>_xlfn.XLOOKUP(CustomerCombinedCleaned[[#This Row],[ID]], Table4[ID], Table4[Meats], "Not Found", 0)</f>
        <v>141</v>
      </c>
      <c r="N343" s="16">
        <f>_xlfn.XLOOKUP(CustomerCombinedCleaned[[#This Row],[ID]], Table4[ID], Table4[Seafood], "Not Found", 0)</f>
        <v>18</v>
      </c>
      <c r="O343" s="16">
        <f>_xlfn.XLOOKUP(CustomerCombinedCleaned[[#This Row],[ID]], Table4[ID], Table4[Sweets], "Not Found", 0)</f>
        <v>12</v>
      </c>
      <c r="P343" s="16">
        <f>_xlfn.XLOOKUP(CustomerCombinedCleaned[[#This Row],[ID]], Table4[ID], Table4[Premium], "Not Found", 0)</f>
        <v>61</v>
      </c>
      <c r="Q343" s="16">
        <f>_xlfn.XLOOKUP(CustomerCombinedCleaned[[#This Row],[ID]], Table4[ID], Table4[Regular], "Not Found", 0)</f>
        <v>209</v>
      </c>
      <c r="R343" s="16">
        <f>_xlfn.XLOOKUP(CustomerCombinedCleaned[[#This Row],[ID]], Table4[ID], Table4[Deals], "Not Found", 0)</f>
        <v>3</v>
      </c>
      <c r="S343" s="16">
        <f>_xlfn.XLOOKUP(CustomerCombinedCleaned[[#This Row],[ID]], Table4[ID], Table4[Website], "Not Found", 0)</f>
        <v>4</v>
      </c>
      <c r="T343" s="16">
        <f>_xlfn.XLOOKUP(CustomerCombinedCleaned[[#This Row],[ID]], Table4[ID], Table4[Catalog], "Not Found", 0)</f>
        <v>1</v>
      </c>
      <c r="U343" s="16">
        <f>_xlfn.XLOOKUP(CustomerCombinedCleaned[[#This Row],[ID]], Table4[ID], Table4[Store], "Not Found", 0)</f>
        <v>2</v>
      </c>
      <c r="V343" s="16">
        <f>_xlfn.XLOOKUP(CustomerCombinedCleaned[[#This Row],[ID]], Table4[ID], Table4[Visits], "Not Found", 0)</f>
        <v>7</v>
      </c>
      <c r="W343" s="16">
        <f>_xlfn.XLOOKUP(CustomerCombinedCleaned[[#This Row],[ID]], Table2[ID],Table2[Complaint], "Not Found", 0 )</f>
        <v>0</v>
      </c>
      <c r="X343" s="16">
        <f>_xlfn.XLOOKUP(CustomerCombinedCleaned[[#This Row],[ID]], Table2[ID],Table2[Pilot], "Not Found", 0 )</f>
        <v>1</v>
      </c>
      <c r="Y343" s="16">
        <f>_xlfn.XLOOKUP(CustomerCombinedCleaned[[#This Row],[ID]], Table2[ID],Table2[MC1], "Not Found", 0 )</f>
        <v>0</v>
      </c>
      <c r="Z343" s="16">
        <f>_xlfn.XLOOKUP(CustomerCombinedCleaned[[#This Row],[ID]], Table2[ID],Table2[MC2], "Not Found", 0 )</f>
        <v>0</v>
      </c>
      <c r="AA343" s="16">
        <f>_xlfn.XLOOKUP(CustomerCombinedCleaned[[#This Row],[ID]], Table2[ID],Table2[MC3], "Not Found", 0 )</f>
        <v>0</v>
      </c>
      <c r="AB343" s="16">
        <f>_xlfn.XLOOKUP(CustomerCombinedCleaned[[#This Row],[ID]], Table2[ID],Table2[MC4], "Not Found", 0 )</f>
        <v>0</v>
      </c>
      <c r="AC343" s="16">
        <f>_xlfn.XLOOKUP(CustomerCombinedCleaned[[#This Row],[ID]], Table2[ID],Table2[MC5], "Not Found", 0 )</f>
        <v>0</v>
      </c>
    </row>
    <row r="344" spans="1:29" x14ac:dyDescent="0.3">
      <c r="A344" s="18">
        <v>1406</v>
      </c>
      <c r="B344" s="16">
        <v>118492</v>
      </c>
      <c r="C344" s="16">
        <v>1</v>
      </c>
      <c r="D344" s="16">
        <v>0</v>
      </c>
      <c r="E344" s="16">
        <v>38</v>
      </c>
      <c r="F344" s="17" t="s">
        <v>8</v>
      </c>
      <c r="G344" s="17" t="s">
        <v>12</v>
      </c>
      <c r="H344" s="3" t="s">
        <v>789</v>
      </c>
      <c r="I344" s="5" t="s">
        <v>438</v>
      </c>
      <c r="J344" s="16">
        <f>_xlfn.XLOOKUP(CustomerCombinedCleaned[[#This Row],[ID]], Table4[ID], Table4[Recency], "Not Found", 0)</f>
        <v>75</v>
      </c>
      <c r="K344" s="16">
        <f>_xlfn.XLOOKUP(CustomerCombinedCleaned[[#This Row],[ID]], Table4[ID], Table4[Teas], "Not Found", 0)</f>
        <v>13</v>
      </c>
      <c r="L344" s="16">
        <f>_xlfn.XLOOKUP(CustomerCombinedCleaned[[#This Row],[ID]], Table4[ID], Table4[Fruits], "Not Found", 0)</f>
        <v>13</v>
      </c>
      <c r="M344" s="16">
        <f>_xlfn.XLOOKUP(CustomerCombinedCleaned[[#This Row],[ID]], Table4[ID], Table4[Meats], "Not Found", 0)</f>
        <v>13</v>
      </c>
      <c r="N344" s="16">
        <f>_xlfn.XLOOKUP(CustomerCombinedCleaned[[#This Row],[ID]], Table4[ID], Table4[Seafood], "Not Found", 0)</f>
        <v>13</v>
      </c>
      <c r="O344" s="16">
        <f>_xlfn.XLOOKUP(CustomerCombinedCleaned[[#This Row],[ID]], Table4[ID], Table4[Sweets], "Not Found", 0)</f>
        <v>6</v>
      </c>
      <c r="P344" s="16">
        <f>_xlfn.XLOOKUP(CustomerCombinedCleaned[[#This Row],[ID]], Table4[ID], Table4[Premium], "Not Found", 0)</f>
        <v>6</v>
      </c>
      <c r="Q344" s="16">
        <f>_xlfn.XLOOKUP(CustomerCombinedCleaned[[#This Row],[ID]], Table4[ID], Table4[Regular], "Not Found", 0)</f>
        <v>51</v>
      </c>
      <c r="R344" s="16">
        <f>_xlfn.XLOOKUP(CustomerCombinedCleaned[[#This Row],[ID]], Table4[ID], Table4[Deals], "Not Found", 0)</f>
        <v>1</v>
      </c>
      <c r="S344" s="16">
        <f>_xlfn.XLOOKUP(CustomerCombinedCleaned[[#This Row],[ID]], Table4[ID], Table4[Website], "Not Found", 0)</f>
        <v>1</v>
      </c>
      <c r="T344" s="16">
        <f>_xlfn.XLOOKUP(CustomerCombinedCleaned[[#This Row],[ID]], Table4[ID], Table4[Catalog], "Not Found", 0)</f>
        <v>0</v>
      </c>
      <c r="U344" s="16">
        <f>_xlfn.XLOOKUP(CustomerCombinedCleaned[[#This Row],[ID]], Table4[ID], Table4[Store], "Not Found", 0)</f>
        <v>2</v>
      </c>
      <c r="V344" s="16">
        <f>_xlfn.XLOOKUP(CustomerCombinedCleaned[[#This Row],[ID]], Table4[ID], Table4[Visits], "Not Found", 0)</f>
        <v>8</v>
      </c>
      <c r="W344" s="16">
        <f>_xlfn.XLOOKUP(CustomerCombinedCleaned[[#This Row],[ID]], Table2[ID],Table2[Complaint], "Not Found", 0 )</f>
        <v>0</v>
      </c>
      <c r="X344" s="16">
        <f>_xlfn.XLOOKUP(CustomerCombinedCleaned[[#This Row],[ID]], Table2[ID],Table2[Pilot], "Not Found", 0 )</f>
        <v>0</v>
      </c>
      <c r="Y344" s="16">
        <f>_xlfn.XLOOKUP(CustomerCombinedCleaned[[#This Row],[ID]], Table2[ID],Table2[MC1], "Not Found", 0 )</f>
        <v>0</v>
      </c>
      <c r="Z344" s="16">
        <f>_xlfn.XLOOKUP(CustomerCombinedCleaned[[#This Row],[ID]], Table2[ID],Table2[MC2], "Not Found", 0 )</f>
        <v>0</v>
      </c>
      <c r="AA344" s="16">
        <f>_xlfn.XLOOKUP(CustomerCombinedCleaned[[#This Row],[ID]], Table2[ID],Table2[MC3], "Not Found", 0 )</f>
        <v>0</v>
      </c>
      <c r="AB344" s="16">
        <f>_xlfn.XLOOKUP(CustomerCombinedCleaned[[#This Row],[ID]], Table2[ID],Table2[MC4], "Not Found", 0 )</f>
        <v>0</v>
      </c>
      <c r="AC344" s="16">
        <f>_xlfn.XLOOKUP(CustomerCombinedCleaned[[#This Row],[ID]], Table2[ID],Table2[MC5], "Not Found", 0 )</f>
        <v>0</v>
      </c>
    </row>
    <row r="345" spans="1:29" x14ac:dyDescent="0.3">
      <c r="A345" s="18">
        <v>2308</v>
      </c>
      <c r="B345" s="16">
        <v>106560</v>
      </c>
      <c r="C345" s="16">
        <v>0</v>
      </c>
      <c r="D345" s="16">
        <v>0</v>
      </c>
      <c r="E345" s="16">
        <v>38</v>
      </c>
      <c r="F345" s="17" t="s">
        <v>7</v>
      </c>
      <c r="G345" s="17" t="s">
        <v>12</v>
      </c>
      <c r="H345" s="3" t="s">
        <v>136</v>
      </c>
      <c r="I345" s="5" t="s">
        <v>439</v>
      </c>
      <c r="J345" s="21">
        <v>2</v>
      </c>
      <c r="K345" s="21">
        <v>1088</v>
      </c>
      <c r="L345" s="21">
        <v>179</v>
      </c>
      <c r="M345" s="21">
        <v>422</v>
      </c>
      <c r="N345" s="21">
        <v>65</v>
      </c>
      <c r="O345" s="21">
        <v>49</v>
      </c>
      <c r="P345" s="21">
        <v>4256</v>
      </c>
      <c r="Q345" s="21">
        <v>2453</v>
      </c>
      <c r="R345" s="21">
        <v>0</v>
      </c>
      <c r="S345" s="21">
        <v>1</v>
      </c>
      <c r="T345" s="21">
        <v>0</v>
      </c>
      <c r="U345" s="21">
        <v>1</v>
      </c>
      <c r="V345" s="21">
        <v>17</v>
      </c>
      <c r="W345" s="21">
        <v>0</v>
      </c>
      <c r="X345" s="21">
        <v>0</v>
      </c>
      <c r="Y345" s="21">
        <v>0</v>
      </c>
      <c r="Z345" s="21">
        <v>0</v>
      </c>
      <c r="AA345" s="21">
        <v>0</v>
      </c>
      <c r="AB345" s="21">
        <v>0</v>
      </c>
      <c r="AC345" s="21">
        <v>0</v>
      </c>
    </row>
    <row r="346" spans="1:29" x14ac:dyDescent="0.3">
      <c r="A346" s="18">
        <v>1402</v>
      </c>
      <c r="B346" s="16">
        <v>191065</v>
      </c>
      <c r="C346" s="16">
        <v>0</v>
      </c>
      <c r="D346" s="16">
        <v>0</v>
      </c>
      <c r="E346" s="16">
        <v>39</v>
      </c>
      <c r="F346" s="17" t="s">
        <v>7</v>
      </c>
      <c r="G346" s="17" t="s">
        <v>11</v>
      </c>
      <c r="H346" s="3" t="s">
        <v>301</v>
      </c>
      <c r="I346" s="5" t="s">
        <v>439</v>
      </c>
      <c r="J346" s="16">
        <f>_xlfn.XLOOKUP(CustomerCombinedCleaned[[#This Row],[ID]], Table4[ID], Table4[Recency], "Not Found", 0)</f>
        <v>33</v>
      </c>
      <c r="K346" s="16">
        <f>_xlfn.XLOOKUP(CustomerCombinedCleaned[[#This Row],[ID]], Table4[ID], Table4[Teas], "Not Found", 0)</f>
        <v>1725</v>
      </c>
      <c r="L346" s="16">
        <f>_xlfn.XLOOKUP(CustomerCombinedCleaned[[#This Row],[ID]], Table4[ID], Table4[Fruits], "Not Found", 0)</f>
        <v>239</v>
      </c>
      <c r="M346" s="16">
        <f>_xlfn.XLOOKUP(CustomerCombinedCleaned[[#This Row],[ID]], Table4[ID], Table4[Meats], "Not Found", 0)</f>
        <v>227</v>
      </c>
      <c r="N346" s="16">
        <f>_xlfn.XLOOKUP(CustomerCombinedCleaned[[#This Row],[ID]], Table4[ID], Table4[Seafood], "Not Found", 0)</f>
        <v>376</v>
      </c>
      <c r="O346" s="16">
        <f>_xlfn.XLOOKUP(CustomerCombinedCleaned[[#This Row],[ID]], Table4[ID], Table4[Sweets], "Not Found", 0)</f>
        <v>287</v>
      </c>
      <c r="P346" s="16">
        <f>_xlfn.XLOOKUP(CustomerCombinedCleaned[[#This Row],[ID]], Table4[ID], Table4[Premium], "Not Found", 0)</f>
        <v>239</v>
      </c>
      <c r="Q346" s="16">
        <f>_xlfn.XLOOKUP(CustomerCombinedCleaned[[#This Row],[ID]], Table4[ID], Table4[Regular], "Not Found", 0)</f>
        <v>2614</v>
      </c>
      <c r="R346" s="16">
        <f>_xlfn.XLOOKUP(CustomerCombinedCleaned[[#This Row],[ID]], Table4[ID], Table4[Deals], "Not Found", 0)</f>
        <v>1</v>
      </c>
      <c r="S346" s="16">
        <f>_xlfn.XLOOKUP(CustomerCombinedCleaned[[#This Row],[ID]], Table4[ID], Table4[Website], "Not Found", 0)</f>
        <v>7</v>
      </c>
      <c r="T346" s="16">
        <f>_xlfn.XLOOKUP(CustomerCombinedCleaned[[#This Row],[ID]], Table4[ID], Table4[Catalog], "Not Found", 0)</f>
        <v>9</v>
      </c>
      <c r="U346" s="16">
        <f>_xlfn.XLOOKUP(CustomerCombinedCleaned[[#This Row],[ID]], Table4[ID], Table4[Store], "Not Found", 0)</f>
        <v>9</v>
      </c>
      <c r="V346" s="16">
        <f>_xlfn.XLOOKUP(CustomerCombinedCleaned[[#This Row],[ID]], Table4[ID], Table4[Visits], "Not Found", 0)</f>
        <v>3</v>
      </c>
      <c r="W346" s="16">
        <f>_xlfn.XLOOKUP(CustomerCombinedCleaned[[#This Row],[ID]], Table2[ID],Table2[Complaint], "Not Found", 0 )</f>
        <v>0</v>
      </c>
      <c r="X346" s="16">
        <f>_xlfn.XLOOKUP(CustomerCombinedCleaned[[#This Row],[ID]], Table2[ID],Table2[Pilot], "Not Found", 0 )</f>
        <v>1</v>
      </c>
      <c r="Y346" s="16">
        <f>_xlfn.XLOOKUP(CustomerCombinedCleaned[[#This Row],[ID]], Table2[ID],Table2[MC1], "Not Found", 0 )</f>
        <v>1</v>
      </c>
      <c r="Z346" s="16">
        <f>_xlfn.XLOOKUP(CustomerCombinedCleaned[[#This Row],[ID]], Table2[ID],Table2[MC2], "Not Found", 0 )</f>
        <v>0</v>
      </c>
      <c r="AA346" s="16">
        <f>_xlfn.XLOOKUP(CustomerCombinedCleaned[[#This Row],[ID]], Table2[ID],Table2[MC3], "Not Found", 0 )</f>
        <v>0</v>
      </c>
      <c r="AB346" s="16">
        <f>_xlfn.XLOOKUP(CustomerCombinedCleaned[[#This Row],[ID]], Table2[ID],Table2[MC4], "Not Found", 0 )</f>
        <v>0</v>
      </c>
      <c r="AC346" s="16">
        <f>_xlfn.XLOOKUP(CustomerCombinedCleaned[[#This Row],[ID]], Table2[ID],Table2[MC5], "Not Found", 0 )</f>
        <v>1</v>
      </c>
    </row>
    <row r="347" spans="1:29" x14ac:dyDescent="0.3">
      <c r="A347" s="18">
        <v>3179</v>
      </c>
      <c r="B347" s="16">
        <v>188325</v>
      </c>
      <c r="C347" s="16">
        <v>0</v>
      </c>
      <c r="D347" s="16">
        <v>0</v>
      </c>
      <c r="E347" s="16">
        <v>39</v>
      </c>
      <c r="F347" s="17" t="s">
        <v>8</v>
      </c>
      <c r="G347" s="17" t="s">
        <v>11</v>
      </c>
      <c r="H347" s="3" t="s">
        <v>557</v>
      </c>
      <c r="I347" s="5" t="s">
        <v>434</v>
      </c>
      <c r="J347" s="16">
        <f>_xlfn.XLOOKUP(CustomerCombinedCleaned[[#This Row],[ID]], Table4[ID], Table4[Recency], "Not Found", 0)</f>
        <v>42</v>
      </c>
      <c r="K347" s="16">
        <f>_xlfn.XLOOKUP(CustomerCombinedCleaned[[#This Row],[ID]], Table4[ID], Table4[Teas], "Not Found", 0)</f>
        <v>1107</v>
      </c>
      <c r="L347" s="16">
        <f>_xlfn.XLOOKUP(CustomerCombinedCleaned[[#This Row],[ID]], Table4[ID], Table4[Fruits], "Not Found", 0)</f>
        <v>151</v>
      </c>
      <c r="M347" s="16">
        <f>_xlfn.XLOOKUP(CustomerCombinedCleaned[[#This Row],[ID]], Table4[ID], Table4[Meats], "Not Found", 0)</f>
        <v>1834</v>
      </c>
      <c r="N347" s="16">
        <f>_xlfn.XLOOKUP(CustomerCombinedCleaned[[#This Row],[ID]], Table4[ID], Table4[Seafood], "Not Found", 0)</f>
        <v>198</v>
      </c>
      <c r="O347" s="16">
        <f>_xlfn.XLOOKUP(CustomerCombinedCleaned[[#This Row],[ID]], Table4[ID], Table4[Sweets], "Not Found", 0)</f>
        <v>58</v>
      </c>
      <c r="P347" s="16">
        <f>_xlfn.XLOOKUP(CustomerCombinedCleaned[[#This Row],[ID]], Table4[ID], Table4[Premium], "Not Found", 0)</f>
        <v>113</v>
      </c>
      <c r="Q347" s="16">
        <f>_xlfn.XLOOKUP(CustomerCombinedCleaned[[#This Row],[ID]], Table4[ID], Table4[Regular], "Not Found", 0)</f>
        <v>3235</v>
      </c>
      <c r="R347" s="16">
        <f>_xlfn.XLOOKUP(CustomerCombinedCleaned[[#This Row],[ID]], Table4[ID], Table4[Deals], "Not Found", 0)</f>
        <v>1</v>
      </c>
      <c r="S347" s="16">
        <f>_xlfn.XLOOKUP(CustomerCombinedCleaned[[#This Row],[ID]], Table4[ID], Table4[Website], "Not Found", 0)</f>
        <v>6</v>
      </c>
      <c r="T347" s="16">
        <f>_xlfn.XLOOKUP(CustomerCombinedCleaned[[#This Row],[ID]], Table4[ID], Table4[Catalog], "Not Found", 0)</f>
        <v>2</v>
      </c>
      <c r="U347" s="16">
        <f>_xlfn.XLOOKUP(CustomerCombinedCleaned[[#This Row],[ID]], Table4[ID], Table4[Store], "Not Found", 0)</f>
        <v>9</v>
      </c>
      <c r="V347" s="16">
        <f>_xlfn.XLOOKUP(CustomerCombinedCleaned[[#This Row],[ID]], Table4[ID], Table4[Visits], "Not Found", 0)</f>
        <v>2</v>
      </c>
      <c r="W347" s="16">
        <f>_xlfn.XLOOKUP(CustomerCombinedCleaned[[#This Row],[ID]], Table2[ID],Table2[Complaint], "Not Found", 0 )</f>
        <v>0</v>
      </c>
      <c r="X347" s="16">
        <f>_xlfn.XLOOKUP(CustomerCombinedCleaned[[#This Row],[ID]], Table2[ID],Table2[Pilot], "Not Found", 0 )</f>
        <v>0</v>
      </c>
      <c r="Y347" s="16">
        <f>_xlfn.XLOOKUP(CustomerCombinedCleaned[[#This Row],[ID]], Table2[ID],Table2[MC1], "Not Found", 0 )</f>
        <v>0</v>
      </c>
      <c r="Z347" s="16">
        <f>_xlfn.XLOOKUP(CustomerCombinedCleaned[[#This Row],[ID]], Table2[ID],Table2[MC2], "Not Found", 0 )</f>
        <v>0</v>
      </c>
      <c r="AA347" s="16">
        <f>_xlfn.XLOOKUP(CustomerCombinedCleaned[[#This Row],[ID]], Table2[ID],Table2[MC3], "Not Found", 0 )</f>
        <v>0</v>
      </c>
      <c r="AB347" s="16">
        <f>_xlfn.XLOOKUP(CustomerCombinedCleaned[[#This Row],[ID]], Table2[ID],Table2[MC4], "Not Found", 0 )</f>
        <v>0</v>
      </c>
      <c r="AC347" s="16">
        <f>_xlfn.XLOOKUP(CustomerCombinedCleaned[[#This Row],[ID]], Table2[ID],Table2[MC5], "Not Found", 0 )</f>
        <v>0</v>
      </c>
    </row>
    <row r="348" spans="1:29" x14ac:dyDescent="0.3">
      <c r="A348" s="18">
        <v>2057</v>
      </c>
      <c r="B348" s="16">
        <v>187171</v>
      </c>
      <c r="C348" s="16">
        <v>0</v>
      </c>
      <c r="D348" s="16">
        <v>0</v>
      </c>
      <c r="E348" s="16">
        <v>39</v>
      </c>
      <c r="F348" s="17" t="s">
        <v>6</v>
      </c>
      <c r="G348" s="17" t="s">
        <v>13</v>
      </c>
      <c r="H348" s="3" t="s">
        <v>546</v>
      </c>
      <c r="I348" s="5" t="s">
        <v>434</v>
      </c>
      <c r="J348" s="16">
        <f>_xlfn.XLOOKUP(CustomerCombinedCleaned[[#This Row],[ID]], Table4[ID], Table4[Recency], "Not Found", 0)</f>
        <v>27</v>
      </c>
      <c r="K348" s="16">
        <f>_xlfn.XLOOKUP(CustomerCombinedCleaned[[#This Row],[ID]], Table4[ID], Table4[Teas], "Not Found", 0)</f>
        <v>2149</v>
      </c>
      <c r="L348" s="16">
        <f>_xlfn.XLOOKUP(CustomerCombinedCleaned[[#This Row],[ID]], Table4[ID], Table4[Fruits], "Not Found", 0)</f>
        <v>94</v>
      </c>
      <c r="M348" s="16">
        <f>_xlfn.XLOOKUP(CustomerCombinedCleaned[[#This Row],[ID]], Table4[ID], Table4[Meats], "Not Found", 0)</f>
        <v>230</v>
      </c>
      <c r="N348" s="16">
        <f>_xlfn.XLOOKUP(CustomerCombinedCleaned[[#This Row],[ID]], Table4[ID], Table4[Seafood], "Not Found", 0)</f>
        <v>125</v>
      </c>
      <c r="O348" s="16">
        <f>_xlfn.XLOOKUP(CustomerCombinedCleaned[[#This Row],[ID]], Table4[ID], Table4[Sweets], "Not Found", 0)</f>
        <v>94</v>
      </c>
      <c r="P348" s="16">
        <f>_xlfn.XLOOKUP(CustomerCombinedCleaned[[#This Row],[ID]], Table4[ID], Table4[Premium], "Not Found", 0)</f>
        <v>94</v>
      </c>
      <c r="Q348" s="16">
        <f>_xlfn.XLOOKUP(CustomerCombinedCleaned[[#This Row],[ID]], Table4[ID], Table4[Regular], "Not Found", 0)</f>
        <v>2598</v>
      </c>
      <c r="R348" s="16">
        <f>_xlfn.XLOOKUP(CustomerCombinedCleaned[[#This Row],[ID]], Table4[ID], Table4[Deals], "Not Found", 0)</f>
        <v>1</v>
      </c>
      <c r="S348" s="16">
        <f>_xlfn.XLOOKUP(CustomerCombinedCleaned[[#This Row],[ID]], Table4[ID], Table4[Website], "Not Found", 0)</f>
        <v>6</v>
      </c>
      <c r="T348" s="16">
        <f>_xlfn.XLOOKUP(CustomerCombinedCleaned[[#This Row],[ID]], Table4[ID], Table4[Catalog], "Not Found", 0)</f>
        <v>7</v>
      </c>
      <c r="U348" s="16">
        <f>_xlfn.XLOOKUP(CustomerCombinedCleaned[[#This Row],[ID]], Table4[ID], Table4[Store], "Not Found", 0)</f>
        <v>11</v>
      </c>
      <c r="V348" s="16">
        <f>_xlfn.XLOOKUP(CustomerCombinedCleaned[[#This Row],[ID]], Table4[ID], Table4[Visits], "Not Found", 0)</f>
        <v>2</v>
      </c>
      <c r="W348" s="16">
        <f>_xlfn.XLOOKUP(CustomerCombinedCleaned[[#This Row],[ID]], Table2[ID],Table2[Complaint], "Not Found", 0 )</f>
        <v>0</v>
      </c>
      <c r="X348" s="16">
        <f>_xlfn.XLOOKUP(CustomerCombinedCleaned[[#This Row],[ID]], Table2[ID],Table2[Pilot], "Not Found", 0 )</f>
        <v>0</v>
      </c>
      <c r="Y348" s="16">
        <f>_xlfn.XLOOKUP(CustomerCombinedCleaned[[#This Row],[ID]], Table2[ID],Table2[MC1], "Not Found", 0 )</f>
        <v>0</v>
      </c>
      <c r="Z348" s="16">
        <f>_xlfn.XLOOKUP(CustomerCombinedCleaned[[#This Row],[ID]], Table2[ID],Table2[MC2], "Not Found", 0 )</f>
        <v>0</v>
      </c>
      <c r="AA348" s="16">
        <f>_xlfn.XLOOKUP(CustomerCombinedCleaned[[#This Row],[ID]], Table2[ID],Table2[MC3], "Not Found", 0 )</f>
        <v>1</v>
      </c>
      <c r="AB348" s="16">
        <f>_xlfn.XLOOKUP(CustomerCombinedCleaned[[#This Row],[ID]], Table2[ID],Table2[MC4], "Not Found", 0 )</f>
        <v>0</v>
      </c>
      <c r="AC348" s="16">
        <f>_xlfn.XLOOKUP(CustomerCombinedCleaned[[#This Row],[ID]], Table2[ID],Table2[MC5], "Not Found", 0 )</f>
        <v>1</v>
      </c>
    </row>
    <row r="349" spans="1:29" x14ac:dyDescent="0.3">
      <c r="A349" s="18">
        <v>1264</v>
      </c>
      <c r="B349" s="16">
        <v>177882</v>
      </c>
      <c r="C349" s="16">
        <v>0</v>
      </c>
      <c r="D349" s="16">
        <v>0</v>
      </c>
      <c r="E349" s="16">
        <v>39</v>
      </c>
      <c r="F349" s="17" t="s">
        <v>8</v>
      </c>
      <c r="G349" s="17" t="s">
        <v>12</v>
      </c>
      <c r="H349" s="3" t="s">
        <v>617</v>
      </c>
      <c r="I349" s="5" t="s">
        <v>439</v>
      </c>
      <c r="J349" s="16">
        <f>_xlfn.XLOOKUP(CustomerCombinedCleaned[[#This Row],[ID]], Table4[ID], Table4[Recency], "Not Found", 0)</f>
        <v>29</v>
      </c>
      <c r="K349" s="16">
        <f>_xlfn.XLOOKUP(CustomerCombinedCleaned[[#This Row],[ID]], Table4[ID], Table4[Teas], "Not Found", 0)</f>
        <v>155</v>
      </c>
      <c r="L349" s="16">
        <f>_xlfn.XLOOKUP(CustomerCombinedCleaned[[#This Row],[ID]], Table4[ID], Table4[Fruits], "Not Found", 0)</f>
        <v>295</v>
      </c>
      <c r="M349" s="16">
        <f>_xlfn.XLOOKUP(CustomerCombinedCleaned[[#This Row],[ID]], Table4[ID], Table4[Meats], "Not Found", 0)</f>
        <v>904</v>
      </c>
      <c r="N349" s="16">
        <f>_xlfn.XLOOKUP(CustomerCombinedCleaned[[#This Row],[ID]], Table4[ID], Table4[Seafood], "Not Found", 0)</f>
        <v>429</v>
      </c>
      <c r="O349" s="16">
        <f>_xlfn.XLOOKUP(CustomerCombinedCleaned[[#This Row],[ID]], Table4[ID], Table4[Sweets], "Not Found", 0)</f>
        <v>50</v>
      </c>
      <c r="P349" s="16">
        <f>_xlfn.XLOOKUP(CustomerCombinedCleaned[[#This Row],[ID]], Table4[ID], Table4[Premium], "Not Found", 0)</f>
        <v>34</v>
      </c>
      <c r="Q349" s="16">
        <f>_xlfn.XLOOKUP(CustomerCombinedCleaned[[#This Row],[ID]], Table4[ID], Table4[Regular], "Not Found", 0)</f>
        <v>1800</v>
      </c>
      <c r="R349" s="16">
        <f>_xlfn.XLOOKUP(CustomerCombinedCleaned[[#This Row],[ID]], Table4[ID], Table4[Deals], "Not Found", 0)</f>
        <v>1</v>
      </c>
      <c r="S349" s="16">
        <f>_xlfn.XLOOKUP(CustomerCombinedCleaned[[#This Row],[ID]], Table4[ID], Table4[Website], "Not Found", 0)</f>
        <v>3</v>
      </c>
      <c r="T349" s="16">
        <f>_xlfn.XLOOKUP(CustomerCombinedCleaned[[#This Row],[ID]], Table4[ID], Table4[Catalog], "Not Found", 0)</f>
        <v>3</v>
      </c>
      <c r="U349" s="16">
        <f>_xlfn.XLOOKUP(CustomerCombinedCleaned[[#This Row],[ID]], Table4[ID], Table4[Store], "Not Found", 0)</f>
        <v>5</v>
      </c>
      <c r="V349" s="16">
        <f>_xlfn.XLOOKUP(CustomerCombinedCleaned[[#This Row],[ID]], Table4[ID], Table4[Visits], "Not Found", 0)</f>
        <v>1</v>
      </c>
      <c r="W349" s="16">
        <f>_xlfn.XLOOKUP(CustomerCombinedCleaned[[#This Row],[ID]], Table2[ID],Table2[Complaint], "Not Found", 0 )</f>
        <v>0</v>
      </c>
      <c r="X349" s="16">
        <f>_xlfn.XLOOKUP(CustomerCombinedCleaned[[#This Row],[ID]], Table2[ID],Table2[Pilot], "Not Found", 0 )</f>
        <v>0</v>
      </c>
      <c r="Y349" s="16">
        <f>_xlfn.XLOOKUP(CustomerCombinedCleaned[[#This Row],[ID]], Table2[ID],Table2[MC1], "Not Found", 0 )</f>
        <v>0</v>
      </c>
      <c r="Z349" s="16">
        <f>_xlfn.XLOOKUP(CustomerCombinedCleaned[[#This Row],[ID]], Table2[ID],Table2[MC2], "Not Found", 0 )</f>
        <v>0</v>
      </c>
      <c r="AA349" s="16">
        <f>_xlfn.XLOOKUP(CustomerCombinedCleaned[[#This Row],[ID]], Table2[ID],Table2[MC3], "Not Found", 0 )</f>
        <v>0</v>
      </c>
      <c r="AB349" s="16">
        <f>_xlfn.XLOOKUP(CustomerCombinedCleaned[[#This Row],[ID]], Table2[ID],Table2[MC4], "Not Found", 0 )</f>
        <v>0</v>
      </c>
      <c r="AC349" s="16">
        <f>_xlfn.XLOOKUP(CustomerCombinedCleaned[[#This Row],[ID]], Table2[ID],Table2[MC5], "Not Found", 0 )</f>
        <v>0</v>
      </c>
    </row>
    <row r="350" spans="1:29" x14ac:dyDescent="0.3">
      <c r="A350" s="18">
        <v>2620</v>
      </c>
      <c r="B350" s="16">
        <v>175774</v>
      </c>
      <c r="C350" s="16">
        <v>1</v>
      </c>
      <c r="D350" s="16">
        <v>0</v>
      </c>
      <c r="E350" s="16">
        <v>39</v>
      </c>
      <c r="F350" s="17" t="s">
        <v>8</v>
      </c>
      <c r="G350" s="17" t="s">
        <v>11</v>
      </c>
      <c r="H350" s="3" t="s">
        <v>555</v>
      </c>
      <c r="I350" s="5" t="s">
        <v>439</v>
      </c>
      <c r="J350" s="16">
        <f>_xlfn.XLOOKUP(CustomerCombinedCleaned[[#This Row],[ID]], Table4[ID], Table4[Recency], "Not Found", 0)</f>
        <v>27</v>
      </c>
      <c r="K350" s="16">
        <f>_xlfn.XLOOKUP(CustomerCombinedCleaned[[#This Row],[ID]], Table4[ID], Table4[Teas], "Not Found", 0)</f>
        <v>789</v>
      </c>
      <c r="L350" s="16">
        <f>_xlfn.XLOOKUP(CustomerCombinedCleaned[[#This Row],[ID]], Table4[ID], Table4[Fruits], "Not Found", 0)</f>
        <v>49</v>
      </c>
      <c r="M350" s="16">
        <f>_xlfn.XLOOKUP(CustomerCombinedCleaned[[#This Row],[ID]], Table4[ID], Table4[Meats], "Not Found", 0)</f>
        <v>311</v>
      </c>
      <c r="N350" s="16">
        <f>_xlfn.XLOOKUP(CustomerCombinedCleaned[[#This Row],[ID]], Table4[ID], Table4[Seafood], "Not Found", 0)</f>
        <v>598</v>
      </c>
      <c r="O350" s="16">
        <f>_xlfn.XLOOKUP(CustomerCombinedCleaned[[#This Row],[ID]], Table4[ID], Table4[Sweets], "Not Found", 0)</f>
        <v>32</v>
      </c>
      <c r="P350" s="16">
        <f>_xlfn.XLOOKUP(CustomerCombinedCleaned[[#This Row],[ID]], Table4[ID], Table4[Premium], "Not Found", 0)</f>
        <v>130</v>
      </c>
      <c r="Q350" s="16">
        <f>_xlfn.XLOOKUP(CustomerCombinedCleaned[[#This Row],[ID]], Table4[ID], Table4[Regular], "Not Found", 0)</f>
        <v>1649</v>
      </c>
      <c r="R350" s="16">
        <f>_xlfn.XLOOKUP(CustomerCombinedCleaned[[#This Row],[ID]], Table4[ID], Table4[Deals], "Not Found", 0)</f>
        <v>1</v>
      </c>
      <c r="S350" s="16">
        <f>_xlfn.XLOOKUP(CustomerCombinedCleaned[[#This Row],[ID]], Table4[ID], Table4[Website], "Not Found", 0)</f>
        <v>7</v>
      </c>
      <c r="T350" s="16">
        <f>_xlfn.XLOOKUP(CustomerCombinedCleaned[[#This Row],[ID]], Table4[ID], Table4[Catalog], "Not Found", 0)</f>
        <v>5</v>
      </c>
      <c r="U350" s="16">
        <f>_xlfn.XLOOKUP(CustomerCombinedCleaned[[#This Row],[ID]], Table4[ID], Table4[Store], "Not Found", 0)</f>
        <v>8</v>
      </c>
      <c r="V350" s="16">
        <f>_xlfn.XLOOKUP(CustomerCombinedCleaned[[#This Row],[ID]], Table4[ID], Table4[Visits], "Not Found", 0)</f>
        <v>4</v>
      </c>
      <c r="W350" s="16">
        <f>_xlfn.XLOOKUP(CustomerCombinedCleaned[[#This Row],[ID]], Table2[ID],Table2[Complaint], "Not Found", 0 )</f>
        <v>0</v>
      </c>
      <c r="X350" s="16">
        <f>_xlfn.XLOOKUP(CustomerCombinedCleaned[[#This Row],[ID]], Table2[ID],Table2[Pilot], "Not Found", 0 )</f>
        <v>0</v>
      </c>
      <c r="Y350" s="16">
        <f>_xlfn.XLOOKUP(CustomerCombinedCleaned[[#This Row],[ID]], Table2[ID],Table2[MC1], "Not Found", 0 )</f>
        <v>0</v>
      </c>
      <c r="Z350" s="16">
        <f>_xlfn.XLOOKUP(CustomerCombinedCleaned[[#This Row],[ID]], Table2[ID],Table2[MC2], "Not Found", 0 )</f>
        <v>0</v>
      </c>
      <c r="AA350" s="16">
        <f>_xlfn.XLOOKUP(CustomerCombinedCleaned[[#This Row],[ID]], Table2[ID],Table2[MC3], "Not Found", 0 )</f>
        <v>0</v>
      </c>
      <c r="AB350" s="16">
        <f>_xlfn.XLOOKUP(CustomerCombinedCleaned[[#This Row],[ID]], Table2[ID],Table2[MC4], "Not Found", 0 )</f>
        <v>0</v>
      </c>
      <c r="AC350" s="16">
        <f>_xlfn.XLOOKUP(CustomerCombinedCleaned[[#This Row],[ID]], Table2[ID],Table2[MC5], "Not Found", 0 )</f>
        <v>0</v>
      </c>
    </row>
    <row r="351" spans="1:29" x14ac:dyDescent="0.3">
      <c r="A351" s="18">
        <v>2774</v>
      </c>
      <c r="B351" s="16">
        <v>175774</v>
      </c>
      <c r="C351" s="16">
        <v>1</v>
      </c>
      <c r="D351" s="16">
        <v>0</v>
      </c>
      <c r="E351" s="16">
        <v>39</v>
      </c>
      <c r="F351" s="17" t="s">
        <v>8</v>
      </c>
      <c r="G351" s="17" t="s">
        <v>11</v>
      </c>
      <c r="H351" s="3" t="s">
        <v>555</v>
      </c>
      <c r="I351" s="5" t="s">
        <v>438</v>
      </c>
      <c r="J351" s="16">
        <f>_xlfn.XLOOKUP(CustomerCombinedCleaned[[#This Row],[ID]], Table4[ID], Table4[Recency], "Not Found", 0)</f>
        <v>27</v>
      </c>
      <c r="K351" s="16">
        <f>_xlfn.XLOOKUP(CustomerCombinedCleaned[[#This Row],[ID]], Table4[ID], Table4[Teas], "Not Found", 0)</f>
        <v>789</v>
      </c>
      <c r="L351" s="16">
        <f>_xlfn.XLOOKUP(CustomerCombinedCleaned[[#This Row],[ID]], Table4[ID], Table4[Fruits], "Not Found", 0)</f>
        <v>49</v>
      </c>
      <c r="M351" s="16">
        <f>_xlfn.XLOOKUP(CustomerCombinedCleaned[[#This Row],[ID]], Table4[ID], Table4[Meats], "Not Found", 0)</f>
        <v>311</v>
      </c>
      <c r="N351" s="16">
        <f>_xlfn.XLOOKUP(CustomerCombinedCleaned[[#This Row],[ID]], Table4[ID], Table4[Seafood], "Not Found", 0)</f>
        <v>598</v>
      </c>
      <c r="O351" s="16">
        <f>_xlfn.XLOOKUP(CustomerCombinedCleaned[[#This Row],[ID]], Table4[ID], Table4[Sweets], "Not Found", 0)</f>
        <v>32</v>
      </c>
      <c r="P351" s="16">
        <f>_xlfn.XLOOKUP(CustomerCombinedCleaned[[#This Row],[ID]], Table4[ID], Table4[Premium], "Not Found", 0)</f>
        <v>130</v>
      </c>
      <c r="Q351" s="16">
        <f>_xlfn.XLOOKUP(CustomerCombinedCleaned[[#This Row],[ID]], Table4[ID], Table4[Regular], "Not Found", 0)</f>
        <v>1649</v>
      </c>
      <c r="R351" s="16">
        <f>_xlfn.XLOOKUP(CustomerCombinedCleaned[[#This Row],[ID]], Table4[ID], Table4[Deals], "Not Found", 0)</f>
        <v>1</v>
      </c>
      <c r="S351" s="16">
        <f>_xlfn.XLOOKUP(CustomerCombinedCleaned[[#This Row],[ID]], Table4[ID], Table4[Website], "Not Found", 0)</f>
        <v>7</v>
      </c>
      <c r="T351" s="16">
        <f>_xlfn.XLOOKUP(CustomerCombinedCleaned[[#This Row],[ID]], Table4[ID], Table4[Catalog], "Not Found", 0)</f>
        <v>5</v>
      </c>
      <c r="U351" s="16">
        <f>_xlfn.XLOOKUP(CustomerCombinedCleaned[[#This Row],[ID]], Table4[ID], Table4[Store], "Not Found", 0)</f>
        <v>8</v>
      </c>
      <c r="V351" s="16">
        <f>_xlfn.XLOOKUP(CustomerCombinedCleaned[[#This Row],[ID]], Table4[ID], Table4[Visits], "Not Found", 0)</f>
        <v>4</v>
      </c>
      <c r="W351" s="16">
        <f>_xlfn.XLOOKUP(CustomerCombinedCleaned[[#This Row],[ID]], Table2[ID],Table2[Complaint], "Not Found", 0 )</f>
        <v>0</v>
      </c>
      <c r="X351" s="16">
        <f>_xlfn.XLOOKUP(CustomerCombinedCleaned[[#This Row],[ID]], Table2[ID],Table2[Pilot], "Not Found", 0 )</f>
        <v>0</v>
      </c>
      <c r="Y351" s="16">
        <f>_xlfn.XLOOKUP(CustomerCombinedCleaned[[#This Row],[ID]], Table2[ID],Table2[MC1], "Not Found", 0 )</f>
        <v>0</v>
      </c>
      <c r="Z351" s="16">
        <f>_xlfn.XLOOKUP(CustomerCombinedCleaned[[#This Row],[ID]], Table2[ID],Table2[MC2], "Not Found", 0 )</f>
        <v>0</v>
      </c>
      <c r="AA351" s="16">
        <f>_xlfn.XLOOKUP(CustomerCombinedCleaned[[#This Row],[ID]], Table2[ID],Table2[MC3], "Not Found", 0 )</f>
        <v>0</v>
      </c>
      <c r="AB351" s="16">
        <f>_xlfn.XLOOKUP(CustomerCombinedCleaned[[#This Row],[ID]], Table2[ID],Table2[MC4], "Not Found", 0 )</f>
        <v>0</v>
      </c>
      <c r="AC351" s="16">
        <f>_xlfn.XLOOKUP(CustomerCombinedCleaned[[#This Row],[ID]], Table2[ID],Table2[MC5], "Not Found", 0 )</f>
        <v>0</v>
      </c>
    </row>
    <row r="352" spans="1:29" x14ac:dyDescent="0.3">
      <c r="A352" s="18">
        <v>2634</v>
      </c>
      <c r="B352" s="16">
        <v>172066</v>
      </c>
      <c r="C352" s="16">
        <v>0</v>
      </c>
      <c r="D352" s="16">
        <v>0</v>
      </c>
      <c r="E352" s="16">
        <v>39</v>
      </c>
      <c r="F352" s="17" t="s">
        <v>7</v>
      </c>
      <c r="G352" s="17" t="s">
        <v>11</v>
      </c>
      <c r="H352" s="3" t="s">
        <v>26</v>
      </c>
      <c r="I352" s="5" t="s">
        <v>436</v>
      </c>
      <c r="J352" s="16">
        <f>_xlfn.XLOOKUP(CustomerCombinedCleaned[[#This Row],[ID]], Table4[ID], Table4[Recency], "Not Found", 0)</f>
        <v>55</v>
      </c>
      <c r="K352" s="16">
        <f>_xlfn.XLOOKUP(CustomerCombinedCleaned[[#This Row],[ID]], Table4[ID], Table4[Teas], "Not Found", 0)</f>
        <v>2395</v>
      </c>
      <c r="L352" s="16">
        <f>_xlfn.XLOOKUP(CustomerCombinedCleaned[[#This Row],[ID]], Table4[ID], Table4[Fruits], "Not Found", 0)</f>
        <v>81</v>
      </c>
      <c r="M352" s="16">
        <f>_xlfn.XLOOKUP(CustomerCombinedCleaned[[#This Row],[ID]], Table4[ID], Table4[Meats], "Not Found", 0)</f>
        <v>1280</v>
      </c>
      <c r="N352" s="16">
        <f>_xlfn.XLOOKUP(CustomerCombinedCleaned[[#This Row],[ID]], Table4[ID], Table4[Seafood], "Not Found", 0)</f>
        <v>320</v>
      </c>
      <c r="O352" s="16">
        <f>_xlfn.XLOOKUP(CustomerCombinedCleaned[[#This Row],[ID]], Table4[ID], Table4[Sweets], "Not Found", 0)</f>
        <v>122</v>
      </c>
      <c r="P352" s="16">
        <f>_xlfn.XLOOKUP(CustomerCombinedCleaned[[#This Row],[ID]], Table4[ID], Table4[Premium], "Not Found", 0)</f>
        <v>81</v>
      </c>
      <c r="Q352" s="16">
        <f>_xlfn.XLOOKUP(CustomerCombinedCleaned[[#This Row],[ID]], Table4[ID], Table4[Regular], "Not Found", 0)</f>
        <v>4116</v>
      </c>
      <c r="R352" s="16">
        <f>_xlfn.XLOOKUP(CustomerCombinedCleaned[[#This Row],[ID]], Table4[ID], Table4[Deals], "Not Found", 0)</f>
        <v>1</v>
      </c>
      <c r="S352" s="16">
        <f>_xlfn.XLOOKUP(CustomerCombinedCleaned[[#This Row],[ID]], Table4[ID], Table4[Website], "Not Found", 0)</f>
        <v>4</v>
      </c>
      <c r="T352" s="16">
        <f>_xlfn.XLOOKUP(CustomerCombinedCleaned[[#This Row],[ID]], Table4[ID], Table4[Catalog], "Not Found", 0)</f>
        <v>6</v>
      </c>
      <c r="U352" s="16">
        <f>_xlfn.XLOOKUP(CustomerCombinedCleaned[[#This Row],[ID]], Table4[ID], Table4[Store], "Not Found", 0)</f>
        <v>6</v>
      </c>
      <c r="V352" s="16">
        <f>_xlfn.XLOOKUP(CustomerCombinedCleaned[[#This Row],[ID]], Table4[ID], Table4[Visits], "Not Found", 0)</f>
        <v>2</v>
      </c>
      <c r="W352" s="16">
        <f>_xlfn.XLOOKUP(CustomerCombinedCleaned[[#This Row],[ID]], Table2[ID],Table2[Complaint], "Not Found", 0 )</f>
        <v>0</v>
      </c>
      <c r="X352" s="16">
        <f>_xlfn.XLOOKUP(CustomerCombinedCleaned[[#This Row],[ID]], Table2[ID],Table2[Pilot], "Not Found", 0 )</f>
        <v>1</v>
      </c>
      <c r="Y352" s="16">
        <f>_xlfn.XLOOKUP(CustomerCombinedCleaned[[#This Row],[ID]], Table2[ID],Table2[MC1], "Not Found", 0 )</f>
        <v>1</v>
      </c>
      <c r="Z352" s="16">
        <f>_xlfn.XLOOKUP(CustomerCombinedCleaned[[#This Row],[ID]], Table2[ID],Table2[MC2], "Not Found", 0 )</f>
        <v>0</v>
      </c>
      <c r="AA352" s="16">
        <f>_xlfn.XLOOKUP(CustomerCombinedCleaned[[#This Row],[ID]], Table2[ID],Table2[MC3], "Not Found", 0 )</f>
        <v>0</v>
      </c>
      <c r="AB352" s="16">
        <f>_xlfn.XLOOKUP(CustomerCombinedCleaned[[#This Row],[ID]], Table2[ID],Table2[MC4], "Not Found", 0 )</f>
        <v>0</v>
      </c>
      <c r="AC352" s="16">
        <f>_xlfn.XLOOKUP(CustomerCombinedCleaned[[#This Row],[ID]], Table2[ID],Table2[MC5], "Not Found", 0 )</f>
        <v>1</v>
      </c>
    </row>
    <row r="353" spans="1:29" x14ac:dyDescent="0.3">
      <c r="A353" s="18">
        <v>2623</v>
      </c>
      <c r="B353" s="16">
        <v>158684</v>
      </c>
      <c r="C353" s="16">
        <v>0</v>
      </c>
      <c r="D353" s="16">
        <v>0</v>
      </c>
      <c r="E353" s="16">
        <v>39</v>
      </c>
      <c r="F353" s="17" t="s">
        <v>7</v>
      </c>
      <c r="G353" s="17" t="s">
        <v>11</v>
      </c>
      <c r="H353" s="3" t="s">
        <v>33</v>
      </c>
      <c r="I353" s="5" t="s">
        <v>437</v>
      </c>
      <c r="J353" s="16">
        <f>_xlfn.XLOOKUP(CustomerCombinedCleaned[[#This Row],[ID]], Table4[ID], Table4[Recency], "Not Found", 0)</f>
        <v>71</v>
      </c>
      <c r="K353" s="16">
        <f>_xlfn.XLOOKUP(CustomerCombinedCleaned[[#This Row],[ID]], Table4[ID], Table4[Teas], "Not Found", 0)</f>
        <v>1295</v>
      </c>
      <c r="L353" s="16">
        <f>_xlfn.XLOOKUP(CustomerCombinedCleaned[[#This Row],[ID]], Table4[ID], Table4[Fruits], "Not Found", 0)</f>
        <v>95</v>
      </c>
      <c r="M353" s="16">
        <f>_xlfn.XLOOKUP(CustomerCombinedCleaned[[#This Row],[ID]], Table4[ID], Table4[Meats], "Not Found", 0)</f>
        <v>484</v>
      </c>
      <c r="N353" s="16">
        <f>_xlfn.XLOOKUP(CustomerCombinedCleaned[[#This Row],[ID]], Table4[ID], Table4[Seafood], "Not Found", 0)</f>
        <v>76</v>
      </c>
      <c r="O353" s="16">
        <f>_xlfn.XLOOKUP(CustomerCombinedCleaned[[#This Row],[ID]], Table4[ID], Table4[Sweets], "Not Found", 0)</f>
        <v>19</v>
      </c>
      <c r="P353" s="16">
        <f>_xlfn.XLOOKUP(CustomerCombinedCleaned[[#This Row],[ID]], Table4[ID], Table4[Premium], "Not Found", 0)</f>
        <v>230</v>
      </c>
      <c r="Q353" s="16">
        <f>_xlfn.XLOOKUP(CustomerCombinedCleaned[[#This Row],[ID]], Table4[ID], Table4[Regular], "Not Found", 0)</f>
        <v>1739</v>
      </c>
      <c r="R353" s="16">
        <f>_xlfn.XLOOKUP(CustomerCombinedCleaned[[#This Row],[ID]], Table4[ID], Table4[Deals], "Not Found", 0)</f>
        <v>1</v>
      </c>
      <c r="S353" s="16">
        <f>_xlfn.XLOOKUP(CustomerCombinedCleaned[[#This Row],[ID]], Table4[ID], Table4[Website], "Not Found", 0)</f>
        <v>5</v>
      </c>
      <c r="T353" s="16">
        <f>_xlfn.XLOOKUP(CustomerCombinedCleaned[[#This Row],[ID]], Table4[ID], Table4[Catalog], "Not Found", 0)</f>
        <v>3</v>
      </c>
      <c r="U353" s="16">
        <f>_xlfn.XLOOKUP(CustomerCombinedCleaned[[#This Row],[ID]], Table4[ID], Table4[Store], "Not Found", 0)</f>
        <v>12</v>
      </c>
      <c r="V353" s="16">
        <f>_xlfn.XLOOKUP(CustomerCombinedCleaned[[#This Row],[ID]], Table4[ID], Table4[Visits], "Not Found", 0)</f>
        <v>2</v>
      </c>
      <c r="W353" s="16">
        <f>_xlfn.XLOOKUP(CustomerCombinedCleaned[[#This Row],[ID]], Table2[ID],Table2[Complaint], "Not Found", 0 )</f>
        <v>0</v>
      </c>
      <c r="X353" s="16">
        <f>_xlfn.XLOOKUP(CustomerCombinedCleaned[[#This Row],[ID]], Table2[ID],Table2[Pilot], "Not Found", 0 )</f>
        <v>0</v>
      </c>
      <c r="Y353" s="16">
        <f>_xlfn.XLOOKUP(CustomerCombinedCleaned[[#This Row],[ID]], Table2[ID],Table2[MC1], "Not Found", 0 )</f>
        <v>0</v>
      </c>
      <c r="Z353" s="16">
        <f>_xlfn.XLOOKUP(CustomerCombinedCleaned[[#This Row],[ID]], Table2[ID],Table2[MC2], "Not Found", 0 )</f>
        <v>0</v>
      </c>
      <c r="AA353" s="16">
        <f>_xlfn.XLOOKUP(CustomerCombinedCleaned[[#This Row],[ID]], Table2[ID],Table2[MC3], "Not Found", 0 )</f>
        <v>0</v>
      </c>
      <c r="AB353" s="16">
        <f>_xlfn.XLOOKUP(CustomerCombinedCleaned[[#This Row],[ID]], Table2[ID],Table2[MC4], "Not Found", 0 )</f>
        <v>1</v>
      </c>
      <c r="AC353" s="16">
        <f>_xlfn.XLOOKUP(CustomerCombinedCleaned[[#This Row],[ID]], Table2[ID],Table2[MC5], "Not Found", 0 )</f>
        <v>0</v>
      </c>
    </row>
    <row r="354" spans="1:29" x14ac:dyDescent="0.3">
      <c r="A354" s="18">
        <v>1005</v>
      </c>
      <c r="B354" s="16">
        <v>158293</v>
      </c>
      <c r="C354" s="16">
        <v>1</v>
      </c>
      <c r="D354" s="16">
        <v>0</v>
      </c>
      <c r="E354" s="16">
        <v>39</v>
      </c>
      <c r="F354" s="17" t="s">
        <v>6</v>
      </c>
      <c r="G354" s="17" t="s">
        <v>13</v>
      </c>
      <c r="H354" s="3" t="s">
        <v>112</v>
      </c>
      <c r="I354" s="5" t="s">
        <v>435</v>
      </c>
      <c r="J354" s="16">
        <f>_xlfn.XLOOKUP(CustomerCombinedCleaned[[#This Row],[ID]], Table4[ID], Table4[Recency], "Not Found", 0)</f>
        <v>94</v>
      </c>
      <c r="K354" s="16">
        <f>_xlfn.XLOOKUP(CustomerCombinedCleaned[[#This Row],[ID]], Table4[ID], Table4[Teas], "Not Found", 0)</f>
        <v>470</v>
      </c>
      <c r="L354" s="16">
        <f>_xlfn.XLOOKUP(CustomerCombinedCleaned[[#This Row],[ID]], Table4[ID], Table4[Fruits], "Not Found", 0)</f>
        <v>117</v>
      </c>
      <c r="M354" s="16">
        <f>_xlfn.XLOOKUP(CustomerCombinedCleaned[[#This Row],[ID]], Table4[ID], Table4[Meats], "Not Found", 0)</f>
        <v>320</v>
      </c>
      <c r="N354" s="16">
        <f>_xlfn.XLOOKUP(CustomerCombinedCleaned[[#This Row],[ID]], Table4[ID], Table4[Seafood], "Not Found", 0)</f>
        <v>125</v>
      </c>
      <c r="O354" s="16">
        <f>_xlfn.XLOOKUP(CustomerCombinedCleaned[[#This Row],[ID]], Table4[ID], Table4[Sweets], "Not Found", 0)</f>
        <v>73</v>
      </c>
      <c r="P354" s="16">
        <f>_xlfn.XLOOKUP(CustomerCombinedCleaned[[#This Row],[ID]], Table4[ID], Table4[Premium], "Not Found", 0)</f>
        <v>41</v>
      </c>
      <c r="Q354" s="16">
        <f>_xlfn.XLOOKUP(CustomerCombinedCleaned[[#This Row],[ID]], Table4[ID], Table4[Regular], "Not Found", 0)</f>
        <v>1064</v>
      </c>
      <c r="R354" s="16">
        <f>_xlfn.XLOOKUP(CustomerCombinedCleaned[[#This Row],[ID]], Table4[ID], Table4[Deals], "Not Found", 0)</f>
        <v>5</v>
      </c>
      <c r="S354" s="16">
        <f>_xlfn.XLOOKUP(CustomerCombinedCleaned[[#This Row],[ID]], Table4[ID], Table4[Website], "Not Found", 0)</f>
        <v>5</v>
      </c>
      <c r="T354" s="16">
        <f>_xlfn.XLOOKUP(CustomerCombinedCleaned[[#This Row],[ID]], Table4[ID], Table4[Catalog], "Not Found", 0)</f>
        <v>3</v>
      </c>
      <c r="U354" s="16">
        <f>_xlfn.XLOOKUP(CustomerCombinedCleaned[[#This Row],[ID]], Table4[ID], Table4[Store], "Not Found", 0)</f>
        <v>6</v>
      </c>
      <c r="V354" s="16">
        <f>_xlfn.XLOOKUP(CustomerCombinedCleaned[[#This Row],[ID]], Table4[ID], Table4[Visits], "Not Found", 0)</f>
        <v>5</v>
      </c>
      <c r="W354" s="16">
        <f>_xlfn.XLOOKUP(CustomerCombinedCleaned[[#This Row],[ID]], Table2[ID],Table2[Complaint], "Not Found", 0 )</f>
        <v>0</v>
      </c>
      <c r="X354" s="16">
        <f>_xlfn.XLOOKUP(CustomerCombinedCleaned[[#This Row],[ID]], Table2[ID],Table2[Pilot], "Not Found", 0 )</f>
        <v>0</v>
      </c>
      <c r="Y354" s="16">
        <f>_xlfn.XLOOKUP(CustomerCombinedCleaned[[#This Row],[ID]], Table2[ID],Table2[MC1], "Not Found", 0 )</f>
        <v>0</v>
      </c>
      <c r="Z354" s="16">
        <f>_xlfn.XLOOKUP(CustomerCombinedCleaned[[#This Row],[ID]], Table2[ID],Table2[MC2], "Not Found", 0 )</f>
        <v>0</v>
      </c>
      <c r="AA354" s="16">
        <f>_xlfn.XLOOKUP(CustomerCombinedCleaned[[#This Row],[ID]], Table2[ID],Table2[MC3], "Not Found", 0 )</f>
        <v>0</v>
      </c>
      <c r="AB354" s="16">
        <f>_xlfn.XLOOKUP(CustomerCombinedCleaned[[#This Row],[ID]], Table2[ID],Table2[MC4], "Not Found", 0 )</f>
        <v>0</v>
      </c>
      <c r="AC354" s="16">
        <f>_xlfn.XLOOKUP(CustomerCombinedCleaned[[#This Row],[ID]], Table2[ID],Table2[MC5], "Not Found", 0 )</f>
        <v>0</v>
      </c>
    </row>
    <row r="355" spans="1:29" x14ac:dyDescent="0.3">
      <c r="A355" s="18">
        <v>3203</v>
      </c>
      <c r="B355" s="16">
        <v>156981</v>
      </c>
      <c r="C355" s="16">
        <v>0</v>
      </c>
      <c r="D355" s="16">
        <v>0</v>
      </c>
      <c r="E355" s="16">
        <v>39</v>
      </c>
      <c r="F355" s="17" t="s">
        <v>5</v>
      </c>
      <c r="G355" s="17" t="s">
        <v>11</v>
      </c>
      <c r="H355" s="3" t="s">
        <v>587</v>
      </c>
      <c r="I355" s="5" t="s">
        <v>434</v>
      </c>
      <c r="J355" s="16">
        <f>_xlfn.XLOOKUP(CustomerCombinedCleaned[[#This Row],[ID]], Table4[ID], Table4[Recency], "Not Found", 0)</f>
        <v>91</v>
      </c>
      <c r="K355" s="16">
        <f>_xlfn.XLOOKUP(CustomerCombinedCleaned[[#This Row],[ID]], Table4[ID], Table4[Teas], "Not Found", 0)</f>
        <v>2502</v>
      </c>
      <c r="L355" s="16">
        <f>_xlfn.XLOOKUP(CustomerCombinedCleaned[[#This Row],[ID]], Table4[ID], Table4[Fruits], "Not Found", 0)</f>
        <v>132</v>
      </c>
      <c r="M355" s="16">
        <f>_xlfn.XLOOKUP(CustomerCombinedCleaned[[#This Row],[ID]], Table4[ID], Table4[Meats], "Not Found", 0)</f>
        <v>598</v>
      </c>
      <c r="N355" s="16">
        <f>_xlfn.XLOOKUP(CustomerCombinedCleaned[[#This Row],[ID]], Table4[ID], Table4[Seafood], "Not Found", 0)</f>
        <v>88</v>
      </c>
      <c r="O355" s="16">
        <f>_xlfn.XLOOKUP(CustomerCombinedCleaned[[#This Row],[ID]], Table4[ID], Table4[Sweets], "Not Found", 0)</f>
        <v>33</v>
      </c>
      <c r="P355" s="16">
        <f>_xlfn.XLOOKUP(CustomerCombinedCleaned[[#This Row],[ID]], Table4[ID], Table4[Premium], "Not Found", 0)</f>
        <v>66</v>
      </c>
      <c r="Q355" s="16">
        <f>_xlfn.XLOOKUP(CustomerCombinedCleaned[[#This Row],[ID]], Table4[ID], Table4[Regular], "Not Found", 0)</f>
        <v>3287</v>
      </c>
      <c r="R355" s="16">
        <f>_xlfn.XLOOKUP(CustomerCombinedCleaned[[#This Row],[ID]], Table4[ID], Table4[Deals], "Not Found", 0)</f>
        <v>1</v>
      </c>
      <c r="S355" s="16">
        <f>_xlfn.XLOOKUP(CustomerCombinedCleaned[[#This Row],[ID]], Table4[ID], Table4[Website], "Not Found", 0)</f>
        <v>2</v>
      </c>
      <c r="T355" s="16">
        <f>_xlfn.XLOOKUP(CustomerCombinedCleaned[[#This Row],[ID]], Table4[ID], Table4[Catalog], "Not Found", 0)</f>
        <v>3</v>
      </c>
      <c r="U355" s="16">
        <f>_xlfn.XLOOKUP(CustomerCombinedCleaned[[#This Row],[ID]], Table4[ID], Table4[Store], "Not Found", 0)</f>
        <v>13</v>
      </c>
      <c r="V355" s="16">
        <f>_xlfn.XLOOKUP(CustomerCombinedCleaned[[#This Row],[ID]], Table4[ID], Table4[Visits], "Not Found", 0)</f>
        <v>6</v>
      </c>
      <c r="W355" s="16">
        <f>_xlfn.XLOOKUP(CustomerCombinedCleaned[[#This Row],[ID]], Table2[ID],Table2[Complaint], "Not Found", 0 )</f>
        <v>0</v>
      </c>
      <c r="X355" s="16">
        <f>_xlfn.XLOOKUP(CustomerCombinedCleaned[[#This Row],[ID]], Table2[ID],Table2[Pilot], "Not Found", 0 )</f>
        <v>0</v>
      </c>
      <c r="Y355" s="16">
        <f>_xlfn.XLOOKUP(CustomerCombinedCleaned[[#This Row],[ID]], Table2[ID],Table2[MC1], "Not Found", 0 )</f>
        <v>0</v>
      </c>
      <c r="Z355" s="16">
        <f>_xlfn.XLOOKUP(CustomerCombinedCleaned[[#This Row],[ID]], Table2[ID],Table2[MC2], "Not Found", 0 )</f>
        <v>0</v>
      </c>
      <c r="AA355" s="16">
        <f>_xlfn.XLOOKUP(CustomerCombinedCleaned[[#This Row],[ID]], Table2[ID],Table2[MC3], "Not Found", 0 )</f>
        <v>0</v>
      </c>
      <c r="AB355" s="16">
        <f>_xlfn.XLOOKUP(CustomerCombinedCleaned[[#This Row],[ID]], Table2[ID],Table2[MC4], "Not Found", 0 )</f>
        <v>1</v>
      </c>
      <c r="AC355" s="16">
        <f>_xlfn.XLOOKUP(CustomerCombinedCleaned[[#This Row],[ID]], Table2[ID],Table2[MC5], "Not Found", 0 )</f>
        <v>0</v>
      </c>
    </row>
    <row r="356" spans="1:29" x14ac:dyDescent="0.3">
      <c r="A356" s="18">
        <v>1456</v>
      </c>
      <c r="B356" s="16">
        <v>156937</v>
      </c>
      <c r="C356" s="16">
        <v>1</v>
      </c>
      <c r="D356" s="16">
        <v>0</v>
      </c>
      <c r="E356" s="16">
        <v>39</v>
      </c>
      <c r="F356" s="17" t="s">
        <v>8</v>
      </c>
      <c r="G356" s="17" t="s">
        <v>13</v>
      </c>
      <c r="H356" s="3" t="s">
        <v>728</v>
      </c>
      <c r="I356" s="5" t="s">
        <v>439</v>
      </c>
      <c r="J356" s="16">
        <f>_xlfn.XLOOKUP(CustomerCombinedCleaned[[#This Row],[ID]], Table4[ID], Table4[Recency], "Not Found", 0)</f>
        <v>81</v>
      </c>
      <c r="K356" s="16">
        <f>_xlfn.XLOOKUP(CustomerCombinedCleaned[[#This Row],[ID]], Table4[ID], Table4[Teas], "Not Found", 0)</f>
        <v>2056</v>
      </c>
      <c r="L356" s="16">
        <f>_xlfn.XLOOKUP(CustomerCombinedCleaned[[#This Row],[ID]], Table4[ID], Table4[Fruits], "Not Found", 0)</f>
        <v>22</v>
      </c>
      <c r="M356" s="16">
        <f>_xlfn.XLOOKUP(CustomerCombinedCleaned[[#This Row],[ID]], Table4[ID], Table4[Meats], "Not Found", 0)</f>
        <v>345</v>
      </c>
      <c r="N356" s="16">
        <f>_xlfn.XLOOKUP(CustomerCombinedCleaned[[#This Row],[ID]], Table4[ID], Table4[Seafood], "Not Found", 0)</f>
        <v>30</v>
      </c>
      <c r="O356" s="16">
        <f>_xlfn.XLOOKUP(CustomerCombinedCleaned[[#This Row],[ID]], Table4[ID], Table4[Sweets], "Not Found", 0)</f>
        <v>22</v>
      </c>
      <c r="P356" s="16">
        <f>_xlfn.XLOOKUP(CustomerCombinedCleaned[[#This Row],[ID]], Table4[ID], Table4[Premium], "Not Found", 0)</f>
        <v>22</v>
      </c>
      <c r="Q356" s="16">
        <f>_xlfn.XLOOKUP(CustomerCombinedCleaned[[#This Row],[ID]], Table4[ID], Table4[Regular], "Not Found", 0)</f>
        <v>2453</v>
      </c>
      <c r="R356" s="16">
        <f>_xlfn.XLOOKUP(CustomerCombinedCleaned[[#This Row],[ID]], Table4[ID], Table4[Deals], "Not Found", 0)</f>
        <v>7</v>
      </c>
      <c r="S356" s="16">
        <f>_xlfn.XLOOKUP(CustomerCombinedCleaned[[#This Row],[ID]], Table4[ID], Table4[Website], "Not Found", 0)</f>
        <v>8</v>
      </c>
      <c r="T356" s="16">
        <f>_xlfn.XLOOKUP(CustomerCombinedCleaned[[#This Row],[ID]], Table4[ID], Table4[Catalog], "Not Found", 0)</f>
        <v>6</v>
      </c>
      <c r="U356" s="16">
        <f>_xlfn.XLOOKUP(CustomerCombinedCleaned[[#This Row],[ID]], Table4[ID], Table4[Store], "Not Found", 0)</f>
        <v>9</v>
      </c>
      <c r="V356" s="16">
        <f>_xlfn.XLOOKUP(CustomerCombinedCleaned[[#This Row],[ID]], Table4[ID], Table4[Visits], "Not Found", 0)</f>
        <v>6</v>
      </c>
      <c r="W356" s="16">
        <f>_xlfn.XLOOKUP(CustomerCombinedCleaned[[#This Row],[ID]], Table2[ID],Table2[Complaint], "Not Found", 0 )</f>
        <v>0</v>
      </c>
      <c r="X356" s="16">
        <f>_xlfn.XLOOKUP(CustomerCombinedCleaned[[#This Row],[ID]], Table2[ID],Table2[Pilot], "Not Found", 0 )</f>
        <v>1</v>
      </c>
      <c r="Y356" s="16">
        <f>_xlfn.XLOOKUP(CustomerCombinedCleaned[[#This Row],[ID]], Table2[ID],Table2[MC1], "Not Found", 0 )</f>
        <v>0</v>
      </c>
      <c r="Z356" s="16">
        <f>_xlfn.XLOOKUP(CustomerCombinedCleaned[[#This Row],[ID]], Table2[ID],Table2[MC2], "Not Found", 0 )</f>
        <v>0</v>
      </c>
      <c r="AA356" s="16">
        <f>_xlfn.XLOOKUP(CustomerCombinedCleaned[[#This Row],[ID]], Table2[ID],Table2[MC3], "Not Found", 0 )</f>
        <v>0</v>
      </c>
      <c r="AB356" s="16">
        <f>_xlfn.XLOOKUP(CustomerCombinedCleaned[[#This Row],[ID]], Table2[ID],Table2[MC4], "Not Found", 0 )</f>
        <v>1</v>
      </c>
      <c r="AC356" s="16">
        <f>_xlfn.XLOOKUP(CustomerCombinedCleaned[[#This Row],[ID]], Table2[ID],Table2[MC5], "Not Found", 0 )</f>
        <v>0</v>
      </c>
    </row>
    <row r="357" spans="1:29" x14ac:dyDescent="0.3">
      <c r="A357" s="18">
        <v>2618</v>
      </c>
      <c r="B357" s="16">
        <v>156386</v>
      </c>
      <c r="C357" s="16">
        <v>1</v>
      </c>
      <c r="D357" s="16">
        <v>1</v>
      </c>
      <c r="E357" s="16">
        <v>39</v>
      </c>
      <c r="F357" s="17" t="s">
        <v>8</v>
      </c>
      <c r="G357" s="17" t="s">
        <v>11</v>
      </c>
      <c r="H357" s="3" t="s">
        <v>655</v>
      </c>
      <c r="I357" s="5" t="s">
        <v>438</v>
      </c>
      <c r="J357" s="16">
        <f>_xlfn.XLOOKUP(CustomerCombinedCleaned[[#This Row],[ID]], Table4[ID], Table4[Recency], "Not Found", 0)</f>
        <v>51</v>
      </c>
      <c r="K357" s="16">
        <f>_xlfn.XLOOKUP(CustomerCombinedCleaned[[#This Row],[ID]], Table4[ID], Table4[Teas], "Not Found", 0)</f>
        <v>638</v>
      </c>
      <c r="L357" s="16">
        <f>_xlfn.XLOOKUP(CustomerCombinedCleaned[[#This Row],[ID]], Table4[ID], Table4[Fruits], "Not Found", 0)</f>
        <v>133</v>
      </c>
      <c r="M357" s="16">
        <f>_xlfn.XLOOKUP(CustomerCombinedCleaned[[#This Row],[ID]], Table4[ID], Table4[Meats], "Not Found", 0)</f>
        <v>594</v>
      </c>
      <c r="N357" s="16">
        <f>_xlfn.XLOOKUP(CustomerCombinedCleaned[[#This Row],[ID]], Table4[ID], Table4[Seafood], "Not Found", 0)</f>
        <v>36</v>
      </c>
      <c r="O357" s="16">
        <f>_xlfn.XLOOKUP(CustomerCombinedCleaned[[#This Row],[ID]], Table4[ID], Table4[Sweets], "Not Found", 0)</f>
        <v>89</v>
      </c>
      <c r="P357" s="16">
        <f>_xlfn.XLOOKUP(CustomerCombinedCleaned[[#This Row],[ID]], Table4[ID], Table4[Premium], "Not Found", 0)</f>
        <v>208</v>
      </c>
      <c r="Q357" s="16">
        <f>_xlfn.XLOOKUP(CustomerCombinedCleaned[[#This Row],[ID]], Table4[ID], Table4[Regular], "Not Found", 0)</f>
        <v>1281</v>
      </c>
      <c r="R357" s="16">
        <f>_xlfn.XLOOKUP(CustomerCombinedCleaned[[#This Row],[ID]], Table4[ID], Table4[Deals], "Not Found", 0)</f>
        <v>8</v>
      </c>
      <c r="S357" s="16">
        <f>_xlfn.XLOOKUP(CustomerCombinedCleaned[[#This Row],[ID]], Table4[ID], Table4[Website], "Not Found", 0)</f>
        <v>9</v>
      </c>
      <c r="T357" s="16">
        <f>_xlfn.XLOOKUP(CustomerCombinedCleaned[[#This Row],[ID]], Table4[ID], Table4[Catalog], "Not Found", 0)</f>
        <v>1</v>
      </c>
      <c r="U357" s="16">
        <f>_xlfn.XLOOKUP(CustomerCombinedCleaned[[#This Row],[ID]], Table4[ID], Table4[Store], "Not Found", 0)</f>
        <v>7</v>
      </c>
      <c r="V357" s="16">
        <f>_xlfn.XLOOKUP(CustomerCombinedCleaned[[#This Row],[ID]], Table4[ID], Table4[Visits], "Not Found", 0)</f>
        <v>9</v>
      </c>
      <c r="W357" s="16">
        <f>_xlfn.XLOOKUP(CustomerCombinedCleaned[[#This Row],[ID]], Table2[ID],Table2[Complaint], "Not Found", 0 )</f>
        <v>0</v>
      </c>
      <c r="X357" s="16">
        <f>_xlfn.XLOOKUP(CustomerCombinedCleaned[[#This Row],[ID]], Table2[ID],Table2[Pilot], "Not Found", 0 )</f>
        <v>0</v>
      </c>
      <c r="Y357" s="16">
        <f>_xlfn.XLOOKUP(CustomerCombinedCleaned[[#This Row],[ID]], Table2[ID],Table2[MC1], "Not Found", 0 )</f>
        <v>0</v>
      </c>
      <c r="Z357" s="16">
        <f>_xlfn.XLOOKUP(CustomerCombinedCleaned[[#This Row],[ID]], Table2[ID],Table2[MC2], "Not Found", 0 )</f>
        <v>0</v>
      </c>
      <c r="AA357" s="16">
        <f>_xlfn.XLOOKUP(CustomerCombinedCleaned[[#This Row],[ID]], Table2[ID],Table2[MC3], "Not Found", 0 )</f>
        <v>0</v>
      </c>
      <c r="AB357" s="16">
        <f>_xlfn.XLOOKUP(CustomerCombinedCleaned[[#This Row],[ID]], Table2[ID],Table2[MC4], "Not Found", 0 )</f>
        <v>0</v>
      </c>
      <c r="AC357" s="16">
        <f>_xlfn.XLOOKUP(CustomerCombinedCleaned[[#This Row],[ID]], Table2[ID],Table2[MC5], "Not Found", 0 )</f>
        <v>0</v>
      </c>
    </row>
    <row r="358" spans="1:29" x14ac:dyDescent="0.3">
      <c r="A358" s="18">
        <v>1983</v>
      </c>
      <c r="B358" s="16">
        <v>156337</v>
      </c>
      <c r="C358" s="16">
        <v>1</v>
      </c>
      <c r="D358" s="16">
        <v>1</v>
      </c>
      <c r="E358" s="16">
        <v>39</v>
      </c>
      <c r="F358" s="17" t="s">
        <v>6</v>
      </c>
      <c r="G358" s="17" t="s">
        <v>11</v>
      </c>
      <c r="H358" s="3" t="s">
        <v>547</v>
      </c>
      <c r="I358" s="5" t="s">
        <v>435</v>
      </c>
      <c r="J358" s="16">
        <f>_xlfn.XLOOKUP(CustomerCombinedCleaned[[#This Row],[ID]], Table4[ID], Table4[Recency], "Not Found", 0)</f>
        <v>25</v>
      </c>
      <c r="K358" s="16">
        <f>_xlfn.XLOOKUP(CustomerCombinedCleaned[[#This Row],[ID]], Table4[ID], Table4[Teas], "Not Found", 0)</f>
        <v>968</v>
      </c>
      <c r="L358" s="16">
        <f>_xlfn.XLOOKUP(CustomerCombinedCleaned[[#This Row],[ID]], Table4[ID], Table4[Fruits], "Not Found", 0)</f>
        <v>44</v>
      </c>
      <c r="M358" s="16">
        <f>_xlfn.XLOOKUP(CustomerCombinedCleaned[[#This Row],[ID]], Table4[ID], Table4[Meats], "Not Found", 0)</f>
        <v>400</v>
      </c>
      <c r="N358" s="16">
        <f>_xlfn.XLOOKUP(CustomerCombinedCleaned[[#This Row],[ID]], Table4[ID], Table4[Seafood], "Not Found", 0)</f>
        <v>78</v>
      </c>
      <c r="O358" s="16">
        <f>_xlfn.XLOOKUP(CustomerCombinedCleaned[[#This Row],[ID]], Table4[ID], Table4[Sweets], "Not Found", 0)</f>
        <v>14</v>
      </c>
      <c r="P358" s="16">
        <f>_xlfn.XLOOKUP(CustomerCombinedCleaned[[#This Row],[ID]], Table4[ID], Table4[Premium], "Not Found", 0)</f>
        <v>505</v>
      </c>
      <c r="Q358" s="16">
        <f>_xlfn.XLOOKUP(CustomerCombinedCleaned[[#This Row],[ID]], Table4[ID], Table4[Regular], "Not Found", 0)</f>
        <v>999</v>
      </c>
      <c r="R358" s="16">
        <f>_xlfn.XLOOKUP(CustomerCombinedCleaned[[#This Row],[ID]], Table4[ID], Table4[Deals], "Not Found", 0)</f>
        <v>5</v>
      </c>
      <c r="S358" s="16">
        <f>_xlfn.XLOOKUP(CustomerCombinedCleaned[[#This Row],[ID]], Table4[ID], Table4[Website], "Not Found", 0)</f>
        <v>8</v>
      </c>
      <c r="T358" s="16">
        <f>_xlfn.XLOOKUP(CustomerCombinedCleaned[[#This Row],[ID]], Table4[ID], Table4[Catalog], "Not Found", 0)</f>
        <v>5</v>
      </c>
      <c r="U358" s="16">
        <f>_xlfn.XLOOKUP(CustomerCombinedCleaned[[#This Row],[ID]], Table4[ID], Table4[Store], "Not Found", 0)</f>
        <v>4</v>
      </c>
      <c r="V358" s="16">
        <f>_xlfn.XLOOKUP(CustomerCombinedCleaned[[#This Row],[ID]], Table4[ID], Table4[Visits], "Not Found", 0)</f>
        <v>8</v>
      </c>
      <c r="W358" s="16">
        <f>_xlfn.XLOOKUP(CustomerCombinedCleaned[[#This Row],[ID]], Table2[ID],Table2[Complaint], "Not Found", 0 )</f>
        <v>0</v>
      </c>
      <c r="X358" s="16">
        <f>_xlfn.XLOOKUP(CustomerCombinedCleaned[[#This Row],[ID]], Table2[ID],Table2[Pilot], "Not Found", 0 )</f>
        <v>1</v>
      </c>
      <c r="Y358" s="16">
        <f>_xlfn.XLOOKUP(CustomerCombinedCleaned[[#This Row],[ID]], Table2[ID],Table2[MC1], "Not Found", 0 )</f>
        <v>1</v>
      </c>
      <c r="Z358" s="16">
        <f>_xlfn.XLOOKUP(CustomerCombinedCleaned[[#This Row],[ID]], Table2[ID],Table2[MC2], "Not Found", 0 )</f>
        <v>0</v>
      </c>
      <c r="AA358" s="16">
        <f>_xlfn.XLOOKUP(CustomerCombinedCleaned[[#This Row],[ID]], Table2[ID],Table2[MC3], "Not Found", 0 )</f>
        <v>1</v>
      </c>
      <c r="AB358" s="16">
        <f>_xlfn.XLOOKUP(CustomerCombinedCleaned[[#This Row],[ID]], Table2[ID],Table2[MC4], "Not Found", 0 )</f>
        <v>0</v>
      </c>
      <c r="AC358" s="16">
        <f>_xlfn.XLOOKUP(CustomerCombinedCleaned[[#This Row],[ID]], Table2[ID],Table2[MC5], "Not Found", 0 )</f>
        <v>0</v>
      </c>
    </row>
    <row r="359" spans="1:29" x14ac:dyDescent="0.3">
      <c r="A359" s="18">
        <v>2158</v>
      </c>
      <c r="B359" s="16">
        <v>154386</v>
      </c>
      <c r="C359" s="16">
        <v>0</v>
      </c>
      <c r="D359" s="16">
        <v>1</v>
      </c>
      <c r="E359" s="16">
        <v>39</v>
      </c>
      <c r="F359" s="17" t="s">
        <v>6</v>
      </c>
      <c r="G359" s="17" t="s">
        <v>11</v>
      </c>
      <c r="H359" s="3" t="s">
        <v>254</v>
      </c>
      <c r="I359" s="5" t="s">
        <v>439</v>
      </c>
      <c r="J359" s="16">
        <f>_xlfn.XLOOKUP(CustomerCombinedCleaned[[#This Row],[ID]], Table4[ID], Table4[Recency], "Not Found", 0)</f>
        <v>8</v>
      </c>
      <c r="K359" s="16">
        <f>_xlfn.XLOOKUP(CustomerCombinedCleaned[[#This Row],[ID]], Table4[ID], Table4[Teas], "Not Found", 0)</f>
        <v>786</v>
      </c>
      <c r="L359" s="16">
        <f>_xlfn.XLOOKUP(CustomerCombinedCleaned[[#This Row],[ID]], Table4[ID], Table4[Fruits], "Not Found", 0)</f>
        <v>60</v>
      </c>
      <c r="M359" s="16">
        <f>_xlfn.XLOOKUP(CustomerCombinedCleaned[[#This Row],[ID]], Table4[ID], Table4[Meats], "Not Found", 0)</f>
        <v>182</v>
      </c>
      <c r="N359" s="16">
        <f>_xlfn.XLOOKUP(CustomerCombinedCleaned[[#This Row],[ID]], Table4[ID], Table4[Seafood], "Not Found", 0)</f>
        <v>176</v>
      </c>
      <c r="O359" s="16">
        <f>_xlfn.XLOOKUP(CustomerCombinedCleaned[[#This Row],[ID]], Table4[ID], Table4[Sweets], "Not Found", 0)</f>
        <v>60</v>
      </c>
      <c r="P359" s="16">
        <f>_xlfn.XLOOKUP(CustomerCombinedCleaned[[#This Row],[ID]], Table4[ID], Table4[Premium], "Not Found", 0)</f>
        <v>71</v>
      </c>
      <c r="Q359" s="16">
        <f>_xlfn.XLOOKUP(CustomerCombinedCleaned[[#This Row],[ID]], Table4[ID], Table4[Regular], "Not Found", 0)</f>
        <v>1192</v>
      </c>
      <c r="R359" s="16">
        <f>_xlfn.XLOOKUP(CustomerCombinedCleaned[[#This Row],[ID]], Table4[ID], Table4[Deals], "Not Found", 0)</f>
        <v>2</v>
      </c>
      <c r="S359" s="16">
        <f>_xlfn.XLOOKUP(CustomerCombinedCleaned[[#This Row],[ID]], Table4[ID], Table4[Website], "Not Found", 0)</f>
        <v>3</v>
      </c>
      <c r="T359" s="16">
        <f>_xlfn.XLOOKUP(CustomerCombinedCleaned[[#This Row],[ID]], Table4[ID], Table4[Catalog], "Not Found", 0)</f>
        <v>2</v>
      </c>
      <c r="U359" s="16">
        <f>_xlfn.XLOOKUP(CustomerCombinedCleaned[[#This Row],[ID]], Table4[ID], Table4[Store], "Not Found", 0)</f>
        <v>10</v>
      </c>
      <c r="V359" s="16">
        <f>_xlfn.XLOOKUP(CustomerCombinedCleaned[[#This Row],[ID]], Table4[ID], Table4[Visits], "Not Found", 0)</f>
        <v>3</v>
      </c>
      <c r="W359" s="16">
        <f>_xlfn.XLOOKUP(CustomerCombinedCleaned[[#This Row],[ID]], Table2[ID],Table2[Complaint], "Not Found", 0 )</f>
        <v>0</v>
      </c>
      <c r="X359" s="16">
        <f>_xlfn.XLOOKUP(CustomerCombinedCleaned[[#This Row],[ID]], Table2[ID],Table2[Pilot], "Not Found", 0 )</f>
        <v>0</v>
      </c>
      <c r="Y359" s="16">
        <f>_xlfn.XLOOKUP(CustomerCombinedCleaned[[#This Row],[ID]], Table2[ID],Table2[MC1], "Not Found", 0 )</f>
        <v>0</v>
      </c>
      <c r="Z359" s="16">
        <f>_xlfn.XLOOKUP(CustomerCombinedCleaned[[#This Row],[ID]], Table2[ID],Table2[MC2], "Not Found", 0 )</f>
        <v>0</v>
      </c>
      <c r="AA359" s="16">
        <f>_xlfn.XLOOKUP(CustomerCombinedCleaned[[#This Row],[ID]], Table2[ID],Table2[MC3], "Not Found", 0 )</f>
        <v>0</v>
      </c>
      <c r="AB359" s="16">
        <f>_xlfn.XLOOKUP(CustomerCombinedCleaned[[#This Row],[ID]], Table2[ID],Table2[MC4], "Not Found", 0 )</f>
        <v>0</v>
      </c>
      <c r="AC359" s="16">
        <f>_xlfn.XLOOKUP(CustomerCombinedCleaned[[#This Row],[ID]], Table2[ID],Table2[MC5], "Not Found", 0 )</f>
        <v>0</v>
      </c>
    </row>
    <row r="360" spans="1:29" x14ac:dyDescent="0.3">
      <c r="A360" s="18">
        <v>1864</v>
      </c>
      <c r="B360" s="16">
        <v>151111</v>
      </c>
      <c r="C360" s="16">
        <v>1</v>
      </c>
      <c r="D360" s="16">
        <v>1</v>
      </c>
      <c r="E360" s="16">
        <v>39</v>
      </c>
      <c r="F360" s="17" t="s">
        <v>6</v>
      </c>
      <c r="G360" s="17" t="s">
        <v>11</v>
      </c>
      <c r="H360" s="3" t="s">
        <v>30</v>
      </c>
      <c r="I360" s="5" t="s">
        <v>439</v>
      </c>
      <c r="J360" s="16">
        <f>_xlfn.XLOOKUP(CustomerCombinedCleaned[[#This Row],[ID]], Table4[ID], Table4[Recency], "Not Found", 0)</f>
        <v>83</v>
      </c>
      <c r="K360" s="16">
        <f>_xlfn.XLOOKUP(CustomerCombinedCleaned[[#This Row],[ID]], Table4[ID], Table4[Teas], "Not Found", 0)</f>
        <v>65</v>
      </c>
      <c r="L360" s="16">
        <f>_xlfn.XLOOKUP(CustomerCombinedCleaned[[#This Row],[ID]], Table4[ID], Table4[Fruits], "Not Found", 0)</f>
        <v>0</v>
      </c>
      <c r="M360" s="16">
        <f>_xlfn.XLOOKUP(CustomerCombinedCleaned[[#This Row],[ID]], Table4[ID], Table4[Meats], "Not Found", 0)</f>
        <v>56</v>
      </c>
      <c r="N360" s="16">
        <f>_xlfn.XLOOKUP(CustomerCombinedCleaned[[#This Row],[ID]], Table4[ID], Table4[Seafood], "Not Found", 0)</f>
        <v>18</v>
      </c>
      <c r="O360" s="16">
        <f>_xlfn.XLOOKUP(CustomerCombinedCleaned[[#This Row],[ID]], Table4[ID], Table4[Sweets], "Not Found", 0)</f>
        <v>15</v>
      </c>
      <c r="P360" s="16">
        <f>_xlfn.XLOOKUP(CustomerCombinedCleaned[[#This Row],[ID]], Table4[ID], Table4[Premium], "Not Found", 0)</f>
        <v>9</v>
      </c>
      <c r="Q360" s="16">
        <f>_xlfn.XLOOKUP(CustomerCombinedCleaned[[#This Row],[ID]], Table4[ID], Table4[Regular], "Not Found", 0)</f>
        <v>145</v>
      </c>
      <c r="R360" s="16">
        <f>_xlfn.XLOOKUP(CustomerCombinedCleaned[[#This Row],[ID]], Table4[ID], Table4[Deals], "Not Found", 0)</f>
        <v>2</v>
      </c>
      <c r="S360" s="16">
        <f>_xlfn.XLOOKUP(CustomerCombinedCleaned[[#This Row],[ID]], Table4[ID], Table4[Website], "Not Found", 0)</f>
        <v>2</v>
      </c>
      <c r="T360" s="16">
        <f>_xlfn.XLOOKUP(CustomerCombinedCleaned[[#This Row],[ID]], Table4[ID], Table4[Catalog], "Not Found", 0)</f>
        <v>0</v>
      </c>
      <c r="U360" s="16">
        <f>_xlfn.XLOOKUP(CustomerCombinedCleaned[[#This Row],[ID]], Table4[ID], Table4[Store], "Not Found", 0)</f>
        <v>3</v>
      </c>
      <c r="V360" s="16">
        <f>_xlfn.XLOOKUP(CustomerCombinedCleaned[[#This Row],[ID]], Table4[ID], Table4[Visits], "Not Found", 0)</f>
        <v>6</v>
      </c>
      <c r="W360" s="16">
        <f>_xlfn.XLOOKUP(CustomerCombinedCleaned[[#This Row],[ID]], Table2[ID],Table2[Complaint], "Not Found", 0 )</f>
        <v>0</v>
      </c>
      <c r="X360" s="16">
        <f>_xlfn.XLOOKUP(CustomerCombinedCleaned[[#This Row],[ID]], Table2[ID],Table2[Pilot], "Not Found", 0 )</f>
        <v>0</v>
      </c>
      <c r="Y360" s="16">
        <f>_xlfn.XLOOKUP(CustomerCombinedCleaned[[#This Row],[ID]], Table2[ID],Table2[MC1], "Not Found", 0 )</f>
        <v>0</v>
      </c>
      <c r="Z360" s="16">
        <f>_xlfn.XLOOKUP(CustomerCombinedCleaned[[#This Row],[ID]], Table2[ID],Table2[MC2], "Not Found", 0 )</f>
        <v>0</v>
      </c>
      <c r="AA360" s="16">
        <f>_xlfn.XLOOKUP(CustomerCombinedCleaned[[#This Row],[ID]], Table2[ID],Table2[MC3], "Not Found", 0 )</f>
        <v>0</v>
      </c>
      <c r="AB360" s="16">
        <f>_xlfn.XLOOKUP(CustomerCombinedCleaned[[#This Row],[ID]], Table2[ID],Table2[MC4], "Not Found", 0 )</f>
        <v>0</v>
      </c>
      <c r="AC360" s="16">
        <f>_xlfn.XLOOKUP(CustomerCombinedCleaned[[#This Row],[ID]], Table2[ID],Table2[MC5], "Not Found", 0 )</f>
        <v>0</v>
      </c>
    </row>
    <row r="361" spans="1:29" x14ac:dyDescent="0.3">
      <c r="A361" s="18">
        <v>3080</v>
      </c>
      <c r="B361" s="16">
        <v>144953</v>
      </c>
      <c r="C361" s="16">
        <v>0</v>
      </c>
      <c r="D361" s="16">
        <v>0</v>
      </c>
      <c r="E361" s="16">
        <v>39</v>
      </c>
      <c r="F361" s="17" t="s">
        <v>8</v>
      </c>
      <c r="G361" s="17" t="s">
        <v>13</v>
      </c>
      <c r="H361" s="3" t="s">
        <v>338</v>
      </c>
      <c r="I361" s="5" t="s">
        <v>438</v>
      </c>
      <c r="J361" s="16">
        <f>_xlfn.XLOOKUP(CustomerCombinedCleaned[[#This Row],[ID]], Table4[ID], Table4[Recency], "Not Found", 0)</f>
        <v>31</v>
      </c>
      <c r="K361" s="16">
        <f>_xlfn.XLOOKUP(CustomerCombinedCleaned[[#This Row],[ID]], Table4[ID], Table4[Teas], "Not Found", 0)</f>
        <v>2347</v>
      </c>
      <c r="L361" s="16">
        <f>_xlfn.XLOOKUP(CustomerCombinedCleaned[[#This Row],[ID]], Table4[ID], Table4[Fruits], "Not Found", 0)</f>
        <v>55</v>
      </c>
      <c r="M361" s="16">
        <f>_xlfn.XLOOKUP(CustomerCombinedCleaned[[#This Row],[ID]], Table4[ID], Table4[Meats], "Not Found", 0)</f>
        <v>429</v>
      </c>
      <c r="N361" s="16">
        <f>_xlfn.XLOOKUP(CustomerCombinedCleaned[[#This Row],[ID]], Table4[ID], Table4[Seafood], "Not Found", 0)</f>
        <v>35</v>
      </c>
      <c r="O361" s="16">
        <f>_xlfn.XLOOKUP(CustomerCombinedCleaned[[#This Row],[ID]], Table4[ID], Table4[Sweets], "Not Found", 0)</f>
        <v>26</v>
      </c>
      <c r="P361" s="16">
        <f>_xlfn.XLOOKUP(CustomerCombinedCleaned[[#This Row],[ID]], Table4[ID], Table4[Premium], "Not Found", 0)</f>
        <v>400</v>
      </c>
      <c r="Q361" s="16">
        <f>_xlfn.XLOOKUP(CustomerCombinedCleaned[[#This Row],[ID]], Table4[ID], Table4[Regular], "Not Found", 0)</f>
        <v>2493</v>
      </c>
      <c r="R361" s="16">
        <f>_xlfn.XLOOKUP(CustomerCombinedCleaned[[#This Row],[ID]], Table4[ID], Table4[Deals], "Not Found", 0)</f>
        <v>1</v>
      </c>
      <c r="S361" s="16">
        <f>_xlfn.XLOOKUP(CustomerCombinedCleaned[[#This Row],[ID]], Table4[ID], Table4[Website], "Not Found", 0)</f>
        <v>7</v>
      </c>
      <c r="T361" s="16">
        <f>_xlfn.XLOOKUP(CustomerCombinedCleaned[[#This Row],[ID]], Table4[ID], Table4[Catalog], "Not Found", 0)</f>
        <v>3</v>
      </c>
      <c r="U361" s="16">
        <f>_xlfn.XLOOKUP(CustomerCombinedCleaned[[#This Row],[ID]], Table4[ID], Table4[Store], "Not Found", 0)</f>
        <v>13</v>
      </c>
      <c r="V361" s="16">
        <f>_xlfn.XLOOKUP(CustomerCombinedCleaned[[#This Row],[ID]], Table4[ID], Table4[Visits], "Not Found", 0)</f>
        <v>6</v>
      </c>
      <c r="W361" s="16">
        <f>_xlfn.XLOOKUP(CustomerCombinedCleaned[[#This Row],[ID]], Table2[ID],Table2[Complaint], "Not Found", 0 )</f>
        <v>0</v>
      </c>
      <c r="X361" s="16">
        <f>_xlfn.XLOOKUP(CustomerCombinedCleaned[[#This Row],[ID]], Table2[ID],Table2[Pilot], "Not Found", 0 )</f>
        <v>0</v>
      </c>
      <c r="Y361" s="16">
        <f>_xlfn.XLOOKUP(CustomerCombinedCleaned[[#This Row],[ID]], Table2[ID],Table2[MC1], "Not Found", 0 )</f>
        <v>0</v>
      </c>
      <c r="Z361" s="16">
        <f>_xlfn.XLOOKUP(CustomerCombinedCleaned[[#This Row],[ID]], Table2[ID],Table2[MC2], "Not Found", 0 )</f>
        <v>0</v>
      </c>
      <c r="AA361" s="16">
        <f>_xlfn.XLOOKUP(CustomerCombinedCleaned[[#This Row],[ID]], Table2[ID],Table2[MC3], "Not Found", 0 )</f>
        <v>1</v>
      </c>
      <c r="AB361" s="16">
        <f>_xlfn.XLOOKUP(CustomerCombinedCleaned[[#This Row],[ID]], Table2[ID],Table2[MC4], "Not Found", 0 )</f>
        <v>0</v>
      </c>
      <c r="AC361" s="16">
        <f>_xlfn.XLOOKUP(CustomerCombinedCleaned[[#This Row],[ID]], Table2[ID],Table2[MC5], "Not Found", 0 )</f>
        <v>0</v>
      </c>
    </row>
    <row r="362" spans="1:29" x14ac:dyDescent="0.3">
      <c r="A362" s="18">
        <v>1854</v>
      </c>
      <c r="B362" s="16">
        <v>142395</v>
      </c>
      <c r="C362" s="16">
        <v>1</v>
      </c>
      <c r="D362" s="16">
        <v>1</v>
      </c>
      <c r="E362" s="16">
        <v>39</v>
      </c>
      <c r="F362" s="17" t="s">
        <v>7</v>
      </c>
      <c r="G362" s="17" t="s">
        <v>11</v>
      </c>
      <c r="H362" s="3" t="s">
        <v>744</v>
      </c>
      <c r="I362" s="5" t="s">
        <v>436</v>
      </c>
      <c r="J362" s="16">
        <f>_xlfn.XLOOKUP(CustomerCombinedCleaned[[#This Row],[ID]], Table4[ID], Table4[Recency], "Not Found", 0)</f>
        <v>35</v>
      </c>
      <c r="K362" s="16">
        <f>_xlfn.XLOOKUP(CustomerCombinedCleaned[[#This Row],[ID]], Table4[ID], Table4[Teas], "Not Found", 0)</f>
        <v>161</v>
      </c>
      <c r="L362" s="16">
        <f>_xlfn.XLOOKUP(CustomerCombinedCleaned[[#This Row],[ID]], Table4[ID], Table4[Fruits], "Not Found", 0)</f>
        <v>44</v>
      </c>
      <c r="M362" s="16">
        <f>_xlfn.XLOOKUP(CustomerCombinedCleaned[[#This Row],[ID]], Table4[ID], Table4[Meats], "Not Found", 0)</f>
        <v>191</v>
      </c>
      <c r="N362" s="16">
        <f>_xlfn.XLOOKUP(CustomerCombinedCleaned[[#This Row],[ID]], Table4[ID], Table4[Seafood], "Not Found", 0)</f>
        <v>81</v>
      </c>
      <c r="O362" s="16">
        <f>_xlfn.XLOOKUP(CustomerCombinedCleaned[[#This Row],[ID]], Table4[ID], Table4[Sweets], "Not Found", 0)</f>
        <v>50</v>
      </c>
      <c r="P362" s="16">
        <f>_xlfn.XLOOKUP(CustomerCombinedCleaned[[#This Row],[ID]], Table4[ID], Table4[Premium], "Not Found", 0)</f>
        <v>84</v>
      </c>
      <c r="Q362" s="16">
        <f>_xlfn.XLOOKUP(CustomerCombinedCleaned[[#This Row],[ID]], Table4[ID], Table4[Regular], "Not Found", 0)</f>
        <v>443</v>
      </c>
      <c r="R362" s="16">
        <f>_xlfn.XLOOKUP(CustomerCombinedCleaned[[#This Row],[ID]], Table4[ID], Table4[Deals], "Not Found", 0)</f>
        <v>4</v>
      </c>
      <c r="S362" s="16">
        <f>_xlfn.XLOOKUP(CustomerCombinedCleaned[[#This Row],[ID]], Table4[ID], Table4[Website], "Not Found", 0)</f>
        <v>3</v>
      </c>
      <c r="T362" s="16">
        <f>_xlfn.XLOOKUP(CustomerCombinedCleaned[[#This Row],[ID]], Table4[ID], Table4[Catalog], "Not Found", 0)</f>
        <v>1</v>
      </c>
      <c r="U362" s="16">
        <f>_xlfn.XLOOKUP(CustomerCombinedCleaned[[#This Row],[ID]], Table4[ID], Table4[Store], "Not Found", 0)</f>
        <v>4</v>
      </c>
      <c r="V362" s="16">
        <f>_xlfn.XLOOKUP(CustomerCombinedCleaned[[#This Row],[ID]], Table4[ID], Table4[Visits], "Not Found", 0)</f>
        <v>7</v>
      </c>
      <c r="W362" s="16">
        <f>_xlfn.XLOOKUP(CustomerCombinedCleaned[[#This Row],[ID]], Table2[ID],Table2[Complaint], "Not Found", 0 )</f>
        <v>0</v>
      </c>
      <c r="X362" s="16">
        <f>_xlfn.XLOOKUP(CustomerCombinedCleaned[[#This Row],[ID]], Table2[ID],Table2[Pilot], "Not Found", 0 )</f>
        <v>0</v>
      </c>
      <c r="Y362" s="16">
        <f>_xlfn.XLOOKUP(CustomerCombinedCleaned[[#This Row],[ID]], Table2[ID],Table2[MC1], "Not Found", 0 )</f>
        <v>0</v>
      </c>
      <c r="Z362" s="16">
        <f>_xlfn.XLOOKUP(CustomerCombinedCleaned[[#This Row],[ID]], Table2[ID],Table2[MC2], "Not Found", 0 )</f>
        <v>0</v>
      </c>
      <c r="AA362" s="16">
        <f>_xlfn.XLOOKUP(CustomerCombinedCleaned[[#This Row],[ID]], Table2[ID],Table2[MC3], "Not Found", 0 )</f>
        <v>0</v>
      </c>
      <c r="AB362" s="16">
        <f>_xlfn.XLOOKUP(CustomerCombinedCleaned[[#This Row],[ID]], Table2[ID],Table2[MC4], "Not Found", 0 )</f>
        <v>0</v>
      </c>
      <c r="AC362" s="16">
        <f>_xlfn.XLOOKUP(CustomerCombinedCleaned[[#This Row],[ID]], Table2[ID],Table2[MC5], "Not Found", 0 )</f>
        <v>0</v>
      </c>
    </row>
    <row r="363" spans="1:29" x14ac:dyDescent="0.3">
      <c r="A363" s="18">
        <v>2127</v>
      </c>
      <c r="B363" s="16">
        <v>142162</v>
      </c>
      <c r="C363" s="16">
        <v>1</v>
      </c>
      <c r="D363" s="16">
        <v>0</v>
      </c>
      <c r="E363" s="16">
        <v>39</v>
      </c>
      <c r="F363" s="17" t="s">
        <v>8</v>
      </c>
      <c r="G363" s="17" t="s">
        <v>11</v>
      </c>
      <c r="H363" s="3" t="s">
        <v>146</v>
      </c>
      <c r="I363" s="5" t="s">
        <v>435</v>
      </c>
      <c r="J363" s="16">
        <f>_xlfn.XLOOKUP(CustomerCombinedCleaned[[#This Row],[ID]], Table4[ID], Table4[Recency], "Not Found", 0)</f>
        <v>31</v>
      </c>
      <c r="K363" s="16">
        <f>_xlfn.XLOOKUP(CustomerCombinedCleaned[[#This Row],[ID]], Table4[ID], Table4[Teas], "Not Found", 0)</f>
        <v>155</v>
      </c>
      <c r="L363" s="16">
        <f>_xlfn.XLOOKUP(CustomerCombinedCleaned[[#This Row],[ID]], Table4[ID], Table4[Fruits], "Not Found", 0)</f>
        <v>24</v>
      </c>
      <c r="M363" s="16">
        <f>_xlfn.XLOOKUP(CustomerCombinedCleaned[[#This Row],[ID]], Table4[ID], Table4[Meats], "Not Found", 0)</f>
        <v>199</v>
      </c>
      <c r="N363" s="16">
        <f>_xlfn.XLOOKUP(CustomerCombinedCleaned[[#This Row],[ID]], Table4[ID], Table4[Seafood], "Not Found", 0)</f>
        <v>7</v>
      </c>
      <c r="O363" s="16">
        <f>_xlfn.XLOOKUP(CustomerCombinedCleaned[[#This Row],[ID]], Table4[ID], Table4[Sweets], "Not Found", 0)</f>
        <v>13</v>
      </c>
      <c r="P363" s="16">
        <f>_xlfn.XLOOKUP(CustomerCombinedCleaned[[#This Row],[ID]], Table4[ID], Table4[Premium], "Not Found", 0)</f>
        <v>91</v>
      </c>
      <c r="Q363" s="16">
        <f>_xlfn.XLOOKUP(CustomerCombinedCleaned[[#This Row],[ID]], Table4[ID], Table4[Regular], "Not Found", 0)</f>
        <v>307</v>
      </c>
      <c r="R363" s="16">
        <f>_xlfn.XLOOKUP(CustomerCombinedCleaned[[#This Row],[ID]], Table4[ID], Table4[Deals], "Not Found", 0)</f>
        <v>2</v>
      </c>
      <c r="S363" s="16">
        <f>_xlfn.XLOOKUP(CustomerCombinedCleaned[[#This Row],[ID]], Table4[ID], Table4[Website], "Not Found", 0)</f>
        <v>3</v>
      </c>
      <c r="T363" s="16">
        <f>_xlfn.XLOOKUP(CustomerCombinedCleaned[[#This Row],[ID]], Table4[ID], Table4[Catalog], "Not Found", 0)</f>
        <v>1</v>
      </c>
      <c r="U363" s="16">
        <f>_xlfn.XLOOKUP(CustomerCombinedCleaned[[#This Row],[ID]], Table4[ID], Table4[Store], "Not Found", 0)</f>
        <v>3</v>
      </c>
      <c r="V363" s="16">
        <f>_xlfn.XLOOKUP(CustomerCombinedCleaned[[#This Row],[ID]], Table4[ID], Table4[Visits], "Not Found", 0)</f>
        <v>6</v>
      </c>
      <c r="W363" s="16">
        <f>_xlfn.XLOOKUP(CustomerCombinedCleaned[[#This Row],[ID]], Table2[ID],Table2[Complaint], "Not Found", 0 )</f>
        <v>0</v>
      </c>
      <c r="X363" s="16">
        <f>_xlfn.XLOOKUP(CustomerCombinedCleaned[[#This Row],[ID]], Table2[ID],Table2[Pilot], "Not Found", 0 )</f>
        <v>1</v>
      </c>
      <c r="Y363" s="16">
        <f>_xlfn.XLOOKUP(CustomerCombinedCleaned[[#This Row],[ID]], Table2[ID],Table2[MC1], "Not Found", 0 )</f>
        <v>0</v>
      </c>
      <c r="Z363" s="16">
        <f>_xlfn.XLOOKUP(CustomerCombinedCleaned[[#This Row],[ID]], Table2[ID],Table2[MC2], "Not Found", 0 )</f>
        <v>0</v>
      </c>
      <c r="AA363" s="16">
        <f>_xlfn.XLOOKUP(CustomerCombinedCleaned[[#This Row],[ID]], Table2[ID],Table2[MC3], "Not Found", 0 )</f>
        <v>1</v>
      </c>
      <c r="AB363" s="16">
        <f>_xlfn.XLOOKUP(CustomerCombinedCleaned[[#This Row],[ID]], Table2[ID],Table2[MC4], "Not Found", 0 )</f>
        <v>0</v>
      </c>
      <c r="AC363" s="16">
        <f>_xlfn.XLOOKUP(CustomerCombinedCleaned[[#This Row],[ID]], Table2[ID],Table2[MC5], "Not Found", 0 )</f>
        <v>0</v>
      </c>
    </row>
    <row r="364" spans="1:29" x14ac:dyDescent="0.3">
      <c r="A364" s="18">
        <v>1973</v>
      </c>
      <c r="B364" s="16">
        <v>142021</v>
      </c>
      <c r="C364" s="16">
        <v>1</v>
      </c>
      <c r="D364" s="16">
        <v>0</v>
      </c>
      <c r="E364" s="16">
        <v>39</v>
      </c>
      <c r="F364" s="17" t="s">
        <v>8</v>
      </c>
      <c r="G364" s="17" t="s">
        <v>12</v>
      </c>
      <c r="H364" s="3" t="s">
        <v>681</v>
      </c>
      <c r="I364" s="5" t="s">
        <v>434</v>
      </c>
      <c r="J364" s="16">
        <f>_xlfn.XLOOKUP(CustomerCombinedCleaned[[#This Row],[ID]], Table4[ID], Table4[Recency], "Not Found", 0)</f>
        <v>34</v>
      </c>
      <c r="K364" s="16">
        <f>_xlfn.XLOOKUP(CustomerCombinedCleaned[[#This Row],[ID]], Table4[ID], Table4[Teas], "Not Found", 0)</f>
        <v>1328</v>
      </c>
      <c r="L364" s="16">
        <f>_xlfn.XLOOKUP(CustomerCombinedCleaned[[#This Row],[ID]], Table4[ID], Table4[Fruits], "Not Found", 0)</f>
        <v>17</v>
      </c>
      <c r="M364" s="16">
        <f>_xlfn.XLOOKUP(CustomerCombinedCleaned[[#This Row],[ID]], Table4[ID], Table4[Meats], "Not Found", 0)</f>
        <v>460</v>
      </c>
      <c r="N364" s="16">
        <f>_xlfn.XLOOKUP(CustomerCombinedCleaned[[#This Row],[ID]], Table4[ID], Table4[Seafood], "Not Found", 0)</f>
        <v>24</v>
      </c>
      <c r="O364" s="16">
        <f>_xlfn.XLOOKUP(CustomerCombinedCleaned[[#This Row],[ID]], Table4[ID], Table4[Sweets], "Not Found", 0)</f>
        <v>17</v>
      </c>
      <c r="P364" s="16">
        <f>_xlfn.XLOOKUP(CustomerCombinedCleaned[[#This Row],[ID]], Table4[ID], Table4[Premium], "Not Found", 0)</f>
        <v>91</v>
      </c>
      <c r="Q364" s="16">
        <f>_xlfn.XLOOKUP(CustomerCombinedCleaned[[#This Row],[ID]], Table4[ID], Table4[Regular], "Not Found", 0)</f>
        <v>1754</v>
      </c>
      <c r="R364" s="16">
        <f>_xlfn.XLOOKUP(CustomerCombinedCleaned[[#This Row],[ID]], Table4[ID], Table4[Deals], "Not Found", 0)</f>
        <v>5</v>
      </c>
      <c r="S364" s="16">
        <f>_xlfn.XLOOKUP(CustomerCombinedCleaned[[#This Row],[ID]], Table4[ID], Table4[Website], "Not Found", 0)</f>
        <v>10</v>
      </c>
      <c r="T364" s="16">
        <f>_xlfn.XLOOKUP(CustomerCombinedCleaned[[#This Row],[ID]], Table4[ID], Table4[Catalog], "Not Found", 0)</f>
        <v>1</v>
      </c>
      <c r="U364" s="16">
        <f>_xlfn.XLOOKUP(CustomerCombinedCleaned[[#This Row],[ID]], Table4[ID], Table4[Store], "Not Found", 0)</f>
        <v>6</v>
      </c>
      <c r="V364" s="16">
        <f>_xlfn.XLOOKUP(CustomerCombinedCleaned[[#This Row],[ID]], Table4[ID], Table4[Visits], "Not Found", 0)</f>
        <v>9</v>
      </c>
      <c r="W364" s="16">
        <f>_xlfn.XLOOKUP(CustomerCombinedCleaned[[#This Row],[ID]], Table2[ID],Table2[Complaint], "Not Found", 0 )</f>
        <v>0</v>
      </c>
      <c r="X364" s="16">
        <f>_xlfn.XLOOKUP(CustomerCombinedCleaned[[#This Row],[ID]], Table2[ID],Table2[Pilot], "Not Found", 0 )</f>
        <v>0</v>
      </c>
      <c r="Y364" s="16">
        <f>_xlfn.XLOOKUP(CustomerCombinedCleaned[[#This Row],[ID]], Table2[ID],Table2[MC1], "Not Found", 0 )</f>
        <v>0</v>
      </c>
      <c r="Z364" s="16">
        <f>_xlfn.XLOOKUP(CustomerCombinedCleaned[[#This Row],[ID]], Table2[ID],Table2[MC2], "Not Found", 0 )</f>
        <v>0</v>
      </c>
      <c r="AA364" s="16">
        <f>_xlfn.XLOOKUP(CustomerCombinedCleaned[[#This Row],[ID]], Table2[ID],Table2[MC3], "Not Found", 0 )</f>
        <v>1</v>
      </c>
      <c r="AB364" s="16">
        <f>_xlfn.XLOOKUP(CustomerCombinedCleaned[[#This Row],[ID]], Table2[ID],Table2[MC4], "Not Found", 0 )</f>
        <v>0</v>
      </c>
      <c r="AC364" s="16">
        <f>_xlfn.XLOOKUP(CustomerCombinedCleaned[[#This Row],[ID]], Table2[ID],Table2[MC5], "Not Found", 0 )</f>
        <v>0</v>
      </c>
    </row>
    <row r="365" spans="1:29" x14ac:dyDescent="0.3">
      <c r="A365" s="18">
        <v>3137</v>
      </c>
      <c r="B365" s="16">
        <v>141967</v>
      </c>
      <c r="C365" s="16">
        <v>1</v>
      </c>
      <c r="D365" s="16">
        <v>1</v>
      </c>
      <c r="E365" s="16">
        <v>39</v>
      </c>
      <c r="F365" s="17" t="s">
        <v>7</v>
      </c>
      <c r="G365" s="17" t="s">
        <v>11</v>
      </c>
      <c r="H365" s="3" t="s">
        <v>142</v>
      </c>
      <c r="I365" s="5" t="s">
        <v>434</v>
      </c>
      <c r="J365" s="16">
        <f>_xlfn.XLOOKUP(CustomerCombinedCleaned[[#This Row],[ID]], Table4[ID], Table4[Recency], "Not Found", 0)</f>
        <v>66</v>
      </c>
      <c r="K365" s="16">
        <f>_xlfn.XLOOKUP(CustomerCombinedCleaned[[#This Row],[ID]], Table4[ID], Table4[Teas], "Not Found", 0)</f>
        <v>78</v>
      </c>
      <c r="L365" s="16">
        <f>_xlfn.XLOOKUP(CustomerCombinedCleaned[[#This Row],[ID]], Table4[ID], Table4[Fruits], "Not Found", 0)</f>
        <v>14</v>
      </c>
      <c r="M365" s="16">
        <f>_xlfn.XLOOKUP(CustomerCombinedCleaned[[#This Row],[ID]], Table4[ID], Table4[Meats], "Not Found", 0)</f>
        <v>34</v>
      </c>
      <c r="N365" s="16">
        <f>_xlfn.XLOOKUP(CustomerCombinedCleaned[[#This Row],[ID]], Table4[ID], Table4[Seafood], "Not Found", 0)</f>
        <v>0</v>
      </c>
      <c r="O365" s="16">
        <f>_xlfn.XLOOKUP(CustomerCombinedCleaned[[#This Row],[ID]], Table4[ID], Table4[Sweets], "Not Found", 0)</f>
        <v>7</v>
      </c>
      <c r="P365" s="16">
        <f>_xlfn.XLOOKUP(CustomerCombinedCleaned[[#This Row],[ID]], Table4[ID], Table4[Premium], "Not Found", 0)</f>
        <v>51</v>
      </c>
      <c r="Q365" s="16">
        <f>_xlfn.XLOOKUP(CustomerCombinedCleaned[[#This Row],[ID]], Table4[ID], Table4[Regular], "Not Found", 0)</f>
        <v>81</v>
      </c>
      <c r="R365" s="16">
        <f>_xlfn.XLOOKUP(CustomerCombinedCleaned[[#This Row],[ID]], Table4[ID], Table4[Deals], "Not Found", 0)</f>
        <v>1</v>
      </c>
      <c r="S365" s="16">
        <f>_xlfn.XLOOKUP(CustomerCombinedCleaned[[#This Row],[ID]], Table4[ID], Table4[Website], "Not Found", 0)</f>
        <v>1</v>
      </c>
      <c r="T365" s="16">
        <f>_xlfn.XLOOKUP(CustomerCombinedCleaned[[#This Row],[ID]], Table4[ID], Table4[Catalog], "Not Found", 0)</f>
        <v>0</v>
      </c>
      <c r="U365" s="16">
        <f>_xlfn.XLOOKUP(CustomerCombinedCleaned[[#This Row],[ID]], Table4[ID], Table4[Store], "Not Found", 0)</f>
        <v>3</v>
      </c>
      <c r="V365" s="16">
        <f>_xlfn.XLOOKUP(CustomerCombinedCleaned[[#This Row],[ID]], Table4[ID], Table4[Visits], "Not Found", 0)</f>
        <v>4</v>
      </c>
      <c r="W365" s="16">
        <f>_xlfn.XLOOKUP(CustomerCombinedCleaned[[#This Row],[ID]], Table2[ID],Table2[Complaint], "Not Found", 0 )</f>
        <v>0</v>
      </c>
      <c r="X365" s="16">
        <f>_xlfn.XLOOKUP(CustomerCombinedCleaned[[#This Row],[ID]], Table2[ID],Table2[Pilot], "Not Found", 0 )</f>
        <v>0</v>
      </c>
      <c r="Y365" s="16">
        <f>_xlfn.XLOOKUP(CustomerCombinedCleaned[[#This Row],[ID]], Table2[ID],Table2[MC1], "Not Found", 0 )</f>
        <v>0</v>
      </c>
      <c r="Z365" s="16">
        <f>_xlfn.XLOOKUP(CustomerCombinedCleaned[[#This Row],[ID]], Table2[ID],Table2[MC2], "Not Found", 0 )</f>
        <v>0</v>
      </c>
      <c r="AA365" s="16">
        <f>_xlfn.XLOOKUP(CustomerCombinedCleaned[[#This Row],[ID]], Table2[ID],Table2[MC3], "Not Found", 0 )</f>
        <v>0</v>
      </c>
      <c r="AB365" s="16">
        <f>_xlfn.XLOOKUP(CustomerCombinedCleaned[[#This Row],[ID]], Table2[ID],Table2[MC4], "Not Found", 0 )</f>
        <v>0</v>
      </c>
      <c r="AC365" s="16">
        <f>_xlfn.XLOOKUP(CustomerCombinedCleaned[[#This Row],[ID]], Table2[ID],Table2[MC5], "Not Found", 0 )</f>
        <v>0</v>
      </c>
    </row>
    <row r="366" spans="1:29" x14ac:dyDescent="0.3">
      <c r="A366" s="18">
        <v>2204</v>
      </c>
      <c r="B366" s="16">
        <v>140211</v>
      </c>
      <c r="C366" s="16">
        <v>1</v>
      </c>
      <c r="D366" s="16">
        <v>1</v>
      </c>
      <c r="E366" s="16">
        <v>39</v>
      </c>
      <c r="F366" s="17" t="s">
        <v>6</v>
      </c>
      <c r="G366" s="17" t="s">
        <v>11</v>
      </c>
      <c r="H366" s="3" t="s">
        <v>704</v>
      </c>
      <c r="I366" s="5" t="s">
        <v>438</v>
      </c>
      <c r="J366" s="16">
        <f>_xlfn.XLOOKUP(CustomerCombinedCleaned[[#This Row],[ID]], Table4[ID], Table4[Recency], "Not Found", 0)</f>
        <v>30</v>
      </c>
      <c r="K366" s="16">
        <f>_xlfn.XLOOKUP(CustomerCombinedCleaned[[#This Row],[ID]], Table4[ID], Table4[Teas], "Not Found", 0)</f>
        <v>178</v>
      </c>
      <c r="L366" s="16">
        <f>_xlfn.XLOOKUP(CustomerCombinedCleaned[[#This Row],[ID]], Table4[ID], Table4[Fruits], "Not Found", 0)</f>
        <v>3</v>
      </c>
      <c r="M366" s="16">
        <f>_xlfn.XLOOKUP(CustomerCombinedCleaned[[#This Row],[ID]], Table4[ID], Table4[Meats], "Not Found", 0)</f>
        <v>24</v>
      </c>
      <c r="N366" s="16">
        <f>_xlfn.XLOOKUP(CustomerCombinedCleaned[[#This Row],[ID]], Table4[ID], Table4[Seafood], "Not Found", 0)</f>
        <v>7</v>
      </c>
      <c r="O366" s="16">
        <f>_xlfn.XLOOKUP(CustomerCombinedCleaned[[#This Row],[ID]], Table4[ID], Table4[Sweets], "Not Found", 0)</f>
        <v>3</v>
      </c>
      <c r="P366" s="16">
        <f>_xlfn.XLOOKUP(CustomerCombinedCleaned[[#This Row],[ID]], Table4[ID], Table4[Premium], "Not Found", 0)</f>
        <v>87</v>
      </c>
      <c r="Q366" s="16">
        <f>_xlfn.XLOOKUP(CustomerCombinedCleaned[[#This Row],[ID]], Table4[ID], Table4[Regular], "Not Found", 0)</f>
        <v>129</v>
      </c>
      <c r="R366" s="16">
        <f>_xlfn.XLOOKUP(CustomerCombinedCleaned[[#This Row],[ID]], Table4[ID], Table4[Deals], "Not Found", 0)</f>
        <v>2</v>
      </c>
      <c r="S366" s="16">
        <f>_xlfn.XLOOKUP(CustomerCombinedCleaned[[#This Row],[ID]], Table4[ID], Table4[Website], "Not Found", 0)</f>
        <v>2</v>
      </c>
      <c r="T366" s="16">
        <f>_xlfn.XLOOKUP(CustomerCombinedCleaned[[#This Row],[ID]], Table4[ID], Table4[Catalog], "Not Found", 0)</f>
        <v>1</v>
      </c>
      <c r="U366" s="16">
        <f>_xlfn.XLOOKUP(CustomerCombinedCleaned[[#This Row],[ID]], Table4[ID], Table4[Store], "Not Found", 0)</f>
        <v>2</v>
      </c>
      <c r="V366" s="16">
        <f>_xlfn.XLOOKUP(CustomerCombinedCleaned[[#This Row],[ID]], Table4[ID], Table4[Visits], "Not Found", 0)</f>
        <v>8</v>
      </c>
      <c r="W366" s="16">
        <f>_xlfn.XLOOKUP(CustomerCombinedCleaned[[#This Row],[ID]], Table2[ID],Table2[Complaint], "Not Found", 0 )</f>
        <v>0</v>
      </c>
      <c r="X366" s="16">
        <f>_xlfn.XLOOKUP(CustomerCombinedCleaned[[#This Row],[ID]], Table2[ID],Table2[Pilot], "Not Found", 0 )</f>
        <v>0</v>
      </c>
      <c r="Y366" s="16">
        <f>_xlfn.XLOOKUP(CustomerCombinedCleaned[[#This Row],[ID]], Table2[ID],Table2[MC1], "Not Found", 0 )</f>
        <v>0</v>
      </c>
      <c r="Z366" s="16">
        <f>_xlfn.XLOOKUP(CustomerCombinedCleaned[[#This Row],[ID]], Table2[ID],Table2[MC2], "Not Found", 0 )</f>
        <v>0</v>
      </c>
      <c r="AA366" s="16">
        <f>_xlfn.XLOOKUP(CustomerCombinedCleaned[[#This Row],[ID]], Table2[ID],Table2[MC3], "Not Found", 0 )</f>
        <v>1</v>
      </c>
      <c r="AB366" s="16">
        <f>_xlfn.XLOOKUP(CustomerCombinedCleaned[[#This Row],[ID]], Table2[ID],Table2[MC4], "Not Found", 0 )</f>
        <v>0</v>
      </c>
      <c r="AC366" s="16">
        <f>_xlfn.XLOOKUP(CustomerCombinedCleaned[[#This Row],[ID]], Table2[ID],Table2[MC5], "Not Found", 0 )</f>
        <v>0</v>
      </c>
    </row>
    <row r="367" spans="1:29" x14ac:dyDescent="0.3">
      <c r="A367" s="18">
        <v>1494</v>
      </c>
      <c r="B367" s="16">
        <v>139665</v>
      </c>
      <c r="C367" s="16">
        <v>1</v>
      </c>
      <c r="D367" s="16">
        <v>0</v>
      </c>
      <c r="E367" s="16">
        <v>39</v>
      </c>
      <c r="F367" s="17" t="s">
        <v>8</v>
      </c>
      <c r="G367" s="17" t="s">
        <v>13</v>
      </c>
      <c r="H367" s="3" t="s">
        <v>246</v>
      </c>
      <c r="I367" s="5" t="s">
        <v>436</v>
      </c>
      <c r="J367" s="16">
        <f>_xlfn.XLOOKUP(CustomerCombinedCleaned[[#This Row],[ID]], Table4[ID], Table4[Recency], "Not Found", 0)</f>
        <v>97</v>
      </c>
      <c r="K367" s="16">
        <f>_xlfn.XLOOKUP(CustomerCombinedCleaned[[#This Row],[ID]], Table4[ID], Table4[Teas], "Not Found", 0)</f>
        <v>447</v>
      </c>
      <c r="L367" s="16">
        <f>_xlfn.XLOOKUP(CustomerCombinedCleaned[[#This Row],[ID]], Table4[ID], Table4[Fruits], "Not Found", 0)</f>
        <v>4</v>
      </c>
      <c r="M367" s="16">
        <f>_xlfn.XLOOKUP(CustomerCombinedCleaned[[#This Row],[ID]], Table4[ID], Table4[Meats], "Not Found", 0)</f>
        <v>197</v>
      </c>
      <c r="N367" s="16">
        <f>_xlfn.XLOOKUP(CustomerCombinedCleaned[[#This Row],[ID]], Table4[ID], Table4[Seafood], "Not Found", 0)</f>
        <v>0</v>
      </c>
      <c r="O367" s="16">
        <f>_xlfn.XLOOKUP(CustomerCombinedCleaned[[#This Row],[ID]], Table4[ID], Table4[Sweets], "Not Found", 0)</f>
        <v>4</v>
      </c>
      <c r="P367" s="16">
        <f>_xlfn.XLOOKUP(CustomerCombinedCleaned[[#This Row],[ID]], Table4[ID], Table4[Premium], "Not Found", 0)</f>
        <v>109</v>
      </c>
      <c r="Q367" s="16">
        <f>_xlfn.XLOOKUP(CustomerCombinedCleaned[[#This Row],[ID]], Table4[ID], Table4[Regular], "Not Found", 0)</f>
        <v>542</v>
      </c>
      <c r="R367" s="16">
        <f>_xlfn.XLOOKUP(CustomerCombinedCleaned[[#This Row],[ID]], Table4[ID], Table4[Deals], "Not Found", 0)</f>
        <v>3</v>
      </c>
      <c r="S367" s="16">
        <f>_xlfn.XLOOKUP(CustomerCombinedCleaned[[#This Row],[ID]], Table4[ID], Table4[Website], "Not Found", 0)</f>
        <v>4</v>
      </c>
      <c r="T367" s="16">
        <f>_xlfn.XLOOKUP(CustomerCombinedCleaned[[#This Row],[ID]], Table4[ID], Table4[Catalog], "Not Found", 0)</f>
        <v>2</v>
      </c>
      <c r="U367" s="16">
        <f>_xlfn.XLOOKUP(CustomerCombinedCleaned[[#This Row],[ID]], Table4[ID], Table4[Store], "Not Found", 0)</f>
        <v>3</v>
      </c>
      <c r="V367" s="16">
        <f>_xlfn.XLOOKUP(CustomerCombinedCleaned[[#This Row],[ID]], Table4[ID], Table4[Visits], "Not Found", 0)</f>
        <v>7</v>
      </c>
      <c r="W367" s="16">
        <f>_xlfn.XLOOKUP(CustomerCombinedCleaned[[#This Row],[ID]], Table2[ID],Table2[Complaint], "Not Found", 0 )</f>
        <v>0</v>
      </c>
      <c r="X367" s="16">
        <f>_xlfn.XLOOKUP(CustomerCombinedCleaned[[#This Row],[ID]], Table2[ID],Table2[Pilot], "Not Found", 0 )</f>
        <v>0</v>
      </c>
      <c r="Y367" s="16">
        <f>_xlfn.XLOOKUP(CustomerCombinedCleaned[[#This Row],[ID]], Table2[ID],Table2[MC1], "Not Found", 0 )</f>
        <v>0</v>
      </c>
      <c r="Z367" s="16">
        <f>_xlfn.XLOOKUP(CustomerCombinedCleaned[[#This Row],[ID]], Table2[ID],Table2[MC2], "Not Found", 0 )</f>
        <v>0</v>
      </c>
      <c r="AA367" s="16">
        <f>_xlfn.XLOOKUP(CustomerCombinedCleaned[[#This Row],[ID]], Table2[ID],Table2[MC3], "Not Found", 0 )</f>
        <v>1</v>
      </c>
      <c r="AB367" s="16">
        <f>_xlfn.XLOOKUP(CustomerCombinedCleaned[[#This Row],[ID]], Table2[ID],Table2[MC4], "Not Found", 0 )</f>
        <v>0</v>
      </c>
      <c r="AC367" s="16">
        <f>_xlfn.XLOOKUP(CustomerCombinedCleaned[[#This Row],[ID]], Table2[ID],Table2[MC5], "Not Found", 0 )</f>
        <v>0</v>
      </c>
    </row>
    <row r="368" spans="1:29" x14ac:dyDescent="0.3">
      <c r="A368" s="18">
        <v>1137</v>
      </c>
      <c r="B368" s="16">
        <v>138547</v>
      </c>
      <c r="C368" s="16">
        <v>1</v>
      </c>
      <c r="D368" s="16">
        <v>0</v>
      </c>
      <c r="E368" s="16">
        <v>39</v>
      </c>
      <c r="F368" s="17" t="s">
        <v>8</v>
      </c>
      <c r="G368" s="17" t="s">
        <v>11</v>
      </c>
      <c r="H368" s="3" t="s">
        <v>621</v>
      </c>
      <c r="I368" s="5" t="s">
        <v>435</v>
      </c>
      <c r="J368" s="16">
        <f>_xlfn.XLOOKUP(CustomerCombinedCleaned[[#This Row],[ID]], Table4[ID], Table4[Recency], "Not Found", 0)</f>
        <v>49</v>
      </c>
      <c r="K368" s="16">
        <f>_xlfn.XLOOKUP(CustomerCombinedCleaned[[#This Row],[ID]], Table4[ID], Table4[Teas], "Not Found", 0)</f>
        <v>22</v>
      </c>
      <c r="L368" s="16">
        <f>_xlfn.XLOOKUP(CustomerCombinedCleaned[[#This Row],[ID]], Table4[ID], Table4[Fruits], "Not Found", 0)</f>
        <v>4</v>
      </c>
      <c r="M368" s="16">
        <f>_xlfn.XLOOKUP(CustomerCombinedCleaned[[#This Row],[ID]], Table4[ID], Table4[Meats], "Not Found", 0)</f>
        <v>36</v>
      </c>
      <c r="N368" s="16">
        <f>_xlfn.XLOOKUP(CustomerCombinedCleaned[[#This Row],[ID]], Table4[ID], Table4[Seafood], "Not Found", 0)</f>
        <v>0</v>
      </c>
      <c r="O368" s="16">
        <f>_xlfn.XLOOKUP(CustomerCombinedCleaned[[#This Row],[ID]], Table4[ID], Table4[Sweets], "Not Found", 0)</f>
        <v>4</v>
      </c>
      <c r="P368" s="16">
        <f>_xlfn.XLOOKUP(CustomerCombinedCleaned[[#This Row],[ID]], Table4[ID], Table4[Premium], "Not Found", 0)</f>
        <v>14</v>
      </c>
      <c r="Q368" s="16">
        <f>_xlfn.XLOOKUP(CustomerCombinedCleaned[[#This Row],[ID]], Table4[ID], Table4[Regular], "Not Found", 0)</f>
        <v>50</v>
      </c>
      <c r="R368" s="16">
        <f>_xlfn.XLOOKUP(CustomerCombinedCleaned[[#This Row],[ID]], Table4[ID], Table4[Deals], "Not Found", 0)</f>
        <v>1</v>
      </c>
      <c r="S368" s="16">
        <f>_xlfn.XLOOKUP(CustomerCombinedCleaned[[#This Row],[ID]], Table4[ID], Table4[Website], "Not Found", 0)</f>
        <v>1</v>
      </c>
      <c r="T368" s="16">
        <f>_xlfn.XLOOKUP(CustomerCombinedCleaned[[#This Row],[ID]], Table4[ID], Table4[Catalog], "Not Found", 0)</f>
        <v>0</v>
      </c>
      <c r="U368" s="16">
        <f>_xlfn.XLOOKUP(CustomerCombinedCleaned[[#This Row],[ID]], Table4[ID], Table4[Store], "Not Found", 0)</f>
        <v>2</v>
      </c>
      <c r="V368" s="16">
        <f>_xlfn.XLOOKUP(CustomerCombinedCleaned[[#This Row],[ID]], Table4[ID], Table4[Visits], "Not Found", 0)</f>
        <v>8</v>
      </c>
      <c r="W368" s="16">
        <f>_xlfn.XLOOKUP(CustomerCombinedCleaned[[#This Row],[ID]], Table2[ID],Table2[Complaint], "Not Found", 0 )</f>
        <v>1</v>
      </c>
      <c r="X368" s="16">
        <f>_xlfn.XLOOKUP(CustomerCombinedCleaned[[#This Row],[ID]], Table2[ID],Table2[Pilot], "Not Found", 0 )</f>
        <v>0</v>
      </c>
      <c r="Y368" s="16">
        <f>_xlfn.XLOOKUP(CustomerCombinedCleaned[[#This Row],[ID]], Table2[ID],Table2[MC1], "Not Found", 0 )</f>
        <v>0</v>
      </c>
      <c r="Z368" s="16">
        <f>_xlfn.XLOOKUP(CustomerCombinedCleaned[[#This Row],[ID]], Table2[ID],Table2[MC2], "Not Found", 0 )</f>
        <v>0</v>
      </c>
      <c r="AA368" s="16">
        <f>_xlfn.XLOOKUP(CustomerCombinedCleaned[[#This Row],[ID]], Table2[ID],Table2[MC3], "Not Found", 0 )</f>
        <v>0</v>
      </c>
      <c r="AB368" s="16">
        <f>_xlfn.XLOOKUP(CustomerCombinedCleaned[[#This Row],[ID]], Table2[ID],Table2[MC4], "Not Found", 0 )</f>
        <v>0</v>
      </c>
      <c r="AC368" s="16">
        <f>_xlfn.XLOOKUP(CustomerCombinedCleaned[[#This Row],[ID]], Table2[ID],Table2[MC5], "Not Found", 0 )</f>
        <v>0</v>
      </c>
    </row>
    <row r="369" spans="1:29" x14ac:dyDescent="0.3">
      <c r="A369" s="18">
        <v>1558</v>
      </c>
      <c r="B369" s="16">
        <v>136959</v>
      </c>
      <c r="C369" s="16">
        <v>1</v>
      </c>
      <c r="D369" s="16">
        <v>0</v>
      </c>
      <c r="E369" s="16">
        <v>39</v>
      </c>
      <c r="F369" s="17" t="s">
        <v>6</v>
      </c>
      <c r="G369" s="17" t="s">
        <v>12</v>
      </c>
      <c r="H369" s="3" t="s">
        <v>673</v>
      </c>
      <c r="I369" s="5" t="s">
        <v>439</v>
      </c>
      <c r="J369" s="16">
        <f>_xlfn.XLOOKUP(CustomerCombinedCleaned[[#This Row],[ID]], Table4[ID], Table4[Recency], "Not Found", 0)</f>
        <v>56</v>
      </c>
      <c r="K369" s="16">
        <f>_xlfn.XLOOKUP(CustomerCombinedCleaned[[#This Row],[ID]], Table4[ID], Table4[Teas], "Not Found", 0)</f>
        <v>93</v>
      </c>
      <c r="L369" s="16">
        <f>_xlfn.XLOOKUP(CustomerCombinedCleaned[[#This Row],[ID]], Table4[ID], Table4[Fruits], "Not Found", 0)</f>
        <v>22</v>
      </c>
      <c r="M369" s="16">
        <f>_xlfn.XLOOKUP(CustomerCombinedCleaned[[#This Row],[ID]], Table4[ID], Table4[Meats], "Not Found", 0)</f>
        <v>93</v>
      </c>
      <c r="N369" s="16">
        <f>_xlfn.XLOOKUP(CustomerCombinedCleaned[[#This Row],[ID]], Table4[ID], Table4[Seafood], "Not Found", 0)</f>
        <v>22</v>
      </c>
      <c r="O369" s="16">
        <f>_xlfn.XLOOKUP(CustomerCombinedCleaned[[#This Row],[ID]], Table4[ID], Table4[Sweets], "Not Found", 0)</f>
        <v>0</v>
      </c>
      <c r="P369" s="16">
        <f>_xlfn.XLOOKUP(CustomerCombinedCleaned[[#This Row],[ID]], Table4[ID], Table4[Premium], "Not Found", 0)</f>
        <v>0</v>
      </c>
      <c r="Q369" s="16">
        <f>_xlfn.XLOOKUP(CustomerCombinedCleaned[[#This Row],[ID]], Table4[ID], Table4[Regular], "Not Found", 0)</f>
        <v>230</v>
      </c>
      <c r="R369" s="16">
        <f>_xlfn.XLOOKUP(CustomerCombinedCleaned[[#This Row],[ID]], Table4[ID], Table4[Deals], "Not Found", 0)</f>
        <v>2</v>
      </c>
      <c r="S369" s="16">
        <f>_xlfn.XLOOKUP(CustomerCombinedCleaned[[#This Row],[ID]], Table4[ID], Table4[Website], "Not Found", 0)</f>
        <v>2</v>
      </c>
      <c r="T369" s="16">
        <f>_xlfn.XLOOKUP(CustomerCombinedCleaned[[#This Row],[ID]], Table4[ID], Table4[Catalog], "Not Found", 0)</f>
        <v>0</v>
      </c>
      <c r="U369" s="16">
        <f>_xlfn.XLOOKUP(CustomerCombinedCleaned[[#This Row],[ID]], Table4[ID], Table4[Store], "Not Found", 0)</f>
        <v>3</v>
      </c>
      <c r="V369" s="16">
        <f>_xlfn.XLOOKUP(CustomerCombinedCleaned[[#This Row],[ID]], Table4[ID], Table4[Visits], "Not Found", 0)</f>
        <v>8</v>
      </c>
      <c r="W369" s="16">
        <f>_xlfn.XLOOKUP(CustomerCombinedCleaned[[#This Row],[ID]], Table2[ID],Table2[Complaint], "Not Found", 0 )</f>
        <v>0</v>
      </c>
      <c r="X369" s="16">
        <f>_xlfn.XLOOKUP(CustomerCombinedCleaned[[#This Row],[ID]], Table2[ID],Table2[Pilot], "Not Found", 0 )</f>
        <v>0</v>
      </c>
      <c r="Y369" s="16">
        <f>_xlfn.XLOOKUP(CustomerCombinedCleaned[[#This Row],[ID]], Table2[ID],Table2[MC1], "Not Found", 0 )</f>
        <v>0</v>
      </c>
      <c r="Z369" s="16">
        <f>_xlfn.XLOOKUP(CustomerCombinedCleaned[[#This Row],[ID]], Table2[ID],Table2[MC2], "Not Found", 0 )</f>
        <v>0</v>
      </c>
      <c r="AA369" s="16">
        <f>_xlfn.XLOOKUP(CustomerCombinedCleaned[[#This Row],[ID]], Table2[ID],Table2[MC3], "Not Found", 0 )</f>
        <v>0</v>
      </c>
      <c r="AB369" s="16">
        <f>_xlfn.XLOOKUP(CustomerCombinedCleaned[[#This Row],[ID]], Table2[ID],Table2[MC4], "Not Found", 0 )</f>
        <v>0</v>
      </c>
      <c r="AC369" s="16">
        <f>_xlfn.XLOOKUP(CustomerCombinedCleaned[[#This Row],[ID]], Table2[ID],Table2[MC5], "Not Found", 0 )</f>
        <v>0</v>
      </c>
    </row>
    <row r="370" spans="1:29" x14ac:dyDescent="0.3">
      <c r="A370" s="18">
        <v>1368</v>
      </c>
      <c r="B370" s="16">
        <v>136143</v>
      </c>
      <c r="C370" s="16">
        <v>1</v>
      </c>
      <c r="D370" s="16">
        <v>0</v>
      </c>
      <c r="E370" s="16">
        <v>39</v>
      </c>
      <c r="F370" s="17" t="s">
        <v>7</v>
      </c>
      <c r="G370" s="17" t="s">
        <v>12</v>
      </c>
      <c r="H370" s="3" t="s">
        <v>775</v>
      </c>
      <c r="I370" s="5" t="s">
        <v>436</v>
      </c>
      <c r="J370" s="16">
        <f>_xlfn.XLOOKUP(CustomerCombinedCleaned[[#This Row],[ID]], Table4[ID], Table4[Recency], "Not Found", 0)</f>
        <v>33</v>
      </c>
      <c r="K370" s="16">
        <f>_xlfn.XLOOKUP(CustomerCombinedCleaned[[#This Row],[ID]], Table4[ID], Table4[Teas], "Not Found", 0)</f>
        <v>45</v>
      </c>
      <c r="L370" s="16">
        <f>_xlfn.XLOOKUP(CustomerCombinedCleaned[[#This Row],[ID]], Table4[ID], Table4[Fruits], "Not Found", 0)</f>
        <v>0</v>
      </c>
      <c r="M370" s="16">
        <f>_xlfn.XLOOKUP(CustomerCombinedCleaned[[#This Row],[ID]], Table4[ID], Table4[Meats], "Not Found", 0)</f>
        <v>4</v>
      </c>
      <c r="N370" s="16">
        <f>_xlfn.XLOOKUP(CustomerCombinedCleaned[[#This Row],[ID]], Table4[ID], Table4[Seafood], "Not Found", 0)</f>
        <v>0</v>
      </c>
      <c r="O370" s="16">
        <f>_xlfn.XLOOKUP(CustomerCombinedCleaned[[#This Row],[ID]], Table4[ID], Table4[Sweets], "Not Found", 0)</f>
        <v>0</v>
      </c>
      <c r="P370" s="16">
        <f>_xlfn.XLOOKUP(CustomerCombinedCleaned[[#This Row],[ID]], Table4[ID], Table4[Premium], "Not Found", 0)</f>
        <v>23</v>
      </c>
      <c r="Q370" s="16">
        <f>_xlfn.XLOOKUP(CustomerCombinedCleaned[[#This Row],[ID]], Table4[ID], Table4[Regular], "Not Found", 0)</f>
        <v>26</v>
      </c>
      <c r="R370" s="16">
        <f>_xlfn.XLOOKUP(CustomerCombinedCleaned[[#This Row],[ID]], Table4[ID], Table4[Deals], "Not Found", 0)</f>
        <v>1</v>
      </c>
      <c r="S370" s="16">
        <f>_xlfn.XLOOKUP(CustomerCombinedCleaned[[#This Row],[ID]], Table4[ID], Table4[Website], "Not Found", 0)</f>
        <v>0</v>
      </c>
      <c r="T370" s="16">
        <f>_xlfn.XLOOKUP(CustomerCombinedCleaned[[#This Row],[ID]], Table4[ID], Table4[Catalog], "Not Found", 0)</f>
        <v>1</v>
      </c>
      <c r="U370" s="16">
        <f>_xlfn.XLOOKUP(CustomerCombinedCleaned[[#This Row],[ID]], Table4[ID], Table4[Store], "Not Found", 0)</f>
        <v>2</v>
      </c>
      <c r="V370" s="16">
        <f>_xlfn.XLOOKUP(CustomerCombinedCleaned[[#This Row],[ID]], Table4[ID], Table4[Visits], "Not Found", 0)</f>
        <v>3</v>
      </c>
      <c r="W370" s="16">
        <f>_xlfn.XLOOKUP(CustomerCombinedCleaned[[#This Row],[ID]], Table2[ID],Table2[Complaint], "Not Found", 0 )</f>
        <v>0</v>
      </c>
      <c r="X370" s="16">
        <f>_xlfn.XLOOKUP(CustomerCombinedCleaned[[#This Row],[ID]], Table2[ID],Table2[Pilot], "Not Found", 0 )</f>
        <v>0</v>
      </c>
      <c r="Y370" s="16">
        <f>_xlfn.XLOOKUP(CustomerCombinedCleaned[[#This Row],[ID]], Table2[ID],Table2[MC1], "Not Found", 0 )</f>
        <v>0</v>
      </c>
      <c r="Z370" s="16">
        <f>_xlfn.XLOOKUP(CustomerCombinedCleaned[[#This Row],[ID]], Table2[ID],Table2[MC2], "Not Found", 0 )</f>
        <v>0</v>
      </c>
      <c r="AA370" s="16">
        <f>_xlfn.XLOOKUP(CustomerCombinedCleaned[[#This Row],[ID]], Table2[ID],Table2[MC3], "Not Found", 0 )</f>
        <v>0</v>
      </c>
      <c r="AB370" s="16">
        <f>_xlfn.XLOOKUP(CustomerCombinedCleaned[[#This Row],[ID]], Table2[ID],Table2[MC4], "Not Found", 0 )</f>
        <v>0</v>
      </c>
      <c r="AC370" s="16">
        <f>_xlfn.XLOOKUP(CustomerCombinedCleaned[[#This Row],[ID]], Table2[ID],Table2[MC5], "Not Found", 0 )</f>
        <v>0</v>
      </c>
    </row>
    <row r="371" spans="1:29" x14ac:dyDescent="0.3">
      <c r="A371" s="18">
        <v>2892</v>
      </c>
      <c r="B371" s="16">
        <v>136038</v>
      </c>
      <c r="C371" s="16">
        <v>1</v>
      </c>
      <c r="D371" s="16">
        <v>0</v>
      </c>
      <c r="E371" s="16">
        <v>39</v>
      </c>
      <c r="F371" s="17" t="s">
        <v>7</v>
      </c>
      <c r="G371" s="17" t="s">
        <v>13</v>
      </c>
      <c r="H371" s="3" t="s">
        <v>776</v>
      </c>
      <c r="I371" s="5" t="s">
        <v>436</v>
      </c>
      <c r="J371" s="16">
        <f>_xlfn.XLOOKUP(CustomerCombinedCleaned[[#This Row],[ID]], Table4[ID], Table4[Recency], "Not Found", 0)</f>
        <v>82</v>
      </c>
      <c r="K371" s="16">
        <f>_xlfn.XLOOKUP(CustomerCombinedCleaned[[#This Row],[ID]], Table4[ID], Table4[Teas], "Not Found", 0)</f>
        <v>87</v>
      </c>
      <c r="L371" s="16">
        <f>_xlfn.XLOOKUP(CustomerCombinedCleaned[[#This Row],[ID]], Table4[ID], Table4[Fruits], "Not Found", 0)</f>
        <v>0</v>
      </c>
      <c r="M371" s="16">
        <f>_xlfn.XLOOKUP(CustomerCombinedCleaned[[#This Row],[ID]], Table4[ID], Table4[Meats], "Not Found", 0)</f>
        <v>57</v>
      </c>
      <c r="N371" s="16">
        <f>_xlfn.XLOOKUP(CustomerCombinedCleaned[[#This Row],[ID]], Table4[ID], Table4[Seafood], "Not Found", 0)</f>
        <v>0</v>
      </c>
      <c r="O371" s="16">
        <f>_xlfn.XLOOKUP(CustomerCombinedCleaned[[#This Row],[ID]], Table4[ID], Table4[Sweets], "Not Found", 0)</f>
        <v>8</v>
      </c>
      <c r="P371" s="16">
        <f>_xlfn.XLOOKUP(CustomerCombinedCleaned[[#This Row],[ID]], Table4[ID], Table4[Premium], "Not Found", 0)</f>
        <v>26</v>
      </c>
      <c r="Q371" s="16">
        <f>_xlfn.XLOOKUP(CustomerCombinedCleaned[[#This Row],[ID]], Table4[ID], Table4[Regular], "Not Found", 0)</f>
        <v>125</v>
      </c>
      <c r="R371" s="16">
        <f>_xlfn.XLOOKUP(CustomerCombinedCleaned[[#This Row],[ID]], Table4[ID], Table4[Deals], "Not Found", 0)</f>
        <v>2</v>
      </c>
      <c r="S371" s="16">
        <f>_xlfn.XLOOKUP(CustomerCombinedCleaned[[#This Row],[ID]], Table4[ID], Table4[Website], "Not Found", 0)</f>
        <v>3</v>
      </c>
      <c r="T371" s="16">
        <f>_xlfn.XLOOKUP(CustomerCombinedCleaned[[#This Row],[ID]], Table4[ID], Table4[Catalog], "Not Found", 0)</f>
        <v>0</v>
      </c>
      <c r="U371" s="16">
        <f>_xlfn.XLOOKUP(CustomerCombinedCleaned[[#This Row],[ID]], Table4[ID], Table4[Store], "Not Found", 0)</f>
        <v>3</v>
      </c>
      <c r="V371" s="16">
        <f>_xlfn.XLOOKUP(CustomerCombinedCleaned[[#This Row],[ID]], Table4[ID], Table4[Visits], "Not Found", 0)</f>
        <v>6</v>
      </c>
      <c r="W371" s="16">
        <f>_xlfn.XLOOKUP(CustomerCombinedCleaned[[#This Row],[ID]], Table2[ID],Table2[Complaint], "Not Found", 0 )</f>
        <v>0</v>
      </c>
      <c r="X371" s="16">
        <f>_xlfn.XLOOKUP(CustomerCombinedCleaned[[#This Row],[ID]], Table2[ID],Table2[Pilot], "Not Found", 0 )</f>
        <v>0</v>
      </c>
      <c r="Y371" s="16">
        <f>_xlfn.XLOOKUP(CustomerCombinedCleaned[[#This Row],[ID]], Table2[ID],Table2[MC1], "Not Found", 0 )</f>
        <v>0</v>
      </c>
      <c r="Z371" s="16">
        <f>_xlfn.XLOOKUP(CustomerCombinedCleaned[[#This Row],[ID]], Table2[ID],Table2[MC2], "Not Found", 0 )</f>
        <v>0</v>
      </c>
      <c r="AA371" s="16">
        <f>_xlfn.XLOOKUP(CustomerCombinedCleaned[[#This Row],[ID]], Table2[ID],Table2[MC3], "Not Found", 0 )</f>
        <v>0</v>
      </c>
      <c r="AB371" s="16">
        <f>_xlfn.XLOOKUP(CustomerCombinedCleaned[[#This Row],[ID]], Table2[ID],Table2[MC4], "Not Found", 0 )</f>
        <v>0</v>
      </c>
      <c r="AC371" s="16">
        <f>_xlfn.XLOOKUP(CustomerCombinedCleaned[[#This Row],[ID]], Table2[ID],Table2[MC5], "Not Found", 0 )</f>
        <v>0</v>
      </c>
    </row>
    <row r="372" spans="1:29" x14ac:dyDescent="0.3">
      <c r="A372" s="18">
        <v>1741</v>
      </c>
      <c r="B372" s="16">
        <v>135523</v>
      </c>
      <c r="C372" s="16">
        <v>1</v>
      </c>
      <c r="D372" s="16">
        <v>0</v>
      </c>
      <c r="E372" s="16">
        <v>39</v>
      </c>
      <c r="F372" s="17" t="s">
        <v>6</v>
      </c>
      <c r="G372" s="17" t="s">
        <v>11</v>
      </c>
      <c r="H372" s="3" t="s">
        <v>710</v>
      </c>
      <c r="I372" s="5" t="s">
        <v>437</v>
      </c>
      <c r="J372" s="16">
        <f>_xlfn.XLOOKUP(CustomerCombinedCleaned[[#This Row],[ID]], Table4[ID], Table4[Recency], "Not Found", 0)</f>
        <v>8</v>
      </c>
      <c r="K372" s="16">
        <f>_xlfn.XLOOKUP(CustomerCombinedCleaned[[#This Row],[ID]], Table4[ID], Table4[Teas], "Not Found", 0)</f>
        <v>42</v>
      </c>
      <c r="L372" s="16">
        <f>_xlfn.XLOOKUP(CustomerCombinedCleaned[[#This Row],[ID]], Table4[ID], Table4[Fruits], "Not Found", 0)</f>
        <v>19</v>
      </c>
      <c r="M372" s="16">
        <f>_xlfn.XLOOKUP(CustomerCombinedCleaned[[#This Row],[ID]], Table4[ID], Table4[Meats], "Not Found", 0)</f>
        <v>84</v>
      </c>
      <c r="N372" s="16">
        <f>_xlfn.XLOOKUP(CustomerCombinedCleaned[[#This Row],[ID]], Table4[ID], Table4[Seafood], "Not Found", 0)</f>
        <v>46</v>
      </c>
      <c r="O372" s="16">
        <f>_xlfn.XLOOKUP(CustomerCombinedCleaned[[#This Row],[ID]], Table4[ID], Table4[Sweets], "Not Found", 0)</f>
        <v>19</v>
      </c>
      <c r="P372" s="16">
        <f>_xlfn.XLOOKUP(CustomerCombinedCleaned[[#This Row],[ID]], Table4[ID], Table4[Premium], "Not Found", 0)</f>
        <v>42</v>
      </c>
      <c r="Q372" s="16">
        <f>_xlfn.XLOOKUP(CustomerCombinedCleaned[[#This Row],[ID]], Table4[ID], Table4[Regular], "Not Found", 0)</f>
        <v>168</v>
      </c>
      <c r="R372" s="16">
        <f>_xlfn.XLOOKUP(CustomerCombinedCleaned[[#This Row],[ID]], Table4[ID], Table4[Deals], "Not Found", 0)</f>
        <v>2</v>
      </c>
      <c r="S372" s="16">
        <f>_xlfn.XLOOKUP(CustomerCombinedCleaned[[#This Row],[ID]], Table4[ID], Table4[Website], "Not Found", 0)</f>
        <v>3</v>
      </c>
      <c r="T372" s="16">
        <f>_xlfn.XLOOKUP(CustomerCombinedCleaned[[#This Row],[ID]], Table4[ID], Table4[Catalog], "Not Found", 0)</f>
        <v>0</v>
      </c>
      <c r="U372" s="16">
        <f>_xlfn.XLOOKUP(CustomerCombinedCleaned[[#This Row],[ID]], Table4[ID], Table4[Store], "Not Found", 0)</f>
        <v>3</v>
      </c>
      <c r="V372" s="16">
        <f>_xlfn.XLOOKUP(CustomerCombinedCleaned[[#This Row],[ID]], Table4[ID], Table4[Visits], "Not Found", 0)</f>
        <v>7</v>
      </c>
      <c r="W372" s="16">
        <f>_xlfn.XLOOKUP(CustomerCombinedCleaned[[#This Row],[ID]], Table2[ID],Table2[Complaint], "Not Found", 0 )</f>
        <v>0</v>
      </c>
      <c r="X372" s="16">
        <f>_xlfn.XLOOKUP(CustomerCombinedCleaned[[#This Row],[ID]], Table2[ID],Table2[Pilot], "Not Found", 0 )</f>
        <v>0</v>
      </c>
      <c r="Y372" s="16">
        <f>_xlfn.XLOOKUP(CustomerCombinedCleaned[[#This Row],[ID]], Table2[ID],Table2[MC1], "Not Found", 0 )</f>
        <v>0</v>
      </c>
      <c r="Z372" s="16">
        <f>_xlfn.XLOOKUP(CustomerCombinedCleaned[[#This Row],[ID]], Table2[ID],Table2[MC2], "Not Found", 0 )</f>
        <v>0</v>
      </c>
      <c r="AA372" s="16">
        <f>_xlfn.XLOOKUP(CustomerCombinedCleaned[[#This Row],[ID]], Table2[ID],Table2[MC3], "Not Found", 0 )</f>
        <v>0</v>
      </c>
      <c r="AB372" s="16">
        <f>_xlfn.XLOOKUP(CustomerCombinedCleaned[[#This Row],[ID]], Table2[ID],Table2[MC4], "Not Found", 0 )</f>
        <v>0</v>
      </c>
      <c r="AC372" s="16">
        <f>_xlfn.XLOOKUP(CustomerCombinedCleaned[[#This Row],[ID]], Table2[ID],Table2[MC5], "Not Found", 0 )</f>
        <v>0</v>
      </c>
    </row>
    <row r="373" spans="1:29" x14ac:dyDescent="0.3">
      <c r="A373" s="18">
        <v>2988</v>
      </c>
      <c r="B373" s="16">
        <v>134445</v>
      </c>
      <c r="C373" s="16">
        <v>0</v>
      </c>
      <c r="D373" s="16">
        <v>0</v>
      </c>
      <c r="E373" s="16">
        <v>39</v>
      </c>
      <c r="F373" s="17" t="s">
        <v>6</v>
      </c>
      <c r="G373" s="17" t="s">
        <v>10</v>
      </c>
      <c r="H373" s="3" t="s">
        <v>784</v>
      </c>
      <c r="I373" s="5" t="s">
        <v>436</v>
      </c>
      <c r="J373" s="16">
        <f>_xlfn.XLOOKUP(CustomerCombinedCleaned[[#This Row],[ID]], Table4[ID], Table4[Recency], "Not Found", 0)</f>
        <v>92</v>
      </c>
      <c r="K373" s="16">
        <f>_xlfn.XLOOKUP(CustomerCombinedCleaned[[#This Row],[ID]], Table4[ID], Table4[Teas], "Not Found", 0)</f>
        <v>890</v>
      </c>
      <c r="L373" s="16">
        <f>_xlfn.XLOOKUP(CustomerCombinedCleaned[[#This Row],[ID]], Table4[ID], Table4[Fruits], "Not Found", 0)</f>
        <v>476</v>
      </c>
      <c r="M373" s="16">
        <f>_xlfn.XLOOKUP(CustomerCombinedCleaned[[#This Row],[ID]], Table4[ID], Table4[Meats], "Not Found", 0)</f>
        <v>476</v>
      </c>
      <c r="N373" s="16">
        <f>_xlfn.XLOOKUP(CustomerCombinedCleaned[[#This Row],[ID]], Table4[ID], Table4[Seafood], "Not Found", 0)</f>
        <v>812</v>
      </c>
      <c r="O373" s="16">
        <f>_xlfn.XLOOKUP(CustomerCombinedCleaned[[#This Row],[ID]], Table4[ID], Table4[Sweets], "Not Found", 0)</f>
        <v>504</v>
      </c>
      <c r="P373" s="16">
        <f>_xlfn.XLOOKUP(CustomerCombinedCleaned[[#This Row],[ID]], Table4[ID], Table4[Premium], "Not Found", 0)</f>
        <v>117</v>
      </c>
      <c r="Q373" s="16">
        <f>_xlfn.XLOOKUP(CustomerCombinedCleaned[[#This Row],[ID]], Table4[ID], Table4[Regular], "Not Found", 0)</f>
        <v>3041</v>
      </c>
      <c r="R373" s="16">
        <f>_xlfn.XLOOKUP(CustomerCombinedCleaned[[#This Row],[ID]], Table4[ID], Table4[Deals], "Not Found", 0)</f>
        <v>6</v>
      </c>
      <c r="S373" s="16">
        <f>_xlfn.XLOOKUP(CustomerCombinedCleaned[[#This Row],[ID]], Table4[ID], Table4[Website], "Not Found", 0)</f>
        <v>11</v>
      </c>
      <c r="T373" s="16">
        <f>_xlfn.XLOOKUP(CustomerCombinedCleaned[[#This Row],[ID]], Table4[ID], Table4[Catalog], "Not Found", 0)</f>
        <v>2</v>
      </c>
      <c r="U373" s="16">
        <f>_xlfn.XLOOKUP(CustomerCombinedCleaned[[#This Row],[ID]], Table4[ID], Table4[Store], "Not Found", 0)</f>
        <v>8</v>
      </c>
      <c r="V373" s="16">
        <f>_xlfn.XLOOKUP(CustomerCombinedCleaned[[#This Row],[ID]], Table4[ID], Table4[Visits], "Not Found", 0)</f>
        <v>9</v>
      </c>
      <c r="W373" s="16">
        <f>_xlfn.XLOOKUP(CustomerCombinedCleaned[[#This Row],[ID]], Table2[ID],Table2[Complaint], "Not Found", 0 )</f>
        <v>0</v>
      </c>
      <c r="X373" s="16">
        <f>_xlfn.XLOOKUP(CustomerCombinedCleaned[[#This Row],[ID]], Table2[ID],Table2[Pilot], "Not Found", 0 )</f>
        <v>0</v>
      </c>
      <c r="Y373" s="16">
        <f>_xlfn.XLOOKUP(CustomerCombinedCleaned[[#This Row],[ID]], Table2[ID],Table2[MC1], "Not Found", 0 )</f>
        <v>0</v>
      </c>
      <c r="Z373" s="16">
        <f>_xlfn.XLOOKUP(CustomerCombinedCleaned[[#This Row],[ID]], Table2[ID],Table2[MC2], "Not Found", 0 )</f>
        <v>0</v>
      </c>
      <c r="AA373" s="16">
        <f>_xlfn.XLOOKUP(CustomerCombinedCleaned[[#This Row],[ID]], Table2[ID],Table2[MC3], "Not Found", 0 )</f>
        <v>0</v>
      </c>
      <c r="AB373" s="16">
        <f>_xlfn.XLOOKUP(CustomerCombinedCleaned[[#This Row],[ID]], Table2[ID],Table2[MC4], "Not Found", 0 )</f>
        <v>0</v>
      </c>
      <c r="AC373" s="16">
        <f>_xlfn.XLOOKUP(CustomerCombinedCleaned[[#This Row],[ID]], Table2[ID],Table2[MC5], "Not Found", 0 )</f>
        <v>0</v>
      </c>
    </row>
    <row r="374" spans="1:29" x14ac:dyDescent="0.3">
      <c r="A374" s="18">
        <v>1583</v>
      </c>
      <c r="B374" s="16">
        <v>131089</v>
      </c>
      <c r="C374" s="16">
        <v>1</v>
      </c>
      <c r="D374" s="16">
        <v>0</v>
      </c>
      <c r="E374" s="16">
        <v>39</v>
      </c>
      <c r="F374" s="17" t="s">
        <v>8</v>
      </c>
      <c r="G374" s="17" t="s">
        <v>11</v>
      </c>
      <c r="H374" s="3" t="s">
        <v>411</v>
      </c>
      <c r="I374" s="5" t="s">
        <v>434</v>
      </c>
      <c r="J374" s="16">
        <f>_xlfn.XLOOKUP(CustomerCombinedCleaned[[#This Row],[ID]], Table4[ID], Table4[Recency], "Not Found", 0)</f>
        <v>57</v>
      </c>
      <c r="K374" s="16">
        <f>_xlfn.XLOOKUP(CustomerCombinedCleaned[[#This Row],[ID]], Table4[ID], Table4[Teas], "Not Found", 0)</f>
        <v>131</v>
      </c>
      <c r="L374" s="16">
        <f>_xlfn.XLOOKUP(CustomerCombinedCleaned[[#This Row],[ID]], Table4[ID], Table4[Fruits], "Not Found", 0)</f>
        <v>13</v>
      </c>
      <c r="M374" s="16">
        <f>_xlfn.XLOOKUP(CustomerCombinedCleaned[[#This Row],[ID]], Table4[ID], Table4[Meats], "Not Found", 0)</f>
        <v>131</v>
      </c>
      <c r="N374" s="16">
        <f>_xlfn.XLOOKUP(CustomerCombinedCleaned[[#This Row],[ID]], Table4[ID], Table4[Seafood], "Not Found", 0)</f>
        <v>8</v>
      </c>
      <c r="O374" s="16">
        <f>_xlfn.XLOOKUP(CustomerCombinedCleaned[[#This Row],[ID]], Table4[ID], Table4[Sweets], "Not Found", 0)</f>
        <v>34</v>
      </c>
      <c r="P374" s="16">
        <f>_xlfn.XLOOKUP(CustomerCombinedCleaned[[#This Row],[ID]], Table4[ID], Table4[Premium], "Not Found", 0)</f>
        <v>17</v>
      </c>
      <c r="Q374" s="16">
        <f>_xlfn.XLOOKUP(CustomerCombinedCleaned[[#This Row],[ID]], Table4[ID], Table4[Regular], "Not Found", 0)</f>
        <v>299</v>
      </c>
      <c r="R374" s="16">
        <f>_xlfn.XLOOKUP(CustomerCombinedCleaned[[#This Row],[ID]], Table4[ID], Table4[Deals], "Not Found", 0)</f>
        <v>3</v>
      </c>
      <c r="S374" s="16">
        <f>_xlfn.XLOOKUP(CustomerCombinedCleaned[[#This Row],[ID]], Table4[ID], Table4[Website], "Not Found", 0)</f>
        <v>3</v>
      </c>
      <c r="T374" s="16">
        <f>_xlfn.XLOOKUP(CustomerCombinedCleaned[[#This Row],[ID]], Table4[ID], Table4[Catalog], "Not Found", 0)</f>
        <v>0</v>
      </c>
      <c r="U374" s="16">
        <f>_xlfn.XLOOKUP(CustomerCombinedCleaned[[#This Row],[ID]], Table4[ID], Table4[Store], "Not Found", 0)</f>
        <v>4</v>
      </c>
      <c r="V374" s="16">
        <f>_xlfn.XLOOKUP(CustomerCombinedCleaned[[#This Row],[ID]], Table4[ID], Table4[Visits], "Not Found", 0)</f>
        <v>8</v>
      </c>
      <c r="W374" s="16">
        <f>_xlfn.XLOOKUP(CustomerCombinedCleaned[[#This Row],[ID]], Table2[ID],Table2[Complaint], "Not Found", 0 )</f>
        <v>0</v>
      </c>
      <c r="X374" s="16">
        <f>_xlfn.XLOOKUP(CustomerCombinedCleaned[[#This Row],[ID]], Table2[ID],Table2[Pilot], "Not Found", 0 )</f>
        <v>0</v>
      </c>
      <c r="Y374" s="16">
        <f>_xlfn.XLOOKUP(CustomerCombinedCleaned[[#This Row],[ID]], Table2[ID],Table2[MC1], "Not Found", 0 )</f>
        <v>0</v>
      </c>
      <c r="Z374" s="16">
        <f>_xlfn.XLOOKUP(CustomerCombinedCleaned[[#This Row],[ID]], Table2[ID],Table2[MC2], "Not Found", 0 )</f>
        <v>0</v>
      </c>
      <c r="AA374" s="16">
        <f>_xlfn.XLOOKUP(CustomerCombinedCleaned[[#This Row],[ID]], Table2[ID],Table2[MC3], "Not Found", 0 )</f>
        <v>0</v>
      </c>
      <c r="AB374" s="16">
        <f>_xlfn.XLOOKUP(CustomerCombinedCleaned[[#This Row],[ID]], Table2[ID],Table2[MC4], "Not Found", 0 )</f>
        <v>0</v>
      </c>
      <c r="AC374" s="16">
        <f>_xlfn.XLOOKUP(CustomerCombinedCleaned[[#This Row],[ID]], Table2[ID],Table2[MC5], "Not Found", 0 )</f>
        <v>0</v>
      </c>
    </row>
    <row r="375" spans="1:29" x14ac:dyDescent="0.3">
      <c r="A375" s="18">
        <v>3017</v>
      </c>
      <c r="B375" s="16">
        <v>129009</v>
      </c>
      <c r="C375" s="16">
        <v>1</v>
      </c>
      <c r="D375" s="16">
        <v>0</v>
      </c>
      <c r="E375" s="16">
        <v>39</v>
      </c>
      <c r="F375" s="17" t="s">
        <v>6</v>
      </c>
      <c r="G375" s="17" t="s">
        <v>11</v>
      </c>
      <c r="H375" s="3" t="s">
        <v>761</v>
      </c>
      <c r="I375" s="5" t="s">
        <v>434</v>
      </c>
      <c r="J375" s="16">
        <f>_xlfn.XLOOKUP(CustomerCombinedCleaned[[#This Row],[ID]], Table4[ID], Table4[Recency], "Not Found", 0)</f>
        <v>19</v>
      </c>
      <c r="K375" s="16">
        <f>_xlfn.XLOOKUP(CustomerCombinedCleaned[[#This Row],[ID]], Table4[ID], Table4[Teas], "Not Found", 0)</f>
        <v>27</v>
      </c>
      <c r="L375" s="16">
        <f>_xlfn.XLOOKUP(CustomerCombinedCleaned[[#This Row],[ID]], Table4[ID], Table4[Fruits], "Not Found", 0)</f>
        <v>27</v>
      </c>
      <c r="M375" s="16">
        <f>_xlfn.XLOOKUP(CustomerCombinedCleaned[[#This Row],[ID]], Table4[ID], Table4[Meats], "Not Found", 0)</f>
        <v>67</v>
      </c>
      <c r="N375" s="16">
        <f>_xlfn.XLOOKUP(CustomerCombinedCleaned[[#This Row],[ID]], Table4[ID], Table4[Seafood], "Not Found", 0)</f>
        <v>44</v>
      </c>
      <c r="O375" s="16">
        <f>_xlfn.XLOOKUP(CustomerCombinedCleaned[[#This Row],[ID]], Table4[ID], Table4[Sweets], "Not Found", 0)</f>
        <v>22</v>
      </c>
      <c r="P375" s="16">
        <f>_xlfn.XLOOKUP(CustomerCombinedCleaned[[#This Row],[ID]], Table4[ID], Table4[Premium], "Not Found", 0)</f>
        <v>9</v>
      </c>
      <c r="Q375" s="16">
        <f>_xlfn.XLOOKUP(CustomerCombinedCleaned[[#This Row],[ID]], Table4[ID], Table4[Regular], "Not Found", 0)</f>
        <v>178</v>
      </c>
      <c r="R375" s="16">
        <f>_xlfn.XLOOKUP(CustomerCombinedCleaned[[#This Row],[ID]], Table4[ID], Table4[Deals], "Not Found", 0)</f>
        <v>2</v>
      </c>
      <c r="S375" s="16">
        <f>_xlfn.XLOOKUP(CustomerCombinedCleaned[[#This Row],[ID]], Table4[ID], Table4[Website], "Not Found", 0)</f>
        <v>2</v>
      </c>
      <c r="T375" s="16">
        <f>_xlfn.XLOOKUP(CustomerCombinedCleaned[[#This Row],[ID]], Table4[ID], Table4[Catalog], "Not Found", 0)</f>
        <v>0</v>
      </c>
      <c r="U375" s="16">
        <f>_xlfn.XLOOKUP(CustomerCombinedCleaned[[#This Row],[ID]], Table4[ID], Table4[Store], "Not Found", 0)</f>
        <v>3</v>
      </c>
      <c r="V375" s="16">
        <f>_xlfn.XLOOKUP(CustomerCombinedCleaned[[#This Row],[ID]], Table4[ID], Table4[Visits], "Not Found", 0)</f>
        <v>6</v>
      </c>
      <c r="W375" s="16">
        <f>_xlfn.XLOOKUP(CustomerCombinedCleaned[[#This Row],[ID]], Table2[ID],Table2[Complaint], "Not Found", 0 )</f>
        <v>0</v>
      </c>
      <c r="X375" s="16">
        <f>_xlfn.XLOOKUP(CustomerCombinedCleaned[[#This Row],[ID]], Table2[ID],Table2[Pilot], "Not Found", 0 )</f>
        <v>0</v>
      </c>
      <c r="Y375" s="16">
        <f>_xlfn.XLOOKUP(CustomerCombinedCleaned[[#This Row],[ID]], Table2[ID],Table2[MC1], "Not Found", 0 )</f>
        <v>0</v>
      </c>
      <c r="Z375" s="16">
        <f>_xlfn.XLOOKUP(CustomerCombinedCleaned[[#This Row],[ID]], Table2[ID],Table2[MC2], "Not Found", 0 )</f>
        <v>0</v>
      </c>
      <c r="AA375" s="16">
        <f>_xlfn.XLOOKUP(CustomerCombinedCleaned[[#This Row],[ID]], Table2[ID],Table2[MC3], "Not Found", 0 )</f>
        <v>0</v>
      </c>
      <c r="AB375" s="16">
        <f>_xlfn.XLOOKUP(CustomerCombinedCleaned[[#This Row],[ID]], Table2[ID],Table2[MC4], "Not Found", 0 )</f>
        <v>0</v>
      </c>
      <c r="AC375" s="16">
        <f>_xlfn.XLOOKUP(CustomerCombinedCleaned[[#This Row],[ID]], Table2[ID],Table2[MC5], "Not Found", 0 )</f>
        <v>0</v>
      </c>
    </row>
    <row r="376" spans="1:29" x14ac:dyDescent="0.3">
      <c r="A376" s="18">
        <v>2159</v>
      </c>
      <c r="B376" s="16">
        <v>128510</v>
      </c>
      <c r="C376" s="16">
        <v>1</v>
      </c>
      <c r="D376" s="16">
        <v>1</v>
      </c>
      <c r="E376" s="16">
        <v>39</v>
      </c>
      <c r="F376" s="17" t="s">
        <v>5</v>
      </c>
      <c r="G376" s="17" t="s">
        <v>11</v>
      </c>
      <c r="H376" s="3" t="s">
        <v>276</v>
      </c>
      <c r="I376" s="5" t="s">
        <v>434</v>
      </c>
      <c r="J376" s="16">
        <f>_xlfn.XLOOKUP(CustomerCombinedCleaned[[#This Row],[ID]], Table4[ID], Table4[Recency], "Not Found", 0)</f>
        <v>72</v>
      </c>
      <c r="K376" s="16">
        <f>_xlfn.XLOOKUP(CustomerCombinedCleaned[[#This Row],[ID]], Table4[ID], Table4[Teas], "Not Found", 0)</f>
        <v>198</v>
      </c>
      <c r="L376" s="16">
        <f>_xlfn.XLOOKUP(CustomerCombinedCleaned[[#This Row],[ID]], Table4[ID], Table4[Fruits], "Not Found", 0)</f>
        <v>23</v>
      </c>
      <c r="M376" s="16">
        <f>_xlfn.XLOOKUP(CustomerCombinedCleaned[[#This Row],[ID]], Table4[ID], Table4[Meats], "Not Found", 0)</f>
        <v>86</v>
      </c>
      <c r="N376" s="16">
        <f>_xlfn.XLOOKUP(CustomerCombinedCleaned[[#This Row],[ID]], Table4[ID], Table4[Seafood], "Not Found", 0)</f>
        <v>0</v>
      </c>
      <c r="O376" s="16">
        <f>_xlfn.XLOOKUP(CustomerCombinedCleaned[[#This Row],[ID]], Table4[ID], Table4[Sweets], "Not Found", 0)</f>
        <v>18</v>
      </c>
      <c r="P376" s="16">
        <f>_xlfn.XLOOKUP(CustomerCombinedCleaned[[#This Row],[ID]], Table4[ID], Table4[Premium], "Not Found", 0)</f>
        <v>86</v>
      </c>
      <c r="Q376" s="16">
        <f>_xlfn.XLOOKUP(CustomerCombinedCleaned[[#This Row],[ID]], Table4[ID], Table4[Regular], "Not Found", 0)</f>
        <v>239</v>
      </c>
      <c r="R376" s="16">
        <f>_xlfn.XLOOKUP(CustomerCombinedCleaned[[#This Row],[ID]], Table4[ID], Table4[Deals], "Not Found", 0)</f>
        <v>3</v>
      </c>
      <c r="S376" s="16">
        <f>_xlfn.XLOOKUP(CustomerCombinedCleaned[[#This Row],[ID]], Table4[ID], Table4[Website], "Not Found", 0)</f>
        <v>2</v>
      </c>
      <c r="T376" s="16">
        <f>_xlfn.XLOOKUP(CustomerCombinedCleaned[[#This Row],[ID]], Table4[ID], Table4[Catalog], "Not Found", 0)</f>
        <v>0</v>
      </c>
      <c r="U376" s="16">
        <f>_xlfn.XLOOKUP(CustomerCombinedCleaned[[#This Row],[ID]], Table4[ID], Table4[Store], "Not Found", 0)</f>
        <v>4</v>
      </c>
      <c r="V376" s="16">
        <f>_xlfn.XLOOKUP(CustomerCombinedCleaned[[#This Row],[ID]], Table4[ID], Table4[Visits], "Not Found", 0)</f>
        <v>5</v>
      </c>
      <c r="W376" s="16">
        <f>_xlfn.XLOOKUP(CustomerCombinedCleaned[[#This Row],[ID]], Table2[ID],Table2[Complaint], "Not Found", 0 )</f>
        <v>0</v>
      </c>
      <c r="X376" s="16">
        <f>_xlfn.XLOOKUP(CustomerCombinedCleaned[[#This Row],[ID]], Table2[ID],Table2[Pilot], "Not Found", 0 )</f>
        <v>0</v>
      </c>
      <c r="Y376" s="16">
        <f>_xlfn.XLOOKUP(CustomerCombinedCleaned[[#This Row],[ID]], Table2[ID],Table2[MC1], "Not Found", 0 )</f>
        <v>0</v>
      </c>
      <c r="Z376" s="16">
        <f>_xlfn.XLOOKUP(CustomerCombinedCleaned[[#This Row],[ID]], Table2[ID],Table2[MC2], "Not Found", 0 )</f>
        <v>0</v>
      </c>
      <c r="AA376" s="16">
        <f>_xlfn.XLOOKUP(CustomerCombinedCleaned[[#This Row],[ID]], Table2[ID],Table2[MC3], "Not Found", 0 )</f>
        <v>0</v>
      </c>
      <c r="AB376" s="16">
        <f>_xlfn.XLOOKUP(CustomerCombinedCleaned[[#This Row],[ID]], Table2[ID],Table2[MC4], "Not Found", 0 )</f>
        <v>0</v>
      </c>
      <c r="AC376" s="16">
        <f>_xlfn.XLOOKUP(CustomerCombinedCleaned[[#This Row],[ID]], Table2[ID],Table2[MC5], "Not Found", 0 )</f>
        <v>0</v>
      </c>
    </row>
    <row r="377" spans="1:29" x14ac:dyDescent="0.3">
      <c r="A377" s="18">
        <v>3085</v>
      </c>
      <c r="B377" s="16">
        <v>127733</v>
      </c>
      <c r="C377" s="16">
        <v>1</v>
      </c>
      <c r="D377" s="16">
        <v>0</v>
      </c>
      <c r="E377" s="16">
        <v>39</v>
      </c>
      <c r="F377" s="17" t="s">
        <v>6</v>
      </c>
      <c r="G377" s="17" t="s">
        <v>11</v>
      </c>
      <c r="H377" s="3" t="s">
        <v>191</v>
      </c>
      <c r="I377" s="5" t="s">
        <v>437</v>
      </c>
      <c r="J377" s="16">
        <f>_xlfn.XLOOKUP(CustomerCombinedCleaned[[#This Row],[ID]], Table4[ID], Table4[Recency], "Not Found", 0)</f>
        <v>16</v>
      </c>
      <c r="K377" s="16">
        <f>_xlfn.XLOOKUP(CustomerCombinedCleaned[[#This Row],[ID]], Table4[ID], Table4[Teas], "Not Found", 0)</f>
        <v>0</v>
      </c>
      <c r="L377" s="16">
        <f>_xlfn.XLOOKUP(CustomerCombinedCleaned[[#This Row],[ID]], Table4[ID], Table4[Fruits], "Not Found", 0)</f>
        <v>32</v>
      </c>
      <c r="M377" s="16">
        <f>_xlfn.XLOOKUP(CustomerCombinedCleaned[[#This Row],[ID]], Table4[ID], Table4[Meats], "Not Found", 0)</f>
        <v>23</v>
      </c>
      <c r="N377" s="16">
        <f>_xlfn.XLOOKUP(CustomerCombinedCleaned[[#This Row],[ID]], Table4[ID], Table4[Seafood], "Not Found", 0)</f>
        <v>120</v>
      </c>
      <c r="O377" s="16">
        <f>_xlfn.XLOOKUP(CustomerCombinedCleaned[[#This Row],[ID]], Table4[ID], Table4[Sweets], "Not Found", 0)</f>
        <v>9</v>
      </c>
      <c r="P377" s="16">
        <f>_xlfn.XLOOKUP(CustomerCombinedCleaned[[#This Row],[ID]], Table4[ID], Table4[Premium], "Not Found", 0)</f>
        <v>78</v>
      </c>
      <c r="Q377" s="16">
        <f>_xlfn.XLOOKUP(CustomerCombinedCleaned[[#This Row],[ID]], Table4[ID], Table4[Regular], "Not Found", 0)</f>
        <v>106</v>
      </c>
      <c r="R377" s="16">
        <f>_xlfn.XLOOKUP(CustomerCombinedCleaned[[#This Row],[ID]], Table4[ID], Table4[Deals], "Not Found", 0)</f>
        <v>2</v>
      </c>
      <c r="S377" s="16">
        <f>_xlfn.XLOOKUP(CustomerCombinedCleaned[[#This Row],[ID]], Table4[ID], Table4[Website], "Not Found", 0)</f>
        <v>2</v>
      </c>
      <c r="T377" s="16">
        <f>_xlfn.XLOOKUP(CustomerCombinedCleaned[[#This Row],[ID]], Table4[ID], Table4[Catalog], "Not Found", 0)</f>
        <v>0</v>
      </c>
      <c r="U377" s="16">
        <f>_xlfn.XLOOKUP(CustomerCombinedCleaned[[#This Row],[ID]], Table4[ID], Table4[Store], "Not Found", 0)</f>
        <v>3</v>
      </c>
      <c r="V377" s="16">
        <f>_xlfn.XLOOKUP(CustomerCombinedCleaned[[#This Row],[ID]], Table4[ID], Table4[Visits], "Not Found", 0)</f>
        <v>7</v>
      </c>
      <c r="W377" s="16">
        <f>_xlfn.XLOOKUP(CustomerCombinedCleaned[[#This Row],[ID]], Table2[ID],Table2[Complaint], "Not Found", 0 )</f>
        <v>0</v>
      </c>
      <c r="X377" s="16">
        <f>_xlfn.XLOOKUP(CustomerCombinedCleaned[[#This Row],[ID]], Table2[ID],Table2[Pilot], "Not Found", 0 )</f>
        <v>0</v>
      </c>
      <c r="Y377" s="16">
        <f>_xlfn.XLOOKUP(CustomerCombinedCleaned[[#This Row],[ID]], Table2[ID],Table2[MC1], "Not Found", 0 )</f>
        <v>0</v>
      </c>
      <c r="Z377" s="16">
        <f>_xlfn.XLOOKUP(CustomerCombinedCleaned[[#This Row],[ID]], Table2[ID],Table2[MC2], "Not Found", 0 )</f>
        <v>0</v>
      </c>
      <c r="AA377" s="16">
        <f>_xlfn.XLOOKUP(CustomerCombinedCleaned[[#This Row],[ID]], Table2[ID],Table2[MC3], "Not Found", 0 )</f>
        <v>0</v>
      </c>
      <c r="AB377" s="16">
        <f>_xlfn.XLOOKUP(CustomerCombinedCleaned[[#This Row],[ID]], Table2[ID],Table2[MC4], "Not Found", 0 )</f>
        <v>0</v>
      </c>
      <c r="AC377" s="16">
        <f>_xlfn.XLOOKUP(CustomerCombinedCleaned[[#This Row],[ID]], Table2[ID],Table2[MC5], "Not Found", 0 )</f>
        <v>0</v>
      </c>
    </row>
    <row r="378" spans="1:29" x14ac:dyDescent="0.3">
      <c r="A378" s="18">
        <v>1791</v>
      </c>
      <c r="B378" s="16">
        <v>126872</v>
      </c>
      <c r="C378" s="16">
        <v>0</v>
      </c>
      <c r="D378" s="16">
        <v>0</v>
      </c>
      <c r="E378" s="16">
        <v>39</v>
      </c>
      <c r="F378" s="17" t="s">
        <v>6</v>
      </c>
      <c r="G378" s="17" t="s">
        <v>11</v>
      </c>
      <c r="H378" s="3" t="s">
        <v>166</v>
      </c>
      <c r="I378" s="5" t="s">
        <v>435</v>
      </c>
      <c r="J378" s="16">
        <f>_xlfn.XLOOKUP(CustomerCombinedCleaned[[#This Row],[ID]], Table4[ID], Table4[Recency], "Not Found", 0)</f>
        <v>0</v>
      </c>
      <c r="K378" s="16">
        <f>_xlfn.XLOOKUP(CustomerCombinedCleaned[[#This Row],[ID]], Table4[ID], Table4[Teas], "Not Found", 0)</f>
        <v>14</v>
      </c>
      <c r="L378" s="16">
        <f>_xlfn.XLOOKUP(CustomerCombinedCleaned[[#This Row],[ID]], Table4[ID], Table4[Fruits], "Not Found", 0)</f>
        <v>47</v>
      </c>
      <c r="M378" s="16">
        <f>_xlfn.XLOOKUP(CustomerCombinedCleaned[[#This Row],[ID]], Table4[ID], Table4[Meats], "Not Found", 0)</f>
        <v>38</v>
      </c>
      <c r="N378" s="16">
        <f>_xlfn.XLOOKUP(CustomerCombinedCleaned[[#This Row],[ID]], Table4[ID], Table4[Seafood], "Not Found", 0)</f>
        <v>14</v>
      </c>
      <c r="O378" s="16">
        <f>_xlfn.XLOOKUP(CustomerCombinedCleaned[[#This Row],[ID]], Table4[ID], Table4[Sweets], "Not Found", 0)</f>
        <v>76</v>
      </c>
      <c r="P378" s="16">
        <f>_xlfn.XLOOKUP(CustomerCombinedCleaned[[#This Row],[ID]], Table4[ID], Table4[Premium], "Not Found", 0)</f>
        <v>151</v>
      </c>
      <c r="Q378" s="16">
        <f>_xlfn.XLOOKUP(CustomerCombinedCleaned[[#This Row],[ID]], Table4[ID], Table4[Regular], "Not Found", 0)</f>
        <v>38</v>
      </c>
      <c r="R378" s="16">
        <f>_xlfn.XLOOKUP(CustomerCombinedCleaned[[#This Row],[ID]], Table4[ID], Table4[Deals], "Not Found", 0)</f>
        <v>1</v>
      </c>
      <c r="S378" s="16">
        <f>_xlfn.XLOOKUP(CustomerCombinedCleaned[[#This Row],[ID]], Table4[ID], Table4[Website], "Not Found", 0)</f>
        <v>1</v>
      </c>
      <c r="T378" s="16">
        <f>_xlfn.XLOOKUP(CustomerCombinedCleaned[[#This Row],[ID]], Table4[ID], Table4[Catalog], "Not Found", 0)</f>
        <v>1</v>
      </c>
      <c r="U378" s="16">
        <f>_xlfn.XLOOKUP(CustomerCombinedCleaned[[#This Row],[ID]], Table4[ID], Table4[Store], "Not Found", 0)</f>
        <v>2</v>
      </c>
      <c r="V378" s="16">
        <f>_xlfn.XLOOKUP(CustomerCombinedCleaned[[#This Row],[ID]], Table4[ID], Table4[Visits], "Not Found", 0)</f>
        <v>6</v>
      </c>
      <c r="W378" s="16">
        <f>_xlfn.XLOOKUP(CustomerCombinedCleaned[[#This Row],[ID]], Table2[ID],Table2[Complaint], "Not Found", 0 )</f>
        <v>0</v>
      </c>
      <c r="X378" s="16">
        <f>_xlfn.XLOOKUP(CustomerCombinedCleaned[[#This Row],[ID]], Table2[ID],Table2[Pilot], "Not Found", 0 )</f>
        <v>0</v>
      </c>
      <c r="Y378" s="16">
        <f>_xlfn.XLOOKUP(CustomerCombinedCleaned[[#This Row],[ID]], Table2[ID],Table2[MC1], "Not Found", 0 )</f>
        <v>0</v>
      </c>
      <c r="Z378" s="16">
        <f>_xlfn.XLOOKUP(CustomerCombinedCleaned[[#This Row],[ID]], Table2[ID],Table2[MC2], "Not Found", 0 )</f>
        <v>0</v>
      </c>
      <c r="AA378" s="16">
        <f>_xlfn.XLOOKUP(CustomerCombinedCleaned[[#This Row],[ID]], Table2[ID],Table2[MC3], "Not Found", 0 )</f>
        <v>0</v>
      </c>
      <c r="AB378" s="16">
        <f>_xlfn.XLOOKUP(CustomerCombinedCleaned[[#This Row],[ID]], Table2[ID],Table2[MC4], "Not Found", 0 )</f>
        <v>0</v>
      </c>
      <c r="AC378" s="16">
        <f>_xlfn.XLOOKUP(CustomerCombinedCleaned[[#This Row],[ID]], Table2[ID],Table2[MC5], "Not Found", 0 )</f>
        <v>0</v>
      </c>
    </row>
    <row r="379" spans="1:29" x14ac:dyDescent="0.3">
      <c r="A379" s="18">
        <v>1267</v>
      </c>
      <c r="B379" s="16">
        <v>124480</v>
      </c>
      <c r="C379" s="16">
        <v>1</v>
      </c>
      <c r="D379" s="16">
        <v>0</v>
      </c>
      <c r="E379" s="16">
        <v>39</v>
      </c>
      <c r="F379" s="17" t="s">
        <v>6</v>
      </c>
      <c r="G379" s="17" t="s">
        <v>10</v>
      </c>
      <c r="H379" s="3" t="s">
        <v>312</v>
      </c>
      <c r="I379" s="5" t="s">
        <v>437</v>
      </c>
      <c r="J379" s="16">
        <f>_xlfn.XLOOKUP(CustomerCombinedCleaned[[#This Row],[ID]], Table4[ID], Table4[Recency], "Not Found", 0)</f>
        <v>46</v>
      </c>
      <c r="K379" s="16">
        <f>_xlfn.XLOOKUP(CustomerCombinedCleaned[[#This Row],[ID]], Table4[ID], Table4[Teas], "Not Found", 0)</f>
        <v>20</v>
      </c>
      <c r="L379" s="16">
        <f>_xlfn.XLOOKUP(CustomerCombinedCleaned[[#This Row],[ID]], Table4[ID], Table4[Fruits], "Not Found", 0)</f>
        <v>97</v>
      </c>
      <c r="M379" s="16">
        <f>_xlfn.XLOOKUP(CustomerCombinedCleaned[[#This Row],[ID]], Table4[ID], Table4[Meats], "Not Found", 0)</f>
        <v>46</v>
      </c>
      <c r="N379" s="16">
        <f>_xlfn.XLOOKUP(CustomerCombinedCleaned[[#This Row],[ID]], Table4[ID], Table4[Seafood], "Not Found", 0)</f>
        <v>142</v>
      </c>
      <c r="O379" s="16">
        <f>_xlfn.XLOOKUP(CustomerCombinedCleaned[[#This Row],[ID]], Table4[ID], Table4[Sweets], "Not Found", 0)</f>
        <v>127</v>
      </c>
      <c r="P379" s="16">
        <f>_xlfn.XLOOKUP(CustomerCombinedCleaned[[#This Row],[ID]], Table4[ID], Table4[Premium], "Not Found", 0)</f>
        <v>86</v>
      </c>
      <c r="Q379" s="16">
        <f>_xlfn.XLOOKUP(CustomerCombinedCleaned[[#This Row],[ID]], Table4[ID], Table4[Regular], "Not Found", 0)</f>
        <v>346</v>
      </c>
      <c r="R379" s="16">
        <f>_xlfn.XLOOKUP(CustomerCombinedCleaned[[#This Row],[ID]], Table4[ID], Table4[Deals], "Not Found", 0)</f>
        <v>3</v>
      </c>
      <c r="S379" s="16">
        <f>_xlfn.XLOOKUP(CustomerCombinedCleaned[[#This Row],[ID]], Table4[ID], Table4[Website], "Not Found", 0)</f>
        <v>3</v>
      </c>
      <c r="T379" s="16">
        <f>_xlfn.XLOOKUP(CustomerCombinedCleaned[[#This Row],[ID]], Table4[ID], Table4[Catalog], "Not Found", 0)</f>
        <v>0</v>
      </c>
      <c r="U379" s="16">
        <f>_xlfn.XLOOKUP(CustomerCombinedCleaned[[#This Row],[ID]], Table4[ID], Table4[Store], "Not Found", 0)</f>
        <v>4</v>
      </c>
      <c r="V379" s="16">
        <f>_xlfn.XLOOKUP(CustomerCombinedCleaned[[#This Row],[ID]], Table4[ID], Table4[Visits], "Not Found", 0)</f>
        <v>7</v>
      </c>
      <c r="W379" s="16">
        <f>_xlfn.XLOOKUP(CustomerCombinedCleaned[[#This Row],[ID]], Table2[ID],Table2[Complaint], "Not Found", 0 )</f>
        <v>0</v>
      </c>
      <c r="X379" s="16">
        <f>_xlfn.XLOOKUP(CustomerCombinedCleaned[[#This Row],[ID]], Table2[ID],Table2[Pilot], "Not Found", 0 )</f>
        <v>0</v>
      </c>
      <c r="Y379" s="16">
        <f>_xlfn.XLOOKUP(CustomerCombinedCleaned[[#This Row],[ID]], Table2[ID],Table2[MC1], "Not Found", 0 )</f>
        <v>0</v>
      </c>
      <c r="Z379" s="16">
        <f>_xlfn.XLOOKUP(CustomerCombinedCleaned[[#This Row],[ID]], Table2[ID],Table2[MC2], "Not Found", 0 )</f>
        <v>0</v>
      </c>
      <c r="AA379" s="16">
        <f>_xlfn.XLOOKUP(CustomerCombinedCleaned[[#This Row],[ID]], Table2[ID],Table2[MC3], "Not Found", 0 )</f>
        <v>0</v>
      </c>
      <c r="AB379" s="16">
        <f>_xlfn.XLOOKUP(CustomerCombinedCleaned[[#This Row],[ID]], Table2[ID],Table2[MC4], "Not Found", 0 )</f>
        <v>0</v>
      </c>
      <c r="AC379" s="16">
        <f>_xlfn.XLOOKUP(CustomerCombinedCleaned[[#This Row],[ID]], Table2[ID],Table2[MC5], "Not Found", 0 )</f>
        <v>0</v>
      </c>
    </row>
    <row r="380" spans="1:29" x14ac:dyDescent="0.3">
      <c r="A380" s="18">
        <v>2668</v>
      </c>
      <c r="B380" s="16">
        <v>124336</v>
      </c>
      <c r="C380" s="16">
        <v>1</v>
      </c>
      <c r="D380" s="16">
        <v>0</v>
      </c>
      <c r="E380" s="16">
        <v>39</v>
      </c>
      <c r="F380" s="17" t="s">
        <v>7</v>
      </c>
      <c r="G380" s="17" t="s">
        <v>11</v>
      </c>
      <c r="H380" s="3" t="s">
        <v>639</v>
      </c>
      <c r="I380" s="5" t="s">
        <v>439</v>
      </c>
      <c r="J380" s="16">
        <f>_xlfn.XLOOKUP(CustomerCombinedCleaned[[#This Row],[ID]], Table4[ID], Table4[Recency], "Not Found", 0)</f>
        <v>82</v>
      </c>
      <c r="K380" s="16">
        <f>_xlfn.XLOOKUP(CustomerCombinedCleaned[[#This Row],[ID]], Table4[ID], Table4[Teas], "Not Found", 0)</f>
        <v>5</v>
      </c>
      <c r="L380" s="16">
        <f>_xlfn.XLOOKUP(CustomerCombinedCleaned[[#This Row],[ID]], Table4[ID], Table4[Fruits], "Not Found", 0)</f>
        <v>31</v>
      </c>
      <c r="M380" s="16">
        <f>_xlfn.XLOOKUP(CustomerCombinedCleaned[[#This Row],[ID]], Table4[ID], Table4[Meats], "Not Found", 0)</f>
        <v>10</v>
      </c>
      <c r="N380" s="16">
        <f>_xlfn.XLOOKUP(CustomerCombinedCleaned[[#This Row],[ID]], Table4[ID], Table4[Seafood], "Not Found", 0)</f>
        <v>41</v>
      </c>
      <c r="O380" s="16">
        <f>_xlfn.XLOOKUP(CustomerCombinedCleaned[[#This Row],[ID]], Table4[ID], Table4[Sweets], "Not Found", 0)</f>
        <v>10</v>
      </c>
      <c r="P380" s="16">
        <f>_xlfn.XLOOKUP(CustomerCombinedCleaned[[#This Row],[ID]], Table4[ID], Table4[Premium], "Not Found", 0)</f>
        <v>61</v>
      </c>
      <c r="Q380" s="16">
        <f>_xlfn.XLOOKUP(CustomerCombinedCleaned[[#This Row],[ID]], Table4[ID], Table4[Regular], "Not Found", 0)</f>
        <v>36</v>
      </c>
      <c r="R380" s="16">
        <f>_xlfn.XLOOKUP(CustomerCombinedCleaned[[#This Row],[ID]], Table4[ID], Table4[Deals], "Not Found", 0)</f>
        <v>1</v>
      </c>
      <c r="S380" s="16">
        <f>_xlfn.XLOOKUP(CustomerCombinedCleaned[[#This Row],[ID]], Table4[ID], Table4[Website], "Not Found", 0)</f>
        <v>1</v>
      </c>
      <c r="T380" s="16">
        <f>_xlfn.XLOOKUP(CustomerCombinedCleaned[[#This Row],[ID]], Table4[ID], Table4[Catalog], "Not Found", 0)</f>
        <v>0</v>
      </c>
      <c r="U380" s="16">
        <f>_xlfn.XLOOKUP(CustomerCombinedCleaned[[#This Row],[ID]], Table4[ID], Table4[Store], "Not Found", 0)</f>
        <v>2</v>
      </c>
      <c r="V380" s="16">
        <f>_xlfn.XLOOKUP(CustomerCombinedCleaned[[#This Row],[ID]], Table4[ID], Table4[Visits], "Not Found", 0)</f>
        <v>7</v>
      </c>
      <c r="W380" s="16">
        <f>_xlfn.XLOOKUP(CustomerCombinedCleaned[[#This Row],[ID]], Table2[ID],Table2[Complaint], "Not Found", 0 )</f>
        <v>0</v>
      </c>
      <c r="X380" s="16">
        <f>_xlfn.XLOOKUP(CustomerCombinedCleaned[[#This Row],[ID]], Table2[ID],Table2[Pilot], "Not Found", 0 )</f>
        <v>0</v>
      </c>
      <c r="Y380" s="16">
        <f>_xlfn.XLOOKUP(CustomerCombinedCleaned[[#This Row],[ID]], Table2[ID],Table2[MC1], "Not Found", 0 )</f>
        <v>0</v>
      </c>
      <c r="Z380" s="16">
        <f>_xlfn.XLOOKUP(CustomerCombinedCleaned[[#This Row],[ID]], Table2[ID],Table2[MC2], "Not Found", 0 )</f>
        <v>0</v>
      </c>
      <c r="AA380" s="16">
        <f>_xlfn.XLOOKUP(CustomerCombinedCleaned[[#This Row],[ID]], Table2[ID],Table2[MC3], "Not Found", 0 )</f>
        <v>0</v>
      </c>
      <c r="AB380" s="16">
        <f>_xlfn.XLOOKUP(CustomerCombinedCleaned[[#This Row],[ID]], Table2[ID],Table2[MC4], "Not Found", 0 )</f>
        <v>0</v>
      </c>
      <c r="AC380" s="16">
        <f>_xlfn.XLOOKUP(CustomerCombinedCleaned[[#This Row],[ID]], Table2[ID],Table2[MC5], "Not Found", 0 )</f>
        <v>0</v>
      </c>
    </row>
    <row r="381" spans="1:29" x14ac:dyDescent="0.3">
      <c r="A381" s="18">
        <v>1523</v>
      </c>
      <c r="B381" s="16">
        <v>122944</v>
      </c>
      <c r="C381" s="16">
        <v>1</v>
      </c>
      <c r="D381" s="16">
        <v>0</v>
      </c>
      <c r="E381" s="16">
        <v>39</v>
      </c>
      <c r="F381" s="17" t="s">
        <v>7</v>
      </c>
      <c r="G381" s="17" t="s">
        <v>12</v>
      </c>
      <c r="H381" s="3" t="s">
        <v>125</v>
      </c>
      <c r="I381" s="5" t="s">
        <v>434</v>
      </c>
      <c r="J381" s="16">
        <f>_xlfn.XLOOKUP(CustomerCombinedCleaned[[#This Row],[ID]], Table4[ID], Table4[Recency], "Not Found", 0)</f>
        <v>67</v>
      </c>
      <c r="K381" s="16">
        <f>_xlfn.XLOOKUP(CustomerCombinedCleaned[[#This Row],[ID]], Table4[ID], Table4[Teas], "Not Found", 0)</f>
        <v>102</v>
      </c>
      <c r="L381" s="16">
        <f>_xlfn.XLOOKUP(CustomerCombinedCleaned[[#This Row],[ID]], Table4[ID], Table4[Fruits], "Not Found", 0)</f>
        <v>16</v>
      </c>
      <c r="M381" s="16">
        <f>_xlfn.XLOOKUP(CustomerCombinedCleaned[[#This Row],[ID]], Table4[ID], Table4[Meats], "Not Found", 0)</f>
        <v>102</v>
      </c>
      <c r="N381" s="16">
        <f>_xlfn.XLOOKUP(CustomerCombinedCleaned[[#This Row],[ID]], Table4[ID], Table4[Seafood], "Not Found", 0)</f>
        <v>21</v>
      </c>
      <c r="O381" s="16">
        <f>_xlfn.XLOOKUP(CustomerCombinedCleaned[[#This Row],[ID]], Table4[ID], Table4[Sweets], "Not Found", 0)</f>
        <v>27</v>
      </c>
      <c r="P381" s="16">
        <f>_xlfn.XLOOKUP(CustomerCombinedCleaned[[#This Row],[ID]], Table4[ID], Table4[Premium], "Not Found", 0)</f>
        <v>139</v>
      </c>
      <c r="Q381" s="16">
        <f>_xlfn.XLOOKUP(CustomerCombinedCleaned[[#This Row],[ID]], Table4[ID], Table4[Regular], "Not Found", 0)</f>
        <v>129</v>
      </c>
      <c r="R381" s="16">
        <f>_xlfn.XLOOKUP(CustomerCombinedCleaned[[#This Row],[ID]], Table4[ID], Table4[Deals], "Not Found", 0)</f>
        <v>3</v>
      </c>
      <c r="S381" s="16">
        <f>_xlfn.XLOOKUP(CustomerCombinedCleaned[[#This Row],[ID]], Table4[ID], Table4[Website], "Not Found", 0)</f>
        <v>3</v>
      </c>
      <c r="T381" s="16">
        <f>_xlfn.XLOOKUP(CustomerCombinedCleaned[[#This Row],[ID]], Table4[ID], Table4[Catalog], "Not Found", 0)</f>
        <v>0</v>
      </c>
      <c r="U381" s="16">
        <f>_xlfn.XLOOKUP(CustomerCombinedCleaned[[#This Row],[ID]], Table4[ID], Table4[Store], "Not Found", 0)</f>
        <v>3</v>
      </c>
      <c r="V381" s="16">
        <f>_xlfn.XLOOKUP(CustomerCombinedCleaned[[#This Row],[ID]], Table4[ID], Table4[Visits], "Not Found", 0)</f>
        <v>7</v>
      </c>
      <c r="W381" s="16">
        <f>_xlfn.XLOOKUP(CustomerCombinedCleaned[[#This Row],[ID]], Table2[ID],Table2[Complaint], "Not Found", 0 )</f>
        <v>0</v>
      </c>
      <c r="X381" s="16">
        <f>_xlfn.XLOOKUP(CustomerCombinedCleaned[[#This Row],[ID]], Table2[ID],Table2[Pilot], "Not Found", 0 )</f>
        <v>0</v>
      </c>
      <c r="Y381" s="16">
        <f>_xlfn.XLOOKUP(CustomerCombinedCleaned[[#This Row],[ID]], Table2[ID],Table2[MC1], "Not Found", 0 )</f>
        <v>0</v>
      </c>
      <c r="Z381" s="16">
        <f>_xlfn.XLOOKUP(CustomerCombinedCleaned[[#This Row],[ID]], Table2[ID],Table2[MC2], "Not Found", 0 )</f>
        <v>0</v>
      </c>
      <c r="AA381" s="16">
        <f>_xlfn.XLOOKUP(CustomerCombinedCleaned[[#This Row],[ID]], Table2[ID],Table2[MC3], "Not Found", 0 )</f>
        <v>0</v>
      </c>
      <c r="AB381" s="16">
        <f>_xlfn.XLOOKUP(CustomerCombinedCleaned[[#This Row],[ID]], Table2[ID],Table2[MC4], "Not Found", 0 )</f>
        <v>0</v>
      </c>
      <c r="AC381" s="16">
        <f>_xlfn.XLOOKUP(CustomerCombinedCleaned[[#This Row],[ID]], Table2[ID],Table2[MC5], "Not Found", 0 )</f>
        <v>0</v>
      </c>
    </row>
    <row r="382" spans="1:29" x14ac:dyDescent="0.3">
      <c r="A382" s="18">
        <v>1824</v>
      </c>
      <c r="B382" s="16">
        <v>119419</v>
      </c>
      <c r="C382" s="16">
        <v>1</v>
      </c>
      <c r="D382" s="16">
        <v>0</v>
      </c>
      <c r="E382" s="16">
        <v>39</v>
      </c>
      <c r="F382" s="17" t="s">
        <v>6</v>
      </c>
      <c r="G382" s="17" t="s">
        <v>11</v>
      </c>
      <c r="H382" s="3" t="s">
        <v>365</v>
      </c>
      <c r="I382" s="5" t="s">
        <v>436</v>
      </c>
      <c r="J382" s="16">
        <f>_xlfn.XLOOKUP(CustomerCombinedCleaned[[#This Row],[ID]], Table4[ID], Table4[Recency], "Not Found", 0)</f>
        <v>76</v>
      </c>
      <c r="K382" s="16">
        <f>_xlfn.XLOOKUP(CustomerCombinedCleaned[[#This Row],[ID]], Table4[ID], Table4[Teas], "Not Found", 0)</f>
        <v>12</v>
      </c>
      <c r="L382" s="16">
        <f>_xlfn.XLOOKUP(CustomerCombinedCleaned[[#This Row],[ID]], Table4[ID], Table4[Fruits], "Not Found", 0)</f>
        <v>86</v>
      </c>
      <c r="M382" s="16">
        <f>_xlfn.XLOOKUP(CustomerCombinedCleaned[[#This Row],[ID]], Table4[ID], Table4[Meats], "Not Found", 0)</f>
        <v>172</v>
      </c>
      <c r="N382" s="16">
        <f>_xlfn.XLOOKUP(CustomerCombinedCleaned[[#This Row],[ID]], Table4[ID], Table4[Seafood], "Not Found", 0)</f>
        <v>98</v>
      </c>
      <c r="O382" s="16">
        <f>_xlfn.XLOOKUP(CustomerCombinedCleaned[[#This Row],[ID]], Table4[ID], Table4[Sweets], "Not Found", 0)</f>
        <v>18</v>
      </c>
      <c r="P382" s="16">
        <f>_xlfn.XLOOKUP(CustomerCombinedCleaned[[#This Row],[ID]], Table4[ID], Table4[Premium], "Not Found", 0)</f>
        <v>43</v>
      </c>
      <c r="Q382" s="16">
        <f>_xlfn.XLOOKUP(CustomerCombinedCleaned[[#This Row],[ID]], Table4[ID], Table4[Regular], "Not Found", 0)</f>
        <v>344</v>
      </c>
      <c r="R382" s="16">
        <f>_xlfn.XLOOKUP(CustomerCombinedCleaned[[#This Row],[ID]], Table4[ID], Table4[Deals], "Not Found", 0)</f>
        <v>4</v>
      </c>
      <c r="S382" s="16">
        <f>_xlfn.XLOOKUP(CustomerCombinedCleaned[[#This Row],[ID]], Table4[ID], Table4[Website], "Not Found", 0)</f>
        <v>4</v>
      </c>
      <c r="T382" s="16">
        <f>_xlfn.XLOOKUP(CustomerCombinedCleaned[[#This Row],[ID]], Table4[ID], Table4[Catalog], "Not Found", 0)</f>
        <v>0</v>
      </c>
      <c r="U382" s="16">
        <f>_xlfn.XLOOKUP(CustomerCombinedCleaned[[#This Row],[ID]], Table4[ID], Table4[Store], "Not Found", 0)</f>
        <v>3</v>
      </c>
      <c r="V382" s="16">
        <f>_xlfn.XLOOKUP(CustomerCombinedCleaned[[#This Row],[ID]], Table4[ID], Table4[Visits], "Not Found", 0)</f>
        <v>9</v>
      </c>
      <c r="W382" s="16">
        <f>_xlfn.XLOOKUP(CustomerCombinedCleaned[[#This Row],[ID]], Table2[ID],Table2[Complaint], "Not Found", 0 )</f>
        <v>0</v>
      </c>
      <c r="X382" s="16">
        <f>_xlfn.XLOOKUP(CustomerCombinedCleaned[[#This Row],[ID]], Table2[ID],Table2[Pilot], "Not Found", 0 )</f>
        <v>0</v>
      </c>
      <c r="Y382" s="16">
        <f>_xlfn.XLOOKUP(CustomerCombinedCleaned[[#This Row],[ID]], Table2[ID],Table2[MC1], "Not Found", 0 )</f>
        <v>0</v>
      </c>
      <c r="Z382" s="16">
        <f>_xlfn.XLOOKUP(CustomerCombinedCleaned[[#This Row],[ID]], Table2[ID],Table2[MC2], "Not Found", 0 )</f>
        <v>0</v>
      </c>
      <c r="AA382" s="16">
        <f>_xlfn.XLOOKUP(CustomerCombinedCleaned[[#This Row],[ID]], Table2[ID],Table2[MC3], "Not Found", 0 )</f>
        <v>0</v>
      </c>
      <c r="AB382" s="16">
        <f>_xlfn.XLOOKUP(CustomerCombinedCleaned[[#This Row],[ID]], Table2[ID],Table2[MC4], "Not Found", 0 )</f>
        <v>0</v>
      </c>
      <c r="AC382" s="16">
        <f>_xlfn.XLOOKUP(CustomerCombinedCleaned[[#This Row],[ID]], Table2[ID],Table2[MC5], "Not Found", 0 )</f>
        <v>0</v>
      </c>
    </row>
    <row r="383" spans="1:29" x14ac:dyDescent="0.3">
      <c r="A383" s="18">
        <v>2458</v>
      </c>
      <c r="B383" s="16">
        <v>119414</v>
      </c>
      <c r="C383" s="16">
        <v>1</v>
      </c>
      <c r="D383" s="16">
        <v>0</v>
      </c>
      <c r="E383" s="16">
        <v>39</v>
      </c>
      <c r="F383" s="17" t="s">
        <v>8</v>
      </c>
      <c r="G383" s="17" t="s">
        <v>11</v>
      </c>
      <c r="H383" s="3" t="s">
        <v>166</v>
      </c>
      <c r="I383" s="5" t="s">
        <v>439</v>
      </c>
      <c r="J383" s="16">
        <f>_xlfn.XLOOKUP(CustomerCombinedCleaned[[#This Row],[ID]], Table4[ID], Table4[Recency], "Not Found", 0)</f>
        <v>32</v>
      </c>
      <c r="K383" s="16">
        <f>_xlfn.XLOOKUP(CustomerCombinedCleaned[[#This Row],[ID]], Table4[ID], Table4[Teas], "Not Found", 0)</f>
        <v>12</v>
      </c>
      <c r="L383" s="16">
        <f>_xlfn.XLOOKUP(CustomerCombinedCleaned[[#This Row],[ID]], Table4[ID], Table4[Fruits], "Not Found", 0)</f>
        <v>18</v>
      </c>
      <c r="M383" s="16">
        <f>_xlfn.XLOOKUP(CustomerCombinedCleaned[[#This Row],[ID]], Table4[ID], Table4[Meats], "Not Found", 0)</f>
        <v>74</v>
      </c>
      <c r="N383" s="16">
        <f>_xlfn.XLOOKUP(CustomerCombinedCleaned[[#This Row],[ID]], Table4[ID], Table4[Seafood], "Not Found", 0)</f>
        <v>18</v>
      </c>
      <c r="O383" s="16">
        <f>_xlfn.XLOOKUP(CustomerCombinedCleaned[[#This Row],[ID]], Table4[ID], Table4[Sweets], "Not Found", 0)</f>
        <v>31</v>
      </c>
      <c r="P383" s="16">
        <f>_xlfn.XLOOKUP(CustomerCombinedCleaned[[#This Row],[ID]], Table4[ID], Table4[Premium], "Not Found", 0)</f>
        <v>43</v>
      </c>
      <c r="Q383" s="16">
        <f>_xlfn.XLOOKUP(CustomerCombinedCleaned[[#This Row],[ID]], Table4[ID], Table4[Regular], "Not Found", 0)</f>
        <v>111</v>
      </c>
      <c r="R383" s="16">
        <f>_xlfn.XLOOKUP(CustomerCombinedCleaned[[#This Row],[ID]], Table4[ID], Table4[Deals], "Not Found", 0)</f>
        <v>1</v>
      </c>
      <c r="S383" s="16">
        <f>_xlfn.XLOOKUP(CustomerCombinedCleaned[[#This Row],[ID]], Table4[ID], Table4[Website], "Not Found", 0)</f>
        <v>1</v>
      </c>
      <c r="T383" s="16">
        <f>_xlfn.XLOOKUP(CustomerCombinedCleaned[[#This Row],[ID]], Table4[ID], Table4[Catalog], "Not Found", 0)</f>
        <v>0</v>
      </c>
      <c r="U383" s="16">
        <f>_xlfn.XLOOKUP(CustomerCombinedCleaned[[#This Row],[ID]], Table4[ID], Table4[Store], "Not Found", 0)</f>
        <v>3</v>
      </c>
      <c r="V383" s="16">
        <f>_xlfn.XLOOKUP(CustomerCombinedCleaned[[#This Row],[ID]], Table4[ID], Table4[Visits], "Not Found", 0)</f>
        <v>8</v>
      </c>
      <c r="W383" s="16">
        <f>_xlfn.XLOOKUP(CustomerCombinedCleaned[[#This Row],[ID]], Table2[ID],Table2[Complaint], "Not Found", 0 )</f>
        <v>0</v>
      </c>
      <c r="X383" s="16">
        <f>_xlfn.XLOOKUP(CustomerCombinedCleaned[[#This Row],[ID]], Table2[ID],Table2[Pilot], "Not Found", 0 )</f>
        <v>0</v>
      </c>
      <c r="Y383" s="16">
        <f>_xlfn.XLOOKUP(CustomerCombinedCleaned[[#This Row],[ID]], Table2[ID],Table2[MC1], "Not Found", 0 )</f>
        <v>0</v>
      </c>
      <c r="Z383" s="16">
        <f>_xlfn.XLOOKUP(CustomerCombinedCleaned[[#This Row],[ID]], Table2[ID],Table2[MC2], "Not Found", 0 )</f>
        <v>0</v>
      </c>
      <c r="AA383" s="16">
        <f>_xlfn.XLOOKUP(CustomerCombinedCleaned[[#This Row],[ID]], Table2[ID],Table2[MC3], "Not Found", 0 )</f>
        <v>0</v>
      </c>
      <c r="AB383" s="16">
        <f>_xlfn.XLOOKUP(CustomerCombinedCleaned[[#This Row],[ID]], Table2[ID],Table2[MC4], "Not Found", 0 )</f>
        <v>0</v>
      </c>
      <c r="AC383" s="16">
        <f>_xlfn.XLOOKUP(CustomerCombinedCleaned[[#This Row],[ID]], Table2[ID],Table2[MC5], "Not Found", 0 )</f>
        <v>0</v>
      </c>
    </row>
    <row r="384" spans="1:29" x14ac:dyDescent="0.3">
      <c r="A384" s="18">
        <v>2970</v>
      </c>
      <c r="B384" s="16">
        <v>196547</v>
      </c>
      <c r="C384" s="16">
        <v>0</v>
      </c>
      <c r="D384" s="16">
        <v>0</v>
      </c>
      <c r="E384" s="16">
        <v>40</v>
      </c>
      <c r="F384" s="17" t="s">
        <v>6</v>
      </c>
      <c r="G384" s="17" t="s">
        <v>11</v>
      </c>
      <c r="H384" s="3" t="s">
        <v>44</v>
      </c>
      <c r="I384" s="5" t="s">
        <v>436</v>
      </c>
      <c r="J384" s="16">
        <f>_xlfn.XLOOKUP(CustomerCombinedCleaned[[#This Row],[ID]], Table4[ID], Table4[Recency], "Not Found", 0)</f>
        <v>4</v>
      </c>
      <c r="K384" s="16">
        <f>_xlfn.XLOOKUP(CustomerCombinedCleaned[[#This Row],[ID]], Table4[ID], Table4[Teas], "Not Found", 0)</f>
        <v>912</v>
      </c>
      <c r="L384" s="16">
        <f>_xlfn.XLOOKUP(CustomerCombinedCleaned[[#This Row],[ID]], Table4[ID], Table4[Fruits], "Not Found", 0)</f>
        <v>43</v>
      </c>
      <c r="M384" s="16">
        <f>_xlfn.XLOOKUP(CustomerCombinedCleaned[[#This Row],[ID]], Table4[ID], Table4[Meats], "Not Found", 0)</f>
        <v>254</v>
      </c>
      <c r="N384" s="16">
        <f>_xlfn.XLOOKUP(CustomerCombinedCleaned[[#This Row],[ID]], Table4[ID], Table4[Seafood], "Not Found", 0)</f>
        <v>106</v>
      </c>
      <c r="O384" s="16">
        <f>_xlfn.XLOOKUP(CustomerCombinedCleaned[[#This Row],[ID]], Table4[ID], Table4[Sweets], "Not Found", 0)</f>
        <v>206</v>
      </c>
      <c r="P384" s="16">
        <f>_xlfn.XLOOKUP(CustomerCombinedCleaned[[#This Row],[ID]], Table4[ID], Table4[Premium], "Not Found", 0)</f>
        <v>126</v>
      </c>
      <c r="Q384" s="16">
        <f>_xlfn.XLOOKUP(CustomerCombinedCleaned[[#This Row],[ID]], Table4[ID], Table4[Regular], "Not Found", 0)</f>
        <v>1394</v>
      </c>
      <c r="R384" s="16">
        <f>_xlfn.XLOOKUP(CustomerCombinedCleaned[[#This Row],[ID]], Table4[ID], Table4[Deals], "Not Found", 0)</f>
        <v>0</v>
      </c>
      <c r="S384" s="16">
        <f>_xlfn.XLOOKUP(CustomerCombinedCleaned[[#This Row],[ID]], Table4[ID], Table4[Website], "Not Found", 0)</f>
        <v>7</v>
      </c>
      <c r="T384" s="16">
        <f>_xlfn.XLOOKUP(CustomerCombinedCleaned[[#This Row],[ID]], Table4[ID], Table4[Catalog], "Not Found", 0)</f>
        <v>6</v>
      </c>
      <c r="U384" s="16">
        <f>_xlfn.XLOOKUP(CustomerCombinedCleaned[[#This Row],[ID]], Table4[ID], Table4[Store], "Not Found", 0)</f>
        <v>8</v>
      </c>
      <c r="V384" s="16">
        <f>_xlfn.XLOOKUP(CustomerCombinedCleaned[[#This Row],[ID]], Table4[ID], Table4[Visits], "Not Found", 0)</f>
        <v>2</v>
      </c>
      <c r="W384" s="16">
        <f>_xlfn.XLOOKUP(CustomerCombinedCleaned[[#This Row],[ID]], Table2[ID],Table2[Complaint], "Not Found", 0 )</f>
        <v>0</v>
      </c>
      <c r="X384" s="16">
        <f>_xlfn.XLOOKUP(CustomerCombinedCleaned[[#This Row],[ID]], Table2[ID],Table2[Pilot], "Not Found", 0 )</f>
        <v>1</v>
      </c>
      <c r="Y384" s="16">
        <f>_xlfn.XLOOKUP(CustomerCombinedCleaned[[#This Row],[ID]], Table2[ID],Table2[MC1], "Not Found", 0 )</f>
        <v>1</v>
      </c>
      <c r="Z384" s="16">
        <f>_xlfn.XLOOKUP(CustomerCombinedCleaned[[#This Row],[ID]], Table2[ID],Table2[MC2], "Not Found", 0 )</f>
        <v>0</v>
      </c>
      <c r="AA384" s="16">
        <f>_xlfn.XLOOKUP(CustomerCombinedCleaned[[#This Row],[ID]], Table2[ID],Table2[MC3], "Not Found", 0 )</f>
        <v>1</v>
      </c>
      <c r="AB384" s="16">
        <f>_xlfn.XLOOKUP(CustomerCombinedCleaned[[#This Row],[ID]], Table2[ID],Table2[MC4], "Not Found", 0 )</f>
        <v>0</v>
      </c>
      <c r="AC384" s="16">
        <f>_xlfn.XLOOKUP(CustomerCombinedCleaned[[#This Row],[ID]], Table2[ID],Table2[MC5], "Not Found", 0 )</f>
        <v>1</v>
      </c>
    </row>
    <row r="385" spans="1:29" x14ac:dyDescent="0.3">
      <c r="A385" s="18">
        <v>1279</v>
      </c>
      <c r="B385" s="16">
        <v>182497</v>
      </c>
      <c r="C385" s="16">
        <v>0</v>
      </c>
      <c r="D385" s="16">
        <v>0</v>
      </c>
      <c r="E385" s="16">
        <v>40</v>
      </c>
      <c r="F385" s="17" t="s">
        <v>6</v>
      </c>
      <c r="G385" s="17" t="s">
        <v>11</v>
      </c>
      <c r="H385" s="3" t="s">
        <v>584</v>
      </c>
      <c r="I385" s="5" t="s">
        <v>437</v>
      </c>
      <c r="J385" s="16">
        <f>_xlfn.XLOOKUP(CustomerCombinedCleaned[[#This Row],[ID]], Table4[ID], Table4[Recency], "Not Found", 0)</f>
        <v>32</v>
      </c>
      <c r="K385" s="16">
        <f>_xlfn.XLOOKUP(CustomerCombinedCleaned[[#This Row],[ID]], Table4[ID], Table4[Teas], "Not Found", 0)</f>
        <v>1719</v>
      </c>
      <c r="L385" s="16">
        <f>_xlfn.XLOOKUP(CustomerCombinedCleaned[[#This Row],[ID]], Table4[ID], Table4[Fruits], "Not Found", 0)</f>
        <v>285</v>
      </c>
      <c r="M385" s="16">
        <f>_xlfn.XLOOKUP(CustomerCombinedCleaned[[#This Row],[ID]], Table4[ID], Table4[Meats], "Not Found", 0)</f>
        <v>1268</v>
      </c>
      <c r="N385" s="16">
        <f>_xlfn.XLOOKUP(CustomerCombinedCleaned[[#This Row],[ID]], Table4[ID], Table4[Seafood], "Not Found", 0)</f>
        <v>478</v>
      </c>
      <c r="O385" s="16">
        <f>_xlfn.XLOOKUP(CustomerCombinedCleaned[[#This Row],[ID]], Table4[ID], Table4[Sweets], "Not Found", 0)</f>
        <v>46</v>
      </c>
      <c r="P385" s="16">
        <f>_xlfn.XLOOKUP(CustomerCombinedCleaned[[#This Row],[ID]], Table4[ID], Table4[Premium], "Not Found", 0)</f>
        <v>449</v>
      </c>
      <c r="Q385" s="16">
        <f>_xlfn.XLOOKUP(CustomerCombinedCleaned[[#This Row],[ID]], Table4[ID], Table4[Regular], "Not Found", 0)</f>
        <v>3347</v>
      </c>
      <c r="R385" s="16">
        <f>_xlfn.XLOOKUP(CustomerCombinedCleaned[[#This Row],[ID]], Table4[ID], Table4[Deals], "Not Found", 0)</f>
        <v>1</v>
      </c>
      <c r="S385" s="16">
        <f>_xlfn.XLOOKUP(CustomerCombinedCleaned[[#This Row],[ID]], Table4[ID], Table4[Website], "Not Found", 0)</f>
        <v>2</v>
      </c>
      <c r="T385" s="16">
        <f>_xlfn.XLOOKUP(CustomerCombinedCleaned[[#This Row],[ID]], Table4[ID], Table4[Catalog], "Not Found", 0)</f>
        <v>7</v>
      </c>
      <c r="U385" s="16">
        <f>_xlfn.XLOOKUP(CustomerCombinedCleaned[[#This Row],[ID]], Table4[ID], Table4[Store], "Not Found", 0)</f>
        <v>9</v>
      </c>
      <c r="V385" s="16">
        <f>_xlfn.XLOOKUP(CustomerCombinedCleaned[[#This Row],[ID]], Table4[ID], Table4[Visits], "Not Found", 0)</f>
        <v>4</v>
      </c>
      <c r="W385" s="16">
        <f>_xlfn.XLOOKUP(CustomerCombinedCleaned[[#This Row],[ID]], Table2[ID],Table2[Complaint], "Not Found", 0 )</f>
        <v>0</v>
      </c>
      <c r="X385" s="16">
        <f>_xlfn.XLOOKUP(CustomerCombinedCleaned[[#This Row],[ID]], Table2[ID],Table2[Pilot], "Not Found", 0 )</f>
        <v>0</v>
      </c>
      <c r="Y385" s="16">
        <f>_xlfn.XLOOKUP(CustomerCombinedCleaned[[#This Row],[ID]], Table2[ID],Table2[MC1], "Not Found", 0 )</f>
        <v>0</v>
      </c>
      <c r="Z385" s="16">
        <f>_xlfn.XLOOKUP(CustomerCombinedCleaned[[#This Row],[ID]], Table2[ID],Table2[MC2], "Not Found", 0 )</f>
        <v>0</v>
      </c>
      <c r="AA385" s="16">
        <f>_xlfn.XLOOKUP(CustomerCombinedCleaned[[#This Row],[ID]], Table2[ID],Table2[MC3], "Not Found", 0 )</f>
        <v>0</v>
      </c>
      <c r="AB385" s="16">
        <f>_xlfn.XLOOKUP(CustomerCombinedCleaned[[#This Row],[ID]], Table2[ID],Table2[MC4], "Not Found", 0 )</f>
        <v>0</v>
      </c>
      <c r="AC385" s="16">
        <f>_xlfn.XLOOKUP(CustomerCombinedCleaned[[#This Row],[ID]], Table2[ID],Table2[MC5], "Not Found", 0 )</f>
        <v>1</v>
      </c>
    </row>
    <row r="386" spans="1:29" x14ac:dyDescent="0.3">
      <c r="A386" s="18">
        <v>1545</v>
      </c>
      <c r="B386" s="16">
        <v>181741</v>
      </c>
      <c r="C386" s="16">
        <v>0</v>
      </c>
      <c r="D386" s="16">
        <v>0</v>
      </c>
      <c r="E386" s="16">
        <v>40</v>
      </c>
      <c r="F386" s="17" t="s">
        <v>7</v>
      </c>
      <c r="G386" s="17" t="s">
        <v>11</v>
      </c>
      <c r="H386" s="3" t="s">
        <v>237</v>
      </c>
      <c r="I386" s="5" t="s">
        <v>435</v>
      </c>
      <c r="J386" s="16">
        <f>_xlfn.XLOOKUP(CustomerCombinedCleaned[[#This Row],[ID]], Table4[ID], Table4[Recency], "Not Found", 0)</f>
        <v>75</v>
      </c>
      <c r="K386" s="16">
        <f>_xlfn.XLOOKUP(CustomerCombinedCleaned[[#This Row],[ID]], Table4[ID], Table4[Teas], "Not Found", 0)</f>
        <v>554</v>
      </c>
      <c r="L386" s="16">
        <f>_xlfn.XLOOKUP(CustomerCombinedCleaned[[#This Row],[ID]], Table4[ID], Table4[Fruits], "Not Found", 0)</f>
        <v>340</v>
      </c>
      <c r="M386" s="16">
        <f>_xlfn.XLOOKUP(CustomerCombinedCleaned[[#This Row],[ID]], Table4[ID], Table4[Meats], "Not Found", 0)</f>
        <v>2090</v>
      </c>
      <c r="N386" s="16">
        <f>_xlfn.XLOOKUP(CustomerCombinedCleaned[[#This Row],[ID]], Table4[ID], Table4[Seafood], "Not Found", 0)</f>
        <v>129</v>
      </c>
      <c r="O386" s="16">
        <f>_xlfn.XLOOKUP(CustomerCombinedCleaned[[#This Row],[ID]], Table4[ID], Table4[Sweets], "Not Found", 0)</f>
        <v>298</v>
      </c>
      <c r="P386" s="16">
        <f>_xlfn.XLOOKUP(CustomerCombinedCleaned[[#This Row],[ID]], Table4[ID], Table4[Premium], "Not Found", 0)</f>
        <v>84</v>
      </c>
      <c r="Q386" s="16">
        <f>_xlfn.XLOOKUP(CustomerCombinedCleaned[[#This Row],[ID]], Table4[ID], Table4[Regular], "Not Found", 0)</f>
        <v>3326</v>
      </c>
      <c r="R386" s="16">
        <f>_xlfn.XLOOKUP(CustomerCombinedCleaned[[#This Row],[ID]], Table4[ID], Table4[Deals], "Not Found", 0)</f>
        <v>0</v>
      </c>
      <c r="S386" s="16">
        <f>_xlfn.XLOOKUP(CustomerCombinedCleaned[[#This Row],[ID]], Table4[ID], Table4[Website], "Not Found", 0)</f>
        <v>6</v>
      </c>
      <c r="T386" s="16">
        <f>_xlfn.XLOOKUP(CustomerCombinedCleaned[[#This Row],[ID]], Table4[ID], Table4[Catalog], "Not Found", 0)</f>
        <v>6</v>
      </c>
      <c r="U386" s="16">
        <f>_xlfn.XLOOKUP(CustomerCombinedCleaned[[#This Row],[ID]], Table4[ID], Table4[Store], "Not Found", 0)</f>
        <v>7</v>
      </c>
      <c r="V386" s="16">
        <f>_xlfn.XLOOKUP(CustomerCombinedCleaned[[#This Row],[ID]], Table4[ID], Table4[Visits], "Not Found", 0)</f>
        <v>2</v>
      </c>
      <c r="W386" s="16">
        <f>_xlfn.XLOOKUP(CustomerCombinedCleaned[[#This Row],[ID]], Table2[ID],Table2[Complaint], "Not Found", 0 )</f>
        <v>0</v>
      </c>
      <c r="X386" s="16">
        <f>_xlfn.XLOOKUP(CustomerCombinedCleaned[[#This Row],[ID]], Table2[ID],Table2[Pilot], "Not Found", 0 )</f>
        <v>0</v>
      </c>
      <c r="Y386" s="16">
        <f>_xlfn.XLOOKUP(CustomerCombinedCleaned[[#This Row],[ID]], Table2[ID],Table2[MC1], "Not Found", 0 )</f>
        <v>0</v>
      </c>
      <c r="Z386" s="16">
        <f>_xlfn.XLOOKUP(CustomerCombinedCleaned[[#This Row],[ID]], Table2[ID],Table2[MC2], "Not Found", 0 )</f>
        <v>0</v>
      </c>
      <c r="AA386" s="16">
        <f>_xlfn.XLOOKUP(CustomerCombinedCleaned[[#This Row],[ID]], Table2[ID],Table2[MC3], "Not Found", 0 )</f>
        <v>0</v>
      </c>
      <c r="AB386" s="16">
        <f>_xlfn.XLOOKUP(CustomerCombinedCleaned[[#This Row],[ID]], Table2[ID],Table2[MC4], "Not Found", 0 )</f>
        <v>0</v>
      </c>
      <c r="AC386" s="16">
        <f>_xlfn.XLOOKUP(CustomerCombinedCleaned[[#This Row],[ID]], Table2[ID],Table2[MC5], "Not Found", 0 )</f>
        <v>0</v>
      </c>
    </row>
    <row r="387" spans="1:29" x14ac:dyDescent="0.3">
      <c r="A387" s="18">
        <v>1818</v>
      </c>
      <c r="B387" s="16">
        <v>181702</v>
      </c>
      <c r="C387" s="16">
        <v>0</v>
      </c>
      <c r="D387" s="16">
        <v>0</v>
      </c>
      <c r="E387" s="16">
        <v>40</v>
      </c>
      <c r="F387" s="17" t="s">
        <v>5</v>
      </c>
      <c r="G387" s="17" t="s">
        <v>11</v>
      </c>
      <c r="H387" s="3" t="s">
        <v>388</v>
      </c>
      <c r="I387" s="5" t="s">
        <v>436</v>
      </c>
      <c r="J387" s="16">
        <f>_xlfn.XLOOKUP(CustomerCombinedCleaned[[#This Row],[ID]], Table4[ID], Table4[Recency], "Not Found", 0)</f>
        <v>98</v>
      </c>
      <c r="K387" s="16">
        <f>_xlfn.XLOOKUP(CustomerCombinedCleaned[[#This Row],[ID]], Table4[ID], Table4[Teas], "Not Found", 0)</f>
        <v>1252</v>
      </c>
      <c r="L387" s="16">
        <f>_xlfn.XLOOKUP(CustomerCombinedCleaned[[#This Row],[ID]], Table4[ID], Table4[Fruits], "Not Found", 0)</f>
        <v>111</v>
      </c>
      <c r="M387" s="16">
        <f>_xlfn.XLOOKUP(CustomerCombinedCleaned[[#This Row],[ID]], Table4[ID], Table4[Meats], "Not Found", 0)</f>
        <v>1721</v>
      </c>
      <c r="N387" s="16">
        <f>_xlfn.XLOOKUP(CustomerCombinedCleaned[[#This Row],[ID]], Table4[ID], Table4[Seafood], "Not Found", 0)</f>
        <v>62</v>
      </c>
      <c r="O387" s="16">
        <f>_xlfn.XLOOKUP(CustomerCombinedCleaned[[#This Row],[ID]], Table4[ID], Table4[Sweets], "Not Found", 0)</f>
        <v>69</v>
      </c>
      <c r="P387" s="16">
        <f>_xlfn.XLOOKUP(CustomerCombinedCleaned[[#This Row],[ID]], Table4[ID], Table4[Premium], "Not Found", 0)</f>
        <v>416</v>
      </c>
      <c r="Q387" s="16">
        <f>_xlfn.XLOOKUP(CustomerCombinedCleaned[[#This Row],[ID]], Table4[ID], Table4[Regular], "Not Found", 0)</f>
        <v>2800</v>
      </c>
      <c r="R387" s="16">
        <f>_xlfn.XLOOKUP(CustomerCombinedCleaned[[#This Row],[ID]], Table4[ID], Table4[Deals], "Not Found", 0)</f>
        <v>1</v>
      </c>
      <c r="S387" s="16">
        <f>_xlfn.XLOOKUP(CustomerCombinedCleaned[[#This Row],[ID]], Table4[ID], Table4[Website], "Not Found", 0)</f>
        <v>7</v>
      </c>
      <c r="T387" s="16">
        <f>_xlfn.XLOOKUP(CustomerCombinedCleaned[[#This Row],[ID]], Table4[ID], Table4[Catalog], "Not Found", 0)</f>
        <v>7</v>
      </c>
      <c r="U387" s="16">
        <f>_xlfn.XLOOKUP(CustomerCombinedCleaned[[#This Row],[ID]], Table4[ID], Table4[Store], "Not Found", 0)</f>
        <v>12</v>
      </c>
      <c r="V387" s="16">
        <f>_xlfn.XLOOKUP(CustomerCombinedCleaned[[#This Row],[ID]], Table4[ID], Table4[Visits], "Not Found", 0)</f>
        <v>3</v>
      </c>
      <c r="W387" s="16">
        <f>_xlfn.XLOOKUP(CustomerCombinedCleaned[[#This Row],[ID]], Table2[ID],Table2[Complaint], "Not Found", 0 )</f>
        <v>0</v>
      </c>
      <c r="X387" s="16">
        <f>_xlfn.XLOOKUP(CustomerCombinedCleaned[[#This Row],[ID]], Table2[ID],Table2[Pilot], "Not Found", 0 )</f>
        <v>0</v>
      </c>
      <c r="Y387" s="16">
        <f>_xlfn.XLOOKUP(CustomerCombinedCleaned[[#This Row],[ID]], Table2[ID],Table2[MC1], "Not Found", 0 )</f>
        <v>0</v>
      </c>
      <c r="Z387" s="16">
        <f>_xlfn.XLOOKUP(CustomerCombinedCleaned[[#This Row],[ID]], Table2[ID],Table2[MC2], "Not Found", 0 )</f>
        <v>0</v>
      </c>
      <c r="AA387" s="16">
        <f>_xlfn.XLOOKUP(CustomerCombinedCleaned[[#This Row],[ID]], Table2[ID],Table2[MC3], "Not Found", 0 )</f>
        <v>0</v>
      </c>
      <c r="AB387" s="16">
        <f>_xlfn.XLOOKUP(CustomerCombinedCleaned[[#This Row],[ID]], Table2[ID],Table2[MC4], "Not Found", 0 )</f>
        <v>0</v>
      </c>
      <c r="AC387" s="16">
        <f>_xlfn.XLOOKUP(CustomerCombinedCleaned[[#This Row],[ID]], Table2[ID],Table2[MC5], "Not Found", 0 )</f>
        <v>0</v>
      </c>
    </row>
    <row r="388" spans="1:29" x14ac:dyDescent="0.3">
      <c r="A388" s="18">
        <v>1039</v>
      </c>
      <c r="B388" s="16">
        <v>180011</v>
      </c>
      <c r="C388" s="16">
        <v>0</v>
      </c>
      <c r="D388" s="16">
        <v>1</v>
      </c>
      <c r="E388" s="16">
        <v>40</v>
      </c>
      <c r="F388" s="17" t="s">
        <v>6</v>
      </c>
      <c r="G388" s="17" t="s">
        <v>11</v>
      </c>
      <c r="H388" s="3" t="s">
        <v>605</v>
      </c>
      <c r="I388" s="5" t="s">
        <v>437</v>
      </c>
      <c r="J388" s="16">
        <f>_xlfn.XLOOKUP(CustomerCombinedCleaned[[#This Row],[ID]], Table4[ID], Table4[Recency], "Not Found", 0)</f>
        <v>3</v>
      </c>
      <c r="K388" s="16">
        <f>_xlfn.XLOOKUP(CustomerCombinedCleaned[[#This Row],[ID]], Table4[ID], Table4[Teas], "Not Found", 0)</f>
        <v>947</v>
      </c>
      <c r="L388" s="16">
        <f>_xlfn.XLOOKUP(CustomerCombinedCleaned[[#This Row],[ID]], Table4[ID], Table4[Fruits], "Not Found", 0)</f>
        <v>171</v>
      </c>
      <c r="M388" s="16">
        <f>_xlfn.XLOOKUP(CustomerCombinedCleaned[[#This Row],[ID]], Table4[ID], Table4[Meats], "Not Found", 0)</f>
        <v>1206</v>
      </c>
      <c r="N388" s="16">
        <f>_xlfn.XLOOKUP(CustomerCombinedCleaned[[#This Row],[ID]], Table4[ID], Table4[Seafood], "Not Found", 0)</f>
        <v>184</v>
      </c>
      <c r="O388" s="16">
        <f>_xlfn.XLOOKUP(CustomerCombinedCleaned[[#This Row],[ID]], Table4[ID], Table4[Sweets], "Not Found", 0)</f>
        <v>400</v>
      </c>
      <c r="P388" s="16">
        <f>_xlfn.XLOOKUP(CustomerCombinedCleaned[[#This Row],[ID]], Table4[ID], Table4[Premium], "Not Found", 0)</f>
        <v>229</v>
      </c>
      <c r="Q388" s="16">
        <f>_xlfn.XLOOKUP(CustomerCombinedCleaned[[#This Row],[ID]], Table4[ID], Table4[Regular], "Not Found", 0)</f>
        <v>2680</v>
      </c>
      <c r="R388" s="16">
        <f>_xlfn.XLOOKUP(CustomerCombinedCleaned[[#This Row],[ID]], Table4[ID], Table4[Deals], "Not Found", 0)</f>
        <v>2</v>
      </c>
      <c r="S388" s="16">
        <f>_xlfn.XLOOKUP(CustomerCombinedCleaned[[#This Row],[ID]], Table4[ID], Table4[Website], "Not Found", 0)</f>
        <v>8</v>
      </c>
      <c r="T388" s="16">
        <f>_xlfn.XLOOKUP(CustomerCombinedCleaned[[#This Row],[ID]], Table4[ID], Table4[Catalog], "Not Found", 0)</f>
        <v>6</v>
      </c>
      <c r="U388" s="16">
        <f>_xlfn.XLOOKUP(CustomerCombinedCleaned[[#This Row],[ID]], Table4[ID], Table4[Store], "Not Found", 0)</f>
        <v>5</v>
      </c>
      <c r="V388" s="16">
        <f>_xlfn.XLOOKUP(CustomerCombinedCleaned[[#This Row],[ID]], Table4[ID], Table4[Visits], "Not Found", 0)</f>
        <v>4</v>
      </c>
      <c r="W388" s="16">
        <f>_xlfn.XLOOKUP(CustomerCombinedCleaned[[#This Row],[ID]], Table2[ID],Table2[Complaint], "Not Found", 0 )</f>
        <v>0</v>
      </c>
      <c r="X388" s="16">
        <f>_xlfn.XLOOKUP(CustomerCombinedCleaned[[#This Row],[ID]], Table2[ID],Table2[Pilot], "Not Found", 0 )</f>
        <v>0</v>
      </c>
      <c r="Y388" s="16">
        <f>_xlfn.XLOOKUP(CustomerCombinedCleaned[[#This Row],[ID]], Table2[ID],Table2[MC1], "Not Found", 0 )</f>
        <v>0</v>
      </c>
      <c r="Z388" s="16">
        <f>_xlfn.XLOOKUP(CustomerCombinedCleaned[[#This Row],[ID]], Table2[ID],Table2[MC2], "Not Found", 0 )</f>
        <v>0</v>
      </c>
      <c r="AA388" s="16">
        <f>_xlfn.XLOOKUP(CustomerCombinedCleaned[[#This Row],[ID]], Table2[ID],Table2[MC3], "Not Found", 0 )</f>
        <v>0</v>
      </c>
      <c r="AB388" s="16">
        <f>_xlfn.XLOOKUP(CustomerCombinedCleaned[[#This Row],[ID]], Table2[ID],Table2[MC4], "Not Found", 0 )</f>
        <v>0</v>
      </c>
      <c r="AC388" s="16">
        <f>_xlfn.XLOOKUP(CustomerCombinedCleaned[[#This Row],[ID]], Table2[ID],Table2[MC5], "Not Found", 0 )</f>
        <v>0</v>
      </c>
    </row>
    <row r="389" spans="1:29" x14ac:dyDescent="0.3">
      <c r="A389" s="18">
        <v>2661</v>
      </c>
      <c r="B389" s="16">
        <v>178789</v>
      </c>
      <c r="C389" s="16">
        <v>0</v>
      </c>
      <c r="D389" s="16">
        <v>0</v>
      </c>
      <c r="E389" s="16">
        <v>40</v>
      </c>
      <c r="F389" s="17" t="s">
        <v>5</v>
      </c>
      <c r="G389" s="17" t="s">
        <v>12</v>
      </c>
      <c r="H389" s="3" t="s">
        <v>420</v>
      </c>
      <c r="I389" s="5" t="s">
        <v>435</v>
      </c>
      <c r="J389" s="16">
        <f>_xlfn.XLOOKUP(CustomerCombinedCleaned[[#This Row],[ID]], Table4[ID], Table4[Recency], "Not Found", 0)</f>
        <v>12</v>
      </c>
      <c r="K389" s="16">
        <f>_xlfn.XLOOKUP(CustomerCombinedCleaned[[#This Row],[ID]], Table4[ID], Table4[Teas], "Not Found", 0)</f>
        <v>1514</v>
      </c>
      <c r="L389" s="16">
        <f>_xlfn.XLOOKUP(CustomerCombinedCleaned[[#This Row],[ID]], Table4[ID], Table4[Fruits], "Not Found", 0)</f>
        <v>113</v>
      </c>
      <c r="M389" s="16">
        <f>_xlfn.XLOOKUP(CustomerCombinedCleaned[[#This Row],[ID]], Table4[ID], Table4[Meats], "Not Found", 0)</f>
        <v>1929</v>
      </c>
      <c r="N389" s="16">
        <f>_xlfn.XLOOKUP(CustomerCombinedCleaned[[#This Row],[ID]], Table4[ID], Table4[Seafood], "Not Found", 0)</f>
        <v>48</v>
      </c>
      <c r="O389" s="16">
        <f>_xlfn.XLOOKUP(CustomerCombinedCleaned[[#This Row],[ID]], Table4[ID], Table4[Sweets], "Not Found", 0)</f>
        <v>188</v>
      </c>
      <c r="P389" s="16">
        <f>_xlfn.XLOOKUP(CustomerCombinedCleaned[[#This Row],[ID]], Table4[ID], Table4[Premium], "Not Found", 0)</f>
        <v>188</v>
      </c>
      <c r="Q389" s="16">
        <f>_xlfn.XLOOKUP(CustomerCombinedCleaned[[#This Row],[ID]], Table4[ID], Table4[Regular], "Not Found", 0)</f>
        <v>3604</v>
      </c>
      <c r="R389" s="16">
        <f>_xlfn.XLOOKUP(CustomerCombinedCleaned[[#This Row],[ID]], Table4[ID], Table4[Deals], "Not Found", 0)</f>
        <v>1</v>
      </c>
      <c r="S389" s="16">
        <f>_xlfn.XLOOKUP(CustomerCombinedCleaned[[#This Row],[ID]], Table4[ID], Table4[Website], "Not Found", 0)</f>
        <v>4</v>
      </c>
      <c r="T389" s="16">
        <f>_xlfn.XLOOKUP(CustomerCombinedCleaned[[#This Row],[ID]], Table4[ID], Table4[Catalog], "Not Found", 0)</f>
        <v>6</v>
      </c>
      <c r="U389" s="16">
        <f>_xlfn.XLOOKUP(CustomerCombinedCleaned[[#This Row],[ID]], Table4[ID], Table4[Store], "Not Found", 0)</f>
        <v>5</v>
      </c>
      <c r="V389" s="16">
        <f>_xlfn.XLOOKUP(CustomerCombinedCleaned[[#This Row],[ID]], Table4[ID], Table4[Visits], "Not Found", 0)</f>
        <v>2</v>
      </c>
      <c r="W389" s="16">
        <f>_xlfn.XLOOKUP(CustomerCombinedCleaned[[#This Row],[ID]], Table2[ID],Table2[Complaint], "Not Found", 0 )</f>
        <v>0</v>
      </c>
      <c r="X389" s="16">
        <f>_xlfn.XLOOKUP(CustomerCombinedCleaned[[#This Row],[ID]], Table2[ID],Table2[Pilot], "Not Found", 0 )</f>
        <v>1</v>
      </c>
      <c r="Y389" s="16">
        <f>_xlfn.XLOOKUP(CustomerCombinedCleaned[[#This Row],[ID]], Table2[ID],Table2[MC1], "Not Found", 0 )</f>
        <v>0</v>
      </c>
      <c r="Z389" s="16">
        <f>_xlfn.XLOOKUP(CustomerCombinedCleaned[[#This Row],[ID]], Table2[ID],Table2[MC2], "Not Found", 0 )</f>
        <v>0</v>
      </c>
      <c r="AA389" s="16">
        <f>_xlfn.XLOOKUP(CustomerCombinedCleaned[[#This Row],[ID]], Table2[ID],Table2[MC3], "Not Found", 0 )</f>
        <v>0</v>
      </c>
      <c r="AB389" s="16">
        <f>_xlfn.XLOOKUP(CustomerCombinedCleaned[[#This Row],[ID]], Table2[ID],Table2[MC4], "Not Found", 0 )</f>
        <v>0</v>
      </c>
      <c r="AC389" s="16">
        <f>_xlfn.XLOOKUP(CustomerCombinedCleaned[[#This Row],[ID]], Table2[ID],Table2[MC5], "Not Found", 0 )</f>
        <v>0</v>
      </c>
    </row>
    <row r="390" spans="1:29" x14ac:dyDescent="0.3">
      <c r="A390" s="18">
        <v>1655</v>
      </c>
      <c r="B390" s="16">
        <v>177353</v>
      </c>
      <c r="C390" s="16">
        <v>0</v>
      </c>
      <c r="D390" s="16">
        <v>1</v>
      </c>
      <c r="E390" s="16">
        <v>40</v>
      </c>
      <c r="F390" s="17" t="s">
        <v>6</v>
      </c>
      <c r="G390" s="17" t="s">
        <v>11</v>
      </c>
      <c r="H390" s="3" t="s">
        <v>132</v>
      </c>
      <c r="I390" s="5" t="s">
        <v>434</v>
      </c>
      <c r="J390" s="16">
        <f>_xlfn.XLOOKUP(CustomerCombinedCleaned[[#This Row],[ID]], Table4[ID], Table4[Recency], "Not Found", 0)</f>
        <v>38</v>
      </c>
      <c r="K390" s="16">
        <f>_xlfn.XLOOKUP(CustomerCombinedCleaned[[#This Row],[ID]], Table4[ID], Table4[Teas], "Not Found", 0)</f>
        <v>631</v>
      </c>
      <c r="L390" s="16">
        <f>_xlfn.XLOOKUP(CustomerCombinedCleaned[[#This Row],[ID]], Table4[ID], Table4[Fruits], "Not Found", 0)</f>
        <v>135</v>
      </c>
      <c r="M390" s="16">
        <f>_xlfn.XLOOKUP(CustomerCombinedCleaned[[#This Row],[ID]], Table4[ID], Table4[Meats], "Not Found", 0)</f>
        <v>245</v>
      </c>
      <c r="N390" s="16">
        <f>_xlfn.XLOOKUP(CustomerCombinedCleaned[[#This Row],[ID]], Table4[ID], Table4[Seafood], "Not Found", 0)</f>
        <v>158</v>
      </c>
      <c r="O390" s="16">
        <f>_xlfn.XLOOKUP(CustomerCombinedCleaned[[#This Row],[ID]], Table4[ID], Table4[Sweets], "Not Found", 0)</f>
        <v>232</v>
      </c>
      <c r="P390" s="16">
        <f>_xlfn.XLOOKUP(CustomerCombinedCleaned[[#This Row],[ID]], Table4[ID], Table4[Premium], "Not Found", 0)</f>
        <v>135</v>
      </c>
      <c r="Q390" s="16">
        <f>_xlfn.XLOOKUP(CustomerCombinedCleaned[[#This Row],[ID]], Table4[ID], Table4[Regular], "Not Found", 0)</f>
        <v>1266</v>
      </c>
      <c r="R390" s="16">
        <f>_xlfn.XLOOKUP(CustomerCombinedCleaned[[#This Row],[ID]], Table4[ID], Table4[Deals], "Not Found", 0)</f>
        <v>2</v>
      </c>
      <c r="S390" s="16">
        <f>_xlfn.XLOOKUP(CustomerCombinedCleaned[[#This Row],[ID]], Table4[ID], Table4[Website], "Not Found", 0)</f>
        <v>6</v>
      </c>
      <c r="T390" s="16">
        <f>_xlfn.XLOOKUP(CustomerCombinedCleaned[[#This Row],[ID]], Table4[ID], Table4[Catalog], "Not Found", 0)</f>
        <v>4</v>
      </c>
      <c r="U390" s="16">
        <f>_xlfn.XLOOKUP(CustomerCombinedCleaned[[#This Row],[ID]], Table4[ID], Table4[Store], "Not Found", 0)</f>
        <v>8</v>
      </c>
      <c r="V390" s="16">
        <f>_xlfn.XLOOKUP(CustomerCombinedCleaned[[#This Row],[ID]], Table4[ID], Table4[Visits], "Not Found", 0)</f>
        <v>4</v>
      </c>
      <c r="W390" s="16">
        <f>_xlfn.XLOOKUP(CustomerCombinedCleaned[[#This Row],[ID]], Table2[ID],Table2[Complaint], "Not Found", 0 )</f>
        <v>0</v>
      </c>
      <c r="X390" s="16">
        <f>_xlfn.XLOOKUP(CustomerCombinedCleaned[[#This Row],[ID]], Table2[ID],Table2[Pilot], "Not Found", 0 )</f>
        <v>0</v>
      </c>
      <c r="Y390" s="16">
        <f>_xlfn.XLOOKUP(CustomerCombinedCleaned[[#This Row],[ID]], Table2[ID],Table2[MC1], "Not Found", 0 )</f>
        <v>0</v>
      </c>
      <c r="Z390" s="16">
        <f>_xlfn.XLOOKUP(CustomerCombinedCleaned[[#This Row],[ID]], Table2[ID],Table2[MC2], "Not Found", 0 )</f>
        <v>0</v>
      </c>
      <c r="AA390" s="16">
        <f>_xlfn.XLOOKUP(CustomerCombinedCleaned[[#This Row],[ID]], Table2[ID],Table2[MC3], "Not Found", 0 )</f>
        <v>0</v>
      </c>
      <c r="AB390" s="16">
        <f>_xlfn.XLOOKUP(CustomerCombinedCleaned[[#This Row],[ID]], Table2[ID],Table2[MC4], "Not Found", 0 )</f>
        <v>0</v>
      </c>
      <c r="AC390" s="16">
        <f>_xlfn.XLOOKUP(CustomerCombinedCleaned[[#This Row],[ID]], Table2[ID],Table2[MC5], "Not Found", 0 )</f>
        <v>0</v>
      </c>
    </row>
    <row r="391" spans="1:29" x14ac:dyDescent="0.3">
      <c r="A391" s="18">
        <v>1801</v>
      </c>
      <c r="B391" s="16">
        <v>176412</v>
      </c>
      <c r="C391" s="16">
        <v>0</v>
      </c>
      <c r="D391" s="16">
        <v>0</v>
      </c>
      <c r="E391" s="16">
        <v>40</v>
      </c>
      <c r="F391" s="17" t="s">
        <v>7</v>
      </c>
      <c r="G391" s="17" t="s">
        <v>13</v>
      </c>
      <c r="H391" s="3" t="s">
        <v>566</v>
      </c>
      <c r="I391" s="5" t="s">
        <v>437</v>
      </c>
      <c r="J391" s="16">
        <f>_xlfn.XLOOKUP(CustomerCombinedCleaned[[#This Row],[ID]], Table4[ID], Table4[Recency], "Not Found", 0)</f>
        <v>15</v>
      </c>
      <c r="K391" s="16">
        <f>_xlfn.XLOOKUP(CustomerCombinedCleaned[[#This Row],[ID]], Table4[ID], Table4[Teas], "Not Found", 0)</f>
        <v>1939</v>
      </c>
      <c r="L391" s="16">
        <f>_xlfn.XLOOKUP(CustomerCombinedCleaned[[#This Row],[ID]], Table4[ID], Table4[Fruits], "Not Found", 0)</f>
        <v>122</v>
      </c>
      <c r="M391" s="16">
        <f>_xlfn.XLOOKUP(CustomerCombinedCleaned[[#This Row],[ID]], Table4[ID], Table4[Meats], "Not Found", 0)</f>
        <v>1856</v>
      </c>
      <c r="N391" s="16">
        <f>_xlfn.XLOOKUP(CustomerCombinedCleaned[[#This Row],[ID]], Table4[ID], Table4[Seafood], "Not Found", 0)</f>
        <v>53</v>
      </c>
      <c r="O391" s="16">
        <f>_xlfn.XLOOKUP(CustomerCombinedCleaned[[#This Row],[ID]], Table4[ID], Table4[Sweets], "Not Found", 0)</f>
        <v>164</v>
      </c>
      <c r="P391" s="16">
        <f>_xlfn.XLOOKUP(CustomerCombinedCleaned[[#This Row],[ID]], Table4[ID], Table4[Premium], "Not Found", 0)</f>
        <v>39</v>
      </c>
      <c r="Q391" s="16">
        <f>_xlfn.XLOOKUP(CustomerCombinedCleaned[[#This Row],[ID]], Table4[ID], Table4[Regular], "Not Found", 0)</f>
        <v>4096</v>
      </c>
      <c r="R391" s="16">
        <f>_xlfn.XLOOKUP(CustomerCombinedCleaned[[#This Row],[ID]], Table4[ID], Table4[Deals], "Not Found", 0)</f>
        <v>1</v>
      </c>
      <c r="S391" s="16">
        <f>_xlfn.XLOOKUP(CustomerCombinedCleaned[[#This Row],[ID]], Table4[ID], Table4[Website], "Not Found", 0)</f>
        <v>5</v>
      </c>
      <c r="T391" s="16">
        <f>_xlfn.XLOOKUP(CustomerCombinedCleaned[[#This Row],[ID]], Table4[ID], Table4[Catalog], "Not Found", 0)</f>
        <v>4</v>
      </c>
      <c r="U391" s="16">
        <f>_xlfn.XLOOKUP(CustomerCombinedCleaned[[#This Row],[ID]], Table4[ID], Table4[Store], "Not Found", 0)</f>
        <v>8</v>
      </c>
      <c r="V391" s="16">
        <f>_xlfn.XLOOKUP(CustomerCombinedCleaned[[#This Row],[ID]], Table4[ID], Table4[Visits], "Not Found", 0)</f>
        <v>3</v>
      </c>
      <c r="W391" s="16">
        <f>_xlfn.XLOOKUP(CustomerCombinedCleaned[[#This Row],[ID]], Table2[ID],Table2[Complaint], "Not Found", 0 )</f>
        <v>0</v>
      </c>
      <c r="X391" s="16">
        <f>_xlfn.XLOOKUP(CustomerCombinedCleaned[[#This Row],[ID]], Table2[ID],Table2[Pilot], "Not Found", 0 )</f>
        <v>1</v>
      </c>
      <c r="Y391" s="16">
        <f>_xlfn.XLOOKUP(CustomerCombinedCleaned[[#This Row],[ID]], Table2[ID],Table2[MC1], "Not Found", 0 )</f>
        <v>1</v>
      </c>
      <c r="Z391" s="16">
        <f>_xlfn.XLOOKUP(CustomerCombinedCleaned[[#This Row],[ID]], Table2[ID],Table2[MC2], "Not Found", 0 )</f>
        <v>0</v>
      </c>
      <c r="AA391" s="16">
        <f>_xlfn.XLOOKUP(CustomerCombinedCleaned[[#This Row],[ID]], Table2[ID],Table2[MC3], "Not Found", 0 )</f>
        <v>0</v>
      </c>
      <c r="AB391" s="16">
        <f>_xlfn.XLOOKUP(CustomerCombinedCleaned[[#This Row],[ID]], Table2[ID],Table2[MC4], "Not Found", 0 )</f>
        <v>0</v>
      </c>
      <c r="AC391" s="16">
        <f>_xlfn.XLOOKUP(CustomerCombinedCleaned[[#This Row],[ID]], Table2[ID],Table2[MC5], "Not Found", 0 )</f>
        <v>1</v>
      </c>
    </row>
    <row r="392" spans="1:29" x14ac:dyDescent="0.3">
      <c r="A392" s="18">
        <v>1437</v>
      </c>
      <c r="B392" s="16">
        <v>170829</v>
      </c>
      <c r="C392" s="16">
        <v>1</v>
      </c>
      <c r="D392" s="16">
        <v>1</v>
      </c>
      <c r="E392" s="16">
        <v>40</v>
      </c>
      <c r="F392" s="17" t="s">
        <v>6</v>
      </c>
      <c r="G392" s="17" t="s">
        <v>11</v>
      </c>
      <c r="H392" s="3" t="s">
        <v>613</v>
      </c>
      <c r="I392" s="5" t="s">
        <v>435</v>
      </c>
      <c r="J392" s="16">
        <f>_xlfn.XLOOKUP(CustomerCombinedCleaned[[#This Row],[ID]], Table4[ID], Table4[Recency], "Not Found", 0)</f>
        <v>87</v>
      </c>
      <c r="K392" s="16">
        <f>_xlfn.XLOOKUP(CustomerCombinedCleaned[[#This Row],[ID]], Table4[ID], Table4[Teas], "Not Found", 0)</f>
        <v>340</v>
      </c>
      <c r="L392" s="16">
        <f>_xlfn.XLOOKUP(CustomerCombinedCleaned[[#This Row],[ID]], Table4[ID], Table4[Fruits], "Not Found", 0)</f>
        <v>169</v>
      </c>
      <c r="M392" s="16">
        <f>_xlfn.XLOOKUP(CustomerCombinedCleaned[[#This Row],[ID]], Table4[ID], Table4[Meats], "Not Found", 0)</f>
        <v>256</v>
      </c>
      <c r="N392" s="16">
        <f>_xlfn.XLOOKUP(CustomerCombinedCleaned[[#This Row],[ID]], Table4[ID], Table4[Seafood], "Not Found", 0)</f>
        <v>174</v>
      </c>
      <c r="O392" s="16">
        <f>_xlfn.XLOOKUP(CustomerCombinedCleaned[[#This Row],[ID]], Table4[ID], Table4[Sweets], "Not Found", 0)</f>
        <v>46</v>
      </c>
      <c r="P392" s="16">
        <f>_xlfn.XLOOKUP(CustomerCombinedCleaned[[#This Row],[ID]], Table4[ID], Table4[Premium], "Not Found", 0)</f>
        <v>55</v>
      </c>
      <c r="Q392" s="16">
        <f>_xlfn.XLOOKUP(CustomerCombinedCleaned[[#This Row],[ID]], Table4[ID], Table4[Regular], "Not Found", 0)</f>
        <v>929</v>
      </c>
      <c r="R392" s="16">
        <f>_xlfn.XLOOKUP(CustomerCombinedCleaned[[#This Row],[ID]], Table4[ID], Table4[Deals], "Not Found", 0)</f>
        <v>2</v>
      </c>
      <c r="S392" s="16">
        <f>_xlfn.XLOOKUP(CustomerCombinedCleaned[[#This Row],[ID]], Table4[ID], Table4[Website], "Not Found", 0)</f>
        <v>4</v>
      </c>
      <c r="T392" s="16">
        <f>_xlfn.XLOOKUP(CustomerCombinedCleaned[[#This Row],[ID]], Table4[ID], Table4[Catalog], "Not Found", 0)</f>
        <v>2</v>
      </c>
      <c r="U392" s="16">
        <f>_xlfn.XLOOKUP(CustomerCombinedCleaned[[#This Row],[ID]], Table4[ID], Table4[Store], "Not Found", 0)</f>
        <v>8</v>
      </c>
      <c r="V392" s="16">
        <f>_xlfn.XLOOKUP(CustomerCombinedCleaned[[#This Row],[ID]], Table4[ID], Table4[Visits], "Not Found", 0)</f>
        <v>3</v>
      </c>
      <c r="W392" s="16">
        <f>_xlfn.XLOOKUP(CustomerCombinedCleaned[[#This Row],[ID]], Table2[ID],Table2[Complaint], "Not Found", 0 )</f>
        <v>0</v>
      </c>
      <c r="X392" s="16">
        <f>_xlfn.XLOOKUP(CustomerCombinedCleaned[[#This Row],[ID]], Table2[ID],Table2[Pilot], "Not Found", 0 )</f>
        <v>0</v>
      </c>
      <c r="Y392" s="16">
        <f>_xlfn.XLOOKUP(CustomerCombinedCleaned[[#This Row],[ID]], Table2[ID],Table2[MC1], "Not Found", 0 )</f>
        <v>0</v>
      </c>
      <c r="Z392" s="16">
        <f>_xlfn.XLOOKUP(CustomerCombinedCleaned[[#This Row],[ID]], Table2[ID],Table2[MC2], "Not Found", 0 )</f>
        <v>0</v>
      </c>
      <c r="AA392" s="16">
        <f>_xlfn.XLOOKUP(CustomerCombinedCleaned[[#This Row],[ID]], Table2[ID],Table2[MC3], "Not Found", 0 )</f>
        <v>0</v>
      </c>
      <c r="AB392" s="16">
        <f>_xlfn.XLOOKUP(CustomerCombinedCleaned[[#This Row],[ID]], Table2[ID],Table2[MC4], "Not Found", 0 )</f>
        <v>0</v>
      </c>
      <c r="AC392" s="16">
        <f>_xlfn.XLOOKUP(CustomerCombinedCleaned[[#This Row],[ID]], Table2[ID],Table2[MC5], "Not Found", 0 )</f>
        <v>0</v>
      </c>
    </row>
    <row r="393" spans="1:29" x14ac:dyDescent="0.3">
      <c r="A393" s="18">
        <v>1184</v>
      </c>
      <c r="B393" s="16">
        <v>169661</v>
      </c>
      <c r="C393" s="16">
        <v>0</v>
      </c>
      <c r="D393" s="16">
        <v>0</v>
      </c>
      <c r="E393" s="16">
        <v>40</v>
      </c>
      <c r="F393" s="17" t="s">
        <v>6</v>
      </c>
      <c r="G393" s="17" t="s">
        <v>12</v>
      </c>
      <c r="H393" s="3" t="s">
        <v>51</v>
      </c>
      <c r="I393" s="5" t="s">
        <v>438</v>
      </c>
      <c r="J393" s="16">
        <f>_xlfn.XLOOKUP(CustomerCombinedCleaned[[#This Row],[ID]], Table4[ID], Table4[Recency], "Not Found", 0)</f>
        <v>80</v>
      </c>
      <c r="K393" s="16">
        <f>_xlfn.XLOOKUP(CustomerCombinedCleaned[[#This Row],[ID]], Table4[ID], Table4[Teas], "Not Found", 0)</f>
        <v>1598</v>
      </c>
      <c r="L393" s="16">
        <f>_xlfn.XLOOKUP(CustomerCombinedCleaned[[#This Row],[ID]], Table4[ID], Table4[Fruits], "Not Found", 0)</f>
        <v>39</v>
      </c>
      <c r="M393" s="16">
        <f>_xlfn.XLOOKUP(CustomerCombinedCleaned[[#This Row],[ID]], Table4[ID], Table4[Meats], "Not Found", 0)</f>
        <v>258</v>
      </c>
      <c r="N393" s="16">
        <f>_xlfn.XLOOKUP(CustomerCombinedCleaned[[#This Row],[ID]], Table4[ID], Table4[Seafood], "Not Found", 0)</f>
        <v>78</v>
      </c>
      <c r="O393" s="16">
        <f>_xlfn.XLOOKUP(CustomerCombinedCleaned[[#This Row],[ID]], Table4[ID], Table4[Sweets], "Not Found", 0)</f>
        <v>39</v>
      </c>
      <c r="P393" s="16">
        <f>_xlfn.XLOOKUP(CustomerCombinedCleaned[[#This Row],[ID]], Table4[ID], Table4[Premium], "Not Found", 0)</f>
        <v>19</v>
      </c>
      <c r="Q393" s="16">
        <f>_xlfn.XLOOKUP(CustomerCombinedCleaned[[#This Row],[ID]], Table4[ID], Table4[Regular], "Not Found", 0)</f>
        <v>1992</v>
      </c>
      <c r="R393" s="16">
        <f>_xlfn.XLOOKUP(CustomerCombinedCleaned[[#This Row],[ID]], Table4[ID], Table4[Deals], "Not Found", 0)</f>
        <v>1</v>
      </c>
      <c r="S393" s="16">
        <f>_xlfn.XLOOKUP(CustomerCombinedCleaned[[#This Row],[ID]], Table4[ID], Table4[Website], "Not Found", 0)</f>
        <v>7</v>
      </c>
      <c r="T393" s="16">
        <f>_xlfn.XLOOKUP(CustomerCombinedCleaned[[#This Row],[ID]], Table4[ID], Table4[Catalog], "Not Found", 0)</f>
        <v>3</v>
      </c>
      <c r="U393" s="16">
        <f>_xlfn.XLOOKUP(CustomerCombinedCleaned[[#This Row],[ID]], Table4[ID], Table4[Store], "Not Found", 0)</f>
        <v>12</v>
      </c>
      <c r="V393" s="16">
        <f>_xlfn.XLOOKUP(CustomerCombinedCleaned[[#This Row],[ID]], Table4[ID], Table4[Visits], "Not Found", 0)</f>
        <v>3</v>
      </c>
      <c r="W393" s="16">
        <f>_xlfn.XLOOKUP(CustomerCombinedCleaned[[#This Row],[ID]], Table2[ID],Table2[Complaint], "Not Found", 0 )</f>
        <v>0</v>
      </c>
      <c r="X393" s="16">
        <f>_xlfn.XLOOKUP(CustomerCombinedCleaned[[#This Row],[ID]], Table2[ID],Table2[Pilot], "Not Found", 0 )</f>
        <v>0</v>
      </c>
      <c r="Y393" s="16">
        <f>_xlfn.XLOOKUP(CustomerCombinedCleaned[[#This Row],[ID]], Table2[ID],Table2[MC1], "Not Found", 0 )</f>
        <v>0</v>
      </c>
      <c r="Z393" s="16">
        <f>_xlfn.XLOOKUP(CustomerCombinedCleaned[[#This Row],[ID]], Table2[ID],Table2[MC2], "Not Found", 0 )</f>
        <v>0</v>
      </c>
      <c r="AA393" s="16">
        <f>_xlfn.XLOOKUP(CustomerCombinedCleaned[[#This Row],[ID]], Table2[ID],Table2[MC3], "Not Found", 0 )</f>
        <v>0</v>
      </c>
      <c r="AB393" s="16">
        <f>_xlfn.XLOOKUP(CustomerCombinedCleaned[[#This Row],[ID]], Table2[ID],Table2[MC4], "Not Found", 0 )</f>
        <v>0</v>
      </c>
      <c r="AC393" s="16">
        <f>_xlfn.XLOOKUP(CustomerCombinedCleaned[[#This Row],[ID]], Table2[ID],Table2[MC5], "Not Found", 0 )</f>
        <v>0</v>
      </c>
    </row>
    <row r="394" spans="1:29" x14ac:dyDescent="0.3">
      <c r="A394" s="18">
        <v>1207</v>
      </c>
      <c r="B394" s="16">
        <v>169508</v>
      </c>
      <c r="C394" s="16">
        <v>1</v>
      </c>
      <c r="D394" s="16">
        <v>0</v>
      </c>
      <c r="E394" s="16">
        <v>40</v>
      </c>
      <c r="F394" s="17" t="s">
        <v>8</v>
      </c>
      <c r="G394" s="17" t="s">
        <v>11</v>
      </c>
      <c r="H394" s="3" t="s">
        <v>361</v>
      </c>
      <c r="I394" s="5" t="s">
        <v>437</v>
      </c>
      <c r="J394" s="16">
        <f>_xlfn.XLOOKUP(CustomerCombinedCleaned[[#This Row],[ID]], Table4[ID], Table4[Recency], "Not Found", 0)</f>
        <v>48</v>
      </c>
      <c r="K394" s="16">
        <f>_xlfn.XLOOKUP(CustomerCombinedCleaned[[#This Row],[ID]], Table4[ID], Table4[Teas], "Not Found", 0)</f>
        <v>2009</v>
      </c>
      <c r="L394" s="16">
        <f>_xlfn.XLOOKUP(CustomerCombinedCleaned[[#This Row],[ID]], Table4[ID], Table4[Fruits], "Not Found", 0)</f>
        <v>78</v>
      </c>
      <c r="M394" s="16">
        <f>_xlfn.XLOOKUP(CustomerCombinedCleaned[[#This Row],[ID]], Table4[ID], Table4[Meats], "Not Found", 0)</f>
        <v>395</v>
      </c>
      <c r="N394" s="16">
        <f>_xlfn.XLOOKUP(CustomerCombinedCleaned[[#This Row],[ID]], Table4[ID], Table4[Seafood], "Not Found", 0)</f>
        <v>102</v>
      </c>
      <c r="O394" s="16">
        <f>_xlfn.XLOOKUP(CustomerCombinedCleaned[[#This Row],[ID]], Table4[ID], Table4[Sweets], "Not Found", 0)</f>
        <v>78</v>
      </c>
      <c r="P394" s="16">
        <f>_xlfn.XLOOKUP(CustomerCombinedCleaned[[#This Row],[ID]], Table4[ID], Table4[Premium], "Not Found", 0)</f>
        <v>105</v>
      </c>
      <c r="Q394" s="16">
        <f>_xlfn.XLOOKUP(CustomerCombinedCleaned[[#This Row],[ID]], Table4[ID], Table4[Regular], "Not Found", 0)</f>
        <v>2558</v>
      </c>
      <c r="R394" s="16">
        <f>_xlfn.XLOOKUP(CustomerCombinedCleaned[[#This Row],[ID]], Table4[ID], Table4[Deals], "Not Found", 0)</f>
        <v>2</v>
      </c>
      <c r="S394" s="16">
        <f>_xlfn.XLOOKUP(CustomerCombinedCleaned[[#This Row],[ID]], Table4[ID], Table4[Website], "Not Found", 0)</f>
        <v>11</v>
      </c>
      <c r="T394" s="16">
        <f>_xlfn.XLOOKUP(CustomerCombinedCleaned[[#This Row],[ID]], Table4[ID], Table4[Catalog], "Not Found", 0)</f>
        <v>4</v>
      </c>
      <c r="U394" s="16">
        <f>_xlfn.XLOOKUP(CustomerCombinedCleaned[[#This Row],[ID]], Table4[ID], Table4[Store], "Not Found", 0)</f>
        <v>11</v>
      </c>
      <c r="V394" s="16">
        <f>_xlfn.XLOOKUP(CustomerCombinedCleaned[[#This Row],[ID]], Table4[ID], Table4[Visits], "Not Found", 0)</f>
        <v>6</v>
      </c>
      <c r="W394" s="16">
        <f>_xlfn.XLOOKUP(CustomerCombinedCleaned[[#This Row],[ID]], Table2[ID],Table2[Complaint], "Not Found", 0 )</f>
        <v>0</v>
      </c>
      <c r="X394" s="16">
        <f>_xlfn.XLOOKUP(CustomerCombinedCleaned[[#This Row],[ID]], Table2[ID],Table2[Pilot], "Not Found", 0 )</f>
        <v>0</v>
      </c>
      <c r="Y394" s="16">
        <f>_xlfn.XLOOKUP(CustomerCombinedCleaned[[#This Row],[ID]], Table2[ID],Table2[MC1], "Not Found", 0 )</f>
        <v>0</v>
      </c>
      <c r="Z394" s="16">
        <f>_xlfn.XLOOKUP(CustomerCombinedCleaned[[#This Row],[ID]], Table2[ID],Table2[MC2], "Not Found", 0 )</f>
        <v>0</v>
      </c>
      <c r="AA394" s="16">
        <f>_xlfn.XLOOKUP(CustomerCombinedCleaned[[#This Row],[ID]], Table2[ID],Table2[MC3], "Not Found", 0 )</f>
        <v>0</v>
      </c>
      <c r="AB394" s="16">
        <f>_xlfn.XLOOKUP(CustomerCombinedCleaned[[#This Row],[ID]], Table2[ID],Table2[MC4], "Not Found", 0 )</f>
        <v>0</v>
      </c>
      <c r="AC394" s="16">
        <f>_xlfn.XLOOKUP(CustomerCombinedCleaned[[#This Row],[ID]], Table2[ID],Table2[MC5], "Not Found", 0 )</f>
        <v>0</v>
      </c>
    </row>
    <row r="395" spans="1:29" x14ac:dyDescent="0.3">
      <c r="A395" s="18">
        <v>2974</v>
      </c>
      <c r="B395" s="16">
        <v>167506</v>
      </c>
      <c r="C395" s="16">
        <v>0</v>
      </c>
      <c r="D395" s="16">
        <v>1</v>
      </c>
      <c r="E395" s="16">
        <v>40</v>
      </c>
      <c r="F395" s="17" t="s">
        <v>7</v>
      </c>
      <c r="G395" s="17" t="s">
        <v>11</v>
      </c>
      <c r="H395" s="3" t="s">
        <v>668</v>
      </c>
      <c r="I395" s="5" t="s">
        <v>439</v>
      </c>
      <c r="J395" s="16">
        <f>_xlfn.XLOOKUP(CustomerCombinedCleaned[[#This Row],[ID]], Table4[ID], Table4[Recency], "Not Found", 0)</f>
        <v>73</v>
      </c>
      <c r="K395" s="16">
        <f>_xlfn.XLOOKUP(CustomerCombinedCleaned[[#This Row],[ID]], Table4[ID], Table4[Teas], "Not Found", 0)</f>
        <v>223</v>
      </c>
      <c r="L395" s="16">
        <f>_xlfn.XLOOKUP(CustomerCombinedCleaned[[#This Row],[ID]], Table4[ID], Table4[Fruits], "Not Found", 0)</f>
        <v>94</v>
      </c>
      <c r="M395" s="16">
        <f>_xlfn.XLOOKUP(CustomerCombinedCleaned[[#This Row],[ID]], Table4[ID], Table4[Meats], "Not Found", 0)</f>
        <v>166</v>
      </c>
      <c r="N395" s="16">
        <f>_xlfn.XLOOKUP(CustomerCombinedCleaned[[#This Row],[ID]], Table4[ID], Table4[Seafood], "Not Found", 0)</f>
        <v>82</v>
      </c>
      <c r="O395" s="16">
        <f>_xlfn.XLOOKUP(CustomerCombinedCleaned[[#This Row],[ID]], Table4[ID], Table4[Sweets], "Not Found", 0)</f>
        <v>89</v>
      </c>
      <c r="P395" s="16">
        <f>_xlfn.XLOOKUP(CustomerCombinedCleaned[[#This Row],[ID]], Table4[ID], Table4[Premium], "Not Found", 0)</f>
        <v>166</v>
      </c>
      <c r="Q395" s="16">
        <f>_xlfn.XLOOKUP(CustomerCombinedCleaned[[#This Row],[ID]], Table4[ID], Table4[Regular], "Not Found", 0)</f>
        <v>489</v>
      </c>
      <c r="R395" s="16">
        <f>_xlfn.XLOOKUP(CustomerCombinedCleaned[[#This Row],[ID]], Table4[ID], Table4[Deals], "Not Found", 0)</f>
        <v>1</v>
      </c>
      <c r="S395" s="16">
        <f>_xlfn.XLOOKUP(CustomerCombinedCleaned[[#This Row],[ID]], Table4[ID], Table4[Website], "Not Found", 0)</f>
        <v>4</v>
      </c>
      <c r="T395" s="16">
        <f>_xlfn.XLOOKUP(CustomerCombinedCleaned[[#This Row],[ID]], Table4[ID], Table4[Catalog], "Not Found", 0)</f>
        <v>1</v>
      </c>
      <c r="U395" s="16">
        <f>_xlfn.XLOOKUP(CustomerCombinedCleaned[[#This Row],[ID]], Table4[ID], Table4[Store], "Not Found", 0)</f>
        <v>6</v>
      </c>
      <c r="V395" s="16">
        <f>_xlfn.XLOOKUP(CustomerCombinedCleaned[[#This Row],[ID]], Table4[ID], Table4[Visits], "Not Found", 0)</f>
        <v>3</v>
      </c>
      <c r="W395" s="16">
        <f>_xlfn.XLOOKUP(CustomerCombinedCleaned[[#This Row],[ID]], Table2[ID],Table2[Complaint], "Not Found", 0 )</f>
        <v>0</v>
      </c>
      <c r="X395" s="16">
        <f>_xlfn.XLOOKUP(CustomerCombinedCleaned[[#This Row],[ID]], Table2[ID],Table2[Pilot], "Not Found", 0 )</f>
        <v>0</v>
      </c>
      <c r="Y395" s="16">
        <f>_xlfn.XLOOKUP(CustomerCombinedCleaned[[#This Row],[ID]], Table2[ID],Table2[MC1], "Not Found", 0 )</f>
        <v>0</v>
      </c>
      <c r="Z395" s="16">
        <f>_xlfn.XLOOKUP(CustomerCombinedCleaned[[#This Row],[ID]], Table2[ID],Table2[MC2], "Not Found", 0 )</f>
        <v>0</v>
      </c>
      <c r="AA395" s="16">
        <f>_xlfn.XLOOKUP(CustomerCombinedCleaned[[#This Row],[ID]], Table2[ID],Table2[MC3], "Not Found", 0 )</f>
        <v>0</v>
      </c>
      <c r="AB395" s="16">
        <f>_xlfn.XLOOKUP(CustomerCombinedCleaned[[#This Row],[ID]], Table2[ID],Table2[MC4], "Not Found", 0 )</f>
        <v>0</v>
      </c>
      <c r="AC395" s="16">
        <f>_xlfn.XLOOKUP(CustomerCombinedCleaned[[#This Row],[ID]], Table2[ID],Table2[MC5], "Not Found", 0 )</f>
        <v>0</v>
      </c>
    </row>
    <row r="396" spans="1:29" x14ac:dyDescent="0.3">
      <c r="A396" s="18">
        <v>1661</v>
      </c>
      <c r="B396" s="16">
        <v>165295</v>
      </c>
      <c r="C396" s="16">
        <v>0</v>
      </c>
      <c r="D396" s="16">
        <v>0</v>
      </c>
      <c r="E396" s="16">
        <v>40</v>
      </c>
      <c r="F396" s="17" t="s">
        <v>7</v>
      </c>
      <c r="G396" s="17" t="s">
        <v>13</v>
      </c>
      <c r="H396" s="3" t="s">
        <v>125</v>
      </c>
      <c r="I396" s="5" t="s">
        <v>434</v>
      </c>
      <c r="J396" s="16">
        <f>_xlfn.XLOOKUP(CustomerCombinedCleaned[[#This Row],[ID]], Table4[ID], Table4[Recency], "Not Found", 0)</f>
        <v>19</v>
      </c>
      <c r="K396" s="16">
        <f>_xlfn.XLOOKUP(CustomerCombinedCleaned[[#This Row],[ID]], Table4[ID], Table4[Teas], "Not Found", 0)</f>
        <v>924</v>
      </c>
      <c r="L396" s="16">
        <f>_xlfn.XLOOKUP(CustomerCombinedCleaned[[#This Row],[ID]], Table4[ID], Table4[Fruits], "Not Found", 0)</f>
        <v>81</v>
      </c>
      <c r="M396" s="16">
        <f>_xlfn.XLOOKUP(CustomerCombinedCleaned[[#This Row],[ID]], Table4[ID], Table4[Meats], "Not Found", 0)</f>
        <v>296</v>
      </c>
      <c r="N396" s="16">
        <f>_xlfn.XLOOKUP(CustomerCombinedCleaned[[#This Row],[ID]], Table4[ID], Table4[Seafood], "Not Found", 0)</f>
        <v>86</v>
      </c>
      <c r="O396" s="16">
        <f>_xlfn.XLOOKUP(CustomerCombinedCleaned[[#This Row],[ID]], Table4[ID], Table4[Sweets], "Not Found", 0)</f>
        <v>278</v>
      </c>
      <c r="P396" s="16">
        <f>_xlfn.XLOOKUP(CustomerCombinedCleaned[[#This Row],[ID]], Table4[ID], Table4[Premium], "Not Found", 0)</f>
        <v>15</v>
      </c>
      <c r="Q396" s="16">
        <f>_xlfn.XLOOKUP(CustomerCombinedCleaned[[#This Row],[ID]], Table4[ID], Table4[Regular], "Not Found", 0)</f>
        <v>1651</v>
      </c>
      <c r="R396" s="16">
        <f>_xlfn.XLOOKUP(CustomerCombinedCleaned[[#This Row],[ID]], Table4[ID], Table4[Deals], "Not Found", 0)</f>
        <v>1</v>
      </c>
      <c r="S396" s="16">
        <f>_xlfn.XLOOKUP(CustomerCombinedCleaned[[#This Row],[ID]], Table4[ID], Table4[Website], "Not Found", 0)</f>
        <v>3</v>
      </c>
      <c r="T396" s="16">
        <f>_xlfn.XLOOKUP(CustomerCombinedCleaned[[#This Row],[ID]], Table4[ID], Table4[Catalog], "Not Found", 0)</f>
        <v>3</v>
      </c>
      <c r="U396" s="16">
        <f>_xlfn.XLOOKUP(CustomerCombinedCleaned[[#This Row],[ID]], Table4[ID], Table4[Store], "Not Found", 0)</f>
        <v>13</v>
      </c>
      <c r="V396" s="16">
        <f>_xlfn.XLOOKUP(CustomerCombinedCleaned[[#This Row],[ID]], Table4[ID], Table4[Visits], "Not Found", 0)</f>
        <v>2</v>
      </c>
      <c r="W396" s="16">
        <f>_xlfn.XLOOKUP(CustomerCombinedCleaned[[#This Row],[ID]], Table2[ID],Table2[Complaint], "Not Found", 0 )</f>
        <v>0</v>
      </c>
      <c r="X396" s="16">
        <f>_xlfn.XLOOKUP(CustomerCombinedCleaned[[#This Row],[ID]], Table2[ID],Table2[Pilot], "Not Found", 0 )</f>
        <v>0</v>
      </c>
      <c r="Y396" s="16">
        <f>_xlfn.XLOOKUP(CustomerCombinedCleaned[[#This Row],[ID]], Table2[ID],Table2[MC1], "Not Found", 0 )</f>
        <v>0</v>
      </c>
      <c r="Z396" s="16">
        <f>_xlfn.XLOOKUP(CustomerCombinedCleaned[[#This Row],[ID]], Table2[ID],Table2[MC2], "Not Found", 0 )</f>
        <v>0</v>
      </c>
      <c r="AA396" s="16">
        <f>_xlfn.XLOOKUP(CustomerCombinedCleaned[[#This Row],[ID]], Table2[ID],Table2[MC3], "Not Found", 0 )</f>
        <v>0</v>
      </c>
      <c r="AB396" s="16">
        <f>_xlfn.XLOOKUP(CustomerCombinedCleaned[[#This Row],[ID]], Table2[ID],Table2[MC4], "Not Found", 0 )</f>
        <v>0</v>
      </c>
      <c r="AC396" s="16">
        <f>_xlfn.XLOOKUP(CustomerCombinedCleaned[[#This Row],[ID]], Table2[ID],Table2[MC5], "Not Found", 0 )</f>
        <v>0</v>
      </c>
    </row>
    <row r="397" spans="1:29" x14ac:dyDescent="0.3">
      <c r="A397" s="18">
        <v>3129</v>
      </c>
      <c r="B397" s="16">
        <v>162994</v>
      </c>
      <c r="C397" s="16">
        <v>1</v>
      </c>
      <c r="D397" s="16">
        <v>0</v>
      </c>
      <c r="E397" s="16">
        <v>40</v>
      </c>
      <c r="F397" s="17" t="s">
        <v>8</v>
      </c>
      <c r="G397" s="17" t="s">
        <v>11</v>
      </c>
      <c r="H397" s="3" t="s">
        <v>683</v>
      </c>
      <c r="I397" s="5" t="s">
        <v>435</v>
      </c>
      <c r="J397" s="16">
        <f>_xlfn.XLOOKUP(CustomerCombinedCleaned[[#This Row],[ID]], Table4[ID], Table4[Recency], "Not Found", 0)</f>
        <v>74</v>
      </c>
      <c r="K397" s="16">
        <f>_xlfn.XLOOKUP(CustomerCombinedCleaned[[#This Row],[ID]], Table4[ID], Table4[Teas], "Not Found", 0)</f>
        <v>580</v>
      </c>
      <c r="L397" s="16">
        <f>_xlfn.XLOOKUP(CustomerCombinedCleaned[[#This Row],[ID]], Table4[ID], Table4[Fruits], "Not Found", 0)</f>
        <v>31</v>
      </c>
      <c r="M397" s="16">
        <f>_xlfn.XLOOKUP(CustomerCombinedCleaned[[#This Row],[ID]], Table4[ID], Table4[Meats], "Not Found", 0)</f>
        <v>124</v>
      </c>
      <c r="N397" s="16">
        <f>_xlfn.XLOOKUP(CustomerCombinedCleaned[[#This Row],[ID]], Table4[ID], Table4[Seafood], "Not Found", 0)</f>
        <v>10</v>
      </c>
      <c r="O397" s="16">
        <f>_xlfn.XLOOKUP(CustomerCombinedCleaned[[#This Row],[ID]], Table4[ID], Table4[Sweets], "Not Found", 0)</f>
        <v>31</v>
      </c>
      <c r="P397" s="16">
        <f>_xlfn.XLOOKUP(CustomerCombinedCleaned[[#This Row],[ID]], Table4[ID], Table4[Premium], "Not Found", 0)</f>
        <v>31</v>
      </c>
      <c r="Q397" s="16">
        <f>_xlfn.XLOOKUP(CustomerCombinedCleaned[[#This Row],[ID]], Table4[ID], Table4[Regular], "Not Found", 0)</f>
        <v>745</v>
      </c>
      <c r="R397" s="16">
        <f>_xlfn.XLOOKUP(CustomerCombinedCleaned[[#This Row],[ID]], Table4[ID], Table4[Deals], "Not Found", 0)</f>
        <v>1</v>
      </c>
      <c r="S397" s="16">
        <f>_xlfn.XLOOKUP(CustomerCombinedCleaned[[#This Row],[ID]], Table4[ID], Table4[Website], "Not Found", 0)</f>
        <v>6</v>
      </c>
      <c r="T397" s="16">
        <f>_xlfn.XLOOKUP(CustomerCombinedCleaned[[#This Row],[ID]], Table4[ID], Table4[Catalog], "Not Found", 0)</f>
        <v>2</v>
      </c>
      <c r="U397" s="16">
        <f>_xlfn.XLOOKUP(CustomerCombinedCleaned[[#This Row],[ID]], Table4[ID], Table4[Store], "Not Found", 0)</f>
        <v>4</v>
      </c>
      <c r="V397" s="16">
        <f>_xlfn.XLOOKUP(CustomerCombinedCleaned[[#This Row],[ID]], Table4[ID], Table4[Visits], "Not Found", 0)</f>
        <v>6</v>
      </c>
      <c r="W397" s="16">
        <f>_xlfn.XLOOKUP(CustomerCombinedCleaned[[#This Row],[ID]], Table2[ID],Table2[Complaint], "Not Found", 0 )</f>
        <v>0</v>
      </c>
      <c r="X397" s="16">
        <f>_xlfn.XLOOKUP(CustomerCombinedCleaned[[#This Row],[ID]], Table2[ID],Table2[Pilot], "Not Found", 0 )</f>
        <v>0</v>
      </c>
      <c r="Y397" s="16">
        <f>_xlfn.XLOOKUP(CustomerCombinedCleaned[[#This Row],[ID]], Table2[ID],Table2[MC1], "Not Found", 0 )</f>
        <v>0</v>
      </c>
      <c r="Z397" s="16">
        <f>_xlfn.XLOOKUP(CustomerCombinedCleaned[[#This Row],[ID]], Table2[ID],Table2[MC2], "Not Found", 0 )</f>
        <v>0</v>
      </c>
      <c r="AA397" s="16">
        <f>_xlfn.XLOOKUP(CustomerCombinedCleaned[[#This Row],[ID]], Table2[ID],Table2[MC3], "Not Found", 0 )</f>
        <v>0</v>
      </c>
      <c r="AB397" s="16">
        <f>_xlfn.XLOOKUP(CustomerCombinedCleaned[[#This Row],[ID]], Table2[ID],Table2[MC4], "Not Found", 0 )</f>
        <v>0</v>
      </c>
      <c r="AC397" s="16">
        <f>_xlfn.XLOOKUP(CustomerCombinedCleaned[[#This Row],[ID]], Table2[ID],Table2[MC5], "Not Found", 0 )</f>
        <v>0</v>
      </c>
    </row>
    <row r="398" spans="1:29" x14ac:dyDescent="0.3">
      <c r="A398" s="18">
        <v>3174</v>
      </c>
      <c r="B398" s="16">
        <v>161014</v>
      </c>
      <c r="C398" s="16">
        <v>0</v>
      </c>
      <c r="D398" s="16">
        <v>1</v>
      </c>
      <c r="E398" s="16">
        <v>40</v>
      </c>
      <c r="F398" s="17" t="s">
        <v>6</v>
      </c>
      <c r="G398" s="17" t="s">
        <v>11</v>
      </c>
      <c r="H398" s="3" t="s">
        <v>417</v>
      </c>
      <c r="I398" s="5" t="s">
        <v>436</v>
      </c>
      <c r="J398" s="16">
        <f>_xlfn.XLOOKUP(CustomerCombinedCleaned[[#This Row],[ID]], Table4[ID], Table4[Recency], "Not Found", 0)</f>
        <v>17</v>
      </c>
      <c r="K398" s="16">
        <f>_xlfn.XLOOKUP(CustomerCombinedCleaned[[#This Row],[ID]], Table4[ID], Table4[Teas], "Not Found", 0)</f>
        <v>710</v>
      </c>
      <c r="L398" s="16">
        <f>_xlfn.XLOOKUP(CustomerCombinedCleaned[[#This Row],[ID]], Table4[ID], Table4[Fruits], "Not Found", 0)</f>
        <v>340</v>
      </c>
      <c r="M398" s="16">
        <f>_xlfn.XLOOKUP(CustomerCombinedCleaned[[#This Row],[ID]], Table4[ID], Table4[Meats], "Not Found", 0)</f>
        <v>1306</v>
      </c>
      <c r="N398" s="16">
        <f>_xlfn.XLOOKUP(CustomerCombinedCleaned[[#This Row],[ID]], Table4[ID], Table4[Seafood], "Not Found", 0)</f>
        <v>480</v>
      </c>
      <c r="O398" s="16">
        <f>_xlfn.XLOOKUP(CustomerCombinedCleaned[[#This Row],[ID]], Table4[ID], Table4[Sweets], "Not Found", 0)</f>
        <v>113</v>
      </c>
      <c r="P398" s="16">
        <f>_xlfn.XLOOKUP(CustomerCombinedCleaned[[#This Row],[ID]], Table4[ID], Table4[Premium], "Not Found", 0)</f>
        <v>77</v>
      </c>
      <c r="Q398" s="16">
        <f>_xlfn.XLOOKUP(CustomerCombinedCleaned[[#This Row],[ID]], Table4[ID], Table4[Regular], "Not Found", 0)</f>
        <v>2874</v>
      </c>
      <c r="R398" s="16">
        <f>_xlfn.XLOOKUP(CustomerCombinedCleaned[[#This Row],[ID]], Table4[ID], Table4[Deals], "Not Found", 0)</f>
        <v>4</v>
      </c>
      <c r="S398" s="16">
        <f>_xlfn.XLOOKUP(CustomerCombinedCleaned[[#This Row],[ID]], Table4[ID], Table4[Website], "Not Found", 0)</f>
        <v>9</v>
      </c>
      <c r="T398" s="16">
        <f>_xlfn.XLOOKUP(CustomerCombinedCleaned[[#This Row],[ID]], Table4[ID], Table4[Catalog], "Not Found", 0)</f>
        <v>3</v>
      </c>
      <c r="U398" s="16">
        <f>_xlfn.XLOOKUP(CustomerCombinedCleaned[[#This Row],[ID]], Table4[ID], Table4[Store], "Not Found", 0)</f>
        <v>4</v>
      </c>
      <c r="V398" s="16">
        <f>_xlfn.XLOOKUP(CustomerCombinedCleaned[[#This Row],[ID]], Table4[ID], Table4[Visits], "Not Found", 0)</f>
        <v>7</v>
      </c>
      <c r="W398" s="16">
        <f>_xlfn.XLOOKUP(CustomerCombinedCleaned[[#This Row],[ID]], Table2[ID],Table2[Complaint], "Not Found", 0 )</f>
        <v>0</v>
      </c>
      <c r="X398" s="16">
        <f>_xlfn.XLOOKUP(CustomerCombinedCleaned[[#This Row],[ID]], Table2[ID],Table2[Pilot], "Not Found", 0 )</f>
        <v>0</v>
      </c>
      <c r="Y398" s="16">
        <f>_xlfn.XLOOKUP(CustomerCombinedCleaned[[#This Row],[ID]], Table2[ID],Table2[MC1], "Not Found", 0 )</f>
        <v>0</v>
      </c>
      <c r="Z398" s="16">
        <f>_xlfn.XLOOKUP(CustomerCombinedCleaned[[#This Row],[ID]], Table2[ID],Table2[MC2], "Not Found", 0 )</f>
        <v>0</v>
      </c>
      <c r="AA398" s="16">
        <f>_xlfn.XLOOKUP(CustomerCombinedCleaned[[#This Row],[ID]], Table2[ID],Table2[MC3], "Not Found", 0 )</f>
        <v>0</v>
      </c>
      <c r="AB398" s="16">
        <f>_xlfn.XLOOKUP(CustomerCombinedCleaned[[#This Row],[ID]], Table2[ID],Table2[MC4], "Not Found", 0 )</f>
        <v>0</v>
      </c>
      <c r="AC398" s="16">
        <f>_xlfn.XLOOKUP(CustomerCombinedCleaned[[#This Row],[ID]], Table2[ID],Table2[MC5], "Not Found", 0 )</f>
        <v>0</v>
      </c>
    </row>
    <row r="399" spans="1:29" x14ac:dyDescent="0.3">
      <c r="A399" s="18">
        <v>2491</v>
      </c>
      <c r="B399" s="16">
        <v>151766</v>
      </c>
      <c r="C399" s="16">
        <v>1</v>
      </c>
      <c r="D399" s="16">
        <v>0</v>
      </c>
      <c r="E399" s="16">
        <v>40</v>
      </c>
      <c r="F399" s="17" t="s">
        <v>7</v>
      </c>
      <c r="G399" s="17" t="s">
        <v>11</v>
      </c>
      <c r="H399" s="3" t="s">
        <v>88</v>
      </c>
      <c r="I399" s="5" t="s">
        <v>437</v>
      </c>
      <c r="J399" s="16">
        <f>_xlfn.XLOOKUP(CustomerCombinedCleaned[[#This Row],[ID]], Table4[ID], Table4[Recency], "Not Found", 0)</f>
        <v>74</v>
      </c>
      <c r="K399" s="16">
        <f>_xlfn.XLOOKUP(CustomerCombinedCleaned[[#This Row],[ID]], Table4[ID], Table4[Teas], "Not Found", 0)</f>
        <v>176</v>
      </c>
      <c r="L399" s="16">
        <f>_xlfn.XLOOKUP(CustomerCombinedCleaned[[#This Row],[ID]], Table4[ID], Table4[Fruits], "Not Found", 0)</f>
        <v>150</v>
      </c>
      <c r="M399" s="16">
        <f>_xlfn.XLOOKUP(CustomerCombinedCleaned[[#This Row],[ID]], Table4[ID], Table4[Meats], "Not Found", 0)</f>
        <v>255</v>
      </c>
      <c r="N399" s="16">
        <f>_xlfn.XLOOKUP(CustomerCombinedCleaned[[#This Row],[ID]], Table4[ID], Table4[Seafood], "Not Found", 0)</f>
        <v>18</v>
      </c>
      <c r="O399" s="16">
        <f>_xlfn.XLOOKUP(CustomerCombinedCleaned[[#This Row],[ID]], Table4[ID], Table4[Sweets], "Not Found", 0)</f>
        <v>59</v>
      </c>
      <c r="P399" s="16">
        <f>_xlfn.XLOOKUP(CustomerCombinedCleaned[[#This Row],[ID]], Table4[ID], Table4[Premium], "Not Found", 0)</f>
        <v>150</v>
      </c>
      <c r="Q399" s="16">
        <f>_xlfn.XLOOKUP(CustomerCombinedCleaned[[#This Row],[ID]], Table4[ID], Table4[Regular], "Not Found", 0)</f>
        <v>507</v>
      </c>
      <c r="R399" s="16">
        <f>_xlfn.XLOOKUP(CustomerCombinedCleaned[[#This Row],[ID]], Table4[ID], Table4[Deals], "Not Found", 0)</f>
        <v>2</v>
      </c>
      <c r="S399" s="16">
        <f>_xlfn.XLOOKUP(CustomerCombinedCleaned[[#This Row],[ID]], Table4[ID], Table4[Website], "Not Found", 0)</f>
        <v>4</v>
      </c>
      <c r="T399" s="16">
        <f>_xlfn.XLOOKUP(CustomerCombinedCleaned[[#This Row],[ID]], Table4[ID], Table4[Catalog], "Not Found", 0)</f>
        <v>2</v>
      </c>
      <c r="U399" s="16">
        <f>_xlfn.XLOOKUP(CustomerCombinedCleaned[[#This Row],[ID]], Table4[ID], Table4[Store], "Not Found", 0)</f>
        <v>4</v>
      </c>
      <c r="V399" s="16">
        <f>_xlfn.XLOOKUP(CustomerCombinedCleaned[[#This Row],[ID]], Table4[ID], Table4[Visits], "Not Found", 0)</f>
        <v>5</v>
      </c>
      <c r="W399" s="16">
        <f>_xlfn.XLOOKUP(CustomerCombinedCleaned[[#This Row],[ID]], Table2[ID],Table2[Complaint], "Not Found", 0 )</f>
        <v>0</v>
      </c>
      <c r="X399" s="16">
        <f>_xlfn.XLOOKUP(CustomerCombinedCleaned[[#This Row],[ID]], Table2[ID],Table2[Pilot], "Not Found", 0 )</f>
        <v>0</v>
      </c>
      <c r="Y399" s="16">
        <f>_xlfn.XLOOKUP(CustomerCombinedCleaned[[#This Row],[ID]], Table2[ID],Table2[MC1], "Not Found", 0 )</f>
        <v>0</v>
      </c>
      <c r="Z399" s="16">
        <f>_xlfn.XLOOKUP(CustomerCombinedCleaned[[#This Row],[ID]], Table2[ID],Table2[MC2], "Not Found", 0 )</f>
        <v>0</v>
      </c>
      <c r="AA399" s="16">
        <f>_xlfn.XLOOKUP(CustomerCombinedCleaned[[#This Row],[ID]], Table2[ID],Table2[MC3], "Not Found", 0 )</f>
        <v>0</v>
      </c>
      <c r="AB399" s="16">
        <f>_xlfn.XLOOKUP(CustomerCombinedCleaned[[#This Row],[ID]], Table2[ID],Table2[MC4], "Not Found", 0 )</f>
        <v>0</v>
      </c>
      <c r="AC399" s="16">
        <f>_xlfn.XLOOKUP(CustomerCombinedCleaned[[#This Row],[ID]], Table2[ID],Table2[MC5], "Not Found", 0 )</f>
        <v>0</v>
      </c>
    </row>
    <row r="400" spans="1:29" x14ac:dyDescent="0.3">
      <c r="A400" s="18">
        <v>1945</v>
      </c>
      <c r="B400" s="16">
        <v>150183</v>
      </c>
      <c r="C400" s="16">
        <v>1</v>
      </c>
      <c r="D400" s="16">
        <v>1</v>
      </c>
      <c r="E400" s="16">
        <v>40</v>
      </c>
      <c r="F400" s="17" t="s">
        <v>6</v>
      </c>
      <c r="G400" s="17" t="s">
        <v>11</v>
      </c>
      <c r="H400" s="3" t="s">
        <v>24</v>
      </c>
      <c r="I400" s="5" t="s">
        <v>437</v>
      </c>
      <c r="J400" s="16">
        <f>_xlfn.XLOOKUP(CustomerCombinedCleaned[[#This Row],[ID]], Table4[ID], Table4[Recency], "Not Found", 0)</f>
        <v>47</v>
      </c>
      <c r="K400" s="16">
        <f>_xlfn.XLOOKUP(CustomerCombinedCleaned[[#This Row],[ID]], Table4[ID], Table4[Teas], "Not Found", 0)</f>
        <v>290</v>
      </c>
      <c r="L400" s="16">
        <f>_xlfn.XLOOKUP(CustomerCombinedCleaned[[#This Row],[ID]], Table4[ID], Table4[Fruits], "Not Found", 0)</f>
        <v>36</v>
      </c>
      <c r="M400" s="16">
        <f>_xlfn.XLOOKUP(CustomerCombinedCleaned[[#This Row],[ID]], Table4[ID], Table4[Meats], "Not Found", 0)</f>
        <v>251</v>
      </c>
      <c r="N400" s="16">
        <f>_xlfn.XLOOKUP(CustomerCombinedCleaned[[#This Row],[ID]], Table4[ID], Table4[Seafood], "Not Found", 0)</f>
        <v>39</v>
      </c>
      <c r="O400" s="16">
        <f>_xlfn.XLOOKUP(CustomerCombinedCleaned[[#This Row],[ID]], Table4[ID], Table4[Sweets], "Not Found", 0)</f>
        <v>30</v>
      </c>
      <c r="P400" s="16">
        <f>_xlfn.XLOOKUP(CustomerCombinedCleaned[[#This Row],[ID]], Table4[ID], Table4[Premium], "Not Found", 0)</f>
        <v>45</v>
      </c>
      <c r="Q400" s="16">
        <f>_xlfn.XLOOKUP(CustomerCombinedCleaned[[#This Row],[ID]], Table4[ID], Table4[Regular], "Not Found", 0)</f>
        <v>602</v>
      </c>
      <c r="R400" s="16">
        <f>_xlfn.XLOOKUP(CustomerCombinedCleaned[[#This Row],[ID]], Table4[ID], Table4[Deals], "Not Found", 0)</f>
        <v>7</v>
      </c>
      <c r="S400" s="16">
        <f>_xlfn.XLOOKUP(CustomerCombinedCleaned[[#This Row],[ID]], Table4[ID], Table4[Website], "Not Found", 0)</f>
        <v>3</v>
      </c>
      <c r="T400" s="16">
        <f>_xlfn.XLOOKUP(CustomerCombinedCleaned[[#This Row],[ID]], Table4[ID], Table4[Catalog], "Not Found", 0)</f>
        <v>1</v>
      </c>
      <c r="U400" s="16">
        <f>_xlfn.XLOOKUP(CustomerCombinedCleaned[[#This Row],[ID]], Table4[ID], Table4[Store], "Not Found", 0)</f>
        <v>6</v>
      </c>
      <c r="V400" s="16">
        <f>_xlfn.XLOOKUP(CustomerCombinedCleaned[[#This Row],[ID]], Table4[ID], Table4[Visits], "Not Found", 0)</f>
        <v>5</v>
      </c>
      <c r="W400" s="16">
        <f>_xlfn.XLOOKUP(CustomerCombinedCleaned[[#This Row],[ID]], Table2[ID],Table2[Complaint], "Not Found", 0 )</f>
        <v>0</v>
      </c>
      <c r="X400" s="16">
        <f>_xlfn.XLOOKUP(CustomerCombinedCleaned[[#This Row],[ID]], Table2[ID],Table2[Pilot], "Not Found", 0 )</f>
        <v>0</v>
      </c>
      <c r="Y400" s="16">
        <f>_xlfn.XLOOKUP(CustomerCombinedCleaned[[#This Row],[ID]], Table2[ID],Table2[MC1], "Not Found", 0 )</f>
        <v>0</v>
      </c>
      <c r="Z400" s="16">
        <f>_xlfn.XLOOKUP(CustomerCombinedCleaned[[#This Row],[ID]], Table2[ID],Table2[MC2], "Not Found", 0 )</f>
        <v>0</v>
      </c>
      <c r="AA400" s="16">
        <f>_xlfn.XLOOKUP(CustomerCombinedCleaned[[#This Row],[ID]], Table2[ID],Table2[MC3], "Not Found", 0 )</f>
        <v>0</v>
      </c>
      <c r="AB400" s="16">
        <f>_xlfn.XLOOKUP(CustomerCombinedCleaned[[#This Row],[ID]], Table2[ID],Table2[MC4], "Not Found", 0 )</f>
        <v>0</v>
      </c>
      <c r="AC400" s="16">
        <f>_xlfn.XLOOKUP(CustomerCombinedCleaned[[#This Row],[ID]], Table2[ID],Table2[MC5], "Not Found", 0 )</f>
        <v>0</v>
      </c>
    </row>
    <row r="401" spans="1:29" x14ac:dyDescent="0.3">
      <c r="A401" s="18">
        <v>1531</v>
      </c>
      <c r="B401" s="16">
        <v>147850</v>
      </c>
      <c r="C401" s="16">
        <v>1</v>
      </c>
      <c r="D401" s="16">
        <v>0</v>
      </c>
      <c r="E401" s="16">
        <v>40</v>
      </c>
      <c r="F401" s="17" t="s">
        <v>6</v>
      </c>
      <c r="G401" s="17" t="s">
        <v>11</v>
      </c>
      <c r="H401" s="3" t="s">
        <v>757</v>
      </c>
      <c r="I401" s="5" t="s">
        <v>437</v>
      </c>
      <c r="J401" s="16">
        <f>_xlfn.XLOOKUP(CustomerCombinedCleaned[[#This Row],[ID]], Table4[ID], Table4[Recency], "Not Found", 0)</f>
        <v>72</v>
      </c>
      <c r="K401" s="16">
        <f>_xlfn.XLOOKUP(CustomerCombinedCleaned[[#This Row],[ID]], Table4[ID], Table4[Teas], "Not Found", 0)</f>
        <v>130</v>
      </c>
      <c r="L401" s="16">
        <f>_xlfn.XLOOKUP(CustomerCombinedCleaned[[#This Row],[ID]], Table4[ID], Table4[Fruits], "Not Found", 0)</f>
        <v>22</v>
      </c>
      <c r="M401" s="16">
        <f>_xlfn.XLOOKUP(CustomerCombinedCleaned[[#This Row],[ID]], Table4[ID], Table4[Meats], "Not Found", 0)</f>
        <v>133</v>
      </c>
      <c r="N401" s="16">
        <f>_xlfn.XLOOKUP(CustomerCombinedCleaned[[#This Row],[ID]], Table4[ID], Table4[Seafood], "Not Found", 0)</f>
        <v>62</v>
      </c>
      <c r="O401" s="16">
        <f>_xlfn.XLOOKUP(CustomerCombinedCleaned[[#This Row],[ID]], Table4[ID], Table4[Sweets], "Not Found", 0)</f>
        <v>37</v>
      </c>
      <c r="P401" s="16">
        <f>_xlfn.XLOOKUP(CustomerCombinedCleaned[[#This Row],[ID]], Table4[ID], Table4[Premium], "Not Found", 0)</f>
        <v>31</v>
      </c>
      <c r="Q401" s="16">
        <f>_xlfn.XLOOKUP(CustomerCombinedCleaned[[#This Row],[ID]], Table4[ID], Table4[Regular], "Not Found", 0)</f>
        <v>352</v>
      </c>
      <c r="R401" s="16">
        <f>_xlfn.XLOOKUP(CustomerCombinedCleaned[[#This Row],[ID]], Table4[ID], Table4[Deals], "Not Found", 0)</f>
        <v>1</v>
      </c>
      <c r="S401" s="16">
        <f>_xlfn.XLOOKUP(CustomerCombinedCleaned[[#This Row],[ID]], Table4[ID], Table4[Website], "Not Found", 0)</f>
        <v>3</v>
      </c>
      <c r="T401" s="16">
        <f>_xlfn.XLOOKUP(CustomerCombinedCleaned[[#This Row],[ID]], Table4[ID], Table4[Catalog], "Not Found", 0)</f>
        <v>0</v>
      </c>
      <c r="U401" s="16">
        <f>_xlfn.XLOOKUP(CustomerCombinedCleaned[[#This Row],[ID]], Table4[ID], Table4[Store], "Not Found", 0)</f>
        <v>4</v>
      </c>
      <c r="V401" s="16">
        <f>_xlfn.XLOOKUP(CustomerCombinedCleaned[[#This Row],[ID]], Table4[ID], Table4[Visits], "Not Found", 0)</f>
        <v>6</v>
      </c>
      <c r="W401" s="16">
        <f>_xlfn.XLOOKUP(CustomerCombinedCleaned[[#This Row],[ID]], Table2[ID],Table2[Complaint], "Not Found", 0 )</f>
        <v>0</v>
      </c>
      <c r="X401" s="16">
        <f>_xlfn.XLOOKUP(CustomerCombinedCleaned[[#This Row],[ID]], Table2[ID],Table2[Pilot], "Not Found", 0 )</f>
        <v>0</v>
      </c>
      <c r="Y401" s="16">
        <f>_xlfn.XLOOKUP(CustomerCombinedCleaned[[#This Row],[ID]], Table2[ID],Table2[MC1], "Not Found", 0 )</f>
        <v>0</v>
      </c>
      <c r="Z401" s="16">
        <f>_xlfn.XLOOKUP(CustomerCombinedCleaned[[#This Row],[ID]], Table2[ID],Table2[MC2], "Not Found", 0 )</f>
        <v>0</v>
      </c>
      <c r="AA401" s="16">
        <f>_xlfn.XLOOKUP(CustomerCombinedCleaned[[#This Row],[ID]], Table2[ID],Table2[MC3], "Not Found", 0 )</f>
        <v>0</v>
      </c>
      <c r="AB401" s="16">
        <f>_xlfn.XLOOKUP(CustomerCombinedCleaned[[#This Row],[ID]], Table2[ID],Table2[MC4], "Not Found", 0 )</f>
        <v>0</v>
      </c>
      <c r="AC401" s="16">
        <f>_xlfn.XLOOKUP(CustomerCombinedCleaned[[#This Row],[ID]], Table2[ID],Table2[MC5], "Not Found", 0 )</f>
        <v>0</v>
      </c>
    </row>
    <row r="402" spans="1:29" x14ac:dyDescent="0.3">
      <c r="A402" s="18">
        <v>1819</v>
      </c>
      <c r="B402" s="16">
        <v>145889</v>
      </c>
      <c r="C402" s="16">
        <v>0</v>
      </c>
      <c r="D402" s="16">
        <v>1</v>
      </c>
      <c r="E402" s="16">
        <v>40</v>
      </c>
      <c r="F402" s="17" t="s">
        <v>7</v>
      </c>
      <c r="G402" s="17" t="s">
        <v>11</v>
      </c>
      <c r="H402" s="3" t="s">
        <v>589</v>
      </c>
      <c r="I402" s="5" t="s">
        <v>437</v>
      </c>
      <c r="J402" s="16">
        <f>_xlfn.XLOOKUP(CustomerCombinedCleaned[[#This Row],[ID]], Table4[ID], Table4[Recency], "Not Found", 0)</f>
        <v>42</v>
      </c>
      <c r="K402" s="16">
        <f>_xlfn.XLOOKUP(CustomerCombinedCleaned[[#This Row],[ID]], Table4[ID], Table4[Teas], "Not Found", 0)</f>
        <v>99</v>
      </c>
      <c r="L402" s="16">
        <f>_xlfn.XLOOKUP(CustomerCombinedCleaned[[#This Row],[ID]], Table4[ID], Table4[Fruits], "Not Found", 0)</f>
        <v>0</v>
      </c>
      <c r="M402" s="16">
        <f>_xlfn.XLOOKUP(CustomerCombinedCleaned[[#This Row],[ID]], Table4[ID], Table4[Meats], "Not Found", 0)</f>
        <v>19</v>
      </c>
      <c r="N402" s="16">
        <f>_xlfn.XLOOKUP(CustomerCombinedCleaned[[#This Row],[ID]], Table4[ID], Table4[Seafood], "Not Found", 0)</f>
        <v>0</v>
      </c>
      <c r="O402" s="16">
        <f>_xlfn.XLOOKUP(CustomerCombinedCleaned[[#This Row],[ID]], Table4[ID], Table4[Sweets], "Not Found", 0)</f>
        <v>3</v>
      </c>
      <c r="P402" s="16">
        <f>_xlfn.XLOOKUP(CustomerCombinedCleaned[[#This Row],[ID]], Table4[ID], Table4[Premium], "Not Found", 0)</f>
        <v>25</v>
      </c>
      <c r="Q402" s="16">
        <f>_xlfn.XLOOKUP(CustomerCombinedCleaned[[#This Row],[ID]], Table4[ID], Table4[Regular], "Not Found", 0)</f>
        <v>95</v>
      </c>
      <c r="R402" s="16">
        <f>_xlfn.XLOOKUP(CustomerCombinedCleaned[[#This Row],[ID]], Table4[ID], Table4[Deals], "Not Found", 0)</f>
        <v>1</v>
      </c>
      <c r="S402" s="16">
        <f>_xlfn.XLOOKUP(CustomerCombinedCleaned[[#This Row],[ID]], Table4[ID], Table4[Website], "Not Found", 0)</f>
        <v>1</v>
      </c>
      <c r="T402" s="16">
        <f>_xlfn.XLOOKUP(CustomerCombinedCleaned[[#This Row],[ID]], Table4[ID], Table4[Catalog], "Not Found", 0)</f>
        <v>0</v>
      </c>
      <c r="U402" s="16">
        <f>_xlfn.XLOOKUP(CustomerCombinedCleaned[[#This Row],[ID]], Table4[ID], Table4[Store], "Not Found", 0)</f>
        <v>3</v>
      </c>
      <c r="V402" s="16">
        <f>_xlfn.XLOOKUP(CustomerCombinedCleaned[[#This Row],[ID]], Table4[ID], Table4[Visits], "Not Found", 0)</f>
        <v>6</v>
      </c>
      <c r="W402" s="16">
        <f>_xlfn.XLOOKUP(CustomerCombinedCleaned[[#This Row],[ID]], Table2[ID],Table2[Complaint], "Not Found", 0 )</f>
        <v>0</v>
      </c>
      <c r="X402" s="16">
        <f>_xlfn.XLOOKUP(CustomerCombinedCleaned[[#This Row],[ID]], Table2[ID],Table2[Pilot], "Not Found", 0 )</f>
        <v>0</v>
      </c>
      <c r="Y402" s="16">
        <f>_xlfn.XLOOKUP(CustomerCombinedCleaned[[#This Row],[ID]], Table2[ID],Table2[MC1], "Not Found", 0 )</f>
        <v>0</v>
      </c>
      <c r="Z402" s="16">
        <f>_xlfn.XLOOKUP(CustomerCombinedCleaned[[#This Row],[ID]], Table2[ID],Table2[MC2], "Not Found", 0 )</f>
        <v>0</v>
      </c>
      <c r="AA402" s="16">
        <f>_xlfn.XLOOKUP(CustomerCombinedCleaned[[#This Row],[ID]], Table2[ID],Table2[MC3], "Not Found", 0 )</f>
        <v>0</v>
      </c>
      <c r="AB402" s="16">
        <f>_xlfn.XLOOKUP(CustomerCombinedCleaned[[#This Row],[ID]], Table2[ID],Table2[MC4], "Not Found", 0 )</f>
        <v>0</v>
      </c>
      <c r="AC402" s="16">
        <f>_xlfn.XLOOKUP(CustomerCombinedCleaned[[#This Row],[ID]], Table2[ID],Table2[MC5], "Not Found", 0 )</f>
        <v>0</v>
      </c>
    </row>
    <row r="403" spans="1:29" x14ac:dyDescent="0.3">
      <c r="A403" s="18">
        <v>2364</v>
      </c>
      <c r="B403" s="16">
        <v>144964</v>
      </c>
      <c r="C403" s="16">
        <v>1</v>
      </c>
      <c r="D403" s="16">
        <v>1</v>
      </c>
      <c r="E403" s="16">
        <v>40</v>
      </c>
      <c r="F403" s="17" t="s">
        <v>8</v>
      </c>
      <c r="G403" s="17" t="s">
        <v>11</v>
      </c>
      <c r="H403" s="3" t="s">
        <v>343</v>
      </c>
      <c r="I403" s="5" t="s">
        <v>436</v>
      </c>
      <c r="J403" s="16">
        <f>_xlfn.XLOOKUP(CustomerCombinedCleaned[[#This Row],[ID]], Table4[ID], Table4[Recency], "Not Found", 0)</f>
        <v>35</v>
      </c>
      <c r="K403" s="16">
        <f>_xlfn.XLOOKUP(CustomerCombinedCleaned[[#This Row],[ID]], Table4[ID], Table4[Teas], "Not Found", 0)</f>
        <v>61</v>
      </c>
      <c r="L403" s="16">
        <f>_xlfn.XLOOKUP(CustomerCombinedCleaned[[#This Row],[ID]], Table4[ID], Table4[Fruits], "Not Found", 0)</f>
        <v>3</v>
      </c>
      <c r="M403" s="16">
        <f>_xlfn.XLOOKUP(CustomerCombinedCleaned[[#This Row],[ID]], Table4[ID], Table4[Meats], "Not Found", 0)</f>
        <v>55</v>
      </c>
      <c r="N403" s="16">
        <f>_xlfn.XLOOKUP(CustomerCombinedCleaned[[#This Row],[ID]], Table4[ID], Table4[Seafood], "Not Found", 0)</f>
        <v>6</v>
      </c>
      <c r="O403" s="16">
        <f>_xlfn.XLOOKUP(CustomerCombinedCleaned[[#This Row],[ID]], Table4[ID], Table4[Sweets], "Not Found", 0)</f>
        <v>0</v>
      </c>
      <c r="P403" s="16">
        <f>_xlfn.XLOOKUP(CustomerCombinedCleaned[[#This Row],[ID]], Table4[ID], Table4[Premium], "Not Found", 0)</f>
        <v>6</v>
      </c>
      <c r="Q403" s="16">
        <f>_xlfn.XLOOKUP(CustomerCombinedCleaned[[#This Row],[ID]], Table4[ID], Table4[Regular], "Not Found", 0)</f>
        <v>119</v>
      </c>
      <c r="R403" s="16">
        <f>_xlfn.XLOOKUP(CustomerCombinedCleaned[[#This Row],[ID]], Table4[ID], Table4[Deals], "Not Found", 0)</f>
        <v>1</v>
      </c>
      <c r="S403" s="16">
        <f>_xlfn.XLOOKUP(CustomerCombinedCleaned[[#This Row],[ID]], Table4[ID], Table4[Website], "Not Found", 0)</f>
        <v>1</v>
      </c>
      <c r="T403" s="16">
        <f>_xlfn.XLOOKUP(CustomerCombinedCleaned[[#This Row],[ID]], Table4[ID], Table4[Catalog], "Not Found", 0)</f>
        <v>0</v>
      </c>
      <c r="U403" s="16">
        <f>_xlfn.XLOOKUP(CustomerCombinedCleaned[[#This Row],[ID]], Table4[ID], Table4[Store], "Not Found", 0)</f>
        <v>3</v>
      </c>
      <c r="V403" s="16">
        <f>_xlfn.XLOOKUP(CustomerCombinedCleaned[[#This Row],[ID]], Table4[ID], Table4[Visits], "Not Found", 0)</f>
        <v>8</v>
      </c>
      <c r="W403" s="16">
        <f>_xlfn.XLOOKUP(CustomerCombinedCleaned[[#This Row],[ID]], Table2[ID],Table2[Complaint], "Not Found", 0 )</f>
        <v>0</v>
      </c>
      <c r="X403" s="16">
        <f>_xlfn.XLOOKUP(CustomerCombinedCleaned[[#This Row],[ID]], Table2[ID],Table2[Pilot], "Not Found", 0 )</f>
        <v>0</v>
      </c>
      <c r="Y403" s="16">
        <f>_xlfn.XLOOKUP(CustomerCombinedCleaned[[#This Row],[ID]], Table2[ID],Table2[MC1], "Not Found", 0 )</f>
        <v>0</v>
      </c>
      <c r="Z403" s="16">
        <f>_xlfn.XLOOKUP(CustomerCombinedCleaned[[#This Row],[ID]], Table2[ID],Table2[MC2], "Not Found", 0 )</f>
        <v>0</v>
      </c>
      <c r="AA403" s="16">
        <f>_xlfn.XLOOKUP(CustomerCombinedCleaned[[#This Row],[ID]], Table2[ID],Table2[MC3], "Not Found", 0 )</f>
        <v>0</v>
      </c>
      <c r="AB403" s="16">
        <f>_xlfn.XLOOKUP(CustomerCombinedCleaned[[#This Row],[ID]], Table2[ID],Table2[MC4], "Not Found", 0 )</f>
        <v>0</v>
      </c>
      <c r="AC403" s="16">
        <f>_xlfn.XLOOKUP(CustomerCombinedCleaned[[#This Row],[ID]], Table2[ID],Table2[MC5], "Not Found", 0 )</f>
        <v>0</v>
      </c>
    </row>
    <row r="404" spans="1:29" x14ac:dyDescent="0.3">
      <c r="A404" s="18">
        <v>1950</v>
      </c>
      <c r="B404" s="16">
        <v>144010</v>
      </c>
      <c r="C404" s="16">
        <v>1</v>
      </c>
      <c r="D404" s="16">
        <v>0</v>
      </c>
      <c r="E404" s="16">
        <v>40</v>
      </c>
      <c r="F404" s="17" t="s">
        <v>8</v>
      </c>
      <c r="G404" s="17" t="s">
        <v>11</v>
      </c>
      <c r="H404" s="3" t="s">
        <v>381</v>
      </c>
      <c r="I404" s="5" t="s">
        <v>436</v>
      </c>
      <c r="J404" s="16">
        <f>_xlfn.XLOOKUP(CustomerCombinedCleaned[[#This Row],[ID]], Table4[ID], Table4[Recency], "Not Found", 0)</f>
        <v>46</v>
      </c>
      <c r="K404" s="16">
        <f>_xlfn.XLOOKUP(CustomerCombinedCleaned[[#This Row],[ID]], Table4[ID], Table4[Teas], "Not Found", 0)</f>
        <v>609</v>
      </c>
      <c r="L404" s="16">
        <f>_xlfn.XLOOKUP(CustomerCombinedCleaned[[#This Row],[ID]], Table4[ID], Table4[Fruits], "Not Found", 0)</f>
        <v>118</v>
      </c>
      <c r="M404" s="16">
        <f>_xlfn.XLOOKUP(CustomerCombinedCleaned[[#This Row],[ID]], Table4[ID], Table4[Meats], "Not Found", 0)</f>
        <v>766</v>
      </c>
      <c r="N404" s="16">
        <f>_xlfn.XLOOKUP(CustomerCombinedCleaned[[#This Row],[ID]], Table4[ID], Table4[Seafood], "Not Found", 0)</f>
        <v>281</v>
      </c>
      <c r="O404" s="16">
        <f>_xlfn.XLOOKUP(CustomerCombinedCleaned[[#This Row],[ID]], Table4[ID], Table4[Sweets], "Not Found", 0)</f>
        <v>236</v>
      </c>
      <c r="P404" s="16">
        <f>_xlfn.XLOOKUP(CustomerCombinedCleaned[[#This Row],[ID]], Table4[ID], Table4[Premium], "Not Found", 0)</f>
        <v>157</v>
      </c>
      <c r="Q404" s="16">
        <f>_xlfn.XLOOKUP(CustomerCombinedCleaned[[#This Row],[ID]], Table4[ID], Table4[Regular], "Not Found", 0)</f>
        <v>1852</v>
      </c>
      <c r="R404" s="16">
        <f>_xlfn.XLOOKUP(CustomerCombinedCleaned[[#This Row],[ID]], Table4[ID], Table4[Deals], "Not Found", 0)</f>
        <v>6</v>
      </c>
      <c r="S404" s="16">
        <f>_xlfn.XLOOKUP(CustomerCombinedCleaned[[#This Row],[ID]], Table4[ID], Table4[Website], "Not Found", 0)</f>
        <v>10</v>
      </c>
      <c r="T404" s="16">
        <f>_xlfn.XLOOKUP(CustomerCombinedCleaned[[#This Row],[ID]], Table4[ID], Table4[Catalog], "Not Found", 0)</f>
        <v>2</v>
      </c>
      <c r="U404" s="16">
        <f>_xlfn.XLOOKUP(CustomerCombinedCleaned[[#This Row],[ID]], Table4[ID], Table4[Store], "Not Found", 0)</f>
        <v>6</v>
      </c>
      <c r="V404" s="16">
        <f>_xlfn.XLOOKUP(CustomerCombinedCleaned[[#This Row],[ID]], Table4[ID], Table4[Visits], "Not Found", 0)</f>
        <v>9</v>
      </c>
      <c r="W404" s="16">
        <f>_xlfn.XLOOKUP(CustomerCombinedCleaned[[#This Row],[ID]], Table2[ID],Table2[Complaint], "Not Found", 0 )</f>
        <v>0</v>
      </c>
      <c r="X404" s="16">
        <f>_xlfn.XLOOKUP(CustomerCombinedCleaned[[#This Row],[ID]], Table2[ID],Table2[Pilot], "Not Found", 0 )</f>
        <v>0</v>
      </c>
      <c r="Y404" s="16">
        <f>_xlfn.XLOOKUP(CustomerCombinedCleaned[[#This Row],[ID]], Table2[ID],Table2[MC1], "Not Found", 0 )</f>
        <v>0</v>
      </c>
      <c r="Z404" s="16">
        <f>_xlfn.XLOOKUP(CustomerCombinedCleaned[[#This Row],[ID]], Table2[ID],Table2[MC2], "Not Found", 0 )</f>
        <v>0</v>
      </c>
      <c r="AA404" s="16">
        <f>_xlfn.XLOOKUP(CustomerCombinedCleaned[[#This Row],[ID]], Table2[ID],Table2[MC3], "Not Found", 0 )</f>
        <v>0</v>
      </c>
      <c r="AB404" s="16">
        <f>_xlfn.XLOOKUP(CustomerCombinedCleaned[[#This Row],[ID]], Table2[ID],Table2[MC4], "Not Found", 0 )</f>
        <v>0</v>
      </c>
      <c r="AC404" s="16">
        <f>_xlfn.XLOOKUP(CustomerCombinedCleaned[[#This Row],[ID]], Table2[ID],Table2[MC5], "Not Found", 0 )</f>
        <v>0</v>
      </c>
    </row>
    <row r="405" spans="1:29" x14ac:dyDescent="0.3">
      <c r="A405" s="18">
        <v>1106</v>
      </c>
      <c r="B405" s="16">
        <v>143974</v>
      </c>
      <c r="C405" s="16">
        <v>1</v>
      </c>
      <c r="D405" s="16">
        <v>0</v>
      </c>
      <c r="E405" s="16">
        <v>40</v>
      </c>
      <c r="F405" s="17" t="s">
        <v>6</v>
      </c>
      <c r="G405" s="17" t="s">
        <v>13</v>
      </c>
      <c r="H405" s="3" t="s">
        <v>346</v>
      </c>
      <c r="I405" s="5" t="s">
        <v>438</v>
      </c>
      <c r="J405" s="16">
        <f>_xlfn.XLOOKUP(CustomerCombinedCleaned[[#This Row],[ID]], Table4[ID], Table4[Recency], "Not Found", 0)</f>
        <v>19</v>
      </c>
      <c r="K405" s="16">
        <f>_xlfn.XLOOKUP(CustomerCombinedCleaned[[#This Row],[ID]], Table4[ID], Table4[Teas], "Not Found", 0)</f>
        <v>1238</v>
      </c>
      <c r="L405" s="16">
        <f>_xlfn.XLOOKUP(CustomerCombinedCleaned[[#This Row],[ID]], Table4[ID], Table4[Fruits], "Not Found", 0)</f>
        <v>0</v>
      </c>
      <c r="M405" s="16">
        <f>_xlfn.XLOOKUP(CustomerCombinedCleaned[[#This Row],[ID]], Table4[ID], Table4[Meats], "Not Found", 0)</f>
        <v>331</v>
      </c>
      <c r="N405" s="16">
        <f>_xlfn.XLOOKUP(CustomerCombinedCleaned[[#This Row],[ID]], Table4[ID], Table4[Seafood], "Not Found", 0)</f>
        <v>0</v>
      </c>
      <c r="O405" s="16">
        <f>_xlfn.XLOOKUP(CustomerCombinedCleaned[[#This Row],[ID]], Table4[ID], Table4[Sweets], "Not Found", 0)</f>
        <v>0</v>
      </c>
      <c r="P405" s="16">
        <f>_xlfn.XLOOKUP(CustomerCombinedCleaned[[#This Row],[ID]], Table4[ID], Table4[Premium], "Not Found", 0)</f>
        <v>236</v>
      </c>
      <c r="Q405" s="16">
        <f>_xlfn.XLOOKUP(CustomerCombinedCleaned[[#This Row],[ID]], Table4[ID], Table4[Regular], "Not Found", 0)</f>
        <v>1333</v>
      </c>
      <c r="R405" s="16">
        <f>_xlfn.XLOOKUP(CustomerCombinedCleaned[[#This Row],[ID]], Table4[ID], Table4[Deals], "Not Found", 0)</f>
        <v>5</v>
      </c>
      <c r="S405" s="16">
        <f>_xlfn.XLOOKUP(CustomerCombinedCleaned[[#This Row],[ID]], Table4[ID], Table4[Website], "Not Found", 0)</f>
        <v>6</v>
      </c>
      <c r="T405" s="16">
        <f>_xlfn.XLOOKUP(CustomerCombinedCleaned[[#This Row],[ID]], Table4[ID], Table4[Catalog], "Not Found", 0)</f>
        <v>4</v>
      </c>
      <c r="U405" s="16">
        <f>_xlfn.XLOOKUP(CustomerCombinedCleaned[[#This Row],[ID]], Table4[ID], Table4[Store], "Not Found", 0)</f>
        <v>6</v>
      </c>
      <c r="V405" s="16">
        <f>_xlfn.XLOOKUP(CustomerCombinedCleaned[[#This Row],[ID]], Table4[ID], Table4[Visits], "Not Found", 0)</f>
        <v>7</v>
      </c>
      <c r="W405" s="16">
        <f>_xlfn.XLOOKUP(CustomerCombinedCleaned[[#This Row],[ID]], Table2[ID],Table2[Complaint], "Not Found", 0 )</f>
        <v>0</v>
      </c>
      <c r="X405" s="16">
        <f>_xlfn.XLOOKUP(CustomerCombinedCleaned[[#This Row],[ID]], Table2[ID],Table2[Pilot], "Not Found", 0 )</f>
        <v>0</v>
      </c>
      <c r="Y405" s="16">
        <f>_xlfn.XLOOKUP(CustomerCombinedCleaned[[#This Row],[ID]], Table2[ID],Table2[MC1], "Not Found", 0 )</f>
        <v>0</v>
      </c>
      <c r="Z405" s="16">
        <f>_xlfn.XLOOKUP(CustomerCombinedCleaned[[#This Row],[ID]], Table2[ID],Table2[MC2], "Not Found", 0 )</f>
        <v>0</v>
      </c>
      <c r="AA405" s="16">
        <f>_xlfn.XLOOKUP(CustomerCombinedCleaned[[#This Row],[ID]], Table2[ID],Table2[MC3], "Not Found", 0 )</f>
        <v>0</v>
      </c>
      <c r="AB405" s="16">
        <f>_xlfn.XLOOKUP(CustomerCombinedCleaned[[#This Row],[ID]], Table2[ID],Table2[MC4], "Not Found", 0 )</f>
        <v>0</v>
      </c>
      <c r="AC405" s="16">
        <f>_xlfn.XLOOKUP(CustomerCombinedCleaned[[#This Row],[ID]], Table2[ID],Table2[MC5], "Not Found", 0 )</f>
        <v>0</v>
      </c>
    </row>
    <row r="406" spans="1:29" x14ac:dyDescent="0.3">
      <c r="A406" s="18">
        <v>3091</v>
      </c>
      <c r="B406" s="16">
        <v>143586</v>
      </c>
      <c r="C406" s="16">
        <v>0</v>
      </c>
      <c r="D406" s="16">
        <v>1</v>
      </c>
      <c r="E406" s="16">
        <v>40</v>
      </c>
      <c r="F406" s="17" t="s">
        <v>6</v>
      </c>
      <c r="G406" s="17" t="s">
        <v>11</v>
      </c>
      <c r="H406" s="3" t="s">
        <v>677</v>
      </c>
      <c r="I406" s="5" t="s">
        <v>437</v>
      </c>
      <c r="J406" s="16">
        <f>_xlfn.XLOOKUP(CustomerCombinedCleaned[[#This Row],[ID]], Table4[ID], Table4[Recency], "Not Found", 0)</f>
        <v>26</v>
      </c>
      <c r="K406" s="16">
        <f>_xlfn.XLOOKUP(CustomerCombinedCleaned[[#This Row],[ID]], Table4[ID], Table4[Teas], "Not Found", 0)</f>
        <v>326</v>
      </c>
      <c r="L406" s="16">
        <f>_xlfn.XLOOKUP(CustomerCombinedCleaned[[#This Row],[ID]], Table4[ID], Table4[Fruits], "Not Found", 0)</f>
        <v>7</v>
      </c>
      <c r="M406" s="16">
        <f>_xlfn.XLOOKUP(CustomerCombinedCleaned[[#This Row],[ID]], Table4[ID], Table4[Meats], "Not Found", 0)</f>
        <v>36</v>
      </c>
      <c r="N406" s="16">
        <f>_xlfn.XLOOKUP(CustomerCombinedCleaned[[#This Row],[ID]], Table4[ID], Table4[Seafood], "Not Found", 0)</f>
        <v>13</v>
      </c>
      <c r="O406" s="16">
        <f>_xlfn.XLOOKUP(CustomerCombinedCleaned[[#This Row],[ID]], Table4[ID], Table4[Sweets], "Not Found", 0)</f>
        <v>0</v>
      </c>
      <c r="P406" s="16">
        <f>_xlfn.XLOOKUP(CustomerCombinedCleaned[[#This Row],[ID]], Table4[ID], Table4[Premium], "Not Found", 0)</f>
        <v>53</v>
      </c>
      <c r="Q406" s="16">
        <f>_xlfn.XLOOKUP(CustomerCombinedCleaned[[#This Row],[ID]], Table4[ID], Table4[Regular], "Not Found", 0)</f>
        <v>329</v>
      </c>
      <c r="R406" s="16">
        <f>_xlfn.XLOOKUP(CustomerCombinedCleaned[[#This Row],[ID]], Table4[ID], Table4[Deals], "Not Found", 0)</f>
        <v>3</v>
      </c>
      <c r="S406" s="16">
        <f>_xlfn.XLOOKUP(CustomerCombinedCleaned[[#This Row],[ID]], Table4[ID], Table4[Website], "Not Found", 0)</f>
        <v>3</v>
      </c>
      <c r="T406" s="16">
        <f>_xlfn.XLOOKUP(CustomerCombinedCleaned[[#This Row],[ID]], Table4[ID], Table4[Catalog], "Not Found", 0)</f>
        <v>0</v>
      </c>
      <c r="U406" s="16">
        <f>_xlfn.XLOOKUP(CustomerCombinedCleaned[[#This Row],[ID]], Table4[ID], Table4[Store], "Not Found", 0)</f>
        <v>4</v>
      </c>
      <c r="V406" s="16">
        <f>_xlfn.XLOOKUP(CustomerCombinedCleaned[[#This Row],[ID]], Table4[ID], Table4[Visits], "Not Found", 0)</f>
        <v>8</v>
      </c>
      <c r="W406" s="16">
        <f>_xlfn.XLOOKUP(CustomerCombinedCleaned[[#This Row],[ID]], Table2[ID],Table2[Complaint], "Not Found", 0 )</f>
        <v>0</v>
      </c>
      <c r="X406" s="16">
        <f>_xlfn.XLOOKUP(CustomerCombinedCleaned[[#This Row],[ID]], Table2[ID],Table2[Pilot], "Not Found", 0 )</f>
        <v>0</v>
      </c>
      <c r="Y406" s="16">
        <f>_xlfn.XLOOKUP(CustomerCombinedCleaned[[#This Row],[ID]], Table2[ID],Table2[MC1], "Not Found", 0 )</f>
        <v>0</v>
      </c>
      <c r="Z406" s="16">
        <f>_xlfn.XLOOKUP(CustomerCombinedCleaned[[#This Row],[ID]], Table2[ID],Table2[MC2], "Not Found", 0 )</f>
        <v>0</v>
      </c>
      <c r="AA406" s="16">
        <f>_xlfn.XLOOKUP(CustomerCombinedCleaned[[#This Row],[ID]], Table2[ID],Table2[MC3], "Not Found", 0 )</f>
        <v>0</v>
      </c>
      <c r="AB406" s="16">
        <f>_xlfn.XLOOKUP(CustomerCombinedCleaned[[#This Row],[ID]], Table2[ID],Table2[MC4], "Not Found", 0 )</f>
        <v>0</v>
      </c>
      <c r="AC406" s="16">
        <f>_xlfn.XLOOKUP(CustomerCombinedCleaned[[#This Row],[ID]], Table2[ID],Table2[MC5], "Not Found", 0 )</f>
        <v>0</v>
      </c>
    </row>
    <row r="407" spans="1:29" x14ac:dyDescent="0.3">
      <c r="A407" s="18">
        <v>1016</v>
      </c>
      <c r="B407" s="16">
        <v>141850</v>
      </c>
      <c r="C407" s="16">
        <v>1</v>
      </c>
      <c r="D407" s="16">
        <v>1</v>
      </c>
      <c r="E407" s="16">
        <v>40</v>
      </c>
      <c r="F407" s="17" t="s">
        <v>6</v>
      </c>
      <c r="G407" s="17" t="s">
        <v>11</v>
      </c>
      <c r="H407" s="3" t="s">
        <v>335</v>
      </c>
      <c r="I407" s="5" t="s">
        <v>438</v>
      </c>
      <c r="J407" s="16">
        <f>_xlfn.XLOOKUP(CustomerCombinedCleaned[[#This Row],[ID]], Table4[ID], Table4[Recency], "Not Found", 0)</f>
        <v>51</v>
      </c>
      <c r="K407" s="16">
        <f>_xlfn.XLOOKUP(CustomerCombinedCleaned[[#This Row],[ID]], Table4[ID], Table4[Teas], "Not Found", 0)</f>
        <v>180</v>
      </c>
      <c r="L407" s="16">
        <f>_xlfn.XLOOKUP(CustomerCombinedCleaned[[#This Row],[ID]], Table4[ID], Table4[Fruits], "Not Found", 0)</f>
        <v>17</v>
      </c>
      <c r="M407" s="16">
        <f>_xlfn.XLOOKUP(CustomerCombinedCleaned[[#This Row],[ID]], Table4[ID], Table4[Meats], "Not Found", 0)</f>
        <v>64</v>
      </c>
      <c r="N407" s="16">
        <f>_xlfn.XLOOKUP(CustomerCombinedCleaned[[#This Row],[ID]], Table4[ID], Table4[Seafood], "Not Found", 0)</f>
        <v>7</v>
      </c>
      <c r="O407" s="16">
        <f>_xlfn.XLOOKUP(CustomerCombinedCleaned[[#This Row],[ID]], Table4[ID], Table4[Sweets], "Not Found", 0)</f>
        <v>44</v>
      </c>
      <c r="P407" s="16">
        <f>_xlfn.XLOOKUP(CustomerCombinedCleaned[[#This Row],[ID]], Table4[ID], Table4[Premium], "Not Found", 0)</f>
        <v>14</v>
      </c>
      <c r="Q407" s="16">
        <f>_xlfn.XLOOKUP(CustomerCombinedCleaned[[#This Row],[ID]], Table4[ID], Table4[Regular], "Not Found", 0)</f>
        <v>298</v>
      </c>
      <c r="R407" s="16">
        <f>_xlfn.XLOOKUP(CustomerCombinedCleaned[[#This Row],[ID]], Table4[ID], Table4[Deals], "Not Found", 0)</f>
        <v>3</v>
      </c>
      <c r="S407" s="16">
        <f>_xlfn.XLOOKUP(CustomerCombinedCleaned[[#This Row],[ID]], Table4[ID], Table4[Website], "Not Found", 0)</f>
        <v>3</v>
      </c>
      <c r="T407" s="16">
        <f>_xlfn.XLOOKUP(CustomerCombinedCleaned[[#This Row],[ID]], Table4[ID], Table4[Catalog], "Not Found", 0)</f>
        <v>0</v>
      </c>
      <c r="U407" s="16">
        <f>_xlfn.XLOOKUP(CustomerCombinedCleaned[[#This Row],[ID]], Table4[ID], Table4[Store], "Not Found", 0)</f>
        <v>3</v>
      </c>
      <c r="V407" s="16">
        <f>_xlfn.XLOOKUP(CustomerCombinedCleaned[[#This Row],[ID]], Table4[ID], Table4[Visits], "Not Found", 0)</f>
        <v>8</v>
      </c>
      <c r="W407" s="16">
        <f>_xlfn.XLOOKUP(CustomerCombinedCleaned[[#This Row],[ID]], Table2[ID],Table2[Complaint], "Not Found", 0 )</f>
        <v>0</v>
      </c>
      <c r="X407" s="16">
        <f>_xlfn.XLOOKUP(CustomerCombinedCleaned[[#This Row],[ID]], Table2[ID],Table2[Pilot], "Not Found", 0 )</f>
        <v>0</v>
      </c>
      <c r="Y407" s="16">
        <f>_xlfn.XLOOKUP(CustomerCombinedCleaned[[#This Row],[ID]], Table2[ID],Table2[MC1], "Not Found", 0 )</f>
        <v>0</v>
      </c>
      <c r="Z407" s="16">
        <f>_xlfn.XLOOKUP(CustomerCombinedCleaned[[#This Row],[ID]], Table2[ID],Table2[MC2], "Not Found", 0 )</f>
        <v>0</v>
      </c>
      <c r="AA407" s="16">
        <f>_xlfn.XLOOKUP(CustomerCombinedCleaned[[#This Row],[ID]], Table2[ID],Table2[MC3], "Not Found", 0 )</f>
        <v>0</v>
      </c>
      <c r="AB407" s="16">
        <f>_xlfn.XLOOKUP(CustomerCombinedCleaned[[#This Row],[ID]], Table2[ID],Table2[MC4], "Not Found", 0 )</f>
        <v>0</v>
      </c>
      <c r="AC407" s="16">
        <f>_xlfn.XLOOKUP(CustomerCombinedCleaned[[#This Row],[ID]], Table2[ID],Table2[MC5], "Not Found", 0 )</f>
        <v>0</v>
      </c>
    </row>
    <row r="408" spans="1:29" x14ac:dyDescent="0.3">
      <c r="A408" s="18">
        <v>1455</v>
      </c>
      <c r="B408" s="16">
        <v>137406</v>
      </c>
      <c r="C408" s="16">
        <v>1</v>
      </c>
      <c r="D408" s="16">
        <v>0</v>
      </c>
      <c r="E408" s="16">
        <v>40</v>
      </c>
      <c r="F408" s="17" t="s">
        <v>6</v>
      </c>
      <c r="G408" s="17" t="s">
        <v>11</v>
      </c>
      <c r="H408" s="3" t="s">
        <v>172</v>
      </c>
      <c r="I408" s="5" t="s">
        <v>435</v>
      </c>
      <c r="J408" s="16">
        <f>_xlfn.XLOOKUP(CustomerCombinedCleaned[[#This Row],[ID]], Table4[ID], Table4[Recency], "Not Found", 0)</f>
        <v>18</v>
      </c>
      <c r="K408" s="16">
        <f>_xlfn.XLOOKUP(CustomerCombinedCleaned[[#This Row],[ID]], Table4[ID], Table4[Teas], "Not Found", 0)</f>
        <v>7</v>
      </c>
      <c r="L408" s="16">
        <f>_xlfn.XLOOKUP(CustomerCombinedCleaned[[#This Row],[ID]], Table4[ID], Table4[Fruits], "Not Found", 0)</f>
        <v>0</v>
      </c>
      <c r="M408" s="16">
        <f>_xlfn.XLOOKUP(CustomerCombinedCleaned[[#This Row],[ID]], Table4[ID], Table4[Meats], "Not Found", 0)</f>
        <v>29</v>
      </c>
      <c r="N408" s="16">
        <f>_xlfn.XLOOKUP(CustomerCombinedCleaned[[#This Row],[ID]], Table4[ID], Table4[Seafood], "Not Found", 0)</f>
        <v>7</v>
      </c>
      <c r="O408" s="16">
        <f>_xlfn.XLOOKUP(CustomerCombinedCleaned[[#This Row],[ID]], Table4[ID], Table4[Sweets], "Not Found", 0)</f>
        <v>7</v>
      </c>
      <c r="P408" s="16">
        <f>_xlfn.XLOOKUP(CustomerCombinedCleaned[[#This Row],[ID]], Table4[ID], Table4[Premium], "Not Found", 0)</f>
        <v>11</v>
      </c>
      <c r="Q408" s="16">
        <f>_xlfn.XLOOKUP(CustomerCombinedCleaned[[#This Row],[ID]], Table4[ID], Table4[Regular], "Not Found", 0)</f>
        <v>40</v>
      </c>
      <c r="R408" s="16">
        <f>_xlfn.XLOOKUP(CustomerCombinedCleaned[[#This Row],[ID]], Table4[ID], Table4[Deals], "Not Found", 0)</f>
        <v>1</v>
      </c>
      <c r="S408" s="16">
        <f>_xlfn.XLOOKUP(CustomerCombinedCleaned[[#This Row],[ID]], Table4[ID], Table4[Website], "Not Found", 0)</f>
        <v>1</v>
      </c>
      <c r="T408" s="16">
        <f>_xlfn.XLOOKUP(CustomerCombinedCleaned[[#This Row],[ID]], Table4[ID], Table4[Catalog], "Not Found", 0)</f>
        <v>0</v>
      </c>
      <c r="U408" s="16">
        <f>_xlfn.XLOOKUP(CustomerCombinedCleaned[[#This Row],[ID]], Table4[ID], Table4[Store], "Not Found", 0)</f>
        <v>2</v>
      </c>
      <c r="V408" s="16">
        <f>_xlfn.XLOOKUP(CustomerCombinedCleaned[[#This Row],[ID]], Table4[ID], Table4[Visits], "Not Found", 0)</f>
        <v>8</v>
      </c>
      <c r="W408" s="16">
        <f>_xlfn.XLOOKUP(CustomerCombinedCleaned[[#This Row],[ID]], Table2[ID],Table2[Complaint], "Not Found", 0 )</f>
        <v>0</v>
      </c>
      <c r="X408" s="16">
        <f>_xlfn.XLOOKUP(CustomerCombinedCleaned[[#This Row],[ID]], Table2[ID],Table2[Pilot], "Not Found", 0 )</f>
        <v>1</v>
      </c>
      <c r="Y408" s="16">
        <f>_xlfn.XLOOKUP(CustomerCombinedCleaned[[#This Row],[ID]], Table2[ID],Table2[MC1], "Not Found", 0 )</f>
        <v>0</v>
      </c>
      <c r="Z408" s="16">
        <f>_xlfn.XLOOKUP(CustomerCombinedCleaned[[#This Row],[ID]], Table2[ID],Table2[MC2], "Not Found", 0 )</f>
        <v>0</v>
      </c>
      <c r="AA408" s="16">
        <f>_xlfn.XLOOKUP(CustomerCombinedCleaned[[#This Row],[ID]], Table2[ID],Table2[MC3], "Not Found", 0 )</f>
        <v>0</v>
      </c>
      <c r="AB408" s="16">
        <f>_xlfn.XLOOKUP(CustomerCombinedCleaned[[#This Row],[ID]], Table2[ID],Table2[MC4], "Not Found", 0 )</f>
        <v>0</v>
      </c>
      <c r="AC408" s="16">
        <f>_xlfn.XLOOKUP(CustomerCombinedCleaned[[#This Row],[ID]], Table2[ID],Table2[MC5], "Not Found", 0 )</f>
        <v>0</v>
      </c>
    </row>
    <row r="409" spans="1:29" x14ac:dyDescent="0.3">
      <c r="A409" s="18">
        <v>2741</v>
      </c>
      <c r="B409" s="16">
        <v>136802</v>
      </c>
      <c r="C409" s="16">
        <v>1</v>
      </c>
      <c r="D409" s="16">
        <v>0</v>
      </c>
      <c r="E409" s="16">
        <v>40</v>
      </c>
      <c r="F409" s="17" t="s">
        <v>7</v>
      </c>
      <c r="G409" s="17" t="s">
        <v>13</v>
      </c>
      <c r="H409" s="3" t="s">
        <v>33</v>
      </c>
      <c r="I409" s="5" t="s">
        <v>434</v>
      </c>
      <c r="J409" s="16">
        <f>_xlfn.XLOOKUP(CustomerCombinedCleaned[[#This Row],[ID]], Table4[ID], Table4[Recency], "Not Found", 0)</f>
        <v>23</v>
      </c>
      <c r="K409" s="16">
        <f>_xlfn.XLOOKUP(CustomerCombinedCleaned[[#This Row],[ID]], Table4[ID], Table4[Teas], "Not Found", 0)</f>
        <v>59</v>
      </c>
      <c r="L409" s="16">
        <f>_xlfn.XLOOKUP(CustomerCombinedCleaned[[#This Row],[ID]], Table4[ID], Table4[Fruits], "Not Found", 0)</f>
        <v>4</v>
      </c>
      <c r="M409" s="16">
        <f>_xlfn.XLOOKUP(CustomerCombinedCleaned[[#This Row],[ID]], Table4[ID], Table4[Meats], "Not Found", 0)</f>
        <v>7</v>
      </c>
      <c r="N409" s="16">
        <f>_xlfn.XLOOKUP(CustomerCombinedCleaned[[#This Row],[ID]], Table4[ID], Table4[Seafood], "Not Found", 0)</f>
        <v>0</v>
      </c>
      <c r="O409" s="16">
        <f>_xlfn.XLOOKUP(CustomerCombinedCleaned[[#This Row],[ID]], Table4[ID], Table4[Sweets], "Not Found", 0)</f>
        <v>0</v>
      </c>
      <c r="P409" s="16">
        <f>_xlfn.XLOOKUP(CustomerCombinedCleaned[[#This Row],[ID]], Table4[ID], Table4[Premium], "Not Found", 0)</f>
        <v>4</v>
      </c>
      <c r="Q409" s="16">
        <f>_xlfn.XLOOKUP(CustomerCombinedCleaned[[#This Row],[ID]], Table4[ID], Table4[Regular], "Not Found", 0)</f>
        <v>67</v>
      </c>
      <c r="R409" s="16">
        <f>_xlfn.XLOOKUP(CustomerCombinedCleaned[[#This Row],[ID]], Table4[ID], Table4[Deals], "Not Found", 0)</f>
        <v>1</v>
      </c>
      <c r="S409" s="16">
        <f>_xlfn.XLOOKUP(CustomerCombinedCleaned[[#This Row],[ID]], Table4[ID], Table4[Website], "Not Found", 0)</f>
        <v>1</v>
      </c>
      <c r="T409" s="16">
        <f>_xlfn.XLOOKUP(CustomerCombinedCleaned[[#This Row],[ID]], Table4[ID], Table4[Catalog], "Not Found", 0)</f>
        <v>0</v>
      </c>
      <c r="U409" s="16">
        <f>_xlfn.XLOOKUP(CustomerCombinedCleaned[[#This Row],[ID]], Table4[ID], Table4[Store], "Not Found", 0)</f>
        <v>3</v>
      </c>
      <c r="V409" s="16">
        <f>_xlfn.XLOOKUP(CustomerCombinedCleaned[[#This Row],[ID]], Table4[ID], Table4[Visits], "Not Found", 0)</f>
        <v>5</v>
      </c>
      <c r="W409" s="16">
        <f>_xlfn.XLOOKUP(CustomerCombinedCleaned[[#This Row],[ID]], Table2[ID],Table2[Complaint], "Not Found", 0 )</f>
        <v>0</v>
      </c>
      <c r="X409" s="16">
        <f>_xlfn.XLOOKUP(CustomerCombinedCleaned[[#This Row],[ID]], Table2[ID],Table2[Pilot], "Not Found", 0 )</f>
        <v>0</v>
      </c>
      <c r="Y409" s="16">
        <f>_xlfn.XLOOKUP(CustomerCombinedCleaned[[#This Row],[ID]], Table2[ID],Table2[MC1], "Not Found", 0 )</f>
        <v>0</v>
      </c>
      <c r="Z409" s="16">
        <f>_xlfn.XLOOKUP(CustomerCombinedCleaned[[#This Row],[ID]], Table2[ID],Table2[MC2], "Not Found", 0 )</f>
        <v>0</v>
      </c>
      <c r="AA409" s="16">
        <f>_xlfn.XLOOKUP(CustomerCombinedCleaned[[#This Row],[ID]], Table2[ID],Table2[MC3], "Not Found", 0 )</f>
        <v>0</v>
      </c>
      <c r="AB409" s="16">
        <f>_xlfn.XLOOKUP(CustomerCombinedCleaned[[#This Row],[ID]], Table2[ID],Table2[MC4], "Not Found", 0 )</f>
        <v>0</v>
      </c>
      <c r="AC409" s="16">
        <f>_xlfn.XLOOKUP(CustomerCombinedCleaned[[#This Row],[ID]], Table2[ID],Table2[MC5], "Not Found", 0 )</f>
        <v>0</v>
      </c>
    </row>
    <row r="410" spans="1:29" x14ac:dyDescent="0.3">
      <c r="A410" s="18">
        <v>2564</v>
      </c>
      <c r="B410" s="16">
        <v>134968</v>
      </c>
      <c r="C410" s="16">
        <v>1</v>
      </c>
      <c r="D410" s="16">
        <v>0</v>
      </c>
      <c r="E410" s="16">
        <v>40</v>
      </c>
      <c r="F410" s="17" t="s">
        <v>6</v>
      </c>
      <c r="G410" s="17" t="s">
        <v>11</v>
      </c>
      <c r="H410" s="3" t="s">
        <v>279</v>
      </c>
      <c r="I410" s="5" t="s">
        <v>438</v>
      </c>
      <c r="J410" s="16">
        <f>_xlfn.XLOOKUP(CustomerCombinedCleaned[[#This Row],[ID]], Table4[ID], Table4[Recency], "Not Found", 0)</f>
        <v>11</v>
      </c>
      <c r="K410" s="16">
        <f>_xlfn.XLOOKUP(CustomerCombinedCleaned[[#This Row],[ID]], Table4[ID], Table4[Teas], "Not Found", 0)</f>
        <v>610</v>
      </c>
      <c r="L410" s="16">
        <f>_xlfn.XLOOKUP(CustomerCombinedCleaned[[#This Row],[ID]], Table4[ID], Table4[Fruits], "Not Found", 0)</f>
        <v>23</v>
      </c>
      <c r="M410" s="16">
        <f>_xlfn.XLOOKUP(CustomerCombinedCleaned[[#This Row],[ID]], Table4[ID], Table4[Meats], "Not Found", 0)</f>
        <v>174</v>
      </c>
      <c r="N410" s="16">
        <f>_xlfn.XLOOKUP(CustomerCombinedCleaned[[#This Row],[ID]], Table4[ID], Table4[Seafood], "Not Found", 0)</f>
        <v>31</v>
      </c>
      <c r="O410" s="16">
        <f>_xlfn.XLOOKUP(CustomerCombinedCleaned[[#This Row],[ID]], Table4[ID], Table4[Sweets], "Not Found", 0)</f>
        <v>8</v>
      </c>
      <c r="P410" s="16">
        <f>_xlfn.XLOOKUP(CustomerCombinedCleaned[[#This Row],[ID]], Table4[ID], Table4[Premium], "Not Found", 0)</f>
        <v>8</v>
      </c>
      <c r="Q410" s="16">
        <f>_xlfn.XLOOKUP(CustomerCombinedCleaned[[#This Row],[ID]], Table4[ID], Table4[Regular], "Not Found", 0)</f>
        <v>838</v>
      </c>
      <c r="R410" s="16">
        <f>_xlfn.XLOOKUP(CustomerCombinedCleaned[[#This Row],[ID]], Table4[ID], Table4[Deals], "Not Found", 0)</f>
        <v>7</v>
      </c>
      <c r="S410" s="16">
        <f>_xlfn.XLOOKUP(CustomerCombinedCleaned[[#This Row],[ID]], Table4[ID], Table4[Website], "Not Found", 0)</f>
        <v>3</v>
      </c>
      <c r="T410" s="16">
        <f>_xlfn.XLOOKUP(CustomerCombinedCleaned[[#This Row],[ID]], Table4[ID], Table4[Catalog], "Not Found", 0)</f>
        <v>2</v>
      </c>
      <c r="U410" s="16">
        <f>_xlfn.XLOOKUP(CustomerCombinedCleaned[[#This Row],[ID]], Table4[ID], Table4[Store], "Not Found", 0)</f>
        <v>5</v>
      </c>
      <c r="V410" s="16">
        <f>_xlfn.XLOOKUP(CustomerCombinedCleaned[[#This Row],[ID]], Table4[ID], Table4[Visits], "Not Found", 0)</f>
        <v>7</v>
      </c>
      <c r="W410" s="16">
        <f>_xlfn.XLOOKUP(CustomerCombinedCleaned[[#This Row],[ID]], Table2[ID],Table2[Complaint], "Not Found", 0 )</f>
        <v>0</v>
      </c>
      <c r="X410" s="16">
        <f>_xlfn.XLOOKUP(CustomerCombinedCleaned[[#This Row],[ID]], Table2[ID],Table2[Pilot], "Not Found", 0 )</f>
        <v>0</v>
      </c>
      <c r="Y410" s="16">
        <f>_xlfn.XLOOKUP(CustomerCombinedCleaned[[#This Row],[ID]], Table2[ID],Table2[MC1], "Not Found", 0 )</f>
        <v>0</v>
      </c>
      <c r="Z410" s="16">
        <f>_xlfn.XLOOKUP(CustomerCombinedCleaned[[#This Row],[ID]], Table2[ID],Table2[MC2], "Not Found", 0 )</f>
        <v>0</v>
      </c>
      <c r="AA410" s="16">
        <f>_xlfn.XLOOKUP(CustomerCombinedCleaned[[#This Row],[ID]], Table2[ID],Table2[MC3], "Not Found", 0 )</f>
        <v>0</v>
      </c>
      <c r="AB410" s="16">
        <f>_xlfn.XLOOKUP(CustomerCombinedCleaned[[#This Row],[ID]], Table2[ID],Table2[MC4], "Not Found", 0 )</f>
        <v>0</v>
      </c>
      <c r="AC410" s="16">
        <f>_xlfn.XLOOKUP(CustomerCombinedCleaned[[#This Row],[ID]], Table2[ID],Table2[MC5], "Not Found", 0 )</f>
        <v>0</v>
      </c>
    </row>
    <row r="411" spans="1:29" x14ac:dyDescent="0.3">
      <c r="A411" s="18">
        <v>2654</v>
      </c>
      <c r="B411" s="16">
        <v>133228</v>
      </c>
      <c r="C411" s="16">
        <v>1</v>
      </c>
      <c r="D411" s="16">
        <v>0</v>
      </c>
      <c r="E411" s="16">
        <v>40</v>
      </c>
      <c r="F411" s="17" t="s">
        <v>6</v>
      </c>
      <c r="G411" s="17" t="s">
        <v>11</v>
      </c>
      <c r="H411" s="3" t="s">
        <v>109</v>
      </c>
      <c r="I411" s="5" t="s">
        <v>438</v>
      </c>
      <c r="J411" s="16">
        <f>_xlfn.XLOOKUP(CustomerCombinedCleaned[[#This Row],[ID]], Table4[ID], Table4[Recency], "Not Found", 0)</f>
        <v>28</v>
      </c>
      <c r="K411" s="16">
        <f>_xlfn.XLOOKUP(CustomerCombinedCleaned[[#This Row],[ID]], Table4[ID], Table4[Teas], "Not Found", 0)</f>
        <v>88</v>
      </c>
      <c r="L411" s="16">
        <f>_xlfn.XLOOKUP(CustomerCombinedCleaned[[#This Row],[ID]], Table4[ID], Table4[Fruits], "Not Found", 0)</f>
        <v>8</v>
      </c>
      <c r="M411" s="16">
        <f>_xlfn.XLOOKUP(CustomerCombinedCleaned[[#This Row],[ID]], Table4[ID], Table4[Meats], "Not Found", 0)</f>
        <v>124</v>
      </c>
      <c r="N411" s="16">
        <f>_xlfn.XLOOKUP(CustomerCombinedCleaned[[#This Row],[ID]], Table4[ID], Table4[Seafood], "Not Found", 0)</f>
        <v>28</v>
      </c>
      <c r="O411" s="16">
        <f>_xlfn.XLOOKUP(CustomerCombinedCleaned[[#This Row],[ID]], Table4[ID], Table4[Sweets], "Not Found", 0)</f>
        <v>16</v>
      </c>
      <c r="P411" s="16">
        <f>_xlfn.XLOOKUP(CustomerCombinedCleaned[[#This Row],[ID]], Table4[ID], Table4[Premium], "Not Found", 0)</f>
        <v>20</v>
      </c>
      <c r="Q411" s="16">
        <f>_xlfn.XLOOKUP(CustomerCombinedCleaned[[#This Row],[ID]], Table4[ID], Table4[Regular], "Not Found", 0)</f>
        <v>245</v>
      </c>
      <c r="R411" s="16">
        <f>_xlfn.XLOOKUP(CustomerCombinedCleaned[[#This Row],[ID]], Table4[ID], Table4[Deals], "Not Found", 0)</f>
        <v>1</v>
      </c>
      <c r="S411" s="16">
        <f>_xlfn.XLOOKUP(CustomerCombinedCleaned[[#This Row],[ID]], Table4[ID], Table4[Website], "Not Found", 0)</f>
        <v>2</v>
      </c>
      <c r="T411" s="16">
        <f>_xlfn.XLOOKUP(CustomerCombinedCleaned[[#This Row],[ID]], Table4[ID], Table4[Catalog], "Not Found", 0)</f>
        <v>0</v>
      </c>
      <c r="U411" s="16">
        <f>_xlfn.XLOOKUP(CustomerCombinedCleaned[[#This Row],[ID]], Table4[ID], Table4[Store], "Not Found", 0)</f>
        <v>3</v>
      </c>
      <c r="V411" s="16">
        <f>_xlfn.XLOOKUP(CustomerCombinedCleaned[[#This Row],[ID]], Table4[ID], Table4[Visits], "Not Found", 0)</f>
        <v>7</v>
      </c>
      <c r="W411" s="16">
        <f>_xlfn.XLOOKUP(CustomerCombinedCleaned[[#This Row],[ID]], Table2[ID],Table2[Complaint], "Not Found", 0 )</f>
        <v>0</v>
      </c>
      <c r="X411" s="16">
        <f>_xlfn.XLOOKUP(CustomerCombinedCleaned[[#This Row],[ID]], Table2[ID],Table2[Pilot], "Not Found", 0 )</f>
        <v>0</v>
      </c>
      <c r="Y411" s="16">
        <f>_xlfn.XLOOKUP(CustomerCombinedCleaned[[#This Row],[ID]], Table2[ID],Table2[MC1], "Not Found", 0 )</f>
        <v>0</v>
      </c>
      <c r="Z411" s="16">
        <f>_xlfn.XLOOKUP(CustomerCombinedCleaned[[#This Row],[ID]], Table2[ID],Table2[MC2], "Not Found", 0 )</f>
        <v>0</v>
      </c>
      <c r="AA411" s="16">
        <f>_xlfn.XLOOKUP(CustomerCombinedCleaned[[#This Row],[ID]], Table2[ID],Table2[MC3], "Not Found", 0 )</f>
        <v>0</v>
      </c>
      <c r="AB411" s="16">
        <f>_xlfn.XLOOKUP(CustomerCombinedCleaned[[#This Row],[ID]], Table2[ID],Table2[MC4], "Not Found", 0 )</f>
        <v>0</v>
      </c>
      <c r="AC411" s="16">
        <f>_xlfn.XLOOKUP(CustomerCombinedCleaned[[#This Row],[ID]], Table2[ID],Table2[MC5], "Not Found", 0 )</f>
        <v>0</v>
      </c>
    </row>
    <row r="412" spans="1:29" x14ac:dyDescent="0.3">
      <c r="A412" s="18">
        <v>2727</v>
      </c>
      <c r="B412" s="16">
        <v>131859</v>
      </c>
      <c r="C412" s="16">
        <v>1</v>
      </c>
      <c r="D412" s="16">
        <v>0</v>
      </c>
      <c r="E412" s="16">
        <v>40</v>
      </c>
      <c r="F412" s="17" t="s">
        <v>7</v>
      </c>
      <c r="G412" s="17" t="s">
        <v>11</v>
      </c>
      <c r="H412" s="3" t="s">
        <v>762</v>
      </c>
      <c r="I412" s="5" t="s">
        <v>435</v>
      </c>
      <c r="J412" s="16">
        <f>_xlfn.XLOOKUP(CustomerCombinedCleaned[[#This Row],[ID]], Table4[ID], Table4[Recency], "Not Found", 0)</f>
        <v>3</v>
      </c>
      <c r="K412" s="16">
        <f>_xlfn.XLOOKUP(CustomerCombinedCleaned[[#This Row],[ID]], Table4[ID], Table4[Teas], "Not Found", 0)</f>
        <v>12</v>
      </c>
      <c r="L412" s="16">
        <f>_xlfn.XLOOKUP(CustomerCombinedCleaned[[#This Row],[ID]], Table4[ID], Table4[Fruits], "Not Found", 0)</f>
        <v>17</v>
      </c>
      <c r="M412" s="16">
        <f>_xlfn.XLOOKUP(CustomerCombinedCleaned[[#This Row],[ID]], Table4[ID], Table4[Meats], "Not Found", 0)</f>
        <v>29</v>
      </c>
      <c r="N412" s="16">
        <f>_xlfn.XLOOKUP(CustomerCombinedCleaned[[#This Row],[ID]], Table4[ID], Table4[Seafood], "Not Found", 0)</f>
        <v>62</v>
      </c>
      <c r="O412" s="16">
        <f>_xlfn.XLOOKUP(CustomerCombinedCleaned[[#This Row],[ID]], Table4[ID], Table4[Sweets], "Not Found", 0)</f>
        <v>33</v>
      </c>
      <c r="P412" s="16">
        <f>_xlfn.XLOOKUP(CustomerCombinedCleaned[[#This Row],[ID]], Table4[ID], Table4[Premium], "Not Found", 0)</f>
        <v>46</v>
      </c>
      <c r="Q412" s="16">
        <f>_xlfn.XLOOKUP(CustomerCombinedCleaned[[#This Row],[ID]], Table4[ID], Table4[Regular], "Not Found", 0)</f>
        <v>108</v>
      </c>
      <c r="R412" s="16">
        <f>_xlfn.XLOOKUP(CustomerCombinedCleaned[[#This Row],[ID]], Table4[ID], Table4[Deals], "Not Found", 0)</f>
        <v>1</v>
      </c>
      <c r="S412" s="16">
        <f>_xlfn.XLOOKUP(CustomerCombinedCleaned[[#This Row],[ID]], Table4[ID], Table4[Website], "Not Found", 0)</f>
        <v>1</v>
      </c>
      <c r="T412" s="16">
        <f>_xlfn.XLOOKUP(CustomerCombinedCleaned[[#This Row],[ID]], Table4[ID], Table4[Catalog], "Not Found", 0)</f>
        <v>0</v>
      </c>
      <c r="U412" s="16">
        <f>_xlfn.XLOOKUP(CustomerCombinedCleaned[[#This Row],[ID]], Table4[ID], Table4[Store], "Not Found", 0)</f>
        <v>3</v>
      </c>
      <c r="V412" s="16">
        <f>_xlfn.XLOOKUP(CustomerCombinedCleaned[[#This Row],[ID]], Table4[ID], Table4[Visits], "Not Found", 0)</f>
        <v>7</v>
      </c>
      <c r="W412" s="16">
        <f>_xlfn.XLOOKUP(CustomerCombinedCleaned[[#This Row],[ID]], Table2[ID],Table2[Complaint], "Not Found", 0 )</f>
        <v>0</v>
      </c>
      <c r="X412" s="16">
        <f>_xlfn.XLOOKUP(CustomerCombinedCleaned[[#This Row],[ID]], Table2[ID],Table2[Pilot], "Not Found", 0 )</f>
        <v>0</v>
      </c>
      <c r="Y412" s="16">
        <f>_xlfn.XLOOKUP(CustomerCombinedCleaned[[#This Row],[ID]], Table2[ID],Table2[MC1], "Not Found", 0 )</f>
        <v>0</v>
      </c>
      <c r="Z412" s="16">
        <f>_xlfn.XLOOKUP(CustomerCombinedCleaned[[#This Row],[ID]], Table2[ID],Table2[MC2], "Not Found", 0 )</f>
        <v>0</v>
      </c>
      <c r="AA412" s="16">
        <f>_xlfn.XLOOKUP(CustomerCombinedCleaned[[#This Row],[ID]], Table2[ID],Table2[MC3], "Not Found", 0 )</f>
        <v>0</v>
      </c>
      <c r="AB412" s="16">
        <f>_xlfn.XLOOKUP(CustomerCombinedCleaned[[#This Row],[ID]], Table2[ID],Table2[MC4], "Not Found", 0 )</f>
        <v>0</v>
      </c>
      <c r="AC412" s="16">
        <f>_xlfn.XLOOKUP(CustomerCombinedCleaned[[#This Row],[ID]], Table2[ID],Table2[MC5], "Not Found", 0 )</f>
        <v>0</v>
      </c>
    </row>
    <row r="413" spans="1:29" x14ac:dyDescent="0.3">
      <c r="A413" s="18">
        <v>2884</v>
      </c>
      <c r="B413" s="16">
        <v>131535</v>
      </c>
      <c r="C413" s="16">
        <v>1</v>
      </c>
      <c r="D413" s="16">
        <v>0</v>
      </c>
      <c r="E413" s="16">
        <v>40</v>
      </c>
      <c r="F413" s="17" t="s">
        <v>6</v>
      </c>
      <c r="G413" s="17" t="s">
        <v>12</v>
      </c>
      <c r="H413" s="3" t="s">
        <v>790</v>
      </c>
      <c r="I413" s="5" t="s">
        <v>439</v>
      </c>
      <c r="J413" s="16">
        <f>_xlfn.XLOOKUP(CustomerCombinedCleaned[[#This Row],[ID]], Table4[ID], Table4[Recency], "Not Found", 0)</f>
        <v>95</v>
      </c>
      <c r="K413" s="16">
        <f>_xlfn.XLOOKUP(CustomerCombinedCleaned[[#This Row],[ID]], Table4[ID], Table4[Teas], "Not Found", 0)</f>
        <v>63</v>
      </c>
      <c r="L413" s="16">
        <f>_xlfn.XLOOKUP(CustomerCombinedCleaned[[#This Row],[ID]], Table4[ID], Table4[Fruits], "Not Found", 0)</f>
        <v>17</v>
      </c>
      <c r="M413" s="16">
        <f>_xlfn.XLOOKUP(CustomerCombinedCleaned[[#This Row],[ID]], Table4[ID], Table4[Meats], "Not Found", 0)</f>
        <v>54</v>
      </c>
      <c r="N413" s="16">
        <f>_xlfn.XLOOKUP(CustomerCombinedCleaned[[#This Row],[ID]], Table4[ID], Table4[Seafood], "Not Found", 0)</f>
        <v>0</v>
      </c>
      <c r="O413" s="16">
        <f>_xlfn.XLOOKUP(CustomerCombinedCleaned[[#This Row],[ID]], Table4[ID], Table4[Sweets], "Not Found", 0)</f>
        <v>0</v>
      </c>
      <c r="P413" s="16">
        <f>_xlfn.XLOOKUP(CustomerCombinedCleaned[[#This Row],[ID]], Table4[ID], Table4[Premium], "Not Found", 0)</f>
        <v>79</v>
      </c>
      <c r="Q413" s="16">
        <f>_xlfn.XLOOKUP(CustomerCombinedCleaned[[#This Row],[ID]], Table4[ID], Table4[Regular], "Not Found", 0)</f>
        <v>54</v>
      </c>
      <c r="R413" s="16">
        <f>_xlfn.XLOOKUP(CustomerCombinedCleaned[[#This Row],[ID]], Table4[ID], Table4[Deals], "Not Found", 0)</f>
        <v>1</v>
      </c>
      <c r="S413" s="16">
        <f>_xlfn.XLOOKUP(CustomerCombinedCleaned[[#This Row],[ID]], Table4[ID], Table4[Website], "Not Found", 0)</f>
        <v>1</v>
      </c>
      <c r="T413" s="16">
        <f>_xlfn.XLOOKUP(CustomerCombinedCleaned[[#This Row],[ID]], Table4[ID], Table4[Catalog], "Not Found", 0)</f>
        <v>1</v>
      </c>
      <c r="U413" s="16">
        <f>_xlfn.XLOOKUP(CustomerCombinedCleaned[[#This Row],[ID]], Table4[ID], Table4[Store], "Not Found", 0)</f>
        <v>2</v>
      </c>
      <c r="V413" s="16">
        <f>_xlfn.XLOOKUP(CustomerCombinedCleaned[[#This Row],[ID]], Table4[ID], Table4[Visits], "Not Found", 0)</f>
        <v>7</v>
      </c>
      <c r="W413" s="16">
        <f>_xlfn.XLOOKUP(CustomerCombinedCleaned[[#This Row],[ID]], Table2[ID],Table2[Complaint], "Not Found", 0 )</f>
        <v>0</v>
      </c>
      <c r="X413" s="16">
        <f>_xlfn.XLOOKUP(CustomerCombinedCleaned[[#This Row],[ID]], Table2[ID],Table2[Pilot], "Not Found", 0 )</f>
        <v>0</v>
      </c>
      <c r="Y413" s="16">
        <f>_xlfn.XLOOKUP(CustomerCombinedCleaned[[#This Row],[ID]], Table2[ID],Table2[MC1], "Not Found", 0 )</f>
        <v>0</v>
      </c>
      <c r="Z413" s="16">
        <f>_xlfn.XLOOKUP(CustomerCombinedCleaned[[#This Row],[ID]], Table2[ID],Table2[MC2], "Not Found", 0 )</f>
        <v>0</v>
      </c>
      <c r="AA413" s="16">
        <f>_xlfn.XLOOKUP(CustomerCombinedCleaned[[#This Row],[ID]], Table2[ID],Table2[MC3], "Not Found", 0 )</f>
        <v>1</v>
      </c>
      <c r="AB413" s="16">
        <f>_xlfn.XLOOKUP(CustomerCombinedCleaned[[#This Row],[ID]], Table2[ID],Table2[MC4], "Not Found", 0 )</f>
        <v>0</v>
      </c>
      <c r="AC413" s="16">
        <f>_xlfn.XLOOKUP(CustomerCombinedCleaned[[#This Row],[ID]], Table2[ID],Table2[MC5], "Not Found", 0 )</f>
        <v>0</v>
      </c>
    </row>
    <row r="414" spans="1:29" x14ac:dyDescent="0.3">
      <c r="A414" s="18">
        <v>3057</v>
      </c>
      <c r="B414" s="16">
        <v>130828</v>
      </c>
      <c r="C414" s="16">
        <v>1</v>
      </c>
      <c r="D414" s="16">
        <v>0</v>
      </c>
      <c r="E414" s="16">
        <v>40</v>
      </c>
      <c r="F414" s="17" t="s">
        <v>7</v>
      </c>
      <c r="G414" s="17" t="s">
        <v>11</v>
      </c>
      <c r="H414" s="3" t="s">
        <v>568</v>
      </c>
      <c r="I414" s="5" t="s">
        <v>435</v>
      </c>
      <c r="J414" s="16">
        <f>_xlfn.XLOOKUP(CustomerCombinedCleaned[[#This Row],[ID]], Table4[ID], Table4[Recency], "Not Found", 0)</f>
        <v>16</v>
      </c>
      <c r="K414" s="16">
        <f>_xlfn.XLOOKUP(CustomerCombinedCleaned[[#This Row],[ID]], Table4[ID], Table4[Teas], "Not Found", 0)</f>
        <v>68</v>
      </c>
      <c r="L414" s="16">
        <f>_xlfn.XLOOKUP(CustomerCombinedCleaned[[#This Row],[ID]], Table4[ID], Table4[Fruits], "Not Found", 0)</f>
        <v>47</v>
      </c>
      <c r="M414" s="16">
        <f>_xlfn.XLOOKUP(CustomerCombinedCleaned[[#This Row],[ID]], Table4[ID], Table4[Meats], "Not Found", 0)</f>
        <v>64</v>
      </c>
      <c r="N414" s="16">
        <f>_xlfn.XLOOKUP(CustomerCombinedCleaned[[#This Row],[ID]], Table4[ID], Table4[Seafood], "Not Found", 0)</f>
        <v>8</v>
      </c>
      <c r="O414" s="16">
        <f>_xlfn.XLOOKUP(CustomerCombinedCleaned[[#This Row],[ID]], Table4[ID], Table4[Sweets], "Not Found", 0)</f>
        <v>0</v>
      </c>
      <c r="P414" s="16">
        <f>_xlfn.XLOOKUP(CustomerCombinedCleaned[[#This Row],[ID]], Table4[ID], Table4[Premium], "Not Found", 0)</f>
        <v>51</v>
      </c>
      <c r="Q414" s="16">
        <f>_xlfn.XLOOKUP(CustomerCombinedCleaned[[#This Row],[ID]], Table4[ID], Table4[Regular], "Not Found", 0)</f>
        <v>136</v>
      </c>
      <c r="R414" s="16">
        <f>_xlfn.XLOOKUP(CustomerCombinedCleaned[[#This Row],[ID]], Table4[ID], Table4[Deals], "Not Found", 0)</f>
        <v>2</v>
      </c>
      <c r="S414" s="16">
        <f>_xlfn.XLOOKUP(CustomerCombinedCleaned[[#This Row],[ID]], Table4[ID], Table4[Website], "Not Found", 0)</f>
        <v>1</v>
      </c>
      <c r="T414" s="16">
        <f>_xlfn.XLOOKUP(CustomerCombinedCleaned[[#This Row],[ID]], Table4[ID], Table4[Catalog], "Not Found", 0)</f>
        <v>1</v>
      </c>
      <c r="U414" s="16">
        <f>_xlfn.XLOOKUP(CustomerCombinedCleaned[[#This Row],[ID]], Table4[ID], Table4[Store], "Not Found", 0)</f>
        <v>4</v>
      </c>
      <c r="V414" s="16">
        <f>_xlfn.XLOOKUP(CustomerCombinedCleaned[[#This Row],[ID]], Table4[ID], Table4[Visits], "Not Found", 0)</f>
        <v>3</v>
      </c>
      <c r="W414" s="16">
        <f>_xlfn.XLOOKUP(CustomerCombinedCleaned[[#This Row],[ID]], Table2[ID],Table2[Complaint], "Not Found", 0 )</f>
        <v>0</v>
      </c>
      <c r="X414" s="16">
        <f>_xlfn.XLOOKUP(CustomerCombinedCleaned[[#This Row],[ID]], Table2[ID],Table2[Pilot], "Not Found", 0 )</f>
        <v>0</v>
      </c>
      <c r="Y414" s="16">
        <f>_xlfn.XLOOKUP(CustomerCombinedCleaned[[#This Row],[ID]], Table2[ID],Table2[MC1], "Not Found", 0 )</f>
        <v>0</v>
      </c>
      <c r="Z414" s="16">
        <f>_xlfn.XLOOKUP(CustomerCombinedCleaned[[#This Row],[ID]], Table2[ID],Table2[MC2], "Not Found", 0 )</f>
        <v>0</v>
      </c>
      <c r="AA414" s="16">
        <f>_xlfn.XLOOKUP(CustomerCombinedCleaned[[#This Row],[ID]], Table2[ID],Table2[MC3], "Not Found", 0 )</f>
        <v>0</v>
      </c>
      <c r="AB414" s="16">
        <f>_xlfn.XLOOKUP(CustomerCombinedCleaned[[#This Row],[ID]], Table2[ID],Table2[MC4], "Not Found", 0 )</f>
        <v>0</v>
      </c>
      <c r="AC414" s="16">
        <f>_xlfn.XLOOKUP(CustomerCombinedCleaned[[#This Row],[ID]], Table2[ID],Table2[MC5], "Not Found", 0 )</f>
        <v>0</v>
      </c>
    </row>
    <row r="415" spans="1:29" x14ac:dyDescent="0.3">
      <c r="A415" s="18">
        <v>1211</v>
      </c>
      <c r="B415" s="16">
        <v>130732</v>
      </c>
      <c r="C415" s="16">
        <v>1</v>
      </c>
      <c r="D415" s="16">
        <v>0</v>
      </c>
      <c r="E415" s="16">
        <v>40</v>
      </c>
      <c r="F415" s="17" t="s">
        <v>6</v>
      </c>
      <c r="G415" s="17" t="s">
        <v>13</v>
      </c>
      <c r="H415" s="3" t="s">
        <v>591</v>
      </c>
      <c r="I415" s="5" t="s">
        <v>434</v>
      </c>
      <c r="J415" s="16">
        <f>_xlfn.XLOOKUP(CustomerCombinedCleaned[[#This Row],[ID]], Table4[ID], Table4[Recency], "Not Found", 0)</f>
        <v>44</v>
      </c>
      <c r="K415" s="16">
        <f>_xlfn.XLOOKUP(CustomerCombinedCleaned[[#This Row],[ID]], Table4[ID], Table4[Teas], "Not Found", 0)</f>
        <v>659</v>
      </c>
      <c r="L415" s="16">
        <f>_xlfn.XLOOKUP(CustomerCombinedCleaned[[#This Row],[ID]], Table4[ID], Table4[Fruits], "Not Found", 0)</f>
        <v>4</v>
      </c>
      <c r="M415" s="16">
        <f>_xlfn.XLOOKUP(CustomerCombinedCleaned[[#This Row],[ID]], Table4[ID], Table4[Meats], "Not Found", 0)</f>
        <v>106</v>
      </c>
      <c r="N415" s="16">
        <f>_xlfn.XLOOKUP(CustomerCombinedCleaned[[#This Row],[ID]], Table4[ID], Table4[Seafood], "Not Found", 0)</f>
        <v>0</v>
      </c>
      <c r="O415" s="16">
        <f>_xlfn.XLOOKUP(CustomerCombinedCleaned[[#This Row],[ID]], Table4[ID], Table4[Sweets], "Not Found", 0)</f>
        <v>4</v>
      </c>
      <c r="P415" s="16">
        <f>_xlfn.XLOOKUP(CustomerCombinedCleaned[[#This Row],[ID]], Table4[ID], Table4[Premium], "Not Found", 0)</f>
        <v>13</v>
      </c>
      <c r="Q415" s="16">
        <f>_xlfn.XLOOKUP(CustomerCombinedCleaned[[#This Row],[ID]], Table4[ID], Table4[Regular], "Not Found", 0)</f>
        <v>761</v>
      </c>
      <c r="R415" s="16">
        <f>_xlfn.XLOOKUP(CustomerCombinedCleaned[[#This Row],[ID]], Table4[ID], Table4[Deals], "Not Found", 0)</f>
        <v>4</v>
      </c>
      <c r="S415" s="16">
        <f>_xlfn.XLOOKUP(CustomerCombinedCleaned[[#This Row],[ID]], Table4[ID], Table4[Website], "Not Found", 0)</f>
        <v>4</v>
      </c>
      <c r="T415" s="16">
        <f>_xlfn.XLOOKUP(CustomerCombinedCleaned[[#This Row],[ID]], Table4[ID], Table4[Catalog], "Not Found", 0)</f>
        <v>1</v>
      </c>
      <c r="U415" s="16">
        <f>_xlfn.XLOOKUP(CustomerCombinedCleaned[[#This Row],[ID]], Table4[ID], Table4[Store], "Not Found", 0)</f>
        <v>4</v>
      </c>
      <c r="V415" s="16">
        <f>_xlfn.XLOOKUP(CustomerCombinedCleaned[[#This Row],[ID]], Table4[ID], Table4[Visits], "Not Found", 0)</f>
        <v>8</v>
      </c>
      <c r="W415" s="16">
        <f>_xlfn.XLOOKUP(CustomerCombinedCleaned[[#This Row],[ID]], Table2[ID],Table2[Complaint], "Not Found", 0 )</f>
        <v>0</v>
      </c>
      <c r="X415" s="16">
        <f>_xlfn.XLOOKUP(CustomerCombinedCleaned[[#This Row],[ID]], Table2[ID],Table2[Pilot], "Not Found", 0 )</f>
        <v>0</v>
      </c>
      <c r="Y415" s="16">
        <f>_xlfn.XLOOKUP(CustomerCombinedCleaned[[#This Row],[ID]], Table2[ID],Table2[MC1], "Not Found", 0 )</f>
        <v>0</v>
      </c>
      <c r="Z415" s="16">
        <f>_xlfn.XLOOKUP(CustomerCombinedCleaned[[#This Row],[ID]], Table2[ID],Table2[MC2], "Not Found", 0 )</f>
        <v>0</v>
      </c>
      <c r="AA415" s="16">
        <f>_xlfn.XLOOKUP(CustomerCombinedCleaned[[#This Row],[ID]], Table2[ID],Table2[MC3], "Not Found", 0 )</f>
        <v>0</v>
      </c>
      <c r="AB415" s="16">
        <f>_xlfn.XLOOKUP(CustomerCombinedCleaned[[#This Row],[ID]], Table2[ID],Table2[MC4], "Not Found", 0 )</f>
        <v>0</v>
      </c>
      <c r="AC415" s="16">
        <f>_xlfn.XLOOKUP(CustomerCombinedCleaned[[#This Row],[ID]], Table2[ID],Table2[MC5], "Not Found", 0 )</f>
        <v>0</v>
      </c>
    </row>
    <row r="416" spans="1:29" x14ac:dyDescent="0.3">
      <c r="A416" s="18">
        <v>2016</v>
      </c>
      <c r="B416" s="16">
        <v>128071</v>
      </c>
      <c r="C416" s="16">
        <v>0</v>
      </c>
      <c r="D416" s="16">
        <v>0</v>
      </c>
      <c r="E416" s="16">
        <v>40</v>
      </c>
      <c r="F416" s="17" t="s">
        <v>7</v>
      </c>
      <c r="G416" s="17" t="s">
        <v>11</v>
      </c>
      <c r="H416" s="3" t="s">
        <v>610</v>
      </c>
      <c r="I416" s="5" t="s">
        <v>436</v>
      </c>
      <c r="J416" s="16">
        <f>_xlfn.XLOOKUP(CustomerCombinedCleaned[[#This Row],[ID]], Table4[ID], Table4[Recency], "Not Found", 0)</f>
        <v>65</v>
      </c>
      <c r="K416" s="16">
        <f>_xlfn.XLOOKUP(CustomerCombinedCleaned[[#This Row],[ID]], Table4[ID], Table4[Teas], "Not Found", 0)</f>
        <v>178</v>
      </c>
      <c r="L416" s="16">
        <f>_xlfn.XLOOKUP(CustomerCombinedCleaned[[#This Row],[ID]], Table4[ID], Table4[Fruits], "Not Found", 0)</f>
        <v>151</v>
      </c>
      <c r="M416" s="16">
        <f>_xlfn.XLOOKUP(CustomerCombinedCleaned[[#This Row],[ID]], Table4[ID], Table4[Meats], "Not Found", 0)</f>
        <v>593</v>
      </c>
      <c r="N416" s="16">
        <f>_xlfn.XLOOKUP(CustomerCombinedCleaned[[#This Row],[ID]], Table4[ID], Table4[Seafood], "Not Found", 0)</f>
        <v>187</v>
      </c>
      <c r="O416" s="16">
        <f>_xlfn.XLOOKUP(CustomerCombinedCleaned[[#This Row],[ID]], Table4[ID], Table4[Sweets], "Not Found", 0)</f>
        <v>119</v>
      </c>
      <c r="P416" s="16">
        <f>_xlfn.XLOOKUP(CustomerCombinedCleaned[[#This Row],[ID]], Table4[ID], Table4[Premium], "Not Found", 0)</f>
        <v>201</v>
      </c>
      <c r="Q416" s="16">
        <f>_xlfn.XLOOKUP(CustomerCombinedCleaned[[#This Row],[ID]], Table4[ID], Table4[Regular], "Not Found", 0)</f>
        <v>1027</v>
      </c>
      <c r="R416" s="16">
        <f>_xlfn.XLOOKUP(CustomerCombinedCleaned[[#This Row],[ID]], Table4[ID], Table4[Deals], "Not Found", 0)</f>
        <v>2</v>
      </c>
      <c r="S416" s="16">
        <f>_xlfn.XLOOKUP(CustomerCombinedCleaned[[#This Row],[ID]], Table4[ID], Table4[Website], "Not Found", 0)</f>
        <v>5</v>
      </c>
      <c r="T416" s="16">
        <f>_xlfn.XLOOKUP(CustomerCombinedCleaned[[#This Row],[ID]], Table4[ID], Table4[Catalog], "Not Found", 0)</f>
        <v>1</v>
      </c>
      <c r="U416" s="16">
        <f>_xlfn.XLOOKUP(CustomerCombinedCleaned[[#This Row],[ID]], Table4[ID], Table4[Store], "Not Found", 0)</f>
        <v>5</v>
      </c>
      <c r="V416" s="16">
        <f>_xlfn.XLOOKUP(CustomerCombinedCleaned[[#This Row],[ID]], Table4[ID], Table4[Visits], "Not Found", 0)</f>
        <v>8</v>
      </c>
      <c r="W416" s="16">
        <f>_xlfn.XLOOKUP(CustomerCombinedCleaned[[#This Row],[ID]], Table2[ID],Table2[Complaint], "Not Found", 0 )</f>
        <v>0</v>
      </c>
      <c r="X416" s="16">
        <f>_xlfn.XLOOKUP(CustomerCombinedCleaned[[#This Row],[ID]], Table2[ID],Table2[Pilot], "Not Found", 0 )</f>
        <v>0</v>
      </c>
      <c r="Y416" s="16">
        <f>_xlfn.XLOOKUP(CustomerCombinedCleaned[[#This Row],[ID]], Table2[ID],Table2[MC1], "Not Found", 0 )</f>
        <v>0</v>
      </c>
      <c r="Z416" s="16">
        <f>_xlfn.XLOOKUP(CustomerCombinedCleaned[[#This Row],[ID]], Table2[ID],Table2[MC2], "Not Found", 0 )</f>
        <v>0</v>
      </c>
      <c r="AA416" s="16">
        <f>_xlfn.XLOOKUP(CustomerCombinedCleaned[[#This Row],[ID]], Table2[ID],Table2[MC3], "Not Found", 0 )</f>
        <v>0</v>
      </c>
      <c r="AB416" s="16">
        <f>_xlfn.XLOOKUP(CustomerCombinedCleaned[[#This Row],[ID]], Table2[ID],Table2[MC4], "Not Found", 0 )</f>
        <v>0</v>
      </c>
      <c r="AC416" s="16">
        <f>_xlfn.XLOOKUP(CustomerCombinedCleaned[[#This Row],[ID]], Table2[ID],Table2[MC5], "Not Found", 0 )</f>
        <v>0</v>
      </c>
    </row>
    <row r="417" spans="1:29" x14ac:dyDescent="0.3">
      <c r="A417" s="18">
        <v>1645</v>
      </c>
      <c r="B417" s="16">
        <v>125965</v>
      </c>
      <c r="C417" s="16">
        <v>0</v>
      </c>
      <c r="D417" s="16">
        <v>0</v>
      </c>
      <c r="E417" s="16">
        <v>40</v>
      </c>
      <c r="F417" s="17" t="s">
        <v>6</v>
      </c>
      <c r="G417" s="17" t="s">
        <v>10</v>
      </c>
      <c r="H417" s="3" t="s">
        <v>684</v>
      </c>
      <c r="I417" s="5" t="s">
        <v>437</v>
      </c>
      <c r="J417" s="16">
        <f>_xlfn.XLOOKUP(CustomerCombinedCleaned[[#This Row],[ID]], Table4[ID], Table4[Recency], "Not Found", 0)</f>
        <v>29</v>
      </c>
      <c r="K417" s="16">
        <f>_xlfn.XLOOKUP(CustomerCombinedCleaned[[#This Row],[ID]], Table4[ID], Table4[Teas], "Not Found", 0)</f>
        <v>10</v>
      </c>
      <c r="L417" s="16">
        <f>_xlfn.XLOOKUP(CustomerCombinedCleaned[[#This Row],[ID]], Table4[ID], Table4[Fruits], "Not Found", 0)</f>
        <v>10</v>
      </c>
      <c r="M417" s="16">
        <f>_xlfn.XLOOKUP(CustomerCombinedCleaned[[#This Row],[ID]], Table4[ID], Table4[Meats], "Not Found", 0)</f>
        <v>53</v>
      </c>
      <c r="N417" s="16">
        <f>_xlfn.XLOOKUP(CustomerCombinedCleaned[[#This Row],[ID]], Table4[ID], Table4[Seafood], "Not Found", 0)</f>
        <v>199</v>
      </c>
      <c r="O417" s="16">
        <f>_xlfn.XLOOKUP(CustomerCombinedCleaned[[#This Row],[ID]], Table4[ID], Table4[Sweets], "Not Found", 0)</f>
        <v>34</v>
      </c>
      <c r="P417" s="16">
        <f>_xlfn.XLOOKUP(CustomerCombinedCleaned[[#This Row],[ID]], Table4[ID], Table4[Premium], "Not Found", 0)</f>
        <v>53</v>
      </c>
      <c r="Q417" s="16">
        <f>_xlfn.XLOOKUP(CustomerCombinedCleaned[[#This Row],[ID]], Table4[ID], Table4[Regular], "Not Found", 0)</f>
        <v>252</v>
      </c>
      <c r="R417" s="16">
        <f>_xlfn.XLOOKUP(CustomerCombinedCleaned[[#This Row],[ID]], Table4[ID], Table4[Deals], "Not Found", 0)</f>
        <v>1</v>
      </c>
      <c r="S417" s="16">
        <f>_xlfn.XLOOKUP(CustomerCombinedCleaned[[#This Row],[ID]], Table4[ID], Table4[Website], "Not Found", 0)</f>
        <v>2</v>
      </c>
      <c r="T417" s="16">
        <f>_xlfn.XLOOKUP(CustomerCombinedCleaned[[#This Row],[ID]], Table4[ID], Table4[Catalog], "Not Found", 0)</f>
        <v>0</v>
      </c>
      <c r="U417" s="16">
        <f>_xlfn.XLOOKUP(CustomerCombinedCleaned[[#This Row],[ID]], Table4[ID], Table4[Store], "Not Found", 0)</f>
        <v>3</v>
      </c>
      <c r="V417" s="16">
        <f>_xlfn.XLOOKUP(CustomerCombinedCleaned[[#This Row],[ID]], Table4[ID], Table4[Visits], "Not Found", 0)</f>
        <v>8</v>
      </c>
      <c r="W417" s="16">
        <f>_xlfn.XLOOKUP(CustomerCombinedCleaned[[#This Row],[ID]], Table2[ID],Table2[Complaint], "Not Found", 0 )</f>
        <v>0</v>
      </c>
      <c r="X417" s="16">
        <f>_xlfn.XLOOKUP(CustomerCombinedCleaned[[#This Row],[ID]], Table2[ID],Table2[Pilot], "Not Found", 0 )</f>
        <v>0</v>
      </c>
      <c r="Y417" s="16">
        <f>_xlfn.XLOOKUP(CustomerCombinedCleaned[[#This Row],[ID]], Table2[ID],Table2[MC1], "Not Found", 0 )</f>
        <v>0</v>
      </c>
      <c r="Z417" s="16">
        <f>_xlfn.XLOOKUP(CustomerCombinedCleaned[[#This Row],[ID]], Table2[ID],Table2[MC2], "Not Found", 0 )</f>
        <v>0</v>
      </c>
      <c r="AA417" s="16">
        <f>_xlfn.XLOOKUP(CustomerCombinedCleaned[[#This Row],[ID]], Table2[ID],Table2[MC3], "Not Found", 0 )</f>
        <v>0</v>
      </c>
      <c r="AB417" s="16">
        <f>_xlfn.XLOOKUP(CustomerCombinedCleaned[[#This Row],[ID]], Table2[ID],Table2[MC4], "Not Found", 0 )</f>
        <v>0</v>
      </c>
      <c r="AC417" s="16">
        <f>_xlfn.XLOOKUP(CustomerCombinedCleaned[[#This Row],[ID]], Table2[ID],Table2[MC5], "Not Found", 0 )</f>
        <v>0</v>
      </c>
    </row>
    <row r="418" spans="1:29" x14ac:dyDescent="0.3">
      <c r="A418" s="18">
        <v>1814</v>
      </c>
      <c r="B418" s="16">
        <v>125130</v>
      </c>
      <c r="C418" s="16">
        <v>1</v>
      </c>
      <c r="D418" s="16">
        <v>0</v>
      </c>
      <c r="E418" s="16">
        <v>40</v>
      </c>
      <c r="F418" s="17" t="s">
        <v>8</v>
      </c>
      <c r="G418" s="17" t="s">
        <v>11</v>
      </c>
      <c r="H418" s="3" t="s">
        <v>673</v>
      </c>
      <c r="I418" s="5" t="s">
        <v>438</v>
      </c>
      <c r="J418" s="16">
        <f>_xlfn.XLOOKUP(CustomerCombinedCleaned[[#This Row],[ID]], Table4[ID], Table4[Recency], "Not Found", 0)</f>
        <v>10</v>
      </c>
      <c r="K418" s="16">
        <f>_xlfn.XLOOKUP(CustomerCombinedCleaned[[#This Row],[ID]], Table4[ID], Table4[Teas], "Not Found", 0)</f>
        <v>10</v>
      </c>
      <c r="L418" s="16">
        <f>_xlfn.XLOOKUP(CustomerCombinedCleaned[[#This Row],[ID]], Table4[ID], Table4[Fruits], "Not Found", 0)</f>
        <v>25</v>
      </c>
      <c r="M418" s="16">
        <f>_xlfn.XLOOKUP(CustomerCombinedCleaned[[#This Row],[ID]], Table4[ID], Table4[Meats], "Not Found", 0)</f>
        <v>35</v>
      </c>
      <c r="N418" s="16">
        <f>_xlfn.XLOOKUP(CustomerCombinedCleaned[[#This Row],[ID]], Table4[ID], Table4[Seafood], "Not Found", 0)</f>
        <v>0</v>
      </c>
      <c r="O418" s="16">
        <f>_xlfn.XLOOKUP(CustomerCombinedCleaned[[#This Row],[ID]], Table4[ID], Table4[Sweets], "Not Found", 0)</f>
        <v>90</v>
      </c>
      <c r="P418" s="16">
        <f>_xlfn.XLOOKUP(CustomerCombinedCleaned[[#This Row],[ID]], Table4[ID], Table4[Premium], "Not Found", 0)</f>
        <v>90</v>
      </c>
      <c r="Q418" s="16">
        <f>_xlfn.XLOOKUP(CustomerCombinedCleaned[[#This Row],[ID]], Table4[ID], Table4[Regular], "Not Found", 0)</f>
        <v>70</v>
      </c>
      <c r="R418" s="16">
        <f>_xlfn.XLOOKUP(CustomerCombinedCleaned[[#This Row],[ID]], Table4[ID], Table4[Deals], "Not Found", 0)</f>
        <v>2</v>
      </c>
      <c r="S418" s="16">
        <f>_xlfn.XLOOKUP(CustomerCombinedCleaned[[#This Row],[ID]], Table4[ID], Table4[Website], "Not Found", 0)</f>
        <v>2</v>
      </c>
      <c r="T418" s="16">
        <f>_xlfn.XLOOKUP(CustomerCombinedCleaned[[#This Row],[ID]], Table4[ID], Table4[Catalog], "Not Found", 0)</f>
        <v>0</v>
      </c>
      <c r="U418" s="16">
        <f>_xlfn.XLOOKUP(CustomerCombinedCleaned[[#This Row],[ID]], Table4[ID], Table4[Store], "Not Found", 0)</f>
        <v>3</v>
      </c>
      <c r="V418" s="16">
        <f>_xlfn.XLOOKUP(CustomerCombinedCleaned[[#This Row],[ID]], Table4[ID], Table4[Visits], "Not Found", 0)</f>
        <v>7</v>
      </c>
      <c r="W418" s="16">
        <f>_xlfn.XLOOKUP(CustomerCombinedCleaned[[#This Row],[ID]], Table2[ID],Table2[Complaint], "Not Found", 0 )</f>
        <v>0</v>
      </c>
      <c r="X418" s="16">
        <f>_xlfn.XLOOKUP(CustomerCombinedCleaned[[#This Row],[ID]], Table2[ID],Table2[Pilot], "Not Found", 0 )</f>
        <v>0</v>
      </c>
      <c r="Y418" s="16">
        <f>_xlfn.XLOOKUP(CustomerCombinedCleaned[[#This Row],[ID]], Table2[ID],Table2[MC1], "Not Found", 0 )</f>
        <v>0</v>
      </c>
      <c r="Z418" s="16">
        <f>_xlfn.XLOOKUP(CustomerCombinedCleaned[[#This Row],[ID]], Table2[ID],Table2[MC2], "Not Found", 0 )</f>
        <v>0</v>
      </c>
      <c r="AA418" s="16">
        <f>_xlfn.XLOOKUP(CustomerCombinedCleaned[[#This Row],[ID]], Table2[ID],Table2[MC3], "Not Found", 0 )</f>
        <v>0</v>
      </c>
      <c r="AB418" s="16">
        <f>_xlfn.XLOOKUP(CustomerCombinedCleaned[[#This Row],[ID]], Table2[ID],Table2[MC4], "Not Found", 0 )</f>
        <v>0</v>
      </c>
      <c r="AC418" s="16">
        <f>_xlfn.XLOOKUP(CustomerCombinedCleaned[[#This Row],[ID]], Table2[ID],Table2[MC5], "Not Found", 0 )</f>
        <v>0</v>
      </c>
    </row>
    <row r="419" spans="1:29" x14ac:dyDescent="0.3">
      <c r="A419" s="18">
        <v>2459</v>
      </c>
      <c r="B419" s="16">
        <v>119107</v>
      </c>
      <c r="C419" s="16">
        <v>1</v>
      </c>
      <c r="D419" s="16">
        <v>0</v>
      </c>
      <c r="E419" s="16">
        <v>40</v>
      </c>
      <c r="F419" s="17" t="s">
        <v>6</v>
      </c>
      <c r="G419" s="17" t="s">
        <v>11</v>
      </c>
      <c r="H419" s="3" t="s">
        <v>195</v>
      </c>
      <c r="I419" s="5" t="s">
        <v>434</v>
      </c>
      <c r="J419" s="16">
        <f>_xlfn.XLOOKUP(CustomerCombinedCleaned[[#This Row],[ID]], Table4[ID], Table4[Recency], "Not Found", 0)</f>
        <v>49</v>
      </c>
      <c r="K419" s="16">
        <f>_xlfn.XLOOKUP(CustomerCombinedCleaned[[#This Row],[ID]], Table4[ID], Table4[Teas], "Not Found", 0)</f>
        <v>12</v>
      </c>
      <c r="L419" s="16">
        <f>_xlfn.XLOOKUP(CustomerCombinedCleaned[[#This Row],[ID]], Table4[ID], Table4[Fruits], "Not Found", 0)</f>
        <v>25</v>
      </c>
      <c r="M419" s="16">
        <f>_xlfn.XLOOKUP(CustomerCombinedCleaned[[#This Row],[ID]], Table4[ID], Table4[Meats], "Not Found", 0)</f>
        <v>56</v>
      </c>
      <c r="N419" s="16">
        <f>_xlfn.XLOOKUP(CustomerCombinedCleaned[[#This Row],[ID]], Table4[ID], Table4[Seafood], "Not Found", 0)</f>
        <v>62</v>
      </c>
      <c r="O419" s="16">
        <f>_xlfn.XLOOKUP(CustomerCombinedCleaned[[#This Row],[ID]], Table4[ID], Table4[Sweets], "Not Found", 0)</f>
        <v>31</v>
      </c>
      <c r="P419" s="16">
        <f>_xlfn.XLOOKUP(CustomerCombinedCleaned[[#This Row],[ID]], Table4[ID], Table4[Premium], "Not Found", 0)</f>
        <v>100</v>
      </c>
      <c r="Q419" s="16">
        <f>_xlfn.XLOOKUP(CustomerCombinedCleaned[[#This Row],[ID]], Table4[ID], Table4[Regular], "Not Found", 0)</f>
        <v>87</v>
      </c>
      <c r="R419" s="16">
        <f>_xlfn.XLOOKUP(CustomerCombinedCleaned[[#This Row],[ID]], Table4[ID], Table4[Deals], "Not Found", 0)</f>
        <v>2</v>
      </c>
      <c r="S419" s="16">
        <f>_xlfn.XLOOKUP(CustomerCombinedCleaned[[#This Row],[ID]], Table4[ID], Table4[Website], "Not Found", 0)</f>
        <v>1</v>
      </c>
      <c r="T419" s="16">
        <f>_xlfn.XLOOKUP(CustomerCombinedCleaned[[#This Row],[ID]], Table4[ID], Table4[Catalog], "Not Found", 0)</f>
        <v>0</v>
      </c>
      <c r="U419" s="16">
        <f>_xlfn.XLOOKUP(CustomerCombinedCleaned[[#This Row],[ID]], Table4[ID], Table4[Store], "Not Found", 0)</f>
        <v>3</v>
      </c>
      <c r="V419" s="16">
        <f>_xlfn.XLOOKUP(CustomerCombinedCleaned[[#This Row],[ID]], Table4[ID], Table4[Visits], "Not Found", 0)</f>
        <v>7</v>
      </c>
      <c r="W419" s="16">
        <f>_xlfn.XLOOKUP(CustomerCombinedCleaned[[#This Row],[ID]], Table2[ID],Table2[Complaint], "Not Found", 0 )</f>
        <v>0</v>
      </c>
      <c r="X419" s="16">
        <f>_xlfn.XLOOKUP(CustomerCombinedCleaned[[#This Row],[ID]], Table2[ID],Table2[Pilot], "Not Found", 0 )</f>
        <v>0</v>
      </c>
      <c r="Y419" s="16">
        <f>_xlfn.XLOOKUP(CustomerCombinedCleaned[[#This Row],[ID]], Table2[ID],Table2[MC1], "Not Found", 0 )</f>
        <v>0</v>
      </c>
      <c r="Z419" s="16">
        <f>_xlfn.XLOOKUP(CustomerCombinedCleaned[[#This Row],[ID]], Table2[ID],Table2[MC2], "Not Found", 0 )</f>
        <v>0</v>
      </c>
      <c r="AA419" s="16">
        <f>_xlfn.XLOOKUP(CustomerCombinedCleaned[[#This Row],[ID]], Table2[ID],Table2[MC3], "Not Found", 0 )</f>
        <v>0</v>
      </c>
      <c r="AB419" s="16">
        <f>_xlfn.XLOOKUP(CustomerCombinedCleaned[[#This Row],[ID]], Table2[ID],Table2[MC4], "Not Found", 0 )</f>
        <v>0</v>
      </c>
      <c r="AC419" s="16">
        <f>_xlfn.XLOOKUP(CustomerCombinedCleaned[[#This Row],[ID]], Table2[ID],Table2[MC5], "Not Found", 0 )</f>
        <v>0</v>
      </c>
    </row>
    <row r="420" spans="1:29" x14ac:dyDescent="0.3">
      <c r="A420" s="18">
        <v>3101</v>
      </c>
      <c r="B420" s="16">
        <v>116005</v>
      </c>
      <c r="C420" s="16">
        <v>1</v>
      </c>
      <c r="D420" s="16">
        <v>0</v>
      </c>
      <c r="E420" s="16">
        <v>40</v>
      </c>
      <c r="F420" s="17" t="s">
        <v>6</v>
      </c>
      <c r="G420" s="17" t="s">
        <v>10</v>
      </c>
      <c r="H420" s="3" t="s">
        <v>414</v>
      </c>
      <c r="I420" s="5" t="s">
        <v>434</v>
      </c>
      <c r="J420" s="16">
        <f>_xlfn.XLOOKUP(CustomerCombinedCleaned[[#This Row],[ID]], Table4[ID], Table4[Recency], "Not Found", 0)</f>
        <v>69</v>
      </c>
      <c r="K420" s="16">
        <f>_xlfn.XLOOKUP(CustomerCombinedCleaned[[#This Row],[ID]], Table4[ID], Table4[Teas], "Not Found", 0)</f>
        <v>7</v>
      </c>
      <c r="L420" s="16">
        <f>_xlfn.XLOOKUP(CustomerCombinedCleaned[[#This Row],[ID]], Table4[ID], Table4[Fruits], "Not Found", 0)</f>
        <v>22</v>
      </c>
      <c r="M420" s="16">
        <f>_xlfn.XLOOKUP(CustomerCombinedCleaned[[#This Row],[ID]], Table4[ID], Table4[Meats], "Not Found", 0)</f>
        <v>14</v>
      </c>
      <c r="N420" s="16">
        <f>_xlfn.XLOOKUP(CustomerCombinedCleaned[[#This Row],[ID]], Table4[ID], Table4[Seafood], "Not Found", 0)</f>
        <v>145</v>
      </c>
      <c r="O420" s="16">
        <f>_xlfn.XLOOKUP(CustomerCombinedCleaned[[#This Row],[ID]], Table4[ID], Table4[Sweets], "Not Found", 0)</f>
        <v>217</v>
      </c>
      <c r="P420" s="16">
        <f>_xlfn.XLOOKUP(CustomerCombinedCleaned[[#This Row],[ID]], Table4[ID], Table4[Premium], "Not Found", 0)</f>
        <v>341</v>
      </c>
      <c r="Q420" s="16">
        <f>_xlfn.XLOOKUP(CustomerCombinedCleaned[[#This Row],[ID]], Table4[ID], Table4[Regular], "Not Found", 0)</f>
        <v>65</v>
      </c>
      <c r="R420" s="16">
        <f>_xlfn.XLOOKUP(CustomerCombinedCleaned[[#This Row],[ID]], Table4[ID], Table4[Deals], "Not Found", 0)</f>
        <v>3</v>
      </c>
      <c r="S420" s="16">
        <f>_xlfn.XLOOKUP(CustomerCombinedCleaned[[#This Row],[ID]], Table4[ID], Table4[Website], "Not Found", 0)</f>
        <v>2</v>
      </c>
      <c r="T420" s="16">
        <f>_xlfn.XLOOKUP(CustomerCombinedCleaned[[#This Row],[ID]], Table4[ID], Table4[Catalog], "Not Found", 0)</f>
        <v>1</v>
      </c>
      <c r="U420" s="16">
        <f>_xlfn.XLOOKUP(CustomerCombinedCleaned[[#This Row],[ID]], Table4[ID], Table4[Store], "Not Found", 0)</f>
        <v>2</v>
      </c>
      <c r="V420" s="16">
        <f>_xlfn.XLOOKUP(CustomerCombinedCleaned[[#This Row],[ID]], Table4[ID], Table4[Visits], "Not Found", 0)</f>
        <v>8</v>
      </c>
      <c r="W420" s="16">
        <f>_xlfn.XLOOKUP(CustomerCombinedCleaned[[#This Row],[ID]], Table2[ID],Table2[Complaint], "Not Found", 0 )</f>
        <v>0</v>
      </c>
      <c r="X420" s="16">
        <f>_xlfn.XLOOKUP(CustomerCombinedCleaned[[#This Row],[ID]], Table2[ID],Table2[Pilot], "Not Found", 0 )</f>
        <v>0</v>
      </c>
      <c r="Y420" s="16">
        <f>_xlfn.XLOOKUP(CustomerCombinedCleaned[[#This Row],[ID]], Table2[ID],Table2[MC1], "Not Found", 0 )</f>
        <v>0</v>
      </c>
      <c r="Z420" s="16">
        <f>_xlfn.XLOOKUP(CustomerCombinedCleaned[[#This Row],[ID]], Table2[ID],Table2[MC2], "Not Found", 0 )</f>
        <v>0</v>
      </c>
      <c r="AA420" s="16">
        <f>_xlfn.XLOOKUP(CustomerCombinedCleaned[[#This Row],[ID]], Table2[ID],Table2[MC3], "Not Found", 0 )</f>
        <v>0</v>
      </c>
      <c r="AB420" s="16">
        <f>_xlfn.XLOOKUP(CustomerCombinedCleaned[[#This Row],[ID]], Table2[ID],Table2[MC4], "Not Found", 0 )</f>
        <v>0</v>
      </c>
      <c r="AC420" s="16">
        <f>_xlfn.XLOOKUP(CustomerCombinedCleaned[[#This Row],[ID]], Table2[ID],Table2[MC5], "Not Found", 0 )</f>
        <v>0</v>
      </c>
    </row>
    <row r="421" spans="1:29" x14ac:dyDescent="0.3">
      <c r="A421" s="18">
        <v>1830</v>
      </c>
      <c r="B421" s="16">
        <v>115072</v>
      </c>
      <c r="C421" s="16">
        <v>2</v>
      </c>
      <c r="D421" s="16">
        <v>0</v>
      </c>
      <c r="E421" s="16">
        <v>40</v>
      </c>
      <c r="F421" s="17" t="s">
        <v>6</v>
      </c>
      <c r="G421" s="17" t="s">
        <v>11</v>
      </c>
      <c r="H421" s="3" t="s">
        <v>261</v>
      </c>
      <c r="I421" s="5" t="s">
        <v>436</v>
      </c>
      <c r="J421" s="16">
        <f>_xlfn.XLOOKUP(CustomerCombinedCleaned[[#This Row],[ID]], Table4[ID], Table4[Recency], "Not Found", 0)</f>
        <v>96</v>
      </c>
      <c r="K421" s="16">
        <f>_xlfn.XLOOKUP(CustomerCombinedCleaned[[#This Row],[ID]], Table4[ID], Table4[Teas], "Not Found", 0)</f>
        <v>61</v>
      </c>
      <c r="L421" s="16">
        <f>_xlfn.XLOOKUP(CustomerCombinedCleaned[[#This Row],[ID]], Table4[ID], Table4[Fruits], "Not Found", 0)</f>
        <v>15</v>
      </c>
      <c r="M421" s="16">
        <f>_xlfn.XLOOKUP(CustomerCombinedCleaned[[#This Row],[ID]], Table4[ID], Table4[Meats], "Not Found", 0)</f>
        <v>115</v>
      </c>
      <c r="N421" s="16">
        <f>_xlfn.XLOOKUP(CustomerCombinedCleaned[[#This Row],[ID]], Table4[ID], Table4[Seafood], "Not Found", 0)</f>
        <v>0</v>
      </c>
      <c r="O421" s="16">
        <f>_xlfn.XLOOKUP(CustomerCombinedCleaned[[#This Row],[ID]], Table4[ID], Table4[Sweets], "Not Found", 0)</f>
        <v>76</v>
      </c>
      <c r="P421" s="16">
        <f>_xlfn.XLOOKUP(CustomerCombinedCleaned[[#This Row],[ID]], Table4[ID], Table4[Premium], "Not Found", 0)</f>
        <v>137</v>
      </c>
      <c r="Q421" s="16">
        <f>_xlfn.XLOOKUP(CustomerCombinedCleaned[[#This Row],[ID]], Table4[ID], Table4[Regular], "Not Found", 0)</f>
        <v>130</v>
      </c>
      <c r="R421" s="16">
        <f>_xlfn.XLOOKUP(CustomerCombinedCleaned[[#This Row],[ID]], Table4[ID], Table4[Deals], "Not Found", 0)</f>
        <v>4</v>
      </c>
      <c r="S421" s="16">
        <f>_xlfn.XLOOKUP(CustomerCombinedCleaned[[#This Row],[ID]], Table4[ID], Table4[Website], "Not Found", 0)</f>
        <v>3</v>
      </c>
      <c r="T421" s="16">
        <f>_xlfn.XLOOKUP(CustomerCombinedCleaned[[#This Row],[ID]], Table4[ID], Table4[Catalog], "Not Found", 0)</f>
        <v>1</v>
      </c>
      <c r="U421" s="16">
        <f>_xlfn.XLOOKUP(CustomerCombinedCleaned[[#This Row],[ID]], Table4[ID], Table4[Store], "Not Found", 0)</f>
        <v>3</v>
      </c>
      <c r="V421" s="16">
        <f>_xlfn.XLOOKUP(CustomerCombinedCleaned[[#This Row],[ID]], Table4[ID], Table4[Visits], "Not Found", 0)</f>
        <v>5</v>
      </c>
      <c r="W421" s="16">
        <f>_xlfn.XLOOKUP(CustomerCombinedCleaned[[#This Row],[ID]], Table2[ID],Table2[Complaint], "Not Found", 0 )</f>
        <v>0</v>
      </c>
      <c r="X421" s="16">
        <f>_xlfn.XLOOKUP(CustomerCombinedCleaned[[#This Row],[ID]], Table2[ID],Table2[Pilot], "Not Found", 0 )</f>
        <v>0</v>
      </c>
      <c r="Y421" s="16">
        <f>_xlfn.XLOOKUP(CustomerCombinedCleaned[[#This Row],[ID]], Table2[ID],Table2[MC1], "Not Found", 0 )</f>
        <v>0</v>
      </c>
      <c r="Z421" s="16">
        <f>_xlfn.XLOOKUP(CustomerCombinedCleaned[[#This Row],[ID]], Table2[ID],Table2[MC2], "Not Found", 0 )</f>
        <v>0</v>
      </c>
      <c r="AA421" s="16">
        <f>_xlfn.XLOOKUP(CustomerCombinedCleaned[[#This Row],[ID]], Table2[ID],Table2[MC3], "Not Found", 0 )</f>
        <v>0</v>
      </c>
      <c r="AB421" s="16">
        <f>_xlfn.XLOOKUP(CustomerCombinedCleaned[[#This Row],[ID]], Table2[ID],Table2[MC4], "Not Found", 0 )</f>
        <v>0</v>
      </c>
      <c r="AC421" s="16">
        <f>_xlfn.XLOOKUP(CustomerCombinedCleaned[[#This Row],[ID]], Table2[ID],Table2[MC5], "Not Found", 0 )</f>
        <v>0</v>
      </c>
    </row>
    <row r="422" spans="1:29" x14ac:dyDescent="0.3">
      <c r="A422" s="18">
        <v>1383</v>
      </c>
      <c r="B422" s="16">
        <v>114515</v>
      </c>
      <c r="C422" s="16">
        <v>1</v>
      </c>
      <c r="D422" s="16">
        <v>0</v>
      </c>
      <c r="E422" s="16">
        <v>40</v>
      </c>
      <c r="F422" s="17" t="s">
        <v>8</v>
      </c>
      <c r="G422" s="17" t="s">
        <v>11</v>
      </c>
      <c r="H422" s="3" t="s">
        <v>366</v>
      </c>
      <c r="I422" s="5" t="s">
        <v>435</v>
      </c>
      <c r="J422" s="16">
        <f>_xlfn.XLOOKUP(CustomerCombinedCleaned[[#This Row],[ID]], Table4[ID], Table4[Recency], "Not Found", 0)</f>
        <v>71</v>
      </c>
      <c r="K422" s="16">
        <f>_xlfn.XLOOKUP(CustomerCombinedCleaned[[#This Row],[ID]], Table4[ID], Table4[Teas], "Not Found", 0)</f>
        <v>47</v>
      </c>
      <c r="L422" s="16">
        <f>_xlfn.XLOOKUP(CustomerCombinedCleaned[[#This Row],[ID]], Table4[ID], Table4[Fruits], "Not Found", 0)</f>
        <v>32</v>
      </c>
      <c r="M422" s="16">
        <f>_xlfn.XLOOKUP(CustomerCombinedCleaned[[#This Row],[ID]], Table4[ID], Table4[Meats], "Not Found", 0)</f>
        <v>71</v>
      </c>
      <c r="N422" s="16">
        <f>_xlfn.XLOOKUP(CustomerCombinedCleaned[[#This Row],[ID]], Table4[ID], Table4[Seafood], "Not Found", 0)</f>
        <v>47</v>
      </c>
      <c r="O422" s="16">
        <f>_xlfn.XLOOKUP(CustomerCombinedCleaned[[#This Row],[ID]], Table4[ID], Table4[Sweets], "Not Found", 0)</f>
        <v>284</v>
      </c>
      <c r="P422" s="16">
        <f>_xlfn.XLOOKUP(CustomerCombinedCleaned[[#This Row],[ID]], Table4[ID], Table4[Premium], "Not Found", 0)</f>
        <v>276</v>
      </c>
      <c r="Q422" s="16">
        <f>_xlfn.XLOOKUP(CustomerCombinedCleaned[[#This Row],[ID]], Table4[ID], Table4[Regular], "Not Found", 0)</f>
        <v>205</v>
      </c>
      <c r="R422" s="16">
        <f>_xlfn.XLOOKUP(CustomerCombinedCleaned[[#This Row],[ID]], Table4[ID], Table4[Deals], "Not Found", 0)</f>
        <v>4</v>
      </c>
      <c r="S422" s="16">
        <f>_xlfn.XLOOKUP(CustomerCombinedCleaned[[#This Row],[ID]], Table4[ID], Table4[Website], "Not Found", 0)</f>
        <v>2</v>
      </c>
      <c r="T422" s="16">
        <f>_xlfn.XLOOKUP(CustomerCombinedCleaned[[#This Row],[ID]], Table4[ID], Table4[Catalog], "Not Found", 0)</f>
        <v>2</v>
      </c>
      <c r="U422" s="16">
        <f>_xlfn.XLOOKUP(CustomerCombinedCleaned[[#This Row],[ID]], Table4[ID], Table4[Store], "Not Found", 0)</f>
        <v>3</v>
      </c>
      <c r="V422" s="16">
        <f>_xlfn.XLOOKUP(CustomerCombinedCleaned[[#This Row],[ID]], Table4[ID], Table4[Visits], "Not Found", 0)</f>
        <v>7</v>
      </c>
      <c r="W422" s="16">
        <f>_xlfn.XLOOKUP(CustomerCombinedCleaned[[#This Row],[ID]], Table2[ID],Table2[Complaint], "Not Found", 0 )</f>
        <v>0</v>
      </c>
      <c r="X422" s="16">
        <f>_xlfn.XLOOKUP(CustomerCombinedCleaned[[#This Row],[ID]], Table2[ID],Table2[Pilot], "Not Found", 0 )</f>
        <v>1</v>
      </c>
      <c r="Y422" s="16">
        <f>_xlfn.XLOOKUP(CustomerCombinedCleaned[[#This Row],[ID]], Table2[ID],Table2[MC1], "Not Found", 0 )</f>
        <v>0</v>
      </c>
      <c r="Z422" s="16">
        <f>_xlfn.XLOOKUP(CustomerCombinedCleaned[[#This Row],[ID]], Table2[ID],Table2[MC2], "Not Found", 0 )</f>
        <v>0</v>
      </c>
      <c r="AA422" s="16">
        <f>_xlfn.XLOOKUP(CustomerCombinedCleaned[[#This Row],[ID]], Table2[ID],Table2[MC3], "Not Found", 0 )</f>
        <v>0</v>
      </c>
      <c r="AB422" s="16">
        <f>_xlfn.XLOOKUP(CustomerCombinedCleaned[[#This Row],[ID]], Table2[ID],Table2[MC4], "Not Found", 0 )</f>
        <v>0</v>
      </c>
      <c r="AC422" s="16">
        <f>_xlfn.XLOOKUP(CustomerCombinedCleaned[[#This Row],[ID]], Table2[ID],Table2[MC5], "Not Found", 0 )</f>
        <v>0</v>
      </c>
    </row>
    <row r="423" spans="1:29" x14ac:dyDescent="0.3">
      <c r="A423" s="18">
        <v>1374</v>
      </c>
      <c r="B423" s="16">
        <v>190300</v>
      </c>
      <c r="C423" s="16">
        <v>0</v>
      </c>
      <c r="D423" s="16">
        <v>0</v>
      </c>
      <c r="E423" s="16">
        <v>41</v>
      </c>
      <c r="F423" s="17" t="s">
        <v>8</v>
      </c>
      <c r="G423" s="17" t="s">
        <v>11</v>
      </c>
      <c r="H423" s="3" t="s">
        <v>551</v>
      </c>
      <c r="I423" s="5" t="s">
        <v>436</v>
      </c>
      <c r="J423" s="16">
        <f>_xlfn.XLOOKUP(CustomerCombinedCleaned[[#This Row],[ID]], Table4[ID], Table4[Recency], "Not Found", 0)</f>
        <v>7</v>
      </c>
      <c r="K423" s="16">
        <f>_xlfn.XLOOKUP(CustomerCombinedCleaned[[#This Row],[ID]], Table4[ID], Table4[Teas], "Not Found", 0)</f>
        <v>1252</v>
      </c>
      <c r="L423" s="16">
        <f>_xlfn.XLOOKUP(CustomerCombinedCleaned[[#This Row],[ID]], Table4[ID], Table4[Fruits], "Not Found", 0)</f>
        <v>282</v>
      </c>
      <c r="M423" s="16">
        <f>_xlfn.XLOOKUP(CustomerCombinedCleaned[[#This Row],[ID]], Table4[ID], Table4[Meats], "Not Found", 0)</f>
        <v>1656</v>
      </c>
      <c r="N423" s="16">
        <f>_xlfn.XLOOKUP(CustomerCombinedCleaned[[#This Row],[ID]], Table4[ID], Table4[Seafood], "Not Found", 0)</f>
        <v>70</v>
      </c>
      <c r="O423" s="16">
        <f>_xlfn.XLOOKUP(CustomerCombinedCleaned[[#This Row],[ID]], Table4[ID], Table4[Sweets], "Not Found", 0)</f>
        <v>282</v>
      </c>
      <c r="P423" s="16">
        <f>_xlfn.XLOOKUP(CustomerCombinedCleaned[[#This Row],[ID]], Table4[ID], Table4[Premium], "Not Found", 0)</f>
        <v>120</v>
      </c>
      <c r="Q423" s="16">
        <f>_xlfn.XLOOKUP(CustomerCombinedCleaned[[#This Row],[ID]], Table4[ID], Table4[Regular], "Not Found", 0)</f>
        <v>3422</v>
      </c>
      <c r="R423" s="16">
        <f>_xlfn.XLOOKUP(CustomerCombinedCleaned[[#This Row],[ID]], Table4[ID], Table4[Deals], "Not Found", 0)</f>
        <v>0</v>
      </c>
      <c r="S423" s="16">
        <f>_xlfn.XLOOKUP(CustomerCombinedCleaned[[#This Row],[ID]], Table4[ID], Table4[Website], "Not Found", 0)</f>
        <v>5</v>
      </c>
      <c r="T423" s="16">
        <f>_xlfn.XLOOKUP(CustomerCombinedCleaned[[#This Row],[ID]], Table4[ID], Table4[Catalog], "Not Found", 0)</f>
        <v>6</v>
      </c>
      <c r="U423" s="16">
        <f>_xlfn.XLOOKUP(CustomerCombinedCleaned[[#This Row],[ID]], Table4[ID], Table4[Store], "Not Found", 0)</f>
        <v>8</v>
      </c>
      <c r="V423" s="16">
        <f>_xlfn.XLOOKUP(CustomerCombinedCleaned[[#This Row],[ID]], Table4[ID], Table4[Visits], "Not Found", 0)</f>
        <v>1</v>
      </c>
      <c r="W423" s="16">
        <f>_xlfn.XLOOKUP(CustomerCombinedCleaned[[#This Row],[ID]], Table2[ID],Table2[Complaint], "Not Found", 0 )</f>
        <v>0</v>
      </c>
      <c r="X423" s="16">
        <f>_xlfn.XLOOKUP(CustomerCombinedCleaned[[#This Row],[ID]], Table2[ID],Table2[Pilot], "Not Found", 0 )</f>
        <v>0</v>
      </c>
      <c r="Y423" s="16">
        <f>_xlfn.XLOOKUP(CustomerCombinedCleaned[[#This Row],[ID]], Table2[ID],Table2[MC1], "Not Found", 0 )</f>
        <v>0</v>
      </c>
      <c r="Z423" s="16">
        <f>_xlfn.XLOOKUP(CustomerCombinedCleaned[[#This Row],[ID]], Table2[ID],Table2[MC2], "Not Found", 0 )</f>
        <v>0</v>
      </c>
      <c r="AA423" s="16">
        <f>_xlfn.XLOOKUP(CustomerCombinedCleaned[[#This Row],[ID]], Table2[ID],Table2[MC3], "Not Found", 0 )</f>
        <v>0</v>
      </c>
      <c r="AB423" s="16">
        <f>_xlfn.XLOOKUP(CustomerCombinedCleaned[[#This Row],[ID]], Table2[ID],Table2[MC4], "Not Found", 0 )</f>
        <v>0</v>
      </c>
      <c r="AC423" s="16">
        <f>_xlfn.XLOOKUP(CustomerCombinedCleaned[[#This Row],[ID]], Table2[ID],Table2[MC5], "Not Found", 0 )</f>
        <v>1</v>
      </c>
    </row>
    <row r="424" spans="1:29" x14ac:dyDescent="0.3">
      <c r="A424" s="18">
        <v>1063</v>
      </c>
      <c r="B424" s="16">
        <v>188194</v>
      </c>
      <c r="C424" s="16">
        <v>0</v>
      </c>
      <c r="D424" s="16">
        <v>1</v>
      </c>
      <c r="E424" s="16">
        <v>41</v>
      </c>
      <c r="F424" s="17" t="s">
        <v>7</v>
      </c>
      <c r="G424" s="17" t="s">
        <v>11</v>
      </c>
      <c r="H424" s="3" t="s">
        <v>82</v>
      </c>
      <c r="I424" s="5" t="s">
        <v>437</v>
      </c>
      <c r="J424" s="16">
        <f>_xlfn.XLOOKUP(CustomerCombinedCleaned[[#This Row],[ID]], Table4[ID], Table4[Recency], "Not Found", 0)</f>
        <v>19</v>
      </c>
      <c r="K424" s="16">
        <f>_xlfn.XLOOKUP(CustomerCombinedCleaned[[#This Row],[ID]], Table4[ID], Table4[Teas], "Not Found", 0)</f>
        <v>1468</v>
      </c>
      <c r="L424" s="16">
        <f>_xlfn.XLOOKUP(CustomerCombinedCleaned[[#This Row],[ID]], Table4[ID], Table4[Fruits], "Not Found", 0)</f>
        <v>30</v>
      </c>
      <c r="M424" s="16">
        <f>_xlfn.XLOOKUP(CustomerCombinedCleaned[[#This Row],[ID]], Table4[ID], Table4[Meats], "Not Found", 0)</f>
        <v>659</v>
      </c>
      <c r="N424" s="16">
        <f>_xlfn.XLOOKUP(CustomerCombinedCleaned[[#This Row],[ID]], Table4[ID], Table4[Seafood], "Not Found", 0)</f>
        <v>429</v>
      </c>
      <c r="O424" s="16">
        <f>_xlfn.XLOOKUP(CustomerCombinedCleaned[[#This Row],[ID]], Table4[ID], Table4[Sweets], "Not Found", 0)</f>
        <v>51</v>
      </c>
      <c r="P424" s="16">
        <f>_xlfn.XLOOKUP(CustomerCombinedCleaned[[#This Row],[ID]], Table4[ID], Table4[Premium], "Not Found", 0)</f>
        <v>81</v>
      </c>
      <c r="Q424" s="16">
        <f>_xlfn.XLOOKUP(CustomerCombinedCleaned[[#This Row],[ID]], Table4[ID], Table4[Regular], "Not Found", 0)</f>
        <v>2556</v>
      </c>
      <c r="R424" s="16">
        <f>_xlfn.XLOOKUP(CustomerCombinedCleaned[[#This Row],[ID]], Table4[ID], Table4[Deals], "Not Found", 0)</f>
        <v>1</v>
      </c>
      <c r="S424" s="16">
        <f>_xlfn.XLOOKUP(CustomerCombinedCleaned[[#This Row],[ID]], Table4[ID], Table4[Website], "Not Found", 0)</f>
        <v>11</v>
      </c>
      <c r="T424" s="16">
        <f>_xlfn.XLOOKUP(CustomerCombinedCleaned[[#This Row],[ID]], Table4[ID], Table4[Catalog], "Not Found", 0)</f>
        <v>10</v>
      </c>
      <c r="U424" s="16">
        <f>_xlfn.XLOOKUP(CustomerCombinedCleaned[[#This Row],[ID]], Table4[ID], Table4[Store], "Not Found", 0)</f>
        <v>10</v>
      </c>
      <c r="V424" s="16">
        <f>_xlfn.XLOOKUP(CustomerCombinedCleaned[[#This Row],[ID]], Table4[ID], Table4[Visits], "Not Found", 0)</f>
        <v>5</v>
      </c>
      <c r="W424" s="16">
        <f>_xlfn.XLOOKUP(CustomerCombinedCleaned[[#This Row],[ID]], Table2[ID],Table2[Complaint], "Not Found", 0 )</f>
        <v>0</v>
      </c>
      <c r="X424" s="16">
        <f>_xlfn.XLOOKUP(CustomerCombinedCleaned[[#This Row],[ID]], Table2[ID],Table2[Pilot], "Not Found", 0 )</f>
        <v>1</v>
      </c>
      <c r="Y424" s="16">
        <f>_xlfn.XLOOKUP(CustomerCombinedCleaned[[#This Row],[ID]], Table2[ID],Table2[MC1], "Not Found", 0 )</f>
        <v>1</v>
      </c>
      <c r="Z424" s="16">
        <f>_xlfn.XLOOKUP(CustomerCombinedCleaned[[#This Row],[ID]], Table2[ID],Table2[MC2], "Not Found", 0 )</f>
        <v>0</v>
      </c>
      <c r="AA424" s="16">
        <f>_xlfn.XLOOKUP(CustomerCombinedCleaned[[#This Row],[ID]], Table2[ID],Table2[MC3], "Not Found", 0 )</f>
        <v>1</v>
      </c>
      <c r="AB424" s="16">
        <f>_xlfn.XLOOKUP(CustomerCombinedCleaned[[#This Row],[ID]], Table2[ID],Table2[MC4], "Not Found", 0 )</f>
        <v>0</v>
      </c>
      <c r="AC424" s="16">
        <f>_xlfn.XLOOKUP(CustomerCombinedCleaned[[#This Row],[ID]], Table2[ID],Table2[MC5], "Not Found", 0 )</f>
        <v>0</v>
      </c>
    </row>
    <row r="425" spans="1:29" x14ac:dyDescent="0.3">
      <c r="A425" s="18">
        <v>1094</v>
      </c>
      <c r="B425" s="16">
        <v>185693</v>
      </c>
      <c r="C425" s="16">
        <v>0</v>
      </c>
      <c r="D425" s="16">
        <v>1</v>
      </c>
      <c r="E425" s="16">
        <v>41</v>
      </c>
      <c r="F425" s="17" t="s">
        <v>8</v>
      </c>
      <c r="G425" s="17" t="s">
        <v>11</v>
      </c>
      <c r="H425" s="3" t="s">
        <v>269</v>
      </c>
      <c r="I425" s="5" t="s">
        <v>438</v>
      </c>
      <c r="J425" s="16">
        <f>_xlfn.XLOOKUP(CustomerCombinedCleaned[[#This Row],[ID]], Table4[ID], Table4[Recency], "Not Found", 0)</f>
        <v>59</v>
      </c>
      <c r="K425" s="16">
        <f>_xlfn.XLOOKUP(CustomerCombinedCleaned[[#This Row],[ID]], Table4[ID], Table4[Teas], "Not Found", 0)</f>
        <v>836</v>
      </c>
      <c r="L425" s="16">
        <f>_xlfn.XLOOKUP(CustomerCombinedCleaned[[#This Row],[ID]], Table4[ID], Table4[Fruits], "Not Found", 0)</f>
        <v>373</v>
      </c>
      <c r="M425" s="16">
        <f>_xlfn.XLOOKUP(CustomerCombinedCleaned[[#This Row],[ID]], Table4[ID], Table4[Meats], "Not Found", 0)</f>
        <v>397</v>
      </c>
      <c r="N425" s="16">
        <f>_xlfn.XLOOKUP(CustomerCombinedCleaned[[#This Row],[ID]], Table4[ID], Table4[Seafood], "Not Found", 0)</f>
        <v>401</v>
      </c>
      <c r="O425" s="16">
        <f>_xlfn.XLOOKUP(CustomerCombinedCleaned[[#This Row],[ID]], Table4[ID], Table4[Sweets], "Not Found", 0)</f>
        <v>286</v>
      </c>
      <c r="P425" s="16">
        <f>_xlfn.XLOOKUP(CustomerCombinedCleaned[[#This Row],[ID]], Table4[ID], Table4[Premium], "Not Found", 0)</f>
        <v>241</v>
      </c>
      <c r="Q425" s="16">
        <f>_xlfn.XLOOKUP(CustomerCombinedCleaned[[#This Row],[ID]], Table4[ID], Table4[Regular], "Not Found", 0)</f>
        <v>2052</v>
      </c>
      <c r="R425" s="16">
        <f>_xlfn.XLOOKUP(CustomerCombinedCleaned[[#This Row],[ID]], Table4[ID], Table4[Deals], "Not Found", 0)</f>
        <v>2</v>
      </c>
      <c r="S425" s="16">
        <f>_xlfn.XLOOKUP(CustomerCombinedCleaned[[#This Row],[ID]], Table4[ID], Table4[Website], "Not Found", 0)</f>
        <v>9</v>
      </c>
      <c r="T425" s="16">
        <f>_xlfn.XLOOKUP(CustomerCombinedCleaned[[#This Row],[ID]], Table4[ID], Table4[Catalog], "Not Found", 0)</f>
        <v>5</v>
      </c>
      <c r="U425" s="16">
        <f>_xlfn.XLOOKUP(CustomerCombinedCleaned[[#This Row],[ID]], Table4[ID], Table4[Store], "Not Found", 0)</f>
        <v>11</v>
      </c>
      <c r="V425" s="16">
        <f>_xlfn.XLOOKUP(CustomerCombinedCleaned[[#This Row],[ID]], Table4[ID], Table4[Visits], "Not Found", 0)</f>
        <v>5</v>
      </c>
      <c r="W425" s="16">
        <f>_xlfn.XLOOKUP(CustomerCombinedCleaned[[#This Row],[ID]], Table2[ID],Table2[Complaint], "Not Found", 0 )</f>
        <v>0</v>
      </c>
      <c r="X425" s="16">
        <f>_xlfn.XLOOKUP(CustomerCombinedCleaned[[#This Row],[ID]], Table2[ID],Table2[Pilot], "Not Found", 0 )</f>
        <v>0</v>
      </c>
      <c r="Y425" s="16">
        <f>_xlfn.XLOOKUP(CustomerCombinedCleaned[[#This Row],[ID]], Table2[ID],Table2[MC1], "Not Found", 0 )</f>
        <v>0</v>
      </c>
      <c r="Z425" s="16">
        <f>_xlfn.XLOOKUP(CustomerCombinedCleaned[[#This Row],[ID]], Table2[ID],Table2[MC2], "Not Found", 0 )</f>
        <v>0</v>
      </c>
      <c r="AA425" s="16">
        <f>_xlfn.XLOOKUP(CustomerCombinedCleaned[[#This Row],[ID]], Table2[ID],Table2[MC3], "Not Found", 0 )</f>
        <v>0</v>
      </c>
      <c r="AB425" s="16">
        <f>_xlfn.XLOOKUP(CustomerCombinedCleaned[[#This Row],[ID]], Table2[ID],Table2[MC4], "Not Found", 0 )</f>
        <v>0</v>
      </c>
      <c r="AC425" s="16">
        <f>_xlfn.XLOOKUP(CustomerCombinedCleaned[[#This Row],[ID]], Table2[ID],Table2[MC5], "Not Found", 0 )</f>
        <v>0</v>
      </c>
    </row>
    <row r="426" spans="1:29" x14ac:dyDescent="0.3">
      <c r="A426" s="18">
        <v>1991</v>
      </c>
      <c r="B426" s="16">
        <v>177568</v>
      </c>
      <c r="C426" s="16">
        <v>0</v>
      </c>
      <c r="D426" s="16">
        <v>1</v>
      </c>
      <c r="E426" s="16">
        <v>41</v>
      </c>
      <c r="F426" s="17" t="s">
        <v>8</v>
      </c>
      <c r="G426" s="17" t="s">
        <v>11</v>
      </c>
      <c r="H426" s="3" t="s">
        <v>403</v>
      </c>
      <c r="I426" s="5" t="s">
        <v>434</v>
      </c>
      <c r="J426" s="16">
        <f>_xlfn.XLOOKUP(CustomerCombinedCleaned[[#This Row],[ID]], Table4[ID], Table4[Recency], "Not Found", 0)</f>
        <v>30</v>
      </c>
      <c r="K426" s="16">
        <f>_xlfn.XLOOKUP(CustomerCombinedCleaned[[#This Row],[ID]], Table4[ID], Table4[Teas], "Not Found", 0)</f>
        <v>2816</v>
      </c>
      <c r="L426" s="16">
        <f>_xlfn.XLOOKUP(CustomerCombinedCleaned[[#This Row],[ID]], Table4[ID], Table4[Fruits], "Not Found", 0)</f>
        <v>0</v>
      </c>
      <c r="M426" s="16">
        <f>_xlfn.XLOOKUP(CustomerCombinedCleaned[[#This Row],[ID]], Table4[ID], Table4[Meats], "Not Found", 0)</f>
        <v>907</v>
      </c>
      <c r="N426" s="16">
        <f>_xlfn.XLOOKUP(CustomerCombinedCleaned[[#This Row],[ID]], Table4[ID], Table4[Seafood], "Not Found", 0)</f>
        <v>531</v>
      </c>
      <c r="O426" s="16">
        <f>_xlfn.XLOOKUP(CustomerCombinedCleaned[[#This Row],[ID]], Table4[ID], Table4[Sweets], "Not Found", 0)</f>
        <v>407</v>
      </c>
      <c r="P426" s="16">
        <f>_xlfn.XLOOKUP(CustomerCombinedCleaned[[#This Row],[ID]], Table4[ID], Table4[Premium], "Not Found", 0)</f>
        <v>362</v>
      </c>
      <c r="Q426" s="16">
        <f>_xlfn.XLOOKUP(CustomerCombinedCleaned[[#This Row],[ID]], Table4[ID], Table4[Regular], "Not Found", 0)</f>
        <v>4299</v>
      </c>
      <c r="R426" s="16">
        <f>_xlfn.XLOOKUP(CustomerCombinedCleaned[[#This Row],[ID]], Table4[ID], Table4[Deals], "Not Found", 0)</f>
        <v>1</v>
      </c>
      <c r="S426" s="16">
        <f>_xlfn.XLOOKUP(CustomerCombinedCleaned[[#This Row],[ID]], Table4[ID], Table4[Website], "Not Found", 0)</f>
        <v>10</v>
      </c>
      <c r="T426" s="16">
        <f>_xlfn.XLOOKUP(CustomerCombinedCleaned[[#This Row],[ID]], Table4[ID], Table4[Catalog], "Not Found", 0)</f>
        <v>2</v>
      </c>
      <c r="U426" s="16">
        <f>_xlfn.XLOOKUP(CustomerCombinedCleaned[[#This Row],[ID]], Table4[ID], Table4[Store], "Not Found", 0)</f>
        <v>8</v>
      </c>
      <c r="V426" s="16">
        <f>_xlfn.XLOOKUP(CustomerCombinedCleaned[[#This Row],[ID]], Table4[ID], Table4[Visits], "Not Found", 0)</f>
        <v>5</v>
      </c>
      <c r="W426" s="16">
        <f>_xlfn.XLOOKUP(CustomerCombinedCleaned[[#This Row],[ID]], Table2[ID],Table2[Complaint], "Not Found", 0 )</f>
        <v>0</v>
      </c>
      <c r="X426" s="16">
        <f>_xlfn.XLOOKUP(CustomerCombinedCleaned[[#This Row],[ID]], Table2[ID],Table2[Pilot], "Not Found", 0 )</f>
        <v>0</v>
      </c>
      <c r="Y426" s="16">
        <f>_xlfn.XLOOKUP(CustomerCombinedCleaned[[#This Row],[ID]], Table2[ID],Table2[MC1], "Not Found", 0 )</f>
        <v>1</v>
      </c>
      <c r="Z426" s="16">
        <f>_xlfn.XLOOKUP(CustomerCombinedCleaned[[#This Row],[ID]], Table2[ID],Table2[MC2], "Not Found", 0 )</f>
        <v>0</v>
      </c>
      <c r="AA426" s="16">
        <f>_xlfn.XLOOKUP(CustomerCombinedCleaned[[#This Row],[ID]], Table2[ID],Table2[MC3], "Not Found", 0 )</f>
        <v>0</v>
      </c>
      <c r="AB426" s="16">
        <f>_xlfn.XLOOKUP(CustomerCombinedCleaned[[#This Row],[ID]], Table2[ID],Table2[MC4], "Not Found", 0 )</f>
        <v>1</v>
      </c>
      <c r="AC426" s="16">
        <f>_xlfn.XLOOKUP(CustomerCombinedCleaned[[#This Row],[ID]], Table2[ID],Table2[MC5], "Not Found", 0 )</f>
        <v>1</v>
      </c>
    </row>
    <row r="427" spans="1:29" x14ac:dyDescent="0.3">
      <c r="A427" s="18">
        <v>1102</v>
      </c>
      <c r="B427" s="16">
        <v>177298</v>
      </c>
      <c r="C427" s="16">
        <v>0</v>
      </c>
      <c r="D427" s="16">
        <v>1</v>
      </c>
      <c r="E427" s="16">
        <v>41</v>
      </c>
      <c r="F427" s="17" t="s">
        <v>8</v>
      </c>
      <c r="G427" s="17" t="s">
        <v>11</v>
      </c>
      <c r="H427" s="3" t="s">
        <v>624</v>
      </c>
      <c r="I427" s="5" t="s">
        <v>439</v>
      </c>
      <c r="J427" s="16">
        <f>_xlfn.XLOOKUP(CustomerCombinedCleaned[[#This Row],[ID]], Table4[ID], Table4[Recency], "Not Found", 0)</f>
        <v>46</v>
      </c>
      <c r="K427" s="16">
        <f>_xlfn.XLOOKUP(CustomerCombinedCleaned[[#This Row],[ID]], Table4[ID], Table4[Teas], "Not Found", 0)</f>
        <v>975</v>
      </c>
      <c r="L427" s="16">
        <f>_xlfn.XLOOKUP(CustomerCombinedCleaned[[#This Row],[ID]], Table4[ID], Table4[Fruits], "Not Found", 0)</f>
        <v>264</v>
      </c>
      <c r="M427" s="16">
        <f>_xlfn.XLOOKUP(CustomerCombinedCleaned[[#This Row],[ID]], Table4[ID], Table4[Meats], "Not Found", 0)</f>
        <v>670</v>
      </c>
      <c r="N427" s="16">
        <f>_xlfn.XLOOKUP(CustomerCombinedCleaned[[#This Row],[ID]], Table4[ID], Table4[Seafood], "Not Found", 0)</f>
        <v>53</v>
      </c>
      <c r="O427" s="16">
        <f>_xlfn.XLOOKUP(CustomerCombinedCleaned[[#This Row],[ID]], Table4[ID], Table4[Sweets], "Not Found", 0)</f>
        <v>80</v>
      </c>
      <c r="P427" s="16">
        <f>_xlfn.XLOOKUP(CustomerCombinedCleaned[[#This Row],[ID]], Table4[ID], Table4[Premium], "Not Found", 0)</f>
        <v>181</v>
      </c>
      <c r="Q427" s="16">
        <f>_xlfn.XLOOKUP(CustomerCombinedCleaned[[#This Row],[ID]], Table4[ID], Table4[Regular], "Not Found", 0)</f>
        <v>1860</v>
      </c>
      <c r="R427" s="16">
        <f>_xlfn.XLOOKUP(CustomerCombinedCleaned[[#This Row],[ID]], Table4[ID], Table4[Deals], "Not Found", 0)</f>
        <v>1</v>
      </c>
      <c r="S427" s="16">
        <f>_xlfn.XLOOKUP(CustomerCombinedCleaned[[#This Row],[ID]], Table4[ID], Table4[Website], "Not Found", 0)</f>
        <v>6</v>
      </c>
      <c r="T427" s="16">
        <f>_xlfn.XLOOKUP(CustomerCombinedCleaned[[#This Row],[ID]], Table4[ID], Table4[Catalog], "Not Found", 0)</f>
        <v>6</v>
      </c>
      <c r="U427" s="16">
        <f>_xlfn.XLOOKUP(CustomerCombinedCleaned[[#This Row],[ID]], Table4[ID], Table4[Store], "Not Found", 0)</f>
        <v>11</v>
      </c>
      <c r="V427" s="16">
        <f>_xlfn.XLOOKUP(CustomerCombinedCleaned[[#This Row],[ID]], Table4[ID], Table4[Visits], "Not Found", 0)</f>
        <v>3</v>
      </c>
      <c r="W427" s="16">
        <f>_xlfn.XLOOKUP(CustomerCombinedCleaned[[#This Row],[ID]], Table2[ID],Table2[Complaint], "Not Found", 0 )</f>
        <v>0</v>
      </c>
      <c r="X427" s="16">
        <f>_xlfn.XLOOKUP(CustomerCombinedCleaned[[#This Row],[ID]], Table2[ID],Table2[Pilot], "Not Found", 0 )</f>
        <v>0</v>
      </c>
      <c r="Y427" s="16">
        <f>_xlfn.XLOOKUP(CustomerCombinedCleaned[[#This Row],[ID]], Table2[ID],Table2[MC1], "Not Found", 0 )</f>
        <v>0</v>
      </c>
      <c r="Z427" s="16">
        <f>_xlfn.XLOOKUP(CustomerCombinedCleaned[[#This Row],[ID]], Table2[ID],Table2[MC2], "Not Found", 0 )</f>
        <v>0</v>
      </c>
      <c r="AA427" s="16">
        <f>_xlfn.XLOOKUP(CustomerCombinedCleaned[[#This Row],[ID]], Table2[ID],Table2[MC3], "Not Found", 0 )</f>
        <v>0</v>
      </c>
      <c r="AB427" s="16">
        <f>_xlfn.XLOOKUP(CustomerCombinedCleaned[[#This Row],[ID]], Table2[ID],Table2[MC4], "Not Found", 0 )</f>
        <v>0</v>
      </c>
      <c r="AC427" s="16">
        <f>_xlfn.XLOOKUP(CustomerCombinedCleaned[[#This Row],[ID]], Table2[ID],Table2[MC5], "Not Found", 0 )</f>
        <v>0</v>
      </c>
    </row>
    <row r="428" spans="1:29" x14ac:dyDescent="0.3">
      <c r="A428" s="18">
        <v>2764</v>
      </c>
      <c r="B428" s="16">
        <v>177298</v>
      </c>
      <c r="C428" s="16">
        <v>0</v>
      </c>
      <c r="D428" s="16">
        <v>1</v>
      </c>
      <c r="E428" s="16">
        <v>41</v>
      </c>
      <c r="F428" s="17" t="s">
        <v>8</v>
      </c>
      <c r="G428" s="17" t="s">
        <v>11</v>
      </c>
      <c r="H428" s="3" t="s">
        <v>624</v>
      </c>
      <c r="I428" s="5" t="s">
        <v>439</v>
      </c>
      <c r="J428" s="16">
        <f>_xlfn.XLOOKUP(CustomerCombinedCleaned[[#This Row],[ID]], Table4[ID], Table4[Recency], "Not Found", 0)</f>
        <v>46</v>
      </c>
      <c r="K428" s="16">
        <f>_xlfn.XLOOKUP(CustomerCombinedCleaned[[#This Row],[ID]], Table4[ID], Table4[Teas], "Not Found", 0)</f>
        <v>975</v>
      </c>
      <c r="L428" s="16">
        <f>_xlfn.XLOOKUP(CustomerCombinedCleaned[[#This Row],[ID]], Table4[ID], Table4[Fruits], "Not Found", 0)</f>
        <v>264</v>
      </c>
      <c r="M428" s="16">
        <f>_xlfn.XLOOKUP(CustomerCombinedCleaned[[#This Row],[ID]], Table4[ID], Table4[Meats], "Not Found", 0)</f>
        <v>670</v>
      </c>
      <c r="N428" s="16">
        <f>_xlfn.XLOOKUP(CustomerCombinedCleaned[[#This Row],[ID]], Table4[ID], Table4[Seafood], "Not Found", 0)</f>
        <v>53</v>
      </c>
      <c r="O428" s="16">
        <f>_xlfn.XLOOKUP(CustomerCombinedCleaned[[#This Row],[ID]], Table4[ID], Table4[Sweets], "Not Found", 0)</f>
        <v>80</v>
      </c>
      <c r="P428" s="16">
        <f>_xlfn.XLOOKUP(CustomerCombinedCleaned[[#This Row],[ID]], Table4[ID], Table4[Premium], "Not Found", 0)</f>
        <v>181</v>
      </c>
      <c r="Q428" s="16">
        <f>_xlfn.XLOOKUP(CustomerCombinedCleaned[[#This Row],[ID]], Table4[ID], Table4[Regular], "Not Found", 0)</f>
        <v>1860</v>
      </c>
      <c r="R428" s="16">
        <f>_xlfn.XLOOKUP(CustomerCombinedCleaned[[#This Row],[ID]], Table4[ID], Table4[Deals], "Not Found", 0)</f>
        <v>1</v>
      </c>
      <c r="S428" s="16">
        <f>_xlfn.XLOOKUP(CustomerCombinedCleaned[[#This Row],[ID]], Table4[ID], Table4[Website], "Not Found", 0)</f>
        <v>6</v>
      </c>
      <c r="T428" s="16">
        <f>_xlfn.XLOOKUP(CustomerCombinedCleaned[[#This Row],[ID]], Table4[ID], Table4[Catalog], "Not Found", 0)</f>
        <v>6</v>
      </c>
      <c r="U428" s="16">
        <f>_xlfn.XLOOKUP(CustomerCombinedCleaned[[#This Row],[ID]], Table4[ID], Table4[Store], "Not Found", 0)</f>
        <v>11</v>
      </c>
      <c r="V428" s="16">
        <f>_xlfn.XLOOKUP(CustomerCombinedCleaned[[#This Row],[ID]], Table4[ID], Table4[Visits], "Not Found", 0)</f>
        <v>3</v>
      </c>
      <c r="W428" s="16">
        <f>_xlfn.XLOOKUP(CustomerCombinedCleaned[[#This Row],[ID]], Table2[ID],Table2[Complaint], "Not Found", 0 )</f>
        <v>0</v>
      </c>
      <c r="X428" s="16">
        <f>_xlfn.XLOOKUP(CustomerCombinedCleaned[[#This Row],[ID]], Table2[ID],Table2[Pilot], "Not Found", 0 )</f>
        <v>0</v>
      </c>
      <c r="Y428" s="16">
        <f>_xlfn.XLOOKUP(CustomerCombinedCleaned[[#This Row],[ID]], Table2[ID],Table2[MC1], "Not Found", 0 )</f>
        <v>0</v>
      </c>
      <c r="Z428" s="16">
        <f>_xlfn.XLOOKUP(CustomerCombinedCleaned[[#This Row],[ID]], Table2[ID],Table2[MC2], "Not Found", 0 )</f>
        <v>0</v>
      </c>
      <c r="AA428" s="16">
        <f>_xlfn.XLOOKUP(CustomerCombinedCleaned[[#This Row],[ID]], Table2[ID],Table2[MC3], "Not Found", 0 )</f>
        <v>0</v>
      </c>
      <c r="AB428" s="16">
        <f>_xlfn.XLOOKUP(CustomerCombinedCleaned[[#This Row],[ID]], Table2[ID],Table2[MC4], "Not Found", 0 )</f>
        <v>0</v>
      </c>
      <c r="AC428" s="16">
        <f>_xlfn.XLOOKUP(CustomerCombinedCleaned[[#This Row],[ID]], Table2[ID],Table2[MC5], "Not Found", 0 )</f>
        <v>0</v>
      </c>
    </row>
    <row r="429" spans="1:29" x14ac:dyDescent="0.3">
      <c r="A429" s="18">
        <v>1735</v>
      </c>
      <c r="B429" s="16">
        <v>175507</v>
      </c>
      <c r="C429" s="16">
        <v>0</v>
      </c>
      <c r="D429" s="16">
        <v>0</v>
      </c>
      <c r="E429" s="16">
        <v>41</v>
      </c>
      <c r="F429" s="17" t="s">
        <v>8</v>
      </c>
      <c r="G429" s="17" t="s">
        <v>11</v>
      </c>
      <c r="H429" s="3" t="s">
        <v>555</v>
      </c>
      <c r="I429" s="5" t="s">
        <v>437</v>
      </c>
      <c r="J429" s="16">
        <f>_xlfn.XLOOKUP(CustomerCombinedCleaned[[#This Row],[ID]], Table4[ID], Table4[Recency], "Not Found", 0)</f>
        <v>56</v>
      </c>
      <c r="K429" s="16">
        <f>_xlfn.XLOOKUP(CustomerCombinedCleaned[[#This Row],[ID]], Table4[ID], Table4[Teas], "Not Found", 0)</f>
        <v>1648</v>
      </c>
      <c r="L429" s="16">
        <f>_xlfn.XLOOKUP(CustomerCombinedCleaned[[#This Row],[ID]], Table4[ID], Table4[Fruits], "Not Found", 0)</f>
        <v>216</v>
      </c>
      <c r="M429" s="16">
        <f>_xlfn.XLOOKUP(CustomerCombinedCleaned[[#This Row],[ID]], Table4[ID], Table4[Meats], "Not Found", 0)</f>
        <v>869</v>
      </c>
      <c r="N429" s="16">
        <f>_xlfn.XLOOKUP(CustomerCombinedCleaned[[#This Row],[ID]], Table4[ID], Table4[Seafood], "Not Found", 0)</f>
        <v>242</v>
      </c>
      <c r="O429" s="16">
        <f>_xlfn.XLOOKUP(CustomerCombinedCleaned[[#This Row],[ID]], Table4[ID], Table4[Sweets], "Not Found", 0)</f>
        <v>186</v>
      </c>
      <c r="P429" s="16">
        <f>_xlfn.XLOOKUP(CustomerCombinedCleaned[[#This Row],[ID]], Table4[ID], Table4[Premium], "Not Found", 0)</f>
        <v>186</v>
      </c>
      <c r="Q429" s="16">
        <f>_xlfn.XLOOKUP(CustomerCombinedCleaned[[#This Row],[ID]], Table4[ID], Table4[Regular], "Not Found", 0)</f>
        <v>2975</v>
      </c>
      <c r="R429" s="16">
        <f>_xlfn.XLOOKUP(CustomerCombinedCleaned[[#This Row],[ID]], Table4[ID], Table4[Deals], "Not Found", 0)</f>
        <v>1</v>
      </c>
      <c r="S429" s="16">
        <f>_xlfn.XLOOKUP(CustomerCombinedCleaned[[#This Row],[ID]], Table4[ID], Table4[Website], "Not Found", 0)</f>
        <v>8</v>
      </c>
      <c r="T429" s="16">
        <f>_xlfn.XLOOKUP(CustomerCombinedCleaned[[#This Row],[ID]], Table4[ID], Table4[Catalog], "Not Found", 0)</f>
        <v>6</v>
      </c>
      <c r="U429" s="16">
        <f>_xlfn.XLOOKUP(CustomerCombinedCleaned[[#This Row],[ID]], Table4[ID], Table4[Store], "Not Found", 0)</f>
        <v>6</v>
      </c>
      <c r="V429" s="16">
        <f>_xlfn.XLOOKUP(CustomerCombinedCleaned[[#This Row],[ID]], Table4[ID], Table4[Visits], "Not Found", 0)</f>
        <v>3</v>
      </c>
      <c r="W429" s="16">
        <f>_xlfn.XLOOKUP(CustomerCombinedCleaned[[#This Row],[ID]], Table2[ID],Table2[Complaint], "Not Found", 0 )</f>
        <v>0</v>
      </c>
      <c r="X429" s="16">
        <f>_xlfn.XLOOKUP(CustomerCombinedCleaned[[#This Row],[ID]], Table2[ID],Table2[Pilot], "Not Found", 0 )</f>
        <v>0</v>
      </c>
      <c r="Y429" s="16">
        <f>_xlfn.XLOOKUP(CustomerCombinedCleaned[[#This Row],[ID]], Table2[ID],Table2[MC1], "Not Found", 0 )</f>
        <v>0</v>
      </c>
      <c r="Z429" s="16">
        <f>_xlfn.XLOOKUP(CustomerCombinedCleaned[[#This Row],[ID]], Table2[ID],Table2[MC2], "Not Found", 0 )</f>
        <v>0</v>
      </c>
      <c r="AA429" s="16">
        <f>_xlfn.XLOOKUP(CustomerCombinedCleaned[[#This Row],[ID]], Table2[ID],Table2[MC3], "Not Found", 0 )</f>
        <v>0</v>
      </c>
      <c r="AB429" s="16">
        <f>_xlfn.XLOOKUP(CustomerCombinedCleaned[[#This Row],[ID]], Table2[ID],Table2[MC4], "Not Found", 0 )</f>
        <v>0</v>
      </c>
      <c r="AC429" s="16">
        <f>_xlfn.XLOOKUP(CustomerCombinedCleaned[[#This Row],[ID]], Table2[ID],Table2[MC5], "Not Found", 0 )</f>
        <v>0</v>
      </c>
    </row>
    <row r="430" spans="1:29" x14ac:dyDescent="0.3">
      <c r="A430" s="18">
        <v>2365</v>
      </c>
      <c r="B430" s="16">
        <v>175507</v>
      </c>
      <c r="C430" s="16">
        <v>0</v>
      </c>
      <c r="D430" s="16">
        <v>0</v>
      </c>
      <c r="E430" s="16">
        <v>41</v>
      </c>
      <c r="F430" s="17" t="s">
        <v>8</v>
      </c>
      <c r="G430" s="17" t="s">
        <v>11</v>
      </c>
      <c r="H430" s="3" t="s">
        <v>555</v>
      </c>
      <c r="I430" s="5" t="s">
        <v>437</v>
      </c>
      <c r="J430" s="16">
        <f>_xlfn.XLOOKUP(CustomerCombinedCleaned[[#This Row],[ID]], Table4[ID], Table4[Recency], "Not Found", 0)</f>
        <v>56</v>
      </c>
      <c r="K430" s="16">
        <f>_xlfn.XLOOKUP(CustomerCombinedCleaned[[#This Row],[ID]], Table4[ID], Table4[Teas], "Not Found", 0)</f>
        <v>1648</v>
      </c>
      <c r="L430" s="16">
        <f>_xlfn.XLOOKUP(CustomerCombinedCleaned[[#This Row],[ID]], Table4[ID], Table4[Fruits], "Not Found", 0)</f>
        <v>216</v>
      </c>
      <c r="M430" s="16">
        <f>_xlfn.XLOOKUP(CustomerCombinedCleaned[[#This Row],[ID]], Table4[ID], Table4[Meats], "Not Found", 0)</f>
        <v>869</v>
      </c>
      <c r="N430" s="16">
        <f>_xlfn.XLOOKUP(CustomerCombinedCleaned[[#This Row],[ID]], Table4[ID], Table4[Seafood], "Not Found", 0)</f>
        <v>242</v>
      </c>
      <c r="O430" s="16">
        <f>_xlfn.XLOOKUP(CustomerCombinedCleaned[[#This Row],[ID]], Table4[ID], Table4[Sweets], "Not Found", 0)</f>
        <v>186</v>
      </c>
      <c r="P430" s="16">
        <f>_xlfn.XLOOKUP(CustomerCombinedCleaned[[#This Row],[ID]], Table4[ID], Table4[Premium], "Not Found", 0)</f>
        <v>186</v>
      </c>
      <c r="Q430" s="16">
        <f>_xlfn.XLOOKUP(CustomerCombinedCleaned[[#This Row],[ID]], Table4[ID], Table4[Regular], "Not Found", 0)</f>
        <v>2975</v>
      </c>
      <c r="R430" s="16">
        <f>_xlfn.XLOOKUP(CustomerCombinedCleaned[[#This Row],[ID]], Table4[ID], Table4[Deals], "Not Found", 0)</f>
        <v>1</v>
      </c>
      <c r="S430" s="16">
        <f>_xlfn.XLOOKUP(CustomerCombinedCleaned[[#This Row],[ID]], Table4[ID], Table4[Website], "Not Found", 0)</f>
        <v>8</v>
      </c>
      <c r="T430" s="16">
        <f>_xlfn.XLOOKUP(CustomerCombinedCleaned[[#This Row],[ID]], Table4[ID], Table4[Catalog], "Not Found", 0)</f>
        <v>6</v>
      </c>
      <c r="U430" s="16">
        <f>_xlfn.XLOOKUP(CustomerCombinedCleaned[[#This Row],[ID]], Table4[ID], Table4[Store], "Not Found", 0)</f>
        <v>6</v>
      </c>
      <c r="V430" s="16">
        <f>_xlfn.XLOOKUP(CustomerCombinedCleaned[[#This Row],[ID]], Table4[ID], Table4[Visits], "Not Found", 0)</f>
        <v>3</v>
      </c>
      <c r="W430" s="16">
        <f>_xlfn.XLOOKUP(CustomerCombinedCleaned[[#This Row],[ID]], Table2[ID],Table2[Complaint], "Not Found", 0 )</f>
        <v>0</v>
      </c>
      <c r="X430" s="16">
        <f>_xlfn.XLOOKUP(CustomerCombinedCleaned[[#This Row],[ID]], Table2[ID],Table2[Pilot], "Not Found", 0 )</f>
        <v>0</v>
      </c>
      <c r="Y430" s="16">
        <f>_xlfn.XLOOKUP(CustomerCombinedCleaned[[#This Row],[ID]], Table2[ID],Table2[MC1], "Not Found", 0 )</f>
        <v>0</v>
      </c>
      <c r="Z430" s="16">
        <f>_xlfn.XLOOKUP(CustomerCombinedCleaned[[#This Row],[ID]], Table2[ID],Table2[MC2], "Not Found", 0 )</f>
        <v>0</v>
      </c>
      <c r="AA430" s="16">
        <f>_xlfn.XLOOKUP(CustomerCombinedCleaned[[#This Row],[ID]], Table2[ID],Table2[MC3], "Not Found", 0 )</f>
        <v>0</v>
      </c>
      <c r="AB430" s="16">
        <f>_xlfn.XLOOKUP(CustomerCombinedCleaned[[#This Row],[ID]], Table2[ID],Table2[MC4], "Not Found", 0 )</f>
        <v>0</v>
      </c>
      <c r="AC430" s="16">
        <f>_xlfn.XLOOKUP(CustomerCombinedCleaned[[#This Row],[ID]], Table2[ID],Table2[MC5], "Not Found", 0 )</f>
        <v>0</v>
      </c>
    </row>
    <row r="431" spans="1:29" x14ac:dyDescent="0.3">
      <c r="A431" s="18">
        <v>1751</v>
      </c>
      <c r="B431" s="16">
        <v>172063</v>
      </c>
      <c r="C431" s="16">
        <v>0</v>
      </c>
      <c r="D431" s="16">
        <v>1</v>
      </c>
      <c r="E431" s="16">
        <v>41</v>
      </c>
      <c r="F431" s="17" t="s">
        <v>6</v>
      </c>
      <c r="G431" s="17" t="s">
        <v>11</v>
      </c>
      <c r="H431" s="3" t="s">
        <v>556</v>
      </c>
      <c r="I431" s="5" t="s">
        <v>434</v>
      </c>
      <c r="J431" s="16">
        <f>_xlfn.XLOOKUP(CustomerCombinedCleaned[[#This Row],[ID]], Table4[ID], Table4[Recency], "Not Found", 0)</f>
        <v>3</v>
      </c>
      <c r="K431" s="16">
        <f>_xlfn.XLOOKUP(CustomerCombinedCleaned[[#This Row],[ID]], Table4[ID], Table4[Teas], "Not Found", 0)</f>
        <v>430</v>
      </c>
      <c r="L431" s="16">
        <f>_xlfn.XLOOKUP(CustomerCombinedCleaned[[#This Row],[ID]], Table4[ID], Table4[Fruits], "Not Found", 0)</f>
        <v>76</v>
      </c>
      <c r="M431" s="16">
        <f>_xlfn.XLOOKUP(CustomerCombinedCleaned[[#This Row],[ID]], Table4[ID], Table4[Meats], "Not Found", 0)</f>
        <v>831</v>
      </c>
      <c r="N431" s="16">
        <f>_xlfn.XLOOKUP(CustomerCombinedCleaned[[#This Row],[ID]], Table4[ID], Table4[Seafood], "Not Found", 0)</f>
        <v>181</v>
      </c>
      <c r="O431" s="16">
        <f>_xlfn.XLOOKUP(CustomerCombinedCleaned[[#This Row],[ID]], Table4[ID], Table4[Sweets], "Not Found", 0)</f>
        <v>76</v>
      </c>
      <c r="P431" s="16">
        <f>_xlfn.XLOOKUP(CustomerCombinedCleaned[[#This Row],[ID]], Table4[ID], Table4[Premium], "Not Found", 0)</f>
        <v>215</v>
      </c>
      <c r="Q431" s="16">
        <f>_xlfn.XLOOKUP(CustomerCombinedCleaned[[#This Row],[ID]], Table4[ID], Table4[Regular], "Not Found", 0)</f>
        <v>1380</v>
      </c>
      <c r="R431" s="16">
        <f>_xlfn.XLOOKUP(CustomerCombinedCleaned[[#This Row],[ID]], Table4[ID], Table4[Deals], "Not Found", 0)</f>
        <v>2</v>
      </c>
      <c r="S431" s="16">
        <f>_xlfn.XLOOKUP(CustomerCombinedCleaned[[#This Row],[ID]], Table4[ID], Table4[Website], "Not Found", 0)</f>
        <v>5</v>
      </c>
      <c r="T431" s="16">
        <f>_xlfn.XLOOKUP(CustomerCombinedCleaned[[#This Row],[ID]], Table4[ID], Table4[Catalog], "Not Found", 0)</f>
        <v>2</v>
      </c>
      <c r="U431" s="16">
        <f>_xlfn.XLOOKUP(CustomerCombinedCleaned[[#This Row],[ID]], Table4[ID], Table4[Store], "Not Found", 0)</f>
        <v>12</v>
      </c>
      <c r="V431" s="16">
        <f>_xlfn.XLOOKUP(CustomerCombinedCleaned[[#This Row],[ID]], Table4[ID], Table4[Visits], "Not Found", 0)</f>
        <v>2</v>
      </c>
      <c r="W431" s="16">
        <f>_xlfn.XLOOKUP(CustomerCombinedCleaned[[#This Row],[ID]], Table2[ID],Table2[Complaint], "Not Found", 0 )</f>
        <v>0</v>
      </c>
      <c r="X431" s="16">
        <f>_xlfn.XLOOKUP(CustomerCombinedCleaned[[#This Row],[ID]], Table2[ID],Table2[Pilot], "Not Found", 0 )</f>
        <v>0</v>
      </c>
      <c r="Y431" s="16">
        <f>_xlfn.XLOOKUP(CustomerCombinedCleaned[[#This Row],[ID]], Table2[ID],Table2[MC1], "Not Found", 0 )</f>
        <v>0</v>
      </c>
      <c r="Z431" s="16">
        <f>_xlfn.XLOOKUP(CustomerCombinedCleaned[[#This Row],[ID]], Table2[ID],Table2[MC2], "Not Found", 0 )</f>
        <v>0</v>
      </c>
      <c r="AA431" s="16">
        <f>_xlfn.XLOOKUP(CustomerCombinedCleaned[[#This Row],[ID]], Table2[ID],Table2[MC3], "Not Found", 0 )</f>
        <v>0</v>
      </c>
      <c r="AB431" s="16">
        <f>_xlfn.XLOOKUP(CustomerCombinedCleaned[[#This Row],[ID]], Table2[ID],Table2[MC4], "Not Found", 0 )</f>
        <v>0</v>
      </c>
      <c r="AC431" s="16">
        <f>_xlfn.XLOOKUP(CustomerCombinedCleaned[[#This Row],[ID]], Table2[ID],Table2[MC5], "Not Found", 0 )</f>
        <v>0</v>
      </c>
    </row>
    <row r="432" spans="1:29" x14ac:dyDescent="0.3">
      <c r="A432" s="18">
        <v>2284</v>
      </c>
      <c r="B432" s="16">
        <v>171626</v>
      </c>
      <c r="C432" s="16">
        <v>0</v>
      </c>
      <c r="D432" s="16">
        <v>0</v>
      </c>
      <c r="E432" s="16">
        <v>41</v>
      </c>
      <c r="F432" s="17" t="s">
        <v>6</v>
      </c>
      <c r="G432" s="17" t="s">
        <v>11</v>
      </c>
      <c r="H432" s="3" t="s">
        <v>656</v>
      </c>
      <c r="I432" s="5" t="s">
        <v>439</v>
      </c>
      <c r="J432" s="16">
        <f>_xlfn.XLOOKUP(CustomerCombinedCleaned[[#This Row],[ID]], Table4[ID], Table4[Recency], "Not Found", 0)</f>
        <v>94</v>
      </c>
      <c r="K432" s="16">
        <f>_xlfn.XLOOKUP(CustomerCombinedCleaned[[#This Row],[ID]], Table4[ID], Table4[Teas], "Not Found", 0)</f>
        <v>1308</v>
      </c>
      <c r="L432" s="16">
        <f>_xlfn.XLOOKUP(CustomerCombinedCleaned[[#This Row],[ID]], Table4[ID], Table4[Fruits], "Not Found", 0)</f>
        <v>173</v>
      </c>
      <c r="M432" s="16">
        <f>_xlfn.XLOOKUP(CustomerCombinedCleaned[[#This Row],[ID]], Table4[ID], Table4[Meats], "Not Found", 0)</f>
        <v>901</v>
      </c>
      <c r="N432" s="16">
        <f>_xlfn.XLOOKUP(CustomerCombinedCleaned[[#This Row],[ID]], Table4[ID], Table4[Seafood], "Not Found", 0)</f>
        <v>225</v>
      </c>
      <c r="O432" s="16">
        <f>_xlfn.XLOOKUP(CustomerCombinedCleaned[[#This Row],[ID]], Table4[ID], Table4[Sweets], "Not Found", 0)</f>
        <v>347</v>
      </c>
      <c r="P432" s="16">
        <f>_xlfn.XLOOKUP(CustomerCombinedCleaned[[#This Row],[ID]], Table4[ID], Table4[Premium], "Not Found", 0)</f>
        <v>173</v>
      </c>
      <c r="Q432" s="16">
        <f>_xlfn.XLOOKUP(CustomerCombinedCleaned[[#This Row],[ID]], Table4[ID], Table4[Regular], "Not Found", 0)</f>
        <v>2782</v>
      </c>
      <c r="R432" s="16">
        <f>_xlfn.XLOOKUP(CustomerCombinedCleaned[[#This Row],[ID]], Table4[ID], Table4[Deals], "Not Found", 0)</f>
        <v>1</v>
      </c>
      <c r="S432" s="16">
        <f>_xlfn.XLOOKUP(CustomerCombinedCleaned[[#This Row],[ID]], Table4[ID], Table4[Website], "Not Found", 0)</f>
        <v>5</v>
      </c>
      <c r="T432" s="16">
        <f>_xlfn.XLOOKUP(CustomerCombinedCleaned[[#This Row],[ID]], Table4[ID], Table4[Catalog], "Not Found", 0)</f>
        <v>5</v>
      </c>
      <c r="U432" s="16">
        <f>_xlfn.XLOOKUP(CustomerCombinedCleaned[[#This Row],[ID]], Table4[ID], Table4[Store], "Not Found", 0)</f>
        <v>8</v>
      </c>
      <c r="V432" s="16">
        <f>_xlfn.XLOOKUP(CustomerCombinedCleaned[[#This Row],[ID]], Table4[ID], Table4[Visits], "Not Found", 0)</f>
        <v>3</v>
      </c>
      <c r="W432" s="16">
        <f>_xlfn.XLOOKUP(CustomerCombinedCleaned[[#This Row],[ID]], Table2[ID],Table2[Complaint], "Not Found", 0 )</f>
        <v>0</v>
      </c>
      <c r="X432" s="16">
        <f>_xlfn.XLOOKUP(CustomerCombinedCleaned[[#This Row],[ID]], Table2[ID],Table2[Pilot], "Not Found", 0 )</f>
        <v>0</v>
      </c>
      <c r="Y432" s="16">
        <f>_xlfn.XLOOKUP(CustomerCombinedCleaned[[#This Row],[ID]], Table2[ID],Table2[MC1], "Not Found", 0 )</f>
        <v>0</v>
      </c>
      <c r="Z432" s="16">
        <f>_xlfn.XLOOKUP(CustomerCombinedCleaned[[#This Row],[ID]], Table2[ID],Table2[MC2], "Not Found", 0 )</f>
        <v>0</v>
      </c>
      <c r="AA432" s="16">
        <f>_xlfn.XLOOKUP(CustomerCombinedCleaned[[#This Row],[ID]], Table2[ID],Table2[MC3], "Not Found", 0 )</f>
        <v>0</v>
      </c>
      <c r="AB432" s="16">
        <f>_xlfn.XLOOKUP(CustomerCombinedCleaned[[#This Row],[ID]], Table2[ID],Table2[MC4], "Not Found", 0 )</f>
        <v>1</v>
      </c>
      <c r="AC432" s="16">
        <f>_xlfn.XLOOKUP(CustomerCombinedCleaned[[#This Row],[ID]], Table2[ID],Table2[MC5], "Not Found", 0 )</f>
        <v>0</v>
      </c>
    </row>
    <row r="433" spans="1:29" x14ac:dyDescent="0.3">
      <c r="A433" s="18">
        <v>1659</v>
      </c>
      <c r="B433" s="16">
        <v>170337</v>
      </c>
      <c r="C433" s="16">
        <v>0</v>
      </c>
      <c r="D433" s="16">
        <v>0</v>
      </c>
      <c r="E433" s="16">
        <v>41</v>
      </c>
      <c r="F433" s="17" t="s">
        <v>7</v>
      </c>
      <c r="G433" s="17" t="s">
        <v>11</v>
      </c>
      <c r="H433" s="3" t="s">
        <v>668</v>
      </c>
      <c r="I433" s="5" t="s">
        <v>435</v>
      </c>
      <c r="J433" s="16">
        <f>_xlfn.XLOOKUP(CustomerCombinedCleaned[[#This Row],[ID]], Table4[ID], Table4[Recency], "Not Found", 0)</f>
        <v>75</v>
      </c>
      <c r="K433" s="16">
        <f>_xlfn.XLOOKUP(CustomerCombinedCleaned[[#This Row],[ID]], Table4[ID], Table4[Teas], "Not Found", 0)</f>
        <v>453</v>
      </c>
      <c r="L433" s="16">
        <f>_xlfn.XLOOKUP(CustomerCombinedCleaned[[#This Row],[ID]], Table4[ID], Table4[Fruits], "Not Found", 0)</f>
        <v>196</v>
      </c>
      <c r="M433" s="16">
        <f>_xlfn.XLOOKUP(CustomerCombinedCleaned[[#This Row],[ID]], Table4[ID], Table4[Meats], "Not Found", 0)</f>
        <v>361</v>
      </c>
      <c r="N433" s="16">
        <f>_xlfn.XLOOKUP(CustomerCombinedCleaned[[#This Row],[ID]], Table4[ID], Table4[Seafood], "Not Found", 0)</f>
        <v>61</v>
      </c>
      <c r="O433" s="16">
        <f>_xlfn.XLOOKUP(CustomerCombinedCleaned[[#This Row],[ID]], Table4[ID], Table4[Sweets], "Not Found", 0)</f>
        <v>104</v>
      </c>
      <c r="P433" s="16">
        <f>_xlfn.XLOOKUP(CustomerCombinedCleaned[[#This Row],[ID]], Table4[ID], Table4[Premium], "Not Found", 0)</f>
        <v>220</v>
      </c>
      <c r="Q433" s="16">
        <f>_xlfn.XLOOKUP(CustomerCombinedCleaned[[#This Row],[ID]], Table4[ID], Table4[Regular], "Not Found", 0)</f>
        <v>954</v>
      </c>
      <c r="R433" s="16">
        <f>_xlfn.XLOOKUP(CustomerCombinedCleaned[[#This Row],[ID]], Table4[ID], Table4[Deals], "Not Found", 0)</f>
        <v>1</v>
      </c>
      <c r="S433" s="16">
        <f>_xlfn.XLOOKUP(CustomerCombinedCleaned[[#This Row],[ID]], Table4[ID], Table4[Website], "Not Found", 0)</f>
        <v>2</v>
      </c>
      <c r="T433" s="16">
        <f>_xlfn.XLOOKUP(CustomerCombinedCleaned[[#This Row],[ID]], Table4[ID], Table4[Catalog], "Not Found", 0)</f>
        <v>2</v>
      </c>
      <c r="U433" s="16">
        <f>_xlfn.XLOOKUP(CustomerCombinedCleaned[[#This Row],[ID]], Table4[ID], Table4[Store], "Not Found", 0)</f>
        <v>12</v>
      </c>
      <c r="V433" s="16">
        <f>_xlfn.XLOOKUP(CustomerCombinedCleaned[[#This Row],[ID]], Table4[ID], Table4[Visits], "Not Found", 0)</f>
        <v>1</v>
      </c>
      <c r="W433" s="16">
        <f>_xlfn.XLOOKUP(CustomerCombinedCleaned[[#This Row],[ID]], Table2[ID],Table2[Complaint], "Not Found", 0 )</f>
        <v>0</v>
      </c>
      <c r="X433" s="16">
        <f>_xlfn.XLOOKUP(CustomerCombinedCleaned[[#This Row],[ID]], Table2[ID],Table2[Pilot], "Not Found", 0 )</f>
        <v>0</v>
      </c>
      <c r="Y433" s="16">
        <f>_xlfn.XLOOKUP(CustomerCombinedCleaned[[#This Row],[ID]], Table2[ID],Table2[MC1], "Not Found", 0 )</f>
        <v>0</v>
      </c>
      <c r="Z433" s="16">
        <f>_xlfn.XLOOKUP(CustomerCombinedCleaned[[#This Row],[ID]], Table2[ID],Table2[MC2], "Not Found", 0 )</f>
        <v>0</v>
      </c>
      <c r="AA433" s="16">
        <f>_xlfn.XLOOKUP(CustomerCombinedCleaned[[#This Row],[ID]], Table2[ID],Table2[MC3], "Not Found", 0 )</f>
        <v>0</v>
      </c>
      <c r="AB433" s="16">
        <f>_xlfn.XLOOKUP(CustomerCombinedCleaned[[#This Row],[ID]], Table2[ID],Table2[MC4], "Not Found", 0 )</f>
        <v>0</v>
      </c>
      <c r="AC433" s="16">
        <f>_xlfn.XLOOKUP(CustomerCombinedCleaned[[#This Row],[ID]], Table2[ID],Table2[MC5], "Not Found", 0 )</f>
        <v>0</v>
      </c>
    </row>
    <row r="434" spans="1:29" x14ac:dyDescent="0.3">
      <c r="A434" s="18">
        <v>1928</v>
      </c>
      <c r="B434" s="16">
        <v>168274</v>
      </c>
      <c r="C434" s="16">
        <v>1</v>
      </c>
      <c r="D434" s="16">
        <v>1</v>
      </c>
      <c r="E434" s="16">
        <v>41</v>
      </c>
      <c r="F434" s="17" t="s">
        <v>5</v>
      </c>
      <c r="G434" s="17" t="s">
        <v>11</v>
      </c>
      <c r="H434" s="3" t="s">
        <v>604</v>
      </c>
      <c r="I434" s="5" t="s">
        <v>438</v>
      </c>
      <c r="J434" s="16">
        <f>_xlfn.XLOOKUP(CustomerCombinedCleaned[[#This Row],[ID]], Table4[ID], Table4[Recency], "Not Found", 0)</f>
        <v>83</v>
      </c>
      <c r="K434" s="16">
        <f>_xlfn.XLOOKUP(CustomerCombinedCleaned[[#This Row],[ID]], Table4[ID], Table4[Teas], "Not Found", 0)</f>
        <v>333</v>
      </c>
      <c r="L434" s="16">
        <f>_xlfn.XLOOKUP(CustomerCombinedCleaned[[#This Row],[ID]], Table4[ID], Table4[Fruits], "Not Found", 0)</f>
        <v>62</v>
      </c>
      <c r="M434" s="16">
        <f>_xlfn.XLOOKUP(CustomerCombinedCleaned[[#This Row],[ID]], Table4[ID], Table4[Meats], "Not Found", 0)</f>
        <v>126</v>
      </c>
      <c r="N434" s="16">
        <f>_xlfn.XLOOKUP(CustomerCombinedCleaned[[#This Row],[ID]], Table4[ID], Table4[Seafood], "Not Found", 0)</f>
        <v>57</v>
      </c>
      <c r="O434" s="16">
        <f>_xlfn.XLOOKUP(CustomerCombinedCleaned[[#This Row],[ID]], Table4[ID], Table4[Sweets], "Not Found", 0)</f>
        <v>62</v>
      </c>
      <c r="P434" s="16">
        <f>_xlfn.XLOOKUP(CustomerCombinedCleaned[[#This Row],[ID]], Table4[ID], Table4[Premium], "Not Found", 0)</f>
        <v>113</v>
      </c>
      <c r="Q434" s="16">
        <f>_xlfn.XLOOKUP(CustomerCombinedCleaned[[#This Row],[ID]], Table4[ID], Table4[Regular], "Not Found", 0)</f>
        <v>525</v>
      </c>
      <c r="R434" s="16">
        <f>_xlfn.XLOOKUP(CustomerCombinedCleaned[[#This Row],[ID]], Table4[ID], Table4[Deals], "Not Found", 0)</f>
        <v>2</v>
      </c>
      <c r="S434" s="16">
        <f>_xlfn.XLOOKUP(CustomerCombinedCleaned[[#This Row],[ID]], Table4[ID], Table4[Website], "Not Found", 0)</f>
        <v>4</v>
      </c>
      <c r="T434" s="16">
        <f>_xlfn.XLOOKUP(CustomerCombinedCleaned[[#This Row],[ID]], Table4[ID], Table4[Catalog], "Not Found", 0)</f>
        <v>2</v>
      </c>
      <c r="U434" s="16">
        <f>_xlfn.XLOOKUP(CustomerCombinedCleaned[[#This Row],[ID]], Table4[ID], Table4[Store], "Not Found", 0)</f>
        <v>5</v>
      </c>
      <c r="V434" s="16">
        <f>_xlfn.XLOOKUP(CustomerCombinedCleaned[[#This Row],[ID]], Table4[ID], Table4[Visits], "Not Found", 0)</f>
        <v>3</v>
      </c>
      <c r="W434" s="16">
        <f>_xlfn.XLOOKUP(CustomerCombinedCleaned[[#This Row],[ID]], Table2[ID],Table2[Complaint], "Not Found", 0 )</f>
        <v>0</v>
      </c>
      <c r="X434" s="16">
        <f>_xlfn.XLOOKUP(CustomerCombinedCleaned[[#This Row],[ID]], Table2[ID],Table2[Pilot], "Not Found", 0 )</f>
        <v>0</v>
      </c>
      <c r="Y434" s="16">
        <f>_xlfn.XLOOKUP(CustomerCombinedCleaned[[#This Row],[ID]], Table2[ID],Table2[MC1], "Not Found", 0 )</f>
        <v>0</v>
      </c>
      <c r="Z434" s="16">
        <f>_xlfn.XLOOKUP(CustomerCombinedCleaned[[#This Row],[ID]], Table2[ID],Table2[MC2], "Not Found", 0 )</f>
        <v>0</v>
      </c>
      <c r="AA434" s="16">
        <f>_xlfn.XLOOKUP(CustomerCombinedCleaned[[#This Row],[ID]], Table2[ID],Table2[MC3], "Not Found", 0 )</f>
        <v>0</v>
      </c>
      <c r="AB434" s="16">
        <f>_xlfn.XLOOKUP(CustomerCombinedCleaned[[#This Row],[ID]], Table2[ID],Table2[MC4], "Not Found", 0 )</f>
        <v>0</v>
      </c>
      <c r="AC434" s="16">
        <f>_xlfn.XLOOKUP(CustomerCombinedCleaned[[#This Row],[ID]], Table2[ID],Table2[MC5], "Not Found", 0 )</f>
        <v>0</v>
      </c>
    </row>
    <row r="435" spans="1:29" x14ac:dyDescent="0.3">
      <c r="A435" s="18">
        <v>3194</v>
      </c>
      <c r="B435" s="16">
        <v>163777</v>
      </c>
      <c r="C435" s="16">
        <v>1</v>
      </c>
      <c r="D435" s="16">
        <v>1</v>
      </c>
      <c r="E435" s="16">
        <v>41</v>
      </c>
      <c r="F435" s="17" t="s">
        <v>6</v>
      </c>
      <c r="G435" s="17" t="s">
        <v>11</v>
      </c>
      <c r="H435" s="3" t="s">
        <v>284</v>
      </c>
      <c r="I435" s="5" t="s">
        <v>438</v>
      </c>
      <c r="J435" s="16">
        <f>_xlfn.XLOOKUP(CustomerCombinedCleaned[[#This Row],[ID]], Table4[ID], Table4[Recency], "Not Found", 0)</f>
        <v>87</v>
      </c>
      <c r="K435" s="16">
        <f>_xlfn.XLOOKUP(CustomerCombinedCleaned[[#This Row],[ID]], Table4[ID], Table4[Teas], "Not Found", 0)</f>
        <v>1174</v>
      </c>
      <c r="L435" s="16">
        <f>_xlfn.XLOOKUP(CustomerCombinedCleaned[[#This Row],[ID]], Table4[ID], Table4[Fruits], "Not Found", 0)</f>
        <v>13</v>
      </c>
      <c r="M435" s="16">
        <f>_xlfn.XLOOKUP(CustomerCombinedCleaned[[#This Row],[ID]], Table4[ID], Table4[Meats], "Not Found", 0)</f>
        <v>272</v>
      </c>
      <c r="N435" s="16">
        <f>_xlfn.XLOOKUP(CustomerCombinedCleaned[[#This Row],[ID]], Table4[ID], Table4[Seafood], "Not Found", 0)</f>
        <v>39</v>
      </c>
      <c r="O435" s="16">
        <f>_xlfn.XLOOKUP(CustomerCombinedCleaned[[#This Row],[ID]], Table4[ID], Table4[Sweets], "Not Found", 0)</f>
        <v>44</v>
      </c>
      <c r="P435" s="16">
        <f>_xlfn.XLOOKUP(CustomerCombinedCleaned[[#This Row],[ID]], Table4[ID], Table4[Premium], "Not Found", 0)</f>
        <v>136</v>
      </c>
      <c r="Q435" s="16">
        <f>_xlfn.XLOOKUP(CustomerCombinedCleaned[[#This Row],[ID]], Table4[ID], Table4[Regular], "Not Found", 0)</f>
        <v>1405</v>
      </c>
      <c r="R435" s="16">
        <f>_xlfn.XLOOKUP(CustomerCombinedCleaned[[#This Row],[ID]], Table4[ID], Table4[Deals], "Not Found", 0)</f>
        <v>8</v>
      </c>
      <c r="S435" s="16">
        <f>_xlfn.XLOOKUP(CustomerCombinedCleaned[[#This Row],[ID]], Table4[ID], Table4[Website], "Not Found", 0)</f>
        <v>11</v>
      </c>
      <c r="T435" s="16">
        <f>_xlfn.XLOOKUP(CustomerCombinedCleaned[[#This Row],[ID]], Table4[ID], Table4[Catalog], "Not Found", 0)</f>
        <v>1</v>
      </c>
      <c r="U435" s="16">
        <f>_xlfn.XLOOKUP(CustomerCombinedCleaned[[#This Row],[ID]], Table4[ID], Table4[Store], "Not Found", 0)</f>
        <v>6</v>
      </c>
      <c r="V435" s="16">
        <f>_xlfn.XLOOKUP(CustomerCombinedCleaned[[#This Row],[ID]], Table4[ID], Table4[Visits], "Not Found", 0)</f>
        <v>8</v>
      </c>
      <c r="W435" s="16">
        <f>_xlfn.XLOOKUP(CustomerCombinedCleaned[[#This Row],[ID]], Table2[ID],Table2[Complaint], "Not Found", 0 )</f>
        <v>0</v>
      </c>
      <c r="X435" s="16">
        <f>_xlfn.XLOOKUP(CustomerCombinedCleaned[[#This Row],[ID]], Table2[ID],Table2[Pilot], "Not Found", 0 )</f>
        <v>0</v>
      </c>
      <c r="Y435" s="16">
        <f>_xlfn.XLOOKUP(CustomerCombinedCleaned[[#This Row],[ID]], Table2[ID],Table2[MC1], "Not Found", 0 )</f>
        <v>0</v>
      </c>
      <c r="Z435" s="16">
        <f>_xlfn.XLOOKUP(CustomerCombinedCleaned[[#This Row],[ID]], Table2[ID],Table2[MC2], "Not Found", 0 )</f>
        <v>0</v>
      </c>
      <c r="AA435" s="16">
        <f>_xlfn.XLOOKUP(CustomerCombinedCleaned[[#This Row],[ID]], Table2[ID],Table2[MC3], "Not Found", 0 )</f>
        <v>0</v>
      </c>
      <c r="AB435" s="16">
        <f>_xlfn.XLOOKUP(CustomerCombinedCleaned[[#This Row],[ID]], Table2[ID],Table2[MC4], "Not Found", 0 )</f>
        <v>0</v>
      </c>
      <c r="AC435" s="16">
        <f>_xlfn.XLOOKUP(CustomerCombinedCleaned[[#This Row],[ID]], Table2[ID],Table2[MC5], "Not Found", 0 )</f>
        <v>0</v>
      </c>
    </row>
    <row r="436" spans="1:29" x14ac:dyDescent="0.3">
      <c r="A436" s="18">
        <v>1375</v>
      </c>
      <c r="B436" s="16">
        <v>162499</v>
      </c>
      <c r="C436" s="16">
        <v>1</v>
      </c>
      <c r="D436" s="16">
        <v>0</v>
      </c>
      <c r="E436" s="16">
        <v>41</v>
      </c>
      <c r="F436" s="17" t="s">
        <v>8</v>
      </c>
      <c r="G436" s="17" t="s">
        <v>12</v>
      </c>
      <c r="H436" s="3" t="s">
        <v>139</v>
      </c>
      <c r="I436" s="5" t="s">
        <v>437</v>
      </c>
      <c r="J436" s="16">
        <f>_xlfn.XLOOKUP(CustomerCombinedCleaned[[#This Row],[ID]], Table4[ID], Table4[Recency], "Not Found", 0)</f>
        <v>0</v>
      </c>
      <c r="K436" s="16">
        <f>_xlfn.XLOOKUP(CustomerCombinedCleaned[[#This Row],[ID]], Table4[ID], Table4[Teas], "Not Found", 0)</f>
        <v>364</v>
      </c>
      <c r="L436" s="16">
        <f>_xlfn.XLOOKUP(CustomerCombinedCleaned[[#This Row],[ID]], Table4[ID], Table4[Fruits], "Not Found", 0)</f>
        <v>10</v>
      </c>
      <c r="M436" s="16">
        <f>_xlfn.XLOOKUP(CustomerCombinedCleaned[[#This Row],[ID]], Table4[ID], Table4[Meats], "Not Found", 0)</f>
        <v>159</v>
      </c>
      <c r="N436" s="16">
        <f>_xlfn.XLOOKUP(CustomerCombinedCleaned[[#This Row],[ID]], Table4[ID], Table4[Seafood], "Not Found", 0)</f>
        <v>0</v>
      </c>
      <c r="O436" s="16">
        <f>_xlfn.XLOOKUP(CustomerCombinedCleaned[[#This Row],[ID]], Table4[ID], Table4[Sweets], "Not Found", 0)</f>
        <v>34</v>
      </c>
      <c r="P436" s="16">
        <f>_xlfn.XLOOKUP(CustomerCombinedCleaned[[#This Row],[ID]], Table4[ID], Table4[Premium], "Not Found", 0)</f>
        <v>10</v>
      </c>
      <c r="Q436" s="16">
        <f>_xlfn.XLOOKUP(CustomerCombinedCleaned[[#This Row],[ID]], Table4[ID], Table4[Regular], "Not Found", 0)</f>
        <v>556</v>
      </c>
      <c r="R436" s="16">
        <f>_xlfn.XLOOKUP(CustomerCombinedCleaned[[#This Row],[ID]], Table4[ID], Table4[Deals], "Not Found", 0)</f>
        <v>2</v>
      </c>
      <c r="S436" s="16">
        <f>_xlfn.XLOOKUP(CustomerCombinedCleaned[[#This Row],[ID]], Table4[ID], Table4[Website], "Not Found", 0)</f>
        <v>3</v>
      </c>
      <c r="T436" s="16">
        <f>_xlfn.XLOOKUP(CustomerCombinedCleaned[[#This Row],[ID]], Table4[ID], Table4[Catalog], "Not Found", 0)</f>
        <v>1</v>
      </c>
      <c r="U436" s="16">
        <f>_xlfn.XLOOKUP(CustomerCombinedCleaned[[#This Row],[ID]], Table4[ID], Table4[Store], "Not Found", 0)</f>
        <v>6</v>
      </c>
      <c r="V436" s="16">
        <f>_xlfn.XLOOKUP(CustomerCombinedCleaned[[#This Row],[ID]], Table4[ID], Table4[Visits], "Not Found", 0)</f>
        <v>4</v>
      </c>
      <c r="W436" s="16">
        <f>_xlfn.XLOOKUP(CustomerCombinedCleaned[[#This Row],[ID]], Table2[ID],Table2[Complaint], "Not Found", 0 )</f>
        <v>0</v>
      </c>
      <c r="X436" s="16">
        <f>_xlfn.XLOOKUP(CustomerCombinedCleaned[[#This Row],[ID]], Table2[ID],Table2[Pilot], "Not Found", 0 )</f>
        <v>0</v>
      </c>
      <c r="Y436" s="16">
        <f>_xlfn.XLOOKUP(CustomerCombinedCleaned[[#This Row],[ID]], Table2[ID],Table2[MC1], "Not Found", 0 )</f>
        <v>0</v>
      </c>
      <c r="Z436" s="16">
        <f>_xlfn.XLOOKUP(CustomerCombinedCleaned[[#This Row],[ID]], Table2[ID],Table2[MC2], "Not Found", 0 )</f>
        <v>0</v>
      </c>
      <c r="AA436" s="16">
        <f>_xlfn.XLOOKUP(CustomerCombinedCleaned[[#This Row],[ID]], Table2[ID],Table2[MC3], "Not Found", 0 )</f>
        <v>0</v>
      </c>
      <c r="AB436" s="16">
        <f>_xlfn.XLOOKUP(CustomerCombinedCleaned[[#This Row],[ID]], Table2[ID],Table2[MC4], "Not Found", 0 )</f>
        <v>0</v>
      </c>
      <c r="AC436" s="16">
        <f>_xlfn.XLOOKUP(CustomerCombinedCleaned[[#This Row],[ID]], Table2[ID],Table2[MC5], "Not Found", 0 )</f>
        <v>0</v>
      </c>
    </row>
    <row r="437" spans="1:29" x14ac:dyDescent="0.3">
      <c r="A437" s="18">
        <v>2076</v>
      </c>
      <c r="B437" s="16">
        <v>161825</v>
      </c>
      <c r="C437" s="16">
        <v>0</v>
      </c>
      <c r="D437" s="16">
        <v>1</v>
      </c>
      <c r="E437" s="16">
        <v>41</v>
      </c>
      <c r="F437" s="17" t="s">
        <v>7</v>
      </c>
      <c r="G437" s="17" t="s">
        <v>11</v>
      </c>
      <c r="H437" s="3" t="s">
        <v>572</v>
      </c>
      <c r="I437" s="5" t="s">
        <v>436</v>
      </c>
      <c r="J437" s="16">
        <f>_xlfn.XLOOKUP(CustomerCombinedCleaned[[#This Row],[ID]], Table4[ID], Table4[Recency], "Not Found", 0)</f>
        <v>56</v>
      </c>
      <c r="K437" s="16">
        <f>_xlfn.XLOOKUP(CustomerCombinedCleaned[[#This Row],[ID]], Table4[ID], Table4[Teas], "Not Found", 0)</f>
        <v>424</v>
      </c>
      <c r="L437" s="16">
        <f>_xlfn.XLOOKUP(CustomerCombinedCleaned[[#This Row],[ID]], Table4[ID], Table4[Fruits], "Not Found", 0)</f>
        <v>131</v>
      </c>
      <c r="M437" s="16">
        <f>_xlfn.XLOOKUP(CustomerCombinedCleaned[[#This Row],[ID]], Table4[ID], Table4[Meats], "Not Found", 0)</f>
        <v>262</v>
      </c>
      <c r="N437" s="16">
        <f>_xlfn.XLOOKUP(CustomerCombinedCleaned[[#This Row],[ID]], Table4[ID], Table4[Seafood], "Not Found", 0)</f>
        <v>144</v>
      </c>
      <c r="O437" s="16">
        <f>_xlfn.XLOOKUP(CustomerCombinedCleaned[[#This Row],[ID]], Table4[ID], Table4[Sweets], "Not Found", 0)</f>
        <v>79</v>
      </c>
      <c r="P437" s="16">
        <f>_xlfn.XLOOKUP(CustomerCombinedCleaned[[#This Row],[ID]], Table4[ID], Table4[Premium], "Not Found", 0)</f>
        <v>71</v>
      </c>
      <c r="Q437" s="16">
        <f>_xlfn.XLOOKUP(CustomerCombinedCleaned[[#This Row],[ID]], Table4[ID], Table4[Regular], "Not Found", 0)</f>
        <v>968</v>
      </c>
      <c r="R437" s="16">
        <f>_xlfn.XLOOKUP(CustomerCombinedCleaned[[#This Row],[ID]], Table4[ID], Table4[Deals], "Not Found", 0)</f>
        <v>1</v>
      </c>
      <c r="S437" s="16">
        <f>_xlfn.XLOOKUP(CustomerCombinedCleaned[[#This Row],[ID]], Table4[ID], Table4[Website], "Not Found", 0)</f>
        <v>4</v>
      </c>
      <c r="T437" s="16">
        <f>_xlfn.XLOOKUP(CustomerCombinedCleaned[[#This Row],[ID]], Table4[ID], Table4[Catalog], "Not Found", 0)</f>
        <v>2</v>
      </c>
      <c r="U437" s="16">
        <f>_xlfn.XLOOKUP(CustomerCombinedCleaned[[#This Row],[ID]], Table4[ID], Table4[Store], "Not Found", 0)</f>
        <v>8</v>
      </c>
      <c r="V437" s="16">
        <f>_xlfn.XLOOKUP(CustomerCombinedCleaned[[#This Row],[ID]], Table4[ID], Table4[Visits], "Not Found", 0)</f>
        <v>4</v>
      </c>
      <c r="W437" s="16">
        <f>_xlfn.XLOOKUP(CustomerCombinedCleaned[[#This Row],[ID]], Table2[ID],Table2[Complaint], "Not Found", 0 )</f>
        <v>0</v>
      </c>
      <c r="X437" s="16">
        <f>_xlfn.XLOOKUP(CustomerCombinedCleaned[[#This Row],[ID]], Table2[ID],Table2[Pilot], "Not Found", 0 )</f>
        <v>0</v>
      </c>
      <c r="Y437" s="16">
        <f>_xlfn.XLOOKUP(CustomerCombinedCleaned[[#This Row],[ID]], Table2[ID],Table2[MC1], "Not Found", 0 )</f>
        <v>0</v>
      </c>
      <c r="Z437" s="16">
        <f>_xlfn.XLOOKUP(CustomerCombinedCleaned[[#This Row],[ID]], Table2[ID],Table2[MC2], "Not Found", 0 )</f>
        <v>0</v>
      </c>
      <c r="AA437" s="16">
        <f>_xlfn.XLOOKUP(CustomerCombinedCleaned[[#This Row],[ID]], Table2[ID],Table2[MC3], "Not Found", 0 )</f>
        <v>0</v>
      </c>
      <c r="AB437" s="16">
        <f>_xlfn.XLOOKUP(CustomerCombinedCleaned[[#This Row],[ID]], Table2[ID],Table2[MC4], "Not Found", 0 )</f>
        <v>0</v>
      </c>
      <c r="AC437" s="16">
        <f>_xlfn.XLOOKUP(CustomerCombinedCleaned[[#This Row],[ID]], Table2[ID],Table2[MC5], "Not Found", 0 )</f>
        <v>0</v>
      </c>
    </row>
    <row r="438" spans="1:29" x14ac:dyDescent="0.3">
      <c r="A438" s="18">
        <v>2837</v>
      </c>
      <c r="B438" s="16">
        <v>161825</v>
      </c>
      <c r="C438" s="16">
        <v>0</v>
      </c>
      <c r="D438" s="16">
        <v>1</v>
      </c>
      <c r="E438" s="16">
        <v>41</v>
      </c>
      <c r="F438" s="17" t="s">
        <v>7</v>
      </c>
      <c r="G438" s="17" t="s">
        <v>11</v>
      </c>
      <c r="H438" s="3" t="s">
        <v>572</v>
      </c>
      <c r="I438" s="5" t="s">
        <v>434</v>
      </c>
      <c r="J438" s="16">
        <f>_xlfn.XLOOKUP(CustomerCombinedCleaned[[#This Row],[ID]], Table4[ID], Table4[Recency], "Not Found", 0)</f>
        <v>56</v>
      </c>
      <c r="K438" s="16">
        <f>_xlfn.XLOOKUP(CustomerCombinedCleaned[[#This Row],[ID]], Table4[ID], Table4[Teas], "Not Found", 0)</f>
        <v>424</v>
      </c>
      <c r="L438" s="16">
        <f>_xlfn.XLOOKUP(CustomerCombinedCleaned[[#This Row],[ID]], Table4[ID], Table4[Fruits], "Not Found", 0)</f>
        <v>131</v>
      </c>
      <c r="M438" s="16">
        <f>_xlfn.XLOOKUP(CustomerCombinedCleaned[[#This Row],[ID]], Table4[ID], Table4[Meats], "Not Found", 0)</f>
        <v>262</v>
      </c>
      <c r="N438" s="16">
        <f>_xlfn.XLOOKUP(CustomerCombinedCleaned[[#This Row],[ID]], Table4[ID], Table4[Seafood], "Not Found", 0)</f>
        <v>144</v>
      </c>
      <c r="O438" s="16">
        <f>_xlfn.XLOOKUP(CustomerCombinedCleaned[[#This Row],[ID]], Table4[ID], Table4[Sweets], "Not Found", 0)</f>
        <v>79</v>
      </c>
      <c r="P438" s="16">
        <f>_xlfn.XLOOKUP(CustomerCombinedCleaned[[#This Row],[ID]], Table4[ID], Table4[Premium], "Not Found", 0)</f>
        <v>71</v>
      </c>
      <c r="Q438" s="16">
        <f>_xlfn.XLOOKUP(CustomerCombinedCleaned[[#This Row],[ID]], Table4[ID], Table4[Regular], "Not Found", 0)</f>
        <v>968</v>
      </c>
      <c r="R438" s="16">
        <f>_xlfn.XLOOKUP(CustomerCombinedCleaned[[#This Row],[ID]], Table4[ID], Table4[Deals], "Not Found", 0)</f>
        <v>1</v>
      </c>
      <c r="S438" s="16">
        <f>_xlfn.XLOOKUP(CustomerCombinedCleaned[[#This Row],[ID]], Table4[ID], Table4[Website], "Not Found", 0)</f>
        <v>4</v>
      </c>
      <c r="T438" s="16">
        <f>_xlfn.XLOOKUP(CustomerCombinedCleaned[[#This Row],[ID]], Table4[ID], Table4[Catalog], "Not Found", 0)</f>
        <v>2</v>
      </c>
      <c r="U438" s="16">
        <f>_xlfn.XLOOKUP(CustomerCombinedCleaned[[#This Row],[ID]], Table4[ID], Table4[Store], "Not Found", 0)</f>
        <v>8</v>
      </c>
      <c r="V438" s="16">
        <f>_xlfn.XLOOKUP(CustomerCombinedCleaned[[#This Row],[ID]], Table4[ID], Table4[Visits], "Not Found", 0)</f>
        <v>4</v>
      </c>
      <c r="W438" s="16">
        <f>_xlfn.XLOOKUP(CustomerCombinedCleaned[[#This Row],[ID]], Table2[ID],Table2[Complaint], "Not Found", 0 )</f>
        <v>0</v>
      </c>
      <c r="X438" s="16">
        <f>_xlfn.XLOOKUP(CustomerCombinedCleaned[[#This Row],[ID]], Table2[ID],Table2[Pilot], "Not Found", 0 )</f>
        <v>0</v>
      </c>
      <c r="Y438" s="16">
        <f>_xlfn.XLOOKUP(CustomerCombinedCleaned[[#This Row],[ID]], Table2[ID],Table2[MC1], "Not Found", 0 )</f>
        <v>0</v>
      </c>
      <c r="Z438" s="16">
        <f>_xlfn.XLOOKUP(CustomerCombinedCleaned[[#This Row],[ID]], Table2[ID],Table2[MC2], "Not Found", 0 )</f>
        <v>0</v>
      </c>
      <c r="AA438" s="16">
        <f>_xlfn.XLOOKUP(CustomerCombinedCleaned[[#This Row],[ID]], Table2[ID],Table2[MC3], "Not Found", 0 )</f>
        <v>0</v>
      </c>
      <c r="AB438" s="16">
        <f>_xlfn.XLOOKUP(CustomerCombinedCleaned[[#This Row],[ID]], Table2[ID],Table2[MC4], "Not Found", 0 )</f>
        <v>0</v>
      </c>
      <c r="AC438" s="16">
        <f>_xlfn.XLOOKUP(CustomerCombinedCleaned[[#This Row],[ID]], Table2[ID],Table2[MC5], "Not Found", 0 )</f>
        <v>0</v>
      </c>
    </row>
    <row r="439" spans="1:29" x14ac:dyDescent="0.3">
      <c r="A439" s="18">
        <v>2763</v>
      </c>
      <c r="B439" s="16">
        <v>160839</v>
      </c>
      <c r="C439" s="16">
        <v>1</v>
      </c>
      <c r="D439" s="16">
        <v>1</v>
      </c>
      <c r="E439" s="16">
        <v>41</v>
      </c>
      <c r="F439" s="17" t="s">
        <v>8</v>
      </c>
      <c r="G439" s="17" t="s">
        <v>11</v>
      </c>
      <c r="H439" s="3" t="s">
        <v>717</v>
      </c>
      <c r="I439" s="5" t="s">
        <v>435</v>
      </c>
      <c r="J439" s="16">
        <f>_xlfn.XLOOKUP(CustomerCombinedCleaned[[#This Row],[ID]], Table4[ID], Table4[Recency], "Not Found", 0)</f>
        <v>72</v>
      </c>
      <c r="K439" s="16">
        <f>_xlfn.XLOOKUP(CustomerCombinedCleaned[[#This Row],[ID]], Table4[ID], Table4[Teas], "Not Found", 0)</f>
        <v>1586</v>
      </c>
      <c r="L439" s="16">
        <f>_xlfn.XLOOKUP(CustomerCombinedCleaned[[#This Row],[ID]], Table4[ID], Table4[Fruits], "Not Found", 0)</f>
        <v>56</v>
      </c>
      <c r="M439" s="16">
        <f>_xlfn.XLOOKUP(CustomerCombinedCleaned[[#This Row],[ID]], Table4[ID], Table4[Meats], "Not Found", 0)</f>
        <v>338</v>
      </c>
      <c r="N439" s="16">
        <f>_xlfn.XLOOKUP(CustomerCombinedCleaned[[#This Row],[ID]], Table4[ID], Table4[Seafood], "Not Found", 0)</f>
        <v>590</v>
      </c>
      <c r="O439" s="16">
        <f>_xlfn.XLOOKUP(CustomerCombinedCleaned[[#This Row],[ID]], Table4[ID], Table4[Sweets], "Not Found", 0)</f>
        <v>397</v>
      </c>
      <c r="P439" s="16">
        <f>_xlfn.XLOOKUP(CustomerCombinedCleaned[[#This Row],[ID]], Table4[ID], Table4[Premium], "Not Found", 0)</f>
        <v>338</v>
      </c>
      <c r="Q439" s="16">
        <f>_xlfn.XLOOKUP(CustomerCombinedCleaned[[#This Row],[ID]], Table4[ID], Table4[Regular], "Not Found", 0)</f>
        <v>2628</v>
      </c>
      <c r="R439" s="16">
        <f>_xlfn.XLOOKUP(CustomerCombinedCleaned[[#This Row],[ID]], Table4[ID], Table4[Deals], "Not Found", 0)</f>
        <v>13</v>
      </c>
      <c r="S439" s="16">
        <f>_xlfn.XLOOKUP(CustomerCombinedCleaned[[#This Row],[ID]], Table4[ID], Table4[Website], "Not Found", 0)</f>
        <v>2</v>
      </c>
      <c r="T439" s="16">
        <f>_xlfn.XLOOKUP(CustomerCombinedCleaned[[#This Row],[ID]], Table4[ID], Table4[Catalog], "Not Found", 0)</f>
        <v>2</v>
      </c>
      <c r="U439" s="16">
        <f>_xlfn.XLOOKUP(CustomerCombinedCleaned[[#This Row],[ID]], Table4[ID], Table4[Store], "Not Found", 0)</f>
        <v>12</v>
      </c>
      <c r="V439" s="16">
        <f>_xlfn.XLOOKUP(CustomerCombinedCleaned[[#This Row],[ID]], Table4[ID], Table4[Visits], "Not Found", 0)</f>
        <v>8</v>
      </c>
      <c r="W439" s="16">
        <f>_xlfn.XLOOKUP(CustomerCombinedCleaned[[#This Row],[ID]], Table2[ID],Table2[Complaint], "Not Found", 0 )</f>
        <v>0</v>
      </c>
      <c r="X439" s="16">
        <f>_xlfn.XLOOKUP(CustomerCombinedCleaned[[#This Row],[ID]], Table2[ID],Table2[Pilot], "Not Found", 0 )</f>
        <v>0</v>
      </c>
      <c r="Y439" s="16">
        <f>_xlfn.XLOOKUP(CustomerCombinedCleaned[[#This Row],[ID]], Table2[ID],Table2[MC1], "Not Found", 0 )</f>
        <v>0</v>
      </c>
      <c r="Z439" s="16">
        <f>_xlfn.XLOOKUP(CustomerCombinedCleaned[[#This Row],[ID]], Table2[ID],Table2[MC2], "Not Found", 0 )</f>
        <v>0</v>
      </c>
      <c r="AA439" s="16">
        <f>_xlfn.XLOOKUP(CustomerCombinedCleaned[[#This Row],[ID]], Table2[ID],Table2[MC3], "Not Found", 0 )</f>
        <v>0</v>
      </c>
      <c r="AB439" s="16">
        <f>_xlfn.XLOOKUP(CustomerCombinedCleaned[[#This Row],[ID]], Table2[ID],Table2[MC4], "Not Found", 0 )</f>
        <v>0</v>
      </c>
      <c r="AC439" s="16">
        <f>_xlfn.XLOOKUP(CustomerCombinedCleaned[[#This Row],[ID]], Table2[ID],Table2[MC5], "Not Found", 0 )</f>
        <v>0</v>
      </c>
    </row>
    <row r="440" spans="1:29" x14ac:dyDescent="0.3">
      <c r="A440" s="18">
        <v>1836</v>
      </c>
      <c r="B440" s="16">
        <v>160474</v>
      </c>
      <c r="C440" s="16">
        <v>0</v>
      </c>
      <c r="D440" s="16">
        <v>1</v>
      </c>
      <c r="E440" s="16">
        <v>41</v>
      </c>
      <c r="F440" s="17" t="s">
        <v>7</v>
      </c>
      <c r="G440" s="17" t="s">
        <v>11</v>
      </c>
      <c r="H440" s="3" t="s">
        <v>720</v>
      </c>
      <c r="I440" s="5" t="s">
        <v>436</v>
      </c>
      <c r="J440" s="16">
        <f>_xlfn.XLOOKUP(CustomerCombinedCleaned[[#This Row],[ID]], Table4[ID], Table4[Recency], "Not Found", 0)</f>
        <v>25</v>
      </c>
      <c r="K440" s="16">
        <f>_xlfn.XLOOKUP(CustomerCombinedCleaned[[#This Row],[ID]], Table4[ID], Table4[Teas], "Not Found", 0)</f>
        <v>703</v>
      </c>
      <c r="L440" s="16">
        <f>_xlfn.XLOOKUP(CustomerCombinedCleaned[[#This Row],[ID]], Table4[ID], Table4[Fruits], "Not Found", 0)</f>
        <v>528</v>
      </c>
      <c r="M440" s="16">
        <f>_xlfn.XLOOKUP(CustomerCombinedCleaned[[#This Row],[ID]], Table4[ID], Table4[Meats], "Not Found", 0)</f>
        <v>804</v>
      </c>
      <c r="N440" s="16">
        <f>_xlfn.XLOOKUP(CustomerCombinedCleaned[[#This Row],[ID]], Table4[ID], Table4[Seafood], "Not Found", 0)</f>
        <v>621</v>
      </c>
      <c r="O440" s="16">
        <f>_xlfn.XLOOKUP(CustomerCombinedCleaned[[#This Row],[ID]], Table4[ID], Table4[Sweets], "Not Found", 0)</f>
        <v>24</v>
      </c>
      <c r="P440" s="16">
        <f>_xlfn.XLOOKUP(CustomerCombinedCleaned[[#This Row],[ID]], Table4[ID], Table4[Premium], "Not Found", 0)</f>
        <v>451</v>
      </c>
      <c r="Q440" s="16">
        <f>_xlfn.XLOOKUP(CustomerCombinedCleaned[[#This Row],[ID]], Table4[ID], Table4[Regular], "Not Found", 0)</f>
        <v>2229</v>
      </c>
      <c r="R440" s="16">
        <f>_xlfn.XLOOKUP(CustomerCombinedCleaned[[#This Row],[ID]], Table4[ID], Table4[Deals], "Not Found", 0)</f>
        <v>7</v>
      </c>
      <c r="S440" s="16">
        <f>_xlfn.XLOOKUP(CustomerCombinedCleaned[[#This Row],[ID]], Table4[ID], Table4[Website], "Not Found", 0)</f>
        <v>10</v>
      </c>
      <c r="T440" s="16">
        <f>_xlfn.XLOOKUP(CustomerCombinedCleaned[[#This Row],[ID]], Table4[ID], Table4[Catalog], "Not Found", 0)</f>
        <v>2</v>
      </c>
      <c r="U440" s="16">
        <f>_xlfn.XLOOKUP(CustomerCombinedCleaned[[#This Row],[ID]], Table4[ID], Table4[Store], "Not Found", 0)</f>
        <v>12</v>
      </c>
      <c r="V440" s="16">
        <f>_xlfn.XLOOKUP(CustomerCombinedCleaned[[#This Row],[ID]], Table4[ID], Table4[Visits], "Not Found", 0)</f>
        <v>7</v>
      </c>
      <c r="W440" s="16">
        <f>_xlfn.XLOOKUP(CustomerCombinedCleaned[[#This Row],[ID]], Table2[ID],Table2[Complaint], "Not Found", 0 )</f>
        <v>0</v>
      </c>
      <c r="X440" s="16">
        <f>_xlfn.XLOOKUP(CustomerCombinedCleaned[[#This Row],[ID]], Table2[ID],Table2[Pilot], "Not Found", 0 )</f>
        <v>0</v>
      </c>
      <c r="Y440" s="16">
        <f>_xlfn.XLOOKUP(CustomerCombinedCleaned[[#This Row],[ID]], Table2[ID],Table2[MC1], "Not Found", 0 )</f>
        <v>0</v>
      </c>
      <c r="Z440" s="16">
        <f>_xlfn.XLOOKUP(CustomerCombinedCleaned[[#This Row],[ID]], Table2[ID],Table2[MC2], "Not Found", 0 )</f>
        <v>0</v>
      </c>
      <c r="AA440" s="16">
        <f>_xlfn.XLOOKUP(CustomerCombinedCleaned[[#This Row],[ID]], Table2[ID],Table2[MC3], "Not Found", 0 )</f>
        <v>0</v>
      </c>
      <c r="AB440" s="16">
        <f>_xlfn.XLOOKUP(CustomerCombinedCleaned[[#This Row],[ID]], Table2[ID],Table2[MC4], "Not Found", 0 )</f>
        <v>0</v>
      </c>
      <c r="AC440" s="16">
        <f>_xlfn.XLOOKUP(CustomerCombinedCleaned[[#This Row],[ID]], Table2[ID],Table2[MC5], "Not Found", 0 )</f>
        <v>0</v>
      </c>
    </row>
    <row r="441" spans="1:29" x14ac:dyDescent="0.3">
      <c r="A441" s="18">
        <v>2456</v>
      </c>
      <c r="B441" s="16">
        <v>160474</v>
      </c>
      <c r="C441" s="16">
        <v>0</v>
      </c>
      <c r="D441" s="16">
        <v>1</v>
      </c>
      <c r="E441" s="16">
        <v>41</v>
      </c>
      <c r="F441" s="17" t="s">
        <v>7</v>
      </c>
      <c r="G441" s="17" t="s">
        <v>11</v>
      </c>
      <c r="H441" s="3" t="s">
        <v>720</v>
      </c>
      <c r="I441" s="5" t="s">
        <v>438</v>
      </c>
      <c r="J441" s="16">
        <f>_xlfn.XLOOKUP(CustomerCombinedCleaned[[#This Row],[ID]], Table4[ID], Table4[Recency], "Not Found", 0)</f>
        <v>25</v>
      </c>
      <c r="K441" s="16">
        <f>_xlfn.XLOOKUP(CustomerCombinedCleaned[[#This Row],[ID]], Table4[ID], Table4[Teas], "Not Found", 0)</f>
        <v>703</v>
      </c>
      <c r="L441" s="16">
        <f>_xlfn.XLOOKUP(CustomerCombinedCleaned[[#This Row],[ID]], Table4[ID], Table4[Fruits], "Not Found", 0)</f>
        <v>528</v>
      </c>
      <c r="M441" s="16">
        <f>_xlfn.XLOOKUP(CustomerCombinedCleaned[[#This Row],[ID]], Table4[ID], Table4[Meats], "Not Found", 0)</f>
        <v>804</v>
      </c>
      <c r="N441" s="16">
        <f>_xlfn.XLOOKUP(CustomerCombinedCleaned[[#This Row],[ID]], Table4[ID], Table4[Seafood], "Not Found", 0)</f>
        <v>621</v>
      </c>
      <c r="O441" s="16">
        <f>_xlfn.XLOOKUP(CustomerCombinedCleaned[[#This Row],[ID]], Table4[ID], Table4[Sweets], "Not Found", 0)</f>
        <v>24</v>
      </c>
      <c r="P441" s="16">
        <f>_xlfn.XLOOKUP(CustomerCombinedCleaned[[#This Row],[ID]], Table4[ID], Table4[Premium], "Not Found", 0)</f>
        <v>451</v>
      </c>
      <c r="Q441" s="16">
        <f>_xlfn.XLOOKUP(CustomerCombinedCleaned[[#This Row],[ID]], Table4[ID], Table4[Regular], "Not Found", 0)</f>
        <v>2229</v>
      </c>
      <c r="R441" s="16">
        <f>_xlfn.XLOOKUP(CustomerCombinedCleaned[[#This Row],[ID]], Table4[ID], Table4[Deals], "Not Found", 0)</f>
        <v>7</v>
      </c>
      <c r="S441" s="16">
        <f>_xlfn.XLOOKUP(CustomerCombinedCleaned[[#This Row],[ID]], Table4[ID], Table4[Website], "Not Found", 0)</f>
        <v>10</v>
      </c>
      <c r="T441" s="16">
        <f>_xlfn.XLOOKUP(CustomerCombinedCleaned[[#This Row],[ID]], Table4[ID], Table4[Catalog], "Not Found", 0)</f>
        <v>2</v>
      </c>
      <c r="U441" s="16">
        <f>_xlfn.XLOOKUP(CustomerCombinedCleaned[[#This Row],[ID]], Table4[ID], Table4[Store], "Not Found", 0)</f>
        <v>12</v>
      </c>
      <c r="V441" s="16">
        <f>_xlfn.XLOOKUP(CustomerCombinedCleaned[[#This Row],[ID]], Table4[ID], Table4[Visits], "Not Found", 0)</f>
        <v>7</v>
      </c>
      <c r="W441" s="16">
        <f>_xlfn.XLOOKUP(CustomerCombinedCleaned[[#This Row],[ID]], Table2[ID],Table2[Complaint], "Not Found", 0 )</f>
        <v>0</v>
      </c>
      <c r="X441" s="16">
        <f>_xlfn.XLOOKUP(CustomerCombinedCleaned[[#This Row],[ID]], Table2[ID],Table2[Pilot], "Not Found", 0 )</f>
        <v>0</v>
      </c>
      <c r="Y441" s="16">
        <f>_xlfn.XLOOKUP(CustomerCombinedCleaned[[#This Row],[ID]], Table2[ID],Table2[MC1], "Not Found", 0 )</f>
        <v>0</v>
      </c>
      <c r="Z441" s="16">
        <f>_xlfn.XLOOKUP(CustomerCombinedCleaned[[#This Row],[ID]], Table2[ID],Table2[MC2], "Not Found", 0 )</f>
        <v>0</v>
      </c>
      <c r="AA441" s="16">
        <f>_xlfn.XLOOKUP(CustomerCombinedCleaned[[#This Row],[ID]], Table2[ID],Table2[MC3], "Not Found", 0 )</f>
        <v>0</v>
      </c>
      <c r="AB441" s="16">
        <f>_xlfn.XLOOKUP(CustomerCombinedCleaned[[#This Row],[ID]], Table2[ID],Table2[MC4], "Not Found", 0 )</f>
        <v>0</v>
      </c>
      <c r="AC441" s="16">
        <f>_xlfn.XLOOKUP(CustomerCombinedCleaned[[#This Row],[ID]], Table2[ID],Table2[MC5], "Not Found", 0 )</f>
        <v>0</v>
      </c>
    </row>
    <row r="442" spans="1:29" x14ac:dyDescent="0.3">
      <c r="A442" s="18">
        <v>1495</v>
      </c>
      <c r="B442" s="16">
        <v>160152</v>
      </c>
      <c r="C442" s="16">
        <v>0</v>
      </c>
      <c r="D442" s="16">
        <v>1</v>
      </c>
      <c r="E442" s="16">
        <v>41</v>
      </c>
      <c r="F442" s="17" t="s">
        <v>7</v>
      </c>
      <c r="G442" s="17" t="s">
        <v>11</v>
      </c>
      <c r="H442" s="3" t="s">
        <v>602</v>
      </c>
      <c r="I442" s="5" t="s">
        <v>437</v>
      </c>
      <c r="J442" s="16">
        <f>_xlfn.XLOOKUP(CustomerCombinedCleaned[[#This Row],[ID]], Table4[ID], Table4[Recency], "Not Found", 0)</f>
        <v>6</v>
      </c>
      <c r="K442" s="16">
        <f>_xlfn.XLOOKUP(CustomerCombinedCleaned[[#This Row],[ID]], Table4[ID], Table4[Teas], "Not Found", 0)</f>
        <v>865</v>
      </c>
      <c r="L442" s="16">
        <f>_xlfn.XLOOKUP(CustomerCombinedCleaned[[#This Row],[ID]], Table4[ID], Table4[Fruits], "Not Found", 0)</f>
        <v>221</v>
      </c>
      <c r="M442" s="16">
        <f>_xlfn.XLOOKUP(CustomerCombinedCleaned[[#This Row],[ID]], Table4[ID], Table4[Meats], "Not Found", 0)</f>
        <v>799</v>
      </c>
      <c r="N442" s="16">
        <f>_xlfn.XLOOKUP(CustomerCombinedCleaned[[#This Row],[ID]], Table4[ID], Table4[Seafood], "Not Found", 0)</f>
        <v>229</v>
      </c>
      <c r="O442" s="16">
        <f>_xlfn.XLOOKUP(CustomerCombinedCleaned[[#This Row],[ID]], Table4[ID], Table4[Sweets], "Not Found", 0)</f>
        <v>154</v>
      </c>
      <c r="P442" s="16">
        <f>_xlfn.XLOOKUP(CustomerCombinedCleaned[[#This Row],[ID]], Table4[ID], Table4[Premium], "Not Found", 0)</f>
        <v>242</v>
      </c>
      <c r="Q442" s="16">
        <f>_xlfn.XLOOKUP(CustomerCombinedCleaned[[#This Row],[ID]], Table4[ID], Table4[Regular], "Not Found", 0)</f>
        <v>2026</v>
      </c>
      <c r="R442" s="16">
        <f>_xlfn.XLOOKUP(CustomerCombinedCleaned[[#This Row],[ID]], Table4[ID], Table4[Deals], "Not Found", 0)</f>
        <v>1</v>
      </c>
      <c r="S442" s="16">
        <f>_xlfn.XLOOKUP(CustomerCombinedCleaned[[#This Row],[ID]], Table4[ID], Table4[Website], "Not Found", 0)</f>
        <v>6</v>
      </c>
      <c r="T442" s="16">
        <f>_xlfn.XLOOKUP(CustomerCombinedCleaned[[#This Row],[ID]], Table4[ID], Table4[Catalog], "Not Found", 0)</f>
        <v>4</v>
      </c>
      <c r="U442" s="16">
        <f>_xlfn.XLOOKUP(CustomerCombinedCleaned[[#This Row],[ID]], Table4[ID], Table4[Store], "Not Found", 0)</f>
        <v>12</v>
      </c>
      <c r="V442" s="16">
        <f>_xlfn.XLOOKUP(CustomerCombinedCleaned[[#This Row],[ID]], Table4[ID], Table4[Visits], "Not Found", 0)</f>
        <v>3</v>
      </c>
      <c r="W442" s="16">
        <f>_xlfn.XLOOKUP(CustomerCombinedCleaned[[#This Row],[ID]], Table2[ID],Table2[Complaint], "Not Found", 0 )</f>
        <v>0</v>
      </c>
      <c r="X442" s="16">
        <f>_xlfn.XLOOKUP(CustomerCombinedCleaned[[#This Row],[ID]], Table2[ID],Table2[Pilot], "Not Found", 0 )</f>
        <v>0</v>
      </c>
      <c r="Y442" s="16">
        <f>_xlfn.XLOOKUP(CustomerCombinedCleaned[[#This Row],[ID]], Table2[ID],Table2[MC1], "Not Found", 0 )</f>
        <v>0</v>
      </c>
      <c r="Z442" s="16">
        <f>_xlfn.XLOOKUP(CustomerCombinedCleaned[[#This Row],[ID]], Table2[ID],Table2[MC2], "Not Found", 0 )</f>
        <v>0</v>
      </c>
      <c r="AA442" s="16">
        <f>_xlfn.XLOOKUP(CustomerCombinedCleaned[[#This Row],[ID]], Table2[ID],Table2[MC3], "Not Found", 0 )</f>
        <v>0</v>
      </c>
      <c r="AB442" s="16">
        <f>_xlfn.XLOOKUP(CustomerCombinedCleaned[[#This Row],[ID]], Table2[ID],Table2[MC4], "Not Found", 0 )</f>
        <v>0</v>
      </c>
      <c r="AC442" s="16">
        <f>_xlfn.XLOOKUP(CustomerCombinedCleaned[[#This Row],[ID]], Table2[ID],Table2[MC5], "Not Found", 0 )</f>
        <v>0</v>
      </c>
    </row>
    <row r="443" spans="1:29" x14ac:dyDescent="0.3">
      <c r="A443" s="18">
        <v>3188</v>
      </c>
      <c r="B443" s="16">
        <v>158025</v>
      </c>
      <c r="C443" s="16">
        <v>0</v>
      </c>
      <c r="D443" s="16">
        <v>1</v>
      </c>
      <c r="E443" s="16">
        <v>41</v>
      </c>
      <c r="F443" s="17" t="s">
        <v>6</v>
      </c>
      <c r="G443" s="17" t="s">
        <v>11</v>
      </c>
      <c r="H443" s="3" t="s">
        <v>623</v>
      </c>
      <c r="I443" s="5" t="s">
        <v>438</v>
      </c>
      <c r="J443" s="16">
        <f>_xlfn.XLOOKUP(CustomerCombinedCleaned[[#This Row],[ID]], Table4[ID], Table4[Recency], "Not Found", 0)</f>
        <v>81</v>
      </c>
      <c r="K443" s="16">
        <f>_xlfn.XLOOKUP(CustomerCombinedCleaned[[#This Row],[ID]], Table4[ID], Table4[Teas], "Not Found", 0)</f>
        <v>735</v>
      </c>
      <c r="L443" s="16">
        <f>_xlfn.XLOOKUP(CustomerCombinedCleaned[[#This Row],[ID]], Table4[ID], Table4[Fruits], "Not Found", 0)</f>
        <v>84</v>
      </c>
      <c r="M443" s="16">
        <f>_xlfn.XLOOKUP(CustomerCombinedCleaned[[#This Row],[ID]], Table4[ID], Table4[Meats], "Not Found", 0)</f>
        <v>240</v>
      </c>
      <c r="N443" s="16">
        <f>_xlfn.XLOOKUP(CustomerCombinedCleaned[[#This Row],[ID]], Table4[ID], Table4[Seafood], "Not Found", 0)</f>
        <v>30</v>
      </c>
      <c r="O443" s="16">
        <f>_xlfn.XLOOKUP(CustomerCombinedCleaned[[#This Row],[ID]], Table4[ID], Table4[Sweets], "Not Found", 0)</f>
        <v>131</v>
      </c>
      <c r="P443" s="16">
        <f>_xlfn.XLOOKUP(CustomerCombinedCleaned[[#This Row],[ID]], Table4[ID], Table4[Premium], "Not Found", 0)</f>
        <v>60</v>
      </c>
      <c r="Q443" s="16">
        <f>_xlfn.XLOOKUP(CustomerCombinedCleaned[[#This Row],[ID]], Table4[ID], Table4[Regular], "Not Found", 0)</f>
        <v>1160</v>
      </c>
      <c r="R443" s="16">
        <f>_xlfn.XLOOKUP(CustomerCombinedCleaned[[#This Row],[ID]], Table4[ID], Table4[Deals], "Not Found", 0)</f>
        <v>3</v>
      </c>
      <c r="S443" s="16">
        <f>_xlfn.XLOOKUP(CustomerCombinedCleaned[[#This Row],[ID]], Table4[ID], Table4[Website], "Not Found", 0)</f>
        <v>3</v>
      </c>
      <c r="T443" s="16">
        <f>_xlfn.XLOOKUP(CustomerCombinedCleaned[[#This Row],[ID]], Table4[ID], Table4[Catalog], "Not Found", 0)</f>
        <v>2</v>
      </c>
      <c r="U443" s="16">
        <f>_xlfn.XLOOKUP(CustomerCombinedCleaned[[#This Row],[ID]], Table4[ID], Table4[Store], "Not Found", 0)</f>
        <v>10</v>
      </c>
      <c r="V443" s="16">
        <f>_xlfn.XLOOKUP(CustomerCombinedCleaned[[#This Row],[ID]], Table4[ID], Table4[Visits], "Not Found", 0)</f>
        <v>4</v>
      </c>
      <c r="W443" s="16">
        <f>_xlfn.XLOOKUP(CustomerCombinedCleaned[[#This Row],[ID]], Table2[ID],Table2[Complaint], "Not Found", 0 )</f>
        <v>0</v>
      </c>
      <c r="X443" s="16">
        <f>_xlfn.XLOOKUP(CustomerCombinedCleaned[[#This Row],[ID]], Table2[ID],Table2[Pilot], "Not Found", 0 )</f>
        <v>0</v>
      </c>
      <c r="Y443" s="16">
        <f>_xlfn.XLOOKUP(CustomerCombinedCleaned[[#This Row],[ID]], Table2[ID],Table2[MC1], "Not Found", 0 )</f>
        <v>0</v>
      </c>
      <c r="Z443" s="16">
        <f>_xlfn.XLOOKUP(CustomerCombinedCleaned[[#This Row],[ID]], Table2[ID],Table2[MC2], "Not Found", 0 )</f>
        <v>0</v>
      </c>
      <c r="AA443" s="16">
        <f>_xlfn.XLOOKUP(CustomerCombinedCleaned[[#This Row],[ID]], Table2[ID],Table2[MC3], "Not Found", 0 )</f>
        <v>0</v>
      </c>
      <c r="AB443" s="16">
        <f>_xlfn.XLOOKUP(CustomerCombinedCleaned[[#This Row],[ID]], Table2[ID],Table2[MC4], "Not Found", 0 )</f>
        <v>0</v>
      </c>
      <c r="AC443" s="16">
        <f>_xlfn.XLOOKUP(CustomerCombinedCleaned[[#This Row],[ID]], Table2[ID],Table2[MC5], "Not Found", 0 )</f>
        <v>0</v>
      </c>
    </row>
    <row r="444" spans="1:29" x14ac:dyDescent="0.3">
      <c r="A444" s="18">
        <v>2391</v>
      </c>
      <c r="B444" s="16">
        <v>157537</v>
      </c>
      <c r="C444" s="16">
        <v>1</v>
      </c>
      <c r="D444" s="16">
        <v>0</v>
      </c>
      <c r="E444" s="16">
        <v>41</v>
      </c>
      <c r="F444" s="17" t="s">
        <v>7</v>
      </c>
      <c r="G444" s="17" t="s">
        <v>11</v>
      </c>
      <c r="H444" s="3" t="s">
        <v>242</v>
      </c>
      <c r="I444" s="5" t="s">
        <v>435</v>
      </c>
      <c r="J444" s="16">
        <f>_xlfn.XLOOKUP(CustomerCombinedCleaned[[#This Row],[ID]], Table4[ID], Table4[Recency], "Not Found", 0)</f>
        <v>83</v>
      </c>
      <c r="K444" s="16">
        <f>_xlfn.XLOOKUP(CustomerCombinedCleaned[[#This Row],[ID]], Table4[ID], Table4[Teas], "Not Found", 0)</f>
        <v>523</v>
      </c>
      <c r="L444" s="16">
        <f>_xlfn.XLOOKUP(CustomerCombinedCleaned[[#This Row],[ID]], Table4[ID], Table4[Fruits], "Not Found", 0)</f>
        <v>153</v>
      </c>
      <c r="M444" s="16">
        <f>_xlfn.XLOOKUP(CustomerCombinedCleaned[[#This Row],[ID]], Table4[ID], Table4[Meats], "Not Found", 0)</f>
        <v>381</v>
      </c>
      <c r="N444" s="16">
        <f>_xlfn.XLOOKUP(CustomerCombinedCleaned[[#This Row],[ID]], Table4[ID], Table4[Seafood], "Not Found", 0)</f>
        <v>140</v>
      </c>
      <c r="O444" s="16">
        <f>_xlfn.XLOOKUP(CustomerCombinedCleaned[[#This Row],[ID]], Table4[ID], Table4[Sweets], "Not Found", 0)</f>
        <v>22</v>
      </c>
      <c r="P444" s="16">
        <f>_xlfn.XLOOKUP(CustomerCombinedCleaned[[#This Row],[ID]], Table4[ID], Table4[Premium], "Not Found", 0)</f>
        <v>274</v>
      </c>
      <c r="Q444" s="16">
        <f>_xlfn.XLOOKUP(CustomerCombinedCleaned[[#This Row],[ID]], Table4[ID], Table4[Regular], "Not Found", 0)</f>
        <v>945</v>
      </c>
      <c r="R444" s="16">
        <f>_xlfn.XLOOKUP(CustomerCombinedCleaned[[#This Row],[ID]], Table4[ID], Table4[Deals], "Not Found", 0)</f>
        <v>4</v>
      </c>
      <c r="S444" s="16">
        <f>_xlfn.XLOOKUP(CustomerCombinedCleaned[[#This Row],[ID]], Table4[ID], Table4[Website], "Not Found", 0)</f>
        <v>4</v>
      </c>
      <c r="T444" s="16">
        <f>_xlfn.XLOOKUP(CustomerCombinedCleaned[[#This Row],[ID]], Table4[ID], Table4[Catalog], "Not Found", 0)</f>
        <v>3</v>
      </c>
      <c r="U444" s="16">
        <f>_xlfn.XLOOKUP(CustomerCombinedCleaned[[#This Row],[ID]], Table4[ID], Table4[Store], "Not Found", 0)</f>
        <v>8</v>
      </c>
      <c r="V444" s="16">
        <f>_xlfn.XLOOKUP(CustomerCombinedCleaned[[#This Row],[ID]], Table4[ID], Table4[Visits], "Not Found", 0)</f>
        <v>4</v>
      </c>
      <c r="W444" s="16">
        <f>_xlfn.XLOOKUP(CustomerCombinedCleaned[[#This Row],[ID]], Table2[ID],Table2[Complaint], "Not Found", 0 )</f>
        <v>0</v>
      </c>
      <c r="X444" s="16">
        <f>_xlfn.XLOOKUP(CustomerCombinedCleaned[[#This Row],[ID]], Table2[ID],Table2[Pilot], "Not Found", 0 )</f>
        <v>0</v>
      </c>
      <c r="Y444" s="16">
        <f>_xlfn.XLOOKUP(CustomerCombinedCleaned[[#This Row],[ID]], Table2[ID],Table2[MC1], "Not Found", 0 )</f>
        <v>0</v>
      </c>
      <c r="Z444" s="16">
        <f>_xlfn.XLOOKUP(CustomerCombinedCleaned[[#This Row],[ID]], Table2[ID],Table2[MC2], "Not Found", 0 )</f>
        <v>0</v>
      </c>
      <c r="AA444" s="16">
        <f>_xlfn.XLOOKUP(CustomerCombinedCleaned[[#This Row],[ID]], Table2[ID],Table2[MC3], "Not Found", 0 )</f>
        <v>0</v>
      </c>
      <c r="AB444" s="16">
        <f>_xlfn.XLOOKUP(CustomerCombinedCleaned[[#This Row],[ID]], Table2[ID],Table2[MC4], "Not Found", 0 )</f>
        <v>0</v>
      </c>
      <c r="AC444" s="16">
        <f>_xlfn.XLOOKUP(CustomerCombinedCleaned[[#This Row],[ID]], Table2[ID],Table2[MC5], "Not Found", 0 )</f>
        <v>0</v>
      </c>
    </row>
    <row r="445" spans="1:29" x14ac:dyDescent="0.3">
      <c r="A445" s="18">
        <v>3209</v>
      </c>
      <c r="B445" s="16">
        <v>157313</v>
      </c>
      <c r="C445" s="16">
        <v>1</v>
      </c>
      <c r="D445" s="16">
        <v>1</v>
      </c>
      <c r="E445" s="16">
        <v>41</v>
      </c>
      <c r="F445" s="17" t="s">
        <v>6</v>
      </c>
      <c r="G445" s="17" t="s">
        <v>11</v>
      </c>
      <c r="H445" s="3" t="s">
        <v>284</v>
      </c>
      <c r="I445" s="5" t="s">
        <v>434</v>
      </c>
      <c r="J445" s="16">
        <f>_xlfn.XLOOKUP(CustomerCombinedCleaned[[#This Row],[ID]], Table4[ID], Table4[Recency], "Not Found", 0)</f>
        <v>87</v>
      </c>
      <c r="K445" s="16">
        <f>_xlfn.XLOOKUP(CustomerCombinedCleaned[[#This Row],[ID]], Table4[ID], Table4[Teas], "Not Found", 0)</f>
        <v>1254</v>
      </c>
      <c r="L445" s="16">
        <f>_xlfn.XLOOKUP(CustomerCombinedCleaned[[#This Row],[ID]], Table4[ID], Table4[Fruits], "Not Found", 0)</f>
        <v>14</v>
      </c>
      <c r="M445" s="16">
        <f>_xlfn.XLOOKUP(CustomerCombinedCleaned[[#This Row],[ID]], Table4[ID], Table4[Meats], "Not Found", 0)</f>
        <v>291</v>
      </c>
      <c r="N445" s="16">
        <f>_xlfn.XLOOKUP(CustomerCombinedCleaned[[#This Row],[ID]], Table4[ID], Table4[Seafood], "Not Found", 0)</f>
        <v>41</v>
      </c>
      <c r="O445" s="16">
        <f>_xlfn.XLOOKUP(CustomerCombinedCleaned[[#This Row],[ID]], Table4[ID], Table4[Sweets], "Not Found", 0)</f>
        <v>47</v>
      </c>
      <c r="P445" s="16">
        <f>_xlfn.XLOOKUP(CustomerCombinedCleaned[[#This Row],[ID]], Table4[ID], Table4[Premium], "Not Found", 0)</f>
        <v>145</v>
      </c>
      <c r="Q445" s="16">
        <f>_xlfn.XLOOKUP(CustomerCombinedCleaned[[#This Row],[ID]], Table4[ID], Table4[Regular], "Not Found", 0)</f>
        <v>1501</v>
      </c>
      <c r="R445" s="16">
        <f>_xlfn.XLOOKUP(CustomerCombinedCleaned[[#This Row],[ID]], Table4[ID], Table4[Deals], "Not Found", 0)</f>
        <v>8</v>
      </c>
      <c r="S445" s="16">
        <f>_xlfn.XLOOKUP(CustomerCombinedCleaned[[#This Row],[ID]], Table4[ID], Table4[Website], "Not Found", 0)</f>
        <v>11</v>
      </c>
      <c r="T445" s="16">
        <f>_xlfn.XLOOKUP(CustomerCombinedCleaned[[#This Row],[ID]], Table4[ID], Table4[Catalog], "Not Found", 0)</f>
        <v>1</v>
      </c>
      <c r="U445" s="16">
        <f>_xlfn.XLOOKUP(CustomerCombinedCleaned[[#This Row],[ID]], Table4[ID], Table4[Store], "Not Found", 0)</f>
        <v>6</v>
      </c>
      <c r="V445" s="16">
        <f>_xlfn.XLOOKUP(CustomerCombinedCleaned[[#This Row],[ID]], Table4[ID], Table4[Visits], "Not Found", 0)</f>
        <v>8</v>
      </c>
      <c r="W445" s="16">
        <f>_xlfn.XLOOKUP(CustomerCombinedCleaned[[#This Row],[ID]], Table2[ID],Table2[Complaint], "Not Found", 0 )</f>
        <v>0</v>
      </c>
      <c r="X445" s="16">
        <f>_xlfn.XLOOKUP(CustomerCombinedCleaned[[#This Row],[ID]], Table2[ID],Table2[Pilot], "Not Found", 0 )</f>
        <v>0</v>
      </c>
      <c r="Y445" s="16">
        <f>_xlfn.XLOOKUP(CustomerCombinedCleaned[[#This Row],[ID]], Table2[ID],Table2[MC1], "Not Found", 0 )</f>
        <v>0</v>
      </c>
      <c r="Z445" s="16">
        <f>_xlfn.XLOOKUP(CustomerCombinedCleaned[[#This Row],[ID]], Table2[ID],Table2[MC2], "Not Found", 0 )</f>
        <v>0</v>
      </c>
      <c r="AA445" s="16">
        <f>_xlfn.XLOOKUP(CustomerCombinedCleaned[[#This Row],[ID]], Table2[ID],Table2[MC3], "Not Found", 0 )</f>
        <v>0</v>
      </c>
      <c r="AB445" s="16">
        <f>_xlfn.XLOOKUP(CustomerCombinedCleaned[[#This Row],[ID]], Table2[ID],Table2[MC4], "Not Found", 0 )</f>
        <v>0</v>
      </c>
      <c r="AC445" s="16">
        <f>_xlfn.XLOOKUP(CustomerCombinedCleaned[[#This Row],[ID]], Table2[ID],Table2[MC5], "Not Found", 0 )</f>
        <v>0</v>
      </c>
    </row>
    <row r="446" spans="1:29" x14ac:dyDescent="0.3">
      <c r="A446" s="18">
        <v>2080</v>
      </c>
      <c r="B446" s="16">
        <v>156775</v>
      </c>
      <c r="C446" s="16">
        <v>0</v>
      </c>
      <c r="D446" s="16">
        <v>1</v>
      </c>
      <c r="E446" s="16">
        <v>41</v>
      </c>
      <c r="F446" s="17" t="s">
        <v>6</v>
      </c>
      <c r="G446" s="17" t="s">
        <v>11</v>
      </c>
      <c r="H446" s="3" t="s">
        <v>564</v>
      </c>
      <c r="I446" s="5" t="s">
        <v>439</v>
      </c>
      <c r="J446" s="16">
        <f>_xlfn.XLOOKUP(CustomerCombinedCleaned[[#This Row],[ID]], Table4[ID], Table4[Recency], "Not Found", 0)</f>
        <v>62</v>
      </c>
      <c r="K446" s="16">
        <f>_xlfn.XLOOKUP(CustomerCombinedCleaned[[#This Row],[ID]], Table4[ID], Table4[Teas], "Not Found", 0)</f>
        <v>1695</v>
      </c>
      <c r="L446" s="16">
        <f>_xlfn.XLOOKUP(CustomerCombinedCleaned[[#This Row],[ID]], Table4[ID], Table4[Fruits], "Not Found", 0)</f>
        <v>97</v>
      </c>
      <c r="M446" s="16">
        <f>_xlfn.XLOOKUP(CustomerCombinedCleaned[[#This Row],[ID]], Table4[ID], Table4[Meats], "Not Found", 0)</f>
        <v>442</v>
      </c>
      <c r="N446" s="16">
        <f>_xlfn.XLOOKUP(CustomerCombinedCleaned[[#This Row],[ID]], Table4[ID], Table4[Seafood], "Not Found", 0)</f>
        <v>160</v>
      </c>
      <c r="O446" s="16">
        <f>_xlfn.XLOOKUP(CustomerCombinedCleaned[[#This Row],[ID]], Table4[ID], Table4[Sweets], "Not Found", 0)</f>
        <v>97</v>
      </c>
      <c r="P446" s="16">
        <f>_xlfn.XLOOKUP(CustomerCombinedCleaned[[#This Row],[ID]], Table4[ID], Table4[Premium], "Not Found", 0)</f>
        <v>97</v>
      </c>
      <c r="Q446" s="16">
        <f>_xlfn.XLOOKUP(CustomerCombinedCleaned[[#This Row],[ID]], Table4[ID], Table4[Regular], "Not Found", 0)</f>
        <v>2394</v>
      </c>
      <c r="R446" s="16">
        <f>_xlfn.XLOOKUP(CustomerCombinedCleaned[[#This Row],[ID]], Table4[ID], Table4[Deals], "Not Found", 0)</f>
        <v>2</v>
      </c>
      <c r="S446" s="16">
        <f>_xlfn.XLOOKUP(CustomerCombinedCleaned[[#This Row],[ID]], Table4[ID], Table4[Website], "Not Found", 0)</f>
        <v>5</v>
      </c>
      <c r="T446" s="16">
        <f>_xlfn.XLOOKUP(CustomerCombinedCleaned[[#This Row],[ID]], Table4[ID], Table4[Catalog], "Not Found", 0)</f>
        <v>8</v>
      </c>
      <c r="U446" s="16">
        <f>_xlfn.XLOOKUP(CustomerCombinedCleaned[[#This Row],[ID]], Table4[ID], Table4[Store], "Not Found", 0)</f>
        <v>10</v>
      </c>
      <c r="V446" s="16">
        <f>_xlfn.XLOOKUP(CustomerCombinedCleaned[[#This Row],[ID]], Table4[ID], Table4[Visits], "Not Found", 0)</f>
        <v>5</v>
      </c>
      <c r="W446" s="16">
        <f>_xlfn.XLOOKUP(CustomerCombinedCleaned[[#This Row],[ID]], Table2[ID],Table2[Complaint], "Not Found", 0 )</f>
        <v>0</v>
      </c>
      <c r="X446" s="16">
        <f>_xlfn.XLOOKUP(CustomerCombinedCleaned[[#This Row],[ID]], Table2[ID],Table2[Pilot], "Not Found", 0 )</f>
        <v>0</v>
      </c>
      <c r="Y446" s="16">
        <f>_xlfn.XLOOKUP(CustomerCombinedCleaned[[#This Row],[ID]], Table2[ID],Table2[MC1], "Not Found", 0 )</f>
        <v>0</v>
      </c>
      <c r="Z446" s="16">
        <f>_xlfn.XLOOKUP(CustomerCombinedCleaned[[#This Row],[ID]], Table2[ID],Table2[MC2], "Not Found", 0 )</f>
        <v>0</v>
      </c>
      <c r="AA446" s="16">
        <f>_xlfn.XLOOKUP(CustomerCombinedCleaned[[#This Row],[ID]], Table2[ID],Table2[MC3], "Not Found", 0 )</f>
        <v>0</v>
      </c>
      <c r="AB446" s="16">
        <f>_xlfn.XLOOKUP(CustomerCombinedCleaned[[#This Row],[ID]], Table2[ID],Table2[MC4], "Not Found", 0 )</f>
        <v>0</v>
      </c>
      <c r="AC446" s="16">
        <f>_xlfn.XLOOKUP(CustomerCombinedCleaned[[#This Row],[ID]], Table2[ID],Table2[MC5], "Not Found", 0 )</f>
        <v>0</v>
      </c>
    </row>
    <row r="447" spans="1:29" x14ac:dyDescent="0.3">
      <c r="A447" s="18">
        <v>2082</v>
      </c>
      <c r="B447" s="16">
        <v>154210</v>
      </c>
      <c r="C447" s="16">
        <v>0</v>
      </c>
      <c r="D447" s="16">
        <v>1</v>
      </c>
      <c r="E447" s="16">
        <v>41</v>
      </c>
      <c r="F447" s="17" t="s">
        <v>6</v>
      </c>
      <c r="G447" s="17" t="s">
        <v>11</v>
      </c>
      <c r="H447" s="3" t="s">
        <v>251</v>
      </c>
      <c r="I447" s="5" t="s">
        <v>436</v>
      </c>
      <c r="J447" s="16">
        <f>_xlfn.XLOOKUP(CustomerCombinedCleaned[[#This Row],[ID]], Table4[ID], Table4[Recency], "Not Found", 0)</f>
        <v>18</v>
      </c>
      <c r="K447" s="16">
        <f>_xlfn.XLOOKUP(CustomerCombinedCleaned[[#This Row],[ID]], Table4[ID], Table4[Teas], "Not Found", 0)</f>
        <v>199</v>
      </c>
      <c r="L447" s="16">
        <f>_xlfn.XLOOKUP(CustomerCombinedCleaned[[#This Row],[ID]], Table4[ID], Table4[Fruits], "Not Found", 0)</f>
        <v>154</v>
      </c>
      <c r="M447" s="16">
        <f>_xlfn.XLOOKUP(CustomerCombinedCleaned[[#This Row],[ID]], Table4[ID], Table4[Meats], "Not Found", 0)</f>
        <v>310</v>
      </c>
      <c r="N447" s="16">
        <f>_xlfn.XLOOKUP(CustomerCombinedCleaned[[#This Row],[ID]], Table4[ID], Table4[Seafood], "Not Found", 0)</f>
        <v>228</v>
      </c>
      <c r="O447" s="16">
        <f>_xlfn.XLOOKUP(CustomerCombinedCleaned[[#This Row],[ID]], Table4[ID], Table4[Sweets], "Not Found", 0)</f>
        <v>26</v>
      </c>
      <c r="P447" s="16">
        <f>_xlfn.XLOOKUP(CustomerCombinedCleaned[[#This Row],[ID]], Table4[ID], Table4[Premium], "Not Found", 0)</f>
        <v>128</v>
      </c>
      <c r="Q447" s="16">
        <f>_xlfn.XLOOKUP(CustomerCombinedCleaned[[#This Row],[ID]], Table4[ID], Table4[Regular], "Not Found", 0)</f>
        <v>788</v>
      </c>
      <c r="R447" s="16">
        <f>_xlfn.XLOOKUP(CustomerCombinedCleaned[[#This Row],[ID]], Table4[ID], Table4[Deals], "Not Found", 0)</f>
        <v>2</v>
      </c>
      <c r="S447" s="16">
        <f>_xlfn.XLOOKUP(CustomerCombinedCleaned[[#This Row],[ID]], Table4[ID], Table4[Website], "Not Found", 0)</f>
        <v>4</v>
      </c>
      <c r="T447" s="16">
        <f>_xlfn.XLOOKUP(CustomerCombinedCleaned[[#This Row],[ID]], Table4[ID], Table4[Catalog], "Not Found", 0)</f>
        <v>1</v>
      </c>
      <c r="U447" s="16">
        <f>_xlfn.XLOOKUP(CustomerCombinedCleaned[[#This Row],[ID]], Table4[ID], Table4[Store], "Not Found", 0)</f>
        <v>7</v>
      </c>
      <c r="V447" s="16">
        <f>_xlfn.XLOOKUP(CustomerCombinedCleaned[[#This Row],[ID]], Table4[ID], Table4[Visits], "Not Found", 0)</f>
        <v>5</v>
      </c>
      <c r="W447" s="16">
        <f>_xlfn.XLOOKUP(CustomerCombinedCleaned[[#This Row],[ID]], Table2[ID],Table2[Complaint], "Not Found", 0 )</f>
        <v>0</v>
      </c>
      <c r="X447" s="16">
        <f>_xlfn.XLOOKUP(CustomerCombinedCleaned[[#This Row],[ID]], Table2[ID],Table2[Pilot], "Not Found", 0 )</f>
        <v>0</v>
      </c>
      <c r="Y447" s="16">
        <f>_xlfn.XLOOKUP(CustomerCombinedCleaned[[#This Row],[ID]], Table2[ID],Table2[MC1], "Not Found", 0 )</f>
        <v>0</v>
      </c>
      <c r="Z447" s="16">
        <f>_xlfn.XLOOKUP(CustomerCombinedCleaned[[#This Row],[ID]], Table2[ID],Table2[MC2], "Not Found", 0 )</f>
        <v>0</v>
      </c>
      <c r="AA447" s="16">
        <f>_xlfn.XLOOKUP(CustomerCombinedCleaned[[#This Row],[ID]], Table2[ID],Table2[MC3], "Not Found", 0 )</f>
        <v>0</v>
      </c>
      <c r="AB447" s="16">
        <f>_xlfn.XLOOKUP(CustomerCombinedCleaned[[#This Row],[ID]], Table2[ID],Table2[MC4], "Not Found", 0 )</f>
        <v>0</v>
      </c>
      <c r="AC447" s="16">
        <f>_xlfn.XLOOKUP(CustomerCombinedCleaned[[#This Row],[ID]], Table2[ID],Table2[MC5], "Not Found", 0 )</f>
        <v>0</v>
      </c>
    </row>
    <row r="448" spans="1:29" x14ac:dyDescent="0.3">
      <c r="A448" s="18">
        <v>2104</v>
      </c>
      <c r="B448" s="16">
        <v>148526</v>
      </c>
      <c r="C448" s="16">
        <v>1</v>
      </c>
      <c r="D448" s="16">
        <v>0</v>
      </c>
      <c r="E448" s="16">
        <v>41</v>
      </c>
      <c r="F448" s="17" t="s">
        <v>7</v>
      </c>
      <c r="G448" s="17" t="s">
        <v>11</v>
      </c>
      <c r="H448" s="3" t="s">
        <v>124</v>
      </c>
      <c r="I448" s="5" t="s">
        <v>439</v>
      </c>
      <c r="J448" s="16">
        <f>_xlfn.XLOOKUP(CustomerCombinedCleaned[[#This Row],[ID]], Table4[ID], Table4[Recency], "Not Found", 0)</f>
        <v>32</v>
      </c>
      <c r="K448" s="16">
        <f>_xlfn.XLOOKUP(CustomerCombinedCleaned[[#This Row],[ID]], Table4[ID], Table4[Teas], "Not Found", 0)</f>
        <v>70</v>
      </c>
      <c r="L448" s="16">
        <f>_xlfn.XLOOKUP(CustomerCombinedCleaned[[#This Row],[ID]], Table4[ID], Table4[Fruits], "Not Found", 0)</f>
        <v>52</v>
      </c>
      <c r="M448" s="16">
        <f>_xlfn.XLOOKUP(CustomerCombinedCleaned[[#This Row],[ID]], Table4[ID], Table4[Meats], "Not Found", 0)</f>
        <v>70</v>
      </c>
      <c r="N448" s="16">
        <f>_xlfn.XLOOKUP(CustomerCombinedCleaned[[#This Row],[ID]], Table4[ID], Table4[Seafood], "Not Found", 0)</f>
        <v>132</v>
      </c>
      <c r="O448" s="16">
        <f>_xlfn.XLOOKUP(CustomerCombinedCleaned[[#This Row],[ID]], Table4[ID], Table4[Sweets], "Not Found", 0)</f>
        <v>61</v>
      </c>
      <c r="P448" s="16">
        <f>_xlfn.XLOOKUP(CustomerCombinedCleaned[[#This Row],[ID]], Table4[ID], Table4[Premium], "Not Found", 0)</f>
        <v>28</v>
      </c>
      <c r="Q448" s="16">
        <f>_xlfn.XLOOKUP(CustomerCombinedCleaned[[#This Row],[ID]], Table4[ID], Table4[Regular], "Not Found", 0)</f>
        <v>358</v>
      </c>
      <c r="R448" s="16">
        <f>_xlfn.XLOOKUP(CustomerCombinedCleaned[[#This Row],[ID]], Table4[ID], Table4[Deals], "Not Found", 0)</f>
        <v>1</v>
      </c>
      <c r="S448" s="16">
        <f>_xlfn.XLOOKUP(CustomerCombinedCleaned[[#This Row],[ID]], Table4[ID], Table4[Website], "Not Found", 0)</f>
        <v>2</v>
      </c>
      <c r="T448" s="16">
        <f>_xlfn.XLOOKUP(CustomerCombinedCleaned[[#This Row],[ID]], Table4[ID], Table4[Catalog], "Not Found", 0)</f>
        <v>1</v>
      </c>
      <c r="U448" s="16">
        <f>_xlfn.XLOOKUP(CustomerCombinedCleaned[[#This Row],[ID]], Table4[ID], Table4[Store], "Not Found", 0)</f>
        <v>4</v>
      </c>
      <c r="V448" s="16">
        <f>_xlfn.XLOOKUP(CustomerCombinedCleaned[[#This Row],[ID]], Table4[ID], Table4[Visits], "Not Found", 0)</f>
        <v>3</v>
      </c>
      <c r="W448" s="16">
        <f>_xlfn.XLOOKUP(CustomerCombinedCleaned[[#This Row],[ID]], Table2[ID],Table2[Complaint], "Not Found", 0 )</f>
        <v>0</v>
      </c>
      <c r="X448" s="16">
        <f>_xlfn.XLOOKUP(CustomerCombinedCleaned[[#This Row],[ID]], Table2[ID],Table2[Pilot], "Not Found", 0 )</f>
        <v>0</v>
      </c>
      <c r="Y448" s="16">
        <f>_xlfn.XLOOKUP(CustomerCombinedCleaned[[#This Row],[ID]], Table2[ID],Table2[MC1], "Not Found", 0 )</f>
        <v>0</v>
      </c>
      <c r="Z448" s="16">
        <f>_xlfn.XLOOKUP(CustomerCombinedCleaned[[#This Row],[ID]], Table2[ID],Table2[MC2], "Not Found", 0 )</f>
        <v>0</v>
      </c>
      <c r="AA448" s="16">
        <f>_xlfn.XLOOKUP(CustomerCombinedCleaned[[#This Row],[ID]], Table2[ID],Table2[MC3], "Not Found", 0 )</f>
        <v>0</v>
      </c>
      <c r="AB448" s="16">
        <f>_xlfn.XLOOKUP(CustomerCombinedCleaned[[#This Row],[ID]], Table2[ID],Table2[MC4], "Not Found", 0 )</f>
        <v>0</v>
      </c>
      <c r="AC448" s="16">
        <f>_xlfn.XLOOKUP(CustomerCombinedCleaned[[#This Row],[ID]], Table2[ID],Table2[MC5], "Not Found", 0 )</f>
        <v>0</v>
      </c>
    </row>
    <row r="449" spans="1:29" x14ac:dyDescent="0.3">
      <c r="A449" s="18">
        <v>1552</v>
      </c>
      <c r="B449" s="16">
        <v>147691</v>
      </c>
      <c r="C449" s="16">
        <v>0</v>
      </c>
      <c r="D449" s="16">
        <v>1</v>
      </c>
      <c r="E449" s="16">
        <v>41</v>
      </c>
      <c r="F449" s="17" t="s">
        <v>7</v>
      </c>
      <c r="G449" s="17" t="s">
        <v>11</v>
      </c>
      <c r="H449" s="3" t="s">
        <v>712</v>
      </c>
      <c r="I449" s="5" t="s">
        <v>439</v>
      </c>
      <c r="J449" s="16">
        <f>_xlfn.XLOOKUP(CustomerCombinedCleaned[[#This Row],[ID]], Table4[ID], Table4[Recency], "Not Found", 0)</f>
        <v>43</v>
      </c>
      <c r="K449" s="16">
        <f>_xlfn.XLOOKUP(CustomerCombinedCleaned[[#This Row],[ID]], Table4[ID], Table4[Teas], "Not Found", 0)</f>
        <v>43</v>
      </c>
      <c r="L449" s="16">
        <f>_xlfn.XLOOKUP(CustomerCombinedCleaned[[#This Row],[ID]], Table4[ID], Table4[Fruits], "Not Found", 0)</f>
        <v>0</v>
      </c>
      <c r="M449" s="16">
        <f>_xlfn.XLOOKUP(CustomerCombinedCleaned[[#This Row],[ID]], Table4[ID], Table4[Meats], "Not Found", 0)</f>
        <v>9</v>
      </c>
      <c r="N449" s="16">
        <f>_xlfn.XLOOKUP(CustomerCombinedCleaned[[#This Row],[ID]], Table4[ID], Table4[Seafood], "Not Found", 0)</f>
        <v>0</v>
      </c>
      <c r="O449" s="16">
        <f>_xlfn.XLOOKUP(CustomerCombinedCleaned[[#This Row],[ID]], Table4[ID], Table4[Sweets], "Not Found", 0)</f>
        <v>0</v>
      </c>
      <c r="P449" s="16">
        <f>_xlfn.XLOOKUP(CustomerCombinedCleaned[[#This Row],[ID]], Table4[ID], Table4[Premium], "Not Found", 0)</f>
        <v>12</v>
      </c>
      <c r="Q449" s="16">
        <f>_xlfn.XLOOKUP(CustomerCombinedCleaned[[#This Row],[ID]], Table4[ID], Table4[Regular], "Not Found", 0)</f>
        <v>40</v>
      </c>
      <c r="R449" s="16">
        <f>_xlfn.XLOOKUP(CustomerCombinedCleaned[[#This Row],[ID]], Table4[ID], Table4[Deals], "Not Found", 0)</f>
        <v>1</v>
      </c>
      <c r="S449" s="16">
        <f>_xlfn.XLOOKUP(CustomerCombinedCleaned[[#This Row],[ID]], Table4[ID], Table4[Website], "Not Found", 0)</f>
        <v>1</v>
      </c>
      <c r="T449" s="16">
        <f>_xlfn.XLOOKUP(CustomerCombinedCleaned[[#This Row],[ID]], Table4[ID], Table4[Catalog], "Not Found", 0)</f>
        <v>0</v>
      </c>
      <c r="U449" s="16">
        <f>_xlfn.XLOOKUP(CustomerCombinedCleaned[[#This Row],[ID]], Table4[ID], Table4[Store], "Not Found", 0)</f>
        <v>2</v>
      </c>
      <c r="V449" s="16">
        <f>_xlfn.XLOOKUP(CustomerCombinedCleaned[[#This Row],[ID]], Table4[ID], Table4[Visits], "Not Found", 0)</f>
        <v>6</v>
      </c>
      <c r="W449" s="16">
        <f>_xlfn.XLOOKUP(CustomerCombinedCleaned[[#This Row],[ID]], Table2[ID],Table2[Complaint], "Not Found", 0 )</f>
        <v>0</v>
      </c>
      <c r="X449" s="16">
        <f>_xlfn.XLOOKUP(CustomerCombinedCleaned[[#This Row],[ID]], Table2[ID],Table2[Pilot], "Not Found", 0 )</f>
        <v>0</v>
      </c>
      <c r="Y449" s="16">
        <f>_xlfn.XLOOKUP(CustomerCombinedCleaned[[#This Row],[ID]], Table2[ID],Table2[MC1], "Not Found", 0 )</f>
        <v>0</v>
      </c>
      <c r="Z449" s="16">
        <f>_xlfn.XLOOKUP(CustomerCombinedCleaned[[#This Row],[ID]], Table2[ID],Table2[MC2], "Not Found", 0 )</f>
        <v>0</v>
      </c>
      <c r="AA449" s="16">
        <f>_xlfn.XLOOKUP(CustomerCombinedCleaned[[#This Row],[ID]], Table2[ID],Table2[MC3], "Not Found", 0 )</f>
        <v>0</v>
      </c>
      <c r="AB449" s="16">
        <f>_xlfn.XLOOKUP(CustomerCombinedCleaned[[#This Row],[ID]], Table2[ID],Table2[MC4], "Not Found", 0 )</f>
        <v>0</v>
      </c>
      <c r="AC449" s="16">
        <f>_xlfn.XLOOKUP(CustomerCombinedCleaned[[#This Row],[ID]], Table2[ID],Table2[MC5], "Not Found", 0 )</f>
        <v>0</v>
      </c>
    </row>
    <row r="450" spans="1:29" x14ac:dyDescent="0.3">
      <c r="A450" s="18">
        <v>3018</v>
      </c>
      <c r="B450" s="16">
        <v>145057</v>
      </c>
      <c r="C450" s="16">
        <v>1</v>
      </c>
      <c r="D450" s="16">
        <v>0</v>
      </c>
      <c r="E450" s="16">
        <v>41</v>
      </c>
      <c r="F450" s="17" t="s">
        <v>6</v>
      </c>
      <c r="G450" s="17" t="s">
        <v>12</v>
      </c>
      <c r="H450" s="3" t="s">
        <v>613</v>
      </c>
      <c r="I450" s="5" t="s">
        <v>436</v>
      </c>
      <c r="J450" s="16">
        <f>_xlfn.XLOOKUP(CustomerCombinedCleaned[[#This Row],[ID]], Table4[ID], Table4[Recency], "Not Found", 0)</f>
        <v>80</v>
      </c>
      <c r="K450" s="16">
        <f>_xlfn.XLOOKUP(CustomerCombinedCleaned[[#This Row],[ID]], Table4[ID], Table4[Teas], "Not Found", 0)</f>
        <v>119</v>
      </c>
      <c r="L450" s="16">
        <f>_xlfn.XLOOKUP(CustomerCombinedCleaned[[#This Row],[ID]], Table4[ID], Table4[Fruits], "Not Found", 0)</f>
        <v>0</v>
      </c>
      <c r="M450" s="16">
        <f>_xlfn.XLOOKUP(CustomerCombinedCleaned[[#This Row],[ID]], Table4[ID], Table4[Meats], "Not Found", 0)</f>
        <v>23</v>
      </c>
      <c r="N450" s="16">
        <f>_xlfn.XLOOKUP(CustomerCombinedCleaned[[#This Row],[ID]], Table4[ID], Table4[Seafood], "Not Found", 0)</f>
        <v>10</v>
      </c>
      <c r="O450" s="16">
        <f>_xlfn.XLOOKUP(CustomerCombinedCleaned[[#This Row],[ID]], Table4[ID], Table4[Sweets], "Not Found", 0)</f>
        <v>0</v>
      </c>
      <c r="P450" s="16">
        <f>_xlfn.XLOOKUP(CustomerCombinedCleaned[[#This Row],[ID]], Table4[ID], Table4[Premium], "Not Found", 0)</f>
        <v>10</v>
      </c>
      <c r="Q450" s="16">
        <f>_xlfn.XLOOKUP(CustomerCombinedCleaned[[#This Row],[ID]], Table4[ID], Table4[Regular], "Not Found", 0)</f>
        <v>142</v>
      </c>
      <c r="R450" s="16">
        <f>_xlfn.XLOOKUP(CustomerCombinedCleaned[[#This Row],[ID]], Table4[ID], Table4[Deals], "Not Found", 0)</f>
        <v>1</v>
      </c>
      <c r="S450" s="16">
        <f>_xlfn.XLOOKUP(CustomerCombinedCleaned[[#This Row],[ID]], Table4[ID], Table4[Website], "Not Found", 0)</f>
        <v>2</v>
      </c>
      <c r="T450" s="16">
        <f>_xlfn.XLOOKUP(CustomerCombinedCleaned[[#This Row],[ID]], Table4[ID], Table4[Catalog], "Not Found", 0)</f>
        <v>0</v>
      </c>
      <c r="U450" s="16">
        <f>_xlfn.XLOOKUP(CustomerCombinedCleaned[[#This Row],[ID]], Table4[ID], Table4[Store], "Not Found", 0)</f>
        <v>3</v>
      </c>
      <c r="V450" s="16">
        <f>_xlfn.XLOOKUP(CustomerCombinedCleaned[[#This Row],[ID]], Table4[ID], Table4[Visits], "Not Found", 0)</f>
        <v>5</v>
      </c>
      <c r="W450" s="16">
        <f>_xlfn.XLOOKUP(CustomerCombinedCleaned[[#This Row],[ID]], Table2[ID],Table2[Complaint], "Not Found", 0 )</f>
        <v>0</v>
      </c>
      <c r="X450" s="16">
        <f>_xlfn.XLOOKUP(CustomerCombinedCleaned[[#This Row],[ID]], Table2[ID],Table2[Pilot], "Not Found", 0 )</f>
        <v>0</v>
      </c>
      <c r="Y450" s="16">
        <f>_xlfn.XLOOKUP(CustomerCombinedCleaned[[#This Row],[ID]], Table2[ID],Table2[MC1], "Not Found", 0 )</f>
        <v>0</v>
      </c>
      <c r="Z450" s="16">
        <f>_xlfn.XLOOKUP(CustomerCombinedCleaned[[#This Row],[ID]], Table2[ID],Table2[MC2], "Not Found", 0 )</f>
        <v>0</v>
      </c>
      <c r="AA450" s="16">
        <f>_xlfn.XLOOKUP(CustomerCombinedCleaned[[#This Row],[ID]], Table2[ID],Table2[MC3], "Not Found", 0 )</f>
        <v>0</v>
      </c>
      <c r="AB450" s="16">
        <f>_xlfn.XLOOKUP(CustomerCombinedCleaned[[#This Row],[ID]], Table2[ID],Table2[MC4], "Not Found", 0 )</f>
        <v>0</v>
      </c>
      <c r="AC450" s="16">
        <f>_xlfn.XLOOKUP(CustomerCombinedCleaned[[#This Row],[ID]], Table2[ID],Table2[MC5], "Not Found", 0 )</f>
        <v>0</v>
      </c>
    </row>
    <row r="451" spans="1:29" x14ac:dyDescent="0.3">
      <c r="A451" s="18">
        <v>1739</v>
      </c>
      <c r="B451" s="16">
        <v>140662</v>
      </c>
      <c r="C451" s="16">
        <v>1</v>
      </c>
      <c r="D451" s="16">
        <v>0</v>
      </c>
      <c r="E451" s="16">
        <v>41</v>
      </c>
      <c r="F451" s="17" t="s">
        <v>6</v>
      </c>
      <c r="G451" s="17" t="s">
        <v>12</v>
      </c>
      <c r="H451" s="3" t="s">
        <v>293</v>
      </c>
      <c r="I451" s="5" t="s">
        <v>434</v>
      </c>
      <c r="J451" s="16">
        <f>_xlfn.XLOOKUP(CustomerCombinedCleaned[[#This Row],[ID]], Table4[ID], Table4[Recency], "Not Found", 0)</f>
        <v>0</v>
      </c>
      <c r="K451" s="16">
        <f>_xlfn.XLOOKUP(CustomerCombinedCleaned[[#This Row],[ID]], Table4[ID], Table4[Teas], "Not Found", 0)</f>
        <v>138</v>
      </c>
      <c r="L451" s="16">
        <f>_xlfn.XLOOKUP(CustomerCombinedCleaned[[#This Row],[ID]], Table4[ID], Table4[Fruits], "Not Found", 0)</f>
        <v>7</v>
      </c>
      <c r="M451" s="16">
        <f>_xlfn.XLOOKUP(CustomerCombinedCleaned[[#This Row],[ID]], Table4[ID], Table4[Meats], "Not Found", 0)</f>
        <v>80</v>
      </c>
      <c r="N451" s="16">
        <f>_xlfn.XLOOKUP(CustomerCombinedCleaned[[#This Row],[ID]], Table4[ID], Table4[Seafood], "Not Found", 0)</f>
        <v>0</v>
      </c>
      <c r="O451" s="16">
        <f>_xlfn.XLOOKUP(CustomerCombinedCleaned[[#This Row],[ID]], Table4[ID], Table4[Sweets], "Not Found", 0)</f>
        <v>14</v>
      </c>
      <c r="P451" s="16">
        <f>_xlfn.XLOOKUP(CustomerCombinedCleaned[[#This Row],[ID]], Table4[ID], Table4[Premium], "Not Found", 0)</f>
        <v>80</v>
      </c>
      <c r="Q451" s="16">
        <f>_xlfn.XLOOKUP(CustomerCombinedCleaned[[#This Row],[ID]], Table4[ID], Table4[Regular], "Not Found", 0)</f>
        <v>159</v>
      </c>
      <c r="R451" s="16">
        <f>_xlfn.XLOOKUP(CustomerCombinedCleaned[[#This Row],[ID]], Table4[ID], Table4[Deals], "Not Found", 0)</f>
        <v>2</v>
      </c>
      <c r="S451" s="16">
        <f>_xlfn.XLOOKUP(CustomerCombinedCleaned[[#This Row],[ID]], Table4[ID], Table4[Website], "Not Found", 0)</f>
        <v>2</v>
      </c>
      <c r="T451" s="16">
        <f>_xlfn.XLOOKUP(CustomerCombinedCleaned[[#This Row],[ID]], Table4[ID], Table4[Catalog], "Not Found", 0)</f>
        <v>1</v>
      </c>
      <c r="U451" s="16">
        <f>_xlfn.XLOOKUP(CustomerCombinedCleaned[[#This Row],[ID]], Table4[ID], Table4[Store], "Not Found", 0)</f>
        <v>3</v>
      </c>
      <c r="V451" s="16">
        <f>_xlfn.XLOOKUP(CustomerCombinedCleaned[[#This Row],[ID]], Table4[ID], Table4[Visits], "Not Found", 0)</f>
        <v>4</v>
      </c>
      <c r="W451" s="16">
        <f>_xlfn.XLOOKUP(CustomerCombinedCleaned[[#This Row],[ID]], Table2[ID],Table2[Complaint], "Not Found", 0 )</f>
        <v>0</v>
      </c>
      <c r="X451" s="16">
        <f>_xlfn.XLOOKUP(CustomerCombinedCleaned[[#This Row],[ID]], Table2[ID],Table2[Pilot], "Not Found", 0 )</f>
        <v>0</v>
      </c>
      <c r="Y451" s="16">
        <f>_xlfn.XLOOKUP(CustomerCombinedCleaned[[#This Row],[ID]], Table2[ID],Table2[MC1], "Not Found", 0 )</f>
        <v>0</v>
      </c>
      <c r="Z451" s="16">
        <f>_xlfn.XLOOKUP(CustomerCombinedCleaned[[#This Row],[ID]], Table2[ID],Table2[MC2], "Not Found", 0 )</f>
        <v>0</v>
      </c>
      <c r="AA451" s="16">
        <f>_xlfn.XLOOKUP(CustomerCombinedCleaned[[#This Row],[ID]], Table2[ID],Table2[MC3], "Not Found", 0 )</f>
        <v>0</v>
      </c>
      <c r="AB451" s="16">
        <f>_xlfn.XLOOKUP(CustomerCombinedCleaned[[#This Row],[ID]], Table2[ID],Table2[MC4], "Not Found", 0 )</f>
        <v>0</v>
      </c>
      <c r="AC451" s="16">
        <f>_xlfn.XLOOKUP(CustomerCombinedCleaned[[#This Row],[ID]], Table2[ID],Table2[MC5], "Not Found", 0 )</f>
        <v>0</v>
      </c>
    </row>
    <row r="452" spans="1:29" x14ac:dyDescent="0.3">
      <c r="A452" s="18">
        <v>2953</v>
      </c>
      <c r="B452" s="16">
        <v>136781</v>
      </c>
      <c r="C452" s="16">
        <v>1</v>
      </c>
      <c r="D452" s="16">
        <v>0</v>
      </c>
      <c r="E452" s="16">
        <v>41</v>
      </c>
      <c r="F452" s="17" t="s">
        <v>6</v>
      </c>
      <c r="G452" s="17" t="s">
        <v>11</v>
      </c>
      <c r="H452" s="3" t="s">
        <v>72</v>
      </c>
      <c r="I452" s="5" t="s">
        <v>437</v>
      </c>
      <c r="J452" s="16">
        <f>_xlfn.XLOOKUP(CustomerCombinedCleaned[[#This Row],[ID]], Table4[ID], Table4[Recency], "Not Found", 0)</f>
        <v>16</v>
      </c>
      <c r="K452" s="16">
        <f>_xlfn.XLOOKUP(CustomerCombinedCleaned[[#This Row],[ID]], Table4[ID], Table4[Teas], "Not Found", 0)</f>
        <v>108</v>
      </c>
      <c r="L452" s="16">
        <f>_xlfn.XLOOKUP(CustomerCombinedCleaned[[#This Row],[ID]], Table4[ID], Table4[Fruits], "Not Found", 0)</f>
        <v>4</v>
      </c>
      <c r="M452" s="16">
        <f>_xlfn.XLOOKUP(CustomerCombinedCleaned[[#This Row],[ID]], Table4[ID], Table4[Meats], "Not Found", 0)</f>
        <v>63</v>
      </c>
      <c r="N452" s="16">
        <f>_xlfn.XLOOKUP(CustomerCombinedCleaned[[#This Row],[ID]], Table4[ID], Table4[Seafood], "Not Found", 0)</f>
        <v>0</v>
      </c>
      <c r="O452" s="16">
        <f>_xlfn.XLOOKUP(CustomerCombinedCleaned[[#This Row],[ID]], Table4[ID], Table4[Sweets], "Not Found", 0)</f>
        <v>11</v>
      </c>
      <c r="P452" s="16">
        <f>_xlfn.XLOOKUP(CustomerCombinedCleaned[[#This Row],[ID]], Table4[ID], Table4[Premium], "Not Found", 0)</f>
        <v>48</v>
      </c>
      <c r="Q452" s="16">
        <f>_xlfn.XLOOKUP(CustomerCombinedCleaned[[#This Row],[ID]], Table4[ID], Table4[Regular], "Not Found", 0)</f>
        <v>138</v>
      </c>
      <c r="R452" s="16">
        <f>_xlfn.XLOOKUP(CustomerCombinedCleaned[[#This Row],[ID]], Table4[ID], Table4[Deals], "Not Found", 0)</f>
        <v>1</v>
      </c>
      <c r="S452" s="16">
        <f>_xlfn.XLOOKUP(CustomerCombinedCleaned[[#This Row],[ID]], Table4[ID], Table4[Website], "Not Found", 0)</f>
        <v>2</v>
      </c>
      <c r="T452" s="16">
        <f>_xlfn.XLOOKUP(CustomerCombinedCleaned[[#This Row],[ID]], Table4[ID], Table4[Catalog], "Not Found", 0)</f>
        <v>1</v>
      </c>
      <c r="U452" s="16">
        <f>_xlfn.XLOOKUP(CustomerCombinedCleaned[[#This Row],[ID]], Table4[ID], Table4[Store], "Not Found", 0)</f>
        <v>2</v>
      </c>
      <c r="V452" s="16">
        <f>_xlfn.XLOOKUP(CustomerCombinedCleaned[[#This Row],[ID]], Table4[ID], Table4[Visits], "Not Found", 0)</f>
        <v>8</v>
      </c>
      <c r="W452" s="16">
        <f>_xlfn.XLOOKUP(CustomerCombinedCleaned[[#This Row],[ID]], Table2[ID],Table2[Complaint], "Not Found", 0 )</f>
        <v>0</v>
      </c>
      <c r="X452" s="16">
        <f>_xlfn.XLOOKUP(CustomerCombinedCleaned[[#This Row],[ID]], Table2[ID],Table2[Pilot], "Not Found", 0 )</f>
        <v>1</v>
      </c>
      <c r="Y452" s="16">
        <f>_xlfn.XLOOKUP(CustomerCombinedCleaned[[#This Row],[ID]], Table2[ID],Table2[MC1], "Not Found", 0 )</f>
        <v>0</v>
      </c>
      <c r="Z452" s="16">
        <f>_xlfn.XLOOKUP(CustomerCombinedCleaned[[#This Row],[ID]], Table2[ID],Table2[MC2], "Not Found", 0 )</f>
        <v>0</v>
      </c>
      <c r="AA452" s="16">
        <f>_xlfn.XLOOKUP(CustomerCombinedCleaned[[#This Row],[ID]], Table2[ID],Table2[MC3], "Not Found", 0 )</f>
        <v>0</v>
      </c>
      <c r="AB452" s="16">
        <f>_xlfn.XLOOKUP(CustomerCombinedCleaned[[#This Row],[ID]], Table2[ID],Table2[MC4], "Not Found", 0 )</f>
        <v>0</v>
      </c>
      <c r="AC452" s="16">
        <f>_xlfn.XLOOKUP(CustomerCombinedCleaned[[#This Row],[ID]], Table2[ID],Table2[MC5], "Not Found", 0 )</f>
        <v>0</v>
      </c>
    </row>
    <row r="453" spans="1:29" x14ac:dyDescent="0.3">
      <c r="A453" s="18">
        <v>3042</v>
      </c>
      <c r="B453" s="16">
        <v>134350</v>
      </c>
      <c r="C453" s="16">
        <v>1</v>
      </c>
      <c r="D453" s="16">
        <v>0</v>
      </c>
      <c r="E453" s="16">
        <v>41</v>
      </c>
      <c r="F453" s="17" t="s">
        <v>8</v>
      </c>
      <c r="G453" s="17" t="s">
        <v>11</v>
      </c>
      <c r="H453" s="3" t="s">
        <v>163</v>
      </c>
      <c r="I453" s="5" t="s">
        <v>436</v>
      </c>
      <c r="J453" s="16">
        <f>_xlfn.XLOOKUP(CustomerCombinedCleaned[[#This Row],[ID]], Table4[ID], Table4[Recency], "Not Found", 0)</f>
        <v>81</v>
      </c>
      <c r="K453" s="16">
        <f>_xlfn.XLOOKUP(CustomerCombinedCleaned[[#This Row],[ID]], Table4[ID], Table4[Teas], "Not Found", 0)</f>
        <v>63</v>
      </c>
      <c r="L453" s="16">
        <f>_xlfn.XLOOKUP(CustomerCombinedCleaned[[#This Row],[ID]], Table4[ID], Table4[Fruits], "Not Found", 0)</f>
        <v>12</v>
      </c>
      <c r="M453" s="16">
        <f>_xlfn.XLOOKUP(CustomerCombinedCleaned[[#This Row],[ID]], Table4[ID], Table4[Meats], "Not Found", 0)</f>
        <v>59</v>
      </c>
      <c r="N453" s="16">
        <f>_xlfn.XLOOKUP(CustomerCombinedCleaned[[#This Row],[ID]], Table4[ID], Table4[Seafood], "Not Found", 0)</f>
        <v>8</v>
      </c>
      <c r="O453" s="16">
        <f>_xlfn.XLOOKUP(CustomerCombinedCleaned[[#This Row],[ID]], Table4[ID], Table4[Sweets], "Not Found", 0)</f>
        <v>4</v>
      </c>
      <c r="P453" s="16">
        <f>_xlfn.XLOOKUP(CustomerCombinedCleaned[[#This Row],[ID]], Table4[ID], Table4[Premium], "Not Found", 0)</f>
        <v>43</v>
      </c>
      <c r="Q453" s="16">
        <f>_xlfn.XLOOKUP(CustomerCombinedCleaned[[#This Row],[ID]], Table4[ID], Table4[Regular], "Not Found", 0)</f>
        <v>102</v>
      </c>
      <c r="R453" s="16">
        <f>_xlfn.XLOOKUP(CustomerCombinedCleaned[[#This Row],[ID]], Table4[ID], Table4[Deals], "Not Found", 0)</f>
        <v>1</v>
      </c>
      <c r="S453" s="16">
        <f>_xlfn.XLOOKUP(CustomerCombinedCleaned[[#This Row],[ID]], Table4[ID], Table4[Website], "Not Found", 0)</f>
        <v>1</v>
      </c>
      <c r="T453" s="16">
        <f>_xlfn.XLOOKUP(CustomerCombinedCleaned[[#This Row],[ID]], Table4[ID], Table4[Catalog], "Not Found", 0)</f>
        <v>0</v>
      </c>
      <c r="U453" s="16">
        <f>_xlfn.XLOOKUP(CustomerCombinedCleaned[[#This Row],[ID]], Table4[ID], Table4[Store], "Not Found", 0)</f>
        <v>3</v>
      </c>
      <c r="V453" s="16">
        <f>_xlfn.XLOOKUP(CustomerCombinedCleaned[[#This Row],[ID]], Table4[ID], Table4[Visits], "Not Found", 0)</f>
        <v>7</v>
      </c>
      <c r="W453" s="16">
        <f>_xlfn.XLOOKUP(CustomerCombinedCleaned[[#This Row],[ID]], Table2[ID],Table2[Complaint], "Not Found", 0 )</f>
        <v>0</v>
      </c>
      <c r="X453" s="16">
        <f>_xlfn.XLOOKUP(CustomerCombinedCleaned[[#This Row],[ID]], Table2[ID],Table2[Pilot], "Not Found", 0 )</f>
        <v>0</v>
      </c>
      <c r="Y453" s="16">
        <f>_xlfn.XLOOKUP(CustomerCombinedCleaned[[#This Row],[ID]], Table2[ID],Table2[MC1], "Not Found", 0 )</f>
        <v>0</v>
      </c>
      <c r="Z453" s="16">
        <f>_xlfn.XLOOKUP(CustomerCombinedCleaned[[#This Row],[ID]], Table2[ID],Table2[MC2], "Not Found", 0 )</f>
        <v>0</v>
      </c>
      <c r="AA453" s="16">
        <f>_xlfn.XLOOKUP(CustomerCombinedCleaned[[#This Row],[ID]], Table2[ID],Table2[MC3], "Not Found", 0 )</f>
        <v>0</v>
      </c>
      <c r="AB453" s="16">
        <f>_xlfn.XLOOKUP(CustomerCombinedCleaned[[#This Row],[ID]], Table2[ID],Table2[MC4], "Not Found", 0 )</f>
        <v>0</v>
      </c>
      <c r="AC453" s="16">
        <f>_xlfn.XLOOKUP(CustomerCombinedCleaned[[#This Row],[ID]], Table2[ID],Table2[MC5], "Not Found", 0 )</f>
        <v>0</v>
      </c>
    </row>
    <row r="454" spans="1:29" x14ac:dyDescent="0.3">
      <c r="A454" s="18">
        <v>1963</v>
      </c>
      <c r="B454" s="16">
        <v>133462</v>
      </c>
      <c r="C454" s="16">
        <v>1</v>
      </c>
      <c r="D454" s="16">
        <v>0</v>
      </c>
      <c r="E454" s="16">
        <v>41</v>
      </c>
      <c r="F454" s="17" t="s">
        <v>5</v>
      </c>
      <c r="G454" s="17" t="s">
        <v>12</v>
      </c>
      <c r="H454" s="3" t="s">
        <v>572</v>
      </c>
      <c r="I454" s="5" t="s">
        <v>437</v>
      </c>
      <c r="J454" s="16">
        <f>_xlfn.XLOOKUP(CustomerCombinedCleaned[[#This Row],[ID]], Table4[ID], Table4[Recency], "Not Found", 0)</f>
        <v>78</v>
      </c>
      <c r="K454" s="16">
        <f>_xlfn.XLOOKUP(CustomerCombinedCleaned[[#This Row],[ID]], Table4[ID], Table4[Teas], "Not Found", 0)</f>
        <v>88</v>
      </c>
      <c r="L454" s="16">
        <f>_xlfn.XLOOKUP(CustomerCombinedCleaned[[#This Row],[ID]], Table4[ID], Table4[Fruits], "Not Found", 0)</f>
        <v>12</v>
      </c>
      <c r="M454" s="16">
        <f>_xlfn.XLOOKUP(CustomerCombinedCleaned[[#This Row],[ID]], Table4[ID], Table4[Meats], "Not Found", 0)</f>
        <v>72</v>
      </c>
      <c r="N454" s="16">
        <f>_xlfn.XLOOKUP(CustomerCombinedCleaned[[#This Row],[ID]], Table4[ID], Table4[Seafood], "Not Found", 0)</f>
        <v>0</v>
      </c>
      <c r="O454" s="16">
        <f>_xlfn.XLOOKUP(CustomerCombinedCleaned[[#This Row],[ID]], Table4[ID], Table4[Sweets], "Not Found", 0)</f>
        <v>0</v>
      </c>
      <c r="P454" s="16">
        <f>_xlfn.XLOOKUP(CustomerCombinedCleaned[[#This Row],[ID]], Table4[ID], Table4[Premium], "Not Found", 0)</f>
        <v>44</v>
      </c>
      <c r="Q454" s="16">
        <f>_xlfn.XLOOKUP(CustomerCombinedCleaned[[#This Row],[ID]], Table4[ID], Table4[Regular], "Not Found", 0)</f>
        <v>128</v>
      </c>
      <c r="R454" s="16">
        <f>_xlfn.XLOOKUP(CustomerCombinedCleaned[[#This Row],[ID]], Table4[ID], Table4[Deals], "Not Found", 0)</f>
        <v>1</v>
      </c>
      <c r="S454" s="16">
        <f>_xlfn.XLOOKUP(CustomerCombinedCleaned[[#This Row],[ID]], Table4[ID], Table4[Website], "Not Found", 0)</f>
        <v>2</v>
      </c>
      <c r="T454" s="16">
        <f>_xlfn.XLOOKUP(CustomerCombinedCleaned[[#This Row],[ID]], Table4[ID], Table4[Catalog], "Not Found", 0)</f>
        <v>0</v>
      </c>
      <c r="U454" s="16">
        <f>_xlfn.XLOOKUP(CustomerCombinedCleaned[[#This Row],[ID]], Table4[ID], Table4[Store], "Not Found", 0)</f>
        <v>3</v>
      </c>
      <c r="V454" s="16">
        <f>_xlfn.XLOOKUP(CustomerCombinedCleaned[[#This Row],[ID]], Table4[ID], Table4[Visits], "Not Found", 0)</f>
        <v>7</v>
      </c>
      <c r="W454" s="16">
        <f>_xlfn.XLOOKUP(CustomerCombinedCleaned[[#This Row],[ID]], Table2[ID],Table2[Complaint], "Not Found", 0 )</f>
        <v>0</v>
      </c>
      <c r="X454" s="16">
        <f>_xlfn.XLOOKUP(CustomerCombinedCleaned[[#This Row],[ID]], Table2[ID],Table2[Pilot], "Not Found", 0 )</f>
        <v>0</v>
      </c>
      <c r="Y454" s="16">
        <f>_xlfn.XLOOKUP(CustomerCombinedCleaned[[#This Row],[ID]], Table2[ID],Table2[MC1], "Not Found", 0 )</f>
        <v>0</v>
      </c>
      <c r="Z454" s="16">
        <f>_xlfn.XLOOKUP(CustomerCombinedCleaned[[#This Row],[ID]], Table2[ID],Table2[MC2], "Not Found", 0 )</f>
        <v>0</v>
      </c>
      <c r="AA454" s="16">
        <f>_xlfn.XLOOKUP(CustomerCombinedCleaned[[#This Row],[ID]], Table2[ID],Table2[MC3], "Not Found", 0 )</f>
        <v>0</v>
      </c>
      <c r="AB454" s="16">
        <f>_xlfn.XLOOKUP(CustomerCombinedCleaned[[#This Row],[ID]], Table2[ID],Table2[MC4], "Not Found", 0 )</f>
        <v>0</v>
      </c>
      <c r="AC454" s="16">
        <f>_xlfn.XLOOKUP(CustomerCombinedCleaned[[#This Row],[ID]], Table2[ID],Table2[MC5], "Not Found", 0 )</f>
        <v>0</v>
      </c>
    </row>
    <row r="455" spans="1:29" x14ac:dyDescent="0.3">
      <c r="A455" s="18">
        <v>3000</v>
      </c>
      <c r="B455" s="16">
        <v>132765</v>
      </c>
      <c r="C455" s="16">
        <v>1</v>
      </c>
      <c r="D455" s="16">
        <v>0</v>
      </c>
      <c r="E455" s="16">
        <v>41</v>
      </c>
      <c r="F455" s="17" t="s">
        <v>6</v>
      </c>
      <c r="G455" s="17" t="s">
        <v>12</v>
      </c>
      <c r="H455" s="3" t="s">
        <v>92</v>
      </c>
      <c r="I455" s="5" t="s">
        <v>436</v>
      </c>
      <c r="J455" s="16">
        <f>_xlfn.XLOOKUP(CustomerCombinedCleaned[[#This Row],[ID]], Table4[ID], Table4[Recency], "Not Found", 0)</f>
        <v>49</v>
      </c>
      <c r="K455" s="16">
        <f>_xlfn.XLOOKUP(CustomerCombinedCleaned[[#This Row],[ID]], Table4[ID], Table4[Teas], "Not Found", 0)</f>
        <v>53</v>
      </c>
      <c r="L455" s="16">
        <f>_xlfn.XLOOKUP(CustomerCombinedCleaned[[#This Row],[ID]], Table4[ID], Table4[Fruits], "Not Found", 0)</f>
        <v>12</v>
      </c>
      <c r="M455" s="16">
        <f>_xlfn.XLOOKUP(CustomerCombinedCleaned[[#This Row],[ID]], Table4[ID], Table4[Meats], "Not Found", 0)</f>
        <v>69</v>
      </c>
      <c r="N455" s="16">
        <f>_xlfn.XLOOKUP(CustomerCombinedCleaned[[#This Row],[ID]], Table4[ID], Table4[Seafood], "Not Found", 0)</f>
        <v>28</v>
      </c>
      <c r="O455" s="16">
        <f>_xlfn.XLOOKUP(CustomerCombinedCleaned[[#This Row],[ID]], Table4[ID], Table4[Sweets], "Not Found", 0)</f>
        <v>12</v>
      </c>
      <c r="P455" s="16">
        <f>_xlfn.XLOOKUP(CustomerCombinedCleaned[[#This Row],[ID]], Table4[ID], Table4[Premium], "Not Found", 0)</f>
        <v>12</v>
      </c>
      <c r="Q455" s="16">
        <f>_xlfn.XLOOKUP(CustomerCombinedCleaned[[#This Row],[ID]], Table4[ID], Table4[Regular], "Not Found", 0)</f>
        <v>162</v>
      </c>
      <c r="R455" s="16">
        <f>_xlfn.XLOOKUP(CustomerCombinedCleaned[[#This Row],[ID]], Table4[ID], Table4[Deals], "Not Found", 0)</f>
        <v>2</v>
      </c>
      <c r="S455" s="16">
        <f>_xlfn.XLOOKUP(CustomerCombinedCleaned[[#This Row],[ID]], Table4[ID], Table4[Website], "Not Found", 0)</f>
        <v>2</v>
      </c>
      <c r="T455" s="16">
        <f>_xlfn.XLOOKUP(CustomerCombinedCleaned[[#This Row],[ID]], Table4[ID], Table4[Catalog], "Not Found", 0)</f>
        <v>0</v>
      </c>
      <c r="U455" s="16">
        <f>_xlfn.XLOOKUP(CustomerCombinedCleaned[[#This Row],[ID]], Table4[ID], Table4[Store], "Not Found", 0)</f>
        <v>4</v>
      </c>
      <c r="V455" s="16">
        <f>_xlfn.XLOOKUP(CustomerCombinedCleaned[[#This Row],[ID]], Table4[ID], Table4[Visits], "Not Found", 0)</f>
        <v>5</v>
      </c>
      <c r="W455" s="16">
        <f>_xlfn.XLOOKUP(CustomerCombinedCleaned[[#This Row],[ID]], Table2[ID],Table2[Complaint], "Not Found", 0 )</f>
        <v>0</v>
      </c>
      <c r="X455" s="16">
        <f>_xlfn.XLOOKUP(CustomerCombinedCleaned[[#This Row],[ID]], Table2[ID],Table2[Pilot], "Not Found", 0 )</f>
        <v>0</v>
      </c>
      <c r="Y455" s="16">
        <f>_xlfn.XLOOKUP(CustomerCombinedCleaned[[#This Row],[ID]], Table2[ID],Table2[MC1], "Not Found", 0 )</f>
        <v>0</v>
      </c>
      <c r="Z455" s="16">
        <f>_xlfn.XLOOKUP(CustomerCombinedCleaned[[#This Row],[ID]], Table2[ID],Table2[MC2], "Not Found", 0 )</f>
        <v>0</v>
      </c>
      <c r="AA455" s="16">
        <f>_xlfn.XLOOKUP(CustomerCombinedCleaned[[#This Row],[ID]], Table2[ID],Table2[MC3], "Not Found", 0 )</f>
        <v>0</v>
      </c>
      <c r="AB455" s="16">
        <f>_xlfn.XLOOKUP(CustomerCombinedCleaned[[#This Row],[ID]], Table2[ID],Table2[MC4], "Not Found", 0 )</f>
        <v>0</v>
      </c>
      <c r="AC455" s="16">
        <f>_xlfn.XLOOKUP(CustomerCombinedCleaned[[#This Row],[ID]], Table2[ID],Table2[MC5], "Not Found", 0 )</f>
        <v>0</v>
      </c>
    </row>
    <row r="456" spans="1:29" x14ac:dyDescent="0.3">
      <c r="A456" s="18">
        <v>2102</v>
      </c>
      <c r="B456" s="16">
        <v>131605</v>
      </c>
      <c r="C456" s="16">
        <v>1</v>
      </c>
      <c r="D456" s="16">
        <v>0</v>
      </c>
      <c r="E456" s="16">
        <v>41</v>
      </c>
      <c r="F456" s="17" t="s">
        <v>6</v>
      </c>
      <c r="G456" s="17" t="s">
        <v>13</v>
      </c>
      <c r="H456" s="3" t="s">
        <v>354</v>
      </c>
      <c r="I456" s="5" t="s">
        <v>438</v>
      </c>
      <c r="J456" s="16">
        <f>_xlfn.XLOOKUP(CustomerCombinedCleaned[[#This Row],[ID]], Table4[ID], Table4[Recency], "Not Found", 0)</f>
        <v>15</v>
      </c>
      <c r="K456" s="16">
        <f>_xlfn.XLOOKUP(CustomerCombinedCleaned[[#This Row],[ID]], Table4[ID], Table4[Teas], "Not Found", 0)</f>
        <v>308</v>
      </c>
      <c r="L456" s="16">
        <f>_xlfn.XLOOKUP(CustomerCombinedCleaned[[#This Row],[ID]], Table4[ID], Table4[Fruits], "Not Found", 0)</f>
        <v>0</v>
      </c>
      <c r="M456" s="16">
        <f>_xlfn.XLOOKUP(CustomerCombinedCleaned[[#This Row],[ID]], Table4[ID], Table4[Meats], "Not Found", 0)</f>
        <v>175</v>
      </c>
      <c r="N456" s="16">
        <f>_xlfn.XLOOKUP(CustomerCombinedCleaned[[#This Row],[ID]], Table4[ID], Table4[Seafood], "Not Found", 0)</f>
        <v>8</v>
      </c>
      <c r="O456" s="16">
        <f>_xlfn.XLOOKUP(CustomerCombinedCleaned[[#This Row],[ID]], Table4[ID], Table4[Sweets], "Not Found", 0)</f>
        <v>4</v>
      </c>
      <c r="P456" s="16">
        <f>_xlfn.XLOOKUP(CustomerCombinedCleaned[[#This Row],[ID]], Table4[ID], Table4[Premium], "Not Found", 0)</f>
        <v>25</v>
      </c>
      <c r="Q456" s="16">
        <f>_xlfn.XLOOKUP(CustomerCombinedCleaned[[#This Row],[ID]], Table4[ID], Table4[Regular], "Not Found", 0)</f>
        <v>471</v>
      </c>
      <c r="R456" s="16">
        <f>_xlfn.XLOOKUP(CustomerCombinedCleaned[[#This Row],[ID]], Table4[ID], Table4[Deals], "Not Found", 0)</f>
        <v>2</v>
      </c>
      <c r="S456" s="16">
        <f>_xlfn.XLOOKUP(CustomerCombinedCleaned[[#This Row],[ID]], Table4[ID], Table4[Website], "Not Found", 0)</f>
        <v>2</v>
      </c>
      <c r="T456" s="16">
        <f>_xlfn.XLOOKUP(CustomerCombinedCleaned[[#This Row],[ID]], Table4[ID], Table4[Catalog], "Not Found", 0)</f>
        <v>1</v>
      </c>
      <c r="U456" s="16">
        <f>_xlfn.XLOOKUP(CustomerCombinedCleaned[[#This Row],[ID]], Table4[ID], Table4[Store], "Not Found", 0)</f>
        <v>4</v>
      </c>
      <c r="V456" s="16">
        <f>_xlfn.XLOOKUP(CustomerCombinedCleaned[[#This Row],[ID]], Table4[ID], Table4[Visits], "Not Found", 0)</f>
        <v>7</v>
      </c>
      <c r="W456" s="16">
        <f>_xlfn.XLOOKUP(CustomerCombinedCleaned[[#This Row],[ID]], Table2[ID],Table2[Complaint], "Not Found", 0 )</f>
        <v>0</v>
      </c>
      <c r="X456" s="16">
        <f>_xlfn.XLOOKUP(CustomerCombinedCleaned[[#This Row],[ID]], Table2[ID],Table2[Pilot], "Not Found", 0 )</f>
        <v>0</v>
      </c>
      <c r="Y456" s="16">
        <f>_xlfn.XLOOKUP(CustomerCombinedCleaned[[#This Row],[ID]], Table2[ID],Table2[MC1], "Not Found", 0 )</f>
        <v>0</v>
      </c>
      <c r="Z456" s="16">
        <f>_xlfn.XLOOKUP(CustomerCombinedCleaned[[#This Row],[ID]], Table2[ID],Table2[MC2], "Not Found", 0 )</f>
        <v>0</v>
      </c>
      <c r="AA456" s="16">
        <f>_xlfn.XLOOKUP(CustomerCombinedCleaned[[#This Row],[ID]], Table2[ID],Table2[MC3], "Not Found", 0 )</f>
        <v>0</v>
      </c>
      <c r="AB456" s="16">
        <f>_xlfn.XLOOKUP(CustomerCombinedCleaned[[#This Row],[ID]], Table2[ID],Table2[MC4], "Not Found", 0 )</f>
        <v>0</v>
      </c>
      <c r="AC456" s="16">
        <f>_xlfn.XLOOKUP(CustomerCombinedCleaned[[#This Row],[ID]], Table2[ID],Table2[MC5], "Not Found", 0 )</f>
        <v>0</v>
      </c>
    </row>
    <row r="457" spans="1:29" x14ac:dyDescent="0.3">
      <c r="A457" s="18">
        <v>2411</v>
      </c>
      <c r="B457" s="16">
        <v>131086</v>
      </c>
      <c r="C457" s="16">
        <v>1</v>
      </c>
      <c r="D457" s="16">
        <v>1</v>
      </c>
      <c r="E457" s="16">
        <v>41</v>
      </c>
      <c r="F457" s="17" t="s">
        <v>6</v>
      </c>
      <c r="G457" s="17" t="s">
        <v>11</v>
      </c>
      <c r="H457" s="3" t="s">
        <v>658</v>
      </c>
      <c r="I457" s="5" t="s">
        <v>434</v>
      </c>
      <c r="J457" s="16">
        <f>_xlfn.XLOOKUP(CustomerCombinedCleaned[[#This Row],[ID]], Table4[ID], Table4[Recency], "Not Found", 0)</f>
        <v>79</v>
      </c>
      <c r="K457" s="16">
        <f>_xlfn.XLOOKUP(CustomerCombinedCleaned[[#This Row],[ID]], Table4[ID], Table4[Teas], "Not Found", 0)</f>
        <v>67</v>
      </c>
      <c r="L457" s="16">
        <f>_xlfn.XLOOKUP(CustomerCombinedCleaned[[#This Row],[ID]], Table4[ID], Table4[Fruits], "Not Found", 0)</f>
        <v>8</v>
      </c>
      <c r="M457" s="16">
        <f>_xlfn.XLOOKUP(CustomerCombinedCleaned[[#This Row],[ID]], Table4[ID], Table4[Meats], "Not Found", 0)</f>
        <v>46</v>
      </c>
      <c r="N457" s="16">
        <f>_xlfn.XLOOKUP(CustomerCombinedCleaned[[#This Row],[ID]], Table4[ID], Table4[Seafood], "Not Found", 0)</f>
        <v>13</v>
      </c>
      <c r="O457" s="16">
        <f>_xlfn.XLOOKUP(CustomerCombinedCleaned[[#This Row],[ID]], Table4[ID], Table4[Sweets], "Not Found", 0)</f>
        <v>0</v>
      </c>
      <c r="P457" s="16">
        <f>_xlfn.XLOOKUP(CustomerCombinedCleaned[[#This Row],[ID]], Table4[ID], Table4[Premium], "Not Found", 0)</f>
        <v>67</v>
      </c>
      <c r="Q457" s="16">
        <f>_xlfn.XLOOKUP(CustomerCombinedCleaned[[#This Row],[ID]], Table4[ID], Table4[Regular], "Not Found", 0)</f>
        <v>67</v>
      </c>
      <c r="R457" s="16">
        <f>_xlfn.XLOOKUP(CustomerCombinedCleaned[[#This Row],[ID]], Table4[ID], Table4[Deals], "Not Found", 0)</f>
        <v>2</v>
      </c>
      <c r="S457" s="16">
        <f>_xlfn.XLOOKUP(CustomerCombinedCleaned[[#This Row],[ID]], Table4[ID], Table4[Website], "Not Found", 0)</f>
        <v>1</v>
      </c>
      <c r="T457" s="16">
        <f>_xlfn.XLOOKUP(CustomerCombinedCleaned[[#This Row],[ID]], Table4[ID], Table4[Catalog], "Not Found", 0)</f>
        <v>1</v>
      </c>
      <c r="U457" s="16">
        <f>_xlfn.XLOOKUP(CustomerCombinedCleaned[[#This Row],[ID]], Table4[ID], Table4[Store], "Not Found", 0)</f>
        <v>2</v>
      </c>
      <c r="V457" s="16">
        <f>_xlfn.XLOOKUP(CustomerCombinedCleaned[[#This Row],[ID]], Table4[ID], Table4[Visits], "Not Found", 0)</f>
        <v>8</v>
      </c>
      <c r="W457" s="16">
        <f>_xlfn.XLOOKUP(CustomerCombinedCleaned[[#This Row],[ID]], Table2[ID],Table2[Complaint], "Not Found", 0 )</f>
        <v>0</v>
      </c>
      <c r="X457" s="16">
        <f>_xlfn.XLOOKUP(CustomerCombinedCleaned[[#This Row],[ID]], Table2[ID],Table2[Pilot], "Not Found", 0 )</f>
        <v>0</v>
      </c>
      <c r="Y457" s="16">
        <f>_xlfn.XLOOKUP(CustomerCombinedCleaned[[#This Row],[ID]], Table2[ID],Table2[MC1], "Not Found", 0 )</f>
        <v>0</v>
      </c>
      <c r="Z457" s="16">
        <f>_xlfn.XLOOKUP(CustomerCombinedCleaned[[#This Row],[ID]], Table2[ID],Table2[MC2], "Not Found", 0 )</f>
        <v>0</v>
      </c>
      <c r="AA457" s="16">
        <f>_xlfn.XLOOKUP(CustomerCombinedCleaned[[#This Row],[ID]], Table2[ID],Table2[MC3], "Not Found", 0 )</f>
        <v>1</v>
      </c>
      <c r="AB457" s="16">
        <f>_xlfn.XLOOKUP(CustomerCombinedCleaned[[#This Row],[ID]], Table2[ID],Table2[MC4], "Not Found", 0 )</f>
        <v>0</v>
      </c>
      <c r="AC457" s="16">
        <f>_xlfn.XLOOKUP(CustomerCombinedCleaned[[#This Row],[ID]], Table2[ID],Table2[MC5], "Not Found", 0 )</f>
        <v>0</v>
      </c>
    </row>
    <row r="458" spans="1:29" x14ac:dyDescent="0.3">
      <c r="A458" s="18">
        <v>1850</v>
      </c>
      <c r="B458" s="16">
        <v>130545</v>
      </c>
      <c r="C458" s="16">
        <v>1</v>
      </c>
      <c r="D458" s="16">
        <v>0</v>
      </c>
      <c r="E458" s="16">
        <v>41</v>
      </c>
      <c r="F458" s="17" t="s">
        <v>8</v>
      </c>
      <c r="G458" s="17" t="s">
        <v>11</v>
      </c>
      <c r="H458" s="3" t="s">
        <v>377</v>
      </c>
      <c r="I458" s="5" t="s">
        <v>438</v>
      </c>
      <c r="J458" s="16">
        <f>_xlfn.XLOOKUP(CustomerCombinedCleaned[[#This Row],[ID]], Table4[ID], Table4[Recency], "Not Found", 0)</f>
        <v>71</v>
      </c>
      <c r="K458" s="16">
        <f>_xlfn.XLOOKUP(CustomerCombinedCleaned[[#This Row],[ID]], Table4[ID], Table4[Teas], "Not Found", 0)</f>
        <v>17</v>
      </c>
      <c r="L458" s="16">
        <f>_xlfn.XLOOKUP(CustomerCombinedCleaned[[#This Row],[ID]], Table4[ID], Table4[Fruits], "Not Found", 0)</f>
        <v>51</v>
      </c>
      <c r="M458" s="16">
        <f>_xlfn.XLOOKUP(CustomerCombinedCleaned[[#This Row],[ID]], Table4[ID], Table4[Meats], "Not Found", 0)</f>
        <v>64</v>
      </c>
      <c r="N458" s="16">
        <f>_xlfn.XLOOKUP(CustomerCombinedCleaned[[#This Row],[ID]], Table4[ID], Table4[Seafood], "Not Found", 0)</f>
        <v>81</v>
      </c>
      <c r="O458" s="16">
        <f>_xlfn.XLOOKUP(CustomerCombinedCleaned[[#This Row],[ID]], Table4[ID], Table4[Sweets], "Not Found", 0)</f>
        <v>30</v>
      </c>
      <c r="P458" s="16">
        <f>_xlfn.XLOOKUP(CustomerCombinedCleaned[[#This Row],[ID]], Table4[ID], Table4[Premium], "Not Found", 0)</f>
        <v>51</v>
      </c>
      <c r="Q458" s="16">
        <f>_xlfn.XLOOKUP(CustomerCombinedCleaned[[#This Row],[ID]], Table4[ID], Table4[Regular], "Not Found", 0)</f>
        <v>192</v>
      </c>
      <c r="R458" s="16">
        <f>_xlfn.XLOOKUP(CustomerCombinedCleaned[[#This Row],[ID]], Table4[ID], Table4[Deals], "Not Found", 0)</f>
        <v>2</v>
      </c>
      <c r="S458" s="16">
        <f>_xlfn.XLOOKUP(CustomerCombinedCleaned[[#This Row],[ID]], Table4[ID], Table4[Website], "Not Found", 0)</f>
        <v>2</v>
      </c>
      <c r="T458" s="16">
        <f>_xlfn.XLOOKUP(CustomerCombinedCleaned[[#This Row],[ID]], Table4[ID], Table4[Catalog], "Not Found", 0)</f>
        <v>0</v>
      </c>
      <c r="U458" s="16">
        <f>_xlfn.XLOOKUP(CustomerCombinedCleaned[[#This Row],[ID]], Table4[ID], Table4[Store], "Not Found", 0)</f>
        <v>3</v>
      </c>
      <c r="V458" s="16">
        <f>_xlfn.XLOOKUP(CustomerCombinedCleaned[[#This Row],[ID]], Table4[ID], Table4[Visits], "Not Found", 0)</f>
        <v>7</v>
      </c>
      <c r="W458" s="16">
        <f>_xlfn.XLOOKUP(CustomerCombinedCleaned[[#This Row],[ID]], Table2[ID],Table2[Complaint], "Not Found", 0 )</f>
        <v>0</v>
      </c>
      <c r="X458" s="16">
        <f>_xlfn.XLOOKUP(CustomerCombinedCleaned[[#This Row],[ID]], Table2[ID],Table2[Pilot], "Not Found", 0 )</f>
        <v>0</v>
      </c>
      <c r="Y458" s="16">
        <f>_xlfn.XLOOKUP(CustomerCombinedCleaned[[#This Row],[ID]], Table2[ID],Table2[MC1], "Not Found", 0 )</f>
        <v>0</v>
      </c>
      <c r="Z458" s="16">
        <f>_xlfn.XLOOKUP(CustomerCombinedCleaned[[#This Row],[ID]], Table2[ID],Table2[MC2], "Not Found", 0 )</f>
        <v>0</v>
      </c>
      <c r="AA458" s="16">
        <f>_xlfn.XLOOKUP(CustomerCombinedCleaned[[#This Row],[ID]], Table2[ID],Table2[MC3], "Not Found", 0 )</f>
        <v>0</v>
      </c>
      <c r="AB458" s="16">
        <f>_xlfn.XLOOKUP(CustomerCombinedCleaned[[#This Row],[ID]], Table2[ID],Table2[MC4], "Not Found", 0 )</f>
        <v>0</v>
      </c>
      <c r="AC458" s="16">
        <f>_xlfn.XLOOKUP(CustomerCombinedCleaned[[#This Row],[ID]], Table2[ID],Table2[MC5], "Not Found", 0 )</f>
        <v>0</v>
      </c>
    </row>
    <row r="459" spans="1:29" x14ac:dyDescent="0.3">
      <c r="A459" s="18">
        <v>1931</v>
      </c>
      <c r="B459" s="16">
        <v>127922</v>
      </c>
      <c r="C459" s="16">
        <v>1</v>
      </c>
      <c r="D459" s="16">
        <v>0</v>
      </c>
      <c r="E459" s="16">
        <v>41</v>
      </c>
      <c r="F459" s="17" t="s">
        <v>8</v>
      </c>
      <c r="G459" s="17" t="s">
        <v>13</v>
      </c>
      <c r="H459" s="3" t="s">
        <v>54</v>
      </c>
      <c r="I459" s="5" t="s">
        <v>434</v>
      </c>
      <c r="J459" s="16">
        <f>_xlfn.XLOOKUP(CustomerCombinedCleaned[[#This Row],[ID]], Table4[ID], Table4[Recency], "Not Found", 0)</f>
        <v>80</v>
      </c>
      <c r="K459" s="16">
        <f>_xlfn.XLOOKUP(CustomerCombinedCleaned[[#This Row],[ID]], Table4[ID], Table4[Teas], "Not Found", 0)</f>
        <v>50</v>
      </c>
      <c r="L459" s="16">
        <f>_xlfn.XLOOKUP(CustomerCombinedCleaned[[#This Row],[ID]], Table4[ID], Table4[Fruits], "Not Found", 0)</f>
        <v>0</v>
      </c>
      <c r="M459" s="16">
        <f>_xlfn.XLOOKUP(CustomerCombinedCleaned[[#This Row],[ID]], Table4[ID], Table4[Meats], "Not Found", 0)</f>
        <v>60</v>
      </c>
      <c r="N459" s="16">
        <f>_xlfn.XLOOKUP(CustomerCombinedCleaned[[#This Row],[ID]], Table4[ID], Table4[Seafood], "Not Found", 0)</f>
        <v>9</v>
      </c>
      <c r="O459" s="16">
        <f>_xlfn.XLOOKUP(CustomerCombinedCleaned[[#This Row],[ID]], Table4[ID], Table4[Sweets], "Not Found", 0)</f>
        <v>18</v>
      </c>
      <c r="P459" s="16">
        <f>_xlfn.XLOOKUP(CustomerCombinedCleaned[[#This Row],[ID]], Table4[ID], Table4[Premium], "Not Found", 0)</f>
        <v>50</v>
      </c>
      <c r="Q459" s="16">
        <f>_xlfn.XLOOKUP(CustomerCombinedCleaned[[#This Row],[ID]], Table4[ID], Table4[Regular], "Not Found", 0)</f>
        <v>87</v>
      </c>
      <c r="R459" s="16">
        <f>_xlfn.XLOOKUP(CustomerCombinedCleaned[[#This Row],[ID]], Table4[ID], Table4[Deals], "Not Found", 0)</f>
        <v>1</v>
      </c>
      <c r="S459" s="16">
        <f>_xlfn.XLOOKUP(CustomerCombinedCleaned[[#This Row],[ID]], Table4[ID], Table4[Website], "Not Found", 0)</f>
        <v>2</v>
      </c>
      <c r="T459" s="16">
        <f>_xlfn.XLOOKUP(CustomerCombinedCleaned[[#This Row],[ID]], Table4[ID], Table4[Catalog], "Not Found", 0)</f>
        <v>0</v>
      </c>
      <c r="U459" s="16">
        <f>_xlfn.XLOOKUP(CustomerCombinedCleaned[[#This Row],[ID]], Table4[ID], Table4[Store], "Not Found", 0)</f>
        <v>3</v>
      </c>
      <c r="V459" s="16">
        <f>_xlfn.XLOOKUP(CustomerCombinedCleaned[[#This Row],[ID]], Table4[ID], Table4[Visits], "Not Found", 0)</f>
        <v>4</v>
      </c>
      <c r="W459" s="16">
        <f>_xlfn.XLOOKUP(CustomerCombinedCleaned[[#This Row],[ID]], Table2[ID],Table2[Complaint], "Not Found", 0 )</f>
        <v>0</v>
      </c>
      <c r="X459" s="16">
        <f>_xlfn.XLOOKUP(CustomerCombinedCleaned[[#This Row],[ID]], Table2[ID],Table2[Pilot], "Not Found", 0 )</f>
        <v>0</v>
      </c>
      <c r="Y459" s="16">
        <f>_xlfn.XLOOKUP(CustomerCombinedCleaned[[#This Row],[ID]], Table2[ID],Table2[MC1], "Not Found", 0 )</f>
        <v>0</v>
      </c>
      <c r="Z459" s="16">
        <f>_xlfn.XLOOKUP(CustomerCombinedCleaned[[#This Row],[ID]], Table2[ID],Table2[MC2], "Not Found", 0 )</f>
        <v>0</v>
      </c>
      <c r="AA459" s="16">
        <f>_xlfn.XLOOKUP(CustomerCombinedCleaned[[#This Row],[ID]], Table2[ID],Table2[MC3], "Not Found", 0 )</f>
        <v>0</v>
      </c>
      <c r="AB459" s="16">
        <f>_xlfn.XLOOKUP(CustomerCombinedCleaned[[#This Row],[ID]], Table2[ID],Table2[MC4], "Not Found", 0 )</f>
        <v>0</v>
      </c>
      <c r="AC459" s="16">
        <f>_xlfn.XLOOKUP(CustomerCombinedCleaned[[#This Row],[ID]], Table2[ID],Table2[MC5], "Not Found", 0 )</f>
        <v>0</v>
      </c>
    </row>
    <row r="460" spans="1:29" x14ac:dyDescent="0.3">
      <c r="A460" s="18">
        <v>2310</v>
      </c>
      <c r="B460" s="16">
        <v>127244</v>
      </c>
      <c r="C460" s="16">
        <v>1</v>
      </c>
      <c r="D460" s="16">
        <v>0</v>
      </c>
      <c r="E460" s="16">
        <v>41</v>
      </c>
      <c r="F460" s="17" t="s">
        <v>6</v>
      </c>
      <c r="G460" s="17" t="s">
        <v>11</v>
      </c>
      <c r="H460" s="3" t="s">
        <v>693</v>
      </c>
      <c r="I460" s="5" t="s">
        <v>436</v>
      </c>
      <c r="J460" s="16">
        <f>_xlfn.XLOOKUP(CustomerCombinedCleaned[[#This Row],[ID]], Table4[ID], Table4[Recency], "Not Found", 0)</f>
        <v>84</v>
      </c>
      <c r="K460" s="16">
        <f>_xlfn.XLOOKUP(CustomerCombinedCleaned[[#This Row],[ID]], Table4[ID], Table4[Teas], "Not Found", 0)</f>
        <v>28</v>
      </c>
      <c r="L460" s="16">
        <f>_xlfn.XLOOKUP(CustomerCombinedCleaned[[#This Row],[ID]], Table4[ID], Table4[Fruits], "Not Found", 0)</f>
        <v>23</v>
      </c>
      <c r="M460" s="16">
        <f>_xlfn.XLOOKUP(CustomerCombinedCleaned[[#This Row],[ID]], Table4[ID], Table4[Meats], "Not Found", 0)</f>
        <v>79</v>
      </c>
      <c r="N460" s="16">
        <f>_xlfn.XLOOKUP(CustomerCombinedCleaned[[#This Row],[ID]], Table4[ID], Table4[Seafood], "Not Found", 0)</f>
        <v>14</v>
      </c>
      <c r="O460" s="16">
        <f>_xlfn.XLOOKUP(CustomerCombinedCleaned[[#This Row],[ID]], Table4[ID], Table4[Sweets], "Not Found", 0)</f>
        <v>112</v>
      </c>
      <c r="P460" s="16">
        <f>_xlfn.XLOOKUP(CustomerCombinedCleaned[[#This Row],[ID]], Table4[ID], Table4[Premium], "Not Found", 0)</f>
        <v>215</v>
      </c>
      <c r="Q460" s="16">
        <f>_xlfn.XLOOKUP(CustomerCombinedCleaned[[#This Row],[ID]], Table4[ID], Table4[Regular], "Not Found", 0)</f>
        <v>42</v>
      </c>
      <c r="R460" s="16">
        <f>_xlfn.XLOOKUP(CustomerCombinedCleaned[[#This Row],[ID]], Table4[ID], Table4[Deals], "Not Found", 0)</f>
        <v>2</v>
      </c>
      <c r="S460" s="16">
        <f>_xlfn.XLOOKUP(CustomerCombinedCleaned[[#This Row],[ID]], Table4[ID], Table4[Website], "Not Found", 0)</f>
        <v>2</v>
      </c>
      <c r="T460" s="16">
        <f>_xlfn.XLOOKUP(CustomerCombinedCleaned[[#This Row],[ID]], Table4[ID], Table4[Catalog], "Not Found", 0)</f>
        <v>2</v>
      </c>
      <c r="U460" s="16">
        <f>_xlfn.XLOOKUP(CustomerCombinedCleaned[[#This Row],[ID]], Table4[ID], Table4[Store], "Not Found", 0)</f>
        <v>2</v>
      </c>
      <c r="V460" s="16">
        <f>_xlfn.XLOOKUP(CustomerCombinedCleaned[[#This Row],[ID]], Table4[ID], Table4[Visits], "Not Found", 0)</f>
        <v>7</v>
      </c>
      <c r="W460" s="16">
        <f>_xlfn.XLOOKUP(CustomerCombinedCleaned[[#This Row],[ID]], Table2[ID],Table2[Complaint], "Not Found", 0 )</f>
        <v>0</v>
      </c>
      <c r="X460" s="16">
        <f>_xlfn.XLOOKUP(CustomerCombinedCleaned[[#This Row],[ID]], Table2[ID],Table2[Pilot], "Not Found", 0 )</f>
        <v>0</v>
      </c>
      <c r="Y460" s="16">
        <f>_xlfn.XLOOKUP(CustomerCombinedCleaned[[#This Row],[ID]], Table2[ID],Table2[MC1], "Not Found", 0 )</f>
        <v>0</v>
      </c>
      <c r="Z460" s="16">
        <f>_xlfn.XLOOKUP(CustomerCombinedCleaned[[#This Row],[ID]], Table2[ID],Table2[MC2], "Not Found", 0 )</f>
        <v>0</v>
      </c>
      <c r="AA460" s="16">
        <f>_xlfn.XLOOKUP(CustomerCombinedCleaned[[#This Row],[ID]], Table2[ID],Table2[MC3], "Not Found", 0 )</f>
        <v>0</v>
      </c>
      <c r="AB460" s="16">
        <f>_xlfn.XLOOKUP(CustomerCombinedCleaned[[#This Row],[ID]], Table2[ID],Table2[MC4], "Not Found", 0 )</f>
        <v>0</v>
      </c>
      <c r="AC460" s="16">
        <f>_xlfn.XLOOKUP(CustomerCombinedCleaned[[#This Row],[ID]], Table2[ID],Table2[MC5], "Not Found", 0 )</f>
        <v>0</v>
      </c>
    </row>
    <row r="461" spans="1:29" x14ac:dyDescent="0.3">
      <c r="A461" s="18">
        <v>1097</v>
      </c>
      <c r="B461" s="16">
        <v>124594</v>
      </c>
      <c r="C461" s="16">
        <v>1</v>
      </c>
      <c r="D461" s="16">
        <v>0</v>
      </c>
      <c r="E461" s="16">
        <v>41</v>
      </c>
      <c r="F461" s="17" t="s">
        <v>8</v>
      </c>
      <c r="G461" s="17" t="s">
        <v>10</v>
      </c>
      <c r="H461" s="3" t="s">
        <v>138</v>
      </c>
      <c r="I461" s="5" t="s">
        <v>434</v>
      </c>
      <c r="J461" s="16">
        <f>_xlfn.XLOOKUP(CustomerCombinedCleaned[[#This Row],[ID]], Table4[ID], Table4[Recency], "Not Found", 0)</f>
        <v>94</v>
      </c>
      <c r="K461" s="16">
        <f>_xlfn.XLOOKUP(CustomerCombinedCleaned[[#This Row],[ID]], Table4[ID], Table4[Teas], "Not Found", 0)</f>
        <v>5</v>
      </c>
      <c r="L461" s="16">
        <f>_xlfn.XLOOKUP(CustomerCombinedCleaned[[#This Row],[ID]], Table4[ID], Table4[Fruits], "Not Found", 0)</f>
        <v>15</v>
      </c>
      <c r="M461" s="16">
        <f>_xlfn.XLOOKUP(CustomerCombinedCleaned[[#This Row],[ID]], Table4[ID], Table4[Meats], "Not Found", 0)</f>
        <v>30</v>
      </c>
      <c r="N461" s="16">
        <f>_xlfn.XLOOKUP(CustomerCombinedCleaned[[#This Row],[ID]], Table4[ID], Table4[Seafood], "Not Found", 0)</f>
        <v>51</v>
      </c>
      <c r="O461" s="16">
        <f>_xlfn.XLOOKUP(CustomerCombinedCleaned[[#This Row],[ID]], Table4[ID], Table4[Sweets], "Not Found", 0)</f>
        <v>0</v>
      </c>
      <c r="P461" s="16">
        <f>_xlfn.XLOOKUP(CustomerCombinedCleaned[[#This Row],[ID]], Table4[ID], Table4[Premium], "Not Found", 0)</f>
        <v>46</v>
      </c>
      <c r="Q461" s="16">
        <f>_xlfn.XLOOKUP(CustomerCombinedCleaned[[#This Row],[ID]], Table4[ID], Table4[Regular], "Not Found", 0)</f>
        <v>56</v>
      </c>
      <c r="R461" s="16">
        <f>_xlfn.XLOOKUP(CustomerCombinedCleaned[[#This Row],[ID]], Table4[ID], Table4[Deals], "Not Found", 0)</f>
        <v>1</v>
      </c>
      <c r="S461" s="16">
        <f>_xlfn.XLOOKUP(CustomerCombinedCleaned[[#This Row],[ID]], Table4[ID], Table4[Website], "Not Found", 0)</f>
        <v>1</v>
      </c>
      <c r="T461" s="16">
        <f>_xlfn.XLOOKUP(CustomerCombinedCleaned[[#This Row],[ID]], Table4[ID], Table4[Catalog], "Not Found", 0)</f>
        <v>0</v>
      </c>
      <c r="U461" s="16">
        <f>_xlfn.XLOOKUP(CustomerCombinedCleaned[[#This Row],[ID]], Table4[ID], Table4[Store], "Not Found", 0)</f>
        <v>3</v>
      </c>
      <c r="V461" s="16">
        <f>_xlfn.XLOOKUP(CustomerCombinedCleaned[[#This Row],[ID]], Table4[ID], Table4[Visits], "Not Found", 0)</f>
        <v>5</v>
      </c>
      <c r="W461" s="16">
        <f>_xlfn.XLOOKUP(CustomerCombinedCleaned[[#This Row],[ID]], Table2[ID],Table2[Complaint], "Not Found", 0 )</f>
        <v>0</v>
      </c>
      <c r="X461" s="16">
        <f>_xlfn.XLOOKUP(CustomerCombinedCleaned[[#This Row],[ID]], Table2[ID],Table2[Pilot], "Not Found", 0 )</f>
        <v>0</v>
      </c>
      <c r="Y461" s="16">
        <f>_xlfn.XLOOKUP(CustomerCombinedCleaned[[#This Row],[ID]], Table2[ID],Table2[MC1], "Not Found", 0 )</f>
        <v>0</v>
      </c>
      <c r="Z461" s="16">
        <f>_xlfn.XLOOKUP(CustomerCombinedCleaned[[#This Row],[ID]], Table2[ID],Table2[MC2], "Not Found", 0 )</f>
        <v>0</v>
      </c>
      <c r="AA461" s="16">
        <f>_xlfn.XLOOKUP(CustomerCombinedCleaned[[#This Row],[ID]], Table2[ID],Table2[MC3], "Not Found", 0 )</f>
        <v>0</v>
      </c>
      <c r="AB461" s="16">
        <f>_xlfn.XLOOKUP(CustomerCombinedCleaned[[#This Row],[ID]], Table2[ID],Table2[MC4], "Not Found", 0 )</f>
        <v>0</v>
      </c>
      <c r="AC461" s="16">
        <f>_xlfn.XLOOKUP(CustomerCombinedCleaned[[#This Row],[ID]], Table2[ID],Table2[MC5], "Not Found", 0 )</f>
        <v>0</v>
      </c>
    </row>
    <row r="462" spans="1:29" x14ac:dyDescent="0.3">
      <c r="A462" s="18">
        <v>2619</v>
      </c>
      <c r="B462" s="16">
        <v>124594</v>
      </c>
      <c r="C462" s="16">
        <v>1</v>
      </c>
      <c r="D462" s="16">
        <v>0</v>
      </c>
      <c r="E462" s="16">
        <v>41</v>
      </c>
      <c r="F462" s="17" t="s">
        <v>8</v>
      </c>
      <c r="G462" s="17" t="s">
        <v>10</v>
      </c>
      <c r="H462" s="3" t="s">
        <v>138</v>
      </c>
      <c r="I462" s="5" t="s">
        <v>435</v>
      </c>
      <c r="J462" s="16">
        <f>_xlfn.XLOOKUP(CustomerCombinedCleaned[[#This Row],[ID]], Table4[ID], Table4[Recency], "Not Found", 0)</f>
        <v>94</v>
      </c>
      <c r="K462" s="16">
        <f>_xlfn.XLOOKUP(CustomerCombinedCleaned[[#This Row],[ID]], Table4[ID], Table4[Teas], "Not Found", 0)</f>
        <v>5</v>
      </c>
      <c r="L462" s="16">
        <f>_xlfn.XLOOKUP(CustomerCombinedCleaned[[#This Row],[ID]], Table4[ID], Table4[Fruits], "Not Found", 0)</f>
        <v>15</v>
      </c>
      <c r="M462" s="16">
        <f>_xlfn.XLOOKUP(CustomerCombinedCleaned[[#This Row],[ID]], Table4[ID], Table4[Meats], "Not Found", 0)</f>
        <v>30</v>
      </c>
      <c r="N462" s="16">
        <f>_xlfn.XLOOKUP(CustomerCombinedCleaned[[#This Row],[ID]], Table4[ID], Table4[Seafood], "Not Found", 0)</f>
        <v>51</v>
      </c>
      <c r="O462" s="16">
        <f>_xlfn.XLOOKUP(CustomerCombinedCleaned[[#This Row],[ID]], Table4[ID], Table4[Sweets], "Not Found", 0)</f>
        <v>0</v>
      </c>
      <c r="P462" s="16">
        <f>_xlfn.XLOOKUP(CustomerCombinedCleaned[[#This Row],[ID]], Table4[ID], Table4[Premium], "Not Found", 0)</f>
        <v>46</v>
      </c>
      <c r="Q462" s="16">
        <f>_xlfn.XLOOKUP(CustomerCombinedCleaned[[#This Row],[ID]], Table4[ID], Table4[Regular], "Not Found", 0)</f>
        <v>56</v>
      </c>
      <c r="R462" s="16">
        <f>_xlfn.XLOOKUP(CustomerCombinedCleaned[[#This Row],[ID]], Table4[ID], Table4[Deals], "Not Found", 0)</f>
        <v>1</v>
      </c>
      <c r="S462" s="16">
        <f>_xlfn.XLOOKUP(CustomerCombinedCleaned[[#This Row],[ID]], Table4[ID], Table4[Website], "Not Found", 0)</f>
        <v>1</v>
      </c>
      <c r="T462" s="16">
        <f>_xlfn.XLOOKUP(CustomerCombinedCleaned[[#This Row],[ID]], Table4[ID], Table4[Catalog], "Not Found", 0)</f>
        <v>0</v>
      </c>
      <c r="U462" s="16">
        <f>_xlfn.XLOOKUP(CustomerCombinedCleaned[[#This Row],[ID]], Table4[ID], Table4[Store], "Not Found", 0)</f>
        <v>3</v>
      </c>
      <c r="V462" s="16">
        <f>_xlfn.XLOOKUP(CustomerCombinedCleaned[[#This Row],[ID]], Table4[ID], Table4[Visits], "Not Found", 0)</f>
        <v>5</v>
      </c>
      <c r="W462" s="16">
        <f>_xlfn.XLOOKUP(CustomerCombinedCleaned[[#This Row],[ID]], Table2[ID],Table2[Complaint], "Not Found", 0 )</f>
        <v>0</v>
      </c>
      <c r="X462" s="16">
        <f>_xlfn.XLOOKUP(CustomerCombinedCleaned[[#This Row],[ID]], Table2[ID],Table2[Pilot], "Not Found", 0 )</f>
        <v>0</v>
      </c>
      <c r="Y462" s="16">
        <f>_xlfn.XLOOKUP(CustomerCombinedCleaned[[#This Row],[ID]], Table2[ID],Table2[MC1], "Not Found", 0 )</f>
        <v>0</v>
      </c>
      <c r="Z462" s="16">
        <f>_xlfn.XLOOKUP(CustomerCombinedCleaned[[#This Row],[ID]], Table2[ID],Table2[MC2], "Not Found", 0 )</f>
        <v>0</v>
      </c>
      <c r="AA462" s="16">
        <f>_xlfn.XLOOKUP(CustomerCombinedCleaned[[#This Row],[ID]], Table2[ID],Table2[MC3], "Not Found", 0 )</f>
        <v>0</v>
      </c>
      <c r="AB462" s="16">
        <f>_xlfn.XLOOKUP(CustomerCombinedCleaned[[#This Row],[ID]], Table2[ID],Table2[MC4], "Not Found", 0 )</f>
        <v>0</v>
      </c>
      <c r="AC462" s="16">
        <f>_xlfn.XLOOKUP(CustomerCombinedCleaned[[#This Row],[ID]], Table2[ID],Table2[MC5], "Not Found", 0 )</f>
        <v>0</v>
      </c>
    </row>
    <row r="463" spans="1:29" x14ac:dyDescent="0.3">
      <c r="A463" s="18">
        <v>1906</v>
      </c>
      <c r="B463" s="16">
        <v>124401</v>
      </c>
      <c r="C463" s="16">
        <v>0</v>
      </c>
      <c r="D463" s="16">
        <v>0</v>
      </c>
      <c r="E463" s="16">
        <v>41</v>
      </c>
      <c r="F463" s="17" t="s">
        <v>8</v>
      </c>
      <c r="G463" s="17" t="s">
        <v>12</v>
      </c>
      <c r="H463" s="3" t="s">
        <v>681</v>
      </c>
      <c r="I463" s="5" t="s">
        <v>439</v>
      </c>
      <c r="J463" s="16">
        <f>_xlfn.XLOOKUP(CustomerCombinedCleaned[[#This Row],[ID]], Table4[ID], Table4[Recency], "Not Found", 0)</f>
        <v>98</v>
      </c>
      <c r="K463" s="16">
        <f>_xlfn.XLOOKUP(CustomerCombinedCleaned[[#This Row],[ID]], Table4[ID], Table4[Teas], "Not Found", 0)</f>
        <v>372</v>
      </c>
      <c r="L463" s="16">
        <f>_xlfn.XLOOKUP(CustomerCombinedCleaned[[#This Row],[ID]], Table4[ID], Table4[Fruits], "Not Found", 0)</f>
        <v>143</v>
      </c>
      <c r="M463" s="16">
        <f>_xlfn.XLOOKUP(CustomerCombinedCleaned[[#This Row],[ID]], Table4[ID], Table4[Meats], "Not Found", 0)</f>
        <v>1106</v>
      </c>
      <c r="N463" s="16">
        <f>_xlfn.XLOOKUP(CustomerCombinedCleaned[[#This Row],[ID]], Table4[ID], Table4[Seafood], "Not Found", 0)</f>
        <v>51</v>
      </c>
      <c r="O463" s="16">
        <f>_xlfn.XLOOKUP(CustomerCombinedCleaned[[#This Row],[ID]], Table4[ID], Table4[Sweets], "Not Found", 0)</f>
        <v>122</v>
      </c>
      <c r="P463" s="16">
        <f>_xlfn.XLOOKUP(CustomerCombinedCleaned[[#This Row],[ID]], Table4[ID], Table4[Premium], "Not Found", 0)</f>
        <v>586</v>
      </c>
      <c r="Q463" s="16">
        <f>_xlfn.XLOOKUP(CustomerCombinedCleaned[[#This Row],[ID]], Table4[ID], Table4[Regular], "Not Found", 0)</f>
        <v>1208</v>
      </c>
      <c r="R463" s="16">
        <f>_xlfn.XLOOKUP(CustomerCombinedCleaned[[#This Row],[ID]], Table4[ID], Table4[Deals], "Not Found", 0)</f>
        <v>3</v>
      </c>
      <c r="S463" s="16">
        <f>_xlfn.XLOOKUP(CustomerCombinedCleaned[[#This Row],[ID]], Table4[ID], Table4[Website], "Not Found", 0)</f>
        <v>6</v>
      </c>
      <c r="T463" s="16">
        <f>_xlfn.XLOOKUP(CustomerCombinedCleaned[[#This Row],[ID]], Table4[ID], Table4[Catalog], "Not Found", 0)</f>
        <v>1</v>
      </c>
      <c r="U463" s="16">
        <f>_xlfn.XLOOKUP(CustomerCombinedCleaned[[#This Row],[ID]], Table4[ID], Table4[Store], "Not Found", 0)</f>
        <v>6</v>
      </c>
      <c r="V463" s="16">
        <f>_xlfn.XLOOKUP(CustomerCombinedCleaned[[#This Row],[ID]], Table4[ID], Table4[Visits], "Not Found", 0)</f>
        <v>8</v>
      </c>
      <c r="W463" s="16">
        <f>_xlfn.XLOOKUP(CustomerCombinedCleaned[[#This Row],[ID]], Table2[ID],Table2[Complaint], "Not Found", 0 )</f>
        <v>0</v>
      </c>
      <c r="X463" s="16">
        <f>_xlfn.XLOOKUP(CustomerCombinedCleaned[[#This Row],[ID]], Table2[ID],Table2[Pilot], "Not Found", 0 )</f>
        <v>0</v>
      </c>
      <c r="Y463" s="16">
        <f>_xlfn.XLOOKUP(CustomerCombinedCleaned[[#This Row],[ID]], Table2[ID],Table2[MC1], "Not Found", 0 )</f>
        <v>0</v>
      </c>
      <c r="Z463" s="16">
        <f>_xlfn.XLOOKUP(CustomerCombinedCleaned[[#This Row],[ID]], Table2[ID],Table2[MC2], "Not Found", 0 )</f>
        <v>0</v>
      </c>
      <c r="AA463" s="16">
        <f>_xlfn.XLOOKUP(CustomerCombinedCleaned[[#This Row],[ID]], Table2[ID],Table2[MC3], "Not Found", 0 )</f>
        <v>0</v>
      </c>
      <c r="AB463" s="16">
        <f>_xlfn.XLOOKUP(CustomerCombinedCleaned[[#This Row],[ID]], Table2[ID],Table2[MC4], "Not Found", 0 )</f>
        <v>0</v>
      </c>
      <c r="AC463" s="16">
        <f>_xlfn.XLOOKUP(CustomerCombinedCleaned[[#This Row],[ID]], Table2[ID],Table2[MC5], "Not Found", 0 )</f>
        <v>0</v>
      </c>
    </row>
    <row r="464" spans="1:29" x14ac:dyDescent="0.3">
      <c r="A464" s="18">
        <v>2155</v>
      </c>
      <c r="B464" s="16">
        <v>123724</v>
      </c>
      <c r="C464" s="16">
        <v>1</v>
      </c>
      <c r="D464" s="16">
        <v>0</v>
      </c>
      <c r="E464" s="16">
        <v>41</v>
      </c>
      <c r="F464" s="17" t="s">
        <v>8</v>
      </c>
      <c r="G464" s="17" t="s">
        <v>10</v>
      </c>
      <c r="H464" s="3" t="s">
        <v>332</v>
      </c>
      <c r="I464" s="5" t="s">
        <v>437</v>
      </c>
      <c r="J464" s="16">
        <f>_xlfn.XLOOKUP(CustomerCombinedCleaned[[#This Row],[ID]], Table4[ID], Table4[Recency], "Not Found", 0)</f>
        <v>65</v>
      </c>
      <c r="K464" s="16">
        <f>_xlfn.XLOOKUP(CustomerCombinedCleaned[[#This Row],[ID]], Table4[ID], Table4[Teas], "Not Found", 0)</f>
        <v>26</v>
      </c>
      <c r="L464" s="16">
        <f>_xlfn.XLOOKUP(CustomerCombinedCleaned[[#This Row],[ID]], Table4[ID], Table4[Fruits], "Not Found", 0)</f>
        <v>120</v>
      </c>
      <c r="M464" s="16">
        <f>_xlfn.XLOOKUP(CustomerCombinedCleaned[[#This Row],[ID]], Table4[ID], Table4[Meats], "Not Found", 0)</f>
        <v>78</v>
      </c>
      <c r="N464" s="16">
        <f>_xlfn.XLOOKUP(CustomerCombinedCleaned[[#This Row],[ID]], Table4[ID], Table4[Seafood], "Not Found", 0)</f>
        <v>0</v>
      </c>
      <c r="O464" s="16">
        <f>_xlfn.XLOOKUP(CustomerCombinedCleaned[[#This Row],[ID]], Table4[ID], Table4[Sweets], "Not Found", 0)</f>
        <v>94</v>
      </c>
      <c r="P464" s="16">
        <f>_xlfn.XLOOKUP(CustomerCombinedCleaned[[#This Row],[ID]], Table4[ID], Table4[Premium], "Not Found", 0)</f>
        <v>73</v>
      </c>
      <c r="Q464" s="16">
        <f>_xlfn.XLOOKUP(CustomerCombinedCleaned[[#This Row],[ID]], Table4[ID], Table4[Regular], "Not Found", 0)</f>
        <v>245</v>
      </c>
      <c r="R464" s="16">
        <f>_xlfn.XLOOKUP(CustomerCombinedCleaned[[#This Row],[ID]], Table4[ID], Table4[Deals], "Not Found", 0)</f>
        <v>2</v>
      </c>
      <c r="S464" s="16">
        <f>_xlfn.XLOOKUP(CustomerCombinedCleaned[[#This Row],[ID]], Table4[ID], Table4[Website], "Not Found", 0)</f>
        <v>2</v>
      </c>
      <c r="T464" s="16">
        <f>_xlfn.XLOOKUP(CustomerCombinedCleaned[[#This Row],[ID]], Table4[ID], Table4[Catalog], "Not Found", 0)</f>
        <v>0</v>
      </c>
      <c r="U464" s="16">
        <f>_xlfn.XLOOKUP(CustomerCombinedCleaned[[#This Row],[ID]], Table4[ID], Table4[Store], "Not Found", 0)</f>
        <v>3</v>
      </c>
      <c r="V464" s="16">
        <f>_xlfn.XLOOKUP(CustomerCombinedCleaned[[#This Row],[ID]], Table4[ID], Table4[Visits], "Not Found", 0)</f>
        <v>8</v>
      </c>
      <c r="W464" s="16">
        <f>_xlfn.XLOOKUP(CustomerCombinedCleaned[[#This Row],[ID]], Table2[ID],Table2[Complaint], "Not Found", 0 )</f>
        <v>0</v>
      </c>
      <c r="X464" s="16">
        <f>_xlfn.XLOOKUP(CustomerCombinedCleaned[[#This Row],[ID]], Table2[ID],Table2[Pilot], "Not Found", 0 )</f>
        <v>0</v>
      </c>
      <c r="Y464" s="16">
        <f>_xlfn.XLOOKUP(CustomerCombinedCleaned[[#This Row],[ID]], Table2[ID],Table2[MC1], "Not Found", 0 )</f>
        <v>0</v>
      </c>
      <c r="Z464" s="16">
        <f>_xlfn.XLOOKUP(CustomerCombinedCleaned[[#This Row],[ID]], Table2[ID],Table2[MC2], "Not Found", 0 )</f>
        <v>0</v>
      </c>
      <c r="AA464" s="16">
        <f>_xlfn.XLOOKUP(CustomerCombinedCleaned[[#This Row],[ID]], Table2[ID],Table2[MC3], "Not Found", 0 )</f>
        <v>0</v>
      </c>
      <c r="AB464" s="16">
        <f>_xlfn.XLOOKUP(CustomerCombinedCleaned[[#This Row],[ID]], Table2[ID],Table2[MC4], "Not Found", 0 )</f>
        <v>0</v>
      </c>
      <c r="AC464" s="16">
        <f>_xlfn.XLOOKUP(CustomerCombinedCleaned[[#This Row],[ID]], Table2[ID],Table2[MC5], "Not Found", 0 )</f>
        <v>0</v>
      </c>
    </row>
    <row r="465" spans="1:29" x14ac:dyDescent="0.3">
      <c r="A465" s="18">
        <v>2418</v>
      </c>
      <c r="B465" s="16">
        <v>121645</v>
      </c>
      <c r="C465" s="16">
        <v>1</v>
      </c>
      <c r="D465" s="16">
        <v>0</v>
      </c>
      <c r="E465" s="16">
        <v>41</v>
      </c>
      <c r="F465" s="17" t="s">
        <v>8</v>
      </c>
      <c r="G465" s="17" t="s">
        <v>11</v>
      </c>
      <c r="H465" s="3" t="s">
        <v>699</v>
      </c>
      <c r="I465" s="5" t="s">
        <v>436</v>
      </c>
      <c r="J465" s="16">
        <f>_xlfn.XLOOKUP(CustomerCombinedCleaned[[#This Row],[ID]], Table4[ID], Table4[Recency], "Not Found", 0)</f>
        <v>75</v>
      </c>
      <c r="K465" s="16">
        <f>_xlfn.XLOOKUP(CustomerCombinedCleaned[[#This Row],[ID]], Table4[ID], Table4[Teas], "Not Found", 0)</f>
        <v>79</v>
      </c>
      <c r="L465" s="16">
        <f>_xlfn.XLOOKUP(CustomerCombinedCleaned[[#This Row],[ID]], Table4[ID], Table4[Fruits], "Not Found", 0)</f>
        <v>0</v>
      </c>
      <c r="M465" s="16">
        <f>_xlfn.XLOOKUP(CustomerCombinedCleaned[[#This Row],[ID]], Table4[ID], Table4[Meats], "Not Found", 0)</f>
        <v>129</v>
      </c>
      <c r="N465" s="16">
        <f>_xlfn.XLOOKUP(CustomerCombinedCleaned[[#This Row],[ID]], Table4[ID], Table4[Seafood], "Not Found", 0)</f>
        <v>22</v>
      </c>
      <c r="O465" s="16">
        <f>_xlfn.XLOOKUP(CustomerCombinedCleaned[[#This Row],[ID]], Table4[ID], Table4[Sweets], "Not Found", 0)</f>
        <v>28</v>
      </c>
      <c r="P465" s="16">
        <f>_xlfn.XLOOKUP(CustomerCombinedCleaned[[#This Row],[ID]], Table4[ID], Table4[Premium], "Not Found", 0)</f>
        <v>107</v>
      </c>
      <c r="Q465" s="16">
        <f>_xlfn.XLOOKUP(CustomerCombinedCleaned[[#This Row],[ID]], Table4[ID], Table4[Regular], "Not Found", 0)</f>
        <v>152</v>
      </c>
      <c r="R465" s="16">
        <f>_xlfn.XLOOKUP(CustomerCombinedCleaned[[#This Row],[ID]], Table4[ID], Table4[Deals], "Not Found", 0)</f>
        <v>3</v>
      </c>
      <c r="S465" s="16">
        <f>_xlfn.XLOOKUP(CustomerCombinedCleaned[[#This Row],[ID]], Table4[ID], Table4[Website], "Not Found", 0)</f>
        <v>3</v>
      </c>
      <c r="T465" s="16">
        <f>_xlfn.XLOOKUP(CustomerCombinedCleaned[[#This Row],[ID]], Table4[ID], Table4[Catalog], "Not Found", 0)</f>
        <v>0</v>
      </c>
      <c r="U465" s="16">
        <f>_xlfn.XLOOKUP(CustomerCombinedCleaned[[#This Row],[ID]], Table4[ID], Table4[Store], "Not Found", 0)</f>
        <v>3</v>
      </c>
      <c r="V465" s="16">
        <f>_xlfn.XLOOKUP(CustomerCombinedCleaned[[#This Row],[ID]], Table4[ID], Table4[Visits], "Not Found", 0)</f>
        <v>9</v>
      </c>
      <c r="W465" s="16">
        <f>_xlfn.XLOOKUP(CustomerCombinedCleaned[[#This Row],[ID]], Table2[ID],Table2[Complaint], "Not Found", 0 )</f>
        <v>0</v>
      </c>
      <c r="X465" s="16">
        <f>_xlfn.XLOOKUP(CustomerCombinedCleaned[[#This Row],[ID]], Table2[ID],Table2[Pilot], "Not Found", 0 )</f>
        <v>1</v>
      </c>
      <c r="Y465" s="16">
        <f>_xlfn.XLOOKUP(CustomerCombinedCleaned[[#This Row],[ID]], Table2[ID],Table2[MC1], "Not Found", 0 )</f>
        <v>0</v>
      </c>
      <c r="Z465" s="16">
        <f>_xlfn.XLOOKUP(CustomerCombinedCleaned[[#This Row],[ID]], Table2[ID],Table2[MC2], "Not Found", 0 )</f>
        <v>0</v>
      </c>
      <c r="AA465" s="16">
        <f>_xlfn.XLOOKUP(CustomerCombinedCleaned[[#This Row],[ID]], Table2[ID],Table2[MC3], "Not Found", 0 )</f>
        <v>0</v>
      </c>
      <c r="AB465" s="16">
        <f>_xlfn.XLOOKUP(CustomerCombinedCleaned[[#This Row],[ID]], Table2[ID],Table2[MC4], "Not Found", 0 )</f>
        <v>0</v>
      </c>
      <c r="AC465" s="16">
        <f>_xlfn.XLOOKUP(CustomerCombinedCleaned[[#This Row],[ID]], Table2[ID],Table2[MC5], "Not Found", 0 )</f>
        <v>0</v>
      </c>
    </row>
    <row r="466" spans="1:29" x14ac:dyDescent="0.3">
      <c r="A466" s="18">
        <v>2755</v>
      </c>
      <c r="B466" s="16">
        <v>120194</v>
      </c>
      <c r="C466" s="16">
        <v>1</v>
      </c>
      <c r="D466" s="16">
        <v>0</v>
      </c>
      <c r="E466" s="16">
        <v>41</v>
      </c>
      <c r="F466" s="17" t="s">
        <v>7</v>
      </c>
      <c r="G466" s="17" t="s">
        <v>10</v>
      </c>
      <c r="H466" s="3" t="s">
        <v>342</v>
      </c>
      <c r="I466" s="5" t="s">
        <v>437</v>
      </c>
      <c r="J466" s="16">
        <f>_xlfn.XLOOKUP(CustomerCombinedCleaned[[#This Row],[ID]], Table4[ID], Table4[Recency], "Not Found", 0)</f>
        <v>64</v>
      </c>
      <c r="K466" s="16">
        <f>_xlfn.XLOOKUP(CustomerCombinedCleaned[[#This Row],[ID]], Table4[ID], Table4[Teas], "Not Found", 0)</f>
        <v>0</v>
      </c>
      <c r="L466" s="16">
        <f>_xlfn.XLOOKUP(CustomerCombinedCleaned[[#This Row],[ID]], Table4[ID], Table4[Fruits], "Not Found", 0)</f>
        <v>24</v>
      </c>
      <c r="M466" s="16">
        <f>_xlfn.XLOOKUP(CustomerCombinedCleaned[[#This Row],[ID]], Table4[ID], Table4[Meats], "Not Found", 0)</f>
        <v>42</v>
      </c>
      <c r="N466" s="16">
        <f>_xlfn.XLOOKUP(CustomerCombinedCleaned[[#This Row],[ID]], Table4[ID], Table4[Seafood], "Not Found", 0)</f>
        <v>65</v>
      </c>
      <c r="O466" s="16">
        <f>_xlfn.XLOOKUP(CustomerCombinedCleaned[[#This Row],[ID]], Table4[ID], Table4[Sweets], "Not Found", 0)</f>
        <v>60</v>
      </c>
      <c r="P466" s="16">
        <f>_xlfn.XLOOKUP(CustomerCombinedCleaned[[#This Row],[ID]], Table4[ID], Table4[Premium], "Not Found", 0)</f>
        <v>89</v>
      </c>
      <c r="Q466" s="16">
        <f>_xlfn.XLOOKUP(CustomerCombinedCleaned[[#This Row],[ID]], Table4[ID], Table4[Regular], "Not Found", 0)</f>
        <v>101</v>
      </c>
      <c r="R466" s="16">
        <f>_xlfn.XLOOKUP(CustomerCombinedCleaned[[#This Row],[ID]], Table4[ID], Table4[Deals], "Not Found", 0)</f>
        <v>2</v>
      </c>
      <c r="S466" s="16">
        <f>_xlfn.XLOOKUP(CustomerCombinedCleaned[[#This Row],[ID]], Table4[ID], Table4[Website], "Not Found", 0)</f>
        <v>2</v>
      </c>
      <c r="T466" s="16">
        <f>_xlfn.XLOOKUP(CustomerCombinedCleaned[[#This Row],[ID]], Table4[ID], Table4[Catalog], "Not Found", 0)</f>
        <v>0</v>
      </c>
      <c r="U466" s="16">
        <f>_xlfn.XLOOKUP(CustomerCombinedCleaned[[#This Row],[ID]], Table4[ID], Table4[Store], "Not Found", 0)</f>
        <v>3</v>
      </c>
      <c r="V466" s="16">
        <f>_xlfn.XLOOKUP(CustomerCombinedCleaned[[#This Row],[ID]], Table4[ID], Table4[Visits], "Not Found", 0)</f>
        <v>6</v>
      </c>
      <c r="W466" s="16">
        <f>_xlfn.XLOOKUP(CustomerCombinedCleaned[[#This Row],[ID]], Table2[ID],Table2[Complaint], "Not Found", 0 )</f>
        <v>0</v>
      </c>
      <c r="X466" s="16">
        <f>_xlfn.XLOOKUP(CustomerCombinedCleaned[[#This Row],[ID]], Table2[ID],Table2[Pilot], "Not Found", 0 )</f>
        <v>0</v>
      </c>
      <c r="Y466" s="16">
        <f>_xlfn.XLOOKUP(CustomerCombinedCleaned[[#This Row],[ID]], Table2[ID],Table2[MC1], "Not Found", 0 )</f>
        <v>0</v>
      </c>
      <c r="Z466" s="16">
        <f>_xlfn.XLOOKUP(CustomerCombinedCleaned[[#This Row],[ID]], Table2[ID],Table2[MC2], "Not Found", 0 )</f>
        <v>0</v>
      </c>
      <c r="AA466" s="16">
        <f>_xlfn.XLOOKUP(CustomerCombinedCleaned[[#This Row],[ID]], Table2[ID],Table2[MC3], "Not Found", 0 )</f>
        <v>0</v>
      </c>
      <c r="AB466" s="16">
        <f>_xlfn.XLOOKUP(CustomerCombinedCleaned[[#This Row],[ID]], Table2[ID],Table2[MC4], "Not Found", 0 )</f>
        <v>0</v>
      </c>
      <c r="AC466" s="16">
        <f>_xlfn.XLOOKUP(CustomerCombinedCleaned[[#This Row],[ID]], Table2[ID],Table2[MC5], "Not Found", 0 )</f>
        <v>0</v>
      </c>
    </row>
    <row r="467" spans="1:29" x14ac:dyDescent="0.3">
      <c r="A467" s="18">
        <v>2695</v>
      </c>
      <c r="B467" s="16">
        <v>117688</v>
      </c>
      <c r="C467" s="16">
        <v>1</v>
      </c>
      <c r="D467" s="16">
        <v>0</v>
      </c>
      <c r="E467" s="16">
        <v>41</v>
      </c>
      <c r="F467" s="17" t="s">
        <v>6</v>
      </c>
      <c r="G467" s="17" t="s">
        <v>11</v>
      </c>
      <c r="H467" s="3" t="s">
        <v>327</v>
      </c>
      <c r="I467" s="5" t="s">
        <v>437</v>
      </c>
      <c r="J467" s="16">
        <f>_xlfn.XLOOKUP(CustomerCombinedCleaned[[#This Row],[ID]], Table4[ID], Table4[Recency], "Not Found", 0)</f>
        <v>82</v>
      </c>
      <c r="K467" s="16">
        <f>_xlfn.XLOOKUP(CustomerCombinedCleaned[[#This Row],[ID]], Table4[ID], Table4[Teas], "Not Found", 0)</f>
        <v>13</v>
      </c>
      <c r="L467" s="16">
        <f>_xlfn.XLOOKUP(CustomerCombinedCleaned[[#This Row],[ID]], Table4[ID], Table4[Fruits], "Not Found", 0)</f>
        <v>13</v>
      </c>
      <c r="M467" s="16">
        <f>_xlfn.XLOOKUP(CustomerCombinedCleaned[[#This Row],[ID]], Table4[ID], Table4[Meats], "Not Found", 0)</f>
        <v>7</v>
      </c>
      <c r="N467" s="16">
        <f>_xlfn.XLOOKUP(CustomerCombinedCleaned[[#This Row],[ID]], Table4[ID], Table4[Seafood], "Not Found", 0)</f>
        <v>20</v>
      </c>
      <c r="O467" s="16">
        <f>_xlfn.XLOOKUP(CustomerCombinedCleaned[[#This Row],[ID]], Table4[ID], Table4[Sweets], "Not Found", 0)</f>
        <v>7</v>
      </c>
      <c r="P467" s="16">
        <f>_xlfn.XLOOKUP(CustomerCombinedCleaned[[#This Row],[ID]], Table4[ID], Table4[Premium], "Not Found", 0)</f>
        <v>13</v>
      </c>
      <c r="Q467" s="16">
        <f>_xlfn.XLOOKUP(CustomerCombinedCleaned[[#This Row],[ID]], Table4[ID], Table4[Regular], "Not Found", 0)</f>
        <v>47</v>
      </c>
      <c r="R467" s="16">
        <f>_xlfn.XLOOKUP(CustomerCombinedCleaned[[#This Row],[ID]], Table4[ID], Table4[Deals], "Not Found", 0)</f>
        <v>1</v>
      </c>
      <c r="S467" s="16">
        <f>_xlfn.XLOOKUP(CustomerCombinedCleaned[[#This Row],[ID]], Table4[ID], Table4[Website], "Not Found", 0)</f>
        <v>1</v>
      </c>
      <c r="T467" s="16">
        <f>_xlfn.XLOOKUP(CustomerCombinedCleaned[[#This Row],[ID]], Table4[ID], Table4[Catalog], "Not Found", 0)</f>
        <v>0</v>
      </c>
      <c r="U467" s="16">
        <f>_xlfn.XLOOKUP(CustomerCombinedCleaned[[#This Row],[ID]], Table4[ID], Table4[Store], "Not Found", 0)</f>
        <v>2</v>
      </c>
      <c r="V467" s="16">
        <f>_xlfn.XLOOKUP(CustomerCombinedCleaned[[#This Row],[ID]], Table4[ID], Table4[Visits], "Not Found", 0)</f>
        <v>8</v>
      </c>
      <c r="W467" s="16">
        <f>_xlfn.XLOOKUP(CustomerCombinedCleaned[[#This Row],[ID]], Table2[ID],Table2[Complaint], "Not Found", 0 )</f>
        <v>1</v>
      </c>
      <c r="X467" s="16">
        <f>_xlfn.XLOOKUP(CustomerCombinedCleaned[[#This Row],[ID]], Table2[ID],Table2[Pilot], "Not Found", 0 )</f>
        <v>0</v>
      </c>
      <c r="Y467" s="16">
        <f>_xlfn.XLOOKUP(CustomerCombinedCleaned[[#This Row],[ID]], Table2[ID],Table2[MC1], "Not Found", 0 )</f>
        <v>0</v>
      </c>
      <c r="Z467" s="16">
        <f>_xlfn.XLOOKUP(CustomerCombinedCleaned[[#This Row],[ID]], Table2[ID],Table2[MC2], "Not Found", 0 )</f>
        <v>0</v>
      </c>
      <c r="AA467" s="16">
        <f>_xlfn.XLOOKUP(CustomerCombinedCleaned[[#This Row],[ID]], Table2[ID],Table2[MC3], "Not Found", 0 )</f>
        <v>0</v>
      </c>
      <c r="AB467" s="16">
        <f>_xlfn.XLOOKUP(CustomerCombinedCleaned[[#This Row],[ID]], Table2[ID],Table2[MC4], "Not Found", 0 )</f>
        <v>0</v>
      </c>
      <c r="AC467" s="16">
        <f>_xlfn.XLOOKUP(CustomerCombinedCleaned[[#This Row],[ID]], Table2[ID],Table2[MC5], "Not Found", 0 )</f>
        <v>0</v>
      </c>
    </row>
    <row r="468" spans="1:29" x14ac:dyDescent="0.3">
      <c r="A468" s="18">
        <v>2700</v>
      </c>
      <c r="B468" s="16">
        <v>116653</v>
      </c>
      <c r="C468" s="16">
        <v>1</v>
      </c>
      <c r="D468" s="16">
        <v>0</v>
      </c>
      <c r="E468" s="16">
        <v>41</v>
      </c>
      <c r="F468" s="17" t="s">
        <v>7</v>
      </c>
      <c r="G468" s="17" t="s">
        <v>12</v>
      </c>
      <c r="H468" s="3" t="s">
        <v>64</v>
      </c>
      <c r="I468" s="5" t="s">
        <v>436</v>
      </c>
      <c r="J468" s="16">
        <f>_xlfn.XLOOKUP(CustomerCombinedCleaned[[#This Row],[ID]], Table4[ID], Table4[Recency], "Not Found", 0)</f>
        <v>10</v>
      </c>
      <c r="K468" s="16">
        <f>_xlfn.XLOOKUP(CustomerCombinedCleaned[[#This Row],[ID]], Table4[ID], Table4[Teas], "Not Found", 0)</f>
        <v>35</v>
      </c>
      <c r="L468" s="16">
        <f>_xlfn.XLOOKUP(CustomerCombinedCleaned[[#This Row],[ID]], Table4[ID], Table4[Fruits], "Not Found", 0)</f>
        <v>49</v>
      </c>
      <c r="M468" s="16">
        <f>_xlfn.XLOOKUP(CustomerCombinedCleaned[[#This Row],[ID]], Table4[ID], Table4[Meats], "Not Found", 0)</f>
        <v>217</v>
      </c>
      <c r="N468" s="16">
        <f>_xlfn.XLOOKUP(CustomerCombinedCleaned[[#This Row],[ID]], Table4[ID], Table4[Seafood], "Not Found", 0)</f>
        <v>105</v>
      </c>
      <c r="O468" s="16">
        <f>_xlfn.XLOOKUP(CustomerCombinedCleaned[[#This Row],[ID]], Table4[ID], Table4[Sweets], "Not Found", 0)</f>
        <v>28</v>
      </c>
      <c r="P468" s="16">
        <f>_xlfn.XLOOKUP(CustomerCombinedCleaned[[#This Row],[ID]], Table4[ID], Table4[Premium], "Not Found", 0)</f>
        <v>49</v>
      </c>
      <c r="Q468" s="16">
        <f>_xlfn.XLOOKUP(CustomerCombinedCleaned[[#This Row],[ID]], Table4[ID], Table4[Regular], "Not Found", 0)</f>
        <v>385</v>
      </c>
      <c r="R468" s="16">
        <f>_xlfn.XLOOKUP(CustomerCombinedCleaned[[#This Row],[ID]], Table4[ID], Table4[Deals], "Not Found", 0)</f>
        <v>3</v>
      </c>
      <c r="S468" s="16">
        <f>_xlfn.XLOOKUP(CustomerCombinedCleaned[[#This Row],[ID]], Table4[ID], Table4[Website], "Not Found", 0)</f>
        <v>2</v>
      </c>
      <c r="T468" s="16">
        <f>_xlfn.XLOOKUP(CustomerCombinedCleaned[[#This Row],[ID]], Table4[ID], Table4[Catalog], "Not Found", 0)</f>
        <v>1</v>
      </c>
      <c r="U468" s="16">
        <f>_xlfn.XLOOKUP(CustomerCombinedCleaned[[#This Row],[ID]], Table4[ID], Table4[Store], "Not Found", 0)</f>
        <v>3</v>
      </c>
      <c r="V468" s="16">
        <f>_xlfn.XLOOKUP(CustomerCombinedCleaned[[#This Row],[ID]], Table4[ID], Table4[Visits], "Not Found", 0)</f>
        <v>6</v>
      </c>
      <c r="W468" s="16">
        <f>_xlfn.XLOOKUP(CustomerCombinedCleaned[[#This Row],[ID]], Table2[ID],Table2[Complaint], "Not Found", 0 )</f>
        <v>0</v>
      </c>
      <c r="X468" s="16">
        <f>_xlfn.XLOOKUP(CustomerCombinedCleaned[[#This Row],[ID]], Table2[ID],Table2[Pilot], "Not Found", 0 )</f>
        <v>1</v>
      </c>
      <c r="Y468" s="16">
        <f>_xlfn.XLOOKUP(CustomerCombinedCleaned[[#This Row],[ID]], Table2[ID],Table2[MC1], "Not Found", 0 )</f>
        <v>0</v>
      </c>
      <c r="Z468" s="16">
        <f>_xlfn.XLOOKUP(CustomerCombinedCleaned[[#This Row],[ID]], Table2[ID],Table2[MC2], "Not Found", 0 )</f>
        <v>0</v>
      </c>
      <c r="AA468" s="16">
        <f>_xlfn.XLOOKUP(CustomerCombinedCleaned[[#This Row],[ID]], Table2[ID],Table2[MC3], "Not Found", 0 )</f>
        <v>0</v>
      </c>
      <c r="AB468" s="16">
        <f>_xlfn.XLOOKUP(CustomerCombinedCleaned[[#This Row],[ID]], Table2[ID],Table2[MC4], "Not Found", 0 )</f>
        <v>0</v>
      </c>
      <c r="AC468" s="16">
        <f>_xlfn.XLOOKUP(CustomerCombinedCleaned[[#This Row],[ID]], Table2[ID],Table2[MC5], "Not Found", 0 )</f>
        <v>0</v>
      </c>
    </row>
    <row r="469" spans="1:29" x14ac:dyDescent="0.3">
      <c r="A469" s="18">
        <v>2730</v>
      </c>
      <c r="B469" s="16">
        <v>116014</v>
      </c>
      <c r="C469" s="16">
        <v>1</v>
      </c>
      <c r="D469" s="16">
        <v>1</v>
      </c>
      <c r="E469" s="16">
        <v>41</v>
      </c>
      <c r="F469" s="17" t="s">
        <v>7</v>
      </c>
      <c r="G469" s="17" t="s">
        <v>10</v>
      </c>
      <c r="H469" s="3" t="s">
        <v>291</v>
      </c>
      <c r="I469" s="5" t="s">
        <v>436</v>
      </c>
      <c r="J469" s="16">
        <f>_xlfn.XLOOKUP(CustomerCombinedCleaned[[#This Row],[ID]], Table4[ID], Table4[Recency], "Not Found", 0)</f>
        <v>42</v>
      </c>
      <c r="K469" s="16">
        <f>_xlfn.XLOOKUP(CustomerCombinedCleaned[[#This Row],[ID]], Table4[ID], Table4[Teas], "Not Found", 0)</f>
        <v>22</v>
      </c>
      <c r="L469" s="16">
        <f>_xlfn.XLOOKUP(CustomerCombinedCleaned[[#This Row],[ID]], Table4[ID], Table4[Fruits], "Not Found", 0)</f>
        <v>65</v>
      </c>
      <c r="M469" s="16">
        <f>_xlfn.XLOOKUP(CustomerCombinedCleaned[[#This Row],[ID]], Table4[ID], Table4[Meats], "Not Found", 0)</f>
        <v>29</v>
      </c>
      <c r="N469" s="16">
        <f>_xlfn.XLOOKUP(CustomerCombinedCleaned[[#This Row],[ID]], Table4[ID], Table4[Seafood], "Not Found", 0)</f>
        <v>51</v>
      </c>
      <c r="O469" s="16">
        <f>_xlfn.XLOOKUP(CustomerCombinedCleaned[[#This Row],[ID]], Table4[ID], Table4[Sweets], "Not Found", 0)</f>
        <v>58</v>
      </c>
      <c r="P469" s="16">
        <f>_xlfn.XLOOKUP(CustomerCombinedCleaned[[#This Row],[ID]], Table4[ID], Table4[Premium], "Not Found", 0)</f>
        <v>51</v>
      </c>
      <c r="Q469" s="16">
        <f>_xlfn.XLOOKUP(CustomerCombinedCleaned[[#This Row],[ID]], Table4[ID], Table4[Regular], "Not Found", 0)</f>
        <v>174</v>
      </c>
      <c r="R469" s="16">
        <f>_xlfn.XLOOKUP(CustomerCombinedCleaned[[#This Row],[ID]], Table4[ID], Table4[Deals], "Not Found", 0)</f>
        <v>4</v>
      </c>
      <c r="S469" s="16">
        <f>_xlfn.XLOOKUP(CustomerCombinedCleaned[[#This Row],[ID]], Table4[ID], Table4[Website], "Not Found", 0)</f>
        <v>1</v>
      </c>
      <c r="T469" s="16">
        <f>_xlfn.XLOOKUP(CustomerCombinedCleaned[[#This Row],[ID]], Table4[ID], Table4[Catalog], "Not Found", 0)</f>
        <v>1</v>
      </c>
      <c r="U469" s="16">
        <f>_xlfn.XLOOKUP(CustomerCombinedCleaned[[#This Row],[ID]], Table4[ID], Table4[Store], "Not Found", 0)</f>
        <v>4</v>
      </c>
      <c r="V469" s="16">
        <f>_xlfn.XLOOKUP(CustomerCombinedCleaned[[#This Row],[ID]], Table4[ID], Table4[Visits], "Not Found", 0)</f>
        <v>3</v>
      </c>
      <c r="W469" s="16">
        <f>_xlfn.XLOOKUP(CustomerCombinedCleaned[[#This Row],[ID]], Table2[ID],Table2[Complaint], "Not Found", 0 )</f>
        <v>0</v>
      </c>
      <c r="X469" s="16">
        <f>_xlfn.XLOOKUP(CustomerCombinedCleaned[[#This Row],[ID]], Table2[ID],Table2[Pilot], "Not Found", 0 )</f>
        <v>0</v>
      </c>
      <c r="Y469" s="16">
        <f>_xlfn.XLOOKUP(CustomerCombinedCleaned[[#This Row],[ID]], Table2[ID],Table2[MC1], "Not Found", 0 )</f>
        <v>0</v>
      </c>
      <c r="Z469" s="16">
        <f>_xlfn.XLOOKUP(CustomerCombinedCleaned[[#This Row],[ID]], Table2[ID],Table2[MC2], "Not Found", 0 )</f>
        <v>0</v>
      </c>
      <c r="AA469" s="16">
        <f>_xlfn.XLOOKUP(CustomerCombinedCleaned[[#This Row],[ID]], Table2[ID],Table2[MC3], "Not Found", 0 )</f>
        <v>0</v>
      </c>
      <c r="AB469" s="16">
        <f>_xlfn.XLOOKUP(CustomerCombinedCleaned[[#This Row],[ID]], Table2[ID],Table2[MC4], "Not Found", 0 )</f>
        <v>0</v>
      </c>
      <c r="AC469" s="16">
        <f>_xlfn.XLOOKUP(CustomerCombinedCleaned[[#This Row],[ID]], Table2[ID],Table2[MC5], "Not Found", 0 )</f>
        <v>0</v>
      </c>
    </row>
    <row r="470" spans="1:29" x14ac:dyDescent="0.3">
      <c r="A470" s="18">
        <v>2652</v>
      </c>
      <c r="B470" s="16">
        <v>115862</v>
      </c>
      <c r="C470" s="16">
        <v>1</v>
      </c>
      <c r="D470" s="16">
        <v>0</v>
      </c>
      <c r="E470" s="16">
        <v>41</v>
      </c>
      <c r="F470" s="17" t="s">
        <v>7</v>
      </c>
      <c r="G470" s="17" t="s">
        <v>10</v>
      </c>
      <c r="H470" s="3" t="s">
        <v>737</v>
      </c>
      <c r="I470" s="5" t="s">
        <v>436</v>
      </c>
      <c r="J470" s="16">
        <f>_xlfn.XLOOKUP(CustomerCombinedCleaned[[#This Row],[ID]], Table4[ID], Table4[Recency], "Not Found", 0)</f>
        <v>26</v>
      </c>
      <c r="K470" s="16">
        <f>_xlfn.XLOOKUP(CustomerCombinedCleaned[[#This Row],[ID]], Table4[ID], Table4[Teas], "Not Found", 0)</f>
        <v>7</v>
      </c>
      <c r="L470" s="16">
        <f>_xlfn.XLOOKUP(CustomerCombinedCleaned[[#This Row],[ID]], Table4[ID], Table4[Fruits], "Not Found", 0)</f>
        <v>7</v>
      </c>
      <c r="M470" s="16">
        <f>_xlfn.XLOOKUP(CustomerCombinedCleaned[[#This Row],[ID]], Table4[ID], Table4[Meats], "Not Found", 0)</f>
        <v>29</v>
      </c>
      <c r="N470" s="16">
        <f>_xlfn.XLOOKUP(CustomerCombinedCleaned[[#This Row],[ID]], Table4[ID], Table4[Seafood], "Not Found", 0)</f>
        <v>80</v>
      </c>
      <c r="O470" s="16">
        <f>_xlfn.XLOOKUP(CustomerCombinedCleaned[[#This Row],[ID]], Table4[ID], Table4[Sweets], "Not Found", 0)</f>
        <v>66</v>
      </c>
      <c r="P470" s="16">
        <f>_xlfn.XLOOKUP(CustomerCombinedCleaned[[#This Row],[ID]], Table4[ID], Table4[Premium], "Not Found", 0)</f>
        <v>73</v>
      </c>
      <c r="Q470" s="16">
        <f>_xlfn.XLOOKUP(CustomerCombinedCleaned[[#This Row],[ID]], Table4[ID], Table4[Regular], "Not Found", 0)</f>
        <v>117</v>
      </c>
      <c r="R470" s="16">
        <f>_xlfn.XLOOKUP(CustomerCombinedCleaned[[#This Row],[ID]], Table4[ID], Table4[Deals], "Not Found", 0)</f>
        <v>1</v>
      </c>
      <c r="S470" s="16">
        <f>_xlfn.XLOOKUP(CustomerCombinedCleaned[[#This Row],[ID]], Table4[ID], Table4[Website], "Not Found", 0)</f>
        <v>1</v>
      </c>
      <c r="T470" s="16">
        <f>_xlfn.XLOOKUP(CustomerCombinedCleaned[[#This Row],[ID]], Table4[ID], Table4[Catalog], "Not Found", 0)</f>
        <v>0</v>
      </c>
      <c r="U470" s="16">
        <f>_xlfn.XLOOKUP(CustomerCombinedCleaned[[#This Row],[ID]], Table4[ID], Table4[Store], "Not Found", 0)</f>
        <v>3</v>
      </c>
      <c r="V470" s="16">
        <f>_xlfn.XLOOKUP(CustomerCombinedCleaned[[#This Row],[ID]], Table4[ID], Table4[Visits], "Not Found", 0)</f>
        <v>8</v>
      </c>
      <c r="W470" s="16">
        <f>_xlfn.XLOOKUP(CustomerCombinedCleaned[[#This Row],[ID]], Table2[ID],Table2[Complaint], "Not Found", 0 )</f>
        <v>0</v>
      </c>
      <c r="X470" s="16">
        <f>_xlfn.XLOOKUP(CustomerCombinedCleaned[[#This Row],[ID]], Table2[ID],Table2[Pilot], "Not Found", 0 )</f>
        <v>0</v>
      </c>
      <c r="Y470" s="16">
        <f>_xlfn.XLOOKUP(CustomerCombinedCleaned[[#This Row],[ID]], Table2[ID],Table2[MC1], "Not Found", 0 )</f>
        <v>0</v>
      </c>
      <c r="Z470" s="16">
        <f>_xlfn.XLOOKUP(CustomerCombinedCleaned[[#This Row],[ID]], Table2[ID],Table2[MC2], "Not Found", 0 )</f>
        <v>0</v>
      </c>
      <c r="AA470" s="16">
        <f>_xlfn.XLOOKUP(CustomerCombinedCleaned[[#This Row],[ID]], Table2[ID],Table2[MC3], "Not Found", 0 )</f>
        <v>0</v>
      </c>
      <c r="AB470" s="16">
        <f>_xlfn.XLOOKUP(CustomerCombinedCleaned[[#This Row],[ID]], Table2[ID],Table2[MC4], "Not Found", 0 )</f>
        <v>0</v>
      </c>
      <c r="AC470" s="16">
        <f>_xlfn.XLOOKUP(CustomerCombinedCleaned[[#This Row],[ID]], Table2[ID],Table2[MC5], "Not Found", 0 )</f>
        <v>0</v>
      </c>
    </row>
    <row r="471" spans="1:29" x14ac:dyDescent="0.3">
      <c r="A471" s="18">
        <v>1247</v>
      </c>
      <c r="B471" s="16">
        <v>115287</v>
      </c>
      <c r="C471" s="16">
        <v>1</v>
      </c>
      <c r="D471" s="16">
        <v>0</v>
      </c>
      <c r="E471" s="16">
        <v>41</v>
      </c>
      <c r="F471" s="17" t="s">
        <v>5</v>
      </c>
      <c r="G471" s="17" t="s">
        <v>11</v>
      </c>
      <c r="H471" s="3" t="s">
        <v>384</v>
      </c>
      <c r="I471" s="5" t="s">
        <v>434</v>
      </c>
      <c r="J471" s="16">
        <f>_xlfn.XLOOKUP(CustomerCombinedCleaned[[#This Row],[ID]], Table4[ID], Table4[Recency], "Not Found", 0)</f>
        <v>60</v>
      </c>
      <c r="K471" s="16">
        <f>_xlfn.XLOOKUP(CustomerCombinedCleaned[[#This Row],[ID]], Table4[ID], Table4[Teas], "Not Found", 0)</f>
        <v>8</v>
      </c>
      <c r="L471" s="16">
        <f>_xlfn.XLOOKUP(CustomerCombinedCleaned[[#This Row],[ID]], Table4[ID], Table4[Fruits], "Not Found", 0)</f>
        <v>15</v>
      </c>
      <c r="M471" s="16">
        <f>_xlfn.XLOOKUP(CustomerCombinedCleaned[[#This Row],[ID]], Table4[ID], Table4[Meats], "Not Found", 0)</f>
        <v>60</v>
      </c>
      <c r="N471" s="16">
        <f>_xlfn.XLOOKUP(CustomerCombinedCleaned[[#This Row],[ID]], Table4[ID], Table4[Seafood], "Not Found", 0)</f>
        <v>30</v>
      </c>
      <c r="O471" s="16">
        <f>_xlfn.XLOOKUP(CustomerCombinedCleaned[[#This Row],[ID]], Table4[ID], Table4[Sweets], "Not Found", 0)</f>
        <v>23</v>
      </c>
      <c r="P471" s="16">
        <f>_xlfn.XLOOKUP(CustomerCombinedCleaned[[#This Row],[ID]], Table4[ID], Table4[Premium], "Not Found", 0)</f>
        <v>98</v>
      </c>
      <c r="Q471" s="16">
        <f>_xlfn.XLOOKUP(CustomerCombinedCleaned[[#This Row],[ID]], Table4[ID], Table4[Regular], "Not Found", 0)</f>
        <v>38</v>
      </c>
      <c r="R471" s="16">
        <f>_xlfn.XLOOKUP(CustomerCombinedCleaned[[#This Row],[ID]], Table4[ID], Table4[Deals], "Not Found", 0)</f>
        <v>2</v>
      </c>
      <c r="S471" s="16">
        <f>_xlfn.XLOOKUP(CustomerCombinedCleaned[[#This Row],[ID]], Table4[ID], Table4[Website], "Not Found", 0)</f>
        <v>1</v>
      </c>
      <c r="T471" s="16">
        <f>_xlfn.XLOOKUP(CustomerCombinedCleaned[[#This Row],[ID]], Table4[ID], Table4[Catalog], "Not Found", 0)</f>
        <v>1</v>
      </c>
      <c r="U471" s="16">
        <f>_xlfn.XLOOKUP(CustomerCombinedCleaned[[#This Row],[ID]], Table4[ID], Table4[Store], "Not Found", 0)</f>
        <v>2</v>
      </c>
      <c r="V471" s="16">
        <f>_xlfn.XLOOKUP(CustomerCombinedCleaned[[#This Row],[ID]], Table4[ID], Table4[Visits], "Not Found", 0)</f>
        <v>7</v>
      </c>
      <c r="W471" s="16">
        <f>_xlfn.XLOOKUP(CustomerCombinedCleaned[[#This Row],[ID]], Table2[ID],Table2[Complaint], "Not Found", 0 )</f>
        <v>0</v>
      </c>
      <c r="X471" s="16">
        <f>_xlfn.XLOOKUP(CustomerCombinedCleaned[[#This Row],[ID]], Table2[ID],Table2[Pilot], "Not Found", 0 )</f>
        <v>1</v>
      </c>
      <c r="Y471" s="16">
        <f>_xlfn.XLOOKUP(CustomerCombinedCleaned[[#This Row],[ID]], Table2[ID],Table2[MC1], "Not Found", 0 )</f>
        <v>0</v>
      </c>
      <c r="Z471" s="16">
        <f>_xlfn.XLOOKUP(CustomerCombinedCleaned[[#This Row],[ID]], Table2[ID],Table2[MC2], "Not Found", 0 )</f>
        <v>0</v>
      </c>
      <c r="AA471" s="16">
        <f>_xlfn.XLOOKUP(CustomerCombinedCleaned[[#This Row],[ID]], Table2[ID],Table2[MC3], "Not Found", 0 )</f>
        <v>1</v>
      </c>
      <c r="AB471" s="16">
        <f>_xlfn.XLOOKUP(CustomerCombinedCleaned[[#This Row],[ID]], Table2[ID],Table2[MC4], "Not Found", 0 )</f>
        <v>0</v>
      </c>
      <c r="AC471" s="16">
        <f>_xlfn.XLOOKUP(CustomerCombinedCleaned[[#This Row],[ID]], Table2[ID],Table2[MC5], "Not Found", 0 )</f>
        <v>0</v>
      </c>
    </row>
    <row r="472" spans="1:29" x14ac:dyDescent="0.3">
      <c r="A472" s="18">
        <v>2184</v>
      </c>
      <c r="B472" s="16">
        <v>115287</v>
      </c>
      <c r="C472" s="16">
        <v>1</v>
      </c>
      <c r="D472" s="16">
        <v>0</v>
      </c>
      <c r="E472" s="16">
        <v>41</v>
      </c>
      <c r="F472" s="17" t="s">
        <v>5</v>
      </c>
      <c r="G472" s="17" t="s">
        <v>11</v>
      </c>
      <c r="H472" s="3" t="s">
        <v>384</v>
      </c>
      <c r="I472" s="5" t="s">
        <v>436</v>
      </c>
      <c r="J472" s="16">
        <f>_xlfn.XLOOKUP(CustomerCombinedCleaned[[#This Row],[ID]], Table4[ID], Table4[Recency], "Not Found", 0)</f>
        <v>60</v>
      </c>
      <c r="K472" s="16">
        <f>_xlfn.XLOOKUP(CustomerCombinedCleaned[[#This Row],[ID]], Table4[ID], Table4[Teas], "Not Found", 0)</f>
        <v>8</v>
      </c>
      <c r="L472" s="16">
        <f>_xlfn.XLOOKUP(CustomerCombinedCleaned[[#This Row],[ID]], Table4[ID], Table4[Fruits], "Not Found", 0)</f>
        <v>15</v>
      </c>
      <c r="M472" s="16">
        <f>_xlfn.XLOOKUP(CustomerCombinedCleaned[[#This Row],[ID]], Table4[ID], Table4[Meats], "Not Found", 0)</f>
        <v>60</v>
      </c>
      <c r="N472" s="16">
        <f>_xlfn.XLOOKUP(CustomerCombinedCleaned[[#This Row],[ID]], Table4[ID], Table4[Seafood], "Not Found", 0)</f>
        <v>30</v>
      </c>
      <c r="O472" s="16">
        <f>_xlfn.XLOOKUP(CustomerCombinedCleaned[[#This Row],[ID]], Table4[ID], Table4[Sweets], "Not Found", 0)</f>
        <v>23</v>
      </c>
      <c r="P472" s="16">
        <f>_xlfn.XLOOKUP(CustomerCombinedCleaned[[#This Row],[ID]], Table4[ID], Table4[Premium], "Not Found", 0)</f>
        <v>98</v>
      </c>
      <c r="Q472" s="16">
        <f>_xlfn.XLOOKUP(CustomerCombinedCleaned[[#This Row],[ID]], Table4[ID], Table4[Regular], "Not Found", 0)</f>
        <v>38</v>
      </c>
      <c r="R472" s="16">
        <f>_xlfn.XLOOKUP(CustomerCombinedCleaned[[#This Row],[ID]], Table4[ID], Table4[Deals], "Not Found", 0)</f>
        <v>2</v>
      </c>
      <c r="S472" s="16">
        <f>_xlfn.XLOOKUP(CustomerCombinedCleaned[[#This Row],[ID]], Table4[ID], Table4[Website], "Not Found", 0)</f>
        <v>1</v>
      </c>
      <c r="T472" s="16">
        <f>_xlfn.XLOOKUP(CustomerCombinedCleaned[[#This Row],[ID]], Table4[ID], Table4[Catalog], "Not Found", 0)</f>
        <v>1</v>
      </c>
      <c r="U472" s="16">
        <f>_xlfn.XLOOKUP(CustomerCombinedCleaned[[#This Row],[ID]], Table4[ID], Table4[Store], "Not Found", 0)</f>
        <v>2</v>
      </c>
      <c r="V472" s="16">
        <f>_xlfn.XLOOKUP(CustomerCombinedCleaned[[#This Row],[ID]], Table4[ID], Table4[Visits], "Not Found", 0)</f>
        <v>7</v>
      </c>
      <c r="W472" s="16">
        <f>_xlfn.XLOOKUP(CustomerCombinedCleaned[[#This Row],[ID]], Table2[ID],Table2[Complaint], "Not Found", 0 )</f>
        <v>0</v>
      </c>
      <c r="X472" s="16">
        <f>_xlfn.XLOOKUP(CustomerCombinedCleaned[[#This Row],[ID]], Table2[ID],Table2[Pilot], "Not Found", 0 )</f>
        <v>1</v>
      </c>
      <c r="Y472" s="16">
        <f>_xlfn.XLOOKUP(CustomerCombinedCleaned[[#This Row],[ID]], Table2[ID],Table2[MC1], "Not Found", 0 )</f>
        <v>0</v>
      </c>
      <c r="Z472" s="16">
        <f>_xlfn.XLOOKUP(CustomerCombinedCleaned[[#This Row],[ID]], Table2[ID],Table2[MC2], "Not Found", 0 )</f>
        <v>0</v>
      </c>
      <c r="AA472" s="16">
        <f>_xlfn.XLOOKUP(CustomerCombinedCleaned[[#This Row],[ID]], Table2[ID],Table2[MC3], "Not Found", 0 )</f>
        <v>1</v>
      </c>
      <c r="AB472" s="16">
        <f>_xlfn.XLOOKUP(CustomerCombinedCleaned[[#This Row],[ID]], Table2[ID],Table2[MC4], "Not Found", 0 )</f>
        <v>0</v>
      </c>
      <c r="AC472" s="16">
        <f>_xlfn.XLOOKUP(CustomerCombinedCleaned[[#This Row],[ID]], Table2[ID],Table2[MC5], "Not Found", 0 )</f>
        <v>0</v>
      </c>
    </row>
    <row r="473" spans="1:29" x14ac:dyDescent="0.3">
      <c r="A473" s="18">
        <v>2736</v>
      </c>
      <c r="B473" s="16">
        <v>113533</v>
      </c>
      <c r="C473" s="16">
        <v>1</v>
      </c>
      <c r="D473" s="16">
        <v>0</v>
      </c>
      <c r="E473" s="16">
        <v>41</v>
      </c>
      <c r="F473" s="17" t="s">
        <v>5</v>
      </c>
      <c r="G473" s="17" t="s">
        <v>11</v>
      </c>
      <c r="H473" s="3" t="s">
        <v>297</v>
      </c>
      <c r="I473" s="5" t="s">
        <v>436</v>
      </c>
      <c r="J473" s="16">
        <f>_xlfn.XLOOKUP(CustomerCombinedCleaned[[#This Row],[ID]], Table4[ID], Table4[Recency], "Not Found", 0)</f>
        <v>45</v>
      </c>
      <c r="K473" s="16">
        <f>_xlfn.XLOOKUP(CustomerCombinedCleaned[[#This Row],[ID]], Table4[ID], Table4[Teas], "Not Found", 0)</f>
        <v>101</v>
      </c>
      <c r="L473" s="16">
        <f>_xlfn.XLOOKUP(CustomerCombinedCleaned[[#This Row],[ID]], Table4[ID], Table4[Fruits], "Not Found", 0)</f>
        <v>25</v>
      </c>
      <c r="M473" s="16">
        <f>_xlfn.XLOOKUP(CustomerCombinedCleaned[[#This Row],[ID]], Table4[ID], Table4[Meats], "Not Found", 0)</f>
        <v>67</v>
      </c>
      <c r="N473" s="16">
        <f>_xlfn.XLOOKUP(CustomerCombinedCleaned[[#This Row],[ID]], Table4[ID], Table4[Seafood], "Not Found", 0)</f>
        <v>67</v>
      </c>
      <c r="O473" s="16">
        <f>_xlfn.XLOOKUP(CustomerCombinedCleaned[[#This Row],[ID]], Table4[ID], Table4[Sweets], "Not Found", 0)</f>
        <v>0</v>
      </c>
      <c r="P473" s="16">
        <f>_xlfn.XLOOKUP(CustomerCombinedCleaned[[#This Row],[ID]], Table4[ID], Table4[Premium], "Not Found", 0)</f>
        <v>143</v>
      </c>
      <c r="Q473" s="16">
        <f>_xlfn.XLOOKUP(CustomerCombinedCleaned[[#This Row],[ID]], Table4[ID], Table4[Regular], "Not Found", 0)</f>
        <v>117</v>
      </c>
      <c r="R473" s="16">
        <f>_xlfn.XLOOKUP(CustomerCombinedCleaned[[#This Row],[ID]], Table4[ID], Table4[Deals], "Not Found", 0)</f>
        <v>2</v>
      </c>
      <c r="S473" s="16">
        <f>_xlfn.XLOOKUP(CustomerCombinedCleaned[[#This Row],[ID]], Table4[ID], Table4[Website], "Not Found", 0)</f>
        <v>2</v>
      </c>
      <c r="T473" s="16">
        <f>_xlfn.XLOOKUP(CustomerCombinedCleaned[[#This Row],[ID]], Table4[ID], Table4[Catalog], "Not Found", 0)</f>
        <v>0</v>
      </c>
      <c r="U473" s="16">
        <f>_xlfn.XLOOKUP(CustomerCombinedCleaned[[#This Row],[ID]], Table4[ID], Table4[Store], "Not Found", 0)</f>
        <v>3</v>
      </c>
      <c r="V473" s="16">
        <f>_xlfn.XLOOKUP(CustomerCombinedCleaned[[#This Row],[ID]], Table4[ID], Table4[Visits], "Not Found", 0)</f>
        <v>7</v>
      </c>
      <c r="W473" s="16">
        <f>_xlfn.XLOOKUP(CustomerCombinedCleaned[[#This Row],[ID]], Table2[ID],Table2[Complaint], "Not Found", 0 )</f>
        <v>0</v>
      </c>
      <c r="X473" s="16">
        <f>_xlfn.XLOOKUP(CustomerCombinedCleaned[[#This Row],[ID]], Table2[ID],Table2[Pilot], "Not Found", 0 )</f>
        <v>0</v>
      </c>
      <c r="Y473" s="16">
        <f>_xlfn.XLOOKUP(CustomerCombinedCleaned[[#This Row],[ID]], Table2[ID],Table2[MC1], "Not Found", 0 )</f>
        <v>0</v>
      </c>
      <c r="Z473" s="16">
        <f>_xlfn.XLOOKUP(CustomerCombinedCleaned[[#This Row],[ID]], Table2[ID],Table2[MC2], "Not Found", 0 )</f>
        <v>0</v>
      </c>
      <c r="AA473" s="16">
        <f>_xlfn.XLOOKUP(CustomerCombinedCleaned[[#This Row],[ID]], Table2[ID],Table2[MC3], "Not Found", 0 )</f>
        <v>0</v>
      </c>
      <c r="AB473" s="16">
        <f>_xlfn.XLOOKUP(CustomerCombinedCleaned[[#This Row],[ID]], Table2[ID],Table2[MC4], "Not Found", 0 )</f>
        <v>0</v>
      </c>
      <c r="AC473" s="16">
        <f>_xlfn.XLOOKUP(CustomerCombinedCleaned[[#This Row],[ID]], Table2[ID],Table2[MC5], "Not Found", 0 )</f>
        <v>0</v>
      </c>
    </row>
    <row r="474" spans="1:29" x14ac:dyDescent="0.3">
      <c r="A474" s="18">
        <v>2133</v>
      </c>
      <c r="B474" s="16">
        <v>107500</v>
      </c>
      <c r="C474" s="16">
        <v>0</v>
      </c>
      <c r="D474" s="16">
        <v>1</v>
      </c>
      <c r="E474" s="16">
        <v>41</v>
      </c>
      <c r="F474" s="17" t="s">
        <v>6</v>
      </c>
      <c r="G474" s="17" t="s">
        <v>11</v>
      </c>
      <c r="H474" s="3" t="s">
        <v>610</v>
      </c>
      <c r="I474" s="5" t="s">
        <v>435</v>
      </c>
      <c r="J474" s="16">
        <f>_xlfn.XLOOKUP(CustomerCombinedCleaned[[#This Row],[ID]], Table4[ID], Table4[Recency], "Not Found", 0)</f>
        <v>61</v>
      </c>
      <c r="K474" s="16">
        <f>_xlfn.XLOOKUP(CustomerCombinedCleaned[[#This Row],[ID]], Table4[ID], Table4[Teas], "Not Found", 0)</f>
        <v>72</v>
      </c>
      <c r="L474" s="16">
        <f>_xlfn.XLOOKUP(CustomerCombinedCleaned[[#This Row],[ID]], Table4[ID], Table4[Fruits], "Not Found", 0)</f>
        <v>29</v>
      </c>
      <c r="M474" s="16">
        <f>_xlfn.XLOOKUP(CustomerCombinedCleaned[[#This Row],[ID]], Table4[ID], Table4[Meats], "Not Found", 0)</f>
        <v>43</v>
      </c>
      <c r="N474" s="16">
        <f>_xlfn.XLOOKUP(CustomerCombinedCleaned[[#This Row],[ID]], Table4[ID], Table4[Seafood], "Not Found", 0)</f>
        <v>43</v>
      </c>
      <c r="O474" s="16">
        <f>_xlfn.XLOOKUP(CustomerCombinedCleaned[[#This Row],[ID]], Table4[ID], Table4[Sweets], "Not Found", 0)</f>
        <v>0</v>
      </c>
      <c r="P474" s="16">
        <f>_xlfn.XLOOKUP(CustomerCombinedCleaned[[#This Row],[ID]], Table4[ID], Table4[Premium], "Not Found", 0)</f>
        <v>72</v>
      </c>
      <c r="Q474" s="16">
        <f>_xlfn.XLOOKUP(CustomerCombinedCleaned[[#This Row],[ID]], Table4[ID], Table4[Regular], "Not Found", 0)</f>
        <v>115</v>
      </c>
      <c r="R474" s="16">
        <f>_xlfn.XLOOKUP(CustomerCombinedCleaned[[#This Row],[ID]], Table4[ID], Table4[Deals], "Not Found", 0)</f>
        <v>1</v>
      </c>
      <c r="S474" s="16">
        <f>_xlfn.XLOOKUP(CustomerCombinedCleaned[[#This Row],[ID]], Table4[ID], Table4[Website], "Not Found", 0)</f>
        <v>1</v>
      </c>
      <c r="T474" s="16">
        <f>_xlfn.XLOOKUP(CustomerCombinedCleaned[[#This Row],[ID]], Table4[ID], Table4[Catalog], "Not Found", 0)</f>
        <v>0</v>
      </c>
      <c r="U474" s="16">
        <f>_xlfn.XLOOKUP(CustomerCombinedCleaned[[#This Row],[ID]], Table4[ID], Table4[Store], "Not Found", 0)</f>
        <v>2</v>
      </c>
      <c r="V474" s="16">
        <f>_xlfn.XLOOKUP(CustomerCombinedCleaned[[#This Row],[ID]], Table4[ID], Table4[Visits], "Not Found", 0)</f>
        <v>8</v>
      </c>
      <c r="W474" s="16">
        <f>_xlfn.XLOOKUP(CustomerCombinedCleaned[[#This Row],[ID]], Table2[ID],Table2[Complaint], "Not Found", 0 )</f>
        <v>0</v>
      </c>
      <c r="X474" s="16">
        <f>_xlfn.XLOOKUP(CustomerCombinedCleaned[[#This Row],[ID]], Table2[ID],Table2[Pilot], "Not Found", 0 )</f>
        <v>0</v>
      </c>
      <c r="Y474" s="16">
        <f>_xlfn.XLOOKUP(CustomerCombinedCleaned[[#This Row],[ID]], Table2[ID],Table2[MC1], "Not Found", 0 )</f>
        <v>0</v>
      </c>
      <c r="Z474" s="16">
        <f>_xlfn.XLOOKUP(CustomerCombinedCleaned[[#This Row],[ID]], Table2[ID],Table2[MC2], "Not Found", 0 )</f>
        <v>0</v>
      </c>
      <c r="AA474" s="16">
        <f>_xlfn.XLOOKUP(CustomerCombinedCleaned[[#This Row],[ID]], Table2[ID],Table2[MC3], "Not Found", 0 )</f>
        <v>0</v>
      </c>
      <c r="AB474" s="16">
        <f>_xlfn.XLOOKUP(CustomerCombinedCleaned[[#This Row],[ID]], Table2[ID],Table2[MC4], "Not Found", 0 )</f>
        <v>0</v>
      </c>
      <c r="AC474" s="16">
        <f>_xlfn.XLOOKUP(CustomerCombinedCleaned[[#This Row],[ID]], Table2[ID],Table2[MC5], "Not Found", 0 )</f>
        <v>0</v>
      </c>
    </row>
    <row r="475" spans="1:29" x14ac:dyDescent="0.3">
      <c r="A475" s="18">
        <v>3190</v>
      </c>
      <c r="B475" s="16">
        <v>107500</v>
      </c>
      <c r="C475" s="16">
        <v>1</v>
      </c>
      <c r="D475" s="16">
        <v>0</v>
      </c>
      <c r="E475" s="16">
        <v>41</v>
      </c>
      <c r="F475" s="17" t="s">
        <v>8</v>
      </c>
      <c r="G475" s="17" t="s">
        <v>11</v>
      </c>
      <c r="H475" s="3" t="s">
        <v>545</v>
      </c>
      <c r="I475" s="5" t="s">
        <v>439</v>
      </c>
      <c r="J475" s="16">
        <f>_xlfn.XLOOKUP(CustomerCombinedCleaned[[#This Row],[ID]], Table4[ID], Table4[Recency], "Not Found", 0)</f>
        <v>7</v>
      </c>
      <c r="K475" s="16">
        <f>_xlfn.XLOOKUP(CustomerCombinedCleaned[[#This Row],[ID]], Table4[ID], Table4[Teas], "Not Found", 0)</f>
        <v>29</v>
      </c>
      <c r="L475" s="16">
        <f>_xlfn.XLOOKUP(CustomerCombinedCleaned[[#This Row],[ID]], Table4[ID], Table4[Fruits], "Not Found", 0)</f>
        <v>115</v>
      </c>
      <c r="M475" s="16">
        <f>_xlfn.XLOOKUP(CustomerCombinedCleaned[[#This Row],[ID]], Table4[ID], Table4[Meats], "Not Found", 0)</f>
        <v>158</v>
      </c>
      <c r="N475" s="16">
        <f>_xlfn.XLOOKUP(CustomerCombinedCleaned[[#This Row],[ID]], Table4[ID], Table4[Seafood], "Not Found", 0)</f>
        <v>43</v>
      </c>
      <c r="O475" s="16">
        <f>_xlfn.XLOOKUP(CustomerCombinedCleaned[[#This Row],[ID]], Table4[ID], Table4[Sweets], "Not Found", 0)</f>
        <v>115</v>
      </c>
      <c r="P475" s="16">
        <f>_xlfn.XLOOKUP(CustomerCombinedCleaned[[#This Row],[ID]], Table4[ID], Table4[Premium], "Not Found", 0)</f>
        <v>301</v>
      </c>
      <c r="Q475" s="16">
        <f>_xlfn.XLOOKUP(CustomerCombinedCleaned[[#This Row],[ID]], Table4[ID], Table4[Regular], "Not Found", 0)</f>
        <v>158</v>
      </c>
      <c r="R475" s="16">
        <f>_xlfn.XLOOKUP(CustomerCombinedCleaned[[#This Row],[ID]], Table4[ID], Table4[Deals], "Not Found", 0)</f>
        <v>4</v>
      </c>
      <c r="S475" s="16">
        <f>_xlfn.XLOOKUP(CustomerCombinedCleaned[[#This Row],[ID]], Table4[ID], Table4[Website], "Not Found", 0)</f>
        <v>3</v>
      </c>
      <c r="T475" s="16">
        <f>_xlfn.XLOOKUP(CustomerCombinedCleaned[[#This Row],[ID]], Table4[ID], Table4[Catalog], "Not Found", 0)</f>
        <v>2</v>
      </c>
      <c r="U475" s="16">
        <f>_xlfn.XLOOKUP(CustomerCombinedCleaned[[#This Row],[ID]], Table4[ID], Table4[Store], "Not Found", 0)</f>
        <v>2</v>
      </c>
      <c r="V475" s="16">
        <f>_xlfn.XLOOKUP(CustomerCombinedCleaned[[#This Row],[ID]], Table4[ID], Table4[Visits], "Not Found", 0)</f>
        <v>7</v>
      </c>
      <c r="W475" s="16">
        <f>_xlfn.XLOOKUP(CustomerCombinedCleaned[[#This Row],[ID]], Table2[ID],Table2[Complaint], "Not Found", 0 )</f>
        <v>0</v>
      </c>
      <c r="X475" s="16">
        <f>_xlfn.XLOOKUP(CustomerCombinedCleaned[[#This Row],[ID]], Table2[ID],Table2[Pilot], "Not Found", 0 )</f>
        <v>0</v>
      </c>
      <c r="Y475" s="16">
        <f>_xlfn.XLOOKUP(CustomerCombinedCleaned[[#This Row],[ID]], Table2[ID],Table2[MC1], "Not Found", 0 )</f>
        <v>0</v>
      </c>
      <c r="Z475" s="16">
        <f>_xlfn.XLOOKUP(CustomerCombinedCleaned[[#This Row],[ID]], Table2[ID],Table2[MC2], "Not Found", 0 )</f>
        <v>0</v>
      </c>
      <c r="AA475" s="16">
        <f>_xlfn.XLOOKUP(CustomerCombinedCleaned[[#This Row],[ID]], Table2[ID],Table2[MC3], "Not Found", 0 )</f>
        <v>0</v>
      </c>
      <c r="AB475" s="16">
        <f>_xlfn.XLOOKUP(CustomerCombinedCleaned[[#This Row],[ID]], Table2[ID],Table2[MC4], "Not Found", 0 )</f>
        <v>0</v>
      </c>
      <c r="AC475" s="16">
        <f>_xlfn.XLOOKUP(CustomerCombinedCleaned[[#This Row],[ID]], Table2[ID],Table2[MC5], "Not Found", 0 )</f>
        <v>0</v>
      </c>
    </row>
    <row r="476" spans="1:29" x14ac:dyDescent="0.3">
      <c r="A476" s="18">
        <v>1021</v>
      </c>
      <c r="B476" s="16">
        <v>102447</v>
      </c>
      <c r="C476" s="16">
        <v>1</v>
      </c>
      <c r="D476" s="16">
        <v>0</v>
      </c>
      <c r="E476" s="16">
        <v>41</v>
      </c>
      <c r="F476" s="17" t="s">
        <v>6</v>
      </c>
      <c r="G476" s="17" t="s">
        <v>11</v>
      </c>
      <c r="H476" s="3" t="s">
        <v>334</v>
      </c>
      <c r="I476" s="5" t="s">
        <v>437</v>
      </c>
      <c r="J476" s="16">
        <f>_xlfn.XLOOKUP(CustomerCombinedCleaned[[#This Row],[ID]], Table4[ID], Table4[Recency], "Not Found", 0)</f>
        <v>42</v>
      </c>
      <c r="K476" s="16">
        <f>_xlfn.XLOOKUP(CustomerCombinedCleaned[[#This Row],[ID]], Table4[ID], Table4[Teas], "Not Found", 0)</f>
        <v>42</v>
      </c>
      <c r="L476" s="16">
        <f>_xlfn.XLOOKUP(CustomerCombinedCleaned[[#This Row],[ID]], Table4[ID], Table4[Fruits], "Not Found", 0)</f>
        <v>42</v>
      </c>
      <c r="M476" s="16">
        <f>_xlfn.XLOOKUP(CustomerCombinedCleaned[[#This Row],[ID]], Table4[ID], Table4[Meats], "Not Found", 0)</f>
        <v>72219</v>
      </c>
      <c r="N476" s="16">
        <f>_xlfn.XLOOKUP(CustomerCombinedCleaned[[#This Row],[ID]], Table4[ID], Table4[Seafood], "Not Found", 0)</f>
        <v>42</v>
      </c>
      <c r="O476" s="16">
        <f>_xlfn.XLOOKUP(CustomerCombinedCleaned[[#This Row],[ID]], Table4[ID], Table4[Sweets], "Not Found", 0)</f>
        <v>42</v>
      </c>
      <c r="P476" s="16">
        <f>_xlfn.XLOOKUP(CustomerCombinedCleaned[[#This Row],[ID]], Table4[ID], Table4[Premium], "Not Found", 0)</f>
        <v>42</v>
      </c>
      <c r="Q476" s="16">
        <f>_xlfn.XLOOKUP(CustomerCombinedCleaned[[#This Row],[ID]], Table4[ID], Table4[Regular], "Not Found", 0)</f>
        <v>72345</v>
      </c>
      <c r="R476" s="16">
        <f>_xlfn.XLOOKUP(CustomerCombinedCleaned[[#This Row],[ID]], Table4[ID], Table4[Deals], "Not Found", 0)</f>
        <v>15</v>
      </c>
      <c r="S476" s="16">
        <f>_xlfn.XLOOKUP(CustomerCombinedCleaned[[#This Row],[ID]], Table4[ID], Table4[Website], "Not Found", 0)</f>
        <v>0</v>
      </c>
      <c r="T476" s="16">
        <f>_xlfn.XLOOKUP(CustomerCombinedCleaned[[#This Row],[ID]], Table4[ID], Table4[Catalog], "Not Found", 0)</f>
        <v>28</v>
      </c>
      <c r="U476" s="16">
        <f>_xlfn.XLOOKUP(CustomerCombinedCleaned[[#This Row],[ID]], Table4[ID], Table4[Store], "Not Found", 0)</f>
        <v>0</v>
      </c>
      <c r="V476" s="16">
        <f>_xlfn.XLOOKUP(CustomerCombinedCleaned[[#This Row],[ID]], Table4[ID], Table4[Visits], "Not Found", 0)</f>
        <v>1</v>
      </c>
      <c r="W476" s="16">
        <f>_xlfn.XLOOKUP(CustomerCombinedCleaned[[#This Row],[ID]], Table2[ID],Table2[Complaint], "Not Found", 0 )</f>
        <v>0</v>
      </c>
      <c r="X476" s="16">
        <f>_xlfn.XLOOKUP(CustomerCombinedCleaned[[#This Row],[ID]], Table2[ID],Table2[Pilot], "Not Found", 0 )</f>
        <v>0</v>
      </c>
      <c r="Y476" s="16">
        <f>_xlfn.XLOOKUP(CustomerCombinedCleaned[[#This Row],[ID]], Table2[ID],Table2[MC1], "Not Found", 0 )</f>
        <v>0</v>
      </c>
      <c r="Z476" s="16">
        <f>_xlfn.XLOOKUP(CustomerCombinedCleaned[[#This Row],[ID]], Table2[ID],Table2[MC2], "Not Found", 0 )</f>
        <v>0</v>
      </c>
      <c r="AA476" s="16">
        <f>_xlfn.XLOOKUP(CustomerCombinedCleaned[[#This Row],[ID]], Table2[ID],Table2[MC3], "Not Found", 0 )</f>
        <v>0</v>
      </c>
      <c r="AB476" s="16">
        <f>_xlfn.XLOOKUP(CustomerCombinedCleaned[[#This Row],[ID]], Table2[ID],Table2[MC4], "Not Found", 0 )</f>
        <v>0</v>
      </c>
      <c r="AC476" s="16">
        <f>_xlfn.XLOOKUP(CustomerCombinedCleaned[[#This Row],[ID]], Table2[ID],Table2[MC5], "Not Found", 0 )</f>
        <v>0</v>
      </c>
    </row>
    <row r="477" spans="1:29" x14ac:dyDescent="0.3">
      <c r="A477" s="18">
        <v>2314</v>
      </c>
      <c r="B477" s="16">
        <v>188097</v>
      </c>
      <c r="C477" s="16">
        <v>1</v>
      </c>
      <c r="D477" s="16">
        <v>0</v>
      </c>
      <c r="E477" s="16">
        <v>42</v>
      </c>
      <c r="F477" s="17" t="s">
        <v>6</v>
      </c>
      <c r="G477" s="17" t="s">
        <v>12</v>
      </c>
      <c r="H477" s="3" t="s">
        <v>410</v>
      </c>
      <c r="I477" s="5" t="s">
        <v>439</v>
      </c>
      <c r="J477" s="16">
        <f>_xlfn.XLOOKUP(CustomerCombinedCleaned[[#This Row],[ID]], Table4[ID], Table4[Recency], "Not Found", 0)</f>
        <v>24</v>
      </c>
      <c r="K477" s="16">
        <f>_xlfn.XLOOKUP(CustomerCombinedCleaned[[#This Row],[ID]], Table4[ID], Table4[Teas], "Not Found", 0)</f>
        <v>348</v>
      </c>
      <c r="L477" s="16">
        <f>_xlfn.XLOOKUP(CustomerCombinedCleaned[[#This Row],[ID]], Table4[ID], Table4[Fruits], "Not Found", 0)</f>
        <v>0</v>
      </c>
      <c r="M477" s="16">
        <f>_xlfn.XLOOKUP(CustomerCombinedCleaned[[#This Row],[ID]], Table4[ID], Table4[Meats], "Not Found", 0)</f>
        <v>1025</v>
      </c>
      <c r="N477" s="16">
        <f>_xlfn.XLOOKUP(CustomerCombinedCleaned[[#This Row],[ID]], Table4[ID], Table4[Seafood], "Not Found", 0)</f>
        <v>0</v>
      </c>
      <c r="O477" s="16">
        <f>_xlfn.XLOOKUP(CustomerCombinedCleaned[[#This Row],[ID]], Table4[ID], Table4[Sweets], "Not Found", 0)</f>
        <v>269</v>
      </c>
      <c r="P477" s="16">
        <f>_xlfn.XLOOKUP(CustomerCombinedCleaned[[#This Row],[ID]], Table4[ID], Table4[Premium], "Not Found", 0)</f>
        <v>160</v>
      </c>
      <c r="Q477" s="16">
        <f>_xlfn.XLOOKUP(CustomerCombinedCleaned[[#This Row],[ID]], Table4[ID], Table4[Regular], "Not Found", 0)</f>
        <v>1482</v>
      </c>
      <c r="R477" s="16">
        <f>_xlfn.XLOOKUP(CustomerCombinedCleaned[[#This Row],[ID]], Table4[ID], Table4[Deals], "Not Found", 0)</f>
        <v>1</v>
      </c>
      <c r="S477" s="16">
        <f>_xlfn.XLOOKUP(CustomerCombinedCleaned[[#This Row],[ID]], Table4[ID], Table4[Website], "Not Found", 0)</f>
        <v>6</v>
      </c>
      <c r="T477" s="16">
        <f>_xlfn.XLOOKUP(CustomerCombinedCleaned[[#This Row],[ID]], Table4[ID], Table4[Catalog], "Not Found", 0)</f>
        <v>5</v>
      </c>
      <c r="U477" s="16">
        <f>_xlfn.XLOOKUP(CustomerCombinedCleaned[[#This Row],[ID]], Table4[ID], Table4[Store], "Not Found", 0)</f>
        <v>8</v>
      </c>
      <c r="V477" s="16">
        <f>_xlfn.XLOOKUP(CustomerCombinedCleaned[[#This Row],[ID]], Table4[ID], Table4[Visits], "Not Found", 0)</f>
        <v>9</v>
      </c>
      <c r="W477" s="16">
        <f>_xlfn.XLOOKUP(CustomerCombinedCleaned[[#This Row],[ID]], Table2[ID],Table2[Complaint], "Not Found", 0 )</f>
        <v>0</v>
      </c>
      <c r="X477" s="16">
        <f>_xlfn.XLOOKUP(CustomerCombinedCleaned[[#This Row],[ID]], Table2[ID],Table2[Pilot], "Not Found", 0 )</f>
        <v>1</v>
      </c>
      <c r="Y477" s="16">
        <f>_xlfn.XLOOKUP(CustomerCombinedCleaned[[#This Row],[ID]], Table2[ID],Table2[MC1], "Not Found", 0 )</f>
        <v>1</v>
      </c>
      <c r="Z477" s="16">
        <f>_xlfn.XLOOKUP(CustomerCombinedCleaned[[#This Row],[ID]], Table2[ID],Table2[MC2], "Not Found", 0 )</f>
        <v>0</v>
      </c>
      <c r="AA477" s="16">
        <f>_xlfn.XLOOKUP(CustomerCombinedCleaned[[#This Row],[ID]], Table2[ID],Table2[MC3], "Not Found", 0 )</f>
        <v>0</v>
      </c>
      <c r="AB477" s="16">
        <f>_xlfn.XLOOKUP(CustomerCombinedCleaned[[#This Row],[ID]], Table2[ID],Table2[MC4], "Not Found", 0 )</f>
        <v>1</v>
      </c>
      <c r="AC477" s="16">
        <f>_xlfn.XLOOKUP(CustomerCombinedCleaned[[#This Row],[ID]], Table2[ID],Table2[MC5], "Not Found", 0 )</f>
        <v>1</v>
      </c>
    </row>
    <row r="478" spans="1:29" x14ac:dyDescent="0.3">
      <c r="A478" s="18">
        <v>2944</v>
      </c>
      <c r="B478" s="16">
        <v>185738</v>
      </c>
      <c r="C478" s="16">
        <v>0</v>
      </c>
      <c r="D478" s="16">
        <v>0</v>
      </c>
      <c r="E478" s="16">
        <v>42</v>
      </c>
      <c r="F478" s="17" t="s">
        <v>8</v>
      </c>
      <c r="G478" s="17" t="s">
        <v>12</v>
      </c>
      <c r="H478" s="3" t="s">
        <v>109</v>
      </c>
      <c r="I478" s="5" t="s">
        <v>439</v>
      </c>
      <c r="J478" s="16">
        <f>_xlfn.XLOOKUP(CustomerCombinedCleaned[[#This Row],[ID]], Table4[ID], Table4[Recency], "Not Found", 0)</f>
        <v>41</v>
      </c>
      <c r="K478" s="16">
        <f>_xlfn.XLOOKUP(CustomerCombinedCleaned[[#This Row],[ID]], Table4[ID], Table4[Teas], "Not Found", 0)</f>
        <v>1978</v>
      </c>
      <c r="L478" s="16">
        <f>_xlfn.XLOOKUP(CustomerCombinedCleaned[[#This Row],[ID]], Table4[ID], Table4[Fruits], "Not Found", 0)</f>
        <v>56</v>
      </c>
      <c r="M478" s="16">
        <f>_xlfn.XLOOKUP(CustomerCombinedCleaned[[#This Row],[ID]], Table4[ID], Table4[Meats], "Not Found", 0)</f>
        <v>815</v>
      </c>
      <c r="N478" s="16">
        <f>_xlfn.XLOOKUP(CustomerCombinedCleaned[[#This Row],[ID]], Table4[ID], Table4[Seafood], "Not Found", 0)</f>
        <v>37</v>
      </c>
      <c r="O478" s="16">
        <f>_xlfn.XLOOKUP(CustomerCombinedCleaned[[#This Row],[ID]], Table4[ID], Table4[Sweets], "Not Found", 0)</f>
        <v>56</v>
      </c>
      <c r="P478" s="16">
        <f>_xlfn.XLOOKUP(CustomerCombinedCleaned[[#This Row],[ID]], Table4[ID], Table4[Premium], "Not Found", 0)</f>
        <v>28</v>
      </c>
      <c r="Q478" s="16">
        <f>_xlfn.XLOOKUP(CustomerCombinedCleaned[[#This Row],[ID]], Table4[ID], Table4[Regular], "Not Found", 0)</f>
        <v>2914</v>
      </c>
      <c r="R478" s="16">
        <f>_xlfn.XLOOKUP(CustomerCombinedCleaned[[#This Row],[ID]], Table4[ID], Table4[Deals], "Not Found", 0)</f>
        <v>1</v>
      </c>
      <c r="S478" s="16">
        <f>_xlfn.XLOOKUP(CustomerCombinedCleaned[[#This Row],[ID]], Table4[ID], Table4[Website], "Not Found", 0)</f>
        <v>3</v>
      </c>
      <c r="T478" s="16">
        <f>_xlfn.XLOOKUP(CustomerCombinedCleaned[[#This Row],[ID]], Table4[ID], Table4[Catalog], "Not Found", 0)</f>
        <v>6</v>
      </c>
      <c r="U478" s="16">
        <f>_xlfn.XLOOKUP(CustomerCombinedCleaned[[#This Row],[ID]], Table4[ID], Table4[Store], "Not Found", 0)</f>
        <v>11</v>
      </c>
      <c r="V478" s="16">
        <f>_xlfn.XLOOKUP(CustomerCombinedCleaned[[#This Row],[ID]], Table4[ID], Table4[Visits], "Not Found", 0)</f>
        <v>1</v>
      </c>
      <c r="W478" s="16">
        <f>_xlfn.XLOOKUP(CustomerCombinedCleaned[[#This Row],[ID]], Table2[ID],Table2[Complaint], "Not Found", 0 )</f>
        <v>0</v>
      </c>
      <c r="X478" s="16">
        <f>_xlfn.XLOOKUP(CustomerCombinedCleaned[[#This Row],[ID]], Table2[ID],Table2[Pilot], "Not Found", 0 )</f>
        <v>0</v>
      </c>
      <c r="Y478" s="16">
        <f>_xlfn.XLOOKUP(CustomerCombinedCleaned[[#This Row],[ID]], Table2[ID],Table2[MC1], "Not Found", 0 )</f>
        <v>0</v>
      </c>
      <c r="Z478" s="16">
        <f>_xlfn.XLOOKUP(CustomerCombinedCleaned[[#This Row],[ID]], Table2[ID],Table2[MC2], "Not Found", 0 )</f>
        <v>0</v>
      </c>
      <c r="AA478" s="16">
        <f>_xlfn.XLOOKUP(CustomerCombinedCleaned[[#This Row],[ID]], Table2[ID],Table2[MC3], "Not Found", 0 )</f>
        <v>0</v>
      </c>
      <c r="AB478" s="16">
        <f>_xlfn.XLOOKUP(CustomerCombinedCleaned[[#This Row],[ID]], Table2[ID],Table2[MC4], "Not Found", 0 )</f>
        <v>1</v>
      </c>
      <c r="AC478" s="16">
        <f>_xlfn.XLOOKUP(CustomerCombinedCleaned[[#This Row],[ID]], Table2[ID],Table2[MC5], "Not Found", 0 )</f>
        <v>1</v>
      </c>
    </row>
    <row r="479" spans="1:29" x14ac:dyDescent="0.3">
      <c r="A479" s="18">
        <v>1967</v>
      </c>
      <c r="B479" s="16">
        <v>182170</v>
      </c>
      <c r="C479" s="16">
        <v>0</v>
      </c>
      <c r="D479" s="16">
        <v>0</v>
      </c>
      <c r="E479" s="16">
        <v>42</v>
      </c>
      <c r="F479" s="17" t="s">
        <v>6</v>
      </c>
      <c r="G479" s="17" t="s">
        <v>13</v>
      </c>
      <c r="H479" s="3" t="s">
        <v>588</v>
      </c>
      <c r="I479" s="5" t="s">
        <v>434</v>
      </c>
      <c r="J479" s="16">
        <f>_xlfn.XLOOKUP(CustomerCombinedCleaned[[#This Row],[ID]], Table4[ID], Table4[Recency], "Not Found", 0)</f>
        <v>13</v>
      </c>
      <c r="K479" s="16">
        <f>_xlfn.XLOOKUP(CustomerCombinedCleaned[[#This Row],[ID]], Table4[ID], Table4[Teas], "Not Found", 0)</f>
        <v>2268</v>
      </c>
      <c r="L479" s="16">
        <f>_xlfn.XLOOKUP(CustomerCombinedCleaned[[#This Row],[ID]], Table4[ID], Table4[Fruits], "Not Found", 0)</f>
        <v>206</v>
      </c>
      <c r="M479" s="16">
        <f>_xlfn.XLOOKUP(CustomerCombinedCleaned[[#This Row],[ID]], Table4[ID], Table4[Meats], "Not Found", 0)</f>
        <v>1443</v>
      </c>
      <c r="N479" s="16">
        <f>_xlfn.XLOOKUP(CustomerCombinedCleaned[[#This Row],[ID]], Table4[ID], Table4[Seafood], "Not Found", 0)</f>
        <v>109</v>
      </c>
      <c r="O479" s="16">
        <f>_xlfn.XLOOKUP(CustomerCombinedCleaned[[#This Row],[ID]], Table4[ID], Table4[Sweets], "Not Found", 0)</f>
        <v>122</v>
      </c>
      <c r="P479" s="16">
        <f>_xlfn.XLOOKUP(CustomerCombinedCleaned[[#This Row],[ID]], Table4[ID], Table4[Premium], "Not Found", 0)</f>
        <v>82</v>
      </c>
      <c r="Q479" s="16">
        <f>_xlfn.XLOOKUP(CustomerCombinedCleaned[[#This Row],[ID]], Table4[ID], Table4[Regular], "Not Found", 0)</f>
        <v>4066</v>
      </c>
      <c r="R479" s="16">
        <f>_xlfn.XLOOKUP(CustomerCombinedCleaned[[#This Row],[ID]], Table4[ID], Table4[Deals], "Not Found", 0)</f>
        <v>1</v>
      </c>
      <c r="S479" s="16">
        <f>_xlfn.XLOOKUP(CustomerCombinedCleaned[[#This Row],[ID]], Table4[ID], Table4[Website], "Not Found", 0)</f>
        <v>5</v>
      </c>
      <c r="T479" s="16">
        <f>_xlfn.XLOOKUP(CustomerCombinedCleaned[[#This Row],[ID]], Table4[ID], Table4[Catalog], "Not Found", 0)</f>
        <v>6</v>
      </c>
      <c r="U479" s="16">
        <f>_xlfn.XLOOKUP(CustomerCombinedCleaned[[#This Row],[ID]], Table4[ID], Table4[Store], "Not Found", 0)</f>
        <v>7</v>
      </c>
      <c r="V479" s="16">
        <f>_xlfn.XLOOKUP(CustomerCombinedCleaned[[#This Row],[ID]], Table4[ID], Table4[Visits], "Not Found", 0)</f>
        <v>2</v>
      </c>
      <c r="W479" s="16">
        <f>_xlfn.XLOOKUP(CustomerCombinedCleaned[[#This Row],[ID]], Table2[ID],Table2[Complaint], "Not Found", 0 )</f>
        <v>0</v>
      </c>
      <c r="X479" s="16">
        <f>_xlfn.XLOOKUP(CustomerCombinedCleaned[[#This Row],[ID]], Table2[ID],Table2[Pilot], "Not Found", 0 )</f>
        <v>0</v>
      </c>
      <c r="Y479" s="16">
        <f>_xlfn.XLOOKUP(CustomerCombinedCleaned[[#This Row],[ID]], Table2[ID],Table2[MC1], "Not Found", 0 )</f>
        <v>0</v>
      </c>
      <c r="Z479" s="16">
        <f>_xlfn.XLOOKUP(CustomerCombinedCleaned[[#This Row],[ID]], Table2[ID],Table2[MC2], "Not Found", 0 )</f>
        <v>0</v>
      </c>
      <c r="AA479" s="16">
        <f>_xlfn.XLOOKUP(CustomerCombinedCleaned[[#This Row],[ID]], Table2[ID],Table2[MC3], "Not Found", 0 )</f>
        <v>0</v>
      </c>
      <c r="AB479" s="16">
        <f>_xlfn.XLOOKUP(CustomerCombinedCleaned[[#This Row],[ID]], Table2[ID],Table2[MC4], "Not Found", 0 )</f>
        <v>0</v>
      </c>
      <c r="AC479" s="16">
        <f>_xlfn.XLOOKUP(CustomerCombinedCleaned[[#This Row],[ID]], Table2[ID],Table2[MC5], "Not Found", 0 )</f>
        <v>0</v>
      </c>
    </row>
    <row r="480" spans="1:29" x14ac:dyDescent="0.3">
      <c r="A480" s="18">
        <v>1907</v>
      </c>
      <c r="B480" s="16">
        <v>177583</v>
      </c>
      <c r="C480" s="16">
        <v>0</v>
      </c>
      <c r="D480" s="16">
        <v>0</v>
      </c>
      <c r="E480" s="16">
        <v>42</v>
      </c>
      <c r="F480" s="17" t="s">
        <v>6</v>
      </c>
      <c r="G480" s="17" t="s">
        <v>11</v>
      </c>
      <c r="H480" s="3" t="s">
        <v>103</v>
      </c>
      <c r="I480" s="5" t="s">
        <v>434</v>
      </c>
      <c r="J480" s="16">
        <f>_xlfn.XLOOKUP(CustomerCombinedCleaned[[#This Row],[ID]], Table4[ID], Table4[Recency], "Not Found", 0)</f>
        <v>93</v>
      </c>
      <c r="K480" s="16">
        <f>_xlfn.XLOOKUP(CustomerCombinedCleaned[[#This Row],[ID]], Table4[ID], Table4[Teas], "Not Found", 0)</f>
        <v>851</v>
      </c>
      <c r="L480" s="16">
        <f>_xlfn.XLOOKUP(CustomerCombinedCleaned[[#This Row],[ID]], Table4[ID], Table4[Fruits], "Not Found", 0)</f>
        <v>53</v>
      </c>
      <c r="M480" s="16">
        <f>_xlfn.XLOOKUP(CustomerCombinedCleaned[[#This Row],[ID]], Table4[ID], Table4[Meats], "Not Found", 0)</f>
        <v>879</v>
      </c>
      <c r="N480" s="16">
        <f>_xlfn.XLOOKUP(CustomerCombinedCleaned[[#This Row],[ID]], Table4[ID], Table4[Seafood], "Not Found", 0)</f>
        <v>572</v>
      </c>
      <c r="O480" s="16">
        <f>_xlfn.XLOOKUP(CustomerCombinedCleaned[[#This Row],[ID]], Table4[ID], Table4[Sweets], "Not Found", 0)</f>
        <v>27</v>
      </c>
      <c r="P480" s="16">
        <f>_xlfn.XLOOKUP(CustomerCombinedCleaned[[#This Row],[ID]], Table4[ID], Table4[Premium], "Not Found", 0)</f>
        <v>247</v>
      </c>
      <c r="Q480" s="16">
        <f>_xlfn.XLOOKUP(CustomerCombinedCleaned[[#This Row],[ID]], Table4[ID], Table4[Regular], "Not Found", 0)</f>
        <v>2136</v>
      </c>
      <c r="R480" s="16">
        <f>_xlfn.XLOOKUP(CustomerCombinedCleaned[[#This Row],[ID]], Table4[ID], Table4[Deals], "Not Found", 0)</f>
        <v>1</v>
      </c>
      <c r="S480" s="16">
        <f>_xlfn.XLOOKUP(CustomerCombinedCleaned[[#This Row],[ID]], Table4[ID], Table4[Website], "Not Found", 0)</f>
        <v>4</v>
      </c>
      <c r="T480" s="16">
        <f>_xlfn.XLOOKUP(CustomerCombinedCleaned[[#This Row],[ID]], Table4[ID], Table4[Catalog], "Not Found", 0)</f>
        <v>5</v>
      </c>
      <c r="U480" s="16">
        <f>_xlfn.XLOOKUP(CustomerCombinedCleaned[[#This Row],[ID]], Table4[ID], Table4[Store], "Not Found", 0)</f>
        <v>9</v>
      </c>
      <c r="V480" s="16">
        <f>_xlfn.XLOOKUP(CustomerCombinedCleaned[[#This Row],[ID]], Table4[ID], Table4[Visits], "Not Found", 0)</f>
        <v>2</v>
      </c>
      <c r="W480" s="16">
        <f>_xlfn.XLOOKUP(CustomerCombinedCleaned[[#This Row],[ID]], Table2[ID],Table2[Complaint], "Not Found", 0 )</f>
        <v>0</v>
      </c>
      <c r="X480" s="16">
        <f>_xlfn.XLOOKUP(CustomerCombinedCleaned[[#This Row],[ID]], Table2[ID],Table2[Pilot], "Not Found", 0 )</f>
        <v>0</v>
      </c>
      <c r="Y480" s="16">
        <f>_xlfn.XLOOKUP(CustomerCombinedCleaned[[#This Row],[ID]], Table2[ID],Table2[MC1], "Not Found", 0 )</f>
        <v>1</v>
      </c>
      <c r="Z480" s="16">
        <f>_xlfn.XLOOKUP(CustomerCombinedCleaned[[#This Row],[ID]], Table2[ID],Table2[MC2], "Not Found", 0 )</f>
        <v>0</v>
      </c>
      <c r="AA480" s="16">
        <f>_xlfn.XLOOKUP(CustomerCombinedCleaned[[#This Row],[ID]], Table2[ID],Table2[MC3], "Not Found", 0 )</f>
        <v>0</v>
      </c>
      <c r="AB480" s="16">
        <f>_xlfn.XLOOKUP(CustomerCombinedCleaned[[#This Row],[ID]], Table2[ID],Table2[MC4], "Not Found", 0 )</f>
        <v>0</v>
      </c>
      <c r="AC480" s="16">
        <f>_xlfn.XLOOKUP(CustomerCombinedCleaned[[#This Row],[ID]], Table2[ID],Table2[MC5], "Not Found", 0 )</f>
        <v>0</v>
      </c>
    </row>
    <row r="481" spans="1:29" x14ac:dyDescent="0.3">
      <c r="A481" s="18">
        <v>1977</v>
      </c>
      <c r="B481" s="16">
        <v>175437</v>
      </c>
      <c r="C481" s="16">
        <v>0</v>
      </c>
      <c r="D481" s="16">
        <v>0</v>
      </c>
      <c r="E481" s="16">
        <v>42</v>
      </c>
      <c r="F481" s="17" t="s">
        <v>8</v>
      </c>
      <c r="G481" s="17" t="s">
        <v>11</v>
      </c>
      <c r="H481" s="3" t="s">
        <v>154</v>
      </c>
      <c r="I481" s="5" t="s">
        <v>435</v>
      </c>
      <c r="J481" s="16">
        <f>_xlfn.XLOOKUP(CustomerCombinedCleaned[[#This Row],[ID]], Table4[ID], Table4[Recency], "Not Found", 0)</f>
        <v>25</v>
      </c>
      <c r="K481" s="16">
        <f>_xlfn.XLOOKUP(CustomerCombinedCleaned[[#This Row],[ID]], Table4[ID], Table4[Teas], "Not Found", 0)</f>
        <v>1849</v>
      </c>
      <c r="L481" s="16">
        <f>_xlfn.XLOOKUP(CustomerCombinedCleaned[[#This Row],[ID]], Table4[ID], Table4[Fruits], "Not Found", 0)</f>
        <v>0</v>
      </c>
      <c r="M481" s="16">
        <f>_xlfn.XLOOKUP(CustomerCombinedCleaned[[#This Row],[ID]], Table4[ID], Table4[Meats], "Not Found", 0)</f>
        <v>1267</v>
      </c>
      <c r="N481" s="16">
        <f>_xlfn.XLOOKUP(CustomerCombinedCleaned[[#This Row],[ID]], Table4[ID], Table4[Seafood], "Not Found", 0)</f>
        <v>221</v>
      </c>
      <c r="O481" s="16">
        <f>_xlfn.XLOOKUP(CustomerCombinedCleaned[[#This Row],[ID]], Table4[ID], Table4[Sweets], "Not Found", 0)</f>
        <v>135</v>
      </c>
      <c r="P481" s="16">
        <f>_xlfn.XLOOKUP(CustomerCombinedCleaned[[#This Row],[ID]], Table4[ID], Table4[Premium], "Not Found", 0)</f>
        <v>0</v>
      </c>
      <c r="Q481" s="16">
        <f>_xlfn.XLOOKUP(CustomerCombinedCleaned[[#This Row],[ID]], Table4[ID], Table4[Regular], "Not Found", 0)</f>
        <v>3472</v>
      </c>
      <c r="R481" s="16">
        <f>_xlfn.XLOOKUP(CustomerCombinedCleaned[[#This Row],[ID]], Table4[ID], Table4[Deals], "Not Found", 0)</f>
        <v>1</v>
      </c>
      <c r="S481" s="16">
        <f>_xlfn.XLOOKUP(CustomerCombinedCleaned[[#This Row],[ID]], Table4[ID], Table4[Website], "Not Found", 0)</f>
        <v>8</v>
      </c>
      <c r="T481" s="16">
        <f>_xlfn.XLOOKUP(CustomerCombinedCleaned[[#This Row],[ID]], Table4[ID], Table4[Catalog], "Not Found", 0)</f>
        <v>4</v>
      </c>
      <c r="U481" s="16">
        <f>_xlfn.XLOOKUP(CustomerCombinedCleaned[[#This Row],[ID]], Table4[ID], Table4[Store], "Not Found", 0)</f>
        <v>10</v>
      </c>
      <c r="V481" s="16">
        <f>_xlfn.XLOOKUP(CustomerCombinedCleaned[[#This Row],[ID]], Table4[ID], Table4[Visits], "Not Found", 0)</f>
        <v>6</v>
      </c>
      <c r="W481" s="16">
        <f>_xlfn.XLOOKUP(CustomerCombinedCleaned[[#This Row],[ID]], Table2[ID],Table2[Complaint], "Not Found", 0 )</f>
        <v>0</v>
      </c>
      <c r="X481" s="16">
        <f>_xlfn.XLOOKUP(CustomerCombinedCleaned[[#This Row],[ID]], Table2[ID],Table2[Pilot], "Not Found", 0 )</f>
        <v>0</v>
      </c>
      <c r="Y481" s="16">
        <f>_xlfn.XLOOKUP(CustomerCombinedCleaned[[#This Row],[ID]], Table2[ID],Table2[MC1], "Not Found", 0 )</f>
        <v>1</v>
      </c>
      <c r="Z481" s="16">
        <f>_xlfn.XLOOKUP(CustomerCombinedCleaned[[#This Row],[ID]], Table2[ID],Table2[MC2], "Not Found", 0 )</f>
        <v>0</v>
      </c>
      <c r="AA481" s="16">
        <f>_xlfn.XLOOKUP(CustomerCombinedCleaned[[#This Row],[ID]], Table2[ID],Table2[MC3], "Not Found", 0 )</f>
        <v>0</v>
      </c>
      <c r="AB481" s="16">
        <f>_xlfn.XLOOKUP(CustomerCombinedCleaned[[#This Row],[ID]], Table2[ID],Table2[MC4], "Not Found", 0 )</f>
        <v>0</v>
      </c>
      <c r="AC481" s="16">
        <f>_xlfn.XLOOKUP(CustomerCombinedCleaned[[#This Row],[ID]], Table2[ID],Table2[MC5], "Not Found", 0 )</f>
        <v>0</v>
      </c>
    </row>
    <row r="482" spans="1:29" x14ac:dyDescent="0.3">
      <c r="A482" s="18">
        <v>3171</v>
      </c>
      <c r="B482" s="16">
        <v>173807</v>
      </c>
      <c r="C482" s="16">
        <v>0</v>
      </c>
      <c r="D482" s="16">
        <v>1</v>
      </c>
      <c r="E482" s="16">
        <v>42</v>
      </c>
      <c r="F482" s="17" t="s">
        <v>6</v>
      </c>
      <c r="G482" s="17" t="s">
        <v>11</v>
      </c>
      <c r="H482" s="3" t="s">
        <v>564</v>
      </c>
      <c r="I482" s="5" t="s">
        <v>435</v>
      </c>
      <c r="J482" s="16">
        <f>_xlfn.XLOOKUP(CustomerCombinedCleaned[[#This Row],[ID]], Table4[ID], Table4[Recency], "Not Found", 0)</f>
        <v>88</v>
      </c>
      <c r="K482" s="16">
        <f>_xlfn.XLOOKUP(CustomerCombinedCleaned[[#This Row],[ID]], Table4[ID], Table4[Teas], "Not Found", 0)</f>
        <v>862</v>
      </c>
      <c r="L482" s="16">
        <f>_xlfn.XLOOKUP(CustomerCombinedCleaned[[#This Row],[ID]], Table4[ID], Table4[Fruits], "Not Found", 0)</f>
        <v>292</v>
      </c>
      <c r="M482" s="16">
        <f>_xlfn.XLOOKUP(CustomerCombinedCleaned[[#This Row],[ID]], Table4[ID], Table4[Meats], "Not Found", 0)</f>
        <v>367</v>
      </c>
      <c r="N482" s="16">
        <f>_xlfn.XLOOKUP(CustomerCombinedCleaned[[#This Row],[ID]], Table4[ID], Table4[Seafood], "Not Found", 0)</f>
        <v>167</v>
      </c>
      <c r="O482" s="16">
        <f>_xlfn.XLOOKUP(CustomerCombinedCleaned[[#This Row],[ID]], Table4[ID], Table4[Sweets], "Not Found", 0)</f>
        <v>184</v>
      </c>
      <c r="P482" s="16">
        <f>_xlfn.XLOOKUP(CustomerCombinedCleaned[[#This Row],[ID]], Table4[ID], Table4[Premium], "Not Found", 0)</f>
        <v>127</v>
      </c>
      <c r="Q482" s="16">
        <f>_xlfn.XLOOKUP(CustomerCombinedCleaned[[#This Row],[ID]], Table4[ID], Table4[Regular], "Not Found", 0)</f>
        <v>1745</v>
      </c>
      <c r="R482" s="16">
        <f>_xlfn.XLOOKUP(CustomerCombinedCleaned[[#This Row],[ID]], Table4[ID], Table4[Deals], "Not Found", 0)</f>
        <v>2</v>
      </c>
      <c r="S482" s="16">
        <f>_xlfn.XLOOKUP(CustomerCombinedCleaned[[#This Row],[ID]], Table4[ID], Table4[Website], "Not Found", 0)</f>
        <v>5</v>
      </c>
      <c r="T482" s="16">
        <f>_xlfn.XLOOKUP(CustomerCombinedCleaned[[#This Row],[ID]], Table4[ID], Table4[Catalog], "Not Found", 0)</f>
        <v>5</v>
      </c>
      <c r="U482" s="16">
        <f>_xlfn.XLOOKUP(CustomerCombinedCleaned[[#This Row],[ID]], Table4[ID], Table4[Store], "Not Found", 0)</f>
        <v>11</v>
      </c>
      <c r="V482" s="16">
        <f>_xlfn.XLOOKUP(CustomerCombinedCleaned[[#This Row],[ID]], Table4[ID], Table4[Visits], "Not Found", 0)</f>
        <v>2</v>
      </c>
      <c r="W482" s="16">
        <f>_xlfn.XLOOKUP(CustomerCombinedCleaned[[#This Row],[ID]], Table2[ID],Table2[Complaint], "Not Found", 0 )</f>
        <v>0</v>
      </c>
      <c r="X482" s="16">
        <f>_xlfn.XLOOKUP(CustomerCombinedCleaned[[#This Row],[ID]], Table2[ID],Table2[Pilot], "Not Found", 0 )</f>
        <v>0</v>
      </c>
      <c r="Y482" s="16">
        <f>_xlfn.XLOOKUP(CustomerCombinedCleaned[[#This Row],[ID]], Table2[ID],Table2[MC1], "Not Found", 0 )</f>
        <v>0</v>
      </c>
      <c r="Z482" s="16">
        <f>_xlfn.XLOOKUP(CustomerCombinedCleaned[[#This Row],[ID]], Table2[ID],Table2[MC2], "Not Found", 0 )</f>
        <v>0</v>
      </c>
      <c r="AA482" s="16">
        <f>_xlfn.XLOOKUP(CustomerCombinedCleaned[[#This Row],[ID]], Table2[ID],Table2[MC3], "Not Found", 0 )</f>
        <v>0</v>
      </c>
      <c r="AB482" s="16">
        <f>_xlfn.XLOOKUP(CustomerCombinedCleaned[[#This Row],[ID]], Table2[ID],Table2[MC4], "Not Found", 0 )</f>
        <v>0</v>
      </c>
      <c r="AC482" s="16">
        <f>_xlfn.XLOOKUP(CustomerCombinedCleaned[[#This Row],[ID]], Table2[ID],Table2[MC5], "Not Found", 0 )</f>
        <v>0</v>
      </c>
    </row>
    <row r="483" spans="1:29" x14ac:dyDescent="0.3">
      <c r="A483" s="18">
        <v>2827</v>
      </c>
      <c r="B483" s="16">
        <v>172159</v>
      </c>
      <c r="C483" s="16">
        <v>0</v>
      </c>
      <c r="D483" s="16">
        <v>0</v>
      </c>
      <c r="E483" s="16">
        <v>42</v>
      </c>
      <c r="F483" s="17" t="s">
        <v>6</v>
      </c>
      <c r="G483" s="17" t="s">
        <v>13</v>
      </c>
      <c r="H483" s="3" t="s">
        <v>619</v>
      </c>
      <c r="I483" s="5" t="s">
        <v>437</v>
      </c>
      <c r="J483" s="16">
        <f>_xlfn.XLOOKUP(CustomerCombinedCleaned[[#This Row],[ID]], Table4[ID], Table4[Recency], "Not Found", 0)</f>
        <v>62</v>
      </c>
      <c r="K483" s="16">
        <f>_xlfn.XLOOKUP(CustomerCombinedCleaned[[#This Row],[ID]], Table4[ID], Table4[Teas], "Not Found", 0)</f>
        <v>768</v>
      </c>
      <c r="L483" s="16">
        <f>_xlfn.XLOOKUP(CustomerCombinedCleaned[[#This Row],[ID]], Table4[ID], Table4[Fruits], "Not Found", 0)</f>
        <v>126</v>
      </c>
      <c r="M483" s="16">
        <f>_xlfn.XLOOKUP(CustomerCombinedCleaned[[#This Row],[ID]], Table4[ID], Table4[Meats], "Not Found", 0)</f>
        <v>2145</v>
      </c>
      <c r="N483" s="16">
        <f>_xlfn.XLOOKUP(CustomerCombinedCleaned[[#This Row],[ID]], Table4[ID], Table4[Seafood], "Not Found", 0)</f>
        <v>81</v>
      </c>
      <c r="O483" s="16">
        <f>_xlfn.XLOOKUP(CustomerCombinedCleaned[[#This Row],[ID]], Table4[ID], Table4[Sweets], "Not Found", 0)</f>
        <v>95</v>
      </c>
      <c r="P483" s="16">
        <f>_xlfn.XLOOKUP(CustomerCombinedCleaned[[#This Row],[ID]], Table4[ID], Table4[Premium], "Not Found", 0)</f>
        <v>126</v>
      </c>
      <c r="Q483" s="16">
        <f>_xlfn.XLOOKUP(CustomerCombinedCleaned[[#This Row],[ID]], Table4[ID], Table4[Regular], "Not Found", 0)</f>
        <v>3090</v>
      </c>
      <c r="R483" s="16">
        <f>_xlfn.XLOOKUP(CustomerCombinedCleaned[[#This Row],[ID]], Table4[ID], Table4[Deals], "Not Found", 0)</f>
        <v>1</v>
      </c>
      <c r="S483" s="16">
        <f>_xlfn.XLOOKUP(CustomerCombinedCleaned[[#This Row],[ID]], Table4[ID], Table4[Website], "Not Found", 0)</f>
        <v>4</v>
      </c>
      <c r="T483" s="16">
        <f>_xlfn.XLOOKUP(CustomerCombinedCleaned[[#This Row],[ID]], Table4[ID], Table4[Catalog], "Not Found", 0)</f>
        <v>6</v>
      </c>
      <c r="U483" s="16">
        <f>_xlfn.XLOOKUP(CustomerCombinedCleaned[[#This Row],[ID]], Table4[ID], Table4[Store], "Not Found", 0)</f>
        <v>10</v>
      </c>
      <c r="V483" s="16">
        <f>_xlfn.XLOOKUP(CustomerCombinedCleaned[[#This Row],[ID]], Table4[ID], Table4[Visits], "Not Found", 0)</f>
        <v>2</v>
      </c>
      <c r="W483" s="16">
        <f>_xlfn.XLOOKUP(CustomerCombinedCleaned[[#This Row],[ID]], Table2[ID],Table2[Complaint], "Not Found", 0 )</f>
        <v>0</v>
      </c>
      <c r="X483" s="16">
        <f>_xlfn.XLOOKUP(CustomerCombinedCleaned[[#This Row],[ID]], Table2[ID],Table2[Pilot], "Not Found", 0 )</f>
        <v>0</v>
      </c>
      <c r="Y483" s="16">
        <f>_xlfn.XLOOKUP(CustomerCombinedCleaned[[#This Row],[ID]], Table2[ID],Table2[MC1], "Not Found", 0 )</f>
        <v>0</v>
      </c>
      <c r="Z483" s="16">
        <f>_xlfn.XLOOKUP(CustomerCombinedCleaned[[#This Row],[ID]], Table2[ID],Table2[MC2], "Not Found", 0 )</f>
        <v>0</v>
      </c>
      <c r="AA483" s="16">
        <f>_xlfn.XLOOKUP(CustomerCombinedCleaned[[#This Row],[ID]], Table2[ID],Table2[MC3], "Not Found", 0 )</f>
        <v>0</v>
      </c>
      <c r="AB483" s="16">
        <f>_xlfn.XLOOKUP(CustomerCombinedCleaned[[#This Row],[ID]], Table2[ID],Table2[MC4], "Not Found", 0 )</f>
        <v>0</v>
      </c>
      <c r="AC483" s="16">
        <f>_xlfn.XLOOKUP(CustomerCombinedCleaned[[#This Row],[ID]], Table2[ID],Table2[MC5], "Not Found", 0 )</f>
        <v>0</v>
      </c>
    </row>
    <row r="484" spans="1:29" x14ac:dyDescent="0.3">
      <c r="A484" s="18">
        <v>2259</v>
      </c>
      <c r="B484" s="16">
        <v>171847</v>
      </c>
      <c r="C484" s="16">
        <v>0</v>
      </c>
      <c r="D484" s="16">
        <v>0</v>
      </c>
      <c r="E484" s="16">
        <v>42</v>
      </c>
      <c r="F484" s="17" t="s">
        <v>5</v>
      </c>
      <c r="G484" s="17" t="s">
        <v>11</v>
      </c>
      <c r="H484" s="3" t="s">
        <v>390</v>
      </c>
      <c r="I484" s="5" t="s">
        <v>435</v>
      </c>
      <c r="J484" s="16">
        <f>_xlfn.XLOOKUP(CustomerCombinedCleaned[[#This Row],[ID]], Table4[ID], Table4[Recency], "Not Found", 0)</f>
        <v>95</v>
      </c>
      <c r="K484" s="16">
        <f>_xlfn.XLOOKUP(CustomerCombinedCleaned[[#This Row],[ID]], Table4[ID], Table4[Teas], "Not Found", 0)</f>
        <v>1763</v>
      </c>
      <c r="L484" s="16">
        <f>_xlfn.XLOOKUP(CustomerCombinedCleaned[[#This Row],[ID]], Table4[ID], Table4[Fruits], "Not Found", 0)</f>
        <v>50</v>
      </c>
      <c r="M484" s="16">
        <f>_xlfn.XLOOKUP(CustomerCombinedCleaned[[#This Row],[ID]], Table4[ID], Table4[Meats], "Not Found", 0)</f>
        <v>254</v>
      </c>
      <c r="N484" s="16">
        <f>_xlfn.XLOOKUP(CustomerCombinedCleaned[[#This Row],[ID]], Table4[ID], Table4[Seafood], "Not Found", 0)</f>
        <v>132</v>
      </c>
      <c r="O484" s="16">
        <f>_xlfn.XLOOKUP(CustomerCombinedCleaned[[#This Row],[ID]], Table4[ID], Table4[Sweets], "Not Found", 0)</f>
        <v>151</v>
      </c>
      <c r="P484" s="16">
        <f>_xlfn.XLOOKUP(CustomerCombinedCleaned[[#This Row],[ID]], Table4[ID], Table4[Premium], "Not Found", 0)</f>
        <v>502</v>
      </c>
      <c r="Q484" s="16">
        <f>_xlfn.XLOOKUP(CustomerCombinedCleaned[[#This Row],[ID]], Table4[ID], Table4[Regular], "Not Found", 0)</f>
        <v>1847</v>
      </c>
      <c r="R484" s="16">
        <f>_xlfn.XLOOKUP(CustomerCombinedCleaned[[#This Row],[ID]], Table4[ID], Table4[Deals], "Not Found", 0)</f>
        <v>0</v>
      </c>
      <c r="S484" s="16">
        <f>_xlfn.XLOOKUP(CustomerCombinedCleaned[[#This Row],[ID]], Table4[ID], Table4[Website], "Not Found", 0)</f>
        <v>6</v>
      </c>
      <c r="T484" s="16">
        <f>_xlfn.XLOOKUP(CustomerCombinedCleaned[[#This Row],[ID]], Table4[ID], Table4[Catalog], "Not Found", 0)</f>
        <v>7</v>
      </c>
      <c r="U484" s="16">
        <f>_xlfn.XLOOKUP(CustomerCombinedCleaned[[#This Row],[ID]], Table4[ID], Table4[Store], "Not Found", 0)</f>
        <v>9</v>
      </c>
      <c r="V484" s="16">
        <f>_xlfn.XLOOKUP(CustomerCombinedCleaned[[#This Row],[ID]], Table4[ID], Table4[Visits], "Not Found", 0)</f>
        <v>3</v>
      </c>
      <c r="W484" s="16">
        <f>_xlfn.XLOOKUP(CustomerCombinedCleaned[[#This Row],[ID]], Table2[ID],Table2[Complaint], "Not Found", 0 )</f>
        <v>0</v>
      </c>
      <c r="X484" s="16">
        <f>_xlfn.XLOOKUP(CustomerCombinedCleaned[[#This Row],[ID]], Table2[ID],Table2[Pilot], "Not Found", 0 )</f>
        <v>0</v>
      </c>
      <c r="Y484" s="16">
        <f>_xlfn.XLOOKUP(CustomerCombinedCleaned[[#This Row],[ID]], Table2[ID],Table2[MC1], "Not Found", 0 )</f>
        <v>1</v>
      </c>
      <c r="Z484" s="16">
        <f>_xlfn.XLOOKUP(CustomerCombinedCleaned[[#This Row],[ID]], Table2[ID],Table2[MC2], "Not Found", 0 )</f>
        <v>0</v>
      </c>
      <c r="AA484" s="16">
        <f>_xlfn.XLOOKUP(CustomerCombinedCleaned[[#This Row],[ID]], Table2[ID],Table2[MC3], "Not Found", 0 )</f>
        <v>0</v>
      </c>
      <c r="AB484" s="16">
        <f>_xlfn.XLOOKUP(CustomerCombinedCleaned[[#This Row],[ID]], Table2[ID],Table2[MC4], "Not Found", 0 )</f>
        <v>0</v>
      </c>
      <c r="AC484" s="16">
        <f>_xlfn.XLOOKUP(CustomerCombinedCleaned[[#This Row],[ID]], Table2[ID],Table2[MC5], "Not Found", 0 )</f>
        <v>0</v>
      </c>
    </row>
    <row r="485" spans="1:29" x14ac:dyDescent="0.3">
      <c r="A485" s="18">
        <v>1682</v>
      </c>
      <c r="B485" s="16">
        <v>171427</v>
      </c>
      <c r="C485" s="16">
        <v>2</v>
      </c>
      <c r="D485" s="16">
        <v>0</v>
      </c>
      <c r="E485" s="16">
        <v>42</v>
      </c>
      <c r="F485" s="17" t="s">
        <v>6</v>
      </c>
      <c r="G485" s="17" t="s">
        <v>11</v>
      </c>
      <c r="H485" s="3" t="s">
        <v>87</v>
      </c>
      <c r="I485" s="5" t="s">
        <v>438</v>
      </c>
      <c r="J485" s="16">
        <f>_xlfn.XLOOKUP(CustomerCombinedCleaned[[#This Row],[ID]], Table4[ID], Table4[Recency], "Not Found", 0)</f>
        <v>26</v>
      </c>
      <c r="K485" s="16">
        <f>_xlfn.XLOOKUP(CustomerCombinedCleaned[[#This Row],[ID]], Table4[ID], Table4[Teas], "Not Found", 0)</f>
        <v>509</v>
      </c>
      <c r="L485" s="16">
        <f>_xlfn.XLOOKUP(CustomerCombinedCleaned[[#This Row],[ID]], Table4[ID], Table4[Fruits], "Not Found", 0)</f>
        <v>295</v>
      </c>
      <c r="M485" s="16">
        <f>_xlfn.XLOOKUP(CustomerCombinedCleaned[[#This Row],[ID]], Table4[ID], Table4[Meats], "Not Found", 0)</f>
        <v>425</v>
      </c>
      <c r="N485" s="16">
        <f>_xlfn.XLOOKUP(CustomerCombinedCleaned[[#This Row],[ID]], Table4[ID], Table4[Seafood], "Not Found", 0)</f>
        <v>36</v>
      </c>
      <c r="O485" s="16">
        <f>_xlfn.XLOOKUP(CustomerCombinedCleaned[[#This Row],[ID]], Table4[ID], Table4[Sweets], "Not Found", 0)</f>
        <v>154</v>
      </c>
      <c r="P485" s="16">
        <f>_xlfn.XLOOKUP(CustomerCombinedCleaned[[#This Row],[ID]], Table4[ID], Table4[Premium], "Not Found", 0)</f>
        <v>55</v>
      </c>
      <c r="Q485" s="16">
        <f>_xlfn.XLOOKUP(CustomerCombinedCleaned[[#This Row],[ID]], Table4[ID], Table4[Regular], "Not Found", 0)</f>
        <v>1363</v>
      </c>
      <c r="R485" s="16">
        <f>_xlfn.XLOOKUP(CustomerCombinedCleaned[[#This Row],[ID]], Table4[ID], Table4[Deals], "Not Found", 0)</f>
        <v>2</v>
      </c>
      <c r="S485" s="16">
        <f>_xlfn.XLOOKUP(CustomerCombinedCleaned[[#This Row],[ID]], Table4[ID], Table4[Website], "Not Found", 0)</f>
        <v>8</v>
      </c>
      <c r="T485" s="16">
        <f>_xlfn.XLOOKUP(CustomerCombinedCleaned[[#This Row],[ID]], Table4[ID], Table4[Catalog], "Not Found", 0)</f>
        <v>2</v>
      </c>
      <c r="U485" s="16">
        <f>_xlfn.XLOOKUP(CustomerCombinedCleaned[[#This Row],[ID]], Table4[ID], Table4[Store], "Not Found", 0)</f>
        <v>8</v>
      </c>
      <c r="V485" s="16">
        <f>_xlfn.XLOOKUP(CustomerCombinedCleaned[[#This Row],[ID]], Table4[ID], Table4[Visits], "Not Found", 0)</f>
        <v>4</v>
      </c>
      <c r="W485" s="16">
        <f>_xlfn.XLOOKUP(CustomerCombinedCleaned[[#This Row],[ID]], Table2[ID],Table2[Complaint], "Not Found", 0 )</f>
        <v>0</v>
      </c>
      <c r="X485" s="16">
        <f>_xlfn.XLOOKUP(CustomerCombinedCleaned[[#This Row],[ID]], Table2[ID],Table2[Pilot], "Not Found", 0 )</f>
        <v>0</v>
      </c>
      <c r="Y485" s="16">
        <f>_xlfn.XLOOKUP(CustomerCombinedCleaned[[#This Row],[ID]], Table2[ID],Table2[MC1], "Not Found", 0 )</f>
        <v>0</v>
      </c>
      <c r="Z485" s="16">
        <f>_xlfn.XLOOKUP(CustomerCombinedCleaned[[#This Row],[ID]], Table2[ID],Table2[MC2], "Not Found", 0 )</f>
        <v>0</v>
      </c>
      <c r="AA485" s="16">
        <f>_xlfn.XLOOKUP(CustomerCombinedCleaned[[#This Row],[ID]], Table2[ID],Table2[MC3], "Not Found", 0 )</f>
        <v>0</v>
      </c>
      <c r="AB485" s="16">
        <f>_xlfn.XLOOKUP(CustomerCombinedCleaned[[#This Row],[ID]], Table2[ID],Table2[MC4], "Not Found", 0 )</f>
        <v>0</v>
      </c>
      <c r="AC485" s="16">
        <f>_xlfn.XLOOKUP(CustomerCombinedCleaned[[#This Row],[ID]], Table2[ID],Table2[MC5], "Not Found", 0 )</f>
        <v>0</v>
      </c>
    </row>
    <row r="486" spans="1:29" x14ac:dyDescent="0.3">
      <c r="A486" s="18">
        <v>1683</v>
      </c>
      <c r="B486" s="16">
        <v>171022</v>
      </c>
      <c r="C486" s="16">
        <v>0</v>
      </c>
      <c r="D486" s="16">
        <v>1</v>
      </c>
      <c r="E486" s="16">
        <v>42</v>
      </c>
      <c r="F486" s="17" t="s">
        <v>5</v>
      </c>
      <c r="G486" s="17" t="s">
        <v>11</v>
      </c>
      <c r="H486" s="3" t="s">
        <v>102</v>
      </c>
      <c r="I486" s="5" t="s">
        <v>435</v>
      </c>
      <c r="J486" s="16">
        <f>_xlfn.XLOOKUP(CustomerCombinedCleaned[[#This Row],[ID]], Table4[ID], Table4[Recency], "Not Found", 0)</f>
        <v>30</v>
      </c>
      <c r="K486" s="16">
        <f>_xlfn.XLOOKUP(CustomerCombinedCleaned[[#This Row],[ID]], Table4[ID], Table4[Teas], "Not Found", 0)</f>
        <v>2189</v>
      </c>
      <c r="L486" s="16">
        <f>_xlfn.XLOOKUP(CustomerCombinedCleaned[[#This Row],[ID]], Table4[ID], Table4[Fruits], "Not Found", 0)</f>
        <v>29</v>
      </c>
      <c r="M486" s="16">
        <f>_xlfn.XLOOKUP(CustomerCombinedCleaned[[#This Row],[ID]], Table4[ID], Table4[Meats], "Not Found", 0)</f>
        <v>669</v>
      </c>
      <c r="N486" s="16">
        <f>_xlfn.XLOOKUP(CustomerCombinedCleaned[[#This Row],[ID]], Table4[ID], Table4[Seafood], "Not Found", 0)</f>
        <v>0</v>
      </c>
      <c r="O486" s="16">
        <f>_xlfn.XLOOKUP(CustomerCombinedCleaned[[#This Row],[ID]], Table4[ID], Table4[Sweets], "Not Found", 0)</f>
        <v>29</v>
      </c>
      <c r="P486" s="16">
        <f>_xlfn.XLOOKUP(CustomerCombinedCleaned[[#This Row],[ID]], Table4[ID], Table4[Premium], "Not Found", 0)</f>
        <v>583</v>
      </c>
      <c r="Q486" s="16">
        <f>_xlfn.XLOOKUP(CustomerCombinedCleaned[[#This Row],[ID]], Table4[ID], Table4[Regular], "Not Found", 0)</f>
        <v>2333</v>
      </c>
      <c r="R486" s="16">
        <f>_xlfn.XLOOKUP(CustomerCombinedCleaned[[#This Row],[ID]], Table4[ID], Table4[Deals], "Not Found", 0)</f>
        <v>3</v>
      </c>
      <c r="S486" s="16">
        <f>_xlfn.XLOOKUP(CustomerCombinedCleaned[[#This Row],[ID]], Table4[ID], Table4[Website], "Not Found", 0)</f>
        <v>5</v>
      </c>
      <c r="T486" s="16">
        <f>_xlfn.XLOOKUP(CustomerCombinedCleaned[[#This Row],[ID]], Table4[ID], Table4[Catalog], "Not Found", 0)</f>
        <v>2</v>
      </c>
      <c r="U486" s="16">
        <f>_xlfn.XLOOKUP(CustomerCombinedCleaned[[#This Row],[ID]], Table4[ID], Table4[Store], "Not Found", 0)</f>
        <v>11</v>
      </c>
      <c r="V486" s="16">
        <f>_xlfn.XLOOKUP(CustomerCombinedCleaned[[#This Row],[ID]], Table4[ID], Table4[Visits], "Not Found", 0)</f>
        <v>8</v>
      </c>
      <c r="W486" s="16">
        <f>_xlfn.XLOOKUP(CustomerCombinedCleaned[[#This Row],[ID]], Table2[ID],Table2[Complaint], "Not Found", 0 )</f>
        <v>0</v>
      </c>
      <c r="X486" s="16">
        <f>_xlfn.XLOOKUP(CustomerCombinedCleaned[[#This Row],[ID]], Table2[ID],Table2[Pilot], "Not Found", 0 )</f>
        <v>0</v>
      </c>
      <c r="Y486" s="16">
        <f>_xlfn.XLOOKUP(CustomerCombinedCleaned[[#This Row],[ID]], Table2[ID],Table2[MC1], "Not Found", 0 )</f>
        <v>0</v>
      </c>
      <c r="Z486" s="16">
        <f>_xlfn.XLOOKUP(CustomerCombinedCleaned[[#This Row],[ID]], Table2[ID],Table2[MC2], "Not Found", 0 )</f>
        <v>0</v>
      </c>
      <c r="AA486" s="16">
        <f>_xlfn.XLOOKUP(CustomerCombinedCleaned[[#This Row],[ID]], Table2[ID],Table2[MC3], "Not Found", 0 )</f>
        <v>1</v>
      </c>
      <c r="AB486" s="16">
        <f>_xlfn.XLOOKUP(CustomerCombinedCleaned[[#This Row],[ID]], Table2[ID],Table2[MC4], "Not Found", 0 )</f>
        <v>0</v>
      </c>
      <c r="AC486" s="16">
        <f>_xlfn.XLOOKUP(CustomerCombinedCleaned[[#This Row],[ID]], Table2[ID],Table2[MC5], "Not Found", 0 )</f>
        <v>0</v>
      </c>
    </row>
    <row r="487" spans="1:29" x14ac:dyDescent="0.3">
      <c r="A487" s="18">
        <v>2655</v>
      </c>
      <c r="B487" s="16">
        <v>170440</v>
      </c>
      <c r="C487" s="16">
        <v>0</v>
      </c>
      <c r="D487" s="16">
        <v>0</v>
      </c>
      <c r="E487" s="16">
        <v>42</v>
      </c>
      <c r="F487" s="17" t="s">
        <v>8</v>
      </c>
      <c r="G487" s="17" t="s">
        <v>11</v>
      </c>
      <c r="H487" s="3" t="s">
        <v>174</v>
      </c>
      <c r="I487" s="5" t="s">
        <v>435</v>
      </c>
      <c r="J487" s="16">
        <f>_xlfn.XLOOKUP(CustomerCombinedCleaned[[#This Row],[ID]], Table4[ID], Table4[Recency], "Not Found", 0)</f>
        <v>49</v>
      </c>
      <c r="K487" s="16">
        <f>_xlfn.XLOOKUP(CustomerCombinedCleaned[[#This Row],[ID]], Table4[ID], Table4[Teas], "Not Found", 0)</f>
        <v>1670</v>
      </c>
      <c r="L487" s="16">
        <f>_xlfn.XLOOKUP(CustomerCombinedCleaned[[#This Row],[ID]], Table4[ID], Table4[Fruits], "Not Found", 0)</f>
        <v>283</v>
      </c>
      <c r="M487" s="16">
        <f>_xlfn.XLOOKUP(CustomerCombinedCleaned[[#This Row],[ID]], Table4[ID], Table4[Meats], "Not Found", 0)</f>
        <v>1207</v>
      </c>
      <c r="N487" s="16">
        <f>_xlfn.XLOOKUP(CustomerCombinedCleaned[[#This Row],[ID]], Table4[ID], Table4[Seafood], "Not Found", 0)</f>
        <v>184</v>
      </c>
      <c r="O487" s="16">
        <f>_xlfn.XLOOKUP(CustomerCombinedCleaned[[#This Row],[ID]], Table4[ID], Table4[Sweets], "Not Found", 0)</f>
        <v>247</v>
      </c>
      <c r="P487" s="16">
        <f>_xlfn.XLOOKUP(CustomerCombinedCleaned[[#This Row],[ID]], Table4[ID], Table4[Premium], "Not Found", 0)</f>
        <v>213</v>
      </c>
      <c r="Q487" s="16">
        <f>_xlfn.XLOOKUP(CustomerCombinedCleaned[[#This Row],[ID]], Table4[ID], Table4[Regular], "Not Found", 0)</f>
        <v>3378</v>
      </c>
      <c r="R487" s="16">
        <f>_xlfn.XLOOKUP(CustomerCombinedCleaned[[#This Row],[ID]], Table4[ID], Table4[Deals], "Not Found", 0)</f>
        <v>1</v>
      </c>
      <c r="S487" s="16">
        <f>_xlfn.XLOOKUP(CustomerCombinedCleaned[[#This Row],[ID]], Table4[ID], Table4[Website], "Not Found", 0)</f>
        <v>5</v>
      </c>
      <c r="T487" s="16">
        <f>_xlfn.XLOOKUP(CustomerCombinedCleaned[[#This Row],[ID]], Table4[ID], Table4[Catalog], "Not Found", 0)</f>
        <v>10</v>
      </c>
      <c r="U487" s="16">
        <f>_xlfn.XLOOKUP(CustomerCombinedCleaned[[#This Row],[ID]], Table4[ID], Table4[Store], "Not Found", 0)</f>
        <v>7</v>
      </c>
      <c r="V487" s="16">
        <f>_xlfn.XLOOKUP(CustomerCombinedCleaned[[#This Row],[ID]], Table4[ID], Table4[Visits], "Not Found", 0)</f>
        <v>3</v>
      </c>
      <c r="W487" s="16">
        <f>_xlfn.XLOOKUP(CustomerCombinedCleaned[[#This Row],[ID]], Table2[ID],Table2[Complaint], "Not Found", 0 )</f>
        <v>0</v>
      </c>
      <c r="X487" s="16">
        <f>_xlfn.XLOOKUP(CustomerCombinedCleaned[[#This Row],[ID]], Table2[ID],Table2[Pilot], "Not Found", 0 )</f>
        <v>0</v>
      </c>
      <c r="Y487" s="16">
        <f>_xlfn.XLOOKUP(CustomerCombinedCleaned[[#This Row],[ID]], Table2[ID],Table2[MC1], "Not Found", 0 )</f>
        <v>1</v>
      </c>
      <c r="Z487" s="16">
        <f>_xlfn.XLOOKUP(CustomerCombinedCleaned[[#This Row],[ID]], Table2[ID],Table2[MC2], "Not Found", 0 )</f>
        <v>0</v>
      </c>
      <c r="AA487" s="16">
        <f>_xlfn.XLOOKUP(CustomerCombinedCleaned[[#This Row],[ID]], Table2[ID],Table2[MC3], "Not Found", 0 )</f>
        <v>0</v>
      </c>
      <c r="AB487" s="16">
        <f>_xlfn.XLOOKUP(CustomerCombinedCleaned[[#This Row],[ID]], Table2[ID],Table2[MC4], "Not Found", 0 )</f>
        <v>0</v>
      </c>
      <c r="AC487" s="16">
        <f>_xlfn.XLOOKUP(CustomerCombinedCleaned[[#This Row],[ID]], Table2[ID],Table2[MC5], "Not Found", 0 )</f>
        <v>0</v>
      </c>
    </row>
    <row r="488" spans="1:29" x14ac:dyDescent="0.3">
      <c r="A488" s="18">
        <v>1870</v>
      </c>
      <c r="B488" s="16">
        <v>168092</v>
      </c>
      <c r="C488" s="16">
        <v>0</v>
      </c>
      <c r="D488" s="16">
        <v>0</v>
      </c>
      <c r="E488" s="16">
        <v>42</v>
      </c>
      <c r="F488" s="17" t="s">
        <v>7</v>
      </c>
      <c r="G488" s="17" t="s">
        <v>12</v>
      </c>
      <c r="H488" s="3" t="s">
        <v>132</v>
      </c>
      <c r="I488" s="5" t="s">
        <v>439</v>
      </c>
      <c r="J488" s="16">
        <f>_xlfn.XLOOKUP(CustomerCombinedCleaned[[#This Row],[ID]], Table4[ID], Table4[Recency], "Not Found", 0)</f>
        <v>7</v>
      </c>
      <c r="K488" s="16">
        <f>_xlfn.XLOOKUP(CustomerCombinedCleaned[[#This Row],[ID]], Table4[ID], Table4[Teas], "Not Found", 0)</f>
        <v>2103</v>
      </c>
      <c r="L488" s="16">
        <f>_xlfn.XLOOKUP(CustomerCombinedCleaned[[#This Row],[ID]], Table4[ID], Table4[Fruits], "Not Found", 0)</f>
        <v>148</v>
      </c>
      <c r="M488" s="16">
        <f>_xlfn.XLOOKUP(CustomerCombinedCleaned[[#This Row],[ID]], Table4[ID], Table4[Meats], "Not Found", 0)</f>
        <v>511</v>
      </c>
      <c r="N488" s="16">
        <f>_xlfn.XLOOKUP(CustomerCombinedCleaned[[#This Row],[ID]], Table4[ID], Table4[Seafood], "Not Found", 0)</f>
        <v>193</v>
      </c>
      <c r="O488" s="16">
        <f>_xlfn.XLOOKUP(CustomerCombinedCleaned[[#This Row],[ID]], Table4[ID], Table4[Sweets], "Not Found", 0)</f>
        <v>89</v>
      </c>
      <c r="P488" s="16">
        <f>_xlfn.XLOOKUP(CustomerCombinedCleaned[[#This Row],[ID]], Table4[ID], Table4[Premium], "Not Found", 0)</f>
        <v>118</v>
      </c>
      <c r="Q488" s="16">
        <f>_xlfn.XLOOKUP(CustomerCombinedCleaned[[#This Row],[ID]], Table4[ID], Table4[Regular], "Not Found", 0)</f>
        <v>2925</v>
      </c>
      <c r="R488" s="16">
        <f>_xlfn.XLOOKUP(CustomerCombinedCleaned[[#This Row],[ID]], Table4[ID], Table4[Deals], "Not Found", 0)</f>
        <v>2</v>
      </c>
      <c r="S488" s="16">
        <f>_xlfn.XLOOKUP(CustomerCombinedCleaned[[#This Row],[ID]], Table4[ID], Table4[Website], "Not Found", 0)</f>
        <v>2</v>
      </c>
      <c r="T488" s="16">
        <f>_xlfn.XLOOKUP(CustomerCombinedCleaned[[#This Row],[ID]], Table4[ID], Table4[Catalog], "Not Found", 0)</f>
        <v>6</v>
      </c>
      <c r="U488" s="16">
        <f>_xlfn.XLOOKUP(CustomerCombinedCleaned[[#This Row],[ID]], Table4[ID], Table4[Store], "Not Found", 0)</f>
        <v>10</v>
      </c>
      <c r="V488" s="16">
        <f>_xlfn.XLOOKUP(CustomerCombinedCleaned[[#This Row],[ID]], Table4[ID], Table4[Visits], "Not Found", 0)</f>
        <v>5</v>
      </c>
      <c r="W488" s="16">
        <f>_xlfn.XLOOKUP(CustomerCombinedCleaned[[#This Row],[ID]], Table2[ID],Table2[Complaint], "Not Found", 0 )</f>
        <v>0</v>
      </c>
      <c r="X488" s="16">
        <f>_xlfn.XLOOKUP(CustomerCombinedCleaned[[#This Row],[ID]], Table2[ID],Table2[Pilot], "Not Found", 0 )</f>
        <v>0</v>
      </c>
      <c r="Y488" s="16">
        <f>_xlfn.XLOOKUP(CustomerCombinedCleaned[[#This Row],[ID]], Table2[ID],Table2[MC1], "Not Found", 0 )</f>
        <v>0</v>
      </c>
      <c r="Z488" s="16">
        <f>_xlfn.XLOOKUP(CustomerCombinedCleaned[[#This Row],[ID]], Table2[ID],Table2[MC2], "Not Found", 0 )</f>
        <v>0</v>
      </c>
      <c r="AA488" s="16">
        <f>_xlfn.XLOOKUP(CustomerCombinedCleaned[[#This Row],[ID]], Table2[ID],Table2[MC3], "Not Found", 0 )</f>
        <v>0</v>
      </c>
      <c r="AB488" s="16">
        <f>_xlfn.XLOOKUP(CustomerCombinedCleaned[[#This Row],[ID]], Table2[ID],Table2[MC4], "Not Found", 0 )</f>
        <v>0</v>
      </c>
      <c r="AC488" s="16">
        <f>_xlfn.XLOOKUP(CustomerCombinedCleaned[[#This Row],[ID]], Table2[ID],Table2[MC5], "Not Found", 0 )</f>
        <v>0</v>
      </c>
    </row>
    <row r="489" spans="1:29" x14ac:dyDescent="0.3">
      <c r="A489" s="18">
        <v>2050</v>
      </c>
      <c r="B489" s="16">
        <v>167023</v>
      </c>
      <c r="C489" s="16">
        <v>0</v>
      </c>
      <c r="D489" s="16">
        <v>0</v>
      </c>
      <c r="E489" s="16">
        <v>42</v>
      </c>
      <c r="F489" s="17" t="s">
        <v>6</v>
      </c>
      <c r="G489" s="17" t="s">
        <v>11</v>
      </c>
      <c r="H489" s="3" t="s">
        <v>683</v>
      </c>
      <c r="I489" s="5" t="s">
        <v>439</v>
      </c>
      <c r="J489" s="16">
        <f>_xlfn.XLOOKUP(CustomerCombinedCleaned[[#This Row],[ID]], Table4[ID], Table4[Recency], "Not Found", 0)</f>
        <v>93</v>
      </c>
      <c r="K489" s="16">
        <f>_xlfn.XLOOKUP(CustomerCombinedCleaned[[#This Row],[ID]], Table4[ID], Table4[Teas], "Not Found", 0)</f>
        <v>1106</v>
      </c>
      <c r="L489" s="16">
        <f>_xlfn.XLOOKUP(CustomerCombinedCleaned[[#This Row],[ID]], Table4[ID], Table4[Fruits], "Not Found", 0)</f>
        <v>110</v>
      </c>
      <c r="M489" s="16">
        <f>_xlfn.XLOOKUP(CustomerCombinedCleaned[[#This Row],[ID]], Table4[ID], Table4[Meats], "Not Found", 0)</f>
        <v>952</v>
      </c>
      <c r="N489" s="16">
        <f>_xlfn.XLOOKUP(CustomerCombinedCleaned[[#This Row],[ID]], Table4[ID], Table4[Seafood], "Not Found", 0)</f>
        <v>27</v>
      </c>
      <c r="O489" s="16">
        <f>_xlfn.XLOOKUP(CustomerCombinedCleaned[[#This Row],[ID]], Table4[ID], Table4[Sweets], "Not Found", 0)</f>
        <v>20</v>
      </c>
      <c r="P489" s="16">
        <f>_xlfn.XLOOKUP(CustomerCombinedCleaned[[#This Row],[ID]], Table4[ID], Table4[Premium], "Not Found", 0)</f>
        <v>42</v>
      </c>
      <c r="Q489" s="16">
        <f>_xlfn.XLOOKUP(CustomerCombinedCleaned[[#This Row],[ID]], Table4[ID], Table4[Regular], "Not Found", 0)</f>
        <v>2173</v>
      </c>
      <c r="R489" s="16">
        <f>_xlfn.XLOOKUP(CustomerCombinedCleaned[[#This Row],[ID]], Table4[ID], Table4[Deals], "Not Found", 0)</f>
        <v>1</v>
      </c>
      <c r="S489" s="16">
        <f>_xlfn.XLOOKUP(CustomerCombinedCleaned[[#This Row],[ID]], Table4[ID], Table4[Website], "Not Found", 0)</f>
        <v>3</v>
      </c>
      <c r="T489" s="16">
        <f>_xlfn.XLOOKUP(CustomerCombinedCleaned[[#This Row],[ID]], Table4[ID], Table4[Catalog], "Not Found", 0)</f>
        <v>7</v>
      </c>
      <c r="U489" s="16">
        <f>_xlfn.XLOOKUP(CustomerCombinedCleaned[[#This Row],[ID]], Table4[ID], Table4[Store], "Not Found", 0)</f>
        <v>13</v>
      </c>
      <c r="V489" s="16">
        <f>_xlfn.XLOOKUP(CustomerCombinedCleaned[[#This Row],[ID]], Table4[ID], Table4[Visits], "Not Found", 0)</f>
        <v>2</v>
      </c>
      <c r="W489" s="16">
        <f>_xlfn.XLOOKUP(CustomerCombinedCleaned[[#This Row],[ID]], Table2[ID],Table2[Complaint], "Not Found", 0 )</f>
        <v>1</v>
      </c>
      <c r="X489" s="16">
        <f>_xlfn.XLOOKUP(CustomerCombinedCleaned[[#This Row],[ID]], Table2[ID],Table2[Pilot], "Not Found", 0 )</f>
        <v>0</v>
      </c>
      <c r="Y489" s="16">
        <f>_xlfn.XLOOKUP(CustomerCombinedCleaned[[#This Row],[ID]], Table2[ID],Table2[MC1], "Not Found", 0 )</f>
        <v>0</v>
      </c>
      <c r="Z489" s="16">
        <f>_xlfn.XLOOKUP(CustomerCombinedCleaned[[#This Row],[ID]], Table2[ID],Table2[MC2], "Not Found", 0 )</f>
        <v>0</v>
      </c>
      <c r="AA489" s="16">
        <f>_xlfn.XLOOKUP(CustomerCombinedCleaned[[#This Row],[ID]], Table2[ID],Table2[MC3], "Not Found", 0 )</f>
        <v>0</v>
      </c>
      <c r="AB489" s="16">
        <f>_xlfn.XLOOKUP(CustomerCombinedCleaned[[#This Row],[ID]], Table2[ID],Table2[MC4], "Not Found", 0 )</f>
        <v>0</v>
      </c>
      <c r="AC489" s="16">
        <f>_xlfn.XLOOKUP(CustomerCombinedCleaned[[#This Row],[ID]], Table2[ID],Table2[MC5], "Not Found", 0 )</f>
        <v>0</v>
      </c>
    </row>
    <row r="490" spans="1:29" x14ac:dyDescent="0.3">
      <c r="A490" s="18">
        <v>1051</v>
      </c>
      <c r="B490" s="16">
        <v>166373</v>
      </c>
      <c r="C490" s="16">
        <v>1</v>
      </c>
      <c r="D490" s="16">
        <v>1</v>
      </c>
      <c r="E490" s="16">
        <v>42</v>
      </c>
      <c r="F490" s="17" t="s">
        <v>6</v>
      </c>
      <c r="G490" s="17" t="s">
        <v>11</v>
      </c>
      <c r="H490" s="3" t="s">
        <v>240</v>
      </c>
      <c r="I490" s="5" t="s">
        <v>437</v>
      </c>
      <c r="J490" s="16">
        <f>_xlfn.XLOOKUP(CustomerCombinedCleaned[[#This Row],[ID]], Table4[ID], Table4[Recency], "Not Found", 0)</f>
        <v>57</v>
      </c>
      <c r="K490" s="16">
        <f>_xlfn.XLOOKUP(CustomerCombinedCleaned[[#This Row],[ID]], Table4[ID], Table4[Teas], "Not Found", 0)</f>
        <v>822</v>
      </c>
      <c r="L490" s="16">
        <f>_xlfn.XLOOKUP(CustomerCombinedCleaned[[#This Row],[ID]], Table4[ID], Table4[Fruits], "Not Found", 0)</f>
        <v>23</v>
      </c>
      <c r="M490" s="16">
        <f>_xlfn.XLOOKUP(CustomerCombinedCleaned[[#This Row],[ID]], Table4[ID], Table4[Meats], "Not Found", 0)</f>
        <v>311</v>
      </c>
      <c r="N490" s="16">
        <f>_xlfn.XLOOKUP(CustomerCombinedCleaned[[#This Row],[ID]], Table4[ID], Table4[Seafood], "Not Found", 0)</f>
        <v>30</v>
      </c>
      <c r="O490" s="16">
        <f>_xlfn.XLOOKUP(CustomerCombinedCleaned[[#This Row],[ID]], Table4[ID], Table4[Sweets], "Not Found", 0)</f>
        <v>60</v>
      </c>
      <c r="P490" s="16">
        <f>_xlfn.XLOOKUP(CustomerCombinedCleaned[[#This Row],[ID]], Table4[ID], Table4[Premium], "Not Found", 0)</f>
        <v>273</v>
      </c>
      <c r="Q490" s="16">
        <f>_xlfn.XLOOKUP(CustomerCombinedCleaned[[#This Row],[ID]], Table4[ID], Table4[Regular], "Not Found", 0)</f>
        <v>973</v>
      </c>
      <c r="R490" s="16">
        <f>_xlfn.XLOOKUP(CustomerCombinedCleaned[[#This Row],[ID]], Table4[ID], Table4[Deals], "Not Found", 0)</f>
        <v>7</v>
      </c>
      <c r="S490" s="16">
        <f>_xlfn.XLOOKUP(CustomerCombinedCleaned[[#This Row],[ID]], Table4[ID], Table4[Website], "Not Found", 0)</f>
        <v>4</v>
      </c>
      <c r="T490" s="16">
        <f>_xlfn.XLOOKUP(CustomerCombinedCleaned[[#This Row],[ID]], Table4[ID], Table4[Catalog], "Not Found", 0)</f>
        <v>2</v>
      </c>
      <c r="U490" s="16">
        <f>_xlfn.XLOOKUP(CustomerCombinedCleaned[[#This Row],[ID]], Table4[ID], Table4[Store], "Not Found", 0)</f>
        <v>10</v>
      </c>
      <c r="V490" s="16">
        <f>_xlfn.XLOOKUP(CustomerCombinedCleaned[[#This Row],[ID]], Table4[ID], Table4[Visits], "Not Found", 0)</f>
        <v>3</v>
      </c>
      <c r="W490" s="16">
        <f>_xlfn.XLOOKUP(CustomerCombinedCleaned[[#This Row],[ID]], Table2[ID],Table2[Complaint], "Not Found", 0 )</f>
        <v>0</v>
      </c>
      <c r="X490" s="16">
        <f>_xlfn.XLOOKUP(CustomerCombinedCleaned[[#This Row],[ID]], Table2[ID],Table2[Pilot], "Not Found", 0 )</f>
        <v>0</v>
      </c>
      <c r="Y490" s="16">
        <f>_xlfn.XLOOKUP(CustomerCombinedCleaned[[#This Row],[ID]], Table2[ID],Table2[MC1], "Not Found", 0 )</f>
        <v>0</v>
      </c>
      <c r="Z490" s="16">
        <f>_xlfn.XLOOKUP(CustomerCombinedCleaned[[#This Row],[ID]], Table2[ID],Table2[MC2], "Not Found", 0 )</f>
        <v>0</v>
      </c>
      <c r="AA490" s="16">
        <f>_xlfn.XLOOKUP(CustomerCombinedCleaned[[#This Row],[ID]], Table2[ID],Table2[MC3], "Not Found", 0 )</f>
        <v>0</v>
      </c>
      <c r="AB490" s="16">
        <f>_xlfn.XLOOKUP(CustomerCombinedCleaned[[#This Row],[ID]], Table2[ID],Table2[MC4], "Not Found", 0 )</f>
        <v>0</v>
      </c>
      <c r="AC490" s="16">
        <f>_xlfn.XLOOKUP(CustomerCombinedCleaned[[#This Row],[ID]], Table2[ID],Table2[MC5], "Not Found", 0 )</f>
        <v>0</v>
      </c>
    </row>
    <row r="491" spans="1:29" x14ac:dyDescent="0.3">
      <c r="A491" s="18">
        <v>1713</v>
      </c>
      <c r="B491" s="16">
        <v>166373</v>
      </c>
      <c r="C491" s="16">
        <v>1</v>
      </c>
      <c r="D491" s="16">
        <v>1</v>
      </c>
      <c r="E491" s="16">
        <v>42</v>
      </c>
      <c r="F491" s="17" t="s">
        <v>6</v>
      </c>
      <c r="G491" s="17" t="s">
        <v>11</v>
      </c>
      <c r="H491" s="3" t="s">
        <v>240</v>
      </c>
      <c r="I491" s="5" t="s">
        <v>435</v>
      </c>
      <c r="J491" s="16">
        <f>_xlfn.XLOOKUP(CustomerCombinedCleaned[[#This Row],[ID]], Table4[ID], Table4[Recency], "Not Found", 0)</f>
        <v>57</v>
      </c>
      <c r="K491" s="16">
        <f>_xlfn.XLOOKUP(CustomerCombinedCleaned[[#This Row],[ID]], Table4[ID], Table4[Teas], "Not Found", 0)</f>
        <v>822</v>
      </c>
      <c r="L491" s="16">
        <f>_xlfn.XLOOKUP(CustomerCombinedCleaned[[#This Row],[ID]], Table4[ID], Table4[Fruits], "Not Found", 0)</f>
        <v>23</v>
      </c>
      <c r="M491" s="16">
        <f>_xlfn.XLOOKUP(CustomerCombinedCleaned[[#This Row],[ID]], Table4[ID], Table4[Meats], "Not Found", 0)</f>
        <v>311</v>
      </c>
      <c r="N491" s="16">
        <f>_xlfn.XLOOKUP(CustomerCombinedCleaned[[#This Row],[ID]], Table4[ID], Table4[Seafood], "Not Found", 0)</f>
        <v>30</v>
      </c>
      <c r="O491" s="16">
        <f>_xlfn.XLOOKUP(CustomerCombinedCleaned[[#This Row],[ID]], Table4[ID], Table4[Sweets], "Not Found", 0)</f>
        <v>60</v>
      </c>
      <c r="P491" s="16">
        <f>_xlfn.XLOOKUP(CustomerCombinedCleaned[[#This Row],[ID]], Table4[ID], Table4[Premium], "Not Found", 0)</f>
        <v>273</v>
      </c>
      <c r="Q491" s="16">
        <f>_xlfn.XLOOKUP(CustomerCombinedCleaned[[#This Row],[ID]], Table4[ID], Table4[Regular], "Not Found", 0)</f>
        <v>973</v>
      </c>
      <c r="R491" s="16">
        <f>_xlfn.XLOOKUP(CustomerCombinedCleaned[[#This Row],[ID]], Table4[ID], Table4[Deals], "Not Found", 0)</f>
        <v>7</v>
      </c>
      <c r="S491" s="16">
        <f>_xlfn.XLOOKUP(CustomerCombinedCleaned[[#This Row],[ID]], Table4[ID], Table4[Website], "Not Found", 0)</f>
        <v>4</v>
      </c>
      <c r="T491" s="16">
        <f>_xlfn.XLOOKUP(CustomerCombinedCleaned[[#This Row],[ID]], Table4[ID], Table4[Catalog], "Not Found", 0)</f>
        <v>2</v>
      </c>
      <c r="U491" s="16">
        <f>_xlfn.XLOOKUP(CustomerCombinedCleaned[[#This Row],[ID]], Table4[ID], Table4[Store], "Not Found", 0)</f>
        <v>10</v>
      </c>
      <c r="V491" s="16">
        <f>_xlfn.XLOOKUP(CustomerCombinedCleaned[[#This Row],[ID]], Table4[ID], Table4[Visits], "Not Found", 0)</f>
        <v>3</v>
      </c>
      <c r="W491" s="16">
        <f>_xlfn.XLOOKUP(CustomerCombinedCleaned[[#This Row],[ID]], Table2[ID],Table2[Complaint], "Not Found", 0 )</f>
        <v>0</v>
      </c>
      <c r="X491" s="16">
        <f>_xlfn.XLOOKUP(CustomerCombinedCleaned[[#This Row],[ID]], Table2[ID],Table2[Pilot], "Not Found", 0 )</f>
        <v>0</v>
      </c>
      <c r="Y491" s="16">
        <f>_xlfn.XLOOKUP(CustomerCombinedCleaned[[#This Row],[ID]], Table2[ID],Table2[MC1], "Not Found", 0 )</f>
        <v>0</v>
      </c>
      <c r="Z491" s="16">
        <f>_xlfn.XLOOKUP(CustomerCombinedCleaned[[#This Row],[ID]], Table2[ID],Table2[MC2], "Not Found", 0 )</f>
        <v>0</v>
      </c>
      <c r="AA491" s="16">
        <f>_xlfn.XLOOKUP(CustomerCombinedCleaned[[#This Row],[ID]], Table2[ID],Table2[MC3], "Not Found", 0 )</f>
        <v>0</v>
      </c>
      <c r="AB491" s="16">
        <f>_xlfn.XLOOKUP(CustomerCombinedCleaned[[#This Row],[ID]], Table2[ID],Table2[MC4], "Not Found", 0 )</f>
        <v>0</v>
      </c>
      <c r="AC491" s="16">
        <f>_xlfn.XLOOKUP(CustomerCombinedCleaned[[#This Row],[ID]], Table2[ID],Table2[MC5], "Not Found", 0 )</f>
        <v>0</v>
      </c>
    </row>
    <row r="492" spans="1:29" x14ac:dyDescent="0.3">
      <c r="A492" s="18">
        <v>2518</v>
      </c>
      <c r="B492" s="16">
        <v>165819</v>
      </c>
      <c r="C492" s="16">
        <v>0</v>
      </c>
      <c r="D492" s="16">
        <v>0</v>
      </c>
      <c r="E492" s="16">
        <v>42</v>
      </c>
      <c r="F492" s="17" t="s">
        <v>6</v>
      </c>
      <c r="G492" s="17" t="s">
        <v>11</v>
      </c>
      <c r="H492" s="3" t="s">
        <v>631</v>
      </c>
      <c r="I492" s="5" t="s">
        <v>439</v>
      </c>
      <c r="J492" s="16">
        <f>_xlfn.XLOOKUP(CustomerCombinedCleaned[[#This Row],[ID]], Table4[ID], Table4[Recency], "Not Found", 0)</f>
        <v>99</v>
      </c>
      <c r="K492" s="16">
        <f>_xlfn.XLOOKUP(CustomerCombinedCleaned[[#This Row],[ID]], Table4[ID], Table4[Teas], "Not Found", 0)</f>
        <v>673</v>
      </c>
      <c r="L492" s="16">
        <f>_xlfn.XLOOKUP(CustomerCombinedCleaned[[#This Row],[ID]], Table4[ID], Table4[Fruits], "Not Found", 0)</f>
        <v>96</v>
      </c>
      <c r="M492" s="16">
        <f>_xlfn.XLOOKUP(CustomerCombinedCleaned[[#This Row],[ID]], Table4[ID], Table4[Meats], "Not Found", 0)</f>
        <v>1766</v>
      </c>
      <c r="N492" s="16">
        <f>_xlfn.XLOOKUP(CustomerCombinedCleaned[[#This Row],[ID]], Table4[ID], Table4[Seafood], "Not Found", 0)</f>
        <v>375</v>
      </c>
      <c r="O492" s="16">
        <f>_xlfn.XLOOKUP(CustomerCombinedCleaned[[#This Row],[ID]], Table4[ID], Table4[Sweets], "Not Found", 0)</f>
        <v>416</v>
      </c>
      <c r="P492" s="16">
        <f>_xlfn.XLOOKUP(CustomerCombinedCleaned[[#This Row],[ID]], Table4[ID], Table4[Premium], "Not Found", 0)</f>
        <v>159</v>
      </c>
      <c r="Q492" s="16">
        <f>_xlfn.XLOOKUP(CustomerCombinedCleaned[[#This Row],[ID]], Table4[ID], Table4[Regular], "Not Found", 0)</f>
        <v>3167</v>
      </c>
      <c r="R492" s="16">
        <f>_xlfn.XLOOKUP(CustomerCombinedCleaned[[#This Row],[ID]], Table4[ID], Table4[Deals], "Not Found", 0)</f>
        <v>1</v>
      </c>
      <c r="S492" s="16">
        <f>_xlfn.XLOOKUP(CustomerCombinedCleaned[[#This Row],[ID]], Table4[ID], Table4[Website], "Not Found", 0)</f>
        <v>5</v>
      </c>
      <c r="T492" s="16">
        <f>_xlfn.XLOOKUP(CustomerCombinedCleaned[[#This Row],[ID]], Table4[ID], Table4[Catalog], "Not Found", 0)</f>
        <v>4</v>
      </c>
      <c r="U492" s="16">
        <f>_xlfn.XLOOKUP(CustomerCombinedCleaned[[#This Row],[ID]], Table4[ID], Table4[Store], "Not Found", 0)</f>
        <v>10</v>
      </c>
      <c r="V492" s="16">
        <f>_xlfn.XLOOKUP(CustomerCombinedCleaned[[#This Row],[ID]], Table4[ID], Table4[Visits], "Not Found", 0)</f>
        <v>3</v>
      </c>
      <c r="W492" s="16">
        <f>_xlfn.XLOOKUP(CustomerCombinedCleaned[[#This Row],[ID]], Table2[ID],Table2[Complaint], "Not Found", 0 )</f>
        <v>0</v>
      </c>
      <c r="X492" s="16">
        <f>_xlfn.XLOOKUP(CustomerCombinedCleaned[[#This Row],[ID]], Table2[ID],Table2[Pilot], "Not Found", 0 )</f>
        <v>0</v>
      </c>
      <c r="Y492" s="16">
        <f>_xlfn.XLOOKUP(CustomerCombinedCleaned[[#This Row],[ID]], Table2[ID],Table2[MC1], "Not Found", 0 )</f>
        <v>0</v>
      </c>
      <c r="Z492" s="16">
        <f>_xlfn.XLOOKUP(CustomerCombinedCleaned[[#This Row],[ID]], Table2[ID],Table2[MC2], "Not Found", 0 )</f>
        <v>0</v>
      </c>
      <c r="AA492" s="16">
        <f>_xlfn.XLOOKUP(CustomerCombinedCleaned[[#This Row],[ID]], Table2[ID],Table2[MC3], "Not Found", 0 )</f>
        <v>0</v>
      </c>
      <c r="AB492" s="16">
        <f>_xlfn.XLOOKUP(CustomerCombinedCleaned[[#This Row],[ID]], Table2[ID],Table2[MC4], "Not Found", 0 )</f>
        <v>0</v>
      </c>
      <c r="AC492" s="16">
        <f>_xlfn.XLOOKUP(CustomerCombinedCleaned[[#This Row],[ID]], Table2[ID],Table2[MC5], "Not Found", 0 )</f>
        <v>0</v>
      </c>
    </row>
    <row r="493" spans="1:29" x14ac:dyDescent="0.3">
      <c r="A493" s="18">
        <v>2683</v>
      </c>
      <c r="B493" s="16">
        <v>164813</v>
      </c>
      <c r="C493" s="16">
        <v>1</v>
      </c>
      <c r="D493" s="16">
        <v>0</v>
      </c>
      <c r="E493" s="16">
        <v>42</v>
      </c>
      <c r="F493" s="17" t="s">
        <v>6</v>
      </c>
      <c r="G493" s="17" t="s">
        <v>11</v>
      </c>
      <c r="H493" s="3" t="s">
        <v>668</v>
      </c>
      <c r="I493" s="5" t="s">
        <v>437</v>
      </c>
      <c r="J493" s="16">
        <f>_xlfn.XLOOKUP(CustomerCombinedCleaned[[#This Row],[ID]], Table4[ID], Table4[Recency], "Not Found", 0)</f>
        <v>81</v>
      </c>
      <c r="K493" s="16">
        <f>_xlfn.XLOOKUP(CustomerCombinedCleaned[[#This Row],[ID]], Table4[ID], Table4[Teas], "Not Found", 0)</f>
        <v>745</v>
      </c>
      <c r="L493" s="16">
        <f>_xlfn.XLOOKUP(CustomerCombinedCleaned[[#This Row],[ID]], Table4[ID], Table4[Fruits], "Not Found", 0)</f>
        <v>0</v>
      </c>
      <c r="M493" s="16">
        <f>_xlfn.XLOOKUP(CustomerCombinedCleaned[[#This Row],[ID]], Table4[ID], Table4[Meats], "Not Found", 0)</f>
        <v>315</v>
      </c>
      <c r="N493" s="16">
        <f>_xlfn.XLOOKUP(CustomerCombinedCleaned[[#This Row],[ID]], Table4[ID], Table4[Seafood], "Not Found", 0)</f>
        <v>455</v>
      </c>
      <c r="O493" s="16">
        <f>_xlfn.XLOOKUP(CustomerCombinedCleaned[[#This Row],[ID]], Table4[ID], Table4[Sweets], "Not Found", 0)</f>
        <v>247</v>
      </c>
      <c r="P493" s="16">
        <f>_xlfn.XLOOKUP(CustomerCombinedCleaned[[#This Row],[ID]], Table4[ID], Table4[Premium], "Not Found", 0)</f>
        <v>132</v>
      </c>
      <c r="Q493" s="16">
        <f>_xlfn.XLOOKUP(CustomerCombinedCleaned[[#This Row],[ID]], Table4[ID], Table4[Regular], "Not Found", 0)</f>
        <v>1630</v>
      </c>
      <c r="R493" s="16">
        <f>_xlfn.XLOOKUP(CustomerCombinedCleaned[[#This Row],[ID]], Table4[ID], Table4[Deals], "Not Found", 0)</f>
        <v>1</v>
      </c>
      <c r="S493" s="16">
        <f>_xlfn.XLOOKUP(CustomerCombinedCleaned[[#This Row],[ID]], Table4[ID], Table4[Website], "Not Found", 0)</f>
        <v>7</v>
      </c>
      <c r="T493" s="16">
        <f>_xlfn.XLOOKUP(CustomerCombinedCleaned[[#This Row],[ID]], Table4[ID], Table4[Catalog], "Not Found", 0)</f>
        <v>2</v>
      </c>
      <c r="U493" s="16">
        <f>_xlfn.XLOOKUP(CustomerCombinedCleaned[[#This Row],[ID]], Table4[ID], Table4[Store], "Not Found", 0)</f>
        <v>10</v>
      </c>
      <c r="V493" s="16">
        <f>_xlfn.XLOOKUP(CustomerCombinedCleaned[[#This Row],[ID]], Table4[ID], Table4[Visits], "Not Found", 0)</f>
        <v>5</v>
      </c>
      <c r="W493" s="16">
        <f>_xlfn.XLOOKUP(CustomerCombinedCleaned[[#This Row],[ID]], Table2[ID],Table2[Complaint], "Not Found", 0 )</f>
        <v>0</v>
      </c>
      <c r="X493" s="16">
        <f>_xlfn.XLOOKUP(CustomerCombinedCleaned[[#This Row],[ID]], Table2[ID],Table2[Pilot], "Not Found", 0 )</f>
        <v>0</v>
      </c>
      <c r="Y493" s="16">
        <f>_xlfn.XLOOKUP(CustomerCombinedCleaned[[#This Row],[ID]], Table2[ID],Table2[MC1], "Not Found", 0 )</f>
        <v>0</v>
      </c>
      <c r="Z493" s="16">
        <f>_xlfn.XLOOKUP(CustomerCombinedCleaned[[#This Row],[ID]], Table2[ID],Table2[MC2], "Not Found", 0 )</f>
        <v>0</v>
      </c>
      <c r="AA493" s="16">
        <f>_xlfn.XLOOKUP(CustomerCombinedCleaned[[#This Row],[ID]], Table2[ID],Table2[MC3], "Not Found", 0 )</f>
        <v>0</v>
      </c>
      <c r="AB493" s="16">
        <f>_xlfn.XLOOKUP(CustomerCombinedCleaned[[#This Row],[ID]], Table2[ID],Table2[MC4], "Not Found", 0 )</f>
        <v>0</v>
      </c>
      <c r="AC493" s="16">
        <f>_xlfn.XLOOKUP(CustomerCombinedCleaned[[#This Row],[ID]], Table2[ID],Table2[MC5], "Not Found", 0 )</f>
        <v>0</v>
      </c>
    </row>
    <row r="494" spans="1:29" x14ac:dyDescent="0.3">
      <c r="A494" s="18">
        <v>1736</v>
      </c>
      <c r="B494" s="16">
        <v>163855</v>
      </c>
      <c r="C494" s="16">
        <v>0</v>
      </c>
      <c r="D494" s="16">
        <v>0</v>
      </c>
      <c r="E494" s="16">
        <v>42</v>
      </c>
      <c r="F494" s="17" t="s">
        <v>8</v>
      </c>
      <c r="G494" s="17" t="s">
        <v>11</v>
      </c>
      <c r="H494" s="3" t="s">
        <v>314</v>
      </c>
      <c r="I494" s="5" t="s">
        <v>438</v>
      </c>
      <c r="J494" s="16">
        <f>_xlfn.XLOOKUP(CustomerCombinedCleaned[[#This Row],[ID]], Table4[ID], Table4[Recency], "Not Found", 0)</f>
        <v>28</v>
      </c>
      <c r="K494" s="16">
        <f>_xlfn.XLOOKUP(CustomerCombinedCleaned[[#This Row],[ID]], Table4[ID], Table4[Teas], "Not Found", 0)</f>
        <v>921</v>
      </c>
      <c r="L494" s="16">
        <f>_xlfn.XLOOKUP(CustomerCombinedCleaned[[#This Row],[ID]], Table4[ID], Table4[Fruits], "Not Found", 0)</f>
        <v>90</v>
      </c>
      <c r="M494" s="16">
        <f>_xlfn.XLOOKUP(CustomerCombinedCleaned[[#This Row],[ID]], Table4[ID], Table4[Meats], "Not Found", 0)</f>
        <v>806</v>
      </c>
      <c r="N494" s="16">
        <f>_xlfn.XLOOKUP(CustomerCombinedCleaned[[#This Row],[ID]], Table4[ID], Table4[Seafood], "Not Found", 0)</f>
        <v>239</v>
      </c>
      <c r="O494" s="16">
        <f>_xlfn.XLOOKUP(CustomerCombinedCleaned[[#This Row],[ID]], Table4[ID], Table4[Sweets], "Not Found", 0)</f>
        <v>298</v>
      </c>
      <c r="P494" s="16">
        <f>_xlfn.XLOOKUP(CustomerCombinedCleaned[[#This Row],[ID]], Table4[ID], Table4[Premium], "Not Found", 0)</f>
        <v>228</v>
      </c>
      <c r="Q494" s="16">
        <f>_xlfn.XLOOKUP(CustomerCombinedCleaned[[#This Row],[ID]], Table4[ID], Table4[Regular], "Not Found", 0)</f>
        <v>2125</v>
      </c>
      <c r="R494" s="16">
        <f>_xlfn.XLOOKUP(CustomerCombinedCleaned[[#This Row],[ID]], Table4[ID], Table4[Deals], "Not Found", 0)</f>
        <v>1</v>
      </c>
      <c r="S494" s="16">
        <f>_xlfn.XLOOKUP(CustomerCombinedCleaned[[#This Row],[ID]], Table4[ID], Table4[Website], "Not Found", 0)</f>
        <v>7</v>
      </c>
      <c r="T494" s="16">
        <f>_xlfn.XLOOKUP(CustomerCombinedCleaned[[#This Row],[ID]], Table4[ID], Table4[Catalog], "Not Found", 0)</f>
        <v>3</v>
      </c>
      <c r="U494" s="16">
        <f>_xlfn.XLOOKUP(CustomerCombinedCleaned[[#This Row],[ID]], Table4[ID], Table4[Store], "Not Found", 0)</f>
        <v>13</v>
      </c>
      <c r="V494" s="16">
        <f>_xlfn.XLOOKUP(CustomerCombinedCleaned[[#This Row],[ID]], Table4[ID], Table4[Visits], "Not Found", 0)</f>
        <v>4</v>
      </c>
      <c r="W494" s="16">
        <f>_xlfn.XLOOKUP(CustomerCombinedCleaned[[#This Row],[ID]], Table2[ID],Table2[Complaint], "Not Found", 0 )</f>
        <v>0</v>
      </c>
      <c r="X494" s="16">
        <f>_xlfn.XLOOKUP(CustomerCombinedCleaned[[#This Row],[ID]], Table2[ID],Table2[Pilot], "Not Found", 0 )</f>
        <v>0</v>
      </c>
      <c r="Y494" s="16">
        <f>_xlfn.XLOOKUP(CustomerCombinedCleaned[[#This Row],[ID]], Table2[ID],Table2[MC1], "Not Found", 0 )</f>
        <v>0</v>
      </c>
      <c r="Z494" s="16">
        <f>_xlfn.XLOOKUP(CustomerCombinedCleaned[[#This Row],[ID]], Table2[ID],Table2[MC2], "Not Found", 0 )</f>
        <v>0</v>
      </c>
      <c r="AA494" s="16">
        <f>_xlfn.XLOOKUP(CustomerCombinedCleaned[[#This Row],[ID]], Table2[ID],Table2[MC3], "Not Found", 0 )</f>
        <v>0</v>
      </c>
      <c r="AB494" s="16">
        <f>_xlfn.XLOOKUP(CustomerCombinedCleaned[[#This Row],[ID]], Table2[ID],Table2[MC4], "Not Found", 0 )</f>
        <v>0</v>
      </c>
      <c r="AC494" s="16">
        <f>_xlfn.XLOOKUP(CustomerCombinedCleaned[[#This Row],[ID]], Table2[ID],Table2[MC5], "Not Found", 0 )</f>
        <v>0</v>
      </c>
    </row>
    <row r="495" spans="1:29" x14ac:dyDescent="0.3">
      <c r="A495" s="18">
        <v>1190</v>
      </c>
      <c r="B495" s="16">
        <v>163693</v>
      </c>
      <c r="C495" s="16">
        <v>0</v>
      </c>
      <c r="D495" s="16">
        <v>1</v>
      </c>
      <c r="E495" s="16">
        <v>42</v>
      </c>
      <c r="F495" s="17" t="s">
        <v>5</v>
      </c>
      <c r="G495" s="17" t="s">
        <v>11</v>
      </c>
      <c r="H495" s="3" t="s">
        <v>168</v>
      </c>
      <c r="I495" s="5" t="s">
        <v>438</v>
      </c>
      <c r="J495" s="16">
        <f>_xlfn.XLOOKUP(CustomerCombinedCleaned[[#This Row],[ID]], Table4[ID], Table4[Recency], "Not Found", 0)</f>
        <v>63</v>
      </c>
      <c r="K495" s="16">
        <f>_xlfn.XLOOKUP(CustomerCombinedCleaned[[#This Row],[ID]], Table4[ID], Table4[Teas], "Not Found", 0)</f>
        <v>1509</v>
      </c>
      <c r="L495" s="16">
        <f>_xlfn.XLOOKUP(CustomerCombinedCleaned[[#This Row],[ID]], Table4[ID], Table4[Fruits], "Not Found", 0)</f>
        <v>111</v>
      </c>
      <c r="M495" s="16">
        <f>_xlfn.XLOOKUP(CustomerCombinedCleaned[[#This Row],[ID]], Table4[ID], Table4[Meats], "Not Found", 0)</f>
        <v>866</v>
      </c>
      <c r="N495" s="16">
        <f>_xlfn.XLOOKUP(CustomerCombinedCleaned[[#This Row],[ID]], Table4[ID], Table4[Seafood], "Not Found", 0)</f>
        <v>108</v>
      </c>
      <c r="O495" s="16">
        <f>_xlfn.XLOOKUP(CustomerCombinedCleaned[[#This Row],[ID]], Table4[ID], Table4[Sweets], "Not Found", 0)</f>
        <v>224</v>
      </c>
      <c r="P495" s="16">
        <f>_xlfn.XLOOKUP(CustomerCombinedCleaned[[#This Row],[ID]], Table4[ID], Table4[Premium], "Not Found", 0)</f>
        <v>139</v>
      </c>
      <c r="Q495" s="16">
        <f>_xlfn.XLOOKUP(CustomerCombinedCleaned[[#This Row],[ID]], Table4[ID], Table4[Regular], "Not Found", 0)</f>
        <v>2678</v>
      </c>
      <c r="R495" s="16">
        <f>_xlfn.XLOOKUP(CustomerCombinedCleaned[[#This Row],[ID]], Table4[ID], Table4[Deals], "Not Found", 0)</f>
        <v>3</v>
      </c>
      <c r="S495" s="16">
        <f>_xlfn.XLOOKUP(CustomerCombinedCleaned[[#This Row],[ID]], Table4[ID], Table4[Website], "Not Found", 0)</f>
        <v>11</v>
      </c>
      <c r="T495" s="16">
        <f>_xlfn.XLOOKUP(CustomerCombinedCleaned[[#This Row],[ID]], Table4[ID], Table4[Catalog], "Not Found", 0)</f>
        <v>6</v>
      </c>
      <c r="U495" s="16">
        <f>_xlfn.XLOOKUP(CustomerCombinedCleaned[[#This Row],[ID]], Table4[ID], Table4[Store], "Not Found", 0)</f>
        <v>9</v>
      </c>
      <c r="V495" s="16">
        <f>_xlfn.XLOOKUP(CustomerCombinedCleaned[[#This Row],[ID]], Table4[ID], Table4[Visits], "Not Found", 0)</f>
        <v>6</v>
      </c>
      <c r="W495" s="16">
        <f>_xlfn.XLOOKUP(CustomerCombinedCleaned[[#This Row],[ID]], Table2[ID],Table2[Complaint], "Not Found", 0 )</f>
        <v>0</v>
      </c>
      <c r="X495" s="16">
        <f>_xlfn.XLOOKUP(CustomerCombinedCleaned[[#This Row],[ID]], Table2[ID],Table2[Pilot], "Not Found", 0 )</f>
        <v>0</v>
      </c>
      <c r="Y495" s="16">
        <f>_xlfn.XLOOKUP(CustomerCombinedCleaned[[#This Row],[ID]], Table2[ID],Table2[MC1], "Not Found", 0 )</f>
        <v>0</v>
      </c>
      <c r="Z495" s="16">
        <f>_xlfn.XLOOKUP(CustomerCombinedCleaned[[#This Row],[ID]], Table2[ID],Table2[MC2], "Not Found", 0 )</f>
        <v>0</v>
      </c>
      <c r="AA495" s="16">
        <f>_xlfn.XLOOKUP(CustomerCombinedCleaned[[#This Row],[ID]], Table2[ID],Table2[MC3], "Not Found", 0 )</f>
        <v>0</v>
      </c>
      <c r="AB495" s="16">
        <f>_xlfn.XLOOKUP(CustomerCombinedCleaned[[#This Row],[ID]], Table2[ID],Table2[MC4], "Not Found", 0 )</f>
        <v>0</v>
      </c>
      <c r="AC495" s="16">
        <f>_xlfn.XLOOKUP(CustomerCombinedCleaned[[#This Row],[ID]], Table2[ID],Table2[MC5], "Not Found", 0 )</f>
        <v>0</v>
      </c>
    </row>
    <row r="496" spans="1:29" x14ac:dyDescent="0.3">
      <c r="A496" s="18">
        <v>1964</v>
      </c>
      <c r="B496" s="16">
        <v>163693</v>
      </c>
      <c r="C496" s="16">
        <v>0</v>
      </c>
      <c r="D496" s="16">
        <v>1</v>
      </c>
      <c r="E496" s="16">
        <v>42</v>
      </c>
      <c r="F496" s="17" t="s">
        <v>5</v>
      </c>
      <c r="G496" s="17" t="s">
        <v>11</v>
      </c>
      <c r="H496" s="3" t="s">
        <v>168</v>
      </c>
      <c r="I496" s="5" t="s">
        <v>438</v>
      </c>
      <c r="J496" s="16">
        <f>_xlfn.XLOOKUP(CustomerCombinedCleaned[[#This Row],[ID]], Table4[ID], Table4[Recency], "Not Found", 0)</f>
        <v>63</v>
      </c>
      <c r="K496" s="16">
        <f>_xlfn.XLOOKUP(CustomerCombinedCleaned[[#This Row],[ID]], Table4[ID], Table4[Teas], "Not Found", 0)</f>
        <v>1509</v>
      </c>
      <c r="L496" s="16">
        <f>_xlfn.XLOOKUP(CustomerCombinedCleaned[[#This Row],[ID]], Table4[ID], Table4[Fruits], "Not Found", 0)</f>
        <v>111</v>
      </c>
      <c r="M496" s="16">
        <f>_xlfn.XLOOKUP(CustomerCombinedCleaned[[#This Row],[ID]], Table4[ID], Table4[Meats], "Not Found", 0)</f>
        <v>866</v>
      </c>
      <c r="N496" s="16">
        <f>_xlfn.XLOOKUP(CustomerCombinedCleaned[[#This Row],[ID]], Table4[ID], Table4[Seafood], "Not Found", 0)</f>
        <v>108</v>
      </c>
      <c r="O496" s="16">
        <f>_xlfn.XLOOKUP(CustomerCombinedCleaned[[#This Row],[ID]], Table4[ID], Table4[Sweets], "Not Found", 0)</f>
        <v>224</v>
      </c>
      <c r="P496" s="16">
        <f>_xlfn.XLOOKUP(CustomerCombinedCleaned[[#This Row],[ID]], Table4[ID], Table4[Premium], "Not Found", 0)</f>
        <v>139</v>
      </c>
      <c r="Q496" s="16">
        <f>_xlfn.XLOOKUP(CustomerCombinedCleaned[[#This Row],[ID]], Table4[ID], Table4[Regular], "Not Found", 0)</f>
        <v>2678</v>
      </c>
      <c r="R496" s="16">
        <f>_xlfn.XLOOKUP(CustomerCombinedCleaned[[#This Row],[ID]], Table4[ID], Table4[Deals], "Not Found", 0)</f>
        <v>3</v>
      </c>
      <c r="S496" s="16">
        <f>_xlfn.XLOOKUP(CustomerCombinedCleaned[[#This Row],[ID]], Table4[ID], Table4[Website], "Not Found", 0)</f>
        <v>11</v>
      </c>
      <c r="T496" s="16">
        <f>_xlfn.XLOOKUP(CustomerCombinedCleaned[[#This Row],[ID]], Table4[ID], Table4[Catalog], "Not Found", 0)</f>
        <v>6</v>
      </c>
      <c r="U496" s="16">
        <f>_xlfn.XLOOKUP(CustomerCombinedCleaned[[#This Row],[ID]], Table4[ID], Table4[Store], "Not Found", 0)</f>
        <v>9</v>
      </c>
      <c r="V496" s="16">
        <f>_xlfn.XLOOKUP(CustomerCombinedCleaned[[#This Row],[ID]], Table4[ID], Table4[Visits], "Not Found", 0)</f>
        <v>6</v>
      </c>
      <c r="W496" s="16">
        <f>_xlfn.XLOOKUP(CustomerCombinedCleaned[[#This Row],[ID]], Table2[ID],Table2[Complaint], "Not Found", 0 )</f>
        <v>0</v>
      </c>
      <c r="X496" s="16">
        <f>_xlfn.XLOOKUP(CustomerCombinedCleaned[[#This Row],[ID]], Table2[ID],Table2[Pilot], "Not Found", 0 )</f>
        <v>0</v>
      </c>
      <c r="Y496" s="16">
        <f>_xlfn.XLOOKUP(CustomerCombinedCleaned[[#This Row],[ID]], Table2[ID],Table2[MC1], "Not Found", 0 )</f>
        <v>0</v>
      </c>
      <c r="Z496" s="16">
        <f>_xlfn.XLOOKUP(CustomerCombinedCleaned[[#This Row],[ID]], Table2[ID],Table2[MC2], "Not Found", 0 )</f>
        <v>0</v>
      </c>
      <c r="AA496" s="16">
        <f>_xlfn.XLOOKUP(CustomerCombinedCleaned[[#This Row],[ID]], Table2[ID],Table2[MC3], "Not Found", 0 )</f>
        <v>0</v>
      </c>
      <c r="AB496" s="16">
        <f>_xlfn.XLOOKUP(CustomerCombinedCleaned[[#This Row],[ID]], Table2[ID],Table2[MC4], "Not Found", 0 )</f>
        <v>0</v>
      </c>
      <c r="AC496" s="16">
        <f>_xlfn.XLOOKUP(CustomerCombinedCleaned[[#This Row],[ID]], Table2[ID],Table2[MC5], "Not Found", 0 )</f>
        <v>0</v>
      </c>
    </row>
    <row r="497" spans="1:29" x14ac:dyDescent="0.3">
      <c r="A497" s="18">
        <v>1855</v>
      </c>
      <c r="B497" s="16">
        <v>161346</v>
      </c>
      <c r="C497" s="16">
        <v>1</v>
      </c>
      <c r="D497" s="16">
        <v>0</v>
      </c>
      <c r="E497" s="16">
        <v>42</v>
      </c>
      <c r="F497" s="17" t="s">
        <v>8</v>
      </c>
      <c r="G497" s="17" t="s">
        <v>12</v>
      </c>
      <c r="H497" s="3" t="s">
        <v>664</v>
      </c>
      <c r="I497" s="5" t="s">
        <v>437</v>
      </c>
      <c r="J497" s="16">
        <f>_xlfn.XLOOKUP(CustomerCombinedCleaned[[#This Row],[ID]], Table4[ID], Table4[Recency], "Not Found", 0)</f>
        <v>34</v>
      </c>
      <c r="K497" s="16">
        <f>_xlfn.XLOOKUP(CustomerCombinedCleaned[[#This Row],[ID]], Table4[ID], Table4[Teas], "Not Found", 0)</f>
        <v>1478</v>
      </c>
      <c r="L497" s="16">
        <f>_xlfn.XLOOKUP(CustomerCombinedCleaned[[#This Row],[ID]], Table4[ID], Table4[Fruits], "Not Found", 0)</f>
        <v>153</v>
      </c>
      <c r="M497" s="16">
        <f>_xlfn.XLOOKUP(CustomerCombinedCleaned[[#This Row],[ID]], Table4[ID], Table4[Meats], "Not Found", 0)</f>
        <v>442</v>
      </c>
      <c r="N497" s="16">
        <f>_xlfn.XLOOKUP(CustomerCombinedCleaned[[#This Row],[ID]], Table4[ID], Table4[Seafood], "Not Found", 0)</f>
        <v>113</v>
      </c>
      <c r="O497" s="16">
        <f>_xlfn.XLOOKUP(CustomerCombinedCleaned[[#This Row],[ID]], Table4[ID], Table4[Sweets], "Not Found", 0)</f>
        <v>42</v>
      </c>
      <c r="P497" s="16">
        <f>_xlfn.XLOOKUP(CustomerCombinedCleaned[[#This Row],[ID]], Table4[ID], Table4[Premium], "Not Found", 0)</f>
        <v>373</v>
      </c>
      <c r="Q497" s="16">
        <f>_xlfn.XLOOKUP(CustomerCombinedCleaned[[#This Row],[ID]], Table4[ID], Table4[Regular], "Not Found", 0)</f>
        <v>1854</v>
      </c>
      <c r="R497" s="16">
        <f>_xlfn.XLOOKUP(CustomerCombinedCleaned[[#This Row],[ID]], Table4[ID], Table4[Deals], "Not Found", 0)</f>
        <v>1</v>
      </c>
      <c r="S497" s="16">
        <f>_xlfn.XLOOKUP(CustomerCombinedCleaned[[#This Row],[ID]], Table4[ID], Table4[Website], "Not Found", 0)</f>
        <v>5</v>
      </c>
      <c r="T497" s="16">
        <f>_xlfn.XLOOKUP(CustomerCombinedCleaned[[#This Row],[ID]], Table4[ID], Table4[Catalog], "Not Found", 0)</f>
        <v>7</v>
      </c>
      <c r="U497" s="16">
        <f>_xlfn.XLOOKUP(CustomerCombinedCleaned[[#This Row],[ID]], Table4[ID], Table4[Store], "Not Found", 0)</f>
        <v>10</v>
      </c>
      <c r="V497" s="16">
        <f>_xlfn.XLOOKUP(CustomerCombinedCleaned[[#This Row],[ID]], Table4[ID], Table4[Visits], "Not Found", 0)</f>
        <v>3</v>
      </c>
      <c r="W497" s="16">
        <f>_xlfn.XLOOKUP(CustomerCombinedCleaned[[#This Row],[ID]], Table2[ID],Table2[Complaint], "Not Found", 0 )</f>
        <v>0</v>
      </c>
      <c r="X497" s="16">
        <f>_xlfn.XLOOKUP(CustomerCombinedCleaned[[#This Row],[ID]], Table2[ID],Table2[Pilot], "Not Found", 0 )</f>
        <v>0</v>
      </c>
      <c r="Y497" s="16">
        <f>_xlfn.XLOOKUP(CustomerCombinedCleaned[[#This Row],[ID]], Table2[ID],Table2[MC1], "Not Found", 0 )</f>
        <v>0</v>
      </c>
      <c r="Z497" s="16">
        <f>_xlfn.XLOOKUP(CustomerCombinedCleaned[[#This Row],[ID]], Table2[ID],Table2[MC2], "Not Found", 0 )</f>
        <v>0</v>
      </c>
      <c r="AA497" s="16">
        <f>_xlfn.XLOOKUP(CustomerCombinedCleaned[[#This Row],[ID]], Table2[ID],Table2[MC3], "Not Found", 0 )</f>
        <v>0</v>
      </c>
      <c r="AB497" s="16">
        <f>_xlfn.XLOOKUP(CustomerCombinedCleaned[[#This Row],[ID]], Table2[ID],Table2[MC4], "Not Found", 0 )</f>
        <v>0</v>
      </c>
      <c r="AC497" s="16">
        <f>_xlfn.XLOOKUP(CustomerCombinedCleaned[[#This Row],[ID]], Table2[ID],Table2[MC5], "Not Found", 0 )</f>
        <v>0</v>
      </c>
    </row>
    <row r="498" spans="1:29" x14ac:dyDescent="0.3">
      <c r="A498" s="18">
        <v>1147</v>
      </c>
      <c r="B498" s="16">
        <v>160199</v>
      </c>
      <c r="C498" s="16">
        <v>1</v>
      </c>
      <c r="D498" s="16">
        <v>2</v>
      </c>
      <c r="E498" s="16">
        <v>42</v>
      </c>
      <c r="F498" s="17" t="s">
        <v>7</v>
      </c>
      <c r="G498" s="17" t="s">
        <v>11</v>
      </c>
      <c r="H498" s="3" t="s">
        <v>187</v>
      </c>
      <c r="I498" s="5" t="s">
        <v>437</v>
      </c>
      <c r="J498" s="16">
        <f>_xlfn.XLOOKUP(CustomerCombinedCleaned[[#This Row],[ID]], Table4[ID], Table4[Recency], "Not Found", 0)</f>
        <v>49</v>
      </c>
      <c r="K498" s="16">
        <f>_xlfn.XLOOKUP(CustomerCombinedCleaned[[#This Row],[ID]], Table4[ID], Table4[Teas], "Not Found", 0)</f>
        <v>21</v>
      </c>
      <c r="L498" s="16">
        <f>_xlfn.XLOOKUP(CustomerCombinedCleaned[[#This Row],[ID]], Table4[ID], Table4[Fruits], "Not Found", 0)</f>
        <v>3</v>
      </c>
      <c r="M498" s="16">
        <f>_xlfn.XLOOKUP(CustomerCombinedCleaned[[#This Row],[ID]], Table4[ID], Table4[Meats], "Not Found", 0)</f>
        <v>19</v>
      </c>
      <c r="N498" s="16">
        <f>_xlfn.XLOOKUP(CustomerCombinedCleaned[[#This Row],[ID]], Table4[ID], Table4[Seafood], "Not Found", 0)</f>
        <v>5</v>
      </c>
      <c r="O498" s="16">
        <f>_xlfn.XLOOKUP(CustomerCombinedCleaned[[#This Row],[ID]], Table4[ID], Table4[Sweets], "Not Found", 0)</f>
        <v>0</v>
      </c>
      <c r="P498" s="16">
        <f>_xlfn.XLOOKUP(CustomerCombinedCleaned[[#This Row],[ID]], Table4[ID], Table4[Premium], "Not Found", 0)</f>
        <v>0</v>
      </c>
      <c r="Q498" s="16">
        <f>_xlfn.XLOOKUP(CustomerCombinedCleaned[[#This Row],[ID]], Table4[ID], Table4[Regular], "Not Found", 0)</f>
        <v>48</v>
      </c>
      <c r="R498" s="16">
        <f>_xlfn.XLOOKUP(CustomerCombinedCleaned[[#This Row],[ID]], Table4[ID], Table4[Deals], "Not Found", 0)</f>
        <v>1</v>
      </c>
      <c r="S498" s="16">
        <f>_xlfn.XLOOKUP(CustomerCombinedCleaned[[#This Row],[ID]], Table4[ID], Table4[Website], "Not Found", 0)</f>
        <v>0</v>
      </c>
      <c r="T498" s="16">
        <f>_xlfn.XLOOKUP(CustomerCombinedCleaned[[#This Row],[ID]], Table4[ID], Table4[Catalog], "Not Found", 0)</f>
        <v>0</v>
      </c>
      <c r="U498" s="16">
        <f>_xlfn.XLOOKUP(CustomerCombinedCleaned[[#This Row],[ID]], Table4[ID], Table4[Store], "Not Found", 0)</f>
        <v>3</v>
      </c>
      <c r="V498" s="16">
        <f>_xlfn.XLOOKUP(CustomerCombinedCleaned[[#This Row],[ID]], Table4[ID], Table4[Visits], "Not Found", 0)</f>
        <v>4</v>
      </c>
      <c r="W498" s="16">
        <f>_xlfn.XLOOKUP(CustomerCombinedCleaned[[#This Row],[ID]], Table2[ID],Table2[Complaint], "Not Found", 0 )</f>
        <v>0</v>
      </c>
      <c r="X498" s="16">
        <f>_xlfn.XLOOKUP(CustomerCombinedCleaned[[#This Row],[ID]], Table2[ID],Table2[Pilot], "Not Found", 0 )</f>
        <v>0</v>
      </c>
      <c r="Y498" s="16">
        <f>_xlfn.XLOOKUP(CustomerCombinedCleaned[[#This Row],[ID]], Table2[ID],Table2[MC1], "Not Found", 0 )</f>
        <v>0</v>
      </c>
      <c r="Z498" s="16">
        <f>_xlfn.XLOOKUP(CustomerCombinedCleaned[[#This Row],[ID]], Table2[ID],Table2[MC2], "Not Found", 0 )</f>
        <v>0</v>
      </c>
      <c r="AA498" s="16">
        <f>_xlfn.XLOOKUP(CustomerCombinedCleaned[[#This Row],[ID]], Table2[ID],Table2[MC3], "Not Found", 0 )</f>
        <v>0</v>
      </c>
      <c r="AB498" s="16">
        <f>_xlfn.XLOOKUP(CustomerCombinedCleaned[[#This Row],[ID]], Table2[ID],Table2[MC4], "Not Found", 0 )</f>
        <v>0</v>
      </c>
      <c r="AC498" s="16">
        <f>_xlfn.XLOOKUP(CustomerCombinedCleaned[[#This Row],[ID]], Table2[ID],Table2[MC5], "Not Found", 0 )</f>
        <v>0</v>
      </c>
    </row>
    <row r="499" spans="1:29" x14ac:dyDescent="0.3">
      <c r="A499" s="18">
        <v>2469</v>
      </c>
      <c r="B499" s="16">
        <v>157867</v>
      </c>
      <c r="C499" s="16">
        <v>1</v>
      </c>
      <c r="D499" s="16">
        <v>0</v>
      </c>
      <c r="E499" s="16">
        <v>42</v>
      </c>
      <c r="F499" s="17" t="s">
        <v>8</v>
      </c>
      <c r="G499" s="17" t="s">
        <v>11</v>
      </c>
      <c r="H499" s="3" t="s">
        <v>620</v>
      </c>
      <c r="I499" s="5" t="s">
        <v>435</v>
      </c>
      <c r="J499" s="16">
        <f>_xlfn.XLOOKUP(CustomerCombinedCleaned[[#This Row],[ID]], Table4[ID], Table4[Recency], "Not Found", 0)</f>
        <v>48</v>
      </c>
      <c r="K499" s="16">
        <f>_xlfn.XLOOKUP(CustomerCombinedCleaned[[#This Row],[ID]], Table4[ID], Table4[Teas], "Not Found", 0)</f>
        <v>938</v>
      </c>
      <c r="L499" s="16">
        <f>_xlfn.XLOOKUP(CustomerCombinedCleaned[[#This Row],[ID]], Table4[ID], Table4[Fruits], "Not Found", 0)</f>
        <v>95</v>
      </c>
      <c r="M499" s="16">
        <f>_xlfn.XLOOKUP(CustomerCombinedCleaned[[#This Row],[ID]], Table4[ID], Table4[Meats], "Not Found", 0)</f>
        <v>486</v>
      </c>
      <c r="N499" s="16">
        <f>_xlfn.XLOOKUP(CustomerCombinedCleaned[[#This Row],[ID]], Table4[ID], Table4[Seafood], "Not Found", 0)</f>
        <v>41</v>
      </c>
      <c r="O499" s="16">
        <f>_xlfn.XLOOKUP(CustomerCombinedCleaned[[#This Row],[ID]], Table4[ID], Table4[Sweets], "Not Found", 0)</f>
        <v>63</v>
      </c>
      <c r="P499" s="16">
        <f>_xlfn.XLOOKUP(CustomerCombinedCleaned[[#This Row],[ID]], Table4[ID], Table4[Premium], "Not Found", 0)</f>
        <v>46</v>
      </c>
      <c r="Q499" s="16">
        <f>_xlfn.XLOOKUP(CustomerCombinedCleaned[[#This Row],[ID]], Table4[ID], Table4[Regular], "Not Found", 0)</f>
        <v>1577</v>
      </c>
      <c r="R499" s="16">
        <f>_xlfn.XLOOKUP(CustomerCombinedCleaned[[#This Row],[ID]], Table4[ID], Table4[Deals], "Not Found", 0)</f>
        <v>7</v>
      </c>
      <c r="S499" s="16">
        <f>_xlfn.XLOOKUP(CustomerCombinedCleaned[[#This Row],[ID]], Table4[ID], Table4[Website], "Not Found", 0)</f>
        <v>7</v>
      </c>
      <c r="T499" s="16">
        <f>_xlfn.XLOOKUP(CustomerCombinedCleaned[[#This Row],[ID]], Table4[ID], Table4[Catalog], "Not Found", 0)</f>
        <v>2</v>
      </c>
      <c r="U499" s="16">
        <f>_xlfn.XLOOKUP(CustomerCombinedCleaned[[#This Row],[ID]], Table4[ID], Table4[Store], "Not Found", 0)</f>
        <v>9</v>
      </c>
      <c r="V499" s="16">
        <f>_xlfn.XLOOKUP(CustomerCombinedCleaned[[#This Row],[ID]], Table4[ID], Table4[Visits], "Not Found", 0)</f>
        <v>6</v>
      </c>
      <c r="W499" s="16">
        <f>_xlfn.XLOOKUP(CustomerCombinedCleaned[[#This Row],[ID]], Table2[ID],Table2[Complaint], "Not Found", 0 )</f>
        <v>0</v>
      </c>
      <c r="X499" s="16">
        <f>_xlfn.XLOOKUP(CustomerCombinedCleaned[[#This Row],[ID]], Table2[ID],Table2[Pilot], "Not Found", 0 )</f>
        <v>0</v>
      </c>
      <c r="Y499" s="16">
        <f>_xlfn.XLOOKUP(CustomerCombinedCleaned[[#This Row],[ID]], Table2[ID],Table2[MC1], "Not Found", 0 )</f>
        <v>0</v>
      </c>
      <c r="Z499" s="16">
        <f>_xlfn.XLOOKUP(CustomerCombinedCleaned[[#This Row],[ID]], Table2[ID],Table2[MC2], "Not Found", 0 )</f>
        <v>0</v>
      </c>
      <c r="AA499" s="16">
        <f>_xlfn.XLOOKUP(CustomerCombinedCleaned[[#This Row],[ID]], Table2[ID],Table2[MC3], "Not Found", 0 )</f>
        <v>0</v>
      </c>
      <c r="AB499" s="16">
        <f>_xlfn.XLOOKUP(CustomerCombinedCleaned[[#This Row],[ID]], Table2[ID],Table2[MC4], "Not Found", 0 )</f>
        <v>0</v>
      </c>
      <c r="AC499" s="16">
        <f>_xlfn.XLOOKUP(CustomerCombinedCleaned[[#This Row],[ID]], Table2[ID],Table2[MC5], "Not Found", 0 )</f>
        <v>0</v>
      </c>
    </row>
    <row r="500" spans="1:29" x14ac:dyDescent="0.3">
      <c r="A500" s="18">
        <v>2961</v>
      </c>
      <c r="B500" s="16">
        <v>157113</v>
      </c>
      <c r="C500" s="16">
        <v>1</v>
      </c>
      <c r="D500" s="16">
        <v>1</v>
      </c>
      <c r="E500" s="16">
        <v>42</v>
      </c>
      <c r="F500" s="17" t="s">
        <v>6</v>
      </c>
      <c r="G500" s="17" t="s">
        <v>11</v>
      </c>
      <c r="H500" s="3" t="s">
        <v>317</v>
      </c>
      <c r="I500" s="5" t="s">
        <v>435</v>
      </c>
      <c r="J500" s="16">
        <f>_xlfn.XLOOKUP(CustomerCombinedCleaned[[#This Row],[ID]], Table4[ID], Table4[Recency], "Not Found", 0)</f>
        <v>45</v>
      </c>
      <c r="K500" s="16">
        <f>_xlfn.XLOOKUP(CustomerCombinedCleaned[[#This Row],[ID]], Table4[ID], Table4[Teas], "Not Found", 0)</f>
        <v>501</v>
      </c>
      <c r="L500" s="16">
        <f>_xlfn.XLOOKUP(CustomerCombinedCleaned[[#This Row],[ID]], Table4[ID], Table4[Fruits], "Not Found", 0)</f>
        <v>11</v>
      </c>
      <c r="M500" s="16">
        <f>_xlfn.XLOOKUP(CustomerCombinedCleaned[[#This Row],[ID]], Table4[ID], Table4[Meats], "Not Found", 0)</f>
        <v>91</v>
      </c>
      <c r="N500" s="16">
        <f>_xlfn.XLOOKUP(CustomerCombinedCleaned[[#This Row],[ID]], Table4[ID], Table4[Seafood], "Not Found", 0)</f>
        <v>0</v>
      </c>
      <c r="O500" s="16">
        <f>_xlfn.XLOOKUP(CustomerCombinedCleaned[[#This Row],[ID]], Table4[ID], Table4[Sweets], "Not Found", 0)</f>
        <v>6</v>
      </c>
      <c r="P500" s="16">
        <f>_xlfn.XLOOKUP(CustomerCombinedCleaned[[#This Row],[ID]], Table4[ID], Table4[Premium], "Not Found", 0)</f>
        <v>116</v>
      </c>
      <c r="Q500" s="16">
        <f>_xlfn.XLOOKUP(CustomerCombinedCleaned[[#This Row],[ID]], Table4[ID], Table4[Regular], "Not Found", 0)</f>
        <v>492</v>
      </c>
      <c r="R500" s="16">
        <f>_xlfn.XLOOKUP(CustomerCombinedCleaned[[#This Row],[ID]], Table4[ID], Table4[Deals], "Not Found", 0)</f>
        <v>6</v>
      </c>
      <c r="S500" s="16">
        <f>_xlfn.XLOOKUP(CustomerCombinedCleaned[[#This Row],[ID]], Table4[ID], Table4[Website], "Not Found", 0)</f>
        <v>4</v>
      </c>
      <c r="T500" s="16">
        <f>_xlfn.XLOOKUP(CustomerCombinedCleaned[[#This Row],[ID]], Table4[ID], Table4[Catalog], "Not Found", 0)</f>
        <v>1</v>
      </c>
      <c r="U500" s="16">
        <f>_xlfn.XLOOKUP(CustomerCombinedCleaned[[#This Row],[ID]], Table4[ID], Table4[Store], "Not Found", 0)</f>
        <v>5</v>
      </c>
      <c r="V500" s="16">
        <f>_xlfn.XLOOKUP(CustomerCombinedCleaned[[#This Row],[ID]], Table4[ID], Table4[Visits], "Not Found", 0)</f>
        <v>7</v>
      </c>
      <c r="W500" s="16">
        <f>_xlfn.XLOOKUP(CustomerCombinedCleaned[[#This Row],[ID]], Table2[ID],Table2[Complaint], "Not Found", 0 )</f>
        <v>0</v>
      </c>
      <c r="X500" s="16">
        <f>_xlfn.XLOOKUP(CustomerCombinedCleaned[[#This Row],[ID]], Table2[ID],Table2[Pilot], "Not Found", 0 )</f>
        <v>0</v>
      </c>
      <c r="Y500" s="16">
        <f>_xlfn.XLOOKUP(CustomerCombinedCleaned[[#This Row],[ID]], Table2[ID],Table2[MC1], "Not Found", 0 )</f>
        <v>0</v>
      </c>
      <c r="Z500" s="16">
        <f>_xlfn.XLOOKUP(CustomerCombinedCleaned[[#This Row],[ID]], Table2[ID],Table2[MC2], "Not Found", 0 )</f>
        <v>0</v>
      </c>
      <c r="AA500" s="16">
        <f>_xlfn.XLOOKUP(CustomerCombinedCleaned[[#This Row],[ID]], Table2[ID],Table2[MC3], "Not Found", 0 )</f>
        <v>0</v>
      </c>
      <c r="AB500" s="16">
        <f>_xlfn.XLOOKUP(CustomerCombinedCleaned[[#This Row],[ID]], Table2[ID],Table2[MC4], "Not Found", 0 )</f>
        <v>0</v>
      </c>
      <c r="AC500" s="16">
        <f>_xlfn.XLOOKUP(CustomerCombinedCleaned[[#This Row],[ID]], Table2[ID],Table2[MC5], "Not Found", 0 )</f>
        <v>0</v>
      </c>
    </row>
    <row r="501" spans="1:29" x14ac:dyDescent="0.3">
      <c r="A501" s="18">
        <v>1480</v>
      </c>
      <c r="B501" s="16">
        <v>155563</v>
      </c>
      <c r="C501" s="16">
        <v>0</v>
      </c>
      <c r="D501" s="16">
        <v>1</v>
      </c>
      <c r="E501" s="16">
        <v>42</v>
      </c>
      <c r="F501" s="17" t="s">
        <v>5</v>
      </c>
      <c r="G501" s="17" t="s">
        <v>11</v>
      </c>
      <c r="H501" s="3" t="s">
        <v>563</v>
      </c>
      <c r="I501" s="5" t="s">
        <v>439</v>
      </c>
      <c r="J501" s="16">
        <f>_xlfn.XLOOKUP(CustomerCombinedCleaned[[#This Row],[ID]], Table4[ID], Table4[Recency], "Not Found", 0)</f>
        <v>22</v>
      </c>
      <c r="K501" s="16">
        <f>_xlfn.XLOOKUP(CustomerCombinedCleaned[[#This Row],[ID]], Table4[ID], Table4[Teas], "Not Found", 0)</f>
        <v>81</v>
      </c>
      <c r="L501" s="16">
        <f>_xlfn.XLOOKUP(CustomerCombinedCleaned[[#This Row],[ID]], Table4[ID], Table4[Fruits], "Not Found", 0)</f>
        <v>3</v>
      </c>
      <c r="M501" s="16">
        <f>_xlfn.XLOOKUP(CustomerCombinedCleaned[[#This Row],[ID]], Table4[ID], Table4[Meats], "Not Found", 0)</f>
        <v>25</v>
      </c>
      <c r="N501" s="16">
        <f>_xlfn.XLOOKUP(CustomerCombinedCleaned[[#This Row],[ID]], Table4[ID], Table4[Seafood], "Not Found", 0)</f>
        <v>6</v>
      </c>
      <c r="O501" s="16">
        <f>_xlfn.XLOOKUP(CustomerCombinedCleaned[[#This Row],[ID]], Table4[ID], Table4[Sweets], "Not Found", 0)</f>
        <v>0</v>
      </c>
      <c r="P501" s="16">
        <f>_xlfn.XLOOKUP(CustomerCombinedCleaned[[#This Row],[ID]], Table4[ID], Table4[Premium], "Not Found", 0)</f>
        <v>6</v>
      </c>
      <c r="Q501" s="16">
        <f>_xlfn.XLOOKUP(CustomerCombinedCleaned[[#This Row],[ID]], Table4[ID], Table4[Regular], "Not Found", 0)</f>
        <v>109</v>
      </c>
      <c r="R501" s="16">
        <f>_xlfn.XLOOKUP(CustomerCombinedCleaned[[#This Row],[ID]], Table4[ID], Table4[Deals], "Not Found", 0)</f>
        <v>1</v>
      </c>
      <c r="S501" s="16">
        <f>_xlfn.XLOOKUP(CustomerCombinedCleaned[[#This Row],[ID]], Table4[ID], Table4[Website], "Not Found", 0)</f>
        <v>2</v>
      </c>
      <c r="T501" s="16">
        <f>_xlfn.XLOOKUP(CustomerCombinedCleaned[[#This Row],[ID]], Table4[ID], Table4[Catalog], "Not Found", 0)</f>
        <v>0</v>
      </c>
      <c r="U501" s="16">
        <f>_xlfn.XLOOKUP(CustomerCombinedCleaned[[#This Row],[ID]], Table4[ID], Table4[Store], "Not Found", 0)</f>
        <v>3</v>
      </c>
      <c r="V501" s="16">
        <f>_xlfn.XLOOKUP(CustomerCombinedCleaned[[#This Row],[ID]], Table4[ID], Table4[Visits], "Not Found", 0)</f>
        <v>3</v>
      </c>
      <c r="W501" s="16">
        <f>_xlfn.XLOOKUP(CustomerCombinedCleaned[[#This Row],[ID]], Table2[ID],Table2[Complaint], "Not Found", 0 )</f>
        <v>0</v>
      </c>
      <c r="X501" s="16">
        <f>_xlfn.XLOOKUP(CustomerCombinedCleaned[[#This Row],[ID]], Table2[ID],Table2[Pilot], "Not Found", 0 )</f>
        <v>0</v>
      </c>
      <c r="Y501" s="16">
        <f>_xlfn.XLOOKUP(CustomerCombinedCleaned[[#This Row],[ID]], Table2[ID],Table2[MC1], "Not Found", 0 )</f>
        <v>0</v>
      </c>
      <c r="Z501" s="16">
        <f>_xlfn.XLOOKUP(CustomerCombinedCleaned[[#This Row],[ID]], Table2[ID],Table2[MC2], "Not Found", 0 )</f>
        <v>0</v>
      </c>
      <c r="AA501" s="16">
        <f>_xlfn.XLOOKUP(CustomerCombinedCleaned[[#This Row],[ID]], Table2[ID],Table2[MC3], "Not Found", 0 )</f>
        <v>0</v>
      </c>
      <c r="AB501" s="16">
        <f>_xlfn.XLOOKUP(CustomerCombinedCleaned[[#This Row],[ID]], Table2[ID],Table2[MC4], "Not Found", 0 )</f>
        <v>0</v>
      </c>
      <c r="AC501" s="16">
        <f>_xlfn.XLOOKUP(CustomerCombinedCleaned[[#This Row],[ID]], Table2[ID],Table2[MC5], "Not Found", 0 )</f>
        <v>0</v>
      </c>
    </row>
    <row r="502" spans="1:29" x14ac:dyDescent="0.3">
      <c r="A502" s="18">
        <v>1540</v>
      </c>
      <c r="B502" s="16">
        <v>154880</v>
      </c>
      <c r="C502" s="16">
        <v>1</v>
      </c>
      <c r="D502" s="16">
        <v>0</v>
      </c>
      <c r="E502" s="16">
        <v>42</v>
      </c>
      <c r="F502" s="17" t="s">
        <v>7</v>
      </c>
      <c r="G502" s="17" t="s">
        <v>13</v>
      </c>
      <c r="H502" s="3" t="s">
        <v>595</v>
      </c>
      <c r="I502" s="5" t="s">
        <v>439</v>
      </c>
      <c r="J502" s="16">
        <f>_xlfn.XLOOKUP(CustomerCombinedCleaned[[#This Row],[ID]], Table4[ID], Table4[Recency], "Not Found", 0)</f>
        <v>57</v>
      </c>
      <c r="K502" s="16">
        <f>_xlfn.XLOOKUP(CustomerCombinedCleaned[[#This Row],[ID]], Table4[ID], Table4[Teas], "Not Found", 0)</f>
        <v>869</v>
      </c>
      <c r="L502" s="16">
        <f>_xlfn.XLOOKUP(CustomerCombinedCleaned[[#This Row],[ID]], Table4[ID], Table4[Fruits], "Not Found", 0)</f>
        <v>240</v>
      </c>
      <c r="M502" s="16">
        <f>_xlfn.XLOOKUP(CustomerCombinedCleaned[[#This Row],[ID]], Table4[ID], Table4[Meats], "Not Found", 0)</f>
        <v>387</v>
      </c>
      <c r="N502" s="16">
        <f>_xlfn.XLOOKUP(CustomerCombinedCleaned[[#This Row],[ID]], Table4[ID], Table4[Seafood], "Not Found", 0)</f>
        <v>288</v>
      </c>
      <c r="O502" s="16">
        <f>_xlfn.XLOOKUP(CustomerCombinedCleaned[[#This Row],[ID]], Table4[ID], Table4[Sweets], "Not Found", 0)</f>
        <v>127</v>
      </c>
      <c r="P502" s="16">
        <f>_xlfn.XLOOKUP(CustomerCombinedCleaned[[#This Row],[ID]], Table4[ID], Table4[Premium], "Not Found", 0)</f>
        <v>333</v>
      </c>
      <c r="Q502" s="16">
        <f>_xlfn.XLOOKUP(CustomerCombinedCleaned[[#This Row],[ID]], Table4[ID], Table4[Regular], "Not Found", 0)</f>
        <v>1578</v>
      </c>
      <c r="R502" s="16">
        <f>_xlfn.XLOOKUP(CustomerCombinedCleaned[[#This Row],[ID]], Table4[ID], Table4[Deals], "Not Found", 0)</f>
        <v>2</v>
      </c>
      <c r="S502" s="16">
        <f>_xlfn.XLOOKUP(CustomerCombinedCleaned[[#This Row],[ID]], Table4[ID], Table4[Website], "Not Found", 0)</f>
        <v>6</v>
      </c>
      <c r="T502" s="16">
        <f>_xlfn.XLOOKUP(CustomerCombinedCleaned[[#This Row],[ID]], Table4[ID], Table4[Catalog], "Not Found", 0)</f>
        <v>2</v>
      </c>
      <c r="U502" s="16">
        <f>_xlfn.XLOOKUP(CustomerCombinedCleaned[[#This Row],[ID]], Table4[ID], Table4[Store], "Not Found", 0)</f>
        <v>11</v>
      </c>
      <c r="V502" s="16">
        <f>_xlfn.XLOOKUP(CustomerCombinedCleaned[[#This Row],[ID]], Table4[ID], Table4[Visits], "Not Found", 0)</f>
        <v>5</v>
      </c>
      <c r="W502" s="16">
        <f>_xlfn.XLOOKUP(CustomerCombinedCleaned[[#This Row],[ID]], Table2[ID],Table2[Complaint], "Not Found", 0 )</f>
        <v>0</v>
      </c>
      <c r="X502" s="16">
        <f>_xlfn.XLOOKUP(CustomerCombinedCleaned[[#This Row],[ID]], Table2[ID],Table2[Pilot], "Not Found", 0 )</f>
        <v>0</v>
      </c>
      <c r="Y502" s="16">
        <f>_xlfn.XLOOKUP(CustomerCombinedCleaned[[#This Row],[ID]], Table2[ID],Table2[MC1], "Not Found", 0 )</f>
        <v>0</v>
      </c>
      <c r="Z502" s="16">
        <f>_xlfn.XLOOKUP(CustomerCombinedCleaned[[#This Row],[ID]], Table2[ID],Table2[MC2], "Not Found", 0 )</f>
        <v>0</v>
      </c>
      <c r="AA502" s="16">
        <f>_xlfn.XLOOKUP(CustomerCombinedCleaned[[#This Row],[ID]], Table2[ID],Table2[MC3], "Not Found", 0 )</f>
        <v>0</v>
      </c>
      <c r="AB502" s="16">
        <f>_xlfn.XLOOKUP(CustomerCombinedCleaned[[#This Row],[ID]], Table2[ID],Table2[MC4], "Not Found", 0 )</f>
        <v>0</v>
      </c>
      <c r="AC502" s="16">
        <f>_xlfn.XLOOKUP(CustomerCombinedCleaned[[#This Row],[ID]], Table2[ID],Table2[MC5], "Not Found", 0 )</f>
        <v>0</v>
      </c>
    </row>
    <row r="503" spans="1:29" x14ac:dyDescent="0.3">
      <c r="A503" s="18">
        <v>1601</v>
      </c>
      <c r="B503" s="16">
        <v>154162</v>
      </c>
      <c r="C503" s="16">
        <v>1</v>
      </c>
      <c r="D503" s="16">
        <v>1</v>
      </c>
      <c r="E503" s="16">
        <v>42</v>
      </c>
      <c r="F503" s="17" t="s">
        <v>9</v>
      </c>
      <c r="G503" s="17" t="s">
        <v>11</v>
      </c>
      <c r="H503" s="3" t="s">
        <v>290</v>
      </c>
      <c r="I503" s="5" t="s">
        <v>434</v>
      </c>
      <c r="J503" s="16">
        <f>_xlfn.XLOOKUP(CustomerCombinedCleaned[[#This Row],[ID]], Table4[ID], Table4[Recency], "Not Found", 0)</f>
        <v>31</v>
      </c>
      <c r="K503" s="16">
        <f>_xlfn.XLOOKUP(CustomerCombinedCleaned[[#This Row],[ID]], Table4[ID], Table4[Teas], "Not Found", 0)</f>
        <v>14</v>
      </c>
      <c r="L503" s="16">
        <f>_xlfn.XLOOKUP(CustomerCombinedCleaned[[#This Row],[ID]], Table4[ID], Table4[Fruits], "Not Found", 0)</f>
        <v>17</v>
      </c>
      <c r="M503" s="16">
        <f>_xlfn.XLOOKUP(CustomerCombinedCleaned[[#This Row],[ID]], Table4[ID], Table4[Meats], "Not Found", 0)</f>
        <v>28</v>
      </c>
      <c r="N503" s="16">
        <f>_xlfn.XLOOKUP(CustomerCombinedCleaned[[#This Row],[ID]], Table4[ID], Table4[Seafood], "Not Found", 0)</f>
        <v>17</v>
      </c>
      <c r="O503" s="16">
        <f>_xlfn.XLOOKUP(CustomerCombinedCleaned[[#This Row],[ID]], Table4[ID], Table4[Sweets], "Not Found", 0)</f>
        <v>14</v>
      </c>
      <c r="P503" s="16">
        <f>_xlfn.XLOOKUP(CustomerCombinedCleaned[[#This Row],[ID]], Table4[ID], Table4[Premium], "Not Found", 0)</f>
        <v>28</v>
      </c>
      <c r="Q503" s="16">
        <f>_xlfn.XLOOKUP(CustomerCombinedCleaned[[#This Row],[ID]], Table4[ID], Table4[Regular], "Not Found", 0)</f>
        <v>63</v>
      </c>
      <c r="R503" s="16">
        <f>_xlfn.XLOOKUP(CustomerCombinedCleaned[[#This Row],[ID]], Table4[ID], Table4[Deals], "Not Found", 0)</f>
        <v>1</v>
      </c>
      <c r="S503" s="16">
        <f>_xlfn.XLOOKUP(CustomerCombinedCleaned[[#This Row],[ID]], Table4[ID], Table4[Website], "Not Found", 0)</f>
        <v>1</v>
      </c>
      <c r="T503" s="16">
        <f>_xlfn.XLOOKUP(CustomerCombinedCleaned[[#This Row],[ID]], Table4[ID], Table4[Catalog], "Not Found", 0)</f>
        <v>0</v>
      </c>
      <c r="U503" s="16">
        <f>_xlfn.XLOOKUP(CustomerCombinedCleaned[[#This Row],[ID]], Table4[ID], Table4[Store], "Not Found", 0)</f>
        <v>3</v>
      </c>
      <c r="V503" s="16">
        <f>_xlfn.XLOOKUP(CustomerCombinedCleaned[[#This Row],[ID]], Table4[ID], Table4[Visits], "Not Found", 0)</f>
        <v>4</v>
      </c>
      <c r="W503" s="16">
        <f>_xlfn.XLOOKUP(CustomerCombinedCleaned[[#This Row],[ID]], Table2[ID],Table2[Complaint], "Not Found", 0 )</f>
        <v>0</v>
      </c>
      <c r="X503" s="16">
        <f>_xlfn.XLOOKUP(CustomerCombinedCleaned[[#This Row],[ID]], Table2[ID],Table2[Pilot], "Not Found", 0 )</f>
        <v>0</v>
      </c>
      <c r="Y503" s="16">
        <f>_xlfn.XLOOKUP(CustomerCombinedCleaned[[#This Row],[ID]], Table2[ID],Table2[MC1], "Not Found", 0 )</f>
        <v>0</v>
      </c>
      <c r="Z503" s="16">
        <f>_xlfn.XLOOKUP(CustomerCombinedCleaned[[#This Row],[ID]], Table2[ID],Table2[MC2], "Not Found", 0 )</f>
        <v>0</v>
      </c>
      <c r="AA503" s="16">
        <f>_xlfn.XLOOKUP(CustomerCombinedCleaned[[#This Row],[ID]], Table2[ID],Table2[MC3], "Not Found", 0 )</f>
        <v>0</v>
      </c>
      <c r="AB503" s="16">
        <f>_xlfn.XLOOKUP(CustomerCombinedCleaned[[#This Row],[ID]], Table2[ID],Table2[MC4], "Not Found", 0 )</f>
        <v>0</v>
      </c>
      <c r="AC503" s="16">
        <f>_xlfn.XLOOKUP(CustomerCombinedCleaned[[#This Row],[ID]], Table2[ID],Table2[MC5], "Not Found", 0 )</f>
        <v>0</v>
      </c>
    </row>
    <row r="504" spans="1:29" x14ac:dyDescent="0.3">
      <c r="A504" s="18">
        <v>1849</v>
      </c>
      <c r="B504" s="16">
        <v>153172</v>
      </c>
      <c r="C504" s="16">
        <v>0</v>
      </c>
      <c r="D504" s="16">
        <v>1</v>
      </c>
      <c r="E504" s="16">
        <v>42</v>
      </c>
      <c r="F504" s="17" t="s">
        <v>8</v>
      </c>
      <c r="G504" s="17" t="s">
        <v>11</v>
      </c>
      <c r="H504" s="3" t="s">
        <v>635</v>
      </c>
      <c r="I504" s="5" t="s">
        <v>437</v>
      </c>
      <c r="J504" s="16">
        <f>_xlfn.XLOOKUP(CustomerCombinedCleaned[[#This Row],[ID]], Table4[ID], Table4[Recency], "Not Found", 0)</f>
        <v>54</v>
      </c>
      <c r="K504" s="16">
        <f>_xlfn.XLOOKUP(CustomerCombinedCleaned[[#This Row],[ID]], Table4[ID], Table4[Teas], "Not Found", 0)</f>
        <v>349</v>
      </c>
      <c r="L504" s="16">
        <f>_xlfn.XLOOKUP(CustomerCombinedCleaned[[#This Row],[ID]], Table4[ID], Table4[Fruits], "Not Found", 0)</f>
        <v>179</v>
      </c>
      <c r="M504" s="16">
        <f>_xlfn.XLOOKUP(CustomerCombinedCleaned[[#This Row],[ID]], Table4[ID], Table4[Meats], "Not Found", 0)</f>
        <v>259</v>
      </c>
      <c r="N504" s="16">
        <f>_xlfn.XLOOKUP(CustomerCombinedCleaned[[#This Row],[ID]], Table4[ID], Table4[Seafood], "Not Found", 0)</f>
        <v>196</v>
      </c>
      <c r="O504" s="16">
        <f>_xlfn.XLOOKUP(CustomerCombinedCleaned[[#This Row],[ID]], Table4[ID], Table4[Sweets], "Not Found", 0)</f>
        <v>58</v>
      </c>
      <c r="P504" s="16">
        <f>_xlfn.XLOOKUP(CustomerCombinedCleaned[[#This Row],[ID]], Table4[ID], Table4[Premium], "Not Found", 0)</f>
        <v>360</v>
      </c>
      <c r="Q504" s="16">
        <f>_xlfn.XLOOKUP(CustomerCombinedCleaned[[#This Row],[ID]], Table4[ID], Table4[Regular], "Not Found", 0)</f>
        <v>680</v>
      </c>
      <c r="R504" s="16">
        <f>_xlfn.XLOOKUP(CustomerCombinedCleaned[[#This Row],[ID]], Table4[ID], Table4[Deals], "Not Found", 0)</f>
        <v>3</v>
      </c>
      <c r="S504" s="16">
        <f>_xlfn.XLOOKUP(CustomerCombinedCleaned[[#This Row],[ID]], Table4[ID], Table4[Website], "Not Found", 0)</f>
        <v>2</v>
      </c>
      <c r="T504" s="16">
        <f>_xlfn.XLOOKUP(CustomerCombinedCleaned[[#This Row],[ID]], Table4[ID], Table4[Catalog], "Not Found", 0)</f>
        <v>3</v>
      </c>
      <c r="U504" s="16">
        <f>_xlfn.XLOOKUP(CustomerCombinedCleaned[[#This Row],[ID]], Table4[ID], Table4[Store], "Not Found", 0)</f>
        <v>8</v>
      </c>
      <c r="V504" s="16">
        <f>_xlfn.XLOOKUP(CustomerCombinedCleaned[[#This Row],[ID]], Table4[ID], Table4[Visits], "Not Found", 0)</f>
        <v>3</v>
      </c>
      <c r="W504" s="16">
        <f>_xlfn.XLOOKUP(CustomerCombinedCleaned[[#This Row],[ID]], Table2[ID],Table2[Complaint], "Not Found", 0 )</f>
        <v>0</v>
      </c>
      <c r="X504" s="16">
        <f>_xlfn.XLOOKUP(CustomerCombinedCleaned[[#This Row],[ID]], Table2[ID],Table2[Pilot], "Not Found", 0 )</f>
        <v>0</v>
      </c>
      <c r="Y504" s="16">
        <f>_xlfn.XLOOKUP(CustomerCombinedCleaned[[#This Row],[ID]], Table2[ID],Table2[MC1], "Not Found", 0 )</f>
        <v>0</v>
      </c>
      <c r="Z504" s="16">
        <f>_xlfn.XLOOKUP(CustomerCombinedCleaned[[#This Row],[ID]], Table2[ID],Table2[MC2], "Not Found", 0 )</f>
        <v>0</v>
      </c>
      <c r="AA504" s="16">
        <f>_xlfn.XLOOKUP(CustomerCombinedCleaned[[#This Row],[ID]], Table2[ID],Table2[MC3], "Not Found", 0 )</f>
        <v>0</v>
      </c>
      <c r="AB504" s="16">
        <f>_xlfn.XLOOKUP(CustomerCombinedCleaned[[#This Row],[ID]], Table2[ID],Table2[MC4], "Not Found", 0 )</f>
        <v>0</v>
      </c>
      <c r="AC504" s="16">
        <f>_xlfn.XLOOKUP(CustomerCombinedCleaned[[#This Row],[ID]], Table2[ID],Table2[MC5], "Not Found", 0 )</f>
        <v>0</v>
      </c>
    </row>
    <row r="505" spans="1:29" x14ac:dyDescent="0.3">
      <c r="A505" s="18">
        <v>2799</v>
      </c>
      <c r="B505" s="16">
        <v>152513</v>
      </c>
      <c r="C505" s="16">
        <v>0</v>
      </c>
      <c r="D505" s="16">
        <v>0</v>
      </c>
      <c r="E505" s="16">
        <v>42</v>
      </c>
      <c r="F505" s="17" t="s">
        <v>8</v>
      </c>
      <c r="G505" s="17" t="s">
        <v>11</v>
      </c>
      <c r="H505" s="3" t="s">
        <v>640</v>
      </c>
      <c r="I505" s="5" t="s">
        <v>435</v>
      </c>
      <c r="J505" s="16">
        <f>_xlfn.XLOOKUP(CustomerCombinedCleaned[[#This Row],[ID]], Table4[ID], Table4[Recency], "Not Found", 0)</f>
        <v>84</v>
      </c>
      <c r="K505" s="16">
        <f>_xlfn.XLOOKUP(CustomerCombinedCleaned[[#This Row],[ID]], Table4[ID], Table4[Teas], "Not Found", 0)</f>
        <v>1066</v>
      </c>
      <c r="L505" s="16">
        <f>_xlfn.XLOOKUP(CustomerCombinedCleaned[[#This Row],[ID]], Table4[ID], Table4[Fruits], "Not Found", 0)</f>
        <v>49</v>
      </c>
      <c r="M505" s="16">
        <f>_xlfn.XLOOKUP(CustomerCombinedCleaned[[#This Row],[ID]], Table4[ID], Table4[Meats], "Not Found", 0)</f>
        <v>700</v>
      </c>
      <c r="N505" s="16">
        <f>_xlfn.XLOOKUP(CustomerCombinedCleaned[[#This Row],[ID]], Table4[ID], Table4[Seafood], "Not Found", 0)</f>
        <v>302</v>
      </c>
      <c r="O505" s="16">
        <f>_xlfn.XLOOKUP(CustomerCombinedCleaned[[#This Row],[ID]], Table4[ID], Table4[Sweets], "Not Found", 0)</f>
        <v>546</v>
      </c>
      <c r="P505" s="16">
        <f>_xlfn.XLOOKUP(CustomerCombinedCleaned[[#This Row],[ID]], Table4[ID], Table4[Premium], "Not Found", 0)</f>
        <v>674</v>
      </c>
      <c r="Q505" s="16">
        <f>_xlfn.XLOOKUP(CustomerCombinedCleaned[[#This Row],[ID]], Table4[ID], Table4[Regular], "Not Found", 0)</f>
        <v>1989</v>
      </c>
      <c r="R505" s="16">
        <f>_xlfn.XLOOKUP(CustomerCombinedCleaned[[#This Row],[ID]], Table4[ID], Table4[Deals], "Not Found", 0)</f>
        <v>2</v>
      </c>
      <c r="S505" s="16">
        <f>_xlfn.XLOOKUP(CustomerCombinedCleaned[[#This Row],[ID]], Table4[ID], Table4[Website], "Not Found", 0)</f>
        <v>9</v>
      </c>
      <c r="T505" s="16">
        <f>_xlfn.XLOOKUP(CustomerCombinedCleaned[[#This Row],[ID]], Table4[ID], Table4[Catalog], "Not Found", 0)</f>
        <v>5</v>
      </c>
      <c r="U505" s="16">
        <f>_xlfn.XLOOKUP(CustomerCombinedCleaned[[#This Row],[ID]], Table4[ID], Table4[Store], "Not Found", 0)</f>
        <v>9</v>
      </c>
      <c r="V505" s="16">
        <f>_xlfn.XLOOKUP(CustomerCombinedCleaned[[#This Row],[ID]], Table4[ID], Table4[Visits], "Not Found", 0)</f>
        <v>7</v>
      </c>
      <c r="W505" s="16">
        <f>_xlfn.XLOOKUP(CustomerCombinedCleaned[[#This Row],[ID]], Table2[ID],Table2[Complaint], "Not Found", 0 )</f>
        <v>0</v>
      </c>
      <c r="X505" s="16">
        <f>_xlfn.XLOOKUP(CustomerCombinedCleaned[[#This Row],[ID]], Table2[ID],Table2[Pilot], "Not Found", 0 )</f>
        <v>0</v>
      </c>
      <c r="Y505" s="16">
        <f>_xlfn.XLOOKUP(CustomerCombinedCleaned[[#This Row],[ID]], Table2[ID],Table2[MC1], "Not Found", 0 )</f>
        <v>0</v>
      </c>
      <c r="Z505" s="16">
        <f>_xlfn.XLOOKUP(CustomerCombinedCleaned[[#This Row],[ID]], Table2[ID],Table2[MC2], "Not Found", 0 )</f>
        <v>0</v>
      </c>
      <c r="AA505" s="16">
        <f>_xlfn.XLOOKUP(CustomerCombinedCleaned[[#This Row],[ID]], Table2[ID],Table2[MC3], "Not Found", 0 )</f>
        <v>0</v>
      </c>
      <c r="AB505" s="16">
        <f>_xlfn.XLOOKUP(CustomerCombinedCleaned[[#This Row],[ID]], Table2[ID],Table2[MC4], "Not Found", 0 )</f>
        <v>0</v>
      </c>
      <c r="AC505" s="16">
        <f>_xlfn.XLOOKUP(CustomerCombinedCleaned[[#This Row],[ID]], Table2[ID],Table2[MC5], "Not Found", 0 )</f>
        <v>0</v>
      </c>
    </row>
    <row r="506" spans="1:29" x14ac:dyDescent="0.3">
      <c r="A506" s="18">
        <v>1204</v>
      </c>
      <c r="B506" s="16">
        <v>152195</v>
      </c>
      <c r="C506" s="16">
        <v>2</v>
      </c>
      <c r="D506" s="16">
        <v>1</v>
      </c>
      <c r="E506" s="16">
        <v>42</v>
      </c>
      <c r="F506" s="17" t="s">
        <v>7</v>
      </c>
      <c r="G506" s="17" t="s">
        <v>11</v>
      </c>
      <c r="H506" s="3" t="s">
        <v>52</v>
      </c>
      <c r="I506" s="5" t="s">
        <v>439</v>
      </c>
      <c r="J506" s="16">
        <f>_xlfn.XLOOKUP(CustomerCombinedCleaned[[#This Row],[ID]], Table4[ID], Table4[Recency], "Not Found", 0)</f>
        <v>2</v>
      </c>
      <c r="K506" s="16">
        <f>_xlfn.XLOOKUP(CustomerCombinedCleaned[[#This Row],[ID]], Table4[ID], Table4[Teas], "Not Found", 0)</f>
        <v>35</v>
      </c>
      <c r="L506" s="16">
        <f>_xlfn.XLOOKUP(CustomerCombinedCleaned[[#This Row],[ID]], Table4[ID], Table4[Fruits], "Not Found", 0)</f>
        <v>0</v>
      </c>
      <c r="M506" s="16">
        <f>_xlfn.XLOOKUP(CustomerCombinedCleaned[[#This Row],[ID]], Table4[ID], Table4[Meats], "Not Found", 0)</f>
        <v>12</v>
      </c>
      <c r="N506" s="16">
        <f>_xlfn.XLOOKUP(CustomerCombinedCleaned[[#This Row],[ID]], Table4[ID], Table4[Seafood], "Not Found", 0)</f>
        <v>0</v>
      </c>
      <c r="O506" s="16">
        <f>_xlfn.XLOOKUP(CustomerCombinedCleaned[[#This Row],[ID]], Table4[ID], Table4[Sweets], "Not Found", 0)</f>
        <v>0</v>
      </c>
      <c r="P506" s="16">
        <f>_xlfn.XLOOKUP(CustomerCombinedCleaned[[#This Row],[ID]], Table4[ID], Table4[Premium], "Not Found", 0)</f>
        <v>3</v>
      </c>
      <c r="Q506" s="16">
        <f>_xlfn.XLOOKUP(CustomerCombinedCleaned[[#This Row],[ID]], Table4[ID], Table4[Regular], "Not Found", 0)</f>
        <v>44</v>
      </c>
      <c r="R506" s="16">
        <f>_xlfn.XLOOKUP(CustomerCombinedCleaned[[#This Row],[ID]], Table4[ID], Table4[Deals], "Not Found", 0)</f>
        <v>1</v>
      </c>
      <c r="S506" s="16">
        <f>_xlfn.XLOOKUP(CustomerCombinedCleaned[[#This Row],[ID]], Table4[ID], Table4[Website], "Not Found", 0)</f>
        <v>1</v>
      </c>
      <c r="T506" s="16">
        <f>_xlfn.XLOOKUP(CustomerCombinedCleaned[[#This Row],[ID]], Table4[ID], Table4[Catalog], "Not Found", 0)</f>
        <v>0</v>
      </c>
      <c r="U506" s="16">
        <f>_xlfn.XLOOKUP(CustomerCombinedCleaned[[#This Row],[ID]], Table4[ID], Table4[Store], "Not Found", 0)</f>
        <v>2</v>
      </c>
      <c r="V506" s="16">
        <f>_xlfn.XLOOKUP(CustomerCombinedCleaned[[#This Row],[ID]], Table4[ID], Table4[Visits], "Not Found", 0)</f>
        <v>8</v>
      </c>
      <c r="W506" s="16">
        <f>_xlfn.XLOOKUP(CustomerCombinedCleaned[[#This Row],[ID]], Table2[ID],Table2[Complaint], "Not Found", 0 )</f>
        <v>0</v>
      </c>
      <c r="X506" s="16">
        <f>_xlfn.XLOOKUP(CustomerCombinedCleaned[[#This Row],[ID]], Table2[ID],Table2[Pilot], "Not Found", 0 )</f>
        <v>0</v>
      </c>
      <c r="Y506" s="16">
        <f>_xlfn.XLOOKUP(CustomerCombinedCleaned[[#This Row],[ID]], Table2[ID],Table2[MC1], "Not Found", 0 )</f>
        <v>0</v>
      </c>
      <c r="Z506" s="16">
        <f>_xlfn.XLOOKUP(CustomerCombinedCleaned[[#This Row],[ID]], Table2[ID],Table2[MC2], "Not Found", 0 )</f>
        <v>0</v>
      </c>
      <c r="AA506" s="16">
        <f>_xlfn.XLOOKUP(CustomerCombinedCleaned[[#This Row],[ID]], Table2[ID],Table2[MC3], "Not Found", 0 )</f>
        <v>0</v>
      </c>
      <c r="AB506" s="16">
        <f>_xlfn.XLOOKUP(CustomerCombinedCleaned[[#This Row],[ID]], Table2[ID],Table2[MC4], "Not Found", 0 )</f>
        <v>0</v>
      </c>
      <c r="AC506" s="16">
        <f>_xlfn.XLOOKUP(CustomerCombinedCleaned[[#This Row],[ID]], Table2[ID],Table2[MC5], "Not Found", 0 )</f>
        <v>0</v>
      </c>
    </row>
    <row r="507" spans="1:29" x14ac:dyDescent="0.3">
      <c r="A507" s="18">
        <v>1774</v>
      </c>
      <c r="B507" s="16">
        <v>151267</v>
      </c>
      <c r="C507" s="16">
        <v>1</v>
      </c>
      <c r="D507" s="16">
        <v>1</v>
      </c>
      <c r="E507" s="16">
        <v>42</v>
      </c>
      <c r="F507" s="17" t="s">
        <v>6</v>
      </c>
      <c r="G507" s="17" t="s">
        <v>11</v>
      </c>
      <c r="H507" s="3" t="s">
        <v>652</v>
      </c>
      <c r="I507" s="5" t="s">
        <v>439</v>
      </c>
      <c r="J507" s="16">
        <f>_xlfn.XLOOKUP(CustomerCombinedCleaned[[#This Row],[ID]], Table4[ID], Table4[Recency], "Not Found", 0)</f>
        <v>37</v>
      </c>
      <c r="K507" s="16">
        <f>_xlfn.XLOOKUP(CustomerCombinedCleaned[[#This Row],[ID]], Table4[ID], Table4[Teas], "Not Found", 0)</f>
        <v>540</v>
      </c>
      <c r="L507" s="16">
        <f>_xlfn.XLOOKUP(CustomerCombinedCleaned[[#This Row],[ID]], Table4[ID], Table4[Fruits], "Not Found", 0)</f>
        <v>6</v>
      </c>
      <c r="M507" s="16">
        <f>_xlfn.XLOOKUP(CustomerCombinedCleaned[[#This Row],[ID]], Table4[ID], Table4[Meats], "Not Found", 0)</f>
        <v>189</v>
      </c>
      <c r="N507" s="16">
        <f>_xlfn.XLOOKUP(CustomerCombinedCleaned[[#This Row],[ID]], Table4[ID], Table4[Seafood], "Not Found", 0)</f>
        <v>21</v>
      </c>
      <c r="O507" s="16">
        <f>_xlfn.XLOOKUP(CustomerCombinedCleaned[[#This Row],[ID]], Table4[ID], Table4[Sweets], "Not Found", 0)</f>
        <v>6</v>
      </c>
      <c r="P507" s="16">
        <f>_xlfn.XLOOKUP(CustomerCombinedCleaned[[#This Row],[ID]], Table4[ID], Table4[Premium], "Not Found", 0)</f>
        <v>35</v>
      </c>
      <c r="Q507" s="16">
        <f>_xlfn.XLOOKUP(CustomerCombinedCleaned[[#This Row],[ID]], Table4[ID], Table4[Regular], "Not Found", 0)</f>
        <v>726</v>
      </c>
      <c r="R507" s="16">
        <f>_xlfn.XLOOKUP(CustomerCombinedCleaned[[#This Row],[ID]], Table4[ID], Table4[Deals], "Not Found", 0)</f>
        <v>4</v>
      </c>
      <c r="S507" s="16">
        <f>_xlfn.XLOOKUP(CustomerCombinedCleaned[[#This Row],[ID]], Table4[ID], Table4[Website], "Not Found", 0)</f>
        <v>3</v>
      </c>
      <c r="T507" s="16">
        <f>_xlfn.XLOOKUP(CustomerCombinedCleaned[[#This Row],[ID]], Table4[ID], Table4[Catalog], "Not Found", 0)</f>
        <v>3</v>
      </c>
      <c r="U507" s="16">
        <f>_xlfn.XLOOKUP(CustomerCombinedCleaned[[#This Row],[ID]], Table4[ID], Table4[Store], "Not Found", 0)</f>
        <v>5</v>
      </c>
      <c r="V507" s="16">
        <f>_xlfn.XLOOKUP(CustomerCombinedCleaned[[#This Row],[ID]], Table4[ID], Table4[Visits], "Not Found", 0)</f>
        <v>4</v>
      </c>
      <c r="W507" s="16">
        <f>_xlfn.XLOOKUP(CustomerCombinedCleaned[[#This Row],[ID]], Table2[ID],Table2[Complaint], "Not Found", 0 )</f>
        <v>0</v>
      </c>
      <c r="X507" s="16">
        <f>_xlfn.XLOOKUP(CustomerCombinedCleaned[[#This Row],[ID]], Table2[ID],Table2[Pilot], "Not Found", 0 )</f>
        <v>0</v>
      </c>
      <c r="Y507" s="16">
        <f>_xlfn.XLOOKUP(CustomerCombinedCleaned[[#This Row],[ID]], Table2[ID],Table2[MC1], "Not Found", 0 )</f>
        <v>0</v>
      </c>
      <c r="Z507" s="16">
        <f>_xlfn.XLOOKUP(CustomerCombinedCleaned[[#This Row],[ID]], Table2[ID],Table2[MC2], "Not Found", 0 )</f>
        <v>0</v>
      </c>
      <c r="AA507" s="16">
        <f>_xlfn.XLOOKUP(CustomerCombinedCleaned[[#This Row],[ID]], Table2[ID],Table2[MC3], "Not Found", 0 )</f>
        <v>0</v>
      </c>
      <c r="AB507" s="16">
        <f>_xlfn.XLOOKUP(CustomerCombinedCleaned[[#This Row],[ID]], Table2[ID],Table2[MC4], "Not Found", 0 )</f>
        <v>0</v>
      </c>
      <c r="AC507" s="16">
        <f>_xlfn.XLOOKUP(CustomerCombinedCleaned[[#This Row],[ID]], Table2[ID],Table2[MC5], "Not Found", 0 )</f>
        <v>0</v>
      </c>
    </row>
    <row r="508" spans="1:29" x14ac:dyDescent="0.3">
      <c r="A508" s="18">
        <v>2100</v>
      </c>
      <c r="B508" s="16">
        <v>147025</v>
      </c>
      <c r="C508" s="16">
        <v>0</v>
      </c>
      <c r="D508" s="16">
        <v>1</v>
      </c>
      <c r="E508" s="16">
        <v>42</v>
      </c>
      <c r="F508" s="17" t="s">
        <v>6</v>
      </c>
      <c r="G508" s="17" t="s">
        <v>11</v>
      </c>
      <c r="H508" s="3" t="s">
        <v>187</v>
      </c>
      <c r="I508" s="5" t="s">
        <v>436</v>
      </c>
      <c r="J508" s="16">
        <f>_xlfn.XLOOKUP(CustomerCombinedCleaned[[#This Row],[ID]], Table4[ID], Table4[Recency], "Not Found", 0)</f>
        <v>98</v>
      </c>
      <c r="K508" s="16">
        <f>_xlfn.XLOOKUP(CustomerCombinedCleaned[[#This Row],[ID]], Table4[ID], Table4[Teas], "Not Found", 0)</f>
        <v>1588</v>
      </c>
      <c r="L508" s="16">
        <f>_xlfn.XLOOKUP(CustomerCombinedCleaned[[#This Row],[ID]], Table4[ID], Table4[Fruits], "Not Found", 0)</f>
        <v>34</v>
      </c>
      <c r="M508" s="16">
        <f>_xlfn.XLOOKUP(CustomerCombinedCleaned[[#This Row],[ID]], Table4[ID], Table4[Meats], "Not Found", 0)</f>
        <v>184</v>
      </c>
      <c r="N508" s="16">
        <f>_xlfn.XLOOKUP(CustomerCombinedCleaned[[#This Row],[ID]], Table4[ID], Table4[Seafood], "Not Found", 0)</f>
        <v>72</v>
      </c>
      <c r="O508" s="16">
        <f>_xlfn.XLOOKUP(CustomerCombinedCleaned[[#This Row],[ID]], Table4[ID], Table4[Sweets], "Not Found", 0)</f>
        <v>16</v>
      </c>
      <c r="P508" s="16">
        <f>_xlfn.XLOOKUP(CustomerCombinedCleaned[[#This Row],[ID]], Table4[ID], Table4[Premium], "Not Found", 0)</f>
        <v>91</v>
      </c>
      <c r="Q508" s="16">
        <f>_xlfn.XLOOKUP(CustomerCombinedCleaned[[#This Row],[ID]], Table4[ID], Table4[Regular], "Not Found", 0)</f>
        <v>1804</v>
      </c>
      <c r="R508" s="16">
        <f>_xlfn.XLOOKUP(CustomerCombinedCleaned[[#This Row],[ID]], Table4[ID], Table4[Deals], "Not Found", 0)</f>
        <v>5</v>
      </c>
      <c r="S508" s="16">
        <f>_xlfn.XLOOKUP(CustomerCombinedCleaned[[#This Row],[ID]], Table4[ID], Table4[Website], "Not Found", 0)</f>
        <v>11</v>
      </c>
      <c r="T508" s="16">
        <f>_xlfn.XLOOKUP(CustomerCombinedCleaned[[#This Row],[ID]], Table4[ID], Table4[Catalog], "Not Found", 0)</f>
        <v>1</v>
      </c>
      <c r="U508" s="16">
        <f>_xlfn.XLOOKUP(CustomerCombinedCleaned[[#This Row],[ID]], Table4[ID], Table4[Store], "Not Found", 0)</f>
        <v>6</v>
      </c>
      <c r="V508" s="16">
        <f>_xlfn.XLOOKUP(CustomerCombinedCleaned[[#This Row],[ID]], Table4[ID], Table4[Visits], "Not Found", 0)</f>
        <v>9</v>
      </c>
      <c r="W508" s="16">
        <f>_xlfn.XLOOKUP(CustomerCombinedCleaned[[#This Row],[ID]], Table2[ID],Table2[Complaint], "Not Found", 0 )</f>
        <v>0</v>
      </c>
      <c r="X508" s="16">
        <f>_xlfn.XLOOKUP(CustomerCombinedCleaned[[#This Row],[ID]], Table2[ID],Table2[Pilot], "Not Found", 0 )</f>
        <v>0</v>
      </c>
      <c r="Y508" s="16">
        <f>_xlfn.XLOOKUP(CustomerCombinedCleaned[[#This Row],[ID]], Table2[ID],Table2[MC1], "Not Found", 0 )</f>
        <v>0</v>
      </c>
      <c r="Z508" s="16">
        <f>_xlfn.XLOOKUP(CustomerCombinedCleaned[[#This Row],[ID]], Table2[ID],Table2[MC2], "Not Found", 0 )</f>
        <v>0</v>
      </c>
      <c r="AA508" s="16">
        <f>_xlfn.XLOOKUP(CustomerCombinedCleaned[[#This Row],[ID]], Table2[ID],Table2[MC3], "Not Found", 0 )</f>
        <v>0</v>
      </c>
      <c r="AB508" s="16">
        <f>_xlfn.XLOOKUP(CustomerCombinedCleaned[[#This Row],[ID]], Table2[ID],Table2[MC4], "Not Found", 0 )</f>
        <v>0</v>
      </c>
      <c r="AC508" s="16">
        <f>_xlfn.XLOOKUP(CustomerCombinedCleaned[[#This Row],[ID]], Table2[ID],Table2[MC5], "Not Found", 0 )</f>
        <v>0</v>
      </c>
    </row>
    <row r="509" spans="1:29" x14ac:dyDescent="0.3">
      <c r="A509" s="18">
        <v>1289</v>
      </c>
      <c r="B509" s="16">
        <v>146377</v>
      </c>
      <c r="C509" s="16">
        <v>1</v>
      </c>
      <c r="D509" s="16">
        <v>0</v>
      </c>
      <c r="E509" s="16">
        <v>42</v>
      </c>
      <c r="F509" s="17" t="s">
        <v>6</v>
      </c>
      <c r="G509" s="17" t="s">
        <v>13</v>
      </c>
      <c r="H509" s="3" t="s">
        <v>603</v>
      </c>
      <c r="I509" s="5" t="s">
        <v>434</v>
      </c>
      <c r="J509" s="16">
        <f>_xlfn.XLOOKUP(CustomerCombinedCleaned[[#This Row],[ID]], Table4[ID], Table4[Recency], "Not Found", 0)</f>
        <v>89</v>
      </c>
      <c r="K509" s="16">
        <f>_xlfn.XLOOKUP(CustomerCombinedCleaned[[#This Row],[ID]], Table4[ID], Table4[Teas], "Not Found", 0)</f>
        <v>117</v>
      </c>
      <c r="L509" s="16">
        <f>_xlfn.XLOOKUP(CustomerCombinedCleaned[[#This Row],[ID]], Table4[ID], Table4[Fruits], "Not Found", 0)</f>
        <v>0</v>
      </c>
      <c r="M509" s="16">
        <f>_xlfn.XLOOKUP(CustomerCombinedCleaned[[#This Row],[ID]], Table4[ID], Table4[Meats], "Not Found", 0)</f>
        <v>145</v>
      </c>
      <c r="N509" s="16">
        <f>_xlfn.XLOOKUP(CustomerCombinedCleaned[[#This Row],[ID]], Table4[ID], Table4[Seafood], "Not Found", 0)</f>
        <v>13</v>
      </c>
      <c r="O509" s="16">
        <f>_xlfn.XLOOKUP(CustomerCombinedCleaned[[#This Row],[ID]], Table4[ID], Table4[Sweets], "Not Found", 0)</f>
        <v>9</v>
      </c>
      <c r="P509" s="16">
        <f>_xlfn.XLOOKUP(CustomerCombinedCleaned[[#This Row],[ID]], Table4[ID], Table4[Premium], "Not Found", 0)</f>
        <v>0</v>
      </c>
      <c r="Q509" s="16">
        <f>_xlfn.XLOOKUP(CustomerCombinedCleaned[[#This Row],[ID]], Table4[ID], Table4[Regular], "Not Found", 0)</f>
        <v>284</v>
      </c>
      <c r="R509" s="16">
        <f>_xlfn.XLOOKUP(CustomerCombinedCleaned[[#This Row],[ID]], Table4[ID], Table4[Deals], "Not Found", 0)</f>
        <v>1</v>
      </c>
      <c r="S509" s="16">
        <f>_xlfn.XLOOKUP(CustomerCombinedCleaned[[#This Row],[ID]], Table4[ID], Table4[Website], "Not Found", 0)</f>
        <v>2</v>
      </c>
      <c r="T509" s="16">
        <f>_xlfn.XLOOKUP(CustomerCombinedCleaned[[#This Row],[ID]], Table4[ID], Table4[Catalog], "Not Found", 0)</f>
        <v>1</v>
      </c>
      <c r="U509" s="16">
        <f>_xlfn.XLOOKUP(CustomerCombinedCleaned[[#This Row],[ID]], Table4[ID], Table4[Store], "Not Found", 0)</f>
        <v>3</v>
      </c>
      <c r="V509" s="16">
        <f>_xlfn.XLOOKUP(CustomerCombinedCleaned[[#This Row],[ID]], Table4[ID], Table4[Visits], "Not Found", 0)</f>
        <v>4</v>
      </c>
      <c r="W509" s="16">
        <f>_xlfn.XLOOKUP(CustomerCombinedCleaned[[#This Row],[ID]], Table2[ID],Table2[Complaint], "Not Found", 0 )</f>
        <v>0</v>
      </c>
      <c r="X509" s="16">
        <f>_xlfn.XLOOKUP(CustomerCombinedCleaned[[#This Row],[ID]], Table2[ID],Table2[Pilot], "Not Found", 0 )</f>
        <v>0</v>
      </c>
      <c r="Y509" s="16">
        <f>_xlfn.XLOOKUP(CustomerCombinedCleaned[[#This Row],[ID]], Table2[ID],Table2[MC1], "Not Found", 0 )</f>
        <v>0</v>
      </c>
      <c r="Z509" s="16">
        <f>_xlfn.XLOOKUP(CustomerCombinedCleaned[[#This Row],[ID]], Table2[ID],Table2[MC2], "Not Found", 0 )</f>
        <v>0</v>
      </c>
      <c r="AA509" s="16">
        <f>_xlfn.XLOOKUP(CustomerCombinedCleaned[[#This Row],[ID]], Table2[ID],Table2[MC3], "Not Found", 0 )</f>
        <v>0</v>
      </c>
      <c r="AB509" s="16">
        <f>_xlfn.XLOOKUP(CustomerCombinedCleaned[[#This Row],[ID]], Table2[ID],Table2[MC4], "Not Found", 0 )</f>
        <v>0</v>
      </c>
      <c r="AC509" s="16">
        <f>_xlfn.XLOOKUP(CustomerCombinedCleaned[[#This Row],[ID]], Table2[ID],Table2[MC5], "Not Found", 0 )</f>
        <v>0</v>
      </c>
    </row>
    <row r="510" spans="1:29" x14ac:dyDescent="0.3">
      <c r="A510" s="18">
        <v>2937</v>
      </c>
      <c r="B510" s="16">
        <v>144359</v>
      </c>
      <c r="C510" s="16">
        <v>1</v>
      </c>
      <c r="D510" s="16">
        <v>1</v>
      </c>
      <c r="E510" s="16">
        <v>42</v>
      </c>
      <c r="F510" s="17" t="s">
        <v>6</v>
      </c>
      <c r="G510" s="17" t="s">
        <v>11</v>
      </c>
      <c r="H510" s="3" t="s">
        <v>32</v>
      </c>
      <c r="I510" s="5" t="s">
        <v>435</v>
      </c>
      <c r="J510" s="16">
        <f>_xlfn.XLOOKUP(CustomerCombinedCleaned[[#This Row],[ID]], Table4[ID], Table4[Recency], "Not Found", 0)</f>
        <v>19</v>
      </c>
      <c r="K510" s="16">
        <f>_xlfn.XLOOKUP(CustomerCombinedCleaned[[#This Row],[ID]], Table4[ID], Table4[Teas], "Not Found", 0)</f>
        <v>65</v>
      </c>
      <c r="L510" s="16">
        <f>_xlfn.XLOOKUP(CustomerCombinedCleaned[[#This Row],[ID]], Table4[ID], Table4[Fruits], "Not Found", 0)</f>
        <v>0</v>
      </c>
      <c r="M510" s="16">
        <f>_xlfn.XLOOKUP(CustomerCombinedCleaned[[#This Row],[ID]], Table4[ID], Table4[Meats], "Not Found", 0)</f>
        <v>46</v>
      </c>
      <c r="N510" s="16">
        <f>_xlfn.XLOOKUP(CustomerCombinedCleaned[[#This Row],[ID]], Table4[ID], Table4[Seafood], "Not Found", 0)</f>
        <v>23</v>
      </c>
      <c r="O510" s="16">
        <f>_xlfn.XLOOKUP(CustomerCombinedCleaned[[#This Row],[ID]], Table4[ID], Table4[Sweets], "Not Found", 0)</f>
        <v>10</v>
      </c>
      <c r="P510" s="16">
        <f>_xlfn.XLOOKUP(CustomerCombinedCleaned[[#This Row],[ID]], Table4[ID], Table4[Premium], "Not Found", 0)</f>
        <v>3</v>
      </c>
      <c r="Q510" s="16">
        <f>_xlfn.XLOOKUP(CustomerCombinedCleaned[[#This Row],[ID]], Table4[ID], Table4[Regular], "Not Found", 0)</f>
        <v>140</v>
      </c>
      <c r="R510" s="16">
        <f>_xlfn.XLOOKUP(CustomerCombinedCleaned[[#This Row],[ID]], Table4[ID], Table4[Deals], "Not Found", 0)</f>
        <v>3</v>
      </c>
      <c r="S510" s="16">
        <f>_xlfn.XLOOKUP(CustomerCombinedCleaned[[#This Row],[ID]], Table4[ID], Table4[Website], "Not Found", 0)</f>
        <v>2</v>
      </c>
      <c r="T510" s="16">
        <f>_xlfn.XLOOKUP(CustomerCombinedCleaned[[#This Row],[ID]], Table4[ID], Table4[Catalog], "Not Found", 0)</f>
        <v>0</v>
      </c>
      <c r="U510" s="16">
        <f>_xlfn.XLOOKUP(CustomerCombinedCleaned[[#This Row],[ID]], Table4[ID], Table4[Store], "Not Found", 0)</f>
        <v>4</v>
      </c>
      <c r="V510" s="16">
        <f>_xlfn.XLOOKUP(CustomerCombinedCleaned[[#This Row],[ID]], Table4[ID], Table4[Visits], "Not Found", 0)</f>
        <v>3</v>
      </c>
      <c r="W510" s="16">
        <f>_xlfn.XLOOKUP(CustomerCombinedCleaned[[#This Row],[ID]], Table2[ID],Table2[Complaint], "Not Found", 0 )</f>
        <v>0</v>
      </c>
      <c r="X510" s="16">
        <f>_xlfn.XLOOKUP(CustomerCombinedCleaned[[#This Row],[ID]], Table2[ID],Table2[Pilot], "Not Found", 0 )</f>
        <v>0</v>
      </c>
      <c r="Y510" s="16">
        <f>_xlfn.XLOOKUP(CustomerCombinedCleaned[[#This Row],[ID]], Table2[ID],Table2[MC1], "Not Found", 0 )</f>
        <v>0</v>
      </c>
      <c r="Z510" s="16">
        <f>_xlfn.XLOOKUP(CustomerCombinedCleaned[[#This Row],[ID]], Table2[ID],Table2[MC2], "Not Found", 0 )</f>
        <v>0</v>
      </c>
      <c r="AA510" s="16">
        <f>_xlfn.XLOOKUP(CustomerCombinedCleaned[[#This Row],[ID]], Table2[ID],Table2[MC3], "Not Found", 0 )</f>
        <v>0</v>
      </c>
      <c r="AB510" s="16">
        <f>_xlfn.XLOOKUP(CustomerCombinedCleaned[[#This Row],[ID]], Table2[ID],Table2[MC4], "Not Found", 0 )</f>
        <v>0</v>
      </c>
      <c r="AC510" s="16">
        <f>_xlfn.XLOOKUP(CustomerCombinedCleaned[[#This Row],[ID]], Table2[ID],Table2[MC5], "Not Found", 0 )</f>
        <v>0</v>
      </c>
    </row>
    <row r="511" spans="1:29" x14ac:dyDescent="0.3">
      <c r="A511" s="18">
        <v>1769</v>
      </c>
      <c r="B511" s="16">
        <v>143783</v>
      </c>
      <c r="C511" s="16">
        <v>1</v>
      </c>
      <c r="D511" s="16">
        <v>0</v>
      </c>
      <c r="E511" s="16">
        <v>42</v>
      </c>
      <c r="F511" s="17" t="s">
        <v>6</v>
      </c>
      <c r="G511" s="17" t="s">
        <v>12</v>
      </c>
      <c r="H511" s="3" t="s">
        <v>565</v>
      </c>
      <c r="I511" s="5" t="s">
        <v>434</v>
      </c>
      <c r="J511" s="16">
        <f>_xlfn.XLOOKUP(CustomerCombinedCleaned[[#This Row],[ID]], Table4[ID], Table4[Recency], "Not Found", 0)</f>
        <v>22</v>
      </c>
      <c r="K511" s="16">
        <f>_xlfn.XLOOKUP(CustomerCombinedCleaned[[#This Row],[ID]], Table4[ID], Table4[Teas], "Not Found", 0)</f>
        <v>1074</v>
      </c>
      <c r="L511" s="16">
        <f>_xlfn.XLOOKUP(CustomerCombinedCleaned[[#This Row],[ID]], Table4[ID], Table4[Fruits], "Not Found", 0)</f>
        <v>30</v>
      </c>
      <c r="M511" s="16">
        <f>_xlfn.XLOOKUP(CustomerCombinedCleaned[[#This Row],[ID]], Table4[ID], Table4[Meats], "Not Found", 0)</f>
        <v>410</v>
      </c>
      <c r="N511" s="16">
        <f>_xlfn.XLOOKUP(CustomerCombinedCleaned[[#This Row],[ID]], Table4[ID], Table4[Seafood], "Not Found", 0)</f>
        <v>82</v>
      </c>
      <c r="O511" s="16">
        <f>_xlfn.XLOOKUP(CustomerCombinedCleaned[[#This Row],[ID]], Table4[ID], Table4[Sweets], "Not Found", 0)</f>
        <v>13</v>
      </c>
      <c r="P511" s="16">
        <f>_xlfn.XLOOKUP(CustomerCombinedCleaned[[#This Row],[ID]], Table4[ID], Table4[Premium], "Not Found", 0)</f>
        <v>456</v>
      </c>
      <c r="Q511" s="16">
        <f>_xlfn.XLOOKUP(CustomerCombinedCleaned[[#This Row],[ID]], Table4[ID], Table4[Regular], "Not Found", 0)</f>
        <v>1153</v>
      </c>
      <c r="R511" s="16">
        <f>_xlfn.XLOOKUP(CustomerCombinedCleaned[[#This Row],[ID]], Table4[ID], Table4[Deals], "Not Found", 0)</f>
        <v>6</v>
      </c>
      <c r="S511" s="16">
        <f>_xlfn.XLOOKUP(CustomerCombinedCleaned[[#This Row],[ID]], Table4[ID], Table4[Website], "Not Found", 0)</f>
        <v>7</v>
      </c>
      <c r="T511" s="16">
        <f>_xlfn.XLOOKUP(CustomerCombinedCleaned[[#This Row],[ID]], Table4[ID], Table4[Catalog], "Not Found", 0)</f>
        <v>1</v>
      </c>
      <c r="U511" s="16">
        <f>_xlfn.XLOOKUP(CustomerCombinedCleaned[[#This Row],[ID]], Table4[ID], Table4[Store], "Not Found", 0)</f>
        <v>8</v>
      </c>
      <c r="V511" s="16">
        <f>_xlfn.XLOOKUP(CustomerCombinedCleaned[[#This Row],[ID]], Table4[ID], Table4[Visits], "Not Found", 0)</f>
        <v>7</v>
      </c>
      <c r="W511" s="16">
        <f>_xlfn.XLOOKUP(CustomerCombinedCleaned[[#This Row],[ID]], Table2[ID],Table2[Complaint], "Not Found", 0 )</f>
        <v>0</v>
      </c>
      <c r="X511" s="16">
        <f>_xlfn.XLOOKUP(CustomerCombinedCleaned[[#This Row],[ID]], Table2[ID],Table2[Pilot], "Not Found", 0 )</f>
        <v>0</v>
      </c>
      <c r="Y511" s="16">
        <f>_xlfn.XLOOKUP(CustomerCombinedCleaned[[#This Row],[ID]], Table2[ID],Table2[MC1], "Not Found", 0 )</f>
        <v>0</v>
      </c>
      <c r="Z511" s="16">
        <f>_xlfn.XLOOKUP(CustomerCombinedCleaned[[#This Row],[ID]], Table2[ID],Table2[MC2], "Not Found", 0 )</f>
        <v>0</v>
      </c>
      <c r="AA511" s="16">
        <f>_xlfn.XLOOKUP(CustomerCombinedCleaned[[#This Row],[ID]], Table2[ID],Table2[MC3], "Not Found", 0 )</f>
        <v>1</v>
      </c>
      <c r="AB511" s="16">
        <f>_xlfn.XLOOKUP(CustomerCombinedCleaned[[#This Row],[ID]], Table2[ID],Table2[MC4], "Not Found", 0 )</f>
        <v>0</v>
      </c>
      <c r="AC511" s="16">
        <f>_xlfn.XLOOKUP(CustomerCombinedCleaned[[#This Row],[ID]], Table2[ID],Table2[MC5], "Not Found", 0 )</f>
        <v>0</v>
      </c>
    </row>
    <row r="512" spans="1:29" x14ac:dyDescent="0.3">
      <c r="A512" s="18">
        <v>2113</v>
      </c>
      <c r="B512" s="16">
        <v>142693</v>
      </c>
      <c r="C512" s="16">
        <v>1</v>
      </c>
      <c r="D512" s="16">
        <v>0</v>
      </c>
      <c r="E512" s="16">
        <v>42</v>
      </c>
      <c r="F512" s="17" t="s">
        <v>6</v>
      </c>
      <c r="G512" s="17" t="s">
        <v>11</v>
      </c>
      <c r="H512" s="3" t="s">
        <v>581</v>
      </c>
      <c r="I512" s="5" t="s">
        <v>437</v>
      </c>
      <c r="J512" s="16">
        <f>_xlfn.XLOOKUP(CustomerCombinedCleaned[[#This Row],[ID]], Table4[ID], Table4[Recency], "Not Found", 0)</f>
        <v>29</v>
      </c>
      <c r="K512" s="16">
        <f>_xlfn.XLOOKUP(CustomerCombinedCleaned[[#This Row],[ID]], Table4[ID], Table4[Teas], "Not Found", 0)</f>
        <v>27</v>
      </c>
      <c r="L512" s="16">
        <f>_xlfn.XLOOKUP(CustomerCombinedCleaned[[#This Row],[ID]], Table4[ID], Table4[Fruits], "Not Found", 0)</f>
        <v>13</v>
      </c>
      <c r="M512" s="16">
        <f>_xlfn.XLOOKUP(CustomerCombinedCleaned[[#This Row],[ID]], Table4[ID], Table4[Meats], "Not Found", 0)</f>
        <v>67</v>
      </c>
      <c r="N512" s="16">
        <f>_xlfn.XLOOKUP(CustomerCombinedCleaned[[#This Row],[ID]], Table4[ID], Table4[Seafood], "Not Found", 0)</f>
        <v>20</v>
      </c>
      <c r="O512" s="16">
        <f>_xlfn.XLOOKUP(CustomerCombinedCleaned[[#This Row],[ID]], Table4[ID], Table4[Sweets], "Not Found", 0)</f>
        <v>10</v>
      </c>
      <c r="P512" s="16">
        <f>_xlfn.XLOOKUP(CustomerCombinedCleaned[[#This Row],[ID]], Table4[ID], Table4[Premium], "Not Found", 0)</f>
        <v>53</v>
      </c>
      <c r="Q512" s="16">
        <f>_xlfn.XLOOKUP(CustomerCombinedCleaned[[#This Row],[ID]], Table4[ID], Table4[Regular], "Not Found", 0)</f>
        <v>84</v>
      </c>
      <c r="R512" s="16">
        <f>_xlfn.XLOOKUP(CustomerCombinedCleaned[[#This Row],[ID]], Table4[ID], Table4[Deals], "Not Found", 0)</f>
        <v>1</v>
      </c>
      <c r="S512" s="16">
        <f>_xlfn.XLOOKUP(CustomerCombinedCleaned[[#This Row],[ID]], Table4[ID], Table4[Website], "Not Found", 0)</f>
        <v>1</v>
      </c>
      <c r="T512" s="16">
        <f>_xlfn.XLOOKUP(CustomerCombinedCleaned[[#This Row],[ID]], Table4[ID], Table4[Catalog], "Not Found", 0)</f>
        <v>0</v>
      </c>
      <c r="U512" s="16">
        <f>_xlfn.XLOOKUP(CustomerCombinedCleaned[[#This Row],[ID]], Table4[ID], Table4[Store], "Not Found", 0)</f>
        <v>3</v>
      </c>
      <c r="V512" s="16">
        <f>_xlfn.XLOOKUP(CustomerCombinedCleaned[[#This Row],[ID]], Table4[ID], Table4[Visits], "Not Found", 0)</f>
        <v>5</v>
      </c>
      <c r="W512" s="16">
        <f>_xlfn.XLOOKUP(CustomerCombinedCleaned[[#This Row],[ID]], Table2[ID],Table2[Complaint], "Not Found", 0 )</f>
        <v>0</v>
      </c>
      <c r="X512" s="16">
        <f>_xlfn.XLOOKUP(CustomerCombinedCleaned[[#This Row],[ID]], Table2[ID],Table2[Pilot], "Not Found", 0 )</f>
        <v>0</v>
      </c>
      <c r="Y512" s="16">
        <f>_xlfn.XLOOKUP(CustomerCombinedCleaned[[#This Row],[ID]], Table2[ID],Table2[MC1], "Not Found", 0 )</f>
        <v>0</v>
      </c>
      <c r="Z512" s="16">
        <f>_xlfn.XLOOKUP(CustomerCombinedCleaned[[#This Row],[ID]], Table2[ID],Table2[MC2], "Not Found", 0 )</f>
        <v>0</v>
      </c>
      <c r="AA512" s="16">
        <f>_xlfn.XLOOKUP(CustomerCombinedCleaned[[#This Row],[ID]], Table2[ID],Table2[MC3], "Not Found", 0 )</f>
        <v>0</v>
      </c>
      <c r="AB512" s="16">
        <f>_xlfn.XLOOKUP(CustomerCombinedCleaned[[#This Row],[ID]], Table2[ID],Table2[MC4], "Not Found", 0 )</f>
        <v>0</v>
      </c>
      <c r="AC512" s="16">
        <f>_xlfn.XLOOKUP(CustomerCombinedCleaned[[#This Row],[ID]], Table2[ID],Table2[MC5], "Not Found", 0 )</f>
        <v>0</v>
      </c>
    </row>
    <row r="513" spans="1:29" x14ac:dyDescent="0.3">
      <c r="A513" s="18">
        <v>3036</v>
      </c>
      <c r="B513" s="16">
        <v>142554</v>
      </c>
      <c r="C513" s="16">
        <v>1</v>
      </c>
      <c r="D513" s="16">
        <v>1</v>
      </c>
      <c r="E513" s="16">
        <v>42</v>
      </c>
      <c r="F513" s="17" t="s">
        <v>8</v>
      </c>
      <c r="G513" s="17" t="s">
        <v>11</v>
      </c>
      <c r="H513" s="3" t="s">
        <v>328</v>
      </c>
      <c r="I513" s="5" t="s">
        <v>436</v>
      </c>
      <c r="J513" s="16">
        <f>_xlfn.XLOOKUP(CustomerCombinedCleaned[[#This Row],[ID]], Table4[ID], Table4[Recency], "Not Found", 0)</f>
        <v>93</v>
      </c>
      <c r="K513" s="16">
        <f>_xlfn.XLOOKUP(CustomerCombinedCleaned[[#This Row],[ID]], Table4[ID], Table4[Teas], "Not Found", 0)</f>
        <v>97</v>
      </c>
      <c r="L513" s="16">
        <f>_xlfn.XLOOKUP(CustomerCombinedCleaned[[#This Row],[ID]], Table4[ID], Table4[Fruits], "Not Found", 0)</f>
        <v>3</v>
      </c>
      <c r="M513" s="16">
        <f>_xlfn.XLOOKUP(CustomerCombinedCleaned[[#This Row],[ID]], Table4[ID], Table4[Meats], "Not Found", 0)</f>
        <v>37</v>
      </c>
      <c r="N513" s="16">
        <f>_xlfn.XLOOKUP(CustomerCombinedCleaned[[#This Row],[ID]], Table4[ID], Table4[Seafood], "Not Found", 0)</f>
        <v>0</v>
      </c>
      <c r="O513" s="16">
        <f>_xlfn.XLOOKUP(CustomerCombinedCleaned[[#This Row],[ID]], Table4[ID], Table4[Sweets], "Not Found", 0)</f>
        <v>0</v>
      </c>
      <c r="P513" s="16">
        <f>_xlfn.XLOOKUP(CustomerCombinedCleaned[[#This Row],[ID]], Table4[ID], Table4[Premium], "Not Found", 0)</f>
        <v>0</v>
      </c>
      <c r="Q513" s="16">
        <f>_xlfn.XLOOKUP(CustomerCombinedCleaned[[#This Row],[ID]], Table4[ID], Table4[Regular], "Not Found", 0)</f>
        <v>137</v>
      </c>
      <c r="R513" s="16">
        <f>_xlfn.XLOOKUP(CustomerCombinedCleaned[[#This Row],[ID]], Table4[ID], Table4[Deals], "Not Found", 0)</f>
        <v>2</v>
      </c>
      <c r="S513" s="16">
        <f>_xlfn.XLOOKUP(CustomerCombinedCleaned[[#This Row],[ID]], Table4[ID], Table4[Website], "Not Found", 0)</f>
        <v>2</v>
      </c>
      <c r="T513" s="16">
        <f>_xlfn.XLOOKUP(CustomerCombinedCleaned[[#This Row],[ID]], Table4[ID], Table4[Catalog], "Not Found", 0)</f>
        <v>0</v>
      </c>
      <c r="U513" s="16">
        <f>_xlfn.XLOOKUP(CustomerCombinedCleaned[[#This Row],[ID]], Table4[ID], Table4[Store], "Not Found", 0)</f>
        <v>3</v>
      </c>
      <c r="V513" s="16">
        <f>_xlfn.XLOOKUP(CustomerCombinedCleaned[[#This Row],[ID]], Table4[ID], Table4[Visits], "Not Found", 0)</f>
        <v>4</v>
      </c>
      <c r="W513" s="16">
        <f>_xlfn.XLOOKUP(CustomerCombinedCleaned[[#This Row],[ID]], Table2[ID],Table2[Complaint], "Not Found", 0 )</f>
        <v>0</v>
      </c>
      <c r="X513" s="16">
        <f>_xlfn.XLOOKUP(CustomerCombinedCleaned[[#This Row],[ID]], Table2[ID],Table2[Pilot], "Not Found", 0 )</f>
        <v>0</v>
      </c>
      <c r="Y513" s="16">
        <f>_xlfn.XLOOKUP(CustomerCombinedCleaned[[#This Row],[ID]], Table2[ID],Table2[MC1], "Not Found", 0 )</f>
        <v>0</v>
      </c>
      <c r="Z513" s="16">
        <f>_xlfn.XLOOKUP(CustomerCombinedCleaned[[#This Row],[ID]], Table2[ID],Table2[MC2], "Not Found", 0 )</f>
        <v>0</v>
      </c>
      <c r="AA513" s="16">
        <f>_xlfn.XLOOKUP(CustomerCombinedCleaned[[#This Row],[ID]], Table2[ID],Table2[MC3], "Not Found", 0 )</f>
        <v>0</v>
      </c>
      <c r="AB513" s="16">
        <f>_xlfn.XLOOKUP(CustomerCombinedCleaned[[#This Row],[ID]], Table2[ID],Table2[MC4], "Not Found", 0 )</f>
        <v>0</v>
      </c>
      <c r="AC513" s="16">
        <f>_xlfn.XLOOKUP(CustomerCombinedCleaned[[#This Row],[ID]], Table2[ID],Table2[MC5], "Not Found", 0 )</f>
        <v>0</v>
      </c>
    </row>
    <row r="514" spans="1:29" x14ac:dyDescent="0.3">
      <c r="A514" s="18">
        <v>1213</v>
      </c>
      <c r="B514" s="16">
        <v>142011</v>
      </c>
      <c r="C514" s="16">
        <v>1</v>
      </c>
      <c r="D514" s="16">
        <v>0</v>
      </c>
      <c r="E514" s="16">
        <v>42</v>
      </c>
      <c r="F514" s="17" t="s">
        <v>8</v>
      </c>
      <c r="G514" s="17" t="s">
        <v>11</v>
      </c>
      <c r="H514" s="3" t="s">
        <v>282</v>
      </c>
      <c r="I514" s="5" t="s">
        <v>437</v>
      </c>
      <c r="J514" s="16">
        <f>_xlfn.XLOOKUP(CustomerCombinedCleaned[[#This Row],[ID]], Table4[ID], Table4[Recency], "Not Found", 0)</f>
        <v>46</v>
      </c>
      <c r="K514" s="16">
        <f>_xlfn.XLOOKUP(CustomerCombinedCleaned[[#This Row],[ID]], Table4[ID], Table4[Teas], "Not Found", 0)</f>
        <v>443</v>
      </c>
      <c r="L514" s="16">
        <f>_xlfn.XLOOKUP(CustomerCombinedCleaned[[#This Row],[ID]], Table4[ID], Table4[Fruits], "Not Found", 0)</f>
        <v>0</v>
      </c>
      <c r="M514" s="16">
        <f>_xlfn.XLOOKUP(CustomerCombinedCleaned[[#This Row],[ID]], Table4[ID], Table4[Meats], "Not Found", 0)</f>
        <v>54</v>
      </c>
      <c r="N514" s="16">
        <f>_xlfn.XLOOKUP(CustomerCombinedCleaned[[#This Row],[ID]], Table4[ID], Table4[Seafood], "Not Found", 0)</f>
        <v>7</v>
      </c>
      <c r="O514" s="16">
        <f>_xlfn.XLOOKUP(CustomerCombinedCleaned[[#This Row],[ID]], Table4[ID], Table4[Sweets], "Not Found", 0)</f>
        <v>3</v>
      </c>
      <c r="P514" s="16">
        <f>_xlfn.XLOOKUP(CustomerCombinedCleaned[[#This Row],[ID]], Table4[ID], Table4[Premium], "Not Found", 0)</f>
        <v>132</v>
      </c>
      <c r="Q514" s="16">
        <f>_xlfn.XLOOKUP(CustomerCombinedCleaned[[#This Row],[ID]], Table4[ID], Table4[Regular], "Not Found", 0)</f>
        <v>375</v>
      </c>
      <c r="R514" s="16">
        <f>_xlfn.XLOOKUP(CustomerCombinedCleaned[[#This Row],[ID]], Table4[ID], Table4[Deals], "Not Found", 0)</f>
        <v>4</v>
      </c>
      <c r="S514" s="16">
        <f>_xlfn.XLOOKUP(CustomerCombinedCleaned[[#This Row],[ID]], Table4[ID], Table4[Website], "Not Found", 0)</f>
        <v>3</v>
      </c>
      <c r="T514" s="16">
        <f>_xlfn.XLOOKUP(CustomerCombinedCleaned[[#This Row],[ID]], Table4[ID], Table4[Catalog], "Not Found", 0)</f>
        <v>1</v>
      </c>
      <c r="U514" s="16">
        <f>_xlfn.XLOOKUP(CustomerCombinedCleaned[[#This Row],[ID]], Table4[ID], Table4[Store], "Not Found", 0)</f>
        <v>4</v>
      </c>
      <c r="V514" s="16">
        <f>_xlfn.XLOOKUP(CustomerCombinedCleaned[[#This Row],[ID]], Table4[ID], Table4[Visits], "Not Found", 0)</f>
        <v>8</v>
      </c>
      <c r="W514" s="16">
        <f>_xlfn.XLOOKUP(CustomerCombinedCleaned[[#This Row],[ID]], Table2[ID],Table2[Complaint], "Not Found", 0 )</f>
        <v>0</v>
      </c>
      <c r="X514" s="16">
        <f>_xlfn.XLOOKUP(CustomerCombinedCleaned[[#This Row],[ID]], Table2[ID],Table2[Pilot], "Not Found", 0 )</f>
        <v>0</v>
      </c>
      <c r="Y514" s="16">
        <f>_xlfn.XLOOKUP(CustomerCombinedCleaned[[#This Row],[ID]], Table2[ID],Table2[MC1], "Not Found", 0 )</f>
        <v>0</v>
      </c>
      <c r="Z514" s="16">
        <f>_xlfn.XLOOKUP(CustomerCombinedCleaned[[#This Row],[ID]], Table2[ID],Table2[MC2], "Not Found", 0 )</f>
        <v>0</v>
      </c>
      <c r="AA514" s="16">
        <f>_xlfn.XLOOKUP(CustomerCombinedCleaned[[#This Row],[ID]], Table2[ID],Table2[MC3], "Not Found", 0 )</f>
        <v>0</v>
      </c>
      <c r="AB514" s="16">
        <f>_xlfn.XLOOKUP(CustomerCombinedCleaned[[#This Row],[ID]], Table2[ID],Table2[MC4], "Not Found", 0 )</f>
        <v>0</v>
      </c>
      <c r="AC514" s="16">
        <f>_xlfn.XLOOKUP(CustomerCombinedCleaned[[#This Row],[ID]], Table2[ID],Table2[MC5], "Not Found", 0 )</f>
        <v>0</v>
      </c>
    </row>
    <row r="515" spans="1:29" x14ac:dyDescent="0.3">
      <c r="A515" s="18">
        <v>2213</v>
      </c>
      <c r="B515" s="16">
        <v>141986</v>
      </c>
      <c r="C515" s="16">
        <v>0</v>
      </c>
      <c r="D515" s="16">
        <v>1</v>
      </c>
      <c r="E515" s="16">
        <v>42</v>
      </c>
      <c r="F515" s="17" t="s">
        <v>5</v>
      </c>
      <c r="G515" s="17" t="s">
        <v>11</v>
      </c>
      <c r="H515" s="3" t="s">
        <v>104</v>
      </c>
      <c r="I515" s="5" t="s">
        <v>434</v>
      </c>
      <c r="J515" s="16">
        <f>_xlfn.XLOOKUP(CustomerCombinedCleaned[[#This Row],[ID]], Table4[ID], Table4[Recency], "Not Found", 0)</f>
        <v>15</v>
      </c>
      <c r="K515" s="16">
        <f>_xlfn.XLOOKUP(CustomerCombinedCleaned[[#This Row],[ID]], Table4[ID], Table4[Teas], "Not Found", 0)</f>
        <v>91</v>
      </c>
      <c r="L515" s="16">
        <f>_xlfn.XLOOKUP(CustomerCombinedCleaned[[#This Row],[ID]], Table4[ID], Table4[Fruits], "Not Found", 0)</f>
        <v>17</v>
      </c>
      <c r="M515" s="16">
        <f>_xlfn.XLOOKUP(CustomerCombinedCleaned[[#This Row],[ID]], Table4[ID], Table4[Meats], "Not Found", 0)</f>
        <v>27</v>
      </c>
      <c r="N515" s="16">
        <f>_xlfn.XLOOKUP(CustomerCombinedCleaned[[#This Row],[ID]], Table4[ID], Table4[Seafood], "Not Found", 0)</f>
        <v>27</v>
      </c>
      <c r="O515" s="16">
        <f>_xlfn.XLOOKUP(CustomerCombinedCleaned[[#This Row],[ID]], Table4[ID], Table4[Sweets], "Not Found", 0)</f>
        <v>10</v>
      </c>
      <c r="P515" s="16">
        <f>_xlfn.XLOOKUP(CustomerCombinedCleaned[[#This Row],[ID]], Table4[ID], Table4[Premium], "Not Found", 0)</f>
        <v>41</v>
      </c>
      <c r="Q515" s="16">
        <f>_xlfn.XLOOKUP(CustomerCombinedCleaned[[#This Row],[ID]], Table4[ID], Table4[Regular], "Not Found", 0)</f>
        <v>132</v>
      </c>
      <c r="R515" s="16">
        <f>_xlfn.XLOOKUP(CustomerCombinedCleaned[[#This Row],[ID]], Table4[ID], Table4[Deals], "Not Found", 0)</f>
        <v>3</v>
      </c>
      <c r="S515" s="16">
        <f>_xlfn.XLOOKUP(CustomerCombinedCleaned[[#This Row],[ID]], Table4[ID], Table4[Website], "Not Found", 0)</f>
        <v>3</v>
      </c>
      <c r="T515" s="16">
        <f>_xlfn.XLOOKUP(CustomerCombinedCleaned[[#This Row],[ID]], Table4[ID], Table4[Catalog], "Not Found", 0)</f>
        <v>0</v>
      </c>
      <c r="U515" s="16">
        <f>_xlfn.XLOOKUP(CustomerCombinedCleaned[[#This Row],[ID]], Table4[ID], Table4[Store], "Not Found", 0)</f>
        <v>4</v>
      </c>
      <c r="V515" s="16">
        <f>_xlfn.XLOOKUP(CustomerCombinedCleaned[[#This Row],[ID]], Table4[ID], Table4[Visits], "Not Found", 0)</f>
        <v>4</v>
      </c>
      <c r="W515" s="16">
        <f>_xlfn.XLOOKUP(CustomerCombinedCleaned[[#This Row],[ID]], Table2[ID],Table2[Complaint], "Not Found", 0 )</f>
        <v>0</v>
      </c>
      <c r="X515" s="16">
        <f>_xlfn.XLOOKUP(CustomerCombinedCleaned[[#This Row],[ID]], Table2[ID],Table2[Pilot], "Not Found", 0 )</f>
        <v>0</v>
      </c>
      <c r="Y515" s="16">
        <f>_xlfn.XLOOKUP(CustomerCombinedCleaned[[#This Row],[ID]], Table2[ID],Table2[MC1], "Not Found", 0 )</f>
        <v>0</v>
      </c>
      <c r="Z515" s="16">
        <f>_xlfn.XLOOKUP(CustomerCombinedCleaned[[#This Row],[ID]], Table2[ID],Table2[MC2], "Not Found", 0 )</f>
        <v>0</v>
      </c>
      <c r="AA515" s="16">
        <f>_xlfn.XLOOKUP(CustomerCombinedCleaned[[#This Row],[ID]], Table2[ID],Table2[MC3], "Not Found", 0 )</f>
        <v>0</v>
      </c>
      <c r="AB515" s="16">
        <f>_xlfn.XLOOKUP(CustomerCombinedCleaned[[#This Row],[ID]], Table2[ID],Table2[MC4], "Not Found", 0 )</f>
        <v>0</v>
      </c>
      <c r="AC515" s="16">
        <f>_xlfn.XLOOKUP(CustomerCombinedCleaned[[#This Row],[ID]], Table2[ID],Table2[MC5], "Not Found", 0 )</f>
        <v>0</v>
      </c>
    </row>
    <row r="516" spans="1:29" x14ac:dyDescent="0.3">
      <c r="A516" s="18">
        <v>2810</v>
      </c>
      <c r="B516" s="16">
        <v>141580</v>
      </c>
      <c r="C516" s="16">
        <v>1</v>
      </c>
      <c r="D516" s="16">
        <v>1</v>
      </c>
      <c r="E516" s="16">
        <v>42</v>
      </c>
      <c r="F516" s="17" t="s">
        <v>8</v>
      </c>
      <c r="G516" s="17" t="s">
        <v>11</v>
      </c>
      <c r="H516" s="3" t="s">
        <v>348</v>
      </c>
      <c r="I516" s="5" t="s">
        <v>438</v>
      </c>
      <c r="J516" s="16">
        <f>_xlfn.XLOOKUP(CustomerCombinedCleaned[[#This Row],[ID]], Table4[ID], Table4[Recency], "Not Found", 0)</f>
        <v>15</v>
      </c>
      <c r="K516" s="16">
        <f>_xlfn.XLOOKUP(CustomerCombinedCleaned[[#This Row],[ID]], Table4[ID], Table4[Teas], "Not Found", 0)</f>
        <v>191</v>
      </c>
      <c r="L516" s="16">
        <f>_xlfn.XLOOKUP(CustomerCombinedCleaned[[#This Row],[ID]], Table4[ID], Table4[Fruits], "Not Found", 0)</f>
        <v>17</v>
      </c>
      <c r="M516" s="16">
        <f>_xlfn.XLOOKUP(CustomerCombinedCleaned[[#This Row],[ID]], Table4[ID], Table4[Meats], "Not Found", 0)</f>
        <v>82</v>
      </c>
      <c r="N516" s="16">
        <f>_xlfn.XLOOKUP(CustomerCombinedCleaned[[#This Row],[ID]], Table4[ID], Table4[Seafood], "Not Found", 0)</f>
        <v>14</v>
      </c>
      <c r="O516" s="16">
        <f>_xlfn.XLOOKUP(CustomerCombinedCleaned[[#This Row],[ID]], Table4[ID], Table4[Sweets], "Not Found", 0)</f>
        <v>0</v>
      </c>
      <c r="P516" s="16">
        <f>_xlfn.XLOOKUP(CustomerCombinedCleaned[[#This Row],[ID]], Table4[ID], Table4[Premium], "Not Found", 0)</f>
        <v>10</v>
      </c>
      <c r="Q516" s="16">
        <f>_xlfn.XLOOKUP(CustomerCombinedCleaned[[#This Row],[ID]], Table4[ID], Table4[Regular], "Not Found", 0)</f>
        <v>293</v>
      </c>
      <c r="R516" s="16">
        <f>_xlfn.XLOOKUP(CustomerCombinedCleaned[[#This Row],[ID]], Table4[ID], Table4[Deals], "Not Found", 0)</f>
        <v>3</v>
      </c>
      <c r="S516" s="16">
        <f>_xlfn.XLOOKUP(CustomerCombinedCleaned[[#This Row],[ID]], Table4[ID], Table4[Website], "Not Found", 0)</f>
        <v>2</v>
      </c>
      <c r="T516" s="16">
        <f>_xlfn.XLOOKUP(CustomerCombinedCleaned[[#This Row],[ID]], Table4[ID], Table4[Catalog], "Not Found", 0)</f>
        <v>1</v>
      </c>
      <c r="U516" s="16">
        <f>_xlfn.XLOOKUP(CustomerCombinedCleaned[[#This Row],[ID]], Table4[ID], Table4[Store], "Not Found", 0)</f>
        <v>3</v>
      </c>
      <c r="V516" s="16">
        <f>_xlfn.XLOOKUP(CustomerCombinedCleaned[[#This Row],[ID]], Table4[ID], Table4[Visits], "Not Found", 0)</f>
        <v>5</v>
      </c>
      <c r="W516" s="16">
        <f>_xlfn.XLOOKUP(CustomerCombinedCleaned[[#This Row],[ID]], Table2[ID],Table2[Complaint], "Not Found", 0 )</f>
        <v>0</v>
      </c>
      <c r="X516" s="16">
        <f>_xlfn.XLOOKUP(CustomerCombinedCleaned[[#This Row],[ID]], Table2[ID],Table2[Pilot], "Not Found", 0 )</f>
        <v>0</v>
      </c>
      <c r="Y516" s="16">
        <f>_xlfn.XLOOKUP(CustomerCombinedCleaned[[#This Row],[ID]], Table2[ID],Table2[MC1], "Not Found", 0 )</f>
        <v>0</v>
      </c>
      <c r="Z516" s="16">
        <f>_xlfn.XLOOKUP(CustomerCombinedCleaned[[#This Row],[ID]], Table2[ID],Table2[MC2], "Not Found", 0 )</f>
        <v>0</v>
      </c>
      <c r="AA516" s="16">
        <f>_xlfn.XLOOKUP(CustomerCombinedCleaned[[#This Row],[ID]], Table2[ID],Table2[MC3], "Not Found", 0 )</f>
        <v>0</v>
      </c>
      <c r="AB516" s="16">
        <f>_xlfn.XLOOKUP(CustomerCombinedCleaned[[#This Row],[ID]], Table2[ID],Table2[MC4], "Not Found", 0 )</f>
        <v>0</v>
      </c>
      <c r="AC516" s="16">
        <f>_xlfn.XLOOKUP(CustomerCombinedCleaned[[#This Row],[ID]], Table2[ID],Table2[MC5], "Not Found", 0 )</f>
        <v>0</v>
      </c>
    </row>
    <row r="517" spans="1:29" x14ac:dyDescent="0.3">
      <c r="A517" s="18">
        <v>2687</v>
      </c>
      <c r="B517" s="16">
        <v>141154</v>
      </c>
      <c r="C517" s="16">
        <v>0</v>
      </c>
      <c r="D517" s="16">
        <v>1</v>
      </c>
      <c r="E517" s="16">
        <v>42</v>
      </c>
      <c r="F517" s="17" t="s">
        <v>8</v>
      </c>
      <c r="G517" s="17" t="s">
        <v>11</v>
      </c>
      <c r="H517" s="3" t="s">
        <v>280</v>
      </c>
      <c r="I517" s="5" t="s">
        <v>434</v>
      </c>
      <c r="J517" s="16">
        <f>_xlfn.XLOOKUP(CustomerCombinedCleaned[[#This Row],[ID]], Table4[ID], Table4[Recency], "Not Found", 0)</f>
        <v>98</v>
      </c>
      <c r="K517" s="16">
        <f>_xlfn.XLOOKUP(CustomerCombinedCleaned[[#This Row],[ID]], Table4[ID], Table4[Teas], "Not Found", 0)</f>
        <v>151</v>
      </c>
      <c r="L517" s="16">
        <f>_xlfn.XLOOKUP(CustomerCombinedCleaned[[#This Row],[ID]], Table4[ID], Table4[Fruits], "Not Found", 0)</f>
        <v>7</v>
      </c>
      <c r="M517" s="16">
        <f>_xlfn.XLOOKUP(CustomerCombinedCleaned[[#This Row],[ID]], Table4[ID], Table4[Meats], "Not Found", 0)</f>
        <v>38</v>
      </c>
      <c r="N517" s="16">
        <f>_xlfn.XLOOKUP(CustomerCombinedCleaned[[#This Row],[ID]], Table4[ID], Table4[Seafood], "Not Found", 0)</f>
        <v>7</v>
      </c>
      <c r="O517" s="16">
        <f>_xlfn.XLOOKUP(CustomerCombinedCleaned[[#This Row],[ID]], Table4[ID], Table4[Sweets], "Not Found", 0)</f>
        <v>10</v>
      </c>
      <c r="P517" s="16">
        <f>_xlfn.XLOOKUP(CustomerCombinedCleaned[[#This Row],[ID]], Table4[ID], Table4[Premium], "Not Found", 0)</f>
        <v>24</v>
      </c>
      <c r="Q517" s="16">
        <f>_xlfn.XLOOKUP(CustomerCombinedCleaned[[#This Row],[ID]], Table4[ID], Table4[Regular], "Not Found", 0)</f>
        <v>189</v>
      </c>
      <c r="R517" s="16">
        <f>_xlfn.XLOOKUP(CustomerCombinedCleaned[[#This Row],[ID]], Table4[ID], Table4[Deals], "Not Found", 0)</f>
        <v>1</v>
      </c>
      <c r="S517" s="16">
        <f>_xlfn.XLOOKUP(CustomerCombinedCleaned[[#This Row],[ID]], Table4[ID], Table4[Website], "Not Found", 0)</f>
        <v>1</v>
      </c>
      <c r="T517" s="16">
        <f>_xlfn.XLOOKUP(CustomerCombinedCleaned[[#This Row],[ID]], Table4[ID], Table4[Catalog], "Not Found", 0)</f>
        <v>0</v>
      </c>
      <c r="U517" s="16">
        <f>_xlfn.XLOOKUP(CustomerCombinedCleaned[[#This Row],[ID]], Table4[ID], Table4[Store], "Not Found", 0)</f>
        <v>4</v>
      </c>
      <c r="V517" s="16">
        <f>_xlfn.XLOOKUP(CustomerCombinedCleaned[[#This Row],[ID]], Table4[ID], Table4[Visits], "Not Found", 0)</f>
        <v>5</v>
      </c>
      <c r="W517" s="16">
        <f>_xlfn.XLOOKUP(CustomerCombinedCleaned[[#This Row],[ID]], Table2[ID],Table2[Complaint], "Not Found", 0 )</f>
        <v>0</v>
      </c>
      <c r="X517" s="16">
        <f>_xlfn.XLOOKUP(CustomerCombinedCleaned[[#This Row],[ID]], Table2[ID],Table2[Pilot], "Not Found", 0 )</f>
        <v>0</v>
      </c>
      <c r="Y517" s="16">
        <f>_xlfn.XLOOKUP(CustomerCombinedCleaned[[#This Row],[ID]], Table2[ID],Table2[MC1], "Not Found", 0 )</f>
        <v>0</v>
      </c>
      <c r="Z517" s="16">
        <f>_xlfn.XLOOKUP(CustomerCombinedCleaned[[#This Row],[ID]], Table2[ID],Table2[MC2], "Not Found", 0 )</f>
        <v>0</v>
      </c>
      <c r="AA517" s="16">
        <f>_xlfn.XLOOKUP(CustomerCombinedCleaned[[#This Row],[ID]], Table2[ID],Table2[MC3], "Not Found", 0 )</f>
        <v>0</v>
      </c>
      <c r="AB517" s="16">
        <f>_xlfn.XLOOKUP(CustomerCombinedCleaned[[#This Row],[ID]], Table2[ID],Table2[MC4], "Not Found", 0 )</f>
        <v>0</v>
      </c>
      <c r="AC517" s="16">
        <f>_xlfn.XLOOKUP(CustomerCombinedCleaned[[#This Row],[ID]], Table2[ID],Table2[MC5], "Not Found", 0 )</f>
        <v>0</v>
      </c>
    </row>
    <row r="518" spans="1:29" x14ac:dyDescent="0.3">
      <c r="A518" s="18">
        <v>2060</v>
      </c>
      <c r="B518" s="16">
        <v>141014</v>
      </c>
      <c r="C518" s="16">
        <v>1</v>
      </c>
      <c r="D518" s="16">
        <v>0</v>
      </c>
      <c r="E518" s="16">
        <v>42</v>
      </c>
      <c r="F518" s="17" t="s">
        <v>6</v>
      </c>
      <c r="G518" s="17" t="s">
        <v>13</v>
      </c>
      <c r="H518" s="3" t="s">
        <v>267</v>
      </c>
      <c r="I518" s="5" t="s">
        <v>438</v>
      </c>
      <c r="J518" s="16">
        <f>_xlfn.XLOOKUP(CustomerCombinedCleaned[[#This Row],[ID]], Table4[ID], Table4[Recency], "Not Found", 0)</f>
        <v>65</v>
      </c>
      <c r="K518" s="16">
        <f>_xlfn.XLOOKUP(CustomerCombinedCleaned[[#This Row],[ID]], Table4[ID], Table4[Teas], "Not Found", 0)</f>
        <v>24</v>
      </c>
      <c r="L518" s="16">
        <f>_xlfn.XLOOKUP(CustomerCombinedCleaned[[#This Row],[ID]], Table4[ID], Table4[Fruits], "Not Found", 0)</f>
        <v>7</v>
      </c>
      <c r="M518" s="16">
        <f>_xlfn.XLOOKUP(CustomerCombinedCleaned[[#This Row],[ID]], Table4[ID], Table4[Meats], "Not Found", 0)</f>
        <v>21</v>
      </c>
      <c r="N518" s="16">
        <f>_xlfn.XLOOKUP(CustomerCombinedCleaned[[#This Row],[ID]], Table4[ID], Table4[Seafood], "Not Found", 0)</f>
        <v>7</v>
      </c>
      <c r="O518" s="16">
        <f>_xlfn.XLOOKUP(CustomerCombinedCleaned[[#This Row],[ID]], Table4[ID], Table4[Sweets], "Not Found", 0)</f>
        <v>0</v>
      </c>
      <c r="P518" s="16">
        <f>_xlfn.XLOOKUP(CustomerCombinedCleaned[[#This Row],[ID]], Table4[ID], Table4[Premium], "Not Found", 0)</f>
        <v>10</v>
      </c>
      <c r="Q518" s="16">
        <f>_xlfn.XLOOKUP(CustomerCombinedCleaned[[#This Row],[ID]], Table4[ID], Table4[Regular], "Not Found", 0)</f>
        <v>48</v>
      </c>
      <c r="R518" s="16">
        <f>_xlfn.XLOOKUP(CustomerCombinedCleaned[[#This Row],[ID]], Table4[ID], Table4[Deals], "Not Found", 0)</f>
        <v>1</v>
      </c>
      <c r="S518" s="16">
        <f>_xlfn.XLOOKUP(CustomerCombinedCleaned[[#This Row],[ID]], Table4[ID], Table4[Website], "Not Found", 0)</f>
        <v>1</v>
      </c>
      <c r="T518" s="16">
        <f>_xlfn.XLOOKUP(CustomerCombinedCleaned[[#This Row],[ID]], Table4[ID], Table4[Catalog], "Not Found", 0)</f>
        <v>0</v>
      </c>
      <c r="U518" s="16">
        <f>_xlfn.XLOOKUP(CustomerCombinedCleaned[[#This Row],[ID]], Table4[ID], Table4[Store], "Not Found", 0)</f>
        <v>2</v>
      </c>
      <c r="V518" s="16">
        <f>_xlfn.XLOOKUP(CustomerCombinedCleaned[[#This Row],[ID]], Table4[ID], Table4[Visits], "Not Found", 0)</f>
        <v>7</v>
      </c>
      <c r="W518" s="16">
        <f>_xlfn.XLOOKUP(CustomerCombinedCleaned[[#This Row],[ID]], Table2[ID],Table2[Complaint], "Not Found", 0 )</f>
        <v>0</v>
      </c>
      <c r="X518" s="16">
        <f>_xlfn.XLOOKUP(CustomerCombinedCleaned[[#This Row],[ID]], Table2[ID],Table2[Pilot], "Not Found", 0 )</f>
        <v>0</v>
      </c>
      <c r="Y518" s="16">
        <f>_xlfn.XLOOKUP(CustomerCombinedCleaned[[#This Row],[ID]], Table2[ID],Table2[MC1], "Not Found", 0 )</f>
        <v>0</v>
      </c>
      <c r="Z518" s="16">
        <f>_xlfn.XLOOKUP(CustomerCombinedCleaned[[#This Row],[ID]], Table2[ID],Table2[MC2], "Not Found", 0 )</f>
        <v>0</v>
      </c>
      <c r="AA518" s="16">
        <f>_xlfn.XLOOKUP(CustomerCombinedCleaned[[#This Row],[ID]], Table2[ID],Table2[MC3], "Not Found", 0 )</f>
        <v>0</v>
      </c>
      <c r="AB518" s="16">
        <f>_xlfn.XLOOKUP(CustomerCombinedCleaned[[#This Row],[ID]], Table2[ID],Table2[MC4], "Not Found", 0 )</f>
        <v>0</v>
      </c>
      <c r="AC518" s="16">
        <f>_xlfn.XLOOKUP(CustomerCombinedCleaned[[#This Row],[ID]], Table2[ID],Table2[MC5], "Not Found", 0 )</f>
        <v>0</v>
      </c>
    </row>
    <row r="519" spans="1:29" x14ac:dyDescent="0.3">
      <c r="A519" s="18">
        <v>1724</v>
      </c>
      <c r="B519" s="16">
        <v>138702</v>
      </c>
      <c r="C519" s="16">
        <v>1</v>
      </c>
      <c r="D519" s="16">
        <v>0</v>
      </c>
      <c r="E519" s="16">
        <v>42</v>
      </c>
      <c r="F519" s="17" t="s">
        <v>8</v>
      </c>
      <c r="G519" s="17" t="s">
        <v>11</v>
      </c>
      <c r="H519" s="3" t="s">
        <v>698</v>
      </c>
      <c r="I519" s="5" t="s">
        <v>438</v>
      </c>
      <c r="J519" s="16">
        <f>_xlfn.XLOOKUP(CustomerCombinedCleaned[[#This Row],[ID]], Table4[ID], Table4[Recency], "Not Found", 0)</f>
        <v>71</v>
      </c>
      <c r="K519" s="16">
        <f>_xlfn.XLOOKUP(CustomerCombinedCleaned[[#This Row],[ID]], Table4[ID], Table4[Teas], "Not Found", 0)</f>
        <v>47</v>
      </c>
      <c r="L519" s="16">
        <f>_xlfn.XLOOKUP(CustomerCombinedCleaned[[#This Row],[ID]], Table4[ID], Table4[Fruits], "Not Found", 0)</f>
        <v>39</v>
      </c>
      <c r="M519" s="16">
        <f>_xlfn.XLOOKUP(CustomerCombinedCleaned[[#This Row],[ID]], Table4[ID], Table4[Meats], "Not Found", 0)</f>
        <v>86</v>
      </c>
      <c r="N519" s="16">
        <f>_xlfn.XLOOKUP(CustomerCombinedCleaned[[#This Row],[ID]], Table4[ID], Table4[Seafood], "Not Found", 0)</f>
        <v>47</v>
      </c>
      <c r="O519" s="16">
        <f>_xlfn.XLOOKUP(CustomerCombinedCleaned[[#This Row],[ID]], Table4[ID], Table4[Sweets], "Not Found", 0)</f>
        <v>29</v>
      </c>
      <c r="P519" s="16">
        <f>_xlfn.XLOOKUP(CustomerCombinedCleaned[[#This Row],[ID]], Table4[ID], Table4[Premium], "Not Found", 0)</f>
        <v>143</v>
      </c>
      <c r="Q519" s="16">
        <f>_xlfn.XLOOKUP(CustomerCombinedCleaned[[#This Row],[ID]], Table4[ID], Table4[Regular], "Not Found", 0)</f>
        <v>104</v>
      </c>
      <c r="R519" s="16">
        <f>_xlfn.XLOOKUP(CustomerCombinedCleaned[[#This Row],[ID]], Table4[ID], Table4[Deals], "Not Found", 0)</f>
        <v>2</v>
      </c>
      <c r="S519" s="16">
        <f>_xlfn.XLOOKUP(CustomerCombinedCleaned[[#This Row],[ID]], Table4[ID], Table4[Website], "Not Found", 0)</f>
        <v>3</v>
      </c>
      <c r="T519" s="16">
        <f>_xlfn.XLOOKUP(CustomerCombinedCleaned[[#This Row],[ID]], Table4[ID], Table4[Catalog], "Not Found", 0)</f>
        <v>0</v>
      </c>
      <c r="U519" s="16">
        <f>_xlfn.XLOOKUP(CustomerCombinedCleaned[[#This Row],[ID]], Table4[ID], Table4[Store], "Not Found", 0)</f>
        <v>4</v>
      </c>
      <c r="V519" s="16">
        <f>_xlfn.XLOOKUP(CustomerCombinedCleaned[[#This Row],[ID]], Table4[ID], Table4[Visits], "Not Found", 0)</f>
        <v>6</v>
      </c>
      <c r="W519" s="16">
        <f>_xlfn.XLOOKUP(CustomerCombinedCleaned[[#This Row],[ID]], Table2[ID],Table2[Complaint], "Not Found", 0 )</f>
        <v>0</v>
      </c>
      <c r="X519" s="16">
        <f>_xlfn.XLOOKUP(CustomerCombinedCleaned[[#This Row],[ID]], Table2[ID],Table2[Pilot], "Not Found", 0 )</f>
        <v>0</v>
      </c>
      <c r="Y519" s="16">
        <f>_xlfn.XLOOKUP(CustomerCombinedCleaned[[#This Row],[ID]], Table2[ID],Table2[MC1], "Not Found", 0 )</f>
        <v>0</v>
      </c>
      <c r="Z519" s="16">
        <f>_xlfn.XLOOKUP(CustomerCombinedCleaned[[#This Row],[ID]], Table2[ID],Table2[MC2], "Not Found", 0 )</f>
        <v>0</v>
      </c>
      <c r="AA519" s="16">
        <f>_xlfn.XLOOKUP(CustomerCombinedCleaned[[#This Row],[ID]], Table2[ID],Table2[MC3], "Not Found", 0 )</f>
        <v>0</v>
      </c>
      <c r="AB519" s="16">
        <f>_xlfn.XLOOKUP(CustomerCombinedCleaned[[#This Row],[ID]], Table2[ID],Table2[MC4], "Not Found", 0 )</f>
        <v>0</v>
      </c>
      <c r="AC519" s="16">
        <f>_xlfn.XLOOKUP(CustomerCombinedCleaned[[#This Row],[ID]], Table2[ID],Table2[MC5], "Not Found", 0 )</f>
        <v>0</v>
      </c>
    </row>
    <row r="520" spans="1:29" x14ac:dyDescent="0.3">
      <c r="A520" s="18">
        <v>1339</v>
      </c>
      <c r="B520" s="16">
        <v>138643</v>
      </c>
      <c r="C520" s="16">
        <v>1</v>
      </c>
      <c r="D520" s="16">
        <v>1</v>
      </c>
      <c r="E520" s="16">
        <v>42</v>
      </c>
      <c r="F520" s="17" t="s">
        <v>7</v>
      </c>
      <c r="G520" s="17" t="s">
        <v>11</v>
      </c>
      <c r="H520" s="3" t="s">
        <v>761</v>
      </c>
      <c r="I520" s="5" t="s">
        <v>437</v>
      </c>
      <c r="J520" s="16">
        <f>_xlfn.XLOOKUP(CustomerCombinedCleaned[[#This Row],[ID]], Table4[ID], Table4[Recency], "Not Found", 0)</f>
        <v>45</v>
      </c>
      <c r="K520" s="16">
        <f>_xlfn.XLOOKUP(CustomerCombinedCleaned[[#This Row],[ID]], Table4[ID], Table4[Teas], "Not Found", 0)</f>
        <v>79</v>
      </c>
      <c r="L520" s="16">
        <f>_xlfn.XLOOKUP(CustomerCombinedCleaned[[#This Row],[ID]], Table4[ID], Table4[Fruits], "Not Found", 0)</f>
        <v>7</v>
      </c>
      <c r="M520" s="16">
        <f>_xlfn.XLOOKUP(CustomerCombinedCleaned[[#This Row],[ID]], Table4[ID], Table4[Meats], "Not Found", 0)</f>
        <v>50</v>
      </c>
      <c r="N520" s="16">
        <f>_xlfn.XLOOKUP(CustomerCombinedCleaned[[#This Row],[ID]], Table4[ID], Table4[Seafood], "Not Found", 0)</f>
        <v>0</v>
      </c>
      <c r="O520" s="16">
        <f>_xlfn.XLOOKUP(CustomerCombinedCleaned[[#This Row],[ID]], Table4[ID], Table4[Sweets], "Not Found", 0)</f>
        <v>4</v>
      </c>
      <c r="P520" s="16">
        <f>_xlfn.XLOOKUP(CustomerCombinedCleaned[[#This Row],[ID]], Table4[ID], Table4[Premium], "Not Found", 0)</f>
        <v>36</v>
      </c>
      <c r="Q520" s="16">
        <f>_xlfn.XLOOKUP(CustomerCombinedCleaned[[#This Row],[ID]], Table4[ID], Table4[Regular], "Not Found", 0)</f>
        <v>104</v>
      </c>
      <c r="R520" s="16">
        <f>_xlfn.XLOOKUP(CustomerCombinedCleaned[[#This Row],[ID]], Table4[ID], Table4[Deals], "Not Found", 0)</f>
        <v>2</v>
      </c>
      <c r="S520" s="16">
        <f>_xlfn.XLOOKUP(CustomerCombinedCleaned[[#This Row],[ID]], Table4[ID], Table4[Website], "Not Found", 0)</f>
        <v>2</v>
      </c>
      <c r="T520" s="16">
        <f>_xlfn.XLOOKUP(CustomerCombinedCleaned[[#This Row],[ID]], Table4[ID], Table4[Catalog], "Not Found", 0)</f>
        <v>0</v>
      </c>
      <c r="U520" s="16">
        <f>_xlfn.XLOOKUP(CustomerCombinedCleaned[[#This Row],[ID]], Table4[ID], Table4[Store], "Not Found", 0)</f>
        <v>3</v>
      </c>
      <c r="V520" s="16">
        <f>_xlfn.XLOOKUP(CustomerCombinedCleaned[[#This Row],[ID]], Table4[ID], Table4[Visits], "Not Found", 0)</f>
        <v>7</v>
      </c>
      <c r="W520" s="16">
        <f>_xlfn.XLOOKUP(CustomerCombinedCleaned[[#This Row],[ID]], Table2[ID],Table2[Complaint], "Not Found", 0 )</f>
        <v>1</v>
      </c>
      <c r="X520" s="16">
        <f>_xlfn.XLOOKUP(CustomerCombinedCleaned[[#This Row],[ID]], Table2[ID],Table2[Pilot], "Not Found", 0 )</f>
        <v>0</v>
      </c>
      <c r="Y520" s="16">
        <f>_xlfn.XLOOKUP(CustomerCombinedCleaned[[#This Row],[ID]], Table2[ID],Table2[MC1], "Not Found", 0 )</f>
        <v>0</v>
      </c>
      <c r="Z520" s="16">
        <f>_xlfn.XLOOKUP(CustomerCombinedCleaned[[#This Row],[ID]], Table2[ID],Table2[MC2], "Not Found", 0 )</f>
        <v>0</v>
      </c>
      <c r="AA520" s="16">
        <f>_xlfn.XLOOKUP(CustomerCombinedCleaned[[#This Row],[ID]], Table2[ID],Table2[MC3], "Not Found", 0 )</f>
        <v>0</v>
      </c>
      <c r="AB520" s="16">
        <f>_xlfn.XLOOKUP(CustomerCombinedCleaned[[#This Row],[ID]], Table2[ID],Table2[MC4], "Not Found", 0 )</f>
        <v>0</v>
      </c>
      <c r="AC520" s="16">
        <f>_xlfn.XLOOKUP(CustomerCombinedCleaned[[#This Row],[ID]], Table2[ID],Table2[MC5], "Not Found", 0 )</f>
        <v>0</v>
      </c>
    </row>
    <row r="521" spans="1:29" x14ac:dyDescent="0.3">
      <c r="A521" s="18">
        <v>1556</v>
      </c>
      <c r="B521" s="16">
        <v>138593</v>
      </c>
      <c r="C521" s="16">
        <v>1</v>
      </c>
      <c r="D521" s="16">
        <v>0</v>
      </c>
      <c r="E521" s="16">
        <v>42</v>
      </c>
      <c r="F521" s="17" t="s">
        <v>7</v>
      </c>
      <c r="G521" s="17" t="s">
        <v>11</v>
      </c>
      <c r="H521" s="3" t="s">
        <v>186</v>
      </c>
      <c r="I521" s="5" t="s">
        <v>438</v>
      </c>
      <c r="J521" s="16">
        <f>_xlfn.XLOOKUP(CustomerCombinedCleaned[[#This Row],[ID]], Table4[ID], Table4[Recency], "Not Found", 0)</f>
        <v>42</v>
      </c>
      <c r="K521" s="16">
        <f>_xlfn.XLOOKUP(CustomerCombinedCleaned[[#This Row],[ID]], Table4[ID], Table4[Teas], "Not Found", 0)</f>
        <v>183</v>
      </c>
      <c r="L521" s="16">
        <f>_xlfn.XLOOKUP(CustomerCombinedCleaned[[#This Row],[ID]], Table4[ID], Table4[Fruits], "Not Found", 0)</f>
        <v>43</v>
      </c>
      <c r="M521" s="16">
        <f>_xlfn.XLOOKUP(CustomerCombinedCleaned[[#This Row],[ID]], Table4[ID], Table4[Meats], "Not Found", 0)</f>
        <v>176</v>
      </c>
      <c r="N521" s="16">
        <f>_xlfn.XLOOKUP(CustomerCombinedCleaned[[#This Row],[ID]], Table4[ID], Table4[Seafood], "Not Found", 0)</f>
        <v>61</v>
      </c>
      <c r="O521" s="16">
        <f>_xlfn.XLOOKUP(CustomerCombinedCleaned[[#This Row],[ID]], Table4[ID], Table4[Sweets], "Not Found", 0)</f>
        <v>86</v>
      </c>
      <c r="P521" s="16">
        <f>_xlfn.XLOOKUP(CustomerCombinedCleaned[[#This Row],[ID]], Table4[ID], Table4[Premium], "Not Found", 0)</f>
        <v>86</v>
      </c>
      <c r="Q521" s="16">
        <f>_xlfn.XLOOKUP(CustomerCombinedCleaned[[#This Row],[ID]], Table4[ID], Table4[Regular], "Not Found", 0)</f>
        <v>463</v>
      </c>
      <c r="R521" s="16">
        <f>_xlfn.XLOOKUP(CustomerCombinedCleaned[[#This Row],[ID]], Table4[ID], Table4[Deals], "Not Found", 0)</f>
        <v>3</v>
      </c>
      <c r="S521" s="16">
        <f>_xlfn.XLOOKUP(CustomerCombinedCleaned[[#This Row],[ID]], Table4[ID], Table4[Website], "Not Found", 0)</f>
        <v>4</v>
      </c>
      <c r="T521" s="16">
        <f>_xlfn.XLOOKUP(CustomerCombinedCleaned[[#This Row],[ID]], Table4[ID], Table4[Catalog], "Not Found", 0)</f>
        <v>1</v>
      </c>
      <c r="U521" s="16">
        <f>_xlfn.XLOOKUP(CustomerCombinedCleaned[[#This Row],[ID]], Table4[ID], Table4[Store], "Not Found", 0)</f>
        <v>3</v>
      </c>
      <c r="V521" s="16">
        <f>_xlfn.XLOOKUP(CustomerCombinedCleaned[[#This Row],[ID]], Table4[ID], Table4[Visits], "Not Found", 0)</f>
        <v>8</v>
      </c>
      <c r="W521" s="16">
        <f>_xlfn.XLOOKUP(CustomerCombinedCleaned[[#This Row],[ID]], Table2[ID],Table2[Complaint], "Not Found", 0 )</f>
        <v>0</v>
      </c>
      <c r="X521" s="16">
        <f>_xlfn.XLOOKUP(CustomerCombinedCleaned[[#This Row],[ID]], Table2[ID],Table2[Pilot], "Not Found", 0 )</f>
        <v>0</v>
      </c>
      <c r="Y521" s="16">
        <f>_xlfn.XLOOKUP(CustomerCombinedCleaned[[#This Row],[ID]], Table2[ID],Table2[MC1], "Not Found", 0 )</f>
        <v>0</v>
      </c>
      <c r="Z521" s="16">
        <f>_xlfn.XLOOKUP(CustomerCombinedCleaned[[#This Row],[ID]], Table2[ID],Table2[MC2], "Not Found", 0 )</f>
        <v>0</v>
      </c>
      <c r="AA521" s="16">
        <f>_xlfn.XLOOKUP(CustomerCombinedCleaned[[#This Row],[ID]], Table2[ID],Table2[MC3], "Not Found", 0 )</f>
        <v>0</v>
      </c>
      <c r="AB521" s="16">
        <f>_xlfn.XLOOKUP(CustomerCombinedCleaned[[#This Row],[ID]], Table2[ID],Table2[MC4], "Not Found", 0 )</f>
        <v>0</v>
      </c>
      <c r="AC521" s="16">
        <f>_xlfn.XLOOKUP(CustomerCombinedCleaned[[#This Row],[ID]], Table2[ID],Table2[MC5], "Not Found", 0 )</f>
        <v>0</v>
      </c>
    </row>
    <row r="522" spans="1:29" x14ac:dyDescent="0.3">
      <c r="A522" s="18">
        <v>1100</v>
      </c>
      <c r="B522" s="16">
        <v>138557</v>
      </c>
      <c r="C522" s="16">
        <v>1</v>
      </c>
      <c r="D522" s="16">
        <v>0</v>
      </c>
      <c r="E522" s="16">
        <v>42</v>
      </c>
      <c r="F522" s="17" t="s">
        <v>7</v>
      </c>
      <c r="G522" s="17" t="s">
        <v>11</v>
      </c>
      <c r="H522" s="3" t="s">
        <v>340</v>
      </c>
      <c r="I522" s="5" t="s">
        <v>438</v>
      </c>
      <c r="J522" s="16">
        <f>_xlfn.XLOOKUP(CustomerCombinedCleaned[[#This Row],[ID]], Table4[ID], Table4[Recency], "Not Found", 0)</f>
        <v>17</v>
      </c>
      <c r="K522" s="16">
        <f>_xlfn.XLOOKUP(CustomerCombinedCleaned[[#This Row],[ID]], Table4[ID], Table4[Teas], "Not Found", 0)</f>
        <v>273</v>
      </c>
      <c r="L522" s="16">
        <f>_xlfn.XLOOKUP(CustomerCombinedCleaned[[#This Row],[ID]], Table4[ID], Table4[Fruits], "Not Found", 0)</f>
        <v>11</v>
      </c>
      <c r="M522" s="16">
        <f>_xlfn.XLOOKUP(CustomerCombinedCleaned[[#This Row],[ID]], Table4[ID], Table4[Meats], "Not Found", 0)</f>
        <v>111</v>
      </c>
      <c r="N522" s="16">
        <f>_xlfn.XLOOKUP(CustomerCombinedCleaned[[#This Row],[ID]], Table4[ID], Table4[Seafood], "Not Found", 0)</f>
        <v>14</v>
      </c>
      <c r="O522" s="16">
        <f>_xlfn.XLOOKUP(CustomerCombinedCleaned[[#This Row],[ID]], Table4[ID], Table4[Sweets], "Not Found", 0)</f>
        <v>14</v>
      </c>
      <c r="P522" s="16">
        <f>_xlfn.XLOOKUP(CustomerCombinedCleaned[[#This Row],[ID]], Table4[ID], Table4[Premium], "Not Found", 0)</f>
        <v>97</v>
      </c>
      <c r="Q522" s="16">
        <f>_xlfn.XLOOKUP(CustomerCombinedCleaned[[#This Row],[ID]], Table4[ID], Table4[Regular], "Not Found", 0)</f>
        <v>327</v>
      </c>
      <c r="R522" s="16">
        <f>_xlfn.XLOOKUP(CustomerCombinedCleaned[[#This Row],[ID]], Table4[ID], Table4[Deals], "Not Found", 0)</f>
        <v>2</v>
      </c>
      <c r="S522" s="16">
        <f>_xlfn.XLOOKUP(CustomerCombinedCleaned[[#This Row],[ID]], Table4[ID], Table4[Website], "Not Found", 0)</f>
        <v>3</v>
      </c>
      <c r="T522" s="16">
        <f>_xlfn.XLOOKUP(CustomerCombinedCleaned[[#This Row],[ID]], Table4[ID], Table4[Catalog], "Not Found", 0)</f>
        <v>1</v>
      </c>
      <c r="U522" s="16">
        <f>_xlfn.XLOOKUP(CustomerCombinedCleaned[[#This Row],[ID]], Table4[ID], Table4[Store], "Not Found", 0)</f>
        <v>3</v>
      </c>
      <c r="V522" s="16">
        <f>_xlfn.XLOOKUP(CustomerCombinedCleaned[[#This Row],[ID]], Table4[ID], Table4[Visits], "Not Found", 0)</f>
        <v>7</v>
      </c>
      <c r="W522" s="16">
        <f>_xlfn.XLOOKUP(CustomerCombinedCleaned[[#This Row],[ID]], Table2[ID],Table2[Complaint], "Not Found", 0 )</f>
        <v>0</v>
      </c>
      <c r="X522" s="16">
        <f>_xlfn.XLOOKUP(CustomerCombinedCleaned[[#This Row],[ID]], Table2[ID],Table2[Pilot], "Not Found", 0 )</f>
        <v>0</v>
      </c>
      <c r="Y522" s="16">
        <f>_xlfn.XLOOKUP(CustomerCombinedCleaned[[#This Row],[ID]], Table2[ID],Table2[MC1], "Not Found", 0 )</f>
        <v>0</v>
      </c>
      <c r="Z522" s="16">
        <f>_xlfn.XLOOKUP(CustomerCombinedCleaned[[#This Row],[ID]], Table2[ID],Table2[MC2], "Not Found", 0 )</f>
        <v>0</v>
      </c>
      <c r="AA522" s="16">
        <f>_xlfn.XLOOKUP(CustomerCombinedCleaned[[#This Row],[ID]], Table2[ID],Table2[MC3], "Not Found", 0 )</f>
        <v>0</v>
      </c>
      <c r="AB522" s="16">
        <f>_xlfn.XLOOKUP(CustomerCombinedCleaned[[#This Row],[ID]], Table2[ID],Table2[MC4], "Not Found", 0 )</f>
        <v>0</v>
      </c>
      <c r="AC522" s="16">
        <f>_xlfn.XLOOKUP(CustomerCombinedCleaned[[#This Row],[ID]], Table2[ID],Table2[MC5], "Not Found", 0 )</f>
        <v>0</v>
      </c>
    </row>
    <row r="523" spans="1:29" x14ac:dyDescent="0.3">
      <c r="A523" s="18">
        <v>1457</v>
      </c>
      <c r="B523" s="16">
        <v>138415</v>
      </c>
      <c r="C523" s="16">
        <v>1</v>
      </c>
      <c r="D523" s="16">
        <v>1</v>
      </c>
      <c r="E523" s="16">
        <v>42</v>
      </c>
      <c r="F523" s="17" t="s">
        <v>6</v>
      </c>
      <c r="G523" s="17" t="s">
        <v>11</v>
      </c>
      <c r="H523" s="3" t="s">
        <v>564</v>
      </c>
      <c r="I523" s="5" t="s">
        <v>434</v>
      </c>
      <c r="J523" s="16">
        <f>_xlfn.XLOOKUP(CustomerCombinedCleaned[[#This Row],[ID]], Table4[ID], Table4[Recency], "Not Found", 0)</f>
        <v>91</v>
      </c>
      <c r="K523" s="16">
        <f>_xlfn.XLOOKUP(CustomerCombinedCleaned[[#This Row],[ID]], Table4[ID], Table4[Teas], "Not Found", 0)</f>
        <v>79</v>
      </c>
      <c r="L523" s="16">
        <f>_xlfn.XLOOKUP(CustomerCombinedCleaned[[#This Row],[ID]], Table4[ID], Table4[Fruits], "Not Found", 0)</f>
        <v>4</v>
      </c>
      <c r="M523" s="16">
        <f>_xlfn.XLOOKUP(CustomerCombinedCleaned[[#This Row],[ID]], Table4[ID], Table4[Meats], "Not Found", 0)</f>
        <v>47</v>
      </c>
      <c r="N523" s="16">
        <f>_xlfn.XLOOKUP(CustomerCombinedCleaned[[#This Row],[ID]], Table4[ID], Table4[Seafood], "Not Found", 0)</f>
        <v>14</v>
      </c>
      <c r="O523" s="16">
        <f>_xlfn.XLOOKUP(CustomerCombinedCleaned[[#This Row],[ID]], Table4[ID], Table4[Sweets], "Not Found", 0)</f>
        <v>0</v>
      </c>
      <c r="P523" s="16">
        <f>_xlfn.XLOOKUP(CustomerCombinedCleaned[[#This Row],[ID]], Table4[ID], Table4[Premium], "Not Found", 0)</f>
        <v>14</v>
      </c>
      <c r="Q523" s="16">
        <f>_xlfn.XLOOKUP(CustomerCombinedCleaned[[#This Row],[ID]], Table4[ID], Table4[Regular], "Not Found", 0)</f>
        <v>130</v>
      </c>
      <c r="R523" s="16">
        <f>_xlfn.XLOOKUP(CustomerCombinedCleaned[[#This Row],[ID]], Table4[ID], Table4[Deals], "Not Found", 0)</f>
        <v>2</v>
      </c>
      <c r="S523" s="16">
        <f>_xlfn.XLOOKUP(CustomerCombinedCleaned[[#This Row],[ID]], Table4[ID], Table4[Website], "Not Found", 0)</f>
        <v>1</v>
      </c>
      <c r="T523" s="16">
        <f>_xlfn.XLOOKUP(CustomerCombinedCleaned[[#This Row],[ID]], Table4[ID], Table4[Catalog], "Not Found", 0)</f>
        <v>0</v>
      </c>
      <c r="U523" s="16">
        <f>_xlfn.XLOOKUP(CustomerCombinedCleaned[[#This Row],[ID]], Table4[ID], Table4[Store], "Not Found", 0)</f>
        <v>3</v>
      </c>
      <c r="V523" s="16">
        <f>_xlfn.XLOOKUP(CustomerCombinedCleaned[[#This Row],[ID]], Table4[ID], Table4[Visits], "Not Found", 0)</f>
        <v>7</v>
      </c>
      <c r="W523" s="16">
        <f>_xlfn.XLOOKUP(CustomerCombinedCleaned[[#This Row],[ID]], Table2[ID],Table2[Complaint], "Not Found", 0 )</f>
        <v>0</v>
      </c>
      <c r="X523" s="16">
        <f>_xlfn.XLOOKUP(CustomerCombinedCleaned[[#This Row],[ID]], Table2[ID],Table2[Pilot], "Not Found", 0 )</f>
        <v>0</v>
      </c>
      <c r="Y523" s="16">
        <f>_xlfn.XLOOKUP(CustomerCombinedCleaned[[#This Row],[ID]], Table2[ID],Table2[MC1], "Not Found", 0 )</f>
        <v>0</v>
      </c>
      <c r="Z523" s="16">
        <f>_xlfn.XLOOKUP(CustomerCombinedCleaned[[#This Row],[ID]], Table2[ID],Table2[MC2], "Not Found", 0 )</f>
        <v>0</v>
      </c>
      <c r="AA523" s="16">
        <f>_xlfn.XLOOKUP(CustomerCombinedCleaned[[#This Row],[ID]], Table2[ID],Table2[MC3], "Not Found", 0 )</f>
        <v>0</v>
      </c>
      <c r="AB523" s="16">
        <f>_xlfn.XLOOKUP(CustomerCombinedCleaned[[#This Row],[ID]], Table2[ID],Table2[MC4], "Not Found", 0 )</f>
        <v>0</v>
      </c>
      <c r="AC523" s="16">
        <f>_xlfn.XLOOKUP(CustomerCombinedCleaned[[#This Row],[ID]], Table2[ID],Table2[MC5], "Not Found", 0 )</f>
        <v>0</v>
      </c>
    </row>
    <row r="524" spans="1:29" x14ac:dyDescent="0.3">
      <c r="A524" s="18">
        <v>2336</v>
      </c>
      <c r="B524" s="16">
        <v>138136</v>
      </c>
      <c r="C524" s="16">
        <v>1</v>
      </c>
      <c r="D524" s="16">
        <v>0</v>
      </c>
      <c r="E524" s="16">
        <v>42</v>
      </c>
      <c r="F524" s="17" t="s">
        <v>6</v>
      </c>
      <c r="G524" s="17" t="s">
        <v>11</v>
      </c>
      <c r="H524" s="3" t="s">
        <v>267</v>
      </c>
      <c r="I524" s="5" t="s">
        <v>438</v>
      </c>
      <c r="J524" s="16">
        <f>_xlfn.XLOOKUP(CustomerCombinedCleaned[[#This Row],[ID]], Table4[ID], Table4[Recency], "Not Found", 0)</f>
        <v>69</v>
      </c>
      <c r="K524" s="16">
        <f>_xlfn.XLOOKUP(CustomerCombinedCleaned[[#This Row],[ID]], Table4[ID], Table4[Teas], "Not Found", 0)</f>
        <v>29</v>
      </c>
      <c r="L524" s="16">
        <f>_xlfn.XLOOKUP(CustomerCombinedCleaned[[#This Row],[ID]], Table4[ID], Table4[Fruits], "Not Found", 0)</f>
        <v>54</v>
      </c>
      <c r="M524" s="16">
        <f>_xlfn.XLOOKUP(CustomerCombinedCleaned[[#This Row],[ID]], Table4[ID], Table4[Meats], "Not Found", 0)</f>
        <v>98</v>
      </c>
      <c r="N524" s="16">
        <f>_xlfn.XLOOKUP(CustomerCombinedCleaned[[#This Row],[ID]], Table4[ID], Table4[Seafood], "Not Found", 0)</f>
        <v>0</v>
      </c>
      <c r="O524" s="16">
        <f>_xlfn.XLOOKUP(CustomerCombinedCleaned[[#This Row],[ID]], Table4[ID], Table4[Sweets], "Not Found", 0)</f>
        <v>72</v>
      </c>
      <c r="P524" s="16">
        <f>_xlfn.XLOOKUP(CustomerCombinedCleaned[[#This Row],[ID]], Table4[ID], Table4[Premium], "Not Found", 0)</f>
        <v>120</v>
      </c>
      <c r="Q524" s="16">
        <f>_xlfn.XLOOKUP(CustomerCombinedCleaned[[#This Row],[ID]], Table4[ID], Table4[Regular], "Not Found", 0)</f>
        <v>134</v>
      </c>
      <c r="R524" s="16">
        <f>_xlfn.XLOOKUP(CustomerCombinedCleaned[[#This Row],[ID]], Table4[ID], Table4[Deals], "Not Found", 0)</f>
        <v>2</v>
      </c>
      <c r="S524" s="16">
        <f>_xlfn.XLOOKUP(CustomerCombinedCleaned[[#This Row],[ID]], Table4[ID], Table4[Website], "Not Found", 0)</f>
        <v>3</v>
      </c>
      <c r="T524" s="16">
        <f>_xlfn.XLOOKUP(CustomerCombinedCleaned[[#This Row],[ID]], Table4[ID], Table4[Catalog], "Not Found", 0)</f>
        <v>1</v>
      </c>
      <c r="U524" s="16">
        <f>_xlfn.XLOOKUP(CustomerCombinedCleaned[[#This Row],[ID]], Table4[ID], Table4[Store], "Not Found", 0)</f>
        <v>2</v>
      </c>
      <c r="V524" s="16">
        <f>_xlfn.XLOOKUP(CustomerCombinedCleaned[[#This Row],[ID]], Table4[ID], Table4[Visits], "Not Found", 0)</f>
        <v>8</v>
      </c>
      <c r="W524" s="16">
        <f>_xlfn.XLOOKUP(CustomerCombinedCleaned[[#This Row],[ID]], Table2[ID],Table2[Complaint], "Not Found", 0 )</f>
        <v>0</v>
      </c>
      <c r="X524" s="16">
        <f>_xlfn.XLOOKUP(CustomerCombinedCleaned[[#This Row],[ID]], Table2[ID],Table2[Pilot], "Not Found", 0 )</f>
        <v>0</v>
      </c>
      <c r="Y524" s="16">
        <f>_xlfn.XLOOKUP(CustomerCombinedCleaned[[#This Row],[ID]], Table2[ID],Table2[MC1], "Not Found", 0 )</f>
        <v>0</v>
      </c>
      <c r="Z524" s="16">
        <f>_xlfn.XLOOKUP(CustomerCombinedCleaned[[#This Row],[ID]], Table2[ID],Table2[MC2], "Not Found", 0 )</f>
        <v>0</v>
      </c>
      <c r="AA524" s="16">
        <f>_xlfn.XLOOKUP(CustomerCombinedCleaned[[#This Row],[ID]], Table2[ID],Table2[MC3], "Not Found", 0 )</f>
        <v>1</v>
      </c>
      <c r="AB524" s="16">
        <f>_xlfn.XLOOKUP(CustomerCombinedCleaned[[#This Row],[ID]], Table2[ID],Table2[MC4], "Not Found", 0 )</f>
        <v>0</v>
      </c>
      <c r="AC524" s="16">
        <f>_xlfn.XLOOKUP(CustomerCombinedCleaned[[#This Row],[ID]], Table2[ID],Table2[MC5], "Not Found", 0 )</f>
        <v>0</v>
      </c>
    </row>
    <row r="525" spans="1:29" x14ac:dyDescent="0.3">
      <c r="A525" s="18">
        <v>1250</v>
      </c>
      <c r="B525" s="16">
        <v>137717</v>
      </c>
      <c r="C525" s="16">
        <v>1</v>
      </c>
      <c r="D525" s="16">
        <v>0</v>
      </c>
      <c r="E525" s="16">
        <v>42</v>
      </c>
      <c r="F525" s="17" t="s">
        <v>6</v>
      </c>
      <c r="G525" s="17" t="s">
        <v>13</v>
      </c>
      <c r="H525" s="3" t="s">
        <v>353</v>
      </c>
      <c r="I525" s="5" t="s">
        <v>438</v>
      </c>
      <c r="J525" s="16">
        <f>_xlfn.XLOOKUP(CustomerCombinedCleaned[[#This Row],[ID]], Table4[ID], Table4[Recency], "Not Found", 0)</f>
        <v>31</v>
      </c>
      <c r="K525" s="16">
        <f>_xlfn.XLOOKUP(CustomerCombinedCleaned[[#This Row],[ID]], Table4[ID], Table4[Teas], "Not Found", 0)</f>
        <v>33</v>
      </c>
      <c r="L525" s="16">
        <f>_xlfn.XLOOKUP(CustomerCombinedCleaned[[#This Row],[ID]], Table4[ID], Table4[Fruits], "Not Found", 0)</f>
        <v>0</v>
      </c>
      <c r="M525" s="16">
        <f>_xlfn.XLOOKUP(CustomerCombinedCleaned[[#This Row],[ID]], Table4[ID], Table4[Meats], "Not Found", 0)</f>
        <v>22</v>
      </c>
      <c r="N525" s="16">
        <f>_xlfn.XLOOKUP(CustomerCombinedCleaned[[#This Row],[ID]], Table4[ID], Table4[Seafood], "Not Found", 0)</f>
        <v>15</v>
      </c>
      <c r="O525" s="16">
        <f>_xlfn.XLOOKUP(CustomerCombinedCleaned[[#This Row],[ID]], Table4[ID], Table4[Sweets], "Not Found", 0)</f>
        <v>4</v>
      </c>
      <c r="P525" s="16">
        <f>_xlfn.XLOOKUP(CustomerCombinedCleaned[[#This Row],[ID]], Table4[ID], Table4[Premium], "Not Found", 0)</f>
        <v>18</v>
      </c>
      <c r="Q525" s="16">
        <f>_xlfn.XLOOKUP(CustomerCombinedCleaned[[#This Row],[ID]], Table4[ID], Table4[Regular], "Not Found", 0)</f>
        <v>55</v>
      </c>
      <c r="R525" s="16">
        <f>_xlfn.XLOOKUP(CustomerCombinedCleaned[[#This Row],[ID]], Table4[ID], Table4[Deals], "Not Found", 0)</f>
        <v>1</v>
      </c>
      <c r="S525" s="16">
        <f>_xlfn.XLOOKUP(CustomerCombinedCleaned[[#This Row],[ID]], Table4[ID], Table4[Website], "Not Found", 0)</f>
        <v>1</v>
      </c>
      <c r="T525" s="16">
        <f>_xlfn.XLOOKUP(CustomerCombinedCleaned[[#This Row],[ID]], Table4[ID], Table4[Catalog], "Not Found", 0)</f>
        <v>0</v>
      </c>
      <c r="U525" s="16">
        <f>_xlfn.XLOOKUP(CustomerCombinedCleaned[[#This Row],[ID]], Table4[ID], Table4[Store], "Not Found", 0)</f>
        <v>2</v>
      </c>
      <c r="V525" s="16">
        <f>_xlfn.XLOOKUP(CustomerCombinedCleaned[[#This Row],[ID]], Table4[ID], Table4[Visits], "Not Found", 0)</f>
        <v>9</v>
      </c>
      <c r="W525" s="16">
        <f>_xlfn.XLOOKUP(CustomerCombinedCleaned[[#This Row],[ID]], Table2[ID],Table2[Complaint], "Not Found", 0 )</f>
        <v>0</v>
      </c>
      <c r="X525" s="16">
        <f>_xlfn.XLOOKUP(CustomerCombinedCleaned[[#This Row],[ID]], Table2[ID],Table2[Pilot], "Not Found", 0 )</f>
        <v>0</v>
      </c>
      <c r="Y525" s="16">
        <f>_xlfn.XLOOKUP(CustomerCombinedCleaned[[#This Row],[ID]], Table2[ID],Table2[MC1], "Not Found", 0 )</f>
        <v>0</v>
      </c>
      <c r="Z525" s="16">
        <f>_xlfn.XLOOKUP(CustomerCombinedCleaned[[#This Row],[ID]], Table2[ID],Table2[MC2], "Not Found", 0 )</f>
        <v>0</v>
      </c>
      <c r="AA525" s="16">
        <f>_xlfn.XLOOKUP(CustomerCombinedCleaned[[#This Row],[ID]], Table2[ID],Table2[MC3], "Not Found", 0 )</f>
        <v>0</v>
      </c>
      <c r="AB525" s="16">
        <f>_xlfn.XLOOKUP(CustomerCombinedCleaned[[#This Row],[ID]], Table2[ID],Table2[MC4], "Not Found", 0 )</f>
        <v>0</v>
      </c>
      <c r="AC525" s="16">
        <f>_xlfn.XLOOKUP(CustomerCombinedCleaned[[#This Row],[ID]], Table2[ID],Table2[MC5], "Not Found", 0 )</f>
        <v>0</v>
      </c>
    </row>
    <row r="526" spans="1:29" x14ac:dyDescent="0.3">
      <c r="A526" s="18">
        <v>1347</v>
      </c>
      <c r="B526" s="16">
        <v>137717</v>
      </c>
      <c r="C526" s="16">
        <v>1</v>
      </c>
      <c r="D526" s="16">
        <v>0</v>
      </c>
      <c r="E526" s="16">
        <v>42</v>
      </c>
      <c r="F526" s="17" t="s">
        <v>6</v>
      </c>
      <c r="G526" s="17" t="s">
        <v>13</v>
      </c>
      <c r="H526" s="3" t="s">
        <v>353</v>
      </c>
      <c r="I526" s="5" t="s">
        <v>435</v>
      </c>
      <c r="J526" s="16">
        <f>_xlfn.XLOOKUP(CustomerCombinedCleaned[[#This Row],[ID]], Table4[ID], Table4[Recency], "Not Found", 0)</f>
        <v>31</v>
      </c>
      <c r="K526" s="16">
        <f>_xlfn.XLOOKUP(CustomerCombinedCleaned[[#This Row],[ID]], Table4[ID], Table4[Teas], "Not Found", 0)</f>
        <v>33</v>
      </c>
      <c r="L526" s="16">
        <f>_xlfn.XLOOKUP(CustomerCombinedCleaned[[#This Row],[ID]], Table4[ID], Table4[Fruits], "Not Found", 0)</f>
        <v>0</v>
      </c>
      <c r="M526" s="16">
        <f>_xlfn.XLOOKUP(CustomerCombinedCleaned[[#This Row],[ID]], Table4[ID], Table4[Meats], "Not Found", 0)</f>
        <v>22</v>
      </c>
      <c r="N526" s="16">
        <f>_xlfn.XLOOKUP(CustomerCombinedCleaned[[#This Row],[ID]], Table4[ID], Table4[Seafood], "Not Found", 0)</f>
        <v>15</v>
      </c>
      <c r="O526" s="16">
        <f>_xlfn.XLOOKUP(CustomerCombinedCleaned[[#This Row],[ID]], Table4[ID], Table4[Sweets], "Not Found", 0)</f>
        <v>4</v>
      </c>
      <c r="P526" s="16">
        <f>_xlfn.XLOOKUP(CustomerCombinedCleaned[[#This Row],[ID]], Table4[ID], Table4[Premium], "Not Found", 0)</f>
        <v>18</v>
      </c>
      <c r="Q526" s="16">
        <f>_xlfn.XLOOKUP(CustomerCombinedCleaned[[#This Row],[ID]], Table4[ID], Table4[Regular], "Not Found", 0)</f>
        <v>55</v>
      </c>
      <c r="R526" s="16">
        <f>_xlfn.XLOOKUP(CustomerCombinedCleaned[[#This Row],[ID]], Table4[ID], Table4[Deals], "Not Found", 0)</f>
        <v>1</v>
      </c>
      <c r="S526" s="16">
        <f>_xlfn.XLOOKUP(CustomerCombinedCleaned[[#This Row],[ID]], Table4[ID], Table4[Website], "Not Found", 0)</f>
        <v>1</v>
      </c>
      <c r="T526" s="16">
        <f>_xlfn.XLOOKUP(CustomerCombinedCleaned[[#This Row],[ID]], Table4[ID], Table4[Catalog], "Not Found", 0)</f>
        <v>0</v>
      </c>
      <c r="U526" s="16">
        <f>_xlfn.XLOOKUP(CustomerCombinedCleaned[[#This Row],[ID]], Table4[ID], Table4[Store], "Not Found", 0)</f>
        <v>2</v>
      </c>
      <c r="V526" s="16">
        <f>_xlfn.XLOOKUP(CustomerCombinedCleaned[[#This Row],[ID]], Table4[ID], Table4[Visits], "Not Found", 0)</f>
        <v>9</v>
      </c>
      <c r="W526" s="16">
        <f>_xlfn.XLOOKUP(CustomerCombinedCleaned[[#This Row],[ID]], Table2[ID],Table2[Complaint], "Not Found", 0 )</f>
        <v>0</v>
      </c>
      <c r="X526" s="16">
        <f>_xlfn.XLOOKUP(CustomerCombinedCleaned[[#This Row],[ID]], Table2[ID],Table2[Pilot], "Not Found", 0 )</f>
        <v>0</v>
      </c>
      <c r="Y526" s="16">
        <f>_xlfn.XLOOKUP(CustomerCombinedCleaned[[#This Row],[ID]], Table2[ID],Table2[MC1], "Not Found", 0 )</f>
        <v>0</v>
      </c>
      <c r="Z526" s="16">
        <f>_xlfn.XLOOKUP(CustomerCombinedCleaned[[#This Row],[ID]], Table2[ID],Table2[MC2], "Not Found", 0 )</f>
        <v>0</v>
      </c>
      <c r="AA526" s="16">
        <f>_xlfn.XLOOKUP(CustomerCombinedCleaned[[#This Row],[ID]], Table2[ID],Table2[MC3], "Not Found", 0 )</f>
        <v>0</v>
      </c>
      <c r="AB526" s="16">
        <f>_xlfn.XLOOKUP(CustomerCombinedCleaned[[#This Row],[ID]], Table2[ID],Table2[MC4], "Not Found", 0 )</f>
        <v>0</v>
      </c>
      <c r="AC526" s="16">
        <f>_xlfn.XLOOKUP(CustomerCombinedCleaned[[#This Row],[ID]], Table2[ID],Table2[MC5], "Not Found", 0 )</f>
        <v>0</v>
      </c>
    </row>
    <row r="527" spans="1:29" x14ac:dyDescent="0.3">
      <c r="A527" s="18">
        <v>1606</v>
      </c>
      <c r="B527" s="16">
        <v>136975</v>
      </c>
      <c r="C527" s="16">
        <v>1</v>
      </c>
      <c r="D527" s="16">
        <v>0</v>
      </c>
      <c r="E527" s="16">
        <v>42</v>
      </c>
      <c r="F527" s="17" t="s">
        <v>7</v>
      </c>
      <c r="G527" s="17" t="s">
        <v>11</v>
      </c>
      <c r="H527" s="3" t="s">
        <v>780</v>
      </c>
      <c r="I527" s="5" t="s">
        <v>439</v>
      </c>
      <c r="J527" s="16">
        <f>_xlfn.XLOOKUP(CustomerCombinedCleaned[[#This Row],[ID]], Table4[ID], Table4[Recency], "Not Found", 0)</f>
        <v>50</v>
      </c>
      <c r="K527" s="16">
        <f>_xlfn.XLOOKUP(CustomerCombinedCleaned[[#This Row],[ID]], Table4[ID], Table4[Teas], "Not Found", 0)</f>
        <v>37</v>
      </c>
      <c r="L527" s="16">
        <f>_xlfn.XLOOKUP(CustomerCombinedCleaned[[#This Row],[ID]], Table4[ID], Table4[Fruits], "Not Found", 0)</f>
        <v>22</v>
      </c>
      <c r="M527" s="16">
        <f>_xlfn.XLOOKUP(CustomerCombinedCleaned[[#This Row],[ID]], Table4[ID], Table4[Meats], "Not Found", 0)</f>
        <v>41</v>
      </c>
      <c r="N527" s="16">
        <f>_xlfn.XLOOKUP(CustomerCombinedCleaned[[#This Row],[ID]], Table4[ID], Table4[Seafood], "Not Found", 0)</f>
        <v>0</v>
      </c>
      <c r="O527" s="16">
        <f>_xlfn.XLOOKUP(CustomerCombinedCleaned[[#This Row],[ID]], Table4[ID], Table4[Sweets], "Not Found", 0)</f>
        <v>15</v>
      </c>
      <c r="P527" s="16">
        <f>_xlfn.XLOOKUP(CustomerCombinedCleaned[[#This Row],[ID]], Table4[ID], Table4[Premium], "Not Found", 0)</f>
        <v>7</v>
      </c>
      <c r="Q527" s="16">
        <f>_xlfn.XLOOKUP(CustomerCombinedCleaned[[#This Row],[ID]], Table4[ID], Table4[Regular], "Not Found", 0)</f>
        <v>107</v>
      </c>
      <c r="R527" s="16">
        <f>_xlfn.XLOOKUP(CustomerCombinedCleaned[[#This Row],[ID]], Table4[ID], Table4[Deals], "Not Found", 0)</f>
        <v>1</v>
      </c>
      <c r="S527" s="16">
        <f>_xlfn.XLOOKUP(CustomerCombinedCleaned[[#This Row],[ID]], Table4[ID], Table4[Website], "Not Found", 0)</f>
        <v>1</v>
      </c>
      <c r="T527" s="16">
        <f>_xlfn.XLOOKUP(CustomerCombinedCleaned[[#This Row],[ID]], Table4[ID], Table4[Catalog], "Not Found", 0)</f>
        <v>0</v>
      </c>
      <c r="U527" s="16">
        <f>_xlfn.XLOOKUP(CustomerCombinedCleaned[[#This Row],[ID]], Table4[ID], Table4[Store], "Not Found", 0)</f>
        <v>3</v>
      </c>
      <c r="V527" s="16">
        <f>_xlfn.XLOOKUP(CustomerCombinedCleaned[[#This Row],[ID]], Table4[ID], Table4[Visits], "Not Found", 0)</f>
        <v>7</v>
      </c>
      <c r="W527" s="16">
        <f>_xlfn.XLOOKUP(CustomerCombinedCleaned[[#This Row],[ID]], Table2[ID],Table2[Complaint], "Not Found", 0 )</f>
        <v>0</v>
      </c>
      <c r="X527" s="16">
        <f>_xlfn.XLOOKUP(CustomerCombinedCleaned[[#This Row],[ID]], Table2[ID],Table2[Pilot], "Not Found", 0 )</f>
        <v>0</v>
      </c>
      <c r="Y527" s="16">
        <f>_xlfn.XLOOKUP(CustomerCombinedCleaned[[#This Row],[ID]], Table2[ID],Table2[MC1], "Not Found", 0 )</f>
        <v>0</v>
      </c>
      <c r="Z527" s="16">
        <f>_xlfn.XLOOKUP(CustomerCombinedCleaned[[#This Row],[ID]], Table2[ID],Table2[MC2], "Not Found", 0 )</f>
        <v>0</v>
      </c>
      <c r="AA527" s="16">
        <f>_xlfn.XLOOKUP(CustomerCombinedCleaned[[#This Row],[ID]], Table2[ID],Table2[MC3], "Not Found", 0 )</f>
        <v>0</v>
      </c>
      <c r="AB527" s="16">
        <f>_xlfn.XLOOKUP(CustomerCombinedCleaned[[#This Row],[ID]], Table2[ID],Table2[MC4], "Not Found", 0 )</f>
        <v>0</v>
      </c>
      <c r="AC527" s="16">
        <f>_xlfn.XLOOKUP(CustomerCombinedCleaned[[#This Row],[ID]], Table2[ID],Table2[MC5], "Not Found", 0 )</f>
        <v>0</v>
      </c>
    </row>
    <row r="528" spans="1:29" x14ac:dyDescent="0.3">
      <c r="A528" s="18">
        <v>1109</v>
      </c>
      <c r="B528" s="16">
        <v>136550</v>
      </c>
      <c r="C528" s="16">
        <v>1</v>
      </c>
      <c r="D528" s="16">
        <v>0</v>
      </c>
      <c r="E528" s="16">
        <v>42</v>
      </c>
      <c r="F528" s="17" t="s">
        <v>6</v>
      </c>
      <c r="G528" s="17" t="s">
        <v>11</v>
      </c>
      <c r="H528" s="3" t="s">
        <v>304</v>
      </c>
      <c r="I528" s="5" t="s">
        <v>434</v>
      </c>
      <c r="J528" s="16">
        <f>_xlfn.XLOOKUP(CustomerCombinedCleaned[[#This Row],[ID]], Table4[ID], Table4[Recency], "Not Found", 0)</f>
        <v>74</v>
      </c>
      <c r="K528" s="16">
        <f>_xlfn.XLOOKUP(CustomerCombinedCleaned[[#This Row],[ID]], Table4[ID], Table4[Teas], "Not Found", 0)</f>
        <v>176</v>
      </c>
      <c r="L528" s="16">
        <f>_xlfn.XLOOKUP(CustomerCombinedCleaned[[#This Row],[ID]], Table4[ID], Table4[Fruits], "Not Found", 0)</f>
        <v>336</v>
      </c>
      <c r="M528" s="16">
        <f>_xlfn.XLOOKUP(CustomerCombinedCleaned[[#This Row],[ID]], Table4[ID], Table4[Meats], "Not Found", 0)</f>
        <v>351</v>
      </c>
      <c r="N528" s="16">
        <f>_xlfn.XLOOKUP(CustomerCombinedCleaned[[#This Row],[ID]], Table4[ID], Table4[Seafood], "Not Found", 0)</f>
        <v>460</v>
      </c>
      <c r="O528" s="16">
        <f>_xlfn.XLOOKUP(CustomerCombinedCleaned[[#This Row],[ID]], Table4[ID], Table4[Sweets], "Not Found", 0)</f>
        <v>385</v>
      </c>
      <c r="P528" s="16">
        <f>_xlfn.XLOOKUP(CustomerCombinedCleaned[[#This Row],[ID]], Table4[ID], Table4[Premium], "Not Found", 0)</f>
        <v>448</v>
      </c>
      <c r="Q528" s="16">
        <f>_xlfn.XLOOKUP(CustomerCombinedCleaned[[#This Row],[ID]], Table4[ID], Table4[Regular], "Not Found", 0)</f>
        <v>1259</v>
      </c>
      <c r="R528" s="16">
        <f>_xlfn.XLOOKUP(CustomerCombinedCleaned[[#This Row],[ID]], Table4[ID], Table4[Deals], "Not Found", 0)</f>
        <v>5</v>
      </c>
      <c r="S528" s="16">
        <f>_xlfn.XLOOKUP(CustomerCombinedCleaned[[#This Row],[ID]], Table4[ID], Table4[Website], "Not Found", 0)</f>
        <v>9</v>
      </c>
      <c r="T528" s="16">
        <f>_xlfn.XLOOKUP(CustomerCombinedCleaned[[#This Row],[ID]], Table4[ID], Table4[Catalog], "Not Found", 0)</f>
        <v>1</v>
      </c>
      <c r="U528" s="16">
        <f>_xlfn.XLOOKUP(CustomerCombinedCleaned[[#This Row],[ID]], Table4[ID], Table4[Store], "Not Found", 0)</f>
        <v>5</v>
      </c>
      <c r="V528" s="16">
        <f>_xlfn.XLOOKUP(CustomerCombinedCleaned[[#This Row],[ID]], Table4[ID], Table4[Visits], "Not Found", 0)</f>
        <v>9</v>
      </c>
      <c r="W528" s="16">
        <f>_xlfn.XLOOKUP(CustomerCombinedCleaned[[#This Row],[ID]], Table2[ID],Table2[Complaint], "Not Found", 0 )</f>
        <v>0</v>
      </c>
      <c r="X528" s="16">
        <f>_xlfn.XLOOKUP(CustomerCombinedCleaned[[#This Row],[ID]], Table2[ID],Table2[Pilot], "Not Found", 0 )</f>
        <v>0</v>
      </c>
      <c r="Y528" s="16">
        <f>_xlfn.XLOOKUP(CustomerCombinedCleaned[[#This Row],[ID]], Table2[ID],Table2[MC1], "Not Found", 0 )</f>
        <v>0</v>
      </c>
      <c r="Z528" s="16">
        <f>_xlfn.XLOOKUP(CustomerCombinedCleaned[[#This Row],[ID]], Table2[ID],Table2[MC2], "Not Found", 0 )</f>
        <v>0</v>
      </c>
      <c r="AA528" s="16">
        <f>_xlfn.XLOOKUP(CustomerCombinedCleaned[[#This Row],[ID]], Table2[ID],Table2[MC3], "Not Found", 0 )</f>
        <v>0</v>
      </c>
      <c r="AB528" s="16">
        <f>_xlfn.XLOOKUP(CustomerCombinedCleaned[[#This Row],[ID]], Table2[ID],Table2[MC4], "Not Found", 0 )</f>
        <v>0</v>
      </c>
      <c r="AC528" s="16">
        <f>_xlfn.XLOOKUP(CustomerCombinedCleaned[[#This Row],[ID]], Table2[ID],Table2[MC5], "Not Found", 0 )</f>
        <v>0</v>
      </c>
    </row>
    <row r="529" spans="1:29" x14ac:dyDescent="0.3">
      <c r="A529" s="18">
        <v>2630</v>
      </c>
      <c r="B529" s="16">
        <v>135544</v>
      </c>
      <c r="C529" s="16">
        <v>1</v>
      </c>
      <c r="D529" s="16">
        <v>0</v>
      </c>
      <c r="E529" s="16">
        <v>42</v>
      </c>
      <c r="F529" s="17" t="s">
        <v>7</v>
      </c>
      <c r="G529" s="17" t="s">
        <v>12</v>
      </c>
      <c r="H529" s="3" t="s">
        <v>630</v>
      </c>
      <c r="I529" s="5" t="s">
        <v>438</v>
      </c>
      <c r="J529" s="16">
        <f>_xlfn.XLOOKUP(CustomerCombinedCleaned[[#This Row],[ID]], Table4[ID], Table4[Recency], "Not Found", 0)</f>
        <v>77</v>
      </c>
      <c r="K529" s="16">
        <f>_xlfn.XLOOKUP(CustomerCombinedCleaned[[#This Row],[ID]], Table4[ID], Table4[Teas], "Not Found", 0)</f>
        <v>114</v>
      </c>
      <c r="L529" s="16">
        <f>_xlfn.XLOOKUP(CustomerCombinedCleaned[[#This Row],[ID]], Table4[ID], Table4[Fruits], "Not Found", 0)</f>
        <v>19</v>
      </c>
      <c r="M529" s="16">
        <f>_xlfn.XLOOKUP(CustomerCombinedCleaned[[#This Row],[ID]], Table4[ID], Table4[Meats], "Not Found", 0)</f>
        <v>88</v>
      </c>
      <c r="N529" s="16">
        <f>_xlfn.XLOOKUP(CustomerCombinedCleaned[[#This Row],[ID]], Table4[ID], Table4[Seafood], "Not Found", 0)</f>
        <v>15</v>
      </c>
      <c r="O529" s="16">
        <f>_xlfn.XLOOKUP(CustomerCombinedCleaned[[#This Row],[ID]], Table4[ID], Table4[Sweets], "Not Found", 0)</f>
        <v>4</v>
      </c>
      <c r="P529" s="16">
        <f>_xlfn.XLOOKUP(CustomerCombinedCleaned[[#This Row],[ID]], Table4[ID], Table4[Premium], "Not Found", 0)</f>
        <v>15</v>
      </c>
      <c r="Q529" s="16">
        <f>_xlfn.XLOOKUP(CustomerCombinedCleaned[[#This Row],[ID]], Table4[ID], Table4[Regular], "Not Found", 0)</f>
        <v>225</v>
      </c>
      <c r="R529" s="16">
        <f>_xlfn.XLOOKUP(CustomerCombinedCleaned[[#This Row],[ID]], Table4[ID], Table4[Deals], "Not Found", 0)</f>
        <v>1</v>
      </c>
      <c r="S529" s="16">
        <f>_xlfn.XLOOKUP(CustomerCombinedCleaned[[#This Row],[ID]], Table4[ID], Table4[Website], "Not Found", 0)</f>
        <v>2</v>
      </c>
      <c r="T529" s="16">
        <f>_xlfn.XLOOKUP(CustomerCombinedCleaned[[#This Row],[ID]], Table4[ID], Table4[Catalog], "Not Found", 0)</f>
        <v>0</v>
      </c>
      <c r="U529" s="16">
        <f>_xlfn.XLOOKUP(CustomerCombinedCleaned[[#This Row],[ID]], Table4[ID], Table4[Store], "Not Found", 0)</f>
        <v>3</v>
      </c>
      <c r="V529" s="16">
        <f>_xlfn.XLOOKUP(CustomerCombinedCleaned[[#This Row],[ID]], Table4[ID], Table4[Visits], "Not Found", 0)</f>
        <v>7</v>
      </c>
      <c r="W529" s="16">
        <f>_xlfn.XLOOKUP(CustomerCombinedCleaned[[#This Row],[ID]], Table2[ID],Table2[Complaint], "Not Found", 0 )</f>
        <v>0</v>
      </c>
      <c r="X529" s="16">
        <f>_xlfn.XLOOKUP(CustomerCombinedCleaned[[#This Row],[ID]], Table2[ID],Table2[Pilot], "Not Found", 0 )</f>
        <v>0</v>
      </c>
      <c r="Y529" s="16">
        <f>_xlfn.XLOOKUP(CustomerCombinedCleaned[[#This Row],[ID]], Table2[ID],Table2[MC1], "Not Found", 0 )</f>
        <v>0</v>
      </c>
      <c r="Z529" s="16">
        <f>_xlfn.XLOOKUP(CustomerCombinedCleaned[[#This Row],[ID]], Table2[ID],Table2[MC2], "Not Found", 0 )</f>
        <v>0</v>
      </c>
      <c r="AA529" s="16">
        <f>_xlfn.XLOOKUP(CustomerCombinedCleaned[[#This Row],[ID]], Table2[ID],Table2[MC3], "Not Found", 0 )</f>
        <v>0</v>
      </c>
      <c r="AB529" s="16">
        <f>_xlfn.XLOOKUP(CustomerCombinedCleaned[[#This Row],[ID]], Table2[ID],Table2[MC4], "Not Found", 0 )</f>
        <v>0</v>
      </c>
      <c r="AC529" s="16">
        <f>_xlfn.XLOOKUP(CustomerCombinedCleaned[[#This Row],[ID]], Table2[ID],Table2[MC5], "Not Found", 0 )</f>
        <v>0</v>
      </c>
    </row>
    <row r="530" spans="1:29" x14ac:dyDescent="0.3">
      <c r="A530" s="18">
        <v>2277</v>
      </c>
      <c r="B530" s="16">
        <v>134043</v>
      </c>
      <c r="C530" s="16">
        <v>1</v>
      </c>
      <c r="D530" s="16">
        <v>0</v>
      </c>
      <c r="E530" s="16">
        <v>42</v>
      </c>
      <c r="F530" s="17" t="s">
        <v>8</v>
      </c>
      <c r="G530" s="17" t="s">
        <v>13</v>
      </c>
      <c r="H530" s="3" t="s">
        <v>157</v>
      </c>
      <c r="I530" s="5" t="s">
        <v>435</v>
      </c>
      <c r="J530" s="16">
        <f>_xlfn.XLOOKUP(CustomerCombinedCleaned[[#This Row],[ID]], Table4[ID], Table4[Recency], "Not Found", 0)</f>
        <v>97</v>
      </c>
      <c r="K530" s="16">
        <f>_xlfn.XLOOKUP(CustomerCombinedCleaned[[#This Row],[ID]], Table4[ID], Table4[Teas], "Not Found", 0)</f>
        <v>79</v>
      </c>
      <c r="L530" s="16">
        <f>_xlfn.XLOOKUP(CustomerCombinedCleaned[[#This Row],[ID]], Table4[ID], Table4[Fruits], "Not Found", 0)</f>
        <v>8</v>
      </c>
      <c r="M530" s="16">
        <f>_xlfn.XLOOKUP(CustomerCombinedCleaned[[#This Row],[ID]], Table4[ID], Table4[Meats], "Not Found", 0)</f>
        <v>55</v>
      </c>
      <c r="N530" s="16">
        <f>_xlfn.XLOOKUP(CustomerCombinedCleaned[[#This Row],[ID]], Table4[ID], Table4[Seafood], "Not Found", 0)</f>
        <v>12</v>
      </c>
      <c r="O530" s="16">
        <f>_xlfn.XLOOKUP(CustomerCombinedCleaned[[#This Row],[ID]], Table4[ID], Table4[Sweets], "Not Found", 0)</f>
        <v>0</v>
      </c>
      <c r="P530" s="16">
        <f>_xlfn.XLOOKUP(CustomerCombinedCleaned[[#This Row],[ID]], Table4[ID], Table4[Premium], "Not Found", 0)</f>
        <v>39</v>
      </c>
      <c r="Q530" s="16">
        <f>_xlfn.XLOOKUP(CustomerCombinedCleaned[[#This Row],[ID]], Table4[ID], Table4[Regular], "Not Found", 0)</f>
        <v>114</v>
      </c>
      <c r="R530" s="16">
        <f>_xlfn.XLOOKUP(CustomerCombinedCleaned[[#This Row],[ID]], Table4[ID], Table4[Deals], "Not Found", 0)</f>
        <v>1</v>
      </c>
      <c r="S530" s="16">
        <f>_xlfn.XLOOKUP(CustomerCombinedCleaned[[#This Row],[ID]], Table4[ID], Table4[Website], "Not Found", 0)</f>
        <v>2</v>
      </c>
      <c r="T530" s="16">
        <f>_xlfn.XLOOKUP(CustomerCombinedCleaned[[#This Row],[ID]], Table4[ID], Table4[Catalog], "Not Found", 0)</f>
        <v>0</v>
      </c>
      <c r="U530" s="16">
        <f>_xlfn.XLOOKUP(CustomerCombinedCleaned[[#This Row],[ID]], Table4[ID], Table4[Store], "Not Found", 0)</f>
        <v>2</v>
      </c>
      <c r="V530" s="16">
        <f>_xlfn.XLOOKUP(CustomerCombinedCleaned[[#This Row],[ID]], Table4[ID], Table4[Visits], "Not Found", 0)</f>
        <v>9</v>
      </c>
      <c r="W530" s="16">
        <f>_xlfn.XLOOKUP(CustomerCombinedCleaned[[#This Row],[ID]], Table2[ID],Table2[Complaint], "Not Found", 0 )</f>
        <v>0</v>
      </c>
      <c r="X530" s="16">
        <f>_xlfn.XLOOKUP(CustomerCombinedCleaned[[#This Row],[ID]], Table2[ID],Table2[Pilot], "Not Found", 0 )</f>
        <v>0</v>
      </c>
      <c r="Y530" s="16">
        <f>_xlfn.XLOOKUP(CustomerCombinedCleaned[[#This Row],[ID]], Table2[ID],Table2[MC1], "Not Found", 0 )</f>
        <v>0</v>
      </c>
      <c r="Z530" s="16">
        <f>_xlfn.XLOOKUP(CustomerCombinedCleaned[[#This Row],[ID]], Table2[ID],Table2[MC2], "Not Found", 0 )</f>
        <v>0</v>
      </c>
      <c r="AA530" s="16">
        <f>_xlfn.XLOOKUP(CustomerCombinedCleaned[[#This Row],[ID]], Table2[ID],Table2[MC3], "Not Found", 0 )</f>
        <v>0</v>
      </c>
      <c r="AB530" s="16">
        <f>_xlfn.XLOOKUP(CustomerCombinedCleaned[[#This Row],[ID]], Table2[ID],Table2[MC4], "Not Found", 0 )</f>
        <v>0</v>
      </c>
      <c r="AC530" s="16">
        <f>_xlfn.XLOOKUP(CustomerCombinedCleaned[[#This Row],[ID]], Table2[ID],Table2[MC5], "Not Found", 0 )</f>
        <v>0</v>
      </c>
    </row>
    <row r="531" spans="1:29" x14ac:dyDescent="0.3">
      <c r="A531" s="18">
        <v>1544</v>
      </c>
      <c r="B531" s="16">
        <v>133039</v>
      </c>
      <c r="C531" s="16">
        <v>1</v>
      </c>
      <c r="D531" s="16">
        <v>0</v>
      </c>
      <c r="E531" s="16">
        <v>42</v>
      </c>
      <c r="F531" s="17" t="s">
        <v>6</v>
      </c>
      <c r="G531" s="17" t="s">
        <v>11</v>
      </c>
      <c r="H531" s="3" t="s">
        <v>190</v>
      </c>
      <c r="I531" s="5" t="s">
        <v>438</v>
      </c>
      <c r="J531" s="16">
        <f>_xlfn.XLOOKUP(CustomerCombinedCleaned[[#This Row],[ID]], Table4[ID], Table4[Recency], "Not Found", 0)</f>
        <v>4</v>
      </c>
      <c r="K531" s="16">
        <f>_xlfn.XLOOKUP(CustomerCombinedCleaned[[#This Row],[ID]], Table4[ID], Table4[Teas], "Not Found", 0)</f>
        <v>121</v>
      </c>
      <c r="L531" s="16">
        <f>_xlfn.XLOOKUP(CustomerCombinedCleaned[[#This Row],[ID]], Table4[ID], Table4[Fruits], "Not Found", 0)</f>
        <v>32</v>
      </c>
      <c r="M531" s="16">
        <f>_xlfn.XLOOKUP(CustomerCombinedCleaned[[#This Row],[ID]], Table4[ID], Table4[Meats], "Not Found", 0)</f>
        <v>48</v>
      </c>
      <c r="N531" s="16">
        <f>_xlfn.XLOOKUP(CustomerCombinedCleaned[[#This Row],[ID]], Table4[ID], Table4[Seafood], "Not Found", 0)</f>
        <v>32</v>
      </c>
      <c r="O531" s="16">
        <f>_xlfn.XLOOKUP(CustomerCombinedCleaned[[#This Row],[ID]], Table4[ID], Table4[Sweets], "Not Found", 0)</f>
        <v>32</v>
      </c>
      <c r="P531" s="16">
        <f>_xlfn.XLOOKUP(CustomerCombinedCleaned[[#This Row],[ID]], Table4[ID], Table4[Premium], "Not Found", 0)</f>
        <v>48</v>
      </c>
      <c r="Q531" s="16">
        <f>_xlfn.XLOOKUP(CustomerCombinedCleaned[[#This Row],[ID]], Table4[ID], Table4[Regular], "Not Found", 0)</f>
        <v>217</v>
      </c>
      <c r="R531" s="16">
        <f>_xlfn.XLOOKUP(CustomerCombinedCleaned[[#This Row],[ID]], Table4[ID], Table4[Deals], "Not Found", 0)</f>
        <v>1</v>
      </c>
      <c r="S531" s="16">
        <f>_xlfn.XLOOKUP(CustomerCombinedCleaned[[#This Row],[ID]], Table4[ID], Table4[Website], "Not Found", 0)</f>
        <v>2</v>
      </c>
      <c r="T531" s="16">
        <f>_xlfn.XLOOKUP(CustomerCombinedCleaned[[#This Row],[ID]], Table4[ID], Table4[Catalog], "Not Found", 0)</f>
        <v>0</v>
      </c>
      <c r="U531" s="16">
        <f>_xlfn.XLOOKUP(CustomerCombinedCleaned[[#This Row],[ID]], Table4[ID], Table4[Store], "Not Found", 0)</f>
        <v>4</v>
      </c>
      <c r="V531" s="16">
        <f>_xlfn.XLOOKUP(CustomerCombinedCleaned[[#This Row],[ID]], Table4[ID], Table4[Visits], "Not Found", 0)</f>
        <v>5</v>
      </c>
      <c r="W531" s="16">
        <f>_xlfn.XLOOKUP(CustomerCombinedCleaned[[#This Row],[ID]], Table2[ID],Table2[Complaint], "Not Found", 0 )</f>
        <v>0</v>
      </c>
      <c r="X531" s="16">
        <f>_xlfn.XLOOKUP(CustomerCombinedCleaned[[#This Row],[ID]], Table2[ID],Table2[Pilot], "Not Found", 0 )</f>
        <v>0</v>
      </c>
      <c r="Y531" s="16">
        <f>_xlfn.XLOOKUP(CustomerCombinedCleaned[[#This Row],[ID]], Table2[ID],Table2[MC1], "Not Found", 0 )</f>
        <v>0</v>
      </c>
      <c r="Z531" s="16">
        <f>_xlfn.XLOOKUP(CustomerCombinedCleaned[[#This Row],[ID]], Table2[ID],Table2[MC2], "Not Found", 0 )</f>
        <v>0</v>
      </c>
      <c r="AA531" s="16">
        <f>_xlfn.XLOOKUP(CustomerCombinedCleaned[[#This Row],[ID]], Table2[ID],Table2[MC3], "Not Found", 0 )</f>
        <v>0</v>
      </c>
      <c r="AB531" s="16">
        <f>_xlfn.XLOOKUP(CustomerCombinedCleaned[[#This Row],[ID]], Table2[ID],Table2[MC4], "Not Found", 0 )</f>
        <v>0</v>
      </c>
      <c r="AC531" s="16">
        <f>_xlfn.XLOOKUP(CustomerCombinedCleaned[[#This Row],[ID]], Table2[ID],Table2[MC5], "Not Found", 0 )</f>
        <v>0</v>
      </c>
    </row>
    <row r="532" spans="1:29" x14ac:dyDescent="0.3">
      <c r="A532" s="18">
        <v>2493</v>
      </c>
      <c r="B532" s="16">
        <v>133039</v>
      </c>
      <c r="C532" s="16">
        <v>1</v>
      </c>
      <c r="D532" s="16">
        <v>0</v>
      </c>
      <c r="E532" s="16">
        <v>42</v>
      </c>
      <c r="F532" s="17" t="s">
        <v>6</v>
      </c>
      <c r="G532" s="17" t="s">
        <v>11</v>
      </c>
      <c r="H532" s="3" t="s">
        <v>190</v>
      </c>
      <c r="I532" s="5" t="s">
        <v>435</v>
      </c>
      <c r="J532" s="16">
        <f>_xlfn.XLOOKUP(CustomerCombinedCleaned[[#This Row],[ID]], Table4[ID], Table4[Recency], "Not Found", 0)</f>
        <v>4</v>
      </c>
      <c r="K532" s="16">
        <f>_xlfn.XLOOKUP(CustomerCombinedCleaned[[#This Row],[ID]], Table4[ID], Table4[Teas], "Not Found", 0)</f>
        <v>121</v>
      </c>
      <c r="L532" s="16">
        <f>_xlfn.XLOOKUP(CustomerCombinedCleaned[[#This Row],[ID]], Table4[ID], Table4[Fruits], "Not Found", 0)</f>
        <v>32</v>
      </c>
      <c r="M532" s="16">
        <f>_xlfn.XLOOKUP(CustomerCombinedCleaned[[#This Row],[ID]], Table4[ID], Table4[Meats], "Not Found", 0)</f>
        <v>48</v>
      </c>
      <c r="N532" s="16">
        <f>_xlfn.XLOOKUP(CustomerCombinedCleaned[[#This Row],[ID]], Table4[ID], Table4[Seafood], "Not Found", 0)</f>
        <v>32</v>
      </c>
      <c r="O532" s="16">
        <f>_xlfn.XLOOKUP(CustomerCombinedCleaned[[#This Row],[ID]], Table4[ID], Table4[Sweets], "Not Found", 0)</f>
        <v>32</v>
      </c>
      <c r="P532" s="16">
        <f>_xlfn.XLOOKUP(CustomerCombinedCleaned[[#This Row],[ID]], Table4[ID], Table4[Premium], "Not Found", 0)</f>
        <v>48</v>
      </c>
      <c r="Q532" s="16">
        <f>_xlfn.XLOOKUP(CustomerCombinedCleaned[[#This Row],[ID]], Table4[ID], Table4[Regular], "Not Found", 0)</f>
        <v>217</v>
      </c>
      <c r="R532" s="16">
        <f>_xlfn.XLOOKUP(CustomerCombinedCleaned[[#This Row],[ID]], Table4[ID], Table4[Deals], "Not Found", 0)</f>
        <v>1</v>
      </c>
      <c r="S532" s="16">
        <f>_xlfn.XLOOKUP(CustomerCombinedCleaned[[#This Row],[ID]], Table4[ID], Table4[Website], "Not Found", 0)</f>
        <v>2</v>
      </c>
      <c r="T532" s="16">
        <f>_xlfn.XLOOKUP(CustomerCombinedCleaned[[#This Row],[ID]], Table4[ID], Table4[Catalog], "Not Found", 0)</f>
        <v>0</v>
      </c>
      <c r="U532" s="16">
        <f>_xlfn.XLOOKUP(CustomerCombinedCleaned[[#This Row],[ID]], Table4[ID], Table4[Store], "Not Found", 0)</f>
        <v>4</v>
      </c>
      <c r="V532" s="16">
        <f>_xlfn.XLOOKUP(CustomerCombinedCleaned[[#This Row],[ID]], Table4[ID], Table4[Visits], "Not Found", 0)</f>
        <v>5</v>
      </c>
      <c r="W532" s="16">
        <f>_xlfn.XLOOKUP(CustomerCombinedCleaned[[#This Row],[ID]], Table2[ID],Table2[Complaint], "Not Found", 0 )</f>
        <v>0</v>
      </c>
      <c r="X532" s="16">
        <f>_xlfn.XLOOKUP(CustomerCombinedCleaned[[#This Row],[ID]], Table2[ID],Table2[Pilot], "Not Found", 0 )</f>
        <v>0</v>
      </c>
      <c r="Y532" s="16">
        <f>_xlfn.XLOOKUP(CustomerCombinedCleaned[[#This Row],[ID]], Table2[ID],Table2[MC1], "Not Found", 0 )</f>
        <v>0</v>
      </c>
      <c r="Z532" s="16">
        <f>_xlfn.XLOOKUP(CustomerCombinedCleaned[[#This Row],[ID]], Table2[ID],Table2[MC2], "Not Found", 0 )</f>
        <v>0</v>
      </c>
      <c r="AA532" s="16">
        <f>_xlfn.XLOOKUP(CustomerCombinedCleaned[[#This Row],[ID]], Table2[ID],Table2[MC3], "Not Found", 0 )</f>
        <v>0</v>
      </c>
      <c r="AB532" s="16">
        <f>_xlfn.XLOOKUP(CustomerCombinedCleaned[[#This Row],[ID]], Table2[ID],Table2[MC4], "Not Found", 0 )</f>
        <v>0</v>
      </c>
      <c r="AC532" s="16">
        <f>_xlfn.XLOOKUP(CustomerCombinedCleaned[[#This Row],[ID]], Table2[ID],Table2[MC5], "Not Found", 0 )</f>
        <v>0</v>
      </c>
    </row>
    <row r="533" spans="1:29" x14ac:dyDescent="0.3">
      <c r="A533" s="18">
        <v>1744</v>
      </c>
      <c r="B533" s="16">
        <v>131626</v>
      </c>
      <c r="C533" s="16">
        <v>1</v>
      </c>
      <c r="D533" s="16">
        <v>0</v>
      </c>
      <c r="E533" s="16">
        <v>42</v>
      </c>
      <c r="F533" s="17" t="s">
        <v>7</v>
      </c>
      <c r="G533" s="17" t="s">
        <v>13</v>
      </c>
      <c r="H533" s="3" t="s">
        <v>261</v>
      </c>
      <c r="I533" s="5" t="s">
        <v>439</v>
      </c>
      <c r="J533" s="16">
        <f>_xlfn.XLOOKUP(CustomerCombinedCleaned[[#This Row],[ID]], Table4[ID], Table4[Recency], "Not Found", 0)</f>
        <v>12</v>
      </c>
      <c r="K533" s="16">
        <f>_xlfn.XLOOKUP(CustomerCombinedCleaned[[#This Row],[ID]], Table4[ID], Table4[Teas], "Not Found", 0)</f>
        <v>162</v>
      </c>
      <c r="L533" s="16">
        <f>_xlfn.XLOOKUP(CustomerCombinedCleaned[[#This Row],[ID]], Table4[ID], Table4[Fruits], "Not Found", 0)</f>
        <v>4</v>
      </c>
      <c r="M533" s="16">
        <f>_xlfn.XLOOKUP(CustomerCombinedCleaned[[#This Row],[ID]], Table4[ID], Table4[Meats], "Not Found", 0)</f>
        <v>37</v>
      </c>
      <c r="N533" s="16">
        <f>_xlfn.XLOOKUP(CustomerCombinedCleaned[[#This Row],[ID]], Table4[ID], Table4[Seafood], "Not Found", 0)</f>
        <v>8</v>
      </c>
      <c r="O533" s="16">
        <f>_xlfn.XLOOKUP(CustomerCombinedCleaned[[#This Row],[ID]], Table4[ID], Table4[Sweets], "Not Found", 0)</f>
        <v>4</v>
      </c>
      <c r="P533" s="16">
        <f>_xlfn.XLOOKUP(CustomerCombinedCleaned[[#This Row],[ID]], Table4[ID], Table4[Premium], "Not Found", 0)</f>
        <v>142</v>
      </c>
      <c r="Q533" s="16">
        <f>_xlfn.XLOOKUP(CustomerCombinedCleaned[[#This Row],[ID]], Table4[ID], Table4[Regular], "Not Found", 0)</f>
        <v>75</v>
      </c>
      <c r="R533" s="16">
        <f>_xlfn.XLOOKUP(CustomerCombinedCleaned[[#This Row],[ID]], Table4[ID], Table4[Deals], "Not Found", 0)</f>
        <v>1</v>
      </c>
      <c r="S533" s="16">
        <f>_xlfn.XLOOKUP(CustomerCombinedCleaned[[#This Row],[ID]], Table4[ID], Table4[Website], "Not Found", 0)</f>
        <v>2</v>
      </c>
      <c r="T533" s="16">
        <f>_xlfn.XLOOKUP(CustomerCombinedCleaned[[#This Row],[ID]], Table4[ID], Table4[Catalog], "Not Found", 0)</f>
        <v>1</v>
      </c>
      <c r="U533" s="16">
        <f>_xlfn.XLOOKUP(CustomerCombinedCleaned[[#This Row],[ID]], Table4[ID], Table4[Store], "Not Found", 0)</f>
        <v>2</v>
      </c>
      <c r="V533" s="16">
        <f>_xlfn.XLOOKUP(CustomerCombinedCleaned[[#This Row],[ID]], Table4[ID], Table4[Visits], "Not Found", 0)</f>
        <v>7</v>
      </c>
      <c r="W533" s="16">
        <f>_xlfn.XLOOKUP(CustomerCombinedCleaned[[#This Row],[ID]], Table2[ID],Table2[Complaint], "Not Found", 0 )</f>
        <v>0</v>
      </c>
      <c r="X533" s="16">
        <f>_xlfn.XLOOKUP(CustomerCombinedCleaned[[#This Row],[ID]], Table2[ID],Table2[Pilot], "Not Found", 0 )</f>
        <v>1</v>
      </c>
      <c r="Y533" s="16">
        <f>_xlfn.XLOOKUP(CustomerCombinedCleaned[[#This Row],[ID]], Table2[ID],Table2[MC1], "Not Found", 0 )</f>
        <v>0</v>
      </c>
      <c r="Z533" s="16">
        <f>_xlfn.XLOOKUP(CustomerCombinedCleaned[[#This Row],[ID]], Table2[ID],Table2[MC2], "Not Found", 0 )</f>
        <v>0</v>
      </c>
      <c r="AA533" s="16">
        <f>_xlfn.XLOOKUP(CustomerCombinedCleaned[[#This Row],[ID]], Table2[ID],Table2[MC3], "Not Found", 0 )</f>
        <v>1</v>
      </c>
      <c r="AB533" s="16">
        <f>_xlfn.XLOOKUP(CustomerCombinedCleaned[[#This Row],[ID]], Table2[ID],Table2[MC4], "Not Found", 0 )</f>
        <v>0</v>
      </c>
      <c r="AC533" s="16">
        <f>_xlfn.XLOOKUP(CustomerCombinedCleaned[[#This Row],[ID]], Table2[ID],Table2[MC5], "Not Found", 0 )</f>
        <v>0</v>
      </c>
    </row>
    <row r="534" spans="1:29" x14ac:dyDescent="0.3">
      <c r="A534" s="18">
        <v>1993</v>
      </c>
      <c r="B534" s="16">
        <v>130168</v>
      </c>
      <c r="C534" s="16">
        <v>1</v>
      </c>
      <c r="D534" s="16">
        <v>0</v>
      </c>
      <c r="E534" s="16">
        <v>42</v>
      </c>
      <c r="F534" s="17" t="s">
        <v>7</v>
      </c>
      <c r="G534" s="17" t="s">
        <v>11</v>
      </c>
      <c r="H534" s="3" t="s">
        <v>688</v>
      </c>
      <c r="I534" s="5" t="s">
        <v>437</v>
      </c>
      <c r="J534" s="16">
        <f>_xlfn.XLOOKUP(CustomerCombinedCleaned[[#This Row],[ID]], Table4[ID], Table4[Recency], "Not Found", 0)</f>
        <v>51</v>
      </c>
      <c r="K534" s="16">
        <f>_xlfn.XLOOKUP(CustomerCombinedCleaned[[#This Row],[ID]], Table4[ID], Table4[Teas], "Not Found", 0)</f>
        <v>664</v>
      </c>
      <c r="L534" s="16">
        <f>_xlfn.XLOOKUP(CustomerCombinedCleaned[[#This Row],[ID]], Table4[ID], Table4[Fruits], "Not Found", 0)</f>
        <v>86</v>
      </c>
      <c r="M534" s="16">
        <f>_xlfn.XLOOKUP(CustomerCombinedCleaned[[#This Row],[ID]], Table4[ID], Table4[Meats], "Not Found", 0)</f>
        <v>285</v>
      </c>
      <c r="N534" s="16">
        <f>_xlfn.XLOOKUP(CustomerCombinedCleaned[[#This Row],[ID]], Table4[ID], Table4[Seafood], "Not Found", 0)</f>
        <v>0</v>
      </c>
      <c r="O534" s="16">
        <f>_xlfn.XLOOKUP(CustomerCombinedCleaned[[#This Row],[ID]], Table4[ID], Table4[Sweets], "Not Found", 0)</f>
        <v>52</v>
      </c>
      <c r="P534" s="16">
        <f>_xlfn.XLOOKUP(CustomerCombinedCleaned[[#This Row],[ID]], Table4[ID], Table4[Premium], "Not Found", 0)</f>
        <v>116</v>
      </c>
      <c r="Q534" s="16">
        <f>_xlfn.XLOOKUP(CustomerCombinedCleaned[[#This Row],[ID]], Table4[ID], Table4[Regular], "Not Found", 0)</f>
        <v>971</v>
      </c>
      <c r="R534" s="16">
        <f>_xlfn.XLOOKUP(CustomerCombinedCleaned[[#This Row],[ID]], Table4[ID], Table4[Deals], "Not Found", 0)</f>
        <v>7</v>
      </c>
      <c r="S534" s="16">
        <f>_xlfn.XLOOKUP(CustomerCombinedCleaned[[#This Row],[ID]], Table4[ID], Table4[Website], "Not Found", 0)</f>
        <v>6</v>
      </c>
      <c r="T534" s="16">
        <f>_xlfn.XLOOKUP(CustomerCombinedCleaned[[#This Row],[ID]], Table4[ID], Table4[Catalog], "Not Found", 0)</f>
        <v>1</v>
      </c>
      <c r="U534" s="16">
        <f>_xlfn.XLOOKUP(CustomerCombinedCleaned[[#This Row],[ID]], Table4[ID], Table4[Store], "Not Found", 0)</f>
        <v>4</v>
      </c>
      <c r="V534" s="16">
        <f>_xlfn.XLOOKUP(CustomerCombinedCleaned[[#This Row],[ID]], Table4[ID], Table4[Visits], "Not Found", 0)</f>
        <v>9</v>
      </c>
      <c r="W534" s="16">
        <f>_xlfn.XLOOKUP(CustomerCombinedCleaned[[#This Row],[ID]], Table2[ID],Table2[Complaint], "Not Found", 0 )</f>
        <v>0</v>
      </c>
      <c r="X534" s="16">
        <f>_xlfn.XLOOKUP(CustomerCombinedCleaned[[#This Row],[ID]], Table2[ID],Table2[Pilot], "Not Found", 0 )</f>
        <v>0</v>
      </c>
      <c r="Y534" s="16">
        <f>_xlfn.XLOOKUP(CustomerCombinedCleaned[[#This Row],[ID]], Table2[ID],Table2[MC1], "Not Found", 0 )</f>
        <v>0</v>
      </c>
      <c r="Z534" s="16">
        <f>_xlfn.XLOOKUP(CustomerCombinedCleaned[[#This Row],[ID]], Table2[ID],Table2[MC2], "Not Found", 0 )</f>
        <v>0</v>
      </c>
      <c r="AA534" s="16">
        <f>_xlfn.XLOOKUP(CustomerCombinedCleaned[[#This Row],[ID]], Table2[ID],Table2[MC3], "Not Found", 0 )</f>
        <v>0</v>
      </c>
      <c r="AB534" s="16">
        <f>_xlfn.XLOOKUP(CustomerCombinedCleaned[[#This Row],[ID]], Table2[ID],Table2[MC4], "Not Found", 0 )</f>
        <v>0</v>
      </c>
      <c r="AC534" s="16">
        <f>_xlfn.XLOOKUP(CustomerCombinedCleaned[[#This Row],[ID]], Table2[ID],Table2[MC5], "Not Found", 0 )</f>
        <v>0</v>
      </c>
    </row>
    <row r="535" spans="1:29" x14ac:dyDescent="0.3">
      <c r="A535" s="18">
        <v>2007</v>
      </c>
      <c r="B535" s="16">
        <v>128647</v>
      </c>
      <c r="C535" s="16">
        <v>1</v>
      </c>
      <c r="D535" s="16">
        <v>0</v>
      </c>
      <c r="E535" s="16">
        <v>42</v>
      </c>
      <c r="F535" s="17" t="s">
        <v>7</v>
      </c>
      <c r="G535" s="17" t="s">
        <v>11</v>
      </c>
      <c r="H535" s="3" t="s">
        <v>196</v>
      </c>
      <c r="I535" s="5" t="s">
        <v>435</v>
      </c>
      <c r="J535" s="16">
        <f>_xlfn.XLOOKUP(CustomerCombinedCleaned[[#This Row],[ID]], Table4[ID], Table4[Recency], "Not Found", 0)</f>
        <v>54</v>
      </c>
      <c r="K535" s="16">
        <f>_xlfn.XLOOKUP(CustomerCombinedCleaned[[#This Row],[ID]], Table4[ID], Table4[Teas], "Not Found", 0)</f>
        <v>85</v>
      </c>
      <c r="L535" s="16">
        <f>_xlfn.XLOOKUP(CustomerCombinedCleaned[[#This Row],[ID]], Table4[ID], Table4[Fruits], "Not Found", 0)</f>
        <v>36</v>
      </c>
      <c r="M535" s="16">
        <f>_xlfn.XLOOKUP(CustomerCombinedCleaned[[#This Row],[ID]], Table4[ID], Table4[Meats], "Not Found", 0)</f>
        <v>130</v>
      </c>
      <c r="N535" s="16">
        <f>_xlfn.XLOOKUP(CustomerCombinedCleaned[[#This Row],[ID]], Table4[ID], Table4[Seafood], "Not Found", 0)</f>
        <v>0</v>
      </c>
      <c r="O535" s="16">
        <f>_xlfn.XLOOKUP(CustomerCombinedCleaned[[#This Row],[ID]], Table4[ID], Table4[Sweets], "Not Found", 0)</f>
        <v>54</v>
      </c>
      <c r="P535" s="16">
        <f>_xlfn.XLOOKUP(CustomerCombinedCleaned[[#This Row],[ID]], Table4[ID], Table4[Premium], "Not Found", 0)</f>
        <v>117</v>
      </c>
      <c r="Q535" s="16">
        <f>_xlfn.XLOOKUP(CustomerCombinedCleaned[[#This Row],[ID]], Table4[ID], Table4[Regular], "Not Found", 0)</f>
        <v>189</v>
      </c>
      <c r="R535" s="16">
        <f>_xlfn.XLOOKUP(CustomerCombinedCleaned[[#This Row],[ID]], Table4[ID], Table4[Deals], "Not Found", 0)</f>
        <v>1</v>
      </c>
      <c r="S535" s="16">
        <f>_xlfn.XLOOKUP(CustomerCombinedCleaned[[#This Row],[ID]], Table4[ID], Table4[Website], "Not Found", 0)</f>
        <v>2</v>
      </c>
      <c r="T535" s="16">
        <f>_xlfn.XLOOKUP(CustomerCombinedCleaned[[#This Row],[ID]], Table4[ID], Table4[Catalog], "Not Found", 0)</f>
        <v>2</v>
      </c>
      <c r="U535" s="16">
        <f>_xlfn.XLOOKUP(CustomerCombinedCleaned[[#This Row],[ID]], Table4[ID], Table4[Store], "Not Found", 0)</f>
        <v>2</v>
      </c>
      <c r="V535" s="16">
        <f>_xlfn.XLOOKUP(CustomerCombinedCleaned[[#This Row],[ID]], Table4[ID], Table4[Visits], "Not Found", 0)</f>
        <v>7</v>
      </c>
      <c r="W535" s="16">
        <f>_xlfn.XLOOKUP(CustomerCombinedCleaned[[#This Row],[ID]], Table2[ID],Table2[Complaint], "Not Found", 0 )</f>
        <v>0</v>
      </c>
      <c r="X535" s="16">
        <f>_xlfn.XLOOKUP(CustomerCombinedCleaned[[#This Row],[ID]], Table2[ID],Table2[Pilot], "Not Found", 0 )</f>
        <v>1</v>
      </c>
      <c r="Y535" s="16">
        <f>_xlfn.XLOOKUP(CustomerCombinedCleaned[[#This Row],[ID]], Table2[ID],Table2[MC1], "Not Found", 0 )</f>
        <v>0</v>
      </c>
      <c r="Z535" s="16">
        <f>_xlfn.XLOOKUP(CustomerCombinedCleaned[[#This Row],[ID]], Table2[ID],Table2[MC2], "Not Found", 0 )</f>
        <v>0</v>
      </c>
      <c r="AA535" s="16">
        <f>_xlfn.XLOOKUP(CustomerCombinedCleaned[[#This Row],[ID]], Table2[ID],Table2[MC3], "Not Found", 0 )</f>
        <v>1</v>
      </c>
      <c r="AB535" s="16">
        <f>_xlfn.XLOOKUP(CustomerCombinedCleaned[[#This Row],[ID]], Table2[ID],Table2[MC4], "Not Found", 0 )</f>
        <v>0</v>
      </c>
      <c r="AC535" s="16">
        <f>_xlfn.XLOOKUP(CustomerCombinedCleaned[[#This Row],[ID]], Table2[ID],Table2[MC5], "Not Found", 0 )</f>
        <v>0</v>
      </c>
    </row>
    <row r="536" spans="1:29" x14ac:dyDescent="0.3">
      <c r="A536" s="18">
        <v>2995</v>
      </c>
      <c r="B536" s="16">
        <v>128587</v>
      </c>
      <c r="C536" s="16">
        <v>1</v>
      </c>
      <c r="D536" s="16">
        <v>0</v>
      </c>
      <c r="E536" s="16">
        <v>42</v>
      </c>
      <c r="F536" s="17" t="s">
        <v>8</v>
      </c>
      <c r="G536" s="17" t="s">
        <v>11</v>
      </c>
      <c r="H536" s="3" t="s">
        <v>101</v>
      </c>
      <c r="I536" s="5" t="s">
        <v>437</v>
      </c>
      <c r="J536" s="16">
        <f>_xlfn.XLOOKUP(CustomerCombinedCleaned[[#This Row],[ID]], Table4[ID], Table4[Recency], "Not Found", 0)</f>
        <v>42</v>
      </c>
      <c r="K536" s="16">
        <f>_xlfn.XLOOKUP(CustomerCombinedCleaned[[#This Row],[ID]], Table4[ID], Table4[Teas], "Not Found", 0)</f>
        <v>99</v>
      </c>
      <c r="L536" s="16">
        <f>_xlfn.XLOOKUP(CustomerCombinedCleaned[[#This Row],[ID]], Table4[ID], Table4[Fruits], "Not Found", 0)</f>
        <v>18</v>
      </c>
      <c r="M536" s="16">
        <f>_xlfn.XLOOKUP(CustomerCombinedCleaned[[#This Row],[ID]], Table4[ID], Table4[Meats], "Not Found", 0)</f>
        <v>76</v>
      </c>
      <c r="N536" s="16">
        <f>_xlfn.XLOOKUP(CustomerCombinedCleaned[[#This Row],[ID]], Table4[ID], Table4[Seafood], "Not Found", 0)</f>
        <v>54</v>
      </c>
      <c r="O536" s="16">
        <f>_xlfn.XLOOKUP(CustomerCombinedCleaned[[#This Row],[ID]], Table4[ID], Table4[Sweets], "Not Found", 0)</f>
        <v>45</v>
      </c>
      <c r="P536" s="16">
        <f>_xlfn.XLOOKUP(CustomerCombinedCleaned[[#This Row],[ID]], Table4[ID], Table4[Premium], "Not Found", 0)</f>
        <v>58</v>
      </c>
      <c r="Q536" s="16">
        <f>_xlfn.XLOOKUP(CustomerCombinedCleaned[[#This Row],[ID]], Table4[ID], Table4[Regular], "Not Found", 0)</f>
        <v>234</v>
      </c>
      <c r="R536" s="16">
        <f>_xlfn.XLOOKUP(CustomerCombinedCleaned[[#This Row],[ID]], Table4[ID], Table4[Deals], "Not Found", 0)</f>
        <v>3</v>
      </c>
      <c r="S536" s="16">
        <f>_xlfn.XLOOKUP(CustomerCombinedCleaned[[#This Row],[ID]], Table4[ID], Table4[Website], "Not Found", 0)</f>
        <v>2</v>
      </c>
      <c r="T536" s="16">
        <f>_xlfn.XLOOKUP(CustomerCombinedCleaned[[#This Row],[ID]], Table4[ID], Table4[Catalog], "Not Found", 0)</f>
        <v>0</v>
      </c>
      <c r="U536" s="16">
        <f>_xlfn.XLOOKUP(CustomerCombinedCleaned[[#This Row],[ID]], Table4[ID], Table4[Store], "Not Found", 0)</f>
        <v>4</v>
      </c>
      <c r="V536" s="16">
        <f>_xlfn.XLOOKUP(CustomerCombinedCleaned[[#This Row],[ID]], Table4[ID], Table4[Visits], "Not Found", 0)</f>
        <v>6</v>
      </c>
      <c r="W536" s="16">
        <f>_xlfn.XLOOKUP(CustomerCombinedCleaned[[#This Row],[ID]], Table2[ID],Table2[Complaint], "Not Found", 0 )</f>
        <v>0</v>
      </c>
      <c r="X536" s="16">
        <f>_xlfn.XLOOKUP(CustomerCombinedCleaned[[#This Row],[ID]], Table2[ID],Table2[Pilot], "Not Found", 0 )</f>
        <v>0</v>
      </c>
      <c r="Y536" s="16">
        <f>_xlfn.XLOOKUP(CustomerCombinedCleaned[[#This Row],[ID]], Table2[ID],Table2[MC1], "Not Found", 0 )</f>
        <v>0</v>
      </c>
      <c r="Z536" s="16">
        <f>_xlfn.XLOOKUP(CustomerCombinedCleaned[[#This Row],[ID]], Table2[ID],Table2[MC2], "Not Found", 0 )</f>
        <v>0</v>
      </c>
      <c r="AA536" s="16">
        <f>_xlfn.XLOOKUP(CustomerCombinedCleaned[[#This Row],[ID]], Table2[ID],Table2[MC3], "Not Found", 0 )</f>
        <v>0</v>
      </c>
      <c r="AB536" s="16">
        <f>_xlfn.XLOOKUP(CustomerCombinedCleaned[[#This Row],[ID]], Table2[ID],Table2[MC4], "Not Found", 0 )</f>
        <v>0</v>
      </c>
      <c r="AC536" s="16">
        <f>_xlfn.XLOOKUP(CustomerCombinedCleaned[[#This Row],[ID]], Table2[ID],Table2[MC5], "Not Found", 0 )</f>
        <v>0</v>
      </c>
    </row>
    <row r="537" spans="1:29" x14ac:dyDescent="0.3">
      <c r="A537" s="18">
        <v>1346</v>
      </c>
      <c r="B537" s="16">
        <v>128442</v>
      </c>
      <c r="C537" s="16">
        <v>2</v>
      </c>
      <c r="D537" s="16">
        <v>0</v>
      </c>
      <c r="E537" s="16">
        <v>42</v>
      </c>
      <c r="F537" s="17" t="s">
        <v>6</v>
      </c>
      <c r="G537" s="17" t="s">
        <v>11</v>
      </c>
      <c r="H537" s="3" t="s">
        <v>91</v>
      </c>
      <c r="I537" s="5" t="s">
        <v>438</v>
      </c>
      <c r="J537" s="16">
        <f>_xlfn.XLOOKUP(CustomerCombinedCleaned[[#This Row],[ID]], Table4[ID], Table4[Recency], "Not Found", 0)</f>
        <v>53</v>
      </c>
      <c r="K537" s="16">
        <f>_xlfn.XLOOKUP(CustomerCombinedCleaned[[#This Row],[ID]], Table4[ID], Table4[Teas], "Not Found", 0)</f>
        <v>86</v>
      </c>
      <c r="L537" s="16">
        <f>_xlfn.XLOOKUP(CustomerCombinedCleaned[[#This Row],[ID]], Table4[ID], Table4[Fruits], "Not Found", 0)</f>
        <v>14</v>
      </c>
      <c r="M537" s="16">
        <f>_xlfn.XLOOKUP(CustomerCombinedCleaned[[#This Row],[ID]], Table4[ID], Table4[Meats], "Not Found", 0)</f>
        <v>45</v>
      </c>
      <c r="N537" s="16">
        <f>_xlfn.XLOOKUP(CustomerCombinedCleaned[[#This Row],[ID]], Table4[ID], Table4[Seafood], "Not Found", 0)</f>
        <v>50</v>
      </c>
      <c r="O537" s="16">
        <f>_xlfn.XLOOKUP(CustomerCombinedCleaned[[#This Row],[ID]], Table4[ID], Table4[Sweets], "Not Found", 0)</f>
        <v>36</v>
      </c>
      <c r="P537" s="16">
        <f>_xlfn.XLOOKUP(CustomerCombinedCleaned[[#This Row],[ID]], Table4[ID], Table4[Premium], "Not Found", 0)</f>
        <v>27</v>
      </c>
      <c r="Q537" s="16">
        <f>_xlfn.XLOOKUP(CustomerCombinedCleaned[[#This Row],[ID]], Table4[ID], Table4[Regular], "Not Found", 0)</f>
        <v>203</v>
      </c>
      <c r="R537" s="16">
        <f>_xlfn.XLOOKUP(CustomerCombinedCleaned[[#This Row],[ID]], Table4[ID], Table4[Deals], "Not Found", 0)</f>
        <v>3</v>
      </c>
      <c r="S537" s="16">
        <f>_xlfn.XLOOKUP(CustomerCombinedCleaned[[#This Row],[ID]], Table4[ID], Table4[Website], "Not Found", 0)</f>
        <v>2</v>
      </c>
      <c r="T537" s="16">
        <f>_xlfn.XLOOKUP(CustomerCombinedCleaned[[#This Row],[ID]], Table4[ID], Table4[Catalog], "Not Found", 0)</f>
        <v>1</v>
      </c>
      <c r="U537" s="16">
        <f>_xlfn.XLOOKUP(CustomerCombinedCleaned[[#This Row],[ID]], Table4[ID], Table4[Store], "Not Found", 0)</f>
        <v>4</v>
      </c>
      <c r="V537" s="16">
        <f>_xlfn.XLOOKUP(CustomerCombinedCleaned[[#This Row],[ID]], Table4[ID], Table4[Visits], "Not Found", 0)</f>
        <v>4</v>
      </c>
      <c r="W537" s="16">
        <f>_xlfn.XLOOKUP(CustomerCombinedCleaned[[#This Row],[ID]], Table2[ID],Table2[Complaint], "Not Found", 0 )</f>
        <v>0</v>
      </c>
      <c r="X537" s="16">
        <f>_xlfn.XLOOKUP(CustomerCombinedCleaned[[#This Row],[ID]], Table2[ID],Table2[Pilot], "Not Found", 0 )</f>
        <v>0</v>
      </c>
      <c r="Y537" s="16">
        <f>_xlfn.XLOOKUP(CustomerCombinedCleaned[[#This Row],[ID]], Table2[ID],Table2[MC1], "Not Found", 0 )</f>
        <v>0</v>
      </c>
      <c r="Z537" s="16">
        <f>_xlfn.XLOOKUP(CustomerCombinedCleaned[[#This Row],[ID]], Table2[ID],Table2[MC2], "Not Found", 0 )</f>
        <v>0</v>
      </c>
      <c r="AA537" s="16">
        <f>_xlfn.XLOOKUP(CustomerCombinedCleaned[[#This Row],[ID]], Table2[ID],Table2[MC3], "Not Found", 0 )</f>
        <v>0</v>
      </c>
      <c r="AB537" s="16">
        <f>_xlfn.XLOOKUP(CustomerCombinedCleaned[[#This Row],[ID]], Table2[ID],Table2[MC4], "Not Found", 0 )</f>
        <v>0</v>
      </c>
      <c r="AC537" s="16">
        <f>_xlfn.XLOOKUP(CustomerCombinedCleaned[[#This Row],[ID]], Table2[ID],Table2[MC5], "Not Found", 0 )</f>
        <v>0</v>
      </c>
    </row>
    <row r="538" spans="1:29" x14ac:dyDescent="0.3">
      <c r="A538" s="18">
        <v>2225</v>
      </c>
      <c r="B538" s="16">
        <v>127683</v>
      </c>
      <c r="C538" s="16">
        <v>1</v>
      </c>
      <c r="D538" s="16">
        <v>0</v>
      </c>
      <c r="E538" s="16">
        <v>42</v>
      </c>
      <c r="F538" s="17" t="s">
        <v>8</v>
      </c>
      <c r="G538" s="17" t="s">
        <v>13</v>
      </c>
      <c r="H538" s="3" t="s">
        <v>728</v>
      </c>
      <c r="I538" s="5" t="s">
        <v>434</v>
      </c>
      <c r="J538" s="16">
        <f>_xlfn.XLOOKUP(CustomerCombinedCleaned[[#This Row],[ID]], Table4[ID], Table4[Recency], "Not Found", 0)</f>
        <v>90</v>
      </c>
      <c r="K538" s="16">
        <f>_xlfn.XLOOKUP(CustomerCombinedCleaned[[#This Row],[ID]], Table4[ID], Table4[Teas], "Not Found", 0)</f>
        <v>701</v>
      </c>
      <c r="L538" s="16">
        <f>_xlfn.XLOOKUP(CustomerCombinedCleaned[[#This Row],[ID]], Table4[ID], Table4[Fruits], "Not Found", 0)</f>
        <v>42</v>
      </c>
      <c r="M538" s="16">
        <f>_xlfn.XLOOKUP(CustomerCombinedCleaned[[#This Row],[ID]], Table4[ID], Table4[Meats], "Not Found", 0)</f>
        <v>558</v>
      </c>
      <c r="N538" s="16">
        <f>_xlfn.XLOOKUP(CustomerCombinedCleaned[[#This Row],[ID]], Table4[ID], Table4[Seafood], "Not Found", 0)</f>
        <v>55</v>
      </c>
      <c r="O538" s="16">
        <f>_xlfn.XLOOKUP(CustomerCombinedCleaned[[#This Row],[ID]], Table4[ID], Table4[Sweets], "Not Found", 0)</f>
        <v>55</v>
      </c>
      <c r="P538" s="16">
        <f>_xlfn.XLOOKUP(CustomerCombinedCleaned[[#This Row],[ID]], Table4[ID], Table4[Premium], "Not Found", 0)</f>
        <v>208</v>
      </c>
      <c r="Q538" s="16">
        <f>_xlfn.XLOOKUP(CustomerCombinedCleaned[[#This Row],[ID]], Table4[ID], Table4[Regular], "Not Found", 0)</f>
        <v>1204</v>
      </c>
      <c r="R538" s="16">
        <f>_xlfn.XLOOKUP(CustomerCombinedCleaned[[#This Row],[ID]], Table4[ID], Table4[Deals], "Not Found", 0)</f>
        <v>4</v>
      </c>
      <c r="S538" s="16">
        <f>_xlfn.XLOOKUP(CustomerCombinedCleaned[[#This Row],[ID]], Table4[ID], Table4[Website], "Not Found", 0)</f>
        <v>6</v>
      </c>
      <c r="T538" s="16">
        <f>_xlfn.XLOOKUP(CustomerCombinedCleaned[[#This Row],[ID]], Table4[ID], Table4[Catalog], "Not Found", 0)</f>
        <v>2</v>
      </c>
      <c r="U538" s="16">
        <f>_xlfn.XLOOKUP(CustomerCombinedCleaned[[#This Row],[ID]], Table4[ID], Table4[Store], "Not Found", 0)</f>
        <v>4</v>
      </c>
      <c r="V538" s="16">
        <f>_xlfn.XLOOKUP(CustomerCombinedCleaned[[#This Row],[ID]], Table4[ID], Table4[Visits], "Not Found", 0)</f>
        <v>8</v>
      </c>
      <c r="W538" s="16">
        <f>_xlfn.XLOOKUP(CustomerCombinedCleaned[[#This Row],[ID]], Table2[ID],Table2[Complaint], "Not Found", 0 )</f>
        <v>0</v>
      </c>
      <c r="X538" s="16">
        <f>_xlfn.XLOOKUP(CustomerCombinedCleaned[[#This Row],[ID]], Table2[ID],Table2[Pilot], "Not Found", 0 )</f>
        <v>0</v>
      </c>
      <c r="Y538" s="16">
        <f>_xlfn.XLOOKUP(CustomerCombinedCleaned[[#This Row],[ID]], Table2[ID],Table2[MC1], "Not Found", 0 )</f>
        <v>0</v>
      </c>
      <c r="Z538" s="16">
        <f>_xlfn.XLOOKUP(CustomerCombinedCleaned[[#This Row],[ID]], Table2[ID],Table2[MC2], "Not Found", 0 )</f>
        <v>0</v>
      </c>
      <c r="AA538" s="16">
        <f>_xlfn.XLOOKUP(CustomerCombinedCleaned[[#This Row],[ID]], Table2[ID],Table2[MC3], "Not Found", 0 )</f>
        <v>0</v>
      </c>
      <c r="AB538" s="16">
        <f>_xlfn.XLOOKUP(CustomerCombinedCleaned[[#This Row],[ID]], Table2[ID],Table2[MC4], "Not Found", 0 )</f>
        <v>0</v>
      </c>
      <c r="AC538" s="16">
        <f>_xlfn.XLOOKUP(CustomerCombinedCleaned[[#This Row],[ID]], Table2[ID],Table2[MC5], "Not Found", 0 )</f>
        <v>0</v>
      </c>
    </row>
    <row r="539" spans="1:29" x14ac:dyDescent="0.3">
      <c r="A539" s="18">
        <v>3151</v>
      </c>
      <c r="B539" s="16">
        <v>126487</v>
      </c>
      <c r="C539" s="16">
        <v>1</v>
      </c>
      <c r="D539" s="16">
        <v>0</v>
      </c>
      <c r="E539" s="16">
        <v>42</v>
      </c>
      <c r="F539" s="17" t="s">
        <v>7</v>
      </c>
      <c r="G539" s="17" t="s">
        <v>10</v>
      </c>
      <c r="H539" s="3" t="s">
        <v>251</v>
      </c>
      <c r="I539" s="5" t="s">
        <v>437</v>
      </c>
      <c r="J539" s="16">
        <f>_xlfn.XLOOKUP(CustomerCombinedCleaned[[#This Row],[ID]], Table4[ID], Table4[Recency], "Not Found", 0)</f>
        <v>23</v>
      </c>
      <c r="K539" s="16">
        <f>_xlfn.XLOOKUP(CustomerCombinedCleaned[[#This Row],[ID]], Table4[ID], Table4[Teas], "Not Found", 0)</f>
        <v>10</v>
      </c>
      <c r="L539" s="16">
        <f>_xlfn.XLOOKUP(CustomerCombinedCleaned[[#This Row],[ID]], Table4[ID], Table4[Fruits], "Not Found", 0)</f>
        <v>38</v>
      </c>
      <c r="M539" s="16">
        <f>_xlfn.XLOOKUP(CustomerCombinedCleaned[[#This Row],[ID]], Table4[ID], Table4[Meats], "Not Found", 0)</f>
        <v>48</v>
      </c>
      <c r="N539" s="16">
        <f>_xlfn.XLOOKUP(CustomerCombinedCleaned[[#This Row],[ID]], Table4[ID], Table4[Seafood], "Not Found", 0)</f>
        <v>57</v>
      </c>
      <c r="O539" s="16">
        <f>_xlfn.XLOOKUP(CustomerCombinedCleaned[[#This Row],[ID]], Table4[ID], Table4[Sweets], "Not Found", 0)</f>
        <v>67</v>
      </c>
      <c r="P539" s="16">
        <f>_xlfn.XLOOKUP(CustomerCombinedCleaned[[#This Row],[ID]], Table4[ID], Table4[Premium], "Not Found", 0)</f>
        <v>110</v>
      </c>
      <c r="Q539" s="16">
        <f>_xlfn.XLOOKUP(CustomerCombinedCleaned[[#This Row],[ID]], Table4[ID], Table4[Regular], "Not Found", 0)</f>
        <v>110</v>
      </c>
      <c r="R539" s="16">
        <f>_xlfn.XLOOKUP(CustomerCombinedCleaned[[#This Row],[ID]], Table4[ID], Table4[Deals], "Not Found", 0)</f>
        <v>3</v>
      </c>
      <c r="S539" s="16">
        <f>_xlfn.XLOOKUP(CustomerCombinedCleaned[[#This Row],[ID]], Table4[ID], Table4[Website], "Not Found", 0)</f>
        <v>2</v>
      </c>
      <c r="T539" s="16">
        <f>_xlfn.XLOOKUP(CustomerCombinedCleaned[[#This Row],[ID]], Table4[ID], Table4[Catalog], "Not Found", 0)</f>
        <v>1</v>
      </c>
      <c r="U539" s="16">
        <f>_xlfn.XLOOKUP(CustomerCombinedCleaned[[#This Row],[ID]], Table4[ID], Table4[Store], "Not Found", 0)</f>
        <v>3</v>
      </c>
      <c r="V539" s="16">
        <f>_xlfn.XLOOKUP(CustomerCombinedCleaned[[#This Row],[ID]], Table4[ID], Table4[Visits], "Not Found", 0)</f>
        <v>5</v>
      </c>
      <c r="W539" s="16">
        <f>_xlfn.XLOOKUP(CustomerCombinedCleaned[[#This Row],[ID]], Table2[ID],Table2[Complaint], "Not Found", 0 )</f>
        <v>0</v>
      </c>
      <c r="X539" s="16">
        <f>_xlfn.XLOOKUP(CustomerCombinedCleaned[[#This Row],[ID]], Table2[ID],Table2[Pilot], "Not Found", 0 )</f>
        <v>0</v>
      </c>
      <c r="Y539" s="16">
        <f>_xlfn.XLOOKUP(CustomerCombinedCleaned[[#This Row],[ID]], Table2[ID],Table2[MC1], "Not Found", 0 )</f>
        <v>0</v>
      </c>
      <c r="Z539" s="16">
        <f>_xlfn.XLOOKUP(CustomerCombinedCleaned[[#This Row],[ID]], Table2[ID],Table2[MC2], "Not Found", 0 )</f>
        <v>0</v>
      </c>
      <c r="AA539" s="16">
        <f>_xlfn.XLOOKUP(CustomerCombinedCleaned[[#This Row],[ID]], Table2[ID],Table2[MC3], "Not Found", 0 )</f>
        <v>0</v>
      </c>
      <c r="AB539" s="16">
        <f>_xlfn.XLOOKUP(CustomerCombinedCleaned[[#This Row],[ID]], Table2[ID],Table2[MC4], "Not Found", 0 )</f>
        <v>0</v>
      </c>
      <c r="AC539" s="16">
        <f>_xlfn.XLOOKUP(CustomerCombinedCleaned[[#This Row],[ID]], Table2[ID],Table2[MC5], "Not Found", 0 )</f>
        <v>0</v>
      </c>
    </row>
    <row r="540" spans="1:29" x14ac:dyDescent="0.3">
      <c r="A540" s="18">
        <v>1582</v>
      </c>
      <c r="B540" s="16">
        <v>126224</v>
      </c>
      <c r="C540" s="16">
        <v>1</v>
      </c>
      <c r="D540" s="16">
        <v>0</v>
      </c>
      <c r="E540" s="16">
        <v>42</v>
      </c>
      <c r="F540" s="17" t="s">
        <v>6</v>
      </c>
      <c r="G540" s="17" t="s">
        <v>11</v>
      </c>
      <c r="H540" s="3" t="s">
        <v>569</v>
      </c>
      <c r="I540" s="5" t="s">
        <v>439</v>
      </c>
      <c r="J540" s="16">
        <f>_xlfn.XLOOKUP(CustomerCombinedCleaned[[#This Row],[ID]], Table4[ID], Table4[Recency], "Not Found", 0)</f>
        <v>39</v>
      </c>
      <c r="K540" s="16">
        <f>_xlfn.XLOOKUP(CustomerCombinedCleaned[[#This Row],[ID]], Table4[ID], Table4[Teas], "Not Found", 0)</f>
        <v>19</v>
      </c>
      <c r="L540" s="16">
        <f>_xlfn.XLOOKUP(CustomerCombinedCleaned[[#This Row],[ID]], Table4[ID], Table4[Fruits], "Not Found", 0)</f>
        <v>34</v>
      </c>
      <c r="M540" s="16">
        <f>_xlfn.XLOOKUP(CustomerCombinedCleaned[[#This Row],[ID]], Table4[ID], Table4[Meats], "Not Found", 0)</f>
        <v>72</v>
      </c>
      <c r="N540" s="16">
        <f>_xlfn.XLOOKUP(CustomerCombinedCleaned[[#This Row],[ID]], Table4[ID], Table4[Seafood], "Not Found", 0)</f>
        <v>63</v>
      </c>
      <c r="O540" s="16">
        <f>_xlfn.XLOOKUP(CustomerCombinedCleaned[[#This Row],[ID]], Table4[ID], Table4[Sweets], "Not Found", 0)</f>
        <v>43</v>
      </c>
      <c r="P540" s="16">
        <f>_xlfn.XLOOKUP(CustomerCombinedCleaned[[#This Row],[ID]], Table4[ID], Table4[Premium], "Not Found", 0)</f>
        <v>72</v>
      </c>
      <c r="Q540" s="16">
        <f>_xlfn.XLOOKUP(CustomerCombinedCleaned[[#This Row],[ID]], Table4[ID], Table4[Regular], "Not Found", 0)</f>
        <v>159</v>
      </c>
      <c r="R540" s="16">
        <f>_xlfn.XLOOKUP(CustomerCombinedCleaned[[#This Row],[ID]], Table4[ID], Table4[Deals], "Not Found", 0)</f>
        <v>3</v>
      </c>
      <c r="S540" s="16">
        <f>_xlfn.XLOOKUP(CustomerCombinedCleaned[[#This Row],[ID]], Table4[ID], Table4[Website], "Not Found", 0)</f>
        <v>2</v>
      </c>
      <c r="T540" s="16">
        <f>_xlfn.XLOOKUP(CustomerCombinedCleaned[[#This Row],[ID]], Table4[ID], Table4[Catalog], "Not Found", 0)</f>
        <v>1</v>
      </c>
      <c r="U540" s="16">
        <f>_xlfn.XLOOKUP(CustomerCombinedCleaned[[#This Row],[ID]], Table4[ID], Table4[Store], "Not Found", 0)</f>
        <v>3</v>
      </c>
      <c r="V540" s="16">
        <f>_xlfn.XLOOKUP(CustomerCombinedCleaned[[#This Row],[ID]], Table4[ID], Table4[Visits], "Not Found", 0)</f>
        <v>6</v>
      </c>
      <c r="W540" s="16">
        <f>_xlfn.XLOOKUP(CustomerCombinedCleaned[[#This Row],[ID]], Table2[ID],Table2[Complaint], "Not Found", 0 )</f>
        <v>0</v>
      </c>
      <c r="X540" s="16">
        <f>_xlfn.XLOOKUP(CustomerCombinedCleaned[[#This Row],[ID]], Table2[ID],Table2[Pilot], "Not Found", 0 )</f>
        <v>0</v>
      </c>
      <c r="Y540" s="16">
        <f>_xlfn.XLOOKUP(CustomerCombinedCleaned[[#This Row],[ID]], Table2[ID],Table2[MC1], "Not Found", 0 )</f>
        <v>0</v>
      </c>
      <c r="Z540" s="16">
        <f>_xlfn.XLOOKUP(CustomerCombinedCleaned[[#This Row],[ID]], Table2[ID],Table2[MC2], "Not Found", 0 )</f>
        <v>0</v>
      </c>
      <c r="AA540" s="16">
        <f>_xlfn.XLOOKUP(CustomerCombinedCleaned[[#This Row],[ID]], Table2[ID],Table2[MC3], "Not Found", 0 )</f>
        <v>0</v>
      </c>
      <c r="AB540" s="16">
        <f>_xlfn.XLOOKUP(CustomerCombinedCleaned[[#This Row],[ID]], Table2[ID],Table2[MC4], "Not Found", 0 )</f>
        <v>0</v>
      </c>
      <c r="AC540" s="16">
        <f>_xlfn.XLOOKUP(CustomerCombinedCleaned[[#This Row],[ID]], Table2[ID],Table2[MC5], "Not Found", 0 )</f>
        <v>0</v>
      </c>
    </row>
    <row r="541" spans="1:29" x14ac:dyDescent="0.3">
      <c r="A541" s="18">
        <v>1698</v>
      </c>
      <c r="B541" s="16">
        <v>125851</v>
      </c>
      <c r="C541" s="16">
        <v>1</v>
      </c>
      <c r="D541" s="16">
        <v>0</v>
      </c>
      <c r="E541" s="16">
        <v>42</v>
      </c>
      <c r="F541" s="17" t="s">
        <v>8</v>
      </c>
      <c r="G541" s="17" t="s">
        <v>11</v>
      </c>
      <c r="H541" s="3" t="s">
        <v>312</v>
      </c>
      <c r="I541" s="5" t="s">
        <v>436</v>
      </c>
      <c r="J541" s="16">
        <f>_xlfn.XLOOKUP(CustomerCombinedCleaned[[#This Row],[ID]], Table4[ID], Table4[Recency], "Not Found", 0)</f>
        <v>45</v>
      </c>
      <c r="K541" s="16">
        <f>_xlfn.XLOOKUP(CustomerCombinedCleaned[[#This Row],[ID]], Table4[ID], Table4[Teas], "Not Found", 0)</f>
        <v>44</v>
      </c>
      <c r="L541" s="16">
        <f>_xlfn.XLOOKUP(CustomerCombinedCleaned[[#This Row],[ID]], Table4[ID], Table4[Fruits], "Not Found", 0)</f>
        <v>19</v>
      </c>
      <c r="M541" s="16">
        <f>_xlfn.XLOOKUP(CustomerCombinedCleaned[[#This Row],[ID]], Table4[ID], Table4[Meats], "Not Found", 0)</f>
        <v>88</v>
      </c>
      <c r="N541" s="16">
        <f>_xlfn.XLOOKUP(CustomerCombinedCleaned[[#This Row],[ID]], Table4[ID], Table4[Seafood], "Not Found", 0)</f>
        <v>34</v>
      </c>
      <c r="O541" s="16">
        <f>_xlfn.XLOOKUP(CustomerCombinedCleaned[[#This Row],[ID]], Table4[ID], Table4[Sweets], "Not Found", 0)</f>
        <v>24</v>
      </c>
      <c r="P541" s="16">
        <f>_xlfn.XLOOKUP(CustomerCombinedCleaned[[#This Row],[ID]], Table4[ID], Table4[Premium], "Not Found", 0)</f>
        <v>24</v>
      </c>
      <c r="Q541" s="16">
        <f>_xlfn.XLOOKUP(CustomerCombinedCleaned[[#This Row],[ID]], Table4[ID], Table4[Regular], "Not Found", 0)</f>
        <v>185</v>
      </c>
      <c r="R541" s="16">
        <f>_xlfn.XLOOKUP(CustomerCombinedCleaned[[#This Row],[ID]], Table4[ID], Table4[Deals], "Not Found", 0)</f>
        <v>2</v>
      </c>
      <c r="S541" s="16">
        <f>_xlfn.XLOOKUP(CustomerCombinedCleaned[[#This Row],[ID]], Table4[ID], Table4[Website], "Not Found", 0)</f>
        <v>2</v>
      </c>
      <c r="T541" s="16">
        <f>_xlfn.XLOOKUP(CustomerCombinedCleaned[[#This Row],[ID]], Table4[ID], Table4[Catalog], "Not Found", 0)</f>
        <v>0</v>
      </c>
      <c r="U541" s="16">
        <f>_xlfn.XLOOKUP(CustomerCombinedCleaned[[#This Row],[ID]], Table4[ID], Table4[Store], "Not Found", 0)</f>
        <v>3</v>
      </c>
      <c r="V541" s="16">
        <f>_xlfn.XLOOKUP(CustomerCombinedCleaned[[#This Row],[ID]], Table4[ID], Table4[Visits], "Not Found", 0)</f>
        <v>7</v>
      </c>
      <c r="W541" s="16">
        <f>_xlfn.XLOOKUP(CustomerCombinedCleaned[[#This Row],[ID]], Table2[ID],Table2[Complaint], "Not Found", 0 )</f>
        <v>0</v>
      </c>
      <c r="X541" s="16">
        <f>_xlfn.XLOOKUP(CustomerCombinedCleaned[[#This Row],[ID]], Table2[ID],Table2[Pilot], "Not Found", 0 )</f>
        <v>0</v>
      </c>
      <c r="Y541" s="16">
        <f>_xlfn.XLOOKUP(CustomerCombinedCleaned[[#This Row],[ID]], Table2[ID],Table2[MC1], "Not Found", 0 )</f>
        <v>0</v>
      </c>
      <c r="Z541" s="16">
        <f>_xlfn.XLOOKUP(CustomerCombinedCleaned[[#This Row],[ID]], Table2[ID],Table2[MC2], "Not Found", 0 )</f>
        <v>0</v>
      </c>
      <c r="AA541" s="16">
        <f>_xlfn.XLOOKUP(CustomerCombinedCleaned[[#This Row],[ID]], Table2[ID],Table2[MC3], "Not Found", 0 )</f>
        <v>0</v>
      </c>
      <c r="AB541" s="16">
        <f>_xlfn.XLOOKUP(CustomerCombinedCleaned[[#This Row],[ID]], Table2[ID],Table2[MC4], "Not Found", 0 )</f>
        <v>0</v>
      </c>
      <c r="AC541" s="16">
        <f>_xlfn.XLOOKUP(CustomerCombinedCleaned[[#This Row],[ID]], Table2[ID],Table2[MC5], "Not Found", 0 )</f>
        <v>0</v>
      </c>
    </row>
    <row r="542" spans="1:29" x14ac:dyDescent="0.3">
      <c r="A542" s="18">
        <v>1800</v>
      </c>
      <c r="B542" s="16">
        <v>125804</v>
      </c>
      <c r="C542" s="16">
        <v>1</v>
      </c>
      <c r="D542" s="16">
        <v>0</v>
      </c>
      <c r="E542" s="16">
        <v>42</v>
      </c>
      <c r="F542" s="17" t="s">
        <v>6</v>
      </c>
      <c r="G542" s="17" t="s">
        <v>11</v>
      </c>
      <c r="H542" s="3" t="s">
        <v>758</v>
      </c>
      <c r="I542" s="5" t="s">
        <v>436</v>
      </c>
      <c r="J542" s="16">
        <f>_xlfn.XLOOKUP(CustomerCombinedCleaned[[#This Row],[ID]], Table4[ID], Table4[Recency], "Not Found", 0)</f>
        <v>34</v>
      </c>
      <c r="K542" s="16">
        <f>_xlfn.XLOOKUP(CustomerCombinedCleaned[[#This Row],[ID]], Table4[ID], Table4[Teas], "Not Found", 0)</f>
        <v>39</v>
      </c>
      <c r="L542" s="16">
        <f>_xlfn.XLOOKUP(CustomerCombinedCleaned[[#This Row],[ID]], Table4[ID], Table4[Fruits], "Not Found", 0)</f>
        <v>34</v>
      </c>
      <c r="M542" s="16">
        <f>_xlfn.XLOOKUP(CustomerCombinedCleaned[[#This Row],[ID]], Table4[ID], Table4[Meats], "Not Found", 0)</f>
        <v>44</v>
      </c>
      <c r="N542" s="16">
        <f>_xlfn.XLOOKUP(CustomerCombinedCleaned[[#This Row],[ID]], Table4[ID], Table4[Seafood], "Not Found", 0)</f>
        <v>63</v>
      </c>
      <c r="O542" s="16">
        <f>_xlfn.XLOOKUP(CustomerCombinedCleaned[[#This Row],[ID]], Table4[ID], Table4[Sweets], "Not Found", 0)</f>
        <v>29</v>
      </c>
      <c r="P542" s="16">
        <f>_xlfn.XLOOKUP(CustomerCombinedCleaned[[#This Row],[ID]], Table4[ID], Table4[Premium], "Not Found", 0)</f>
        <v>59</v>
      </c>
      <c r="Q542" s="16">
        <f>_xlfn.XLOOKUP(CustomerCombinedCleaned[[#This Row],[ID]], Table4[ID], Table4[Regular], "Not Found", 0)</f>
        <v>151</v>
      </c>
      <c r="R542" s="16">
        <f>_xlfn.XLOOKUP(CustomerCombinedCleaned[[#This Row],[ID]], Table4[ID], Table4[Deals], "Not Found", 0)</f>
        <v>2</v>
      </c>
      <c r="S542" s="16">
        <f>_xlfn.XLOOKUP(CustomerCombinedCleaned[[#This Row],[ID]], Table4[ID], Table4[Website], "Not Found", 0)</f>
        <v>2</v>
      </c>
      <c r="T542" s="16">
        <f>_xlfn.XLOOKUP(CustomerCombinedCleaned[[#This Row],[ID]], Table4[ID], Table4[Catalog], "Not Found", 0)</f>
        <v>0</v>
      </c>
      <c r="U542" s="16">
        <f>_xlfn.XLOOKUP(CustomerCombinedCleaned[[#This Row],[ID]], Table4[ID], Table4[Store], "Not Found", 0)</f>
        <v>3</v>
      </c>
      <c r="V542" s="16">
        <f>_xlfn.XLOOKUP(CustomerCombinedCleaned[[#This Row],[ID]], Table4[ID], Table4[Visits], "Not Found", 0)</f>
        <v>8</v>
      </c>
      <c r="W542" s="16">
        <f>_xlfn.XLOOKUP(CustomerCombinedCleaned[[#This Row],[ID]], Table2[ID],Table2[Complaint], "Not Found", 0 )</f>
        <v>0</v>
      </c>
      <c r="X542" s="16">
        <f>_xlfn.XLOOKUP(CustomerCombinedCleaned[[#This Row],[ID]], Table2[ID],Table2[Pilot], "Not Found", 0 )</f>
        <v>0</v>
      </c>
      <c r="Y542" s="16">
        <f>_xlfn.XLOOKUP(CustomerCombinedCleaned[[#This Row],[ID]], Table2[ID],Table2[MC1], "Not Found", 0 )</f>
        <v>0</v>
      </c>
      <c r="Z542" s="16">
        <f>_xlfn.XLOOKUP(CustomerCombinedCleaned[[#This Row],[ID]], Table2[ID],Table2[MC2], "Not Found", 0 )</f>
        <v>0</v>
      </c>
      <c r="AA542" s="16">
        <f>_xlfn.XLOOKUP(CustomerCombinedCleaned[[#This Row],[ID]], Table2[ID],Table2[MC3], "Not Found", 0 )</f>
        <v>0</v>
      </c>
      <c r="AB542" s="16">
        <f>_xlfn.XLOOKUP(CustomerCombinedCleaned[[#This Row],[ID]], Table2[ID],Table2[MC4], "Not Found", 0 )</f>
        <v>0</v>
      </c>
      <c r="AC542" s="16">
        <f>_xlfn.XLOOKUP(CustomerCombinedCleaned[[#This Row],[ID]], Table2[ID],Table2[MC5], "Not Found", 0 )</f>
        <v>0</v>
      </c>
    </row>
    <row r="543" spans="1:29" x14ac:dyDescent="0.3">
      <c r="A543" s="18">
        <v>1179</v>
      </c>
      <c r="B543" s="16">
        <v>124882</v>
      </c>
      <c r="C543" s="16">
        <v>1</v>
      </c>
      <c r="D543" s="16">
        <v>0</v>
      </c>
      <c r="E543" s="16">
        <v>42</v>
      </c>
      <c r="F543" s="17" t="s">
        <v>8</v>
      </c>
      <c r="G543" s="17" t="s">
        <v>10</v>
      </c>
      <c r="H543" s="3" t="s">
        <v>400</v>
      </c>
      <c r="I543" s="5" t="s">
        <v>435</v>
      </c>
      <c r="J543" s="16">
        <f>_xlfn.XLOOKUP(CustomerCombinedCleaned[[#This Row],[ID]], Table4[ID], Table4[Recency], "Not Found", 0)</f>
        <v>52</v>
      </c>
      <c r="K543" s="16">
        <f>_xlfn.XLOOKUP(CustomerCombinedCleaned[[#This Row],[ID]], Table4[ID], Table4[Teas], "Not Found", 0)</f>
        <v>5</v>
      </c>
      <c r="L543" s="16">
        <f>_xlfn.XLOOKUP(CustomerCombinedCleaned[[#This Row],[ID]], Table4[ID], Table4[Fruits], "Not Found", 0)</f>
        <v>20</v>
      </c>
      <c r="M543" s="16">
        <f>_xlfn.XLOOKUP(CustomerCombinedCleaned[[#This Row],[ID]], Table4[ID], Table4[Meats], "Not Found", 0)</f>
        <v>50</v>
      </c>
      <c r="N543" s="16">
        <f>_xlfn.XLOOKUP(CustomerCombinedCleaned[[#This Row],[ID]], Table4[ID], Table4[Seafood], "Not Found", 0)</f>
        <v>146</v>
      </c>
      <c r="O543" s="16">
        <f>_xlfn.XLOOKUP(CustomerCombinedCleaned[[#This Row],[ID]], Table4[ID], Table4[Sweets], "Not Found", 0)</f>
        <v>0</v>
      </c>
      <c r="P543" s="16">
        <f>_xlfn.XLOOKUP(CustomerCombinedCleaned[[#This Row],[ID]], Table4[ID], Table4[Premium], "Not Found", 0)</f>
        <v>181</v>
      </c>
      <c r="Q543" s="16">
        <f>_xlfn.XLOOKUP(CustomerCombinedCleaned[[#This Row],[ID]], Table4[ID], Table4[Regular], "Not Found", 0)</f>
        <v>40</v>
      </c>
      <c r="R543" s="16">
        <f>_xlfn.XLOOKUP(CustomerCombinedCleaned[[#This Row],[ID]], Table4[ID], Table4[Deals], "Not Found", 0)</f>
        <v>1</v>
      </c>
      <c r="S543" s="16">
        <f>_xlfn.XLOOKUP(CustomerCombinedCleaned[[#This Row],[ID]], Table4[ID], Table4[Website], "Not Found", 0)</f>
        <v>1</v>
      </c>
      <c r="T543" s="16">
        <f>_xlfn.XLOOKUP(CustomerCombinedCleaned[[#This Row],[ID]], Table4[ID], Table4[Catalog], "Not Found", 0)</f>
        <v>1</v>
      </c>
      <c r="U543" s="16">
        <f>_xlfn.XLOOKUP(CustomerCombinedCleaned[[#This Row],[ID]], Table4[ID], Table4[Store], "Not Found", 0)</f>
        <v>2</v>
      </c>
      <c r="V543" s="16">
        <f>_xlfn.XLOOKUP(CustomerCombinedCleaned[[#This Row],[ID]], Table4[ID], Table4[Visits], "Not Found", 0)</f>
        <v>6</v>
      </c>
      <c r="W543" s="16">
        <f>_xlfn.XLOOKUP(CustomerCombinedCleaned[[#This Row],[ID]], Table2[ID],Table2[Complaint], "Not Found", 0 )</f>
        <v>0</v>
      </c>
      <c r="X543" s="16">
        <f>_xlfn.XLOOKUP(CustomerCombinedCleaned[[#This Row],[ID]], Table2[ID],Table2[Pilot], "Not Found", 0 )</f>
        <v>0</v>
      </c>
      <c r="Y543" s="16">
        <f>_xlfn.XLOOKUP(CustomerCombinedCleaned[[#This Row],[ID]], Table2[ID],Table2[MC1], "Not Found", 0 )</f>
        <v>0</v>
      </c>
      <c r="Z543" s="16">
        <f>_xlfn.XLOOKUP(CustomerCombinedCleaned[[#This Row],[ID]], Table2[ID],Table2[MC2], "Not Found", 0 )</f>
        <v>0</v>
      </c>
      <c r="AA543" s="16">
        <f>_xlfn.XLOOKUP(CustomerCombinedCleaned[[#This Row],[ID]], Table2[ID],Table2[MC3], "Not Found", 0 )</f>
        <v>1</v>
      </c>
      <c r="AB543" s="16">
        <f>_xlfn.XLOOKUP(CustomerCombinedCleaned[[#This Row],[ID]], Table2[ID],Table2[MC4], "Not Found", 0 )</f>
        <v>0</v>
      </c>
      <c r="AC543" s="16">
        <f>_xlfn.XLOOKUP(CustomerCombinedCleaned[[#This Row],[ID]], Table2[ID],Table2[MC5], "Not Found", 0 )</f>
        <v>0</v>
      </c>
    </row>
    <row r="544" spans="1:29" x14ac:dyDescent="0.3">
      <c r="A544" s="18">
        <v>2871</v>
      </c>
      <c r="B544" s="16">
        <v>124882</v>
      </c>
      <c r="C544" s="16">
        <v>1</v>
      </c>
      <c r="D544" s="16">
        <v>0</v>
      </c>
      <c r="E544" s="16">
        <v>42</v>
      </c>
      <c r="F544" s="17" t="s">
        <v>8</v>
      </c>
      <c r="G544" s="17" t="s">
        <v>10</v>
      </c>
      <c r="H544" s="3" t="s">
        <v>400</v>
      </c>
      <c r="I544" s="5" t="s">
        <v>435</v>
      </c>
      <c r="J544" s="16">
        <f>_xlfn.XLOOKUP(CustomerCombinedCleaned[[#This Row],[ID]], Table4[ID], Table4[Recency], "Not Found", 0)</f>
        <v>52</v>
      </c>
      <c r="K544" s="16">
        <f>_xlfn.XLOOKUP(CustomerCombinedCleaned[[#This Row],[ID]], Table4[ID], Table4[Teas], "Not Found", 0)</f>
        <v>5</v>
      </c>
      <c r="L544" s="16">
        <f>_xlfn.XLOOKUP(CustomerCombinedCleaned[[#This Row],[ID]], Table4[ID], Table4[Fruits], "Not Found", 0)</f>
        <v>20</v>
      </c>
      <c r="M544" s="16">
        <f>_xlfn.XLOOKUP(CustomerCombinedCleaned[[#This Row],[ID]], Table4[ID], Table4[Meats], "Not Found", 0)</f>
        <v>50</v>
      </c>
      <c r="N544" s="16">
        <f>_xlfn.XLOOKUP(CustomerCombinedCleaned[[#This Row],[ID]], Table4[ID], Table4[Seafood], "Not Found", 0)</f>
        <v>146</v>
      </c>
      <c r="O544" s="16">
        <f>_xlfn.XLOOKUP(CustomerCombinedCleaned[[#This Row],[ID]], Table4[ID], Table4[Sweets], "Not Found", 0)</f>
        <v>0</v>
      </c>
      <c r="P544" s="16">
        <f>_xlfn.XLOOKUP(CustomerCombinedCleaned[[#This Row],[ID]], Table4[ID], Table4[Premium], "Not Found", 0)</f>
        <v>181</v>
      </c>
      <c r="Q544" s="16">
        <f>_xlfn.XLOOKUP(CustomerCombinedCleaned[[#This Row],[ID]], Table4[ID], Table4[Regular], "Not Found", 0)</f>
        <v>40</v>
      </c>
      <c r="R544" s="16">
        <f>_xlfn.XLOOKUP(CustomerCombinedCleaned[[#This Row],[ID]], Table4[ID], Table4[Deals], "Not Found", 0)</f>
        <v>1</v>
      </c>
      <c r="S544" s="16">
        <f>_xlfn.XLOOKUP(CustomerCombinedCleaned[[#This Row],[ID]], Table4[ID], Table4[Website], "Not Found", 0)</f>
        <v>1</v>
      </c>
      <c r="T544" s="16">
        <f>_xlfn.XLOOKUP(CustomerCombinedCleaned[[#This Row],[ID]], Table4[ID], Table4[Catalog], "Not Found", 0)</f>
        <v>1</v>
      </c>
      <c r="U544" s="16">
        <f>_xlfn.XLOOKUP(CustomerCombinedCleaned[[#This Row],[ID]], Table4[ID], Table4[Store], "Not Found", 0)</f>
        <v>2</v>
      </c>
      <c r="V544" s="16">
        <f>_xlfn.XLOOKUP(CustomerCombinedCleaned[[#This Row],[ID]], Table4[ID], Table4[Visits], "Not Found", 0)</f>
        <v>6</v>
      </c>
      <c r="W544" s="16">
        <f>_xlfn.XLOOKUP(CustomerCombinedCleaned[[#This Row],[ID]], Table2[ID],Table2[Complaint], "Not Found", 0 )</f>
        <v>0</v>
      </c>
      <c r="X544" s="16">
        <f>_xlfn.XLOOKUP(CustomerCombinedCleaned[[#This Row],[ID]], Table2[ID],Table2[Pilot], "Not Found", 0 )</f>
        <v>0</v>
      </c>
      <c r="Y544" s="16">
        <f>_xlfn.XLOOKUP(CustomerCombinedCleaned[[#This Row],[ID]], Table2[ID],Table2[MC1], "Not Found", 0 )</f>
        <v>0</v>
      </c>
      <c r="Z544" s="16">
        <f>_xlfn.XLOOKUP(CustomerCombinedCleaned[[#This Row],[ID]], Table2[ID],Table2[MC2], "Not Found", 0 )</f>
        <v>0</v>
      </c>
      <c r="AA544" s="16">
        <f>_xlfn.XLOOKUP(CustomerCombinedCleaned[[#This Row],[ID]], Table2[ID],Table2[MC3], "Not Found", 0 )</f>
        <v>1</v>
      </c>
      <c r="AB544" s="16">
        <f>_xlfn.XLOOKUP(CustomerCombinedCleaned[[#This Row],[ID]], Table2[ID],Table2[MC4], "Not Found", 0 )</f>
        <v>0</v>
      </c>
      <c r="AC544" s="16">
        <f>_xlfn.XLOOKUP(CustomerCombinedCleaned[[#This Row],[ID]], Table2[ID],Table2[MC5], "Not Found", 0 )</f>
        <v>0</v>
      </c>
    </row>
    <row r="545" spans="1:29" x14ac:dyDescent="0.3">
      <c r="A545" s="18">
        <v>2609</v>
      </c>
      <c r="B545" s="16">
        <v>122775</v>
      </c>
      <c r="C545" s="16">
        <v>1</v>
      </c>
      <c r="D545" s="16">
        <v>0</v>
      </c>
      <c r="E545" s="16">
        <v>42</v>
      </c>
      <c r="F545" s="17" t="s">
        <v>8</v>
      </c>
      <c r="G545" s="17" t="s">
        <v>11</v>
      </c>
      <c r="H545" s="3" t="s">
        <v>234</v>
      </c>
      <c r="I545" s="5" t="s">
        <v>434</v>
      </c>
      <c r="J545" s="16">
        <f>_xlfn.XLOOKUP(CustomerCombinedCleaned[[#This Row],[ID]], Table4[ID], Table4[Recency], "Not Found", 0)</f>
        <v>40</v>
      </c>
      <c r="K545" s="16">
        <f>_xlfn.XLOOKUP(CustomerCombinedCleaned[[#This Row],[ID]], Table4[ID], Table4[Teas], "Not Found", 0)</f>
        <v>27</v>
      </c>
      <c r="L545" s="16">
        <f>_xlfn.XLOOKUP(CustomerCombinedCleaned[[#This Row],[ID]], Table4[ID], Table4[Fruits], "Not Found", 0)</f>
        <v>5</v>
      </c>
      <c r="M545" s="16">
        <f>_xlfn.XLOOKUP(CustomerCombinedCleaned[[#This Row],[ID]], Table4[ID], Table4[Meats], "Not Found", 0)</f>
        <v>43</v>
      </c>
      <c r="N545" s="16">
        <f>_xlfn.XLOOKUP(CustomerCombinedCleaned[[#This Row],[ID]], Table4[ID], Table4[Seafood], "Not Found", 0)</f>
        <v>0</v>
      </c>
      <c r="O545" s="16">
        <f>_xlfn.XLOOKUP(CustomerCombinedCleaned[[#This Row],[ID]], Table4[ID], Table4[Sweets], "Not Found", 0)</f>
        <v>0</v>
      </c>
      <c r="P545" s="16">
        <f>_xlfn.XLOOKUP(CustomerCombinedCleaned[[#This Row],[ID]], Table4[ID], Table4[Premium], "Not Found", 0)</f>
        <v>5</v>
      </c>
      <c r="Q545" s="16">
        <f>_xlfn.XLOOKUP(CustomerCombinedCleaned[[#This Row],[ID]], Table4[ID], Table4[Regular], "Not Found", 0)</f>
        <v>70</v>
      </c>
      <c r="R545" s="16">
        <f>_xlfn.XLOOKUP(CustomerCombinedCleaned[[#This Row],[ID]], Table4[ID], Table4[Deals], "Not Found", 0)</f>
        <v>1</v>
      </c>
      <c r="S545" s="16">
        <f>_xlfn.XLOOKUP(CustomerCombinedCleaned[[#This Row],[ID]], Table4[ID], Table4[Website], "Not Found", 0)</f>
        <v>1</v>
      </c>
      <c r="T545" s="16">
        <f>_xlfn.XLOOKUP(CustomerCombinedCleaned[[#This Row],[ID]], Table4[ID], Table4[Catalog], "Not Found", 0)</f>
        <v>0</v>
      </c>
      <c r="U545" s="16">
        <f>_xlfn.XLOOKUP(CustomerCombinedCleaned[[#This Row],[ID]], Table4[ID], Table4[Store], "Not Found", 0)</f>
        <v>2</v>
      </c>
      <c r="V545" s="16">
        <f>_xlfn.XLOOKUP(CustomerCombinedCleaned[[#This Row],[ID]], Table4[ID], Table4[Visits], "Not Found", 0)</f>
        <v>8</v>
      </c>
      <c r="W545" s="16">
        <f>_xlfn.XLOOKUP(CustomerCombinedCleaned[[#This Row],[ID]], Table2[ID],Table2[Complaint], "Not Found", 0 )</f>
        <v>0</v>
      </c>
      <c r="X545" s="16">
        <f>_xlfn.XLOOKUP(CustomerCombinedCleaned[[#This Row],[ID]], Table2[ID],Table2[Pilot], "Not Found", 0 )</f>
        <v>0</v>
      </c>
      <c r="Y545" s="16">
        <f>_xlfn.XLOOKUP(CustomerCombinedCleaned[[#This Row],[ID]], Table2[ID],Table2[MC1], "Not Found", 0 )</f>
        <v>0</v>
      </c>
      <c r="Z545" s="16">
        <f>_xlfn.XLOOKUP(CustomerCombinedCleaned[[#This Row],[ID]], Table2[ID],Table2[MC2], "Not Found", 0 )</f>
        <v>0</v>
      </c>
      <c r="AA545" s="16">
        <f>_xlfn.XLOOKUP(CustomerCombinedCleaned[[#This Row],[ID]], Table2[ID],Table2[MC3], "Not Found", 0 )</f>
        <v>0</v>
      </c>
      <c r="AB545" s="16">
        <f>_xlfn.XLOOKUP(CustomerCombinedCleaned[[#This Row],[ID]], Table2[ID],Table2[MC4], "Not Found", 0 )</f>
        <v>0</v>
      </c>
      <c r="AC545" s="16">
        <f>_xlfn.XLOOKUP(CustomerCombinedCleaned[[#This Row],[ID]], Table2[ID],Table2[MC5], "Not Found", 0 )</f>
        <v>0</v>
      </c>
    </row>
    <row r="546" spans="1:29" x14ac:dyDescent="0.3">
      <c r="A546" s="18">
        <v>3186</v>
      </c>
      <c r="B546" s="16">
        <v>122775</v>
      </c>
      <c r="C546" s="16">
        <v>1</v>
      </c>
      <c r="D546" s="16">
        <v>0</v>
      </c>
      <c r="E546" s="16">
        <v>42</v>
      </c>
      <c r="F546" s="17" t="s">
        <v>8</v>
      </c>
      <c r="G546" s="17" t="s">
        <v>11</v>
      </c>
      <c r="H546" s="3" t="s">
        <v>234</v>
      </c>
      <c r="I546" s="5" t="s">
        <v>436</v>
      </c>
      <c r="J546" s="16">
        <f>_xlfn.XLOOKUP(CustomerCombinedCleaned[[#This Row],[ID]], Table4[ID], Table4[Recency], "Not Found", 0)</f>
        <v>40</v>
      </c>
      <c r="K546" s="16">
        <f>_xlfn.XLOOKUP(CustomerCombinedCleaned[[#This Row],[ID]], Table4[ID], Table4[Teas], "Not Found", 0)</f>
        <v>27</v>
      </c>
      <c r="L546" s="16">
        <f>_xlfn.XLOOKUP(CustomerCombinedCleaned[[#This Row],[ID]], Table4[ID], Table4[Fruits], "Not Found", 0)</f>
        <v>5</v>
      </c>
      <c r="M546" s="16">
        <f>_xlfn.XLOOKUP(CustomerCombinedCleaned[[#This Row],[ID]], Table4[ID], Table4[Meats], "Not Found", 0)</f>
        <v>43</v>
      </c>
      <c r="N546" s="16">
        <f>_xlfn.XLOOKUP(CustomerCombinedCleaned[[#This Row],[ID]], Table4[ID], Table4[Seafood], "Not Found", 0)</f>
        <v>0</v>
      </c>
      <c r="O546" s="16">
        <f>_xlfn.XLOOKUP(CustomerCombinedCleaned[[#This Row],[ID]], Table4[ID], Table4[Sweets], "Not Found", 0)</f>
        <v>0</v>
      </c>
      <c r="P546" s="16">
        <f>_xlfn.XLOOKUP(CustomerCombinedCleaned[[#This Row],[ID]], Table4[ID], Table4[Premium], "Not Found", 0)</f>
        <v>5</v>
      </c>
      <c r="Q546" s="16">
        <f>_xlfn.XLOOKUP(CustomerCombinedCleaned[[#This Row],[ID]], Table4[ID], Table4[Regular], "Not Found", 0)</f>
        <v>70</v>
      </c>
      <c r="R546" s="16">
        <f>_xlfn.XLOOKUP(CustomerCombinedCleaned[[#This Row],[ID]], Table4[ID], Table4[Deals], "Not Found", 0)</f>
        <v>1</v>
      </c>
      <c r="S546" s="16">
        <f>_xlfn.XLOOKUP(CustomerCombinedCleaned[[#This Row],[ID]], Table4[ID], Table4[Website], "Not Found", 0)</f>
        <v>1</v>
      </c>
      <c r="T546" s="16">
        <f>_xlfn.XLOOKUP(CustomerCombinedCleaned[[#This Row],[ID]], Table4[ID], Table4[Catalog], "Not Found", 0)</f>
        <v>0</v>
      </c>
      <c r="U546" s="16">
        <f>_xlfn.XLOOKUP(CustomerCombinedCleaned[[#This Row],[ID]], Table4[ID], Table4[Store], "Not Found", 0)</f>
        <v>2</v>
      </c>
      <c r="V546" s="16">
        <f>_xlfn.XLOOKUP(CustomerCombinedCleaned[[#This Row],[ID]], Table4[ID], Table4[Visits], "Not Found", 0)</f>
        <v>8</v>
      </c>
      <c r="W546" s="16">
        <f>_xlfn.XLOOKUP(CustomerCombinedCleaned[[#This Row],[ID]], Table2[ID],Table2[Complaint], "Not Found", 0 )</f>
        <v>0</v>
      </c>
      <c r="X546" s="16">
        <f>_xlfn.XLOOKUP(CustomerCombinedCleaned[[#This Row],[ID]], Table2[ID],Table2[Pilot], "Not Found", 0 )</f>
        <v>0</v>
      </c>
      <c r="Y546" s="16">
        <f>_xlfn.XLOOKUP(CustomerCombinedCleaned[[#This Row],[ID]], Table2[ID],Table2[MC1], "Not Found", 0 )</f>
        <v>0</v>
      </c>
      <c r="Z546" s="16">
        <f>_xlfn.XLOOKUP(CustomerCombinedCleaned[[#This Row],[ID]], Table2[ID],Table2[MC2], "Not Found", 0 )</f>
        <v>0</v>
      </c>
      <c r="AA546" s="16">
        <f>_xlfn.XLOOKUP(CustomerCombinedCleaned[[#This Row],[ID]], Table2[ID],Table2[MC3], "Not Found", 0 )</f>
        <v>0</v>
      </c>
      <c r="AB546" s="16">
        <f>_xlfn.XLOOKUP(CustomerCombinedCleaned[[#This Row],[ID]], Table2[ID],Table2[MC4], "Not Found", 0 )</f>
        <v>0</v>
      </c>
      <c r="AC546" s="16">
        <f>_xlfn.XLOOKUP(CustomerCombinedCleaned[[#This Row],[ID]], Table2[ID],Table2[MC5], "Not Found", 0 )</f>
        <v>0</v>
      </c>
    </row>
    <row r="547" spans="1:29" x14ac:dyDescent="0.3">
      <c r="A547" s="18">
        <v>2123</v>
      </c>
      <c r="B547" s="16">
        <v>121282</v>
      </c>
      <c r="C547" s="16">
        <v>1</v>
      </c>
      <c r="D547" s="16">
        <v>0</v>
      </c>
      <c r="E547" s="16">
        <v>42</v>
      </c>
      <c r="F547" s="17" t="s">
        <v>5</v>
      </c>
      <c r="G547" s="17" t="s">
        <v>11</v>
      </c>
      <c r="H547" s="3" t="s">
        <v>53</v>
      </c>
      <c r="I547" s="5" t="s">
        <v>434</v>
      </c>
      <c r="J547" s="16">
        <f>_xlfn.XLOOKUP(CustomerCombinedCleaned[[#This Row],[ID]], Table4[ID], Table4[Recency], "Not Found", 0)</f>
        <v>76</v>
      </c>
      <c r="K547" s="16">
        <f>_xlfn.XLOOKUP(CustomerCombinedCleaned[[#This Row],[ID]], Table4[ID], Table4[Teas], "Not Found", 0)</f>
        <v>6</v>
      </c>
      <c r="L547" s="16">
        <f>_xlfn.XLOOKUP(CustomerCombinedCleaned[[#This Row],[ID]], Table4[ID], Table4[Fruits], "Not Found", 0)</f>
        <v>28</v>
      </c>
      <c r="M547" s="16">
        <f>_xlfn.XLOOKUP(CustomerCombinedCleaned[[#This Row],[ID]], Table4[ID], Table4[Meats], "Not Found", 0)</f>
        <v>46</v>
      </c>
      <c r="N547" s="16">
        <f>_xlfn.XLOOKUP(CustomerCombinedCleaned[[#This Row],[ID]], Table4[ID], Table4[Seafood], "Not Found", 0)</f>
        <v>23</v>
      </c>
      <c r="O547" s="16">
        <f>_xlfn.XLOOKUP(CustomerCombinedCleaned[[#This Row],[ID]], Table4[ID], Table4[Sweets], "Not Found", 0)</f>
        <v>46</v>
      </c>
      <c r="P547" s="16">
        <f>_xlfn.XLOOKUP(CustomerCombinedCleaned[[#This Row],[ID]], Table4[ID], Table4[Premium], "Not Found", 0)</f>
        <v>114</v>
      </c>
      <c r="Q547" s="16">
        <f>_xlfn.XLOOKUP(CustomerCombinedCleaned[[#This Row],[ID]], Table4[ID], Table4[Regular], "Not Found", 0)</f>
        <v>34</v>
      </c>
      <c r="R547" s="16">
        <f>_xlfn.XLOOKUP(CustomerCombinedCleaned[[#This Row],[ID]], Table4[ID], Table4[Deals], "Not Found", 0)</f>
        <v>2</v>
      </c>
      <c r="S547" s="16">
        <f>_xlfn.XLOOKUP(CustomerCombinedCleaned[[#This Row],[ID]], Table4[ID], Table4[Website], "Not Found", 0)</f>
        <v>2</v>
      </c>
      <c r="T547" s="16">
        <f>_xlfn.XLOOKUP(CustomerCombinedCleaned[[#This Row],[ID]], Table4[ID], Table4[Catalog], "Not Found", 0)</f>
        <v>1</v>
      </c>
      <c r="U547" s="16">
        <f>_xlfn.XLOOKUP(CustomerCombinedCleaned[[#This Row],[ID]], Table4[ID], Table4[Store], "Not Found", 0)</f>
        <v>2</v>
      </c>
      <c r="V547" s="16">
        <f>_xlfn.XLOOKUP(CustomerCombinedCleaned[[#This Row],[ID]], Table4[ID], Table4[Visits], "Not Found", 0)</f>
        <v>6</v>
      </c>
      <c r="W547" s="16">
        <f>_xlfn.XLOOKUP(CustomerCombinedCleaned[[#This Row],[ID]], Table2[ID],Table2[Complaint], "Not Found", 0 )</f>
        <v>0</v>
      </c>
      <c r="X547" s="16">
        <f>_xlfn.XLOOKUP(CustomerCombinedCleaned[[#This Row],[ID]], Table2[ID],Table2[Pilot], "Not Found", 0 )</f>
        <v>0</v>
      </c>
      <c r="Y547" s="16">
        <f>_xlfn.XLOOKUP(CustomerCombinedCleaned[[#This Row],[ID]], Table2[ID],Table2[MC1], "Not Found", 0 )</f>
        <v>0</v>
      </c>
      <c r="Z547" s="16">
        <f>_xlfn.XLOOKUP(CustomerCombinedCleaned[[#This Row],[ID]], Table2[ID],Table2[MC2], "Not Found", 0 )</f>
        <v>0</v>
      </c>
      <c r="AA547" s="16">
        <f>_xlfn.XLOOKUP(CustomerCombinedCleaned[[#This Row],[ID]], Table2[ID],Table2[MC3], "Not Found", 0 )</f>
        <v>0</v>
      </c>
      <c r="AB547" s="16">
        <f>_xlfn.XLOOKUP(CustomerCombinedCleaned[[#This Row],[ID]], Table2[ID],Table2[MC4], "Not Found", 0 )</f>
        <v>0</v>
      </c>
      <c r="AC547" s="16">
        <f>_xlfn.XLOOKUP(CustomerCombinedCleaned[[#This Row],[ID]], Table2[ID],Table2[MC5], "Not Found", 0 )</f>
        <v>0</v>
      </c>
    </row>
    <row r="548" spans="1:29" x14ac:dyDescent="0.3">
      <c r="A548" s="18">
        <v>2005</v>
      </c>
      <c r="B548" s="16">
        <v>117345</v>
      </c>
      <c r="C548" s="16">
        <v>1</v>
      </c>
      <c r="D548" s="16">
        <v>0</v>
      </c>
      <c r="E548" s="16">
        <v>42</v>
      </c>
      <c r="F548" s="17" t="s">
        <v>6</v>
      </c>
      <c r="G548" s="17" t="s">
        <v>11</v>
      </c>
      <c r="H548" s="3" t="s">
        <v>742</v>
      </c>
      <c r="I548" s="5" t="s">
        <v>437</v>
      </c>
      <c r="J548" s="16">
        <f>_xlfn.XLOOKUP(CustomerCombinedCleaned[[#This Row],[ID]], Table4[ID], Table4[Recency], "Not Found", 0)</f>
        <v>79</v>
      </c>
      <c r="K548" s="16">
        <f>_xlfn.XLOOKUP(CustomerCombinedCleaned[[#This Row],[ID]], Table4[ID], Table4[Teas], "Not Found", 0)</f>
        <v>27</v>
      </c>
      <c r="L548" s="16">
        <f>_xlfn.XLOOKUP(CustomerCombinedCleaned[[#This Row],[ID]], Table4[ID], Table4[Fruits], "Not Found", 0)</f>
        <v>61</v>
      </c>
      <c r="M548" s="16">
        <f>_xlfn.XLOOKUP(CustomerCombinedCleaned[[#This Row],[ID]], Table4[ID], Table4[Meats], "Not Found", 0)</f>
        <v>108</v>
      </c>
      <c r="N548" s="16">
        <f>_xlfn.XLOOKUP(CustomerCombinedCleaned[[#This Row],[ID]], Table4[ID], Table4[Seafood], "Not Found", 0)</f>
        <v>115</v>
      </c>
      <c r="O548" s="16">
        <f>_xlfn.XLOOKUP(CustomerCombinedCleaned[[#This Row],[ID]], Table4[ID], Table4[Sweets], "Not Found", 0)</f>
        <v>0</v>
      </c>
      <c r="P548" s="16">
        <f>_xlfn.XLOOKUP(CustomerCombinedCleaned[[#This Row],[ID]], Table4[ID], Table4[Premium], "Not Found", 0)</f>
        <v>81</v>
      </c>
      <c r="Q548" s="16">
        <f>_xlfn.XLOOKUP(CustomerCombinedCleaned[[#This Row],[ID]], Table4[ID], Table4[Regular], "Not Found", 0)</f>
        <v>230</v>
      </c>
      <c r="R548" s="16">
        <f>_xlfn.XLOOKUP(CustomerCombinedCleaned[[#This Row],[ID]], Table4[ID], Table4[Deals], "Not Found", 0)</f>
        <v>2</v>
      </c>
      <c r="S548" s="16">
        <f>_xlfn.XLOOKUP(CustomerCombinedCleaned[[#This Row],[ID]], Table4[ID], Table4[Website], "Not Found", 0)</f>
        <v>2</v>
      </c>
      <c r="T548" s="16">
        <f>_xlfn.XLOOKUP(CustomerCombinedCleaned[[#This Row],[ID]], Table4[ID], Table4[Catalog], "Not Found", 0)</f>
        <v>1</v>
      </c>
      <c r="U548" s="16">
        <f>_xlfn.XLOOKUP(CustomerCombinedCleaned[[#This Row],[ID]], Table4[ID], Table4[Store], "Not Found", 0)</f>
        <v>2</v>
      </c>
      <c r="V548" s="16">
        <f>_xlfn.XLOOKUP(CustomerCombinedCleaned[[#This Row],[ID]], Table4[ID], Table4[Visits], "Not Found", 0)</f>
        <v>8</v>
      </c>
      <c r="W548" s="16">
        <f>_xlfn.XLOOKUP(CustomerCombinedCleaned[[#This Row],[ID]], Table2[ID],Table2[Complaint], "Not Found", 0 )</f>
        <v>0</v>
      </c>
      <c r="X548" s="16">
        <f>_xlfn.XLOOKUP(CustomerCombinedCleaned[[#This Row],[ID]], Table2[ID],Table2[Pilot], "Not Found", 0 )</f>
        <v>0</v>
      </c>
      <c r="Y548" s="16">
        <f>_xlfn.XLOOKUP(CustomerCombinedCleaned[[#This Row],[ID]], Table2[ID],Table2[MC1], "Not Found", 0 )</f>
        <v>0</v>
      </c>
      <c r="Z548" s="16">
        <f>_xlfn.XLOOKUP(CustomerCombinedCleaned[[#This Row],[ID]], Table2[ID],Table2[MC2], "Not Found", 0 )</f>
        <v>0</v>
      </c>
      <c r="AA548" s="16">
        <f>_xlfn.XLOOKUP(CustomerCombinedCleaned[[#This Row],[ID]], Table2[ID],Table2[MC3], "Not Found", 0 )</f>
        <v>0</v>
      </c>
      <c r="AB548" s="16">
        <f>_xlfn.XLOOKUP(CustomerCombinedCleaned[[#This Row],[ID]], Table2[ID],Table2[MC4], "Not Found", 0 )</f>
        <v>0</v>
      </c>
      <c r="AC548" s="16">
        <f>_xlfn.XLOOKUP(CustomerCombinedCleaned[[#This Row],[ID]], Table2[ID],Table2[MC5], "Not Found", 0 )</f>
        <v>0</v>
      </c>
    </row>
    <row r="549" spans="1:29" x14ac:dyDescent="0.3">
      <c r="A549" s="18">
        <v>1860</v>
      </c>
      <c r="B549" s="16">
        <v>117117</v>
      </c>
      <c r="C549" s="16">
        <v>1</v>
      </c>
      <c r="D549" s="16">
        <v>0</v>
      </c>
      <c r="E549" s="16">
        <v>42</v>
      </c>
      <c r="F549" s="17" t="s">
        <v>8</v>
      </c>
      <c r="G549" s="17" t="s">
        <v>11</v>
      </c>
      <c r="H549" s="3" t="s">
        <v>323</v>
      </c>
      <c r="I549" s="5" t="s">
        <v>436</v>
      </c>
      <c r="J549" s="16">
        <f>_xlfn.XLOOKUP(CustomerCombinedCleaned[[#This Row],[ID]], Table4[ID], Table4[Recency], "Not Found", 0)</f>
        <v>96</v>
      </c>
      <c r="K549" s="16">
        <f>_xlfn.XLOOKUP(CustomerCombinedCleaned[[#This Row],[ID]], Table4[ID], Table4[Teas], "Not Found", 0)</f>
        <v>82</v>
      </c>
      <c r="L549" s="16">
        <f>_xlfn.XLOOKUP(CustomerCombinedCleaned[[#This Row],[ID]], Table4[ID], Table4[Fruits], "Not Found", 0)</f>
        <v>157</v>
      </c>
      <c r="M549" s="16">
        <f>_xlfn.XLOOKUP(CustomerCombinedCleaned[[#This Row],[ID]], Table4[ID], Table4[Meats], "Not Found", 0)</f>
        <v>260</v>
      </c>
      <c r="N549" s="16">
        <f>_xlfn.XLOOKUP(CustomerCombinedCleaned[[#This Row],[ID]], Table4[ID], Table4[Seafood], "Not Found", 0)</f>
        <v>205</v>
      </c>
      <c r="O549" s="16">
        <f>_xlfn.XLOOKUP(CustomerCombinedCleaned[[#This Row],[ID]], Table4[ID], Table4[Sweets], "Not Found", 0)</f>
        <v>123</v>
      </c>
      <c r="P549" s="16">
        <f>_xlfn.XLOOKUP(CustomerCombinedCleaned[[#This Row],[ID]], Table4[ID], Table4[Premium], "Not Found", 0)</f>
        <v>48</v>
      </c>
      <c r="Q549" s="16">
        <f>_xlfn.XLOOKUP(CustomerCombinedCleaned[[#This Row],[ID]], Table4[ID], Table4[Regular], "Not Found", 0)</f>
        <v>780</v>
      </c>
      <c r="R549" s="16">
        <f>_xlfn.XLOOKUP(CustomerCombinedCleaned[[#This Row],[ID]], Table4[ID], Table4[Deals], "Not Found", 0)</f>
        <v>4</v>
      </c>
      <c r="S549" s="16">
        <f>_xlfn.XLOOKUP(CustomerCombinedCleaned[[#This Row],[ID]], Table4[ID], Table4[Website], "Not Found", 0)</f>
        <v>3</v>
      </c>
      <c r="T549" s="16">
        <f>_xlfn.XLOOKUP(CustomerCombinedCleaned[[#This Row],[ID]], Table4[ID], Table4[Catalog], "Not Found", 0)</f>
        <v>1</v>
      </c>
      <c r="U549" s="16">
        <f>_xlfn.XLOOKUP(CustomerCombinedCleaned[[#This Row],[ID]], Table4[ID], Table4[Store], "Not Found", 0)</f>
        <v>3</v>
      </c>
      <c r="V549" s="16">
        <f>_xlfn.XLOOKUP(CustomerCombinedCleaned[[#This Row],[ID]], Table4[ID], Table4[Visits], "Not Found", 0)</f>
        <v>9</v>
      </c>
      <c r="W549" s="16">
        <f>_xlfn.XLOOKUP(CustomerCombinedCleaned[[#This Row],[ID]], Table2[ID],Table2[Complaint], "Not Found", 0 )</f>
        <v>0</v>
      </c>
      <c r="X549" s="16">
        <f>_xlfn.XLOOKUP(CustomerCombinedCleaned[[#This Row],[ID]], Table2[ID],Table2[Pilot], "Not Found", 0 )</f>
        <v>0</v>
      </c>
      <c r="Y549" s="16">
        <f>_xlfn.XLOOKUP(CustomerCombinedCleaned[[#This Row],[ID]], Table2[ID],Table2[MC1], "Not Found", 0 )</f>
        <v>0</v>
      </c>
      <c r="Z549" s="16">
        <f>_xlfn.XLOOKUP(CustomerCombinedCleaned[[#This Row],[ID]], Table2[ID],Table2[MC2], "Not Found", 0 )</f>
        <v>0</v>
      </c>
      <c r="AA549" s="16">
        <f>_xlfn.XLOOKUP(CustomerCombinedCleaned[[#This Row],[ID]], Table2[ID],Table2[MC3], "Not Found", 0 )</f>
        <v>0</v>
      </c>
      <c r="AB549" s="16">
        <f>_xlfn.XLOOKUP(CustomerCombinedCleaned[[#This Row],[ID]], Table2[ID],Table2[MC4], "Not Found", 0 )</f>
        <v>0</v>
      </c>
      <c r="AC549" s="16">
        <f>_xlfn.XLOOKUP(CustomerCombinedCleaned[[#This Row],[ID]], Table2[ID],Table2[MC5], "Not Found", 0 )</f>
        <v>0</v>
      </c>
    </row>
    <row r="550" spans="1:29" x14ac:dyDescent="0.3">
      <c r="A550" s="18">
        <v>2439</v>
      </c>
      <c r="B550" s="16">
        <v>116531</v>
      </c>
      <c r="C550" s="16">
        <v>1</v>
      </c>
      <c r="D550" s="16">
        <v>0</v>
      </c>
      <c r="E550" s="16">
        <v>42</v>
      </c>
      <c r="F550" s="17" t="s">
        <v>8</v>
      </c>
      <c r="G550" s="17" t="s">
        <v>11</v>
      </c>
      <c r="H550" s="3" t="s">
        <v>31</v>
      </c>
      <c r="I550" s="5" t="s">
        <v>435</v>
      </c>
      <c r="J550" s="16">
        <f>_xlfn.XLOOKUP(CustomerCombinedCleaned[[#This Row],[ID]], Table4[ID], Table4[Recency], "Not Found", 0)</f>
        <v>43</v>
      </c>
      <c r="K550" s="16">
        <f>_xlfn.XLOOKUP(CustomerCombinedCleaned[[#This Row],[ID]], Table4[ID], Table4[Teas], "Not Found", 0)</f>
        <v>14</v>
      </c>
      <c r="L550" s="16">
        <f>_xlfn.XLOOKUP(CustomerCombinedCleaned[[#This Row],[ID]], Table4[ID], Table4[Fruits], "Not Found", 0)</f>
        <v>92</v>
      </c>
      <c r="M550" s="16">
        <f>_xlfn.XLOOKUP(CustomerCombinedCleaned[[#This Row],[ID]], Table4[ID], Table4[Meats], "Not Found", 0)</f>
        <v>42</v>
      </c>
      <c r="N550" s="16">
        <f>_xlfn.XLOOKUP(CustomerCombinedCleaned[[#This Row],[ID]], Table4[ID], Table4[Seafood], "Not Found", 0)</f>
        <v>49</v>
      </c>
      <c r="O550" s="16">
        <f>_xlfn.XLOOKUP(CustomerCombinedCleaned[[#This Row],[ID]], Table4[ID], Table4[Sweets], "Not Found", 0)</f>
        <v>35</v>
      </c>
      <c r="P550" s="16">
        <f>_xlfn.XLOOKUP(CustomerCombinedCleaned[[#This Row],[ID]], Table4[ID], Table4[Premium], "Not Found", 0)</f>
        <v>78</v>
      </c>
      <c r="Q550" s="16">
        <f>_xlfn.XLOOKUP(CustomerCombinedCleaned[[#This Row],[ID]], Table4[ID], Table4[Regular], "Not Found", 0)</f>
        <v>155</v>
      </c>
      <c r="R550" s="16">
        <f>_xlfn.XLOOKUP(CustomerCombinedCleaned[[#This Row],[ID]], Table4[ID], Table4[Deals], "Not Found", 0)</f>
        <v>3</v>
      </c>
      <c r="S550" s="16">
        <f>_xlfn.XLOOKUP(CustomerCombinedCleaned[[#This Row],[ID]], Table4[ID], Table4[Website], "Not Found", 0)</f>
        <v>3</v>
      </c>
      <c r="T550" s="16">
        <f>_xlfn.XLOOKUP(CustomerCombinedCleaned[[#This Row],[ID]], Table4[ID], Table4[Catalog], "Not Found", 0)</f>
        <v>0</v>
      </c>
      <c r="U550" s="16">
        <f>_xlfn.XLOOKUP(CustomerCombinedCleaned[[#This Row],[ID]], Table4[ID], Table4[Store], "Not Found", 0)</f>
        <v>3</v>
      </c>
      <c r="V550" s="16">
        <f>_xlfn.XLOOKUP(CustomerCombinedCleaned[[#This Row],[ID]], Table4[ID], Table4[Visits], "Not Found", 0)</f>
        <v>7</v>
      </c>
      <c r="W550" s="16">
        <f>_xlfn.XLOOKUP(CustomerCombinedCleaned[[#This Row],[ID]], Table2[ID],Table2[Complaint], "Not Found", 0 )</f>
        <v>0</v>
      </c>
      <c r="X550" s="16">
        <f>_xlfn.XLOOKUP(CustomerCombinedCleaned[[#This Row],[ID]], Table2[ID],Table2[Pilot], "Not Found", 0 )</f>
        <v>0</v>
      </c>
      <c r="Y550" s="16">
        <f>_xlfn.XLOOKUP(CustomerCombinedCleaned[[#This Row],[ID]], Table2[ID],Table2[MC1], "Not Found", 0 )</f>
        <v>0</v>
      </c>
      <c r="Z550" s="16">
        <f>_xlfn.XLOOKUP(CustomerCombinedCleaned[[#This Row],[ID]], Table2[ID],Table2[MC2], "Not Found", 0 )</f>
        <v>0</v>
      </c>
      <c r="AA550" s="16">
        <f>_xlfn.XLOOKUP(CustomerCombinedCleaned[[#This Row],[ID]], Table2[ID],Table2[MC3], "Not Found", 0 )</f>
        <v>0</v>
      </c>
      <c r="AB550" s="16">
        <f>_xlfn.XLOOKUP(CustomerCombinedCleaned[[#This Row],[ID]], Table2[ID],Table2[MC4], "Not Found", 0 )</f>
        <v>0</v>
      </c>
      <c r="AC550" s="16">
        <f>_xlfn.XLOOKUP(CustomerCombinedCleaned[[#This Row],[ID]], Table2[ID],Table2[MC5], "Not Found", 0 )</f>
        <v>0</v>
      </c>
    </row>
    <row r="551" spans="1:29" x14ac:dyDescent="0.3">
      <c r="A551" s="18">
        <v>2587</v>
      </c>
      <c r="B551" s="16">
        <v>112393</v>
      </c>
      <c r="C551" s="16">
        <v>0</v>
      </c>
      <c r="D551" s="16">
        <v>0</v>
      </c>
      <c r="E551" s="16">
        <v>42</v>
      </c>
      <c r="F551" s="17" t="s">
        <v>6</v>
      </c>
      <c r="G551" s="17" t="s">
        <v>11</v>
      </c>
      <c r="H551" s="3" t="s">
        <v>786</v>
      </c>
      <c r="I551" s="5" t="s">
        <v>437</v>
      </c>
      <c r="J551" s="16">
        <f>_xlfn.XLOOKUP(CustomerCombinedCleaned[[#This Row],[ID]], Table4[ID], Table4[Recency], "Not Found", 0)</f>
        <v>38</v>
      </c>
      <c r="K551" s="16">
        <f>_xlfn.XLOOKUP(CustomerCombinedCleaned[[#This Row],[ID]], Table4[ID], Table4[Teas], "Not Found", 0)</f>
        <v>45</v>
      </c>
      <c r="L551" s="16">
        <f>_xlfn.XLOOKUP(CustomerCombinedCleaned[[#This Row],[ID]], Table4[ID], Table4[Fruits], "Not Found", 0)</f>
        <v>54</v>
      </c>
      <c r="M551" s="16">
        <f>_xlfn.XLOOKUP(CustomerCombinedCleaned[[#This Row],[ID]], Table4[ID], Table4[Meats], "Not Found", 0)</f>
        <v>136</v>
      </c>
      <c r="N551" s="16">
        <f>_xlfn.XLOOKUP(CustomerCombinedCleaned[[#This Row],[ID]], Table4[ID], Table4[Seafood], "Not Found", 0)</f>
        <v>100</v>
      </c>
      <c r="O551" s="16">
        <f>_xlfn.XLOOKUP(CustomerCombinedCleaned[[#This Row],[ID]], Table4[ID], Table4[Sweets], "Not Found", 0)</f>
        <v>63</v>
      </c>
      <c r="P551" s="16">
        <f>_xlfn.XLOOKUP(CustomerCombinedCleaned[[#This Row],[ID]], Table4[ID], Table4[Premium], "Not Found", 0)</f>
        <v>118</v>
      </c>
      <c r="Q551" s="16">
        <f>_xlfn.XLOOKUP(CustomerCombinedCleaned[[#This Row],[ID]], Table4[ID], Table4[Regular], "Not Found", 0)</f>
        <v>281</v>
      </c>
      <c r="R551" s="16">
        <f>_xlfn.XLOOKUP(CustomerCombinedCleaned[[#This Row],[ID]], Table4[ID], Table4[Deals], "Not Found", 0)</f>
        <v>1</v>
      </c>
      <c r="S551" s="16">
        <f>_xlfn.XLOOKUP(CustomerCombinedCleaned[[#This Row],[ID]], Table4[ID], Table4[Website], "Not Found", 0)</f>
        <v>2</v>
      </c>
      <c r="T551" s="16">
        <f>_xlfn.XLOOKUP(CustomerCombinedCleaned[[#This Row],[ID]], Table4[ID], Table4[Catalog], "Not Found", 0)</f>
        <v>0</v>
      </c>
      <c r="U551" s="16">
        <f>_xlfn.XLOOKUP(CustomerCombinedCleaned[[#This Row],[ID]], Table4[ID], Table4[Store], "Not Found", 0)</f>
        <v>3</v>
      </c>
      <c r="V551" s="16">
        <f>_xlfn.XLOOKUP(CustomerCombinedCleaned[[#This Row],[ID]], Table4[ID], Table4[Visits], "Not Found", 0)</f>
        <v>9</v>
      </c>
      <c r="W551" s="16">
        <f>_xlfn.XLOOKUP(CustomerCombinedCleaned[[#This Row],[ID]], Table2[ID],Table2[Complaint], "Not Found", 0 )</f>
        <v>0</v>
      </c>
      <c r="X551" s="16">
        <f>_xlfn.XLOOKUP(CustomerCombinedCleaned[[#This Row],[ID]], Table2[ID],Table2[Pilot], "Not Found", 0 )</f>
        <v>0</v>
      </c>
      <c r="Y551" s="16">
        <f>_xlfn.XLOOKUP(CustomerCombinedCleaned[[#This Row],[ID]], Table2[ID],Table2[MC1], "Not Found", 0 )</f>
        <v>0</v>
      </c>
      <c r="Z551" s="16">
        <f>_xlfn.XLOOKUP(CustomerCombinedCleaned[[#This Row],[ID]], Table2[ID],Table2[MC2], "Not Found", 0 )</f>
        <v>0</v>
      </c>
      <c r="AA551" s="16">
        <f>_xlfn.XLOOKUP(CustomerCombinedCleaned[[#This Row],[ID]], Table2[ID],Table2[MC3], "Not Found", 0 )</f>
        <v>0</v>
      </c>
      <c r="AB551" s="16">
        <f>_xlfn.XLOOKUP(CustomerCombinedCleaned[[#This Row],[ID]], Table2[ID],Table2[MC4], "Not Found", 0 )</f>
        <v>0</v>
      </c>
      <c r="AC551" s="16">
        <f>_xlfn.XLOOKUP(CustomerCombinedCleaned[[#This Row],[ID]], Table2[ID],Table2[MC5], "Not Found", 0 )</f>
        <v>0</v>
      </c>
    </row>
    <row r="552" spans="1:29" x14ac:dyDescent="0.3">
      <c r="A552" s="18">
        <v>2280</v>
      </c>
      <c r="B552" s="16">
        <v>107500</v>
      </c>
      <c r="C552" s="16">
        <v>1</v>
      </c>
      <c r="D552" s="16">
        <v>1</v>
      </c>
      <c r="E552" s="16">
        <v>42</v>
      </c>
      <c r="F552" s="17" t="s">
        <v>7</v>
      </c>
      <c r="G552" s="17" t="s">
        <v>11</v>
      </c>
      <c r="H552" s="3" t="s">
        <v>800</v>
      </c>
      <c r="I552" s="5" t="s">
        <v>436</v>
      </c>
      <c r="J552" s="16">
        <f>_xlfn.XLOOKUP(CustomerCombinedCleaned[[#This Row],[ID]], Table4[ID], Table4[Recency], "Not Found", 0)</f>
        <v>5</v>
      </c>
      <c r="K552" s="16">
        <f>_xlfn.XLOOKUP(CustomerCombinedCleaned[[#This Row],[ID]], Table4[ID], Table4[Teas], "Not Found", 0)</f>
        <v>86</v>
      </c>
      <c r="L552" s="16">
        <f>_xlfn.XLOOKUP(CustomerCombinedCleaned[[#This Row],[ID]], Table4[ID], Table4[Fruits], "Not Found", 0)</f>
        <v>72</v>
      </c>
      <c r="M552" s="16">
        <f>_xlfn.XLOOKUP(CustomerCombinedCleaned[[#This Row],[ID]], Table4[ID], Table4[Meats], "Not Found", 0)</f>
        <v>57</v>
      </c>
      <c r="N552" s="16">
        <f>_xlfn.XLOOKUP(CustomerCombinedCleaned[[#This Row],[ID]], Table4[ID], Table4[Seafood], "Not Found", 0)</f>
        <v>186</v>
      </c>
      <c r="O552" s="16">
        <f>_xlfn.XLOOKUP(CustomerCombinedCleaned[[#This Row],[ID]], Table4[ID], Table4[Sweets], "Not Found", 0)</f>
        <v>57</v>
      </c>
      <c r="P552" s="16">
        <f>_xlfn.XLOOKUP(CustomerCombinedCleaned[[#This Row],[ID]], Table4[ID], Table4[Premium], "Not Found", 0)</f>
        <v>358</v>
      </c>
      <c r="Q552" s="16">
        <f>_xlfn.XLOOKUP(CustomerCombinedCleaned[[#This Row],[ID]], Table4[ID], Table4[Regular], "Not Found", 0)</f>
        <v>100</v>
      </c>
      <c r="R552" s="16">
        <f>_xlfn.XLOOKUP(CustomerCombinedCleaned[[#This Row],[ID]], Table4[ID], Table4[Deals], "Not Found", 0)</f>
        <v>4</v>
      </c>
      <c r="S552" s="16">
        <f>_xlfn.XLOOKUP(CustomerCombinedCleaned[[#This Row],[ID]], Table4[ID], Table4[Website], "Not Found", 0)</f>
        <v>2</v>
      </c>
      <c r="T552" s="16">
        <f>_xlfn.XLOOKUP(CustomerCombinedCleaned[[#This Row],[ID]], Table4[ID], Table4[Catalog], "Not Found", 0)</f>
        <v>1</v>
      </c>
      <c r="U552" s="16">
        <f>_xlfn.XLOOKUP(CustomerCombinedCleaned[[#This Row],[ID]], Table4[ID], Table4[Store], "Not Found", 0)</f>
        <v>3</v>
      </c>
      <c r="V552" s="16">
        <f>_xlfn.XLOOKUP(CustomerCombinedCleaned[[#This Row],[ID]], Table4[ID], Table4[Visits], "Not Found", 0)</f>
        <v>6</v>
      </c>
      <c r="W552" s="16">
        <f>_xlfn.XLOOKUP(CustomerCombinedCleaned[[#This Row],[ID]], Table2[ID],Table2[Complaint], "Not Found", 0 )</f>
        <v>0</v>
      </c>
      <c r="X552" s="16">
        <f>_xlfn.XLOOKUP(CustomerCombinedCleaned[[#This Row],[ID]], Table2[ID],Table2[Pilot], "Not Found", 0 )</f>
        <v>0</v>
      </c>
      <c r="Y552" s="16">
        <f>_xlfn.XLOOKUP(CustomerCombinedCleaned[[#This Row],[ID]], Table2[ID],Table2[MC1], "Not Found", 0 )</f>
        <v>0</v>
      </c>
      <c r="Z552" s="16">
        <f>_xlfn.XLOOKUP(CustomerCombinedCleaned[[#This Row],[ID]], Table2[ID],Table2[MC2], "Not Found", 0 )</f>
        <v>0</v>
      </c>
      <c r="AA552" s="16">
        <f>_xlfn.XLOOKUP(CustomerCombinedCleaned[[#This Row],[ID]], Table2[ID],Table2[MC3], "Not Found", 0 )</f>
        <v>0</v>
      </c>
      <c r="AB552" s="16">
        <f>_xlfn.XLOOKUP(CustomerCombinedCleaned[[#This Row],[ID]], Table2[ID],Table2[MC4], "Not Found", 0 )</f>
        <v>0</v>
      </c>
      <c r="AC552" s="16">
        <f>_xlfn.XLOOKUP(CustomerCombinedCleaned[[#This Row],[ID]], Table2[ID],Table2[MC5], "Not Found", 0 )</f>
        <v>0</v>
      </c>
    </row>
    <row r="553" spans="1:29" x14ac:dyDescent="0.3">
      <c r="A553" s="18">
        <v>1191</v>
      </c>
      <c r="B553" s="16">
        <v>202160</v>
      </c>
      <c r="C553" s="16">
        <v>0</v>
      </c>
      <c r="D553" s="16">
        <v>0</v>
      </c>
      <c r="E553" s="16">
        <v>43</v>
      </c>
      <c r="F553" s="17" t="s">
        <v>8</v>
      </c>
      <c r="G553" s="17" t="s">
        <v>13</v>
      </c>
      <c r="H553" s="3" t="s">
        <v>539</v>
      </c>
      <c r="I553" s="5" t="s">
        <v>435</v>
      </c>
      <c r="J553" s="16">
        <f>_xlfn.XLOOKUP(CustomerCombinedCleaned[[#This Row],[ID]], Table4[ID], Table4[Recency], "Not Found", 0)</f>
        <v>54</v>
      </c>
      <c r="K553" s="16">
        <f>_xlfn.XLOOKUP(CustomerCombinedCleaned[[#This Row],[ID]], Table4[ID], Table4[Teas], "Not Found", 0)</f>
        <v>1510</v>
      </c>
      <c r="L553" s="16">
        <f>_xlfn.XLOOKUP(CustomerCombinedCleaned[[#This Row],[ID]], Table4[ID], Table4[Fruits], "Not Found", 0)</f>
        <v>57</v>
      </c>
      <c r="M553" s="16">
        <f>_xlfn.XLOOKUP(CustomerCombinedCleaned[[#This Row],[ID]], Table4[ID], Table4[Meats], "Not Found", 0)</f>
        <v>273</v>
      </c>
      <c r="N553" s="16">
        <f>_xlfn.XLOOKUP(CustomerCombinedCleaned[[#This Row],[ID]], Table4[ID], Table4[Seafood], "Not Found", 0)</f>
        <v>150</v>
      </c>
      <c r="O553" s="16">
        <f>_xlfn.XLOOKUP(CustomerCombinedCleaned[[#This Row],[ID]], Table4[ID], Table4[Sweets], "Not Found", 0)</f>
        <v>348</v>
      </c>
      <c r="P553" s="16">
        <f>_xlfn.XLOOKUP(CustomerCombinedCleaned[[#This Row],[ID]], Table4[ID], Table4[Premium], "Not Found", 0)</f>
        <v>115</v>
      </c>
      <c r="Q553" s="16">
        <f>_xlfn.XLOOKUP(CustomerCombinedCleaned[[#This Row],[ID]], Table4[ID], Table4[Regular], "Not Found", 0)</f>
        <v>2224</v>
      </c>
      <c r="R553" s="16">
        <f>_xlfn.XLOOKUP(CustomerCombinedCleaned[[#This Row],[ID]], Table4[ID], Table4[Deals], "Not Found", 0)</f>
        <v>0</v>
      </c>
      <c r="S553" s="16">
        <f>_xlfn.XLOOKUP(CustomerCombinedCleaned[[#This Row],[ID]], Table4[ID], Table4[Website], "Not Found", 0)</f>
        <v>7</v>
      </c>
      <c r="T553" s="16">
        <f>_xlfn.XLOOKUP(CustomerCombinedCleaned[[#This Row],[ID]], Table4[ID], Table4[Catalog], "Not Found", 0)</f>
        <v>9</v>
      </c>
      <c r="U553" s="16">
        <f>_xlfn.XLOOKUP(CustomerCombinedCleaned[[#This Row],[ID]], Table4[ID], Table4[Store], "Not Found", 0)</f>
        <v>10</v>
      </c>
      <c r="V553" s="16">
        <f>_xlfn.XLOOKUP(CustomerCombinedCleaned[[#This Row],[ID]], Table4[ID], Table4[Visits], "Not Found", 0)</f>
        <v>4</v>
      </c>
      <c r="W553" s="16">
        <f>_xlfn.XLOOKUP(CustomerCombinedCleaned[[#This Row],[ID]], Table2[ID],Table2[Complaint], "Not Found", 0 )</f>
        <v>0</v>
      </c>
      <c r="X553" s="16">
        <f>_xlfn.XLOOKUP(CustomerCombinedCleaned[[#This Row],[ID]], Table2[ID],Table2[Pilot], "Not Found", 0 )</f>
        <v>1</v>
      </c>
      <c r="Y553" s="16">
        <f>_xlfn.XLOOKUP(CustomerCombinedCleaned[[#This Row],[ID]], Table2[ID],Table2[MC1], "Not Found", 0 )</f>
        <v>1</v>
      </c>
      <c r="Z553" s="16">
        <f>_xlfn.XLOOKUP(CustomerCombinedCleaned[[#This Row],[ID]], Table2[ID],Table2[MC2], "Not Found", 0 )</f>
        <v>0</v>
      </c>
      <c r="AA553" s="16">
        <f>_xlfn.XLOOKUP(CustomerCombinedCleaned[[#This Row],[ID]], Table2[ID],Table2[MC3], "Not Found", 0 )</f>
        <v>0</v>
      </c>
      <c r="AB553" s="16">
        <f>_xlfn.XLOOKUP(CustomerCombinedCleaned[[#This Row],[ID]], Table2[ID],Table2[MC4], "Not Found", 0 )</f>
        <v>1</v>
      </c>
      <c r="AC553" s="16">
        <f>_xlfn.XLOOKUP(CustomerCombinedCleaned[[#This Row],[ID]], Table2[ID],Table2[MC5], "Not Found", 0 )</f>
        <v>1</v>
      </c>
    </row>
    <row r="554" spans="1:29" x14ac:dyDescent="0.3">
      <c r="A554" s="18">
        <v>2987</v>
      </c>
      <c r="B554" s="16">
        <v>196876</v>
      </c>
      <c r="C554" s="16">
        <v>0</v>
      </c>
      <c r="D554" s="16">
        <v>0</v>
      </c>
      <c r="E554" s="16">
        <v>43</v>
      </c>
      <c r="F554" s="17" t="s">
        <v>8</v>
      </c>
      <c r="G554" s="17" t="s">
        <v>11</v>
      </c>
      <c r="H554" s="3" t="s">
        <v>540</v>
      </c>
      <c r="I554" s="5" t="s">
        <v>434</v>
      </c>
      <c r="J554" s="16">
        <f>_xlfn.XLOOKUP(CustomerCombinedCleaned[[#This Row],[ID]], Table4[ID], Table4[Recency], "Not Found", 0)</f>
        <v>79</v>
      </c>
      <c r="K554" s="16">
        <f>_xlfn.XLOOKUP(CustomerCombinedCleaned[[#This Row],[ID]], Table4[ID], Table4[Teas], "Not Found", 0)</f>
        <v>1845</v>
      </c>
      <c r="L554" s="16">
        <f>_xlfn.XLOOKUP(CustomerCombinedCleaned[[#This Row],[ID]], Table4[ID], Table4[Fruits], "Not Found", 0)</f>
        <v>87</v>
      </c>
      <c r="M554" s="16">
        <f>_xlfn.XLOOKUP(CustomerCombinedCleaned[[#This Row],[ID]], Table4[ID], Table4[Meats], "Not Found", 0)</f>
        <v>1494</v>
      </c>
      <c r="N554" s="16">
        <f>_xlfn.XLOOKUP(CustomerCombinedCleaned[[#This Row],[ID]], Table4[ID], Table4[Seafood], "Not Found", 0)</f>
        <v>81</v>
      </c>
      <c r="O554" s="16">
        <f>_xlfn.XLOOKUP(CustomerCombinedCleaned[[#This Row],[ID]], Table4[ID], Table4[Sweets], "Not Found", 0)</f>
        <v>394</v>
      </c>
      <c r="P554" s="16">
        <f>_xlfn.XLOOKUP(CustomerCombinedCleaned[[#This Row],[ID]], Table4[ID], Table4[Premium], "Not Found", 0)</f>
        <v>43</v>
      </c>
      <c r="Q554" s="16">
        <f>_xlfn.XLOOKUP(CustomerCombinedCleaned[[#This Row],[ID]], Table4[ID], Table4[Regular], "Not Found", 0)</f>
        <v>3859</v>
      </c>
      <c r="R554" s="16">
        <f>_xlfn.XLOOKUP(CustomerCombinedCleaned[[#This Row],[ID]], Table4[ID], Table4[Deals], "Not Found", 0)</f>
        <v>1</v>
      </c>
      <c r="S554" s="16">
        <f>_xlfn.XLOOKUP(CustomerCombinedCleaned[[#This Row],[ID]], Table4[ID], Table4[Website], "Not Found", 0)</f>
        <v>7</v>
      </c>
      <c r="T554" s="16">
        <f>_xlfn.XLOOKUP(CustomerCombinedCleaned[[#This Row],[ID]], Table4[ID], Table4[Catalog], "Not Found", 0)</f>
        <v>7</v>
      </c>
      <c r="U554" s="16">
        <f>_xlfn.XLOOKUP(CustomerCombinedCleaned[[#This Row],[ID]], Table4[ID], Table4[Store], "Not Found", 0)</f>
        <v>9</v>
      </c>
      <c r="V554" s="16">
        <f>_xlfn.XLOOKUP(CustomerCombinedCleaned[[#This Row],[ID]], Table4[ID], Table4[Visits], "Not Found", 0)</f>
        <v>2</v>
      </c>
      <c r="W554" s="16">
        <f>_xlfn.XLOOKUP(CustomerCombinedCleaned[[#This Row],[ID]], Table2[ID],Table2[Complaint], "Not Found", 0 )</f>
        <v>0</v>
      </c>
      <c r="X554" s="16">
        <f>_xlfn.XLOOKUP(CustomerCombinedCleaned[[#This Row],[ID]], Table2[ID],Table2[Pilot], "Not Found", 0 )</f>
        <v>1</v>
      </c>
      <c r="Y554" s="16">
        <f>_xlfn.XLOOKUP(CustomerCombinedCleaned[[#This Row],[ID]], Table2[ID],Table2[MC1], "Not Found", 0 )</f>
        <v>1</v>
      </c>
      <c r="Z554" s="16">
        <f>_xlfn.XLOOKUP(CustomerCombinedCleaned[[#This Row],[ID]], Table2[ID],Table2[MC2], "Not Found", 0 )</f>
        <v>0</v>
      </c>
      <c r="AA554" s="16">
        <f>_xlfn.XLOOKUP(CustomerCombinedCleaned[[#This Row],[ID]], Table2[ID],Table2[MC3], "Not Found", 0 )</f>
        <v>0</v>
      </c>
      <c r="AB554" s="16">
        <f>_xlfn.XLOOKUP(CustomerCombinedCleaned[[#This Row],[ID]], Table2[ID],Table2[MC4], "Not Found", 0 )</f>
        <v>1</v>
      </c>
      <c r="AC554" s="16">
        <f>_xlfn.XLOOKUP(CustomerCombinedCleaned[[#This Row],[ID]], Table2[ID],Table2[MC5], "Not Found", 0 )</f>
        <v>1</v>
      </c>
    </row>
    <row r="555" spans="1:29" x14ac:dyDescent="0.3">
      <c r="A555" s="18">
        <v>1886</v>
      </c>
      <c r="B555" s="16">
        <v>185072</v>
      </c>
      <c r="C555" s="16">
        <v>0</v>
      </c>
      <c r="D555" s="16">
        <v>0</v>
      </c>
      <c r="E555" s="16">
        <v>43</v>
      </c>
      <c r="F555" s="17" t="s">
        <v>7</v>
      </c>
      <c r="G555" s="17" t="s">
        <v>11</v>
      </c>
      <c r="H555" s="3" t="s">
        <v>73</v>
      </c>
      <c r="I555" s="5" t="s">
        <v>438</v>
      </c>
      <c r="J555" s="16">
        <f>_xlfn.XLOOKUP(CustomerCombinedCleaned[[#This Row],[ID]], Table4[ID], Table4[Recency], "Not Found", 0)</f>
        <v>94</v>
      </c>
      <c r="K555" s="16">
        <f>_xlfn.XLOOKUP(CustomerCombinedCleaned[[#This Row],[ID]], Table4[ID], Table4[Teas], "Not Found", 0)</f>
        <v>1075</v>
      </c>
      <c r="L555" s="16">
        <f>_xlfn.XLOOKUP(CustomerCombinedCleaned[[#This Row],[ID]], Table4[ID], Table4[Fruits], "Not Found", 0)</f>
        <v>200</v>
      </c>
      <c r="M555" s="16">
        <f>_xlfn.XLOOKUP(CustomerCombinedCleaned[[#This Row],[ID]], Table4[ID], Table4[Meats], "Not Found", 0)</f>
        <v>851</v>
      </c>
      <c r="N555" s="16">
        <f>_xlfn.XLOOKUP(CustomerCombinedCleaned[[#This Row],[ID]], Table4[ID], Table4[Seafood], "Not Found", 0)</f>
        <v>422</v>
      </c>
      <c r="O555" s="16">
        <f>_xlfn.XLOOKUP(CustomerCombinedCleaned[[#This Row],[ID]], Table4[ID], Table4[Sweets], "Not Found", 0)</f>
        <v>24</v>
      </c>
      <c r="P555" s="16">
        <f>_xlfn.XLOOKUP(CustomerCombinedCleaned[[#This Row],[ID]], Table4[ID], Table4[Premium], "Not Found", 0)</f>
        <v>524</v>
      </c>
      <c r="Q555" s="16">
        <f>_xlfn.XLOOKUP(CustomerCombinedCleaned[[#This Row],[ID]], Table4[ID], Table4[Regular], "Not Found", 0)</f>
        <v>2047</v>
      </c>
      <c r="R555" s="16">
        <f>_xlfn.XLOOKUP(CustomerCombinedCleaned[[#This Row],[ID]], Table4[ID], Table4[Deals], "Not Found", 0)</f>
        <v>1</v>
      </c>
      <c r="S555" s="16">
        <f>_xlfn.XLOOKUP(CustomerCombinedCleaned[[#This Row],[ID]], Table4[ID], Table4[Website], "Not Found", 0)</f>
        <v>3</v>
      </c>
      <c r="T555" s="16">
        <f>_xlfn.XLOOKUP(CustomerCombinedCleaned[[#This Row],[ID]], Table4[ID], Table4[Catalog], "Not Found", 0)</f>
        <v>4</v>
      </c>
      <c r="U555" s="16">
        <f>_xlfn.XLOOKUP(CustomerCombinedCleaned[[#This Row],[ID]], Table4[ID], Table4[Store], "Not Found", 0)</f>
        <v>10</v>
      </c>
      <c r="V555" s="16">
        <f>_xlfn.XLOOKUP(CustomerCombinedCleaned[[#This Row],[ID]], Table4[ID], Table4[Visits], "Not Found", 0)</f>
        <v>0</v>
      </c>
      <c r="W555" s="16">
        <f>_xlfn.XLOOKUP(CustomerCombinedCleaned[[#This Row],[ID]], Table2[ID],Table2[Complaint], "Not Found", 0 )</f>
        <v>0</v>
      </c>
      <c r="X555" s="16">
        <f>_xlfn.XLOOKUP(CustomerCombinedCleaned[[#This Row],[ID]], Table2[ID],Table2[Pilot], "Not Found", 0 )</f>
        <v>0</v>
      </c>
      <c r="Y555" s="16">
        <f>_xlfn.XLOOKUP(CustomerCombinedCleaned[[#This Row],[ID]], Table2[ID],Table2[MC1], "Not Found", 0 )</f>
        <v>0</v>
      </c>
      <c r="Z555" s="16">
        <f>_xlfn.XLOOKUP(CustomerCombinedCleaned[[#This Row],[ID]], Table2[ID],Table2[MC2], "Not Found", 0 )</f>
        <v>0</v>
      </c>
      <c r="AA555" s="16">
        <f>_xlfn.XLOOKUP(CustomerCombinedCleaned[[#This Row],[ID]], Table2[ID],Table2[MC3], "Not Found", 0 )</f>
        <v>0</v>
      </c>
      <c r="AB555" s="16">
        <f>_xlfn.XLOOKUP(CustomerCombinedCleaned[[#This Row],[ID]], Table2[ID],Table2[MC4], "Not Found", 0 )</f>
        <v>0</v>
      </c>
      <c r="AC555" s="16">
        <f>_xlfn.XLOOKUP(CustomerCombinedCleaned[[#This Row],[ID]], Table2[ID],Table2[MC5], "Not Found", 0 )</f>
        <v>0</v>
      </c>
    </row>
    <row r="556" spans="1:29" x14ac:dyDescent="0.3">
      <c r="A556" s="18">
        <v>1050</v>
      </c>
      <c r="B556" s="16">
        <v>182582</v>
      </c>
      <c r="C556" s="16">
        <v>0</v>
      </c>
      <c r="D556" s="16">
        <v>0</v>
      </c>
      <c r="E556" s="16">
        <v>43</v>
      </c>
      <c r="F556" s="17" t="s">
        <v>5</v>
      </c>
      <c r="G556" s="17" t="s">
        <v>11</v>
      </c>
      <c r="H556" s="3" t="s">
        <v>581</v>
      </c>
      <c r="I556" s="5" t="s">
        <v>436</v>
      </c>
      <c r="J556" s="16">
        <f>_xlfn.XLOOKUP(CustomerCombinedCleaned[[#This Row],[ID]], Table4[ID], Table4[Recency], "Not Found", 0)</f>
        <v>54</v>
      </c>
      <c r="K556" s="16">
        <f>_xlfn.XLOOKUP(CustomerCombinedCleaned[[#This Row],[ID]], Table4[ID], Table4[Teas], "Not Found", 0)</f>
        <v>1128</v>
      </c>
      <c r="L556" s="16">
        <f>_xlfn.XLOOKUP(CustomerCombinedCleaned[[#This Row],[ID]], Table4[ID], Table4[Fruits], "Not Found", 0)</f>
        <v>265</v>
      </c>
      <c r="M556" s="16">
        <f>_xlfn.XLOOKUP(CustomerCombinedCleaned[[#This Row],[ID]], Table4[ID], Table4[Meats], "Not Found", 0)</f>
        <v>1216</v>
      </c>
      <c r="N556" s="16">
        <f>_xlfn.XLOOKUP(CustomerCombinedCleaned[[#This Row],[ID]], Table4[ID], Table4[Seafood], "Not Found", 0)</f>
        <v>345</v>
      </c>
      <c r="O556" s="16">
        <f>_xlfn.XLOOKUP(CustomerCombinedCleaned[[#This Row],[ID]], Table4[ID], Table4[Sweets], "Not Found", 0)</f>
        <v>88</v>
      </c>
      <c r="P556" s="16">
        <f>_xlfn.XLOOKUP(CustomerCombinedCleaned[[#This Row],[ID]], Table4[ID], Table4[Premium], "Not Found", 0)</f>
        <v>533</v>
      </c>
      <c r="Q556" s="16">
        <f>_xlfn.XLOOKUP(CustomerCombinedCleaned[[#This Row],[ID]], Table4[ID], Table4[Regular], "Not Found", 0)</f>
        <v>2509</v>
      </c>
      <c r="R556" s="16">
        <f>_xlfn.XLOOKUP(CustomerCombinedCleaned[[#This Row],[ID]], Table4[ID], Table4[Deals], "Not Found", 0)</f>
        <v>1</v>
      </c>
      <c r="S556" s="16">
        <f>_xlfn.XLOOKUP(CustomerCombinedCleaned[[#This Row],[ID]], Table4[ID], Table4[Website], "Not Found", 0)</f>
        <v>4</v>
      </c>
      <c r="T556" s="16">
        <f>_xlfn.XLOOKUP(CustomerCombinedCleaned[[#This Row],[ID]], Table4[ID], Table4[Catalog], "Not Found", 0)</f>
        <v>9</v>
      </c>
      <c r="U556" s="16">
        <f>_xlfn.XLOOKUP(CustomerCombinedCleaned[[#This Row],[ID]], Table4[ID], Table4[Store], "Not Found", 0)</f>
        <v>7</v>
      </c>
      <c r="V556" s="16">
        <f>_xlfn.XLOOKUP(CustomerCombinedCleaned[[#This Row],[ID]], Table4[ID], Table4[Visits], "Not Found", 0)</f>
        <v>1</v>
      </c>
      <c r="W556" s="16">
        <f>_xlfn.XLOOKUP(CustomerCombinedCleaned[[#This Row],[ID]], Table2[ID],Table2[Complaint], "Not Found", 0 )</f>
        <v>0</v>
      </c>
      <c r="X556" s="16">
        <f>_xlfn.XLOOKUP(CustomerCombinedCleaned[[#This Row],[ID]], Table2[ID],Table2[Pilot], "Not Found", 0 )</f>
        <v>1</v>
      </c>
      <c r="Y556" s="16">
        <f>_xlfn.XLOOKUP(CustomerCombinedCleaned[[#This Row],[ID]], Table2[ID],Table2[MC1], "Not Found", 0 )</f>
        <v>1</v>
      </c>
      <c r="Z556" s="16">
        <f>_xlfn.XLOOKUP(CustomerCombinedCleaned[[#This Row],[ID]], Table2[ID],Table2[MC2], "Not Found", 0 )</f>
        <v>0</v>
      </c>
      <c r="AA556" s="16">
        <f>_xlfn.XLOOKUP(CustomerCombinedCleaned[[#This Row],[ID]], Table2[ID],Table2[MC3], "Not Found", 0 )</f>
        <v>1</v>
      </c>
      <c r="AB556" s="16">
        <f>_xlfn.XLOOKUP(CustomerCombinedCleaned[[#This Row],[ID]], Table2[ID],Table2[MC4], "Not Found", 0 )</f>
        <v>0</v>
      </c>
      <c r="AC556" s="16">
        <f>_xlfn.XLOOKUP(CustomerCombinedCleaned[[#This Row],[ID]], Table2[ID],Table2[MC5], "Not Found", 0 )</f>
        <v>0</v>
      </c>
    </row>
    <row r="557" spans="1:29" x14ac:dyDescent="0.3">
      <c r="A557" s="18">
        <v>2844</v>
      </c>
      <c r="B557" s="16">
        <v>182326</v>
      </c>
      <c r="C557" s="16">
        <v>0</v>
      </c>
      <c r="D557" s="16">
        <v>0</v>
      </c>
      <c r="E557" s="16">
        <v>43</v>
      </c>
      <c r="F557" s="17" t="s">
        <v>8</v>
      </c>
      <c r="G557" s="17" t="s">
        <v>11</v>
      </c>
      <c r="H557" s="3" t="s">
        <v>89</v>
      </c>
      <c r="I557" s="5" t="s">
        <v>436</v>
      </c>
      <c r="J557" s="16">
        <f>_xlfn.XLOOKUP(CustomerCombinedCleaned[[#This Row],[ID]], Table4[ID], Table4[Recency], "Not Found", 0)</f>
        <v>30</v>
      </c>
      <c r="K557" s="16">
        <f>_xlfn.XLOOKUP(CustomerCombinedCleaned[[#This Row],[ID]], Table4[ID], Table4[Teas], "Not Found", 0)</f>
        <v>2077</v>
      </c>
      <c r="L557" s="16">
        <f>_xlfn.XLOOKUP(CustomerCombinedCleaned[[#This Row],[ID]], Table4[ID], Table4[Fruits], "Not Found", 0)</f>
        <v>314</v>
      </c>
      <c r="M557" s="16">
        <f>_xlfn.XLOOKUP(CustomerCombinedCleaned[[#This Row],[ID]], Table4[ID], Table4[Meats], "Not Found", 0)</f>
        <v>1670</v>
      </c>
      <c r="N557" s="16">
        <f>_xlfn.XLOOKUP(CustomerCombinedCleaned[[#This Row],[ID]], Table4[ID], Table4[Seafood], "Not Found", 0)</f>
        <v>352</v>
      </c>
      <c r="O557" s="16">
        <f>_xlfn.XLOOKUP(CustomerCombinedCleaned[[#This Row],[ID]], Table4[ID], Table4[Sweets], "Not Found", 0)</f>
        <v>179</v>
      </c>
      <c r="P557" s="16">
        <f>_xlfn.XLOOKUP(CustomerCombinedCleaned[[#This Row],[ID]], Table4[ID], Table4[Premium], "Not Found", 0)</f>
        <v>405</v>
      </c>
      <c r="Q557" s="16">
        <f>_xlfn.XLOOKUP(CustomerCombinedCleaned[[#This Row],[ID]], Table4[ID], Table4[Regular], "Not Found", 0)</f>
        <v>4188</v>
      </c>
      <c r="R557" s="16">
        <f>_xlfn.XLOOKUP(CustomerCombinedCleaned[[#This Row],[ID]], Table4[ID], Table4[Deals], "Not Found", 0)</f>
        <v>1</v>
      </c>
      <c r="S557" s="16">
        <f>_xlfn.XLOOKUP(CustomerCombinedCleaned[[#This Row],[ID]], Table4[ID], Table4[Website], "Not Found", 0)</f>
        <v>5</v>
      </c>
      <c r="T557" s="16">
        <f>_xlfn.XLOOKUP(CustomerCombinedCleaned[[#This Row],[ID]], Table4[ID], Table4[Catalog], "Not Found", 0)</f>
        <v>10</v>
      </c>
      <c r="U557" s="16">
        <f>_xlfn.XLOOKUP(CustomerCombinedCleaned[[#This Row],[ID]], Table4[ID], Table4[Store], "Not Found", 0)</f>
        <v>6</v>
      </c>
      <c r="V557" s="16">
        <f>_xlfn.XLOOKUP(CustomerCombinedCleaned[[#This Row],[ID]], Table4[ID], Table4[Visits], "Not Found", 0)</f>
        <v>2</v>
      </c>
      <c r="W557" s="16">
        <f>_xlfn.XLOOKUP(CustomerCombinedCleaned[[#This Row],[ID]], Table2[ID],Table2[Complaint], "Not Found", 0 )</f>
        <v>0</v>
      </c>
      <c r="X557" s="16">
        <f>_xlfn.XLOOKUP(CustomerCombinedCleaned[[#This Row],[ID]], Table2[ID],Table2[Pilot], "Not Found", 0 )</f>
        <v>1</v>
      </c>
      <c r="Y557" s="16">
        <f>_xlfn.XLOOKUP(CustomerCombinedCleaned[[#This Row],[ID]], Table2[ID],Table2[MC1], "Not Found", 0 )</f>
        <v>1</v>
      </c>
      <c r="Z557" s="16">
        <f>_xlfn.XLOOKUP(CustomerCombinedCleaned[[#This Row],[ID]], Table2[ID],Table2[MC2], "Not Found", 0 )</f>
        <v>0</v>
      </c>
      <c r="AA557" s="16">
        <f>_xlfn.XLOOKUP(CustomerCombinedCleaned[[#This Row],[ID]], Table2[ID],Table2[MC3], "Not Found", 0 )</f>
        <v>0</v>
      </c>
      <c r="AB557" s="16">
        <f>_xlfn.XLOOKUP(CustomerCombinedCleaned[[#This Row],[ID]], Table2[ID],Table2[MC4], "Not Found", 0 )</f>
        <v>1</v>
      </c>
      <c r="AC557" s="16">
        <f>_xlfn.XLOOKUP(CustomerCombinedCleaned[[#This Row],[ID]], Table2[ID],Table2[MC5], "Not Found", 0 )</f>
        <v>1</v>
      </c>
    </row>
    <row r="558" spans="1:29" x14ac:dyDescent="0.3">
      <c r="A558" s="18">
        <v>1631</v>
      </c>
      <c r="B558" s="16">
        <v>178710</v>
      </c>
      <c r="C558" s="16">
        <v>0</v>
      </c>
      <c r="D558" s="16">
        <v>1</v>
      </c>
      <c r="E558" s="16">
        <v>43</v>
      </c>
      <c r="F558" s="17" t="s">
        <v>6</v>
      </c>
      <c r="G558" s="17" t="s">
        <v>12</v>
      </c>
      <c r="H558" s="3" t="s">
        <v>44</v>
      </c>
      <c r="I558" s="5" t="s">
        <v>434</v>
      </c>
      <c r="J558" s="16">
        <f>_xlfn.XLOOKUP(CustomerCombinedCleaned[[#This Row],[ID]], Table4[ID], Table4[Recency], "Not Found", 0)</f>
        <v>42</v>
      </c>
      <c r="K558" s="16">
        <f>_xlfn.XLOOKUP(CustomerCombinedCleaned[[#This Row],[ID]], Table4[ID], Table4[Teas], "Not Found", 0)</f>
        <v>1637</v>
      </c>
      <c r="L558" s="16">
        <f>_xlfn.XLOOKUP(CustomerCombinedCleaned[[#This Row],[ID]], Table4[ID], Table4[Fruits], "Not Found", 0)</f>
        <v>0</v>
      </c>
      <c r="M558" s="16">
        <f>_xlfn.XLOOKUP(CustomerCombinedCleaned[[#This Row],[ID]], Table4[ID], Table4[Meats], "Not Found", 0)</f>
        <v>345</v>
      </c>
      <c r="N558" s="16">
        <f>_xlfn.XLOOKUP(CustomerCombinedCleaned[[#This Row],[ID]], Table4[ID], Table4[Seafood], "Not Found", 0)</f>
        <v>270</v>
      </c>
      <c r="O558" s="16">
        <f>_xlfn.XLOOKUP(CustomerCombinedCleaned[[#This Row],[ID]], Table4[ID], Table4[Sweets], "Not Found", 0)</f>
        <v>114</v>
      </c>
      <c r="P558" s="16">
        <f>_xlfn.XLOOKUP(CustomerCombinedCleaned[[#This Row],[ID]], Table4[ID], Table4[Premium], "Not Found", 0)</f>
        <v>114</v>
      </c>
      <c r="Q558" s="16">
        <f>_xlfn.XLOOKUP(CustomerCombinedCleaned[[#This Row],[ID]], Table4[ID], Table4[Regular], "Not Found", 0)</f>
        <v>2252</v>
      </c>
      <c r="R558" s="16">
        <f>_xlfn.XLOOKUP(CustomerCombinedCleaned[[#This Row],[ID]], Table4[ID], Table4[Deals], "Not Found", 0)</f>
        <v>3</v>
      </c>
      <c r="S558" s="16">
        <f>_xlfn.XLOOKUP(CustomerCombinedCleaned[[#This Row],[ID]], Table4[ID], Table4[Website], "Not Found", 0)</f>
        <v>7</v>
      </c>
      <c r="T558" s="16">
        <f>_xlfn.XLOOKUP(CustomerCombinedCleaned[[#This Row],[ID]], Table4[ID], Table4[Catalog], "Not Found", 0)</f>
        <v>6</v>
      </c>
      <c r="U558" s="16">
        <f>_xlfn.XLOOKUP(CustomerCombinedCleaned[[#This Row],[ID]], Table4[ID], Table4[Store], "Not Found", 0)</f>
        <v>12</v>
      </c>
      <c r="V558" s="16">
        <f>_xlfn.XLOOKUP(CustomerCombinedCleaned[[#This Row],[ID]], Table4[ID], Table4[Visits], "Not Found", 0)</f>
        <v>4</v>
      </c>
      <c r="W558" s="16">
        <f>_xlfn.XLOOKUP(CustomerCombinedCleaned[[#This Row],[ID]], Table2[ID],Table2[Complaint], "Not Found", 0 )</f>
        <v>0</v>
      </c>
      <c r="X558" s="16">
        <f>_xlfn.XLOOKUP(CustomerCombinedCleaned[[#This Row],[ID]], Table2[ID],Table2[Pilot], "Not Found", 0 )</f>
        <v>0</v>
      </c>
      <c r="Y558" s="16">
        <f>_xlfn.XLOOKUP(CustomerCombinedCleaned[[#This Row],[ID]], Table2[ID],Table2[MC1], "Not Found", 0 )</f>
        <v>0</v>
      </c>
      <c r="Z558" s="16">
        <f>_xlfn.XLOOKUP(CustomerCombinedCleaned[[#This Row],[ID]], Table2[ID],Table2[MC2], "Not Found", 0 )</f>
        <v>0</v>
      </c>
      <c r="AA558" s="16">
        <f>_xlfn.XLOOKUP(CustomerCombinedCleaned[[#This Row],[ID]], Table2[ID],Table2[MC3], "Not Found", 0 )</f>
        <v>0</v>
      </c>
      <c r="AB558" s="16">
        <f>_xlfn.XLOOKUP(CustomerCombinedCleaned[[#This Row],[ID]], Table2[ID],Table2[MC4], "Not Found", 0 )</f>
        <v>0</v>
      </c>
      <c r="AC558" s="16">
        <f>_xlfn.XLOOKUP(CustomerCombinedCleaned[[#This Row],[ID]], Table2[ID],Table2[MC5], "Not Found", 0 )</f>
        <v>0</v>
      </c>
    </row>
    <row r="559" spans="1:29" x14ac:dyDescent="0.3">
      <c r="A559" s="18">
        <v>3011</v>
      </c>
      <c r="B559" s="16">
        <v>175330</v>
      </c>
      <c r="C559" s="16">
        <v>1</v>
      </c>
      <c r="D559" s="16">
        <v>1</v>
      </c>
      <c r="E559" s="16">
        <v>43</v>
      </c>
      <c r="F559" s="17" t="s">
        <v>6</v>
      </c>
      <c r="G559" s="17" t="s">
        <v>11</v>
      </c>
      <c r="H559" s="3" t="s">
        <v>636</v>
      </c>
      <c r="I559" s="5" t="s">
        <v>434</v>
      </c>
      <c r="J559" s="16">
        <f>_xlfn.XLOOKUP(CustomerCombinedCleaned[[#This Row],[ID]], Table4[ID], Table4[Recency], "Not Found", 0)</f>
        <v>94</v>
      </c>
      <c r="K559" s="16">
        <f>_xlfn.XLOOKUP(CustomerCombinedCleaned[[#This Row],[ID]], Table4[ID], Table4[Teas], "Not Found", 0)</f>
        <v>1292</v>
      </c>
      <c r="L559" s="16">
        <f>_xlfn.XLOOKUP(CustomerCombinedCleaned[[#This Row],[ID]], Table4[ID], Table4[Fruits], "Not Found", 0)</f>
        <v>191</v>
      </c>
      <c r="M559" s="16">
        <f>_xlfn.XLOOKUP(CustomerCombinedCleaned[[#This Row],[ID]], Table4[ID], Table4[Meats], "Not Found", 0)</f>
        <v>598</v>
      </c>
      <c r="N559" s="16">
        <f>_xlfn.XLOOKUP(CustomerCombinedCleaned[[#This Row],[ID]], Table4[ID], Table4[Seafood], "Not Found", 0)</f>
        <v>216</v>
      </c>
      <c r="O559" s="16">
        <f>_xlfn.XLOOKUP(CustomerCombinedCleaned[[#This Row],[ID]], Table4[ID], Table4[Sweets], "Not Found", 0)</f>
        <v>142</v>
      </c>
      <c r="P559" s="16">
        <f>_xlfn.XLOOKUP(CustomerCombinedCleaned[[#This Row],[ID]], Table4[ID], Table4[Premium], "Not Found", 0)</f>
        <v>142</v>
      </c>
      <c r="Q559" s="16">
        <f>_xlfn.XLOOKUP(CustomerCombinedCleaned[[#This Row],[ID]], Table4[ID], Table4[Regular], "Not Found", 0)</f>
        <v>2297</v>
      </c>
      <c r="R559" s="16">
        <f>_xlfn.XLOOKUP(CustomerCombinedCleaned[[#This Row],[ID]], Table4[ID], Table4[Deals], "Not Found", 0)</f>
        <v>4</v>
      </c>
      <c r="S559" s="16">
        <f>_xlfn.XLOOKUP(CustomerCombinedCleaned[[#This Row],[ID]], Table4[ID], Table4[Website], "Not Found", 0)</f>
        <v>10</v>
      </c>
      <c r="T559" s="16">
        <f>_xlfn.XLOOKUP(CustomerCombinedCleaned[[#This Row],[ID]], Table4[ID], Table4[Catalog], "Not Found", 0)</f>
        <v>3</v>
      </c>
      <c r="U559" s="16">
        <f>_xlfn.XLOOKUP(CustomerCombinedCleaned[[#This Row],[ID]], Table4[ID], Table4[Store], "Not Found", 0)</f>
        <v>12</v>
      </c>
      <c r="V559" s="16">
        <f>_xlfn.XLOOKUP(CustomerCombinedCleaned[[#This Row],[ID]], Table4[ID], Table4[Visits], "Not Found", 0)</f>
        <v>6</v>
      </c>
      <c r="W559" s="16">
        <f>_xlfn.XLOOKUP(CustomerCombinedCleaned[[#This Row],[ID]], Table2[ID],Table2[Complaint], "Not Found", 0 )</f>
        <v>0</v>
      </c>
      <c r="X559" s="16">
        <f>_xlfn.XLOOKUP(CustomerCombinedCleaned[[#This Row],[ID]], Table2[ID],Table2[Pilot], "Not Found", 0 )</f>
        <v>0</v>
      </c>
      <c r="Y559" s="16">
        <f>_xlfn.XLOOKUP(CustomerCombinedCleaned[[#This Row],[ID]], Table2[ID],Table2[MC1], "Not Found", 0 )</f>
        <v>0</v>
      </c>
      <c r="Z559" s="16">
        <f>_xlfn.XLOOKUP(CustomerCombinedCleaned[[#This Row],[ID]], Table2[ID],Table2[MC2], "Not Found", 0 )</f>
        <v>0</v>
      </c>
      <c r="AA559" s="16">
        <f>_xlfn.XLOOKUP(CustomerCombinedCleaned[[#This Row],[ID]], Table2[ID],Table2[MC3], "Not Found", 0 )</f>
        <v>0</v>
      </c>
      <c r="AB559" s="16">
        <f>_xlfn.XLOOKUP(CustomerCombinedCleaned[[#This Row],[ID]], Table2[ID],Table2[MC4], "Not Found", 0 )</f>
        <v>0</v>
      </c>
      <c r="AC559" s="16">
        <f>_xlfn.XLOOKUP(CustomerCombinedCleaned[[#This Row],[ID]], Table2[ID],Table2[MC5], "Not Found", 0 )</f>
        <v>0</v>
      </c>
    </row>
    <row r="560" spans="1:29" x14ac:dyDescent="0.3">
      <c r="A560" s="18">
        <v>1747</v>
      </c>
      <c r="B560" s="16">
        <v>174985</v>
      </c>
      <c r="C560" s="16">
        <v>0</v>
      </c>
      <c r="D560" s="16">
        <v>0</v>
      </c>
      <c r="E560" s="16">
        <v>43</v>
      </c>
      <c r="F560" s="17" t="s">
        <v>6</v>
      </c>
      <c r="G560" s="17" t="s">
        <v>11</v>
      </c>
      <c r="H560" s="3" t="s">
        <v>398</v>
      </c>
      <c r="I560" s="5" t="s">
        <v>437</v>
      </c>
      <c r="J560" s="16">
        <f>_xlfn.XLOOKUP(CustomerCombinedCleaned[[#This Row],[ID]], Table4[ID], Table4[Recency], "Not Found", 0)</f>
        <v>8</v>
      </c>
      <c r="K560" s="16">
        <f>_xlfn.XLOOKUP(CustomerCombinedCleaned[[#This Row],[ID]], Table4[ID], Table4[Teas], "Not Found", 0)</f>
        <v>1370</v>
      </c>
      <c r="L560" s="16">
        <f>_xlfn.XLOOKUP(CustomerCombinedCleaned[[#This Row],[ID]], Table4[ID], Table4[Fruits], "Not Found", 0)</f>
        <v>119</v>
      </c>
      <c r="M560" s="16">
        <f>_xlfn.XLOOKUP(CustomerCombinedCleaned[[#This Row],[ID]], Table4[ID], Table4[Meats], "Not Found", 0)</f>
        <v>2096</v>
      </c>
      <c r="N560" s="16">
        <f>_xlfn.XLOOKUP(CustomerCombinedCleaned[[#This Row],[ID]], Table4[ID], Table4[Seafood], "Not Found", 0)</f>
        <v>576</v>
      </c>
      <c r="O560" s="16">
        <f>_xlfn.XLOOKUP(CustomerCombinedCleaned[[#This Row],[ID]], Table4[ID], Table4[Sweets], "Not Found", 0)</f>
        <v>0</v>
      </c>
      <c r="P560" s="16">
        <f>_xlfn.XLOOKUP(CustomerCombinedCleaned[[#This Row],[ID]], Table4[ID], Table4[Premium], "Not Found", 0)</f>
        <v>201</v>
      </c>
      <c r="Q560" s="16">
        <f>_xlfn.XLOOKUP(CustomerCombinedCleaned[[#This Row],[ID]], Table4[ID], Table4[Regular], "Not Found", 0)</f>
        <v>3960</v>
      </c>
      <c r="R560" s="16">
        <f>_xlfn.XLOOKUP(CustomerCombinedCleaned[[#This Row],[ID]], Table4[ID], Table4[Deals], "Not Found", 0)</f>
        <v>1</v>
      </c>
      <c r="S560" s="16">
        <f>_xlfn.XLOOKUP(CustomerCombinedCleaned[[#This Row],[ID]], Table4[ID], Table4[Website], "Not Found", 0)</f>
        <v>3</v>
      </c>
      <c r="T560" s="16">
        <f>_xlfn.XLOOKUP(CustomerCombinedCleaned[[#This Row],[ID]], Table4[ID], Table4[Catalog], "Not Found", 0)</f>
        <v>6</v>
      </c>
      <c r="U560" s="16">
        <f>_xlfn.XLOOKUP(CustomerCombinedCleaned[[#This Row],[ID]], Table4[ID], Table4[Store], "Not Found", 0)</f>
        <v>7</v>
      </c>
      <c r="V560" s="16">
        <f>_xlfn.XLOOKUP(CustomerCombinedCleaned[[#This Row],[ID]], Table4[ID], Table4[Visits], "Not Found", 0)</f>
        <v>2</v>
      </c>
      <c r="W560" s="16">
        <f>_xlfn.XLOOKUP(CustomerCombinedCleaned[[#This Row],[ID]], Table2[ID],Table2[Complaint], "Not Found", 0 )</f>
        <v>0</v>
      </c>
      <c r="X560" s="16">
        <f>_xlfn.XLOOKUP(CustomerCombinedCleaned[[#This Row],[ID]], Table2[ID],Table2[Pilot], "Not Found", 0 )</f>
        <v>0</v>
      </c>
      <c r="Y560" s="16">
        <f>_xlfn.XLOOKUP(CustomerCombinedCleaned[[#This Row],[ID]], Table2[ID],Table2[MC1], "Not Found", 0 )</f>
        <v>0</v>
      </c>
      <c r="Z560" s="16">
        <f>_xlfn.XLOOKUP(CustomerCombinedCleaned[[#This Row],[ID]], Table2[ID],Table2[MC2], "Not Found", 0 )</f>
        <v>0</v>
      </c>
      <c r="AA560" s="16">
        <f>_xlfn.XLOOKUP(CustomerCombinedCleaned[[#This Row],[ID]], Table2[ID],Table2[MC3], "Not Found", 0 )</f>
        <v>0</v>
      </c>
      <c r="AB560" s="16">
        <f>_xlfn.XLOOKUP(CustomerCombinedCleaned[[#This Row],[ID]], Table2[ID],Table2[MC4], "Not Found", 0 )</f>
        <v>0</v>
      </c>
      <c r="AC560" s="16">
        <f>_xlfn.XLOOKUP(CustomerCombinedCleaned[[#This Row],[ID]], Table2[ID],Table2[MC5], "Not Found", 0 )</f>
        <v>0</v>
      </c>
    </row>
    <row r="561" spans="1:29" x14ac:dyDescent="0.3">
      <c r="A561" s="18">
        <v>2738</v>
      </c>
      <c r="B561" s="16">
        <v>172117</v>
      </c>
      <c r="C561" s="16">
        <v>0</v>
      </c>
      <c r="D561" s="16">
        <v>1</v>
      </c>
      <c r="E561" s="16">
        <v>43</v>
      </c>
      <c r="F561" s="17" t="s">
        <v>6</v>
      </c>
      <c r="G561" s="17" t="s">
        <v>11</v>
      </c>
      <c r="H561" s="3" t="s">
        <v>197</v>
      </c>
      <c r="I561" s="5" t="s">
        <v>438</v>
      </c>
      <c r="J561" s="16">
        <f>_xlfn.XLOOKUP(CustomerCombinedCleaned[[#This Row],[ID]], Table4[ID], Table4[Recency], "Not Found", 0)</f>
        <v>34</v>
      </c>
      <c r="K561" s="16">
        <f>_xlfn.XLOOKUP(CustomerCombinedCleaned[[#This Row],[ID]], Table4[ID], Table4[Teas], "Not Found", 0)</f>
        <v>1687</v>
      </c>
      <c r="L561" s="16">
        <f>_xlfn.XLOOKUP(CustomerCombinedCleaned[[#This Row],[ID]], Table4[ID], Table4[Fruits], "Not Found", 0)</f>
        <v>48</v>
      </c>
      <c r="M561" s="16">
        <f>_xlfn.XLOOKUP(CustomerCombinedCleaned[[#This Row],[ID]], Table4[ID], Table4[Meats], "Not Found", 0)</f>
        <v>408</v>
      </c>
      <c r="N561" s="16">
        <f>_xlfn.XLOOKUP(CustomerCombinedCleaned[[#This Row],[ID]], Table4[ID], Table4[Seafood], "Not Found", 0)</f>
        <v>155</v>
      </c>
      <c r="O561" s="16">
        <f>_xlfn.XLOOKUP(CustomerCombinedCleaned[[#This Row],[ID]], Table4[ID], Table4[Sweets], "Not Found", 0)</f>
        <v>143</v>
      </c>
      <c r="P561" s="16">
        <f>_xlfn.XLOOKUP(CustomerCombinedCleaned[[#This Row],[ID]], Table4[ID], Table4[Premium], "Not Found", 0)</f>
        <v>119</v>
      </c>
      <c r="Q561" s="16">
        <f>_xlfn.XLOOKUP(CustomerCombinedCleaned[[#This Row],[ID]], Table4[ID], Table4[Regular], "Not Found", 0)</f>
        <v>2322</v>
      </c>
      <c r="R561" s="16">
        <f>_xlfn.XLOOKUP(CustomerCombinedCleaned[[#This Row],[ID]], Table4[ID], Table4[Deals], "Not Found", 0)</f>
        <v>1</v>
      </c>
      <c r="S561" s="16">
        <f>_xlfn.XLOOKUP(CustomerCombinedCleaned[[#This Row],[ID]], Table4[ID], Table4[Website], "Not Found", 0)</f>
        <v>9</v>
      </c>
      <c r="T561" s="16">
        <f>_xlfn.XLOOKUP(CustomerCombinedCleaned[[#This Row],[ID]], Table4[ID], Table4[Catalog], "Not Found", 0)</f>
        <v>7</v>
      </c>
      <c r="U561" s="16">
        <f>_xlfn.XLOOKUP(CustomerCombinedCleaned[[#This Row],[ID]], Table4[ID], Table4[Store], "Not Found", 0)</f>
        <v>9</v>
      </c>
      <c r="V561" s="16">
        <f>_xlfn.XLOOKUP(CustomerCombinedCleaned[[#This Row],[ID]], Table4[ID], Table4[Visits], "Not Found", 0)</f>
        <v>5</v>
      </c>
      <c r="W561" s="16">
        <f>_xlfn.XLOOKUP(CustomerCombinedCleaned[[#This Row],[ID]], Table2[ID],Table2[Complaint], "Not Found", 0 )</f>
        <v>0</v>
      </c>
      <c r="X561" s="16">
        <f>_xlfn.XLOOKUP(CustomerCombinedCleaned[[#This Row],[ID]], Table2[ID],Table2[Pilot], "Not Found", 0 )</f>
        <v>0</v>
      </c>
      <c r="Y561" s="16">
        <f>_xlfn.XLOOKUP(CustomerCombinedCleaned[[#This Row],[ID]], Table2[ID],Table2[MC1], "Not Found", 0 )</f>
        <v>0</v>
      </c>
      <c r="Z561" s="16">
        <f>_xlfn.XLOOKUP(CustomerCombinedCleaned[[#This Row],[ID]], Table2[ID],Table2[MC2], "Not Found", 0 )</f>
        <v>0</v>
      </c>
      <c r="AA561" s="16">
        <f>_xlfn.XLOOKUP(CustomerCombinedCleaned[[#This Row],[ID]], Table2[ID],Table2[MC3], "Not Found", 0 )</f>
        <v>0</v>
      </c>
      <c r="AB561" s="16">
        <f>_xlfn.XLOOKUP(CustomerCombinedCleaned[[#This Row],[ID]], Table2[ID],Table2[MC4], "Not Found", 0 )</f>
        <v>0</v>
      </c>
      <c r="AC561" s="16">
        <f>_xlfn.XLOOKUP(CustomerCombinedCleaned[[#This Row],[ID]], Table2[ID],Table2[MC5], "Not Found", 0 )</f>
        <v>0</v>
      </c>
    </row>
    <row r="562" spans="1:29" x14ac:dyDescent="0.3">
      <c r="A562" s="18">
        <v>2582</v>
      </c>
      <c r="B562" s="16">
        <v>171855</v>
      </c>
      <c r="C562" s="16">
        <v>0</v>
      </c>
      <c r="D562" s="16">
        <v>1</v>
      </c>
      <c r="E562" s="16">
        <v>43</v>
      </c>
      <c r="F562" s="17" t="s">
        <v>6</v>
      </c>
      <c r="G562" s="17" t="s">
        <v>11</v>
      </c>
      <c r="H562" s="3" t="s">
        <v>324</v>
      </c>
      <c r="I562" s="5" t="s">
        <v>438</v>
      </c>
      <c r="J562" s="16">
        <f>_xlfn.XLOOKUP(CustomerCombinedCleaned[[#This Row],[ID]], Table4[ID], Table4[Recency], "Not Found", 0)</f>
        <v>59</v>
      </c>
      <c r="K562" s="16">
        <f>_xlfn.XLOOKUP(CustomerCombinedCleaned[[#This Row],[ID]], Table4[ID], Table4[Teas], "Not Found", 0)</f>
        <v>1311</v>
      </c>
      <c r="L562" s="16">
        <f>_xlfn.XLOOKUP(CustomerCombinedCleaned[[#This Row],[ID]], Table4[ID], Table4[Fruits], "Not Found", 0)</f>
        <v>74</v>
      </c>
      <c r="M562" s="16">
        <f>_xlfn.XLOOKUP(CustomerCombinedCleaned[[#This Row],[ID]], Table4[ID], Table4[Meats], "Not Found", 0)</f>
        <v>1009</v>
      </c>
      <c r="N562" s="16">
        <f>_xlfn.XLOOKUP(CustomerCombinedCleaned[[#This Row],[ID]], Table4[ID], Table4[Seafood], "Not Found", 0)</f>
        <v>0</v>
      </c>
      <c r="O562" s="16">
        <f>_xlfn.XLOOKUP(CustomerCombinedCleaned[[#This Row],[ID]], Table4[ID], Table4[Sweets], "Not Found", 0)</f>
        <v>268</v>
      </c>
      <c r="P562" s="16">
        <f>_xlfn.XLOOKUP(CustomerCombinedCleaned[[#This Row],[ID]], Table4[ID], Table4[Premium], "Not Found", 0)</f>
        <v>67</v>
      </c>
      <c r="Q562" s="16">
        <f>_xlfn.XLOOKUP(CustomerCombinedCleaned[[#This Row],[ID]], Table4[ID], Table4[Regular], "Not Found", 0)</f>
        <v>2595</v>
      </c>
      <c r="R562" s="16">
        <f>_xlfn.XLOOKUP(CustomerCombinedCleaned[[#This Row],[ID]], Table4[ID], Table4[Deals], "Not Found", 0)</f>
        <v>4</v>
      </c>
      <c r="S562" s="16">
        <f>_xlfn.XLOOKUP(CustomerCombinedCleaned[[#This Row],[ID]], Table4[ID], Table4[Website], "Not Found", 0)</f>
        <v>5</v>
      </c>
      <c r="T562" s="16">
        <f>_xlfn.XLOOKUP(CustomerCombinedCleaned[[#This Row],[ID]], Table4[ID], Table4[Catalog], "Not Found", 0)</f>
        <v>5</v>
      </c>
      <c r="U562" s="16">
        <f>_xlfn.XLOOKUP(CustomerCombinedCleaned[[#This Row],[ID]], Table4[ID], Table4[Store], "Not Found", 0)</f>
        <v>11</v>
      </c>
      <c r="V562" s="16">
        <f>_xlfn.XLOOKUP(CustomerCombinedCleaned[[#This Row],[ID]], Table4[ID], Table4[Visits], "Not Found", 0)</f>
        <v>3</v>
      </c>
      <c r="W562" s="16">
        <f>_xlfn.XLOOKUP(CustomerCombinedCleaned[[#This Row],[ID]], Table2[ID],Table2[Complaint], "Not Found", 0 )</f>
        <v>0</v>
      </c>
      <c r="X562" s="16">
        <f>_xlfn.XLOOKUP(CustomerCombinedCleaned[[#This Row],[ID]], Table2[ID],Table2[Pilot], "Not Found", 0 )</f>
        <v>0</v>
      </c>
      <c r="Y562" s="16">
        <f>_xlfn.XLOOKUP(CustomerCombinedCleaned[[#This Row],[ID]], Table2[ID],Table2[MC1], "Not Found", 0 )</f>
        <v>0</v>
      </c>
      <c r="Z562" s="16">
        <f>_xlfn.XLOOKUP(CustomerCombinedCleaned[[#This Row],[ID]], Table2[ID],Table2[MC2], "Not Found", 0 )</f>
        <v>0</v>
      </c>
      <c r="AA562" s="16">
        <f>_xlfn.XLOOKUP(CustomerCombinedCleaned[[#This Row],[ID]], Table2[ID],Table2[MC3], "Not Found", 0 )</f>
        <v>0</v>
      </c>
      <c r="AB562" s="16">
        <f>_xlfn.XLOOKUP(CustomerCombinedCleaned[[#This Row],[ID]], Table2[ID],Table2[MC4], "Not Found", 0 )</f>
        <v>0</v>
      </c>
      <c r="AC562" s="16">
        <f>_xlfn.XLOOKUP(CustomerCombinedCleaned[[#This Row],[ID]], Table2[ID],Table2[MC5], "Not Found", 0 )</f>
        <v>0</v>
      </c>
    </row>
    <row r="563" spans="1:29" x14ac:dyDescent="0.3">
      <c r="A563" s="18">
        <v>2386</v>
      </c>
      <c r="B563" s="16">
        <v>169389</v>
      </c>
      <c r="C563" s="16">
        <v>0</v>
      </c>
      <c r="D563" s="16">
        <v>1</v>
      </c>
      <c r="E563" s="16">
        <v>43</v>
      </c>
      <c r="F563" s="17" t="s">
        <v>6</v>
      </c>
      <c r="G563" s="17" t="s">
        <v>13</v>
      </c>
      <c r="H563" s="3" t="s">
        <v>612</v>
      </c>
      <c r="I563" s="5" t="s">
        <v>439</v>
      </c>
      <c r="J563" s="16">
        <f>_xlfn.XLOOKUP(CustomerCombinedCleaned[[#This Row],[ID]], Table4[ID], Table4[Recency], "Not Found", 0)</f>
        <v>17</v>
      </c>
      <c r="K563" s="16">
        <f>_xlfn.XLOOKUP(CustomerCombinedCleaned[[#This Row],[ID]], Table4[ID], Table4[Teas], "Not Found", 0)</f>
        <v>1030</v>
      </c>
      <c r="L563" s="16">
        <f>_xlfn.XLOOKUP(CustomerCombinedCleaned[[#This Row],[ID]], Table4[ID], Table4[Fruits], "Not Found", 0)</f>
        <v>17</v>
      </c>
      <c r="M563" s="16">
        <f>_xlfn.XLOOKUP(CustomerCombinedCleaned[[#This Row],[ID]], Table4[ID], Table4[Meats], "Not Found", 0)</f>
        <v>581</v>
      </c>
      <c r="N563" s="16">
        <f>_xlfn.XLOOKUP(CustomerCombinedCleaned[[#This Row],[ID]], Table4[ID], Table4[Seafood], "Not Found", 0)</f>
        <v>168</v>
      </c>
      <c r="O563" s="16">
        <f>_xlfn.XLOOKUP(CustomerCombinedCleaned[[#This Row],[ID]], Table4[ID], Table4[Sweets], "Not Found", 0)</f>
        <v>112</v>
      </c>
      <c r="P563" s="16">
        <f>_xlfn.XLOOKUP(CustomerCombinedCleaned[[#This Row],[ID]], Table4[ID], Table4[Premium], "Not Found", 0)</f>
        <v>37</v>
      </c>
      <c r="Q563" s="16">
        <f>_xlfn.XLOOKUP(CustomerCombinedCleaned[[#This Row],[ID]], Table4[ID], Table4[Regular], "Not Found", 0)</f>
        <v>1872</v>
      </c>
      <c r="R563" s="16">
        <f>_xlfn.XLOOKUP(CustomerCombinedCleaned[[#This Row],[ID]], Table4[ID], Table4[Deals], "Not Found", 0)</f>
        <v>1</v>
      </c>
      <c r="S563" s="16">
        <f>_xlfn.XLOOKUP(CustomerCombinedCleaned[[#This Row],[ID]], Table4[ID], Table4[Website], "Not Found", 0)</f>
        <v>7</v>
      </c>
      <c r="T563" s="16">
        <f>_xlfn.XLOOKUP(CustomerCombinedCleaned[[#This Row],[ID]], Table4[ID], Table4[Catalog], "Not Found", 0)</f>
        <v>2</v>
      </c>
      <c r="U563" s="16">
        <f>_xlfn.XLOOKUP(CustomerCombinedCleaned[[#This Row],[ID]], Table4[ID], Table4[Store], "Not Found", 0)</f>
        <v>12</v>
      </c>
      <c r="V563" s="16">
        <f>_xlfn.XLOOKUP(CustomerCombinedCleaned[[#This Row],[ID]], Table4[ID], Table4[Visits], "Not Found", 0)</f>
        <v>4</v>
      </c>
      <c r="W563" s="16">
        <f>_xlfn.XLOOKUP(CustomerCombinedCleaned[[#This Row],[ID]], Table2[ID],Table2[Complaint], "Not Found", 0 )</f>
        <v>0</v>
      </c>
      <c r="X563" s="16">
        <f>_xlfn.XLOOKUP(CustomerCombinedCleaned[[#This Row],[ID]], Table2[ID],Table2[Pilot], "Not Found", 0 )</f>
        <v>0</v>
      </c>
      <c r="Y563" s="16">
        <f>_xlfn.XLOOKUP(CustomerCombinedCleaned[[#This Row],[ID]], Table2[ID],Table2[MC1], "Not Found", 0 )</f>
        <v>0</v>
      </c>
      <c r="Z563" s="16">
        <f>_xlfn.XLOOKUP(CustomerCombinedCleaned[[#This Row],[ID]], Table2[ID],Table2[MC2], "Not Found", 0 )</f>
        <v>0</v>
      </c>
      <c r="AA563" s="16">
        <f>_xlfn.XLOOKUP(CustomerCombinedCleaned[[#This Row],[ID]], Table2[ID],Table2[MC3], "Not Found", 0 )</f>
        <v>0</v>
      </c>
      <c r="AB563" s="16">
        <f>_xlfn.XLOOKUP(CustomerCombinedCleaned[[#This Row],[ID]], Table2[ID],Table2[MC4], "Not Found", 0 )</f>
        <v>0</v>
      </c>
      <c r="AC563" s="16">
        <f>_xlfn.XLOOKUP(CustomerCombinedCleaned[[#This Row],[ID]], Table2[ID],Table2[MC5], "Not Found", 0 )</f>
        <v>0</v>
      </c>
    </row>
    <row r="564" spans="1:29" x14ac:dyDescent="0.3">
      <c r="A564" s="18">
        <v>1559</v>
      </c>
      <c r="B564" s="16">
        <v>161996</v>
      </c>
      <c r="C564" s="16">
        <v>0</v>
      </c>
      <c r="D564" s="16">
        <v>1</v>
      </c>
      <c r="E564" s="16">
        <v>43</v>
      </c>
      <c r="F564" s="17" t="s">
        <v>6</v>
      </c>
      <c r="G564" s="17" t="s">
        <v>13</v>
      </c>
      <c r="H564" s="3" t="s">
        <v>713</v>
      </c>
      <c r="I564" s="5" t="s">
        <v>434</v>
      </c>
      <c r="J564" s="16">
        <f>_xlfn.XLOOKUP(CustomerCombinedCleaned[[#This Row],[ID]], Table4[ID], Table4[Recency], "Not Found", 0)</f>
        <v>27</v>
      </c>
      <c r="K564" s="16">
        <f>_xlfn.XLOOKUP(CustomerCombinedCleaned[[#This Row],[ID]], Table4[ID], Table4[Teas], "Not Found", 0)</f>
        <v>2744</v>
      </c>
      <c r="L564" s="16">
        <f>_xlfn.XLOOKUP(CustomerCombinedCleaned[[#This Row],[ID]], Table4[ID], Table4[Fruits], "Not Found", 0)</f>
        <v>31</v>
      </c>
      <c r="M564" s="16">
        <f>_xlfn.XLOOKUP(CustomerCombinedCleaned[[#This Row],[ID]], Table4[ID], Table4[Meats], "Not Found", 0)</f>
        <v>376</v>
      </c>
      <c r="N564" s="16">
        <f>_xlfn.XLOOKUP(CustomerCombinedCleaned[[#This Row],[ID]], Table4[ID], Table4[Seafood], "Not Found", 0)</f>
        <v>0</v>
      </c>
      <c r="O564" s="16">
        <f>_xlfn.XLOOKUP(CustomerCombinedCleaned[[#This Row],[ID]], Table4[ID], Table4[Sweets], "Not Found", 0)</f>
        <v>0</v>
      </c>
      <c r="P564" s="16">
        <f>_xlfn.XLOOKUP(CustomerCombinedCleaned[[#This Row],[ID]], Table4[ID], Table4[Premium], "Not Found", 0)</f>
        <v>63</v>
      </c>
      <c r="Q564" s="16">
        <f>_xlfn.XLOOKUP(CustomerCombinedCleaned[[#This Row],[ID]], Table4[ID], Table4[Regular], "Not Found", 0)</f>
        <v>3089</v>
      </c>
      <c r="R564" s="16">
        <f>_xlfn.XLOOKUP(CustomerCombinedCleaned[[#This Row],[ID]], Table4[ID], Table4[Deals], "Not Found", 0)</f>
        <v>3</v>
      </c>
      <c r="S564" s="16">
        <f>_xlfn.XLOOKUP(CustomerCombinedCleaned[[#This Row],[ID]], Table4[ID], Table4[Website], "Not Found", 0)</f>
        <v>6</v>
      </c>
      <c r="T564" s="16">
        <f>_xlfn.XLOOKUP(CustomerCombinedCleaned[[#This Row],[ID]], Table4[ID], Table4[Catalog], "Not Found", 0)</f>
        <v>4</v>
      </c>
      <c r="U564" s="16">
        <f>_xlfn.XLOOKUP(CustomerCombinedCleaned[[#This Row],[ID]], Table4[ID], Table4[Store], "Not Found", 0)</f>
        <v>8</v>
      </c>
      <c r="V564" s="16">
        <f>_xlfn.XLOOKUP(CustomerCombinedCleaned[[#This Row],[ID]], Table4[ID], Table4[Visits], "Not Found", 0)</f>
        <v>5</v>
      </c>
      <c r="W564" s="16">
        <f>_xlfn.XLOOKUP(CustomerCombinedCleaned[[#This Row],[ID]], Table2[ID],Table2[Complaint], "Not Found", 0 )</f>
        <v>0</v>
      </c>
      <c r="X564" s="16">
        <f>_xlfn.XLOOKUP(CustomerCombinedCleaned[[#This Row],[ID]], Table2[ID],Table2[Pilot], "Not Found", 0 )</f>
        <v>1</v>
      </c>
      <c r="Y564" s="16">
        <f>_xlfn.XLOOKUP(CustomerCombinedCleaned[[#This Row],[ID]], Table2[ID],Table2[MC1], "Not Found", 0 )</f>
        <v>1</v>
      </c>
      <c r="Z564" s="16">
        <f>_xlfn.XLOOKUP(CustomerCombinedCleaned[[#This Row],[ID]], Table2[ID],Table2[MC2], "Not Found", 0 )</f>
        <v>1</v>
      </c>
      <c r="AA564" s="16">
        <f>_xlfn.XLOOKUP(CustomerCombinedCleaned[[#This Row],[ID]], Table2[ID],Table2[MC3], "Not Found", 0 )</f>
        <v>0</v>
      </c>
      <c r="AB564" s="16">
        <f>_xlfn.XLOOKUP(CustomerCombinedCleaned[[#This Row],[ID]], Table2[ID],Table2[MC4], "Not Found", 0 )</f>
        <v>1</v>
      </c>
      <c r="AC564" s="16">
        <f>_xlfn.XLOOKUP(CustomerCombinedCleaned[[#This Row],[ID]], Table2[ID],Table2[MC5], "Not Found", 0 )</f>
        <v>0</v>
      </c>
    </row>
    <row r="565" spans="1:29" x14ac:dyDescent="0.3">
      <c r="A565" s="18">
        <v>2344</v>
      </c>
      <c r="B565" s="16">
        <v>159601</v>
      </c>
      <c r="C565" s="16">
        <v>0</v>
      </c>
      <c r="D565" s="16">
        <v>1</v>
      </c>
      <c r="E565" s="16">
        <v>43</v>
      </c>
      <c r="F565" s="17" t="s">
        <v>5</v>
      </c>
      <c r="G565" s="17" t="s">
        <v>11</v>
      </c>
      <c r="H565" s="3" t="s">
        <v>211</v>
      </c>
      <c r="I565" s="5" t="s">
        <v>439</v>
      </c>
      <c r="J565" s="16">
        <f>_xlfn.XLOOKUP(CustomerCombinedCleaned[[#This Row],[ID]], Table4[ID], Table4[Recency], "Not Found", 0)</f>
        <v>14</v>
      </c>
      <c r="K565" s="16">
        <f>_xlfn.XLOOKUP(CustomerCombinedCleaned[[#This Row],[ID]], Table4[ID], Table4[Teas], "Not Found", 0)</f>
        <v>1850</v>
      </c>
      <c r="L565" s="16">
        <f>_xlfn.XLOOKUP(CustomerCombinedCleaned[[#This Row],[ID]], Table4[ID], Table4[Fruits], "Not Found", 0)</f>
        <v>19</v>
      </c>
      <c r="M565" s="16">
        <f>_xlfn.XLOOKUP(CustomerCombinedCleaned[[#This Row],[ID]], Table4[ID], Table4[Meats], "Not Found", 0)</f>
        <v>185</v>
      </c>
      <c r="N565" s="16">
        <f>_xlfn.XLOOKUP(CustomerCombinedCleaned[[#This Row],[ID]], Table4[ID], Table4[Seafood], "Not Found", 0)</f>
        <v>0</v>
      </c>
      <c r="O565" s="16">
        <f>_xlfn.XLOOKUP(CustomerCombinedCleaned[[#This Row],[ID]], Table4[ID], Table4[Sweets], "Not Found", 0)</f>
        <v>19</v>
      </c>
      <c r="P565" s="16">
        <f>_xlfn.XLOOKUP(CustomerCombinedCleaned[[#This Row],[ID]], Table4[ID], Table4[Premium], "Not Found", 0)</f>
        <v>62</v>
      </c>
      <c r="Q565" s="16">
        <f>_xlfn.XLOOKUP(CustomerCombinedCleaned[[#This Row],[ID]], Table4[ID], Table4[Regular], "Not Found", 0)</f>
        <v>2011</v>
      </c>
      <c r="R565" s="16">
        <f>_xlfn.XLOOKUP(CustomerCombinedCleaned[[#This Row],[ID]], Table4[ID], Table4[Deals], "Not Found", 0)</f>
        <v>4</v>
      </c>
      <c r="S565" s="16">
        <f>_xlfn.XLOOKUP(CustomerCombinedCleaned[[#This Row],[ID]], Table4[ID], Table4[Website], "Not Found", 0)</f>
        <v>2</v>
      </c>
      <c r="T565" s="16">
        <f>_xlfn.XLOOKUP(CustomerCombinedCleaned[[#This Row],[ID]], Table4[ID], Table4[Catalog], "Not Found", 0)</f>
        <v>2</v>
      </c>
      <c r="U565" s="16">
        <f>_xlfn.XLOOKUP(CustomerCombinedCleaned[[#This Row],[ID]], Table4[ID], Table4[Store], "Not Found", 0)</f>
        <v>7</v>
      </c>
      <c r="V565" s="16">
        <f>_xlfn.XLOOKUP(CustomerCombinedCleaned[[#This Row],[ID]], Table4[ID], Table4[Visits], "Not Found", 0)</f>
        <v>8</v>
      </c>
      <c r="W565" s="16">
        <f>_xlfn.XLOOKUP(CustomerCombinedCleaned[[#This Row],[ID]], Table2[ID],Table2[Complaint], "Not Found", 0 )</f>
        <v>0</v>
      </c>
      <c r="X565" s="16">
        <f>_xlfn.XLOOKUP(CustomerCombinedCleaned[[#This Row],[ID]], Table2[ID],Table2[Pilot], "Not Found", 0 )</f>
        <v>0</v>
      </c>
      <c r="Y565" s="16">
        <f>_xlfn.XLOOKUP(CustomerCombinedCleaned[[#This Row],[ID]], Table2[ID],Table2[MC1], "Not Found", 0 )</f>
        <v>0</v>
      </c>
      <c r="Z565" s="16">
        <f>_xlfn.XLOOKUP(CustomerCombinedCleaned[[#This Row],[ID]], Table2[ID],Table2[MC2], "Not Found", 0 )</f>
        <v>0</v>
      </c>
      <c r="AA565" s="16">
        <f>_xlfn.XLOOKUP(CustomerCombinedCleaned[[#This Row],[ID]], Table2[ID],Table2[MC3], "Not Found", 0 )</f>
        <v>0</v>
      </c>
      <c r="AB565" s="16">
        <f>_xlfn.XLOOKUP(CustomerCombinedCleaned[[#This Row],[ID]], Table2[ID],Table2[MC4], "Not Found", 0 )</f>
        <v>1</v>
      </c>
      <c r="AC565" s="16">
        <f>_xlfn.XLOOKUP(CustomerCombinedCleaned[[#This Row],[ID]], Table2[ID],Table2[MC5], "Not Found", 0 )</f>
        <v>0</v>
      </c>
    </row>
    <row r="566" spans="1:29" x14ac:dyDescent="0.3">
      <c r="A566" s="18">
        <v>1516</v>
      </c>
      <c r="B566" s="16">
        <v>157954</v>
      </c>
      <c r="C566" s="16">
        <v>1</v>
      </c>
      <c r="D566" s="16">
        <v>1</v>
      </c>
      <c r="E566" s="16">
        <v>43</v>
      </c>
      <c r="F566" s="17" t="s">
        <v>8</v>
      </c>
      <c r="G566" s="17" t="s">
        <v>12</v>
      </c>
      <c r="H566" s="3" t="s">
        <v>31</v>
      </c>
      <c r="I566" s="5" t="s">
        <v>439</v>
      </c>
      <c r="J566" s="16">
        <f>_xlfn.XLOOKUP(CustomerCombinedCleaned[[#This Row],[ID]], Table4[ID], Table4[Recency], "Not Found", 0)</f>
        <v>52</v>
      </c>
      <c r="K566" s="16">
        <f>_xlfn.XLOOKUP(CustomerCombinedCleaned[[#This Row],[ID]], Table4[ID], Table4[Teas], "Not Found", 0)</f>
        <v>1243</v>
      </c>
      <c r="L566" s="16">
        <f>_xlfn.XLOOKUP(CustomerCombinedCleaned[[#This Row],[ID]], Table4[ID], Table4[Fruits], "Not Found", 0)</f>
        <v>11</v>
      </c>
      <c r="M566" s="16">
        <f>_xlfn.XLOOKUP(CustomerCombinedCleaned[[#This Row],[ID]], Table4[ID], Table4[Meats], "Not Found", 0)</f>
        <v>65</v>
      </c>
      <c r="N566" s="16">
        <f>_xlfn.XLOOKUP(CustomerCombinedCleaned[[#This Row],[ID]], Table4[ID], Table4[Seafood], "Not Found", 0)</f>
        <v>0</v>
      </c>
      <c r="O566" s="16">
        <f>_xlfn.XLOOKUP(CustomerCombinedCleaned[[#This Row],[ID]], Table4[ID], Table4[Sweets], "Not Found", 0)</f>
        <v>0</v>
      </c>
      <c r="P566" s="16">
        <f>_xlfn.XLOOKUP(CustomerCombinedCleaned[[#This Row],[ID]], Table4[ID], Table4[Premium], "Not Found", 0)</f>
        <v>25</v>
      </c>
      <c r="Q566" s="16">
        <f>_xlfn.XLOOKUP(CustomerCombinedCleaned[[#This Row],[ID]], Table4[ID], Table4[Regular], "Not Found", 0)</f>
        <v>1295</v>
      </c>
      <c r="R566" s="16">
        <f>_xlfn.XLOOKUP(CustomerCombinedCleaned[[#This Row],[ID]], Table4[ID], Table4[Deals], "Not Found", 0)</f>
        <v>7</v>
      </c>
      <c r="S566" s="16">
        <f>_xlfn.XLOOKUP(CustomerCombinedCleaned[[#This Row],[ID]], Table4[ID], Table4[Website], "Not Found", 0)</f>
        <v>8</v>
      </c>
      <c r="T566" s="16">
        <f>_xlfn.XLOOKUP(CustomerCombinedCleaned[[#This Row],[ID]], Table4[ID], Table4[Catalog], "Not Found", 0)</f>
        <v>2</v>
      </c>
      <c r="U566" s="16">
        <f>_xlfn.XLOOKUP(CustomerCombinedCleaned[[#This Row],[ID]], Table4[ID], Table4[Store], "Not Found", 0)</f>
        <v>6</v>
      </c>
      <c r="V566" s="16">
        <f>_xlfn.XLOOKUP(CustomerCombinedCleaned[[#This Row],[ID]], Table4[ID], Table4[Visits], "Not Found", 0)</f>
        <v>7</v>
      </c>
      <c r="W566" s="16">
        <f>_xlfn.XLOOKUP(CustomerCombinedCleaned[[#This Row],[ID]], Table2[ID],Table2[Complaint], "Not Found", 0 )</f>
        <v>0</v>
      </c>
      <c r="X566" s="16">
        <f>_xlfn.XLOOKUP(CustomerCombinedCleaned[[#This Row],[ID]], Table2[ID],Table2[Pilot], "Not Found", 0 )</f>
        <v>0</v>
      </c>
      <c r="Y566" s="16">
        <f>_xlfn.XLOOKUP(CustomerCombinedCleaned[[#This Row],[ID]], Table2[ID],Table2[MC1], "Not Found", 0 )</f>
        <v>0</v>
      </c>
      <c r="Z566" s="16">
        <f>_xlfn.XLOOKUP(CustomerCombinedCleaned[[#This Row],[ID]], Table2[ID],Table2[MC2], "Not Found", 0 )</f>
        <v>0</v>
      </c>
      <c r="AA566" s="16">
        <f>_xlfn.XLOOKUP(CustomerCombinedCleaned[[#This Row],[ID]], Table2[ID],Table2[MC3], "Not Found", 0 )</f>
        <v>0</v>
      </c>
      <c r="AB566" s="16">
        <f>_xlfn.XLOOKUP(CustomerCombinedCleaned[[#This Row],[ID]], Table2[ID],Table2[MC4], "Not Found", 0 )</f>
        <v>1</v>
      </c>
      <c r="AC566" s="16">
        <f>_xlfn.XLOOKUP(CustomerCombinedCleaned[[#This Row],[ID]], Table2[ID],Table2[MC5], "Not Found", 0 )</f>
        <v>0</v>
      </c>
    </row>
    <row r="567" spans="1:29" x14ac:dyDescent="0.3">
      <c r="A567" s="18">
        <v>1820</v>
      </c>
      <c r="B567" s="16">
        <v>156628</v>
      </c>
      <c r="C567" s="16">
        <v>0</v>
      </c>
      <c r="D567" s="16">
        <v>1</v>
      </c>
      <c r="E567" s="16">
        <v>43</v>
      </c>
      <c r="F567" s="17" t="s">
        <v>7</v>
      </c>
      <c r="G567" s="17" t="s">
        <v>11</v>
      </c>
      <c r="H567" s="3" t="s">
        <v>80</v>
      </c>
      <c r="I567" s="5" t="s">
        <v>438</v>
      </c>
      <c r="J567" s="16">
        <f>_xlfn.XLOOKUP(CustomerCombinedCleaned[[#This Row],[ID]], Table4[ID], Table4[Recency], "Not Found", 0)</f>
        <v>30</v>
      </c>
      <c r="K567" s="16">
        <f>_xlfn.XLOOKUP(CustomerCombinedCleaned[[#This Row],[ID]], Table4[ID], Table4[Teas], "Not Found", 0)</f>
        <v>1325</v>
      </c>
      <c r="L567" s="16">
        <f>_xlfn.XLOOKUP(CustomerCombinedCleaned[[#This Row],[ID]], Table4[ID], Table4[Fruits], "Not Found", 0)</f>
        <v>14</v>
      </c>
      <c r="M567" s="16">
        <f>_xlfn.XLOOKUP(CustomerCombinedCleaned[[#This Row],[ID]], Table4[ID], Table4[Meats], "Not Found", 0)</f>
        <v>227</v>
      </c>
      <c r="N567" s="16">
        <f>_xlfn.XLOOKUP(CustomerCombinedCleaned[[#This Row],[ID]], Table4[ID], Table4[Seafood], "Not Found", 0)</f>
        <v>19</v>
      </c>
      <c r="O567" s="16">
        <f>_xlfn.XLOOKUP(CustomerCombinedCleaned[[#This Row],[ID]], Table4[ID], Table4[Sweets], "Not Found", 0)</f>
        <v>47</v>
      </c>
      <c r="P567" s="16">
        <f>_xlfn.XLOOKUP(CustomerCombinedCleaned[[#This Row],[ID]], Table4[ID], Table4[Premium], "Not Found", 0)</f>
        <v>473</v>
      </c>
      <c r="Q567" s="16">
        <f>_xlfn.XLOOKUP(CustomerCombinedCleaned[[#This Row],[ID]], Table4[ID], Table4[Regular], "Not Found", 0)</f>
        <v>1159</v>
      </c>
      <c r="R567" s="16">
        <f>_xlfn.XLOOKUP(CustomerCombinedCleaned[[#This Row],[ID]], Table4[ID], Table4[Deals], "Not Found", 0)</f>
        <v>2</v>
      </c>
      <c r="S567" s="16">
        <f>_xlfn.XLOOKUP(CustomerCombinedCleaned[[#This Row],[ID]], Table4[ID], Table4[Website], "Not Found", 0)</f>
        <v>7</v>
      </c>
      <c r="T567" s="16">
        <f>_xlfn.XLOOKUP(CustomerCombinedCleaned[[#This Row],[ID]], Table4[ID], Table4[Catalog], "Not Found", 0)</f>
        <v>6</v>
      </c>
      <c r="U567" s="16">
        <f>_xlfn.XLOOKUP(CustomerCombinedCleaned[[#This Row],[ID]], Table4[ID], Table4[Store], "Not Found", 0)</f>
        <v>5</v>
      </c>
      <c r="V567" s="16">
        <f>_xlfn.XLOOKUP(CustomerCombinedCleaned[[#This Row],[ID]], Table4[ID], Table4[Visits], "Not Found", 0)</f>
        <v>5</v>
      </c>
      <c r="W567" s="16">
        <f>_xlfn.XLOOKUP(CustomerCombinedCleaned[[#This Row],[ID]], Table2[ID],Table2[Complaint], "Not Found", 0 )</f>
        <v>0</v>
      </c>
      <c r="X567" s="16">
        <f>_xlfn.XLOOKUP(CustomerCombinedCleaned[[#This Row],[ID]], Table2[ID],Table2[Pilot], "Not Found", 0 )</f>
        <v>0</v>
      </c>
      <c r="Y567" s="16">
        <f>_xlfn.XLOOKUP(CustomerCombinedCleaned[[#This Row],[ID]], Table2[ID],Table2[MC1], "Not Found", 0 )</f>
        <v>0</v>
      </c>
      <c r="Z567" s="16">
        <f>_xlfn.XLOOKUP(CustomerCombinedCleaned[[#This Row],[ID]], Table2[ID],Table2[MC2], "Not Found", 0 )</f>
        <v>0</v>
      </c>
      <c r="AA567" s="16">
        <f>_xlfn.XLOOKUP(CustomerCombinedCleaned[[#This Row],[ID]], Table2[ID],Table2[MC3], "Not Found", 0 )</f>
        <v>1</v>
      </c>
      <c r="AB567" s="16">
        <f>_xlfn.XLOOKUP(CustomerCombinedCleaned[[#This Row],[ID]], Table2[ID],Table2[MC4], "Not Found", 0 )</f>
        <v>0</v>
      </c>
      <c r="AC567" s="16">
        <f>_xlfn.XLOOKUP(CustomerCombinedCleaned[[#This Row],[ID]], Table2[ID],Table2[MC5], "Not Found", 0 )</f>
        <v>0</v>
      </c>
    </row>
    <row r="568" spans="1:29" x14ac:dyDescent="0.3">
      <c r="A568" s="18">
        <v>1461</v>
      </c>
      <c r="B568" s="16">
        <v>155842</v>
      </c>
      <c r="C568" s="16">
        <v>0</v>
      </c>
      <c r="D568" s="16">
        <v>1</v>
      </c>
      <c r="E568" s="16">
        <v>43</v>
      </c>
      <c r="F568" s="17" t="s">
        <v>6</v>
      </c>
      <c r="G568" s="17" t="s">
        <v>12</v>
      </c>
      <c r="H568" s="3" t="s">
        <v>44</v>
      </c>
      <c r="I568" s="5" t="s">
        <v>435</v>
      </c>
      <c r="J568" s="16">
        <f>_xlfn.XLOOKUP(CustomerCombinedCleaned[[#This Row],[ID]], Table4[ID], Table4[Recency], "Not Found", 0)</f>
        <v>19</v>
      </c>
      <c r="K568" s="16">
        <f>_xlfn.XLOOKUP(CustomerCombinedCleaned[[#This Row],[ID]], Table4[ID], Table4[Teas], "Not Found", 0)</f>
        <v>1259</v>
      </c>
      <c r="L568" s="16">
        <f>_xlfn.XLOOKUP(CustomerCombinedCleaned[[#This Row],[ID]], Table4[ID], Table4[Fruits], "Not Found", 0)</f>
        <v>0</v>
      </c>
      <c r="M568" s="16">
        <f>_xlfn.XLOOKUP(CustomerCombinedCleaned[[#This Row],[ID]], Table4[ID], Table4[Meats], "Not Found", 0)</f>
        <v>109</v>
      </c>
      <c r="N568" s="16">
        <f>_xlfn.XLOOKUP(CustomerCombinedCleaned[[#This Row],[ID]], Table4[ID], Table4[Seafood], "Not Found", 0)</f>
        <v>0</v>
      </c>
      <c r="O568" s="16">
        <f>_xlfn.XLOOKUP(CustomerCombinedCleaned[[#This Row],[ID]], Table4[ID], Table4[Sweets], "Not Found", 0)</f>
        <v>11</v>
      </c>
      <c r="P568" s="16">
        <f>_xlfn.XLOOKUP(CustomerCombinedCleaned[[#This Row],[ID]], Table4[ID], Table4[Premium], "Not Found", 0)</f>
        <v>67</v>
      </c>
      <c r="Q568" s="16">
        <f>_xlfn.XLOOKUP(CustomerCombinedCleaned[[#This Row],[ID]], Table4[ID], Table4[Regular], "Not Found", 0)</f>
        <v>1312</v>
      </c>
      <c r="R568" s="16">
        <f>_xlfn.XLOOKUP(CustomerCombinedCleaned[[#This Row],[ID]], Table4[ID], Table4[Deals], "Not Found", 0)</f>
        <v>1</v>
      </c>
      <c r="S568" s="16">
        <f>_xlfn.XLOOKUP(CustomerCombinedCleaned[[#This Row],[ID]], Table4[ID], Table4[Website], "Not Found", 0)</f>
        <v>7</v>
      </c>
      <c r="T568" s="16">
        <f>_xlfn.XLOOKUP(CustomerCombinedCleaned[[#This Row],[ID]], Table4[ID], Table4[Catalog], "Not Found", 0)</f>
        <v>1</v>
      </c>
      <c r="U568" s="16">
        <f>_xlfn.XLOOKUP(CustomerCombinedCleaned[[#This Row],[ID]], Table4[ID], Table4[Store], "Not Found", 0)</f>
        <v>8</v>
      </c>
      <c r="V568" s="16">
        <f>_xlfn.XLOOKUP(CustomerCombinedCleaned[[#This Row],[ID]], Table4[ID], Table4[Visits], "Not Found", 0)</f>
        <v>5</v>
      </c>
      <c r="W568" s="16">
        <f>_xlfn.XLOOKUP(CustomerCombinedCleaned[[#This Row],[ID]], Table2[ID],Table2[Complaint], "Not Found", 0 )</f>
        <v>0</v>
      </c>
      <c r="X568" s="16">
        <f>_xlfn.XLOOKUP(CustomerCombinedCleaned[[#This Row],[ID]], Table2[ID],Table2[Pilot], "Not Found", 0 )</f>
        <v>0</v>
      </c>
      <c r="Y568" s="16">
        <f>_xlfn.XLOOKUP(CustomerCombinedCleaned[[#This Row],[ID]], Table2[ID],Table2[MC1], "Not Found", 0 )</f>
        <v>0</v>
      </c>
      <c r="Z568" s="16">
        <f>_xlfn.XLOOKUP(CustomerCombinedCleaned[[#This Row],[ID]], Table2[ID],Table2[MC2], "Not Found", 0 )</f>
        <v>0</v>
      </c>
      <c r="AA568" s="16">
        <f>_xlfn.XLOOKUP(CustomerCombinedCleaned[[#This Row],[ID]], Table2[ID],Table2[MC3], "Not Found", 0 )</f>
        <v>0</v>
      </c>
      <c r="AB568" s="16">
        <f>_xlfn.XLOOKUP(CustomerCombinedCleaned[[#This Row],[ID]], Table2[ID],Table2[MC4], "Not Found", 0 )</f>
        <v>0</v>
      </c>
      <c r="AC568" s="16">
        <f>_xlfn.XLOOKUP(CustomerCombinedCleaned[[#This Row],[ID]], Table2[ID],Table2[MC5], "Not Found", 0 )</f>
        <v>0</v>
      </c>
    </row>
    <row r="569" spans="1:29" x14ac:dyDescent="0.3">
      <c r="A569" s="18">
        <v>1148</v>
      </c>
      <c r="B569" s="16">
        <v>155375</v>
      </c>
      <c r="C569" s="16">
        <v>0</v>
      </c>
      <c r="D569" s="16">
        <v>1</v>
      </c>
      <c r="E569" s="16">
        <v>43</v>
      </c>
      <c r="F569" s="17" t="s">
        <v>8</v>
      </c>
      <c r="G569" s="17" t="s">
        <v>11</v>
      </c>
      <c r="H569" s="3" t="s">
        <v>165</v>
      </c>
      <c r="I569" s="5" t="s">
        <v>438</v>
      </c>
      <c r="J569" s="16">
        <f>_xlfn.XLOOKUP(CustomerCombinedCleaned[[#This Row],[ID]], Table4[ID], Table4[Recency], "Not Found", 0)</f>
        <v>3</v>
      </c>
      <c r="K569" s="16">
        <f>_xlfn.XLOOKUP(CustomerCombinedCleaned[[#This Row],[ID]], Table4[ID], Table4[Teas], "Not Found", 0)</f>
        <v>118</v>
      </c>
      <c r="L569" s="16">
        <f>_xlfn.XLOOKUP(CustomerCombinedCleaned[[#This Row],[ID]], Table4[ID], Table4[Fruits], "Not Found", 0)</f>
        <v>31</v>
      </c>
      <c r="M569" s="16">
        <f>_xlfn.XLOOKUP(CustomerCombinedCleaned[[#This Row],[ID]], Table4[ID], Table4[Meats], "Not Found", 0)</f>
        <v>160</v>
      </c>
      <c r="N569" s="16">
        <f>_xlfn.XLOOKUP(CustomerCombinedCleaned[[#This Row],[ID]], Table4[ID], Table4[Seafood], "Not Found", 0)</f>
        <v>28</v>
      </c>
      <c r="O569" s="16">
        <f>_xlfn.XLOOKUP(CustomerCombinedCleaned[[#This Row],[ID]], Table4[ID], Table4[Sweets], "Not Found", 0)</f>
        <v>79</v>
      </c>
      <c r="P569" s="16">
        <f>_xlfn.XLOOKUP(CustomerCombinedCleaned[[#This Row],[ID]], Table4[ID], Table4[Premium], "Not Found", 0)</f>
        <v>39</v>
      </c>
      <c r="Q569" s="16">
        <f>_xlfn.XLOOKUP(CustomerCombinedCleaned[[#This Row],[ID]], Table4[ID], Table4[Regular], "Not Found", 0)</f>
        <v>376</v>
      </c>
      <c r="R569" s="16">
        <f>_xlfn.XLOOKUP(CustomerCombinedCleaned[[#This Row],[ID]], Table4[ID], Table4[Deals], "Not Found", 0)</f>
        <v>1</v>
      </c>
      <c r="S569" s="16">
        <f>_xlfn.XLOOKUP(CustomerCombinedCleaned[[#This Row],[ID]], Table4[ID], Table4[Website], "Not Found", 0)</f>
        <v>1</v>
      </c>
      <c r="T569" s="16">
        <f>_xlfn.XLOOKUP(CustomerCombinedCleaned[[#This Row],[ID]], Table4[ID], Table4[Catalog], "Not Found", 0)</f>
        <v>1</v>
      </c>
      <c r="U569" s="16">
        <f>_xlfn.XLOOKUP(CustomerCombinedCleaned[[#This Row],[ID]], Table4[ID], Table4[Store], "Not Found", 0)</f>
        <v>6</v>
      </c>
      <c r="V569" s="16">
        <f>_xlfn.XLOOKUP(CustomerCombinedCleaned[[#This Row],[ID]], Table4[ID], Table4[Visits], "Not Found", 0)</f>
        <v>2</v>
      </c>
      <c r="W569" s="16">
        <f>_xlfn.XLOOKUP(CustomerCombinedCleaned[[#This Row],[ID]], Table2[ID],Table2[Complaint], "Not Found", 0 )</f>
        <v>0</v>
      </c>
      <c r="X569" s="16">
        <f>_xlfn.XLOOKUP(CustomerCombinedCleaned[[#This Row],[ID]], Table2[ID],Table2[Pilot], "Not Found", 0 )</f>
        <v>0</v>
      </c>
      <c r="Y569" s="16">
        <f>_xlfn.XLOOKUP(CustomerCombinedCleaned[[#This Row],[ID]], Table2[ID],Table2[MC1], "Not Found", 0 )</f>
        <v>0</v>
      </c>
      <c r="Z569" s="16">
        <f>_xlfn.XLOOKUP(CustomerCombinedCleaned[[#This Row],[ID]], Table2[ID],Table2[MC2], "Not Found", 0 )</f>
        <v>0</v>
      </c>
      <c r="AA569" s="16">
        <f>_xlfn.XLOOKUP(CustomerCombinedCleaned[[#This Row],[ID]], Table2[ID],Table2[MC3], "Not Found", 0 )</f>
        <v>0</v>
      </c>
      <c r="AB569" s="16">
        <f>_xlfn.XLOOKUP(CustomerCombinedCleaned[[#This Row],[ID]], Table2[ID],Table2[MC4], "Not Found", 0 )</f>
        <v>0</v>
      </c>
      <c r="AC569" s="16">
        <f>_xlfn.XLOOKUP(CustomerCombinedCleaned[[#This Row],[ID]], Table2[ID],Table2[MC5], "Not Found", 0 )</f>
        <v>0</v>
      </c>
    </row>
    <row r="570" spans="1:29" x14ac:dyDescent="0.3">
      <c r="A570" s="18">
        <v>2181</v>
      </c>
      <c r="B570" s="16">
        <v>154809</v>
      </c>
      <c r="C570" s="16">
        <v>1</v>
      </c>
      <c r="D570" s="16">
        <v>1</v>
      </c>
      <c r="E570" s="16">
        <v>43</v>
      </c>
      <c r="F570" s="17" t="s">
        <v>6</v>
      </c>
      <c r="G570" s="17" t="s">
        <v>11</v>
      </c>
      <c r="H570" s="3" t="s">
        <v>188</v>
      </c>
      <c r="I570" s="5" t="s">
        <v>435</v>
      </c>
      <c r="J570" s="16">
        <f>_xlfn.XLOOKUP(CustomerCombinedCleaned[[#This Row],[ID]], Table4[ID], Table4[Recency], "Not Found", 0)</f>
        <v>0</v>
      </c>
      <c r="K570" s="16">
        <f>_xlfn.XLOOKUP(CustomerCombinedCleaned[[#This Row],[ID]], Table4[ID], Table4[Teas], "Not Found", 0)</f>
        <v>178</v>
      </c>
      <c r="L570" s="16">
        <f>_xlfn.XLOOKUP(CustomerCombinedCleaned[[#This Row],[ID]], Table4[ID], Table4[Fruits], "Not Found", 0)</f>
        <v>17</v>
      </c>
      <c r="M570" s="16">
        <f>_xlfn.XLOOKUP(CustomerCombinedCleaned[[#This Row],[ID]], Table4[ID], Table4[Meats], "Not Found", 0)</f>
        <v>161</v>
      </c>
      <c r="N570" s="16">
        <f>_xlfn.XLOOKUP(CustomerCombinedCleaned[[#This Row],[ID]], Table4[ID], Table4[Seafood], "Not Found", 0)</f>
        <v>37</v>
      </c>
      <c r="O570" s="16">
        <f>_xlfn.XLOOKUP(CustomerCombinedCleaned[[#This Row],[ID]], Table4[ID], Table4[Sweets], "Not Found", 0)</f>
        <v>37</v>
      </c>
      <c r="P570" s="16">
        <f>_xlfn.XLOOKUP(CustomerCombinedCleaned[[#This Row],[ID]], Table4[ID], Table4[Premium], "Not Found", 0)</f>
        <v>62</v>
      </c>
      <c r="Q570" s="16">
        <f>_xlfn.XLOOKUP(CustomerCombinedCleaned[[#This Row],[ID]], Table4[ID], Table4[Regular], "Not Found", 0)</f>
        <v>367</v>
      </c>
      <c r="R570" s="16">
        <f>_xlfn.XLOOKUP(CustomerCombinedCleaned[[#This Row],[ID]], Table4[ID], Table4[Deals], "Not Found", 0)</f>
        <v>4</v>
      </c>
      <c r="S570" s="16">
        <f>_xlfn.XLOOKUP(CustomerCombinedCleaned[[#This Row],[ID]], Table4[ID], Table4[Website], "Not Found", 0)</f>
        <v>2</v>
      </c>
      <c r="T570" s="16">
        <f>_xlfn.XLOOKUP(CustomerCombinedCleaned[[#This Row],[ID]], Table4[ID], Table4[Catalog], "Not Found", 0)</f>
        <v>1</v>
      </c>
      <c r="U570" s="16">
        <f>_xlfn.XLOOKUP(CustomerCombinedCleaned[[#This Row],[ID]], Table4[ID], Table4[Store], "Not Found", 0)</f>
        <v>5</v>
      </c>
      <c r="V570" s="16">
        <f>_xlfn.XLOOKUP(CustomerCombinedCleaned[[#This Row],[ID]], Table4[ID], Table4[Visits], "Not Found", 0)</f>
        <v>4</v>
      </c>
      <c r="W570" s="16">
        <f>_xlfn.XLOOKUP(CustomerCombinedCleaned[[#This Row],[ID]], Table2[ID],Table2[Complaint], "Not Found", 0 )</f>
        <v>0</v>
      </c>
      <c r="X570" s="16">
        <f>_xlfn.XLOOKUP(CustomerCombinedCleaned[[#This Row],[ID]], Table2[ID],Table2[Pilot], "Not Found", 0 )</f>
        <v>0</v>
      </c>
      <c r="Y570" s="16">
        <f>_xlfn.XLOOKUP(CustomerCombinedCleaned[[#This Row],[ID]], Table2[ID],Table2[MC1], "Not Found", 0 )</f>
        <v>0</v>
      </c>
      <c r="Z570" s="16">
        <f>_xlfn.XLOOKUP(CustomerCombinedCleaned[[#This Row],[ID]], Table2[ID],Table2[MC2], "Not Found", 0 )</f>
        <v>0</v>
      </c>
      <c r="AA570" s="16">
        <f>_xlfn.XLOOKUP(CustomerCombinedCleaned[[#This Row],[ID]], Table2[ID],Table2[MC3], "Not Found", 0 )</f>
        <v>0</v>
      </c>
      <c r="AB570" s="16">
        <f>_xlfn.XLOOKUP(CustomerCombinedCleaned[[#This Row],[ID]], Table2[ID],Table2[MC4], "Not Found", 0 )</f>
        <v>0</v>
      </c>
      <c r="AC570" s="16">
        <f>_xlfn.XLOOKUP(CustomerCombinedCleaned[[#This Row],[ID]], Table2[ID],Table2[MC5], "Not Found", 0 )</f>
        <v>0</v>
      </c>
    </row>
    <row r="571" spans="1:29" x14ac:dyDescent="0.3">
      <c r="A571" s="18">
        <v>2809</v>
      </c>
      <c r="B571" s="16">
        <v>154809</v>
      </c>
      <c r="C571" s="16">
        <v>1</v>
      </c>
      <c r="D571" s="16">
        <v>1</v>
      </c>
      <c r="E571" s="16">
        <v>43</v>
      </c>
      <c r="F571" s="17" t="s">
        <v>6</v>
      </c>
      <c r="G571" s="17" t="s">
        <v>11</v>
      </c>
      <c r="H571" s="3" t="s">
        <v>188</v>
      </c>
      <c r="I571" s="5" t="s">
        <v>437</v>
      </c>
      <c r="J571" s="16">
        <f>_xlfn.XLOOKUP(CustomerCombinedCleaned[[#This Row],[ID]], Table4[ID], Table4[Recency], "Not Found", 0)</f>
        <v>0</v>
      </c>
      <c r="K571" s="16">
        <f>_xlfn.XLOOKUP(CustomerCombinedCleaned[[#This Row],[ID]], Table4[ID], Table4[Teas], "Not Found", 0)</f>
        <v>178</v>
      </c>
      <c r="L571" s="16">
        <f>_xlfn.XLOOKUP(CustomerCombinedCleaned[[#This Row],[ID]], Table4[ID], Table4[Fruits], "Not Found", 0)</f>
        <v>17</v>
      </c>
      <c r="M571" s="16">
        <f>_xlfn.XLOOKUP(CustomerCombinedCleaned[[#This Row],[ID]], Table4[ID], Table4[Meats], "Not Found", 0)</f>
        <v>161</v>
      </c>
      <c r="N571" s="16">
        <f>_xlfn.XLOOKUP(CustomerCombinedCleaned[[#This Row],[ID]], Table4[ID], Table4[Seafood], "Not Found", 0)</f>
        <v>37</v>
      </c>
      <c r="O571" s="16">
        <f>_xlfn.XLOOKUP(CustomerCombinedCleaned[[#This Row],[ID]], Table4[ID], Table4[Sweets], "Not Found", 0)</f>
        <v>37</v>
      </c>
      <c r="P571" s="16">
        <f>_xlfn.XLOOKUP(CustomerCombinedCleaned[[#This Row],[ID]], Table4[ID], Table4[Premium], "Not Found", 0)</f>
        <v>62</v>
      </c>
      <c r="Q571" s="16">
        <f>_xlfn.XLOOKUP(CustomerCombinedCleaned[[#This Row],[ID]], Table4[ID], Table4[Regular], "Not Found", 0)</f>
        <v>367</v>
      </c>
      <c r="R571" s="16">
        <f>_xlfn.XLOOKUP(CustomerCombinedCleaned[[#This Row],[ID]], Table4[ID], Table4[Deals], "Not Found", 0)</f>
        <v>4</v>
      </c>
      <c r="S571" s="16">
        <f>_xlfn.XLOOKUP(CustomerCombinedCleaned[[#This Row],[ID]], Table4[ID], Table4[Website], "Not Found", 0)</f>
        <v>2</v>
      </c>
      <c r="T571" s="16">
        <f>_xlfn.XLOOKUP(CustomerCombinedCleaned[[#This Row],[ID]], Table4[ID], Table4[Catalog], "Not Found", 0)</f>
        <v>1</v>
      </c>
      <c r="U571" s="16">
        <f>_xlfn.XLOOKUP(CustomerCombinedCleaned[[#This Row],[ID]], Table4[ID], Table4[Store], "Not Found", 0)</f>
        <v>5</v>
      </c>
      <c r="V571" s="16">
        <f>_xlfn.XLOOKUP(CustomerCombinedCleaned[[#This Row],[ID]], Table4[ID], Table4[Visits], "Not Found", 0)</f>
        <v>4</v>
      </c>
      <c r="W571" s="16">
        <f>_xlfn.XLOOKUP(CustomerCombinedCleaned[[#This Row],[ID]], Table2[ID],Table2[Complaint], "Not Found", 0 )</f>
        <v>0</v>
      </c>
      <c r="X571" s="16">
        <f>_xlfn.XLOOKUP(CustomerCombinedCleaned[[#This Row],[ID]], Table2[ID],Table2[Pilot], "Not Found", 0 )</f>
        <v>1</v>
      </c>
      <c r="Y571" s="16">
        <f>_xlfn.XLOOKUP(CustomerCombinedCleaned[[#This Row],[ID]], Table2[ID],Table2[MC1], "Not Found", 0 )</f>
        <v>0</v>
      </c>
      <c r="Z571" s="16">
        <f>_xlfn.XLOOKUP(CustomerCombinedCleaned[[#This Row],[ID]], Table2[ID],Table2[MC2], "Not Found", 0 )</f>
        <v>0</v>
      </c>
      <c r="AA571" s="16">
        <f>_xlfn.XLOOKUP(CustomerCombinedCleaned[[#This Row],[ID]], Table2[ID],Table2[MC3], "Not Found", 0 )</f>
        <v>0</v>
      </c>
      <c r="AB571" s="16">
        <f>_xlfn.XLOOKUP(CustomerCombinedCleaned[[#This Row],[ID]], Table2[ID],Table2[MC4], "Not Found", 0 )</f>
        <v>0</v>
      </c>
      <c r="AC571" s="16">
        <f>_xlfn.XLOOKUP(CustomerCombinedCleaned[[#This Row],[ID]], Table2[ID],Table2[MC5], "Not Found", 0 )</f>
        <v>0</v>
      </c>
    </row>
    <row r="572" spans="1:29" x14ac:dyDescent="0.3">
      <c r="A572" s="18">
        <v>2066</v>
      </c>
      <c r="B572" s="16">
        <v>154233</v>
      </c>
      <c r="C572" s="16">
        <v>0</v>
      </c>
      <c r="D572" s="16">
        <v>1</v>
      </c>
      <c r="E572" s="16">
        <v>43</v>
      </c>
      <c r="F572" s="17" t="s">
        <v>6</v>
      </c>
      <c r="G572" s="17" t="s">
        <v>11</v>
      </c>
      <c r="H572" s="3" t="s">
        <v>736</v>
      </c>
      <c r="I572" s="5" t="s">
        <v>438</v>
      </c>
      <c r="J572" s="16">
        <f>_xlfn.XLOOKUP(CustomerCombinedCleaned[[#This Row],[ID]], Table4[ID], Table4[Recency], "Not Found", 0)</f>
        <v>46</v>
      </c>
      <c r="K572" s="16">
        <f>_xlfn.XLOOKUP(CustomerCombinedCleaned[[#This Row],[ID]], Table4[ID], Table4[Teas], "Not Found", 0)</f>
        <v>1854</v>
      </c>
      <c r="L572" s="16">
        <f>_xlfn.XLOOKUP(CustomerCombinedCleaned[[#This Row],[ID]], Table4[ID], Table4[Fruits], "Not Found", 0)</f>
        <v>23</v>
      </c>
      <c r="M572" s="16">
        <f>_xlfn.XLOOKUP(CustomerCombinedCleaned[[#This Row],[ID]], Table4[ID], Table4[Meats], "Not Found", 0)</f>
        <v>449</v>
      </c>
      <c r="N572" s="16">
        <f>_xlfn.XLOOKUP(CustomerCombinedCleaned[[#This Row],[ID]], Table4[ID], Table4[Seafood], "Not Found", 0)</f>
        <v>60</v>
      </c>
      <c r="O572" s="16">
        <f>_xlfn.XLOOKUP(CustomerCombinedCleaned[[#This Row],[ID]], Table4[ID], Table4[Sweets], "Not Found", 0)</f>
        <v>0</v>
      </c>
      <c r="P572" s="16">
        <f>_xlfn.XLOOKUP(CustomerCombinedCleaned[[#This Row],[ID]], Table4[ID], Table4[Premium], "Not Found", 0)</f>
        <v>404</v>
      </c>
      <c r="Q572" s="16">
        <f>_xlfn.XLOOKUP(CustomerCombinedCleaned[[#This Row],[ID]], Table4[ID], Table4[Regular], "Not Found", 0)</f>
        <v>1982</v>
      </c>
      <c r="R572" s="16">
        <f>_xlfn.XLOOKUP(CustomerCombinedCleaned[[#This Row],[ID]], Table4[ID], Table4[Deals], "Not Found", 0)</f>
        <v>4</v>
      </c>
      <c r="S572" s="16">
        <f>_xlfn.XLOOKUP(CustomerCombinedCleaned[[#This Row],[ID]], Table4[ID], Table4[Website], "Not Found", 0)</f>
        <v>11</v>
      </c>
      <c r="T572" s="16">
        <f>_xlfn.XLOOKUP(CustomerCombinedCleaned[[#This Row],[ID]], Table4[ID], Table4[Catalog], "Not Found", 0)</f>
        <v>6</v>
      </c>
      <c r="U572" s="16">
        <f>_xlfn.XLOOKUP(CustomerCombinedCleaned[[#This Row],[ID]], Table4[ID], Table4[Store], "Not Found", 0)</f>
        <v>5</v>
      </c>
      <c r="V572" s="16">
        <f>_xlfn.XLOOKUP(CustomerCombinedCleaned[[#This Row],[ID]], Table4[ID], Table4[Visits], "Not Found", 0)</f>
        <v>8</v>
      </c>
      <c r="W572" s="16">
        <f>_xlfn.XLOOKUP(CustomerCombinedCleaned[[#This Row],[ID]], Table2[ID],Table2[Complaint], "Not Found", 0 )</f>
        <v>0</v>
      </c>
      <c r="X572" s="16">
        <f>_xlfn.XLOOKUP(CustomerCombinedCleaned[[#This Row],[ID]], Table2[ID],Table2[Pilot], "Not Found", 0 )</f>
        <v>0</v>
      </c>
      <c r="Y572" s="16">
        <f>_xlfn.XLOOKUP(CustomerCombinedCleaned[[#This Row],[ID]], Table2[ID],Table2[MC1], "Not Found", 0 )</f>
        <v>0</v>
      </c>
      <c r="Z572" s="16">
        <f>_xlfn.XLOOKUP(CustomerCombinedCleaned[[#This Row],[ID]], Table2[ID],Table2[MC2], "Not Found", 0 )</f>
        <v>0</v>
      </c>
      <c r="AA572" s="16">
        <f>_xlfn.XLOOKUP(CustomerCombinedCleaned[[#This Row],[ID]], Table2[ID],Table2[MC3], "Not Found", 0 )</f>
        <v>0</v>
      </c>
      <c r="AB572" s="16">
        <f>_xlfn.XLOOKUP(CustomerCombinedCleaned[[#This Row],[ID]], Table2[ID],Table2[MC4], "Not Found", 0 )</f>
        <v>0</v>
      </c>
      <c r="AC572" s="16">
        <f>_xlfn.XLOOKUP(CustomerCombinedCleaned[[#This Row],[ID]], Table2[ID],Table2[MC5], "Not Found", 0 )</f>
        <v>0</v>
      </c>
    </row>
    <row r="573" spans="1:29" x14ac:dyDescent="0.3">
      <c r="A573" s="18">
        <v>1511</v>
      </c>
      <c r="B573" s="16">
        <v>150353</v>
      </c>
      <c r="C573" s="16">
        <v>0</v>
      </c>
      <c r="D573" s="16">
        <v>0</v>
      </c>
      <c r="E573" s="16">
        <v>43</v>
      </c>
      <c r="F573" s="17" t="s">
        <v>6</v>
      </c>
      <c r="G573" s="17" t="s">
        <v>12</v>
      </c>
      <c r="H573" s="3" t="s">
        <v>734</v>
      </c>
      <c r="I573" s="5" t="s">
        <v>434</v>
      </c>
      <c r="J573" s="16">
        <f>_xlfn.XLOOKUP(CustomerCombinedCleaned[[#This Row],[ID]], Table4[ID], Table4[Recency], "Not Found", 0)</f>
        <v>72</v>
      </c>
      <c r="K573" s="16">
        <f>_xlfn.XLOOKUP(CustomerCombinedCleaned[[#This Row],[ID]], Table4[ID], Table4[Teas], "Not Found", 0)</f>
        <v>421</v>
      </c>
      <c r="L573" s="16">
        <f>_xlfn.XLOOKUP(CustomerCombinedCleaned[[#This Row],[ID]], Table4[ID], Table4[Fruits], "Not Found", 0)</f>
        <v>45</v>
      </c>
      <c r="M573" s="16">
        <f>_xlfn.XLOOKUP(CustomerCombinedCleaned[[#This Row],[ID]], Table4[ID], Table4[Meats], "Not Found", 0)</f>
        <v>457</v>
      </c>
      <c r="N573" s="16">
        <f>_xlfn.XLOOKUP(CustomerCombinedCleaned[[#This Row],[ID]], Table4[ID], Table4[Seafood], "Not Found", 0)</f>
        <v>200</v>
      </c>
      <c r="O573" s="16">
        <f>_xlfn.XLOOKUP(CustomerCombinedCleaned[[#This Row],[ID]], Table4[ID], Table4[Sweets], "Not Found", 0)</f>
        <v>93</v>
      </c>
      <c r="P573" s="16">
        <f>_xlfn.XLOOKUP(CustomerCombinedCleaned[[#This Row],[ID]], Table4[ID], Table4[Premium], "Not Found", 0)</f>
        <v>105</v>
      </c>
      <c r="Q573" s="16">
        <f>_xlfn.XLOOKUP(CustomerCombinedCleaned[[#This Row],[ID]], Table4[ID], Table4[Regular], "Not Found", 0)</f>
        <v>1111</v>
      </c>
      <c r="R573" s="16">
        <f>_xlfn.XLOOKUP(CustomerCombinedCleaned[[#This Row],[ID]], Table4[ID], Table4[Deals], "Not Found", 0)</f>
        <v>1</v>
      </c>
      <c r="S573" s="16">
        <f>_xlfn.XLOOKUP(CustomerCombinedCleaned[[#This Row],[ID]], Table4[ID], Table4[Website], "Not Found", 0)</f>
        <v>4</v>
      </c>
      <c r="T573" s="16">
        <f>_xlfn.XLOOKUP(CustomerCombinedCleaned[[#This Row],[ID]], Table4[ID], Table4[Catalog], "Not Found", 0)</f>
        <v>4</v>
      </c>
      <c r="U573" s="16">
        <f>_xlfn.XLOOKUP(CustomerCombinedCleaned[[#This Row],[ID]], Table4[ID], Table4[Store], "Not Found", 0)</f>
        <v>6</v>
      </c>
      <c r="V573" s="16">
        <f>_xlfn.XLOOKUP(CustomerCombinedCleaned[[#This Row],[ID]], Table4[ID], Table4[Visits], "Not Found", 0)</f>
        <v>3</v>
      </c>
      <c r="W573" s="16">
        <f>_xlfn.XLOOKUP(CustomerCombinedCleaned[[#This Row],[ID]], Table2[ID],Table2[Complaint], "Not Found", 0 )</f>
        <v>0</v>
      </c>
      <c r="X573" s="16">
        <f>_xlfn.XLOOKUP(CustomerCombinedCleaned[[#This Row],[ID]], Table2[ID],Table2[Pilot], "Not Found", 0 )</f>
        <v>0</v>
      </c>
      <c r="Y573" s="16">
        <f>_xlfn.XLOOKUP(CustomerCombinedCleaned[[#This Row],[ID]], Table2[ID],Table2[MC1], "Not Found", 0 )</f>
        <v>0</v>
      </c>
      <c r="Z573" s="16">
        <f>_xlfn.XLOOKUP(CustomerCombinedCleaned[[#This Row],[ID]], Table2[ID],Table2[MC2], "Not Found", 0 )</f>
        <v>0</v>
      </c>
      <c r="AA573" s="16">
        <f>_xlfn.XLOOKUP(CustomerCombinedCleaned[[#This Row],[ID]], Table2[ID],Table2[MC3], "Not Found", 0 )</f>
        <v>0</v>
      </c>
      <c r="AB573" s="16">
        <f>_xlfn.XLOOKUP(CustomerCombinedCleaned[[#This Row],[ID]], Table2[ID],Table2[MC4], "Not Found", 0 )</f>
        <v>0</v>
      </c>
      <c r="AC573" s="16">
        <f>_xlfn.XLOOKUP(CustomerCombinedCleaned[[#This Row],[ID]], Table2[ID],Table2[MC5], "Not Found", 0 )</f>
        <v>0</v>
      </c>
    </row>
    <row r="574" spans="1:29" x14ac:dyDescent="0.3">
      <c r="A574" s="18">
        <v>2108</v>
      </c>
      <c r="B574" s="16">
        <v>146931</v>
      </c>
      <c r="C574" s="16">
        <v>2</v>
      </c>
      <c r="D574" s="16">
        <v>1</v>
      </c>
      <c r="E574" s="16">
        <v>43</v>
      </c>
      <c r="F574" s="17" t="s">
        <v>8</v>
      </c>
      <c r="G574" s="17" t="s">
        <v>11</v>
      </c>
      <c r="H574" s="3" t="s">
        <v>58</v>
      </c>
      <c r="I574" s="5" t="s">
        <v>438</v>
      </c>
      <c r="J574" s="16">
        <f>_xlfn.XLOOKUP(CustomerCombinedCleaned[[#This Row],[ID]], Table4[ID], Table4[Recency], "Not Found", 0)</f>
        <v>94</v>
      </c>
      <c r="K574" s="16">
        <f>_xlfn.XLOOKUP(CustomerCombinedCleaned[[#This Row],[ID]], Table4[ID], Table4[Teas], "Not Found", 0)</f>
        <v>128</v>
      </c>
      <c r="L574" s="16">
        <f>_xlfn.XLOOKUP(CustomerCombinedCleaned[[#This Row],[ID]], Table4[ID], Table4[Fruits], "Not Found", 0)</f>
        <v>0</v>
      </c>
      <c r="M574" s="16">
        <f>_xlfn.XLOOKUP(CustomerCombinedCleaned[[#This Row],[ID]], Table4[ID], Table4[Meats], "Not Found", 0)</f>
        <v>53</v>
      </c>
      <c r="N574" s="16">
        <f>_xlfn.XLOOKUP(CustomerCombinedCleaned[[#This Row],[ID]], Table4[ID], Table4[Seafood], "Not Found", 0)</f>
        <v>9</v>
      </c>
      <c r="O574" s="16">
        <f>_xlfn.XLOOKUP(CustomerCombinedCleaned[[#This Row],[ID]], Table4[ID], Table4[Sweets], "Not Found", 0)</f>
        <v>3</v>
      </c>
      <c r="P574" s="16">
        <f>_xlfn.XLOOKUP(CustomerCombinedCleaned[[#This Row],[ID]], Table4[ID], Table4[Premium], "Not Found", 0)</f>
        <v>50</v>
      </c>
      <c r="Q574" s="16">
        <f>_xlfn.XLOOKUP(CustomerCombinedCleaned[[#This Row],[ID]], Table4[ID], Table4[Regular], "Not Found", 0)</f>
        <v>144</v>
      </c>
      <c r="R574" s="16">
        <f>_xlfn.XLOOKUP(CustomerCombinedCleaned[[#This Row],[ID]], Table4[ID], Table4[Deals], "Not Found", 0)</f>
        <v>2</v>
      </c>
      <c r="S574" s="16">
        <f>_xlfn.XLOOKUP(CustomerCombinedCleaned[[#This Row],[ID]], Table4[ID], Table4[Website], "Not Found", 0)</f>
        <v>1</v>
      </c>
      <c r="T574" s="16">
        <f>_xlfn.XLOOKUP(CustomerCombinedCleaned[[#This Row],[ID]], Table4[ID], Table4[Catalog], "Not Found", 0)</f>
        <v>1</v>
      </c>
      <c r="U574" s="16">
        <f>_xlfn.XLOOKUP(CustomerCombinedCleaned[[#This Row],[ID]], Table4[ID], Table4[Store], "Not Found", 0)</f>
        <v>3</v>
      </c>
      <c r="V574" s="16">
        <f>_xlfn.XLOOKUP(CustomerCombinedCleaned[[#This Row],[ID]], Table4[ID], Table4[Visits], "Not Found", 0)</f>
        <v>3</v>
      </c>
      <c r="W574" s="16">
        <f>_xlfn.XLOOKUP(CustomerCombinedCleaned[[#This Row],[ID]], Table2[ID],Table2[Complaint], "Not Found", 0 )</f>
        <v>0</v>
      </c>
      <c r="X574" s="16">
        <f>_xlfn.XLOOKUP(CustomerCombinedCleaned[[#This Row],[ID]], Table2[ID],Table2[Pilot], "Not Found", 0 )</f>
        <v>0</v>
      </c>
      <c r="Y574" s="16">
        <f>_xlfn.XLOOKUP(CustomerCombinedCleaned[[#This Row],[ID]], Table2[ID],Table2[MC1], "Not Found", 0 )</f>
        <v>0</v>
      </c>
      <c r="Z574" s="16">
        <f>_xlfn.XLOOKUP(CustomerCombinedCleaned[[#This Row],[ID]], Table2[ID],Table2[MC2], "Not Found", 0 )</f>
        <v>0</v>
      </c>
      <c r="AA574" s="16">
        <f>_xlfn.XLOOKUP(CustomerCombinedCleaned[[#This Row],[ID]], Table2[ID],Table2[MC3], "Not Found", 0 )</f>
        <v>0</v>
      </c>
      <c r="AB574" s="16">
        <f>_xlfn.XLOOKUP(CustomerCombinedCleaned[[#This Row],[ID]], Table2[ID],Table2[MC4], "Not Found", 0 )</f>
        <v>0</v>
      </c>
      <c r="AC574" s="16">
        <f>_xlfn.XLOOKUP(CustomerCombinedCleaned[[#This Row],[ID]], Table2[ID],Table2[MC5], "Not Found", 0 )</f>
        <v>0</v>
      </c>
    </row>
    <row r="575" spans="1:29" x14ac:dyDescent="0.3">
      <c r="A575" s="18">
        <v>2321</v>
      </c>
      <c r="B575" s="16">
        <v>143263</v>
      </c>
      <c r="C575" s="16">
        <v>0</v>
      </c>
      <c r="D575" s="16">
        <v>1</v>
      </c>
      <c r="E575" s="16">
        <v>43</v>
      </c>
      <c r="F575" s="17" t="s">
        <v>6</v>
      </c>
      <c r="G575" s="17" t="s">
        <v>12</v>
      </c>
      <c r="H575" s="3" t="s">
        <v>355</v>
      </c>
      <c r="I575" s="5" t="s">
        <v>434</v>
      </c>
      <c r="J575" s="16">
        <f>_xlfn.XLOOKUP(CustomerCombinedCleaned[[#This Row],[ID]], Table4[ID], Table4[Recency], "Not Found", 0)</f>
        <v>2</v>
      </c>
      <c r="K575" s="16">
        <f>_xlfn.XLOOKUP(CustomerCombinedCleaned[[#This Row],[ID]], Table4[ID], Table4[Teas], "Not Found", 0)</f>
        <v>868</v>
      </c>
      <c r="L575" s="16">
        <f>_xlfn.XLOOKUP(CustomerCombinedCleaned[[#This Row],[ID]], Table4[ID], Table4[Fruits], "Not Found", 0)</f>
        <v>20</v>
      </c>
      <c r="M575" s="16">
        <f>_xlfn.XLOOKUP(CustomerCombinedCleaned[[#This Row],[ID]], Table4[ID], Table4[Meats], "Not Found", 0)</f>
        <v>202</v>
      </c>
      <c r="N575" s="16">
        <f>_xlfn.XLOOKUP(CustomerCombinedCleaned[[#This Row],[ID]], Table4[ID], Table4[Seafood], "Not Found", 0)</f>
        <v>0</v>
      </c>
      <c r="O575" s="16">
        <f>_xlfn.XLOOKUP(CustomerCombinedCleaned[[#This Row],[ID]], Table4[ID], Table4[Sweets], "Not Found", 0)</f>
        <v>33</v>
      </c>
      <c r="P575" s="16">
        <f>_xlfn.XLOOKUP(CustomerCombinedCleaned[[#This Row],[ID]], Table4[ID], Table4[Premium], "Not Found", 0)</f>
        <v>338</v>
      </c>
      <c r="Q575" s="16">
        <f>_xlfn.XLOOKUP(CustomerCombinedCleaned[[#This Row],[ID]], Table4[ID], Table4[Regular], "Not Found", 0)</f>
        <v>785</v>
      </c>
      <c r="R575" s="16">
        <f>_xlfn.XLOOKUP(CustomerCombinedCleaned[[#This Row],[ID]], Table4[ID], Table4[Deals], "Not Found", 0)</f>
        <v>3</v>
      </c>
      <c r="S575" s="16">
        <f>_xlfn.XLOOKUP(CustomerCombinedCleaned[[#This Row],[ID]], Table4[ID], Table4[Website], "Not Found", 0)</f>
        <v>5</v>
      </c>
      <c r="T575" s="16">
        <f>_xlfn.XLOOKUP(CustomerCombinedCleaned[[#This Row],[ID]], Table4[ID], Table4[Catalog], "Not Found", 0)</f>
        <v>2</v>
      </c>
      <c r="U575" s="16">
        <f>_xlfn.XLOOKUP(CustomerCombinedCleaned[[#This Row],[ID]], Table4[ID], Table4[Store], "Not Found", 0)</f>
        <v>6</v>
      </c>
      <c r="V575" s="16">
        <f>_xlfn.XLOOKUP(CustomerCombinedCleaned[[#This Row],[ID]], Table4[ID], Table4[Visits], "Not Found", 0)</f>
        <v>5</v>
      </c>
      <c r="W575" s="16">
        <f>_xlfn.XLOOKUP(CustomerCombinedCleaned[[#This Row],[ID]], Table2[ID],Table2[Complaint], "Not Found", 0 )</f>
        <v>0</v>
      </c>
      <c r="X575" s="16">
        <f>_xlfn.XLOOKUP(CustomerCombinedCleaned[[#This Row],[ID]], Table2[ID],Table2[Pilot], "Not Found", 0 )</f>
        <v>0</v>
      </c>
      <c r="Y575" s="16">
        <f>_xlfn.XLOOKUP(CustomerCombinedCleaned[[#This Row],[ID]], Table2[ID],Table2[MC1], "Not Found", 0 )</f>
        <v>0</v>
      </c>
      <c r="Z575" s="16">
        <f>_xlfn.XLOOKUP(CustomerCombinedCleaned[[#This Row],[ID]], Table2[ID],Table2[MC2], "Not Found", 0 )</f>
        <v>0</v>
      </c>
      <c r="AA575" s="16">
        <f>_xlfn.XLOOKUP(CustomerCombinedCleaned[[#This Row],[ID]], Table2[ID],Table2[MC3], "Not Found", 0 )</f>
        <v>0</v>
      </c>
      <c r="AB575" s="16">
        <f>_xlfn.XLOOKUP(CustomerCombinedCleaned[[#This Row],[ID]], Table2[ID],Table2[MC4], "Not Found", 0 )</f>
        <v>0</v>
      </c>
      <c r="AC575" s="16">
        <f>_xlfn.XLOOKUP(CustomerCombinedCleaned[[#This Row],[ID]], Table2[ID],Table2[MC5], "Not Found", 0 )</f>
        <v>0</v>
      </c>
    </row>
    <row r="576" spans="1:29" x14ac:dyDescent="0.3">
      <c r="A576" s="18">
        <v>2274</v>
      </c>
      <c r="B576" s="16">
        <v>142997</v>
      </c>
      <c r="C576" s="16">
        <v>1</v>
      </c>
      <c r="D576" s="16">
        <v>1</v>
      </c>
      <c r="E576" s="16">
        <v>43</v>
      </c>
      <c r="F576" s="17" t="s">
        <v>7</v>
      </c>
      <c r="G576" s="17" t="s">
        <v>13</v>
      </c>
      <c r="H576" s="3" t="s">
        <v>141</v>
      </c>
      <c r="I576" s="5" t="s">
        <v>436</v>
      </c>
      <c r="J576" s="16">
        <f>_xlfn.XLOOKUP(CustomerCombinedCleaned[[#This Row],[ID]], Table4[ID], Table4[Recency], "Not Found", 0)</f>
        <v>91</v>
      </c>
      <c r="K576" s="16">
        <f>_xlfn.XLOOKUP(CustomerCombinedCleaned[[#This Row],[ID]], Table4[ID], Table4[Teas], "Not Found", 0)</f>
        <v>13</v>
      </c>
      <c r="L576" s="16">
        <f>_xlfn.XLOOKUP(CustomerCombinedCleaned[[#This Row],[ID]], Table4[ID], Table4[Fruits], "Not Found", 0)</f>
        <v>0</v>
      </c>
      <c r="M576" s="16">
        <f>_xlfn.XLOOKUP(CustomerCombinedCleaned[[#This Row],[ID]], Table4[ID], Table4[Meats], "Not Found", 0)</f>
        <v>17</v>
      </c>
      <c r="N576" s="16">
        <f>_xlfn.XLOOKUP(CustomerCombinedCleaned[[#This Row],[ID]], Table4[ID], Table4[Seafood], "Not Found", 0)</f>
        <v>0</v>
      </c>
      <c r="O576" s="16">
        <f>_xlfn.XLOOKUP(CustomerCombinedCleaned[[#This Row],[ID]], Table4[ID], Table4[Sweets], "Not Found", 0)</f>
        <v>3</v>
      </c>
      <c r="P576" s="16">
        <f>_xlfn.XLOOKUP(CustomerCombinedCleaned[[#This Row],[ID]], Table4[ID], Table4[Premium], "Not Found", 0)</f>
        <v>17</v>
      </c>
      <c r="Q576" s="16">
        <f>_xlfn.XLOOKUP(CustomerCombinedCleaned[[#This Row],[ID]], Table4[ID], Table4[Regular], "Not Found", 0)</f>
        <v>17</v>
      </c>
      <c r="R576" s="16">
        <f>_xlfn.XLOOKUP(CustomerCombinedCleaned[[#This Row],[ID]], Table4[ID], Table4[Deals], "Not Found", 0)</f>
        <v>1</v>
      </c>
      <c r="S576" s="16">
        <f>_xlfn.XLOOKUP(CustomerCombinedCleaned[[#This Row],[ID]], Table4[ID], Table4[Website], "Not Found", 0)</f>
        <v>1</v>
      </c>
      <c r="T576" s="16">
        <f>_xlfn.XLOOKUP(CustomerCombinedCleaned[[#This Row],[ID]], Table4[ID], Table4[Catalog], "Not Found", 0)</f>
        <v>0</v>
      </c>
      <c r="U576" s="16">
        <f>_xlfn.XLOOKUP(CustomerCombinedCleaned[[#This Row],[ID]], Table4[ID], Table4[Store], "Not Found", 0)</f>
        <v>2</v>
      </c>
      <c r="V576" s="16">
        <f>_xlfn.XLOOKUP(CustomerCombinedCleaned[[#This Row],[ID]], Table4[ID], Table4[Visits], "Not Found", 0)</f>
        <v>7</v>
      </c>
      <c r="W576" s="16">
        <f>_xlfn.XLOOKUP(CustomerCombinedCleaned[[#This Row],[ID]], Table2[ID],Table2[Complaint], "Not Found", 0 )</f>
        <v>0</v>
      </c>
      <c r="X576" s="16">
        <f>_xlfn.XLOOKUP(CustomerCombinedCleaned[[#This Row],[ID]], Table2[ID],Table2[Pilot], "Not Found", 0 )</f>
        <v>0</v>
      </c>
      <c r="Y576" s="16">
        <f>_xlfn.XLOOKUP(CustomerCombinedCleaned[[#This Row],[ID]], Table2[ID],Table2[MC1], "Not Found", 0 )</f>
        <v>0</v>
      </c>
      <c r="Z576" s="16">
        <f>_xlfn.XLOOKUP(CustomerCombinedCleaned[[#This Row],[ID]], Table2[ID],Table2[MC2], "Not Found", 0 )</f>
        <v>0</v>
      </c>
      <c r="AA576" s="16">
        <f>_xlfn.XLOOKUP(CustomerCombinedCleaned[[#This Row],[ID]], Table2[ID],Table2[MC3], "Not Found", 0 )</f>
        <v>0</v>
      </c>
      <c r="AB576" s="16">
        <f>_xlfn.XLOOKUP(CustomerCombinedCleaned[[#This Row],[ID]], Table2[ID],Table2[MC4], "Not Found", 0 )</f>
        <v>0</v>
      </c>
      <c r="AC576" s="16">
        <f>_xlfn.XLOOKUP(CustomerCombinedCleaned[[#This Row],[ID]], Table2[ID],Table2[MC5], "Not Found", 0 )</f>
        <v>0</v>
      </c>
    </row>
    <row r="577" spans="1:29" x14ac:dyDescent="0.3">
      <c r="A577" s="18">
        <v>2478</v>
      </c>
      <c r="B577" s="16">
        <v>142014</v>
      </c>
      <c r="C577" s="16">
        <v>1</v>
      </c>
      <c r="D577" s="16">
        <v>0</v>
      </c>
      <c r="E577" s="16">
        <v>43</v>
      </c>
      <c r="F577" s="17" t="s">
        <v>6</v>
      </c>
      <c r="G577" s="17" t="s">
        <v>11</v>
      </c>
      <c r="H577" s="3" t="s">
        <v>411</v>
      </c>
      <c r="I577" s="5" t="s">
        <v>436</v>
      </c>
      <c r="J577" s="16">
        <f>_xlfn.XLOOKUP(CustomerCombinedCleaned[[#This Row],[ID]], Table4[ID], Table4[Recency], "Not Found", 0)</f>
        <v>56</v>
      </c>
      <c r="K577" s="16">
        <f>_xlfn.XLOOKUP(CustomerCombinedCleaned[[#This Row],[ID]], Table4[ID], Table4[Teas], "Not Found", 0)</f>
        <v>825</v>
      </c>
      <c r="L577" s="16">
        <f>_xlfn.XLOOKUP(CustomerCombinedCleaned[[#This Row],[ID]], Table4[ID], Table4[Fruits], "Not Found", 0)</f>
        <v>51</v>
      </c>
      <c r="M577" s="16">
        <f>_xlfn.XLOOKUP(CustomerCombinedCleaned[[#This Row],[ID]], Table4[ID], Table4[Meats], "Not Found", 0)</f>
        <v>365</v>
      </c>
      <c r="N577" s="16">
        <f>_xlfn.XLOOKUP(CustomerCombinedCleaned[[#This Row],[ID]], Table4[ID], Table4[Seafood], "Not Found", 0)</f>
        <v>14</v>
      </c>
      <c r="O577" s="16">
        <f>_xlfn.XLOOKUP(CustomerCombinedCleaned[[#This Row],[ID]], Table4[ID], Table4[Sweets], "Not Found", 0)</f>
        <v>51</v>
      </c>
      <c r="P577" s="16">
        <f>_xlfn.XLOOKUP(CustomerCombinedCleaned[[#This Row],[ID]], Table4[ID], Table4[Premium], "Not Found", 0)</f>
        <v>169</v>
      </c>
      <c r="Q577" s="16">
        <f>_xlfn.XLOOKUP(CustomerCombinedCleaned[[#This Row],[ID]], Table4[ID], Table4[Regular], "Not Found", 0)</f>
        <v>1136</v>
      </c>
      <c r="R577" s="16">
        <f>_xlfn.XLOOKUP(CustomerCombinedCleaned[[#This Row],[ID]], Table4[ID], Table4[Deals], "Not Found", 0)</f>
        <v>6</v>
      </c>
      <c r="S577" s="16">
        <f>_xlfn.XLOOKUP(CustomerCombinedCleaned[[#This Row],[ID]], Table4[ID], Table4[Website], "Not Found", 0)</f>
        <v>7</v>
      </c>
      <c r="T577" s="16">
        <f>_xlfn.XLOOKUP(CustomerCombinedCleaned[[#This Row],[ID]], Table4[ID], Table4[Catalog], "Not Found", 0)</f>
        <v>1</v>
      </c>
      <c r="U577" s="16">
        <f>_xlfn.XLOOKUP(CustomerCombinedCleaned[[#This Row],[ID]], Table4[ID], Table4[Store], "Not Found", 0)</f>
        <v>6</v>
      </c>
      <c r="V577" s="16">
        <f>_xlfn.XLOOKUP(CustomerCombinedCleaned[[#This Row],[ID]], Table4[ID], Table4[Visits], "Not Found", 0)</f>
        <v>8</v>
      </c>
      <c r="W577" s="16">
        <f>_xlfn.XLOOKUP(CustomerCombinedCleaned[[#This Row],[ID]], Table2[ID],Table2[Complaint], "Not Found", 0 )</f>
        <v>0</v>
      </c>
      <c r="X577" s="16">
        <f>_xlfn.XLOOKUP(CustomerCombinedCleaned[[#This Row],[ID]], Table2[ID],Table2[Pilot], "Not Found", 0 )</f>
        <v>1</v>
      </c>
      <c r="Y577" s="16">
        <f>_xlfn.XLOOKUP(CustomerCombinedCleaned[[#This Row],[ID]], Table2[ID],Table2[MC1], "Not Found", 0 )</f>
        <v>0</v>
      </c>
      <c r="Z577" s="16">
        <f>_xlfn.XLOOKUP(CustomerCombinedCleaned[[#This Row],[ID]], Table2[ID],Table2[MC2], "Not Found", 0 )</f>
        <v>0</v>
      </c>
      <c r="AA577" s="16">
        <f>_xlfn.XLOOKUP(CustomerCombinedCleaned[[#This Row],[ID]], Table2[ID],Table2[MC3], "Not Found", 0 )</f>
        <v>0</v>
      </c>
      <c r="AB577" s="16">
        <f>_xlfn.XLOOKUP(CustomerCombinedCleaned[[#This Row],[ID]], Table2[ID],Table2[MC4], "Not Found", 0 )</f>
        <v>0</v>
      </c>
      <c r="AC577" s="16">
        <f>_xlfn.XLOOKUP(CustomerCombinedCleaned[[#This Row],[ID]], Table2[ID],Table2[MC5], "Not Found", 0 )</f>
        <v>0</v>
      </c>
    </row>
    <row r="578" spans="1:29" x14ac:dyDescent="0.3">
      <c r="A578" s="18">
        <v>2550</v>
      </c>
      <c r="B578" s="16">
        <v>142014</v>
      </c>
      <c r="C578" s="16">
        <v>1</v>
      </c>
      <c r="D578" s="16">
        <v>0</v>
      </c>
      <c r="E578" s="16">
        <v>43</v>
      </c>
      <c r="F578" s="17" t="s">
        <v>6</v>
      </c>
      <c r="G578" s="17" t="s">
        <v>11</v>
      </c>
      <c r="H578" s="3" t="s">
        <v>411</v>
      </c>
      <c r="I578" s="5" t="s">
        <v>436</v>
      </c>
      <c r="J578" s="16">
        <f>_xlfn.XLOOKUP(CustomerCombinedCleaned[[#This Row],[ID]], Table4[ID], Table4[Recency], "Not Found", 0)</f>
        <v>56</v>
      </c>
      <c r="K578" s="16">
        <f>_xlfn.XLOOKUP(CustomerCombinedCleaned[[#This Row],[ID]], Table4[ID], Table4[Teas], "Not Found", 0)</f>
        <v>825</v>
      </c>
      <c r="L578" s="16">
        <f>_xlfn.XLOOKUP(CustomerCombinedCleaned[[#This Row],[ID]], Table4[ID], Table4[Fruits], "Not Found", 0)</f>
        <v>51</v>
      </c>
      <c r="M578" s="16">
        <f>_xlfn.XLOOKUP(CustomerCombinedCleaned[[#This Row],[ID]], Table4[ID], Table4[Meats], "Not Found", 0)</f>
        <v>365</v>
      </c>
      <c r="N578" s="16">
        <f>_xlfn.XLOOKUP(CustomerCombinedCleaned[[#This Row],[ID]], Table4[ID], Table4[Seafood], "Not Found", 0)</f>
        <v>14</v>
      </c>
      <c r="O578" s="16">
        <f>_xlfn.XLOOKUP(CustomerCombinedCleaned[[#This Row],[ID]], Table4[ID], Table4[Sweets], "Not Found", 0)</f>
        <v>51</v>
      </c>
      <c r="P578" s="16">
        <f>_xlfn.XLOOKUP(CustomerCombinedCleaned[[#This Row],[ID]], Table4[ID], Table4[Premium], "Not Found", 0)</f>
        <v>169</v>
      </c>
      <c r="Q578" s="16">
        <f>_xlfn.XLOOKUP(CustomerCombinedCleaned[[#This Row],[ID]], Table4[ID], Table4[Regular], "Not Found", 0)</f>
        <v>1136</v>
      </c>
      <c r="R578" s="16">
        <f>_xlfn.XLOOKUP(CustomerCombinedCleaned[[#This Row],[ID]], Table4[ID], Table4[Deals], "Not Found", 0)</f>
        <v>6</v>
      </c>
      <c r="S578" s="16">
        <f>_xlfn.XLOOKUP(CustomerCombinedCleaned[[#This Row],[ID]], Table4[ID], Table4[Website], "Not Found", 0)</f>
        <v>7</v>
      </c>
      <c r="T578" s="16">
        <f>_xlfn.XLOOKUP(CustomerCombinedCleaned[[#This Row],[ID]], Table4[ID], Table4[Catalog], "Not Found", 0)</f>
        <v>1</v>
      </c>
      <c r="U578" s="16">
        <f>_xlfn.XLOOKUP(CustomerCombinedCleaned[[#This Row],[ID]], Table4[ID], Table4[Store], "Not Found", 0)</f>
        <v>6</v>
      </c>
      <c r="V578" s="16">
        <f>_xlfn.XLOOKUP(CustomerCombinedCleaned[[#This Row],[ID]], Table4[ID], Table4[Visits], "Not Found", 0)</f>
        <v>8</v>
      </c>
      <c r="W578" s="16">
        <f>_xlfn.XLOOKUP(CustomerCombinedCleaned[[#This Row],[ID]], Table2[ID],Table2[Complaint], "Not Found", 0 )</f>
        <v>0</v>
      </c>
      <c r="X578" s="16">
        <f>_xlfn.XLOOKUP(CustomerCombinedCleaned[[#This Row],[ID]], Table2[ID],Table2[Pilot], "Not Found", 0 )</f>
        <v>1</v>
      </c>
      <c r="Y578" s="16">
        <f>_xlfn.XLOOKUP(CustomerCombinedCleaned[[#This Row],[ID]], Table2[ID],Table2[MC1], "Not Found", 0 )</f>
        <v>0</v>
      </c>
      <c r="Z578" s="16">
        <f>_xlfn.XLOOKUP(CustomerCombinedCleaned[[#This Row],[ID]], Table2[ID],Table2[MC2], "Not Found", 0 )</f>
        <v>0</v>
      </c>
      <c r="AA578" s="16">
        <f>_xlfn.XLOOKUP(CustomerCombinedCleaned[[#This Row],[ID]], Table2[ID],Table2[MC3], "Not Found", 0 )</f>
        <v>0</v>
      </c>
      <c r="AB578" s="16">
        <f>_xlfn.XLOOKUP(CustomerCombinedCleaned[[#This Row],[ID]], Table2[ID],Table2[MC4], "Not Found", 0 )</f>
        <v>0</v>
      </c>
      <c r="AC578" s="16">
        <f>_xlfn.XLOOKUP(CustomerCombinedCleaned[[#This Row],[ID]], Table2[ID],Table2[MC5], "Not Found", 0 )</f>
        <v>0</v>
      </c>
    </row>
    <row r="579" spans="1:29" x14ac:dyDescent="0.3">
      <c r="A579" s="18">
        <v>1203</v>
      </c>
      <c r="B579" s="16">
        <v>141443</v>
      </c>
      <c r="C579" s="16">
        <v>1</v>
      </c>
      <c r="D579" s="16">
        <v>0</v>
      </c>
      <c r="E579" s="16">
        <v>43</v>
      </c>
      <c r="F579" s="17" t="s">
        <v>6</v>
      </c>
      <c r="G579" s="17" t="s">
        <v>11</v>
      </c>
      <c r="H579" s="3" t="s">
        <v>748</v>
      </c>
      <c r="I579" s="5" t="s">
        <v>435</v>
      </c>
      <c r="J579" s="16">
        <f>_xlfn.XLOOKUP(CustomerCombinedCleaned[[#This Row],[ID]], Table4[ID], Table4[Recency], "Not Found", 0)</f>
        <v>79</v>
      </c>
      <c r="K579" s="16">
        <f>_xlfn.XLOOKUP(CustomerCombinedCleaned[[#This Row],[ID]], Table4[ID], Table4[Teas], "Not Found", 0)</f>
        <v>584</v>
      </c>
      <c r="L579" s="16">
        <f>_xlfn.XLOOKUP(CustomerCombinedCleaned[[#This Row],[ID]], Table4[ID], Table4[Fruits], "Not Found", 0)</f>
        <v>24</v>
      </c>
      <c r="M579" s="16">
        <f>_xlfn.XLOOKUP(CustomerCombinedCleaned[[#This Row],[ID]], Table4[ID], Table4[Meats], "Not Found", 0)</f>
        <v>584</v>
      </c>
      <c r="N579" s="16">
        <f>_xlfn.XLOOKUP(CustomerCombinedCleaned[[#This Row],[ID]], Table4[ID], Table4[Seafood], "Not Found", 0)</f>
        <v>85</v>
      </c>
      <c r="O579" s="16">
        <f>_xlfn.XLOOKUP(CustomerCombinedCleaned[[#This Row],[ID]], Table4[ID], Table4[Sweets], "Not Found", 0)</f>
        <v>65</v>
      </c>
      <c r="P579" s="16">
        <f>_xlfn.XLOOKUP(CustomerCombinedCleaned[[#This Row],[ID]], Table4[ID], Table4[Premium], "Not Found", 0)</f>
        <v>304</v>
      </c>
      <c r="Q579" s="16">
        <f>_xlfn.XLOOKUP(CustomerCombinedCleaned[[#This Row],[ID]], Table4[ID], Table4[Regular], "Not Found", 0)</f>
        <v>1038</v>
      </c>
      <c r="R579" s="16">
        <f>_xlfn.XLOOKUP(CustomerCombinedCleaned[[#This Row],[ID]], Table4[ID], Table4[Deals], "Not Found", 0)</f>
        <v>6</v>
      </c>
      <c r="S579" s="16">
        <f>_xlfn.XLOOKUP(CustomerCombinedCleaned[[#This Row],[ID]], Table4[ID], Table4[Website], "Not Found", 0)</f>
        <v>8</v>
      </c>
      <c r="T579" s="16">
        <f>_xlfn.XLOOKUP(CustomerCombinedCleaned[[#This Row],[ID]], Table4[ID], Table4[Catalog], "Not Found", 0)</f>
        <v>1</v>
      </c>
      <c r="U579" s="16">
        <f>_xlfn.XLOOKUP(CustomerCombinedCleaned[[#This Row],[ID]], Table4[ID], Table4[Store], "Not Found", 0)</f>
        <v>5</v>
      </c>
      <c r="V579" s="16">
        <f>_xlfn.XLOOKUP(CustomerCombinedCleaned[[#This Row],[ID]], Table4[ID], Table4[Visits], "Not Found", 0)</f>
        <v>8</v>
      </c>
      <c r="W579" s="16">
        <f>_xlfn.XLOOKUP(CustomerCombinedCleaned[[#This Row],[ID]], Table2[ID],Table2[Complaint], "Not Found", 0 )</f>
        <v>0</v>
      </c>
      <c r="X579" s="16">
        <f>_xlfn.XLOOKUP(CustomerCombinedCleaned[[#This Row],[ID]], Table2[ID],Table2[Pilot], "Not Found", 0 )</f>
        <v>0</v>
      </c>
      <c r="Y579" s="16">
        <f>_xlfn.XLOOKUP(CustomerCombinedCleaned[[#This Row],[ID]], Table2[ID],Table2[MC1], "Not Found", 0 )</f>
        <v>0</v>
      </c>
      <c r="Z579" s="16">
        <f>_xlfn.XLOOKUP(CustomerCombinedCleaned[[#This Row],[ID]], Table2[ID],Table2[MC2], "Not Found", 0 )</f>
        <v>0</v>
      </c>
      <c r="AA579" s="16">
        <f>_xlfn.XLOOKUP(CustomerCombinedCleaned[[#This Row],[ID]], Table2[ID],Table2[MC3], "Not Found", 0 )</f>
        <v>0</v>
      </c>
      <c r="AB579" s="16">
        <f>_xlfn.XLOOKUP(CustomerCombinedCleaned[[#This Row],[ID]], Table2[ID],Table2[MC4], "Not Found", 0 )</f>
        <v>0</v>
      </c>
      <c r="AC579" s="16">
        <f>_xlfn.XLOOKUP(CustomerCombinedCleaned[[#This Row],[ID]], Table2[ID],Table2[MC5], "Not Found", 0 )</f>
        <v>0</v>
      </c>
    </row>
    <row r="580" spans="1:29" x14ac:dyDescent="0.3">
      <c r="A580" s="18">
        <v>1463</v>
      </c>
      <c r="B580" s="16">
        <v>141124</v>
      </c>
      <c r="C580" s="16">
        <v>1</v>
      </c>
      <c r="D580" s="16">
        <v>0</v>
      </c>
      <c r="E580" s="16">
        <v>43</v>
      </c>
      <c r="F580" s="17" t="s">
        <v>6</v>
      </c>
      <c r="G580" s="17" t="s">
        <v>11</v>
      </c>
      <c r="H580" s="3" t="s">
        <v>584</v>
      </c>
      <c r="I580" s="5" t="s">
        <v>434</v>
      </c>
      <c r="J580" s="16">
        <f>_xlfn.XLOOKUP(CustomerCombinedCleaned[[#This Row],[ID]], Table4[ID], Table4[Recency], "Not Found", 0)</f>
        <v>41</v>
      </c>
      <c r="K580" s="16">
        <f>_xlfn.XLOOKUP(CustomerCombinedCleaned[[#This Row],[ID]], Table4[ID], Table4[Teas], "Not Found", 0)</f>
        <v>964</v>
      </c>
      <c r="L580" s="16">
        <f>_xlfn.XLOOKUP(CustomerCombinedCleaned[[#This Row],[ID]], Table4[ID], Table4[Fruits], "Not Found", 0)</f>
        <v>24</v>
      </c>
      <c r="M580" s="16">
        <f>_xlfn.XLOOKUP(CustomerCombinedCleaned[[#This Row],[ID]], Table4[ID], Table4[Meats], "Not Found", 0)</f>
        <v>288</v>
      </c>
      <c r="N580" s="16">
        <f>_xlfn.XLOOKUP(CustomerCombinedCleaned[[#This Row],[ID]], Table4[ID], Table4[Seafood], "Not Found", 0)</f>
        <v>51</v>
      </c>
      <c r="O580" s="16">
        <f>_xlfn.XLOOKUP(CustomerCombinedCleaned[[#This Row],[ID]], Table4[ID], Table4[Sweets], "Not Found", 0)</f>
        <v>0</v>
      </c>
      <c r="P580" s="16">
        <f>_xlfn.XLOOKUP(CustomerCombinedCleaned[[#This Row],[ID]], Table4[ID], Table4[Premium], "Not Found", 0)</f>
        <v>408</v>
      </c>
      <c r="Q580" s="16">
        <f>_xlfn.XLOOKUP(CustomerCombinedCleaned[[#This Row],[ID]], Table4[ID], Table4[Regular], "Not Found", 0)</f>
        <v>920</v>
      </c>
      <c r="R580" s="16">
        <f>_xlfn.XLOOKUP(CustomerCombinedCleaned[[#This Row],[ID]], Table4[ID], Table4[Deals], "Not Found", 0)</f>
        <v>7</v>
      </c>
      <c r="S580" s="16">
        <f>_xlfn.XLOOKUP(CustomerCombinedCleaned[[#This Row],[ID]], Table4[ID], Table4[Website], "Not Found", 0)</f>
        <v>7</v>
      </c>
      <c r="T580" s="16">
        <f>_xlfn.XLOOKUP(CustomerCombinedCleaned[[#This Row],[ID]], Table4[ID], Table4[Catalog], "Not Found", 0)</f>
        <v>3</v>
      </c>
      <c r="U580" s="16">
        <f>_xlfn.XLOOKUP(CustomerCombinedCleaned[[#This Row],[ID]], Table4[ID], Table4[Store], "Not Found", 0)</f>
        <v>4</v>
      </c>
      <c r="V580" s="16">
        <f>_xlfn.XLOOKUP(CustomerCombinedCleaned[[#This Row],[ID]], Table4[ID], Table4[Visits], "Not Found", 0)</f>
        <v>8</v>
      </c>
      <c r="W580" s="16">
        <f>_xlfn.XLOOKUP(CustomerCombinedCleaned[[#This Row],[ID]], Table2[ID],Table2[Complaint], "Not Found", 0 )</f>
        <v>0</v>
      </c>
      <c r="X580" s="16">
        <f>_xlfn.XLOOKUP(CustomerCombinedCleaned[[#This Row],[ID]], Table2[ID],Table2[Pilot], "Not Found", 0 )</f>
        <v>0</v>
      </c>
      <c r="Y580" s="16">
        <f>_xlfn.XLOOKUP(CustomerCombinedCleaned[[#This Row],[ID]], Table2[ID],Table2[MC1], "Not Found", 0 )</f>
        <v>0</v>
      </c>
      <c r="Z580" s="16">
        <f>_xlfn.XLOOKUP(CustomerCombinedCleaned[[#This Row],[ID]], Table2[ID],Table2[MC2], "Not Found", 0 )</f>
        <v>0</v>
      </c>
      <c r="AA580" s="16">
        <f>_xlfn.XLOOKUP(CustomerCombinedCleaned[[#This Row],[ID]], Table2[ID],Table2[MC3], "Not Found", 0 )</f>
        <v>0</v>
      </c>
      <c r="AB580" s="16">
        <f>_xlfn.XLOOKUP(CustomerCombinedCleaned[[#This Row],[ID]], Table2[ID],Table2[MC4], "Not Found", 0 )</f>
        <v>0</v>
      </c>
      <c r="AC580" s="16">
        <f>_xlfn.XLOOKUP(CustomerCombinedCleaned[[#This Row],[ID]], Table2[ID],Table2[MC5], "Not Found", 0 )</f>
        <v>0</v>
      </c>
    </row>
    <row r="581" spans="1:29" x14ac:dyDescent="0.3">
      <c r="A581" s="18">
        <v>1070</v>
      </c>
      <c r="B581" s="16">
        <v>140246</v>
      </c>
      <c r="C581" s="16">
        <v>1</v>
      </c>
      <c r="D581" s="16">
        <v>0</v>
      </c>
      <c r="E581" s="16">
        <v>43</v>
      </c>
      <c r="F581" s="17" t="s">
        <v>5</v>
      </c>
      <c r="G581" s="17" t="s">
        <v>11</v>
      </c>
      <c r="H581" s="3" t="s">
        <v>340</v>
      </c>
      <c r="I581" s="5" t="s">
        <v>438</v>
      </c>
      <c r="J581" s="16">
        <f>_xlfn.XLOOKUP(CustomerCombinedCleaned[[#This Row],[ID]], Table4[ID], Table4[Recency], "Not Found", 0)</f>
        <v>68</v>
      </c>
      <c r="K581" s="16">
        <f>_xlfn.XLOOKUP(CustomerCombinedCleaned[[#This Row],[ID]], Table4[ID], Table4[Teas], "Not Found", 0)</f>
        <v>7</v>
      </c>
      <c r="L581" s="16">
        <f>_xlfn.XLOOKUP(CustomerCombinedCleaned[[#This Row],[ID]], Table4[ID], Table4[Fruits], "Not Found", 0)</f>
        <v>3</v>
      </c>
      <c r="M581" s="16">
        <f>_xlfn.XLOOKUP(CustomerCombinedCleaned[[#This Row],[ID]], Table4[ID], Table4[Meats], "Not Found", 0)</f>
        <v>21</v>
      </c>
      <c r="N581" s="16">
        <f>_xlfn.XLOOKUP(CustomerCombinedCleaned[[#This Row],[ID]], Table4[ID], Table4[Seafood], "Not Found", 0)</f>
        <v>7</v>
      </c>
      <c r="O581" s="16">
        <f>_xlfn.XLOOKUP(CustomerCombinedCleaned[[#This Row],[ID]], Table4[ID], Table4[Sweets], "Not Found", 0)</f>
        <v>3</v>
      </c>
      <c r="P581" s="16">
        <f>_xlfn.XLOOKUP(CustomerCombinedCleaned[[#This Row],[ID]], Table4[ID], Table4[Premium], "Not Found", 0)</f>
        <v>3</v>
      </c>
      <c r="Q581" s="16">
        <f>_xlfn.XLOOKUP(CustomerCombinedCleaned[[#This Row],[ID]], Table4[ID], Table4[Regular], "Not Found", 0)</f>
        <v>38</v>
      </c>
      <c r="R581" s="16">
        <f>_xlfn.XLOOKUP(CustomerCombinedCleaned[[#This Row],[ID]], Table4[ID], Table4[Deals], "Not Found", 0)</f>
        <v>1</v>
      </c>
      <c r="S581" s="16">
        <f>_xlfn.XLOOKUP(CustomerCombinedCleaned[[#This Row],[ID]], Table4[ID], Table4[Website], "Not Found", 0)</f>
        <v>1</v>
      </c>
      <c r="T581" s="16">
        <f>_xlfn.XLOOKUP(CustomerCombinedCleaned[[#This Row],[ID]], Table4[ID], Table4[Catalog], "Not Found", 0)</f>
        <v>0</v>
      </c>
      <c r="U581" s="16">
        <f>_xlfn.XLOOKUP(CustomerCombinedCleaned[[#This Row],[ID]], Table4[ID], Table4[Store], "Not Found", 0)</f>
        <v>2</v>
      </c>
      <c r="V581" s="16">
        <f>_xlfn.XLOOKUP(CustomerCombinedCleaned[[#This Row],[ID]], Table4[ID], Table4[Visits], "Not Found", 0)</f>
        <v>6</v>
      </c>
      <c r="W581" s="16">
        <f>_xlfn.XLOOKUP(CustomerCombinedCleaned[[#This Row],[ID]], Table2[ID],Table2[Complaint], "Not Found", 0 )</f>
        <v>0</v>
      </c>
      <c r="X581" s="16">
        <f>_xlfn.XLOOKUP(CustomerCombinedCleaned[[#This Row],[ID]], Table2[ID],Table2[Pilot], "Not Found", 0 )</f>
        <v>0</v>
      </c>
      <c r="Y581" s="16">
        <f>_xlfn.XLOOKUP(CustomerCombinedCleaned[[#This Row],[ID]], Table2[ID],Table2[MC1], "Not Found", 0 )</f>
        <v>0</v>
      </c>
      <c r="Z581" s="16">
        <f>_xlfn.XLOOKUP(CustomerCombinedCleaned[[#This Row],[ID]], Table2[ID],Table2[MC2], "Not Found", 0 )</f>
        <v>0</v>
      </c>
      <c r="AA581" s="16">
        <f>_xlfn.XLOOKUP(CustomerCombinedCleaned[[#This Row],[ID]], Table2[ID],Table2[MC3], "Not Found", 0 )</f>
        <v>0</v>
      </c>
      <c r="AB581" s="16">
        <f>_xlfn.XLOOKUP(CustomerCombinedCleaned[[#This Row],[ID]], Table2[ID],Table2[MC4], "Not Found", 0 )</f>
        <v>0</v>
      </c>
      <c r="AC581" s="16">
        <f>_xlfn.XLOOKUP(CustomerCombinedCleaned[[#This Row],[ID]], Table2[ID],Table2[MC5], "Not Found", 0 )</f>
        <v>0</v>
      </c>
    </row>
    <row r="582" spans="1:29" x14ac:dyDescent="0.3">
      <c r="A582" s="18">
        <v>1929</v>
      </c>
      <c r="B582" s="16">
        <v>139771</v>
      </c>
      <c r="C582" s="16">
        <v>1</v>
      </c>
      <c r="D582" s="16">
        <v>0</v>
      </c>
      <c r="E582" s="16">
        <v>43</v>
      </c>
      <c r="F582" s="17" t="s">
        <v>8</v>
      </c>
      <c r="G582" s="17" t="s">
        <v>11</v>
      </c>
      <c r="H582" s="3" t="s">
        <v>661</v>
      </c>
      <c r="I582" s="5" t="s">
        <v>435</v>
      </c>
      <c r="J582" s="16">
        <f>_xlfn.XLOOKUP(CustomerCombinedCleaned[[#This Row],[ID]], Table4[ID], Table4[Recency], "Not Found", 0)</f>
        <v>92</v>
      </c>
      <c r="K582" s="16">
        <f>_xlfn.XLOOKUP(CustomerCombinedCleaned[[#This Row],[ID]], Table4[ID], Table4[Teas], "Not Found", 0)</f>
        <v>21</v>
      </c>
      <c r="L582" s="16">
        <f>_xlfn.XLOOKUP(CustomerCombinedCleaned[[#This Row],[ID]], Table4[ID], Table4[Fruits], "Not Found", 0)</f>
        <v>7</v>
      </c>
      <c r="M582" s="16">
        <f>_xlfn.XLOOKUP(CustomerCombinedCleaned[[#This Row],[ID]], Table4[ID], Table4[Meats], "Not Found", 0)</f>
        <v>63</v>
      </c>
      <c r="N582" s="16">
        <f>_xlfn.XLOOKUP(CustomerCombinedCleaned[[#This Row],[ID]], Table4[ID], Table4[Seafood], "Not Found", 0)</f>
        <v>7</v>
      </c>
      <c r="O582" s="16">
        <f>_xlfn.XLOOKUP(CustomerCombinedCleaned[[#This Row],[ID]], Table4[ID], Table4[Sweets], "Not Found", 0)</f>
        <v>28</v>
      </c>
      <c r="P582" s="16">
        <f>_xlfn.XLOOKUP(CustomerCombinedCleaned[[#This Row],[ID]], Table4[ID], Table4[Premium], "Not Found", 0)</f>
        <v>49</v>
      </c>
      <c r="Q582" s="16">
        <f>_xlfn.XLOOKUP(CustomerCombinedCleaned[[#This Row],[ID]], Table4[ID], Table4[Regular], "Not Found", 0)</f>
        <v>77</v>
      </c>
      <c r="R582" s="16">
        <f>_xlfn.XLOOKUP(CustomerCombinedCleaned[[#This Row],[ID]], Table4[ID], Table4[Deals], "Not Found", 0)</f>
        <v>1</v>
      </c>
      <c r="S582" s="16">
        <f>_xlfn.XLOOKUP(CustomerCombinedCleaned[[#This Row],[ID]], Table4[ID], Table4[Website], "Not Found", 0)</f>
        <v>2</v>
      </c>
      <c r="T582" s="16">
        <f>_xlfn.XLOOKUP(CustomerCombinedCleaned[[#This Row],[ID]], Table4[ID], Table4[Catalog], "Not Found", 0)</f>
        <v>0</v>
      </c>
      <c r="U582" s="16">
        <f>_xlfn.XLOOKUP(CustomerCombinedCleaned[[#This Row],[ID]], Table4[ID], Table4[Store], "Not Found", 0)</f>
        <v>3</v>
      </c>
      <c r="V582" s="16">
        <f>_xlfn.XLOOKUP(CustomerCombinedCleaned[[#This Row],[ID]], Table4[ID], Table4[Visits], "Not Found", 0)</f>
        <v>4</v>
      </c>
      <c r="W582" s="16">
        <f>_xlfn.XLOOKUP(CustomerCombinedCleaned[[#This Row],[ID]], Table2[ID],Table2[Complaint], "Not Found", 0 )</f>
        <v>0</v>
      </c>
      <c r="X582" s="16">
        <f>_xlfn.XLOOKUP(CustomerCombinedCleaned[[#This Row],[ID]], Table2[ID],Table2[Pilot], "Not Found", 0 )</f>
        <v>0</v>
      </c>
      <c r="Y582" s="16">
        <f>_xlfn.XLOOKUP(CustomerCombinedCleaned[[#This Row],[ID]], Table2[ID],Table2[MC1], "Not Found", 0 )</f>
        <v>0</v>
      </c>
      <c r="Z582" s="16">
        <f>_xlfn.XLOOKUP(CustomerCombinedCleaned[[#This Row],[ID]], Table2[ID],Table2[MC2], "Not Found", 0 )</f>
        <v>0</v>
      </c>
      <c r="AA582" s="16">
        <f>_xlfn.XLOOKUP(CustomerCombinedCleaned[[#This Row],[ID]], Table2[ID],Table2[MC3], "Not Found", 0 )</f>
        <v>0</v>
      </c>
      <c r="AB582" s="16">
        <f>_xlfn.XLOOKUP(CustomerCombinedCleaned[[#This Row],[ID]], Table2[ID],Table2[MC4], "Not Found", 0 )</f>
        <v>0</v>
      </c>
      <c r="AC582" s="16">
        <f>_xlfn.XLOOKUP(CustomerCombinedCleaned[[#This Row],[ID]], Table2[ID],Table2[MC5], "Not Found", 0 )</f>
        <v>0</v>
      </c>
    </row>
    <row r="583" spans="1:29" x14ac:dyDescent="0.3">
      <c r="A583" s="18">
        <v>2303</v>
      </c>
      <c r="B583" s="16">
        <v>137774</v>
      </c>
      <c r="C583" s="16">
        <v>2</v>
      </c>
      <c r="D583" s="16">
        <v>0</v>
      </c>
      <c r="E583" s="16">
        <v>43</v>
      </c>
      <c r="F583" s="17" t="s">
        <v>7</v>
      </c>
      <c r="G583" s="17" t="s">
        <v>11</v>
      </c>
      <c r="H583" s="3" t="s">
        <v>699</v>
      </c>
      <c r="I583" s="5" t="s">
        <v>434</v>
      </c>
      <c r="J583" s="16">
        <f>_xlfn.XLOOKUP(CustomerCombinedCleaned[[#This Row],[ID]], Table4[ID], Table4[Recency], "Not Found", 0)</f>
        <v>28</v>
      </c>
      <c r="K583" s="16">
        <f>_xlfn.XLOOKUP(CustomerCombinedCleaned[[#This Row],[ID]], Table4[ID], Table4[Teas], "Not Found", 0)</f>
        <v>631</v>
      </c>
      <c r="L583" s="16">
        <f>_xlfn.XLOOKUP(CustomerCombinedCleaned[[#This Row],[ID]], Table4[ID], Table4[Fruits], "Not Found", 0)</f>
        <v>29</v>
      </c>
      <c r="M583" s="16">
        <f>_xlfn.XLOOKUP(CustomerCombinedCleaned[[#This Row],[ID]], Table4[ID], Table4[Meats], "Not Found", 0)</f>
        <v>390</v>
      </c>
      <c r="N583" s="16">
        <f>_xlfn.XLOOKUP(CustomerCombinedCleaned[[#This Row],[ID]], Table4[ID], Table4[Seafood], "Not Found", 0)</f>
        <v>26</v>
      </c>
      <c r="O583" s="16">
        <f>_xlfn.XLOOKUP(CustomerCombinedCleaned[[#This Row],[ID]], Table4[ID], Table4[Sweets], "Not Found", 0)</f>
        <v>7</v>
      </c>
      <c r="P583" s="16">
        <f>_xlfn.XLOOKUP(CustomerCombinedCleaned[[#This Row],[ID]], Table4[ID], Table4[Premium], "Not Found", 0)</f>
        <v>642</v>
      </c>
      <c r="Q583" s="16">
        <f>_xlfn.XLOOKUP(CustomerCombinedCleaned[[#This Row],[ID]], Table4[ID], Table4[Regular], "Not Found", 0)</f>
        <v>441</v>
      </c>
      <c r="R583" s="16">
        <f>_xlfn.XLOOKUP(CustomerCombinedCleaned[[#This Row],[ID]], Table4[ID], Table4[Deals], "Not Found", 0)</f>
        <v>4</v>
      </c>
      <c r="S583" s="16">
        <f>_xlfn.XLOOKUP(CustomerCombinedCleaned[[#This Row],[ID]], Table4[ID], Table4[Website], "Not Found", 0)</f>
        <v>7</v>
      </c>
      <c r="T583" s="16">
        <f>_xlfn.XLOOKUP(CustomerCombinedCleaned[[#This Row],[ID]], Table4[ID], Table4[Catalog], "Not Found", 0)</f>
        <v>2</v>
      </c>
      <c r="U583" s="16">
        <f>_xlfn.XLOOKUP(CustomerCombinedCleaned[[#This Row],[ID]], Table4[ID], Table4[Store], "Not Found", 0)</f>
        <v>3</v>
      </c>
      <c r="V583" s="16">
        <f>_xlfn.XLOOKUP(CustomerCombinedCleaned[[#This Row],[ID]], Table4[ID], Table4[Visits], "Not Found", 0)</f>
        <v>9</v>
      </c>
      <c r="W583" s="16">
        <f>_xlfn.XLOOKUP(CustomerCombinedCleaned[[#This Row],[ID]], Table2[ID],Table2[Complaint], "Not Found", 0 )</f>
        <v>1</v>
      </c>
      <c r="X583" s="16">
        <f>_xlfn.XLOOKUP(CustomerCombinedCleaned[[#This Row],[ID]], Table2[ID],Table2[Pilot], "Not Found", 0 )</f>
        <v>1</v>
      </c>
      <c r="Y583" s="16">
        <f>_xlfn.XLOOKUP(CustomerCombinedCleaned[[#This Row],[ID]], Table2[ID],Table2[MC1], "Not Found", 0 )</f>
        <v>0</v>
      </c>
      <c r="Z583" s="16">
        <f>_xlfn.XLOOKUP(CustomerCombinedCleaned[[#This Row],[ID]], Table2[ID],Table2[MC2], "Not Found", 0 )</f>
        <v>0</v>
      </c>
      <c r="AA583" s="16">
        <f>_xlfn.XLOOKUP(CustomerCombinedCleaned[[#This Row],[ID]], Table2[ID],Table2[MC3], "Not Found", 0 )</f>
        <v>1</v>
      </c>
      <c r="AB583" s="16">
        <f>_xlfn.XLOOKUP(CustomerCombinedCleaned[[#This Row],[ID]], Table2[ID],Table2[MC4], "Not Found", 0 )</f>
        <v>0</v>
      </c>
      <c r="AC583" s="16">
        <f>_xlfn.XLOOKUP(CustomerCombinedCleaned[[#This Row],[ID]], Table2[ID],Table2[MC5], "Not Found", 0 )</f>
        <v>0</v>
      </c>
    </row>
    <row r="584" spans="1:29" x14ac:dyDescent="0.3">
      <c r="A584" s="18">
        <v>2772</v>
      </c>
      <c r="B584" s="16">
        <v>136273</v>
      </c>
      <c r="C584" s="16">
        <v>1</v>
      </c>
      <c r="D584" s="16">
        <v>0</v>
      </c>
      <c r="E584" s="16">
        <v>43</v>
      </c>
      <c r="F584" s="17" t="s">
        <v>7</v>
      </c>
      <c r="G584" s="17" t="s">
        <v>12</v>
      </c>
      <c r="H584" s="3" t="s">
        <v>66</v>
      </c>
      <c r="I584" s="5" t="s">
        <v>436</v>
      </c>
      <c r="J584" s="16">
        <f>_xlfn.XLOOKUP(CustomerCombinedCleaned[[#This Row],[ID]], Table4[ID], Table4[Recency], "Not Found", 0)</f>
        <v>80</v>
      </c>
      <c r="K584" s="16">
        <f>_xlfn.XLOOKUP(CustomerCombinedCleaned[[#This Row],[ID]], Table4[ID], Table4[Teas], "Not Found", 0)</f>
        <v>109</v>
      </c>
      <c r="L584" s="16">
        <f>_xlfn.XLOOKUP(CustomerCombinedCleaned[[#This Row],[ID]], Table4[ID], Table4[Fruits], "Not Found", 0)</f>
        <v>11</v>
      </c>
      <c r="M584" s="16">
        <f>_xlfn.XLOOKUP(CustomerCombinedCleaned[[#This Row],[ID]], Table4[ID], Table4[Meats], "Not Found", 0)</f>
        <v>113</v>
      </c>
      <c r="N584" s="16">
        <f>_xlfn.XLOOKUP(CustomerCombinedCleaned[[#This Row],[ID]], Table4[ID], Table4[Seafood], "Not Found", 0)</f>
        <v>11</v>
      </c>
      <c r="O584" s="16">
        <f>_xlfn.XLOOKUP(CustomerCombinedCleaned[[#This Row],[ID]], Table4[ID], Table4[Sweets], "Not Found", 0)</f>
        <v>8</v>
      </c>
      <c r="P584" s="16">
        <f>_xlfn.XLOOKUP(CustomerCombinedCleaned[[#This Row],[ID]], Table4[ID], Table4[Premium], "Not Found", 0)</f>
        <v>34</v>
      </c>
      <c r="Q584" s="16">
        <f>_xlfn.XLOOKUP(CustomerCombinedCleaned[[#This Row],[ID]], Table4[ID], Table4[Regular], "Not Found", 0)</f>
        <v>218</v>
      </c>
      <c r="R584" s="16">
        <f>_xlfn.XLOOKUP(CustomerCombinedCleaned[[#This Row],[ID]], Table4[ID], Table4[Deals], "Not Found", 0)</f>
        <v>2</v>
      </c>
      <c r="S584" s="16">
        <f>_xlfn.XLOOKUP(CustomerCombinedCleaned[[#This Row],[ID]], Table4[ID], Table4[Website], "Not Found", 0)</f>
        <v>3</v>
      </c>
      <c r="T584" s="16">
        <f>_xlfn.XLOOKUP(CustomerCombinedCleaned[[#This Row],[ID]], Table4[ID], Table4[Catalog], "Not Found", 0)</f>
        <v>0</v>
      </c>
      <c r="U584" s="16">
        <f>_xlfn.XLOOKUP(CustomerCombinedCleaned[[#This Row],[ID]], Table4[ID], Table4[Store], "Not Found", 0)</f>
        <v>3</v>
      </c>
      <c r="V584" s="16">
        <f>_xlfn.XLOOKUP(CustomerCombinedCleaned[[#This Row],[ID]], Table4[ID], Table4[Visits], "Not Found", 0)</f>
        <v>6</v>
      </c>
      <c r="W584" s="16">
        <f>_xlfn.XLOOKUP(CustomerCombinedCleaned[[#This Row],[ID]], Table2[ID],Table2[Complaint], "Not Found", 0 )</f>
        <v>0</v>
      </c>
      <c r="X584" s="16">
        <f>_xlfn.XLOOKUP(CustomerCombinedCleaned[[#This Row],[ID]], Table2[ID],Table2[Pilot], "Not Found", 0 )</f>
        <v>0</v>
      </c>
      <c r="Y584" s="16">
        <f>_xlfn.XLOOKUP(CustomerCombinedCleaned[[#This Row],[ID]], Table2[ID],Table2[MC1], "Not Found", 0 )</f>
        <v>0</v>
      </c>
      <c r="Z584" s="16">
        <f>_xlfn.XLOOKUP(CustomerCombinedCleaned[[#This Row],[ID]], Table2[ID],Table2[MC2], "Not Found", 0 )</f>
        <v>0</v>
      </c>
      <c r="AA584" s="16">
        <f>_xlfn.XLOOKUP(CustomerCombinedCleaned[[#This Row],[ID]], Table2[ID],Table2[MC3], "Not Found", 0 )</f>
        <v>0</v>
      </c>
      <c r="AB584" s="16">
        <f>_xlfn.XLOOKUP(CustomerCombinedCleaned[[#This Row],[ID]], Table2[ID],Table2[MC4], "Not Found", 0 )</f>
        <v>0</v>
      </c>
      <c r="AC584" s="16">
        <f>_xlfn.XLOOKUP(CustomerCombinedCleaned[[#This Row],[ID]], Table2[ID],Table2[MC5], "Not Found", 0 )</f>
        <v>0</v>
      </c>
    </row>
    <row r="585" spans="1:29" x14ac:dyDescent="0.3">
      <c r="A585" s="18">
        <v>1049</v>
      </c>
      <c r="B585" s="16">
        <v>135790</v>
      </c>
      <c r="C585" s="16">
        <v>1</v>
      </c>
      <c r="D585" s="16">
        <v>0</v>
      </c>
      <c r="E585" s="16">
        <v>43</v>
      </c>
      <c r="F585" s="17" t="s">
        <v>7</v>
      </c>
      <c r="G585" s="17" t="s">
        <v>11</v>
      </c>
      <c r="H585" s="3" t="s">
        <v>564</v>
      </c>
      <c r="I585" s="5" t="s">
        <v>434</v>
      </c>
      <c r="J585" s="16">
        <f>_xlfn.XLOOKUP(CustomerCombinedCleaned[[#This Row],[ID]], Table4[ID], Table4[Recency], "Not Found", 0)</f>
        <v>54</v>
      </c>
      <c r="K585" s="16">
        <f>_xlfn.XLOOKUP(CustomerCombinedCleaned[[#This Row],[ID]], Table4[ID], Table4[Teas], "Not Found", 0)</f>
        <v>46</v>
      </c>
      <c r="L585" s="16">
        <f>_xlfn.XLOOKUP(CustomerCombinedCleaned[[#This Row],[ID]], Table4[ID], Table4[Fruits], "Not Found", 0)</f>
        <v>23</v>
      </c>
      <c r="M585" s="16">
        <f>_xlfn.XLOOKUP(CustomerCombinedCleaned[[#This Row],[ID]], Table4[ID], Table4[Meats], "Not Found", 0)</f>
        <v>76</v>
      </c>
      <c r="N585" s="16">
        <f>_xlfn.XLOOKUP(CustomerCombinedCleaned[[#This Row],[ID]], Table4[ID], Table4[Seafood], "Not Found", 0)</f>
        <v>114</v>
      </c>
      <c r="O585" s="16">
        <f>_xlfn.XLOOKUP(CustomerCombinedCleaned[[#This Row],[ID]], Table4[ID], Table4[Sweets], "Not Found", 0)</f>
        <v>4</v>
      </c>
      <c r="P585" s="16">
        <f>_xlfn.XLOOKUP(CustomerCombinedCleaned[[#This Row],[ID]], Table4[ID], Table4[Premium], "Not Found", 0)</f>
        <v>11</v>
      </c>
      <c r="Q585" s="16">
        <f>_xlfn.XLOOKUP(CustomerCombinedCleaned[[#This Row],[ID]], Table4[ID], Table4[Regular], "Not Found", 0)</f>
        <v>250</v>
      </c>
      <c r="R585" s="16">
        <f>_xlfn.XLOOKUP(CustomerCombinedCleaned[[#This Row],[ID]], Table4[ID], Table4[Deals], "Not Found", 0)</f>
        <v>2</v>
      </c>
      <c r="S585" s="16">
        <f>_xlfn.XLOOKUP(CustomerCombinedCleaned[[#This Row],[ID]], Table4[ID], Table4[Website], "Not Found", 0)</f>
        <v>2</v>
      </c>
      <c r="T585" s="16">
        <f>_xlfn.XLOOKUP(CustomerCombinedCleaned[[#This Row],[ID]], Table4[ID], Table4[Catalog], "Not Found", 0)</f>
        <v>0</v>
      </c>
      <c r="U585" s="16">
        <f>_xlfn.XLOOKUP(CustomerCombinedCleaned[[#This Row],[ID]], Table4[ID], Table4[Store], "Not Found", 0)</f>
        <v>3</v>
      </c>
      <c r="V585" s="16">
        <f>_xlfn.XLOOKUP(CustomerCombinedCleaned[[#This Row],[ID]], Table4[ID], Table4[Visits], "Not Found", 0)</f>
        <v>7</v>
      </c>
      <c r="W585" s="16">
        <f>_xlfn.XLOOKUP(CustomerCombinedCleaned[[#This Row],[ID]], Table2[ID],Table2[Complaint], "Not Found", 0 )</f>
        <v>0</v>
      </c>
      <c r="X585" s="16">
        <f>_xlfn.XLOOKUP(CustomerCombinedCleaned[[#This Row],[ID]], Table2[ID],Table2[Pilot], "Not Found", 0 )</f>
        <v>0</v>
      </c>
      <c r="Y585" s="16">
        <f>_xlfn.XLOOKUP(CustomerCombinedCleaned[[#This Row],[ID]], Table2[ID],Table2[MC1], "Not Found", 0 )</f>
        <v>0</v>
      </c>
      <c r="Z585" s="16">
        <f>_xlfn.XLOOKUP(CustomerCombinedCleaned[[#This Row],[ID]], Table2[ID],Table2[MC2], "Not Found", 0 )</f>
        <v>0</v>
      </c>
      <c r="AA585" s="16">
        <f>_xlfn.XLOOKUP(CustomerCombinedCleaned[[#This Row],[ID]], Table2[ID],Table2[MC3], "Not Found", 0 )</f>
        <v>0</v>
      </c>
      <c r="AB585" s="16">
        <f>_xlfn.XLOOKUP(CustomerCombinedCleaned[[#This Row],[ID]], Table2[ID],Table2[MC4], "Not Found", 0 )</f>
        <v>0</v>
      </c>
      <c r="AC585" s="16">
        <f>_xlfn.XLOOKUP(CustomerCombinedCleaned[[#This Row],[ID]], Table2[ID],Table2[MC5], "Not Found", 0 )</f>
        <v>0</v>
      </c>
    </row>
    <row r="586" spans="1:29" x14ac:dyDescent="0.3">
      <c r="A586" s="18">
        <v>1611</v>
      </c>
      <c r="B586" s="16">
        <v>134487</v>
      </c>
      <c r="C586" s="16">
        <v>1</v>
      </c>
      <c r="D586" s="16">
        <v>1</v>
      </c>
      <c r="E586" s="16">
        <v>43</v>
      </c>
      <c r="F586" s="17" t="s">
        <v>5</v>
      </c>
      <c r="G586" s="17" t="s">
        <v>13</v>
      </c>
      <c r="H586" s="3" t="s">
        <v>781</v>
      </c>
      <c r="I586" s="5" t="s">
        <v>435</v>
      </c>
      <c r="J586" s="16">
        <f>_xlfn.XLOOKUP(CustomerCombinedCleaned[[#This Row],[ID]], Table4[ID], Table4[Recency], "Not Found", 0)</f>
        <v>94</v>
      </c>
      <c r="K586" s="16">
        <f>_xlfn.XLOOKUP(CustomerCombinedCleaned[[#This Row],[ID]], Table4[ID], Table4[Teas], "Not Found", 0)</f>
        <v>74</v>
      </c>
      <c r="L586" s="16">
        <f>_xlfn.XLOOKUP(CustomerCombinedCleaned[[#This Row],[ID]], Table4[ID], Table4[Fruits], "Not Found", 0)</f>
        <v>70</v>
      </c>
      <c r="M586" s="16">
        <f>_xlfn.XLOOKUP(CustomerCombinedCleaned[[#This Row],[ID]], Table4[ID], Table4[Meats], "Not Found", 0)</f>
        <v>129</v>
      </c>
      <c r="N586" s="16">
        <f>_xlfn.XLOOKUP(CustomerCombinedCleaned[[#This Row],[ID]], Table4[ID], Table4[Seafood], "Not Found", 0)</f>
        <v>94</v>
      </c>
      <c r="O586" s="16">
        <f>_xlfn.XLOOKUP(CustomerCombinedCleaned[[#This Row],[ID]], Table4[ID], Table4[Sweets], "Not Found", 0)</f>
        <v>4</v>
      </c>
      <c r="P586" s="16">
        <f>_xlfn.XLOOKUP(CustomerCombinedCleaned[[#This Row],[ID]], Table4[ID], Table4[Premium], "Not Found", 0)</f>
        <v>31</v>
      </c>
      <c r="Q586" s="16">
        <f>_xlfn.XLOOKUP(CustomerCombinedCleaned[[#This Row],[ID]], Table4[ID], Table4[Regular], "Not Found", 0)</f>
        <v>339</v>
      </c>
      <c r="R586" s="16">
        <f>_xlfn.XLOOKUP(CustomerCombinedCleaned[[#This Row],[ID]], Table4[ID], Table4[Deals], "Not Found", 0)</f>
        <v>3</v>
      </c>
      <c r="S586" s="16">
        <f>_xlfn.XLOOKUP(CustomerCombinedCleaned[[#This Row],[ID]], Table4[ID], Table4[Website], "Not Found", 0)</f>
        <v>3</v>
      </c>
      <c r="T586" s="16">
        <f>_xlfn.XLOOKUP(CustomerCombinedCleaned[[#This Row],[ID]], Table4[ID], Table4[Catalog], "Not Found", 0)</f>
        <v>0</v>
      </c>
      <c r="U586" s="16">
        <f>_xlfn.XLOOKUP(CustomerCombinedCleaned[[#This Row],[ID]], Table4[ID], Table4[Store], "Not Found", 0)</f>
        <v>3</v>
      </c>
      <c r="V586" s="16">
        <f>_xlfn.XLOOKUP(CustomerCombinedCleaned[[#This Row],[ID]], Table4[ID], Table4[Visits], "Not Found", 0)</f>
        <v>9</v>
      </c>
      <c r="W586" s="16">
        <f>_xlfn.XLOOKUP(CustomerCombinedCleaned[[#This Row],[ID]], Table2[ID],Table2[Complaint], "Not Found", 0 )</f>
        <v>0</v>
      </c>
      <c r="X586" s="16">
        <f>_xlfn.XLOOKUP(CustomerCombinedCleaned[[#This Row],[ID]], Table2[ID],Table2[Pilot], "Not Found", 0 )</f>
        <v>0</v>
      </c>
      <c r="Y586" s="16">
        <f>_xlfn.XLOOKUP(CustomerCombinedCleaned[[#This Row],[ID]], Table2[ID],Table2[MC1], "Not Found", 0 )</f>
        <v>0</v>
      </c>
      <c r="Z586" s="16">
        <f>_xlfn.XLOOKUP(CustomerCombinedCleaned[[#This Row],[ID]], Table2[ID],Table2[MC2], "Not Found", 0 )</f>
        <v>0</v>
      </c>
      <c r="AA586" s="16">
        <f>_xlfn.XLOOKUP(CustomerCombinedCleaned[[#This Row],[ID]], Table2[ID],Table2[MC3], "Not Found", 0 )</f>
        <v>0</v>
      </c>
      <c r="AB586" s="16">
        <f>_xlfn.XLOOKUP(CustomerCombinedCleaned[[#This Row],[ID]], Table2[ID],Table2[MC4], "Not Found", 0 )</f>
        <v>0</v>
      </c>
      <c r="AC586" s="16">
        <f>_xlfn.XLOOKUP(CustomerCombinedCleaned[[#This Row],[ID]], Table2[ID],Table2[MC5], "Not Found", 0 )</f>
        <v>0</v>
      </c>
    </row>
    <row r="587" spans="1:29" x14ac:dyDescent="0.3">
      <c r="A587" s="18">
        <v>2447</v>
      </c>
      <c r="B587" s="16">
        <v>134380</v>
      </c>
      <c r="C587" s="16">
        <v>1</v>
      </c>
      <c r="D587" s="16">
        <v>0</v>
      </c>
      <c r="E587" s="16">
        <v>43</v>
      </c>
      <c r="F587" s="17" t="s">
        <v>6</v>
      </c>
      <c r="G587" s="17" t="s">
        <v>11</v>
      </c>
      <c r="H587" s="3" t="s">
        <v>724</v>
      </c>
      <c r="I587" s="5" t="s">
        <v>434</v>
      </c>
      <c r="J587" s="16">
        <f>_xlfn.XLOOKUP(CustomerCombinedCleaned[[#This Row],[ID]], Table4[ID], Table4[Recency], "Not Found", 0)</f>
        <v>68</v>
      </c>
      <c r="K587" s="16">
        <f>_xlfn.XLOOKUP(CustomerCombinedCleaned[[#This Row],[ID]], Table4[ID], Table4[Teas], "Not Found", 0)</f>
        <v>281</v>
      </c>
      <c r="L587" s="16">
        <f>_xlfn.XLOOKUP(CustomerCombinedCleaned[[#This Row],[ID]], Table4[ID], Table4[Fruits], "Not Found", 0)</f>
        <v>27</v>
      </c>
      <c r="M587" s="16">
        <f>_xlfn.XLOOKUP(CustomerCombinedCleaned[[#This Row],[ID]], Table4[ID], Table4[Meats], "Not Found", 0)</f>
        <v>227</v>
      </c>
      <c r="N587" s="16">
        <f>_xlfn.XLOOKUP(CustomerCombinedCleaned[[#This Row],[ID]], Table4[ID], Table4[Seafood], "Not Found", 0)</f>
        <v>51</v>
      </c>
      <c r="O587" s="16">
        <f>_xlfn.XLOOKUP(CustomerCombinedCleaned[[#This Row],[ID]], Table4[ID], Table4[Sweets], "Not Found", 0)</f>
        <v>4</v>
      </c>
      <c r="P587" s="16">
        <f>_xlfn.XLOOKUP(CustomerCombinedCleaned[[#This Row],[ID]], Table4[ID], Table4[Premium], "Not Found", 0)</f>
        <v>94</v>
      </c>
      <c r="Q587" s="16">
        <f>_xlfn.XLOOKUP(CustomerCombinedCleaned[[#This Row],[ID]], Table4[ID], Table4[Regular], "Not Found", 0)</f>
        <v>496</v>
      </c>
      <c r="R587" s="16">
        <f>_xlfn.XLOOKUP(CustomerCombinedCleaned[[#This Row],[ID]], Table4[ID], Table4[Deals], "Not Found", 0)</f>
        <v>4</v>
      </c>
      <c r="S587" s="16">
        <f>_xlfn.XLOOKUP(CustomerCombinedCleaned[[#This Row],[ID]], Table4[ID], Table4[Website], "Not Found", 0)</f>
        <v>4</v>
      </c>
      <c r="T587" s="16">
        <f>_xlfn.XLOOKUP(CustomerCombinedCleaned[[#This Row],[ID]], Table4[ID], Table4[Catalog], "Not Found", 0)</f>
        <v>1</v>
      </c>
      <c r="U587" s="16">
        <f>_xlfn.XLOOKUP(CustomerCombinedCleaned[[#This Row],[ID]], Table4[ID], Table4[Store], "Not Found", 0)</f>
        <v>3</v>
      </c>
      <c r="V587" s="16">
        <f>_xlfn.XLOOKUP(CustomerCombinedCleaned[[#This Row],[ID]], Table4[ID], Table4[Visits], "Not Found", 0)</f>
        <v>8</v>
      </c>
      <c r="W587" s="16">
        <f>_xlfn.XLOOKUP(CustomerCombinedCleaned[[#This Row],[ID]], Table2[ID],Table2[Complaint], "Not Found", 0 )</f>
        <v>0</v>
      </c>
      <c r="X587" s="16">
        <f>_xlfn.XLOOKUP(CustomerCombinedCleaned[[#This Row],[ID]], Table2[ID],Table2[Pilot], "Not Found", 0 )</f>
        <v>0</v>
      </c>
      <c r="Y587" s="16">
        <f>_xlfn.XLOOKUP(CustomerCombinedCleaned[[#This Row],[ID]], Table2[ID],Table2[MC1], "Not Found", 0 )</f>
        <v>0</v>
      </c>
      <c r="Z587" s="16">
        <f>_xlfn.XLOOKUP(CustomerCombinedCleaned[[#This Row],[ID]], Table2[ID],Table2[MC2], "Not Found", 0 )</f>
        <v>0</v>
      </c>
      <c r="AA587" s="16">
        <f>_xlfn.XLOOKUP(CustomerCombinedCleaned[[#This Row],[ID]], Table2[ID],Table2[MC3], "Not Found", 0 )</f>
        <v>0</v>
      </c>
      <c r="AB587" s="16">
        <f>_xlfn.XLOOKUP(CustomerCombinedCleaned[[#This Row],[ID]], Table2[ID],Table2[MC4], "Not Found", 0 )</f>
        <v>0</v>
      </c>
      <c r="AC587" s="16">
        <f>_xlfn.XLOOKUP(CustomerCombinedCleaned[[#This Row],[ID]], Table2[ID],Table2[MC5], "Not Found", 0 )</f>
        <v>0</v>
      </c>
    </row>
    <row r="588" spans="1:29" x14ac:dyDescent="0.3">
      <c r="A588" s="18">
        <v>1577</v>
      </c>
      <c r="B588" s="16">
        <v>133178</v>
      </c>
      <c r="C588" s="16">
        <v>1</v>
      </c>
      <c r="D588" s="16">
        <v>0</v>
      </c>
      <c r="E588" s="16">
        <v>43</v>
      </c>
      <c r="F588" s="17" t="s">
        <v>8</v>
      </c>
      <c r="G588" s="17" t="s">
        <v>11</v>
      </c>
      <c r="H588" s="3" t="s">
        <v>697</v>
      </c>
      <c r="I588" s="5" t="s">
        <v>434</v>
      </c>
      <c r="J588" s="16">
        <f>_xlfn.XLOOKUP(CustomerCombinedCleaned[[#This Row],[ID]], Table4[ID], Table4[Recency], "Not Found", 0)</f>
        <v>9</v>
      </c>
      <c r="K588" s="16">
        <f>_xlfn.XLOOKUP(CustomerCombinedCleaned[[#This Row],[ID]], Table4[ID], Table4[Teas], "Not Found", 0)</f>
        <v>48</v>
      </c>
      <c r="L588" s="16">
        <f>_xlfn.XLOOKUP(CustomerCombinedCleaned[[#This Row],[ID]], Table4[ID], Table4[Fruits], "Not Found", 0)</f>
        <v>24</v>
      </c>
      <c r="M588" s="16">
        <f>_xlfn.XLOOKUP(CustomerCombinedCleaned[[#This Row],[ID]], Table4[ID], Table4[Meats], "Not Found", 0)</f>
        <v>8</v>
      </c>
      <c r="N588" s="16">
        <f>_xlfn.XLOOKUP(CustomerCombinedCleaned[[#This Row],[ID]], Table4[ID], Table4[Seafood], "Not Found", 0)</f>
        <v>44</v>
      </c>
      <c r="O588" s="16">
        <f>_xlfn.XLOOKUP(CustomerCombinedCleaned[[#This Row],[ID]], Table4[ID], Table4[Sweets], "Not Found", 0)</f>
        <v>8</v>
      </c>
      <c r="P588" s="16">
        <f>_xlfn.XLOOKUP(CustomerCombinedCleaned[[#This Row],[ID]], Table4[ID], Table4[Premium], "Not Found", 0)</f>
        <v>64</v>
      </c>
      <c r="Q588" s="16">
        <f>_xlfn.XLOOKUP(CustomerCombinedCleaned[[#This Row],[ID]], Table4[ID], Table4[Regular], "Not Found", 0)</f>
        <v>68</v>
      </c>
      <c r="R588" s="16">
        <f>_xlfn.XLOOKUP(CustomerCombinedCleaned[[#This Row],[ID]], Table4[ID], Table4[Deals], "Not Found", 0)</f>
        <v>1</v>
      </c>
      <c r="S588" s="16">
        <f>_xlfn.XLOOKUP(CustomerCombinedCleaned[[#This Row],[ID]], Table4[ID], Table4[Website], "Not Found", 0)</f>
        <v>1</v>
      </c>
      <c r="T588" s="16">
        <f>_xlfn.XLOOKUP(CustomerCombinedCleaned[[#This Row],[ID]], Table4[ID], Table4[Catalog], "Not Found", 0)</f>
        <v>0</v>
      </c>
      <c r="U588" s="16">
        <f>_xlfn.XLOOKUP(CustomerCombinedCleaned[[#This Row],[ID]], Table4[ID], Table4[Store], "Not Found", 0)</f>
        <v>3</v>
      </c>
      <c r="V588" s="16">
        <f>_xlfn.XLOOKUP(CustomerCombinedCleaned[[#This Row],[ID]], Table4[ID], Table4[Visits], "Not Found", 0)</f>
        <v>4</v>
      </c>
      <c r="W588" s="16">
        <f>_xlfn.XLOOKUP(CustomerCombinedCleaned[[#This Row],[ID]], Table2[ID],Table2[Complaint], "Not Found", 0 )</f>
        <v>0</v>
      </c>
      <c r="X588" s="16">
        <f>_xlfn.XLOOKUP(CustomerCombinedCleaned[[#This Row],[ID]], Table2[ID],Table2[Pilot], "Not Found", 0 )</f>
        <v>0</v>
      </c>
      <c r="Y588" s="16">
        <f>_xlfn.XLOOKUP(CustomerCombinedCleaned[[#This Row],[ID]], Table2[ID],Table2[MC1], "Not Found", 0 )</f>
        <v>0</v>
      </c>
      <c r="Z588" s="16">
        <f>_xlfn.XLOOKUP(CustomerCombinedCleaned[[#This Row],[ID]], Table2[ID],Table2[MC2], "Not Found", 0 )</f>
        <v>0</v>
      </c>
      <c r="AA588" s="16">
        <f>_xlfn.XLOOKUP(CustomerCombinedCleaned[[#This Row],[ID]], Table2[ID],Table2[MC3], "Not Found", 0 )</f>
        <v>0</v>
      </c>
      <c r="AB588" s="16">
        <f>_xlfn.XLOOKUP(CustomerCombinedCleaned[[#This Row],[ID]], Table2[ID],Table2[MC4], "Not Found", 0 )</f>
        <v>0</v>
      </c>
      <c r="AC588" s="16">
        <f>_xlfn.XLOOKUP(CustomerCombinedCleaned[[#This Row],[ID]], Table2[ID],Table2[MC5], "Not Found", 0 )</f>
        <v>0</v>
      </c>
    </row>
    <row r="589" spans="1:29" x14ac:dyDescent="0.3">
      <c r="A589" s="18">
        <v>2472</v>
      </c>
      <c r="B589" s="16">
        <v>132952</v>
      </c>
      <c r="C589" s="16">
        <v>1</v>
      </c>
      <c r="D589" s="16">
        <v>0</v>
      </c>
      <c r="E589" s="16">
        <v>43</v>
      </c>
      <c r="F589" s="17" t="s">
        <v>5</v>
      </c>
      <c r="G589" s="17" t="s">
        <v>11</v>
      </c>
      <c r="H589" s="3" t="s">
        <v>613</v>
      </c>
      <c r="I589" s="5" t="s">
        <v>436</v>
      </c>
      <c r="J589" s="16">
        <f>_xlfn.XLOOKUP(CustomerCombinedCleaned[[#This Row],[ID]], Table4[ID], Table4[Recency], "Not Found", 0)</f>
        <v>36</v>
      </c>
      <c r="K589" s="16">
        <f>_xlfn.XLOOKUP(CustomerCombinedCleaned[[#This Row],[ID]], Table4[ID], Table4[Teas], "Not Found", 0)</f>
        <v>153</v>
      </c>
      <c r="L589" s="16">
        <f>_xlfn.XLOOKUP(CustomerCombinedCleaned[[#This Row],[ID]], Table4[ID], Table4[Fruits], "Not Found", 0)</f>
        <v>0</v>
      </c>
      <c r="M589" s="16">
        <f>_xlfn.XLOOKUP(CustomerCombinedCleaned[[#This Row],[ID]], Table4[ID], Table4[Meats], "Not Found", 0)</f>
        <v>48</v>
      </c>
      <c r="N589" s="16">
        <f>_xlfn.XLOOKUP(CustomerCombinedCleaned[[#This Row],[ID]], Table4[ID], Table4[Seafood], "Not Found", 0)</f>
        <v>12</v>
      </c>
      <c r="O589" s="16">
        <f>_xlfn.XLOOKUP(CustomerCombinedCleaned[[#This Row],[ID]], Table4[ID], Table4[Sweets], "Not Found", 0)</f>
        <v>4</v>
      </c>
      <c r="P589" s="16">
        <f>_xlfn.XLOOKUP(CustomerCombinedCleaned[[#This Row],[ID]], Table4[ID], Table4[Premium], "Not Found", 0)</f>
        <v>4</v>
      </c>
      <c r="Q589" s="16">
        <f>_xlfn.XLOOKUP(CustomerCombinedCleaned[[#This Row],[ID]], Table4[ID], Table4[Regular], "Not Found", 0)</f>
        <v>214</v>
      </c>
      <c r="R589" s="16">
        <f>_xlfn.XLOOKUP(CustomerCombinedCleaned[[#This Row],[ID]], Table4[ID], Table4[Deals], "Not Found", 0)</f>
        <v>1</v>
      </c>
      <c r="S589" s="16">
        <f>_xlfn.XLOOKUP(CustomerCombinedCleaned[[#This Row],[ID]], Table4[ID], Table4[Website], "Not Found", 0)</f>
        <v>2</v>
      </c>
      <c r="T589" s="16">
        <f>_xlfn.XLOOKUP(CustomerCombinedCleaned[[#This Row],[ID]], Table4[ID], Table4[Catalog], "Not Found", 0)</f>
        <v>0</v>
      </c>
      <c r="U589" s="16">
        <f>_xlfn.XLOOKUP(CustomerCombinedCleaned[[#This Row],[ID]], Table4[ID], Table4[Store], "Not Found", 0)</f>
        <v>3</v>
      </c>
      <c r="V589" s="16">
        <f>_xlfn.XLOOKUP(CustomerCombinedCleaned[[#This Row],[ID]], Table4[ID], Table4[Visits], "Not Found", 0)</f>
        <v>7</v>
      </c>
      <c r="W589" s="16">
        <f>_xlfn.XLOOKUP(CustomerCombinedCleaned[[#This Row],[ID]], Table2[ID],Table2[Complaint], "Not Found", 0 )</f>
        <v>0</v>
      </c>
      <c r="X589" s="16">
        <f>_xlfn.XLOOKUP(CustomerCombinedCleaned[[#This Row],[ID]], Table2[ID],Table2[Pilot], "Not Found", 0 )</f>
        <v>0</v>
      </c>
      <c r="Y589" s="16">
        <f>_xlfn.XLOOKUP(CustomerCombinedCleaned[[#This Row],[ID]], Table2[ID],Table2[MC1], "Not Found", 0 )</f>
        <v>0</v>
      </c>
      <c r="Z589" s="16">
        <f>_xlfn.XLOOKUP(CustomerCombinedCleaned[[#This Row],[ID]], Table2[ID],Table2[MC2], "Not Found", 0 )</f>
        <v>0</v>
      </c>
      <c r="AA589" s="16">
        <f>_xlfn.XLOOKUP(CustomerCombinedCleaned[[#This Row],[ID]], Table2[ID],Table2[MC3], "Not Found", 0 )</f>
        <v>0</v>
      </c>
      <c r="AB589" s="16">
        <f>_xlfn.XLOOKUP(CustomerCombinedCleaned[[#This Row],[ID]], Table2[ID],Table2[MC4], "Not Found", 0 )</f>
        <v>0</v>
      </c>
      <c r="AC589" s="16">
        <f>_xlfn.XLOOKUP(CustomerCombinedCleaned[[#This Row],[ID]], Table2[ID],Table2[MC5], "Not Found", 0 )</f>
        <v>0</v>
      </c>
    </row>
    <row r="590" spans="1:29" x14ac:dyDescent="0.3">
      <c r="A590" s="18">
        <v>2895</v>
      </c>
      <c r="B590" s="16">
        <v>131878</v>
      </c>
      <c r="C590" s="16">
        <v>0</v>
      </c>
      <c r="D590" s="16">
        <v>1</v>
      </c>
      <c r="E590" s="16">
        <v>43</v>
      </c>
      <c r="F590" s="17" t="s">
        <v>7</v>
      </c>
      <c r="G590" s="17" t="s">
        <v>11</v>
      </c>
      <c r="H590" s="3" t="s">
        <v>27</v>
      </c>
      <c r="I590" s="5" t="s">
        <v>435</v>
      </c>
      <c r="J590" s="16">
        <f>_xlfn.XLOOKUP(CustomerCombinedCleaned[[#This Row],[ID]], Table4[ID], Table4[Recency], "Not Found", 0)</f>
        <v>7</v>
      </c>
      <c r="K590" s="16">
        <f>_xlfn.XLOOKUP(CustomerCombinedCleaned[[#This Row],[ID]], Table4[ID], Table4[Teas], "Not Found", 0)</f>
        <v>95</v>
      </c>
      <c r="L590" s="16">
        <f>_xlfn.XLOOKUP(CustomerCombinedCleaned[[#This Row],[ID]], Table4[ID], Table4[Fruits], "Not Found", 0)</f>
        <v>17</v>
      </c>
      <c r="M590" s="16">
        <f>_xlfn.XLOOKUP(CustomerCombinedCleaned[[#This Row],[ID]], Table4[ID], Table4[Meats], "Not Found", 0)</f>
        <v>21</v>
      </c>
      <c r="N590" s="16">
        <f>_xlfn.XLOOKUP(CustomerCombinedCleaned[[#This Row],[ID]], Table4[ID], Table4[Seafood], "Not Found", 0)</f>
        <v>41</v>
      </c>
      <c r="O590" s="16">
        <f>_xlfn.XLOOKUP(CustomerCombinedCleaned[[#This Row],[ID]], Table4[ID], Table4[Sweets], "Not Found", 0)</f>
        <v>21</v>
      </c>
      <c r="P590" s="16">
        <f>_xlfn.XLOOKUP(CustomerCombinedCleaned[[#This Row],[ID]], Table4[ID], Table4[Premium], "Not Found", 0)</f>
        <v>95</v>
      </c>
      <c r="Q590" s="16">
        <f>_xlfn.XLOOKUP(CustomerCombinedCleaned[[#This Row],[ID]], Table4[ID], Table4[Regular], "Not Found", 0)</f>
        <v>99</v>
      </c>
      <c r="R590" s="16">
        <f>_xlfn.XLOOKUP(CustomerCombinedCleaned[[#This Row],[ID]], Table4[ID], Table4[Deals], "Not Found", 0)</f>
        <v>1</v>
      </c>
      <c r="S590" s="16">
        <f>_xlfn.XLOOKUP(CustomerCombinedCleaned[[#This Row],[ID]], Table4[ID], Table4[Website], "Not Found", 0)</f>
        <v>1</v>
      </c>
      <c r="T590" s="16">
        <f>_xlfn.XLOOKUP(CustomerCombinedCleaned[[#This Row],[ID]], Table4[ID], Table4[Catalog], "Not Found", 0)</f>
        <v>0</v>
      </c>
      <c r="U590" s="16">
        <f>_xlfn.XLOOKUP(CustomerCombinedCleaned[[#This Row],[ID]], Table4[ID], Table4[Store], "Not Found", 0)</f>
        <v>4</v>
      </c>
      <c r="V590" s="16">
        <f>_xlfn.XLOOKUP(CustomerCombinedCleaned[[#This Row],[ID]], Table4[ID], Table4[Visits], "Not Found", 0)</f>
        <v>3</v>
      </c>
      <c r="W590" s="16">
        <f>_xlfn.XLOOKUP(CustomerCombinedCleaned[[#This Row],[ID]], Table2[ID],Table2[Complaint], "Not Found", 0 )</f>
        <v>0</v>
      </c>
      <c r="X590" s="16">
        <f>_xlfn.XLOOKUP(CustomerCombinedCleaned[[#This Row],[ID]], Table2[ID],Table2[Pilot], "Not Found", 0 )</f>
        <v>0</v>
      </c>
      <c r="Y590" s="16">
        <f>_xlfn.XLOOKUP(CustomerCombinedCleaned[[#This Row],[ID]], Table2[ID],Table2[MC1], "Not Found", 0 )</f>
        <v>0</v>
      </c>
      <c r="Z590" s="16">
        <f>_xlfn.XLOOKUP(CustomerCombinedCleaned[[#This Row],[ID]], Table2[ID],Table2[MC2], "Not Found", 0 )</f>
        <v>0</v>
      </c>
      <c r="AA590" s="16">
        <f>_xlfn.XLOOKUP(CustomerCombinedCleaned[[#This Row],[ID]], Table2[ID],Table2[MC3], "Not Found", 0 )</f>
        <v>0</v>
      </c>
      <c r="AB590" s="16">
        <f>_xlfn.XLOOKUP(CustomerCombinedCleaned[[#This Row],[ID]], Table2[ID],Table2[MC4], "Not Found", 0 )</f>
        <v>0</v>
      </c>
      <c r="AC590" s="16">
        <f>_xlfn.XLOOKUP(CustomerCombinedCleaned[[#This Row],[ID]], Table2[ID],Table2[MC5], "Not Found", 0 )</f>
        <v>0</v>
      </c>
    </row>
    <row r="591" spans="1:29" x14ac:dyDescent="0.3">
      <c r="A591" s="18">
        <v>1183</v>
      </c>
      <c r="B591" s="16">
        <v>131353</v>
      </c>
      <c r="C591" s="16">
        <v>1</v>
      </c>
      <c r="D591" s="16">
        <v>1</v>
      </c>
      <c r="E591" s="16">
        <v>43</v>
      </c>
      <c r="F591" s="17" t="s">
        <v>6</v>
      </c>
      <c r="G591" s="17" t="s">
        <v>11</v>
      </c>
      <c r="H591" s="3" t="s">
        <v>598</v>
      </c>
      <c r="I591" s="5" t="s">
        <v>437</v>
      </c>
      <c r="J591" s="16">
        <f>_xlfn.XLOOKUP(CustomerCombinedCleaned[[#This Row],[ID]], Table4[ID], Table4[Recency], "Not Found", 0)</f>
        <v>24</v>
      </c>
      <c r="K591" s="16">
        <f>_xlfn.XLOOKUP(CustomerCombinedCleaned[[#This Row],[ID]], Table4[ID], Table4[Teas], "Not Found", 0)</f>
        <v>42</v>
      </c>
      <c r="L591" s="16">
        <f>_xlfn.XLOOKUP(CustomerCombinedCleaned[[#This Row],[ID]], Table4[ID], Table4[Fruits], "Not Found", 0)</f>
        <v>0</v>
      </c>
      <c r="M591" s="16">
        <f>_xlfn.XLOOKUP(CustomerCombinedCleaned[[#This Row],[ID]], Table4[ID], Table4[Meats], "Not Found", 0)</f>
        <v>42</v>
      </c>
      <c r="N591" s="16">
        <f>_xlfn.XLOOKUP(CustomerCombinedCleaned[[#This Row],[ID]], Table4[ID], Table4[Seafood], "Not Found", 0)</f>
        <v>13</v>
      </c>
      <c r="O591" s="16">
        <f>_xlfn.XLOOKUP(CustomerCombinedCleaned[[#This Row],[ID]], Table4[ID], Table4[Sweets], "Not Found", 0)</f>
        <v>4</v>
      </c>
      <c r="P591" s="16">
        <f>_xlfn.XLOOKUP(CustomerCombinedCleaned[[#This Row],[ID]], Table4[ID], Table4[Premium], "Not Found", 0)</f>
        <v>29</v>
      </c>
      <c r="Q591" s="16">
        <f>_xlfn.XLOOKUP(CustomerCombinedCleaned[[#This Row],[ID]], Table4[ID], Table4[Regular], "Not Found", 0)</f>
        <v>71</v>
      </c>
      <c r="R591" s="16">
        <f>_xlfn.XLOOKUP(CustomerCombinedCleaned[[#This Row],[ID]], Table4[ID], Table4[Deals], "Not Found", 0)</f>
        <v>2</v>
      </c>
      <c r="S591" s="16">
        <f>_xlfn.XLOOKUP(CustomerCombinedCleaned[[#This Row],[ID]], Table4[ID], Table4[Website], "Not Found", 0)</f>
        <v>1</v>
      </c>
      <c r="T591" s="16">
        <f>_xlfn.XLOOKUP(CustomerCombinedCleaned[[#This Row],[ID]], Table4[ID], Table4[Catalog], "Not Found", 0)</f>
        <v>1</v>
      </c>
      <c r="U591" s="16">
        <f>_xlfn.XLOOKUP(CustomerCombinedCleaned[[#This Row],[ID]], Table4[ID], Table4[Store], "Not Found", 0)</f>
        <v>2</v>
      </c>
      <c r="V591" s="16">
        <f>_xlfn.XLOOKUP(CustomerCombinedCleaned[[#This Row],[ID]], Table4[ID], Table4[Visits], "Not Found", 0)</f>
        <v>8</v>
      </c>
      <c r="W591" s="16">
        <f>_xlfn.XLOOKUP(CustomerCombinedCleaned[[#This Row],[ID]], Table2[ID],Table2[Complaint], "Not Found", 0 )</f>
        <v>0</v>
      </c>
      <c r="X591" s="16">
        <f>_xlfn.XLOOKUP(CustomerCombinedCleaned[[#This Row],[ID]], Table2[ID],Table2[Pilot], "Not Found", 0 )</f>
        <v>0</v>
      </c>
      <c r="Y591" s="16">
        <f>_xlfn.XLOOKUP(CustomerCombinedCleaned[[#This Row],[ID]], Table2[ID],Table2[MC1], "Not Found", 0 )</f>
        <v>0</v>
      </c>
      <c r="Z591" s="16">
        <f>_xlfn.XLOOKUP(CustomerCombinedCleaned[[#This Row],[ID]], Table2[ID],Table2[MC2], "Not Found", 0 )</f>
        <v>0</v>
      </c>
      <c r="AA591" s="16">
        <f>_xlfn.XLOOKUP(CustomerCombinedCleaned[[#This Row],[ID]], Table2[ID],Table2[MC3], "Not Found", 0 )</f>
        <v>0</v>
      </c>
      <c r="AB591" s="16">
        <f>_xlfn.XLOOKUP(CustomerCombinedCleaned[[#This Row],[ID]], Table2[ID],Table2[MC4], "Not Found", 0 )</f>
        <v>0</v>
      </c>
      <c r="AC591" s="16">
        <f>_xlfn.XLOOKUP(CustomerCombinedCleaned[[#This Row],[ID]], Table2[ID],Table2[MC5], "Not Found", 0 )</f>
        <v>0</v>
      </c>
    </row>
    <row r="592" spans="1:29" x14ac:dyDescent="0.3">
      <c r="A592" s="18">
        <v>2590</v>
      </c>
      <c r="B592" s="16">
        <v>131353</v>
      </c>
      <c r="C592" s="16">
        <v>1</v>
      </c>
      <c r="D592" s="16">
        <v>1</v>
      </c>
      <c r="E592" s="16">
        <v>43</v>
      </c>
      <c r="F592" s="17" t="s">
        <v>6</v>
      </c>
      <c r="G592" s="17" t="s">
        <v>11</v>
      </c>
      <c r="H592" s="3" t="s">
        <v>598</v>
      </c>
      <c r="I592" s="5" t="s">
        <v>439</v>
      </c>
      <c r="J592" s="16">
        <f>_xlfn.XLOOKUP(CustomerCombinedCleaned[[#This Row],[ID]], Table4[ID], Table4[Recency], "Not Found", 0)</f>
        <v>24</v>
      </c>
      <c r="K592" s="16">
        <f>_xlfn.XLOOKUP(CustomerCombinedCleaned[[#This Row],[ID]], Table4[ID], Table4[Teas], "Not Found", 0)</f>
        <v>42</v>
      </c>
      <c r="L592" s="16">
        <f>_xlfn.XLOOKUP(CustomerCombinedCleaned[[#This Row],[ID]], Table4[ID], Table4[Fruits], "Not Found", 0)</f>
        <v>0</v>
      </c>
      <c r="M592" s="16">
        <f>_xlfn.XLOOKUP(CustomerCombinedCleaned[[#This Row],[ID]], Table4[ID], Table4[Meats], "Not Found", 0)</f>
        <v>42</v>
      </c>
      <c r="N592" s="16">
        <f>_xlfn.XLOOKUP(CustomerCombinedCleaned[[#This Row],[ID]], Table4[ID], Table4[Seafood], "Not Found", 0)</f>
        <v>13</v>
      </c>
      <c r="O592" s="16">
        <f>_xlfn.XLOOKUP(CustomerCombinedCleaned[[#This Row],[ID]], Table4[ID], Table4[Sweets], "Not Found", 0)</f>
        <v>4</v>
      </c>
      <c r="P592" s="16">
        <f>_xlfn.XLOOKUP(CustomerCombinedCleaned[[#This Row],[ID]], Table4[ID], Table4[Premium], "Not Found", 0)</f>
        <v>29</v>
      </c>
      <c r="Q592" s="16">
        <f>_xlfn.XLOOKUP(CustomerCombinedCleaned[[#This Row],[ID]], Table4[ID], Table4[Regular], "Not Found", 0)</f>
        <v>71</v>
      </c>
      <c r="R592" s="16">
        <f>_xlfn.XLOOKUP(CustomerCombinedCleaned[[#This Row],[ID]], Table4[ID], Table4[Deals], "Not Found", 0)</f>
        <v>2</v>
      </c>
      <c r="S592" s="16">
        <f>_xlfn.XLOOKUP(CustomerCombinedCleaned[[#This Row],[ID]], Table4[ID], Table4[Website], "Not Found", 0)</f>
        <v>1</v>
      </c>
      <c r="T592" s="16">
        <f>_xlfn.XLOOKUP(CustomerCombinedCleaned[[#This Row],[ID]], Table4[ID], Table4[Catalog], "Not Found", 0)</f>
        <v>1</v>
      </c>
      <c r="U592" s="16">
        <f>_xlfn.XLOOKUP(CustomerCombinedCleaned[[#This Row],[ID]], Table4[ID], Table4[Store], "Not Found", 0)</f>
        <v>2</v>
      </c>
      <c r="V592" s="16">
        <f>_xlfn.XLOOKUP(CustomerCombinedCleaned[[#This Row],[ID]], Table4[ID], Table4[Visits], "Not Found", 0)</f>
        <v>8</v>
      </c>
      <c r="W592" s="16">
        <f>_xlfn.XLOOKUP(CustomerCombinedCleaned[[#This Row],[ID]], Table2[ID],Table2[Complaint], "Not Found", 0 )</f>
        <v>0</v>
      </c>
      <c r="X592" s="16">
        <f>_xlfn.XLOOKUP(CustomerCombinedCleaned[[#This Row],[ID]], Table2[ID],Table2[Pilot], "Not Found", 0 )</f>
        <v>1</v>
      </c>
      <c r="Y592" s="16">
        <f>_xlfn.XLOOKUP(CustomerCombinedCleaned[[#This Row],[ID]], Table2[ID],Table2[MC1], "Not Found", 0 )</f>
        <v>0</v>
      </c>
      <c r="Z592" s="16">
        <f>_xlfn.XLOOKUP(CustomerCombinedCleaned[[#This Row],[ID]], Table2[ID],Table2[MC2], "Not Found", 0 )</f>
        <v>0</v>
      </c>
      <c r="AA592" s="16">
        <f>_xlfn.XLOOKUP(CustomerCombinedCleaned[[#This Row],[ID]], Table2[ID],Table2[MC3], "Not Found", 0 )</f>
        <v>0</v>
      </c>
      <c r="AB592" s="16">
        <f>_xlfn.XLOOKUP(CustomerCombinedCleaned[[#This Row],[ID]], Table2[ID],Table2[MC4], "Not Found", 0 )</f>
        <v>0</v>
      </c>
      <c r="AC592" s="16">
        <f>_xlfn.XLOOKUP(CustomerCombinedCleaned[[#This Row],[ID]], Table2[ID],Table2[MC5], "Not Found", 0 )</f>
        <v>0</v>
      </c>
    </row>
    <row r="593" spans="1:29" x14ac:dyDescent="0.3">
      <c r="A593" s="18">
        <v>2014</v>
      </c>
      <c r="B593" s="16">
        <v>131056</v>
      </c>
      <c r="C593" s="16">
        <v>1</v>
      </c>
      <c r="D593" s="16">
        <v>0</v>
      </c>
      <c r="E593" s="16">
        <v>43</v>
      </c>
      <c r="F593" s="17" t="s">
        <v>6</v>
      </c>
      <c r="G593" s="17" t="s">
        <v>11</v>
      </c>
      <c r="H593" s="3" t="s">
        <v>319</v>
      </c>
      <c r="I593" s="5" t="s">
        <v>439</v>
      </c>
      <c r="J593" s="16">
        <f>_xlfn.XLOOKUP(CustomerCombinedCleaned[[#This Row],[ID]], Table4[ID], Table4[Recency], "Not Found", 0)</f>
        <v>99</v>
      </c>
      <c r="K593" s="16">
        <f>_xlfn.XLOOKUP(CustomerCombinedCleaned[[#This Row],[ID]], Table4[ID], Table4[Teas], "Not Found", 0)</f>
        <v>21</v>
      </c>
      <c r="L593" s="16">
        <f>_xlfn.XLOOKUP(CustomerCombinedCleaned[[#This Row],[ID]], Table4[ID], Table4[Fruits], "Not Found", 0)</f>
        <v>42</v>
      </c>
      <c r="M593" s="16">
        <f>_xlfn.XLOOKUP(CustomerCombinedCleaned[[#This Row],[ID]], Table4[ID], Table4[Meats], "Not Found", 0)</f>
        <v>55</v>
      </c>
      <c r="N593" s="16">
        <f>_xlfn.XLOOKUP(CustomerCombinedCleaned[[#This Row],[ID]], Table4[ID], Table4[Seafood], "Not Found", 0)</f>
        <v>13</v>
      </c>
      <c r="O593" s="16">
        <f>_xlfn.XLOOKUP(CustomerCombinedCleaned[[#This Row],[ID]], Table4[ID], Table4[Sweets], "Not Found", 0)</f>
        <v>34</v>
      </c>
      <c r="P593" s="16">
        <f>_xlfn.XLOOKUP(CustomerCombinedCleaned[[#This Row],[ID]], Table4[ID], Table4[Premium], "Not Found", 0)</f>
        <v>68</v>
      </c>
      <c r="Q593" s="16">
        <f>_xlfn.XLOOKUP(CustomerCombinedCleaned[[#This Row],[ID]], Table4[ID], Table4[Regular], "Not Found", 0)</f>
        <v>97</v>
      </c>
      <c r="R593" s="16">
        <f>_xlfn.XLOOKUP(CustomerCombinedCleaned[[#This Row],[ID]], Table4[ID], Table4[Deals], "Not Found", 0)</f>
        <v>1</v>
      </c>
      <c r="S593" s="16">
        <f>_xlfn.XLOOKUP(CustomerCombinedCleaned[[#This Row],[ID]], Table4[ID], Table4[Website], "Not Found", 0)</f>
        <v>1</v>
      </c>
      <c r="T593" s="16">
        <f>_xlfn.XLOOKUP(CustomerCombinedCleaned[[#This Row],[ID]], Table4[ID], Table4[Catalog], "Not Found", 0)</f>
        <v>0</v>
      </c>
      <c r="U593" s="16">
        <f>_xlfn.XLOOKUP(CustomerCombinedCleaned[[#This Row],[ID]], Table4[ID], Table4[Store], "Not Found", 0)</f>
        <v>3</v>
      </c>
      <c r="V593" s="16">
        <f>_xlfn.XLOOKUP(CustomerCombinedCleaned[[#This Row],[ID]], Table4[ID], Table4[Visits], "Not Found", 0)</f>
        <v>8</v>
      </c>
      <c r="W593" s="16">
        <f>_xlfn.XLOOKUP(CustomerCombinedCleaned[[#This Row],[ID]], Table2[ID],Table2[Complaint], "Not Found", 0 )</f>
        <v>0</v>
      </c>
      <c r="X593" s="16">
        <f>_xlfn.XLOOKUP(CustomerCombinedCleaned[[#This Row],[ID]], Table2[ID],Table2[Pilot], "Not Found", 0 )</f>
        <v>0</v>
      </c>
      <c r="Y593" s="16">
        <f>_xlfn.XLOOKUP(CustomerCombinedCleaned[[#This Row],[ID]], Table2[ID],Table2[MC1], "Not Found", 0 )</f>
        <v>0</v>
      </c>
      <c r="Z593" s="16">
        <f>_xlfn.XLOOKUP(CustomerCombinedCleaned[[#This Row],[ID]], Table2[ID],Table2[MC2], "Not Found", 0 )</f>
        <v>0</v>
      </c>
      <c r="AA593" s="16">
        <f>_xlfn.XLOOKUP(CustomerCombinedCleaned[[#This Row],[ID]], Table2[ID],Table2[MC3], "Not Found", 0 )</f>
        <v>0</v>
      </c>
      <c r="AB593" s="16">
        <f>_xlfn.XLOOKUP(CustomerCombinedCleaned[[#This Row],[ID]], Table2[ID],Table2[MC4], "Not Found", 0 )</f>
        <v>0</v>
      </c>
      <c r="AC593" s="16">
        <f>_xlfn.XLOOKUP(CustomerCombinedCleaned[[#This Row],[ID]], Table2[ID],Table2[MC5], "Not Found", 0 )</f>
        <v>0</v>
      </c>
    </row>
    <row r="594" spans="1:29" x14ac:dyDescent="0.3">
      <c r="A594" s="18">
        <v>2980</v>
      </c>
      <c r="B594" s="16">
        <v>130368</v>
      </c>
      <c r="C594" s="16">
        <v>0</v>
      </c>
      <c r="D594" s="16">
        <v>1</v>
      </c>
      <c r="E594" s="16">
        <v>43</v>
      </c>
      <c r="F594" s="17" t="s">
        <v>6</v>
      </c>
      <c r="G594" s="17" t="s">
        <v>11</v>
      </c>
      <c r="H594" s="3" t="s">
        <v>156</v>
      </c>
      <c r="I594" s="5" t="s">
        <v>439</v>
      </c>
      <c r="J594" s="16">
        <f>_xlfn.XLOOKUP(CustomerCombinedCleaned[[#This Row],[ID]], Table4[ID], Table4[Recency], "Not Found", 0)</f>
        <v>97</v>
      </c>
      <c r="K594" s="16">
        <f>_xlfn.XLOOKUP(CustomerCombinedCleaned[[#This Row],[ID]], Table4[ID], Table4[Teas], "Not Found", 0)</f>
        <v>150</v>
      </c>
      <c r="L594" s="16">
        <f>_xlfn.XLOOKUP(CustomerCombinedCleaned[[#This Row],[ID]], Table4[ID], Table4[Fruits], "Not Found", 0)</f>
        <v>0</v>
      </c>
      <c r="M594" s="16">
        <f>_xlfn.XLOOKUP(CustomerCombinedCleaned[[#This Row],[ID]], Table4[ID], Table4[Meats], "Not Found", 0)</f>
        <v>56</v>
      </c>
      <c r="N594" s="16">
        <f>_xlfn.XLOOKUP(CustomerCombinedCleaned[[#This Row],[ID]], Table4[ID], Table4[Seafood], "Not Found", 0)</f>
        <v>9</v>
      </c>
      <c r="O594" s="16">
        <f>_xlfn.XLOOKUP(CustomerCombinedCleaned[[#This Row],[ID]], Table4[ID], Table4[Sweets], "Not Found", 0)</f>
        <v>0</v>
      </c>
      <c r="P594" s="16">
        <f>_xlfn.XLOOKUP(CustomerCombinedCleaned[[#This Row],[ID]], Table4[ID], Table4[Premium], "Not Found", 0)</f>
        <v>9</v>
      </c>
      <c r="Q594" s="16">
        <f>_xlfn.XLOOKUP(CustomerCombinedCleaned[[#This Row],[ID]], Table4[ID], Table4[Regular], "Not Found", 0)</f>
        <v>206</v>
      </c>
      <c r="R594" s="16">
        <f>_xlfn.XLOOKUP(CustomerCombinedCleaned[[#This Row],[ID]], Table4[ID], Table4[Deals], "Not Found", 0)</f>
        <v>2</v>
      </c>
      <c r="S594" s="16">
        <f>_xlfn.XLOOKUP(CustomerCombinedCleaned[[#This Row],[ID]], Table4[ID], Table4[Website], "Not Found", 0)</f>
        <v>2</v>
      </c>
      <c r="T594" s="16">
        <f>_xlfn.XLOOKUP(CustomerCombinedCleaned[[#This Row],[ID]], Table4[ID], Table4[Catalog], "Not Found", 0)</f>
        <v>0</v>
      </c>
      <c r="U594" s="16">
        <f>_xlfn.XLOOKUP(CustomerCombinedCleaned[[#This Row],[ID]], Table4[ID], Table4[Store], "Not Found", 0)</f>
        <v>3</v>
      </c>
      <c r="V594" s="16">
        <f>_xlfn.XLOOKUP(CustomerCombinedCleaned[[#This Row],[ID]], Table4[ID], Table4[Visits], "Not Found", 0)</f>
        <v>8</v>
      </c>
      <c r="W594" s="16">
        <f>_xlfn.XLOOKUP(CustomerCombinedCleaned[[#This Row],[ID]], Table2[ID],Table2[Complaint], "Not Found", 0 )</f>
        <v>0</v>
      </c>
      <c r="X594" s="16">
        <f>_xlfn.XLOOKUP(CustomerCombinedCleaned[[#This Row],[ID]], Table2[ID],Table2[Pilot], "Not Found", 0 )</f>
        <v>0</v>
      </c>
      <c r="Y594" s="16">
        <f>_xlfn.XLOOKUP(CustomerCombinedCleaned[[#This Row],[ID]], Table2[ID],Table2[MC1], "Not Found", 0 )</f>
        <v>0</v>
      </c>
      <c r="Z594" s="16">
        <f>_xlfn.XLOOKUP(CustomerCombinedCleaned[[#This Row],[ID]], Table2[ID],Table2[MC2], "Not Found", 0 )</f>
        <v>0</v>
      </c>
      <c r="AA594" s="16">
        <f>_xlfn.XLOOKUP(CustomerCombinedCleaned[[#This Row],[ID]], Table2[ID],Table2[MC3], "Not Found", 0 )</f>
        <v>0</v>
      </c>
      <c r="AB594" s="16">
        <f>_xlfn.XLOOKUP(CustomerCombinedCleaned[[#This Row],[ID]], Table2[ID],Table2[MC4], "Not Found", 0 )</f>
        <v>0</v>
      </c>
      <c r="AC594" s="16">
        <f>_xlfn.XLOOKUP(CustomerCombinedCleaned[[#This Row],[ID]], Table2[ID],Table2[MC5], "Not Found", 0 )</f>
        <v>0</v>
      </c>
    </row>
    <row r="595" spans="1:29" x14ac:dyDescent="0.3">
      <c r="A595" s="18">
        <v>2752</v>
      </c>
      <c r="B595" s="16">
        <v>128973</v>
      </c>
      <c r="C595" s="16">
        <v>0</v>
      </c>
      <c r="D595" s="16">
        <v>0</v>
      </c>
      <c r="E595" s="16">
        <v>43</v>
      </c>
      <c r="F595" s="17" t="s">
        <v>6</v>
      </c>
      <c r="G595" s="17" t="s">
        <v>13</v>
      </c>
      <c r="H595" s="3" t="s">
        <v>381</v>
      </c>
      <c r="I595" s="5" t="s">
        <v>439</v>
      </c>
      <c r="J595" s="16">
        <f>_xlfn.XLOOKUP(CustomerCombinedCleaned[[#This Row],[ID]], Table4[ID], Table4[Recency], "Not Found", 0)</f>
        <v>59</v>
      </c>
      <c r="K595" s="16">
        <f>_xlfn.XLOOKUP(CustomerCombinedCleaned[[#This Row],[ID]], Table4[ID], Table4[Teas], "Not Found", 0)</f>
        <v>917</v>
      </c>
      <c r="L595" s="16">
        <f>_xlfn.XLOOKUP(CustomerCombinedCleaned[[#This Row],[ID]], Table4[ID], Table4[Fruits], "Not Found", 0)</f>
        <v>0</v>
      </c>
      <c r="M595" s="16">
        <f>_xlfn.XLOOKUP(CustomerCombinedCleaned[[#This Row],[ID]], Table4[ID], Table4[Meats], "Not Found", 0)</f>
        <v>205</v>
      </c>
      <c r="N595" s="16">
        <f>_xlfn.XLOOKUP(CustomerCombinedCleaned[[#This Row],[ID]], Table4[ID], Table4[Seafood], "Not Found", 0)</f>
        <v>13</v>
      </c>
      <c r="O595" s="16">
        <f>_xlfn.XLOOKUP(CustomerCombinedCleaned[[#This Row],[ID]], Table4[ID], Table4[Sweets], "Not Found", 0)</f>
        <v>9</v>
      </c>
      <c r="P595" s="16">
        <f>_xlfn.XLOOKUP(CustomerCombinedCleaned[[#This Row],[ID]], Table4[ID], Table4[Premium], "Not Found", 0)</f>
        <v>53</v>
      </c>
      <c r="Q595" s="16">
        <f>_xlfn.XLOOKUP(CustomerCombinedCleaned[[#This Row],[ID]], Table4[ID], Table4[Regular], "Not Found", 0)</f>
        <v>1091</v>
      </c>
      <c r="R595" s="16">
        <f>_xlfn.XLOOKUP(CustomerCombinedCleaned[[#This Row],[ID]], Table4[ID], Table4[Deals], "Not Found", 0)</f>
        <v>2</v>
      </c>
      <c r="S595" s="16">
        <f>_xlfn.XLOOKUP(CustomerCombinedCleaned[[#This Row],[ID]], Table4[ID], Table4[Website], "Not Found", 0)</f>
        <v>5</v>
      </c>
      <c r="T595" s="16">
        <f>_xlfn.XLOOKUP(CustomerCombinedCleaned[[#This Row],[ID]], Table4[ID], Table4[Catalog], "Not Found", 0)</f>
        <v>1</v>
      </c>
      <c r="U595" s="16">
        <f>_xlfn.XLOOKUP(CustomerCombinedCleaned[[#This Row],[ID]], Table4[ID], Table4[Store], "Not Found", 0)</f>
        <v>5</v>
      </c>
      <c r="V595" s="16">
        <f>_xlfn.XLOOKUP(CustomerCombinedCleaned[[#This Row],[ID]], Table4[ID], Table4[Visits], "Not Found", 0)</f>
        <v>8</v>
      </c>
      <c r="W595" s="16">
        <f>_xlfn.XLOOKUP(CustomerCombinedCleaned[[#This Row],[ID]], Table2[ID],Table2[Complaint], "Not Found", 0 )</f>
        <v>0</v>
      </c>
      <c r="X595" s="16">
        <f>_xlfn.XLOOKUP(CustomerCombinedCleaned[[#This Row],[ID]], Table2[ID],Table2[Pilot], "Not Found", 0 )</f>
        <v>0</v>
      </c>
      <c r="Y595" s="16">
        <f>_xlfn.XLOOKUP(CustomerCombinedCleaned[[#This Row],[ID]], Table2[ID],Table2[MC1], "Not Found", 0 )</f>
        <v>0</v>
      </c>
      <c r="Z595" s="16">
        <f>_xlfn.XLOOKUP(CustomerCombinedCleaned[[#This Row],[ID]], Table2[ID],Table2[MC2], "Not Found", 0 )</f>
        <v>0</v>
      </c>
      <c r="AA595" s="16">
        <f>_xlfn.XLOOKUP(CustomerCombinedCleaned[[#This Row],[ID]], Table2[ID],Table2[MC3], "Not Found", 0 )</f>
        <v>0</v>
      </c>
      <c r="AB595" s="16">
        <f>_xlfn.XLOOKUP(CustomerCombinedCleaned[[#This Row],[ID]], Table2[ID],Table2[MC4], "Not Found", 0 )</f>
        <v>0</v>
      </c>
      <c r="AC595" s="16">
        <f>_xlfn.XLOOKUP(CustomerCombinedCleaned[[#This Row],[ID]], Table2[ID],Table2[MC5], "Not Found", 0 )</f>
        <v>0</v>
      </c>
    </row>
    <row r="596" spans="1:29" x14ac:dyDescent="0.3">
      <c r="A596" s="18">
        <v>1612</v>
      </c>
      <c r="B596" s="16">
        <v>128769</v>
      </c>
      <c r="C596" s="16">
        <v>1</v>
      </c>
      <c r="D596" s="16">
        <v>0</v>
      </c>
      <c r="E596" s="16">
        <v>43</v>
      </c>
      <c r="F596" s="17" t="s">
        <v>7</v>
      </c>
      <c r="G596" s="17" t="s">
        <v>11</v>
      </c>
      <c r="H596" s="3" t="s">
        <v>341</v>
      </c>
      <c r="I596" s="5" t="s">
        <v>439</v>
      </c>
      <c r="J596" s="16">
        <f>_xlfn.XLOOKUP(CustomerCombinedCleaned[[#This Row],[ID]], Table4[ID], Table4[Recency], "Not Found", 0)</f>
        <v>76</v>
      </c>
      <c r="K596" s="16">
        <f>_xlfn.XLOOKUP(CustomerCombinedCleaned[[#This Row],[ID]], Table4[ID], Table4[Teas], "Not Found", 0)</f>
        <v>184</v>
      </c>
      <c r="L596" s="16">
        <f>_xlfn.XLOOKUP(CustomerCombinedCleaned[[#This Row],[ID]], Table4[ID], Table4[Fruits], "Not Found", 0)</f>
        <v>22</v>
      </c>
      <c r="M596" s="16">
        <f>_xlfn.XLOOKUP(CustomerCombinedCleaned[[#This Row],[ID]], Table4[ID], Table4[Meats], "Not Found", 0)</f>
        <v>577</v>
      </c>
      <c r="N596" s="16">
        <f>_xlfn.XLOOKUP(CustomerCombinedCleaned[[#This Row],[ID]], Table4[ID], Table4[Seafood], "Not Found", 0)</f>
        <v>45</v>
      </c>
      <c r="O596" s="16">
        <f>_xlfn.XLOOKUP(CustomerCombinedCleaned[[#This Row],[ID]], Table4[ID], Table4[Sweets], "Not Found", 0)</f>
        <v>13</v>
      </c>
      <c r="P596" s="16">
        <f>_xlfn.XLOOKUP(CustomerCombinedCleaned[[#This Row],[ID]], Table4[ID], Table4[Premium], "Not Found", 0)</f>
        <v>13</v>
      </c>
      <c r="Q596" s="16">
        <f>_xlfn.XLOOKUP(CustomerCombinedCleaned[[#This Row],[ID]], Table4[ID], Table4[Regular], "Not Found", 0)</f>
        <v>828</v>
      </c>
      <c r="R596" s="16">
        <f>_xlfn.XLOOKUP(CustomerCombinedCleaned[[#This Row],[ID]], Table4[ID], Table4[Deals], "Not Found", 0)</f>
        <v>3</v>
      </c>
      <c r="S596" s="16">
        <f>_xlfn.XLOOKUP(CustomerCombinedCleaned[[#This Row],[ID]], Table4[ID], Table4[Website], "Not Found", 0)</f>
        <v>4</v>
      </c>
      <c r="T596" s="16">
        <f>_xlfn.XLOOKUP(CustomerCombinedCleaned[[#This Row],[ID]], Table4[ID], Table4[Catalog], "Not Found", 0)</f>
        <v>1</v>
      </c>
      <c r="U596" s="16">
        <f>_xlfn.XLOOKUP(CustomerCombinedCleaned[[#This Row],[ID]], Table4[ID], Table4[Store], "Not Found", 0)</f>
        <v>4</v>
      </c>
      <c r="V596" s="16">
        <f>_xlfn.XLOOKUP(CustomerCombinedCleaned[[#This Row],[ID]], Table4[ID], Table4[Visits], "Not Found", 0)</f>
        <v>9</v>
      </c>
      <c r="W596" s="16">
        <f>_xlfn.XLOOKUP(CustomerCombinedCleaned[[#This Row],[ID]], Table2[ID],Table2[Complaint], "Not Found", 0 )</f>
        <v>0</v>
      </c>
      <c r="X596" s="16">
        <f>_xlfn.XLOOKUP(CustomerCombinedCleaned[[#This Row],[ID]], Table2[ID],Table2[Pilot], "Not Found", 0 )</f>
        <v>0</v>
      </c>
      <c r="Y596" s="16">
        <f>_xlfn.XLOOKUP(CustomerCombinedCleaned[[#This Row],[ID]], Table2[ID],Table2[MC1], "Not Found", 0 )</f>
        <v>0</v>
      </c>
      <c r="Z596" s="16">
        <f>_xlfn.XLOOKUP(CustomerCombinedCleaned[[#This Row],[ID]], Table2[ID],Table2[MC2], "Not Found", 0 )</f>
        <v>0</v>
      </c>
      <c r="AA596" s="16">
        <f>_xlfn.XLOOKUP(CustomerCombinedCleaned[[#This Row],[ID]], Table2[ID],Table2[MC3], "Not Found", 0 )</f>
        <v>0</v>
      </c>
      <c r="AB596" s="16">
        <f>_xlfn.XLOOKUP(CustomerCombinedCleaned[[#This Row],[ID]], Table2[ID],Table2[MC4], "Not Found", 0 )</f>
        <v>0</v>
      </c>
      <c r="AC596" s="16">
        <f>_xlfn.XLOOKUP(CustomerCombinedCleaned[[#This Row],[ID]], Table2[ID],Table2[MC5], "Not Found", 0 )</f>
        <v>0</v>
      </c>
    </row>
    <row r="597" spans="1:29" x14ac:dyDescent="0.3">
      <c r="A597" s="18">
        <v>3049</v>
      </c>
      <c r="B597" s="16">
        <v>127889</v>
      </c>
      <c r="C597" s="16">
        <v>1</v>
      </c>
      <c r="D597" s="16">
        <v>0</v>
      </c>
      <c r="E597" s="16">
        <v>43</v>
      </c>
      <c r="F597" s="17" t="s">
        <v>6</v>
      </c>
      <c r="G597" s="17" t="s">
        <v>12</v>
      </c>
      <c r="H597" s="3" t="s">
        <v>712</v>
      </c>
      <c r="I597" s="5" t="s">
        <v>437</v>
      </c>
      <c r="J597" s="16">
        <f>_xlfn.XLOOKUP(CustomerCombinedCleaned[[#This Row],[ID]], Table4[ID], Table4[Recency], "Not Found", 0)</f>
        <v>42</v>
      </c>
      <c r="K597" s="16">
        <f>_xlfn.XLOOKUP(CustomerCombinedCleaned[[#This Row],[ID]], Table4[ID], Table4[Teas], "Not Found", 0)</f>
        <v>64</v>
      </c>
      <c r="L597" s="16">
        <f>_xlfn.XLOOKUP(CustomerCombinedCleaned[[#This Row],[ID]], Table4[ID], Table4[Fruits], "Not Found", 0)</f>
        <v>0</v>
      </c>
      <c r="M597" s="16">
        <f>_xlfn.XLOOKUP(CustomerCombinedCleaned[[#This Row],[ID]], Table4[ID], Table4[Meats], "Not Found", 0)</f>
        <v>18</v>
      </c>
      <c r="N597" s="16">
        <f>_xlfn.XLOOKUP(CustomerCombinedCleaned[[#This Row],[ID]], Table4[ID], Table4[Seafood], "Not Found", 0)</f>
        <v>0</v>
      </c>
      <c r="O597" s="16">
        <f>_xlfn.XLOOKUP(CustomerCombinedCleaned[[#This Row],[ID]], Table4[ID], Table4[Sweets], "Not Found", 0)</f>
        <v>0</v>
      </c>
      <c r="P597" s="16">
        <f>_xlfn.XLOOKUP(CustomerCombinedCleaned[[#This Row],[ID]], Table4[ID], Table4[Premium], "Not Found", 0)</f>
        <v>37</v>
      </c>
      <c r="Q597" s="16">
        <f>_xlfn.XLOOKUP(CustomerCombinedCleaned[[#This Row],[ID]], Table4[ID], Table4[Regular], "Not Found", 0)</f>
        <v>46</v>
      </c>
      <c r="R597" s="16">
        <f>_xlfn.XLOOKUP(CustomerCombinedCleaned[[#This Row],[ID]], Table4[ID], Table4[Deals], "Not Found", 0)</f>
        <v>1</v>
      </c>
      <c r="S597" s="16">
        <f>_xlfn.XLOOKUP(CustomerCombinedCleaned[[#This Row],[ID]], Table4[ID], Table4[Website], "Not Found", 0)</f>
        <v>1</v>
      </c>
      <c r="T597" s="16">
        <f>_xlfn.XLOOKUP(CustomerCombinedCleaned[[#This Row],[ID]], Table4[ID], Table4[Catalog], "Not Found", 0)</f>
        <v>1</v>
      </c>
      <c r="U597" s="16">
        <f>_xlfn.XLOOKUP(CustomerCombinedCleaned[[#This Row],[ID]], Table4[ID], Table4[Store], "Not Found", 0)</f>
        <v>2</v>
      </c>
      <c r="V597" s="16">
        <f>_xlfn.XLOOKUP(CustomerCombinedCleaned[[#This Row],[ID]], Table4[ID], Table4[Visits], "Not Found", 0)</f>
        <v>6</v>
      </c>
      <c r="W597" s="16">
        <f>_xlfn.XLOOKUP(CustomerCombinedCleaned[[#This Row],[ID]], Table2[ID],Table2[Complaint], "Not Found", 0 )</f>
        <v>0</v>
      </c>
      <c r="X597" s="16">
        <f>_xlfn.XLOOKUP(CustomerCombinedCleaned[[#This Row],[ID]], Table2[ID],Table2[Pilot], "Not Found", 0 )</f>
        <v>0</v>
      </c>
      <c r="Y597" s="16">
        <f>_xlfn.XLOOKUP(CustomerCombinedCleaned[[#This Row],[ID]], Table2[ID],Table2[MC1], "Not Found", 0 )</f>
        <v>0</v>
      </c>
      <c r="Z597" s="16">
        <f>_xlfn.XLOOKUP(CustomerCombinedCleaned[[#This Row],[ID]], Table2[ID],Table2[MC2], "Not Found", 0 )</f>
        <v>0</v>
      </c>
      <c r="AA597" s="16">
        <f>_xlfn.XLOOKUP(CustomerCombinedCleaned[[#This Row],[ID]], Table2[ID],Table2[MC3], "Not Found", 0 )</f>
        <v>0</v>
      </c>
      <c r="AB597" s="16">
        <f>_xlfn.XLOOKUP(CustomerCombinedCleaned[[#This Row],[ID]], Table2[ID],Table2[MC4], "Not Found", 0 )</f>
        <v>0</v>
      </c>
      <c r="AC597" s="16">
        <f>_xlfn.XLOOKUP(CustomerCombinedCleaned[[#This Row],[ID]], Table2[ID],Table2[MC5], "Not Found", 0 )</f>
        <v>0</v>
      </c>
    </row>
    <row r="598" spans="1:29" x14ac:dyDescent="0.3">
      <c r="A598" s="18">
        <v>1524</v>
      </c>
      <c r="B598" s="16">
        <v>125315</v>
      </c>
      <c r="C598" s="16">
        <v>1</v>
      </c>
      <c r="D598" s="16">
        <v>0</v>
      </c>
      <c r="E598" s="16">
        <v>43</v>
      </c>
      <c r="F598" s="17" t="s">
        <v>8</v>
      </c>
      <c r="G598" s="17" t="s">
        <v>11</v>
      </c>
      <c r="H598" s="3" t="s">
        <v>156</v>
      </c>
      <c r="I598" s="5" t="s">
        <v>436</v>
      </c>
      <c r="J598" s="16">
        <f>_xlfn.XLOOKUP(CustomerCombinedCleaned[[#This Row],[ID]], Table4[ID], Table4[Recency], "Not Found", 0)</f>
        <v>46</v>
      </c>
      <c r="K598" s="16">
        <f>_xlfn.XLOOKUP(CustomerCombinedCleaned[[#This Row],[ID]], Table4[ID], Table4[Teas], "Not Found", 0)</f>
        <v>5</v>
      </c>
      <c r="L598" s="16">
        <f>_xlfn.XLOOKUP(CustomerCombinedCleaned[[#This Row],[ID]], Table4[ID], Table4[Fruits], "Not Found", 0)</f>
        <v>45</v>
      </c>
      <c r="M598" s="16">
        <f>_xlfn.XLOOKUP(CustomerCombinedCleaned[[#This Row],[ID]], Table4[ID], Table4[Meats], "Not Found", 0)</f>
        <v>40</v>
      </c>
      <c r="N598" s="16">
        <f>_xlfn.XLOOKUP(CustomerCombinedCleaned[[#This Row],[ID]], Table4[ID], Table4[Seafood], "Not Found", 0)</f>
        <v>54</v>
      </c>
      <c r="O598" s="16">
        <f>_xlfn.XLOOKUP(CustomerCombinedCleaned[[#This Row],[ID]], Table4[ID], Table4[Sweets], "Not Found", 0)</f>
        <v>15</v>
      </c>
      <c r="P598" s="16">
        <f>_xlfn.XLOOKUP(CustomerCombinedCleaned[[#This Row],[ID]], Table4[ID], Table4[Premium], "Not Found", 0)</f>
        <v>109</v>
      </c>
      <c r="Q598" s="16">
        <f>_xlfn.XLOOKUP(CustomerCombinedCleaned[[#This Row],[ID]], Table4[ID], Table4[Regular], "Not Found", 0)</f>
        <v>50</v>
      </c>
      <c r="R598" s="16">
        <f>_xlfn.XLOOKUP(CustomerCombinedCleaned[[#This Row],[ID]], Table4[ID], Table4[Deals], "Not Found", 0)</f>
        <v>3</v>
      </c>
      <c r="S598" s="16">
        <f>_xlfn.XLOOKUP(CustomerCombinedCleaned[[#This Row],[ID]], Table4[ID], Table4[Website], "Not Found", 0)</f>
        <v>3</v>
      </c>
      <c r="T598" s="16">
        <f>_xlfn.XLOOKUP(CustomerCombinedCleaned[[#This Row],[ID]], Table4[ID], Table4[Catalog], "Not Found", 0)</f>
        <v>0</v>
      </c>
      <c r="U598" s="16">
        <f>_xlfn.XLOOKUP(CustomerCombinedCleaned[[#This Row],[ID]], Table4[ID], Table4[Store], "Not Found", 0)</f>
        <v>3</v>
      </c>
      <c r="V598" s="16">
        <f>_xlfn.XLOOKUP(CustomerCombinedCleaned[[#This Row],[ID]], Table4[ID], Table4[Visits], "Not Found", 0)</f>
        <v>8</v>
      </c>
      <c r="W598" s="16">
        <f>_xlfn.XLOOKUP(CustomerCombinedCleaned[[#This Row],[ID]], Table2[ID],Table2[Complaint], "Not Found", 0 )</f>
        <v>0</v>
      </c>
      <c r="X598" s="16">
        <f>_xlfn.XLOOKUP(CustomerCombinedCleaned[[#This Row],[ID]], Table2[ID],Table2[Pilot], "Not Found", 0 )</f>
        <v>0</v>
      </c>
      <c r="Y598" s="16">
        <f>_xlfn.XLOOKUP(CustomerCombinedCleaned[[#This Row],[ID]], Table2[ID],Table2[MC1], "Not Found", 0 )</f>
        <v>0</v>
      </c>
      <c r="Z598" s="16">
        <f>_xlfn.XLOOKUP(CustomerCombinedCleaned[[#This Row],[ID]], Table2[ID],Table2[MC2], "Not Found", 0 )</f>
        <v>0</v>
      </c>
      <c r="AA598" s="16">
        <f>_xlfn.XLOOKUP(CustomerCombinedCleaned[[#This Row],[ID]], Table2[ID],Table2[MC3], "Not Found", 0 )</f>
        <v>0</v>
      </c>
      <c r="AB598" s="16">
        <f>_xlfn.XLOOKUP(CustomerCombinedCleaned[[#This Row],[ID]], Table2[ID],Table2[MC4], "Not Found", 0 )</f>
        <v>0</v>
      </c>
      <c r="AC598" s="16">
        <f>_xlfn.XLOOKUP(CustomerCombinedCleaned[[#This Row],[ID]], Table2[ID],Table2[MC5], "Not Found", 0 )</f>
        <v>0</v>
      </c>
    </row>
    <row r="599" spans="1:29" x14ac:dyDescent="0.3">
      <c r="A599" s="18">
        <v>2917</v>
      </c>
      <c r="B599" s="16">
        <v>123763</v>
      </c>
      <c r="C599" s="16">
        <v>1</v>
      </c>
      <c r="D599" s="16">
        <v>0</v>
      </c>
      <c r="E599" s="16">
        <v>43</v>
      </c>
      <c r="F599" s="17" t="s">
        <v>7</v>
      </c>
      <c r="G599" s="17" t="s">
        <v>11</v>
      </c>
      <c r="H599" s="3" t="s">
        <v>679</v>
      </c>
      <c r="I599" s="5" t="s">
        <v>437</v>
      </c>
      <c r="J599" s="16">
        <f>_xlfn.XLOOKUP(CustomerCombinedCleaned[[#This Row],[ID]], Table4[ID], Table4[Recency], "Not Found", 0)</f>
        <v>64</v>
      </c>
      <c r="K599" s="16">
        <f>_xlfn.XLOOKUP(CustomerCombinedCleaned[[#This Row],[ID]], Table4[ID], Table4[Teas], "Not Found", 0)</f>
        <v>115</v>
      </c>
      <c r="L599" s="16">
        <f>_xlfn.XLOOKUP(CustomerCombinedCleaned[[#This Row],[ID]], Table4[ID], Table4[Fruits], "Not Found", 0)</f>
        <v>0</v>
      </c>
      <c r="M599" s="16">
        <f>_xlfn.XLOOKUP(CustomerCombinedCleaned[[#This Row],[ID]], Table4[ID], Table4[Meats], "Not Found", 0)</f>
        <v>31</v>
      </c>
      <c r="N599" s="16">
        <f>_xlfn.XLOOKUP(CustomerCombinedCleaned[[#This Row],[ID]], Table4[ID], Table4[Seafood], "Not Found", 0)</f>
        <v>31</v>
      </c>
      <c r="O599" s="16">
        <f>_xlfn.XLOOKUP(CustomerCombinedCleaned[[#This Row],[ID]], Table4[ID], Table4[Sweets], "Not Found", 0)</f>
        <v>10</v>
      </c>
      <c r="P599" s="16">
        <f>_xlfn.XLOOKUP(CustomerCombinedCleaned[[#This Row],[ID]], Table4[ID], Table4[Premium], "Not Found", 0)</f>
        <v>31</v>
      </c>
      <c r="Q599" s="16">
        <f>_xlfn.XLOOKUP(CustomerCombinedCleaned[[#This Row],[ID]], Table4[ID], Table4[Regular], "Not Found", 0)</f>
        <v>156</v>
      </c>
      <c r="R599" s="16">
        <f>_xlfn.XLOOKUP(CustomerCombinedCleaned[[#This Row],[ID]], Table4[ID], Table4[Deals], "Not Found", 0)</f>
        <v>1</v>
      </c>
      <c r="S599" s="16">
        <f>_xlfn.XLOOKUP(CustomerCombinedCleaned[[#This Row],[ID]], Table4[ID], Table4[Website], "Not Found", 0)</f>
        <v>1</v>
      </c>
      <c r="T599" s="16">
        <f>_xlfn.XLOOKUP(CustomerCombinedCleaned[[#This Row],[ID]], Table4[ID], Table4[Catalog], "Not Found", 0)</f>
        <v>0</v>
      </c>
      <c r="U599" s="16">
        <f>_xlfn.XLOOKUP(CustomerCombinedCleaned[[#This Row],[ID]], Table4[ID], Table4[Store], "Not Found", 0)</f>
        <v>3</v>
      </c>
      <c r="V599" s="16">
        <f>_xlfn.XLOOKUP(CustomerCombinedCleaned[[#This Row],[ID]], Table4[ID], Table4[Visits], "Not Found", 0)</f>
        <v>7</v>
      </c>
      <c r="W599" s="16">
        <f>_xlfn.XLOOKUP(CustomerCombinedCleaned[[#This Row],[ID]], Table2[ID],Table2[Complaint], "Not Found", 0 )</f>
        <v>0</v>
      </c>
      <c r="X599" s="16">
        <f>_xlfn.XLOOKUP(CustomerCombinedCleaned[[#This Row],[ID]], Table2[ID],Table2[Pilot], "Not Found", 0 )</f>
        <v>0</v>
      </c>
      <c r="Y599" s="16">
        <f>_xlfn.XLOOKUP(CustomerCombinedCleaned[[#This Row],[ID]], Table2[ID],Table2[MC1], "Not Found", 0 )</f>
        <v>0</v>
      </c>
      <c r="Z599" s="16">
        <f>_xlfn.XLOOKUP(CustomerCombinedCleaned[[#This Row],[ID]], Table2[ID],Table2[MC2], "Not Found", 0 )</f>
        <v>0</v>
      </c>
      <c r="AA599" s="16">
        <f>_xlfn.XLOOKUP(CustomerCombinedCleaned[[#This Row],[ID]], Table2[ID],Table2[MC3], "Not Found", 0 )</f>
        <v>0</v>
      </c>
      <c r="AB599" s="16">
        <f>_xlfn.XLOOKUP(CustomerCombinedCleaned[[#This Row],[ID]], Table2[ID],Table2[MC4], "Not Found", 0 )</f>
        <v>0</v>
      </c>
      <c r="AC599" s="16">
        <f>_xlfn.XLOOKUP(CustomerCombinedCleaned[[#This Row],[ID]], Table2[ID],Table2[MC5], "Not Found", 0 )</f>
        <v>0</v>
      </c>
    </row>
    <row r="600" spans="1:29" x14ac:dyDescent="0.3">
      <c r="A600" s="18">
        <v>2900</v>
      </c>
      <c r="B600" s="16">
        <v>122701</v>
      </c>
      <c r="C600" s="16">
        <v>1</v>
      </c>
      <c r="D600" s="16">
        <v>0</v>
      </c>
      <c r="E600" s="16">
        <v>43</v>
      </c>
      <c r="F600" s="17" t="s">
        <v>6</v>
      </c>
      <c r="G600" s="17" t="s">
        <v>12</v>
      </c>
      <c r="H600" s="3" t="s">
        <v>561</v>
      </c>
      <c r="I600" s="5" t="s">
        <v>438</v>
      </c>
      <c r="J600" s="16">
        <f>_xlfn.XLOOKUP(CustomerCombinedCleaned[[#This Row],[ID]], Table4[ID], Table4[Recency], "Not Found", 0)</f>
        <v>2</v>
      </c>
      <c r="K600" s="16">
        <f>_xlfn.XLOOKUP(CustomerCombinedCleaned[[#This Row],[ID]], Table4[ID], Table4[Teas], "Not Found", 0)</f>
        <v>11</v>
      </c>
      <c r="L600" s="16">
        <f>_xlfn.XLOOKUP(CustomerCombinedCleaned[[#This Row],[ID]], Table4[ID], Table4[Fruits], "Not Found", 0)</f>
        <v>22</v>
      </c>
      <c r="M600" s="16">
        <f>_xlfn.XLOOKUP(CustomerCombinedCleaned[[#This Row],[ID]], Table4[ID], Table4[Meats], "Not Found", 0)</f>
        <v>49</v>
      </c>
      <c r="N600" s="16">
        <f>_xlfn.XLOOKUP(CustomerCombinedCleaned[[#This Row],[ID]], Table4[ID], Table4[Seafood], "Not Found", 0)</f>
        <v>0</v>
      </c>
      <c r="O600" s="16">
        <f>_xlfn.XLOOKUP(CustomerCombinedCleaned[[#This Row],[ID]], Table4[ID], Table4[Sweets], "Not Found", 0)</f>
        <v>22</v>
      </c>
      <c r="P600" s="16">
        <f>_xlfn.XLOOKUP(CustomerCombinedCleaned[[#This Row],[ID]], Table4[ID], Table4[Premium], "Not Found", 0)</f>
        <v>27</v>
      </c>
      <c r="Q600" s="16">
        <f>_xlfn.XLOOKUP(CustomerCombinedCleaned[[#This Row],[ID]], Table4[ID], Table4[Regular], "Not Found", 0)</f>
        <v>76</v>
      </c>
      <c r="R600" s="16">
        <f>_xlfn.XLOOKUP(CustomerCombinedCleaned[[#This Row],[ID]], Table4[ID], Table4[Deals], "Not Found", 0)</f>
        <v>1</v>
      </c>
      <c r="S600" s="16">
        <f>_xlfn.XLOOKUP(CustomerCombinedCleaned[[#This Row],[ID]], Table4[ID], Table4[Website], "Not Found", 0)</f>
        <v>1</v>
      </c>
      <c r="T600" s="16">
        <f>_xlfn.XLOOKUP(CustomerCombinedCleaned[[#This Row],[ID]], Table4[ID], Table4[Catalog], "Not Found", 0)</f>
        <v>0</v>
      </c>
      <c r="U600" s="16">
        <f>_xlfn.XLOOKUP(CustomerCombinedCleaned[[#This Row],[ID]], Table4[ID], Table4[Store], "Not Found", 0)</f>
        <v>3</v>
      </c>
      <c r="V600" s="16">
        <f>_xlfn.XLOOKUP(CustomerCombinedCleaned[[#This Row],[ID]], Table4[ID], Table4[Visits], "Not Found", 0)</f>
        <v>5</v>
      </c>
      <c r="W600" s="16">
        <f>_xlfn.XLOOKUP(CustomerCombinedCleaned[[#This Row],[ID]], Table2[ID],Table2[Complaint], "Not Found", 0 )</f>
        <v>0</v>
      </c>
      <c r="X600" s="16">
        <f>_xlfn.XLOOKUP(CustomerCombinedCleaned[[#This Row],[ID]], Table2[ID],Table2[Pilot], "Not Found", 0 )</f>
        <v>0</v>
      </c>
      <c r="Y600" s="16">
        <f>_xlfn.XLOOKUP(CustomerCombinedCleaned[[#This Row],[ID]], Table2[ID],Table2[MC1], "Not Found", 0 )</f>
        <v>0</v>
      </c>
      <c r="Z600" s="16">
        <f>_xlfn.XLOOKUP(CustomerCombinedCleaned[[#This Row],[ID]], Table2[ID],Table2[MC2], "Not Found", 0 )</f>
        <v>0</v>
      </c>
      <c r="AA600" s="16">
        <f>_xlfn.XLOOKUP(CustomerCombinedCleaned[[#This Row],[ID]], Table2[ID],Table2[MC3], "Not Found", 0 )</f>
        <v>0</v>
      </c>
      <c r="AB600" s="16">
        <f>_xlfn.XLOOKUP(CustomerCombinedCleaned[[#This Row],[ID]], Table2[ID],Table2[MC4], "Not Found", 0 )</f>
        <v>0</v>
      </c>
      <c r="AC600" s="16">
        <f>_xlfn.XLOOKUP(CustomerCombinedCleaned[[#This Row],[ID]], Table2[ID],Table2[MC5], "Not Found", 0 )</f>
        <v>0</v>
      </c>
    </row>
    <row r="601" spans="1:29" x14ac:dyDescent="0.3">
      <c r="A601" s="18">
        <v>2692</v>
      </c>
      <c r="B601" s="16">
        <v>122108</v>
      </c>
      <c r="C601" s="16">
        <v>1</v>
      </c>
      <c r="D601" s="16">
        <v>1</v>
      </c>
      <c r="E601" s="16">
        <v>43</v>
      </c>
      <c r="F601" s="17" t="s">
        <v>6</v>
      </c>
      <c r="G601" s="17" t="s">
        <v>11</v>
      </c>
      <c r="H601" s="3" t="s">
        <v>559</v>
      </c>
      <c r="I601" s="5" t="s">
        <v>439</v>
      </c>
      <c r="J601" s="16">
        <f>_xlfn.XLOOKUP(CustomerCombinedCleaned[[#This Row],[ID]], Table4[ID], Table4[Recency], "Not Found", 0)</f>
        <v>46</v>
      </c>
      <c r="K601" s="16">
        <f>_xlfn.XLOOKUP(CustomerCombinedCleaned[[#This Row],[ID]], Table4[ID], Table4[Teas], "Not Found", 0)</f>
        <v>28</v>
      </c>
      <c r="L601" s="16">
        <f>_xlfn.XLOOKUP(CustomerCombinedCleaned[[#This Row],[ID]], Table4[ID], Table4[Fruits], "Not Found", 0)</f>
        <v>17</v>
      </c>
      <c r="M601" s="16">
        <f>_xlfn.XLOOKUP(CustomerCombinedCleaned[[#This Row],[ID]], Table4[ID], Table4[Meats], "Not Found", 0)</f>
        <v>50</v>
      </c>
      <c r="N601" s="16">
        <f>_xlfn.XLOOKUP(CustomerCombinedCleaned[[#This Row],[ID]], Table4[ID], Table4[Seafood], "Not Found", 0)</f>
        <v>33</v>
      </c>
      <c r="O601" s="16">
        <f>_xlfn.XLOOKUP(CustomerCombinedCleaned[[#This Row],[ID]], Table4[ID], Table4[Sweets], "Not Found", 0)</f>
        <v>11</v>
      </c>
      <c r="P601" s="16">
        <f>_xlfn.XLOOKUP(CustomerCombinedCleaned[[#This Row],[ID]], Table4[ID], Table4[Premium], "Not Found", 0)</f>
        <v>33</v>
      </c>
      <c r="Q601" s="16">
        <f>_xlfn.XLOOKUP(CustomerCombinedCleaned[[#This Row],[ID]], Table4[ID], Table4[Regular], "Not Found", 0)</f>
        <v>105</v>
      </c>
      <c r="R601" s="16">
        <f>_xlfn.XLOOKUP(CustomerCombinedCleaned[[#This Row],[ID]], Table4[ID], Table4[Deals], "Not Found", 0)</f>
        <v>2</v>
      </c>
      <c r="S601" s="16">
        <f>_xlfn.XLOOKUP(CustomerCombinedCleaned[[#This Row],[ID]], Table4[ID], Table4[Website], "Not Found", 0)</f>
        <v>2</v>
      </c>
      <c r="T601" s="16">
        <f>_xlfn.XLOOKUP(CustomerCombinedCleaned[[#This Row],[ID]], Table4[ID], Table4[Catalog], "Not Found", 0)</f>
        <v>0</v>
      </c>
      <c r="U601" s="16">
        <f>_xlfn.XLOOKUP(CustomerCombinedCleaned[[#This Row],[ID]], Table4[ID], Table4[Store], "Not Found", 0)</f>
        <v>3</v>
      </c>
      <c r="V601" s="16">
        <f>_xlfn.XLOOKUP(CustomerCombinedCleaned[[#This Row],[ID]], Table4[ID], Table4[Visits], "Not Found", 0)</f>
        <v>7</v>
      </c>
      <c r="W601" s="16">
        <f>_xlfn.XLOOKUP(CustomerCombinedCleaned[[#This Row],[ID]], Table2[ID],Table2[Complaint], "Not Found", 0 )</f>
        <v>0</v>
      </c>
      <c r="X601" s="16">
        <f>_xlfn.XLOOKUP(CustomerCombinedCleaned[[#This Row],[ID]], Table2[ID],Table2[Pilot], "Not Found", 0 )</f>
        <v>0</v>
      </c>
      <c r="Y601" s="16">
        <f>_xlfn.XLOOKUP(CustomerCombinedCleaned[[#This Row],[ID]], Table2[ID],Table2[MC1], "Not Found", 0 )</f>
        <v>0</v>
      </c>
      <c r="Z601" s="16">
        <f>_xlfn.XLOOKUP(CustomerCombinedCleaned[[#This Row],[ID]], Table2[ID],Table2[MC2], "Not Found", 0 )</f>
        <v>0</v>
      </c>
      <c r="AA601" s="16">
        <f>_xlfn.XLOOKUP(CustomerCombinedCleaned[[#This Row],[ID]], Table2[ID],Table2[MC3], "Not Found", 0 )</f>
        <v>0</v>
      </c>
      <c r="AB601" s="16">
        <f>_xlfn.XLOOKUP(CustomerCombinedCleaned[[#This Row],[ID]], Table2[ID],Table2[MC4], "Not Found", 0 )</f>
        <v>0</v>
      </c>
      <c r="AC601" s="16">
        <f>_xlfn.XLOOKUP(CustomerCombinedCleaned[[#This Row],[ID]], Table2[ID],Table2[MC5], "Not Found", 0 )</f>
        <v>0</v>
      </c>
    </row>
    <row r="602" spans="1:29" x14ac:dyDescent="0.3">
      <c r="A602" s="18">
        <v>2490</v>
      </c>
      <c r="B602" s="16">
        <v>120981</v>
      </c>
      <c r="C602" s="16">
        <v>0</v>
      </c>
      <c r="D602" s="16">
        <v>0</v>
      </c>
      <c r="E602" s="16">
        <v>43</v>
      </c>
      <c r="F602" s="17" t="s">
        <v>8</v>
      </c>
      <c r="G602" s="17" t="s">
        <v>11</v>
      </c>
      <c r="H602" s="3" t="s">
        <v>796</v>
      </c>
      <c r="I602" s="5" t="s">
        <v>436</v>
      </c>
      <c r="J602" s="16">
        <f>_xlfn.XLOOKUP(CustomerCombinedCleaned[[#This Row],[ID]], Table4[ID], Table4[Recency], "Not Found", 0)</f>
        <v>14</v>
      </c>
      <c r="K602" s="16">
        <f>_xlfn.XLOOKUP(CustomerCombinedCleaned[[#This Row],[ID]], Table4[ID], Table4[Teas], "Not Found", 0)</f>
        <v>12</v>
      </c>
      <c r="L602" s="16">
        <f>_xlfn.XLOOKUP(CustomerCombinedCleaned[[#This Row],[ID]], Table4[ID], Table4[Fruits], "Not Found", 0)</f>
        <v>69</v>
      </c>
      <c r="M602" s="16">
        <f>_xlfn.XLOOKUP(CustomerCombinedCleaned[[#This Row],[ID]], Table4[ID], Table4[Meats], "Not Found", 0)</f>
        <v>58</v>
      </c>
      <c r="N602" s="16">
        <f>_xlfn.XLOOKUP(CustomerCombinedCleaned[[#This Row],[ID]], Table4[ID], Table4[Seafood], "Not Found", 0)</f>
        <v>35</v>
      </c>
      <c r="O602" s="16">
        <f>_xlfn.XLOOKUP(CustomerCombinedCleaned[[#This Row],[ID]], Table4[ID], Table4[Sweets], "Not Found", 0)</f>
        <v>75</v>
      </c>
      <c r="P602" s="16">
        <f>_xlfn.XLOOKUP(CustomerCombinedCleaned[[#This Row],[ID]], Table4[ID], Table4[Premium], "Not Found", 0)</f>
        <v>173</v>
      </c>
      <c r="Q602" s="16">
        <f>_xlfn.XLOOKUP(CustomerCombinedCleaned[[#This Row],[ID]], Table4[ID], Table4[Regular], "Not Found", 0)</f>
        <v>75</v>
      </c>
      <c r="R602" s="16">
        <f>_xlfn.XLOOKUP(CustomerCombinedCleaned[[#This Row],[ID]], Table4[ID], Table4[Deals], "Not Found", 0)</f>
        <v>1</v>
      </c>
      <c r="S602" s="16">
        <f>_xlfn.XLOOKUP(CustomerCombinedCleaned[[#This Row],[ID]], Table4[ID], Table4[Website], "Not Found", 0)</f>
        <v>3</v>
      </c>
      <c r="T602" s="16">
        <f>_xlfn.XLOOKUP(CustomerCombinedCleaned[[#This Row],[ID]], Table4[ID], Table4[Catalog], "Not Found", 0)</f>
        <v>1</v>
      </c>
      <c r="U602" s="16">
        <f>_xlfn.XLOOKUP(CustomerCombinedCleaned[[#This Row],[ID]], Table4[ID], Table4[Store], "Not Found", 0)</f>
        <v>2</v>
      </c>
      <c r="V602" s="16">
        <f>_xlfn.XLOOKUP(CustomerCombinedCleaned[[#This Row],[ID]], Table4[ID], Table4[Visits], "Not Found", 0)</f>
        <v>8</v>
      </c>
      <c r="W602" s="16">
        <f>_xlfn.XLOOKUP(CustomerCombinedCleaned[[#This Row],[ID]], Table2[ID],Table2[Complaint], "Not Found", 0 )</f>
        <v>0</v>
      </c>
      <c r="X602" s="16">
        <f>_xlfn.XLOOKUP(CustomerCombinedCleaned[[#This Row],[ID]], Table2[ID],Table2[Pilot], "Not Found", 0 )</f>
        <v>1</v>
      </c>
      <c r="Y602" s="16">
        <f>_xlfn.XLOOKUP(CustomerCombinedCleaned[[#This Row],[ID]], Table2[ID],Table2[MC1], "Not Found", 0 )</f>
        <v>0</v>
      </c>
      <c r="Z602" s="16">
        <f>_xlfn.XLOOKUP(CustomerCombinedCleaned[[#This Row],[ID]], Table2[ID],Table2[MC2], "Not Found", 0 )</f>
        <v>0</v>
      </c>
      <c r="AA602" s="16">
        <f>_xlfn.XLOOKUP(CustomerCombinedCleaned[[#This Row],[ID]], Table2[ID],Table2[MC3], "Not Found", 0 )</f>
        <v>0</v>
      </c>
      <c r="AB602" s="16">
        <f>_xlfn.XLOOKUP(CustomerCombinedCleaned[[#This Row],[ID]], Table2[ID],Table2[MC4], "Not Found", 0 )</f>
        <v>0</v>
      </c>
      <c r="AC602" s="16">
        <f>_xlfn.XLOOKUP(CustomerCombinedCleaned[[#This Row],[ID]], Table2[ID],Table2[MC5], "Not Found", 0 )</f>
        <v>0</v>
      </c>
    </row>
    <row r="603" spans="1:29" x14ac:dyDescent="0.3">
      <c r="A603" s="18">
        <v>2114</v>
      </c>
      <c r="B603" s="16">
        <v>185606</v>
      </c>
      <c r="C603" s="16">
        <v>0</v>
      </c>
      <c r="D603" s="16">
        <v>1</v>
      </c>
      <c r="E603" s="16">
        <v>44</v>
      </c>
      <c r="F603" s="17" t="s">
        <v>8</v>
      </c>
      <c r="G603" s="17" t="s">
        <v>11</v>
      </c>
      <c r="H603" s="3" t="s">
        <v>363</v>
      </c>
      <c r="I603" s="5" t="s">
        <v>438</v>
      </c>
      <c r="J603" s="16">
        <f>_xlfn.XLOOKUP(CustomerCombinedCleaned[[#This Row],[ID]], Table4[ID], Table4[Recency], "Not Found", 0)</f>
        <v>89</v>
      </c>
      <c r="K603" s="16">
        <f>_xlfn.XLOOKUP(CustomerCombinedCleaned[[#This Row],[ID]], Table4[ID], Table4[Teas], "Not Found", 0)</f>
        <v>1555</v>
      </c>
      <c r="L603" s="16">
        <f>_xlfn.XLOOKUP(CustomerCombinedCleaned[[#This Row],[ID]], Table4[ID], Table4[Fruits], "Not Found", 0)</f>
        <v>91</v>
      </c>
      <c r="M603" s="16">
        <f>_xlfn.XLOOKUP(CustomerCombinedCleaned[[#This Row],[ID]], Table4[ID], Table4[Meats], "Not Found", 0)</f>
        <v>1873</v>
      </c>
      <c r="N603" s="16">
        <f>_xlfn.XLOOKUP(CustomerCombinedCleaned[[#This Row],[ID]], Table4[ID], Table4[Seafood], "Not Found", 0)</f>
        <v>475</v>
      </c>
      <c r="O603" s="16">
        <f>_xlfn.XLOOKUP(CustomerCombinedCleaned[[#This Row],[ID]], Table4[ID], Table4[Sweets], "Not Found", 0)</f>
        <v>65</v>
      </c>
      <c r="P603" s="16">
        <f>_xlfn.XLOOKUP(CustomerCombinedCleaned[[#This Row],[ID]], Table4[ID], Table4[Premium], "Not Found", 0)</f>
        <v>182</v>
      </c>
      <c r="Q603" s="16">
        <f>_xlfn.XLOOKUP(CustomerCombinedCleaned[[#This Row],[ID]], Table4[ID], Table4[Regular], "Not Found", 0)</f>
        <v>3877</v>
      </c>
      <c r="R603" s="16">
        <f>_xlfn.XLOOKUP(CustomerCombinedCleaned[[#This Row],[ID]], Table4[ID], Table4[Deals], "Not Found", 0)</f>
        <v>2</v>
      </c>
      <c r="S603" s="16">
        <f>_xlfn.XLOOKUP(CustomerCombinedCleaned[[#This Row],[ID]], Table4[ID], Table4[Website], "Not Found", 0)</f>
        <v>6</v>
      </c>
      <c r="T603" s="16">
        <f>_xlfn.XLOOKUP(CustomerCombinedCleaned[[#This Row],[ID]], Table4[ID], Table4[Catalog], "Not Found", 0)</f>
        <v>7</v>
      </c>
      <c r="U603" s="16">
        <f>_xlfn.XLOOKUP(CustomerCombinedCleaned[[#This Row],[ID]], Table4[ID], Table4[Store], "Not Found", 0)</f>
        <v>9</v>
      </c>
      <c r="V603" s="16">
        <f>_xlfn.XLOOKUP(CustomerCombinedCleaned[[#This Row],[ID]], Table4[ID], Table4[Visits], "Not Found", 0)</f>
        <v>3</v>
      </c>
      <c r="W603" s="16">
        <f>_xlfn.XLOOKUP(CustomerCombinedCleaned[[#This Row],[ID]], Table2[ID],Table2[Complaint], "Not Found", 0 )</f>
        <v>0</v>
      </c>
      <c r="X603" s="16">
        <f>_xlfn.XLOOKUP(CustomerCombinedCleaned[[#This Row],[ID]], Table2[ID],Table2[Pilot], "Not Found", 0 )</f>
        <v>0</v>
      </c>
      <c r="Y603" s="16">
        <f>_xlfn.XLOOKUP(CustomerCombinedCleaned[[#This Row],[ID]], Table2[ID],Table2[MC1], "Not Found", 0 )</f>
        <v>1</v>
      </c>
      <c r="Z603" s="16">
        <f>_xlfn.XLOOKUP(CustomerCombinedCleaned[[#This Row],[ID]], Table2[ID],Table2[MC2], "Not Found", 0 )</f>
        <v>0</v>
      </c>
      <c r="AA603" s="16">
        <f>_xlfn.XLOOKUP(CustomerCombinedCleaned[[#This Row],[ID]], Table2[ID],Table2[MC3], "Not Found", 0 )</f>
        <v>0</v>
      </c>
      <c r="AB603" s="16">
        <f>_xlfn.XLOOKUP(CustomerCombinedCleaned[[#This Row],[ID]], Table2[ID],Table2[MC4], "Not Found", 0 )</f>
        <v>0</v>
      </c>
      <c r="AC603" s="16">
        <f>_xlfn.XLOOKUP(CustomerCombinedCleaned[[#This Row],[ID]], Table2[ID],Table2[MC5], "Not Found", 0 )</f>
        <v>0</v>
      </c>
    </row>
    <row r="604" spans="1:29" x14ac:dyDescent="0.3">
      <c r="A604" s="18">
        <v>3067</v>
      </c>
      <c r="B604" s="16">
        <v>181929</v>
      </c>
      <c r="C604" s="16">
        <v>1</v>
      </c>
      <c r="D604" s="16">
        <v>0</v>
      </c>
      <c r="E604" s="16">
        <v>44</v>
      </c>
      <c r="F604" s="17" t="s">
        <v>6</v>
      </c>
      <c r="G604" s="17" t="s">
        <v>12</v>
      </c>
      <c r="H604" s="3" t="s">
        <v>592</v>
      </c>
      <c r="I604" s="5" t="s">
        <v>437</v>
      </c>
      <c r="J604" s="16">
        <f>_xlfn.XLOOKUP(CustomerCombinedCleaned[[#This Row],[ID]], Table4[ID], Table4[Recency], "Not Found", 0)</f>
        <v>60</v>
      </c>
      <c r="K604" s="16">
        <f>_xlfn.XLOOKUP(CustomerCombinedCleaned[[#This Row],[ID]], Table4[ID], Table4[Teas], "Not Found", 0)</f>
        <v>3300</v>
      </c>
      <c r="L604" s="16">
        <f>_xlfn.XLOOKUP(CustomerCombinedCleaned[[#This Row],[ID]], Table4[ID], Table4[Fruits], "Not Found", 0)</f>
        <v>122</v>
      </c>
      <c r="M604" s="16">
        <f>_xlfn.XLOOKUP(CustomerCombinedCleaned[[#This Row],[ID]], Table4[ID], Table4[Meats], "Not Found", 0)</f>
        <v>617</v>
      </c>
      <c r="N604" s="16">
        <f>_xlfn.XLOOKUP(CustomerCombinedCleaned[[#This Row],[ID]], Table4[ID], Table4[Seafood], "Not Found", 0)</f>
        <v>109</v>
      </c>
      <c r="O604" s="16">
        <f>_xlfn.XLOOKUP(CustomerCombinedCleaned[[#This Row],[ID]], Table4[ID], Table4[Sweets], "Not Found", 0)</f>
        <v>0</v>
      </c>
      <c r="P604" s="16">
        <f>_xlfn.XLOOKUP(CustomerCombinedCleaned[[#This Row],[ID]], Table4[ID], Table4[Premium], "Not Found", 0)</f>
        <v>411</v>
      </c>
      <c r="Q604" s="16">
        <f>_xlfn.XLOOKUP(CustomerCombinedCleaned[[#This Row],[ID]], Table4[ID], Table4[Regular], "Not Found", 0)</f>
        <v>3737</v>
      </c>
      <c r="R604" s="16">
        <f>_xlfn.XLOOKUP(CustomerCombinedCleaned[[#This Row],[ID]], Table4[ID], Table4[Deals], "Not Found", 0)</f>
        <v>2</v>
      </c>
      <c r="S604" s="16">
        <f>_xlfn.XLOOKUP(CustomerCombinedCleaned[[#This Row],[ID]], Table4[ID], Table4[Website], "Not Found", 0)</f>
        <v>4</v>
      </c>
      <c r="T604" s="16">
        <f>_xlfn.XLOOKUP(CustomerCombinedCleaned[[#This Row],[ID]], Table4[ID], Table4[Catalog], "Not Found", 0)</f>
        <v>4</v>
      </c>
      <c r="U604" s="16">
        <f>_xlfn.XLOOKUP(CustomerCombinedCleaned[[#This Row],[ID]], Table4[ID], Table4[Store], "Not Found", 0)</f>
        <v>10</v>
      </c>
      <c r="V604" s="16">
        <f>_xlfn.XLOOKUP(CustomerCombinedCleaned[[#This Row],[ID]], Table4[ID], Table4[Visits], "Not Found", 0)</f>
        <v>6</v>
      </c>
      <c r="W604" s="16">
        <f>_xlfn.XLOOKUP(CustomerCombinedCleaned[[#This Row],[ID]], Table2[ID],Table2[Complaint], "Not Found", 0 )</f>
        <v>0</v>
      </c>
      <c r="X604" s="16">
        <f>_xlfn.XLOOKUP(CustomerCombinedCleaned[[#This Row],[ID]], Table2[ID],Table2[Pilot], "Not Found", 0 )</f>
        <v>1</v>
      </c>
      <c r="Y604" s="16">
        <f>_xlfn.XLOOKUP(CustomerCombinedCleaned[[#This Row],[ID]], Table2[ID],Table2[MC1], "Not Found", 0 )</f>
        <v>0</v>
      </c>
      <c r="Z604" s="16">
        <f>_xlfn.XLOOKUP(CustomerCombinedCleaned[[#This Row],[ID]], Table2[ID],Table2[MC2], "Not Found", 0 )</f>
        <v>0</v>
      </c>
      <c r="AA604" s="16">
        <f>_xlfn.XLOOKUP(CustomerCombinedCleaned[[#This Row],[ID]], Table2[ID],Table2[MC3], "Not Found", 0 )</f>
        <v>1</v>
      </c>
      <c r="AB604" s="16">
        <f>_xlfn.XLOOKUP(CustomerCombinedCleaned[[#This Row],[ID]], Table2[ID],Table2[MC4], "Not Found", 0 )</f>
        <v>0</v>
      </c>
      <c r="AC604" s="16">
        <f>_xlfn.XLOOKUP(CustomerCombinedCleaned[[#This Row],[ID]], Table2[ID],Table2[MC5], "Not Found", 0 )</f>
        <v>1</v>
      </c>
    </row>
    <row r="605" spans="1:29" x14ac:dyDescent="0.3">
      <c r="A605" s="18">
        <v>1043</v>
      </c>
      <c r="B605" s="16">
        <v>179941</v>
      </c>
      <c r="C605" s="16">
        <v>0</v>
      </c>
      <c r="D605" s="16">
        <v>0</v>
      </c>
      <c r="E605" s="16">
        <v>44</v>
      </c>
      <c r="F605" s="17" t="s">
        <v>7</v>
      </c>
      <c r="G605" s="17" t="s">
        <v>11</v>
      </c>
      <c r="H605" s="3" t="s">
        <v>606</v>
      </c>
      <c r="I605" s="5" t="s">
        <v>434</v>
      </c>
      <c r="J605" s="16">
        <f>_xlfn.XLOOKUP(CustomerCombinedCleaned[[#This Row],[ID]], Table4[ID], Table4[Recency], "Not Found", 0)</f>
        <v>72</v>
      </c>
      <c r="K605" s="16">
        <f>_xlfn.XLOOKUP(CustomerCombinedCleaned[[#This Row],[ID]], Table4[ID], Table4[Teas], "Not Found", 0)</f>
        <v>277</v>
      </c>
      <c r="L605" s="16">
        <f>_xlfn.XLOOKUP(CustomerCombinedCleaned[[#This Row],[ID]], Table4[ID], Table4[Fruits], "Not Found", 0)</f>
        <v>369</v>
      </c>
      <c r="M605" s="16">
        <f>_xlfn.XLOOKUP(CustomerCombinedCleaned[[#This Row],[ID]], Table4[ID], Table4[Meats], "Not Found", 0)</f>
        <v>599</v>
      </c>
      <c r="N605" s="16">
        <f>_xlfn.XLOOKUP(CustomerCombinedCleaned[[#This Row],[ID]], Table4[ID], Table4[Seafood], "Not Found", 0)</f>
        <v>511</v>
      </c>
      <c r="O605" s="16">
        <f>_xlfn.XLOOKUP(CustomerCombinedCleaned[[#This Row],[ID]], Table4[ID], Table4[Sweets], "Not Found", 0)</f>
        <v>68</v>
      </c>
      <c r="P605" s="16">
        <f>_xlfn.XLOOKUP(CustomerCombinedCleaned[[#This Row],[ID]], Table4[ID], Table4[Premium], "Not Found", 0)</f>
        <v>392</v>
      </c>
      <c r="Q605" s="16">
        <f>_xlfn.XLOOKUP(CustomerCombinedCleaned[[#This Row],[ID]], Table4[ID], Table4[Regular], "Not Found", 0)</f>
        <v>1432</v>
      </c>
      <c r="R605" s="16">
        <f>_xlfn.XLOOKUP(CustomerCombinedCleaned[[#This Row],[ID]], Table4[ID], Table4[Deals], "Not Found", 0)</f>
        <v>1</v>
      </c>
      <c r="S605" s="16">
        <f>_xlfn.XLOOKUP(CustomerCombinedCleaned[[#This Row],[ID]], Table4[ID], Table4[Website], "Not Found", 0)</f>
        <v>2</v>
      </c>
      <c r="T605" s="16">
        <f>_xlfn.XLOOKUP(CustomerCombinedCleaned[[#This Row],[ID]], Table4[ID], Table4[Catalog], "Not Found", 0)</f>
        <v>4</v>
      </c>
      <c r="U605" s="16">
        <f>_xlfn.XLOOKUP(CustomerCombinedCleaned[[#This Row],[ID]], Table4[ID], Table4[Store], "Not Found", 0)</f>
        <v>9</v>
      </c>
      <c r="V605" s="16">
        <f>_xlfn.XLOOKUP(CustomerCombinedCleaned[[#This Row],[ID]], Table4[ID], Table4[Visits], "Not Found", 0)</f>
        <v>1</v>
      </c>
      <c r="W605" s="16">
        <f>_xlfn.XLOOKUP(CustomerCombinedCleaned[[#This Row],[ID]], Table2[ID],Table2[Complaint], "Not Found", 0 )</f>
        <v>0</v>
      </c>
      <c r="X605" s="16">
        <f>_xlfn.XLOOKUP(CustomerCombinedCleaned[[#This Row],[ID]], Table2[ID],Table2[Pilot], "Not Found", 0 )</f>
        <v>0</v>
      </c>
      <c r="Y605" s="16">
        <f>_xlfn.XLOOKUP(CustomerCombinedCleaned[[#This Row],[ID]], Table2[ID],Table2[MC1], "Not Found", 0 )</f>
        <v>0</v>
      </c>
      <c r="Z605" s="16">
        <f>_xlfn.XLOOKUP(CustomerCombinedCleaned[[#This Row],[ID]], Table2[ID],Table2[MC2], "Not Found", 0 )</f>
        <v>0</v>
      </c>
      <c r="AA605" s="16">
        <f>_xlfn.XLOOKUP(CustomerCombinedCleaned[[#This Row],[ID]], Table2[ID],Table2[MC3], "Not Found", 0 )</f>
        <v>0</v>
      </c>
      <c r="AB605" s="16">
        <f>_xlfn.XLOOKUP(CustomerCombinedCleaned[[#This Row],[ID]], Table2[ID],Table2[MC4], "Not Found", 0 )</f>
        <v>0</v>
      </c>
      <c r="AC605" s="16">
        <f>_xlfn.XLOOKUP(CustomerCombinedCleaned[[#This Row],[ID]], Table2[ID],Table2[MC5], "Not Found", 0 )</f>
        <v>0</v>
      </c>
    </row>
    <row r="606" spans="1:29" x14ac:dyDescent="0.3">
      <c r="A606" s="18">
        <v>1969</v>
      </c>
      <c r="B606" s="16">
        <v>179689</v>
      </c>
      <c r="C606" s="16">
        <v>0</v>
      </c>
      <c r="D606" s="16">
        <v>0</v>
      </c>
      <c r="E606" s="16">
        <v>44</v>
      </c>
      <c r="F606" s="17" t="s">
        <v>7</v>
      </c>
      <c r="G606" s="17" t="s">
        <v>11</v>
      </c>
      <c r="H606" s="3" t="s">
        <v>259</v>
      </c>
      <c r="I606" s="5" t="s">
        <v>437</v>
      </c>
      <c r="J606" s="16">
        <f>_xlfn.XLOOKUP(CustomerCombinedCleaned[[#This Row],[ID]], Table4[ID], Table4[Recency], "Not Found", 0)</f>
        <v>65</v>
      </c>
      <c r="K606" s="16">
        <f>_xlfn.XLOOKUP(CustomerCombinedCleaned[[#This Row],[ID]], Table4[ID], Table4[Teas], "Not Found", 0)</f>
        <v>701</v>
      </c>
      <c r="L606" s="16">
        <f>_xlfn.XLOOKUP(CustomerCombinedCleaned[[#This Row],[ID]], Table4[ID], Table4[Fruits], "Not Found", 0)</f>
        <v>59</v>
      </c>
      <c r="M606" s="16">
        <f>_xlfn.XLOOKUP(CustomerCombinedCleaned[[#This Row],[ID]], Table4[ID], Table4[Meats], "Not Found", 0)</f>
        <v>1443</v>
      </c>
      <c r="N606" s="16">
        <f>_xlfn.XLOOKUP(CustomerCombinedCleaned[[#This Row],[ID]], Table4[ID], Table4[Seafood], "Not Found", 0)</f>
        <v>406</v>
      </c>
      <c r="O606" s="16">
        <f>_xlfn.XLOOKUP(CustomerCombinedCleaned[[#This Row],[ID]], Table4[ID], Table4[Sweets], "Not Found", 0)</f>
        <v>83</v>
      </c>
      <c r="P606" s="16">
        <f>_xlfn.XLOOKUP(CustomerCombinedCleaned[[#This Row],[ID]], Table4[ID], Table4[Premium], "Not Found", 0)</f>
        <v>273</v>
      </c>
      <c r="Q606" s="16">
        <f>_xlfn.XLOOKUP(CustomerCombinedCleaned[[#This Row],[ID]], Table4[ID], Table4[Regular], "Not Found", 0)</f>
        <v>2419</v>
      </c>
      <c r="R606" s="16">
        <f>_xlfn.XLOOKUP(CustomerCombinedCleaned[[#This Row],[ID]], Table4[ID], Table4[Deals], "Not Found", 0)</f>
        <v>1</v>
      </c>
      <c r="S606" s="16">
        <f>_xlfn.XLOOKUP(CustomerCombinedCleaned[[#This Row],[ID]], Table4[ID], Table4[Website], "Not Found", 0)</f>
        <v>4</v>
      </c>
      <c r="T606" s="16">
        <f>_xlfn.XLOOKUP(CustomerCombinedCleaned[[#This Row],[ID]], Table4[ID], Table4[Catalog], "Not Found", 0)</f>
        <v>9</v>
      </c>
      <c r="U606" s="16">
        <f>_xlfn.XLOOKUP(CustomerCombinedCleaned[[#This Row],[ID]], Table4[ID], Table4[Store], "Not Found", 0)</f>
        <v>13</v>
      </c>
      <c r="V606" s="16">
        <f>_xlfn.XLOOKUP(CustomerCombinedCleaned[[#This Row],[ID]], Table4[ID], Table4[Visits], "Not Found", 0)</f>
        <v>2</v>
      </c>
      <c r="W606" s="16">
        <f>_xlfn.XLOOKUP(CustomerCombinedCleaned[[#This Row],[ID]], Table2[ID],Table2[Complaint], "Not Found", 0 )</f>
        <v>0</v>
      </c>
      <c r="X606" s="16">
        <f>_xlfn.XLOOKUP(CustomerCombinedCleaned[[#This Row],[ID]], Table2[ID],Table2[Pilot], "Not Found", 0 )</f>
        <v>0</v>
      </c>
      <c r="Y606" s="16">
        <f>_xlfn.XLOOKUP(CustomerCombinedCleaned[[#This Row],[ID]], Table2[ID],Table2[MC1], "Not Found", 0 )</f>
        <v>0</v>
      </c>
      <c r="Z606" s="16">
        <f>_xlfn.XLOOKUP(CustomerCombinedCleaned[[#This Row],[ID]], Table2[ID],Table2[MC2], "Not Found", 0 )</f>
        <v>0</v>
      </c>
      <c r="AA606" s="16">
        <f>_xlfn.XLOOKUP(CustomerCombinedCleaned[[#This Row],[ID]], Table2[ID],Table2[MC3], "Not Found", 0 )</f>
        <v>0</v>
      </c>
      <c r="AB606" s="16">
        <f>_xlfn.XLOOKUP(CustomerCombinedCleaned[[#This Row],[ID]], Table2[ID],Table2[MC4], "Not Found", 0 )</f>
        <v>0</v>
      </c>
      <c r="AC606" s="16">
        <f>_xlfn.XLOOKUP(CustomerCombinedCleaned[[#This Row],[ID]], Table2[ID],Table2[MC5], "Not Found", 0 )</f>
        <v>0</v>
      </c>
    </row>
    <row r="607" spans="1:29" x14ac:dyDescent="0.3">
      <c r="A607" s="18">
        <v>2775</v>
      </c>
      <c r="B607" s="16">
        <v>178416</v>
      </c>
      <c r="C607" s="16">
        <v>0</v>
      </c>
      <c r="D607" s="16">
        <v>1</v>
      </c>
      <c r="E607" s="16">
        <v>44</v>
      </c>
      <c r="F607" s="17" t="s">
        <v>8</v>
      </c>
      <c r="G607" s="17" t="s">
        <v>11</v>
      </c>
      <c r="H607" s="3" t="s">
        <v>615</v>
      </c>
      <c r="I607" s="5" t="s">
        <v>435</v>
      </c>
      <c r="J607" s="16">
        <f>_xlfn.XLOOKUP(CustomerCombinedCleaned[[#This Row],[ID]], Table4[ID], Table4[Recency], "Not Found", 0)</f>
        <v>99</v>
      </c>
      <c r="K607" s="16">
        <f>_xlfn.XLOOKUP(CustomerCombinedCleaned[[#This Row],[ID]], Table4[ID], Table4[Teas], "Not Found", 0)</f>
        <v>1031</v>
      </c>
      <c r="L607" s="16">
        <f>_xlfn.XLOOKUP(CustomerCombinedCleaned[[#This Row],[ID]], Table4[ID], Table4[Fruits], "Not Found", 0)</f>
        <v>86</v>
      </c>
      <c r="M607" s="16">
        <f>_xlfn.XLOOKUP(CustomerCombinedCleaned[[#This Row],[ID]], Table4[ID], Table4[Meats], "Not Found", 0)</f>
        <v>635</v>
      </c>
      <c r="N607" s="16">
        <f>_xlfn.XLOOKUP(CustomerCombinedCleaned[[#This Row],[ID]], Table4[ID], Table4[Seafood], "Not Found", 0)</f>
        <v>428</v>
      </c>
      <c r="O607" s="16">
        <f>_xlfn.XLOOKUP(CustomerCombinedCleaned[[#This Row],[ID]], Table4[ID], Table4[Sweets], "Not Found", 0)</f>
        <v>86</v>
      </c>
      <c r="P607" s="16">
        <f>_xlfn.XLOOKUP(CustomerCombinedCleaned[[#This Row],[ID]], Table4[ID], Table4[Premium], "Not Found", 0)</f>
        <v>416</v>
      </c>
      <c r="Q607" s="16">
        <f>_xlfn.XLOOKUP(CustomerCombinedCleaned[[#This Row],[ID]], Table4[ID], Table4[Regular], "Not Found", 0)</f>
        <v>1850</v>
      </c>
      <c r="R607" s="16">
        <f>_xlfn.XLOOKUP(CustomerCombinedCleaned[[#This Row],[ID]], Table4[ID], Table4[Deals], "Not Found", 0)</f>
        <v>2</v>
      </c>
      <c r="S607" s="16">
        <f>_xlfn.XLOOKUP(CustomerCombinedCleaned[[#This Row],[ID]], Table4[ID], Table4[Website], "Not Found", 0)</f>
        <v>7</v>
      </c>
      <c r="T607" s="16">
        <f>_xlfn.XLOOKUP(CustomerCombinedCleaned[[#This Row],[ID]], Table4[ID], Table4[Catalog], "Not Found", 0)</f>
        <v>7</v>
      </c>
      <c r="U607" s="16">
        <f>_xlfn.XLOOKUP(CustomerCombinedCleaned[[#This Row],[ID]], Table4[ID], Table4[Store], "Not Found", 0)</f>
        <v>10</v>
      </c>
      <c r="V607" s="16">
        <f>_xlfn.XLOOKUP(CustomerCombinedCleaned[[#This Row],[ID]], Table4[ID], Table4[Visits], "Not Found", 0)</f>
        <v>3</v>
      </c>
      <c r="W607" s="16">
        <f>_xlfn.XLOOKUP(CustomerCombinedCleaned[[#This Row],[ID]], Table2[ID],Table2[Complaint], "Not Found", 0 )</f>
        <v>0</v>
      </c>
      <c r="X607" s="16">
        <f>_xlfn.XLOOKUP(CustomerCombinedCleaned[[#This Row],[ID]], Table2[ID],Table2[Pilot], "Not Found", 0 )</f>
        <v>0</v>
      </c>
      <c r="Y607" s="16">
        <f>_xlfn.XLOOKUP(CustomerCombinedCleaned[[#This Row],[ID]], Table2[ID],Table2[MC1], "Not Found", 0 )</f>
        <v>0</v>
      </c>
      <c r="Z607" s="16">
        <f>_xlfn.XLOOKUP(CustomerCombinedCleaned[[#This Row],[ID]], Table2[ID],Table2[MC2], "Not Found", 0 )</f>
        <v>0</v>
      </c>
      <c r="AA607" s="16">
        <f>_xlfn.XLOOKUP(CustomerCombinedCleaned[[#This Row],[ID]], Table2[ID],Table2[MC3], "Not Found", 0 )</f>
        <v>0</v>
      </c>
      <c r="AB607" s="16">
        <f>_xlfn.XLOOKUP(CustomerCombinedCleaned[[#This Row],[ID]], Table2[ID],Table2[MC4], "Not Found", 0 )</f>
        <v>0</v>
      </c>
      <c r="AC607" s="16">
        <f>_xlfn.XLOOKUP(CustomerCombinedCleaned[[#This Row],[ID]], Table2[ID],Table2[MC5], "Not Found", 0 )</f>
        <v>0</v>
      </c>
    </row>
    <row r="608" spans="1:29" x14ac:dyDescent="0.3">
      <c r="A608" s="18">
        <v>1072</v>
      </c>
      <c r="B608" s="16">
        <v>175825</v>
      </c>
      <c r="C608" s="16">
        <v>0</v>
      </c>
      <c r="D608" s="16">
        <v>0</v>
      </c>
      <c r="E608" s="16">
        <v>44</v>
      </c>
      <c r="F608" s="17" t="s">
        <v>7</v>
      </c>
      <c r="G608" s="17" t="s">
        <v>11</v>
      </c>
      <c r="H608" s="3" t="s">
        <v>382</v>
      </c>
      <c r="I608" s="5" t="s">
        <v>439</v>
      </c>
      <c r="J608" s="16">
        <f>_xlfn.XLOOKUP(CustomerCombinedCleaned[[#This Row],[ID]], Table4[ID], Table4[Recency], "Not Found", 0)</f>
        <v>40</v>
      </c>
      <c r="K608" s="16">
        <f>_xlfn.XLOOKUP(CustomerCombinedCleaned[[#This Row],[ID]], Table4[ID], Table4[Teas], "Not Found", 0)</f>
        <v>2393</v>
      </c>
      <c r="L608" s="16">
        <f>_xlfn.XLOOKUP(CustomerCombinedCleaned[[#This Row],[ID]], Table4[ID], Table4[Fruits], "Not Found", 0)</f>
        <v>243</v>
      </c>
      <c r="M608" s="16">
        <f>_xlfn.XLOOKUP(CustomerCombinedCleaned[[#This Row],[ID]], Table4[ID], Table4[Meats], "Not Found", 0)</f>
        <v>1806</v>
      </c>
      <c r="N608" s="16">
        <f>_xlfn.XLOOKUP(CustomerCombinedCleaned[[#This Row],[ID]], Table4[ID], Table4[Seafood], "Not Found", 0)</f>
        <v>318</v>
      </c>
      <c r="O608" s="16">
        <f>_xlfn.XLOOKUP(CustomerCombinedCleaned[[#This Row],[ID]], Table4[ID], Table4[Sweets], "Not Found", 0)</f>
        <v>243</v>
      </c>
      <c r="P608" s="16">
        <f>_xlfn.XLOOKUP(CustomerCombinedCleaned[[#This Row],[ID]], Table4[ID], Table4[Premium], "Not Found", 0)</f>
        <v>118</v>
      </c>
      <c r="Q608" s="16">
        <f>_xlfn.XLOOKUP(CustomerCombinedCleaned[[#This Row],[ID]], Table4[ID], Table4[Regular], "Not Found", 0)</f>
        <v>4886</v>
      </c>
      <c r="R608" s="16">
        <f>_xlfn.XLOOKUP(CustomerCombinedCleaned[[#This Row],[ID]], Table4[ID], Table4[Deals], "Not Found", 0)</f>
        <v>0</v>
      </c>
      <c r="S608" s="16">
        <f>_xlfn.XLOOKUP(CustomerCombinedCleaned[[#This Row],[ID]], Table4[ID], Table4[Website], "Not Found", 0)</f>
        <v>5</v>
      </c>
      <c r="T608" s="16">
        <f>_xlfn.XLOOKUP(CustomerCombinedCleaned[[#This Row],[ID]], Table4[ID], Table4[Catalog], "Not Found", 0)</f>
        <v>8</v>
      </c>
      <c r="U608" s="16">
        <f>_xlfn.XLOOKUP(CustomerCombinedCleaned[[#This Row],[ID]], Table4[ID], Table4[Store], "Not Found", 0)</f>
        <v>9</v>
      </c>
      <c r="V608" s="16">
        <f>_xlfn.XLOOKUP(CustomerCombinedCleaned[[#This Row],[ID]], Table4[ID], Table4[Visits], "Not Found", 0)</f>
        <v>4</v>
      </c>
      <c r="W608" s="16">
        <f>_xlfn.XLOOKUP(CustomerCombinedCleaned[[#This Row],[ID]], Table2[ID],Table2[Complaint], "Not Found", 0 )</f>
        <v>0</v>
      </c>
      <c r="X608" s="16">
        <f>_xlfn.XLOOKUP(CustomerCombinedCleaned[[#This Row],[ID]], Table2[ID],Table2[Pilot], "Not Found", 0 )</f>
        <v>1</v>
      </c>
      <c r="Y608" s="16">
        <f>_xlfn.XLOOKUP(CustomerCombinedCleaned[[#This Row],[ID]], Table2[ID],Table2[MC1], "Not Found", 0 )</f>
        <v>0</v>
      </c>
      <c r="Z608" s="16">
        <f>_xlfn.XLOOKUP(CustomerCombinedCleaned[[#This Row],[ID]], Table2[ID],Table2[MC2], "Not Found", 0 )</f>
        <v>0</v>
      </c>
      <c r="AA608" s="16">
        <f>_xlfn.XLOOKUP(CustomerCombinedCleaned[[#This Row],[ID]], Table2[ID],Table2[MC3], "Not Found", 0 )</f>
        <v>1</v>
      </c>
      <c r="AB608" s="16">
        <f>_xlfn.XLOOKUP(CustomerCombinedCleaned[[#This Row],[ID]], Table2[ID],Table2[MC4], "Not Found", 0 )</f>
        <v>0</v>
      </c>
      <c r="AC608" s="16">
        <f>_xlfn.XLOOKUP(CustomerCombinedCleaned[[#This Row],[ID]], Table2[ID],Table2[MC5], "Not Found", 0 )</f>
        <v>0</v>
      </c>
    </row>
    <row r="609" spans="1:29" x14ac:dyDescent="0.3">
      <c r="A609" s="18">
        <v>2460</v>
      </c>
      <c r="B609" s="16">
        <v>175484</v>
      </c>
      <c r="C609" s="16">
        <v>0</v>
      </c>
      <c r="D609" s="16">
        <v>1</v>
      </c>
      <c r="E609" s="16">
        <v>44</v>
      </c>
      <c r="F609" s="17" t="s">
        <v>8</v>
      </c>
      <c r="G609" s="17" t="s">
        <v>11</v>
      </c>
      <c r="H609" s="3" t="s">
        <v>633</v>
      </c>
      <c r="I609" s="5" t="s">
        <v>436</v>
      </c>
      <c r="J609" s="16">
        <f>_xlfn.XLOOKUP(CustomerCombinedCleaned[[#This Row],[ID]], Table4[ID], Table4[Recency], "Not Found", 0)</f>
        <v>50</v>
      </c>
      <c r="K609" s="16">
        <f>_xlfn.XLOOKUP(CustomerCombinedCleaned[[#This Row],[ID]], Table4[ID], Table4[Teas], "Not Found", 0)</f>
        <v>879</v>
      </c>
      <c r="L609" s="16">
        <f>_xlfn.XLOOKUP(CustomerCombinedCleaned[[#This Row],[ID]], Table4[ID], Table4[Fruits], "Not Found", 0)</f>
        <v>226</v>
      </c>
      <c r="M609" s="16">
        <f>_xlfn.XLOOKUP(CustomerCombinedCleaned[[#This Row],[ID]], Table4[ID], Table4[Meats], "Not Found", 0)</f>
        <v>602</v>
      </c>
      <c r="N609" s="16">
        <f>_xlfn.XLOOKUP(CustomerCombinedCleaned[[#This Row],[ID]], Table4[ID], Table4[Seafood], "Not Found", 0)</f>
        <v>458</v>
      </c>
      <c r="O609" s="16">
        <f>_xlfn.XLOOKUP(CustomerCombinedCleaned[[#This Row],[ID]], Table4[ID], Table4[Sweets], "Not Found", 0)</f>
        <v>451</v>
      </c>
      <c r="P609" s="16">
        <f>_xlfn.XLOOKUP(CustomerCombinedCleaned[[#This Row],[ID]], Table4[ID], Table4[Premium], "Not Found", 0)</f>
        <v>79</v>
      </c>
      <c r="Q609" s="16">
        <f>_xlfn.XLOOKUP(CustomerCombinedCleaned[[#This Row],[ID]], Table4[ID], Table4[Regular], "Not Found", 0)</f>
        <v>2536</v>
      </c>
      <c r="R609" s="16">
        <f>_xlfn.XLOOKUP(CustomerCombinedCleaned[[#This Row],[ID]], Table4[ID], Table4[Deals], "Not Found", 0)</f>
        <v>2</v>
      </c>
      <c r="S609" s="16">
        <f>_xlfn.XLOOKUP(CustomerCombinedCleaned[[#This Row],[ID]], Table4[ID], Table4[Website], "Not Found", 0)</f>
        <v>7</v>
      </c>
      <c r="T609" s="16">
        <f>_xlfn.XLOOKUP(CustomerCombinedCleaned[[#This Row],[ID]], Table4[ID], Table4[Catalog], "Not Found", 0)</f>
        <v>3</v>
      </c>
      <c r="U609" s="16">
        <f>_xlfn.XLOOKUP(CustomerCombinedCleaned[[#This Row],[ID]], Table4[ID], Table4[Store], "Not Found", 0)</f>
        <v>6</v>
      </c>
      <c r="V609" s="16">
        <f>_xlfn.XLOOKUP(CustomerCombinedCleaned[[#This Row],[ID]], Table4[ID], Table4[Visits], "Not Found", 0)</f>
        <v>4</v>
      </c>
      <c r="W609" s="16">
        <f>_xlfn.XLOOKUP(CustomerCombinedCleaned[[#This Row],[ID]], Table2[ID],Table2[Complaint], "Not Found", 0 )</f>
        <v>0</v>
      </c>
      <c r="X609" s="16">
        <f>_xlfn.XLOOKUP(CustomerCombinedCleaned[[#This Row],[ID]], Table2[ID],Table2[Pilot], "Not Found", 0 )</f>
        <v>0</v>
      </c>
      <c r="Y609" s="16">
        <f>_xlfn.XLOOKUP(CustomerCombinedCleaned[[#This Row],[ID]], Table2[ID],Table2[MC1], "Not Found", 0 )</f>
        <v>0</v>
      </c>
      <c r="Z609" s="16">
        <f>_xlfn.XLOOKUP(CustomerCombinedCleaned[[#This Row],[ID]], Table2[ID],Table2[MC2], "Not Found", 0 )</f>
        <v>0</v>
      </c>
      <c r="AA609" s="16">
        <f>_xlfn.XLOOKUP(CustomerCombinedCleaned[[#This Row],[ID]], Table2[ID],Table2[MC3], "Not Found", 0 )</f>
        <v>0</v>
      </c>
      <c r="AB609" s="16">
        <f>_xlfn.XLOOKUP(CustomerCombinedCleaned[[#This Row],[ID]], Table2[ID],Table2[MC4], "Not Found", 0 )</f>
        <v>0</v>
      </c>
      <c r="AC609" s="16">
        <f>_xlfn.XLOOKUP(CustomerCombinedCleaned[[#This Row],[ID]], Table2[ID],Table2[MC5], "Not Found", 0 )</f>
        <v>0</v>
      </c>
    </row>
    <row r="610" spans="1:29" x14ac:dyDescent="0.3">
      <c r="A610" s="18">
        <v>1708</v>
      </c>
      <c r="B610" s="16">
        <v>175012</v>
      </c>
      <c r="C610" s="16">
        <v>0</v>
      </c>
      <c r="D610" s="16">
        <v>0</v>
      </c>
      <c r="E610" s="16">
        <v>44</v>
      </c>
      <c r="F610" s="17" t="s">
        <v>5</v>
      </c>
      <c r="G610" s="17" t="s">
        <v>12</v>
      </c>
      <c r="H610" s="3" t="s">
        <v>587</v>
      </c>
      <c r="I610" s="5" t="s">
        <v>439</v>
      </c>
      <c r="J610" s="16">
        <f>_xlfn.XLOOKUP(CustomerCombinedCleaned[[#This Row],[ID]], Table4[ID], Table4[Recency], "Not Found", 0)</f>
        <v>41</v>
      </c>
      <c r="K610" s="16">
        <f>_xlfn.XLOOKUP(CustomerCombinedCleaned[[#This Row],[ID]], Table4[ID], Table4[Teas], "Not Found", 0)</f>
        <v>686</v>
      </c>
      <c r="L610" s="16">
        <f>_xlfn.XLOOKUP(CustomerCombinedCleaned[[#This Row],[ID]], Table4[ID], Table4[Fruits], "Not Found", 0)</f>
        <v>331</v>
      </c>
      <c r="M610" s="16">
        <f>_xlfn.XLOOKUP(CustomerCombinedCleaned[[#This Row],[ID]], Table4[ID], Table4[Meats], "Not Found", 0)</f>
        <v>509</v>
      </c>
      <c r="N610" s="16">
        <f>_xlfn.XLOOKUP(CustomerCombinedCleaned[[#This Row],[ID]], Table4[ID], Table4[Seafood], "Not Found", 0)</f>
        <v>383</v>
      </c>
      <c r="O610" s="16">
        <f>_xlfn.XLOOKUP(CustomerCombinedCleaned[[#This Row],[ID]], Table4[ID], Table4[Sweets], "Not Found", 0)</f>
        <v>135</v>
      </c>
      <c r="P610" s="16">
        <f>_xlfn.XLOOKUP(CustomerCombinedCleaned[[#This Row],[ID]], Table4[ID], Table4[Premium], "Not Found", 0)</f>
        <v>352</v>
      </c>
      <c r="Q610" s="16">
        <f>_xlfn.XLOOKUP(CustomerCombinedCleaned[[#This Row],[ID]], Table4[ID], Table4[Regular], "Not Found", 0)</f>
        <v>1692</v>
      </c>
      <c r="R610" s="16">
        <f>_xlfn.XLOOKUP(CustomerCombinedCleaned[[#This Row],[ID]], Table4[ID], Table4[Deals], "Not Found", 0)</f>
        <v>1</v>
      </c>
      <c r="S610" s="16">
        <f>_xlfn.XLOOKUP(CustomerCombinedCleaned[[#This Row],[ID]], Table4[ID], Table4[Website], "Not Found", 0)</f>
        <v>3</v>
      </c>
      <c r="T610" s="16">
        <f>_xlfn.XLOOKUP(CustomerCombinedCleaned[[#This Row],[ID]], Table4[ID], Table4[Catalog], "Not Found", 0)</f>
        <v>8</v>
      </c>
      <c r="U610" s="16">
        <f>_xlfn.XLOOKUP(CustomerCombinedCleaned[[#This Row],[ID]], Table4[ID], Table4[Store], "Not Found", 0)</f>
        <v>11</v>
      </c>
      <c r="V610" s="16">
        <f>_xlfn.XLOOKUP(CustomerCombinedCleaned[[#This Row],[ID]], Table4[ID], Table4[Visits], "Not Found", 0)</f>
        <v>1</v>
      </c>
      <c r="W610" s="16">
        <f>_xlfn.XLOOKUP(CustomerCombinedCleaned[[#This Row],[ID]], Table2[ID],Table2[Complaint], "Not Found", 0 )</f>
        <v>0</v>
      </c>
      <c r="X610" s="16">
        <f>_xlfn.XLOOKUP(CustomerCombinedCleaned[[#This Row],[ID]], Table2[ID],Table2[Pilot], "Not Found", 0 )</f>
        <v>0</v>
      </c>
      <c r="Y610" s="16">
        <f>_xlfn.XLOOKUP(CustomerCombinedCleaned[[#This Row],[ID]], Table2[ID],Table2[MC1], "Not Found", 0 )</f>
        <v>0</v>
      </c>
      <c r="Z610" s="16">
        <f>_xlfn.XLOOKUP(CustomerCombinedCleaned[[#This Row],[ID]], Table2[ID],Table2[MC2], "Not Found", 0 )</f>
        <v>0</v>
      </c>
      <c r="AA610" s="16">
        <f>_xlfn.XLOOKUP(CustomerCombinedCleaned[[#This Row],[ID]], Table2[ID],Table2[MC3], "Not Found", 0 )</f>
        <v>0</v>
      </c>
      <c r="AB610" s="16">
        <f>_xlfn.XLOOKUP(CustomerCombinedCleaned[[#This Row],[ID]], Table2[ID],Table2[MC4], "Not Found", 0 )</f>
        <v>0</v>
      </c>
      <c r="AC610" s="16">
        <f>_xlfn.XLOOKUP(CustomerCombinedCleaned[[#This Row],[ID]], Table2[ID],Table2[MC5], "Not Found", 0 )</f>
        <v>0</v>
      </c>
    </row>
    <row r="611" spans="1:29" x14ac:dyDescent="0.3">
      <c r="A611" s="18">
        <v>1177</v>
      </c>
      <c r="B611" s="16">
        <v>174068</v>
      </c>
      <c r="C611" s="16">
        <v>0</v>
      </c>
      <c r="D611" s="16">
        <v>0</v>
      </c>
      <c r="E611" s="16">
        <v>44</v>
      </c>
      <c r="F611" s="17" t="s">
        <v>6</v>
      </c>
      <c r="G611" s="17" t="s">
        <v>11</v>
      </c>
      <c r="H611" s="3" t="s">
        <v>289</v>
      </c>
      <c r="I611" s="5" t="s">
        <v>437</v>
      </c>
      <c r="J611" s="16">
        <f>_xlfn.XLOOKUP(CustomerCombinedCleaned[[#This Row],[ID]], Table4[ID], Table4[Recency], "Not Found", 0)</f>
        <v>14</v>
      </c>
      <c r="K611" s="16">
        <f>_xlfn.XLOOKUP(CustomerCombinedCleaned[[#This Row],[ID]], Table4[ID], Table4[Teas], "Not Found", 0)</f>
        <v>1840</v>
      </c>
      <c r="L611" s="16">
        <f>_xlfn.XLOOKUP(CustomerCombinedCleaned[[#This Row],[ID]], Table4[ID], Table4[Fruits], "Not Found", 0)</f>
        <v>71</v>
      </c>
      <c r="M611" s="16">
        <f>_xlfn.XLOOKUP(CustomerCombinedCleaned[[#This Row],[ID]], Table4[ID], Table4[Meats], "Not Found", 0)</f>
        <v>1262</v>
      </c>
      <c r="N611" s="16">
        <f>_xlfn.XLOOKUP(CustomerCombinedCleaned[[#This Row],[ID]], Table4[ID], Table4[Seafood], "Not Found", 0)</f>
        <v>329</v>
      </c>
      <c r="O611" s="16">
        <f>_xlfn.XLOOKUP(CustomerCombinedCleaned[[#This Row],[ID]], Table4[ID], Table4[Sweets], "Not Found", 0)</f>
        <v>179</v>
      </c>
      <c r="P611" s="16">
        <f>_xlfn.XLOOKUP(CustomerCombinedCleaned[[#This Row],[ID]], Table4[ID], Table4[Premium], "Not Found", 0)</f>
        <v>35</v>
      </c>
      <c r="Q611" s="16">
        <f>_xlfn.XLOOKUP(CustomerCombinedCleaned[[#This Row],[ID]], Table4[ID], Table4[Regular], "Not Found", 0)</f>
        <v>3645</v>
      </c>
      <c r="R611" s="16">
        <f>_xlfn.XLOOKUP(CustomerCombinedCleaned[[#This Row],[ID]], Table4[ID], Table4[Deals], "Not Found", 0)</f>
        <v>1</v>
      </c>
      <c r="S611" s="16">
        <f>_xlfn.XLOOKUP(CustomerCombinedCleaned[[#This Row],[ID]], Table4[ID], Table4[Website], "Not Found", 0)</f>
        <v>4</v>
      </c>
      <c r="T611" s="16">
        <f>_xlfn.XLOOKUP(CustomerCombinedCleaned[[#This Row],[ID]], Table4[ID], Table4[Catalog], "Not Found", 0)</f>
        <v>10</v>
      </c>
      <c r="U611" s="16">
        <f>_xlfn.XLOOKUP(CustomerCombinedCleaned[[#This Row],[ID]], Table4[ID], Table4[Store], "Not Found", 0)</f>
        <v>9</v>
      </c>
      <c r="V611" s="16">
        <f>_xlfn.XLOOKUP(CustomerCombinedCleaned[[#This Row],[ID]], Table4[ID], Table4[Visits], "Not Found", 0)</f>
        <v>2</v>
      </c>
      <c r="W611" s="16">
        <f>_xlfn.XLOOKUP(CustomerCombinedCleaned[[#This Row],[ID]], Table2[ID],Table2[Complaint], "Not Found", 0 )</f>
        <v>0</v>
      </c>
      <c r="X611" s="16">
        <f>_xlfn.XLOOKUP(CustomerCombinedCleaned[[#This Row],[ID]], Table2[ID],Table2[Pilot], "Not Found", 0 )</f>
        <v>0</v>
      </c>
      <c r="Y611" s="16">
        <f>_xlfn.XLOOKUP(CustomerCombinedCleaned[[#This Row],[ID]], Table2[ID],Table2[MC1], "Not Found", 0 )</f>
        <v>0</v>
      </c>
      <c r="Z611" s="16">
        <f>_xlfn.XLOOKUP(CustomerCombinedCleaned[[#This Row],[ID]], Table2[ID],Table2[MC2], "Not Found", 0 )</f>
        <v>0</v>
      </c>
      <c r="AA611" s="16">
        <f>_xlfn.XLOOKUP(CustomerCombinedCleaned[[#This Row],[ID]], Table2[ID],Table2[MC3], "Not Found", 0 )</f>
        <v>0</v>
      </c>
      <c r="AB611" s="16">
        <f>_xlfn.XLOOKUP(CustomerCombinedCleaned[[#This Row],[ID]], Table2[ID],Table2[MC4], "Not Found", 0 )</f>
        <v>0</v>
      </c>
      <c r="AC611" s="16">
        <f>_xlfn.XLOOKUP(CustomerCombinedCleaned[[#This Row],[ID]], Table2[ID],Table2[MC5], "Not Found", 0 )</f>
        <v>0</v>
      </c>
    </row>
    <row r="612" spans="1:29" x14ac:dyDescent="0.3">
      <c r="A612" s="18">
        <v>2928</v>
      </c>
      <c r="B612" s="16">
        <v>172335</v>
      </c>
      <c r="C612" s="16">
        <v>0</v>
      </c>
      <c r="D612" s="16">
        <v>0</v>
      </c>
      <c r="E612" s="16">
        <v>44</v>
      </c>
      <c r="F612" s="17" t="s">
        <v>8</v>
      </c>
      <c r="G612" s="17" t="s">
        <v>13</v>
      </c>
      <c r="H612" s="3" t="s">
        <v>415</v>
      </c>
      <c r="I612" s="5" t="s">
        <v>436</v>
      </c>
      <c r="J612" s="16">
        <f>_xlfn.XLOOKUP(CustomerCombinedCleaned[[#This Row],[ID]], Table4[ID], Table4[Recency], "Not Found", 0)</f>
        <v>2</v>
      </c>
      <c r="K612" s="16">
        <f>_xlfn.XLOOKUP(CustomerCombinedCleaned[[#This Row],[ID]], Table4[ID], Table4[Teas], "Not Found", 0)</f>
        <v>3061</v>
      </c>
      <c r="L612" s="16">
        <f>_xlfn.XLOOKUP(CustomerCombinedCleaned[[#This Row],[ID]], Table4[ID], Table4[Fruits], "Not Found", 0)</f>
        <v>250</v>
      </c>
      <c r="M612" s="16">
        <f>_xlfn.XLOOKUP(CustomerCombinedCleaned[[#This Row],[ID]], Table4[ID], Table4[Meats], "Not Found", 0)</f>
        <v>1556</v>
      </c>
      <c r="N612" s="16">
        <f>_xlfn.XLOOKUP(CustomerCombinedCleaned[[#This Row],[ID]], Table4[ID], Table4[Seafood], "Not Found", 0)</f>
        <v>67</v>
      </c>
      <c r="O612" s="16">
        <f>_xlfn.XLOOKUP(CustomerCombinedCleaned[[#This Row],[ID]], Table4[ID], Table4[Sweets], "Not Found", 0)</f>
        <v>50</v>
      </c>
      <c r="P612" s="16">
        <f>_xlfn.XLOOKUP(CustomerCombinedCleaned[[#This Row],[ID]], Table4[ID], Table4[Premium], "Not Found", 0)</f>
        <v>0</v>
      </c>
      <c r="Q612" s="16">
        <f>_xlfn.XLOOKUP(CustomerCombinedCleaned[[#This Row],[ID]], Table4[ID], Table4[Regular], "Not Found", 0)</f>
        <v>4984</v>
      </c>
      <c r="R612" s="16">
        <f>_xlfn.XLOOKUP(CustomerCombinedCleaned[[#This Row],[ID]], Table4[ID], Table4[Deals], "Not Found", 0)</f>
        <v>1</v>
      </c>
      <c r="S612" s="16">
        <f>_xlfn.XLOOKUP(CustomerCombinedCleaned[[#This Row],[ID]], Table4[ID], Table4[Website], "Not Found", 0)</f>
        <v>10</v>
      </c>
      <c r="T612" s="16">
        <f>_xlfn.XLOOKUP(CustomerCombinedCleaned[[#This Row],[ID]], Table4[ID], Table4[Catalog], "Not Found", 0)</f>
        <v>4</v>
      </c>
      <c r="U612" s="16">
        <f>_xlfn.XLOOKUP(CustomerCombinedCleaned[[#This Row],[ID]], Table4[ID], Table4[Store], "Not Found", 0)</f>
        <v>8</v>
      </c>
      <c r="V612" s="16">
        <f>_xlfn.XLOOKUP(CustomerCombinedCleaned[[#This Row],[ID]], Table4[ID], Table4[Visits], "Not Found", 0)</f>
        <v>8</v>
      </c>
      <c r="W612" s="16">
        <f>_xlfn.XLOOKUP(CustomerCombinedCleaned[[#This Row],[ID]], Table2[ID],Table2[Complaint], "Not Found", 0 )</f>
        <v>0</v>
      </c>
      <c r="X612" s="16">
        <f>_xlfn.XLOOKUP(CustomerCombinedCleaned[[#This Row],[ID]], Table2[ID],Table2[Pilot], "Not Found", 0 )</f>
        <v>1</v>
      </c>
      <c r="Y612" s="16">
        <f>_xlfn.XLOOKUP(CustomerCombinedCleaned[[#This Row],[ID]], Table2[ID],Table2[MC1], "Not Found", 0 )</f>
        <v>0</v>
      </c>
      <c r="Z612" s="16">
        <f>_xlfn.XLOOKUP(CustomerCombinedCleaned[[#This Row],[ID]], Table2[ID],Table2[MC2], "Not Found", 0 )</f>
        <v>0</v>
      </c>
      <c r="AA612" s="16">
        <f>_xlfn.XLOOKUP(CustomerCombinedCleaned[[#This Row],[ID]], Table2[ID],Table2[MC3], "Not Found", 0 )</f>
        <v>0</v>
      </c>
      <c r="AB612" s="16">
        <f>_xlfn.XLOOKUP(CustomerCombinedCleaned[[#This Row],[ID]], Table2[ID],Table2[MC4], "Not Found", 0 )</f>
        <v>0</v>
      </c>
      <c r="AC612" s="16">
        <f>_xlfn.XLOOKUP(CustomerCombinedCleaned[[#This Row],[ID]], Table2[ID],Table2[MC5], "Not Found", 0 )</f>
        <v>0</v>
      </c>
    </row>
    <row r="613" spans="1:29" x14ac:dyDescent="0.3">
      <c r="A613" s="18">
        <v>3100</v>
      </c>
      <c r="B613" s="16">
        <v>172309</v>
      </c>
      <c r="C613" s="16">
        <v>0</v>
      </c>
      <c r="D613" s="16">
        <v>0</v>
      </c>
      <c r="E613" s="16">
        <v>44</v>
      </c>
      <c r="F613" s="17" t="s">
        <v>7</v>
      </c>
      <c r="G613" s="17" t="s">
        <v>12</v>
      </c>
      <c r="H613" s="3" t="s">
        <v>296</v>
      </c>
      <c r="I613" s="5" t="s">
        <v>439</v>
      </c>
      <c r="J613" s="16">
        <f>_xlfn.XLOOKUP(CustomerCombinedCleaned[[#This Row],[ID]], Table4[ID], Table4[Recency], "Not Found", 0)</f>
        <v>64</v>
      </c>
      <c r="K613" s="16">
        <f>_xlfn.XLOOKUP(CustomerCombinedCleaned[[#This Row],[ID]], Table4[ID], Table4[Teas], "Not Found", 0)</f>
        <v>2288</v>
      </c>
      <c r="L613" s="16">
        <f>_xlfn.XLOOKUP(CustomerCombinedCleaned[[#This Row],[ID]], Table4[ID], Table4[Fruits], "Not Found", 0)</f>
        <v>0</v>
      </c>
      <c r="M613" s="16">
        <f>_xlfn.XLOOKUP(CustomerCombinedCleaned[[#This Row],[ID]], Table4[ID], Table4[Meats], "Not Found", 0)</f>
        <v>2104</v>
      </c>
      <c r="N613" s="16">
        <f>_xlfn.XLOOKUP(CustomerCombinedCleaned[[#This Row],[ID]], Table4[ID], Table4[Seafood], "Not Found", 0)</f>
        <v>119</v>
      </c>
      <c r="O613" s="16">
        <f>_xlfn.XLOOKUP(CustomerCombinedCleaned[[#This Row],[ID]], Table4[ID], Table4[Sweets], "Not Found", 0)</f>
        <v>91</v>
      </c>
      <c r="P613" s="16">
        <f>_xlfn.XLOOKUP(CustomerCombinedCleaned[[#This Row],[ID]], Table4[ID], Table4[Premium], "Not Found", 0)</f>
        <v>0</v>
      </c>
      <c r="Q613" s="16">
        <f>_xlfn.XLOOKUP(CustomerCombinedCleaned[[#This Row],[ID]], Table4[ID], Table4[Regular], "Not Found", 0)</f>
        <v>4601</v>
      </c>
      <c r="R613" s="16">
        <f>_xlfn.XLOOKUP(CustomerCombinedCleaned[[#This Row],[ID]], Table4[ID], Table4[Deals], "Not Found", 0)</f>
        <v>1</v>
      </c>
      <c r="S613" s="16">
        <f>_xlfn.XLOOKUP(CustomerCombinedCleaned[[#This Row],[ID]], Table4[ID], Table4[Website], "Not Found", 0)</f>
        <v>5</v>
      </c>
      <c r="T613" s="16">
        <f>_xlfn.XLOOKUP(CustomerCombinedCleaned[[#This Row],[ID]], Table4[ID], Table4[Catalog], "Not Found", 0)</f>
        <v>6</v>
      </c>
      <c r="U613" s="16">
        <f>_xlfn.XLOOKUP(CustomerCombinedCleaned[[#This Row],[ID]], Table4[ID], Table4[Store], "Not Found", 0)</f>
        <v>8</v>
      </c>
      <c r="V613" s="16">
        <f>_xlfn.XLOOKUP(CustomerCombinedCleaned[[#This Row],[ID]], Table4[ID], Table4[Visits], "Not Found", 0)</f>
        <v>3</v>
      </c>
      <c r="W613" s="16">
        <f>_xlfn.XLOOKUP(CustomerCombinedCleaned[[#This Row],[ID]], Table2[ID],Table2[Complaint], "Not Found", 0 )</f>
        <v>0</v>
      </c>
      <c r="X613" s="16">
        <f>_xlfn.XLOOKUP(CustomerCombinedCleaned[[#This Row],[ID]], Table2[ID],Table2[Pilot], "Not Found", 0 )</f>
        <v>1</v>
      </c>
      <c r="Y613" s="16">
        <f>_xlfn.XLOOKUP(CustomerCombinedCleaned[[#This Row],[ID]], Table2[ID],Table2[MC1], "Not Found", 0 )</f>
        <v>1</v>
      </c>
      <c r="Z613" s="16">
        <f>_xlfn.XLOOKUP(CustomerCombinedCleaned[[#This Row],[ID]], Table2[ID],Table2[MC2], "Not Found", 0 )</f>
        <v>0</v>
      </c>
      <c r="AA613" s="16">
        <f>_xlfn.XLOOKUP(CustomerCombinedCleaned[[#This Row],[ID]], Table2[ID],Table2[MC3], "Not Found", 0 )</f>
        <v>0</v>
      </c>
      <c r="AB613" s="16">
        <f>_xlfn.XLOOKUP(CustomerCombinedCleaned[[#This Row],[ID]], Table2[ID],Table2[MC4], "Not Found", 0 )</f>
        <v>0</v>
      </c>
      <c r="AC613" s="16">
        <f>_xlfn.XLOOKUP(CustomerCombinedCleaned[[#This Row],[ID]], Table2[ID],Table2[MC5], "Not Found", 0 )</f>
        <v>0</v>
      </c>
    </row>
    <row r="614" spans="1:29" x14ac:dyDescent="0.3">
      <c r="A614" s="18">
        <v>3061</v>
      </c>
      <c r="B614" s="16">
        <v>171322</v>
      </c>
      <c r="C614" s="16">
        <v>0</v>
      </c>
      <c r="D614" s="16">
        <v>1</v>
      </c>
      <c r="E614" s="16">
        <v>44</v>
      </c>
      <c r="F614" s="17" t="s">
        <v>8</v>
      </c>
      <c r="G614" s="17" t="s">
        <v>11</v>
      </c>
      <c r="H614" s="3" t="s">
        <v>555</v>
      </c>
      <c r="I614" s="5" t="s">
        <v>437</v>
      </c>
      <c r="J614" s="16">
        <f>_xlfn.XLOOKUP(CustomerCombinedCleaned[[#This Row],[ID]], Table4[ID], Table4[Recency], "Not Found", 0)</f>
        <v>31</v>
      </c>
      <c r="K614" s="16">
        <f>_xlfn.XLOOKUP(CustomerCombinedCleaned[[#This Row],[ID]], Table4[ID], Table4[Teas], "Not Found", 0)</f>
        <v>291</v>
      </c>
      <c r="L614" s="16">
        <f>_xlfn.XLOOKUP(CustomerCombinedCleaned[[#This Row],[ID]], Table4[ID], Table4[Fruits], "Not Found", 0)</f>
        <v>58</v>
      </c>
      <c r="M614" s="16">
        <f>_xlfn.XLOOKUP(CustomerCombinedCleaned[[#This Row],[ID]], Table4[ID], Table4[Meats], "Not Found", 0)</f>
        <v>298</v>
      </c>
      <c r="N614" s="16">
        <f>_xlfn.XLOOKUP(CustomerCombinedCleaned[[#This Row],[ID]], Table4[ID], Table4[Seafood], "Not Found", 0)</f>
        <v>58</v>
      </c>
      <c r="O614" s="16">
        <f>_xlfn.XLOOKUP(CustomerCombinedCleaned[[#This Row],[ID]], Table4[ID], Table4[Sweets], "Not Found", 0)</f>
        <v>36</v>
      </c>
      <c r="P614" s="16">
        <f>_xlfn.XLOOKUP(CustomerCombinedCleaned[[#This Row],[ID]], Table4[ID], Table4[Premium], "Not Found", 0)</f>
        <v>101</v>
      </c>
      <c r="Q614" s="16">
        <f>_xlfn.XLOOKUP(CustomerCombinedCleaned[[#This Row],[ID]], Table4[ID], Table4[Regular], "Not Found", 0)</f>
        <v>639</v>
      </c>
      <c r="R614" s="16">
        <f>_xlfn.XLOOKUP(CustomerCombinedCleaned[[#This Row],[ID]], Table4[ID], Table4[Deals], "Not Found", 0)</f>
        <v>1</v>
      </c>
      <c r="S614" s="16">
        <f>_xlfn.XLOOKUP(CustomerCombinedCleaned[[#This Row],[ID]], Table4[ID], Table4[Website], "Not Found", 0)</f>
        <v>4</v>
      </c>
      <c r="T614" s="16">
        <f>_xlfn.XLOOKUP(CustomerCombinedCleaned[[#This Row],[ID]], Table4[ID], Table4[Catalog], "Not Found", 0)</f>
        <v>1</v>
      </c>
      <c r="U614" s="16">
        <f>_xlfn.XLOOKUP(CustomerCombinedCleaned[[#This Row],[ID]], Table4[ID], Table4[Store], "Not Found", 0)</f>
        <v>7</v>
      </c>
      <c r="V614" s="16">
        <f>_xlfn.XLOOKUP(CustomerCombinedCleaned[[#This Row],[ID]], Table4[ID], Table4[Visits], "Not Found", 0)</f>
        <v>2</v>
      </c>
      <c r="W614" s="16">
        <f>_xlfn.XLOOKUP(CustomerCombinedCleaned[[#This Row],[ID]], Table2[ID],Table2[Complaint], "Not Found", 0 )</f>
        <v>0</v>
      </c>
      <c r="X614" s="16">
        <f>_xlfn.XLOOKUP(CustomerCombinedCleaned[[#This Row],[ID]], Table2[ID],Table2[Pilot], "Not Found", 0 )</f>
        <v>0</v>
      </c>
      <c r="Y614" s="16">
        <f>_xlfn.XLOOKUP(CustomerCombinedCleaned[[#This Row],[ID]], Table2[ID],Table2[MC1], "Not Found", 0 )</f>
        <v>0</v>
      </c>
      <c r="Z614" s="16">
        <f>_xlfn.XLOOKUP(CustomerCombinedCleaned[[#This Row],[ID]], Table2[ID],Table2[MC2], "Not Found", 0 )</f>
        <v>0</v>
      </c>
      <c r="AA614" s="16">
        <f>_xlfn.XLOOKUP(CustomerCombinedCleaned[[#This Row],[ID]], Table2[ID],Table2[MC3], "Not Found", 0 )</f>
        <v>0</v>
      </c>
      <c r="AB614" s="16">
        <f>_xlfn.XLOOKUP(CustomerCombinedCleaned[[#This Row],[ID]], Table2[ID],Table2[MC4], "Not Found", 0 )</f>
        <v>0</v>
      </c>
      <c r="AC614" s="16">
        <f>_xlfn.XLOOKUP(CustomerCombinedCleaned[[#This Row],[ID]], Table2[ID],Table2[MC5], "Not Found", 0 )</f>
        <v>0</v>
      </c>
    </row>
    <row r="615" spans="1:29" x14ac:dyDescent="0.3">
      <c r="A615" s="18">
        <v>1299</v>
      </c>
      <c r="B615" s="16">
        <v>170893</v>
      </c>
      <c r="C615" s="16">
        <v>0</v>
      </c>
      <c r="D615" s="16">
        <v>0</v>
      </c>
      <c r="E615" s="16">
        <v>44</v>
      </c>
      <c r="F615" s="17" t="s">
        <v>7</v>
      </c>
      <c r="G615" s="17" t="s">
        <v>12</v>
      </c>
      <c r="H615" s="3" t="s">
        <v>317</v>
      </c>
      <c r="I615" s="5" t="s">
        <v>435</v>
      </c>
      <c r="J615" s="16">
        <f>_xlfn.XLOOKUP(CustomerCombinedCleaned[[#This Row],[ID]], Table4[ID], Table4[Recency], "Not Found", 0)</f>
        <v>42</v>
      </c>
      <c r="K615" s="16">
        <f>_xlfn.XLOOKUP(CustomerCombinedCleaned[[#This Row],[ID]], Table4[ID], Table4[Teas], "Not Found", 0)</f>
        <v>1851</v>
      </c>
      <c r="L615" s="16">
        <f>_xlfn.XLOOKUP(CustomerCombinedCleaned[[#This Row],[ID]], Table4[ID], Table4[Fruits], "Not Found", 0)</f>
        <v>106</v>
      </c>
      <c r="M615" s="16">
        <f>_xlfn.XLOOKUP(CustomerCombinedCleaned[[#This Row],[ID]], Table4[ID], Table4[Meats], "Not Found", 0)</f>
        <v>1352</v>
      </c>
      <c r="N615" s="16">
        <f>_xlfn.XLOOKUP(CustomerCombinedCleaned[[#This Row],[ID]], Table4[ID], Table4[Seafood], "Not Found", 0)</f>
        <v>186</v>
      </c>
      <c r="O615" s="16">
        <f>_xlfn.XLOOKUP(CustomerCombinedCleaned[[#This Row],[ID]], Table4[ID], Table4[Sweets], "Not Found", 0)</f>
        <v>106</v>
      </c>
      <c r="P615" s="16">
        <f>_xlfn.XLOOKUP(CustomerCombinedCleaned[[#This Row],[ID]], Table4[ID], Table4[Premium], "Not Found", 0)</f>
        <v>34</v>
      </c>
      <c r="Q615" s="16">
        <f>_xlfn.XLOOKUP(CustomerCombinedCleaned[[#This Row],[ID]], Table4[ID], Table4[Regular], "Not Found", 0)</f>
        <v>3568</v>
      </c>
      <c r="R615" s="16">
        <f>_xlfn.XLOOKUP(CustomerCombinedCleaned[[#This Row],[ID]], Table4[ID], Table4[Deals], "Not Found", 0)</f>
        <v>1</v>
      </c>
      <c r="S615" s="16">
        <f>_xlfn.XLOOKUP(CustomerCombinedCleaned[[#This Row],[ID]], Table4[ID], Table4[Website], "Not Found", 0)</f>
        <v>6</v>
      </c>
      <c r="T615" s="16">
        <f>_xlfn.XLOOKUP(CustomerCombinedCleaned[[#This Row],[ID]], Table4[ID], Table4[Catalog], "Not Found", 0)</f>
        <v>6</v>
      </c>
      <c r="U615" s="16">
        <f>_xlfn.XLOOKUP(CustomerCombinedCleaned[[#This Row],[ID]], Table4[ID], Table4[Store], "Not Found", 0)</f>
        <v>10</v>
      </c>
      <c r="V615" s="16">
        <f>_xlfn.XLOOKUP(CustomerCombinedCleaned[[#This Row],[ID]], Table4[ID], Table4[Visits], "Not Found", 0)</f>
        <v>3</v>
      </c>
      <c r="W615" s="16">
        <f>_xlfn.XLOOKUP(CustomerCombinedCleaned[[#This Row],[ID]], Table2[ID],Table2[Complaint], "Not Found", 0 )</f>
        <v>0</v>
      </c>
      <c r="X615" s="16">
        <f>_xlfn.XLOOKUP(CustomerCombinedCleaned[[#This Row],[ID]], Table2[ID],Table2[Pilot], "Not Found", 0 )</f>
        <v>0</v>
      </c>
      <c r="Y615" s="16">
        <f>_xlfn.XLOOKUP(CustomerCombinedCleaned[[#This Row],[ID]], Table2[ID],Table2[MC1], "Not Found", 0 )</f>
        <v>0</v>
      </c>
      <c r="Z615" s="16">
        <f>_xlfn.XLOOKUP(CustomerCombinedCleaned[[#This Row],[ID]], Table2[ID],Table2[MC2], "Not Found", 0 )</f>
        <v>0</v>
      </c>
      <c r="AA615" s="16">
        <f>_xlfn.XLOOKUP(CustomerCombinedCleaned[[#This Row],[ID]], Table2[ID],Table2[MC3], "Not Found", 0 )</f>
        <v>0</v>
      </c>
      <c r="AB615" s="16">
        <f>_xlfn.XLOOKUP(CustomerCombinedCleaned[[#This Row],[ID]], Table2[ID],Table2[MC4], "Not Found", 0 )</f>
        <v>0</v>
      </c>
      <c r="AC615" s="16">
        <f>_xlfn.XLOOKUP(CustomerCombinedCleaned[[#This Row],[ID]], Table2[ID],Table2[MC5], "Not Found", 0 )</f>
        <v>0</v>
      </c>
    </row>
    <row r="616" spans="1:29" x14ac:dyDescent="0.3">
      <c r="A616" s="18">
        <v>2461</v>
      </c>
      <c r="B616" s="16">
        <v>170379</v>
      </c>
      <c r="C616" s="16">
        <v>0</v>
      </c>
      <c r="D616" s="16">
        <v>1</v>
      </c>
      <c r="E616" s="16">
        <v>44</v>
      </c>
      <c r="F616" s="17" t="s">
        <v>7</v>
      </c>
      <c r="G616" s="17" t="s">
        <v>12</v>
      </c>
      <c r="H616" s="3" t="s">
        <v>577</v>
      </c>
      <c r="I616" s="5" t="s">
        <v>437</v>
      </c>
      <c r="J616" s="16">
        <f>_xlfn.XLOOKUP(CustomerCombinedCleaned[[#This Row],[ID]], Table4[ID], Table4[Recency], "Not Found", 0)</f>
        <v>84</v>
      </c>
      <c r="K616" s="16">
        <f>_xlfn.XLOOKUP(CustomerCombinedCleaned[[#This Row],[ID]], Table4[ID], Table4[Teas], "Not Found", 0)</f>
        <v>1339</v>
      </c>
      <c r="L616" s="16">
        <f>_xlfn.XLOOKUP(CustomerCombinedCleaned[[#This Row],[ID]], Table4[ID], Table4[Fruits], "Not Found", 0)</f>
        <v>61</v>
      </c>
      <c r="M616" s="16">
        <f>_xlfn.XLOOKUP(CustomerCombinedCleaned[[#This Row],[ID]], Table4[ID], Table4[Meats], "Not Found", 0)</f>
        <v>344</v>
      </c>
      <c r="N616" s="16">
        <f>_xlfn.XLOOKUP(CustomerCombinedCleaned[[#This Row],[ID]], Table4[ID], Table4[Seafood], "Not Found", 0)</f>
        <v>157</v>
      </c>
      <c r="O616" s="16">
        <f>_xlfn.XLOOKUP(CustomerCombinedCleaned[[#This Row],[ID]], Table4[ID], Table4[Sweets], "Not Found", 0)</f>
        <v>162</v>
      </c>
      <c r="P616" s="16">
        <f>_xlfn.XLOOKUP(CustomerCombinedCleaned[[#This Row],[ID]], Table4[ID], Table4[Premium], "Not Found", 0)</f>
        <v>19</v>
      </c>
      <c r="Q616" s="16">
        <f>_xlfn.XLOOKUP(CustomerCombinedCleaned[[#This Row],[ID]], Table4[ID], Table4[Regular], "Not Found", 0)</f>
        <v>2043</v>
      </c>
      <c r="R616" s="16">
        <f>_xlfn.XLOOKUP(CustomerCombinedCleaned[[#This Row],[ID]], Table4[ID], Table4[Deals], "Not Found", 0)</f>
        <v>3</v>
      </c>
      <c r="S616" s="16">
        <f>_xlfn.XLOOKUP(CustomerCombinedCleaned[[#This Row],[ID]], Table4[ID], Table4[Website], "Not Found", 0)</f>
        <v>6</v>
      </c>
      <c r="T616" s="16">
        <f>_xlfn.XLOOKUP(CustomerCombinedCleaned[[#This Row],[ID]], Table4[ID], Table4[Catalog], "Not Found", 0)</f>
        <v>3</v>
      </c>
      <c r="U616" s="16">
        <f>_xlfn.XLOOKUP(CustomerCombinedCleaned[[#This Row],[ID]], Table4[ID], Table4[Store], "Not Found", 0)</f>
        <v>13</v>
      </c>
      <c r="V616" s="16">
        <f>_xlfn.XLOOKUP(CustomerCombinedCleaned[[#This Row],[ID]], Table4[ID], Table4[Visits], "Not Found", 0)</f>
        <v>4</v>
      </c>
      <c r="W616" s="16">
        <f>_xlfn.XLOOKUP(CustomerCombinedCleaned[[#This Row],[ID]], Table2[ID],Table2[Complaint], "Not Found", 0 )</f>
        <v>0</v>
      </c>
      <c r="X616" s="16">
        <f>_xlfn.XLOOKUP(CustomerCombinedCleaned[[#This Row],[ID]], Table2[ID],Table2[Pilot], "Not Found", 0 )</f>
        <v>0</v>
      </c>
      <c r="Y616" s="16">
        <f>_xlfn.XLOOKUP(CustomerCombinedCleaned[[#This Row],[ID]], Table2[ID],Table2[MC1], "Not Found", 0 )</f>
        <v>0</v>
      </c>
      <c r="Z616" s="16">
        <f>_xlfn.XLOOKUP(CustomerCombinedCleaned[[#This Row],[ID]], Table2[ID],Table2[MC2], "Not Found", 0 )</f>
        <v>0</v>
      </c>
      <c r="AA616" s="16">
        <f>_xlfn.XLOOKUP(CustomerCombinedCleaned[[#This Row],[ID]], Table2[ID],Table2[MC3], "Not Found", 0 )</f>
        <v>0</v>
      </c>
      <c r="AB616" s="16">
        <f>_xlfn.XLOOKUP(CustomerCombinedCleaned[[#This Row],[ID]], Table2[ID],Table2[MC4], "Not Found", 0 )</f>
        <v>0</v>
      </c>
      <c r="AC616" s="16">
        <f>_xlfn.XLOOKUP(CustomerCombinedCleaned[[#This Row],[ID]], Table2[ID],Table2[MC5], "Not Found", 0 )</f>
        <v>0</v>
      </c>
    </row>
    <row r="617" spans="1:29" x14ac:dyDescent="0.3">
      <c r="A617" s="18">
        <v>2535</v>
      </c>
      <c r="B617" s="16">
        <v>170179</v>
      </c>
      <c r="C617" s="16">
        <v>0</v>
      </c>
      <c r="D617" s="16">
        <v>1</v>
      </c>
      <c r="E617" s="16">
        <v>44</v>
      </c>
      <c r="F617" s="17" t="s">
        <v>5</v>
      </c>
      <c r="G617" s="17" t="s">
        <v>13</v>
      </c>
      <c r="H617" s="3" t="s">
        <v>215</v>
      </c>
      <c r="I617" s="5" t="s">
        <v>435</v>
      </c>
      <c r="J617" s="16">
        <f>_xlfn.XLOOKUP(CustomerCombinedCleaned[[#This Row],[ID]], Table4[ID], Table4[Recency], "Not Found", 0)</f>
        <v>10</v>
      </c>
      <c r="K617" s="16">
        <f>_xlfn.XLOOKUP(CustomerCombinedCleaned[[#This Row],[ID]], Table4[ID], Table4[Teas], "Not Found", 0)</f>
        <v>1290</v>
      </c>
      <c r="L617" s="16">
        <f>_xlfn.XLOOKUP(CustomerCombinedCleaned[[#This Row],[ID]], Table4[ID], Table4[Fruits], "Not Found", 0)</f>
        <v>213</v>
      </c>
      <c r="M617" s="16">
        <f>_xlfn.XLOOKUP(CustomerCombinedCleaned[[#This Row],[ID]], Table4[ID], Table4[Meats], "Not Found", 0)</f>
        <v>407</v>
      </c>
      <c r="N617" s="16">
        <f>_xlfn.XLOOKUP(CustomerCombinedCleaned[[#This Row],[ID]], Table4[ID], Table4[Seafood], "Not Found", 0)</f>
        <v>167</v>
      </c>
      <c r="O617" s="16">
        <f>_xlfn.XLOOKUP(CustomerCombinedCleaned[[#This Row],[ID]], Table4[ID], Table4[Sweets], "Not Found", 0)</f>
        <v>107</v>
      </c>
      <c r="P617" s="16">
        <f>_xlfn.XLOOKUP(CustomerCombinedCleaned[[#This Row],[ID]], Table4[ID], Table4[Premium], "Not Found", 0)</f>
        <v>323</v>
      </c>
      <c r="Q617" s="16">
        <f>_xlfn.XLOOKUP(CustomerCombinedCleaned[[#This Row],[ID]], Table4[ID], Table4[Regular], "Not Found", 0)</f>
        <v>1862</v>
      </c>
      <c r="R617" s="16">
        <f>_xlfn.XLOOKUP(CustomerCombinedCleaned[[#This Row],[ID]], Table4[ID], Table4[Deals], "Not Found", 0)</f>
        <v>3</v>
      </c>
      <c r="S617" s="16">
        <f>_xlfn.XLOOKUP(CustomerCombinedCleaned[[#This Row],[ID]], Table4[ID], Table4[Website], "Not Found", 0)</f>
        <v>7</v>
      </c>
      <c r="T617" s="16">
        <f>_xlfn.XLOOKUP(CustomerCombinedCleaned[[#This Row],[ID]], Table4[ID], Table4[Catalog], "Not Found", 0)</f>
        <v>3</v>
      </c>
      <c r="U617" s="16">
        <f>_xlfn.XLOOKUP(CustomerCombinedCleaned[[#This Row],[ID]], Table4[ID], Table4[Store], "Not Found", 0)</f>
        <v>13</v>
      </c>
      <c r="V617" s="16">
        <f>_xlfn.XLOOKUP(CustomerCombinedCleaned[[#This Row],[ID]], Table4[ID], Table4[Visits], "Not Found", 0)</f>
        <v>5</v>
      </c>
      <c r="W617" s="16">
        <f>_xlfn.XLOOKUP(CustomerCombinedCleaned[[#This Row],[ID]], Table2[ID],Table2[Complaint], "Not Found", 0 )</f>
        <v>0</v>
      </c>
      <c r="X617" s="16">
        <f>_xlfn.XLOOKUP(CustomerCombinedCleaned[[#This Row],[ID]], Table2[ID],Table2[Pilot], "Not Found", 0 )</f>
        <v>0</v>
      </c>
      <c r="Y617" s="16">
        <f>_xlfn.XLOOKUP(CustomerCombinedCleaned[[#This Row],[ID]], Table2[ID],Table2[MC1], "Not Found", 0 )</f>
        <v>0</v>
      </c>
      <c r="Z617" s="16">
        <f>_xlfn.XLOOKUP(CustomerCombinedCleaned[[#This Row],[ID]], Table2[ID],Table2[MC2], "Not Found", 0 )</f>
        <v>0</v>
      </c>
      <c r="AA617" s="16">
        <f>_xlfn.XLOOKUP(CustomerCombinedCleaned[[#This Row],[ID]], Table2[ID],Table2[MC3], "Not Found", 0 )</f>
        <v>0</v>
      </c>
      <c r="AB617" s="16">
        <f>_xlfn.XLOOKUP(CustomerCombinedCleaned[[#This Row],[ID]], Table2[ID],Table2[MC4], "Not Found", 0 )</f>
        <v>0</v>
      </c>
      <c r="AC617" s="16">
        <f>_xlfn.XLOOKUP(CustomerCombinedCleaned[[#This Row],[ID]], Table2[ID],Table2[MC5], "Not Found", 0 )</f>
        <v>0</v>
      </c>
    </row>
    <row r="618" spans="1:29" x14ac:dyDescent="0.3">
      <c r="A618" s="18">
        <v>3032</v>
      </c>
      <c r="B618" s="16">
        <v>170179</v>
      </c>
      <c r="C618" s="16">
        <v>0</v>
      </c>
      <c r="D618" s="16">
        <v>1</v>
      </c>
      <c r="E618" s="16">
        <v>44</v>
      </c>
      <c r="F618" s="17" t="s">
        <v>5</v>
      </c>
      <c r="G618" s="17" t="s">
        <v>13</v>
      </c>
      <c r="H618" s="3" t="s">
        <v>215</v>
      </c>
      <c r="I618" s="5" t="s">
        <v>438</v>
      </c>
      <c r="J618" s="16">
        <f>_xlfn.XLOOKUP(CustomerCombinedCleaned[[#This Row],[ID]], Table4[ID], Table4[Recency], "Not Found", 0)</f>
        <v>10</v>
      </c>
      <c r="K618" s="16">
        <f>_xlfn.XLOOKUP(CustomerCombinedCleaned[[#This Row],[ID]], Table4[ID], Table4[Teas], "Not Found", 0)</f>
        <v>1290</v>
      </c>
      <c r="L618" s="16">
        <f>_xlfn.XLOOKUP(CustomerCombinedCleaned[[#This Row],[ID]], Table4[ID], Table4[Fruits], "Not Found", 0)</f>
        <v>213</v>
      </c>
      <c r="M618" s="16">
        <f>_xlfn.XLOOKUP(CustomerCombinedCleaned[[#This Row],[ID]], Table4[ID], Table4[Meats], "Not Found", 0)</f>
        <v>407</v>
      </c>
      <c r="N618" s="16">
        <f>_xlfn.XLOOKUP(CustomerCombinedCleaned[[#This Row],[ID]], Table4[ID], Table4[Seafood], "Not Found", 0)</f>
        <v>167</v>
      </c>
      <c r="O618" s="16">
        <f>_xlfn.XLOOKUP(CustomerCombinedCleaned[[#This Row],[ID]], Table4[ID], Table4[Sweets], "Not Found", 0)</f>
        <v>107</v>
      </c>
      <c r="P618" s="16">
        <f>_xlfn.XLOOKUP(CustomerCombinedCleaned[[#This Row],[ID]], Table4[ID], Table4[Premium], "Not Found", 0)</f>
        <v>323</v>
      </c>
      <c r="Q618" s="16">
        <f>_xlfn.XLOOKUP(CustomerCombinedCleaned[[#This Row],[ID]], Table4[ID], Table4[Regular], "Not Found", 0)</f>
        <v>1862</v>
      </c>
      <c r="R618" s="16">
        <f>_xlfn.XLOOKUP(CustomerCombinedCleaned[[#This Row],[ID]], Table4[ID], Table4[Deals], "Not Found", 0)</f>
        <v>3</v>
      </c>
      <c r="S618" s="16">
        <f>_xlfn.XLOOKUP(CustomerCombinedCleaned[[#This Row],[ID]], Table4[ID], Table4[Website], "Not Found", 0)</f>
        <v>7</v>
      </c>
      <c r="T618" s="16">
        <f>_xlfn.XLOOKUP(CustomerCombinedCleaned[[#This Row],[ID]], Table4[ID], Table4[Catalog], "Not Found", 0)</f>
        <v>3</v>
      </c>
      <c r="U618" s="16">
        <f>_xlfn.XLOOKUP(CustomerCombinedCleaned[[#This Row],[ID]], Table4[ID], Table4[Store], "Not Found", 0)</f>
        <v>13</v>
      </c>
      <c r="V618" s="16">
        <f>_xlfn.XLOOKUP(CustomerCombinedCleaned[[#This Row],[ID]], Table4[ID], Table4[Visits], "Not Found", 0)</f>
        <v>5</v>
      </c>
      <c r="W618" s="16">
        <f>_xlfn.XLOOKUP(CustomerCombinedCleaned[[#This Row],[ID]], Table2[ID],Table2[Complaint], "Not Found", 0 )</f>
        <v>0</v>
      </c>
      <c r="X618" s="16">
        <f>_xlfn.XLOOKUP(CustomerCombinedCleaned[[#This Row],[ID]], Table2[ID],Table2[Pilot], "Not Found", 0 )</f>
        <v>0</v>
      </c>
      <c r="Y618" s="16">
        <f>_xlfn.XLOOKUP(CustomerCombinedCleaned[[#This Row],[ID]], Table2[ID],Table2[MC1], "Not Found", 0 )</f>
        <v>0</v>
      </c>
      <c r="Z618" s="16">
        <f>_xlfn.XLOOKUP(CustomerCombinedCleaned[[#This Row],[ID]], Table2[ID],Table2[MC2], "Not Found", 0 )</f>
        <v>0</v>
      </c>
      <c r="AA618" s="16">
        <f>_xlfn.XLOOKUP(CustomerCombinedCleaned[[#This Row],[ID]], Table2[ID],Table2[MC3], "Not Found", 0 )</f>
        <v>0</v>
      </c>
      <c r="AB618" s="16">
        <f>_xlfn.XLOOKUP(CustomerCombinedCleaned[[#This Row],[ID]], Table2[ID],Table2[MC4], "Not Found", 0 )</f>
        <v>0</v>
      </c>
      <c r="AC618" s="16">
        <f>_xlfn.XLOOKUP(CustomerCombinedCleaned[[#This Row],[ID]], Table2[ID],Table2[MC5], "Not Found", 0 )</f>
        <v>0</v>
      </c>
    </row>
    <row r="619" spans="1:29" x14ac:dyDescent="0.3">
      <c r="A619" s="18">
        <v>1910</v>
      </c>
      <c r="B619" s="16">
        <v>168397</v>
      </c>
      <c r="C619" s="16">
        <v>0</v>
      </c>
      <c r="D619" s="16">
        <v>1</v>
      </c>
      <c r="E619" s="16">
        <v>44</v>
      </c>
      <c r="F619" s="17" t="s">
        <v>6</v>
      </c>
      <c r="G619" s="17" t="s">
        <v>13</v>
      </c>
      <c r="H619" s="3" t="s">
        <v>148</v>
      </c>
      <c r="I619" s="5" t="s">
        <v>438</v>
      </c>
      <c r="J619" s="16">
        <f>_xlfn.XLOOKUP(CustomerCombinedCleaned[[#This Row],[ID]], Table4[ID], Table4[Recency], "Not Found", 0)</f>
        <v>6</v>
      </c>
      <c r="K619" s="16">
        <f>_xlfn.XLOOKUP(CustomerCombinedCleaned[[#This Row],[ID]], Table4[ID], Table4[Teas], "Not Found", 0)</f>
        <v>1871</v>
      </c>
      <c r="L619" s="16">
        <f>_xlfn.XLOOKUP(CustomerCombinedCleaned[[#This Row],[ID]], Table4[ID], Table4[Fruits], "Not Found", 0)</f>
        <v>197</v>
      </c>
      <c r="M619" s="16">
        <f>_xlfn.XLOOKUP(CustomerCombinedCleaned[[#This Row],[ID]], Table4[ID], Table4[Meats], "Not Found", 0)</f>
        <v>1147</v>
      </c>
      <c r="N619" s="16">
        <f>_xlfn.XLOOKUP(CustomerCombinedCleaned[[#This Row],[ID]], Table4[ID], Table4[Seafood], "Not Found", 0)</f>
        <v>42</v>
      </c>
      <c r="O619" s="16">
        <f>_xlfn.XLOOKUP(CustomerCombinedCleaned[[#This Row],[ID]], Table4[ID], Table4[Sweets], "Not Found", 0)</f>
        <v>32</v>
      </c>
      <c r="P619" s="16">
        <f>_xlfn.XLOOKUP(CustomerCombinedCleaned[[#This Row],[ID]], Table4[ID], Table4[Premium], "Not Found", 0)</f>
        <v>197</v>
      </c>
      <c r="Q619" s="16">
        <f>_xlfn.XLOOKUP(CustomerCombinedCleaned[[#This Row],[ID]], Table4[ID], Table4[Regular], "Not Found", 0)</f>
        <v>3092</v>
      </c>
      <c r="R619" s="16">
        <f>_xlfn.XLOOKUP(CustomerCombinedCleaned[[#This Row],[ID]], Table4[ID], Table4[Deals], "Not Found", 0)</f>
        <v>1</v>
      </c>
      <c r="S619" s="16">
        <f>_xlfn.XLOOKUP(CustomerCombinedCleaned[[#This Row],[ID]], Table4[ID], Table4[Website], "Not Found", 0)</f>
        <v>6</v>
      </c>
      <c r="T619" s="16">
        <f>_xlfn.XLOOKUP(CustomerCombinedCleaned[[#This Row],[ID]], Table4[ID], Table4[Catalog], "Not Found", 0)</f>
        <v>9</v>
      </c>
      <c r="U619" s="16">
        <f>_xlfn.XLOOKUP(CustomerCombinedCleaned[[#This Row],[ID]], Table4[ID], Table4[Store], "Not Found", 0)</f>
        <v>5</v>
      </c>
      <c r="V619" s="16">
        <f>_xlfn.XLOOKUP(CustomerCombinedCleaned[[#This Row],[ID]], Table4[ID], Table4[Visits], "Not Found", 0)</f>
        <v>3</v>
      </c>
      <c r="W619" s="16">
        <f>_xlfn.XLOOKUP(CustomerCombinedCleaned[[#This Row],[ID]], Table2[ID],Table2[Complaint], "Not Found", 0 )</f>
        <v>0</v>
      </c>
      <c r="X619" s="16">
        <f>_xlfn.XLOOKUP(CustomerCombinedCleaned[[#This Row],[ID]], Table2[ID],Table2[Pilot], "Not Found", 0 )</f>
        <v>0</v>
      </c>
      <c r="Y619" s="16">
        <f>_xlfn.XLOOKUP(CustomerCombinedCleaned[[#This Row],[ID]], Table2[ID],Table2[MC1], "Not Found", 0 )</f>
        <v>0</v>
      </c>
      <c r="Z619" s="16">
        <f>_xlfn.XLOOKUP(CustomerCombinedCleaned[[#This Row],[ID]], Table2[ID],Table2[MC2], "Not Found", 0 )</f>
        <v>0</v>
      </c>
      <c r="AA619" s="16">
        <f>_xlfn.XLOOKUP(CustomerCombinedCleaned[[#This Row],[ID]], Table2[ID],Table2[MC3], "Not Found", 0 )</f>
        <v>0</v>
      </c>
      <c r="AB619" s="16">
        <f>_xlfn.XLOOKUP(CustomerCombinedCleaned[[#This Row],[ID]], Table2[ID],Table2[MC4], "Not Found", 0 )</f>
        <v>0</v>
      </c>
      <c r="AC619" s="16">
        <f>_xlfn.XLOOKUP(CustomerCombinedCleaned[[#This Row],[ID]], Table2[ID],Table2[MC5], "Not Found", 0 )</f>
        <v>0</v>
      </c>
    </row>
    <row r="620" spans="1:29" x14ac:dyDescent="0.3">
      <c r="A620" s="18">
        <v>1667</v>
      </c>
      <c r="B620" s="16">
        <v>166476</v>
      </c>
      <c r="C620" s="16">
        <v>0</v>
      </c>
      <c r="D620" s="16">
        <v>1</v>
      </c>
      <c r="E620" s="16">
        <v>44</v>
      </c>
      <c r="F620" s="17" t="s">
        <v>5</v>
      </c>
      <c r="G620" s="17" t="s">
        <v>13</v>
      </c>
      <c r="H620" s="3" t="s">
        <v>688</v>
      </c>
      <c r="I620" s="5" t="s">
        <v>434</v>
      </c>
      <c r="J620" s="16">
        <f>_xlfn.XLOOKUP(CustomerCombinedCleaned[[#This Row],[ID]], Table4[ID], Table4[Recency], "Not Found", 0)</f>
        <v>99</v>
      </c>
      <c r="K620" s="16">
        <f>_xlfn.XLOOKUP(CustomerCombinedCleaned[[#This Row],[ID]], Table4[ID], Table4[Teas], "Not Found", 0)</f>
        <v>932</v>
      </c>
      <c r="L620" s="16">
        <f>_xlfn.XLOOKUP(CustomerCombinedCleaned[[#This Row],[ID]], Table4[ID], Table4[Fruits], "Not Found", 0)</f>
        <v>45</v>
      </c>
      <c r="M620" s="16">
        <f>_xlfn.XLOOKUP(CustomerCombinedCleaned[[#This Row],[ID]], Table4[ID], Table4[Meats], "Not Found", 0)</f>
        <v>316</v>
      </c>
      <c r="N620" s="16">
        <f>_xlfn.XLOOKUP(CustomerCombinedCleaned[[#This Row],[ID]], Table4[ID], Table4[Seafood], "Not Found", 0)</f>
        <v>118</v>
      </c>
      <c r="O620" s="16">
        <f>_xlfn.XLOOKUP(CustomerCombinedCleaned[[#This Row],[ID]], Table4[ID], Table4[Sweets], "Not Found", 0)</f>
        <v>120</v>
      </c>
      <c r="P620" s="16">
        <f>_xlfn.XLOOKUP(CustomerCombinedCleaned[[#This Row],[ID]], Table4[ID], Table4[Premium], "Not Found", 0)</f>
        <v>195</v>
      </c>
      <c r="Q620" s="16">
        <f>_xlfn.XLOOKUP(CustomerCombinedCleaned[[#This Row],[ID]], Table4[ID], Table4[Regular], "Not Found", 0)</f>
        <v>1335</v>
      </c>
      <c r="R620" s="16">
        <f>_xlfn.XLOOKUP(CustomerCombinedCleaned[[#This Row],[ID]], Table4[ID], Table4[Deals], "Not Found", 0)</f>
        <v>2</v>
      </c>
      <c r="S620" s="16">
        <f>_xlfn.XLOOKUP(CustomerCombinedCleaned[[#This Row],[ID]], Table4[ID], Table4[Website], "Not Found", 0)</f>
        <v>5</v>
      </c>
      <c r="T620" s="16">
        <f>_xlfn.XLOOKUP(CustomerCombinedCleaned[[#This Row],[ID]], Table4[ID], Table4[Catalog], "Not Found", 0)</f>
        <v>2</v>
      </c>
      <c r="U620" s="16">
        <f>_xlfn.XLOOKUP(CustomerCombinedCleaned[[#This Row],[ID]], Table4[ID], Table4[Store], "Not Found", 0)</f>
        <v>11</v>
      </c>
      <c r="V620" s="16">
        <f>_xlfn.XLOOKUP(CustomerCombinedCleaned[[#This Row],[ID]], Table4[ID], Table4[Visits], "Not Found", 0)</f>
        <v>4</v>
      </c>
      <c r="W620" s="16">
        <f>_xlfn.XLOOKUP(CustomerCombinedCleaned[[#This Row],[ID]], Table2[ID],Table2[Complaint], "Not Found", 0 )</f>
        <v>0</v>
      </c>
      <c r="X620" s="16">
        <f>_xlfn.XLOOKUP(CustomerCombinedCleaned[[#This Row],[ID]], Table2[ID],Table2[Pilot], "Not Found", 0 )</f>
        <v>0</v>
      </c>
      <c r="Y620" s="16">
        <f>_xlfn.XLOOKUP(CustomerCombinedCleaned[[#This Row],[ID]], Table2[ID],Table2[MC1], "Not Found", 0 )</f>
        <v>0</v>
      </c>
      <c r="Z620" s="16">
        <f>_xlfn.XLOOKUP(CustomerCombinedCleaned[[#This Row],[ID]], Table2[ID],Table2[MC2], "Not Found", 0 )</f>
        <v>0</v>
      </c>
      <c r="AA620" s="16">
        <f>_xlfn.XLOOKUP(CustomerCombinedCleaned[[#This Row],[ID]], Table2[ID],Table2[MC3], "Not Found", 0 )</f>
        <v>0</v>
      </c>
      <c r="AB620" s="16">
        <f>_xlfn.XLOOKUP(CustomerCombinedCleaned[[#This Row],[ID]], Table2[ID],Table2[MC4], "Not Found", 0 )</f>
        <v>0</v>
      </c>
      <c r="AC620" s="16">
        <f>_xlfn.XLOOKUP(CustomerCombinedCleaned[[#This Row],[ID]], Table2[ID],Table2[MC5], "Not Found", 0 )</f>
        <v>0</v>
      </c>
    </row>
    <row r="621" spans="1:29" x14ac:dyDescent="0.3">
      <c r="A621" s="18">
        <v>1438</v>
      </c>
      <c r="B621" s="16">
        <v>165991</v>
      </c>
      <c r="C621" s="16">
        <v>0</v>
      </c>
      <c r="D621" s="16">
        <v>1</v>
      </c>
      <c r="E621" s="16">
        <v>44</v>
      </c>
      <c r="F621" s="17" t="s">
        <v>6</v>
      </c>
      <c r="G621" s="17" t="s">
        <v>11</v>
      </c>
      <c r="H621" s="3" t="s">
        <v>684</v>
      </c>
      <c r="I621" s="5" t="s">
        <v>439</v>
      </c>
      <c r="J621" s="16">
        <f>_xlfn.XLOOKUP(CustomerCombinedCleaned[[#This Row],[ID]], Table4[ID], Table4[Recency], "Not Found", 0)</f>
        <v>21</v>
      </c>
      <c r="K621" s="16">
        <f>_xlfn.XLOOKUP(CustomerCombinedCleaned[[#This Row],[ID]], Table4[ID], Table4[Teas], "Not Found", 0)</f>
        <v>1275</v>
      </c>
      <c r="L621" s="16">
        <f>_xlfn.XLOOKUP(CustomerCombinedCleaned[[#This Row],[ID]], Table4[ID], Table4[Fruits], "Not Found", 0)</f>
        <v>48</v>
      </c>
      <c r="M621" s="16">
        <f>_xlfn.XLOOKUP(CustomerCombinedCleaned[[#This Row],[ID]], Table4[ID], Table4[Meats], "Not Found", 0)</f>
        <v>916</v>
      </c>
      <c r="N621" s="16">
        <f>_xlfn.XLOOKUP(CustomerCombinedCleaned[[#This Row],[ID]], Table4[ID], Table4[Seafood], "Not Found", 0)</f>
        <v>63</v>
      </c>
      <c r="O621" s="16">
        <f>_xlfn.XLOOKUP(CustomerCombinedCleaned[[#This Row],[ID]], Table4[ID], Table4[Sweets], "Not Found", 0)</f>
        <v>118</v>
      </c>
      <c r="P621" s="16">
        <f>_xlfn.XLOOKUP(CustomerCombinedCleaned[[#This Row],[ID]], Table4[ID], Table4[Premium], "Not Found", 0)</f>
        <v>23</v>
      </c>
      <c r="Q621" s="16">
        <f>_xlfn.XLOOKUP(CustomerCombinedCleaned[[#This Row],[ID]], Table4[ID], Table4[Regular], "Not Found", 0)</f>
        <v>2397</v>
      </c>
      <c r="R621" s="16">
        <f>_xlfn.XLOOKUP(CustomerCombinedCleaned[[#This Row],[ID]], Table4[ID], Table4[Deals], "Not Found", 0)</f>
        <v>3</v>
      </c>
      <c r="S621" s="16">
        <f>_xlfn.XLOOKUP(CustomerCombinedCleaned[[#This Row],[ID]], Table4[ID], Table4[Website], "Not Found", 0)</f>
        <v>9</v>
      </c>
      <c r="T621" s="16">
        <f>_xlfn.XLOOKUP(CustomerCombinedCleaned[[#This Row],[ID]], Table4[ID], Table4[Catalog], "Not Found", 0)</f>
        <v>5</v>
      </c>
      <c r="U621" s="16">
        <f>_xlfn.XLOOKUP(CustomerCombinedCleaned[[#This Row],[ID]], Table4[ID], Table4[Store], "Not Found", 0)</f>
        <v>10</v>
      </c>
      <c r="V621" s="16">
        <f>_xlfn.XLOOKUP(CustomerCombinedCleaned[[#This Row],[ID]], Table4[ID], Table4[Visits], "Not Found", 0)</f>
        <v>7</v>
      </c>
      <c r="W621" s="16">
        <f>_xlfn.XLOOKUP(CustomerCombinedCleaned[[#This Row],[ID]], Table2[ID],Table2[Complaint], "Not Found", 0 )</f>
        <v>0</v>
      </c>
      <c r="X621" s="16">
        <f>_xlfn.XLOOKUP(CustomerCombinedCleaned[[#This Row],[ID]], Table2[ID],Table2[Pilot], "Not Found", 0 )</f>
        <v>0</v>
      </c>
      <c r="Y621" s="16">
        <f>_xlfn.XLOOKUP(CustomerCombinedCleaned[[#This Row],[ID]], Table2[ID],Table2[MC1], "Not Found", 0 )</f>
        <v>0</v>
      </c>
      <c r="Z621" s="16">
        <f>_xlfn.XLOOKUP(CustomerCombinedCleaned[[#This Row],[ID]], Table2[ID],Table2[MC2], "Not Found", 0 )</f>
        <v>0</v>
      </c>
      <c r="AA621" s="16">
        <f>_xlfn.XLOOKUP(CustomerCombinedCleaned[[#This Row],[ID]], Table2[ID],Table2[MC3], "Not Found", 0 )</f>
        <v>0</v>
      </c>
      <c r="AB621" s="16">
        <f>_xlfn.XLOOKUP(CustomerCombinedCleaned[[#This Row],[ID]], Table2[ID],Table2[MC4], "Not Found", 0 )</f>
        <v>0</v>
      </c>
      <c r="AC621" s="16">
        <f>_xlfn.XLOOKUP(CustomerCombinedCleaned[[#This Row],[ID]], Table2[ID],Table2[MC5], "Not Found", 0 )</f>
        <v>0</v>
      </c>
    </row>
    <row r="622" spans="1:29" x14ac:dyDescent="0.3">
      <c r="A622" s="18">
        <v>1490</v>
      </c>
      <c r="B622" s="16">
        <v>165665</v>
      </c>
      <c r="C622" s="16">
        <v>0</v>
      </c>
      <c r="D622" s="16">
        <v>1</v>
      </c>
      <c r="E622" s="16">
        <v>44</v>
      </c>
      <c r="F622" s="17" t="s">
        <v>6</v>
      </c>
      <c r="G622" s="17" t="s">
        <v>11</v>
      </c>
      <c r="H622" s="3" t="s">
        <v>585</v>
      </c>
      <c r="I622" s="5" t="s">
        <v>438</v>
      </c>
      <c r="J622" s="16">
        <f>_xlfn.XLOOKUP(CustomerCombinedCleaned[[#This Row],[ID]], Table4[ID], Table4[Recency], "Not Found", 0)</f>
        <v>77</v>
      </c>
      <c r="K622" s="16">
        <f>_xlfn.XLOOKUP(CustomerCombinedCleaned[[#This Row],[ID]], Table4[ID], Table4[Teas], "Not Found", 0)</f>
        <v>568</v>
      </c>
      <c r="L622" s="16">
        <f>_xlfn.XLOOKUP(CustomerCombinedCleaned[[#This Row],[ID]], Table4[ID], Table4[Fruits], "Not Found", 0)</f>
        <v>409</v>
      </c>
      <c r="M622" s="16">
        <f>_xlfn.XLOOKUP(CustomerCombinedCleaned[[#This Row],[ID]], Table4[ID], Table4[Meats], "Not Found", 0)</f>
        <v>976</v>
      </c>
      <c r="N622" s="16">
        <f>_xlfn.XLOOKUP(CustomerCombinedCleaned[[#This Row],[ID]], Table4[ID], Table4[Seafood], "Not Found", 0)</f>
        <v>267</v>
      </c>
      <c r="O622" s="16">
        <f>_xlfn.XLOOKUP(CustomerCombinedCleaned[[#This Row],[ID]], Table4[ID], Table4[Sweets], "Not Found", 0)</f>
        <v>91</v>
      </c>
      <c r="P622" s="16">
        <f>_xlfn.XLOOKUP(CustomerCombinedCleaned[[#This Row],[ID]], Table4[ID], Table4[Premium], "Not Found", 0)</f>
        <v>73</v>
      </c>
      <c r="Q622" s="16">
        <f>_xlfn.XLOOKUP(CustomerCombinedCleaned[[#This Row],[ID]], Table4[ID], Table4[Regular], "Not Found", 0)</f>
        <v>2238</v>
      </c>
      <c r="R622" s="16">
        <f>_xlfn.XLOOKUP(CustomerCombinedCleaned[[#This Row],[ID]], Table4[ID], Table4[Deals], "Not Found", 0)</f>
        <v>1</v>
      </c>
      <c r="S622" s="16">
        <f>_xlfn.XLOOKUP(CustomerCombinedCleaned[[#This Row],[ID]], Table4[ID], Table4[Website], "Not Found", 0)</f>
        <v>5</v>
      </c>
      <c r="T622" s="16">
        <f>_xlfn.XLOOKUP(CustomerCombinedCleaned[[#This Row],[ID]], Table4[ID], Table4[Catalog], "Not Found", 0)</f>
        <v>10</v>
      </c>
      <c r="U622" s="16">
        <f>_xlfn.XLOOKUP(CustomerCombinedCleaned[[#This Row],[ID]], Table4[ID], Table4[Store], "Not Found", 0)</f>
        <v>8</v>
      </c>
      <c r="V622" s="16">
        <f>_xlfn.XLOOKUP(CustomerCombinedCleaned[[#This Row],[ID]], Table4[ID], Table4[Visits], "Not Found", 0)</f>
        <v>3</v>
      </c>
      <c r="W622" s="16">
        <f>_xlfn.XLOOKUP(CustomerCombinedCleaned[[#This Row],[ID]], Table2[ID],Table2[Complaint], "Not Found", 0 )</f>
        <v>0</v>
      </c>
      <c r="X622" s="16">
        <f>_xlfn.XLOOKUP(CustomerCombinedCleaned[[#This Row],[ID]], Table2[ID],Table2[Pilot], "Not Found", 0 )</f>
        <v>0</v>
      </c>
      <c r="Y622" s="16">
        <f>_xlfn.XLOOKUP(CustomerCombinedCleaned[[#This Row],[ID]], Table2[ID],Table2[MC1], "Not Found", 0 )</f>
        <v>0</v>
      </c>
      <c r="Z622" s="16">
        <f>_xlfn.XLOOKUP(CustomerCombinedCleaned[[#This Row],[ID]], Table2[ID],Table2[MC2], "Not Found", 0 )</f>
        <v>0</v>
      </c>
      <c r="AA622" s="16">
        <f>_xlfn.XLOOKUP(CustomerCombinedCleaned[[#This Row],[ID]], Table2[ID],Table2[MC3], "Not Found", 0 )</f>
        <v>0</v>
      </c>
      <c r="AB622" s="16">
        <f>_xlfn.XLOOKUP(CustomerCombinedCleaned[[#This Row],[ID]], Table2[ID],Table2[MC4], "Not Found", 0 )</f>
        <v>0</v>
      </c>
      <c r="AC622" s="16">
        <f>_xlfn.XLOOKUP(CustomerCombinedCleaned[[#This Row],[ID]], Table2[ID],Table2[MC5], "Not Found", 0 )</f>
        <v>0</v>
      </c>
    </row>
    <row r="623" spans="1:29" x14ac:dyDescent="0.3">
      <c r="A623" s="18">
        <v>1131</v>
      </c>
      <c r="B623" s="16">
        <v>165104</v>
      </c>
      <c r="C623" s="16">
        <v>0</v>
      </c>
      <c r="D623" s="16">
        <v>1</v>
      </c>
      <c r="E623" s="16">
        <v>44</v>
      </c>
      <c r="F623" s="17" t="s">
        <v>8</v>
      </c>
      <c r="G623" s="17" t="s">
        <v>12</v>
      </c>
      <c r="H623" s="3" t="s">
        <v>150</v>
      </c>
      <c r="I623" s="5" t="s">
        <v>435</v>
      </c>
      <c r="J623" s="16">
        <f>_xlfn.XLOOKUP(CustomerCombinedCleaned[[#This Row],[ID]], Table4[ID], Table4[Recency], "Not Found", 0)</f>
        <v>4</v>
      </c>
      <c r="K623" s="16">
        <f>_xlfn.XLOOKUP(CustomerCombinedCleaned[[#This Row],[ID]], Table4[ID], Table4[Teas], "Not Found", 0)</f>
        <v>1872</v>
      </c>
      <c r="L623" s="16">
        <f>_xlfn.XLOOKUP(CustomerCombinedCleaned[[#This Row],[ID]], Table4[ID], Table4[Fruits], "Not Found", 0)</f>
        <v>0</v>
      </c>
      <c r="M623" s="16">
        <f>_xlfn.XLOOKUP(CustomerCombinedCleaned[[#This Row],[ID]], Table4[ID], Table4[Meats], "Not Found", 0)</f>
        <v>588</v>
      </c>
      <c r="N623" s="16">
        <f>_xlfn.XLOOKUP(CustomerCombinedCleaned[[#This Row],[ID]], Table4[ID], Table4[Seafood], "Not Found", 0)</f>
        <v>33</v>
      </c>
      <c r="O623" s="16">
        <f>_xlfn.XLOOKUP(CustomerCombinedCleaned[[#This Row],[ID]], Table4[ID], Table4[Sweets], "Not Found", 0)</f>
        <v>51</v>
      </c>
      <c r="P623" s="16">
        <f>_xlfn.XLOOKUP(CustomerCombinedCleaned[[#This Row],[ID]], Table4[ID], Table4[Premium], "Not Found", 0)</f>
        <v>127</v>
      </c>
      <c r="Q623" s="16">
        <f>_xlfn.XLOOKUP(CustomerCombinedCleaned[[#This Row],[ID]], Table4[ID], Table4[Regular], "Not Found", 0)</f>
        <v>2417</v>
      </c>
      <c r="R623" s="16">
        <f>_xlfn.XLOOKUP(CustomerCombinedCleaned[[#This Row],[ID]], Table4[ID], Table4[Deals], "Not Found", 0)</f>
        <v>2</v>
      </c>
      <c r="S623" s="16">
        <f>_xlfn.XLOOKUP(CustomerCombinedCleaned[[#This Row],[ID]], Table4[ID], Table4[Website], "Not Found", 0)</f>
        <v>3</v>
      </c>
      <c r="T623" s="16">
        <f>_xlfn.XLOOKUP(CustomerCombinedCleaned[[#This Row],[ID]], Table4[ID], Table4[Catalog], "Not Found", 0)</f>
        <v>5</v>
      </c>
      <c r="U623" s="16">
        <f>_xlfn.XLOOKUP(CustomerCombinedCleaned[[#This Row],[ID]], Table4[ID], Table4[Store], "Not Found", 0)</f>
        <v>7</v>
      </c>
      <c r="V623" s="16">
        <f>_xlfn.XLOOKUP(CustomerCombinedCleaned[[#This Row],[ID]], Table4[ID], Table4[Visits], "Not Found", 0)</f>
        <v>7</v>
      </c>
      <c r="W623" s="16">
        <f>_xlfn.XLOOKUP(CustomerCombinedCleaned[[#This Row],[ID]], Table2[ID],Table2[Complaint], "Not Found", 0 )</f>
        <v>0</v>
      </c>
      <c r="X623" s="16">
        <f>_xlfn.XLOOKUP(CustomerCombinedCleaned[[#This Row],[ID]], Table2[ID],Table2[Pilot], "Not Found", 0 )</f>
        <v>1</v>
      </c>
      <c r="Y623" s="16">
        <f>_xlfn.XLOOKUP(CustomerCombinedCleaned[[#This Row],[ID]], Table2[ID],Table2[MC1], "Not Found", 0 )</f>
        <v>0</v>
      </c>
      <c r="Z623" s="16">
        <f>_xlfn.XLOOKUP(CustomerCombinedCleaned[[#This Row],[ID]], Table2[ID],Table2[MC2], "Not Found", 0 )</f>
        <v>0</v>
      </c>
      <c r="AA623" s="16">
        <f>_xlfn.XLOOKUP(CustomerCombinedCleaned[[#This Row],[ID]], Table2[ID],Table2[MC3], "Not Found", 0 )</f>
        <v>0</v>
      </c>
      <c r="AB623" s="16">
        <f>_xlfn.XLOOKUP(CustomerCombinedCleaned[[#This Row],[ID]], Table2[ID],Table2[MC4], "Not Found", 0 )</f>
        <v>0</v>
      </c>
      <c r="AC623" s="16">
        <f>_xlfn.XLOOKUP(CustomerCombinedCleaned[[#This Row],[ID]], Table2[ID],Table2[MC5], "Not Found", 0 )</f>
        <v>0</v>
      </c>
    </row>
    <row r="624" spans="1:29" x14ac:dyDescent="0.3">
      <c r="A624" s="18">
        <v>1470</v>
      </c>
      <c r="B624" s="16">
        <v>165104</v>
      </c>
      <c r="C624" s="16">
        <v>0</v>
      </c>
      <c r="D624" s="16">
        <v>1</v>
      </c>
      <c r="E624" s="16">
        <v>44</v>
      </c>
      <c r="F624" s="17" t="s">
        <v>8</v>
      </c>
      <c r="G624" s="17" t="s">
        <v>12</v>
      </c>
      <c r="H624" s="3" t="s">
        <v>150</v>
      </c>
      <c r="I624" s="5" t="s">
        <v>436</v>
      </c>
      <c r="J624" s="16">
        <f>_xlfn.XLOOKUP(CustomerCombinedCleaned[[#This Row],[ID]], Table4[ID], Table4[Recency], "Not Found", 0)</f>
        <v>4</v>
      </c>
      <c r="K624" s="16">
        <f>_xlfn.XLOOKUP(CustomerCombinedCleaned[[#This Row],[ID]], Table4[ID], Table4[Teas], "Not Found", 0)</f>
        <v>1872</v>
      </c>
      <c r="L624" s="16">
        <f>_xlfn.XLOOKUP(CustomerCombinedCleaned[[#This Row],[ID]], Table4[ID], Table4[Fruits], "Not Found", 0)</f>
        <v>0</v>
      </c>
      <c r="M624" s="16">
        <f>_xlfn.XLOOKUP(CustomerCombinedCleaned[[#This Row],[ID]], Table4[ID], Table4[Meats], "Not Found", 0)</f>
        <v>588</v>
      </c>
      <c r="N624" s="16">
        <f>_xlfn.XLOOKUP(CustomerCombinedCleaned[[#This Row],[ID]], Table4[ID], Table4[Seafood], "Not Found", 0)</f>
        <v>33</v>
      </c>
      <c r="O624" s="16">
        <f>_xlfn.XLOOKUP(CustomerCombinedCleaned[[#This Row],[ID]], Table4[ID], Table4[Sweets], "Not Found", 0)</f>
        <v>51</v>
      </c>
      <c r="P624" s="16">
        <f>_xlfn.XLOOKUP(CustomerCombinedCleaned[[#This Row],[ID]], Table4[ID], Table4[Premium], "Not Found", 0)</f>
        <v>127</v>
      </c>
      <c r="Q624" s="16">
        <f>_xlfn.XLOOKUP(CustomerCombinedCleaned[[#This Row],[ID]], Table4[ID], Table4[Regular], "Not Found", 0)</f>
        <v>2417</v>
      </c>
      <c r="R624" s="16">
        <f>_xlfn.XLOOKUP(CustomerCombinedCleaned[[#This Row],[ID]], Table4[ID], Table4[Deals], "Not Found", 0)</f>
        <v>2</v>
      </c>
      <c r="S624" s="16">
        <f>_xlfn.XLOOKUP(CustomerCombinedCleaned[[#This Row],[ID]], Table4[ID], Table4[Website], "Not Found", 0)</f>
        <v>3</v>
      </c>
      <c r="T624" s="16">
        <f>_xlfn.XLOOKUP(CustomerCombinedCleaned[[#This Row],[ID]], Table4[ID], Table4[Catalog], "Not Found", 0)</f>
        <v>5</v>
      </c>
      <c r="U624" s="16">
        <f>_xlfn.XLOOKUP(CustomerCombinedCleaned[[#This Row],[ID]], Table4[ID], Table4[Store], "Not Found", 0)</f>
        <v>7</v>
      </c>
      <c r="V624" s="16">
        <f>_xlfn.XLOOKUP(CustomerCombinedCleaned[[#This Row],[ID]], Table4[ID], Table4[Visits], "Not Found", 0)</f>
        <v>7</v>
      </c>
      <c r="W624" s="16">
        <f>_xlfn.XLOOKUP(CustomerCombinedCleaned[[#This Row],[ID]], Table2[ID],Table2[Complaint], "Not Found", 0 )</f>
        <v>0</v>
      </c>
      <c r="X624" s="16">
        <f>_xlfn.XLOOKUP(CustomerCombinedCleaned[[#This Row],[ID]], Table2[ID],Table2[Pilot], "Not Found", 0 )</f>
        <v>0</v>
      </c>
      <c r="Y624" s="16">
        <f>_xlfn.XLOOKUP(CustomerCombinedCleaned[[#This Row],[ID]], Table2[ID],Table2[MC1], "Not Found", 0 )</f>
        <v>0</v>
      </c>
      <c r="Z624" s="16">
        <f>_xlfn.XLOOKUP(CustomerCombinedCleaned[[#This Row],[ID]], Table2[ID],Table2[MC2], "Not Found", 0 )</f>
        <v>0</v>
      </c>
      <c r="AA624" s="16">
        <f>_xlfn.XLOOKUP(CustomerCombinedCleaned[[#This Row],[ID]], Table2[ID],Table2[MC3], "Not Found", 0 )</f>
        <v>0</v>
      </c>
      <c r="AB624" s="16">
        <f>_xlfn.XLOOKUP(CustomerCombinedCleaned[[#This Row],[ID]], Table2[ID],Table2[MC4], "Not Found", 0 )</f>
        <v>0</v>
      </c>
      <c r="AC624" s="16">
        <f>_xlfn.XLOOKUP(CustomerCombinedCleaned[[#This Row],[ID]], Table2[ID],Table2[MC5], "Not Found", 0 )</f>
        <v>0</v>
      </c>
    </row>
    <row r="625" spans="1:29" x14ac:dyDescent="0.3">
      <c r="A625" s="18">
        <v>2637</v>
      </c>
      <c r="B625" s="16">
        <v>164892</v>
      </c>
      <c r="C625" s="16">
        <v>0</v>
      </c>
      <c r="D625" s="16">
        <v>1</v>
      </c>
      <c r="E625" s="16">
        <v>44</v>
      </c>
      <c r="F625" s="17" t="s">
        <v>5</v>
      </c>
      <c r="G625" s="17" t="s">
        <v>11</v>
      </c>
      <c r="H625" s="3" t="s">
        <v>565</v>
      </c>
      <c r="I625" s="5" t="s">
        <v>435</v>
      </c>
      <c r="J625" s="16">
        <f>_xlfn.XLOOKUP(CustomerCombinedCleaned[[#This Row],[ID]], Table4[ID], Table4[Recency], "Not Found", 0)</f>
        <v>77</v>
      </c>
      <c r="K625" s="16">
        <f>_xlfn.XLOOKUP(CustomerCombinedCleaned[[#This Row],[ID]], Table4[ID], Table4[Teas], "Not Found", 0)</f>
        <v>1339</v>
      </c>
      <c r="L625" s="16">
        <f>_xlfn.XLOOKUP(CustomerCombinedCleaned[[#This Row],[ID]], Table4[ID], Table4[Fruits], "Not Found", 0)</f>
        <v>61</v>
      </c>
      <c r="M625" s="16">
        <f>_xlfn.XLOOKUP(CustomerCombinedCleaned[[#This Row],[ID]], Table4[ID], Table4[Meats], "Not Found", 0)</f>
        <v>584</v>
      </c>
      <c r="N625" s="16">
        <f>_xlfn.XLOOKUP(CustomerCombinedCleaned[[#This Row],[ID]], Table4[ID], Table4[Seafood], "Not Found", 0)</f>
        <v>81</v>
      </c>
      <c r="O625" s="16">
        <f>_xlfn.XLOOKUP(CustomerCombinedCleaned[[#This Row],[ID]], Table4[ID], Table4[Sweets], "Not Found", 0)</f>
        <v>61</v>
      </c>
      <c r="P625" s="16">
        <f>_xlfn.XLOOKUP(CustomerCombinedCleaned[[#This Row],[ID]], Table4[ID], Table4[Premium], "Not Found", 0)</f>
        <v>165</v>
      </c>
      <c r="Q625" s="16">
        <f>_xlfn.XLOOKUP(CustomerCombinedCleaned[[#This Row],[ID]], Table4[ID], Table4[Regular], "Not Found", 0)</f>
        <v>1962</v>
      </c>
      <c r="R625" s="16">
        <f>_xlfn.XLOOKUP(CustomerCombinedCleaned[[#This Row],[ID]], Table4[ID], Table4[Deals], "Not Found", 0)</f>
        <v>2</v>
      </c>
      <c r="S625" s="16">
        <f>_xlfn.XLOOKUP(CustomerCombinedCleaned[[#This Row],[ID]], Table4[ID], Table4[Website], "Not Found", 0)</f>
        <v>6</v>
      </c>
      <c r="T625" s="16">
        <f>_xlfn.XLOOKUP(CustomerCombinedCleaned[[#This Row],[ID]], Table4[ID], Table4[Catalog], "Not Found", 0)</f>
        <v>4</v>
      </c>
      <c r="U625" s="16">
        <f>_xlfn.XLOOKUP(CustomerCombinedCleaned[[#This Row],[ID]], Table4[ID], Table4[Store], "Not Found", 0)</f>
        <v>12</v>
      </c>
      <c r="V625" s="16">
        <f>_xlfn.XLOOKUP(CustomerCombinedCleaned[[#This Row],[ID]], Table4[ID], Table4[Visits], "Not Found", 0)</f>
        <v>4</v>
      </c>
      <c r="W625" s="16">
        <f>_xlfn.XLOOKUP(CustomerCombinedCleaned[[#This Row],[ID]], Table2[ID],Table2[Complaint], "Not Found", 0 )</f>
        <v>0</v>
      </c>
      <c r="X625" s="16">
        <f>_xlfn.XLOOKUP(CustomerCombinedCleaned[[#This Row],[ID]], Table2[ID],Table2[Pilot], "Not Found", 0 )</f>
        <v>0</v>
      </c>
      <c r="Y625" s="16">
        <f>_xlfn.XLOOKUP(CustomerCombinedCleaned[[#This Row],[ID]], Table2[ID],Table2[MC1], "Not Found", 0 )</f>
        <v>0</v>
      </c>
      <c r="Z625" s="16">
        <f>_xlfn.XLOOKUP(CustomerCombinedCleaned[[#This Row],[ID]], Table2[ID],Table2[MC2], "Not Found", 0 )</f>
        <v>0</v>
      </c>
      <c r="AA625" s="16">
        <f>_xlfn.XLOOKUP(CustomerCombinedCleaned[[#This Row],[ID]], Table2[ID],Table2[MC3], "Not Found", 0 )</f>
        <v>0</v>
      </c>
      <c r="AB625" s="16">
        <f>_xlfn.XLOOKUP(CustomerCombinedCleaned[[#This Row],[ID]], Table2[ID],Table2[MC4], "Not Found", 0 )</f>
        <v>0</v>
      </c>
      <c r="AC625" s="16">
        <f>_xlfn.XLOOKUP(CustomerCombinedCleaned[[#This Row],[ID]], Table2[ID],Table2[MC5], "Not Found", 0 )</f>
        <v>0</v>
      </c>
    </row>
    <row r="626" spans="1:29" x14ac:dyDescent="0.3">
      <c r="A626" s="18">
        <v>2328</v>
      </c>
      <c r="B626" s="16">
        <v>162061</v>
      </c>
      <c r="C626" s="16">
        <v>0</v>
      </c>
      <c r="D626" s="16">
        <v>1</v>
      </c>
      <c r="E626" s="16">
        <v>44</v>
      </c>
      <c r="F626" s="17" t="s">
        <v>8</v>
      </c>
      <c r="G626" s="17" t="s">
        <v>11</v>
      </c>
      <c r="H626" s="3" t="s">
        <v>651</v>
      </c>
      <c r="I626" s="5" t="s">
        <v>436</v>
      </c>
      <c r="J626" s="16">
        <f>_xlfn.XLOOKUP(CustomerCombinedCleaned[[#This Row],[ID]], Table4[ID], Table4[Recency], "Not Found", 0)</f>
        <v>12</v>
      </c>
      <c r="K626" s="16">
        <f>_xlfn.XLOOKUP(CustomerCombinedCleaned[[#This Row],[ID]], Table4[ID], Table4[Teas], "Not Found", 0)</f>
        <v>1674</v>
      </c>
      <c r="L626" s="16">
        <f>_xlfn.XLOOKUP(CustomerCombinedCleaned[[#This Row],[ID]], Table4[ID], Table4[Fruits], "Not Found", 0)</f>
        <v>18</v>
      </c>
      <c r="M626" s="16">
        <f>_xlfn.XLOOKUP(CustomerCombinedCleaned[[#This Row],[ID]], Table4[ID], Table4[Meats], "Not Found", 0)</f>
        <v>219</v>
      </c>
      <c r="N626" s="16">
        <f>_xlfn.XLOOKUP(CustomerCombinedCleaned[[#This Row],[ID]], Table4[ID], Table4[Seafood], "Not Found", 0)</f>
        <v>0</v>
      </c>
      <c r="O626" s="16">
        <f>_xlfn.XLOOKUP(CustomerCombinedCleaned[[#This Row],[ID]], Table4[ID], Table4[Sweets], "Not Found", 0)</f>
        <v>78</v>
      </c>
      <c r="P626" s="16">
        <f>_xlfn.XLOOKUP(CustomerCombinedCleaned[[#This Row],[ID]], Table4[ID], Table4[Premium], "Not Found", 0)</f>
        <v>99</v>
      </c>
      <c r="Q626" s="16">
        <f>_xlfn.XLOOKUP(CustomerCombinedCleaned[[#This Row],[ID]], Table4[ID], Table4[Regular], "Not Found", 0)</f>
        <v>1891</v>
      </c>
      <c r="R626" s="16">
        <f>_xlfn.XLOOKUP(CustomerCombinedCleaned[[#This Row],[ID]], Table4[ID], Table4[Deals], "Not Found", 0)</f>
        <v>3</v>
      </c>
      <c r="S626" s="16">
        <f>_xlfn.XLOOKUP(CustomerCombinedCleaned[[#This Row],[ID]], Table4[ID], Table4[Website], "Not Found", 0)</f>
        <v>10</v>
      </c>
      <c r="T626" s="16">
        <f>_xlfn.XLOOKUP(CustomerCombinedCleaned[[#This Row],[ID]], Table4[ID], Table4[Catalog], "Not Found", 0)</f>
        <v>4</v>
      </c>
      <c r="U626" s="16">
        <f>_xlfn.XLOOKUP(CustomerCombinedCleaned[[#This Row],[ID]], Table4[ID], Table4[Store], "Not Found", 0)</f>
        <v>7</v>
      </c>
      <c r="V626" s="16">
        <f>_xlfn.XLOOKUP(CustomerCombinedCleaned[[#This Row],[ID]], Table4[ID], Table4[Visits], "Not Found", 0)</f>
        <v>6</v>
      </c>
      <c r="W626" s="16">
        <f>_xlfn.XLOOKUP(CustomerCombinedCleaned[[#This Row],[ID]], Table2[ID],Table2[Complaint], "Not Found", 0 )</f>
        <v>0</v>
      </c>
      <c r="X626" s="16">
        <f>_xlfn.XLOOKUP(CustomerCombinedCleaned[[#This Row],[ID]], Table2[ID],Table2[Pilot], "Not Found", 0 )</f>
        <v>0</v>
      </c>
      <c r="Y626" s="16">
        <f>_xlfn.XLOOKUP(CustomerCombinedCleaned[[#This Row],[ID]], Table2[ID],Table2[MC1], "Not Found", 0 )</f>
        <v>0</v>
      </c>
      <c r="Z626" s="16">
        <f>_xlfn.XLOOKUP(CustomerCombinedCleaned[[#This Row],[ID]], Table2[ID],Table2[MC2], "Not Found", 0 )</f>
        <v>0</v>
      </c>
      <c r="AA626" s="16">
        <f>_xlfn.XLOOKUP(CustomerCombinedCleaned[[#This Row],[ID]], Table2[ID],Table2[MC3], "Not Found", 0 )</f>
        <v>0</v>
      </c>
      <c r="AB626" s="16">
        <f>_xlfn.XLOOKUP(CustomerCombinedCleaned[[#This Row],[ID]], Table2[ID],Table2[MC4], "Not Found", 0 )</f>
        <v>1</v>
      </c>
      <c r="AC626" s="16">
        <f>_xlfn.XLOOKUP(CustomerCombinedCleaned[[#This Row],[ID]], Table2[ID],Table2[MC5], "Not Found", 0 )</f>
        <v>0</v>
      </c>
    </row>
    <row r="627" spans="1:29" x14ac:dyDescent="0.3">
      <c r="A627" s="18">
        <v>2675</v>
      </c>
      <c r="B627" s="16">
        <v>161064</v>
      </c>
      <c r="C627" s="16">
        <v>0</v>
      </c>
      <c r="D627" s="16">
        <v>1</v>
      </c>
      <c r="E627" s="16">
        <v>44</v>
      </c>
      <c r="F627" s="17" t="s">
        <v>6</v>
      </c>
      <c r="G627" s="17" t="s">
        <v>11</v>
      </c>
      <c r="H627" s="3" t="s">
        <v>681</v>
      </c>
      <c r="I627" s="5" t="s">
        <v>434</v>
      </c>
      <c r="J627" s="16">
        <f>_xlfn.XLOOKUP(CustomerCombinedCleaned[[#This Row],[ID]], Table4[ID], Table4[Recency], "Not Found", 0)</f>
        <v>80</v>
      </c>
      <c r="K627" s="16">
        <f>_xlfn.XLOOKUP(CustomerCombinedCleaned[[#This Row],[ID]], Table4[ID], Table4[Teas], "Not Found", 0)</f>
        <v>1021</v>
      </c>
      <c r="L627" s="16">
        <f>_xlfn.XLOOKUP(CustomerCombinedCleaned[[#This Row],[ID]], Table4[ID], Table4[Fruits], "Not Found", 0)</f>
        <v>332</v>
      </c>
      <c r="M627" s="16">
        <f>_xlfn.XLOOKUP(CustomerCombinedCleaned[[#This Row],[ID]], Table4[ID], Table4[Meats], "Not Found", 0)</f>
        <v>902</v>
      </c>
      <c r="N627" s="16">
        <f>_xlfn.XLOOKUP(CustomerCombinedCleaned[[#This Row],[ID]], Table4[ID], Table4[Seafood], "Not Found", 0)</f>
        <v>0</v>
      </c>
      <c r="O627" s="16">
        <f>_xlfn.XLOOKUP(CustomerCombinedCleaned[[#This Row],[ID]], Table4[ID], Table4[Sweets], "Not Found", 0)</f>
        <v>119</v>
      </c>
      <c r="P627" s="16">
        <f>_xlfn.XLOOKUP(CustomerCombinedCleaned[[#This Row],[ID]], Table4[ID], Table4[Premium], "Not Found", 0)</f>
        <v>475</v>
      </c>
      <c r="Q627" s="16">
        <f>_xlfn.XLOOKUP(CustomerCombinedCleaned[[#This Row],[ID]], Table4[ID], Table4[Regular], "Not Found", 0)</f>
        <v>1899</v>
      </c>
      <c r="R627" s="16">
        <f>_xlfn.XLOOKUP(CustomerCombinedCleaned[[#This Row],[ID]], Table4[ID], Table4[Deals], "Not Found", 0)</f>
        <v>5</v>
      </c>
      <c r="S627" s="16">
        <f>_xlfn.XLOOKUP(CustomerCombinedCleaned[[#This Row],[ID]], Table4[ID], Table4[Website], "Not Found", 0)</f>
        <v>8</v>
      </c>
      <c r="T627" s="16">
        <f>_xlfn.XLOOKUP(CustomerCombinedCleaned[[#This Row],[ID]], Table4[ID], Table4[Catalog], "Not Found", 0)</f>
        <v>4</v>
      </c>
      <c r="U627" s="16">
        <f>_xlfn.XLOOKUP(CustomerCombinedCleaned[[#This Row],[ID]], Table4[ID], Table4[Store], "Not Found", 0)</f>
        <v>11</v>
      </c>
      <c r="V627" s="16">
        <f>_xlfn.XLOOKUP(CustomerCombinedCleaned[[#This Row],[ID]], Table4[ID], Table4[Visits], "Not Found", 0)</f>
        <v>6</v>
      </c>
      <c r="W627" s="16">
        <f>_xlfn.XLOOKUP(CustomerCombinedCleaned[[#This Row],[ID]], Table2[ID],Table2[Complaint], "Not Found", 0 )</f>
        <v>0</v>
      </c>
      <c r="X627" s="16">
        <f>_xlfn.XLOOKUP(CustomerCombinedCleaned[[#This Row],[ID]], Table2[ID],Table2[Pilot], "Not Found", 0 )</f>
        <v>0</v>
      </c>
      <c r="Y627" s="16">
        <f>_xlfn.XLOOKUP(CustomerCombinedCleaned[[#This Row],[ID]], Table2[ID],Table2[MC1], "Not Found", 0 )</f>
        <v>0</v>
      </c>
      <c r="Z627" s="16">
        <f>_xlfn.XLOOKUP(CustomerCombinedCleaned[[#This Row],[ID]], Table2[ID],Table2[MC2], "Not Found", 0 )</f>
        <v>0</v>
      </c>
      <c r="AA627" s="16">
        <f>_xlfn.XLOOKUP(CustomerCombinedCleaned[[#This Row],[ID]], Table2[ID],Table2[MC3], "Not Found", 0 )</f>
        <v>0</v>
      </c>
      <c r="AB627" s="16">
        <f>_xlfn.XLOOKUP(CustomerCombinedCleaned[[#This Row],[ID]], Table2[ID],Table2[MC4], "Not Found", 0 )</f>
        <v>0</v>
      </c>
      <c r="AC627" s="16">
        <f>_xlfn.XLOOKUP(CustomerCombinedCleaned[[#This Row],[ID]], Table2[ID],Table2[MC5], "Not Found", 0 )</f>
        <v>0</v>
      </c>
    </row>
    <row r="628" spans="1:29" x14ac:dyDescent="0.3">
      <c r="A628" s="18">
        <v>2555</v>
      </c>
      <c r="B628" s="16">
        <v>160482</v>
      </c>
      <c r="C628" s="16">
        <v>0</v>
      </c>
      <c r="D628" s="16">
        <v>1</v>
      </c>
      <c r="E628" s="16">
        <v>44</v>
      </c>
      <c r="F628" s="17" t="s">
        <v>7</v>
      </c>
      <c r="G628" s="17" t="s">
        <v>12</v>
      </c>
      <c r="H628" s="3" t="s">
        <v>318</v>
      </c>
      <c r="I628" s="5" t="s">
        <v>434</v>
      </c>
      <c r="J628" s="16">
        <f>_xlfn.XLOOKUP(CustomerCombinedCleaned[[#This Row],[ID]], Table4[ID], Table4[Recency], "Not Found", 0)</f>
        <v>81</v>
      </c>
      <c r="K628" s="16">
        <f>_xlfn.XLOOKUP(CustomerCombinedCleaned[[#This Row],[ID]], Table4[ID], Table4[Teas], "Not Found", 0)</f>
        <v>677</v>
      </c>
      <c r="L628" s="16">
        <f>_xlfn.XLOOKUP(CustomerCombinedCleaned[[#This Row],[ID]], Table4[ID], Table4[Fruits], "Not Found", 0)</f>
        <v>114</v>
      </c>
      <c r="M628" s="16">
        <f>_xlfn.XLOOKUP(CustomerCombinedCleaned[[#This Row],[ID]], Table4[ID], Table4[Meats], "Not Found", 0)</f>
        <v>356</v>
      </c>
      <c r="N628" s="16">
        <f>_xlfn.XLOOKUP(CustomerCombinedCleaned[[#This Row],[ID]], Table4[ID], Table4[Seafood], "Not Found", 0)</f>
        <v>98</v>
      </c>
      <c r="O628" s="16">
        <f>_xlfn.XLOOKUP(CustomerCombinedCleaned[[#This Row],[ID]], Table4[ID], Table4[Sweets], "Not Found", 0)</f>
        <v>37</v>
      </c>
      <c r="P628" s="16">
        <f>_xlfn.XLOOKUP(CustomerCombinedCleaned[[#This Row],[ID]], Table4[ID], Table4[Premium], "Not Found", 0)</f>
        <v>64</v>
      </c>
      <c r="Q628" s="16">
        <f>_xlfn.XLOOKUP(CustomerCombinedCleaned[[#This Row],[ID]], Table4[ID], Table4[Regular], "Not Found", 0)</f>
        <v>1218</v>
      </c>
      <c r="R628" s="16">
        <f>_xlfn.XLOOKUP(CustomerCombinedCleaned[[#This Row],[ID]], Table4[ID], Table4[Deals], "Not Found", 0)</f>
        <v>1</v>
      </c>
      <c r="S628" s="16">
        <f>_xlfn.XLOOKUP(CustomerCombinedCleaned[[#This Row],[ID]], Table4[ID], Table4[Website], "Not Found", 0)</f>
        <v>7</v>
      </c>
      <c r="T628" s="16">
        <f>_xlfn.XLOOKUP(CustomerCombinedCleaned[[#This Row],[ID]], Table4[ID], Table4[Catalog], "Not Found", 0)</f>
        <v>2</v>
      </c>
      <c r="U628" s="16">
        <f>_xlfn.XLOOKUP(CustomerCombinedCleaned[[#This Row],[ID]], Table4[ID], Table4[Store], "Not Found", 0)</f>
        <v>7</v>
      </c>
      <c r="V628" s="16">
        <f>_xlfn.XLOOKUP(CustomerCombinedCleaned[[#This Row],[ID]], Table4[ID], Table4[Visits], "Not Found", 0)</f>
        <v>7</v>
      </c>
      <c r="W628" s="16">
        <f>_xlfn.XLOOKUP(CustomerCombinedCleaned[[#This Row],[ID]], Table2[ID],Table2[Complaint], "Not Found", 0 )</f>
        <v>0</v>
      </c>
      <c r="X628" s="16">
        <f>_xlfn.XLOOKUP(CustomerCombinedCleaned[[#This Row],[ID]], Table2[ID],Table2[Pilot], "Not Found", 0 )</f>
        <v>0</v>
      </c>
      <c r="Y628" s="16">
        <f>_xlfn.XLOOKUP(CustomerCombinedCleaned[[#This Row],[ID]], Table2[ID],Table2[MC1], "Not Found", 0 )</f>
        <v>0</v>
      </c>
      <c r="Z628" s="16">
        <f>_xlfn.XLOOKUP(CustomerCombinedCleaned[[#This Row],[ID]], Table2[ID],Table2[MC2], "Not Found", 0 )</f>
        <v>0</v>
      </c>
      <c r="AA628" s="16">
        <f>_xlfn.XLOOKUP(CustomerCombinedCleaned[[#This Row],[ID]], Table2[ID],Table2[MC3], "Not Found", 0 )</f>
        <v>0</v>
      </c>
      <c r="AB628" s="16">
        <f>_xlfn.XLOOKUP(CustomerCombinedCleaned[[#This Row],[ID]], Table2[ID],Table2[MC4], "Not Found", 0 )</f>
        <v>0</v>
      </c>
      <c r="AC628" s="16">
        <f>_xlfn.XLOOKUP(CustomerCombinedCleaned[[#This Row],[ID]], Table2[ID],Table2[MC5], "Not Found", 0 )</f>
        <v>0</v>
      </c>
    </row>
    <row r="629" spans="1:29" x14ac:dyDescent="0.3">
      <c r="A629" s="18">
        <v>1338</v>
      </c>
      <c r="B629" s="16">
        <v>160000</v>
      </c>
      <c r="C629" s="16">
        <v>0</v>
      </c>
      <c r="D629" s="16">
        <v>1</v>
      </c>
      <c r="E629" s="16">
        <v>44</v>
      </c>
      <c r="F629" s="17" t="s">
        <v>7</v>
      </c>
      <c r="G629" s="17" t="s">
        <v>13</v>
      </c>
      <c r="H629" s="3" t="s">
        <v>337</v>
      </c>
      <c r="I629" s="5" t="s">
        <v>436</v>
      </c>
      <c r="J629" s="16">
        <f>_xlfn.XLOOKUP(CustomerCombinedCleaned[[#This Row],[ID]], Table4[ID], Table4[Recency], "Not Found", 0)</f>
        <v>57</v>
      </c>
      <c r="K629" s="16">
        <f>_xlfn.XLOOKUP(CustomerCombinedCleaned[[#This Row],[ID]], Table4[ID], Table4[Teas], "Not Found", 0)</f>
        <v>2795</v>
      </c>
      <c r="L629" s="16">
        <f>_xlfn.XLOOKUP(CustomerCombinedCleaned[[#This Row],[ID]], Table4[ID], Table4[Fruits], "Not Found", 0)</f>
        <v>0</v>
      </c>
      <c r="M629" s="16">
        <f>_xlfn.XLOOKUP(CustomerCombinedCleaned[[#This Row],[ID]], Table4[ID], Table4[Meats], "Not Found", 0)</f>
        <v>579</v>
      </c>
      <c r="N629" s="16">
        <f>_xlfn.XLOOKUP(CustomerCombinedCleaned[[#This Row],[ID]], Table4[ID], Table4[Seafood], "Not Found", 0)</f>
        <v>0</v>
      </c>
      <c r="O629" s="16">
        <f>_xlfn.XLOOKUP(CustomerCombinedCleaned[[#This Row],[ID]], Table4[ID], Table4[Sweets], "Not Found", 0)</f>
        <v>0</v>
      </c>
      <c r="P629" s="16">
        <f>_xlfn.XLOOKUP(CustomerCombinedCleaned[[#This Row],[ID]], Table4[ID], Table4[Premium], "Not Found", 0)</f>
        <v>32</v>
      </c>
      <c r="Q629" s="16">
        <f>_xlfn.XLOOKUP(CustomerCombinedCleaned[[#This Row],[ID]], Table4[ID], Table4[Regular], "Not Found", 0)</f>
        <v>3341</v>
      </c>
      <c r="R629" s="16">
        <f>_xlfn.XLOOKUP(CustomerCombinedCleaned[[#This Row],[ID]], Table4[ID], Table4[Deals], "Not Found", 0)</f>
        <v>5</v>
      </c>
      <c r="S629" s="16">
        <f>_xlfn.XLOOKUP(CustomerCombinedCleaned[[#This Row],[ID]], Table4[ID], Table4[Website], "Not Found", 0)</f>
        <v>11</v>
      </c>
      <c r="T629" s="16">
        <f>_xlfn.XLOOKUP(CustomerCombinedCleaned[[#This Row],[ID]], Table4[ID], Table4[Catalog], "Not Found", 0)</f>
        <v>3</v>
      </c>
      <c r="U629" s="16">
        <f>_xlfn.XLOOKUP(CustomerCombinedCleaned[[#This Row],[ID]], Table4[ID], Table4[Store], "Not Found", 0)</f>
        <v>5</v>
      </c>
      <c r="V629" s="16">
        <f>_xlfn.XLOOKUP(CustomerCombinedCleaned[[#This Row],[ID]], Table4[ID], Table4[Visits], "Not Found", 0)</f>
        <v>6</v>
      </c>
      <c r="W629" s="16">
        <f>_xlfn.XLOOKUP(CustomerCombinedCleaned[[#This Row],[ID]], Table2[ID],Table2[Complaint], "Not Found", 0 )</f>
        <v>0</v>
      </c>
      <c r="X629" s="16">
        <f>_xlfn.XLOOKUP(CustomerCombinedCleaned[[#This Row],[ID]], Table2[ID],Table2[Pilot], "Not Found", 0 )</f>
        <v>0</v>
      </c>
      <c r="Y629" s="16">
        <f>_xlfn.XLOOKUP(CustomerCombinedCleaned[[#This Row],[ID]], Table2[ID],Table2[MC1], "Not Found", 0 )</f>
        <v>0</v>
      </c>
      <c r="Z629" s="16">
        <f>_xlfn.XLOOKUP(CustomerCombinedCleaned[[#This Row],[ID]], Table2[ID],Table2[MC2], "Not Found", 0 )</f>
        <v>0</v>
      </c>
      <c r="AA629" s="16">
        <f>_xlfn.XLOOKUP(CustomerCombinedCleaned[[#This Row],[ID]], Table2[ID],Table2[MC3], "Not Found", 0 )</f>
        <v>0</v>
      </c>
      <c r="AB629" s="16">
        <f>_xlfn.XLOOKUP(CustomerCombinedCleaned[[#This Row],[ID]], Table2[ID],Table2[MC4], "Not Found", 0 )</f>
        <v>0</v>
      </c>
      <c r="AC629" s="16">
        <f>_xlfn.XLOOKUP(CustomerCombinedCleaned[[#This Row],[ID]], Table2[ID],Table2[MC5], "Not Found", 0 )</f>
        <v>0</v>
      </c>
    </row>
    <row r="630" spans="1:29" x14ac:dyDescent="0.3">
      <c r="A630" s="18">
        <v>1135</v>
      </c>
      <c r="B630" s="16">
        <v>159809</v>
      </c>
      <c r="C630" s="16">
        <v>0</v>
      </c>
      <c r="D630" s="16">
        <v>2</v>
      </c>
      <c r="E630" s="16">
        <v>44</v>
      </c>
      <c r="F630" s="17" t="s">
        <v>6</v>
      </c>
      <c r="G630" s="17" t="s">
        <v>11</v>
      </c>
      <c r="H630" s="3" t="s">
        <v>376</v>
      </c>
      <c r="I630" s="5" t="s">
        <v>437</v>
      </c>
      <c r="J630" s="16">
        <f>_xlfn.XLOOKUP(CustomerCombinedCleaned[[#This Row],[ID]], Table4[ID], Table4[Recency], "Not Found", 0)</f>
        <v>36</v>
      </c>
      <c r="K630" s="16">
        <f>_xlfn.XLOOKUP(CustomerCombinedCleaned[[#This Row],[ID]], Table4[ID], Table4[Teas], "Not Found", 0)</f>
        <v>1598</v>
      </c>
      <c r="L630" s="16">
        <f>_xlfn.XLOOKUP(CustomerCombinedCleaned[[#This Row],[ID]], Table4[ID], Table4[Fruits], "Not Found", 0)</f>
        <v>43</v>
      </c>
      <c r="M630" s="16">
        <f>_xlfn.XLOOKUP(CustomerCombinedCleaned[[#This Row],[ID]], Table4[ID], Table4[Meats], "Not Found", 0)</f>
        <v>377</v>
      </c>
      <c r="N630" s="16">
        <f>_xlfn.XLOOKUP(CustomerCombinedCleaned[[#This Row],[ID]], Table4[ID], Table4[Seafood], "Not Found", 0)</f>
        <v>86</v>
      </c>
      <c r="O630" s="16">
        <f>_xlfn.XLOOKUP(CustomerCombinedCleaned[[#This Row],[ID]], Table4[ID], Table4[Sweets], "Not Found", 0)</f>
        <v>110</v>
      </c>
      <c r="P630" s="16">
        <f>_xlfn.XLOOKUP(CustomerCombinedCleaned[[#This Row],[ID]], Table4[ID], Table4[Premium], "Not Found", 0)</f>
        <v>131</v>
      </c>
      <c r="Q630" s="16">
        <f>_xlfn.XLOOKUP(CustomerCombinedCleaned[[#This Row],[ID]], Table4[ID], Table4[Regular], "Not Found", 0)</f>
        <v>2081</v>
      </c>
      <c r="R630" s="16">
        <f>_xlfn.XLOOKUP(CustomerCombinedCleaned[[#This Row],[ID]], Table4[ID], Table4[Deals], "Not Found", 0)</f>
        <v>3</v>
      </c>
      <c r="S630" s="16">
        <f>_xlfn.XLOOKUP(CustomerCombinedCleaned[[#This Row],[ID]], Table4[ID], Table4[Website], "Not Found", 0)</f>
        <v>3</v>
      </c>
      <c r="T630" s="16">
        <f>_xlfn.XLOOKUP(CustomerCombinedCleaned[[#This Row],[ID]], Table4[ID], Table4[Catalog], "Not Found", 0)</f>
        <v>3</v>
      </c>
      <c r="U630" s="16">
        <f>_xlfn.XLOOKUP(CustomerCombinedCleaned[[#This Row],[ID]], Table4[ID], Table4[Store], "Not Found", 0)</f>
        <v>6</v>
      </c>
      <c r="V630" s="16">
        <f>_xlfn.XLOOKUP(CustomerCombinedCleaned[[#This Row],[ID]], Table4[ID], Table4[Visits], "Not Found", 0)</f>
        <v>8</v>
      </c>
      <c r="W630" s="16">
        <f>_xlfn.XLOOKUP(CustomerCombinedCleaned[[#This Row],[ID]], Table2[ID],Table2[Complaint], "Not Found", 0 )</f>
        <v>0</v>
      </c>
      <c r="X630" s="16">
        <f>_xlfn.XLOOKUP(CustomerCombinedCleaned[[#This Row],[ID]], Table2[ID],Table2[Pilot], "Not Found", 0 )</f>
        <v>0</v>
      </c>
      <c r="Y630" s="16">
        <f>_xlfn.XLOOKUP(CustomerCombinedCleaned[[#This Row],[ID]], Table2[ID],Table2[MC1], "Not Found", 0 )</f>
        <v>0</v>
      </c>
      <c r="Z630" s="16">
        <f>_xlfn.XLOOKUP(CustomerCombinedCleaned[[#This Row],[ID]], Table2[ID],Table2[MC2], "Not Found", 0 )</f>
        <v>0</v>
      </c>
      <c r="AA630" s="16">
        <f>_xlfn.XLOOKUP(CustomerCombinedCleaned[[#This Row],[ID]], Table2[ID],Table2[MC3], "Not Found", 0 )</f>
        <v>0</v>
      </c>
      <c r="AB630" s="16">
        <f>_xlfn.XLOOKUP(CustomerCombinedCleaned[[#This Row],[ID]], Table2[ID],Table2[MC4], "Not Found", 0 )</f>
        <v>0</v>
      </c>
      <c r="AC630" s="16">
        <f>_xlfn.XLOOKUP(CustomerCombinedCleaned[[#This Row],[ID]], Table2[ID],Table2[MC5], "Not Found", 0 )</f>
        <v>0</v>
      </c>
    </row>
    <row r="631" spans="1:29" x14ac:dyDescent="0.3">
      <c r="A631" s="18">
        <v>2501</v>
      </c>
      <c r="B631" s="16">
        <v>158597</v>
      </c>
      <c r="C631" s="16">
        <v>1</v>
      </c>
      <c r="D631" s="16">
        <v>1</v>
      </c>
      <c r="E631" s="16">
        <v>44</v>
      </c>
      <c r="F631" s="17" t="s">
        <v>6</v>
      </c>
      <c r="G631" s="17" t="s">
        <v>11</v>
      </c>
      <c r="H631" s="3" t="s">
        <v>356</v>
      </c>
      <c r="I631" s="5" t="s">
        <v>434</v>
      </c>
      <c r="J631" s="16">
        <f>_xlfn.XLOOKUP(CustomerCombinedCleaned[[#This Row],[ID]], Table4[ID], Table4[Recency], "Not Found", 0)</f>
        <v>20</v>
      </c>
      <c r="K631" s="16">
        <f>_xlfn.XLOOKUP(CustomerCombinedCleaned[[#This Row],[ID]], Table4[ID], Table4[Teas], "Not Found", 0)</f>
        <v>1326</v>
      </c>
      <c r="L631" s="16">
        <f>_xlfn.XLOOKUP(CustomerCombinedCleaned[[#This Row],[ID]], Table4[ID], Table4[Fruits], "Not Found", 0)</f>
        <v>0</v>
      </c>
      <c r="M631" s="16">
        <f>_xlfn.XLOOKUP(CustomerCombinedCleaned[[#This Row],[ID]], Table4[ID], Table4[Meats], "Not Found", 0)</f>
        <v>498</v>
      </c>
      <c r="N631" s="16">
        <f>_xlfn.XLOOKUP(CustomerCombinedCleaned[[#This Row],[ID]], Table4[ID], Table4[Seafood], "Not Found", 0)</f>
        <v>27</v>
      </c>
      <c r="O631" s="16">
        <f>_xlfn.XLOOKUP(CustomerCombinedCleaned[[#This Row],[ID]], Table4[ID], Table4[Sweets], "Not Found", 0)</f>
        <v>76</v>
      </c>
      <c r="P631" s="16">
        <f>_xlfn.XLOOKUP(CustomerCombinedCleaned[[#This Row],[ID]], Table4[ID], Table4[Premium], "Not Found", 0)</f>
        <v>57</v>
      </c>
      <c r="Q631" s="16">
        <f>_xlfn.XLOOKUP(CustomerCombinedCleaned[[#This Row],[ID]], Table4[ID], Table4[Regular], "Not Found", 0)</f>
        <v>1870</v>
      </c>
      <c r="R631" s="16">
        <f>_xlfn.XLOOKUP(CustomerCombinedCleaned[[#This Row],[ID]], Table4[ID], Table4[Deals], "Not Found", 0)</f>
        <v>12</v>
      </c>
      <c r="S631" s="16">
        <f>_xlfn.XLOOKUP(CustomerCombinedCleaned[[#This Row],[ID]], Table4[ID], Table4[Website], "Not Found", 0)</f>
        <v>7</v>
      </c>
      <c r="T631" s="16">
        <f>_xlfn.XLOOKUP(CustomerCombinedCleaned[[#This Row],[ID]], Table4[ID], Table4[Catalog], "Not Found", 0)</f>
        <v>4</v>
      </c>
      <c r="U631" s="16">
        <f>_xlfn.XLOOKUP(CustomerCombinedCleaned[[#This Row],[ID]], Table4[ID], Table4[Store], "Not Found", 0)</f>
        <v>9</v>
      </c>
      <c r="V631" s="16">
        <f>_xlfn.XLOOKUP(CustomerCombinedCleaned[[#This Row],[ID]], Table4[ID], Table4[Visits], "Not Found", 0)</f>
        <v>7</v>
      </c>
      <c r="W631" s="16">
        <f>_xlfn.XLOOKUP(CustomerCombinedCleaned[[#This Row],[ID]], Table2[ID],Table2[Complaint], "Not Found", 0 )</f>
        <v>0</v>
      </c>
      <c r="X631" s="16">
        <f>_xlfn.XLOOKUP(CustomerCombinedCleaned[[#This Row],[ID]], Table2[ID],Table2[Pilot], "Not Found", 0 )</f>
        <v>0</v>
      </c>
      <c r="Y631" s="16">
        <f>_xlfn.XLOOKUP(CustomerCombinedCleaned[[#This Row],[ID]], Table2[ID],Table2[MC1], "Not Found", 0 )</f>
        <v>0</v>
      </c>
      <c r="Z631" s="16">
        <f>_xlfn.XLOOKUP(CustomerCombinedCleaned[[#This Row],[ID]], Table2[ID],Table2[MC2], "Not Found", 0 )</f>
        <v>0</v>
      </c>
      <c r="AA631" s="16">
        <f>_xlfn.XLOOKUP(CustomerCombinedCleaned[[#This Row],[ID]], Table2[ID],Table2[MC3], "Not Found", 0 )</f>
        <v>0</v>
      </c>
      <c r="AB631" s="16">
        <f>_xlfn.XLOOKUP(CustomerCombinedCleaned[[#This Row],[ID]], Table2[ID],Table2[MC4], "Not Found", 0 )</f>
        <v>0</v>
      </c>
      <c r="AC631" s="16">
        <f>_xlfn.XLOOKUP(CustomerCombinedCleaned[[#This Row],[ID]], Table2[ID],Table2[MC5], "Not Found", 0 )</f>
        <v>0</v>
      </c>
    </row>
    <row r="632" spans="1:29" x14ac:dyDescent="0.3">
      <c r="A632" s="18">
        <v>2926</v>
      </c>
      <c r="B632" s="16">
        <v>156939</v>
      </c>
      <c r="C632" s="16">
        <v>0</v>
      </c>
      <c r="D632" s="16">
        <v>1</v>
      </c>
      <c r="E632" s="16">
        <v>44</v>
      </c>
      <c r="F632" s="17" t="s">
        <v>6</v>
      </c>
      <c r="G632" s="17" t="s">
        <v>11</v>
      </c>
      <c r="H632" s="3" t="s">
        <v>181</v>
      </c>
      <c r="I632" s="5" t="s">
        <v>439</v>
      </c>
      <c r="J632" s="16">
        <f>_xlfn.XLOOKUP(CustomerCombinedCleaned[[#This Row],[ID]], Table4[ID], Table4[Recency], "Not Found", 0)</f>
        <v>19</v>
      </c>
      <c r="K632" s="16">
        <f>_xlfn.XLOOKUP(CustomerCombinedCleaned[[#This Row],[ID]], Table4[ID], Table4[Teas], "Not Found", 0)</f>
        <v>706</v>
      </c>
      <c r="L632" s="16">
        <f>_xlfn.XLOOKUP(CustomerCombinedCleaned[[#This Row],[ID]], Table4[ID], Table4[Fruits], "Not Found", 0)</f>
        <v>94</v>
      </c>
      <c r="M632" s="16">
        <f>_xlfn.XLOOKUP(CustomerCombinedCleaned[[#This Row],[ID]], Table4[ID], Table4[Meats], "Not Found", 0)</f>
        <v>284</v>
      </c>
      <c r="N632" s="16">
        <f>_xlfn.XLOOKUP(CustomerCombinedCleaned[[#This Row],[ID]], Table4[ID], Table4[Seafood], "Not Found", 0)</f>
        <v>248</v>
      </c>
      <c r="O632" s="16">
        <f>_xlfn.XLOOKUP(CustomerCombinedCleaned[[#This Row],[ID]], Table4[ID], Table4[Sweets], "Not Found", 0)</f>
        <v>80</v>
      </c>
      <c r="P632" s="16">
        <f>_xlfn.XLOOKUP(CustomerCombinedCleaned[[#This Row],[ID]], Table4[ID], Table4[Premium], "Not Found", 0)</f>
        <v>135</v>
      </c>
      <c r="Q632" s="16">
        <f>_xlfn.XLOOKUP(CustomerCombinedCleaned[[#This Row],[ID]], Table4[ID], Table4[Regular], "Not Found", 0)</f>
        <v>1276</v>
      </c>
      <c r="R632" s="16">
        <f>_xlfn.XLOOKUP(CustomerCombinedCleaned[[#This Row],[ID]], Table4[ID], Table4[Deals], "Not Found", 0)</f>
        <v>2</v>
      </c>
      <c r="S632" s="16">
        <f>_xlfn.XLOOKUP(CustomerCombinedCleaned[[#This Row],[ID]], Table4[ID], Table4[Website], "Not Found", 0)</f>
        <v>3</v>
      </c>
      <c r="T632" s="16">
        <f>_xlfn.XLOOKUP(CustomerCombinedCleaned[[#This Row],[ID]], Table4[ID], Table4[Catalog], "Not Found", 0)</f>
        <v>3</v>
      </c>
      <c r="U632" s="16">
        <f>_xlfn.XLOOKUP(CustomerCombinedCleaned[[#This Row],[ID]], Table4[ID], Table4[Store], "Not Found", 0)</f>
        <v>10</v>
      </c>
      <c r="V632" s="16">
        <f>_xlfn.XLOOKUP(CustomerCombinedCleaned[[#This Row],[ID]], Table4[ID], Table4[Visits], "Not Found", 0)</f>
        <v>3</v>
      </c>
      <c r="W632" s="16">
        <f>_xlfn.XLOOKUP(CustomerCombinedCleaned[[#This Row],[ID]], Table2[ID],Table2[Complaint], "Not Found", 0 )</f>
        <v>0</v>
      </c>
      <c r="X632" s="16">
        <f>_xlfn.XLOOKUP(CustomerCombinedCleaned[[#This Row],[ID]], Table2[ID],Table2[Pilot], "Not Found", 0 )</f>
        <v>0</v>
      </c>
      <c r="Y632" s="16">
        <f>_xlfn.XLOOKUP(CustomerCombinedCleaned[[#This Row],[ID]], Table2[ID],Table2[MC1], "Not Found", 0 )</f>
        <v>0</v>
      </c>
      <c r="Z632" s="16">
        <f>_xlfn.XLOOKUP(CustomerCombinedCleaned[[#This Row],[ID]], Table2[ID],Table2[MC2], "Not Found", 0 )</f>
        <v>0</v>
      </c>
      <c r="AA632" s="16">
        <f>_xlfn.XLOOKUP(CustomerCombinedCleaned[[#This Row],[ID]], Table2[ID],Table2[MC3], "Not Found", 0 )</f>
        <v>0</v>
      </c>
      <c r="AB632" s="16">
        <f>_xlfn.XLOOKUP(CustomerCombinedCleaned[[#This Row],[ID]], Table2[ID],Table2[MC4], "Not Found", 0 )</f>
        <v>0</v>
      </c>
      <c r="AC632" s="16">
        <f>_xlfn.XLOOKUP(CustomerCombinedCleaned[[#This Row],[ID]], Table2[ID],Table2[MC5], "Not Found", 0 )</f>
        <v>0</v>
      </c>
    </row>
    <row r="633" spans="1:29" x14ac:dyDescent="0.3">
      <c r="A633" s="18">
        <v>2694</v>
      </c>
      <c r="B633" s="16">
        <v>155424</v>
      </c>
      <c r="C633" s="16">
        <v>0</v>
      </c>
      <c r="D633" s="16">
        <v>1</v>
      </c>
      <c r="E633" s="16">
        <v>44</v>
      </c>
      <c r="F633" s="17" t="s">
        <v>6</v>
      </c>
      <c r="G633" s="17" t="s">
        <v>13</v>
      </c>
      <c r="H633" s="3" t="s">
        <v>647</v>
      </c>
      <c r="I633" s="5" t="s">
        <v>436</v>
      </c>
      <c r="J633" s="16">
        <f>_xlfn.XLOOKUP(CustomerCombinedCleaned[[#This Row],[ID]], Table4[ID], Table4[Recency], "Not Found", 0)</f>
        <v>6</v>
      </c>
      <c r="K633" s="16">
        <f>_xlfn.XLOOKUP(CustomerCombinedCleaned[[#This Row],[ID]], Table4[ID], Table4[Teas], "Not Found", 0)</f>
        <v>1296</v>
      </c>
      <c r="L633" s="16">
        <f>_xlfn.XLOOKUP(CustomerCombinedCleaned[[#This Row],[ID]], Table4[ID], Table4[Fruits], "Not Found", 0)</f>
        <v>171</v>
      </c>
      <c r="M633" s="16">
        <f>_xlfn.XLOOKUP(CustomerCombinedCleaned[[#This Row],[ID]], Table4[ID], Table4[Meats], "Not Found", 0)</f>
        <v>516</v>
      </c>
      <c r="N633" s="16">
        <f>_xlfn.XLOOKUP(CustomerCombinedCleaned[[#This Row],[ID]], Table4[ID], Table4[Seafood], "Not Found", 0)</f>
        <v>28</v>
      </c>
      <c r="O633" s="16">
        <f>_xlfn.XLOOKUP(CustomerCombinedCleaned[[#This Row],[ID]], Table4[ID], Table4[Sweets], "Not Found", 0)</f>
        <v>149</v>
      </c>
      <c r="P633" s="16">
        <f>_xlfn.XLOOKUP(CustomerCombinedCleaned[[#This Row],[ID]], Table4[ID], Table4[Premium], "Not Found", 0)</f>
        <v>300</v>
      </c>
      <c r="Q633" s="16">
        <f>_xlfn.XLOOKUP(CustomerCombinedCleaned[[#This Row],[ID]], Table4[ID], Table4[Regular], "Not Found", 0)</f>
        <v>1859</v>
      </c>
      <c r="R633" s="16">
        <f>_xlfn.XLOOKUP(CustomerCombinedCleaned[[#This Row],[ID]], Table4[ID], Table4[Deals], "Not Found", 0)</f>
        <v>4</v>
      </c>
      <c r="S633" s="16">
        <f>_xlfn.XLOOKUP(CustomerCombinedCleaned[[#This Row],[ID]], Table4[ID], Table4[Website], "Not Found", 0)</f>
        <v>7</v>
      </c>
      <c r="T633" s="16">
        <f>_xlfn.XLOOKUP(CustomerCombinedCleaned[[#This Row],[ID]], Table4[ID], Table4[Catalog], "Not Found", 0)</f>
        <v>5</v>
      </c>
      <c r="U633" s="16">
        <f>_xlfn.XLOOKUP(CustomerCombinedCleaned[[#This Row],[ID]], Table4[ID], Table4[Store], "Not Found", 0)</f>
        <v>9</v>
      </c>
      <c r="V633" s="16">
        <f>_xlfn.XLOOKUP(CustomerCombinedCleaned[[#This Row],[ID]], Table4[ID], Table4[Visits], "Not Found", 0)</f>
        <v>6</v>
      </c>
      <c r="W633" s="16">
        <f>_xlfn.XLOOKUP(CustomerCombinedCleaned[[#This Row],[ID]], Table2[ID],Table2[Complaint], "Not Found", 0 )</f>
        <v>0</v>
      </c>
      <c r="X633" s="16">
        <f>_xlfn.XLOOKUP(CustomerCombinedCleaned[[#This Row],[ID]], Table2[ID],Table2[Pilot], "Not Found", 0 )</f>
        <v>1</v>
      </c>
      <c r="Y633" s="16">
        <f>_xlfn.XLOOKUP(CustomerCombinedCleaned[[#This Row],[ID]], Table2[ID],Table2[MC1], "Not Found", 0 )</f>
        <v>0</v>
      </c>
      <c r="Z633" s="16">
        <f>_xlfn.XLOOKUP(CustomerCombinedCleaned[[#This Row],[ID]], Table2[ID],Table2[MC2], "Not Found", 0 )</f>
        <v>0</v>
      </c>
      <c r="AA633" s="16">
        <f>_xlfn.XLOOKUP(CustomerCombinedCleaned[[#This Row],[ID]], Table2[ID],Table2[MC3], "Not Found", 0 )</f>
        <v>1</v>
      </c>
      <c r="AB633" s="16">
        <f>_xlfn.XLOOKUP(CustomerCombinedCleaned[[#This Row],[ID]], Table2[ID],Table2[MC4], "Not Found", 0 )</f>
        <v>0</v>
      </c>
      <c r="AC633" s="16">
        <f>_xlfn.XLOOKUP(CustomerCombinedCleaned[[#This Row],[ID]], Table2[ID],Table2[MC5], "Not Found", 0 )</f>
        <v>0</v>
      </c>
    </row>
    <row r="634" spans="1:29" x14ac:dyDescent="0.3">
      <c r="A634" s="18">
        <v>1811</v>
      </c>
      <c r="B634" s="16">
        <v>155412</v>
      </c>
      <c r="C634" s="16">
        <v>1</v>
      </c>
      <c r="D634" s="16">
        <v>1</v>
      </c>
      <c r="E634" s="16">
        <v>44</v>
      </c>
      <c r="F634" s="17" t="s">
        <v>5</v>
      </c>
      <c r="G634" s="17" t="s">
        <v>13</v>
      </c>
      <c r="H634" s="3" t="s">
        <v>143</v>
      </c>
      <c r="I634" s="5" t="s">
        <v>434</v>
      </c>
      <c r="J634" s="16">
        <f>_xlfn.XLOOKUP(CustomerCombinedCleaned[[#This Row],[ID]], Table4[ID], Table4[Recency], "Not Found", 0)</f>
        <v>65</v>
      </c>
      <c r="K634" s="16">
        <f>_xlfn.XLOOKUP(CustomerCombinedCleaned[[#This Row],[ID]], Table4[ID], Table4[Teas], "Not Found", 0)</f>
        <v>28</v>
      </c>
      <c r="L634" s="16">
        <f>_xlfn.XLOOKUP(CustomerCombinedCleaned[[#This Row],[ID]], Table4[ID], Table4[Fruits], "Not Found", 0)</f>
        <v>14</v>
      </c>
      <c r="M634" s="16">
        <f>_xlfn.XLOOKUP(CustomerCombinedCleaned[[#This Row],[ID]], Table4[ID], Table4[Meats], "Not Found", 0)</f>
        <v>79</v>
      </c>
      <c r="N634" s="16">
        <f>_xlfn.XLOOKUP(CustomerCombinedCleaned[[#This Row],[ID]], Table4[ID], Table4[Seafood], "Not Found", 0)</f>
        <v>31</v>
      </c>
      <c r="O634" s="16">
        <f>_xlfn.XLOOKUP(CustomerCombinedCleaned[[#This Row],[ID]], Table4[ID], Table4[Sweets], "Not Found", 0)</f>
        <v>3</v>
      </c>
      <c r="P634" s="16">
        <f>_xlfn.XLOOKUP(CustomerCombinedCleaned[[#This Row],[ID]], Table4[ID], Table4[Premium], "Not Found", 0)</f>
        <v>22</v>
      </c>
      <c r="Q634" s="16">
        <f>_xlfn.XLOOKUP(CustomerCombinedCleaned[[#This Row],[ID]], Table4[ID], Table4[Regular], "Not Found", 0)</f>
        <v>132</v>
      </c>
      <c r="R634" s="16">
        <f>_xlfn.XLOOKUP(CustomerCombinedCleaned[[#This Row],[ID]], Table4[ID], Table4[Deals], "Not Found", 0)</f>
        <v>1</v>
      </c>
      <c r="S634" s="16">
        <f>_xlfn.XLOOKUP(CustomerCombinedCleaned[[#This Row],[ID]], Table4[ID], Table4[Website], "Not Found", 0)</f>
        <v>2</v>
      </c>
      <c r="T634" s="16">
        <f>_xlfn.XLOOKUP(CustomerCombinedCleaned[[#This Row],[ID]], Table4[ID], Table4[Catalog], "Not Found", 0)</f>
        <v>0</v>
      </c>
      <c r="U634" s="16">
        <f>_xlfn.XLOOKUP(CustomerCombinedCleaned[[#This Row],[ID]], Table4[ID], Table4[Store], "Not Found", 0)</f>
        <v>3</v>
      </c>
      <c r="V634" s="16">
        <f>_xlfn.XLOOKUP(CustomerCombinedCleaned[[#This Row],[ID]], Table4[ID], Table4[Visits], "Not Found", 0)</f>
        <v>5</v>
      </c>
      <c r="W634" s="16">
        <f>_xlfn.XLOOKUP(CustomerCombinedCleaned[[#This Row],[ID]], Table2[ID],Table2[Complaint], "Not Found", 0 )</f>
        <v>0</v>
      </c>
      <c r="X634" s="16">
        <f>_xlfn.XLOOKUP(CustomerCombinedCleaned[[#This Row],[ID]], Table2[ID],Table2[Pilot], "Not Found", 0 )</f>
        <v>0</v>
      </c>
      <c r="Y634" s="16">
        <f>_xlfn.XLOOKUP(CustomerCombinedCleaned[[#This Row],[ID]], Table2[ID],Table2[MC1], "Not Found", 0 )</f>
        <v>0</v>
      </c>
      <c r="Z634" s="16">
        <f>_xlfn.XLOOKUP(CustomerCombinedCleaned[[#This Row],[ID]], Table2[ID],Table2[MC2], "Not Found", 0 )</f>
        <v>0</v>
      </c>
      <c r="AA634" s="16">
        <f>_xlfn.XLOOKUP(CustomerCombinedCleaned[[#This Row],[ID]], Table2[ID],Table2[MC3], "Not Found", 0 )</f>
        <v>0</v>
      </c>
      <c r="AB634" s="16">
        <f>_xlfn.XLOOKUP(CustomerCombinedCleaned[[#This Row],[ID]], Table2[ID],Table2[MC4], "Not Found", 0 )</f>
        <v>0</v>
      </c>
      <c r="AC634" s="16">
        <f>_xlfn.XLOOKUP(CustomerCombinedCleaned[[#This Row],[ID]], Table2[ID],Table2[MC5], "Not Found", 0 )</f>
        <v>0</v>
      </c>
    </row>
    <row r="635" spans="1:29" x14ac:dyDescent="0.3">
      <c r="A635" s="18">
        <v>1528</v>
      </c>
      <c r="B635" s="16">
        <v>154058</v>
      </c>
      <c r="C635" s="16">
        <v>0</v>
      </c>
      <c r="D635" s="16">
        <v>1</v>
      </c>
      <c r="E635" s="16">
        <v>44</v>
      </c>
      <c r="F635" s="17" t="s">
        <v>8</v>
      </c>
      <c r="G635" s="17" t="s">
        <v>11</v>
      </c>
      <c r="H635" s="3" t="s">
        <v>569</v>
      </c>
      <c r="I635" s="5" t="s">
        <v>439</v>
      </c>
      <c r="J635" s="16">
        <f>_xlfn.XLOOKUP(CustomerCombinedCleaned[[#This Row],[ID]], Table4[ID], Table4[Recency], "Not Found", 0)</f>
        <v>56</v>
      </c>
      <c r="K635" s="16">
        <f>_xlfn.XLOOKUP(CustomerCombinedCleaned[[#This Row],[ID]], Table4[ID], Table4[Teas], "Not Found", 0)</f>
        <v>564</v>
      </c>
      <c r="L635" s="16">
        <f>_xlfn.XLOOKUP(CustomerCombinedCleaned[[#This Row],[ID]], Table4[ID], Table4[Fruits], "Not Found", 0)</f>
        <v>51</v>
      </c>
      <c r="M635" s="16">
        <f>_xlfn.XLOOKUP(CustomerCombinedCleaned[[#This Row],[ID]], Table4[ID], Table4[Meats], "Not Found", 0)</f>
        <v>718</v>
      </c>
      <c r="N635" s="16">
        <f>_xlfn.XLOOKUP(CustomerCombinedCleaned[[#This Row],[ID]], Table4[ID], Table4[Seafood], "Not Found", 0)</f>
        <v>91</v>
      </c>
      <c r="O635" s="16">
        <f>_xlfn.XLOOKUP(CustomerCombinedCleaned[[#This Row],[ID]], Table4[ID], Table4[Sweets], "Not Found", 0)</f>
        <v>308</v>
      </c>
      <c r="P635" s="16">
        <f>_xlfn.XLOOKUP(CustomerCombinedCleaned[[#This Row],[ID]], Table4[ID], Table4[Premium], "Not Found", 0)</f>
        <v>154</v>
      </c>
      <c r="Q635" s="16">
        <f>_xlfn.XLOOKUP(CustomerCombinedCleaned[[#This Row],[ID]], Table4[ID], Table4[Regular], "Not Found", 0)</f>
        <v>1579</v>
      </c>
      <c r="R635" s="16">
        <f>_xlfn.XLOOKUP(CustomerCombinedCleaned[[#This Row],[ID]], Table4[ID], Table4[Deals], "Not Found", 0)</f>
        <v>2</v>
      </c>
      <c r="S635" s="16">
        <f>_xlfn.XLOOKUP(CustomerCombinedCleaned[[#This Row],[ID]], Table4[ID], Table4[Website], "Not Found", 0)</f>
        <v>4</v>
      </c>
      <c r="T635" s="16">
        <f>_xlfn.XLOOKUP(CustomerCombinedCleaned[[#This Row],[ID]], Table4[ID], Table4[Catalog], "Not Found", 0)</f>
        <v>6</v>
      </c>
      <c r="U635" s="16">
        <f>_xlfn.XLOOKUP(CustomerCombinedCleaned[[#This Row],[ID]], Table4[ID], Table4[Store], "Not Found", 0)</f>
        <v>8</v>
      </c>
      <c r="V635" s="16">
        <f>_xlfn.XLOOKUP(CustomerCombinedCleaned[[#This Row],[ID]], Table4[ID], Table4[Visits], "Not Found", 0)</f>
        <v>3</v>
      </c>
      <c r="W635" s="16">
        <f>_xlfn.XLOOKUP(CustomerCombinedCleaned[[#This Row],[ID]], Table2[ID],Table2[Complaint], "Not Found", 0 )</f>
        <v>0</v>
      </c>
      <c r="X635" s="16">
        <f>_xlfn.XLOOKUP(CustomerCombinedCleaned[[#This Row],[ID]], Table2[ID],Table2[Pilot], "Not Found", 0 )</f>
        <v>0</v>
      </c>
      <c r="Y635" s="16">
        <f>_xlfn.XLOOKUP(CustomerCombinedCleaned[[#This Row],[ID]], Table2[ID],Table2[MC1], "Not Found", 0 )</f>
        <v>0</v>
      </c>
      <c r="Z635" s="16">
        <f>_xlfn.XLOOKUP(CustomerCombinedCleaned[[#This Row],[ID]], Table2[ID],Table2[MC2], "Not Found", 0 )</f>
        <v>0</v>
      </c>
      <c r="AA635" s="16">
        <f>_xlfn.XLOOKUP(CustomerCombinedCleaned[[#This Row],[ID]], Table2[ID],Table2[MC3], "Not Found", 0 )</f>
        <v>0</v>
      </c>
      <c r="AB635" s="16">
        <f>_xlfn.XLOOKUP(CustomerCombinedCleaned[[#This Row],[ID]], Table2[ID],Table2[MC4], "Not Found", 0 )</f>
        <v>0</v>
      </c>
      <c r="AC635" s="16">
        <f>_xlfn.XLOOKUP(CustomerCombinedCleaned[[#This Row],[ID]], Table2[ID],Table2[MC5], "Not Found", 0 )</f>
        <v>0</v>
      </c>
    </row>
    <row r="636" spans="1:29" x14ac:dyDescent="0.3">
      <c r="A636" s="18">
        <v>1395</v>
      </c>
      <c r="B636" s="16">
        <v>153858</v>
      </c>
      <c r="C636" s="16">
        <v>0</v>
      </c>
      <c r="D636" s="16">
        <v>1</v>
      </c>
      <c r="E636" s="16">
        <v>44</v>
      </c>
      <c r="F636" s="17" t="s">
        <v>6</v>
      </c>
      <c r="G636" s="17" t="s">
        <v>11</v>
      </c>
      <c r="H636" s="3" t="s">
        <v>366</v>
      </c>
      <c r="I636" s="5" t="s">
        <v>435</v>
      </c>
      <c r="J636" s="16">
        <f>_xlfn.XLOOKUP(CustomerCombinedCleaned[[#This Row],[ID]], Table4[ID], Table4[Recency], "Not Found", 0)</f>
        <v>50</v>
      </c>
      <c r="K636" s="16">
        <f>_xlfn.XLOOKUP(CustomerCombinedCleaned[[#This Row],[ID]], Table4[ID], Table4[Teas], "Not Found", 0)</f>
        <v>1163</v>
      </c>
      <c r="L636" s="16">
        <f>_xlfn.XLOOKUP(CustomerCombinedCleaned[[#This Row],[ID]], Table4[ID], Table4[Fruits], "Not Found", 0)</f>
        <v>151</v>
      </c>
      <c r="M636" s="16">
        <f>_xlfn.XLOOKUP(CustomerCombinedCleaned[[#This Row],[ID]], Table4[ID], Table4[Meats], "Not Found", 0)</f>
        <v>631</v>
      </c>
      <c r="N636" s="16">
        <f>_xlfn.XLOOKUP(CustomerCombinedCleaned[[#This Row],[ID]], Table4[ID], Table4[Seafood], "Not Found", 0)</f>
        <v>166</v>
      </c>
      <c r="O636" s="16">
        <f>_xlfn.XLOOKUP(CustomerCombinedCleaned[[#This Row],[ID]], Table4[ID], Table4[Sweets], "Not Found", 0)</f>
        <v>429</v>
      </c>
      <c r="P636" s="16">
        <f>_xlfn.XLOOKUP(CustomerCombinedCleaned[[#This Row],[ID]], Table4[ID], Table4[Premium], "Not Found", 0)</f>
        <v>74</v>
      </c>
      <c r="Q636" s="16">
        <f>_xlfn.XLOOKUP(CustomerCombinedCleaned[[#This Row],[ID]], Table4[ID], Table4[Regular], "Not Found", 0)</f>
        <v>2465</v>
      </c>
      <c r="R636" s="16">
        <f>_xlfn.XLOOKUP(CustomerCombinedCleaned[[#This Row],[ID]], Table4[ID], Table4[Deals], "Not Found", 0)</f>
        <v>4</v>
      </c>
      <c r="S636" s="16">
        <f>_xlfn.XLOOKUP(CustomerCombinedCleaned[[#This Row],[ID]], Table4[ID], Table4[Website], "Not Found", 0)</f>
        <v>4</v>
      </c>
      <c r="T636" s="16">
        <f>_xlfn.XLOOKUP(CustomerCombinedCleaned[[#This Row],[ID]], Table4[ID], Table4[Catalog], "Not Found", 0)</f>
        <v>3</v>
      </c>
      <c r="U636" s="16">
        <f>_xlfn.XLOOKUP(CustomerCombinedCleaned[[#This Row],[ID]], Table4[ID], Table4[Store], "Not Found", 0)</f>
        <v>6</v>
      </c>
      <c r="V636" s="16">
        <f>_xlfn.XLOOKUP(CustomerCombinedCleaned[[#This Row],[ID]], Table4[ID], Table4[Visits], "Not Found", 0)</f>
        <v>4</v>
      </c>
      <c r="W636" s="16">
        <f>_xlfn.XLOOKUP(CustomerCombinedCleaned[[#This Row],[ID]], Table2[ID],Table2[Complaint], "Not Found", 0 )</f>
        <v>0</v>
      </c>
      <c r="X636" s="16">
        <f>_xlfn.XLOOKUP(CustomerCombinedCleaned[[#This Row],[ID]], Table2[ID],Table2[Pilot], "Not Found", 0 )</f>
        <v>0</v>
      </c>
      <c r="Y636" s="16">
        <f>_xlfn.XLOOKUP(CustomerCombinedCleaned[[#This Row],[ID]], Table2[ID],Table2[MC1], "Not Found", 0 )</f>
        <v>0</v>
      </c>
      <c r="Z636" s="16">
        <f>_xlfn.XLOOKUP(CustomerCombinedCleaned[[#This Row],[ID]], Table2[ID],Table2[MC2], "Not Found", 0 )</f>
        <v>0</v>
      </c>
      <c r="AA636" s="16">
        <f>_xlfn.XLOOKUP(CustomerCombinedCleaned[[#This Row],[ID]], Table2[ID],Table2[MC3], "Not Found", 0 )</f>
        <v>0</v>
      </c>
      <c r="AB636" s="16">
        <f>_xlfn.XLOOKUP(CustomerCombinedCleaned[[#This Row],[ID]], Table2[ID],Table2[MC4], "Not Found", 0 )</f>
        <v>0</v>
      </c>
      <c r="AC636" s="16">
        <f>_xlfn.XLOOKUP(CustomerCombinedCleaned[[#This Row],[ID]], Table2[ID],Table2[MC5], "Not Found", 0 )</f>
        <v>0</v>
      </c>
    </row>
    <row r="637" spans="1:29" x14ac:dyDescent="0.3">
      <c r="A637" s="18">
        <v>1026</v>
      </c>
      <c r="B637" s="16">
        <v>153359</v>
      </c>
      <c r="C637" s="16">
        <v>1</v>
      </c>
      <c r="D637" s="16">
        <v>1</v>
      </c>
      <c r="E637" s="16">
        <v>44</v>
      </c>
      <c r="F637" s="17" t="s">
        <v>6</v>
      </c>
      <c r="G637" s="17" t="s">
        <v>11</v>
      </c>
      <c r="H637" s="3" t="s">
        <v>739</v>
      </c>
      <c r="I637" s="5" t="s">
        <v>436</v>
      </c>
      <c r="J637" s="16">
        <f>_xlfn.XLOOKUP(CustomerCombinedCleaned[[#This Row],[ID]], Table4[ID], Table4[Recency], "Not Found", 0)</f>
        <v>4</v>
      </c>
      <c r="K637" s="16">
        <f>_xlfn.XLOOKUP(CustomerCombinedCleaned[[#This Row],[ID]], Table4[ID], Table4[Teas], "Not Found", 0)</f>
        <v>497</v>
      </c>
      <c r="L637" s="16">
        <f>_xlfn.XLOOKUP(CustomerCombinedCleaned[[#This Row],[ID]], Table4[ID], Table4[Fruits], "Not Found", 0)</f>
        <v>11</v>
      </c>
      <c r="M637" s="16">
        <f>_xlfn.XLOOKUP(CustomerCombinedCleaned[[#This Row],[ID]], Table4[ID], Table4[Meats], "Not Found", 0)</f>
        <v>86</v>
      </c>
      <c r="N637" s="16">
        <f>_xlfn.XLOOKUP(CustomerCombinedCleaned[[#This Row],[ID]], Table4[ID], Table4[Seafood], "Not Found", 0)</f>
        <v>9</v>
      </c>
      <c r="O637" s="16">
        <f>_xlfn.XLOOKUP(CustomerCombinedCleaned[[#This Row],[ID]], Table4[ID], Table4[Sweets], "Not Found", 0)</f>
        <v>17</v>
      </c>
      <c r="P637" s="16">
        <f>_xlfn.XLOOKUP(CustomerCombinedCleaned[[#This Row],[ID]], Table4[ID], Table4[Premium], "Not Found", 0)</f>
        <v>118</v>
      </c>
      <c r="Q637" s="16">
        <f>_xlfn.XLOOKUP(CustomerCombinedCleaned[[#This Row],[ID]], Table4[ID], Table4[Regular], "Not Found", 0)</f>
        <v>503</v>
      </c>
      <c r="R637" s="16">
        <f>_xlfn.XLOOKUP(CustomerCombinedCleaned[[#This Row],[ID]], Table4[ID], Table4[Deals], "Not Found", 0)</f>
        <v>4</v>
      </c>
      <c r="S637" s="16">
        <f>_xlfn.XLOOKUP(CustomerCombinedCleaned[[#This Row],[ID]], Table4[ID], Table4[Website], "Not Found", 0)</f>
        <v>5</v>
      </c>
      <c r="T637" s="16">
        <f>_xlfn.XLOOKUP(CustomerCombinedCleaned[[#This Row],[ID]], Table4[ID], Table4[Catalog], "Not Found", 0)</f>
        <v>1</v>
      </c>
      <c r="U637" s="16">
        <f>_xlfn.XLOOKUP(CustomerCombinedCleaned[[#This Row],[ID]], Table4[ID], Table4[Store], "Not Found", 0)</f>
        <v>4</v>
      </c>
      <c r="V637" s="16">
        <f>_xlfn.XLOOKUP(CustomerCombinedCleaned[[#This Row],[ID]], Table4[ID], Table4[Visits], "Not Found", 0)</f>
        <v>7</v>
      </c>
      <c r="W637" s="16">
        <f>_xlfn.XLOOKUP(CustomerCombinedCleaned[[#This Row],[ID]], Table2[ID],Table2[Complaint], "Not Found", 0 )</f>
        <v>0</v>
      </c>
      <c r="X637" s="16">
        <f>_xlfn.XLOOKUP(CustomerCombinedCleaned[[#This Row],[ID]], Table2[ID],Table2[Pilot], "Not Found", 0 )</f>
        <v>0</v>
      </c>
      <c r="Y637" s="16">
        <f>_xlfn.XLOOKUP(CustomerCombinedCleaned[[#This Row],[ID]], Table2[ID],Table2[MC1], "Not Found", 0 )</f>
        <v>0</v>
      </c>
      <c r="Z637" s="16">
        <f>_xlfn.XLOOKUP(CustomerCombinedCleaned[[#This Row],[ID]], Table2[ID],Table2[MC2], "Not Found", 0 )</f>
        <v>0</v>
      </c>
      <c r="AA637" s="16">
        <f>_xlfn.XLOOKUP(CustomerCombinedCleaned[[#This Row],[ID]], Table2[ID],Table2[MC3], "Not Found", 0 )</f>
        <v>0</v>
      </c>
      <c r="AB637" s="16">
        <f>_xlfn.XLOOKUP(CustomerCombinedCleaned[[#This Row],[ID]], Table2[ID],Table2[MC4], "Not Found", 0 )</f>
        <v>0</v>
      </c>
      <c r="AC637" s="16">
        <f>_xlfn.XLOOKUP(CustomerCombinedCleaned[[#This Row],[ID]], Table2[ID],Table2[MC5], "Not Found", 0 )</f>
        <v>0</v>
      </c>
    </row>
    <row r="638" spans="1:29" x14ac:dyDescent="0.3">
      <c r="A638" s="18">
        <v>3069</v>
      </c>
      <c r="B638" s="16">
        <v>153204</v>
      </c>
      <c r="C638" s="16">
        <v>1</v>
      </c>
      <c r="D638" s="16">
        <v>1</v>
      </c>
      <c r="E638" s="16">
        <v>44</v>
      </c>
      <c r="F638" s="17" t="s">
        <v>6</v>
      </c>
      <c r="G638" s="17" t="s">
        <v>12</v>
      </c>
      <c r="H638" s="3" t="s">
        <v>81</v>
      </c>
      <c r="I638" s="5" t="s">
        <v>435</v>
      </c>
      <c r="J638" s="16">
        <f>_xlfn.XLOOKUP(CustomerCombinedCleaned[[#This Row],[ID]], Table4[ID], Table4[Recency], "Not Found", 0)</f>
        <v>40</v>
      </c>
      <c r="K638" s="16">
        <f>_xlfn.XLOOKUP(CustomerCombinedCleaned[[#This Row],[ID]], Table4[ID], Table4[Teas], "Not Found", 0)</f>
        <v>84</v>
      </c>
      <c r="L638" s="16">
        <f>_xlfn.XLOOKUP(CustomerCombinedCleaned[[#This Row],[ID]], Table4[ID], Table4[Fruits], "Not Found", 0)</f>
        <v>0</v>
      </c>
      <c r="M638" s="16">
        <f>_xlfn.XLOOKUP(CustomerCombinedCleaned[[#This Row],[ID]], Table4[ID], Table4[Meats], "Not Found", 0)</f>
        <v>23</v>
      </c>
      <c r="N638" s="16">
        <f>_xlfn.XLOOKUP(CustomerCombinedCleaned[[#This Row],[ID]], Table4[ID], Table4[Seafood], "Not Found", 0)</f>
        <v>6</v>
      </c>
      <c r="O638" s="16">
        <f>_xlfn.XLOOKUP(CustomerCombinedCleaned[[#This Row],[ID]], Table4[ID], Table4[Sweets], "Not Found", 0)</f>
        <v>0</v>
      </c>
      <c r="P638" s="16">
        <f>_xlfn.XLOOKUP(CustomerCombinedCleaned[[#This Row],[ID]], Table4[ID], Table4[Premium], "Not Found", 0)</f>
        <v>17</v>
      </c>
      <c r="Q638" s="16">
        <f>_xlfn.XLOOKUP(CustomerCombinedCleaned[[#This Row],[ID]], Table4[ID], Table4[Regular], "Not Found", 0)</f>
        <v>95</v>
      </c>
      <c r="R638" s="16">
        <f>_xlfn.XLOOKUP(CustomerCombinedCleaned[[#This Row],[ID]], Table4[ID], Table4[Deals], "Not Found", 0)</f>
        <v>1</v>
      </c>
      <c r="S638" s="16">
        <f>_xlfn.XLOOKUP(CustomerCombinedCleaned[[#This Row],[ID]], Table4[ID], Table4[Website], "Not Found", 0)</f>
        <v>1</v>
      </c>
      <c r="T638" s="16">
        <f>_xlfn.XLOOKUP(CustomerCombinedCleaned[[#This Row],[ID]], Table4[ID], Table4[Catalog], "Not Found", 0)</f>
        <v>0</v>
      </c>
      <c r="U638" s="16">
        <f>_xlfn.XLOOKUP(CustomerCombinedCleaned[[#This Row],[ID]], Table4[ID], Table4[Store], "Not Found", 0)</f>
        <v>3</v>
      </c>
      <c r="V638" s="16">
        <f>_xlfn.XLOOKUP(CustomerCombinedCleaned[[#This Row],[ID]], Table4[ID], Table4[Visits], "Not Found", 0)</f>
        <v>4</v>
      </c>
      <c r="W638" s="16">
        <f>_xlfn.XLOOKUP(CustomerCombinedCleaned[[#This Row],[ID]], Table2[ID],Table2[Complaint], "Not Found", 0 )</f>
        <v>0</v>
      </c>
      <c r="X638" s="16">
        <f>_xlfn.XLOOKUP(CustomerCombinedCleaned[[#This Row],[ID]], Table2[ID],Table2[Pilot], "Not Found", 0 )</f>
        <v>0</v>
      </c>
      <c r="Y638" s="16">
        <f>_xlfn.XLOOKUP(CustomerCombinedCleaned[[#This Row],[ID]], Table2[ID],Table2[MC1], "Not Found", 0 )</f>
        <v>0</v>
      </c>
      <c r="Z638" s="16">
        <f>_xlfn.XLOOKUP(CustomerCombinedCleaned[[#This Row],[ID]], Table2[ID],Table2[MC2], "Not Found", 0 )</f>
        <v>0</v>
      </c>
      <c r="AA638" s="16">
        <f>_xlfn.XLOOKUP(CustomerCombinedCleaned[[#This Row],[ID]], Table2[ID],Table2[MC3], "Not Found", 0 )</f>
        <v>0</v>
      </c>
      <c r="AB638" s="16">
        <f>_xlfn.XLOOKUP(CustomerCombinedCleaned[[#This Row],[ID]], Table2[ID],Table2[MC4], "Not Found", 0 )</f>
        <v>0</v>
      </c>
      <c r="AC638" s="16">
        <f>_xlfn.XLOOKUP(CustomerCombinedCleaned[[#This Row],[ID]], Table2[ID],Table2[MC5], "Not Found", 0 )</f>
        <v>0</v>
      </c>
    </row>
    <row r="639" spans="1:29" x14ac:dyDescent="0.3">
      <c r="A639" s="18">
        <v>1932</v>
      </c>
      <c r="B639" s="16">
        <v>152190</v>
      </c>
      <c r="C639" s="16">
        <v>1</v>
      </c>
      <c r="D639" s="16">
        <v>1</v>
      </c>
      <c r="E639" s="16">
        <v>44</v>
      </c>
      <c r="F639" s="17" t="s">
        <v>8</v>
      </c>
      <c r="G639" s="17" t="s">
        <v>13</v>
      </c>
      <c r="H639" s="3" t="s">
        <v>559</v>
      </c>
      <c r="I639" s="5" t="s">
        <v>436</v>
      </c>
      <c r="J639" s="16">
        <f>_xlfn.XLOOKUP(CustomerCombinedCleaned[[#This Row],[ID]], Table4[ID], Table4[Recency], "Not Found", 0)</f>
        <v>39</v>
      </c>
      <c r="K639" s="16">
        <f>_xlfn.XLOOKUP(CustomerCombinedCleaned[[#This Row],[ID]], Table4[ID], Table4[Teas], "Not Found", 0)</f>
        <v>122</v>
      </c>
      <c r="L639" s="16">
        <f>_xlfn.XLOOKUP(CustomerCombinedCleaned[[#This Row],[ID]], Table4[ID], Table4[Fruits], "Not Found", 0)</f>
        <v>0</v>
      </c>
      <c r="M639" s="16">
        <f>_xlfn.XLOOKUP(CustomerCombinedCleaned[[#This Row],[ID]], Table4[ID], Table4[Meats], "Not Found", 0)</f>
        <v>50</v>
      </c>
      <c r="N639" s="16">
        <f>_xlfn.XLOOKUP(CustomerCombinedCleaned[[#This Row],[ID]], Table4[ID], Table4[Seafood], "Not Found", 0)</f>
        <v>0</v>
      </c>
      <c r="O639" s="16">
        <f>_xlfn.XLOOKUP(CustomerCombinedCleaned[[#This Row],[ID]], Table4[ID], Table4[Sweets], "Not Found", 0)</f>
        <v>0</v>
      </c>
      <c r="P639" s="16">
        <f>_xlfn.XLOOKUP(CustomerCombinedCleaned[[#This Row],[ID]], Table4[ID], Table4[Premium], "Not Found", 0)</f>
        <v>52</v>
      </c>
      <c r="Q639" s="16">
        <f>_xlfn.XLOOKUP(CustomerCombinedCleaned[[#This Row],[ID]], Table4[ID], Table4[Regular], "Not Found", 0)</f>
        <v>120</v>
      </c>
      <c r="R639" s="16">
        <f>_xlfn.XLOOKUP(CustomerCombinedCleaned[[#This Row],[ID]], Table4[ID], Table4[Deals], "Not Found", 0)</f>
        <v>3</v>
      </c>
      <c r="S639" s="16">
        <f>_xlfn.XLOOKUP(CustomerCombinedCleaned[[#This Row],[ID]], Table4[ID], Table4[Website], "Not Found", 0)</f>
        <v>2</v>
      </c>
      <c r="T639" s="16">
        <f>_xlfn.XLOOKUP(CustomerCombinedCleaned[[#This Row],[ID]], Table4[ID], Table4[Catalog], "Not Found", 0)</f>
        <v>1</v>
      </c>
      <c r="U639" s="16">
        <f>_xlfn.XLOOKUP(CustomerCombinedCleaned[[#This Row],[ID]], Table4[ID], Table4[Store], "Not Found", 0)</f>
        <v>3</v>
      </c>
      <c r="V639" s="16">
        <f>_xlfn.XLOOKUP(CustomerCombinedCleaned[[#This Row],[ID]], Table4[ID], Table4[Visits], "Not Found", 0)</f>
        <v>5</v>
      </c>
      <c r="W639" s="16">
        <f>_xlfn.XLOOKUP(CustomerCombinedCleaned[[#This Row],[ID]], Table2[ID],Table2[Complaint], "Not Found", 0 )</f>
        <v>0</v>
      </c>
      <c r="X639" s="16">
        <f>_xlfn.XLOOKUP(CustomerCombinedCleaned[[#This Row],[ID]], Table2[ID],Table2[Pilot], "Not Found", 0 )</f>
        <v>0</v>
      </c>
      <c r="Y639" s="16">
        <f>_xlfn.XLOOKUP(CustomerCombinedCleaned[[#This Row],[ID]], Table2[ID],Table2[MC1], "Not Found", 0 )</f>
        <v>0</v>
      </c>
      <c r="Z639" s="16">
        <f>_xlfn.XLOOKUP(CustomerCombinedCleaned[[#This Row],[ID]], Table2[ID],Table2[MC2], "Not Found", 0 )</f>
        <v>0</v>
      </c>
      <c r="AA639" s="16">
        <f>_xlfn.XLOOKUP(CustomerCombinedCleaned[[#This Row],[ID]], Table2[ID],Table2[MC3], "Not Found", 0 )</f>
        <v>1</v>
      </c>
      <c r="AB639" s="16">
        <f>_xlfn.XLOOKUP(CustomerCombinedCleaned[[#This Row],[ID]], Table2[ID],Table2[MC4], "Not Found", 0 )</f>
        <v>0</v>
      </c>
      <c r="AC639" s="16">
        <f>_xlfn.XLOOKUP(CustomerCombinedCleaned[[#This Row],[ID]], Table2[ID],Table2[MC5], "Not Found", 0 )</f>
        <v>0</v>
      </c>
    </row>
    <row r="640" spans="1:29" x14ac:dyDescent="0.3">
      <c r="A640" s="18">
        <v>1169</v>
      </c>
      <c r="B640" s="16">
        <v>151650</v>
      </c>
      <c r="C640" s="16">
        <v>0</v>
      </c>
      <c r="D640" s="16">
        <v>1</v>
      </c>
      <c r="E640" s="16">
        <v>44</v>
      </c>
      <c r="F640" s="17" t="s">
        <v>6</v>
      </c>
      <c r="G640" s="17" t="s">
        <v>13</v>
      </c>
      <c r="H640" s="3" t="s">
        <v>53</v>
      </c>
      <c r="I640" s="5" t="s">
        <v>434</v>
      </c>
      <c r="J640" s="16">
        <f>_xlfn.XLOOKUP(CustomerCombinedCleaned[[#This Row],[ID]], Table4[ID], Table4[Recency], "Not Found", 0)</f>
        <v>81</v>
      </c>
      <c r="K640" s="16">
        <f>_xlfn.XLOOKUP(CustomerCombinedCleaned[[#This Row],[ID]], Table4[ID], Table4[Teas], "Not Found", 0)</f>
        <v>446</v>
      </c>
      <c r="L640" s="16">
        <f>_xlfn.XLOOKUP(CustomerCombinedCleaned[[#This Row],[ID]], Table4[ID], Table4[Fruits], "Not Found", 0)</f>
        <v>9</v>
      </c>
      <c r="M640" s="16">
        <f>_xlfn.XLOOKUP(CustomerCombinedCleaned[[#This Row],[ID]], Table4[ID], Table4[Meats], "Not Found", 0)</f>
        <v>65</v>
      </c>
      <c r="N640" s="16">
        <f>_xlfn.XLOOKUP(CustomerCombinedCleaned[[#This Row],[ID]], Table4[ID], Table4[Seafood], "Not Found", 0)</f>
        <v>6</v>
      </c>
      <c r="O640" s="16">
        <f>_xlfn.XLOOKUP(CustomerCombinedCleaned[[#This Row],[ID]], Table4[ID], Table4[Sweets], "Not Found", 0)</f>
        <v>15</v>
      </c>
      <c r="P640" s="16">
        <f>_xlfn.XLOOKUP(CustomerCombinedCleaned[[#This Row],[ID]], Table4[ID], Table4[Premium], "Not Found", 0)</f>
        <v>21</v>
      </c>
      <c r="Q640" s="16">
        <f>_xlfn.XLOOKUP(CustomerCombinedCleaned[[#This Row],[ID]], Table4[ID], Table4[Regular], "Not Found", 0)</f>
        <v>520</v>
      </c>
      <c r="R640" s="16">
        <f>_xlfn.XLOOKUP(CustomerCombinedCleaned[[#This Row],[ID]], Table4[ID], Table4[Deals], "Not Found", 0)</f>
        <v>1</v>
      </c>
      <c r="S640" s="16">
        <f>_xlfn.XLOOKUP(CustomerCombinedCleaned[[#This Row],[ID]], Table4[ID], Table4[Website], "Not Found", 0)</f>
        <v>4</v>
      </c>
      <c r="T640" s="16">
        <f>_xlfn.XLOOKUP(CustomerCombinedCleaned[[#This Row],[ID]], Table4[ID], Table4[Catalog], "Not Found", 0)</f>
        <v>1</v>
      </c>
      <c r="U640" s="16">
        <f>_xlfn.XLOOKUP(CustomerCombinedCleaned[[#This Row],[ID]], Table4[ID], Table4[Store], "Not Found", 0)</f>
        <v>4</v>
      </c>
      <c r="V640" s="16">
        <f>_xlfn.XLOOKUP(CustomerCombinedCleaned[[#This Row],[ID]], Table4[ID], Table4[Visits], "Not Found", 0)</f>
        <v>5</v>
      </c>
      <c r="W640" s="16">
        <f>_xlfn.XLOOKUP(CustomerCombinedCleaned[[#This Row],[ID]], Table2[ID],Table2[Complaint], "Not Found", 0 )</f>
        <v>0</v>
      </c>
      <c r="X640" s="16">
        <f>_xlfn.XLOOKUP(CustomerCombinedCleaned[[#This Row],[ID]], Table2[ID],Table2[Pilot], "Not Found", 0 )</f>
        <v>0</v>
      </c>
      <c r="Y640" s="16">
        <f>_xlfn.XLOOKUP(CustomerCombinedCleaned[[#This Row],[ID]], Table2[ID],Table2[MC1], "Not Found", 0 )</f>
        <v>0</v>
      </c>
      <c r="Z640" s="16">
        <f>_xlfn.XLOOKUP(CustomerCombinedCleaned[[#This Row],[ID]], Table2[ID],Table2[MC2], "Not Found", 0 )</f>
        <v>0</v>
      </c>
      <c r="AA640" s="16">
        <f>_xlfn.XLOOKUP(CustomerCombinedCleaned[[#This Row],[ID]], Table2[ID],Table2[MC3], "Not Found", 0 )</f>
        <v>0</v>
      </c>
      <c r="AB640" s="16">
        <f>_xlfn.XLOOKUP(CustomerCombinedCleaned[[#This Row],[ID]], Table2[ID],Table2[MC4], "Not Found", 0 )</f>
        <v>0</v>
      </c>
      <c r="AC640" s="16">
        <f>_xlfn.XLOOKUP(CustomerCombinedCleaned[[#This Row],[ID]], Table2[ID],Table2[MC5], "Not Found", 0 )</f>
        <v>0</v>
      </c>
    </row>
    <row r="641" spans="1:29" x14ac:dyDescent="0.3">
      <c r="A641" s="18">
        <v>1214</v>
      </c>
      <c r="B641" s="16">
        <v>151369</v>
      </c>
      <c r="C641" s="16">
        <v>0</v>
      </c>
      <c r="D641" s="16">
        <v>1</v>
      </c>
      <c r="E641" s="16">
        <v>44</v>
      </c>
      <c r="F641" s="17" t="s">
        <v>8</v>
      </c>
      <c r="G641" s="17" t="s">
        <v>11</v>
      </c>
      <c r="H641" s="3" t="s">
        <v>747</v>
      </c>
      <c r="I641" s="5" t="s">
        <v>438</v>
      </c>
      <c r="J641" s="16">
        <f>_xlfn.XLOOKUP(CustomerCombinedCleaned[[#This Row],[ID]], Table4[ID], Table4[Recency], "Not Found", 0)</f>
        <v>84</v>
      </c>
      <c r="K641" s="16">
        <f>_xlfn.XLOOKUP(CustomerCombinedCleaned[[#This Row],[ID]], Table4[ID], Table4[Teas], "Not Found", 0)</f>
        <v>875</v>
      </c>
      <c r="L641" s="16">
        <f>_xlfn.XLOOKUP(CustomerCombinedCleaned[[#This Row],[ID]], Table4[ID], Table4[Fruits], "Not Found", 0)</f>
        <v>21</v>
      </c>
      <c r="M641" s="16">
        <f>_xlfn.XLOOKUP(CustomerCombinedCleaned[[#This Row],[ID]], Table4[ID], Table4[Meats], "Not Found", 0)</f>
        <v>233</v>
      </c>
      <c r="N641" s="16">
        <f>_xlfn.XLOOKUP(CustomerCombinedCleaned[[#This Row],[ID]], Table4[ID], Table4[Seafood], "Not Found", 0)</f>
        <v>0</v>
      </c>
      <c r="O641" s="16">
        <f>_xlfn.XLOOKUP(CustomerCombinedCleaned[[#This Row],[ID]], Table4[ID], Table4[Sweets], "Not Found", 0)</f>
        <v>32</v>
      </c>
      <c r="P641" s="16">
        <f>_xlfn.XLOOKUP(CustomerCombinedCleaned[[#This Row],[ID]], Table4[ID], Table4[Premium], "Not Found", 0)</f>
        <v>536</v>
      </c>
      <c r="Q641" s="16">
        <f>_xlfn.XLOOKUP(CustomerCombinedCleaned[[#This Row],[ID]], Table4[ID], Table4[Regular], "Not Found", 0)</f>
        <v>625</v>
      </c>
      <c r="R641" s="16">
        <f>_xlfn.XLOOKUP(CustomerCombinedCleaned[[#This Row],[ID]], Table4[ID], Table4[Deals], "Not Found", 0)</f>
        <v>2</v>
      </c>
      <c r="S641" s="16">
        <f>_xlfn.XLOOKUP(CustomerCombinedCleaned[[#This Row],[ID]], Table4[ID], Table4[Website], "Not Found", 0)</f>
        <v>8</v>
      </c>
      <c r="T641" s="16">
        <f>_xlfn.XLOOKUP(CustomerCombinedCleaned[[#This Row],[ID]], Table4[ID], Table4[Catalog], "Not Found", 0)</f>
        <v>2</v>
      </c>
      <c r="U641" s="16">
        <f>_xlfn.XLOOKUP(CustomerCombinedCleaned[[#This Row],[ID]], Table4[ID], Table4[Store], "Not Found", 0)</f>
        <v>4</v>
      </c>
      <c r="V641" s="16">
        <f>_xlfn.XLOOKUP(CustomerCombinedCleaned[[#This Row],[ID]], Table4[ID], Table4[Visits], "Not Found", 0)</f>
        <v>8</v>
      </c>
      <c r="W641" s="16">
        <f>_xlfn.XLOOKUP(CustomerCombinedCleaned[[#This Row],[ID]], Table2[ID],Table2[Complaint], "Not Found", 0 )</f>
        <v>0</v>
      </c>
      <c r="X641" s="16">
        <f>_xlfn.XLOOKUP(CustomerCombinedCleaned[[#This Row],[ID]], Table2[ID],Table2[Pilot], "Not Found", 0 )</f>
        <v>0</v>
      </c>
      <c r="Y641" s="16">
        <f>_xlfn.XLOOKUP(CustomerCombinedCleaned[[#This Row],[ID]], Table2[ID],Table2[MC1], "Not Found", 0 )</f>
        <v>0</v>
      </c>
      <c r="Z641" s="16">
        <f>_xlfn.XLOOKUP(CustomerCombinedCleaned[[#This Row],[ID]], Table2[ID],Table2[MC2], "Not Found", 0 )</f>
        <v>0</v>
      </c>
      <c r="AA641" s="16">
        <f>_xlfn.XLOOKUP(CustomerCombinedCleaned[[#This Row],[ID]], Table2[ID],Table2[MC3], "Not Found", 0 )</f>
        <v>0</v>
      </c>
      <c r="AB641" s="16">
        <f>_xlfn.XLOOKUP(CustomerCombinedCleaned[[#This Row],[ID]], Table2[ID],Table2[MC4], "Not Found", 0 )</f>
        <v>0</v>
      </c>
      <c r="AC641" s="16">
        <f>_xlfn.XLOOKUP(CustomerCombinedCleaned[[#This Row],[ID]], Table2[ID],Table2[MC5], "Not Found", 0 )</f>
        <v>0</v>
      </c>
    </row>
    <row r="642" spans="1:29" x14ac:dyDescent="0.3">
      <c r="A642" s="18">
        <v>1268</v>
      </c>
      <c r="B642" s="16">
        <v>151369</v>
      </c>
      <c r="C642" s="16">
        <v>0</v>
      </c>
      <c r="D642" s="16">
        <v>1</v>
      </c>
      <c r="E642" s="16">
        <v>44</v>
      </c>
      <c r="F642" s="17" t="s">
        <v>8</v>
      </c>
      <c r="G642" s="17" t="s">
        <v>11</v>
      </c>
      <c r="H642" s="3" t="s">
        <v>747</v>
      </c>
      <c r="I642" s="5" t="s">
        <v>438</v>
      </c>
      <c r="J642" s="16">
        <f>_xlfn.XLOOKUP(CustomerCombinedCleaned[[#This Row],[ID]], Table4[ID], Table4[Recency], "Not Found", 0)</f>
        <v>84</v>
      </c>
      <c r="K642" s="16">
        <f>_xlfn.XLOOKUP(CustomerCombinedCleaned[[#This Row],[ID]], Table4[ID], Table4[Teas], "Not Found", 0)</f>
        <v>875</v>
      </c>
      <c r="L642" s="16">
        <f>_xlfn.XLOOKUP(CustomerCombinedCleaned[[#This Row],[ID]], Table4[ID], Table4[Fruits], "Not Found", 0)</f>
        <v>21</v>
      </c>
      <c r="M642" s="16">
        <f>_xlfn.XLOOKUP(CustomerCombinedCleaned[[#This Row],[ID]], Table4[ID], Table4[Meats], "Not Found", 0)</f>
        <v>233</v>
      </c>
      <c r="N642" s="16">
        <f>_xlfn.XLOOKUP(CustomerCombinedCleaned[[#This Row],[ID]], Table4[ID], Table4[Seafood], "Not Found", 0)</f>
        <v>0</v>
      </c>
      <c r="O642" s="16">
        <f>_xlfn.XLOOKUP(CustomerCombinedCleaned[[#This Row],[ID]], Table4[ID], Table4[Sweets], "Not Found", 0)</f>
        <v>32</v>
      </c>
      <c r="P642" s="16">
        <f>_xlfn.XLOOKUP(CustomerCombinedCleaned[[#This Row],[ID]], Table4[ID], Table4[Premium], "Not Found", 0)</f>
        <v>536</v>
      </c>
      <c r="Q642" s="16">
        <f>_xlfn.XLOOKUP(CustomerCombinedCleaned[[#This Row],[ID]], Table4[ID], Table4[Regular], "Not Found", 0)</f>
        <v>625</v>
      </c>
      <c r="R642" s="16">
        <f>_xlfn.XLOOKUP(CustomerCombinedCleaned[[#This Row],[ID]], Table4[ID], Table4[Deals], "Not Found", 0)</f>
        <v>2</v>
      </c>
      <c r="S642" s="16">
        <f>_xlfn.XLOOKUP(CustomerCombinedCleaned[[#This Row],[ID]], Table4[ID], Table4[Website], "Not Found", 0)</f>
        <v>8</v>
      </c>
      <c r="T642" s="16">
        <f>_xlfn.XLOOKUP(CustomerCombinedCleaned[[#This Row],[ID]], Table4[ID], Table4[Catalog], "Not Found", 0)</f>
        <v>2</v>
      </c>
      <c r="U642" s="16">
        <f>_xlfn.XLOOKUP(CustomerCombinedCleaned[[#This Row],[ID]], Table4[ID], Table4[Store], "Not Found", 0)</f>
        <v>4</v>
      </c>
      <c r="V642" s="16">
        <f>_xlfn.XLOOKUP(CustomerCombinedCleaned[[#This Row],[ID]], Table4[ID], Table4[Visits], "Not Found", 0)</f>
        <v>8</v>
      </c>
      <c r="W642" s="16">
        <f>_xlfn.XLOOKUP(CustomerCombinedCleaned[[#This Row],[ID]], Table2[ID],Table2[Complaint], "Not Found", 0 )</f>
        <v>0</v>
      </c>
      <c r="X642" s="16">
        <f>_xlfn.XLOOKUP(CustomerCombinedCleaned[[#This Row],[ID]], Table2[ID],Table2[Pilot], "Not Found", 0 )</f>
        <v>0</v>
      </c>
      <c r="Y642" s="16">
        <f>_xlfn.XLOOKUP(CustomerCombinedCleaned[[#This Row],[ID]], Table2[ID],Table2[MC1], "Not Found", 0 )</f>
        <v>0</v>
      </c>
      <c r="Z642" s="16">
        <f>_xlfn.XLOOKUP(CustomerCombinedCleaned[[#This Row],[ID]], Table2[ID],Table2[MC2], "Not Found", 0 )</f>
        <v>0</v>
      </c>
      <c r="AA642" s="16">
        <f>_xlfn.XLOOKUP(CustomerCombinedCleaned[[#This Row],[ID]], Table2[ID],Table2[MC3], "Not Found", 0 )</f>
        <v>0</v>
      </c>
      <c r="AB642" s="16">
        <f>_xlfn.XLOOKUP(CustomerCombinedCleaned[[#This Row],[ID]], Table2[ID],Table2[MC4], "Not Found", 0 )</f>
        <v>0</v>
      </c>
      <c r="AC642" s="16">
        <f>_xlfn.XLOOKUP(CustomerCombinedCleaned[[#This Row],[ID]], Table2[ID],Table2[MC5], "Not Found", 0 )</f>
        <v>0</v>
      </c>
    </row>
    <row r="643" spans="1:29" x14ac:dyDescent="0.3">
      <c r="A643" s="18">
        <v>2286</v>
      </c>
      <c r="B643" s="16">
        <v>150200</v>
      </c>
      <c r="C643" s="16">
        <v>1</v>
      </c>
      <c r="D643" s="16">
        <v>1</v>
      </c>
      <c r="E643" s="16">
        <v>44</v>
      </c>
      <c r="F643" s="17" t="s">
        <v>8</v>
      </c>
      <c r="G643" s="17" t="s">
        <v>11</v>
      </c>
      <c r="H643" s="3" t="s">
        <v>689</v>
      </c>
      <c r="I643" s="5" t="s">
        <v>436</v>
      </c>
      <c r="J643" s="16">
        <f>_xlfn.XLOOKUP(CustomerCombinedCleaned[[#This Row],[ID]], Table4[ID], Table4[Recency], "Not Found", 0)</f>
        <v>70</v>
      </c>
      <c r="K643" s="16">
        <f>_xlfn.XLOOKUP(CustomerCombinedCleaned[[#This Row],[ID]], Table4[ID], Table4[Teas], "Not Found", 0)</f>
        <v>796</v>
      </c>
      <c r="L643" s="16">
        <f>_xlfn.XLOOKUP(CustomerCombinedCleaned[[#This Row],[ID]], Table4[ID], Table4[Fruits], "Not Found", 0)</f>
        <v>18</v>
      </c>
      <c r="M643" s="16">
        <f>_xlfn.XLOOKUP(CustomerCombinedCleaned[[#This Row],[ID]], Table4[ID], Table4[Meats], "Not Found", 0)</f>
        <v>153</v>
      </c>
      <c r="N643" s="16">
        <f>_xlfn.XLOOKUP(CustomerCombinedCleaned[[#This Row],[ID]], Table4[ID], Table4[Seafood], "Not Found", 0)</f>
        <v>24</v>
      </c>
      <c r="O643" s="16">
        <f>_xlfn.XLOOKUP(CustomerCombinedCleaned[[#This Row],[ID]], Table4[ID], Table4[Sweets], "Not Found", 0)</f>
        <v>18</v>
      </c>
      <c r="P643" s="16">
        <f>_xlfn.XLOOKUP(CustomerCombinedCleaned[[#This Row],[ID]], Table4[ID], Table4[Premium], "Not Found", 0)</f>
        <v>191</v>
      </c>
      <c r="Q643" s="16">
        <f>_xlfn.XLOOKUP(CustomerCombinedCleaned[[#This Row],[ID]], Table4[ID], Table4[Regular], "Not Found", 0)</f>
        <v>817</v>
      </c>
      <c r="R643" s="16">
        <f>_xlfn.XLOOKUP(CustomerCombinedCleaned[[#This Row],[ID]], Table4[ID], Table4[Deals], "Not Found", 0)</f>
        <v>6</v>
      </c>
      <c r="S643" s="16">
        <f>_xlfn.XLOOKUP(CustomerCombinedCleaned[[#This Row],[ID]], Table4[ID], Table4[Website], "Not Found", 0)</f>
        <v>7</v>
      </c>
      <c r="T643" s="16">
        <f>_xlfn.XLOOKUP(CustomerCombinedCleaned[[#This Row],[ID]], Table4[ID], Table4[Catalog], "Not Found", 0)</f>
        <v>1</v>
      </c>
      <c r="U643" s="16">
        <f>_xlfn.XLOOKUP(CustomerCombinedCleaned[[#This Row],[ID]], Table4[ID], Table4[Store], "Not Found", 0)</f>
        <v>5</v>
      </c>
      <c r="V643" s="16">
        <f>_xlfn.XLOOKUP(CustomerCombinedCleaned[[#This Row],[ID]], Table4[ID], Table4[Visits], "Not Found", 0)</f>
        <v>8</v>
      </c>
      <c r="W643" s="16">
        <f>_xlfn.XLOOKUP(CustomerCombinedCleaned[[#This Row],[ID]], Table2[ID],Table2[Complaint], "Not Found", 0 )</f>
        <v>0</v>
      </c>
      <c r="X643" s="16">
        <f>_xlfn.XLOOKUP(CustomerCombinedCleaned[[#This Row],[ID]], Table2[ID],Table2[Pilot], "Not Found", 0 )</f>
        <v>0</v>
      </c>
      <c r="Y643" s="16">
        <f>_xlfn.XLOOKUP(CustomerCombinedCleaned[[#This Row],[ID]], Table2[ID],Table2[MC1], "Not Found", 0 )</f>
        <v>0</v>
      </c>
      <c r="Z643" s="16">
        <f>_xlfn.XLOOKUP(CustomerCombinedCleaned[[#This Row],[ID]], Table2[ID],Table2[MC2], "Not Found", 0 )</f>
        <v>0</v>
      </c>
      <c r="AA643" s="16">
        <f>_xlfn.XLOOKUP(CustomerCombinedCleaned[[#This Row],[ID]], Table2[ID],Table2[MC3], "Not Found", 0 )</f>
        <v>0</v>
      </c>
      <c r="AB643" s="16">
        <f>_xlfn.XLOOKUP(CustomerCombinedCleaned[[#This Row],[ID]], Table2[ID],Table2[MC4], "Not Found", 0 )</f>
        <v>0</v>
      </c>
      <c r="AC643" s="16">
        <f>_xlfn.XLOOKUP(CustomerCombinedCleaned[[#This Row],[ID]], Table2[ID],Table2[MC5], "Not Found", 0 )</f>
        <v>0</v>
      </c>
    </row>
    <row r="644" spans="1:29" x14ac:dyDescent="0.3">
      <c r="A644" s="18">
        <v>1786</v>
      </c>
      <c r="B644" s="16">
        <v>149681</v>
      </c>
      <c r="C644" s="16">
        <v>0</v>
      </c>
      <c r="D644" s="16">
        <v>2</v>
      </c>
      <c r="E644" s="16">
        <v>44</v>
      </c>
      <c r="F644" s="17" t="s">
        <v>6</v>
      </c>
      <c r="G644" s="17" t="s">
        <v>12</v>
      </c>
      <c r="H644" s="3" t="s">
        <v>750</v>
      </c>
      <c r="I644" s="5" t="s">
        <v>439</v>
      </c>
      <c r="J644" s="16">
        <f>_xlfn.XLOOKUP(CustomerCombinedCleaned[[#This Row],[ID]], Table4[ID], Table4[Recency], "Not Found", 0)</f>
        <v>66</v>
      </c>
      <c r="K644" s="16">
        <f>_xlfn.XLOOKUP(CustomerCombinedCleaned[[#This Row],[ID]], Table4[ID], Table4[Teas], "Not Found", 0)</f>
        <v>1238</v>
      </c>
      <c r="L644" s="16">
        <f>_xlfn.XLOOKUP(CustomerCombinedCleaned[[#This Row],[ID]], Table4[ID], Table4[Fruits], "Not Found", 0)</f>
        <v>0</v>
      </c>
      <c r="M644" s="16">
        <f>_xlfn.XLOOKUP(CustomerCombinedCleaned[[#This Row],[ID]], Table4[ID], Table4[Meats], "Not Found", 0)</f>
        <v>78</v>
      </c>
      <c r="N644" s="16">
        <f>_xlfn.XLOOKUP(CustomerCombinedCleaned[[#This Row],[ID]], Table4[ID], Table4[Seafood], "Not Found", 0)</f>
        <v>0</v>
      </c>
      <c r="O644" s="16">
        <f>_xlfn.XLOOKUP(CustomerCombinedCleaned[[#This Row],[ID]], Table4[ID], Table4[Sweets], "Not Found", 0)</f>
        <v>0</v>
      </c>
      <c r="P644" s="16">
        <f>_xlfn.XLOOKUP(CustomerCombinedCleaned[[#This Row],[ID]], Table4[ID], Table4[Premium], "Not Found", 0)</f>
        <v>63</v>
      </c>
      <c r="Q644" s="16">
        <f>_xlfn.XLOOKUP(CustomerCombinedCleaned[[#This Row],[ID]], Table4[ID], Table4[Regular], "Not Found", 0)</f>
        <v>1253</v>
      </c>
      <c r="R644" s="16">
        <f>_xlfn.XLOOKUP(CustomerCombinedCleaned[[#This Row],[ID]], Table4[ID], Table4[Deals], "Not Found", 0)</f>
        <v>6</v>
      </c>
      <c r="S644" s="16">
        <f>_xlfn.XLOOKUP(CustomerCombinedCleaned[[#This Row],[ID]], Table4[ID], Table4[Website], "Not Found", 0)</f>
        <v>7</v>
      </c>
      <c r="T644" s="16">
        <f>_xlfn.XLOOKUP(CustomerCombinedCleaned[[#This Row],[ID]], Table4[ID], Table4[Catalog], "Not Found", 0)</f>
        <v>1</v>
      </c>
      <c r="U644" s="16">
        <f>_xlfn.XLOOKUP(CustomerCombinedCleaned[[#This Row],[ID]], Table4[ID], Table4[Store], "Not Found", 0)</f>
        <v>7</v>
      </c>
      <c r="V644" s="16">
        <f>_xlfn.XLOOKUP(CustomerCombinedCleaned[[#This Row],[ID]], Table4[ID], Table4[Visits], "Not Found", 0)</f>
        <v>7</v>
      </c>
      <c r="W644" s="16">
        <f>_xlfn.XLOOKUP(CustomerCombinedCleaned[[#This Row],[ID]], Table2[ID],Table2[Complaint], "Not Found", 0 )</f>
        <v>0</v>
      </c>
      <c r="X644" s="16">
        <f>_xlfn.XLOOKUP(CustomerCombinedCleaned[[#This Row],[ID]], Table2[ID],Table2[Pilot], "Not Found", 0 )</f>
        <v>0</v>
      </c>
      <c r="Y644" s="16">
        <f>_xlfn.XLOOKUP(CustomerCombinedCleaned[[#This Row],[ID]], Table2[ID],Table2[MC1], "Not Found", 0 )</f>
        <v>0</v>
      </c>
      <c r="Z644" s="16">
        <f>_xlfn.XLOOKUP(CustomerCombinedCleaned[[#This Row],[ID]], Table2[ID],Table2[MC2], "Not Found", 0 )</f>
        <v>0</v>
      </c>
      <c r="AA644" s="16">
        <f>_xlfn.XLOOKUP(CustomerCombinedCleaned[[#This Row],[ID]], Table2[ID],Table2[MC3], "Not Found", 0 )</f>
        <v>0</v>
      </c>
      <c r="AB644" s="16">
        <f>_xlfn.XLOOKUP(CustomerCombinedCleaned[[#This Row],[ID]], Table2[ID],Table2[MC4], "Not Found", 0 )</f>
        <v>0</v>
      </c>
      <c r="AC644" s="16">
        <f>_xlfn.XLOOKUP(CustomerCombinedCleaned[[#This Row],[ID]], Table2[ID],Table2[MC5], "Not Found", 0 )</f>
        <v>0</v>
      </c>
    </row>
    <row r="645" spans="1:29" x14ac:dyDescent="0.3">
      <c r="A645" s="18">
        <v>2537</v>
      </c>
      <c r="B645" s="16">
        <v>149681</v>
      </c>
      <c r="C645" s="16">
        <v>0</v>
      </c>
      <c r="D645" s="16">
        <v>2</v>
      </c>
      <c r="E645" s="16">
        <v>44</v>
      </c>
      <c r="F645" s="17" t="s">
        <v>6</v>
      </c>
      <c r="G645" s="17" t="s">
        <v>12</v>
      </c>
      <c r="H645" s="3" t="s">
        <v>750</v>
      </c>
      <c r="I645" s="5" t="s">
        <v>434</v>
      </c>
      <c r="J645" s="16">
        <f>_xlfn.XLOOKUP(CustomerCombinedCleaned[[#This Row],[ID]], Table4[ID], Table4[Recency], "Not Found", 0)</f>
        <v>66</v>
      </c>
      <c r="K645" s="16">
        <f>_xlfn.XLOOKUP(CustomerCombinedCleaned[[#This Row],[ID]], Table4[ID], Table4[Teas], "Not Found", 0)</f>
        <v>1238</v>
      </c>
      <c r="L645" s="16">
        <f>_xlfn.XLOOKUP(CustomerCombinedCleaned[[#This Row],[ID]], Table4[ID], Table4[Fruits], "Not Found", 0)</f>
        <v>0</v>
      </c>
      <c r="M645" s="16">
        <f>_xlfn.XLOOKUP(CustomerCombinedCleaned[[#This Row],[ID]], Table4[ID], Table4[Meats], "Not Found", 0)</f>
        <v>78</v>
      </c>
      <c r="N645" s="16">
        <f>_xlfn.XLOOKUP(CustomerCombinedCleaned[[#This Row],[ID]], Table4[ID], Table4[Seafood], "Not Found", 0)</f>
        <v>0</v>
      </c>
      <c r="O645" s="16">
        <f>_xlfn.XLOOKUP(CustomerCombinedCleaned[[#This Row],[ID]], Table4[ID], Table4[Sweets], "Not Found", 0)</f>
        <v>0</v>
      </c>
      <c r="P645" s="16">
        <f>_xlfn.XLOOKUP(CustomerCombinedCleaned[[#This Row],[ID]], Table4[ID], Table4[Premium], "Not Found", 0)</f>
        <v>63</v>
      </c>
      <c r="Q645" s="16">
        <f>_xlfn.XLOOKUP(CustomerCombinedCleaned[[#This Row],[ID]], Table4[ID], Table4[Regular], "Not Found", 0)</f>
        <v>1253</v>
      </c>
      <c r="R645" s="16">
        <f>_xlfn.XLOOKUP(CustomerCombinedCleaned[[#This Row],[ID]], Table4[ID], Table4[Deals], "Not Found", 0)</f>
        <v>6</v>
      </c>
      <c r="S645" s="16">
        <f>_xlfn.XLOOKUP(CustomerCombinedCleaned[[#This Row],[ID]], Table4[ID], Table4[Website], "Not Found", 0)</f>
        <v>7</v>
      </c>
      <c r="T645" s="16">
        <f>_xlfn.XLOOKUP(CustomerCombinedCleaned[[#This Row],[ID]], Table4[ID], Table4[Catalog], "Not Found", 0)</f>
        <v>1</v>
      </c>
      <c r="U645" s="16">
        <f>_xlfn.XLOOKUP(CustomerCombinedCleaned[[#This Row],[ID]], Table4[ID], Table4[Store], "Not Found", 0)</f>
        <v>7</v>
      </c>
      <c r="V645" s="16">
        <f>_xlfn.XLOOKUP(CustomerCombinedCleaned[[#This Row],[ID]], Table4[ID], Table4[Visits], "Not Found", 0)</f>
        <v>7</v>
      </c>
      <c r="W645" s="16">
        <f>_xlfn.XLOOKUP(CustomerCombinedCleaned[[#This Row],[ID]], Table2[ID],Table2[Complaint], "Not Found", 0 )</f>
        <v>0</v>
      </c>
      <c r="X645" s="16">
        <f>_xlfn.XLOOKUP(CustomerCombinedCleaned[[#This Row],[ID]], Table2[ID],Table2[Pilot], "Not Found", 0 )</f>
        <v>0</v>
      </c>
      <c r="Y645" s="16">
        <f>_xlfn.XLOOKUP(CustomerCombinedCleaned[[#This Row],[ID]], Table2[ID],Table2[MC1], "Not Found", 0 )</f>
        <v>0</v>
      </c>
      <c r="Z645" s="16">
        <f>_xlfn.XLOOKUP(CustomerCombinedCleaned[[#This Row],[ID]], Table2[ID],Table2[MC2], "Not Found", 0 )</f>
        <v>0</v>
      </c>
      <c r="AA645" s="16">
        <f>_xlfn.XLOOKUP(CustomerCombinedCleaned[[#This Row],[ID]], Table2[ID],Table2[MC3], "Not Found", 0 )</f>
        <v>0</v>
      </c>
      <c r="AB645" s="16">
        <f>_xlfn.XLOOKUP(CustomerCombinedCleaned[[#This Row],[ID]], Table2[ID],Table2[MC4], "Not Found", 0 )</f>
        <v>0</v>
      </c>
      <c r="AC645" s="16">
        <f>_xlfn.XLOOKUP(CustomerCombinedCleaned[[#This Row],[ID]], Table2[ID],Table2[MC5], "Not Found", 0 )</f>
        <v>0</v>
      </c>
    </row>
    <row r="646" spans="1:29" x14ac:dyDescent="0.3">
      <c r="A646" s="18">
        <v>2653</v>
      </c>
      <c r="B646" s="16">
        <v>149544</v>
      </c>
      <c r="C646" s="16">
        <v>1</v>
      </c>
      <c r="D646" s="16">
        <v>0</v>
      </c>
      <c r="E646" s="16">
        <v>44</v>
      </c>
      <c r="F646" s="17" t="s">
        <v>6</v>
      </c>
      <c r="G646" s="17" t="s">
        <v>13</v>
      </c>
      <c r="H646" s="3" t="s">
        <v>311</v>
      </c>
      <c r="I646" s="5" t="s">
        <v>437</v>
      </c>
      <c r="J646" s="16">
        <f>_xlfn.XLOOKUP(CustomerCombinedCleaned[[#This Row],[ID]], Table4[ID], Table4[Recency], "Not Found", 0)</f>
        <v>0</v>
      </c>
      <c r="K646" s="16">
        <f>_xlfn.XLOOKUP(CustomerCombinedCleaned[[#This Row],[ID]], Table4[ID], Table4[Teas], "Not Found", 0)</f>
        <v>930</v>
      </c>
      <c r="L646" s="16">
        <f>_xlfn.XLOOKUP(CustomerCombinedCleaned[[#This Row],[ID]], Table4[ID], Table4[Fruits], "Not Found", 0)</f>
        <v>0</v>
      </c>
      <c r="M646" s="16">
        <f>_xlfn.XLOOKUP(CustomerCombinedCleaned[[#This Row],[ID]], Table4[ID], Table4[Meats], "Not Found", 0)</f>
        <v>220</v>
      </c>
      <c r="N646" s="16">
        <f>_xlfn.XLOOKUP(CustomerCombinedCleaned[[#This Row],[ID]], Table4[ID], Table4[Seafood], "Not Found", 0)</f>
        <v>0</v>
      </c>
      <c r="O646" s="16">
        <f>_xlfn.XLOOKUP(CustomerCombinedCleaned[[#This Row],[ID]], Table4[ID], Table4[Sweets], "Not Found", 0)</f>
        <v>0</v>
      </c>
      <c r="P646" s="16">
        <f>_xlfn.XLOOKUP(CustomerCombinedCleaned[[#This Row],[ID]], Table4[ID], Table4[Premium], "Not Found", 0)</f>
        <v>69</v>
      </c>
      <c r="Q646" s="16">
        <f>_xlfn.XLOOKUP(CustomerCombinedCleaned[[#This Row],[ID]], Table4[ID], Table4[Regular], "Not Found", 0)</f>
        <v>1081</v>
      </c>
      <c r="R646" s="16">
        <f>_xlfn.XLOOKUP(CustomerCombinedCleaned[[#This Row],[ID]], Table4[ID], Table4[Deals], "Not Found", 0)</f>
        <v>2</v>
      </c>
      <c r="S646" s="16">
        <f>_xlfn.XLOOKUP(CustomerCombinedCleaned[[#This Row],[ID]], Table4[ID], Table4[Website], "Not Found", 0)</f>
        <v>5</v>
      </c>
      <c r="T646" s="16">
        <f>_xlfn.XLOOKUP(CustomerCombinedCleaned[[#This Row],[ID]], Table4[ID], Table4[Catalog], "Not Found", 0)</f>
        <v>1</v>
      </c>
      <c r="U646" s="16">
        <f>_xlfn.XLOOKUP(CustomerCombinedCleaned[[#This Row],[ID]], Table4[ID], Table4[Store], "Not Found", 0)</f>
        <v>8</v>
      </c>
      <c r="V646" s="16">
        <f>_xlfn.XLOOKUP(CustomerCombinedCleaned[[#This Row],[ID]], Table4[ID], Table4[Visits], "Not Found", 0)</f>
        <v>7</v>
      </c>
      <c r="W646" s="16">
        <f>_xlfn.XLOOKUP(CustomerCombinedCleaned[[#This Row],[ID]], Table2[ID],Table2[Complaint], "Not Found", 0 )</f>
        <v>0</v>
      </c>
      <c r="X646" s="16">
        <f>_xlfn.XLOOKUP(CustomerCombinedCleaned[[#This Row],[ID]], Table2[ID],Table2[Pilot], "Not Found", 0 )</f>
        <v>0</v>
      </c>
      <c r="Y646" s="16">
        <f>_xlfn.XLOOKUP(CustomerCombinedCleaned[[#This Row],[ID]], Table2[ID],Table2[MC1], "Not Found", 0 )</f>
        <v>0</v>
      </c>
      <c r="Z646" s="16">
        <f>_xlfn.XLOOKUP(CustomerCombinedCleaned[[#This Row],[ID]], Table2[ID],Table2[MC2], "Not Found", 0 )</f>
        <v>0</v>
      </c>
      <c r="AA646" s="16">
        <f>_xlfn.XLOOKUP(CustomerCombinedCleaned[[#This Row],[ID]], Table2[ID],Table2[MC3], "Not Found", 0 )</f>
        <v>0</v>
      </c>
      <c r="AB646" s="16">
        <f>_xlfn.XLOOKUP(CustomerCombinedCleaned[[#This Row],[ID]], Table2[ID],Table2[MC4], "Not Found", 0 )</f>
        <v>0</v>
      </c>
      <c r="AC646" s="16">
        <f>_xlfn.XLOOKUP(CustomerCombinedCleaned[[#This Row],[ID]], Table2[ID],Table2[MC5], "Not Found", 0 )</f>
        <v>0</v>
      </c>
    </row>
    <row r="647" spans="1:29" x14ac:dyDescent="0.3">
      <c r="A647" s="18">
        <v>1992</v>
      </c>
      <c r="B647" s="16">
        <v>149187</v>
      </c>
      <c r="C647" s="16">
        <v>0</v>
      </c>
      <c r="D647" s="16">
        <v>1</v>
      </c>
      <c r="E647" s="16">
        <v>44</v>
      </c>
      <c r="F647" s="17" t="s">
        <v>8</v>
      </c>
      <c r="G647" s="17" t="s">
        <v>13</v>
      </c>
      <c r="H647" s="3" t="s">
        <v>119</v>
      </c>
      <c r="I647" s="5" t="s">
        <v>436</v>
      </c>
      <c r="J647" s="16">
        <f>_xlfn.XLOOKUP(CustomerCombinedCleaned[[#This Row],[ID]], Table4[ID], Table4[Recency], "Not Found", 0)</f>
        <v>63</v>
      </c>
      <c r="K647" s="16">
        <f>_xlfn.XLOOKUP(CustomerCombinedCleaned[[#This Row],[ID]], Table4[ID], Table4[Teas], "Not Found", 0)</f>
        <v>246</v>
      </c>
      <c r="L647" s="16">
        <f>_xlfn.XLOOKUP(CustomerCombinedCleaned[[#This Row],[ID]], Table4[ID], Table4[Fruits], "Not Found", 0)</f>
        <v>3</v>
      </c>
      <c r="M647" s="16">
        <f>_xlfn.XLOOKUP(CustomerCombinedCleaned[[#This Row],[ID]], Table4[ID], Table4[Meats], "Not Found", 0)</f>
        <v>94</v>
      </c>
      <c r="N647" s="16">
        <f>_xlfn.XLOOKUP(CustomerCombinedCleaned[[#This Row],[ID]], Table4[ID], Table4[Seafood], "Not Found", 0)</f>
        <v>6</v>
      </c>
      <c r="O647" s="16">
        <f>_xlfn.XLOOKUP(CustomerCombinedCleaned[[#This Row],[ID]], Table4[ID], Table4[Sweets], "Not Found", 0)</f>
        <v>3</v>
      </c>
      <c r="P647" s="16">
        <f>_xlfn.XLOOKUP(CustomerCombinedCleaned[[#This Row],[ID]], Table4[ID], Table4[Premium], "Not Found", 0)</f>
        <v>0</v>
      </c>
      <c r="Q647" s="16">
        <f>_xlfn.XLOOKUP(CustomerCombinedCleaned[[#This Row],[ID]], Table4[ID], Table4[Regular], "Not Found", 0)</f>
        <v>352</v>
      </c>
      <c r="R647" s="16">
        <f>_xlfn.XLOOKUP(CustomerCombinedCleaned[[#This Row],[ID]], Table4[ID], Table4[Deals], "Not Found", 0)</f>
        <v>1</v>
      </c>
      <c r="S647" s="16">
        <f>_xlfn.XLOOKUP(CustomerCombinedCleaned[[#This Row],[ID]], Table4[ID], Table4[Website], "Not Found", 0)</f>
        <v>1</v>
      </c>
      <c r="T647" s="16">
        <f>_xlfn.XLOOKUP(CustomerCombinedCleaned[[#This Row],[ID]], Table4[ID], Table4[Catalog], "Not Found", 0)</f>
        <v>1</v>
      </c>
      <c r="U647" s="16">
        <f>_xlfn.XLOOKUP(CustomerCombinedCleaned[[#This Row],[ID]], Table4[ID], Table4[Store], "Not Found", 0)</f>
        <v>5</v>
      </c>
      <c r="V647" s="16">
        <f>_xlfn.XLOOKUP(CustomerCombinedCleaned[[#This Row],[ID]], Table4[ID], Table4[Visits], "Not Found", 0)</f>
        <v>2</v>
      </c>
      <c r="W647" s="16">
        <f>_xlfn.XLOOKUP(CustomerCombinedCleaned[[#This Row],[ID]], Table2[ID],Table2[Complaint], "Not Found", 0 )</f>
        <v>0</v>
      </c>
      <c r="X647" s="16">
        <f>_xlfn.XLOOKUP(CustomerCombinedCleaned[[#This Row],[ID]], Table2[ID],Table2[Pilot], "Not Found", 0 )</f>
        <v>0</v>
      </c>
      <c r="Y647" s="16">
        <f>_xlfn.XLOOKUP(CustomerCombinedCleaned[[#This Row],[ID]], Table2[ID],Table2[MC1], "Not Found", 0 )</f>
        <v>0</v>
      </c>
      <c r="Z647" s="16">
        <f>_xlfn.XLOOKUP(CustomerCombinedCleaned[[#This Row],[ID]], Table2[ID],Table2[MC2], "Not Found", 0 )</f>
        <v>0</v>
      </c>
      <c r="AA647" s="16">
        <f>_xlfn.XLOOKUP(CustomerCombinedCleaned[[#This Row],[ID]], Table2[ID],Table2[MC3], "Not Found", 0 )</f>
        <v>0</v>
      </c>
      <c r="AB647" s="16">
        <f>_xlfn.XLOOKUP(CustomerCombinedCleaned[[#This Row],[ID]], Table2[ID],Table2[MC4], "Not Found", 0 )</f>
        <v>0</v>
      </c>
      <c r="AC647" s="16">
        <f>_xlfn.XLOOKUP(CustomerCombinedCleaned[[#This Row],[ID]], Table2[ID],Table2[MC5], "Not Found", 0 )</f>
        <v>0</v>
      </c>
    </row>
    <row r="648" spans="1:29" x14ac:dyDescent="0.3">
      <c r="A648" s="18">
        <v>2346</v>
      </c>
      <c r="B648" s="16">
        <v>147025</v>
      </c>
      <c r="C648" s="16">
        <v>0</v>
      </c>
      <c r="D648" s="16">
        <v>1</v>
      </c>
      <c r="E648" s="16">
        <v>44</v>
      </c>
      <c r="F648" s="17" t="s">
        <v>7</v>
      </c>
      <c r="G648" s="17" t="s">
        <v>11</v>
      </c>
      <c r="H648" s="3" t="s">
        <v>156</v>
      </c>
      <c r="I648" s="5" t="s">
        <v>436</v>
      </c>
      <c r="J648" s="16">
        <f>_xlfn.XLOOKUP(CustomerCombinedCleaned[[#This Row],[ID]], Table4[ID], Table4[Recency], "Not Found", 0)</f>
        <v>52</v>
      </c>
      <c r="K648" s="16">
        <f>_xlfn.XLOOKUP(CustomerCombinedCleaned[[#This Row],[ID]], Table4[ID], Table4[Teas], "Not Found", 0)</f>
        <v>794</v>
      </c>
      <c r="L648" s="16">
        <f>_xlfn.XLOOKUP(CustomerCombinedCleaned[[#This Row],[ID]], Table4[ID], Table4[Fruits], "Not Found", 0)</f>
        <v>22</v>
      </c>
      <c r="M648" s="16">
        <f>_xlfn.XLOOKUP(CustomerCombinedCleaned[[#This Row],[ID]], Table4[ID], Table4[Meats], "Not Found", 0)</f>
        <v>338</v>
      </c>
      <c r="N648" s="16">
        <f>_xlfn.XLOOKUP(CustomerCombinedCleaned[[#This Row],[ID]], Table4[ID], Table4[Seafood], "Not Found", 0)</f>
        <v>63</v>
      </c>
      <c r="O648" s="16">
        <f>_xlfn.XLOOKUP(CustomerCombinedCleaned[[#This Row],[ID]], Table4[ID], Table4[Sweets], "Not Found", 0)</f>
        <v>0</v>
      </c>
      <c r="P648" s="16">
        <f>_xlfn.XLOOKUP(CustomerCombinedCleaned[[#This Row],[ID]], Table4[ID], Table4[Premium], "Not Found", 0)</f>
        <v>81</v>
      </c>
      <c r="Q648" s="16">
        <f>_xlfn.XLOOKUP(CustomerCombinedCleaned[[#This Row],[ID]], Table4[ID], Table4[Regular], "Not Found", 0)</f>
        <v>1135</v>
      </c>
      <c r="R648" s="16">
        <f>_xlfn.XLOOKUP(CustomerCombinedCleaned[[#This Row],[ID]], Table4[ID], Table4[Deals], "Not Found", 0)</f>
        <v>3</v>
      </c>
      <c r="S648" s="16">
        <f>_xlfn.XLOOKUP(CustomerCombinedCleaned[[#This Row],[ID]], Table4[ID], Table4[Website], "Not Found", 0)</f>
        <v>6</v>
      </c>
      <c r="T648" s="16">
        <f>_xlfn.XLOOKUP(CustomerCombinedCleaned[[#This Row],[ID]], Table4[ID], Table4[Catalog], "Not Found", 0)</f>
        <v>3</v>
      </c>
      <c r="U648" s="16">
        <f>_xlfn.XLOOKUP(CustomerCombinedCleaned[[#This Row],[ID]], Table4[ID], Table4[Store], "Not Found", 0)</f>
        <v>5</v>
      </c>
      <c r="V648" s="16">
        <f>_xlfn.XLOOKUP(CustomerCombinedCleaned[[#This Row],[ID]], Table4[ID], Table4[Visits], "Not Found", 0)</f>
        <v>6</v>
      </c>
      <c r="W648" s="16">
        <f>_xlfn.XLOOKUP(CustomerCombinedCleaned[[#This Row],[ID]], Table2[ID],Table2[Complaint], "Not Found", 0 )</f>
        <v>0</v>
      </c>
      <c r="X648" s="16">
        <f>_xlfn.XLOOKUP(CustomerCombinedCleaned[[#This Row],[ID]], Table2[ID],Table2[Pilot], "Not Found", 0 )</f>
        <v>0</v>
      </c>
      <c r="Y648" s="16">
        <f>_xlfn.XLOOKUP(CustomerCombinedCleaned[[#This Row],[ID]], Table2[ID],Table2[MC1], "Not Found", 0 )</f>
        <v>0</v>
      </c>
      <c r="Z648" s="16">
        <f>_xlfn.XLOOKUP(CustomerCombinedCleaned[[#This Row],[ID]], Table2[ID],Table2[MC2], "Not Found", 0 )</f>
        <v>0</v>
      </c>
      <c r="AA648" s="16">
        <f>_xlfn.XLOOKUP(CustomerCombinedCleaned[[#This Row],[ID]], Table2[ID],Table2[MC3], "Not Found", 0 )</f>
        <v>0</v>
      </c>
      <c r="AB648" s="16">
        <f>_xlfn.XLOOKUP(CustomerCombinedCleaned[[#This Row],[ID]], Table2[ID],Table2[MC4], "Not Found", 0 )</f>
        <v>0</v>
      </c>
      <c r="AC648" s="16">
        <f>_xlfn.XLOOKUP(CustomerCombinedCleaned[[#This Row],[ID]], Table2[ID],Table2[MC5], "Not Found", 0 )</f>
        <v>0</v>
      </c>
    </row>
    <row r="649" spans="1:29" x14ac:dyDescent="0.3">
      <c r="A649" s="18">
        <v>1475</v>
      </c>
      <c r="B649" s="16">
        <v>146310</v>
      </c>
      <c r="C649" s="16">
        <v>1</v>
      </c>
      <c r="D649" s="16">
        <v>0</v>
      </c>
      <c r="E649" s="16">
        <v>44</v>
      </c>
      <c r="F649" s="17" t="s">
        <v>5</v>
      </c>
      <c r="G649" s="17" t="s">
        <v>11</v>
      </c>
      <c r="H649" s="3" t="s">
        <v>541</v>
      </c>
      <c r="I649" s="5" t="s">
        <v>434</v>
      </c>
      <c r="J649" s="16">
        <f>_xlfn.XLOOKUP(CustomerCombinedCleaned[[#This Row],[ID]], Table4[ID], Table4[Recency], "Not Found", 0)</f>
        <v>99</v>
      </c>
      <c r="K649" s="16">
        <f>_xlfn.XLOOKUP(CustomerCombinedCleaned[[#This Row],[ID]], Table4[ID], Table4[Teas], "Not Found", 0)</f>
        <v>584</v>
      </c>
      <c r="L649" s="16">
        <f>_xlfn.XLOOKUP(CustomerCombinedCleaned[[#This Row],[ID]], Table4[ID], Table4[Fruits], "Not Found", 0)</f>
        <v>6</v>
      </c>
      <c r="M649" s="16">
        <f>_xlfn.XLOOKUP(CustomerCombinedCleaned[[#This Row],[ID]], Table4[ID], Table4[Meats], "Not Found", 0)</f>
        <v>278</v>
      </c>
      <c r="N649" s="16">
        <f>_xlfn.XLOOKUP(CustomerCombinedCleaned[[#This Row],[ID]], Table4[ID], Table4[Seafood], "Not Found", 0)</f>
        <v>47</v>
      </c>
      <c r="O649" s="16">
        <f>_xlfn.XLOOKUP(CustomerCombinedCleaned[[#This Row],[ID]], Table4[ID], Table4[Sweets], "Not Found", 0)</f>
        <v>16</v>
      </c>
      <c r="P649" s="16">
        <f>_xlfn.XLOOKUP(CustomerCombinedCleaned[[#This Row],[ID]], Table4[ID], Table4[Premium], "Not Found", 0)</f>
        <v>44</v>
      </c>
      <c r="Q649" s="16">
        <f>_xlfn.XLOOKUP(CustomerCombinedCleaned[[#This Row],[ID]], Table4[ID], Table4[Regular], "Not Found", 0)</f>
        <v>888</v>
      </c>
      <c r="R649" s="16">
        <f>_xlfn.XLOOKUP(CustomerCombinedCleaned[[#This Row],[ID]], Table4[ID], Table4[Deals], "Not Found", 0)</f>
        <v>2</v>
      </c>
      <c r="S649" s="16">
        <f>_xlfn.XLOOKUP(CustomerCombinedCleaned[[#This Row],[ID]], Table4[ID], Table4[Website], "Not Found", 0)</f>
        <v>6</v>
      </c>
      <c r="T649" s="16">
        <f>_xlfn.XLOOKUP(CustomerCombinedCleaned[[#This Row],[ID]], Table4[ID], Table4[Catalog], "Not Found", 0)</f>
        <v>1</v>
      </c>
      <c r="U649" s="16">
        <f>_xlfn.XLOOKUP(CustomerCombinedCleaned[[#This Row],[ID]], Table4[ID], Table4[Store], "Not Found", 0)</f>
        <v>5</v>
      </c>
      <c r="V649" s="16">
        <f>_xlfn.XLOOKUP(CustomerCombinedCleaned[[#This Row],[ID]], Table4[ID], Table4[Visits], "Not Found", 0)</f>
        <v>8</v>
      </c>
      <c r="W649" s="16">
        <f>_xlfn.XLOOKUP(CustomerCombinedCleaned[[#This Row],[ID]], Table2[ID],Table2[Complaint], "Not Found", 0 )</f>
        <v>0</v>
      </c>
      <c r="X649" s="16">
        <f>_xlfn.XLOOKUP(CustomerCombinedCleaned[[#This Row],[ID]], Table2[ID],Table2[Pilot], "Not Found", 0 )</f>
        <v>0</v>
      </c>
      <c r="Y649" s="16">
        <f>_xlfn.XLOOKUP(CustomerCombinedCleaned[[#This Row],[ID]], Table2[ID],Table2[MC1], "Not Found", 0 )</f>
        <v>0</v>
      </c>
      <c r="Z649" s="16">
        <f>_xlfn.XLOOKUP(CustomerCombinedCleaned[[#This Row],[ID]], Table2[ID],Table2[MC2], "Not Found", 0 )</f>
        <v>0</v>
      </c>
      <c r="AA649" s="16">
        <f>_xlfn.XLOOKUP(CustomerCombinedCleaned[[#This Row],[ID]], Table2[ID],Table2[MC3], "Not Found", 0 )</f>
        <v>0</v>
      </c>
      <c r="AB649" s="16">
        <f>_xlfn.XLOOKUP(CustomerCombinedCleaned[[#This Row],[ID]], Table2[ID],Table2[MC4], "Not Found", 0 )</f>
        <v>0</v>
      </c>
      <c r="AC649" s="16">
        <f>_xlfn.XLOOKUP(CustomerCombinedCleaned[[#This Row],[ID]], Table2[ID],Table2[MC5], "Not Found", 0 )</f>
        <v>0</v>
      </c>
    </row>
    <row r="650" spans="1:29" x14ac:dyDescent="0.3">
      <c r="A650" s="18">
        <v>1935</v>
      </c>
      <c r="B650" s="16">
        <v>146106</v>
      </c>
      <c r="C650" s="16">
        <v>1</v>
      </c>
      <c r="D650" s="16">
        <v>1</v>
      </c>
      <c r="E650" s="16">
        <v>44</v>
      </c>
      <c r="F650" s="17" t="s">
        <v>8</v>
      </c>
      <c r="G650" s="17" t="s">
        <v>12</v>
      </c>
      <c r="H650" s="3" t="s">
        <v>53</v>
      </c>
      <c r="I650" s="5" t="s">
        <v>435</v>
      </c>
      <c r="J650" s="16">
        <f>_xlfn.XLOOKUP(CustomerCombinedCleaned[[#This Row],[ID]], Table4[ID], Table4[Recency], "Not Found", 0)</f>
        <v>84</v>
      </c>
      <c r="K650" s="16">
        <f>_xlfn.XLOOKUP(CustomerCombinedCleaned[[#This Row],[ID]], Table4[ID], Table4[Teas], "Not Found", 0)</f>
        <v>95</v>
      </c>
      <c r="L650" s="16">
        <f>_xlfn.XLOOKUP(CustomerCombinedCleaned[[#This Row],[ID]], Table4[ID], Table4[Fruits], "Not Found", 0)</f>
        <v>0</v>
      </c>
      <c r="M650" s="16">
        <f>_xlfn.XLOOKUP(CustomerCombinedCleaned[[#This Row],[ID]], Table4[ID], Table4[Meats], "Not Found", 0)</f>
        <v>25</v>
      </c>
      <c r="N650" s="16">
        <f>_xlfn.XLOOKUP(CustomerCombinedCleaned[[#This Row],[ID]], Table4[ID], Table4[Seafood], "Not Found", 0)</f>
        <v>6</v>
      </c>
      <c r="O650" s="16">
        <f>_xlfn.XLOOKUP(CustomerCombinedCleaned[[#This Row],[ID]], Table4[ID], Table4[Sweets], "Not Found", 0)</f>
        <v>0</v>
      </c>
      <c r="P650" s="16">
        <f>_xlfn.XLOOKUP(CustomerCombinedCleaned[[#This Row],[ID]], Table4[ID], Table4[Premium], "Not Found", 0)</f>
        <v>44</v>
      </c>
      <c r="Q650" s="16">
        <f>_xlfn.XLOOKUP(CustomerCombinedCleaned[[#This Row],[ID]], Table4[ID], Table4[Regular], "Not Found", 0)</f>
        <v>82</v>
      </c>
      <c r="R650" s="16">
        <f>_xlfn.XLOOKUP(CustomerCombinedCleaned[[#This Row],[ID]], Table4[ID], Table4[Deals], "Not Found", 0)</f>
        <v>1</v>
      </c>
      <c r="S650" s="16">
        <f>_xlfn.XLOOKUP(CustomerCombinedCleaned[[#This Row],[ID]], Table4[ID], Table4[Website], "Not Found", 0)</f>
        <v>1</v>
      </c>
      <c r="T650" s="16">
        <f>_xlfn.XLOOKUP(CustomerCombinedCleaned[[#This Row],[ID]], Table4[ID], Table4[Catalog], "Not Found", 0)</f>
        <v>1</v>
      </c>
      <c r="U650" s="16">
        <f>_xlfn.XLOOKUP(CustomerCombinedCleaned[[#This Row],[ID]], Table4[ID], Table4[Store], "Not Found", 0)</f>
        <v>2</v>
      </c>
      <c r="V650" s="16">
        <f>_xlfn.XLOOKUP(CustomerCombinedCleaned[[#This Row],[ID]], Table4[ID], Table4[Visits], "Not Found", 0)</f>
        <v>6</v>
      </c>
      <c r="W650" s="16">
        <f>_xlfn.XLOOKUP(CustomerCombinedCleaned[[#This Row],[ID]], Table2[ID],Table2[Complaint], "Not Found", 0 )</f>
        <v>0</v>
      </c>
      <c r="X650" s="16">
        <f>_xlfn.XLOOKUP(CustomerCombinedCleaned[[#This Row],[ID]], Table2[ID],Table2[Pilot], "Not Found", 0 )</f>
        <v>0</v>
      </c>
      <c r="Y650" s="16">
        <f>_xlfn.XLOOKUP(CustomerCombinedCleaned[[#This Row],[ID]], Table2[ID],Table2[MC1], "Not Found", 0 )</f>
        <v>0</v>
      </c>
      <c r="Z650" s="16">
        <f>_xlfn.XLOOKUP(CustomerCombinedCleaned[[#This Row],[ID]], Table2[ID],Table2[MC2], "Not Found", 0 )</f>
        <v>0</v>
      </c>
      <c r="AA650" s="16">
        <f>_xlfn.XLOOKUP(CustomerCombinedCleaned[[#This Row],[ID]], Table2[ID],Table2[MC3], "Not Found", 0 )</f>
        <v>0</v>
      </c>
      <c r="AB650" s="16">
        <f>_xlfn.XLOOKUP(CustomerCombinedCleaned[[#This Row],[ID]], Table2[ID],Table2[MC4], "Not Found", 0 )</f>
        <v>0</v>
      </c>
      <c r="AC650" s="16">
        <f>_xlfn.XLOOKUP(CustomerCombinedCleaned[[#This Row],[ID]], Table2[ID],Table2[MC5], "Not Found", 0 )</f>
        <v>0</v>
      </c>
    </row>
    <row r="651" spans="1:29" x14ac:dyDescent="0.3">
      <c r="A651" s="18">
        <v>2137</v>
      </c>
      <c r="B651" s="16">
        <v>146049</v>
      </c>
      <c r="C651" s="16">
        <v>1</v>
      </c>
      <c r="D651" s="16">
        <v>1</v>
      </c>
      <c r="E651" s="16">
        <v>44</v>
      </c>
      <c r="F651" s="17" t="s">
        <v>6</v>
      </c>
      <c r="G651" s="17" t="s">
        <v>11</v>
      </c>
      <c r="H651" s="3" t="s">
        <v>215</v>
      </c>
      <c r="I651" s="5" t="s">
        <v>437</v>
      </c>
      <c r="J651" s="16">
        <f>_xlfn.XLOOKUP(CustomerCombinedCleaned[[#This Row],[ID]], Table4[ID], Table4[Recency], "Not Found", 0)</f>
        <v>11</v>
      </c>
      <c r="K651" s="16">
        <f>_xlfn.XLOOKUP(CustomerCombinedCleaned[[#This Row],[ID]], Table4[ID], Table4[Teas], "Not Found", 0)</f>
        <v>1085</v>
      </c>
      <c r="L651" s="16">
        <f>_xlfn.XLOOKUP(CustomerCombinedCleaned[[#This Row],[ID]], Table4[ID], Table4[Fruits], "Not Found", 0)</f>
        <v>29</v>
      </c>
      <c r="M651" s="16">
        <f>_xlfn.XLOOKUP(CustomerCombinedCleaned[[#This Row],[ID]], Table4[ID], Table4[Meats], "Not Found", 0)</f>
        <v>355</v>
      </c>
      <c r="N651" s="16">
        <f>_xlfn.XLOOKUP(CustomerCombinedCleaned[[#This Row],[ID]], Table4[ID], Table4[Seafood], "Not Found", 0)</f>
        <v>60</v>
      </c>
      <c r="O651" s="16">
        <f>_xlfn.XLOOKUP(CustomerCombinedCleaned[[#This Row],[ID]], Table4[ID], Table4[Sweets], "Not Found", 0)</f>
        <v>44</v>
      </c>
      <c r="P651" s="16">
        <f>_xlfn.XLOOKUP(CustomerCombinedCleaned[[#This Row],[ID]], Table4[ID], Table4[Premium], "Not Found", 0)</f>
        <v>60</v>
      </c>
      <c r="Q651" s="16">
        <f>_xlfn.XLOOKUP(CustomerCombinedCleaned[[#This Row],[ID]], Table4[ID], Table4[Regular], "Not Found", 0)</f>
        <v>1513</v>
      </c>
      <c r="R651" s="16">
        <f>_xlfn.XLOOKUP(CustomerCombinedCleaned[[#This Row],[ID]], Table4[ID], Table4[Deals], "Not Found", 0)</f>
        <v>10</v>
      </c>
      <c r="S651" s="16">
        <f>_xlfn.XLOOKUP(CustomerCombinedCleaned[[#This Row],[ID]], Table4[ID], Table4[Website], "Not Found", 0)</f>
        <v>5</v>
      </c>
      <c r="T651" s="16">
        <f>_xlfn.XLOOKUP(CustomerCombinedCleaned[[#This Row],[ID]], Table4[ID], Table4[Catalog], "Not Found", 0)</f>
        <v>2</v>
      </c>
      <c r="U651" s="16">
        <f>_xlfn.XLOOKUP(CustomerCombinedCleaned[[#This Row],[ID]], Table4[ID], Table4[Store], "Not Found", 0)</f>
        <v>9</v>
      </c>
      <c r="V651" s="16">
        <f>_xlfn.XLOOKUP(CustomerCombinedCleaned[[#This Row],[ID]], Table4[ID], Table4[Visits], "Not Found", 0)</f>
        <v>7</v>
      </c>
      <c r="W651" s="16">
        <f>_xlfn.XLOOKUP(CustomerCombinedCleaned[[#This Row],[ID]], Table2[ID],Table2[Complaint], "Not Found", 0 )</f>
        <v>0</v>
      </c>
      <c r="X651" s="16">
        <f>_xlfn.XLOOKUP(CustomerCombinedCleaned[[#This Row],[ID]], Table2[ID],Table2[Pilot], "Not Found", 0 )</f>
        <v>1</v>
      </c>
      <c r="Y651" s="16">
        <f>_xlfn.XLOOKUP(CustomerCombinedCleaned[[#This Row],[ID]], Table2[ID],Table2[MC1], "Not Found", 0 )</f>
        <v>0</v>
      </c>
      <c r="Z651" s="16">
        <f>_xlfn.XLOOKUP(CustomerCombinedCleaned[[#This Row],[ID]], Table2[ID],Table2[MC2], "Not Found", 0 )</f>
        <v>0</v>
      </c>
      <c r="AA651" s="16">
        <f>_xlfn.XLOOKUP(CustomerCombinedCleaned[[#This Row],[ID]], Table2[ID],Table2[MC3], "Not Found", 0 )</f>
        <v>0</v>
      </c>
      <c r="AB651" s="16">
        <f>_xlfn.XLOOKUP(CustomerCombinedCleaned[[#This Row],[ID]], Table2[ID],Table2[MC4], "Not Found", 0 )</f>
        <v>0</v>
      </c>
      <c r="AC651" s="16">
        <f>_xlfn.XLOOKUP(CustomerCombinedCleaned[[#This Row],[ID]], Table2[ID],Table2[MC5], "Not Found", 0 )</f>
        <v>0</v>
      </c>
    </row>
    <row r="652" spans="1:29" x14ac:dyDescent="0.3">
      <c r="A652" s="18">
        <v>2756</v>
      </c>
      <c r="B652" s="16">
        <v>142473</v>
      </c>
      <c r="C652" s="16">
        <v>1</v>
      </c>
      <c r="D652" s="16">
        <v>1</v>
      </c>
      <c r="E652" s="16">
        <v>44</v>
      </c>
      <c r="F652" s="17" t="s">
        <v>7</v>
      </c>
      <c r="G652" s="17" t="s">
        <v>13</v>
      </c>
      <c r="H652" s="3" t="s">
        <v>96</v>
      </c>
      <c r="I652" s="5" t="s">
        <v>438</v>
      </c>
      <c r="J652" s="16">
        <f>_xlfn.XLOOKUP(CustomerCombinedCleaned[[#This Row],[ID]], Table4[ID], Table4[Recency], "Not Found", 0)</f>
        <v>72</v>
      </c>
      <c r="K652" s="16">
        <f>_xlfn.XLOOKUP(CustomerCombinedCleaned[[#This Row],[ID]], Table4[ID], Table4[Teas], "Not Found", 0)</f>
        <v>312</v>
      </c>
      <c r="L652" s="16">
        <f>_xlfn.XLOOKUP(CustomerCombinedCleaned[[#This Row],[ID]], Table4[ID], Table4[Fruits], "Not Found", 0)</f>
        <v>3</v>
      </c>
      <c r="M652" s="16">
        <f>_xlfn.XLOOKUP(CustomerCombinedCleaned[[#This Row],[ID]], Table4[ID], Table4[Meats], "Not Found", 0)</f>
        <v>70</v>
      </c>
      <c r="N652" s="16">
        <f>_xlfn.XLOOKUP(CustomerCombinedCleaned[[#This Row],[ID]], Table4[ID], Table4[Seafood], "Not Found", 0)</f>
        <v>0</v>
      </c>
      <c r="O652" s="16">
        <f>_xlfn.XLOOKUP(CustomerCombinedCleaned[[#This Row],[ID]], Table4[ID], Table4[Sweets], "Not Found", 0)</f>
        <v>13</v>
      </c>
      <c r="P652" s="16">
        <f>_xlfn.XLOOKUP(CustomerCombinedCleaned[[#This Row],[ID]], Table4[ID], Table4[Premium], "Not Found", 0)</f>
        <v>84</v>
      </c>
      <c r="Q652" s="16">
        <f>_xlfn.XLOOKUP(CustomerCombinedCleaned[[#This Row],[ID]], Table4[ID], Table4[Regular], "Not Found", 0)</f>
        <v>315</v>
      </c>
      <c r="R652" s="16">
        <f>_xlfn.XLOOKUP(CustomerCombinedCleaned[[#This Row],[ID]], Table4[ID], Table4[Deals], "Not Found", 0)</f>
        <v>3</v>
      </c>
      <c r="S652" s="16">
        <f>_xlfn.XLOOKUP(CustomerCombinedCleaned[[#This Row],[ID]], Table4[ID], Table4[Website], "Not Found", 0)</f>
        <v>2</v>
      </c>
      <c r="T652" s="16">
        <f>_xlfn.XLOOKUP(CustomerCombinedCleaned[[#This Row],[ID]], Table4[ID], Table4[Catalog], "Not Found", 0)</f>
        <v>1</v>
      </c>
      <c r="U652" s="16">
        <f>_xlfn.XLOOKUP(CustomerCombinedCleaned[[#This Row],[ID]], Table4[ID], Table4[Store], "Not Found", 0)</f>
        <v>4</v>
      </c>
      <c r="V652" s="16">
        <f>_xlfn.XLOOKUP(CustomerCombinedCleaned[[#This Row],[ID]], Table4[ID], Table4[Visits], "Not Found", 0)</f>
        <v>5</v>
      </c>
      <c r="W652" s="16">
        <f>_xlfn.XLOOKUP(CustomerCombinedCleaned[[#This Row],[ID]], Table2[ID],Table2[Complaint], "Not Found", 0 )</f>
        <v>0</v>
      </c>
      <c r="X652" s="16">
        <f>_xlfn.XLOOKUP(CustomerCombinedCleaned[[#This Row],[ID]], Table2[ID],Table2[Pilot], "Not Found", 0 )</f>
        <v>0</v>
      </c>
      <c r="Y652" s="16">
        <f>_xlfn.XLOOKUP(CustomerCombinedCleaned[[#This Row],[ID]], Table2[ID],Table2[MC1], "Not Found", 0 )</f>
        <v>0</v>
      </c>
      <c r="Z652" s="16">
        <f>_xlfn.XLOOKUP(CustomerCombinedCleaned[[#This Row],[ID]], Table2[ID],Table2[MC2], "Not Found", 0 )</f>
        <v>0</v>
      </c>
      <c r="AA652" s="16">
        <f>_xlfn.XLOOKUP(CustomerCombinedCleaned[[#This Row],[ID]], Table2[ID],Table2[MC3], "Not Found", 0 )</f>
        <v>0</v>
      </c>
      <c r="AB652" s="16">
        <f>_xlfn.XLOOKUP(CustomerCombinedCleaned[[#This Row],[ID]], Table2[ID],Table2[MC4], "Not Found", 0 )</f>
        <v>0</v>
      </c>
      <c r="AC652" s="16">
        <f>_xlfn.XLOOKUP(CustomerCombinedCleaned[[#This Row],[ID]], Table2[ID],Table2[MC5], "Not Found", 0 )</f>
        <v>0</v>
      </c>
    </row>
    <row r="653" spans="1:29" x14ac:dyDescent="0.3">
      <c r="A653" s="18">
        <v>1770</v>
      </c>
      <c r="B653" s="16">
        <v>140780</v>
      </c>
      <c r="C653" s="16">
        <v>0</v>
      </c>
      <c r="D653" s="16">
        <v>1</v>
      </c>
      <c r="E653" s="16">
        <v>44</v>
      </c>
      <c r="F653" s="17" t="s">
        <v>5</v>
      </c>
      <c r="G653" s="17" t="s">
        <v>11</v>
      </c>
      <c r="H653" s="3" t="s">
        <v>401</v>
      </c>
      <c r="I653" s="5" t="s">
        <v>436</v>
      </c>
      <c r="J653" s="16">
        <f>_xlfn.XLOOKUP(CustomerCombinedCleaned[[#This Row],[ID]], Table4[ID], Table4[Recency], "Not Found", 0)</f>
        <v>30</v>
      </c>
      <c r="K653" s="16">
        <f>_xlfn.XLOOKUP(CustomerCombinedCleaned[[#This Row],[ID]], Table4[ID], Table4[Teas], "Not Found", 0)</f>
        <v>791</v>
      </c>
      <c r="L653" s="16">
        <f>_xlfn.XLOOKUP(CustomerCombinedCleaned[[#This Row],[ID]], Table4[ID], Table4[Fruits], "Not Found", 0)</f>
        <v>93</v>
      </c>
      <c r="M653" s="16">
        <f>_xlfn.XLOOKUP(CustomerCombinedCleaned[[#This Row],[ID]], Table4[ID], Table4[Meats], "Not Found", 0)</f>
        <v>245</v>
      </c>
      <c r="N653" s="16">
        <f>_xlfn.XLOOKUP(CustomerCombinedCleaned[[#This Row],[ID]], Table4[ID], Table4[Seafood], "Not Found", 0)</f>
        <v>45</v>
      </c>
      <c r="O653" s="16">
        <f>_xlfn.XLOOKUP(CustomerCombinedCleaned[[#This Row],[ID]], Table4[ID], Table4[Sweets], "Not Found", 0)</f>
        <v>10</v>
      </c>
      <c r="P653" s="16">
        <f>_xlfn.XLOOKUP(CustomerCombinedCleaned[[#This Row],[ID]], Table4[ID], Table4[Premium], "Not Found", 0)</f>
        <v>117</v>
      </c>
      <c r="Q653" s="16">
        <f>_xlfn.XLOOKUP(CustomerCombinedCleaned[[#This Row],[ID]], Table4[ID], Table4[Regular], "Not Found", 0)</f>
        <v>1067</v>
      </c>
      <c r="R653" s="16">
        <f>_xlfn.XLOOKUP(CustomerCombinedCleaned[[#This Row],[ID]], Table4[ID], Table4[Deals], "Not Found", 0)</f>
        <v>4</v>
      </c>
      <c r="S653" s="16">
        <f>_xlfn.XLOOKUP(CustomerCombinedCleaned[[#This Row],[ID]], Table4[ID], Table4[Website], "Not Found", 0)</f>
        <v>7</v>
      </c>
      <c r="T653" s="16">
        <f>_xlfn.XLOOKUP(CustomerCombinedCleaned[[#This Row],[ID]], Table4[ID], Table4[Catalog], "Not Found", 0)</f>
        <v>1</v>
      </c>
      <c r="U653" s="16">
        <f>_xlfn.XLOOKUP(CustomerCombinedCleaned[[#This Row],[ID]], Table4[ID], Table4[Store], "Not Found", 0)</f>
        <v>5</v>
      </c>
      <c r="V653" s="16">
        <f>_xlfn.XLOOKUP(CustomerCombinedCleaned[[#This Row],[ID]], Table4[ID], Table4[Visits], "Not Found", 0)</f>
        <v>9</v>
      </c>
      <c r="W653" s="16">
        <f>_xlfn.XLOOKUP(CustomerCombinedCleaned[[#This Row],[ID]], Table2[ID],Table2[Complaint], "Not Found", 0 )</f>
        <v>0</v>
      </c>
      <c r="X653" s="16">
        <f>_xlfn.XLOOKUP(CustomerCombinedCleaned[[#This Row],[ID]], Table2[ID],Table2[Pilot], "Not Found", 0 )</f>
        <v>0</v>
      </c>
      <c r="Y653" s="16">
        <f>_xlfn.XLOOKUP(CustomerCombinedCleaned[[#This Row],[ID]], Table2[ID],Table2[MC1], "Not Found", 0 )</f>
        <v>0</v>
      </c>
      <c r="Z653" s="16">
        <f>_xlfn.XLOOKUP(CustomerCombinedCleaned[[#This Row],[ID]], Table2[ID],Table2[MC2], "Not Found", 0 )</f>
        <v>0</v>
      </c>
      <c r="AA653" s="16">
        <f>_xlfn.XLOOKUP(CustomerCombinedCleaned[[#This Row],[ID]], Table2[ID],Table2[MC3], "Not Found", 0 )</f>
        <v>0</v>
      </c>
      <c r="AB653" s="16">
        <f>_xlfn.XLOOKUP(CustomerCombinedCleaned[[#This Row],[ID]], Table2[ID],Table2[MC4], "Not Found", 0 )</f>
        <v>0</v>
      </c>
      <c r="AC653" s="16">
        <f>_xlfn.XLOOKUP(CustomerCombinedCleaned[[#This Row],[ID]], Table2[ID],Table2[MC5], "Not Found", 0 )</f>
        <v>0</v>
      </c>
    </row>
    <row r="654" spans="1:29" x14ac:dyDescent="0.3">
      <c r="A654" s="18">
        <v>2239</v>
      </c>
      <c r="B654" s="16">
        <v>139356</v>
      </c>
      <c r="C654" s="16">
        <v>1</v>
      </c>
      <c r="D654" s="16">
        <v>1</v>
      </c>
      <c r="E654" s="16">
        <v>44</v>
      </c>
      <c r="F654" s="17" t="s">
        <v>6</v>
      </c>
      <c r="G654" s="17" t="s">
        <v>11</v>
      </c>
      <c r="H654" s="3" t="s">
        <v>82</v>
      </c>
      <c r="I654" s="5" t="s">
        <v>437</v>
      </c>
      <c r="J654" s="16">
        <f>_xlfn.XLOOKUP(CustomerCombinedCleaned[[#This Row],[ID]], Table4[ID], Table4[Recency], "Not Found", 0)</f>
        <v>21</v>
      </c>
      <c r="K654" s="16">
        <f>_xlfn.XLOOKUP(CustomerCombinedCleaned[[#This Row],[ID]], Table4[ID], Table4[Teas], "Not Found", 0)</f>
        <v>53</v>
      </c>
      <c r="L654" s="16">
        <f>_xlfn.XLOOKUP(CustomerCombinedCleaned[[#This Row],[ID]], Table4[ID], Table4[Fruits], "Not Found", 0)</f>
        <v>0</v>
      </c>
      <c r="M654" s="16">
        <f>_xlfn.XLOOKUP(CustomerCombinedCleaned[[#This Row],[ID]], Table4[ID], Table4[Meats], "Not Found", 0)</f>
        <v>7</v>
      </c>
      <c r="N654" s="16">
        <f>_xlfn.XLOOKUP(CustomerCombinedCleaned[[#This Row],[ID]], Table4[ID], Table4[Seafood], "Not Found", 0)</f>
        <v>0</v>
      </c>
      <c r="O654" s="16">
        <f>_xlfn.XLOOKUP(CustomerCombinedCleaned[[#This Row],[ID]], Table4[ID], Table4[Sweets], "Not Found", 0)</f>
        <v>0</v>
      </c>
      <c r="P654" s="16">
        <f>_xlfn.XLOOKUP(CustomerCombinedCleaned[[#This Row],[ID]], Table4[ID], Table4[Premium], "Not Found", 0)</f>
        <v>21</v>
      </c>
      <c r="Q654" s="16">
        <f>_xlfn.XLOOKUP(CustomerCombinedCleaned[[#This Row],[ID]], Table4[ID], Table4[Regular], "Not Found", 0)</f>
        <v>39</v>
      </c>
      <c r="R654" s="16">
        <f>_xlfn.XLOOKUP(CustomerCombinedCleaned[[#This Row],[ID]], Table4[ID], Table4[Deals], "Not Found", 0)</f>
        <v>1</v>
      </c>
      <c r="S654" s="16">
        <f>_xlfn.XLOOKUP(CustomerCombinedCleaned[[#This Row],[ID]], Table4[ID], Table4[Website], "Not Found", 0)</f>
        <v>1</v>
      </c>
      <c r="T654" s="16">
        <f>_xlfn.XLOOKUP(CustomerCombinedCleaned[[#This Row],[ID]], Table4[ID], Table4[Catalog], "Not Found", 0)</f>
        <v>0</v>
      </c>
      <c r="U654" s="16">
        <f>_xlfn.XLOOKUP(CustomerCombinedCleaned[[#This Row],[ID]], Table4[ID], Table4[Store], "Not Found", 0)</f>
        <v>2</v>
      </c>
      <c r="V654" s="16">
        <f>_xlfn.XLOOKUP(CustomerCombinedCleaned[[#This Row],[ID]], Table4[ID], Table4[Visits], "Not Found", 0)</f>
        <v>6</v>
      </c>
      <c r="W654" s="16">
        <f>_xlfn.XLOOKUP(CustomerCombinedCleaned[[#This Row],[ID]], Table2[ID],Table2[Complaint], "Not Found", 0 )</f>
        <v>0</v>
      </c>
      <c r="X654" s="16">
        <f>_xlfn.XLOOKUP(CustomerCombinedCleaned[[#This Row],[ID]], Table2[ID],Table2[Pilot], "Not Found", 0 )</f>
        <v>0</v>
      </c>
      <c r="Y654" s="16">
        <f>_xlfn.XLOOKUP(CustomerCombinedCleaned[[#This Row],[ID]], Table2[ID],Table2[MC1], "Not Found", 0 )</f>
        <v>0</v>
      </c>
      <c r="Z654" s="16">
        <f>_xlfn.XLOOKUP(CustomerCombinedCleaned[[#This Row],[ID]], Table2[ID],Table2[MC2], "Not Found", 0 )</f>
        <v>0</v>
      </c>
      <c r="AA654" s="16">
        <f>_xlfn.XLOOKUP(CustomerCombinedCleaned[[#This Row],[ID]], Table2[ID],Table2[MC3], "Not Found", 0 )</f>
        <v>1</v>
      </c>
      <c r="AB654" s="16">
        <f>_xlfn.XLOOKUP(CustomerCombinedCleaned[[#This Row],[ID]], Table2[ID],Table2[MC4], "Not Found", 0 )</f>
        <v>0</v>
      </c>
      <c r="AC654" s="16">
        <f>_xlfn.XLOOKUP(CustomerCombinedCleaned[[#This Row],[ID]], Table2[ID],Table2[MC5], "Not Found", 0 )</f>
        <v>0</v>
      </c>
    </row>
    <row r="655" spans="1:29" x14ac:dyDescent="0.3">
      <c r="A655" s="18">
        <v>2498</v>
      </c>
      <c r="B655" s="16">
        <v>137697</v>
      </c>
      <c r="C655" s="16">
        <v>1</v>
      </c>
      <c r="D655" s="16">
        <v>0</v>
      </c>
      <c r="E655" s="16">
        <v>44</v>
      </c>
      <c r="F655" s="17" t="s">
        <v>7</v>
      </c>
      <c r="G655" s="17" t="s">
        <v>11</v>
      </c>
      <c r="H655" s="3" t="s">
        <v>106</v>
      </c>
      <c r="I655" s="5" t="s">
        <v>438</v>
      </c>
      <c r="J655" s="16">
        <f>_xlfn.XLOOKUP(CustomerCombinedCleaned[[#This Row],[ID]], Table4[ID], Table4[Recency], "Not Found", 0)</f>
        <v>82</v>
      </c>
      <c r="K655" s="16">
        <f>_xlfn.XLOOKUP(CustomerCombinedCleaned[[#This Row],[ID]], Table4[ID], Table4[Teas], "Not Found", 0)</f>
        <v>124</v>
      </c>
      <c r="L655" s="16">
        <f>_xlfn.XLOOKUP(CustomerCombinedCleaned[[#This Row],[ID]], Table4[ID], Table4[Fruits], "Not Found", 0)</f>
        <v>22</v>
      </c>
      <c r="M655" s="16">
        <f>_xlfn.XLOOKUP(CustomerCombinedCleaned[[#This Row],[ID]], Table4[ID], Table4[Meats], "Not Found", 0)</f>
        <v>77</v>
      </c>
      <c r="N655" s="16">
        <f>_xlfn.XLOOKUP(CustomerCombinedCleaned[[#This Row],[ID]], Table4[ID], Table4[Seafood], "Not Found", 0)</f>
        <v>40</v>
      </c>
      <c r="O655" s="16">
        <f>_xlfn.XLOOKUP(CustomerCombinedCleaned[[#This Row],[ID]], Table4[ID], Table4[Sweets], "Not Found", 0)</f>
        <v>15</v>
      </c>
      <c r="P655" s="16">
        <f>_xlfn.XLOOKUP(CustomerCombinedCleaned[[#This Row],[ID]], Table4[ID], Table4[Premium], "Not Found", 0)</f>
        <v>29</v>
      </c>
      <c r="Q655" s="16">
        <f>_xlfn.XLOOKUP(CustomerCombinedCleaned[[#This Row],[ID]], Table4[ID], Table4[Regular], "Not Found", 0)</f>
        <v>248</v>
      </c>
      <c r="R655" s="16">
        <f>_xlfn.XLOOKUP(CustomerCombinedCleaned[[#This Row],[ID]], Table4[ID], Table4[Deals], "Not Found", 0)</f>
        <v>1</v>
      </c>
      <c r="S655" s="16">
        <f>_xlfn.XLOOKUP(CustomerCombinedCleaned[[#This Row],[ID]], Table4[ID], Table4[Website], "Not Found", 0)</f>
        <v>2</v>
      </c>
      <c r="T655" s="16">
        <f>_xlfn.XLOOKUP(CustomerCombinedCleaned[[#This Row],[ID]], Table4[ID], Table4[Catalog], "Not Found", 0)</f>
        <v>1</v>
      </c>
      <c r="U655" s="16">
        <f>_xlfn.XLOOKUP(CustomerCombinedCleaned[[#This Row],[ID]], Table4[ID], Table4[Store], "Not Found", 0)</f>
        <v>3</v>
      </c>
      <c r="V655" s="16">
        <f>_xlfn.XLOOKUP(CustomerCombinedCleaned[[#This Row],[ID]], Table4[ID], Table4[Visits], "Not Found", 0)</f>
        <v>6</v>
      </c>
      <c r="W655" s="16">
        <f>_xlfn.XLOOKUP(CustomerCombinedCleaned[[#This Row],[ID]], Table2[ID],Table2[Complaint], "Not Found", 0 )</f>
        <v>0</v>
      </c>
      <c r="X655" s="16">
        <f>_xlfn.XLOOKUP(CustomerCombinedCleaned[[#This Row],[ID]], Table2[ID],Table2[Pilot], "Not Found", 0 )</f>
        <v>0</v>
      </c>
      <c r="Y655" s="16">
        <f>_xlfn.XLOOKUP(CustomerCombinedCleaned[[#This Row],[ID]], Table2[ID],Table2[MC1], "Not Found", 0 )</f>
        <v>0</v>
      </c>
      <c r="Z655" s="16">
        <f>_xlfn.XLOOKUP(CustomerCombinedCleaned[[#This Row],[ID]], Table2[ID],Table2[MC2], "Not Found", 0 )</f>
        <v>0</v>
      </c>
      <c r="AA655" s="16">
        <f>_xlfn.XLOOKUP(CustomerCombinedCleaned[[#This Row],[ID]], Table2[ID],Table2[MC3], "Not Found", 0 )</f>
        <v>0</v>
      </c>
      <c r="AB655" s="16">
        <f>_xlfn.XLOOKUP(CustomerCombinedCleaned[[#This Row],[ID]], Table2[ID],Table2[MC4], "Not Found", 0 )</f>
        <v>0</v>
      </c>
      <c r="AC655" s="16">
        <f>_xlfn.XLOOKUP(CustomerCombinedCleaned[[#This Row],[ID]], Table2[ID],Table2[MC5], "Not Found", 0 )</f>
        <v>0</v>
      </c>
    </row>
    <row r="656" spans="1:29" x14ac:dyDescent="0.3">
      <c r="A656" s="18">
        <v>2768</v>
      </c>
      <c r="B656" s="16">
        <v>137697</v>
      </c>
      <c r="C656" s="16">
        <v>1</v>
      </c>
      <c r="D656" s="16">
        <v>0</v>
      </c>
      <c r="E656" s="16">
        <v>44</v>
      </c>
      <c r="F656" s="17" t="s">
        <v>7</v>
      </c>
      <c r="G656" s="17" t="s">
        <v>11</v>
      </c>
      <c r="H656" s="3" t="s">
        <v>106</v>
      </c>
      <c r="I656" s="5" t="s">
        <v>438</v>
      </c>
      <c r="J656" s="16">
        <f>_xlfn.XLOOKUP(CustomerCombinedCleaned[[#This Row],[ID]], Table4[ID], Table4[Recency], "Not Found", 0)</f>
        <v>82</v>
      </c>
      <c r="K656" s="16">
        <f>_xlfn.XLOOKUP(CustomerCombinedCleaned[[#This Row],[ID]], Table4[ID], Table4[Teas], "Not Found", 0)</f>
        <v>124</v>
      </c>
      <c r="L656" s="16">
        <f>_xlfn.XLOOKUP(CustomerCombinedCleaned[[#This Row],[ID]], Table4[ID], Table4[Fruits], "Not Found", 0)</f>
        <v>22</v>
      </c>
      <c r="M656" s="16">
        <f>_xlfn.XLOOKUP(CustomerCombinedCleaned[[#This Row],[ID]], Table4[ID], Table4[Meats], "Not Found", 0)</f>
        <v>77</v>
      </c>
      <c r="N656" s="16">
        <f>_xlfn.XLOOKUP(CustomerCombinedCleaned[[#This Row],[ID]], Table4[ID], Table4[Seafood], "Not Found", 0)</f>
        <v>40</v>
      </c>
      <c r="O656" s="16">
        <f>_xlfn.XLOOKUP(CustomerCombinedCleaned[[#This Row],[ID]], Table4[ID], Table4[Sweets], "Not Found", 0)</f>
        <v>15</v>
      </c>
      <c r="P656" s="16">
        <f>_xlfn.XLOOKUP(CustomerCombinedCleaned[[#This Row],[ID]], Table4[ID], Table4[Premium], "Not Found", 0)</f>
        <v>29</v>
      </c>
      <c r="Q656" s="16">
        <f>_xlfn.XLOOKUP(CustomerCombinedCleaned[[#This Row],[ID]], Table4[ID], Table4[Regular], "Not Found", 0)</f>
        <v>248</v>
      </c>
      <c r="R656" s="16">
        <f>_xlfn.XLOOKUP(CustomerCombinedCleaned[[#This Row],[ID]], Table4[ID], Table4[Deals], "Not Found", 0)</f>
        <v>1</v>
      </c>
      <c r="S656" s="16">
        <f>_xlfn.XLOOKUP(CustomerCombinedCleaned[[#This Row],[ID]], Table4[ID], Table4[Website], "Not Found", 0)</f>
        <v>2</v>
      </c>
      <c r="T656" s="16">
        <f>_xlfn.XLOOKUP(CustomerCombinedCleaned[[#This Row],[ID]], Table4[ID], Table4[Catalog], "Not Found", 0)</f>
        <v>1</v>
      </c>
      <c r="U656" s="16">
        <f>_xlfn.XLOOKUP(CustomerCombinedCleaned[[#This Row],[ID]], Table4[ID], Table4[Store], "Not Found", 0)</f>
        <v>3</v>
      </c>
      <c r="V656" s="16">
        <f>_xlfn.XLOOKUP(CustomerCombinedCleaned[[#This Row],[ID]], Table4[ID], Table4[Visits], "Not Found", 0)</f>
        <v>6</v>
      </c>
      <c r="W656" s="16">
        <f>_xlfn.XLOOKUP(CustomerCombinedCleaned[[#This Row],[ID]], Table2[ID],Table2[Complaint], "Not Found", 0 )</f>
        <v>0</v>
      </c>
      <c r="X656" s="16">
        <f>_xlfn.XLOOKUP(CustomerCombinedCleaned[[#This Row],[ID]], Table2[ID],Table2[Pilot], "Not Found", 0 )</f>
        <v>0</v>
      </c>
      <c r="Y656" s="16">
        <f>_xlfn.XLOOKUP(CustomerCombinedCleaned[[#This Row],[ID]], Table2[ID],Table2[MC1], "Not Found", 0 )</f>
        <v>0</v>
      </c>
      <c r="Z656" s="16">
        <f>_xlfn.XLOOKUP(CustomerCombinedCleaned[[#This Row],[ID]], Table2[ID],Table2[MC2], "Not Found", 0 )</f>
        <v>0</v>
      </c>
      <c r="AA656" s="16">
        <f>_xlfn.XLOOKUP(CustomerCombinedCleaned[[#This Row],[ID]], Table2[ID],Table2[MC3], "Not Found", 0 )</f>
        <v>0</v>
      </c>
      <c r="AB656" s="16">
        <f>_xlfn.XLOOKUP(CustomerCombinedCleaned[[#This Row],[ID]], Table2[ID],Table2[MC4], "Not Found", 0 )</f>
        <v>0</v>
      </c>
      <c r="AC656" s="16">
        <f>_xlfn.XLOOKUP(CustomerCombinedCleaned[[#This Row],[ID]], Table2[ID],Table2[MC5], "Not Found", 0 )</f>
        <v>0</v>
      </c>
    </row>
    <row r="657" spans="1:29" x14ac:dyDescent="0.3">
      <c r="A657" s="18">
        <v>3089</v>
      </c>
      <c r="B657" s="16">
        <v>137509</v>
      </c>
      <c r="C657" s="16">
        <v>1</v>
      </c>
      <c r="D657" s="16">
        <v>0</v>
      </c>
      <c r="E657" s="16">
        <v>44</v>
      </c>
      <c r="F657" s="17" t="s">
        <v>8</v>
      </c>
      <c r="G657" s="17" t="s">
        <v>12</v>
      </c>
      <c r="H657" s="3" t="s">
        <v>397</v>
      </c>
      <c r="I657" s="5" t="s">
        <v>434</v>
      </c>
      <c r="J657" s="16">
        <f>_xlfn.XLOOKUP(CustomerCombinedCleaned[[#This Row],[ID]], Table4[ID], Table4[Recency], "Not Found", 0)</f>
        <v>24</v>
      </c>
      <c r="K657" s="16">
        <f>_xlfn.XLOOKUP(CustomerCombinedCleaned[[#This Row],[ID]], Table4[ID], Table4[Teas], "Not Found", 0)</f>
        <v>136</v>
      </c>
      <c r="L657" s="16">
        <f>_xlfn.XLOOKUP(CustomerCombinedCleaned[[#This Row],[ID]], Table4[ID], Table4[Fruits], "Not Found", 0)</f>
        <v>18</v>
      </c>
      <c r="M657" s="16">
        <f>_xlfn.XLOOKUP(CustomerCombinedCleaned[[#This Row],[ID]], Table4[ID], Table4[Meats], "Not Found", 0)</f>
        <v>205</v>
      </c>
      <c r="N657" s="16">
        <f>_xlfn.XLOOKUP(CustomerCombinedCleaned[[#This Row],[ID]], Table4[ID], Table4[Seafood], "Not Found", 0)</f>
        <v>44</v>
      </c>
      <c r="O657" s="16">
        <f>_xlfn.XLOOKUP(CustomerCombinedCleaned[[#This Row],[ID]], Table4[ID], Table4[Sweets], "Not Found", 0)</f>
        <v>29</v>
      </c>
      <c r="P657" s="16">
        <f>_xlfn.XLOOKUP(CustomerCombinedCleaned[[#This Row],[ID]], Table4[ID], Table4[Premium], "Not Found", 0)</f>
        <v>18</v>
      </c>
      <c r="Q657" s="16">
        <f>_xlfn.XLOOKUP(CustomerCombinedCleaned[[#This Row],[ID]], Table4[ID], Table4[Regular], "Not Found", 0)</f>
        <v>414</v>
      </c>
      <c r="R657" s="16">
        <f>_xlfn.XLOOKUP(CustomerCombinedCleaned[[#This Row],[ID]], Table4[ID], Table4[Deals], "Not Found", 0)</f>
        <v>2</v>
      </c>
      <c r="S657" s="16">
        <f>_xlfn.XLOOKUP(CustomerCombinedCleaned[[#This Row],[ID]], Table4[ID], Table4[Website], "Not Found", 0)</f>
        <v>3</v>
      </c>
      <c r="T657" s="16">
        <f>_xlfn.XLOOKUP(CustomerCombinedCleaned[[#This Row],[ID]], Table4[ID], Table4[Catalog], "Not Found", 0)</f>
        <v>0</v>
      </c>
      <c r="U657" s="16">
        <f>_xlfn.XLOOKUP(CustomerCombinedCleaned[[#This Row],[ID]], Table4[ID], Table4[Store], "Not Found", 0)</f>
        <v>4</v>
      </c>
      <c r="V657" s="16">
        <f>_xlfn.XLOOKUP(CustomerCombinedCleaned[[#This Row],[ID]], Table4[ID], Table4[Visits], "Not Found", 0)</f>
        <v>7</v>
      </c>
      <c r="W657" s="16">
        <f>_xlfn.XLOOKUP(CustomerCombinedCleaned[[#This Row],[ID]], Table2[ID],Table2[Complaint], "Not Found", 0 )</f>
        <v>0</v>
      </c>
      <c r="X657" s="16">
        <f>_xlfn.XLOOKUP(CustomerCombinedCleaned[[#This Row],[ID]], Table2[ID],Table2[Pilot], "Not Found", 0 )</f>
        <v>0</v>
      </c>
      <c r="Y657" s="16">
        <f>_xlfn.XLOOKUP(CustomerCombinedCleaned[[#This Row],[ID]], Table2[ID],Table2[MC1], "Not Found", 0 )</f>
        <v>0</v>
      </c>
      <c r="Z657" s="16">
        <f>_xlfn.XLOOKUP(CustomerCombinedCleaned[[#This Row],[ID]], Table2[ID],Table2[MC2], "Not Found", 0 )</f>
        <v>0</v>
      </c>
      <c r="AA657" s="16">
        <f>_xlfn.XLOOKUP(CustomerCombinedCleaned[[#This Row],[ID]], Table2[ID],Table2[MC3], "Not Found", 0 )</f>
        <v>0</v>
      </c>
      <c r="AB657" s="16">
        <f>_xlfn.XLOOKUP(CustomerCombinedCleaned[[#This Row],[ID]], Table2[ID],Table2[MC4], "Not Found", 0 )</f>
        <v>0</v>
      </c>
      <c r="AC657" s="16">
        <f>_xlfn.XLOOKUP(CustomerCombinedCleaned[[#This Row],[ID]], Table2[ID],Table2[MC5], "Not Found", 0 )</f>
        <v>0</v>
      </c>
    </row>
    <row r="658" spans="1:29" x14ac:dyDescent="0.3">
      <c r="A658" s="18">
        <v>2215</v>
      </c>
      <c r="B658" s="16">
        <v>137395</v>
      </c>
      <c r="C658" s="16">
        <v>1</v>
      </c>
      <c r="D658" s="16">
        <v>0</v>
      </c>
      <c r="E658" s="16">
        <v>44</v>
      </c>
      <c r="F658" s="17" t="s">
        <v>8</v>
      </c>
      <c r="G658" s="17" t="s">
        <v>13</v>
      </c>
      <c r="H658" s="3" t="s">
        <v>555</v>
      </c>
      <c r="I658" s="5" t="s">
        <v>437</v>
      </c>
      <c r="J658" s="16">
        <f>_xlfn.XLOOKUP(CustomerCombinedCleaned[[#This Row],[ID]], Table4[ID], Table4[Recency], "Not Found", 0)</f>
        <v>47</v>
      </c>
      <c r="K658" s="16">
        <f>_xlfn.XLOOKUP(CustomerCombinedCleaned[[#This Row],[ID]], Table4[ID], Table4[Teas], "Not Found", 0)</f>
        <v>66</v>
      </c>
      <c r="L658" s="16">
        <f>_xlfn.XLOOKUP(CustomerCombinedCleaned[[#This Row],[ID]], Table4[ID], Table4[Fruits], "Not Found", 0)</f>
        <v>0</v>
      </c>
      <c r="M658" s="16">
        <f>_xlfn.XLOOKUP(CustomerCombinedCleaned[[#This Row],[ID]], Table4[ID], Table4[Meats], "Not Found", 0)</f>
        <v>33</v>
      </c>
      <c r="N658" s="16">
        <f>_xlfn.XLOOKUP(CustomerCombinedCleaned[[#This Row],[ID]], Table4[ID], Table4[Seafood], "Not Found", 0)</f>
        <v>0</v>
      </c>
      <c r="O658" s="16">
        <f>_xlfn.XLOOKUP(CustomerCombinedCleaned[[#This Row],[ID]], Table4[ID], Table4[Sweets], "Not Found", 0)</f>
        <v>4</v>
      </c>
      <c r="P658" s="16">
        <f>_xlfn.XLOOKUP(CustomerCombinedCleaned[[#This Row],[ID]], Table4[ID], Table4[Premium], "Not Found", 0)</f>
        <v>40</v>
      </c>
      <c r="Q658" s="16">
        <f>_xlfn.XLOOKUP(CustomerCombinedCleaned[[#This Row],[ID]], Table4[ID], Table4[Regular], "Not Found", 0)</f>
        <v>62</v>
      </c>
      <c r="R658" s="16">
        <f>_xlfn.XLOOKUP(CustomerCombinedCleaned[[#This Row],[ID]], Table4[ID], Table4[Deals], "Not Found", 0)</f>
        <v>1</v>
      </c>
      <c r="S658" s="16">
        <f>_xlfn.XLOOKUP(CustomerCombinedCleaned[[#This Row],[ID]], Table4[ID], Table4[Website], "Not Found", 0)</f>
        <v>1</v>
      </c>
      <c r="T658" s="16">
        <f>_xlfn.XLOOKUP(CustomerCombinedCleaned[[#This Row],[ID]], Table4[ID], Table4[Catalog], "Not Found", 0)</f>
        <v>0</v>
      </c>
      <c r="U658" s="16">
        <f>_xlfn.XLOOKUP(CustomerCombinedCleaned[[#This Row],[ID]], Table4[ID], Table4[Store], "Not Found", 0)</f>
        <v>3</v>
      </c>
      <c r="V658" s="16">
        <f>_xlfn.XLOOKUP(CustomerCombinedCleaned[[#This Row],[ID]], Table4[ID], Table4[Visits], "Not Found", 0)</f>
        <v>6</v>
      </c>
      <c r="W658" s="16">
        <f>_xlfn.XLOOKUP(CustomerCombinedCleaned[[#This Row],[ID]], Table2[ID],Table2[Complaint], "Not Found", 0 )</f>
        <v>0</v>
      </c>
      <c r="X658" s="16">
        <f>_xlfn.XLOOKUP(CustomerCombinedCleaned[[#This Row],[ID]], Table2[ID],Table2[Pilot], "Not Found", 0 )</f>
        <v>0</v>
      </c>
      <c r="Y658" s="16">
        <f>_xlfn.XLOOKUP(CustomerCombinedCleaned[[#This Row],[ID]], Table2[ID],Table2[MC1], "Not Found", 0 )</f>
        <v>0</v>
      </c>
      <c r="Z658" s="16">
        <f>_xlfn.XLOOKUP(CustomerCombinedCleaned[[#This Row],[ID]], Table2[ID],Table2[MC2], "Not Found", 0 )</f>
        <v>0</v>
      </c>
      <c r="AA658" s="16">
        <f>_xlfn.XLOOKUP(CustomerCombinedCleaned[[#This Row],[ID]], Table2[ID],Table2[MC3], "Not Found", 0 )</f>
        <v>0</v>
      </c>
      <c r="AB658" s="16">
        <f>_xlfn.XLOOKUP(CustomerCombinedCleaned[[#This Row],[ID]], Table2[ID],Table2[MC4], "Not Found", 0 )</f>
        <v>0</v>
      </c>
      <c r="AC658" s="16">
        <f>_xlfn.XLOOKUP(CustomerCombinedCleaned[[#This Row],[ID]], Table2[ID],Table2[MC5], "Not Found", 0 )</f>
        <v>0</v>
      </c>
    </row>
    <row r="659" spans="1:29" x14ac:dyDescent="0.3">
      <c r="A659" s="18">
        <v>2605</v>
      </c>
      <c r="B659" s="16">
        <v>136301</v>
      </c>
      <c r="C659" s="16">
        <v>1</v>
      </c>
      <c r="D659" s="16">
        <v>0</v>
      </c>
      <c r="E659" s="16">
        <v>44</v>
      </c>
      <c r="F659" s="17" t="s">
        <v>8</v>
      </c>
      <c r="G659" s="17" t="s">
        <v>11</v>
      </c>
      <c r="H659" s="3" t="s">
        <v>157</v>
      </c>
      <c r="I659" s="5" t="s">
        <v>437</v>
      </c>
      <c r="J659" s="16">
        <f>_xlfn.XLOOKUP(CustomerCombinedCleaned[[#This Row],[ID]], Table4[ID], Table4[Recency], "Not Found", 0)</f>
        <v>53</v>
      </c>
      <c r="K659" s="16">
        <f>_xlfn.XLOOKUP(CustomerCombinedCleaned[[#This Row],[ID]], Table4[ID], Table4[Teas], "Not Found", 0)</f>
        <v>41</v>
      </c>
      <c r="L659" s="16">
        <f>_xlfn.XLOOKUP(CustomerCombinedCleaned[[#This Row],[ID]], Table4[ID], Table4[Fruits], "Not Found", 0)</f>
        <v>45</v>
      </c>
      <c r="M659" s="16">
        <f>_xlfn.XLOOKUP(CustomerCombinedCleaned[[#This Row],[ID]], Table4[ID], Table4[Meats], "Not Found", 0)</f>
        <v>131</v>
      </c>
      <c r="N659" s="16">
        <f>_xlfn.XLOOKUP(CustomerCombinedCleaned[[#This Row],[ID]], Table4[ID], Table4[Seafood], "Not Found", 0)</f>
        <v>11</v>
      </c>
      <c r="O659" s="16">
        <f>_xlfn.XLOOKUP(CustomerCombinedCleaned[[#This Row],[ID]], Table4[ID], Table4[Sweets], "Not Found", 0)</f>
        <v>19</v>
      </c>
      <c r="P659" s="16">
        <f>_xlfn.XLOOKUP(CustomerCombinedCleaned[[#This Row],[ID]], Table4[ID], Table4[Premium], "Not Found", 0)</f>
        <v>45</v>
      </c>
      <c r="Q659" s="16">
        <f>_xlfn.XLOOKUP(CustomerCombinedCleaned[[#This Row],[ID]], Table4[ID], Table4[Regular], "Not Found", 0)</f>
        <v>203</v>
      </c>
      <c r="R659" s="16">
        <f>_xlfn.XLOOKUP(CustomerCombinedCleaned[[#This Row],[ID]], Table4[ID], Table4[Deals], "Not Found", 0)</f>
        <v>1</v>
      </c>
      <c r="S659" s="16">
        <f>_xlfn.XLOOKUP(CustomerCombinedCleaned[[#This Row],[ID]], Table4[ID], Table4[Website], "Not Found", 0)</f>
        <v>3</v>
      </c>
      <c r="T659" s="16">
        <f>_xlfn.XLOOKUP(CustomerCombinedCleaned[[#This Row],[ID]], Table4[ID], Table4[Catalog], "Not Found", 0)</f>
        <v>0</v>
      </c>
      <c r="U659" s="16">
        <f>_xlfn.XLOOKUP(CustomerCombinedCleaned[[#This Row],[ID]], Table4[ID], Table4[Store], "Not Found", 0)</f>
        <v>3</v>
      </c>
      <c r="V659" s="16">
        <f>_xlfn.XLOOKUP(CustomerCombinedCleaned[[#This Row],[ID]], Table4[ID], Table4[Visits], "Not Found", 0)</f>
        <v>7</v>
      </c>
      <c r="W659" s="16">
        <f>_xlfn.XLOOKUP(CustomerCombinedCleaned[[#This Row],[ID]], Table2[ID],Table2[Complaint], "Not Found", 0 )</f>
        <v>0</v>
      </c>
      <c r="X659" s="16">
        <f>_xlfn.XLOOKUP(CustomerCombinedCleaned[[#This Row],[ID]], Table2[ID],Table2[Pilot], "Not Found", 0 )</f>
        <v>0</v>
      </c>
      <c r="Y659" s="16">
        <f>_xlfn.XLOOKUP(CustomerCombinedCleaned[[#This Row],[ID]], Table2[ID],Table2[MC1], "Not Found", 0 )</f>
        <v>0</v>
      </c>
      <c r="Z659" s="16">
        <f>_xlfn.XLOOKUP(CustomerCombinedCleaned[[#This Row],[ID]], Table2[ID],Table2[MC2], "Not Found", 0 )</f>
        <v>0</v>
      </c>
      <c r="AA659" s="16">
        <f>_xlfn.XLOOKUP(CustomerCombinedCleaned[[#This Row],[ID]], Table2[ID],Table2[MC3], "Not Found", 0 )</f>
        <v>0</v>
      </c>
      <c r="AB659" s="16">
        <f>_xlfn.XLOOKUP(CustomerCombinedCleaned[[#This Row],[ID]], Table2[ID],Table2[MC4], "Not Found", 0 )</f>
        <v>0</v>
      </c>
      <c r="AC659" s="16">
        <f>_xlfn.XLOOKUP(CustomerCombinedCleaned[[#This Row],[ID]], Table2[ID],Table2[MC5], "Not Found", 0 )</f>
        <v>0</v>
      </c>
    </row>
    <row r="660" spans="1:29" x14ac:dyDescent="0.3">
      <c r="A660" s="18">
        <v>1762</v>
      </c>
      <c r="B660" s="16">
        <v>136283</v>
      </c>
      <c r="C660" s="16">
        <v>1</v>
      </c>
      <c r="D660" s="16">
        <v>1</v>
      </c>
      <c r="E660" s="16">
        <v>44</v>
      </c>
      <c r="F660" s="17" t="s">
        <v>8</v>
      </c>
      <c r="G660" s="17" t="s">
        <v>11</v>
      </c>
      <c r="H660" s="3" t="s">
        <v>68</v>
      </c>
      <c r="I660" s="5" t="s">
        <v>439</v>
      </c>
      <c r="J660" s="16">
        <f>_xlfn.XLOOKUP(CustomerCombinedCleaned[[#This Row],[ID]], Table4[ID], Table4[Recency], "Not Found", 0)</f>
        <v>42</v>
      </c>
      <c r="K660" s="16">
        <f>_xlfn.XLOOKUP(CustomerCombinedCleaned[[#This Row],[ID]], Table4[ID], Table4[Teas], "Not Found", 0)</f>
        <v>23</v>
      </c>
      <c r="L660" s="16">
        <f>_xlfn.XLOOKUP(CustomerCombinedCleaned[[#This Row],[ID]], Table4[ID], Table4[Fruits], "Not Found", 0)</f>
        <v>19</v>
      </c>
      <c r="M660" s="16">
        <f>_xlfn.XLOOKUP(CustomerCombinedCleaned[[#This Row],[ID]], Table4[ID], Table4[Meats], "Not Found", 0)</f>
        <v>19</v>
      </c>
      <c r="N660" s="16">
        <f>_xlfn.XLOOKUP(CustomerCombinedCleaned[[#This Row],[ID]], Table4[ID], Table4[Seafood], "Not Found", 0)</f>
        <v>30</v>
      </c>
      <c r="O660" s="16">
        <f>_xlfn.XLOOKUP(CustomerCombinedCleaned[[#This Row],[ID]], Table4[ID], Table4[Sweets], "Not Found", 0)</f>
        <v>0</v>
      </c>
      <c r="P660" s="16">
        <f>_xlfn.XLOOKUP(CustomerCombinedCleaned[[#This Row],[ID]], Table4[ID], Table4[Premium], "Not Found", 0)</f>
        <v>19</v>
      </c>
      <c r="Q660" s="16">
        <f>_xlfn.XLOOKUP(CustomerCombinedCleaned[[#This Row],[ID]], Table4[ID], Table4[Regular], "Not Found", 0)</f>
        <v>71</v>
      </c>
      <c r="R660" s="16">
        <f>_xlfn.XLOOKUP(CustomerCombinedCleaned[[#This Row],[ID]], Table4[ID], Table4[Deals], "Not Found", 0)</f>
        <v>2</v>
      </c>
      <c r="S660" s="16">
        <f>_xlfn.XLOOKUP(CustomerCombinedCleaned[[#This Row],[ID]], Table4[ID], Table4[Website], "Not Found", 0)</f>
        <v>1</v>
      </c>
      <c r="T660" s="16">
        <f>_xlfn.XLOOKUP(CustomerCombinedCleaned[[#This Row],[ID]], Table4[ID], Table4[Catalog], "Not Found", 0)</f>
        <v>0</v>
      </c>
      <c r="U660" s="16">
        <f>_xlfn.XLOOKUP(CustomerCombinedCleaned[[#This Row],[ID]], Table4[ID], Table4[Store], "Not Found", 0)</f>
        <v>3</v>
      </c>
      <c r="V660" s="16">
        <f>_xlfn.XLOOKUP(CustomerCombinedCleaned[[#This Row],[ID]], Table4[ID], Table4[Visits], "Not Found", 0)</f>
        <v>4</v>
      </c>
      <c r="W660" s="16">
        <f>_xlfn.XLOOKUP(CustomerCombinedCleaned[[#This Row],[ID]], Table2[ID],Table2[Complaint], "Not Found", 0 )</f>
        <v>0</v>
      </c>
      <c r="X660" s="16">
        <f>_xlfn.XLOOKUP(CustomerCombinedCleaned[[#This Row],[ID]], Table2[ID],Table2[Pilot], "Not Found", 0 )</f>
        <v>0</v>
      </c>
      <c r="Y660" s="16">
        <f>_xlfn.XLOOKUP(CustomerCombinedCleaned[[#This Row],[ID]], Table2[ID],Table2[MC1], "Not Found", 0 )</f>
        <v>0</v>
      </c>
      <c r="Z660" s="16">
        <f>_xlfn.XLOOKUP(CustomerCombinedCleaned[[#This Row],[ID]], Table2[ID],Table2[MC2], "Not Found", 0 )</f>
        <v>0</v>
      </c>
      <c r="AA660" s="16">
        <f>_xlfn.XLOOKUP(CustomerCombinedCleaned[[#This Row],[ID]], Table2[ID],Table2[MC3], "Not Found", 0 )</f>
        <v>0</v>
      </c>
      <c r="AB660" s="16">
        <f>_xlfn.XLOOKUP(CustomerCombinedCleaned[[#This Row],[ID]], Table2[ID],Table2[MC4], "Not Found", 0 )</f>
        <v>0</v>
      </c>
      <c r="AC660" s="16">
        <f>_xlfn.XLOOKUP(CustomerCombinedCleaned[[#This Row],[ID]], Table2[ID],Table2[MC5], "Not Found", 0 )</f>
        <v>0</v>
      </c>
    </row>
    <row r="661" spans="1:29" x14ac:dyDescent="0.3">
      <c r="A661" s="18">
        <v>2919</v>
      </c>
      <c r="B661" s="16">
        <v>134529</v>
      </c>
      <c r="C661" s="16">
        <v>1</v>
      </c>
      <c r="D661" s="16">
        <v>0</v>
      </c>
      <c r="E661" s="16">
        <v>44</v>
      </c>
      <c r="F661" s="17" t="s">
        <v>6</v>
      </c>
      <c r="G661" s="17" t="s">
        <v>12</v>
      </c>
      <c r="H661" s="3" t="s">
        <v>396</v>
      </c>
      <c r="I661" s="5" t="s">
        <v>435</v>
      </c>
      <c r="J661" s="16">
        <f>_xlfn.XLOOKUP(CustomerCombinedCleaned[[#This Row],[ID]], Table4[ID], Table4[Recency], "Not Found", 0)</f>
        <v>94</v>
      </c>
      <c r="K661" s="16">
        <f>_xlfn.XLOOKUP(CustomerCombinedCleaned[[#This Row],[ID]], Table4[ID], Table4[Teas], "Not Found", 0)</f>
        <v>265</v>
      </c>
      <c r="L661" s="16">
        <f>_xlfn.XLOOKUP(CustomerCombinedCleaned[[#This Row],[ID]], Table4[ID], Table4[Fruits], "Not Found", 0)</f>
        <v>23</v>
      </c>
      <c r="M661" s="16">
        <f>_xlfn.XLOOKUP(CustomerCombinedCleaned[[#This Row],[ID]], Table4[ID], Table4[Meats], "Not Found", 0)</f>
        <v>148</v>
      </c>
      <c r="N661" s="16">
        <f>_xlfn.XLOOKUP(CustomerCombinedCleaned[[#This Row],[ID]], Table4[ID], Table4[Seafood], "Not Found", 0)</f>
        <v>12</v>
      </c>
      <c r="O661" s="16">
        <f>_xlfn.XLOOKUP(CustomerCombinedCleaned[[#This Row],[ID]], Table4[ID], Table4[Sweets], "Not Found", 0)</f>
        <v>23</v>
      </c>
      <c r="P661" s="16">
        <f>_xlfn.XLOOKUP(CustomerCombinedCleaned[[#This Row],[ID]], Table4[ID], Table4[Premium], "Not Found", 0)</f>
        <v>160</v>
      </c>
      <c r="Q661" s="16">
        <f>_xlfn.XLOOKUP(CustomerCombinedCleaned[[#This Row],[ID]], Table4[ID], Table4[Regular], "Not Found", 0)</f>
        <v>312</v>
      </c>
      <c r="R661" s="16">
        <f>_xlfn.XLOOKUP(CustomerCombinedCleaned[[#This Row],[ID]], Table4[ID], Table4[Deals], "Not Found", 0)</f>
        <v>2</v>
      </c>
      <c r="S661" s="16">
        <f>_xlfn.XLOOKUP(CustomerCombinedCleaned[[#This Row],[ID]], Table4[ID], Table4[Website], "Not Found", 0)</f>
        <v>2</v>
      </c>
      <c r="T661" s="16">
        <f>_xlfn.XLOOKUP(CustomerCombinedCleaned[[#This Row],[ID]], Table4[ID], Table4[Catalog], "Not Found", 0)</f>
        <v>2</v>
      </c>
      <c r="U661" s="16">
        <f>_xlfn.XLOOKUP(CustomerCombinedCleaned[[#This Row],[ID]], Table4[ID], Table4[Store], "Not Found", 0)</f>
        <v>3</v>
      </c>
      <c r="V661" s="16">
        <f>_xlfn.XLOOKUP(CustomerCombinedCleaned[[#This Row],[ID]], Table4[ID], Table4[Visits], "Not Found", 0)</f>
        <v>7</v>
      </c>
      <c r="W661" s="16">
        <f>_xlfn.XLOOKUP(CustomerCombinedCleaned[[#This Row],[ID]], Table2[ID],Table2[Complaint], "Not Found", 0 )</f>
        <v>0</v>
      </c>
      <c r="X661" s="16">
        <f>_xlfn.XLOOKUP(CustomerCombinedCleaned[[#This Row],[ID]], Table2[ID],Table2[Pilot], "Not Found", 0 )</f>
        <v>0</v>
      </c>
      <c r="Y661" s="16">
        <f>_xlfn.XLOOKUP(CustomerCombinedCleaned[[#This Row],[ID]], Table2[ID],Table2[MC1], "Not Found", 0 )</f>
        <v>0</v>
      </c>
      <c r="Z661" s="16">
        <f>_xlfn.XLOOKUP(CustomerCombinedCleaned[[#This Row],[ID]], Table2[ID],Table2[MC2], "Not Found", 0 )</f>
        <v>0</v>
      </c>
      <c r="AA661" s="16">
        <f>_xlfn.XLOOKUP(CustomerCombinedCleaned[[#This Row],[ID]], Table2[ID],Table2[MC3], "Not Found", 0 )</f>
        <v>0</v>
      </c>
      <c r="AB661" s="16">
        <f>_xlfn.XLOOKUP(CustomerCombinedCleaned[[#This Row],[ID]], Table2[ID],Table2[MC4], "Not Found", 0 )</f>
        <v>0</v>
      </c>
      <c r="AC661" s="16">
        <f>_xlfn.XLOOKUP(CustomerCombinedCleaned[[#This Row],[ID]], Table2[ID],Table2[MC5], "Not Found", 0 )</f>
        <v>0</v>
      </c>
    </row>
    <row r="662" spans="1:29" x14ac:dyDescent="0.3">
      <c r="A662" s="18">
        <v>1333</v>
      </c>
      <c r="B662" s="16">
        <v>133181</v>
      </c>
      <c r="C662" s="16">
        <v>1</v>
      </c>
      <c r="D662" s="16">
        <v>0</v>
      </c>
      <c r="E662" s="16">
        <v>44</v>
      </c>
      <c r="F662" s="17" t="s">
        <v>6</v>
      </c>
      <c r="G662" s="17" t="s">
        <v>12</v>
      </c>
      <c r="H662" s="3" t="s">
        <v>551</v>
      </c>
      <c r="I662" s="5" t="s">
        <v>437</v>
      </c>
      <c r="J662" s="16">
        <f>_xlfn.XLOOKUP(CustomerCombinedCleaned[[#This Row],[ID]], Table4[ID], Table4[Recency], "Not Found", 0)</f>
        <v>90</v>
      </c>
      <c r="K662" s="16">
        <f>_xlfn.XLOOKUP(CustomerCombinedCleaned[[#This Row],[ID]], Table4[ID], Table4[Teas], "Not Found", 0)</f>
        <v>36</v>
      </c>
      <c r="L662" s="16">
        <f>_xlfn.XLOOKUP(CustomerCombinedCleaned[[#This Row],[ID]], Table4[ID], Table4[Fruits], "Not Found", 0)</f>
        <v>0</v>
      </c>
      <c r="M662" s="16">
        <f>_xlfn.XLOOKUP(CustomerCombinedCleaned[[#This Row],[ID]], Table4[ID], Table4[Meats], "Not Found", 0)</f>
        <v>12</v>
      </c>
      <c r="N662" s="16">
        <f>_xlfn.XLOOKUP(CustomerCombinedCleaned[[#This Row],[ID]], Table4[ID], Table4[Seafood], "Not Found", 0)</f>
        <v>0</v>
      </c>
      <c r="O662" s="16">
        <f>_xlfn.XLOOKUP(CustomerCombinedCleaned[[#This Row],[ID]], Table4[ID], Table4[Sweets], "Not Found", 0)</f>
        <v>0</v>
      </c>
      <c r="P662" s="16">
        <f>_xlfn.XLOOKUP(CustomerCombinedCleaned[[#This Row],[ID]], Table4[ID], Table4[Premium], "Not Found", 0)</f>
        <v>16</v>
      </c>
      <c r="Q662" s="16">
        <f>_xlfn.XLOOKUP(CustomerCombinedCleaned[[#This Row],[ID]], Table4[ID], Table4[Regular], "Not Found", 0)</f>
        <v>32</v>
      </c>
      <c r="R662" s="16">
        <f>_xlfn.XLOOKUP(CustomerCombinedCleaned[[#This Row],[ID]], Table4[ID], Table4[Deals], "Not Found", 0)</f>
        <v>1</v>
      </c>
      <c r="S662" s="16">
        <f>_xlfn.XLOOKUP(CustomerCombinedCleaned[[#This Row],[ID]], Table4[ID], Table4[Website], "Not Found", 0)</f>
        <v>1</v>
      </c>
      <c r="T662" s="16">
        <f>_xlfn.XLOOKUP(CustomerCombinedCleaned[[#This Row],[ID]], Table4[ID], Table4[Catalog], "Not Found", 0)</f>
        <v>0</v>
      </c>
      <c r="U662" s="16">
        <f>_xlfn.XLOOKUP(CustomerCombinedCleaned[[#This Row],[ID]], Table4[ID], Table4[Store], "Not Found", 0)</f>
        <v>2</v>
      </c>
      <c r="V662" s="16">
        <f>_xlfn.XLOOKUP(CustomerCombinedCleaned[[#This Row],[ID]], Table4[ID], Table4[Visits], "Not Found", 0)</f>
        <v>6</v>
      </c>
      <c r="W662" s="16">
        <f>_xlfn.XLOOKUP(CustomerCombinedCleaned[[#This Row],[ID]], Table2[ID],Table2[Complaint], "Not Found", 0 )</f>
        <v>0</v>
      </c>
      <c r="X662" s="16">
        <f>_xlfn.XLOOKUP(CustomerCombinedCleaned[[#This Row],[ID]], Table2[ID],Table2[Pilot], "Not Found", 0 )</f>
        <v>0</v>
      </c>
      <c r="Y662" s="16">
        <f>_xlfn.XLOOKUP(CustomerCombinedCleaned[[#This Row],[ID]], Table2[ID],Table2[MC1], "Not Found", 0 )</f>
        <v>0</v>
      </c>
      <c r="Z662" s="16">
        <f>_xlfn.XLOOKUP(CustomerCombinedCleaned[[#This Row],[ID]], Table2[ID],Table2[MC2], "Not Found", 0 )</f>
        <v>0</v>
      </c>
      <c r="AA662" s="16">
        <f>_xlfn.XLOOKUP(CustomerCombinedCleaned[[#This Row],[ID]], Table2[ID],Table2[MC3], "Not Found", 0 )</f>
        <v>1</v>
      </c>
      <c r="AB662" s="16">
        <f>_xlfn.XLOOKUP(CustomerCombinedCleaned[[#This Row],[ID]], Table2[ID],Table2[MC4], "Not Found", 0 )</f>
        <v>0</v>
      </c>
      <c r="AC662" s="16">
        <f>_xlfn.XLOOKUP(CustomerCombinedCleaned[[#This Row],[ID]], Table2[ID],Table2[MC5], "Not Found", 0 )</f>
        <v>0</v>
      </c>
    </row>
    <row r="663" spans="1:29" x14ac:dyDescent="0.3">
      <c r="A663" s="18">
        <v>2533</v>
      </c>
      <c r="B663" s="16">
        <v>131859</v>
      </c>
      <c r="C663" s="16">
        <v>1</v>
      </c>
      <c r="D663" s="16">
        <v>0</v>
      </c>
      <c r="E663" s="16">
        <v>44</v>
      </c>
      <c r="F663" s="17" t="s">
        <v>5</v>
      </c>
      <c r="G663" s="17" t="s">
        <v>11</v>
      </c>
      <c r="H663" s="3" t="s">
        <v>238</v>
      </c>
      <c r="I663" s="5" t="s">
        <v>437</v>
      </c>
      <c r="J663" s="16">
        <f>_xlfn.XLOOKUP(CustomerCombinedCleaned[[#This Row],[ID]], Table4[ID], Table4[Recency], "Not Found", 0)</f>
        <v>77</v>
      </c>
      <c r="K663" s="16">
        <f>_xlfn.XLOOKUP(CustomerCombinedCleaned[[#This Row],[ID]], Table4[ID], Table4[Teas], "Not Found", 0)</f>
        <v>12</v>
      </c>
      <c r="L663" s="16">
        <f>_xlfn.XLOOKUP(CustomerCombinedCleaned[[#This Row],[ID]], Table4[ID], Table4[Fruits], "Not Found", 0)</f>
        <v>4</v>
      </c>
      <c r="M663" s="16">
        <f>_xlfn.XLOOKUP(CustomerCombinedCleaned[[#This Row],[ID]], Table4[ID], Table4[Meats], "Not Found", 0)</f>
        <v>12</v>
      </c>
      <c r="N663" s="16">
        <f>_xlfn.XLOOKUP(CustomerCombinedCleaned[[#This Row],[ID]], Table4[ID], Table4[Seafood], "Not Found", 0)</f>
        <v>33</v>
      </c>
      <c r="O663" s="16">
        <f>_xlfn.XLOOKUP(CustomerCombinedCleaned[[#This Row],[ID]], Table4[ID], Table4[Sweets], "Not Found", 0)</f>
        <v>0</v>
      </c>
      <c r="P663" s="16">
        <f>_xlfn.XLOOKUP(CustomerCombinedCleaned[[#This Row],[ID]], Table4[ID], Table4[Premium], "Not Found", 0)</f>
        <v>21</v>
      </c>
      <c r="Q663" s="16">
        <f>_xlfn.XLOOKUP(CustomerCombinedCleaned[[#This Row],[ID]], Table4[ID], Table4[Regular], "Not Found", 0)</f>
        <v>41</v>
      </c>
      <c r="R663" s="16">
        <f>_xlfn.XLOOKUP(CustomerCombinedCleaned[[#This Row],[ID]], Table4[ID], Table4[Deals], "Not Found", 0)</f>
        <v>1</v>
      </c>
      <c r="S663" s="16">
        <f>_xlfn.XLOOKUP(CustomerCombinedCleaned[[#This Row],[ID]], Table4[ID], Table4[Website], "Not Found", 0)</f>
        <v>1</v>
      </c>
      <c r="T663" s="16">
        <f>_xlfn.XLOOKUP(CustomerCombinedCleaned[[#This Row],[ID]], Table4[ID], Table4[Catalog], "Not Found", 0)</f>
        <v>0</v>
      </c>
      <c r="U663" s="16">
        <f>_xlfn.XLOOKUP(CustomerCombinedCleaned[[#This Row],[ID]], Table4[ID], Table4[Store], "Not Found", 0)</f>
        <v>2</v>
      </c>
      <c r="V663" s="16">
        <f>_xlfn.XLOOKUP(CustomerCombinedCleaned[[#This Row],[ID]], Table4[ID], Table4[Visits], "Not Found", 0)</f>
        <v>7</v>
      </c>
      <c r="W663" s="16">
        <f>_xlfn.XLOOKUP(CustomerCombinedCleaned[[#This Row],[ID]], Table2[ID],Table2[Complaint], "Not Found", 0 )</f>
        <v>0</v>
      </c>
      <c r="X663" s="16">
        <f>_xlfn.XLOOKUP(CustomerCombinedCleaned[[#This Row],[ID]], Table2[ID],Table2[Pilot], "Not Found", 0 )</f>
        <v>0</v>
      </c>
      <c r="Y663" s="16">
        <f>_xlfn.XLOOKUP(CustomerCombinedCleaned[[#This Row],[ID]], Table2[ID],Table2[MC1], "Not Found", 0 )</f>
        <v>0</v>
      </c>
      <c r="Z663" s="16">
        <f>_xlfn.XLOOKUP(CustomerCombinedCleaned[[#This Row],[ID]], Table2[ID],Table2[MC2], "Not Found", 0 )</f>
        <v>0</v>
      </c>
      <c r="AA663" s="16">
        <f>_xlfn.XLOOKUP(CustomerCombinedCleaned[[#This Row],[ID]], Table2[ID],Table2[MC3], "Not Found", 0 )</f>
        <v>0</v>
      </c>
      <c r="AB663" s="16">
        <f>_xlfn.XLOOKUP(CustomerCombinedCleaned[[#This Row],[ID]], Table2[ID],Table2[MC4], "Not Found", 0 )</f>
        <v>0</v>
      </c>
      <c r="AC663" s="16">
        <f>_xlfn.XLOOKUP(CustomerCombinedCleaned[[#This Row],[ID]], Table2[ID],Table2[MC5], "Not Found", 0 )</f>
        <v>0</v>
      </c>
    </row>
    <row r="664" spans="1:29" x14ac:dyDescent="0.3">
      <c r="A664" s="18">
        <v>1351</v>
      </c>
      <c r="B664" s="16">
        <v>131615</v>
      </c>
      <c r="C664" s="16">
        <v>1</v>
      </c>
      <c r="D664" s="16">
        <v>0</v>
      </c>
      <c r="E664" s="16">
        <v>44</v>
      </c>
      <c r="F664" s="17" t="s">
        <v>5</v>
      </c>
      <c r="G664" s="17" t="s">
        <v>11</v>
      </c>
      <c r="H664" s="3" t="s">
        <v>292</v>
      </c>
      <c r="I664" s="5" t="s">
        <v>437</v>
      </c>
      <c r="J664" s="16">
        <f>_xlfn.XLOOKUP(CustomerCombinedCleaned[[#This Row],[ID]], Table4[ID], Table4[Recency], "Not Found", 0)</f>
        <v>82</v>
      </c>
      <c r="K664" s="16">
        <f>_xlfn.XLOOKUP(CustomerCombinedCleaned[[#This Row],[ID]], Table4[ID], Table4[Teas], "Not Found", 0)</f>
        <v>8</v>
      </c>
      <c r="L664" s="16">
        <f>_xlfn.XLOOKUP(CustomerCombinedCleaned[[#This Row],[ID]], Table4[ID], Table4[Fruits], "Not Found", 0)</f>
        <v>12</v>
      </c>
      <c r="M664" s="16">
        <f>_xlfn.XLOOKUP(CustomerCombinedCleaned[[#This Row],[ID]], Table4[ID], Table4[Meats], "Not Found", 0)</f>
        <v>83</v>
      </c>
      <c r="N664" s="16">
        <f>_xlfn.XLOOKUP(CustomerCombinedCleaned[[#This Row],[ID]], Table4[ID], Table4[Seafood], "Not Found", 0)</f>
        <v>25</v>
      </c>
      <c r="O664" s="16">
        <f>_xlfn.XLOOKUP(CustomerCombinedCleaned[[#This Row],[ID]], Table4[ID], Table4[Sweets], "Not Found", 0)</f>
        <v>46</v>
      </c>
      <c r="P664" s="16">
        <f>_xlfn.XLOOKUP(CustomerCombinedCleaned[[#This Row],[ID]], Table4[ID], Table4[Premium], "Not Found", 0)</f>
        <v>37</v>
      </c>
      <c r="Q664" s="16">
        <f>_xlfn.XLOOKUP(CustomerCombinedCleaned[[#This Row],[ID]], Table4[ID], Table4[Regular], "Not Found", 0)</f>
        <v>137</v>
      </c>
      <c r="R664" s="16">
        <f>_xlfn.XLOOKUP(CustomerCombinedCleaned[[#This Row],[ID]], Table4[ID], Table4[Deals], "Not Found", 0)</f>
        <v>2</v>
      </c>
      <c r="S664" s="16">
        <f>_xlfn.XLOOKUP(CustomerCombinedCleaned[[#This Row],[ID]], Table4[ID], Table4[Website], "Not Found", 0)</f>
        <v>2</v>
      </c>
      <c r="T664" s="16">
        <f>_xlfn.XLOOKUP(CustomerCombinedCleaned[[#This Row],[ID]], Table4[ID], Table4[Catalog], "Not Found", 0)</f>
        <v>0</v>
      </c>
      <c r="U664" s="16">
        <f>_xlfn.XLOOKUP(CustomerCombinedCleaned[[#This Row],[ID]], Table4[ID], Table4[Store], "Not Found", 0)</f>
        <v>3</v>
      </c>
      <c r="V664" s="16">
        <f>_xlfn.XLOOKUP(CustomerCombinedCleaned[[#This Row],[ID]], Table4[ID], Table4[Visits], "Not Found", 0)</f>
        <v>7</v>
      </c>
      <c r="W664" s="16">
        <f>_xlfn.XLOOKUP(CustomerCombinedCleaned[[#This Row],[ID]], Table2[ID],Table2[Complaint], "Not Found", 0 )</f>
        <v>0</v>
      </c>
      <c r="X664" s="16">
        <f>_xlfn.XLOOKUP(CustomerCombinedCleaned[[#This Row],[ID]], Table2[ID],Table2[Pilot], "Not Found", 0 )</f>
        <v>0</v>
      </c>
      <c r="Y664" s="16">
        <f>_xlfn.XLOOKUP(CustomerCombinedCleaned[[#This Row],[ID]], Table2[ID],Table2[MC1], "Not Found", 0 )</f>
        <v>0</v>
      </c>
      <c r="Z664" s="16">
        <f>_xlfn.XLOOKUP(CustomerCombinedCleaned[[#This Row],[ID]], Table2[ID],Table2[MC2], "Not Found", 0 )</f>
        <v>0</v>
      </c>
      <c r="AA664" s="16">
        <f>_xlfn.XLOOKUP(CustomerCombinedCleaned[[#This Row],[ID]], Table2[ID],Table2[MC3], "Not Found", 0 )</f>
        <v>0</v>
      </c>
      <c r="AB664" s="16">
        <f>_xlfn.XLOOKUP(CustomerCombinedCleaned[[#This Row],[ID]], Table2[ID],Table2[MC4], "Not Found", 0 )</f>
        <v>0</v>
      </c>
      <c r="AC664" s="16">
        <f>_xlfn.XLOOKUP(CustomerCombinedCleaned[[#This Row],[ID]], Table2[ID],Table2[MC5], "Not Found", 0 )</f>
        <v>0</v>
      </c>
    </row>
    <row r="665" spans="1:29" x14ac:dyDescent="0.3">
      <c r="A665" s="18">
        <v>1115</v>
      </c>
      <c r="B665" s="16">
        <v>130992</v>
      </c>
      <c r="C665" s="16">
        <v>1</v>
      </c>
      <c r="D665" s="16">
        <v>0</v>
      </c>
      <c r="E665" s="16">
        <v>44</v>
      </c>
      <c r="F665" s="17" t="s">
        <v>5</v>
      </c>
      <c r="G665" s="17" t="s">
        <v>11</v>
      </c>
      <c r="H665" s="3" t="s">
        <v>267</v>
      </c>
      <c r="I665" s="5" t="s">
        <v>434</v>
      </c>
      <c r="J665" s="16">
        <f>_xlfn.XLOOKUP(CustomerCombinedCleaned[[#This Row],[ID]], Table4[ID], Table4[Recency], "Not Found", 0)</f>
        <v>83</v>
      </c>
      <c r="K665" s="16">
        <f>_xlfn.XLOOKUP(CustomerCombinedCleaned[[#This Row],[ID]], Table4[ID], Table4[Teas], "Not Found", 0)</f>
        <v>72</v>
      </c>
      <c r="L665" s="16">
        <f>_xlfn.XLOOKUP(CustomerCombinedCleaned[[#This Row],[ID]], Table4[ID], Table4[Fruits], "Not Found", 0)</f>
        <v>0</v>
      </c>
      <c r="M665" s="16">
        <f>_xlfn.XLOOKUP(CustomerCombinedCleaned[[#This Row],[ID]], Table4[ID], Table4[Meats], "Not Found", 0)</f>
        <v>59</v>
      </c>
      <c r="N665" s="16">
        <f>_xlfn.XLOOKUP(CustomerCombinedCleaned[[#This Row],[ID]], Table4[ID], Table4[Seafood], "Not Found", 0)</f>
        <v>30</v>
      </c>
      <c r="O665" s="16">
        <f>_xlfn.XLOOKUP(CustomerCombinedCleaned[[#This Row],[ID]], Table4[ID], Table4[Sweets], "Not Found", 0)</f>
        <v>13</v>
      </c>
      <c r="P665" s="16">
        <f>_xlfn.XLOOKUP(CustomerCombinedCleaned[[#This Row],[ID]], Table4[ID], Table4[Premium], "Not Found", 0)</f>
        <v>8</v>
      </c>
      <c r="Q665" s="16">
        <f>_xlfn.XLOOKUP(CustomerCombinedCleaned[[#This Row],[ID]], Table4[ID], Table4[Regular], "Not Found", 0)</f>
        <v>165</v>
      </c>
      <c r="R665" s="16">
        <f>_xlfn.XLOOKUP(CustomerCombinedCleaned[[#This Row],[ID]], Table4[ID], Table4[Deals], "Not Found", 0)</f>
        <v>1</v>
      </c>
      <c r="S665" s="16">
        <f>_xlfn.XLOOKUP(CustomerCombinedCleaned[[#This Row],[ID]], Table4[ID], Table4[Website], "Not Found", 0)</f>
        <v>1</v>
      </c>
      <c r="T665" s="16">
        <f>_xlfn.XLOOKUP(CustomerCombinedCleaned[[#This Row],[ID]], Table4[ID], Table4[Catalog], "Not Found", 0)</f>
        <v>0</v>
      </c>
      <c r="U665" s="16">
        <f>_xlfn.XLOOKUP(CustomerCombinedCleaned[[#This Row],[ID]], Table4[ID], Table4[Store], "Not Found", 0)</f>
        <v>3</v>
      </c>
      <c r="V665" s="16">
        <f>_xlfn.XLOOKUP(CustomerCombinedCleaned[[#This Row],[ID]], Table4[ID], Table4[Visits], "Not Found", 0)</f>
        <v>7</v>
      </c>
      <c r="W665" s="16">
        <f>_xlfn.XLOOKUP(CustomerCombinedCleaned[[#This Row],[ID]], Table2[ID],Table2[Complaint], "Not Found", 0 )</f>
        <v>0</v>
      </c>
      <c r="X665" s="16">
        <f>_xlfn.XLOOKUP(CustomerCombinedCleaned[[#This Row],[ID]], Table2[ID],Table2[Pilot], "Not Found", 0 )</f>
        <v>0</v>
      </c>
      <c r="Y665" s="16">
        <f>_xlfn.XLOOKUP(CustomerCombinedCleaned[[#This Row],[ID]], Table2[ID],Table2[MC1], "Not Found", 0 )</f>
        <v>0</v>
      </c>
      <c r="Z665" s="16">
        <f>_xlfn.XLOOKUP(CustomerCombinedCleaned[[#This Row],[ID]], Table2[ID],Table2[MC2], "Not Found", 0 )</f>
        <v>0</v>
      </c>
      <c r="AA665" s="16">
        <f>_xlfn.XLOOKUP(CustomerCombinedCleaned[[#This Row],[ID]], Table2[ID],Table2[MC3], "Not Found", 0 )</f>
        <v>0</v>
      </c>
      <c r="AB665" s="16">
        <f>_xlfn.XLOOKUP(CustomerCombinedCleaned[[#This Row],[ID]], Table2[ID],Table2[MC4], "Not Found", 0 )</f>
        <v>0</v>
      </c>
      <c r="AC665" s="16">
        <f>_xlfn.XLOOKUP(CustomerCombinedCleaned[[#This Row],[ID]], Table2[ID],Table2[MC5], "Not Found", 0 )</f>
        <v>0</v>
      </c>
    </row>
    <row r="666" spans="1:29" x14ac:dyDescent="0.3">
      <c r="A666" s="18">
        <v>3099</v>
      </c>
      <c r="B666" s="16">
        <v>130992</v>
      </c>
      <c r="C666" s="16">
        <v>1</v>
      </c>
      <c r="D666" s="16">
        <v>0</v>
      </c>
      <c r="E666" s="16">
        <v>44</v>
      </c>
      <c r="F666" s="17" t="s">
        <v>5</v>
      </c>
      <c r="G666" s="17" t="s">
        <v>11</v>
      </c>
      <c r="H666" s="3" t="s">
        <v>267</v>
      </c>
      <c r="I666" s="5" t="s">
        <v>435</v>
      </c>
      <c r="J666" s="16">
        <f>_xlfn.XLOOKUP(CustomerCombinedCleaned[[#This Row],[ID]], Table4[ID], Table4[Recency], "Not Found", 0)</f>
        <v>83</v>
      </c>
      <c r="K666" s="16">
        <f>_xlfn.XLOOKUP(CustomerCombinedCleaned[[#This Row],[ID]], Table4[ID], Table4[Teas], "Not Found", 0)</f>
        <v>72</v>
      </c>
      <c r="L666" s="16">
        <f>_xlfn.XLOOKUP(CustomerCombinedCleaned[[#This Row],[ID]], Table4[ID], Table4[Fruits], "Not Found", 0)</f>
        <v>0</v>
      </c>
      <c r="M666" s="16">
        <f>_xlfn.XLOOKUP(CustomerCombinedCleaned[[#This Row],[ID]], Table4[ID], Table4[Meats], "Not Found", 0)</f>
        <v>59</v>
      </c>
      <c r="N666" s="16">
        <f>_xlfn.XLOOKUP(CustomerCombinedCleaned[[#This Row],[ID]], Table4[ID], Table4[Seafood], "Not Found", 0)</f>
        <v>30</v>
      </c>
      <c r="O666" s="16">
        <f>_xlfn.XLOOKUP(CustomerCombinedCleaned[[#This Row],[ID]], Table4[ID], Table4[Sweets], "Not Found", 0)</f>
        <v>13</v>
      </c>
      <c r="P666" s="16">
        <f>_xlfn.XLOOKUP(CustomerCombinedCleaned[[#This Row],[ID]], Table4[ID], Table4[Premium], "Not Found", 0)</f>
        <v>8</v>
      </c>
      <c r="Q666" s="16">
        <f>_xlfn.XLOOKUP(CustomerCombinedCleaned[[#This Row],[ID]], Table4[ID], Table4[Regular], "Not Found", 0)</f>
        <v>165</v>
      </c>
      <c r="R666" s="16">
        <f>_xlfn.XLOOKUP(CustomerCombinedCleaned[[#This Row],[ID]], Table4[ID], Table4[Deals], "Not Found", 0)</f>
        <v>1</v>
      </c>
      <c r="S666" s="16">
        <f>_xlfn.XLOOKUP(CustomerCombinedCleaned[[#This Row],[ID]], Table4[ID], Table4[Website], "Not Found", 0)</f>
        <v>1</v>
      </c>
      <c r="T666" s="16">
        <f>_xlfn.XLOOKUP(CustomerCombinedCleaned[[#This Row],[ID]], Table4[ID], Table4[Catalog], "Not Found", 0)</f>
        <v>0</v>
      </c>
      <c r="U666" s="16">
        <f>_xlfn.XLOOKUP(CustomerCombinedCleaned[[#This Row],[ID]], Table4[ID], Table4[Store], "Not Found", 0)</f>
        <v>3</v>
      </c>
      <c r="V666" s="16">
        <f>_xlfn.XLOOKUP(CustomerCombinedCleaned[[#This Row],[ID]], Table4[ID], Table4[Visits], "Not Found", 0)</f>
        <v>7</v>
      </c>
      <c r="W666" s="16">
        <f>_xlfn.XLOOKUP(CustomerCombinedCleaned[[#This Row],[ID]], Table2[ID],Table2[Complaint], "Not Found", 0 )</f>
        <v>0</v>
      </c>
      <c r="X666" s="16">
        <f>_xlfn.XLOOKUP(CustomerCombinedCleaned[[#This Row],[ID]], Table2[ID],Table2[Pilot], "Not Found", 0 )</f>
        <v>0</v>
      </c>
      <c r="Y666" s="16">
        <f>_xlfn.XLOOKUP(CustomerCombinedCleaned[[#This Row],[ID]], Table2[ID],Table2[MC1], "Not Found", 0 )</f>
        <v>0</v>
      </c>
      <c r="Z666" s="16">
        <f>_xlfn.XLOOKUP(CustomerCombinedCleaned[[#This Row],[ID]], Table2[ID],Table2[MC2], "Not Found", 0 )</f>
        <v>0</v>
      </c>
      <c r="AA666" s="16">
        <f>_xlfn.XLOOKUP(CustomerCombinedCleaned[[#This Row],[ID]], Table2[ID],Table2[MC3], "Not Found", 0 )</f>
        <v>0</v>
      </c>
      <c r="AB666" s="16">
        <f>_xlfn.XLOOKUP(CustomerCombinedCleaned[[#This Row],[ID]], Table2[ID],Table2[MC4], "Not Found", 0 )</f>
        <v>0</v>
      </c>
      <c r="AC666" s="16">
        <f>_xlfn.XLOOKUP(CustomerCombinedCleaned[[#This Row],[ID]], Table2[ID],Table2[MC5], "Not Found", 0 )</f>
        <v>0</v>
      </c>
    </row>
    <row r="667" spans="1:29" x14ac:dyDescent="0.3">
      <c r="A667" s="18">
        <v>1797</v>
      </c>
      <c r="B667" s="16">
        <v>130772</v>
      </c>
      <c r="C667" s="16">
        <v>1</v>
      </c>
      <c r="D667" s="16">
        <v>1</v>
      </c>
      <c r="E667" s="16">
        <v>44</v>
      </c>
      <c r="F667" s="17" t="s">
        <v>6</v>
      </c>
      <c r="G667" s="17" t="s">
        <v>11</v>
      </c>
      <c r="H667" s="3" t="s">
        <v>87</v>
      </c>
      <c r="I667" s="5" t="s">
        <v>435</v>
      </c>
      <c r="J667" s="16">
        <f>_xlfn.XLOOKUP(CustomerCombinedCleaned[[#This Row],[ID]], Table4[ID], Table4[Recency], "Not Found", 0)</f>
        <v>89</v>
      </c>
      <c r="K667" s="16">
        <f>_xlfn.XLOOKUP(CustomerCombinedCleaned[[#This Row],[ID]], Table4[ID], Table4[Teas], "Not Found", 0)</f>
        <v>30</v>
      </c>
      <c r="L667" s="16">
        <f>_xlfn.XLOOKUP(CustomerCombinedCleaned[[#This Row],[ID]], Table4[ID], Table4[Fruits], "Not Found", 0)</f>
        <v>8</v>
      </c>
      <c r="M667" s="16">
        <f>_xlfn.XLOOKUP(CustomerCombinedCleaned[[#This Row],[ID]], Table4[ID], Table4[Meats], "Not Found", 0)</f>
        <v>17</v>
      </c>
      <c r="N667" s="16">
        <f>_xlfn.XLOOKUP(CustomerCombinedCleaned[[#This Row],[ID]], Table4[ID], Table4[Seafood], "Not Found", 0)</f>
        <v>8</v>
      </c>
      <c r="O667" s="16">
        <f>_xlfn.XLOOKUP(CustomerCombinedCleaned[[#This Row],[ID]], Table4[ID], Table4[Sweets], "Not Found", 0)</f>
        <v>4</v>
      </c>
      <c r="P667" s="16">
        <f>_xlfn.XLOOKUP(CustomerCombinedCleaned[[#This Row],[ID]], Table4[ID], Table4[Premium], "Not Found", 0)</f>
        <v>17</v>
      </c>
      <c r="Q667" s="16">
        <f>_xlfn.XLOOKUP(CustomerCombinedCleaned[[#This Row],[ID]], Table4[ID], Table4[Regular], "Not Found", 0)</f>
        <v>51</v>
      </c>
      <c r="R667" s="16">
        <f>_xlfn.XLOOKUP(CustomerCombinedCleaned[[#This Row],[ID]], Table4[ID], Table4[Deals], "Not Found", 0)</f>
        <v>1</v>
      </c>
      <c r="S667" s="16">
        <f>_xlfn.XLOOKUP(CustomerCombinedCleaned[[#This Row],[ID]], Table4[ID], Table4[Website], "Not Found", 0)</f>
        <v>1</v>
      </c>
      <c r="T667" s="16">
        <f>_xlfn.XLOOKUP(CustomerCombinedCleaned[[#This Row],[ID]], Table4[ID], Table4[Catalog], "Not Found", 0)</f>
        <v>0</v>
      </c>
      <c r="U667" s="16">
        <f>_xlfn.XLOOKUP(CustomerCombinedCleaned[[#This Row],[ID]], Table4[ID], Table4[Store], "Not Found", 0)</f>
        <v>2</v>
      </c>
      <c r="V667" s="16">
        <f>_xlfn.XLOOKUP(CustomerCombinedCleaned[[#This Row],[ID]], Table4[ID], Table4[Visits], "Not Found", 0)</f>
        <v>6</v>
      </c>
      <c r="W667" s="16">
        <f>_xlfn.XLOOKUP(CustomerCombinedCleaned[[#This Row],[ID]], Table2[ID],Table2[Complaint], "Not Found", 0 )</f>
        <v>0</v>
      </c>
      <c r="X667" s="16">
        <f>_xlfn.XLOOKUP(CustomerCombinedCleaned[[#This Row],[ID]], Table2[ID],Table2[Pilot], "Not Found", 0 )</f>
        <v>0</v>
      </c>
      <c r="Y667" s="16">
        <f>_xlfn.XLOOKUP(CustomerCombinedCleaned[[#This Row],[ID]], Table2[ID],Table2[MC1], "Not Found", 0 )</f>
        <v>0</v>
      </c>
      <c r="Z667" s="16">
        <f>_xlfn.XLOOKUP(CustomerCombinedCleaned[[#This Row],[ID]], Table2[ID],Table2[MC2], "Not Found", 0 )</f>
        <v>0</v>
      </c>
      <c r="AA667" s="16">
        <f>_xlfn.XLOOKUP(CustomerCombinedCleaned[[#This Row],[ID]], Table2[ID],Table2[MC3], "Not Found", 0 )</f>
        <v>0</v>
      </c>
      <c r="AB667" s="16">
        <f>_xlfn.XLOOKUP(CustomerCombinedCleaned[[#This Row],[ID]], Table2[ID],Table2[MC4], "Not Found", 0 )</f>
        <v>0</v>
      </c>
      <c r="AC667" s="16">
        <f>_xlfn.XLOOKUP(CustomerCombinedCleaned[[#This Row],[ID]], Table2[ID],Table2[MC5], "Not Found", 0 )</f>
        <v>0</v>
      </c>
    </row>
    <row r="668" spans="1:29" x14ac:dyDescent="0.3">
      <c r="A668" s="18">
        <v>2615</v>
      </c>
      <c r="B668" s="16">
        <v>130560</v>
      </c>
      <c r="C668" s="16">
        <v>1</v>
      </c>
      <c r="D668" s="16">
        <v>0</v>
      </c>
      <c r="E668" s="16">
        <v>44</v>
      </c>
      <c r="F668" s="17" t="s">
        <v>8</v>
      </c>
      <c r="G668" s="17" t="s">
        <v>12</v>
      </c>
      <c r="H668" s="3" t="s">
        <v>737</v>
      </c>
      <c r="I668" s="5" t="s">
        <v>434</v>
      </c>
      <c r="J668" s="16">
        <f>_xlfn.XLOOKUP(CustomerCombinedCleaned[[#This Row],[ID]], Table4[ID], Table4[Recency], "Not Found", 0)</f>
        <v>6</v>
      </c>
      <c r="K668" s="16">
        <f>_xlfn.XLOOKUP(CustomerCombinedCleaned[[#This Row],[ID]], Table4[ID], Table4[Teas], "Not Found", 0)</f>
        <v>38</v>
      </c>
      <c r="L668" s="16">
        <f>_xlfn.XLOOKUP(CustomerCombinedCleaned[[#This Row],[ID]], Table4[ID], Table4[Fruits], "Not Found", 0)</f>
        <v>4</v>
      </c>
      <c r="M668" s="16">
        <f>_xlfn.XLOOKUP(CustomerCombinedCleaned[[#This Row],[ID]], Table4[ID], Table4[Meats], "Not Found", 0)</f>
        <v>21</v>
      </c>
      <c r="N668" s="16">
        <f>_xlfn.XLOOKUP(CustomerCombinedCleaned[[#This Row],[ID]], Table4[ID], Table4[Seafood], "Not Found", 0)</f>
        <v>17</v>
      </c>
      <c r="O668" s="16">
        <f>_xlfn.XLOOKUP(CustomerCombinedCleaned[[#This Row],[ID]], Table4[ID], Table4[Sweets], "Not Found", 0)</f>
        <v>21</v>
      </c>
      <c r="P668" s="16">
        <f>_xlfn.XLOOKUP(CustomerCombinedCleaned[[#This Row],[ID]], Table4[ID], Table4[Premium], "Not Found", 0)</f>
        <v>30</v>
      </c>
      <c r="Q668" s="16">
        <f>_xlfn.XLOOKUP(CustomerCombinedCleaned[[#This Row],[ID]], Table4[ID], Table4[Regular], "Not Found", 0)</f>
        <v>73</v>
      </c>
      <c r="R668" s="16">
        <f>_xlfn.XLOOKUP(CustomerCombinedCleaned[[#This Row],[ID]], Table4[ID], Table4[Deals], "Not Found", 0)</f>
        <v>1</v>
      </c>
      <c r="S668" s="16">
        <f>_xlfn.XLOOKUP(CustomerCombinedCleaned[[#This Row],[ID]], Table4[ID], Table4[Website], "Not Found", 0)</f>
        <v>1</v>
      </c>
      <c r="T668" s="16">
        <f>_xlfn.XLOOKUP(CustomerCombinedCleaned[[#This Row],[ID]], Table4[ID], Table4[Catalog], "Not Found", 0)</f>
        <v>0</v>
      </c>
      <c r="U668" s="16">
        <f>_xlfn.XLOOKUP(CustomerCombinedCleaned[[#This Row],[ID]], Table4[ID], Table4[Store], "Not Found", 0)</f>
        <v>3</v>
      </c>
      <c r="V668" s="16">
        <f>_xlfn.XLOOKUP(CustomerCombinedCleaned[[#This Row],[ID]], Table4[ID], Table4[Visits], "Not Found", 0)</f>
        <v>7</v>
      </c>
      <c r="W668" s="16">
        <f>_xlfn.XLOOKUP(CustomerCombinedCleaned[[#This Row],[ID]], Table2[ID],Table2[Complaint], "Not Found", 0 )</f>
        <v>0</v>
      </c>
      <c r="X668" s="16">
        <f>_xlfn.XLOOKUP(CustomerCombinedCleaned[[#This Row],[ID]], Table2[ID],Table2[Pilot], "Not Found", 0 )</f>
        <v>0</v>
      </c>
      <c r="Y668" s="16">
        <f>_xlfn.XLOOKUP(CustomerCombinedCleaned[[#This Row],[ID]], Table2[ID],Table2[MC1], "Not Found", 0 )</f>
        <v>0</v>
      </c>
      <c r="Z668" s="16">
        <f>_xlfn.XLOOKUP(CustomerCombinedCleaned[[#This Row],[ID]], Table2[ID],Table2[MC2], "Not Found", 0 )</f>
        <v>0</v>
      </c>
      <c r="AA668" s="16">
        <f>_xlfn.XLOOKUP(CustomerCombinedCleaned[[#This Row],[ID]], Table2[ID],Table2[MC3], "Not Found", 0 )</f>
        <v>0</v>
      </c>
      <c r="AB668" s="16">
        <f>_xlfn.XLOOKUP(CustomerCombinedCleaned[[#This Row],[ID]], Table2[ID],Table2[MC4], "Not Found", 0 )</f>
        <v>0</v>
      </c>
      <c r="AC668" s="16">
        <f>_xlfn.XLOOKUP(CustomerCombinedCleaned[[#This Row],[ID]], Table2[ID],Table2[MC5], "Not Found", 0 )</f>
        <v>0</v>
      </c>
    </row>
    <row r="669" spans="1:29" x14ac:dyDescent="0.3">
      <c r="A669" s="18">
        <v>3122</v>
      </c>
      <c r="B669" s="16">
        <v>130560</v>
      </c>
      <c r="C669" s="16">
        <v>1</v>
      </c>
      <c r="D669" s="16">
        <v>0</v>
      </c>
      <c r="E669" s="16">
        <v>44</v>
      </c>
      <c r="F669" s="17" t="s">
        <v>8</v>
      </c>
      <c r="G669" s="17" t="s">
        <v>12</v>
      </c>
      <c r="H669" s="3" t="s">
        <v>737</v>
      </c>
      <c r="I669" s="5" t="s">
        <v>438</v>
      </c>
      <c r="J669" s="16">
        <f>_xlfn.XLOOKUP(CustomerCombinedCleaned[[#This Row],[ID]], Table4[ID], Table4[Recency], "Not Found", 0)</f>
        <v>6</v>
      </c>
      <c r="K669" s="16">
        <f>_xlfn.XLOOKUP(CustomerCombinedCleaned[[#This Row],[ID]], Table4[ID], Table4[Teas], "Not Found", 0)</f>
        <v>38</v>
      </c>
      <c r="L669" s="16">
        <f>_xlfn.XLOOKUP(CustomerCombinedCleaned[[#This Row],[ID]], Table4[ID], Table4[Fruits], "Not Found", 0)</f>
        <v>4</v>
      </c>
      <c r="M669" s="16">
        <f>_xlfn.XLOOKUP(CustomerCombinedCleaned[[#This Row],[ID]], Table4[ID], Table4[Meats], "Not Found", 0)</f>
        <v>21</v>
      </c>
      <c r="N669" s="16">
        <f>_xlfn.XLOOKUP(CustomerCombinedCleaned[[#This Row],[ID]], Table4[ID], Table4[Seafood], "Not Found", 0)</f>
        <v>17</v>
      </c>
      <c r="O669" s="16">
        <f>_xlfn.XLOOKUP(CustomerCombinedCleaned[[#This Row],[ID]], Table4[ID], Table4[Sweets], "Not Found", 0)</f>
        <v>21</v>
      </c>
      <c r="P669" s="16">
        <f>_xlfn.XLOOKUP(CustomerCombinedCleaned[[#This Row],[ID]], Table4[ID], Table4[Premium], "Not Found", 0)</f>
        <v>30</v>
      </c>
      <c r="Q669" s="16">
        <f>_xlfn.XLOOKUP(CustomerCombinedCleaned[[#This Row],[ID]], Table4[ID], Table4[Regular], "Not Found", 0)</f>
        <v>73</v>
      </c>
      <c r="R669" s="16">
        <f>_xlfn.XLOOKUP(CustomerCombinedCleaned[[#This Row],[ID]], Table4[ID], Table4[Deals], "Not Found", 0)</f>
        <v>1</v>
      </c>
      <c r="S669" s="16">
        <f>_xlfn.XLOOKUP(CustomerCombinedCleaned[[#This Row],[ID]], Table4[ID], Table4[Website], "Not Found", 0)</f>
        <v>1</v>
      </c>
      <c r="T669" s="16">
        <f>_xlfn.XLOOKUP(CustomerCombinedCleaned[[#This Row],[ID]], Table4[ID], Table4[Catalog], "Not Found", 0)</f>
        <v>0</v>
      </c>
      <c r="U669" s="16">
        <f>_xlfn.XLOOKUP(CustomerCombinedCleaned[[#This Row],[ID]], Table4[ID], Table4[Store], "Not Found", 0)</f>
        <v>3</v>
      </c>
      <c r="V669" s="16">
        <f>_xlfn.XLOOKUP(CustomerCombinedCleaned[[#This Row],[ID]], Table4[ID], Table4[Visits], "Not Found", 0)</f>
        <v>7</v>
      </c>
      <c r="W669" s="16">
        <f>_xlfn.XLOOKUP(CustomerCombinedCleaned[[#This Row],[ID]], Table2[ID],Table2[Complaint], "Not Found", 0 )</f>
        <v>0</v>
      </c>
      <c r="X669" s="16">
        <f>_xlfn.XLOOKUP(CustomerCombinedCleaned[[#This Row],[ID]], Table2[ID],Table2[Pilot], "Not Found", 0 )</f>
        <v>0</v>
      </c>
      <c r="Y669" s="16">
        <f>_xlfn.XLOOKUP(CustomerCombinedCleaned[[#This Row],[ID]], Table2[ID],Table2[MC1], "Not Found", 0 )</f>
        <v>0</v>
      </c>
      <c r="Z669" s="16">
        <f>_xlfn.XLOOKUP(CustomerCombinedCleaned[[#This Row],[ID]], Table2[ID],Table2[MC2], "Not Found", 0 )</f>
        <v>0</v>
      </c>
      <c r="AA669" s="16">
        <f>_xlfn.XLOOKUP(CustomerCombinedCleaned[[#This Row],[ID]], Table2[ID],Table2[MC3], "Not Found", 0 )</f>
        <v>0</v>
      </c>
      <c r="AB669" s="16">
        <f>_xlfn.XLOOKUP(CustomerCombinedCleaned[[#This Row],[ID]], Table2[ID],Table2[MC4], "Not Found", 0 )</f>
        <v>0</v>
      </c>
      <c r="AC669" s="16">
        <f>_xlfn.XLOOKUP(CustomerCombinedCleaned[[#This Row],[ID]], Table2[ID],Table2[MC5], "Not Found", 0 )</f>
        <v>0</v>
      </c>
    </row>
    <row r="670" spans="1:29" x14ac:dyDescent="0.3">
      <c r="A670" s="18">
        <v>2931</v>
      </c>
      <c r="B670" s="16">
        <v>129478</v>
      </c>
      <c r="C670" s="16">
        <v>1</v>
      </c>
      <c r="D670" s="16">
        <v>0</v>
      </c>
      <c r="E670" s="16">
        <v>44</v>
      </c>
      <c r="F670" s="17" t="s">
        <v>8</v>
      </c>
      <c r="G670" s="17" t="s">
        <v>11</v>
      </c>
      <c r="H670" s="3" t="s">
        <v>114</v>
      </c>
      <c r="I670" s="5" t="s">
        <v>435</v>
      </c>
      <c r="J670" s="16">
        <f>_xlfn.XLOOKUP(CustomerCombinedCleaned[[#This Row],[ID]], Table4[ID], Table4[Recency], "Not Found", 0)</f>
        <v>59</v>
      </c>
      <c r="K670" s="16">
        <f>_xlfn.XLOOKUP(CustomerCombinedCleaned[[#This Row],[ID]], Table4[ID], Table4[Teas], "Not Found", 0)</f>
        <v>35</v>
      </c>
      <c r="L670" s="16">
        <f>_xlfn.XLOOKUP(CustomerCombinedCleaned[[#This Row],[ID]], Table4[ID], Table4[Fruits], "Not Found", 0)</f>
        <v>0</v>
      </c>
      <c r="M670" s="16">
        <f>_xlfn.XLOOKUP(CustomerCombinedCleaned[[#This Row],[ID]], Table4[ID], Table4[Meats], "Not Found", 0)</f>
        <v>31</v>
      </c>
      <c r="N670" s="16">
        <f>_xlfn.XLOOKUP(CustomerCombinedCleaned[[#This Row],[ID]], Table4[ID], Table4[Seafood], "Not Found", 0)</f>
        <v>13</v>
      </c>
      <c r="O670" s="16">
        <f>_xlfn.XLOOKUP(CustomerCombinedCleaned[[#This Row],[ID]], Table4[ID], Table4[Sweets], "Not Found", 0)</f>
        <v>4</v>
      </c>
      <c r="P670" s="16">
        <f>_xlfn.XLOOKUP(CustomerCombinedCleaned[[#This Row],[ID]], Table4[ID], Table4[Premium], "Not Found", 0)</f>
        <v>4</v>
      </c>
      <c r="Q670" s="16">
        <f>_xlfn.XLOOKUP(CustomerCombinedCleaned[[#This Row],[ID]], Table4[ID], Table4[Regular], "Not Found", 0)</f>
        <v>79</v>
      </c>
      <c r="R670" s="16">
        <f>_xlfn.XLOOKUP(CustomerCombinedCleaned[[#This Row],[ID]], Table4[ID], Table4[Deals], "Not Found", 0)</f>
        <v>1</v>
      </c>
      <c r="S670" s="16">
        <f>_xlfn.XLOOKUP(CustomerCombinedCleaned[[#This Row],[ID]], Table4[ID], Table4[Website], "Not Found", 0)</f>
        <v>1</v>
      </c>
      <c r="T670" s="16">
        <f>_xlfn.XLOOKUP(CustomerCombinedCleaned[[#This Row],[ID]], Table4[ID], Table4[Catalog], "Not Found", 0)</f>
        <v>0</v>
      </c>
      <c r="U670" s="16">
        <f>_xlfn.XLOOKUP(CustomerCombinedCleaned[[#This Row],[ID]], Table4[ID], Table4[Store], "Not Found", 0)</f>
        <v>3</v>
      </c>
      <c r="V670" s="16">
        <f>_xlfn.XLOOKUP(CustomerCombinedCleaned[[#This Row],[ID]], Table4[ID], Table4[Visits], "Not Found", 0)</f>
        <v>6</v>
      </c>
      <c r="W670" s="16">
        <f>_xlfn.XLOOKUP(CustomerCombinedCleaned[[#This Row],[ID]], Table2[ID],Table2[Complaint], "Not Found", 0 )</f>
        <v>0</v>
      </c>
      <c r="X670" s="16">
        <f>_xlfn.XLOOKUP(CustomerCombinedCleaned[[#This Row],[ID]], Table2[ID],Table2[Pilot], "Not Found", 0 )</f>
        <v>0</v>
      </c>
      <c r="Y670" s="16">
        <f>_xlfn.XLOOKUP(CustomerCombinedCleaned[[#This Row],[ID]], Table2[ID],Table2[MC1], "Not Found", 0 )</f>
        <v>0</v>
      </c>
      <c r="Z670" s="16">
        <f>_xlfn.XLOOKUP(CustomerCombinedCleaned[[#This Row],[ID]], Table2[ID],Table2[MC2], "Not Found", 0 )</f>
        <v>0</v>
      </c>
      <c r="AA670" s="16">
        <f>_xlfn.XLOOKUP(CustomerCombinedCleaned[[#This Row],[ID]], Table2[ID],Table2[MC3], "Not Found", 0 )</f>
        <v>0</v>
      </c>
      <c r="AB670" s="16">
        <f>_xlfn.XLOOKUP(CustomerCombinedCleaned[[#This Row],[ID]], Table2[ID],Table2[MC4], "Not Found", 0 )</f>
        <v>0</v>
      </c>
      <c r="AC670" s="16">
        <f>_xlfn.XLOOKUP(CustomerCombinedCleaned[[#This Row],[ID]], Table2[ID],Table2[MC5], "Not Found", 0 )</f>
        <v>0</v>
      </c>
    </row>
    <row r="671" spans="1:29" x14ac:dyDescent="0.3">
      <c r="A671" s="18">
        <v>2058</v>
      </c>
      <c r="B671" s="16">
        <v>126907</v>
      </c>
      <c r="C671" s="16">
        <v>1</v>
      </c>
      <c r="D671" s="16">
        <v>1</v>
      </c>
      <c r="E671" s="16">
        <v>44</v>
      </c>
      <c r="F671" s="17" t="s">
        <v>8</v>
      </c>
      <c r="G671" s="17" t="s">
        <v>11</v>
      </c>
      <c r="H671" s="3" t="s">
        <v>197</v>
      </c>
      <c r="I671" s="5" t="s">
        <v>436</v>
      </c>
      <c r="J671" s="16">
        <f>_xlfn.XLOOKUP(CustomerCombinedCleaned[[#This Row],[ID]], Table4[ID], Table4[Recency], "Not Found", 0)</f>
        <v>10</v>
      </c>
      <c r="K671" s="16">
        <f>_xlfn.XLOOKUP(CustomerCombinedCleaned[[#This Row],[ID]], Table4[ID], Table4[Teas], "Not Found", 0)</f>
        <v>42</v>
      </c>
      <c r="L671" s="16">
        <f>_xlfn.XLOOKUP(CustomerCombinedCleaned[[#This Row],[ID]], Table4[ID], Table4[Fruits], "Not Found", 0)</f>
        <v>5</v>
      </c>
      <c r="M671" s="16">
        <f>_xlfn.XLOOKUP(CustomerCombinedCleaned[[#This Row],[ID]], Table4[ID], Table4[Meats], "Not Found", 0)</f>
        <v>33</v>
      </c>
      <c r="N671" s="16">
        <f>_xlfn.XLOOKUP(CustomerCombinedCleaned[[#This Row],[ID]], Table4[ID], Table4[Seafood], "Not Found", 0)</f>
        <v>0</v>
      </c>
      <c r="O671" s="16">
        <f>_xlfn.XLOOKUP(CustomerCombinedCleaned[[#This Row],[ID]], Table4[ID], Table4[Sweets], "Not Found", 0)</f>
        <v>14</v>
      </c>
      <c r="P671" s="16">
        <f>_xlfn.XLOOKUP(CustomerCombinedCleaned[[#This Row],[ID]], Table4[ID], Table4[Premium], "Not Found", 0)</f>
        <v>9</v>
      </c>
      <c r="Q671" s="16">
        <f>_xlfn.XLOOKUP(CustomerCombinedCleaned[[#This Row],[ID]], Table4[ID], Table4[Regular], "Not Found", 0)</f>
        <v>85</v>
      </c>
      <c r="R671" s="16">
        <f>_xlfn.XLOOKUP(CustomerCombinedCleaned[[#This Row],[ID]], Table4[ID], Table4[Deals], "Not Found", 0)</f>
        <v>2</v>
      </c>
      <c r="S671" s="16">
        <f>_xlfn.XLOOKUP(CustomerCombinedCleaned[[#This Row],[ID]], Table4[ID], Table4[Website], "Not Found", 0)</f>
        <v>1</v>
      </c>
      <c r="T671" s="16">
        <f>_xlfn.XLOOKUP(CustomerCombinedCleaned[[#This Row],[ID]], Table4[ID], Table4[Catalog], "Not Found", 0)</f>
        <v>0</v>
      </c>
      <c r="U671" s="16">
        <f>_xlfn.XLOOKUP(CustomerCombinedCleaned[[#This Row],[ID]], Table4[ID], Table4[Store], "Not Found", 0)</f>
        <v>3</v>
      </c>
      <c r="V671" s="16">
        <f>_xlfn.XLOOKUP(CustomerCombinedCleaned[[#This Row],[ID]], Table4[ID], Table4[Visits], "Not Found", 0)</f>
        <v>7</v>
      </c>
      <c r="W671" s="16">
        <f>_xlfn.XLOOKUP(CustomerCombinedCleaned[[#This Row],[ID]], Table2[ID],Table2[Complaint], "Not Found", 0 )</f>
        <v>0</v>
      </c>
      <c r="X671" s="16">
        <f>_xlfn.XLOOKUP(CustomerCombinedCleaned[[#This Row],[ID]], Table2[ID],Table2[Pilot], "Not Found", 0 )</f>
        <v>0</v>
      </c>
      <c r="Y671" s="16">
        <f>_xlfn.XLOOKUP(CustomerCombinedCleaned[[#This Row],[ID]], Table2[ID],Table2[MC1], "Not Found", 0 )</f>
        <v>0</v>
      </c>
      <c r="Z671" s="16">
        <f>_xlfn.XLOOKUP(CustomerCombinedCleaned[[#This Row],[ID]], Table2[ID],Table2[MC2], "Not Found", 0 )</f>
        <v>0</v>
      </c>
      <c r="AA671" s="16">
        <f>_xlfn.XLOOKUP(CustomerCombinedCleaned[[#This Row],[ID]], Table2[ID],Table2[MC3], "Not Found", 0 )</f>
        <v>0</v>
      </c>
      <c r="AB671" s="16">
        <f>_xlfn.XLOOKUP(CustomerCombinedCleaned[[#This Row],[ID]], Table2[ID],Table2[MC4], "Not Found", 0 )</f>
        <v>0</v>
      </c>
      <c r="AC671" s="16">
        <f>_xlfn.XLOOKUP(CustomerCombinedCleaned[[#This Row],[ID]], Table2[ID],Table2[MC5], "Not Found", 0 )</f>
        <v>0</v>
      </c>
    </row>
    <row r="672" spans="1:29" x14ac:dyDescent="0.3">
      <c r="A672" s="18">
        <v>2363</v>
      </c>
      <c r="B672" s="16">
        <v>126907</v>
      </c>
      <c r="C672" s="16">
        <v>1</v>
      </c>
      <c r="D672" s="16">
        <v>1</v>
      </c>
      <c r="E672" s="16">
        <v>44</v>
      </c>
      <c r="F672" s="17" t="s">
        <v>8</v>
      </c>
      <c r="G672" s="17" t="s">
        <v>11</v>
      </c>
      <c r="H672" s="3" t="s">
        <v>197</v>
      </c>
      <c r="I672" s="5" t="s">
        <v>434</v>
      </c>
      <c r="J672" s="16">
        <f>_xlfn.XLOOKUP(CustomerCombinedCleaned[[#This Row],[ID]], Table4[ID], Table4[Recency], "Not Found", 0)</f>
        <v>10</v>
      </c>
      <c r="K672" s="16">
        <f>_xlfn.XLOOKUP(CustomerCombinedCleaned[[#This Row],[ID]], Table4[ID], Table4[Teas], "Not Found", 0)</f>
        <v>42</v>
      </c>
      <c r="L672" s="16">
        <f>_xlfn.XLOOKUP(CustomerCombinedCleaned[[#This Row],[ID]], Table4[ID], Table4[Fruits], "Not Found", 0)</f>
        <v>5</v>
      </c>
      <c r="M672" s="16">
        <f>_xlfn.XLOOKUP(CustomerCombinedCleaned[[#This Row],[ID]], Table4[ID], Table4[Meats], "Not Found", 0)</f>
        <v>33</v>
      </c>
      <c r="N672" s="16">
        <f>_xlfn.XLOOKUP(CustomerCombinedCleaned[[#This Row],[ID]], Table4[ID], Table4[Seafood], "Not Found", 0)</f>
        <v>0</v>
      </c>
      <c r="O672" s="16">
        <f>_xlfn.XLOOKUP(CustomerCombinedCleaned[[#This Row],[ID]], Table4[ID], Table4[Sweets], "Not Found", 0)</f>
        <v>14</v>
      </c>
      <c r="P672" s="16">
        <f>_xlfn.XLOOKUP(CustomerCombinedCleaned[[#This Row],[ID]], Table4[ID], Table4[Premium], "Not Found", 0)</f>
        <v>9</v>
      </c>
      <c r="Q672" s="16">
        <f>_xlfn.XLOOKUP(CustomerCombinedCleaned[[#This Row],[ID]], Table4[ID], Table4[Regular], "Not Found", 0)</f>
        <v>85</v>
      </c>
      <c r="R672" s="16">
        <f>_xlfn.XLOOKUP(CustomerCombinedCleaned[[#This Row],[ID]], Table4[ID], Table4[Deals], "Not Found", 0)</f>
        <v>2</v>
      </c>
      <c r="S672" s="16">
        <f>_xlfn.XLOOKUP(CustomerCombinedCleaned[[#This Row],[ID]], Table4[ID], Table4[Website], "Not Found", 0)</f>
        <v>1</v>
      </c>
      <c r="T672" s="16">
        <f>_xlfn.XLOOKUP(CustomerCombinedCleaned[[#This Row],[ID]], Table4[ID], Table4[Catalog], "Not Found", 0)</f>
        <v>0</v>
      </c>
      <c r="U672" s="16">
        <f>_xlfn.XLOOKUP(CustomerCombinedCleaned[[#This Row],[ID]], Table4[ID], Table4[Store], "Not Found", 0)</f>
        <v>3</v>
      </c>
      <c r="V672" s="16">
        <f>_xlfn.XLOOKUP(CustomerCombinedCleaned[[#This Row],[ID]], Table4[ID], Table4[Visits], "Not Found", 0)</f>
        <v>7</v>
      </c>
      <c r="W672" s="16">
        <f>_xlfn.XLOOKUP(CustomerCombinedCleaned[[#This Row],[ID]], Table2[ID],Table2[Complaint], "Not Found", 0 )</f>
        <v>0</v>
      </c>
      <c r="X672" s="16">
        <f>_xlfn.XLOOKUP(CustomerCombinedCleaned[[#This Row],[ID]], Table2[ID],Table2[Pilot], "Not Found", 0 )</f>
        <v>0</v>
      </c>
      <c r="Y672" s="16">
        <f>_xlfn.XLOOKUP(CustomerCombinedCleaned[[#This Row],[ID]], Table2[ID],Table2[MC1], "Not Found", 0 )</f>
        <v>0</v>
      </c>
      <c r="Z672" s="16">
        <f>_xlfn.XLOOKUP(CustomerCombinedCleaned[[#This Row],[ID]], Table2[ID],Table2[MC2], "Not Found", 0 )</f>
        <v>0</v>
      </c>
      <c r="AA672" s="16">
        <f>_xlfn.XLOOKUP(CustomerCombinedCleaned[[#This Row],[ID]], Table2[ID],Table2[MC3], "Not Found", 0 )</f>
        <v>0</v>
      </c>
      <c r="AB672" s="16">
        <f>_xlfn.XLOOKUP(CustomerCombinedCleaned[[#This Row],[ID]], Table2[ID],Table2[MC4], "Not Found", 0 )</f>
        <v>0</v>
      </c>
      <c r="AC672" s="16">
        <f>_xlfn.XLOOKUP(CustomerCombinedCleaned[[#This Row],[ID]], Table2[ID],Table2[MC5], "Not Found", 0 )</f>
        <v>0</v>
      </c>
    </row>
    <row r="673" spans="1:29" x14ac:dyDescent="0.3">
      <c r="A673" s="18">
        <v>1073</v>
      </c>
      <c r="B673" s="16">
        <v>126326</v>
      </c>
      <c r="C673" s="16">
        <v>0</v>
      </c>
      <c r="D673" s="16">
        <v>0</v>
      </c>
      <c r="E673" s="16">
        <v>44</v>
      </c>
      <c r="F673" s="17" t="s">
        <v>8</v>
      </c>
      <c r="G673" s="17" t="s">
        <v>11</v>
      </c>
      <c r="H673" s="3" t="s">
        <v>792</v>
      </c>
      <c r="I673" s="5" t="s">
        <v>434</v>
      </c>
      <c r="J673" s="16">
        <f>_xlfn.XLOOKUP(CustomerCombinedCleaned[[#This Row],[ID]], Table4[ID], Table4[Recency], "Not Found", 0)</f>
        <v>12</v>
      </c>
      <c r="K673" s="16">
        <f>_xlfn.XLOOKUP(CustomerCombinedCleaned[[#This Row],[ID]], Table4[ID], Table4[Teas], "Not Found", 0)</f>
        <v>5</v>
      </c>
      <c r="L673" s="16">
        <f>_xlfn.XLOOKUP(CustomerCombinedCleaned[[#This Row],[ID]], Table4[ID], Table4[Fruits], "Not Found", 0)</f>
        <v>0</v>
      </c>
      <c r="M673" s="16">
        <f>_xlfn.XLOOKUP(CustomerCombinedCleaned[[#This Row],[ID]], Table4[ID], Table4[Meats], "Not Found", 0)</f>
        <v>24</v>
      </c>
      <c r="N673" s="16">
        <f>_xlfn.XLOOKUP(CustomerCombinedCleaned[[#This Row],[ID]], Table4[ID], Table4[Seafood], "Not Found", 0)</f>
        <v>0</v>
      </c>
      <c r="O673" s="16">
        <f>_xlfn.XLOOKUP(CustomerCombinedCleaned[[#This Row],[ID]], Table4[ID], Table4[Sweets], "Not Found", 0)</f>
        <v>14</v>
      </c>
      <c r="P673" s="16">
        <f>_xlfn.XLOOKUP(CustomerCombinedCleaned[[#This Row],[ID]], Table4[ID], Table4[Premium], "Not Found", 0)</f>
        <v>43</v>
      </c>
      <c r="Q673" s="16">
        <f>_xlfn.XLOOKUP(CustomerCombinedCleaned[[#This Row],[ID]], Table4[ID], Table4[Regular], "Not Found", 0)</f>
        <v>0</v>
      </c>
      <c r="R673" s="16">
        <f>_xlfn.XLOOKUP(CustomerCombinedCleaned[[#This Row],[ID]], Table4[ID], Table4[Deals], "Not Found", 0)</f>
        <v>1</v>
      </c>
      <c r="S673" s="16">
        <f>_xlfn.XLOOKUP(CustomerCombinedCleaned[[#This Row],[ID]], Table4[ID], Table4[Website], "Not Found", 0)</f>
        <v>0</v>
      </c>
      <c r="T673" s="16">
        <f>_xlfn.XLOOKUP(CustomerCombinedCleaned[[#This Row],[ID]], Table4[ID], Table4[Catalog], "Not Found", 0)</f>
        <v>0</v>
      </c>
      <c r="U673" s="16">
        <f>_xlfn.XLOOKUP(CustomerCombinedCleaned[[#This Row],[ID]], Table4[ID], Table4[Store], "Not Found", 0)</f>
        <v>3</v>
      </c>
      <c r="V673" s="16">
        <f>_xlfn.XLOOKUP(CustomerCombinedCleaned[[#This Row],[ID]], Table4[ID], Table4[Visits], "Not Found", 0)</f>
        <v>3</v>
      </c>
      <c r="W673" s="16">
        <f>_xlfn.XLOOKUP(CustomerCombinedCleaned[[#This Row],[ID]], Table2[ID],Table2[Complaint], "Not Found", 0 )</f>
        <v>1</v>
      </c>
      <c r="X673" s="16">
        <f>_xlfn.XLOOKUP(CustomerCombinedCleaned[[#This Row],[ID]], Table2[ID],Table2[Pilot], "Not Found", 0 )</f>
        <v>0</v>
      </c>
      <c r="Y673" s="16">
        <f>_xlfn.XLOOKUP(CustomerCombinedCleaned[[#This Row],[ID]], Table2[ID],Table2[MC1], "Not Found", 0 )</f>
        <v>0</v>
      </c>
      <c r="Z673" s="16">
        <f>_xlfn.XLOOKUP(CustomerCombinedCleaned[[#This Row],[ID]], Table2[ID],Table2[MC2], "Not Found", 0 )</f>
        <v>0</v>
      </c>
      <c r="AA673" s="16">
        <f>_xlfn.XLOOKUP(CustomerCombinedCleaned[[#This Row],[ID]], Table2[ID],Table2[MC3], "Not Found", 0 )</f>
        <v>0</v>
      </c>
      <c r="AB673" s="16">
        <f>_xlfn.XLOOKUP(CustomerCombinedCleaned[[#This Row],[ID]], Table2[ID],Table2[MC4], "Not Found", 0 )</f>
        <v>0</v>
      </c>
      <c r="AC673" s="16">
        <f>_xlfn.XLOOKUP(CustomerCombinedCleaned[[#This Row],[ID]], Table2[ID],Table2[MC5], "Not Found", 0 )</f>
        <v>0</v>
      </c>
    </row>
    <row r="674" spans="1:29" x14ac:dyDescent="0.3">
      <c r="A674" s="18">
        <v>3090</v>
      </c>
      <c r="B674" s="16">
        <v>125176</v>
      </c>
      <c r="C674" s="16">
        <v>1</v>
      </c>
      <c r="D674" s="16">
        <v>1</v>
      </c>
      <c r="E674" s="16">
        <v>44</v>
      </c>
      <c r="F674" s="17" t="s">
        <v>8</v>
      </c>
      <c r="G674" s="17" t="s">
        <v>11</v>
      </c>
      <c r="H674" s="3" t="s">
        <v>207</v>
      </c>
      <c r="I674" s="5" t="s">
        <v>436</v>
      </c>
      <c r="J674" s="16">
        <f>_xlfn.XLOOKUP(CustomerCombinedCleaned[[#This Row],[ID]], Table4[ID], Table4[Recency], "Not Found", 0)</f>
        <v>79</v>
      </c>
      <c r="K674" s="16">
        <f>_xlfn.XLOOKUP(CustomerCombinedCleaned[[#This Row],[ID]], Table4[ID], Table4[Teas], "Not Found", 0)</f>
        <v>20</v>
      </c>
      <c r="L674" s="16">
        <f>_xlfn.XLOOKUP(CustomerCombinedCleaned[[#This Row],[ID]], Table4[ID], Table4[Fruits], "Not Found", 0)</f>
        <v>0</v>
      </c>
      <c r="M674" s="16">
        <f>_xlfn.XLOOKUP(CustomerCombinedCleaned[[#This Row],[ID]], Table4[ID], Table4[Meats], "Not Found", 0)</f>
        <v>20</v>
      </c>
      <c r="N674" s="16">
        <f>_xlfn.XLOOKUP(CustomerCombinedCleaned[[#This Row],[ID]], Table4[ID], Table4[Seafood], "Not Found", 0)</f>
        <v>0</v>
      </c>
      <c r="O674" s="16">
        <f>_xlfn.XLOOKUP(CustomerCombinedCleaned[[#This Row],[ID]], Table4[ID], Table4[Sweets], "Not Found", 0)</f>
        <v>0</v>
      </c>
      <c r="P674" s="16">
        <f>_xlfn.XLOOKUP(CustomerCombinedCleaned[[#This Row],[ID]], Table4[ID], Table4[Premium], "Not Found", 0)</f>
        <v>25</v>
      </c>
      <c r="Q674" s="16">
        <f>_xlfn.XLOOKUP(CustomerCombinedCleaned[[#This Row],[ID]], Table4[ID], Table4[Regular], "Not Found", 0)</f>
        <v>15</v>
      </c>
      <c r="R674" s="16">
        <f>_xlfn.XLOOKUP(CustomerCombinedCleaned[[#This Row],[ID]], Table4[ID], Table4[Deals], "Not Found", 0)</f>
        <v>1</v>
      </c>
      <c r="S674" s="16">
        <f>_xlfn.XLOOKUP(CustomerCombinedCleaned[[#This Row],[ID]], Table4[ID], Table4[Website], "Not Found", 0)</f>
        <v>1</v>
      </c>
      <c r="T674" s="16">
        <f>_xlfn.XLOOKUP(CustomerCombinedCleaned[[#This Row],[ID]], Table4[ID], Table4[Catalog], "Not Found", 0)</f>
        <v>0</v>
      </c>
      <c r="U674" s="16">
        <f>_xlfn.XLOOKUP(CustomerCombinedCleaned[[#This Row],[ID]], Table4[ID], Table4[Store], "Not Found", 0)</f>
        <v>2</v>
      </c>
      <c r="V674" s="16">
        <f>_xlfn.XLOOKUP(CustomerCombinedCleaned[[#This Row],[ID]], Table4[ID], Table4[Visits], "Not Found", 0)</f>
        <v>7</v>
      </c>
      <c r="W674" s="16">
        <f>_xlfn.XLOOKUP(CustomerCombinedCleaned[[#This Row],[ID]], Table2[ID],Table2[Complaint], "Not Found", 0 )</f>
        <v>0</v>
      </c>
      <c r="X674" s="16">
        <f>_xlfn.XLOOKUP(CustomerCombinedCleaned[[#This Row],[ID]], Table2[ID],Table2[Pilot], "Not Found", 0 )</f>
        <v>0</v>
      </c>
      <c r="Y674" s="16">
        <f>_xlfn.XLOOKUP(CustomerCombinedCleaned[[#This Row],[ID]], Table2[ID],Table2[MC1], "Not Found", 0 )</f>
        <v>0</v>
      </c>
      <c r="Z674" s="16">
        <f>_xlfn.XLOOKUP(CustomerCombinedCleaned[[#This Row],[ID]], Table2[ID],Table2[MC2], "Not Found", 0 )</f>
        <v>0</v>
      </c>
      <c r="AA674" s="16">
        <f>_xlfn.XLOOKUP(CustomerCombinedCleaned[[#This Row],[ID]], Table2[ID],Table2[MC3], "Not Found", 0 )</f>
        <v>0</v>
      </c>
      <c r="AB674" s="16">
        <f>_xlfn.XLOOKUP(CustomerCombinedCleaned[[#This Row],[ID]], Table2[ID],Table2[MC4], "Not Found", 0 )</f>
        <v>0</v>
      </c>
      <c r="AC674" s="16">
        <f>_xlfn.XLOOKUP(CustomerCombinedCleaned[[#This Row],[ID]], Table2[ID],Table2[MC5], "Not Found", 0 )</f>
        <v>0</v>
      </c>
    </row>
    <row r="675" spans="1:29" x14ac:dyDescent="0.3">
      <c r="A675" s="18">
        <v>1432</v>
      </c>
      <c r="B675" s="16">
        <v>124027</v>
      </c>
      <c r="C675" s="16">
        <v>1</v>
      </c>
      <c r="D675" s="16">
        <v>0</v>
      </c>
      <c r="E675" s="16">
        <v>44</v>
      </c>
      <c r="F675" s="17" t="s">
        <v>6</v>
      </c>
      <c r="G675" s="17" t="s">
        <v>11</v>
      </c>
      <c r="H675" s="3" t="s">
        <v>243</v>
      </c>
      <c r="I675" s="5" t="s">
        <v>439</v>
      </c>
      <c r="J675" s="16">
        <f>_xlfn.XLOOKUP(CustomerCombinedCleaned[[#This Row],[ID]], Table4[ID], Table4[Recency], "Not Found", 0)</f>
        <v>7</v>
      </c>
      <c r="K675" s="16">
        <f>_xlfn.XLOOKUP(CustomerCombinedCleaned[[#This Row],[ID]], Table4[ID], Table4[Teas], "Not Found", 0)</f>
        <v>72</v>
      </c>
      <c r="L675" s="16">
        <f>_xlfn.XLOOKUP(CustomerCombinedCleaned[[#This Row],[ID]], Table4[ID], Table4[Fruits], "Not Found", 0)</f>
        <v>36</v>
      </c>
      <c r="M675" s="16">
        <f>_xlfn.XLOOKUP(CustomerCombinedCleaned[[#This Row],[ID]], Table4[ID], Table4[Meats], "Not Found", 0)</f>
        <v>57</v>
      </c>
      <c r="N675" s="16">
        <f>_xlfn.XLOOKUP(CustomerCombinedCleaned[[#This Row],[ID]], Table4[ID], Table4[Seafood], "Not Found", 0)</f>
        <v>57</v>
      </c>
      <c r="O675" s="16">
        <f>_xlfn.XLOOKUP(CustomerCombinedCleaned[[#This Row],[ID]], Table4[ID], Table4[Sweets], "Not Found", 0)</f>
        <v>0</v>
      </c>
      <c r="P675" s="16">
        <f>_xlfn.XLOOKUP(CustomerCombinedCleaned[[#This Row],[ID]], Table4[ID], Table4[Premium], "Not Found", 0)</f>
        <v>26</v>
      </c>
      <c r="Q675" s="16">
        <f>_xlfn.XLOOKUP(CustomerCombinedCleaned[[#This Row],[ID]], Table4[ID], Table4[Regular], "Not Found", 0)</f>
        <v>196</v>
      </c>
      <c r="R675" s="16">
        <f>_xlfn.XLOOKUP(CustomerCombinedCleaned[[#This Row],[ID]], Table4[ID], Table4[Deals], "Not Found", 0)</f>
        <v>2</v>
      </c>
      <c r="S675" s="16">
        <f>_xlfn.XLOOKUP(CustomerCombinedCleaned[[#This Row],[ID]], Table4[ID], Table4[Website], "Not Found", 0)</f>
        <v>2</v>
      </c>
      <c r="T675" s="16">
        <f>_xlfn.XLOOKUP(CustomerCombinedCleaned[[#This Row],[ID]], Table4[ID], Table4[Catalog], "Not Found", 0)</f>
        <v>0</v>
      </c>
      <c r="U675" s="16">
        <f>_xlfn.XLOOKUP(CustomerCombinedCleaned[[#This Row],[ID]], Table4[ID], Table4[Store], "Not Found", 0)</f>
        <v>3</v>
      </c>
      <c r="V675" s="16">
        <f>_xlfn.XLOOKUP(CustomerCombinedCleaned[[#This Row],[ID]], Table4[ID], Table4[Visits], "Not Found", 0)</f>
        <v>8</v>
      </c>
      <c r="W675" s="16">
        <f>_xlfn.XLOOKUP(CustomerCombinedCleaned[[#This Row],[ID]], Table2[ID],Table2[Complaint], "Not Found", 0 )</f>
        <v>0</v>
      </c>
      <c r="X675" s="16">
        <f>_xlfn.XLOOKUP(CustomerCombinedCleaned[[#This Row],[ID]], Table2[ID],Table2[Pilot], "Not Found", 0 )</f>
        <v>0</v>
      </c>
      <c r="Y675" s="16">
        <f>_xlfn.XLOOKUP(CustomerCombinedCleaned[[#This Row],[ID]], Table2[ID],Table2[MC1], "Not Found", 0 )</f>
        <v>0</v>
      </c>
      <c r="Z675" s="16">
        <f>_xlfn.XLOOKUP(CustomerCombinedCleaned[[#This Row],[ID]], Table2[ID],Table2[MC2], "Not Found", 0 )</f>
        <v>0</v>
      </c>
      <c r="AA675" s="16">
        <f>_xlfn.XLOOKUP(CustomerCombinedCleaned[[#This Row],[ID]], Table2[ID],Table2[MC3], "Not Found", 0 )</f>
        <v>0</v>
      </c>
      <c r="AB675" s="16">
        <f>_xlfn.XLOOKUP(CustomerCombinedCleaned[[#This Row],[ID]], Table2[ID],Table2[MC4], "Not Found", 0 )</f>
        <v>0</v>
      </c>
      <c r="AC675" s="16">
        <f>_xlfn.XLOOKUP(CustomerCombinedCleaned[[#This Row],[ID]], Table2[ID],Table2[MC5], "Not Found", 0 )</f>
        <v>0</v>
      </c>
    </row>
    <row r="676" spans="1:29" x14ac:dyDescent="0.3">
      <c r="A676" s="18">
        <v>1036</v>
      </c>
      <c r="B676" s="16">
        <v>123718</v>
      </c>
      <c r="C676" s="16">
        <v>1</v>
      </c>
      <c r="D676" s="16">
        <v>0</v>
      </c>
      <c r="E676" s="16">
        <v>44</v>
      </c>
      <c r="F676" s="17" t="s">
        <v>6</v>
      </c>
      <c r="G676" s="17" t="s">
        <v>11</v>
      </c>
      <c r="H676" s="3" t="s">
        <v>791</v>
      </c>
      <c r="I676" s="5" t="s">
        <v>439</v>
      </c>
      <c r="J676" s="16">
        <f>_xlfn.XLOOKUP(CustomerCombinedCleaned[[#This Row],[ID]], Table4[ID], Table4[Recency], "Not Found", 0)</f>
        <v>76</v>
      </c>
      <c r="K676" s="16">
        <f>_xlfn.XLOOKUP(CustomerCombinedCleaned[[#This Row],[ID]], Table4[ID], Table4[Teas], "Not Found", 0)</f>
        <v>31</v>
      </c>
      <c r="L676" s="16">
        <f>_xlfn.XLOOKUP(CustomerCombinedCleaned[[#This Row],[ID]], Table4[ID], Table4[Fruits], "Not Found", 0)</f>
        <v>16</v>
      </c>
      <c r="M676" s="16">
        <f>_xlfn.XLOOKUP(CustomerCombinedCleaned[[#This Row],[ID]], Table4[ID], Table4[Meats], "Not Found", 0)</f>
        <v>73</v>
      </c>
      <c r="N676" s="16">
        <f>_xlfn.XLOOKUP(CustomerCombinedCleaned[[#This Row],[ID]], Table4[ID], Table4[Seafood], "Not Found", 0)</f>
        <v>78</v>
      </c>
      <c r="O676" s="16">
        <f>_xlfn.XLOOKUP(CustomerCombinedCleaned[[#This Row],[ID]], Table4[ID], Table4[Sweets], "Not Found", 0)</f>
        <v>37</v>
      </c>
      <c r="P676" s="16">
        <f>_xlfn.XLOOKUP(CustomerCombinedCleaned[[#This Row],[ID]], Table4[ID], Table4[Premium], "Not Found", 0)</f>
        <v>188</v>
      </c>
      <c r="Q676" s="16">
        <f>_xlfn.XLOOKUP(CustomerCombinedCleaned[[#This Row],[ID]], Table4[ID], Table4[Regular], "Not Found", 0)</f>
        <v>47</v>
      </c>
      <c r="R676" s="16">
        <f>_xlfn.XLOOKUP(CustomerCombinedCleaned[[#This Row],[ID]], Table4[ID], Table4[Deals], "Not Found", 0)</f>
        <v>3</v>
      </c>
      <c r="S676" s="16">
        <f>_xlfn.XLOOKUP(CustomerCombinedCleaned[[#This Row],[ID]], Table4[ID], Table4[Website], "Not Found", 0)</f>
        <v>3</v>
      </c>
      <c r="T676" s="16">
        <f>_xlfn.XLOOKUP(CustomerCombinedCleaned[[#This Row],[ID]], Table4[ID], Table4[Catalog], "Not Found", 0)</f>
        <v>1</v>
      </c>
      <c r="U676" s="16">
        <f>_xlfn.XLOOKUP(CustomerCombinedCleaned[[#This Row],[ID]], Table4[ID], Table4[Store], "Not Found", 0)</f>
        <v>2</v>
      </c>
      <c r="V676" s="16">
        <f>_xlfn.XLOOKUP(CustomerCombinedCleaned[[#This Row],[ID]], Table4[ID], Table4[Visits], "Not Found", 0)</f>
        <v>7</v>
      </c>
      <c r="W676" s="16">
        <f>_xlfn.XLOOKUP(CustomerCombinedCleaned[[#This Row],[ID]], Table2[ID],Table2[Complaint], "Not Found", 0 )</f>
        <v>0</v>
      </c>
      <c r="X676" s="16">
        <f>_xlfn.XLOOKUP(CustomerCombinedCleaned[[#This Row],[ID]], Table2[ID],Table2[Pilot], "Not Found", 0 )</f>
        <v>0</v>
      </c>
      <c r="Y676" s="16">
        <f>_xlfn.XLOOKUP(CustomerCombinedCleaned[[#This Row],[ID]], Table2[ID],Table2[MC1], "Not Found", 0 )</f>
        <v>0</v>
      </c>
      <c r="Z676" s="16">
        <f>_xlfn.XLOOKUP(CustomerCombinedCleaned[[#This Row],[ID]], Table2[ID],Table2[MC2], "Not Found", 0 )</f>
        <v>0</v>
      </c>
      <c r="AA676" s="16">
        <f>_xlfn.XLOOKUP(CustomerCombinedCleaned[[#This Row],[ID]], Table2[ID],Table2[MC3], "Not Found", 0 )</f>
        <v>0</v>
      </c>
      <c r="AB676" s="16">
        <f>_xlfn.XLOOKUP(CustomerCombinedCleaned[[#This Row],[ID]], Table2[ID],Table2[MC4], "Not Found", 0 )</f>
        <v>0</v>
      </c>
      <c r="AC676" s="16">
        <f>_xlfn.XLOOKUP(CustomerCombinedCleaned[[#This Row],[ID]], Table2[ID],Table2[MC5], "Not Found", 0 )</f>
        <v>0</v>
      </c>
    </row>
    <row r="677" spans="1:29" x14ac:dyDescent="0.3">
      <c r="A677" s="18">
        <v>1853</v>
      </c>
      <c r="B677" s="16">
        <v>121675</v>
      </c>
      <c r="C677" s="16">
        <v>1</v>
      </c>
      <c r="D677" s="16">
        <v>0</v>
      </c>
      <c r="E677" s="16">
        <v>44</v>
      </c>
      <c r="F677" s="17" t="s">
        <v>8</v>
      </c>
      <c r="G677" s="17" t="s">
        <v>11</v>
      </c>
      <c r="H677" s="3" t="s">
        <v>38</v>
      </c>
      <c r="I677" s="5" t="s">
        <v>434</v>
      </c>
      <c r="J677" s="16">
        <f>_xlfn.XLOOKUP(CustomerCombinedCleaned[[#This Row],[ID]], Table4[ID], Table4[Recency], "Not Found", 0)</f>
        <v>55</v>
      </c>
      <c r="K677" s="16">
        <f>_xlfn.XLOOKUP(CustomerCombinedCleaned[[#This Row],[ID]], Table4[ID], Table4[Teas], "Not Found", 0)</f>
        <v>22</v>
      </c>
      <c r="L677" s="16">
        <f>_xlfn.XLOOKUP(CustomerCombinedCleaned[[#This Row],[ID]], Table4[ID], Table4[Fruits], "Not Found", 0)</f>
        <v>0</v>
      </c>
      <c r="M677" s="16">
        <f>_xlfn.XLOOKUP(CustomerCombinedCleaned[[#This Row],[ID]], Table4[ID], Table4[Meats], "Not Found", 0)</f>
        <v>90</v>
      </c>
      <c r="N677" s="16">
        <f>_xlfn.XLOOKUP(CustomerCombinedCleaned[[#This Row],[ID]], Table4[ID], Table4[Seafood], "Not Found", 0)</f>
        <v>95</v>
      </c>
      <c r="O677" s="16">
        <f>_xlfn.XLOOKUP(CustomerCombinedCleaned[[#This Row],[ID]], Table4[ID], Table4[Sweets], "Not Found", 0)</f>
        <v>22</v>
      </c>
      <c r="P677" s="16">
        <f>_xlfn.XLOOKUP(CustomerCombinedCleaned[[#This Row],[ID]], Table4[ID], Table4[Premium], "Not Found", 0)</f>
        <v>22</v>
      </c>
      <c r="Q677" s="16">
        <f>_xlfn.XLOOKUP(CustomerCombinedCleaned[[#This Row],[ID]], Table4[ID], Table4[Regular], "Not Found", 0)</f>
        <v>208</v>
      </c>
      <c r="R677" s="16">
        <f>_xlfn.XLOOKUP(CustomerCombinedCleaned[[#This Row],[ID]], Table4[ID], Table4[Deals], "Not Found", 0)</f>
        <v>3</v>
      </c>
      <c r="S677" s="16">
        <f>_xlfn.XLOOKUP(CustomerCombinedCleaned[[#This Row],[ID]], Table4[ID], Table4[Website], "Not Found", 0)</f>
        <v>4</v>
      </c>
      <c r="T677" s="16">
        <f>_xlfn.XLOOKUP(CustomerCombinedCleaned[[#This Row],[ID]], Table4[ID], Table4[Catalog], "Not Found", 0)</f>
        <v>0</v>
      </c>
      <c r="U677" s="16">
        <f>_xlfn.XLOOKUP(CustomerCombinedCleaned[[#This Row],[ID]], Table4[ID], Table4[Store], "Not Found", 0)</f>
        <v>3</v>
      </c>
      <c r="V677" s="16">
        <f>_xlfn.XLOOKUP(CustomerCombinedCleaned[[#This Row],[ID]], Table4[ID], Table4[Visits], "Not Found", 0)</f>
        <v>7</v>
      </c>
      <c r="W677" s="16">
        <f>_xlfn.XLOOKUP(CustomerCombinedCleaned[[#This Row],[ID]], Table2[ID],Table2[Complaint], "Not Found", 0 )</f>
        <v>0</v>
      </c>
      <c r="X677" s="16">
        <f>_xlfn.XLOOKUP(CustomerCombinedCleaned[[#This Row],[ID]], Table2[ID],Table2[Pilot], "Not Found", 0 )</f>
        <v>0</v>
      </c>
      <c r="Y677" s="16">
        <f>_xlfn.XLOOKUP(CustomerCombinedCleaned[[#This Row],[ID]], Table2[ID],Table2[MC1], "Not Found", 0 )</f>
        <v>0</v>
      </c>
      <c r="Z677" s="16">
        <f>_xlfn.XLOOKUP(CustomerCombinedCleaned[[#This Row],[ID]], Table2[ID],Table2[MC2], "Not Found", 0 )</f>
        <v>0</v>
      </c>
      <c r="AA677" s="16">
        <f>_xlfn.XLOOKUP(CustomerCombinedCleaned[[#This Row],[ID]], Table2[ID],Table2[MC3], "Not Found", 0 )</f>
        <v>0</v>
      </c>
      <c r="AB677" s="16">
        <f>_xlfn.XLOOKUP(CustomerCombinedCleaned[[#This Row],[ID]], Table2[ID],Table2[MC4], "Not Found", 0 )</f>
        <v>0</v>
      </c>
      <c r="AC677" s="16">
        <f>_xlfn.XLOOKUP(CustomerCombinedCleaned[[#This Row],[ID]], Table2[ID],Table2[MC5], "Not Found", 0 )</f>
        <v>0</v>
      </c>
    </row>
    <row r="678" spans="1:29" x14ac:dyDescent="0.3">
      <c r="A678" s="18">
        <v>2832</v>
      </c>
      <c r="B678" s="16">
        <v>121024</v>
      </c>
      <c r="C678" s="16">
        <v>0</v>
      </c>
      <c r="D678" s="16">
        <v>0</v>
      </c>
      <c r="E678" s="16">
        <v>44</v>
      </c>
      <c r="F678" s="17" t="s">
        <v>8</v>
      </c>
      <c r="G678" s="17" t="s">
        <v>12</v>
      </c>
      <c r="H678" s="3" t="s">
        <v>632</v>
      </c>
      <c r="I678" s="5" t="s">
        <v>436</v>
      </c>
      <c r="J678" s="16">
        <f>_xlfn.XLOOKUP(CustomerCombinedCleaned[[#This Row],[ID]], Table4[ID], Table4[Recency], "Not Found", 0)</f>
        <v>89</v>
      </c>
      <c r="K678" s="16">
        <f>_xlfn.XLOOKUP(CustomerCombinedCleaned[[#This Row],[ID]], Table4[ID], Table4[Teas], "Not Found", 0)</f>
        <v>207</v>
      </c>
      <c r="L678" s="16">
        <f>_xlfn.XLOOKUP(CustomerCombinedCleaned[[#This Row],[ID]], Table4[ID], Table4[Fruits], "Not Found", 0)</f>
        <v>23</v>
      </c>
      <c r="M678" s="16">
        <f>_xlfn.XLOOKUP(CustomerCombinedCleaned[[#This Row],[ID]], Table4[ID], Table4[Meats], "Not Found", 0)</f>
        <v>104</v>
      </c>
      <c r="N678" s="16">
        <f>_xlfn.XLOOKUP(CustomerCombinedCleaned[[#This Row],[ID]], Table4[ID], Table4[Seafood], "Not Found", 0)</f>
        <v>35</v>
      </c>
      <c r="O678" s="16">
        <f>_xlfn.XLOOKUP(CustomerCombinedCleaned[[#This Row],[ID]], Table4[ID], Table4[Sweets], "Not Found", 0)</f>
        <v>12</v>
      </c>
      <c r="P678" s="16">
        <f>_xlfn.XLOOKUP(CustomerCombinedCleaned[[#This Row],[ID]], Table4[ID], Table4[Premium], "Not Found", 0)</f>
        <v>104</v>
      </c>
      <c r="Q678" s="16">
        <f>_xlfn.XLOOKUP(CustomerCombinedCleaned[[#This Row],[ID]], Table4[ID], Table4[Regular], "Not Found", 0)</f>
        <v>276</v>
      </c>
      <c r="R678" s="16">
        <f>_xlfn.XLOOKUP(CustomerCombinedCleaned[[#This Row],[ID]], Table4[ID], Table4[Deals], "Not Found", 0)</f>
        <v>1</v>
      </c>
      <c r="S678" s="16">
        <f>_xlfn.XLOOKUP(CustomerCombinedCleaned[[#This Row],[ID]], Table4[ID], Table4[Website], "Not Found", 0)</f>
        <v>2</v>
      </c>
      <c r="T678" s="16">
        <f>_xlfn.XLOOKUP(CustomerCombinedCleaned[[#This Row],[ID]], Table4[ID], Table4[Catalog], "Not Found", 0)</f>
        <v>0</v>
      </c>
      <c r="U678" s="16">
        <f>_xlfn.XLOOKUP(CustomerCombinedCleaned[[#This Row],[ID]], Table4[ID], Table4[Store], "Not Found", 0)</f>
        <v>4</v>
      </c>
      <c r="V678" s="16">
        <f>_xlfn.XLOOKUP(CustomerCombinedCleaned[[#This Row],[ID]], Table4[ID], Table4[Visits], "Not Found", 0)</f>
        <v>7</v>
      </c>
      <c r="W678" s="16">
        <f>_xlfn.XLOOKUP(CustomerCombinedCleaned[[#This Row],[ID]], Table2[ID],Table2[Complaint], "Not Found", 0 )</f>
        <v>0</v>
      </c>
      <c r="X678" s="16">
        <f>_xlfn.XLOOKUP(CustomerCombinedCleaned[[#This Row],[ID]], Table2[ID],Table2[Pilot], "Not Found", 0 )</f>
        <v>0</v>
      </c>
      <c r="Y678" s="16">
        <f>_xlfn.XLOOKUP(CustomerCombinedCleaned[[#This Row],[ID]], Table2[ID],Table2[MC1], "Not Found", 0 )</f>
        <v>0</v>
      </c>
      <c r="Z678" s="16">
        <f>_xlfn.XLOOKUP(CustomerCombinedCleaned[[#This Row],[ID]], Table2[ID],Table2[MC2], "Not Found", 0 )</f>
        <v>0</v>
      </c>
      <c r="AA678" s="16">
        <f>_xlfn.XLOOKUP(CustomerCombinedCleaned[[#This Row],[ID]], Table2[ID],Table2[MC3], "Not Found", 0 )</f>
        <v>0</v>
      </c>
      <c r="AB678" s="16">
        <f>_xlfn.XLOOKUP(CustomerCombinedCleaned[[#This Row],[ID]], Table2[ID],Table2[MC4], "Not Found", 0 )</f>
        <v>0</v>
      </c>
      <c r="AC678" s="16">
        <f>_xlfn.XLOOKUP(CustomerCombinedCleaned[[#This Row],[ID]], Table2[ID],Table2[MC5], "Not Found", 0 )</f>
        <v>0</v>
      </c>
    </row>
    <row r="679" spans="1:29" x14ac:dyDescent="0.3">
      <c r="A679" s="18">
        <v>2000</v>
      </c>
      <c r="B679" s="16">
        <v>120180</v>
      </c>
      <c r="C679" s="16">
        <v>0</v>
      </c>
      <c r="D679" s="16">
        <v>0</v>
      </c>
      <c r="E679" s="16">
        <v>44</v>
      </c>
      <c r="F679" s="17" t="s">
        <v>7</v>
      </c>
      <c r="G679" s="17" t="s">
        <v>11</v>
      </c>
      <c r="H679" s="3" t="s">
        <v>303</v>
      </c>
      <c r="I679" s="5" t="s">
        <v>438</v>
      </c>
      <c r="J679" s="16">
        <f>_xlfn.XLOOKUP(CustomerCombinedCleaned[[#This Row],[ID]], Table4[ID], Table4[Recency], "Not Found", 0)</f>
        <v>27</v>
      </c>
      <c r="K679" s="16">
        <f>_xlfn.XLOOKUP(CustomerCombinedCleaned[[#This Row],[ID]], Table4[ID], Table4[Teas], "Not Found", 0)</f>
        <v>107</v>
      </c>
      <c r="L679" s="16">
        <f>_xlfn.XLOOKUP(CustomerCombinedCleaned[[#This Row],[ID]], Table4[ID], Table4[Fruits], "Not Found", 0)</f>
        <v>250</v>
      </c>
      <c r="M679" s="16">
        <f>_xlfn.XLOOKUP(CustomerCombinedCleaned[[#This Row],[ID]], Table4[ID], Table4[Meats], "Not Found", 0)</f>
        <v>143</v>
      </c>
      <c r="N679" s="16">
        <f>_xlfn.XLOOKUP(CustomerCombinedCleaned[[#This Row],[ID]], Table4[ID], Table4[Seafood], "Not Found", 0)</f>
        <v>89</v>
      </c>
      <c r="O679" s="16">
        <f>_xlfn.XLOOKUP(CustomerCombinedCleaned[[#This Row],[ID]], Table4[ID], Table4[Sweets], "Not Found", 0)</f>
        <v>119</v>
      </c>
      <c r="P679" s="16">
        <f>_xlfn.XLOOKUP(CustomerCombinedCleaned[[#This Row],[ID]], Table4[ID], Table4[Premium], "Not Found", 0)</f>
        <v>107</v>
      </c>
      <c r="Q679" s="16">
        <f>_xlfn.XLOOKUP(CustomerCombinedCleaned[[#This Row],[ID]], Table4[ID], Table4[Regular], "Not Found", 0)</f>
        <v>601</v>
      </c>
      <c r="R679" s="16">
        <f>_xlfn.XLOOKUP(CustomerCombinedCleaned[[#This Row],[ID]], Table4[ID], Table4[Deals], "Not Found", 0)</f>
        <v>1</v>
      </c>
      <c r="S679" s="16">
        <f>_xlfn.XLOOKUP(CustomerCombinedCleaned[[#This Row],[ID]], Table4[ID], Table4[Website], "Not Found", 0)</f>
        <v>2</v>
      </c>
      <c r="T679" s="16">
        <f>_xlfn.XLOOKUP(CustomerCombinedCleaned[[#This Row],[ID]], Table4[ID], Table4[Catalog], "Not Found", 0)</f>
        <v>1</v>
      </c>
      <c r="U679" s="16">
        <f>_xlfn.XLOOKUP(CustomerCombinedCleaned[[#This Row],[ID]], Table4[ID], Table4[Store], "Not Found", 0)</f>
        <v>4</v>
      </c>
      <c r="V679" s="16">
        <f>_xlfn.XLOOKUP(CustomerCombinedCleaned[[#This Row],[ID]], Table4[ID], Table4[Visits], "Not Found", 0)</f>
        <v>7</v>
      </c>
      <c r="W679" s="16">
        <f>_xlfn.XLOOKUP(CustomerCombinedCleaned[[#This Row],[ID]], Table2[ID],Table2[Complaint], "Not Found", 0 )</f>
        <v>0</v>
      </c>
      <c r="X679" s="16">
        <f>_xlfn.XLOOKUP(CustomerCombinedCleaned[[#This Row],[ID]], Table2[ID],Table2[Pilot], "Not Found", 0 )</f>
        <v>0</v>
      </c>
      <c r="Y679" s="16">
        <f>_xlfn.XLOOKUP(CustomerCombinedCleaned[[#This Row],[ID]], Table2[ID],Table2[MC1], "Not Found", 0 )</f>
        <v>0</v>
      </c>
      <c r="Z679" s="16">
        <f>_xlfn.XLOOKUP(CustomerCombinedCleaned[[#This Row],[ID]], Table2[ID],Table2[MC2], "Not Found", 0 )</f>
        <v>0</v>
      </c>
      <c r="AA679" s="16">
        <f>_xlfn.XLOOKUP(CustomerCombinedCleaned[[#This Row],[ID]], Table2[ID],Table2[MC3], "Not Found", 0 )</f>
        <v>0</v>
      </c>
      <c r="AB679" s="16">
        <f>_xlfn.XLOOKUP(CustomerCombinedCleaned[[#This Row],[ID]], Table2[ID],Table2[MC4], "Not Found", 0 )</f>
        <v>0</v>
      </c>
      <c r="AC679" s="16">
        <f>_xlfn.XLOOKUP(CustomerCombinedCleaned[[#This Row],[ID]], Table2[ID],Table2[MC5], "Not Found", 0 )</f>
        <v>0</v>
      </c>
    </row>
    <row r="680" spans="1:29" x14ac:dyDescent="0.3">
      <c r="A680" s="18">
        <v>2893</v>
      </c>
      <c r="B680" s="16">
        <v>120180</v>
      </c>
      <c r="C680" s="16">
        <v>0</v>
      </c>
      <c r="D680" s="16">
        <v>0</v>
      </c>
      <c r="E680" s="16">
        <v>44</v>
      </c>
      <c r="F680" s="17" t="s">
        <v>7</v>
      </c>
      <c r="G680" s="17" t="s">
        <v>11</v>
      </c>
      <c r="H680" s="3" t="s">
        <v>303</v>
      </c>
      <c r="I680" s="5" t="s">
        <v>437</v>
      </c>
      <c r="J680" s="16">
        <f>_xlfn.XLOOKUP(CustomerCombinedCleaned[[#This Row],[ID]], Table4[ID], Table4[Recency], "Not Found", 0)</f>
        <v>27</v>
      </c>
      <c r="K680" s="16">
        <f>_xlfn.XLOOKUP(CustomerCombinedCleaned[[#This Row],[ID]], Table4[ID], Table4[Teas], "Not Found", 0)</f>
        <v>107</v>
      </c>
      <c r="L680" s="16">
        <f>_xlfn.XLOOKUP(CustomerCombinedCleaned[[#This Row],[ID]], Table4[ID], Table4[Fruits], "Not Found", 0)</f>
        <v>250</v>
      </c>
      <c r="M680" s="16">
        <f>_xlfn.XLOOKUP(CustomerCombinedCleaned[[#This Row],[ID]], Table4[ID], Table4[Meats], "Not Found", 0)</f>
        <v>143</v>
      </c>
      <c r="N680" s="16">
        <f>_xlfn.XLOOKUP(CustomerCombinedCleaned[[#This Row],[ID]], Table4[ID], Table4[Seafood], "Not Found", 0)</f>
        <v>89</v>
      </c>
      <c r="O680" s="16">
        <f>_xlfn.XLOOKUP(CustomerCombinedCleaned[[#This Row],[ID]], Table4[ID], Table4[Sweets], "Not Found", 0)</f>
        <v>119</v>
      </c>
      <c r="P680" s="16">
        <f>_xlfn.XLOOKUP(CustomerCombinedCleaned[[#This Row],[ID]], Table4[ID], Table4[Premium], "Not Found", 0)</f>
        <v>107</v>
      </c>
      <c r="Q680" s="16">
        <f>_xlfn.XLOOKUP(CustomerCombinedCleaned[[#This Row],[ID]], Table4[ID], Table4[Regular], "Not Found", 0)</f>
        <v>601</v>
      </c>
      <c r="R680" s="16">
        <f>_xlfn.XLOOKUP(CustomerCombinedCleaned[[#This Row],[ID]], Table4[ID], Table4[Deals], "Not Found", 0)</f>
        <v>1</v>
      </c>
      <c r="S680" s="16">
        <f>_xlfn.XLOOKUP(CustomerCombinedCleaned[[#This Row],[ID]], Table4[ID], Table4[Website], "Not Found", 0)</f>
        <v>2</v>
      </c>
      <c r="T680" s="16">
        <f>_xlfn.XLOOKUP(CustomerCombinedCleaned[[#This Row],[ID]], Table4[ID], Table4[Catalog], "Not Found", 0)</f>
        <v>1</v>
      </c>
      <c r="U680" s="16">
        <f>_xlfn.XLOOKUP(CustomerCombinedCleaned[[#This Row],[ID]], Table4[ID], Table4[Store], "Not Found", 0)</f>
        <v>4</v>
      </c>
      <c r="V680" s="16">
        <f>_xlfn.XLOOKUP(CustomerCombinedCleaned[[#This Row],[ID]], Table4[ID], Table4[Visits], "Not Found", 0)</f>
        <v>7</v>
      </c>
      <c r="W680" s="16">
        <f>_xlfn.XLOOKUP(CustomerCombinedCleaned[[#This Row],[ID]], Table2[ID],Table2[Complaint], "Not Found", 0 )</f>
        <v>0</v>
      </c>
      <c r="X680" s="16">
        <f>_xlfn.XLOOKUP(CustomerCombinedCleaned[[#This Row],[ID]], Table2[ID],Table2[Pilot], "Not Found", 0 )</f>
        <v>0</v>
      </c>
      <c r="Y680" s="16">
        <f>_xlfn.XLOOKUP(CustomerCombinedCleaned[[#This Row],[ID]], Table2[ID],Table2[MC1], "Not Found", 0 )</f>
        <v>0</v>
      </c>
      <c r="Z680" s="16">
        <f>_xlfn.XLOOKUP(CustomerCombinedCleaned[[#This Row],[ID]], Table2[ID],Table2[MC2], "Not Found", 0 )</f>
        <v>0</v>
      </c>
      <c r="AA680" s="16">
        <f>_xlfn.XLOOKUP(CustomerCombinedCleaned[[#This Row],[ID]], Table2[ID],Table2[MC3], "Not Found", 0 )</f>
        <v>0</v>
      </c>
      <c r="AB680" s="16">
        <f>_xlfn.XLOOKUP(CustomerCombinedCleaned[[#This Row],[ID]], Table2[ID],Table2[MC4], "Not Found", 0 )</f>
        <v>0</v>
      </c>
      <c r="AC680" s="16">
        <f>_xlfn.XLOOKUP(CustomerCombinedCleaned[[#This Row],[ID]], Table2[ID],Table2[MC5], "Not Found", 0 )</f>
        <v>0</v>
      </c>
    </row>
    <row r="681" spans="1:29" x14ac:dyDescent="0.3">
      <c r="A681" s="18">
        <v>3007</v>
      </c>
      <c r="B681" s="16">
        <v>117649</v>
      </c>
      <c r="C681" s="16">
        <v>1</v>
      </c>
      <c r="D681" s="16">
        <v>0</v>
      </c>
      <c r="E681" s="16">
        <v>44</v>
      </c>
      <c r="F681" s="17" t="s">
        <v>6</v>
      </c>
      <c r="G681" s="17" t="s">
        <v>11</v>
      </c>
      <c r="H681" s="3" t="s">
        <v>152</v>
      </c>
      <c r="I681" s="5" t="s">
        <v>437</v>
      </c>
      <c r="J681" s="16">
        <f>_xlfn.XLOOKUP(CustomerCombinedCleaned[[#This Row],[ID]], Table4[ID], Table4[Recency], "Not Found", 0)</f>
        <v>70</v>
      </c>
      <c r="K681" s="16">
        <f>_xlfn.XLOOKUP(CustomerCombinedCleaned[[#This Row],[ID]], Table4[ID], Table4[Teas], "Not Found", 0)</f>
        <v>100</v>
      </c>
      <c r="L681" s="16">
        <f>_xlfn.XLOOKUP(CustomerCombinedCleaned[[#This Row],[ID]], Table4[ID], Table4[Fruits], "Not Found", 0)</f>
        <v>7</v>
      </c>
      <c r="M681" s="16">
        <f>_xlfn.XLOOKUP(CustomerCombinedCleaned[[#This Row],[ID]], Table4[ID], Table4[Meats], "Not Found", 0)</f>
        <v>153</v>
      </c>
      <c r="N681" s="16">
        <f>_xlfn.XLOOKUP(CustomerCombinedCleaned[[#This Row],[ID]], Table4[ID], Table4[Seafood], "Not Found", 0)</f>
        <v>0</v>
      </c>
      <c r="O681" s="16">
        <f>_xlfn.XLOOKUP(CustomerCombinedCleaned[[#This Row],[ID]], Table4[ID], Table4[Sweets], "Not Found", 0)</f>
        <v>33</v>
      </c>
      <c r="P681" s="16">
        <f>_xlfn.XLOOKUP(CustomerCombinedCleaned[[#This Row],[ID]], Table4[ID], Table4[Premium], "Not Found", 0)</f>
        <v>7</v>
      </c>
      <c r="Q681" s="16">
        <f>_xlfn.XLOOKUP(CustomerCombinedCleaned[[#This Row],[ID]], Table4[ID], Table4[Regular], "Not Found", 0)</f>
        <v>287</v>
      </c>
      <c r="R681" s="16">
        <f>_xlfn.XLOOKUP(CustomerCombinedCleaned[[#This Row],[ID]], Table4[ID], Table4[Deals], "Not Found", 0)</f>
        <v>3</v>
      </c>
      <c r="S681" s="16">
        <f>_xlfn.XLOOKUP(CustomerCombinedCleaned[[#This Row],[ID]], Table4[ID], Table4[Website], "Not Found", 0)</f>
        <v>3</v>
      </c>
      <c r="T681" s="16">
        <f>_xlfn.XLOOKUP(CustomerCombinedCleaned[[#This Row],[ID]], Table4[ID], Table4[Catalog], "Not Found", 0)</f>
        <v>0</v>
      </c>
      <c r="U681" s="16">
        <f>_xlfn.XLOOKUP(CustomerCombinedCleaned[[#This Row],[ID]], Table4[ID], Table4[Store], "Not Found", 0)</f>
        <v>3</v>
      </c>
      <c r="V681" s="16">
        <f>_xlfn.XLOOKUP(CustomerCombinedCleaned[[#This Row],[ID]], Table4[ID], Table4[Visits], "Not Found", 0)</f>
        <v>8</v>
      </c>
      <c r="W681" s="16">
        <f>_xlfn.XLOOKUP(CustomerCombinedCleaned[[#This Row],[ID]], Table2[ID],Table2[Complaint], "Not Found", 0 )</f>
        <v>0</v>
      </c>
      <c r="X681" s="16">
        <f>_xlfn.XLOOKUP(CustomerCombinedCleaned[[#This Row],[ID]], Table2[ID],Table2[Pilot], "Not Found", 0 )</f>
        <v>0</v>
      </c>
      <c r="Y681" s="16">
        <f>_xlfn.XLOOKUP(CustomerCombinedCleaned[[#This Row],[ID]], Table2[ID],Table2[MC1], "Not Found", 0 )</f>
        <v>0</v>
      </c>
      <c r="Z681" s="16">
        <f>_xlfn.XLOOKUP(CustomerCombinedCleaned[[#This Row],[ID]], Table2[ID],Table2[MC2], "Not Found", 0 )</f>
        <v>0</v>
      </c>
      <c r="AA681" s="16">
        <f>_xlfn.XLOOKUP(CustomerCombinedCleaned[[#This Row],[ID]], Table2[ID],Table2[MC3], "Not Found", 0 )</f>
        <v>0</v>
      </c>
      <c r="AB681" s="16">
        <f>_xlfn.XLOOKUP(CustomerCombinedCleaned[[#This Row],[ID]], Table2[ID],Table2[MC4], "Not Found", 0 )</f>
        <v>0</v>
      </c>
      <c r="AC681" s="16">
        <f>_xlfn.XLOOKUP(CustomerCombinedCleaned[[#This Row],[ID]], Table2[ID],Table2[MC5], "Not Found", 0 )</f>
        <v>0</v>
      </c>
    </row>
    <row r="682" spans="1:29" x14ac:dyDescent="0.3">
      <c r="A682" s="18">
        <v>3120</v>
      </c>
      <c r="B682" s="16">
        <v>117148</v>
      </c>
      <c r="C682" s="16">
        <v>1</v>
      </c>
      <c r="D682" s="16">
        <v>0</v>
      </c>
      <c r="E682" s="16">
        <v>44</v>
      </c>
      <c r="F682" s="17" t="s">
        <v>6</v>
      </c>
      <c r="G682" s="17" t="s">
        <v>11</v>
      </c>
      <c r="H682" s="3" t="s">
        <v>749</v>
      </c>
      <c r="I682" s="5" t="s">
        <v>436</v>
      </c>
      <c r="J682" s="16">
        <f>_xlfn.XLOOKUP(CustomerCombinedCleaned[[#This Row],[ID]], Table4[ID], Table4[Recency], "Not Found", 0)</f>
        <v>80</v>
      </c>
      <c r="K682" s="16">
        <f>_xlfn.XLOOKUP(CustomerCombinedCleaned[[#This Row],[ID]], Table4[ID], Table4[Teas], "Not Found", 0)</f>
        <v>61</v>
      </c>
      <c r="L682" s="16">
        <f>_xlfn.XLOOKUP(CustomerCombinedCleaned[[#This Row],[ID]], Table4[ID], Table4[Fruits], "Not Found", 0)</f>
        <v>61</v>
      </c>
      <c r="M682" s="16">
        <f>_xlfn.XLOOKUP(CustomerCombinedCleaned[[#This Row],[ID]], Table4[ID], Table4[Meats], "Not Found", 0)</f>
        <v>75</v>
      </c>
      <c r="N682" s="16">
        <f>_xlfn.XLOOKUP(CustomerCombinedCleaned[[#This Row],[ID]], Table4[ID], Table4[Seafood], "Not Found", 0)</f>
        <v>89</v>
      </c>
      <c r="O682" s="16">
        <f>_xlfn.XLOOKUP(CustomerCombinedCleaned[[#This Row],[ID]], Table4[ID], Table4[Sweets], "Not Found", 0)</f>
        <v>68</v>
      </c>
      <c r="P682" s="16">
        <f>_xlfn.XLOOKUP(CustomerCombinedCleaned[[#This Row],[ID]], Table4[ID], Table4[Premium], "Not Found", 0)</f>
        <v>109</v>
      </c>
      <c r="Q682" s="16">
        <f>_xlfn.XLOOKUP(CustomerCombinedCleaned[[#This Row],[ID]], Table4[ID], Table4[Regular], "Not Found", 0)</f>
        <v>246</v>
      </c>
      <c r="R682" s="16">
        <f>_xlfn.XLOOKUP(CustomerCombinedCleaned[[#This Row],[ID]], Table4[ID], Table4[Deals], "Not Found", 0)</f>
        <v>4</v>
      </c>
      <c r="S682" s="16">
        <f>_xlfn.XLOOKUP(CustomerCombinedCleaned[[#This Row],[ID]], Table4[ID], Table4[Website], "Not Found", 0)</f>
        <v>3</v>
      </c>
      <c r="T682" s="16">
        <f>_xlfn.XLOOKUP(CustomerCombinedCleaned[[#This Row],[ID]], Table4[ID], Table4[Catalog], "Not Found", 0)</f>
        <v>1</v>
      </c>
      <c r="U682" s="16">
        <f>_xlfn.XLOOKUP(CustomerCombinedCleaned[[#This Row],[ID]], Table4[ID], Table4[Store], "Not Found", 0)</f>
        <v>3</v>
      </c>
      <c r="V682" s="16">
        <f>_xlfn.XLOOKUP(CustomerCombinedCleaned[[#This Row],[ID]], Table4[ID], Table4[Visits], "Not Found", 0)</f>
        <v>8</v>
      </c>
      <c r="W682" s="16">
        <f>_xlfn.XLOOKUP(CustomerCombinedCleaned[[#This Row],[ID]], Table2[ID],Table2[Complaint], "Not Found", 0 )</f>
        <v>0</v>
      </c>
      <c r="X682" s="16">
        <f>_xlfn.XLOOKUP(CustomerCombinedCleaned[[#This Row],[ID]], Table2[ID],Table2[Pilot], "Not Found", 0 )</f>
        <v>0</v>
      </c>
      <c r="Y682" s="16">
        <f>_xlfn.XLOOKUP(CustomerCombinedCleaned[[#This Row],[ID]], Table2[ID],Table2[MC1], "Not Found", 0 )</f>
        <v>0</v>
      </c>
      <c r="Z682" s="16">
        <f>_xlfn.XLOOKUP(CustomerCombinedCleaned[[#This Row],[ID]], Table2[ID],Table2[MC2], "Not Found", 0 )</f>
        <v>0</v>
      </c>
      <c r="AA682" s="16">
        <f>_xlfn.XLOOKUP(CustomerCombinedCleaned[[#This Row],[ID]], Table2[ID],Table2[MC3], "Not Found", 0 )</f>
        <v>0</v>
      </c>
      <c r="AB682" s="16">
        <f>_xlfn.XLOOKUP(CustomerCombinedCleaned[[#This Row],[ID]], Table2[ID],Table2[MC4], "Not Found", 0 )</f>
        <v>0</v>
      </c>
      <c r="AC682" s="16">
        <f>_xlfn.XLOOKUP(CustomerCombinedCleaned[[#This Row],[ID]], Table2[ID],Table2[MC5], "Not Found", 0 )</f>
        <v>0</v>
      </c>
    </row>
    <row r="683" spans="1:29" x14ac:dyDescent="0.3">
      <c r="A683" s="18">
        <v>1936</v>
      </c>
      <c r="B683" s="16">
        <v>116927</v>
      </c>
      <c r="C683" s="16">
        <v>1</v>
      </c>
      <c r="D683" s="16">
        <v>1</v>
      </c>
      <c r="E683" s="16">
        <v>44</v>
      </c>
      <c r="F683" s="17" t="s">
        <v>6</v>
      </c>
      <c r="G683" s="17" t="s">
        <v>13</v>
      </c>
      <c r="H683" s="3" t="s">
        <v>313</v>
      </c>
      <c r="I683" s="5" t="s">
        <v>439</v>
      </c>
      <c r="J683" s="16">
        <f>_xlfn.XLOOKUP(CustomerCombinedCleaned[[#This Row],[ID]], Table4[ID], Table4[Recency], "Not Found", 0)</f>
        <v>50</v>
      </c>
      <c r="K683" s="16">
        <f>_xlfn.XLOOKUP(CustomerCombinedCleaned[[#This Row],[ID]], Table4[ID], Table4[Teas], "Not Found", 0)</f>
        <v>138</v>
      </c>
      <c r="L683" s="16">
        <f>_xlfn.XLOOKUP(CustomerCombinedCleaned[[#This Row],[ID]], Table4[ID], Table4[Fruits], "Not Found", 0)</f>
        <v>14</v>
      </c>
      <c r="M683" s="16">
        <f>_xlfn.XLOOKUP(CustomerCombinedCleaned[[#This Row],[ID]], Table4[ID], Table4[Meats], "Not Found", 0)</f>
        <v>159</v>
      </c>
      <c r="N683" s="16">
        <f>_xlfn.XLOOKUP(CustomerCombinedCleaned[[#This Row],[ID]], Table4[ID], Table4[Seafood], "Not Found", 0)</f>
        <v>21</v>
      </c>
      <c r="O683" s="16">
        <f>_xlfn.XLOOKUP(CustomerCombinedCleaned[[#This Row],[ID]], Table4[ID], Table4[Sweets], "Not Found", 0)</f>
        <v>7</v>
      </c>
      <c r="P683" s="16">
        <f>_xlfn.XLOOKUP(CustomerCombinedCleaned[[#This Row],[ID]], Table4[ID], Table4[Premium], "Not Found", 0)</f>
        <v>28</v>
      </c>
      <c r="Q683" s="16">
        <f>_xlfn.XLOOKUP(CustomerCombinedCleaned[[#This Row],[ID]], Table4[ID], Table4[Regular], "Not Found", 0)</f>
        <v>311</v>
      </c>
      <c r="R683" s="16">
        <f>_xlfn.XLOOKUP(CustomerCombinedCleaned[[#This Row],[ID]], Table4[ID], Table4[Deals], "Not Found", 0)</f>
        <v>5</v>
      </c>
      <c r="S683" s="16">
        <f>_xlfn.XLOOKUP(CustomerCombinedCleaned[[#This Row],[ID]], Table4[ID], Table4[Website], "Not Found", 0)</f>
        <v>3</v>
      </c>
      <c r="T683" s="16">
        <f>_xlfn.XLOOKUP(CustomerCombinedCleaned[[#This Row],[ID]], Table4[ID], Table4[Catalog], "Not Found", 0)</f>
        <v>0</v>
      </c>
      <c r="U683" s="16">
        <f>_xlfn.XLOOKUP(CustomerCombinedCleaned[[#This Row],[ID]], Table4[ID], Table4[Store], "Not Found", 0)</f>
        <v>4</v>
      </c>
      <c r="V683" s="16">
        <f>_xlfn.XLOOKUP(CustomerCombinedCleaned[[#This Row],[ID]], Table4[ID], Table4[Visits], "Not Found", 0)</f>
        <v>8</v>
      </c>
      <c r="W683" s="16">
        <f>_xlfn.XLOOKUP(CustomerCombinedCleaned[[#This Row],[ID]], Table2[ID],Table2[Complaint], "Not Found", 0 )</f>
        <v>0</v>
      </c>
      <c r="X683" s="16">
        <f>_xlfn.XLOOKUP(CustomerCombinedCleaned[[#This Row],[ID]], Table2[ID],Table2[Pilot], "Not Found", 0 )</f>
        <v>0</v>
      </c>
      <c r="Y683" s="16">
        <f>_xlfn.XLOOKUP(CustomerCombinedCleaned[[#This Row],[ID]], Table2[ID],Table2[MC1], "Not Found", 0 )</f>
        <v>0</v>
      </c>
      <c r="Z683" s="16">
        <f>_xlfn.XLOOKUP(CustomerCombinedCleaned[[#This Row],[ID]], Table2[ID],Table2[MC2], "Not Found", 0 )</f>
        <v>0</v>
      </c>
      <c r="AA683" s="16">
        <f>_xlfn.XLOOKUP(CustomerCombinedCleaned[[#This Row],[ID]], Table2[ID],Table2[MC3], "Not Found", 0 )</f>
        <v>0</v>
      </c>
      <c r="AB683" s="16">
        <f>_xlfn.XLOOKUP(CustomerCombinedCleaned[[#This Row],[ID]], Table2[ID],Table2[MC4], "Not Found", 0 )</f>
        <v>0</v>
      </c>
      <c r="AC683" s="16">
        <f>_xlfn.XLOOKUP(CustomerCombinedCleaned[[#This Row],[ID]], Table2[ID],Table2[MC5], "Not Found", 0 )</f>
        <v>0</v>
      </c>
    </row>
    <row r="684" spans="1:29" x14ac:dyDescent="0.3">
      <c r="A684" s="18">
        <v>1311</v>
      </c>
      <c r="B684" s="16">
        <v>114849</v>
      </c>
      <c r="C684" s="16">
        <v>1</v>
      </c>
      <c r="D684" s="16">
        <v>0</v>
      </c>
      <c r="E684" s="16">
        <v>44</v>
      </c>
      <c r="F684" s="17" t="s">
        <v>5</v>
      </c>
      <c r="G684" s="17" t="s">
        <v>13</v>
      </c>
      <c r="H684" s="3" t="s">
        <v>589</v>
      </c>
      <c r="I684" s="5" t="s">
        <v>435</v>
      </c>
      <c r="J684" s="16">
        <f>_xlfn.XLOOKUP(CustomerCombinedCleaned[[#This Row],[ID]], Table4[ID], Table4[Recency], "Not Found", 0)</f>
        <v>39</v>
      </c>
      <c r="K684" s="16">
        <f>_xlfn.XLOOKUP(CustomerCombinedCleaned[[#This Row],[ID]], Table4[ID], Table4[Teas], "Not Found", 0)</f>
        <v>162</v>
      </c>
      <c r="L684" s="16">
        <f>_xlfn.XLOOKUP(CustomerCombinedCleaned[[#This Row],[ID]], Table4[ID], Table4[Fruits], "Not Found", 0)</f>
        <v>15</v>
      </c>
      <c r="M684" s="16">
        <f>_xlfn.XLOOKUP(CustomerCombinedCleaned[[#This Row],[ID]], Table4[ID], Table4[Meats], "Not Found", 0)</f>
        <v>217</v>
      </c>
      <c r="N684" s="16">
        <f>_xlfn.XLOOKUP(CustomerCombinedCleaned[[#This Row],[ID]], Table4[ID], Table4[Seafood], "Not Found", 0)</f>
        <v>23</v>
      </c>
      <c r="O684" s="16">
        <f>_xlfn.XLOOKUP(CustomerCombinedCleaned[[#This Row],[ID]], Table4[ID], Table4[Sweets], "Not Found", 0)</f>
        <v>15</v>
      </c>
      <c r="P684" s="16">
        <f>_xlfn.XLOOKUP(CustomerCombinedCleaned[[#This Row],[ID]], Table4[ID], Table4[Premium], "Not Found", 0)</f>
        <v>70</v>
      </c>
      <c r="Q684" s="16">
        <f>_xlfn.XLOOKUP(CustomerCombinedCleaned[[#This Row],[ID]], Table4[ID], Table4[Regular], "Not Found", 0)</f>
        <v>364</v>
      </c>
      <c r="R684" s="16">
        <f>_xlfn.XLOOKUP(CustomerCombinedCleaned[[#This Row],[ID]], Table4[ID], Table4[Deals], "Not Found", 0)</f>
        <v>3</v>
      </c>
      <c r="S684" s="16">
        <f>_xlfn.XLOOKUP(CustomerCombinedCleaned[[#This Row],[ID]], Table4[ID], Table4[Website], "Not Found", 0)</f>
        <v>2</v>
      </c>
      <c r="T684" s="16">
        <f>_xlfn.XLOOKUP(CustomerCombinedCleaned[[#This Row],[ID]], Table4[ID], Table4[Catalog], "Not Found", 0)</f>
        <v>0</v>
      </c>
      <c r="U684" s="16">
        <f>_xlfn.XLOOKUP(CustomerCombinedCleaned[[#This Row],[ID]], Table4[ID], Table4[Store], "Not Found", 0)</f>
        <v>4</v>
      </c>
      <c r="V684" s="16">
        <f>_xlfn.XLOOKUP(CustomerCombinedCleaned[[#This Row],[ID]], Table4[ID], Table4[Visits], "Not Found", 0)</f>
        <v>8</v>
      </c>
      <c r="W684" s="16">
        <f>_xlfn.XLOOKUP(CustomerCombinedCleaned[[#This Row],[ID]], Table2[ID],Table2[Complaint], "Not Found", 0 )</f>
        <v>0</v>
      </c>
      <c r="X684" s="16">
        <f>_xlfn.XLOOKUP(CustomerCombinedCleaned[[#This Row],[ID]], Table2[ID],Table2[Pilot], "Not Found", 0 )</f>
        <v>0</v>
      </c>
      <c r="Y684" s="16">
        <f>_xlfn.XLOOKUP(CustomerCombinedCleaned[[#This Row],[ID]], Table2[ID],Table2[MC1], "Not Found", 0 )</f>
        <v>0</v>
      </c>
      <c r="Z684" s="16">
        <f>_xlfn.XLOOKUP(CustomerCombinedCleaned[[#This Row],[ID]], Table2[ID],Table2[MC2], "Not Found", 0 )</f>
        <v>0</v>
      </c>
      <c r="AA684" s="16">
        <f>_xlfn.XLOOKUP(CustomerCombinedCleaned[[#This Row],[ID]], Table2[ID],Table2[MC3], "Not Found", 0 )</f>
        <v>0</v>
      </c>
      <c r="AB684" s="16">
        <f>_xlfn.XLOOKUP(CustomerCombinedCleaned[[#This Row],[ID]], Table2[ID],Table2[MC4], "Not Found", 0 )</f>
        <v>0</v>
      </c>
      <c r="AC684" s="16">
        <f>_xlfn.XLOOKUP(CustomerCombinedCleaned[[#This Row],[ID]], Table2[ID],Table2[MC5], "Not Found", 0 )</f>
        <v>0</v>
      </c>
    </row>
    <row r="685" spans="1:29" x14ac:dyDescent="0.3">
      <c r="A685" s="18">
        <v>1608</v>
      </c>
      <c r="B685" s="16">
        <v>113624</v>
      </c>
      <c r="C685" s="16">
        <v>1</v>
      </c>
      <c r="D685" s="16">
        <v>0</v>
      </c>
      <c r="E685" s="16">
        <v>44</v>
      </c>
      <c r="F685" s="17" t="s">
        <v>6</v>
      </c>
      <c r="G685" s="17" t="s">
        <v>11</v>
      </c>
      <c r="H685" s="3" t="s">
        <v>321</v>
      </c>
      <c r="I685" s="5" t="s">
        <v>436</v>
      </c>
      <c r="J685" s="16">
        <f>_xlfn.XLOOKUP(CustomerCombinedCleaned[[#This Row],[ID]], Table4[ID], Table4[Recency], "Not Found", 0)</f>
        <v>93</v>
      </c>
      <c r="K685" s="16">
        <f>_xlfn.XLOOKUP(CustomerCombinedCleaned[[#This Row],[ID]], Table4[ID], Table4[Teas], "Not Found", 0)</f>
        <v>83</v>
      </c>
      <c r="L685" s="16">
        <f>_xlfn.XLOOKUP(CustomerCombinedCleaned[[#This Row],[ID]], Table4[ID], Table4[Fruits], "Not Found", 0)</f>
        <v>17</v>
      </c>
      <c r="M685" s="16">
        <f>_xlfn.XLOOKUP(CustomerCombinedCleaned[[#This Row],[ID]], Table4[ID], Table4[Meats], "Not Found", 0)</f>
        <v>125</v>
      </c>
      <c r="N685" s="16">
        <f>_xlfn.XLOOKUP(CustomerCombinedCleaned[[#This Row],[ID]], Table4[ID], Table4[Seafood], "Not Found", 0)</f>
        <v>17</v>
      </c>
      <c r="O685" s="16">
        <f>_xlfn.XLOOKUP(CustomerCombinedCleaned[[#This Row],[ID]], Table4[ID], Table4[Sweets], "Not Found", 0)</f>
        <v>8</v>
      </c>
      <c r="P685" s="16">
        <f>_xlfn.XLOOKUP(CustomerCombinedCleaned[[#This Row],[ID]], Table4[ID], Table4[Premium], "Not Found", 0)</f>
        <v>50</v>
      </c>
      <c r="Q685" s="16">
        <f>_xlfn.XLOOKUP(CustomerCombinedCleaned[[#This Row],[ID]], Table4[ID], Table4[Regular], "Not Found", 0)</f>
        <v>200</v>
      </c>
      <c r="R685" s="16">
        <f>_xlfn.XLOOKUP(CustomerCombinedCleaned[[#This Row],[ID]], Table4[ID], Table4[Deals], "Not Found", 0)</f>
        <v>2</v>
      </c>
      <c r="S685" s="16">
        <f>_xlfn.XLOOKUP(CustomerCombinedCleaned[[#This Row],[ID]], Table4[ID], Table4[Website], "Not Found", 0)</f>
        <v>2</v>
      </c>
      <c r="T685" s="16">
        <f>_xlfn.XLOOKUP(CustomerCombinedCleaned[[#This Row],[ID]], Table4[ID], Table4[Catalog], "Not Found", 0)</f>
        <v>0</v>
      </c>
      <c r="U685" s="16">
        <f>_xlfn.XLOOKUP(CustomerCombinedCleaned[[#This Row],[ID]], Table4[ID], Table4[Store], "Not Found", 0)</f>
        <v>3</v>
      </c>
      <c r="V685" s="16">
        <f>_xlfn.XLOOKUP(CustomerCombinedCleaned[[#This Row],[ID]], Table4[ID], Table4[Visits], "Not Found", 0)</f>
        <v>6</v>
      </c>
      <c r="W685" s="16">
        <f>_xlfn.XLOOKUP(CustomerCombinedCleaned[[#This Row],[ID]], Table2[ID],Table2[Complaint], "Not Found", 0 )</f>
        <v>0</v>
      </c>
      <c r="X685" s="16">
        <f>_xlfn.XLOOKUP(CustomerCombinedCleaned[[#This Row],[ID]], Table2[ID],Table2[Pilot], "Not Found", 0 )</f>
        <v>0</v>
      </c>
      <c r="Y685" s="16">
        <f>_xlfn.XLOOKUP(CustomerCombinedCleaned[[#This Row],[ID]], Table2[ID],Table2[MC1], "Not Found", 0 )</f>
        <v>0</v>
      </c>
      <c r="Z685" s="16">
        <f>_xlfn.XLOOKUP(CustomerCombinedCleaned[[#This Row],[ID]], Table2[ID],Table2[MC2], "Not Found", 0 )</f>
        <v>0</v>
      </c>
      <c r="AA685" s="16">
        <f>_xlfn.XLOOKUP(CustomerCombinedCleaned[[#This Row],[ID]], Table2[ID],Table2[MC3], "Not Found", 0 )</f>
        <v>0</v>
      </c>
      <c r="AB685" s="16">
        <f>_xlfn.XLOOKUP(CustomerCombinedCleaned[[#This Row],[ID]], Table2[ID],Table2[MC4], "Not Found", 0 )</f>
        <v>0</v>
      </c>
      <c r="AC685" s="16">
        <f>_xlfn.XLOOKUP(CustomerCombinedCleaned[[#This Row],[ID]], Table2[ID],Table2[MC5], "Not Found", 0 )</f>
        <v>0</v>
      </c>
    </row>
    <row r="686" spans="1:29" x14ac:dyDescent="0.3">
      <c r="A686" s="18">
        <v>1297</v>
      </c>
      <c r="B686" s="16">
        <v>112571</v>
      </c>
      <c r="C686" s="16">
        <v>1</v>
      </c>
      <c r="D686" s="16">
        <v>0</v>
      </c>
      <c r="E686" s="16">
        <v>44</v>
      </c>
      <c r="F686" s="17" t="s">
        <v>5</v>
      </c>
      <c r="G686" s="17" t="s">
        <v>11</v>
      </c>
      <c r="H686" s="3" t="s">
        <v>113</v>
      </c>
      <c r="I686" s="5" t="s">
        <v>437</v>
      </c>
      <c r="J686" s="16">
        <f>_xlfn.XLOOKUP(CustomerCombinedCleaned[[#This Row],[ID]], Table4[ID], Table4[Recency], "Not Found", 0)</f>
        <v>86</v>
      </c>
      <c r="K686" s="16">
        <f>_xlfn.XLOOKUP(CustomerCombinedCleaned[[#This Row],[ID]], Table4[ID], Table4[Teas], "Not Found", 0)</f>
        <v>27</v>
      </c>
      <c r="L686" s="16">
        <f>_xlfn.XLOOKUP(CustomerCombinedCleaned[[#This Row],[ID]], Table4[ID], Table4[Fruits], "Not Found", 0)</f>
        <v>45</v>
      </c>
      <c r="M686" s="16">
        <f>_xlfn.XLOOKUP(CustomerCombinedCleaned[[#This Row],[ID]], Table4[ID], Table4[Meats], "Not Found", 0)</f>
        <v>125</v>
      </c>
      <c r="N686" s="16">
        <f>_xlfn.XLOOKUP(CustomerCombinedCleaned[[#This Row],[ID]], Table4[ID], Table4[Seafood], "Not Found", 0)</f>
        <v>18</v>
      </c>
      <c r="O686" s="16">
        <f>_xlfn.XLOOKUP(CustomerCombinedCleaned[[#This Row],[ID]], Table4[ID], Table4[Sweets], "Not Found", 0)</f>
        <v>107</v>
      </c>
      <c r="P686" s="16">
        <f>_xlfn.XLOOKUP(CustomerCombinedCleaned[[#This Row],[ID]], Table4[ID], Table4[Premium], "Not Found", 0)</f>
        <v>152</v>
      </c>
      <c r="Q686" s="16">
        <f>_xlfn.XLOOKUP(CustomerCombinedCleaned[[#This Row],[ID]], Table4[ID], Table4[Regular], "Not Found", 0)</f>
        <v>170</v>
      </c>
      <c r="R686" s="16">
        <f>_xlfn.XLOOKUP(CustomerCombinedCleaned[[#This Row],[ID]], Table4[ID], Table4[Deals], "Not Found", 0)</f>
        <v>4</v>
      </c>
      <c r="S686" s="16">
        <f>_xlfn.XLOOKUP(CustomerCombinedCleaned[[#This Row],[ID]], Table4[ID], Table4[Website], "Not Found", 0)</f>
        <v>3</v>
      </c>
      <c r="T686" s="16">
        <f>_xlfn.XLOOKUP(CustomerCombinedCleaned[[#This Row],[ID]], Table4[ID], Table4[Catalog], "Not Found", 0)</f>
        <v>1</v>
      </c>
      <c r="U686" s="16">
        <f>_xlfn.XLOOKUP(CustomerCombinedCleaned[[#This Row],[ID]], Table4[ID], Table4[Store], "Not Found", 0)</f>
        <v>3</v>
      </c>
      <c r="V686" s="16">
        <f>_xlfn.XLOOKUP(CustomerCombinedCleaned[[#This Row],[ID]], Table4[ID], Table4[Visits], "Not Found", 0)</f>
        <v>6</v>
      </c>
      <c r="W686" s="16">
        <f>_xlfn.XLOOKUP(CustomerCombinedCleaned[[#This Row],[ID]], Table2[ID],Table2[Complaint], "Not Found", 0 )</f>
        <v>0</v>
      </c>
      <c r="X686" s="16">
        <f>_xlfn.XLOOKUP(CustomerCombinedCleaned[[#This Row],[ID]], Table2[ID],Table2[Pilot], "Not Found", 0 )</f>
        <v>0</v>
      </c>
      <c r="Y686" s="16">
        <f>_xlfn.XLOOKUP(CustomerCombinedCleaned[[#This Row],[ID]], Table2[ID],Table2[MC1], "Not Found", 0 )</f>
        <v>0</v>
      </c>
      <c r="Z686" s="16">
        <f>_xlfn.XLOOKUP(CustomerCombinedCleaned[[#This Row],[ID]], Table2[ID],Table2[MC2], "Not Found", 0 )</f>
        <v>0</v>
      </c>
      <c r="AA686" s="16">
        <f>_xlfn.XLOOKUP(CustomerCombinedCleaned[[#This Row],[ID]], Table2[ID],Table2[MC3], "Not Found", 0 )</f>
        <v>0</v>
      </c>
      <c r="AB686" s="16">
        <f>_xlfn.XLOOKUP(CustomerCombinedCleaned[[#This Row],[ID]], Table2[ID],Table2[MC4], "Not Found", 0 )</f>
        <v>0</v>
      </c>
      <c r="AC686" s="16">
        <f>_xlfn.XLOOKUP(CustomerCombinedCleaned[[#This Row],[ID]], Table2[ID],Table2[MC5], "Not Found", 0 )</f>
        <v>0</v>
      </c>
    </row>
    <row r="687" spans="1:29" x14ac:dyDescent="0.3">
      <c r="A687" s="18">
        <v>1126</v>
      </c>
      <c r="B687" s="16">
        <v>109548</v>
      </c>
      <c r="C687" s="16">
        <v>1</v>
      </c>
      <c r="D687" s="16">
        <v>0</v>
      </c>
      <c r="E687" s="16">
        <v>44</v>
      </c>
      <c r="F687" s="17" t="s">
        <v>5</v>
      </c>
      <c r="G687" s="17" t="s">
        <v>10</v>
      </c>
      <c r="H687" s="3" t="s">
        <v>420</v>
      </c>
      <c r="I687" s="5" t="s">
        <v>439</v>
      </c>
      <c r="J687" s="16">
        <f>_xlfn.XLOOKUP(CustomerCombinedCleaned[[#This Row],[ID]], Table4[ID], Table4[Recency], "Not Found", 0)</f>
        <v>31</v>
      </c>
      <c r="K687" s="16">
        <f>_xlfn.XLOOKUP(CustomerCombinedCleaned[[#This Row],[ID]], Table4[ID], Table4[Teas], "Not Found", 0)</f>
        <v>0</v>
      </c>
      <c r="L687" s="16">
        <f>_xlfn.XLOOKUP(CustomerCombinedCleaned[[#This Row],[ID]], Table4[ID], Table4[Fruits], "Not Found", 0)</f>
        <v>11</v>
      </c>
      <c r="M687" s="16">
        <f>_xlfn.XLOOKUP(CustomerCombinedCleaned[[#This Row],[ID]], Table4[ID], Table4[Meats], "Not Found", 0)</f>
        <v>34</v>
      </c>
      <c r="N687" s="16">
        <f>_xlfn.XLOOKUP(CustomerCombinedCleaned[[#This Row],[ID]], Table4[ID], Table4[Seafood], "Not Found", 0)</f>
        <v>115</v>
      </c>
      <c r="O687" s="16">
        <f>_xlfn.XLOOKUP(CustomerCombinedCleaned[[#This Row],[ID]], Table4[ID], Table4[Sweets], "Not Found", 0)</f>
        <v>69</v>
      </c>
      <c r="P687" s="16">
        <f>_xlfn.XLOOKUP(CustomerCombinedCleaned[[#This Row],[ID]], Table4[ID], Table4[Premium], "Not Found", 0)</f>
        <v>103</v>
      </c>
      <c r="Q687" s="16">
        <f>_xlfn.XLOOKUP(CustomerCombinedCleaned[[#This Row],[ID]], Table4[ID], Table4[Regular], "Not Found", 0)</f>
        <v>126</v>
      </c>
      <c r="R687" s="16">
        <f>_xlfn.XLOOKUP(CustomerCombinedCleaned[[#This Row],[ID]], Table4[ID], Table4[Deals], "Not Found", 0)</f>
        <v>2</v>
      </c>
      <c r="S687" s="16">
        <f>_xlfn.XLOOKUP(CustomerCombinedCleaned[[#This Row],[ID]], Table4[ID], Table4[Website], "Not Found", 0)</f>
        <v>1</v>
      </c>
      <c r="T687" s="16">
        <f>_xlfn.XLOOKUP(CustomerCombinedCleaned[[#This Row],[ID]], Table4[ID], Table4[Catalog], "Not Found", 0)</f>
        <v>0</v>
      </c>
      <c r="U687" s="16">
        <f>_xlfn.XLOOKUP(CustomerCombinedCleaned[[#This Row],[ID]], Table4[ID], Table4[Store], "Not Found", 0)</f>
        <v>3</v>
      </c>
      <c r="V687" s="16">
        <f>_xlfn.XLOOKUP(CustomerCombinedCleaned[[#This Row],[ID]], Table4[ID], Table4[Visits], "Not Found", 0)</f>
        <v>8</v>
      </c>
      <c r="W687" s="16">
        <f>_xlfn.XLOOKUP(CustomerCombinedCleaned[[#This Row],[ID]], Table2[ID],Table2[Complaint], "Not Found", 0 )</f>
        <v>0</v>
      </c>
      <c r="X687" s="16">
        <f>_xlfn.XLOOKUP(CustomerCombinedCleaned[[#This Row],[ID]], Table2[ID],Table2[Pilot], "Not Found", 0 )</f>
        <v>0</v>
      </c>
      <c r="Y687" s="16">
        <f>_xlfn.XLOOKUP(CustomerCombinedCleaned[[#This Row],[ID]], Table2[ID],Table2[MC1], "Not Found", 0 )</f>
        <v>0</v>
      </c>
      <c r="Z687" s="16">
        <f>_xlfn.XLOOKUP(CustomerCombinedCleaned[[#This Row],[ID]], Table2[ID],Table2[MC2], "Not Found", 0 )</f>
        <v>0</v>
      </c>
      <c r="AA687" s="16">
        <f>_xlfn.XLOOKUP(CustomerCombinedCleaned[[#This Row],[ID]], Table2[ID],Table2[MC3], "Not Found", 0 )</f>
        <v>0</v>
      </c>
      <c r="AB687" s="16">
        <f>_xlfn.XLOOKUP(CustomerCombinedCleaned[[#This Row],[ID]], Table2[ID],Table2[MC4], "Not Found", 0 )</f>
        <v>0</v>
      </c>
      <c r="AC687" s="16">
        <f>_xlfn.XLOOKUP(CustomerCombinedCleaned[[#This Row],[ID]], Table2[ID],Table2[MC5], "Not Found", 0 )</f>
        <v>0</v>
      </c>
    </row>
    <row r="688" spans="1:29" x14ac:dyDescent="0.3">
      <c r="A688" s="18">
        <v>1011</v>
      </c>
      <c r="B688" s="16">
        <v>107500</v>
      </c>
      <c r="C688" s="16">
        <v>0</v>
      </c>
      <c r="D688" s="16">
        <v>0</v>
      </c>
      <c r="E688" s="16">
        <v>44</v>
      </c>
      <c r="F688" s="17" t="s">
        <v>6</v>
      </c>
      <c r="G688" s="17" t="s">
        <v>10</v>
      </c>
      <c r="H688" s="3" t="s">
        <v>362</v>
      </c>
      <c r="I688" s="5" t="s">
        <v>435</v>
      </c>
      <c r="J688" s="16">
        <f>_xlfn.XLOOKUP(CustomerCombinedCleaned[[#This Row],[ID]], Table4[ID], Table4[Recency], "Not Found", 0)</f>
        <v>59</v>
      </c>
      <c r="K688" s="16">
        <f>_xlfn.XLOOKUP(CustomerCombinedCleaned[[#This Row],[ID]], Table4[ID], Table4[Teas], "Not Found", 0)</f>
        <v>86</v>
      </c>
      <c r="L688" s="16">
        <f>_xlfn.XLOOKUP(CustomerCombinedCleaned[[#This Row],[ID]], Table4[ID], Table4[Fruits], "Not Found", 0)</f>
        <v>229</v>
      </c>
      <c r="M688" s="16">
        <f>_xlfn.XLOOKUP(CustomerCombinedCleaned[[#This Row],[ID]], Table4[ID], Table4[Meats], "Not Found", 0)</f>
        <v>158</v>
      </c>
      <c r="N688" s="16">
        <f>_xlfn.XLOOKUP(CustomerCombinedCleaned[[#This Row],[ID]], Table4[ID], Table4[Seafood], "Not Found", 0)</f>
        <v>158</v>
      </c>
      <c r="O688" s="16">
        <f>_xlfn.XLOOKUP(CustomerCombinedCleaned[[#This Row],[ID]], Table4[ID], Table4[Sweets], "Not Found", 0)</f>
        <v>14</v>
      </c>
      <c r="P688" s="16">
        <f>_xlfn.XLOOKUP(CustomerCombinedCleaned[[#This Row],[ID]], Table4[ID], Table4[Premium], "Not Found", 0)</f>
        <v>229</v>
      </c>
      <c r="Q688" s="16">
        <f>_xlfn.XLOOKUP(CustomerCombinedCleaned[[#This Row],[ID]], Table4[ID], Table4[Regular], "Not Found", 0)</f>
        <v>416</v>
      </c>
      <c r="R688" s="16">
        <f>_xlfn.XLOOKUP(CustomerCombinedCleaned[[#This Row],[ID]], Table4[ID], Table4[Deals], "Not Found", 0)</f>
        <v>1</v>
      </c>
      <c r="S688" s="16">
        <f>_xlfn.XLOOKUP(CustomerCombinedCleaned[[#This Row],[ID]], Table4[ID], Table4[Website], "Not Found", 0)</f>
        <v>2</v>
      </c>
      <c r="T688" s="16">
        <f>_xlfn.XLOOKUP(CustomerCombinedCleaned[[#This Row],[ID]], Table4[ID], Table4[Catalog], "Not Found", 0)</f>
        <v>0</v>
      </c>
      <c r="U688" s="16">
        <f>_xlfn.XLOOKUP(CustomerCombinedCleaned[[#This Row],[ID]], Table4[ID], Table4[Store], "Not Found", 0)</f>
        <v>3</v>
      </c>
      <c r="V688" s="16">
        <f>_xlfn.XLOOKUP(CustomerCombinedCleaned[[#This Row],[ID]], Table4[ID], Table4[Visits], "Not Found", 0)</f>
        <v>8</v>
      </c>
      <c r="W688" s="16">
        <f>_xlfn.XLOOKUP(CustomerCombinedCleaned[[#This Row],[ID]], Table2[ID],Table2[Complaint], "Not Found", 0 )</f>
        <v>0</v>
      </c>
      <c r="X688" s="16">
        <f>_xlfn.XLOOKUP(CustomerCombinedCleaned[[#This Row],[ID]], Table2[ID],Table2[Pilot], "Not Found", 0 )</f>
        <v>0</v>
      </c>
      <c r="Y688" s="16">
        <f>_xlfn.XLOOKUP(CustomerCombinedCleaned[[#This Row],[ID]], Table2[ID],Table2[MC1], "Not Found", 0 )</f>
        <v>0</v>
      </c>
      <c r="Z688" s="16">
        <f>_xlfn.XLOOKUP(CustomerCombinedCleaned[[#This Row],[ID]], Table2[ID],Table2[MC2], "Not Found", 0 )</f>
        <v>0</v>
      </c>
      <c r="AA688" s="16">
        <f>_xlfn.XLOOKUP(CustomerCombinedCleaned[[#This Row],[ID]], Table2[ID],Table2[MC3], "Not Found", 0 )</f>
        <v>0</v>
      </c>
      <c r="AB688" s="16">
        <f>_xlfn.XLOOKUP(CustomerCombinedCleaned[[#This Row],[ID]], Table2[ID],Table2[MC4], "Not Found", 0 )</f>
        <v>0</v>
      </c>
      <c r="AC688" s="16">
        <f>_xlfn.XLOOKUP(CustomerCombinedCleaned[[#This Row],[ID]], Table2[ID],Table2[MC5], "Not Found", 0 )</f>
        <v>0</v>
      </c>
    </row>
    <row r="689" spans="1:29" x14ac:dyDescent="0.3">
      <c r="A689" s="18">
        <v>1705</v>
      </c>
      <c r="B689" s="16">
        <v>107500</v>
      </c>
      <c r="C689" s="16">
        <v>1</v>
      </c>
      <c r="D689" s="16">
        <v>0</v>
      </c>
      <c r="E689" s="16">
        <v>44</v>
      </c>
      <c r="F689" s="17" t="s">
        <v>6</v>
      </c>
      <c r="G689" s="17" t="s">
        <v>11</v>
      </c>
      <c r="H689" s="3" t="s">
        <v>582</v>
      </c>
      <c r="I689" s="5" t="s">
        <v>437</v>
      </c>
      <c r="J689" s="16">
        <f>_xlfn.XLOOKUP(CustomerCombinedCleaned[[#This Row],[ID]], Table4[ID], Table4[Recency], "Not Found", 0)</f>
        <v>19</v>
      </c>
      <c r="K689" s="16">
        <f>_xlfn.XLOOKUP(CustomerCombinedCleaned[[#This Row],[ID]], Table4[ID], Table4[Teas], "Not Found", 0)</f>
        <v>100</v>
      </c>
      <c r="L689" s="16">
        <f>_xlfn.XLOOKUP(CustomerCombinedCleaned[[#This Row],[ID]], Table4[ID], Table4[Fruits], "Not Found", 0)</f>
        <v>0</v>
      </c>
      <c r="M689" s="16">
        <f>_xlfn.XLOOKUP(CustomerCombinedCleaned[[#This Row],[ID]], Table4[ID], Table4[Meats], "Not Found", 0)</f>
        <v>172</v>
      </c>
      <c r="N689" s="16">
        <f>_xlfn.XLOOKUP(CustomerCombinedCleaned[[#This Row],[ID]], Table4[ID], Table4[Seafood], "Not Found", 0)</f>
        <v>186</v>
      </c>
      <c r="O689" s="16">
        <f>_xlfn.XLOOKUP(CustomerCombinedCleaned[[#This Row],[ID]], Table4[ID], Table4[Sweets], "Not Found", 0)</f>
        <v>100</v>
      </c>
      <c r="P689" s="16">
        <f>_xlfn.XLOOKUP(CustomerCombinedCleaned[[#This Row],[ID]], Table4[ID], Table4[Premium], "Not Found", 0)</f>
        <v>459</v>
      </c>
      <c r="Q689" s="16">
        <f>_xlfn.XLOOKUP(CustomerCombinedCleaned[[#This Row],[ID]], Table4[ID], Table4[Regular], "Not Found", 0)</f>
        <v>100</v>
      </c>
      <c r="R689" s="16">
        <f>_xlfn.XLOOKUP(CustomerCombinedCleaned[[#This Row],[ID]], Table4[ID], Table4[Deals], "Not Found", 0)</f>
        <v>5</v>
      </c>
      <c r="S689" s="16">
        <f>_xlfn.XLOOKUP(CustomerCombinedCleaned[[#This Row],[ID]], Table4[ID], Table4[Website], "Not Found", 0)</f>
        <v>4</v>
      </c>
      <c r="T689" s="16">
        <f>_xlfn.XLOOKUP(CustomerCombinedCleaned[[#This Row],[ID]], Table4[ID], Table4[Catalog], "Not Found", 0)</f>
        <v>1</v>
      </c>
      <c r="U689" s="16">
        <f>_xlfn.XLOOKUP(CustomerCombinedCleaned[[#This Row],[ID]], Table4[ID], Table4[Store], "Not Found", 0)</f>
        <v>2</v>
      </c>
      <c r="V689" s="16">
        <f>_xlfn.XLOOKUP(CustomerCombinedCleaned[[#This Row],[ID]], Table4[ID], Table4[Visits], "Not Found", 0)</f>
        <v>9</v>
      </c>
      <c r="W689" s="16">
        <f>_xlfn.XLOOKUP(CustomerCombinedCleaned[[#This Row],[ID]], Table2[ID],Table2[Complaint], "Not Found", 0 )</f>
        <v>0</v>
      </c>
      <c r="X689" s="16">
        <f>_xlfn.XLOOKUP(CustomerCombinedCleaned[[#This Row],[ID]], Table2[ID],Table2[Pilot], "Not Found", 0 )</f>
        <v>1</v>
      </c>
      <c r="Y689" s="16">
        <f>_xlfn.XLOOKUP(CustomerCombinedCleaned[[#This Row],[ID]], Table2[ID],Table2[MC1], "Not Found", 0 )</f>
        <v>0</v>
      </c>
      <c r="Z689" s="16">
        <f>_xlfn.XLOOKUP(CustomerCombinedCleaned[[#This Row],[ID]], Table2[ID],Table2[MC2], "Not Found", 0 )</f>
        <v>0</v>
      </c>
      <c r="AA689" s="16">
        <f>_xlfn.XLOOKUP(CustomerCombinedCleaned[[#This Row],[ID]], Table2[ID],Table2[MC3], "Not Found", 0 )</f>
        <v>1</v>
      </c>
      <c r="AB689" s="16">
        <f>_xlfn.XLOOKUP(CustomerCombinedCleaned[[#This Row],[ID]], Table2[ID],Table2[MC4], "Not Found", 0 )</f>
        <v>0</v>
      </c>
      <c r="AC689" s="16">
        <f>_xlfn.XLOOKUP(CustomerCombinedCleaned[[#This Row],[ID]], Table2[ID],Table2[MC5], "Not Found", 0 )</f>
        <v>0</v>
      </c>
    </row>
    <row r="690" spans="1:29" x14ac:dyDescent="0.3">
      <c r="A690" s="18">
        <v>3182</v>
      </c>
      <c r="B690" s="16">
        <v>105305</v>
      </c>
      <c r="C690" s="16">
        <v>0</v>
      </c>
      <c r="D690" s="16">
        <v>1</v>
      </c>
      <c r="E690" s="16">
        <v>44</v>
      </c>
      <c r="F690" s="17" t="s">
        <v>6</v>
      </c>
      <c r="G690" s="17" t="s">
        <v>11</v>
      </c>
      <c r="H690" s="3" t="s">
        <v>704</v>
      </c>
      <c r="I690" s="5" t="s">
        <v>438</v>
      </c>
      <c r="J690" s="16">
        <f>_xlfn.XLOOKUP(CustomerCombinedCleaned[[#This Row],[ID]], Table4[ID], Table4[Recency], "Not Found", 0)</f>
        <v>12</v>
      </c>
      <c r="K690" s="16">
        <f>_xlfn.XLOOKUP(CustomerCombinedCleaned[[#This Row],[ID]], Table4[ID], Table4[Teas], "Not Found", 0)</f>
        <v>238</v>
      </c>
      <c r="L690" s="16">
        <f>_xlfn.XLOOKUP(CustomerCombinedCleaned[[#This Row],[ID]], Table4[ID], Table4[Fruits], "Not Found", 0)</f>
        <v>79</v>
      </c>
      <c r="M690" s="16">
        <f>_xlfn.XLOOKUP(CustomerCombinedCleaned[[#This Row],[ID]], Table4[ID], Table4[Meats], "Not Found", 0)</f>
        <v>139</v>
      </c>
      <c r="N690" s="16">
        <f>_xlfn.XLOOKUP(CustomerCombinedCleaned[[#This Row],[ID]], Table4[ID], Table4[Seafood], "Not Found", 0)</f>
        <v>20</v>
      </c>
      <c r="O690" s="16">
        <f>_xlfn.XLOOKUP(CustomerCombinedCleaned[[#This Row],[ID]], Table4[ID], Table4[Sweets], "Not Found", 0)</f>
        <v>60</v>
      </c>
      <c r="P690" s="16">
        <f>_xlfn.XLOOKUP(CustomerCombinedCleaned[[#This Row],[ID]], Table4[ID], Table4[Premium], "Not Found", 0)</f>
        <v>99</v>
      </c>
      <c r="Q690" s="16">
        <f>_xlfn.XLOOKUP(CustomerCombinedCleaned[[#This Row],[ID]], Table4[ID], Table4[Regular], "Not Found", 0)</f>
        <v>437</v>
      </c>
      <c r="R690" s="16">
        <f>_xlfn.XLOOKUP(CustomerCombinedCleaned[[#This Row],[ID]], Table4[ID], Table4[Deals], "Not Found", 0)</f>
        <v>0</v>
      </c>
      <c r="S690" s="16">
        <f>_xlfn.XLOOKUP(CustomerCombinedCleaned[[#This Row],[ID]], Table4[ID], Table4[Website], "Not Found", 0)</f>
        <v>1</v>
      </c>
      <c r="T690" s="16">
        <f>_xlfn.XLOOKUP(CustomerCombinedCleaned[[#This Row],[ID]], Table4[ID], Table4[Catalog], "Not Found", 0)</f>
        <v>0</v>
      </c>
      <c r="U690" s="16">
        <f>_xlfn.XLOOKUP(CustomerCombinedCleaned[[#This Row],[ID]], Table4[ID], Table4[Store], "Not Found", 0)</f>
        <v>0</v>
      </c>
      <c r="V690" s="16">
        <f>_xlfn.XLOOKUP(CustomerCombinedCleaned[[#This Row],[ID]], Table4[ID], Table4[Visits], "Not Found", 0)</f>
        <v>13</v>
      </c>
      <c r="W690" s="16">
        <f>_xlfn.XLOOKUP(CustomerCombinedCleaned[[#This Row],[ID]], Table2[ID],Table2[Complaint], "Not Found", 0 )</f>
        <v>0</v>
      </c>
      <c r="X690" s="16">
        <f>_xlfn.XLOOKUP(CustomerCombinedCleaned[[#This Row],[ID]], Table2[ID],Table2[Pilot], "Not Found", 0 )</f>
        <v>0</v>
      </c>
      <c r="Y690" s="16">
        <f>_xlfn.XLOOKUP(CustomerCombinedCleaned[[#This Row],[ID]], Table2[ID],Table2[MC1], "Not Found", 0 )</f>
        <v>0</v>
      </c>
      <c r="Z690" s="16">
        <f>_xlfn.XLOOKUP(CustomerCombinedCleaned[[#This Row],[ID]], Table2[ID],Table2[MC2], "Not Found", 0 )</f>
        <v>0</v>
      </c>
      <c r="AA690" s="16">
        <f>_xlfn.XLOOKUP(CustomerCombinedCleaned[[#This Row],[ID]], Table2[ID],Table2[MC3], "Not Found", 0 )</f>
        <v>0</v>
      </c>
      <c r="AB690" s="16">
        <f>_xlfn.XLOOKUP(CustomerCombinedCleaned[[#This Row],[ID]], Table2[ID],Table2[MC4], "Not Found", 0 )</f>
        <v>0</v>
      </c>
      <c r="AC690" s="16">
        <f>_xlfn.XLOOKUP(CustomerCombinedCleaned[[#This Row],[ID]], Table2[ID],Table2[MC5], "Not Found", 0 )</f>
        <v>0</v>
      </c>
    </row>
    <row r="691" spans="1:29" x14ac:dyDescent="0.3">
      <c r="A691" s="18">
        <v>1575</v>
      </c>
      <c r="B691" s="16">
        <v>192163</v>
      </c>
      <c r="C691" s="16">
        <v>0</v>
      </c>
      <c r="D691" s="16">
        <v>0</v>
      </c>
      <c r="E691" s="16">
        <v>45</v>
      </c>
      <c r="F691" s="17" t="s">
        <v>6</v>
      </c>
      <c r="G691" s="17" t="s">
        <v>12</v>
      </c>
      <c r="H691" s="3" t="s">
        <v>346</v>
      </c>
      <c r="I691" s="5" t="s">
        <v>435</v>
      </c>
      <c r="J691" s="16">
        <f>_xlfn.XLOOKUP(CustomerCombinedCleaned[[#This Row],[ID]], Table4[ID], Table4[Recency], "Not Found", 0)</f>
        <v>25</v>
      </c>
      <c r="K691" s="16">
        <f>_xlfn.XLOOKUP(CustomerCombinedCleaned[[#This Row],[ID]], Table4[ID], Table4[Teas], "Not Found", 0)</f>
        <v>1703</v>
      </c>
      <c r="L691" s="16">
        <f>_xlfn.XLOOKUP(CustomerCombinedCleaned[[#This Row],[ID]], Table4[ID], Table4[Fruits], "Not Found", 0)</f>
        <v>382</v>
      </c>
      <c r="M691" s="16">
        <f>_xlfn.XLOOKUP(CustomerCombinedCleaned[[#This Row],[ID]], Table4[ID], Table4[Meats], "Not Found", 0)</f>
        <v>1662</v>
      </c>
      <c r="N691" s="16">
        <f>_xlfn.XLOOKUP(CustomerCombinedCleaned[[#This Row],[ID]], Table4[ID], Table4[Seafood], "Not Found", 0)</f>
        <v>221</v>
      </c>
      <c r="O691" s="16">
        <f>_xlfn.XLOOKUP(CustomerCombinedCleaned[[#This Row],[ID]], Table4[ID], Table4[Sweets], "Not Found", 0)</f>
        <v>340</v>
      </c>
      <c r="P691" s="16">
        <f>_xlfn.XLOOKUP(CustomerCombinedCleaned[[#This Row],[ID]], Table4[ID], Table4[Premium], "Not Found", 0)</f>
        <v>42</v>
      </c>
      <c r="Q691" s="16">
        <f>_xlfn.XLOOKUP(CustomerCombinedCleaned[[#This Row],[ID]], Table4[ID], Table4[Regular], "Not Found", 0)</f>
        <v>4266</v>
      </c>
      <c r="R691" s="16">
        <f>_xlfn.XLOOKUP(CustomerCombinedCleaned[[#This Row],[ID]], Table4[ID], Table4[Deals], "Not Found", 0)</f>
        <v>0</v>
      </c>
      <c r="S691" s="16">
        <f>_xlfn.XLOOKUP(CustomerCombinedCleaned[[#This Row],[ID]], Table4[ID], Table4[Website], "Not Found", 0)</f>
        <v>5</v>
      </c>
      <c r="T691" s="16">
        <f>_xlfn.XLOOKUP(CustomerCombinedCleaned[[#This Row],[ID]], Table4[ID], Table4[Catalog], "Not Found", 0)</f>
        <v>11</v>
      </c>
      <c r="U691" s="16">
        <f>_xlfn.XLOOKUP(CustomerCombinedCleaned[[#This Row],[ID]], Table4[ID], Table4[Store], "Not Found", 0)</f>
        <v>5</v>
      </c>
      <c r="V691" s="16">
        <f>_xlfn.XLOOKUP(CustomerCombinedCleaned[[#This Row],[ID]], Table4[ID], Table4[Visits], "Not Found", 0)</f>
        <v>2</v>
      </c>
      <c r="W691" s="16">
        <f>_xlfn.XLOOKUP(CustomerCombinedCleaned[[#This Row],[ID]], Table2[ID],Table2[Complaint], "Not Found", 0 )</f>
        <v>0</v>
      </c>
      <c r="X691" s="16">
        <f>_xlfn.XLOOKUP(CustomerCombinedCleaned[[#This Row],[ID]], Table2[ID],Table2[Pilot], "Not Found", 0 )</f>
        <v>1</v>
      </c>
      <c r="Y691" s="16">
        <f>_xlfn.XLOOKUP(CustomerCombinedCleaned[[#This Row],[ID]], Table2[ID],Table2[MC1], "Not Found", 0 )</f>
        <v>1</v>
      </c>
      <c r="Z691" s="16">
        <f>_xlfn.XLOOKUP(CustomerCombinedCleaned[[#This Row],[ID]], Table2[ID],Table2[MC2], "Not Found", 0 )</f>
        <v>0</v>
      </c>
      <c r="AA691" s="16">
        <f>_xlfn.XLOOKUP(CustomerCombinedCleaned[[#This Row],[ID]], Table2[ID],Table2[MC3], "Not Found", 0 )</f>
        <v>0</v>
      </c>
      <c r="AB691" s="16">
        <f>_xlfn.XLOOKUP(CustomerCombinedCleaned[[#This Row],[ID]], Table2[ID],Table2[MC4], "Not Found", 0 )</f>
        <v>0</v>
      </c>
      <c r="AC691" s="16">
        <f>_xlfn.XLOOKUP(CustomerCombinedCleaned[[#This Row],[ID]], Table2[ID],Table2[MC5], "Not Found", 0 )</f>
        <v>1</v>
      </c>
    </row>
    <row r="692" spans="1:29" x14ac:dyDescent="0.3">
      <c r="A692" s="18">
        <v>2820</v>
      </c>
      <c r="B692" s="16">
        <v>186836</v>
      </c>
      <c r="C692" s="16">
        <v>0</v>
      </c>
      <c r="D692" s="16">
        <v>0</v>
      </c>
      <c r="E692" s="16">
        <v>45</v>
      </c>
      <c r="F692" s="17" t="s">
        <v>6</v>
      </c>
      <c r="G692" s="17" t="s">
        <v>13</v>
      </c>
      <c r="H692" s="3" t="s">
        <v>397</v>
      </c>
      <c r="I692" s="5" t="s">
        <v>436</v>
      </c>
      <c r="J692" s="16">
        <f>_xlfn.XLOOKUP(CustomerCombinedCleaned[[#This Row],[ID]], Table4[ID], Table4[Recency], "Not Found", 0)</f>
        <v>7</v>
      </c>
      <c r="K692" s="16">
        <f>_xlfn.XLOOKUP(CustomerCombinedCleaned[[#This Row],[ID]], Table4[ID], Table4[Teas], "Not Found", 0)</f>
        <v>385</v>
      </c>
      <c r="L692" s="16">
        <f>_xlfn.XLOOKUP(CustomerCombinedCleaned[[#This Row],[ID]], Table4[ID], Table4[Fruits], "Not Found", 0)</f>
        <v>45</v>
      </c>
      <c r="M692" s="16">
        <f>_xlfn.XLOOKUP(CustomerCombinedCleaned[[#This Row],[ID]], Table4[ID], Table4[Meats], "Not Found", 0)</f>
        <v>587</v>
      </c>
      <c r="N692" s="16">
        <f>_xlfn.XLOOKUP(CustomerCombinedCleaned[[#This Row],[ID]], Table4[ID], Table4[Seafood], "Not Found", 0)</f>
        <v>0</v>
      </c>
      <c r="O692" s="16">
        <f>_xlfn.XLOOKUP(CustomerCombinedCleaned[[#This Row],[ID]], Table4[ID], Table4[Sweets], "Not Found", 0)</f>
        <v>45</v>
      </c>
      <c r="P692" s="16">
        <f>_xlfn.XLOOKUP(CustomerCombinedCleaned[[#This Row],[ID]], Table4[ID], Table4[Premium], "Not Found", 0)</f>
        <v>136</v>
      </c>
      <c r="Q692" s="16">
        <f>_xlfn.XLOOKUP(CustomerCombinedCleaned[[#This Row],[ID]], Table4[ID], Table4[Regular], "Not Found", 0)</f>
        <v>927</v>
      </c>
      <c r="R692" s="16">
        <f>_xlfn.XLOOKUP(CustomerCombinedCleaned[[#This Row],[ID]], Table4[ID], Table4[Deals], "Not Found", 0)</f>
        <v>1</v>
      </c>
      <c r="S692" s="16">
        <f>_xlfn.XLOOKUP(CustomerCombinedCleaned[[#This Row],[ID]], Table4[ID], Table4[Website], "Not Found", 0)</f>
        <v>6</v>
      </c>
      <c r="T692" s="16">
        <f>_xlfn.XLOOKUP(CustomerCombinedCleaned[[#This Row],[ID]], Table4[ID], Table4[Catalog], "Not Found", 0)</f>
        <v>10</v>
      </c>
      <c r="U692" s="16">
        <f>_xlfn.XLOOKUP(CustomerCombinedCleaned[[#This Row],[ID]], Table4[ID], Table4[Store], "Not Found", 0)</f>
        <v>6</v>
      </c>
      <c r="V692" s="16">
        <f>_xlfn.XLOOKUP(CustomerCombinedCleaned[[#This Row],[ID]], Table4[ID], Table4[Visits], "Not Found", 0)</f>
        <v>5</v>
      </c>
      <c r="W692" s="16">
        <f>_xlfn.XLOOKUP(CustomerCombinedCleaned[[#This Row],[ID]], Table2[ID],Table2[Complaint], "Not Found", 0 )</f>
        <v>0</v>
      </c>
      <c r="X692" s="16">
        <f>_xlfn.XLOOKUP(CustomerCombinedCleaned[[#This Row],[ID]], Table2[ID],Table2[Pilot], "Not Found", 0 )</f>
        <v>1</v>
      </c>
      <c r="Y692" s="16">
        <f>_xlfn.XLOOKUP(CustomerCombinedCleaned[[#This Row],[ID]], Table2[ID],Table2[MC1], "Not Found", 0 )</f>
        <v>1</v>
      </c>
      <c r="Z692" s="16">
        <f>_xlfn.XLOOKUP(CustomerCombinedCleaned[[#This Row],[ID]], Table2[ID],Table2[MC2], "Not Found", 0 )</f>
        <v>0</v>
      </c>
      <c r="AA692" s="16">
        <f>_xlfn.XLOOKUP(CustomerCombinedCleaned[[#This Row],[ID]], Table2[ID],Table2[MC3], "Not Found", 0 )</f>
        <v>1</v>
      </c>
      <c r="AB692" s="16">
        <f>_xlfn.XLOOKUP(CustomerCombinedCleaned[[#This Row],[ID]], Table2[ID],Table2[MC4], "Not Found", 0 )</f>
        <v>0</v>
      </c>
      <c r="AC692" s="16">
        <f>_xlfn.XLOOKUP(CustomerCombinedCleaned[[#This Row],[ID]], Table2[ID],Table2[MC5], "Not Found", 0 )</f>
        <v>1</v>
      </c>
    </row>
    <row r="693" spans="1:29" x14ac:dyDescent="0.3">
      <c r="A693" s="18">
        <v>1609</v>
      </c>
      <c r="B693" s="16">
        <v>184196</v>
      </c>
      <c r="C693" s="16">
        <v>0</v>
      </c>
      <c r="D693" s="16">
        <v>1</v>
      </c>
      <c r="E693" s="16">
        <v>45</v>
      </c>
      <c r="F693" s="17" t="s">
        <v>7</v>
      </c>
      <c r="G693" s="17" t="s">
        <v>11</v>
      </c>
      <c r="H693" s="3" t="s">
        <v>560</v>
      </c>
      <c r="I693" s="5" t="s">
        <v>437</v>
      </c>
      <c r="J693" s="16">
        <f>_xlfn.XLOOKUP(CustomerCombinedCleaned[[#This Row],[ID]], Table4[ID], Table4[Recency], "Not Found", 0)</f>
        <v>56</v>
      </c>
      <c r="K693" s="16">
        <f>_xlfn.XLOOKUP(CustomerCombinedCleaned[[#This Row],[ID]], Table4[ID], Table4[Teas], "Not Found", 0)</f>
        <v>470</v>
      </c>
      <c r="L693" s="16">
        <f>_xlfn.XLOOKUP(CustomerCombinedCleaned[[#This Row],[ID]], Table4[ID], Table4[Fruits], "Not Found", 0)</f>
        <v>138</v>
      </c>
      <c r="M693" s="16">
        <f>_xlfn.XLOOKUP(CustomerCombinedCleaned[[#This Row],[ID]], Table4[ID], Table4[Meats], "Not Found", 0)</f>
        <v>1109</v>
      </c>
      <c r="N693" s="16">
        <f>_xlfn.XLOOKUP(CustomerCombinedCleaned[[#This Row],[ID]], Table4[ID], Table4[Seafood], "Not Found", 0)</f>
        <v>505</v>
      </c>
      <c r="O693" s="16">
        <f>_xlfn.XLOOKUP(CustomerCombinedCleaned[[#This Row],[ID]], Table4[ID], Table4[Sweets], "Not Found", 0)</f>
        <v>68</v>
      </c>
      <c r="P693" s="16">
        <f>_xlfn.XLOOKUP(CustomerCombinedCleaned[[#This Row],[ID]], Table4[ID], Table4[Premium], "Not Found", 0)</f>
        <v>416</v>
      </c>
      <c r="Q693" s="16">
        <f>_xlfn.XLOOKUP(CustomerCombinedCleaned[[#This Row],[ID]], Table4[ID], Table4[Regular], "Not Found", 0)</f>
        <v>1875</v>
      </c>
      <c r="R693" s="16">
        <f>_xlfn.XLOOKUP(CustomerCombinedCleaned[[#This Row],[ID]], Table4[ID], Table4[Deals], "Not Found", 0)</f>
        <v>1</v>
      </c>
      <c r="S693" s="16">
        <f>_xlfn.XLOOKUP(CustomerCombinedCleaned[[#This Row],[ID]], Table4[ID], Table4[Website], "Not Found", 0)</f>
        <v>8</v>
      </c>
      <c r="T693" s="16">
        <f>_xlfn.XLOOKUP(CustomerCombinedCleaned[[#This Row],[ID]], Table4[ID], Table4[Catalog], "Not Found", 0)</f>
        <v>4</v>
      </c>
      <c r="U693" s="16">
        <f>_xlfn.XLOOKUP(CustomerCombinedCleaned[[#This Row],[ID]], Table4[ID], Table4[Store], "Not Found", 0)</f>
        <v>7</v>
      </c>
      <c r="V693" s="16">
        <f>_xlfn.XLOOKUP(CustomerCombinedCleaned[[#This Row],[ID]], Table4[ID], Table4[Visits], "Not Found", 0)</f>
        <v>3</v>
      </c>
      <c r="W693" s="16">
        <f>_xlfn.XLOOKUP(CustomerCombinedCleaned[[#This Row],[ID]], Table2[ID],Table2[Complaint], "Not Found", 0 )</f>
        <v>0</v>
      </c>
      <c r="X693" s="16">
        <f>_xlfn.XLOOKUP(CustomerCombinedCleaned[[#This Row],[ID]], Table2[ID],Table2[Pilot], "Not Found", 0 )</f>
        <v>0</v>
      </c>
      <c r="Y693" s="16">
        <f>_xlfn.XLOOKUP(CustomerCombinedCleaned[[#This Row],[ID]], Table2[ID],Table2[MC1], "Not Found", 0 )</f>
        <v>0</v>
      </c>
      <c r="Z693" s="16">
        <f>_xlfn.XLOOKUP(CustomerCombinedCleaned[[#This Row],[ID]], Table2[ID],Table2[MC2], "Not Found", 0 )</f>
        <v>0</v>
      </c>
      <c r="AA693" s="16">
        <f>_xlfn.XLOOKUP(CustomerCombinedCleaned[[#This Row],[ID]], Table2[ID],Table2[MC3], "Not Found", 0 )</f>
        <v>0</v>
      </c>
      <c r="AB693" s="16">
        <f>_xlfn.XLOOKUP(CustomerCombinedCleaned[[#This Row],[ID]], Table2[ID],Table2[MC4], "Not Found", 0 )</f>
        <v>0</v>
      </c>
      <c r="AC693" s="16">
        <f>_xlfn.XLOOKUP(CustomerCombinedCleaned[[#This Row],[ID]], Table2[ID],Table2[MC5], "Not Found", 0 )</f>
        <v>0</v>
      </c>
    </row>
    <row r="694" spans="1:29" x14ac:dyDescent="0.3">
      <c r="A694" s="18">
        <v>2081</v>
      </c>
      <c r="B694" s="16">
        <v>183829</v>
      </c>
      <c r="C694" s="16">
        <v>0</v>
      </c>
      <c r="D694" s="16">
        <v>0</v>
      </c>
      <c r="E694" s="16">
        <v>45</v>
      </c>
      <c r="F694" s="17" t="s">
        <v>5</v>
      </c>
      <c r="G694" s="17" t="s">
        <v>11</v>
      </c>
      <c r="H694" s="3" t="s">
        <v>174</v>
      </c>
      <c r="I694" s="5" t="s">
        <v>434</v>
      </c>
      <c r="J694" s="16">
        <f>_xlfn.XLOOKUP(CustomerCombinedCleaned[[#This Row],[ID]], Table4[ID], Table4[Recency], "Not Found", 0)</f>
        <v>78</v>
      </c>
      <c r="K694" s="16">
        <f>_xlfn.XLOOKUP(CustomerCombinedCleaned[[#This Row],[ID]], Table4[ID], Table4[Teas], "Not Found", 0)</f>
        <v>1967</v>
      </c>
      <c r="L694" s="16">
        <f>_xlfn.XLOOKUP(CustomerCombinedCleaned[[#This Row],[ID]], Table4[ID], Table4[Fruits], "Not Found", 0)</f>
        <v>353</v>
      </c>
      <c r="M694" s="16">
        <f>_xlfn.XLOOKUP(CustomerCombinedCleaned[[#This Row],[ID]], Table4[ID], Table4[Meats], "Not Found", 0)</f>
        <v>943</v>
      </c>
      <c r="N694" s="16">
        <f>_xlfn.XLOOKUP(CustomerCombinedCleaned[[#This Row],[ID]], Table4[ID], Table4[Seafood], "Not Found", 0)</f>
        <v>408</v>
      </c>
      <c r="O694" s="16">
        <f>_xlfn.XLOOKUP(CustomerCombinedCleaned[[#This Row],[ID]], Table4[ID], Table4[Sweets], "Not Found", 0)</f>
        <v>353</v>
      </c>
      <c r="P694" s="16">
        <f>_xlfn.XLOOKUP(CustomerCombinedCleaned[[#This Row],[ID]], Table4[ID], Table4[Premium], "Not Found", 0)</f>
        <v>59</v>
      </c>
      <c r="Q694" s="16">
        <f>_xlfn.XLOOKUP(CustomerCombinedCleaned[[#This Row],[ID]], Table4[ID], Table4[Regular], "Not Found", 0)</f>
        <v>3965</v>
      </c>
      <c r="R694" s="16">
        <f>_xlfn.XLOOKUP(CustomerCombinedCleaned[[#This Row],[ID]], Table4[ID], Table4[Deals], "Not Found", 0)</f>
        <v>0</v>
      </c>
      <c r="S694" s="16">
        <f>_xlfn.XLOOKUP(CustomerCombinedCleaned[[#This Row],[ID]], Table4[ID], Table4[Website], "Not Found", 0)</f>
        <v>4</v>
      </c>
      <c r="T694" s="16">
        <f>_xlfn.XLOOKUP(CustomerCombinedCleaned[[#This Row],[ID]], Table4[ID], Table4[Catalog], "Not Found", 0)</f>
        <v>7</v>
      </c>
      <c r="U694" s="16">
        <f>_xlfn.XLOOKUP(CustomerCombinedCleaned[[#This Row],[ID]], Table4[ID], Table4[Store], "Not Found", 0)</f>
        <v>6</v>
      </c>
      <c r="V694" s="16">
        <f>_xlfn.XLOOKUP(CustomerCombinedCleaned[[#This Row],[ID]], Table4[ID], Table4[Visits], "Not Found", 0)</f>
        <v>1</v>
      </c>
      <c r="W694" s="16">
        <f>_xlfn.XLOOKUP(CustomerCombinedCleaned[[#This Row],[ID]], Table2[ID],Table2[Complaint], "Not Found", 0 )</f>
        <v>0</v>
      </c>
      <c r="X694" s="16">
        <f>_xlfn.XLOOKUP(CustomerCombinedCleaned[[#This Row],[ID]], Table2[ID],Table2[Pilot], "Not Found", 0 )</f>
        <v>1</v>
      </c>
      <c r="Y694" s="16">
        <f>_xlfn.XLOOKUP(CustomerCombinedCleaned[[#This Row],[ID]], Table2[ID],Table2[MC1], "Not Found", 0 )</f>
        <v>1</v>
      </c>
      <c r="Z694" s="16">
        <f>_xlfn.XLOOKUP(CustomerCombinedCleaned[[#This Row],[ID]], Table2[ID],Table2[MC2], "Not Found", 0 )</f>
        <v>0</v>
      </c>
      <c r="AA694" s="16">
        <f>_xlfn.XLOOKUP(CustomerCombinedCleaned[[#This Row],[ID]], Table2[ID],Table2[MC3], "Not Found", 0 )</f>
        <v>1</v>
      </c>
      <c r="AB694" s="16">
        <f>_xlfn.XLOOKUP(CustomerCombinedCleaned[[#This Row],[ID]], Table2[ID],Table2[MC4], "Not Found", 0 )</f>
        <v>0</v>
      </c>
      <c r="AC694" s="16">
        <f>_xlfn.XLOOKUP(CustomerCombinedCleaned[[#This Row],[ID]], Table2[ID],Table2[MC5], "Not Found", 0 )</f>
        <v>1</v>
      </c>
    </row>
    <row r="695" spans="1:29" x14ac:dyDescent="0.3">
      <c r="A695" s="18">
        <v>2246</v>
      </c>
      <c r="B695" s="16">
        <v>183829</v>
      </c>
      <c r="C695" s="16">
        <v>0</v>
      </c>
      <c r="D695" s="16">
        <v>0</v>
      </c>
      <c r="E695" s="16">
        <v>45</v>
      </c>
      <c r="F695" s="17" t="s">
        <v>5</v>
      </c>
      <c r="G695" s="17" t="s">
        <v>11</v>
      </c>
      <c r="H695" s="3" t="s">
        <v>174</v>
      </c>
      <c r="I695" s="5" t="s">
        <v>438</v>
      </c>
      <c r="J695" s="16">
        <f>_xlfn.XLOOKUP(CustomerCombinedCleaned[[#This Row],[ID]], Table4[ID], Table4[Recency], "Not Found", 0)</f>
        <v>78</v>
      </c>
      <c r="K695" s="16">
        <f>_xlfn.XLOOKUP(CustomerCombinedCleaned[[#This Row],[ID]], Table4[ID], Table4[Teas], "Not Found", 0)</f>
        <v>1967</v>
      </c>
      <c r="L695" s="16">
        <f>_xlfn.XLOOKUP(CustomerCombinedCleaned[[#This Row],[ID]], Table4[ID], Table4[Fruits], "Not Found", 0)</f>
        <v>353</v>
      </c>
      <c r="M695" s="16">
        <f>_xlfn.XLOOKUP(CustomerCombinedCleaned[[#This Row],[ID]], Table4[ID], Table4[Meats], "Not Found", 0)</f>
        <v>943</v>
      </c>
      <c r="N695" s="16">
        <f>_xlfn.XLOOKUP(CustomerCombinedCleaned[[#This Row],[ID]], Table4[ID], Table4[Seafood], "Not Found", 0)</f>
        <v>408</v>
      </c>
      <c r="O695" s="16">
        <f>_xlfn.XLOOKUP(CustomerCombinedCleaned[[#This Row],[ID]], Table4[ID], Table4[Sweets], "Not Found", 0)</f>
        <v>353</v>
      </c>
      <c r="P695" s="16">
        <f>_xlfn.XLOOKUP(CustomerCombinedCleaned[[#This Row],[ID]], Table4[ID], Table4[Premium], "Not Found", 0)</f>
        <v>59</v>
      </c>
      <c r="Q695" s="16">
        <f>_xlfn.XLOOKUP(CustomerCombinedCleaned[[#This Row],[ID]], Table4[ID], Table4[Regular], "Not Found", 0)</f>
        <v>3965</v>
      </c>
      <c r="R695" s="16">
        <f>_xlfn.XLOOKUP(CustomerCombinedCleaned[[#This Row],[ID]], Table4[ID], Table4[Deals], "Not Found", 0)</f>
        <v>0</v>
      </c>
      <c r="S695" s="16">
        <f>_xlfn.XLOOKUP(CustomerCombinedCleaned[[#This Row],[ID]], Table4[ID], Table4[Website], "Not Found", 0)</f>
        <v>4</v>
      </c>
      <c r="T695" s="16">
        <f>_xlfn.XLOOKUP(CustomerCombinedCleaned[[#This Row],[ID]], Table4[ID], Table4[Catalog], "Not Found", 0)</f>
        <v>7</v>
      </c>
      <c r="U695" s="16">
        <f>_xlfn.XLOOKUP(CustomerCombinedCleaned[[#This Row],[ID]], Table4[ID], Table4[Store], "Not Found", 0)</f>
        <v>6</v>
      </c>
      <c r="V695" s="16">
        <f>_xlfn.XLOOKUP(CustomerCombinedCleaned[[#This Row],[ID]], Table4[ID], Table4[Visits], "Not Found", 0)</f>
        <v>1</v>
      </c>
      <c r="W695" s="16">
        <f>_xlfn.XLOOKUP(CustomerCombinedCleaned[[#This Row],[ID]], Table2[ID],Table2[Complaint], "Not Found", 0 )</f>
        <v>0</v>
      </c>
      <c r="X695" s="16">
        <f>_xlfn.XLOOKUP(CustomerCombinedCleaned[[#This Row],[ID]], Table2[ID],Table2[Pilot], "Not Found", 0 )</f>
        <v>1</v>
      </c>
      <c r="Y695" s="16">
        <f>_xlfn.XLOOKUP(CustomerCombinedCleaned[[#This Row],[ID]], Table2[ID],Table2[MC1], "Not Found", 0 )</f>
        <v>1</v>
      </c>
      <c r="Z695" s="16">
        <f>_xlfn.XLOOKUP(CustomerCombinedCleaned[[#This Row],[ID]], Table2[ID],Table2[MC2], "Not Found", 0 )</f>
        <v>0</v>
      </c>
      <c r="AA695" s="16">
        <f>_xlfn.XLOOKUP(CustomerCombinedCleaned[[#This Row],[ID]], Table2[ID],Table2[MC3], "Not Found", 0 )</f>
        <v>1</v>
      </c>
      <c r="AB695" s="16">
        <f>_xlfn.XLOOKUP(CustomerCombinedCleaned[[#This Row],[ID]], Table2[ID],Table2[MC4], "Not Found", 0 )</f>
        <v>0</v>
      </c>
      <c r="AC695" s="16">
        <f>_xlfn.XLOOKUP(CustomerCombinedCleaned[[#This Row],[ID]], Table2[ID],Table2[MC5], "Not Found", 0 )</f>
        <v>1</v>
      </c>
    </row>
    <row r="696" spans="1:29" x14ac:dyDescent="0.3">
      <c r="A696" s="18">
        <v>1499</v>
      </c>
      <c r="B696" s="16">
        <v>181169</v>
      </c>
      <c r="C696" s="16">
        <v>0</v>
      </c>
      <c r="D696" s="16">
        <v>0</v>
      </c>
      <c r="E696" s="16">
        <v>45</v>
      </c>
      <c r="F696" s="17" t="s">
        <v>7</v>
      </c>
      <c r="G696" s="17" t="s">
        <v>12</v>
      </c>
      <c r="H696" s="3" t="s">
        <v>275</v>
      </c>
      <c r="I696" s="5" t="s">
        <v>434</v>
      </c>
      <c r="J696" s="16">
        <f>_xlfn.XLOOKUP(CustomerCombinedCleaned[[#This Row],[ID]], Table4[ID], Table4[Recency], "Not Found", 0)</f>
        <v>47</v>
      </c>
      <c r="K696" s="16">
        <f>_xlfn.XLOOKUP(CustomerCombinedCleaned[[#This Row],[ID]], Table4[ID], Table4[Teas], "Not Found", 0)</f>
        <v>2875</v>
      </c>
      <c r="L696" s="16">
        <f>_xlfn.XLOOKUP(CustomerCombinedCleaned[[#This Row],[ID]], Table4[ID], Table4[Fruits], "Not Found", 0)</f>
        <v>45</v>
      </c>
      <c r="M696" s="16">
        <f>_xlfn.XLOOKUP(CustomerCombinedCleaned[[#This Row],[ID]], Table4[ID], Table4[Meats], "Not Found", 0)</f>
        <v>1368</v>
      </c>
      <c r="N696" s="16">
        <f>_xlfn.XLOOKUP(CustomerCombinedCleaned[[#This Row],[ID]], Table4[ID], Table4[Seafood], "Not Found", 0)</f>
        <v>179</v>
      </c>
      <c r="O696" s="16">
        <f>_xlfn.XLOOKUP(CustomerCombinedCleaned[[#This Row],[ID]], Table4[ID], Table4[Sweets], "Not Found", 0)</f>
        <v>136</v>
      </c>
      <c r="P696" s="16">
        <f>_xlfn.XLOOKUP(CustomerCombinedCleaned[[#This Row],[ID]], Table4[ID], Table4[Premium], "Not Found", 0)</f>
        <v>60</v>
      </c>
      <c r="Q696" s="16">
        <f>_xlfn.XLOOKUP(CustomerCombinedCleaned[[#This Row],[ID]], Table4[ID], Table4[Regular], "Not Found", 0)</f>
        <v>4542</v>
      </c>
      <c r="R696" s="16">
        <f>_xlfn.XLOOKUP(CustomerCombinedCleaned[[#This Row],[ID]], Table4[ID], Table4[Deals], "Not Found", 0)</f>
        <v>1</v>
      </c>
      <c r="S696" s="16">
        <f>_xlfn.XLOOKUP(CustomerCombinedCleaned[[#This Row],[ID]], Table4[ID], Table4[Website], "Not Found", 0)</f>
        <v>5</v>
      </c>
      <c r="T696" s="16">
        <f>_xlfn.XLOOKUP(CustomerCombinedCleaned[[#This Row],[ID]], Table4[ID], Table4[Catalog], "Not Found", 0)</f>
        <v>7</v>
      </c>
      <c r="U696" s="16">
        <f>_xlfn.XLOOKUP(CustomerCombinedCleaned[[#This Row],[ID]], Table4[ID], Table4[Store], "Not Found", 0)</f>
        <v>9</v>
      </c>
      <c r="V696" s="16">
        <f>_xlfn.XLOOKUP(CustomerCombinedCleaned[[#This Row],[ID]], Table4[ID], Table4[Visits], "Not Found", 0)</f>
        <v>2</v>
      </c>
      <c r="W696" s="16">
        <f>_xlfn.XLOOKUP(CustomerCombinedCleaned[[#This Row],[ID]], Table2[ID],Table2[Complaint], "Not Found", 0 )</f>
        <v>0</v>
      </c>
      <c r="X696" s="16">
        <f>_xlfn.XLOOKUP(CustomerCombinedCleaned[[#This Row],[ID]], Table2[ID],Table2[Pilot], "Not Found", 0 )</f>
        <v>0</v>
      </c>
      <c r="Y696" s="16">
        <f>_xlfn.XLOOKUP(CustomerCombinedCleaned[[#This Row],[ID]], Table2[ID],Table2[MC1], "Not Found", 0 )</f>
        <v>0</v>
      </c>
      <c r="Z696" s="16">
        <f>_xlfn.XLOOKUP(CustomerCombinedCleaned[[#This Row],[ID]], Table2[ID],Table2[MC2], "Not Found", 0 )</f>
        <v>0</v>
      </c>
      <c r="AA696" s="16">
        <f>_xlfn.XLOOKUP(CustomerCombinedCleaned[[#This Row],[ID]], Table2[ID],Table2[MC3], "Not Found", 0 )</f>
        <v>0</v>
      </c>
      <c r="AB696" s="16">
        <f>_xlfn.XLOOKUP(CustomerCombinedCleaned[[#This Row],[ID]], Table2[ID],Table2[MC4], "Not Found", 0 )</f>
        <v>0</v>
      </c>
      <c r="AC696" s="16">
        <f>_xlfn.XLOOKUP(CustomerCombinedCleaned[[#This Row],[ID]], Table2[ID],Table2[MC5], "Not Found", 0 )</f>
        <v>0</v>
      </c>
    </row>
    <row r="697" spans="1:29" x14ac:dyDescent="0.3">
      <c r="A697" s="18">
        <v>1164</v>
      </c>
      <c r="B697" s="16">
        <v>180427</v>
      </c>
      <c r="C697" s="16">
        <v>0</v>
      </c>
      <c r="D697" s="16">
        <v>1</v>
      </c>
      <c r="E697" s="16">
        <v>45</v>
      </c>
      <c r="F697" s="17" t="s">
        <v>6</v>
      </c>
      <c r="G697" s="17" t="s">
        <v>13</v>
      </c>
      <c r="H697" s="3" t="s">
        <v>397</v>
      </c>
      <c r="I697" s="5" t="s">
        <v>436</v>
      </c>
      <c r="J697" s="16">
        <f>_xlfn.XLOOKUP(CustomerCombinedCleaned[[#This Row],[ID]], Table4[ID], Table4[Recency], "Not Found", 0)</f>
        <v>56</v>
      </c>
      <c r="K697" s="16">
        <f>_xlfn.XLOOKUP(CustomerCombinedCleaned[[#This Row],[ID]], Table4[ID], Table4[Teas], "Not Found", 0)</f>
        <v>2578</v>
      </c>
      <c r="L697" s="16">
        <f>_xlfn.XLOOKUP(CustomerCombinedCleaned[[#This Row],[ID]], Table4[ID], Table4[Fruits], "Not Found", 0)</f>
        <v>159</v>
      </c>
      <c r="M697" s="16">
        <f>_xlfn.XLOOKUP(CustomerCombinedCleaned[[#This Row],[ID]], Table4[ID], Table4[Meats], "Not Found", 0)</f>
        <v>1007</v>
      </c>
      <c r="N697" s="16">
        <f>_xlfn.XLOOKUP(CustomerCombinedCleaned[[#This Row],[ID]], Table4[ID], Table4[Seafood], "Not Found", 0)</f>
        <v>155</v>
      </c>
      <c r="O697" s="16">
        <f>_xlfn.XLOOKUP(CustomerCombinedCleaned[[#This Row],[ID]], Table4[ID], Table4[Sweets], "Not Found", 0)</f>
        <v>159</v>
      </c>
      <c r="P697" s="16">
        <f>_xlfn.XLOOKUP(CustomerCombinedCleaned[[#This Row],[ID]], Table4[ID], Table4[Premium], "Not Found", 0)</f>
        <v>58</v>
      </c>
      <c r="Q697" s="16">
        <f>_xlfn.XLOOKUP(CustomerCombinedCleaned[[#This Row],[ID]], Table4[ID], Table4[Regular], "Not Found", 0)</f>
        <v>4000</v>
      </c>
      <c r="R697" s="16">
        <f>_xlfn.XLOOKUP(CustomerCombinedCleaned[[#This Row],[ID]], Table4[ID], Table4[Deals], "Not Found", 0)</f>
        <v>1</v>
      </c>
      <c r="S697" s="16">
        <f>_xlfn.XLOOKUP(CustomerCombinedCleaned[[#This Row],[ID]], Table4[ID], Table4[Website], "Not Found", 0)</f>
        <v>11</v>
      </c>
      <c r="T697" s="16">
        <f>_xlfn.XLOOKUP(CustomerCombinedCleaned[[#This Row],[ID]], Table4[ID], Table4[Catalog], "Not Found", 0)</f>
        <v>8</v>
      </c>
      <c r="U697" s="16">
        <f>_xlfn.XLOOKUP(CustomerCombinedCleaned[[#This Row],[ID]], Table4[ID], Table4[Store], "Not Found", 0)</f>
        <v>8</v>
      </c>
      <c r="V697" s="16">
        <f>_xlfn.XLOOKUP(CustomerCombinedCleaned[[#This Row],[ID]], Table4[ID], Table4[Visits], "Not Found", 0)</f>
        <v>5</v>
      </c>
      <c r="W697" s="16">
        <f>_xlfn.XLOOKUP(CustomerCombinedCleaned[[#This Row],[ID]], Table2[ID],Table2[Complaint], "Not Found", 0 )</f>
        <v>0</v>
      </c>
      <c r="X697" s="16">
        <f>_xlfn.XLOOKUP(CustomerCombinedCleaned[[#This Row],[ID]], Table2[ID],Table2[Pilot], "Not Found", 0 )</f>
        <v>0</v>
      </c>
      <c r="Y697" s="16">
        <f>_xlfn.XLOOKUP(CustomerCombinedCleaned[[#This Row],[ID]], Table2[ID],Table2[MC1], "Not Found", 0 )</f>
        <v>0</v>
      </c>
      <c r="Z697" s="16">
        <f>_xlfn.XLOOKUP(CustomerCombinedCleaned[[#This Row],[ID]], Table2[ID],Table2[MC2], "Not Found", 0 )</f>
        <v>0</v>
      </c>
      <c r="AA697" s="16">
        <f>_xlfn.XLOOKUP(CustomerCombinedCleaned[[#This Row],[ID]], Table2[ID],Table2[MC3], "Not Found", 0 )</f>
        <v>0</v>
      </c>
      <c r="AB697" s="16">
        <f>_xlfn.XLOOKUP(CustomerCombinedCleaned[[#This Row],[ID]], Table2[ID],Table2[MC4], "Not Found", 0 )</f>
        <v>0</v>
      </c>
      <c r="AC697" s="16">
        <f>_xlfn.XLOOKUP(CustomerCombinedCleaned[[#This Row],[ID]], Table2[ID],Table2[MC5], "Not Found", 0 )</f>
        <v>0</v>
      </c>
    </row>
    <row r="698" spans="1:29" x14ac:dyDescent="0.3">
      <c r="A698" s="18">
        <v>3065</v>
      </c>
      <c r="B698" s="16">
        <v>180144</v>
      </c>
      <c r="C698" s="16">
        <v>0</v>
      </c>
      <c r="D698" s="16">
        <v>0</v>
      </c>
      <c r="E698" s="16">
        <v>45</v>
      </c>
      <c r="F698" s="17" t="s">
        <v>8</v>
      </c>
      <c r="G698" s="17" t="s">
        <v>11</v>
      </c>
      <c r="H698" s="3" t="s">
        <v>604</v>
      </c>
      <c r="I698" s="5" t="s">
        <v>434</v>
      </c>
      <c r="J698" s="16">
        <f>_xlfn.XLOOKUP(CustomerCombinedCleaned[[#This Row],[ID]], Table4[ID], Table4[Recency], "Not Found", 0)</f>
        <v>47</v>
      </c>
      <c r="K698" s="16">
        <f>_xlfn.XLOOKUP(CustomerCombinedCleaned[[#This Row],[ID]], Table4[ID], Table4[Teas], "Not Found", 0)</f>
        <v>539</v>
      </c>
      <c r="L698" s="16">
        <f>_xlfn.XLOOKUP(CustomerCombinedCleaned[[#This Row],[ID]], Table4[ID], Table4[Fruits], "Not Found", 0)</f>
        <v>297</v>
      </c>
      <c r="M698" s="16">
        <f>_xlfn.XLOOKUP(CustomerCombinedCleaned[[#This Row],[ID]], Table4[ID], Table4[Meats], "Not Found", 0)</f>
        <v>1000</v>
      </c>
      <c r="N698" s="16">
        <f>_xlfn.XLOOKUP(CustomerCombinedCleaned[[#This Row],[ID]], Table4[ID], Table4[Seafood], "Not Found", 0)</f>
        <v>562</v>
      </c>
      <c r="O698" s="16">
        <f>_xlfn.XLOOKUP(CustomerCombinedCleaned[[#This Row],[ID]], Table4[ID], Table4[Sweets], "Not Found", 0)</f>
        <v>432</v>
      </c>
      <c r="P698" s="16">
        <f>_xlfn.XLOOKUP(CustomerCombinedCleaned[[#This Row],[ID]], Table4[ID], Table4[Premium], "Not Found", 0)</f>
        <v>243</v>
      </c>
      <c r="Q698" s="16">
        <f>_xlfn.XLOOKUP(CustomerCombinedCleaned[[#This Row],[ID]], Table4[ID], Table4[Regular], "Not Found", 0)</f>
        <v>2587</v>
      </c>
      <c r="R698" s="16">
        <f>_xlfn.XLOOKUP(CustomerCombinedCleaned[[#This Row],[ID]], Table4[ID], Table4[Deals], "Not Found", 0)</f>
        <v>1</v>
      </c>
      <c r="S698" s="16">
        <f>_xlfn.XLOOKUP(CustomerCombinedCleaned[[#This Row],[ID]], Table4[ID], Table4[Website], "Not Found", 0)</f>
        <v>3</v>
      </c>
      <c r="T698" s="16">
        <f>_xlfn.XLOOKUP(CustomerCombinedCleaned[[#This Row],[ID]], Table4[ID], Table4[Catalog], "Not Found", 0)</f>
        <v>7</v>
      </c>
      <c r="U698" s="16">
        <f>_xlfn.XLOOKUP(CustomerCombinedCleaned[[#This Row],[ID]], Table4[ID], Table4[Store], "Not Found", 0)</f>
        <v>8</v>
      </c>
      <c r="V698" s="16">
        <f>_xlfn.XLOOKUP(CustomerCombinedCleaned[[#This Row],[ID]], Table4[ID], Table4[Visits], "Not Found", 0)</f>
        <v>1</v>
      </c>
      <c r="W698" s="16">
        <f>_xlfn.XLOOKUP(CustomerCombinedCleaned[[#This Row],[ID]], Table2[ID],Table2[Complaint], "Not Found", 0 )</f>
        <v>0</v>
      </c>
      <c r="X698" s="16">
        <f>_xlfn.XLOOKUP(CustomerCombinedCleaned[[#This Row],[ID]], Table2[ID],Table2[Pilot], "Not Found", 0 )</f>
        <v>0</v>
      </c>
      <c r="Y698" s="16">
        <f>_xlfn.XLOOKUP(CustomerCombinedCleaned[[#This Row],[ID]], Table2[ID],Table2[MC1], "Not Found", 0 )</f>
        <v>0</v>
      </c>
      <c r="Z698" s="16">
        <f>_xlfn.XLOOKUP(CustomerCombinedCleaned[[#This Row],[ID]], Table2[ID],Table2[MC2], "Not Found", 0 )</f>
        <v>0</v>
      </c>
      <c r="AA698" s="16">
        <f>_xlfn.XLOOKUP(CustomerCombinedCleaned[[#This Row],[ID]], Table2[ID],Table2[MC3], "Not Found", 0 )</f>
        <v>0</v>
      </c>
      <c r="AB698" s="16">
        <f>_xlfn.XLOOKUP(CustomerCombinedCleaned[[#This Row],[ID]], Table2[ID],Table2[MC4], "Not Found", 0 )</f>
        <v>0</v>
      </c>
      <c r="AC698" s="16">
        <f>_xlfn.XLOOKUP(CustomerCombinedCleaned[[#This Row],[ID]], Table2[ID],Table2[MC5], "Not Found", 0 )</f>
        <v>0</v>
      </c>
    </row>
    <row r="699" spans="1:29" x14ac:dyDescent="0.3">
      <c r="A699" s="18">
        <v>2971</v>
      </c>
      <c r="B699" s="16">
        <v>179205</v>
      </c>
      <c r="C699" s="16">
        <v>0</v>
      </c>
      <c r="D699" s="16">
        <v>0</v>
      </c>
      <c r="E699" s="16">
        <v>45</v>
      </c>
      <c r="F699" s="17" t="s">
        <v>6</v>
      </c>
      <c r="G699" s="17" t="s">
        <v>11</v>
      </c>
      <c r="H699" s="3" t="s">
        <v>610</v>
      </c>
      <c r="I699" s="5" t="s">
        <v>437</v>
      </c>
      <c r="J699" s="16">
        <f>_xlfn.XLOOKUP(CustomerCombinedCleaned[[#This Row],[ID]], Table4[ID], Table4[Recency], "Not Found", 0)</f>
        <v>73</v>
      </c>
      <c r="K699" s="16">
        <f>_xlfn.XLOOKUP(CustomerCombinedCleaned[[#This Row],[ID]], Table4[ID], Table4[Teas], "Not Found", 0)</f>
        <v>1140</v>
      </c>
      <c r="L699" s="16">
        <f>_xlfn.XLOOKUP(CustomerCombinedCleaned[[#This Row],[ID]], Table4[ID], Table4[Fruits], "Not Found", 0)</f>
        <v>52</v>
      </c>
      <c r="M699" s="16">
        <f>_xlfn.XLOOKUP(CustomerCombinedCleaned[[#This Row],[ID]], Table4[ID], Table4[Meats], "Not Found", 0)</f>
        <v>265</v>
      </c>
      <c r="N699" s="16">
        <f>_xlfn.XLOOKUP(CustomerCombinedCleaned[[#This Row],[ID]], Table4[ID], Table4[Seafood], "Not Found", 0)</f>
        <v>405</v>
      </c>
      <c r="O699" s="16">
        <f>_xlfn.XLOOKUP(CustomerCombinedCleaned[[#This Row],[ID]], Table4[ID], Table4[Sweets], "Not Found", 0)</f>
        <v>63</v>
      </c>
      <c r="P699" s="16">
        <f>_xlfn.XLOOKUP(CustomerCombinedCleaned[[#This Row],[ID]], Table4[ID], Table4[Premium], "Not Found", 0)</f>
        <v>100</v>
      </c>
      <c r="Q699" s="16">
        <f>_xlfn.XLOOKUP(CustomerCombinedCleaned[[#This Row],[ID]], Table4[ID], Table4[Regular], "Not Found", 0)</f>
        <v>1826</v>
      </c>
      <c r="R699" s="16">
        <f>_xlfn.XLOOKUP(CustomerCombinedCleaned[[#This Row],[ID]], Table4[ID], Table4[Deals], "Not Found", 0)</f>
        <v>1</v>
      </c>
      <c r="S699" s="16">
        <f>_xlfn.XLOOKUP(CustomerCombinedCleaned[[#This Row],[ID]], Table4[ID], Table4[Website], "Not Found", 0)</f>
        <v>6</v>
      </c>
      <c r="T699" s="16">
        <f>_xlfn.XLOOKUP(CustomerCombinedCleaned[[#This Row],[ID]], Table4[ID], Table4[Catalog], "Not Found", 0)</f>
        <v>5</v>
      </c>
      <c r="U699" s="16">
        <f>_xlfn.XLOOKUP(CustomerCombinedCleaned[[#This Row],[ID]], Table4[ID], Table4[Store], "Not Found", 0)</f>
        <v>4</v>
      </c>
      <c r="V699" s="16">
        <f>_xlfn.XLOOKUP(CustomerCombinedCleaned[[#This Row],[ID]], Table4[ID], Table4[Visits], "Not Found", 0)</f>
        <v>4</v>
      </c>
      <c r="W699" s="16">
        <f>_xlfn.XLOOKUP(CustomerCombinedCleaned[[#This Row],[ID]], Table2[ID],Table2[Complaint], "Not Found", 0 )</f>
        <v>0</v>
      </c>
      <c r="X699" s="16">
        <f>_xlfn.XLOOKUP(CustomerCombinedCleaned[[#This Row],[ID]], Table2[ID],Table2[Pilot], "Not Found", 0 )</f>
        <v>1</v>
      </c>
      <c r="Y699" s="16">
        <f>_xlfn.XLOOKUP(CustomerCombinedCleaned[[#This Row],[ID]], Table2[ID],Table2[MC1], "Not Found", 0 )</f>
        <v>1</v>
      </c>
      <c r="Z699" s="16">
        <f>_xlfn.XLOOKUP(CustomerCombinedCleaned[[#This Row],[ID]], Table2[ID],Table2[MC2], "Not Found", 0 )</f>
        <v>0</v>
      </c>
      <c r="AA699" s="16">
        <f>_xlfn.XLOOKUP(CustomerCombinedCleaned[[#This Row],[ID]], Table2[ID],Table2[MC3], "Not Found", 0 )</f>
        <v>0</v>
      </c>
      <c r="AB699" s="16">
        <f>_xlfn.XLOOKUP(CustomerCombinedCleaned[[#This Row],[ID]], Table2[ID],Table2[MC4], "Not Found", 0 )</f>
        <v>0</v>
      </c>
      <c r="AC699" s="16">
        <f>_xlfn.XLOOKUP(CustomerCombinedCleaned[[#This Row],[ID]], Table2[ID],Table2[MC5], "Not Found", 0 )</f>
        <v>0</v>
      </c>
    </row>
    <row r="700" spans="1:29" x14ac:dyDescent="0.3">
      <c r="A700" s="18">
        <v>3143</v>
      </c>
      <c r="B700" s="16">
        <v>179174</v>
      </c>
      <c r="C700" s="16">
        <v>0</v>
      </c>
      <c r="D700" s="16">
        <v>0</v>
      </c>
      <c r="E700" s="16">
        <v>45</v>
      </c>
      <c r="F700" s="17" t="s">
        <v>6</v>
      </c>
      <c r="G700" s="17" t="s">
        <v>13</v>
      </c>
      <c r="H700" s="3" t="s">
        <v>329</v>
      </c>
      <c r="I700" s="5" t="s">
        <v>434</v>
      </c>
      <c r="J700" s="16">
        <f>_xlfn.XLOOKUP(CustomerCombinedCleaned[[#This Row],[ID]], Table4[ID], Table4[Recency], "Not Found", 0)</f>
        <v>2</v>
      </c>
      <c r="K700" s="16">
        <f>_xlfn.XLOOKUP(CustomerCombinedCleaned[[#This Row],[ID]], Table4[ID], Table4[Teas], "Not Found", 0)</f>
        <v>2431</v>
      </c>
      <c r="L700" s="16">
        <f>_xlfn.XLOOKUP(CustomerCombinedCleaned[[#This Row],[ID]], Table4[ID], Table4[Fruits], "Not Found", 0)</f>
        <v>84</v>
      </c>
      <c r="M700" s="16">
        <f>_xlfn.XLOOKUP(CustomerCombinedCleaned[[#This Row],[ID]], Table4[ID], Table4[Meats], "Not Found", 0)</f>
        <v>1172</v>
      </c>
      <c r="N700" s="16">
        <f>_xlfn.XLOOKUP(CustomerCombinedCleaned[[#This Row],[ID]], Table4[ID], Table4[Seafood], "Not Found", 0)</f>
        <v>437</v>
      </c>
      <c r="O700" s="16">
        <f>_xlfn.XLOOKUP(CustomerCombinedCleaned[[#This Row],[ID]], Table4[ID], Table4[Sweets], "Not Found", 0)</f>
        <v>208</v>
      </c>
      <c r="P700" s="16">
        <f>_xlfn.XLOOKUP(CustomerCombinedCleaned[[#This Row],[ID]], Table4[ID], Table4[Premium], "Not Found", 0)</f>
        <v>292</v>
      </c>
      <c r="Q700" s="16">
        <f>_xlfn.XLOOKUP(CustomerCombinedCleaned[[#This Row],[ID]], Table4[ID], Table4[Regular], "Not Found", 0)</f>
        <v>4040</v>
      </c>
      <c r="R700" s="16">
        <f>_xlfn.XLOOKUP(CustomerCombinedCleaned[[#This Row],[ID]], Table4[ID], Table4[Deals], "Not Found", 0)</f>
        <v>1</v>
      </c>
      <c r="S700" s="16">
        <f>_xlfn.XLOOKUP(CustomerCombinedCleaned[[#This Row],[ID]], Table4[ID], Table4[Website], "Not Found", 0)</f>
        <v>5</v>
      </c>
      <c r="T700" s="16">
        <f>_xlfn.XLOOKUP(CustomerCombinedCleaned[[#This Row],[ID]], Table4[ID], Table4[Catalog], "Not Found", 0)</f>
        <v>6</v>
      </c>
      <c r="U700" s="16">
        <f>_xlfn.XLOOKUP(CustomerCombinedCleaned[[#This Row],[ID]], Table4[ID], Table4[Store], "Not Found", 0)</f>
        <v>7</v>
      </c>
      <c r="V700" s="16">
        <f>_xlfn.XLOOKUP(CustomerCombinedCleaned[[#This Row],[ID]], Table4[ID], Table4[Visits], "Not Found", 0)</f>
        <v>2</v>
      </c>
      <c r="W700" s="16">
        <f>_xlfn.XLOOKUP(CustomerCombinedCleaned[[#This Row],[ID]], Table2[ID],Table2[Complaint], "Not Found", 0 )</f>
        <v>0</v>
      </c>
      <c r="X700" s="16">
        <f>_xlfn.XLOOKUP(CustomerCombinedCleaned[[#This Row],[ID]], Table2[ID],Table2[Pilot], "Not Found", 0 )</f>
        <v>1</v>
      </c>
      <c r="Y700" s="16">
        <f>_xlfn.XLOOKUP(CustomerCombinedCleaned[[#This Row],[ID]], Table2[ID],Table2[MC1], "Not Found", 0 )</f>
        <v>1</v>
      </c>
      <c r="Z700" s="16">
        <f>_xlfn.XLOOKUP(CustomerCombinedCleaned[[#This Row],[ID]], Table2[ID],Table2[MC2], "Not Found", 0 )</f>
        <v>0</v>
      </c>
      <c r="AA700" s="16">
        <f>_xlfn.XLOOKUP(CustomerCombinedCleaned[[#This Row],[ID]], Table2[ID],Table2[MC3], "Not Found", 0 )</f>
        <v>0</v>
      </c>
      <c r="AB700" s="16">
        <f>_xlfn.XLOOKUP(CustomerCombinedCleaned[[#This Row],[ID]], Table2[ID],Table2[MC4], "Not Found", 0 )</f>
        <v>0</v>
      </c>
      <c r="AC700" s="16">
        <f>_xlfn.XLOOKUP(CustomerCombinedCleaned[[#This Row],[ID]], Table2[ID],Table2[MC5], "Not Found", 0 )</f>
        <v>1</v>
      </c>
    </row>
    <row r="701" spans="1:29" x14ac:dyDescent="0.3">
      <c r="A701" s="18">
        <v>1696</v>
      </c>
      <c r="B701" s="16">
        <v>176618</v>
      </c>
      <c r="C701" s="16">
        <v>0</v>
      </c>
      <c r="D701" s="16">
        <v>0</v>
      </c>
      <c r="E701" s="16">
        <v>45</v>
      </c>
      <c r="F701" s="17" t="s">
        <v>6</v>
      </c>
      <c r="G701" s="17" t="s">
        <v>13</v>
      </c>
      <c r="H701" s="3" t="s">
        <v>351</v>
      </c>
      <c r="I701" s="5" t="s">
        <v>439</v>
      </c>
      <c r="J701" s="16">
        <f>_xlfn.XLOOKUP(CustomerCombinedCleaned[[#This Row],[ID]], Table4[ID], Table4[Recency], "Not Found", 0)</f>
        <v>64</v>
      </c>
      <c r="K701" s="16">
        <f>_xlfn.XLOOKUP(CustomerCombinedCleaned[[#This Row],[ID]], Table4[ID], Table4[Teas], "Not Found", 0)</f>
        <v>1727</v>
      </c>
      <c r="L701" s="16">
        <f>_xlfn.XLOOKUP(CustomerCombinedCleaned[[#This Row],[ID]], Table4[ID], Table4[Fruits], "Not Found", 0)</f>
        <v>92</v>
      </c>
      <c r="M701" s="16">
        <f>_xlfn.XLOOKUP(CustomerCombinedCleaned[[#This Row],[ID]], Table4[ID], Table4[Meats], "Not Found", 0)</f>
        <v>678</v>
      </c>
      <c r="N701" s="16">
        <f>_xlfn.XLOOKUP(CustomerCombinedCleaned[[#This Row],[ID]], Table4[ID], Table4[Seafood], "Not Found", 0)</f>
        <v>279</v>
      </c>
      <c r="O701" s="16">
        <f>_xlfn.XLOOKUP(CustomerCombinedCleaned[[#This Row],[ID]], Table4[ID], Table4[Sweets], "Not Found", 0)</f>
        <v>369</v>
      </c>
      <c r="P701" s="16">
        <f>_xlfn.XLOOKUP(CustomerCombinedCleaned[[#This Row],[ID]], Table4[ID], Table4[Premium], "Not Found", 0)</f>
        <v>339</v>
      </c>
      <c r="Q701" s="16">
        <f>_xlfn.XLOOKUP(CustomerCombinedCleaned[[#This Row],[ID]], Table4[ID], Table4[Regular], "Not Found", 0)</f>
        <v>2805</v>
      </c>
      <c r="R701" s="16">
        <f>_xlfn.XLOOKUP(CustomerCombinedCleaned[[#This Row],[ID]], Table4[ID], Table4[Deals], "Not Found", 0)</f>
        <v>1</v>
      </c>
      <c r="S701" s="16">
        <f>_xlfn.XLOOKUP(CustomerCombinedCleaned[[#This Row],[ID]], Table4[ID], Table4[Website], "Not Found", 0)</f>
        <v>3</v>
      </c>
      <c r="T701" s="16">
        <f>_xlfn.XLOOKUP(CustomerCombinedCleaned[[#This Row],[ID]], Table4[ID], Table4[Catalog], "Not Found", 0)</f>
        <v>2</v>
      </c>
      <c r="U701" s="16">
        <f>_xlfn.XLOOKUP(CustomerCombinedCleaned[[#This Row],[ID]], Table4[ID], Table4[Store], "Not Found", 0)</f>
        <v>5</v>
      </c>
      <c r="V701" s="16">
        <f>_xlfn.XLOOKUP(CustomerCombinedCleaned[[#This Row],[ID]], Table4[ID], Table4[Visits], "Not Found", 0)</f>
        <v>1</v>
      </c>
      <c r="W701" s="16">
        <f>_xlfn.XLOOKUP(CustomerCombinedCleaned[[#This Row],[ID]], Table2[ID],Table2[Complaint], "Not Found", 0 )</f>
        <v>0</v>
      </c>
      <c r="X701" s="16">
        <f>_xlfn.XLOOKUP(CustomerCombinedCleaned[[#This Row],[ID]], Table2[ID],Table2[Pilot], "Not Found", 0 )</f>
        <v>0</v>
      </c>
      <c r="Y701" s="16">
        <f>_xlfn.XLOOKUP(CustomerCombinedCleaned[[#This Row],[ID]], Table2[ID],Table2[MC1], "Not Found", 0 )</f>
        <v>0</v>
      </c>
      <c r="Z701" s="16">
        <f>_xlfn.XLOOKUP(CustomerCombinedCleaned[[#This Row],[ID]], Table2[ID],Table2[MC2], "Not Found", 0 )</f>
        <v>0</v>
      </c>
      <c r="AA701" s="16">
        <f>_xlfn.XLOOKUP(CustomerCombinedCleaned[[#This Row],[ID]], Table2[ID],Table2[MC3], "Not Found", 0 )</f>
        <v>0</v>
      </c>
      <c r="AB701" s="16">
        <f>_xlfn.XLOOKUP(CustomerCombinedCleaned[[#This Row],[ID]], Table2[ID],Table2[MC4], "Not Found", 0 )</f>
        <v>0</v>
      </c>
      <c r="AC701" s="16">
        <f>_xlfn.XLOOKUP(CustomerCombinedCleaned[[#This Row],[ID]], Table2[ID],Table2[MC5], "Not Found", 0 )</f>
        <v>0</v>
      </c>
    </row>
    <row r="702" spans="1:29" x14ac:dyDescent="0.3">
      <c r="A702" s="18">
        <v>2863</v>
      </c>
      <c r="B702" s="16">
        <v>176532</v>
      </c>
      <c r="C702" s="16">
        <v>1</v>
      </c>
      <c r="D702" s="16">
        <v>1</v>
      </c>
      <c r="E702" s="16">
        <v>45</v>
      </c>
      <c r="F702" s="17" t="s">
        <v>8</v>
      </c>
      <c r="G702" s="17" t="s">
        <v>11</v>
      </c>
      <c r="H702" s="3" t="s">
        <v>190</v>
      </c>
      <c r="I702" s="5" t="s">
        <v>437</v>
      </c>
      <c r="J702" s="16">
        <f>_xlfn.XLOOKUP(CustomerCombinedCleaned[[#This Row],[ID]], Table4[ID], Table4[Recency], "Not Found", 0)</f>
        <v>38</v>
      </c>
      <c r="K702" s="16">
        <f>_xlfn.XLOOKUP(CustomerCombinedCleaned[[#This Row],[ID]], Table4[ID], Table4[Teas], "Not Found", 0)</f>
        <v>819</v>
      </c>
      <c r="L702" s="16">
        <f>_xlfn.XLOOKUP(CustomerCombinedCleaned[[#This Row],[ID]], Table4[ID], Table4[Fruits], "Not Found", 0)</f>
        <v>69</v>
      </c>
      <c r="M702" s="16">
        <f>_xlfn.XLOOKUP(CustomerCombinedCleaned[[#This Row],[ID]], Table4[ID], Table4[Meats], "Not Found", 0)</f>
        <v>408</v>
      </c>
      <c r="N702" s="16">
        <f>_xlfn.XLOOKUP(CustomerCombinedCleaned[[#This Row],[ID]], Table4[ID], Table4[Seafood], "Not Found", 0)</f>
        <v>208</v>
      </c>
      <c r="O702" s="16">
        <f>_xlfn.XLOOKUP(CustomerCombinedCleaned[[#This Row],[ID]], Table4[ID], Table4[Sweets], "Not Found", 0)</f>
        <v>318</v>
      </c>
      <c r="P702" s="16">
        <f>_xlfn.XLOOKUP(CustomerCombinedCleaned[[#This Row],[ID]], Table4[ID], Table4[Premium], "Not Found", 0)</f>
        <v>69</v>
      </c>
      <c r="Q702" s="16">
        <f>_xlfn.XLOOKUP(CustomerCombinedCleaned[[#This Row],[ID]], Table4[ID], Table4[Regular], "Not Found", 0)</f>
        <v>1753</v>
      </c>
      <c r="R702" s="16">
        <f>_xlfn.XLOOKUP(CustomerCombinedCleaned[[#This Row],[ID]], Table4[ID], Table4[Deals], "Not Found", 0)</f>
        <v>4</v>
      </c>
      <c r="S702" s="16">
        <f>_xlfn.XLOOKUP(CustomerCombinedCleaned[[#This Row],[ID]], Table4[ID], Table4[Website], "Not Found", 0)</f>
        <v>9</v>
      </c>
      <c r="T702" s="16">
        <f>_xlfn.XLOOKUP(CustomerCombinedCleaned[[#This Row],[ID]], Table4[ID], Table4[Catalog], "Not Found", 0)</f>
        <v>5</v>
      </c>
      <c r="U702" s="16">
        <f>_xlfn.XLOOKUP(CustomerCombinedCleaned[[#This Row],[ID]], Table4[ID], Table4[Store], "Not Found", 0)</f>
        <v>7</v>
      </c>
      <c r="V702" s="16">
        <f>_xlfn.XLOOKUP(CustomerCombinedCleaned[[#This Row],[ID]], Table4[ID], Table4[Visits], "Not Found", 0)</f>
        <v>5</v>
      </c>
      <c r="W702" s="16">
        <f>_xlfn.XLOOKUP(CustomerCombinedCleaned[[#This Row],[ID]], Table2[ID],Table2[Complaint], "Not Found", 0 )</f>
        <v>0</v>
      </c>
      <c r="X702" s="16">
        <f>_xlfn.XLOOKUP(CustomerCombinedCleaned[[#This Row],[ID]], Table2[ID],Table2[Pilot], "Not Found", 0 )</f>
        <v>0</v>
      </c>
      <c r="Y702" s="16">
        <f>_xlfn.XLOOKUP(CustomerCombinedCleaned[[#This Row],[ID]], Table2[ID],Table2[MC1], "Not Found", 0 )</f>
        <v>0</v>
      </c>
      <c r="Z702" s="16">
        <f>_xlfn.XLOOKUP(CustomerCombinedCleaned[[#This Row],[ID]], Table2[ID],Table2[MC2], "Not Found", 0 )</f>
        <v>0</v>
      </c>
      <c r="AA702" s="16">
        <f>_xlfn.XLOOKUP(CustomerCombinedCleaned[[#This Row],[ID]], Table2[ID],Table2[MC3], "Not Found", 0 )</f>
        <v>0</v>
      </c>
      <c r="AB702" s="16">
        <f>_xlfn.XLOOKUP(CustomerCombinedCleaned[[#This Row],[ID]], Table2[ID],Table2[MC4], "Not Found", 0 )</f>
        <v>0</v>
      </c>
      <c r="AC702" s="16">
        <f>_xlfn.XLOOKUP(CustomerCombinedCleaned[[#This Row],[ID]], Table2[ID],Table2[MC5], "Not Found", 0 )</f>
        <v>0</v>
      </c>
    </row>
    <row r="703" spans="1:29" x14ac:dyDescent="0.3">
      <c r="A703" s="18">
        <v>3068</v>
      </c>
      <c r="B703" s="16">
        <v>176068</v>
      </c>
      <c r="C703" s="16">
        <v>0</v>
      </c>
      <c r="D703" s="16">
        <v>1</v>
      </c>
      <c r="E703" s="16">
        <v>45</v>
      </c>
      <c r="F703" s="17" t="s">
        <v>6</v>
      </c>
      <c r="G703" s="17" t="s">
        <v>11</v>
      </c>
      <c r="H703" s="3" t="s">
        <v>631</v>
      </c>
      <c r="I703" s="5" t="s">
        <v>438</v>
      </c>
      <c r="J703" s="16">
        <f>_xlfn.XLOOKUP(CustomerCombinedCleaned[[#This Row],[ID]], Table4[ID], Table4[Recency], "Not Found", 0)</f>
        <v>67</v>
      </c>
      <c r="K703" s="16">
        <f>_xlfn.XLOOKUP(CustomerCombinedCleaned[[#This Row],[ID]], Table4[ID], Table4[Teas], "Not Found", 0)</f>
        <v>2581</v>
      </c>
      <c r="L703" s="16">
        <f>_xlfn.XLOOKUP(CustomerCombinedCleaned[[#This Row],[ID]], Table4[ID], Table4[Fruits], "Not Found", 0)</f>
        <v>28</v>
      </c>
      <c r="M703" s="16">
        <f>_xlfn.XLOOKUP(CustomerCombinedCleaned[[#This Row],[ID]], Table4[ID], Table4[Meats], "Not Found", 0)</f>
        <v>296</v>
      </c>
      <c r="N703" s="16">
        <f>_xlfn.XLOOKUP(CustomerCombinedCleaned[[#This Row],[ID]], Table4[ID], Table4[Seafood], "Not Found", 0)</f>
        <v>76</v>
      </c>
      <c r="O703" s="16">
        <f>_xlfn.XLOOKUP(CustomerCombinedCleaned[[#This Row],[ID]], Table4[ID], Table4[Sweets], "Not Found", 0)</f>
        <v>28</v>
      </c>
      <c r="P703" s="16">
        <f>_xlfn.XLOOKUP(CustomerCombinedCleaned[[#This Row],[ID]], Table4[ID], Table4[Premium], "Not Found", 0)</f>
        <v>176</v>
      </c>
      <c r="Q703" s="16">
        <f>_xlfn.XLOOKUP(CustomerCombinedCleaned[[#This Row],[ID]], Table4[ID], Table4[Regular], "Not Found", 0)</f>
        <v>2833</v>
      </c>
      <c r="R703" s="16">
        <f>_xlfn.XLOOKUP(CustomerCombinedCleaned[[#This Row],[ID]], Table4[ID], Table4[Deals], "Not Found", 0)</f>
        <v>1</v>
      </c>
      <c r="S703" s="16">
        <f>_xlfn.XLOOKUP(CustomerCombinedCleaned[[#This Row],[ID]], Table4[ID], Table4[Website], "Not Found", 0)</f>
        <v>2</v>
      </c>
      <c r="T703" s="16">
        <f>_xlfn.XLOOKUP(CustomerCombinedCleaned[[#This Row],[ID]], Table4[ID], Table4[Catalog], "Not Found", 0)</f>
        <v>3</v>
      </c>
      <c r="U703" s="16">
        <f>_xlfn.XLOOKUP(CustomerCombinedCleaned[[#This Row],[ID]], Table4[ID], Table4[Store], "Not Found", 0)</f>
        <v>4</v>
      </c>
      <c r="V703" s="16">
        <f>_xlfn.XLOOKUP(CustomerCombinedCleaned[[#This Row],[ID]], Table4[ID], Table4[Visits], "Not Found", 0)</f>
        <v>6</v>
      </c>
      <c r="W703" s="16">
        <f>_xlfn.XLOOKUP(CustomerCombinedCleaned[[#This Row],[ID]], Table2[ID],Table2[Complaint], "Not Found", 0 )</f>
        <v>0</v>
      </c>
      <c r="X703" s="16">
        <f>_xlfn.XLOOKUP(CustomerCombinedCleaned[[#This Row],[ID]], Table2[ID],Table2[Pilot], "Not Found", 0 )</f>
        <v>0</v>
      </c>
      <c r="Y703" s="16">
        <f>_xlfn.XLOOKUP(CustomerCombinedCleaned[[#This Row],[ID]], Table2[ID],Table2[MC1], "Not Found", 0 )</f>
        <v>0</v>
      </c>
      <c r="Z703" s="16">
        <f>_xlfn.XLOOKUP(CustomerCombinedCleaned[[#This Row],[ID]], Table2[ID],Table2[MC2], "Not Found", 0 )</f>
        <v>1</v>
      </c>
      <c r="AA703" s="16">
        <f>_xlfn.XLOOKUP(CustomerCombinedCleaned[[#This Row],[ID]], Table2[ID],Table2[MC3], "Not Found", 0 )</f>
        <v>0</v>
      </c>
      <c r="AB703" s="16">
        <f>_xlfn.XLOOKUP(CustomerCombinedCleaned[[#This Row],[ID]], Table2[ID],Table2[MC4], "Not Found", 0 )</f>
        <v>1</v>
      </c>
      <c r="AC703" s="16">
        <f>_xlfn.XLOOKUP(CustomerCombinedCleaned[[#This Row],[ID]], Table2[ID],Table2[MC5], "Not Found", 0 )</f>
        <v>0</v>
      </c>
    </row>
    <row r="704" spans="1:29" x14ac:dyDescent="0.3">
      <c r="A704" s="18">
        <v>2238</v>
      </c>
      <c r="B704" s="16">
        <v>174190</v>
      </c>
      <c r="C704" s="16">
        <v>0</v>
      </c>
      <c r="D704" s="16">
        <v>1</v>
      </c>
      <c r="E704" s="16">
        <v>45</v>
      </c>
      <c r="F704" s="17" t="s">
        <v>6</v>
      </c>
      <c r="G704" s="17" t="s">
        <v>11</v>
      </c>
      <c r="H704" s="3" t="s">
        <v>52</v>
      </c>
      <c r="I704" s="5" t="s">
        <v>436</v>
      </c>
      <c r="J704" s="16">
        <f>_xlfn.XLOOKUP(CustomerCombinedCleaned[[#This Row],[ID]], Table4[ID], Table4[Recency], "Not Found", 0)</f>
        <v>49</v>
      </c>
      <c r="K704" s="16">
        <f>_xlfn.XLOOKUP(CustomerCombinedCleaned[[#This Row],[ID]], Table4[ID], Table4[Teas], "Not Found", 0)</f>
        <v>355</v>
      </c>
      <c r="L704" s="16">
        <f>_xlfn.XLOOKUP(CustomerCombinedCleaned[[#This Row],[ID]], Table4[ID], Table4[Fruits], "Not Found", 0)</f>
        <v>190</v>
      </c>
      <c r="M704" s="16">
        <f>_xlfn.XLOOKUP(CustomerCombinedCleaned[[#This Row],[ID]], Table4[ID], Table4[Meats], "Not Found", 0)</f>
        <v>202</v>
      </c>
      <c r="N704" s="16">
        <f>_xlfn.XLOOKUP(CustomerCombinedCleaned[[#This Row],[ID]], Table4[ID], Table4[Seafood], "Not Found", 0)</f>
        <v>394</v>
      </c>
      <c r="O704" s="16">
        <f>_xlfn.XLOOKUP(CustomerCombinedCleaned[[#This Row],[ID]], Table4[ID], Table4[Sweets], "Not Found", 0)</f>
        <v>214</v>
      </c>
      <c r="P704" s="16">
        <f>_xlfn.XLOOKUP(CustomerCombinedCleaned[[#This Row],[ID]], Table4[ID], Table4[Premium], "Not Found", 0)</f>
        <v>150</v>
      </c>
      <c r="Q704" s="16">
        <f>_xlfn.XLOOKUP(CustomerCombinedCleaned[[#This Row],[ID]], Table4[ID], Table4[Regular], "Not Found", 0)</f>
        <v>1204</v>
      </c>
      <c r="R704" s="16">
        <f>_xlfn.XLOOKUP(CustomerCombinedCleaned[[#This Row],[ID]], Table4[ID], Table4[Deals], "Not Found", 0)</f>
        <v>2</v>
      </c>
      <c r="S704" s="16">
        <f>_xlfn.XLOOKUP(CustomerCombinedCleaned[[#This Row],[ID]], Table4[ID], Table4[Website], "Not Found", 0)</f>
        <v>4</v>
      </c>
      <c r="T704" s="16">
        <f>_xlfn.XLOOKUP(CustomerCombinedCleaned[[#This Row],[ID]], Table4[ID], Table4[Catalog], "Not Found", 0)</f>
        <v>2</v>
      </c>
      <c r="U704" s="16">
        <f>_xlfn.XLOOKUP(CustomerCombinedCleaned[[#This Row],[ID]], Table4[ID], Table4[Store], "Not Found", 0)</f>
        <v>11</v>
      </c>
      <c r="V704" s="16">
        <f>_xlfn.XLOOKUP(CustomerCombinedCleaned[[#This Row],[ID]], Table4[ID], Table4[Visits], "Not Found", 0)</f>
        <v>2</v>
      </c>
      <c r="W704" s="16">
        <f>_xlfn.XLOOKUP(CustomerCombinedCleaned[[#This Row],[ID]], Table2[ID],Table2[Complaint], "Not Found", 0 )</f>
        <v>0</v>
      </c>
      <c r="X704" s="16">
        <f>_xlfn.XLOOKUP(CustomerCombinedCleaned[[#This Row],[ID]], Table2[ID],Table2[Pilot], "Not Found", 0 )</f>
        <v>0</v>
      </c>
      <c r="Y704" s="16">
        <f>_xlfn.XLOOKUP(CustomerCombinedCleaned[[#This Row],[ID]], Table2[ID],Table2[MC1], "Not Found", 0 )</f>
        <v>0</v>
      </c>
      <c r="Z704" s="16">
        <f>_xlfn.XLOOKUP(CustomerCombinedCleaned[[#This Row],[ID]], Table2[ID],Table2[MC2], "Not Found", 0 )</f>
        <v>0</v>
      </c>
      <c r="AA704" s="16">
        <f>_xlfn.XLOOKUP(CustomerCombinedCleaned[[#This Row],[ID]], Table2[ID],Table2[MC3], "Not Found", 0 )</f>
        <v>0</v>
      </c>
      <c r="AB704" s="16">
        <f>_xlfn.XLOOKUP(CustomerCombinedCleaned[[#This Row],[ID]], Table2[ID],Table2[MC4], "Not Found", 0 )</f>
        <v>0</v>
      </c>
      <c r="AC704" s="16">
        <f>_xlfn.XLOOKUP(CustomerCombinedCleaned[[#This Row],[ID]], Table2[ID],Table2[MC5], "Not Found", 0 )</f>
        <v>0</v>
      </c>
    </row>
    <row r="705" spans="1:29" x14ac:dyDescent="0.3">
      <c r="A705" s="18">
        <v>1153</v>
      </c>
      <c r="B705" s="16">
        <v>174165</v>
      </c>
      <c r="C705" s="16">
        <v>0</v>
      </c>
      <c r="D705" s="16">
        <v>0</v>
      </c>
      <c r="E705" s="16">
        <v>45</v>
      </c>
      <c r="F705" s="17" t="s">
        <v>5</v>
      </c>
      <c r="G705" s="17" t="s">
        <v>13</v>
      </c>
      <c r="H705" s="3" t="s">
        <v>546</v>
      </c>
      <c r="I705" s="5" t="s">
        <v>437</v>
      </c>
      <c r="J705" s="16">
        <f>_xlfn.XLOOKUP(CustomerCombinedCleaned[[#This Row],[ID]], Table4[ID], Table4[Recency], "Not Found", 0)</f>
        <v>9</v>
      </c>
      <c r="K705" s="16">
        <f>_xlfn.XLOOKUP(CustomerCombinedCleaned[[#This Row],[ID]], Table4[ID], Table4[Teas], "Not Found", 0)</f>
        <v>2351</v>
      </c>
      <c r="L705" s="16">
        <f>_xlfn.XLOOKUP(CustomerCombinedCleaned[[#This Row],[ID]], Table4[ID], Table4[Fruits], "Not Found", 0)</f>
        <v>28</v>
      </c>
      <c r="M705" s="16">
        <f>_xlfn.XLOOKUP(CustomerCombinedCleaned[[#This Row],[ID]], Table4[ID], Table4[Meats], "Not Found", 0)</f>
        <v>564</v>
      </c>
      <c r="N705" s="16">
        <f>_xlfn.XLOOKUP(CustomerCombinedCleaned[[#This Row],[ID]], Table4[ID], Table4[Seafood], "Not Found", 0)</f>
        <v>38</v>
      </c>
      <c r="O705" s="16">
        <f>_xlfn.XLOOKUP(CustomerCombinedCleaned[[#This Row],[ID]], Table4[ID], Table4[Sweets], "Not Found", 0)</f>
        <v>28</v>
      </c>
      <c r="P705" s="16">
        <f>_xlfn.XLOOKUP(CustomerCombinedCleaned[[#This Row],[ID]], Table4[ID], Table4[Premium], "Not Found", 0)</f>
        <v>28</v>
      </c>
      <c r="Q705" s="16">
        <f>_xlfn.XLOOKUP(CustomerCombinedCleaned[[#This Row],[ID]], Table4[ID], Table4[Regular], "Not Found", 0)</f>
        <v>2980</v>
      </c>
      <c r="R705" s="16">
        <f>_xlfn.XLOOKUP(CustomerCombinedCleaned[[#This Row],[ID]], Table4[ID], Table4[Deals], "Not Found", 0)</f>
        <v>1</v>
      </c>
      <c r="S705" s="16">
        <f>_xlfn.XLOOKUP(CustomerCombinedCleaned[[#This Row],[ID]], Table4[ID], Table4[Website], "Not Found", 0)</f>
        <v>5</v>
      </c>
      <c r="T705" s="16">
        <f>_xlfn.XLOOKUP(CustomerCombinedCleaned[[#This Row],[ID]], Table4[ID], Table4[Catalog], "Not Found", 0)</f>
        <v>4</v>
      </c>
      <c r="U705" s="16">
        <f>_xlfn.XLOOKUP(CustomerCombinedCleaned[[#This Row],[ID]], Table4[ID], Table4[Store], "Not Found", 0)</f>
        <v>10</v>
      </c>
      <c r="V705" s="16">
        <f>_xlfn.XLOOKUP(CustomerCombinedCleaned[[#This Row],[ID]], Table4[ID], Table4[Visits], "Not Found", 0)</f>
        <v>2</v>
      </c>
      <c r="W705" s="16">
        <f>_xlfn.XLOOKUP(CustomerCombinedCleaned[[#This Row],[ID]], Table2[ID],Table2[Complaint], "Not Found", 0 )</f>
        <v>0</v>
      </c>
      <c r="X705" s="16">
        <f>_xlfn.XLOOKUP(CustomerCombinedCleaned[[#This Row],[ID]], Table2[ID],Table2[Pilot], "Not Found", 0 )</f>
        <v>0</v>
      </c>
      <c r="Y705" s="16">
        <f>_xlfn.XLOOKUP(CustomerCombinedCleaned[[#This Row],[ID]], Table2[ID],Table2[MC1], "Not Found", 0 )</f>
        <v>0</v>
      </c>
      <c r="Z705" s="16">
        <f>_xlfn.XLOOKUP(CustomerCombinedCleaned[[#This Row],[ID]], Table2[ID],Table2[MC2], "Not Found", 0 )</f>
        <v>0</v>
      </c>
      <c r="AA705" s="16">
        <f>_xlfn.XLOOKUP(CustomerCombinedCleaned[[#This Row],[ID]], Table2[ID],Table2[MC3], "Not Found", 0 )</f>
        <v>0</v>
      </c>
      <c r="AB705" s="16">
        <f>_xlfn.XLOOKUP(CustomerCombinedCleaned[[#This Row],[ID]], Table2[ID],Table2[MC4], "Not Found", 0 )</f>
        <v>0</v>
      </c>
      <c r="AC705" s="16">
        <f>_xlfn.XLOOKUP(CustomerCombinedCleaned[[#This Row],[ID]], Table2[ID],Table2[MC5], "Not Found", 0 )</f>
        <v>0</v>
      </c>
    </row>
    <row r="706" spans="1:29" x14ac:dyDescent="0.3">
      <c r="A706" s="18">
        <v>1793</v>
      </c>
      <c r="B706" s="16">
        <v>173170</v>
      </c>
      <c r="C706" s="16">
        <v>0</v>
      </c>
      <c r="D706" s="16">
        <v>0</v>
      </c>
      <c r="E706" s="16">
        <v>45</v>
      </c>
      <c r="F706" s="17" t="s">
        <v>7</v>
      </c>
      <c r="G706" s="17" t="s">
        <v>11</v>
      </c>
      <c r="H706" s="3" t="s">
        <v>649</v>
      </c>
      <c r="I706" s="5" t="s">
        <v>434</v>
      </c>
      <c r="J706" s="16">
        <f>_xlfn.XLOOKUP(CustomerCombinedCleaned[[#This Row],[ID]], Table4[ID], Table4[Recency], "Not Found", 0)</f>
        <v>1</v>
      </c>
      <c r="K706" s="16">
        <f>_xlfn.XLOOKUP(CustomerCombinedCleaned[[#This Row],[ID]], Table4[ID], Table4[Teas], "Not Found", 0)</f>
        <v>435</v>
      </c>
      <c r="L706" s="16">
        <f>_xlfn.XLOOKUP(CustomerCombinedCleaned[[#This Row],[ID]], Table4[ID], Table4[Fruits], "Not Found", 0)</f>
        <v>412</v>
      </c>
      <c r="M706" s="16">
        <f>_xlfn.XLOOKUP(CustomerCombinedCleaned[[#This Row],[ID]], Table4[ID], Table4[Meats], "Not Found", 0)</f>
        <v>606</v>
      </c>
      <c r="N706" s="16">
        <f>_xlfn.XLOOKUP(CustomerCombinedCleaned[[#This Row],[ID]], Table4[ID], Table4[Seafood], "Not Found", 0)</f>
        <v>118</v>
      </c>
      <c r="O706" s="16">
        <f>_xlfn.XLOOKUP(CustomerCombinedCleaned[[#This Row],[ID]], Table4[ID], Table4[Sweets], "Not Found", 0)</f>
        <v>71</v>
      </c>
      <c r="P706" s="16">
        <f>_xlfn.XLOOKUP(CustomerCombinedCleaned[[#This Row],[ID]], Table4[ID], Table4[Premium], "Not Found", 0)</f>
        <v>76</v>
      </c>
      <c r="Q706" s="16">
        <f>_xlfn.XLOOKUP(CustomerCombinedCleaned[[#This Row],[ID]], Table4[ID], Table4[Regular], "Not Found", 0)</f>
        <v>1567</v>
      </c>
      <c r="R706" s="16">
        <f>_xlfn.XLOOKUP(CustomerCombinedCleaned[[#This Row],[ID]], Table4[ID], Table4[Deals], "Not Found", 0)</f>
        <v>1</v>
      </c>
      <c r="S706" s="16">
        <f>_xlfn.XLOOKUP(CustomerCombinedCleaned[[#This Row],[ID]], Table4[ID], Table4[Website], "Not Found", 0)</f>
        <v>5</v>
      </c>
      <c r="T706" s="16">
        <f>_xlfn.XLOOKUP(CustomerCombinedCleaned[[#This Row],[ID]], Table4[ID], Table4[Catalog], "Not Found", 0)</f>
        <v>4</v>
      </c>
      <c r="U706" s="16">
        <f>_xlfn.XLOOKUP(CustomerCombinedCleaned[[#This Row],[ID]], Table4[ID], Table4[Store], "Not Found", 0)</f>
        <v>6</v>
      </c>
      <c r="V706" s="16">
        <f>_xlfn.XLOOKUP(CustomerCombinedCleaned[[#This Row],[ID]], Table4[ID], Table4[Visits], "Not Found", 0)</f>
        <v>2</v>
      </c>
      <c r="W706" s="16">
        <f>_xlfn.XLOOKUP(CustomerCombinedCleaned[[#This Row],[ID]], Table2[ID],Table2[Complaint], "Not Found", 0 )</f>
        <v>0</v>
      </c>
      <c r="X706" s="16">
        <f>_xlfn.XLOOKUP(CustomerCombinedCleaned[[#This Row],[ID]], Table2[ID],Table2[Pilot], "Not Found", 0 )</f>
        <v>0</v>
      </c>
      <c r="Y706" s="16">
        <f>_xlfn.XLOOKUP(CustomerCombinedCleaned[[#This Row],[ID]], Table2[ID],Table2[MC1], "Not Found", 0 )</f>
        <v>0</v>
      </c>
      <c r="Z706" s="16">
        <f>_xlfn.XLOOKUP(CustomerCombinedCleaned[[#This Row],[ID]], Table2[ID],Table2[MC2], "Not Found", 0 )</f>
        <v>0</v>
      </c>
      <c r="AA706" s="16">
        <f>_xlfn.XLOOKUP(CustomerCombinedCleaned[[#This Row],[ID]], Table2[ID],Table2[MC3], "Not Found", 0 )</f>
        <v>0</v>
      </c>
      <c r="AB706" s="16">
        <f>_xlfn.XLOOKUP(CustomerCombinedCleaned[[#This Row],[ID]], Table2[ID],Table2[MC4], "Not Found", 0 )</f>
        <v>0</v>
      </c>
      <c r="AC706" s="16">
        <f>_xlfn.XLOOKUP(CustomerCombinedCleaned[[#This Row],[ID]], Table2[ID],Table2[MC5], "Not Found", 0 )</f>
        <v>0</v>
      </c>
    </row>
    <row r="707" spans="1:29" x14ac:dyDescent="0.3">
      <c r="A707" s="18">
        <v>2854</v>
      </c>
      <c r="B707" s="16">
        <v>170300</v>
      </c>
      <c r="C707" s="16">
        <v>1</v>
      </c>
      <c r="D707" s="16">
        <v>0</v>
      </c>
      <c r="E707" s="16">
        <v>45</v>
      </c>
      <c r="F707" s="17" t="s">
        <v>5</v>
      </c>
      <c r="G707" s="17" t="s">
        <v>11</v>
      </c>
      <c r="H707" s="3" t="s">
        <v>221</v>
      </c>
      <c r="I707" s="5" t="s">
        <v>439</v>
      </c>
      <c r="J707" s="16">
        <f>_xlfn.XLOOKUP(CustomerCombinedCleaned[[#This Row],[ID]], Table4[ID], Table4[Recency], "Not Found", 0)</f>
        <v>89</v>
      </c>
      <c r="K707" s="16">
        <f>_xlfn.XLOOKUP(CustomerCombinedCleaned[[#This Row],[ID]], Table4[ID], Table4[Teas], "Not Found", 0)</f>
        <v>2531</v>
      </c>
      <c r="L707" s="16">
        <f>_xlfn.XLOOKUP(CustomerCombinedCleaned[[#This Row],[ID]], Table4[ID], Table4[Fruits], "Not Found", 0)</f>
        <v>148</v>
      </c>
      <c r="M707" s="16">
        <f>_xlfn.XLOOKUP(CustomerCombinedCleaned[[#This Row],[ID]], Table4[ID], Table4[Meats], "Not Found", 0)</f>
        <v>819</v>
      </c>
      <c r="N707" s="16">
        <f>_xlfn.XLOOKUP(CustomerCombinedCleaned[[#This Row],[ID]], Table4[ID], Table4[Seafood], "Not Found", 0)</f>
        <v>145</v>
      </c>
      <c r="O707" s="16">
        <f>_xlfn.XLOOKUP(CustomerCombinedCleaned[[#This Row],[ID]], Table4[ID], Table4[Sweets], "Not Found", 0)</f>
        <v>111</v>
      </c>
      <c r="P707" s="16">
        <f>_xlfn.XLOOKUP(CustomerCombinedCleaned[[#This Row],[ID]], Table4[ID], Table4[Premium], "Not Found", 0)</f>
        <v>111</v>
      </c>
      <c r="Q707" s="16">
        <f>_xlfn.XLOOKUP(CustomerCombinedCleaned[[#This Row],[ID]], Table4[ID], Table4[Regular], "Not Found", 0)</f>
        <v>3643</v>
      </c>
      <c r="R707" s="16">
        <f>_xlfn.XLOOKUP(CustomerCombinedCleaned[[#This Row],[ID]], Table4[ID], Table4[Deals], "Not Found", 0)</f>
        <v>3</v>
      </c>
      <c r="S707" s="16">
        <f>_xlfn.XLOOKUP(CustomerCombinedCleaned[[#This Row],[ID]], Table4[ID], Table4[Website], "Not Found", 0)</f>
        <v>5</v>
      </c>
      <c r="T707" s="16">
        <f>_xlfn.XLOOKUP(CustomerCombinedCleaned[[#This Row],[ID]], Table4[ID], Table4[Catalog], "Not Found", 0)</f>
        <v>5</v>
      </c>
      <c r="U707" s="16">
        <f>_xlfn.XLOOKUP(CustomerCombinedCleaned[[#This Row],[ID]], Table4[ID], Table4[Store], "Not Found", 0)</f>
        <v>13</v>
      </c>
      <c r="V707" s="16">
        <f>_xlfn.XLOOKUP(CustomerCombinedCleaned[[#This Row],[ID]], Table4[ID], Table4[Visits], "Not Found", 0)</f>
        <v>8</v>
      </c>
      <c r="W707" s="16">
        <f>_xlfn.XLOOKUP(CustomerCombinedCleaned[[#This Row],[ID]], Table2[ID],Table2[Complaint], "Not Found", 0 )</f>
        <v>0</v>
      </c>
      <c r="X707" s="16">
        <f>_xlfn.XLOOKUP(CustomerCombinedCleaned[[#This Row],[ID]], Table2[ID],Table2[Pilot], "Not Found", 0 )</f>
        <v>0</v>
      </c>
      <c r="Y707" s="16">
        <f>_xlfn.XLOOKUP(CustomerCombinedCleaned[[#This Row],[ID]], Table2[ID],Table2[MC1], "Not Found", 0 )</f>
        <v>0</v>
      </c>
      <c r="Z707" s="16">
        <f>_xlfn.XLOOKUP(CustomerCombinedCleaned[[#This Row],[ID]], Table2[ID],Table2[MC2], "Not Found", 0 )</f>
        <v>0</v>
      </c>
      <c r="AA707" s="16">
        <f>_xlfn.XLOOKUP(CustomerCombinedCleaned[[#This Row],[ID]], Table2[ID],Table2[MC3], "Not Found", 0 )</f>
        <v>0</v>
      </c>
      <c r="AB707" s="16">
        <f>_xlfn.XLOOKUP(CustomerCombinedCleaned[[#This Row],[ID]], Table2[ID],Table2[MC4], "Not Found", 0 )</f>
        <v>0</v>
      </c>
      <c r="AC707" s="16">
        <f>_xlfn.XLOOKUP(CustomerCombinedCleaned[[#This Row],[ID]], Table2[ID],Table2[MC5], "Not Found", 0 )</f>
        <v>0</v>
      </c>
    </row>
    <row r="708" spans="1:29" x14ac:dyDescent="0.3">
      <c r="A708" s="18">
        <v>2508</v>
      </c>
      <c r="B708" s="16">
        <v>169283</v>
      </c>
      <c r="C708" s="16">
        <v>0</v>
      </c>
      <c r="D708" s="16">
        <v>1</v>
      </c>
      <c r="E708" s="16">
        <v>45</v>
      </c>
      <c r="F708" s="17" t="s">
        <v>6</v>
      </c>
      <c r="G708" s="17" t="s">
        <v>13</v>
      </c>
      <c r="H708" s="3" t="s">
        <v>35</v>
      </c>
      <c r="I708" s="5" t="s">
        <v>436</v>
      </c>
      <c r="J708" s="16">
        <f>_xlfn.XLOOKUP(CustomerCombinedCleaned[[#This Row],[ID]], Table4[ID], Table4[Recency], "Not Found", 0)</f>
        <v>41</v>
      </c>
      <c r="K708" s="16">
        <f>_xlfn.XLOOKUP(CustomerCombinedCleaned[[#This Row],[ID]], Table4[ID], Table4[Teas], "Not Found", 0)</f>
        <v>1647</v>
      </c>
      <c r="L708" s="16">
        <f>_xlfn.XLOOKUP(CustomerCombinedCleaned[[#This Row],[ID]], Table4[ID], Table4[Fruits], "Not Found", 0)</f>
        <v>151</v>
      </c>
      <c r="M708" s="16">
        <f>_xlfn.XLOOKUP(CustomerCombinedCleaned[[#This Row],[ID]], Table4[ID], Table4[Meats], "Not Found", 0)</f>
        <v>327</v>
      </c>
      <c r="N708" s="16">
        <f>_xlfn.XLOOKUP(CustomerCombinedCleaned[[#This Row],[ID]], Table4[ID], Table4[Seafood], "Not Found", 0)</f>
        <v>0</v>
      </c>
      <c r="O708" s="16">
        <f>_xlfn.XLOOKUP(CustomerCombinedCleaned[[#This Row],[ID]], Table4[ID], Table4[Sweets], "Not Found", 0)</f>
        <v>64</v>
      </c>
      <c r="P708" s="16">
        <f>_xlfn.XLOOKUP(CustomerCombinedCleaned[[#This Row],[ID]], Table4[ID], Table4[Premium], "Not Found", 0)</f>
        <v>20</v>
      </c>
      <c r="Q708" s="16">
        <f>_xlfn.XLOOKUP(CustomerCombinedCleaned[[#This Row],[ID]], Table4[ID], Table4[Regular], "Not Found", 0)</f>
        <v>2170</v>
      </c>
      <c r="R708" s="16">
        <f>_xlfn.XLOOKUP(CustomerCombinedCleaned[[#This Row],[ID]], Table4[ID], Table4[Deals], "Not Found", 0)</f>
        <v>4</v>
      </c>
      <c r="S708" s="16">
        <f>_xlfn.XLOOKUP(CustomerCombinedCleaned[[#This Row],[ID]], Table4[ID], Table4[Website], "Not Found", 0)</f>
        <v>7</v>
      </c>
      <c r="T708" s="16">
        <f>_xlfn.XLOOKUP(CustomerCombinedCleaned[[#This Row],[ID]], Table4[ID], Table4[Catalog], "Not Found", 0)</f>
        <v>3</v>
      </c>
      <c r="U708" s="16">
        <f>_xlfn.XLOOKUP(CustomerCombinedCleaned[[#This Row],[ID]], Table4[ID], Table4[Store], "Not Found", 0)</f>
        <v>13</v>
      </c>
      <c r="V708" s="16">
        <f>_xlfn.XLOOKUP(CustomerCombinedCleaned[[#This Row],[ID]], Table4[ID], Table4[Visits], "Not Found", 0)</f>
        <v>5</v>
      </c>
      <c r="W708" s="16">
        <f>_xlfn.XLOOKUP(CustomerCombinedCleaned[[#This Row],[ID]], Table2[ID],Table2[Complaint], "Not Found", 0 )</f>
        <v>0</v>
      </c>
      <c r="X708" s="16">
        <f>_xlfn.XLOOKUP(CustomerCombinedCleaned[[#This Row],[ID]], Table2[ID],Table2[Pilot], "Not Found", 0 )</f>
        <v>0</v>
      </c>
      <c r="Y708" s="16">
        <f>_xlfn.XLOOKUP(CustomerCombinedCleaned[[#This Row],[ID]], Table2[ID],Table2[MC1], "Not Found", 0 )</f>
        <v>0</v>
      </c>
      <c r="Z708" s="16">
        <f>_xlfn.XLOOKUP(CustomerCombinedCleaned[[#This Row],[ID]], Table2[ID],Table2[MC2], "Not Found", 0 )</f>
        <v>0</v>
      </c>
      <c r="AA708" s="16">
        <f>_xlfn.XLOOKUP(CustomerCombinedCleaned[[#This Row],[ID]], Table2[ID],Table2[MC3], "Not Found", 0 )</f>
        <v>0</v>
      </c>
      <c r="AB708" s="16">
        <f>_xlfn.XLOOKUP(CustomerCombinedCleaned[[#This Row],[ID]], Table2[ID],Table2[MC4], "Not Found", 0 )</f>
        <v>0</v>
      </c>
      <c r="AC708" s="16">
        <f>_xlfn.XLOOKUP(CustomerCombinedCleaned[[#This Row],[ID]], Table2[ID],Table2[MC5], "Not Found", 0 )</f>
        <v>0</v>
      </c>
    </row>
    <row r="709" spans="1:29" x14ac:dyDescent="0.3">
      <c r="A709" s="18">
        <v>1930</v>
      </c>
      <c r="B709" s="16">
        <v>167893</v>
      </c>
      <c r="C709" s="16">
        <v>0</v>
      </c>
      <c r="D709" s="16">
        <v>1</v>
      </c>
      <c r="E709" s="16">
        <v>45</v>
      </c>
      <c r="F709" s="17" t="s">
        <v>5</v>
      </c>
      <c r="G709" s="17" t="s">
        <v>11</v>
      </c>
      <c r="H709" s="3" t="s">
        <v>680</v>
      </c>
      <c r="I709" s="5" t="s">
        <v>439</v>
      </c>
      <c r="J709" s="16">
        <f>_xlfn.XLOOKUP(CustomerCombinedCleaned[[#This Row],[ID]], Table4[ID], Table4[Recency], "Not Found", 0)</f>
        <v>31</v>
      </c>
      <c r="K709" s="16">
        <f>_xlfn.XLOOKUP(CustomerCombinedCleaned[[#This Row],[ID]], Table4[ID], Table4[Teas], "Not Found", 0)</f>
        <v>1758</v>
      </c>
      <c r="L709" s="16">
        <f>_xlfn.XLOOKUP(CustomerCombinedCleaned[[#This Row],[ID]], Table4[ID], Table4[Fruits], "Not Found", 0)</f>
        <v>69</v>
      </c>
      <c r="M709" s="16">
        <f>_xlfn.XLOOKUP(CustomerCombinedCleaned[[#This Row],[ID]], Table4[ID], Table4[Meats], "Not Found", 0)</f>
        <v>351</v>
      </c>
      <c r="N709" s="16">
        <f>_xlfn.XLOOKUP(CustomerCombinedCleaned[[#This Row],[ID]], Table4[ID], Table4[Seafood], "Not Found", 0)</f>
        <v>121</v>
      </c>
      <c r="O709" s="16">
        <f>_xlfn.XLOOKUP(CustomerCombinedCleaned[[#This Row],[ID]], Table4[ID], Table4[Sweets], "Not Found", 0)</f>
        <v>45</v>
      </c>
      <c r="P709" s="16">
        <f>_xlfn.XLOOKUP(CustomerCombinedCleaned[[#This Row],[ID]], Table4[ID], Table4[Premium], "Not Found", 0)</f>
        <v>116</v>
      </c>
      <c r="Q709" s="16">
        <f>_xlfn.XLOOKUP(CustomerCombinedCleaned[[#This Row],[ID]], Table4[ID], Table4[Regular], "Not Found", 0)</f>
        <v>2228</v>
      </c>
      <c r="R709" s="16">
        <f>_xlfn.XLOOKUP(CustomerCombinedCleaned[[#This Row],[ID]], Table4[ID], Table4[Deals], "Not Found", 0)</f>
        <v>2</v>
      </c>
      <c r="S709" s="16">
        <f>_xlfn.XLOOKUP(CustomerCombinedCleaned[[#This Row],[ID]], Table4[ID], Table4[Website], "Not Found", 0)</f>
        <v>3</v>
      </c>
      <c r="T709" s="16">
        <f>_xlfn.XLOOKUP(CustomerCombinedCleaned[[#This Row],[ID]], Table4[ID], Table4[Catalog], "Not Found", 0)</f>
        <v>2</v>
      </c>
      <c r="U709" s="16">
        <f>_xlfn.XLOOKUP(CustomerCombinedCleaned[[#This Row],[ID]], Table4[ID], Table4[Store], "Not Found", 0)</f>
        <v>9</v>
      </c>
      <c r="V709" s="16">
        <f>_xlfn.XLOOKUP(CustomerCombinedCleaned[[#This Row],[ID]], Table4[ID], Table4[Visits], "Not Found", 0)</f>
        <v>8</v>
      </c>
      <c r="W709" s="16">
        <f>_xlfn.XLOOKUP(CustomerCombinedCleaned[[#This Row],[ID]], Table2[ID],Table2[Complaint], "Not Found", 0 )</f>
        <v>0</v>
      </c>
      <c r="X709" s="16">
        <f>_xlfn.XLOOKUP(CustomerCombinedCleaned[[#This Row],[ID]], Table2[ID],Table2[Pilot], "Not Found", 0 )</f>
        <v>0</v>
      </c>
      <c r="Y709" s="16">
        <f>_xlfn.XLOOKUP(CustomerCombinedCleaned[[#This Row],[ID]], Table2[ID],Table2[MC1], "Not Found", 0 )</f>
        <v>0</v>
      </c>
      <c r="Z709" s="16">
        <f>_xlfn.XLOOKUP(CustomerCombinedCleaned[[#This Row],[ID]], Table2[ID],Table2[MC2], "Not Found", 0 )</f>
        <v>0</v>
      </c>
      <c r="AA709" s="16">
        <f>_xlfn.XLOOKUP(CustomerCombinedCleaned[[#This Row],[ID]], Table2[ID],Table2[MC3], "Not Found", 0 )</f>
        <v>0</v>
      </c>
      <c r="AB709" s="16">
        <f>_xlfn.XLOOKUP(CustomerCombinedCleaned[[#This Row],[ID]], Table2[ID],Table2[MC4], "Not Found", 0 )</f>
        <v>0</v>
      </c>
      <c r="AC709" s="16">
        <f>_xlfn.XLOOKUP(CustomerCombinedCleaned[[#This Row],[ID]], Table2[ID],Table2[MC5], "Not Found", 0 )</f>
        <v>0</v>
      </c>
    </row>
    <row r="710" spans="1:29" x14ac:dyDescent="0.3">
      <c r="A710" s="18">
        <v>1057</v>
      </c>
      <c r="B710" s="16">
        <v>166653</v>
      </c>
      <c r="C710" s="16">
        <v>1</v>
      </c>
      <c r="D710" s="16">
        <v>1</v>
      </c>
      <c r="E710" s="16">
        <v>45</v>
      </c>
      <c r="F710" s="17" t="s">
        <v>8</v>
      </c>
      <c r="G710" s="17" t="s">
        <v>11</v>
      </c>
      <c r="H710" s="3" t="s">
        <v>684</v>
      </c>
      <c r="I710" s="5" t="s">
        <v>437</v>
      </c>
      <c r="J710" s="16">
        <f>_xlfn.XLOOKUP(CustomerCombinedCleaned[[#This Row],[ID]], Table4[ID], Table4[Recency], "Not Found", 0)</f>
        <v>18</v>
      </c>
      <c r="K710" s="16">
        <f>_xlfn.XLOOKUP(CustomerCombinedCleaned[[#This Row],[ID]], Table4[ID], Table4[Teas], "Not Found", 0)</f>
        <v>1130</v>
      </c>
      <c r="L710" s="16">
        <f>_xlfn.XLOOKUP(CustomerCombinedCleaned[[#This Row],[ID]], Table4[ID], Table4[Fruits], "Not Found", 0)</f>
        <v>45</v>
      </c>
      <c r="M710" s="16">
        <f>_xlfn.XLOOKUP(CustomerCombinedCleaned[[#This Row],[ID]], Table4[ID], Table4[Meats], "Not Found", 0)</f>
        <v>255</v>
      </c>
      <c r="N710" s="16">
        <f>_xlfn.XLOOKUP(CustomerCombinedCleaned[[#This Row],[ID]], Table4[ID], Table4[Seafood], "Not Found", 0)</f>
        <v>40</v>
      </c>
      <c r="O710" s="16">
        <f>_xlfn.XLOOKUP(CustomerCombinedCleaned[[#This Row],[ID]], Table4[ID], Table4[Sweets], "Not Found", 0)</f>
        <v>45</v>
      </c>
      <c r="P710" s="16">
        <f>_xlfn.XLOOKUP(CustomerCombinedCleaned[[#This Row],[ID]], Table4[ID], Table4[Premium], "Not Found", 0)</f>
        <v>15</v>
      </c>
      <c r="Q710" s="16">
        <f>_xlfn.XLOOKUP(CustomerCombinedCleaned[[#This Row],[ID]], Table4[ID], Table4[Regular], "Not Found", 0)</f>
        <v>1500</v>
      </c>
      <c r="R710" s="16">
        <f>_xlfn.XLOOKUP(CustomerCombinedCleaned[[#This Row],[ID]], Table4[ID], Table4[Deals], "Not Found", 0)</f>
        <v>4</v>
      </c>
      <c r="S710" s="16">
        <f>_xlfn.XLOOKUP(CustomerCombinedCleaned[[#This Row],[ID]], Table4[ID], Table4[Website], "Not Found", 0)</f>
        <v>4</v>
      </c>
      <c r="T710" s="16">
        <f>_xlfn.XLOOKUP(CustomerCombinedCleaned[[#This Row],[ID]], Table4[ID], Table4[Catalog], "Not Found", 0)</f>
        <v>2</v>
      </c>
      <c r="U710" s="16">
        <f>_xlfn.XLOOKUP(CustomerCombinedCleaned[[#This Row],[ID]], Table4[ID], Table4[Store], "Not Found", 0)</f>
        <v>12</v>
      </c>
      <c r="V710" s="16">
        <f>_xlfn.XLOOKUP(CustomerCombinedCleaned[[#This Row],[ID]], Table4[ID], Table4[Visits], "Not Found", 0)</f>
        <v>3</v>
      </c>
      <c r="W710" s="16">
        <f>_xlfn.XLOOKUP(CustomerCombinedCleaned[[#This Row],[ID]], Table2[ID],Table2[Complaint], "Not Found", 0 )</f>
        <v>0</v>
      </c>
      <c r="X710" s="16">
        <f>_xlfn.XLOOKUP(CustomerCombinedCleaned[[#This Row],[ID]], Table2[ID],Table2[Pilot], "Not Found", 0 )</f>
        <v>0</v>
      </c>
      <c r="Y710" s="16">
        <f>_xlfn.XLOOKUP(CustomerCombinedCleaned[[#This Row],[ID]], Table2[ID],Table2[MC1], "Not Found", 0 )</f>
        <v>0</v>
      </c>
      <c r="Z710" s="16">
        <f>_xlfn.XLOOKUP(CustomerCombinedCleaned[[#This Row],[ID]], Table2[ID],Table2[MC2], "Not Found", 0 )</f>
        <v>0</v>
      </c>
      <c r="AA710" s="16">
        <f>_xlfn.XLOOKUP(CustomerCombinedCleaned[[#This Row],[ID]], Table2[ID],Table2[MC3], "Not Found", 0 )</f>
        <v>0</v>
      </c>
      <c r="AB710" s="16">
        <f>_xlfn.XLOOKUP(CustomerCombinedCleaned[[#This Row],[ID]], Table2[ID],Table2[MC4], "Not Found", 0 )</f>
        <v>0</v>
      </c>
      <c r="AC710" s="16">
        <f>_xlfn.XLOOKUP(CustomerCombinedCleaned[[#This Row],[ID]], Table2[ID],Table2[MC5], "Not Found", 0 )</f>
        <v>0</v>
      </c>
    </row>
    <row r="711" spans="1:29" x14ac:dyDescent="0.3">
      <c r="A711" s="18">
        <v>2230</v>
      </c>
      <c r="B711" s="16">
        <v>165106</v>
      </c>
      <c r="C711" s="16">
        <v>0</v>
      </c>
      <c r="D711" s="16">
        <v>1</v>
      </c>
      <c r="E711" s="16">
        <v>45</v>
      </c>
      <c r="F711" s="17" t="s">
        <v>6</v>
      </c>
      <c r="G711" s="17" t="s">
        <v>11</v>
      </c>
      <c r="H711" s="3" t="s">
        <v>43</v>
      </c>
      <c r="I711" s="5" t="s">
        <v>439</v>
      </c>
      <c r="J711" s="16">
        <f>_xlfn.XLOOKUP(CustomerCombinedCleaned[[#This Row],[ID]], Table4[ID], Table4[Recency], "Not Found", 0)</f>
        <v>55</v>
      </c>
      <c r="K711" s="16">
        <f>_xlfn.XLOOKUP(CustomerCombinedCleaned[[#This Row],[ID]], Table4[ID], Table4[Teas], "Not Found", 0)</f>
        <v>2003</v>
      </c>
      <c r="L711" s="16">
        <f>_xlfn.XLOOKUP(CustomerCombinedCleaned[[#This Row],[ID]], Table4[ID], Table4[Fruits], "Not Found", 0)</f>
        <v>48</v>
      </c>
      <c r="M711" s="16">
        <f>_xlfn.XLOOKUP(CustomerCombinedCleaned[[#This Row],[ID]], Table4[ID], Table4[Meats], "Not Found", 0)</f>
        <v>337</v>
      </c>
      <c r="N711" s="16">
        <f>_xlfn.XLOOKUP(CustomerCombinedCleaned[[#This Row],[ID]], Table4[ID], Table4[Seafood], "Not Found", 0)</f>
        <v>30</v>
      </c>
      <c r="O711" s="16">
        <f>_xlfn.XLOOKUP(CustomerCombinedCleaned[[#This Row],[ID]], Table4[ID], Table4[Sweets], "Not Found", 0)</f>
        <v>0</v>
      </c>
      <c r="P711" s="16">
        <f>_xlfn.XLOOKUP(CustomerCombinedCleaned[[#This Row],[ID]], Table4[ID], Table4[Premium], "Not Found", 0)</f>
        <v>48</v>
      </c>
      <c r="Q711" s="16">
        <f>_xlfn.XLOOKUP(CustomerCombinedCleaned[[#This Row],[ID]], Table4[ID], Table4[Regular], "Not Found", 0)</f>
        <v>2371</v>
      </c>
      <c r="R711" s="16">
        <f>_xlfn.XLOOKUP(CustomerCombinedCleaned[[#This Row],[ID]], Table4[ID], Table4[Deals], "Not Found", 0)</f>
        <v>3</v>
      </c>
      <c r="S711" s="16">
        <f>_xlfn.XLOOKUP(CustomerCombinedCleaned[[#This Row],[ID]], Table4[ID], Table4[Website], "Not Found", 0)</f>
        <v>8</v>
      </c>
      <c r="T711" s="16">
        <f>_xlfn.XLOOKUP(CustomerCombinedCleaned[[#This Row],[ID]], Table4[ID], Table4[Catalog], "Not Found", 0)</f>
        <v>3</v>
      </c>
      <c r="U711" s="16">
        <f>_xlfn.XLOOKUP(CustomerCombinedCleaned[[#This Row],[ID]], Table4[ID], Table4[Store], "Not Found", 0)</f>
        <v>13</v>
      </c>
      <c r="V711" s="16">
        <f>_xlfn.XLOOKUP(CustomerCombinedCleaned[[#This Row],[ID]], Table4[ID], Table4[Visits], "Not Found", 0)</f>
        <v>6</v>
      </c>
      <c r="W711" s="16">
        <f>_xlfn.XLOOKUP(CustomerCombinedCleaned[[#This Row],[ID]], Table2[ID],Table2[Complaint], "Not Found", 0 )</f>
        <v>0</v>
      </c>
      <c r="X711" s="16">
        <f>_xlfn.XLOOKUP(CustomerCombinedCleaned[[#This Row],[ID]], Table2[ID],Table2[Pilot], "Not Found", 0 )</f>
        <v>0</v>
      </c>
      <c r="Y711" s="16">
        <f>_xlfn.XLOOKUP(CustomerCombinedCleaned[[#This Row],[ID]], Table2[ID],Table2[MC1], "Not Found", 0 )</f>
        <v>0</v>
      </c>
      <c r="Z711" s="16">
        <f>_xlfn.XLOOKUP(CustomerCombinedCleaned[[#This Row],[ID]], Table2[ID],Table2[MC2], "Not Found", 0 )</f>
        <v>0</v>
      </c>
      <c r="AA711" s="16">
        <f>_xlfn.XLOOKUP(CustomerCombinedCleaned[[#This Row],[ID]], Table2[ID],Table2[MC3], "Not Found", 0 )</f>
        <v>0</v>
      </c>
      <c r="AB711" s="16">
        <f>_xlfn.XLOOKUP(CustomerCombinedCleaned[[#This Row],[ID]], Table2[ID],Table2[MC4], "Not Found", 0 )</f>
        <v>1</v>
      </c>
      <c r="AC711" s="16">
        <f>_xlfn.XLOOKUP(CustomerCombinedCleaned[[#This Row],[ID]], Table2[ID],Table2[MC5], "Not Found", 0 )</f>
        <v>0</v>
      </c>
    </row>
    <row r="712" spans="1:29" x14ac:dyDescent="0.3">
      <c r="A712" s="18">
        <v>1259</v>
      </c>
      <c r="B712" s="16">
        <v>161905</v>
      </c>
      <c r="C712" s="16">
        <v>0</v>
      </c>
      <c r="D712" s="16">
        <v>1</v>
      </c>
      <c r="E712" s="16">
        <v>45</v>
      </c>
      <c r="F712" s="17" t="s">
        <v>8</v>
      </c>
      <c r="G712" s="17" t="s">
        <v>13</v>
      </c>
      <c r="H712" s="3" t="s">
        <v>714</v>
      </c>
      <c r="I712" s="5" t="s">
        <v>434</v>
      </c>
      <c r="J712" s="16">
        <f>_xlfn.XLOOKUP(CustomerCombinedCleaned[[#This Row],[ID]], Table4[ID], Table4[Recency], "Not Found", 0)</f>
        <v>2</v>
      </c>
      <c r="K712" s="16">
        <f>_xlfn.XLOOKUP(CustomerCombinedCleaned[[#This Row],[ID]], Table4[ID], Table4[Teas], "Not Found", 0)</f>
        <v>437</v>
      </c>
      <c r="L712" s="16">
        <f>_xlfn.XLOOKUP(CustomerCombinedCleaned[[#This Row],[ID]], Table4[ID], Table4[Fruits], "Not Found", 0)</f>
        <v>0</v>
      </c>
      <c r="M712" s="16">
        <f>_xlfn.XLOOKUP(CustomerCombinedCleaned[[#This Row],[ID]], Table4[ID], Table4[Meats], "Not Found", 0)</f>
        <v>112</v>
      </c>
      <c r="N712" s="16">
        <f>_xlfn.XLOOKUP(CustomerCombinedCleaned[[#This Row],[ID]], Table4[ID], Table4[Seafood], "Not Found", 0)</f>
        <v>16</v>
      </c>
      <c r="O712" s="16">
        <f>_xlfn.XLOOKUP(CustomerCombinedCleaned[[#This Row],[ID]], Table4[ID], Table4[Sweets], "Not Found", 0)</f>
        <v>5</v>
      </c>
      <c r="P712" s="16">
        <f>_xlfn.XLOOKUP(CustomerCombinedCleaned[[#This Row],[ID]], Table4[ID], Table4[Premium], "Not Found", 0)</f>
        <v>34</v>
      </c>
      <c r="Q712" s="16">
        <f>_xlfn.XLOOKUP(CustomerCombinedCleaned[[#This Row],[ID]], Table4[ID], Table4[Regular], "Not Found", 0)</f>
        <v>536</v>
      </c>
      <c r="R712" s="16">
        <f>_xlfn.XLOOKUP(CustomerCombinedCleaned[[#This Row],[ID]], Table4[ID], Table4[Deals], "Not Found", 0)</f>
        <v>2</v>
      </c>
      <c r="S712" s="16">
        <f>_xlfn.XLOOKUP(CustomerCombinedCleaned[[#This Row],[ID]], Table4[ID], Table4[Website], "Not Found", 0)</f>
        <v>4</v>
      </c>
      <c r="T712" s="16">
        <f>_xlfn.XLOOKUP(CustomerCombinedCleaned[[#This Row],[ID]], Table4[ID], Table4[Catalog], "Not Found", 0)</f>
        <v>2</v>
      </c>
      <c r="U712" s="16">
        <f>_xlfn.XLOOKUP(CustomerCombinedCleaned[[#This Row],[ID]], Table4[ID], Table4[Store], "Not Found", 0)</f>
        <v>4</v>
      </c>
      <c r="V712" s="16">
        <f>_xlfn.XLOOKUP(CustomerCombinedCleaned[[#This Row],[ID]], Table4[ID], Table4[Visits], "Not Found", 0)</f>
        <v>5</v>
      </c>
      <c r="W712" s="16">
        <f>_xlfn.XLOOKUP(CustomerCombinedCleaned[[#This Row],[ID]], Table2[ID],Table2[Complaint], "Not Found", 0 )</f>
        <v>0</v>
      </c>
      <c r="X712" s="16">
        <f>_xlfn.XLOOKUP(CustomerCombinedCleaned[[#This Row],[ID]], Table2[ID],Table2[Pilot], "Not Found", 0 )</f>
        <v>0</v>
      </c>
      <c r="Y712" s="16">
        <f>_xlfn.XLOOKUP(CustomerCombinedCleaned[[#This Row],[ID]], Table2[ID],Table2[MC1], "Not Found", 0 )</f>
        <v>0</v>
      </c>
      <c r="Z712" s="16">
        <f>_xlfn.XLOOKUP(CustomerCombinedCleaned[[#This Row],[ID]], Table2[ID],Table2[MC2], "Not Found", 0 )</f>
        <v>0</v>
      </c>
      <c r="AA712" s="16">
        <f>_xlfn.XLOOKUP(CustomerCombinedCleaned[[#This Row],[ID]], Table2[ID],Table2[MC3], "Not Found", 0 )</f>
        <v>0</v>
      </c>
      <c r="AB712" s="16">
        <f>_xlfn.XLOOKUP(CustomerCombinedCleaned[[#This Row],[ID]], Table2[ID],Table2[MC4], "Not Found", 0 )</f>
        <v>0</v>
      </c>
      <c r="AC712" s="16">
        <f>_xlfn.XLOOKUP(CustomerCombinedCleaned[[#This Row],[ID]], Table2[ID],Table2[MC5], "Not Found", 0 )</f>
        <v>0</v>
      </c>
    </row>
    <row r="713" spans="1:29" x14ac:dyDescent="0.3">
      <c r="A713" s="18">
        <v>1454</v>
      </c>
      <c r="B713" s="16">
        <v>161456</v>
      </c>
      <c r="C713" s="16">
        <v>0</v>
      </c>
      <c r="D713" s="16">
        <v>1</v>
      </c>
      <c r="E713" s="16">
        <v>45</v>
      </c>
      <c r="F713" s="17" t="s">
        <v>6</v>
      </c>
      <c r="G713" s="17" t="s">
        <v>11</v>
      </c>
      <c r="H713" s="3" t="s">
        <v>547</v>
      </c>
      <c r="I713" s="5" t="s">
        <v>438</v>
      </c>
      <c r="J713" s="16">
        <f>_xlfn.XLOOKUP(CustomerCombinedCleaned[[#This Row],[ID]], Table4[ID], Table4[Recency], "Not Found", 0)</f>
        <v>47</v>
      </c>
      <c r="K713" s="16">
        <f>_xlfn.XLOOKUP(CustomerCombinedCleaned[[#This Row],[ID]], Table4[ID], Table4[Teas], "Not Found", 0)</f>
        <v>1479</v>
      </c>
      <c r="L713" s="16">
        <f>_xlfn.XLOOKUP(CustomerCombinedCleaned[[#This Row],[ID]], Table4[ID], Table4[Fruits], "Not Found", 0)</f>
        <v>200</v>
      </c>
      <c r="M713" s="16">
        <f>_xlfn.XLOOKUP(CustomerCombinedCleaned[[#This Row],[ID]], Table4[ID], Table4[Meats], "Not Found", 0)</f>
        <v>1009</v>
      </c>
      <c r="N713" s="16">
        <f>_xlfn.XLOOKUP(CustomerCombinedCleaned[[#This Row],[ID]], Table4[ID], Table4[Seafood], "Not Found", 0)</f>
        <v>221</v>
      </c>
      <c r="O713" s="16">
        <f>_xlfn.XLOOKUP(CustomerCombinedCleaned[[#This Row],[ID]], Table4[ID], Table4[Sweets], "Not Found", 0)</f>
        <v>504</v>
      </c>
      <c r="P713" s="16">
        <f>_xlfn.XLOOKUP(CustomerCombinedCleaned[[#This Row],[ID]], Table4[ID], Table4[Premium], "Not Found", 0)</f>
        <v>234</v>
      </c>
      <c r="Q713" s="16">
        <f>_xlfn.XLOOKUP(CustomerCombinedCleaned[[#This Row],[ID]], Table4[ID], Table4[Regular], "Not Found", 0)</f>
        <v>3179</v>
      </c>
      <c r="R713" s="16">
        <f>_xlfn.XLOOKUP(CustomerCombinedCleaned[[#This Row],[ID]], Table4[ID], Table4[Deals], "Not Found", 0)</f>
        <v>4</v>
      </c>
      <c r="S713" s="16">
        <f>_xlfn.XLOOKUP(CustomerCombinedCleaned[[#This Row],[ID]], Table4[ID], Table4[Website], "Not Found", 0)</f>
        <v>6</v>
      </c>
      <c r="T713" s="16">
        <f>_xlfn.XLOOKUP(CustomerCombinedCleaned[[#This Row],[ID]], Table4[ID], Table4[Catalog], "Not Found", 0)</f>
        <v>10</v>
      </c>
      <c r="U713" s="16">
        <f>_xlfn.XLOOKUP(CustomerCombinedCleaned[[#This Row],[ID]], Table4[ID], Table4[Store], "Not Found", 0)</f>
        <v>13</v>
      </c>
      <c r="V713" s="16">
        <f>_xlfn.XLOOKUP(CustomerCombinedCleaned[[#This Row],[ID]], Table4[ID], Table4[Visits], "Not Found", 0)</f>
        <v>4</v>
      </c>
      <c r="W713" s="16">
        <f>_xlfn.XLOOKUP(CustomerCombinedCleaned[[#This Row],[ID]], Table2[ID],Table2[Complaint], "Not Found", 0 )</f>
        <v>0</v>
      </c>
      <c r="X713" s="16">
        <f>_xlfn.XLOOKUP(CustomerCombinedCleaned[[#This Row],[ID]], Table2[ID],Table2[Pilot], "Not Found", 0 )</f>
        <v>0</v>
      </c>
      <c r="Y713" s="16">
        <f>_xlfn.XLOOKUP(CustomerCombinedCleaned[[#This Row],[ID]], Table2[ID],Table2[MC1], "Not Found", 0 )</f>
        <v>0</v>
      </c>
      <c r="Z713" s="16">
        <f>_xlfn.XLOOKUP(CustomerCombinedCleaned[[#This Row],[ID]], Table2[ID],Table2[MC2], "Not Found", 0 )</f>
        <v>0</v>
      </c>
      <c r="AA713" s="16">
        <f>_xlfn.XLOOKUP(CustomerCombinedCleaned[[#This Row],[ID]], Table2[ID],Table2[MC3], "Not Found", 0 )</f>
        <v>0</v>
      </c>
      <c r="AB713" s="16">
        <f>_xlfn.XLOOKUP(CustomerCombinedCleaned[[#This Row],[ID]], Table2[ID],Table2[MC4], "Not Found", 0 )</f>
        <v>0</v>
      </c>
      <c r="AC713" s="16">
        <f>_xlfn.XLOOKUP(CustomerCombinedCleaned[[#This Row],[ID]], Table2[ID],Table2[MC5], "Not Found", 0 )</f>
        <v>0</v>
      </c>
    </row>
    <row r="714" spans="1:29" x14ac:dyDescent="0.3">
      <c r="A714" s="18">
        <v>3140</v>
      </c>
      <c r="B714" s="16">
        <v>160934</v>
      </c>
      <c r="C714" s="16">
        <v>0</v>
      </c>
      <c r="D714" s="16">
        <v>1</v>
      </c>
      <c r="E714" s="16">
        <v>45</v>
      </c>
      <c r="F714" s="17" t="s">
        <v>8</v>
      </c>
      <c r="G714" s="17" t="s">
        <v>11</v>
      </c>
      <c r="H714" s="3" t="s">
        <v>114</v>
      </c>
      <c r="I714" s="5" t="s">
        <v>438</v>
      </c>
      <c r="J714" s="16">
        <f>_xlfn.XLOOKUP(CustomerCombinedCleaned[[#This Row],[ID]], Table4[ID], Table4[Recency], "Not Found", 0)</f>
        <v>41</v>
      </c>
      <c r="K714" s="16">
        <f>_xlfn.XLOOKUP(CustomerCombinedCleaned[[#This Row],[ID]], Table4[ID], Table4[Teas], "Not Found", 0)</f>
        <v>592</v>
      </c>
      <c r="L714" s="16">
        <f>_xlfn.XLOOKUP(CustomerCombinedCleaned[[#This Row],[ID]], Table4[ID], Table4[Fruits], "Not Found", 0)</f>
        <v>409</v>
      </c>
      <c r="M714" s="16">
        <f>_xlfn.XLOOKUP(CustomerCombinedCleaned[[#This Row],[ID]], Table4[ID], Table4[Meats], "Not Found", 0)</f>
        <v>409</v>
      </c>
      <c r="N714" s="16">
        <f>_xlfn.XLOOKUP(CustomerCombinedCleaned[[#This Row],[ID]], Table4[ID], Table4[Seafood], "Not Found", 0)</f>
        <v>507</v>
      </c>
      <c r="O714" s="16">
        <f>_xlfn.XLOOKUP(CustomerCombinedCleaned[[#This Row],[ID]], Table4[ID], Table4[Sweets], "Not Found", 0)</f>
        <v>246</v>
      </c>
      <c r="P714" s="16">
        <f>_xlfn.XLOOKUP(CustomerCombinedCleaned[[#This Row],[ID]], Table4[ID], Table4[Premium], "Not Found", 0)</f>
        <v>143</v>
      </c>
      <c r="Q714" s="16">
        <f>_xlfn.XLOOKUP(CustomerCombinedCleaned[[#This Row],[ID]], Table4[ID], Table4[Regular], "Not Found", 0)</f>
        <v>2020</v>
      </c>
      <c r="R714" s="16">
        <f>_xlfn.XLOOKUP(CustomerCombinedCleaned[[#This Row],[ID]], Table4[ID], Table4[Deals], "Not Found", 0)</f>
        <v>2</v>
      </c>
      <c r="S714" s="16">
        <f>_xlfn.XLOOKUP(CustomerCombinedCleaned[[#This Row],[ID]], Table4[ID], Table4[Website], "Not Found", 0)</f>
        <v>6</v>
      </c>
      <c r="T714" s="16">
        <f>_xlfn.XLOOKUP(CustomerCombinedCleaned[[#This Row],[ID]], Table4[ID], Table4[Catalog], "Not Found", 0)</f>
        <v>4</v>
      </c>
      <c r="U714" s="16">
        <f>_xlfn.XLOOKUP(CustomerCombinedCleaned[[#This Row],[ID]], Table4[ID], Table4[Store], "Not Found", 0)</f>
        <v>11</v>
      </c>
      <c r="V714" s="16">
        <f>_xlfn.XLOOKUP(CustomerCombinedCleaned[[#This Row],[ID]], Table4[ID], Table4[Visits], "Not Found", 0)</f>
        <v>4</v>
      </c>
      <c r="W714" s="16">
        <f>_xlfn.XLOOKUP(CustomerCombinedCleaned[[#This Row],[ID]], Table2[ID],Table2[Complaint], "Not Found", 0 )</f>
        <v>0</v>
      </c>
      <c r="X714" s="16">
        <f>_xlfn.XLOOKUP(CustomerCombinedCleaned[[#This Row],[ID]], Table2[ID],Table2[Pilot], "Not Found", 0 )</f>
        <v>0</v>
      </c>
      <c r="Y714" s="16">
        <f>_xlfn.XLOOKUP(CustomerCombinedCleaned[[#This Row],[ID]], Table2[ID],Table2[MC1], "Not Found", 0 )</f>
        <v>0</v>
      </c>
      <c r="Z714" s="16">
        <f>_xlfn.XLOOKUP(CustomerCombinedCleaned[[#This Row],[ID]], Table2[ID],Table2[MC2], "Not Found", 0 )</f>
        <v>0</v>
      </c>
      <c r="AA714" s="16">
        <f>_xlfn.XLOOKUP(CustomerCombinedCleaned[[#This Row],[ID]], Table2[ID],Table2[MC3], "Not Found", 0 )</f>
        <v>0</v>
      </c>
      <c r="AB714" s="16">
        <f>_xlfn.XLOOKUP(CustomerCombinedCleaned[[#This Row],[ID]], Table2[ID],Table2[MC4], "Not Found", 0 )</f>
        <v>0</v>
      </c>
      <c r="AC714" s="16">
        <f>_xlfn.XLOOKUP(CustomerCombinedCleaned[[#This Row],[ID]], Table2[ID],Table2[MC5], "Not Found", 0 )</f>
        <v>0</v>
      </c>
    </row>
    <row r="715" spans="1:29" x14ac:dyDescent="0.3">
      <c r="A715" s="18">
        <v>1068</v>
      </c>
      <c r="B715" s="16">
        <v>160631</v>
      </c>
      <c r="C715" s="16">
        <v>1</v>
      </c>
      <c r="D715" s="16">
        <v>1</v>
      </c>
      <c r="E715" s="16">
        <v>45</v>
      </c>
      <c r="F715" s="17" t="s">
        <v>6</v>
      </c>
      <c r="G715" s="17" t="s">
        <v>13</v>
      </c>
      <c r="H715" s="3" t="s">
        <v>538</v>
      </c>
      <c r="I715" s="5" t="s">
        <v>436</v>
      </c>
      <c r="J715" s="16">
        <f>_xlfn.XLOOKUP(CustomerCombinedCleaned[[#This Row],[ID]], Table4[ID], Table4[Recency], "Not Found", 0)</f>
        <v>88</v>
      </c>
      <c r="K715" s="16">
        <f>_xlfn.XLOOKUP(CustomerCombinedCleaned[[#This Row],[ID]], Table4[ID], Table4[Teas], "Not Found", 0)</f>
        <v>1497</v>
      </c>
      <c r="L715" s="16">
        <f>_xlfn.XLOOKUP(CustomerCombinedCleaned[[#This Row],[ID]], Table4[ID], Table4[Fruits], "Not Found", 0)</f>
        <v>16</v>
      </c>
      <c r="M715" s="16">
        <f>_xlfn.XLOOKUP(CustomerCombinedCleaned[[#This Row],[ID]], Table4[ID], Table4[Meats], "Not Found", 0)</f>
        <v>172</v>
      </c>
      <c r="N715" s="16">
        <f>_xlfn.XLOOKUP(CustomerCombinedCleaned[[#This Row],[ID]], Table4[ID], Table4[Seafood], "Not Found", 0)</f>
        <v>0</v>
      </c>
      <c r="O715" s="16">
        <f>_xlfn.XLOOKUP(CustomerCombinedCleaned[[#This Row],[ID]], Table4[ID], Table4[Sweets], "Not Found", 0)</f>
        <v>16</v>
      </c>
      <c r="P715" s="16">
        <f>_xlfn.XLOOKUP(CustomerCombinedCleaned[[#This Row],[ID]], Table4[ID], Table4[Premium], "Not Found", 0)</f>
        <v>50</v>
      </c>
      <c r="Q715" s="16">
        <f>_xlfn.XLOOKUP(CustomerCombinedCleaned[[#This Row],[ID]], Table4[ID], Table4[Regular], "Not Found", 0)</f>
        <v>1651</v>
      </c>
      <c r="R715" s="16">
        <f>_xlfn.XLOOKUP(CustomerCombinedCleaned[[#This Row],[ID]], Table4[ID], Table4[Deals], "Not Found", 0)</f>
        <v>5</v>
      </c>
      <c r="S715" s="16">
        <f>_xlfn.XLOOKUP(CustomerCombinedCleaned[[#This Row],[ID]], Table4[ID], Table4[Website], "Not Found", 0)</f>
        <v>9</v>
      </c>
      <c r="T715" s="16">
        <f>_xlfn.XLOOKUP(CustomerCombinedCleaned[[#This Row],[ID]], Table4[ID], Table4[Catalog], "Not Found", 0)</f>
        <v>2</v>
      </c>
      <c r="U715" s="16">
        <f>_xlfn.XLOOKUP(CustomerCombinedCleaned[[#This Row],[ID]], Table4[ID], Table4[Store], "Not Found", 0)</f>
        <v>8</v>
      </c>
      <c r="V715" s="16">
        <f>_xlfn.XLOOKUP(CustomerCombinedCleaned[[#This Row],[ID]], Table4[ID], Table4[Visits], "Not Found", 0)</f>
        <v>7</v>
      </c>
      <c r="W715" s="16">
        <f>_xlfn.XLOOKUP(CustomerCombinedCleaned[[#This Row],[ID]], Table2[ID],Table2[Complaint], "Not Found", 0 )</f>
        <v>0</v>
      </c>
      <c r="X715" s="16">
        <f>_xlfn.XLOOKUP(CustomerCombinedCleaned[[#This Row],[ID]], Table2[ID],Table2[Pilot], "Not Found", 0 )</f>
        <v>0</v>
      </c>
      <c r="Y715" s="16">
        <f>_xlfn.XLOOKUP(CustomerCombinedCleaned[[#This Row],[ID]], Table2[ID],Table2[MC1], "Not Found", 0 )</f>
        <v>0</v>
      </c>
      <c r="Z715" s="16">
        <f>_xlfn.XLOOKUP(CustomerCombinedCleaned[[#This Row],[ID]], Table2[ID],Table2[MC2], "Not Found", 0 )</f>
        <v>0</v>
      </c>
      <c r="AA715" s="16">
        <f>_xlfn.XLOOKUP(CustomerCombinedCleaned[[#This Row],[ID]], Table2[ID],Table2[MC3], "Not Found", 0 )</f>
        <v>0</v>
      </c>
      <c r="AB715" s="16">
        <f>_xlfn.XLOOKUP(CustomerCombinedCleaned[[#This Row],[ID]], Table2[ID],Table2[MC4], "Not Found", 0 )</f>
        <v>1</v>
      </c>
      <c r="AC715" s="16">
        <f>_xlfn.XLOOKUP(CustomerCombinedCleaned[[#This Row],[ID]], Table2[ID],Table2[MC5], "Not Found", 0 )</f>
        <v>0</v>
      </c>
    </row>
    <row r="716" spans="1:29" x14ac:dyDescent="0.3">
      <c r="A716" s="18">
        <v>1920</v>
      </c>
      <c r="B716" s="16">
        <v>160554</v>
      </c>
      <c r="C716" s="16">
        <v>1</v>
      </c>
      <c r="D716" s="16">
        <v>0</v>
      </c>
      <c r="E716" s="16">
        <v>45</v>
      </c>
      <c r="F716" s="17" t="s">
        <v>5</v>
      </c>
      <c r="G716" s="17" t="s">
        <v>13</v>
      </c>
      <c r="H716" s="3" t="s">
        <v>208</v>
      </c>
      <c r="I716" s="5" t="s">
        <v>436</v>
      </c>
      <c r="J716" s="16">
        <f>_xlfn.XLOOKUP(CustomerCombinedCleaned[[#This Row],[ID]], Table4[ID], Table4[Recency], "Not Found", 0)</f>
        <v>8</v>
      </c>
      <c r="K716" s="16">
        <f>_xlfn.XLOOKUP(CustomerCombinedCleaned[[#This Row],[ID]], Table4[ID], Table4[Teas], "Not Found", 0)</f>
        <v>1559</v>
      </c>
      <c r="L716" s="16">
        <f>_xlfn.XLOOKUP(CustomerCombinedCleaned[[#This Row],[ID]], Table4[ID], Table4[Fruits], "Not Found", 0)</f>
        <v>19</v>
      </c>
      <c r="M716" s="16">
        <f>_xlfn.XLOOKUP(CustomerCombinedCleaned[[#This Row],[ID]], Table4[ID], Table4[Meats], "Not Found", 0)</f>
        <v>202</v>
      </c>
      <c r="N716" s="16">
        <f>_xlfn.XLOOKUP(CustomerCombinedCleaned[[#This Row],[ID]], Table4[ID], Table4[Seafood], "Not Found", 0)</f>
        <v>292</v>
      </c>
      <c r="O716" s="16">
        <f>_xlfn.XLOOKUP(CustomerCombinedCleaned[[#This Row],[ID]], Table4[ID], Table4[Sweets], "Not Found", 0)</f>
        <v>40</v>
      </c>
      <c r="P716" s="16">
        <f>_xlfn.XLOOKUP(CustomerCombinedCleaned[[#This Row],[ID]], Table4[ID], Table4[Premium], "Not Found", 0)</f>
        <v>40</v>
      </c>
      <c r="Q716" s="16">
        <f>_xlfn.XLOOKUP(CustomerCombinedCleaned[[#This Row],[ID]], Table4[ID], Table4[Regular], "Not Found", 0)</f>
        <v>2071</v>
      </c>
      <c r="R716" s="16">
        <f>_xlfn.XLOOKUP(CustomerCombinedCleaned[[#This Row],[ID]], Table4[ID], Table4[Deals], "Not Found", 0)</f>
        <v>2</v>
      </c>
      <c r="S716" s="16">
        <f>_xlfn.XLOOKUP(CustomerCombinedCleaned[[#This Row],[ID]], Table4[ID], Table4[Website], "Not Found", 0)</f>
        <v>8</v>
      </c>
      <c r="T716" s="16">
        <f>_xlfn.XLOOKUP(CustomerCombinedCleaned[[#This Row],[ID]], Table4[ID], Table4[Catalog], "Not Found", 0)</f>
        <v>4</v>
      </c>
      <c r="U716" s="16">
        <f>_xlfn.XLOOKUP(CustomerCombinedCleaned[[#This Row],[ID]], Table4[ID], Table4[Store], "Not Found", 0)</f>
        <v>9</v>
      </c>
      <c r="V716" s="16">
        <f>_xlfn.XLOOKUP(CustomerCombinedCleaned[[#This Row],[ID]], Table4[ID], Table4[Visits], "Not Found", 0)</f>
        <v>6</v>
      </c>
      <c r="W716" s="16">
        <f>_xlfn.XLOOKUP(CustomerCombinedCleaned[[#This Row],[ID]], Table2[ID],Table2[Complaint], "Not Found", 0 )</f>
        <v>0</v>
      </c>
      <c r="X716" s="16">
        <f>_xlfn.XLOOKUP(CustomerCombinedCleaned[[#This Row],[ID]], Table2[ID],Table2[Pilot], "Not Found", 0 )</f>
        <v>0</v>
      </c>
      <c r="Y716" s="16">
        <f>_xlfn.XLOOKUP(CustomerCombinedCleaned[[#This Row],[ID]], Table2[ID],Table2[MC1], "Not Found", 0 )</f>
        <v>0</v>
      </c>
      <c r="Z716" s="16">
        <f>_xlfn.XLOOKUP(CustomerCombinedCleaned[[#This Row],[ID]], Table2[ID],Table2[MC2], "Not Found", 0 )</f>
        <v>0</v>
      </c>
      <c r="AA716" s="16">
        <f>_xlfn.XLOOKUP(CustomerCombinedCleaned[[#This Row],[ID]], Table2[ID],Table2[MC3], "Not Found", 0 )</f>
        <v>0</v>
      </c>
      <c r="AB716" s="16">
        <f>_xlfn.XLOOKUP(CustomerCombinedCleaned[[#This Row],[ID]], Table2[ID],Table2[MC4], "Not Found", 0 )</f>
        <v>0</v>
      </c>
      <c r="AC716" s="16">
        <f>_xlfn.XLOOKUP(CustomerCombinedCleaned[[#This Row],[ID]], Table2[ID],Table2[MC5], "Not Found", 0 )</f>
        <v>0</v>
      </c>
    </row>
    <row r="717" spans="1:29" x14ac:dyDescent="0.3">
      <c r="A717" s="18">
        <v>2737</v>
      </c>
      <c r="B717" s="16">
        <v>159481</v>
      </c>
      <c r="C717" s="16">
        <v>0</v>
      </c>
      <c r="D717" s="16">
        <v>1</v>
      </c>
      <c r="E717" s="16">
        <v>45</v>
      </c>
      <c r="F717" s="17" t="s">
        <v>8</v>
      </c>
      <c r="G717" s="17" t="s">
        <v>11</v>
      </c>
      <c r="H717" s="3" t="s">
        <v>159</v>
      </c>
      <c r="I717" s="5" t="s">
        <v>437</v>
      </c>
      <c r="J717" s="16">
        <f>_xlfn.XLOOKUP(CustomerCombinedCleaned[[#This Row],[ID]], Table4[ID], Table4[Recency], "Not Found", 0)</f>
        <v>47</v>
      </c>
      <c r="K717" s="16">
        <f>_xlfn.XLOOKUP(CustomerCombinedCleaned[[#This Row],[ID]], Table4[ID], Table4[Teas], "Not Found", 0)</f>
        <v>477</v>
      </c>
      <c r="L717" s="16">
        <f>_xlfn.XLOOKUP(CustomerCombinedCleaned[[#This Row],[ID]], Table4[ID], Table4[Fruits], "Not Found", 0)</f>
        <v>8</v>
      </c>
      <c r="M717" s="16">
        <f>_xlfn.XLOOKUP(CustomerCombinedCleaned[[#This Row],[ID]], Table4[ID], Table4[Meats], "Not Found", 0)</f>
        <v>228</v>
      </c>
      <c r="N717" s="16">
        <f>_xlfn.XLOOKUP(CustomerCombinedCleaned[[#This Row],[ID]], Table4[ID], Table4[Seafood], "Not Found", 0)</f>
        <v>190</v>
      </c>
      <c r="O717" s="16">
        <f>_xlfn.XLOOKUP(CustomerCombinedCleaned[[#This Row],[ID]], Table4[ID], Table4[Sweets], "Not Found", 0)</f>
        <v>177</v>
      </c>
      <c r="P717" s="16">
        <f>_xlfn.XLOOKUP(CustomerCombinedCleaned[[#This Row],[ID]], Table4[ID], Table4[Premium], "Not Found", 0)</f>
        <v>156</v>
      </c>
      <c r="Q717" s="16">
        <f>_xlfn.XLOOKUP(CustomerCombinedCleaned[[#This Row],[ID]], Table4[ID], Table4[Regular], "Not Found", 0)</f>
        <v>925</v>
      </c>
      <c r="R717" s="16">
        <f>_xlfn.XLOOKUP(CustomerCombinedCleaned[[#This Row],[ID]], Table4[ID], Table4[Deals], "Not Found", 0)</f>
        <v>2</v>
      </c>
      <c r="S717" s="16">
        <f>_xlfn.XLOOKUP(CustomerCombinedCleaned[[#This Row],[ID]], Table4[ID], Table4[Website], "Not Found", 0)</f>
        <v>3</v>
      </c>
      <c r="T717" s="16">
        <f>_xlfn.XLOOKUP(CustomerCombinedCleaned[[#This Row],[ID]], Table4[ID], Table4[Catalog], "Not Found", 0)</f>
        <v>3</v>
      </c>
      <c r="U717" s="16">
        <f>_xlfn.XLOOKUP(CustomerCombinedCleaned[[#This Row],[ID]], Table4[ID], Table4[Store], "Not Found", 0)</f>
        <v>8</v>
      </c>
      <c r="V717" s="16">
        <f>_xlfn.XLOOKUP(CustomerCombinedCleaned[[#This Row],[ID]], Table4[ID], Table4[Visits], "Not Found", 0)</f>
        <v>2</v>
      </c>
      <c r="W717" s="16">
        <f>_xlfn.XLOOKUP(CustomerCombinedCleaned[[#This Row],[ID]], Table2[ID],Table2[Complaint], "Not Found", 0 )</f>
        <v>0</v>
      </c>
      <c r="X717" s="16">
        <f>_xlfn.XLOOKUP(CustomerCombinedCleaned[[#This Row],[ID]], Table2[ID],Table2[Pilot], "Not Found", 0 )</f>
        <v>0</v>
      </c>
      <c r="Y717" s="16">
        <f>_xlfn.XLOOKUP(CustomerCombinedCleaned[[#This Row],[ID]], Table2[ID],Table2[MC1], "Not Found", 0 )</f>
        <v>0</v>
      </c>
      <c r="Z717" s="16">
        <f>_xlfn.XLOOKUP(CustomerCombinedCleaned[[#This Row],[ID]], Table2[ID],Table2[MC2], "Not Found", 0 )</f>
        <v>0</v>
      </c>
      <c r="AA717" s="16">
        <f>_xlfn.XLOOKUP(CustomerCombinedCleaned[[#This Row],[ID]], Table2[ID],Table2[MC3], "Not Found", 0 )</f>
        <v>0</v>
      </c>
      <c r="AB717" s="16">
        <f>_xlfn.XLOOKUP(CustomerCombinedCleaned[[#This Row],[ID]], Table2[ID],Table2[MC4], "Not Found", 0 )</f>
        <v>0</v>
      </c>
      <c r="AC717" s="16">
        <f>_xlfn.XLOOKUP(CustomerCombinedCleaned[[#This Row],[ID]], Table2[ID],Table2[MC5], "Not Found", 0 )</f>
        <v>0</v>
      </c>
    </row>
    <row r="718" spans="1:29" x14ac:dyDescent="0.3">
      <c r="A718" s="18">
        <v>1644</v>
      </c>
      <c r="B718" s="16">
        <v>158330</v>
      </c>
      <c r="C718" s="16">
        <v>0</v>
      </c>
      <c r="D718" s="16">
        <v>1</v>
      </c>
      <c r="E718" s="16">
        <v>45</v>
      </c>
      <c r="F718" s="17" t="s">
        <v>9</v>
      </c>
      <c r="G718" s="17" t="s">
        <v>11</v>
      </c>
      <c r="H718" s="3" t="s">
        <v>123</v>
      </c>
      <c r="I718" s="5" t="s">
        <v>436</v>
      </c>
      <c r="J718" s="16">
        <f>_xlfn.XLOOKUP(CustomerCombinedCleaned[[#This Row],[ID]], Table4[ID], Table4[Recency], "Not Found", 0)</f>
        <v>87</v>
      </c>
      <c r="K718" s="16">
        <f>_xlfn.XLOOKUP(CustomerCombinedCleaned[[#This Row],[ID]], Table4[ID], Table4[Teas], "Not Found", 0)</f>
        <v>1208</v>
      </c>
      <c r="L718" s="16">
        <f>_xlfn.XLOOKUP(CustomerCombinedCleaned[[#This Row],[ID]], Table4[ID], Table4[Fruits], "Not Found", 0)</f>
        <v>144</v>
      </c>
      <c r="M718" s="16">
        <f>_xlfn.XLOOKUP(CustomerCombinedCleaned[[#This Row],[ID]], Table4[ID], Table4[Meats], "Not Found", 0)</f>
        <v>578</v>
      </c>
      <c r="N718" s="16">
        <f>_xlfn.XLOOKUP(CustomerCombinedCleaned[[#This Row],[ID]], Table4[ID], Table4[Seafood], "Not Found", 0)</f>
        <v>282</v>
      </c>
      <c r="O718" s="16">
        <f>_xlfn.XLOOKUP(CustomerCombinedCleaned[[#This Row],[ID]], Table4[ID], Table4[Sweets], "Not Found", 0)</f>
        <v>266</v>
      </c>
      <c r="P718" s="16">
        <f>_xlfn.XLOOKUP(CustomerCombinedCleaned[[#This Row],[ID]], Table4[ID], Table4[Premium], "Not Found", 0)</f>
        <v>410</v>
      </c>
      <c r="Q718" s="16">
        <f>_xlfn.XLOOKUP(CustomerCombinedCleaned[[#This Row],[ID]], Table4[ID], Table4[Regular], "Not Found", 0)</f>
        <v>2068</v>
      </c>
      <c r="R718" s="16">
        <f>_xlfn.XLOOKUP(CustomerCombinedCleaned[[#This Row],[ID]], Table4[ID], Table4[Deals], "Not Found", 0)</f>
        <v>1</v>
      </c>
      <c r="S718" s="16">
        <f>_xlfn.XLOOKUP(CustomerCombinedCleaned[[#This Row],[ID]], Table4[ID], Table4[Website], "Not Found", 0)</f>
        <v>6</v>
      </c>
      <c r="T718" s="16">
        <f>_xlfn.XLOOKUP(CustomerCombinedCleaned[[#This Row],[ID]], Table4[ID], Table4[Catalog], "Not Found", 0)</f>
        <v>4</v>
      </c>
      <c r="U718" s="16">
        <f>_xlfn.XLOOKUP(CustomerCombinedCleaned[[#This Row],[ID]], Table4[ID], Table4[Store], "Not Found", 0)</f>
        <v>13</v>
      </c>
      <c r="V718" s="16">
        <f>_xlfn.XLOOKUP(CustomerCombinedCleaned[[#This Row],[ID]], Table4[ID], Table4[Visits], "Not Found", 0)</f>
        <v>4</v>
      </c>
      <c r="W718" s="16">
        <f>_xlfn.XLOOKUP(CustomerCombinedCleaned[[#This Row],[ID]], Table2[ID],Table2[Complaint], "Not Found", 0 )</f>
        <v>0</v>
      </c>
      <c r="X718" s="16">
        <f>_xlfn.XLOOKUP(CustomerCombinedCleaned[[#This Row],[ID]], Table2[ID],Table2[Pilot], "Not Found", 0 )</f>
        <v>0</v>
      </c>
      <c r="Y718" s="16">
        <f>_xlfn.XLOOKUP(CustomerCombinedCleaned[[#This Row],[ID]], Table2[ID],Table2[MC1], "Not Found", 0 )</f>
        <v>0</v>
      </c>
      <c r="Z718" s="16">
        <f>_xlfn.XLOOKUP(CustomerCombinedCleaned[[#This Row],[ID]], Table2[ID],Table2[MC2], "Not Found", 0 )</f>
        <v>0</v>
      </c>
      <c r="AA718" s="16">
        <f>_xlfn.XLOOKUP(CustomerCombinedCleaned[[#This Row],[ID]], Table2[ID],Table2[MC3], "Not Found", 0 )</f>
        <v>0</v>
      </c>
      <c r="AB718" s="16">
        <f>_xlfn.XLOOKUP(CustomerCombinedCleaned[[#This Row],[ID]], Table2[ID],Table2[MC4], "Not Found", 0 )</f>
        <v>0</v>
      </c>
      <c r="AC718" s="16">
        <f>_xlfn.XLOOKUP(CustomerCombinedCleaned[[#This Row],[ID]], Table2[ID],Table2[MC5], "Not Found", 0 )</f>
        <v>0</v>
      </c>
    </row>
    <row r="719" spans="1:29" x14ac:dyDescent="0.3">
      <c r="A719" s="18">
        <v>1733</v>
      </c>
      <c r="B719" s="16">
        <v>158330</v>
      </c>
      <c r="C719" s="16">
        <v>0</v>
      </c>
      <c r="D719" s="16">
        <v>1</v>
      </c>
      <c r="E719" s="16">
        <v>45</v>
      </c>
      <c r="F719" s="17" t="s">
        <v>9</v>
      </c>
      <c r="G719" s="17" t="s">
        <v>11</v>
      </c>
      <c r="H719" s="3" t="s">
        <v>123</v>
      </c>
      <c r="I719" s="5" t="s">
        <v>434</v>
      </c>
      <c r="J719" s="16">
        <f>_xlfn.XLOOKUP(CustomerCombinedCleaned[[#This Row],[ID]], Table4[ID], Table4[Recency], "Not Found", 0)</f>
        <v>87</v>
      </c>
      <c r="K719" s="16">
        <f>_xlfn.XLOOKUP(CustomerCombinedCleaned[[#This Row],[ID]], Table4[ID], Table4[Teas], "Not Found", 0)</f>
        <v>1208</v>
      </c>
      <c r="L719" s="16">
        <f>_xlfn.XLOOKUP(CustomerCombinedCleaned[[#This Row],[ID]], Table4[ID], Table4[Fruits], "Not Found", 0)</f>
        <v>144</v>
      </c>
      <c r="M719" s="16">
        <f>_xlfn.XLOOKUP(CustomerCombinedCleaned[[#This Row],[ID]], Table4[ID], Table4[Meats], "Not Found", 0)</f>
        <v>578</v>
      </c>
      <c r="N719" s="16">
        <f>_xlfn.XLOOKUP(CustomerCombinedCleaned[[#This Row],[ID]], Table4[ID], Table4[Seafood], "Not Found", 0)</f>
        <v>282</v>
      </c>
      <c r="O719" s="16">
        <f>_xlfn.XLOOKUP(CustomerCombinedCleaned[[#This Row],[ID]], Table4[ID], Table4[Sweets], "Not Found", 0)</f>
        <v>266</v>
      </c>
      <c r="P719" s="16">
        <f>_xlfn.XLOOKUP(CustomerCombinedCleaned[[#This Row],[ID]], Table4[ID], Table4[Premium], "Not Found", 0)</f>
        <v>410</v>
      </c>
      <c r="Q719" s="16">
        <f>_xlfn.XLOOKUP(CustomerCombinedCleaned[[#This Row],[ID]], Table4[ID], Table4[Regular], "Not Found", 0)</f>
        <v>2068</v>
      </c>
      <c r="R719" s="16">
        <f>_xlfn.XLOOKUP(CustomerCombinedCleaned[[#This Row],[ID]], Table4[ID], Table4[Deals], "Not Found", 0)</f>
        <v>1</v>
      </c>
      <c r="S719" s="16">
        <f>_xlfn.XLOOKUP(CustomerCombinedCleaned[[#This Row],[ID]], Table4[ID], Table4[Website], "Not Found", 0)</f>
        <v>6</v>
      </c>
      <c r="T719" s="16">
        <f>_xlfn.XLOOKUP(CustomerCombinedCleaned[[#This Row],[ID]], Table4[ID], Table4[Catalog], "Not Found", 0)</f>
        <v>4</v>
      </c>
      <c r="U719" s="16">
        <f>_xlfn.XLOOKUP(CustomerCombinedCleaned[[#This Row],[ID]], Table4[ID], Table4[Store], "Not Found", 0)</f>
        <v>13</v>
      </c>
      <c r="V719" s="16">
        <f>_xlfn.XLOOKUP(CustomerCombinedCleaned[[#This Row],[ID]], Table4[ID], Table4[Visits], "Not Found", 0)</f>
        <v>4</v>
      </c>
      <c r="W719" s="16">
        <f>_xlfn.XLOOKUP(CustomerCombinedCleaned[[#This Row],[ID]], Table2[ID],Table2[Complaint], "Not Found", 0 )</f>
        <v>0</v>
      </c>
      <c r="X719" s="16">
        <f>_xlfn.XLOOKUP(CustomerCombinedCleaned[[#This Row],[ID]], Table2[ID],Table2[Pilot], "Not Found", 0 )</f>
        <v>0</v>
      </c>
      <c r="Y719" s="16">
        <f>_xlfn.XLOOKUP(CustomerCombinedCleaned[[#This Row],[ID]], Table2[ID],Table2[MC1], "Not Found", 0 )</f>
        <v>0</v>
      </c>
      <c r="Z719" s="16">
        <f>_xlfn.XLOOKUP(CustomerCombinedCleaned[[#This Row],[ID]], Table2[ID],Table2[MC2], "Not Found", 0 )</f>
        <v>0</v>
      </c>
      <c r="AA719" s="16">
        <f>_xlfn.XLOOKUP(CustomerCombinedCleaned[[#This Row],[ID]], Table2[ID],Table2[MC3], "Not Found", 0 )</f>
        <v>0</v>
      </c>
      <c r="AB719" s="16">
        <f>_xlfn.XLOOKUP(CustomerCombinedCleaned[[#This Row],[ID]], Table2[ID],Table2[MC4], "Not Found", 0 )</f>
        <v>0</v>
      </c>
      <c r="AC719" s="16">
        <f>_xlfn.XLOOKUP(CustomerCombinedCleaned[[#This Row],[ID]], Table2[ID],Table2[MC5], "Not Found", 0 )</f>
        <v>0</v>
      </c>
    </row>
    <row r="720" spans="1:29" x14ac:dyDescent="0.3">
      <c r="A720" s="18">
        <v>2350</v>
      </c>
      <c r="B720" s="16">
        <v>157338</v>
      </c>
      <c r="C720" s="16">
        <v>0</v>
      </c>
      <c r="D720" s="16">
        <v>1</v>
      </c>
      <c r="E720" s="16">
        <v>45</v>
      </c>
      <c r="F720" s="17" t="s">
        <v>7</v>
      </c>
      <c r="G720" s="17" t="s">
        <v>11</v>
      </c>
      <c r="H720" s="3" t="s">
        <v>552</v>
      </c>
      <c r="I720" s="5" t="s">
        <v>439</v>
      </c>
      <c r="J720" s="16">
        <f>_xlfn.XLOOKUP(CustomerCombinedCleaned[[#This Row],[ID]], Table4[ID], Table4[Recency], "Not Found", 0)</f>
        <v>96</v>
      </c>
      <c r="K720" s="16">
        <f>_xlfn.XLOOKUP(CustomerCombinedCleaned[[#This Row],[ID]], Table4[ID], Table4[Teas], "Not Found", 0)</f>
        <v>392</v>
      </c>
      <c r="L720" s="16">
        <f>_xlfn.XLOOKUP(CustomerCombinedCleaned[[#This Row],[ID]], Table4[ID], Table4[Fruits], "Not Found", 0)</f>
        <v>16</v>
      </c>
      <c r="M720" s="16">
        <f>_xlfn.XLOOKUP(CustomerCombinedCleaned[[#This Row],[ID]], Table4[ID], Table4[Meats], "Not Found", 0)</f>
        <v>143</v>
      </c>
      <c r="N720" s="16">
        <f>_xlfn.XLOOKUP(CustomerCombinedCleaned[[#This Row],[ID]], Table4[ID], Table4[Seafood], "Not Found", 0)</f>
        <v>30</v>
      </c>
      <c r="O720" s="16">
        <f>_xlfn.XLOOKUP(CustomerCombinedCleaned[[#This Row],[ID]], Table4[ID], Table4[Sweets], "Not Found", 0)</f>
        <v>22</v>
      </c>
      <c r="P720" s="16">
        <f>_xlfn.XLOOKUP(CustomerCombinedCleaned[[#This Row],[ID]], Table4[ID], Table4[Premium], "Not Found", 0)</f>
        <v>47</v>
      </c>
      <c r="Q720" s="16">
        <f>_xlfn.XLOOKUP(CustomerCombinedCleaned[[#This Row],[ID]], Table4[ID], Table4[Regular], "Not Found", 0)</f>
        <v>557</v>
      </c>
      <c r="R720" s="16">
        <f>_xlfn.XLOOKUP(CustomerCombinedCleaned[[#This Row],[ID]], Table4[ID], Table4[Deals], "Not Found", 0)</f>
        <v>2</v>
      </c>
      <c r="S720" s="16">
        <f>_xlfn.XLOOKUP(CustomerCombinedCleaned[[#This Row],[ID]], Table4[ID], Table4[Website], "Not Found", 0)</f>
        <v>4</v>
      </c>
      <c r="T720" s="16">
        <f>_xlfn.XLOOKUP(CustomerCombinedCleaned[[#This Row],[ID]], Table4[ID], Table4[Catalog], "Not Found", 0)</f>
        <v>1</v>
      </c>
      <c r="U720" s="16">
        <f>_xlfn.XLOOKUP(CustomerCombinedCleaned[[#This Row],[ID]], Table4[ID], Table4[Store], "Not Found", 0)</f>
        <v>5</v>
      </c>
      <c r="V720" s="16">
        <f>_xlfn.XLOOKUP(CustomerCombinedCleaned[[#This Row],[ID]], Table4[ID], Table4[Visits], "Not Found", 0)</f>
        <v>5</v>
      </c>
      <c r="W720" s="16">
        <f>_xlfn.XLOOKUP(CustomerCombinedCleaned[[#This Row],[ID]], Table2[ID],Table2[Complaint], "Not Found", 0 )</f>
        <v>0</v>
      </c>
      <c r="X720" s="16">
        <f>_xlfn.XLOOKUP(CustomerCombinedCleaned[[#This Row],[ID]], Table2[ID],Table2[Pilot], "Not Found", 0 )</f>
        <v>0</v>
      </c>
      <c r="Y720" s="16">
        <f>_xlfn.XLOOKUP(CustomerCombinedCleaned[[#This Row],[ID]], Table2[ID],Table2[MC1], "Not Found", 0 )</f>
        <v>0</v>
      </c>
      <c r="Z720" s="16">
        <f>_xlfn.XLOOKUP(CustomerCombinedCleaned[[#This Row],[ID]], Table2[ID],Table2[MC2], "Not Found", 0 )</f>
        <v>0</v>
      </c>
      <c r="AA720" s="16">
        <f>_xlfn.XLOOKUP(CustomerCombinedCleaned[[#This Row],[ID]], Table2[ID],Table2[MC3], "Not Found", 0 )</f>
        <v>0</v>
      </c>
      <c r="AB720" s="16">
        <f>_xlfn.XLOOKUP(CustomerCombinedCleaned[[#This Row],[ID]], Table2[ID],Table2[MC4], "Not Found", 0 )</f>
        <v>0</v>
      </c>
      <c r="AC720" s="16">
        <f>_xlfn.XLOOKUP(CustomerCombinedCleaned[[#This Row],[ID]], Table2[ID],Table2[MC5], "Not Found", 0 )</f>
        <v>0</v>
      </c>
    </row>
    <row r="721" spans="1:29" x14ac:dyDescent="0.3">
      <c r="A721" s="18">
        <v>2506</v>
      </c>
      <c r="B721" s="16">
        <v>157036</v>
      </c>
      <c r="C721" s="16">
        <v>0</v>
      </c>
      <c r="D721" s="16">
        <v>1</v>
      </c>
      <c r="E721" s="16">
        <v>45</v>
      </c>
      <c r="F721" s="17" t="s">
        <v>6</v>
      </c>
      <c r="G721" s="17" t="s">
        <v>11</v>
      </c>
      <c r="H721" s="3" t="s">
        <v>347</v>
      </c>
      <c r="I721" s="5" t="s">
        <v>439</v>
      </c>
      <c r="J721" s="16">
        <f>_xlfn.XLOOKUP(CustomerCombinedCleaned[[#This Row],[ID]], Table4[ID], Table4[Recency], "Not Found", 0)</f>
        <v>33</v>
      </c>
      <c r="K721" s="16">
        <f>_xlfn.XLOOKUP(CustomerCombinedCleaned[[#This Row],[ID]], Table4[ID], Table4[Teas], "Not Found", 0)</f>
        <v>3224</v>
      </c>
      <c r="L721" s="16">
        <f>_xlfn.XLOOKUP(CustomerCombinedCleaned[[#This Row],[ID]], Table4[ID], Table4[Fruits], "Not Found", 0)</f>
        <v>118</v>
      </c>
      <c r="M721" s="16">
        <f>_xlfn.XLOOKUP(CustomerCombinedCleaned[[#This Row],[ID]], Table4[ID], Table4[Meats], "Not Found", 0)</f>
        <v>603</v>
      </c>
      <c r="N721" s="16">
        <f>_xlfn.XLOOKUP(CustomerCombinedCleaned[[#This Row],[ID]], Table4[ID], Table4[Seafood], "Not Found", 0)</f>
        <v>52</v>
      </c>
      <c r="O721" s="16">
        <f>_xlfn.XLOOKUP(CustomerCombinedCleaned[[#This Row],[ID]], Table4[ID], Table4[Sweets], "Not Found", 0)</f>
        <v>39</v>
      </c>
      <c r="P721" s="16">
        <f>_xlfn.XLOOKUP(CustomerCombinedCleaned[[#This Row],[ID]], Table4[ID], Table4[Premium], "Not Found", 0)</f>
        <v>129</v>
      </c>
      <c r="Q721" s="16">
        <f>_xlfn.XLOOKUP(CustomerCombinedCleaned[[#This Row],[ID]], Table4[ID], Table4[Regular], "Not Found", 0)</f>
        <v>3907</v>
      </c>
      <c r="R721" s="16">
        <f>_xlfn.XLOOKUP(CustomerCombinedCleaned[[#This Row],[ID]], Table4[ID], Table4[Deals], "Not Found", 0)</f>
        <v>4</v>
      </c>
      <c r="S721" s="16">
        <f>_xlfn.XLOOKUP(CustomerCombinedCleaned[[#This Row],[ID]], Table4[ID], Table4[Website], "Not Found", 0)</f>
        <v>6</v>
      </c>
      <c r="T721" s="16">
        <f>_xlfn.XLOOKUP(CustomerCombinedCleaned[[#This Row],[ID]], Table4[ID], Table4[Catalog], "Not Found", 0)</f>
        <v>3</v>
      </c>
      <c r="U721" s="16">
        <f>_xlfn.XLOOKUP(CustomerCombinedCleaned[[#This Row],[ID]], Table4[ID], Table4[Store], "Not Found", 0)</f>
        <v>13</v>
      </c>
      <c r="V721" s="16">
        <f>_xlfn.XLOOKUP(CustomerCombinedCleaned[[#This Row],[ID]], Table4[ID], Table4[Visits], "Not Found", 0)</f>
        <v>9</v>
      </c>
      <c r="W721" s="16">
        <f>_xlfn.XLOOKUP(CustomerCombinedCleaned[[#This Row],[ID]], Table2[ID],Table2[Complaint], "Not Found", 0 )</f>
        <v>0</v>
      </c>
      <c r="X721" s="16">
        <f>_xlfn.XLOOKUP(CustomerCombinedCleaned[[#This Row],[ID]], Table2[ID],Table2[Pilot], "Not Found", 0 )</f>
        <v>0</v>
      </c>
      <c r="Y721" s="16">
        <f>_xlfn.XLOOKUP(CustomerCombinedCleaned[[#This Row],[ID]], Table2[ID],Table2[MC1], "Not Found", 0 )</f>
        <v>0</v>
      </c>
      <c r="Z721" s="16">
        <f>_xlfn.XLOOKUP(CustomerCombinedCleaned[[#This Row],[ID]], Table2[ID],Table2[MC2], "Not Found", 0 )</f>
        <v>0</v>
      </c>
      <c r="AA721" s="16">
        <f>_xlfn.XLOOKUP(CustomerCombinedCleaned[[#This Row],[ID]], Table2[ID],Table2[MC3], "Not Found", 0 )</f>
        <v>1</v>
      </c>
      <c r="AB721" s="16">
        <f>_xlfn.XLOOKUP(CustomerCombinedCleaned[[#This Row],[ID]], Table2[ID],Table2[MC4], "Not Found", 0 )</f>
        <v>0</v>
      </c>
      <c r="AC721" s="16">
        <f>_xlfn.XLOOKUP(CustomerCombinedCleaned[[#This Row],[ID]], Table2[ID],Table2[MC5], "Not Found", 0 )</f>
        <v>0</v>
      </c>
    </row>
    <row r="722" spans="1:29" x14ac:dyDescent="0.3">
      <c r="A722" s="18">
        <v>2972</v>
      </c>
      <c r="B722" s="16">
        <v>156559</v>
      </c>
      <c r="C722" s="16">
        <v>0</v>
      </c>
      <c r="D722" s="16">
        <v>1</v>
      </c>
      <c r="E722" s="16">
        <v>45</v>
      </c>
      <c r="F722" s="17" t="s">
        <v>8</v>
      </c>
      <c r="G722" s="17" t="s">
        <v>13</v>
      </c>
      <c r="H722" s="3" t="s">
        <v>729</v>
      </c>
      <c r="I722" s="5" t="s">
        <v>438</v>
      </c>
      <c r="J722" s="16">
        <f>_xlfn.XLOOKUP(CustomerCombinedCleaned[[#This Row],[ID]], Table4[ID], Table4[Recency], "Not Found", 0)</f>
        <v>46</v>
      </c>
      <c r="K722" s="16">
        <f>_xlfn.XLOOKUP(CustomerCombinedCleaned[[#This Row],[ID]], Table4[ID], Table4[Teas], "Not Found", 0)</f>
        <v>626</v>
      </c>
      <c r="L722" s="16">
        <f>_xlfn.XLOOKUP(CustomerCombinedCleaned[[#This Row],[ID]], Table4[ID], Table4[Fruits], "Not Found", 0)</f>
        <v>61</v>
      </c>
      <c r="M722" s="16">
        <f>_xlfn.XLOOKUP(CustomerCombinedCleaned[[#This Row],[ID]], Table4[ID], Table4[Meats], "Not Found", 0)</f>
        <v>368</v>
      </c>
      <c r="N722" s="16">
        <f>_xlfn.XLOOKUP(CustomerCombinedCleaned[[#This Row],[ID]], Table4[ID], Table4[Seafood], "Not Found", 0)</f>
        <v>113</v>
      </c>
      <c r="O722" s="16">
        <f>_xlfn.XLOOKUP(CustomerCombinedCleaned[[#This Row],[ID]], Table4[ID], Table4[Sweets], "Not Found", 0)</f>
        <v>86</v>
      </c>
      <c r="P722" s="16">
        <f>_xlfn.XLOOKUP(CustomerCombinedCleaned[[#This Row],[ID]], Table4[ID], Table4[Premium], "Not Found", 0)</f>
        <v>86</v>
      </c>
      <c r="Q722" s="16">
        <f>_xlfn.XLOOKUP(CustomerCombinedCleaned[[#This Row],[ID]], Table4[ID], Table4[Regular], "Not Found", 0)</f>
        <v>1168</v>
      </c>
      <c r="R722" s="16">
        <f>_xlfn.XLOOKUP(CustomerCombinedCleaned[[#This Row],[ID]], Table4[ID], Table4[Deals], "Not Found", 0)</f>
        <v>3</v>
      </c>
      <c r="S722" s="16">
        <f>_xlfn.XLOOKUP(CustomerCombinedCleaned[[#This Row],[ID]], Table4[ID], Table4[Website], "Not Found", 0)</f>
        <v>4</v>
      </c>
      <c r="T722" s="16">
        <f>_xlfn.XLOOKUP(CustomerCombinedCleaned[[#This Row],[ID]], Table4[ID], Table4[Catalog], "Not Found", 0)</f>
        <v>3</v>
      </c>
      <c r="U722" s="16">
        <f>_xlfn.XLOOKUP(CustomerCombinedCleaned[[#This Row],[ID]], Table4[ID], Table4[Store], "Not Found", 0)</f>
        <v>8</v>
      </c>
      <c r="V722" s="16">
        <f>_xlfn.XLOOKUP(CustomerCombinedCleaned[[#This Row],[ID]], Table4[ID], Table4[Visits], "Not Found", 0)</f>
        <v>4</v>
      </c>
      <c r="W722" s="16">
        <f>_xlfn.XLOOKUP(CustomerCombinedCleaned[[#This Row],[ID]], Table2[ID],Table2[Complaint], "Not Found", 0 )</f>
        <v>0</v>
      </c>
      <c r="X722" s="16">
        <f>_xlfn.XLOOKUP(CustomerCombinedCleaned[[#This Row],[ID]], Table2[ID],Table2[Pilot], "Not Found", 0 )</f>
        <v>0</v>
      </c>
      <c r="Y722" s="16">
        <f>_xlfn.XLOOKUP(CustomerCombinedCleaned[[#This Row],[ID]], Table2[ID],Table2[MC1], "Not Found", 0 )</f>
        <v>0</v>
      </c>
      <c r="Z722" s="16">
        <f>_xlfn.XLOOKUP(CustomerCombinedCleaned[[#This Row],[ID]], Table2[ID],Table2[MC2], "Not Found", 0 )</f>
        <v>0</v>
      </c>
      <c r="AA722" s="16">
        <f>_xlfn.XLOOKUP(CustomerCombinedCleaned[[#This Row],[ID]], Table2[ID],Table2[MC3], "Not Found", 0 )</f>
        <v>0</v>
      </c>
      <c r="AB722" s="16">
        <f>_xlfn.XLOOKUP(CustomerCombinedCleaned[[#This Row],[ID]], Table2[ID],Table2[MC4], "Not Found", 0 )</f>
        <v>0</v>
      </c>
      <c r="AC722" s="16">
        <f>_xlfn.XLOOKUP(CustomerCombinedCleaned[[#This Row],[ID]], Table2[ID],Table2[MC5], "Not Found", 0 )</f>
        <v>0</v>
      </c>
    </row>
    <row r="723" spans="1:29" x14ac:dyDescent="0.3">
      <c r="A723" s="18">
        <v>2356</v>
      </c>
      <c r="B723" s="16">
        <v>156243</v>
      </c>
      <c r="C723" s="16">
        <v>1</v>
      </c>
      <c r="D723" s="16">
        <v>2</v>
      </c>
      <c r="E723" s="16">
        <v>45</v>
      </c>
      <c r="F723" s="17" t="s">
        <v>7</v>
      </c>
      <c r="G723" s="17" t="s">
        <v>11</v>
      </c>
      <c r="H723" s="3" t="s">
        <v>644</v>
      </c>
      <c r="I723" s="5" t="s">
        <v>439</v>
      </c>
      <c r="J723" s="16">
        <f>_xlfn.XLOOKUP(CustomerCombinedCleaned[[#This Row],[ID]], Table4[ID], Table4[Recency], "Not Found", 0)</f>
        <v>26</v>
      </c>
      <c r="K723" s="16">
        <f>_xlfn.XLOOKUP(CustomerCombinedCleaned[[#This Row],[ID]], Table4[ID], Table4[Teas], "Not Found", 0)</f>
        <v>964</v>
      </c>
      <c r="L723" s="16">
        <f>_xlfn.XLOOKUP(CustomerCombinedCleaned[[#This Row],[ID]], Table4[ID], Table4[Fruits], "Not Found", 0)</f>
        <v>0</v>
      </c>
      <c r="M723" s="16">
        <f>_xlfn.XLOOKUP(CustomerCombinedCleaned[[#This Row],[ID]], Table4[ID], Table4[Meats], "Not Found", 0)</f>
        <v>97</v>
      </c>
      <c r="N723" s="16">
        <f>_xlfn.XLOOKUP(CustomerCombinedCleaned[[#This Row],[ID]], Table4[ID], Table4[Seafood], "Not Found", 0)</f>
        <v>11</v>
      </c>
      <c r="O723" s="16">
        <f>_xlfn.XLOOKUP(CustomerCombinedCleaned[[#This Row],[ID]], Table4[ID], Table4[Sweets], "Not Found", 0)</f>
        <v>8</v>
      </c>
      <c r="P723" s="16">
        <f>_xlfn.XLOOKUP(CustomerCombinedCleaned[[#This Row],[ID]], Table4[ID], Table4[Premium], "Not Found", 0)</f>
        <v>19</v>
      </c>
      <c r="Q723" s="16">
        <f>_xlfn.XLOOKUP(CustomerCombinedCleaned[[#This Row],[ID]], Table4[ID], Table4[Regular], "Not Found", 0)</f>
        <v>1061</v>
      </c>
      <c r="R723" s="16">
        <f>_xlfn.XLOOKUP(CustomerCombinedCleaned[[#This Row],[ID]], Table4[ID], Table4[Deals], "Not Found", 0)</f>
        <v>6</v>
      </c>
      <c r="S723" s="16">
        <f>_xlfn.XLOOKUP(CustomerCombinedCleaned[[#This Row],[ID]], Table4[ID], Table4[Website], "Not Found", 0)</f>
        <v>4</v>
      </c>
      <c r="T723" s="16">
        <f>_xlfn.XLOOKUP(CustomerCombinedCleaned[[#This Row],[ID]], Table4[ID], Table4[Catalog], "Not Found", 0)</f>
        <v>2</v>
      </c>
      <c r="U723" s="16">
        <f>_xlfn.XLOOKUP(CustomerCombinedCleaned[[#This Row],[ID]], Table4[ID], Table4[Store], "Not Found", 0)</f>
        <v>8</v>
      </c>
      <c r="V723" s="16">
        <f>_xlfn.XLOOKUP(CustomerCombinedCleaned[[#This Row],[ID]], Table4[ID], Table4[Visits], "Not Found", 0)</f>
        <v>5</v>
      </c>
      <c r="W723" s="16">
        <f>_xlfn.XLOOKUP(CustomerCombinedCleaned[[#This Row],[ID]], Table2[ID],Table2[Complaint], "Not Found", 0 )</f>
        <v>0</v>
      </c>
      <c r="X723" s="16">
        <f>_xlfn.XLOOKUP(CustomerCombinedCleaned[[#This Row],[ID]], Table2[ID],Table2[Pilot], "Not Found", 0 )</f>
        <v>0</v>
      </c>
      <c r="Y723" s="16">
        <f>_xlfn.XLOOKUP(CustomerCombinedCleaned[[#This Row],[ID]], Table2[ID],Table2[MC1], "Not Found", 0 )</f>
        <v>0</v>
      </c>
      <c r="Z723" s="16">
        <f>_xlfn.XLOOKUP(CustomerCombinedCleaned[[#This Row],[ID]], Table2[ID],Table2[MC2], "Not Found", 0 )</f>
        <v>0</v>
      </c>
      <c r="AA723" s="16">
        <f>_xlfn.XLOOKUP(CustomerCombinedCleaned[[#This Row],[ID]], Table2[ID],Table2[MC3], "Not Found", 0 )</f>
        <v>0</v>
      </c>
      <c r="AB723" s="16">
        <f>_xlfn.XLOOKUP(CustomerCombinedCleaned[[#This Row],[ID]], Table2[ID],Table2[MC4], "Not Found", 0 )</f>
        <v>0</v>
      </c>
      <c r="AC723" s="16">
        <f>_xlfn.XLOOKUP(CustomerCombinedCleaned[[#This Row],[ID]], Table2[ID],Table2[MC5], "Not Found", 0 )</f>
        <v>0</v>
      </c>
    </row>
    <row r="724" spans="1:29" x14ac:dyDescent="0.3">
      <c r="A724" s="18">
        <v>3008</v>
      </c>
      <c r="B724" s="16">
        <v>155914</v>
      </c>
      <c r="C724" s="16">
        <v>0</v>
      </c>
      <c r="D724" s="16">
        <v>1</v>
      </c>
      <c r="E724" s="16">
        <v>45</v>
      </c>
      <c r="F724" s="17" t="s">
        <v>8</v>
      </c>
      <c r="G724" s="17" t="s">
        <v>11</v>
      </c>
      <c r="H724" s="3" t="s">
        <v>605</v>
      </c>
      <c r="I724" s="5" t="s">
        <v>438</v>
      </c>
      <c r="J724" s="16">
        <f>_xlfn.XLOOKUP(CustomerCombinedCleaned[[#This Row],[ID]], Table4[ID], Table4[Recency], "Not Found", 0)</f>
        <v>32</v>
      </c>
      <c r="K724" s="16">
        <f>_xlfn.XLOOKUP(CustomerCombinedCleaned[[#This Row],[ID]], Table4[ID], Table4[Teas], "Not Found", 0)</f>
        <v>1071</v>
      </c>
      <c r="L724" s="16">
        <f>_xlfn.XLOOKUP(CustomerCombinedCleaned[[#This Row],[ID]], Table4[ID], Table4[Fruits], "Not Found", 0)</f>
        <v>167</v>
      </c>
      <c r="M724" s="16">
        <f>_xlfn.XLOOKUP(CustomerCombinedCleaned[[#This Row],[ID]], Table4[ID], Table4[Meats], "Not Found", 0)</f>
        <v>1015</v>
      </c>
      <c r="N724" s="16">
        <f>_xlfn.XLOOKUP(CustomerCombinedCleaned[[#This Row],[ID]], Table4[ID], Table4[Seafood], "Not Found", 0)</f>
        <v>332</v>
      </c>
      <c r="O724" s="16">
        <f>_xlfn.XLOOKUP(CustomerCombinedCleaned[[#This Row],[ID]], Table4[ID], Table4[Sweets], "Not Found", 0)</f>
        <v>282</v>
      </c>
      <c r="P724" s="16">
        <f>_xlfn.XLOOKUP(CustomerCombinedCleaned[[#This Row],[ID]], Table4[ID], Table4[Premium], "Not Found", 0)</f>
        <v>647</v>
      </c>
      <c r="Q724" s="16">
        <f>_xlfn.XLOOKUP(CustomerCombinedCleaned[[#This Row],[ID]], Table4[ID], Table4[Regular], "Not Found", 0)</f>
        <v>2220</v>
      </c>
      <c r="R724" s="16">
        <f>_xlfn.XLOOKUP(CustomerCombinedCleaned[[#This Row],[ID]], Table4[ID], Table4[Deals], "Not Found", 0)</f>
        <v>4</v>
      </c>
      <c r="S724" s="16">
        <f>_xlfn.XLOOKUP(CustomerCombinedCleaned[[#This Row],[ID]], Table4[ID], Table4[Website], "Not Found", 0)</f>
        <v>11</v>
      </c>
      <c r="T724" s="16">
        <f>_xlfn.XLOOKUP(CustomerCombinedCleaned[[#This Row],[ID]], Table4[ID], Table4[Catalog], "Not Found", 0)</f>
        <v>6</v>
      </c>
      <c r="U724" s="16">
        <f>_xlfn.XLOOKUP(CustomerCombinedCleaned[[#This Row],[ID]], Table4[ID], Table4[Store], "Not Found", 0)</f>
        <v>8</v>
      </c>
      <c r="V724" s="16">
        <f>_xlfn.XLOOKUP(CustomerCombinedCleaned[[#This Row],[ID]], Table4[ID], Table4[Visits], "Not Found", 0)</f>
        <v>7</v>
      </c>
      <c r="W724" s="16">
        <f>_xlfn.XLOOKUP(CustomerCombinedCleaned[[#This Row],[ID]], Table2[ID],Table2[Complaint], "Not Found", 0 )</f>
        <v>0</v>
      </c>
      <c r="X724" s="16">
        <f>_xlfn.XLOOKUP(CustomerCombinedCleaned[[#This Row],[ID]], Table2[ID],Table2[Pilot], "Not Found", 0 )</f>
        <v>0</v>
      </c>
      <c r="Y724" s="16">
        <f>_xlfn.XLOOKUP(CustomerCombinedCleaned[[#This Row],[ID]], Table2[ID],Table2[MC1], "Not Found", 0 )</f>
        <v>0</v>
      </c>
      <c r="Z724" s="16">
        <f>_xlfn.XLOOKUP(CustomerCombinedCleaned[[#This Row],[ID]], Table2[ID],Table2[MC2], "Not Found", 0 )</f>
        <v>0</v>
      </c>
      <c r="AA724" s="16">
        <f>_xlfn.XLOOKUP(CustomerCombinedCleaned[[#This Row],[ID]], Table2[ID],Table2[MC3], "Not Found", 0 )</f>
        <v>0</v>
      </c>
      <c r="AB724" s="16">
        <f>_xlfn.XLOOKUP(CustomerCombinedCleaned[[#This Row],[ID]], Table2[ID],Table2[MC4], "Not Found", 0 )</f>
        <v>0</v>
      </c>
      <c r="AC724" s="16">
        <f>_xlfn.XLOOKUP(CustomerCombinedCleaned[[#This Row],[ID]], Table2[ID],Table2[MC5], "Not Found", 0 )</f>
        <v>0</v>
      </c>
    </row>
    <row r="725" spans="1:29" x14ac:dyDescent="0.3">
      <c r="A725" s="18">
        <v>3026</v>
      </c>
      <c r="B725" s="16">
        <v>155801</v>
      </c>
      <c r="C725" s="16">
        <v>1</v>
      </c>
      <c r="D725" s="16">
        <v>1</v>
      </c>
      <c r="E725" s="16">
        <v>45</v>
      </c>
      <c r="F725" s="17" t="s">
        <v>7</v>
      </c>
      <c r="G725" s="17" t="s">
        <v>11</v>
      </c>
      <c r="H725" s="3" t="s">
        <v>177</v>
      </c>
      <c r="I725" s="5" t="s">
        <v>438</v>
      </c>
      <c r="J725" s="16">
        <f>_xlfn.XLOOKUP(CustomerCombinedCleaned[[#This Row],[ID]], Table4[ID], Table4[Recency], "Not Found", 0)</f>
        <v>35</v>
      </c>
      <c r="K725" s="16">
        <f>_xlfn.XLOOKUP(CustomerCombinedCleaned[[#This Row],[ID]], Table4[ID], Table4[Teas], "Not Found", 0)</f>
        <v>1025</v>
      </c>
      <c r="L725" s="16">
        <f>_xlfn.XLOOKUP(CustomerCombinedCleaned[[#This Row],[ID]], Table4[ID], Table4[Fruits], "Not Found", 0)</f>
        <v>11</v>
      </c>
      <c r="M725" s="16">
        <f>_xlfn.XLOOKUP(CustomerCombinedCleaned[[#This Row],[ID]], Table4[ID], Table4[Meats], "Not Found", 0)</f>
        <v>142</v>
      </c>
      <c r="N725" s="16">
        <f>_xlfn.XLOOKUP(CustomerCombinedCleaned[[#This Row],[ID]], Table4[ID], Table4[Seafood], "Not Found", 0)</f>
        <v>17</v>
      </c>
      <c r="O725" s="16">
        <f>_xlfn.XLOOKUP(CustomerCombinedCleaned[[#This Row],[ID]], Table4[ID], Table4[Sweets], "Not Found", 0)</f>
        <v>11</v>
      </c>
      <c r="P725" s="16">
        <f>_xlfn.XLOOKUP(CustomerCombinedCleaned[[#This Row],[ID]], Table4[ID], Table4[Premium], "Not Found", 0)</f>
        <v>265</v>
      </c>
      <c r="Q725" s="16">
        <f>_xlfn.XLOOKUP(CustomerCombinedCleaned[[#This Row],[ID]], Table4[ID], Table4[Regular], "Not Found", 0)</f>
        <v>941</v>
      </c>
      <c r="R725" s="16">
        <f>_xlfn.XLOOKUP(CustomerCombinedCleaned[[#This Row],[ID]], Table4[ID], Table4[Deals], "Not Found", 0)</f>
        <v>6</v>
      </c>
      <c r="S725" s="16">
        <f>_xlfn.XLOOKUP(CustomerCombinedCleaned[[#This Row],[ID]], Table4[ID], Table4[Website], "Not Found", 0)</f>
        <v>7</v>
      </c>
      <c r="T725" s="16">
        <f>_xlfn.XLOOKUP(CustomerCombinedCleaned[[#This Row],[ID]], Table4[ID], Table4[Catalog], "Not Found", 0)</f>
        <v>2</v>
      </c>
      <c r="U725" s="16">
        <f>_xlfn.XLOOKUP(CustomerCombinedCleaned[[#This Row],[ID]], Table4[ID], Table4[Store], "Not Found", 0)</f>
        <v>6</v>
      </c>
      <c r="V725" s="16">
        <f>_xlfn.XLOOKUP(CustomerCombinedCleaned[[#This Row],[ID]], Table4[ID], Table4[Visits], "Not Found", 0)</f>
        <v>7</v>
      </c>
      <c r="W725" s="16">
        <f>_xlfn.XLOOKUP(CustomerCombinedCleaned[[#This Row],[ID]], Table2[ID],Table2[Complaint], "Not Found", 0 )</f>
        <v>0</v>
      </c>
      <c r="X725" s="16">
        <f>_xlfn.XLOOKUP(CustomerCombinedCleaned[[#This Row],[ID]], Table2[ID],Table2[Pilot], "Not Found", 0 )</f>
        <v>0</v>
      </c>
      <c r="Y725" s="16">
        <f>_xlfn.XLOOKUP(CustomerCombinedCleaned[[#This Row],[ID]], Table2[ID],Table2[MC1], "Not Found", 0 )</f>
        <v>1</v>
      </c>
      <c r="Z725" s="16">
        <f>_xlfn.XLOOKUP(CustomerCombinedCleaned[[#This Row],[ID]], Table2[ID],Table2[MC2], "Not Found", 0 )</f>
        <v>0</v>
      </c>
      <c r="AA725" s="16">
        <f>_xlfn.XLOOKUP(CustomerCombinedCleaned[[#This Row],[ID]], Table2[ID],Table2[MC3], "Not Found", 0 )</f>
        <v>0</v>
      </c>
      <c r="AB725" s="16">
        <f>_xlfn.XLOOKUP(CustomerCombinedCleaned[[#This Row],[ID]], Table2[ID],Table2[MC4], "Not Found", 0 )</f>
        <v>0</v>
      </c>
      <c r="AC725" s="16">
        <f>_xlfn.XLOOKUP(CustomerCombinedCleaned[[#This Row],[ID]], Table2[ID],Table2[MC5], "Not Found", 0 )</f>
        <v>0</v>
      </c>
    </row>
    <row r="726" spans="1:29" x14ac:dyDescent="0.3">
      <c r="A726" s="18">
        <v>2209</v>
      </c>
      <c r="B726" s="16">
        <v>154730</v>
      </c>
      <c r="C726" s="16">
        <v>0</v>
      </c>
      <c r="D726" s="16">
        <v>1</v>
      </c>
      <c r="E726" s="16">
        <v>45</v>
      </c>
      <c r="F726" s="17" t="s">
        <v>6</v>
      </c>
      <c r="G726" s="17" t="s">
        <v>12</v>
      </c>
      <c r="H726" s="3" t="s">
        <v>202</v>
      </c>
      <c r="I726" s="5" t="s">
        <v>437</v>
      </c>
      <c r="J726" s="16">
        <f>_xlfn.XLOOKUP(CustomerCombinedCleaned[[#This Row],[ID]], Table4[ID], Table4[Recency], "Not Found", 0)</f>
        <v>64</v>
      </c>
      <c r="K726" s="16">
        <f>_xlfn.XLOOKUP(CustomerCombinedCleaned[[#This Row],[ID]], Table4[ID], Table4[Teas], "Not Found", 0)</f>
        <v>899</v>
      </c>
      <c r="L726" s="16">
        <f>_xlfn.XLOOKUP(CustomerCombinedCleaned[[#This Row],[ID]], Table4[ID], Table4[Fruits], "Not Found", 0)</f>
        <v>8</v>
      </c>
      <c r="M726" s="16">
        <f>_xlfn.XLOOKUP(CustomerCombinedCleaned[[#This Row],[ID]], Table4[ID], Table4[Meats], "Not Found", 0)</f>
        <v>48</v>
      </c>
      <c r="N726" s="16">
        <f>_xlfn.XLOOKUP(CustomerCombinedCleaned[[#This Row],[ID]], Table4[ID], Table4[Seafood], "Not Found", 0)</f>
        <v>11</v>
      </c>
      <c r="O726" s="16">
        <f>_xlfn.XLOOKUP(CustomerCombinedCleaned[[#This Row],[ID]], Table4[ID], Table4[Sweets], "Not Found", 0)</f>
        <v>20</v>
      </c>
      <c r="P726" s="16">
        <f>_xlfn.XLOOKUP(CustomerCombinedCleaned[[#This Row],[ID]], Table4[ID], Table4[Premium], "Not Found", 0)</f>
        <v>158</v>
      </c>
      <c r="Q726" s="16">
        <f>_xlfn.XLOOKUP(CustomerCombinedCleaned[[#This Row],[ID]], Table4[ID], Table4[Regular], "Not Found", 0)</f>
        <v>828</v>
      </c>
      <c r="R726" s="16">
        <f>_xlfn.XLOOKUP(CustomerCombinedCleaned[[#This Row],[ID]], Table4[ID], Table4[Deals], "Not Found", 0)</f>
        <v>5</v>
      </c>
      <c r="S726" s="16">
        <f>_xlfn.XLOOKUP(CustomerCombinedCleaned[[#This Row],[ID]], Table4[ID], Table4[Website], "Not Found", 0)</f>
        <v>4</v>
      </c>
      <c r="T726" s="16">
        <f>_xlfn.XLOOKUP(CustomerCombinedCleaned[[#This Row],[ID]], Table4[ID], Table4[Catalog], "Not Found", 0)</f>
        <v>1</v>
      </c>
      <c r="U726" s="16">
        <f>_xlfn.XLOOKUP(CustomerCombinedCleaned[[#This Row],[ID]], Table4[ID], Table4[Store], "Not Found", 0)</f>
        <v>8</v>
      </c>
      <c r="V726" s="16">
        <f>_xlfn.XLOOKUP(CustomerCombinedCleaned[[#This Row],[ID]], Table4[ID], Table4[Visits], "Not Found", 0)</f>
        <v>4</v>
      </c>
      <c r="W726" s="16">
        <f>_xlfn.XLOOKUP(CustomerCombinedCleaned[[#This Row],[ID]], Table2[ID],Table2[Complaint], "Not Found", 0 )</f>
        <v>0</v>
      </c>
      <c r="X726" s="16">
        <f>_xlfn.XLOOKUP(CustomerCombinedCleaned[[#This Row],[ID]], Table2[ID],Table2[Pilot], "Not Found", 0 )</f>
        <v>0</v>
      </c>
      <c r="Y726" s="16">
        <f>_xlfn.XLOOKUP(CustomerCombinedCleaned[[#This Row],[ID]], Table2[ID],Table2[MC1], "Not Found", 0 )</f>
        <v>0</v>
      </c>
      <c r="Z726" s="16">
        <f>_xlfn.XLOOKUP(CustomerCombinedCleaned[[#This Row],[ID]], Table2[ID],Table2[MC2], "Not Found", 0 )</f>
        <v>0</v>
      </c>
      <c r="AA726" s="16">
        <f>_xlfn.XLOOKUP(CustomerCombinedCleaned[[#This Row],[ID]], Table2[ID],Table2[MC3], "Not Found", 0 )</f>
        <v>0</v>
      </c>
      <c r="AB726" s="16">
        <f>_xlfn.XLOOKUP(CustomerCombinedCleaned[[#This Row],[ID]], Table2[ID],Table2[MC4], "Not Found", 0 )</f>
        <v>0</v>
      </c>
      <c r="AC726" s="16">
        <f>_xlfn.XLOOKUP(CustomerCombinedCleaned[[#This Row],[ID]], Table2[ID],Table2[MC5], "Not Found", 0 )</f>
        <v>0</v>
      </c>
    </row>
    <row r="727" spans="1:29" x14ac:dyDescent="0.3">
      <c r="A727" s="18">
        <v>2476</v>
      </c>
      <c r="B727" s="16">
        <v>153253</v>
      </c>
      <c r="C727" s="16">
        <v>1</v>
      </c>
      <c r="D727" s="16">
        <v>1</v>
      </c>
      <c r="E727" s="16">
        <v>45</v>
      </c>
      <c r="F727" s="17" t="s">
        <v>8</v>
      </c>
      <c r="G727" s="17" t="s">
        <v>12</v>
      </c>
      <c r="H727" s="3" t="s">
        <v>312</v>
      </c>
      <c r="I727" s="5" t="s">
        <v>439</v>
      </c>
      <c r="J727" s="16">
        <f>_xlfn.XLOOKUP(CustomerCombinedCleaned[[#This Row],[ID]], Table4[ID], Table4[Recency], "Not Found", 0)</f>
        <v>61</v>
      </c>
      <c r="K727" s="16">
        <f>_xlfn.XLOOKUP(CustomerCombinedCleaned[[#This Row],[ID]], Table4[ID], Table4[Teas], "Not Found", 0)</f>
        <v>622</v>
      </c>
      <c r="L727" s="16">
        <f>_xlfn.XLOOKUP(CustomerCombinedCleaned[[#This Row],[ID]], Table4[ID], Table4[Fruits], "Not Found", 0)</f>
        <v>26</v>
      </c>
      <c r="M727" s="16">
        <f>_xlfn.XLOOKUP(CustomerCombinedCleaned[[#This Row],[ID]], Table4[ID], Table4[Meats], "Not Found", 0)</f>
        <v>164</v>
      </c>
      <c r="N727" s="16">
        <f>_xlfn.XLOOKUP(CustomerCombinedCleaned[[#This Row],[ID]], Table4[ID], Table4[Seafood], "Not Found", 0)</f>
        <v>58</v>
      </c>
      <c r="O727" s="16">
        <f>_xlfn.XLOOKUP(CustomerCombinedCleaned[[#This Row],[ID]], Table4[ID], Table4[Sweets], "Not Found", 0)</f>
        <v>26</v>
      </c>
      <c r="P727" s="16">
        <f>_xlfn.XLOOKUP(CustomerCombinedCleaned[[#This Row],[ID]], Table4[ID], Table4[Premium], "Not Found", 0)</f>
        <v>360</v>
      </c>
      <c r="Q727" s="16">
        <f>_xlfn.XLOOKUP(CustomerCombinedCleaned[[#This Row],[ID]], Table4[ID], Table4[Regular], "Not Found", 0)</f>
        <v>535</v>
      </c>
      <c r="R727" s="16">
        <f>_xlfn.XLOOKUP(CustomerCombinedCleaned[[#This Row],[ID]], Table4[ID], Table4[Deals], "Not Found", 0)</f>
        <v>7</v>
      </c>
      <c r="S727" s="16">
        <f>_xlfn.XLOOKUP(CustomerCombinedCleaned[[#This Row],[ID]], Table4[ID], Table4[Website], "Not Found", 0)</f>
        <v>4</v>
      </c>
      <c r="T727" s="16">
        <f>_xlfn.XLOOKUP(CustomerCombinedCleaned[[#This Row],[ID]], Table4[ID], Table4[Catalog], "Not Found", 0)</f>
        <v>3</v>
      </c>
      <c r="U727" s="16">
        <f>_xlfn.XLOOKUP(CustomerCombinedCleaned[[#This Row],[ID]], Table4[ID], Table4[Store], "Not Found", 0)</f>
        <v>5</v>
      </c>
      <c r="V727" s="16">
        <f>_xlfn.XLOOKUP(CustomerCombinedCleaned[[#This Row],[ID]], Table4[ID], Table4[Visits], "Not Found", 0)</f>
        <v>5</v>
      </c>
      <c r="W727" s="16">
        <f>_xlfn.XLOOKUP(CustomerCombinedCleaned[[#This Row],[ID]], Table2[ID],Table2[Complaint], "Not Found", 0 )</f>
        <v>0</v>
      </c>
      <c r="X727" s="16">
        <f>_xlfn.XLOOKUP(CustomerCombinedCleaned[[#This Row],[ID]], Table2[ID],Table2[Pilot], "Not Found", 0 )</f>
        <v>0</v>
      </c>
      <c r="Y727" s="16">
        <f>_xlfn.XLOOKUP(CustomerCombinedCleaned[[#This Row],[ID]], Table2[ID],Table2[MC1], "Not Found", 0 )</f>
        <v>0</v>
      </c>
      <c r="Z727" s="16">
        <f>_xlfn.XLOOKUP(CustomerCombinedCleaned[[#This Row],[ID]], Table2[ID],Table2[MC2], "Not Found", 0 )</f>
        <v>0</v>
      </c>
      <c r="AA727" s="16">
        <f>_xlfn.XLOOKUP(CustomerCombinedCleaned[[#This Row],[ID]], Table2[ID],Table2[MC3], "Not Found", 0 )</f>
        <v>0</v>
      </c>
      <c r="AB727" s="16">
        <f>_xlfn.XLOOKUP(CustomerCombinedCleaned[[#This Row],[ID]], Table2[ID],Table2[MC4], "Not Found", 0 )</f>
        <v>0</v>
      </c>
      <c r="AC727" s="16">
        <f>_xlfn.XLOOKUP(CustomerCombinedCleaned[[#This Row],[ID]], Table2[ID],Table2[MC5], "Not Found", 0 )</f>
        <v>0</v>
      </c>
    </row>
    <row r="728" spans="1:29" x14ac:dyDescent="0.3">
      <c r="A728" s="18">
        <v>2959</v>
      </c>
      <c r="B728" s="16">
        <v>153201</v>
      </c>
      <c r="C728" s="16">
        <v>1</v>
      </c>
      <c r="D728" s="16">
        <v>1</v>
      </c>
      <c r="E728" s="16">
        <v>45</v>
      </c>
      <c r="F728" s="17" t="s">
        <v>7</v>
      </c>
      <c r="G728" s="17" t="s">
        <v>11</v>
      </c>
      <c r="H728" s="3" t="s">
        <v>311</v>
      </c>
      <c r="I728" s="5" t="s">
        <v>437</v>
      </c>
      <c r="J728" s="16">
        <f>_xlfn.XLOOKUP(CustomerCombinedCleaned[[#This Row],[ID]], Table4[ID], Table4[Recency], "Not Found", 0)</f>
        <v>49</v>
      </c>
      <c r="K728" s="16">
        <f>_xlfn.XLOOKUP(CustomerCombinedCleaned[[#This Row],[ID]], Table4[ID], Table4[Teas], "Not Found", 0)</f>
        <v>806</v>
      </c>
      <c r="L728" s="16">
        <f>_xlfn.XLOOKUP(CustomerCombinedCleaned[[#This Row],[ID]], Table4[ID], Table4[Fruits], "Not Found", 0)</f>
        <v>20</v>
      </c>
      <c r="M728" s="16">
        <f>_xlfn.XLOOKUP(CustomerCombinedCleaned[[#This Row],[ID]], Table4[ID], Table4[Meats], "Not Found", 0)</f>
        <v>233</v>
      </c>
      <c r="N728" s="16">
        <f>_xlfn.XLOOKUP(CustomerCombinedCleaned[[#This Row],[ID]], Table4[ID], Table4[Seafood], "Not Found", 0)</f>
        <v>58</v>
      </c>
      <c r="O728" s="16">
        <f>_xlfn.XLOOKUP(CustomerCombinedCleaned[[#This Row],[ID]], Table4[ID], Table4[Sweets], "Not Found", 0)</f>
        <v>0</v>
      </c>
      <c r="P728" s="16">
        <f>_xlfn.XLOOKUP(CustomerCombinedCleaned[[#This Row],[ID]], Table4[ID], Table4[Premium], "Not Found", 0)</f>
        <v>78</v>
      </c>
      <c r="Q728" s="16">
        <f>_xlfn.XLOOKUP(CustomerCombinedCleaned[[#This Row],[ID]], Table4[ID], Table4[Regular], "Not Found", 0)</f>
        <v>1040</v>
      </c>
      <c r="R728" s="16">
        <f>_xlfn.XLOOKUP(CustomerCombinedCleaned[[#This Row],[ID]], Table4[ID], Table4[Deals], "Not Found", 0)</f>
        <v>8</v>
      </c>
      <c r="S728" s="16">
        <f>_xlfn.XLOOKUP(CustomerCombinedCleaned[[#This Row],[ID]], Table4[ID], Table4[Website], "Not Found", 0)</f>
        <v>6</v>
      </c>
      <c r="T728" s="16">
        <f>_xlfn.XLOOKUP(CustomerCombinedCleaned[[#This Row],[ID]], Table4[ID], Table4[Catalog], "Not Found", 0)</f>
        <v>3</v>
      </c>
      <c r="U728" s="16">
        <f>_xlfn.XLOOKUP(CustomerCombinedCleaned[[#This Row],[ID]], Table4[ID], Table4[Store], "Not Found", 0)</f>
        <v>5</v>
      </c>
      <c r="V728" s="16">
        <f>_xlfn.XLOOKUP(CustomerCombinedCleaned[[#This Row],[ID]], Table4[ID], Table4[Visits], "Not Found", 0)</f>
        <v>7</v>
      </c>
      <c r="W728" s="16">
        <f>_xlfn.XLOOKUP(CustomerCombinedCleaned[[#This Row],[ID]], Table2[ID],Table2[Complaint], "Not Found", 0 )</f>
        <v>0</v>
      </c>
      <c r="X728" s="16">
        <f>_xlfn.XLOOKUP(CustomerCombinedCleaned[[#This Row],[ID]], Table2[ID],Table2[Pilot], "Not Found", 0 )</f>
        <v>0</v>
      </c>
      <c r="Y728" s="16">
        <f>_xlfn.XLOOKUP(CustomerCombinedCleaned[[#This Row],[ID]], Table2[ID],Table2[MC1], "Not Found", 0 )</f>
        <v>0</v>
      </c>
      <c r="Z728" s="16">
        <f>_xlfn.XLOOKUP(CustomerCombinedCleaned[[#This Row],[ID]], Table2[ID],Table2[MC2], "Not Found", 0 )</f>
        <v>0</v>
      </c>
      <c r="AA728" s="16">
        <f>_xlfn.XLOOKUP(CustomerCombinedCleaned[[#This Row],[ID]], Table2[ID],Table2[MC3], "Not Found", 0 )</f>
        <v>0</v>
      </c>
      <c r="AB728" s="16">
        <f>_xlfn.XLOOKUP(CustomerCombinedCleaned[[#This Row],[ID]], Table2[ID],Table2[MC4], "Not Found", 0 )</f>
        <v>0</v>
      </c>
      <c r="AC728" s="16">
        <f>_xlfn.XLOOKUP(CustomerCombinedCleaned[[#This Row],[ID]], Table2[ID],Table2[MC5], "Not Found", 0 )</f>
        <v>0</v>
      </c>
    </row>
    <row r="729" spans="1:29" x14ac:dyDescent="0.3">
      <c r="A729" s="18">
        <v>1353</v>
      </c>
      <c r="B729" s="16">
        <v>152614</v>
      </c>
      <c r="C729" s="16">
        <v>0</v>
      </c>
      <c r="D729" s="16">
        <v>1</v>
      </c>
      <c r="E729" s="16">
        <v>45</v>
      </c>
      <c r="F729" s="17" t="s">
        <v>7</v>
      </c>
      <c r="G729" s="17" t="s">
        <v>13</v>
      </c>
      <c r="H729" s="3" t="s">
        <v>723</v>
      </c>
      <c r="I729" s="5" t="s">
        <v>435</v>
      </c>
      <c r="J729" s="16">
        <f>_xlfn.XLOOKUP(CustomerCombinedCleaned[[#This Row],[ID]], Table4[ID], Table4[Recency], "Not Found", 0)</f>
        <v>63</v>
      </c>
      <c r="K729" s="16">
        <f>_xlfn.XLOOKUP(CustomerCombinedCleaned[[#This Row],[ID]], Table4[ID], Table4[Teas], "Not Found", 0)</f>
        <v>2289</v>
      </c>
      <c r="L729" s="16">
        <f>_xlfn.XLOOKUP(CustomerCombinedCleaned[[#This Row],[ID]], Table4[ID], Table4[Fruits], "Not Found", 0)</f>
        <v>0</v>
      </c>
      <c r="M729" s="16">
        <f>_xlfn.XLOOKUP(CustomerCombinedCleaned[[#This Row],[ID]], Table4[ID], Table4[Meats], "Not Found", 0)</f>
        <v>412</v>
      </c>
      <c r="N729" s="16">
        <f>_xlfn.XLOOKUP(CustomerCombinedCleaned[[#This Row],[ID]], Table4[ID], Table4[Seafood], "Not Found", 0)</f>
        <v>35</v>
      </c>
      <c r="O729" s="16">
        <f>_xlfn.XLOOKUP(CustomerCombinedCleaned[[#This Row],[ID]], Table4[ID], Table4[Sweets], "Not Found", 0)</f>
        <v>26</v>
      </c>
      <c r="P729" s="16">
        <f>_xlfn.XLOOKUP(CustomerCombinedCleaned[[#This Row],[ID]], Table4[ID], Table4[Premium], "Not Found", 0)</f>
        <v>110</v>
      </c>
      <c r="Q729" s="16">
        <f>_xlfn.XLOOKUP(CustomerCombinedCleaned[[#This Row],[ID]], Table4[ID], Table4[Regular], "Not Found", 0)</f>
        <v>2651</v>
      </c>
      <c r="R729" s="16">
        <f>_xlfn.XLOOKUP(CustomerCombinedCleaned[[#This Row],[ID]], Table4[ID], Table4[Deals], "Not Found", 0)</f>
        <v>2</v>
      </c>
      <c r="S729" s="16">
        <f>_xlfn.XLOOKUP(CustomerCombinedCleaned[[#This Row],[ID]], Table4[ID], Table4[Website], "Not Found", 0)</f>
        <v>2</v>
      </c>
      <c r="T729" s="16">
        <f>_xlfn.XLOOKUP(CustomerCombinedCleaned[[#This Row],[ID]], Table4[ID], Table4[Catalog], "Not Found", 0)</f>
        <v>4</v>
      </c>
      <c r="U729" s="16">
        <f>_xlfn.XLOOKUP(CustomerCombinedCleaned[[#This Row],[ID]], Table4[ID], Table4[Store], "Not Found", 0)</f>
        <v>8</v>
      </c>
      <c r="V729" s="16">
        <f>_xlfn.XLOOKUP(CustomerCombinedCleaned[[#This Row],[ID]], Table4[ID], Table4[Visits], "Not Found", 0)</f>
        <v>8</v>
      </c>
      <c r="W729" s="16">
        <f>_xlfn.XLOOKUP(CustomerCombinedCleaned[[#This Row],[ID]], Table2[ID],Table2[Complaint], "Not Found", 0 )</f>
        <v>0</v>
      </c>
      <c r="X729" s="16">
        <f>_xlfn.XLOOKUP(CustomerCombinedCleaned[[#This Row],[ID]], Table2[ID],Table2[Pilot], "Not Found", 0 )</f>
        <v>0</v>
      </c>
      <c r="Y729" s="16">
        <f>_xlfn.XLOOKUP(CustomerCombinedCleaned[[#This Row],[ID]], Table2[ID],Table2[MC1], "Not Found", 0 )</f>
        <v>0</v>
      </c>
      <c r="Z729" s="16">
        <f>_xlfn.XLOOKUP(CustomerCombinedCleaned[[#This Row],[ID]], Table2[ID],Table2[MC2], "Not Found", 0 )</f>
        <v>0</v>
      </c>
      <c r="AA729" s="16">
        <f>_xlfn.XLOOKUP(CustomerCombinedCleaned[[#This Row],[ID]], Table2[ID],Table2[MC3], "Not Found", 0 )</f>
        <v>0</v>
      </c>
      <c r="AB729" s="16">
        <f>_xlfn.XLOOKUP(CustomerCombinedCleaned[[#This Row],[ID]], Table2[ID],Table2[MC4], "Not Found", 0 )</f>
        <v>0</v>
      </c>
      <c r="AC729" s="16">
        <f>_xlfn.XLOOKUP(CustomerCombinedCleaned[[#This Row],[ID]], Table2[ID],Table2[MC5], "Not Found", 0 )</f>
        <v>0</v>
      </c>
    </row>
    <row r="730" spans="1:29" x14ac:dyDescent="0.3">
      <c r="A730" s="18">
        <v>1656</v>
      </c>
      <c r="B730" s="16">
        <v>152614</v>
      </c>
      <c r="C730" s="16">
        <v>0</v>
      </c>
      <c r="D730" s="16">
        <v>1</v>
      </c>
      <c r="E730" s="16">
        <v>45</v>
      </c>
      <c r="F730" s="17" t="s">
        <v>7</v>
      </c>
      <c r="G730" s="17" t="s">
        <v>13</v>
      </c>
      <c r="H730" s="3" t="s">
        <v>723</v>
      </c>
      <c r="I730" s="5" t="s">
        <v>436</v>
      </c>
      <c r="J730" s="16">
        <f>_xlfn.XLOOKUP(CustomerCombinedCleaned[[#This Row],[ID]], Table4[ID], Table4[Recency], "Not Found", 0)</f>
        <v>63</v>
      </c>
      <c r="K730" s="16">
        <f>_xlfn.XLOOKUP(CustomerCombinedCleaned[[#This Row],[ID]], Table4[ID], Table4[Teas], "Not Found", 0)</f>
        <v>2289</v>
      </c>
      <c r="L730" s="16">
        <f>_xlfn.XLOOKUP(CustomerCombinedCleaned[[#This Row],[ID]], Table4[ID], Table4[Fruits], "Not Found", 0)</f>
        <v>0</v>
      </c>
      <c r="M730" s="16">
        <f>_xlfn.XLOOKUP(CustomerCombinedCleaned[[#This Row],[ID]], Table4[ID], Table4[Meats], "Not Found", 0)</f>
        <v>412</v>
      </c>
      <c r="N730" s="16">
        <f>_xlfn.XLOOKUP(CustomerCombinedCleaned[[#This Row],[ID]], Table4[ID], Table4[Seafood], "Not Found", 0)</f>
        <v>35</v>
      </c>
      <c r="O730" s="16">
        <f>_xlfn.XLOOKUP(CustomerCombinedCleaned[[#This Row],[ID]], Table4[ID], Table4[Sweets], "Not Found", 0)</f>
        <v>26</v>
      </c>
      <c r="P730" s="16">
        <f>_xlfn.XLOOKUP(CustomerCombinedCleaned[[#This Row],[ID]], Table4[ID], Table4[Premium], "Not Found", 0)</f>
        <v>110</v>
      </c>
      <c r="Q730" s="16">
        <f>_xlfn.XLOOKUP(CustomerCombinedCleaned[[#This Row],[ID]], Table4[ID], Table4[Regular], "Not Found", 0)</f>
        <v>2651</v>
      </c>
      <c r="R730" s="16">
        <f>_xlfn.XLOOKUP(CustomerCombinedCleaned[[#This Row],[ID]], Table4[ID], Table4[Deals], "Not Found", 0)</f>
        <v>2</v>
      </c>
      <c r="S730" s="16">
        <f>_xlfn.XLOOKUP(CustomerCombinedCleaned[[#This Row],[ID]], Table4[ID], Table4[Website], "Not Found", 0)</f>
        <v>2</v>
      </c>
      <c r="T730" s="16">
        <f>_xlfn.XLOOKUP(CustomerCombinedCleaned[[#This Row],[ID]], Table4[ID], Table4[Catalog], "Not Found", 0)</f>
        <v>4</v>
      </c>
      <c r="U730" s="16">
        <f>_xlfn.XLOOKUP(CustomerCombinedCleaned[[#This Row],[ID]], Table4[ID], Table4[Store], "Not Found", 0)</f>
        <v>8</v>
      </c>
      <c r="V730" s="16">
        <f>_xlfn.XLOOKUP(CustomerCombinedCleaned[[#This Row],[ID]], Table4[ID], Table4[Visits], "Not Found", 0)</f>
        <v>8</v>
      </c>
      <c r="W730" s="16">
        <f>_xlfn.XLOOKUP(CustomerCombinedCleaned[[#This Row],[ID]], Table2[ID],Table2[Complaint], "Not Found", 0 )</f>
        <v>0</v>
      </c>
      <c r="X730" s="16">
        <f>_xlfn.XLOOKUP(CustomerCombinedCleaned[[#This Row],[ID]], Table2[ID],Table2[Pilot], "Not Found", 0 )</f>
        <v>0</v>
      </c>
      <c r="Y730" s="16">
        <f>_xlfn.XLOOKUP(CustomerCombinedCleaned[[#This Row],[ID]], Table2[ID],Table2[MC1], "Not Found", 0 )</f>
        <v>0</v>
      </c>
      <c r="Z730" s="16">
        <f>_xlfn.XLOOKUP(CustomerCombinedCleaned[[#This Row],[ID]], Table2[ID],Table2[MC2], "Not Found", 0 )</f>
        <v>0</v>
      </c>
      <c r="AA730" s="16">
        <f>_xlfn.XLOOKUP(CustomerCombinedCleaned[[#This Row],[ID]], Table2[ID],Table2[MC3], "Not Found", 0 )</f>
        <v>0</v>
      </c>
      <c r="AB730" s="16">
        <f>_xlfn.XLOOKUP(CustomerCombinedCleaned[[#This Row],[ID]], Table2[ID],Table2[MC4], "Not Found", 0 )</f>
        <v>0</v>
      </c>
      <c r="AC730" s="16">
        <f>_xlfn.XLOOKUP(CustomerCombinedCleaned[[#This Row],[ID]], Table2[ID],Table2[MC5], "Not Found", 0 )</f>
        <v>0</v>
      </c>
    </row>
    <row r="731" spans="1:29" x14ac:dyDescent="0.3">
      <c r="A731" s="18">
        <v>2315</v>
      </c>
      <c r="B731" s="16">
        <v>151948</v>
      </c>
      <c r="C731" s="16">
        <v>0</v>
      </c>
      <c r="D731" s="16">
        <v>1</v>
      </c>
      <c r="E731" s="16">
        <v>45</v>
      </c>
      <c r="F731" s="17" t="s">
        <v>6</v>
      </c>
      <c r="G731" s="17" t="s">
        <v>11</v>
      </c>
      <c r="H731" s="3" t="s">
        <v>182</v>
      </c>
      <c r="I731" s="5" t="s">
        <v>434</v>
      </c>
      <c r="J731" s="16">
        <f>_xlfn.XLOOKUP(CustomerCombinedCleaned[[#This Row],[ID]], Table4[ID], Table4[Recency], "Not Found", 0)</f>
        <v>51</v>
      </c>
      <c r="K731" s="16">
        <f>_xlfn.XLOOKUP(CustomerCombinedCleaned[[#This Row],[ID]], Table4[ID], Table4[Teas], "Not Found", 0)</f>
        <v>240</v>
      </c>
      <c r="L731" s="16">
        <f>_xlfn.XLOOKUP(CustomerCombinedCleaned[[#This Row],[ID]], Table4[ID], Table4[Fruits], "Not Found", 0)</f>
        <v>97</v>
      </c>
      <c r="M731" s="16">
        <f>_xlfn.XLOOKUP(CustomerCombinedCleaned[[#This Row],[ID]], Table4[ID], Table4[Meats], "Not Found", 0)</f>
        <v>158</v>
      </c>
      <c r="N731" s="16">
        <f>_xlfn.XLOOKUP(CustomerCombinedCleaned[[#This Row],[ID]], Table4[ID], Table4[Seafood], "Not Found", 0)</f>
        <v>208</v>
      </c>
      <c r="O731" s="16">
        <f>_xlfn.XLOOKUP(CustomerCombinedCleaned[[#This Row],[ID]], Table4[ID], Table4[Sweets], "Not Found", 0)</f>
        <v>88</v>
      </c>
      <c r="P731" s="16">
        <f>_xlfn.XLOOKUP(CustomerCombinedCleaned[[#This Row],[ID]], Table4[ID], Table4[Premium], "Not Found", 0)</f>
        <v>120</v>
      </c>
      <c r="Q731" s="16">
        <f>_xlfn.XLOOKUP(CustomerCombinedCleaned[[#This Row],[ID]], Table4[ID], Table4[Regular], "Not Found", 0)</f>
        <v>670</v>
      </c>
      <c r="R731" s="16">
        <f>_xlfn.XLOOKUP(CustomerCombinedCleaned[[#This Row],[ID]], Table4[ID], Table4[Deals], "Not Found", 0)</f>
        <v>2</v>
      </c>
      <c r="S731" s="16">
        <f>_xlfn.XLOOKUP(CustomerCombinedCleaned[[#This Row],[ID]], Table4[ID], Table4[Website], "Not Found", 0)</f>
        <v>5</v>
      </c>
      <c r="T731" s="16">
        <f>_xlfn.XLOOKUP(CustomerCombinedCleaned[[#This Row],[ID]], Table4[ID], Table4[Catalog], "Not Found", 0)</f>
        <v>2</v>
      </c>
      <c r="U731" s="16">
        <f>_xlfn.XLOOKUP(CustomerCombinedCleaned[[#This Row],[ID]], Table4[ID], Table4[Store], "Not Found", 0)</f>
        <v>4</v>
      </c>
      <c r="V731" s="16">
        <f>_xlfn.XLOOKUP(CustomerCombinedCleaned[[#This Row],[ID]], Table4[ID], Table4[Visits], "Not Found", 0)</f>
        <v>5</v>
      </c>
      <c r="W731" s="16">
        <f>_xlfn.XLOOKUP(CustomerCombinedCleaned[[#This Row],[ID]], Table2[ID],Table2[Complaint], "Not Found", 0 )</f>
        <v>0</v>
      </c>
      <c r="X731" s="16">
        <f>_xlfn.XLOOKUP(CustomerCombinedCleaned[[#This Row],[ID]], Table2[ID],Table2[Pilot], "Not Found", 0 )</f>
        <v>0</v>
      </c>
      <c r="Y731" s="16">
        <f>_xlfn.XLOOKUP(CustomerCombinedCleaned[[#This Row],[ID]], Table2[ID],Table2[MC1], "Not Found", 0 )</f>
        <v>0</v>
      </c>
      <c r="Z731" s="16">
        <f>_xlfn.XLOOKUP(CustomerCombinedCleaned[[#This Row],[ID]], Table2[ID],Table2[MC2], "Not Found", 0 )</f>
        <v>0</v>
      </c>
      <c r="AA731" s="16">
        <f>_xlfn.XLOOKUP(CustomerCombinedCleaned[[#This Row],[ID]], Table2[ID],Table2[MC3], "Not Found", 0 )</f>
        <v>0</v>
      </c>
      <c r="AB731" s="16">
        <f>_xlfn.XLOOKUP(CustomerCombinedCleaned[[#This Row],[ID]], Table2[ID],Table2[MC4], "Not Found", 0 )</f>
        <v>0</v>
      </c>
      <c r="AC731" s="16">
        <f>_xlfn.XLOOKUP(CustomerCombinedCleaned[[#This Row],[ID]], Table2[ID],Table2[MC5], "Not Found", 0 )</f>
        <v>0</v>
      </c>
    </row>
    <row r="732" spans="1:29" x14ac:dyDescent="0.3">
      <c r="A732" s="18">
        <v>1845</v>
      </c>
      <c r="B732" s="16">
        <v>149514</v>
      </c>
      <c r="C732" s="16">
        <v>1</v>
      </c>
      <c r="D732" s="16">
        <v>0</v>
      </c>
      <c r="E732" s="16">
        <v>45</v>
      </c>
      <c r="F732" s="17" t="s">
        <v>7</v>
      </c>
      <c r="G732" s="17" t="s">
        <v>11</v>
      </c>
      <c r="H732" s="3" t="s">
        <v>131</v>
      </c>
      <c r="I732" s="5" t="s">
        <v>435</v>
      </c>
      <c r="J732" s="16">
        <f>_xlfn.XLOOKUP(CustomerCombinedCleaned[[#This Row],[ID]], Table4[ID], Table4[Recency], "Not Found", 0)</f>
        <v>61</v>
      </c>
      <c r="K732" s="16">
        <f>_xlfn.XLOOKUP(CustomerCombinedCleaned[[#This Row],[ID]], Table4[ID], Table4[Teas], "Not Found", 0)</f>
        <v>266</v>
      </c>
      <c r="L732" s="16">
        <f>_xlfn.XLOOKUP(CustomerCombinedCleaned[[#This Row],[ID]], Table4[ID], Table4[Fruits], "Not Found", 0)</f>
        <v>118</v>
      </c>
      <c r="M732" s="16">
        <f>_xlfn.XLOOKUP(CustomerCombinedCleaned[[#This Row],[ID]], Table4[ID], Table4[Meats], "Not Found", 0)</f>
        <v>236</v>
      </c>
      <c r="N732" s="16">
        <f>_xlfn.XLOOKUP(CustomerCombinedCleaned[[#This Row],[ID]], Table4[ID], Table4[Seafood], "Not Found", 0)</f>
        <v>175</v>
      </c>
      <c r="O732" s="16">
        <f>_xlfn.XLOOKUP(CustomerCombinedCleaned[[#This Row],[ID]], Table4[ID], Table4[Sweets], "Not Found", 0)</f>
        <v>39</v>
      </c>
      <c r="P732" s="16">
        <f>_xlfn.XLOOKUP(CustomerCombinedCleaned[[#This Row],[ID]], Table4[ID], Table4[Premium], "Not Found", 0)</f>
        <v>281</v>
      </c>
      <c r="Q732" s="16">
        <f>_xlfn.XLOOKUP(CustomerCombinedCleaned[[#This Row],[ID]], Table4[ID], Table4[Regular], "Not Found", 0)</f>
        <v>553</v>
      </c>
      <c r="R732" s="16">
        <f>_xlfn.XLOOKUP(CustomerCombinedCleaned[[#This Row],[ID]], Table4[ID], Table4[Deals], "Not Found", 0)</f>
        <v>2</v>
      </c>
      <c r="S732" s="16">
        <f>_xlfn.XLOOKUP(CustomerCombinedCleaned[[#This Row],[ID]], Table4[ID], Table4[Website], "Not Found", 0)</f>
        <v>6</v>
      </c>
      <c r="T732" s="16">
        <f>_xlfn.XLOOKUP(CustomerCombinedCleaned[[#This Row],[ID]], Table4[ID], Table4[Catalog], "Not Found", 0)</f>
        <v>1</v>
      </c>
      <c r="U732" s="16">
        <f>_xlfn.XLOOKUP(CustomerCombinedCleaned[[#This Row],[ID]], Table4[ID], Table4[Store], "Not Found", 0)</f>
        <v>4</v>
      </c>
      <c r="V732" s="16">
        <f>_xlfn.XLOOKUP(CustomerCombinedCleaned[[#This Row],[ID]], Table4[ID], Table4[Visits], "Not Found", 0)</f>
        <v>7</v>
      </c>
      <c r="W732" s="16">
        <f>_xlfn.XLOOKUP(CustomerCombinedCleaned[[#This Row],[ID]], Table2[ID],Table2[Complaint], "Not Found", 0 )</f>
        <v>0</v>
      </c>
      <c r="X732" s="16">
        <f>_xlfn.XLOOKUP(CustomerCombinedCleaned[[#This Row],[ID]], Table2[ID],Table2[Pilot], "Not Found", 0 )</f>
        <v>0</v>
      </c>
      <c r="Y732" s="16">
        <f>_xlfn.XLOOKUP(CustomerCombinedCleaned[[#This Row],[ID]], Table2[ID],Table2[MC1], "Not Found", 0 )</f>
        <v>0</v>
      </c>
      <c r="Z732" s="16">
        <f>_xlfn.XLOOKUP(CustomerCombinedCleaned[[#This Row],[ID]], Table2[ID],Table2[MC2], "Not Found", 0 )</f>
        <v>0</v>
      </c>
      <c r="AA732" s="16">
        <f>_xlfn.XLOOKUP(CustomerCombinedCleaned[[#This Row],[ID]], Table2[ID],Table2[MC3], "Not Found", 0 )</f>
        <v>0</v>
      </c>
      <c r="AB732" s="16">
        <f>_xlfn.XLOOKUP(CustomerCombinedCleaned[[#This Row],[ID]], Table2[ID],Table2[MC4], "Not Found", 0 )</f>
        <v>0</v>
      </c>
      <c r="AC732" s="16">
        <f>_xlfn.XLOOKUP(CustomerCombinedCleaned[[#This Row],[ID]], Table2[ID],Table2[MC5], "Not Found", 0 )</f>
        <v>0</v>
      </c>
    </row>
    <row r="733" spans="1:29" x14ac:dyDescent="0.3">
      <c r="A733" s="18">
        <v>1355</v>
      </c>
      <c r="B733" s="16">
        <v>148178</v>
      </c>
      <c r="C733" s="16">
        <v>1</v>
      </c>
      <c r="D733" s="16">
        <v>1</v>
      </c>
      <c r="E733" s="16">
        <v>45</v>
      </c>
      <c r="F733" s="17" t="s">
        <v>6</v>
      </c>
      <c r="G733" s="17" t="s">
        <v>11</v>
      </c>
      <c r="H733" s="3" t="s">
        <v>756</v>
      </c>
      <c r="I733" s="5" t="s">
        <v>434</v>
      </c>
      <c r="J733" s="16">
        <f>_xlfn.XLOOKUP(CustomerCombinedCleaned[[#This Row],[ID]], Table4[ID], Table4[Recency], "Not Found", 0)</f>
        <v>69</v>
      </c>
      <c r="K733" s="16">
        <f>_xlfn.XLOOKUP(CustomerCombinedCleaned[[#This Row],[ID]], Table4[ID], Table4[Teas], "Not Found", 0)</f>
        <v>489</v>
      </c>
      <c r="L733" s="16">
        <f>_xlfn.XLOOKUP(CustomerCombinedCleaned[[#This Row],[ID]], Table4[ID], Table4[Fruits], "Not Found", 0)</f>
        <v>12</v>
      </c>
      <c r="M733" s="16">
        <f>_xlfn.XLOOKUP(CustomerCombinedCleaned[[#This Row],[ID]], Table4[ID], Table4[Meats], "Not Found", 0)</f>
        <v>138</v>
      </c>
      <c r="N733" s="16">
        <f>_xlfn.XLOOKUP(CustomerCombinedCleaned[[#This Row],[ID]], Table4[ID], Table4[Seafood], "Not Found", 0)</f>
        <v>18</v>
      </c>
      <c r="O733" s="16">
        <f>_xlfn.XLOOKUP(CustomerCombinedCleaned[[#This Row],[ID]], Table4[ID], Table4[Sweets], "Not Found", 0)</f>
        <v>6</v>
      </c>
      <c r="P733" s="16">
        <f>_xlfn.XLOOKUP(CustomerCombinedCleaned[[#This Row],[ID]], Table4[ID], Table4[Premium], "Not Found", 0)</f>
        <v>117</v>
      </c>
      <c r="Q733" s="16">
        <f>_xlfn.XLOOKUP(CustomerCombinedCleaned[[#This Row],[ID]], Table4[ID], Table4[Regular], "Not Found", 0)</f>
        <v>547</v>
      </c>
      <c r="R733" s="16">
        <f>_xlfn.XLOOKUP(CustomerCombinedCleaned[[#This Row],[ID]], Table4[ID], Table4[Deals], "Not Found", 0)</f>
        <v>6</v>
      </c>
      <c r="S733" s="16">
        <f>_xlfn.XLOOKUP(CustomerCombinedCleaned[[#This Row],[ID]], Table4[ID], Table4[Website], "Not Found", 0)</f>
        <v>5</v>
      </c>
      <c r="T733" s="16">
        <f>_xlfn.XLOOKUP(CustomerCombinedCleaned[[#This Row],[ID]], Table4[ID], Table4[Catalog], "Not Found", 0)</f>
        <v>1</v>
      </c>
      <c r="U733" s="16">
        <f>_xlfn.XLOOKUP(CustomerCombinedCleaned[[#This Row],[ID]], Table4[ID], Table4[Store], "Not Found", 0)</f>
        <v>4</v>
      </c>
      <c r="V733" s="16">
        <f>_xlfn.XLOOKUP(CustomerCombinedCleaned[[#This Row],[ID]], Table4[ID], Table4[Visits], "Not Found", 0)</f>
        <v>8</v>
      </c>
      <c r="W733" s="16">
        <f>_xlfn.XLOOKUP(CustomerCombinedCleaned[[#This Row],[ID]], Table2[ID],Table2[Complaint], "Not Found", 0 )</f>
        <v>0</v>
      </c>
      <c r="X733" s="16">
        <f>_xlfn.XLOOKUP(CustomerCombinedCleaned[[#This Row],[ID]], Table2[ID],Table2[Pilot], "Not Found", 0 )</f>
        <v>0</v>
      </c>
      <c r="Y733" s="16">
        <f>_xlfn.XLOOKUP(CustomerCombinedCleaned[[#This Row],[ID]], Table2[ID],Table2[MC1], "Not Found", 0 )</f>
        <v>0</v>
      </c>
      <c r="Z733" s="16">
        <f>_xlfn.XLOOKUP(CustomerCombinedCleaned[[#This Row],[ID]], Table2[ID],Table2[MC2], "Not Found", 0 )</f>
        <v>0</v>
      </c>
      <c r="AA733" s="16">
        <f>_xlfn.XLOOKUP(CustomerCombinedCleaned[[#This Row],[ID]], Table2[ID],Table2[MC3], "Not Found", 0 )</f>
        <v>0</v>
      </c>
      <c r="AB733" s="16">
        <f>_xlfn.XLOOKUP(CustomerCombinedCleaned[[#This Row],[ID]], Table2[ID],Table2[MC4], "Not Found", 0 )</f>
        <v>0</v>
      </c>
      <c r="AC733" s="16">
        <f>_xlfn.XLOOKUP(CustomerCombinedCleaned[[#This Row],[ID]], Table2[ID],Table2[MC5], "Not Found", 0 )</f>
        <v>0</v>
      </c>
    </row>
    <row r="734" spans="1:29" x14ac:dyDescent="0.3">
      <c r="A734" s="18">
        <v>2744</v>
      </c>
      <c r="B734" s="16">
        <v>147808</v>
      </c>
      <c r="C734" s="16">
        <v>0</v>
      </c>
      <c r="D734" s="16">
        <v>1</v>
      </c>
      <c r="E734" s="16">
        <v>45</v>
      </c>
      <c r="F734" s="17" t="s">
        <v>6</v>
      </c>
      <c r="G734" s="17" t="s">
        <v>12</v>
      </c>
      <c r="H734" s="3" t="s">
        <v>162</v>
      </c>
      <c r="I734" s="5" t="s">
        <v>438</v>
      </c>
      <c r="J734" s="16">
        <f>_xlfn.XLOOKUP(CustomerCombinedCleaned[[#This Row],[ID]], Table4[ID], Table4[Recency], "Not Found", 0)</f>
        <v>30</v>
      </c>
      <c r="K734" s="16">
        <f>_xlfn.XLOOKUP(CustomerCombinedCleaned[[#This Row],[ID]], Table4[ID], Table4[Teas], "Not Found", 0)</f>
        <v>380</v>
      </c>
      <c r="L734" s="16">
        <f>_xlfn.XLOOKUP(CustomerCombinedCleaned[[#This Row],[ID]], Table4[ID], Table4[Fruits], "Not Found", 0)</f>
        <v>3</v>
      </c>
      <c r="M734" s="16">
        <f>_xlfn.XLOOKUP(CustomerCombinedCleaned[[#This Row],[ID]], Table4[ID], Table4[Meats], "Not Found", 0)</f>
        <v>80</v>
      </c>
      <c r="N734" s="16">
        <f>_xlfn.XLOOKUP(CustomerCombinedCleaned[[#This Row],[ID]], Table4[ID], Table4[Seafood], "Not Found", 0)</f>
        <v>6</v>
      </c>
      <c r="O734" s="16">
        <f>_xlfn.XLOOKUP(CustomerCombinedCleaned[[#This Row],[ID]], Table4[ID], Table4[Sweets], "Not Found", 0)</f>
        <v>0</v>
      </c>
      <c r="P734" s="16">
        <f>_xlfn.XLOOKUP(CustomerCombinedCleaned[[#This Row],[ID]], Table4[ID], Table4[Premium], "Not Found", 0)</f>
        <v>223</v>
      </c>
      <c r="Q734" s="16">
        <f>_xlfn.XLOOKUP(CustomerCombinedCleaned[[#This Row],[ID]], Table4[ID], Table4[Regular], "Not Found", 0)</f>
        <v>247</v>
      </c>
      <c r="R734" s="16">
        <f>_xlfn.XLOOKUP(CustomerCombinedCleaned[[#This Row],[ID]], Table4[ID], Table4[Deals], "Not Found", 0)</f>
        <v>2</v>
      </c>
      <c r="S734" s="16">
        <f>_xlfn.XLOOKUP(CustomerCombinedCleaned[[#This Row],[ID]], Table4[ID], Table4[Website], "Not Found", 0)</f>
        <v>3</v>
      </c>
      <c r="T734" s="16">
        <f>_xlfn.XLOOKUP(CustomerCombinedCleaned[[#This Row],[ID]], Table4[ID], Table4[Catalog], "Not Found", 0)</f>
        <v>2</v>
      </c>
      <c r="U734" s="16">
        <f>_xlfn.XLOOKUP(CustomerCombinedCleaned[[#This Row],[ID]], Table4[ID], Table4[Store], "Not Found", 0)</f>
        <v>3</v>
      </c>
      <c r="V734" s="16">
        <f>_xlfn.XLOOKUP(CustomerCombinedCleaned[[#This Row],[ID]], Table4[ID], Table4[Visits], "Not Found", 0)</f>
        <v>7</v>
      </c>
      <c r="W734" s="16">
        <f>_xlfn.XLOOKUP(CustomerCombinedCleaned[[#This Row],[ID]], Table2[ID],Table2[Complaint], "Not Found", 0 )</f>
        <v>0</v>
      </c>
      <c r="X734" s="16">
        <f>_xlfn.XLOOKUP(CustomerCombinedCleaned[[#This Row],[ID]], Table2[ID],Table2[Pilot], "Not Found", 0 )</f>
        <v>0</v>
      </c>
      <c r="Y734" s="16">
        <f>_xlfn.XLOOKUP(CustomerCombinedCleaned[[#This Row],[ID]], Table2[ID],Table2[MC1], "Not Found", 0 )</f>
        <v>0</v>
      </c>
      <c r="Z734" s="16">
        <f>_xlfn.XLOOKUP(CustomerCombinedCleaned[[#This Row],[ID]], Table2[ID],Table2[MC2], "Not Found", 0 )</f>
        <v>0</v>
      </c>
      <c r="AA734" s="16">
        <f>_xlfn.XLOOKUP(CustomerCombinedCleaned[[#This Row],[ID]], Table2[ID],Table2[MC3], "Not Found", 0 )</f>
        <v>1</v>
      </c>
      <c r="AB734" s="16">
        <f>_xlfn.XLOOKUP(CustomerCombinedCleaned[[#This Row],[ID]], Table2[ID],Table2[MC4], "Not Found", 0 )</f>
        <v>0</v>
      </c>
      <c r="AC734" s="16">
        <f>_xlfn.XLOOKUP(CustomerCombinedCleaned[[#This Row],[ID]], Table2[ID],Table2[MC5], "Not Found", 0 )</f>
        <v>0</v>
      </c>
    </row>
    <row r="735" spans="1:29" x14ac:dyDescent="0.3">
      <c r="A735" s="18">
        <v>1514</v>
      </c>
      <c r="B735" s="16">
        <v>147682</v>
      </c>
      <c r="C735" s="16">
        <v>0</v>
      </c>
      <c r="D735" s="16">
        <v>1</v>
      </c>
      <c r="E735" s="16">
        <v>45</v>
      </c>
      <c r="F735" s="17" t="s">
        <v>9</v>
      </c>
      <c r="G735" s="17" t="s">
        <v>11</v>
      </c>
      <c r="H735" s="3" t="s">
        <v>308</v>
      </c>
      <c r="I735" s="5" t="s">
        <v>438</v>
      </c>
      <c r="J735" s="16">
        <f>_xlfn.XLOOKUP(CustomerCombinedCleaned[[#This Row],[ID]], Table4[ID], Table4[Recency], "Not Found", 0)</f>
        <v>80</v>
      </c>
      <c r="K735" s="16">
        <f>_xlfn.XLOOKUP(CustomerCombinedCleaned[[#This Row],[ID]], Table4[ID], Table4[Teas], "Not Found", 0)</f>
        <v>502</v>
      </c>
      <c r="L735" s="16">
        <f>_xlfn.XLOOKUP(CustomerCombinedCleaned[[#This Row],[ID]], Table4[ID], Table4[Fruits], "Not Found", 0)</f>
        <v>189</v>
      </c>
      <c r="M735" s="16">
        <f>_xlfn.XLOOKUP(CustomerCombinedCleaned[[#This Row],[ID]], Table4[ID], Table4[Meats], "Not Found", 0)</f>
        <v>257</v>
      </c>
      <c r="N735" s="16">
        <f>_xlfn.XLOOKUP(CustomerCombinedCleaned[[#This Row],[ID]], Table4[ID], Table4[Seafood], "Not Found", 0)</f>
        <v>300</v>
      </c>
      <c r="O735" s="16">
        <f>_xlfn.XLOOKUP(CustomerCombinedCleaned[[#This Row],[ID]], Table4[ID], Table4[Sweets], "Not Found", 0)</f>
        <v>177</v>
      </c>
      <c r="P735" s="16">
        <f>_xlfn.XLOOKUP(CustomerCombinedCleaned[[#This Row],[ID]], Table4[ID], Table4[Premium], "Not Found", 0)</f>
        <v>189</v>
      </c>
      <c r="Q735" s="16">
        <f>_xlfn.XLOOKUP(CustomerCombinedCleaned[[#This Row],[ID]], Table4[ID], Table4[Regular], "Not Found", 0)</f>
        <v>1236</v>
      </c>
      <c r="R735" s="16">
        <f>_xlfn.XLOOKUP(CustomerCombinedCleaned[[#This Row],[ID]], Table4[ID], Table4[Deals], "Not Found", 0)</f>
        <v>4</v>
      </c>
      <c r="S735" s="16">
        <f>_xlfn.XLOOKUP(CustomerCombinedCleaned[[#This Row],[ID]], Table4[ID], Table4[Website], "Not Found", 0)</f>
        <v>4</v>
      </c>
      <c r="T735" s="16">
        <f>_xlfn.XLOOKUP(CustomerCombinedCleaned[[#This Row],[ID]], Table4[ID], Table4[Catalog], "Not Found", 0)</f>
        <v>3</v>
      </c>
      <c r="U735" s="16">
        <f>_xlfn.XLOOKUP(CustomerCombinedCleaned[[#This Row],[ID]], Table4[ID], Table4[Store], "Not Found", 0)</f>
        <v>8</v>
      </c>
      <c r="V735" s="16">
        <f>_xlfn.XLOOKUP(CustomerCombinedCleaned[[#This Row],[ID]], Table4[ID], Table4[Visits], "Not Found", 0)</f>
        <v>5</v>
      </c>
      <c r="W735" s="16">
        <f>_xlfn.XLOOKUP(CustomerCombinedCleaned[[#This Row],[ID]], Table2[ID],Table2[Complaint], "Not Found", 0 )</f>
        <v>0</v>
      </c>
      <c r="X735" s="16">
        <f>_xlfn.XLOOKUP(CustomerCombinedCleaned[[#This Row],[ID]], Table2[ID],Table2[Pilot], "Not Found", 0 )</f>
        <v>0</v>
      </c>
      <c r="Y735" s="16">
        <f>_xlfn.XLOOKUP(CustomerCombinedCleaned[[#This Row],[ID]], Table2[ID],Table2[MC1], "Not Found", 0 )</f>
        <v>0</v>
      </c>
      <c r="Z735" s="16">
        <f>_xlfn.XLOOKUP(CustomerCombinedCleaned[[#This Row],[ID]], Table2[ID],Table2[MC2], "Not Found", 0 )</f>
        <v>0</v>
      </c>
      <c r="AA735" s="16">
        <f>_xlfn.XLOOKUP(CustomerCombinedCleaned[[#This Row],[ID]], Table2[ID],Table2[MC3], "Not Found", 0 )</f>
        <v>0</v>
      </c>
      <c r="AB735" s="16">
        <f>_xlfn.XLOOKUP(CustomerCombinedCleaned[[#This Row],[ID]], Table2[ID],Table2[MC4], "Not Found", 0 )</f>
        <v>0</v>
      </c>
      <c r="AC735" s="16">
        <f>_xlfn.XLOOKUP(CustomerCombinedCleaned[[#This Row],[ID]], Table2[ID],Table2[MC5], "Not Found", 0 )</f>
        <v>0</v>
      </c>
    </row>
    <row r="736" spans="1:29" x14ac:dyDescent="0.3">
      <c r="A736" s="18">
        <v>2483</v>
      </c>
      <c r="B736" s="16">
        <v>146772</v>
      </c>
      <c r="C736" s="16">
        <v>0</v>
      </c>
      <c r="D736" s="16">
        <v>1</v>
      </c>
      <c r="E736" s="16">
        <v>45</v>
      </c>
      <c r="F736" s="17" t="s">
        <v>8</v>
      </c>
      <c r="G736" s="17" t="s">
        <v>11</v>
      </c>
      <c r="H736" s="3" t="s">
        <v>368</v>
      </c>
      <c r="I736" s="5" t="s">
        <v>434</v>
      </c>
      <c r="J736" s="16">
        <f>_xlfn.XLOOKUP(CustomerCombinedCleaned[[#This Row],[ID]], Table4[ID], Table4[Recency], "Not Found", 0)</f>
        <v>88</v>
      </c>
      <c r="K736" s="16">
        <f>_xlfn.XLOOKUP(CustomerCombinedCleaned[[#This Row],[ID]], Table4[ID], Table4[Teas], "Not Found", 0)</f>
        <v>1098</v>
      </c>
      <c r="L736" s="16">
        <f>_xlfn.XLOOKUP(CustomerCombinedCleaned[[#This Row],[ID]], Table4[ID], Table4[Fruits], "Not Found", 0)</f>
        <v>326</v>
      </c>
      <c r="M736" s="16">
        <f>_xlfn.XLOOKUP(CustomerCombinedCleaned[[#This Row],[ID]], Table4[ID], Table4[Meats], "Not Found", 0)</f>
        <v>593</v>
      </c>
      <c r="N736" s="16">
        <f>_xlfn.XLOOKUP(CustomerCombinedCleaned[[#This Row],[ID]], Table4[ID], Table4[Seafood], "Not Found", 0)</f>
        <v>618</v>
      </c>
      <c r="O736" s="16">
        <f>_xlfn.XLOOKUP(CustomerCombinedCleaned[[#This Row],[ID]], Table4[ID], Table4[Sweets], "Not Found", 0)</f>
        <v>474</v>
      </c>
      <c r="P736" s="16">
        <f>_xlfn.XLOOKUP(CustomerCombinedCleaned[[#This Row],[ID]], Table4[ID], Table4[Premium], "Not Found", 0)</f>
        <v>179</v>
      </c>
      <c r="Q736" s="16">
        <f>_xlfn.XLOOKUP(CustomerCombinedCleaned[[#This Row],[ID]], Table4[ID], Table4[Regular], "Not Found", 0)</f>
        <v>2931</v>
      </c>
      <c r="R736" s="16">
        <f>_xlfn.XLOOKUP(CustomerCombinedCleaned[[#This Row],[ID]], Table4[ID], Table4[Deals], "Not Found", 0)</f>
        <v>6</v>
      </c>
      <c r="S736" s="16">
        <f>_xlfn.XLOOKUP(CustomerCombinedCleaned[[#This Row],[ID]], Table4[ID], Table4[Website], "Not Found", 0)</f>
        <v>11</v>
      </c>
      <c r="T736" s="16">
        <f>_xlfn.XLOOKUP(CustomerCombinedCleaned[[#This Row],[ID]], Table4[ID], Table4[Catalog], "Not Found", 0)</f>
        <v>8</v>
      </c>
      <c r="U736" s="16">
        <f>_xlfn.XLOOKUP(CustomerCombinedCleaned[[#This Row],[ID]], Table4[ID], Table4[Store], "Not Found", 0)</f>
        <v>5</v>
      </c>
      <c r="V736" s="16">
        <f>_xlfn.XLOOKUP(CustomerCombinedCleaned[[#This Row],[ID]], Table4[ID], Table4[Visits], "Not Found", 0)</f>
        <v>8</v>
      </c>
      <c r="W736" s="16">
        <f>_xlfn.XLOOKUP(CustomerCombinedCleaned[[#This Row],[ID]], Table2[ID],Table2[Complaint], "Not Found", 0 )</f>
        <v>0</v>
      </c>
      <c r="X736" s="16">
        <f>_xlfn.XLOOKUP(CustomerCombinedCleaned[[#This Row],[ID]], Table2[ID],Table2[Pilot], "Not Found", 0 )</f>
        <v>0</v>
      </c>
      <c r="Y736" s="16">
        <f>_xlfn.XLOOKUP(CustomerCombinedCleaned[[#This Row],[ID]], Table2[ID],Table2[MC1], "Not Found", 0 )</f>
        <v>0</v>
      </c>
      <c r="Z736" s="16">
        <f>_xlfn.XLOOKUP(CustomerCombinedCleaned[[#This Row],[ID]], Table2[ID],Table2[MC2], "Not Found", 0 )</f>
        <v>0</v>
      </c>
      <c r="AA736" s="16">
        <f>_xlfn.XLOOKUP(CustomerCombinedCleaned[[#This Row],[ID]], Table2[ID],Table2[MC3], "Not Found", 0 )</f>
        <v>1</v>
      </c>
      <c r="AB736" s="16">
        <f>_xlfn.XLOOKUP(CustomerCombinedCleaned[[#This Row],[ID]], Table2[ID],Table2[MC4], "Not Found", 0 )</f>
        <v>0</v>
      </c>
      <c r="AC736" s="16">
        <f>_xlfn.XLOOKUP(CustomerCombinedCleaned[[#This Row],[ID]], Table2[ID],Table2[MC5], "Not Found", 0 )</f>
        <v>0</v>
      </c>
    </row>
    <row r="737" spans="1:29" x14ac:dyDescent="0.3">
      <c r="A737" s="18">
        <v>2260</v>
      </c>
      <c r="B737" s="16">
        <v>146149</v>
      </c>
      <c r="C737" s="16">
        <v>0</v>
      </c>
      <c r="D737" s="16">
        <v>1</v>
      </c>
      <c r="E737" s="16">
        <v>45</v>
      </c>
      <c r="F737" s="17" t="s">
        <v>6</v>
      </c>
      <c r="G737" s="17" t="s">
        <v>11</v>
      </c>
      <c r="H737" s="3" t="s">
        <v>761</v>
      </c>
      <c r="I737" s="5" t="s">
        <v>439</v>
      </c>
      <c r="J737" s="16">
        <f>_xlfn.XLOOKUP(CustomerCombinedCleaned[[#This Row],[ID]], Table4[ID], Table4[Recency], "Not Found", 0)</f>
        <v>36</v>
      </c>
      <c r="K737" s="16">
        <f>_xlfn.XLOOKUP(CustomerCombinedCleaned[[#This Row],[ID]], Table4[ID], Table4[Teas], "Not Found", 0)</f>
        <v>804</v>
      </c>
      <c r="L737" s="16">
        <f>_xlfn.XLOOKUP(CustomerCombinedCleaned[[#This Row],[ID]], Table4[ID], Table4[Fruits], "Not Found", 0)</f>
        <v>19</v>
      </c>
      <c r="M737" s="16">
        <f>_xlfn.XLOOKUP(CustomerCombinedCleaned[[#This Row],[ID]], Table4[ID], Table4[Meats], "Not Found", 0)</f>
        <v>225</v>
      </c>
      <c r="N737" s="16">
        <f>_xlfn.XLOOKUP(CustomerCombinedCleaned[[#This Row],[ID]], Table4[ID], Table4[Seafood], "Not Found", 0)</f>
        <v>13</v>
      </c>
      <c r="O737" s="16">
        <f>_xlfn.XLOOKUP(CustomerCombinedCleaned[[#This Row],[ID]], Table4[ID], Table4[Sweets], "Not Found", 0)</f>
        <v>0</v>
      </c>
      <c r="P737" s="16">
        <f>_xlfn.XLOOKUP(CustomerCombinedCleaned[[#This Row],[ID]], Table4[ID], Table4[Premium], "Not Found", 0)</f>
        <v>86</v>
      </c>
      <c r="Q737" s="16">
        <f>_xlfn.XLOOKUP(CustomerCombinedCleaned[[#This Row],[ID]], Table4[ID], Table4[Regular], "Not Found", 0)</f>
        <v>975</v>
      </c>
      <c r="R737" s="16">
        <f>_xlfn.XLOOKUP(CustomerCombinedCleaned[[#This Row],[ID]], Table4[ID], Table4[Deals], "Not Found", 0)</f>
        <v>5</v>
      </c>
      <c r="S737" s="16">
        <f>_xlfn.XLOOKUP(CustomerCombinedCleaned[[#This Row],[ID]], Table4[ID], Table4[Website], "Not Found", 0)</f>
        <v>5</v>
      </c>
      <c r="T737" s="16">
        <f>_xlfn.XLOOKUP(CustomerCombinedCleaned[[#This Row],[ID]], Table4[ID], Table4[Catalog], "Not Found", 0)</f>
        <v>1</v>
      </c>
      <c r="U737" s="16">
        <f>_xlfn.XLOOKUP(CustomerCombinedCleaned[[#This Row],[ID]], Table4[ID], Table4[Store], "Not Found", 0)</f>
        <v>7</v>
      </c>
      <c r="V737" s="16">
        <f>_xlfn.XLOOKUP(CustomerCombinedCleaned[[#This Row],[ID]], Table4[ID], Table4[Visits], "Not Found", 0)</f>
        <v>5</v>
      </c>
      <c r="W737" s="16">
        <f>_xlfn.XLOOKUP(CustomerCombinedCleaned[[#This Row],[ID]], Table2[ID],Table2[Complaint], "Not Found", 0 )</f>
        <v>0</v>
      </c>
      <c r="X737" s="16">
        <f>_xlfn.XLOOKUP(CustomerCombinedCleaned[[#This Row],[ID]], Table2[ID],Table2[Pilot], "Not Found", 0 )</f>
        <v>0</v>
      </c>
      <c r="Y737" s="16">
        <f>_xlfn.XLOOKUP(CustomerCombinedCleaned[[#This Row],[ID]], Table2[ID],Table2[MC1], "Not Found", 0 )</f>
        <v>0</v>
      </c>
      <c r="Z737" s="16">
        <f>_xlfn.XLOOKUP(CustomerCombinedCleaned[[#This Row],[ID]], Table2[ID],Table2[MC2], "Not Found", 0 )</f>
        <v>0</v>
      </c>
      <c r="AA737" s="16">
        <f>_xlfn.XLOOKUP(CustomerCombinedCleaned[[#This Row],[ID]], Table2[ID],Table2[MC3], "Not Found", 0 )</f>
        <v>0</v>
      </c>
      <c r="AB737" s="16">
        <f>_xlfn.XLOOKUP(CustomerCombinedCleaned[[#This Row],[ID]], Table2[ID],Table2[MC4], "Not Found", 0 )</f>
        <v>0</v>
      </c>
      <c r="AC737" s="16">
        <f>_xlfn.XLOOKUP(CustomerCombinedCleaned[[#This Row],[ID]], Table2[ID],Table2[MC5], "Not Found", 0 )</f>
        <v>0</v>
      </c>
    </row>
    <row r="738" spans="1:29" x14ac:dyDescent="0.3">
      <c r="A738" s="18">
        <v>1359</v>
      </c>
      <c r="B738" s="16">
        <v>146098</v>
      </c>
      <c r="C738" s="16">
        <v>1</v>
      </c>
      <c r="D738" s="16">
        <v>1</v>
      </c>
      <c r="E738" s="16">
        <v>45</v>
      </c>
      <c r="F738" s="17" t="s">
        <v>7</v>
      </c>
      <c r="G738" s="17" t="s">
        <v>12</v>
      </c>
      <c r="H738" s="3" t="s">
        <v>410</v>
      </c>
      <c r="I738" s="5" t="s">
        <v>435</v>
      </c>
      <c r="J738" s="16">
        <f>_xlfn.XLOOKUP(CustomerCombinedCleaned[[#This Row],[ID]], Table4[ID], Table4[Recency], "Not Found", 0)</f>
        <v>86</v>
      </c>
      <c r="K738" s="16">
        <f>_xlfn.XLOOKUP(CustomerCombinedCleaned[[#This Row],[ID]], Table4[ID], Table4[Teas], "Not Found", 0)</f>
        <v>181</v>
      </c>
      <c r="L738" s="16">
        <f>_xlfn.XLOOKUP(CustomerCombinedCleaned[[#This Row],[ID]], Table4[ID], Table4[Fruits], "Not Found", 0)</f>
        <v>0</v>
      </c>
      <c r="M738" s="16">
        <f>_xlfn.XLOOKUP(CustomerCombinedCleaned[[#This Row],[ID]], Table4[ID], Table4[Meats], "Not Found", 0)</f>
        <v>86</v>
      </c>
      <c r="N738" s="16">
        <f>_xlfn.XLOOKUP(CustomerCombinedCleaned[[#This Row],[ID]], Table4[ID], Table4[Seafood], "Not Found", 0)</f>
        <v>0</v>
      </c>
      <c r="O738" s="16">
        <f>_xlfn.XLOOKUP(CustomerCombinedCleaned[[#This Row],[ID]], Table4[ID], Table4[Sweets], "Not Found", 0)</f>
        <v>0</v>
      </c>
      <c r="P738" s="16">
        <f>_xlfn.XLOOKUP(CustomerCombinedCleaned[[#This Row],[ID]], Table4[ID], Table4[Premium], "Not Found", 0)</f>
        <v>114</v>
      </c>
      <c r="Q738" s="16">
        <f>_xlfn.XLOOKUP(CustomerCombinedCleaned[[#This Row],[ID]], Table4[ID], Table4[Regular], "Not Found", 0)</f>
        <v>152</v>
      </c>
      <c r="R738" s="16">
        <f>_xlfn.XLOOKUP(CustomerCombinedCleaned[[#This Row],[ID]], Table4[ID], Table4[Deals], "Not Found", 0)</f>
        <v>4</v>
      </c>
      <c r="S738" s="16">
        <f>_xlfn.XLOOKUP(CustomerCombinedCleaned[[#This Row],[ID]], Table4[ID], Table4[Website], "Not Found", 0)</f>
        <v>3</v>
      </c>
      <c r="T738" s="16">
        <f>_xlfn.XLOOKUP(CustomerCombinedCleaned[[#This Row],[ID]], Table4[ID], Table4[Catalog], "Not Found", 0)</f>
        <v>2</v>
      </c>
      <c r="U738" s="16">
        <f>_xlfn.XLOOKUP(CustomerCombinedCleaned[[#This Row],[ID]], Table4[ID], Table4[Store], "Not Found", 0)</f>
        <v>2</v>
      </c>
      <c r="V738" s="16">
        <f>_xlfn.XLOOKUP(CustomerCombinedCleaned[[#This Row],[ID]], Table4[ID], Table4[Visits], "Not Found", 0)</f>
        <v>8</v>
      </c>
      <c r="W738" s="16">
        <f>_xlfn.XLOOKUP(CustomerCombinedCleaned[[#This Row],[ID]], Table2[ID],Table2[Complaint], "Not Found", 0 )</f>
        <v>0</v>
      </c>
      <c r="X738" s="16">
        <f>_xlfn.XLOOKUP(CustomerCombinedCleaned[[#This Row],[ID]], Table2[ID],Table2[Pilot], "Not Found", 0 )</f>
        <v>0</v>
      </c>
      <c r="Y738" s="16">
        <f>_xlfn.XLOOKUP(CustomerCombinedCleaned[[#This Row],[ID]], Table2[ID],Table2[MC1], "Not Found", 0 )</f>
        <v>0</v>
      </c>
      <c r="Z738" s="16">
        <f>_xlfn.XLOOKUP(CustomerCombinedCleaned[[#This Row],[ID]], Table2[ID],Table2[MC2], "Not Found", 0 )</f>
        <v>0</v>
      </c>
      <c r="AA738" s="16">
        <f>_xlfn.XLOOKUP(CustomerCombinedCleaned[[#This Row],[ID]], Table2[ID],Table2[MC3], "Not Found", 0 )</f>
        <v>0</v>
      </c>
      <c r="AB738" s="16">
        <f>_xlfn.XLOOKUP(CustomerCombinedCleaned[[#This Row],[ID]], Table2[ID],Table2[MC4], "Not Found", 0 )</f>
        <v>0</v>
      </c>
      <c r="AC738" s="16">
        <f>_xlfn.XLOOKUP(CustomerCombinedCleaned[[#This Row],[ID]], Table2[ID],Table2[MC5], "Not Found", 0 )</f>
        <v>0</v>
      </c>
    </row>
    <row r="739" spans="1:29" x14ac:dyDescent="0.3">
      <c r="A739" s="18">
        <v>2487</v>
      </c>
      <c r="B739" s="16">
        <v>146098</v>
      </c>
      <c r="C739" s="16">
        <v>1</v>
      </c>
      <c r="D739" s="16">
        <v>1</v>
      </c>
      <c r="E739" s="16">
        <v>45</v>
      </c>
      <c r="F739" s="17" t="s">
        <v>7</v>
      </c>
      <c r="G739" s="17" t="s">
        <v>12</v>
      </c>
      <c r="H739" s="3" t="s">
        <v>410</v>
      </c>
      <c r="I739" s="5" t="s">
        <v>435</v>
      </c>
      <c r="J739" s="16">
        <f>_xlfn.XLOOKUP(CustomerCombinedCleaned[[#This Row],[ID]], Table4[ID], Table4[Recency], "Not Found", 0)</f>
        <v>86</v>
      </c>
      <c r="K739" s="16">
        <f>_xlfn.XLOOKUP(CustomerCombinedCleaned[[#This Row],[ID]], Table4[ID], Table4[Teas], "Not Found", 0)</f>
        <v>181</v>
      </c>
      <c r="L739" s="16">
        <f>_xlfn.XLOOKUP(CustomerCombinedCleaned[[#This Row],[ID]], Table4[ID], Table4[Fruits], "Not Found", 0)</f>
        <v>0</v>
      </c>
      <c r="M739" s="16">
        <f>_xlfn.XLOOKUP(CustomerCombinedCleaned[[#This Row],[ID]], Table4[ID], Table4[Meats], "Not Found", 0)</f>
        <v>86</v>
      </c>
      <c r="N739" s="16">
        <f>_xlfn.XLOOKUP(CustomerCombinedCleaned[[#This Row],[ID]], Table4[ID], Table4[Seafood], "Not Found", 0)</f>
        <v>0</v>
      </c>
      <c r="O739" s="16">
        <f>_xlfn.XLOOKUP(CustomerCombinedCleaned[[#This Row],[ID]], Table4[ID], Table4[Sweets], "Not Found", 0)</f>
        <v>0</v>
      </c>
      <c r="P739" s="16">
        <f>_xlfn.XLOOKUP(CustomerCombinedCleaned[[#This Row],[ID]], Table4[ID], Table4[Premium], "Not Found", 0)</f>
        <v>114</v>
      </c>
      <c r="Q739" s="16">
        <f>_xlfn.XLOOKUP(CustomerCombinedCleaned[[#This Row],[ID]], Table4[ID], Table4[Regular], "Not Found", 0)</f>
        <v>152</v>
      </c>
      <c r="R739" s="16">
        <f>_xlfn.XLOOKUP(CustomerCombinedCleaned[[#This Row],[ID]], Table4[ID], Table4[Deals], "Not Found", 0)</f>
        <v>4</v>
      </c>
      <c r="S739" s="16">
        <f>_xlfn.XLOOKUP(CustomerCombinedCleaned[[#This Row],[ID]], Table4[ID], Table4[Website], "Not Found", 0)</f>
        <v>3</v>
      </c>
      <c r="T739" s="16">
        <f>_xlfn.XLOOKUP(CustomerCombinedCleaned[[#This Row],[ID]], Table4[ID], Table4[Catalog], "Not Found", 0)</f>
        <v>2</v>
      </c>
      <c r="U739" s="16">
        <f>_xlfn.XLOOKUP(CustomerCombinedCleaned[[#This Row],[ID]], Table4[ID], Table4[Store], "Not Found", 0)</f>
        <v>2</v>
      </c>
      <c r="V739" s="16">
        <f>_xlfn.XLOOKUP(CustomerCombinedCleaned[[#This Row],[ID]], Table4[ID], Table4[Visits], "Not Found", 0)</f>
        <v>8</v>
      </c>
      <c r="W739" s="16">
        <f>_xlfn.XLOOKUP(CustomerCombinedCleaned[[#This Row],[ID]], Table2[ID],Table2[Complaint], "Not Found", 0 )</f>
        <v>0</v>
      </c>
      <c r="X739" s="16">
        <f>_xlfn.XLOOKUP(CustomerCombinedCleaned[[#This Row],[ID]], Table2[ID],Table2[Pilot], "Not Found", 0 )</f>
        <v>0</v>
      </c>
      <c r="Y739" s="16">
        <f>_xlfn.XLOOKUP(CustomerCombinedCleaned[[#This Row],[ID]], Table2[ID],Table2[MC1], "Not Found", 0 )</f>
        <v>0</v>
      </c>
      <c r="Z739" s="16">
        <f>_xlfn.XLOOKUP(CustomerCombinedCleaned[[#This Row],[ID]], Table2[ID],Table2[MC2], "Not Found", 0 )</f>
        <v>0</v>
      </c>
      <c r="AA739" s="16">
        <f>_xlfn.XLOOKUP(CustomerCombinedCleaned[[#This Row],[ID]], Table2[ID],Table2[MC3], "Not Found", 0 )</f>
        <v>0</v>
      </c>
      <c r="AB739" s="16">
        <f>_xlfn.XLOOKUP(CustomerCombinedCleaned[[#This Row],[ID]], Table2[ID],Table2[MC4], "Not Found", 0 )</f>
        <v>0</v>
      </c>
      <c r="AC739" s="16">
        <f>_xlfn.XLOOKUP(CustomerCombinedCleaned[[#This Row],[ID]], Table2[ID],Table2[MC5], "Not Found", 0 )</f>
        <v>0</v>
      </c>
    </row>
    <row r="740" spans="1:29" x14ac:dyDescent="0.3">
      <c r="A740" s="18">
        <v>2509</v>
      </c>
      <c r="B740" s="16">
        <v>146098</v>
      </c>
      <c r="C740" s="16">
        <v>1</v>
      </c>
      <c r="D740" s="16">
        <v>1</v>
      </c>
      <c r="E740" s="16">
        <v>45</v>
      </c>
      <c r="F740" s="17" t="s">
        <v>7</v>
      </c>
      <c r="G740" s="17" t="s">
        <v>12</v>
      </c>
      <c r="H740" s="3" t="s">
        <v>410</v>
      </c>
      <c r="I740" s="5" t="s">
        <v>437</v>
      </c>
      <c r="J740" s="16">
        <f>_xlfn.XLOOKUP(CustomerCombinedCleaned[[#This Row],[ID]], Table4[ID], Table4[Recency], "Not Found", 0)</f>
        <v>86</v>
      </c>
      <c r="K740" s="16">
        <f>_xlfn.XLOOKUP(CustomerCombinedCleaned[[#This Row],[ID]], Table4[ID], Table4[Teas], "Not Found", 0)</f>
        <v>181</v>
      </c>
      <c r="L740" s="16">
        <f>_xlfn.XLOOKUP(CustomerCombinedCleaned[[#This Row],[ID]], Table4[ID], Table4[Fruits], "Not Found", 0)</f>
        <v>0</v>
      </c>
      <c r="M740" s="16">
        <f>_xlfn.XLOOKUP(CustomerCombinedCleaned[[#This Row],[ID]], Table4[ID], Table4[Meats], "Not Found", 0)</f>
        <v>86</v>
      </c>
      <c r="N740" s="16">
        <f>_xlfn.XLOOKUP(CustomerCombinedCleaned[[#This Row],[ID]], Table4[ID], Table4[Seafood], "Not Found", 0)</f>
        <v>0</v>
      </c>
      <c r="O740" s="16">
        <f>_xlfn.XLOOKUP(CustomerCombinedCleaned[[#This Row],[ID]], Table4[ID], Table4[Sweets], "Not Found", 0)</f>
        <v>0</v>
      </c>
      <c r="P740" s="16">
        <f>_xlfn.XLOOKUP(CustomerCombinedCleaned[[#This Row],[ID]], Table4[ID], Table4[Premium], "Not Found", 0)</f>
        <v>114</v>
      </c>
      <c r="Q740" s="16">
        <f>_xlfn.XLOOKUP(CustomerCombinedCleaned[[#This Row],[ID]], Table4[ID], Table4[Regular], "Not Found", 0)</f>
        <v>152</v>
      </c>
      <c r="R740" s="16">
        <f>_xlfn.XLOOKUP(CustomerCombinedCleaned[[#This Row],[ID]], Table4[ID], Table4[Deals], "Not Found", 0)</f>
        <v>4</v>
      </c>
      <c r="S740" s="16">
        <f>_xlfn.XLOOKUP(CustomerCombinedCleaned[[#This Row],[ID]], Table4[ID], Table4[Website], "Not Found", 0)</f>
        <v>3</v>
      </c>
      <c r="T740" s="16">
        <f>_xlfn.XLOOKUP(CustomerCombinedCleaned[[#This Row],[ID]], Table4[ID], Table4[Catalog], "Not Found", 0)</f>
        <v>2</v>
      </c>
      <c r="U740" s="16">
        <f>_xlfn.XLOOKUP(CustomerCombinedCleaned[[#This Row],[ID]], Table4[ID], Table4[Store], "Not Found", 0)</f>
        <v>2</v>
      </c>
      <c r="V740" s="16">
        <f>_xlfn.XLOOKUP(CustomerCombinedCleaned[[#This Row],[ID]], Table4[ID], Table4[Visits], "Not Found", 0)</f>
        <v>8</v>
      </c>
      <c r="W740" s="16">
        <f>_xlfn.XLOOKUP(CustomerCombinedCleaned[[#This Row],[ID]], Table2[ID],Table2[Complaint], "Not Found", 0 )</f>
        <v>0</v>
      </c>
      <c r="X740" s="16">
        <f>_xlfn.XLOOKUP(CustomerCombinedCleaned[[#This Row],[ID]], Table2[ID],Table2[Pilot], "Not Found", 0 )</f>
        <v>1</v>
      </c>
      <c r="Y740" s="16">
        <f>_xlfn.XLOOKUP(CustomerCombinedCleaned[[#This Row],[ID]], Table2[ID],Table2[MC1], "Not Found", 0 )</f>
        <v>0</v>
      </c>
      <c r="Z740" s="16">
        <f>_xlfn.XLOOKUP(CustomerCombinedCleaned[[#This Row],[ID]], Table2[ID],Table2[MC2], "Not Found", 0 )</f>
        <v>0</v>
      </c>
      <c r="AA740" s="16">
        <f>_xlfn.XLOOKUP(CustomerCombinedCleaned[[#This Row],[ID]], Table2[ID],Table2[MC3], "Not Found", 0 )</f>
        <v>0</v>
      </c>
      <c r="AB740" s="16">
        <f>_xlfn.XLOOKUP(CustomerCombinedCleaned[[#This Row],[ID]], Table2[ID],Table2[MC4], "Not Found", 0 )</f>
        <v>0</v>
      </c>
      <c r="AC740" s="16">
        <f>_xlfn.XLOOKUP(CustomerCombinedCleaned[[#This Row],[ID]], Table2[ID],Table2[MC5], "Not Found", 0 )</f>
        <v>0</v>
      </c>
    </row>
    <row r="741" spans="1:29" x14ac:dyDescent="0.3">
      <c r="A741" s="18">
        <v>2307</v>
      </c>
      <c r="B741" s="16">
        <v>145503</v>
      </c>
      <c r="C741" s="16">
        <v>1</v>
      </c>
      <c r="D741" s="16">
        <v>0</v>
      </c>
      <c r="E741" s="16">
        <v>45</v>
      </c>
      <c r="F741" s="17" t="s">
        <v>6</v>
      </c>
      <c r="G741" s="17" t="s">
        <v>13</v>
      </c>
      <c r="H741" s="3" t="s">
        <v>763</v>
      </c>
      <c r="I741" s="5" t="s">
        <v>435</v>
      </c>
      <c r="J741" s="16">
        <f>_xlfn.XLOOKUP(CustomerCombinedCleaned[[#This Row],[ID]], Table4[ID], Table4[Recency], "Not Found", 0)</f>
        <v>54</v>
      </c>
      <c r="K741" s="16">
        <f>_xlfn.XLOOKUP(CustomerCombinedCleaned[[#This Row],[ID]], Table4[ID], Table4[Teas], "Not Found", 0)</f>
        <v>310</v>
      </c>
      <c r="L741" s="16">
        <f>_xlfn.XLOOKUP(CustomerCombinedCleaned[[#This Row],[ID]], Table4[ID], Table4[Fruits], "Not Found", 0)</f>
        <v>13</v>
      </c>
      <c r="M741" s="16">
        <f>_xlfn.XLOOKUP(CustomerCombinedCleaned[[#This Row],[ID]], Table4[ID], Table4[Meats], "Not Found", 0)</f>
        <v>141</v>
      </c>
      <c r="N741" s="16">
        <f>_xlfn.XLOOKUP(CustomerCombinedCleaned[[#This Row],[ID]], Table4[ID], Table4[Seafood], "Not Found", 0)</f>
        <v>19</v>
      </c>
      <c r="O741" s="16">
        <f>_xlfn.XLOOKUP(CustomerCombinedCleaned[[#This Row],[ID]], Table4[ID], Table4[Sweets], "Not Found", 0)</f>
        <v>3</v>
      </c>
      <c r="P741" s="16">
        <f>_xlfn.XLOOKUP(CustomerCombinedCleaned[[#This Row],[ID]], Table4[ID], Table4[Premium], "Not Found", 0)</f>
        <v>58</v>
      </c>
      <c r="Q741" s="16">
        <f>_xlfn.XLOOKUP(CustomerCombinedCleaned[[#This Row],[ID]], Table4[ID], Table4[Regular], "Not Found", 0)</f>
        <v>428</v>
      </c>
      <c r="R741" s="16">
        <f>_xlfn.XLOOKUP(CustomerCombinedCleaned[[#This Row],[ID]], Table4[ID], Table4[Deals], "Not Found", 0)</f>
        <v>1</v>
      </c>
      <c r="S741" s="16">
        <f>_xlfn.XLOOKUP(CustomerCombinedCleaned[[#This Row],[ID]], Table4[ID], Table4[Website], "Not Found", 0)</f>
        <v>3</v>
      </c>
      <c r="T741" s="16">
        <f>_xlfn.XLOOKUP(CustomerCombinedCleaned[[#This Row],[ID]], Table4[ID], Table4[Catalog], "Not Found", 0)</f>
        <v>1</v>
      </c>
      <c r="U741" s="16">
        <f>_xlfn.XLOOKUP(CustomerCombinedCleaned[[#This Row],[ID]], Table4[ID], Table4[Store], "Not Found", 0)</f>
        <v>4</v>
      </c>
      <c r="V741" s="16">
        <f>_xlfn.XLOOKUP(CustomerCombinedCleaned[[#This Row],[ID]], Table4[ID], Table4[Visits], "Not Found", 0)</f>
        <v>5</v>
      </c>
      <c r="W741" s="16">
        <f>_xlfn.XLOOKUP(CustomerCombinedCleaned[[#This Row],[ID]], Table2[ID],Table2[Complaint], "Not Found", 0 )</f>
        <v>0</v>
      </c>
      <c r="X741" s="16">
        <f>_xlfn.XLOOKUP(CustomerCombinedCleaned[[#This Row],[ID]], Table2[ID],Table2[Pilot], "Not Found", 0 )</f>
        <v>0</v>
      </c>
      <c r="Y741" s="16">
        <f>_xlfn.XLOOKUP(CustomerCombinedCleaned[[#This Row],[ID]], Table2[ID],Table2[MC1], "Not Found", 0 )</f>
        <v>0</v>
      </c>
      <c r="Z741" s="16">
        <f>_xlfn.XLOOKUP(CustomerCombinedCleaned[[#This Row],[ID]], Table2[ID],Table2[MC2], "Not Found", 0 )</f>
        <v>0</v>
      </c>
      <c r="AA741" s="16">
        <f>_xlfn.XLOOKUP(CustomerCombinedCleaned[[#This Row],[ID]], Table2[ID],Table2[MC3], "Not Found", 0 )</f>
        <v>0</v>
      </c>
      <c r="AB741" s="16">
        <f>_xlfn.XLOOKUP(CustomerCombinedCleaned[[#This Row],[ID]], Table2[ID],Table2[MC4], "Not Found", 0 )</f>
        <v>0</v>
      </c>
      <c r="AC741" s="16">
        <f>_xlfn.XLOOKUP(CustomerCombinedCleaned[[#This Row],[ID]], Table2[ID],Table2[MC5], "Not Found", 0 )</f>
        <v>0</v>
      </c>
    </row>
    <row r="742" spans="1:29" x14ac:dyDescent="0.3">
      <c r="A742" s="18">
        <v>1271</v>
      </c>
      <c r="B742" s="16">
        <v>144319</v>
      </c>
      <c r="C742" s="16">
        <v>1</v>
      </c>
      <c r="D742" s="16">
        <v>1</v>
      </c>
      <c r="E742" s="16">
        <v>45</v>
      </c>
      <c r="F742" s="17" t="s">
        <v>6</v>
      </c>
      <c r="G742" s="17" t="s">
        <v>12</v>
      </c>
      <c r="H742" s="3" t="s">
        <v>65</v>
      </c>
      <c r="I742" s="5" t="s">
        <v>434</v>
      </c>
      <c r="J742" s="16">
        <f>_xlfn.XLOOKUP(CustomerCombinedCleaned[[#This Row],[ID]], Table4[ID], Table4[Recency], "Not Found", 0)</f>
        <v>18</v>
      </c>
      <c r="K742" s="16">
        <f>_xlfn.XLOOKUP(CustomerCombinedCleaned[[#This Row],[ID]], Table4[ID], Table4[Teas], "Not Found", 0)</f>
        <v>85</v>
      </c>
      <c r="L742" s="16">
        <f>_xlfn.XLOOKUP(CustomerCombinedCleaned[[#This Row],[ID]], Table4[ID], Table4[Fruits], "Not Found", 0)</f>
        <v>0</v>
      </c>
      <c r="M742" s="16">
        <f>_xlfn.XLOOKUP(CustomerCombinedCleaned[[#This Row],[ID]], Table4[ID], Table4[Meats], "Not Found", 0)</f>
        <v>26</v>
      </c>
      <c r="N742" s="16">
        <f>_xlfn.XLOOKUP(CustomerCombinedCleaned[[#This Row],[ID]], Table4[ID], Table4[Seafood], "Not Found", 0)</f>
        <v>0</v>
      </c>
      <c r="O742" s="16">
        <f>_xlfn.XLOOKUP(CustomerCombinedCleaned[[#This Row],[ID]], Table4[ID], Table4[Sweets], "Not Found", 0)</f>
        <v>0</v>
      </c>
      <c r="P742" s="16">
        <f>_xlfn.XLOOKUP(CustomerCombinedCleaned[[#This Row],[ID]], Table4[ID], Table4[Premium], "Not Found", 0)</f>
        <v>10</v>
      </c>
      <c r="Q742" s="16">
        <f>_xlfn.XLOOKUP(CustomerCombinedCleaned[[#This Row],[ID]], Table4[ID], Table4[Regular], "Not Found", 0)</f>
        <v>101</v>
      </c>
      <c r="R742" s="16">
        <f>_xlfn.XLOOKUP(CustomerCombinedCleaned[[#This Row],[ID]], Table4[ID], Table4[Deals], "Not Found", 0)</f>
        <v>2</v>
      </c>
      <c r="S742" s="16">
        <f>_xlfn.XLOOKUP(CustomerCombinedCleaned[[#This Row],[ID]], Table4[ID], Table4[Website], "Not Found", 0)</f>
        <v>2</v>
      </c>
      <c r="T742" s="16">
        <f>_xlfn.XLOOKUP(CustomerCombinedCleaned[[#This Row],[ID]], Table4[ID], Table4[Catalog], "Not Found", 0)</f>
        <v>0</v>
      </c>
      <c r="U742" s="16">
        <f>_xlfn.XLOOKUP(CustomerCombinedCleaned[[#This Row],[ID]], Table4[ID], Table4[Store], "Not Found", 0)</f>
        <v>3</v>
      </c>
      <c r="V742" s="16">
        <f>_xlfn.XLOOKUP(CustomerCombinedCleaned[[#This Row],[ID]], Table4[ID], Table4[Visits], "Not Found", 0)</f>
        <v>5</v>
      </c>
      <c r="W742" s="16">
        <f>_xlfn.XLOOKUP(CustomerCombinedCleaned[[#This Row],[ID]], Table2[ID],Table2[Complaint], "Not Found", 0 )</f>
        <v>0</v>
      </c>
      <c r="X742" s="16">
        <f>_xlfn.XLOOKUP(CustomerCombinedCleaned[[#This Row],[ID]], Table2[ID],Table2[Pilot], "Not Found", 0 )</f>
        <v>0</v>
      </c>
      <c r="Y742" s="16">
        <f>_xlfn.XLOOKUP(CustomerCombinedCleaned[[#This Row],[ID]], Table2[ID],Table2[MC1], "Not Found", 0 )</f>
        <v>0</v>
      </c>
      <c r="Z742" s="16">
        <f>_xlfn.XLOOKUP(CustomerCombinedCleaned[[#This Row],[ID]], Table2[ID],Table2[MC2], "Not Found", 0 )</f>
        <v>0</v>
      </c>
      <c r="AA742" s="16">
        <f>_xlfn.XLOOKUP(CustomerCombinedCleaned[[#This Row],[ID]], Table2[ID],Table2[MC3], "Not Found", 0 )</f>
        <v>0</v>
      </c>
      <c r="AB742" s="16">
        <f>_xlfn.XLOOKUP(CustomerCombinedCleaned[[#This Row],[ID]], Table2[ID],Table2[MC4], "Not Found", 0 )</f>
        <v>0</v>
      </c>
      <c r="AC742" s="16">
        <f>_xlfn.XLOOKUP(CustomerCombinedCleaned[[#This Row],[ID]], Table2[ID],Table2[MC5], "Not Found", 0 )</f>
        <v>0</v>
      </c>
    </row>
    <row r="743" spans="1:29" x14ac:dyDescent="0.3">
      <c r="A743" s="18">
        <v>1467</v>
      </c>
      <c r="B743" s="16">
        <v>143057</v>
      </c>
      <c r="C743" s="16">
        <v>0</v>
      </c>
      <c r="D743" s="16">
        <v>1</v>
      </c>
      <c r="E743" s="16">
        <v>45</v>
      </c>
      <c r="F743" s="17" t="s">
        <v>6</v>
      </c>
      <c r="G743" s="17" t="s">
        <v>11</v>
      </c>
      <c r="H743" s="3" t="s">
        <v>660</v>
      </c>
      <c r="I743" s="5" t="s">
        <v>435</v>
      </c>
      <c r="J743" s="16">
        <f>_xlfn.XLOOKUP(CustomerCombinedCleaned[[#This Row],[ID]], Table4[ID], Table4[Recency], "Not Found", 0)</f>
        <v>30</v>
      </c>
      <c r="K743" s="16">
        <f>_xlfn.XLOOKUP(CustomerCombinedCleaned[[#This Row],[ID]], Table4[ID], Table4[Teas], "Not Found", 0)</f>
        <v>708</v>
      </c>
      <c r="L743" s="16">
        <f>_xlfn.XLOOKUP(CustomerCombinedCleaned[[#This Row],[ID]], Table4[ID], Table4[Fruits], "Not Found", 0)</f>
        <v>7</v>
      </c>
      <c r="M743" s="16">
        <f>_xlfn.XLOOKUP(CustomerCombinedCleaned[[#This Row],[ID]], Table4[ID], Table4[Meats], "Not Found", 0)</f>
        <v>146</v>
      </c>
      <c r="N743" s="16">
        <f>_xlfn.XLOOKUP(CustomerCombinedCleaned[[#This Row],[ID]], Table4[ID], Table4[Seafood], "Not Found", 0)</f>
        <v>0</v>
      </c>
      <c r="O743" s="16">
        <f>_xlfn.XLOOKUP(CustomerCombinedCleaned[[#This Row],[ID]], Table4[ID], Table4[Sweets], "Not Found", 0)</f>
        <v>7</v>
      </c>
      <c r="P743" s="16">
        <f>_xlfn.XLOOKUP(CustomerCombinedCleaned[[#This Row],[ID]], Table4[ID], Table4[Premium], "Not Found", 0)</f>
        <v>17</v>
      </c>
      <c r="Q743" s="16">
        <f>_xlfn.XLOOKUP(CustomerCombinedCleaned[[#This Row],[ID]], Table4[ID], Table4[Regular], "Not Found", 0)</f>
        <v>851</v>
      </c>
      <c r="R743" s="16">
        <f>_xlfn.XLOOKUP(CustomerCombinedCleaned[[#This Row],[ID]], Table4[ID], Table4[Deals], "Not Found", 0)</f>
        <v>4</v>
      </c>
      <c r="S743" s="16">
        <f>_xlfn.XLOOKUP(CustomerCombinedCleaned[[#This Row],[ID]], Table4[ID], Table4[Website], "Not Found", 0)</f>
        <v>4</v>
      </c>
      <c r="T743" s="16">
        <f>_xlfn.XLOOKUP(CustomerCombinedCleaned[[#This Row],[ID]], Table4[ID], Table4[Catalog], "Not Found", 0)</f>
        <v>2</v>
      </c>
      <c r="U743" s="16">
        <f>_xlfn.XLOOKUP(CustomerCombinedCleaned[[#This Row],[ID]], Table4[ID], Table4[Store], "Not Found", 0)</f>
        <v>5</v>
      </c>
      <c r="V743" s="16">
        <f>_xlfn.XLOOKUP(CustomerCombinedCleaned[[#This Row],[ID]], Table4[ID], Table4[Visits], "Not Found", 0)</f>
        <v>5</v>
      </c>
      <c r="W743" s="16">
        <f>_xlfn.XLOOKUP(CustomerCombinedCleaned[[#This Row],[ID]], Table2[ID],Table2[Complaint], "Not Found", 0 )</f>
        <v>0</v>
      </c>
      <c r="X743" s="16">
        <f>_xlfn.XLOOKUP(CustomerCombinedCleaned[[#This Row],[ID]], Table2[ID],Table2[Pilot], "Not Found", 0 )</f>
        <v>0</v>
      </c>
      <c r="Y743" s="16">
        <f>_xlfn.XLOOKUP(CustomerCombinedCleaned[[#This Row],[ID]], Table2[ID],Table2[MC1], "Not Found", 0 )</f>
        <v>0</v>
      </c>
      <c r="Z743" s="16">
        <f>_xlfn.XLOOKUP(CustomerCombinedCleaned[[#This Row],[ID]], Table2[ID],Table2[MC2], "Not Found", 0 )</f>
        <v>0</v>
      </c>
      <c r="AA743" s="16">
        <f>_xlfn.XLOOKUP(CustomerCombinedCleaned[[#This Row],[ID]], Table2[ID],Table2[MC3], "Not Found", 0 )</f>
        <v>0</v>
      </c>
      <c r="AB743" s="16">
        <f>_xlfn.XLOOKUP(CustomerCombinedCleaned[[#This Row],[ID]], Table2[ID],Table2[MC4], "Not Found", 0 )</f>
        <v>0</v>
      </c>
      <c r="AC743" s="16">
        <f>_xlfn.XLOOKUP(CustomerCombinedCleaned[[#This Row],[ID]], Table2[ID],Table2[MC5], "Not Found", 0 )</f>
        <v>0</v>
      </c>
    </row>
    <row r="744" spans="1:29" x14ac:dyDescent="0.3">
      <c r="A744" s="18">
        <v>2196</v>
      </c>
      <c r="B744" s="16">
        <v>142160</v>
      </c>
      <c r="C744" s="16">
        <v>1</v>
      </c>
      <c r="D744" s="16">
        <v>1</v>
      </c>
      <c r="E744" s="16">
        <v>45</v>
      </c>
      <c r="F744" s="17" t="s">
        <v>7</v>
      </c>
      <c r="G744" s="17" t="s">
        <v>11</v>
      </c>
      <c r="H744" s="3" t="s">
        <v>694</v>
      </c>
      <c r="I744" s="5" t="s">
        <v>436</v>
      </c>
      <c r="J744" s="16">
        <f>_xlfn.XLOOKUP(CustomerCombinedCleaned[[#This Row],[ID]], Table4[ID], Table4[Recency], "Not Found", 0)</f>
        <v>26</v>
      </c>
      <c r="K744" s="16">
        <f>_xlfn.XLOOKUP(CustomerCombinedCleaned[[#This Row],[ID]], Table4[ID], Table4[Teas], "Not Found", 0)</f>
        <v>162</v>
      </c>
      <c r="L744" s="16">
        <f>_xlfn.XLOOKUP(CustomerCombinedCleaned[[#This Row],[ID]], Table4[ID], Table4[Fruits], "Not Found", 0)</f>
        <v>30</v>
      </c>
      <c r="M744" s="16">
        <f>_xlfn.XLOOKUP(CustomerCombinedCleaned[[#This Row],[ID]], Table4[ID], Table4[Meats], "Not Found", 0)</f>
        <v>152</v>
      </c>
      <c r="N744" s="16">
        <f>_xlfn.XLOOKUP(CustomerCombinedCleaned[[#This Row],[ID]], Table4[ID], Table4[Seafood], "Not Found", 0)</f>
        <v>10</v>
      </c>
      <c r="O744" s="16">
        <f>_xlfn.XLOOKUP(CustomerCombinedCleaned[[#This Row],[ID]], Table4[ID], Table4[Sweets], "Not Found", 0)</f>
        <v>51</v>
      </c>
      <c r="P744" s="16">
        <f>_xlfn.XLOOKUP(CustomerCombinedCleaned[[#This Row],[ID]], Table4[ID], Table4[Premium], "Not Found", 0)</f>
        <v>67</v>
      </c>
      <c r="Q744" s="16">
        <f>_xlfn.XLOOKUP(CustomerCombinedCleaned[[#This Row],[ID]], Table4[ID], Table4[Regular], "Not Found", 0)</f>
        <v>337</v>
      </c>
      <c r="R744" s="16">
        <f>_xlfn.XLOOKUP(CustomerCombinedCleaned[[#This Row],[ID]], Table4[ID], Table4[Deals], "Not Found", 0)</f>
        <v>4</v>
      </c>
      <c r="S744" s="16">
        <f>_xlfn.XLOOKUP(CustomerCombinedCleaned[[#This Row],[ID]], Table4[ID], Table4[Website], "Not Found", 0)</f>
        <v>2</v>
      </c>
      <c r="T744" s="16">
        <f>_xlfn.XLOOKUP(CustomerCombinedCleaned[[#This Row],[ID]], Table4[ID], Table4[Catalog], "Not Found", 0)</f>
        <v>1</v>
      </c>
      <c r="U744" s="16">
        <f>_xlfn.XLOOKUP(CustomerCombinedCleaned[[#This Row],[ID]], Table4[ID], Table4[Store], "Not Found", 0)</f>
        <v>4</v>
      </c>
      <c r="V744" s="16">
        <f>_xlfn.XLOOKUP(CustomerCombinedCleaned[[#This Row],[ID]], Table4[ID], Table4[Visits], "Not Found", 0)</f>
        <v>6</v>
      </c>
      <c r="W744" s="16">
        <f>_xlfn.XLOOKUP(CustomerCombinedCleaned[[#This Row],[ID]], Table2[ID],Table2[Complaint], "Not Found", 0 )</f>
        <v>0</v>
      </c>
      <c r="X744" s="16">
        <f>_xlfn.XLOOKUP(CustomerCombinedCleaned[[#This Row],[ID]], Table2[ID],Table2[Pilot], "Not Found", 0 )</f>
        <v>1</v>
      </c>
      <c r="Y744" s="16">
        <f>_xlfn.XLOOKUP(CustomerCombinedCleaned[[#This Row],[ID]], Table2[ID],Table2[MC1], "Not Found", 0 )</f>
        <v>0</v>
      </c>
      <c r="Z744" s="16">
        <f>_xlfn.XLOOKUP(CustomerCombinedCleaned[[#This Row],[ID]], Table2[ID],Table2[MC2], "Not Found", 0 )</f>
        <v>0</v>
      </c>
      <c r="AA744" s="16">
        <f>_xlfn.XLOOKUP(CustomerCombinedCleaned[[#This Row],[ID]], Table2[ID],Table2[MC3], "Not Found", 0 )</f>
        <v>0</v>
      </c>
      <c r="AB744" s="16">
        <f>_xlfn.XLOOKUP(CustomerCombinedCleaned[[#This Row],[ID]], Table2[ID],Table2[MC4], "Not Found", 0 )</f>
        <v>0</v>
      </c>
      <c r="AC744" s="16">
        <f>_xlfn.XLOOKUP(CustomerCombinedCleaned[[#This Row],[ID]], Table2[ID],Table2[MC5], "Not Found", 0 )</f>
        <v>0</v>
      </c>
    </row>
    <row r="745" spans="1:29" x14ac:dyDescent="0.3">
      <c r="A745" s="18">
        <v>2369</v>
      </c>
      <c r="B745" s="16">
        <v>141658</v>
      </c>
      <c r="C745" s="16">
        <v>1</v>
      </c>
      <c r="D745" s="16">
        <v>1</v>
      </c>
      <c r="E745" s="16">
        <v>45</v>
      </c>
      <c r="F745" s="17" t="s">
        <v>7</v>
      </c>
      <c r="G745" s="17" t="s">
        <v>11</v>
      </c>
      <c r="H745" s="3" t="s">
        <v>366</v>
      </c>
      <c r="I745" s="5" t="s">
        <v>434</v>
      </c>
      <c r="J745" s="16">
        <f>_xlfn.XLOOKUP(CustomerCombinedCleaned[[#This Row],[ID]], Table4[ID], Table4[Recency], "Not Found", 0)</f>
        <v>30</v>
      </c>
      <c r="K745" s="16">
        <f>_xlfn.XLOOKUP(CustomerCombinedCleaned[[#This Row],[ID]], Table4[ID], Table4[Teas], "Not Found", 0)</f>
        <v>27</v>
      </c>
      <c r="L745" s="16">
        <f>_xlfn.XLOOKUP(CustomerCombinedCleaned[[#This Row],[ID]], Table4[ID], Table4[Fruits], "Not Found", 0)</f>
        <v>14</v>
      </c>
      <c r="M745" s="16">
        <f>_xlfn.XLOOKUP(CustomerCombinedCleaned[[#This Row],[ID]], Table4[ID], Table4[Meats], "Not Found", 0)</f>
        <v>41</v>
      </c>
      <c r="N745" s="16">
        <f>_xlfn.XLOOKUP(CustomerCombinedCleaned[[#This Row],[ID]], Table4[ID], Table4[Seafood], "Not Found", 0)</f>
        <v>51</v>
      </c>
      <c r="O745" s="16">
        <f>_xlfn.XLOOKUP(CustomerCombinedCleaned[[#This Row],[ID]], Table4[ID], Table4[Sweets], "Not Found", 0)</f>
        <v>14</v>
      </c>
      <c r="P745" s="16">
        <f>_xlfn.XLOOKUP(CustomerCombinedCleaned[[#This Row],[ID]], Table4[ID], Table4[Premium], "Not Found", 0)</f>
        <v>99</v>
      </c>
      <c r="Q745" s="16">
        <f>_xlfn.XLOOKUP(CustomerCombinedCleaned[[#This Row],[ID]], Table4[ID], Table4[Regular], "Not Found", 0)</f>
        <v>48</v>
      </c>
      <c r="R745" s="16">
        <f>_xlfn.XLOOKUP(CustomerCombinedCleaned[[#This Row],[ID]], Table4[ID], Table4[Deals], "Not Found", 0)</f>
        <v>2</v>
      </c>
      <c r="S745" s="16">
        <f>_xlfn.XLOOKUP(CustomerCombinedCleaned[[#This Row],[ID]], Table4[ID], Table4[Website], "Not Found", 0)</f>
        <v>1</v>
      </c>
      <c r="T745" s="16">
        <f>_xlfn.XLOOKUP(CustomerCombinedCleaned[[#This Row],[ID]], Table4[ID], Table4[Catalog], "Not Found", 0)</f>
        <v>1</v>
      </c>
      <c r="U745" s="16">
        <f>_xlfn.XLOOKUP(CustomerCombinedCleaned[[#This Row],[ID]], Table4[ID], Table4[Store], "Not Found", 0)</f>
        <v>2</v>
      </c>
      <c r="V745" s="16">
        <f>_xlfn.XLOOKUP(CustomerCombinedCleaned[[#This Row],[ID]], Table4[ID], Table4[Visits], "Not Found", 0)</f>
        <v>4</v>
      </c>
      <c r="W745" s="16">
        <f>_xlfn.XLOOKUP(CustomerCombinedCleaned[[#This Row],[ID]], Table2[ID],Table2[Complaint], "Not Found", 0 )</f>
        <v>0</v>
      </c>
      <c r="X745" s="16">
        <f>_xlfn.XLOOKUP(CustomerCombinedCleaned[[#This Row],[ID]], Table2[ID],Table2[Pilot], "Not Found", 0 )</f>
        <v>0</v>
      </c>
      <c r="Y745" s="16">
        <f>_xlfn.XLOOKUP(CustomerCombinedCleaned[[#This Row],[ID]], Table2[ID],Table2[MC1], "Not Found", 0 )</f>
        <v>0</v>
      </c>
      <c r="Z745" s="16">
        <f>_xlfn.XLOOKUP(CustomerCombinedCleaned[[#This Row],[ID]], Table2[ID],Table2[MC2], "Not Found", 0 )</f>
        <v>0</v>
      </c>
      <c r="AA745" s="16">
        <f>_xlfn.XLOOKUP(CustomerCombinedCleaned[[#This Row],[ID]], Table2[ID],Table2[MC3], "Not Found", 0 )</f>
        <v>0</v>
      </c>
      <c r="AB745" s="16">
        <f>_xlfn.XLOOKUP(CustomerCombinedCleaned[[#This Row],[ID]], Table2[ID],Table2[MC4], "Not Found", 0 )</f>
        <v>0</v>
      </c>
      <c r="AC745" s="16">
        <f>_xlfn.XLOOKUP(CustomerCombinedCleaned[[#This Row],[ID]], Table2[ID],Table2[MC5], "Not Found", 0 )</f>
        <v>0</v>
      </c>
    </row>
    <row r="746" spans="1:29" x14ac:dyDescent="0.3">
      <c r="A746" s="18">
        <v>2948</v>
      </c>
      <c r="B746" s="16">
        <v>140794</v>
      </c>
      <c r="C746" s="16">
        <v>0</v>
      </c>
      <c r="D746" s="16">
        <v>1</v>
      </c>
      <c r="E746" s="16">
        <v>45</v>
      </c>
      <c r="F746" s="17" t="s">
        <v>6</v>
      </c>
      <c r="G746" s="17" t="s">
        <v>11</v>
      </c>
      <c r="H746" s="3" t="s">
        <v>772</v>
      </c>
      <c r="I746" s="5" t="s">
        <v>438</v>
      </c>
      <c r="J746" s="16">
        <f>_xlfn.XLOOKUP(CustomerCombinedCleaned[[#This Row],[ID]], Table4[ID], Table4[Recency], "Not Found", 0)</f>
        <v>18</v>
      </c>
      <c r="K746" s="16">
        <f>_xlfn.XLOOKUP(CustomerCombinedCleaned[[#This Row],[ID]], Table4[ID], Table4[Teas], "Not Found", 0)</f>
        <v>901</v>
      </c>
      <c r="L746" s="16">
        <f>_xlfn.XLOOKUP(CustomerCombinedCleaned[[#This Row],[ID]], Table4[ID], Table4[Fruits], "Not Found", 0)</f>
        <v>79</v>
      </c>
      <c r="M746" s="16">
        <f>_xlfn.XLOOKUP(CustomerCombinedCleaned[[#This Row],[ID]], Table4[ID], Table4[Meats], "Not Found", 0)</f>
        <v>252</v>
      </c>
      <c r="N746" s="16">
        <f>_xlfn.XLOOKUP(CustomerCombinedCleaned[[#This Row],[ID]], Table4[ID], Table4[Seafood], "Not Found", 0)</f>
        <v>14</v>
      </c>
      <c r="O746" s="16">
        <f>_xlfn.XLOOKUP(CustomerCombinedCleaned[[#This Row],[ID]], Table4[ID], Table4[Sweets], "Not Found", 0)</f>
        <v>79</v>
      </c>
      <c r="P746" s="16">
        <f>_xlfn.XLOOKUP(CustomerCombinedCleaned[[#This Row],[ID]], Table4[ID], Table4[Premium], "Not Found", 0)</f>
        <v>173</v>
      </c>
      <c r="Q746" s="16">
        <f>_xlfn.XLOOKUP(CustomerCombinedCleaned[[#This Row],[ID]], Table4[ID], Table4[Regular], "Not Found", 0)</f>
        <v>1153</v>
      </c>
      <c r="R746" s="16">
        <f>_xlfn.XLOOKUP(CustomerCombinedCleaned[[#This Row],[ID]], Table4[ID], Table4[Deals], "Not Found", 0)</f>
        <v>2</v>
      </c>
      <c r="S746" s="16">
        <f>_xlfn.XLOOKUP(CustomerCombinedCleaned[[#This Row],[ID]], Table4[ID], Table4[Website], "Not Found", 0)</f>
        <v>6</v>
      </c>
      <c r="T746" s="16">
        <f>_xlfn.XLOOKUP(CustomerCombinedCleaned[[#This Row],[ID]], Table4[ID], Table4[Catalog], "Not Found", 0)</f>
        <v>3</v>
      </c>
      <c r="U746" s="16">
        <f>_xlfn.XLOOKUP(CustomerCombinedCleaned[[#This Row],[ID]], Table4[ID], Table4[Store], "Not Found", 0)</f>
        <v>5</v>
      </c>
      <c r="V746" s="16">
        <f>_xlfn.XLOOKUP(CustomerCombinedCleaned[[#This Row],[ID]], Table4[ID], Table4[Visits], "Not Found", 0)</f>
        <v>7</v>
      </c>
      <c r="W746" s="16">
        <f>_xlfn.XLOOKUP(CustomerCombinedCleaned[[#This Row],[ID]], Table2[ID],Table2[Complaint], "Not Found", 0 )</f>
        <v>0</v>
      </c>
      <c r="X746" s="16">
        <f>_xlfn.XLOOKUP(CustomerCombinedCleaned[[#This Row],[ID]], Table2[ID],Table2[Pilot], "Not Found", 0 )</f>
        <v>0</v>
      </c>
      <c r="Y746" s="16">
        <f>_xlfn.XLOOKUP(CustomerCombinedCleaned[[#This Row],[ID]], Table2[ID],Table2[MC1], "Not Found", 0 )</f>
        <v>0</v>
      </c>
      <c r="Z746" s="16">
        <f>_xlfn.XLOOKUP(CustomerCombinedCleaned[[#This Row],[ID]], Table2[ID],Table2[MC2], "Not Found", 0 )</f>
        <v>0</v>
      </c>
      <c r="AA746" s="16">
        <f>_xlfn.XLOOKUP(CustomerCombinedCleaned[[#This Row],[ID]], Table2[ID],Table2[MC3], "Not Found", 0 )</f>
        <v>0</v>
      </c>
      <c r="AB746" s="16">
        <f>_xlfn.XLOOKUP(CustomerCombinedCleaned[[#This Row],[ID]], Table2[ID],Table2[MC4], "Not Found", 0 )</f>
        <v>0</v>
      </c>
      <c r="AC746" s="16">
        <f>_xlfn.XLOOKUP(CustomerCombinedCleaned[[#This Row],[ID]], Table2[ID],Table2[MC5], "Not Found", 0 )</f>
        <v>0</v>
      </c>
    </row>
    <row r="747" spans="1:29" x14ac:dyDescent="0.3">
      <c r="A747" s="18">
        <v>1944</v>
      </c>
      <c r="B747" s="16">
        <v>140233</v>
      </c>
      <c r="C747" s="16">
        <v>0</v>
      </c>
      <c r="D747" s="16">
        <v>1</v>
      </c>
      <c r="E747" s="16">
        <v>45</v>
      </c>
      <c r="F747" s="17" t="s">
        <v>6</v>
      </c>
      <c r="G747" s="17" t="s">
        <v>13</v>
      </c>
      <c r="H747" s="3" t="s">
        <v>168</v>
      </c>
      <c r="I747" s="5" t="s">
        <v>436</v>
      </c>
      <c r="J747" s="16">
        <f>_xlfn.XLOOKUP(CustomerCombinedCleaned[[#This Row],[ID]], Table4[ID], Table4[Recency], "Not Found", 0)</f>
        <v>84</v>
      </c>
      <c r="K747" s="16">
        <f>_xlfn.XLOOKUP(CustomerCombinedCleaned[[#This Row],[ID]], Table4[ID], Table4[Teas], "Not Found", 0)</f>
        <v>279</v>
      </c>
      <c r="L747" s="16">
        <f>_xlfn.XLOOKUP(CustomerCombinedCleaned[[#This Row],[ID]], Table4[ID], Table4[Fruits], "Not Found", 0)</f>
        <v>14</v>
      </c>
      <c r="M747" s="16">
        <f>_xlfn.XLOOKUP(CustomerCombinedCleaned[[#This Row],[ID]], Table4[ID], Table4[Meats], "Not Found", 0)</f>
        <v>160</v>
      </c>
      <c r="N747" s="16">
        <f>_xlfn.XLOOKUP(CustomerCombinedCleaned[[#This Row],[ID]], Table4[ID], Table4[Seafood], "Not Found", 0)</f>
        <v>0</v>
      </c>
      <c r="O747" s="16">
        <f>_xlfn.XLOOKUP(CustomerCombinedCleaned[[#This Row],[ID]], Table4[ID], Table4[Sweets], "Not Found", 0)</f>
        <v>59</v>
      </c>
      <c r="P747" s="16">
        <f>_xlfn.XLOOKUP(CustomerCombinedCleaned[[#This Row],[ID]], Table4[ID], Table4[Premium], "Not Found", 0)</f>
        <v>7</v>
      </c>
      <c r="Q747" s="16">
        <f>_xlfn.XLOOKUP(CustomerCombinedCleaned[[#This Row],[ID]], Table4[ID], Table4[Regular], "Not Found", 0)</f>
        <v>505</v>
      </c>
      <c r="R747" s="16">
        <f>_xlfn.XLOOKUP(CustomerCombinedCleaned[[#This Row],[ID]], Table4[ID], Table4[Deals], "Not Found", 0)</f>
        <v>5</v>
      </c>
      <c r="S747" s="16">
        <f>_xlfn.XLOOKUP(CustomerCombinedCleaned[[#This Row],[ID]], Table4[ID], Table4[Website], "Not Found", 0)</f>
        <v>2</v>
      </c>
      <c r="T747" s="16">
        <f>_xlfn.XLOOKUP(CustomerCombinedCleaned[[#This Row],[ID]], Table4[ID], Table4[Catalog], "Not Found", 0)</f>
        <v>1</v>
      </c>
      <c r="U747" s="16">
        <f>_xlfn.XLOOKUP(CustomerCombinedCleaned[[#This Row],[ID]], Table4[ID], Table4[Store], "Not Found", 0)</f>
        <v>5</v>
      </c>
      <c r="V747" s="16">
        <f>_xlfn.XLOOKUP(CustomerCombinedCleaned[[#This Row],[ID]], Table4[ID], Table4[Visits], "Not Found", 0)</f>
        <v>6</v>
      </c>
      <c r="W747" s="16">
        <f>_xlfn.XLOOKUP(CustomerCombinedCleaned[[#This Row],[ID]], Table2[ID],Table2[Complaint], "Not Found", 0 )</f>
        <v>0</v>
      </c>
      <c r="X747" s="16">
        <f>_xlfn.XLOOKUP(CustomerCombinedCleaned[[#This Row],[ID]], Table2[ID],Table2[Pilot], "Not Found", 0 )</f>
        <v>0</v>
      </c>
      <c r="Y747" s="16">
        <f>_xlfn.XLOOKUP(CustomerCombinedCleaned[[#This Row],[ID]], Table2[ID],Table2[MC1], "Not Found", 0 )</f>
        <v>0</v>
      </c>
      <c r="Z747" s="16">
        <f>_xlfn.XLOOKUP(CustomerCombinedCleaned[[#This Row],[ID]], Table2[ID],Table2[MC2], "Not Found", 0 )</f>
        <v>0</v>
      </c>
      <c r="AA747" s="16">
        <f>_xlfn.XLOOKUP(CustomerCombinedCleaned[[#This Row],[ID]], Table2[ID],Table2[MC3], "Not Found", 0 )</f>
        <v>0</v>
      </c>
      <c r="AB747" s="16">
        <f>_xlfn.XLOOKUP(CustomerCombinedCleaned[[#This Row],[ID]], Table2[ID],Table2[MC4], "Not Found", 0 )</f>
        <v>0</v>
      </c>
      <c r="AC747" s="16">
        <f>_xlfn.XLOOKUP(CustomerCombinedCleaned[[#This Row],[ID]], Table2[ID],Table2[MC5], "Not Found", 0 )</f>
        <v>0</v>
      </c>
    </row>
    <row r="748" spans="1:29" x14ac:dyDescent="0.3">
      <c r="A748" s="18">
        <v>2257</v>
      </c>
      <c r="B748" s="16">
        <v>137368</v>
      </c>
      <c r="C748" s="16">
        <v>1</v>
      </c>
      <c r="D748" s="16">
        <v>0</v>
      </c>
      <c r="E748" s="16">
        <v>45</v>
      </c>
      <c r="F748" s="17" t="s">
        <v>6</v>
      </c>
      <c r="G748" s="17" t="s">
        <v>12</v>
      </c>
      <c r="H748" s="3" t="s">
        <v>132</v>
      </c>
      <c r="I748" s="5" t="s">
        <v>437</v>
      </c>
      <c r="J748" s="16">
        <f>_xlfn.XLOOKUP(CustomerCombinedCleaned[[#This Row],[ID]], Table4[ID], Table4[Recency], "Not Found", 0)</f>
        <v>4</v>
      </c>
      <c r="K748" s="16">
        <f>_xlfn.XLOOKUP(CustomerCombinedCleaned[[#This Row],[ID]], Table4[ID], Table4[Teas], "Not Found", 0)</f>
        <v>11</v>
      </c>
      <c r="L748" s="16">
        <f>_xlfn.XLOOKUP(CustomerCombinedCleaned[[#This Row],[ID]], Table4[ID], Table4[Fruits], "Not Found", 0)</f>
        <v>7</v>
      </c>
      <c r="M748" s="16">
        <f>_xlfn.XLOOKUP(CustomerCombinedCleaned[[#This Row],[ID]], Table4[ID], Table4[Meats], "Not Found", 0)</f>
        <v>40</v>
      </c>
      <c r="N748" s="16">
        <f>_xlfn.XLOOKUP(CustomerCombinedCleaned[[#This Row],[ID]], Table4[ID], Table4[Seafood], "Not Found", 0)</f>
        <v>7</v>
      </c>
      <c r="O748" s="16">
        <f>_xlfn.XLOOKUP(CustomerCombinedCleaned[[#This Row],[ID]], Table4[ID], Table4[Sweets], "Not Found", 0)</f>
        <v>7</v>
      </c>
      <c r="P748" s="16">
        <f>_xlfn.XLOOKUP(CustomerCombinedCleaned[[#This Row],[ID]], Table4[ID], Table4[Premium], "Not Found", 0)</f>
        <v>37</v>
      </c>
      <c r="Q748" s="16">
        <f>_xlfn.XLOOKUP(CustomerCombinedCleaned[[#This Row],[ID]], Table4[ID], Table4[Regular], "Not Found", 0)</f>
        <v>37</v>
      </c>
      <c r="R748" s="16">
        <f>_xlfn.XLOOKUP(CustomerCombinedCleaned[[#This Row],[ID]], Table4[ID], Table4[Deals], "Not Found", 0)</f>
        <v>1</v>
      </c>
      <c r="S748" s="16">
        <f>_xlfn.XLOOKUP(CustomerCombinedCleaned[[#This Row],[ID]], Table4[ID], Table4[Website], "Not Found", 0)</f>
        <v>1</v>
      </c>
      <c r="T748" s="16">
        <f>_xlfn.XLOOKUP(CustomerCombinedCleaned[[#This Row],[ID]], Table4[ID], Table4[Catalog], "Not Found", 0)</f>
        <v>0</v>
      </c>
      <c r="U748" s="16">
        <f>_xlfn.XLOOKUP(CustomerCombinedCleaned[[#This Row],[ID]], Table4[ID], Table4[Store], "Not Found", 0)</f>
        <v>2</v>
      </c>
      <c r="V748" s="16">
        <f>_xlfn.XLOOKUP(CustomerCombinedCleaned[[#This Row],[ID]], Table4[ID], Table4[Visits], "Not Found", 0)</f>
        <v>6</v>
      </c>
      <c r="W748" s="16">
        <f>_xlfn.XLOOKUP(CustomerCombinedCleaned[[#This Row],[ID]], Table2[ID],Table2[Complaint], "Not Found", 0 )</f>
        <v>0</v>
      </c>
      <c r="X748" s="16">
        <f>_xlfn.XLOOKUP(CustomerCombinedCleaned[[#This Row],[ID]], Table2[ID],Table2[Pilot], "Not Found", 0 )</f>
        <v>0</v>
      </c>
      <c r="Y748" s="16">
        <f>_xlfn.XLOOKUP(CustomerCombinedCleaned[[#This Row],[ID]], Table2[ID],Table2[MC1], "Not Found", 0 )</f>
        <v>0</v>
      </c>
      <c r="Z748" s="16">
        <f>_xlfn.XLOOKUP(CustomerCombinedCleaned[[#This Row],[ID]], Table2[ID],Table2[MC2], "Not Found", 0 )</f>
        <v>0</v>
      </c>
      <c r="AA748" s="16">
        <f>_xlfn.XLOOKUP(CustomerCombinedCleaned[[#This Row],[ID]], Table2[ID],Table2[MC3], "Not Found", 0 )</f>
        <v>1</v>
      </c>
      <c r="AB748" s="16">
        <f>_xlfn.XLOOKUP(CustomerCombinedCleaned[[#This Row],[ID]], Table2[ID],Table2[MC4], "Not Found", 0 )</f>
        <v>0</v>
      </c>
      <c r="AC748" s="16">
        <f>_xlfn.XLOOKUP(CustomerCombinedCleaned[[#This Row],[ID]], Table2[ID],Table2[MC5], "Not Found", 0 )</f>
        <v>0</v>
      </c>
    </row>
    <row r="749" spans="1:29" x14ac:dyDescent="0.3">
      <c r="A749" s="18">
        <v>2525</v>
      </c>
      <c r="B749" s="16">
        <v>137284</v>
      </c>
      <c r="C749" s="16">
        <v>1</v>
      </c>
      <c r="D749" s="16">
        <v>1</v>
      </c>
      <c r="E749" s="16">
        <v>45</v>
      </c>
      <c r="F749" s="17" t="s">
        <v>6</v>
      </c>
      <c r="G749" s="17" t="s">
        <v>11</v>
      </c>
      <c r="H749" s="3" t="s">
        <v>657</v>
      </c>
      <c r="I749" s="5" t="s">
        <v>434</v>
      </c>
      <c r="J749" s="16">
        <f>_xlfn.XLOOKUP(CustomerCombinedCleaned[[#This Row],[ID]], Table4[ID], Table4[Recency], "Not Found", 0)</f>
        <v>46</v>
      </c>
      <c r="K749" s="16">
        <f>_xlfn.XLOOKUP(CustomerCombinedCleaned[[#This Row],[ID]], Table4[ID], Table4[Teas], "Not Found", 0)</f>
        <v>41</v>
      </c>
      <c r="L749" s="16">
        <f>_xlfn.XLOOKUP(CustomerCombinedCleaned[[#This Row],[ID]], Table4[ID], Table4[Fruits], "Not Found", 0)</f>
        <v>4</v>
      </c>
      <c r="M749" s="16">
        <f>_xlfn.XLOOKUP(CustomerCombinedCleaned[[#This Row],[ID]], Table4[ID], Table4[Meats], "Not Found", 0)</f>
        <v>7</v>
      </c>
      <c r="N749" s="16">
        <f>_xlfn.XLOOKUP(CustomerCombinedCleaned[[#This Row],[ID]], Table4[ID], Table4[Seafood], "Not Found", 0)</f>
        <v>7</v>
      </c>
      <c r="O749" s="16">
        <f>_xlfn.XLOOKUP(CustomerCombinedCleaned[[#This Row],[ID]], Table4[ID], Table4[Sweets], "Not Found", 0)</f>
        <v>4</v>
      </c>
      <c r="P749" s="16">
        <f>_xlfn.XLOOKUP(CustomerCombinedCleaned[[#This Row],[ID]], Table4[ID], Table4[Premium], "Not Found", 0)</f>
        <v>22</v>
      </c>
      <c r="Q749" s="16">
        <f>_xlfn.XLOOKUP(CustomerCombinedCleaned[[#This Row],[ID]], Table4[ID], Table4[Regular], "Not Found", 0)</f>
        <v>41</v>
      </c>
      <c r="R749" s="16">
        <f>_xlfn.XLOOKUP(CustomerCombinedCleaned[[#This Row],[ID]], Table4[ID], Table4[Deals], "Not Found", 0)</f>
        <v>1</v>
      </c>
      <c r="S749" s="16">
        <f>_xlfn.XLOOKUP(CustomerCombinedCleaned[[#This Row],[ID]], Table4[ID], Table4[Website], "Not Found", 0)</f>
        <v>0</v>
      </c>
      <c r="T749" s="16">
        <f>_xlfn.XLOOKUP(CustomerCombinedCleaned[[#This Row],[ID]], Table4[ID], Table4[Catalog], "Not Found", 0)</f>
        <v>0</v>
      </c>
      <c r="U749" s="16">
        <f>_xlfn.XLOOKUP(CustomerCombinedCleaned[[#This Row],[ID]], Table4[ID], Table4[Store], "Not Found", 0)</f>
        <v>3</v>
      </c>
      <c r="V749" s="16">
        <f>_xlfn.XLOOKUP(CustomerCombinedCleaned[[#This Row],[ID]], Table4[ID], Table4[Visits], "Not Found", 0)</f>
        <v>6</v>
      </c>
      <c r="W749" s="16">
        <f>_xlfn.XLOOKUP(CustomerCombinedCleaned[[#This Row],[ID]], Table2[ID],Table2[Complaint], "Not Found", 0 )</f>
        <v>0</v>
      </c>
      <c r="X749" s="16">
        <f>_xlfn.XLOOKUP(CustomerCombinedCleaned[[#This Row],[ID]], Table2[ID],Table2[Pilot], "Not Found", 0 )</f>
        <v>0</v>
      </c>
      <c r="Y749" s="16">
        <f>_xlfn.XLOOKUP(CustomerCombinedCleaned[[#This Row],[ID]], Table2[ID],Table2[MC1], "Not Found", 0 )</f>
        <v>0</v>
      </c>
      <c r="Z749" s="16">
        <f>_xlfn.XLOOKUP(CustomerCombinedCleaned[[#This Row],[ID]], Table2[ID],Table2[MC2], "Not Found", 0 )</f>
        <v>0</v>
      </c>
      <c r="AA749" s="16">
        <f>_xlfn.XLOOKUP(CustomerCombinedCleaned[[#This Row],[ID]], Table2[ID],Table2[MC3], "Not Found", 0 )</f>
        <v>0</v>
      </c>
      <c r="AB749" s="16">
        <f>_xlfn.XLOOKUP(CustomerCombinedCleaned[[#This Row],[ID]], Table2[ID],Table2[MC4], "Not Found", 0 )</f>
        <v>0</v>
      </c>
      <c r="AC749" s="16">
        <f>_xlfn.XLOOKUP(CustomerCombinedCleaned[[#This Row],[ID]], Table2[ID],Table2[MC5], "Not Found", 0 )</f>
        <v>0</v>
      </c>
    </row>
    <row r="750" spans="1:29" x14ac:dyDescent="0.3">
      <c r="A750" s="18">
        <v>2990</v>
      </c>
      <c r="B750" s="16">
        <v>137284</v>
      </c>
      <c r="C750" s="16">
        <v>1</v>
      </c>
      <c r="D750" s="16">
        <v>1</v>
      </c>
      <c r="E750" s="16">
        <v>45</v>
      </c>
      <c r="F750" s="17" t="s">
        <v>6</v>
      </c>
      <c r="G750" s="17" t="s">
        <v>11</v>
      </c>
      <c r="H750" s="3" t="s">
        <v>657</v>
      </c>
      <c r="I750" s="5" t="s">
        <v>438</v>
      </c>
      <c r="J750" s="16">
        <f>_xlfn.XLOOKUP(CustomerCombinedCleaned[[#This Row],[ID]], Table4[ID], Table4[Recency], "Not Found", 0)</f>
        <v>46</v>
      </c>
      <c r="K750" s="16">
        <f>_xlfn.XLOOKUP(CustomerCombinedCleaned[[#This Row],[ID]], Table4[ID], Table4[Teas], "Not Found", 0)</f>
        <v>41</v>
      </c>
      <c r="L750" s="16">
        <f>_xlfn.XLOOKUP(CustomerCombinedCleaned[[#This Row],[ID]], Table4[ID], Table4[Fruits], "Not Found", 0)</f>
        <v>4</v>
      </c>
      <c r="M750" s="16">
        <f>_xlfn.XLOOKUP(CustomerCombinedCleaned[[#This Row],[ID]], Table4[ID], Table4[Meats], "Not Found", 0)</f>
        <v>7</v>
      </c>
      <c r="N750" s="16">
        <f>_xlfn.XLOOKUP(CustomerCombinedCleaned[[#This Row],[ID]], Table4[ID], Table4[Seafood], "Not Found", 0)</f>
        <v>7</v>
      </c>
      <c r="O750" s="16">
        <f>_xlfn.XLOOKUP(CustomerCombinedCleaned[[#This Row],[ID]], Table4[ID], Table4[Sweets], "Not Found", 0)</f>
        <v>4</v>
      </c>
      <c r="P750" s="16">
        <f>_xlfn.XLOOKUP(CustomerCombinedCleaned[[#This Row],[ID]], Table4[ID], Table4[Premium], "Not Found", 0)</f>
        <v>22</v>
      </c>
      <c r="Q750" s="16">
        <f>_xlfn.XLOOKUP(CustomerCombinedCleaned[[#This Row],[ID]], Table4[ID], Table4[Regular], "Not Found", 0)</f>
        <v>41</v>
      </c>
      <c r="R750" s="16">
        <f>_xlfn.XLOOKUP(CustomerCombinedCleaned[[#This Row],[ID]], Table4[ID], Table4[Deals], "Not Found", 0)</f>
        <v>1</v>
      </c>
      <c r="S750" s="16">
        <f>_xlfn.XLOOKUP(CustomerCombinedCleaned[[#This Row],[ID]], Table4[ID], Table4[Website], "Not Found", 0)</f>
        <v>0</v>
      </c>
      <c r="T750" s="16">
        <f>_xlfn.XLOOKUP(CustomerCombinedCleaned[[#This Row],[ID]], Table4[ID], Table4[Catalog], "Not Found", 0)</f>
        <v>0</v>
      </c>
      <c r="U750" s="16">
        <f>_xlfn.XLOOKUP(CustomerCombinedCleaned[[#This Row],[ID]], Table4[ID], Table4[Store], "Not Found", 0)</f>
        <v>3</v>
      </c>
      <c r="V750" s="16">
        <f>_xlfn.XLOOKUP(CustomerCombinedCleaned[[#This Row],[ID]], Table4[ID], Table4[Visits], "Not Found", 0)</f>
        <v>6</v>
      </c>
      <c r="W750" s="16">
        <f>_xlfn.XLOOKUP(CustomerCombinedCleaned[[#This Row],[ID]], Table2[ID],Table2[Complaint], "Not Found", 0 )</f>
        <v>0</v>
      </c>
      <c r="X750" s="16">
        <f>_xlfn.XLOOKUP(CustomerCombinedCleaned[[#This Row],[ID]], Table2[ID],Table2[Pilot], "Not Found", 0 )</f>
        <v>0</v>
      </c>
      <c r="Y750" s="16">
        <f>_xlfn.XLOOKUP(CustomerCombinedCleaned[[#This Row],[ID]], Table2[ID],Table2[MC1], "Not Found", 0 )</f>
        <v>0</v>
      </c>
      <c r="Z750" s="16">
        <f>_xlfn.XLOOKUP(CustomerCombinedCleaned[[#This Row],[ID]], Table2[ID],Table2[MC2], "Not Found", 0 )</f>
        <v>0</v>
      </c>
      <c r="AA750" s="16">
        <f>_xlfn.XLOOKUP(CustomerCombinedCleaned[[#This Row],[ID]], Table2[ID],Table2[MC3], "Not Found", 0 )</f>
        <v>0</v>
      </c>
      <c r="AB750" s="16">
        <f>_xlfn.XLOOKUP(CustomerCombinedCleaned[[#This Row],[ID]], Table2[ID],Table2[MC4], "Not Found", 0 )</f>
        <v>0</v>
      </c>
      <c r="AC750" s="16">
        <f>_xlfn.XLOOKUP(CustomerCombinedCleaned[[#This Row],[ID]], Table2[ID],Table2[MC5], "Not Found", 0 )</f>
        <v>0</v>
      </c>
    </row>
    <row r="751" spans="1:29" x14ac:dyDescent="0.3">
      <c r="A751" s="18">
        <v>3167</v>
      </c>
      <c r="B751" s="16">
        <v>137085</v>
      </c>
      <c r="C751" s="16">
        <v>1</v>
      </c>
      <c r="D751" s="16">
        <v>1</v>
      </c>
      <c r="E751" s="16">
        <v>45</v>
      </c>
      <c r="F751" s="17" t="s">
        <v>6</v>
      </c>
      <c r="G751" s="17" t="s">
        <v>11</v>
      </c>
      <c r="H751" s="3" t="s">
        <v>23</v>
      </c>
      <c r="I751" s="5" t="s">
        <v>434</v>
      </c>
      <c r="J751" s="16">
        <f>_xlfn.XLOOKUP(CustomerCombinedCleaned[[#This Row],[ID]], Table4[ID], Table4[Recency], "Not Found", 0)</f>
        <v>65</v>
      </c>
      <c r="K751" s="16">
        <f>_xlfn.XLOOKUP(CustomerCombinedCleaned[[#This Row],[ID]], Table4[ID], Table4[Teas], "Not Found", 0)</f>
        <v>144</v>
      </c>
      <c r="L751" s="16">
        <f>_xlfn.XLOOKUP(CustomerCombinedCleaned[[#This Row],[ID]], Table4[ID], Table4[Fruits], "Not Found", 0)</f>
        <v>4</v>
      </c>
      <c r="M751" s="16">
        <f>_xlfn.XLOOKUP(CustomerCombinedCleaned[[#This Row],[ID]], Table4[ID], Table4[Meats], "Not Found", 0)</f>
        <v>59</v>
      </c>
      <c r="N751" s="16">
        <f>_xlfn.XLOOKUP(CustomerCombinedCleaned[[#This Row],[ID]], Table4[ID], Table4[Seafood], "Not Found", 0)</f>
        <v>7</v>
      </c>
      <c r="O751" s="16">
        <f>_xlfn.XLOOKUP(CustomerCombinedCleaned[[#This Row],[ID]], Table4[ID], Table4[Sweets], "Not Found", 0)</f>
        <v>0</v>
      </c>
      <c r="P751" s="16">
        <f>_xlfn.XLOOKUP(CustomerCombinedCleaned[[#This Row],[ID]], Table4[ID], Table4[Premium], "Not Found", 0)</f>
        <v>11</v>
      </c>
      <c r="Q751" s="16">
        <f>_xlfn.XLOOKUP(CustomerCombinedCleaned[[#This Row],[ID]], Table4[ID], Table4[Regular], "Not Found", 0)</f>
        <v>203</v>
      </c>
      <c r="R751" s="16">
        <f>_xlfn.XLOOKUP(CustomerCombinedCleaned[[#This Row],[ID]], Table4[ID], Table4[Deals], "Not Found", 0)</f>
        <v>4</v>
      </c>
      <c r="S751" s="16">
        <f>_xlfn.XLOOKUP(CustomerCombinedCleaned[[#This Row],[ID]], Table4[ID], Table4[Website], "Not Found", 0)</f>
        <v>3</v>
      </c>
      <c r="T751" s="16">
        <f>_xlfn.XLOOKUP(CustomerCombinedCleaned[[#This Row],[ID]], Table4[ID], Table4[Catalog], "Not Found", 0)</f>
        <v>0</v>
      </c>
      <c r="U751" s="16">
        <f>_xlfn.XLOOKUP(CustomerCombinedCleaned[[#This Row],[ID]], Table4[ID], Table4[Store], "Not Found", 0)</f>
        <v>3</v>
      </c>
      <c r="V751" s="16">
        <f>_xlfn.XLOOKUP(CustomerCombinedCleaned[[#This Row],[ID]], Table4[ID], Table4[Visits], "Not Found", 0)</f>
        <v>8</v>
      </c>
      <c r="W751" s="16">
        <f>_xlfn.XLOOKUP(CustomerCombinedCleaned[[#This Row],[ID]], Table2[ID],Table2[Complaint], "Not Found", 0 )</f>
        <v>0</v>
      </c>
      <c r="X751" s="16">
        <f>_xlfn.XLOOKUP(CustomerCombinedCleaned[[#This Row],[ID]], Table2[ID],Table2[Pilot], "Not Found", 0 )</f>
        <v>0</v>
      </c>
      <c r="Y751" s="16">
        <f>_xlfn.XLOOKUP(CustomerCombinedCleaned[[#This Row],[ID]], Table2[ID],Table2[MC1], "Not Found", 0 )</f>
        <v>0</v>
      </c>
      <c r="Z751" s="16">
        <f>_xlfn.XLOOKUP(CustomerCombinedCleaned[[#This Row],[ID]], Table2[ID],Table2[MC2], "Not Found", 0 )</f>
        <v>0</v>
      </c>
      <c r="AA751" s="16">
        <f>_xlfn.XLOOKUP(CustomerCombinedCleaned[[#This Row],[ID]], Table2[ID],Table2[MC3], "Not Found", 0 )</f>
        <v>0</v>
      </c>
      <c r="AB751" s="16">
        <f>_xlfn.XLOOKUP(CustomerCombinedCleaned[[#This Row],[ID]], Table2[ID],Table2[MC4], "Not Found", 0 )</f>
        <v>0</v>
      </c>
      <c r="AC751" s="16">
        <f>_xlfn.XLOOKUP(CustomerCombinedCleaned[[#This Row],[ID]], Table2[ID],Table2[MC5], "Not Found", 0 )</f>
        <v>0</v>
      </c>
    </row>
    <row r="752" spans="1:29" x14ac:dyDescent="0.3">
      <c r="A752" s="18">
        <v>2575</v>
      </c>
      <c r="B752" s="16">
        <v>136663</v>
      </c>
      <c r="C752" s="16">
        <v>1</v>
      </c>
      <c r="D752" s="16">
        <v>0</v>
      </c>
      <c r="E752" s="16">
        <v>45</v>
      </c>
      <c r="F752" s="17" t="s">
        <v>6</v>
      </c>
      <c r="G752" s="17" t="s">
        <v>13</v>
      </c>
      <c r="H752" s="3" t="s">
        <v>57</v>
      </c>
      <c r="I752" s="5" t="s">
        <v>437</v>
      </c>
      <c r="J752" s="16">
        <f>_xlfn.XLOOKUP(CustomerCombinedCleaned[[#This Row],[ID]], Table4[ID], Table4[Recency], "Not Found", 0)</f>
        <v>40</v>
      </c>
      <c r="K752" s="16">
        <f>_xlfn.XLOOKUP(CustomerCombinedCleaned[[#This Row],[ID]], Table4[ID], Table4[Teas], "Not Found", 0)</f>
        <v>67</v>
      </c>
      <c r="L752" s="16">
        <f>_xlfn.XLOOKUP(CustomerCombinedCleaned[[#This Row],[ID]], Table4[ID], Table4[Fruits], "Not Found", 0)</f>
        <v>0</v>
      </c>
      <c r="M752" s="16">
        <f>_xlfn.XLOOKUP(CustomerCombinedCleaned[[#This Row],[ID]], Table4[ID], Table4[Meats], "Not Found", 0)</f>
        <v>22</v>
      </c>
      <c r="N752" s="16">
        <f>_xlfn.XLOOKUP(CustomerCombinedCleaned[[#This Row],[ID]], Table4[ID], Table4[Seafood], "Not Found", 0)</f>
        <v>11</v>
      </c>
      <c r="O752" s="16">
        <f>_xlfn.XLOOKUP(CustomerCombinedCleaned[[#This Row],[ID]], Table4[ID], Table4[Sweets], "Not Found", 0)</f>
        <v>11</v>
      </c>
      <c r="P752" s="16">
        <f>_xlfn.XLOOKUP(CustomerCombinedCleaned[[#This Row],[ID]], Table4[ID], Table4[Premium], "Not Found", 0)</f>
        <v>19</v>
      </c>
      <c r="Q752" s="16">
        <f>_xlfn.XLOOKUP(CustomerCombinedCleaned[[#This Row],[ID]], Table4[ID], Table4[Regular], "Not Found", 0)</f>
        <v>93</v>
      </c>
      <c r="R752" s="16">
        <f>_xlfn.XLOOKUP(CustomerCombinedCleaned[[#This Row],[ID]], Table4[ID], Table4[Deals], "Not Found", 0)</f>
        <v>1</v>
      </c>
      <c r="S752" s="16">
        <f>_xlfn.XLOOKUP(CustomerCombinedCleaned[[#This Row],[ID]], Table4[ID], Table4[Website], "Not Found", 0)</f>
        <v>1</v>
      </c>
      <c r="T752" s="16">
        <f>_xlfn.XLOOKUP(CustomerCombinedCleaned[[#This Row],[ID]], Table4[ID], Table4[Catalog], "Not Found", 0)</f>
        <v>1</v>
      </c>
      <c r="U752" s="16">
        <f>_xlfn.XLOOKUP(CustomerCombinedCleaned[[#This Row],[ID]], Table4[ID], Table4[Store], "Not Found", 0)</f>
        <v>3</v>
      </c>
      <c r="V752" s="16">
        <f>_xlfn.XLOOKUP(CustomerCombinedCleaned[[#This Row],[ID]], Table4[ID], Table4[Visits], "Not Found", 0)</f>
        <v>2</v>
      </c>
      <c r="W752" s="16">
        <f>_xlfn.XLOOKUP(CustomerCombinedCleaned[[#This Row],[ID]], Table2[ID],Table2[Complaint], "Not Found", 0 )</f>
        <v>0</v>
      </c>
      <c r="X752" s="16">
        <f>_xlfn.XLOOKUP(CustomerCombinedCleaned[[#This Row],[ID]], Table2[ID],Table2[Pilot], "Not Found", 0 )</f>
        <v>0</v>
      </c>
      <c r="Y752" s="16">
        <f>_xlfn.XLOOKUP(CustomerCombinedCleaned[[#This Row],[ID]], Table2[ID],Table2[MC1], "Not Found", 0 )</f>
        <v>0</v>
      </c>
      <c r="Z752" s="16">
        <f>_xlfn.XLOOKUP(CustomerCombinedCleaned[[#This Row],[ID]], Table2[ID],Table2[MC2], "Not Found", 0 )</f>
        <v>0</v>
      </c>
      <c r="AA752" s="16">
        <f>_xlfn.XLOOKUP(CustomerCombinedCleaned[[#This Row],[ID]], Table2[ID],Table2[MC3], "Not Found", 0 )</f>
        <v>0</v>
      </c>
      <c r="AB752" s="16">
        <f>_xlfn.XLOOKUP(CustomerCombinedCleaned[[#This Row],[ID]], Table2[ID],Table2[MC4], "Not Found", 0 )</f>
        <v>0</v>
      </c>
      <c r="AC752" s="16">
        <f>_xlfn.XLOOKUP(CustomerCombinedCleaned[[#This Row],[ID]], Table2[ID],Table2[MC5], "Not Found", 0 )</f>
        <v>0</v>
      </c>
    </row>
    <row r="753" spans="1:29" x14ac:dyDescent="0.3">
      <c r="A753" s="18">
        <v>1863</v>
      </c>
      <c r="B753" s="16">
        <v>136627</v>
      </c>
      <c r="C753" s="16">
        <v>2</v>
      </c>
      <c r="D753" s="16">
        <v>0</v>
      </c>
      <c r="E753" s="16">
        <v>45</v>
      </c>
      <c r="F753" s="17" t="s">
        <v>5</v>
      </c>
      <c r="G753" s="17" t="s">
        <v>11</v>
      </c>
      <c r="H753" s="3" t="s">
        <v>213</v>
      </c>
      <c r="I753" s="5" t="s">
        <v>435</v>
      </c>
      <c r="J753" s="16">
        <f>_xlfn.XLOOKUP(CustomerCombinedCleaned[[#This Row],[ID]], Table4[ID], Table4[Recency], "Not Found", 0)</f>
        <v>78</v>
      </c>
      <c r="K753" s="16">
        <f>_xlfn.XLOOKUP(CustomerCombinedCleaned[[#This Row],[ID]], Table4[ID], Table4[Teas], "Not Found", 0)</f>
        <v>34</v>
      </c>
      <c r="L753" s="16">
        <f>_xlfn.XLOOKUP(CustomerCombinedCleaned[[#This Row],[ID]], Table4[ID], Table4[Fruits], "Not Found", 0)</f>
        <v>4</v>
      </c>
      <c r="M753" s="16">
        <f>_xlfn.XLOOKUP(CustomerCombinedCleaned[[#This Row],[ID]], Table4[ID], Table4[Meats], "Not Found", 0)</f>
        <v>19</v>
      </c>
      <c r="N753" s="16">
        <f>_xlfn.XLOOKUP(CustomerCombinedCleaned[[#This Row],[ID]], Table4[ID], Table4[Seafood], "Not Found", 0)</f>
        <v>0</v>
      </c>
      <c r="O753" s="16">
        <f>_xlfn.XLOOKUP(CustomerCombinedCleaned[[#This Row],[ID]], Table4[ID], Table4[Sweets], "Not Found", 0)</f>
        <v>0</v>
      </c>
      <c r="P753" s="16">
        <f>_xlfn.XLOOKUP(CustomerCombinedCleaned[[#This Row],[ID]], Table4[ID], Table4[Premium], "Not Found", 0)</f>
        <v>4</v>
      </c>
      <c r="Q753" s="16">
        <f>_xlfn.XLOOKUP(CustomerCombinedCleaned[[#This Row],[ID]], Table4[ID], Table4[Regular], "Not Found", 0)</f>
        <v>52</v>
      </c>
      <c r="R753" s="16">
        <f>_xlfn.XLOOKUP(CustomerCombinedCleaned[[#This Row],[ID]], Table4[ID], Table4[Deals], "Not Found", 0)</f>
        <v>1</v>
      </c>
      <c r="S753" s="16">
        <f>_xlfn.XLOOKUP(CustomerCombinedCleaned[[#This Row],[ID]], Table4[ID], Table4[Website], "Not Found", 0)</f>
        <v>0</v>
      </c>
      <c r="T753" s="16">
        <f>_xlfn.XLOOKUP(CustomerCombinedCleaned[[#This Row],[ID]], Table4[ID], Table4[Catalog], "Not Found", 0)</f>
        <v>0</v>
      </c>
      <c r="U753" s="16">
        <f>_xlfn.XLOOKUP(CustomerCombinedCleaned[[#This Row],[ID]], Table4[ID], Table4[Store], "Not Found", 0)</f>
        <v>3</v>
      </c>
      <c r="V753" s="16">
        <f>_xlfn.XLOOKUP(CustomerCombinedCleaned[[#This Row],[ID]], Table4[ID], Table4[Visits], "Not Found", 0)</f>
        <v>5</v>
      </c>
      <c r="W753" s="16">
        <f>_xlfn.XLOOKUP(CustomerCombinedCleaned[[#This Row],[ID]], Table2[ID],Table2[Complaint], "Not Found", 0 )</f>
        <v>0</v>
      </c>
      <c r="X753" s="16">
        <f>_xlfn.XLOOKUP(CustomerCombinedCleaned[[#This Row],[ID]], Table2[ID],Table2[Pilot], "Not Found", 0 )</f>
        <v>0</v>
      </c>
      <c r="Y753" s="16">
        <f>_xlfn.XLOOKUP(CustomerCombinedCleaned[[#This Row],[ID]], Table2[ID],Table2[MC1], "Not Found", 0 )</f>
        <v>0</v>
      </c>
      <c r="Z753" s="16">
        <f>_xlfn.XLOOKUP(CustomerCombinedCleaned[[#This Row],[ID]], Table2[ID],Table2[MC2], "Not Found", 0 )</f>
        <v>0</v>
      </c>
      <c r="AA753" s="16">
        <f>_xlfn.XLOOKUP(CustomerCombinedCleaned[[#This Row],[ID]], Table2[ID],Table2[MC3], "Not Found", 0 )</f>
        <v>0</v>
      </c>
      <c r="AB753" s="16">
        <f>_xlfn.XLOOKUP(CustomerCombinedCleaned[[#This Row],[ID]], Table2[ID],Table2[MC4], "Not Found", 0 )</f>
        <v>0</v>
      </c>
      <c r="AC753" s="16">
        <f>_xlfn.XLOOKUP(CustomerCombinedCleaned[[#This Row],[ID]], Table2[ID],Table2[MC5], "Not Found", 0 )</f>
        <v>0</v>
      </c>
    </row>
    <row r="754" spans="1:29" x14ac:dyDescent="0.3">
      <c r="A754" s="18">
        <v>1862</v>
      </c>
      <c r="B754" s="16">
        <v>135797</v>
      </c>
      <c r="C754" s="16">
        <v>0</v>
      </c>
      <c r="D754" s="16">
        <v>1</v>
      </c>
      <c r="E754" s="16">
        <v>45</v>
      </c>
      <c r="F754" s="17" t="s">
        <v>6</v>
      </c>
      <c r="G754" s="17" t="s">
        <v>11</v>
      </c>
      <c r="H754" s="3" t="s">
        <v>378</v>
      </c>
      <c r="I754" s="5" t="s">
        <v>438</v>
      </c>
      <c r="J754" s="16">
        <f>_xlfn.XLOOKUP(CustomerCombinedCleaned[[#This Row],[ID]], Table4[ID], Table4[Recency], "Not Found", 0)</f>
        <v>16</v>
      </c>
      <c r="K754" s="16">
        <f>_xlfn.XLOOKUP(CustomerCombinedCleaned[[#This Row],[ID]], Table4[ID], Table4[Teas], "Not Found", 0)</f>
        <v>102</v>
      </c>
      <c r="L754" s="16">
        <f>_xlfn.XLOOKUP(CustomerCombinedCleaned[[#This Row],[ID]], Table4[ID], Table4[Fruits], "Not Found", 0)</f>
        <v>4</v>
      </c>
      <c r="M754" s="16">
        <f>_xlfn.XLOOKUP(CustomerCombinedCleaned[[#This Row],[ID]], Table4[ID], Table4[Meats], "Not Found", 0)</f>
        <v>53</v>
      </c>
      <c r="N754" s="16">
        <f>_xlfn.XLOOKUP(CustomerCombinedCleaned[[#This Row],[ID]], Table4[ID], Table4[Seafood], "Not Found", 0)</f>
        <v>15</v>
      </c>
      <c r="O754" s="16">
        <f>_xlfn.XLOOKUP(CustomerCombinedCleaned[[#This Row],[ID]], Table4[ID], Table4[Sweets], "Not Found", 0)</f>
        <v>4</v>
      </c>
      <c r="P754" s="16">
        <f>_xlfn.XLOOKUP(CustomerCombinedCleaned[[#This Row],[ID]], Table4[ID], Table4[Premium], "Not Found", 0)</f>
        <v>80</v>
      </c>
      <c r="Q754" s="16">
        <f>_xlfn.XLOOKUP(CustomerCombinedCleaned[[#This Row],[ID]], Table4[ID], Table4[Regular], "Not Found", 0)</f>
        <v>99</v>
      </c>
      <c r="R754" s="16">
        <f>_xlfn.XLOOKUP(CustomerCombinedCleaned[[#This Row],[ID]], Table4[ID], Table4[Deals], "Not Found", 0)</f>
        <v>2</v>
      </c>
      <c r="S754" s="16">
        <f>_xlfn.XLOOKUP(CustomerCombinedCleaned[[#This Row],[ID]], Table4[ID], Table4[Website], "Not Found", 0)</f>
        <v>2</v>
      </c>
      <c r="T754" s="16">
        <f>_xlfn.XLOOKUP(CustomerCombinedCleaned[[#This Row],[ID]], Table4[ID], Table4[Catalog], "Not Found", 0)</f>
        <v>0</v>
      </c>
      <c r="U754" s="16">
        <f>_xlfn.XLOOKUP(CustomerCombinedCleaned[[#This Row],[ID]], Table4[ID], Table4[Store], "Not Found", 0)</f>
        <v>3</v>
      </c>
      <c r="V754" s="16">
        <f>_xlfn.XLOOKUP(CustomerCombinedCleaned[[#This Row],[ID]], Table4[ID], Table4[Visits], "Not Found", 0)</f>
        <v>8</v>
      </c>
      <c r="W754" s="16">
        <f>_xlfn.XLOOKUP(CustomerCombinedCleaned[[#This Row],[ID]], Table2[ID],Table2[Complaint], "Not Found", 0 )</f>
        <v>0</v>
      </c>
      <c r="X754" s="16">
        <f>_xlfn.XLOOKUP(CustomerCombinedCleaned[[#This Row],[ID]], Table2[ID],Table2[Pilot], "Not Found", 0 )</f>
        <v>0</v>
      </c>
      <c r="Y754" s="16">
        <f>_xlfn.XLOOKUP(CustomerCombinedCleaned[[#This Row],[ID]], Table2[ID],Table2[MC1], "Not Found", 0 )</f>
        <v>0</v>
      </c>
      <c r="Z754" s="16">
        <f>_xlfn.XLOOKUP(CustomerCombinedCleaned[[#This Row],[ID]], Table2[ID],Table2[MC2], "Not Found", 0 )</f>
        <v>0</v>
      </c>
      <c r="AA754" s="16">
        <f>_xlfn.XLOOKUP(CustomerCombinedCleaned[[#This Row],[ID]], Table2[ID],Table2[MC3], "Not Found", 0 )</f>
        <v>0</v>
      </c>
      <c r="AB754" s="16">
        <f>_xlfn.XLOOKUP(CustomerCombinedCleaned[[#This Row],[ID]], Table2[ID],Table2[MC4], "Not Found", 0 )</f>
        <v>0</v>
      </c>
      <c r="AC754" s="16">
        <f>_xlfn.XLOOKUP(CustomerCombinedCleaned[[#This Row],[ID]], Table2[ID],Table2[MC5], "Not Found", 0 )</f>
        <v>0</v>
      </c>
    </row>
    <row r="755" spans="1:29" x14ac:dyDescent="0.3">
      <c r="A755" s="18">
        <v>2910</v>
      </c>
      <c r="B755" s="16">
        <v>134984</v>
      </c>
      <c r="C755" s="16">
        <v>1</v>
      </c>
      <c r="D755" s="16">
        <v>1</v>
      </c>
      <c r="E755" s="16">
        <v>45</v>
      </c>
      <c r="F755" s="17" t="s">
        <v>8</v>
      </c>
      <c r="G755" s="17" t="s">
        <v>11</v>
      </c>
      <c r="H755" s="3" t="s">
        <v>781</v>
      </c>
      <c r="I755" s="5" t="s">
        <v>436</v>
      </c>
      <c r="J755" s="16">
        <f>_xlfn.XLOOKUP(CustomerCombinedCleaned[[#This Row],[ID]], Table4[ID], Table4[Recency], "Not Found", 0)</f>
        <v>40</v>
      </c>
      <c r="K755" s="16">
        <f>_xlfn.XLOOKUP(CustomerCombinedCleaned[[#This Row],[ID]], Table4[ID], Table4[Teas], "Not Found", 0)</f>
        <v>31</v>
      </c>
      <c r="L755" s="16">
        <f>_xlfn.XLOOKUP(CustomerCombinedCleaned[[#This Row],[ID]], Table4[ID], Table4[Fruits], "Not Found", 0)</f>
        <v>15</v>
      </c>
      <c r="M755" s="16">
        <f>_xlfn.XLOOKUP(CustomerCombinedCleaned[[#This Row],[ID]], Table4[ID], Table4[Meats], "Not Found", 0)</f>
        <v>58</v>
      </c>
      <c r="N755" s="16">
        <f>_xlfn.XLOOKUP(CustomerCombinedCleaned[[#This Row],[ID]], Table4[ID], Table4[Seafood], "Not Found", 0)</f>
        <v>12</v>
      </c>
      <c r="O755" s="16">
        <f>_xlfn.XLOOKUP(CustomerCombinedCleaned[[#This Row],[ID]], Table4[ID], Table4[Sweets], "Not Found", 0)</f>
        <v>19</v>
      </c>
      <c r="P755" s="16">
        <f>_xlfn.XLOOKUP(CustomerCombinedCleaned[[#This Row],[ID]], Table4[ID], Table4[Premium], "Not Found", 0)</f>
        <v>12</v>
      </c>
      <c r="Q755" s="16">
        <f>_xlfn.XLOOKUP(CustomerCombinedCleaned[[#This Row],[ID]], Table4[ID], Table4[Regular], "Not Found", 0)</f>
        <v>123</v>
      </c>
      <c r="R755" s="16">
        <f>_xlfn.XLOOKUP(CustomerCombinedCleaned[[#This Row],[ID]], Table4[ID], Table4[Deals], "Not Found", 0)</f>
        <v>2</v>
      </c>
      <c r="S755" s="16">
        <f>_xlfn.XLOOKUP(CustomerCombinedCleaned[[#This Row],[ID]], Table4[ID], Table4[Website], "Not Found", 0)</f>
        <v>1</v>
      </c>
      <c r="T755" s="16">
        <f>_xlfn.XLOOKUP(CustomerCombinedCleaned[[#This Row],[ID]], Table4[ID], Table4[Catalog], "Not Found", 0)</f>
        <v>0</v>
      </c>
      <c r="U755" s="16">
        <f>_xlfn.XLOOKUP(CustomerCombinedCleaned[[#This Row],[ID]], Table4[ID], Table4[Store], "Not Found", 0)</f>
        <v>3</v>
      </c>
      <c r="V755" s="16">
        <f>_xlfn.XLOOKUP(CustomerCombinedCleaned[[#This Row],[ID]], Table4[ID], Table4[Visits], "Not Found", 0)</f>
        <v>7</v>
      </c>
      <c r="W755" s="16">
        <f>_xlfn.XLOOKUP(CustomerCombinedCleaned[[#This Row],[ID]], Table2[ID],Table2[Complaint], "Not Found", 0 )</f>
        <v>0</v>
      </c>
      <c r="X755" s="16">
        <f>_xlfn.XLOOKUP(CustomerCombinedCleaned[[#This Row],[ID]], Table2[ID],Table2[Pilot], "Not Found", 0 )</f>
        <v>0</v>
      </c>
      <c r="Y755" s="16">
        <f>_xlfn.XLOOKUP(CustomerCombinedCleaned[[#This Row],[ID]], Table2[ID],Table2[MC1], "Not Found", 0 )</f>
        <v>0</v>
      </c>
      <c r="Z755" s="16">
        <f>_xlfn.XLOOKUP(CustomerCombinedCleaned[[#This Row],[ID]], Table2[ID],Table2[MC2], "Not Found", 0 )</f>
        <v>0</v>
      </c>
      <c r="AA755" s="16">
        <f>_xlfn.XLOOKUP(CustomerCombinedCleaned[[#This Row],[ID]], Table2[ID],Table2[MC3], "Not Found", 0 )</f>
        <v>0</v>
      </c>
      <c r="AB755" s="16">
        <f>_xlfn.XLOOKUP(CustomerCombinedCleaned[[#This Row],[ID]], Table2[ID],Table2[MC4], "Not Found", 0 )</f>
        <v>0</v>
      </c>
      <c r="AC755" s="16">
        <f>_xlfn.XLOOKUP(CustomerCombinedCleaned[[#This Row],[ID]], Table2[ID],Table2[MC5], "Not Found", 0 )</f>
        <v>0</v>
      </c>
    </row>
    <row r="756" spans="1:29" x14ac:dyDescent="0.3">
      <c r="A756" s="18">
        <v>3125</v>
      </c>
      <c r="B756" s="16">
        <v>134176</v>
      </c>
      <c r="C756" s="16">
        <v>0</v>
      </c>
      <c r="D756" s="16">
        <v>1</v>
      </c>
      <c r="E756" s="16">
        <v>45</v>
      </c>
      <c r="F756" s="17" t="s">
        <v>8</v>
      </c>
      <c r="G756" s="17" t="s">
        <v>12</v>
      </c>
      <c r="H756" s="3" t="s">
        <v>110</v>
      </c>
      <c r="I756" s="5" t="s">
        <v>434</v>
      </c>
      <c r="J756" s="16">
        <f>_xlfn.XLOOKUP(CustomerCombinedCleaned[[#This Row],[ID]], Table4[ID], Table4[Recency], "Not Found", 0)</f>
        <v>9</v>
      </c>
      <c r="K756" s="16">
        <f>_xlfn.XLOOKUP(CustomerCombinedCleaned[[#This Row],[ID]], Table4[ID], Table4[Teas], "Not Found", 0)</f>
        <v>43</v>
      </c>
      <c r="L756" s="16">
        <f>_xlfn.XLOOKUP(CustomerCombinedCleaned[[#This Row],[ID]], Table4[ID], Table4[Fruits], "Not Found", 0)</f>
        <v>8</v>
      </c>
      <c r="M756" s="16">
        <f>_xlfn.XLOOKUP(CustomerCombinedCleaned[[#This Row],[ID]], Table4[ID], Table4[Meats], "Not Found", 0)</f>
        <v>27</v>
      </c>
      <c r="N756" s="16">
        <f>_xlfn.XLOOKUP(CustomerCombinedCleaned[[#This Row],[ID]], Table4[ID], Table4[Seafood], "Not Found", 0)</f>
        <v>16</v>
      </c>
      <c r="O756" s="16">
        <f>_xlfn.XLOOKUP(CustomerCombinedCleaned[[#This Row],[ID]], Table4[ID], Table4[Sweets], "Not Found", 0)</f>
        <v>8</v>
      </c>
      <c r="P756" s="16">
        <f>_xlfn.XLOOKUP(CustomerCombinedCleaned[[#This Row],[ID]], Table4[ID], Table4[Premium], "Not Found", 0)</f>
        <v>8</v>
      </c>
      <c r="Q756" s="16">
        <f>_xlfn.XLOOKUP(CustomerCombinedCleaned[[#This Row],[ID]], Table4[ID], Table4[Regular], "Not Found", 0)</f>
        <v>94</v>
      </c>
      <c r="R756" s="16">
        <f>_xlfn.XLOOKUP(CustomerCombinedCleaned[[#This Row],[ID]], Table4[ID], Table4[Deals], "Not Found", 0)</f>
        <v>1</v>
      </c>
      <c r="S756" s="16">
        <f>_xlfn.XLOOKUP(CustomerCombinedCleaned[[#This Row],[ID]], Table4[ID], Table4[Website], "Not Found", 0)</f>
        <v>1</v>
      </c>
      <c r="T756" s="16">
        <f>_xlfn.XLOOKUP(CustomerCombinedCleaned[[#This Row],[ID]], Table4[ID], Table4[Catalog], "Not Found", 0)</f>
        <v>0</v>
      </c>
      <c r="U756" s="16">
        <f>_xlfn.XLOOKUP(CustomerCombinedCleaned[[#This Row],[ID]], Table4[ID], Table4[Store], "Not Found", 0)</f>
        <v>3</v>
      </c>
      <c r="V756" s="16">
        <f>_xlfn.XLOOKUP(CustomerCombinedCleaned[[#This Row],[ID]], Table4[ID], Table4[Visits], "Not Found", 0)</f>
        <v>3</v>
      </c>
      <c r="W756" s="16">
        <f>_xlfn.XLOOKUP(CustomerCombinedCleaned[[#This Row],[ID]], Table2[ID],Table2[Complaint], "Not Found", 0 )</f>
        <v>0</v>
      </c>
      <c r="X756" s="16">
        <f>_xlfn.XLOOKUP(CustomerCombinedCleaned[[#This Row],[ID]], Table2[ID],Table2[Pilot], "Not Found", 0 )</f>
        <v>0</v>
      </c>
      <c r="Y756" s="16">
        <f>_xlfn.XLOOKUP(CustomerCombinedCleaned[[#This Row],[ID]], Table2[ID],Table2[MC1], "Not Found", 0 )</f>
        <v>0</v>
      </c>
      <c r="Z756" s="16">
        <f>_xlfn.XLOOKUP(CustomerCombinedCleaned[[#This Row],[ID]], Table2[ID],Table2[MC2], "Not Found", 0 )</f>
        <v>0</v>
      </c>
      <c r="AA756" s="16">
        <f>_xlfn.XLOOKUP(CustomerCombinedCleaned[[#This Row],[ID]], Table2[ID],Table2[MC3], "Not Found", 0 )</f>
        <v>0</v>
      </c>
      <c r="AB756" s="16">
        <f>_xlfn.XLOOKUP(CustomerCombinedCleaned[[#This Row],[ID]], Table2[ID],Table2[MC4], "Not Found", 0 )</f>
        <v>0</v>
      </c>
      <c r="AC756" s="16">
        <f>_xlfn.XLOOKUP(CustomerCombinedCleaned[[#This Row],[ID]], Table2[ID],Table2[MC5], "Not Found", 0 )</f>
        <v>0</v>
      </c>
    </row>
    <row r="757" spans="1:29" x14ac:dyDescent="0.3">
      <c r="A757" s="18">
        <v>2589</v>
      </c>
      <c r="B757" s="16">
        <v>133955</v>
      </c>
      <c r="C757" s="16">
        <v>1</v>
      </c>
      <c r="D757" s="16">
        <v>0</v>
      </c>
      <c r="E757" s="16">
        <v>45</v>
      </c>
      <c r="F757" s="17" t="s">
        <v>7</v>
      </c>
      <c r="G757" s="17" t="s">
        <v>11</v>
      </c>
      <c r="H757" s="3" t="s">
        <v>208</v>
      </c>
      <c r="I757" s="5" t="s">
        <v>435</v>
      </c>
      <c r="J757" s="16">
        <f>_xlfn.XLOOKUP(CustomerCombinedCleaned[[#This Row],[ID]], Table4[ID], Table4[Recency], "Not Found", 0)</f>
        <v>92</v>
      </c>
      <c r="K757" s="16">
        <f>_xlfn.XLOOKUP(CustomerCombinedCleaned[[#This Row],[ID]], Table4[ID], Table4[Teas], "Not Found", 0)</f>
        <v>395</v>
      </c>
      <c r="L757" s="16">
        <f>_xlfn.XLOOKUP(CustomerCombinedCleaned[[#This Row],[ID]], Table4[ID], Table4[Fruits], "Not Found", 0)</f>
        <v>8</v>
      </c>
      <c r="M757" s="16">
        <f>_xlfn.XLOOKUP(CustomerCombinedCleaned[[#This Row],[ID]], Table4[ID], Table4[Meats], "Not Found", 0)</f>
        <v>505</v>
      </c>
      <c r="N757" s="16">
        <f>_xlfn.XLOOKUP(CustomerCombinedCleaned[[#This Row],[ID]], Table4[ID], Table4[Seafood], "Not Found", 0)</f>
        <v>91</v>
      </c>
      <c r="O757" s="16">
        <f>_xlfn.XLOOKUP(CustomerCombinedCleaned[[#This Row],[ID]], Table4[ID], Table4[Sweets], "Not Found", 0)</f>
        <v>28</v>
      </c>
      <c r="P757" s="16">
        <f>_xlfn.XLOOKUP(CustomerCombinedCleaned[[#This Row],[ID]], Table4[ID], Table4[Premium], "Not Found", 0)</f>
        <v>39</v>
      </c>
      <c r="Q757" s="16">
        <f>_xlfn.XLOOKUP(CustomerCombinedCleaned[[#This Row],[ID]], Table4[ID], Table4[Regular], "Not Found", 0)</f>
        <v>986</v>
      </c>
      <c r="R757" s="16">
        <f>_xlfn.XLOOKUP(CustomerCombinedCleaned[[#This Row],[ID]], Table4[ID], Table4[Deals], "Not Found", 0)</f>
        <v>4</v>
      </c>
      <c r="S757" s="16">
        <f>_xlfn.XLOOKUP(CustomerCombinedCleaned[[#This Row],[ID]], Table4[ID], Table4[Website], "Not Found", 0)</f>
        <v>5</v>
      </c>
      <c r="T757" s="16">
        <f>_xlfn.XLOOKUP(CustomerCombinedCleaned[[#This Row],[ID]], Table4[ID], Table4[Catalog], "Not Found", 0)</f>
        <v>1</v>
      </c>
      <c r="U757" s="16">
        <f>_xlfn.XLOOKUP(CustomerCombinedCleaned[[#This Row],[ID]], Table4[ID], Table4[Store], "Not Found", 0)</f>
        <v>5</v>
      </c>
      <c r="V757" s="16">
        <f>_xlfn.XLOOKUP(CustomerCombinedCleaned[[#This Row],[ID]], Table4[ID], Table4[Visits], "Not Found", 0)</f>
        <v>8</v>
      </c>
      <c r="W757" s="16">
        <f>_xlfn.XLOOKUP(CustomerCombinedCleaned[[#This Row],[ID]], Table2[ID],Table2[Complaint], "Not Found", 0 )</f>
        <v>0</v>
      </c>
      <c r="X757" s="16">
        <f>_xlfn.XLOOKUP(CustomerCombinedCleaned[[#This Row],[ID]], Table2[ID],Table2[Pilot], "Not Found", 0 )</f>
        <v>0</v>
      </c>
      <c r="Y757" s="16">
        <f>_xlfn.XLOOKUP(CustomerCombinedCleaned[[#This Row],[ID]], Table2[ID],Table2[MC1], "Not Found", 0 )</f>
        <v>0</v>
      </c>
      <c r="Z757" s="16">
        <f>_xlfn.XLOOKUP(CustomerCombinedCleaned[[#This Row],[ID]], Table2[ID],Table2[MC2], "Not Found", 0 )</f>
        <v>0</v>
      </c>
      <c r="AA757" s="16">
        <f>_xlfn.XLOOKUP(CustomerCombinedCleaned[[#This Row],[ID]], Table2[ID],Table2[MC3], "Not Found", 0 )</f>
        <v>0</v>
      </c>
      <c r="AB757" s="16">
        <f>_xlfn.XLOOKUP(CustomerCombinedCleaned[[#This Row],[ID]], Table2[ID],Table2[MC4], "Not Found", 0 )</f>
        <v>0</v>
      </c>
      <c r="AC757" s="16">
        <f>_xlfn.XLOOKUP(CustomerCombinedCleaned[[#This Row],[ID]], Table2[ID],Table2[MC5], "Not Found", 0 )</f>
        <v>0</v>
      </c>
    </row>
    <row r="758" spans="1:29" x14ac:dyDescent="0.3">
      <c r="A758" s="18">
        <v>1693</v>
      </c>
      <c r="B758" s="16">
        <v>133249</v>
      </c>
      <c r="C758" s="16">
        <v>1</v>
      </c>
      <c r="D758" s="16">
        <v>0</v>
      </c>
      <c r="E758" s="16">
        <v>45</v>
      </c>
      <c r="F758" s="17" t="s">
        <v>7</v>
      </c>
      <c r="G758" s="17" t="s">
        <v>11</v>
      </c>
      <c r="H758" s="3" t="s">
        <v>303</v>
      </c>
      <c r="I758" s="5" t="s">
        <v>437</v>
      </c>
      <c r="J758" s="16">
        <f>_xlfn.XLOOKUP(CustomerCombinedCleaned[[#This Row],[ID]], Table4[ID], Table4[Recency], "Not Found", 0)</f>
        <v>11</v>
      </c>
      <c r="K758" s="16">
        <f>_xlfn.XLOOKUP(CustomerCombinedCleaned[[#This Row],[ID]], Table4[ID], Table4[Teas], "Not Found", 0)</f>
        <v>24</v>
      </c>
      <c r="L758" s="16">
        <f>_xlfn.XLOOKUP(CustomerCombinedCleaned[[#This Row],[ID]], Table4[ID], Table4[Fruits], "Not Found", 0)</f>
        <v>40</v>
      </c>
      <c r="M758" s="16">
        <f>_xlfn.XLOOKUP(CustomerCombinedCleaned[[#This Row],[ID]], Table4[ID], Table4[Meats], "Not Found", 0)</f>
        <v>84</v>
      </c>
      <c r="N758" s="16">
        <f>_xlfn.XLOOKUP(CustomerCombinedCleaned[[#This Row],[ID]], Table4[ID], Table4[Seafood], "Not Found", 0)</f>
        <v>76</v>
      </c>
      <c r="O758" s="16">
        <f>_xlfn.XLOOKUP(CustomerCombinedCleaned[[#This Row],[ID]], Table4[ID], Table4[Sweets], "Not Found", 0)</f>
        <v>56</v>
      </c>
      <c r="P758" s="16">
        <f>_xlfn.XLOOKUP(CustomerCombinedCleaned[[#This Row],[ID]], Table4[ID], Table4[Premium], "Not Found", 0)</f>
        <v>168</v>
      </c>
      <c r="Q758" s="16">
        <f>_xlfn.XLOOKUP(CustomerCombinedCleaned[[#This Row],[ID]], Table4[ID], Table4[Regular], "Not Found", 0)</f>
        <v>112</v>
      </c>
      <c r="R758" s="16">
        <f>_xlfn.XLOOKUP(CustomerCombinedCleaned[[#This Row],[ID]], Table4[ID], Table4[Deals], "Not Found", 0)</f>
        <v>2</v>
      </c>
      <c r="S758" s="16">
        <f>_xlfn.XLOOKUP(CustomerCombinedCleaned[[#This Row],[ID]], Table4[ID], Table4[Website], "Not Found", 0)</f>
        <v>2</v>
      </c>
      <c r="T758" s="16">
        <f>_xlfn.XLOOKUP(CustomerCombinedCleaned[[#This Row],[ID]], Table4[ID], Table4[Catalog], "Not Found", 0)</f>
        <v>1</v>
      </c>
      <c r="U758" s="16">
        <f>_xlfn.XLOOKUP(CustomerCombinedCleaned[[#This Row],[ID]], Table4[ID], Table4[Store], "Not Found", 0)</f>
        <v>3</v>
      </c>
      <c r="V758" s="16">
        <f>_xlfn.XLOOKUP(CustomerCombinedCleaned[[#This Row],[ID]], Table4[ID], Table4[Visits], "Not Found", 0)</f>
        <v>6</v>
      </c>
      <c r="W758" s="16">
        <f>_xlfn.XLOOKUP(CustomerCombinedCleaned[[#This Row],[ID]], Table2[ID],Table2[Complaint], "Not Found", 0 )</f>
        <v>0</v>
      </c>
      <c r="X758" s="16">
        <f>_xlfn.XLOOKUP(CustomerCombinedCleaned[[#This Row],[ID]], Table2[ID],Table2[Pilot], "Not Found", 0 )</f>
        <v>0</v>
      </c>
      <c r="Y758" s="16">
        <f>_xlfn.XLOOKUP(CustomerCombinedCleaned[[#This Row],[ID]], Table2[ID],Table2[MC1], "Not Found", 0 )</f>
        <v>0</v>
      </c>
      <c r="Z758" s="16">
        <f>_xlfn.XLOOKUP(CustomerCombinedCleaned[[#This Row],[ID]], Table2[ID],Table2[MC2], "Not Found", 0 )</f>
        <v>0</v>
      </c>
      <c r="AA758" s="16">
        <f>_xlfn.XLOOKUP(CustomerCombinedCleaned[[#This Row],[ID]], Table2[ID],Table2[MC3], "Not Found", 0 )</f>
        <v>0</v>
      </c>
      <c r="AB758" s="16">
        <f>_xlfn.XLOOKUP(CustomerCombinedCleaned[[#This Row],[ID]], Table2[ID],Table2[MC4], "Not Found", 0 )</f>
        <v>0</v>
      </c>
      <c r="AC758" s="16">
        <f>_xlfn.XLOOKUP(CustomerCombinedCleaned[[#This Row],[ID]], Table2[ID],Table2[MC5], "Not Found", 0 )</f>
        <v>0</v>
      </c>
    </row>
    <row r="759" spans="1:29" x14ac:dyDescent="0.3">
      <c r="A759" s="18">
        <v>2325</v>
      </c>
      <c r="B759" s="16">
        <v>133249</v>
      </c>
      <c r="C759" s="16">
        <v>1</v>
      </c>
      <c r="D759" s="16">
        <v>0</v>
      </c>
      <c r="E759" s="16">
        <v>45</v>
      </c>
      <c r="F759" s="17" t="s">
        <v>7</v>
      </c>
      <c r="G759" s="17" t="s">
        <v>11</v>
      </c>
      <c r="H759" s="3" t="s">
        <v>303</v>
      </c>
      <c r="I759" s="5" t="s">
        <v>435</v>
      </c>
      <c r="J759" s="16">
        <f>_xlfn.XLOOKUP(CustomerCombinedCleaned[[#This Row],[ID]], Table4[ID], Table4[Recency], "Not Found", 0)</f>
        <v>11</v>
      </c>
      <c r="K759" s="16">
        <f>_xlfn.XLOOKUP(CustomerCombinedCleaned[[#This Row],[ID]], Table4[ID], Table4[Teas], "Not Found", 0)</f>
        <v>24</v>
      </c>
      <c r="L759" s="16">
        <f>_xlfn.XLOOKUP(CustomerCombinedCleaned[[#This Row],[ID]], Table4[ID], Table4[Fruits], "Not Found", 0)</f>
        <v>40</v>
      </c>
      <c r="M759" s="16">
        <f>_xlfn.XLOOKUP(CustomerCombinedCleaned[[#This Row],[ID]], Table4[ID], Table4[Meats], "Not Found", 0)</f>
        <v>84</v>
      </c>
      <c r="N759" s="16">
        <f>_xlfn.XLOOKUP(CustomerCombinedCleaned[[#This Row],[ID]], Table4[ID], Table4[Seafood], "Not Found", 0)</f>
        <v>76</v>
      </c>
      <c r="O759" s="16">
        <f>_xlfn.XLOOKUP(CustomerCombinedCleaned[[#This Row],[ID]], Table4[ID], Table4[Sweets], "Not Found", 0)</f>
        <v>56</v>
      </c>
      <c r="P759" s="16">
        <f>_xlfn.XLOOKUP(CustomerCombinedCleaned[[#This Row],[ID]], Table4[ID], Table4[Premium], "Not Found", 0)</f>
        <v>168</v>
      </c>
      <c r="Q759" s="16">
        <f>_xlfn.XLOOKUP(CustomerCombinedCleaned[[#This Row],[ID]], Table4[ID], Table4[Regular], "Not Found", 0)</f>
        <v>112</v>
      </c>
      <c r="R759" s="16">
        <f>_xlfn.XLOOKUP(CustomerCombinedCleaned[[#This Row],[ID]], Table4[ID], Table4[Deals], "Not Found", 0)</f>
        <v>2</v>
      </c>
      <c r="S759" s="16">
        <f>_xlfn.XLOOKUP(CustomerCombinedCleaned[[#This Row],[ID]], Table4[ID], Table4[Website], "Not Found", 0)</f>
        <v>2</v>
      </c>
      <c r="T759" s="16">
        <f>_xlfn.XLOOKUP(CustomerCombinedCleaned[[#This Row],[ID]], Table4[ID], Table4[Catalog], "Not Found", 0)</f>
        <v>1</v>
      </c>
      <c r="U759" s="16">
        <f>_xlfn.XLOOKUP(CustomerCombinedCleaned[[#This Row],[ID]], Table4[ID], Table4[Store], "Not Found", 0)</f>
        <v>3</v>
      </c>
      <c r="V759" s="16">
        <f>_xlfn.XLOOKUP(CustomerCombinedCleaned[[#This Row],[ID]], Table4[ID], Table4[Visits], "Not Found", 0)</f>
        <v>6</v>
      </c>
      <c r="W759" s="16">
        <f>_xlfn.XLOOKUP(CustomerCombinedCleaned[[#This Row],[ID]], Table2[ID],Table2[Complaint], "Not Found", 0 )</f>
        <v>0</v>
      </c>
      <c r="X759" s="16">
        <f>_xlfn.XLOOKUP(CustomerCombinedCleaned[[#This Row],[ID]], Table2[ID],Table2[Pilot], "Not Found", 0 )</f>
        <v>0</v>
      </c>
      <c r="Y759" s="16">
        <f>_xlfn.XLOOKUP(CustomerCombinedCleaned[[#This Row],[ID]], Table2[ID],Table2[MC1], "Not Found", 0 )</f>
        <v>0</v>
      </c>
      <c r="Z759" s="16">
        <f>_xlfn.XLOOKUP(CustomerCombinedCleaned[[#This Row],[ID]], Table2[ID],Table2[MC2], "Not Found", 0 )</f>
        <v>0</v>
      </c>
      <c r="AA759" s="16">
        <f>_xlfn.XLOOKUP(CustomerCombinedCleaned[[#This Row],[ID]], Table2[ID],Table2[MC3], "Not Found", 0 )</f>
        <v>0</v>
      </c>
      <c r="AB759" s="16">
        <f>_xlfn.XLOOKUP(CustomerCombinedCleaned[[#This Row],[ID]], Table2[ID],Table2[MC4], "Not Found", 0 )</f>
        <v>0</v>
      </c>
      <c r="AC759" s="16">
        <f>_xlfn.XLOOKUP(CustomerCombinedCleaned[[#This Row],[ID]], Table2[ID],Table2[MC5], "Not Found", 0 )</f>
        <v>0</v>
      </c>
    </row>
    <row r="760" spans="1:29" x14ac:dyDescent="0.3">
      <c r="A760" s="18">
        <v>1448</v>
      </c>
      <c r="B760" s="16">
        <v>133183</v>
      </c>
      <c r="C760" s="16">
        <v>1</v>
      </c>
      <c r="D760" s="16">
        <v>0</v>
      </c>
      <c r="E760" s="16">
        <v>45</v>
      </c>
      <c r="F760" s="17" t="s">
        <v>6</v>
      </c>
      <c r="G760" s="17" t="s">
        <v>11</v>
      </c>
      <c r="H760" s="3" t="s">
        <v>91</v>
      </c>
      <c r="I760" s="5" t="s">
        <v>438</v>
      </c>
      <c r="J760" s="16">
        <f>_xlfn.XLOOKUP(CustomerCombinedCleaned[[#This Row],[ID]], Table4[ID], Table4[Recency], "Not Found", 0)</f>
        <v>46</v>
      </c>
      <c r="K760" s="16">
        <f>_xlfn.XLOOKUP(CustomerCombinedCleaned[[#This Row],[ID]], Table4[ID], Table4[Teas], "Not Found", 0)</f>
        <v>28</v>
      </c>
      <c r="L760" s="16">
        <f>_xlfn.XLOOKUP(CustomerCombinedCleaned[[#This Row],[ID]], Table4[ID], Table4[Fruits], "Not Found", 0)</f>
        <v>20</v>
      </c>
      <c r="M760" s="16">
        <f>_xlfn.XLOOKUP(CustomerCombinedCleaned[[#This Row],[ID]], Table4[ID], Table4[Meats], "Not Found", 0)</f>
        <v>157</v>
      </c>
      <c r="N760" s="16">
        <f>_xlfn.XLOOKUP(CustomerCombinedCleaned[[#This Row],[ID]], Table4[ID], Table4[Seafood], "Not Found", 0)</f>
        <v>68</v>
      </c>
      <c r="O760" s="16">
        <f>_xlfn.XLOOKUP(CustomerCombinedCleaned[[#This Row],[ID]], Table4[ID], Table4[Sweets], "Not Found", 0)</f>
        <v>60</v>
      </c>
      <c r="P760" s="16">
        <f>_xlfn.XLOOKUP(CustomerCombinedCleaned[[#This Row],[ID]], Table4[ID], Table4[Premium], "Not Found", 0)</f>
        <v>149</v>
      </c>
      <c r="Q760" s="16">
        <f>_xlfn.XLOOKUP(CustomerCombinedCleaned[[#This Row],[ID]], Table4[ID], Table4[Regular], "Not Found", 0)</f>
        <v>185</v>
      </c>
      <c r="R760" s="16">
        <f>_xlfn.XLOOKUP(CustomerCombinedCleaned[[#This Row],[ID]], Table4[ID], Table4[Deals], "Not Found", 0)</f>
        <v>2</v>
      </c>
      <c r="S760" s="16">
        <f>_xlfn.XLOOKUP(CustomerCombinedCleaned[[#This Row],[ID]], Table4[ID], Table4[Website], "Not Found", 0)</f>
        <v>4</v>
      </c>
      <c r="T760" s="16">
        <f>_xlfn.XLOOKUP(CustomerCombinedCleaned[[#This Row],[ID]], Table4[ID], Table4[Catalog], "Not Found", 0)</f>
        <v>0</v>
      </c>
      <c r="U760" s="16">
        <f>_xlfn.XLOOKUP(CustomerCombinedCleaned[[#This Row],[ID]], Table4[ID], Table4[Store], "Not Found", 0)</f>
        <v>3</v>
      </c>
      <c r="V760" s="16">
        <f>_xlfn.XLOOKUP(CustomerCombinedCleaned[[#This Row],[ID]], Table4[ID], Table4[Visits], "Not Found", 0)</f>
        <v>7</v>
      </c>
      <c r="W760" s="16">
        <f>_xlfn.XLOOKUP(CustomerCombinedCleaned[[#This Row],[ID]], Table2[ID],Table2[Complaint], "Not Found", 0 )</f>
        <v>0</v>
      </c>
      <c r="X760" s="16">
        <f>_xlfn.XLOOKUP(CustomerCombinedCleaned[[#This Row],[ID]], Table2[ID],Table2[Pilot], "Not Found", 0 )</f>
        <v>0</v>
      </c>
      <c r="Y760" s="16">
        <f>_xlfn.XLOOKUP(CustomerCombinedCleaned[[#This Row],[ID]], Table2[ID],Table2[MC1], "Not Found", 0 )</f>
        <v>0</v>
      </c>
      <c r="Z760" s="16">
        <f>_xlfn.XLOOKUP(CustomerCombinedCleaned[[#This Row],[ID]], Table2[ID],Table2[MC2], "Not Found", 0 )</f>
        <v>0</v>
      </c>
      <c r="AA760" s="16">
        <f>_xlfn.XLOOKUP(CustomerCombinedCleaned[[#This Row],[ID]], Table2[ID],Table2[MC3], "Not Found", 0 )</f>
        <v>0</v>
      </c>
      <c r="AB760" s="16">
        <f>_xlfn.XLOOKUP(CustomerCombinedCleaned[[#This Row],[ID]], Table2[ID],Table2[MC4], "Not Found", 0 )</f>
        <v>0</v>
      </c>
      <c r="AC760" s="16">
        <f>_xlfn.XLOOKUP(CustomerCombinedCleaned[[#This Row],[ID]], Table2[ID],Table2[MC5], "Not Found", 0 )</f>
        <v>0</v>
      </c>
    </row>
    <row r="761" spans="1:29" x14ac:dyDescent="0.3">
      <c r="A761" s="18">
        <v>1237</v>
      </c>
      <c r="B761" s="16">
        <v>131160</v>
      </c>
      <c r="C761" s="16">
        <v>1</v>
      </c>
      <c r="D761" s="16">
        <v>0</v>
      </c>
      <c r="E761" s="16">
        <v>45</v>
      </c>
      <c r="F761" s="17" t="s">
        <v>7</v>
      </c>
      <c r="G761" s="17" t="s">
        <v>12</v>
      </c>
      <c r="H761" s="3" t="s">
        <v>183</v>
      </c>
      <c r="I761" s="5" t="s">
        <v>437</v>
      </c>
      <c r="J761" s="16">
        <f>_xlfn.XLOOKUP(CustomerCombinedCleaned[[#This Row],[ID]], Table4[ID], Table4[Recency], "Not Found", 0)</f>
        <v>59</v>
      </c>
      <c r="K761" s="16">
        <f>_xlfn.XLOOKUP(CustomerCombinedCleaned[[#This Row],[ID]], Table4[ID], Table4[Teas], "Not Found", 0)</f>
        <v>67</v>
      </c>
      <c r="L761" s="16">
        <f>_xlfn.XLOOKUP(CustomerCombinedCleaned[[#This Row],[ID]], Table4[ID], Table4[Fruits], "Not Found", 0)</f>
        <v>13</v>
      </c>
      <c r="M761" s="16">
        <f>_xlfn.XLOOKUP(CustomerCombinedCleaned[[#This Row],[ID]], Table4[ID], Table4[Meats], "Not Found", 0)</f>
        <v>105</v>
      </c>
      <c r="N761" s="16">
        <f>_xlfn.XLOOKUP(CustomerCombinedCleaned[[#This Row],[ID]], Table4[ID], Table4[Seafood], "Not Found", 0)</f>
        <v>25</v>
      </c>
      <c r="O761" s="16">
        <f>_xlfn.XLOOKUP(CustomerCombinedCleaned[[#This Row],[ID]], Table4[ID], Table4[Sweets], "Not Found", 0)</f>
        <v>4</v>
      </c>
      <c r="P761" s="16">
        <f>_xlfn.XLOOKUP(CustomerCombinedCleaned[[#This Row],[ID]], Table4[ID], Table4[Premium], "Not Found", 0)</f>
        <v>55</v>
      </c>
      <c r="Q761" s="16">
        <f>_xlfn.XLOOKUP(CustomerCombinedCleaned[[#This Row],[ID]], Table4[ID], Table4[Regular], "Not Found", 0)</f>
        <v>160</v>
      </c>
      <c r="R761" s="16">
        <f>_xlfn.XLOOKUP(CustomerCombinedCleaned[[#This Row],[ID]], Table4[ID], Table4[Deals], "Not Found", 0)</f>
        <v>2</v>
      </c>
      <c r="S761" s="16">
        <f>_xlfn.XLOOKUP(CustomerCombinedCleaned[[#This Row],[ID]], Table4[ID], Table4[Website], "Not Found", 0)</f>
        <v>2</v>
      </c>
      <c r="T761" s="16">
        <f>_xlfn.XLOOKUP(CustomerCombinedCleaned[[#This Row],[ID]], Table4[ID], Table4[Catalog], "Not Found", 0)</f>
        <v>0</v>
      </c>
      <c r="U761" s="16">
        <f>_xlfn.XLOOKUP(CustomerCombinedCleaned[[#This Row],[ID]], Table4[ID], Table4[Store], "Not Found", 0)</f>
        <v>3</v>
      </c>
      <c r="V761" s="16">
        <f>_xlfn.XLOOKUP(CustomerCombinedCleaned[[#This Row],[ID]], Table4[ID], Table4[Visits], "Not Found", 0)</f>
        <v>8</v>
      </c>
      <c r="W761" s="16">
        <f>_xlfn.XLOOKUP(CustomerCombinedCleaned[[#This Row],[ID]], Table2[ID],Table2[Complaint], "Not Found", 0 )</f>
        <v>0</v>
      </c>
      <c r="X761" s="16">
        <f>_xlfn.XLOOKUP(CustomerCombinedCleaned[[#This Row],[ID]], Table2[ID],Table2[Pilot], "Not Found", 0 )</f>
        <v>0</v>
      </c>
      <c r="Y761" s="16">
        <f>_xlfn.XLOOKUP(CustomerCombinedCleaned[[#This Row],[ID]], Table2[ID],Table2[MC1], "Not Found", 0 )</f>
        <v>0</v>
      </c>
      <c r="Z761" s="16">
        <f>_xlfn.XLOOKUP(CustomerCombinedCleaned[[#This Row],[ID]], Table2[ID],Table2[MC2], "Not Found", 0 )</f>
        <v>0</v>
      </c>
      <c r="AA761" s="16">
        <f>_xlfn.XLOOKUP(CustomerCombinedCleaned[[#This Row],[ID]], Table2[ID],Table2[MC3], "Not Found", 0 )</f>
        <v>0</v>
      </c>
      <c r="AB761" s="16">
        <f>_xlfn.XLOOKUP(CustomerCombinedCleaned[[#This Row],[ID]], Table2[ID],Table2[MC4], "Not Found", 0 )</f>
        <v>0</v>
      </c>
      <c r="AC761" s="16">
        <f>_xlfn.XLOOKUP(CustomerCombinedCleaned[[#This Row],[ID]], Table2[ID],Table2[MC5], "Not Found", 0 )</f>
        <v>0</v>
      </c>
    </row>
    <row r="762" spans="1:29" x14ac:dyDescent="0.3">
      <c r="A762" s="18">
        <v>1592</v>
      </c>
      <c r="B762" s="16">
        <v>130801</v>
      </c>
      <c r="C762" s="16">
        <v>0</v>
      </c>
      <c r="D762" s="16">
        <v>1</v>
      </c>
      <c r="E762" s="16">
        <v>45</v>
      </c>
      <c r="F762" s="17" t="s">
        <v>6</v>
      </c>
      <c r="G762" s="17" t="s">
        <v>10</v>
      </c>
      <c r="H762" s="3" t="s">
        <v>593</v>
      </c>
      <c r="I762" s="5" t="s">
        <v>438</v>
      </c>
      <c r="J762" s="16">
        <f>_xlfn.XLOOKUP(CustomerCombinedCleaned[[#This Row],[ID]], Table4[ID], Table4[Recency], "Not Found", 0)</f>
        <v>23</v>
      </c>
      <c r="K762" s="16">
        <f>_xlfn.XLOOKUP(CustomerCombinedCleaned[[#This Row],[ID]], Table4[ID], Table4[Teas], "Not Found", 0)</f>
        <v>34</v>
      </c>
      <c r="L762" s="16">
        <f>_xlfn.XLOOKUP(CustomerCombinedCleaned[[#This Row],[ID]], Table4[ID], Table4[Fruits], "Not Found", 0)</f>
        <v>17</v>
      </c>
      <c r="M762" s="16">
        <f>_xlfn.XLOOKUP(CustomerCombinedCleaned[[#This Row],[ID]], Table4[ID], Table4[Meats], "Not Found", 0)</f>
        <v>21</v>
      </c>
      <c r="N762" s="16">
        <f>_xlfn.XLOOKUP(CustomerCombinedCleaned[[#This Row],[ID]], Table4[ID], Table4[Seafood], "Not Found", 0)</f>
        <v>64</v>
      </c>
      <c r="O762" s="16">
        <f>_xlfn.XLOOKUP(CustomerCombinedCleaned[[#This Row],[ID]], Table4[ID], Table4[Sweets], "Not Found", 0)</f>
        <v>8</v>
      </c>
      <c r="P762" s="16">
        <f>_xlfn.XLOOKUP(CustomerCombinedCleaned[[#This Row],[ID]], Table4[ID], Table4[Premium], "Not Found", 0)</f>
        <v>47</v>
      </c>
      <c r="Q762" s="16">
        <f>_xlfn.XLOOKUP(CustomerCombinedCleaned[[#This Row],[ID]], Table4[ID], Table4[Regular], "Not Found", 0)</f>
        <v>98</v>
      </c>
      <c r="R762" s="16">
        <f>_xlfn.XLOOKUP(CustomerCombinedCleaned[[#This Row],[ID]], Table4[ID], Table4[Deals], "Not Found", 0)</f>
        <v>2</v>
      </c>
      <c r="S762" s="16">
        <f>_xlfn.XLOOKUP(CustomerCombinedCleaned[[#This Row],[ID]], Table4[ID], Table4[Website], "Not Found", 0)</f>
        <v>1</v>
      </c>
      <c r="T762" s="16">
        <f>_xlfn.XLOOKUP(CustomerCombinedCleaned[[#This Row],[ID]], Table4[ID], Table4[Catalog], "Not Found", 0)</f>
        <v>0</v>
      </c>
      <c r="U762" s="16">
        <f>_xlfn.XLOOKUP(CustomerCombinedCleaned[[#This Row],[ID]], Table4[ID], Table4[Store], "Not Found", 0)</f>
        <v>3</v>
      </c>
      <c r="V762" s="16">
        <f>_xlfn.XLOOKUP(CustomerCombinedCleaned[[#This Row],[ID]], Table4[ID], Table4[Visits], "Not Found", 0)</f>
        <v>7</v>
      </c>
      <c r="W762" s="16">
        <f>_xlfn.XLOOKUP(CustomerCombinedCleaned[[#This Row],[ID]], Table2[ID],Table2[Complaint], "Not Found", 0 )</f>
        <v>0</v>
      </c>
      <c r="X762" s="16">
        <f>_xlfn.XLOOKUP(CustomerCombinedCleaned[[#This Row],[ID]], Table2[ID],Table2[Pilot], "Not Found", 0 )</f>
        <v>0</v>
      </c>
      <c r="Y762" s="16">
        <f>_xlfn.XLOOKUP(CustomerCombinedCleaned[[#This Row],[ID]], Table2[ID],Table2[MC1], "Not Found", 0 )</f>
        <v>0</v>
      </c>
      <c r="Z762" s="16">
        <f>_xlfn.XLOOKUP(CustomerCombinedCleaned[[#This Row],[ID]], Table2[ID],Table2[MC2], "Not Found", 0 )</f>
        <v>0</v>
      </c>
      <c r="AA762" s="16">
        <f>_xlfn.XLOOKUP(CustomerCombinedCleaned[[#This Row],[ID]], Table2[ID],Table2[MC3], "Not Found", 0 )</f>
        <v>0</v>
      </c>
      <c r="AB762" s="16">
        <f>_xlfn.XLOOKUP(CustomerCombinedCleaned[[#This Row],[ID]], Table2[ID],Table2[MC4], "Not Found", 0 )</f>
        <v>0</v>
      </c>
      <c r="AC762" s="16">
        <f>_xlfn.XLOOKUP(CustomerCombinedCleaned[[#This Row],[ID]], Table2[ID],Table2[MC5], "Not Found", 0 )</f>
        <v>0</v>
      </c>
    </row>
    <row r="763" spans="1:29" x14ac:dyDescent="0.3">
      <c r="A763" s="18">
        <v>2651</v>
      </c>
      <c r="B763" s="16">
        <v>127573</v>
      </c>
      <c r="C763" s="16">
        <v>1</v>
      </c>
      <c r="D763" s="16">
        <v>0</v>
      </c>
      <c r="E763" s="16">
        <v>45</v>
      </c>
      <c r="F763" s="17" t="s">
        <v>6</v>
      </c>
      <c r="G763" s="17" t="s">
        <v>11</v>
      </c>
      <c r="H763" s="3" t="s">
        <v>283</v>
      </c>
      <c r="I763" s="5" t="s">
        <v>434</v>
      </c>
      <c r="J763" s="16">
        <f>_xlfn.XLOOKUP(CustomerCombinedCleaned[[#This Row],[ID]], Table4[ID], Table4[Recency], "Not Found", 0)</f>
        <v>45</v>
      </c>
      <c r="K763" s="16">
        <f>_xlfn.XLOOKUP(CustomerCombinedCleaned[[#This Row],[ID]], Table4[ID], Table4[Teas], "Not Found", 0)</f>
        <v>231</v>
      </c>
      <c r="L763" s="16">
        <f>_xlfn.XLOOKUP(CustomerCombinedCleaned[[#This Row],[ID]], Table4[ID], Table4[Fruits], "Not Found", 0)</f>
        <v>69</v>
      </c>
      <c r="M763" s="16">
        <f>_xlfn.XLOOKUP(CustomerCombinedCleaned[[#This Row],[ID]], Table4[ID], Table4[Meats], "Not Found", 0)</f>
        <v>509</v>
      </c>
      <c r="N763" s="16">
        <f>_xlfn.XLOOKUP(CustomerCombinedCleaned[[#This Row],[ID]], Table4[ID], Table4[Seafood], "Not Found", 0)</f>
        <v>180</v>
      </c>
      <c r="O763" s="16">
        <f>_xlfn.XLOOKUP(CustomerCombinedCleaned[[#This Row],[ID]], Table4[ID], Table4[Sweets], "Not Found", 0)</f>
        <v>69</v>
      </c>
      <c r="P763" s="16">
        <f>_xlfn.XLOOKUP(CustomerCombinedCleaned[[#This Row],[ID]], Table4[ID], Table4[Premium], "Not Found", 0)</f>
        <v>69</v>
      </c>
      <c r="Q763" s="16">
        <f>_xlfn.XLOOKUP(CustomerCombinedCleaned[[#This Row],[ID]], Table4[ID], Table4[Regular], "Not Found", 0)</f>
        <v>990</v>
      </c>
      <c r="R763" s="16">
        <f>_xlfn.XLOOKUP(CustomerCombinedCleaned[[#This Row],[ID]], Table4[ID], Table4[Deals], "Not Found", 0)</f>
        <v>4</v>
      </c>
      <c r="S763" s="16">
        <f>_xlfn.XLOOKUP(CustomerCombinedCleaned[[#This Row],[ID]], Table4[ID], Table4[Website], "Not Found", 0)</f>
        <v>5</v>
      </c>
      <c r="T763" s="16">
        <f>_xlfn.XLOOKUP(CustomerCombinedCleaned[[#This Row],[ID]], Table4[ID], Table4[Catalog], "Not Found", 0)</f>
        <v>1</v>
      </c>
      <c r="U763" s="16">
        <f>_xlfn.XLOOKUP(CustomerCombinedCleaned[[#This Row],[ID]], Table4[ID], Table4[Store], "Not Found", 0)</f>
        <v>4</v>
      </c>
      <c r="V763" s="16">
        <f>_xlfn.XLOOKUP(CustomerCombinedCleaned[[#This Row],[ID]], Table4[ID], Table4[Visits], "Not Found", 0)</f>
        <v>8</v>
      </c>
      <c r="W763" s="16">
        <f>_xlfn.XLOOKUP(CustomerCombinedCleaned[[#This Row],[ID]], Table2[ID],Table2[Complaint], "Not Found", 0 )</f>
        <v>0</v>
      </c>
      <c r="X763" s="16">
        <f>_xlfn.XLOOKUP(CustomerCombinedCleaned[[#This Row],[ID]], Table2[ID],Table2[Pilot], "Not Found", 0 )</f>
        <v>0</v>
      </c>
      <c r="Y763" s="16">
        <f>_xlfn.XLOOKUP(CustomerCombinedCleaned[[#This Row],[ID]], Table2[ID],Table2[MC1], "Not Found", 0 )</f>
        <v>0</v>
      </c>
      <c r="Z763" s="16">
        <f>_xlfn.XLOOKUP(CustomerCombinedCleaned[[#This Row],[ID]], Table2[ID],Table2[MC2], "Not Found", 0 )</f>
        <v>0</v>
      </c>
      <c r="AA763" s="16">
        <f>_xlfn.XLOOKUP(CustomerCombinedCleaned[[#This Row],[ID]], Table2[ID],Table2[MC3], "Not Found", 0 )</f>
        <v>0</v>
      </c>
      <c r="AB763" s="16">
        <f>_xlfn.XLOOKUP(CustomerCombinedCleaned[[#This Row],[ID]], Table2[ID],Table2[MC4], "Not Found", 0 )</f>
        <v>0</v>
      </c>
      <c r="AC763" s="16">
        <f>_xlfn.XLOOKUP(CustomerCombinedCleaned[[#This Row],[ID]], Table2[ID],Table2[MC5], "Not Found", 0 )</f>
        <v>0</v>
      </c>
    </row>
    <row r="764" spans="1:29" x14ac:dyDescent="0.3">
      <c r="A764" s="18">
        <v>1136</v>
      </c>
      <c r="B764" s="16">
        <v>123957</v>
      </c>
      <c r="C764" s="16">
        <v>1</v>
      </c>
      <c r="D764" s="16">
        <v>0</v>
      </c>
      <c r="E764" s="16">
        <v>45</v>
      </c>
      <c r="F764" s="17" t="s">
        <v>6</v>
      </c>
      <c r="G764" s="17" t="s">
        <v>11</v>
      </c>
      <c r="H764" s="3" t="s">
        <v>756</v>
      </c>
      <c r="I764" s="5" t="s">
        <v>438</v>
      </c>
      <c r="J764" s="16">
        <f>_xlfn.XLOOKUP(CustomerCombinedCleaned[[#This Row],[ID]], Table4[ID], Table4[Recency], "Not Found", 0)</f>
        <v>47</v>
      </c>
      <c r="K764" s="16">
        <f>_xlfn.XLOOKUP(CustomerCombinedCleaned[[#This Row],[ID]], Table4[ID], Table4[Teas], "Not Found", 0)</f>
        <v>10</v>
      </c>
      <c r="L764" s="16">
        <f>_xlfn.XLOOKUP(CustomerCombinedCleaned[[#This Row],[ID]], Table4[ID], Table4[Fruits], "Not Found", 0)</f>
        <v>5</v>
      </c>
      <c r="M764" s="16">
        <f>_xlfn.XLOOKUP(CustomerCombinedCleaned[[#This Row],[ID]], Table4[ID], Table4[Meats], "Not Found", 0)</f>
        <v>93</v>
      </c>
      <c r="N764" s="16">
        <f>_xlfn.XLOOKUP(CustomerCombinedCleaned[[#This Row],[ID]], Table4[ID], Table4[Seafood], "Not Found", 0)</f>
        <v>103</v>
      </c>
      <c r="O764" s="16">
        <f>_xlfn.XLOOKUP(CustomerCombinedCleaned[[#This Row],[ID]], Table4[ID], Table4[Sweets], "Not Found", 0)</f>
        <v>57</v>
      </c>
      <c r="P764" s="16">
        <f>_xlfn.XLOOKUP(CustomerCombinedCleaned[[#This Row],[ID]], Table4[ID], Table4[Premium], "Not Found", 0)</f>
        <v>83</v>
      </c>
      <c r="Q764" s="16">
        <f>_xlfn.XLOOKUP(CustomerCombinedCleaned[[#This Row],[ID]], Table4[ID], Table4[Regular], "Not Found", 0)</f>
        <v>186</v>
      </c>
      <c r="R764" s="16">
        <f>_xlfn.XLOOKUP(CustomerCombinedCleaned[[#This Row],[ID]], Table4[ID], Table4[Deals], "Not Found", 0)</f>
        <v>1</v>
      </c>
      <c r="S764" s="16">
        <f>_xlfn.XLOOKUP(CustomerCombinedCleaned[[#This Row],[ID]], Table4[ID], Table4[Website], "Not Found", 0)</f>
        <v>2</v>
      </c>
      <c r="T764" s="16">
        <f>_xlfn.XLOOKUP(CustomerCombinedCleaned[[#This Row],[ID]], Table4[ID], Table4[Catalog], "Not Found", 0)</f>
        <v>0</v>
      </c>
      <c r="U764" s="16">
        <f>_xlfn.XLOOKUP(CustomerCombinedCleaned[[#This Row],[ID]], Table4[ID], Table4[Store], "Not Found", 0)</f>
        <v>3</v>
      </c>
      <c r="V764" s="16">
        <f>_xlfn.XLOOKUP(CustomerCombinedCleaned[[#This Row],[ID]], Table4[ID], Table4[Visits], "Not Found", 0)</f>
        <v>6</v>
      </c>
      <c r="W764" s="16">
        <f>_xlfn.XLOOKUP(CustomerCombinedCleaned[[#This Row],[ID]], Table2[ID],Table2[Complaint], "Not Found", 0 )</f>
        <v>0</v>
      </c>
      <c r="X764" s="16">
        <f>_xlfn.XLOOKUP(CustomerCombinedCleaned[[#This Row],[ID]], Table2[ID],Table2[Pilot], "Not Found", 0 )</f>
        <v>1</v>
      </c>
      <c r="Y764" s="16">
        <f>_xlfn.XLOOKUP(CustomerCombinedCleaned[[#This Row],[ID]], Table2[ID],Table2[MC1], "Not Found", 0 )</f>
        <v>0</v>
      </c>
      <c r="Z764" s="16">
        <f>_xlfn.XLOOKUP(CustomerCombinedCleaned[[#This Row],[ID]], Table2[ID],Table2[MC2], "Not Found", 0 )</f>
        <v>0</v>
      </c>
      <c r="AA764" s="16">
        <f>_xlfn.XLOOKUP(CustomerCombinedCleaned[[#This Row],[ID]], Table2[ID],Table2[MC3], "Not Found", 0 )</f>
        <v>0</v>
      </c>
      <c r="AB764" s="16">
        <f>_xlfn.XLOOKUP(CustomerCombinedCleaned[[#This Row],[ID]], Table2[ID],Table2[MC4], "Not Found", 0 )</f>
        <v>0</v>
      </c>
      <c r="AC764" s="16">
        <f>_xlfn.XLOOKUP(CustomerCombinedCleaned[[#This Row],[ID]], Table2[ID],Table2[MC5], "Not Found", 0 )</f>
        <v>0</v>
      </c>
    </row>
    <row r="765" spans="1:29" x14ac:dyDescent="0.3">
      <c r="A765" s="18">
        <v>2804</v>
      </c>
      <c r="B765" s="16">
        <v>122669</v>
      </c>
      <c r="C765" s="16">
        <v>1</v>
      </c>
      <c r="D765" s="16">
        <v>0</v>
      </c>
      <c r="E765" s="16">
        <v>45</v>
      </c>
      <c r="F765" s="17" t="s">
        <v>8</v>
      </c>
      <c r="G765" s="17" t="s">
        <v>12</v>
      </c>
      <c r="H765" s="3" t="s">
        <v>249</v>
      </c>
      <c r="I765" s="5" t="s">
        <v>438</v>
      </c>
      <c r="J765" s="16">
        <f>_xlfn.XLOOKUP(CustomerCombinedCleaned[[#This Row],[ID]], Table4[ID], Table4[Recency], "Not Found", 0)</f>
        <v>30</v>
      </c>
      <c r="K765" s="16">
        <f>_xlfn.XLOOKUP(CustomerCombinedCleaned[[#This Row],[ID]], Table4[ID], Table4[Teas], "Not Found", 0)</f>
        <v>87</v>
      </c>
      <c r="L765" s="16">
        <f>_xlfn.XLOOKUP(CustomerCombinedCleaned[[#This Row],[ID]], Table4[ID], Table4[Fruits], "Not Found", 0)</f>
        <v>76</v>
      </c>
      <c r="M765" s="16">
        <f>_xlfn.XLOOKUP(CustomerCombinedCleaned[[#This Row],[ID]], Table4[ID], Table4[Meats], "Not Found", 0)</f>
        <v>195</v>
      </c>
      <c r="N765" s="16">
        <f>_xlfn.XLOOKUP(CustomerCombinedCleaned[[#This Row],[ID]], Table4[ID], Table4[Seafood], "Not Found", 0)</f>
        <v>200</v>
      </c>
      <c r="O765" s="16">
        <f>_xlfn.XLOOKUP(CustomerCombinedCleaned[[#This Row],[ID]], Table4[ID], Table4[Sweets], "Not Found", 0)</f>
        <v>119</v>
      </c>
      <c r="P765" s="16">
        <f>_xlfn.XLOOKUP(CustomerCombinedCleaned[[#This Row],[ID]], Table4[ID], Table4[Premium], "Not Found", 0)</f>
        <v>260</v>
      </c>
      <c r="Q765" s="16">
        <f>_xlfn.XLOOKUP(CustomerCombinedCleaned[[#This Row],[ID]], Table4[ID], Table4[Regular], "Not Found", 0)</f>
        <v>417</v>
      </c>
      <c r="R765" s="16">
        <f>_xlfn.XLOOKUP(CustomerCombinedCleaned[[#This Row],[ID]], Table4[ID], Table4[Deals], "Not Found", 0)</f>
        <v>3</v>
      </c>
      <c r="S765" s="16">
        <f>_xlfn.XLOOKUP(CustomerCombinedCleaned[[#This Row],[ID]], Table4[ID], Table4[Website], "Not Found", 0)</f>
        <v>4</v>
      </c>
      <c r="T765" s="16">
        <f>_xlfn.XLOOKUP(CustomerCombinedCleaned[[#This Row],[ID]], Table4[ID], Table4[Catalog], "Not Found", 0)</f>
        <v>1</v>
      </c>
      <c r="U765" s="16">
        <f>_xlfn.XLOOKUP(CustomerCombinedCleaned[[#This Row],[ID]], Table4[ID], Table4[Store], "Not Found", 0)</f>
        <v>2</v>
      </c>
      <c r="V765" s="16">
        <f>_xlfn.XLOOKUP(CustomerCombinedCleaned[[#This Row],[ID]], Table4[ID], Table4[Visits], "Not Found", 0)</f>
        <v>9</v>
      </c>
      <c r="W765" s="16">
        <f>_xlfn.XLOOKUP(CustomerCombinedCleaned[[#This Row],[ID]], Table2[ID],Table2[Complaint], "Not Found", 0 )</f>
        <v>0</v>
      </c>
      <c r="X765" s="16">
        <f>_xlfn.XLOOKUP(CustomerCombinedCleaned[[#This Row],[ID]], Table2[ID],Table2[Pilot], "Not Found", 0 )</f>
        <v>1</v>
      </c>
      <c r="Y765" s="16">
        <f>_xlfn.XLOOKUP(CustomerCombinedCleaned[[#This Row],[ID]], Table2[ID],Table2[MC1], "Not Found", 0 )</f>
        <v>0</v>
      </c>
      <c r="Z765" s="16">
        <f>_xlfn.XLOOKUP(CustomerCombinedCleaned[[#This Row],[ID]], Table2[ID],Table2[MC2], "Not Found", 0 )</f>
        <v>0</v>
      </c>
      <c r="AA765" s="16">
        <f>_xlfn.XLOOKUP(CustomerCombinedCleaned[[#This Row],[ID]], Table2[ID],Table2[MC3], "Not Found", 0 )</f>
        <v>0</v>
      </c>
      <c r="AB765" s="16">
        <f>_xlfn.XLOOKUP(CustomerCombinedCleaned[[#This Row],[ID]], Table2[ID],Table2[MC4], "Not Found", 0 )</f>
        <v>0</v>
      </c>
      <c r="AC765" s="16">
        <f>_xlfn.XLOOKUP(CustomerCombinedCleaned[[#This Row],[ID]], Table2[ID],Table2[MC5], "Not Found", 0 )</f>
        <v>0</v>
      </c>
    </row>
    <row r="766" spans="1:29" x14ac:dyDescent="0.3">
      <c r="A766" s="18">
        <v>2826</v>
      </c>
      <c r="B766" s="16">
        <v>122280</v>
      </c>
      <c r="C766" s="16">
        <v>1</v>
      </c>
      <c r="D766" s="16">
        <v>0</v>
      </c>
      <c r="E766" s="16">
        <v>45</v>
      </c>
      <c r="F766" s="17" t="s">
        <v>8</v>
      </c>
      <c r="G766" s="17" t="s">
        <v>11</v>
      </c>
      <c r="H766" s="3" t="s">
        <v>252</v>
      </c>
      <c r="I766" s="5" t="s">
        <v>436</v>
      </c>
      <c r="J766" s="16">
        <f>_xlfn.XLOOKUP(CustomerCombinedCleaned[[#This Row],[ID]], Table4[ID], Table4[Recency], "Not Found", 0)</f>
        <v>85</v>
      </c>
      <c r="K766" s="16">
        <f>_xlfn.XLOOKUP(CustomerCombinedCleaned[[#This Row],[ID]], Table4[ID], Table4[Teas], "Not Found", 0)</f>
        <v>11</v>
      </c>
      <c r="L766" s="16">
        <f>_xlfn.XLOOKUP(CustomerCombinedCleaned[[#This Row],[ID]], Table4[ID], Table4[Fruits], "Not Found", 0)</f>
        <v>5</v>
      </c>
      <c r="M766" s="16">
        <f>_xlfn.XLOOKUP(CustomerCombinedCleaned[[#This Row],[ID]], Table4[ID], Table4[Meats], "Not Found", 0)</f>
        <v>22</v>
      </c>
      <c r="N766" s="16">
        <f>_xlfn.XLOOKUP(CustomerCombinedCleaned[[#This Row],[ID]], Table4[ID], Table4[Seafood], "Not Found", 0)</f>
        <v>16</v>
      </c>
      <c r="O766" s="16">
        <f>_xlfn.XLOOKUP(CustomerCombinedCleaned[[#This Row],[ID]], Table4[ID], Table4[Sweets], "Not Found", 0)</f>
        <v>5</v>
      </c>
      <c r="P766" s="16">
        <f>_xlfn.XLOOKUP(CustomerCombinedCleaned[[#This Row],[ID]], Table4[ID], Table4[Premium], "Not Found", 0)</f>
        <v>11</v>
      </c>
      <c r="Q766" s="16">
        <f>_xlfn.XLOOKUP(CustomerCombinedCleaned[[#This Row],[ID]], Table4[ID], Table4[Regular], "Not Found", 0)</f>
        <v>49</v>
      </c>
      <c r="R766" s="16">
        <f>_xlfn.XLOOKUP(CustomerCombinedCleaned[[#This Row],[ID]], Table4[ID], Table4[Deals], "Not Found", 0)</f>
        <v>1</v>
      </c>
      <c r="S766" s="16">
        <f>_xlfn.XLOOKUP(CustomerCombinedCleaned[[#This Row],[ID]], Table4[ID], Table4[Website], "Not Found", 0)</f>
        <v>1</v>
      </c>
      <c r="T766" s="16">
        <f>_xlfn.XLOOKUP(CustomerCombinedCleaned[[#This Row],[ID]], Table4[ID], Table4[Catalog], "Not Found", 0)</f>
        <v>0</v>
      </c>
      <c r="U766" s="16">
        <f>_xlfn.XLOOKUP(CustomerCombinedCleaned[[#This Row],[ID]], Table4[ID], Table4[Store], "Not Found", 0)</f>
        <v>2</v>
      </c>
      <c r="V766" s="16">
        <f>_xlfn.XLOOKUP(CustomerCombinedCleaned[[#This Row],[ID]], Table4[ID], Table4[Visits], "Not Found", 0)</f>
        <v>8</v>
      </c>
      <c r="W766" s="16">
        <f>_xlfn.XLOOKUP(CustomerCombinedCleaned[[#This Row],[ID]], Table2[ID],Table2[Complaint], "Not Found", 0 )</f>
        <v>0</v>
      </c>
      <c r="X766" s="16">
        <f>_xlfn.XLOOKUP(CustomerCombinedCleaned[[#This Row],[ID]], Table2[ID],Table2[Pilot], "Not Found", 0 )</f>
        <v>0</v>
      </c>
      <c r="Y766" s="16">
        <f>_xlfn.XLOOKUP(CustomerCombinedCleaned[[#This Row],[ID]], Table2[ID],Table2[MC1], "Not Found", 0 )</f>
        <v>0</v>
      </c>
      <c r="Z766" s="16">
        <f>_xlfn.XLOOKUP(CustomerCombinedCleaned[[#This Row],[ID]], Table2[ID],Table2[MC2], "Not Found", 0 )</f>
        <v>0</v>
      </c>
      <c r="AA766" s="16">
        <f>_xlfn.XLOOKUP(CustomerCombinedCleaned[[#This Row],[ID]], Table2[ID],Table2[MC3], "Not Found", 0 )</f>
        <v>0</v>
      </c>
      <c r="AB766" s="16">
        <f>_xlfn.XLOOKUP(CustomerCombinedCleaned[[#This Row],[ID]], Table2[ID],Table2[MC4], "Not Found", 0 )</f>
        <v>0</v>
      </c>
      <c r="AC766" s="16">
        <f>_xlfn.XLOOKUP(CustomerCombinedCleaned[[#This Row],[ID]], Table2[ID],Table2[MC5], "Not Found", 0 )</f>
        <v>0</v>
      </c>
    </row>
    <row r="767" spans="1:29" x14ac:dyDescent="0.3">
      <c r="A767" s="18">
        <v>1223</v>
      </c>
      <c r="B767" s="16">
        <v>122212</v>
      </c>
      <c r="C767" s="16">
        <v>1</v>
      </c>
      <c r="D767" s="16">
        <v>0</v>
      </c>
      <c r="E767" s="16">
        <v>45</v>
      </c>
      <c r="F767" s="17" t="s">
        <v>6</v>
      </c>
      <c r="G767" s="17" t="s">
        <v>11</v>
      </c>
      <c r="H767" s="3" t="s">
        <v>139</v>
      </c>
      <c r="I767" s="5" t="s">
        <v>434</v>
      </c>
      <c r="J767" s="16">
        <f>_xlfn.XLOOKUP(CustomerCombinedCleaned[[#This Row],[ID]], Table4[ID], Table4[Recency], "Not Found", 0)</f>
        <v>49</v>
      </c>
      <c r="K767" s="16">
        <f>_xlfn.XLOOKUP(CustomerCombinedCleaned[[#This Row],[ID]], Table4[ID], Table4[Teas], "Not Found", 0)</f>
        <v>28</v>
      </c>
      <c r="L767" s="16">
        <f>_xlfn.XLOOKUP(CustomerCombinedCleaned[[#This Row],[ID]], Table4[ID], Table4[Fruits], "Not Found", 0)</f>
        <v>50</v>
      </c>
      <c r="M767" s="16">
        <f>_xlfn.XLOOKUP(CustomerCombinedCleaned[[#This Row],[ID]], Table4[ID], Table4[Meats], "Not Found", 0)</f>
        <v>110</v>
      </c>
      <c r="N767" s="16">
        <f>_xlfn.XLOOKUP(CustomerCombinedCleaned[[#This Row],[ID]], Table4[ID], Table4[Seafood], "Not Found", 0)</f>
        <v>33</v>
      </c>
      <c r="O767" s="16">
        <f>_xlfn.XLOOKUP(CustomerCombinedCleaned[[#This Row],[ID]], Table4[ID], Table4[Sweets], "Not Found", 0)</f>
        <v>44</v>
      </c>
      <c r="P767" s="16">
        <f>_xlfn.XLOOKUP(CustomerCombinedCleaned[[#This Row],[ID]], Table4[ID], Table4[Premium], "Not Found", 0)</f>
        <v>116</v>
      </c>
      <c r="Q767" s="16">
        <f>_xlfn.XLOOKUP(CustomerCombinedCleaned[[#This Row],[ID]], Table4[ID], Table4[Regular], "Not Found", 0)</f>
        <v>149</v>
      </c>
      <c r="R767" s="16">
        <f>_xlfn.XLOOKUP(CustomerCombinedCleaned[[#This Row],[ID]], Table4[ID], Table4[Deals], "Not Found", 0)</f>
        <v>2</v>
      </c>
      <c r="S767" s="16">
        <f>_xlfn.XLOOKUP(CustomerCombinedCleaned[[#This Row],[ID]], Table4[ID], Table4[Website], "Not Found", 0)</f>
        <v>2</v>
      </c>
      <c r="T767" s="16">
        <f>_xlfn.XLOOKUP(CustomerCombinedCleaned[[#This Row],[ID]], Table4[ID], Table4[Catalog], "Not Found", 0)</f>
        <v>0</v>
      </c>
      <c r="U767" s="16">
        <f>_xlfn.XLOOKUP(CustomerCombinedCleaned[[#This Row],[ID]], Table4[ID], Table4[Store], "Not Found", 0)</f>
        <v>4</v>
      </c>
      <c r="V767" s="16">
        <f>_xlfn.XLOOKUP(CustomerCombinedCleaned[[#This Row],[ID]], Table4[ID], Table4[Visits], "Not Found", 0)</f>
        <v>6</v>
      </c>
      <c r="W767" s="16">
        <f>_xlfn.XLOOKUP(CustomerCombinedCleaned[[#This Row],[ID]], Table2[ID],Table2[Complaint], "Not Found", 0 )</f>
        <v>0</v>
      </c>
      <c r="X767" s="16">
        <f>_xlfn.XLOOKUP(CustomerCombinedCleaned[[#This Row],[ID]], Table2[ID],Table2[Pilot], "Not Found", 0 )</f>
        <v>0</v>
      </c>
      <c r="Y767" s="16">
        <f>_xlfn.XLOOKUP(CustomerCombinedCleaned[[#This Row],[ID]], Table2[ID],Table2[MC1], "Not Found", 0 )</f>
        <v>0</v>
      </c>
      <c r="Z767" s="16">
        <f>_xlfn.XLOOKUP(CustomerCombinedCleaned[[#This Row],[ID]], Table2[ID],Table2[MC2], "Not Found", 0 )</f>
        <v>0</v>
      </c>
      <c r="AA767" s="16">
        <f>_xlfn.XLOOKUP(CustomerCombinedCleaned[[#This Row],[ID]], Table2[ID],Table2[MC3], "Not Found", 0 )</f>
        <v>0</v>
      </c>
      <c r="AB767" s="16">
        <f>_xlfn.XLOOKUP(CustomerCombinedCleaned[[#This Row],[ID]], Table2[ID],Table2[MC4], "Not Found", 0 )</f>
        <v>0</v>
      </c>
      <c r="AC767" s="16">
        <f>_xlfn.XLOOKUP(CustomerCombinedCleaned[[#This Row],[ID]], Table2[ID],Table2[MC5], "Not Found", 0 )</f>
        <v>0</v>
      </c>
    </row>
    <row r="768" spans="1:29" x14ac:dyDescent="0.3">
      <c r="A768" s="18">
        <v>1400</v>
      </c>
      <c r="B768" s="16">
        <v>119789</v>
      </c>
      <c r="C768" s="16">
        <v>1</v>
      </c>
      <c r="D768" s="16">
        <v>0</v>
      </c>
      <c r="E768" s="16">
        <v>45</v>
      </c>
      <c r="F768" s="17" t="s">
        <v>8</v>
      </c>
      <c r="G768" s="17" t="s">
        <v>11</v>
      </c>
      <c r="H768" s="3" t="s">
        <v>145</v>
      </c>
      <c r="I768" s="5" t="s">
        <v>438</v>
      </c>
      <c r="J768" s="16">
        <f>_xlfn.XLOOKUP(CustomerCombinedCleaned[[#This Row],[ID]], Table4[ID], Table4[Recency], "Not Found", 0)</f>
        <v>24</v>
      </c>
      <c r="K768" s="16">
        <f>_xlfn.XLOOKUP(CustomerCombinedCleaned[[#This Row],[ID]], Table4[ID], Table4[Teas], "Not Found", 0)</f>
        <v>12</v>
      </c>
      <c r="L768" s="16">
        <f>_xlfn.XLOOKUP(CustomerCombinedCleaned[[#This Row],[ID]], Table4[ID], Table4[Fruits], "Not Found", 0)</f>
        <v>30</v>
      </c>
      <c r="M768" s="16">
        <f>_xlfn.XLOOKUP(CustomerCombinedCleaned[[#This Row],[ID]], Table4[ID], Table4[Meats], "Not Found", 0)</f>
        <v>54</v>
      </c>
      <c r="N768" s="16">
        <f>_xlfn.XLOOKUP(CustomerCombinedCleaned[[#This Row],[ID]], Table4[ID], Table4[Seafood], "Not Found", 0)</f>
        <v>169</v>
      </c>
      <c r="O768" s="16">
        <f>_xlfn.XLOOKUP(CustomerCombinedCleaned[[#This Row],[ID]], Table4[ID], Table4[Sweets], "Not Found", 0)</f>
        <v>36</v>
      </c>
      <c r="P768" s="16">
        <f>_xlfn.XLOOKUP(CustomerCombinedCleaned[[#This Row],[ID]], Table4[ID], Table4[Premium], "Not Found", 0)</f>
        <v>169</v>
      </c>
      <c r="Q768" s="16">
        <f>_xlfn.XLOOKUP(CustomerCombinedCleaned[[#This Row],[ID]], Table4[ID], Table4[Regular], "Not Found", 0)</f>
        <v>133</v>
      </c>
      <c r="R768" s="16">
        <f>_xlfn.XLOOKUP(CustomerCombinedCleaned[[#This Row],[ID]], Table4[ID], Table4[Deals], "Not Found", 0)</f>
        <v>3</v>
      </c>
      <c r="S768" s="16">
        <f>_xlfn.XLOOKUP(CustomerCombinedCleaned[[#This Row],[ID]], Table4[ID], Table4[Website], "Not Found", 0)</f>
        <v>2</v>
      </c>
      <c r="T768" s="16">
        <f>_xlfn.XLOOKUP(CustomerCombinedCleaned[[#This Row],[ID]], Table4[ID], Table4[Catalog], "Not Found", 0)</f>
        <v>1</v>
      </c>
      <c r="U768" s="16">
        <f>_xlfn.XLOOKUP(CustomerCombinedCleaned[[#This Row],[ID]], Table4[ID], Table4[Store], "Not Found", 0)</f>
        <v>3</v>
      </c>
      <c r="V768" s="16">
        <f>_xlfn.XLOOKUP(CustomerCombinedCleaned[[#This Row],[ID]], Table4[ID], Table4[Visits], "Not Found", 0)</f>
        <v>5</v>
      </c>
      <c r="W768" s="16">
        <f>_xlfn.XLOOKUP(CustomerCombinedCleaned[[#This Row],[ID]], Table2[ID],Table2[Complaint], "Not Found", 0 )</f>
        <v>0</v>
      </c>
      <c r="X768" s="16">
        <f>_xlfn.XLOOKUP(CustomerCombinedCleaned[[#This Row],[ID]], Table2[ID],Table2[Pilot], "Not Found", 0 )</f>
        <v>0</v>
      </c>
      <c r="Y768" s="16">
        <f>_xlfn.XLOOKUP(CustomerCombinedCleaned[[#This Row],[ID]], Table2[ID],Table2[MC1], "Not Found", 0 )</f>
        <v>0</v>
      </c>
      <c r="Z768" s="16">
        <f>_xlfn.XLOOKUP(CustomerCombinedCleaned[[#This Row],[ID]], Table2[ID],Table2[MC2], "Not Found", 0 )</f>
        <v>0</v>
      </c>
      <c r="AA768" s="16">
        <f>_xlfn.XLOOKUP(CustomerCombinedCleaned[[#This Row],[ID]], Table2[ID],Table2[MC3], "Not Found", 0 )</f>
        <v>1</v>
      </c>
      <c r="AB768" s="16">
        <f>_xlfn.XLOOKUP(CustomerCombinedCleaned[[#This Row],[ID]], Table2[ID],Table2[MC4], "Not Found", 0 )</f>
        <v>0</v>
      </c>
      <c r="AC768" s="16">
        <f>_xlfn.XLOOKUP(CustomerCombinedCleaned[[#This Row],[ID]], Table2[ID],Table2[MC5], "Not Found", 0 )</f>
        <v>0</v>
      </c>
    </row>
    <row r="769" spans="1:29" x14ac:dyDescent="0.3">
      <c r="A769" s="18">
        <v>1579</v>
      </c>
      <c r="B769" s="16">
        <v>117459</v>
      </c>
      <c r="C769" s="16">
        <v>1</v>
      </c>
      <c r="D769" s="16">
        <v>0</v>
      </c>
      <c r="E769" s="16">
        <v>45</v>
      </c>
      <c r="F769" s="17" t="s">
        <v>8</v>
      </c>
      <c r="G769" s="17" t="s">
        <v>12</v>
      </c>
      <c r="H769" s="3" t="s">
        <v>180</v>
      </c>
      <c r="I769" s="5" t="s">
        <v>437</v>
      </c>
      <c r="J769" s="16">
        <f>_xlfn.XLOOKUP(CustomerCombinedCleaned[[#This Row],[ID]], Table4[ID], Table4[Recency], "Not Found", 0)</f>
        <v>12</v>
      </c>
      <c r="K769" s="16">
        <f>_xlfn.XLOOKUP(CustomerCombinedCleaned[[#This Row],[ID]], Table4[ID], Table4[Teas], "Not Found", 0)</f>
        <v>40</v>
      </c>
      <c r="L769" s="16">
        <f>_xlfn.XLOOKUP(CustomerCombinedCleaned[[#This Row],[ID]], Table4[ID], Table4[Fruits], "Not Found", 0)</f>
        <v>27</v>
      </c>
      <c r="M769" s="16">
        <f>_xlfn.XLOOKUP(CustomerCombinedCleaned[[#This Row],[ID]], Table4[ID], Table4[Meats], "Not Found", 0)</f>
        <v>108</v>
      </c>
      <c r="N769" s="16">
        <f>_xlfn.XLOOKUP(CustomerCombinedCleaned[[#This Row],[ID]], Table4[ID], Table4[Seafood], "Not Found", 0)</f>
        <v>20</v>
      </c>
      <c r="O769" s="16">
        <f>_xlfn.XLOOKUP(CustomerCombinedCleaned[[#This Row],[ID]], Table4[ID], Table4[Sweets], "Not Found", 0)</f>
        <v>67</v>
      </c>
      <c r="P769" s="16">
        <f>_xlfn.XLOOKUP(CustomerCombinedCleaned[[#This Row],[ID]], Table4[ID], Table4[Premium], "Not Found", 0)</f>
        <v>202</v>
      </c>
      <c r="Q769" s="16">
        <f>_xlfn.XLOOKUP(CustomerCombinedCleaned[[#This Row],[ID]], Table4[ID], Table4[Regular], "Not Found", 0)</f>
        <v>61</v>
      </c>
      <c r="R769" s="16">
        <f>_xlfn.XLOOKUP(CustomerCombinedCleaned[[#This Row],[ID]], Table4[ID], Table4[Deals], "Not Found", 0)</f>
        <v>3</v>
      </c>
      <c r="S769" s="16">
        <f>_xlfn.XLOOKUP(CustomerCombinedCleaned[[#This Row],[ID]], Table4[ID], Table4[Website], "Not Found", 0)</f>
        <v>3</v>
      </c>
      <c r="T769" s="16">
        <f>_xlfn.XLOOKUP(CustomerCombinedCleaned[[#This Row],[ID]], Table4[ID], Table4[Catalog], "Not Found", 0)</f>
        <v>1</v>
      </c>
      <c r="U769" s="16">
        <f>_xlfn.XLOOKUP(CustomerCombinedCleaned[[#This Row],[ID]], Table4[ID], Table4[Store], "Not Found", 0)</f>
        <v>2</v>
      </c>
      <c r="V769" s="16">
        <f>_xlfn.XLOOKUP(CustomerCombinedCleaned[[#This Row],[ID]], Table4[ID], Table4[Visits], "Not Found", 0)</f>
        <v>7</v>
      </c>
      <c r="W769" s="16">
        <f>_xlfn.XLOOKUP(CustomerCombinedCleaned[[#This Row],[ID]], Table2[ID],Table2[Complaint], "Not Found", 0 )</f>
        <v>0</v>
      </c>
      <c r="X769" s="16">
        <f>_xlfn.XLOOKUP(CustomerCombinedCleaned[[#This Row],[ID]], Table2[ID],Table2[Pilot], "Not Found", 0 )</f>
        <v>1</v>
      </c>
      <c r="Y769" s="16">
        <f>_xlfn.XLOOKUP(CustomerCombinedCleaned[[#This Row],[ID]], Table2[ID],Table2[MC1], "Not Found", 0 )</f>
        <v>0</v>
      </c>
      <c r="Z769" s="16">
        <f>_xlfn.XLOOKUP(CustomerCombinedCleaned[[#This Row],[ID]], Table2[ID],Table2[MC2], "Not Found", 0 )</f>
        <v>0</v>
      </c>
      <c r="AA769" s="16">
        <f>_xlfn.XLOOKUP(CustomerCombinedCleaned[[#This Row],[ID]], Table2[ID],Table2[MC3], "Not Found", 0 )</f>
        <v>0</v>
      </c>
      <c r="AB769" s="16">
        <f>_xlfn.XLOOKUP(CustomerCombinedCleaned[[#This Row],[ID]], Table2[ID],Table2[MC4], "Not Found", 0 )</f>
        <v>0</v>
      </c>
      <c r="AC769" s="16">
        <f>_xlfn.XLOOKUP(CustomerCombinedCleaned[[#This Row],[ID]], Table2[ID],Table2[MC5], "Not Found", 0 )</f>
        <v>0</v>
      </c>
    </row>
    <row r="770" spans="1:29" x14ac:dyDescent="0.3">
      <c r="A770" s="18">
        <v>1727</v>
      </c>
      <c r="B770" s="16">
        <v>117003</v>
      </c>
      <c r="C770" s="16">
        <v>1</v>
      </c>
      <c r="D770" s="16">
        <v>0</v>
      </c>
      <c r="E770" s="16">
        <v>45</v>
      </c>
      <c r="F770" s="17" t="s">
        <v>6</v>
      </c>
      <c r="G770" s="17" t="s">
        <v>11</v>
      </c>
      <c r="H770" s="3" t="s">
        <v>139</v>
      </c>
      <c r="I770" s="5" t="s">
        <v>434</v>
      </c>
      <c r="J770" s="16">
        <f>_xlfn.XLOOKUP(CustomerCombinedCleaned[[#This Row],[ID]], Table4[ID], Table4[Recency], "Not Found", 0)</f>
        <v>37</v>
      </c>
      <c r="K770" s="16">
        <f>_xlfn.XLOOKUP(CustomerCombinedCleaned[[#This Row],[ID]], Table4[ID], Table4[Teas], "Not Found", 0)</f>
        <v>14</v>
      </c>
      <c r="L770" s="16">
        <f>_xlfn.XLOOKUP(CustomerCombinedCleaned[[#This Row],[ID]], Table4[ID], Table4[Fruits], "Not Found", 0)</f>
        <v>34</v>
      </c>
      <c r="M770" s="16">
        <f>_xlfn.XLOOKUP(CustomerCombinedCleaned[[#This Row],[ID]], Table4[ID], Table4[Meats], "Not Found", 0)</f>
        <v>83</v>
      </c>
      <c r="N770" s="16">
        <f>_xlfn.XLOOKUP(CustomerCombinedCleaned[[#This Row],[ID]], Table4[ID], Table4[Seafood], "Not Found", 0)</f>
        <v>28</v>
      </c>
      <c r="O770" s="16">
        <f>_xlfn.XLOOKUP(CustomerCombinedCleaned[[#This Row],[ID]], Table4[ID], Table4[Sweets], "Not Found", 0)</f>
        <v>55</v>
      </c>
      <c r="P770" s="16">
        <f>_xlfn.XLOOKUP(CustomerCombinedCleaned[[#This Row],[ID]], Table4[ID], Table4[Premium], "Not Found", 0)</f>
        <v>48</v>
      </c>
      <c r="Q770" s="16">
        <f>_xlfn.XLOOKUP(CustomerCombinedCleaned[[#This Row],[ID]], Table4[ID], Table4[Regular], "Not Found", 0)</f>
        <v>165</v>
      </c>
      <c r="R770" s="16">
        <f>_xlfn.XLOOKUP(CustomerCombinedCleaned[[#This Row],[ID]], Table4[ID], Table4[Deals], "Not Found", 0)</f>
        <v>3</v>
      </c>
      <c r="S770" s="16">
        <f>_xlfn.XLOOKUP(CustomerCombinedCleaned[[#This Row],[ID]], Table4[ID], Table4[Website], "Not Found", 0)</f>
        <v>2</v>
      </c>
      <c r="T770" s="16">
        <f>_xlfn.XLOOKUP(CustomerCombinedCleaned[[#This Row],[ID]], Table4[ID], Table4[Catalog], "Not Found", 0)</f>
        <v>0</v>
      </c>
      <c r="U770" s="16">
        <f>_xlfn.XLOOKUP(CustomerCombinedCleaned[[#This Row],[ID]], Table4[ID], Table4[Store], "Not Found", 0)</f>
        <v>4</v>
      </c>
      <c r="V770" s="16">
        <f>_xlfn.XLOOKUP(CustomerCombinedCleaned[[#This Row],[ID]], Table4[ID], Table4[Visits], "Not Found", 0)</f>
        <v>5</v>
      </c>
      <c r="W770" s="16">
        <f>_xlfn.XLOOKUP(CustomerCombinedCleaned[[#This Row],[ID]], Table2[ID],Table2[Complaint], "Not Found", 0 )</f>
        <v>0</v>
      </c>
      <c r="X770" s="16">
        <f>_xlfn.XLOOKUP(CustomerCombinedCleaned[[#This Row],[ID]], Table2[ID],Table2[Pilot], "Not Found", 0 )</f>
        <v>0</v>
      </c>
      <c r="Y770" s="16">
        <f>_xlfn.XLOOKUP(CustomerCombinedCleaned[[#This Row],[ID]], Table2[ID],Table2[MC1], "Not Found", 0 )</f>
        <v>0</v>
      </c>
      <c r="Z770" s="16">
        <f>_xlfn.XLOOKUP(CustomerCombinedCleaned[[#This Row],[ID]], Table2[ID],Table2[MC2], "Not Found", 0 )</f>
        <v>0</v>
      </c>
      <c r="AA770" s="16">
        <f>_xlfn.XLOOKUP(CustomerCombinedCleaned[[#This Row],[ID]], Table2[ID],Table2[MC3], "Not Found", 0 )</f>
        <v>0</v>
      </c>
      <c r="AB770" s="16">
        <f>_xlfn.XLOOKUP(CustomerCombinedCleaned[[#This Row],[ID]], Table2[ID],Table2[MC4], "Not Found", 0 )</f>
        <v>0</v>
      </c>
      <c r="AC770" s="16">
        <f>_xlfn.XLOOKUP(CustomerCombinedCleaned[[#This Row],[ID]], Table2[ID],Table2[MC5], "Not Found", 0 )</f>
        <v>0</v>
      </c>
    </row>
    <row r="771" spans="1:29" x14ac:dyDescent="0.3">
      <c r="A771" s="18">
        <v>2836</v>
      </c>
      <c r="B771" s="16">
        <v>111448</v>
      </c>
      <c r="C771" s="16">
        <v>0</v>
      </c>
      <c r="D771" s="16">
        <v>0</v>
      </c>
      <c r="E771" s="16">
        <v>45</v>
      </c>
      <c r="F771" s="17" t="s">
        <v>5</v>
      </c>
      <c r="G771" s="17" t="s">
        <v>11</v>
      </c>
      <c r="H771" s="3" t="s">
        <v>133</v>
      </c>
      <c r="I771" s="5" t="s">
        <v>439</v>
      </c>
      <c r="J771" s="16">
        <f>_xlfn.XLOOKUP(CustomerCombinedCleaned[[#This Row],[ID]], Table4[ID], Table4[Recency], "Not Found", 0)</f>
        <v>16</v>
      </c>
      <c r="K771" s="16">
        <f>_xlfn.XLOOKUP(CustomerCombinedCleaned[[#This Row],[ID]], Table4[ID], Table4[Teas], "Not Found", 0)</f>
        <v>0</v>
      </c>
      <c r="L771" s="16">
        <f>_xlfn.XLOOKUP(CustomerCombinedCleaned[[#This Row],[ID]], Table4[ID], Table4[Fruits], "Not Found", 0)</f>
        <v>0</v>
      </c>
      <c r="M771" s="16">
        <f>_xlfn.XLOOKUP(CustomerCombinedCleaned[[#This Row],[ID]], Table4[ID], Table4[Meats], "Not Found", 0)</f>
        <v>0</v>
      </c>
      <c r="N771" s="16">
        <f>_xlfn.XLOOKUP(CustomerCombinedCleaned[[#This Row],[ID]], Table4[ID], Table4[Seafood], "Not Found", 0)</f>
        <v>58</v>
      </c>
      <c r="O771" s="16">
        <f>_xlfn.XLOOKUP(CustomerCombinedCleaned[[#This Row],[ID]], Table4[ID], Table4[Sweets], "Not Found", 0)</f>
        <v>19</v>
      </c>
      <c r="P771" s="16">
        <f>_xlfn.XLOOKUP(CustomerCombinedCleaned[[#This Row],[ID]], Table4[ID], Table4[Premium], "Not Found", 0)</f>
        <v>58</v>
      </c>
      <c r="Q771" s="16">
        <f>_xlfn.XLOOKUP(CustomerCombinedCleaned[[#This Row],[ID]], Table4[ID], Table4[Regular], "Not Found", 0)</f>
        <v>19</v>
      </c>
      <c r="R771" s="16">
        <f>_xlfn.XLOOKUP(CustomerCombinedCleaned[[#This Row],[ID]], Table4[ID], Table4[Deals], "Not Found", 0)</f>
        <v>1</v>
      </c>
      <c r="S771" s="16">
        <f>_xlfn.XLOOKUP(CustomerCombinedCleaned[[#This Row],[ID]], Table4[ID], Table4[Website], "Not Found", 0)</f>
        <v>1</v>
      </c>
      <c r="T771" s="16">
        <f>_xlfn.XLOOKUP(CustomerCombinedCleaned[[#This Row],[ID]], Table4[ID], Table4[Catalog], "Not Found", 0)</f>
        <v>0</v>
      </c>
      <c r="U771" s="16">
        <f>_xlfn.XLOOKUP(CustomerCombinedCleaned[[#This Row],[ID]], Table4[ID], Table4[Store], "Not Found", 0)</f>
        <v>2</v>
      </c>
      <c r="V771" s="16">
        <f>_xlfn.XLOOKUP(CustomerCombinedCleaned[[#This Row],[ID]], Table4[ID], Table4[Visits], "Not Found", 0)</f>
        <v>6</v>
      </c>
      <c r="W771" s="16">
        <f>_xlfn.XLOOKUP(CustomerCombinedCleaned[[#This Row],[ID]], Table2[ID],Table2[Complaint], "Not Found", 0 )</f>
        <v>0</v>
      </c>
      <c r="X771" s="16">
        <f>_xlfn.XLOOKUP(CustomerCombinedCleaned[[#This Row],[ID]], Table2[ID],Table2[Pilot], "Not Found", 0 )</f>
        <v>0</v>
      </c>
      <c r="Y771" s="16">
        <f>_xlfn.XLOOKUP(CustomerCombinedCleaned[[#This Row],[ID]], Table2[ID],Table2[MC1], "Not Found", 0 )</f>
        <v>0</v>
      </c>
      <c r="Z771" s="16">
        <f>_xlfn.XLOOKUP(CustomerCombinedCleaned[[#This Row],[ID]], Table2[ID],Table2[MC2], "Not Found", 0 )</f>
        <v>0</v>
      </c>
      <c r="AA771" s="16">
        <f>_xlfn.XLOOKUP(CustomerCombinedCleaned[[#This Row],[ID]], Table2[ID],Table2[MC3], "Not Found", 0 )</f>
        <v>0</v>
      </c>
      <c r="AB771" s="16">
        <f>_xlfn.XLOOKUP(CustomerCombinedCleaned[[#This Row],[ID]], Table2[ID],Table2[MC4], "Not Found", 0 )</f>
        <v>0</v>
      </c>
      <c r="AC771" s="16">
        <f>_xlfn.XLOOKUP(CustomerCombinedCleaned[[#This Row],[ID]], Table2[ID],Table2[MC5], "Not Found", 0 )</f>
        <v>0</v>
      </c>
    </row>
    <row r="772" spans="1:29" x14ac:dyDescent="0.3">
      <c r="A772" s="18">
        <v>1042</v>
      </c>
      <c r="B772" s="16">
        <v>107500</v>
      </c>
      <c r="C772" s="16">
        <v>1</v>
      </c>
      <c r="D772" s="16">
        <v>0</v>
      </c>
      <c r="E772" s="16">
        <v>45</v>
      </c>
      <c r="F772" s="17" t="s">
        <v>6</v>
      </c>
      <c r="G772" s="17" t="s">
        <v>12</v>
      </c>
      <c r="H772" s="3" t="s">
        <v>673</v>
      </c>
      <c r="I772" s="5" t="s">
        <v>439</v>
      </c>
      <c r="J772" s="16">
        <f>_xlfn.XLOOKUP(CustomerCombinedCleaned[[#This Row],[ID]], Table4[ID], Table4[Recency], "Not Found", 0)</f>
        <v>19</v>
      </c>
      <c r="K772" s="16">
        <f>_xlfn.XLOOKUP(CustomerCombinedCleaned[[#This Row],[ID]], Table4[ID], Table4[Teas], "Not Found", 0)</f>
        <v>43</v>
      </c>
      <c r="L772" s="16">
        <f>_xlfn.XLOOKUP(CustomerCombinedCleaned[[#This Row],[ID]], Table4[ID], Table4[Fruits], "Not Found", 0)</f>
        <v>14</v>
      </c>
      <c r="M772" s="16">
        <f>_xlfn.XLOOKUP(CustomerCombinedCleaned[[#This Row],[ID]], Table4[ID], Table4[Meats], "Not Found", 0)</f>
        <v>143</v>
      </c>
      <c r="N772" s="16">
        <f>_xlfn.XLOOKUP(CustomerCombinedCleaned[[#This Row],[ID]], Table4[ID], Table4[Seafood], "Not Found", 0)</f>
        <v>43</v>
      </c>
      <c r="O772" s="16">
        <f>_xlfn.XLOOKUP(CustomerCombinedCleaned[[#This Row],[ID]], Table4[ID], Table4[Sweets], "Not Found", 0)</f>
        <v>29</v>
      </c>
      <c r="P772" s="16">
        <f>_xlfn.XLOOKUP(CustomerCombinedCleaned[[#This Row],[ID]], Table4[ID], Table4[Premium], "Not Found", 0)</f>
        <v>172</v>
      </c>
      <c r="Q772" s="16">
        <f>_xlfn.XLOOKUP(CustomerCombinedCleaned[[#This Row],[ID]], Table4[ID], Table4[Regular], "Not Found", 0)</f>
        <v>100</v>
      </c>
      <c r="R772" s="16">
        <f>_xlfn.XLOOKUP(CustomerCombinedCleaned[[#This Row],[ID]], Table4[ID], Table4[Deals], "Not Found", 0)</f>
        <v>3</v>
      </c>
      <c r="S772" s="16">
        <f>_xlfn.XLOOKUP(CustomerCombinedCleaned[[#This Row],[ID]], Table4[ID], Table4[Website], "Not Found", 0)</f>
        <v>2</v>
      </c>
      <c r="T772" s="16">
        <f>_xlfn.XLOOKUP(CustomerCombinedCleaned[[#This Row],[ID]], Table4[ID], Table4[Catalog], "Not Found", 0)</f>
        <v>0</v>
      </c>
      <c r="U772" s="16">
        <f>_xlfn.XLOOKUP(CustomerCombinedCleaned[[#This Row],[ID]], Table4[ID], Table4[Store], "Not Found", 0)</f>
        <v>3</v>
      </c>
      <c r="V772" s="16">
        <f>_xlfn.XLOOKUP(CustomerCombinedCleaned[[#This Row],[ID]], Table4[ID], Table4[Visits], "Not Found", 0)</f>
        <v>5</v>
      </c>
      <c r="W772" s="16">
        <f>_xlfn.XLOOKUP(CustomerCombinedCleaned[[#This Row],[ID]], Table2[ID],Table2[Complaint], "Not Found", 0 )</f>
        <v>0</v>
      </c>
      <c r="X772" s="16">
        <f>_xlfn.XLOOKUP(CustomerCombinedCleaned[[#This Row],[ID]], Table2[ID],Table2[Pilot], "Not Found", 0 )</f>
        <v>0</v>
      </c>
      <c r="Y772" s="16">
        <f>_xlfn.XLOOKUP(CustomerCombinedCleaned[[#This Row],[ID]], Table2[ID],Table2[MC1], "Not Found", 0 )</f>
        <v>0</v>
      </c>
      <c r="Z772" s="16">
        <f>_xlfn.XLOOKUP(CustomerCombinedCleaned[[#This Row],[ID]], Table2[ID],Table2[MC2], "Not Found", 0 )</f>
        <v>0</v>
      </c>
      <c r="AA772" s="16">
        <f>_xlfn.XLOOKUP(CustomerCombinedCleaned[[#This Row],[ID]], Table2[ID],Table2[MC3], "Not Found", 0 )</f>
        <v>0</v>
      </c>
      <c r="AB772" s="16">
        <f>_xlfn.XLOOKUP(CustomerCombinedCleaned[[#This Row],[ID]], Table2[ID],Table2[MC4], "Not Found", 0 )</f>
        <v>0</v>
      </c>
      <c r="AC772" s="16">
        <f>_xlfn.XLOOKUP(CustomerCombinedCleaned[[#This Row],[ID]], Table2[ID],Table2[MC5], "Not Found", 0 )</f>
        <v>0</v>
      </c>
    </row>
    <row r="773" spans="1:29" x14ac:dyDescent="0.3">
      <c r="A773" s="18">
        <v>1239</v>
      </c>
      <c r="B773" s="16">
        <v>202692</v>
      </c>
      <c r="C773" s="16">
        <v>0</v>
      </c>
      <c r="D773" s="16">
        <v>0</v>
      </c>
      <c r="E773" s="16">
        <v>46</v>
      </c>
      <c r="F773" s="17" t="s">
        <v>5</v>
      </c>
      <c r="G773" s="17" t="s">
        <v>11</v>
      </c>
      <c r="H773" s="3" t="s">
        <v>538</v>
      </c>
      <c r="I773" s="5" t="s">
        <v>435</v>
      </c>
      <c r="J773" s="16">
        <f>_xlfn.XLOOKUP(CustomerCombinedCleaned[[#This Row],[ID]], Table4[ID], Table4[Recency], "Not Found", 0)</f>
        <v>5</v>
      </c>
      <c r="K773" s="16">
        <f>_xlfn.XLOOKUP(CustomerCombinedCleaned[[#This Row],[ID]], Table4[ID], Table4[Teas], "Not Found", 0)</f>
        <v>332</v>
      </c>
      <c r="L773" s="16">
        <f>_xlfn.XLOOKUP(CustomerCombinedCleaned[[#This Row],[ID]], Table4[ID], Table4[Fruits], "Not Found", 0)</f>
        <v>292</v>
      </c>
      <c r="M773" s="16">
        <f>_xlfn.XLOOKUP(CustomerCombinedCleaned[[#This Row],[ID]], Table4[ID], Table4[Meats], "Not Found", 0)</f>
        <v>876</v>
      </c>
      <c r="N773" s="16">
        <f>_xlfn.XLOOKUP(CustomerCombinedCleaned[[#This Row],[ID]], Table4[ID], Table4[Seafood], "Not Found", 0)</f>
        <v>63</v>
      </c>
      <c r="O773" s="16">
        <f>_xlfn.XLOOKUP(CustomerCombinedCleaned[[#This Row],[ID]], Table4[ID], Table4[Sweets], "Not Found", 0)</f>
        <v>339</v>
      </c>
      <c r="P773" s="16">
        <f>_xlfn.XLOOKUP(CustomerCombinedCleaned[[#This Row],[ID]], Table4[ID], Table4[Premium], "Not Found", 0)</f>
        <v>292</v>
      </c>
      <c r="Q773" s="16">
        <f>_xlfn.XLOOKUP(CustomerCombinedCleaned[[#This Row],[ID]], Table4[ID], Table4[Regular], "Not Found", 0)</f>
        <v>1611</v>
      </c>
      <c r="R773" s="16">
        <f>_xlfn.XLOOKUP(CustomerCombinedCleaned[[#This Row],[ID]], Table4[ID], Table4[Deals], "Not Found", 0)</f>
        <v>1</v>
      </c>
      <c r="S773" s="16">
        <f>_xlfn.XLOOKUP(CustomerCombinedCleaned[[#This Row],[ID]], Table4[ID], Table4[Website], "Not Found", 0)</f>
        <v>6</v>
      </c>
      <c r="T773" s="16">
        <f>_xlfn.XLOOKUP(CustomerCombinedCleaned[[#This Row],[ID]], Table4[ID], Table4[Catalog], "Not Found", 0)</f>
        <v>9</v>
      </c>
      <c r="U773" s="16">
        <f>_xlfn.XLOOKUP(CustomerCombinedCleaned[[#This Row],[ID]], Table4[ID], Table4[Store], "Not Found", 0)</f>
        <v>13</v>
      </c>
      <c r="V773" s="16">
        <f>_xlfn.XLOOKUP(CustomerCombinedCleaned[[#This Row],[ID]], Table4[ID], Table4[Visits], "Not Found", 0)</f>
        <v>2</v>
      </c>
      <c r="W773" s="16">
        <f>_xlfn.XLOOKUP(CustomerCombinedCleaned[[#This Row],[ID]], Table2[ID],Table2[Complaint], "Not Found", 0 )</f>
        <v>0</v>
      </c>
      <c r="X773" s="16">
        <f>_xlfn.XLOOKUP(CustomerCombinedCleaned[[#This Row],[ID]], Table2[ID],Table2[Pilot], "Not Found", 0 )</f>
        <v>1</v>
      </c>
      <c r="Y773" s="16">
        <f>_xlfn.XLOOKUP(CustomerCombinedCleaned[[#This Row],[ID]], Table2[ID],Table2[MC1], "Not Found", 0 )</f>
        <v>1</v>
      </c>
      <c r="Z773" s="16">
        <f>_xlfn.XLOOKUP(CustomerCombinedCleaned[[#This Row],[ID]], Table2[ID],Table2[MC2], "Not Found", 0 )</f>
        <v>1</v>
      </c>
      <c r="AA773" s="16">
        <f>_xlfn.XLOOKUP(CustomerCombinedCleaned[[#This Row],[ID]], Table2[ID],Table2[MC3], "Not Found", 0 )</f>
        <v>0</v>
      </c>
      <c r="AB773" s="16">
        <f>_xlfn.XLOOKUP(CustomerCombinedCleaned[[#This Row],[ID]], Table2[ID],Table2[MC4], "Not Found", 0 )</f>
        <v>1</v>
      </c>
      <c r="AC773" s="16">
        <f>_xlfn.XLOOKUP(CustomerCombinedCleaned[[#This Row],[ID]], Table2[ID],Table2[MC5], "Not Found", 0 )</f>
        <v>1</v>
      </c>
    </row>
    <row r="774" spans="1:29" x14ac:dyDescent="0.3">
      <c r="A774" s="18">
        <v>2922</v>
      </c>
      <c r="B774" s="16">
        <v>183891</v>
      </c>
      <c r="C774" s="16">
        <v>0</v>
      </c>
      <c r="D774" s="16">
        <v>1</v>
      </c>
      <c r="E774" s="16">
        <v>46</v>
      </c>
      <c r="F774" s="17" t="s">
        <v>6</v>
      </c>
      <c r="G774" s="17" t="s">
        <v>12</v>
      </c>
      <c r="H774" s="3" t="s">
        <v>29</v>
      </c>
      <c r="I774" s="5" t="s">
        <v>436</v>
      </c>
      <c r="J774" s="16">
        <f>_xlfn.XLOOKUP(CustomerCombinedCleaned[[#This Row],[ID]], Table4[ID], Table4[Recency], "Not Found", 0)</f>
        <v>24</v>
      </c>
      <c r="K774" s="16">
        <f>_xlfn.XLOOKUP(CustomerCombinedCleaned[[#This Row],[ID]], Table4[ID], Table4[Teas], "Not Found", 0)</f>
        <v>476</v>
      </c>
      <c r="L774" s="16">
        <f>_xlfn.XLOOKUP(CustomerCombinedCleaned[[#This Row],[ID]], Table4[ID], Table4[Fruits], "Not Found", 0)</f>
        <v>83</v>
      </c>
      <c r="M774" s="16">
        <f>_xlfn.XLOOKUP(CustomerCombinedCleaned[[#This Row],[ID]], Table4[ID], Table4[Meats], "Not Found", 0)</f>
        <v>767</v>
      </c>
      <c r="N774" s="16">
        <f>_xlfn.XLOOKUP(CustomerCombinedCleaned[[#This Row],[ID]], Table4[ID], Table4[Seafood], "Not Found", 0)</f>
        <v>243</v>
      </c>
      <c r="O774" s="16">
        <f>_xlfn.XLOOKUP(CustomerCombinedCleaned[[#This Row],[ID]], Table4[ID], Table4[Sweets], "Not Found", 0)</f>
        <v>186</v>
      </c>
      <c r="P774" s="16">
        <f>_xlfn.XLOOKUP(CustomerCombinedCleaned[[#This Row],[ID]], Table4[ID], Table4[Premium], "Not Found", 0)</f>
        <v>33</v>
      </c>
      <c r="Q774" s="16">
        <f>_xlfn.XLOOKUP(CustomerCombinedCleaned[[#This Row],[ID]], Table4[ID], Table4[Regular], "Not Found", 0)</f>
        <v>1723</v>
      </c>
      <c r="R774" s="16">
        <f>_xlfn.XLOOKUP(CustomerCombinedCleaned[[#This Row],[ID]], Table4[ID], Table4[Deals], "Not Found", 0)</f>
        <v>1</v>
      </c>
      <c r="S774" s="16">
        <f>_xlfn.XLOOKUP(CustomerCombinedCleaned[[#This Row],[ID]], Table4[ID], Table4[Website], "Not Found", 0)</f>
        <v>4</v>
      </c>
      <c r="T774" s="16">
        <f>_xlfn.XLOOKUP(CustomerCombinedCleaned[[#This Row],[ID]], Table4[ID], Table4[Catalog], "Not Found", 0)</f>
        <v>7</v>
      </c>
      <c r="U774" s="16">
        <f>_xlfn.XLOOKUP(CustomerCombinedCleaned[[#This Row],[ID]], Table4[ID], Table4[Store], "Not Found", 0)</f>
        <v>10</v>
      </c>
      <c r="V774" s="16">
        <f>_xlfn.XLOOKUP(CustomerCombinedCleaned[[#This Row],[ID]], Table4[ID], Table4[Visits], "Not Found", 0)</f>
        <v>1</v>
      </c>
      <c r="W774" s="16">
        <f>_xlfn.XLOOKUP(CustomerCombinedCleaned[[#This Row],[ID]], Table2[ID],Table2[Complaint], "Not Found", 0 )</f>
        <v>0</v>
      </c>
      <c r="X774" s="16">
        <f>_xlfn.XLOOKUP(CustomerCombinedCleaned[[#This Row],[ID]], Table2[ID],Table2[Pilot], "Not Found", 0 )</f>
        <v>0</v>
      </c>
      <c r="Y774" s="16">
        <f>_xlfn.XLOOKUP(CustomerCombinedCleaned[[#This Row],[ID]], Table2[ID],Table2[MC1], "Not Found", 0 )</f>
        <v>0</v>
      </c>
      <c r="Z774" s="16">
        <f>_xlfn.XLOOKUP(CustomerCombinedCleaned[[#This Row],[ID]], Table2[ID],Table2[MC2], "Not Found", 0 )</f>
        <v>0</v>
      </c>
      <c r="AA774" s="16">
        <f>_xlfn.XLOOKUP(CustomerCombinedCleaned[[#This Row],[ID]], Table2[ID],Table2[MC3], "Not Found", 0 )</f>
        <v>0</v>
      </c>
      <c r="AB774" s="16">
        <f>_xlfn.XLOOKUP(CustomerCombinedCleaned[[#This Row],[ID]], Table2[ID],Table2[MC4], "Not Found", 0 )</f>
        <v>0</v>
      </c>
      <c r="AC774" s="16">
        <f>_xlfn.XLOOKUP(CustomerCombinedCleaned[[#This Row],[ID]], Table2[ID],Table2[MC5], "Not Found", 0 )</f>
        <v>0</v>
      </c>
    </row>
    <row r="775" spans="1:29" x14ac:dyDescent="0.3">
      <c r="A775" s="18">
        <v>2134</v>
      </c>
      <c r="B775" s="16">
        <v>183145</v>
      </c>
      <c r="C775" s="16">
        <v>0</v>
      </c>
      <c r="D775" s="16">
        <v>0</v>
      </c>
      <c r="E775" s="16">
        <v>46</v>
      </c>
      <c r="F775" s="17" t="s">
        <v>8</v>
      </c>
      <c r="G775" s="17" t="s">
        <v>11</v>
      </c>
      <c r="H775" s="3" t="s">
        <v>389</v>
      </c>
      <c r="I775" s="5" t="s">
        <v>439</v>
      </c>
      <c r="J775" s="16">
        <f>_xlfn.XLOOKUP(CustomerCombinedCleaned[[#This Row],[ID]], Table4[ID], Table4[Recency], "Not Found", 0)</f>
        <v>14</v>
      </c>
      <c r="K775" s="16">
        <f>_xlfn.XLOOKUP(CustomerCombinedCleaned[[#This Row],[ID]], Table4[ID], Table4[Teas], "Not Found", 0)</f>
        <v>1712</v>
      </c>
      <c r="L775" s="16">
        <f>_xlfn.XLOOKUP(CustomerCombinedCleaned[[#This Row],[ID]], Table4[ID], Table4[Fruits], "Not Found", 0)</f>
        <v>77</v>
      </c>
      <c r="M775" s="16">
        <f>_xlfn.XLOOKUP(CustomerCombinedCleaned[[#This Row],[ID]], Table4[ID], Table4[Meats], "Not Found", 0)</f>
        <v>1610</v>
      </c>
      <c r="N775" s="16">
        <f>_xlfn.XLOOKUP(CustomerCombinedCleaned[[#This Row],[ID]], Table4[ID], Table4[Seafood], "Not Found", 0)</f>
        <v>86</v>
      </c>
      <c r="O775" s="16">
        <f>_xlfn.XLOOKUP(CustomerCombinedCleaned[[#This Row],[ID]], Table4[ID], Table4[Sweets], "Not Found", 0)</f>
        <v>302</v>
      </c>
      <c r="P775" s="16">
        <f>_xlfn.XLOOKUP(CustomerCombinedCleaned[[#This Row],[ID]], Table4[ID], Table4[Premium], "Not Found", 0)</f>
        <v>251</v>
      </c>
      <c r="Q775" s="16">
        <f>_xlfn.XLOOKUP(CustomerCombinedCleaned[[#This Row],[ID]], Table4[ID], Table4[Regular], "Not Found", 0)</f>
        <v>3535</v>
      </c>
      <c r="R775" s="16">
        <f>_xlfn.XLOOKUP(CustomerCombinedCleaned[[#This Row],[ID]], Table4[ID], Table4[Deals], "Not Found", 0)</f>
        <v>1</v>
      </c>
      <c r="S775" s="16">
        <f>_xlfn.XLOOKUP(CustomerCombinedCleaned[[#This Row],[ID]], Table4[ID], Table4[Website], "Not Found", 0)</f>
        <v>5</v>
      </c>
      <c r="T775" s="16">
        <f>_xlfn.XLOOKUP(CustomerCombinedCleaned[[#This Row],[ID]], Table4[ID], Table4[Catalog], "Not Found", 0)</f>
        <v>9</v>
      </c>
      <c r="U775" s="16">
        <f>_xlfn.XLOOKUP(CustomerCombinedCleaned[[#This Row],[ID]], Table4[ID], Table4[Store], "Not Found", 0)</f>
        <v>11</v>
      </c>
      <c r="V775" s="16">
        <f>_xlfn.XLOOKUP(CustomerCombinedCleaned[[#This Row],[ID]], Table4[ID], Table4[Visits], "Not Found", 0)</f>
        <v>2</v>
      </c>
      <c r="W775" s="16">
        <f>_xlfn.XLOOKUP(CustomerCombinedCleaned[[#This Row],[ID]], Table2[ID],Table2[Complaint], "Not Found", 0 )</f>
        <v>0</v>
      </c>
      <c r="X775" s="16">
        <f>_xlfn.XLOOKUP(CustomerCombinedCleaned[[#This Row],[ID]], Table2[ID],Table2[Pilot], "Not Found", 0 )</f>
        <v>1</v>
      </c>
      <c r="Y775" s="16">
        <f>_xlfn.XLOOKUP(CustomerCombinedCleaned[[#This Row],[ID]], Table2[ID],Table2[MC1], "Not Found", 0 )</f>
        <v>0</v>
      </c>
      <c r="Z775" s="16">
        <f>_xlfn.XLOOKUP(CustomerCombinedCleaned[[#This Row],[ID]], Table2[ID],Table2[MC2], "Not Found", 0 )</f>
        <v>0</v>
      </c>
      <c r="AA775" s="16">
        <f>_xlfn.XLOOKUP(CustomerCombinedCleaned[[#This Row],[ID]], Table2[ID],Table2[MC3], "Not Found", 0 )</f>
        <v>0</v>
      </c>
      <c r="AB775" s="16">
        <f>_xlfn.XLOOKUP(CustomerCombinedCleaned[[#This Row],[ID]], Table2[ID],Table2[MC4], "Not Found", 0 )</f>
        <v>0</v>
      </c>
      <c r="AC775" s="16">
        <f>_xlfn.XLOOKUP(CustomerCombinedCleaned[[#This Row],[ID]], Table2[ID],Table2[MC5], "Not Found", 0 )</f>
        <v>1</v>
      </c>
    </row>
    <row r="776" spans="1:29" x14ac:dyDescent="0.3">
      <c r="A776" s="18">
        <v>1407</v>
      </c>
      <c r="B776" s="16">
        <v>182584</v>
      </c>
      <c r="C776" s="16">
        <v>0</v>
      </c>
      <c r="D776" s="16">
        <v>0</v>
      </c>
      <c r="E776" s="16">
        <v>46</v>
      </c>
      <c r="F776" s="17" t="s">
        <v>6</v>
      </c>
      <c r="G776" s="17" t="s">
        <v>12</v>
      </c>
      <c r="H776" s="3" t="s">
        <v>569</v>
      </c>
      <c r="I776" s="5" t="s">
        <v>435</v>
      </c>
      <c r="J776" s="16">
        <f>_xlfn.XLOOKUP(CustomerCombinedCleaned[[#This Row],[ID]], Table4[ID], Table4[Recency], "Not Found", 0)</f>
        <v>26</v>
      </c>
      <c r="K776" s="16">
        <f>_xlfn.XLOOKUP(CustomerCombinedCleaned[[#This Row],[ID]], Table4[ID], Table4[Teas], "Not Found", 0)</f>
        <v>2379</v>
      </c>
      <c r="L776" s="16">
        <f>_xlfn.XLOOKUP(CustomerCombinedCleaned[[#This Row],[ID]], Table4[ID], Table4[Fruits], "Not Found", 0)</f>
        <v>150</v>
      </c>
      <c r="M776" s="16">
        <f>_xlfn.XLOOKUP(CustomerCombinedCleaned[[#This Row],[ID]], Table4[ID], Table4[Meats], "Not Found", 0)</f>
        <v>228</v>
      </c>
      <c r="N776" s="16">
        <f>_xlfn.XLOOKUP(CustomerCombinedCleaned[[#This Row],[ID]], Table4[ID], Table4[Seafood], "Not Found", 0)</f>
        <v>64</v>
      </c>
      <c r="O776" s="16">
        <f>_xlfn.XLOOKUP(CustomerCombinedCleaned[[#This Row],[ID]], Table4[ID], Table4[Sweets], "Not Found", 0)</f>
        <v>201</v>
      </c>
      <c r="P776" s="16">
        <f>_xlfn.XLOOKUP(CustomerCombinedCleaned[[#This Row],[ID]], Table4[ID], Table4[Premium], "Not Found", 0)</f>
        <v>150</v>
      </c>
      <c r="Q776" s="16">
        <f>_xlfn.XLOOKUP(CustomerCombinedCleaned[[#This Row],[ID]], Table4[ID], Table4[Regular], "Not Found", 0)</f>
        <v>2872</v>
      </c>
      <c r="R776" s="16">
        <f>_xlfn.XLOOKUP(CustomerCombinedCleaned[[#This Row],[ID]], Table4[ID], Table4[Deals], "Not Found", 0)</f>
        <v>1</v>
      </c>
      <c r="S776" s="16">
        <f>_xlfn.XLOOKUP(CustomerCombinedCleaned[[#This Row],[ID]], Table4[ID], Table4[Website], "Not Found", 0)</f>
        <v>3</v>
      </c>
      <c r="T776" s="16">
        <f>_xlfn.XLOOKUP(CustomerCombinedCleaned[[#This Row],[ID]], Table4[ID], Table4[Catalog], "Not Found", 0)</f>
        <v>4</v>
      </c>
      <c r="U776" s="16">
        <f>_xlfn.XLOOKUP(CustomerCombinedCleaned[[#This Row],[ID]], Table4[ID], Table4[Store], "Not Found", 0)</f>
        <v>8</v>
      </c>
      <c r="V776" s="16">
        <f>_xlfn.XLOOKUP(CustomerCombinedCleaned[[#This Row],[ID]], Table4[ID], Table4[Visits], "Not Found", 0)</f>
        <v>1</v>
      </c>
      <c r="W776" s="16">
        <f>_xlfn.XLOOKUP(CustomerCombinedCleaned[[#This Row],[ID]], Table2[ID],Table2[Complaint], "Not Found", 0 )</f>
        <v>0</v>
      </c>
      <c r="X776" s="16">
        <f>_xlfn.XLOOKUP(CustomerCombinedCleaned[[#This Row],[ID]], Table2[ID],Table2[Pilot], "Not Found", 0 )</f>
        <v>1</v>
      </c>
      <c r="Y776" s="16">
        <f>_xlfn.XLOOKUP(CustomerCombinedCleaned[[#This Row],[ID]], Table2[ID],Table2[MC1], "Not Found", 0 )</f>
        <v>0</v>
      </c>
      <c r="Z776" s="16">
        <f>_xlfn.XLOOKUP(CustomerCombinedCleaned[[#This Row],[ID]], Table2[ID],Table2[MC2], "Not Found", 0 )</f>
        <v>0</v>
      </c>
      <c r="AA776" s="16">
        <f>_xlfn.XLOOKUP(CustomerCombinedCleaned[[#This Row],[ID]], Table2[ID],Table2[MC3], "Not Found", 0 )</f>
        <v>0</v>
      </c>
      <c r="AB776" s="16">
        <f>_xlfn.XLOOKUP(CustomerCombinedCleaned[[#This Row],[ID]], Table2[ID],Table2[MC4], "Not Found", 0 )</f>
        <v>1</v>
      </c>
      <c r="AC776" s="16">
        <f>_xlfn.XLOOKUP(CustomerCombinedCleaned[[#This Row],[ID]], Table2[ID],Table2[MC5], "Not Found", 0 )</f>
        <v>1</v>
      </c>
    </row>
    <row r="777" spans="1:29" x14ac:dyDescent="0.3">
      <c r="A777" s="18">
        <v>1911</v>
      </c>
      <c r="B777" s="16">
        <v>179632</v>
      </c>
      <c r="C777" s="16">
        <v>0</v>
      </c>
      <c r="D777" s="16">
        <v>0</v>
      </c>
      <c r="E777" s="16">
        <v>46</v>
      </c>
      <c r="F777" s="17" t="s">
        <v>8</v>
      </c>
      <c r="G777" s="17" t="s">
        <v>13</v>
      </c>
      <c r="H777" s="3" t="s">
        <v>608</v>
      </c>
      <c r="I777" s="5" t="s">
        <v>435</v>
      </c>
      <c r="J777" s="16">
        <f>_xlfn.XLOOKUP(CustomerCombinedCleaned[[#This Row],[ID]], Table4[ID], Table4[Recency], "Not Found", 0)</f>
        <v>42</v>
      </c>
      <c r="K777" s="16">
        <f>_xlfn.XLOOKUP(CustomerCombinedCleaned[[#This Row],[ID]], Table4[ID], Table4[Teas], "Not Found", 0)</f>
        <v>1062</v>
      </c>
      <c r="L777" s="16">
        <f>_xlfn.XLOOKUP(CustomerCombinedCleaned[[#This Row],[ID]], Table4[ID], Table4[Fruits], "Not Found", 0)</f>
        <v>0</v>
      </c>
      <c r="M777" s="16">
        <f>_xlfn.XLOOKUP(CustomerCombinedCleaned[[#This Row],[ID]], Table4[ID], Table4[Meats], "Not Found", 0)</f>
        <v>1150</v>
      </c>
      <c r="N777" s="16">
        <f>_xlfn.XLOOKUP(CustomerCombinedCleaned[[#This Row],[ID]], Table4[ID], Table4[Seafood], "Not Found", 0)</f>
        <v>223</v>
      </c>
      <c r="O777" s="16">
        <f>_xlfn.XLOOKUP(CustomerCombinedCleaned[[#This Row],[ID]], Table4[ID], Table4[Sweets], "Not Found", 0)</f>
        <v>47</v>
      </c>
      <c r="P777" s="16">
        <f>_xlfn.XLOOKUP(CustomerCombinedCleaned[[#This Row],[ID]], Table4[ID], Table4[Premium], "Not Found", 0)</f>
        <v>27</v>
      </c>
      <c r="Q777" s="16">
        <f>_xlfn.XLOOKUP(CustomerCombinedCleaned[[#This Row],[ID]], Table4[ID], Table4[Regular], "Not Found", 0)</f>
        <v>2457</v>
      </c>
      <c r="R777" s="16">
        <f>_xlfn.XLOOKUP(CustomerCombinedCleaned[[#This Row],[ID]], Table4[ID], Table4[Deals], "Not Found", 0)</f>
        <v>1</v>
      </c>
      <c r="S777" s="16">
        <f>_xlfn.XLOOKUP(CustomerCombinedCleaned[[#This Row],[ID]], Table4[ID], Table4[Website], "Not Found", 0)</f>
        <v>6</v>
      </c>
      <c r="T777" s="16">
        <f>_xlfn.XLOOKUP(CustomerCombinedCleaned[[#This Row],[ID]], Table4[ID], Table4[Catalog], "Not Found", 0)</f>
        <v>4</v>
      </c>
      <c r="U777" s="16">
        <f>_xlfn.XLOOKUP(CustomerCombinedCleaned[[#This Row],[ID]], Table4[ID], Table4[Store], "Not Found", 0)</f>
        <v>9</v>
      </c>
      <c r="V777" s="16">
        <f>_xlfn.XLOOKUP(CustomerCombinedCleaned[[#This Row],[ID]], Table4[ID], Table4[Visits], "Not Found", 0)</f>
        <v>2</v>
      </c>
      <c r="W777" s="16">
        <f>_xlfn.XLOOKUP(CustomerCombinedCleaned[[#This Row],[ID]], Table2[ID],Table2[Complaint], "Not Found", 0 )</f>
        <v>0</v>
      </c>
      <c r="X777" s="16">
        <f>_xlfn.XLOOKUP(CustomerCombinedCleaned[[#This Row],[ID]], Table2[ID],Table2[Pilot], "Not Found", 0 )</f>
        <v>0</v>
      </c>
      <c r="Y777" s="16">
        <f>_xlfn.XLOOKUP(CustomerCombinedCleaned[[#This Row],[ID]], Table2[ID],Table2[MC1], "Not Found", 0 )</f>
        <v>0</v>
      </c>
      <c r="Z777" s="16">
        <f>_xlfn.XLOOKUP(CustomerCombinedCleaned[[#This Row],[ID]], Table2[ID],Table2[MC2], "Not Found", 0 )</f>
        <v>0</v>
      </c>
      <c r="AA777" s="16">
        <f>_xlfn.XLOOKUP(CustomerCombinedCleaned[[#This Row],[ID]], Table2[ID],Table2[MC3], "Not Found", 0 )</f>
        <v>0</v>
      </c>
      <c r="AB777" s="16">
        <f>_xlfn.XLOOKUP(CustomerCombinedCleaned[[#This Row],[ID]], Table2[ID],Table2[MC4], "Not Found", 0 )</f>
        <v>0</v>
      </c>
      <c r="AC777" s="16">
        <f>_xlfn.XLOOKUP(CustomerCombinedCleaned[[#This Row],[ID]], Table2[ID],Table2[MC5], "Not Found", 0 )</f>
        <v>0</v>
      </c>
    </row>
    <row r="778" spans="1:29" x14ac:dyDescent="0.3">
      <c r="A778" s="18">
        <v>3072</v>
      </c>
      <c r="B778" s="16">
        <v>178128</v>
      </c>
      <c r="C778" s="16">
        <v>0</v>
      </c>
      <c r="D778" s="16">
        <v>1</v>
      </c>
      <c r="E778" s="16">
        <v>46</v>
      </c>
      <c r="F778" s="17" t="s">
        <v>6</v>
      </c>
      <c r="G778" s="17" t="s">
        <v>13</v>
      </c>
      <c r="H778" s="3" t="s">
        <v>94</v>
      </c>
      <c r="I778" s="5" t="s">
        <v>436</v>
      </c>
      <c r="J778" s="16">
        <f>_xlfn.XLOOKUP(CustomerCombinedCleaned[[#This Row],[ID]], Table4[ID], Table4[Recency], "Not Found", 0)</f>
        <v>89</v>
      </c>
      <c r="K778" s="16">
        <f>_xlfn.XLOOKUP(CustomerCombinedCleaned[[#This Row],[ID]], Table4[ID], Table4[Teas], "Not Found", 0)</f>
        <v>2129</v>
      </c>
      <c r="L778" s="16">
        <f>_xlfn.XLOOKUP(CustomerCombinedCleaned[[#This Row],[ID]], Table4[ID], Table4[Fruits], "Not Found", 0)</f>
        <v>55</v>
      </c>
      <c r="M778" s="16">
        <f>_xlfn.XLOOKUP(CustomerCombinedCleaned[[#This Row],[ID]], Table4[ID], Table4[Meats], "Not Found", 0)</f>
        <v>524</v>
      </c>
      <c r="N778" s="16">
        <f>_xlfn.XLOOKUP(CustomerCombinedCleaned[[#This Row],[ID]], Table4[ID], Table4[Seafood], "Not Found", 0)</f>
        <v>36</v>
      </c>
      <c r="O778" s="16">
        <f>_xlfn.XLOOKUP(CustomerCombinedCleaned[[#This Row],[ID]], Table4[ID], Table4[Sweets], "Not Found", 0)</f>
        <v>55</v>
      </c>
      <c r="P778" s="16">
        <f>_xlfn.XLOOKUP(CustomerCombinedCleaned[[#This Row],[ID]], Table4[ID], Table4[Premium], "Not Found", 0)</f>
        <v>82</v>
      </c>
      <c r="Q778" s="16">
        <f>_xlfn.XLOOKUP(CustomerCombinedCleaned[[#This Row],[ID]], Table4[ID], Table4[Regular], "Not Found", 0)</f>
        <v>2718</v>
      </c>
      <c r="R778" s="16">
        <f>_xlfn.XLOOKUP(CustomerCombinedCleaned[[#This Row],[ID]], Table4[ID], Table4[Deals], "Not Found", 0)</f>
        <v>2</v>
      </c>
      <c r="S778" s="16">
        <f>_xlfn.XLOOKUP(CustomerCombinedCleaned[[#This Row],[ID]], Table4[ID], Table4[Website], "Not Found", 0)</f>
        <v>8</v>
      </c>
      <c r="T778" s="16">
        <f>_xlfn.XLOOKUP(CustomerCombinedCleaned[[#This Row],[ID]], Table4[ID], Table4[Catalog], "Not Found", 0)</f>
        <v>4</v>
      </c>
      <c r="U778" s="16">
        <f>_xlfn.XLOOKUP(CustomerCombinedCleaned[[#This Row],[ID]], Table4[ID], Table4[Store], "Not Found", 0)</f>
        <v>6</v>
      </c>
      <c r="V778" s="16">
        <f>_xlfn.XLOOKUP(CustomerCombinedCleaned[[#This Row],[ID]], Table4[ID], Table4[Visits], "Not Found", 0)</f>
        <v>3</v>
      </c>
      <c r="W778" s="16">
        <f>_xlfn.XLOOKUP(CustomerCombinedCleaned[[#This Row],[ID]], Table2[ID],Table2[Complaint], "Not Found", 0 )</f>
        <v>0</v>
      </c>
      <c r="X778" s="16">
        <f>_xlfn.XLOOKUP(CustomerCombinedCleaned[[#This Row],[ID]], Table2[ID],Table2[Pilot], "Not Found", 0 )</f>
        <v>0</v>
      </c>
      <c r="Y778" s="16">
        <f>_xlfn.XLOOKUP(CustomerCombinedCleaned[[#This Row],[ID]], Table2[ID],Table2[MC1], "Not Found", 0 )</f>
        <v>0</v>
      </c>
      <c r="Z778" s="16">
        <f>_xlfn.XLOOKUP(CustomerCombinedCleaned[[#This Row],[ID]], Table2[ID],Table2[MC2], "Not Found", 0 )</f>
        <v>0</v>
      </c>
      <c r="AA778" s="16">
        <f>_xlfn.XLOOKUP(CustomerCombinedCleaned[[#This Row],[ID]], Table2[ID],Table2[MC3], "Not Found", 0 )</f>
        <v>0</v>
      </c>
      <c r="AB778" s="16">
        <f>_xlfn.XLOOKUP(CustomerCombinedCleaned[[#This Row],[ID]], Table2[ID],Table2[MC4], "Not Found", 0 )</f>
        <v>1</v>
      </c>
      <c r="AC778" s="16">
        <f>_xlfn.XLOOKUP(CustomerCombinedCleaned[[#This Row],[ID]], Table2[ID],Table2[MC5], "Not Found", 0 )</f>
        <v>1</v>
      </c>
    </row>
    <row r="779" spans="1:29" x14ac:dyDescent="0.3">
      <c r="A779" s="18">
        <v>2776</v>
      </c>
      <c r="B779" s="16">
        <v>175702</v>
      </c>
      <c r="C779" s="16">
        <v>0</v>
      </c>
      <c r="D779" s="16">
        <v>1</v>
      </c>
      <c r="E779" s="16">
        <v>46</v>
      </c>
      <c r="F779" s="17" t="s">
        <v>8</v>
      </c>
      <c r="G779" s="17" t="s">
        <v>11</v>
      </c>
      <c r="H779" s="3" t="s">
        <v>380</v>
      </c>
      <c r="I779" s="5" t="s">
        <v>439</v>
      </c>
      <c r="J779" s="16">
        <f>_xlfn.XLOOKUP(CustomerCombinedCleaned[[#This Row],[ID]], Table4[ID], Table4[Recency], "Not Found", 0)</f>
        <v>87</v>
      </c>
      <c r="K779" s="16">
        <f>_xlfn.XLOOKUP(CustomerCombinedCleaned[[#This Row],[ID]], Table4[ID], Table4[Teas], "Not Found", 0)</f>
        <v>2490</v>
      </c>
      <c r="L779" s="16">
        <f>_xlfn.XLOOKUP(CustomerCombinedCleaned[[#This Row],[ID]], Table4[ID], Table4[Fruits], "Not Found", 0)</f>
        <v>0</v>
      </c>
      <c r="M779" s="16">
        <f>_xlfn.XLOOKUP(CustomerCombinedCleaned[[#This Row],[ID]], Table4[ID], Table4[Meats], "Not Found", 0)</f>
        <v>1460</v>
      </c>
      <c r="N779" s="16">
        <f>_xlfn.XLOOKUP(CustomerCombinedCleaned[[#This Row],[ID]], Table4[ID], Table4[Seafood], "Not Found", 0)</f>
        <v>337</v>
      </c>
      <c r="O779" s="16">
        <f>_xlfn.XLOOKUP(CustomerCombinedCleaned[[#This Row],[ID]], Table4[ID], Table4[Sweets], "Not Found", 0)</f>
        <v>86</v>
      </c>
      <c r="P779" s="16">
        <f>_xlfn.XLOOKUP(CustomerCombinedCleaned[[#This Row],[ID]], Table4[ID], Table4[Premium], "Not Found", 0)</f>
        <v>86</v>
      </c>
      <c r="Q779" s="16">
        <f>_xlfn.XLOOKUP(CustomerCombinedCleaned[[#This Row],[ID]], Table4[ID], Table4[Regular], "Not Found", 0)</f>
        <v>4287</v>
      </c>
      <c r="R779" s="16">
        <f>_xlfn.XLOOKUP(CustomerCombinedCleaned[[#This Row],[ID]], Table4[ID], Table4[Deals], "Not Found", 0)</f>
        <v>1</v>
      </c>
      <c r="S779" s="16">
        <f>_xlfn.XLOOKUP(CustomerCombinedCleaned[[#This Row],[ID]], Table4[ID], Table4[Website], "Not Found", 0)</f>
        <v>10</v>
      </c>
      <c r="T779" s="16">
        <f>_xlfn.XLOOKUP(CustomerCombinedCleaned[[#This Row],[ID]], Table4[ID], Table4[Catalog], "Not Found", 0)</f>
        <v>5</v>
      </c>
      <c r="U779" s="16">
        <f>_xlfn.XLOOKUP(CustomerCombinedCleaned[[#This Row],[ID]], Table4[ID], Table4[Store], "Not Found", 0)</f>
        <v>13</v>
      </c>
      <c r="V779" s="16">
        <f>_xlfn.XLOOKUP(CustomerCombinedCleaned[[#This Row],[ID]], Table4[ID], Table4[Visits], "Not Found", 0)</f>
        <v>6</v>
      </c>
      <c r="W779" s="16">
        <f>_xlfn.XLOOKUP(CustomerCombinedCleaned[[#This Row],[ID]], Table2[ID],Table2[Complaint], "Not Found", 0 )</f>
        <v>0</v>
      </c>
      <c r="X779" s="16">
        <f>_xlfn.XLOOKUP(CustomerCombinedCleaned[[#This Row],[ID]], Table2[ID],Table2[Pilot], "Not Found", 0 )</f>
        <v>0</v>
      </c>
      <c r="Y779" s="16">
        <f>_xlfn.XLOOKUP(CustomerCombinedCleaned[[#This Row],[ID]], Table2[ID],Table2[MC1], "Not Found", 0 )</f>
        <v>0</v>
      </c>
      <c r="Z779" s="16">
        <f>_xlfn.XLOOKUP(CustomerCombinedCleaned[[#This Row],[ID]], Table2[ID],Table2[MC2], "Not Found", 0 )</f>
        <v>0</v>
      </c>
      <c r="AA779" s="16">
        <f>_xlfn.XLOOKUP(CustomerCombinedCleaned[[#This Row],[ID]], Table2[ID],Table2[MC3], "Not Found", 0 )</f>
        <v>0</v>
      </c>
      <c r="AB779" s="16">
        <f>_xlfn.XLOOKUP(CustomerCombinedCleaned[[#This Row],[ID]], Table2[ID],Table2[MC4], "Not Found", 0 )</f>
        <v>0</v>
      </c>
      <c r="AC779" s="16">
        <f>_xlfn.XLOOKUP(CustomerCombinedCleaned[[#This Row],[ID]], Table2[ID],Table2[MC5], "Not Found", 0 )</f>
        <v>1</v>
      </c>
    </row>
    <row r="780" spans="1:29" x14ac:dyDescent="0.3">
      <c r="A780" s="18">
        <v>1337</v>
      </c>
      <c r="B780" s="16">
        <v>172099</v>
      </c>
      <c r="C780" s="16">
        <v>0</v>
      </c>
      <c r="D780" s="16">
        <v>0</v>
      </c>
      <c r="E780" s="16">
        <v>46</v>
      </c>
      <c r="F780" s="17" t="s">
        <v>6</v>
      </c>
      <c r="G780" s="17" t="s">
        <v>11</v>
      </c>
      <c r="H780" s="3" t="s">
        <v>655</v>
      </c>
      <c r="I780" s="5" t="s">
        <v>434</v>
      </c>
      <c r="J780" s="16">
        <f>_xlfn.XLOOKUP(CustomerCombinedCleaned[[#This Row],[ID]], Table4[ID], Table4[Recency], "Not Found", 0)</f>
        <v>18</v>
      </c>
      <c r="K780" s="16">
        <f>_xlfn.XLOOKUP(CustomerCombinedCleaned[[#This Row],[ID]], Table4[ID], Table4[Teas], "Not Found", 0)</f>
        <v>1303</v>
      </c>
      <c r="L780" s="16">
        <f>_xlfn.XLOOKUP(CustomerCombinedCleaned[[#This Row],[ID]], Table4[ID], Table4[Fruits], "Not Found", 0)</f>
        <v>217</v>
      </c>
      <c r="M780" s="16">
        <f>_xlfn.XLOOKUP(CustomerCombinedCleaned[[#This Row],[ID]], Table4[ID], Table4[Meats], "Not Found", 0)</f>
        <v>979</v>
      </c>
      <c r="N780" s="16">
        <f>_xlfn.XLOOKUP(CustomerCombinedCleaned[[#This Row],[ID]], Table4[ID], Table4[Seafood], "Not Found", 0)</f>
        <v>284</v>
      </c>
      <c r="O780" s="16">
        <f>_xlfn.XLOOKUP(CustomerCombinedCleaned[[#This Row],[ID]], Table4[ID], Table4[Sweets], "Not Found", 0)</f>
        <v>0</v>
      </c>
      <c r="P780" s="16">
        <f>_xlfn.XLOOKUP(CustomerCombinedCleaned[[#This Row],[ID]], Table4[ID], Table4[Premium], "Not Found", 0)</f>
        <v>53</v>
      </c>
      <c r="Q780" s="16">
        <f>_xlfn.XLOOKUP(CustomerCombinedCleaned[[#This Row],[ID]], Table4[ID], Table4[Regular], "Not Found", 0)</f>
        <v>2731</v>
      </c>
      <c r="R780" s="16">
        <f>_xlfn.XLOOKUP(CustomerCombinedCleaned[[#This Row],[ID]], Table4[ID], Table4[Deals], "Not Found", 0)</f>
        <v>1</v>
      </c>
      <c r="S780" s="16">
        <f>_xlfn.XLOOKUP(CustomerCombinedCleaned[[#This Row],[ID]], Table4[ID], Table4[Website], "Not Found", 0)</f>
        <v>3</v>
      </c>
      <c r="T780" s="16">
        <f>_xlfn.XLOOKUP(CustomerCombinedCleaned[[#This Row],[ID]], Table4[ID], Table4[Catalog], "Not Found", 0)</f>
        <v>4</v>
      </c>
      <c r="U780" s="16">
        <f>_xlfn.XLOOKUP(CustomerCombinedCleaned[[#This Row],[ID]], Table4[ID], Table4[Store], "Not Found", 0)</f>
        <v>10</v>
      </c>
      <c r="V780" s="16">
        <f>_xlfn.XLOOKUP(CustomerCombinedCleaned[[#This Row],[ID]], Table4[ID], Table4[Visits], "Not Found", 0)</f>
        <v>1</v>
      </c>
      <c r="W780" s="16">
        <f>_xlfn.XLOOKUP(CustomerCombinedCleaned[[#This Row],[ID]], Table2[ID],Table2[Complaint], "Not Found", 0 )</f>
        <v>0</v>
      </c>
      <c r="X780" s="16">
        <f>_xlfn.XLOOKUP(CustomerCombinedCleaned[[#This Row],[ID]], Table2[ID],Table2[Pilot], "Not Found", 0 )</f>
        <v>0</v>
      </c>
      <c r="Y780" s="16">
        <f>_xlfn.XLOOKUP(CustomerCombinedCleaned[[#This Row],[ID]], Table2[ID],Table2[MC1], "Not Found", 0 )</f>
        <v>0</v>
      </c>
      <c r="Z780" s="16">
        <f>_xlfn.XLOOKUP(CustomerCombinedCleaned[[#This Row],[ID]], Table2[ID],Table2[MC2], "Not Found", 0 )</f>
        <v>0</v>
      </c>
      <c r="AA780" s="16">
        <f>_xlfn.XLOOKUP(CustomerCombinedCleaned[[#This Row],[ID]], Table2[ID],Table2[MC3], "Not Found", 0 )</f>
        <v>0</v>
      </c>
      <c r="AB780" s="16">
        <f>_xlfn.XLOOKUP(CustomerCombinedCleaned[[#This Row],[ID]], Table2[ID],Table2[MC4], "Not Found", 0 )</f>
        <v>0</v>
      </c>
      <c r="AC780" s="16">
        <f>_xlfn.XLOOKUP(CustomerCombinedCleaned[[#This Row],[ID]], Table2[ID],Table2[MC5], "Not Found", 0 )</f>
        <v>0</v>
      </c>
    </row>
    <row r="781" spans="1:29" x14ac:dyDescent="0.3">
      <c r="A781" s="18">
        <v>1761</v>
      </c>
      <c r="B781" s="16">
        <v>171466</v>
      </c>
      <c r="C781" s="16">
        <v>0</v>
      </c>
      <c r="D781" s="16">
        <v>0</v>
      </c>
      <c r="E781" s="16">
        <v>46</v>
      </c>
      <c r="F781" s="17" t="s">
        <v>7</v>
      </c>
      <c r="G781" s="17" t="s">
        <v>13</v>
      </c>
      <c r="H781" s="3" t="s">
        <v>563</v>
      </c>
      <c r="I781" s="5" t="s">
        <v>435</v>
      </c>
      <c r="J781" s="16">
        <f>_xlfn.XLOOKUP(CustomerCombinedCleaned[[#This Row],[ID]], Table4[ID], Table4[Recency], "Not Found", 0)</f>
        <v>86</v>
      </c>
      <c r="K781" s="16">
        <f>_xlfn.XLOOKUP(CustomerCombinedCleaned[[#This Row],[ID]], Table4[ID], Table4[Teas], "Not Found", 0)</f>
        <v>988</v>
      </c>
      <c r="L781" s="16">
        <f>_xlfn.XLOOKUP(CustomerCombinedCleaned[[#This Row],[ID]], Table4[ID], Table4[Fruits], "Not Found", 0)</f>
        <v>29</v>
      </c>
      <c r="M781" s="16">
        <f>_xlfn.XLOOKUP(CustomerCombinedCleaned[[#This Row],[ID]], Table4[ID], Table4[Meats], "Not Found", 0)</f>
        <v>1310</v>
      </c>
      <c r="N781" s="16">
        <f>_xlfn.XLOOKUP(CustomerCombinedCleaned[[#This Row],[ID]], Table4[ID], Table4[Seafood], "Not Found", 0)</f>
        <v>187</v>
      </c>
      <c r="O781" s="16">
        <f>_xlfn.XLOOKUP(CustomerCombinedCleaned[[#This Row],[ID]], Table4[ID], Table4[Sweets], "Not Found", 0)</f>
        <v>437</v>
      </c>
      <c r="P781" s="16">
        <f>_xlfn.XLOOKUP(CustomerCombinedCleaned[[#This Row],[ID]], Table4[ID], Table4[Premium], "Not Found", 0)</f>
        <v>0</v>
      </c>
      <c r="Q781" s="16">
        <f>_xlfn.XLOOKUP(CustomerCombinedCleaned[[#This Row],[ID]], Table4[ID], Table4[Regular], "Not Found", 0)</f>
        <v>2951</v>
      </c>
      <c r="R781" s="16">
        <f>_xlfn.XLOOKUP(CustomerCombinedCleaned[[#This Row],[ID]], Table4[ID], Table4[Deals], "Not Found", 0)</f>
        <v>1</v>
      </c>
      <c r="S781" s="16">
        <f>_xlfn.XLOOKUP(CustomerCombinedCleaned[[#This Row],[ID]], Table4[ID], Table4[Website], "Not Found", 0)</f>
        <v>4</v>
      </c>
      <c r="T781" s="16">
        <f>_xlfn.XLOOKUP(CustomerCombinedCleaned[[#This Row],[ID]], Table4[ID], Table4[Catalog], "Not Found", 0)</f>
        <v>4</v>
      </c>
      <c r="U781" s="16">
        <f>_xlfn.XLOOKUP(CustomerCombinedCleaned[[#This Row],[ID]], Table4[ID], Table4[Store], "Not Found", 0)</f>
        <v>10</v>
      </c>
      <c r="V781" s="16">
        <f>_xlfn.XLOOKUP(CustomerCombinedCleaned[[#This Row],[ID]], Table4[ID], Table4[Visits], "Not Found", 0)</f>
        <v>1</v>
      </c>
      <c r="W781" s="16">
        <f>_xlfn.XLOOKUP(CustomerCombinedCleaned[[#This Row],[ID]], Table2[ID],Table2[Complaint], "Not Found", 0 )</f>
        <v>0</v>
      </c>
      <c r="X781" s="16">
        <f>_xlfn.XLOOKUP(CustomerCombinedCleaned[[#This Row],[ID]], Table2[ID],Table2[Pilot], "Not Found", 0 )</f>
        <v>0</v>
      </c>
      <c r="Y781" s="16">
        <f>_xlfn.XLOOKUP(CustomerCombinedCleaned[[#This Row],[ID]], Table2[ID],Table2[MC1], "Not Found", 0 )</f>
        <v>0</v>
      </c>
      <c r="Z781" s="16">
        <f>_xlfn.XLOOKUP(CustomerCombinedCleaned[[#This Row],[ID]], Table2[ID],Table2[MC2], "Not Found", 0 )</f>
        <v>0</v>
      </c>
      <c r="AA781" s="16">
        <f>_xlfn.XLOOKUP(CustomerCombinedCleaned[[#This Row],[ID]], Table2[ID],Table2[MC3], "Not Found", 0 )</f>
        <v>0</v>
      </c>
      <c r="AB781" s="16">
        <f>_xlfn.XLOOKUP(CustomerCombinedCleaned[[#This Row],[ID]], Table2[ID],Table2[MC4], "Not Found", 0 )</f>
        <v>0</v>
      </c>
      <c r="AC781" s="16">
        <f>_xlfn.XLOOKUP(CustomerCombinedCleaned[[#This Row],[ID]], Table2[ID],Table2[MC5], "Not Found", 0 )</f>
        <v>0</v>
      </c>
    </row>
    <row r="782" spans="1:29" x14ac:dyDescent="0.3">
      <c r="A782" s="18">
        <v>2869</v>
      </c>
      <c r="B782" s="16">
        <v>169719</v>
      </c>
      <c r="C782" s="16">
        <v>0</v>
      </c>
      <c r="D782" s="16">
        <v>0</v>
      </c>
      <c r="E782" s="16">
        <v>46</v>
      </c>
      <c r="F782" s="17" t="s">
        <v>7</v>
      </c>
      <c r="G782" s="17" t="s">
        <v>11</v>
      </c>
      <c r="H782" s="3" t="s">
        <v>41</v>
      </c>
      <c r="I782" s="5" t="s">
        <v>437</v>
      </c>
      <c r="J782" s="16">
        <f>_xlfn.XLOOKUP(CustomerCombinedCleaned[[#This Row],[ID]], Table4[ID], Table4[Recency], "Not Found", 0)</f>
        <v>99</v>
      </c>
      <c r="K782" s="16">
        <f>_xlfn.XLOOKUP(CustomerCombinedCleaned[[#This Row],[ID]], Table4[ID], Table4[Teas], "Not Found", 0)</f>
        <v>665</v>
      </c>
      <c r="L782" s="16">
        <f>_xlfn.XLOOKUP(CustomerCombinedCleaned[[#This Row],[ID]], Table4[ID], Table4[Fruits], "Not Found", 0)</f>
        <v>209</v>
      </c>
      <c r="M782" s="16">
        <f>_xlfn.XLOOKUP(CustomerCombinedCleaned[[#This Row],[ID]], Table4[ID], Table4[Meats], "Not Found", 0)</f>
        <v>506</v>
      </c>
      <c r="N782" s="16">
        <f>_xlfn.XLOOKUP(CustomerCombinedCleaned[[#This Row],[ID]], Table4[ID], Table4[Seafood], "Not Found", 0)</f>
        <v>431</v>
      </c>
      <c r="O782" s="16">
        <f>_xlfn.XLOOKUP(CustomerCombinedCleaned[[#This Row],[ID]], Table4[ID], Table4[Sweets], "Not Found", 0)</f>
        <v>34</v>
      </c>
      <c r="P782" s="16">
        <f>_xlfn.XLOOKUP(CustomerCombinedCleaned[[#This Row],[ID]], Table4[ID], Table4[Premium], "Not Found", 0)</f>
        <v>105</v>
      </c>
      <c r="Q782" s="16">
        <f>_xlfn.XLOOKUP(CustomerCombinedCleaned[[#This Row],[ID]], Table4[ID], Table4[Regular], "Not Found", 0)</f>
        <v>1741</v>
      </c>
      <c r="R782" s="16">
        <f>_xlfn.XLOOKUP(CustomerCombinedCleaned[[#This Row],[ID]], Table4[ID], Table4[Deals], "Not Found", 0)</f>
        <v>1</v>
      </c>
      <c r="S782" s="16">
        <f>_xlfn.XLOOKUP(CustomerCombinedCleaned[[#This Row],[ID]], Table4[ID], Table4[Website], "Not Found", 0)</f>
        <v>2</v>
      </c>
      <c r="T782" s="16">
        <f>_xlfn.XLOOKUP(CustomerCombinedCleaned[[#This Row],[ID]], Table4[ID], Table4[Catalog], "Not Found", 0)</f>
        <v>3</v>
      </c>
      <c r="U782" s="16">
        <f>_xlfn.XLOOKUP(CustomerCombinedCleaned[[#This Row],[ID]], Table4[ID], Table4[Store], "Not Found", 0)</f>
        <v>5</v>
      </c>
      <c r="V782" s="16">
        <f>_xlfn.XLOOKUP(CustomerCombinedCleaned[[#This Row],[ID]], Table4[ID], Table4[Visits], "Not Found", 0)</f>
        <v>1</v>
      </c>
      <c r="W782" s="16">
        <f>_xlfn.XLOOKUP(CustomerCombinedCleaned[[#This Row],[ID]], Table2[ID],Table2[Complaint], "Not Found", 0 )</f>
        <v>0</v>
      </c>
      <c r="X782" s="16">
        <f>_xlfn.XLOOKUP(CustomerCombinedCleaned[[#This Row],[ID]], Table2[ID],Table2[Pilot], "Not Found", 0 )</f>
        <v>0</v>
      </c>
      <c r="Y782" s="16">
        <f>_xlfn.XLOOKUP(CustomerCombinedCleaned[[#This Row],[ID]], Table2[ID],Table2[MC1], "Not Found", 0 )</f>
        <v>0</v>
      </c>
      <c r="Z782" s="16">
        <f>_xlfn.XLOOKUP(CustomerCombinedCleaned[[#This Row],[ID]], Table2[ID],Table2[MC2], "Not Found", 0 )</f>
        <v>0</v>
      </c>
      <c r="AA782" s="16">
        <f>_xlfn.XLOOKUP(CustomerCombinedCleaned[[#This Row],[ID]], Table2[ID],Table2[MC3], "Not Found", 0 )</f>
        <v>0</v>
      </c>
      <c r="AB782" s="16">
        <f>_xlfn.XLOOKUP(CustomerCombinedCleaned[[#This Row],[ID]], Table2[ID],Table2[MC4], "Not Found", 0 )</f>
        <v>0</v>
      </c>
      <c r="AC782" s="16">
        <f>_xlfn.XLOOKUP(CustomerCombinedCleaned[[#This Row],[ID]], Table2[ID],Table2[MC5], "Not Found", 0 )</f>
        <v>0</v>
      </c>
    </row>
    <row r="783" spans="1:29" x14ac:dyDescent="0.3">
      <c r="A783" s="18">
        <v>1133</v>
      </c>
      <c r="B783" s="16">
        <v>168352</v>
      </c>
      <c r="C783" s="16">
        <v>0</v>
      </c>
      <c r="D783" s="16">
        <v>1</v>
      </c>
      <c r="E783" s="16">
        <v>46</v>
      </c>
      <c r="F783" s="17" t="s">
        <v>7</v>
      </c>
      <c r="G783" s="17" t="s">
        <v>13</v>
      </c>
      <c r="H783" s="3" t="s">
        <v>621</v>
      </c>
      <c r="I783" s="5" t="s">
        <v>434</v>
      </c>
      <c r="J783" s="16">
        <f>_xlfn.XLOOKUP(CustomerCombinedCleaned[[#This Row],[ID]], Table4[ID], Table4[Recency], "Not Found", 0)</f>
        <v>47</v>
      </c>
      <c r="K783" s="16">
        <f>_xlfn.XLOOKUP(CustomerCombinedCleaned[[#This Row],[ID]], Table4[ID], Table4[Teas], "Not Found", 0)</f>
        <v>1512</v>
      </c>
      <c r="L783" s="16">
        <f>_xlfn.XLOOKUP(CustomerCombinedCleaned[[#This Row],[ID]], Table4[ID], Table4[Fruits], "Not Found", 0)</f>
        <v>39</v>
      </c>
      <c r="M783" s="16">
        <f>_xlfn.XLOOKUP(CustomerCombinedCleaned[[#This Row],[ID]], Table4[ID], Table4[Meats], "Not Found", 0)</f>
        <v>325</v>
      </c>
      <c r="N783" s="16">
        <f>_xlfn.XLOOKUP(CustomerCombinedCleaned[[#This Row],[ID]], Table4[ID], Table4[Seafood], "Not Found", 0)</f>
        <v>106</v>
      </c>
      <c r="O783" s="16">
        <f>_xlfn.XLOOKUP(CustomerCombinedCleaned[[#This Row],[ID]], Table4[ID], Table4[Sweets], "Not Found", 0)</f>
        <v>81</v>
      </c>
      <c r="P783" s="16">
        <f>_xlfn.XLOOKUP(CustomerCombinedCleaned[[#This Row],[ID]], Table4[ID], Table4[Premium], "Not Found", 0)</f>
        <v>81</v>
      </c>
      <c r="Q783" s="16">
        <f>_xlfn.XLOOKUP(CustomerCombinedCleaned[[#This Row],[ID]], Table4[ID], Table4[Regular], "Not Found", 0)</f>
        <v>1983</v>
      </c>
      <c r="R783" s="16">
        <f>_xlfn.XLOOKUP(CustomerCombinedCleaned[[#This Row],[ID]], Table4[ID], Table4[Deals], "Not Found", 0)</f>
        <v>3</v>
      </c>
      <c r="S783" s="16">
        <f>_xlfn.XLOOKUP(CustomerCombinedCleaned[[#This Row],[ID]], Table4[ID], Table4[Website], "Not Found", 0)</f>
        <v>8</v>
      </c>
      <c r="T783" s="16">
        <f>_xlfn.XLOOKUP(CustomerCombinedCleaned[[#This Row],[ID]], Table4[ID], Table4[Catalog], "Not Found", 0)</f>
        <v>5</v>
      </c>
      <c r="U783" s="16">
        <f>_xlfn.XLOOKUP(CustomerCombinedCleaned[[#This Row],[ID]], Table4[ID], Table4[Store], "Not Found", 0)</f>
        <v>9</v>
      </c>
      <c r="V783" s="16">
        <f>_xlfn.XLOOKUP(CustomerCombinedCleaned[[#This Row],[ID]], Table4[ID], Table4[Visits], "Not Found", 0)</f>
        <v>6</v>
      </c>
      <c r="W783" s="16">
        <f>_xlfn.XLOOKUP(CustomerCombinedCleaned[[#This Row],[ID]], Table2[ID],Table2[Complaint], "Not Found", 0 )</f>
        <v>0</v>
      </c>
      <c r="X783" s="16">
        <f>_xlfn.XLOOKUP(CustomerCombinedCleaned[[#This Row],[ID]], Table2[ID],Table2[Pilot], "Not Found", 0 )</f>
        <v>0</v>
      </c>
      <c r="Y783" s="16">
        <f>_xlfn.XLOOKUP(CustomerCombinedCleaned[[#This Row],[ID]], Table2[ID],Table2[MC1], "Not Found", 0 )</f>
        <v>0</v>
      </c>
      <c r="Z783" s="16">
        <f>_xlfn.XLOOKUP(CustomerCombinedCleaned[[#This Row],[ID]], Table2[ID],Table2[MC2], "Not Found", 0 )</f>
        <v>0</v>
      </c>
      <c r="AA783" s="16">
        <f>_xlfn.XLOOKUP(CustomerCombinedCleaned[[#This Row],[ID]], Table2[ID],Table2[MC3], "Not Found", 0 )</f>
        <v>0</v>
      </c>
      <c r="AB783" s="16">
        <f>_xlfn.XLOOKUP(CustomerCombinedCleaned[[#This Row],[ID]], Table2[ID],Table2[MC4], "Not Found", 0 )</f>
        <v>0</v>
      </c>
      <c r="AC783" s="16">
        <f>_xlfn.XLOOKUP(CustomerCombinedCleaned[[#This Row],[ID]], Table2[ID],Table2[MC5], "Not Found", 0 )</f>
        <v>0</v>
      </c>
    </row>
    <row r="784" spans="1:29" x14ac:dyDescent="0.3">
      <c r="A784" s="18">
        <v>1635</v>
      </c>
      <c r="B784" s="16">
        <v>167445</v>
      </c>
      <c r="C784" s="16">
        <v>0</v>
      </c>
      <c r="D784" s="16">
        <v>1</v>
      </c>
      <c r="E784" s="16">
        <v>46</v>
      </c>
      <c r="F784" s="17" t="s">
        <v>6</v>
      </c>
      <c r="G784" s="17" t="s">
        <v>11</v>
      </c>
      <c r="H784" s="3" t="s">
        <v>416</v>
      </c>
      <c r="I784" s="5" t="s">
        <v>435</v>
      </c>
      <c r="J784" s="16">
        <f>_xlfn.XLOOKUP(CustomerCombinedCleaned[[#This Row],[ID]], Table4[ID], Table4[Recency], "Not Found", 0)</f>
        <v>63</v>
      </c>
      <c r="K784" s="16">
        <f>_xlfn.XLOOKUP(CustomerCombinedCleaned[[#This Row],[ID]], Table4[ID], Table4[Teas], "Not Found", 0)</f>
        <v>1879</v>
      </c>
      <c r="L784" s="16">
        <f>_xlfn.XLOOKUP(CustomerCombinedCleaned[[#This Row],[ID]], Table4[ID], Table4[Fruits], "Not Found", 0)</f>
        <v>199</v>
      </c>
      <c r="M784" s="16">
        <f>_xlfn.XLOOKUP(CustomerCombinedCleaned[[#This Row],[ID]], Table4[ID], Table4[Meats], "Not Found", 0)</f>
        <v>539</v>
      </c>
      <c r="N784" s="16">
        <f>_xlfn.XLOOKUP(CustomerCombinedCleaned[[#This Row],[ID]], Table4[ID], Table4[Seafood], "Not Found", 0)</f>
        <v>72</v>
      </c>
      <c r="O784" s="16">
        <f>_xlfn.XLOOKUP(CustomerCombinedCleaned[[#This Row],[ID]], Table4[ID], Table4[Sweets], "Not Found", 0)</f>
        <v>199</v>
      </c>
      <c r="P784" s="16">
        <f>_xlfn.XLOOKUP(CustomerCombinedCleaned[[#This Row],[ID]], Table4[ID], Table4[Premium], "Not Found", 0)</f>
        <v>27</v>
      </c>
      <c r="Q784" s="16">
        <f>_xlfn.XLOOKUP(CustomerCombinedCleaned[[#This Row],[ID]], Table4[ID], Table4[Regular], "Not Found", 0)</f>
        <v>2860</v>
      </c>
      <c r="R784" s="16">
        <f>_xlfn.XLOOKUP(CustomerCombinedCleaned[[#This Row],[ID]], Table4[ID], Table4[Deals], "Not Found", 0)</f>
        <v>5</v>
      </c>
      <c r="S784" s="16">
        <f>_xlfn.XLOOKUP(CustomerCombinedCleaned[[#This Row],[ID]], Table4[ID], Table4[Website], "Not Found", 0)</f>
        <v>9</v>
      </c>
      <c r="T784" s="16">
        <f>_xlfn.XLOOKUP(CustomerCombinedCleaned[[#This Row],[ID]], Table4[ID], Table4[Catalog], "Not Found", 0)</f>
        <v>6</v>
      </c>
      <c r="U784" s="16">
        <f>_xlfn.XLOOKUP(CustomerCombinedCleaned[[#This Row],[ID]], Table4[ID], Table4[Store], "Not Found", 0)</f>
        <v>12</v>
      </c>
      <c r="V784" s="16">
        <f>_xlfn.XLOOKUP(CustomerCombinedCleaned[[#This Row],[ID]], Table4[ID], Table4[Visits], "Not Found", 0)</f>
        <v>6</v>
      </c>
      <c r="W784" s="16">
        <f>_xlfn.XLOOKUP(CustomerCombinedCleaned[[#This Row],[ID]], Table2[ID],Table2[Complaint], "Not Found", 0 )</f>
        <v>0</v>
      </c>
      <c r="X784" s="16">
        <f>_xlfn.XLOOKUP(CustomerCombinedCleaned[[#This Row],[ID]], Table2[ID],Table2[Pilot], "Not Found", 0 )</f>
        <v>0</v>
      </c>
      <c r="Y784" s="16">
        <f>_xlfn.XLOOKUP(CustomerCombinedCleaned[[#This Row],[ID]], Table2[ID],Table2[MC1], "Not Found", 0 )</f>
        <v>0</v>
      </c>
      <c r="Z784" s="16">
        <f>_xlfn.XLOOKUP(CustomerCombinedCleaned[[#This Row],[ID]], Table2[ID],Table2[MC2], "Not Found", 0 )</f>
        <v>0</v>
      </c>
      <c r="AA784" s="16">
        <f>_xlfn.XLOOKUP(CustomerCombinedCleaned[[#This Row],[ID]], Table2[ID],Table2[MC3], "Not Found", 0 )</f>
        <v>0</v>
      </c>
      <c r="AB784" s="16">
        <f>_xlfn.XLOOKUP(CustomerCombinedCleaned[[#This Row],[ID]], Table2[ID],Table2[MC4], "Not Found", 0 )</f>
        <v>0</v>
      </c>
      <c r="AC784" s="16">
        <f>_xlfn.XLOOKUP(CustomerCombinedCleaned[[#This Row],[ID]], Table2[ID],Table2[MC5], "Not Found", 0 )</f>
        <v>0</v>
      </c>
    </row>
    <row r="785" spans="1:29" x14ac:dyDescent="0.3">
      <c r="A785" s="18">
        <v>2530</v>
      </c>
      <c r="B785" s="16">
        <v>167445</v>
      </c>
      <c r="C785" s="16">
        <v>0</v>
      </c>
      <c r="D785" s="16">
        <v>1</v>
      </c>
      <c r="E785" s="16">
        <v>46</v>
      </c>
      <c r="F785" s="17" t="s">
        <v>6</v>
      </c>
      <c r="G785" s="17" t="s">
        <v>11</v>
      </c>
      <c r="H785" s="3" t="s">
        <v>416</v>
      </c>
      <c r="I785" s="5" t="s">
        <v>439</v>
      </c>
      <c r="J785" s="16">
        <f>_xlfn.XLOOKUP(CustomerCombinedCleaned[[#This Row],[ID]], Table4[ID], Table4[Recency], "Not Found", 0)</f>
        <v>63</v>
      </c>
      <c r="K785" s="16">
        <f>_xlfn.XLOOKUP(CustomerCombinedCleaned[[#This Row],[ID]], Table4[ID], Table4[Teas], "Not Found", 0)</f>
        <v>1879</v>
      </c>
      <c r="L785" s="16">
        <f>_xlfn.XLOOKUP(CustomerCombinedCleaned[[#This Row],[ID]], Table4[ID], Table4[Fruits], "Not Found", 0)</f>
        <v>199</v>
      </c>
      <c r="M785" s="16">
        <f>_xlfn.XLOOKUP(CustomerCombinedCleaned[[#This Row],[ID]], Table4[ID], Table4[Meats], "Not Found", 0)</f>
        <v>539</v>
      </c>
      <c r="N785" s="16">
        <f>_xlfn.XLOOKUP(CustomerCombinedCleaned[[#This Row],[ID]], Table4[ID], Table4[Seafood], "Not Found", 0)</f>
        <v>72</v>
      </c>
      <c r="O785" s="16">
        <f>_xlfn.XLOOKUP(CustomerCombinedCleaned[[#This Row],[ID]], Table4[ID], Table4[Sweets], "Not Found", 0)</f>
        <v>199</v>
      </c>
      <c r="P785" s="16">
        <f>_xlfn.XLOOKUP(CustomerCombinedCleaned[[#This Row],[ID]], Table4[ID], Table4[Premium], "Not Found", 0)</f>
        <v>27</v>
      </c>
      <c r="Q785" s="16">
        <f>_xlfn.XLOOKUP(CustomerCombinedCleaned[[#This Row],[ID]], Table4[ID], Table4[Regular], "Not Found", 0)</f>
        <v>2860</v>
      </c>
      <c r="R785" s="16">
        <f>_xlfn.XLOOKUP(CustomerCombinedCleaned[[#This Row],[ID]], Table4[ID], Table4[Deals], "Not Found", 0)</f>
        <v>5</v>
      </c>
      <c r="S785" s="16">
        <f>_xlfn.XLOOKUP(CustomerCombinedCleaned[[#This Row],[ID]], Table4[ID], Table4[Website], "Not Found", 0)</f>
        <v>9</v>
      </c>
      <c r="T785" s="16">
        <f>_xlfn.XLOOKUP(CustomerCombinedCleaned[[#This Row],[ID]], Table4[ID], Table4[Catalog], "Not Found", 0)</f>
        <v>6</v>
      </c>
      <c r="U785" s="16">
        <f>_xlfn.XLOOKUP(CustomerCombinedCleaned[[#This Row],[ID]], Table4[ID], Table4[Store], "Not Found", 0)</f>
        <v>12</v>
      </c>
      <c r="V785" s="16">
        <f>_xlfn.XLOOKUP(CustomerCombinedCleaned[[#This Row],[ID]], Table4[ID], Table4[Visits], "Not Found", 0)</f>
        <v>6</v>
      </c>
      <c r="W785" s="16">
        <f>_xlfn.XLOOKUP(CustomerCombinedCleaned[[#This Row],[ID]], Table2[ID],Table2[Complaint], "Not Found", 0 )</f>
        <v>0</v>
      </c>
      <c r="X785" s="16">
        <f>_xlfn.XLOOKUP(CustomerCombinedCleaned[[#This Row],[ID]], Table2[ID],Table2[Pilot], "Not Found", 0 )</f>
        <v>0</v>
      </c>
      <c r="Y785" s="16">
        <f>_xlfn.XLOOKUP(CustomerCombinedCleaned[[#This Row],[ID]], Table2[ID],Table2[MC1], "Not Found", 0 )</f>
        <v>0</v>
      </c>
      <c r="Z785" s="16">
        <f>_xlfn.XLOOKUP(CustomerCombinedCleaned[[#This Row],[ID]], Table2[ID],Table2[MC2], "Not Found", 0 )</f>
        <v>0</v>
      </c>
      <c r="AA785" s="16">
        <f>_xlfn.XLOOKUP(CustomerCombinedCleaned[[#This Row],[ID]], Table2[ID],Table2[MC3], "Not Found", 0 )</f>
        <v>0</v>
      </c>
      <c r="AB785" s="16">
        <f>_xlfn.XLOOKUP(CustomerCombinedCleaned[[#This Row],[ID]], Table2[ID],Table2[MC4], "Not Found", 0 )</f>
        <v>0</v>
      </c>
      <c r="AC785" s="16">
        <f>_xlfn.XLOOKUP(CustomerCombinedCleaned[[#This Row],[ID]], Table2[ID],Table2[MC5], "Not Found", 0 )</f>
        <v>0</v>
      </c>
    </row>
    <row r="786" spans="1:29" x14ac:dyDescent="0.3">
      <c r="A786" s="18">
        <v>3037</v>
      </c>
      <c r="B786" s="16">
        <v>167445</v>
      </c>
      <c r="C786" s="16">
        <v>0</v>
      </c>
      <c r="D786" s="16">
        <v>1</v>
      </c>
      <c r="E786" s="16">
        <v>46</v>
      </c>
      <c r="F786" s="17" t="s">
        <v>6</v>
      </c>
      <c r="G786" s="17" t="s">
        <v>11</v>
      </c>
      <c r="H786" s="3" t="s">
        <v>416</v>
      </c>
      <c r="I786" s="5" t="s">
        <v>437</v>
      </c>
      <c r="J786" s="16">
        <f>_xlfn.XLOOKUP(CustomerCombinedCleaned[[#This Row],[ID]], Table4[ID], Table4[Recency], "Not Found", 0)</f>
        <v>63</v>
      </c>
      <c r="K786" s="16">
        <f>_xlfn.XLOOKUP(CustomerCombinedCleaned[[#This Row],[ID]], Table4[ID], Table4[Teas], "Not Found", 0)</f>
        <v>1879</v>
      </c>
      <c r="L786" s="16">
        <f>_xlfn.XLOOKUP(CustomerCombinedCleaned[[#This Row],[ID]], Table4[ID], Table4[Fruits], "Not Found", 0)</f>
        <v>199</v>
      </c>
      <c r="M786" s="16">
        <f>_xlfn.XLOOKUP(CustomerCombinedCleaned[[#This Row],[ID]], Table4[ID], Table4[Meats], "Not Found", 0)</f>
        <v>539</v>
      </c>
      <c r="N786" s="16">
        <f>_xlfn.XLOOKUP(CustomerCombinedCleaned[[#This Row],[ID]], Table4[ID], Table4[Seafood], "Not Found", 0)</f>
        <v>72</v>
      </c>
      <c r="O786" s="16">
        <f>_xlfn.XLOOKUP(CustomerCombinedCleaned[[#This Row],[ID]], Table4[ID], Table4[Sweets], "Not Found", 0)</f>
        <v>199</v>
      </c>
      <c r="P786" s="16">
        <f>_xlfn.XLOOKUP(CustomerCombinedCleaned[[#This Row],[ID]], Table4[ID], Table4[Premium], "Not Found", 0)</f>
        <v>27</v>
      </c>
      <c r="Q786" s="16">
        <f>_xlfn.XLOOKUP(CustomerCombinedCleaned[[#This Row],[ID]], Table4[ID], Table4[Regular], "Not Found", 0)</f>
        <v>2860</v>
      </c>
      <c r="R786" s="16">
        <f>_xlfn.XLOOKUP(CustomerCombinedCleaned[[#This Row],[ID]], Table4[ID], Table4[Deals], "Not Found", 0)</f>
        <v>5</v>
      </c>
      <c r="S786" s="16">
        <f>_xlfn.XLOOKUP(CustomerCombinedCleaned[[#This Row],[ID]], Table4[ID], Table4[Website], "Not Found", 0)</f>
        <v>9</v>
      </c>
      <c r="T786" s="16">
        <f>_xlfn.XLOOKUP(CustomerCombinedCleaned[[#This Row],[ID]], Table4[ID], Table4[Catalog], "Not Found", 0)</f>
        <v>6</v>
      </c>
      <c r="U786" s="16">
        <f>_xlfn.XLOOKUP(CustomerCombinedCleaned[[#This Row],[ID]], Table4[ID], Table4[Store], "Not Found", 0)</f>
        <v>12</v>
      </c>
      <c r="V786" s="16">
        <f>_xlfn.XLOOKUP(CustomerCombinedCleaned[[#This Row],[ID]], Table4[ID], Table4[Visits], "Not Found", 0)</f>
        <v>6</v>
      </c>
      <c r="W786" s="16">
        <f>_xlfn.XLOOKUP(CustomerCombinedCleaned[[#This Row],[ID]], Table2[ID],Table2[Complaint], "Not Found", 0 )</f>
        <v>0</v>
      </c>
      <c r="X786" s="16">
        <f>_xlfn.XLOOKUP(CustomerCombinedCleaned[[#This Row],[ID]], Table2[ID],Table2[Pilot], "Not Found", 0 )</f>
        <v>0</v>
      </c>
      <c r="Y786" s="16">
        <f>_xlfn.XLOOKUP(CustomerCombinedCleaned[[#This Row],[ID]], Table2[ID],Table2[MC1], "Not Found", 0 )</f>
        <v>0</v>
      </c>
      <c r="Z786" s="16">
        <f>_xlfn.XLOOKUP(CustomerCombinedCleaned[[#This Row],[ID]], Table2[ID],Table2[MC2], "Not Found", 0 )</f>
        <v>0</v>
      </c>
      <c r="AA786" s="16">
        <f>_xlfn.XLOOKUP(CustomerCombinedCleaned[[#This Row],[ID]], Table2[ID],Table2[MC3], "Not Found", 0 )</f>
        <v>0</v>
      </c>
      <c r="AB786" s="16">
        <f>_xlfn.XLOOKUP(CustomerCombinedCleaned[[#This Row],[ID]], Table2[ID],Table2[MC4], "Not Found", 0 )</f>
        <v>0</v>
      </c>
      <c r="AC786" s="16">
        <f>_xlfn.XLOOKUP(CustomerCombinedCleaned[[#This Row],[ID]], Table2[ID],Table2[MC5], "Not Found", 0 )</f>
        <v>0</v>
      </c>
    </row>
    <row r="787" spans="1:29" x14ac:dyDescent="0.3">
      <c r="A787" s="18">
        <v>1270</v>
      </c>
      <c r="B787" s="16">
        <v>165640</v>
      </c>
      <c r="C787" s="16">
        <v>0</v>
      </c>
      <c r="D787" s="16">
        <v>1</v>
      </c>
      <c r="E787" s="16">
        <v>46</v>
      </c>
      <c r="F787" s="17" t="s">
        <v>8</v>
      </c>
      <c r="G787" s="17" t="s">
        <v>13</v>
      </c>
      <c r="H787" s="3" t="s">
        <v>603</v>
      </c>
      <c r="I787" s="5" t="s">
        <v>439</v>
      </c>
      <c r="J787" s="16">
        <f>_xlfn.XLOOKUP(CustomerCombinedCleaned[[#This Row],[ID]], Table4[ID], Table4[Recency], "Not Found", 0)</f>
        <v>74</v>
      </c>
      <c r="K787" s="16">
        <f>_xlfn.XLOOKUP(CustomerCombinedCleaned[[#This Row],[ID]], Table4[ID], Table4[Teas], "Not Found", 0)</f>
        <v>515</v>
      </c>
      <c r="L787" s="16">
        <f>_xlfn.XLOOKUP(CustomerCombinedCleaned[[#This Row],[ID]], Table4[ID], Table4[Fruits], "Not Found", 0)</f>
        <v>18</v>
      </c>
      <c r="M787" s="16">
        <f>_xlfn.XLOOKUP(CustomerCombinedCleaned[[#This Row],[ID]], Table4[ID], Table4[Meats], "Not Found", 0)</f>
        <v>376</v>
      </c>
      <c r="N787" s="16">
        <f>_xlfn.XLOOKUP(CustomerCombinedCleaned[[#This Row],[ID]], Table4[ID], Table4[Seafood], "Not Found", 0)</f>
        <v>50</v>
      </c>
      <c r="O787" s="16">
        <f>_xlfn.XLOOKUP(CustomerCombinedCleaned[[#This Row],[ID]], Table4[ID], Table4[Sweets], "Not Found", 0)</f>
        <v>38</v>
      </c>
      <c r="P787" s="16">
        <f>_xlfn.XLOOKUP(CustomerCombinedCleaned[[#This Row],[ID]], Table4[ID], Table4[Premium], "Not Found", 0)</f>
        <v>167</v>
      </c>
      <c r="Q787" s="16">
        <f>_xlfn.XLOOKUP(CustomerCombinedCleaned[[#This Row],[ID]], Table4[ID], Table4[Regular], "Not Found", 0)</f>
        <v>830</v>
      </c>
      <c r="R787" s="16">
        <f>_xlfn.XLOOKUP(CustomerCombinedCleaned[[#This Row],[ID]], Table4[ID], Table4[Deals], "Not Found", 0)</f>
        <v>1</v>
      </c>
      <c r="S787" s="16">
        <f>_xlfn.XLOOKUP(CustomerCombinedCleaned[[#This Row],[ID]], Table4[ID], Table4[Website], "Not Found", 0)</f>
        <v>5</v>
      </c>
      <c r="T787" s="16">
        <f>_xlfn.XLOOKUP(CustomerCombinedCleaned[[#This Row],[ID]], Table4[ID], Table4[Catalog], "Not Found", 0)</f>
        <v>1</v>
      </c>
      <c r="U787" s="16">
        <f>_xlfn.XLOOKUP(CustomerCombinedCleaned[[#This Row],[ID]], Table4[ID], Table4[Store], "Not Found", 0)</f>
        <v>8</v>
      </c>
      <c r="V787" s="16">
        <f>_xlfn.XLOOKUP(CustomerCombinedCleaned[[#This Row],[ID]], Table4[ID], Table4[Visits], "Not Found", 0)</f>
        <v>2</v>
      </c>
      <c r="W787" s="16">
        <f>_xlfn.XLOOKUP(CustomerCombinedCleaned[[#This Row],[ID]], Table2[ID],Table2[Complaint], "Not Found", 0 )</f>
        <v>0</v>
      </c>
      <c r="X787" s="16">
        <f>_xlfn.XLOOKUP(CustomerCombinedCleaned[[#This Row],[ID]], Table2[ID],Table2[Pilot], "Not Found", 0 )</f>
        <v>0</v>
      </c>
      <c r="Y787" s="16">
        <f>_xlfn.XLOOKUP(CustomerCombinedCleaned[[#This Row],[ID]], Table2[ID],Table2[MC1], "Not Found", 0 )</f>
        <v>0</v>
      </c>
      <c r="Z787" s="16">
        <f>_xlfn.XLOOKUP(CustomerCombinedCleaned[[#This Row],[ID]], Table2[ID],Table2[MC2], "Not Found", 0 )</f>
        <v>0</v>
      </c>
      <c r="AA787" s="16">
        <f>_xlfn.XLOOKUP(CustomerCombinedCleaned[[#This Row],[ID]], Table2[ID],Table2[MC3], "Not Found", 0 )</f>
        <v>0</v>
      </c>
      <c r="AB787" s="16">
        <f>_xlfn.XLOOKUP(CustomerCombinedCleaned[[#This Row],[ID]], Table2[ID],Table2[MC4], "Not Found", 0 )</f>
        <v>0</v>
      </c>
      <c r="AC787" s="16">
        <f>_xlfn.XLOOKUP(CustomerCombinedCleaned[[#This Row],[ID]], Table2[ID],Table2[MC5], "Not Found", 0 )</f>
        <v>0</v>
      </c>
    </row>
    <row r="788" spans="1:29" x14ac:dyDescent="0.3">
      <c r="A788" s="18">
        <v>2089</v>
      </c>
      <c r="B788" s="16">
        <v>165463</v>
      </c>
      <c r="C788" s="16">
        <v>1</v>
      </c>
      <c r="D788" s="16">
        <v>0</v>
      </c>
      <c r="E788" s="16">
        <v>46</v>
      </c>
      <c r="F788" s="17" t="s">
        <v>6</v>
      </c>
      <c r="G788" s="17" t="s">
        <v>11</v>
      </c>
      <c r="H788" s="3" t="s">
        <v>697</v>
      </c>
      <c r="I788" s="5" t="s">
        <v>437</v>
      </c>
      <c r="J788" s="16">
        <f>_xlfn.XLOOKUP(CustomerCombinedCleaned[[#This Row],[ID]], Table4[ID], Table4[Recency], "Not Found", 0)</f>
        <v>17</v>
      </c>
      <c r="K788" s="16">
        <f>_xlfn.XLOOKUP(CustomerCombinedCleaned[[#This Row],[ID]], Table4[ID], Table4[Teas], "Not Found", 0)</f>
        <v>988</v>
      </c>
      <c r="L788" s="16">
        <f>_xlfn.XLOOKUP(CustomerCombinedCleaned[[#This Row],[ID]], Table4[ID], Table4[Fruits], "Not Found", 0)</f>
        <v>81</v>
      </c>
      <c r="M788" s="16">
        <f>_xlfn.XLOOKUP(CustomerCombinedCleaned[[#This Row],[ID]], Table4[ID], Table4[Meats], "Not Found", 0)</f>
        <v>177</v>
      </c>
      <c r="N788" s="16">
        <f>_xlfn.XLOOKUP(CustomerCombinedCleaned[[#This Row],[ID]], Table4[ID], Table4[Seafood], "Not Found", 0)</f>
        <v>53</v>
      </c>
      <c r="O788" s="16">
        <f>_xlfn.XLOOKUP(CustomerCombinedCleaned[[#This Row],[ID]], Table4[ID], Table4[Sweets], "Not Found", 0)</f>
        <v>81</v>
      </c>
      <c r="P788" s="16">
        <f>_xlfn.XLOOKUP(CustomerCombinedCleaned[[#This Row],[ID]], Table4[ID], Table4[Premium], "Not Found", 0)</f>
        <v>40</v>
      </c>
      <c r="Q788" s="16">
        <f>_xlfn.XLOOKUP(CustomerCombinedCleaned[[#This Row],[ID]], Table4[ID], Table4[Regular], "Not Found", 0)</f>
        <v>1340</v>
      </c>
      <c r="R788" s="16">
        <f>_xlfn.XLOOKUP(CustomerCombinedCleaned[[#This Row],[ID]], Table4[ID], Table4[Deals], "Not Found", 0)</f>
        <v>2</v>
      </c>
      <c r="S788" s="16">
        <f>_xlfn.XLOOKUP(CustomerCombinedCleaned[[#This Row],[ID]], Table4[ID], Table4[Website], "Not Found", 0)</f>
        <v>6</v>
      </c>
      <c r="T788" s="16">
        <f>_xlfn.XLOOKUP(CustomerCombinedCleaned[[#This Row],[ID]], Table4[ID], Table4[Catalog], "Not Found", 0)</f>
        <v>2</v>
      </c>
      <c r="U788" s="16">
        <f>_xlfn.XLOOKUP(CustomerCombinedCleaned[[#This Row],[ID]], Table4[ID], Table4[Store], "Not Found", 0)</f>
        <v>9</v>
      </c>
      <c r="V788" s="16">
        <f>_xlfn.XLOOKUP(CustomerCombinedCleaned[[#This Row],[ID]], Table4[ID], Table4[Visits], "Not Found", 0)</f>
        <v>5</v>
      </c>
      <c r="W788" s="16">
        <f>_xlfn.XLOOKUP(CustomerCombinedCleaned[[#This Row],[ID]], Table2[ID],Table2[Complaint], "Not Found", 0 )</f>
        <v>0</v>
      </c>
      <c r="X788" s="16">
        <f>_xlfn.XLOOKUP(CustomerCombinedCleaned[[#This Row],[ID]], Table2[ID],Table2[Pilot], "Not Found", 0 )</f>
        <v>0</v>
      </c>
      <c r="Y788" s="16">
        <f>_xlfn.XLOOKUP(CustomerCombinedCleaned[[#This Row],[ID]], Table2[ID],Table2[MC1], "Not Found", 0 )</f>
        <v>0</v>
      </c>
      <c r="Z788" s="16">
        <f>_xlfn.XLOOKUP(CustomerCombinedCleaned[[#This Row],[ID]], Table2[ID],Table2[MC2], "Not Found", 0 )</f>
        <v>0</v>
      </c>
      <c r="AA788" s="16">
        <f>_xlfn.XLOOKUP(CustomerCombinedCleaned[[#This Row],[ID]], Table2[ID],Table2[MC3], "Not Found", 0 )</f>
        <v>0</v>
      </c>
      <c r="AB788" s="16">
        <f>_xlfn.XLOOKUP(CustomerCombinedCleaned[[#This Row],[ID]], Table2[ID],Table2[MC4], "Not Found", 0 )</f>
        <v>1</v>
      </c>
      <c r="AC788" s="16">
        <f>_xlfn.XLOOKUP(CustomerCombinedCleaned[[#This Row],[ID]], Table2[ID],Table2[MC5], "Not Found", 0 )</f>
        <v>0</v>
      </c>
    </row>
    <row r="789" spans="1:29" x14ac:dyDescent="0.3">
      <c r="A789" s="18">
        <v>1966</v>
      </c>
      <c r="B789" s="16">
        <v>165352</v>
      </c>
      <c r="C789" s="16">
        <v>0</v>
      </c>
      <c r="D789" s="16">
        <v>1</v>
      </c>
      <c r="E789" s="16">
        <v>46</v>
      </c>
      <c r="F789" s="17" t="s">
        <v>6</v>
      </c>
      <c r="G789" s="17" t="s">
        <v>13</v>
      </c>
      <c r="H789" s="3" t="s">
        <v>196</v>
      </c>
      <c r="I789" s="5" t="s">
        <v>439</v>
      </c>
      <c r="J789" s="16">
        <f>_xlfn.XLOOKUP(CustomerCombinedCleaned[[#This Row],[ID]], Table4[ID], Table4[Recency], "Not Found", 0)</f>
        <v>43</v>
      </c>
      <c r="K789" s="16">
        <f>_xlfn.XLOOKUP(CustomerCombinedCleaned[[#This Row],[ID]], Table4[ID], Table4[Teas], "Not Found", 0)</f>
        <v>719</v>
      </c>
      <c r="L789" s="16">
        <f>_xlfn.XLOOKUP(CustomerCombinedCleaned[[#This Row],[ID]], Table4[ID], Table4[Fruits], "Not Found", 0)</f>
        <v>8</v>
      </c>
      <c r="M789" s="16">
        <f>_xlfn.XLOOKUP(CustomerCombinedCleaned[[#This Row],[ID]], Table4[ID], Table4[Meats], "Not Found", 0)</f>
        <v>213</v>
      </c>
      <c r="N789" s="16">
        <f>_xlfn.XLOOKUP(CustomerCombinedCleaned[[#This Row],[ID]], Table4[ID], Table4[Seafood], "Not Found", 0)</f>
        <v>10</v>
      </c>
      <c r="O789" s="16">
        <f>_xlfn.XLOOKUP(CustomerCombinedCleaned[[#This Row],[ID]], Table4[ID], Table4[Sweets], "Not Found", 0)</f>
        <v>18</v>
      </c>
      <c r="P789" s="16">
        <f>_xlfn.XLOOKUP(CustomerCombinedCleaned[[#This Row],[ID]], Table4[ID], Table4[Premium], "Not Found", 0)</f>
        <v>58</v>
      </c>
      <c r="Q789" s="16">
        <f>_xlfn.XLOOKUP(CustomerCombinedCleaned[[#This Row],[ID]], Table4[ID], Table4[Regular], "Not Found", 0)</f>
        <v>908</v>
      </c>
      <c r="R789" s="16">
        <f>_xlfn.XLOOKUP(CustomerCombinedCleaned[[#This Row],[ID]], Table4[ID], Table4[Deals], "Not Found", 0)</f>
        <v>2</v>
      </c>
      <c r="S789" s="16">
        <f>_xlfn.XLOOKUP(CustomerCombinedCleaned[[#This Row],[ID]], Table4[ID], Table4[Website], "Not Found", 0)</f>
        <v>4</v>
      </c>
      <c r="T789" s="16">
        <f>_xlfn.XLOOKUP(CustomerCombinedCleaned[[#This Row],[ID]], Table4[ID], Table4[Catalog], "Not Found", 0)</f>
        <v>2</v>
      </c>
      <c r="U789" s="16">
        <f>_xlfn.XLOOKUP(CustomerCombinedCleaned[[#This Row],[ID]], Table4[ID], Table4[Store], "Not Found", 0)</f>
        <v>8</v>
      </c>
      <c r="V789" s="16">
        <f>_xlfn.XLOOKUP(CustomerCombinedCleaned[[#This Row],[ID]], Table4[ID], Table4[Visits], "Not Found", 0)</f>
        <v>4</v>
      </c>
      <c r="W789" s="16">
        <f>_xlfn.XLOOKUP(CustomerCombinedCleaned[[#This Row],[ID]], Table2[ID],Table2[Complaint], "Not Found", 0 )</f>
        <v>0</v>
      </c>
      <c r="X789" s="16">
        <f>_xlfn.XLOOKUP(CustomerCombinedCleaned[[#This Row],[ID]], Table2[ID],Table2[Pilot], "Not Found", 0 )</f>
        <v>0</v>
      </c>
      <c r="Y789" s="16">
        <f>_xlfn.XLOOKUP(CustomerCombinedCleaned[[#This Row],[ID]], Table2[ID],Table2[MC1], "Not Found", 0 )</f>
        <v>0</v>
      </c>
      <c r="Z789" s="16">
        <f>_xlfn.XLOOKUP(CustomerCombinedCleaned[[#This Row],[ID]], Table2[ID],Table2[MC2], "Not Found", 0 )</f>
        <v>0</v>
      </c>
      <c r="AA789" s="16">
        <f>_xlfn.XLOOKUP(CustomerCombinedCleaned[[#This Row],[ID]], Table2[ID],Table2[MC3], "Not Found", 0 )</f>
        <v>0</v>
      </c>
      <c r="AB789" s="16">
        <f>_xlfn.XLOOKUP(CustomerCombinedCleaned[[#This Row],[ID]], Table2[ID],Table2[MC4], "Not Found", 0 )</f>
        <v>0</v>
      </c>
      <c r="AC789" s="16">
        <f>_xlfn.XLOOKUP(CustomerCombinedCleaned[[#This Row],[ID]], Table2[ID],Table2[MC5], "Not Found", 0 )</f>
        <v>0</v>
      </c>
    </row>
    <row r="790" spans="1:29" x14ac:dyDescent="0.3">
      <c r="A790" s="18">
        <v>3215</v>
      </c>
      <c r="B790" s="16">
        <v>163979</v>
      </c>
      <c r="C790" s="16">
        <v>1</v>
      </c>
      <c r="D790" s="16">
        <v>0</v>
      </c>
      <c r="E790" s="16">
        <v>46</v>
      </c>
      <c r="F790" s="17" t="s">
        <v>6</v>
      </c>
      <c r="G790" s="17" t="s">
        <v>11</v>
      </c>
      <c r="H790" s="3" t="s">
        <v>701</v>
      </c>
      <c r="I790" s="5" t="s">
        <v>434</v>
      </c>
      <c r="J790" s="16">
        <f>_xlfn.XLOOKUP(CustomerCombinedCleaned[[#This Row],[ID]], Table4[ID], Table4[Recency], "Not Found", 0)</f>
        <v>81</v>
      </c>
      <c r="K790" s="16">
        <f>_xlfn.XLOOKUP(CustomerCombinedCleaned[[#This Row],[ID]], Table4[ID], Table4[Teas], "Not Found", 0)</f>
        <v>8</v>
      </c>
      <c r="L790" s="16">
        <f>_xlfn.XLOOKUP(CustomerCombinedCleaned[[#This Row],[ID]], Table4[ID], Table4[Fruits], "Not Found", 0)</f>
        <v>8</v>
      </c>
      <c r="M790" s="16">
        <f>_xlfn.XLOOKUP(CustomerCombinedCleaned[[#This Row],[ID]], Table4[ID], Table4[Meats], "Not Found", 0)</f>
        <v>18</v>
      </c>
      <c r="N790" s="16">
        <f>_xlfn.XLOOKUP(CustomerCombinedCleaned[[#This Row],[ID]], Table4[ID], Table4[Seafood], "Not Found", 0)</f>
        <v>15</v>
      </c>
      <c r="O790" s="16">
        <f>_xlfn.XLOOKUP(CustomerCombinedCleaned[[#This Row],[ID]], Table4[ID], Table4[Sweets], "Not Found", 0)</f>
        <v>5</v>
      </c>
      <c r="P790" s="16">
        <f>_xlfn.XLOOKUP(CustomerCombinedCleaned[[#This Row],[ID]], Table4[ID], Table4[Premium], "Not Found", 0)</f>
        <v>23</v>
      </c>
      <c r="Q790" s="16">
        <f>_xlfn.XLOOKUP(CustomerCombinedCleaned[[#This Row],[ID]], Table4[ID], Table4[Regular], "Not Found", 0)</f>
        <v>31</v>
      </c>
      <c r="R790" s="16">
        <v>2</v>
      </c>
      <c r="S790" s="16">
        <f>_xlfn.XLOOKUP(CustomerCombinedCleaned[[#This Row],[ID]], Table4[ID], Table4[Website], "Not Found", 0)</f>
        <v>1</v>
      </c>
      <c r="T790" s="16">
        <f>_xlfn.XLOOKUP(CustomerCombinedCleaned[[#This Row],[ID]], Table4[ID], Table4[Catalog], "Not Found", 0)</f>
        <v>0</v>
      </c>
      <c r="U790" s="16">
        <f>_xlfn.XLOOKUP(CustomerCombinedCleaned[[#This Row],[ID]], Table4[ID], Table4[Store], "Not Found", 0)</f>
        <v>2</v>
      </c>
      <c r="V790" s="16">
        <f>_xlfn.XLOOKUP(CustomerCombinedCleaned[[#This Row],[ID]], Table4[ID], Table4[Visits], "Not Found", 0)</f>
        <v>7</v>
      </c>
      <c r="W790" s="16">
        <f>_xlfn.XLOOKUP(CustomerCombinedCleaned[[#This Row],[ID]], Table2[ID],Table2[Complaint], "Not Found", 0 )</f>
        <v>0</v>
      </c>
      <c r="X790" s="16">
        <f>_xlfn.XLOOKUP(CustomerCombinedCleaned[[#This Row],[ID]], Table2[ID],Table2[Pilot], "Not Found", 0 )</f>
        <v>0</v>
      </c>
      <c r="Y790" s="16">
        <f>_xlfn.XLOOKUP(CustomerCombinedCleaned[[#This Row],[ID]], Table2[ID],Table2[MC1], "Not Found", 0 )</f>
        <v>0</v>
      </c>
      <c r="Z790" s="16">
        <f>_xlfn.XLOOKUP(CustomerCombinedCleaned[[#This Row],[ID]], Table2[ID],Table2[MC2], "Not Found", 0 )</f>
        <v>0</v>
      </c>
      <c r="AA790" s="16">
        <f>_xlfn.XLOOKUP(CustomerCombinedCleaned[[#This Row],[ID]], Table2[ID],Table2[MC3], "Not Found", 0 )</f>
        <v>0</v>
      </c>
      <c r="AB790" s="16">
        <f>_xlfn.XLOOKUP(CustomerCombinedCleaned[[#This Row],[ID]], Table2[ID],Table2[MC4], "Not Found", 0 )</f>
        <v>0</v>
      </c>
      <c r="AC790" s="16">
        <f>_xlfn.XLOOKUP(CustomerCombinedCleaned[[#This Row],[ID]], Table2[ID],Table2[MC5], "Not Found", 0 )</f>
        <v>0</v>
      </c>
    </row>
    <row r="791" spans="1:29" x14ac:dyDescent="0.3">
      <c r="A791" s="18">
        <v>2481</v>
      </c>
      <c r="B791" s="16">
        <v>163206</v>
      </c>
      <c r="C791" s="16">
        <v>0</v>
      </c>
      <c r="D791" s="16">
        <v>0</v>
      </c>
      <c r="E791" s="16">
        <v>46</v>
      </c>
      <c r="F791" s="17" t="s">
        <v>6</v>
      </c>
      <c r="G791" s="17" t="s">
        <v>12</v>
      </c>
      <c r="H791" s="3" t="s">
        <v>81</v>
      </c>
      <c r="I791" s="5" t="s">
        <v>435</v>
      </c>
      <c r="J791" s="16">
        <f>_xlfn.XLOOKUP(CustomerCombinedCleaned[[#This Row],[ID]], Table4[ID], Table4[Recency], "Not Found", 0)</f>
        <v>65</v>
      </c>
      <c r="K791" s="16">
        <f>_xlfn.XLOOKUP(CustomerCombinedCleaned[[#This Row],[ID]], Table4[ID], Table4[Teas], "Not Found", 0)</f>
        <v>1937</v>
      </c>
      <c r="L791" s="16">
        <f>_xlfn.XLOOKUP(CustomerCombinedCleaned[[#This Row],[ID]], Table4[ID], Table4[Fruits], "Not Found", 0)</f>
        <v>21</v>
      </c>
      <c r="M791" s="16">
        <f>_xlfn.XLOOKUP(CustomerCombinedCleaned[[#This Row],[ID]], Table4[ID], Table4[Meats], "Not Found", 0)</f>
        <v>323</v>
      </c>
      <c r="N791" s="16">
        <f>_xlfn.XLOOKUP(CustomerCombinedCleaned[[#This Row],[ID]], Table4[ID], Table4[Seafood], "Not Found", 0)</f>
        <v>28</v>
      </c>
      <c r="O791" s="16">
        <f>_xlfn.XLOOKUP(CustomerCombinedCleaned[[#This Row],[ID]], Table4[ID], Table4[Sweets], "Not Found", 0)</f>
        <v>21</v>
      </c>
      <c r="P791" s="16">
        <f>_xlfn.XLOOKUP(CustomerCombinedCleaned[[#This Row],[ID]], Table4[ID], Table4[Premium], "Not Found", 0)</f>
        <v>67</v>
      </c>
      <c r="Q791" s="16">
        <f>_xlfn.XLOOKUP(CustomerCombinedCleaned[[#This Row],[ID]], Table4[ID], Table4[Regular], "Not Found", 0)</f>
        <v>2262</v>
      </c>
      <c r="R791" s="16">
        <f>_xlfn.XLOOKUP(CustomerCombinedCleaned[[#This Row],[ID]], Table4[ID], Table4[Deals], "Not Found", 0)</f>
        <v>1</v>
      </c>
      <c r="S791" s="16">
        <f>_xlfn.XLOOKUP(CustomerCombinedCleaned[[#This Row],[ID]], Table4[ID], Table4[Website], "Not Found", 0)</f>
        <v>4</v>
      </c>
      <c r="T791" s="16">
        <f>_xlfn.XLOOKUP(CustomerCombinedCleaned[[#This Row],[ID]], Table4[ID], Table4[Catalog], "Not Found", 0)</f>
        <v>3</v>
      </c>
      <c r="U791" s="16">
        <f>_xlfn.XLOOKUP(CustomerCombinedCleaned[[#This Row],[ID]], Table4[ID], Table4[Store], "Not Found", 0)</f>
        <v>6</v>
      </c>
      <c r="V791" s="16">
        <f>_xlfn.XLOOKUP(CustomerCombinedCleaned[[#This Row],[ID]], Table4[ID], Table4[Visits], "Not Found", 0)</f>
        <v>2</v>
      </c>
      <c r="W791" s="16">
        <f>_xlfn.XLOOKUP(CustomerCombinedCleaned[[#This Row],[ID]], Table2[ID],Table2[Complaint], "Not Found", 0 )</f>
        <v>0</v>
      </c>
      <c r="X791" s="16">
        <f>_xlfn.XLOOKUP(CustomerCombinedCleaned[[#This Row],[ID]], Table2[ID],Table2[Pilot], "Not Found", 0 )</f>
        <v>0</v>
      </c>
      <c r="Y791" s="16">
        <f>_xlfn.XLOOKUP(CustomerCombinedCleaned[[#This Row],[ID]], Table2[ID],Table2[MC1], "Not Found", 0 )</f>
        <v>0</v>
      </c>
      <c r="Z791" s="16">
        <f>_xlfn.XLOOKUP(CustomerCombinedCleaned[[#This Row],[ID]], Table2[ID],Table2[MC2], "Not Found", 0 )</f>
        <v>0</v>
      </c>
      <c r="AA791" s="16">
        <f>_xlfn.XLOOKUP(CustomerCombinedCleaned[[#This Row],[ID]], Table2[ID],Table2[MC3], "Not Found", 0 )</f>
        <v>0</v>
      </c>
      <c r="AB791" s="16">
        <f>_xlfn.XLOOKUP(CustomerCombinedCleaned[[#This Row],[ID]], Table2[ID],Table2[MC4], "Not Found", 0 )</f>
        <v>0</v>
      </c>
      <c r="AC791" s="16">
        <f>_xlfn.XLOOKUP(CustomerCombinedCleaned[[#This Row],[ID]], Table2[ID],Table2[MC5], "Not Found", 0 )</f>
        <v>1</v>
      </c>
    </row>
    <row r="792" spans="1:29" x14ac:dyDescent="0.3">
      <c r="A792" s="18">
        <v>2784</v>
      </c>
      <c r="B792" s="16">
        <v>163159</v>
      </c>
      <c r="C792" s="16">
        <v>0</v>
      </c>
      <c r="D792" s="16">
        <v>0</v>
      </c>
      <c r="E792" s="16">
        <v>46</v>
      </c>
      <c r="F792" s="17" t="s">
        <v>7</v>
      </c>
      <c r="G792" s="17" t="s">
        <v>13</v>
      </c>
      <c r="H792" s="3" t="s">
        <v>667</v>
      </c>
      <c r="I792" s="5" t="s">
        <v>436</v>
      </c>
      <c r="J792" s="16">
        <f>_xlfn.XLOOKUP(CustomerCombinedCleaned[[#This Row],[ID]], Table4[ID], Table4[Recency], "Not Found", 0)</f>
        <v>74</v>
      </c>
      <c r="K792" s="16">
        <f>_xlfn.XLOOKUP(CustomerCombinedCleaned[[#This Row],[ID]], Table4[ID], Table4[Teas], "Not Found", 0)</f>
        <v>2493</v>
      </c>
      <c r="L792" s="16">
        <f>_xlfn.XLOOKUP(CustomerCombinedCleaned[[#This Row],[ID]], Table4[ID], Table4[Fruits], "Not Found", 0)</f>
        <v>88</v>
      </c>
      <c r="M792" s="16">
        <f>_xlfn.XLOOKUP(CustomerCombinedCleaned[[#This Row],[ID]], Table4[ID], Table4[Meats], "Not Found", 0)</f>
        <v>1514</v>
      </c>
      <c r="N792" s="16">
        <f>_xlfn.XLOOKUP(CustomerCombinedCleaned[[#This Row],[ID]], Table4[ID], Table4[Seafood], "Not Found", 0)</f>
        <v>230</v>
      </c>
      <c r="O792" s="16">
        <f>_xlfn.XLOOKUP(CustomerCombinedCleaned[[#This Row],[ID]], Table4[ID], Table4[Sweets], "Not Found", 0)</f>
        <v>222</v>
      </c>
      <c r="P792" s="16">
        <f>_xlfn.XLOOKUP(CustomerCombinedCleaned[[#This Row],[ID]], Table4[ID], Table4[Premium], "Not Found", 0)</f>
        <v>96</v>
      </c>
      <c r="Q792" s="16">
        <f>_xlfn.XLOOKUP(CustomerCombinedCleaned[[#This Row],[ID]], Table4[ID], Table4[Regular], "Not Found", 0)</f>
        <v>4451</v>
      </c>
      <c r="R792" s="16">
        <f>_xlfn.XLOOKUP(CustomerCombinedCleaned[[#This Row],[ID]], Table4[ID], Table4[Deals], "Not Found", 0)</f>
        <v>1</v>
      </c>
      <c r="S792" s="16">
        <f>_xlfn.XLOOKUP(CustomerCombinedCleaned[[#This Row],[ID]], Table4[ID], Table4[Website], "Not Found", 0)</f>
        <v>3</v>
      </c>
      <c r="T792" s="16">
        <f>_xlfn.XLOOKUP(CustomerCombinedCleaned[[#This Row],[ID]], Table4[ID], Table4[Catalog], "Not Found", 0)</f>
        <v>5</v>
      </c>
      <c r="U792" s="16">
        <f>_xlfn.XLOOKUP(CustomerCombinedCleaned[[#This Row],[ID]], Table4[ID], Table4[Store], "Not Found", 0)</f>
        <v>8</v>
      </c>
      <c r="V792" s="16">
        <f>_xlfn.XLOOKUP(CustomerCombinedCleaned[[#This Row],[ID]], Table4[ID], Table4[Visits], "Not Found", 0)</f>
        <v>3</v>
      </c>
      <c r="W792" s="16">
        <f>_xlfn.XLOOKUP(CustomerCombinedCleaned[[#This Row],[ID]], Table2[ID],Table2[Complaint], "Not Found", 0 )</f>
        <v>0</v>
      </c>
      <c r="X792" s="16">
        <f>_xlfn.XLOOKUP(CustomerCombinedCleaned[[#This Row],[ID]], Table2[ID],Table2[Pilot], "Not Found", 0 )</f>
        <v>0</v>
      </c>
      <c r="Y792" s="16">
        <f>_xlfn.XLOOKUP(CustomerCombinedCleaned[[#This Row],[ID]], Table2[ID],Table2[MC1], "Not Found", 0 )</f>
        <v>0</v>
      </c>
      <c r="Z792" s="16">
        <f>_xlfn.XLOOKUP(CustomerCombinedCleaned[[#This Row],[ID]], Table2[ID],Table2[MC2], "Not Found", 0 )</f>
        <v>0</v>
      </c>
      <c r="AA792" s="16">
        <f>_xlfn.XLOOKUP(CustomerCombinedCleaned[[#This Row],[ID]], Table2[ID],Table2[MC3], "Not Found", 0 )</f>
        <v>1</v>
      </c>
      <c r="AB792" s="16">
        <f>_xlfn.XLOOKUP(CustomerCombinedCleaned[[#This Row],[ID]], Table2[ID],Table2[MC4], "Not Found", 0 )</f>
        <v>0</v>
      </c>
      <c r="AC792" s="16">
        <f>_xlfn.XLOOKUP(CustomerCombinedCleaned[[#This Row],[ID]], Table2[ID],Table2[MC5], "Not Found", 0 )</f>
        <v>0</v>
      </c>
    </row>
    <row r="793" spans="1:29" x14ac:dyDescent="0.3">
      <c r="A793" s="18">
        <v>2905</v>
      </c>
      <c r="B793" s="16">
        <v>161917</v>
      </c>
      <c r="C793" s="16">
        <v>1</v>
      </c>
      <c r="D793" s="16">
        <v>1</v>
      </c>
      <c r="E793" s="16">
        <v>46</v>
      </c>
      <c r="F793" s="17" t="s">
        <v>6</v>
      </c>
      <c r="G793" s="17" t="s">
        <v>13</v>
      </c>
      <c r="H793" s="3" t="s">
        <v>145</v>
      </c>
      <c r="I793" s="5" t="s">
        <v>437</v>
      </c>
      <c r="J793" s="16">
        <f>_xlfn.XLOOKUP(CustomerCombinedCleaned[[#This Row],[ID]], Table4[ID], Table4[Recency], "Not Found", 0)</f>
        <v>83</v>
      </c>
      <c r="K793" s="16">
        <f>_xlfn.XLOOKUP(CustomerCombinedCleaned[[#This Row],[ID]], Table4[ID], Table4[Teas], "Not Found", 0)</f>
        <v>120</v>
      </c>
      <c r="L793" s="16">
        <f>_xlfn.XLOOKUP(CustomerCombinedCleaned[[#This Row],[ID]], Table4[ID], Table4[Fruits], "Not Found", 0)</f>
        <v>10</v>
      </c>
      <c r="M793" s="16">
        <f>_xlfn.XLOOKUP(CustomerCombinedCleaned[[#This Row],[ID]], Table4[ID], Table4[Meats], "Not Found", 0)</f>
        <v>94</v>
      </c>
      <c r="N793" s="16">
        <f>_xlfn.XLOOKUP(CustomerCombinedCleaned[[#This Row],[ID]], Table4[ID], Table4[Seafood], "Not Found", 0)</f>
        <v>5</v>
      </c>
      <c r="O793" s="16">
        <f>_xlfn.XLOOKUP(CustomerCombinedCleaned[[#This Row],[ID]], Table4[ID], Table4[Sweets], "Not Found", 0)</f>
        <v>5</v>
      </c>
      <c r="P793" s="16">
        <f>_xlfn.XLOOKUP(CustomerCombinedCleaned[[#This Row],[ID]], Table4[ID], Table4[Premium], "Not Found", 0)</f>
        <v>3</v>
      </c>
      <c r="Q793" s="16">
        <f>_xlfn.XLOOKUP(CustomerCombinedCleaned[[#This Row],[ID]], Table4[ID], Table4[Regular], "Not Found", 0)</f>
        <v>233</v>
      </c>
      <c r="R793" s="16">
        <f>_xlfn.XLOOKUP(CustomerCombinedCleaned[[#This Row],[ID]], Table4[ID], Table4[Deals], "Not Found", 0)</f>
        <v>1</v>
      </c>
      <c r="S793" s="16">
        <f>_xlfn.XLOOKUP(CustomerCombinedCleaned[[#This Row],[ID]], Table4[ID], Table4[Website], "Not Found", 0)</f>
        <v>2</v>
      </c>
      <c r="T793" s="16">
        <f>_xlfn.XLOOKUP(CustomerCombinedCleaned[[#This Row],[ID]], Table4[ID], Table4[Catalog], "Not Found", 0)</f>
        <v>0</v>
      </c>
      <c r="U793" s="16">
        <f>_xlfn.XLOOKUP(CustomerCombinedCleaned[[#This Row],[ID]], Table4[ID], Table4[Store], "Not Found", 0)</f>
        <v>4</v>
      </c>
      <c r="V793" s="16">
        <f>_xlfn.XLOOKUP(CustomerCombinedCleaned[[#This Row],[ID]], Table4[ID], Table4[Visits], "Not Found", 0)</f>
        <v>5</v>
      </c>
      <c r="W793" s="16">
        <f>_xlfn.XLOOKUP(CustomerCombinedCleaned[[#This Row],[ID]], Table2[ID],Table2[Complaint], "Not Found", 0 )</f>
        <v>0</v>
      </c>
      <c r="X793" s="16">
        <f>_xlfn.XLOOKUP(CustomerCombinedCleaned[[#This Row],[ID]], Table2[ID],Table2[Pilot], "Not Found", 0 )</f>
        <v>0</v>
      </c>
      <c r="Y793" s="16">
        <f>_xlfn.XLOOKUP(CustomerCombinedCleaned[[#This Row],[ID]], Table2[ID],Table2[MC1], "Not Found", 0 )</f>
        <v>0</v>
      </c>
      <c r="Z793" s="16">
        <f>_xlfn.XLOOKUP(CustomerCombinedCleaned[[#This Row],[ID]], Table2[ID],Table2[MC2], "Not Found", 0 )</f>
        <v>0</v>
      </c>
      <c r="AA793" s="16">
        <f>_xlfn.XLOOKUP(CustomerCombinedCleaned[[#This Row],[ID]], Table2[ID],Table2[MC3], "Not Found", 0 )</f>
        <v>0</v>
      </c>
      <c r="AB793" s="16">
        <f>_xlfn.XLOOKUP(CustomerCombinedCleaned[[#This Row],[ID]], Table2[ID],Table2[MC4], "Not Found", 0 )</f>
        <v>0</v>
      </c>
      <c r="AC793" s="16">
        <f>_xlfn.XLOOKUP(CustomerCombinedCleaned[[#This Row],[ID]], Table2[ID],Table2[MC5], "Not Found", 0 )</f>
        <v>0</v>
      </c>
    </row>
    <row r="794" spans="1:29" x14ac:dyDescent="0.3">
      <c r="A794" s="18">
        <v>1471</v>
      </c>
      <c r="B794" s="16">
        <v>160093</v>
      </c>
      <c r="C794" s="16">
        <v>0</v>
      </c>
      <c r="D794" s="16">
        <v>1</v>
      </c>
      <c r="E794" s="16">
        <v>46</v>
      </c>
      <c r="F794" s="17" t="s">
        <v>6</v>
      </c>
      <c r="G794" s="17" t="s">
        <v>11</v>
      </c>
      <c r="H794" s="3" t="s">
        <v>721</v>
      </c>
      <c r="I794" s="5" t="s">
        <v>437</v>
      </c>
      <c r="J794" s="16">
        <f>_xlfn.XLOOKUP(CustomerCombinedCleaned[[#This Row],[ID]], Table4[ID], Table4[Recency], "Not Found", 0)</f>
        <v>92</v>
      </c>
      <c r="K794" s="16">
        <f>_xlfn.XLOOKUP(CustomerCombinedCleaned[[#This Row],[ID]], Table4[ID], Table4[Teas], "Not Found", 0)</f>
        <v>1337</v>
      </c>
      <c r="L794" s="16">
        <f>_xlfn.XLOOKUP(CustomerCombinedCleaned[[#This Row],[ID]], Table4[ID], Table4[Fruits], "Not Found", 0)</f>
        <v>32</v>
      </c>
      <c r="M794" s="16">
        <f>_xlfn.XLOOKUP(CustomerCombinedCleaned[[#This Row],[ID]], Table4[ID], Table4[Meats], "Not Found", 0)</f>
        <v>290</v>
      </c>
      <c r="N794" s="16">
        <f>_xlfn.XLOOKUP(CustomerCombinedCleaned[[#This Row],[ID]], Table4[ID], Table4[Seafood], "Not Found", 0)</f>
        <v>43</v>
      </c>
      <c r="O794" s="16">
        <f>_xlfn.XLOOKUP(CustomerCombinedCleaned[[#This Row],[ID]], Table4[ID], Table4[Sweets], "Not Found", 0)</f>
        <v>16</v>
      </c>
      <c r="P794" s="16">
        <f>_xlfn.XLOOKUP(CustomerCombinedCleaned[[#This Row],[ID]], Table4[ID], Table4[Premium], "Not Found", 0)</f>
        <v>240</v>
      </c>
      <c r="Q794" s="16">
        <f>_xlfn.XLOOKUP(CustomerCombinedCleaned[[#This Row],[ID]], Table4[ID], Table4[Regular], "Not Found", 0)</f>
        <v>1479</v>
      </c>
      <c r="R794" s="16">
        <f>_xlfn.XLOOKUP(CustomerCombinedCleaned[[#This Row],[ID]], Table4[ID], Table4[Deals], "Not Found", 0)</f>
        <v>2</v>
      </c>
      <c r="S794" s="16">
        <f>_xlfn.XLOOKUP(CustomerCombinedCleaned[[#This Row],[ID]], Table4[ID], Table4[Website], "Not Found", 0)</f>
        <v>7</v>
      </c>
      <c r="T794" s="16">
        <f>_xlfn.XLOOKUP(CustomerCombinedCleaned[[#This Row],[ID]], Table4[ID], Table4[Catalog], "Not Found", 0)</f>
        <v>2</v>
      </c>
      <c r="U794" s="16">
        <f>_xlfn.XLOOKUP(CustomerCombinedCleaned[[#This Row],[ID]], Table4[ID], Table4[Store], "Not Found", 0)</f>
        <v>10</v>
      </c>
      <c r="V794" s="16">
        <f>_xlfn.XLOOKUP(CustomerCombinedCleaned[[#This Row],[ID]], Table4[ID], Table4[Visits], "Not Found", 0)</f>
        <v>6</v>
      </c>
      <c r="W794" s="16">
        <f>_xlfn.XLOOKUP(CustomerCombinedCleaned[[#This Row],[ID]], Table2[ID],Table2[Complaint], "Not Found", 0 )</f>
        <v>0</v>
      </c>
      <c r="X794" s="16">
        <f>_xlfn.XLOOKUP(CustomerCombinedCleaned[[#This Row],[ID]], Table2[ID],Table2[Pilot], "Not Found", 0 )</f>
        <v>0</v>
      </c>
      <c r="Y794" s="16">
        <f>_xlfn.XLOOKUP(CustomerCombinedCleaned[[#This Row],[ID]], Table2[ID],Table2[MC1], "Not Found", 0 )</f>
        <v>0</v>
      </c>
      <c r="Z794" s="16">
        <f>_xlfn.XLOOKUP(CustomerCombinedCleaned[[#This Row],[ID]], Table2[ID],Table2[MC2], "Not Found", 0 )</f>
        <v>0</v>
      </c>
      <c r="AA794" s="16">
        <f>_xlfn.XLOOKUP(CustomerCombinedCleaned[[#This Row],[ID]], Table2[ID],Table2[MC3], "Not Found", 0 )</f>
        <v>0</v>
      </c>
      <c r="AB794" s="16">
        <f>_xlfn.XLOOKUP(CustomerCombinedCleaned[[#This Row],[ID]], Table2[ID],Table2[MC4], "Not Found", 0 )</f>
        <v>0</v>
      </c>
      <c r="AC794" s="16">
        <f>_xlfn.XLOOKUP(CustomerCombinedCleaned[[#This Row],[ID]], Table2[ID],Table2[MC5], "Not Found", 0 )</f>
        <v>0</v>
      </c>
    </row>
    <row r="795" spans="1:29" x14ac:dyDescent="0.3">
      <c r="A795" s="18">
        <v>2622</v>
      </c>
      <c r="B795" s="16">
        <v>158494</v>
      </c>
      <c r="C795" s="16">
        <v>0</v>
      </c>
      <c r="D795" s="16">
        <v>1</v>
      </c>
      <c r="E795" s="16">
        <v>46</v>
      </c>
      <c r="F795" s="17" t="s">
        <v>6</v>
      </c>
      <c r="G795" s="17" t="s">
        <v>12</v>
      </c>
      <c r="H795" s="3" t="s">
        <v>136</v>
      </c>
      <c r="I795" s="5" t="s">
        <v>436</v>
      </c>
      <c r="J795" s="16">
        <f>_xlfn.XLOOKUP(CustomerCombinedCleaned[[#This Row],[ID]], Table4[ID], Table4[Recency], "Not Found", 0)</f>
        <v>56</v>
      </c>
      <c r="K795" s="16">
        <f>_xlfn.XLOOKUP(CustomerCombinedCleaned[[#This Row],[ID]], Table4[ID], Table4[Teas], "Not Found", 0)</f>
        <v>807</v>
      </c>
      <c r="L795" s="16">
        <f>_xlfn.XLOOKUP(CustomerCombinedCleaned[[#This Row],[ID]], Table4[ID], Table4[Fruits], "Not Found", 0)</f>
        <v>19</v>
      </c>
      <c r="M795" s="16">
        <f>_xlfn.XLOOKUP(CustomerCombinedCleaned[[#This Row],[ID]], Table4[ID], Table4[Meats], "Not Found", 0)</f>
        <v>184</v>
      </c>
      <c r="N795" s="16">
        <f>_xlfn.XLOOKUP(CustomerCombinedCleaned[[#This Row],[ID]], Table4[ID], Table4[Seafood], "Not Found", 0)</f>
        <v>11</v>
      </c>
      <c r="O795" s="16">
        <f>_xlfn.XLOOKUP(CustomerCombinedCleaned[[#This Row],[ID]], Table4[ID], Table4[Sweets], "Not Found", 0)</f>
        <v>0</v>
      </c>
      <c r="P795" s="16">
        <f>_xlfn.XLOOKUP(CustomerCombinedCleaned[[#This Row],[ID]], Table4[ID], Table4[Premium], "Not Found", 0)</f>
        <v>51</v>
      </c>
      <c r="Q795" s="16">
        <f>_xlfn.XLOOKUP(CustomerCombinedCleaned[[#This Row],[ID]], Table4[ID], Table4[Regular], "Not Found", 0)</f>
        <v>970</v>
      </c>
      <c r="R795" s="16">
        <f>_xlfn.XLOOKUP(CustomerCombinedCleaned[[#This Row],[ID]], Table4[ID], Table4[Deals], "Not Found", 0)</f>
        <v>2</v>
      </c>
      <c r="S795" s="16">
        <f>_xlfn.XLOOKUP(CustomerCombinedCleaned[[#This Row],[ID]], Table4[ID], Table4[Website], "Not Found", 0)</f>
        <v>6</v>
      </c>
      <c r="T795" s="16">
        <f>_xlfn.XLOOKUP(CustomerCombinedCleaned[[#This Row],[ID]], Table4[ID], Table4[Catalog], "Not Found", 0)</f>
        <v>2</v>
      </c>
      <c r="U795" s="16">
        <f>_xlfn.XLOOKUP(CustomerCombinedCleaned[[#This Row],[ID]], Table4[ID], Table4[Store], "Not Found", 0)</f>
        <v>6</v>
      </c>
      <c r="V795" s="16">
        <f>_xlfn.XLOOKUP(CustomerCombinedCleaned[[#This Row],[ID]], Table4[ID], Table4[Visits], "Not Found", 0)</f>
        <v>6</v>
      </c>
      <c r="W795" s="16">
        <f>_xlfn.XLOOKUP(CustomerCombinedCleaned[[#This Row],[ID]], Table2[ID],Table2[Complaint], "Not Found", 0 )</f>
        <v>0</v>
      </c>
      <c r="X795" s="16">
        <f>_xlfn.XLOOKUP(CustomerCombinedCleaned[[#This Row],[ID]], Table2[ID],Table2[Pilot], "Not Found", 0 )</f>
        <v>0</v>
      </c>
      <c r="Y795" s="16">
        <f>_xlfn.XLOOKUP(CustomerCombinedCleaned[[#This Row],[ID]], Table2[ID],Table2[MC1], "Not Found", 0 )</f>
        <v>0</v>
      </c>
      <c r="Z795" s="16">
        <f>_xlfn.XLOOKUP(CustomerCombinedCleaned[[#This Row],[ID]], Table2[ID],Table2[MC2], "Not Found", 0 )</f>
        <v>0</v>
      </c>
      <c r="AA795" s="16">
        <f>_xlfn.XLOOKUP(CustomerCombinedCleaned[[#This Row],[ID]], Table2[ID],Table2[MC3], "Not Found", 0 )</f>
        <v>0</v>
      </c>
      <c r="AB795" s="16">
        <f>_xlfn.XLOOKUP(CustomerCombinedCleaned[[#This Row],[ID]], Table2[ID],Table2[MC4], "Not Found", 0 )</f>
        <v>0</v>
      </c>
      <c r="AC795" s="16">
        <f>_xlfn.XLOOKUP(CustomerCombinedCleaned[[#This Row],[ID]], Table2[ID],Table2[MC5], "Not Found", 0 )</f>
        <v>0</v>
      </c>
    </row>
    <row r="796" spans="1:29" x14ac:dyDescent="0.3">
      <c r="A796" s="18">
        <v>2138</v>
      </c>
      <c r="B796" s="16">
        <v>156715</v>
      </c>
      <c r="C796" s="16">
        <v>0</v>
      </c>
      <c r="D796" s="16">
        <v>0</v>
      </c>
      <c r="E796" s="16">
        <v>46</v>
      </c>
      <c r="F796" s="17" t="s">
        <v>8</v>
      </c>
      <c r="G796" s="17" t="s">
        <v>11</v>
      </c>
      <c r="H796" s="3" t="s">
        <v>686</v>
      </c>
      <c r="I796" s="5" t="s">
        <v>438</v>
      </c>
      <c r="J796" s="16">
        <f>_xlfn.XLOOKUP(CustomerCombinedCleaned[[#This Row],[ID]], Table4[ID], Table4[Recency], "Not Found", 0)</f>
        <v>52</v>
      </c>
      <c r="K796" s="16">
        <f>_xlfn.XLOOKUP(CustomerCombinedCleaned[[#This Row],[ID]], Table4[ID], Table4[Teas], "Not Found", 0)</f>
        <v>713</v>
      </c>
      <c r="L796" s="16">
        <f>_xlfn.XLOOKUP(CustomerCombinedCleaned[[#This Row],[ID]], Table4[ID], Table4[Fruits], "Not Found", 0)</f>
        <v>290</v>
      </c>
      <c r="M796" s="16">
        <f>_xlfn.XLOOKUP(CustomerCombinedCleaned[[#This Row],[ID]], Table4[ID], Table4[Meats], "Not Found", 0)</f>
        <v>660</v>
      </c>
      <c r="N796" s="16">
        <f>_xlfn.XLOOKUP(CustomerCombinedCleaned[[#This Row],[ID]], Table4[ID], Table4[Seafood], "Not Found", 0)</f>
        <v>655</v>
      </c>
      <c r="O796" s="16">
        <f>_xlfn.XLOOKUP(CustomerCombinedCleaned[[#This Row],[ID]], Table4[ID], Table4[Sweets], "Not Found", 0)</f>
        <v>475</v>
      </c>
      <c r="P796" s="16">
        <f>_xlfn.XLOOKUP(CustomerCombinedCleaned[[#This Row],[ID]], Table4[ID], Table4[Premium], "Not Found", 0)</f>
        <v>25</v>
      </c>
      <c r="Q796" s="16">
        <f>_xlfn.XLOOKUP(CustomerCombinedCleaned[[#This Row],[ID]], Table4[ID], Table4[Regular], "Not Found", 0)</f>
        <v>2769</v>
      </c>
      <c r="R796" s="16">
        <f>_xlfn.XLOOKUP(CustomerCombinedCleaned[[#This Row],[ID]], Table4[ID], Table4[Deals], "Not Found", 0)</f>
        <v>1</v>
      </c>
      <c r="S796" s="16">
        <f>_xlfn.XLOOKUP(CustomerCombinedCleaned[[#This Row],[ID]], Table4[ID], Table4[Website], "Not Found", 0)</f>
        <v>7</v>
      </c>
      <c r="T796" s="16">
        <f>_xlfn.XLOOKUP(CustomerCombinedCleaned[[#This Row],[ID]], Table4[ID], Table4[Catalog], "Not Found", 0)</f>
        <v>3</v>
      </c>
      <c r="U796" s="16">
        <f>_xlfn.XLOOKUP(CustomerCombinedCleaned[[#This Row],[ID]], Table4[ID], Table4[Store], "Not Found", 0)</f>
        <v>4</v>
      </c>
      <c r="V796" s="16">
        <f>_xlfn.XLOOKUP(CustomerCombinedCleaned[[#This Row],[ID]], Table4[ID], Table4[Visits], "Not Found", 0)</f>
        <v>4</v>
      </c>
      <c r="W796" s="16">
        <f>_xlfn.XLOOKUP(CustomerCombinedCleaned[[#This Row],[ID]], Table2[ID],Table2[Complaint], "Not Found", 0 )</f>
        <v>0</v>
      </c>
      <c r="X796" s="16">
        <f>_xlfn.XLOOKUP(CustomerCombinedCleaned[[#This Row],[ID]], Table2[ID],Table2[Pilot], "Not Found", 0 )</f>
        <v>0</v>
      </c>
      <c r="Y796" s="16">
        <f>_xlfn.XLOOKUP(CustomerCombinedCleaned[[#This Row],[ID]], Table2[ID],Table2[MC1], "Not Found", 0 )</f>
        <v>0</v>
      </c>
      <c r="Z796" s="16">
        <f>_xlfn.XLOOKUP(CustomerCombinedCleaned[[#This Row],[ID]], Table2[ID],Table2[MC2], "Not Found", 0 )</f>
        <v>0</v>
      </c>
      <c r="AA796" s="16">
        <f>_xlfn.XLOOKUP(CustomerCombinedCleaned[[#This Row],[ID]], Table2[ID],Table2[MC3], "Not Found", 0 )</f>
        <v>0</v>
      </c>
      <c r="AB796" s="16">
        <f>_xlfn.XLOOKUP(CustomerCombinedCleaned[[#This Row],[ID]], Table2[ID],Table2[MC4], "Not Found", 0 )</f>
        <v>0</v>
      </c>
      <c r="AC796" s="16">
        <f>_xlfn.XLOOKUP(CustomerCombinedCleaned[[#This Row],[ID]], Table2[ID],Table2[MC5], "Not Found", 0 )</f>
        <v>0</v>
      </c>
    </row>
    <row r="797" spans="1:29" x14ac:dyDescent="0.3">
      <c r="A797" s="18">
        <v>3059</v>
      </c>
      <c r="B797" s="16">
        <v>153367</v>
      </c>
      <c r="C797" s="16">
        <v>1</v>
      </c>
      <c r="D797" s="16">
        <v>1</v>
      </c>
      <c r="E797" s="16">
        <v>46</v>
      </c>
      <c r="F797" s="17" t="s">
        <v>5</v>
      </c>
      <c r="G797" s="17" t="s">
        <v>12</v>
      </c>
      <c r="H797" s="3" t="s">
        <v>651</v>
      </c>
      <c r="I797" s="5" t="s">
        <v>434</v>
      </c>
      <c r="J797" s="16">
        <f>_xlfn.XLOOKUP(CustomerCombinedCleaned[[#This Row],[ID]], Table4[ID], Table4[Recency], "Not Found", 0)</f>
        <v>2</v>
      </c>
      <c r="K797" s="16">
        <f>_xlfn.XLOOKUP(CustomerCombinedCleaned[[#This Row],[ID]], Table4[ID], Table4[Teas], "Not Found", 0)</f>
        <v>658</v>
      </c>
      <c r="L797" s="16">
        <f>_xlfn.XLOOKUP(CustomerCombinedCleaned[[#This Row],[ID]], Table4[ID], Table4[Fruits], "Not Found", 0)</f>
        <v>20</v>
      </c>
      <c r="M797" s="16">
        <f>_xlfn.XLOOKUP(CustomerCombinedCleaned[[#This Row],[ID]], Table4[ID], Table4[Meats], "Not Found", 0)</f>
        <v>402</v>
      </c>
      <c r="N797" s="16">
        <f>_xlfn.XLOOKUP(CustomerCombinedCleaned[[#This Row],[ID]], Table4[ID], Table4[Seafood], "Not Found", 0)</f>
        <v>29</v>
      </c>
      <c r="O797" s="16">
        <f>_xlfn.XLOOKUP(CustomerCombinedCleaned[[#This Row],[ID]], Table4[ID], Table4[Sweets], "Not Found", 0)</f>
        <v>9</v>
      </c>
      <c r="P797" s="16">
        <f>_xlfn.XLOOKUP(CustomerCombinedCleaned[[#This Row],[ID]], Table4[ID], Table4[Premium], "Not Found", 0)</f>
        <v>32</v>
      </c>
      <c r="Q797" s="16">
        <f>_xlfn.XLOOKUP(CustomerCombinedCleaned[[#This Row],[ID]], Table4[ID], Table4[Regular], "Not Found", 0)</f>
        <v>1086</v>
      </c>
      <c r="R797" s="16">
        <f>_xlfn.XLOOKUP(CustomerCombinedCleaned[[#This Row],[ID]], Table4[ID], Table4[Deals], "Not Found", 0)</f>
        <v>7</v>
      </c>
      <c r="S797" s="16">
        <f>_xlfn.XLOOKUP(CustomerCombinedCleaned[[#This Row],[ID]], Table4[ID], Table4[Website], "Not Found", 0)</f>
        <v>5</v>
      </c>
      <c r="T797" s="16">
        <f>_xlfn.XLOOKUP(CustomerCombinedCleaned[[#This Row],[ID]], Table4[ID], Table4[Catalog], "Not Found", 0)</f>
        <v>1</v>
      </c>
      <c r="U797" s="16">
        <f>_xlfn.XLOOKUP(CustomerCombinedCleaned[[#This Row],[ID]], Table4[ID], Table4[Store], "Not Found", 0)</f>
        <v>8</v>
      </c>
      <c r="V797" s="16">
        <f>_xlfn.XLOOKUP(CustomerCombinedCleaned[[#This Row],[ID]], Table4[ID], Table4[Visits], "Not Found", 0)</f>
        <v>7</v>
      </c>
      <c r="W797" s="16">
        <f>_xlfn.XLOOKUP(CustomerCombinedCleaned[[#This Row],[ID]], Table2[ID],Table2[Complaint], "Not Found", 0 )</f>
        <v>0</v>
      </c>
      <c r="X797" s="16">
        <f>_xlfn.XLOOKUP(CustomerCombinedCleaned[[#This Row],[ID]], Table2[ID],Table2[Pilot], "Not Found", 0 )</f>
        <v>1</v>
      </c>
      <c r="Y797" s="16">
        <f>_xlfn.XLOOKUP(CustomerCombinedCleaned[[#This Row],[ID]], Table2[ID],Table2[MC1], "Not Found", 0 )</f>
        <v>0</v>
      </c>
      <c r="Z797" s="16">
        <f>_xlfn.XLOOKUP(CustomerCombinedCleaned[[#This Row],[ID]], Table2[ID],Table2[MC2], "Not Found", 0 )</f>
        <v>0</v>
      </c>
      <c r="AA797" s="16">
        <f>_xlfn.XLOOKUP(CustomerCombinedCleaned[[#This Row],[ID]], Table2[ID],Table2[MC3], "Not Found", 0 )</f>
        <v>0</v>
      </c>
      <c r="AB797" s="16">
        <f>_xlfn.XLOOKUP(CustomerCombinedCleaned[[#This Row],[ID]], Table2[ID],Table2[MC4], "Not Found", 0 )</f>
        <v>0</v>
      </c>
      <c r="AC797" s="16">
        <f>_xlfn.XLOOKUP(CustomerCombinedCleaned[[#This Row],[ID]], Table2[ID],Table2[MC5], "Not Found", 0 )</f>
        <v>0</v>
      </c>
    </row>
    <row r="798" spans="1:29" x14ac:dyDescent="0.3">
      <c r="A798" s="18">
        <v>2342</v>
      </c>
      <c r="B798" s="16">
        <v>153034</v>
      </c>
      <c r="C798" s="16">
        <v>1</v>
      </c>
      <c r="D798" s="16">
        <v>1</v>
      </c>
      <c r="E798" s="16">
        <v>46</v>
      </c>
      <c r="F798" s="17" t="s">
        <v>5</v>
      </c>
      <c r="G798" s="17" t="s">
        <v>11</v>
      </c>
      <c r="H798" s="3" t="s">
        <v>741</v>
      </c>
      <c r="I798" s="5" t="s">
        <v>438</v>
      </c>
      <c r="J798" s="16">
        <f>_xlfn.XLOOKUP(CustomerCombinedCleaned[[#This Row],[ID]], Table4[ID], Table4[Recency], "Not Found", 0)</f>
        <v>30</v>
      </c>
      <c r="K798" s="16">
        <f>_xlfn.XLOOKUP(CustomerCombinedCleaned[[#This Row],[ID]], Table4[ID], Table4[Teas], "Not Found", 0)</f>
        <v>462</v>
      </c>
      <c r="L798" s="16">
        <f>_xlfn.XLOOKUP(CustomerCombinedCleaned[[#This Row],[ID]], Table4[ID], Table4[Fruits], "Not Found", 0)</f>
        <v>43</v>
      </c>
      <c r="M798" s="16">
        <f>_xlfn.XLOOKUP(CustomerCombinedCleaned[[#This Row],[ID]], Table4[ID], Table4[Meats], "Not Found", 0)</f>
        <v>566</v>
      </c>
      <c r="N798" s="16">
        <f>_xlfn.XLOOKUP(CustomerCombinedCleaned[[#This Row],[ID]], Table4[ID], Table4[Seafood], "Not Found", 0)</f>
        <v>43</v>
      </c>
      <c r="O798" s="16">
        <f>_xlfn.XLOOKUP(CustomerCombinedCleaned[[#This Row],[ID]], Table4[ID], Table4[Sweets], "Not Found", 0)</f>
        <v>32</v>
      </c>
      <c r="P798" s="16">
        <f>_xlfn.XLOOKUP(CustomerCombinedCleaned[[#This Row],[ID]], Table4[ID], Table4[Premium], "Not Found", 0)</f>
        <v>144</v>
      </c>
      <c r="Q798" s="16">
        <f>_xlfn.XLOOKUP(CustomerCombinedCleaned[[#This Row],[ID]], Table4[ID], Table4[Regular], "Not Found", 0)</f>
        <v>1001</v>
      </c>
      <c r="R798" s="16">
        <f>_xlfn.XLOOKUP(CustomerCombinedCleaned[[#This Row],[ID]], Table4[ID], Table4[Deals], "Not Found", 0)</f>
        <v>8</v>
      </c>
      <c r="S798" s="16">
        <f>_xlfn.XLOOKUP(CustomerCombinedCleaned[[#This Row],[ID]], Table4[ID], Table4[Website], "Not Found", 0)</f>
        <v>6</v>
      </c>
      <c r="T798" s="16">
        <f>_xlfn.XLOOKUP(CustomerCombinedCleaned[[#This Row],[ID]], Table4[ID], Table4[Catalog], "Not Found", 0)</f>
        <v>1</v>
      </c>
      <c r="U798" s="16">
        <f>_xlfn.XLOOKUP(CustomerCombinedCleaned[[#This Row],[ID]], Table4[ID], Table4[Store], "Not Found", 0)</f>
        <v>7</v>
      </c>
      <c r="V798" s="16">
        <f>_xlfn.XLOOKUP(CustomerCombinedCleaned[[#This Row],[ID]], Table4[ID], Table4[Visits], "Not Found", 0)</f>
        <v>8</v>
      </c>
      <c r="W798" s="16">
        <f>_xlfn.XLOOKUP(CustomerCombinedCleaned[[#This Row],[ID]], Table2[ID],Table2[Complaint], "Not Found", 0 )</f>
        <v>0</v>
      </c>
      <c r="X798" s="16">
        <f>_xlfn.XLOOKUP(CustomerCombinedCleaned[[#This Row],[ID]], Table2[ID],Table2[Pilot], "Not Found", 0 )</f>
        <v>0</v>
      </c>
      <c r="Y798" s="16">
        <f>_xlfn.XLOOKUP(CustomerCombinedCleaned[[#This Row],[ID]], Table2[ID],Table2[MC1], "Not Found", 0 )</f>
        <v>0</v>
      </c>
      <c r="Z798" s="16">
        <f>_xlfn.XLOOKUP(CustomerCombinedCleaned[[#This Row],[ID]], Table2[ID],Table2[MC2], "Not Found", 0 )</f>
        <v>0</v>
      </c>
      <c r="AA798" s="16">
        <f>_xlfn.XLOOKUP(CustomerCombinedCleaned[[#This Row],[ID]], Table2[ID],Table2[MC3], "Not Found", 0 )</f>
        <v>0</v>
      </c>
      <c r="AB798" s="16">
        <f>_xlfn.XLOOKUP(CustomerCombinedCleaned[[#This Row],[ID]], Table2[ID],Table2[MC4], "Not Found", 0 )</f>
        <v>0</v>
      </c>
      <c r="AC798" s="16">
        <f>_xlfn.XLOOKUP(CustomerCombinedCleaned[[#This Row],[ID]], Table2[ID],Table2[MC5], "Not Found", 0 )</f>
        <v>0</v>
      </c>
    </row>
    <row r="799" spans="1:29" x14ac:dyDescent="0.3">
      <c r="A799" s="18">
        <v>2116</v>
      </c>
      <c r="B799" s="16">
        <v>149669</v>
      </c>
      <c r="C799" s="16">
        <v>1</v>
      </c>
      <c r="D799" s="16">
        <v>0</v>
      </c>
      <c r="E799" s="16">
        <v>46</v>
      </c>
      <c r="F799" s="17" t="s">
        <v>8</v>
      </c>
      <c r="G799" s="17" t="s">
        <v>11</v>
      </c>
      <c r="H799" s="3" t="s">
        <v>43</v>
      </c>
      <c r="I799" s="5" t="s">
        <v>439</v>
      </c>
      <c r="J799" s="16">
        <f>_xlfn.XLOOKUP(CustomerCombinedCleaned[[#This Row],[ID]], Table4[ID], Table4[Recency], "Not Found", 0)</f>
        <v>97</v>
      </c>
      <c r="K799" s="16">
        <f>_xlfn.XLOOKUP(CustomerCombinedCleaned[[#This Row],[ID]], Table4[ID], Table4[Teas], "Not Found", 0)</f>
        <v>500</v>
      </c>
      <c r="L799" s="16">
        <f>_xlfn.XLOOKUP(CustomerCombinedCleaned[[#This Row],[ID]], Table4[ID], Table4[Fruits], "Not Found", 0)</f>
        <v>15</v>
      </c>
      <c r="M799" s="16">
        <f>_xlfn.XLOOKUP(CustomerCombinedCleaned[[#This Row],[ID]], Table4[ID], Table4[Meats], "Not Found", 0)</f>
        <v>322</v>
      </c>
      <c r="N799" s="16">
        <f>_xlfn.XLOOKUP(CustomerCombinedCleaned[[#This Row],[ID]], Table4[ID], Table4[Seafood], "Not Found", 0)</f>
        <v>33</v>
      </c>
      <c r="O799" s="16">
        <f>_xlfn.XLOOKUP(CustomerCombinedCleaned[[#This Row],[ID]], Table4[ID], Table4[Sweets], "Not Found", 0)</f>
        <v>24</v>
      </c>
      <c r="P799" s="16">
        <f>_xlfn.XLOOKUP(CustomerCombinedCleaned[[#This Row],[ID]], Table4[ID], Table4[Premium], "Not Found", 0)</f>
        <v>87</v>
      </c>
      <c r="Q799" s="16">
        <f>_xlfn.XLOOKUP(CustomerCombinedCleaned[[#This Row],[ID]], Table4[ID], Table4[Regular], "Not Found", 0)</f>
        <v>808</v>
      </c>
      <c r="R799" s="16">
        <f>_xlfn.XLOOKUP(CustomerCombinedCleaned[[#This Row],[ID]], Table4[ID], Table4[Deals], "Not Found", 0)</f>
        <v>2</v>
      </c>
      <c r="S799" s="16">
        <f>_xlfn.XLOOKUP(CustomerCombinedCleaned[[#This Row],[ID]], Table4[ID], Table4[Website], "Not Found", 0)</f>
        <v>5</v>
      </c>
      <c r="T799" s="16">
        <f>_xlfn.XLOOKUP(CustomerCombinedCleaned[[#This Row],[ID]], Table4[ID], Table4[Catalog], "Not Found", 0)</f>
        <v>1</v>
      </c>
      <c r="U799" s="16">
        <f>_xlfn.XLOOKUP(CustomerCombinedCleaned[[#This Row],[ID]], Table4[ID], Table4[Store], "Not Found", 0)</f>
        <v>6</v>
      </c>
      <c r="V799" s="16">
        <f>_xlfn.XLOOKUP(CustomerCombinedCleaned[[#This Row],[ID]], Table4[ID], Table4[Visits], "Not Found", 0)</f>
        <v>6</v>
      </c>
      <c r="W799" s="16">
        <f>_xlfn.XLOOKUP(CustomerCombinedCleaned[[#This Row],[ID]], Table2[ID],Table2[Complaint], "Not Found", 0 )</f>
        <v>0</v>
      </c>
      <c r="X799" s="16">
        <f>_xlfn.XLOOKUP(CustomerCombinedCleaned[[#This Row],[ID]], Table2[ID],Table2[Pilot], "Not Found", 0 )</f>
        <v>0</v>
      </c>
      <c r="Y799" s="16">
        <f>_xlfn.XLOOKUP(CustomerCombinedCleaned[[#This Row],[ID]], Table2[ID],Table2[MC1], "Not Found", 0 )</f>
        <v>0</v>
      </c>
      <c r="Z799" s="16">
        <f>_xlfn.XLOOKUP(CustomerCombinedCleaned[[#This Row],[ID]], Table2[ID],Table2[MC2], "Not Found", 0 )</f>
        <v>0</v>
      </c>
      <c r="AA799" s="16">
        <f>_xlfn.XLOOKUP(CustomerCombinedCleaned[[#This Row],[ID]], Table2[ID],Table2[MC3], "Not Found", 0 )</f>
        <v>0</v>
      </c>
      <c r="AB799" s="16">
        <f>_xlfn.XLOOKUP(CustomerCombinedCleaned[[#This Row],[ID]], Table2[ID],Table2[MC4], "Not Found", 0 )</f>
        <v>0</v>
      </c>
      <c r="AC799" s="16">
        <f>_xlfn.XLOOKUP(CustomerCombinedCleaned[[#This Row],[ID]], Table2[ID],Table2[MC5], "Not Found", 0 )</f>
        <v>0</v>
      </c>
    </row>
    <row r="800" spans="1:29" x14ac:dyDescent="0.3">
      <c r="A800" s="18">
        <v>1831</v>
      </c>
      <c r="B800" s="16">
        <v>149166</v>
      </c>
      <c r="C800" s="16">
        <v>0</v>
      </c>
      <c r="D800" s="16">
        <v>1</v>
      </c>
      <c r="E800" s="16">
        <v>46</v>
      </c>
      <c r="F800" s="17" t="s">
        <v>7</v>
      </c>
      <c r="G800" s="17" t="s">
        <v>11</v>
      </c>
      <c r="H800" s="3" t="s">
        <v>239</v>
      </c>
      <c r="I800" s="5" t="s">
        <v>437</v>
      </c>
      <c r="J800" s="16">
        <f>_xlfn.XLOOKUP(CustomerCombinedCleaned[[#This Row],[ID]], Table4[ID], Table4[Recency], "Not Found", 0)</f>
        <v>17</v>
      </c>
      <c r="K800" s="16">
        <f>_xlfn.XLOOKUP(CustomerCombinedCleaned[[#This Row],[ID]], Table4[ID], Table4[Teas], "Not Found", 0)</f>
        <v>680</v>
      </c>
      <c r="L800" s="16">
        <f>_xlfn.XLOOKUP(CustomerCombinedCleaned[[#This Row],[ID]], Table4[ID], Table4[Fruits], "Not Found", 0)</f>
        <v>6</v>
      </c>
      <c r="M800" s="16">
        <f>_xlfn.XLOOKUP(CustomerCombinedCleaned[[#This Row],[ID]], Table4[ID], Table4[Meats], "Not Found", 0)</f>
        <v>76</v>
      </c>
      <c r="N800" s="16">
        <f>_xlfn.XLOOKUP(CustomerCombinedCleaned[[#This Row],[ID]], Table4[ID], Table4[Seafood], "Not Found", 0)</f>
        <v>21</v>
      </c>
      <c r="O800" s="16">
        <f>_xlfn.XLOOKUP(CustomerCombinedCleaned[[#This Row],[ID]], Table4[ID], Table4[Sweets], "Not Found", 0)</f>
        <v>0</v>
      </c>
      <c r="P800" s="16">
        <f>_xlfn.XLOOKUP(CustomerCombinedCleaned[[#This Row],[ID]], Table4[ID], Table4[Premium], "Not Found", 0)</f>
        <v>334</v>
      </c>
      <c r="Q800" s="16">
        <f>_xlfn.XLOOKUP(CustomerCombinedCleaned[[#This Row],[ID]], Table4[ID], Table4[Regular], "Not Found", 0)</f>
        <v>449</v>
      </c>
      <c r="R800" s="16">
        <f>_xlfn.XLOOKUP(CustomerCombinedCleaned[[#This Row],[ID]], Table4[ID], Table4[Deals], "Not Found", 0)</f>
        <v>2</v>
      </c>
      <c r="S800" s="16">
        <f>_xlfn.XLOOKUP(CustomerCombinedCleaned[[#This Row],[ID]], Table4[ID], Table4[Website], "Not Found", 0)</f>
        <v>5</v>
      </c>
      <c r="T800" s="16">
        <f>_xlfn.XLOOKUP(CustomerCombinedCleaned[[#This Row],[ID]], Table4[ID], Table4[Catalog], "Not Found", 0)</f>
        <v>3</v>
      </c>
      <c r="U800" s="16">
        <f>_xlfn.XLOOKUP(CustomerCombinedCleaned[[#This Row],[ID]], Table4[ID], Table4[Store], "Not Found", 0)</f>
        <v>3</v>
      </c>
      <c r="V800" s="16">
        <f>_xlfn.XLOOKUP(CustomerCombinedCleaned[[#This Row],[ID]], Table4[ID], Table4[Visits], "Not Found", 0)</f>
        <v>6</v>
      </c>
      <c r="W800" s="16">
        <f>_xlfn.XLOOKUP(CustomerCombinedCleaned[[#This Row],[ID]], Table2[ID],Table2[Complaint], "Not Found", 0 )</f>
        <v>0</v>
      </c>
      <c r="X800" s="16">
        <f>_xlfn.XLOOKUP(CustomerCombinedCleaned[[#This Row],[ID]], Table2[ID],Table2[Pilot], "Not Found", 0 )</f>
        <v>0</v>
      </c>
      <c r="Y800" s="16">
        <f>_xlfn.XLOOKUP(CustomerCombinedCleaned[[#This Row],[ID]], Table2[ID],Table2[MC1], "Not Found", 0 )</f>
        <v>0</v>
      </c>
      <c r="Z800" s="16">
        <f>_xlfn.XLOOKUP(CustomerCombinedCleaned[[#This Row],[ID]], Table2[ID],Table2[MC2], "Not Found", 0 )</f>
        <v>0</v>
      </c>
      <c r="AA800" s="16">
        <f>_xlfn.XLOOKUP(CustomerCombinedCleaned[[#This Row],[ID]], Table2[ID],Table2[MC3], "Not Found", 0 )</f>
        <v>0</v>
      </c>
      <c r="AB800" s="16">
        <f>_xlfn.XLOOKUP(CustomerCombinedCleaned[[#This Row],[ID]], Table2[ID],Table2[MC4], "Not Found", 0 )</f>
        <v>0</v>
      </c>
      <c r="AC800" s="16">
        <f>_xlfn.XLOOKUP(CustomerCombinedCleaned[[#This Row],[ID]], Table2[ID],Table2[MC5], "Not Found", 0 )</f>
        <v>0</v>
      </c>
    </row>
    <row r="801" spans="1:29" x14ac:dyDescent="0.3">
      <c r="A801" s="18">
        <v>2808</v>
      </c>
      <c r="B801" s="16">
        <v>148186</v>
      </c>
      <c r="C801" s="16">
        <v>1</v>
      </c>
      <c r="D801" s="16">
        <v>0</v>
      </c>
      <c r="E801" s="16">
        <v>46</v>
      </c>
      <c r="F801" s="17" t="s">
        <v>8</v>
      </c>
      <c r="G801" s="17" t="s">
        <v>11</v>
      </c>
      <c r="H801" s="3" t="s">
        <v>81</v>
      </c>
      <c r="I801" s="5" t="s">
        <v>436</v>
      </c>
      <c r="J801" s="16">
        <f>_xlfn.XLOOKUP(CustomerCombinedCleaned[[#This Row],[ID]], Table4[ID], Table4[Recency], "Not Found", 0)</f>
        <v>39</v>
      </c>
      <c r="K801" s="16">
        <f>_xlfn.XLOOKUP(CustomerCombinedCleaned[[#This Row],[ID]], Table4[ID], Table4[Teas], "Not Found", 0)</f>
        <v>298</v>
      </c>
      <c r="L801" s="16">
        <f>_xlfn.XLOOKUP(CustomerCombinedCleaned[[#This Row],[ID]], Table4[ID], Table4[Fruits], "Not Found", 0)</f>
        <v>9</v>
      </c>
      <c r="M801" s="16">
        <f>_xlfn.XLOOKUP(CustomerCombinedCleaned[[#This Row],[ID]], Table4[ID], Table4[Meats], "Not Found", 0)</f>
        <v>203</v>
      </c>
      <c r="N801" s="16">
        <f>_xlfn.XLOOKUP(CustomerCombinedCleaned[[#This Row],[ID]], Table4[ID], Table4[Seafood], "Not Found", 0)</f>
        <v>37</v>
      </c>
      <c r="O801" s="16">
        <f>_xlfn.XLOOKUP(CustomerCombinedCleaned[[#This Row],[ID]], Table4[ID], Table4[Sweets], "Not Found", 0)</f>
        <v>22</v>
      </c>
      <c r="P801" s="16">
        <f>_xlfn.XLOOKUP(CustomerCombinedCleaned[[#This Row],[ID]], Table4[ID], Table4[Premium], "Not Found", 0)</f>
        <v>105</v>
      </c>
      <c r="Q801" s="16">
        <f>_xlfn.XLOOKUP(CustomerCombinedCleaned[[#This Row],[ID]], Table4[ID], Table4[Regular], "Not Found", 0)</f>
        <v>464</v>
      </c>
      <c r="R801" s="16">
        <f>_xlfn.XLOOKUP(CustomerCombinedCleaned[[#This Row],[ID]], Table4[ID], Table4[Deals], "Not Found", 0)</f>
        <v>3</v>
      </c>
      <c r="S801" s="16">
        <f>_xlfn.XLOOKUP(CustomerCombinedCleaned[[#This Row],[ID]], Table4[ID], Table4[Website], "Not Found", 0)</f>
        <v>4</v>
      </c>
      <c r="T801" s="16">
        <f>_xlfn.XLOOKUP(CustomerCombinedCleaned[[#This Row],[ID]], Table4[ID], Table4[Catalog], "Not Found", 0)</f>
        <v>1</v>
      </c>
      <c r="U801" s="16">
        <f>_xlfn.XLOOKUP(CustomerCombinedCleaned[[#This Row],[ID]], Table4[ID], Table4[Store], "Not Found", 0)</f>
        <v>4</v>
      </c>
      <c r="V801" s="16">
        <f>_xlfn.XLOOKUP(CustomerCombinedCleaned[[#This Row],[ID]], Table4[ID], Table4[Visits], "Not Found", 0)</f>
        <v>7</v>
      </c>
      <c r="W801" s="16">
        <f>_xlfn.XLOOKUP(CustomerCombinedCleaned[[#This Row],[ID]], Table2[ID],Table2[Complaint], "Not Found", 0 )</f>
        <v>0</v>
      </c>
      <c r="X801" s="16">
        <f>_xlfn.XLOOKUP(CustomerCombinedCleaned[[#This Row],[ID]], Table2[ID],Table2[Pilot], "Not Found", 0 )</f>
        <v>0</v>
      </c>
      <c r="Y801" s="16">
        <f>_xlfn.XLOOKUP(CustomerCombinedCleaned[[#This Row],[ID]], Table2[ID],Table2[MC1], "Not Found", 0 )</f>
        <v>0</v>
      </c>
      <c r="Z801" s="16">
        <f>_xlfn.XLOOKUP(CustomerCombinedCleaned[[#This Row],[ID]], Table2[ID],Table2[MC2], "Not Found", 0 )</f>
        <v>0</v>
      </c>
      <c r="AA801" s="16">
        <f>_xlfn.XLOOKUP(CustomerCombinedCleaned[[#This Row],[ID]], Table2[ID],Table2[MC3], "Not Found", 0 )</f>
        <v>0</v>
      </c>
      <c r="AB801" s="16">
        <f>_xlfn.XLOOKUP(CustomerCombinedCleaned[[#This Row],[ID]], Table2[ID],Table2[MC4], "Not Found", 0 )</f>
        <v>0</v>
      </c>
      <c r="AC801" s="16">
        <f>_xlfn.XLOOKUP(CustomerCombinedCleaned[[#This Row],[ID]], Table2[ID],Table2[MC5], "Not Found", 0 )</f>
        <v>0</v>
      </c>
    </row>
    <row r="802" spans="1:29" x14ac:dyDescent="0.3">
      <c r="A802" s="18">
        <v>1889</v>
      </c>
      <c r="B802" s="16">
        <v>147889</v>
      </c>
      <c r="C802" s="16">
        <v>1</v>
      </c>
      <c r="D802" s="16">
        <v>0</v>
      </c>
      <c r="E802" s="16">
        <v>46</v>
      </c>
      <c r="F802" s="17" t="s">
        <v>8</v>
      </c>
      <c r="G802" s="17" t="s">
        <v>11</v>
      </c>
      <c r="H802" s="3" t="s">
        <v>716</v>
      </c>
      <c r="I802" s="5" t="s">
        <v>434</v>
      </c>
      <c r="J802" s="16">
        <f>_xlfn.XLOOKUP(CustomerCombinedCleaned[[#This Row],[ID]], Table4[ID], Table4[Recency], "Not Found", 0)</f>
        <v>94</v>
      </c>
      <c r="K802" s="16">
        <f>_xlfn.XLOOKUP(CustomerCombinedCleaned[[#This Row],[ID]], Table4[ID], Table4[Teas], "Not Found", 0)</f>
        <v>90</v>
      </c>
      <c r="L802" s="16">
        <f>_xlfn.XLOOKUP(CustomerCombinedCleaned[[#This Row],[ID]], Table4[ID], Table4[Fruits], "Not Found", 0)</f>
        <v>0</v>
      </c>
      <c r="M802" s="16">
        <f>_xlfn.XLOOKUP(CustomerCombinedCleaned[[#This Row],[ID]], Table4[ID], Table4[Meats], "Not Found", 0)</f>
        <v>90</v>
      </c>
      <c r="N802" s="16">
        <f>_xlfn.XLOOKUP(CustomerCombinedCleaned[[#This Row],[ID]], Table4[ID], Table4[Seafood], "Not Found", 0)</f>
        <v>0</v>
      </c>
      <c r="O802" s="16">
        <f>_xlfn.XLOOKUP(CustomerCombinedCleaned[[#This Row],[ID]], Table4[ID], Table4[Sweets], "Not Found", 0)</f>
        <v>15</v>
      </c>
      <c r="P802" s="16">
        <f>_xlfn.XLOOKUP(CustomerCombinedCleaned[[#This Row],[ID]], Table4[ID], Table4[Premium], "Not Found", 0)</f>
        <v>12</v>
      </c>
      <c r="Q802" s="16">
        <f>_xlfn.XLOOKUP(CustomerCombinedCleaned[[#This Row],[ID]], Table4[ID], Table4[Regular], "Not Found", 0)</f>
        <v>182</v>
      </c>
      <c r="R802" s="16">
        <f>_xlfn.XLOOKUP(CustomerCombinedCleaned[[#This Row],[ID]], Table4[ID], Table4[Deals], "Not Found", 0)</f>
        <v>1</v>
      </c>
      <c r="S802" s="16">
        <f>_xlfn.XLOOKUP(CustomerCombinedCleaned[[#This Row],[ID]], Table4[ID], Table4[Website], "Not Found", 0)</f>
        <v>2</v>
      </c>
      <c r="T802" s="16">
        <f>_xlfn.XLOOKUP(CustomerCombinedCleaned[[#This Row],[ID]], Table4[ID], Table4[Catalog], "Not Found", 0)</f>
        <v>0</v>
      </c>
      <c r="U802" s="16">
        <f>_xlfn.XLOOKUP(CustomerCombinedCleaned[[#This Row],[ID]], Table4[ID], Table4[Store], "Not Found", 0)</f>
        <v>3</v>
      </c>
      <c r="V802" s="16">
        <f>_xlfn.XLOOKUP(CustomerCombinedCleaned[[#This Row],[ID]], Table4[ID], Table4[Visits], "Not Found", 0)</f>
        <v>5</v>
      </c>
      <c r="W802" s="16">
        <f>_xlfn.XLOOKUP(CustomerCombinedCleaned[[#This Row],[ID]], Table2[ID],Table2[Complaint], "Not Found", 0 )</f>
        <v>0</v>
      </c>
      <c r="X802" s="16">
        <f>_xlfn.XLOOKUP(CustomerCombinedCleaned[[#This Row],[ID]], Table2[ID],Table2[Pilot], "Not Found", 0 )</f>
        <v>0</v>
      </c>
      <c r="Y802" s="16">
        <f>_xlfn.XLOOKUP(CustomerCombinedCleaned[[#This Row],[ID]], Table2[ID],Table2[MC1], "Not Found", 0 )</f>
        <v>0</v>
      </c>
      <c r="Z802" s="16">
        <f>_xlfn.XLOOKUP(CustomerCombinedCleaned[[#This Row],[ID]], Table2[ID],Table2[MC2], "Not Found", 0 )</f>
        <v>0</v>
      </c>
      <c r="AA802" s="16">
        <f>_xlfn.XLOOKUP(CustomerCombinedCleaned[[#This Row],[ID]], Table2[ID],Table2[MC3], "Not Found", 0 )</f>
        <v>0</v>
      </c>
      <c r="AB802" s="16">
        <f>_xlfn.XLOOKUP(CustomerCombinedCleaned[[#This Row],[ID]], Table2[ID],Table2[MC4], "Not Found", 0 )</f>
        <v>0</v>
      </c>
      <c r="AC802" s="16">
        <f>_xlfn.XLOOKUP(CustomerCombinedCleaned[[#This Row],[ID]], Table2[ID],Table2[MC5], "Not Found", 0 )</f>
        <v>0</v>
      </c>
    </row>
    <row r="803" spans="1:29" x14ac:dyDescent="0.3">
      <c r="A803" s="18">
        <v>1835</v>
      </c>
      <c r="B803" s="16">
        <v>146374</v>
      </c>
      <c r="C803" s="16">
        <v>0</v>
      </c>
      <c r="D803" s="16">
        <v>1</v>
      </c>
      <c r="E803" s="16">
        <v>46</v>
      </c>
      <c r="F803" s="17" t="s">
        <v>6</v>
      </c>
      <c r="G803" s="17" t="s">
        <v>13</v>
      </c>
      <c r="H803" s="3" t="s">
        <v>84</v>
      </c>
      <c r="I803" s="5" t="s">
        <v>434</v>
      </c>
      <c r="J803" s="16">
        <f>_xlfn.XLOOKUP(CustomerCombinedCleaned[[#This Row],[ID]], Table4[ID], Table4[Recency], "Not Found", 0)</f>
        <v>1</v>
      </c>
      <c r="K803" s="16">
        <f>_xlfn.XLOOKUP(CustomerCombinedCleaned[[#This Row],[ID]], Table4[ID], Table4[Teas], "Not Found", 0)</f>
        <v>1288</v>
      </c>
      <c r="L803" s="16">
        <f>_xlfn.XLOOKUP(CustomerCombinedCleaned[[#This Row],[ID]], Table4[ID], Table4[Fruits], "Not Found", 0)</f>
        <v>0</v>
      </c>
      <c r="M803" s="16">
        <f>_xlfn.XLOOKUP(CustomerCombinedCleaned[[#This Row],[ID]], Table4[ID], Table4[Meats], "Not Found", 0)</f>
        <v>66</v>
      </c>
      <c r="N803" s="16">
        <f>_xlfn.XLOOKUP(CustomerCombinedCleaned[[#This Row],[ID]], Table4[ID], Table4[Seafood], "Not Found", 0)</f>
        <v>0</v>
      </c>
      <c r="O803" s="16">
        <f>_xlfn.XLOOKUP(CustomerCombinedCleaned[[#This Row],[ID]], Table4[ID], Table4[Sweets], "Not Found", 0)</f>
        <v>0</v>
      </c>
      <c r="P803" s="16">
        <f>_xlfn.XLOOKUP(CustomerCombinedCleaned[[#This Row],[ID]], Table4[ID], Table4[Premium], "Not Found", 0)</f>
        <v>54</v>
      </c>
      <c r="Q803" s="16">
        <f>_xlfn.XLOOKUP(CustomerCombinedCleaned[[#This Row],[ID]], Table4[ID], Table4[Regular], "Not Found", 0)</f>
        <v>1300</v>
      </c>
      <c r="R803" s="16">
        <f>_xlfn.XLOOKUP(CustomerCombinedCleaned[[#This Row],[ID]], Table4[ID], Table4[Deals], "Not Found", 0)</f>
        <v>3</v>
      </c>
      <c r="S803" s="16">
        <f>_xlfn.XLOOKUP(CustomerCombinedCleaned[[#This Row],[ID]], Table4[ID], Table4[Website], "Not Found", 0)</f>
        <v>7</v>
      </c>
      <c r="T803" s="16">
        <f>_xlfn.XLOOKUP(CustomerCombinedCleaned[[#This Row],[ID]], Table4[ID], Table4[Catalog], "Not Found", 0)</f>
        <v>1</v>
      </c>
      <c r="U803" s="16">
        <f>_xlfn.XLOOKUP(CustomerCombinedCleaned[[#This Row],[ID]], Table4[ID], Table4[Store], "Not Found", 0)</f>
        <v>7</v>
      </c>
      <c r="V803" s="16">
        <f>_xlfn.XLOOKUP(CustomerCombinedCleaned[[#This Row],[ID]], Table4[ID], Table4[Visits], "Not Found", 0)</f>
        <v>8</v>
      </c>
      <c r="W803" s="16">
        <f>_xlfn.XLOOKUP(CustomerCombinedCleaned[[#This Row],[ID]], Table2[ID],Table2[Complaint], "Not Found", 0 )</f>
        <v>0</v>
      </c>
      <c r="X803" s="16">
        <f>_xlfn.XLOOKUP(CustomerCombinedCleaned[[#This Row],[ID]], Table2[ID],Table2[Pilot], "Not Found", 0 )</f>
        <v>1</v>
      </c>
      <c r="Y803" s="16">
        <f>_xlfn.XLOOKUP(CustomerCombinedCleaned[[#This Row],[ID]], Table2[ID],Table2[MC1], "Not Found", 0 )</f>
        <v>1</v>
      </c>
      <c r="Z803" s="16">
        <f>_xlfn.XLOOKUP(CustomerCombinedCleaned[[#This Row],[ID]], Table2[ID],Table2[MC2], "Not Found", 0 )</f>
        <v>0</v>
      </c>
      <c r="AA803" s="16">
        <f>_xlfn.XLOOKUP(CustomerCombinedCleaned[[#This Row],[ID]], Table2[ID],Table2[MC3], "Not Found", 0 )</f>
        <v>0</v>
      </c>
      <c r="AB803" s="16">
        <f>_xlfn.XLOOKUP(CustomerCombinedCleaned[[#This Row],[ID]], Table2[ID],Table2[MC4], "Not Found", 0 )</f>
        <v>1</v>
      </c>
      <c r="AC803" s="16">
        <f>_xlfn.XLOOKUP(CustomerCombinedCleaned[[#This Row],[ID]], Table2[ID],Table2[MC5], "Not Found", 0 )</f>
        <v>0</v>
      </c>
    </row>
    <row r="804" spans="1:29" x14ac:dyDescent="0.3">
      <c r="A804" s="18">
        <v>1201</v>
      </c>
      <c r="B804" s="16">
        <v>146014</v>
      </c>
      <c r="C804" s="16">
        <v>1</v>
      </c>
      <c r="D804" s="16">
        <v>1</v>
      </c>
      <c r="E804" s="16">
        <v>46</v>
      </c>
      <c r="F804" s="17" t="s">
        <v>8</v>
      </c>
      <c r="G804" s="17" t="s">
        <v>12</v>
      </c>
      <c r="H804" s="3" t="s">
        <v>320</v>
      </c>
      <c r="I804" s="5" t="s">
        <v>437</v>
      </c>
      <c r="J804" s="16">
        <f>_xlfn.XLOOKUP(CustomerCombinedCleaned[[#This Row],[ID]], Table4[ID], Table4[Recency], "Not Found", 0)</f>
        <v>21</v>
      </c>
      <c r="K804" s="16">
        <f>_xlfn.XLOOKUP(CustomerCombinedCleaned[[#This Row],[ID]], Table4[ID], Table4[Teas], "Not Found", 0)</f>
        <v>1301</v>
      </c>
      <c r="L804" s="16">
        <f>_xlfn.XLOOKUP(CustomerCombinedCleaned[[#This Row],[ID]], Table4[ID], Table4[Fruits], "Not Found", 0)</f>
        <v>0</v>
      </c>
      <c r="M804" s="16">
        <f>_xlfn.XLOOKUP(CustomerCombinedCleaned[[#This Row],[ID]], Table4[ID], Table4[Meats], "Not Found", 0)</f>
        <v>187</v>
      </c>
      <c r="N804" s="16">
        <f>_xlfn.XLOOKUP(CustomerCombinedCleaned[[#This Row],[ID]], Table4[ID], Table4[Seafood], "Not Found", 0)</f>
        <v>60</v>
      </c>
      <c r="O804" s="16">
        <f>_xlfn.XLOOKUP(CustomerCombinedCleaned[[#This Row],[ID]], Table4[ID], Table4[Sweets], "Not Found", 0)</f>
        <v>29</v>
      </c>
      <c r="P804" s="16">
        <f>_xlfn.XLOOKUP(CustomerCombinedCleaned[[#This Row],[ID]], Table4[ID], Table4[Premium], "Not Found", 0)</f>
        <v>140</v>
      </c>
      <c r="Q804" s="16">
        <f>_xlfn.XLOOKUP(CustomerCombinedCleaned[[#This Row],[ID]], Table4[ID], Table4[Regular], "Not Found", 0)</f>
        <v>1437</v>
      </c>
      <c r="R804" s="16">
        <f>_xlfn.XLOOKUP(CustomerCombinedCleaned[[#This Row],[ID]], Table4[ID], Table4[Deals], "Not Found", 0)</f>
        <v>10</v>
      </c>
      <c r="S804" s="16">
        <f>_xlfn.XLOOKUP(CustomerCombinedCleaned[[#This Row],[ID]], Table4[ID], Table4[Website], "Not Found", 0)</f>
        <v>7</v>
      </c>
      <c r="T804" s="16">
        <f>_xlfn.XLOOKUP(CustomerCombinedCleaned[[#This Row],[ID]], Table4[ID], Table4[Catalog], "Not Found", 0)</f>
        <v>1</v>
      </c>
      <c r="U804" s="16">
        <f>_xlfn.XLOOKUP(CustomerCombinedCleaned[[#This Row],[ID]], Table4[ID], Table4[Store], "Not Found", 0)</f>
        <v>8</v>
      </c>
      <c r="V804" s="16">
        <f>_xlfn.XLOOKUP(CustomerCombinedCleaned[[#This Row],[ID]], Table4[ID], Table4[Visits], "Not Found", 0)</f>
        <v>7</v>
      </c>
      <c r="W804" s="16">
        <f>_xlfn.XLOOKUP(CustomerCombinedCleaned[[#This Row],[ID]], Table2[ID],Table2[Complaint], "Not Found", 0 )</f>
        <v>0</v>
      </c>
      <c r="X804" s="16">
        <f>_xlfn.XLOOKUP(CustomerCombinedCleaned[[#This Row],[ID]], Table2[ID],Table2[Pilot], "Not Found", 0 )</f>
        <v>0</v>
      </c>
      <c r="Y804" s="16">
        <f>_xlfn.XLOOKUP(CustomerCombinedCleaned[[#This Row],[ID]], Table2[ID],Table2[MC1], "Not Found", 0 )</f>
        <v>0</v>
      </c>
      <c r="Z804" s="16">
        <f>_xlfn.XLOOKUP(CustomerCombinedCleaned[[#This Row],[ID]], Table2[ID],Table2[MC2], "Not Found", 0 )</f>
        <v>0</v>
      </c>
      <c r="AA804" s="16">
        <f>_xlfn.XLOOKUP(CustomerCombinedCleaned[[#This Row],[ID]], Table2[ID],Table2[MC3], "Not Found", 0 )</f>
        <v>0</v>
      </c>
      <c r="AB804" s="16">
        <f>_xlfn.XLOOKUP(CustomerCombinedCleaned[[#This Row],[ID]], Table2[ID],Table2[MC4], "Not Found", 0 )</f>
        <v>0</v>
      </c>
      <c r="AC804" s="16">
        <f>_xlfn.XLOOKUP(CustomerCombinedCleaned[[#This Row],[ID]], Table2[ID],Table2[MC5], "Not Found", 0 )</f>
        <v>0</v>
      </c>
    </row>
    <row r="805" spans="1:29" x14ac:dyDescent="0.3">
      <c r="A805" s="18">
        <v>2170</v>
      </c>
      <c r="B805" s="16">
        <v>145894</v>
      </c>
      <c r="C805" s="16">
        <v>0</v>
      </c>
      <c r="D805" s="16">
        <v>2</v>
      </c>
      <c r="E805" s="16">
        <v>46</v>
      </c>
      <c r="F805" s="17" t="s">
        <v>6</v>
      </c>
      <c r="G805" s="17" t="s">
        <v>11</v>
      </c>
      <c r="H805" s="3" t="s">
        <v>762</v>
      </c>
      <c r="I805" s="5" t="s">
        <v>439</v>
      </c>
      <c r="J805" s="16">
        <f>_xlfn.XLOOKUP(CustomerCombinedCleaned[[#This Row],[ID]], Table4[ID], Table4[Recency], "Not Found", 0)</f>
        <v>15</v>
      </c>
      <c r="K805" s="16">
        <f>_xlfn.XLOOKUP(CustomerCombinedCleaned[[#This Row],[ID]], Table4[ID], Table4[Teas], "Not Found", 0)</f>
        <v>86</v>
      </c>
      <c r="L805" s="16">
        <f>_xlfn.XLOOKUP(CustomerCombinedCleaned[[#This Row],[ID]], Table4[ID], Table4[Fruits], "Not Found", 0)</f>
        <v>6</v>
      </c>
      <c r="M805" s="16">
        <f>_xlfn.XLOOKUP(CustomerCombinedCleaned[[#This Row],[ID]], Table4[ID], Table4[Meats], "Not Found", 0)</f>
        <v>22</v>
      </c>
      <c r="N805" s="16">
        <f>_xlfn.XLOOKUP(CustomerCombinedCleaned[[#This Row],[ID]], Table4[ID], Table4[Seafood], "Not Found", 0)</f>
        <v>0</v>
      </c>
      <c r="O805" s="16">
        <f>_xlfn.XLOOKUP(CustomerCombinedCleaned[[#This Row],[ID]], Table4[ID], Table4[Sweets], "Not Found", 0)</f>
        <v>6</v>
      </c>
      <c r="P805" s="16">
        <f>_xlfn.XLOOKUP(CustomerCombinedCleaned[[#This Row],[ID]], Table4[ID], Table4[Premium], "Not Found", 0)</f>
        <v>41</v>
      </c>
      <c r="Q805" s="16">
        <f>_xlfn.XLOOKUP(CustomerCombinedCleaned[[#This Row],[ID]], Table4[ID], Table4[Regular], "Not Found", 0)</f>
        <v>79</v>
      </c>
      <c r="R805" s="16">
        <f>_xlfn.XLOOKUP(CustomerCombinedCleaned[[#This Row],[ID]], Table4[ID], Table4[Deals], "Not Found", 0)</f>
        <v>1</v>
      </c>
      <c r="S805" s="16">
        <f>_xlfn.XLOOKUP(CustomerCombinedCleaned[[#This Row],[ID]], Table4[ID], Table4[Website], "Not Found", 0)</f>
        <v>1</v>
      </c>
      <c r="T805" s="16">
        <f>_xlfn.XLOOKUP(CustomerCombinedCleaned[[#This Row],[ID]], Table4[ID], Table4[Catalog], "Not Found", 0)</f>
        <v>0</v>
      </c>
      <c r="U805" s="16">
        <f>_xlfn.XLOOKUP(CustomerCombinedCleaned[[#This Row],[ID]], Table4[ID], Table4[Store], "Not Found", 0)</f>
        <v>3</v>
      </c>
      <c r="V805" s="16">
        <f>_xlfn.XLOOKUP(CustomerCombinedCleaned[[#This Row],[ID]], Table4[ID], Table4[Visits], "Not Found", 0)</f>
        <v>5</v>
      </c>
      <c r="W805" s="16">
        <f>_xlfn.XLOOKUP(CustomerCombinedCleaned[[#This Row],[ID]], Table2[ID],Table2[Complaint], "Not Found", 0 )</f>
        <v>0</v>
      </c>
      <c r="X805" s="16">
        <f>_xlfn.XLOOKUP(CustomerCombinedCleaned[[#This Row],[ID]], Table2[ID],Table2[Pilot], "Not Found", 0 )</f>
        <v>0</v>
      </c>
      <c r="Y805" s="16">
        <f>_xlfn.XLOOKUP(CustomerCombinedCleaned[[#This Row],[ID]], Table2[ID],Table2[MC1], "Not Found", 0 )</f>
        <v>0</v>
      </c>
      <c r="Z805" s="16">
        <f>_xlfn.XLOOKUP(CustomerCombinedCleaned[[#This Row],[ID]], Table2[ID],Table2[MC2], "Not Found", 0 )</f>
        <v>0</v>
      </c>
      <c r="AA805" s="16">
        <f>_xlfn.XLOOKUP(CustomerCombinedCleaned[[#This Row],[ID]], Table2[ID],Table2[MC3], "Not Found", 0 )</f>
        <v>0</v>
      </c>
      <c r="AB805" s="16">
        <f>_xlfn.XLOOKUP(CustomerCombinedCleaned[[#This Row],[ID]], Table2[ID],Table2[MC4], "Not Found", 0 )</f>
        <v>0</v>
      </c>
      <c r="AC805" s="16">
        <f>_xlfn.XLOOKUP(CustomerCombinedCleaned[[#This Row],[ID]], Table2[ID],Table2[MC5], "Not Found", 0 )</f>
        <v>0</v>
      </c>
    </row>
    <row r="806" spans="1:29" x14ac:dyDescent="0.3">
      <c r="A806" s="18">
        <v>1599</v>
      </c>
      <c r="B806" s="16">
        <v>145837</v>
      </c>
      <c r="C806" s="16">
        <v>1</v>
      </c>
      <c r="D806" s="16">
        <v>1</v>
      </c>
      <c r="E806" s="16">
        <v>46</v>
      </c>
      <c r="F806" s="17" t="s">
        <v>6</v>
      </c>
      <c r="G806" s="17" t="s">
        <v>11</v>
      </c>
      <c r="H806" s="3" t="s">
        <v>210</v>
      </c>
      <c r="I806" s="5" t="s">
        <v>435</v>
      </c>
      <c r="J806" s="16">
        <f>_xlfn.XLOOKUP(CustomerCombinedCleaned[[#This Row],[ID]], Table4[ID], Table4[Recency], "Not Found", 0)</f>
        <v>88</v>
      </c>
      <c r="K806" s="16">
        <f>_xlfn.XLOOKUP(CustomerCombinedCleaned[[#This Row],[ID]], Table4[ID], Table4[Teas], "Not Found", 0)</f>
        <v>684</v>
      </c>
      <c r="L806" s="16">
        <f>_xlfn.XLOOKUP(CustomerCombinedCleaned[[#This Row],[ID]], Table4[ID], Table4[Fruits], "Not Found", 0)</f>
        <v>41</v>
      </c>
      <c r="M806" s="16">
        <f>_xlfn.XLOOKUP(CustomerCombinedCleaned[[#This Row],[ID]], Table4[ID], Table4[Meats], "Not Found", 0)</f>
        <v>277</v>
      </c>
      <c r="N806" s="16">
        <f>_xlfn.XLOOKUP(CustomerCombinedCleaned[[#This Row],[ID]], Table4[ID], Table4[Seafood], "Not Found", 0)</f>
        <v>54</v>
      </c>
      <c r="O806" s="16">
        <f>_xlfn.XLOOKUP(CustomerCombinedCleaned[[#This Row],[ID]], Table4[ID], Table4[Sweets], "Not Found", 0)</f>
        <v>54</v>
      </c>
      <c r="P806" s="16">
        <f>_xlfn.XLOOKUP(CustomerCombinedCleaned[[#This Row],[ID]], Table4[ID], Table4[Premium], "Not Found", 0)</f>
        <v>76</v>
      </c>
      <c r="Q806" s="16">
        <f>_xlfn.XLOOKUP(CustomerCombinedCleaned[[#This Row],[ID]], Table4[ID], Table4[Regular], "Not Found", 0)</f>
        <v>1034</v>
      </c>
      <c r="R806" s="16">
        <f>_xlfn.XLOOKUP(CustomerCombinedCleaned[[#This Row],[ID]], Table4[ID], Table4[Deals], "Not Found", 0)</f>
        <v>5</v>
      </c>
      <c r="S806" s="16">
        <f>_xlfn.XLOOKUP(CustomerCombinedCleaned[[#This Row],[ID]], Table4[ID], Table4[Website], "Not Found", 0)</f>
        <v>6</v>
      </c>
      <c r="T806" s="16">
        <f>_xlfn.XLOOKUP(CustomerCombinedCleaned[[#This Row],[ID]], Table4[ID], Table4[Catalog], "Not Found", 0)</f>
        <v>2</v>
      </c>
      <c r="U806" s="16">
        <f>_xlfn.XLOOKUP(CustomerCombinedCleaned[[#This Row],[ID]], Table4[ID], Table4[Store], "Not Found", 0)</f>
        <v>5</v>
      </c>
      <c r="V806" s="16">
        <f>_xlfn.XLOOKUP(CustomerCombinedCleaned[[#This Row],[ID]], Table4[ID], Table4[Visits], "Not Found", 0)</f>
        <v>7</v>
      </c>
      <c r="W806" s="16">
        <f>_xlfn.XLOOKUP(CustomerCombinedCleaned[[#This Row],[ID]], Table2[ID],Table2[Complaint], "Not Found", 0 )</f>
        <v>0</v>
      </c>
      <c r="X806" s="16">
        <f>_xlfn.XLOOKUP(CustomerCombinedCleaned[[#This Row],[ID]], Table2[ID],Table2[Pilot], "Not Found", 0 )</f>
        <v>0</v>
      </c>
      <c r="Y806" s="16">
        <f>_xlfn.XLOOKUP(CustomerCombinedCleaned[[#This Row],[ID]], Table2[ID],Table2[MC1], "Not Found", 0 )</f>
        <v>0</v>
      </c>
      <c r="Z806" s="16">
        <f>_xlfn.XLOOKUP(CustomerCombinedCleaned[[#This Row],[ID]], Table2[ID],Table2[MC2], "Not Found", 0 )</f>
        <v>0</v>
      </c>
      <c r="AA806" s="16">
        <f>_xlfn.XLOOKUP(CustomerCombinedCleaned[[#This Row],[ID]], Table2[ID],Table2[MC3], "Not Found", 0 )</f>
        <v>0</v>
      </c>
      <c r="AB806" s="16">
        <f>_xlfn.XLOOKUP(CustomerCombinedCleaned[[#This Row],[ID]], Table2[ID],Table2[MC4], "Not Found", 0 )</f>
        <v>0</v>
      </c>
      <c r="AC806" s="16">
        <f>_xlfn.XLOOKUP(CustomerCombinedCleaned[[#This Row],[ID]], Table2[ID],Table2[MC5], "Not Found", 0 )</f>
        <v>0</v>
      </c>
    </row>
    <row r="807" spans="1:29" x14ac:dyDescent="0.3">
      <c r="A807" s="18">
        <v>1564</v>
      </c>
      <c r="B807" s="16">
        <v>145207</v>
      </c>
      <c r="C807" s="16">
        <v>1</v>
      </c>
      <c r="D807" s="16">
        <v>1</v>
      </c>
      <c r="E807" s="16">
        <v>46</v>
      </c>
      <c r="F807" s="17" t="s">
        <v>6</v>
      </c>
      <c r="G807" s="17" t="s">
        <v>13</v>
      </c>
      <c r="H807" s="3" t="s">
        <v>365</v>
      </c>
      <c r="I807" s="5" t="s">
        <v>439</v>
      </c>
      <c r="J807" s="16">
        <f>_xlfn.XLOOKUP(CustomerCombinedCleaned[[#This Row],[ID]], Table4[ID], Table4[Recency], "Not Found", 0)</f>
        <v>64</v>
      </c>
      <c r="K807" s="16">
        <f>_xlfn.XLOOKUP(CustomerCombinedCleaned[[#This Row],[ID]], Table4[ID], Table4[Teas], "Not Found", 0)</f>
        <v>652</v>
      </c>
      <c r="L807" s="16">
        <f>_xlfn.XLOOKUP(CustomerCombinedCleaned[[#This Row],[ID]], Table4[ID], Table4[Fruits], "Not Found", 0)</f>
        <v>0</v>
      </c>
      <c r="M807" s="16">
        <f>_xlfn.XLOOKUP(CustomerCombinedCleaned[[#This Row],[ID]], Table4[ID], Table4[Meats], "Not Found", 0)</f>
        <v>32</v>
      </c>
      <c r="N807" s="16">
        <f>_xlfn.XLOOKUP(CustomerCombinedCleaned[[#This Row],[ID]], Table4[ID], Table4[Seafood], "Not Found", 0)</f>
        <v>0</v>
      </c>
      <c r="O807" s="16">
        <f>_xlfn.XLOOKUP(CustomerCombinedCleaned[[#This Row],[ID]], Table4[ID], Table4[Sweets], "Not Found", 0)</f>
        <v>0</v>
      </c>
      <c r="P807" s="16">
        <f>_xlfn.XLOOKUP(CustomerCombinedCleaned[[#This Row],[ID]], Table4[ID], Table4[Premium], "Not Found", 0)</f>
        <v>6</v>
      </c>
      <c r="Q807" s="16">
        <f>_xlfn.XLOOKUP(CustomerCombinedCleaned[[#This Row],[ID]], Table4[ID], Table4[Regular], "Not Found", 0)</f>
        <v>678</v>
      </c>
      <c r="R807" s="16">
        <f>_xlfn.XLOOKUP(CustomerCombinedCleaned[[#This Row],[ID]], Table4[ID], Table4[Deals], "Not Found", 0)</f>
        <v>5</v>
      </c>
      <c r="S807" s="16">
        <f>_xlfn.XLOOKUP(CustomerCombinedCleaned[[#This Row],[ID]], Table4[ID], Table4[Website], "Not Found", 0)</f>
        <v>3</v>
      </c>
      <c r="T807" s="16">
        <f>_xlfn.XLOOKUP(CustomerCombinedCleaned[[#This Row],[ID]], Table4[ID], Table4[Catalog], "Not Found", 0)</f>
        <v>1</v>
      </c>
      <c r="U807" s="16">
        <f>_xlfn.XLOOKUP(CustomerCombinedCleaned[[#This Row],[ID]], Table4[ID], Table4[Store], "Not Found", 0)</f>
        <v>6</v>
      </c>
      <c r="V807" s="16">
        <f>_xlfn.XLOOKUP(CustomerCombinedCleaned[[#This Row],[ID]], Table4[ID], Table4[Visits], "Not Found", 0)</f>
        <v>6</v>
      </c>
      <c r="W807" s="16">
        <f>_xlfn.XLOOKUP(CustomerCombinedCleaned[[#This Row],[ID]], Table2[ID],Table2[Complaint], "Not Found", 0 )</f>
        <v>0</v>
      </c>
      <c r="X807" s="16">
        <f>_xlfn.XLOOKUP(CustomerCombinedCleaned[[#This Row],[ID]], Table2[ID],Table2[Pilot], "Not Found", 0 )</f>
        <v>0</v>
      </c>
      <c r="Y807" s="16">
        <f>_xlfn.XLOOKUP(CustomerCombinedCleaned[[#This Row],[ID]], Table2[ID],Table2[MC1], "Not Found", 0 )</f>
        <v>0</v>
      </c>
      <c r="Z807" s="16">
        <f>_xlfn.XLOOKUP(CustomerCombinedCleaned[[#This Row],[ID]], Table2[ID],Table2[MC2], "Not Found", 0 )</f>
        <v>0</v>
      </c>
      <c r="AA807" s="16">
        <f>_xlfn.XLOOKUP(CustomerCombinedCleaned[[#This Row],[ID]], Table2[ID],Table2[MC3], "Not Found", 0 )</f>
        <v>0</v>
      </c>
      <c r="AB807" s="16">
        <f>_xlfn.XLOOKUP(CustomerCombinedCleaned[[#This Row],[ID]], Table2[ID],Table2[MC4], "Not Found", 0 )</f>
        <v>1</v>
      </c>
      <c r="AC807" s="16">
        <f>_xlfn.XLOOKUP(CustomerCombinedCleaned[[#This Row],[ID]], Table2[ID],Table2[MC5], "Not Found", 0 )</f>
        <v>0</v>
      </c>
    </row>
    <row r="808" spans="1:29" x14ac:dyDescent="0.3">
      <c r="A808" s="18">
        <v>1648</v>
      </c>
      <c r="B808" s="16">
        <v>145068</v>
      </c>
      <c r="C808" s="16">
        <v>0</v>
      </c>
      <c r="D808" s="16">
        <v>1</v>
      </c>
      <c r="E808" s="16">
        <v>46</v>
      </c>
      <c r="F808" s="17" t="s">
        <v>8</v>
      </c>
      <c r="G808" s="17" t="s">
        <v>13</v>
      </c>
      <c r="H808" s="3" t="s">
        <v>255</v>
      </c>
      <c r="I808" s="5" t="s">
        <v>439</v>
      </c>
      <c r="J808" s="16">
        <f>_xlfn.XLOOKUP(CustomerCombinedCleaned[[#This Row],[ID]], Table4[ID], Table4[Recency], "Not Found", 0)</f>
        <v>25</v>
      </c>
      <c r="K808" s="16">
        <f>_xlfn.XLOOKUP(CustomerCombinedCleaned[[#This Row],[ID]], Table4[ID], Table4[Teas], "Not Found", 0)</f>
        <v>45</v>
      </c>
      <c r="L808" s="16">
        <f>_xlfn.XLOOKUP(CustomerCombinedCleaned[[#This Row],[ID]], Table4[ID], Table4[Fruits], "Not Found", 0)</f>
        <v>0</v>
      </c>
      <c r="M808" s="16">
        <f>_xlfn.XLOOKUP(CustomerCombinedCleaned[[#This Row],[ID]], Table4[ID], Table4[Meats], "Not Found", 0)</f>
        <v>10</v>
      </c>
      <c r="N808" s="16">
        <f>_xlfn.XLOOKUP(CustomerCombinedCleaned[[#This Row],[ID]], Table4[ID], Table4[Seafood], "Not Found", 0)</f>
        <v>0</v>
      </c>
      <c r="O808" s="16">
        <f>_xlfn.XLOOKUP(CustomerCombinedCleaned[[#This Row],[ID]], Table4[ID], Table4[Sweets], "Not Found", 0)</f>
        <v>0</v>
      </c>
      <c r="P808" s="16">
        <f>_xlfn.XLOOKUP(CustomerCombinedCleaned[[#This Row],[ID]], Table4[ID], Table4[Premium], "Not Found", 0)</f>
        <v>10</v>
      </c>
      <c r="Q808" s="16">
        <f>_xlfn.XLOOKUP(CustomerCombinedCleaned[[#This Row],[ID]], Table4[ID], Table4[Regular], "Not Found", 0)</f>
        <v>45</v>
      </c>
      <c r="R808" s="16">
        <f>_xlfn.XLOOKUP(CustomerCombinedCleaned[[#This Row],[ID]], Table4[ID], Table4[Deals], "Not Found", 0)</f>
        <v>1</v>
      </c>
      <c r="S808" s="16">
        <f>_xlfn.XLOOKUP(CustomerCombinedCleaned[[#This Row],[ID]], Table4[ID], Table4[Website], "Not Found", 0)</f>
        <v>1</v>
      </c>
      <c r="T808" s="16">
        <f>_xlfn.XLOOKUP(CustomerCombinedCleaned[[#This Row],[ID]], Table4[ID], Table4[Catalog], "Not Found", 0)</f>
        <v>0</v>
      </c>
      <c r="U808" s="16">
        <f>_xlfn.XLOOKUP(CustomerCombinedCleaned[[#This Row],[ID]], Table4[ID], Table4[Store], "Not Found", 0)</f>
        <v>2</v>
      </c>
      <c r="V808" s="16">
        <f>_xlfn.XLOOKUP(CustomerCombinedCleaned[[#This Row],[ID]], Table4[ID], Table4[Visits], "Not Found", 0)</f>
        <v>7</v>
      </c>
      <c r="W808" s="16">
        <f>_xlfn.XLOOKUP(CustomerCombinedCleaned[[#This Row],[ID]], Table2[ID],Table2[Complaint], "Not Found", 0 )</f>
        <v>0</v>
      </c>
      <c r="X808" s="16">
        <f>_xlfn.XLOOKUP(CustomerCombinedCleaned[[#This Row],[ID]], Table2[ID],Table2[Pilot], "Not Found", 0 )</f>
        <v>0</v>
      </c>
      <c r="Y808" s="16">
        <f>_xlfn.XLOOKUP(CustomerCombinedCleaned[[#This Row],[ID]], Table2[ID],Table2[MC1], "Not Found", 0 )</f>
        <v>0</v>
      </c>
      <c r="Z808" s="16">
        <f>_xlfn.XLOOKUP(CustomerCombinedCleaned[[#This Row],[ID]], Table2[ID],Table2[MC2], "Not Found", 0 )</f>
        <v>0</v>
      </c>
      <c r="AA808" s="16">
        <f>_xlfn.XLOOKUP(CustomerCombinedCleaned[[#This Row],[ID]], Table2[ID],Table2[MC3], "Not Found", 0 )</f>
        <v>0</v>
      </c>
      <c r="AB808" s="16">
        <f>_xlfn.XLOOKUP(CustomerCombinedCleaned[[#This Row],[ID]], Table2[ID],Table2[MC4], "Not Found", 0 )</f>
        <v>0</v>
      </c>
      <c r="AC808" s="16">
        <f>_xlfn.XLOOKUP(CustomerCombinedCleaned[[#This Row],[ID]], Table2[ID],Table2[MC5], "Not Found", 0 )</f>
        <v>0</v>
      </c>
    </row>
    <row r="809" spans="1:29" x14ac:dyDescent="0.3">
      <c r="A809" s="18">
        <v>1554</v>
      </c>
      <c r="B809" s="16">
        <v>144989</v>
      </c>
      <c r="C809" s="16">
        <v>0</v>
      </c>
      <c r="D809" s="16">
        <v>1</v>
      </c>
      <c r="E809" s="16">
        <v>46</v>
      </c>
      <c r="F809" s="17" t="s">
        <v>6</v>
      </c>
      <c r="G809" s="17" t="s">
        <v>11</v>
      </c>
      <c r="H809" s="3" t="s">
        <v>397</v>
      </c>
      <c r="I809" s="5" t="s">
        <v>436</v>
      </c>
      <c r="J809" s="16">
        <f>_xlfn.XLOOKUP(CustomerCombinedCleaned[[#This Row],[ID]], Table4[ID], Table4[Recency], "Not Found", 0)</f>
        <v>26</v>
      </c>
      <c r="K809" s="16">
        <f>_xlfn.XLOOKUP(CustomerCombinedCleaned[[#This Row],[ID]], Table4[ID], Table4[Teas], "Not Found", 0)</f>
        <v>316</v>
      </c>
      <c r="L809" s="16">
        <f>_xlfn.XLOOKUP(CustomerCombinedCleaned[[#This Row],[ID]], Table4[ID], Table4[Fruits], "Not Found", 0)</f>
        <v>0</v>
      </c>
      <c r="M809" s="16">
        <f>_xlfn.XLOOKUP(CustomerCombinedCleaned[[#This Row],[ID]], Table4[ID], Table4[Meats], "Not Found", 0)</f>
        <v>342</v>
      </c>
      <c r="N809" s="16">
        <f>_xlfn.XLOOKUP(CustomerCombinedCleaned[[#This Row],[ID]], Table4[ID], Table4[Seafood], "Not Found", 0)</f>
        <v>158</v>
      </c>
      <c r="O809" s="16">
        <f>_xlfn.XLOOKUP(CustomerCombinedCleaned[[#This Row],[ID]], Table4[ID], Table4[Sweets], "Not Found", 0)</f>
        <v>32</v>
      </c>
      <c r="P809" s="16">
        <f>_xlfn.XLOOKUP(CustomerCombinedCleaned[[#This Row],[ID]], Table4[ID], Table4[Premium], "Not Found", 0)</f>
        <v>342</v>
      </c>
      <c r="Q809" s="16">
        <f>_xlfn.XLOOKUP(CustomerCombinedCleaned[[#This Row],[ID]], Table4[ID], Table4[Regular], "Not Found", 0)</f>
        <v>506</v>
      </c>
      <c r="R809" s="16">
        <f>_xlfn.XLOOKUP(CustomerCombinedCleaned[[#This Row],[ID]], Table4[ID], Table4[Deals], "Not Found", 0)</f>
        <v>5</v>
      </c>
      <c r="S809" s="16">
        <f>_xlfn.XLOOKUP(CustomerCombinedCleaned[[#This Row],[ID]], Table4[ID], Table4[Website], "Not Found", 0)</f>
        <v>5</v>
      </c>
      <c r="T809" s="16">
        <f>_xlfn.XLOOKUP(CustomerCombinedCleaned[[#This Row],[ID]], Table4[ID], Table4[Catalog], "Not Found", 0)</f>
        <v>1</v>
      </c>
      <c r="U809" s="16">
        <f>_xlfn.XLOOKUP(CustomerCombinedCleaned[[#This Row],[ID]], Table4[ID], Table4[Store], "Not Found", 0)</f>
        <v>5</v>
      </c>
      <c r="V809" s="16">
        <f>_xlfn.XLOOKUP(CustomerCombinedCleaned[[#This Row],[ID]], Table4[ID], Table4[Visits], "Not Found", 0)</f>
        <v>6</v>
      </c>
      <c r="W809" s="16">
        <f>_xlfn.XLOOKUP(CustomerCombinedCleaned[[#This Row],[ID]], Table2[ID],Table2[Complaint], "Not Found", 0 )</f>
        <v>0</v>
      </c>
      <c r="X809" s="16">
        <f>_xlfn.XLOOKUP(CustomerCombinedCleaned[[#This Row],[ID]], Table2[ID],Table2[Pilot], "Not Found", 0 )</f>
        <v>0</v>
      </c>
      <c r="Y809" s="16">
        <f>_xlfn.XLOOKUP(CustomerCombinedCleaned[[#This Row],[ID]], Table2[ID],Table2[MC1], "Not Found", 0 )</f>
        <v>0</v>
      </c>
      <c r="Z809" s="16">
        <f>_xlfn.XLOOKUP(CustomerCombinedCleaned[[#This Row],[ID]], Table2[ID],Table2[MC2], "Not Found", 0 )</f>
        <v>0</v>
      </c>
      <c r="AA809" s="16">
        <f>_xlfn.XLOOKUP(CustomerCombinedCleaned[[#This Row],[ID]], Table2[ID],Table2[MC3], "Not Found", 0 )</f>
        <v>0</v>
      </c>
      <c r="AB809" s="16">
        <f>_xlfn.XLOOKUP(CustomerCombinedCleaned[[#This Row],[ID]], Table2[ID],Table2[MC4], "Not Found", 0 )</f>
        <v>0</v>
      </c>
      <c r="AC809" s="16">
        <f>_xlfn.XLOOKUP(CustomerCombinedCleaned[[#This Row],[ID]], Table2[ID],Table2[MC5], "Not Found", 0 )</f>
        <v>0</v>
      </c>
    </row>
    <row r="810" spans="1:29" x14ac:dyDescent="0.3">
      <c r="A810" s="18">
        <v>2726</v>
      </c>
      <c r="B810" s="16">
        <v>144989</v>
      </c>
      <c r="C810" s="16">
        <v>0</v>
      </c>
      <c r="D810" s="16">
        <v>1</v>
      </c>
      <c r="E810" s="16">
        <v>46</v>
      </c>
      <c r="F810" s="17" t="s">
        <v>6</v>
      </c>
      <c r="G810" s="17" t="s">
        <v>11</v>
      </c>
      <c r="H810" s="3" t="s">
        <v>397</v>
      </c>
      <c r="I810" s="5" t="s">
        <v>438</v>
      </c>
      <c r="J810" s="16">
        <f>_xlfn.XLOOKUP(CustomerCombinedCleaned[[#This Row],[ID]], Table4[ID], Table4[Recency], "Not Found", 0)</f>
        <v>26</v>
      </c>
      <c r="K810" s="16">
        <f>_xlfn.XLOOKUP(CustomerCombinedCleaned[[#This Row],[ID]], Table4[ID], Table4[Teas], "Not Found", 0)</f>
        <v>316</v>
      </c>
      <c r="L810" s="16">
        <f>_xlfn.XLOOKUP(CustomerCombinedCleaned[[#This Row],[ID]], Table4[ID], Table4[Fruits], "Not Found", 0)</f>
        <v>0</v>
      </c>
      <c r="M810" s="16">
        <f>_xlfn.XLOOKUP(CustomerCombinedCleaned[[#This Row],[ID]], Table4[ID], Table4[Meats], "Not Found", 0)</f>
        <v>342</v>
      </c>
      <c r="N810" s="16">
        <f>_xlfn.XLOOKUP(CustomerCombinedCleaned[[#This Row],[ID]], Table4[ID], Table4[Seafood], "Not Found", 0)</f>
        <v>158</v>
      </c>
      <c r="O810" s="16">
        <f>_xlfn.XLOOKUP(CustomerCombinedCleaned[[#This Row],[ID]], Table4[ID], Table4[Sweets], "Not Found", 0)</f>
        <v>32</v>
      </c>
      <c r="P810" s="16">
        <f>_xlfn.XLOOKUP(CustomerCombinedCleaned[[#This Row],[ID]], Table4[ID], Table4[Premium], "Not Found", 0)</f>
        <v>342</v>
      </c>
      <c r="Q810" s="16">
        <f>_xlfn.XLOOKUP(CustomerCombinedCleaned[[#This Row],[ID]], Table4[ID], Table4[Regular], "Not Found", 0)</f>
        <v>506</v>
      </c>
      <c r="R810" s="16">
        <f>_xlfn.XLOOKUP(CustomerCombinedCleaned[[#This Row],[ID]], Table4[ID], Table4[Deals], "Not Found", 0)</f>
        <v>5</v>
      </c>
      <c r="S810" s="16">
        <f>_xlfn.XLOOKUP(CustomerCombinedCleaned[[#This Row],[ID]], Table4[ID], Table4[Website], "Not Found", 0)</f>
        <v>5</v>
      </c>
      <c r="T810" s="16">
        <f>_xlfn.XLOOKUP(CustomerCombinedCleaned[[#This Row],[ID]], Table4[ID], Table4[Catalog], "Not Found", 0)</f>
        <v>1</v>
      </c>
      <c r="U810" s="16">
        <f>_xlfn.XLOOKUP(CustomerCombinedCleaned[[#This Row],[ID]], Table4[ID], Table4[Store], "Not Found", 0)</f>
        <v>5</v>
      </c>
      <c r="V810" s="16">
        <f>_xlfn.XLOOKUP(CustomerCombinedCleaned[[#This Row],[ID]], Table4[ID], Table4[Visits], "Not Found", 0)</f>
        <v>6</v>
      </c>
      <c r="W810" s="16">
        <f>_xlfn.XLOOKUP(CustomerCombinedCleaned[[#This Row],[ID]], Table2[ID],Table2[Complaint], "Not Found", 0 )</f>
        <v>0</v>
      </c>
      <c r="X810" s="16">
        <f>_xlfn.XLOOKUP(CustomerCombinedCleaned[[#This Row],[ID]], Table2[ID],Table2[Pilot], "Not Found", 0 )</f>
        <v>0</v>
      </c>
      <c r="Y810" s="16">
        <f>_xlfn.XLOOKUP(CustomerCombinedCleaned[[#This Row],[ID]], Table2[ID],Table2[MC1], "Not Found", 0 )</f>
        <v>0</v>
      </c>
      <c r="Z810" s="16">
        <f>_xlfn.XLOOKUP(CustomerCombinedCleaned[[#This Row],[ID]], Table2[ID],Table2[MC2], "Not Found", 0 )</f>
        <v>0</v>
      </c>
      <c r="AA810" s="16">
        <f>_xlfn.XLOOKUP(CustomerCombinedCleaned[[#This Row],[ID]], Table2[ID],Table2[MC3], "Not Found", 0 )</f>
        <v>0</v>
      </c>
      <c r="AB810" s="16">
        <f>_xlfn.XLOOKUP(CustomerCombinedCleaned[[#This Row],[ID]], Table2[ID],Table2[MC4], "Not Found", 0 )</f>
        <v>0</v>
      </c>
      <c r="AC810" s="16">
        <f>_xlfn.XLOOKUP(CustomerCombinedCleaned[[#This Row],[ID]], Table2[ID],Table2[MC5], "Not Found", 0 )</f>
        <v>0</v>
      </c>
    </row>
    <row r="811" spans="1:29" x14ac:dyDescent="0.3">
      <c r="A811" s="18">
        <v>2693</v>
      </c>
      <c r="B811" s="16">
        <v>144392</v>
      </c>
      <c r="C811" s="16">
        <v>1</v>
      </c>
      <c r="D811" s="16">
        <v>1</v>
      </c>
      <c r="E811" s="16">
        <v>46</v>
      </c>
      <c r="F811" s="17" t="s">
        <v>8</v>
      </c>
      <c r="G811" s="17" t="s">
        <v>11</v>
      </c>
      <c r="H811" s="3" t="s">
        <v>561</v>
      </c>
      <c r="I811" s="5" t="s">
        <v>434</v>
      </c>
      <c r="J811" s="16">
        <f>_xlfn.XLOOKUP(CustomerCombinedCleaned[[#This Row],[ID]], Table4[ID], Table4[Recency], "Not Found", 0)</f>
        <v>71</v>
      </c>
      <c r="K811" s="16">
        <f>_xlfn.XLOOKUP(CustomerCombinedCleaned[[#This Row],[ID]], Table4[ID], Table4[Teas], "Not Found", 0)</f>
        <v>283</v>
      </c>
      <c r="L811" s="16">
        <f>_xlfn.XLOOKUP(CustomerCombinedCleaned[[#This Row],[ID]], Table4[ID], Table4[Fruits], "Not Found", 0)</f>
        <v>16</v>
      </c>
      <c r="M811" s="16">
        <f>_xlfn.XLOOKUP(CustomerCombinedCleaned[[#This Row],[ID]], Table4[ID], Table4[Meats], "Not Found", 0)</f>
        <v>231</v>
      </c>
      <c r="N811" s="16">
        <f>_xlfn.XLOOKUP(CustomerCombinedCleaned[[#This Row],[ID]], Table4[ID], Table4[Seafood], "Not Found", 0)</f>
        <v>23</v>
      </c>
      <c r="O811" s="16">
        <f>_xlfn.XLOOKUP(CustomerCombinedCleaned[[#This Row],[ID]], Table4[ID], Table4[Sweets], "Not Found", 0)</f>
        <v>39</v>
      </c>
      <c r="P811" s="16">
        <f>_xlfn.XLOOKUP(CustomerCombinedCleaned[[#This Row],[ID]], Table4[ID], Table4[Premium], "Not Found", 0)</f>
        <v>94</v>
      </c>
      <c r="Q811" s="16">
        <f>_xlfn.XLOOKUP(CustomerCombinedCleaned[[#This Row],[ID]], Table4[ID], Table4[Regular], "Not Found", 0)</f>
        <v>498</v>
      </c>
      <c r="R811" s="16">
        <f>_xlfn.XLOOKUP(CustomerCombinedCleaned[[#This Row],[ID]], Table4[ID], Table4[Deals], "Not Found", 0)</f>
        <v>5</v>
      </c>
      <c r="S811" s="16">
        <f>_xlfn.XLOOKUP(CustomerCombinedCleaned[[#This Row],[ID]], Table4[ID], Table4[Website], "Not Found", 0)</f>
        <v>4</v>
      </c>
      <c r="T811" s="16">
        <f>_xlfn.XLOOKUP(CustomerCombinedCleaned[[#This Row],[ID]], Table4[ID], Table4[Catalog], "Not Found", 0)</f>
        <v>1</v>
      </c>
      <c r="U811" s="16">
        <f>_xlfn.XLOOKUP(CustomerCombinedCleaned[[#This Row],[ID]], Table4[ID], Table4[Store], "Not Found", 0)</f>
        <v>4</v>
      </c>
      <c r="V811" s="16">
        <f>_xlfn.XLOOKUP(CustomerCombinedCleaned[[#This Row],[ID]], Table4[ID], Table4[Visits], "Not Found", 0)</f>
        <v>7</v>
      </c>
      <c r="W811" s="16">
        <f>_xlfn.XLOOKUP(CustomerCombinedCleaned[[#This Row],[ID]], Table2[ID],Table2[Complaint], "Not Found", 0 )</f>
        <v>0</v>
      </c>
      <c r="X811" s="16">
        <f>_xlfn.XLOOKUP(CustomerCombinedCleaned[[#This Row],[ID]], Table2[ID],Table2[Pilot], "Not Found", 0 )</f>
        <v>0</v>
      </c>
      <c r="Y811" s="16">
        <f>_xlfn.XLOOKUP(CustomerCombinedCleaned[[#This Row],[ID]], Table2[ID],Table2[MC1], "Not Found", 0 )</f>
        <v>0</v>
      </c>
      <c r="Z811" s="16">
        <f>_xlfn.XLOOKUP(CustomerCombinedCleaned[[#This Row],[ID]], Table2[ID],Table2[MC2], "Not Found", 0 )</f>
        <v>0</v>
      </c>
      <c r="AA811" s="16">
        <f>_xlfn.XLOOKUP(CustomerCombinedCleaned[[#This Row],[ID]], Table2[ID],Table2[MC3], "Not Found", 0 )</f>
        <v>0</v>
      </c>
      <c r="AB811" s="16">
        <f>_xlfn.XLOOKUP(CustomerCombinedCleaned[[#This Row],[ID]], Table2[ID],Table2[MC4], "Not Found", 0 )</f>
        <v>0</v>
      </c>
      <c r="AC811" s="16">
        <f>_xlfn.XLOOKUP(CustomerCombinedCleaned[[#This Row],[ID]], Table2[ID],Table2[MC5], "Not Found", 0 )</f>
        <v>0</v>
      </c>
    </row>
    <row r="812" spans="1:29" x14ac:dyDescent="0.3">
      <c r="A812" s="18">
        <v>3164</v>
      </c>
      <c r="B812" s="16">
        <v>143322</v>
      </c>
      <c r="C812" s="16">
        <v>0</v>
      </c>
      <c r="D812" s="16">
        <v>0</v>
      </c>
      <c r="E812" s="16">
        <v>46</v>
      </c>
      <c r="F812" s="17" t="s">
        <v>7</v>
      </c>
      <c r="G812" s="17" t="s">
        <v>11</v>
      </c>
      <c r="H812" s="3" t="s">
        <v>61</v>
      </c>
      <c r="I812" s="5" t="s">
        <v>438</v>
      </c>
      <c r="J812" s="16">
        <f>_xlfn.XLOOKUP(CustomerCombinedCleaned[[#This Row],[ID]], Table4[ID], Table4[Recency], "Not Found", 0)</f>
        <v>25</v>
      </c>
      <c r="K812" s="16">
        <f>_xlfn.XLOOKUP(CustomerCombinedCleaned[[#This Row],[ID]], Table4[ID], Table4[Teas], "Not Found", 0)</f>
        <v>185</v>
      </c>
      <c r="L812" s="16">
        <f>_xlfn.XLOOKUP(CustomerCombinedCleaned[[#This Row],[ID]], Table4[ID], Table4[Fruits], "Not Found", 0)</f>
        <v>23</v>
      </c>
      <c r="M812" s="16">
        <f>_xlfn.XLOOKUP(CustomerCombinedCleaned[[#This Row],[ID]], Table4[ID], Table4[Meats], "Not Found", 0)</f>
        <v>159</v>
      </c>
      <c r="N812" s="16">
        <f>_xlfn.XLOOKUP(CustomerCombinedCleaned[[#This Row],[ID]], Table4[ID], Table4[Seafood], "Not Found", 0)</f>
        <v>33</v>
      </c>
      <c r="O812" s="16">
        <f>_xlfn.XLOOKUP(CustomerCombinedCleaned[[#This Row],[ID]], Table4[ID], Table4[Sweets], "Not Found", 0)</f>
        <v>7</v>
      </c>
      <c r="P812" s="16">
        <f>_xlfn.XLOOKUP(CustomerCombinedCleaned[[#This Row],[ID]], Table4[ID], Table4[Premium], "Not Found", 0)</f>
        <v>60</v>
      </c>
      <c r="Q812" s="16">
        <f>_xlfn.XLOOKUP(CustomerCombinedCleaned[[#This Row],[ID]], Table4[ID], Table4[Regular], "Not Found", 0)</f>
        <v>347</v>
      </c>
      <c r="R812" s="16">
        <f>_xlfn.XLOOKUP(CustomerCombinedCleaned[[#This Row],[ID]], Table4[ID], Table4[Deals], "Not Found", 0)</f>
        <v>1</v>
      </c>
      <c r="S812" s="16">
        <f>_xlfn.XLOOKUP(CustomerCombinedCleaned[[#This Row],[ID]], Table4[ID], Table4[Website], "Not Found", 0)</f>
        <v>3</v>
      </c>
      <c r="T812" s="16">
        <f>_xlfn.XLOOKUP(CustomerCombinedCleaned[[#This Row],[ID]], Table4[ID], Table4[Catalog], "Not Found", 0)</f>
        <v>0</v>
      </c>
      <c r="U812" s="16">
        <f>_xlfn.XLOOKUP(CustomerCombinedCleaned[[#This Row],[ID]], Table4[ID], Table4[Store], "Not Found", 0)</f>
        <v>4</v>
      </c>
      <c r="V812" s="16">
        <f>_xlfn.XLOOKUP(CustomerCombinedCleaned[[#This Row],[ID]], Table4[ID], Table4[Visits], "Not Found", 0)</f>
        <v>7</v>
      </c>
      <c r="W812" s="16">
        <f>_xlfn.XLOOKUP(CustomerCombinedCleaned[[#This Row],[ID]], Table2[ID],Table2[Complaint], "Not Found", 0 )</f>
        <v>0</v>
      </c>
      <c r="X812" s="16">
        <f>_xlfn.XLOOKUP(CustomerCombinedCleaned[[#This Row],[ID]], Table2[ID],Table2[Pilot], "Not Found", 0 )</f>
        <v>0</v>
      </c>
      <c r="Y812" s="16">
        <f>_xlfn.XLOOKUP(CustomerCombinedCleaned[[#This Row],[ID]], Table2[ID],Table2[MC1], "Not Found", 0 )</f>
        <v>0</v>
      </c>
      <c r="Z812" s="16">
        <f>_xlfn.XLOOKUP(CustomerCombinedCleaned[[#This Row],[ID]], Table2[ID],Table2[MC2], "Not Found", 0 )</f>
        <v>0</v>
      </c>
      <c r="AA812" s="16">
        <f>_xlfn.XLOOKUP(CustomerCombinedCleaned[[#This Row],[ID]], Table2[ID],Table2[MC3], "Not Found", 0 )</f>
        <v>0</v>
      </c>
      <c r="AB812" s="16">
        <f>_xlfn.XLOOKUP(CustomerCombinedCleaned[[#This Row],[ID]], Table2[ID],Table2[MC4], "Not Found", 0 )</f>
        <v>0</v>
      </c>
      <c r="AC812" s="16">
        <f>_xlfn.XLOOKUP(CustomerCombinedCleaned[[#This Row],[ID]], Table2[ID],Table2[MC5], "Not Found", 0 )</f>
        <v>0</v>
      </c>
    </row>
    <row r="813" spans="1:29" x14ac:dyDescent="0.3">
      <c r="A813" s="18">
        <v>3082</v>
      </c>
      <c r="B813" s="16">
        <v>143018</v>
      </c>
      <c r="C813" s="16">
        <v>0</v>
      </c>
      <c r="D813" s="16">
        <v>1</v>
      </c>
      <c r="E813" s="16">
        <v>46</v>
      </c>
      <c r="F813" s="17" t="s">
        <v>8</v>
      </c>
      <c r="G813" s="17" t="s">
        <v>12</v>
      </c>
      <c r="H813" s="3" t="s">
        <v>768</v>
      </c>
      <c r="I813" s="5" t="s">
        <v>439</v>
      </c>
      <c r="J813" s="16">
        <f>_xlfn.XLOOKUP(CustomerCombinedCleaned[[#This Row],[ID]], Table4[ID], Table4[Recency], "Not Found", 0)</f>
        <v>46</v>
      </c>
      <c r="K813" s="16">
        <f>_xlfn.XLOOKUP(CustomerCombinedCleaned[[#This Row],[ID]], Table4[ID], Table4[Teas], "Not Found", 0)</f>
        <v>116</v>
      </c>
      <c r="L813" s="16">
        <f>_xlfn.XLOOKUP(CustomerCombinedCleaned[[#This Row],[ID]], Table4[ID], Table4[Fruits], "Not Found", 0)</f>
        <v>13</v>
      </c>
      <c r="M813" s="16">
        <f>_xlfn.XLOOKUP(CustomerCombinedCleaned[[#This Row],[ID]], Table4[ID], Table4[Meats], "Not Found", 0)</f>
        <v>57</v>
      </c>
      <c r="N813" s="16">
        <f>_xlfn.XLOOKUP(CustomerCombinedCleaned[[#This Row],[ID]], Table4[ID], Table4[Seafood], "Not Found", 0)</f>
        <v>23</v>
      </c>
      <c r="O813" s="16">
        <f>_xlfn.XLOOKUP(CustomerCombinedCleaned[[#This Row],[ID]], Table4[ID], Table4[Sweets], "Not Found", 0)</f>
        <v>20</v>
      </c>
      <c r="P813" s="16">
        <f>_xlfn.XLOOKUP(CustomerCombinedCleaned[[#This Row],[ID]], Table4[ID], Table4[Premium], "Not Found", 0)</f>
        <v>213</v>
      </c>
      <c r="Q813" s="16">
        <f>_xlfn.XLOOKUP(CustomerCombinedCleaned[[#This Row],[ID]], Table4[ID], Table4[Regular], "Not Found", 0)</f>
        <v>17</v>
      </c>
      <c r="R813" s="16">
        <f>_xlfn.XLOOKUP(CustomerCombinedCleaned[[#This Row],[ID]], Table4[ID], Table4[Deals], "Not Found", 0)</f>
        <v>1</v>
      </c>
      <c r="S813" s="16">
        <f>_xlfn.XLOOKUP(CustomerCombinedCleaned[[#This Row],[ID]], Table4[ID], Table4[Website], "Not Found", 0)</f>
        <v>2</v>
      </c>
      <c r="T813" s="16">
        <f>_xlfn.XLOOKUP(CustomerCombinedCleaned[[#This Row],[ID]], Table4[ID], Table4[Catalog], "Not Found", 0)</f>
        <v>2</v>
      </c>
      <c r="U813" s="16">
        <f>_xlfn.XLOOKUP(CustomerCombinedCleaned[[#This Row],[ID]], Table4[ID], Table4[Store], "Not Found", 0)</f>
        <v>2</v>
      </c>
      <c r="V813" s="16">
        <f>_xlfn.XLOOKUP(CustomerCombinedCleaned[[#This Row],[ID]], Table4[ID], Table4[Visits], "Not Found", 0)</f>
        <v>5</v>
      </c>
      <c r="W813" s="16">
        <f>_xlfn.XLOOKUP(CustomerCombinedCleaned[[#This Row],[ID]], Table2[ID],Table2[Complaint], "Not Found", 0 )</f>
        <v>0</v>
      </c>
      <c r="X813" s="16">
        <f>_xlfn.XLOOKUP(CustomerCombinedCleaned[[#This Row],[ID]], Table2[ID],Table2[Pilot], "Not Found", 0 )</f>
        <v>0</v>
      </c>
      <c r="Y813" s="16">
        <f>_xlfn.XLOOKUP(CustomerCombinedCleaned[[#This Row],[ID]], Table2[ID],Table2[MC1], "Not Found", 0 )</f>
        <v>0</v>
      </c>
      <c r="Z813" s="16">
        <f>_xlfn.XLOOKUP(CustomerCombinedCleaned[[#This Row],[ID]], Table2[ID],Table2[MC2], "Not Found", 0 )</f>
        <v>0</v>
      </c>
      <c r="AA813" s="16">
        <f>_xlfn.XLOOKUP(CustomerCombinedCleaned[[#This Row],[ID]], Table2[ID],Table2[MC3], "Not Found", 0 )</f>
        <v>0</v>
      </c>
      <c r="AB813" s="16">
        <f>_xlfn.XLOOKUP(CustomerCombinedCleaned[[#This Row],[ID]], Table2[ID],Table2[MC4], "Not Found", 0 )</f>
        <v>0</v>
      </c>
      <c r="AC813" s="16">
        <f>_xlfn.XLOOKUP(CustomerCombinedCleaned[[#This Row],[ID]], Table2[ID],Table2[MC5], "Not Found", 0 )</f>
        <v>0</v>
      </c>
    </row>
    <row r="814" spans="1:29" x14ac:dyDescent="0.3">
      <c r="A814" s="18">
        <v>2037</v>
      </c>
      <c r="B814" s="16">
        <v>142557</v>
      </c>
      <c r="C814" s="16">
        <v>0</v>
      </c>
      <c r="D814" s="16">
        <v>1</v>
      </c>
      <c r="E814" s="16">
        <v>46</v>
      </c>
      <c r="F814" s="17" t="s">
        <v>6</v>
      </c>
      <c r="G814" s="17" t="s">
        <v>11</v>
      </c>
      <c r="H814" s="3" t="s">
        <v>610</v>
      </c>
      <c r="I814" s="5" t="s">
        <v>435</v>
      </c>
      <c r="J814" s="16">
        <f>_xlfn.XLOOKUP(CustomerCombinedCleaned[[#This Row],[ID]], Table4[ID], Table4[Recency], "Not Found", 0)</f>
        <v>98</v>
      </c>
      <c r="K814" s="16">
        <f>_xlfn.XLOOKUP(CustomerCombinedCleaned[[#This Row],[ID]], Table4[ID], Table4[Teas], "Not Found", 0)</f>
        <v>643</v>
      </c>
      <c r="L814" s="16">
        <f>_xlfn.XLOOKUP(CustomerCombinedCleaned[[#This Row],[ID]], Table4[ID], Table4[Fruits], "Not Found", 0)</f>
        <v>17</v>
      </c>
      <c r="M814" s="16">
        <f>_xlfn.XLOOKUP(CustomerCombinedCleaned[[#This Row],[ID]], Table4[ID], Table4[Meats], "Not Found", 0)</f>
        <v>178</v>
      </c>
      <c r="N814" s="16">
        <f>_xlfn.XLOOKUP(CustomerCombinedCleaned[[#This Row],[ID]], Table4[ID], Table4[Seafood], "Not Found", 0)</f>
        <v>0</v>
      </c>
      <c r="O814" s="16">
        <f>_xlfn.XLOOKUP(CustomerCombinedCleaned[[#This Row],[ID]], Table4[ID], Table4[Sweets], "Not Found", 0)</f>
        <v>17</v>
      </c>
      <c r="P814" s="16">
        <f>_xlfn.XLOOKUP(CustomerCombinedCleaned[[#This Row],[ID]], Table4[ID], Table4[Premium], "Not Found", 0)</f>
        <v>50</v>
      </c>
      <c r="Q814" s="16">
        <f>_xlfn.XLOOKUP(CustomerCombinedCleaned[[#This Row],[ID]], Table4[ID], Table4[Regular], "Not Found", 0)</f>
        <v>804</v>
      </c>
      <c r="R814" s="16">
        <f>_xlfn.XLOOKUP(CustomerCombinedCleaned[[#This Row],[ID]], Table4[ID], Table4[Deals], "Not Found", 0)</f>
        <v>4</v>
      </c>
      <c r="S814" s="16">
        <f>_xlfn.XLOOKUP(CustomerCombinedCleaned[[#This Row],[ID]], Table4[ID], Table4[Website], "Not Found", 0)</f>
        <v>6</v>
      </c>
      <c r="T814" s="16">
        <f>_xlfn.XLOOKUP(CustomerCombinedCleaned[[#This Row],[ID]], Table4[ID], Table4[Catalog], "Not Found", 0)</f>
        <v>1</v>
      </c>
      <c r="U814" s="16">
        <f>_xlfn.XLOOKUP(CustomerCombinedCleaned[[#This Row],[ID]], Table4[ID], Table4[Store], "Not Found", 0)</f>
        <v>4</v>
      </c>
      <c r="V814" s="16">
        <f>_xlfn.XLOOKUP(CustomerCombinedCleaned[[#This Row],[ID]], Table4[ID], Table4[Visits], "Not Found", 0)</f>
        <v>8</v>
      </c>
      <c r="W814" s="16">
        <f>_xlfn.XLOOKUP(CustomerCombinedCleaned[[#This Row],[ID]], Table2[ID],Table2[Complaint], "Not Found", 0 )</f>
        <v>0</v>
      </c>
      <c r="X814" s="16">
        <f>_xlfn.XLOOKUP(CustomerCombinedCleaned[[#This Row],[ID]], Table2[ID],Table2[Pilot], "Not Found", 0 )</f>
        <v>0</v>
      </c>
      <c r="Y814" s="16">
        <f>_xlfn.XLOOKUP(CustomerCombinedCleaned[[#This Row],[ID]], Table2[ID],Table2[MC1], "Not Found", 0 )</f>
        <v>0</v>
      </c>
      <c r="Z814" s="16">
        <f>_xlfn.XLOOKUP(CustomerCombinedCleaned[[#This Row],[ID]], Table2[ID],Table2[MC2], "Not Found", 0 )</f>
        <v>0</v>
      </c>
      <c r="AA814" s="16">
        <f>_xlfn.XLOOKUP(CustomerCombinedCleaned[[#This Row],[ID]], Table2[ID],Table2[MC3], "Not Found", 0 )</f>
        <v>0</v>
      </c>
      <c r="AB814" s="16">
        <f>_xlfn.XLOOKUP(CustomerCombinedCleaned[[#This Row],[ID]], Table2[ID],Table2[MC4], "Not Found", 0 )</f>
        <v>0</v>
      </c>
      <c r="AC814" s="16">
        <f>_xlfn.XLOOKUP(CustomerCombinedCleaned[[#This Row],[ID]], Table2[ID],Table2[MC5], "Not Found", 0 )</f>
        <v>0</v>
      </c>
    </row>
    <row r="815" spans="1:29" x14ac:dyDescent="0.3">
      <c r="A815" s="18">
        <v>1386</v>
      </c>
      <c r="B815" s="16">
        <v>142373</v>
      </c>
      <c r="C815" s="16">
        <v>1</v>
      </c>
      <c r="D815" s="16">
        <v>1</v>
      </c>
      <c r="E815" s="16">
        <v>46</v>
      </c>
      <c r="F815" s="17" t="s">
        <v>7</v>
      </c>
      <c r="G815" s="17" t="s">
        <v>11</v>
      </c>
      <c r="H815" s="3" t="s">
        <v>202</v>
      </c>
      <c r="I815" s="5" t="s">
        <v>436</v>
      </c>
      <c r="J815" s="16">
        <f>_xlfn.XLOOKUP(CustomerCombinedCleaned[[#This Row],[ID]], Table4[ID], Table4[Recency], "Not Found", 0)</f>
        <v>83</v>
      </c>
      <c r="K815" s="16">
        <f>_xlfn.XLOOKUP(CustomerCombinedCleaned[[#This Row],[ID]], Table4[ID], Table4[Teas], "Not Found", 0)</f>
        <v>225</v>
      </c>
      <c r="L815" s="16">
        <f>_xlfn.XLOOKUP(CustomerCombinedCleaned[[#This Row],[ID]], Table4[ID], Table4[Fruits], "Not Found", 0)</f>
        <v>17</v>
      </c>
      <c r="M815" s="16">
        <f>_xlfn.XLOOKUP(CustomerCombinedCleaned[[#This Row],[ID]], Table4[ID], Table4[Meats], "Not Found", 0)</f>
        <v>205</v>
      </c>
      <c r="N815" s="16">
        <f>_xlfn.XLOOKUP(CustomerCombinedCleaned[[#This Row],[ID]], Table4[ID], Table4[Seafood], "Not Found", 0)</f>
        <v>10</v>
      </c>
      <c r="O815" s="16">
        <f>_xlfn.XLOOKUP(CustomerCombinedCleaned[[#This Row],[ID]], Table4[ID], Table4[Sweets], "Not Found", 0)</f>
        <v>27</v>
      </c>
      <c r="P815" s="16">
        <f>_xlfn.XLOOKUP(CustomerCombinedCleaned[[#This Row],[ID]], Table4[ID], Table4[Premium], "Not Found", 0)</f>
        <v>64</v>
      </c>
      <c r="Q815" s="16">
        <f>_xlfn.XLOOKUP(CustomerCombinedCleaned[[#This Row],[ID]], Table4[ID], Table4[Regular], "Not Found", 0)</f>
        <v>420</v>
      </c>
      <c r="R815" s="16">
        <f>_xlfn.XLOOKUP(CustomerCombinedCleaned[[#This Row],[ID]], Table4[ID], Table4[Deals], "Not Found", 0)</f>
        <v>5</v>
      </c>
      <c r="S815" s="16">
        <f>_xlfn.XLOOKUP(CustomerCombinedCleaned[[#This Row],[ID]], Table4[ID], Table4[Website], "Not Found", 0)</f>
        <v>2</v>
      </c>
      <c r="T815" s="16">
        <f>_xlfn.XLOOKUP(CustomerCombinedCleaned[[#This Row],[ID]], Table4[ID], Table4[Catalog], "Not Found", 0)</f>
        <v>1</v>
      </c>
      <c r="U815" s="16">
        <f>_xlfn.XLOOKUP(CustomerCombinedCleaned[[#This Row],[ID]], Table4[ID], Table4[Store], "Not Found", 0)</f>
        <v>5</v>
      </c>
      <c r="V815" s="16">
        <f>_xlfn.XLOOKUP(CustomerCombinedCleaned[[#This Row],[ID]], Table4[ID], Table4[Visits], "Not Found", 0)</f>
        <v>5</v>
      </c>
      <c r="W815" s="16">
        <f>_xlfn.XLOOKUP(CustomerCombinedCleaned[[#This Row],[ID]], Table2[ID],Table2[Complaint], "Not Found", 0 )</f>
        <v>0</v>
      </c>
      <c r="X815" s="16">
        <f>_xlfn.XLOOKUP(CustomerCombinedCleaned[[#This Row],[ID]], Table2[ID],Table2[Pilot], "Not Found", 0 )</f>
        <v>0</v>
      </c>
      <c r="Y815" s="16">
        <f>_xlfn.XLOOKUP(CustomerCombinedCleaned[[#This Row],[ID]], Table2[ID],Table2[MC1], "Not Found", 0 )</f>
        <v>0</v>
      </c>
      <c r="Z815" s="16">
        <f>_xlfn.XLOOKUP(CustomerCombinedCleaned[[#This Row],[ID]], Table2[ID],Table2[MC2], "Not Found", 0 )</f>
        <v>0</v>
      </c>
      <c r="AA815" s="16">
        <f>_xlfn.XLOOKUP(CustomerCombinedCleaned[[#This Row],[ID]], Table2[ID],Table2[MC3], "Not Found", 0 )</f>
        <v>0</v>
      </c>
      <c r="AB815" s="16">
        <f>_xlfn.XLOOKUP(CustomerCombinedCleaned[[#This Row],[ID]], Table2[ID],Table2[MC4], "Not Found", 0 )</f>
        <v>0</v>
      </c>
      <c r="AC815" s="16">
        <f>_xlfn.XLOOKUP(CustomerCombinedCleaned[[#This Row],[ID]], Table2[ID],Table2[MC5], "Not Found", 0 )</f>
        <v>0</v>
      </c>
    </row>
    <row r="816" spans="1:29" x14ac:dyDescent="0.3">
      <c r="A816" s="18">
        <v>2145</v>
      </c>
      <c r="B816" s="16">
        <v>140344</v>
      </c>
      <c r="C816" s="16">
        <v>0</v>
      </c>
      <c r="D816" s="16">
        <v>1</v>
      </c>
      <c r="E816" s="16">
        <v>46</v>
      </c>
      <c r="F816" s="17" t="s">
        <v>6</v>
      </c>
      <c r="G816" s="17" t="s">
        <v>13</v>
      </c>
      <c r="H816" s="3" t="s">
        <v>169</v>
      </c>
      <c r="I816" s="5" t="s">
        <v>435</v>
      </c>
      <c r="J816" s="16">
        <f>_xlfn.XLOOKUP(CustomerCombinedCleaned[[#This Row],[ID]], Table4[ID], Table4[Recency], "Not Found", 0)</f>
        <v>48</v>
      </c>
      <c r="K816" s="16">
        <f>_xlfn.XLOOKUP(CustomerCombinedCleaned[[#This Row],[ID]], Table4[ID], Table4[Teas], "Not Found", 0)</f>
        <v>731</v>
      </c>
      <c r="L816" s="16">
        <f>_xlfn.XLOOKUP(CustomerCombinedCleaned[[#This Row],[ID]], Table4[ID], Table4[Fruits], "Not Found", 0)</f>
        <v>0</v>
      </c>
      <c r="M816" s="16">
        <f>_xlfn.XLOOKUP(CustomerCombinedCleaned[[#This Row],[ID]], Table4[ID], Table4[Meats], "Not Found", 0)</f>
        <v>21</v>
      </c>
      <c r="N816" s="16">
        <f>_xlfn.XLOOKUP(CustomerCombinedCleaned[[#This Row],[ID]], Table4[ID], Table4[Seafood], "Not Found", 0)</f>
        <v>0</v>
      </c>
      <c r="O816" s="16">
        <f>_xlfn.XLOOKUP(CustomerCombinedCleaned[[#This Row],[ID]], Table4[ID], Table4[Sweets], "Not Found", 0)</f>
        <v>0</v>
      </c>
      <c r="P816" s="16">
        <f>_xlfn.XLOOKUP(CustomerCombinedCleaned[[#This Row],[ID]], Table4[ID], Table4[Premium], "Not Found", 0)</f>
        <v>7</v>
      </c>
      <c r="Q816" s="16">
        <f>_xlfn.XLOOKUP(CustomerCombinedCleaned[[#This Row],[ID]], Table4[ID], Table4[Regular], "Not Found", 0)</f>
        <v>744</v>
      </c>
      <c r="R816" s="16">
        <f>_xlfn.XLOOKUP(CustomerCombinedCleaned[[#This Row],[ID]], Table4[ID], Table4[Deals], "Not Found", 0)</f>
        <v>2</v>
      </c>
      <c r="S816" s="16">
        <f>_xlfn.XLOOKUP(CustomerCombinedCleaned[[#This Row],[ID]], Table4[ID], Table4[Website], "Not Found", 0)</f>
        <v>4</v>
      </c>
      <c r="T816" s="16">
        <f>_xlfn.XLOOKUP(CustomerCombinedCleaned[[#This Row],[ID]], Table4[ID], Table4[Catalog], "Not Found", 0)</f>
        <v>1</v>
      </c>
      <c r="U816" s="16">
        <f>_xlfn.XLOOKUP(CustomerCombinedCleaned[[#This Row],[ID]], Table4[ID], Table4[Store], "Not Found", 0)</f>
        <v>5</v>
      </c>
      <c r="V816" s="16">
        <f>_xlfn.XLOOKUP(CustomerCombinedCleaned[[#This Row],[ID]], Table4[ID], Table4[Visits], "Not Found", 0)</f>
        <v>7</v>
      </c>
      <c r="W816" s="16">
        <f>_xlfn.XLOOKUP(CustomerCombinedCleaned[[#This Row],[ID]], Table2[ID],Table2[Complaint], "Not Found", 0 )</f>
        <v>0</v>
      </c>
      <c r="X816" s="16">
        <f>_xlfn.XLOOKUP(CustomerCombinedCleaned[[#This Row],[ID]], Table2[ID],Table2[Pilot], "Not Found", 0 )</f>
        <v>0</v>
      </c>
      <c r="Y816" s="16">
        <f>_xlfn.XLOOKUP(CustomerCombinedCleaned[[#This Row],[ID]], Table2[ID],Table2[MC1], "Not Found", 0 )</f>
        <v>0</v>
      </c>
      <c r="Z816" s="16">
        <f>_xlfn.XLOOKUP(CustomerCombinedCleaned[[#This Row],[ID]], Table2[ID],Table2[MC2], "Not Found", 0 )</f>
        <v>0</v>
      </c>
      <c r="AA816" s="16">
        <f>_xlfn.XLOOKUP(CustomerCombinedCleaned[[#This Row],[ID]], Table2[ID],Table2[MC3], "Not Found", 0 )</f>
        <v>0</v>
      </c>
      <c r="AB816" s="16">
        <f>_xlfn.XLOOKUP(CustomerCombinedCleaned[[#This Row],[ID]], Table2[ID],Table2[MC4], "Not Found", 0 )</f>
        <v>0</v>
      </c>
      <c r="AC816" s="16">
        <f>_xlfn.XLOOKUP(CustomerCombinedCleaned[[#This Row],[ID]], Table2[ID],Table2[MC5], "Not Found", 0 )</f>
        <v>0</v>
      </c>
    </row>
    <row r="817" spans="1:29" x14ac:dyDescent="0.3">
      <c r="A817" s="18">
        <v>1822</v>
      </c>
      <c r="B817" s="16">
        <v>140049</v>
      </c>
      <c r="C817" s="16">
        <v>0</v>
      </c>
      <c r="D817" s="16">
        <v>1</v>
      </c>
      <c r="E817" s="16">
        <v>46</v>
      </c>
      <c r="F817" s="17" t="s">
        <v>6</v>
      </c>
      <c r="G817" s="17" t="s">
        <v>11</v>
      </c>
      <c r="H817" s="3" t="s">
        <v>631</v>
      </c>
      <c r="I817" s="5" t="s">
        <v>439</v>
      </c>
      <c r="J817" s="16">
        <f>_xlfn.XLOOKUP(CustomerCombinedCleaned[[#This Row],[ID]], Table4[ID], Table4[Recency], "Not Found", 0)</f>
        <v>61</v>
      </c>
      <c r="K817" s="16">
        <f>_xlfn.XLOOKUP(CustomerCombinedCleaned[[#This Row],[ID]], Table4[ID], Table4[Teas], "Not Found", 0)</f>
        <v>318</v>
      </c>
      <c r="L817" s="16">
        <f>_xlfn.XLOOKUP(CustomerCombinedCleaned[[#This Row],[ID]], Table4[ID], Table4[Fruits], "Not Found", 0)</f>
        <v>227</v>
      </c>
      <c r="M817" s="16">
        <f>_xlfn.XLOOKUP(CustomerCombinedCleaned[[#This Row],[ID]], Table4[ID], Table4[Meats], "Not Found", 0)</f>
        <v>182</v>
      </c>
      <c r="N817" s="16">
        <f>_xlfn.XLOOKUP(CustomerCombinedCleaned[[#This Row],[ID]], Table4[ID], Table4[Seafood], "Not Found", 0)</f>
        <v>35</v>
      </c>
      <c r="O817" s="16">
        <f>_xlfn.XLOOKUP(CustomerCombinedCleaned[[#This Row],[ID]], Table4[ID], Table4[Sweets], "Not Found", 0)</f>
        <v>154</v>
      </c>
      <c r="P817" s="16">
        <f>_xlfn.XLOOKUP(CustomerCombinedCleaned[[#This Row],[ID]], Table4[ID], Table4[Premium], "Not Found", 0)</f>
        <v>98</v>
      </c>
      <c r="Q817" s="16">
        <f>_xlfn.XLOOKUP(CustomerCombinedCleaned[[#This Row],[ID]], Table4[ID], Table4[Regular], "Not Found", 0)</f>
        <v>818</v>
      </c>
      <c r="R817" s="16">
        <f>_xlfn.XLOOKUP(CustomerCombinedCleaned[[#This Row],[ID]], Table4[ID], Table4[Deals], "Not Found", 0)</f>
        <v>3</v>
      </c>
      <c r="S817" s="16">
        <f>_xlfn.XLOOKUP(CustomerCombinedCleaned[[#This Row],[ID]], Table4[ID], Table4[Website], "Not Found", 0)</f>
        <v>3</v>
      </c>
      <c r="T817" s="16">
        <f>_xlfn.XLOOKUP(CustomerCombinedCleaned[[#This Row],[ID]], Table4[ID], Table4[Catalog], "Not Found", 0)</f>
        <v>2</v>
      </c>
      <c r="U817" s="16">
        <f>_xlfn.XLOOKUP(CustomerCombinedCleaned[[#This Row],[ID]], Table4[ID], Table4[Store], "Not Found", 0)</f>
        <v>6</v>
      </c>
      <c r="V817" s="16">
        <f>_xlfn.XLOOKUP(CustomerCombinedCleaned[[#This Row],[ID]], Table4[ID], Table4[Visits], "Not Found", 0)</f>
        <v>5</v>
      </c>
      <c r="W817" s="16">
        <f>_xlfn.XLOOKUP(CustomerCombinedCleaned[[#This Row],[ID]], Table2[ID],Table2[Complaint], "Not Found", 0 )</f>
        <v>0</v>
      </c>
      <c r="X817" s="16">
        <f>_xlfn.XLOOKUP(CustomerCombinedCleaned[[#This Row],[ID]], Table2[ID],Table2[Pilot], "Not Found", 0 )</f>
        <v>0</v>
      </c>
      <c r="Y817" s="16">
        <f>_xlfn.XLOOKUP(CustomerCombinedCleaned[[#This Row],[ID]], Table2[ID],Table2[MC1], "Not Found", 0 )</f>
        <v>0</v>
      </c>
      <c r="Z817" s="16">
        <f>_xlfn.XLOOKUP(CustomerCombinedCleaned[[#This Row],[ID]], Table2[ID],Table2[MC2], "Not Found", 0 )</f>
        <v>0</v>
      </c>
      <c r="AA817" s="16">
        <f>_xlfn.XLOOKUP(CustomerCombinedCleaned[[#This Row],[ID]], Table2[ID],Table2[MC3], "Not Found", 0 )</f>
        <v>0</v>
      </c>
      <c r="AB817" s="16">
        <f>_xlfn.XLOOKUP(CustomerCombinedCleaned[[#This Row],[ID]], Table2[ID],Table2[MC4], "Not Found", 0 )</f>
        <v>0</v>
      </c>
      <c r="AC817" s="16">
        <f>_xlfn.XLOOKUP(CustomerCombinedCleaned[[#This Row],[ID]], Table2[ID],Table2[MC5], "Not Found", 0 )</f>
        <v>0</v>
      </c>
    </row>
    <row r="818" spans="1:29" x14ac:dyDescent="0.3">
      <c r="A818" s="18">
        <v>2372</v>
      </c>
      <c r="B818" s="16">
        <v>139996</v>
      </c>
      <c r="C818" s="16">
        <v>1</v>
      </c>
      <c r="D818" s="16">
        <v>1</v>
      </c>
      <c r="E818" s="16">
        <v>46</v>
      </c>
      <c r="F818" s="17" t="s">
        <v>5</v>
      </c>
      <c r="G818" s="17" t="s">
        <v>11</v>
      </c>
      <c r="H818" s="3" t="s">
        <v>45</v>
      </c>
      <c r="I818" s="5" t="s">
        <v>438</v>
      </c>
      <c r="J818" s="16">
        <f>_xlfn.XLOOKUP(CustomerCombinedCleaned[[#This Row],[ID]], Table4[ID], Table4[Recency], "Not Found", 0)</f>
        <v>85</v>
      </c>
      <c r="K818" s="16">
        <f>_xlfn.XLOOKUP(CustomerCombinedCleaned[[#This Row],[ID]], Table4[ID], Table4[Teas], "Not Found", 0)</f>
        <v>39</v>
      </c>
      <c r="L818" s="16">
        <f>_xlfn.XLOOKUP(CustomerCombinedCleaned[[#This Row],[ID]], Table4[ID], Table4[Fruits], "Not Found", 0)</f>
        <v>0</v>
      </c>
      <c r="M818" s="16">
        <f>_xlfn.XLOOKUP(CustomerCombinedCleaned[[#This Row],[ID]], Table4[ID], Table4[Meats], "Not Found", 0)</f>
        <v>11</v>
      </c>
      <c r="N818" s="16">
        <f>_xlfn.XLOOKUP(CustomerCombinedCleaned[[#This Row],[ID]], Table4[ID], Table4[Seafood], "Not Found", 0)</f>
        <v>0</v>
      </c>
      <c r="O818" s="16">
        <f>_xlfn.XLOOKUP(CustomerCombinedCleaned[[#This Row],[ID]], Table4[ID], Table4[Sweets], "Not Found", 0)</f>
        <v>0</v>
      </c>
      <c r="P818" s="16">
        <f>_xlfn.XLOOKUP(CustomerCombinedCleaned[[#This Row],[ID]], Table4[ID], Table4[Premium], "Not Found", 0)</f>
        <v>4</v>
      </c>
      <c r="Q818" s="16">
        <f>_xlfn.XLOOKUP(CustomerCombinedCleaned[[#This Row],[ID]], Table4[ID], Table4[Regular], "Not Found", 0)</f>
        <v>46</v>
      </c>
      <c r="R818" s="16">
        <f>_xlfn.XLOOKUP(CustomerCombinedCleaned[[#This Row],[ID]], Table4[ID], Table4[Deals], "Not Found", 0)</f>
        <v>1</v>
      </c>
      <c r="S818" s="16">
        <f>_xlfn.XLOOKUP(CustomerCombinedCleaned[[#This Row],[ID]], Table4[ID], Table4[Website], "Not Found", 0)</f>
        <v>1</v>
      </c>
      <c r="T818" s="16">
        <f>_xlfn.XLOOKUP(CustomerCombinedCleaned[[#This Row],[ID]], Table4[ID], Table4[Catalog], "Not Found", 0)</f>
        <v>0</v>
      </c>
      <c r="U818" s="16">
        <f>_xlfn.XLOOKUP(CustomerCombinedCleaned[[#This Row],[ID]], Table4[ID], Table4[Store], "Not Found", 0)</f>
        <v>2</v>
      </c>
      <c r="V818" s="16">
        <f>_xlfn.XLOOKUP(CustomerCombinedCleaned[[#This Row],[ID]], Table4[ID], Table4[Visits], "Not Found", 0)</f>
        <v>6</v>
      </c>
      <c r="W818" s="16">
        <f>_xlfn.XLOOKUP(CustomerCombinedCleaned[[#This Row],[ID]], Table2[ID],Table2[Complaint], "Not Found", 0 )</f>
        <v>0</v>
      </c>
      <c r="X818" s="16">
        <f>_xlfn.XLOOKUP(CustomerCombinedCleaned[[#This Row],[ID]], Table2[ID],Table2[Pilot], "Not Found", 0 )</f>
        <v>0</v>
      </c>
      <c r="Y818" s="16">
        <f>_xlfn.XLOOKUP(CustomerCombinedCleaned[[#This Row],[ID]], Table2[ID],Table2[MC1], "Not Found", 0 )</f>
        <v>0</v>
      </c>
      <c r="Z818" s="16">
        <f>_xlfn.XLOOKUP(CustomerCombinedCleaned[[#This Row],[ID]], Table2[ID],Table2[MC2], "Not Found", 0 )</f>
        <v>0</v>
      </c>
      <c r="AA818" s="16">
        <f>_xlfn.XLOOKUP(CustomerCombinedCleaned[[#This Row],[ID]], Table2[ID],Table2[MC3], "Not Found", 0 )</f>
        <v>0</v>
      </c>
      <c r="AB818" s="16">
        <f>_xlfn.XLOOKUP(CustomerCombinedCleaned[[#This Row],[ID]], Table2[ID],Table2[MC4], "Not Found", 0 )</f>
        <v>0</v>
      </c>
      <c r="AC818" s="16">
        <f>_xlfn.XLOOKUP(CustomerCombinedCleaned[[#This Row],[ID]], Table2[ID],Table2[MC5], "Not Found", 0 )</f>
        <v>0</v>
      </c>
    </row>
    <row r="819" spans="1:29" x14ac:dyDescent="0.3">
      <c r="A819" s="18">
        <v>2072</v>
      </c>
      <c r="B819" s="16">
        <v>139190</v>
      </c>
      <c r="C819" s="16">
        <v>1</v>
      </c>
      <c r="D819" s="16">
        <v>0</v>
      </c>
      <c r="E819" s="16">
        <v>46</v>
      </c>
      <c r="F819" s="17" t="s">
        <v>7</v>
      </c>
      <c r="G819" s="17" t="s">
        <v>13</v>
      </c>
      <c r="H819" s="3" t="s">
        <v>56</v>
      </c>
      <c r="I819" s="5" t="s">
        <v>438</v>
      </c>
      <c r="J819" s="16">
        <f>_xlfn.XLOOKUP(CustomerCombinedCleaned[[#This Row],[ID]], Table4[ID], Table4[Recency], "Not Found", 0)</f>
        <v>91</v>
      </c>
      <c r="K819" s="16">
        <f>_xlfn.XLOOKUP(CustomerCombinedCleaned[[#This Row],[ID]], Table4[ID], Table4[Teas], "Not Found", 0)</f>
        <v>242</v>
      </c>
      <c r="L819" s="16">
        <f>_xlfn.XLOOKUP(CustomerCombinedCleaned[[#This Row],[ID]], Table4[ID], Table4[Fruits], "Not Found", 0)</f>
        <v>28</v>
      </c>
      <c r="M819" s="16">
        <f>_xlfn.XLOOKUP(CustomerCombinedCleaned[[#This Row],[ID]], Table4[ID], Table4[Meats], "Not Found", 0)</f>
        <v>64</v>
      </c>
      <c r="N819" s="16">
        <f>_xlfn.XLOOKUP(CustomerCombinedCleaned[[#This Row],[ID]], Table4[ID], Table4[Seafood], "Not Found", 0)</f>
        <v>67</v>
      </c>
      <c r="O819" s="16">
        <f>_xlfn.XLOOKUP(CustomerCombinedCleaned[[#This Row],[ID]], Table4[ID], Table4[Sweets], "Not Found", 0)</f>
        <v>28</v>
      </c>
      <c r="P819" s="16">
        <f>_xlfn.XLOOKUP(CustomerCombinedCleaned[[#This Row],[ID]], Table4[ID], Table4[Premium], "Not Found", 0)</f>
        <v>43</v>
      </c>
      <c r="Q819" s="16">
        <f>_xlfn.XLOOKUP(CustomerCombinedCleaned[[#This Row],[ID]], Table4[ID], Table4[Regular], "Not Found", 0)</f>
        <v>387</v>
      </c>
      <c r="R819" s="16">
        <f>_xlfn.XLOOKUP(CustomerCombinedCleaned[[#This Row],[ID]], Table4[ID], Table4[Deals], "Not Found", 0)</f>
        <v>2</v>
      </c>
      <c r="S819" s="16">
        <f>_xlfn.XLOOKUP(CustomerCombinedCleaned[[#This Row],[ID]], Table4[ID], Table4[Website], "Not Found", 0)</f>
        <v>2</v>
      </c>
      <c r="T819" s="16">
        <f>_xlfn.XLOOKUP(CustomerCombinedCleaned[[#This Row],[ID]], Table4[ID], Table4[Catalog], "Not Found", 0)</f>
        <v>1</v>
      </c>
      <c r="U819" s="16">
        <f>_xlfn.XLOOKUP(CustomerCombinedCleaned[[#This Row],[ID]], Table4[ID], Table4[Store], "Not Found", 0)</f>
        <v>4</v>
      </c>
      <c r="V819" s="16">
        <f>_xlfn.XLOOKUP(CustomerCombinedCleaned[[#This Row],[ID]], Table4[ID], Table4[Visits], "Not Found", 0)</f>
        <v>5</v>
      </c>
      <c r="W819" s="16">
        <f>_xlfn.XLOOKUP(CustomerCombinedCleaned[[#This Row],[ID]], Table2[ID],Table2[Complaint], "Not Found", 0 )</f>
        <v>0</v>
      </c>
      <c r="X819" s="16">
        <f>_xlfn.XLOOKUP(CustomerCombinedCleaned[[#This Row],[ID]], Table2[ID],Table2[Pilot], "Not Found", 0 )</f>
        <v>0</v>
      </c>
      <c r="Y819" s="16">
        <f>_xlfn.XLOOKUP(CustomerCombinedCleaned[[#This Row],[ID]], Table2[ID],Table2[MC1], "Not Found", 0 )</f>
        <v>0</v>
      </c>
      <c r="Z819" s="16">
        <f>_xlfn.XLOOKUP(CustomerCombinedCleaned[[#This Row],[ID]], Table2[ID],Table2[MC2], "Not Found", 0 )</f>
        <v>0</v>
      </c>
      <c r="AA819" s="16">
        <f>_xlfn.XLOOKUP(CustomerCombinedCleaned[[#This Row],[ID]], Table2[ID],Table2[MC3], "Not Found", 0 )</f>
        <v>0</v>
      </c>
      <c r="AB819" s="16">
        <f>_xlfn.XLOOKUP(CustomerCombinedCleaned[[#This Row],[ID]], Table2[ID],Table2[MC4], "Not Found", 0 )</f>
        <v>0</v>
      </c>
      <c r="AC819" s="16">
        <f>_xlfn.XLOOKUP(CustomerCombinedCleaned[[#This Row],[ID]], Table2[ID],Table2[MC5], "Not Found", 0 )</f>
        <v>0</v>
      </c>
    </row>
    <row r="820" spans="1:29" x14ac:dyDescent="0.3">
      <c r="A820" s="18">
        <v>2435</v>
      </c>
      <c r="B820" s="16">
        <v>138410</v>
      </c>
      <c r="C820" s="16">
        <v>0</v>
      </c>
      <c r="D820" s="16">
        <v>0</v>
      </c>
      <c r="E820" s="16">
        <v>46</v>
      </c>
      <c r="F820" s="17" t="s">
        <v>6</v>
      </c>
      <c r="G820" s="17" t="s">
        <v>13</v>
      </c>
      <c r="H820" s="3" t="s">
        <v>396</v>
      </c>
      <c r="I820" s="5" t="s">
        <v>434</v>
      </c>
      <c r="J820" s="16">
        <f>_xlfn.XLOOKUP(CustomerCombinedCleaned[[#This Row],[ID]], Table4[ID], Table4[Recency], "Not Found", 0)</f>
        <v>65</v>
      </c>
      <c r="K820" s="16">
        <f>_xlfn.XLOOKUP(CustomerCombinedCleaned[[#This Row],[ID]], Table4[ID], Table4[Teas], "Not Found", 0)</f>
        <v>551</v>
      </c>
      <c r="L820" s="16">
        <f>_xlfn.XLOOKUP(CustomerCombinedCleaned[[#This Row],[ID]], Table4[ID], Table4[Fruits], "Not Found", 0)</f>
        <v>231</v>
      </c>
      <c r="M820" s="16">
        <f>_xlfn.XLOOKUP(CustomerCombinedCleaned[[#This Row],[ID]], Table4[ID], Table4[Meats], "Not Found", 0)</f>
        <v>443</v>
      </c>
      <c r="N820" s="16">
        <f>_xlfn.XLOOKUP(CustomerCombinedCleaned[[#This Row],[ID]], Table4[ID], Table4[Seafood], "Not Found", 0)</f>
        <v>418</v>
      </c>
      <c r="O820" s="16">
        <f>_xlfn.XLOOKUP(CustomerCombinedCleaned[[#This Row],[ID]], Table4[ID], Table4[Sweets], "Not Found", 0)</f>
        <v>231</v>
      </c>
      <c r="P820" s="16">
        <f>_xlfn.XLOOKUP(CustomerCombinedCleaned[[#This Row],[ID]], Table4[ID], Table4[Premium], "Not Found", 0)</f>
        <v>50</v>
      </c>
      <c r="Q820" s="16">
        <f>_xlfn.XLOOKUP(CustomerCombinedCleaned[[#This Row],[ID]], Table4[ID], Table4[Regular], "Not Found", 0)</f>
        <v>1823</v>
      </c>
      <c r="R820" s="16">
        <f>_xlfn.XLOOKUP(CustomerCombinedCleaned[[#This Row],[ID]], Table4[ID], Table4[Deals], "Not Found", 0)</f>
        <v>2</v>
      </c>
      <c r="S820" s="16">
        <f>_xlfn.XLOOKUP(CustomerCombinedCleaned[[#This Row],[ID]], Table4[ID], Table4[Website], "Not Found", 0)</f>
        <v>5</v>
      </c>
      <c r="T820" s="16">
        <f>_xlfn.XLOOKUP(CustomerCombinedCleaned[[#This Row],[ID]], Table4[ID], Table4[Catalog], "Not Found", 0)</f>
        <v>2</v>
      </c>
      <c r="U820" s="16">
        <f>_xlfn.XLOOKUP(CustomerCombinedCleaned[[#This Row],[ID]], Table4[ID], Table4[Store], "Not Found", 0)</f>
        <v>9</v>
      </c>
      <c r="V820" s="16">
        <f>_xlfn.XLOOKUP(CustomerCombinedCleaned[[#This Row],[ID]], Table4[ID], Table4[Visits], "Not Found", 0)</f>
        <v>6</v>
      </c>
      <c r="W820" s="16">
        <f>_xlfn.XLOOKUP(CustomerCombinedCleaned[[#This Row],[ID]], Table2[ID],Table2[Complaint], "Not Found", 0 )</f>
        <v>0</v>
      </c>
      <c r="X820" s="16">
        <f>_xlfn.XLOOKUP(CustomerCombinedCleaned[[#This Row],[ID]], Table2[ID],Table2[Pilot], "Not Found", 0 )</f>
        <v>1</v>
      </c>
      <c r="Y820" s="16">
        <f>_xlfn.XLOOKUP(CustomerCombinedCleaned[[#This Row],[ID]], Table2[ID],Table2[MC1], "Not Found", 0 )</f>
        <v>0</v>
      </c>
      <c r="Z820" s="16">
        <f>_xlfn.XLOOKUP(CustomerCombinedCleaned[[#This Row],[ID]], Table2[ID],Table2[MC2], "Not Found", 0 )</f>
        <v>0</v>
      </c>
      <c r="AA820" s="16">
        <f>_xlfn.XLOOKUP(CustomerCombinedCleaned[[#This Row],[ID]], Table2[ID],Table2[MC3], "Not Found", 0 )</f>
        <v>0</v>
      </c>
      <c r="AB820" s="16">
        <f>_xlfn.XLOOKUP(CustomerCombinedCleaned[[#This Row],[ID]], Table2[ID],Table2[MC4], "Not Found", 0 )</f>
        <v>0</v>
      </c>
      <c r="AC820" s="16">
        <f>_xlfn.XLOOKUP(CustomerCombinedCleaned[[#This Row],[ID]], Table2[ID],Table2[MC5], "Not Found", 0 )</f>
        <v>0</v>
      </c>
    </row>
    <row r="821" spans="1:29" x14ac:dyDescent="0.3">
      <c r="A821" s="18">
        <v>1879</v>
      </c>
      <c r="B821" s="16">
        <v>137087</v>
      </c>
      <c r="C821" s="16">
        <v>1</v>
      </c>
      <c r="D821" s="16">
        <v>0</v>
      </c>
      <c r="E821" s="16">
        <v>46</v>
      </c>
      <c r="F821" s="17" t="s">
        <v>6</v>
      </c>
      <c r="G821" s="17" t="s">
        <v>13</v>
      </c>
      <c r="H821" s="3" t="s">
        <v>206</v>
      </c>
      <c r="I821" s="5" t="s">
        <v>437</v>
      </c>
      <c r="J821" s="16">
        <f>_xlfn.XLOOKUP(CustomerCombinedCleaned[[#This Row],[ID]], Table4[ID], Table4[Recency], "Not Found", 0)</f>
        <v>50</v>
      </c>
      <c r="K821" s="16">
        <f>_xlfn.XLOOKUP(CustomerCombinedCleaned[[#This Row],[ID]], Table4[ID], Table4[Teas], "Not Found", 0)</f>
        <v>717</v>
      </c>
      <c r="L821" s="16">
        <f>_xlfn.XLOOKUP(CustomerCombinedCleaned[[#This Row],[ID]], Table4[ID], Table4[Fruits], "Not Found", 0)</f>
        <v>203</v>
      </c>
      <c r="M821" s="16">
        <f>_xlfn.XLOOKUP(CustomerCombinedCleaned[[#This Row],[ID]], Table4[ID], Table4[Meats], "Not Found", 0)</f>
        <v>495</v>
      </c>
      <c r="N821" s="16">
        <f>_xlfn.XLOOKUP(CustomerCombinedCleaned[[#This Row],[ID]], Table4[ID], Table4[Seafood], "Not Found", 0)</f>
        <v>55</v>
      </c>
      <c r="O821" s="16">
        <f>_xlfn.XLOOKUP(CustomerCombinedCleaned[[#This Row],[ID]], Table4[ID], Table4[Sweets], "Not Found", 0)</f>
        <v>0</v>
      </c>
      <c r="P821" s="16">
        <f>_xlfn.XLOOKUP(CustomerCombinedCleaned[[#This Row],[ID]], Table4[ID], Table4[Premium], "Not Found", 0)</f>
        <v>11</v>
      </c>
      <c r="Q821" s="16">
        <f>_xlfn.XLOOKUP(CustomerCombinedCleaned[[#This Row],[ID]], Table4[ID], Table4[Regular], "Not Found", 0)</f>
        <v>1460</v>
      </c>
      <c r="R821" s="16">
        <f>_xlfn.XLOOKUP(CustomerCombinedCleaned[[#This Row],[ID]], Table4[ID], Table4[Deals], "Not Found", 0)</f>
        <v>3</v>
      </c>
      <c r="S821" s="16">
        <f>_xlfn.XLOOKUP(CustomerCombinedCleaned[[#This Row],[ID]], Table4[ID], Table4[Website], "Not Found", 0)</f>
        <v>4</v>
      </c>
      <c r="T821" s="16">
        <f>_xlfn.XLOOKUP(CustomerCombinedCleaned[[#This Row],[ID]], Table4[ID], Table4[Catalog], "Not Found", 0)</f>
        <v>2</v>
      </c>
      <c r="U821" s="16">
        <f>_xlfn.XLOOKUP(CustomerCombinedCleaned[[#This Row],[ID]], Table4[ID], Table4[Store], "Not Found", 0)</f>
        <v>8</v>
      </c>
      <c r="V821" s="16">
        <f>_xlfn.XLOOKUP(CustomerCombinedCleaned[[#This Row],[ID]], Table4[ID], Table4[Visits], "Not Found", 0)</f>
        <v>6</v>
      </c>
      <c r="W821" s="16">
        <f>_xlfn.XLOOKUP(CustomerCombinedCleaned[[#This Row],[ID]], Table2[ID],Table2[Complaint], "Not Found", 0 )</f>
        <v>0</v>
      </c>
      <c r="X821" s="16">
        <f>_xlfn.XLOOKUP(CustomerCombinedCleaned[[#This Row],[ID]], Table2[ID],Table2[Pilot], "Not Found", 0 )</f>
        <v>0</v>
      </c>
      <c r="Y821" s="16">
        <f>_xlfn.XLOOKUP(CustomerCombinedCleaned[[#This Row],[ID]], Table2[ID],Table2[MC1], "Not Found", 0 )</f>
        <v>0</v>
      </c>
      <c r="Z821" s="16">
        <f>_xlfn.XLOOKUP(CustomerCombinedCleaned[[#This Row],[ID]], Table2[ID],Table2[MC2], "Not Found", 0 )</f>
        <v>0</v>
      </c>
      <c r="AA821" s="16">
        <f>_xlfn.XLOOKUP(CustomerCombinedCleaned[[#This Row],[ID]], Table2[ID],Table2[MC3], "Not Found", 0 )</f>
        <v>0</v>
      </c>
      <c r="AB821" s="16">
        <f>_xlfn.XLOOKUP(CustomerCombinedCleaned[[#This Row],[ID]], Table2[ID],Table2[MC4], "Not Found", 0 )</f>
        <v>0</v>
      </c>
      <c r="AC821" s="16">
        <f>_xlfn.XLOOKUP(CustomerCombinedCleaned[[#This Row],[ID]], Table2[ID],Table2[MC5], "Not Found", 0 )</f>
        <v>0</v>
      </c>
    </row>
    <row r="822" spans="1:29" x14ac:dyDescent="0.3">
      <c r="A822" s="18">
        <v>1949</v>
      </c>
      <c r="B822" s="16">
        <v>134596</v>
      </c>
      <c r="C822" s="16">
        <v>1</v>
      </c>
      <c r="D822" s="16">
        <v>0</v>
      </c>
      <c r="E822" s="16">
        <v>46</v>
      </c>
      <c r="F822" s="17" t="s">
        <v>6</v>
      </c>
      <c r="G822" s="17" t="s">
        <v>13</v>
      </c>
      <c r="H822" s="3" t="s">
        <v>276</v>
      </c>
      <c r="I822" s="5" t="s">
        <v>434</v>
      </c>
      <c r="J822" s="16">
        <f>_xlfn.XLOOKUP(CustomerCombinedCleaned[[#This Row],[ID]], Table4[ID], Table4[Recency], "Not Found", 0)</f>
        <v>48</v>
      </c>
      <c r="K822" s="16">
        <f>_xlfn.XLOOKUP(CustomerCombinedCleaned[[#This Row],[ID]], Table4[ID], Table4[Teas], "Not Found", 0)</f>
        <v>54</v>
      </c>
      <c r="L822" s="16">
        <f>_xlfn.XLOOKUP(CustomerCombinedCleaned[[#This Row],[ID]], Table4[ID], Table4[Fruits], "Not Found", 0)</f>
        <v>0</v>
      </c>
      <c r="M822" s="16">
        <f>_xlfn.XLOOKUP(CustomerCombinedCleaned[[#This Row],[ID]], Table4[ID], Table4[Meats], "Not Found", 0)</f>
        <v>8</v>
      </c>
      <c r="N822" s="16">
        <f>_xlfn.XLOOKUP(CustomerCombinedCleaned[[#This Row],[ID]], Table4[ID], Table4[Seafood], "Not Found", 0)</f>
        <v>0</v>
      </c>
      <c r="O822" s="16">
        <f>_xlfn.XLOOKUP(CustomerCombinedCleaned[[#This Row],[ID]], Table4[ID], Table4[Sweets], "Not Found", 0)</f>
        <v>0</v>
      </c>
      <c r="P822" s="16">
        <f>_xlfn.XLOOKUP(CustomerCombinedCleaned[[#This Row],[ID]], Table4[ID], Table4[Premium], "Not Found", 0)</f>
        <v>27</v>
      </c>
      <c r="Q822" s="16">
        <f>_xlfn.XLOOKUP(CustomerCombinedCleaned[[#This Row],[ID]], Table4[ID], Table4[Regular], "Not Found", 0)</f>
        <v>35</v>
      </c>
      <c r="R822" s="16">
        <f>_xlfn.XLOOKUP(CustomerCombinedCleaned[[#This Row],[ID]], Table4[ID], Table4[Deals], "Not Found", 0)</f>
        <v>1</v>
      </c>
      <c r="S822" s="16">
        <f>_xlfn.XLOOKUP(CustomerCombinedCleaned[[#This Row],[ID]], Table4[ID], Table4[Website], "Not Found", 0)</f>
        <v>1</v>
      </c>
      <c r="T822" s="16">
        <f>_xlfn.XLOOKUP(CustomerCombinedCleaned[[#This Row],[ID]], Table4[ID], Table4[Catalog], "Not Found", 0)</f>
        <v>0</v>
      </c>
      <c r="U822" s="16">
        <f>_xlfn.XLOOKUP(CustomerCombinedCleaned[[#This Row],[ID]], Table4[ID], Table4[Store], "Not Found", 0)</f>
        <v>2</v>
      </c>
      <c r="V822" s="16">
        <f>_xlfn.XLOOKUP(CustomerCombinedCleaned[[#This Row],[ID]], Table4[ID], Table4[Visits], "Not Found", 0)</f>
        <v>8</v>
      </c>
      <c r="W822" s="16">
        <f>_xlfn.XLOOKUP(CustomerCombinedCleaned[[#This Row],[ID]], Table2[ID],Table2[Complaint], "Not Found", 0 )</f>
        <v>0</v>
      </c>
      <c r="X822" s="16">
        <f>_xlfn.XLOOKUP(CustomerCombinedCleaned[[#This Row],[ID]], Table2[ID],Table2[Pilot], "Not Found", 0 )</f>
        <v>1</v>
      </c>
      <c r="Y822" s="16">
        <f>_xlfn.XLOOKUP(CustomerCombinedCleaned[[#This Row],[ID]], Table2[ID],Table2[MC1], "Not Found", 0 )</f>
        <v>0</v>
      </c>
      <c r="Z822" s="16">
        <f>_xlfn.XLOOKUP(CustomerCombinedCleaned[[#This Row],[ID]], Table2[ID],Table2[MC2], "Not Found", 0 )</f>
        <v>0</v>
      </c>
      <c r="AA822" s="16">
        <f>_xlfn.XLOOKUP(CustomerCombinedCleaned[[#This Row],[ID]], Table2[ID],Table2[MC3], "Not Found", 0 )</f>
        <v>0</v>
      </c>
      <c r="AB822" s="16">
        <f>_xlfn.XLOOKUP(CustomerCombinedCleaned[[#This Row],[ID]], Table2[ID],Table2[MC4], "Not Found", 0 )</f>
        <v>0</v>
      </c>
      <c r="AC822" s="16">
        <f>_xlfn.XLOOKUP(CustomerCombinedCleaned[[#This Row],[ID]], Table2[ID],Table2[MC5], "Not Found", 0 )</f>
        <v>0</v>
      </c>
    </row>
    <row r="823" spans="1:29" x14ac:dyDescent="0.3">
      <c r="A823" s="18">
        <v>2402</v>
      </c>
      <c r="B823" s="16">
        <v>134596</v>
      </c>
      <c r="C823" s="16">
        <v>1</v>
      </c>
      <c r="D823" s="16">
        <v>0</v>
      </c>
      <c r="E823" s="16">
        <v>46</v>
      </c>
      <c r="F823" s="17" t="s">
        <v>6</v>
      </c>
      <c r="G823" s="17" t="s">
        <v>13</v>
      </c>
      <c r="H823" s="3" t="s">
        <v>276</v>
      </c>
      <c r="I823" s="5" t="s">
        <v>438</v>
      </c>
      <c r="J823" s="16">
        <f>_xlfn.XLOOKUP(CustomerCombinedCleaned[[#This Row],[ID]], Table4[ID], Table4[Recency], "Not Found", 0)</f>
        <v>48</v>
      </c>
      <c r="K823" s="16">
        <f>_xlfn.XLOOKUP(CustomerCombinedCleaned[[#This Row],[ID]], Table4[ID], Table4[Teas], "Not Found", 0)</f>
        <v>54</v>
      </c>
      <c r="L823" s="16">
        <f>_xlfn.XLOOKUP(CustomerCombinedCleaned[[#This Row],[ID]], Table4[ID], Table4[Fruits], "Not Found", 0)</f>
        <v>0</v>
      </c>
      <c r="M823" s="16">
        <f>_xlfn.XLOOKUP(CustomerCombinedCleaned[[#This Row],[ID]], Table4[ID], Table4[Meats], "Not Found", 0)</f>
        <v>8</v>
      </c>
      <c r="N823" s="16">
        <f>_xlfn.XLOOKUP(CustomerCombinedCleaned[[#This Row],[ID]], Table4[ID], Table4[Seafood], "Not Found", 0)</f>
        <v>0</v>
      </c>
      <c r="O823" s="16">
        <f>_xlfn.XLOOKUP(CustomerCombinedCleaned[[#This Row],[ID]], Table4[ID], Table4[Sweets], "Not Found", 0)</f>
        <v>0</v>
      </c>
      <c r="P823" s="16">
        <f>_xlfn.XLOOKUP(CustomerCombinedCleaned[[#This Row],[ID]], Table4[ID], Table4[Premium], "Not Found", 0)</f>
        <v>27</v>
      </c>
      <c r="Q823" s="16">
        <f>_xlfn.XLOOKUP(CustomerCombinedCleaned[[#This Row],[ID]], Table4[ID], Table4[Regular], "Not Found", 0)</f>
        <v>35</v>
      </c>
      <c r="R823" s="16">
        <f>_xlfn.XLOOKUP(CustomerCombinedCleaned[[#This Row],[ID]], Table4[ID], Table4[Deals], "Not Found", 0)</f>
        <v>1</v>
      </c>
      <c r="S823" s="16">
        <f>_xlfn.XLOOKUP(CustomerCombinedCleaned[[#This Row],[ID]], Table4[ID], Table4[Website], "Not Found", 0)</f>
        <v>1</v>
      </c>
      <c r="T823" s="16">
        <f>_xlfn.XLOOKUP(CustomerCombinedCleaned[[#This Row],[ID]], Table4[ID], Table4[Catalog], "Not Found", 0)</f>
        <v>0</v>
      </c>
      <c r="U823" s="16">
        <f>_xlfn.XLOOKUP(CustomerCombinedCleaned[[#This Row],[ID]], Table4[ID], Table4[Store], "Not Found", 0)</f>
        <v>2</v>
      </c>
      <c r="V823" s="16">
        <f>_xlfn.XLOOKUP(CustomerCombinedCleaned[[#This Row],[ID]], Table4[ID], Table4[Visits], "Not Found", 0)</f>
        <v>8</v>
      </c>
      <c r="W823" s="16">
        <f>_xlfn.XLOOKUP(CustomerCombinedCleaned[[#This Row],[ID]], Table2[ID],Table2[Complaint], "Not Found", 0 )</f>
        <v>0</v>
      </c>
      <c r="X823" s="16">
        <f>_xlfn.XLOOKUP(CustomerCombinedCleaned[[#This Row],[ID]], Table2[ID],Table2[Pilot], "Not Found", 0 )</f>
        <v>0</v>
      </c>
      <c r="Y823" s="16">
        <f>_xlfn.XLOOKUP(CustomerCombinedCleaned[[#This Row],[ID]], Table2[ID],Table2[MC1], "Not Found", 0 )</f>
        <v>0</v>
      </c>
      <c r="Z823" s="16">
        <f>_xlfn.XLOOKUP(CustomerCombinedCleaned[[#This Row],[ID]], Table2[ID],Table2[MC2], "Not Found", 0 )</f>
        <v>0</v>
      </c>
      <c r="AA823" s="16">
        <f>_xlfn.XLOOKUP(CustomerCombinedCleaned[[#This Row],[ID]], Table2[ID],Table2[MC3], "Not Found", 0 )</f>
        <v>0</v>
      </c>
      <c r="AB823" s="16">
        <f>_xlfn.XLOOKUP(CustomerCombinedCleaned[[#This Row],[ID]], Table2[ID],Table2[MC4], "Not Found", 0 )</f>
        <v>0</v>
      </c>
      <c r="AC823" s="16">
        <f>_xlfn.XLOOKUP(CustomerCombinedCleaned[[#This Row],[ID]], Table2[ID],Table2[MC5], "Not Found", 0 )</f>
        <v>0</v>
      </c>
    </row>
    <row r="824" spans="1:29" x14ac:dyDescent="0.3">
      <c r="A824" s="18">
        <v>1306</v>
      </c>
      <c r="B824" s="16">
        <v>134421</v>
      </c>
      <c r="C824" s="16">
        <v>1</v>
      </c>
      <c r="D824" s="16">
        <v>0</v>
      </c>
      <c r="E824" s="16">
        <v>46</v>
      </c>
      <c r="F824" s="17" t="s">
        <v>6</v>
      </c>
      <c r="G824" s="17" t="s">
        <v>11</v>
      </c>
      <c r="H824" s="3" t="s">
        <v>701</v>
      </c>
      <c r="I824" s="5" t="s">
        <v>439</v>
      </c>
      <c r="J824" s="16">
        <f>_xlfn.XLOOKUP(CustomerCombinedCleaned[[#This Row],[ID]], Table4[ID], Table4[Recency], "Not Found", 0)</f>
        <v>81</v>
      </c>
      <c r="K824" s="16">
        <f>_xlfn.XLOOKUP(CustomerCombinedCleaned[[#This Row],[ID]], Table4[ID], Table4[Teas], "Not Found", 0)</f>
        <v>12</v>
      </c>
      <c r="L824" s="16">
        <f>_xlfn.XLOOKUP(CustomerCombinedCleaned[[#This Row],[ID]], Table4[ID], Table4[Fruits], "Not Found", 0)</f>
        <v>12</v>
      </c>
      <c r="M824" s="16">
        <f>_xlfn.XLOOKUP(CustomerCombinedCleaned[[#This Row],[ID]], Table4[ID], Table4[Meats], "Not Found", 0)</f>
        <v>27</v>
      </c>
      <c r="N824" s="16">
        <f>_xlfn.XLOOKUP(CustomerCombinedCleaned[[#This Row],[ID]], Table4[ID], Table4[Seafood], "Not Found", 0)</f>
        <v>23</v>
      </c>
      <c r="O824" s="16">
        <f>_xlfn.XLOOKUP(CustomerCombinedCleaned[[#This Row],[ID]], Table4[ID], Table4[Sweets], "Not Found", 0)</f>
        <v>8</v>
      </c>
      <c r="P824" s="16">
        <f>_xlfn.XLOOKUP(CustomerCombinedCleaned[[#This Row],[ID]], Table4[ID], Table4[Premium], "Not Found", 0)</f>
        <v>35</v>
      </c>
      <c r="Q824" s="16">
        <f>_xlfn.XLOOKUP(CustomerCombinedCleaned[[#This Row],[ID]], Table4[ID], Table4[Regular], "Not Found", 0)</f>
        <v>47</v>
      </c>
      <c r="R824" s="16">
        <f>_xlfn.XLOOKUP(CustomerCombinedCleaned[[#This Row],[ID]], Table4[ID], Table4[Deals], "Not Found", 0)</f>
        <v>1</v>
      </c>
      <c r="S824" s="16">
        <f>_xlfn.XLOOKUP(CustomerCombinedCleaned[[#This Row],[ID]], Table4[ID], Table4[Website], "Not Found", 0)</f>
        <v>1</v>
      </c>
      <c r="T824" s="16">
        <f>_xlfn.XLOOKUP(CustomerCombinedCleaned[[#This Row],[ID]], Table4[ID], Table4[Catalog], "Not Found", 0)</f>
        <v>0</v>
      </c>
      <c r="U824" s="16">
        <f>_xlfn.XLOOKUP(CustomerCombinedCleaned[[#This Row],[ID]], Table4[ID], Table4[Store], "Not Found", 0)</f>
        <v>2</v>
      </c>
      <c r="V824" s="16">
        <f>_xlfn.XLOOKUP(CustomerCombinedCleaned[[#This Row],[ID]], Table4[ID], Table4[Visits], "Not Found", 0)</f>
        <v>7</v>
      </c>
      <c r="W824" s="16">
        <f>_xlfn.XLOOKUP(CustomerCombinedCleaned[[#This Row],[ID]], Table2[ID],Table2[Complaint], "Not Found", 0 )</f>
        <v>0</v>
      </c>
      <c r="X824" s="16">
        <f>_xlfn.XLOOKUP(CustomerCombinedCleaned[[#This Row],[ID]], Table2[ID],Table2[Pilot], "Not Found", 0 )</f>
        <v>0</v>
      </c>
      <c r="Y824" s="16">
        <f>_xlfn.XLOOKUP(CustomerCombinedCleaned[[#This Row],[ID]], Table2[ID],Table2[MC1], "Not Found", 0 )</f>
        <v>0</v>
      </c>
      <c r="Z824" s="16">
        <f>_xlfn.XLOOKUP(CustomerCombinedCleaned[[#This Row],[ID]], Table2[ID],Table2[MC2], "Not Found", 0 )</f>
        <v>0</v>
      </c>
      <c r="AA824" s="16">
        <f>_xlfn.XLOOKUP(CustomerCombinedCleaned[[#This Row],[ID]], Table2[ID],Table2[MC3], "Not Found", 0 )</f>
        <v>0</v>
      </c>
      <c r="AB824" s="16">
        <f>_xlfn.XLOOKUP(CustomerCombinedCleaned[[#This Row],[ID]], Table2[ID],Table2[MC4], "Not Found", 0 )</f>
        <v>0</v>
      </c>
      <c r="AC824" s="16">
        <f>_xlfn.XLOOKUP(CustomerCombinedCleaned[[#This Row],[ID]], Table2[ID],Table2[MC5], "Not Found", 0 )</f>
        <v>0</v>
      </c>
    </row>
    <row r="825" spans="1:29" x14ac:dyDescent="0.3">
      <c r="A825" s="18">
        <v>3200</v>
      </c>
      <c r="B825" s="16">
        <v>134421</v>
      </c>
      <c r="C825" s="16">
        <v>1</v>
      </c>
      <c r="D825" s="16">
        <v>0</v>
      </c>
      <c r="E825" s="16">
        <v>46</v>
      </c>
      <c r="F825" s="17" t="s">
        <v>6</v>
      </c>
      <c r="G825" s="17" t="s">
        <v>11</v>
      </c>
      <c r="H825" s="3" t="s">
        <v>701</v>
      </c>
      <c r="I825" s="5" t="s">
        <v>438</v>
      </c>
      <c r="J825" s="16">
        <f>_xlfn.XLOOKUP(CustomerCombinedCleaned[[#This Row],[ID]], Table4[ID], Table4[Recency], "Not Found", 0)</f>
        <v>81</v>
      </c>
      <c r="K825" s="16">
        <f>_xlfn.XLOOKUP(CustomerCombinedCleaned[[#This Row],[ID]], Table4[ID], Table4[Teas], "Not Found", 0)</f>
        <v>12</v>
      </c>
      <c r="L825" s="16">
        <f>_xlfn.XLOOKUP(CustomerCombinedCleaned[[#This Row],[ID]], Table4[ID], Table4[Fruits], "Not Found", 0)</f>
        <v>12</v>
      </c>
      <c r="M825" s="16">
        <f>_xlfn.XLOOKUP(CustomerCombinedCleaned[[#This Row],[ID]], Table4[ID], Table4[Meats], "Not Found", 0)</f>
        <v>27</v>
      </c>
      <c r="N825" s="16">
        <f>_xlfn.XLOOKUP(CustomerCombinedCleaned[[#This Row],[ID]], Table4[ID], Table4[Seafood], "Not Found", 0)</f>
        <v>23</v>
      </c>
      <c r="O825" s="16">
        <f>_xlfn.XLOOKUP(CustomerCombinedCleaned[[#This Row],[ID]], Table4[ID], Table4[Sweets], "Not Found", 0)</f>
        <v>8</v>
      </c>
      <c r="P825" s="16">
        <f>_xlfn.XLOOKUP(CustomerCombinedCleaned[[#This Row],[ID]], Table4[ID], Table4[Premium], "Not Found", 0)</f>
        <v>35</v>
      </c>
      <c r="Q825" s="16">
        <f>_xlfn.XLOOKUP(CustomerCombinedCleaned[[#This Row],[ID]], Table4[ID], Table4[Regular], "Not Found", 0)</f>
        <v>47</v>
      </c>
      <c r="R825" s="16">
        <f>_xlfn.XLOOKUP(CustomerCombinedCleaned[[#This Row],[ID]], Table4[ID], Table4[Deals], "Not Found", 0)</f>
        <v>1</v>
      </c>
      <c r="S825" s="16">
        <f>_xlfn.XLOOKUP(CustomerCombinedCleaned[[#This Row],[ID]], Table4[ID], Table4[Website], "Not Found", 0)</f>
        <v>1</v>
      </c>
      <c r="T825" s="16">
        <f>_xlfn.XLOOKUP(CustomerCombinedCleaned[[#This Row],[ID]], Table4[ID], Table4[Catalog], "Not Found", 0)</f>
        <v>0</v>
      </c>
      <c r="U825" s="16">
        <f>_xlfn.XLOOKUP(CustomerCombinedCleaned[[#This Row],[ID]], Table4[ID], Table4[Store], "Not Found", 0)</f>
        <v>2</v>
      </c>
      <c r="V825" s="16">
        <f>_xlfn.XLOOKUP(CustomerCombinedCleaned[[#This Row],[ID]], Table4[ID], Table4[Visits], "Not Found", 0)</f>
        <v>7</v>
      </c>
      <c r="W825" s="16">
        <f>_xlfn.XLOOKUP(CustomerCombinedCleaned[[#This Row],[ID]], Table2[ID],Table2[Complaint], "Not Found", 0 )</f>
        <v>0</v>
      </c>
      <c r="X825" s="16">
        <f>_xlfn.XLOOKUP(CustomerCombinedCleaned[[#This Row],[ID]], Table2[ID],Table2[Pilot], "Not Found", 0 )</f>
        <v>0</v>
      </c>
      <c r="Y825" s="16">
        <f>_xlfn.XLOOKUP(CustomerCombinedCleaned[[#This Row],[ID]], Table2[ID],Table2[MC1], "Not Found", 0 )</f>
        <v>0</v>
      </c>
      <c r="Z825" s="16">
        <f>_xlfn.XLOOKUP(CustomerCombinedCleaned[[#This Row],[ID]], Table2[ID],Table2[MC2], "Not Found", 0 )</f>
        <v>0</v>
      </c>
      <c r="AA825" s="16">
        <f>_xlfn.XLOOKUP(CustomerCombinedCleaned[[#This Row],[ID]], Table2[ID],Table2[MC3], "Not Found", 0 )</f>
        <v>0</v>
      </c>
      <c r="AB825" s="16">
        <f>_xlfn.XLOOKUP(CustomerCombinedCleaned[[#This Row],[ID]], Table2[ID],Table2[MC4], "Not Found", 0 )</f>
        <v>0</v>
      </c>
      <c r="AC825" s="16">
        <f>_xlfn.XLOOKUP(CustomerCombinedCleaned[[#This Row],[ID]], Table2[ID],Table2[MC5], "Not Found", 0 )</f>
        <v>0</v>
      </c>
    </row>
    <row r="826" spans="1:29" x14ac:dyDescent="0.3">
      <c r="A826" s="18">
        <v>3098</v>
      </c>
      <c r="B826" s="16">
        <v>133590</v>
      </c>
      <c r="C826" s="16">
        <v>2</v>
      </c>
      <c r="D826" s="16">
        <v>1</v>
      </c>
      <c r="E826" s="16">
        <v>46</v>
      </c>
      <c r="F826" s="17" t="s">
        <v>8</v>
      </c>
      <c r="G826" s="17" t="s">
        <v>11</v>
      </c>
      <c r="H826" s="3" t="s">
        <v>753</v>
      </c>
      <c r="I826" s="5" t="s">
        <v>438</v>
      </c>
      <c r="J826" s="16">
        <f>_xlfn.XLOOKUP(CustomerCombinedCleaned[[#This Row],[ID]], Table4[ID], Table4[Recency], "Not Found", 0)</f>
        <v>65</v>
      </c>
      <c r="K826" s="16">
        <f>_xlfn.XLOOKUP(CustomerCombinedCleaned[[#This Row],[ID]], Table4[ID], Table4[Teas], "Not Found", 0)</f>
        <v>16</v>
      </c>
      <c r="L826" s="16">
        <f>_xlfn.XLOOKUP(CustomerCombinedCleaned[[#This Row],[ID]], Table4[ID], Table4[Fruits], "Not Found", 0)</f>
        <v>0</v>
      </c>
      <c r="M826" s="16">
        <f>_xlfn.XLOOKUP(CustomerCombinedCleaned[[#This Row],[ID]], Table4[ID], Table4[Meats], "Not Found", 0)</f>
        <v>8</v>
      </c>
      <c r="N826" s="16">
        <f>_xlfn.XLOOKUP(CustomerCombinedCleaned[[#This Row],[ID]], Table4[ID], Table4[Seafood], "Not Found", 0)</f>
        <v>0</v>
      </c>
      <c r="O826" s="16">
        <f>_xlfn.XLOOKUP(CustomerCombinedCleaned[[#This Row],[ID]], Table4[ID], Table4[Sweets], "Not Found", 0)</f>
        <v>0</v>
      </c>
      <c r="P826" s="16">
        <f>_xlfn.XLOOKUP(CustomerCombinedCleaned[[#This Row],[ID]], Table4[ID], Table4[Premium], "Not Found", 0)</f>
        <v>8</v>
      </c>
      <c r="Q826" s="16">
        <f>_xlfn.XLOOKUP(CustomerCombinedCleaned[[#This Row],[ID]], Table4[ID], Table4[Regular], "Not Found", 0)</f>
        <v>16</v>
      </c>
      <c r="R826" s="16">
        <f>_xlfn.XLOOKUP(CustomerCombinedCleaned[[#This Row],[ID]], Table4[ID], Table4[Deals], "Not Found", 0)</f>
        <v>1</v>
      </c>
      <c r="S826" s="16">
        <f>_xlfn.XLOOKUP(CustomerCombinedCleaned[[#This Row],[ID]], Table4[ID], Table4[Website], "Not Found", 0)</f>
        <v>1</v>
      </c>
      <c r="T826" s="16">
        <f>_xlfn.XLOOKUP(CustomerCombinedCleaned[[#This Row],[ID]], Table4[ID], Table4[Catalog], "Not Found", 0)</f>
        <v>0</v>
      </c>
      <c r="U826" s="16">
        <f>_xlfn.XLOOKUP(CustomerCombinedCleaned[[#This Row],[ID]], Table4[ID], Table4[Store], "Not Found", 0)</f>
        <v>2</v>
      </c>
      <c r="V826" s="16">
        <f>_xlfn.XLOOKUP(CustomerCombinedCleaned[[#This Row],[ID]], Table4[ID], Table4[Visits], "Not Found", 0)</f>
        <v>7</v>
      </c>
      <c r="W826" s="16">
        <f>_xlfn.XLOOKUP(CustomerCombinedCleaned[[#This Row],[ID]], Table2[ID],Table2[Complaint], "Not Found", 0 )</f>
        <v>0</v>
      </c>
      <c r="X826" s="16">
        <f>_xlfn.XLOOKUP(CustomerCombinedCleaned[[#This Row],[ID]], Table2[ID],Table2[Pilot], "Not Found", 0 )</f>
        <v>0</v>
      </c>
      <c r="Y826" s="16">
        <f>_xlfn.XLOOKUP(CustomerCombinedCleaned[[#This Row],[ID]], Table2[ID],Table2[MC1], "Not Found", 0 )</f>
        <v>0</v>
      </c>
      <c r="Z826" s="16">
        <f>_xlfn.XLOOKUP(CustomerCombinedCleaned[[#This Row],[ID]], Table2[ID],Table2[MC2], "Not Found", 0 )</f>
        <v>0</v>
      </c>
      <c r="AA826" s="16">
        <f>_xlfn.XLOOKUP(CustomerCombinedCleaned[[#This Row],[ID]], Table2[ID],Table2[MC3], "Not Found", 0 )</f>
        <v>0</v>
      </c>
      <c r="AB826" s="16">
        <f>_xlfn.XLOOKUP(CustomerCombinedCleaned[[#This Row],[ID]], Table2[ID],Table2[MC4], "Not Found", 0 )</f>
        <v>0</v>
      </c>
      <c r="AC826" s="16">
        <f>_xlfn.XLOOKUP(CustomerCombinedCleaned[[#This Row],[ID]], Table2[ID],Table2[MC5], "Not Found", 0 )</f>
        <v>0</v>
      </c>
    </row>
    <row r="827" spans="1:29" x14ac:dyDescent="0.3">
      <c r="A827" s="18">
        <v>1466</v>
      </c>
      <c r="B827" s="16">
        <v>132233</v>
      </c>
      <c r="C827" s="16">
        <v>1</v>
      </c>
      <c r="D827" s="16">
        <v>0</v>
      </c>
      <c r="E827" s="16">
        <v>46</v>
      </c>
      <c r="F827" s="17" t="s">
        <v>7</v>
      </c>
      <c r="G827" s="17" t="s">
        <v>11</v>
      </c>
      <c r="H827" s="3" t="s">
        <v>409</v>
      </c>
      <c r="I827" s="5" t="s">
        <v>438</v>
      </c>
      <c r="J827" s="16">
        <f>_xlfn.XLOOKUP(CustomerCombinedCleaned[[#This Row],[ID]], Table4[ID], Table4[Recency], "Not Found", 0)</f>
        <v>26</v>
      </c>
      <c r="K827" s="16">
        <f>_xlfn.XLOOKUP(CustomerCombinedCleaned[[#This Row],[ID]], Table4[ID], Table4[Teas], "Not Found", 0)</f>
        <v>566</v>
      </c>
      <c r="L827" s="16">
        <f>_xlfn.XLOOKUP(CustomerCombinedCleaned[[#This Row],[ID]], Table4[ID], Table4[Fruits], "Not Found", 0)</f>
        <v>62</v>
      </c>
      <c r="M827" s="16">
        <f>_xlfn.XLOOKUP(CustomerCombinedCleaned[[#This Row],[ID]], Table4[ID], Table4[Meats], "Not Found", 0)</f>
        <v>144</v>
      </c>
      <c r="N827" s="16">
        <f>_xlfn.XLOOKUP(CustomerCombinedCleaned[[#This Row],[ID]], Table4[ID], Table4[Seafood], "Not Found", 0)</f>
        <v>103</v>
      </c>
      <c r="O827" s="16">
        <f>_xlfn.XLOOKUP(CustomerCombinedCleaned[[#This Row],[ID]], Table4[ID], Table4[Sweets], "Not Found", 0)</f>
        <v>45</v>
      </c>
      <c r="P827" s="16">
        <f>_xlfn.XLOOKUP(CustomerCombinedCleaned[[#This Row],[ID]], Table4[ID], Table4[Premium], "Not Found", 0)</f>
        <v>295</v>
      </c>
      <c r="Q827" s="16">
        <f>_xlfn.XLOOKUP(CustomerCombinedCleaned[[#This Row],[ID]], Table4[ID], Table4[Regular], "Not Found", 0)</f>
        <v>624</v>
      </c>
      <c r="R827" s="16">
        <f>_xlfn.XLOOKUP(CustomerCombinedCleaned[[#This Row],[ID]], Table4[ID], Table4[Deals], "Not Found", 0)</f>
        <v>2</v>
      </c>
      <c r="S827" s="16">
        <f>_xlfn.XLOOKUP(CustomerCombinedCleaned[[#This Row],[ID]], Table4[ID], Table4[Website], "Not Found", 0)</f>
        <v>6</v>
      </c>
      <c r="T827" s="16">
        <f>_xlfn.XLOOKUP(CustomerCombinedCleaned[[#This Row],[ID]], Table4[ID], Table4[Catalog], "Not Found", 0)</f>
        <v>2</v>
      </c>
      <c r="U827" s="16">
        <f>_xlfn.XLOOKUP(CustomerCombinedCleaned[[#This Row],[ID]], Table4[ID], Table4[Store], "Not Found", 0)</f>
        <v>2</v>
      </c>
      <c r="V827" s="16">
        <f>_xlfn.XLOOKUP(CustomerCombinedCleaned[[#This Row],[ID]], Table4[ID], Table4[Visits], "Not Found", 0)</f>
        <v>9</v>
      </c>
      <c r="W827" s="16">
        <f>_xlfn.XLOOKUP(CustomerCombinedCleaned[[#This Row],[ID]], Table2[ID],Table2[Complaint], "Not Found", 0 )</f>
        <v>0</v>
      </c>
      <c r="X827" s="16">
        <f>_xlfn.XLOOKUP(CustomerCombinedCleaned[[#This Row],[ID]], Table2[ID],Table2[Pilot], "Not Found", 0 )</f>
        <v>1</v>
      </c>
      <c r="Y827" s="16">
        <f>_xlfn.XLOOKUP(CustomerCombinedCleaned[[#This Row],[ID]], Table2[ID],Table2[MC1], "Not Found", 0 )</f>
        <v>0</v>
      </c>
      <c r="Z827" s="16">
        <f>_xlfn.XLOOKUP(CustomerCombinedCleaned[[#This Row],[ID]], Table2[ID],Table2[MC2], "Not Found", 0 )</f>
        <v>0</v>
      </c>
      <c r="AA827" s="16">
        <f>_xlfn.XLOOKUP(CustomerCombinedCleaned[[#This Row],[ID]], Table2[ID],Table2[MC3], "Not Found", 0 )</f>
        <v>1</v>
      </c>
      <c r="AB827" s="16">
        <f>_xlfn.XLOOKUP(CustomerCombinedCleaned[[#This Row],[ID]], Table2[ID],Table2[MC4], "Not Found", 0 )</f>
        <v>0</v>
      </c>
      <c r="AC827" s="16">
        <f>_xlfn.XLOOKUP(CustomerCombinedCleaned[[#This Row],[ID]], Table2[ID],Table2[MC5], "Not Found", 0 )</f>
        <v>0</v>
      </c>
    </row>
    <row r="828" spans="1:29" x14ac:dyDescent="0.3">
      <c r="A828" s="18">
        <v>3133</v>
      </c>
      <c r="B828" s="16">
        <v>131560</v>
      </c>
      <c r="C828" s="16">
        <v>1</v>
      </c>
      <c r="D828" s="16">
        <v>0</v>
      </c>
      <c r="E828" s="16">
        <v>46</v>
      </c>
      <c r="F828" s="17" t="s">
        <v>7</v>
      </c>
      <c r="G828" s="17" t="s">
        <v>13</v>
      </c>
      <c r="H828" s="3" t="s">
        <v>229</v>
      </c>
      <c r="I828" s="5" t="s">
        <v>437</v>
      </c>
      <c r="J828" s="16">
        <f>_xlfn.XLOOKUP(CustomerCombinedCleaned[[#This Row],[ID]], Table4[ID], Table4[Recency], "Not Found", 0)</f>
        <v>98</v>
      </c>
      <c r="K828" s="16">
        <f>_xlfn.XLOOKUP(CustomerCombinedCleaned[[#This Row],[ID]], Table4[ID], Table4[Teas], "Not Found", 0)</f>
        <v>258</v>
      </c>
      <c r="L828" s="16">
        <f>_xlfn.XLOOKUP(CustomerCombinedCleaned[[#This Row],[ID]], Table4[ID], Table4[Fruits], "Not Found", 0)</f>
        <v>4</v>
      </c>
      <c r="M828" s="16">
        <f>_xlfn.XLOOKUP(CustomerCombinedCleaned[[#This Row],[ID]], Table4[ID], Table4[Meats], "Not Found", 0)</f>
        <v>83</v>
      </c>
      <c r="N828" s="16">
        <f>_xlfn.XLOOKUP(CustomerCombinedCleaned[[#This Row],[ID]], Table4[ID], Table4[Seafood], "Not Found", 0)</f>
        <v>17</v>
      </c>
      <c r="O828" s="16">
        <f>_xlfn.XLOOKUP(CustomerCombinedCleaned[[#This Row],[ID]], Table4[ID], Table4[Sweets], "Not Found", 0)</f>
        <v>0</v>
      </c>
      <c r="P828" s="16">
        <f>_xlfn.XLOOKUP(CustomerCombinedCleaned[[#This Row],[ID]], Table4[ID], Table4[Premium], "Not Found", 0)</f>
        <v>29</v>
      </c>
      <c r="Q828" s="16">
        <f>_xlfn.XLOOKUP(CustomerCombinedCleaned[[#This Row],[ID]], Table4[ID], Table4[Regular], "Not Found", 0)</f>
        <v>333</v>
      </c>
      <c r="R828" s="16">
        <f>_xlfn.XLOOKUP(CustomerCombinedCleaned[[#This Row],[ID]], Table4[ID], Table4[Deals], "Not Found", 0)</f>
        <v>2</v>
      </c>
      <c r="S828" s="16">
        <f>_xlfn.XLOOKUP(CustomerCombinedCleaned[[#This Row],[ID]], Table4[ID], Table4[Website], "Not Found", 0)</f>
        <v>2</v>
      </c>
      <c r="T828" s="16">
        <f>_xlfn.XLOOKUP(CustomerCombinedCleaned[[#This Row],[ID]], Table4[ID], Table4[Catalog], "Not Found", 0)</f>
        <v>1</v>
      </c>
      <c r="U828" s="16">
        <f>_xlfn.XLOOKUP(CustomerCombinedCleaned[[#This Row],[ID]], Table4[ID], Table4[Store], "Not Found", 0)</f>
        <v>3</v>
      </c>
      <c r="V828" s="16">
        <f>_xlfn.XLOOKUP(CustomerCombinedCleaned[[#This Row],[ID]], Table4[ID], Table4[Visits], "Not Found", 0)</f>
        <v>8</v>
      </c>
      <c r="W828" s="16">
        <f>_xlfn.XLOOKUP(CustomerCombinedCleaned[[#This Row],[ID]], Table2[ID],Table2[Complaint], "Not Found", 0 )</f>
        <v>0</v>
      </c>
      <c r="X828" s="16">
        <f>_xlfn.XLOOKUP(CustomerCombinedCleaned[[#This Row],[ID]], Table2[ID],Table2[Pilot], "Not Found", 0 )</f>
        <v>0</v>
      </c>
      <c r="Y828" s="16">
        <f>_xlfn.XLOOKUP(CustomerCombinedCleaned[[#This Row],[ID]], Table2[ID],Table2[MC1], "Not Found", 0 )</f>
        <v>0</v>
      </c>
      <c r="Z828" s="16">
        <f>_xlfn.XLOOKUP(CustomerCombinedCleaned[[#This Row],[ID]], Table2[ID],Table2[MC2], "Not Found", 0 )</f>
        <v>0</v>
      </c>
      <c r="AA828" s="16">
        <f>_xlfn.XLOOKUP(CustomerCombinedCleaned[[#This Row],[ID]], Table2[ID],Table2[MC3], "Not Found", 0 )</f>
        <v>0</v>
      </c>
      <c r="AB828" s="16">
        <f>_xlfn.XLOOKUP(CustomerCombinedCleaned[[#This Row],[ID]], Table2[ID],Table2[MC4], "Not Found", 0 )</f>
        <v>0</v>
      </c>
      <c r="AC828" s="16">
        <f>_xlfn.XLOOKUP(CustomerCombinedCleaned[[#This Row],[ID]], Table2[ID],Table2[MC5], "Not Found", 0 )</f>
        <v>0</v>
      </c>
    </row>
    <row r="829" spans="1:29" x14ac:dyDescent="0.3">
      <c r="A829" s="18">
        <v>1242</v>
      </c>
      <c r="B829" s="16">
        <v>130899</v>
      </c>
      <c r="C829" s="16">
        <v>1</v>
      </c>
      <c r="D829" s="16">
        <v>0</v>
      </c>
      <c r="E829" s="16">
        <v>46</v>
      </c>
      <c r="F829" s="17" t="s">
        <v>7</v>
      </c>
      <c r="G829" s="17" t="s">
        <v>13</v>
      </c>
      <c r="H829" s="3" t="s">
        <v>381</v>
      </c>
      <c r="I829" s="5" t="s">
        <v>436</v>
      </c>
      <c r="J829" s="16">
        <f>_xlfn.XLOOKUP(CustomerCombinedCleaned[[#This Row],[ID]], Table4[ID], Table4[Recency], "Not Found", 0)</f>
        <v>35</v>
      </c>
      <c r="K829" s="16">
        <f>_xlfn.XLOOKUP(CustomerCombinedCleaned[[#This Row],[ID]], Table4[ID], Table4[Teas], "Not Found", 0)</f>
        <v>102</v>
      </c>
      <c r="L829" s="16">
        <f>_xlfn.XLOOKUP(CustomerCombinedCleaned[[#This Row],[ID]], Table4[ID], Table4[Fruits], "Not Found", 0)</f>
        <v>0</v>
      </c>
      <c r="M829" s="16">
        <f>_xlfn.XLOOKUP(CustomerCombinedCleaned[[#This Row],[ID]], Table4[ID], Table4[Meats], "Not Found", 0)</f>
        <v>34</v>
      </c>
      <c r="N829" s="16">
        <f>_xlfn.XLOOKUP(CustomerCombinedCleaned[[#This Row],[ID]], Table4[ID], Table4[Seafood], "Not Found", 0)</f>
        <v>0</v>
      </c>
      <c r="O829" s="16">
        <f>_xlfn.XLOOKUP(CustomerCombinedCleaned[[#This Row],[ID]], Table4[ID], Table4[Sweets], "Not Found", 0)</f>
        <v>0</v>
      </c>
      <c r="P829" s="16">
        <f>_xlfn.XLOOKUP(CustomerCombinedCleaned[[#This Row],[ID]], Table4[ID], Table4[Premium], "Not Found", 0)</f>
        <v>4</v>
      </c>
      <c r="Q829" s="16">
        <f>_xlfn.XLOOKUP(CustomerCombinedCleaned[[#This Row],[ID]], Table4[ID], Table4[Regular], "Not Found", 0)</f>
        <v>131</v>
      </c>
      <c r="R829" s="16">
        <f>_xlfn.XLOOKUP(CustomerCombinedCleaned[[#This Row],[ID]], Table4[ID], Table4[Deals], "Not Found", 0)</f>
        <v>2</v>
      </c>
      <c r="S829" s="16">
        <f>_xlfn.XLOOKUP(CustomerCombinedCleaned[[#This Row],[ID]], Table4[ID], Table4[Website], "Not Found", 0)</f>
        <v>1</v>
      </c>
      <c r="T829" s="16">
        <f>_xlfn.XLOOKUP(CustomerCombinedCleaned[[#This Row],[ID]], Table4[ID], Table4[Catalog], "Not Found", 0)</f>
        <v>0</v>
      </c>
      <c r="U829" s="16">
        <f>_xlfn.XLOOKUP(CustomerCombinedCleaned[[#This Row],[ID]], Table4[ID], Table4[Store], "Not Found", 0)</f>
        <v>3</v>
      </c>
      <c r="V829" s="16">
        <f>_xlfn.XLOOKUP(CustomerCombinedCleaned[[#This Row],[ID]], Table4[ID], Table4[Visits], "Not Found", 0)</f>
        <v>6</v>
      </c>
      <c r="W829" s="16">
        <f>_xlfn.XLOOKUP(CustomerCombinedCleaned[[#This Row],[ID]], Table2[ID],Table2[Complaint], "Not Found", 0 )</f>
        <v>0</v>
      </c>
      <c r="X829" s="16">
        <f>_xlfn.XLOOKUP(CustomerCombinedCleaned[[#This Row],[ID]], Table2[ID],Table2[Pilot], "Not Found", 0 )</f>
        <v>0</v>
      </c>
      <c r="Y829" s="16">
        <f>_xlfn.XLOOKUP(CustomerCombinedCleaned[[#This Row],[ID]], Table2[ID],Table2[MC1], "Not Found", 0 )</f>
        <v>0</v>
      </c>
      <c r="Z829" s="16">
        <f>_xlfn.XLOOKUP(CustomerCombinedCleaned[[#This Row],[ID]], Table2[ID],Table2[MC2], "Not Found", 0 )</f>
        <v>0</v>
      </c>
      <c r="AA829" s="16">
        <f>_xlfn.XLOOKUP(CustomerCombinedCleaned[[#This Row],[ID]], Table2[ID],Table2[MC3], "Not Found", 0 )</f>
        <v>0</v>
      </c>
      <c r="AB829" s="16">
        <f>_xlfn.XLOOKUP(CustomerCombinedCleaned[[#This Row],[ID]], Table2[ID],Table2[MC4], "Not Found", 0 )</f>
        <v>0</v>
      </c>
      <c r="AC829" s="16">
        <f>_xlfn.XLOOKUP(CustomerCombinedCleaned[[#This Row],[ID]], Table2[ID],Table2[MC5], "Not Found", 0 )</f>
        <v>0</v>
      </c>
    </row>
    <row r="830" spans="1:29" x14ac:dyDescent="0.3">
      <c r="A830" s="18">
        <v>1272</v>
      </c>
      <c r="B830" s="16">
        <v>130631</v>
      </c>
      <c r="C830" s="16">
        <v>1</v>
      </c>
      <c r="D830" s="16">
        <v>0</v>
      </c>
      <c r="E830" s="16">
        <v>46</v>
      </c>
      <c r="F830" s="17" t="s">
        <v>6</v>
      </c>
      <c r="G830" s="17" t="s">
        <v>11</v>
      </c>
      <c r="H830" s="3" t="s">
        <v>224</v>
      </c>
      <c r="I830" s="5" t="s">
        <v>436</v>
      </c>
      <c r="J830" s="16">
        <f>_xlfn.XLOOKUP(CustomerCombinedCleaned[[#This Row],[ID]], Table4[ID], Table4[Recency], "Not Found", 0)</f>
        <v>75</v>
      </c>
      <c r="K830" s="16">
        <f>_xlfn.XLOOKUP(CustomerCombinedCleaned[[#This Row],[ID]], Table4[ID], Table4[Teas], "Not Found", 0)</f>
        <v>64</v>
      </c>
      <c r="L830" s="16">
        <f>_xlfn.XLOOKUP(CustomerCombinedCleaned[[#This Row],[ID]], Table4[ID], Table4[Fruits], "Not Found", 0)</f>
        <v>26</v>
      </c>
      <c r="M830" s="16">
        <f>_xlfn.XLOOKUP(CustomerCombinedCleaned[[#This Row],[ID]], Table4[ID], Table4[Meats], "Not Found", 0)</f>
        <v>85</v>
      </c>
      <c r="N830" s="16">
        <f>_xlfn.XLOOKUP(CustomerCombinedCleaned[[#This Row],[ID]], Table4[ID], Table4[Seafood], "Not Found", 0)</f>
        <v>17</v>
      </c>
      <c r="O830" s="16">
        <f>_xlfn.XLOOKUP(CustomerCombinedCleaned[[#This Row],[ID]], Table4[ID], Table4[Sweets], "Not Found", 0)</f>
        <v>21</v>
      </c>
      <c r="P830" s="16">
        <f>_xlfn.XLOOKUP(CustomerCombinedCleaned[[#This Row],[ID]], Table4[ID], Table4[Premium], "Not Found", 0)</f>
        <v>85</v>
      </c>
      <c r="Q830" s="16">
        <f>_xlfn.XLOOKUP(CustomerCombinedCleaned[[#This Row],[ID]], Table4[ID], Table4[Regular], "Not Found", 0)</f>
        <v>128</v>
      </c>
      <c r="R830" s="16">
        <f>_xlfn.XLOOKUP(CustomerCombinedCleaned[[#This Row],[ID]], Table4[ID], Table4[Deals], "Not Found", 0)</f>
        <v>1</v>
      </c>
      <c r="S830" s="16">
        <f>_xlfn.XLOOKUP(CustomerCombinedCleaned[[#This Row],[ID]], Table4[ID], Table4[Website], "Not Found", 0)</f>
        <v>3</v>
      </c>
      <c r="T830" s="16">
        <f>_xlfn.XLOOKUP(CustomerCombinedCleaned[[#This Row],[ID]], Table4[ID], Table4[Catalog], "Not Found", 0)</f>
        <v>1</v>
      </c>
      <c r="U830" s="16">
        <f>_xlfn.XLOOKUP(CustomerCombinedCleaned[[#This Row],[ID]], Table4[ID], Table4[Store], "Not Found", 0)</f>
        <v>2</v>
      </c>
      <c r="V830" s="16">
        <f>_xlfn.XLOOKUP(CustomerCombinedCleaned[[#This Row],[ID]], Table4[ID], Table4[Visits], "Not Found", 0)</f>
        <v>7</v>
      </c>
      <c r="W830" s="16">
        <f>_xlfn.XLOOKUP(CustomerCombinedCleaned[[#This Row],[ID]], Table2[ID],Table2[Complaint], "Not Found", 0 )</f>
        <v>0</v>
      </c>
      <c r="X830" s="16">
        <f>_xlfn.XLOOKUP(CustomerCombinedCleaned[[#This Row],[ID]], Table2[ID],Table2[Pilot], "Not Found", 0 )</f>
        <v>0</v>
      </c>
      <c r="Y830" s="16">
        <f>_xlfn.XLOOKUP(CustomerCombinedCleaned[[#This Row],[ID]], Table2[ID],Table2[MC1], "Not Found", 0 )</f>
        <v>0</v>
      </c>
      <c r="Z830" s="16">
        <f>_xlfn.XLOOKUP(CustomerCombinedCleaned[[#This Row],[ID]], Table2[ID],Table2[MC2], "Not Found", 0 )</f>
        <v>0</v>
      </c>
      <c r="AA830" s="16">
        <f>_xlfn.XLOOKUP(CustomerCombinedCleaned[[#This Row],[ID]], Table2[ID],Table2[MC3], "Not Found", 0 )</f>
        <v>0</v>
      </c>
      <c r="AB830" s="16">
        <f>_xlfn.XLOOKUP(CustomerCombinedCleaned[[#This Row],[ID]], Table2[ID],Table2[MC4], "Not Found", 0 )</f>
        <v>0</v>
      </c>
      <c r="AC830" s="16">
        <f>_xlfn.XLOOKUP(CustomerCombinedCleaned[[#This Row],[ID]], Table2[ID],Table2[MC5], "Not Found", 0 )</f>
        <v>0</v>
      </c>
    </row>
    <row r="831" spans="1:29" x14ac:dyDescent="0.3">
      <c r="A831" s="18">
        <v>1009</v>
      </c>
      <c r="B831" s="16">
        <v>130351</v>
      </c>
      <c r="C831" s="16">
        <v>1</v>
      </c>
      <c r="D831" s="16">
        <v>0</v>
      </c>
      <c r="E831" s="16">
        <v>46</v>
      </c>
      <c r="F831" s="17" t="s">
        <v>8</v>
      </c>
      <c r="G831" s="17" t="s">
        <v>13</v>
      </c>
      <c r="H831" s="3" t="s">
        <v>759</v>
      </c>
      <c r="I831" s="5" t="s">
        <v>437</v>
      </c>
      <c r="J831" s="16">
        <f>_xlfn.XLOOKUP(CustomerCombinedCleaned[[#This Row],[ID]], Table4[ID], Table4[Recency], "Not Found", 0)</f>
        <v>19</v>
      </c>
      <c r="K831" s="16">
        <f>_xlfn.XLOOKUP(CustomerCombinedCleaned[[#This Row],[ID]], Table4[ID], Table4[Teas], "Not Found", 0)</f>
        <v>60</v>
      </c>
      <c r="L831" s="16">
        <f>_xlfn.XLOOKUP(CustomerCombinedCleaned[[#This Row],[ID]], Table4[ID], Table4[Fruits], "Not Found", 0)</f>
        <v>0</v>
      </c>
      <c r="M831" s="16">
        <f>_xlfn.XLOOKUP(CustomerCombinedCleaned[[#This Row],[ID]], Table4[ID], Table4[Meats], "Not Found", 0)</f>
        <v>103</v>
      </c>
      <c r="N831" s="16">
        <f>_xlfn.XLOOKUP(CustomerCombinedCleaned[[#This Row],[ID]], Table4[ID], Table4[Seafood], "Not Found", 0)</f>
        <v>13</v>
      </c>
      <c r="O831" s="16">
        <f>_xlfn.XLOOKUP(CustomerCombinedCleaned[[#This Row],[ID]], Table4[ID], Table4[Sweets], "Not Found", 0)</f>
        <v>13</v>
      </c>
      <c r="P831" s="16">
        <f>_xlfn.XLOOKUP(CustomerCombinedCleaned[[#This Row],[ID]], Table4[ID], Table4[Premium], "Not Found", 0)</f>
        <v>9</v>
      </c>
      <c r="Q831" s="16">
        <f>_xlfn.XLOOKUP(CustomerCombinedCleaned[[#This Row],[ID]], Table4[ID], Table4[Regular], "Not Found", 0)</f>
        <v>180</v>
      </c>
      <c r="R831" s="16">
        <f>_xlfn.XLOOKUP(CustomerCombinedCleaned[[#This Row],[ID]], Table4[ID], Table4[Deals], "Not Found", 0)</f>
        <v>1</v>
      </c>
      <c r="S831" s="16">
        <f>_xlfn.XLOOKUP(CustomerCombinedCleaned[[#This Row],[ID]], Table4[ID], Table4[Website], "Not Found", 0)</f>
        <v>3</v>
      </c>
      <c r="T831" s="16">
        <f>_xlfn.XLOOKUP(CustomerCombinedCleaned[[#This Row],[ID]], Table4[ID], Table4[Catalog], "Not Found", 0)</f>
        <v>0</v>
      </c>
      <c r="U831" s="16">
        <f>_xlfn.XLOOKUP(CustomerCombinedCleaned[[#This Row],[ID]], Table4[ID], Table4[Store], "Not Found", 0)</f>
        <v>2</v>
      </c>
      <c r="V831" s="16">
        <f>_xlfn.XLOOKUP(CustomerCombinedCleaned[[#This Row],[ID]], Table4[ID], Table4[Visits], "Not Found", 0)</f>
        <v>9</v>
      </c>
      <c r="W831" s="16">
        <f>_xlfn.XLOOKUP(CustomerCombinedCleaned[[#This Row],[ID]], Table2[ID],Table2[Complaint], "Not Found", 0 )</f>
        <v>0</v>
      </c>
      <c r="X831" s="16">
        <f>_xlfn.XLOOKUP(CustomerCombinedCleaned[[#This Row],[ID]], Table2[ID],Table2[Pilot], "Not Found", 0 )</f>
        <v>1</v>
      </c>
      <c r="Y831" s="16">
        <f>_xlfn.XLOOKUP(CustomerCombinedCleaned[[#This Row],[ID]], Table2[ID],Table2[MC1], "Not Found", 0 )</f>
        <v>0</v>
      </c>
      <c r="Z831" s="16">
        <f>_xlfn.XLOOKUP(CustomerCombinedCleaned[[#This Row],[ID]], Table2[ID],Table2[MC2], "Not Found", 0 )</f>
        <v>0</v>
      </c>
      <c r="AA831" s="16">
        <f>_xlfn.XLOOKUP(CustomerCombinedCleaned[[#This Row],[ID]], Table2[ID],Table2[MC3], "Not Found", 0 )</f>
        <v>0</v>
      </c>
      <c r="AB831" s="16">
        <f>_xlfn.XLOOKUP(CustomerCombinedCleaned[[#This Row],[ID]], Table2[ID],Table2[MC4], "Not Found", 0 )</f>
        <v>0</v>
      </c>
      <c r="AC831" s="16">
        <f>_xlfn.XLOOKUP(CustomerCombinedCleaned[[#This Row],[ID]], Table2[ID],Table2[MC5], "Not Found", 0 )</f>
        <v>0</v>
      </c>
    </row>
    <row r="832" spans="1:29" x14ac:dyDescent="0.3">
      <c r="A832" s="18">
        <v>1392</v>
      </c>
      <c r="B832" s="16">
        <v>130351</v>
      </c>
      <c r="C832" s="16">
        <v>1</v>
      </c>
      <c r="D832" s="16">
        <v>0</v>
      </c>
      <c r="E832" s="16">
        <v>46</v>
      </c>
      <c r="F832" s="17" t="s">
        <v>8</v>
      </c>
      <c r="G832" s="17" t="s">
        <v>13</v>
      </c>
      <c r="H832" s="3" t="s">
        <v>759</v>
      </c>
      <c r="I832" s="5" t="s">
        <v>436</v>
      </c>
      <c r="J832" s="16">
        <f>_xlfn.XLOOKUP(CustomerCombinedCleaned[[#This Row],[ID]], Table4[ID], Table4[Recency], "Not Found", 0)</f>
        <v>19</v>
      </c>
      <c r="K832" s="16">
        <f>_xlfn.XLOOKUP(CustomerCombinedCleaned[[#This Row],[ID]], Table4[ID], Table4[Teas], "Not Found", 0)</f>
        <v>60</v>
      </c>
      <c r="L832" s="16">
        <f>_xlfn.XLOOKUP(CustomerCombinedCleaned[[#This Row],[ID]], Table4[ID], Table4[Fruits], "Not Found", 0)</f>
        <v>0</v>
      </c>
      <c r="M832" s="16">
        <f>_xlfn.XLOOKUP(CustomerCombinedCleaned[[#This Row],[ID]], Table4[ID], Table4[Meats], "Not Found", 0)</f>
        <v>103</v>
      </c>
      <c r="N832" s="16">
        <f>_xlfn.XLOOKUP(CustomerCombinedCleaned[[#This Row],[ID]], Table4[ID], Table4[Seafood], "Not Found", 0)</f>
        <v>13</v>
      </c>
      <c r="O832" s="16">
        <f>_xlfn.XLOOKUP(CustomerCombinedCleaned[[#This Row],[ID]], Table4[ID], Table4[Sweets], "Not Found", 0)</f>
        <v>13</v>
      </c>
      <c r="P832" s="16">
        <f>_xlfn.XLOOKUP(CustomerCombinedCleaned[[#This Row],[ID]], Table4[ID], Table4[Premium], "Not Found", 0)</f>
        <v>9</v>
      </c>
      <c r="Q832" s="16">
        <f>_xlfn.XLOOKUP(CustomerCombinedCleaned[[#This Row],[ID]], Table4[ID], Table4[Regular], "Not Found", 0)</f>
        <v>180</v>
      </c>
      <c r="R832" s="16">
        <f>_xlfn.XLOOKUP(CustomerCombinedCleaned[[#This Row],[ID]], Table4[ID], Table4[Deals], "Not Found", 0)</f>
        <v>1</v>
      </c>
      <c r="S832" s="16">
        <f>_xlfn.XLOOKUP(CustomerCombinedCleaned[[#This Row],[ID]], Table4[ID], Table4[Website], "Not Found", 0)</f>
        <v>3</v>
      </c>
      <c r="T832" s="16">
        <f>_xlfn.XLOOKUP(CustomerCombinedCleaned[[#This Row],[ID]], Table4[ID], Table4[Catalog], "Not Found", 0)</f>
        <v>0</v>
      </c>
      <c r="U832" s="16">
        <f>_xlfn.XLOOKUP(CustomerCombinedCleaned[[#This Row],[ID]], Table4[ID], Table4[Store], "Not Found", 0)</f>
        <v>2</v>
      </c>
      <c r="V832" s="16">
        <f>_xlfn.XLOOKUP(CustomerCombinedCleaned[[#This Row],[ID]], Table4[ID], Table4[Visits], "Not Found", 0)</f>
        <v>9</v>
      </c>
      <c r="W832" s="16">
        <f>_xlfn.XLOOKUP(CustomerCombinedCleaned[[#This Row],[ID]], Table2[ID],Table2[Complaint], "Not Found", 0 )</f>
        <v>0</v>
      </c>
      <c r="X832" s="16">
        <f>_xlfn.XLOOKUP(CustomerCombinedCleaned[[#This Row],[ID]], Table2[ID],Table2[Pilot], "Not Found", 0 )</f>
        <v>0</v>
      </c>
      <c r="Y832" s="16">
        <f>_xlfn.XLOOKUP(CustomerCombinedCleaned[[#This Row],[ID]], Table2[ID],Table2[MC1], "Not Found", 0 )</f>
        <v>0</v>
      </c>
      <c r="Z832" s="16">
        <f>_xlfn.XLOOKUP(CustomerCombinedCleaned[[#This Row],[ID]], Table2[ID],Table2[MC2], "Not Found", 0 )</f>
        <v>0</v>
      </c>
      <c r="AA832" s="16">
        <f>_xlfn.XLOOKUP(CustomerCombinedCleaned[[#This Row],[ID]], Table2[ID],Table2[MC3], "Not Found", 0 )</f>
        <v>0</v>
      </c>
      <c r="AB832" s="16">
        <f>_xlfn.XLOOKUP(CustomerCombinedCleaned[[#This Row],[ID]], Table2[ID],Table2[MC4], "Not Found", 0 )</f>
        <v>0</v>
      </c>
      <c r="AC832" s="16">
        <f>_xlfn.XLOOKUP(CustomerCombinedCleaned[[#This Row],[ID]], Table2[ID],Table2[MC5], "Not Found", 0 )</f>
        <v>0</v>
      </c>
    </row>
    <row r="833" spans="1:29" x14ac:dyDescent="0.3">
      <c r="A833" s="18">
        <v>2002</v>
      </c>
      <c r="B833" s="16">
        <v>128440</v>
      </c>
      <c r="C833" s="16">
        <v>1</v>
      </c>
      <c r="D833" s="16">
        <v>0</v>
      </c>
      <c r="E833" s="16">
        <v>46</v>
      </c>
      <c r="F833" s="17" t="s">
        <v>8</v>
      </c>
      <c r="G833" s="17" t="s">
        <v>13</v>
      </c>
      <c r="H833" s="3" t="s">
        <v>674</v>
      </c>
      <c r="I833" s="5" t="s">
        <v>439</v>
      </c>
      <c r="J833" s="16">
        <f>_xlfn.XLOOKUP(CustomerCombinedCleaned[[#This Row],[ID]], Table4[ID], Table4[Recency], "Not Found", 0)</f>
        <v>87</v>
      </c>
      <c r="K833" s="16">
        <f>_xlfn.XLOOKUP(CustomerCombinedCleaned[[#This Row],[ID]], Table4[ID], Table4[Teas], "Not Found", 0)</f>
        <v>172</v>
      </c>
      <c r="L833" s="16">
        <f>_xlfn.XLOOKUP(CustomerCombinedCleaned[[#This Row],[ID]], Table4[ID], Table4[Fruits], "Not Found", 0)</f>
        <v>5</v>
      </c>
      <c r="M833" s="16">
        <f>_xlfn.XLOOKUP(CustomerCombinedCleaned[[#This Row],[ID]], Table4[ID], Table4[Meats], "Not Found", 0)</f>
        <v>108</v>
      </c>
      <c r="N833" s="16">
        <f>_xlfn.XLOOKUP(CustomerCombinedCleaned[[#This Row],[ID]], Table4[ID], Table4[Seafood], "Not Found", 0)</f>
        <v>0</v>
      </c>
      <c r="O833" s="16">
        <f>_xlfn.XLOOKUP(CustomerCombinedCleaned[[#This Row],[ID]], Table4[ID], Table4[Sweets], "Not Found", 0)</f>
        <v>0</v>
      </c>
      <c r="P833" s="16">
        <f>_xlfn.XLOOKUP(CustomerCombinedCleaned[[#This Row],[ID]], Table4[ID], Table4[Premium], "Not Found", 0)</f>
        <v>0</v>
      </c>
      <c r="Q833" s="16">
        <f>_xlfn.XLOOKUP(CustomerCombinedCleaned[[#This Row],[ID]], Table4[ID], Table4[Regular], "Not Found", 0)</f>
        <v>285</v>
      </c>
      <c r="R833" s="16">
        <f>_xlfn.XLOOKUP(CustomerCombinedCleaned[[#This Row],[ID]], Table4[ID], Table4[Deals], "Not Found", 0)</f>
        <v>1</v>
      </c>
      <c r="S833" s="16">
        <f>_xlfn.XLOOKUP(CustomerCombinedCleaned[[#This Row],[ID]], Table4[ID], Table4[Website], "Not Found", 0)</f>
        <v>2</v>
      </c>
      <c r="T833" s="16">
        <f>_xlfn.XLOOKUP(CustomerCombinedCleaned[[#This Row],[ID]], Table4[ID], Table4[Catalog], "Not Found", 0)</f>
        <v>0</v>
      </c>
      <c r="U833" s="16">
        <f>_xlfn.XLOOKUP(CustomerCombinedCleaned[[#This Row],[ID]], Table4[ID], Table4[Store], "Not Found", 0)</f>
        <v>3</v>
      </c>
      <c r="V833" s="16">
        <f>_xlfn.XLOOKUP(CustomerCombinedCleaned[[#This Row],[ID]], Table4[ID], Table4[Visits], "Not Found", 0)</f>
        <v>8</v>
      </c>
      <c r="W833" s="16">
        <f>_xlfn.XLOOKUP(CustomerCombinedCleaned[[#This Row],[ID]], Table2[ID],Table2[Complaint], "Not Found", 0 )</f>
        <v>0</v>
      </c>
      <c r="X833" s="16">
        <f>_xlfn.XLOOKUP(CustomerCombinedCleaned[[#This Row],[ID]], Table2[ID],Table2[Pilot], "Not Found", 0 )</f>
        <v>0</v>
      </c>
      <c r="Y833" s="16">
        <f>_xlfn.XLOOKUP(CustomerCombinedCleaned[[#This Row],[ID]], Table2[ID],Table2[MC1], "Not Found", 0 )</f>
        <v>0</v>
      </c>
      <c r="Z833" s="16">
        <f>_xlfn.XLOOKUP(CustomerCombinedCleaned[[#This Row],[ID]], Table2[ID],Table2[MC2], "Not Found", 0 )</f>
        <v>0</v>
      </c>
      <c r="AA833" s="16">
        <f>_xlfn.XLOOKUP(CustomerCombinedCleaned[[#This Row],[ID]], Table2[ID],Table2[MC3], "Not Found", 0 )</f>
        <v>0</v>
      </c>
      <c r="AB833" s="16">
        <f>_xlfn.XLOOKUP(CustomerCombinedCleaned[[#This Row],[ID]], Table2[ID],Table2[MC4], "Not Found", 0 )</f>
        <v>0</v>
      </c>
      <c r="AC833" s="16">
        <f>_xlfn.XLOOKUP(CustomerCombinedCleaned[[#This Row],[ID]], Table2[ID],Table2[MC5], "Not Found", 0 )</f>
        <v>0</v>
      </c>
    </row>
    <row r="834" spans="1:29" x14ac:dyDescent="0.3">
      <c r="A834" s="18">
        <v>1657</v>
      </c>
      <c r="B834" s="16">
        <v>126751</v>
      </c>
      <c r="C834" s="16">
        <v>2</v>
      </c>
      <c r="D834" s="16">
        <v>0</v>
      </c>
      <c r="E834" s="16">
        <v>46</v>
      </c>
      <c r="F834" s="17" t="s">
        <v>6</v>
      </c>
      <c r="G834" s="17" t="s">
        <v>11</v>
      </c>
      <c r="H834" s="3" t="s">
        <v>45</v>
      </c>
      <c r="I834" s="5" t="s">
        <v>437</v>
      </c>
      <c r="J834" s="16">
        <f>_xlfn.XLOOKUP(CustomerCombinedCleaned[[#This Row],[ID]], Table4[ID], Table4[Recency], "Not Found", 0)</f>
        <v>26</v>
      </c>
      <c r="K834" s="16">
        <f>_xlfn.XLOOKUP(CustomerCombinedCleaned[[#This Row],[ID]], Table4[ID], Table4[Teas], "Not Found", 0)</f>
        <v>5</v>
      </c>
      <c r="L834" s="16">
        <f>_xlfn.XLOOKUP(CustomerCombinedCleaned[[#This Row],[ID]], Table4[ID], Table4[Fruits], "Not Found", 0)</f>
        <v>5</v>
      </c>
      <c r="M834" s="16">
        <f>_xlfn.XLOOKUP(CustomerCombinedCleaned[[#This Row],[ID]], Table4[ID], Table4[Meats], "Not Found", 0)</f>
        <v>24</v>
      </c>
      <c r="N834" s="16">
        <f>_xlfn.XLOOKUP(CustomerCombinedCleaned[[#This Row],[ID]], Table4[ID], Table4[Seafood], "Not Found", 0)</f>
        <v>0</v>
      </c>
      <c r="O834" s="16">
        <f>_xlfn.XLOOKUP(CustomerCombinedCleaned[[#This Row],[ID]], Table4[ID], Table4[Sweets], "Not Found", 0)</f>
        <v>14</v>
      </c>
      <c r="P834" s="16">
        <f>_xlfn.XLOOKUP(CustomerCombinedCleaned[[#This Row],[ID]], Table4[ID], Table4[Premium], "Not Found", 0)</f>
        <v>5</v>
      </c>
      <c r="Q834" s="16">
        <f>_xlfn.XLOOKUP(CustomerCombinedCleaned[[#This Row],[ID]], Table4[ID], Table4[Regular], "Not Found", 0)</f>
        <v>43</v>
      </c>
      <c r="R834" s="16">
        <f>_xlfn.XLOOKUP(CustomerCombinedCleaned[[#This Row],[ID]], Table4[ID], Table4[Deals], "Not Found", 0)</f>
        <v>1</v>
      </c>
      <c r="S834" s="16">
        <f>_xlfn.XLOOKUP(CustomerCombinedCleaned[[#This Row],[ID]], Table4[ID], Table4[Website], "Not Found", 0)</f>
        <v>1</v>
      </c>
      <c r="T834" s="16">
        <f>_xlfn.XLOOKUP(CustomerCombinedCleaned[[#This Row],[ID]], Table4[ID], Table4[Catalog], "Not Found", 0)</f>
        <v>0</v>
      </c>
      <c r="U834" s="16">
        <f>_xlfn.XLOOKUP(CustomerCombinedCleaned[[#This Row],[ID]], Table4[ID], Table4[Store], "Not Found", 0)</f>
        <v>2</v>
      </c>
      <c r="V834" s="16">
        <f>_xlfn.XLOOKUP(CustomerCombinedCleaned[[#This Row],[ID]], Table4[ID], Table4[Visits], "Not Found", 0)</f>
        <v>8</v>
      </c>
      <c r="W834" s="16">
        <f>_xlfn.XLOOKUP(CustomerCombinedCleaned[[#This Row],[ID]], Table2[ID],Table2[Complaint], "Not Found", 0 )</f>
        <v>0</v>
      </c>
      <c r="X834" s="16">
        <f>_xlfn.XLOOKUP(CustomerCombinedCleaned[[#This Row],[ID]], Table2[ID],Table2[Pilot], "Not Found", 0 )</f>
        <v>0</v>
      </c>
      <c r="Y834" s="16">
        <f>_xlfn.XLOOKUP(CustomerCombinedCleaned[[#This Row],[ID]], Table2[ID],Table2[MC1], "Not Found", 0 )</f>
        <v>0</v>
      </c>
      <c r="Z834" s="16">
        <f>_xlfn.XLOOKUP(CustomerCombinedCleaned[[#This Row],[ID]], Table2[ID],Table2[MC2], "Not Found", 0 )</f>
        <v>0</v>
      </c>
      <c r="AA834" s="16">
        <f>_xlfn.XLOOKUP(CustomerCombinedCleaned[[#This Row],[ID]], Table2[ID],Table2[MC3], "Not Found", 0 )</f>
        <v>0</v>
      </c>
      <c r="AB834" s="16">
        <f>_xlfn.XLOOKUP(CustomerCombinedCleaned[[#This Row],[ID]], Table2[ID],Table2[MC4], "Not Found", 0 )</f>
        <v>0</v>
      </c>
      <c r="AC834" s="16">
        <f>_xlfn.XLOOKUP(CustomerCombinedCleaned[[#This Row],[ID]], Table2[ID],Table2[MC5], "Not Found", 0 )</f>
        <v>0</v>
      </c>
    </row>
    <row r="835" spans="1:29" x14ac:dyDescent="0.3">
      <c r="A835" s="18">
        <v>3148</v>
      </c>
      <c r="B835" s="16">
        <v>126067</v>
      </c>
      <c r="C835" s="16">
        <v>1</v>
      </c>
      <c r="D835" s="16">
        <v>0</v>
      </c>
      <c r="E835" s="16">
        <v>46</v>
      </c>
      <c r="F835" s="17" t="s">
        <v>6</v>
      </c>
      <c r="G835" s="17" t="s">
        <v>11</v>
      </c>
      <c r="H835" s="3" t="s">
        <v>750</v>
      </c>
      <c r="I835" s="5" t="s">
        <v>439</v>
      </c>
      <c r="J835" s="16">
        <f>_xlfn.XLOOKUP(CustomerCombinedCleaned[[#This Row],[ID]], Table4[ID], Table4[Recency], "Not Found", 0)</f>
        <v>49</v>
      </c>
      <c r="K835" s="16">
        <f>_xlfn.XLOOKUP(CustomerCombinedCleaned[[#This Row],[ID]], Table4[ID], Table4[Teas], "Not Found", 0)</f>
        <v>106</v>
      </c>
      <c r="L835" s="16">
        <f>_xlfn.XLOOKUP(CustomerCombinedCleaned[[#This Row],[ID]], Table4[ID], Table4[Fruits], "Not Found", 0)</f>
        <v>10</v>
      </c>
      <c r="M835" s="16">
        <f>_xlfn.XLOOKUP(CustomerCombinedCleaned[[#This Row],[ID]], Table4[ID], Table4[Meats], "Not Found", 0)</f>
        <v>87</v>
      </c>
      <c r="N835" s="16">
        <f>_xlfn.XLOOKUP(CustomerCombinedCleaned[[#This Row],[ID]], Table4[ID], Table4[Seafood], "Not Found", 0)</f>
        <v>0</v>
      </c>
      <c r="O835" s="16">
        <f>_xlfn.XLOOKUP(CustomerCombinedCleaned[[#This Row],[ID]], Table4[ID], Table4[Sweets], "Not Found", 0)</f>
        <v>10</v>
      </c>
      <c r="P835" s="16">
        <f>_xlfn.XLOOKUP(CustomerCombinedCleaned[[#This Row],[ID]], Table4[ID], Table4[Premium], "Not Found", 0)</f>
        <v>58</v>
      </c>
      <c r="Q835" s="16">
        <f>_xlfn.XLOOKUP(CustomerCombinedCleaned[[#This Row],[ID]], Table4[ID], Table4[Regular], "Not Found", 0)</f>
        <v>155</v>
      </c>
      <c r="R835" s="16">
        <f>_xlfn.XLOOKUP(CustomerCombinedCleaned[[#This Row],[ID]], Table4[ID], Table4[Deals], "Not Found", 0)</f>
        <v>3</v>
      </c>
      <c r="S835" s="16">
        <f>_xlfn.XLOOKUP(CustomerCombinedCleaned[[#This Row],[ID]], Table4[ID], Table4[Website], "Not Found", 0)</f>
        <v>3</v>
      </c>
      <c r="T835" s="16">
        <f>_xlfn.XLOOKUP(CustomerCombinedCleaned[[#This Row],[ID]], Table4[ID], Table4[Catalog], "Not Found", 0)</f>
        <v>0</v>
      </c>
      <c r="U835" s="16">
        <f>_xlfn.XLOOKUP(CustomerCombinedCleaned[[#This Row],[ID]], Table4[ID], Table4[Store], "Not Found", 0)</f>
        <v>3</v>
      </c>
      <c r="V835" s="16">
        <f>_xlfn.XLOOKUP(CustomerCombinedCleaned[[#This Row],[ID]], Table4[ID], Table4[Visits], "Not Found", 0)</f>
        <v>8</v>
      </c>
      <c r="W835" s="16">
        <f>_xlfn.XLOOKUP(CustomerCombinedCleaned[[#This Row],[ID]], Table2[ID],Table2[Complaint], "Not Found", 0 )</f>
        <v>0</v>
      </c>
      <c r="X835" s="16">
        <f>_xlfn.XLOOKUP(CustomerCombinedCleaned[[#This Row],[ID]], Table2[ID],Table2[Pilot], "Not Found", 0 )</f>
        <v>0</v>
      </c>
      <c r="Y835" s="16">
        <f>_xlfn.XLOOKUP(CustomerCombinedCleaned[[#This Row],[ID]], Table2[ID],Table2[MC1], "Not Found", 0 )</f>
        <v>0</v>
      </c>
      <c r="Z835" s="16">
        <f>_xlfn.XLOOKUP(CustomerCombinedCleaned[[#This Row],[ID]], Table2[ID],Table2[MC2], "Not Found", 0 )</f>
        <v>0</v>
      </c>
      <c r="AA835" s="16">
        <f>_xlfn.XLOOKUP(CustomerCombinedCleaned[[#This Row],[ID]], Table2[ID],Table2[MC3], "Not Found", 0 )</f>
        <v>0</v>
      </c>
      <c r="AB835" s="16">
        <f>_xlfn.XLOOKUP(CustomerCombinedCleaned[[#This Row],[ID]], Table2[ID],Table2[MC4], "Not Found", 0 )</f>
        <v>0</v>
      </c>
      <c r="AC835" s="16">
        <f>_xlfn.XLOOKUP(CustomerCombinedCleaned[[#This Row],[ID]], Table2[ID],Table2[MC5], "Not Found", 0 )</f>
        <v>0</v>
      </c>
    </row>
    <row r="836" spans="1:29" x14ac:dyDescent="0.3">
      <c r="A836" s="18">
        <v>2745</v>
      </c>
      <c r="B836" s="16">
        <v>125509</v>
      </c>
      <c r="C836" s="16">
        <v>1</v>
      </c>
      <c r="D836" s="16">
        <v>0</v>
      </c>
      <c r="E836" s="16">
        <v>46</v>
      </c>
      <c r="F836" s="17" t="s">
        <v>5</v>
      </c>
      <c r="G836" s="17" t="s">
        <v>13</v>
      </c>
      <c r="H836" s="3" t="s">
        <v>393</v>
      </c>
      <c r="I836" s="5" t="s">
        <v>435</v>
      </c>
      <c r="J836" s="16">
        <f>_xlfn.XLOOKUP(CustomerCombinedCleaned[[#This Row],[ID]], Table4[ID], Table4[Recency], "Not Found", 0)</f>
        <v>15</v>
      </c>
      <c r="K836" s="16">
        <f>_xlfn.XLOOKUP(CustomerCombinedCleaned[[#This Row],[ID]], Table4[ID], Table4[Teas], "Not Found", 0)</f>
        <v>197</v>
      </c>
      <c r="L836" s="16">
        <f>_xlfn.XLOOKUP(CustomerCombinedCleaned[[#This Row],[ID]], Table4[ID], Table4[Fruits], "Not Found", 0)</f>
        <v>15</v>
      </c>
      <c r="M836" s="16">
        <f>_xlfn.XLOOKUP(CustomerCombinedCleaned[[#This Row],[ID]], Table4[ID], Table4[Meats], "Not Found", 0)</f>
        <v>148</v>
      </c>
      <c r="N836" s="16">
        <f>_xlfn.XLOOKUP(CustomerCombinedCleaned[[#This Row],[ID]], Table4[ID], Table4[Seafood], "Not Found", 0)</f>
        <v>49</v>
      </c>
      <c r="O836" s="16">
        <f>_xlfn.XLOOKUP(CustomerCombinedCleaned[[#This Row],[ID]], Table4[ID], Table4[Sweets], "Not Found", 0)</f>
        <v>34</v>
      </c>
      <c r="P836" s="16">
        <f>_xlfn.XLOOKUP(CustomerCombinedCleaned[[#This Row],[ID]], Table4[ID], Table4[Premium], "Not Found", 0)</f>
        <v>54</v>
      </c>
      <c r="Q836" s="16">
        <f>_xlfn.XLOOKUP(CustomerCombinedCleaned[[#This Row],[ID]], Table4[ID], Table4[Regular], "Not Found", 0)</f>
        <v>389</v>
      </c>
      <c r="R836" s="16">
        <f>_xlfn.XLOOKUP(CustomerCombinedCleaned[[#This Row],[ID]], Table4[ID], Table4[Deals], "Not Found", 0)</f>
        <v>3</v>
      </c>
      <c r="S836" s="16">
        <f>_xlfn.XLOOKUP(CustomerCombinedCleaned[[#This Row],[ID]], Table4[ID], Table4[Website], "Not Found", 0)</f>
        <v>3</v>
      </c>
      <c r="T836" s="16">
        <f>_xlfn.XLOOKUP(CustomerCombinedCleaned[[#This Row],[ID]], Table4[ID], Table4[Catalog], "Not Found", 0)</f>
        <v>0</v>
      </c>
      <c r="U836" s="16">
        <f>_xlfn.XLOOKUP(CustomerCombinedCleaned[[#This Row],[ID]], Table4[ID], Table4[Store], "Not Found", 0)</f>
        <v>3</v>
      </c>
      <c r="V836" s="16">
        <f>_xlfn.XLOOKUP(CustomerCombinedCleaned[[#This Row],[ID]], Table4[ID], Table4[Visits], "Not Found", 0)</f>
        <v>9</v>
      </c>
      <c r="W836" s="16">
        <f>_xlfn.XLOOKUP(CustomerCombinedCleaned[[#This Row],[ID]], Table2[ID],Table2[Complaint], "Not Found", 0 )</f>
        <v>0</v>
      </c>
      <c r="X836" s="16">
        <f>_xlfn.XLOOKUP(CustomerCombinedCleaned[[#This Row],[ID]], Table2[ID],Table2[Pilot], "Not Found", 0 )</f>
        <v>1</v>
      </c>
      <c r="Y836" s="16">
        <f>_xlfn.XLOOKUP(CustomerCombinedCleaned[[#This Row],[ID]], Table2[ID],Table2[MC1], "Not Found", 0 )</f>
        <v>0</v>
      </c>
      <c r="Z836" s="16">
        <f>_xlfn.XLOOKUP(CustomerCombinedCleaned[[#This Row],[ID]], Table2[ID],Table2[MC2], "Not Found", 0 )</f>
        <v>0</v>
      </c>
      <c r="AA836" s="16">
        <f>_xlfn.XLOOKUP(CustomerCombinedCleaned[[#This Row],[ID]], Table2[ID],Table2[MC3], "Not Found", 0 )</f>
        <v>0</v>
      </c>
      <c r="AB836" s="16">
        <f>_xlfn.XLOOKUP(CustomerCombinedCleaned[[#This Row],[ID]], Table2[ID],Table2[MC4], "Not Found", 0 )</f>
        <v>0</v>
      </c>
      <c r="AC836" s="16">
        <f>_xlfn.XLOOKUP(CustomerCombinedCleaned[[#This Row],[ID]], Table2[ID],Table2[MC5], "Not Found", 0 )</f>
        <v>0</v>
      </c>
    </row>
    <row r="837" spans="1:29" x14ac:dyDescent="0.3">
      <c r="A837" s="18">
        <v>2956</v>
      </c>
      <c r="B837" s="16">
        <v>125509</v>
      </c>
      <c r="C837" s="16">
        <v>1</v>
      </c>
      <c r="D837" s="16">
        <v>0</v>
      </c>
      <c r="E837" s="16">
        <v>46</v>
      </c>
      <c r="F837" s="17" t="s">
        <v>5</v>
      </c>
      <c r="G837" s="17" t="s">
        <v>13</v>
      </c>
      <c r="H837" s="3" t="s">
        <v>393</v>
      </c>
      <c r="I837" s="5" t="s">
        <v>439</v>
      </c>
      <c r="J837" s="16">
        <f>_xlfn.XLOOKUP(CustomerCombinedCleaned[[#This Row],[ID]], Table4[ID], Table4[Recency], "Not Found", 0)</f>
        <v>15</v>
      </c>
      <c r="K837" s="16">
        <f>_xlfn.XLOOKUP(CustomerCombinedCleaned[[#This Row],[ID]], Table4[ID], Table4[Teas], "Not Found", 0)</f>
        <v>197</v>
      </c>
      <c r="L837" s="16">
        <f>_xlfn.XLOOKUP(CustomerCombinedCleaned[[#This Row],[ID]], Table4[ID], Table4[Fruits], "Not Found", 0)</f>
        <v>15</v>
      </c>
      <c r="M837" s="16">
        <f>_xlfn.XLOOKUP(CustomerCombinedCleaned[[#This Row],[ID]], Table4[ID], Table4[Meats], "Not Found", 0)</f>
        <v>148</v>
      </c>
      <c r="N837" s="16">
        <f>_xlfn.XLOOKUP(CustomerCombinedCleaned[[#This Row],[ID]], Table4[ID], Table4[Seafood], "Not Found", 0)</f>
        <v>49</v>
      </c>
      <c r="O837" s="16">
        <f>_xlfn.XLOOKUP(CustomerCombinedCleaned[[#This Row],[ID]], Table4[ID], Table4[Sweets], "Not Found", 0)</f>
        <v>34</v>
      </c>
      <c r="P837" s="16">
        <f>_xlfn.XLOOKUP(CustomerCombinedCleaned[[#This Row],[ID]], Table4[ID], Table4[Premium], "Not Found", 0)</f>
        <v>54</v>
      </c>
      <c r="Q837" s="16">
        <f>_xlfn.XLOOKUP(CustomerCombinedCleaned[[#This Row],[ID]], Table4[ID], Table4[Regular], "Not Found", 0)</f>
        <v>389</v>
      </c>
      <c r="R837" s="16">
        <f>_xlfn.XLOOKUP(CustomerCombinedCleaned[[#This Row],[ID]], Table4[ID], Table4[Deals], "Not Found", 0)</f>
        <v>3</v>
      </c>
      <c r="S837" s="16">
        <f>_xlfn.XLOOKUP(CustomerCombinedCleaned[[#This Row],[ID]], Table4[ID], Table4[Website], "Not Found", 0)</f>
        <v>3</v>
      </c>
      <c r="T837" s="16">
        <f>_xlfn.XLOOKUP(CustomerCombinedCleaned[[#This Row],[ID]], Table4[ID], Table4[Catalog], "Not Found", 0)</f>
        <v>0</v>
      </c>
      <c r="U837" s="16">
        <f>_xlfn.XLOOKUP(CustomerCombinedCleaned[[#This Row],[ID]], Table4[ID], Table4[Store], "Not Found", 0)</f>
        <v>3</v>
      </c>
      <c r="V837" s="16">
        <f>_xlfn.XLOOKUP(CustomerCombinedCleaned[[#This Row],[ID]], Table4[ID], Table4[Visits], "Not Found", 0)</f>
        <v>9</v>
      </c>
      <c r="W837" s="16">
        <f>_xlfn.XLOOKUP(CustomerCombinedCleaned[[#This Row],[ID]], Table2[ID],Table2[Complaint], "Not Found", 0 )</f>
        <v>0</v>
      </c>
      <c r="X837" s="16">
        <f>_xlfn.XLOOKUP(CustomerCombinedCleaned[[#This Row],[ID]], Table2[ID],Table2[Pilot], "Not Found", 0 )</f>
        <v>1</v>
      </c>
      <c r="Y837" s="16">
        <f>_xlfn.XLOOKUP(CustomerCombinedCleaned[[#This Row],[ID]], Table2[ID],Table2[MC1], "Not Found", 0 )</f>
        <v>0</v>
      </c>
      <c r="Z837" s="16">
        <f>_xlfn.XLOOKUP(CustomerCombinedCleaned[[#This Row],[ID]], Table2[ID],Table2[MC2], "Not Found", 0 )</f>
        <v>0</v>
      </c>
      <c r="AA837" s="16">
        <f>_xlfn.XLOOKUP(CustomerCombinedCleaned[[#This Row],[ID]], Table2[ID],Table2[MC3], "Not Found", 0 )</f>
        <v>0</v>
      </c>
      <c r="AB837" s="16">
        <f>_xlfn.XLOOKUP(CustomerCombinedCleaned[[#This Row],[ID]], Table2[ID],Table2[MC4], "Not Found", 0 )</f>
        <v>0</v>
      </c>
      <c r="AC837" s="16">
        <f>_xlfn.XLOOKUP(CustomerCombinedCleaned[[#This Row],[ID]], Table2[ID],Table2[MC5], "Not Found", 0 )</f>
        <v>0</v>
      </c>
    </row>
    <row r="838" spans="1:29" x14ac:dyDescent="0.3">
      <c r="A838" s="18">
        <v>2126</v>
      </c>
      <c r="B838" s="16">
        <v>121255</v>
      </c>
      <c r="C838" s="16">
        <v>1</v>
      </c>
      <c r="D838" s="16">
        <v>0</v>
      </c>
      <c r="E838" s="16">
        <v>46</v>
      </c>
      <c r="F838" s="17" t="s">
        <v>8</v>
      </c>
      <c r="G838" s="17" t="s">
        <v>12</v>
      </c>
      <c r="H838" s="3" t="s">
        <v>111</v>
      </c>
      <c r="I838" s="5" t="s">
        <v>438</v>
      </c>
      <c r="J838" s="16">
        <f>_xlfn.XLOOKUP(CustomerCombinedCleaned[[#This Row],[ID]], Table4[ID], Table4[Recency], "Not Found", 0)</f>
        <v>56</v>
      </c>
      <c r="K838" s="16">
        <f>_xlfn.XLOOKUP(CustomerCombinedCleaned[[#This Row],[ID]], Table4[ID], Table4[Teas], "Not Found", 0)</f>
        <v>165</v>
      </c>
      <c r="L838" s="16">
        <f>_xlfn.XLOOKUP(CustomerCombinedCleaned[[#This Row],[ID]], Table4[ID], Table4[Fruits], "Not Found", 0)</f>
        <v>0</v>
      </c>
      <c r="M838" s="16">
        <f>_xlfn.XLOOKUP(CustomerCombinedCleaned[[#This Row],[ID]], Table4[ID], Table4[Meats], "Not Found", 0)</f>
        <v>143</v>
      </c>
      <c r="N838" s="16">
        <f>_xlfn.XLOOKUP(CustomerCombinedCleaned[[#This Row],[ID]], Table4[ID], Table4[Seafood], "Not Found", 0)</f>
        <v>11</v>
      </c>
      <c r="O838" s="16">
        <f>_xlfn.XLOOKUP(CustomerCombinedCleaned[[#This Row],[ID]], Table4[ID], Table4[Sweets], "Not Found", 0)</f>
        <v>11</v>
      </c>
      <c r="P838" s="16">
        <f>_xlfn.XLOOKUP(CustomerCombinedCleaned[[#This Row],[ID]], Table4[ID], Table4[Premium], "Not Found", 0)</f>
        <v>17</v>
      </c>
      <c r="Q838" s="16">
        <f>_xlfn.XLOOKUP(CustomerCombinedCleaned[[#This Row],[ID]], Table4[ID], Table4[Regular], "Not Found", 0)</f>
        <v>314</v>
      </c>
      <c r="R838" s="16">
        <f>_xlfn.XLOOKUP(CustomerCombinedCleaned[[#This Row],[ID]], Table4[ID], Table4[Deals], "Not Found", 0)</f>
        <v>4</v>
      </c>
      <c r="S838" s="16">
        <f>_xlfn.XLOOKUP(CustomerCombinedCleaned[[#This Row],[ID]], Table4[ID], Table4[Website], "Not Found", 0)</f>
        <v>2</v>
      </c>
      <c r="T838" s="16">
        <f>_xlfn.XLOOKUP(CustomerCombinedCleaned[[#This Row],[ID]], Table4[ID], Table4[Catalog], "Not Found", 0)</f>
        <v>1</v>
      </c>
      <c r="U838" s="16">
        <f>_xlfn.XLOOKUP(CustomerCombinedCleaned[[#This Row],[ID]], Table4[ID], Table4[Store], "Not Found", 0)</f>
        <v>4</v>
      </c>
      <c r="V838" s="16">
        <f>_xlfn.XLOOKUP(CustomerCombinedCleaned[[#This Row],[ID]], Table4[ID], Table4[Visits], "Not Found", 0)</f>
        <v>4</v>
      </c>
      <c r="W838" s="16">
        <f>_xlfn.XLOOKUP(CustomerCombinedCleaned[[#This Row],[ID]], Table2[ID],Table2[Complaint], "Not Found", 0 )</f>
        <v>0</v>
      </c>
      <c r="X838" s="16">
        <f>_xlfn.XLOOKUP(CustomerCombinedCleaned[[#This Row],[ID]], Table2[ID],Table2[Pilot], "Not Found", 0 )</f>
        <v>0</v>
      </c>
      <c r="Y838" s="16">
        <f>_xlfn.XLOOKUP(CustomerCombinedCleaned[[#This Row],[ID]], Table2[ID],Table2[MC1], "Not Found", 0 )</f>
        <v>0</v>
      </c>
      <c r="Z838" s="16">
        <f>_xlfn.XLOOKUP(CustomerCombinedCleaned[[#This Row],[ID]], Table2[ID],Table2[MC2], "Not Found", 0 )</f>
        <v>0</v>
      </c>
      <c r="AA838" s="16">
        <f>_xlfn.XLOOKUP(CustomerCombinedCleaned[[#This Row],[ID]], Table2[ID],Table2[MC3], "Not Found", 0 )</f>
        <v>0</v>
      </c>
      <c r="AB838" s="16">
        <f>_xlfn.XLOOKUP(CustomerCombinedCleaned[[#This Row],[ID]], Table2[ID],Table2[MC4], "Not Found", 0 )</f>
        <v>0</v>
      </c>
      <c r="AC838" s="16">
        <f>_xlfn.XLOOKUP(CustomerCombinedCleaned[[#This Row],[ID]], Table2[ID],Table2[MC5], "Not Found", 0 )</f>
        <v>0</v>
      </c>
    </row>
    <row r="839" spans="1:29" x14ac:dyDescent="0.3">
      <c r="A839" s="18">
        <v>1428</v>
      </c>
      <c r="B839" s="16">
        <v>120130</v>
      </c>
      <c r="C839" s="16">
        <v>0</v>
      </c>
      <c r="D839" s="16">
        <v>0</v>
      </c>
      <c r="E839" s="16">
        <v>46</v>
      </c>
      <c r="F839" s="17" t="s">
        <v>6</v>
      </c>
      <c r="G839" s="17" t="s">
        <v>11</v>
      </c>
      <c r="H839" s="3" t="s">
        <v>84</v>
      </c>
      <c r="I839" s="5" t="s">
        <v>436</v>
      </c>
      <c r="J839" s="16">
        <f>_xlfn.XLOOKUP(CustomerCombinedCleaned[[#This Row],[ID]], Table4[ID], Table4[Recency], "Not Found", 0)</f>
        <v>99</v>
      </c>
      <c r="K839" s="16">
        <f>_xlfn.XLOOKUP(CustomerCombinedCleaned[[#This Row],[ID]], Table4[ID], Table4[Teas], "Not Found", 0)</f>
        <v>0</v>
      </c>
      <c r="L839" s="16">
        <f>_xlfn.XLOOKUP(CustomerCombinedCleaned[[#This Row],[ID]], Table4[ID], Table4[Fruits], "Not Found", 0)</f>
        <v>36</v>
      </c>
      <c r="M839" s="16">
        <f>_xlfn.XLOOKUP(CustomerCombinedCleaned[[#This Row],[ID]], Table4[ID], Table4[Meats], "Not Found", 0)</f>
        <v>18</v>
      </c>
      <c r="N839" s="16">
        <f>_xlfn.XLOOKUP(CustomerCombinedCleaned[[#This Row],[ID]], Table4[ID], Table4[Seafood], "Not Found", 0)</f>
        <v>42</v>
      </c>
      <c r="O839" s="16">
        <f>_xlfn.XLOOKUP(CustomerCombinedCleaned[[#This Row],[ID]], Table4[ID], Table4[Sweets], "Not Found", 0)</f>
        <v>36</v>
      </c>
      <c r="P839" s="16">
        <f>_xlfn.XLOOKUP(CustomerCombinedCleaned[[#This Row],[ID]], Table4[ID], Table4[Premium], "Not Found", 0)</f>
        <v>72</v>
      </c>
      <c r="Q839" s="16">
        <f>_xlfn.XLOOKUP(CustomerCombinedCleaned[[#This Row],[ID]], Table4[ID], Table4[Regular], "Not Found", 0)</f>
        <v>60</v>
      </c>
      <c r="R839" s="16">
        <f>_xlfn.XLOOKUP(CustomerCombinedCleaned[[#This Row],[ID]], Table4[ID], Table4[Deals], "Not Found", 0)</f>
        <v>1</v>
      </c>
      <c r="S839" s="16">
        <f>_xlfn.XLOOKUP(CustomerCombinedCleaned[[#This Row],[ID]], Table4[ID], Table4[Website], "Not Found", 0)</f>
        <v>1</v>
      </c>
      <c r="T839" s="16">
        <f>_xlfn.XLOOKUP(CustomerCombinedCleaned[[#This Row],[ID]], Table4[ID], Table4[Catalog], "Not Found", 0)</f>
        <v>0</v>
      </c>
      <c r="U839" s="16">
        <f>_xlfn.XLOOKUP(CustomerCombinedCleaned[[#This Row],[ID]], Table4[ID], Table4[Store], "Not Found", 0)</f>
        <v>3</v>
      </c>
      <c r="V839" s="16">
        <f>_xlfn.XLOOKUP(CustomerCombinedCleaned[[#This Row],[ID]], Table4[ID], Table4[Visits], "Not Found", 0)</f>
        <v>8</v>
      </c>
      <c r="W839" s="16">
        <f>_xlfn.XLOOKUP(CustomerCombinedCleaned[[#This Row],[ID]], Table2[ID],Table2[Complaint], "Not Found", 0 )</f>
        <v>0</v>
      </c>
      <c r="X839" s="16">
        <f>_xlfn.XLOOKUP(CustomerCombinedCleaned[[#This Row],[ID]], Table2[ID],Table2[Pilot], "Not Found", 0 )</f>
        <v>0</v>
      </c>
      <c r="Y839" s="16">
        <f>_xlfn.XLOOKUP(CustomerCombinedCleaned[[#This Row],[ID]], Table2[ID],Table2[MC1], "Not Found", 0 )</f>
        <v>0</v>
      </c>
      <c r="Z839" s="16">
        <f>_xlfn.XLOOKUP(CustomerCombinedCleaned[[#This Row],[ID]], Table2[ID],Table2[MC2], "Not Found", 0 )</f>
        <v>0</v>
      </c>
      <c r="AA839" s="16">
        <f>_xlfn.XLOOKUP(CustomerCombinedCleaned[[#This Row],[ID]], Table2[ID],Table2[MC3], "Not Found", 0 )</f>
        <v>0</v>
      </c>
      <c r="AB839" s="16">
        <f>_xlfn.XLOOKUP(CustomerCombinedCleaned[[#This Row],[ID]], Table2[ID],Table2[MC4], "Not Found", 0 )</f>
        <v>0</v>
      </c>
      <c r="AC839" s="16">
        <f>_xlfn.XLOOKUP(CustomerCombinedCleaned[[#This Row],[ID]], Table2[ID],Table2[MC5], "Not Found", 0 )</f>
        <v>0</v>
      </c>
    </row>
    <row r="840" spans="1:29" x14ac:dyDescent="0.3">
      <c r="A840" s="18">
        <v>2152</v>
      </c>
      <c r="B840" s="16">
        <v>120130</v>
      </c>
      <c r="C840" s="16">
        <v>0</v>
      </c>
      <c r="D840" s="16">
        <v>0</v>
      </c>
      <c r="E840" s="16">
        <v>46</v>
      </c>
      <c r="F840" s="17" t="s">
        <v>6</v>
      </c>
      <c r="G840" s="17" t="s">
        <v>11</v>
      </c>
      <c r="H840" s="3" t="s">
        <v>84</v>
      </c>
      <c r="I840" s="5" t="s">
        <v>439</v>
      </c>
      <c r="J840" s="16">
        <f>_xlfn.XLOOKUP(CustomerCombinedCleaned[[#This Row],[ID]], Table4[ID], Table4[Recency], "Not Found", 0)</f>
        <v>99</v>
      </c>
      <c r="K840" s="16">
        <f>_xlfn.XLOOKUP(CustomerCombinedCleaned[[#This Row],[ID]], Table4[ID], Table4[Teas], "Not Found", 0)</f>
        <v>0</v>
      </c>
      <c r="L840" s="16">
        <f>_xlfn.XLOOKUP(CustomerCombinedCleaned[[#This Row],[ID]], Table4[ID], Table4[Fruits], "Not Found", 0)</f>
        <v>36</v>
      </c>
      <c r="M840" s="16">
        <f>_xlfn.XLOOKUP(CustomerCombinedCleaned[[#This Row],[ID]], Table4[ID], Table4[Meats], "Not Found", 0)</f>
        <v>18</v>
      </c>
      <c r="N840" s="16">
        <f>_xlfn.XLOOKUP(CustomerCombinedCleaned[[#This Row],[ID]], Table4[ID], Table4[Seafood], "Not Found", 0)</f>
        <v>42</v>
      </c>
      <c r="O840" s="16">
        <f>_xlfn.XLOOKUP(CustomerCombinedCleaned[[#This Row],[ID]], Table4[ID], Table4[Sweets], "Not Found", 0)</f>
        <v>36</v>
      </c>
      <c r="P840" s="16">
        <f>_xlfn.XLOOKUP(CustomerCombinedCleaned[[#This Row],[ID]], Table4[ID], Table4[Premium], "Not Found", 0)</f>
        <v>72</v>
      </c>
      <c r="Q840" s="16">
        <f>_xlfn.XLOOKUP(CustomerCombinedCleaned[[#This Row],[ID]], Table4[ID], Table4[Regular], "Not Found", 0)</f>
        <v>60</v>
      </c>
      <c r="R840" s="16">
        <f>_xlfn.XLOOKUP(CustomerCombinedCleaned[[#This Row],[ID]], Table4[ID], Table4[Deals], "Not Found", 0)</f>
        <v>1</v>
      </c>
      <c r="S840" s="16">
        <f>_xlfn.XLOOKUP(CustomerCombinedCleaned[[#This Row],[ID]], Table4[ID], Table4[Website], "Not Found", 0)</f>
        <v>1</v>
      </c>
      <c r="T840" s="16">
        <f>_xlfn.XLOOKUP(CustomerCombinedCleaned[[#This Row],[ID]], Table4[ID], Table4[Catalog], "Not Found", 0)</f>
        <v>0</v>
      </c>
      <c r="U840" s="16">
        <f>_xlfn.XLOOKUP(CustomerCombinedCleaned[[#This Row],[ID]], Table4[ID], Table4[Store], "Not Found", 0)</f>
        <v>3</v>
      </c>
      <c r="V840" s="16">
        <f>_xlfn.XLOOKUP(CustomerCombinedCleaned[[#This Row],[ID]], Table4[ID], Table4[Visits], "Not Found", 0)</f>
        <v>8</v>
      </c>
      <c r="W840" s="16">
        <f>_xlfn.XLOOKUP(CustomerCombinedCleaned[[#This Row],[ID]], Table2[ID],Table2[Complaint], "Not Found", 0 )</f>
        <v>0</v>
      </c>
      <c r="X840" s="16">
        <f>_xlfn.XLOOKUP(CustomerCombinedCleaned[[#This Row],[ID]], Table2[ID],Table2[Pilot], "Not Found", 0 )</f>
        <v>0</v>
      </c>
      <c r="Y840" s="16">
        <f>_xlfn.XLOOKUP(CustomerCombinedCleaned[[#This Row],[ID]], Table2[ID],Table2[MC1], "Not Found", 0 )</f>
        <v>0</v>
      </c>
      <c r="Z840" s="16">
        <f>_xlfn.XLOOKUP(CustomerCombinedCleaned[[#This Row],[ID]], Table2[ID],Table2[MC2], "Not Found", 0 )</f>
        <v>0</v>
      </c>
      <c r="AA840" s="16">
        <f>_xlfn.XLOOKUP(CustomerCombinedCleaned[[#This Row],[ID]], Table2[ID],Table2[MC3], "Not Found", 0 )</f>
        <v>0</v>
      </c>
      <c r="AB840" s="16">
        <f>_xlfn.XLOOKUP(CustomerCombinedCleaned[[#This Row],[ID]], Table2[ID],Table2[MC4], "Not Found", 0 )</f>
        <v>0</v>
      </c>
      <c r="AC840" s="16">
        <f>_xlfn.XLOOKUP(CustomerCombinedCleaned[[#This Row],[ID]], Table2[ID],Table2[MC5], "Not Found", 0 )</f>
        <v>0</v>
      </c>
    </row>
    <row r="841" spans="1:29" x14ac:dyDescent="0.3">
      <c r="A841" s="18">
        <v>3108</v>
      </c>
      <c r="B841" s="16">
        <v>119346</v>
      </c>
      <c r="C841" s="16">
        <v>1</v>
      </c>
      <c r="D841" s="16">
        <v>0</v>
      </c>
      <c r="E841" s="16">
        <v>46</v>
      </c>
      <c r="F841" s="17" t="s">
        <v>5</v>
      </c>
      <c r="G841" s="17" t="s">
        <v>11</v>
      </c>
      <c r="H841" s="3" t="s">
        <v>697</v>
      </c>
      <c r="I841" s="5" t="s">
        <v>436</v>
      </c>
      <c r="J841" s="16">
        <f>_xlfn.XLOOKUP(CustomerCombinedCleaned[[#This Row],[ID]], Table4[ID], Table4[Recency], "Not Found", 0)</f>
        <v>26</v>
      </c>
      <c r="K841" s="16">
        <f>_xlfn.XLOOKUP(CustomerCombinedCleaned[[#This Row],[ID]], Table4[ID], Table4[Teas], "Not Found", 0)</f>
        <v>12</v>
      </c>
      <c r="L841" s="16">
        <f>_xlfn.XLOOKUP(CustomerCombinedCleaned[[#This Row],[ID]], Table4[ID], Table4[Fruits], "Not Found", 0)</f>
        <v>0</v>
      </c>
      <c r="M841" s="16">
        <f>_xlfn.XLOOKUP(CustomerCombinedCleaned[[#This Row],[ID]], Table4[ID], Table4[Meats], "Not Found", 0)</f>
        <v>56</v>
      </c>
      <c r="N841" s="16">
        <f>_xlfn.XLOOKUP(CustomerCombinedCleaned[[#This Row],[ID]], Table4[ID], Table4[Seafood], "Not Found", 0)</f>
        <v>19</v>
      </c>
      <c r="O841" s="16">
        <f>_xlfn.XLOOKUP(CustomerCombinedCleaned[[#This Row],[ID]], Table4[ID], Table4[Sweets], "Not Found", 0)</f>
        <v>37</v>
      </c>
      <c r="P841" s="16">
        <f>_xlfn.XLOOKUP(CustomerCombinedCleaned[[#This Row],[ID]], Table4[ID], Table4[Premium], "Not Found", 0)</f>
        <v>12</v>
      </c>
      <c r="Q841" s="16">
        <f>_xlfn.XLOOKUP(CustomerCombinedCleaned[[#This Row],[ID]], Table4[ID], Table4[Regular], "Not Found", 0)</f>
        <v>111</v>
      </c>
      <c r="R841" s="16">
        <f>_xlfn.XLOOKUP(CustomerCombinedCleaned[[#This Row],[ID]], Table4[ID], Table4[Deals], "Not Found", 0)</f>
        <v>1</v>
      </c>
      <c r="S841" s="16">
        <f>_xlfn.XLOOKUP(CustomerCombinedCleaned[[#This Row],[ID]], Table4[ID], Table4[Website], "Not Found", 0)</f>
        <v>1</v>
      </c>
      <c r="T841" s="16">
        <f>_xlfn.XLOOKUP(CustomerCombinedCleaned[[#This Row],[ID]], Table4[ID], Table4[Catalog], "Not Found", 0)</f>
        <v>0</v>
      </c>
      <c r="U841" s="16">
        <f>_xlfn.XLOOKUP(CustomerCombinedCleaned[[#This Row],[ID]], Table4[ID], Table4[Store], "Not Found", 0)</f>
        <v>3</v>
      </c>
      <c r="V841" s="16">
        <f>_xlfn.XLOOKUP(CustomerCombinedCleaned[[#This Row],[ID]], Table4[ID], Table4[Visits], "Not Found", 0)</f>
        <v>8</v>
      </c>
      <c r="W841" s="16">
        <f>_xlfn.XLOOKUP(CustomerCombinedCleaned[[#This Row],[ID]], Table2[ID],Table2[Complaint], "Not Found", 0 )</f>
        <v>0</v>
      </c>
      <c r="X841" s="16">
        <f>_xlfn.XLOOKUP(CustomerCombinedCleaned[[#This Row],[ID]], Table2[ID],Table2[Pilot], "Not Found", 0 )</f>
        <v>0</v>
      </c>
      <c r="Y841" s="16">
        <f>_xlfn.XLOOKUP(CustomerCombinedCleaned[[#This Row],[ID]], Table2[ID],Table2[MC1], "Not Found", 0 )</f>
        <v>0</v>
      </c>
      <c r="Z841" s="16">
        <f>_xlfn.XLOOKUP(CustomerCombinedCleaned[[#This Row],[ID]], Table2[ID],Table2[MC2], "Not Found", 0 )</f>
        <v>0</v>
      </c>
      <c r="AA841" s="16">
        <f>_xlfn.XLOOKUP(CustomerCombinedCleaned[[#This Row],[ID]], Table2[ID],Table2[MC3], "Not Found", 0 )</f>
        <v>0</v>
      </c>
      <c r="AB841" s="16">
        <f>_xlfn.XLOOKUP(CustomerCombinedCleaned[[#This Row],[ID]], Table2[ID],Table2[MC4], "Not Found", 0 )</f>
        <v>0</v>
      </c>
      <c r="AC841" s="16">
        <f>_xlfn.XLOOKUP(CustomerCombinedCleaned[[#This Row],[ID]], Table2[ID],Table2[MC5], "Not Found", 0 )</f>
        <v>0</v>
      </c>
    </row>
    <row r="842" spans="1:29" x14ac:dyDescent="0.3">
      <c r="A842" s="18">
        <v>2304</v>
      </c>
      <c r="B842" s="16">
        <v>118393</v>
      </c>
      <c r="C842" s="16">
        <v>1</v>
      </c>
      <c r="D842" s="16">
        <v>0</v>
      </c>
      <c r="E842" s="16">
        <v>46</v>
      </c>
      <c r="F842" s="17" t="s">
        <v>6</v>
      </c>
      <c r="G842" s="17" t="s">
        <v>10</v>
      </c>
      <c r="H842" s="3" t="s">
        <v>696</v>
      </c>
      <c r="I842" s="5" t="s">
        <v>436</v>
      </c>
      <c r="J842" s="16">
        <f>_xlfn.XLOOKUP(CustomerCombinedCleaned[[#This Row],[ID]], Table4[ID], Table4[Recency], "Not Found", 0)</f>
        <v>2</v>
      </c>
      <c r="K842" s="16">
        <f>_xlfn.XLOOKUP(CustomerCombinedCleaned[[#This Row],[ID]], Table4[ID], Table4[Teas], "Not Found", 0)</f>
        <v>45</v>
      </c>
      <c r="L842" s="16">
        <f>_xlfn.XLOOKUP(CustomerCombinedCleaned[[#This Row],[ID]], Table4[ID], Table4[Fruits], "Not Found", 0)</f>
        <v>64</v>
      </c>
      <c r="M842" s="16">
        <f>_xlfn.XLOOKUP(CustomerCombinedCleaned[[#This Row],[ID]], Table4[ID], Table4[Meats], "Not Found", 0)</f>
        <v>84</v>
      </c>
      <c r="N842" s="16">
        <f>_xlfn.XLOOKUP(CustomerCombinedCleaned[[#This Row],[ID]], Table4[ID], Table4[Seafood], "Not Found", 0)</f>
        <v>103</v>
      </c>
      <c r="O842" s="16">
        <f>_xlfn.XLOOKUP(CustomerCombinedCleaned[[#This Row],[ID]], Table4[ID], Table4[Sweets], "Not Found", 0)</f>
        <v>0</v>
      </c>
      <c r="P842" s="16">
        <f>_xlfn.XLOOKUP(CustomerCombinedCleaned[[#This Row],[ID]], Table4[ID], Table4[Premium], "Not Found", 0)</f>
        <v>26</v>
      </c>
      <c r="Q842" s="16">
        <f>_xlfn.XLOOKUP(CustomerCombinedCleaned[[#This Row],[ID]], Table4[ID], Table4[Regular], "Not Found", 0)</f>
        <v>270</v>
      </c>
      <c r="R842" s="16">
        <f>_xlfn.XLOOKUP(CustomerCombinedCleaned[[#This Row],[ID]], Table4[ID], Table4[Deals], "Not Found", 0)</f>
        <v>2</v>
      </c>
      <c r="S842" s="16">
        <f>_xlfn.XLOOKUP(CustomerCombinedCleaned[[#This Row],[ID]], Table4[ID], Table4[Website], "Not Found", 0)</f>
        <v>3</v>
      </c>
      <c r="T842" s="16">
        <f>_xlfn.XLOOKUP(CustomerCombinedCleaned[[#This Row],[ID]], Table4[ID], Table4[Catalog], "Not Found", 0)</f>
        <v>0</v>
      </c>
      <c r="U842" s="16">
        <f>_xlfn.XLOOKUP(CustomerCombinedCleaned[[#This Row],[ID]], Table4[ID], Table4[Store], "Not Found", 0)</f>
        <v>3</v>
      </c>
      <c r="V842" s="16">
        <f>_xlfn.XLOOKUP(CustomerCombinedCleaned[[#This Row],[ID]], Table4[ID], Table4[Visits], "Not Found", 0)</f>
        <v>8</v>
      </c>
      <c r="W842" s="16">
        <f>_xlfn.XLOOKUP(CustomerCombinedCleaned[[#This Row],[ID]], Table2[ID],Table2[Complaint], "Not Found", 0 )</f>
        <v>0</v>
      </c>
      <c r="X842" s="16">
        <f>_xlfn.XLOOKUP(CustomerCombinedCleaned[[#This Row],[ID]], Table2[ID],Table2[Pilot], "Not Found", 0 )</f>
        <v>0</v>
      </c>
      <c r="Y842" s="16">
        <f>_xlfn.XLOOKUP(CustomerCombinedCleaned[[#This Row],[ID]], Table2[ID],Table2[MC1], "Not Found", 0 )</f>
        <v>0</v>
      </c>
      <c r="Z842" s="16">
        <f>_xlfn.XLOOKUP(CustomerCombinedCleaned[[#This Row],[ID]], Table2[ID],Table2[MC2], "Not Found", 0 )</f>
        <v>0</v>
      </c>
      <c r="AA842" s="16">
        <f>_xlfn.XLOOKUP(CustomerCombinedCleaned[[#This Row],[ID]], Table2[ID],Table2[MC3], "Not Found", 0 )</f>
        <v>0</v>
      </c>
      <c r="AB842" s="16">
        <f>_xlfn.XLOOKUP(CustomerCombinedCleaned[[#This Row],[ID]], Table2[ID],Table2[MC4], "Not Found", 0 )</f>
        <v>0</v>
      </c>
      <c r="AC842" s="16">
        <f>_xlfn.XLOOKUP(CustomerCombinedCleaned[[#This Row],[ID]], Table2[ID],Table2[MC5], "Not Found", 0 )</f>
        <v>0</v>
      </c>
    </row>
    <row r="843" spans="1:29" x14ac:dyDescent="0.3">
      <c r="A843" s="18">
        <v>1947</v>
      </c>
      <c r="B843" s="16">
        <v>192955</v>
      </c>
      <c r="C843" s="16">
        <v>0</v>
      </c>
      <c r="D843" s="16">
        <v>0</v>
      </c>
      <c r="E843" s="16">
        <v>47</v>
      </c>
      <c r="F843" s="17" t="s">
        <v>6</v>
      </c>
      <c r="G843" s="17" t="s">
        <v>11</v>
      </c>
      <c r="H843" s="3" t="s">
        <v>198</v>
      </c>
      <c r="I843" s="5" t="s">
        <v>435</v>
      </c>
      <c r="J843" s="16">
        <f>_xlfn.XLOOKUP(CustomerCombinedCleaned[[#This Row],[ID]], Table4[ID], Table4[Recency], "Not Found", 0)</f>
        <v>35</v>
      </c>
      <c r="K843" s="16">
        <f>_xlfn.XLOOKUP(CustomerCombinedCleaned[[#This Row],[ID]], Table4[ID], Table4[Teas], "Not Found", 0)</f>
        <v>1439</v>
      </c>
      <c r="L843" s="16">
        <f>_xlfn.XLOOKUP(CustomerCombinedCleaned[[#This Row],[ID]], Table4[ID], Table4[Fruits], "Not Found", 0)</f>
        <v>44</v>
      </c>
      <c r="M843" s="16">
        <f>_xlfn.XLOOKUP(CustomerCombinedCleaned[[#This Row],[ID]], Table4[ID], Table4[Meats], "Not Found", 0)</f>
        <v>1920</v>
      </c>
      <c r="N843" s="16">
        <f>_xlfn.XLOOKUP(CustomerCombinedCleaned[[#This Row],[ID]], Table4[ID], Table4[Seafood], "Not Found", 0)</f>
        <v>64</v>
      </c>
      <c r="O843" s="16">
        <f>_xlfn.XLOOKUP(CustomerCombinedCleaned[[#This Row],[ID]], Table4[ID], Table4[Sweets], "Not Found", 0)</f>
        <v>50</v>
      </c>
      <c r="P843" s="16">
        <f>_xlfn.XLOOKUP(CustomerCombinedCleaned[[#This Row],[ID]], Table4[ID], Table4[Premium], "Not Found", 0)</f>
        <v>174</v>
      </c>
      <c r="Q843" s="16">
        <f>_xlfn.XLOOKUP(CustomerCombinedCleaned[[#This Row],[ID]], Table4[ID], Table4[Regular], "Not Found", 0)</f>
        <v>3342</v>
      </c>
      <c r="R843" s="16">
        <f>_xlfn.XLOOKUP(CustomerCombinedCleaned[[#This Row],[ID]], Table4[ID], Table4[Deals], "Not Found", 0)</f>
        <v>1</v>
      </c>
      <c r="S843" s="16">
        <f>_xlfn.XLOOKUP(CustomerCombinedCleaned[[#This Row],[ID]], Table4[ID], Table4[Website], "Not Found", 0)</f>
        <v>6</v>
      </c>
      <c r="T843" s="16">
        <f>_xlfn.XLOOKUP(CustomerCombinedCleaned[[#This Row],[ID]], Table4[ID], Table4[Catalog], "Not Found", 0)</f>
        <v>7</v>
      </c>
      <c r="U843" s="16">
        <f>_xlfn.XLOOKUP(CustomerCombinedCleaned[[#This Row],[ID]], Table4[ID], Table4[Store], "Not Found", 0)</f>
        <v>9</v>
      </c>
      <c r="V843" s="16">
        <f>_xlfn.XLOOKUP(CustomerCombinedCleaned[[#This Row],[ID]], Table4[ID], Table4[Visits], "Not Found", 0)</f>
        <v>2</v>
      </c>
      <c r="W843" s="16">
        <f>_xlfn.XLOOKUP(CustomerCombinedCleaned[[#This Row],[ID]], Table2[ID],Table2[Complaint], "Not Found", 0 )</f>
        <v>0</v>
      </c>
      <c r="X843" s="16">
        <f>_xlfn.XLOOKUP(CustomerCombinedCleaned[[#This Row],[ID]], Table2[ID],Table2[Pilot], "Not Found", 0 )</f>
        <v>1</v>
      </c>
      <c r="Y843" s="16">
        <f>_xlfn.XLOOKUP(CustomerCombinedCleaned[[#This Row],[ID]], Table2[ID],Table2[MC1], "Not Found", 0 )</f>
        <v>1</v>
      </c>
      <c r="Z843" s="16">
        <f>_xlfn.XLOOKUP(CustomerCombinedCleaned[[#This Row],[ID]], Table2[ID],Table2[MC2], "Not Found", 0 )</f>
        <v>0</v>
      </c>
      <c r="AA843" s="16">
        <f>_xlfn.XLOOKUP(CustomerCombinedCleaned[[#This Row],[ID]], Table2[ID],Table2[MC3], "Not Found", 0 )</f>
        <v>0</v>
      </c>
      <c r="AB843" s="16">
        <f>_xlfn.XLOOKUP(CustomerCombinedCleaned[[#This Row],[ID]], Table2[ID],Table2[MC4], "Not Found", 0 )</f>
        <v>0</v>
      </c>
      <c r="AC843" s="16">
        <f>_xlfn.XLOOKUP(CustomerCombinedCleaned[[#This Row],[ID]], Table2[ID],Table2[MC5], "Not Found", 0 )</f>
        <v>1</v>
      </c>
    </row>
    <row r="844" spans="1:29" x14ac:dyDescent="0.3">
      <c r="A844" s="18">
        <v>1715</v>
      </c>
      <c r="B844" s="16">
        <v>189694</v>
      </c>
      <c r="C844" s="16">
        <v>1</v>
      </c>
      <c r="D844" s="16">
        <v>1</v>
      </c>
      <c r="E844" s="16">
        <v>47</v>
      </c>
      <c r="F844" s="17" t="s">
        <v>5</v>
      </c>
      <c r="G844" s="17" t="s">
        <v>11</v>
      </c>
      <c r="H844" s="3" t="s">
        <v>173</v>
      </c>
      <c r="I844" s="5" t="s">
        <v>434</v>
      </c>
      <c r="J844" s="16">
        <f>_xlfn.XLOOKUP(CustomerCombinedCleaned[[#This Row],[ID]], Table4[ID], Table4[Recency], "Not Found", 0)</f>
        <v>22</v>
      </c>
      <c r="K844" s="16">
        <f>_xlfn.XLOOKUP(CustomerCombinedCleaned[[#This Row],[ID]], Table4[ID], Table4[Teas], "Not Found", 0)</f>
        <v>2381</v>
      </c>
      <c r="L844" s="16">
        <f>_xlfn.XLOOKUP(CustomerCombinedCleaned[[#This Row],[ID]], Table4[ID], Table4[Fruits], "Not Found", 0)</f>
        <v>59</v>
      </c>
      <c r="M844" s="16">
        <f>_xlfn.XLOOKUP(CustomerCombinedCleaned[[#This Row],[ID]], Table4[ID], Table4[Meats], "Not Found", 0)</f>
        <v>446</v>
      </c>
      <c r="N844" s="16">
        <f>_xlfn.XLOOKUP(CustomerCombinedCleaned[[#This Row],[ID]], Table4[ID], Table4[Seafood], "Not Found", 0)</f>
        <v>78</v>
      </c>
      <c r="O844" s="16">
        <f>_xlfn.XLOOKUP(CustomerCombinedCleaned[[#This Row],[ID]], Table4[ID], Table4[Sweets], "Not Found", 0)</f>
        <v>59</v>
      </c>
      <c r="P844" s="16">
        <f>_xlfn.XLOOKUP(CustomerCombinedCleaned[[#This Row],[ID]], Table4[ID], Table4[Premium], "Not Found", 0)</f>
        <v>89</v>
      </c>
      <c r="Q844" s="16">
        <f>_xlfn.XLOOKUP(CustomerCombinedCleaned[[#This Row],[ID]], Table4[ID], Table4[Regular], "Not Found", 0)</f>
        <v>2935</v>
      </c>
      <c r="R844" s="16">
        <f>_xlfn.XLOOKUP(CustomerCombinedCleaned[[#This Row],[ID]], Table4[ID], Table4[Deals], "Not Found", 0)</f>
        <v>3</v>
      </c>
      <c r="S844" s="16">
        <f>_xlfn.XLOOKUP(CustomerCombinedCleaned[[#This Row],[ID]], Table4[ID], Table4[Website], "Not Found", 0)</f>
        <v>4</v>
      </c>
      <c r="T844" s="16">
        <f>_xlfn.XLOOKUP(CustomerCombinedCleaned[[#This Row],[ID]], Table4[ID], Table4[Catalog], "Not Found", 0)</f>
        <v>3</v>
      </c>
      <c r="U844" s="16">
        <f>_xlfn.XLOOKUP(CustomerCombinedCleaned[[#This Row],[ID]], Table4[ID], Table4[Store], "Not Found", 0)</f>
        <v>4</v>
      </c>
      <c r="V844" s="16">
        <f>_xlfn.XLOOKUP(CustomerCombinedCleaned[[#This Row],[ID]], Table4[ID], Table4[Visits], "Not Found", 0)</f>
        <v>5</v>
      </c>
      <c r="W844" s="16">
        <f>_xlfn.XLOOKUP(CustomerCombinedCleaned[[#This Row],[ID]], Table2[ID],Table2[Complaint], "Not Found", 0 )</f>
        <v>0</v>
      </c>
      <c r="X844" s="16">
        <f>_xlfn.XLOOKUP(CustomerCombinedCleaned[[#This Row],[ID]], Table2[ID],Table2[Pilot], "Not Found", 0 )</f>
        <v>0</v>
      </c>
      <c r="Y844" s="16">
        <f>_xlfn.XLOOKUP(CustomerCombinedCleaned[[#This Row],[ID]], Table2[ID],Table2[MC1], "Not Found", 0 )</f>
        <v>1</v>
      </c>
      <c r="Z844" s="16">
        <f>_xlfn.XLOOKUP(CustomerCombinedCleaned[[#This Row],[ID]], Table2[ID],Table2[MC2], "Not Found", 0 )</f>
        <v>0</v>
      </c>
      <c r="AA844" s="16">
        <f>_xlfn.XLOOKUP(CustomerCombinedCleaned[[#This Row],[ID]], Table2[ID],Table2[MC3], "Not Found", 0 )</f>
        <v>0</v>
      </c>
      <c r="AB844" s="16">
        <f>_xlfn.XLOOKUP(CustomerCombinedCleaned[[#This Row],[ID]], Table2[ID],Table2[MC4], "Not Found", 0 )</f>
        <v>1</v>
      </c>
      <c r="AC844" s="16">
        <f>_xlfn.XLOOKUP(CustomerCombinedCleaned[[#This Row],[ID]], Table2[ID],Table2[MC5], "Not Found", 0 )</f>
        <v>1</v>
      </c>
    </row>
    <row r="845" spans="1:29" x14ac:dyDescent="0.3">
      <c r="A845" s="18">
        <v>2071</v>
      </c>
      <c r="B845" s="16">
        <v>185844</v>
      </c>
      <c r="C845" s="16">
        <v>0</v>
      </c>
      <c r="D845" s="16">
        <v>0</v>
      </c>
      <c r="E845" s="16">
        <v>47</v>
      </c>
      <c r="F845" s="17" t="s">
        <v>6</v>
      </c>
      <c r="G845" s="17" t="s">
        <v>13</v>
      </c>
      <c r="H845" s="3" t="s">
        <v>565</v>
      </c>
      <c r="I845" s="5" t="s">
        <v>437</v>
      </c>
      <c r="J845" s="16">
        <f>_xlfn.XLOOKUP(CustomerCombinedCleaned[[#This Row],[ID]], Table4[ID], Table4[Recency], "Not Found", 0)</f>
        <v>62</v>
      </c>
      <c r="K845" s="16">
        <f>_xlfn.XLOOKUP(CustomerCombinedCleaned[[#This Row],[ID]], Table4[ID], Table4[Teas], "Not Found", 0)</f>
        <v>2031</v>
      </c>
      <c r="L845" s="16">
        <f>_xlfn.XLOOKUP(CustomerCombinedCleaned[[#This Row],[ID]], Table4[ID], Table4[Fruits], "Not Found", 0)</f>
        <v>41</v>
      </c>
      <c r="M845" s="16">
        <f>_xlfn.XLOOKUP(CustomerCombinedCleaned[[#This Row],[ID]], Table4[ID], Table4[Meats], "Not Found", 0)</f>
        <v>1825</v>
      </c>
      <c r="N845" s="16">
        <f>_xlfn.XLOOKUP(CustomerCombinedCleaned[[#This Row],[ID]], Table4[ID], Table4[Seafood], "Not Found", 0)</f>
        <v>54</v>
      </c>
      <c r="O845" s="16">
        <f>_xlfn.XLOOKUP(CustomerCombinedCleaned[[#This Row],[ID]], Table4[ID], Table4[Sweets], "Not Found", 0)</f>
        <v>206</v>
      </c>
      <c r="P845" s="16">
        <f>_xlfn.XLOOKUP(CustomerCombinedCleaned[[#This Row],[ID]], Table4[ID], Table4[Premium], "Not Found", 0)</f>
        <v>82</v>
      </c>
      <c r="Q845" s="16">
        <f>_xlfn.XLOOKUP(CustomerCombinedCleaned[[#This Row],[ID]], Table4[ID], Table4[Regular], "Not Found", 0)</f>
        <v>4074</v>
      </c>
      <c r="R845" s="16">
        <f>_xlfn.XLOOKUP(CustomerCombinedCleaned[[#This Row],[ID]], Table4[ID], Table4[Deals], "Not Found", 0)</f>
        <v>1</v>
      </c>
      <c r="S845" s="16">
        <f>_xlfn.XLOOKUP(CustomerCombinedCleaned[[#This Row],[ID]], Table4[ID], Table4[Website], "Not Found", 0)</f>
        <v>6</v>
      </c>
      <c r="T845" s="16">
        <f>_xlfn.XLOOKUP(CustomerCombinedCleaned[[#This Row],[ID]], Table4[ID], Table4[Catalog], "Not Found", 0)</f>
        <v>6</v>
      </c>
      <c r="U845" s="16">
        <f>_xlfn.XLOOKUP(CustomerCombinedCleaned[[#This Row],[ID]], Table4[ID], Table4[Store], "Not Found", 0)</f>
        <v>7</v>
      </c>
      <c r="V845" s="16">
        <f>_xlfn.XLOOKUP(CustomerCombinedCleaned[[#This Row],[ID]], Table4[ID], Table4[Visits], "Not Found", 0)</f>
        <v>2</v>
      </c>
      <c r="W845" s="16">
        <f>_xlfn.XLOOKUP(CustomerCombinedCleaned[[#This Row],[ID]], Table2[ID],Table2[Complaint], "Not Found", 0 )</f>
        <v>0</v>
      </c>
      <c r="X845" s="16">
        <f>_xlfn.XLOOKUP(CustomerCombinedCleaned[[#This Row],[ID]], Table2[ID],Table2[Pilot], "Not Found", 0 )</f>
        <v>0</v>
      </c>
      <c r="Y845" s="16">
        <f>_xlfn.XLOOKUP(CustomerCombinedCleaned[[#This Row],[ID]], Table2[ID],Table2[MC1], "Not Found", 0 )</f>
        <v>0</v>
      </c>
      <c r="Z845" s="16">
        <f>_xlfn.XLOOKUP(CustomerCombinedCleaned[[#This Row],[ID]], Table2[ID],Table2[MC2], "Not Found", 0 )</f>
        <v>0</v>
      </c>
      <c r="AA845" s="16">
        <f>_xlfn.XLOOKUP(CustomerCombinedCleaned[[#This Row],[ID]], Table2[ID],Table2[MC3], "Not Found", 0 )</f>
        <v>0</v>
      </c>
      <c r="AB845" s="16">
        <f>_xlfn.XLOOKUP(CustomerCombinedCleaned[[#This Row],[ID]], Table2[ID],Table2[MC4], "Not Found", 0 )</f>
        <v>0</v>
      </c>
      <c r="AC845" s="16">
        <f>_xlfn.XLOOKUP(CustomerCombinedCleaned[[#This Row],[ID]], Table2[ID],Table2[MC5], "Not Found", 0 )</f>
        <v>1</v>
      </c>
    </row>
    <row r="846" spans="1:29" x14ac:dyDescent="0.3">
      <c r="A846" s="18">
        <v>1617</v>
      </c>
      <c r="B846" s="16">
        <v>183917</v>
      </c>
      <c r="C846" s="16">
        <v>0</v>
      </c>
      <c r="D846" s="16">
        <v>0</v>
      </c>
      <c r="E846" s="16">
        <v>47</v>
      </c>
      <c r="F846" s="17" t="s">
        <v>7</v>
      </c>
      <c r="G846" s="17" t="s">
        <v>11</v>
      </c>
      <c r="H846" s="3" t="s">
        <v>271</v>
      </c>
      <c r="I846" s="5" t="s">
        <v>435</v>
      </c>
      <c r="J846" s="16">
        <f>_xlfn.XLOOKUP(CustomerCombinedCleaned[[#This Row],[ID]], Table4[ID], Table4[Recency], "Not Found", 0)</f>
        <v>12</v>
      </c>
      <c r="K846" s="16">
        <f>_xlfn.XLOOKUP(CustomerCombinedCleaned[[#This Row],[ID]], Table4[ID], Table4[Teas], "Not Found", 0)</f>
        <v>1127</v>
      </c>
      <c r="L846" s="16">
        <f>_xlfn.XLOOKUP(CustomerCombinedCleaned[[#This Row],[ID]], Table4[ID], Table4[Fruits], "Not Found", 0)</f>
        <v>48</v>
      </c>
      <c r="M846" s="16">
        <f>_xlfn.XLOOKUP(CustomerCombinedCleaned[[#This Row],[ID]], Table4[ID], Table4[Meats], "Not Found", 0)</f>
        <v>1604</v>
      </c>
      <c r="N846" s="16">
        <f>_xlfn.XLOOKUP(CustomerCombinedCleaned[[#This Row],[ID]], Table4[ID], Table4[Seafood], "Not Found", 0)</f>
        <v>92</v>
      </c>
      <c r="O846" s="16">
        <f>_xlfn.XLOOKUP(CustomerCombinedCleaned[[#This Row],[ID]], Table4[ID], Table4[Sweets], "Not Found", 0)</f>
        <v>434</v>
      </c>
      <c r="P846" s="16">
        <f>_xlfn.XLOOKUP(CustomerCombinedCleaned[[#This Row],[ID]], Table4[ID], Table4[Premium], "Not Found", 0)</f>
        <v>173</v>
      </c>
      <c r="Q846" s="16">
        <f>_xlfn.XLOOKUP(CustomerCombinedCleaned[[#This Row],[ID]], Table4[ID], Table4[Regular], "Not Found", 0)</f>
        <v>3132</v>
      </c>
      <c r="R846" s="16">
        <f>_xlfn.XLOOKUP(CustomerCombinedCleaned[[#This Row],[ID]], Table4[ID], Table4[Deals], "Not Found", 0)</f>
        <v>1</v>
      </c>
      <c r="S846" s="16">
        <f>_xlfn.XLOOKUP(CustomerCombinedCleaned[[#This Row],[ID]], Table4[ID], Table4[Website], "Not Found", 0)</f>
        <v>6</v>
      </c>
      <c r="T846" s="16">
        <f>_xlfn.XLOOKUP(CustomerCombinedCleaned[[#This Row],[ID]], Table4[ID], Table4[Catalog], "Not Found", 0)</f>
        <v>7</v>
      </c>
      <c r="U846" s="16">
        <f>_xlfn.XLOOKUP(CustomerCombinedCleaned[[#This Row],[ID]], Table4[ID], Table4[Store], "Not Found", 0)</f>
        <v>7</v>
      </c>
      <c r="V846" s="16">
        <f>_xlfn.XLOOKUP(CustomerCombinedCleaned[[#This Row],[ID]], Table4[ID], Table4[Visits], "Not Found", 0)</f>
        <v>3</v>
      </c>
      <c r="W846" s="16">
        <f>_xlfn.XLOOKUP(CustomerCombinedCleaned[[#This Row],[ID]], Table2[ID],Table2[Complaint], "Not Found", 0 )</f>
        <v>0</v>
      </c>
      <c r="X846" s="16">
        <f>_xlfn.XLOOKUP(CustomerCombinedCleaned[[#This Row],[ID]], Table2[ID],Table2[Pilot], "Not Found", 0 )</f>
        <v>1</v>
      </c>
      <c r="Y846" s="16">
        <f>_xlfn.XLOOKUP(CustomerCombinedCleaned[[#This Row],[ID]], Table2[ID],Table2[MC1], "Not Found", 0 )</f>
        <v>0</v>
      </c>
      <c r="Z846" s="16">
        <f>_xlfn.XLOOKUP(CustomerCombinedCleaned[[#This Row],[ID]], Table2[ID],Table2[MC2], "Not Found", 0 )</f>
        <v>0</v>
      </c>
      <c r="AA846" s="16">
        <f>_xlfn.XLOOKUP(CustomerCombinedCleaned[[#This Row],[ID]], Table2[ID],Table2[MC3], "Not Found", 0 )</f>
        <v>0</v>
      </c>
      <c r="AB846" s="16">
        <f>_xlfn.XLOOKUP(CustomerCombinedCleaned[[#This Row],[ID]], Table2[ID],Table2[MC4], "Not Found", 0 )</f>
        <v>0</v>
      </c>
      <c r="AC846" s="16">
        <f>_xlfn.XLOOKUP(CustomerCombinedCleaned[[#This Row],[ID]], Table2[ID],Table2[MC5], "Not Found", 0 )</f>
        <v>0</v>
      </c>
    </row>
    <row r="847" spans="1:29" x14ac:dyDescent="0.3">
      <c r="A847" s="18">
        <v>1083</v>
      </c>
      <c r="B847" s="16">
        <v>179593</v>
      </c>
      <c r="C847" s="16">
        <v>0</v>
      </c>
      <c r="D847" s="16">
        <v>0</v>
      </c>
      <c r="E847" s="16">
        <v>47</v>
      </c>
      <c r="F847" s="17" t="s">
        <v>6</v>
      </c>
      <c r="G847" s="17" t="s">
        <v>11</v>
      </c>
      <c r="H847" s="3" t="s">
        <v>52</v>
      </c>
      <c r="I847" s="5" t="s">
        <v>435</v>
      </c>
      <c r="J847" s="16">
        <f>_xlfn.XLOOKUP(CustomerCombinedCleaned[[#This Row],[ID]], Table4[ID], Table4[Recency], "Not Found", 0)</f>
        <v>70</v>
      </c>
      <c r="K847" s="16">
        <f>_xlfn.XLOOKUP(CustomerCombinedCleaned[[#This Row],[ID]], Table4[ID], Table4[Teas], "Not Found", 0)</f>
        <v>790</v>
      </c>
      <c r="L847" s="16">
        <f>_xlfn.XLOOKUP(CustomerCombinedCleaned[[#This Row],[ID]], Table4[ID], Table4[Fruits], "Not Found", 0)</f>
        <v>135</v>
      </c>
      <c r="M847" s="16">
        <f>_xlfn.XLOOKUP(CustomerCombinedCleaned[[#This Row],[ID]], Table4[ID], Table4[Meats], "Not Found", 0)</f>
        <v>1282</v>
      </c>
      <c r="N847" s="16">
        <f>_xlfn.XLOOKUP(CustomerCombinedCleaned[[#This Row],[ID]], Table4[ID], Table4[Seafood], "Not Found", 0)</f>
        <v>248</v>
      </c>
      <c r="O847" s="16">
        <f>_xlfn.XLOOKUP(CustomerCombinedCleaned[[#This Row],[ID]], Table4[ID], Table4[Sweets], "Not Found", 0)</f>
        <v>300</v>
      </c>
      <c r="P847" s="16">
        <f>_xlfn.XLOOKUP(CustomerCombinedCleaned[[#This Row],[ID]], Table4[ID], Table4[Premium], "Not Found", 0)</f>
        <v>327</v>
      </c>
      <c r="Q847" s="16">
        <f>_xlfn.XLOOKUP(CustomerCombinedCleaned[[#This Row],[ID]], Table4[ID], Table4[Regular], "Not Found", 0)</f>
        <v>2428</v>
      </c>
      <c r="R847" s="16">
        <f>_xlfn.XLOOKUP(CustomerCombinedCleaned[[#This Row],[ID]], Table4[ID], Table4[Deals], "Not Found", 0)</f>
        <v>1</v>
      </c>
      <c r="S847" s="16">
        <f>_xlfn.XLOOKUP(CustomerCombinedCleaned[[#This Row],[ID]], Table4[ID], Table4[Website], "Not Found", 0)</f>
        <v>5</v>
      </c>
      <c r="T847" s="16">
        <f>_xlfn.XLOOKUP(CustomerCombinedCleaned[[#This Row],[ID]], Table4[ID], Table4[Catalog], "Not Found", 0)</f>
        <v>6</v>
      </c>
      <c r="U847" s="16">
        <f>_xlfn.XLOOKUP(CustomerCombinedCleaned[[#This Row],[ID]], Table4[ID], Table4[Store], "Not Found", 0)</f>
        <v>7</v>
      </c>
      <c r="V847" s="16">
        <f>_xlfn.XLOOKUP(CustomerCombinedCleaned[[#This Row],[ID]], Table4[ID], Table4[Visits], "Not Found", 0)</f>
        <v>2</v>
      </c>
      <c r="W847" s="16">
        <f>_xlfn.XLOOKUP(CustomerCombinedCleaned[[#This Row],[ID]], Table2[ID],Table2[Complaint], "Not Found", 0 )</f>
        <v>0</v>
      </c>
      <c r="X847" s="16">
        <f>_xlfn.XLOOKUP(CustomerCombinedCleaned[[#This Row],[ID]], Table2[ID],Table2[Pilot], "Not Found", 0 )</f>
        <v>0</v>
      </c>
      <c r="Y847" s="16">
        <f>_xlfn.XLOOKUP(CustomerCombinedCleaned[[#This Row],[ID]], Table2[ID],Table2[MC1], "Not Found", 0 )</f>
        <v>0</v>
      </c>
      <c r="Z847" s="16">
        <f>_xlfn.XLOOKUP(CustomerCombinedCleaned[[#This Row],[ID]], Table2[ID],Table2[MC2], "Not Found", 0 )</f>
        <v>0</v>
      </c>
      <c r="AA847" s="16">
        <f>_xlfn.XLOOKUP(CustomerCombinedCleaned[[#This Row],[ID]], Table2[ID],Table2[MC3], "Not Found", 0 )</f>
        <v>0</v>
      </c>
      <c r="AB847" s="16">
        <f>_xlfn.XLOOKUP(CustomerCombinedCleaned[[#This Row],[ID]], Table2[ID],Table2[MC4], "Not Found", 0 )</f>
        <v>0</v>
      </c>
      <c r="AC847" s="16">
        <f>_xlfn.XLOOKUP(CustomerCombinedCleaned[[#This Row],[ID]], Table2[ID],Table2[MC5], "Not Found", 0 )</f>
        <v>1</v>
      </c>
    </row>
    <row r="848" spans="1:29" x14ac:dyDescent="0.3">
      <c r="A848" s="18">
        <v>2015</v>
      </c>
      <c r="B848" s="16">
        <v>179593</v>
      </c>
      <c r="C848" s="16">
        <v>0</v>
      </c>
      <c r="D848" s="16">
        <v>0</v>
      </c>
      <c r="E848" s="16">
        <v>47</v>
      </c>
      <c r="F848" s="17" t="s">
        <v>6</v>
      </c>
      <c r="G848" s="17" t="s">
        <v>11</v>
      </c>
      <c r="H848" s="3" t="s">
        <v>52</v>
      </c>
      <c r="I848" s="5" t="s">
        <v>434</v>
      </c>
      <c r="J848" s="16">
        <f>_xlfn.XLOOKUP(CustomerCombinedCleaned[[#This Row],[ID]], Table4[ID], Table4[Recency], "Not Found", 0)</f>
        <v>70</v>
      </c>
      <c r="K848" s="16">
        <f>_xlfn.XLOOKUP(CustomerCombinedCleaned[[#This Row],[ID]], Table4[ID], Table4[Teas], "Not Found", 0)</f>
        <v>790</v>
      </c>
      <c r="L848" s="16">
        <f>_xlfn.XLOOKUP(CustomerCombinedCleaned[[#This Row],[ID]], Table4[ID], Table4[Fruits], "Not Found", 0)</f>
        <v>135</v>
      </c>
      <c r="M848" s="16">
        <f>_xlfn.XLOOKUP(CustomerCombinedCleaned[[#This Row],[ID]], Table4[ID], Table4[Meats], "Not Found", 0)</f>
        <v>1282</v>
      </c>
      <c r="N848" s="16">
        <f>_xlfn.XLOOKUP(CustomerCombinedCleaned[[#This Row],[ID]], Table4[ID], Table4[Seafood], "Not Found", 0)</f>
        <v>248</v>
      </c>
      <c r="O848" s="16">
        <f>_xlfn.XLOOKUP(CustomerCombinedCleaned[[#This Row],[ID]], Table4[ID], Table4[Sweets], "Not Found", 0)</f>
        <v>300</v>
      </c>
      <c r="P848" s="16">
        <f>_xlfn.XLOOKUP(CustomerCombinedCleaned[[#This Row],[ID]], Table4[ID], Table4[Premium], "Not Found", 0)</f>
        <v>327</v>
      </c>
      <c r="Q848" s="16">
        <f>_xlfn.XLOOKUP(CustomerCombinedCleaned[[#This Row],[ID]], Table4[ID], Table4[Regular], "Not Found", 0)</f>
        <v>2428</v>
      </c>
      <c r="R848" s="16">
        <f>_xlfn.XLOOKUP(CustomerCombinedCleaned[[#This Row],[ID]], Table4[ID], Table4[Deals], "Not Found", 0)</f>
        <v>1</v>
      </c>
      <c r="S848" s="16">
        <f>_xlfn.XLOOKUP(CustomerCombinedCleaned[[#This Row],[ID]], Table4[ID], Table4[Website], "Not Found", 0)</f>
        <v>5</v>
      </c>
      <c r="T848" s="16">
        <f>_xlfn.XLOOKUP(CustomerCombinedCleaned[[#This Row],[ID]], Table4[ID], Table4[Catalog], "Not Found", 0)</f>
        <v>6</v>
      </c>
      <c r="U848" s="16">
        <f>_xlfn.XLOOKUP(CustomerCombinedCleaned[[#This Row],[ID]], Table4[ID], Table4[Store], "Not Found", 0)</f>
        <v>7</v>
      </c>
      <c r="V848" s="16">
        <f>_xlfn.XLOOKUP(CustomerCombinedCleaned[[#This Row],[ID]], Table4[ID], Table4[Visits], "Not Found", 0)</f>
        <v>2</v>
      </c>
      <c r="W848" s="16">
        <f>_xlfn.XLOOKUP(CustomerCombinedCleaned[[#This Row],[ID]], Table2[ID],Table2[Complaint], "Not Found", 0 )</f>
        <v>0</v>
      </c>
      <c r="X848" s="16">
        <f>_xlfn.XLOOKUP(CustomerCombinedCleaned[[#This Row],[ID]], Table2[ID],Table2[Pilot], "Not Found", 0 )</f>
        <v>0</v>
      </c>
      <c r="Y848" s="16">
        <f>_xlfn.XLOOKUP(CustomerCombinedCleaned[[#This Row],[ID]], Table2[ID],Table2[MC1], "Not Found", 0 )</f>
        <v>0</v>
      </c>
      <c r="Z848" s="16">
        <f>_xlfn.XLOOKUP(CustomerCombinedCleaned[[#This Row],[ID]], Table2[ID],Table2[MC2], "Not Found", 0 )</f>
        <v>0</v>
      </c>
      <c r="AA848" s="16">
        <f>_xlfn.XLOOKUP(CustomerCombinedCleaned[[#This Row],[ID]], Table2[ID],Table2[MC3], "Not Found", 0 )</f>
        <v>0</v>
      </c>
      <c r="AB848" s="16">
        <f>_xlfn.XLOOKUP(CustomerCombinedCleaned[[#This Row],[ID]], Table2[ID],Table2[MC4], "Not Found", 0 )</f>
        <v>0</v>
      </c>
      <c r="AC848" s="16">
        <f>_xlfn.XLOOKUP(CustomerCombinedCleaned[[#This Row],[ID]], Table2[ID],Table2[MC5], "Not Found", 0 )</f>
        <v>1</v>
      </c>
    </row>
    <row r="849" spans="1:29" x14ac:dyDescent="0.3">
      <c r="A849" s="18">
        <v>1681</v>
      </c>
      <c r="B849" s="16">
        <v>178901</v>
      </c>
      <c r="C849" s="16">
        <v>0</v>
      </c>
      <c r="D849" s="16">
        <v>1</v>
      </c>
      <c r="E849" s="16">
        <v>47</v>
      </c>
      <c r="F849" s="17" t="s">
        <v>5</v>
      </c>
      <c r="G849" s="17" t="s">
        <v>11</v>
      </c>
      <c r="H849" s="3" t="s">
        <v>182</v>
      </c>
      <c r="I849" s="5" t="s">
        <v>437</v>
      </c>
      <c r="J849" s="16">
        <f>_xlfn.XLOOKUP(CustomerCombinedCleaned[[#This Row],[ID]], Table4[ID], Table4[Recency], "Not Found", 0)</f>
        <v>99</v>
      </c>
      <c r="K849" s="16">
        <f>_xlfn.XLOOKUP(CustomerCombinedCleaned[[#This Row],[ID]], Table4[ID], Table4[Teas], "Not Found", 0)</f>
        <v>728</v>
      </c>
      <c r="L849" s="16">
        <f>_xlfn.XLOOKUP(CustomerCombinedCleaned[[#This Row],[ID]], Table4[ID], Table4[Fruits], "Not Found", 0)</f>
        <v>25</v>
      </c>
      <c r="M849" s="16">
        <f>_xlfn.XLOOKUP(CustomerCombinedCleaned[[#This Row],[ID]], Table4[ID], Table4[Meats], "Not Found", 0)</f>
        <v>701</v>
      </c>
      <c r="N849" s="16">
        <f>_xlfn.XLOOKUP(CustomerCombinedCleaned[[#This Row],[ID]], Table4[ID], Table4[Seafood], "Not Found", 0)</f>
        <v>75</v>
      </c>
      <c r="O849" s="16">
        <f>_xlfn.XLOOKUP(CustomerCombinedCleaned[[#This Row],[ID]], Table4[ID], Table4[Sweets], "Not Found", 0)</f>
        <v>59</v>
      </c>
      <c r="P849" s="16">
        <f>_xlfn.XLOOKUP(CustomerCombinedCleaned[[#This Row],[ID]], Table4[ID], Table4[Premium], "Not Found", 0)</f>
        <v>77</v>
      </c>
      <c r="Q849" s="16">
        <f>_xlfn.XLOOKUP(CustomerCombinedCleaned[[#This Row],[ID]], Table4[ID], Table4[Regular], "Not Found", 0)</f>
        <v>1510</v>
      </c>
      <c r="R849" s="16">
        <f>_xlfn.XLOOKUP(CustomerCombinedCleaned[[#This Row],[ID]], Table4[ID], Table4[Deals], "Not Found", 0)</f>
        <v>3</v>
      </c>
      <c r="S849" s="16">
        <f>_xlfn.XLOOKUP(CustomerCombinedCleaned[[#This Row],[ID]], Table4[ID], Table4[Website], "Not Found", 0)</f>
        <v>9</v>
      </c>
      <c r="T849" s="16">
        <f>_xlfn.XLOOKUP(CustomerCombinedCleaned[[#This Row],[ID]], Table4[ID], Table4[Catalog], "Not Found", 0)</f>
        <v>3</v>
      </c>
      <c r="U849" s="16">
        <f>_xlfn.XLOOKUP(CustomerCombinedCleaned[[#This Row],[ID]], Table4[ID], Table4[Store], "Not Found", 0)</f>
        <v>5</v>
      </c>
      <c r="V849" s="16">
        <f>_xlfn.XLOOKUP(CustomerCombinedCleaned[[#This Row],[ID]], Table4[ID], Table4[Visits], "Not Found", 0)</f>
        <v>4</v>
      </c>
      <c r="W849" s="16">
        <f>_xlfn.XLOOKUP(CustomerCombinedCleaned[[#This Row],[ID]], Table2[ID],Table2[Complaint], "Not Found", 0 )</f>
        <v>0</v>
      </c>
      <c r="X849" s="16">
        <f>_xlfn.XLOOKUP(CustomerCombinedCleaned[[#This Row],[ID]], Table2[ID],Table2[Pilot], "Not Found", 0 )</f>
        <v>0</v>
      </c>
      <c r="Y849" s="16">
        <f>_xlfn.XLOOKUP(CustomerCombinedCleaned[[#This Row],[ID]], Table2[ID],Table2[MC1], "Not Found", 0 )</f>
        <v>0</v>
      </c>
      <c r="Z849" s="16">
        <f>_xlfn.XLOOKUP(CustomerCombinedCleaned[[#This Row],[ID]], Table2[ID],Table2[MC2], "Not Found", 0 )</f>
        <v>0</v>
      </c>
      <c r="AA849" s="16">
        <f>_xlfn.XLOOKUP(CustomerCombinedCleaned[[#This Row],[ID]], Table2[ID],Table2[MC3], "Not Found", 0 )</f>
        <v>0</v>
      </c>
      <c r="AB849" s="16">
        <f>_xlfn.XLOOKUP(CustomerCombinedCleaned[[#This Row],[ID]], Table2[ID],Table2[MC4], "Not Found", 0 )</f>
        <v>0</v>
      </c>
      <c r="AC849" s="16">
        <f>_xlfn.XLOOKUP(CustomerCombinedCleaned[[#This Row],[ID]], Table2[ID],Table2[MC5], "Not Found", 0 )</f>
        <v>0</v>
      </c>
    </row>
    <row r="850" spans="1:29" x14ac:dyDescent="0.3">
      <c r="A850" s="18">
        <v>1779</v>
      </c>
      <c r="B850" s="16">
        <v>173926</v>
      </c>
      <c r="C850" s="16">
        <v>0</v>
      </c>
      <c r="D850" s="16">
        <v>0</v>
      </c>
      <c r="E850" s="16">
        <v>47</v>
      </c>
      <c r="F850" s="17" t="s">
        <v>8</v>
      </c>
      <c r="G850" s="17" t="s">
        <v>11</v>
      </c>
      <c r="H850" s="3" t="s">
        <v>645</v>
      </c>
      <c r="I850" s="5" t="s">
        <v>435</v>
      </c>
      <c r="J850" s="16">
        <f>_xlfn.XLOOKUP(CustomerCombinedCleaned[[#This Row],[ID]], Table4[ID], Table4[Recency], "Not Found", 0)</f>
        <v>54</v>
      </c>
      <c r="K850" s="16">
        <f>_xlfn.XLOOKUP(CustomerCombinedCleaned[[#This Row],[ID]], Table4[ID], Table4[Teas], "Not Found", 0)</f>
        <v>1475</v>
      </c>
      <c r="L850" s="16">
        <f>_xlfn.XLOOKUP(CustomerCombinedCleaned[[#This Row],[ID]], Table4[ID], Table4[Fruits], "Not Found", 0)</f>
        <v>214</v>
      </c>
      <c r="M850" s="16">
        <f>_xlfn.XLOOKUP(CustomerCombinedCleaned[[#This Row],[ID]], Table4[ID], Table4[Meats], "Not Found", 0)</f>
        <v>1405</v>
      </c>
      <c r="N850" s="16">
        <f>_xlfn.XLOOKUP(CustomerCombinedCleaned[[#This Row],[ID]], Table4[ID], Table4[Seafood], "Not Found", 0)</f>
        <v>374</v>
      </c>
      <c r="O850" s="16">
        <f>_xlfn.XLOOKUP(CustomerCombinedCleaned[[#This Row],[ID]], Table4[ID], Table4[Sweets], "Not Found", 0)</f>
        <v>214</v>
      </c>
      <c r="P850" s="16">
        <f>_xlfn.XLOOKUP(CustomerCombinedCleaned[[#This Row],[ID]], Table4[ID], Table4[Premium], "Not Found", 0)</f>
        <v>35</v>
      </c>
      <c r="Q850" s="16">
        <f>_xlfn.XLOOKUP(CustomerCombinedCleaned[[#This Row],[ID]], Table4[ID], Table4[Regular], "Not Found", 0)</f>
        <v>3647</v>
      </c>
      <c r="R850" s="16">
        <f>_xlfn.XLOOKUP(CustomerCombinedCleaned[[#This Row],[ID]], Table4[ID], Table4[Deals], "Not Found", 0)</f>
        <v>1</v>
      </c>
      <c r="S850" s="16">
        <f>_xlfn.XLOOKUP(CustomerCombinedCleaned[[#This Row],[ID]], Table4[ID], Table4[Website], "Not Found", 0)</f>
        <v>6</v>
      </c>
      <c r="T850" s="16">
        <f>_xlfn.XLOOKUP(CustomerCombinedCleaned[[#This Row],[ID]], Table4[ID], Table4[Catalog], "Not Found", 0)</f>
        <v>5</v>
      </c>
      <c r="U850" s="16">
        <f>_xlfn.XLOOKUP(CustomerCombinedCleaned[[#This Row],[ID]], Table4[ID], Table4[Store], "Not Found", 0)</f>
        <v>12</v>
      </c>
      <c r="V850" s="16">
        <f>_xlfn.XLOOKUP(CustomerCombinedCleaned[[#This Row],[ID]], Table4[ID], Table4[Visits], "Not Found", 0)</f>
        <v>3</v>
      </c>
      <c r="W850" s="16">
        <f>_xlfn.XLOOKUP(CustomerCombinedCleaned[[#This Row],[ID]], Table2[ID],Table2[Complaint], "Not Found", 0 )</f>
        <v>0</v>
      </c>
      <c r="X850" s="16">
        <f>_xlfn.XLOOKUP(CustomerCombinedCleaned[[#This Row],[ID]], Table2[ID],Table2[Pilot], "Not Found", 0 )</f>
        <v>0</v>
      </c>
      <c r="Y850" s="16">
        <f>_xlfn.XLOOKUP(CustomerCombinedCleaned[[#This Row],[ID]], Table2[ID],Table2[MC1], "Not Found", 0 )</f>
        <v>0</v>
      </c>
      <c r="Z850" s="16">
        <f>_xlfn.XLOOKUP(CustomerCombinedCleaned[[#This Row],[ID]], Table2[ID],Table2[MC2], "Not Found", 0 )</f>
        <v>0</v>
      </c>
      <c r="AA850" s="16">
        <f>_xlfn.XLOOKUP(CustomerCombinedCleaned[[#This Row],[ID]], Table2[ID],Table2[MC3], "Not Found", 0 )</f>
        <v>0</v>
      </c>
      <c r="AB850" s="16">
        <f>_xlfn.XLOOKUP(CustomerCombinedCleaned[[#This Row],[ID]], Table2[ID],Table2[MC4], "Not Found", 0 )</f>
        <v>0</v>
      </c>
      <c r="AC850" s="16">
        <f>_xlfn.XLOOKUP(CustomerCombinedCleaned[[#This Row],[ID]], Table2[ID],Table2[MC5], "Not Found", 0 )</f>
        <v>0</v>
      </c>
    </row>
    <row r="851" spans="1:29" x14ac:dyDescent="0.3">
      <c r="A851" s="18">
        <v>3031</v>
      </c>
      <c r="B851" s="16">
        <v>171128</v>
      </c>
      <c r="C851" s="16">
        <v>1</v>
      </c>
      <c r="D851" s="16">
        <v>0</v>
      </c>
      <c r="E851" s="16">
        <v>47</v>
      </c>
      <c r="F851" s="17" t="s">
        <v>5</v>
      </c>
      <c r="G851" s="17" t="s">
        <v>11</v>
      </c>
      <c r="H851" s="3" t="s">
        <v>387</v>
      </c>
      <c r="I851" s="5" t="s">
        <v>437</v>
      </c>
      <c r="J851" s="16">
        <f>_xlfn.XLOOKUP(CustomerCombinedCleaned[[#This Row],[ID]], Table4[ID], Table4[Recency], "Not Found", 0)</f>
        <v>80</v>
      </c>
      <c r="K851" s="16">
        <f>_xlfn.XLOOKUP(CustomerCombinedCleaned[[#This Row],[ID]], Table4[ID], Table4[Teas], "Not Found", 0)</f>
        <v>2305</v>
      </c>
      <c r="L851" s="16">
        <f>_xlfn.XLOOKUP(CustomerCombinedCleaned[[#This Row],[ID]], Table4[ID], Table4[Fruits], "Not Found", 0)</f>
        <v>383</v>
      </c>
      <c r="M851" s="16">
        <f>_xlfn.XLOOKUP(CustomerCombinedCleaned[[#This Row],[ID]], Table4[ID], Table4[Meats], "Not Found", 0)</f>
        <v>1075</v>
      </c>
      <c r="N851" s="16">
        <f>_xlfn.XLOOKUP(CustomerCombinedCleaned[[#This Row],[ID]], Table4[ID], Table4[Seafood], "Not Found", 0)</f>
        <v>48</v>
      </c>
      <c r="O851" s="16">
        <f>_xlfn.XLOOKUP(CustomerCombinedCleaned[[#This Row],[ID]], Table4[ID], Table4[Sweets], "Not Found", 0)</f>
        <v>0</v>
      </c>
      <c r="P851" s="16">
        <f>_xlfn.XLOOKUP(CustomerCombinedCleaned[[#This Row],[ID]], Table4[ID], Table4[Premium], "Not Found", 0)</f>
        <v>75</v>
      </c>
      <c r="Q851" s="16">
        <f>_xlfn.XLOOKUP(CustomerCombinedCleaned[[#This Row],[ID]], Table4[ID], Table4[Regular], "Not Found", 0)</f>
        <v>3736</v>
      </c>
      <c r="R851" s="16">
        <f>_xlfn.XLOOKUP(CustomerCombinedCleaned[[#This Row],[ID]], Table4[ID], Table4[Deals], "Not Found", 0)</f>
        <v>3</v>
      </c>
      <c r="S851" s="16">
        <f>_xlfn.XLOOKUP(CustomerCombinedCleaned[[#This Row],[ID]], Table4[ID], Table4[Website], "Not Found", 0)</f>
        <v>2</v>
      </c>
      <c r="T851" s="16">
        <f>_xlfn.XLOOKUP(CustomerCombinedCleaned[[#This Row],[ID]], Table4[ID], Table4[Catalog], "Not Found", 0)</f>
        <v>10</v>
      </c>
      <c r="U851" s="16">
        <f>_xlfn.XLOOKUP(CustomerCombinedCleaned[[#This Row],[ID]], Table4[ID], Table4[Store], "Not Found", 0)</f>
        <v>12</v>
      </c>
      <c r="V851" s="16">
        <f>_xlfn.XLOOKUP(CustomerCombinedCleaned[[#This Row],[ID]], Table4[ID], Table4[Visits], "Not Found", 0)</f>
        <v>7</v>
      </c>
      <c r="W851" s="16">
        <f>_xlfn.XLOOKUP(CustomerCombinedCleaned[[#This Row],[ID]], Table2[ID],Table2[Complaint], "Not Found", 0 )</f>
        <v>0</v>
      </c>
      <c r="X851" s="16">
        <f>_xlfn.XLOOKUP(CustomerCombinedCleaned[[#This Row],[ID]], Table2[ID],Table2[Pilot], "Not Found", 0 )</f>
        <v>0</v>
      </c>
      <c r="Y851" s="16">
        <f>_xlfn.XLOOKUP(CustomerCombinedCleaned[[#This Row],[ID]], Table2[ID],Table2[MC1], "Not Found", 0 )</f>
        <v>0</v>
      </c>
      <c r="Z851" s="16">
        <f>_xlfn.XLOOKUP(CustomerCombinedCleaned[[#This Row],[ID]], Table2[ID],Table2[MC2], "Not Found", 0 )</f>
        <v>0</v>
      </c>
      <c r="AA851" s="16">
        <f>_xlfn.XLOOKUP(CustomerCombinedCleaned[[#This Row],[ID]], Table2[ID],Table2[MC3], "Not Found", 0 )</f>
        <v>0</v>
      </c>
      <c r="AB851" s="16">
        <f>_xlfn.XLOOKUP(CustomerCombinedCleaned[[#This Row],[ID]], Table2[ID],Table2[MC4], "Not Found", 0 )</f>
        <v>0</v>
      </c>
      <c r="AC851" s="16">
        <f>_xlfn.XLOOKUP(CustomerCombinedCleaned[[#This Row],[ID]], Table2[ID],Table2[MC5], "Not Found", 0 )</f>
        <v>0</v>
      </c>
    </row>
    <row r="852" spans="1:29" x14ac:dyDescent="0.3">
      <c r="A852" s="18">
        <v>2425</v>
      </c>
      <c r="B852" s="16">
        <v>169401</v>
      </c>
      <c r="C852" s="16">
        <v>0</v>
      </c>
      <c r="D852" s="16">
        <v>1</v>
      </c>
      <c r="E852" s="16">
        <v>47</v>
      </c>
      <c r="F852" s="17" t="s">
        <v>8</v>
      </c>
      <c r="G852" s="17" t="s">
        <v>11</v>
      </c>
      <c r="H852" s="3" t="s">
        <v>78</v>
      </c>
      <c r="I852" s="5" t="s">
        <v>437</v>
      </c>
      <c r="J852" s="16">
        <f>_xlfn.XLOOKUP(CustomerCombinedCleaned[[#This Row],[ID]], Table4[ID], Table4[Recency], "Not Found", 0)</f>
        <v>41</v>
      </c>
      <c r="K852" s="16">
        <f>_xlfn.XLOOKUP(CustomerCombinedCleaned[[#This Row],[ID]], Table4[ID], Table4[Teas], "Not Found", 0)</f>
        <v>974</v>
      </c>
      <c r="L852" s="16">
        <f>_xlfn.XLOOKUP(CustomerCombinedCleaned[[#This Row],[ID]], Table4[ID], Table4[Fruits], "Not Found", 0)</f>
        <v>66</v>
      </c>
      <c r="M852" s="16">
        <f>_xlfn.XLOOKUP(CustomerCombinedCleaned[[#This Row],[ID]], Table4[ID], Table4[Meats], "Not Found", 0)</f>
        <v>388</v>
      </c>
      <c r="N852" s="16">
        <f>_xlfn.XLOOKUP(CustomerCombinedCleaned[[#This Row],[ID]], Table4[ID], Table4[Seafood], "Not Found", 0)</f>
        <v>142</v>
      </c>
      <c r="O852" s="16">
        <f>_xlfn.XLOOKUP(CustomerCombinedCleaned[[#This Row],[ID]], Table4[ID], Table4[Sweets], "Not Found", 0)</f>
        <v>20</v>
      </c>
      <c r="P852" s="16">
        <f>_xlfn.XLOOKUP(CustomerCombinedCleaned[[#This Row],[ID]], Table4[ID], Table4[Premium], "Not Found", 0)</f>
        <v>95</v>
      </c>
      <c r="Q852" s="16">
        <f>_xlfn.XLOOKUP(CustomerCombinedCleaned[[#This Row],[ID]], Table4[ID], Table4[Regular], "Not Found", 0)</f>
        <v>1494</v>
      </c>
      <c r="R852" s="16">
        <f>_xlfn.XLOOKUP(CustomerCombinedCleaned[[#This Row],[ID]], Table4[ID], Table4[Deals], "Not Found", 0)</f>
        <v>4</v>
      </c>
      <c r="S852" s="16">
        <f>_xlfn.XLOOKUP(CustomerCombinedCleaned[[#This Row],[ID]], Table4[ID], Table4[Website], "Not Found", 0)</f>
        <v>4</v>
      </c>
      <c r="T852" s="16">
        <f>_xlfn.XLOOKUP(CustomerCombinedCleaned[[#This Row],[ID]], Table4[ID], Table4[Catalog], "Not Found", 0)</f>
        <v>4</v>
      </c>
      <c r="U852" s="16">
        <f>_xlfn.XLOOKUP(CustomerCombinedCleaned[[#This Row],[ID]], Table4[ID], Table4[Store], "Not Found", 0)</f>
        <v>5</v>
      </c>
      <c r="V852" s="16">
        <f>_xlfn.XLOOKUP(CustomerCombinedCleaned[[#This Row],[ID]], Table4[ID], Table4[Visits], "Not Found", 0)</f>
        <v>2</v>
      </c>
      <c r="W852" s="16">
        <f>_xlfn.XLOOKUP(CustomerCombinedCleaned[[#This Row],[ID]], Table2[ID],Table2[Complaint], "Not Found", 0 )</f>
        <v>0</v>
      </c>
      <c r="X852" s="16">
        <f>_xlfn.XLOOKUP(CustomerCombinedCleaned[[#This Row],[ID]], Table2[ID],Table2[Pilot], "Not Found", 0 )</f>
        <v>0</v>
      </c>
      <c r="Y852" s="16">
        <f>_xlfn.XLOOKUP(CustomerCombinedCleaned[[#This Row],[ID]], Table2[ID],Table2[MC1], "Not Found", 0 )</f>
        <v>0</v>
      </c>
      <c r="Z852" s="16">
        <f>_xlfn.XLOOKUP(CustomerCombinedCleaned[[#This Row],[ID]], Table2[ID],Table2[MC2], "Not Found", 0 )</f>
        <v>0</v>
      </c>
      <c r="AA852" s="16">
        <f>_xlfn.XLOOKUP(CustomerCombinedCleaned[[#This Row],[ID]], Table2[ID],Table2[MC3], "Not Found", 0 )</f>
        <v>0</v>
      </c>
      <c r="AB852" s="16">
        <f>_xlfn.XLOOKUP(CustomerCombinedCleaned[[#This Row],[ID]], Table2[ID],Table2[MC4], "Not Found", 0 )</f>
        <v>0</v>
      </c>
      <c r="AC852" s="16">
        <f>_xlfn.XLOOKUP(CustomerCombinedCleaned[[#This Row],[ID]], Table2[ID],Table2[MC5], "Not Found", 0 )</f>
        <v>0</v>
      </c>
    </row>
    <row r="853" spans="1:29" x14ac:dyDescent="0.3">
      <c r="A853" s="18">
        <v>1717</v>
      </c>
      <c r="B853" s="16">
        <v>167432</v>
      </c>
      <c r="C853" s="16">
        <v>0</v>
      </c>
      <c r="D853" s="16">
        <v>1</v>
      </c>
      <c r="E853" s="16">
        <v>47</v>
      </c>
      <c r="F853" s="17" t="s">
        <v>6</v>
      </c>
      <c r="G853" s="17" t="s">
        <v>11</v>
      </c>
      <c r="H853" s="3" t="s">
        <v>657</v>
      </c>
      <c r="I853" s="5" t="s">
        <v>437</v>
      </c>
      <c r="J853" s="16">
        <f>_xlfn.XLOOKUP(CustomerCombinedCleaned[[#This Row],[ID]], Table4[ID], Table4[Recency], "Not Found", 0)</f>
        <v>69</v>
      </c>
      <c r="K853" s="16">
        <f>_xlfn.XLOOKUP(CustomerCombinedCleaned[[#This Row],[ID]], Table4[ID], Table4[Teas], "Not Found", 0)</f>
        <v>1073</v>
      </c>
      <c r="L853" s="16">
        <f>_xlfn.XLOOKUP(CustomerCombinedCleaned[[#This Row],[ID]], Table4[ID], Table4[Fruits], "Not Found", 0)</f>
        <v>196</v>
      </c>
      <c r="M853" s="16">
        <f>_xlfn.XLOOKUP(CustomerCombinedCleaned[[#This Row],[ID]], Table4[ID], Table4[Meats], "Not Found", 0)</f>
        <v>847</v>
      </c>
      <c r="N853" s="16">
        <f>_xlfn.XLOOKUP(CustomerCombinedCleaned[[#This Row],[ID]], Table4[ID], Table4[Seafood], "Not Found", 0)</f>
        <v>439</v>
      </c>
      <c r="O853" s="16">
        <f>_xlfn.XLOOKUP(CustomerCombinedCleaned[[#This Row],[ID]], Table4[ID], Table4[Sweets], "Not Found", 0)</f>
        <v>338</v>
      </c>
      <c r="P853" s="16">
        <f>_xlfn.XLOOKUP(CustomerCombinedCleaned[[#This Row],[ID]], Table4[ID], Table4[Premium], "Not Found", 0)</f>
        <v>422</v>
      </c>
      <c r="Q853" s="16">
        <f>_xlfn.XLOOKUP(CustomerCombinedCleaned[[#This Row],[ID]], Table4[ID], Table4[Regular], "Not Found", 0)</f>
        <v>2471</v>
      </c>
      <c r="R853" s="16">
        <f>_xlfn.XLOOKUP(CustomerCombinedCleaned[[#This Row],[ID]], Table4[ID], Table4[Deals], "Not Found", 0)</f>
        <v>2</v>
      </c>
      <c r="S853" s="16">
        <f>_xlfn.XLOOKUP(CustomerCombinedCleaned[[#This Row],[ID]], Table4[ID], Table4[Website], "Not Found", 0)</f>
        <v>8</v>
      </c>
      <c r="T853" s="16">
        <f>_xlfn.XLOOKUP(CustomerCombinedCleaned[[#This Row],[ID]], Table4[ID], Table4[Catalog], "Not Found", 0)</f>
        <v>5</v>
      </c>
      <c r="U853" s="16">
        <f>_xlfn.XLOOKUP(CustomerCombinedCleaned[[#This Row],[ID]], Table4[ID], Table4[Store], "Not Found", 0)</f>
        <v>4</v>
      </c>
      <c r="V853" s="16">
        <f>_xlfn.XLOOKUP(CustomerCombinedCleaned[[#This Row],[ID]], Table4[ID], Table4[Visits], "Not Found", 0)</f>
        <v>4</v>
      </c>
      <c r="W853" s="16">
        <f>_xlfn.XLOOKUP(CustomerCombinedCleaned[[#This Row],[ID]], Table2[ID],Table2[Complaint], "Not Found", 0 )</f>
        <v>0</v>
      </c>
      <c r="X853" s="16">
        <f>_xlfn.XLOOKUP(CustomerCombinedCleaned[[#This Row],[ID]], Table2[ID],Table2[Pilot], "Not Found", 0 )</f>
        <v>0</v>
      </c>
      <c r="Y853" s="16">
        <f>_xlfn.XLOOKUP(CustomerCombinedCleaned[[#This Row],[ID]], Table2[ID],Table2[MC1], "Not Found", 0 )</f>
        <v>0</v>
      </c>
      <c r="Z853" s="16">
        <f>_xlfn.XLOOKUP(CustomerCombinedCleaned[[#This Row],[ID]], Table2[ID],Table2[MC2], "Not Found", 0 )</f>
        <v>0</v>
      </c>
      <c r="AA853" s="16">
        <f>_xlfn.XLOOKUP(CustomerCombinedCleaned[[#This Row],[ID]], Table2[ID],Table2[MC3], "Not Found", 0 )</f>
        <v>0</v>
      </c>
      <c r="AB853" s="16">
        <f>_xlfn.XLOOKUP(CustomerCombinedCleaned[[#This Row],[ID]], Table2[ID],Table2[MC4], "Not Found", 0 )</f>
        <v>0</v>
      </c>
      <c r="AC853" s="16">
        <f>_xlfn.XLOOKUP(CustomerCombinedCleaned[[#This Row],[ID]], Table2[ID],Table2[MC5], "Not Found", 0 )</f>
        <v>0</v>
      </c>
    </row>
    <row r="854" spans="1:29" x14ac:dyDescent="0.3">
      <c r="A854" s="18">
        <v>3112</v>
      </c>
      <c r="B854" s="16">
        <v>165333</v>
      </c>
      <c r="C854" s="16">
        <v>0</v>
      </c>
      <c r="D854" s="16">
        <v>1</v>
      </c>
      <c r="E854" s="16">
        <v>47</v>
      </c>
      <c r="F854" s="17" t="s">
        <v>7</v>
      </c>
      <c r="G854" s="17" t="s">
        <v>11</v>
      </c>
      <c r="H854" s="3" t="s">
        <v>114</v>
      </c>
      <c r="I854" s="5" t="s">
        <v>439</v>
      </c>
      <c r="J854" s="16">
        <f>_xlfn.XLOOKUP(CustomerCombinedCleaned[[#This Row],[ID]], Table4[ID], Table4[Recency], "Not Found", 0)</f>
        <v>58</v>
      </c>
      <c r="K854" s="16">
        <f>_xlfn.XLOOKUP(CustomerCombinedCleaned[[#This Row],[ID]], Table4[ID], Table4[Teas], "Not Found", 0)</f>
        <v>1655</v>
      </c>
      <c r="L854" s="16">
        <f>_xlfn.XLOOKUP(CustomerCombinedCleaned[[#This Row],[ID]], Table4[ID], Table4[Fruits], "Not Found", 0)</f>
        <v>18</v>
      </c>
      <c r="M854" s="16">
        <f>_xlfn.XLOOKUP(CustomerCombinedCleaned[[#This Row],[ID]], Table4[ID], Table4[Meats], "Not Found", 0)</f>
        <v>233</v>
      </c>
      <c r="N854" s="16">
        <f>_xlfn.XLOOKUP(CustomerCombinedCleaned[[#This Row],[ID]], Table4[ID], Table4[Seafood], "Not Found", 0)</f>
        <v>0</v>
      </c>
      <c r="O854" s="16">
        <f>_xlfn.XLOOKUP(CustomerCombinedCleaned[[#This Row],[ID]], Table4[ID], Table4[Sweets], "Not Found", 0)</f>
        <v>38</v>
      </c>
      <c r="P854" s="16">
        <f>_xlfn.XLOOKUP(CustomerCombinedCleaned[[#This Row],[ID]], Table4[ID], Table4[Premium], "Not Found", 0)</f>
        <v>76</v>
      </c>
      <c r="Q854" s="16">
        <f>_xlfn.XLOOKUP(CustomerCombinedCleaned[[#This Row],[ID]], Table4[ID], Table4[Regular], "Not Found", 0)</f>
        <v>1868</v>
      </c>
      <c r="R854" s="16">
        <f>_xlfn.XLOOKUP(CustomerCombinedCleaned[[#This Row],[ID]], Table4[ID], Table4[Deals], "Not Found", 0)</f>
        <v>7</v>
      </c>
      <c r="S854" s="16">
        <f>_xlfn.XLOOKUP(CustomerCombinedCleaned[[#This Row],[ID]], Table4[ID], Table4[Website], "Not Found", 0)</f>
        <v>9</v>
      </c>
      <c r="T854" s="16">
        <f>_xlfn.XLOOKUP(CustomerCombinedCleaned[[#This Row],[ID]], Table4[ID], Table4[Catalog], "Not Found", 0)</f>
        <v>4</v>
      </c>
      <c r="U854" s="16">
        <f>_xlfn.XLOOKUP(CustomerCombinedCleaned[[#This Row],[ID]], Table4[ID], Table4[Store], "Not Found", 0)</f>
        <v>8</v>
      </c>
      <c r="V854" s="16">
        <f>_xlfn.XLOOKUP(CustomerCombinedCleaned[[#This Row],[ID]], Table4[ID], Table4[Visits], "Not Found", 0)</f>
        <v>6</v>
      </c>
      <c r="W854" s="16">
        <f>_xlfn.XLOOKUP(CustomerCombinedCleaned[[#This Row],[ID]], Table2[ID],Table2[Complaint], "Not Found", 0 )</f>
        <v>0</v>
      </c>
      <c r="X854" s="16">
        <f>_xlfn.XLOOKUP(CustomerCombinedCleaned[[#This Row],[ID]], Table2[ID],Table2[Pilot], "Not Found", 0 )</f>
        <v>0</v>
      </c>
      <c r="Y854" s="16">
        <f>_xlfn.XLOOKUP(CustomerCombinedCleaned[[#This Row],[ID]], Table2[ID],Table2[MC1], "Not Found", 0 )</f>
        <v>0</v>
      </c>
      <c r="Z854" s="16">
        <f>_xlfn.XLOOKUP(CustomerCombinedCleaned[[#This Row],[ID]], Table2[ID],Table2[MC2], "Not Found", 0 )</f>
        <v>0</v>
      </c>
      <c r="AA854" s="16">
        <f>_xlfn.XLOOKUP(CustomerCombinedCleaned[[#This Row],[ID]], Table2[ID],Table2[MC3], "Not Found", 0 )</f>
        <v>0</v>
      </c>
      <c r="AB854" s="16">
        <f>_xlfn.XLOOKUP(CustomerCombinedCleaned[[#This Row],[ID]], Table2[ID],Table2[MC4], "Not Found", 0 )</f>
        <v>1</v>
      </c>
      <c r="AC854" s="16">
        <f>_xlfn.XLOOKUP(CustomerCombinedCleaned[[#This Row],[ID]], Table2[ID],Table2[MC5], "Not Found", 0 )</f>
        <v>1</v>
      </c>
    </row>
    <row r="855" spans="1:29" x14ac:dyDescent="0.3">
      <c r="A855" s="18">
        <v>3022</v>
      </c>
      <c r="B855" s="16">
        <v>165308</v>
      </c>
      <c r="C855" s="16">
        <v>0</v>
      </c>
      <c r="D855" s="16">
        <v>0</v>
      </c>
      <c r="E855" s="16">
        <v>47</v>
      </c>
      <c r="F855" s="17" t="s">
        <v>6</v>
      </c>
      <c r="G855" s="17" t="s">
        <v>11</v>
      </c>
      <c r="H855" s="3" t="s">
        <v>188</v>
      </c>
      <c r="I855" s="5" t="s">
        <v>439</v>
      </c>
      <c r="J855" s="16">
        <f>_xlfn.XLOOKUP(CustomerCombinedCleaned[[#This Row],[ID]], Table4[ID], Table4[Recency], "Not Found", 0)</f>
        <v>60</v>
      </c>
      <c r="K855" s="16">
        <f>_xlfn.XLOOKUP(CustomerCombinedCleaned[[#This Row],[ID]], Table4[ID], Table4[Teas], "Not Found", 0)</f>
        <v>1805</v>
      </c>
      <c r="L855" s="16">
        <f>_xlfn.XLOOKUP(CustomerCombinedCleaned[[#This Row],[ID]], Table4[ID], Table4[Fruits], "Not Found", 0)</f>
        <v>0</v>
      </c>
      <c r="M855" s="16">
        <f>_xlfn.XLOOKUP(CustomerCombinedCleaned[[#This Row],[ID]], Table4[ID], Table4[Meats], "Not Found", 0)</f>
        <v>668</v>
      </c>
      <c r="N855" s="16">
        <f>_xlfn.XLOOKUP(CustomerCombinedCleaned[[#This Row],[ID]], Table4[ID], Table4[Seafood], "Not Found", 0)</f>
        <v>304</v>
      </c>
      <c r="O855" s="16">
        <f>_xlfn.XLOOKUP(CustomerCombinedCleaned[[#This Row],[ID]], Table4[ID], Table4[Sweets], "Not Found", 0)</f>
        <v>202</v>
      </c>
      <c r="P855" s="16">
        <f>_xlfn.XLOOKUP(CustomerCombinedCleaned[[#This Row],[ID]], Table4[ID], Table4[Premium], "Not Found", 0)</f>
        <v>86</v>
      </c>
      <c r="Q855" s="16">
        <f>_xlfn.XLOOKUP(CustomerCombinedCleaned[[#This Row],[ID]], Table4[ID], Table4[Regular], "Not Found", 0)</f>
        <v>2893</v>
      </c>
      <c r="R855" s="16">
        <f>_xlfn.XLOOKUP(CustomerCombinedCleaned[[#This Row],[ID]], Table4[ID], Table4[Deals], "Not Found", 0)</f>
        <v>1</v>
      </c>
      <c r="S855" s="16">
        <f>_xlfn.XLOOKUP(CustomerCombinedCleaned[[#This Row],[ID]], Table4[ID], Table4[Website], "Not Found", 0)</f>
        <v>7</v>
      </c>
      <c r="T855" s="16">
        <f>_xlfn.XLOOKUP(CustomerCombinedCleaned[[#This Row],[ID]], Table4[ID], Table4[Catalog], "Not Found", 0)</f>
        <v>8</v>
      </c>
      <c r="U855" s="16">
        <f>_xlfn.XLOOKUP(CustomerCombinedCleaned[[#This Row],[ID]], Table4[ID], Table4[Store], "Not Found", 0)</f>
        <v>12</v>
      </c>
      <c r="V855" s="16">
        <f>_xlfn.XLOOKUP(CustomerCombinedCleaned[[#This Row],[ID]], Table4[ID], Table4[Visits], "Not Found", 0)</f>
        <v>4</v>
      </c>
      <c r="W855" s="16">
        <f>_xlfn.XLOOKUP(CustomerCombinedCleaned[[#This Row],[ID]], Table2[ID],Table2[Complaint], "Not Found", 0 )</f>
        <v>0</v>
      </c>
      <c r="X855" s="16">
        <f>_xlfn.XLOOKUP(CustomerCombinedCleaned[[#This Row],[ID]], Table2[ID],Table2[Pilot], "Not Found", 0 )</f>
        <v>0</v>
      </c>
      <c r="Y855" s="16">
        <f>_xlfn.XLOOKUP(CustomerCombinedCleaned[[#This Row],[ID]], Table2[ID],Table2[MC1], "Not Found", 0 )</f>
        <v>1</v>
      </c>
      <c r="Z855" s="16">
        <f>_xlfn.XLOOKUP(CustomerCombinedCleaned[[#This Row],[ID]], Table2[ID],Table2[MC2], "Not Found", 0 )</f>
        <v>0</v>
      </c>
      <c r="AA855" s="16">
        <f>_xlfn.XLOOKUP(CustomerCombinedCleaned[[#This Row],[ID]], Table2[ID],Table2[MC3], "Not Found", 0 )</f>
        <v>0</v>
      </c>
      <c r="AB855" s="16">
        <f>_xlfn.XLOOKUP(CustomerCombinedCleaned[[#This Row],[ID]], Table2[ID],Table2[MC4], "Not Found", 0 )</f>
        <v>0</v>
      </c>
      <c r="AC855" s="16">
        <f>_xlfn.XLOOKUP(CustomerCombinedCleaned[[#This Row],[ID]], Table2[ID],Table2[MC5], "Not Found", 0 )</f>
        <v>1</v>
      </c>
    </row>
    <row r="856" spans="1:29" x14ac:dyDescent="0.3">
      <c r="A856" s="18">
        <v>3116</v>
      </c>
      <c r="B856" s="16">
        <v>163516</v>
      </c>
      <c r="C856" s="16">
        <v>1</v>
      </c>
      <c r="D856" s="16">
        <v>1</v>
      </c>
      <c r="E856" s="16">
        <v>47</v>
      </c>
      <c r="F856" s="17" t="s">
        <v>8</v>
      </c>
      <c r="G856" s="17" t="s">
        <v>13</v>
      </c>
      <c r="H856" s="3" t="s">
        <v>707</v>
      </c>
      <c r="I856" s="5" t="s">
        <v>438</v>
      </c>
      <c r="J856" s="16">
        <f>_xlfn.XLOOKUP(CustomerCombinedCleaned[[#This Row],[ID]], Table4[ID], Table4[Recency], "Not Found", 0)</f>
        <v>30</v>
      </c>
      <c r="K856" s="16">
        <f>_xlfn.XLOOKUP(CustomerCombinedCleaned[[#This Row],[ID]], Table4[ID], Table4[Teas], "Not Found", 0)</f>
        <v>363</v>
      </c>
      <c r="L856" s="16">
        <f>_xlfn.XLOOKUP(CustomerCombinedCleaned[[#This Row],[ID]], Table4[ID], Table4[Fruits], "Not Found", 0)</f>
        <v>28</v>
      </c>
      <c r="M856" s="16">
        <f>_xlfn.XLOOKUP(CustomerCombinedCleaned[[#This Row],[ID]], Table4[ID], Table4[Meats], "Not Found", 0)</f>
        <v>293</v>
      </c>
      <c r="N856" s="16">
        <f>_xlfn.XLOOKUP(CustomerCombinedCleaned[[#This Row],[ID]], Table4[ID], Table4[Seafood], "Not Found", 0)</f>
        <v>39</v>
      </c>
      <c r="O856" s="16">
        <f>_xlfn.XLOOKUP(CustomerCombinedCleaned[[#This Row],[ID]], Table4[ID], Table4[Sweets], "Not Found", 0)</f>
        <v>36</v>
      </c>
      <c r="P856" s="16">
        <f>_xlfn.XLOOKUP(CustomerCombinedCleaned[[#This Row],[ID]], Table4[ID], Table4[Premium], "Not Found", 0)</f>
        <v>13</v>
      </c>
      <c r="Q856" s="16">
        <f>_xlfn.XLOOKUP(CustomerCombinedCleaned[[#This Row],[ID]], Table4[ID], Table4[Regular], "Not Found", 0)</f>
        <v>747</v>
      </c>
      <c r="R856" s="16">
        <f>_xlfn.XLOOKUP(CustomerCombinedCleaned[[#This Row],[ID]], Table4[ID], Table4[Deals], "Not Found", 0)</f>
        <v>4</v>
      </c>
      <c r="S856" s="16">
        <f>_xlfn.XLOOKUP(CustomerCombinedCleaned[[#This Row],[ID]], Table4[ID], Table4[Website], "Not Found", 0)</f>
        <v>4</v>
      </c>
      <c r="T856" s="16">
        <f>_xlfn.XLOOKUP(CustomerCombinedCleaned[[#This Row],[ID]], Table4[ID], Table4[Catalog], "Not Found", 0)</f>
        <v>1</v>
      </c>
      <c r="U856" s="16">
        <f>_xlfn.XLOOKUP(CustomerCombinedCleaned[[#This Row],[ID]], Table4[ID], Table4[Store], "Not Found", 0)</f>
        <v>7</v>
      </c>
      <c r="V856" s="16">
        <f>_xlfn.XLOOKUP(CustomerCombinedCleaned[[#This Row],[ID]], Table4[ID], Table4[Visits], "Not Found", 0)</f>
        <v>5</v>
      </c>
      <c r="W856" s="16">
        <f>_xlfn.XLOOKUP(CustomerCombinedCleaned[[#This Row],[ID]], Table2[ID],Table2[Complaint], "Not Found", 0 )</f>
        <v>0</v>
      </c>
      <c r="X856" s="16">
        <f>_xlfn.XLOOKUP(CustomerCombinedCleaned[[#This Row],[ID]], Table2[ID],Table2[Pilot], "Not Found", 0 )</f>
        <v>0</v>
      </c>
      <c r="Y856" s="16">
        <f>_xlfn.XLOOKUP(CustomerCombinedCleaned[[#This Row],[ID]], Table2[ID],Table2[MC1], "Not Found", 0 )</f>
        <v>0</v>
      </c>
      <c r="Z856" s="16">
        <f>_xlfn.XLOOKUP(CustomerCombinedCleaned[[#This Row],[ID]], Table2[ID],Table2[MC2], "Not Found", 0 )</f>
        <v>0</v>
      </c>
      <c r="AA856" s="16">
        <f>_xlfn.XLOOKUP(CustomerCombinedCleaned[[#This Row],[ID]], Table2[ID],Table2[MC3], "Not Found", 0 )</f>
        <v>0</v>
      </c>
      <c r="AB856" s="16">
        <f>_xlfn.XLOOKUP(CustomerCombinedCleaned[[#This Row],[ID]], Table2[ID],Table2[MC4], "Not Found", 0 )</f>
        <v>0</v>
      </c>
      <c r="AC856" s="16">
        <f>_xlfn.XLOOKUP(CustomerCombinedCleaned[[#This Row],[ID]], Table2[ID],Table2[MC5], "Not Found", 0 )</f>
        <v>0</v>
      </c>
    </row>
    <row r="857" spans="1:29" x14ac:dyDescent="0.3">
      <c r="A857" s="18">
        <v>2584</v>
      </c>
      <c r="B857" s="16">
        <v>160432</v>
      </c>
      <c r="C857" s="16">
        <v>0</v>
      </c>
      <c r="D857" s="16">
        <v>1</v>
      </c>
      <c r="E857" s="16">
        <v>47</v>
      </c>
      <c r="F857" s="17" t="s">
        <v>6</v>
      </c>
      <c r="G857" s="17" t="s">
        <v>12</v>
      </c>
      <c r="H857" s="3" t="s">
        <v>90</v>
      </c>
      <c r="I857" s="5" t="s">
        <v>439</v>
      </c>
      <c r="J857" s="16">
        <f>_xlfn.XLOOKUP(CustomerCombinedCleaned[[#This Row],[ID]], Table4[ID], Table4[Recency], "Not Found", 0)</f>
        <v>61</v>
      </c>
      <c r="K857" s="16">
        <f>_xlfn.XLOOKUP(CustomerCombinedCleaned[[#This Row],[ID]], Table4[ID], Table4[Teas], "Not Found", 0)</f>
        <v>969</v>
      </c>
      <c r="L857" s="16">
        <f>_xlfn.XLOOKUP(CustomerCombinedCleaned[[#This Row],[ID]], Table4[ID], Table4[Fruits], "Not Found", 0)</f>
        <v>8</v>
      </c>
      <c r="M857" s="16">
        <f>_xlfn.XLOOKUP(CustomerCombinedCleaned[[#This Row],[ID]], Table4[ID], Table4[Meats], "Not Found", 0)</f>
        <v>40</v>
      </c>
      <c r="N857" s="16">
        <f>_xlfn.XLOOKUP(CustomerCombinedCleaned[[#This Row],[ID]], Table4[ID], Table4[Seafood], "Not Found", 0)</f>
        <v>11</v>
      </c>
      <c r="O857" s="16">
        <f>_xlfn.XLOOKUP(CustomerCombinedCleaned[[#This Row],[ID]], Table4[ID], Table4[Sweets], "Not Found", 0)</f>
        <v>8</v>
      </c>
      <c r="P857" s="16">
        <f>_xlfn.XLOOKUP(CustomerCombinedCleaned[[#This Row],[ID]], Table4[ID], Table4[Premium], "Not Found", 0)</f>
        <v>29</v>
      </c>
      <c r="Q857" s="16">
        <f>_xlfn.XLOOKUP(CustomerCombinedCleaned[[#This Row],[ID]], Table4[ID], Table4[Regular], "Not Found", 0)</f>
        <v>1006</v>
      </c>
      <c r="R857" s="16">
        <f>_xlfn.XLOOKUP(CustomerCombinedCleaned[[#This Row],[ID]], Table4[ID], Table4[Deals], "Not Found", 0)</f>
        <v>5</v>
      </c>
      <c r="S857" s="16">
        <f>_xlfn.XLOOKUP(CustomerCombinedCleaned[[#This Row],[ID]], Table4[ID], Table4[Website], "Not Found", 0)</f>
        <v>7</v>
      </c>
      <c r="T857" s="16">
        <f>_xlfn.XLOOKUP(CustomerCombinedCleaned[[#This Row],[ID]], Table4[ID], Table4[Catalog], "Not Found", 0)</f>
        <v>2</v>
      </c>
      <c r="U857" s="16">
        <f>_xlfn.XLOOKUP(CustomerCombinedCleaned[[#This Row],[ID]], Table4[ID], Table4[Store], "Not Found", 0)</f>
        <v>5</v>
      </c>
      <c r="V857" s="16">
        <f>_xlfn.XLOOKUP(CustomerCombinedCleaned[[#This Row],[ID]], Table4[ID], Table4[Visits], "Not Found", 0)</f>
        <v>6</v>
      </c>
      <c r="W857" s="16">
        <f>_xlfn.XLOOKUP(CustomerCombinedCleaned[[#This Row],[ID]], Table2[ID],Table2[Complaint], "Not Found", 0 )</f>
        <v>0</v>
      </c>
      <c r="X857" s="16">
        <f>_xlfn.XLOOKUP(CustomerCombinedCleaned[[#This Row],[ID]], Table2[ID],Table2[Pilot], "Not Found", 0 )</f>
        <v>0</v>
      </c>
      <c r="Y857" s="16">
        <f>_xlfn.XLOOKUP(CustomerCombinedCleaned[[#This Row],[ID]], Table2[ID],Table2[MC1], "Not Found", 0 )</f>
        <v>0</v>
      </c>
      <c r="Z857" s="16">
        <f>_xlfn.XLOOKUP(CustomerCombinedCleaned[[#This Row],[ID]], Table2[ID],Table2[MC2], "Not Found", 0 )</f>
        <v>0</v>
      </c>
      <c r="AA857" s="16">
        <f>_xlfn.XLOOKUP(CustomerCombinedCleaned[[#This Row],[ID]], Table2[ID],Table2[MC3], "Not Found", 0 )</f>
        <v>0</v>
      </c>
      <c r="AB857" s="16">
        <f>_xlfn.XLOOKUP(CustomerCombinedCleaned[[#This Row],[ID]], Table2[ID],Table2[MC4], "Not Found", 0 )</f>
        <v>0</v>
      </c>
      <c r="AC857" s="16">
        <f>_xlfn.XLOOKUP(CustomerCombinedCleaned[[#This Row],[ID]], Table2[ID],Table2[MC5], "Not Found", 0 )</f>
        <v>0</v>
      </c>
    </row>
    <row r="858" spans="1:29" x14ac:dyDescent="0.3">
      <c r="A858" s="18">
        <v>2840</v>
      </c>
      <c r="B858" s="16">
        <v>160208</v>
      </c>
      <c r="C858" s="16">
        <v>1</v>
      </c>
      <c r="D858" s="16">
        <v>1</v>
      </c>
      <c r="E858" s="16">
        <v>47</v>
      </c>
      <c r="F858" s="17" t="s">
        <v>9</v>
      </c>
      <c r="G858" s="17" t="s">
        <v>11</v>
      </c>
      <c r="H858" s="3" t="s">
        <v>386</v>
      </c>
      <c r="I858" s="5" t="s">
        <v>438</v>
      </c>
      <c r="J858" s="16">
        <f>_xlfn.XLOOKUP(CustomerCombinedCleaned[[#This Row],[ID]], Table4[ID], Table4[Recency], "Not Found", 0)</f>
        <v>13</v>
      </c>
      <c r="K858" s="16">
        <f>_xlfn.XLOOKUP(CustomerCombinedCleaned[[#This Row],[ID]], Table4[ID], Table4[Teas], "Not Found", 0)</f>
        <v>1299</v>
      </c>
      <c r="L858" s="16">
        <f>_xlfn.XLOOKUP(CustomerCombinedCleaned[[#This Row],[ID]], Table4[ID], Table4[Fruits], "Not Found", 0)</f>
        <v>61</v>
      </c>
      <c r="M858" s="16">
        <f>_xlfn.XLOOKUP(CustomerCombinedCleaned[[#This Row],[ID]], Table4[ID], Table4[Meats], "Not Found", 0)</f>
        <v>189</v>
      </c>
      <c r="N858" s="16">
        <f>_xlfn.XLOOKUP(CustomerCombinedCleaned[[#This Row],[ID]], Table4[ID], Table4[Seafood], "Not Found", 0)</f>
        <v>40</v>
      </c>
      <c r="O858" s="16">
        <f>_xlfn.XLOOKUP(CustomerCombinedCleaned[[#This Row],[ID]], Table4[ID], Table4[Sweets], "Not Found", 0)</f>
        <v>0</v>
      </c>
      <c r="P858" s="16">
        <f>_xlfn.XLOOKUP(CustomerCombinedCleaned[[#This Row],[ID]], Table4[ID], Table4[Premium], "Not Found", 0)</f>
        <v>157</v>
      </c>
      <c r="Q858" s="16">
        <f>_xlfn.XLOOKUP(CustomerCombinedCleaned[[#This Row],[ID]], Table4[ID], Table4[Regular], "Not Found", 0)</f>
        <v>1432</v>
      </c>
      <c r="R858" s="16">
        <f>_xlfn.XLOOKUP(CustomerCombinedCleaned[[#This Row],[ID]], Table4[ID], Table4[Deals], "Not Found", 0)</f>
        <v>11</v>
      </c>
      <c r="S858" s="16">
        <f>_xlfn.XLOOKUP(CustomerCombinedCleaned[[#This Row],[ID]], Table4[ID], Table4[Website], "Not Found", 0)</f>
        <v>8</v>
      </c>
      <c r="T858" s="16">
        <f>_xlfn.XLOOKUP(CustomerCombinedCleaned[[#This Row],[ID]], Table4[ID], Table4[Catalog], "Not Found", 0)</f>
        <v>3</v>
      </c>
      <c r="U858" s="16">
        <f>_xlfn.XLOOKUP(CustomerCombinedCleaned[[#This Row],[ID]], Table4[ID], Table4[Store], "Not Found", 0)</f>
        <v>7</v>
      </c>
      <c r="V858" s="16">
        <f>_xlfn.XLOOKUP(CustomerCombinedCleaned[[#This Row],[ID]], Table4[ID], Table4[Visits], "Not Found", 0)</f>
        <v>7</v>
      </c>
      <c r="W858" s="16">
        <f>_xlfn.XLOOKUP(CustomerCombinedCleaned[[#This Row],[ID]], Table2[ID],Table2[Complaint], "Not Found", 0 )</f>
        <v>0</v>
      </c>
      <c r="X858" s="16">
        <f>_xlfn.XLOOKUP(CustomerCombinedCleaned[[#This Row],[ID]], Table2[ID],Table2[Pilot], "Not Found", 0 )</f>
        <v>1</v>
      </c>
      <c r="Y858" s="16">
        <f>_xlfn.XLOOKUP(CustomerCombinedCleaned[[#This Row],[ID]], Table2[ID],Table2[MC1], "Not Found", 0 )</f>
        <v>0</v>
      </c>
      <c r="Z858" s="16">
        <f>_xlfn.XLOOKUP(CustomerCombinedCleaned[[#This Row],[ID]], Table2[ID],Table2[MC2], "Not Found", 0 )</f>
        <v>0</v>
      </c>
      <c r="AA858" s="16">
        <f>_xlfn.XLOOKUP(CustomerCombinedCleaned[[#This Row],[ID]], Table2[ID],Table2[MC3], "Not Found", 0 )</f>
        <v>0</v>
      </c>
      <c r="AB858" s="16">
        <f>_xlfn.XLOOKUP(CustomerCombinedCleaned[[#This Row],[ID]], Table2[ID],Table2[MC4], "Not Found", 0 )</f>
        <v>1</v>
      </c>
      <c r="AC858" s="16">
        <f>_xlfn.XLOOKUP(CustomerCombinedCleaned[[#This Row],[ID]], Table2[ID],Table2[MC5], "Not Found", 0 )</f>
        <v>0</v>
      </c>
    </row>
    <row r="859" spans="1:29" x14ac:dyDescent="0.3">
      <c r="A859" s="18">
        <v>1939</v>
      </c>
      <c r="B859" s="16">
        <v>159041</v>
      </c>
      <c r="C859" s="16">
        <v>1</v>
      </c>
      <c r="D859" s="16">
        <v>1</v>
      </c>
      <c r="E859" s="16">
        <v>47</v>
      </c>
      <c r="F859" s="17" t="s">
        <v>6</v>
      </c>
      <c r="G859" s="17" t="s">
        <v>11</v>
      </c>
      <c r="H859" s="3" t="s">
        <v>599</v>
      </c>
      <c r="I859" s="5" t="s">
        <v>437</v>
      </c>
      <c r="J859" s="16">
        <f>_xlfn.XLOOKUP(CustomerCombinedCleaned[[#This Row],[ID]], Table4[ID], Table4[Recency], "Not Found", 0)</f>
        <v>25</v>
      </c>
      <c r="K859" s="16">
        <f>_xlfn.XLOOKUP(CustomerCombinedCleaned[[#This Row],[ID]], Table4[ID], Table4[Teas], "Not Found", 0)</f>
        <v>186</v>
      </c>
      <c r="L859" s="16">
        <f>_xlfn.XLOOKUP(CustomerCombinedCleaned[[#This Row],[ID]], Table4[ID], Table4[Fruits], "Not Found", 0)</f>
        <v>5</v>
      </c>
      <c r="M859" s="16">
        <f>_xlfn.XLOOKUP(CustomerCombinedCleaned[[#This Row],[ID]], Table4[ID], Table4[Meats], "Not Found", 0)</f>
        <v>40</v>
      </c>
      <c r="N859" s="16">
        <f>_xlfn.XLOOKUP(CustomerCombinedCleaned[[#This Row],[ID]], Table4[ID], Table4[Seafood], "Not Found", 0)</f>
        <v>5</v>
      </c>
      <c r="O859" s="16">
        <f>_xlfn.XLOOKUP(CustomerCombinedCleaned[[#This Row],[ID]], Table4[ID], Table4[Sweets], "Not Found", 0)</f>
        <v>5</v>
      </c>
      <c r="P859" s="16">
        <f>_xlfn.XLOOKUP(CustomerCombinedCleaned[[#This Row],[ID]], Table4[ID], Table4[Premium], "Not Found", 0)</f>
        <v>16</v>
      </c>
      <c r="Q859" s="16">
        <f>_xlfn.XLOOKUP(CustomerCombinedCleaned[[#This Row],[ID]], Table4[ID], Table4[Regular], "Not Found", 0)</f>
        <v>226</v>
      </c>
      <c r="R859" s="16">
        <f>_xlfn.XLOOKUP(CustomerCombinedCleaned[[#This Row],[ID]], Table4[ID], Table4[Deals], "Not Found", 0)</f>
        <v>2</v>
      </c>
      <c r="S859" s="16">
        <f>_xlfn.XLOOKUP(CustomerCombinedCleaned[[#This Row],[ID]], Table4[ID], Table4[Website], "Not Found", 0)</f>
        <v>2</v>
      </c>
      <c r="T859" s="16">
        <f>_xlfn.XLOOKUP(CustomerCombinedCleaned[[#This Row],[ID]], Table4[ID], Table4[Catalog], "Not Found", 0)</f>
        <v>0</v>
      </c>
      <c r="U859" s="16">
        <f>_xlfn.XLOOKUP(CustomerCombinedCleaned[[#This Row],[ID]], Table4[ID], Table4[Store], "Not Found", 0)</f>
        <v>4</v>
      </c>
      <c r="V859" s="16">
        <f>_xlfn.XLOOKUP(CustomerCombinedCleaned[[#This Row],[ID]], Table4[ID], Table4[Visits], "Not Found", 0)</f>
        <v>5</v>
      </c>
      <c r="W859" s="16">
        <f>_xlfn.XLOOKUP(CustomerCombinedCleaned[[#This Row],[ID]], Table2[ID],Table2[Complaint], "Not Found", 0 )</f>
        <v>0</v>
      </c>
      <c r="X859" s="16">
        <f>_xlfn.XLOOKUP(CustomerCombinedCleaned[[#This Row],[ID]], Table2[ID],Table2[Pilot], "Not Found", 0 )</f>
        <v>0</v>
      </c>
      <c r="Y859" s="16">
        <f>_xlfn.XLOOKUP(CustomerCombinedCleaned[[#This Row],[ID]], Table2[ID],Table2[MC1], "Not Found", 0 )</f>
        <v>0</v>
      </c>
      <c r="Z859" s="16">
        <f>_xlfn.XLOOKUP(CustomerCombinedCleaned[[#This Row],[ID]], Table2[ID],Table2[MC2], "Not Found", 0 )</f>
        <v>0</v>
      </c>
      <c r="AA859" s="16">
        <f>_xlfn.XLOOKUP(CustomerCombinedCleaned[[#This Row],[ID]], Table2[ID],Table2[MC3], "Not Found", 0 )</f>
        <v>0</v>
      </c>
      <c r="AB859" s="16">
        <f>_xlfn.XLOOKUP(CustomerCombinedCleaned[[#This Row],[ID]], Table2[ID],Table2[MC4], "Not Found", 0 )</f>
        <v>0</v>
      </c>
      <c r="AC859" s="16">
        <f>_xlfn.XLOOKUP(CustomerCombinedCleaned[[#This Row],[ID]], Table2[ID],Table2[MC5], "Not Found", 0 )</f>
        <v>0</v>
      </c>
    </row>
    <row r="860" spans="1:29" x14ac:dyDescent="0.3">
      <c r="A860" s="18">
        <v>1846</v>
      </c>
      <c r="B860" s="16">
        <v>157906</v>
      </c>
      <c r="C860" s="16">
        <v>0</v>
      </c>
      <c r="D860" s="16">
        <v>1</v>
      </c>
      <c r="E860" s="16">
        <v>47</v>
      </c>
      <c r="F860" s="17" t="s">
        <v>8</v>
      </c>
      <c r="G860" s="17" t="s">
        <v>13</v>
      </c>
      <c r="H860" s="3" t="s">
        <v>241</v>
      </c>
      <c r="I860" s="5" t="s">
        <v>439</v>
      </c>
      <c r="J860" s="16">
        <f>_xlfn.XLOOKUP(CustomerCombinedCleaned[[#This Row],[ID]], Table4[ID], Table4[Recency], "Not Found", 0)</f>
        <v>29</v>
      </c>
      <c r="K860" s="16">
        <f>_xlfn.XLOOKUP(CustomerCombinedCleaned[[#This Row],[ID]], Table4[ID], Table4[Teas], "Not Found", 0)</f>
        <v>663</v>
      </c>
      <c r="L860" s="16">
        <f>_xlfn.XLOOKUP(CustomerCombinedCleaned[[#This Row],[ID]], Table4[ID], Table4[Fruits], "Not Found", 0)</f>
        <v>30</v>
      </c>
      <c r="M860" s="16">
        <f>_xlfn.XLOOKUP(CustomerCombinedCleaned[[#This Row],[ID]], Table4[ID], Table4[Meats], "Not Found", 0)</f>
        <v>325</v>
      </c>
      <c r="N860" s="16">
        <f>_xlfn.XLOOKUP(CustomerCombinedCleaned[[#This Row],[ID]], Table4[ID], Table4[Seafood], "Not Found", 0)</f>
        <v>27</v>
      </c>
      <c r="O860" s="16">
        <f>_xlfn.XLOOKUP(CustomerCombinedCleaned[[#This Row],[ID]], Table4[ID], Table4[Sweets], "Not Found", 0)</f>
        <v>8</v>
      </c>
      <c r="P860" s="16">
        <f>_xlfn.XLOOKUP(CustomerCombinedCleaned[[#This Row],[ID]], Table4[ID], Table4[Premium], "Not Found", 0)</f>
        <v>41</v>
      </c>
      <c r="Q860" s="16">
        <f>_xlfn.XLOOKUP(CustomerCombinedCleaned[[#This Row],[ID]], Table4[ID], Table4[Regular], "Not Found", 0)</f>
        <v>1012</v>
      </c>
      <c r="R860" s="16">
        <f>_xlfn.XLOOKUP(CustomerCombinedCleaned[[#This Row],[ID]], Table4[ID], Table4[Deals], "Not Found", 0)</f>
        <v>3</v>
      </c>
      <c r="S860" s="16">
        <f>_xlfn.XLOOKUP(CustomerCombinedCleaned[[#This Row],[ID]], Table4[ID], Table4[Website], "Not Found", 0)</f>
        <v>4</v>
      </c>
      <c r="T860" s="16">
        <f>_xlfn.XLOOKUP(CustomerCombinedCleaned[[#This Row],[ID]], Table4[ID], Table4[Catalog], "Not Found", 0)</f>
        <v>2</v>
      </c>
      <c r="U860" s="16">
        <f>_xlfn.XLOOKUP(CustomerCombinedCleaned[[#This Row],[ID]], Table4[ID], Table4[Store], "Not Found", 0)</f>
        <v>8</v>
      </c>
      <c r="V860" s="16">
        <f>_xlfn.XLOOKUP(CustomerCombinedCleaned[[#This Row],[ID]], Table4[ID], Table4[Visits], "Not Found", 0)</f>
        <v>4</v>
      </c>
      <c r="W860" s="16">
        <f>_xlfn.XLOOKUP(CustomerCombinedCleaned[[#This Row],[ID]], Table2[ID],Table2[Complaint], "Not Found", 0 )</f>
        <v>0</v>
      </c>
      <c r="X860" s="16">
        <f>_xlfn.XLOOKUP(CustomerCombinedCleaned[[#This Row],[ID]], Table2[ID],Table2[Pilot], "Not Found", 0 )</f>
        <v>0</v>
      </c>
      <c r="Y860" s="16">
        <f>_xlfn.XLOOKUP(CustomerCombinedCleaned[[#This Row],[ID]], Table2[ID],Table2[MC1], "Not Found", 0 )</f>
        <v>0</v>
      </c>
      <c r="Z860" s="16">
        <f>_xlfn.XLOOKUP(CustomerCombinedCleaned[[#This Row],[ID]], Table2[ID],Table2[MC2], "Not Found", 0 )</f>
        <v>0</v>
      </c>
      <c r="AA860" s="16">
        <f>_xlfn.XLOOKUP(CustomerCombinedCleaned[[#This Row],[ID]], Table2[ID],Table2[MC3], "Not Found", 0 )</f>
        <v>0</v>
      </c>
      <c r="AB860" s="16">
        <f>_xlfn.XLOOKUP(CustomerCombinedCleaned[[#This Row],[ID]], Table2[ID],Table2[MC4], "Not Found", 0 )</f>
        <v>0</v>
      </c>
      <c r="AC860" s="16">
        <f>_xlfn.XLOOKUP(CustomerCombinedCleaned[[#This Row],[ID]], Table2[ID],Table2[MC5], "Not Found", 0 )</f>
        <v>0</v>
      </c>
    </row>
    <row r="861" spans="1:29" x14ac:dyDescent="0.3">
      <c r="A861" s="18">
        <v>1884</v>
      </c>
      <c r="B861" s="16">
        <v>157100</v>
      </c>
      <c r="C861" s="16">
        <v>0</v>
      </c>
      <c r="D861" s="16">
        <v>0</v>
      </c>
      <c r="E861" s="16">
        <v>47</v>
      </c>
      <c r="F861" s="17" t="s">
        <v>8</v>
      </c>
      <c r="G861" s="17" t="s">
        <v>11</v>
      </c>
      <c r="H861" s="3" t="s">
        <v>687</v>
      </c>
      <c r="I861" s="5" t="s">
        <v>436</v>
      </c>
      <c r="J861" s="16">
        <f>_xlfn.XLOOKUP(CustomerCombinedCleaned[[#This Row],[ID]], Table4[ID], Table4[Recency], "Not Found", 0)</f>
        <v>19</v>
      </c>
      <c r="K861" s="16">
        <f>_xlfn.XLOOKUP(CustomerCombinedCleaned[[#This Row],[ID]], Table4[ID], Table4[Teas], "Not Found", 0)</f>
        <v>498</v>
      </c>
      <c r="L861" s="16">
        <f>_xlfn.XLOOKUP(CustomerCombinedCleaned[[#This Row],[ID]], Table4[ID], Table4[Fruits], "Not Found", 0)</f>
        <v>58</v>
      </c>
      <c r="M861" s="16">
        <f>_xlfn.XLOOKUP(CustomerCombinedCleaned[[#This Row],[ID]], Table4[ID], Table4[Meats], "Not Found", 0)</f>
        <v>190</v>
      </c>
      <c r="N861" s="16">
        <f>_xlfn.XLOOKUP(CustomerCombinedCleaned[[#This Row],[ID]], Table4[ID], Table4[Seafood], "Not Found", 0)</f>
        <v>107</v>
      </c>
      <c r="O861" s="16">
        <f>_xlfn.XLOOKUP(CustomerCombinedCleaned[[#This Row],[ID]], Table4[ID], Table4[Sweets], "Not Found", 0)</f>
        <v>8</v>
      </c>
      <c r="P861" s="16">
        <f>_xlfn.XLOOKUP(CustomerCombinedCleaned[[#This Row],[ID]], Table4[ID], Table4[Premium], "Not Found", 0)</f>
        <v>264</v>
      </c>
      <c r="Q861" s="16">
        <f>_xlfn.XLOOKUP(CustomerCombinedCleaned[[#This Row],[ID]], Table4[ID], Table4[Regular], "Not Found", 0)</f>
        <v>597</v>
      </c>
      <c r="R861" s="16">
        <f>_xlfn.XLOOKUP(CustomerCombinedCleaned[[#This Row],[ID]], Table4[ID], Table4[Deals], "Not Found", 0)</f>
        <v>1</v>
      </c>
      <c r="S861" s="16">
        <f>_xlfn.XLOOKUP(CustomerCombinedCleaned[[#This Row],[ID]], Table4[ID], Table4[Website], "Not Found", 0)</f>
        <v>3</v>
      </c>
      <c r="T861" s="16">
        <f>_xlfn.XLOOKUP(CustomerCombinedCleaned[[#This Row],[ID]], Table4[ID], Table4[Catalog], "Not Found", 0)</f>
        <v>3</v>
      </c>
      <c r="U861" s="16">
        <f>_xlfn.XLOOKUP(CustomerCombinedCleaned[[#This Row],[ID]], Table4[ID], Table4[Store], "Not Found", 0)</f>
        <v>6</v>
      </c>
      <c r="V861" s="16">
        <f>_xlfn.XLOOKUP(CustomerCombinedCleaned[[#This Row],[ID]], Table4[ID], Table4[Visits], "Not Found", 0)</f>
        <v>3</v>
      </c>
      <c r="W861" s="16">
        <f>_xlfn.XLOOKUP(CustomerCombinedCleaned[[#This Row],[ID]], Table2[ID],Table2[Complaint], "Not Found", 0 )</f>
        <v>0</v>
      </c>
      <c r="X861" s="16">
        <f>_xlfn.XLOOKUP(CustomerCombinedCleaned[[#This Row],[ID]], Table2[ID],Table2[Pilot], "Not Found", 0 )</f>
        <v>0</v>
      </c>
      <c r="Y861" s="16">
        <f>_xlfn.XLOOKUP(CustomerCombinedCleaned[[#This Row],[ID]], Table2[ID],Table2[MC1], "Not Found", 0 )</f>
        <v>0</v>
      </c>
      <c r="Z861" s="16">
        <f>_xlfn.XLOOKUP(CustomerCombinedCleaned[[#This Row],[ID]], Table2[ID],Table2[MC2], "Not Found", 0 )</f>
        <v>0</v>
      </c>
      <c r="AA861" s="16">
        <f>_xlfn.XLOOKUP(CustomerCombinedCleaned[[#This Row],[ID]], Table2[ID],Table2[MC3], "Not Found", 0 )</f>
        <v>0</v>
      </c>
      <c r="AB861" s="16">
        <f>_xlfn.XLOOKUP(CustomerCombinedCleaned[[#This Row],[ID]], Table2[ID],Table2[MC4], "Not Found", 0 )</f>
        <v>0</v>
      </c>
      <c r="AC861" s="16">
        <f>_xlfn.XLOOKUP(CustomerCombinedCleaned[[#This Row],[ID]], Table2[ID],Table2[MC5], "Not Found", 0 )</f>
        <v>0</v>
      </c>
    </row>
    <row r="862" spans="1:29" x14ac:dyDescent="0.3">
      <c r="A862" s="18">
        <v>3165</v>
      </c>
      <c r="B862" s="16">
        <v>155593</v>
      </c>
      <c r="C862" s="16">
        <v>0</v>
      </c>
      <c r="D862" s="16">
        <v>1</v>
      </c>
      <c r="E862" s="16">
        <v>47</v>
      </c>
      <c r="F862" s="17" t="s">
        <v>8</v>
      </c>
      <c r="G862" s="17" t="s">
        <v>11</v>
      </c>
      <c r="H862" s="3" t="s">
        <v>196</v>
      </c>
      <c r="I862" s="5" t="s">
        <v>435</v>
      </c>
      <c r="J862" s="16">
        <f>_xlfn.XLOOKUP(CustomerCombinedCleaned[[#This Row],[ID]], Table4[ID], Table4[Recency], "Not Found", 0)</f>
        <v>63</v>
      </c>
      <c r="K862" s="16">
        <f>_xlfn.XLOOKUP(CustomerCombinedCleaned[[#This Row],[ID]], Table4[ID], Table4[Teas], "Not Found", 0)</f>
        <v>820</v>
      </c>
      <c r="L862" s="16">
        <f>_xlfn.XLOOKUP(CustomerCombinedCleaned[[#This Row],[ID]], Table4[ID], Table4[Fruits], "Not Found", 0)</f>
        <v>22</v>
      </c>
      <c r="M862" s="16">
        <f>_xlfn.XLOOKUP(CustomerCombinedCleaned[[#This Row],[ID]], Table4[ID], Table4[Meats], "Not Found", 0)</f>
        <v>347</v>
      </c>
      <c r="N862" s="16">
        <f>_xlfn.XLOOKUP(CustomerCombinedCleaned[[#This Row],[ID]], Table4[ID], Table4[Seafood], "Not Found", 0)</f>
        <v>31</v>
      </c>
      <c r="O862" s="16">
        <f>_xlfn.XLOOKUP(CustomerCombinedCleaned[[#This Row],[ID]], Table4[ID], Table4[Sweets], "Not Found", 0)</f>
        <v>11</v>
      </c>
      <c r="P862" s="16">
        <f>_xlfn.XLOOKUP(CustomerCombinedCleaned[[#This Row],[ID]], Table4[ID], Table4[Premium], "Not Found", 0)</f>
        <v>297</v>
      </c>
      <c r="Q862" s="16">
        <f>_xlfn.XLOOKUP(CustomerCombinedCleaned[[#This Row],[ID]], Table4[ID], Table4[Regular], "Not Found", 0)</f>
        <v>935</v>
      </c>
      <c r="R862" s="16">
        <f>_xlfn.XLOOKUP(CustomerCombinedCleaned[[#This Row],[ID]], Table4[ID], Table4[Deals], "Not Found", 0)</f>
        <v>2</v>
      </c>
      <c r="S862" s="16">
        <f>_xlfn.XLOOKUP(CustomerCombinedCleaned[[#This Row],[ID]], Table4[ID], Table4[Website], "Not Found", 0)</f>
        <v>6</v>
      </c>
      <c r="T862" s="16">
        <f>_xlfn.XLOOKUP(CustomerCombinedCleaned[[#This Row],[ID]], Table4[ID], Table4[Catalog], "Not Found", 0)</f>
        <v>6</v>
      </c>
      <c r="U862" s="16">
        <f>_xlfn.XLOOKUP(CustomerCombinedCleaned[[#This Row],[ID]], Table4[ID], Table4[Store], "Not Found", 0)</f>
        <v>3</v>
      </c>
      <c r="V862" s="16">
        <f>_xlfn.XLOOKUP(CustomerCombinedCleaned[[#This Row],[ID]], Table4[ID], Table4[Visits], "Not Found", 0)</f>
        <v>6</v>
      </c>
      <c r="W862" s="16">
        <f>_xlfn.XLOOKUP(CustomerCombinedCleaned[[#This Row],[ID]], Table2[ID],Table2[Complaint], "Not Found", 0 )</f>
        <v>0</v>
      </c>
      <c r="X862" s="16">
        <f>_xlfn.XLOOKUP(CustomerCombinedCleaned[[#This Row],[ID]], Table2[ID],Table2[Pilot], "Not Found", 0 )</f>
        <v>0</v>
      </c>
      <c r="Y862" s="16">
        <f>_xlfn.XLOOKUP(CustomerCombinedCleaned[[#This Row],[ID]], Table2[ID],Table2[MC1], "Not Found", 0 )</f>
        <v>0</v>
      </c>
      <c r="Z862" s="16">
        <f>_xlfn.XLOOKUP(CustomerCombinedCleaned[[#This Row],[ID]], Table2[ID],Table2[MC2], "Not Found", 0 )</f>
        <v>0</v>
      </c>
      <c r="AA862" s="16">
        <f>_xlfn.XLOOKUP(CustomerCombinedCleaned[[#This Row],[ID]], Table2[ID],Table2[MC3], "Not Found", 0 )</f>
        <v>1</v>
      </c>
      <c r="AB862" s="16">
        <f>_xlfn.XLOOKUP(CustomerCombinedCleaned[[#This Row],[ID]], Table2[ID],Table2[MC4], "Not Found", 0 )</f>
        <v>0</v>
      </c>
      <c r="AC862" s="16">
        <f>_xlfn.XLOOKUP(CustomerCombinedCleaned[[#This Row],[ID]], Table2[ID],Table2[MC5], "Not Found", 0 )</f>
        <v>0</v>
      </c>
    </row>
    <row r="863" spans="1:29" x14ac:dyDescent="0.3">
      <c r="A863" s="18">
        <v>2678</v>
      </c>
      <c r="B863" s="16">
        <v>155012</v>
      </c>
      <c r="C863" s="16">
        <v>0</v>
      </c>
      <c r="D863" s="16">
        <v>1</v>
      </c>
      <c r="E863" s="16">
        <v>47</v>
      </c>
      <c r="F863" s="17" t="s">
        <v>8</v>
      </c>
      <c r="G863" s="17" t="s">
        <v>13</v>
      </c>
      <c r="H863" s="3" t="s">
        <v>80</v>
      </c>
      <c r="I863" s="5" t="s">
        <v>438</v>
      </c>
      <c r="J863" s="16">
        <f>_xlfn.XLOOKUP(CustomerCombinedCleaned[[#This Row],[ID]], Table4[ID], Table4[Recency], "Not Found", 0)</f>
        <v>85</v>
      </c>
      <c r="K863" s="16">
        <f>_xlfn.XLOOKUP(CustomerCombinedCleaned[[#This Row],[ID]], Table4[ID], Table4[Teas], "Not Found", 0)</f>
        <v>1640</v>
      </c>
      <c r="L863" s="16">
        <f>_xlfn.XLOOKUP(CustomerCombinedCleaned[[#This Row],[ID]], Table4[ID], Table4[Fruits], "Not Found", 0)</f>
        <v>0</v>
      </c>
      <c r="M863" s="16">
        <f>_xlfn.XLOOKUP(CustomerCombinedCleaned[[#This Row],[ID]], Table4[ID], Table4[Meats], "Not Found", 0)</f>
        <v>183</v>
      </c>
      <c r="N863" s="16">
        <f>_xlfn.XLOOKUP(CustomerCombinedCleaned[[#This Row],[ID]], Table4[ID], Table4[Seafood], "Not Found", 0)</f>
        <v>0</v>
      </c>
      <c r="O863" s="16">
        <f>_xlfn.XLOOKUP(CustomerCombinedCleaned[[#This Row],[ID]], Table4[ID], Table4[Sweets], "Not Found", 0)</f>
        <v>0</v>
      </c>
      <c r="P863" s="16">
        <f>_xlfn.XLOOKUP(CustomerCombinedCleaned[[#This Row],[ID]], Table4[ID], Table4[Premium], "Not Found", 0)</f>
        <v>37</v>
      </c>
      <c r="Q863" s="16">
        <f>_xlfn.XLOOKUP(CustomerCombinedCleaned[[#This Row],[ID]], Table4[ID], Table4[Regular], "Not Found", 0)</f>
        <v>1786</v>
      </c>
      <c r="R863" s="16">
        <f>_xlfn.XLOOKUP(CustomerCombinedCleaned[[#This Row],[ID]], Table4[ID], Table4[Deals], "Not Found", 0)</f>
        <v>6</v>
      </c>
      <c r="S863" s="16">
        <f>_xlfn.XLOOKUP(CustomerCombinedCleaned[[#This Row],[ID]], Table4[ID], Table4[Website], "Not Found", 0)</f>
        <v>8</v>
      </c>
      <c r="T863" s="16">
        <f>_xlfn.XLOOKUP(CustomerCombinedCleaned[[#This Row],[ID]], Table4[ID], Table4[Catalog], "Not Found", 0)</f>
        <v>2</v>
      </c>
      <c r="U863" s="16">
        <f>_xlfn.XLOOKUP(CustomerCombinedCleaned[[#This Row],[ID]], Table4[ID], Table4[Store], "Not Found", 0)</f>
        <v>9</v>
      </c>
      <c r="V863" s="16">
        <f>_xlfn.XLOOKUP(CustomerCombinedCleaned[[#This Row],[ID]], Table4[ID], Table4[Visits], "Not Found", 0)</f>
        <v>5</v>
      </c>
      <c r="W863" s="16">
        <f>_xlfn.XLOOKUP(CustomerCombinedCleaned[[#This Row],[ID]], Table2[ID],Table2[Complaint], "Not Found", 0 )</f>
        <v>0</v>
      </c>
      <c r="X863" s="16">
        <f>_xlfn.XLOOKUP(CustomerCombinedCleaned[[#This Row],[ID]], Table2[ID],Table2[Pilot], "Not Found", 0 )</f>
        <v>0</v>
      </c>
      <c r="Y863" s="16">
        <f>_xlfn.XLOOKUP(CustomerCombinedCleaned[[#This Row],[ID]], Table2[ID],Table2[MC1], "Not Found", 0 )</f>
        <v>0</v>
      </c>
      <c r="Z863" s="16">
        <f>_xlfn.XLOOKUP(CustomerCombinedCleaned[[#This Row],[ID]], Table2[ID],Table2[MC2], "Not Found", 0 )</f>
        <v>0</v>
      </c>
      <c r="AA863" s="16">
        <f>_xlfn.XLOOKUP(CustomerCombinedCleaned[[#This Row],[ID]], Table2[ID],Table2[MC3], "Not Found", 0 )</f>
        <v>0</v>
      </c>
      <c r="AB863" s="16">
        <f>_xlfn.XLOOKUP(CustomerCombinedCleaned[[#This Row],[ID]], Table2[ID],Table2[MC4], "Not Found", 0 )</f>
        <v>0</v>
      </c>
      <c r="AC863" s="16">
        <f>_xlfn.XLOOKUP(CustomerCombinedCleaned[[#This Row],[ID]], Table2[ID],Table2[MC5], "Not Found", 0 )</f>
        <v>0</v>
      </c>
    </row>
    <row r="864" spans="1:29" x14ac:dyDescent="0.3">
      <c r="A864" s="18">
        <v>2093</v>
      </c>
      <c r="B864" s="16">
        <v>154466</v>
      </c>
      <c r="C864" s="16">
        <v>1</v>
      </c>
      <c r="D864" s="16">
        <v>1</v>
      </c>
      <c r="E864" s="16">
        <v>47</v>
      </c>
      <c r="F864" s="17" t="s">
        <v>7</v>
      </c>
      <c r="G864" s="17" t="s">
        <v>13</v>
      </c>
      <c r="H864" s="3" t="s">
        <v>104</v>
      </c>
      <c r="I864" s="5" t="s">
        <v>434</v>
      </c>
      <c r="J864" s="16">
        <f>_xlfn.XLOOKUP(CustomerCombinedCleaned[[#This Row],[ID]], Table4[ID], Table4[Recency], "Not Found", 0)</f>
        <v>78</v>
      </c>
      <c r="K864" s="16">
        <f>_xlfn.XLOOKUP(CustomerCombinedCleaned[[#This Row],[ID]], Table4[ID], Table4[Teas], "Not Found", 0)</f>
        <v>34</v>
      </c>
      <c r="L864" s="16">
        <f>_xlfn.XLOOKUP(CustomerCombinedCleaned[[#This Row],[ID]], Table4[ID], Table4[Fruits], "Not Found", 0)</f>
        <v>0</v>
      </c>
      <c r="M864" s="16">
        <f>_xlfn.XLOOKUP(CustomerCombinedCleaned[[#This Row],[ID]], Table4[ID], Table4[Meats], "Not Found", 0)</f>
        <v>11</v>
      </c>
      <c r="N864" s="16">
        <f>_xlfn.XLOOKUP(CustomerCombinedCleaned[[#This Row],[ID]], Table4[ID], Table4[Seafood], "Not Found", 0)</f>
        <v>0</v>
      </c>
      <c r="O864" s="16">
        <f>_xlfn.XLOOKUP(CustomerCombinedCleaned[[#This Row],[ID]], Table4[ID], Table4[Sweets], "Not Found", 0)</f>
        <v>0</v>
      </c>
      <c r="P864" s="16">
        <f>_xlfn.XLOOKUP(CustomerCombinedCleaned[[#This Row],[ID]], Table4[ID], Table4[Premium], "Not Found", 0)</f>
        <v>0</v>
      </c>
      <c r="Q864" s="16">
        <f>_xlfn.XLOOKUP(CustomerCombinedCleaned[[#This Row],[ID]], Table4[ID], Table4[Regular], "Not Found", 0)</f>
        <v>45</v>
      </c>
      <c r="R864" s="16">
        <f>_xlfn.XLOOKUP(CustomerCombinedCleaned[[#This Row],[ID]], Table4[ID], Table4[Deals], "Not Found", 0)</f>
        <v>1</v>
      </c>
      <c r="S864" s="16">
        <f>_xlfn.XLOOKUP(CustomerCombinedCleaned[[#This Row],[ID]], Table4[ID], Table4[Website], "Not Found", 0)</f>
        <v>1</v>
      </c>
      <c r="T864" s="16">
        <f>_xlfn.XLOOKUP(CustomerCombinedCleaned[[#This Row],[ID]], Table4[ID], Table4[Catalog], "Not Found", 0)</f>
        <v>0</v>
      </c>
      <c r="U864" s="16">
        <f>_xlfn.XLOOKUP(CustomerCombinedCleaned[[#This Row],[ID]], Table4[ID], Table4[Store], "Not Found", 0)</f>
        <v>2</v>
      </c>
      <c r="V864" s="16">
        <f>_xlfn.XLOOKUP(CustomerCombinedCleaned[[#This Row],[ID]], Table4[ID], Table4[Visits], "Not Found", 0)</f>
        <v>5</v>
      </c>
      <c r="W864" s="16">
        <f>_xlfn.XLOOKUP(CustomerCombinedCleaned[[#This Row],[ID]], Table2[ID],Table2[Complaint], "Not Found", 0 )</f>
        <v>0</v>
      </c>
      <c r="X864" s="16">
        <f>_xlfn.XLOOKUP(CustomerCombinedCleaned[[#This Row],[ID]], Table2[ID],Table2[Pilot], "Not Found", 0 )</f>
        <v>0</v>
      </c>
      <c r="Y864" s="16">
        <f>_xlfn.XLOOKUP(CustomerCombinedCleaned[[#This Row],[ID]], Table2[ID],Table2[MC1], "Not Found", 0 )</f>
        <v>0</v>
      </c>
      <c r="Z864" s="16">
        <f>_xlfn.XLOOKUP(CustomerCombinedCleaned[[#This Row],[ID]], Table2[ID],Table2[MC2], "Not Found", 0 )</f>
        <v>0</v>
      </c>
      <c r="AA864" s="16">
        <f>_xlfn.XLOOKUP(CustomerCombinedCleaned[[#This Row],[ID]], Table2[ID],Table2[MC3], "Not Found", 0 )</f>
        <v>0</v>
      </c>
      <c r="AB864" s="16">
        <f>_xlfn.XLOOKUP(CustomerCombinedCleaned[[#This Row],[ID]], Table2[ID],Table2[MC4], "Not Found", 0 )</f>
        <v>0</v>
      </c>
      <c r="AC864" s="16">
        <f>_xlfn.XLOOKUP(CustomerCombinedCleaned[[#This Row],[ID]], Table2[ID],Table2[MC5], "Not Found", 0 )</f>
        <v>0</v>
      </c>
    </row>
    <row r="865" spans="1:29" x14ac:dyDescent="0.3">
      <c r="A865" s="18">
        <v>2684</v>
      </c>
      <c r="B865" s="16">
        <v>154222</v>
      </c>
      <c r="C865" s="16">
        <v>0</v>
      </c>
      <c r="D865" s="16">
        <v>1</v>
      </c>
      <c r="E865" s="16">
        <v>47</v>
      </c>
      <c r="F865" s="17" t="s">
        <v>6</v>
      </c>
      <c r="G865" s="17" t="s">
        <v>13</v>
      </c>
      <c r="H865" s="3" t="s">
        <v>603</v>
      </c>
      <c r="I865" s="5" t="s">
        <v>438</v>
      </c>
      <c r="J865" s="16">
        <f>_xlfn.XLOOKUP(CustomerCombinedCleaned[[#This Row],[ID]], Table4[ID], Table4[Recency], "Not Found", 0)</f>
        <v>98</v>
      </c>
      <c r="K865" s="16">
        <f>_xlfn.XLOOKUP(CustomerCombinedCleaned[[#This Row],[ID]], Table4[ID], Table4[Teas], "Not Found", 0)</f>
        <v>566</v>
      </c>
      <c r="L865" s="16">
        <f>_xlfn.XLOOKUP(CustomerCombinedCleaned[[#This Row],[ID]], Table4[ID], Table4[Fruits], "Not Found", 0)</f>
        <v>34</v>
      </c>
      <c r="M865" s="16">
        <f>_xlfn.XLOOKUP(CustomerCombinedCleaned[[#This Row],[ID]], Table4[ID], Table4[Meats], "Not Found", 0)</f>
        <v>88</v>
      </c>
      <c r="N865" s="16">
        <f>_xlfn.XLOOKUP(CustomerCombinedCleaned[[#This Row],[ID]], Table4[ID], Table4[Seafood], "Not Found", 0)</f>
        <v>9</v>
      </c>
      <c r="O865" s="16">
        <f>_xlfn.XLOOKUP(CustomerCombinedCleaned[[#This Row],[ID]], Table4[ID], Table4[Sweets], "Not Found", 0)</f>
        <v>34</v>
      </c>
      <c r="P865" s="16">
        <f>_xlfn.XLOOKUP(CustomerCombinedCleaned[[#This Row],[ID]], Table4[ID], Table4[Premium], "Not Found", 0)</f>
        <v>20</v>
      </c>
      <c r="Q865" s="16">
        <f>_xlfn.XLOOKUP(CustomerCombinedCleaned[[#This Row],[ID]], Table4[ID], Table4[Regular], "Not Found", 0)</f>
        <v>711</v>
      </c>
      <c r="R865" s="16">
        <f>_xlfn.XLOOKUP(CustomerCombinedCleaned[[#This Row],[ID]], Table4[ID], Table4[Deals], "Not Found", 0)</f>
        <v>1</v>
      </c>
      <c r="S865" s="16">
        <f>_xlfn.XLOOKUP(CustomerCombinedCleaned[[#This Row],[ID]], Table4[ID], Table4[Website], "Not Found", 0)</f>
        <v>3</v>
      </c>
      <c r="T865" s="16">
        <f>_xlfn.XLOOKUP(CustomerCombinedCleaned[[#This Row],[ID]], Table4[ID], Table4[Catalog], "Not Found", 0)</f>
        <v>3</v>
      </c>
      <c r="U865" s="16">
        <f>_xlfn.XLOOKUP(CustomerCombinedCleaned[[#This Row],[ID]], Table4[ID], Table4[Store], "Not Found", 0)</f>
        <v>5</v>
      </c>
      <c r="V865" s="16">
        <f>_xlfn.XLOOKUP(CustomerCombinedCleaned[[#This Row],[ID]], Table4[ID], Table4[Visits], "Not Found", 0)</f>
        <v>3</v>
      </c>
      <c r="W865" s="16">
        <f>_xlfn.XLOOKUP(CustomerCombinedCleaned[[#This Row],[ID]], Table2[ID],Table2[Complaint], "Not Found", 0 )</f>
        <v>0</v>
      </c>
      <c r="X865" s="16">
        <f>_xlfn.XLOOKUP(CustomerCombinedCleaned[[#This Row],[ID]], Table2[ID],Table2[Pilot], "Not Found", 0 )</f>
        <v>0</v>
      </c>
      <c r="Y865" s="16">
        <f>_xlfn.XLOOKUP(CustomerCombinedCleaned[[#This Row],[ID]], Table2[ID],Table2[MC1], "Not Found", 0 )</f>
        <v>0</v>
      </c>
      <c r="Z865" s="16">
        <f>_xlfn.XLOOKUP(CustomerCombinedCleaned[[#This Row],[ID]], Table2[ID],Table2[MC2], "Not Found", 0 )</f>
        <v>0</v>
      </c>
      <c r="AA865" s="16">
        <f>_xlfn.XLOOKUP(CustomerCombinedCleaned[[#This Row],[ID]], Table2[ID],Table2[MC3], "Not Found", 0 )</f>
        <v>0</v>
      </c>
      <c r="AB865" s="16">
        <f>_xlfn.XLOOKUP(CustomerCombinedCleaned[[#This Row],[ID]], Table2[ID],Table2[MC4], "Not Found", 0 )</f>
        <v>0</v>
      </c>
      <c r="AC865" s="16">
        <f>_xlfn.XLOOKUP(CustomerCombinedCleaned[[#This Row],[ID]], Table2[ID],Table2[MC5], "Not Found", 0 )</f>
        <v>0</v>
      </c>
    </row>
    <row r="866" spans="1:29" x14ac:dyDescent="0.3">
      <c r="A866" s="18">
        <v>2479</v>
      </c>
      <c r="B866" s="16">
        <v>154108</v>
      </c>
      <c r="C866" s="16">
        <v>1</v>
      </c>
      <c r="D866" s="16">
        <v>1</v>
      </c>
      <c r="E866" s="16">
        <v>47</v>
      </c>
      <c r="F866" s="17" t="s">
        <v>6</v>
      </c>
      <c r="G866" s="17" t="s">
        <v>12</v>
      </c>
      <c r="H866" s="3" t="s">
        <v>667</v>
      </c>
      <c r="I866" s="5" t="s">
        <v>437</v>
      </c>
      <c r="J866" s="16">
        <f>_xlfn.XLOOKUP(CustomerCombinedCleaned[[#This Row],[ID]], Table4[ID], Table4[Recency], "Not Found", 0)</f>
        <v>74</v>
      </c>
      <c r="K866" s="16">
        <f>_xlfn.XLOOKUP(CustomerCombinedCleaned[[#This Row],[ID]], Table4[ID], Table4[Teas], "Not Found", 0)</f>
        <v>1535</v>
      </c>
      <c r="L866" s="16">
        <f>_xlfn.XLOOKUP(CustomerCombinedCleaned[[#This Row],[ID]], Table4[ID], Table4[Fruits], "Not Found", 0)</f>
        <v>17</v>
      </c>
      <c r="M866" s="16">
        <f>_xlfn.XLOOKUP(CustomerCombinedCleaned[[#This Row],[ID]], Table4[ID], Table4[Meats], "Not Found", 0)</f>
        <v>259</v>
      </c>
      <c r="N866" s="16">
        <f>_xlfn.XLOOKUP(CustomerCombinedCleaned[[#This Row],[ID]], Table4[ID], Table4[Seafood], "Not Found", 0)</f>
        <v>23</v>
      </c>
      <c r="O866" s="16">
        <f>_xlfn.XLOOKUP(CustomerCombinedCleaned[[#This Row],[ID]], Table4[ID], Table4[Sweets], "Not Found", 0)</f>
        <v>17</v>
      </c>
      <c r="P866" s="16">
        <f>_xlfn.XLOOKUP(CustomerCombinedCleaned[[#This Row],[ID]], Table4[ID], Table4[Premium], "Not Found", 0)</f>
        <v>276</v>
      </c>
      <c r="Q866" s="16">
        <f>_xlfn.XLOOKUP(CustomerCombinedCleaned[[#This Row],[ID]], Table4[ID], Table4[Regular], "Not Found", 0)</f>
        <v>1575</v>
      </c>
      <c r="R866" s="16">
        <f>_xlfn.XLOOKUP(CustomerCombinedCleaned[[#This Row],[ID]], Table4[ID], Table4[Deals], "Not Found", 0)</f>
        <v>13</v>
      </c>
      <c r="S866" s="16">
        <f>_xlfn.XLOOKUP(CustomerCombinedCleaned[[#This Row],[ID]], Table4[ID], Table4[Website], "Not Found", 0)</f>
        <v>8</v>
      </c>
      <c r="T866" s="16">
        <f>_xlfn.XLOOKUP(CustomerCombinedCleaned[[#This Row],[ID]], Table4[ID], Table4[Catalog], "Not Found", 0)</f>
        <v>2</v>
      </c>
      <c r="U866" s="16">
        <f>_xlfn.XLOOKUP(CustomerCombinedCleaned[[#This Row],[ID]], Table4[ID], Table4[Store], "Not Found", 0)</f>
        <v>9</v>
      </c>
      <c r="V866" s="16">
        <f>_xlfn.XLOOKUP(CustomerCombinedCleaned[[#This Row],[ID]], Table4[ID], Table4[Visits], "Not Found", 0)</f>
        <v>8</v>
      </c>
      <c r="W866" s="16">
        <f>_xlfn.XLOOKUP(CustomerCombinedCleaned[[#This Row],[ID]], Table2[ID],Table2[Complaint], "Not Found", 0 )</f>
        <v>0</v>
      </c>
      <c r="X866" s="16">
        <f>_xlfn.XLOOKUP(CustomerCombinedCleaned[[#This Row],[ID]], Table2[ID],Table2[Pilot], "Not Found", 0 )</f>
        <v>0</v>
      </c>
      <c r="Y866" s="16">
        <f>_xlfn.XLOOKUP(CustomerCombinedCleaned[[#This Row],[ID]], Table2[ID],Table2[MC1], "Not Found", 0 )</f>
        <v>0</v>
      </c>
      <c r="Z866" s="16">
        <f>_xlfn.XLOOKUP(CustomerCombinedCleaned[[#This Row],[ID]], Table2[ID],Table2[MC2], "Not Found", 0 )</f>
        <v>0</v>
      </c>
      <c r="AA866" s="16">
        <f>_xlfn.XLOOKUP(CustomerCombinedCleaned[[#This Row],[ID]], Table2[ID],Table2[MC3], "Not Found", 0 )</f>
        <v>0</v>
      </c>
      <c r="AB866" s="16">
        <f>_xlfn.XLOOKUP(CustomerCombinedCleaned[[#This Row],[ID]], Table2[ID],Table2[MC4], "Not Found", 0 )</f>
        <v>0</v>
      </c>
      <c r="AC866" s="16">
        <f>_xlfn.XLOOKUP(CustomerCombinedCleaned[[#This Row],[ID]], Table2[ID],Table2[MC5], "Not Found", 0 )</f>
        <v>0</v>
      </c>
    </row>
    <row r="867" spans="1:29" x14ac:dyDescent="0.3">
      <c r="A867" s="18">
        <v>1979</v>
      </c>
      <c r="B867" s="16">
        <v>152845</v>
      </c>
      <c r="C867" s="16">
        <v>1</v>
      </c>
      <c r="D867" s="16">
        <v>0</v>
      </c>
      <c r="E867" s="16">
        <v>47</v>
      </c>
      <c r="F867" s="17" t="s">
        <v>6</v>
      </c>
      <c r="G867" s="17" t="s">
        <v>11</v>
      </c>
      <c r="H867" s="3" t="s">
        <v>204</v>
      </c>
      <c r="I867" s="5" t="s">
        <v>434</v>
      </c>
      <c r="J867" s="16">
        <f>_xlfn.XLOOKUP(CustomerCombinedCleaned[[#This Row],[ID]], Table4[ID], Table4[Recency], "Not Found", 0)</f>
        <v>7</v>
      </c>
      <c r="K867" s="16">
        <f>_xlfn.XLOOKUP(CustomerCombinedCleaned[[#This Row],[ID]], Table4[ID], Table4[Teas], "Not Found", 0)</f>
        <v>1111</v>
      </c>
      <c r="L867" s="16">
        <f>_xlfn.XLOOKUP(CustomerCombinedCleaned[[#This Row],[ID]], Table4[ID], Table4[Fruits], "Not Found", 0)</f>
        <v>72</v>
      </c>
      <c r="M867" s="16">
        <f>_xlfn.XLOOKUP(CustomerCombinedCleaned[[#This Row],[ID]], Table4[ID], Table4[Meats], "Not Found", 0)</f>
        <v>845</v>
      </c>
      <c r="N867" s="16">
        <f>_xlfn.XLOOKUP(CustomerCombinedCleaned[[#This Row],[ID]], Table4[ID], Table4[Seafood], "Not Found", 0)</f>
        <v>376</v>
      </c>
      <c r="O867" s="16">
        <f>_xlfn.XLOOKUP(CustomerCombinedCleaned[[#This Row],[ID]], Table4[ID], Table4[Sweets], "Not Found", 0)</f>
        <v>119</v>
      </c>
      <c r="P867" s="16">
        <f>_xlfn.XLOOKUP(CustomerCombinedCleaned[[#This Row],[ID]], Table4[ID], Table4[Premium], "Not Found", 0)</f>
        <v>185</v>
      </c>
      <c r="Q867" s="16">
        <f>_xlfn.XLOOKUP(CustomerCombinedCleaned[[#This Row],[ID]], Table4[ID], Table4[Regular], "Not Found", 0)</f>
        <v>2337</v>
      </c>
      <c r="R867" s="16">
        <f>_xlfn.XLOOKUP(CustomerCombinedCleaned[[#This Row],[ID]], Table4[ID], Table4[Deals], "Not Found", 0)</f>
        <v>3</v>
      </c>
      <c r="S867" s="16">
        <f>_xlfn.XLOOKUP(CustomerCombinedCleaned[[#This Row],[ID]], Table4[ID], Table4[Website], "Not Found", 0)</f>
        <v>8</v>
      </c>
      <c r="T867" s="16">
        <f>_xlfn.XLOOKUP(CustomerCombinedCleaned[[#This Row],[ID]], Table4[ID], Table4[Catalog], "Not Found", 0)</f>
        <v>8</v>
      </c>
      <c r="U867" s="16">
        <f>_xlfn.XLOOKUP(CustomerCombinedCleaned[[#This Row],[ID]], Table4[ID], Table4[Store], "Not Found", 0)</f>
        <v>6</v>
      </c>
      <c r="V867" s="16">
        <f>_xlfn.XLOOKUP(CustomerCombinedCleaned[[#This Row],[ID]], Table4[ID], Table4[Visits], "Not Found", 0)</f>
        <v>6</v>
      </c>
      <c r="W867" s="16">
        <f>_xlfn.XLOOKUP(CustomerCombinedCleaned[[#This Row],[ID]], Table2[ID],Table2[Complaint], "Not Found", 0 )</f>
        <v>0</v>
      </c>
      <c r="X867" s="16">
        <f>_xlfn.XLOOKUP(CustomerCombinedCleaned[[#This Row],[ID]], Table2[ID],Table2[Pilot], "Not Found", 0 )</f>
        <v>0</v>
      </c>
      <c r="Y867" s="16">
        <f>_xlfn.XLOOKUP(CustomerCombinedCleaned[[#This Row],[ID]], Table2[ID],Table2[MC1], "Not Found", 0 )</f>
        <v>0</v>
      </c>
      <c r="Z867" s="16">
        <f>_xlfn.XLOOKUP(CustomerCombinedCleaned[[#This Row],[ID]], Table2[ID],Table2[MC2], "Not Found", 0 )</f>
        <v>0</v>
      </c>
      <c r="AA867" s="16">
        <f>_xlfn.XLOOKUP(CustomerCombinedCleaned[[#This Row],[ID]], Table2[ID],Table2[MC3], "Not Found", 0 )</f>
        <v>1</v>
      </c>
      <c r="AB867" s="16">
        <f>_xlfn.XLOOKUP(CustomerCombinedCleaned[[#This Row],[ID]], Table2[ID],Table2[MC4], "Not Found", 0 )</f>
        <v>0</v>
      </c>
      <c r="AC867" s="16">
        <f>_xlfn.XLOOKUP(CustomerCombinedCleaned[[#This Row],[ID]], Table2[ID],Table2[MC5], "Not Found", 0 )</f>
        <v>0</v>
      </c>
    </row>
    <row r="868" spans="1:29" x14ac:dyDescent="0.3">
      <c r="A868" s="18">
        <v>2103</v>
      </c>
      <c r="B868" s="16">
        <v>152034</v>
      </c>
      <c r="C868" s="16">
        <v>1</v>
      </c>
      <c r="D868" s="16">
        <v>1</v>
      </c>
      <c r="E868" s="16">
        <v>47</v>
      </c>
      <c r="F868" s="17" t="s">
        <v>5</v>
      </c>
      <c r="G868" s="17" t="s">
        <v>12</v>
      </c>
      <c r="H868" s="3" t="s">
        <v>254</v>
      </c>
      <c r="I868" s="5" t="s">
        <v>435</v>
      </c>
      <c r="J868" s="16">
        <f>_xlfn.XLOOKUP(CustomerCombinedCleaned[[#This Row],[ID]], Table4[ID], Table4[Recency], "Not Found", 0)</f>
        <v>67</v>
      </c>
      <c r="K868" s="16">
        <f>_xlfn.XLOOKUP(CustomerCombinedCleaned[[#This Row],[ID]], Table4[ID], Table4[Teas], "Not Found", 0)</f>
        <v>427</v>
      </c>
      <c r="L868" s="16">
        <f>_xlfn.XLOOKUP(CustomerCombinedCleaned[[#This Row],[ID]], Table4[ID], Table4[Fruits], "Not Found", 0)</f>
        <v>0</v>
      </c>
      <c r="M868" s="16">
        <f>_xlfn.XLOOKUP(CustomerCombinedCleaned[[#This Row],[ID]], Table4[ID], Table4[Meats], "Not Found", 0)</f>
        <v>272</v>
      </c>
      <c r="N868" s="16">
        <f>_xlfn.XLOOKUP(CustomerCombinedCleaned[[#This Row],[ID]], Table4[ID], Table4[Seafood], "Not Found", 0)</f>
        <v>20</v>
      </c>
      <c r="O868" s="16">
        <f>_xlfn.XLOOKUP(CustomerCombinedCleaned[[#This Row],[ID]], Table4[ID], Table4[Sweets], "Not Found", 0)</f>
        <v>38</v>
      </c>
      <c r="P868" s="16">
        <f>_xlfn.XLOOKUP(CustomerCombinedCleaned[[#This Row],[ID]], Table4[ID], Table4[Premium], "Not Found", 0)</f>
        <v>213</v>
      </c>
      <c r="Q868" s="16">
        <f>_xlfn.XLOOKUP(CustomerCombinedCleaned[[#This Row],[ID]], Table4[ID], Table4[Regular], "Not Found", 0)</f>
        <v>543</v>
      </c>
      <c r="R868" s="16">
        <f>_xlfn.XLOOKUP(CustomerCombinedCleaned[[#This Row],[ID]], Table4[ID], Table4[Deals], "Not Found", 0)</f>
        <v>5</v>
      </c>
      <c r="S868" s="16">
        <f>_xlfn.XLOOKUP(CustomerCombinedCleaned[[#This Row],[ID]], Table4[ID], Table4[Website], "Not Found", 0)</f>
        <v>4</v>
      </c>
      <c r="T868" s="16">
        <f>_xlfn.XLOOKUP(CustomerCombinedCleaned[[#This Row],[ID]], Table4[ID], Table4[Catalog], "Not Found", 0)</f>
        <v>2</v>
      </c>
      <c r="U868" s="16">
        <f>_xlfn.XLOOKUP(CustomerCombinedCleaned[[#This Row],[ID]], Table4[ID], Table4[Store], "Not Found", 0)</f>
        <v>5</v>
      </c>
      <c r="V868" s="16">
        <f>_xlfn.XLOOKUP(CustomerCombinedCleaned[[#This Row],[ID]], Table4[ID], Table4[Visits], "Not Found", 0)</f>
        <v>7</v>
      </c>
      <c r="W868" s="16">
        <f>_xlfn.XLOOKUP(CustomerCombinedCleaned[[#This Row],[ID]], Table2[ID],Table2[Complaint], "Not Found", 0 )</f>
        <v>0</v>
      </c>
      <c r="X868" s="16">
        <f>_xlfn.XLOOKUP(CustomerCombinedCleaned[[#This Row],[ID]], Table2[ID],Table2[Pilot], "Not Found", 0 )</f>
        <v>0</v>
      </c>
      <c r="Y868" s="16">
        <f>_xlfn.XLOOKUP(CustomerCombinedCleaned[[#This Row],[ID]], Table2[ID],Table2[MC1], "Not Found", 0 )</f>
        <v>0</v>
      </c>
      <c r="Z868" s="16">
        <f>_xlfn.XLOOKUP(CustomerCombinedCleaned[[#This Row],[ID]], Table2[ID],Table2[MC2], "Not Found", 0 )</f>
        <v>0</v>
      </c>
      <c r="AA868" s="16">
        <f>_xlfn.XLOOKUP(CustomerCombinedCleaned[[#This Row],[ID]], Table2[ID],Table2[MC3], "Not Found", 0 )</f>
        <v>0</v>
      </c>
      <c r="AB868" s="16">
        <f>_xlfn.XLOOKUP(CustomerCombinedCleaned[[#This Row],[ID]], Table2[ID],Table2[MC4], "Not Found", 0 )</f>
        <v>0</v>
      </c>
      <c r="AC868" s="16">
        <f>_xlfn.XLOOKUP(CustomerCombinedCleaned[[#This Row],[ID]], Table2[ID],Table2[MC5], "Not Found", 0 )</f>
        <v>0</v>
      </c>
    </row>
    <row r="869" spans="1:29" x14ac:dyDescent="0.3">
      <c r="A869" s="18">
        <v>1182</v>
      </c>
      <c r="B869" s="16">
        <v>151148</v>
      </c>
      <c r="C869" s="16">
        <v>1</v>
      </c>
      <c r="D869" s="16">
        <v>1</v>
      </c>
      <c r="E869" s="16">
        <v>47</v>
      </c>
      <c r="F869" s="17" t="s">
        <v>6</v>
      </c>
      <c r="G869" s="17" t="s">
        <v>11</v>
      </c>
      <c r="H869" s="3" t="s">
        <v>305</v>
      </c>
      <c r="I869" s="5" t="s">
        <v>436</v>
      </c>
      <c r="J869" s="16">
        <f>_xlfn.XLOOKUP(CustomerCombinedCleaned[[#This Row],[ID]], Table4[ID], Table4[Recency], "Not Found", 0)</f>
        <v>38</v>
      </c>
      <c r="K869" s="16">
        <f>_xlfn.XLOOKUP(CustomerCombinedCleaned[[#This Row],[ID]], Table4[ID], Table4[Teas], "Not Found", 0)</f>
        <v>694</v>
      </c>
      <c r="L869" s="16">
        <f>_xlfn.XLOOKUP(CustomerCombinedCleaned[[#This Row],[ID]], Table4[ID], Table4[Fruits], "Not Found", 0)</f>
        <v>18</v>
      </c>
      <c r="M869" s="16">
        <f>_xlfn.XLOOKUP(CustomerCombinedCleaned[[#This Row],[ID]], Table4[ID], Table4[Meats], "Not Found", 0)</f>
        <v>133</v>
      </c>
      <c r="N869" s="16">
        <f>_xlfn.XLOOKUP(CustomerCombinedCleaned[[#This Row],[ID]], Table4[ID], Table4[Seafood], "Not Found", 0)</f>
        <v>24</v>
      </c>
      <c r="O869" s="16">
        <f>_xlfn.XLOOKUP(CustomerCombinedCleaned[[#This Row],[ID]], Table4[ID], Table4[Sweets], "Not Found", 0)</f>
        <v>27</v>
      </c>
      <c r="P869" s="16">
        <f>_xlfn.XLOOKUP(CustomerCombinedCleaned[[#This Row],[ID]], Table4[ID], Table4[Premium], "Not Found", 0)</f>
        <v>35</v>
      </c>
      <c r="Q869" s="16">
        <f>_xlfn.XLOOKUP(CustomerCombinedCleaned[[#This Row],[ID]], Table4[ID], Table4[Regular], "Not Found", 0)</f>
        <v>860</v>
      </c>
      <c r="R869" s="16">
        <f>_xlfn.XLOOKUP(CustomerCombinedCleaned[[#This Row],[ID]], Table4[ID], Table4[Deals], "Not Found", 0)</f>
        <v>4</v>
      </c>
      <c r="S869" s="16">
        <f>_xlfn.XLOOKUP(CustomerCombinedCleaned[[#This Row],[ID]], Table4[ID], Table4[Website], "Not Found", 0)</f>
        <v>5</v>
      </c>
      <c r="T869" s="16">
        <f>_xlfn.XLOOKUP(CustomerCombinedCleaned[[#This Row],[ID]], Table4[ID], Table4[Catalog], "Not Found", 0)</f>
        <v>1</v>
      </c>
      <c r="U869" s="16">
        <f>_xlfn.XLOOKUP(CustomerCombinedCleaned[[#This Row],[ID]], Table4[ID], Table4[Store], "Not Found", 0)</f>
        <v>6</v>
      </c>
      <c r="V869" s="16">
        <f>_xlfn.XLOOKUP(CustomerCombinedCleaned[[#This Row],[ID]], Table4[ID], Table4[Visits], "Not Found", 0)</f>
        <v>6</v>
      </c>
      <c r="W869" s="16">
        <f>_xlfn.XLOOKUP(CustomerCombinedCleaned[[#This Row],[ID]], Table2[ID],Table2[Complaint], "Not Found", 0 )</f>
        <v>0</v>
      </c>
      <c r="X869" s="16">
        <f>_xlfn.XLOOKUP(CustomerCombinedCleaned[[#This Row],[ID]], Table2[ID],Table2[Pilot], "Not Found", 0 )</f>
        <v>0</v>
      </c>
      <c r="Y869" s="16">
        <f>_xlfn.XLOOKUP(CustomerCombinedCleaned[[#This Row],[ID]], Table2[ID],Table2[MC1], "Not Found", 0 )</f>
        <v>0</v>
      </c>
      <c r="Z869" s="16">
        <f>_xlfn.XLOOKUP(CustomerCombinedCleaned[[#This Row],[ID]], Table2[ID],Table2[MC2], "Not Found", 0 )</f>
        <v>0</v>
      </c>
      <c r="AA869" s="16">
        <f>_xlfn.XLOOKUP(CustomerCombinedCleaned[[#This Row],[ID]], Table2[ID],Table2[MC3], "Not Found", 0 )</f>
        <v>0</v>
      </c>
      <c r="AB869" s="16">
        <f>_xlfn.XLOOKUP(CustomerCombinedCleaned[[#This Row],[ID]], Table2[ID],Table2[MC4], "Not Found", 0 )</f>
        <v>0</v>
      </c>
      <c r="AC869" s="16">
        <f>_xlfn.XLOOKUP(CustomerCombinedCleaned[[#This Row],[ID]], Table2[ID],Table2[MC5], "Not Found", 0 )</f>
        <v>0</v>
      </c>
    </row>
    <row r="870" spans="1:29" x14ac:dyDescent="0.3">
      <c r="A870" s="18">
        <v>2761</v>
      </c>
      <c r="B870" s="16">
        <v>149094</v>
      </c>
      <c r="C870" s="16">
        <v>0</v>
      </c>
      <c r="D870" s="16">
        <v>1</v>
      </c>
      <c r="E870" s="16">
        <v>47</v>
      </c>
      <c r="F870" s="17" t="s">
        <v>6</v>
      </c>
      <c r="G870" s="17" t="s">
        <v>11</v>
      </c>
      <c r="H870" s="3" t="s">
        <v>390</v>
      </c>
      <c r="I870" s="5" t="s">
        <v>437</v>
      </c>
      <c r="J870" s="16">
        <f>_xlfn.XLOOKUP(CustomerCombinedCleaned[[#This Row],[ID]], Table4[ID], Table4[Recency], "Not Found", 0)</f>
        <v>6</v>
      </c>
      <c r="K870" s="16">
        <f>_xlfn.XLOOKUP(CustomerCombinedCleaned[[#This Row],[ID]], Table4[ID], Table4[Teas], "Not Found", 0)</f>
        <v>1142</v>
      </c>
      <c r="L870" s="16">
        <f>_xlfn.XLOOKUP(CustomerCombinedCleaned[[#This Row],[ID]], Table4[ID], Table4[Fruits], "Not Found", 0)</f>
        <v>0</v>
      </c>
      <c r="M870" s="16">
        <f>_xlfn.XLOOKUP(CustomerCombinedCleaned[[#This Row],[ID]], Table4[ID], Table4[Meats], "Not Found", 0)</f>
        <v>115</v>
      </c>
      <c r="N870" s="16">
        <f>_xlfn.XLOOKUP(CustomerCombinedCleaned[[#This Row],[ID]], Table4[ID], Table4[Seafood], "Not Found", 0)</f>
        <v>33</v>
      </c>
      <c r="O870" s="16">
        <f>_xlfn.XLOOKUP(CustomerCombinedCleaned[[#This Row],[ID]], Table4[ID], Table4[Sweets], "Not Found", 0)</f>
        <v>24</v>
      </c>
      <c r="P870" s="16">
        <f>_xlfn.XLOOKUP(CustomerCombinedCleaned[[#This Row],[ID]], Table4[ID], Table4[Premium], "Not Found", 0)</f>
        <v>210</v>
      </c>
      <c r="Q870" s="16">
        <f>_xlfn.XLOOKUP(CustomerCombinedCleaned[[#This Row],[ID]], Table4[ID], Table4[Regular], "Not Found", 0)</f>
        <v>1105</v>
      </c>
      <c r="R870" s="16">
        <f>_xlfn.XLOOKUP(CustomerCombinedCleaned[[#This Row],[ID]], Table4[ID], Table4[Deals], "Not Found", 0)</f>
        <v>5</v>
      </c>
      <c r="S870" s="16">
        <f>_xlfn.XLOOKUP(CustomerCombinedCleaned[[#This Row],[ID]], Table4[ID], Table4[Website], "Not Found", 0)</f>
        <v>6</v>
      </c>
      <c r="T870" s="16">
        <f>_xlfn.XLOOKUP(CustomerCombinedCleaned[[#This Row],[ID]], Table4[ID], Table4[Catalog], "Not Found", 0)</f>
        <v>3</v>
      </c>
      <c r="U870" s="16">
        <f>_xlfn.XLOOKUP(CustomerCombinedCleaned[[#This Row],[ID]], Table4[ID], Table4[Store], "Not Found", 0)</f>
        <v>6</v>
      </c>
      <c r="V870" s="16">
        <f>_xlfn.XLOOKUP(CustomerCombinedCleaned[[#This Row],[ID]], Table4[ID], Table4[Visits], "Not Found", 0)</f>
        <v>6</v>
      </c>
      <c r="W870" s="16">
        <f>_xlfn.XLOOKUP(CustomerCombinedCleaned[[#This Row],[ID]], Table2[ID],Table2[Complaint], "Not Found", 0 )</f>
        <v>0</v>
      </c>
      <c r="X870" s="16">
        <f>_xlfn.XLOOKUP(CustomerCombinedCleaned[[#This Row],[ID]], Table2[ID],Table2[Pilot], "Not Found", 0 )</f>
        <v>0</v>
      </c>
      <c r="Y870" s="16">
        <f>_xlfn.XLOOKUP(CustomerCombinedCleaned[[#This Row],[ID]], Table2[ID],Table2[MC1], "Not Found", 0 )</f>
        <v>0</v>
      </c>
      <c r="Z870" s="16">
        <f>_xlfn.XLOOKUP(CustomerCombinedCleaned[[#This Row],[ID]], Table2[ID],Table2[MC2], "Not Found", 0 )</f>
        <v>0</v>
      </c>
      <c r="AA870" s="16">
        <f>_xlfn.XLOOKUP(CustomerCombinedCleaned[[#This Row],[ID]], Table2[ID],Table2[MC3], "Not Found", 0 )</f>
        <v>0</v>
      </c>
      <c r="AB870" s="16">
        <f>_xlfn.XLOOKUP(CustomerCombinedCleaned[[#This Row],[ID]], Table2[ID],Table2[MC4], "Not Found", 0 )</f>
        <v>0</v>
      </c>
      <c r="AC870" s="16">
        <f>_xlfn.XLOOKUP(CustomerCombinedCleaned[[#This Row],[ID]], Table2[ID],Table2[MC5], "Not Found", 0 )</f>
        <v>0</v>
      </c>
    </row>
    <row r="871" spans="1:29" x14ac:dyDescent="0.3">
      <c r="A871" s="18">
        <v>2571</v>
      </c>
      <c r="B871" s="16">
        <v>148432</v>
      </c>
      <c r="C871" s="16">
        <v>0</v>
      </c>
      <c r="D871" s="16">
        <v>1</v>
      </c>
      <c r="E871" s="16">
        <v>47</v>
      </c>
      <c r="F871" s="17" t="s">
        <v>7</v>
      </c>
      <c r="G871" s="17" t="s">
        <v>13</v>
      </c>
      <c r="H871" s="3" t="s">
        <v>376</v>
      </c>
      <c r="I871" s="5" t="s">
        <v>435</v>
      </c>
      <c r="J871" s="16">
        <f>_xlfn.XLOOKUP(CustomerCombinedCleaned[[#This Row],[ID]], Table4[ID], Table4[Recency], "Not Found", 0)</f>
        <v>3</v>
      </c>
      <c r="K871" s="16">
        <f>_xlfn.XLOOKUP(CustomerCombinedCleaned[[#This Row],[ID]], Table4[ID], Table4[Teas], "Not Found", 0)</f>
        <v>987</v>
      </c>
      <c r="L871" s="16">
        <f>_xlfn.XLOOKUP(CustomerCombinedCleaned[[#This Row],[ID]], Table4[ID], Table4[Fruits], "Not Found", 0)</f>
        <v>9</v>
      </c>
      <c r="M871" s="16">
        <f>_xlfn.XLOOKUP(CustomerCombinedCleaned[[#This Row],[ID]], Table4[ID], Table4[Meats], "Not Found", 0)</f>
        <v>153</v>
      </c>
      <c r="N871" s="16">
        <f>_xlfn.XLOOKUP(CustomerCombinedCleaned[[#This Row],[ID]], Table4[ID], Table4[Seafood], "Not Found", 0)</f>
        <v>12</v>
      </c>
      <c r="O871" s="16">
        <f>_xlfn.XLOOKUP(CustomerCombinedCleaned[[#This Row],[ID]], Table4[ID], Table4[Sweets], "Not Found", 0)</f>
        <v>9</v>
      </c>
      <c r="P871" s="16">
        <f>_xlfn.XLOOKUP(CustomerCombinedCleaned[[#This Row],[ID]], Table4[ID], Table4[Premium], "Not Found", 0)</f>
        <v>129</v>
      </c>
      <c r="Q871" s="16">
        <f>_xlfn.XLOOKUP(CustomerCombinedCleaned[[#This Row],[ID]], Table4[ID], Table4[Regular], "Not Found", 0)</f>
        <v>1042</v>
      </c>
      <c r="R871" s="16">
        <f>_xlfn.XLOOKUP(CustomerCombinedCleaned[[#This Row],[ID]], Table4[ID], Table4[Deals], "Not Found", 0)</f>
        <v>5</v>
      </c>
      <c r="S871" s="16">
        <f>_xlfn.XLOOKUP(CustomerCombinedCleaned[[#This Row],[ID]], Table4[ID], Table4[Website], "Not Found", 0)</f>
        <v>7</v>
      </c>
      <c r="T871" s="16">
        <f>_xlfn.XLOOKUP(CustomerCombinedCleaned[[#This Row],[ID]], Table4[ID], Table4[Catalog], "Not Found", 0)</f>
        <v>1</v>
      </c>
      <c r="U871" s="16">
        <f>_xlfn.XLOOKUP(CustomerCombinedCleaned[[#This Row],[ID]], Table4[ID], Table4[Store], "Not Found", 0)</f>
        <v>6</v>
      </c>
      <c r="V871" s="16">
        <f>_xlfn.XLOOKUP(CustomerCombinedCleaned[[#This Row],[ID]], Table4[ID], Table4[Visits], "Not Found", 0)</f>
        <v>8</v>
      </c>
      <c r="W871" s="16">
        <f>_xlfn.XLOOKUP(CustomerCombinedCleaned[[#This Row],[ID]], Table2[ID],Table2[Complaint], "Not Found", 0 )</f>
        <v>0</v>
      </c>
      <c r="X871" s="16">
        <f>_xlfn.XLOOKUP(CustomerCombinedCleaned[[#This Row],[ID]], Table2[ID],Table2[Pilot], "Not Found", 0 )</f>
        <v>1</v>
      </c>
      <c r="Y871" s="16">
        <f>_xlfn.XLOOKUP(CustomerCombinedCleaned[[#This Row],[ID]], Table2[ID],Table2[MC1], "Not Found", 0 )</f>
        <v>0</v>
      </c>
      <c r="Z871" s="16">
        <f>_xlfn.XLOOKUP(CustomerCombinedCleaned[[#This Row],[ID]], Table2[ID],Table2[MC2], "Not Found", 0 )</f>
        <v>0</v>
      </c>
      <c r="AA871" s="16">
        <f>_xlfn.XLOOKUP(CustomerCombinedCleaned[[#This Row],[ID]], Table2[ID],Table2[MC3], "Not Found", 0 )</f>
        <v>0</v>
      </c>
      <c r="AB871" s="16">
        <f>_xlfn.XLOOKUP(CustomerCombinedCleaned[[#This Row],[ID]], Table2[ID],Table2[MC4], "Not Found", 0 )</f>
        <v>0</v>
      </c>
      <c r="AC871" s="16">
        <f>_xlfn.XLOOKUP(CustomerCombinedCleaned[[#This Row],[ID]], Table2[ID],Table2[MC5], "Not Found", 0 )</f>
        <v>0</v>
      </c>
    </row>
    <row r="872" spans="1:29" x14ac:dyDescent="0.3">
      <c r="A872" s="18">
        <v>3145</v>
      </c>
      <c r="B872" s="16">
        <v>148432</v>
      </c>
      <c r="C872" s="16">
        <v>0</v>
      </c>
      <c r="D872" s="16">
        <v>1</v>
      </c>
      <c r="E872" s="16">
        <v>47</v>
      </c>
      <c r="F872" s="17" t="s">
        <v>7</v>
      </c>
      <c r="G872" s="17" t="s">
        <v>13</v>
      </c>
      <c r="H872" s="3" t="s">
        <v>376</v>
      </c>
      <c r="I872" s="5" t="s">
        <v>437</v>
      </c>
      <c r="J872" s="16">
        <f>_xlfn.XLOOKUP(CustomerCombinedCleaned[[#This Row],[ID]], Table4[ID], Table4[Recency], "Not Found", 0)</f>
        <v>3</v>
      </c>
      <c r="K872" s="16">
        <f>_xlfn.XLOOKUP(CustomerCombinedCleaned[[#This Row],[ID]], Table4[ID], Table4[Teas], "Not Found", 0)</f>
        <v>987</v>
      </c>
      <c r="L872" s="16">
        <f>_xlfn.XLOOKUP(CustomerCombinedCleaned[[#This Row],[ID]], Table4[ID], Table4[Fruits], "Not Found", 0)</f>
        <v>9</v>
      </c>
      <c r="M872" s="16">
        <f>_xlfn.XLOOKUP(CustomerCombinedCleaned[[#This Row],[ID]], Table4[ID], Table4[Meats], "Not Found", 0)</f>
        <v>153</v>
      </c>
      <c r="N872" s="16">
        <f>_xlfn.XLOOKUP(CustomerCombinedCleaned[[#This Row],[ID]], Table4[ID], Table4[Seafood], "Not Found", 0)</f>
        <v>12</v>
      </c>
      <c r="O872" s="16">
        <f>_xlfn.XLOOKUP(CustomerCombinedCleaned[[#This Row],[ID]], Table4[ID], Table4[Sweets], "Not Found", 0)</f>
        <v>9</v>
      </c>
      <c r="P872" s="16">
        <f>_xlfn.XLOOKUP(CustomerCombinedCleaned[[#This Row],[ID]], Table4[ID], Table4[Premium], "Not Found", 0)</f>
        <v>129</v>
      </c>
      <c r="Q872" s="16">
        <f>_xlfn.XLOOKUP(CustomerCombinedCleaned[[#This Row],[ID]], Table4[ID], Table4[Regular], "Not Found", 0)</f>
        <v>1042</v>
      </c>
      <c r="R872" s="16">
        <f>_xlfn.XLOOKUP(CustomerCombinedCleaned[[#This Row],[ID]], Table4[ID], Table4[Deals], "Not Found", 0)</f>
        <v>5</v>
      </c>
      <c r="S872" s="16">
        <f>_xlfn.XLOOKUP(CustomerCombinedCleaned[[#This Row],[ID]], Table4[ID], Table4[Website], "Not Found", 0)</f>
        <v>7</v>
      </c>
      <c r="T872" s="16">
        <f>_xlfn.XLOOKUP(CustomerCombinedCleaned[[#This Row],[ID]], Table4[ID], Table4[Catalog], "Not Found", 0)</f>
        <v>1</v>
      </c>
      <c r="U872" s="16">
        <f>_xlfn.XLOOKUP(CustomerCombinedCleaned[[#This Row],[ID]], Table4[ID], Table4[Store], "Not Found", 0)</f>
        <v>6</v>
      </c>
      <c r="V872" s="16">
        <f>_xlfn.XLOOKUP(CustomerCombinedCleaned[[#This Row],[ID]], Table4[ID], Table4[Visits], "Not Found", 0)</f>
        <v>8</v>
      </c>
      <c r="W872" s="16">
        <f>_xlfn.XLOOKUP(CustomerCombinedCleaned[[#This Row],[ID]], Table2[ID],Table2[Complaint], "Not Found", 0 )</f>
        <v>0</v>
      </c>
      <c r="X872" s="16">
        <f>_xlfn.XLOOKUP(CustomerCombinedCleaned[[#This Row],[ID]], Table2[ID],Table2[Pilot], "Not Found", 0 )</f>
        <v>0</v>
      </c>
      <c r="Y872" s="16">
        <f>_xlfn.XLOOKUP(CustomerCombinedCleaned[[#This Row],[ID]], Table2[ID],Table2[MC1], "Not Found", 0 )</f>
        <v>0</v>
      </c>
      <c r="Z872" s="16">
        <f>_xlfn.XLOOKUP(CustomerCombinedCleaned[[#This Row],[ID]], Table2[ID],Table2[MC2], "Not Found", 0 )</f>
        <v>0</v>
      </c>
      <c r="AA872" s="16">
        <f>_xlfn.XLOOKUP(CustomerCombinedCleaned[[#This Row],[ID]], Table2[ID],Table2[MC3], "Not Found", 0 )</f>
        <v>0</v>
      </c>
      <c r="AB872" s="16">
        <f>_xlfn.XLOOKUP(CustomerCombinedCleaned[[#This Row],[ID]], Table2[ID],Table2[MC4], "Not Found", 0 )</f>
        <v>0</v>
      </c>
      <c r="AC872" s="16">
        <f>_xlfn.XLOOKUP(CustomerCombinedCleaned[[#This Row],[ID]], Table2[ID],Table2[MC5], "Not Found", 0 )</f>
        <v>0</v>
      </c>
    </row>
    <row r="873" spans="1:29" x14ac:dyDescent="0.3">
      <c r="A873" s="18">
        <v>3170</v>
      </c>
      <c r="B873" s="16">
        <v>148432</v>
      </c>
      <c r="C873" s="16">
        <v>0</v>
      </c>
      <c r="D873" s="16">
        <v>1</v>
      </c>
      <c r="E873" s="16">
        <v>47</v>
      </c>
      <c r="F873" s="17" t="s">
        <v>7</v>
      </c>
      <c r="G873" s="17" t="s">
        <v>13</v>
      </c>
      <c r="H873" s="3" t="s">
        <v>376</v>
      </c>
      <c r="I873" s="5" t="s">
        <v>438</v>
      </c>
      <c r="J873" s="16">
        <f>_xlfn.XLOOKUP(CustomerCombinedCleaned[[#This Row],[ID]], Table4[ID], Table4[Recency], "Not Found", 0)</f>
        <v>3</v>
      </c>
      <c r="K873" s="16">
        <f>_xlfn.XLOOKUP(CustomerCombinedCleaned[[#This Row],[ID]], Table4[ID], Table4[Teas], "Not Found", 0)</f>
        <v>987</v>
      </c>
      <c r="L873" s="16">
        <f>_xlfn.XLOOKUP(CustomerCombinedCleaned[[#This Row],[ID]], Table4[ID], Table4[Fruits], "Not Found", 0)</f>
        <v>9</v>
      </c>
      <c r="M873" s="16">
        <f>_xlfn.XLOOKUP(CustomerCombinedCleaned[[#This Row],[ID]], Table4[ID], Table4[Meats], "Not Found", 0)</f>
        <v>153</v>
      </c>
      <c r="N873" s="16">
        <f>_xlfn.XLOOKUP(CustomerCombinedCleaned[[#This Row],[ID]], Table4[ID], Table4[Seafood], "Not Found", 0)</f>
        <v>12</v>
      </c>
      <c r="O873" s="16">
        <f>_xlfn.XLOOKUP(CustomerCombinedCleaned[[#This Row],[ID]], Table4[ID], Table4[Sweets], "Not Found", 0)</f>
        <v>9</v>
      </c>
      <c r="P873" s="16">
        <f>_xlfn.XLOOKUP(CustomerCombinedCleaned[[#This Row],[ID]], Table4[ID], Table4[Premium], "Not Found", 0)</f>
        <v>129</v>
      </c>
      <c r="Q873" s="16">
        <f>_xlfn.XLOOKUP(CustomerCombinedCleaned[[#This Row],[ID]], Table4[ID], Table4[Regular], "Not Found", 0)</f>
        <v>1042</v>
      </c>
      <c r="R873" s="16">
        <f>_xlfn.XLOOKUP(CustomerCombinedCleaned[[#This Row],[ID]], Table4[ID], Table4[Deals], "Not Found", 0)</f>
        <v>5</v>
      </c>
      <c r="S873" s="16">
        <f>_xlfn.XLOOKUP(CustomerCombinedCleaned[[#This Row],[ID]], Table4[ID], Table4[Website], "Not Found", 0)</f>
        <v>7</v>
      </c>
      <c r="T873" s="16">
        <f>_xlfn.XLOOKUP(CustomerCombinedCleaned[[#This Row],[ID]], Table4[ID], Table4[Catalog], "Not Found", 0)</f>
        <v>1</v>
      </c>
      <c r="U873" s="16">
        <f>_xlfn.XLOOKUP(CustomerCombinedCleaned[[#This Row],[ID]], Table4[ID], Table4[Store], "Not Found", 0)</f>
        <v>6</v>
      </c>
      <c r="V873" s="16">
        <f>_xlfn.XLOOKUP(CustomerCombinedCleaned[[#This Row],[ID]], Table4[ID], Table4[Visits], "Not Found", 0)</f>
        <v>8</v>
      </c>
      <c r="W873" s="16">
        <f>_xlfn.XLOOKUP(CustomerCombinedCleaned[[#This Row],[ID]], Table2[ID],Table2[Complaint], "Not Found", 0 )</f>
        <v>0</v>
      </c>
      <c r="X873" s="16">
        <f>_xlfn.XLOOKUP(CustomerCombinedCleaned[[#This Row],[ID]], Table2[ID],Table2[Pilot], "Not Found", 0 )</f>
        <v>1</v>
      </c>
      <c r="Y873" s="16">
        <f>_xlfn.XLOOKUP(CustomerCombinedCleaned[[#This Row],[ID]], Table2[ID],Table2[MC1], "Not Found", 0 )</f>
        <v>0</v>
      </c>
      <c r="Z873" s="16">
        <f>_xlfn.XLOOKUP(CustomerCombinedCleaned[[#This Row],[ID]], Table2[ID],Table2[MC2], "Not Found", 0 )</f>
        <v>0</v>
      </c>
      <c r="AA873" s="16">
        <f>_xlfn.XLOOKUP(CustomerCombinedCleaned[[#This Row],[ID]], Table2[ID],Table2[MC3], "Not Found", 0 )</f>
        <v>0</v>
      </c>
      <c r="AB873" s="16">
        <f>_xlfn.XLOOKUP(CustomerCombinedCleaned[[#This Row],[ID]], Table2[ID],Table2[MC4], "Not Found", 0 )</f>
        <v>0</v>
      </c>
      <c r="AC873" s="16">
        <f>_xlfn.XLOOKUP(CustomerCombinedCleaned[[#This Row],[ID]], Table2[ID],Table2[MC5], "Not Found", 0 )</f>
        <v>0</v>
      </c>
    </row>
    <row r="874" spans="1:29" x14ac:dyDescent="0.3">
      <c r="A874" s="18">
        <v>1187</v>
      </c>
      <c r="B874" s="16">
        <v>146854</v>
      </c>
      <c r="C874" s="16">
        <v>1</v>
      </c>
      <c r="D874" s="16">
        <v>1</v>
      </c>
      <c r="E874" s="16">
        <v>47</v>
      </c>
      <c r="F874" s="17" t="s">
        <v>7</v>
      </c>
      <c r="G874" s="17" t="s">
        <v>13</v>
      </c>
      <c r="H874" s="3" t="s">
        <v>548</v>
      </c>
      <c r="I874" s="5" t="s">
        <v>434</v>
      </c>
      <c r="J874" s="16">
        <f>_xlfn.XLOOKUP(CustomerCombinedCleaned[[#This Row],[ID]], Table4[ID], Table4[Recency], "Not Found", 0)</f>
        <v>81</v>
      </c>
      <c r="K874" s="16">
        <f>_xlfn.XLOOKUP(CustomerCombinedCleaned[[#This Row],[ID]], Table4[ID], Table4[Teas], "Not Found", 0)</f>
        <v>301</v>
      </c>
      <c r="L874" s="16">
        <f>_xlfn.XLOOKUP(CustomerCombinedCleaned[[#This Row],[ID]], Table4[ID], Table4[Fruits], "Not Found", 0)</f>
        <v>3</v>
      </c>
      <c r="M874" s="16">
        <f>_xlfn.XLOOKUP(CustomerCombinedCleaned[[#This Row],[ID]], Table4[ID], Table4[Meats], "Not Found", 0)</f>
        <v>248</v>
      </c>
      <c r="N874" s="16">
        <f>_xlfn.XLOOKUP(CustomerCombinedCleaned[[#This Row],[ID]], Table4[ID], Table4[Seafood], "Not Found", 0)</f>
        <v>22</v>
      </c>
      <c r="O874" s="16">
        <f>_xlfn.XLOOKUP(CustomerCombinedCleaned[[#This Row],[ID]], Table4[ID], Table4[Sweets], "Not Found", 0)</f>
        <v>3</v>
      </c>
      <c r="P874" s="16">
        <f>_xlfn.XLOOKUP(CustomerCombinedCleaned[[#This Row],[ID]], Table4[ID], Table4[Premium], "Not Found", 0)</f>
        <v>248</v>
      </c>
      <c r="Q874" s="16">
        <f>_xlfn.XLOOKUP(CustomerCombinedCleaned[[#This Row],[ID]], Table4[ID], Table4[Regular], "Not Found", 0)</f>
        <v>329</v>
      </c>
      <c r="R874" s="16">
        <f>_xlfn.XLOOKUP(CustomerCombinedCleaned[[#This Row],[ID]], Table4[ID], Table4[Deals], "Not Found", 0)</f>
        <v>6</v>
      </c>
      <c r="S874" s="16">
        <f>_xlfn.XLOOKUP(CustomerCombinedCleaned[[#This Row],[ID]], Table4[ID], Table4[Website], "Not Found", 0)</f>
        <v>5</v>
      </c>
      <c r="T874" s="16">
        <f>_xlfn.XLOOKUP(CustomerCombinedCleaned[[#This Row],[ID]], Table4[ID], Table4[Catalog], "Not Found", 0)</f>
        <v>1</v>
      </c>
      <c r="U874" s="16">
        <f>_xlfn.XLOOKUP(CustomerCombinedCleaned[[#This Row],[ID]], Table4[ID], Table4[Store], "Not Found", 0)</f>
        <v>3</v>
      </c>
      <c r="V874" s="16">
        <f>_xlfn.XLOOKUP(CustomerCombinedCleaned[[#This Row],[ID]], Table4[ID], Table4[Visits], "Not Found", 0)</f>
        <v>8</v>
      </c>
      <c r="W874" s="16">
        <f>_xlfn.XLOOKUP(CustomerCombinedCleaned[[#This Row],[ID]], Table2[ID],Table2[Complaint], "Not Found", 0 )</f>
        <v>0</v>
      </c>
      <c r="X874" s="16">
        <f>_xlfn.XLOOKUP(CustomerCombinedCleaned[[#This Row],[ID]], Table2[ID],Table2[Pilot], "Not Found", 0 )</f>
        <v>1</v>
      </c>
      <c r="Y874" s="16">
        <f>_xlfn.XLOOKUP(CustomerCombinedCleaned[[#This Row],[ID]], Table2[ID],Table2[MC1], "Not Found", 0 )</f>
        <v>0</v>
      </c>
      <c r="Z874" s="16">
        <f>_xlfn.XLOOKUP(CustomerCombinedCleaned[[#This Row],[ID]], Table2[ID],Table2[MC2], "Not Found", 0 )</f>
        <v>0</v>
      </c>
      <c r="AA874" s="16">
        <f>_xlfn.XLOOKUP(CustomerCombinedCleaned[[#This Row],[ID]], Table2[ID],Table2[MC3], "Not Found", 0 )</f>
        <v>1</v>
      </c>
      <c r="AB874" s="16">
        <f>_xlfn.XLOOKUP(CustomerCombinedCleaned[[#This Row],[ID]], Table2[ID],Table2[MC4], "Not Found", 0 )</f>
        <v>0</v>
      </c>
      <c r="AC874" s="16">
        <f>_xlfn.XLOOKUP(CustomerCombinedCleaned[[#This Row],[ID]], Table2[ID],Table2[MC5], "Not Found", 0 )</f>
        <v>0</v>
      </c>
    </row>
    <row r="875" spans="1:29" x14ac:dyDescent="0.3">
      <c r="A875" s="18">
        <v>2297</v>
      </c>
      <c r="B875" s="16">
        <v>146094</v>
      </c>
      <c r="C875" s="16">
        <v>1</v>
      </c>
      <c r="D875" s="16">
        <v>1</v>
      </c>
      <c r="E875" s="16">
        <v>47</v>
      </c>
      <c r="F875" s="17" t="s">
        <v>6</v>
      </c>
      <c r="G875" s="17" t="s">
        <v>11</v>
      </c>
      <c r="H875" s="3" t="s">
        <v>39</v>
      </c>
      <c r="I875" s="5" t="s">
        <v>434</v>
      </c>
      <c r="J875" s="16">
        <f>_xlfn.XLOOKUP(CustomerCombinedCleaned[[#This Row],[ID]], Table4[ID], Table4[Recency], "Not Found", 0)</f>
        <v>62</v>
      </c>
      <c r="K875" s="16">
        <f>_xlfn.XLOOKUP(CustomerCombinedCleaned[[#This Row],[ID]], Table4[ID], Table4[Teas], "Not Found", 0)</f>
        <v>38</v>
      </c>
      <c r="L875" s="16">
        <f>_xlfn.XLOOKUP(CustomerCombinedCleaned[[#This Row],[ID]], Table4[ID], Table4[Fruits], "Not Found", 0)</f>
        <v>6</v>
      </c>
      <c r="M875" s="16">
        <f>_xlfn.XLOOKUP(CustomerCombinedCleaned[[#This Row],[ID]], Table4[ID], Table4[Meats], "Not Found", 0)</f>
        <v>63</v>
      </c>
      <c r="N875" s="16">
        <f>_xlfn.XLOOKUP(CustomerCombinedCleaned[[#This Row],[ID]], Table4[ID], Table4[Seafood], "Not Found", 0)</f>
        <v>10</v>
      </c>
      <c r="O875" s="16">
        <f>_xlfn.XLOOKUP(CustomerCombinedCleaned[[#This Row],[ID]], Table4[ID], Table4[Sweets], "Not Found", 0)</f>
        <v>6</v>
      </c>
      <c r="P875" s="16">
        <f>_xlfn.XLOOKUP(CustomerCombinedCleaned[[#This Row],[ID]], Table4[ID], Table4[Premium], "Not Found", 0)</f>
        <v>16</v>
      </c>
      <c r="Q875" s="16">
        <f>_xlfn.XLOOKUP(CustomerCombinedCleaned[[#This Row],[ID]], Table4[ID], Table4[Regular], "Not Found", 0)</f>
        <v>108</v>
      </c>
      <c r="R875" s="16">
        <f>_xlfn.XLOOKUP(CustomerCombinedCleaned[[#This Row],[ID]], Table4[ID], Table4[Deals], "Not Found", 0)</f>
        <v>1</v>
      </c>
      <c r="S875" s="16">
        <f>_xlfn.XLOOKUP(CustomerCombinedCleaned[[#This Row],[ID]], Table4[ID], Table4[Website], "Not Found", 0)</f>
        <v>1</v>
      </c>
      <c r="T875" s="16">
        <f>_xlfn.XLOOKUP(CustomerCombinedCleaned[[#This Row],[ID]], Table4[ID], Table4[Catalog], "Not Found", 0)</f>
        <v>0</v>
      </c>
      <c r="U875" s="16">
        <f>_xlfn.XLOOKUP(CustomerCombinedCleaned[[#This Row],[ID]], Table4[ID], Table4[Store], "Not Found", 0)</f>
        <v>3</v>
      </c>
      <c r="V875" s="16">
        <f>_xlfn.XLOOKUP(CustomerCombinedCleaned[[#This Row],[ID]], Table4[ID], Table4[Visits], "Not Found", 0)</f>
        <v>7</v>
      </c>
      <c r="W875" s="16">
        <f>_xlfn.XLOOKUP(CustomerCombinedCleaned[[#This Row],[ID]], Table2[ID],Table2[Complaint], "Not Found", 0 )</f>
        <v>0</v>
      </c>
      <c r="X875" s="16">
        <f>_xlfn.XLOOKUP(CustomerCombinedCleaned[[#This Row],[ID]], Table2[ID],Table2[Pilot], "Not Found", 0 )</f>
        <v>0</v>
      </c>
      <c r="Y875" s="16">
        <f>_xlfn.XLOOKUP(CustomerCombinedCleaned[[#This Row],[ID]], Table2[ID],Table2[MC1], "Not Found", 0 )</f>
        <v>0</v>
      </c>
      <c r="Z875" s="16">
        <f>_xlfn.XLOOKUP(CustomerCombinedCleaned[[#This Row],[ID]], Table2[ID],Table2[MC2], "Not Found", 0 )</f>
        <v>0</v>
      </c>
      <c r="AA875" s="16">
        <f>_xlfn.XLOOKUP(CustomerCombinedCleaned[[#This Row],[ID]], Table2[ID],Table2[MC3], "Not Found", 0 )</f>
        <v>0</v>
      </c>
      <c r="AB875" s="16">
        <f>_xlfn.XLOOKUP(CustomerCombinedCleaned[[#This Row],[ID]], Table2[ID],Table2[MC4], "Not Found", 0 )</f>
        <v>0</v>
      </c>
      <c r="AC875" s="16">
        <f>_xlfn.XLOOKUP(CustomerCombinedCleaned[[#This Row],[ID]], Table2[ID],Table2[MC5], "Not Found", 0 )</f>
        <v>0</v>
      </c>
    </row>
    <row r="876" spans="1:29" x14ac:dyDescent="0.3">
      <c r="A876" s="18">
        <v>1933</v>
      </c>
      <c r="B876" s="16">
        <v>144051</v>
      </c>
      <c r="C876" s="16">
        <v>1</v>
      </c>
      <c r="D876" s="16">
        <v>1</v>
      </c>
      <c r="E876" s="16">
        <v>47</v>
      </c>
      <c r="F876" s="17" t="s">
        <v>5</v>
      </c>
      <c r="G876" s="17" t="s">
        <v>12</v>
      </c>
      <c r="H876" s="3" t="s">
        <v>637</v>
      </c>
      <c r="I876" s="5" t="s">
        <v>437</v>
      </c>
      <c r="J876" s="16">
        <f>_xlfn.XLOOKUP(CustomerCombinedCleaned[[#This Row],[ID]], Table4[ID], Table4[Recency], "Not Found", 0)</f>
        <v>20</v>
      </c>
      <c r="K876" s="16">
        <f>_xlfn.XLOOKUP(CustomerCombinedCleaned[[#This Row],[ID]], Table4[ID], Table4[Teas], "Not Found", 0)</f>
        <v>258</v>
      </c>
      <c r="L876" s="16">
        <f>_xlfn.XLOOKUP(CustomerCombinedCleaned[[#This Row],[ID]], Table4[ID], Table4[Fruits], "Not Found", 0)</f>
        <v>23</v>
      </c>
      <c r="M876" s="16">
        <f>_xlfn.XLOOKUP(CustomerCombinedCleaned[[#This Row],[ID]], Table4[ID], Table4[Meats], "Not Found", 0)</f>
        <v>190</v>
      </c>
      <c r="N876" s="16">
        <f>_xlfn.XLOOKUP(CustomerCombinedCleaned[[#This Row],[ID]], Table4[ID], Table4[Seafood], "Not Found", 0)</f>
        <v>20</v>
      </c>
      <c r="O876" s="16">
        <f>_xlfn.XLOOKUP(CustomerCombinedCleaned[[#This Row],[ID]], Table4[ID], Table4[Sweets], "Not Found", 0)</f>
        <v>10</v>
      </c>
      <c r="P876" s="16">
        <f>_xlfn.XLOOKUP(CustomerCombinedCleaned[[#This Row],[ID]], Table4[ID], Table4[Premium], "Not Found", 0)</f>
        <v>59</v>
      </c>
      <c r="Q876" s="16">
        <f>_xlfn.XLOOKUP(CustomerCombinedCleaned[[#This Row],[ID]], Table4[ID], Table4[Regular], "Not Found", 0)</f>
        <v>441</v>
      </c>
      <c r="R876" s="16">
        <f>_xlfn.XLOOKUP(CustomerCombinedCleaned[[#This Row],[ID]], Table4[ID], Table4[Deals], "Not Found", 0)</f>
        <v>4</v>
      </c>
      <c r="S876" s="16">
        <f>_xlfn.XLOOKUP(CustomerCombinedCleaned[[#This Row],[ID]], Table4[ID], Table4[Website], "Not Found", 0)</f>
        <v>3</v>
      </c>
      <c r="T876" s="16">
        <f>_xlfn.XLOOKUP(CustomerCombinedCleaned[[#This Row],[ID]], Table4[ID], Table4[Catalog], "Not Found", 0)</f>
        <v>1</v>
      </c>
      <c r="U876" s="16">
        <f>_xlfn.XLOOKUP(CustomerCombinedCleaned[[#This Row],[ID]], Table4[ID], Table4[Store], "Not Found", 0)</f>
        <v>4</v>
      </c>
      <c r="V876" s="16">
        <f>_xlfn.XLOOKUP(CustomerCombinedCleaned[[#This Row],[ID]], Table4[ID], Table4[Visits], "Not Found", 0)</f>
        <v>6</v>
      </c>
      <c r="W876" s="16">
        <f>_xlfn.XLOOKUP(CustomerCombinedCleaned[[#This Row],[ID]], Table2[ID],Table2[Complaint], "Not Found", 0 )</f>
        <v>0</v>
      </c>
      <c r="X876" s="16">
        <f>_xlfn.XLOOKUP(CustomerCombinedCleaned[[#This Row],[ID]], Table2[ID],Table2[Pilot], "Not Found", 0 )</f>
        <v>1</v>
      </c>
      <c r="Y876" s="16">
        <f>_xlfn.XLOOKUP(CustomerCombinedCleaned[[#This Row],[ID]], Table2[ID],Table2[MC1], "Not Found", 0 )</f>
        <v>0</v>
      </c>
      <c r="Z876" s="16">
        <f>_xlfn.XLOOKUP(CustomerCombinedCleaned[[#This Row],[ID]], Table2[ID],Table2[MC2], "Not Found", 0 )</f>
        <v>0</v>
      </c>
      <c r="AA876" s="16">
        <f>_xlfn.XLOOKUP(CustomerCombinedCleaned[[#This Row],[ID]], Table2[ID],Table2[MC3], "Not Found", 0 )</f>
        <v>0</v>
      </c>
      <c r="AB876" s="16">
        <f>_xlfn.XLOOKUP(CustomerCombinedCleaned[[#This Row],[ID]], Table2[ID],Table2[MC4], "Not Found", 0 )</f>
        <v>0</v>
      </c>
      <c r="AC876" s="16">
        <f>_xlfn.XLOOKUP(CustomerCombinedCleaned[[#This Row],[ID]], Table2[ID],Table2[MC5], "Not Found", 0 )</f>
        <v>0</v>
      </c>
    </row>
    <row r="877" spans="1:29" x14ac:dyDescent="0.3">
      <c r="A877" s="18">
        <v>2273</v>
      </c>
      <c r="B877" s="16">
        <v>143050</v>
      </c>
      <c r="C877" s="16">
        <v>1</v>
      </c>
      <c r="D877" s="16">
        <v>0</v>
      </c>
      <c r="E877" s="16">
        <v>47</v>
      </c>
      <c r="F877" s="17" t="s">
        <v>6</v>
      </c>
      <c r="G877" s="17" t="s">
        <v>11</v>
      </c>
      <c r="H877" s="3" t="s">
        <v>83</v>
      </c>
      <c r="I877" s="5" t="s">
        <v>434</v>
      </c>
      <c r="J877" s="16">
        <f>_xlfn.XLOOKUP(CustomerCombinedCleaned[[#This Row],[ID]], Table4[ID], Table4[Recency], "Not Found", 0)</f>
        <v>10</v>
      </c>
      <c r="K877" s="16">
        <f>_xlfn.XLOOKUP(CustomerCombinedCleaned[[#This Row],[ID]], Table4[ID], Table4[Teas], "Not Found", 0)</f>
        <v>100</v>
      </c>
      <c r="L877" s="16">
        <f>_xlfn.XLOOKUP(CustomerCombinedCleaned[[#This Row],[ID]], Table4[ID], Table4[Fruits], "Not Found", 0)</f>
        <v>17</v>
      </c>
      <c r="M877" s="16">
        <f>_xlfn.XLOOKUP(CustomerCombinedCleaned[[#This Row],[ID]], Table4[ID], Table4[Meats], "Not Found", 0)</f>
        <v>80</v>
      </c>
      <c r="N877" s="16">
        <f>_xlfn.XLOOKUP(CustomerCombinedCleaned[[#This Row],[ID]], Table4[ID], Table4[Seafood], "Not Found", 0)</f>
        <v>20</v>
      </c>
      <c r="O877" s="16">
        <f>_xlfn.XLOOKUP(CustomerCombinedCleaned[[#This Row],[ID]], Table4[ID], Table4[Sweets], "Not Found", 0)</f>
        <v>10</v>
      </c>
      <c r="P877" s="16">
        <f>_xlfn.XLOOKUP(CustomerCombinedCleaned[[#This Row],[ID]], Table4[ID], Table4[Premium], "Not Found", 0)</f>
        <v>27</v>
      </c>
      <c r="Q877" s="16">
        <f>_xlfn.XLOOKUP(CustomerCombinedCleaned[[#This Row],[ID]], Table4[ID], Table4[Regular], "Not Found", 0)</f>
        <v>199</v>
      </c>
      <c r="R877" s="16">
        <f>_xlfn.XLOOKUP(CustomerCombinedCleaned[[#This Row],[ID]], Table4[ID], Table4[Deals], "Not Found", 0)</f>
        <v>2</v>
      </c>
      <c r="S877" s="16">
        <f>_xlfn.XLOOKUP(CustomerCombinedCleaned[[#This Row],[ID]], Table4[ID], Table4[Website], "Not Found", 0)</f>
        <v>2</v>
      </c>
      <c r="T877" s="16">
        <f>_xlfn.XLOOKUP(CustomerCombinedCleaned[[#This Row],[ID]], Table4[ID], Table4[Catalog], "Not Found", 0)</f>
        <v>0</v>
      </c>
      <c r="U877" s="16">
        <f>_xlfn.XLOOKUP(CustomerCombinedCleaned[[#This Row],[ID]], Table4[ID], Table4[Store], "Not Found", 0)</f>
        <v>4</v>
      </c>
      <c r="V877" s="16">
        <f>_xlfn.XLOOKUP(CustomerCombinedCleaned[[#This Row],[ID]], Table4[ID], Table4[Visits], "Not Found", 0)</f>
        <v>5</v>
      </c>
      <c r="W877" s="16">
        <f>_xlfn.XLOOKUP(CustomerCombinedCleaned[[#This Row],[ID]], Table2[ID],Table2[Complaint], "Not Found", 0 )</f>
        <v>0</v>
      </c>
      <c r="X877" s="16">
        <f>_xlfn.XLOOKUP(CustomerCombinedCleaned[[#This Row],[ID]], Table2[ID],Table2[Pilot], "Not Found", 0 )</f>
        <v>0</v>
      </c>
      <c r="Y877" s="16">
        <f>_xlfn.XLOOKUP(CustomerCombinedCleaned[[#This Row],[ID]], Table2[ID],Table2[MC1], "Not Found", 0 )</f>
        <v>0</v>
      </c>
      <c r="Z877" s="16">
        <f>_xlfn.XLOOKUP(CustomerCombinedCleaned[[#This Row],[ID]], Table2[ID],Table2[MC2], "Not Found", 0 )</f>
        <v>0</v>
      </c>
      <c r="AA877" s="16">
        <f>_xlfn.XLOOKUP(CustomerCombinedCleaned[[#This Row],[ID]], Table2[ID],Table2[MC3], "Not Found", 0 )</f>
        <v>0</v>
      </c>
      <c r="AB877" s="16">
        <f>_xlfn.XLOOKUP(CustomerCombinedCleaned[[#This Row],[ID]], Table2[ID],Table2[MC4], "Not Found", 0 )</f>
        <v>0</v>
      </c>
      <c r="AC877" s="16">
        <f>_xlfn.XLOOKUP(CustomerCombinedCleaned[[#This Row],[ID]], Table2[ID],Table2[MC5], "Not Found", 0 )</f>
        <v>0</v>
      </c>
    </row>
    <row r="878" spans="1:29" x14ac:dyDescent="0.3">
      <c r="A878" s="18">
        <v>1037</v>
      </c>
      <c r="B878" s="16">
        <v>142429</v>
      </c>
      <c r="C878" s="16">
        <v>0</v>
      </c>
      <c r="D878" s="16">
        <v>1</v>
      </c>
      <c r="E878" s="16">
        <v>47</v>
      </c>
      <c r="F878" s="17" t="s">
        <v>9</v>
      </c>
      <c r="G878" s="17" t="s">
        <v>11</v>
      </c>
      <c r="H878" s="3" t="s">
        <v>102</v>
      </c>
      <c r="I878" s="5" t="s">
        <v>434</v>
      </c>
      <c r="J878" s="16">
        <f>_xlfn.XLOOKUP(CustomerCombinedCleaned[[#This Row],[ID]], Table4[ID], Table4[Recency], "Not Found", 0)</f>
        <v>99</v>
      </c>
      <c r="K878" s="16">
        <f>_xlfn.XLOOKUP(CustomerCombinedCleaned[[#This Row],[ID]], Table4[ID], Table4[Teas], "Not Found", 0)</f>
        <v>185</v>
      </c>
      <c r="L878" s="16">
        <f>_xlfn.XLOOKUP(CustomerCombinedCleaned[[#This Row],[ID]], Table4[ID], Table4[Fruits], "Not Found", 0)</f>
        <v>0</v>
      </c>
      <c r="M878" s="16">
        <f>_xlfn.XLOOKUP(CustomerCombinedCleaned[[#This Row],[ID]], Table4[ID], Table4[Meats], "Not Found", 0)</f>
        <v>20</v>
      </c>
      <c r="N878" s="16">
        <f>_xlfn.XLOOKUP(CustomerCombinedCleaned[[#This Row],[ID]], Table4[ID], Table4[Seafood], "Not Found", 0)</f>
        <v>7</v>
      </c>
      <c r="O878" s="16">
        <f>_xlfn.XLOOKUP(CustomerCombinedCleaned[[#This Row],[ID]], Table4[ID], Table4[Sweets], "Not Found", 0)</f>
        <v>0</v>
      </c>
      <c r="P878" s="16">
        <f>_xlfn.XLOOKUP(CustomerCombinedCleaned[[#This Row],[ID]], Table4[ID], Table4[Premium], "Not Found", 0)</f>
        <v>13</v>
      </c>
      <c r="Q878" s="16">
        <f>_xlfn.XLOOKUP(CustomerCombinedCleaned[[#This Row],[ID]], Table4[ID], Table4[Regular], "Not Found", 0)</f>
        <v>198</v>
      </c>
      <c r="R878" s="16">
        <f>_xlfn.XLOOKUP(CustomerCombinedCleaned[[#This Row],[ID]], Table4[ID], Table4[Deals], "Not Found", 0)</f>
        <v>2</v>
      </c>
      <c r="S878" s="16">
        <f>_xlfn.XLOOKUP(CustomerCombinedCleaned[[#This Row],[ID]], Table4[ID], Table4[Website], "Not Found", 0)</f>
        <v>1</v>
      </c>
      <c r="T878" s="16">
        <f>_xlfn.XLOOKUP(CustomerCombinedCleaned[[#This Row],[ID]], Table4[ID], Table4[Catalog], "Not Found", 0)</f>
        <v>1</v>
      </c>
      <c r="U878" s="16">
        <f>_xlfn.XLOOKUP(CustomerCombinedCleaned[[#This Row],[ID]], Table4[ID], Table4[Store], "Not Found", 0)</f>
        <v>3</v>
      </c>
      <c r="V878" s="16">
        <f>_xlfn.XLOOKUP(CustomerCombinedCleaned[[#This Row],[ID]], Table4[ID], Table4[Visits], "Not Found", 0)</f>
        <v>5</v>
      </c>
      <c r="W878" s="16">
        <f>_xlfn.XLOOKUP(CustomerCombinedCleaned[[#This Row],[ID]], Table2[ID],Table2[Complaint], "Not Found", 0 )</f>
        <v>0</v>
      </c>
      <c r="X878" s="16">
        <f>_xlfn.XLOOKUP(CustomerCombinedCleaned[[#This Row],[ID]], Table2[ID],Table2[Pilot], "Not Found", 0 )</f>
        <v>0</v>
      </c>
      <c r="Y878" s="16">
        <f>_xlfn.XLOOKUP(CustomerCombinedCleaned[[#This Row],[ID]], Table2[ID],Table2[MC1], "Not Found", 0 )</f>
        <v>0</v>
      </c>
      <c r="Z878" s="16">
        <f>_xlfn.XLOOKUP(CustomerCombinedCleaned[[#This Row],[ID]], Table2[ID],Table2[MC2], "Not Found", 0 )</f>
        <v>0</v>
      </c>
      <c r="AA878" s="16">
        <f>_xlfn.XLOOKUP(CustomerCombinedCleaned[[#This Row],[ID]], Table2[ID],Table2[MC3], "Not Found", 0 )</f>
        <v>0</v>
      </c>
      <c r="AB878" s="16">
        <f>_xlfn.XLOOKUP(CustomerCombinedCleaned[[#This Row],[ID]], Table2[ID],Table2[MC4], "Not Found", 0 )</f>
        <v>0</v>
      </c>
      <c r="AC878" s="16">
        <f>_xlfn.XLOOKUP(CustomerCombinedCleaned[[#This Row],[ID]], Table2[ID],Table2[MC5], "Not Found", 0 )</f>
        <v>0</v>
      </c>
    </row>
    <row r="879" spans="1:29" x14ac:dyDescent="0.3">
      <c r="A879" s="18">
        <v>1590</v>
      </c>
      <c r="B879" s="16">
        <v>142429</v>
      </c>
      <c r="C879" s="16">
        <v>0</v>
      </c>
      <c r="D879" s="16">
        <v>1</v>
      </c>
      <c r="E879" s="16">
        <v>47</v>
      </c>
      <c r="F879" s="17" t="s">
        <v>9</v>
      </c>
      <c r="G879" s="17" t="s">
        <v>11</v>
      </c>
      <c r="H879" s="3" t="s">
        <v>102</v>
      </c>
      <c r="I879" s="5" t="s">
        <v>436</v>
      </c>
      <c r="J879" s="16">
        <f>_xlfn.XLOOKUP(CustomerCombinedCleaned[[#This Row],[ID]], Table4[ID], Table4[Recency], "Not Found", 0)</f>
        <v>99</v>
      </c>
      <c r="K879" s="16">
        <f>_xlfn.XLOOKUP(CustomerCombinedCleaned[[#This Row],[ID]], Table4[ID], Table4[Teas], "Not Found", 0)</f>
        <v>185</v>
      </c>
      <c r="L879" s="16">
        <f>_xlfn.XLOOKUP(CustomerCombinedCleaned[[#This Row],[ID]], Table4[ID], Table4[Fruits], "Not Found", 0)</f>
        <v>0</v>
      </c>
      <c r="M879" s="16">
        <f>_xlfn.XLOOKUP(CustomerCombinedCleaned[[#This Row],[ID]], Table4[ID], Table4[Meats], "Not Found", 0)</f>
        <v>20</v>
      </c>
      <c r="N879" s="16">
        <f>_xlfn.XLOOKUP(CustomerCombinedCleaned[[#This Row],[ID]], Table4[ID], Table4[Seafood], "Not Found", 0)</f>
        <v>7</v>
      </c>
      <c r="O879" s="16">
        <f>_xlfn.XLOOKUP(CustomerCombinedCleaned[[#This Row],[ID]], Table4[ID], Table4[Sweets], "Not Found", 0)</f>
        <v>0</v>
      </c>
      <c r="P879" s="16">
        <f>_xlfn.XLOOKUP(CustomerCombinedCleaned[[#This Row],[ID]], Table4[ID], Table4[Premium], "Not Found", 0)</f>
        <v>13</v>
      </c>
      <c r="Q879" s="16">
        <f>_xlfn.XLOOKUP(CustomerCombinedCleaned[[#This Row],[ID]], Table4[ID], Table4[Regular], "Not Found", 0)</f>
        <v>198</v>
      </c>
      <c r="R879" s="16">
        <f>_xlfn.XLOOKUP(CustomerCombinedCleaned[[#This Row],[ID]], Table4[ID], Table4[Deals], "Not Found", 0)</f>
        <v>2</v>
      </c>
      <c r="S879" s="16">
        <f>_xlfn.XLOOKUP(CustomerCombinedCleaned[[#This Row],[ID]], Table4[ID], Table4[Website], "Not Found", 0)</f>
        <v>1</v>
      </c>
      <c r="T879" s="16">
        <f>_xlfn.XLOOKUP(CustomerCombinedCleaned[[#This Row],[ID]], Table4[ID], Table4[Catalog], "Not Found", 0)</f>
        <v>1</v>
      </c>
      <c r="U879" s="16">
        <f>_xlfn.XLOOKUP(CustomerCombinedCleaned[[#This Row],[ID]], Table4[ID], Table4[Store], "Not Found", 0)</f>
        <v>3</v>
      </c>
      <c r="V879" s="16">
        <f>_xlfn.XLOOKUP(CustomerCombinedCleaned[[#This Row],[ID]], Table4[ID], Table4[Visits], "Not Found", 0)</f>
        <v>5</v>
      </c>
      <c r="W879" s="16">
        <f>_xlfn.XLOOKUP(CustomerCombinedCleaned[[#This Row],[ID]], Table2[ID],Table2[Complaint], "Not Found", 0 )</f>
        <v>0</v>
      </c>
      <c r="X879" s="16">
        <f>_xlfn.XLOOKUP(CustomerCombinedCleaned[[#This Row],[ID]], Table2[ID],Table2[Pilot], "Not Found", 0 )</f>
        <v>0</v>
      </c>
      <c r="Y879" s="16">
        <f>_xlfn.XLOOKUP(CustomerCombinedCleaned[[#This Row],[ID]], Table2[ID],Table2[MC1], "Not Found", 0 )</f>
        <v>0</v>
      </c>
      <c r="Z879" s="16">
        <f>_xlfn.XLOOKUP(CustomerCombinedCleaned[[#This Row],[ID]], Table2[ID],Table2[MC2], "Not Found", 0 )</f>
        <v>0</v>
      </c>
      <c r="AA879" s="16">
        <f>_xlfn.XLOOKUP(CustomerCombinedCleaned[[#This Row],[ID]], Table2[ID],Table2[MC3], "Not Found", 0 )</f>
        <v>0</v>
      </c>
      <c r="AB879" s="16">
        <f>_xlfn.XLOOKUP(CustomerCombinedCleaned[[#This Row],[ID]], Table2[ID],Table2[MC4], "Not Found", 0 )</f>
        <v>0</v>
      </c>
      <c r="AC879" s="16">
        <f>_xlfn.XLOOKUP(CustomerCombinedCleaned[[#This Row],[ID]], Table2[ID],Table2[MC5], "Not Found", 0 )</f>
        <v>0</v>
      </c>
    </row>
    <row r="880" spans="1:29" x14ac:dyDescent="0.3">
      <c r="A880" s="18">
        <v>2753</v>
      </c>
      <c r="B880" s="16">
        <v>139435</v>
      </c>
      <c r="C880" s="16">
        <v>1</v>
      </c>
      <c r="D880" s="16">
        <v>0</v>
      </c>
      <c r="E880" s="16">
        <v>47</v>
      </c>
      <c r="F880" s="17" t="s">
        <v>8</v>
      </c>
      <c r="G880" s="17" t="s">
        <v>13</v>
      </c>
      <c r="H880" s="3" t="s">
        <v>540</v>
      </c>
      <c r="I880" s="5" t="s">
        <v>434</v>
      </c>
      <c r="J880" s="16">
        <f>_xlfn.XLOOKUP(CustomerCombinedCleaned[[#This Row],[ID]], Table4[ID], Table4[Recency], "Not Found", 0)</f>
        <v>16</v>
      </c>
      <c r="K880" s="16">
        <f>_xlfn.XLOOKUP(CustomerCombinedCleaned[[#This Row],[ID]], Table4[ID], Table4[Teas], "Not Found", 0)</f>
        <v>251</v>
      </c>
      <c r="L880" s="16">
        <f>_xlfn.XLOOKUP(CustomerCombinedCleaned[[#This Row],[ID]], Table4[ID], Table4[Fruits], "Not Found", 0)</f>
        <v>0</v>
      </c>
      <c r="M880" s="16">
        <f>_xlfn.XLOOKUP(CustomerCombinedCleaned[[#This Row],[ID]], Table4[ID], Table4[Meats], "Not Found", 0)</f>
        <v>64</v>
      </c>
      <c r="N880" s="16">
        <f>_xlfn.XLOOKUP(CustomerCombinedCleaned[[#This Row],[ID]], Table4[ID], Table4[Seafood], "Not Found", 0)</f>
        <v>0</v>
      </c>
      <c r="O880" s="16">
        <f>_xlfn.XLOOKUP(CustomerCombinedCleaned[[#This Row],[ID]], Table4[ID], Table4[Sweets], "Not Found", 0)</f>
        <v>0</v>
      </c>
      <c r="P880" s="16">
        <f>_xlfn.XLOOKUP(CustomerCombinedCleaned[[#This Row],[ID]], Table4[ID], Table4[Premium], "Not Found", 0)</f>
        <v>46</v>
      </c>
      <c r="Q880" s="16">
        <f>_xlfn.XLOOKUP(CustomerCombinedCleaned[[#This Row],[ID]], Table4[ID], Table4[Regular], "Not Found", 0)</f>
        <v>269</v>
      </c>
      <c r="R880" s="16">
        <f>_xlfn.XLOOKUP(CustomerCombinedCleaned[[#This Row],[ID]], Table4[ID], Table4[Deals], "Not Found", 0)</f>
        <v>1</v>
      </c>
      <c r="S880" s="16">
        <f>_xlfn.XLOOKUP(CustomerCombinedCleaned[[#This Row],[ID]], Table4[ID], Table4[Website], "Not Found", 0)</f>
        <v>3</v>
      </c>
      <c r="T880" s="16">
        <f>_xlfn.XLOOKUP(CustomerCombinedCleaned[[#This Row],[ID]], Table4[ID], Table4[Catalog], "Not Found", 0)</f>
        <v>1</v>
      </c>
      <c r="U880" s="16">
        <f>_xlfn.XLOOKUP(CustomerCombinedCleaned[[#This Row],[ID]], Table4[ID], Table4[Store], "Not Found", 0)</f>
        <v>2</v>
      </c>
      <c r="V880" s="16">
        <f>_xlfn.XLOOKUP(CustomerCombinedCleaned[[#This Row],[ID]], Table4[ID], Table4[Visits], "Not Found", 0)</f>
        <v>7</v>
      </c>
      <c r="W880" s="16">
        <f>_xlfn.XLOOKUP(CustomerCombinedCleaned[[#This Row],[ID]], Table2[ID],Table2[Complaint], "Not Found", 0 )</f>
        <v>0</v>
      </c>
      <c r="X880" s="16">
        <f>_xlfn.XLOOKUP(CustomerCombinedCleaned[[#This Row],[ID]], Table2[ID],Table2[Pilot], "Not Found", 0 )</f>
        <v>0</v>
      </c>
      <c r="Y880" s="16">
        <f>_xlfn.XLOOKUP(CustomerCombinedCleaned[[#This Row],[ID]], Table2[ID],Table2[MC1], "Not Found", 0 )</f>
        <v>0</v>
      </c>
      <c r="Z880" s="16">
        <f>_xlfn.XLOOKUP(CustomerCombinedCleaned[[#This Row],[ID]], Table2[ID],Table2[MC2], "Not Found", 0 )</f>
        <v>0</v>
      </c>
      <c r="AA880" s="16">
        <f>_xlfn.XLOOKUP(CustomerCombinedCleaned[[#This Row],[ID]], Table2[ID],Table2[MC3], "Not Found", 0 )</f>
        <v>0</v>
      </c>
      <c r="AB880" s="16">
        <f>_xlfn.XLOOKUP(CustomerCombinedCleaned[[#This Row],[ID]], Table2[ID],Table2[MC4], "Not Found", 0 )</f>
        <v>0</v>
      </c>
      <c r="AC880" s="16">
        <f>_xlfn.XLOOKUP(CustomerCombinedCleaned[[#This Row],[ID]], Table2[ID],Table2[MC5], "Not Found", 0 )</f>
        <v>0</v>
      </c>
    </row>
    <row r="881" spans="1:29" x14ac:dyDescent="0.3">
      <c r="A881" s="18">
        <v>1464</v>
      </c>
      <c r="B881" s="16">
        <v>138961</v>
      </c>
      <c r="C881" s="16">
        <v>1</v>
      </c>
      <c r="D881" s="16">
        <v>0</v>
      </c>
      <c r="E881" s="16">
        <v>47</v>
      </c>
      <c r="F881" s="17" t="s">
        <v>6</v>
      </c>
      <c r="G881" s="17" t="s">
        <v>12</v>
      </c>
      <c r="H881" s="3" t="s">
        <v>644</v>
      </c>
      <c r="I881" s="5" t="s">
        <v>436</v>
      </c>
      <c r="J881" s="16">
        <f>_xlfn.XLOOKUP(CustomerCombinedCleaned[[#This Row],[ID]], Table4[ID], Table4[Recency], "Not Found", 0)</f>
        <v>60</v>
      </c>
      <c r="K881" s="16">
        <f>_xlfn.XLOOKUP(CustomerCombinedCleaned[[#This Row],[ID]], Table4[ID], Table4[Teas], "Not Found", 0)</f>
        <v>68</v>
      </c>
      <c r="L881" s="16">
        <f>_xlfn.XLOOKUP(CustomerCombinedCleaned[[#This Row],[ID]], Table4[ID], Table4[Fruits], "Not Found", 0)</f>
        <v>25</v>
      </c>
      <c r="M881" s="16">
        <f>_xlfn.XLOOKUP(CustomerCombinedCleaned[[#This Row],[ID]], Table4[ID], Table4[Meats], "Not Found", 0)</f>
        <v>68</v>
      </c>
      <c r="N881" s="16">
        <f>_xlfn.XLOOKUP(CustomerCombinedCleaned[[#This Row],[ID]], Table4[ID], Table4[Seafood], "Not Found", 0)</f>
        <v>0</v>
      </c>
      <c r="O881" s="16">
        <f>_xlfn.XLOOKUP(CustomerCombinedCleaned[[#This Row],[ID]], Table4[ID], Table4[Sweets], "Not Found", 0)</f>
        <v>4</v>
      </c>
      <c r="P881" s="16">
        <f>_xlfn.XLOOKUP(CustomerCombinedCleaned[[#This Row],[ID]], Table4[ID], Table4[Premium], "Not Found", 0)</f>
        <v>86</v>
      </c>
      <c r="Q881" s="16">
        <f>_xlfn.XLOOKUP(CustomerCombinedCleaned[[#This Row],[ID]], Table4[ID], Table4[Regular], "Not Found", 0)</f>
        <v>78</v>
      </c>
      <c r="R881" s="16">
        <f>_xlfn.XLOOKUP(CustomerCombinedCleaned[[#This Row],[ID]], Table4[ID], Table4[Deals], "Not Found", 0)</f>
        <v>1</v>
      </c>
      <c r="S881" s="16">
        <f>_xlfn.XLOOKUP(CustomerCombinedCleaned[[#This Row],[ID]], Table4[ID], Table4[Website], "Not Found", 0)</f>
        <v>2</v>
      </c>
      <c r="T881" s="16">
        <f>_xlfn.XLOOKUP(CustomerCombinedCleaned[[#This Row],[ID]], Table4[ID], Table4[Catalog], "Not Found", 0)</f>
        <v>1</v>
      </c>
      <c r="U881" s="16">
        <f>_xlfn.XLOOKUP(CustomerCombinedCleaned[[#This Row],[ID]], Table4[ID], Table4[Store], "Not Found", 0)</f>
        <v>2</v>
      </c>
      <c r="V881" s="16">
        <f>_xlfn.XLOOKUP(CustomerCombinedCleaned[[#This Row],[ID]], Table4[ID], Table4[Visits], "Not Found", 0)</f>
        <v>7</v>
      </c>
      <c r="W881" s="16">
        <f>_xlfn.XLOOKUP(CustomerCombinedCleaned[[#This Row],[ID]], Table2[ID],Table2[Complaint], "Not Found", 0 )</f>
        <v>0</v>
      </c>
      <c r="X881" s="16">
        <f>_xlfn.XLOOKUP(CustomerCombinedCleaned[[#This Row],[ID]], Table2[ID],Table2[Pilot], "Not Found", 0 )</f>
        <v>0</v>
      </c>
      <c r="Y881" s="16">
        <f>_xlfn.XLOOKUP(CustomerCombinedCleaned[[#This Row],[ID]], Table2[ID],Table2[MC1], "Not Found", 0 )</f>
        <v>0</v>
      </c>
      <c r="Z881" s="16">
        <f>_xlfn.XLOOKUP(CustomerCombinedCleaned[[#This Row],[ID]], Table2[ID],Table2[MC2], "Not Found", 0 )</f>
        <v>0</v>
      </c>
      <c r="AA881" s="16">
        <f>_xlfn.XLOOKUP(CustomerCombinedCleaned[[#This Row],[ID]], Table2[ID],Table2[MC3], "Not Found", 0 )</f>
        <v>0</v>
      </c>
      <c r="AB881" s="16">
        <f>_xlfn.XLOOKUP(CustomerCombinedCleaned[[#This Row],[ID]], Table2[ID],Table2[MC4], "Not Found", 0 )</f>
        <v>0</v>
      </c>
      <c r="AC881" s="16">
        <f>_xlfn.XLOOKUP(CustomerCombinedCleaned[[#This Row],[ID]], Table2[ID],Table2[MC5], "Not Found", 0 )</f>
        <v>0</v>
      </c>
    </row>
    <row r="882" spans="1:29" x14ac:dyDescent="0.3">
      <c r="A882" s="18">
        <v>1837</v>
      </c>
      <c r="B882" s="16">
        <v>138576</v>
      </c>
      <c r="C882" s="16">
        <v>0</v>
      </c>
      <c r="D882" s="16">
        <v>1</v>
      </c>
      <c r="E882" s="16">
        <v>47</v>
      </c>
      <c r="F882" s="17" t="s">
        <v>6</v>
      </c>
      <c r="G882" s="17" t="s">
        <v>12</v>
      </c>
      <c r="H882" s="3" t="s">
        <v>683</v>
      </c>
      <c r="I882" s="5" t="s">
        <v>437</v>
      </c>
      <c r="J882" s="16">
        <f>_xlfn.XLOOKUP(CustomerCombinedCleaned[[#This Row],[ID]], Table4[ID], Table4[Recency], "Not Found", 0)</f>
        <v>2</v>
      </c>
      <c r="K882" s="16">
        <f>_xlfn.XLOOKUP(CustomerCombinedCleaned[[#This Row],[ID]], Table4[ID], Table4[Teas], "Not Found", 0)</f>
        <v>122</v>
      </c>
      <c r="L882" s="16">
        <f>_xlfn.XLOOKUP(CustomerCombinedCleaned[[#This Row],[ID]], Table4[ID], Table4[Fruits], "Not Found", 0)</f>
        <v>0</v>
      </c>
      <c r="M882" s="16">
        <f>_xlfn.XLOOKUP(CustomerCombinedCleaned[[#This Row],[ID]], Table4[ID], Table4[Meats], "Not Found", 0)</f>
        <v>25</v>
      </c>
      <c r="N882" s="16">
        <f>_xlfn.XLOOKUP(CustomerCombinedCleaned[[#This Row],[ID]], Table4[ID], Table4[Seafood], "Not Found", 0)</f>
        <v>0</v>
      </c>
      <c r="O882" s="16">
        <f>_xlfn.XLOOKUP(CustomerCombinedCleaned[[#This Row],[ID]], Table4[ID], Table4[Sweets], "Not Found", 0)</f>
        <v>0</v>
      </c>
      <c r="P882" s="16">
        <f>_xlfn.XLOOKUP(CustomerCombinedCleaned[[#This Row],[ID]], Table4[ID], Table4[Premium], "Not Found", 0)</f>
        <v>0</v>
      </c>
      <c r="Q882" s="16">
        <f>_xlfn.XLOOKUP(CustomerCombinedCleaned[[#This Row],[ID]], Table4[ID], Table4[Regular], "Not Found", 0)</f>
        <v>147</v>
      </c>
      <c r="R882" s="16">
        <f>_xlfn.XLOOKUP(CustomerCombinedCleaned[[#This Row],[ID]], Table4[ID], Table4[Deals], "Not Found", 0)</f>
        <v>1</v>
      </c>
      <c r="S882" s="16">
        <f>_xlfn.XLOOKUP(CustomerCombinedCleaned[[#This Row],[ID]], Table4[ID], Table4[Website], "Not Found", 0)</f>
        <v>1</v>
      </c>
      <c r="T882" s="16">
        <f>_xlfn.XLOOKUP(CustomerCombinedCleaned[[#This Row],[ID]], Table4[ID], Table4[Catalog], "Not Found", 0)</f>
        <v>0</v>
      </c>
      <c r="U882" s="16">
        <f>_xlfn.XLOOKUP(CustomerCombinedCleaned[[#This Row],[ID]], Table4[ID], Table4[Store], "Not Found", 0)</f>
        <v>3</v>
      </c>
      <c r="V882" s="16">
        <f>_xlfn.XLOOKUP(CustomerCombinedCleaned[[#This Row],[ID]], Table4[ID], Table4[Visits], "Not Found", 0)</f>
        <v>7</v>
      </c>
      <c r="W882" s="16">
        <f>_xlfn.XLOOKUP(CustomerCombinedCleaned[[#This Row],[ID]], Table2[ID],Table2[Complaint], "Not Found", 0 )</f>
        <v>0</v>
      </c>
      <c r="X882" s="16">
        <f>_xlfn.XLOOKUP(CustomerCombinedCleaned[[#This Row],[ID]], Table2[ID],Table2[Pilot], "Not Found", 0 )</f>
        <v>0</v>
      </c>
      <c r="Y882" s="16">
        <f>_xlfn.XLOOKUP(CustomerCombinedCleaned[[#This Row],[ID]], Table2[ID],Table2[MC1], "Not Found", 0 )</f>
        <v>0</v>
      </c>
      <c r="Z882" s="16">
        <f>_xlfn.XLOOKUP(CustomerCombinedCleaned[[#This Row],[ID]], Table2[ID],Table2[MC2], "Not Found", 0 )</f>
        <v>0</v>
      </c>
      <c r="AA882" s="16">
        <f>_xlfn.XLOOKUP(CustomerCombinedCleaned[[#This Row],[ID]], Table2[ID],Table2[MC3], "Not Found", 0 )</f>
        <v>0</v>
      </c>
      <c r="AB882" s="16">
        <f>_xlfn.XLOOKUP(CustomerCombinedCleaned[[#This Row],[ID]], Table2[ID],Table2[MC4], "Not Found", 0 )</f>
        <v>0</v>
      </c>
      <c r="AC882" s="16">
        <f>_xlfn.XLOOKUP(CustomerCombinedCleaned[[#This Row],[ID]], Table2[ID],Table2[MC5], "Not Found", 0 )</f>
        <v>0</v>
      </c>
    </row>
    <row r="883" spans="1:29" x14ac:dyDescent="0.3">
      <c r="A883" s="18">
        <v>2347</v>
      </c>
      <c r="B883" s="16">
        <v>137971</v>
      </c>
      <c r="C883" s="16">
        <v>1</v>
      </c>
      <c r="D883" s="16">
        <v>0</v>
      </c>
      <c r="E883" s="16">
        <v>47</v>
      </c>
      <c r="F883" s="17" t="s">
        <v>6</v>
      </c>
      <c r="G883" s="17" t="s">
        <v>11</v>
      </c>
      <c r="H883" s="3" t="s">
        <v>588</v>
      </c>
      <c r="I883" s="5" t="s">
        <v>437</v>
      </c>
      <c r="J883" s="16">
        <f>_xlfn.XLOOKUP(CustomerCombinedCleaned[[#This Row],[ID]], Table4[ID], Table4[Recency], "Not Found", 0)</f>
        <v>97</v>
      </c>
      <c r="K883" s="16">
        <f>_xlfn.XLOOKUP(CustomerCombinedCleaned[[#This Row],[ID]], Table4[ID], Table4[Teas], "Not Found", 0)</f>
        <v>18</v>
      </c>
      <c r="L883" s="16">
        <f>_xlfn.XLOOKUP(CustomerCombinedCleaned[[#This Row],[ID]], Table4[ID], Table4[Fruits], "Not Found", 0)</f>
        <v>15</v>
      </c>
      <c r="M883" s="16">
        <f>_xlfn.XLOOKUP(CustomerCombinedCleaned[[#This Row],[ID]], Table4[ID], Table4[Meats], "Not Found", 0)</f>
        <v>36</v>
      </c>
      <c r="N883" s="16">
        <f>_xlfn.XLOOKUP(CustomerCombinedCleaned[[#This Row],[ID]], Table4[ID], Table4[Seafood], "Not Found", 0)</f>
        <v>7</v>
      </c>
      <c r="O883" s="16">
        <f>_xlfn.XLOOKUP(CustomerCombinedCleaned[[#This Row],[ID]], Table4[ID], Table4[Sweets], "Not Found", 0)</f>
        <v>7</v>
      </c>
      <c r="P883" s="16">
        <f>_xlfn.XLOOKUP(CustomerCombinedCleaned[[#This Row],[ID]], Table4[ID], Table4[Premium], "Not Found", 0)</f>
        <v>25</v>
      </c>
      <c r="Q883" s="16">
        <f>_xlfn.XLOOKUP(CustomerCombinedCleaned[[#This Row],[ID]], Table4[ID], Table4[Regular], "Not Found", 0)</f>
        <v>58</v>
      </c>
      <c r="R883" s="16">
        <f>_xlfn.XLOOKUP(CustomerCombinedCleaned[[#This Row],[ID]], Table4[ID], Table4[Deals], "Not Found", 0)</f>
        <v>1</v>
      </c>
      <c r="S883" s="16">
        <f>_xlfn.XLOOKUP(CustomerCombinedCleaned[[#This Row],[ID]], Table4[ID], Table4[Website], "Not Found", 0)</f>
        <v>1</v>
      </c>
      <c r="T883" s="16">
        <f>_xlfn.XLOOKUP(CustomerCombinedCleaned[[#This Row],[ID]], Table4[ID], Table4[Catalog], "Not Found", 0)</f>
        <v>0</v>
      </c>
      <c r="U883" s="16">
        <f>_xlfn.XLOOKUP(CustomerCombinedCleaned[[#This Row],[ID]], Table4[ID], Table4[Store], "Not Found", 0)</f>
        <v>3</v>
      </c>
      <c r="V883" s="16">
        <f>_xlfn.XLOOKUP(CustomerCombinedCleaned[[#This Row],[ID]], Table4[ID], Table4[Visits], "Not Found", 0)</f>
        <v>8</v>
      </c>
      <c r="W883" s="16">
        <f>_xlfn.XLOOKUP(CustomerCombinedCleaned[[#This Row],[ID]], Table2[ID],Table2[Complaint], "Not Found", 0 )</f>
        <v>0</v>
      </c>
      <c r="X883" s="16">
        <f>_xlfn.XLOOKUP(CustomerCombinedCleaned[[#This Row],[ID]], Table2[ID],Table2[Pilot], "Not Found", 0 )</f>
        <v>0</v>
      </c>
      <c r="Y883" s="16">
        <f>_xlfn.XLOOKUP(CustomerCombinedCleaned[[#This Row],[ID]], Table2[ID],Table2[MC1], "Not Found", 0 )</f>
        <v>0</v>
      </c>
      <c r="Z883" s="16">
        <f>_xlfn.XLOOKUP(CustomerCombinedCleaned[[#This Row],[ID]], Table2[ID],Table2[MC2], "Not Found", 0 )</f>
        <v>0</v>
      </c>
      <c r="AA883" s="16">
        <f>_xlfn.XLOOKUP(CustomerCombinedCleaned[[#This Row],[ID]], Table2[ID],Table2[MC3], "Not Found", 0 )</f>
        <v>0</v>
      </c>
      <c r="AB883" s="16">
        <f>_xlfn.XLOOKUP(CustomerCombinedCleaned[[#This Row],[ID]], Table2[ID],Table2[MC4], "Not Found", 0 )</f>
        <v>0</v>
      </c>
      <c r="AC883" s="16">
        <f>_xlfn.XLOOKUP(CustomerCombinedCleaned[[#This Row],[ID]], Table2[ID],Table2[MC5], "Not Found", 0 )</f>
        <v>0</v>
      </c>
    </row>
    <row r="884" spans="1:29" x14ac:dyDescent="0.3">
      <c r="A884" s="18">
        <v>1404</v>
      </c>
      <c r="B884" s="16">
        <v>137401</v>
      </c>
      <c r="C884" s="16">
        <v>1</v>
      </c>
      <c r="D884" s="16">
        <v>0</v>
      </c>
      <c r="E884" s="16">
        <v>47</v>
      </c>
      <c r="F884" s="17" t="s">
        <v>6</v>
      </c>
      <c r="G884" s="17" t="s">
        <v>13</v>
      </c>
      <c r="H884" s="3" t="s">
        <v>777</v>
      </c>
      <c r="I884" s="5" t="s">
        <v>436</v>
      </c>
      <c r="J884" s="16">
        <f>_xlfn.XLOOKUP(CustomerCombinedCleaned[[#This Row],[ID]], Table4[ID], Table4[Recency], "Not Found", 0)</f>
        <v>14</v>
      </c>
      <c r="K884" s="16">
        <f>_xlfn.XLOOKUP(CustomerCombinedCleaned[[#This Row],[ID]], Table4[ID], Table4[Teas], "Not Found", 0)</f>
        <v>70</v>
      </c>
      <c r="L884" s="16">
        <f>_xlfn.XLOOKUP(CustomerCombinedCleaned[[#This Row],[ID]], Table4[ID], Table4[Fruits], "Not Found", 0)</f>
        <v>11</v>
      </c>
      <c r="M884" s="16">
        <f>_xlfn.XLOOKUP(CustomerCombinedCleaned[[#This Row],[ID]], Table4[ID], Table4[Meats], "Not Found", 0)</f>
        <v>70</v>
      </c>
      <c r="N884" s="16">
        <f>_xlfn.XLOOKUP(CustomerCombinedCleaned[[#This Row],[ID]], Table4[ID], Table4[Seafood], "Not Found", 0)</f>
        <v>11</v>
      </c>
      <c r="O884" s="16">
        <f>_xlfn.XLOOKUP(CustomerCombinedCleaned[[#This Row],[ID]], Table4[ID], Table4[Sweets], "Not Found", 0)</f>
        <v>4</v>
      </c>
      <c r="P884" s="16">
        <f>_xlfn.XLOOKUP(CustomerCombinedCleaned[[#This Row],[ID]], Table4[ID], Table4[Premium], "Not Found", 0)</f>
        <v>11</v>
      </c>
      <c r="Q884" s="16">
        <f>_xlfn.XLOOKUP(CustomerCombinedCleaned[[#This Row],[ID]], Table4[ID], Table4[Regular], "Not Found", 0)</f>
        <v>154</v>
      </c>
      <c r="R884" s="16">
        <f>_xlfn.XLOOKUP(CustomerCombinedCleaned[[#This Row],[ID]], Table4[ID], Table4[Deals], "Not Found", 0)</f>
        <v>2</v>
      </c>
      <c r="S884" s="16">
        <f>_xlfn.XLOOKUP(CustomerCombinedCleaned[[#This Row],[ID]], Table4[ID], Table4[Website], "Not Found", 0)</f>
        <v>2</v>
      </c>
      <c r="T884" s="16">
        <f>_xlfn.XLOOKUP(CustomerCombinedCleaned[[#This Row],[ID]], Table4[ID], Table4[Catalog], "Not Found", 0)</f>
        <v>0</v>
      </c>
      <c r="U884" s="16">
        <f>_xlfn.XLOOKUP(CustomerCombinedCleaned[[#This Row],[ID]], Table4[ID], Table4[Store], "Not Found", 0)</f>
        <v>3</v>
      </c>
      <c r="V884" s="16">
        <f>_xlfn.XLOOKUP(CustomerCombinedCleaned[[#This Row],[ID]], Table4[ID], Table4[Visits], "Not Found", 0)</f>
        <v>7</v>
      </c>
      <c r="W884" s="16">
        <f>_xlfn.XLOOKUP(CustomerCombinedCleaned[[#This Row],[ID]], Table2[ID],Table2[Complaint], "Not Found", 0 )</f>
        <v>0</v>
      </c>
      <c r="X884" s="16">
        <f>_xlfn.XLOOKUP(CustomerCombinedCleaned[[#This Row],[ID]], Table2[ID],Table2[Pilot], "Not Found", 0 )</f>
        <v>0</v>
      </c>
      <c r="Y884" s="16">
        <f>_xlfn.XLOOKUP(CustomerCombinedCleaned[[#This Row],[ID]], Table2[ID],Table2[MC1], "Not Found", 0 )</f>
        <v>0</v>
      </c>
      <c r="Z884" s="16">
        <f>_xlfn.XLOOKUP(CustomerCombinedCleaned[[#This Row],[ID]], Table2[ID],Table2[MC2], "Not Found", 0 )</f>
        <v>0</v>
      </c>
      <c r="AA884" s="16">
        <f>_xlfn.XLOOKUP(CustomerCombinedCleaned[[#This Row],[ID]], Table2[ID],Table2[MC3], "Not Found", 0 )</f>
        <v>0</v>
      </c>
      <c r="AB884" s="16">
        <f>_xlfn.XLOOKUP(CustomerCombinedCleaned[[#This Row],[ID]], Table2[ID],Table2[MC4], "Not Found", 0 )</f>
        <v>0</v>
      </c>
      <c r="AC884" s="16">
        <f>_xlfn.XLOOKUP(CustomerCombinedCleaned[[#This Row],[ID]], Table2[ID],Table2[MC5], "Not Found", 0 )</f>
        <v>0</v>
      </c>
    </row>
    <row r="885" spans="1:29" x14ac:dyDescent="0.3">
      <c r="A885" s="18">
        <v>2499</v>
      </c>
      <c r="B885" s="16">
        <v>137401</v>
      </c>
      <c r="C885" s="16">
        <v>1</v>
      </c>
      <c r="D885" s="16">
        <v>0</v>
      </c>
      <c r="E885" s="16">
        <v>47</v>
      </c>
      <c r="F885" s="17" t="s">
        <v>6</v>
      </c>
      <c r="G885" s="17" t="s">
        <v>13</v>
      </c>
      <c r="H885" s="3" t="s">
        <v>777</v>
      </c>
      <c r="I885" s="5" t="s">
        <v>435</v>
      </c>
      <c r="J885" s="16">
        <f>_xlfn.XLOOKUP(CustomerCombinedCleaned[[#This Row],[ID]], Table4[ID], Table4[Recency], "Not Found", 0)</f>
        <v>14</v>
      </c>
      <c r="K885" s="16">
        <f>_xlfn.XLOOKUP(CustomerCombinedCleaned[[#This Row],[ID]], Table4[ID], Table4[Teas], "Not Found", 0)</f>
        <v>70</v>
      </c>
      <c r="L885" s="16">
        <f>_xlfn.XLOOKUP(CustomerCombinedCleaned[[#This Row],[ID]], Table4[ID], Table4[Fruits], "Not Found", 0)</f>
        <v>11</v>
      </c>
      <c r="M885" s="16">
        <f>_xlfn.XLOOKUP(CustomerCombinedCleaned[[#This Row],[ID]], Table4[ID], Table4[Meats], "Not Found", 0)</f>
        <v>70</v>
      </c>
      <c r="N885" s="16">
        <f>_xlfn.XLOOKUP(CustomerCombinedCleaned[[#This Row],[ID]], Table4[ID], Table4[Seafood], "Not Found", 0)</f>
        <v>11</v>
      </c>
      <c r="O885" s="16">
        <f>_xlfn.XLOOKUP(CustomerCombinedCleaned[[#This Row],[ID]], Table4[ID], Table4[Sweets], "Not Found", 0)</f>
        <v>4</v>
      </c>
      <c r="P885" s="16">
        <f>_xlfn.XLOOKUP(CustomerCombinedCleaned[[#This Row],[ID]], Table4[ID], Table4[Premium], "Not Found", 0)</f>
        <v>11</v>
      </c>
      <c r="Q885" s="16">
        <f>_xlfn.XLOOKUP(CustomerCombinedCleaned[[#This Row],[ID]], Table4[ID], Table4[Regular], "Not Found", 0)</f>
        <v>154</v>
      </c>
      <c r="R885" s="16">
        <f>_xlfn.XLOOKUP(CustomerCombinedCleaned[[#This Row],[ID]], Table4[ID], Table4[Deals], "Not Found", 0)</f>
        <v>2</v>
      </c>
      <c r="S885" s="16">
        <f>_xlfn.XLOOKUP(CustomerCombinedCleaned[[#This Row],[ID]], Table4[ID], Table4[Website], "Not Found", 0)</f>
        <v>2</v>
      </c>
      <c r="T885" s="16">
        <f>_xlfn.XLOOKUP(CustomerCombinedCleaned[[#This Row],[ID]], Table4[ID], Table4[Catalog], "Not Found", 0)</f>
        <v>0</v>
      </c>
      <c r="U885" s="16">
        <f>_xlfn.XLOOKUP(CustomerCombinedCleaned[[#This Row],[ID]], Table4[ID], Table4[Store], "Not Found", 0)</f>
        <v>3</v>
      </c>
      <c r="V885" s="16">
        <f>_xlfn.XLOOKUP(CustomerCombinedCleaned[[#This Row],[ID]], Table4[ID], Table4[Visits], "Not Found", 0)</f>
        <v>7</v>
      </c>
      <c r="W885" s="16">
        <f>_xlfn.XLOOKUP(CustomerCombinedCleaned[[#This Row],[ID]], Table2[ID],Table2[Complaint], "Not Found", 0 )</f>
        <v>0</v>
      </c>
      <c r="X885" s="16">
        <f>_xlfn.XLOOKUP(CustomerCombinedCleaned[[#This Row],[ID]], Table2[ID],Table2[Pilot], "Not Found", 0 )</f>
        <v>0</v>
      </c>
      <c r="Y885" s="16">
        <f>_xlfn.XLOOKUP(CustomerCombinedCleaned[[#This Row],[ID]], Table2[ID],Table2[MC1], "Not Found", 0 )</f>
        <v>0</v>
      </c>
      <c r="Z885" s="16">
        <f>_xlfn.XLOOKUP(CustomerCombinedCleaned[[#This Row],[ID]], Table2[ID],Table2[MC2], "Not Found", 0 )</f>
        <v>0</v>
      </c>
      <c r="AA885" s="16">
        <f>_xlfn.XLOOKUP(CustomerCombinedCleaned[[#This Row],[ID]], Table2[ID],Table2[MC3], "Not Found", 0 )</f>
        <v>0</v>
      </c>
      <c r="AB885" s="16">
        <f>_xlfn.XLOOKUP(CustomerCombinedCleaned[[#This Row],[ID]], Table2[ID],Table2[MC4], "Not Found", 0 )</f>
        <v>0</v>
      </c>
      <c r="AC885" s="16">
        <f>_xlfn.XLOOKUP(CustomerCombinedCleaned[[#This Row],[ID]], Table2[ID],Table2[MC5], "Not Found", 0 )</f>
        <v>0</v>
      </c>
    </row>
    <row r="886" spans="1:29" x14ac:dyDescent="0.3">
      <c r="A886" s="18">
        <v>1128</v>
      </c>
      <c r="B886" s="16">
        <v>135860</v>
      </c>
      <c r="C886" s="16">
        <v>1</v>
      </c>
      <c r="D886" s="16">
        <v>1</v>
      </c>
      <c r="E886" s="16">
        <v>47</v>
      </c>
      <c r="F886" s="17" t="s">
        <v>7</v>
      </c>
      <c r="G886" s="17" t="s">
        <v>13</v>
      </c>
      <c r="H886" s="3" t="s">
        <v>46</v>
      </c>
      <c r="I886" s="5" t="s">
        <v>436</v>
      </c>
      <c r="J886" s="16">
        <f>_xlfn.XLOOKUP(CustomerCombinedCleaned[[#This Row],[ID]], Table4[ID], Table4[Recency], "Not Found", 0)</f>
        <v>37</v>
      </c>
      <c r="K886" s="16">
        <f>_xlfn.XLOOKUP(CustomerCombinedCleaned[[#This Row],[ID]], Table4[ID], Table4[Teas], "Not Found", 0)</f>
        <v>57</v>
      </c>
      <c r="L886" s="16">
        <f>_xlfn.XLOOKUP(CustomerCombinedCleaned[[#This Row],[ID]], Table4[ID], Table4[Fruits], "Not Found", 0)</f>
        <v>0</v>
      </c>
      <c r="M886" s="16">
        <f>_xlfn.XLOOKUP(CustomerCombinedCleaned[[#This Row],[ID]], Table4[ID], Table4[Meats], "Not Found", 0)</f>
        <v>30</v>
      </c>
      <c r="N886" s="16">
        <f>_xlfn.XLOOKUP(CustomerCombinedCleaned[[#This Row],[ID]], Table4[ID], Table4[Seafood], "Not Found", 0)</f>
        <v>15</v>
      </c>
      <c r="O886" s="16">
        <f>_xlfn.XLOOKUP(CustomerCombinedCleaned[[#This Row],[ID]], Table4[ID], Table4[Sweets], "Not Found", 0)</f>
        <v>8</v>
      </c>
      <c r="P886" s="16">
        <f>_xlfn.XLOOKUP(CustomerCombinedCleaned[[#This Row],[ID]], Table4[ID], Table4[Premium], "Not Found", 0)</f>
        <v>76</v>
      </c>
      <c r="Q886" s="16">
        <f>_xlfn.XLOOKUP(CustomerCombinedCleaned[[#This Row],[ID]], Table4[ID], Table4[Regular], "Not Found", 0)</f>
        <v>34</v>
      </c>
      <c r="R886" s="16">
        <f>_xlfn.XLOOKUP(CustomerCombinedCleaned[[#This Row],[ID]], Table4[ID], Table4[Deals], "Not Found", 0)</f>
        <v>2</v>
      </c>
      <c r="S886" s="16">
        <f>_xlfn.XLOOKUP(CustomerCombinedCleaned[[#This Row],[ID]], Table4[ID], Table4[Website], "Not Found", 0)</f>
        <v>1</v>
      </c>
      <c r="T886" s="16">
        <f>_xlfn.XLOOKUP(CustomerCombinedCleaned[[#This Row],[ID]], Table4[ID], Table4[Catalog], "Not Found", 0)</f>
        <v>1</v>
      </c>
      <c r="U886" s="16">
        <f>_xlfn.XLOOKUP(CustomerCombinedCleaned[[#This Row],[ID]], Table4[ID], Table4[Store], "Not Found", 0)</f>
        <v>2</v>
      </c>
      <c r="V886" s="16">
        <f>_xlfn.XLOOKUP(CustomerCombinedCleaned[[#This Row],[ID]], Table4[ID], Table4[Visits], "Not Found", 0)</f>
        <v>5</v>
      </c>
      <c r="W886" s="16">
        <f>_xlfn.XLOOKUP(CustomerCombinedCleaned[[#This Row],[ID]], Table2[ID],Table2[Complaint], "Not Found", 0 )</f>
        <v>0</v>
      </c>
      <c r="X886" s="16">
        <f>_xlfn.XLOOKUP(CustomerCombinedCleaned[[#This Row],[ID]], Table2[ID],Table2[Pilot], "Not Found", 0 )</f>
        <v>1</v>
      </c>
      <c r="Y886" s="16">
        <f>_xlfn.XLOOKUP(CustomerCombinedCleaned[[#This Row],[ID]], Table2[ID],Table2[MC1], "Not Found", 0 )</f>
        <v>0</v>
      </c>
      <c r="Z886" s="16">
        <f>_xlfn.XLOOKUP(CustomerCombinedCleaned[[#This Row],[ID]], Table2[ID],Table2[MC2], "Not Found", 0 )</f>
        <v>0</v>
      </c>
      <c r="AA886" s="16">
        <f>_xlfn.XLOOKUP(CustomerCombinedCleaned[[#This Row],[ID]], Table2[ID],Table2[MC3], "Not Found", 0 )</f>
        <v>1</v>
      </c>
      <c r="AB886" s="16">
        <f>_xlfn.XLOOKUP(CustomerCombinedCleaned[[#This Row],[ID]], Table2[ID],Table2[MC4], "Not Found", 0 )</f>
        <v>0</v>
      </c>
      <c r="AC886" s="16">
        <f>_xlfn.XLOOKUP(CustomerCombinedCleaned[[#This Row],[ID]], Table2[ID],Table2[MC5], "Not Found", 0 )</f>
        <v>0</v>
      </c>
    </row>
    <row r="887" spans="1:29" x14ac:dyDescent="0.3">
      <c r="A887" s="18">
        <v>2044</v>
      </c>
      <c r="B887" s="16">
        <v>135860</v>
      </c>
      <c r="C887" s="16">
        <v>1</v>
      </c>
      <c r="D887" s="16">
        <v>1</v>
      </c>
      <c r="E887" s="16">
        <v>47</v>
      </c>
      <c r="F887" s="17" t="s">
        <v>5</v>
      </c>
      <c r="G887" s="17" t="s">
        <v>13</v>
      </c>
      <c r="H887" s="3" t="s">
        <v>46</v>
      </c>
      <c r="I887" s="5" t="s">
        <v>439</v>
      </c>
      <c r="J887" s="16">
        <f>_xlfn.XLOOKUP(CustomerCombinedCleaned[[#This Row],[ID]], Table4[ID], Table4[Recency], "Not Found", 0)</f>
        <v>37</v>
      </c>
      <c r="K887" s="16">
        <f>_xlfn.XLOOKUP(CustomerCombinedCleaned[[#This Row],[ID]], Table4[ID], Table4[Teas], "Not Found", 0)</f>
        <v>57</v>
      </c>
      <c r="L887" s="16">
        <f>_xlfn.XLOOKUP(CustomerCombinedCleaned[[#This Row],[ID]], Table4[ID], Table4[Fruits], "Not Found", 0)</f>
        <v>0</v>
      </c>
      <c r="M887" s="16">
        <f>_xlfn.XLOOKUP(CustomerCombinedCleaned[[#This Row],[ID]], Table4[ID], Table4[Meats], "Not Found", 0)</f>
        <v>30</v>
      </c>
      <c r="N887" s="16">
        <f>_xlfn.XLOOKUP(CustomerCombinedCleaned[[#This Row],[ID]], Table4[ID], Table4[Seafood], "Not Found", 0)</f>
        <v>15</v>
      </c>
      <c r="O887" s="16">
        <f>_xlfn.XLOOKUP(CustomerCombinedCleaned[[#This Row],[ID]], Table4[ID], Table4[Sweets], "Not Found", 0)</f>
        <v>8</v>
      </c>
      <c r="P887" s="16">
        <f>_xlfn.XLOOKUP(CustomerCombinedCleaned[[#This Row],[ID]], Table4[ID], Table4[Premium], "Not Found", 0)</f>
        <v>76</v>
      </c>
      <c r="Q887" s="16">
        <f>_xlfn.XLOOKUP(CustomerCombinedCleaned[[#This Row],[ID]], Table4[ID], Table4[Regular], "Not Found", 0)</f>
        <v>34</v>
      </c>
      <c r="R887" s="16">
        <f>_xlfn.XLOOKUP(CustomerCombinedCleaned[[#This Row],[ID]], Table4[ID], Table4[Deals], "Not Found", 0)</f>
        <v>2</v>
      </c>
      <c r="S887" s="16">
        <f>_xlfn.XLOOKUP(CustomerCombinedCleaned[[#This Row],[ID]], Table4[ID], Table4[Website], "Not Found", 0)</f>
        <v>1</v>
      </c>
      <c r="T887" s="16">
        <f>_xlfn.XLOOKUP(CustomerCombinedCleaned[[#This Row],[ID]], Table4[ID], Table4[Catalog], "Not Found", 0)</f>
        <v>1</v>
      </c>
      <c r="U887" s="16">
        <f>_xlfn.XLOOKUP(CustomerCombinedCleaned[[#This Row],[ID]], Table4[ID], Table4[Store], "Not Found", 0)</f>
        <v>2</v>
      </c>
      <c r="V887" s="16">
        <f>_xlfn.XLOOKUP(CustomerCombinedCleaned[[#This Row],[ID]], Table4[ID], Table4[Visits], "Not Found", 0)</f>
        <v>5</v>
      </c>
      <c r="W887" s="16">
        <f>_xlfn.XLOOKUP(CustomerCombinedCleaned[[#This Row],[ID]], Table2[ID],Table2[Complaint], "Not Found", 0 )</f>
        <v>0</v>
      </c>
      <c r="X887" s="16">
        <f>_xlfn.XLOOKUP(CustomerCombinedCleaned[[#This Row],[ID]], Table2[ID],Table2[Pilot], "Not Found", 0 )</f>
        <v>0</v>
      </c>
      <c r="Y887" s="16">
        <f>_xlfn.XLOOKUP(CustomerCombinedCleaned[[#This Row],[ID]], Table2[ID],Table2[MC1], "Not Found", 0 )</f>
        <v>0</v>
      </c>
      <c r="Z887" s="16">
        <f>_xlfn.XLOOKUP(CustomerCombinedCleaned[[#This Row],[ID]], Table2[ID],Table2[MC2], "Not Found", 0 )</f>
        <v>0</v>
      </c>
      <c r="AA887" s="16">
        <f>_xlfn.XLOOKUP(CustomerCombinedCleaned[[#This Row],[ID]], Table2[ID],Table2[MC3], "Not Found", 0 )</f>
        <v>1</v>
      </c>
      <c r="AB887" s="16">
        <f>_xlfn.XLOOKUP(CustomerCombinedCleaned[[#This Row],[ID]], Table2[ID],Table2[MC4], "Not Found", 0 )</f>
        <v>0</v>
      </c>
      <c r="AC887" s="16">
        <f>_xlfn.XLOOKUP(CustomerCombinedCleaned[[#This Row],[ID]], Table2[ID],Table2[MC5], "Not Found", 0 )</f>
        <v>0</v>
      </c>
    </row>
    <row r="888" spans="1:29" x14ac:dyDescent="0.3">
      <c r="A888" s="18">
        <v>2241</v>
      </c>
      <c r="B888" s="16">
        <v>135860</v>
      </c>
      <c r="C888" s="16">
        <v>1</v>
      </c>
      <c r="D888" s="16">
        <v>1</v>
      </c>
      <c r="E888" s="16">
        <v>47</v>
      </c>
      <c r="F888" s="17" t="s">
        <v>5</v>
      </c>
      <c r="G888" s="17" t="s">
        <v>13</v>
      </c>
      <c r="H888" s="3" t="s">
        <v>46</v>
      </c>
      <c r="I888" s="5" t="s">
        <v>435</v>
      </c>
      <c r="J888" s="16">
        <f>_xlfn.XLOOKUP(CustomerCombinedCleaned[[#This Row],[ID]], Table4[ID], Table4[Recency], "Not Found", 0)</f>
        <v>37</v>
      </c>
      <c r="K888" s="16">
        <f>_xlfn.XLOOKUP(CustomerCombinedCleaned[[#This Row],[ID]], Table4[ID], Table4[Teas], "Not Found", 0)</f>
        <v>57</v>
      </c>
      <c r="L888" s="16">
        <f>_xlfn.XLOOKUP(CustomerCombinedCleaned[[#This Row],[ID]], Table4[ID], Table4[Fruits], "Not Found", 0)</f>
        <v>0</v>
      </c>
      <c r="M888" s="16">
        <f>_xlfn.XLOOKUP(CustomerCombinedCleaned[[#This Row],[ID]], Table4[ID], Table4[Meats], "Not Found", 0)</f>
        <v>30</v>
      </c>
      <c r="N888" s="16">
        <f>_xlfn.XLOOKUP(CustomerCombinedCleaned[[#This Row],[ID]], Table4[ID], Table4[Seafood], "Not Found", 0)</f>
        <v>15</v>
      </c>
      <c r="O888" s="16">
        <f>_xlfn.XLOOKUP(CustomerCombinedCleaned[[#This Row],[ID]], Table4[ID], Table4[Sweets], "Not Found", 0)</f>
        <v>8</v>
      </c>
      <c r="P888" s="16">
        <f>_xlfn.XLOOKUP(CustomerCombinedCleaned[[#This Row],[ID]], Table4[ID], Table4[Premium], "Not Found", 0)</f>
        <v>76</v>
      </c>
      <c r="Q888" s="16">
        <f>_xlfn.XLOOKUP(CustomerCombinedCleaned[[#This Row],[ID]], Table4[ID], Table4[Regular], "Not Found", 0)</f>
        <v>34</v>
      </c>
      <c r="R888" s="16">
        <f>_xlfn.XLOOKUP(CustomerCombinedCleaned[[#This Row],[ID]], Table4[ID], Table4[Deals], "Not Found", 0)</f>
        <v>2</v>
      </c>
      <c r="S888" s="16">
        <f>_xlfn.XLOOKUP(CustomerCombinedCleaned[[#This Row],[ID]], Table4[ID], Table4[Website], "Not Found", 0)</f>
        <v>1</v>
      </c>
      <c r="T888" s="16">
        <f>_xlfn.XLOOKUP(CustomerCombinedCleaned[[#This Row],[ID]], Table4[ID], Table4[Catalog], "Not Found", 0)</f>
        <v>1</v>
      </c>
      <c r="U888" s="16">
        <f>_xlfn.XLOOKUP(CustomerCombinedCleaned[[#This Row],[ID]], Table4[ID], Table4[Store], "Not Found", 0)</f>
        <v>2</v>
      </c>
      <c r="V888" s="16">
        <f>_xlfn.XLOOKUP(CustomerCombinedCleaned[[#This Row],[ID]], Table4[ID], Table4[Visits], "Not Found", 0)</f>
        <v>5</v>
      </c>
      <c r="W888" s="16">
        <f>_xlfn.XLOOKUP(CustomerCombinedCleaned[[#This Row],[ID]], Table2[ID],Table2[Complaint], "Not Found", 0 )</f>
        <v>0</v>
      </c>
      <c r="X888" s="16">
        <f>_xlfn.XLOOKUP(CustomerCombinedCleaned[[#This Row],[ID]], Table2[ID],Table2[Pilot], "Not Found", 0 )</f>
        <v>0</v>
      </c>
      <c r="Y888" s="16">
        <f>_xlfn.XLOOKUP(CustomerCombinedCleaned[[#This Row],[ID]], Table2[ID],Table2[MC1], "Not Found", 0 )</f>
        <v>0</v>
      </c>
      <c r="Z888" s="16">
        <f>_xlfn.XLOOKUP(CustomerCombinedCleaned[[#This Row],[ID]], Table2[ID],Table2[MC2], "Not Found", 0 )</f>
        <v>0</v>
      </c>
      <c r="AA888" s="16">
        <f>_xlfn.XLOOKUP(CustomerCombinedCleaned[[#This Row],[ID]], Table2[ID],Table2[MC3], "Not Found", 0 )</f>
        <v>1</v>
      </c>
      <c r="AB888" s="16">
        <f>_xlfn.XLOOKUP(CustomerCombinedCleaned[[#This Row],[ID]], Table2[ID],Table2[MC4], "Not Found", 0 )</f>
        <v>0</v>
      </c>
      <c r="AC888" s="16">
        <f>_xlfn.XLOOKUP(CustomerCombinedCleaned[[#This Row],[ID]], Table2[ID],Table2[MC5], "Not Found", 0 )</f>
        <v>0</v>
      </c>
    </row>
    <row r="889" spans="1:29" x14ac:dyDescent="0.3">
      <c r="A889" s="18">
        <v>2561</v>
      </c>
      <c r="B889" s="16">
        <v>135860</v>
      </c>
      <c r="C889" s="16">
        <v>1</v>
      </c>
      <c r="D889" s="16">
        <v>1</v>
      </c>
      <c r="E889" s="16">
        <v>47</v>
      </c>
      <c r="F889" s="17" t="s">
        <v>5</v>
      </c>
      <c r="G889" s="17" t="s">
        <v>13</v>
      </c>
      <c r="H889" s="3" t="s">
        <v>46</v>
      </c>
      <c r="I889" s="5" t="s">
        <v>434</v>
      </c>
      <c r="J889" s="16">
        <f>_xlfn.XLOOKUP(CustomerCombinedCleaned[[#This Row],[ID]], Table4[ID], Table4[Recency], "Not Found", 0)</f>
        <v>37</v>
      </c>
      <c r="K889" s="16">
        <f>_xlfn.XLOOKUP(CustomerCombinedCleaned[[#This Row],[ID]], Table4[ID], Table4[Teas], "Not Found", 0)</f>
        <v>57</v>
      </c>
      <c r="L889" s="16">
        <f>_xlfn.XLOOKUP(CustomerCombinedCleaned[[#This Row],[ID]], Table4[ID], Table4[Fruits], "Not Found", 0)</f>
        <v>0</v>
      </c>
      <c r="M889" s="16">
        <f>_xlfn.XLOOKUP(CustomerCombinedCleaned[[#This Row],[ID]], Table4[ID], Table4[Meats], "Not Found", 0)</f>
        <v>30</v>
      </c>
      <c r="N889" s="16">
        <f>_xlfn.XLOOKUP(CustomerCombinedCleaned[[#This Row],[ID]], Table4[ID], Table4[Seafood], "Not Found", 0)</f>
        <v>15</v>
      </c>
      <c r="O889" s="16">
        <f>_xlfn.XLOOKUP(CustomerCombinedCleaned[[#This Row],[ID]], Table4[ID], Table4[Sweets], "Not Found", 0)</f>
        <v>8</v>
      </c>
      <c r="P889" s="16">
        <f>_xlfn.XLOOKUP(CustomerCombinedCleaned[[#This Row],[ID]], Table4[ID], Table4[Premium], "Not Found", 0)</f>
        <v>76</v>
      </c>
      <c r="Q889" s="16">
        <f>_xlfn.XLOOKUP(CustomerCombinedCleaned[[#This Row],[ID]], Table4[ID], Table4[Regular], "Not Found", 0)</f>
        <v>34</v>
      </c>
      <c r="R889" s="16">
        <f>_xlfn.XLOOKUP(CustomerCombinedCleaned[[#This Row],[ID]], Table4[ID], Table4[Deals], "Not Found", 0)</f>
        <v>2</v>
      </c>
      <c r="S889" s="16">
        <f>_xlfn.XLOOKUP(CustomerCombinedCleaned[[#This Row],[ID]], Table4[ID], Table4[Website], "Not Found", 0)</f>
        <v>1</v>
      </c>
      <c r="T889" s="16">
        <f>_xlfn.XLOOKUP(CustomerCombinedCleaned[[#This Row],[ID]], Table4[ID], Table4[Catalog], "Not Found", 0)</f>
        <v>1</v>
      </c>
      <c r="U889" s="16">
        <f>_xlfn.XLOOKUP(CustomerCombinedCleaned[[#This Row],[ID]], Table4[ID], Table4[Store], "Not Found", 0)</f>
        <v>2</v>
      </c>
      <c r="V889" s="16">
        <f>_xlfn.XLOOKUP(CustomerCombinedCleaned[[#This Row],[ID]], Table4[ID], Table4[Visits], "Not Found", 0)</f>
        <v>5</v>
      </c>
      <c r="W889" s="16">
        <f>_xlfn.XLOOKUP(CustomerCombinedCleaned[[#This Row],[ID]], Table2[ID],Table2[Complaint], "Not Found", 0 )</f>
        <v>0</v>
      </c>
      <c r="X889" s="16">
        <f>_xlfn.XLOOKUP(CustomerCombinedCleaned[[#This Row],[ID]], Table2[ID],Table2[Pilot], "Not Found", 0 )</f>
        <v>1</v>
      </c>
      <c r="Y889" s="16">
        <f>_xlfn.XLOOKUP(CustomerCombinedCleaned[[#This Row],[ID]], Table2[ID],Table2[MC1], "Not Found", 0 )</f>
        <v>0</v>
      </c>
      <c r="Z889" s="16">
        <f>_xlfn.XLOOKUP(CustomerCombinedCleaned[[#This Row],[ID]], Table2[ID],Table2[MC2], "Not Found", 0 )</f>
        <v>0</v>
      </c>
      <c r="AA889" s="16">
        <f>_xlfn.XLOOKUP(CustomerCombinedCleaned[[#This Row],[ID]], Table2[ID],Table2[MC3], "Not Found", 0 )</f>
        <v>1</v>
      </c>
      <c r="AB889" s="16">
        <f>_xlfn.XLOOKUP(CustomerCombinedCleaned[[#This Row],[ID]], Table2[ID],Table2[MC4], "Not Found", 0 )</f>
        <v>0</v>
      </c>
      <c r="AC889" s="16">
        <f>_xlfn.XLOOKUP(CustomerCombinedCleaned[[#This Row],[ID]], Table2[ID],Table2[MC5], "Not Found", 0 )</f>
        <v>0</v>
      </c>
    </row>
    <row r="890" spans="1:29" x14ac:dyDescent="0.3">
      <c r="A890" s="18">
        <v>1138</v>
      </c>
      <c r="B890" s="16">
        <v>135688</v>
      </c>
      <c r="C890" s="16">
        <v>2</v>
      </c>
      <c r="D890" s="16">
        <v>1</v>
      </c>
      <c r="E890" s="16">
        <v>47</v>
      </c>
      <c r="F890" s="17" t="s">
        <v>6</v>
      </c>
      <c r="G890" s="17" t="s">
        <v>11</v>
      </c>
      <c r="H890" s="3" t="s">
        <v>406</v>
      </c>
      <c r="I890" s="5" t="s">
        <v>439</v>
      </c>
      <c r="J890" s="16">
        <f>_xlfn.XLOOKUP(CustomerCombinedCleaned[[#This Row],[ID]], Table4[ID], Table4[Recency], "Not Found", 0)</f>
        <v>94</v>
      </c>
      <c r="K890" s="16">
        <f>_xlfn.XLOOKUP(CustomerCombinedCleaned[[#This Row],[ID]], Table4[ID], Table4[Teas], "Not Found", 0)</f>
        <v>278</v>
      </c>
      <c r="L890" s="16">
        <f>_xlfn.XLOOKUP(CustomerCombinedCleaned[[#This Row],[ID]], Table4[ID], Table4[Fruits], "Not Found", 0)</f>
        <v>11</v>
      </c>
      <c r="M890" s="16">
        <f>_xlfn.XLOOKUP(CustomerCombinedCleaned[[#This Row],[ID]], Table4[ID], Table4[Meats], "Not Found", 0)</f>
        <v>342</v>
      </c>
      <c r="N890" s="16">
        <f>_xlfn.XLOOKUP(CustomerCombinedCleaned[[#This Row],[ID]], Table4[ID], Table4[Seafood], "Not Found", 0)</f>
        <v>46</v>
      </c>
      <c r="O890" s="16">
        <f>_xlfn.XLOOKUP(CustomerCombinedCleaned[[#This Row],[ID]], Table4[ID], Table4[Sweets], "Not Found", 0)</f>
        <v>4</v>
      </c>
      <c r="P890" s="16">
        <f>_xlfn.XLOOKUP(CustomerCombinedCleaned[[#This Row],[ID]], Table4[ID], Table4[Premium], "Not Found", 0)</f>
        <v>122</v>
      </c>
      <c r="Q890" s="16">
        <f>_xlfn.XLOOKUP(CustomerCombinedCleaned[[#This Row],[ID]], Table4[ID], Table4[Regular], "Not Found", 0)</f>
        <v>559</v>
      </c>
      <c r="R890" s="16">
        <f>_xlfn.XLOOKUP(CustomerCombinedCleaned[[#This Row],[ID]], Table4[ID], Table4[Deals], "Not Found", 0)</f>
        <v>7</v>
      </c>
      <c r="S890" s="16">
        <f>_xlfn.XLOOKUP(CustomerCombinedCleaned[[#This Row],[ID]], Table4[ID], Table4[Website], "Not Found", 0)</f>
        <v>4</v>
      </c>
      <c r="T890" s="16">
        <f>_xlfn.XLOOKUP(CustomerCombinedCleaned[[#This Row],[ID]], Table4[ID], Table4[Catalog], "Not Found", 0)</f>
        <v>1</v>
      </c>
      <c r="U890" s="16">
        <f>_xlfn.XLOOKUP(CustomerCombinedCleaned[[#This Row],[ID]], Table4[ID], Table4[Store], "Not Found", 0)</f>
        <v>4</v>
      </c>
      <c r="V890" s="16">
        <f>_xlfn.XLOOKUP(CustomerCombinedCleaned[[#This Row],[ID]], Table4[ID], Table4[Visits], "Not Found", 0)</f>
        <v>8</v>
      </c>
      <c r="W890" s="16">
        <f>_xlfn.XLOOKUP(CustomerCombinedCleaned[[#This Row],[ID]], Table2[ID],Table2[Complaint], "Not Found", 0 )</f>
        <v>0</v>
      </c>
      <c r="X890" s="16">
        <f>_xlfn.XLOOKUP(CustomerCombinedCleaned[[#This Row],[ID]], Table2[ID],Table2[Pilot], "Not Found", 0 )</f>
        <v>0</v>
      </c>
      <c r="Y890" s="16">
        <f>_xlfn.XLOOKUP(CustomerCombinedCleaned[[#This Row],[ID]], Table2[ID],Table2[MC1], "Not Found", 0 )</f>
        <v>0</v>
      </c>
      <c r="Z890" s="16">
        <f>_xlfn.XLOOKUP(CustomerCombinedCleaned[[#This Row],[ID]], Table2[ID],Table2[MC2], "Not Found", 0 )</f>
        <v>0</v>
      </c>
      <c r="AA890" s="16">
        <f>_xlfn.XLOOKUP(CustomerCombinedCleaned[[#This Row],[ID]], Table2[ID],Table2[MC3], "Not Found", 0 )</f>
        <v>0</v>
      </c>
      <c r="AB890" s="16">
        <f>_xlfn.XLOOKUP(CustomerCombinedCleaned[[#This Row],[ID]], Table2[ID],Table2[MC4], "Not Found", 0 )</f>
        <v>0</v>
      </c>
      <c r="AC890" s="16">
        <f>_xlfn.XLOOKUP(CustomerCombinedCleaned[[#This Row],[ID]], Table2[ID],Table2[MC5], "Not Found", 0 )</f>
        <v>0</v>
      </c>
    </row>
    <row r="891" spans="1:29" x14ac:dyDescent="0.3">
      <c r="A891" s="18">
        <v>1367</v>
      </c>
      <c r="B891" s="16">
        <v>135688</v>
      </c>
      <c r="C891" s="16">
        <v>2</v>
      </c>
      <c r="D891" s="16">
        <v>1</v>
      </c>
      <c r="E891" s="16">
        <v>47</v>
      </c>
      <c r="F891" s="17" t="s">
        <v>6</v>
      </c>
      <c r="G891" s="17" t="s">
        <v>11</v>
      </c>
      <c r="H891" s="3" t="s">
        <v>406</v>
      </c>
      <c r="I891" s="5" t="s">
        <v>434</v>
      </c>
      <c r="J891" s="16">
        <f>_xlfn.XLOOKUP(CustomerCombinedCleaned[[#This Row],[ID]], Table4[ID], Table4[Recency], "Not Found", 0)</f>
        <v>94</v>
      </c>
      <c r="K891" s="16">
        <f>_xlfn.XLOOKUP(CustomerCombinedCleaned[[#This Row],[ID]], Table4[ID], Table4[Teas], "Not Found", 0)</f>
        <v>278</v>
      </c>
      <c r="L891" s="16">
        <f>_xlfn.XLOOKUP(CustomerCombinedCleaned[[#This Row],[ID]], Table4[ID], Table4[Fruits], "Not Found", 0)</f>
        <v>11</v>
      </c>
      <c r="M891" s="16">
        <f>_xlfn.XLOOKUP(CustomerCombinedCleaned[[#This Row],[ID]], Table4[ID], Table4[Meats], "Not Found", 0)</f>
        <v>342</v>
      </c>
      <c r="N891" s="16">
        <f>_xlfn.XLOOKUP(CustomerCombinedCleaned[[#This Row],[ID]], Table4[ID], Table4[Seafood], "Not Found", 0)</f>
        <v>46</v>
      </c>
      <c r="O891" s="16">
        <f>_xlfn.XLOOKUP(CustomerCombinedCleaned[[#This Row],[ID]], Table4[ID], Table4[Sweets], "Not Found", 0)</f>
        <v>4</v>
      </c>
      <c r="P891" s="16">
        <f>_xlfn.XLOOKUP(CustomerCombinedCleaned[[#This Row],[ID]], Table4[ID], Table4[Premium], "Not Found", 0)</f>
        <v>122</v>
      </c>
      <c r="Q891" s="16">
        <f>_xlfn.XLOOKUP(CustomerCombinedCleaned[[#This Row],[ID]], Table4[ID], Table4[Regular], "Not Found", 0)</f>
        <v>559</v>
      </c>
      <c r="R891" s="16">
        <f>_xlfn.XLOOKUP(CustomerCombinedCleaned[[#This Row],[ID]], Table4[ID], Table4[Deals], "Not Found", 0)</f>
        <v>7</v>
      </c>
      <c r="S891" s="16">
        <f>_xlfn.XLOOKUP(CustomerCombinedCleaned[[#This Row],[ID]], Table4[ID], Table4[Website], "Not Found", 0)</f>
        <v>4</v>
      </c>
      <c r="T891" s="16">
        <f>_xlfn.XLOOKUP(CustomerCombinedCleaned[[#This Row],[ID]], Table4[ID], Table4[Catalog], "Not Found", 0)</f>
        <v>1</v>
      </c>
      <c r="U891" s="16">
        <f>_xlfn.XLOOKUP(CustomerCombinedCleaned[[#This Row],[ID]], Table4[ID], Table4[Store], "Not Found", 0)</f>
        <v>4</v>
      </c>
      <c r="V891" s="16">
        <f>_xlfn.XLOOKUP(CustomerCombinedCleaned[[#This Row],[ID]], Table4[ID], Table4[Visits], "Not Found", 0)</f>
        <v>8</v>
      </c>
      <c r="W891" s="16">
        <f>_xlfn.XLOOKUP(CustomerCombinedCleaned[[#This Row],[ID]], Table2[ID],Table2[Complaint], "Not Found", 0 )</f>
        <v>0</v>
      </c>
      <c r="X891" s="16">
        <f>_xlfn.XLOOKUP(CustomerCombinedCleaned[[#This Row],[ID]], Table2[ID],Table2[Pilot], "Not Found", 0 )</f>
        <v>0</v>
      </c>
      <c r="Y891" s="16">
        <f>_xlfn.XLOOKUP(CustomerCombinedCleaned[[#This Row],[ID]], Table2[ID],Table2[MC1], "Not Found", 0 )</f>
        <v>0</v>
      </c>
      <c r="Z891" s="16">
        <f>_xlfn.XLOOKUP(CustomerCombinedCleaned[[#This Row],[ID]], Table2[ID],Table2[MC2], "Not Found", 0 )</f>
        <v>0</v>
      </c>
      <c r="AA891" s="16">
        <f>_xlfn.XLOOKUP(CustomerCombinedCleaned[[#This Row],[ID]], Table2[ID],Table2[MC3], "Not Found", 0 )</f>
        <v>0</v>
      </c>
      <c r="AB891" s="16">
        <f>_xlfn.XLOOKUP(CustomerCombinedCleaned[[#This Row],[ID]], Table2[ID],Table2[MC4], "Not Found", 0 )</f>
        <v>0</v>
      </c>
      <c r="AC891" s="16">
        <f>_xlfn.XLOOKUP(CustomerCombinedCleaned[[#This Row],[ID]], Table2[ID],Table2[MC5], "Not Found", 0 )</f>
        <v>0</v>
      </c>
    </row>
    <row r="892" spans="1:29" x14ac:dyDescent="0.3">
      <c r="A892" s="18">
        <v>2001</v>
      </c>
      <c r="B892" s="16">
        <v>134961</v>
      </c>
      <c r="C892" s="16">
        <v>1</v>
      </c>
      <c r="D892" s="16">
        <v>0</v>
      </c>
      <c r="E892" s="16">
        <v>47</v>
      </c>
      <c r="F892" s="17" t="s">
        <v>6</v>
      </c>
      <c r="G892" s="17" t="s">
        <v>11</v>
      </c>
      <c r="H892" s="3" t="s">
        <v>30</v>
      </c>
      <c r="I892" s="5" t="s">
        <v>435</v>
      </c>
      <c r="J892" s="16">
        <f>_xlfn.XLOOKUP(CustomerCombinedCleaned[[#This Row],[ID]], Table4[ID], Table4[Recency], "Not Found", 0)</f>
        <v>77</v>
      </c>
      <c r="K892" s="16">
        <f>_xlfn.XLOOKUP(CustomerCombinedCleaned[[#This Row],[ID]], Table4[ID], Table4[Teas], "Not Found", 0)</f>
        <v>174</v>
      </c>
      <c r="L892" s="16">
        <f>_xlfn.XLOOKUP(CustomerCombinedCleaned[[#This Row],[ID]], Table4[ID], Table4[Fruits], "Not Found", 0)</f>
        <v>8</v>
      </c>
      <c r="M892" s="16">
        <f>_xlfn.XLOOKUP(CustomerCombinedCleaned[[#This Row],[ID]], Table4[ID], Table4[Meats], "Not Found", 0)</f>
        <v>100</v>
      </c>
      <c r="N892" s="16">
        <f>_xlfn.XLOOKUP(CustomerCombinedCleaned[[#This Row],[ID]], Table4[ID], Table4[Seafood], "Not Found", 0)</f>
        <v>15</v>
      </c>
      <c r="O892" s="16">
        <f>_xlfn.XLOOKUP(CustomerCombinedCleaned[[#This Row],[ID]], Table4[ID], Table4[Sweets], "Not Found", 0)</f>
        <v>4</v>
      </c>
      <c r="P892" s="16">
        <f>_xlfn.XLOOKUP(CustomerCombinedCleaned[[#This Row],[ID]], Table4[ID], Table4[Premium], "Not Found", 0)</f>
        <v>4</v>
      </c>
      <c r="Q892" s="16">
        <f>_xlfn.XLOOKUP(CustomerCombinedCleaned[[#This Row],[ID]], Table4[ID], Table4[Regular], "Not Found", 0)</f>
        <v>297</v>
      </c>
      <c r="R892" s="16">
        <f>_xlfn.XLOOKUP(CustomerCombinedCleaned[[#This Row],[ID]], Table4[ID], Table4[Deals], "Not Found", 0)</f>
        <v>3</v>
      </c>
      <c r="S892" s="16">
        <f>_xlfn.XLOOKUP(CustomerCombinedCleaned[[#This Row],[ID]], Table4[ID], Table4[Website], "Not Found", 0)</f>
        <v>3</v>
      </c>
      <c r="T892" s="16">
        <f>_xlfn.XLOOKUP(CustomerCombinedCleaned[[#This Row],[ID]], Table4[ID], Table4[Catalog], "Not Found", 0)</f>
        <v>1</v>
      </c>
      <c r="U892" s="16">
        <f>_xlfn.XLOOKUP(CustomerCombinedCleaned[[#This Row],[ID]], Table4[ID], Table4[Store], "Not Found", 0)</f>
        <v>3</v>
      </c>
      <c r="V892" s="16">
        <f>_xlfn.XLOOKUP(CustomerCombinedCleaned[[#This Row],[ID]], Table4[ID], Table4[Visits], "Not Found", 0)</f>
        <v>7</v>
      </c>
      <c r="W892" s="16">
        <f>_xlfn.XLOOKUP(CustomerCombinedCleaned[[#This Row],[ID]], Table2[ID],Table2[Complaint], "Not Found", 0 )</f>
        <v>0</v>
      </c>
      <c r="X892" s="16">
        <f>_xlfn.XLOOKUP(CustomerCombinedCleaned[[#This Row],[ID]], Table2[ID],Table2[Pilot], "Not Found", 0 )</f>
        <v>0</v>
      </c>
      <c r="Y892" s="16">
        <f>_xlfn.XLOOKUP(CustomerCombinedCleaned[[#This Row],[ID]], Table2[ID],Table2[MC1], "Not Found", 0 )</f>
        <v>0</v>
      </c>
      <c r="Z892" s="16">
        <f>_xlfn.XLOOKUP(CustomerCombinedCleaned[[#This Row],[ID]], Table2[ID],Table2[MC2], "Not Found", 0 )</f>
        <v>0</v>
      </c>
      <c r="AA892" s="16">
        <f>_xlfn.XLOOKUP(CustomerCombinedCleaned[[#This Row],[ID]], Table2[ID],Table2[MC3], "Not Found", 0 )</f>
        <v>0</v>
      </c>
      <c r="AB892" s="16">
        <f>_xlfn.XLOOKUP(CustomerCombinedCleaned[[#This Row],[ID]], Table2[ID],Table2[MC4], "Not Found", 0 )</f>
        <v>0</v>
      </c>
      <c r="AC892" s="16">
        <f>_xlfn.XLOOKUP(CustomerCombinedCleaned[[#This Row],[ID]], Table2[ID],Table2[MC5], "Not Found", 0 )</f>
        <v>0</v>
      </c>
    </row>
    <row r="893" spans="1:29" x14ac:dyDescent="0.3">
      <c r="A893" s="18">
        <v>2409</v>
      </c>
      <c r="B893" s="16">
        <v>134853</v>
      </c>
      <c r="C893" s="16">
        <v>1</v>
      </c>
      <c r="D893" s="16">
        <v>1</v>
      </c>
      <c r="E893" s="16">
        <v>47</v>
      </c>
      <c r="F893" s="17" t="s">
        <v>7</v>
      </c>
      <c r="G893" s="17" t="s">
        <v>11</v>
      </c>
      <c r="H893" s="3" t="s">
        <v>125</v>
      </c>
      <c r="I893" s="5" t="s">
        <v>435</v>
      </c>
      <c r="J893" s="16">
        <f>_xlfn.XLOOKUP(CustomerCombinedCleaned[[#This Row],[ID]], Table4[ID], Table4[Recency], "Not Found", 0)</f>
        <v>75</v>
      </c>
      <c r="K893" s="16">
        <f>_xlfn.XLOOKUP(CustomerCombinedCleaned[[#This Row],[ID]], Table4[ID], Table4[Teas], "Not Found", 0)</f>
        <v>35</v>
      </c>
      <c r="L893" s="16">
        <f>_xlfn.XLOOKUP(CustomerCombinedCleaned[[#This Row],[ID]], Table4[ID], Table4[Fruits], "Not Found", 0)</f>
        <v>12</v>
      </c>
      <c r="M893" s="16">
        <f>_xlfn.XLOOKUP(CustomerCombinedCleaned[[#This Row],[ID]], Table4[ID], Table4[Meats], "Not Found", 0)</f>
        <v>58</v>
      </c>
      <c r="N893" s="16">
        <f>_xlfn.XLOOKUP(CustomerCombinedCleaned[[#This Row],[ID]], Table4[ID], Table4[Seafood], "Not Found", 0)</f>
        <v>8</v>
      </c>
      <c r="O893" s="16">
        <f>_xlfn.XLOOKUP(CustomerCombinedCleaned[[#This Row],[ID]], Table4[ID], Table4[Sweets], "Not Found", 0)</f>
        <v>12</v>
      </c>
      <c r="P893" s="16">
        <f>_xlfn.XLOOKUP(CustomerCombinedCleaned[[#This Row],[ID]], Table4[ID], Table4[Premium], "Not Found", 0)</f>
        <v>8</v>
      </c>
      <c r="Q893" s="16">
        <f>_xlfn.XLOOKUP(CustomerCombinedCleaned[[#This Row],[ID]], Table4[ID], Table4[Regular], "Not Found", 0)</f>
        <v>116</v>
      </c>
      <c r="R893" s="16">
        <f>_xlfn.XLOOKUP(CustomerCombinedCleaned[[#This Row],[ID]], Table4[ID], Table4[Deals], "Not Found", 0)</f>
        <v>2</v>
      </c>
      <c r="S893" s="16">
        <f>_xlfn.XLOOKUP(CustomerCombinedCleaned[[#This Row],[ID]], Table4[ID], Table4[Website], "Not Found", 0)</f>
        <v>2</v>
      </c>
      <c r="T893" s="16">
        <f>_xlfn.XLOOKUP(CustomerCombinedCleaned[[#This Row],[ID]], Table4[ID], Table4[Catalog], "Not Found", 0)</f>
        <v>0</v>
      </c>
      <c r="U893" s="16">
        <f>_xlfn.XLOOKUP(CustomerCombinedCleaned[[#This Row],[ID]], Table4[ID], Table4[Store], "Not Found", 0)</f>
        <v>3</v>
      </c>
      <c r="V893" s="16">
        <f>_xlfn.XLOOKUP(CustomerCombinedCleaned[[#This Row],[ID]], Table4[ID], Table4[Visits], "Not Found", 0)</f>
        <v>6</v>
      </c>
      <c r="W893" s="16">
        <f>_xlfn.XLOOKUP(CustomerCombinedCleaned[[#This Row],[ID]], Table2[ID],Table2[Complaint], "Not Found", 0 )</f>
        <v>0</v>
      </c>
      <c r="X893" s="16">
        <f>_xlfn.XLOOKUP(CustomerCombinedCleaned[[#This Row],[ID]], Table2[ID],Table2[Pilot], "Not Found", 0 )</f>
        <v>0</v>
      </c>
      <c r="Y893" s="16">
        <f>_xlfn.XLOOKUP(CustomerCombinedCleaned[[#This Row],[ID]], Table2[ID],Table2[MC1], "Not Found", 0 )</f>
        <v>0</v>
      </c>
      <c r="Z893" s="16">
        <f>_xlfn.XLOOKUP(CustomerCombinedCleaned[[#This Row],[ID]], Table2[ID],Table2[MC2], "Not Found", 0 )</f>
        <v>0</v>
      </c>
      <c r="AA893" s="16">
        <f>_xlfn.XLOOKUP(CustomerCombinedCleaned[[#This Row],[ID]], Table2[ID],Table2[MC3], "Not Found", 0 )</f>
        <v>0</v>
      </c>
      <c r="AB893" s="16">
        <f>_xlfn.XLOOKUP(CustomerCombinedCleaned[[#This Row],[ID]], Table2[ID],Table2[MC4], "Not Found", 0 )</f>
        <v>0</v>
      </c>
      <c r="AC893" s="16">
        <f>_xlfn.XLOOKUP(CustomerCombinedCleaned[[#This Row],[ID]], Table2[ID],Table2[MC5], "Not Found", 0 )</f>
        <v>0</v>
      </c>
    </row>
    <row r="894" spans="1:29" x14ac:dyDescent="0.3">
      <c r="A894" s="18">
        <v>1948</v>
      </c>
      <c r="B894" s="16">
        <v>133471</v>
      </c>
      <c r="C894" s="16">
        <v>1</v>
      </c>
      <c r="D894" s="16">
        <v>0</v>
      </c>
      <c r="E894" s="16">
        <v>47</v>
      </c>
      <c r="F894" s="17" t="s">
        <v>6</v>
      </c>
      <c r="G894" s="17" t="s">
        <v>11</v>
      </c>
      <c r="H894" s="3" t="s">
        <v>382</v>
      </c>
      <c r="I894" s="5" t="s">
        <v>439</v>
      </c>
      <c r="J894" s="16">
        <f>_xlfn.XLOOKUP(CustomerCombinedCleaned[[#This Row],[ID]], Table4[ID], Table4[Recency], "Not Found", 0)</f>
        <v>47</v>
      </c>
      <c r="K894" s="16">
        <f>_xlfn.XLOOKUP(CustomerCombinedCleaned[[#This Row],[ID]], Table4[ID], Table4[Teas], "Not Found", 0)</f>
        <v>171</v>
      </c>
      <c r="L894" s="16">
        <f>_xlfn.XLOOKUP(CustomerCombinedCleaned[[#This Row],[ID]], Table4[ID], Table4[Fruits], "Not Found", 0)</f>
        <v>8</v>
      </c>
      <c r="M894" s="16">
        <f>_xlfn.XLOOKUP(CustomerCombinedCleaned[[#This Row],[ID]], Table4[ID], Table4[Meats], "Not Found", 0)</f>
        <v>108</v>
      </c>
      <c r="N894" s="16">
        <f>_xlfn.XLOOKUP(CustomerCombinedCleaned[[#This Row],[ID]], Table4[ID], Table4[Seafood], "Not Found", 0)</f>
        <v>0</v>
      </c>
      <c r="O894" s="16">
        <f>_xlfn.XLOOKUP(CustomerCombinedCleaned[[#This Row],[ID]], Table4[ID], Table4[Sweets], "Not Found", 0)</f>
        <v>36</v>
      </c>
      <c r="P894" s="16">
        <f>_xlfn.XLOOKUP(CustomerCombinedCleaned[[#This Row],[ID]], Table4[ID], Table4[Premium], "Not Found", 0)</f>
        <v>48</v>
      </c>
      <c r="Q894" s="16">
        <f>_xlfn.XLOOKUP(CustomerCombinedCleaned[[#This Row],[ID]], Table4[ID], Table4[Regular], "Not Found", 0)</f>
        <v>275</v>
      </c>
      <c r="R894" s="16">
        <f>_xlfn.XLOOKUP(CustomerCombinedCleaned[[#This Row],[ID]], Table4[ID], Table4[Deals], "Not Found", 0)</f>
        <v>3</v>
      </c>
      <c r="S894" s="16">
        <f>_xlfn.XLOOKUP(CustomerCombinedCleaned[[#This Row],[ID]], Table4[ID], Table4[Website], "Not Found", 0)</f>
        <v>3</v>
      </c>
      <c r="T894" s="16">
        <f>_xlfn.XLOOKUP(CustomerCombinedCleaned[[#This Row],[ID]], Table4[ID], Table4[Catalog], "Not Found", 0)</f>
        <v>0</v>
      </c>
      <c r="U894" s="16">
        <f>_xlfn.XLOOKUP(CustomerCombinedCleaned[[#This Row],[ID]], Table4[ID], Table4[Store], "Not Found", 0)</f>
        <v>4</v>
      </c>
      <c r="V894" s="16">
        <f>_xlfn.XLOOKUP(CustomerCombinedCleaned[[#This Row],[ID]], Table4[ID], Table4[Visits], "Not Found", 0)</f>
        <v>7</v>
      </c>
      <c r="W894" s="16">
        <f>_xlfn.XLOOKUP(CustomerCombinedCleaned[[#This Row],[ID]], Table2[ID],Table2[Complaint], "Not Found", 0 )</f>
        <v>0</v>
      </c>
      <c r="X894" s="16">
        <f>_xlfn.XLOOKUP(CustomerCombinedCleaned[[#This Row],[ID]], Table2[ID],Table2[Pilot], "Not Found", 0 )</f>
        <v>0</v>
      </c>
      <c r="Y894" s="16">
        <f>_xlfn.XLOOKUP(CustomerCombinedCleaned[[#This Row],[ID]], Table2[ID],Table2[MC1], "Not Found", 0 )</f>
        <v>0</v>
      </c>
      <c r="Z894" s="16">
        <f>_xlfn.XLOOKUP(CustomerCombinedCleaned[[#This Row],[ID]], Table2[ID],Table2[MC2], "Not Found", 0 )</f>
        <v>0</v>
      </c>
      <c r="AA894" s="16">
        <f>_xlfn.XLOOKUP(CustomerCombinedCleaned[[#This Row],[ID]], Table2[ID],Table2[MC3], "Not Found", 0 )</f>
        <v>0</v>
      </c>
      <c r="AB894" s="16">
        <f>_xlfn.XLOOKUP(CustomerCombinedCleaned[[#This Row],[ID]], Table2[ID],Table2[MC4], "Not Found", 0 )</f>
        <v>0</v>
      </c>
      <c r="AC894" s="16">
        <f>_xlfn.XLOOKUP(CustomerCombinedCleaned[[#This Row],[ID]], Table2[ID],Table2[MC5], "Not Found", 0 )</f>
        <v>0</v>
      </c>
    </row>
    <row r="895" spans="1:29" x14ac:dyDescent="0.3">
      <c r="A895" s="18">
        <v>2973</v>
      </c>
      <c r="B895" s="16">
        <v>132644</v>
      </c>
      <c r="C895" s="16">
        <v>1</v>
      </c>
      <c r="D895" s="16">
        <v>0</v>
      </c>
      <c r="E895" s="16">
        <v>47</v>
      </c>
      <c r="F895" s="17" t="s">
        <v>6</v>
      </c>
      <c r="G895" s="17" t="s">
        <v>13</v>
      </c>
      <c r="H895" s="3" t="s">
        <v>324</v>
      </c>
      <c r="I895" s="5" t="s">
        <v>435</v>
      </c>
      <c r="J895" s="16">
        <f>_xlfn.XLOOKUP(CustomerCombinedCleaned[[#This Row],[ID]], Table4[ID], Table4[Recency], "Not Found", 0)</f>
        <v>38</v>
      </c>
      <c r="K895" s="16">
        <f>_xlfn.XLOOKUP(CustomerCombinedCleaned[[#This Row],[ID]], Table4[ID], Table4[Teas], "Not Found", 0)</f>
        <v>971</v>
      </c>
      <c r="L895" s="16">
        <f>_xlfn.XLOOKUP(CustomerCombinedCleaned[[#This Row],[ID]], Table4[ID], Table4[Fruits], "Not Found", 0)</f>
        <v>12</v>
      </c>
      <c r="M895" s="16">
        <f>_xlfn.XLOOKUP(CustomerCombinedCleaned[[#This Row],[ID]], Table4[ID], Table4[Meats], "Not Found", 0)</f>
        <v>573</v>
      </c>
      <c r="N895" s="16">
        <f>_xlfn.XLOOKUP(CustomerCombinedCleaned[[#This Row],[ID]], Table4[ID], Table4[Seafood], "Not Found", 0)</f>
        <v>0</v>
      </c>
      <c r="O895" s="16">
        <f>_xlfn.XLOOKUP(CustomerCombinedCleaned[[#This Row],[ID]], Table4[ID], Table4[Sweets], "Not Found", 0)</f>
        <v>28</v>
      </c>
      <c r="P895" s="16">
        <f>_xlfn.XLOOKUP(CustomerCombinedCleaned[[#This Row],[ID]], Table4[ID], Table4[Premium], "Not Found", 0)</f>
        <v>93</v>
      </c>
      <c r="Q895" s="16">
        <f>_xlfn.XLOOKUP(CustomerCombinedCleaned[[#This Row],[ID]], Table4[ID], Table4[Regular], "Not Found", 0)</f>
        <v>1491</v>
      </c>
      <c r="R895" s="16">
        <f>_xlfn.XLOOKUP(CustomerCombinedCleaned[[#This Row],[ID]], Table4[ID], Table4[Deals], "Not Found", 0)</f>
        <v>4</v>
      </c>
      <c r="S895" s="16">
        <f>_xlfn.XLOOKUP(CustomerCombinedCleaned[[#This Row],[ID]], Table4[ID], Table4[Website], "Not Found", 0)</f>
        <v>7</v>
      </c>
      <c r="T895" s="16">
        <f>_xlfn.XLOOKUP(CustomerCombinedCleaned[[#This Row],[ID]], Table4[ID], Table4[Catalog], "Not Found", 0)</f>
        <v>1</v>
      </c>
      <c r="U895" s="16">
        <f>_xlfn.XLOOKUP(CustomerCombinedCleaned[[#This Row],[ID]], Table4[ID], Table4[Store], "Not Found", 0)</f>
        <v>6</v>
      </c>
      <c r="V895" s="16">
        <f>_xlfn.XLOOKUP(CustomerCombinedCleaned[[#This Row],[ID]], Table4[ID], Table4[Visits], "Not Found", 0)</f>
        <v>8</v>
      </c>
      <c r="W895" s="16">
        <f>_xlfn.XLOOKUP(CustomerCombinedCleaned[[#This Row],[ID]], Table2[ID],Table2[Complaint], "Not Found", 0 )</f>
        <v>0</v>
      </c>
      <c r="X895" s="16">
        <f>_xlfn.XLOOKUP(CustomerCombinedCleaned[[#This Row],[ID]], Table2[ID],Table2[Pilot], "Not Found", 0 )</f>
        <v>0</v>
      </c>
      <c r="Y895" s="16">
        <f>_xlfn.XLOOKUP(CustomerCombinedCleaned[[#This Row],[ID]], Table2[ID],Table2[MC1], "Not Found", 0 )</f>
        <v>0</v>
      </c>
      <c r="Z895" s="16">
        <f>_xlfn.XLOOKUP(CustomerCombinedCleaned[[#This Row],[ID]], Table2[ID],Table2[MC2], "Not Found", 0 )</f>
        <v>0</v>
      </c>
      <c r="AA895" s="16">
        <f>_xlfn.XLOOKUP(CustomerCombinedCleaned[[#This Row],[ID]], Table2[ID],Table2[MC3], "Not Found", 0 )</f>
        <v>1</v>
      </c>
      <c r="AB895" s="16">
        <f>_xlfn.XLOOKUP(CustomerCombinedCleaned[[#This Row],[ID]], Table2[ID],Table2[MC4], "Not Found", 0 )</f>
        <v>0</v>
      </c>
      <c r="AC895" s="16">
        <f>_xlfn.XLOOKUP(CustomerCombinedCleaned[[#This Row],[ID]], Table2[ID],Table2[MC5], "Not Found", 0 )</f>
        <v>0</v>
      </c>
    </row>
    <row r="896" spans="1:29" x14ac:dyDescent="0.3">
      <c r="A896" s="18">
        <v>1999</v>
      </c>
      <c r="B896" s="16">
        <v>132300</v>
      </c>
      <c r="C896" s="16">
        <v>1</v>
      </c>
      <c r="D896" s="16">
        <v>0</v>
      </c>
      <c r="E896" s="16">
        <v>47</v>
      </c>
      <c r="F896" s="17" t="s">
        <v>6</v>
      </c>
      <c r="G896" s="17" t="s">
        <v>11</v>
      </c>
      <c r="H896" s="3" t="s">
        <v>787</v>
      </c>
      <c r="I896" s="5" t="s">
        <v>437</v>
      </c>
      <c r="J896" s="16">
        <f>_xlfn.XLOOKUP(CustomerCombinedCleaned[[#This Row],[ID]], Table4[ID], Table4[Recency], "Not Found", 0)</f>
        <v>1</v>
      </c>
      <c r="K896" s="16">
        <f>_xlfn.XLOOKUP(CustomerCombinedCleaned[[#This Row],[ID]], Table4[ID], Table4[Teas], "Not Found", 0)</f>
        <v>53</v>
      </c>
      <c r="L896" s="16">
        <f>_xlfn.XLOOKUP(CustomerCombinedCleaned[[#This Row],[ID]], Table4[ID], Table4[Fruits], "Not Found", 0)</f>
        <v>12</v>
      </c>
      <c r="M896" s="16">
        <f>_xlfn.XLOOKUP(CustomerCombinedCleaned[[#This Row],[ID]], Table4[ID], Table4[Meats], "Not Found", 0)</f>
        <v>25</v>
      </c>
      <c r="N896" s="16">
        <f>_xlfn.XLOOKUP(CustomerCombinedCleaned[[#This Row],[ID]], Table4[ID], Table4[Seafood], "Not Found", 0)</f>
        <v>25</v>
      </c>
      <c r="O896" s="16">
        <f>_xlfn.XLOOKUP(CustomerCombinedCleaned[[#This Row],[ID]], Table4[ID], Table4[Sweets], "Not Found", 0)</f>
        <v>20</v>
      </c>
      <c r="P896" s="16">
        <f>_xlfn.XLOOKUP(CustomerCombinedCleaned[[#This Row],[ID]], Table4[ID], Table4[Premium], "Not Found", 0)</f>
        <v>25</v>
      </c>
      <c r="Q896" s="16">
        <f>_xlfn.XLOOKUP(CustomerCombinedCleaned[[#This Row],[ID]], Table4[ID], Table4[Regular], "Not Found", 0)</f>
        <v>111</v>
      </c>
      <c r="R896" s="16">
        <f>_xlfn.XLOOKUP(CustomerCombinedCleaned[[#This Row],[ID]], Table4[ID], Table4[Deals], "Not Found", 0)</f>
        <v>1</v>
      </c>
      <c r="S896" s="16">
        <f>_xlfn.XLOOKUP(CustomerCombinedCleaned[[#This Row],[ID]], Table4[ID], Table4[Website], "Not Found", 0)</f>
        <v>1</v>
      </c>
      <c r="T896" s="16">
        <f>_xlfn.XLOOKUP(CustomerCombinedCleaned[[#This Row],[ID]], Table4[ID], Table4[Catalog], "Not Found", 0)</f>
        <v>0</v>
      </c>
      <c r="U896" s="16">
        <f>_xlfn.XLOOKUP(CustomerCombinedCleaned[[#This Row],[ID]], Table4[ID], Table4[Store], "Not Found", 0)</f>
        <v>3</v>
      </c>
      <c r="V896" s="16">
        <f>_xlfn.XLOOKUP(CustomerCombinedCleaned[[#This Row],[ID]], Table4[ID], Table4[Visits], "Not Found", 0)</f>
        <v>8</v>
      </c>
      <c r="W896" s="16">
        <f>_xlfn.XLOOKUP(CustomerCombinedCleaned[[#This Row],[ID]], Table2[ID],Table2[Complaint], "Not Found", 0 )</f>
        <v>0</v>
      </c>
      <c r="X896" s="16">
        <f>_xlfn.XLOOKUP(CustomerCombinedCleaned[[#This Row],[ID]], Table2[ID],Table2[Pilot], "Not Found", 0 )</f>
        <v>0</v>
      </c>
      <c r="Y896" s="16">
        <f>_xlfn.XLOOKUP(CustomerCombinedCleaned[[#This Row],[ID]], Table2[ID],Table2[MC1], "Not Found", 0 )</f>
        <v>0</v>
      </c>
      <c r="Z896" s="16">
        <f>_xlfn.XLOOKUP(CustomerCombinedCleaned[[#This Row],[ID]], Table2[ID],Table2[MC2], "Not Found", 0 )</f>
        <v>0</v>
      </c>
      <c r="AA896" s="16">
        <f>_xlfn.XLOOKUP(CustomerCombinedCleaned[[#This Row],[ID]], Table2[ID],Table2[MC3], "Not Found", 0 )</f>
        <v>0</v>
      </c>
      <c r="AB896" s="16">
        <f>_xlfn.XLOOKUP(CustomerCombinedCleaned[[#This Row],[ID]], Table2[ID],Table2[MC4], "Not Found", 0 )</f>
        <v>0</v>
      </c>
      <c r="AC896" s="16">
        <f>_xlfn.XLOOKUP(CustomerCombinedCleaned[[#This Row],[ID]], Table2[ID],Table2[MC5], "Not Found", 0 )</f>
        <v>0</v>
      </c>
    </row>
    <row r="897" spans="1:29" x14ac:dyDescent="0.3">
      <c r="A897" s="18">
        <v>1871</v>
      </c>
      <c r="B897" s="16">
        <v>131814</v>
      </c>
      <c r="C897" s="16">
        <v>1</v>
      </c>
      <c r="D897" s="16">
        <v>0</v>
      </c>
      <c r="E897" s="16">
        <v>47</v>
      </c>
      <c r="F897" s="17" t="s">
        <v>6</v>
      </c>
      <c r="G897" s="17" t="s">
        <v>11</v>
      </c>
      <c r="H897" s="3" t="s">
        <v>314</v>
      </c>
      <c r="I897" s="5" t="s">
        <v>434</v>
      </c>
      <c r="J897" s="16">
        <f>_xlfn.XLOOKUP(CustomerCombinedCleaned[[#This Row],[ID]], Table4[ID], Table4[Recency], "Not Found", 0)</f>
        <v>73</v>
      </c>
      <c r="K897" s="16">
        <f>_xlfn.XLOOKUP(CustomerCombinedCleaned[[#This Row],[ID]], Table4[ID], Table4[Teas], "Not Found", 0)</f>
        <v>145</v>
      </c>
      <c r="L897" s="16">
        <f>_xlfn.XLOOKUP(CustomerCombinedCleaned[[#This Row],[ID]], Table4[ID], Table4[Fruits], "Not Found", 0)</f>
        <v>12</v>
      </c>
      <c r="M897" s="16">
        <f>_xlfn.XLOOKUP(CustomerCombinedCleaned[[#This Row],[ID]], Table4[ID], Table4[Meats], "Not Found", 0)</f>
        <v>83</v>
      </c>
      <c r="N897" s="16">
        <f>_xlfn.XLOOKUP(CustomerCombinedCleaned[[#This Row],[ID]], Table4[ID], Table4[Seafood], "Not Found", 0)</f>
        <v>17</v>
      </c>
      <c r="O897" s="16">
        <f>_xlfn.XLOOKUP(CustomerCombinedCleaned[[#This Row],[ID]], Table4[ID], Table4[Sweets], "Not Found", 0)</f>
        <v>4</v>
      </c>
      <c r="P897" s="16">
        <f>_xlfn.XLOOKUP(CustomerCombinedCleaned[[#This Row],[ID]], Table4[ID], Table4[Premium], "Not Found", 0)</f>
        <v>83</v>
      </c>
      <c r="Q897" s="16">
        <f>_xlfn.XLOOKUP(CustomerCombinedCleaned[[#This Row],[ID]], Table4[ID], Table4[Regular], "Not Found", 0)</f>
        <v>178</v>
      </c>
      <c r="R897" s="16">
        <f>_xlfn.XLOOKUP(CustomerCombinedCleaned[[#This Row],[ID]], Table4[ID], Table4[Deals], "Not Found", 0)</f>
        <v>2</v>
      </c>
      <c r="S897" s="16">
        <f>_xlfn.XLOOKUP(CustomerCombinedCleaned[[#This Row],[ID]], Table4[ID], Table4[Website], "Not Found", 0)</f>
        <v>2</v>
      </c>
      <c r="T897" s="16">
        <f>_xlfn.XLOOKUP(CustomerCombinedCleaned[[#This Row],[ID]], Table4[ID], Table4[Catalog], "Not Found", 0)</f>
        <v>0</v>
      </c>
      <c r="U897" s="16">
        <f>_xlfn.XLOOKUP(CustomerCombinedCleaned[[#This Row],[ID]], Table4[ID], Table4[Store], "Not Found", 0)</f>
        <v>3</v>
      </c>
      <c r="V897" s="16">
        <f>_xlfn.XLOOKUP(CustomerCombinedCleaned[[#This Row],[ID]], Table4[ID], Table4[Visits], "Not Found", 0)</f>
        <v>9</v>
      </c>
      <c r="W897" s="16">
        <f>_xlfn.XLOOKUP(CustomerCombinedCleaned[[#This Row],[ID]], Table2[ID],Table2[Complaint], "Not Found", 0 )</f>
        <v>0</v>
      </c>
      <c r="X897" s="16">
        <f>_xlfn.XLOOKUP(CustomerCombinedCleaned[[#This Row],[ID]], Table2[ID],Table2[Pilot], "Not Found", 0 )</f>
        <v>0</v>
      </c>
      <c r="Y897" s="16">
        <f>_xlfn.XLOOKUP(CustomerCombinedCleaned[[#This Row],[ID]], Table2[ID],Table2[MC1], "Not Found", 0 )</f>
        <v>0</v>
      </c>
      <c r="Z897" s="16">
        <f>_xlfn.XLOOKUP(CustomerCombinedCleaned[[#This Row],[ID]], Table2[ID],Table2[MC2], "Not Found", 0 )</f>
        <v>0</v>
      </c>
      <c r="AA897" s="16">
        <f>_xlfn.XLOOKUP(CustomerCombinedCleaned[[#This Row],[ID]], Table2[ID],Table2[MC3], "Not Found", 0 )</f>
        <v>1</v>
      </c>
      <c r="AB897" s="16">
        <f>_xlfn.XLOOKUP(CustomerCombinedCleaned[[#This Row],[ID]], Table2[ID],Table2[MC4], "Not Found", 0 )</f>
        <v>0</v>
      </c>
      <c r="AC897" s="16">
        <f>_xlfn.XLOOKUP(CustomerCombinedCleaned[[#This Row],[ID]], Table2[ID],Table2[MC5], "Not Found", 0 )</f>
        <v>0</v>
      </c>
    </row>
    <row r="898" spans="1:29" x14ac:dyDescent="0.3">
      <c r="A898" s="18">
        <v>2407</v>
      </c>
      <c r="B898" s="16">
        <v>131163</v>
      </c>
      <c r="C898" s="16">
        <v>1</v>
      </c>
      <c r="D898" s="16">
        <v>0</v>
      </c>
      <c r="E898" s="16">
        <v>47</v>
      </c>
      <c r="F898" s="17" t="s">
        <v>5</v>
      </c>
      <c r="G898" s="17" t="s">
        <v>11</v>
      </c>
      <c r="H898" s="3" t="s">
        <v>100</v>
      </c>
      <c r="I898" s="5" t="s">
        <v>437</v>
      </c>
      <c r="J898" s="16">
        <f>_xlfn.XLOOKUP(CustomerCombinedCleaned[[#This Row],[ID]], Table4[ID], Table4[Recency], "Not Found", 0)</f>
        <v>54</v>
      </c>
      <c r="K898" s="16">
        <f>_xlfn.XLOOKUP(CustomerCombinedCleaned[[#This Row],[ID]], Table4[ID], Table4[Teas], "Not Found", 0)</f>
        <v>8</v>
      </c>
      <c r="L898" s="16">
        <f>_xlfn.XLOOKUP(CustomerCombinedCleaned[[#This Row],[ID]], Table4[ID], Table4[Fruits], "Not Found", 0)</f>
        <v>13</v>
      </c>
      <c r="M898" s="16">
        <f>_xlfn.XLOOKUP(CustomerCombinedCleaned[[#This Row],[ID]], Table4[ID], Table4[Meats], "Not Found", 0)</f>
        <v>42</v>
      </c>
      <c r="N898" s="16">
        <f>_xlfn.XLOOKUP(CustomerCombinedCleaned[[#This Row],[ID]], Table4[ID], Table4[Seafood], "Not Found", 0)</f>
        <v>46</v>
      </c>
      <c r="O898" s="16">
        <f>_xlfn.XLOOKUP(CustomerCombinedCleaned[[#This Row],[ID]], Table4[ID], Table4[Sweets], "Not Found", 0)</f>
        <v>8</v>
      </c>
      <c r="P898" s="16">
        <f>_xlfn.XLOOKUP(CustomerCombinedCleaned[[#This Row],[ID]], Table4[ID], Table4[Premium], "Not Found", 0)</f>
        <v>42</v>
      </c>
      <c r="Q898" s="16">
        <f>_xlfn.XLOOKUP(CustomerCombinedCleaned[[#This Row],[ID]], Table4[ID], Table4[Regular], "Not Found", 0)</f>
        <v>76</v>
      </c>
      <c r="R898" s="16">
        <f>_xlfn.XLOOKUP(CustomerCombinedCleaned[[#This Row],[ID]], Table4[ID], Table4[Deals], "Not Found", 0)</f>
        <v>1</v>
      </c>
      <c r="S898" s="16">
        <f>_xlfn.XLOOKUP(CustomerCombinedCleaned[[#This Row],[ID]], Table4[ID], Table4[Website], "Not Found", 0)</f>
        <v>1</v>
      </c>
      <c r="T898" s="16">
        <f>_xlfn.XLOOKUP(CustomerCombinedCleaned[[#This Row],[ID]], Table4[ID], Table4[Catalog], "Not Found", 0)</f>
        <v>0</v>
      </c>
      <c r="U898" s="16">
        <f>_xlfn.XLOOKUP(CustomerCombinedCleaned[[#This Row],[ID]], Table4[ID], Table4[Store], "Not Found", 0)</f>
        <v>3</v>
      </c>
      <c r="V898" s="16">
        <f>_xlfn.XLOOKUP(CustomerCombinedCleaned[[#This Row],[ID]], Table4[ID], Table4[Visits], "Not Found", 0)</f>
        <v>6</v>
      </c>
      <c r="W898" s="16">
        <f>_xlfn.XLOOKUP(CustomerCombinedCleaned[[#This Row],[ID]], Table2[ID],Table2[Complaint], "Not Found", 0 )</f>
        <v>0</v>
      </c>
      <c r="X898" s="16">
        <f>_xlfn.XLOOKUP(CustomerCombinedCleaned[[#This Row],[ID]], Table2[ID],Table2[Pilot], "Not Found", 0 )</f>
        <v>0</v>
      </c>
      <c r="Y898" s="16">
        <f>_xlfn.XLOOKUP(CustomerCombinedCleaned[[#This Row],[ID]], Table2[ID],Table2[MC1], "Not Found", 0 )</f>
        <v>0</v>
      </c>
      <c r="Z898" s="16">
        <f>_xlfn.XLOOKUP(CustomerCombinedCleaned[[#This Row],[ID]], Table2[ID],Table2[MC2], "Not Found", 0 )</f>
        <v>0</v>
      </c>
      <c r="AA898" s="16">
        <f>_xlfn.XLOOKUP(CustomerCombinedCleaned[[#This Row],[ID]], Table2[ID],Table2[MC3], "Not Found", 0 )</f>
        <v>0</v>
      </c>
      <c r="AB898" s="16">
        <f>_xlfn.XLOOKUP(CustomerCombinedCleaned[[#This Row],[ID]], Table2[ID],Table2[MC4], "Not Found", 0 )</f>
        <v>0</v>
      </c>
      <c r="AC898" s="16">
        <f>_xlfn.XLOOKUP(CustomerCombinedCleaned[[#This Row],[ID]], Table2[ID],Table2[MC5], "Not Found", 0 )</f>
        <v>0</v>
      </c>
    </row>
    <row r="899" spans="1:29" x14ac:dyDescent="0.3">
      <c r="A899" s="18">
        <v>2477</v>
      </c>
      <c r="B899" s="16">
        <v>131163</v>
      </c>
      <c r="C899" s="16">
        <v>1</v>
      </c>
      <c r="D899" s="16">
        <v>0</v>
      </c>
      <c r="E899" s="16">
        <v>47</v>
      </c>
      <c r="F899" s="17" t="s">
        <v>5</v>
      </c>
      <c r="G899" s="17" t="s">
        <v>11</v>
      </c>
      <c r="H899" s="3" t="s">
        <v>100</v>
      </c>
      <c r="I899" s="5" t="s">
        <v>434</v>
      </c>
      <c r="J899" s="16">
        <f>_xlfn.XLOOKUP(CustomerCombinedCleaned[[#This Row],[ID]], Table4[ID], Table4[Recency], "Not Found", 0)</f>
        <v>54</v>
      </c>
      <c r="K899" s="16">
        <f>_xlfn.XLOOKUP(CustomerCombinedCleaned[[#This Row],[ID]], Table4[ID], Table4[Teas], "Not Found", 0)</f>
        <v>8</v>
      </c>
      <c r="L899" s="16">
        <f>_xlfn.XLOOKUP(CustomerCombinedCleaned[[#This Row],[ID]], Table4[ID], Table4[Fruits], "Not Found", 0)</f>
        <v>13</v>
      </c>
      <c r="M899" s="16">
        <f>_xlfn.XLOOKUP(CustomerCombinedCleaned[[#This Row],[ID]], Table4[ID], Table4[Meats], "Not Found", 0)</f>
        <v>42</v>
      </c>
      <c r="N899" s="16">
        <f>_xlfn.XLOOKUP(CustomerCombinedCleaned[[#This Row],[ID]], Table4[ID], Table4[Seafood], "Not Found", 0)</f>
        <v>46</v>
      </c>
      <c r="O899" s="16">
        <f>_xlfn.XLOOKUP(CustomerCombinedCleaned[[#This Row],[ID]], Table4[ID], Table4[Sweets], "Not Found", 0)</f>
        <v>8</v>
      </c>
      <c r="P899" s="16">
        <f>_xlfn.XLOOKUP(CustomerCombinedCleaned[[#This Row],[ID]], Table4[ID], Table4[Premium], "Not Found", 0)</f>
        <v>42</v>
      </c>
      <c r="Q899" s="16">
        <f>_xlfn.XLOOKUP(CustomerCombinedCleaned[[#This Row],[ID]], Table4[ID], Table4[Regular], "Not Found", 0)</f>
        <v>76</v>
      </c>
      <c r="R899" s="16">
        <f>_xlfn.XLOOKUP(CustomerCombinedCleaned[[#This Row],[ID]], Table4[ID], Table4[Deals], "Not Found", 0)</f>
        <v>1</v>
      </c>
      <c r="S899" s="16">
        <f>_xlfn.XLOOKUP(CustomerCombinedCleaned[[#This Row],[ID]], Table4[ID], Table4[Website], "Not Found", 0)</f>
        <v>1</v>
      </c>
      <c r="T899" s="16">
        <f>_xlfn.XLOOKUP(CustomerCombinedCleaned[[#This Row],[ID]], Table4[ID], Table4[Catalog], "Not Found", 0)</f>
        <v>0</v>
      </c>
      <c r="U899" s="16">
        <f>_xlfn.XLOOKUP(CustomerCombinedCleaned[[#This Row],[ID]], Table4[ID], Table4[Store], "Not Found", 0)</f>
        <v>3</v>
      </c>
      <c r="V899" s="16">
        <f>_xlfn.XLOOKUP(CustomerCombinedCleaned[[#This Row],[ID]], Table4[ID], Table4[Visits], "Not Found", 0)</f>
        <v>6</v>
      </c>
      <c r="W899" s="16">
        <f>_xlfn.XLOOKUP(CustomerCombinedCleaned[[#This Row],[ID]], Table2[ID],Table2[Complaint], "Not Found", 0 )</f>
        <v>0</v>
      </c>
      <c r="X899" s="16">
        <f>_xlfn.XLOOKUP(CustomerCombinedCleaned[[#This Row],[ID]], Table2[ID],Table2[Pilot], "Not Found", 0 )</f>
        <v>0</v>
      </c>
      <c r="Y899" s="16">
        <f>_xlfn.XLOOKUP(CustomerCombinedCleaned[[#This Row],[ID]], Table2[ID],Table2[MC1], "Not Found", 0 )</f>
        <v>0</v>
      </c>
      <c r="Z899" s="16">
        <f>_xlfn.XLOOKUP(CustomerCombinedCleaned[[#This Row],[ID]], Table2[ID],Table2[MC2], "Not Found", 0 )</f>
        <v>0</v>
      </c>
      <c r="AA899" s="16">
        <f>_xlfn.XLOOKUP(CustomerCombinedCleaned[[#This Row],[ID]], Table2[ID],Table2[MC3], "Not Found", 0 )</f>
        <v>0</v>
      </c>
      <c r="AB899" s="16">
        <f>_xlfn.XLOOKUP(CustomerCombinedCleaned[[#This Row],[ID]], Table2[ID],Table2[MC4], "Not Found", 0 )</f>
        <v>0</v>
      </c>
      <c r="AC899" s="16">
        <f>_xlfn.XLOOKUP(CustomerCombinedCleaned[[#This Row],[ID]], Table2[ID],Table2[MC5], "Not Found", 0 )</f>
        <v>0</v>
      </c>
    </row>
    <row r="900" spans="1:29" x14ac:dyDescent="0.3">
      <c r="A900" s="18">
        <v>3051</v>
      </c>
      <c r="B900" s="16">
        <v>127803</v>
      </c>
      <c r="C900" s="16">
        <v>1</v>
      </c>
      <c r="D900" s="16">
        <v>0</v>
      </c>
      <c r="E900" s="16">
        <v>47</v>
      </c>
      <c r="F900" s="17" t="s">
        <v>6</v>
      </c>
      <c r="G900" s="17" t="s">
        <v>11</v>
      </c>
      <c r="H900" s="3" t="s">
        <v>402</v>
      </c>
      <c r="I900" s="5" t="s">
        <v>435</v>
      </c>
      <c r="J900" s="16">
        <f>_xlfn.XLOOKUP(CustomerCombinedCleaned[[#This Row],[ID]], Table4[ID], Table4[Recency], "Not Found", 0)</f>
        <v>40</v>
      </c>
      <c r="K900" s="16">
        <f>_xlfn.XLOOKUP(CustomerCombinedCleaned[[#This Row],[ID]], Table4[ID], Table4[Teas], "Not Found", 0)</f>
        <v>37</v>
      </c>
      <c r="L900" s="16">
        <f>_xlfn.XLOOKUP(CustomerCombinedCleaned[[#This Row],[ID]], Table4[ID], Table4[Fruits], "Not Found", 0)</f>
        <v>120</v>
      </c>
      <c r="M900" s="16">
        <f>_xlfn.XLOOKUP(CustomerCombinedCleaned[[#This Row],[ID]], Table4[ID], Table4[Meats], "Not Found", 0)</f>
        <v>211</v>
      </c>
      <c r="N900" s="16">
        <f>_xlfn.XLOOKUP(CustomerCombinedCleaned[[#This Row],[ID]], Table4[ID], Table4[Seafood], "Not Found", 0)</f>
        <v>175</v>
      </c>
      <c r="O900" s="16">
        <f>_xlfn.XLOOKUP(CustomerCombinedCleaned[[#This Row],[ID]], Table4[ID], Table4[Sweets], "Not Found", 0)</f>
        <v>41</v>
      </c>
      <c r="P900" s="16">
        <f>_xlfn.XLOOKUP(CustomerCombinedCleaned[[#This Row],[ID]], Table4[ID], Table4[Premium], "Not Found", 0)</f>
        <v>225</v>
      </c>
      <c r="Q900" s="16">
        <f>_xlfn.XLOOKUP(CustomerCombinedCleaned[[#This Row],[ID]], Table4[ID], Table4[Regular], "Not Found", 0)</f>
        <v>359</v>
      </c>
      <c r="R900" s="16">
        <f>_xlfn.XLOOKUP(CustomerCombinedCleaned[[#This Row],[ID]], Table4[ID], Table4[Deals], "Not Found", 0)</f>
        <v>2</v>
      </c>
      <c r="S900" s="16">
        <f>_xlfn.XLOOKUP(CustomerCombinedCleaned[[#This Row],[ID]], Table4[ID], Table4[Website], "Not Found", 0)</f>
        <v>3</v>
      </c>
      <c r="T900" s="16">
        <f>_xlfn.XLOOKUP(CustomerCombinedCleaned[[#This Row],[ID]], Table4[ID], Table4[Catalog], "Not Found", 0)</f>
        <v>0</v>
      </c>
      <c r="U900" s="16">
        <f>_xlfn.XLOOKUP(CustomerCombinedCleaned[[#This Row],[ID]], Table4[ID], Table4[Store], "Not Found", 0)</f>
        <v>4</v>
      </c>
      <c r="V900" s="16">
        <f>_xlfn.XLOOKUP(CustomerCombinedCleaned[[#This Row],[ID]], Table4[ID], Table4[Visits], "Not Found", 0)</f>
        <v>8</v>
      </c>
      <c r="W900" s="16">
        <f>_xlfn.XLOOKUP(CustomerCombinedCleaned[[#This Row],[ID]], Table2[ID],Table2[Complaint], "Not Found", 0 )</f>
        <v>0</v>
      </c>
      <c r="X900" s="16">
        <f>_xlfn.XLOOKUP(CustomerCombinedCleaned[[#This Row],[ID]], Table2[ID],Table2[Pilot], "Not Found", 0 )</f>
        <v>0</v>
      </c>
      <c r="Y900" s="16">
        <f>_xlfn.XLOOKUP(CustomerCombinedCleaned[[#This Row],[ID]], Table2[ID],Table2[MC1], "Not Found", 0 )</f>
        <v>0</v>
      </c>
      <c r="Z900" s="16">
        <f>_xlfn.XLOOKUP(CustomerCombinedCleaned[[#This Row],[ID]], Table2[ID],Table2[MC2], "Not Found", 0 )</f>
        <v>0</v>
      </c>
      <c r="AA900" s="16">
        <f>_xlfn.XLOOKUP(CustomerCombinedCleaned[[#This Row],[ID]], Table2[ID],Table2[MC3], "Not Found", 0 )</f>
        <v>0</v>
      </c>
      <c r="AB900" s="16">
        <f>_xlfn.XLOOKUP(CustomerCombinedCleaned[[#This Row],[ID]], Table2[ID],Table2[MC4], "Not Found", 0 )</f>
        <v>0</v>
      </c>
      <c r="AC900" s="16">
        <f>_xlfn.XLOOKUP(CustomerCombinedCleaned[[#This Row],[ID]], Table2[ID],Table2[MC5], "Not Found", 0 )</f>
        <v>0</v>
      </c>
    </row>
    <row r="901" spans="1:29" x14ac:dyDescent="0.3">
      <c r="A901" s="18">
        <v>1328</v>
      </c>
      <c r="B901" s="16">
        <v>127190</v>
      </c>
      <c r="C901" s="16">
        <v>1</v>
      </c>
      <c r="D901" s="16">
        <v>0</v>
      </c>
      <c r="E901" s="16">
        <v>47</v>
      </c>
      <c r="F901" s="17" t="s">
        <v>8</v>
      </c>
      <c r="G901" s="17" t="s">
        <v>10</v>
      </c>
      <c r="H901" s="3" t="s">
        <v>202</v>
      </c>
      <c r="I901" s="5" t="s">
        <v>438</v>
      </c>
      <c r="J901" s="16">
        <f>_xlfn.XLOOKUP(CustomerCombinedCleaned[[#This Row],[ID]], Table4[ID], Table4[Recency], "Not Found", 0)</f>
        <v>13</v>
      </c>
      <c r="K901" s="16">
        <f>_xlfn.XLOOKUP(CustomerCombinedCleaned[[#This Row],[ID]], Table4[ID], Table4[Teas], "Not Found", 0)</f>
        <v>5</v>
      </c>
      <c r="L901" s="16">
        <f>_xlfn.XLOOKUP(CustomerCombinedCleaned[[#This Row],[ID]], Table4[ID], Table4[Fruits], "Not Found", 0)</f>
        <v>28</v>
      </c>
      <c r="M901" s="16">
        <f>_xlfn.XLOOKUP(CustomerCombinedCleaned[[#This Row],[ID]], Table4[ID], Table4[Meats], "Not Found", 0)</f>
        <v>33</v>
      </c>
      <c r="N901" s="16">
        <f>_xlfn.XLOOKUP(CustomerCombinedCleaned[[#This Row],[ID]], Table4[ID], Table4[Seafood], "Not Found", 0)</f>
        <v>0</v>
      </c>
      <c r="O901" s="16">
        <f>_xlfn.XLOOKUP(CustomerCombinedCleaned[[#This Row],[ID]], Table4[ID], Table4[Sweets], "Not Found", 0)</f>
        <v>5</v>
      </c>
      <c r="P901" s="16">
        <f>_xlfn.XLOOKUP(CustomerCombinedCleaned[[#This Row],[ID]], Table4[ID], Table4[Premium], "Not Found", 0)</f>
        <v>14</v>
      </c>
      <c r="Q901" s="16">
        <f>_xlfn.XLOOKUP(CustomerCombinedCleaned[[#This Row],[ID]], Table4[ID], Table4[Regular], "Not Found", 0)</f>
        <v>56</v>
      </c>
      <c r="R901" s="16">
        <f>_xlfn.XLOOKUP(CustomerCombinedCleaned[[#This Row],[ID]], Table4[ID], Table4[Deals], "Not Found", 0)</f>
        <v>1</v>
      </c>
      <c r="S901" s="16">
        <f>_xlfn.XLOOKUP(CustomerCombinedCleaned[[#This Row],[ID]], Table4[ID], Table4[Website], "Not Found", 0)</f>
        <v>1</v>
      </c>
      <c r="T901" s="16">
        <f>_xlfn.XLOOKUP(CustomerCombinedCleaned[[#This Row],[ID]], Table4[ID], Table4[Catalog], "Not Found", 0)</f>
        <v>0</v>
      </c>
      <c r="U901" s="16">
        <f>_xlfn.XLOOKUP(CustomerCombinedCleaned[[#This Row],[ID]], Table4[ID], Table4[Store], "Not Found", 0)</f>
        <v>2</v>
      </c>
      <c r="V901" s="16">
        <f>_xlfn.XLOOKUP(CustomerCombinedCleaned[[#This Row],[ID]], Table4[ID], Table4[Visits], "Not Found", 0)</f>
        <v>8</v>
      </c>
      <c r="W901" s="16">
        <f>_xlfn.XLOOKUP(CustomerCombinedCleaned[[#This Row],[ID]], Table2[ID],Table2[Complaint], "Not Found", 0 )</f>
        <v>0</v>
      </c>
      <c r="X901" s="16">
        <f>_xlfn.XLOOKUP(CustomerCombinedCleaned[[#This Row],[ID]], Table2[ID],Table2[Pilot], "Not Found", 0 )</f>
        <v>1</v>
      </c>
      <c r="Y901" s="16">
        <f>_xlfn.XLOOKUP(CustomerCombinedCleaned[[#This Row],[ID]], Table2[ID],Table2[MC1], "Not Found", 0 )</f>
        <v>0</v>
      </c>
      <c r="Z901" s="16">
        <f>_xlfn.XLOOKUP(CustomerCombinedCleaned[[#This Row],[ID]], Table2[ID],Table2[MC2], "Not Found", 0 )</f>
        <v>0</v>
      </c>
      <c r="AA901" s="16">
        <f>_xlfn.XLOOKUP(CustomerCombinedCleaned[[#This Row],[ID]], Table2[ID],Table2[MC3], "Not Found", 0 )</f>
        <v>1</v>
      </c>
      <c r="AB901" s="16">
        <f>_xlfn.XLOOKUP(CustomerCombinedCleaned[[#This Row],[ID]], Table2[ID],Table2[MC4], "Not Found", 0 )</f>
        <v>0</v>
      </c>
      <c r="AC901" s="16">
        <f>_xlfn.XLOOKUP(CustomerCombinedCleaned[[#This Row],[ID]], Table2[ID],Table2[MC5], "Not Found", 0 )</f>
        <v>0</v>
      </c>
    </row>
    <row r="902" spans="1:29" x14ac:dyDescent="0.3">
      <c r="A902" s="18">
        <v>1533</v>
      </c>
      <c r="B902" s="16">
        <v>127159</v>
      </c>
      <c r="C902" s="16">
        <v>1</v>
      </c>
      <c r="D902" s="16">
        <v>1</v>
      </c>
      <c r="E902" s="16">
        <v>47</v>
      </c>
      <c r="F902" s="17" t="s">
        <v>6</v>
      </c>
      <c r="G902" s="17" t="s">
        <v>12</v>
      </c>
      <c r="H902" s="3" t="s">
        <v>696</v>
      </c>
      <c r="I902" s="5" t="s">
        <v>435</v>
      </c>
      <c r="J902" s="16">
        <f>_xlfn.XLOOKUP(CustomerCombinedCleaned[[#This Row],[ID]], Table4[ID], Table4[Recency], "Not Found", 0)</f>
        <v>33</v>
      </c>
      <c r="K902" s="16">
        <f>_xlfn.XLOOKUP(CustomerCombinedCleaned[[#This Row],[ID]], Table4[ID], Table4[Teas], "Not Found", 0)</f>
        <v>80</v>
      </c>
      <c r="L902" s="16">
        <f>_xlfn.XLOOKUP(CustomerCombinedCleaned[[#This Row],[ID]], Table4[ID], Table4[Fruits], "Not Found", 0)</f>
        <v>0</v>
      </c>
      <c r="M902" s="16">
        <f>_xlfn.XLOOKUP(CustomerCombinedCleaned[[#This Row],[ID]], Table4[ID], Table4[Meats], "Not Found", 0)</f>
        <v>14</v>
      </c>
      <c r="N902" s="16">
        <f>_xlfn.XLOOKUP(CustomerCombinedCleaned[[#This Row],[ID]], Table4[ID], Table4[Seafood], "Not Found", 0)</f>
        <v>0</v>
      </c>
      <c r="O902" s="16">
        <f>_xlfn.XLOOKUP(CustomerCombinedCleaned[[#This Row],[ID]], Table4[ID], Table4[Sweets], "Not Found", 0)</f>
        <v>0</v>
      </c>
      <c r="P902" s="16">
        <f>_xlfn.XLOOKUP(CustomerCombinedCleaned[[#This Row],[ID]], Table4[ID], Table4[Premium], "Not Found", 0)</f>
        <v>5</v>
      </c>
      <c r="Q902" s="16">
        <f>_xlfn.XLOOKUP(CustomerCombinedCleaned[[#This Row],[ID]], Table4[ID], Table4[Regular], "Not Found", 0)</f>
        <v>89</v>
      </c>
      <c r="R902" s="16">
        <f>_xlfn.XLOOKUP(CustomerCombinedCleaned[[#This Row],[ID]], Table4[ID], Table4[Deals], "Not Found", 0)</f>
        <v>2</v>
      </c>
      <c r="S902" s="16">
        <f>_xlfn.XLOOKUP(CustomerCombinedCleaned[[#This Row],[ID]], Table4[ID], Table4[Website], "Not Found", 0)</f>
        <v>1</v>
      </c>
      <c r="T902" s="16">
        <f>_xlfn.XLOOKUP(CustomerCombinedCleaned[[#This Row],[ID]], Table4[ID], Table4[Catalog], "Not Found", 0)</f>
        <v>0</v>
      </c>
      <c r="U902" s="16">
        <f>_xlfn.XLOOKUP(CustomerCombinedCleaned[[#This Row],[ID]], Table4[ID], Table4[Store], "Not Found", 0)</f>
        <v>3</v>
      </c>
      <c r="V902" s="16">
        <f>_xlfn.XLOOKUP(CustomerCombinedCleaned[[#This Row],[ID]], Table4[ID], Table4[Visits], "Not Found", 0)</f>
        <v>6</v>
      </c>
      <c r="W902" s="16">
        <f>_xlfn.XLOOKUP(CustomerCombinedCleaned[[#This Row],[ID]], Table2[ID],Table2[Complaint], "Not Found", 0 )</f>
        <v>0</v>
      </c>
      <c r="X902" s="16">
        <f>_xlfn.XLOOKUP(CustomerCombinedCleaned[[#This Row],[ID]], Table2[ID],Table2[Pilot], "Not Found", 0 )</f>
        <v>0</v>
      </c>
      <c r="Y902" s="16">
        <f>_xlfn.XLOOKUP(CustomerCombinedCleaned[[#This Row],[ID]], Table2[ID],Table2[MC1], "Not Found", 0 )</f>
        <v>0</v>
      </c>
      <c r="Z902" s="16">
        <f>_xlfn.XLOOKUP(CustomerCombinedCleaned[[#This Row],[ID]], Table2[ID],Table2[MC2], "Not Found", 0 )</f>
        <v>0</v>
      </c>
      <c r="AA902" s="16">
        <f>_xlfn.XLOOKUP(CustomerCombinedCleaned[[#This Row],[ID]], Table2[ID],Table2[MC3], "Not Found", 0 )</f>
        <v>0</v>
      </c>
      <c r="AB902" s="16">
        <f>_xlfn.XLOOKUP(CustomerCombinedCleaned[[#This Row],[ID]], Table2[ID],Table2[MC4], "Not Found", 0 )</f>
        <v>0</v>
      </c>
      <c r="AC902" s="16">
        <f>_xlfn.XLOOKUP(CustomerCombinedCleaned[[#This Row],[ID]], Table2[ID],Table2[MC5], "Not Found", 0 )</f>
        <v>0</v>
      </c>
    </row>
    <row r="903" spans="1:29" x14ac:dyDescent="0.3">
      <c r="A903" s="18">
        <v>2202</v>
      </c>
      <c r="B903" s="16">
        <v>126228</v>
      </c>
      <c r="C903" s="16">
        <v>1</v>
      </c>
      <c r="D903" s="16">
        <v>0</v>
      </c>
      <c r="E903" s="16">
        <v>47</v>
      </c>
      <c r="F903" s="17" t="s">
        <v>6</v>
      </c>
      <c r="G903" s="17" t="s">
        <v>11</v>
      </c>
      <c r="H903" s="3" t="s">
        <v>177</v>
      </c>
      <c r="I903" s="5" t="s">
        <v>436</v>
      </c>
      <c r="J903" s="16">
        <f>_xlfn.XLOOKUP(CustomerCombinedCleaned[[#This Row],[ID]], Table4[ID], Table4[Recency], "Not Found", 0)</f>
        <v>50</v>
      </c>
      <c r="K903" s="16">
        <f>_xlfn.XLOOKUP(CustomerCombinedCleaned[[#This Row],[ID]], Table4[ID], Table4[Teas], "Not Found", 0)</f>
        <v>10</v>
      </c>
      <c r="L903" s="16">
        <f>_xlfn.XLOOKUP(CustomerCombinedCleaned[[#This Row],[ID]], Table4[ID], Table4[Fruits], "Not Found", 0)</f>
        <v>29</v>
      </c>
      <c r="M903" s="16">
        <f>_xlfn.XLOOKUP(CustomerCombinedCleaned[[#This Row],[ID]], Table4[ID], Table4[Meats], "Not Found", 0)</f>
        <v>19</v>
      </c>
      <c r="N903" s="16">
        <f>_xlfn.XLOOKUP(CustomerCombinedCleaned[[#This Row],[ID]], Table4[ID], Table4[Seafood], "Not Found", 0)</f>
        <v>14</v>
      </c>
      <c r="O903" s="16">
        <f>_xlfn.XLOOKUP(CustomerCombinedCleaned[[#This Row],[ID]], Table4[ID], Table4[Sweets], "Not Found", 0)</f>
        <v>5</v>
      </c>
      <c r="P903" s="16">
        <f>_xlfn.XLOOKUP(CustomerCombinedCleaned[[#This Row],[ID]], Table4[ID], Table4[Premium], "Not Found", 0)</f>
        <v>43</v>
      </c>
      <c r="Q903" s="16">
        <f>_xlfn.XLOOKUP(CustomerCombinedCleaned[[#This Row],[ID]], Table4[ID], Table4[Regular], "Not Found", 0)</f>
        <v>34</v>
      </c>
      <c r="R903" s="16">
        <f>_xlfn.XLOOKUP(CustomerCombinedCleaned[[#This Row],[ID]], Table4[ID], Table4[Deals], "Not Found", 0)</f>
        <v>1</v>
      </c>
      <c r="S903" s="16">
        <f>_xlfn.XLOOKUP(CustomerCombinedCleaned[[#This Row],[ID]], Table4[ID], Table4[Website], "Not Found", 0)</f>
        <v>1</v>
      </c>
      <c r="T903" s="16">
        <f>_xlfn.XLOOKUP(CustomerCombinedCleaned[[#This Row],[ID]], Table4[ID], Table4[Catalog], "Not Found", 0)</f>
        <v>0</v>
      </c>
      <c r="U903" s="16">
        <f>_xlfn.XLOOKUP(CustomerCombinedCleaned[[#This Row],[ID]], Table4[ID], Table4[Store], "Not Found", 0)</f>
        <v>2</v>
      </c>
      <c r="V903" s="16">
        <f>_xlfn.XLOOKUP(CustomerCombinedCleaned[[#This Row],[ID]], Table4[ID], Table4[Visits], "Not Found", 0)</f>
        <v>8</v>
      </c>
      <c r="W903" s="16">
        <f>_xlfn.XLOOKUP(CustomerCombinedCleaned[[#This Row],[ID]], Table2[ID],Table2[Complaint], "Not Found", 0 )</f>
        <v>0</v>
      </c>
      <c r="X903" s="16">
        <f>_xlfn.XLOOKUP(CustomerCombinedCleaned[[#This Row],[ID]], Table2[ID],Table2[Pilot], "Not Found", 0 )</f>
        <v>0</v>
      </c>
      <c r="Y903" s="16">
        <f>_xlfn.XLOOKUP(CustomerCombinedCleaned[[#This Row],[ID]], Table2[ID],Table2[MC1], "Not Found", 0 )</f>
        <v>0</v>
      </c>
      <c r="Z903" s="16">
        <f>_xlfn.XLOOKUP(CustomerCombinedCleaned[[#This Row],[ID]], Table2[ID],Table2[MC2], "Not Found", 0 )</f>
        <v>0</v>
      </c>
      <c r="AA903" s="16">
        <f>_xlfn.XLOOKUP(CustomerCombinedCleaned[[#This Row],[ID]], Table2[ID],Table2[MC3], "Not Found", 0 )</f>
        <v>0</v>
      </c>
      <c r="AB903" s="16">
        <f>_xlfn.XLOOKUP(CustomerCombinedCleaned[[#This Row],[ID]], Table2[ID],Table2[MC4], "Not Found", 0 )</f>
        <v>0</v>
      </c>
      <c r="AC903" s="16">
        <f>_xlfn.XLOOKUP(CustomerCombinedCleaned[[#This Row],[ID]], Table2[ID],Table2[MC5], "Not Found", 0 )</f>
        <v>0</v>
      </c>
    </row>
    <row r="904" spans="1:29" x14ac:dyDescent="0.3">
      <c r="A904" s="18">
        <v>2914</v>
      </c>
      <c r="B904" s="16">
        <v>125410</v>
      </c>
      <c r="C904" s="16">
        <v>1</v>
      </c>
      <c r="D904" s="16">
        <v>0</v>
      </c>
      <c r="E904" s="16">
        <v>47</v>
      </c>
      <c r="F904" s="17" t="s">
        <v>6</v>
      </c>
      <c r="G904" s="17" t="s">
        <v>11</v>
      </c>
      <c r="H904" s="3" t="s">
        <v>651</v>
      </c>
      <c r="I904" s="5" t="s">
        <v>439</v>
      </c>
      <c r="J904" s="16">
        <f>_xlfn.XLOOKUP(CustomerCombinedCleaned[[#This Row],[ID]], Table4[ID], Table4[Recency], "Not Found", 0)</f>
        <v>48</v>
      </c>
      <c r="K904" s="16">
        <f>_xlfn.XLOOKUP(CustomerCombinedCleaned[[#This Row],[ID]], Table4[ID], Table4[Teas], "Not Found", 0)</f>
        <v>10</v>
      </c>
      <c r="L904" s="16">
        <f>_xlfn.XLOOKUP(CustomerCombinedCleaned[[#This Row],[ID]], Table4[ID], Table4[Fruits], "Not Found", 0)</f>
        <v>10</v>
      </c>
      <c r="M904" s="16">
        <f>_xlfn.XLOOKUP(CustomerCombinedCleaned[[#This Row],[ID]], Table4[ID], Table4[Meats], "Not Found", 0)</f>
        <v>20</v>
      </c>
      <c r="N904" s="16">
        <f>_xlfn.XLOOKUP(CustomerCombinedCleaned[[#This Row],[ID]], Table4[ID], Table4[Seafood], "Not Found", 0)</f>
        <v>64</v>
      </c>
      <c r="O904" s="16">
        <f>_xlfn.XLOOKUP(CustomerCombinedCleaned[[#This Row],[ID]], Table4[ID], Table4[Sweets], "Not Found", 0)</f>
        <v>64</v>
      </c>
      <c r="P904" s="16">
        <f>_xlfn.XLOOKUP(CustomerCombinedCleaned[[#This Row],[ID]], Table4[ID], Table4[Premium], "Not Found", 0)</f>
        <v>20</v>
      </c>
      <c r="Q904" s="16">
        <f>_xlfn.XLOOKUP(CustomerCombinedCleaned[[#This Row],[ID]], Table4[ID], Table4[Regular], "Not Found", 0)</f>
        <v>148</v>
      </c>
      <c r="R904" s="16">
        <f>_xlfn.XLOOKUP(CustomerCombinedCleaned[[#This Row],[ID]], Table4[ID], Table4[Deals], "Not Found", 0)</f>
        <v>1</v>
      </c>
      <c r="S904" s="16">
        <f>_xlfn.XLOOKUP(CustomerCombinedCleaned[[#This Row],[ID]], Table4[ID], Table4[Website], "Not Found", 0)</f>
        <v>1</v>
      </c>
      <c r="T904" s="16">
        <f>_xlfn.XLOOKUP(CustomerCombinedCleaned[[#This Row],[ID]], Table4[ID], Table4[Catalog], "Not Found", 0)</f>
        <v>0</v>
      </c>
      <c r="U904" s="16">
        <f>_xlfn.XLOOKUP(CustomerCombinedCleaned[[#This Row],[ID]], Table4[ID], Table4[Store], "Not Found", 0)</f>
        <v>4</v>
      </c>
      <c r="V904" s="16">
        <f>_xlfn.XLOOKUP(CustomerCombinedCleaned[[#This Row],[ID]], Table4[ID], Table4[Visits], "Not Found", 0)</f>
        <v>4</v>
      </c>
      <c r="W904" s="16">
        <f>_xlfn.XLOOKUP(CustomerCombinedCleaned[[#This Row],[ID]], Table2[ID],Table2[Complaint], "Not Found", 0 )</f>
        <v>0</v>
      </c>
      <c r="X904" s="16">
        <f>_xlfn.XLOOKUP(CustomerCombinedCleaned[[#This Row],[ID]], Table2[ID],Table2[Pilot], "Not Found", 0 )</f>
        <v>0</v>
      </c>
      <c r="Y904" s="16">
        <f>_xlfn.XLOOKUP(CustomerCombinedCleaned[[#This Row],[ID]], Table2[ID],Table2[MC1], "Not Found", 0 )</f>
        <v>0</v>
      </c>
      <c r="Z904" s="16">
        <f>_xlfn.XLOOKUP(CustomerCombinedCleaned[[#This Row],[ID]], Table2[ID],Table2[MC2], "Not Found", 0 )</f>
        <v>0</v>
      </c>
      <c r="AA904" s="16">
        <f>_xlfn.XLOOKUP(CustomerCombinedCleaned[[#This Row],[ID]], Table2[ID],Table2[MC3], "Not Found", 0 )</f>
        <v>0</v>
      </c>
      <c r="AB904" s="16">
        <f>_xlfn.XLOOKUP(CustomerCombinedCleaned[[#This Row],[ID]], Table2[ID],Table2[MC4], "Not Found", 0 )</f>
        <v>0</v>
      </c>
      <c r="AC904" s="16">
        <f>_xlfn.XLOOKUP(CustomerCombinedCleaned[[#This Row],[ID]], Table2[ID],Table2[MC5], "Not Found", 0 )</f>
        <v>0</v>
      </c>
    </row>
    <row r="905" spans="1:29" x14ac:dyDescent="0.3">
      <c r="A905" s="18">
        <v>2395</v>
      </c>
      <c r="B905" s="16">
        <v>124639</v>
      </c>
      <c r="C905" s="16">
        <v>1</v>
      </c>
      <c r="D905" s="16">
        <v>1</v>
      </c>
      <c r="E905" s="16">
        <v>47</v>
      </c>
      <c r="F905" s="17" t="s">
        <v>6</v>
      </c>
      <c r="G905" s="17" t="s">
        <v>11</v>
      </c>
      <c r="H905" s="3" t="s">
        <v>749</v>
      </c>
      <c r="I905" s="5" t="s">
        <v>437</v>
      </c>
      <c r="J905" s="16">
        <f>_xlfn.XLOOKUP(CustomerCombinedCleaned[[#This Row],[ID]], Table4[ID], Table4[Recency], "Not Found", 0)</f>
        <v>3</v>
      </c>
      <c r="K905" s="16">
        <f>_xlfn.XLOOKUP(CustomerCombinedCleaned[[#This Row],[ID]], Table4[ID], Table4[Teas], "Not Found", 0)</f>
        <v>101</v>
      </c>
      <c r="L905" s="16">
        <f>_xlfn.XLOOKUP(CustomerCombinedCleaned[[#This Row],[ID]], Table4[ID], Table4[Fruits], "Not Found", 0)</f>
        <v>15</v>
      </c>
      <c r="M905" s="16">
        <f>_xlfn.XLOOKUP(CustomerCombinedCleaned[[#This Row],[ID]], Table4[ID], Table4[Meats], "Not Found", 0)</f>
        <v>81</v>
      </c>
      <c r="N905" s="16">
        <f>_xlfn.XLOOKUP(CustomerCombinedCleaned[[#This Row],[ID]], Table4[ID], Table4[Seafood], "Not Found", 0)</f>
        <v>0</v>
      </c>
      <c r="O905" s="16">
        <f>_xlfn.XLOOKUP(CustomerCombinedCleaned[[#This Row],[ID]], Table4[ID], Table4[Sweets], "Not Found", 0)</f>
        <v>20</v>
      </c>
      <c r="P905" s="16">
        <f>_xlfn.XLOOKUP(CustomerCombinedCleaned[[#This Row],[ID]], Table4[ID], Table4[Premium], "Not Found", 0)</f>
        <v>5</v>
      </c>
      <c r="Q905" s="16">
        <f>_xlfn.XLOOKUP(CustomerCombinedCleaned[[#This Row],[ID]], Table4[ID], Table4[Regular], "Not Found", 0)</f>
        <v>212</v>
      </c>
      <c r="R905" s="16">
        <f>_xlfn.XLOOKUP(CustomerCombinedCleaned[[#This Row],[ID]], Table4[ID], Table4[Deals], "Not Found", 0)</f>
        <v>3</v>
      </c>
      <c r="S905" s="16">
        <f>_xlfn.XLOOKUP(CustomerCombinedCleaned[[#This Row],[ID]], Table4[ID], Table4[Website], "Not Found", 0)</f>
        <v>2</v>
      </c>
      <c r="T905" s="16">
        <f>_xlfn.XLOOKUP(CustomerCombinedCleaned[[#This Row],[ID]], Table4[ID], Table4[Catalog], "Not Found", 0)</f>
        <v>0</v>
      </c>
      <c r="U905" s="16">
        <f>_xlfn.XLOOKUP(CustomerCombinedCleaned[[#This Row],[ID]], Table4[ID], Table4[Store], "Not Found", 0)</f>
        <v>4</v>
      </c>
      <c r="V905" s="16">
        <f>_xlfn.XLOOKUP(CustomerCombinedCleaned[[#This Row],[ID]], Table4[ID], Table4[Visits], "Not Found", 0)</f>
        <v>6</v>
      </c>
      <c r="W905" s="16">
        <f>_xlfn.XLOOKUP(CustomerCombinedCleaned[[#This Row],[ID]], Table2[ID],Table2[Complaint], "Not Found", 0 )</f>
        <v>0</v>
      </c>
      <c r="X905" s="16">
        <f>_xlfn.XLOOKUP(CustomerCombinedCleaned[[#This Row],[ID]], Table2[ID],Table2[Pilot], "Not Found", 0 )</f>
        <v>0</v>
      </c>
      <c r="Y905" s="16">
        <f>_xlfn.XLOOKUP(CustomerCombinedCleaned[[#This Row],[ID]], Table2[ID],Table2[MC1], "Not Found", 0 )</f>
        <v>0</v>
      </c>
      <c r="Z905" s="16">
        <f>_xlfn.XLOOKUP(CustomerCombinedCleaned[[#This Row],[ID]], Table2[ID],Table2[MC2], "Not Found", 0 )</f>
        <v>0</v>
      </c>
      <c r="AA905" s="16">
        <f>_xlfn.XLOOKUP(CustomerCombinedCleaned[[#This Row],[ID]], Table2[ID],Table2[MC3], "Not Found", 0 )</f>
        <v>0</v>
      </c>
      <c r="AB905" s="16">
        <f>_xlfn.XLOOKUP(CustomerCombinedCleaned[[#This Row],[ID]], Table2[ID],Table2[MC4], "Not Found", 0 )</f>
        <v>0</v>
      </c>
      <c r="AC905" s="16">
        <f>_xlfn.XLOOKUP(CustomerCombinedCleaned[[#This Row],[ID]], Table2[ID],Table2[MC5], "Not Found", 0 )</f>
        <v>0</v>
      </c>
    </row>
    <row r="906" spans="1:29" x14ac:dyDescent="0.3">
      <c r="A906" s="18">
        <v>1077</v>
      </c>
      <c r="B906" s="16">
        <v>123559</v>
      </c>
      <c r="C906" s="16">
        <v>1</v>
      </c>
      <c r="D906" s="16">
        <v>0</v>
      </c>
      <c r="E906" s="16">
        <v>47</v>
      </c>
      <c r="F906" s="17" t="s">
        <v>6</v>
      </c>
      <c r="G906" s="17" t="s">
        <v>11</v>
      </c>
      <c r="H906" s="3" t="s">
        <v>556</v>
      </c>
      <c r="I906" s="5" t="s">
        <v>435</v>
      </c>
      <c r="J906" s="16">
        <f>_xlfn.XLOOKUP(CustomerCombinedCleaned[[#This Row],[ID]], Table4[ID], Table4[Recency], "Not Found", 0)</f>
        <v>87</v>
      </c>
      <c r="K906" s="16">
        <f>_xlfn.XLOOKUP(CustomerCombinedCleaned[[#This Row],[ID]], Table4[ID], Table4[Teas], "Not Found", 0)</f>
        <v>131</v>
      </c>
      <c r="L906" s="16">
        <f>_xlfn.XLOOKUP(CustomerCombinedCleaned[[#This Row],[ID]], Table4[ID], Table4[Fruits], "Not Found", 0)</f>
        <v>26</v>
      </c>
      <c r="M906" s="16">
        <f>_xlfn.XLOOKUP(CustomerCombinedCleaned[[#This Row],[ID]], Table4[ID], Table4[Meats], "Not Found", 0)</f>
        <v>100</v>
      </c>
      <c r="N906" s="16">
        <f>_xlfn.XLOOKUP(CustomerCombinedCleaned[[#This Row],[ID]], Table4[ID], Table4[Seafood], "Not Found", 0)</f>
        <v>37</v>
      </c>
      <c r="O906" s="16">
        <f>_xlfn.XLOOKUP(CustomerCombinedCleaned[[#This Row],[ID]], Table4[ID], Table4[Sweets], "Not Found", 0)</f>
        <v>0</v>
      </c>
      <c r="P906" s="16">
        <f>_xlfn.XLOOKUP(CustomerCombinedCleaned[[#This Row],[ID]], Table4[ID], Table4[Premium], "Not Found", 0)</f>
        <v>121</v>
      </c>
      <c r="Q906" s="16">
        <f>_xlfn.XLOOKUP(CustomerCombinedCleaned[[#This Row],[ID]], Table4[ID], Table4[Regular], "Not Found", 0)</f>
        <v>173</v>
      </c>
      <c r="R906" s="16">
        <f>_xlfn.XLOOKUP(CustomerCombinedCleaned[[#This Row],[ID]], Table4[ID], Table4[Deals], "Not Found", 0)</f>
        <v>3</v>
      </c>
      <c r="S906" s="16">
        <f>_xlfn.XLOOKUP(CustomerCombinedCleaned[[#This Row],[ID]], Table4[ID], Table4[Website], "Not Found", 0)</f>
        <v>3</v>
      </c>
      <c r="T906" s="16">
        <f>_xlfn.XLOOKUP(CustomerCombinedCleaned[[#This Row],[ID]], Table4[ID], Table4[Catalog], "Not Found", 0)</f>
        <v>0</v>
      </c>
      <c r="U906" s="16">
        <f>_xlfn.XLOOKUP(CustomerCombinedCleaned[[#This Row],[ID]], Table4[ID], Table4[Store], "Not Found", 0)</f>
        <v>3</v>
      </c>
      <c r="V906" s="16">
        <f>_xlfn.XLOOKUP(CustomerCombinedCleaned[[#This Row],[ID]], Table4[ID], Table4[Visits], "Not Found", 0)</f>
        <v>7</v>
      </c>
      <c r="W906" s="16">
        <f>_xlfn.XLOOKUP(CustomerCombinedCleaned[[#This Row],[ID]], Table2[ID],Table2[Complaint], "Not Found", 0 )</f>
        <v>0</v>
      </c>
      <c r="X906" s="16">
        <f>_xlfn.XLOOKUP(CustomerCombinedCleaned[[#This Row],[ID]], Table2[ID],Table2[Pilot], "Not Found", 0 )</f>
        <v>0</v>
      </c>
      <c r="Y906" s="16">
        <f>_xlfn.XLOOKUP(CustomerCombinedCleaned[[#This Row],[ID]], Table2[ID],Table2[MC1], "Not Found", 0 )</f>
        <v>0</v>
      </c>
      <c r="Z906" s="16">
        <f>_xlfn.XLOOKUP(CustomerCombinedCleaned[[#This Row],[ID]], Table2[ID],Table2[MC2], "Not Found", 0 )</f>
        <v>0</v>
      </c>
      <c r="AA906" s="16">
        <f>_xlfn.XLOOKUP(CustomerCombinedCleaned[[#This Row],[ID]], Table2[ID],Table2[MC3], "Not Found", 0 )</f>
        <v>0</v>
      </c>
      <c r="AB906" s="16">
        <f>_xlfn.XLOOKUP(CustomerCombinedCleaned[[#This Row],[ID]], Table2[ID],Table2[MC4], "Not Found", 0 )</f>
        <v>0</v>
      </c>
      <c r="AC906" s="16">
        <f>_xlfn.XLOOKUP(CustomerCombinedCleaned[[#This Row],[ID]], Table2[ID],Table2[MC5], "Not Found", 0 )</f>
        <v>0</v>
      </c>
    </row>
    <row r="907" spans="1:29" x14ac:dyDescent="0.3">
      <c r="A907" s="18">
        <v>2367</v>
      </c>
      <c r="B907" s="16">
        <v>122682</v>
      </c>
      <c r="C907" s="16">
        <v>1</v>
      </c>
      <c r="D907" s="16">
        <v>0</v>
      </c>
      <c r="E907" s="16">
        <v>47</v>
      </c>
      <c r="F907" s="17" t="s">
        <v>8</v>
      </c>
      <c r="G907" s="17" t="s">
        <v>11</v>
      </c>
      <c r="H907" s="3" t="s">
        <v>710</v>
      </c>
      <c r="I907" s="5" t="s">
        <v>435</v>
      </c>
      <c r="J907" s="16">
        <f>_xlfn.XLOOKUP(CustomerCombinedCleaned[[#This Row],[ID]], Table4[ID], Table4[Recency], "Not Found", 0)</f>
        <v>51</v>
      </c>
      <c r="K907" s="16">
        <f>_xlfn.XLOOKUP(CustomerCombinedCleaned[[#This Row],[ID]], Table4[ID], Table4[Teas], "Not Found", 0)</f>
        <v>54</v>
      </c>
      <c r="L907" s="16">
        <f>_xlfn.XLOOKUP(CustomerCombinedCleaned[[#This Row],[ID]], Table4[ID], Table4[Fruits], "Not Found", 0)</f>
        <v>76</v>
      </c>
      <c r="M907" s="16">
        <f>_xlfn.XLOOKUP(CustomerCombinedCleaned[[#This Row],[ID]], Table4[ID], Table4[Meats], "Not Found", 0)</f>
        <v>157</v>
      </c>
      <c r="N907" s="16">
        <f>_xlfn.XLOOKUP(CustomerCombinedCleaned[[#This Row],[ID]], Table4[ID], Table4[Seafood], "Not Found", 0)</f>
        <v>22</v>
      </c>
      <c r="O907" s="16">
        <f>_xlfn.XLOOKUP(CustomerCombinedCleaned[[#This Row],[ID]], Table4[ID], Table4[Sweets], "Not Found", 0)</f>
        <v>11</v>
      </c>
      <c r="P907" s="16">
        <f>_xlfn.XLOOKUP(CustomerCombinedCleaned[[#This Row],[ID]], Table4[ID], Table4[Premium], "Not Found", 0)</f>
        <v>195</v>
      </c>
      <c r="Q907" s="16">
        <f>_xlfn.XLOOKUP(CustomerCombinedCleaned[[#This Row],[ID]], Table4[ID], Table4[Regular], "Not Found", 0)</f>
        <v>124</v>
      </c>
      <c r="R907" s="16">
        <f>_xlfn.XLOOKUP(CustomerCombinedCleaned[[#This Row],[ID]], Table4[ID], Table4[Deals], "Not Found", 0)</f>
        <v>3</v>
      </c>
      <c r="S907" s="16">
        <f>_xlfn.XLOOKUP(CustomerCombinedCleaned[[#This Row],[ID]], Table4[ID], Table4[Website], "Not Found", 0)</f>
        <v>2</v>
      </c>
      <c r="T907" s="16">
        <f>_xlfn.XLOOKUP(CustomerCombinedCleaned[[#This Row],[ID]], Table4[ID], Table4[Catalog], "Not Found", 0)</f>
        <v>1</v>
      </c>
      <c r="U907" s="16">
        <f>_xlfn.XLOOKUP(CustomerCombinedCleaned[[#This Row],[ID]], Table4[ID], Table4[Store], "Not Found", 0)</f>
        <v>4</v>
      </c>
      <c r="V907" s="16">
        <f>_xlfn.XLOOKUP(CustomerCombinedCleaned[[#This Row],[ID]], Table4[ID], Table4[Visits], "Not Found", 0)</f>
        <v>4</v>
      </c>
      <c r="W907" s="16">
        <f>_xlfn.XLOOKUP(CustomerCombinedCleaned[[#This Row],[ID]], Table2[ID],Table2[Complaint], "Not Found", 0 )</f>
        <v>0</v>
      </c>
      <c r="X907" s="16">
        <f>_xlfn.XLOOKUP(CustomerCombinedCleaned[[#This Row],[ID]], Table2[ID],Table2[Pilot], "Not Found", 0 )</f>
        <v>0</v>
      </c>
      <c r="Y907" s="16">
        <f>_xlfn.XLOOKUP(CustomerCombinedCleaned[[#This Row],[ID]], Table2[ID],Table2[MC1], "Not Found", 0 )</f>
        <v>0</v>
      </c>
      <c r="Z907" s="16">
        <f>_xlfn.XLOOKUP(CustomerCombinedCleaned[[#This Row],[ID]], Table2[ID],Table2[MC2], "Not Found", 0 )</f>
        <v>0</v>
      </c>
      <c r="AA907" s="16">
        <f>_xlfn.XLOOKUP(CustomerCombinedCleaned[[#This Row],[ID]], Table2[ID],Table2[MC3], "Not Found", 0 )</f>
        <v>0</v>
      </c>
      <c r="AB907" s="16">
        <f>_xlfn.XLOOKUP(CustomerCombinedCleaned[[#This Row],[ID]], Table2[ID],Table2[MC4], "Not Found", 0 )</f>
        <v>0</v>
      </c>
      <c r="AC907" s="16">
        <f>_xlfn.XLOOKUP(CustomerCombinedCleaned[[#This Row],[ID]], Table2[ID],Table2[MC5], "Not Found", 0 )</f>
        <v>0</v>
      </c>
    </row>
    <row r="908" spans="1:29" x14ac:dyDescent="0.3">
      <c r="A908" s="18">
        <v>2361</v>
      </c>
      <c r="B908" s="16">
        <v>120895</v>
      </c>
      <c r="C908" s="16">
        <v>1</v>
      </c>
      <c r="D908" s="16">
        <v>0</v>
      </c>
      <c r="E908" s="16">
        <v>47</v>
      </c>
      <c r="F908" s="17" t="s">
        <v>6</v>
      </c>
      <c r="G908" s="17" t="s">
        <v>11</v>
      </c>
      <c r="H908" s="3" t="s">
        <v>387</v>
      </c>
      <c r="I908" s="5" t="s">
        <v>435</v>
      </c>
      <c r="J908" s="16">
        <f>_xlfn.XLOOKUP(CustomerCombinedCleaned[[#This Row],[ID]], Table4[ID], Table4[Recency], "Not Found", 0)</f>
        <v>24</v>
      </c>
      <c r="K908" s="16">
        <f>_xlfn.XLOOKUP(CustomerCombinedCleaned[[#This Row],[ID]], Table4[ID], Table4[Teas], "Not Found", 0)</f>
        <v>104</v>
      </c>
      <c r="L908" s="16">
        <f>_xlfn.XLOOKUP(CustomerCombinedCleaned[[#This Row],[ID]], Table4[ID], Table4[Fruits], "Not Found", 0)</f>
        <v>17</v>
      </c>
      <c r="M908" s="16">
        <f>_xlfn.XLOOKUP(CustomerCombinedCleaned[[#This Row],[ID]], Table4[ID], Table4[Meats], "Not Found", 0)</f>
        <v>98</v>
      </c>
      <c r="N908" s="16">
        <f>_xlfn.XLOOKUP(CustomerCombinedCleaned[[#This Row],[ID]], Table4[ID], Table4[Seafood], "Not Found", 0)</f>
        <v>17</v>
      </c>
      <c r="O908" s="16">
        <f>_xlfn.XLOOKUP(CustomerCombinedCleaned[[#This Row],[ID]], Table4[ID], Table4[Sweets], "Not Found", 0)</f>
        <v>0</v>
      </c>
      <c r="P908" s="16">
        <f>_xlfn.XLOOKUP(CustomerCombinedCleaned[[#This Row],[ID]], Table4[ID], Table4[Premium], "Not Found", 0)</f>
        <v>23</v>
      </c>
      <c r="Q908" s="16">
        <f>_xlfn.XLOOKUP(CustomerCombinedCleaned[[#This Row],[ID]], Table4[ID], Table4[Regular], "Not Found", 0)</f>
        <v>214</v>
      </c>
      <c r="R908" s="16">
        <f>_xlfn.XLOOKUP(CustomerCombinedCleaned[[#This Row],[ID]], Table4[ID], Table4[Deals], "Not Found", 0)</f>
        <v>1</v>
      </c>
      <c r="S908" s="16">
        <f>_xlfn.XLOOKUP(CustomerCombinedCleaned[[#This Row],[ID]], Table4[ID], Table4[Website], "Not Found", 0)</f>
        <v>2</v>
      </c>
      <c r="T908" s="16">
        <f>_xlfn.XLOOKUP(CustomerCombinedCleaned[[#This Row],[ID]], Table4[ID], Table4[Catalog], "Not Found", 0)</f>
        <v>0</v>
      </c>
      <c r="U908" s="16">
        <f>_xlfn.XLOOKUP(CustomerCombinedCleaned[[#This Row],[ID]], Table4[ID], Table4[Store], "Not Found", 0)</f>
        <v>3</v>
      </c>
      <c r="V908" s="16">
        <f>_xlfn.XLOOKUP(CustomerCombinedCleaned[[#This Row],[ID]], Table4[ID], Table4[Visits], "Not Found", 0)</f>
        <v>9</v>
      </c>
      <c r="W908" s="16">
        <f>_xlfn.XLOOKUP(CustomerCombinedCleaned[[#This Row],[ID]], Table2[ID],Table2[Complaint], "Not Found", 0 )</f>
        <v>0</v>
      </c>
      <c r="X908" s="16">
        <f>_xlfn.XLOOKUP(CustomerCombinedCleaned[[#This Row],[ID]], Table2[ID],Table2[Pilot], "Not Found", 0 )</f>
        <v>0</v>
      </c>
      <c r="Y908" s="16">
        <f>_xlfn.XLOOKUP(CustomerCombinedCleaned[[#This Row],[ID]], Table2[ID],Table2[MC1], "Not Found", 0 )</f>
        <v>0</v>
      </c>
      <c r="Z908" s="16">
        <f>_xlfn.XLOOKUP(CustomerCombinedCleaned[[#This Row],[ID]], Table2[ID],Table2[MC2], "Not Found", 0 )</f>
        <v>0</v>
      </c>
      <c r="AA908" s="16">
        <f>_xlfn.XLOOKUP(CustomerCombinedCleaned[[#This Row],[ID]], Table2[ID],Table2[MC3], "Not Found", 0 )</f>
        <v>0</v>
      </c>
      <c r="AB908" s="16">
        <f>_xlfn.XLOOKUP(CustomerCombinedCleaned[[#This Row],[ID]], Table2[ID],Table2[MC4], "Not Found", 0 )</f>
        <v>0</v>
      </c>
      <c r="AC908" s="16">
        <f>_xlfn.XLOOKUP(CustomerCombinedCleaned[[#This Row],[ID]], Table2[ID],Table2[MC5], "Not Found", 0 )</f>
        <v>0</v>
      </c>
    </row>
    <row r="909" spans="1:29" x14ac:dyDescent="0.3">
      <c r="A909" s="18">
        <v>2229</v>
      </c>
      <c r="B909" s="16">
        <v>120427</v>
      </c>
      <c r="C909" s="16">
        <v>1</v>
      </c>
      <c r="D909" s="16">
        <v>0</v>
      </c>
      <c r="E909" s="16">
        <v>47</v>
      </c>
      <c r="F909" s="17" t="s">
        <v>8</v>
      </c>
      <c r="G909" s="17" t="s">
        <v>13</v>
      </c>
      <c r="H909" s="3" t="s">
        <v>77</v>
      </c>
      <c r="I909" s="5" t="s">
        <v>435</v>
      </c>
      <c r="J909" s="16">
        <f>_xlfn.XLOOKUP(CustomerCombinedCleaned[[#This Row],[ID]], Table4[ID], Table4[Recency], "Not Found", 0)</f>
        <v>63</v>
      </c>
      <c r="K909" s="16">
        <f>_xlfn.XLOOKUP(CustomerCombinedCleaned[[#This Row],[ID]], Table4[ID], Table4[Teas], "Not Found", 0)</f>
        <v>29</v>
      </c>
      <c r="L909" s="16">
        <f>_xlfn.XLOOKUP(CustomerCombinedCleaned[[#This Row],[ID]], Table4[ID], Table4[Fruits], "Not Found", 0)</f>
        <v>0</v>
      </c>
      <c r="M909" s="16">
        <f>_xlfn.XLOOKUP(CustomerCombinedCleaned[[#This Row],[ID]], Table4[ID], Table4[Meats], "Not Found", 0)</f>
        <v>24</v>
      </c>
      <c r="N909" s="16">
        <f>_xlfn.XLOOKUP(CustomerCombinedCleaned[[#This Row],[ID]], Table4[ID], Table4[Seafood], "Not Found", 0)</f>
        <v>0</v>
      </c>
      <c r="O909" s="16">
        <f>_xlfn.XLOOKUP(CustomerCombinedCleaned[[#This Row],[ID]], Table4[ID], Table4[Sweets], "Not Found", 0)</f>
        <v>0</v>
      </c>
      <c r="P909" s="16">
        <f>_xlfn.XLOOKUP(CustomerCombinedCleaned[[#This Row],[ID]], Table4[ID], Table4[Premium], "Not Found", 0)</f>
        <v>6</v>
      </c>
      <c r="Q909" s="16">
        <f>_xlfn.XLOOKUP(CustomerCombinedCleaned[[#This Row],[ID]], Table4[ID], Table4[Regular], "Not Found", 0)</f>
        <v>47</v>
      </c>
      <c r="R909" s="16">
        <f>_xlfn.XLOOKUP(CustomerCombinedCleaned[[#This Row],[ID]], Table4[ID], Table4[Deals], "Not Found", 0)</f>
        <v>1</v>
      </c>
      <c r="S909" s="16">
        <f>_xlfn.XLOOKUP(CustomerCombinedCleaned[[#This Row],[ID]], Table4[ID], Table4[Website], "Not Found", 0)</f>
        <v>1</v>
      </c>
      <c r="T909" s="16">
        <f>_xlfn.XLOOKUP(CustomerCombinedCleaned[[#This Row],[ID]], Table4[ID], Table4[Catalog], "Not Found", 0)</f>
        <v>0</v>
      </c>
      <c r="U909" s="16">
        <f>_xlfn.XLOOKUP(CustomerCombinedCleaned[[#This Row],[ID]], Table4[ID], Table4[Store], "Not Found", 0)</f>
        <v>2</v>
      </c>
      <c r="V909" s="16">
        <f>_xlfn.XLOOKUP(CustomerCombinedCleaned[[#This Row],[ID]], Table4[ID], Table4[Visits], "Not Found", 0)</f>
        <v>8</v>
      </c>
      <c r="W909" s="16">
        <f>_xlfn.XLOOKUP(CustomerCombinedCleaned[[#This Row],[ID]], Table2[ID],Table2[Complaint], "Not Found", 0 )</f>
        <v>0</v>
      </c>
      <c r="X909" s="16">
        <f>_xlfn.XLOOKUP(CustomerCombinedCleaned[[#This Row],[ID]], Table2[ID],Table2[Pilot], "Not Found", 0 )</f>
        <v>0</v>
      </c>
      <c r="Y909" s="16">
        <f>_xlfn.XLOOKUP(CustomerCombinedCleaned[[#This Row],[ID]], Table2[ID],Table2[MC1], "Not Found", 0 )</f>
        <v>0</v>
      </c>
      <c r="Z909" s="16">
        <f>_xlfn.XLOOKUP(CustomerCombinedCleaned[[#This Row],[ID]], Table2[ID],Table2[MC2], "Not Found", 0 )</f>
        <v>0</v>
      </c>
      <c r="AA909" s="16">
        <f>_xlfn.XLOOKUP(CustomerCombinedCleaned[[#This Row],[ID]], Table2[ID],Table2[MC3], "Not Found", 0 )</f>
        <v>0</v>
      </c>
      <c r="AB909" s="16">
        <f>_xlfn.XLOOKUP(CustomerCombinedCleaned[[#This Row],[ID]], Table2[ID],Table2[MC4], "Not Found", 0 )</f>
        <v>0</v>
      </c>
      <c r="AC909" s="16">
        <f>_xlfn.XLOOKUP(CustomerCombinedCleaned[[#This Row],[ID]], Table2[ID],Table2[MC5], "Not Found", 0 )</f>
        <v>0</v>
      </c>
    </row>
    <row r="910" spans="1:29" x14ac:dyDescent="0.3">
      <c r="A910" s="18">
        <v>1596</v>
      </c>
      <c r="B910" s="16">
        <v>118978</v>
      </c>
      <c r="C910" s="16">
        <v>1</v>
      </c>
      <c r="D910" s="16">
        <v>0</v>
      </c>
      <c r="E910" s="16">
        <v>47</v>
      </c>
      <c r="F910" s="17" t="s">
        <v>6</v>
      </c>
      <c r="G910" s="17" t="s">
        <v>10</v>
      </c>
      <c r="H910" s="3" t="s">
        <v>347</v>
      </c>
      <c r="I910" s="5" t="s">
        <v>436</v>
      </c>
      <c r="J910" s="16">
        <f>_xlfn.XLOOKUP(CustomerCombinedCleaned[[#This Row],[ID]], Table4[ID], Table4[Recency], "Not Found", 0)</f>
        <v>41</v>
      </c>
      <c r="K910" s="16">
        <f>_xlfn.XLOOKUP(CustomerCombinedCleaned[[#This Row],[ID]], Table4[ID], Table4[Teas], "Not Found", 0)</f>
        <v>13</v>
      </c>
      <c r="L910" s="16">
        <f>_xlfn.XLOOKUP(CustomerCombinedCleaned[[#This Row],[ID]], Table4[ID], Table4[Fruits], "Not Found", 0)</f>
        <v>50</v>
      </c>
      <c r="M910" s="16">
        <f>_xlfn.XLOOKUP(CustomerCombinedCleaned[[#This Row],[ID]], Table4[ID], Table4[Meats], "Not Found", 0)</f>
        <v>6</v>
      </c>
      <c r="N910" s="16">
        <f>_xlfn.XLOOKUP(CustomerCombinedCleaned[[#This Row],[ID]], Table4[ID], Table4[Seafood], "Not Found", 0)</f>
        <v>25</v>
      </c>
      <c r="O910" s="16">
        <f>_xlfn.XLOOKUP(CustomerCombinedCleaned[[#This Row],[ID]], Table4[ID], Table4[Sweets], "Not Found", 0)</f>
        <v>44</v>
      </c>
      <c r="P910" s="16">
        <f>_xlfn.XLOOKUP(CustomerCombinedCleaned[[#This Row],[ID]], Table4[ID], Table4[Premium], "Not Found", 0)</f>
        <v>94</v>
      </c>
      <c r="Q910" s="16">
        <f>_xlfn.XLOOKUP(CustomerCombinedCleaned[[#This Row],[ID]], Table4[ID], Table4[Regular], "Not Found", 0)</f>
        <v>44</v>
      </c>
      <c r="R910" s="16">
        <f>_xlfn.XLOOKUP(CustomerCombinedCleaned[[#This Row],[ID]], Table4[ID], Table4[Deals], "Not Found", 0)</f>
        <v>1</v>
      </c>
      <c r="S910" s="16">
        <f>_xlfn.XLOOKUP(CustomerCombinedCleaned[[#This Row],[ID]], Table4[ID], Table4[Website], "Not Found", 0)</f>
        <v>1</v>
      </c>
      <c r="T910" s="16">
        <f>_xlfn.XLOOKUP(CustomerCombinedCleaned[[#This Row],[ID]], Table4[ID], Table4[Catalog], "Not Found", 0)</f>
        <v>0</v>
      </c>
      <c r="U910" s="16">
        <f>_xlfn.XLOOKUP(CustomerCombinedCleaned[[#This Row],[ID]], Table4[ID], Table4[Store], "Not Found", 0)</f>
        <v>3</v>
      </c>
      <c r="V910" s="16">
        <f>_xlfn.XLOOKUP(CustomerCombinedCleaned[[#This Row],[ID]], Table4[ID], Table4[Visits], "Not Found", 0)</f>
        <v>8</v>
      </c>
      <c r="W910" s="16">
        <f>_xlfn.XLOOKUP(CustomerCombinedCleaned[[#This Row],[ID]], Table2[ID],Table2[Complaint], "Not Found", 0 )</f>
        <v>0</v>
      </c>
      <c r="X910" s="16">
        <f>_xlfn.XLOOKUP(CustomerCombinedCleaned[[#This Row],[ID]], Table2[ID],Table2[Pilot], "Not Found", 0 )</f>
        <v>0</v>
      </c>
      <c r="Y910" s="16">
        <f>_xlfn.XLOOKUP(CustomerCombinedCleaned[[#This Row],[ID]], Table2[ID],Table2[MC1], "Not Found", 0 )</f>
        <v>0</v>
      </c>
      <c r="Z910" s="16">
        <f>_xlfn.XLOOKUP(CustomerCombinedCleaned[[#This Row],[ID]], Table2[ID],Table2[MC2], "Not Found", 0 )</f>
        <v>0</v>
      </c>
      <c r="AA910" s="16">
        <f>_xlfn.XLOOKUP(CustomerCombinedCleaned[[#This Row],[ID]], Table2[ID],Table2[MC3], "Not Found", 0 )</f>
        <v>0</v>
      </c>
      <c r="AB910" s="16">
        <f>_xlfn.XLOOKUP(CustomerCombinedCleaned[[#This Row],[ID]], Table2[ID],Table2[MC4], "Not Found", 0 )</f>
        <v>0</v>
      </c>
      <c r="AC910" s="16">
        <f>_xlfn.XLOOKUP(CustomerCombinedCleaned[[#This Row],[ID]], Table2[ID],Table2[MC5], "Not Found", 0 )</f>
        <v>0</v>
      </c>
    </row>
    <row r="911" spans="1:29" x14ac:dyDescent="0.3">
      <c r="A911" s="18">
        <v>2679</v>
      </c>
      <c r="B911" s="16">
        <v>109722</v>
      </c>
      <c r="C911" s="16">
        <v>1</v>
      </c>
      <c r="D911" s="16">
        <v>0</v>
      </c>
      <c r="E911" s="16">
        <v>47</v>
      </c>
      <c r="F911" s="17" t="s">
        <v>8</v>
      </c>
      <c r="G911" s="17" t="s">
        <v>10</v>
      </c>
      <c r="H911" s="3" t="s">
        <v>799</v>
      </c>
      <c r="I911" s="5" t="s">
        <v>435</v>
      </c>
      <c r="J911" s="16">
        <f>_xlfn.XLOOKUP(CustomerCombinedCleaned[[#This Row],[ID]], Table4[ID], Table4[Recency], "Not Found", 0)</f>
        <v>7</v>
      </c>
      <c r="K911" s="16">
        <f>_xlfn.XLOOKUP(CustomerCombinedCleaned[[#This Row],[ID]], Table4[ID], Table4[Teas], "Not Found", 0)</f>
        <v>68</v>
      </c>
      <c r="L911" s="16">
        <f>_xlfn.XLOOKUP(CustomerCombinedCleaned[[#This Row],[ID]], Table4[ID], Table4[Fruits], "Not Found", 0)</f>
        <v>192</v>
      </c>
      <c r="M911" s="16">
        <f>_xlfn.XLOOKUP(CustomerCombinedCleaned[[#This Row],[ID]], Table4[ID], Table4[Meats], "Not Found", 0)</f>
        <v>181</v>
      </c>
      <c r="N911" s="16">
        <f>_xlfn.XLOOKUP(CustomerCombinedCleaned[[#This Row],[ID]], Table4[ID], Table4[Seafood], "Not Found", 0)</f>
        <v>68</v>
      </c>
      <c r="O911" s="16">
        <f>_xlfn.XLOOKUP(CustomerCombinedCleaned[[#This Row],[ID]], Table4[ID], Table4[Sweets], "Not Found", 0)</f>
        <v>181</v>
      </c>
      <c r="P911" s="16">
        <f>_xlfn.XLOOKUP(CustomerCombinedCleaned[[#This Row],[ID]], Table4[ID], Table4[Premium], "Not Found", 0)</f>
        <v>474</v>
      </c>
      <c r="Q911" s="16">
        <f>_xlfn.XLOOKUP(CustomerCombinedCleaned[[#This Row],[ID]], Table4[ID], Table4[Regular], "Not Found", 0)</f>
        <v>214</v>
      </c>
      <c r="R911" s="16">
        <f>_xlfn.XLOOKUP(CustomerCombinedCleaned[[#This Row],[ID]], Table4[ID], Table4[Deals], "Not Found", 0)</f>
        <v>4</v>
      </c>
      <c r="S911" s="16">
        <f>_xlfn.XLOOKUP(CustomerCombinedCleaned[[#This Row],[ID]], Table4[ID], Table4[Website], "Not Found", 0)</f>
        <v>3</v>
      </c>
      <c r="T911" s="16">
        <f>_xlfn.XLOOKUP(CustomerCombinedCleaned[[#This Row],[ID]], Table4[ID], Table4[Catalog], "Not Found", 0)</f>
        <v>1</v>
      </c>
      <c r="U911" s="16">
        <f>_xlfn.XLOOKUP(CustomerCombinedCleaned[[#This Row],[ID]], Table4[ID], Table4[Store], "Not Found", 0)</f>
        <v>3</v>
      </c>
      <c r="V911" s="16">
        <f>_xlfn.XLOOKUP(CustomerCombinedCleaned[[#This Row],[ID]], Table4[ID], Table4[Visits], "Not Found", 0)</f>
        <v>8</v>
      </c>
      <c r="W911" s="16">
        <f>_xlfn.XLOOKUP(CustomerCombinedCleaned[[#This Row],[ID]], Table2[ID],Table2[Complaint], "Not Found", 0 )</f>
        <v>0</v>
      </c>
      <c r="X911" s="16">
        <f>_xlfn.XLOOKUP(CustomerCombinedCleaned[[#This Row],[ID]], Table2[ID],Table2[Pilot], "Not Found", 0 )</f>
        <v>1</v>
      </c>
      <c r="Y911" s="16">
        <f>_xlfn.XLOOKUP(CustomerCombinedCleaned[[#This Row],[ID]], Table2[ID],Table2[MC1], "Not Found", 0 )</f>
        <v>0</v>
      </c>
      <c r="Z911" s="16">
        <f>_xlfn.XLOOKUP(CustomerCombinedCleaned[[#This Row],[ID]], Table2[ID],Table2[MC2], "Not Found", 0 )</f>
        <v>0</v>
      </c>
      <c r="AA911" s="16">
        <f>_xlfn.XLOOKUP(CustomerCombinedCleaned[[#This Row],[ID]], Table2[ID],Table2[MC3], "Not Found", 0 )</f>
        <v>0</v>
      </c>
      <c r="AB911" s="16">
        <f>_xlfn.XLOOKUP(CustomerCombinedCleaned[[#This Row],[ID]], Table2[ID],Table2[MC4], "Not Found", 0 )</f>
        <v>0</v>
      </c>
      <c r="AC911" s="16">
        <f>_xlfn.XLOOKUP(CustomerCombinedCleaned[[#This Row],[ID]], Table2[ID],Table2[MC5], "Not Found", 0 )</f>
        <v>0</v>
      </c>
    </row>
    <row r="912" spans="1:29" x14ac:dyDescent="0.3">
      <c r="A912" s="18">
        <v>1226</v>
      </c>
      <c r="B912" s="16">
        <v>107500</v>
      </c>
      <c r="C912" s="16">
        <v>1</v>
      </c>
      <c r="D912" s="16">
        <v>0</v>
      </c>
      <c r="E912" s="16">
        <v>47</v>
      </c>
      <c r="F912" s="17" t="s">
        <v>7</v>
      </c>
      <c r="G912" s="17" t="s">
        <v>11</v>
      </c>
      <c r="H912" s="3" t="s">
        <v>650</v>
      </c>
      <c r="I912" s="5" t="s">
        <v>438</v>
      </c>
      <c r="J912" s="16">
        <f>_xlfn.XLOOKUP(CustomerCombinedCleaned[[#This Row],[ID]], Table4[ID], Table4[Recency], "Not Found", 0)</f>
        <v>54</v>
      </c>
      <c r="K912" s="16">
        <f>_xlfn.XLOOKUP(CustomerCombinedCleaned[[#This Row],[ID]], Table4[ID], Table4[Teas], "Not Found", 0)</f>
        <v>72</v>
      </c>
      <c r="L912" s="16">
        <f>_xlfn.XLOOKUP(CustomerCombinedCleaned[[#This Row],[ID]], Table4[ID], Table4[Fruits], "Not Found", 0)</f>
        <v>43</v>
      </c>
      <c r="M912" s="16">
        <f>_xlfn.XLOOKUP(CustomerCombinedCleaned[[#This Row],[ID]], Table4[ID], Table4[Meats], "Not Found", 0)</f>
        <v>143</v>
      </c>
      <c r="N912" s="16">
        <f>_xlfn.XLOOKUP(CustomerCombinedCleaned[[#This Row],[ID]], Table4[ID], Table4[Seafood], "Not Found", 0)</f>
        <v>172</v>
      </c>
      <c r="O912" s="16">
        <f>_xlfn.XLOOKUP(CustomerCombinedCleaned[[#This Row],[ID]], Table4[ID], Table4[Sweets], "Not Found", 0)</f>
        <v>100</v>
      </c>
      <c r="P912" s="16">
        <f>_xlfn.XLOOKUP(CustomerCombinedCleaned[[#This Row],[ID]], Table4[ID], Table4[Premium], "Not Found", 0)</f>
        <v>287</v>
      </c>
      <c r="Q912" s="16">
        <f>_xlfn.XLOOKUP(CustomerCombinedCleaned[[#This Row],[ID]], Table4[ID], Table4[Regular], "Not Found", 0)</f>
        <v>244</v>
      </c>
      <c r="R912" s="16">
        <f>_xlfn.XLOOKUP(CustomerCombinedCleaned[[#This Row],[ID]], Table4[ID], Table4[Deals], "Not Found", 0)</f>
        <v>4</v>
      </c>
      <c r="S912" s="16">
        <f>_xlfn.XLOOKUP(CustomerCombinedCleaned[[#This Row],[ID]], Table4[ID], Table4[Website], "Not Found", 0)</f>
        <v>3</v>
      </c>
      <c r="T912" s="16">
        <f>_xlfn.XLOOKUP(CustomerCombinedCleaned[[#This Row],[ID]], Table4[ID], Table4[Catalog], "Not Found", 0)</f>
        <v>1</v>
      </c>
      <c r="U912" s="16">
        <f>_xlfn.XLOOKUP(CustomerCombinedCleaned[[#This Row],[ID]], Table4[ID], Table4[Store], "Not Found", 0)</f>
        <v>3</v>
      </c>
      <c r="V912" s="16">
        <f>_xlfn.XLOOKUP(CustomerCombinedCleaned[[#This Row],[ID]], Table4[ID], Table4[Visits], "Not Found", 0)</f>
        <v>7</v>
      </c>
      <c r="W912" s="16">
        <f>_xlfn.XLOOKUP(CustomerCombinedCleaned[[#This Row],[ID]], Table2[ID],Table2[Complaint], "Not Found", 0 )</f>
        <v>0</v>
      </c>
      <c r="X912" s="16">
        <f>_xlfn.XLOOKUP(CustomerCombinedCleaned[[#This Row],[ID]], Table2[ID],Table2[Pilot], "Not Found", 0 )</f>
        <v>0</v>
      </c>
      <c r="Y912" s="16">
        <f>_xlfn.XLOOKUP(CustomerCombinedCleaned[[#This Row],[ID]], Table2[ID],Table2[MC1], "Not Found", 0 )</f>
        <v>0</v>
      </c>
      <c r="Z912" s="16">
        <f>_xlfn.XLOOKUP(CustomerCombinedCleaned[[#This Row],[ID]], Table2[ID],Table2[MC2], "Not Found", 0 )</f>
        <v>0</v>
      </c>
      <c r="AA912" s="16">
        <f>_xlfn.XLOOKUP(CustomerCombinedCleaned[[#This Row],[ID]], Table2[ID],Table2[MC3], "Not Found", 0 )</f>
        <v>0</v>
      </c>
      <c r="AB912" s="16">
        <f>_xlfn.XLOOKUP(CustomerCombinedCleaned[[#This Row],[ID]], Table2[ID],Table2[MC4], "Not Found", 0 )</f>
        <v>0</v>
      </c>
      <c r="AC912" s="16">
        <f>_xlfn.XLOOKUP(CustomerCombinedCleaned[[#This Row],[ID]], Table2[ID],Table2[MC5], "Not Found", 0 )</f>
        <v>0</v>
      </c>
    </row>
    <row r="913" spans="1:29" x14ac:dyDescent="0.3">
      <c r="A913" s="18">
        <v>2500</v>
      </c>
      <c r="B913" s="16">
        <v>103502</v>
      </c>
      <c r="C913" s="16">
        <v>1</v>
      </c>
      <c r="D913" s="16">
        <v>0</v>
      </c>
      <c r="E913" s="16">
        <v>47</v>
      </c>
      <c r="F913" s="17" t="s">
        <v>7</v>
      </c>
      <c r="G913" s="17" t="s">
        <v>11</v>
      </c>
      <c r="H913" s="3" t="s">
        <v>276</v>
      </c>
      <c r="I913" s="5" t="s">
        <v>439</v>
      </c>
      <c r="J913" s="16">
        <f>_xlfn.XLOOKUP(CustomerCombinedCleaned[[#This Row],[ID]], Table4[ID], Table4[Recency], "Not Found", 0)</f>
        <v>56</v>
      </c>
      <c r="K913" s="16">
        <f>_xlfn.XLOOKUP(CustomerCombinedCleaned[[#This Row],[ID]], Table4[ID], Table4[Teas], "Not Found", 0)</f>
        <v>59</v>
      </c>
      <c r="L913" s="16">
        <f>_xlfn.XLOOKUP(CustomerCombinedCleaned[[#This Row],[ID]], Table4[ID], Table4[Fruits], "Not Found", 0)</f>
        <v>30</v>
      </c>
      <c r="M913" s="16">
        <f>_xlfn.XLOOKUP(CustomerCombinedCleaned[[#This Row],[ID]], Table4[ID], Table4[Meats], "Not Found", 0)</f>
        <v>30</v>
      </c>
      <c r="N913" s="16">
        <f>_xlfn.XLOOKUP(CustomerCombinedCleaned[[#This Row],[ID]], Table4[ID], Table4[Seafood], "Not Found", 0)</f>
        <v>0</v>
      </c>
      <c r="O913" s="16">
        <f>_xlfn.XLOOKUP(CustomerCombinedCleaned[[#This Row],[ID]], Table4[ID], Table4[Sweets], "Not Found", 0)</f>
        <v>0</v>
      </c>
      <c r="P913" s="16">
        <f>_xlfn.XLOOKUP(CustomerCombinedCleaned[[#This Row],[ID]], Table4[ID], Table4[Premium], "Not Found", 0)</f>
        <v>30</v>
      </c>
      <c r="Q913" s="16">
        <f>_xlfn.XLOOKUP(CustomerCombinedCleaned[[#This Row],[ID]], Table4[ID], Table4[Regular], "Not Found", 0)</f>
        <v>89</v>
      </c>
      <c r="R913" s="16">
        <f>_xlfn.XLOOKUP(CustomerCombinedCleaned[[#This Row],[ID]], Table4[ID], Table4[Deals], "Not Found", 0)</f>
        <v>0</v>
      </c>
      <c r="S913" s="16">
        <f>_xlfn.XLOOKUP(CustomerCombinedCleaned[[#This Row],[ID]], Table4[ID], Table4[Website], "Not Found", 0)</f>
        <v>0</v>
      </c>
      <c r="T913" s="16">
        <f>_xlfn.XLOOKUP(CustomerCombinedCleaned[[#This Row],[ID]], Table4[ID], Table4[Catalog], "Not Found", 0)</f>
        <v>0</v>
      </c>
      <c r="U913" s="16">
        <f>_xlfn.XLOOKUP(CustomerCombinedCleaned[[#This Row],[ID]], Table4[ID], Table4[Store], "Not Found", 0)</f>
        <v>0</v>
      </c>
      <c r="V913" s="16">
        <f>_xlfn.XLOOKUP(CustomerCombinedCleaned[[#This Row],[ID]], Table4[ID], Table4[Visits], "Not Found", 0)</f>
        <v>14</v>
      </c>
      <c r="W913" s="16">
        <f>_xlfn.XLOOKUP(CustomerCombinedCleaned[[#This Row],[ID]], Table2[ID],Table2[Complaint], "Not Found", 0 )</f>
        <v>0</v>
      </c>
      <c r="X913" s="16">
        <f>_xlfn.XLOOKUP(CustomerCombinedCleaned[[#This Row],[ID]], Table2[ID],Table2[Pilot], "Not Found", 0 )</f>
        <v>0</v>
      </c>
      <c r="Y913" s="16">
        <f>_xlfn.XLOOKUP(CustomerCombinedCleaned[[#This Row],[ID]], Table2[ID],Table2[MC1], "Not Found", 0 )</f>
        <v>0</v>
      </c>
      <c r="Z913" s="16">
        <f>_xlfn.XLOOKUP(CustomerCombinedCleaned[[#This Row],[ID]], Table2[ID],Table2[MC2], "Not Found", 0 )</f>
        <v>0</v>
      </c>
      <c r="AA913" s="16">
        <f>_xlfn.XLOOKUP(CustomerCombinedCleaned[[#This Row],[ID]], Table2[ID],Table2[MC3], "Not Found", 0 )</f>
        <v>0</v>
      </c>
      <c r="AB913" s="16">
        <f>_xlfn.XLOOKUP(CustomerCombinedCleaned[[#This Row],[ID]], Table2[ID],Table2[MC4], "Not Found", 0 )</f>
        <v>0</v>
      </c>
      <c r="AC913" s="16">
        <f>_xlfn.XLOOKUP(CustomerCombinedCleaned[[#This Row],[ID]], Table2[ID],Table2[MC5], "Not Found", 0 )</f>
        <v>0</v>
      </c>
    </row>
    <row r="914" spans="1:29" x14ac:dyDescent="0.3">
      <c r="A914" s="18">
        <v>1668</v>
      </c>
      <c r="B914" s="16">
        <v>186857</v>
      </c>
      <c r="C914" s="16">
        <v>0</v>
      </c>
      <c r="D914" s="16">
        <v>0</v>
      </c>
      <c r="E914" s="16">
        <v>48</v>
      </c>
      <c r="F914" s="17" t="s">
        <v>7</v>
      </c>
      <c r="G914" s="17" t="s">
        <v>13</v>
      </c>
      <c r="H914" s="3" t="s">
        <v>397</v>
      </c>
      <c r="I914" s="5" t="s">
        <v>436</v>
      </c>
      <c r="J914" s="16">
        <f>_xlfn.XLOOKUP(CustomerCombinedCleaned[[#This Row],[ID]], Table4[ID], Table4[Recency], "Not Found", 0)</f>
        <v>96</v>
      </c>
      <c r="K914" s="16">
        <f>_xlfn.XLOOKUP(CustomerCombinedCleaned[[#This Row],[ID]], Table4[ID], Table4[Teas], "Not Found", 0)</f>
        <v>1934</v>
      </c>
      <c r="L914" s="16">
        <f>_xlfn.XLOOKUP(CustomerCombinedCleaned[[#This Row],[ID]], Table4[ID], Table4[Fruits], "Not Found", 0)</f>
        <v>219</v>
      </c>
      <c r="M914" s="16">
        <f>_xlfn.XLOOKUP(CustomerCombinedCleaned[[#This Row],[ID]], Table4[ID], Table4[Meats], "Not Found", 0)</f>
        <v>1803</v>
      </c>
      <c r="N914" s="16">
        <f>_xlfn.XLOOKUP(CustomerCombinedCleaned[[#This Row],[ID]], Table4[ID], Table4[Seafood], "Not Found", 0)</f>
        <v>286</v>
      </c>
      <c r="O914" s="16">
        <f>_xlfn.XLOOKUP(CustomerCombinedCleaned[[#This Row],[ID]], Table4[ID], Table4[Sweets], "Not Found", 0)</f>
        <v>219</v>
      </c>
      <c r="P914" s="16">
        <f>_xlfn.XLOOKUP(CustomerCombinedCleaned[[#This Row],[ID]], Table4[ID], Table4[Premium], "Not Found", 0)</f>
        <v>86</v>
      </c>
      <c r="Q914" s="16">
        <f>_xlfn.XLOOKUP(CustomerCombinedCleaned[[#This Row],[ID]], Table4[ID], Table4[Regular], "Not Found", 0)</f>
        <v>4376</v>
      </c>
      <c r="R914" s="16">
        <f>_xlfn.XLOOKUP(CustomerCombinedCleaned[[#This Row],[ID]], Table4[ID], Table4[Deals], "Not Found", 0)</f>
        <v>1</v>
      </c>
      <c r="S914" s="16">
        <f>_xlfn.XLOOKUP(CustomerCombinedCleaned[[#This Row],[ID]], Table4[ID], Table4[Website], "Not Found", 0)</f>
        <v>5</v>
      </c>
      <c r="T914" s="16">
        <f>_xlfn.XLOOKUP(CustomerCombinedCleaned[[#This Row],[ID]], Table4[ID], Table4[Catalog], "Not Found", 0)</f>
        <v>6</v>
      </c>
      <c r="U914" s="16">
        <f>_xlfn.XLOOKUP(CustomerCombinedCleaned[[#This Row],[ID]], Table4[ID], Table4[Store], "Not Found", 0)</f>
        <v>10</v>
      </c>
      <c r="V914" s="16">
        <f>_xlfn.XLOOKUP(CustomerCombinedCleaned[[#This Row],[ID]], Table4[ID], Table4[Visits], "Not Found", 0)</f>
        <v>2</v>
      </c>
      <c r="W914" s="16">
        <f>_xlfn.XLOOKUP(CustomerCombinedCleaned[[#This Row],[ID]], Table2[ID],Table2[Complaint], "Not Found", 0 )</f>
        <v>0</v>
      </c>
      <c r="X914" s="16">
        <f>_xlfn.XLOOKUP(CustomerCombinedCleaned[[#This Row],[ID]], Table2[ID],Table2[Pilot], "Not Found", 0 )</f>
        <v>1</v>
      </c>
      <c r="Y914" s="16">
        <f>_xlfn.XLOOKUP(CustomerCombinedCleaned[[#This Row],[ID]], Table2[ID],Table2[MC1], "Not Found", 0 )</f>
        <v>0</v>
      </c>
      <c r="Z914" s="16">
        <f>_xlfn.XLOOKUP(CustomerCombinedCleaned[[#This Row],[ID]], Table2[ID],Table2[MC2], "Not Found", 0 )</f>
        <v>0</v>
      </c>
      <c r="AA914" s="16">
        <f>_xlfn.XLOOKUP(CustomerCombinedCleaned[[#This Row],[ID]], Table2[ID],Table2[MC3], "Not Found", 0 )</f>
        <v>0</v>
      </c>
      <c r="AB914" s="16">
        <f>_xlfn.XLOOKUP(CustomerCombinedCleaned[[#This Row],[ID]], Table2[ID],Table2[MC4], "Not Found", 0 )</f>
        <v>0</v>
      </c>
      <c r="AC914" s="16">
        <f>_xlfn.XLOOKUP(CustomerCombinedCleaned[[#This Row],[ID]], Table2[ID],Table2[MC5], "Not Found", 0 )</f>
        <v>0</v>
      </c>
    </row>
    <row r="915" spans="1:29" x14ac:dyDescent="0.3">
      <c r="A915" s="18">
        <v>1865</v>
      </c>
      <c r="B915" s="16">
        <v>186857</v>
      </c>
      <c r="C915" s="16">
        <v>0</v>
      </c>
      <c r="D915" s="16">
        <v>0</v>
      </c>
      <c r="E915" s="16">
        <v>48</v>
      </c>
      <c r="F915" s="17" t="s">
        <v>7</v>
      </c>
      <c r="G915" s="17" t="s">
        <v>13</v>
      </c>
      <c r="H915" s="3" t="s">
        <v>397</v>
      </c>
      <c r="I915" s="5" t="s">
        <v>434</v>
      </c>
      <c r="J915" s="16">
        <f>_xlfn.XLOOKUP(CustomerCombinedCleaned[[#This Row],[ID]], Table4[ID], Table4[Recency], "Not Found", 0)</f>
        <v>96</v>
      </c>
      <c r="K915" s="16">
        <f>_xlfn.XLOOKUP(CustomerCombinedCleaned[[#This Row],[ID]], Table4[ID], Table4[Teas], "Not Found", 0)</f>
        <v>1934</v>
      </c>
      <c r="L915" s="16">
        <f>_xlfn.XLOOKUP(CustomerCombinedCleaned[[#This Row],[ID]], Table4[ID], Table4[Fruits], "Not Found", 0)</f>
        <v>219</v>
      </c>
      <c r="M915" s="16">
        <f>_xlfn.XLOOKUP(CustomerCombinedCleaned[[#This Row],[ID]], Table4[ID], Table4[Meats], "Not Found", 0)</f>
        <v>1803</v>
      </c>
      <c r="N915" s="16">
        <f>_xlfn.XLOOKUP(CustomerCombinedCleaned[[#This Row],[ID]], Table4[ID], Table4[Seafood], "Not Found", 0)</f>
        <v>286</v>
      </c>
      <c r="O915" s="16">
        <f>_xlfn.XLOOKUP(CustomerCombinedCleaned[[#This Row],[ID]], Table4[ID], Table4[Sweets], "Not Found", 0)</f>
        <v>219</v>
      </c>
      <c r="P915" s="16">
        <f>_xlfn.XLOOKUP(CustomerCombinedCleaned[[#This Row],[ID]], Table4[ID], Table4[Premium], "Not Found", 0)</f>
        <v>86</v>
      </c>
      <c r="Q915" s="16">
        <f>_xlfn.XLOOKUP(CustomerCombinedCleaned[[#This Row],[ID]], Table4[ID], Table4[Regular], "Not Found", 0)</f>
        <v>4376</v>
      </c>
      <c r="R915" s="16">
        <f>_xlfn.XLOOKUP(CustomerCombinedCleaned[[#This Row],[ID]], Table4[ID], Table4[Deals], "Not Found", 0)</f>
        <v>1</v>
      </c>
      <c r="S915" s="16">
        <f>_xlfn.XLOOKUP(CustomerCombinedCleaned[[#This Row],[ID]], Table4[ID], Table4[Website], "Not Found", 0)</f>
        <v>5</v>
      </c>
      <c r="T915" s="16">
        <f>_xlfn.XLOOKUP(CustomerCombinedCleaned[[#This Row],[ID]], Table4[ID], Table4[Catalog], "Not Found", 0)</f>
        <v>6</v>
      </c>
      <c r="U915" s="16">
        <f>_xlfn.XLOOKUP(CustomerCombinedCleaned[[#This Row],[ID]], Table4[ID], Table4[Store], "Not Found", 0)</f>
        <v>10</v>
      </c>
      <c r="V915" s="16">
        <f>_xlfn.XLOOKUP(CustomerCombinedCleaned[[#This Row],[ID]], Table4[ID], Table4[Visits], "Not Found", 0)</f>
        <v>2</v>
      </c>
      <c r="W915" s="16">
        <f>_xlfn.XLOOKUP(CustomerCombinedCleaned[[#This Row],[ID]], Table2[ID],Table2[Complaint], "Not Found", 0 )</f>
        <v>0</v>
      </c>
      <c r="X915" s="16">
        <f>_xlfn.XLOOKUP(CustomerCombinedCleaned[[#This Row],[ID]], Table2[ID],Table2[Pilot], "Not Found", 0 )</f>
        <v>1</v>
      </c>
      <c r="Y915" s="16">
        <f>_xlfn.XLOOKUP(CustomerCombinedCleaned[[#This Row],[ID]], Table2[ID],Table2[MC1], "Not Found", 0 )</f>
        <v>0</v>
      </c>
      <c r="Z915" s="16">
        <f>_xlfn.XLOOKUP(CustomerCombinedCleaned[[#This Row],[ID]], Table2[ID],Table2[MC2], "Not Found", 0 )</f>
        <v>0</v>
      </c>
      <c r="AA915" s="16">
        <f>_xlfn.XLOOKUP(CustomerCombinedCleaned[[#This Row],[ID]], Table2[ID],Table2[MC3], "Not Found", 0 )</f>
        <v>0</v>
      </c>
      <c r="AB915" s="16">
        <f>_xlfn.XLOOKUP(CustomerCombinedCleaned[[#This Row],[ID]], Table2[ID],Table2[MC4], "Not Found", 0 )</f>
        <v>0</v>
      </c>
      <c r="AC915" s="16">
        <f>_xlfn.XLOOKUP(CustomerCombinedCleaned[[#This Row],[ID]], Table2[ID],Table2[MC5], "Not Found", 0 )</f>
        <v>0</v>
      </c>
    </row>
    <row r="916" spans="1:29" x14ac:dyDescent="0.3">
      <c r="A916" s="18">
        <v>2218</v>
      </c>
      <c r="B916" s="16">
        <v>184906</v>
      </c>
      <c r="C916" s="16">
        <v>0</v>
      </c>
      <c r="D916" s="16">
        <v>0</v>
      </c>
      <c r="E916" s="16">
        <v>48</v>
      </c>
      <c r="F916" s="17" t="s">
        <v>8</v>
      </c>
      <c r="G916" s="17" t="s">
        <v>11</v>
      </c>
      <c r="H916" s="3" t="s">
        <v>568</v>
      </c>
      <c r="I916" s="5" t="s">
        <v>439</v>
      </c>
      <c r="J916" s="16">
        <f>_xlfn.XLOOKUP(CustomerCombinedCleaned[[#This Row],[ID]], Table4[ID], Table4[Recency], "Not Found", 0)</f>
        <v>98</v>
      </c>
      <c r="K916" s="16">
        <f>_xlfn.XLOOKUP(CustomerCombinedCleaned[[#This Row],[ID]], Table4[ID], Table4[Teas], "Not Found", 0)</f>
        <v>2171</v>
      </c>
      <c r="L916" s="16">
        <f>_xlfn.XLOOKUP(CustomerCombinedCleaned[[#This Row],[ID]], Table4[ID], Table4[Fruits], "Not Found", 0)</f>
        <v>33</v>
      </c>
      <c r="M916" s="16">
        <f>_xlfn.XLOOKUP(CustomerCombinedCleaned[[#This Row],[ID]], Table4[ID], Table4[Meats], "Not Found", 0)</f>
        <v>902</v>
      </c>
      <c r="N916" s="16">
        <f>_xlfn.XLOOKUP(CustomerCombinedCleaned[[#This Row],[ID]], Table4[ID], Table4[Seafood], "Not Found", 0)</f>
        <v>216</v>
      </c>
      <c r="O916" s="16">
        <f>_xlfn.XLOOKUP(CustomerCombinedCleaned[[#This Row],[ID]], Table4[ID], Table4[Sweets], "Not Found", 0)</f>
        <v>65</v>
      </c>
      <c r="P916" s="16">
        <f>_xlfn.XLOOKUP(CustomerCombinedCleaned[[#This Row],[ID]], Table4[ID], Table4[Premium], "Not Found", 0)</f>
        <v>166</v>
      </c>
      <c r="Q916" s="16">
        <f>_xlfn.XLOOKUP(CustomerCombinedCleaned[[#This Row],[ID]], Table4[ID], Table4[Regular], "Not Found", 0)</f>
        <v>3221</v>
      </c>
      <c r="R916" s="16">
        <f>_xlfn.XLOOKUP(CustomerCombinedCleaned[[#This Row],[ID]], Table4[ID], Table4[Deals], "Not Found", 0)</f>
        <v>1</v>
      </c>
      <c r="S916" s="16">
        <f>_xlfn.XLOOKUP(CustomerCombinedCleaned[[#This Row],[ID]], Table4[ID], Table4[Website], "Not Found", 0)</f>
        <v>5</v>
      </c>
      <c r="T916" s="16">
        <f>_xlfn.XLOOKUP(CustomerCombinedCleaned[[#This Row],[ID]], Table4[ID], Table4[Catalog], "Not Found", 0)</f>
        <v>6</v>
      </c>
      <c r="U916" s="16">
        <f>_xlfn.XLOOKUP(CustomerCombinedCleaned[[#This Row],[ID]], Table4[ID], Table4[Store], "Not Found", 0)</f>
        <v>12</v>
      </c>
      <c r="V916" s="16">
        <f>_xlfn.XLOOKUP(CustomerCombinedCleaned[[#This Row],[ID]], Table4[ID], Table4[Visits], "Not Found", 0)</f>
        <v>2</v>
      </c>
      <c r="W916" s="16">
        <f>_xlfn.XLOOKUP(CustomerCombinedCleaned[[#This Row],[ID]], Table2[ID],Table2[Complaint], "Not Found", 0 )</f>
        <v>0</v>
      </c>
      <c r="X916" s="16">
        <f>_xlfn.XLOOKUP(CustomerCombinedCleaned[[#This Row],[ID]], Table2[ID],Table2[Pilot], "Not Found", 0 )</f>
        <v>0</v>
      </c>
      <c r="Y916" s="16">
        <f>_xlfn.XLOOKUP(CustomerCombinedCleaned[[#This Row],[ID]], Table2[ID],Table2[MC1], "Not Found", 0 )</f>
        <v>0</v>
      </c>
      <c r="Z916" s="16">
        <f>_xlfn.XLOOKUP(CustomerCombinedCleaned[[#This Row],[ID]], Table2[ID],Table2[MC2], "Not Found", 0 )</f>
        <v>1</v>
      </c>
      <c r="AA916" s="16">
        <f>_xlfn.XLOOKUP(CustomerCombinedCleaned[[#This Row],[ID]], Table2[ID],Table2[MC3], "Not Found", 0 )</f>
        <v>0</v>
      </c>
      <c r="AB916" s="16">
        <f>_xlfn.XLOOKUP(CustomerCombinedCleaned[[#This Row],[ID]], Table2[ID],Table2[MC4], "Not Found", 0 )</f>
        <v>1</v>
      </c>
      <c r="AC916" s="16">
        <f>_xlfn.XLOOKUP(CustomerCombinedCleaned[[#This Row],[ID]], Table2[ID],Table2[MC5], "Not Found", 0 )</f>
        <v>1</v>
      </c>
    </row>
    <row r="917" spans="1:29" x14ac:dyDescent="0.3">
      <c r="A917" s="18">
        <v>3094</v>
      </c>
      <c r="B917" s="16">
        <v>184906</v>
      </c>
      <c r="C917" s="16">
        <v>0</v>
      </c>
      <c r="D917" s="16">
        <v>0</v>
      </c>
      <c r="E917" s="16">
        <v>48</v>
      </c>
      <c r="F917" s="17" t="s">
        <v>8</v>
      </c>
      <c r="G917" s="17" t="s">
        <v>11</v>
      </c>
      <c r="H917" s="3" t="s">
        <v>568</v>
      </c>
      <c r="I917" s="5" t="s">
        <v>439</v>
      </c>
      <c r="J917" s="16">
        <f>_xlfn.XLOOKUP(CustomerCombinedCleaned[[#This Row],[ID]], Table4[ID], Table4[Recency], "Not Found", 0)</f>
        <v>98</v>
      </c>
      <c r="K917" s="16">
        <f>_xlfn.XLOOKUP(CustomerCombinedCleaned[[#This Row],[ID]], Table4[ID], Table4[Teas], "Not Found", 0)</f>
        <v>2171</v>
      </c>
      <c r="L917" s="16">
        <f>_xlfn.XLOOKUP(CustomerCombinedCleaned[[#This Row],[ID]], Table4[ID], Table4[Fruits], "Not Found", 0)</f>
        <v>33</v>
      </c>
      <c r="M917" s="16">
        <f>_xlfn.XLOOKUP(CustomerCombinedCleaned[[#This Row],[ID]], Table4[ID], Table4[Meats], "Not Found", 0)</f>
        <v>902</v>
      </c>
      <c r="N917" s="16">
        <f>_xlfn.XLOOKUP(CustomerCombinedCleaned[[#This Row],[ID]], Table4[ID], Table4[Seafood], "Not Found", 0)</f>
        <v>216</v>
      </c>
      <c r="O917" s="16">
        <f>_xlfn.XLOOKUP(CustomerCombinedCleaned[[#This Row],[ID]], Table4[ID], Table4[Sweets], "Not Found", 0)</f>
        <v>65</v>
      </c>
      <c r="P917" s="16">
        <f>_xlfn.XLOOKUP(CustomerCombinedCleaned[[#This Row],[ID]], Table4[ID], Table4[Premium], "Not Found", 0)</f>
        <v>166</v>
      </c>
      <c r="Q917" s="16">
        <f>_xlfn.XLOOKUP(CustomerCombinedCleaned[[#This Row],[ID]], Table4[ID], Table4[Regular], "Not Found", 0)</f>
        <v>3221</v>
      </c>
      <c r="R917" s="16">
        <f>_xlfn.XLOOKUP(CustomerCombinedCleaned[[#This Row],[ID]], Table4[ID], Table4[Deals], "Not Found", 0)</f>
        <v>1</v>
      </c>
      <c r="S917" s="16">
        <f>_xlfn.XLOOKUP(CustomerCombinedCleaned[[#This Row],[ID]], Table4[ID], Table4[Website], "Not Found", 0)</f>
        <v>5</v>
      </c>
      <c r="T917" s="16">
        <f>_xlfn.XLOOKUP(CustomerCombinedCleaned[[#This Row],[ID]], Table4[ID], Table4[Catalog], "Not Found", 0)</f>
        <v>6</v>
      </c>
      <c r="U917" s="16">
        <f>_xlfn.XLOOKUP(CustomerCombinedCleaned[[#This Row],[ID]], Table4[ID], Table4[Store], "Not Found", 0)</f>
        <v>12</v>
      </c>
      <c r="V917" s="16">
        <f>_xlfn.XLOOKUP(CustomerCombinedCleaned[[#This Row],[ID]], Table4[ID], Table4[Visits], "Not Found", 0)</f>
        <v>2</v>
      </c>
      <c r="W917" s="16">
        <f>_xlfn.XLOOKUP(CustomerCombinedCleaned[[#This Row],[ID]], Table2[ID],Table2[Complaint], "Not Found", 0 )</f>
        <v>0</v>
      </c>
      <c r="X917" s="16">
        <f>_xlfn.XLOOKUP(CustomerCombinedCleaned[[#This Row],[ID]], Table2[ID],Table2[Pilot], "Not Found", 0 )</f>
        <v>0</v>
      </c>
      <c r="Y917" s="16">
        <f>_xlfn.XLOOKUP(CustomerCombinedCleaned[[#This Row],[ID]], Table2[ID],Table2[MC1], "Not Found", 0 )</f>
        <v>0</v>
      </c>
      <c r="Z917" s="16">
        <f>_xlfn.XLOOKUP(CustomerCombinedCleaned[[#This Row],[ID]], Table2[ID],Table2[MC2], "Not Found", 0 )</f>
        <v>1</v>
      </c>
      <c r="AA917" s="16">
        <f>_xlfn.XLOOKUP(CustomerCombinedCleaned[[#This Row],[ID]], Table2[ID],Table2[MC3], "Not Found", 0 )</f>
        <v>0</v>
      </c>
      <c r="AB917" s="16">
        <f>_xlfn.XLOOKUP(CustomerCombinedCleaned[[#This Row],[ID]], Table2[ID],Table2[MC4], "Not Found", 0 )</f>
        <v>1</v>
      </c>
      <c r="AC917" s="16">
        <f>_xlfn.XLOOKUP(CustomerCombinedCleaned[[#This Row],[ID]], Table2[ID],Table2[MC5], "Not Found", 0 )</f>
        <v>1</v>
      </c>
    </row>
    <row r="918" spans="1:29" x14ac:dyDescent="0.3">
      <c r="A918" s="18">
        <v>1731</v>
      </c>
      <c r="B918" s="16">
        <v>183443</v>
      </c>
      <c r="C918" s="16">
        <v>0</v>
      </c>
      <c r="D918" s="16">
        <v>0</v>
      </c>
      <c r="E918" s="16">
        <v>48</v>
      </c>
      <c r="F918" s="17" t="s">
        <v>8</v>
      </c>
      <c r="G918" s="17" t="s">
        <v>13</v>
      </c>
      <c r="H918" s="3" t="s">
        <v>575</v>
      </c>
      <c r="I918" s="5" t="s">
        <v>435</v>
      </c>
      <c r="J918" s="16">
        <f>_xlfn.XLOOKUP(CustomerCombinedCleaned[[#This Row],[ID]], Table4[ID], Table4[Recency], "Not Found", 0)</f>
        <v>89</v>
      </c>
      <c r="K918" s="16">
        <f>_xlfn.XLOOKUP(CustomerCombinedCleaned[[#This Row],[ID]], Table4[ID], Table4[Teas], "Not Found", 0)</f>
        <v>1139</v>
      </c>
      <c r="L918" s="16">
        <f>_xlfn.XLOOKUP(CustomerCombinedCleaned[[#This Row],[ID]], Table4[ID], Table4[Fruits], "Not Found", 0)</f>
        <v>92</v>
      </c>
      <c r="M918" s="16">
        <f>_xlfn.XLOOKUP(CustomerCombinedCleaned[[#This Row],[ID]], Table4[ID], Table4[Meats], "Not Found", 0)</f>
        <v>1631</v>
      </c>
      <c r="N918" s="16">
        <f>_xlfn.XLOOKUP(CustomerCombinedCleaned[[#This Row],[ID]], Table4[ID], Table4[Seafood], "Not Found", 0)</f>
        <v>121</v>
      </c>
      <c r="O918" s="16">
        <f>_xlfn.XLOOKUP(CustomerCombinedCleaned[[#This Row],[ID]], Table4[ID], Table4[Sweets], "Not Found", 0)</f>
        <v>123</v>
      </c>
      <c r="P918" s="16">
        <f>_xlfn.XLOOKUP(CustomerCombinedCleaned[[#This Row],[ID]], Table4[ID], Table4[Premium], "Not Found", 0)</f>
        <v>185</v>
      </c>
      <c r="Q918" s="16">
        <f>_xlfn.XLOOKUP(CustomerCombinedCleaned[[#This Row],[ID]], Table4[ID], Table4[Regular], "Not Found", 0)</f>
        <v>2922</v>
      </c>
      <c r="R918" s="16">
        <f>_xlfn.XLOOKUP(CustomerCombinedCleaned[[#This Row],[ID]], Table4[ID], Table4[Deals], "Not Found", 0)</f>
        <v>1</v>
      </c>
      <c r="S918" s="16">
        <f>_xlfn.XLOOKUP(CustomerCombinedCleaned[[#This Row],[ID]], Table4[ID], Table4[Website], "Not Found", 0)</f>
        <v>6</v>
      </c>
      <c r="T918" s="16">
        <f>_xlfn.XLOOKUP(CustomerCombinedCleaned[[#This Row],[ID]], Table4[ID], Table4[Catalog], "Not Found", 0)</f>
        <v>10</v>
      </c>
      <c r="U918" s="16">
        <f>_xlfn.XLOOKUP(CustomerCombinedCleaned[[#This Row],[ID]], Table4[ID], Table4[Store], "Not Found", 0)</f>
        <v>5</v>
      </c>
      <c r="V918" s="16">
        <f>_xlfn.XLOOKUP(CustomerCombinedCleaned[[#This Row],[ID]], Table4[ID], Table4[Visits], "Not Found", 0)</f>
        <v>2</v>
      </c>
      <c r="W918" s="16">
        <f>_xlfn.XLOOKUP(CustomerCombinedCleaned[[#This Row],[ID]], Table2[ID],Table2[Complaint], "Not Found", 0 )</f>
        <v>0</v>
      </c>
      <c r="X918" s="16">
        <f>_xlfn.XLOOKUP(CustomerCombinedCleaned[[#This Row],[ID]], Table2[ID],Table2[Pilot], "Not Found", 0 )</f>
        <v>0</v>
      </c>
      <c r="Y918" s="16">
        <f>_xlfn.XLOOKUP(CustomerCombinedCleaned[[#This Row],[ID]], Table2[ID],Table2[MC1], "Not Found", 0 )</f>
        <v>0</v>
      </c>
      <c r="Z918" s="16">
        <f>_xlfn.XLOOKUP(CustomerCombinedCleaned[[#This Row],[ID]], Table2[ID],Table2[MC2], "Not Found", 0 )</f>
        <v>0</v>
      </c>
      <c r="AA918" s="16">
        <f>_xlfn.XLOOKUP(CustomerCombinedCleaned[[#This Row],[ID]], Table2[ID],Table2[MC3], "Not Found", 0 )</f>
        <v>0</v>
      </c>
      <c r="AB918" s="16">
        <f>_xlfn.XLOOKUP(CustomerCombinedCleaned[[#This Row],[ID]], Table2[ID],Table2[MC4], "Not Found", 0 )</f>
        <v>0</v>
      </c>
      <c r="AC918" s="16">
        <f>_xlfn.XLOOKUP(CustomerCombinedCleaned[[#This Row],[ID]], Table2[ID],Table2[MC5], "Not Found", 0 )</f>
        <v>0</v>
      </c>
    </row>
    <row r="919" spans="1:29" x14ac:dyDescent="0.3">
      <c r="A919" s="18">
        <v>2269</v>
      </c>
      <c r="B919" s="16">
        <v>183151</v>
      </c>
      <c r="C919" s="16">
        <v>0</v>
      </c>
      <c r="D919" s="16">
        <v>0</v>
      </c>
      <c r="E919" s="16">
        <v>48</v>
      </c>
      <c r="F919" s="17" t="s">
        <v>6</v>
      </c>
      <c r="G919" s="17" t="s">
        <v>12</v>
      </c>
      <c r="H919" s="3" t="s">
        <v>313</v>
      </c>
      <c r="I919" s="5" t="s">
        <v>437</v>
      </c>
      <c r="J919" s="16">
        <f>_xlfn.XLOOKUP(CustomerCombinedCleaned[[#This Row],[ID]], Table4[ID], Table4[Recency], "Not Found", 0)</f>
        <v>80</v>
      </c>
      <c r="K919" s="16">
        <f>_xlfn.XLOOKUP(CustomerCombinedCleaned[[#This Row],[ID]], Table4[ID], Table4[Teas], "Not Found", 0)</f>
        <v>2132</v>
      </c>
      <c r="L919" s="16">
        <f>_xlfn.XLOOKUP(CustomerCombinedCleaned[[#This Row],[ID]], Table4[ID], Table4[Fruits], "Not Found", 0)</f>
        <v>324</v>
      </c>
      <c r="M919" s="16">
        <f>_xlfn.XLOOKUP(CustomerCombinedCleaned[[#This Row],[ID]], Table4[ID], Table4[Meats], "Not Found", 0)</f>
        <v>1855</v>
      </c>
      <c r="N919" s="16">
        <f>_xlfn.XLOOKUP(CustomerCombinedCleaned[[#This Row],[ID]], Table4[ID], Table4[Seafood], "Not Found", 0)</f>
        <v>302</v>
      </c>
      <c r="O919" s="16">
        <f>_xlfn.XLOOKUP(CustomerCombinedCleaned[[#This Row],[ID]], Table4[ID], Table4[Sweets], "Not Found", 0)</f>
        <v>93</v>
      </c>
      <c r="P919" s="16">
        <f>_xlfn.XLOOKUP(CustomerCombinedCleaned[[#This Row],[ID]], Table4[ID], Table4[Premium], "Not Found", 0)</f>
        <v>463</v>
      </c>
      <c r="Q919" s="16">
        <f>_xlfn.XLOOKUP(CustomerCombinedCleaned[[#This Row],[ID]], Table4[ID], Table4[Regular], "Not Found", 0)</f>
        <v>4242</v>
      </c>
      <c r="R919" s="16">
        <f>_xlfn.XLOOKUP(CustomerCombinedCleaned[[#This Row],[ID]], Table4[ID], Table4[Deals], "Not Found", 0)</f>
        <v>1</v>
      </c>
      <c r="S919" s="16">
        <f>_xlfn.XLOOKUP(CustomerCombinedCleaned[[#This Row],[ID]], Table4[ID], Table4[Website], "Not Found", 0)</f>
        <v>5</v>
      </c>
      <c r="T919" s="16">
        <f>_xlfn.XLOOKUP(CustomerCombinedCleaned[[#This Row],[ID]], Table4[ID], Table4[Catalog], "Not Found", 0)</f>
        <v>7</v>
      </c>
      <c r="U919" s="16">
        <f>_xlfn.XLOOKUP(CustomerCombinedCleaned[[#This Row],[ID]], Table4[ID], Table4[Store], "Not Found", 0)</f>
        <v>10</v>
      </c>
      <c r="V919" s="16">
        <f>_xlfn.XLOOKUP(CustomerCombinedCleaned[[#This Row],[ID]], Table4[ID], Table4[Visits], "Not Found", 0)</f>
        <v>2</v>
      </c>
      <c r="W919" s="16">
        <f>_xlfn.XLOOKUP(CustomerCombinedCleaned[[#This Row],[ID]], Table2[ID],Table2[Complaint], "Not Found", 0 )</f>
        <v>0</v>
      </c>
      <c r="X919" s="16">
        <f>_xlfn.XLOOKUP(CustomerCombinedCleaned[[#This Row],[ID]], Table2[ID],Table2[Pilot], "Not Found", 0 )</f>
        <v>1</v>
      </c>
      <c r="Y919" s="16">
        <f>_xlfn.XLOOKUP(CustomerCombinedCleaned[[#This Row],[ID]], Table2[ID],Table2[MC1], "Not Found", 0 )</f>
        <v>1</v>
      </c>
      <c r="Z919" s="16">
        <f>_xlfn.XLOOKUP(CustomerCombinedCleaned[[#This Row],[ID]], Table2[ID],Table2[MC2], "Not Found", 0 )</f>
        <v>0</v>
      </c>
      <c r="AA919" s="16">
        <f>_xlfn.XLOOKUP(CustomerCombinedCleaned[[#This Row],[ID]], Table2[ID],Table2[MC3], "Not Found", 0 )</f>
        <v>1</v>
      </c>
      <c r="AB919" s="16">
        <f>_xlfn.XLOOKUP(CustomerCombinedCleaned[[#This Row],[ID]], Table2[ID],Table2[MC4], "Not Found", 0 )</f>
        <v>0</v>
      </c>
      <c r="AC919" s="16">
        <f>_xlfn.XLOOKUP(CustomerCombinedCleaned[[#This Row],[ID]], Table2[ID],Table2[MC5], "Not Found", 0 )</f>
        <v>1</v>
      </c>
    </row>
    <row r="920" spans="1:29" x14ac:dyDescent="0.3">
      <c r="A920" s="18">
        <v>1233</v>
      </c>
      <c r="B920" s="16">
        <v>180134</v>
      </c>
      <c r="C920" s="16">
        <v>1</v>
      </c>
      <c r="D920" s="16">
        <v>0</v>
      </c>
      <c r="E920" s="16">
        <v>48</v>
      </c>
      <c r="F920" s="17" t="s">
        <v>6</v>
      </c>
      <c r="G920" s="17" t="s">
        <v>11</v>
      </c>
      <c r="H920" s="3" t="s">
        <v>251</v>
      </c>
      <c r="I920" s="5" t="s">
        <v>435</v>
      </c>
      <c r="J920" s="16">
        <f>_xlfn.XLOOKUP(CustomerCombinedCleaned[[#This Row],[ID]], Table4[ID], Table4[Recency], "Not Found", 0)</f>
        <v>40</v>
      </c>
      <c r="K920" s="16">
        <f>_xlfn.XLOOKUP(CustomerCombinedCleaned[[#This Row],[ID]], Table4[ID], Table4[Teas], "Not Found", 0)</f>
        <v>2738</v>
      </c>
      <c r="L920" s="16">
        <f>_xlfn.XLOOKUP(CustomerCombinedCleaned[[#This Row],[ID]], Table4[ID], Table4[Fruits], "Not Found", 0)</f>
        <v>36</v>
      </c>
      <c r="M920" s="16">
        <f>_xlfn.XLOOKUP(CustomerCombinedCleaned[[#This Row],[ID]], Table4[ID], Table4[Meats], "Not Found", 0)</f>
        <v>611</v>
      </c>
      <c r="N920" s="16">
        <f>_xlfn.XLOOKUP(CustomerCombinedCleaned[[#This Row],[ID]], Table4[ID], Table4[Seafood], "Not Found", 0)</f>
        <v>234</v>
      </c>
      <c r="O920" s="16">
        <f>_xlfn.XLOOKUP(CustomerCombinedCleaned[[#This Row],[ID]], Table4[ID], Table4[Sweets], "Not Found", 0)</f>
        <v>0</v>
      </c>
      <c r="P920" s="16">
        <f>_xlfn.XLOOKUP(CustomerCombinedCleaned[[#This Row],[ID]], Table4[ID], Table4[Premium], "Not Found", 0)</f>
        <v>180</v>
      </c>
      <c r="Q920" s="16">
        <f>_xlfn.XLOOKUP(CustomerCombinedCleaned[[#This Row],[ID]], Table4[ID], Table4[Regular], "Not Found", 0)</f>
        <v>3439</v>
      </c>
      <c r="R920" s="16">
        <f>_xlfn.XLOOKUP(CustomerCombinedCleaned[[#This Row],[ID]], Table4[ID], Table4[Deals], "Not Found", 0)</f>
        <v>2</v>
      </c>
      <c r="S920" s="16">
        <f>_xlfn.XLOOKUP(CustomerCombinedCleaned[[#This Row],[ID]], Table4[ID], Table4[Website], "Not Found", 0)</f>
        <v>5</v>
      </c>
      <c r="T920" s="16">
        <f>_xlfn.XLOOKUP(CustomerCombinedCleaned[[#This Row],[ID]], Table4[ID], Table4[Catalog], "Not Found", 0)</f>
        <v>3</v>
      </c>
      <c r="U920" s="16">
        <f>_xlfn.XLOOKUP(CustomerCombinedCleaned[[#This Row],[ID]], Table4[ID], Table4[Store], "Not Found", 0)</f>
        <v>6</v>
      </c>
      <c r="V920" s="16">
        <f>_xlfn.XLOOKUP(CustomerCombinedCleaned[[#This Row],[ID]], Table4[ID], Table4[Visits], "Not Found", 0)</f>
        <v>6</v>
      </c>
      <c r="W920" s="16">
        <f>_xlfn.XLOOKUP(CustomerCombinedCleaned[[#This Row],[ID]], Table2[ID],Table2[Complaint], "Not Found", 0 )</f>
        <v>0</v>
      </c>
      <c r="X920" s="16">
        <f>_xlfn.XLOOKUP(CustomerCombinedCleaned[[#This Row],[ID]], Table2[ID],Table2[Pilot], "Not Found", 0 )</f>
        <v>1</v>
      </c>
      <c r="Y920" s="16">
        <f>_xlfn.XLOOKUP(CustomerCombinedCleaned[[#This Row],[ID]], Table2[ID],Table2[MC1], "Not Found", 0 )</f>
        <v>1</v>
      </c>
      <c r="Z920" s="16">
        <f>_xlfn.XLOOKUP(CustomerCombinedCleaned[[#This Row],[ID]], Table2[ID],Table2[MC2], "Not Found", 0 )</f>
        <v>0</v>
      </c>
      <c r="AA920" s="16">
        <f>_xlfn.XLOOKUP(CustomerCombinedCleaned[[#This Row],[ID]], Table2[ID],Table2[MC3], "Not Found", 0 )</f>
        <v>0</v>
      </c>
      <c r="AB920" s="16">
        <f>_xlfn.XLOOKUP(CustomerCombinedCleaned[[#This Row],[ID]], Table2[ID],Table2[MC4], "Not Found", 0 )</f>
        <v>1</v>
      </c>
      <c r="AC920" s="16">
        <f>_xlfn.XLOOKUP(CustomerCombinedCleaned[[#This Row],[ID]], Table2[ID],Table2[MC5], "Not Found", 0 )</f>
        <v>1</v>
      </c>
    </row>
    <row r="921" spans="1:29" x14ac:dyDescent="0.3">
      <c r="A921" s="18">
        <v>2387</v>
      </c>
      <c r="B921" s="16">
        <v>180134</v>
      </c>
      <c r="C921" s="16">
        <v>1</v>
      </c>
      <c r="D921" s="16">
        <v>0</v>
      </c>
      <c r="E921" s="16">
        <v>48</v>
      </c>
      <c r="F921" s="17" t="s">
        <v>6</v>
      </c>
      <c r="G921" s="17" t="s">
        <v>11</v>
      </c>
      <c r="H921" s="3" t="s">
        <v>251</v>
      </c>
      <c r="I921" s="5" t="s">
        <v>434</v>
      </c>
      <c r="J921" s="16">
        <f>_xlfn.XLOOKUP(CustomerCombinedCleaned[[#This Row],[ID]], Table4[ID], Table4[Recency], "Not Found", 0)</f>
        <v>40</v>
      </c>
      <c r="K921" s="16">
        <f>_xlfn.XLOOKUP(CustomerCombinedCleaned[[#This Row],[ID]], Table4[ID], Table4[Teas], "Not Found", 0)</f>
        <v>2738</v>
      </c>
      <c r="L921" s="16">
        <f>_xlfn.XLOOKUP(CustomerCombinedCleaned[[#This Row],[ID]], Table4[ID], Table4[Fruits], "Not Found", 0)</f>
        <v>36</v>
      </c>
      <c r="M921" s="16">
        <f>_xlfn.XLOOKUP(CustomerCombinedCleaned[[#This Row],[ID]], Table4[ID], Table4[Meats], "Not Found", 0)</f>
        <v>611</v>
      </c>
      <c r="N921" s="16">
        <f>_xlfn.XLOOKUP(CustomerCombinedCleaned[[#This Row],[ID]], Table4[ID], Table4[Seafood], "Not Found", 0)</f>
        <v>234</v>
      </c>
      <c r="O921" s="16">
        <f>_xlfn.XLOOKUP(CustomerCombinedCleaned[[#This Row],[ID]], Table4[ID], Table4[Sweets], "Not Found", 0)</f>
        <v>0</v>
      </c>
      <c r="P921" s="16">
        <f>_xlfn.XLOOKUP(CustomerCombinedCleaned[[#This Row],[ID]], Table4[ID], Table4[Premium], "Not Found", 0)</f>
        <v>180</v>
      </c>
      <c r="Q921" s="16">
        <f>_xlfn.XLOOKUP(CustomerCombinedCleaned[[#This Row],[ID]], Table4[ID], Table4[Regular], "Not Found", 0)</f>
        <v>3439</v>
      </c>
      <c r="R921" s="16">
        <f>_xlfn.XLOOKUP(CustomerCombinedCleaned[[#This Row],[ID]], Table4[ID], Table4[Deals], "Not Found", 0)</f>
        <v>2</v>
      </c>
      <c r="S921" s="16">
        <f>_xlfn.XLOOKUP(CustomerCombinedCleaned[[#This Row],[ID]], Table4[ID], Table4[Website], "Not Found", 0)</f>
        <v>5</v>
      </c>
      <c r="T921" s="16">
        <f>_xlfn.XLOOKUP(CustomerCombinedCleaned[[#This Row],[ID]], Table4[ID], Table4[Catalog], "Not Found", 0)</f>
        <v>3</v>
      </c>
      <c r="U921" s="16">
        <f>_xlfn.XLOOKUP(CustomerCombinedCleaned[[#This Row],[ID]], Table4[ID], Table4[Store], "Not Found", 0)</f>
        <v>6</v>
      </c>
      <c r="V921" s="16">
        <f>_xlfn.XLOOKUP(CustomerCombinedCleaned[[#This Row],[ID]], Table4[ID], Table4[Visits], "Not Found", 0)</f>
        <v>6</v>
      </c>
      <c r="W921" s="16">
        <f>_xlfn.XLOOKUP(CustomerCombinedCleaned[[#This Row],[ID]], Table2[ID],Table2[Complaint], "Not Found", 0 )</f>
        <v>0</v>
      </c>
      <c r="X921" s="16">
        <f>_xlfn.XLOOKUP(CustomerCombinedCleaned[[#This Row],[ID]], Table2[ID],Table2[Pilot], "Not Found", 0 )</f>
        <v>1</v>
      </c>
      <c r="Y921" s="16">
        <f>_xlfn.XLOOKUP(CustomerCombinedCleaned[[#This Row],[ID]], Table2[ID],Table2[MC1], "Not Found", 0 )</f>
        <v>1</v>
      </c>
      <c r="Z921" s="16">
        <f>_xlfn.XLOOKUP(CustomerCombinedCleaned[[#This Row],[ID]], Table2[ID],Table2[MC2], "Not Found", 0 )</f>
        <v>0</v>
      </c>
      <c r="AA921" s="16">
        <f>_xlfn.XLOOKUP(CustomerCombinedCleaned[[#This Row],[ID]], Table2[ID],Table2[MC3], "Not Found", 0 )</f>
        <v>0</v>
      </c>
      <c r="AB921" s="16">
        <f>_xlfn.XLOOKUP(CustomerCombinedCleaned[[#This Row],[ID]], Table2[ID],Table2[MC4], "Not Found", 0 )</f>
        <v>1</v>
      </c>
      <c r="AC921" s="16">
        <f>_xlfn.XLOOKUP(CustomerCombinedCleaned[[#This Row],[ID]], Table2[ID],Table2[MC5], "Not Found", 0 )</f>
        <v>1</v>
      </c>
    </row>
    <row r="922" spans="1:29" x14ac:dyDescent="0.3">
      <c r="A922" s="18">
        <v>1216</v>
      </c>
      <c r="B922" s="16">
        <v>179930</v>
      </c>
      <c r="C922" s="16">
        <v>0</v>
      </c>
      <c r="D922" s="16">
        <v>0</v>
      </c>
      <c r="E922" s="16">
        <v>48</v>
      </c>
      <c r="F922" s="17" t="s">
        <v>6</v>
      </c>
      <c r="G922" s="17" t="s">
        <v>13</v>
      </c>
      <c r="H922" s="3" t="s">
        <v>420</v>
      </c>
      <c r="I922" s="5" t="s">
        <v>439</v>
      </c>
      <c r="J922" s="16">
        <f>_xlfn.XLOOKUP(CustomerCombinedCleaned[[#This Row],[ID]], Table4[ID], Table4[Recency], "Not Found", 0)</f>
        <v>72</v>
      </c>
      <c r="K922" s="16">
        <f>_xlfn.XLOOKUP(CustomerCombinedCleaned[[#This Row],[ID]], Table4[ID], Table4[Teas], "Not Found", 0)</f>
        <v>1783</v>
      </c>
      <c r="L922" s="16">
        <f>_xlfn.XLOOKUP(CustomerCombinedCleaned[[#This Row],[ID]], Table4[ID], Table4[Fruits], "Not Found", 0)</f>
        <v>194</v>
      </c>
      <c r="M922" s="16">
        <f>_xlfn.XLOOKUP(CustomerCombinedCleaned[[#This Row],[ID]], Table4[ID], Table4[Meats], "Not Found", 0)</f>
        <v>1666</v>
      </c>
      <c r="N922" s="16">
        <f>_xlfn.XLOOKUP(CustomerCombinedCleaned[[#This Row],[ID]], Table4[ID], Table4[Seafood], "Not Found", 0)</f>
        <v>151</v>
      </c>
      <c r="O922" s="16">
        <f>_xlfn.XLOOKUP(CustomerCombinedCleaned[[#This Row],[ID]], Table4[ID], Table4[Sweets], "Not Found", 0)</f>
        <v>115</v>
      </c>
      <c r="P922" s="16">
        <f>_xlfn.XLOOKUP(CustomerCombinedCleaned[[#This Row],[ID]], Table4[ID], Table4[Premium], "Not Found", 0)</f>
        <v>38</v>
      </c>
      <c r="Q922" s="16">
        <f>_xlfn.XLOOKUP(CustomerCombinedCleaned[[#This Row],[ID]], Table4[ID], Table4[Regular], "Not Found", 0)</f>
        <v>3870</v>
      </c>
      <c r="R922" s="16">
        <f>_xlfn.XLOOKUP(CustomerCombinedCleaned[[#This Row],[ID]], Table4[ID], Table4[Deals], "Not Found", 0)</f>
        <v>1</v>
      </c>
      <c r="S922" s="16">
        <f>_xlfn.XLOOKUP(CustomerCombinedCleaned[[#This Row],[ID]], Table4[ID], Table4[Website], "Not Found", 0)</f>
        <v>3</v>
      </c>
      <c r="T922" s="16">
        <f>_xlfn.XLOOKUP(CustomerCombinedCleaned[[#This Row],[ID]], Table4[ID], Table4[Catalog], "Not Found", 0)</f>
        <v>5</v>
      </c>
      <c r="U922" s="16">
        <f>_xlfn.XLOOKUP(CustomerCombinedCleaned[[#This Row],[ID]], Table4[ID], Table4[Store], "Not Found", 0)</f>
        <v>8</v>
      </c>
      <c r="V922" s="16">
        <f>_xlfn.XLOOKUP(CustomerCombinedCleaned[[#This Row],[ID]], Table4[ID], Table4[Visits], "Not Found", 0)</f>
        <v>2</v>
      </c>
      <c r="W922" s="16">
        <f>_xlfn.XLOOKUP(CustomerCombinedCleaned[[#This Row],[ID]], Table2[ID],Table2[Complaint], "Not Found", 0 )</f>
        <v>0</v>
      </c>
      <c r="X922" s="16">
        <f>_xlfn.XLOOKUP(CustomerCombinedCleaned[[#This Row],[ID]], Table2[ID],Table2[Pilot], "Not Found", 0 )</f>
        <v>0</v>
      </c>
      <c r="Y922" s="16">
        <f>_xlfn.XLOOKUP(CustomerCombinedCleaned[[#This Row],[ID]], Table2[ID],Table2[MC1], "Not Found", 0 )</f>
        <v>0</v>
      </c>
      <c r="Z922" s="16">
        <f>_xlfn.XLOOKUP(CustomerCombinedCleaned[[#This Row],[ID]], Table2[ID],Table2[MC2], "Not Found", 0 )</f>
        <v>0</v>
      </c>
      <c r="AA922" s="16">
        <f>_xlfn.XLOOKUP(CustomerCombinedCleaned[[#This Row],[ID]], Table2[ID],Table2[MC3], "Not Found", 0 )</f>
        <v>0</v>
      </c>
      <c r="AB922" s="16">
        <f>_xlfn.XLOOKUP(CustomerCombinedCleaned[[#This Row],[ID]], Table2[ID],Table2[MC4], "Not Found", 0 )</f>
        <v>0</v>
      </c>
      <c r="AC922" s="16">
        <f>_xlfn.XLOOKUP(CustomerCombinedCleaned[[#This Row],[ID]], Table2[ID],Table2[MC5], "Not Found", 0 )</f>
        <v>0</v>
      </c>
    </row>
    <row r="923" spans="1:29" x14ac:dyDescent="0.3">
      <c r="A923" s="18">
        <v>2179</v>
      </c>
      <c r="B923" s="16">
        <v>178075</v>
      </c>
      <c r="C923" s="16">
        <v>0</v>
      </c>
      <c r="D923" s="16">
        <v>0</v>
      </c>
      <c r="E923" s="16">
        <v>48</v>
      </c>
      <c r="F923" s="17" t="s">
        <v>6</v>
      </c>
      <c r="G923" s="17" t="s">
        <v>13</v>
      </c>
      <c r="H923" s="3" t="s">
        <v>563</v>
      </c>
      <c r="I923" s="5" t="s">
        <v>437</v>
      </c>
      <c r="J923" s="16">
        <f>_xlfn.XLOOKUP(CustomerCombinedCleaned[[#This Row],[ID]], Table4[ID], Table4[Recency], "Not Found", 0)</f>
        <v>72</v>
      </c>
      <c r="K923" s="16">
        <f>_xlfn.XLOOKUP(CustomerCombinedCleaned[[#This Row],[ID]], Table4[ID], Table4[Teas], "Not Found", 0)</f>
        <v>1305</v>
      </c>
      <c r="L923" s="16">
        <f>_xlfn.XLOOKUP(CustomerCombinedCleaned[[#This Row],[ID]], Table4[ID], Table4[Fruits], "Not Found", 0)</f>
        <v>18</v>
      </c>
      <c r="M923" s="16">
        <f>_xlfn.XLOOKUP(CustomerCombinedCleaned[[#This Row],[ID]], Table4[ID], Table4[Meats], "Not Found", 0)</f>
        <v>591</v>
      </c>
      <c r="N923" s="16">
        <f>_xlfn.XLOOKUP(CustomerCombinedCleaned[[#This Row],[ID]], Table4[ID], Table4[Seafood], "Not Found", 0)</f>
        <v>78</v>
      </c>
      <c r="O923" s="16">
        <f>_xlfn.XLOOKUP(CustomerCombinedCleaned[[#This Row],[ID]], Table4[ID], Table4[Sweets], "Not Found", 0)</f>
        <v>80</v>
      </c>
      <c r="P923" s="16">
        <f>_xlfn.XLOOKUP(CustomerCombinedCleaned[[#This Row],[ID]], Table4[ID], Table4[Premium], "Not Found", 0)</f>
        <v>182</v>
      </c>
      <c r="Q923" s="16">
        <f>_xlfn.XLOOKUP(CustomerCombinedCleaned[[#This Row],[ID]], Table4[ID], Table4[Regular], "Not Found", 0)</f>
        <v>1889</v>
      </c>
      <c r="R923" s="16">
        <f>_xlfn.XLOOKUP(CustomerCombinedCleaned[[#This Row],[ID]], Table4[ID], Table4[Deals], "Not Found", 0)</f>
        <v>1</v>
      </c>
      <c r="S923" s="16">
        <f>_xlfn.XLOOKUP(CustomerCombinedCleaned[[#This Row],[ID]], Table4[ID], Table4[Website], "Not Found", 0)</f>
        <v>3</v>
      </c>
      <c r="T923" s="16">
        <f>_xlfn.XLOOKUP(CustomerCombinedCleaned[[#This Row],[ID]], Table4[ID], Table4[Catalog], "Not Found", 0)</f>
        <v>5</v>
      </c>
      <c r="U923" s="16">
        <f>_xlfn.XLOOKUP(CustomerCombinedCleaned[[#This Row],[ID]], Table4[ID], Table4[Store], "Not Found", 0)</f>
        <v>5</v>
      </c>
      <c r="V923" s="16">
        <f>_xlfn.XLOOKUP(CustomerCombinedCleaned[[#This Row],[ID]], Table4[ID], Table4[Visits], "Not Found", 0)</f>
        <v>1</v>
      </c>
      <c r="W923" s="16">
        <f>_xlfn.XLOOKUP(CustomerCombinedCleaned[[#This Row],[ID]], Table2[ID],Table2[Complaint], "Not Found", 0 )</f>
        <v>0</v>
      </c>
      <c r="X923" s="16">
        <f>_xlfn.XLOOKUP(CustomerCombinedCleaned[[#This Row],[ID]], Table2[ID],Table2[Pilot], "Not Found", 0 )</f>
        <v>0</v>
      </c>
      <c r="Y923" s="16">
        <f>_xlfn.XLOOKUP(CustomerCombinedCleaned[[#This Row],[ID]], Table2[ID],Table2[MC1], "Not Found", 0 )</f>
        <v>0</v>
      </c>
      <c r="Z923" s="16">
        <f>_xlfn.XLOOKUP(CustomerCombinedCleaned[[#This Row],[ID]], Table2[ID],Table2[MC2], "Not Found", 0 )</f>
        <v>0</v>
      </c>
      <c r="AA923" s="16">
        <f>_xlfn.XLOOKUP(CustomerCombinedCleaned[[#This Row],[ID]], Table2[ID],Table2[MC3], "Not Found", 0 )</f>
        <v>0</v>
      </c>
      <c r="AB923" s="16">
        <f>_xlfn.XLOOKUP(CustomerCombinedCleaned[[#This Row],[ID]], Table2[ID],Table2[MC4], "Not Found", 0 )</f>
        <v>0</v>
      </c>
      <c r="AC923" s="16">
        <f>_xlfn.XLOOKUP(CustomerCombinedCleaned[[#This Row],[ID]], Table2[ID],Table2[MC5], "Not Found", 0 )</f>
        <v>0</v>
      </c>
    </row>
    <row r="924" spans="1:29" x14ac:dyDescent="0.3">
      <c r="A924" s="18">
        <v>2734</v>
      </c>
      <c r="B924" s="16">
        <v>177981</v>
      </c>
      <c r="C924" s="16">
        <v>1</v>
      </c>
      <c r="D924" s="16">
        <v>0</v>
      </c>
      <c r="E924" s="16">
        <v>48</v>
      </c>
      <c r="F924" s="17" t="s">
        <v>6</v>
      </c>
      <c r="G924" s="17" t="s">
        <v>11</v>
      </c>
      <c r="H924" s="3" t="s">
        <v>245</v>
      </c>
      <c r="I924" s="5" t="s">
        <v>439</v>
      </c>
      <c r="J924" s="16">
        <f>_xlfn.XLOOKUP(CustomerCombinedCleaned[[#This Row],[ID]], Table4[ID], Table4[Recency], "Not Found", 0)</f>
        <v>78</v>
      </c>
      <c r="K924" s="16">
        <f>_xlfn.XLOOKUP(CustomerCombinedCleaned[[#This Row],[ID]], Table4[ID], Table4[Teas], "Not Found", 0)</f>
        <v>315</v>
      </c>
      <c r="L924" s="16">
        <f>_xlfn.XLOOKUP(CustomerCombinedCleaned[[#This Row],[ID]], Table4[ID], Table4[Fruits], "Not Found", 0)</f>
        <v>274</v>
      </c>
      <c r="M924" s="16">
        <f>_xlfn.XLOOKUP(CustomerCombinedCleaned[[#This Row],[ID]], Table4[ID], Table4[Meats], "Not Found", 0)</f>
        <v>466</v>
      </c>
      <c r="N924" s="16">
        <f>_xlfn.XLOOKUP(CustomerCombinedCleaned[[#This Row],[ID]], Table4[ID], Table4[Seafood], "Not Found", 0)</f>
        <v>37</v>
      </c>
      <c r="O924" s="16">
        <f>_xlfn.XLOOKUP(CustomerCombinedCleaned[[#This Row],[ID]], Table4[ID], Table4[Sweets], "Not Found", 0)</f>
        <v>288</v>
      </c>
      <c r="P924" s="16">
        <f>_xlfn.XLOOKUP(CustomerCombinedCleaned[[#This Row],[ID]], Table4[ID], Table4[Premium], "Not Found", 0)</f>
        <v>137</v>
      </c>
      <c r="Q924" s="16">
        <f>_xlfn.XLOOKUP(CustomerCombinedCleaned[[#This Row],[ID]], Table4[ID], Table4[Regular], "Not Found", 0)</f>
        <v>1242</v>
      </c>
      <c r="R924" s="16">
        <f>_xlfn.XLOOKUP(CustomerCombinedCleaned[[#This Row],[ID]], Table4[ID], Table4[Deals], "Not Found", 0)</f>
        <v>3</v>
      </c>
      <c r="S924" s="16">
        <f>_xlfn.XLOOKUP(CustomerCombinedCleaned[[#This Row],[ID]], Table4[ID], Table4[Website], "Not Found", 0)</f>
        <v>7</v>
      </c>
      <c r="T924" s="16">
        <f>_xlfn.XLOOKUP(CustomerCombinedCleaned[[#This Row],[ID]], Table4[ID], Table4[Catalog], "Not Found", 0)</f>
        <v>4</v>
      </c>
      <c r="U924" s="16">
        <f>_xlfn.XLOOKUP(CustomerCombinedCleaned[[#This Row],[ID]], Table4[ID], Table4[Store], "Not Found", 0)</f>
        <v>7</v>
      </c>
      <c r="V924" s="16">
        <f>_xlfn.XLOOKUP(CustomerCombinedCleaned[[#This Row],[ID]], Table4[ID], Table4[Visits], "Not Found", 0)</f>
        <v>5</v>
      </c>
      <c r="W924" s="16">
        <f>_xlfn.XLOOKUP(CustomerCombinedCleaned[[#This Row],[ID]], Table2[ID],Table2[Complaint], "Not Found", 0 )</f>
        <v>0</v>
      </c>
      <c r="X924" s="16">
        <f>_xlfn.XLOOKUP(CustomerCombinedCleaned[[#This Row],[ID]], Table2[ID],Table2[Pilot], "Not Found", 0 )</f>
        <v>0</v>
      </c>
      <c r="Y924" s="16">
        <f>_xlfn.XLOOKUP(CustomerCombinedCleaned[[#This Row],[ID]], Table2[ID],Table2[MC1], "Not Found", 0 )</f>
        <v>0</v>
      </c>
      <c r="Z924" s="16">
        <f>_xlfn.XLOOKUP(CustomerCombinedCleaned[[#This Row],[ID]], Table2[ID],Table2[MC2], "Not Found", 0 )</f>
        <v>0</v>
      </c>
      <c r="AA924" s="16">
        <f>_xlfn.XLOOKUP(CustomerCombinedCleaned[[#This Row],[ID]], Table2[ID],Table2[MC3], "Not Found", 0 )</f>
        <v>0</v>
      </c>
      <c r="AB924" s="16">
        <f>_xlfn.XLOOKUP(CustomerCombinedCleaned[[#This Row],[ID]], Table2[ID],Table2[MC4], "Not Found", 0 )</f>
        <v>0</v>
      </c>
      <c r="AC924" s="16">
        <f>_xlfn.XLOOKUP(CustomerCombinedCleaned[[#This Row],[ID]], Table2[ID],Table2[MC5], "Not Found", 0 )</f>
        <v>0</v>
      </c>
    </row>
    <row r="925" spans="1:29" x14ac:dyDescent="0.3">
      <c r="A925" s="18">
        <v>2193</v>
      </c>
      <c r="B925" s="16">
        <v>177044</v>
      </c>
      <c r="C925" s="16">
        <v>0</v>
      </c>
      <c r="D925" s="16">
        <v>1</v>
      </c>
      <c r="E925" s="16">
        <v>48</v>
      </c>
      <c r="F925" s="17" t="s">
        <v>8</v>
      </c>
      <c r="G925" s="17" t="s">
        <v>11</v>
      </c>
      <c r="H925" s="3" t="s">
        <v>628</v>
      </c>
      <c r="I925" s="5" t="s">
        <v>435</v>
      </c>
      <c r="J925" s="16">
        <f>_xlfn.XLOOKUP(CustomerCombinedCleaned[[#This Row],[ID]], Table4[ID], Table4[Recency], "Not Found", 0)</f>
        <v>12</v>
      </c>
      <c r="K925" s="16">
        <f>_xlfn.XLOOKUP(CustomerCombinedCleaned[[#This Row],[ID]], Table4[ID], Table4[Teas], "Not Found", 0)</f>
        <v>1436</v>
      </c>
      <c r="L925" s="16">
        <f>_xlfn.XLOOKUP(CustomerCombinedCleaned[[#This Row],[ID]], Table4[ID], Table4[Fruits], "Not Found", 0)</f>
        <v>87</v>
      </c>
      <c r="M925" s="16">
        <f>_xlfn.XLOOKUP(CustomerCombinedCleaned[[#This Row],[ID]], Table4[ID], Table4[Meats], "Not Found", 0)</f>
        <v>556</v>
      </c>
      <c r="N925" s="16">
        <f>_xlfn.XLOOKUP(CustomerCombinedCleaned[[#This Row],[ID]], Table4[ID], Table4[Seafood], "Not Found", 0)</f>
        <v>115</v>
      </c>
      <c r="O925" s="16">
        <f>_xlfn.XLOOKUP(CustomerCombinedCleaned[[#This Row],[ID]], Table4[ID], Table4[Sweets], "Not Found", 0)</f>
        <v>78</v>
      </c>
      <c r="P925" s="16">
        <f>_xlfn.XLOOKUP(CustomerCombinedCleaned[[#This Row],[ID]], Table4[ID], Table4[Premium], "Not Found", 0)</f>
        <v>175</v>
      </c>
      <c r="Q925" s="16">
        <f>_xlfn.XLOOKUP(CustomerCombinedCleaned[[#This Row],[ID]], Table4[ID], Table4[Regular], "Not Found", 0)</f>
        <v>2098</v>
      </c>
      <c r="R925" s="16">
        <f>_xlfn.XLOOKUP(CustomerCombinedCleaned[[#This Row],[ID]], Table4[ID], Table4[Deals], "Not Found", 0)</f>
        <v>2</v>
      </c>
      <c r="S925" s="16">
        <f>_xlfn.XLOOKUP(CustomerCombinedCleaned[[#This Row],[ID]], Table4[ID], Table4[Website], "Not Found", 0)</f>
        <v>7</v>
      </c>
      <c r="T925" s="16">
        <f>_xlfn.XLOOKUP(CustomerCombinedCleaned[[#This Row],[ID]], Table4[ID], Table4[Catalog], "Not Found", 0)</f>
        <v>11</v>
      </c>
      <c r="U925" s="16">
        <f>_xlfn.XLOOKUP(CustomerCombinedCleaned[[#This Row],[ID]], Table4[ID], Table4[Store], "Not Found", 0)</f>
        <v>11</v>
      </c>
      <c r="V925" s="16">
        <f>_xlfn.XLOOKUP(CustomerCombinedCleaned[[#This Row],[ID]], Table4[ID], Table4[Visits], "Not Found", 0)</f>
        <v>4</v>
      </c>
      <c r="W925" s="16">
        <f>_xlfn.XLOOKUP(CustomerCombinedCleaned[[#This Row],[ID]], Table2[ID],Table2[Complaint], "Not Found", 0 )</f>
        <v>0</v>
      </c>
      <c r="X925" s="16">
        <f>_xlfn.XLOOKUP(CustomerCombinedCleaned[[#This Row],[ID]], Table2[ID],Table2[Pilot], "Not Found", 0 )</f>
        <v>0</v>
      </c>
      <c r="Y925" s="16">
        <f>_xlfn.XLOOKUP(CustomerCombinedCleaned[[#This Row],[ID]], Table2[ID],Table2[MC1], "Not Found", 0 )</f>
        <v>0</v>
      </c>
      <c r="Z925" s="16">
        <f>_xlfn.XLOOKUP(CustomerCombinedCleaned[[#This Row],[ID]], Table2[ID],Table2[MC2], "Not Found", 0 )</f>
        <v>0</v>
      </c>
      <c r="AA925" s="16">
        <f>_xlfn.XLOOKUP(CustomerCombinedCleaned[[#This Row],[ID]], Table2[ID],Table2[MC3], "Not Found", 0 )</f>
        <v>1</v>
      </c>
      <c r="AB925" s="16">
        <f>_xlfn.XLOOKUP(CustomerCombinedCleaned[[#This Row],[ID]], Table2[ID],Table2[MC4], "Not Found", 0 )</f>
        <v>0</v>
      </c>
      <c r="AC925" s="16">
        <f>_xlfn.XLOOKUP(CustomerCombinedCleaned[[#This Row],[ID]], Table2[ID],Table2[MC5], "Not Found", 0 )</f>
        <v>0</v>
      </c>
    </row>
    <row r="926" spans="1:29" x14ac:dyDescent="0.3">
      <c r="A926" s="18">
        <v>3154</v>
      </c>
      <c r="B926" s="16">
        <v>176234</v>
      </c>
      <c r="C926" s="16">
        <v>0</v>
      </c>
      <c r="D926" s="16">
        <v>1</v>
      </c>
      <c r="E926" s="16">
        <v>48</v>
      </c>
      <c r="F926" s="17" t="s">
        <v>6</v>
      </c>
      <c r="G926" s="17" t="s">
        <v>12</v>
      </c>
      <c r="H926" s="3" t="s">
        <v>107</v>
      </c>
      <c r="I926" s="5" t="s">
        <v>439</v>
      </c>
      <c r="J926" s="16">
        <f>_xlfn.XLOOKUP(CustomerCombinedCleaned[[#This Row],[ID]], Table4[ID], Table4[Recency], "Not Found", 0)</f>
        <v>21</v>
      </c>
      <c r="K926" s="16">
        <f>_xlfn.XLOOKUP(CustomerCombinedCleaned[[#This Row],[ID]], Table4[ID], Table4[Teas], "Not Found", 0)</f>
        <v>1200</v>
      </c>
      <c r="L926" s="16">
        <f>_xlfn.XLOOKUP(CustomerCombinedCleaned[[#This Row],[ID]], Table4[ID], Table4[Fruits], "Not Found", 0)</f>
        <v>116</v>
      </c>
      <c r="M926" s="16">
        <f>_xlfn.XLOOKUP(CustomerCombinedCleaned[[#This Row],[ID]], Table4[ID], Table4[Meats], "Not Found", 0)</f>
        <v>386</v>
      </c>
      <c r="N926" s="16">
        <f>_xlfn.XLOOKUP(CustomerCombinedCleaned[[#This Row],[ID]], Table4[ID], Table4[Seafood], "Not Found", 0)</f>
        <v>301</v>
      </c>
      <c r="O926" s="16">
        <f>_xlfn.XLOOKUP(CustomerCombinedCleaned[[#This Row],[ID]], Table4[ID], Table4[Sweets], "Not Found", 0)</f>
        <v>0</v>
      </c>
      <c r="P926" s="16">
        <f>_xlfn.XLOOKUP(CustomerCombinedCleaned[[#This Row],[ID]], Table4[ID], Table4[Premium], "Not Found", 0)</f>
        <v>95</v>
      </c>
      <c r="Q926" s="16">
        <f>_xlfn.XLOOKUP(CustomerCombinedCleaned[[#This Row],[ID]], Table4[ID], Table4[Regular], "Not Found", 0)</f>
        <v>1907</v>
      </c>
      <c r="R926" s="16">
        <f>_xlfn.XLOOKUP(CustomerCombinedCleaned[[#This Row],[ID]], Table4[ID], Table4[Deals], "Not Found", 0)</f>
        <v>1</v>
      </c>
      <c r="S926" s="16">
        <f>_xlfn.XLOOKUP(CustomerCombinedCleaned[[#This Row],[ID]], Table4[ID], Table4[Website], "Not Found", 0)</f>
        <v>8</v>
      </c>
      <c r="T926" s="16">
        <f>_xlfn.XLOOKUP(CustomerCombinedCleaned[[#This Row],[ID]], Table4[ID], Table4[Catalog], "Not Found", 0)</f>
        <v>3</v>
      </c>
      <c r="U926" s="16">
        <f>_xlfn.XLOOKUP(CustomerCombinedCleaned[[#This Row],[ID]], Table4[ID], Table4[Store], "Not Found", 0)</f>
        <v>11</v>
      </c>
      <c r="V926" s="16">
        <f>_xlfn.XLOOKUP(CustomerCombinedCleaned[[#This Row],[ID]], Table4[ID], Table4[Visits], "Not Found", 0)</f>
        <v>3</v>
      </c>
      <c r="W926" s="16">
        <f>_xlfn.XLOOKUP(CustomerCombinedCleaned[[#This Row],[ID]], Table2[ID],Table2[Complaint], "Not Found", 0 )</f>
        <v>0</v>
      </c>
      <c r="X926" s="16">
        <f>_xlfn.XLOOKUP(CustomerCombinedCleaned[[#This Row],[ID]], Table2[ID],Table2[Pilot], "Not Found", 0 )</f>
        <v>0</v>
      </c>
      <c r="Y926" s="16">
        <f>_xlfn.XLOOKUP(CustomerCombinedCleaned[[#This Row],[ID]], Table2[ID],Table2[MC1], "Not Found", 0 )</f>
        <v>0</v>
      </c>
      <c r="Z926" s="16">
        <f>_xlfn.XLOOKUP(CustomerCombinedCleaned[[#This Row],[ID]], Table2[ID],Table2[MC2], "Not Found", 0 )</f>
        <v>0</v>
      </c>
      <c r="AA926" s="16">
        <f>_xlfn.XLOOKUP(CustomerCombinedCleaned[[#This Row],[ID]], Table2[ID],Table2[MC3], "Not Found", 0 )</f>
        <v>0</v>
      </c>
      <c r="AB926" s="16">
        <f>_xlfn.XLOOKUP(CustomerCombinedCleaned[[#This Row],[ID]], Table2[ID],Table2[MC4], "Not Found", 0 )</f>
        <v>1</v>
      </c>
      <c r="AC926" s="16">
        <f>_xlfn.XLOOKUP(CustomerCombinedCleaned[[#This Row],[ID]], Table2[ID],Table2[MC5], "Not Found", 0 )</f>
        <v>0</v>
      </c>
    </row>
    <row r="927" spans="1:29" x14ac:dyDescent="0.3">
      <c r="A927" s="18">
        <v>1071</v>
      </c>
      <c r="B927" s="16">
        <v>175251</v>
      </c>
      <c r="C927" s="16">
        <v>0</v>
      </c>
      <c r="D927" s="16">
        <v>0</v>
      </c>
      <c r="E927" s="16">
        <v>48</v>
      </c>
      <c r="F927" s="17" t="s">
        <v>6</v>
      </c>
      <c r="G927" s="17" t="s">
        <v>12</v>
      </c>
      <c r="H927" s="3" t="s">
        <v>639</v>
      </c>
      <c r="I927" s="5" t="s">
        <v>435</v>
      </c>
      <c r="J927" s="16">
        <f>_xlfn.XLOOKUP(CustomerCombinedCleaned[[#This Row],[ID]], Table4[ID], Table4[Recency], "Not Found", 0)</f>
        <v>34</v>
      </c>
      <c r="K927" s="16">
        <f>_xlfn.XLOOKUP(CustomerCombinedCleaned[[#This Row],[ID]], Table4[ID], Table4[Teas], "Not Found", 0)</f>
        <v>1679</v>
      </c>
      <c r="L927" s="16">
        <f>_xlfn.XLOOKUP(CustomerCombinedCleaned[[#This Row],[ID]], Table4[ID], Table4[Fruits], "Not Found", 0)</f>
        <v>259</v>
      </c>
      <c r="M927" s="16">
        <f>_xlfn.XLOOKUP(CustomerCombinedCleaned[[#This Row],[ID]], Table4[ID], Table4[Meats], "Not Found", 0)</f>
        <v>2154</v>
      </c>
      <c r="N927" s="16">
        <f>_xlfn.XLOOKUP(CustomerCombinedCleaned[[#This Row],[ID]], Table4[ID], Table4[Seafood], "Not Found", 0)</f>
        <v>226</v>
      </c>
      <c r="O927" s="16">
        <f>_xlfn.XLOOKUP(CustomerCombinedCleaned[[#This Row],[ID]], Table4[ID], Table4[Sweets], "Not Found", 0)</f>
        <v>42</v>
      </c>
      <c r="P927" s="16">
        <f>_xlfn.XLOOKUP(CustomerCombinedCleaned[[#This Row],[ID]], Table4[ID], Table4[Premium], "Not Found", 0)</f>
        <v>42</v>
      </c>
      <c r="Q927" s="16">
        <f>_xlfn.XLOOKUP(CustomerCombinedCleaned[[#This Row],[ID]], Table4[ID], Table4[Regular], "Not Found", 0)</f>
        <v>4318</v>
      </c>
      <c r="R927" s="16">
        <f>_xlfn.XLOOKUP(CustomerCombinedCleaned[[#This Row],[ID]], Table4[ID], Table4[Deals], "Not Found", 0)</f>
        <v>1</v>
      </c>
      <c r="S927" s="16">
        <f>_xlfn.XLOOKUP(CustomerCombinedCleaned[[#This Row],[ID]], Table4[ID], Table4[Website], "Not Found", 0)</f>
        <v>7</v>
      </c>
      <c r="T927" s="16">
        <f>_xlfn.XLOOKUP(CustomerCombinedCleaned[[#This Row],[ID]], Table4[ID], Table4[Catalog], "Not Found", 0)</f>
        <v>6</v>
      </c>
      <c r="U927" s="16">
        <f>_xlfn.XLOOKUP(CustomerCombinedCleaned[[#This Row],[ID]], Table4[ID], Table4[Store], "Not Found", 0)</f>
        <v>5</v>
      </c>
      <c r="V927" s="16">
        <f>_xlfn.XLOOKUP(CustomerCombinedCleaned[[#This Row],[ID]], Table4[ID], Table4[Visits], "Not Found", 0)</f>
        <v>5</v>
      </c>
      <c r="W927" s="16">
        <f>_xlfn.XLOOKUP(CustomerCombinedCleaned[[#This Row],[ID]], Table2[ID],Table2[Complaint], "Not Found", 0 )</f>
        <v>0</v>
      </c>
      <c r="X927" s="16">
        <f>_xlfn.XLOOKUP(CustomerCombinedCleaned[[#This Row],[ID]], Table2[ID],Table2[Pilot], "Not Found", 0 )</f>
        <v>1</v>
      </c>
      <c r="Y927" s="16">
        <f>_xlfn.XLOOKUP(CustomerCombinedCleaned[[#This Row],[ID]], Table2[ID],Table2[MC1], "Not Found", 0 )</f>
        <v>0</v>
      </c>
      <c r="Z927" s="16">
        <f>_xlfn.XLOOKUP(CustomerCombinedCleaned[[#This Row],[ID]], Table2[ID],Table2[MC2], "Not Found", 0 )</f>
        <v>0</v>
      </c>
      <c r="AA927" s="16">
        <f>_xlfn.XLOOKUP(CustomerCombinedCleaned[[#This Row],[ID]], Table2[ID],Table2[MC3], "Not Found", 0 )</f>
        <v>0</v>
      </c>
      <c r="AB927" s="16">
        <f>_xlfn.XLOOKUP(CustomerCombinedCleaned[[#This Row],[ID]], Table2[ID],Table2[MC4], "Not Found", 0 )</f>
        <v>0</v>
      </c>
      <c r="AC927" s="16">
        <f>_xlfn.XLOOKUP(CustomerCombinedCleaned[[#This Row],[ID]], Table2[ID],Table2[MC5], "Not Found", 0 )</f>
        <v>0</v>
      </c>
    </row>
    <row r="928" spans="1:29" x14ac:dyDescent="0.3">
      <c r="A928" s="18">
        <v>2234</v>
      </c>
      <c r="B928" s="16">
        <v>174716</v>
      </c>
      <c r="C928" s="16">
        <v>0</v>
      </c>
      <c r="D928" s="16">
        <v>1</v>
      </c>
      <c r="E928" s="16">
        <v>48</v>
      </c>
      <c r="F928" s="17" t="s">
        <v>6</v>
      </c>
      <c r="G928" s="17" t="s">
        <v>11</v>
      </c>
      <c r="H928" s="3" t="s">
        <v>187</v>
      </c>
      <c r="I928" s="5" t="s">
        <v>438</v>
      </c>
      <c r="J928" s="16">
        <f>_xlfn.XLOOKUP(CustomerCombinedCleaned[[#This Row],[ID]], Table4[ID], Table4[Recency], "Not Found", 0)</f>
        <v>92</v>
      </c>
      <c r="K928" s="16">
        <f>_xlfn.XLOOKUP(CustomerCombinedCleaned[[#This Row],[ID]], Table4[ID], Table4[Teas], "Not Found", 0)</f>
        <v>311</v>
      </c>
      <c r="L928" s="16">
        <f>_xlfn.XLOOKUP(CustomerCombinedCleaned[[#This Row],[ID]], Table4[ID], Table4[Fruits], "Not Found", 0)</f>
        <v>63</v>
      </c>
      <c r="M928" s="16">
        <f>_xlfn.XLOOKUP(CustomerCombinedCleaned[[#This Row],[ID]], Table4[ID], Table4[Meats], "Not Found", 0)</f>
        <v>984</v>
      </c>
      <c r="N928" s="16">
        <f>_xlfn.XLOOKUP(CustomerCombinedCleaned[[#This Row],[ID]], Table4[ID], Table4[Seafood], "Not Found", 0)</f>
        <v>30</v>
      </c>
      <c r="O928" s="16">
        <f>_xlfn.XLOOKUP(CustomerCombinedCleaned[[#This Row],[ID]], Table4[ID], Table4[Sweets], "Not Found", 0)</f>
        <v>456</v>
      </c>
      <c r="P928" s="16">
        <f>_xlfn.XLOOKUP(CustomerCombinedCleaned[[#This Row],[ID]], Table4[ID], Table4[Premium], "Not Found", 0)</f>
        <v>166</v>
      </c>
      <c r="Q928" s="16">
        <f>_xlfn.XLOOKUP(CustomerCombinedCleaned[[#This Row],[ID]], Table4[ID], Table4[Regular], "Not Found", 0)</f>
        <v>1679</v>
      </c>
      <c r="R928" s="16">
        <f>_xlfn.XLOOKUP(CustomerCombinedCleaned[[#This Row],[ID]], Table4[ID], Table4[Deals], "Not Found", 0)</f>
        <v>2</v>
      </c>
      <c r="S928" s="16">
        <f>_xlfn.XLOOKUP(CustomerCombinedCleaned[[#This Row],[ID]], Table4[ID], Table4[Website], "Not Found", 0)</f>
        <v>7</v>
      </c>
      <c r="T928" s="16">
        <f>_xlfn.XLOOKUP(CustomerCombinedCleaned[[#This Row],[ID]], Table4[ID], Table4[Catalog], "Not Found", 0)</f>
        <v>3</v>
      </c>
      <c r="U928" s="16">
        <f>_xlfn.XLOOKUP(CustomerCombinedCleaned[[#This Row],[ID]], Table4[ID], Table4[Store], "Not Found", 0)</f>
        <v>5</v>
      </c>
      <c r="V928" s="16">
        <f>_xlfn.XLOOKUP(CustomerCombinedCleaned[[#This Row],[ID]], Table4[ID], Table4[Visits], "Not Found", 0)</f>
        <v>4</v>
      </c>
      <c r="W928" s="16">
        <f>_xlfn.XLOOKUP(CustomerCombinedCleaned[[#This Row],[ID]], Table2[ID],Table2[Complaint], "Not Found", 0 )</f>
        <v>0</v>
      </c>
      <c r="X928" s="16">
        <f>_xlfn.XLOOKUP(CustomerCombinedCleaned[[#This Row],[ID]], Table2[ID],Table2[Pilot], "Not Found", 0 )</f>
        <v>0</v>
      </c>
      <c r="Y928" s="16">
        <f>_xlfn.XLOOKUP(CustomerCombinedCleaned[[#This Row],[ID]], Table2[ID],Table2[MC1], "Not Found", 0 )</f>
        <v>0</v>
      </c>
      <c r="Z928" s="16">
        <f>_xlfn.XLOOKUP(CustomerCombinedCleaned[[#This Row],[ID]], Table2[ID],Table2[MC2], "Not Found", 0 )</f>
        <v>0</v>
      </c>
      <c r="AA928" s="16">
        <f>_xlfn.XLOOKUP(CustomerCombinedCleaned[[#This Row],[ID]], Table2[ID],Table2[MC3], "Not Found", 0 )</f>
        <v>0</v>
      </c>
      <c r="AB928" s="16">
        <f>_xlfn.XLOOKUP(CustomerCombinedCleaned[[#This Row],[ID]], Table2[ID],Table2[MC4], "Not Found", 0 )</f>
        <v>0</v>
      </c>
      <c r="AC928" s="16">
        <f>_xlfn.XLOOKUP(CustomerCombinedCleaned[[#This Row],[ID]], Table2[ID],Table2[MC5], "Not Found", 0 )</f>
        <v>0</v>
      </c>
    </row>
    <row r="929" spans="1:29" x14ac:dyDescent="0.3">
      <c r="A929" s="18">
        <v>1790</v>
      </c>
      <c r="B929" s="16">
        <v>172504</v>
      </c>
      <c r="C929" s="16">
        <v>0</v>
      </c>
      <c r="D929" s="16">
        <v>1</v>
      </c>
      <c r="E929" s="16">
        <v>48</v>
      </c>
      <c r="F929" s="17" t="s">
        <v>7</v>
      </c>
      <c r="G929" s="17" t="s">
        <v>11</v>
      </c>
      <c r="H929" s="3" t="s">
        <v>653</v>
      </c>
      <c r="I929" s="5" t="s">
        <v>438</v>
      </c>
      <c r="J929" s="16">
        <f>_xlfn.XLOOKUP(CustomerCombinedCleaned[[#This Row],[ID]], Table4[ID], Table4[Recency], "Not Found", 0)</f>
        <v>43</v>
      </c>
      <c r="K929" s="16">
        <f>_xlfn.XLOOKUP(CustomerCombinedCleaned[[#This Row],[ID]], Table4[ID], Table4[Teas], "Not Found", 0)</f>
        <v>1437</v>
      </c>
      <c r="L929" s="16">
        <f>_xlfn.XLOOKUP(CustomerCombinedCleaned[[#This Row],[ID]], Table4[ID], Table4[Fruits], "Not Found", 0)</f>
        <v>62</v>
      </c>
      <c r="M929" s="16">
        <f>_xlfn.XLOOKUP(CustomerCombinedCleaned[[#This Row],[ID]], Table4[ID], Table4[Meats], "Not Found", 0)</f>
        <v>1118</v>
      </c>
      <c r="N929" s="16">
        <f>_xlfn.XLOOKUP(CustomerCombinedCleaned[[#This Row],[ID]], Table4[ID], Table4[Seafood], "Not Found", 0)</f>
        <v>293</v>
      </c>
      <c r="O929" s="16">
        <f>_xlfn.XLOOKUP(CustomerCombinedCleaned[[#This Row],[ID]], Table4[ID], Table4[Sweets], "Not Found", 0)</f>
        <v>383</v>
      </c>
      <c r="P929" s="16">
        <f>_xlfn.XLOOKUP(CustomerCombinedCleaned[[#This Row],[ID]], Table4[ID], Table4[Premium], "Not Found", 0)</f>
        <v>224</v>
      </c>
      <c r="Q929" s="16">
        <f>_xlfn.XLOOKUP(CustomerCombinedCleaned[[#This Row],[ID]], Table4[ID], Table4[Regular], "Not Found", 0)</f>
        <v>3069</v>
      </c>
      <c r="R929" s="16">
        <f>_xlfn.XLOOKUP(CustomerCombinedCleaned[[#This Row],[ID]], Table4[ID], Table4[Deals], "Not Found", 0)</f>
        <v>2</v>
      </c>
      <c r="S929" s="16">
        <f>_xlfn.XLOOKUP(CustomerCombinedCleaned[[#This Row],[ID]], Table4[ID], Table4[Website], "Not Found", 0)</f>
        <v>5</v>
      </c>
      <c r="T929" s="16">
        <f>_xlfn.XLOOKUP(CustomerCombinedCleaned[[#This Row],[ID]], Table4[ID], Table4[Catalog], "Not Found", 0)</f>
        <v>9</v>
      </c>
      <c r="U929" s="16">
        <f>_xlfn.XLOOKUP(CustomerCombinedCleaned[[#This Row],[ID]], Table4[ID], Table4[Store], "Not Found", 0)</f>
        <v>6</v>
      </c>
      <c r="V929" s="16">
        <f>_xlfn.XLOOKUP(CustomerCombinedCleaned[[#This Row],[ID]], Table4[ID], Table4[Visits], "Not Found", 0)</f>
        <v>2</v>
      </c>
      <c r="W929" s="16">
        <f>_xlfn.XLOOKUP(CustomerCombinedCleaned[[#This Row],[ID]], Table2[ID],Table2[Complaint], "Not Found", 0 )</f>
        <v>0</v>
      </c>
      <c r="X929" s="16">
        <f>_xlfn.XLOOKUP(CustomerCombinedCleaned[[#This Row],[ID]], Table2[ID],Table2[Pilot], "Not Found", 0 )</f>
        <v>0</v>
      </c>
      <c r="Y929" s="16">
        <f>_xlfn.XLOOKUP(CustomerCombinedCleaned[[#This Row],[ID]], Table2[ID],Table2[MC1], "Not Found", 0 )</f>
        <v>0</v>
      </c>
      <c r="Z929" s="16">
        <f>_xlfn.XLOOKUP(CustomerCombinedCleaned[[#This Row],[ID]], Table2[ID],Table2[MC2], "Not Found", 0 )</f>
        <v>0</v>
      </c>
      <c r="AA929" s="16">
        <f>_xlfn.XLOOKUP(CustomerCombinedCleaned[[#This Row],[ID]], Table2[ID],Table2[MC3], "Not Found", 0 )</f>
        <v>0</v>
      </c>
      <c r="AB929" s="16">
        <f>_xlfn.XLOOKUP(CustomerCombinedCleaned[[#This Row],[ID]], Table2[ID],Table2[MC4], "Not Found", 0 )</f>
        <v>0</v>
      </c>
      <c r="AC929" s="16">
        <f>_xlfn.XLOOKUP(CustomerCombinedCleaned[[#This Row],[ID]], Table2[ID],Table2[MC5], "Not Found", 0 )</f>
        <v>0</v>
      </c>
    </row>
    <row r="930" spans="1:29" x14ac:dyDescent="0.3">
      <c r="A930" s="18">
        <v>2896</v>
      </c>
      <c r="B930" s="16">
        <v>170932</v>
      </c>
      <c r="C930" s="16">
        <v>0</v>
      </c>
      <c r="D930" s="16">
        <v>1</v>
      </c>
      <c r="E930" s="16">
        <v>48</v>
      </c>
      <c r="F930" s="17" t="s">
        <v>6</v>
      </c>
      <c r="G930" s="17" t="s">
        <v>11</v>
      </c>
      <c r="H930" s="3" t="s">
        <v>112</v>
      </c>
      <c r="I930" s="5" t="s">
        <v>439</v>
      </c>
      <c r="J930" s="16">
        <f>_xlfn.XLOOKUP(CustomerCombinedCleaned[[#This Row],[ID]], Table4[ID], Table4[Recency], "Not Found", 0)</f>
        <v>57</v>
      </c>
      <c r="K930" s="16">
        <f>_xlfn.XLOOKUP(CustomerCombinedCleaned[[#This Row],[ID]], Table4[ID], Table4[Teas], "Not Found", 0)</f>
        <v>482</v>
      </c>
      <c r="L930" s="16">
        <f>_xlfn.XLOOKUP(CustomerCombinedCleaned[[#This Row],[ID]], Table4[ID], Table4[Fruits], "Not Found", 0)</f>
        <v>465</v>
      </c>
      <c r="M930" s="16">
        <f>_xlfn.XLOOKUP(CustomerCombinedCleaned[[#This Row],[ID]], Table4[ID], Table4[Meats], "Not Found", 0)</f>
        <v>241</v>
      </c>
      <c r="N930" s="16">
        <f>_xlfn.XLOOKUP(CustomerCombinedCleaned[[#This Row],[ID]], Table4[ID], Table4[Seafood], "Not Found", 0)</f>
        <v>111</v>
      </c>
      <c r="O930" s="16">
        <f>_xlfn.XLOOKUP(CustomerCombinedCleaned[[#This Row],[ID]], Table4[ID], Table4[Sweets], "Not Found", 0)</f>
        <v>446</v>
      </c>
      <c r="P930" s="16">
        <f>_xlfn.XLOOKUP(CustomerCombinedCleaned[[#This Row],[ID]], Table4[ID], Table4[Premium], "Not Found", 0)</f>
        <v>446</v>
      </c>
      <c r="Q930" s="16">
        <f>_xlfn.XLOOKUP(CustomerCombinedCleaned[[#This Row],[ID]], Table4[ID], Table4[Regular], "Not Found", 0)</f>
        <v>1299</v>
      </c>
      <c r="R930" s="16">
        <f>_xlfn.XLOOKUP(CustomerCombinedCleaned[[#This Row],[ID]], Table4[ID], Table4[Deals], "Not Found", 0)</f>
        <v>2</v>
      </c>
      <c r="S930" s="16">
        <f>_xlfn.XLOOKUP(CustomerCombinedCleaned[[#This Row],[ID]], Table4[ID], Table4[Website], "Not Found", 0)</f>
        <v>6</v>
      </c>
      <c r="T930" s="16">
        <f>_xlfn.XLOOKUP(CustomerCombinedCleaned[[#This Row],[ID]], Table4[ID], Table4[Catalog], "Not Found", 0)</f>
        <v>2</v>
      </c>
      <c r="U930" s="16">
        <f>_xlfn.XLOOKUP(CustomerCombinedCleaned[[#This Row],[ID]], Table4[ID], Table4[Store], "Not Found", 0)</f>
        <v>12</v>
      </c>
      <c r="V930" s="16">
        <f>_xlfn.XLOOKUP(CustomerCombinedCleaned[[#This Row],[ID]], Table4[ID], Table4[Visits], "Not Found", 0)</f>
        <v>3</v>
      </c>
      <c r="W930" s="16">
        <f>_xlfn.XLOOKUP(CustomerCombinedCleaned[[#This Row],[ID]], Table2[ID],Table2[Complaint], "Not Found", 0 )</f>
        <v>0</v>
      </c>
      <c r="X930" s="16">
        <f>_xlfn.XLOOKUP(CustomerCombinedCleaned[[#This Row],[ID]], Table2[ID],Table2[Pilot], "Not Found", 0 )</f>
        <v>0</v>
      </c>
      <c r="Y930" s="16">
        <f>_xlfn.XLOOKUP(CustomerCombinedCleaned[[#This Row],[ID]], Table2[ID],Table2[MC1], "Not Found", 0 )</f>
        <v>0</v>
      </c>
      <c r="Z930" s="16">
        <f>_xlfn.XLOOKUP(CustomerCombinedCleaned[[#This Row],[ID]], Table2[ID],Table2[MC2], "Not Found", 0 )</f>
        <v>0</v>
      </c>
      <c r="AA930" s="16">
        <f>_xlfn.XLOOKUP(CustomerCombinedCleaned[[#This Row],[ID]], Table2[ID],Table2[MC3], "Not Found", 0 )</f>
        <v>0</v>
      </c>
      <c r="AB930" s="16">
        <f>_xlfn.XLOOKUP(CustomerCombinedCleaned[[#This Row],[ID]], Table2[ID],Table2[MC4], "Not Found", 0 )</f>
        <v>0</v>
      </c>
      <c r="AC930" s="16">
        <f>_xlfn.XLOOKUP(CustomerCombinedCleaned[[#This Row],[ID]], Table2[ID],Table2[MC5], "Not Found", 0 )</f>
        <v>0</v>
      </c>
    </row>
    <row r="931" spans="1:29" x14ac:dyDescent="0.3">
      <c r="A931" s="18">
        <v>2833</v>
      </c>
      <c r="B931" s="16">
        <v>170116</v>
      </c>
      <c r="C931" s="16">
        <v>0</v>
      </c>
      <c r="D931" s="16">
        <v>0</v>
      </c>
      <c r="E931" s="16">
        <v>48</v>
      </c>
      <c r="F931" s="17" t="s">
        <v>6</v>
      </c>
      <c r="G931" s="17" t="s">
        <v>13</v>
      </c>
      <c r="H931" s="3" t="s">
        <v>625</v>
      </c>
      <c r="I931" s="5" t="s">
        <v>437</v>
      </c>
      <c r="J931" s="16">
        <f>_xlfn.XLOOKUP(CustomerCombinedCleaned[[#This Row],[ID]], Table4[ID], Table4[Recency], "Not Found", 0)</f>
        <v>73</v>
      </c>
      <c r="K931" s="16">
        <f>_xlfn.XLOOKUP(CustomerCombinedCleaned[[#This Row],[ID]], Table4[ID], Table4[Teas], "Not Found", 0)</f>
        <v>1715</v>
      </c>
      <c r="L931" s="16">
        <f>_xlfn.XLOOKUP(CustomerCombinedCleaned[[#This Row],[ID]], Table4[ID], Table4[Fruits], "Not Found", 0)</f>
        <v>107</v>
      </c>
      <c r="M931" s="16">
        <f>_xlfn.XLOOKUP(CustomerCombinedCleaned[[#This Row],[ID]], Table4[ID], Table4[Meats], "Not Found", 0)</f>
        <v>1463</v>
      </c>
      <c r="N931" s="16">
        <f>_xlfn.XLOOKUP(CustomerCombinedCleaned[[#This Row],[ID]], Table4[ID], Table4[Seafood], "Not Found", 0)</f>
        <v>230</v>
      </c>
      <c r="O931" s="16">
        <f>_xlfn.XLOOKUP(CustomerCombinedCleaned[[#This Row],[ID]], Table4[ID], Table4[Sweets], "Not Found", 0)</f>
        <v>141</v>
      </c>
      <c r="P931" s="16">
        <f>_xlfn.XLOOKUP(CustomerCombinedCleaned[[#This Row],[ID]], Table4[ID], Table4[Premium], "Not Found", 0)</f>
        <v>70</v>
      </c>
      <c r="Q931" s="16">
        <f>_xlfn.XLOOKUP(CustomerCombinedCleaned[[#This Row],[ID]], Table4[ID], Table4[Regular], "Not Found", 0)</f>
        <v>3586</v>
      </c>
      <c r="R931" s="16">
        <f>_xlfn.XLOOKUP(CustomerCombinedCleaned[[#This Row],[ID]], Table4[ID], Table4[Deals], "Not Found", 0)</f>
        <v>1</v>
      </c>
      <c r="S931" s="16">
        <f>_xlfn.XLOOKUP(CustomerCombinedCleaned[[#This Row],[ID]], Table4[ID], Table4[Website], "Not Found", 0)</f>
        <v>2</v>
      </c>
      <c r="T931" s="16">
        <f>_xlfn.XLOOKUP(CustomerCombinedCleaned[[#This Row],[ID]], Table4[ID], Table4[Catalog], "Not Found", 0)</f>
        <v>8</v>
      </c>
      <c r="U931" s="16">
        <f>_xlfn.XLOOKUP(CustomerCombinedCleaned[[#This Row],[ID]], Table4[ID], Table4[Store], "Not Found", 0)</f>
        <v>12</v>
      </c>
      <c r="V931" s="16">
        <f>_xlfn.XLOOKUP(CustomerCombinedCleaned[[#This Row],[ID]], Table4[ID], Table4[Visits], "Not Found", 0)</f>
        <v>1</v>
      </c>
      <c r="W931" s="16">
        <f>_xlfn.XLOOKUP(CustomerCombinedCleaned[[#This Row],[ID]], Table2[ID],Table2[Complaint], "Not Found", 0 )</f>
        <v>0</v>
      </c>
      <c r="X931" s="16">
        <f>_xlfn.XLOOKUP(CustomerCombinedCleaned[[#This Row],[ID]], Table2[ID],Table2[Pilot], "Not Found", 0 )</f>
        <v>0</v>
      </c>
      <c r="Y931" s="16">
        <f>_xlfn.XLOOKUP(CustomerCombinedCleaned[[#This Row],[ID]], Table2[ID],Table2[MC1], "Not Found", 0 )</f>
        <v>0</v>
      </c>
      <c r="Z931" s="16">
        <f>_xlfn.XLOOKUP(CustomerCombinedCleaned[[#This Row],[ID]], Table2[ID],Table2[MC2], "Not Found", 0 )</f>
        <v>0</v>
      </c>
      <c r="AA931" s="16">
        <f>_xlfn.XLOOKUP(CustomerCombinedCleaned[[#This Row],[ID]], Table2[ID],Table2[MC3], "Not Found", 0 )</f>
        <v>0</v>
      </c>
      <c r="AB931" s="16">
        <f>_xlfn.XLOOKUP(CustomerCombinedCleaned[[#This Row],[ID]], Table2[ID],Table2[MC4], "Not Found", 0 )</f>
        <v>0</v>
      </c>
      <c r="AC931" s="16">
        <f>_xlfn.XLOOKUP(CustomerCombinedCleaned[[#This Row],[ID]], Table2[ID],Table2[MC5], "Not Found", 0 )</f>
        <v>0</v>
      </c>
    </row>
    <row r="932" spans="1:29" x14ac:dyDescent="0.3">
      <c r="A932" s="18">
        <v>3119</v>
      </c>
      <c r="B932" s="16">
        <v>169209</v>
      </c>
      <c r="C932" s="16">
        <v>0</v>
      </c>
      <c r="D932" s="16">
        <v>0</v>
      </c>
      <c r="E932" s="16">
        <v>48</v>
      </c>
      <c r="F932" s="17" t="s">
        <v>6</v>
      </c>
      <c r="G932" s="17" t="s">
        <v>11</v>
      </c>
      <c r="H932" s="3" t="s">
        <v>394</v>
      </c>
      <c r="I932" s="5" t="s">
        <v>434</v>
      </c>
      <c r="J932" s="16">
        <f>_xlfn.XLOOKUP(CustomerCombinedCleaned[[#This Row],[ID]], Table4[ID], Table4[Recency], "Not Found", 0)</f>
        <v>4</v>
      </c>
      <c r="K932" s="16">
        <f>_xlfn.XLOOKUP(CustomerCombinedCleaned[[#This Row],[ID]], Table4[ID], Table4[Teas], "Not Found", 0)</f>
        <v>1213</v>
      </c>
      <c r="L932" s="16">
        <f>_xlfn.XLOOKUP(CustomerCombinedCleaned[[#This Row],[ID]], Table4[ID], Table4[Fruits], "Not Found", 0)</f>
        <v>78</v>
      </c>
      <c r="M932" s="16">
        <f>_xlfn.XLOOKUP(CustomerCombinedCleaned[[#This Row],[ID]], Table4[ID], Table4[Meats], "Not Found", 0)</f>
        <v>2076</v>
      </c>
      <c r="N932" s="16">
        <f>_xlfn.XLOOKUP(CustomerCombinedCleaned[[#This Row],[ID]], Table4[ID], Table4[Seafood], "Not Found", 0)</f>
        <v>560</v>
      </c>
      <c r="O932" s="16">
        <f>_xlfn.XLOOKUP(CustomerCombinedCleaned[[#This Row],[ID]], Table4[ID], Table4[Sweets], "Not Found", 0)</f>
        <v>117</v>
      </c>
      <c r="P932" s="16">
        <f>_xlfn.XLOOKUP(CustomerCombinedCleaned[[#This Row],[ID]], Table4[ID], Table4[Premium], "Not Found", 0)</f>
        <v>313</v>
      </c>
      <c r="Q932" s="16">
        <f>_xlfn.XLOOKUP(CustomerCombinedCleaned[[#This Row],[ID]], Table4[ID], Table4[Regular], "Not Found", 0)</f>
        <v>3731</v>
      </c>
      <c r="R932" s="16">
        <f>_xlfn.XLOOKUP(CustomerCombinedCleaned[[#This Row],[ID]], Table4[ID], Table4[Deals], "Not Found", 0)</f>
        <v>2</v>
      </c>
      <c r="S932" s="16">
        <f>_xlfn.XLOOKUP(CustomerCombinedCleaned[[#This Row],[ID]], Table4[ID], Table4[Website], "Not Found", 0)</f>
        <v>5</v>
      </c>
      <c r="T932" s="16">
        <f>_xlfn.XLOOKUP(CustomerCombinedCleaned[[#This Row],[ID]], Table4[ID], Table4[Catalog], "Not Found", 0)</f>
        <v>3</v>
      </c>
      <c r="U932" s="16">
        <f>_xlfn.XLOOKUP(CustomerCombinedCleaned[[#This Row],[ID]], Table4[ID], Table4[Store], "Not Found", 0)</f>
        <v>6</v>
      </c>
      <c r="V932" s="16">
        <f>_xlfn.XLOOKUP(CustomerCombinedCleaned[[#This Row],[ID]], Table4[ID], Table4[Visits], "Not Found", 0)</f>
        <v>4</v>
      </c>
      <c r="W932" s="16">
        <f>_xlfn.XLOOKUP(CustomerCombinedCleaned[[#This Row],[ID]], Table2[ID],Table2[Complaint], "Not Found", 0 )</f>
        <v>0</v>
      </c>
      <c r="X932" s="16">
        <f>_xlfn.XLOOKUP(CustomerCombinedCleaned[[#This Row],[ID]], Table2[ID],Table2[Pilot], "Not Found", 0 )</f>
        <v>0</v>
      </c>
      <c r="Y932" s="16">
        <f>_xlfn.XLOOKUP(CustomerCombinedCleaned[[#This Row],[ID]], Table2[ID],Table2[MC1], "Not Found", 0 )</f>
        <v>1</v>
      </c>
      <c r="Z932" s="16">
        <f>_xlfn.XLOOKUP(CustomerCombinedCleaned[[#This Row],[ID]], Table2[ID],Table2[MC2], "Not Found", 0 )</f>
        <v>0</v>
      </c>
      <c r="AA932" s="16">
        <f>_xlfn.XLOOKUP(CustomerCombinedCleaned[[#This Row],[ID]], Table2[ID],Table2[MC3], "Not Found", 0 )</f>
        <v>0</v>
      </c>
      <c r="AB932" s="16">
        <f>_xlfn.XLOOKUP(CustomerCombinedCleaned[[#This Row],[ID]], Table2[ID],Table2[MC4], "Not Found", 0 )</f>
        <v>0</v>
      </c>
      <c r="AC932" s="16">
        <f>_xlfn.XLOOKUP(CustomerCombinedCleaned[[#This Row],[ID]], Table2[ID],Table2[MC5], "Not Found", 0 )</f>
        <v>0</v>
      </c>
    </row>
    <row r="933" spans="1:29" x14ac:dyDescent="0.3">
      <c r="A933" s="18">
        <v>2397</v>
      </c>
      <c r="B933" s="16">
        <v>165704</v>
      </c>
      <c r="C933" s="16">
        <v>0</v>
      </c>
      <c r="D933" s="16">
        <v>0</v>
      </c>
      <c r="E933" s="16">
        <v>48</v>
      </c>
      <c r="F933" s="17" t="s">
        <v>7</v>
      </c>
      <c r="G933" s="17" t="s">
        <v>11</v>
      </c>
      <c r="H933" s="3" t="s">
        <v>169</v>
      </c>
      <c r="I933" s="5" t="s">
        <v>435</v>
      </c>
      <c r="J933" s="16">
        <f>_xlfn.XLOOKUP(CustomerCombinedCleaned[[#This Row],[ID]], Table4[ID], Table4[Recency], "Not Found", 0)</f>
        <v>18</v>
      </c>
      <c r="K933" s="16">
        <f>_xlfn.XLOOKUP(CustomerCombinedCleaned[[#This Row],[ID]], Table4[ID], Table4[Teas], "Not Found", 0)</f>
        <v>704</v>
      </c>
      <c r="L933" s="16">
        <f>_xlfn.XLOOKUP(CustomerCombinedCleaned[[#This Row],[ID]], Table4[ID], Table4[Fruits], "Not Found", 0)</f>
        <v>434</v>
      </c>
      <c r="M933" s="16">
        <f>_xlfn.XLOOKUP(CustomerCombinedCleaned[[#This Row],[ID]], Table4[ID], Table4[Meats], "Not Found", 0)</f>
        <v>187</v>
      </c>
      <c r="N933" s="16">
        <f>_xlfn.XLOOKUP(CustomerCombinedCleaned[[#This Row],[ID]], Table4[ID], Table4[Seafood], "Not Found", 0)</f>
        <v>96</v>
      </c>
      <c r="O933" s="16">
        <f>_xlfn.XLOOKUP(CustomerCombinedCleaned[[#This Row],[ID]], Table4[ID], Table4[Sweets], "Not Found", 0)</f>
        <v>20</v>
      </c>
      <c r="P933" s="16">
        <f>_xlfn.XLOOKUP(CustomerCombinedCleaned[[#This Row],[ID]], Table4[ID], Table4[Premium], "Not Found", 0)</f>
        <v>620</v>
      </c>
      <c r="Q933" s="16">
        <f>_xlfn.XLOOKUP(CustomerCombinedCleaned[[#This Row],[ID]], Table4[ID], Table4[Regular], "Not Found", 0)</f>
        <v>820</v>
      </c>
      <c r="R933" s="16">
        <f>_xlfn.XLOOKUP(CustomerCombinedCleaned[[#This Row],[ID]], Table4[ID], Table4[Deals], "Not Found", 0)</f>
        <v>1</v>
      </c>
      <c r="S933" s="16">
        <f>_xlfn.XLOOKUP(CustomerCombinedCleaned[[#This Row],[ID]], Table4[ID], Table4[Website], "Not Found", 0)</f>
        <v>2</v>
      </c>
      <c r="T933" s="16">
        <f>_xlfn.XLOOKUP(CustomerCombinedCleaned[[#This Row],[ID]], Table4[ID], Table4[Catalog], "Not Found", 0)</f>
        <v>10</v>
      </c>
      <c r="U933" s="16">
        <f>_xlfn.XLOOKUP(CustomerCombinedCleaned[[#This Row],[ID]], Table4[ID], Table4[Store], "Not Found", 0)</f>
        <v>10</v>
      </c>
      <c r="V933" s="16">
        <f>_xlfn.XLOOKUP(CustomerCombinedCleaned[[#This Row],[ID]], Table4[ID], Table4[Visits], "Not Found", 0)</f>
        <v>1</v>
      </c>
      <c r="W933" s="16">
        <f>_xlfn.XLOOKUP(CustomerCombinedCleaned[[#This Row],[ID]], Table2[ID],Table2[Complaint], "Not Found", 0 )</f>
        <v>0</v>
      </c>
      <c r="X933" s="16">
        <f>_xlfn.XLOOKUP(CustomerCombinedCleaned[[#This Row],[ID]], Table2[ID],Table2[Pilot], "Not Found", 0 )</f>
        <v>0</v>
      </c>
      <c r="Y933" s="16">
        <f>_xlfn.XLOOKUP(CustomerCombinedCleaned[[#This Row],[ID]], Table2[ID],Table2[MC1], "Not Found", 0 )</f>
        <v>0</v>
      </c>
      <c r="Z933" s="16">
        <f>_xlfn.XLOOKUP(CustomerCombinedCleaned[[#This Row],[ID]], Table2[ID],Table2[MC2], "Not Found", 0 )</f>
        <v>0</v>
      </c>
      <c r="AA933" s="16">
        <f>_xlfn.XLOOKUP(CustomerCombinedCleaned[[#This Row],[ID]], Table2[ID],Table2[MC3], "Not Found", 0 )</f>
        <v>0</v>
      </c>
      <c r="AB933" s="16">
        <f>_xlfn.XLOOKUP(CustomerCombinedCleaned[[#This Row],[ID]], Table2[ID],Table2[MC4], "Not Found", 0 )</f>
        <v>0</v>
      </c>
      <c r="AC933" s="16">
        <f>_xlfn.XLOOKUP(CustomerCombinedCleaned[[#This Row],[ID]], Table2[ID],Table2[MC5], "Not Found", 0 )</f>
        <v>0</v>
      </c>
    </row>
    <row r="934" spans="1:29" x14ac:dyDescent="0.3">
      <c r="A934" s="18">
        <v>1799</v>
      </c>
      <c r="B934" s="16">
        <v>165685</v>
      </c>
      <c r="C934" s="16">
        <v>0</v>
      </c>
      <c r="D934" s="16">
        <v>1</v>
      </c>
      <c r="E934" s="16">
        <v>48</v>
      </c>
      <c r="F934" s="17" t="s">
        <v>6</v>
      </c>
      <c r="G934" s="17" t="s">
        <v>11</v>
      </c>
      <c r="H934" s="3" t="s">
        <v>696</v>
      </c>
      <c r="I934" s="5" t="s">
        <v>434</v>
      </c>
      <c r="J934" s="16">
        <f>_xlfn.XLOOKUP(CustomerCombinedCleaned[[#This Row],[ID]], Table4[ID], Table4[Recency], "Not Found", 0)</f>
        <v>54</v>
      </c>
      <c r="K934" s="16">
        <f>_xlfn.XLOOKUP(CustomerCombinedCleaned[[#This Row],[ID]], Table4[ID], Table4[Teas], "Not Found", 0)</f>
        <v>1619</v>
      </c>
      <c r="L934" s="16">
        <f>_xlfn.XLOOKUP(CustomerCombinedCleaned[[#This Row],[ID]], Table4[ID], Table4[Fruits], "Not Found", 0)</f>
        <v>35</v>
      </c>
      <c r="M934" s="16">
        <f>_xlfn.XLOOKUP(CustomerCombinedCleaned[[#This Row],[ID]], Table4[ID], Table4[Meats], "Not Found", 0)</f>
        <v>124</v>
      </c>
      <c r="N934" s="16">
        <f>_xlfn.XLOOKUP(CustomerCombinedCleaned[[#This Row],[ID]], Table4[ID], Table4[Seafood], "Not Found", 0)</f>
        <v>0</v>
      </c>
      <c r="O934" s="16">
        <f>_xlfn.XLOOKUP(CustomerCombinedCleaned[[#This Row],[ID]], Table4[ID], Table4[Sweets], "Not Found", 0)</f>
        <v>18</v>
      </c>
      <c r="P934" s="16">
        <f>_xlfn.XLOOKUP(CustomerCombinedCleaned[[#This Row],[ID]], Table4[ID], Table4[Premium], "Not Found", 0)</f>
        <v>144</v>
      </c>
      <c r="Q934" s="16">
        <f>_xlfn.XLOOKUP(CustomerCombinedCleaned[[#This Row],[ID]], Table4[ID], Table4[Regular], "Not Found", 0)</f>
        <v>1652</v>
      </c>
      <c r="R934" s="16">
        <f>_xlfn.XLOOKUP(CustomerCombinedCleaned[[#This Row],[ID]], Table4[ID], Table4[Deals], "Not Found", 0)</f>
        <v>1</v>
      </c>
      <c r="S934" s="16">
        <f>_xlfn.XLOOKUP(CustomerCombinedCleaned[[#This Row],[ID]], Table4[ID], Table4[Website], "Not Found", 0)</f>
        <v>9</v>
      </c>
      <c r="T934" s="16">
        <f>_xlfn.XLOOKUP(CustomerCombinedCleaned[[#This Row],[ID]], Table4[ID], Table4[Catalog], "Not Found", 0)</f>
        <v>2</v>
      </c>
      <c r="U934" s="16">
        <f>_xlfn.XLOOKUP(CustomerCombinedCleaned[[#This Row],[ID]], Table4[ID], Table4[Store], "Not Found", 0)</f>
        <v>9</v>
      </c>
      <c r="V934" s="16">
        <f>_xlfn.XLOOKUP(CustomerCombinedCleaned[[#This Row],[ID]], Table4[ID], Table4[Visits], "Not Found", 0)</f>
        <v>5</v>
      </c>
      <c r="W934" s="16">
        <f>_xlfn.XLOOKUP(CustomerCombinedCleaned[[#This Row],[ID]], Table2[ID],Table2[Complaint], "Not Found", 0 )</f>
        <v>0</v>
      </c>
      <c r="X934" s="16">
        <f>_xlfn.XLOOKUP(CustomerCombinedCleaned[[#This Row],[ID]], Table2[ID],Table2[Pilot], "Not Found", 0 )</f>
        <v>0</v>
      </c>
      <c r="Y934" s="16">
        <f>_xlfn.XLOOKUP(CustomerCombinedCleaned[[#This Row],[ID]], Table2[ID],Table2[MC1], "Not Found", 0 )</f>
        <v>0</v>
      </c>
      <c r="Z934" s="16">
        <f>_xlfn.XLOOKUP(CustomerCombinedCleaned[[#This Row],[ID]], Table2[ID],Table2[MC2], "Not Found", 0 )</f>
        <v>0</v>
      </c>
      <c r="AA934" s="16">
        <f>_xlfn.XLOOKUP(CustomerCombinedCleaned[[#This Row],[ID]], Table2[ID],Table2[MC3], "Not Found", 0 )</f>
        <v>0</v>
      </c>
      <c r="AB934" s="16">
        <f>_xlfn.XLOOKUP(CustomerCombinedCleaned[[#This Row],[ID]], Table2[ID],Table2[MC4], "Not Found", 0 )</f>
        <v>0</v>
      </c>
      <c r="AC934" s="16">
        <f>_xlfn.XLOOKUP(CustomerCombinedCleaned[[#This Row],[ID]], Table2[ID],Table2[MC5], "Not Found", 0 )</f>
        <v>0</v>
      </c>
    </row>
    <row r="935" spans="1:29" x14ac:dyDescent="0.3">
      <c r="A935" s="18">
        <v>2377</v>
      </c>
      <c r="B935" s="16">
        <v>165685</v>
      </c>
      <c r="C935" s="16">
        <v>0</v>
      </c>
      <c r="D935" s="16">
        <v>1</v>
      </c>
      <c r="E935" s="16">
        <v>48</v>
      </c>
      <c r="F935" s="17" t="s">
        <v>6</v>
      </c>
      <c r="G935" s="17" t="s">
        <v>11</v>
      </c>
      <c r="H935" s="3" t="s">
        <v>696</v>
      </c>
      <c r="I935" s="5" t="s">
        <v>437</v>
      </c>
      <c r="J935" s="16">
        <f>_xlfn.XLOOKUP(CustomerCombinedCleaned[[#This Row],[ID]], Table4[ID], Table4[Recency], "Not Found", 0)</f>
        <v>54</v>
      </c>
      <c r="K935" s="16">
        <f>_xlfn.XLOOKUP(CustomerCombinedCleaned[[#This Row],[ID]], Table4[ID], Table4[Teas], "Not Found", 0)</f>
        <v>1619</v>
      </c>
      <c r="L935" s="16">
        <f>_xlfn.XLOOKUP(CustomerCombinedCleaned[[#This Row],[ID]], Table4[ID], Table4[Fruits], "Not Found", 0)</f>
        <v>35</v>
      </c>
      <c r="M935" s="16">
        <f>_xlfn.XLOOKUP(CustomerCombinedCleaned[[#This Row],[ID]], Table4[ID], Table4[Meats], "Not Found", 0)</f>
        <v>124</v>
      </c>
      <c r="N935" s="16">
        <f>_xlfn.XLOOKUP(CustomerCombinedCleaned[[#This Row],[ID]], Table4[ID], Table4[Seafood], "Not Found", 0)</f>
        <v>0</v>
      </c>
      <c r="O935" s="16">
        <f>_xlfn.XLOOKUP(CustomerCombinedCleaned[[#This Row],[ID]], Table4[ID], Table4[Sweets], "Not Found", 0)</f>
        <v>18</v>
      </c>
      <c r="P935" s="16">
        <f>_xlfn.XLOOKUP(CustomerCombinedCleaned[[#This Row],[ID]], Table4[ID], Table4[Premium], "Not Found", 0)</f>
        <v>144</v>
      </c>
      <c r="Q935" s="16">
        <f>_xlfn.XLOOKUP(CustomerCombinedCleaned[[#This Row],[ID]], Table4[ID], Table4[Regular], "Not Found", 0)</f>
        <v>1652</v>
      </c>
      <c r="R935" s="16">
        <f>_xlfn.XLOOKUP(CustomerCombinedCleaned[[#This Row],[ID]], Table4[ID], Table4[Deals], "Not Found", 0)</f>
        <v>1</v>
      </c>
      <c r="S935" s="16">
        <f>_xlfn.XLOOKUP(CustomerCombinedCleaned[[#This Row],[ID]], Table4[ID], Table4[Website], "Not Found", 0)</f>
        <v>9</v>
      </c>
      <c r="T935" s="16">
        <f>_xlfn.XLOOKUP(CustomerCombinedCleaned[[#This Row],[ID]], Table4[ID], Table4[Catalog], "Not Found", 0)</f>
        <v>2</v>
      </c>
      <c r="U935" s="16">
        <f>_xlfn.XLOOKUP(CustomerCombinedCleaned[[#This Row],[ID]], Table4[ID], Table4[Store], "Not Found", 0)</f>
        <v>9</v>
      </c>
      <c r="V935" s="16">
        <f>_xlfn.XLOOKUP(CustomerCombinedCleaned[[#This Row],[ID]], Table4[ID], Table4[Visits], "Not Found", 0)</f>
        <v>5</v>
      </c>
      <c r="W935" s="16">
        <f>_xlfn.XLOOKUP(CustomerCombinedCleaned[[#This Row],[ID]], Table2[ID],Table2[Complaint], "Not Found", 0 )</f>
        <v>0</v>
      </c>
      <c r="X935" s="16">
        <f>_xlfn.XLOOKUP(CustomerCombinedCleaned[[#This Row],[ID]], Table2[ID],Table2[Pilot], "Not Found", 0 )</f>
        <v>0</v>
      </c>
      <c r="Y935" s="16">
        <f>_xlfn.XLOOKUP(CustomerCombinedCleaned[[#This Row],[ID]], Table2[ID],Table2[MC1], "Not Found", 0 )</f>
        <v>0</v>
      </c>
      <c r="Z935" s="16">
        <f>_xlfn.XLOOKUP(CustomerCombinedCleaned[[#This Row],[ID]], Table2[ID],Table2[MC2], "Not Found", 0 )</f>
        <v>0</v>
      </c>
      <c r="AA935" s="16">
        <f>_xlfn.XLOOKUP(CustomerCombinedCleaned[[#This Row],[ID]], Table2[ID],Table2[MC3], "Not Found", 0 )</f>
        <v>0</v>
      </c>
      <c r="AB935" s="16">
        <f>_xlfn.XLOOKUP(CustomerCombinedCleaned[[#This Row],[ID]], Table2[ID],Table2[MC4], "Not Found", 0 )</f>
        <v>0</v>
      </c>
      <c r="AC935" s="16">
        <f>_xlfn.XLOOKUP(CustomerCombinedCleaned[[#This Row],[ID]], Table2[ID],Table2[MC5], "Not Found", 0 )</f>
        <v>0</v>
      </c>
    </row>
    <row r="936" spans="1:29" x14ac:dyDescent="0.3">
      <c r="A936" s="18">
        <v>2941</v>
      </c>
      <c r="B936" s="16">
        <v>164474</v>
      </c>
      <c r="C936" s="16">
        <v>0</v>
      </c>
      <c r="D936" s="16">
        <v>1</v>
      </c>
      <c r="E936" s="16">
        <v>48</v>
      </c>
      <c r="F936" s="17" t="s">
        <v>8</v>
      </c>
      <c r="G936" s="17" t="s">
        <v>11</v>
      </c>
      <c r="H936" s="3" t="s">
        <v>160</v>
      </c>
      <c r="I936" s="5" t="s">
        <v>437</v>
      </c>
      <c r="J936" s="16">
        <f>_xlfn.XLOOKUP(CustomerCombinedCleaned[[#This Row],[ID]], Table4[ID], Table4[Recency], "Not Found", 0)</f>
        <v>59</v>
      </c>
      <c r="K936" s="16">
        <f>_xlfn.XLOOKUP(CustomerCombinedCleaned[[#This Row],[ID]], Table4[ID], Table4[Teas], "Not Found", 0)</f>
        <v>972</v>
      </c>
      <c r="L936" s="16">
        <f>_xlfn.XLOOKUP(CustomerCombinedCleaned[[#This Row],[ID]], Table4[ID], Table4[Fruits], "Not Found", 0)</f>
        <v>89</v>
      </c>
      <c r="M936" s="16">
        <f>_xlfn.XLOOKUP(CustomerCombinedCleaned[[#This Row],[ID]], Table4[ID], Table4[Meats], "Not Found", 0)</f>
        <v>439</v>
      </c>
      <c r="N936" s="16">
        <f>_xlfn.XLOOKUP(CustomerCombinedCleaned[[#This Row],[ID]], Table4[ID], Table4[Seafood], "Not Found", 0)</f>
        <v>143</v>
      </c>
      <c r="O936" s="16">
        <f>_xlfn.XLOOKUP(CustomerCombinedCleaned[[#This Row],[ID]], Table4[ID], Table4[Sweets], "Not Found", 0)</f>
        <v>219</v>
      </c>
      <c r="P936" s="16">
        <f>_xlfn.XLOOKUP(CustomerCombinedCleaned[[#This Row],[ID]], Table4[ID], Table4[Premium], "Not Found", 0)</f>
        <v>237</v>
      </c>
      <c r="Q936" s="16">
        <f>_xlfn.XLOOKUP(CustomerCombinedCleaned[[#This Row],[ID]], Table4[ID], Table4[Regular], "Not Found", 0)</f>
        <v>1625</v>
      </c>
      <c r="R936" s="16">
        <f>_xlfn.XLOOKUP(CustomerCombinedCleaned[[#This Row],[ID]], Table4[ID], Table4[Deals], "Not Found", 0)</f>
        <v>2</v>
      </c>
      <c r="S936" s="16">
        <f>_xlfn.XLOOKUP(CustomerCombinedCleaned[[#This Row],[ID]], Table4[ID], Table4[Website], "Not Found", 0)</f>
        <v>8</v>
      </c>
      <c r="T936" s="16">
        <f>_xlfn.XLOOKUP(CustomerCombinedCleaned[[#This Row],[ID]], Table4[ID], Table4[Catalog], "Not Found", 0)</f>
        <v>2</v>
      </c>
      <c r="U936" s="16">
        <f>_xlfn.XLOOKUP(CustomerCombinedCleaned[[#This Row],[ID]], Table4[ID], Table4[Store], "Not Found", 0)</f>
        <v>10</v>
      </c>
      <c r="V936" s="16">
        <f>_xlfn.XLOOKUP(CustomerCombinedCleaned[[#This Row],[ID]], Table4[ID], Table4[Visits], "Not Found", 0)</f>
        <v>5</v>
      </c>
      <c r="W936" s="16">
        <f>_xlfn.XLOOKUP(CustomerCombinedCleaned[[#This Row],[ID]], Table2[ID],Table2[Complaint], "Not Found", 0 )</f>
        <v>0</v>
      </c>
      <c r="X936" s="16">
        <f>_xlfn.XLOOKUP(CustomerCombinedCleaned[[#This Row],[ID]], Table2[ID],Table2[Pilot], "Not Found", 0 )</f>
        <v>0</v>
      </c>
      <c r="Y936" s="16">
        <f>_xlfn.XLOOKUP(CustomerCombinedCleaned[[#This Row],[ID]], Table2[ID],Table2[MC1], "Not Found", 0 )</f>
        <v>0</v>
      </c>
      <c r="Z936" s="16">
        <f>_xlfn.XLOOKUP(CustomerCombinedCleaned[[#This Row],[ID]], Table2[ID],Table2[MC2], "Not Found", 0 )</f>
        <v>0</v>
      </c>
      <c r="AA936" s="16">
        <f>_xlfn.XLOOKUP(CustomerCombinedCleaned[[#This Row],[ID]], Table2[ID],Table2[MC3], "Not Found", 0 )</f>
        <v>0</v>
      </c>
      <c r="AB936" s="16">
        <f>_xlfn.XLOOKUP(CustomerCombinedCleaned[[#This Row],[ID]], Table2[ID],Table2[MC4], "Not Found", 0 )</f>
        <v>0</v>
      </c>
      <c r="AC936" s="16">
        <f>_xlfn.XLOOKUP(CustomerCombinedCleaned[[#This Row],[ID]], Table2[ID],Table2[MC5], "Not Found", 0 )</f>
        <v>0</v>
      </c>
    </row>
    <row r="937" spans="1:29" x14ac:dyDescent="0.3">
      <c r="A937" s="18">
        <v>2146</v>
      </c>
      <c r="B937" s="16">
        <v>162710</v>
      </c>
      <c r="C937" s="16">
        <v>0</v>
      </c>
      <c r="D937" s="16">
        <v>1</v>
      </c>
      <c r="E937" s="16">
        <v>48</v>
      </c>
      <c r="F937" s="17" t="s">
        <v>6</v>
      </c>
      <c r="G937" s="17" t="s">
        <v>11</v>
      </c>
      <c r="H937" s="3" t="s">
        <v>248</v>
      </c>
      <c r="I937" s="5" t="s">
        <v>439</v>
      </c>
      <c r="J937" s="16">
        <f>_xlfn.XLOOKUP(CustomerCombinedCleaned[[#This Row],[ID]], Table4[ID], Table4[Recency], "Not Found", 0)</f>
        <v>53</v>
      </c>
      <c r="K937" s="16">
        <f>_xlfn.XLOOKUP(CustomerCombinedCleaned[[#This Row],[ID]], Table4[ID], Table4[Teas], "Not Found", 0)</f>
        <v>1144</v>
      </c>
      <c r="L937" s="16">
        <f>_xlfn.XLOOKUP(CustomerCombinedCleaned[[#This Row],[ID]], Table4[ID], Table4[Fruits], "Not Found", 0)</f>
        <v>91</v>
      </c>
      <c r="M937" s="16">
        <f>_xlfn.XLOOKUP(CustomerCombinedCleaned[[#This Row],[ID]], Table4[ID], Table4[Meats], "Not Found", 0)</f>
        <v>215</v>
      </c>
      <c r="N937" s="16">
        <f>_xlfn.XLOOKUP(CustomerCombinedCleaned[[#This Row],[ID]], Table4[ID], Table4[Seafood], "Not Found", 0)</f>
        <v>18</v>
      </c>
      <c r="O937" s="16">
        <f>_xlfn.XLOOKUP(CustomerCombinedCleaned[[#This Row],[ID]], Table4[ID], Table4[Sweets], "Not Found", 0)</f>
        <v>75</v>
      </c>
      <c r="P937" s="16">
        <f>_xlfn.XLOOKUP(CustomerCombinedCleaned[[#This Row],[ID]], Table4[ID], Table4[Premium], "Not Found", 0)</f>
        <v>29</v>
      </c>
      <c r="Q937" s="16">
        <f>_xlfn.XLOOKUP(CustomerCombinedCleaned[[#This Row],[ID]], Table4[ID], Table4[Regular], "Not Found", 0)</f>
        <v>1515</v>
      </c>
      <c r="R937" s="16">
        <f>_xlfn.XLOOKUP(CustomerCombinedCleaned[[#This Row],[ID]], Table4[ID], Table4[Deals], "Not Found", 0)</f>
        <v>4</v>
      </c>
      <c r="S937" s="16">
        <f>_xlfn.XLOOKUP(CustomerCombinedCleaned[[#This Row],[ID]], Table4[ID], Table4[Website], "Not Found", 0)</f>
        <v>4</v>
      </c>
      <c r="T937" s="16">
        <f>_xlfn.XLOOKUP(CustomerCombinedCleaned[[#This Row],[ID]], Table4[ID], Table4[Catalog], "Not Found", 0)</f>
        <v>2</v>
      </c>
      <c r="U937" s="16">
        <f>_xlfn.XLOOKUP(CustomerCombinedCleaned[[#This Row],[ID]], Table4[ID], Table4[Store], "Not Found", 0)</f>
        <v>12</v>
      </c>
      <c r="V937" s="16">
        <f>_xlfn.XLOOKUP(CustomerCombinedCleaned[[#This Row],[ID]], Table4[ID], Table4[Visits], "Not Found", 0)</f>
        <v>4</v>
      </c>
      <c r="W937" s="16">
        <f>_xlfn.XLOOKUP(CustomerCombinedCleaned[[#This Row],[ID]], Table2[ID],Table2[Complaint], "Not Found", 0 )</f>
        <v>0</v>
      </c>
      <c r="X937" s="16">
        <f>_xlfn.XLOOKUP(CustomerCombinedCleaned[[#This Row],[ID]], Table2[ID],Table2[Pilot], "Not Found", 0 )</f>
        <v>0</v>
      </c>
      <c r="Y937" s="16">
        <f>_xlfn.XLOOKUP(CustomerCombinedCleaned[[#This Row],[ID]], Table2[ID],Table2[MC1], "Not Found", 0 )</f>
        <v>0</v>
      </c>
      <c r="Z937" s="16">
        <f>_xlfn.XLOOKUP(CustomerCombinedCleaned[[#This Row],[ID]], Table2[ID],Table2[MC2], "Not Found", 0 )</f>
        <v>0</v>
      </c>
      <c r="AA937" s="16">
        <f>_xlfn.XLOOKUP(CustomerCombinedCleaned[[#This Row],[ID]], Table2[ID],Table2[MC3], "Not Found", 0 )</f>
        <v>0</v>
      </c>
      <c r="AB937" s="16">
        <f>_xlfn.XLOOKUP(CustomerCombinedCleaned[[#This Row],[ID]], Table2[ID],Table2[MC4], "Not Found", 0 )</f>
        <v>0</v>
      </c>
      <c r="AC937" s="16">
        <f>_xlfn.XLOOKUP(CustomerCombinedCleaned[[#This Row],[ID]], Table2[ID],Table2[MC5], "Not Found", 0 )</f>
        <v>0</v>
      </c>
    </row>
    <row r="938" spans="1:29" x14ac:dyDescent="0.3">
      <c r="A938" s="18">
        <v>1737</v>
      </c>
      <c r="B938" s="16">
        <v>162220</v>
      </c>
      <c r="C938" s="16">
        <v>0</v>
      </c>
      <c r="D938" s="16">
        <v>1</v>
      </c>
      <c r="E938" s="16">
        <v>48</v>
      </c>
      <c r="F938" s="17" t="s">
        <v>8</v>
      </c>
      <c r="G938" s="17" t="s">
        <v>13</v>
      </c>
      <c r="H938" s="3" t="s">
        <v>417</v>
      </c>
      <c r="I938" s="5" t="s">
        <v>435</v>
      </c>
      <c r="J938" s="16">
        <f>_xlfn.XLOOKUP(CustomerCombinedCleaned[[#This Row],[ID]], Table4[ID], Table4[Recency], "Not Found", 0)</f>
        <v>55</v>
      </c>
      <c r="K938" s="16">
        <f>_xlfn.XLOOKUP(CustomerCombinedCleaned[[#This Row],[ID]], Table4[ID], Table4[Teas], "Not Found", 0)</f>
        <v>2083</v>
      </c>
      <c r="L938" s="16">
        <f>_xlfn.XLOOKUP(CustomerCombinedCleaned[[#This Row],[ID]], Table4[ID], Table4[Fruits], "Not Found", 0)</f>
        <v>31</v>
      </c>
      <c r="M938" s="16">
        <f>_xlfn.XLOOKUP(CustomerCombinedCleaned[[#This Row],[ID]], Table4[ID], Table4[Meats], "Not Found", 0)</f>
        <v>978</v>
      </c>
      <c r="N938" s="16">
        <f>_xlfn.XLOOKUP(CustomerCombinedCleaned[[#This Row],[ID]], Table4[ID], Table4[Seafood], "Not Found", 0)</f>
        <v>42</v>
      </c>
      <c r="O938" s="16">
        <f>_xlfn.XLOOKUP(CustomerCombinedCleaned[[#This Row],[ID]], Table4[ID], Table4[Sweets], "Not Found", 0)</f>
        <v>31</v>
      </c>
      <c r="P938" s="16">
        <f>_xlfn.XLOOKUP(CustomerCombinedCleaned[[#This Row],[ID]], Table4[ID], Table4[Premium], "Not Found", 0)</f>
        <v>31</v>
      </c>
      <c r="Q938" s="16">
        <f>_xlfn.XLOOKUP(CustomerCombinedCleaned[[#This Row],[ID]], Table4[ID], Table4[Regular], "Not Found", 0)</f>
        <v>3134</v>
      </c>
      <c r="R938" s="16">
        <f>_xlfn.XLOOKUP(CustomerCombinedCleaned[[#This Row],[ID]], Table4[ID], Table4[Deals], "Not Found", 0)</f>
        <v>5</v>
      </c>
      <c r="S938" s="16">
        <f>_xlfn.XLOOKUP(CustomerCombinedCleaned[[#This Row],[ID]], Table4[ID], Table4[Website], "Not Found", 0)</f>
        <v>7</v>
      </c>
      <c r="T938" s="16">
        <f>_xlfn.XLOOKUP(CustomerCombinedCleaned[[#This Row],[ID]], Table4[ID], Table4[Catalog], "Not Found", 0)</f>
        <v>6</v>
      </c>
      <c r="U938" s="16">
        <f>_xlfn.XLOOKUP(CustomerCombinedCleaned[[#This Row],[ID]], Table4[ID], Table4[Store], "Not Found", 0)</f>
        <v>5</v>
      </c>
      <c r="V938" s="16">
        <f>_xlfn.XLOOKUP(CustomerCombinedCleaned[[#This Row],[ID]], Table4[ID], Table4[Visits], "Not Found", 0)</f>
        <v>6</v>
      </c>
      <c r="W938" s="16">
        <f>_xlfn.XLOOKUP(CustomerCombinedCleaned[[#This Row],[ID]], Table2[ID],Table2[Complaint], "Not Found", 0 )</f>
        <v>0</v>
      </c>
      <c r="X938" s="16">
        <f>_xlfn.XLOOKUP(CustomerCombinedCleaned[[#This Row],[ID]], Table2[ID],Table2[Pilot], "Not Found", 0 )</f>
        <v>1</v>
      </c>
      <c r="Y938" s="16">
        <f>_xlfn.XLOOKUP(CustomerCombinedCleaned[[#This Row],[ID]], Table2[ID],Table2[MC1], "Not Found", 0 )</f>
        <v>0</v>
      </c>
      <c r="Z938" s="16">
        <f>_xlfn.XLOOKUP(CustomerCombinedCleaned[[#This Row],[ID]], Table2[ID],Table2[MC2], "Not Found", 0 )</f>
        <v>0</v>
      </c>
      <c r="AA938" s="16">
        <f>_xlfn.XLOOKUP(CustomerCombinedCleaned[[#This Row],[ID]], Table2[ID],Table2[MC3], "Not Found", 0 )</f>
        <v>0</v>
      </c>
      <c r="AB938" s="16">
        <f>_xlfn.XLOOKUP(CustomerCombinedCleaned[[#This Row],[ID]], Table2[ID],Table2[MC4], "Not Found", 0 )</f>
        <v>0</v>
      </c>
      <c r="AC938" s="16">
        <f>_xlfn.XLOOKUP(CustomerCombinedCleaned[[#This Row],[ID]], Table2[ID],Table2[MC5], "Not Found", 0 )</f>
        <v>0</v>
      </c>
    </row>
    <row r="939" spans="1:29" x14ac:dyDescent="0.3">
      <c r="A939" s="18">
        <v>1462</v>
      </c>
      <c r="B939" s="16">
        <v>162010</v>
      </c>
      <c r="C939" s="16">
        <v>0</v>
      </c>
      <c r="D939" s="16">
        <v>1</v>
      </c>
      <c r="E939" s="16">
        <v>48</v>
      </c>
      <c r="F939" s="17" t="s">
        <v>6</v>
      </c>
      <c r="G939" s="17" t="s">
        <v>13</v>
      </c>
      <c r="H939" s="3" t="s">
        <v>371</v>
      </c>
      <c r="I939" s="5" t="s">
        <v>439</v>
      </c>
      <c r="J939" s="16">
        <f>_xlfn.XLOOKUP(CustomerCombinedCleaned[[#This Row],[ID]], Table4[ID], Table4[Recency], "Not Found", 0)</f>
        <v>93</v>
      </c>
      <c r="K939" s="16">
        <f>_xlfn.XLOOKUP(CustomerCombinedCleaned[[#This Row],[ID]], Table4[ID], Table4[Teas], "Not Found", 0)</f>
        <v>969</v>
      </c>
      <c r="L939" s="16">
        <f>_xlfn.XLOOKUP(CustomerCombinedCleaned[[#This Row],[ID]], Table4[ID], Table4[Fruits], "Not Found", 0)</f>
        <v>57</v>
      </c>
      <c r="M939" s="16">
        <f>_xlfn.XLOOKUP(CustomerCombinedCleaned[[#This Row],[ID]], Table4[ID], Table4[Meats], "Not Found", 0)</f>
        <v>102</v>
      </c>
      <c r="N939" s="16">
        <f>_xlfn.XLOOKUP(CustomerCombinedCleaned[[#This Row],[ID]], Table4[ID], Table4[Seafood], "Not Found", 0)</f>
        <v>16</v>
      </c>
      <c r="O939" s="16">
        <f>_xlfn.XLOOKUP(CustomerCombinedCleaned[[#This Row],[ID]], Table4[ID], Table4[Sweets], "Not Found", 0)</f>
        <v>0</v>
      </c>
      <c r="P939" s="16">
        <f>_xlfn.XLOOKUP(CustomerCombinedCleaned[[#This Row],[ID]], Table4[ID], Table4[Premium], "Not Found", 0)</f>
        <v>240</v>
      </c>
      <c r="Q939" s="16">
        <f>_xlfn.XLOOKUP(CustomerCombinedCleaned[[#This Row],[ID]], Table4[ID], Table4[Regular], "Not Found", 0)</f>
        <v>904</v>
      </c>
      <c r="R939" s="16">
        <f>_xlfn.XLOOKUP(CustomerCombinedCleaned[[#This Row],[ID]], Table4[ID], Table4[Deals], "Not Found", 0)</f>
        <v>4</v>
      </c>
      <c r="S939" s="16">
        <f>_xlfn.XLOOKUP(CustomerCombinedCleaned[[#This Row],[ID]], Table4[ID], Table4[Website], "Not Found", 0)</f>
        <v>6</v>
      </c>
      <c r="T939" s="16">
        <f>_xlfn.XLOOKUP(CustomerCombinedCleaned[[#This Row],[ID]], Table4[ID], Table4[Catalog], "Not Found", 0)</f>
        <v>2</v>
      </c>
      <c r="U939" s="16">
        <f>_xlfn.XLOOKUP(CustomerCombinedCleaned[[#This Row],[ID]], Table4[ID], Table4[Store], "Not Found", 0)</f>
        <v>7</v>
      </c>
      <c r="V939" s="16">
        <f>_xlfn.XLOOKUP(CustomerCombinedCleaned[[#This Row],[ID]], Table4[ID], Table4[Visits], "Not Found", 0)</f>
        <v>5</v>
      </c>
      <c r="W939" s="16">
        <f>_xlfn.XLOOKUP(CustomerCombinedCleaned[[#This Row],[ID]], Table2[ID],Table2[Complaint], "Not Found", 0 )</f>
        <v>0</v>
      </c>
      <c r="X939" s="16">
        <f>_xlfn.XLOOKUP(CustomerCombinedCleaned[[#This Row],[ID]], Table2[ID],Table2[Pilot], "Not Found", 0 )</f>
        <v>0</v>
      </c>
      <c r="Y939" s="16">
        <f>_xlfn.XLOOKUP(CustomerCombinedCleaned[[#This Row],[ID]], Table2[ID],Table2[MC1], "Not Found", 0 )</f>
        <v>0</v>
      </c>
      <c r="Z939" s="16">
        <f>_xlfn.XLOOKUP(CustomerCombinedCleaned[[#This Row],[ID]], Table2[ID],Table2[MC2], "Not Found", 0 )</f>
        <v>0</v>
      </c>
      <c r="AA939" s="16">
        <f>_xlfn.XLOOKUP(CustomerCombinedCleaned[[#This Row],[ID]], Table2[ID],Table2[MC3], "Not Found", 0 )</f>
        <v>0</v>
      </c>
      <c r="AB939" s="16">
        <f>_xlfn.XLOOKUP(CustomerCombinedCleaned[[#This Row],[ID]], Table2[ID],Table2[MC4], "Not Found", 0 )</f>
        <v>0</v>
      </c>
      <c r="AC939" s="16">
        <f>_xlfn.XLOOKUP(CustomerCombinedCleaned[[#This Row],[ID]], Table2[ID],Table2[MC5], "Not Found", 0 )</f>
        <v>0</v>
      </c>
    </row>
    <row r="940" spans="1:29" x14ac:dyDescent="0.3">
      <c r="A940" s="18">
        <v>1578</v>
      </c>
      <c r="B940" s="16">
        <v>159973</v>
      </c>
      <c r="C940" s="16">
        <v>0</v>
      </c>
      <c r="D940" s="16">
        <v>0</v>
      </c>
      <c r="E940" s="16">
        <v>48</v>
      </c>
      <c r="F940" s="17" t="s">
        <v>6</v>
      </c>
      <c r="G940" s="17" t="s">
        <v>13</v>
      </c>
      <c r="H940" s="3" t="s">
        <v>188</v>
      </c>
      <c r="I940" s="5" t="s">
        <v>436</v>
      </c>
      <c r="J940" s="16">
        <f>_xlfn.XLOOKUP(CustomerCombinedCleaned[[#This Row],[ID]], Table4[ID], Table4[Recency], "Not Found", 0)</f>
        <v>47</v>
      </c>
      <c r="K940" s="16">
        <f>_xlfn.XLOOKUP(CustomerCombinedCleaned[[#This Row],[ID]], Table4[ID], Table4[Teas], "Not Found", 0)</f>
        <v>347</v>
      </c>
      <c r="L940" s="16">
        <f>_xlfn.XLOOKUP(CustomerCombinedCleaned[[#This Row],[ID]], Table4[ID], Table4[Fruits], "Not Found", 0)</f>
        <v>80</v>
      </c>
      <c r="M940" s="16">
        <f>_xlfn.XLOOKUP(CustomerCombinedCleaned[[#This Row],[ID]], Table4[ID], Table4[Meats], "Not Found", 0)</f>
        <v>448</v>
      </c>
      <c r="N940" s="16">
        <f>_xlfn.XLOOKUP(CustomerCombinedCleaned[[#This Row],[ID]], Table4[ID], Table4[Seafood], "Not Found", 0)</f>
        <v>53</v>
      </c>
      <c r="O940" s="16">
        <f>_xlfn.XLOOKUP(CustomerCombinedCleaned[[#This Row],[ID]], Table4[ID], Table4[Sweets], "Not Found", 0)</f>
        <v>91</v>
      </c>
      <c r="P940" s="16">
        <f>_xlfn.XLOOKUP(CustomerCombinedCleaned[[#This Row],[ID]], Table4[ID], Table4[Premium], "Not Found", 0)</f>
        <v>0</v>
      </c>
      <c r="Q940" s="16">
        <f>_xlfn.XLOOKUP(CustomerCombinedCleaned[[#This Row],[ID]], Table4[ID], Table4[Regular], "Not Found", 0)</f>
        <v>1019</v>
      </c>
      <c r="R940" s="16">
        <f>_xlfn.XLOOKUP(CustomerCombinedCleaned[[#This Row],[ID]], Table4[ID], Table4[Deals], "Not Found", 0)</f>
        <v>1</v>
      </c>
      <c r="S940" s="16">
        <f>_xlfn.XLOOKUP(CustomerCombinedCleaned[[#This Row],[ID]], Table4[ID], Table4[Website], "Not Found", 0)</f>
        <v>3</v>
      </c>
      <c r="T940" s="16">
        <f>_xlfn.XLOOKUP(CustomerCombinedCleaned[[#This Row],[ID]], Table4[ID], Table4[Catalog], "Not Found", 0)</f>
        <v>4</v>
      </c>
      <c r="U940" s="16">
        <f>_xlfn.XLOOKUP(CustomerCombinedCleaned[[#This Row],[ID]], Table4[ID], Table4[Store], "Not Found", 0)</f>
        <v>7</v>
      </c>
      <c r="V940" s="16">
        <f>_xlfn.XLOOKUP(CustomerCombinedCleaned[[#This Row],[ID]], Table4[ID], Table4[Visits], "Not Found", 0)</f>
        <v>1</v>
      </c>
      <c r="W940" s="16">
        <f>_xlfn.XLOOKUP(CustomerCombinedCleaned[[#This Row],[ID]], Table2[ID],Table2[Complaint], "Not Found", 0 )</f>
        <v>0</v>
      </c>
      <c r="X940" s="16">
        <f>_xlfn.XLOOKUP(CustomerCombinedCleaned[[#This Row],[ID]], Table2[ID],Table2[Pilot], "Not Found", 0 )</f>
        <v>0</v>
      </c>
      <c r="Y940" s="16">
        <f>_xlfn.XLOOKUP(CustomerCombinedCleaned[[#This Row],[ID]], Table2[ID],Table2[MC1], "Not Found", 0 )</f>
        <v>0</v>
      </c>
      <c r="Z940" s="16">
        <f>_xlfn.XLOOKUP(CustomerCombinedCleaned[[#This Row],[ID]], Table2[ID],Table2[MC2], "Not Found", 0 )</f>
        <v>0</v>
      </c>
      <c r="AA940" s="16">
        <f>_xlfn.XLOOKUP(CustomerCombinedCleaned[[#This Row],[ID]], Table2[ID],Table2[MC3], "Not Found", 0 )</f>
        <v>0</v>
      </c>
      <c r="AB940" s="16">
        <f>_xlfn.XLOOKUP(CustomerCombinedCleaned[[#This Row],[ID]], Table2[ID],Table2[MC4], "Not Found", 0 )</f>
        <v>0</v>
      </c>
      <c r="AC940" s="16">
        <f>_xlfn.XLOOKUP(CustomerCombinedCleaned[[#This Row],[ID]], Table2[ID],Table2[MC5], "Not Found", 0 )</f>
        <v>0</v>
      </c>
    </row>
    <row r="941" spans="1:29" x14ac:dyDescent="0.3">
      <c r="A941" s="18">
        <v>2289</v>
      </c>
      <c r="B941" s="16">
        <v>159868</v>
      </c>
      <c r="C941" s="16">
        <v>0</v>
      </c>
      <c r="D941" s="16">
        <v>1</v>
      </c>
      <c r="E941" s="16">
        <v>48</v>
      </c>
      <c r="F941" s="17" t="s">
        <v>8</v>
      </c>
      <c r="G941" s="17" t="s">
        <v>11</v>
      </c>
      <c r="H941" s="3" t="s">
        <v>214</v>
      </c>
      <c r="I941" s="5" t="s">
        <v>435</v>
      </c>
      <c r="J941" s="16">
        <f>_xlfn.XLOOKUP(CustomerCombinedCleaned[[#This Row],[ID]], Table4[ID], Table4[Recency], "Not Found", 0)</f>
        <v>37</v>
      </c>
      <c r="K941" s="16">
        <f>_xlfn.XLOOKUP(CustomerCombinedCleaned[[#This Row],[ID]], Table4[ID], Table4[Teas], "Not Found", 0)</f>
        <v>2059</v>
      </c>
      <c r="L941" s="16">
        <f>_xlfn.XLOOKUP(CustomerCombinedCleaned[[#This Row],[ID]], Table4[ID], Table4[Fruits], "Not Found", 0)</f>
        <v>136</v>
      </c>
      <c r="M941" s="16">
        <f>_xlfn.XLOOKUP(CustomerCombinedCleaned[[#This Row],[ID]], Table4[ID], Table4[Meats], "Not Found", 0)</f>
        <v>411</v>
      </c>
      <c r="N941" s="16">
        <f>_xlfn.XLOOKUP(CustomerCombinedCleaned[[#This Row],[ID]], Table4[ID], Table4[Seafood], "Not Found", 0)</f>
        <v>144</v>
      </c>
      <c r="O941" s="16">
        <f>_xlfn.XLOOKUP(CustomerCombinedCleaned[[#This Row],[ID]], Table4[ID], Table4[Sweets], "Not Found", 0)</f>
        <v>27</v>
      </c>
      <c r="P941" s="16">
        <f>_xlfn.XLOOKUP(CustomerCombinedCleaned[[#This Row],[ID]], Table4[ID], Table4[Premium], "Not Found", 0)</f>
        <v>411</v>
      </c>
      <c r="Q941" s="16">
        <f>_xlfn.XLOOKUP(CustomerCombinedCleaned[[#This Row],[ID]], Table4[ID], Table4[Regular], "Not Found", 0)</f>
        <v>2366</v>
      </c>
      <c r="R941" s="16">
        <f>_xlfn.XLOOKUP(CustomerCombinedCleaned[[#This Row],[ID]], Table4[ID], Table4[Deals], "Not Found", 0)</f>
        <v>7</v>
      </c>
      <c r="S941" s="16">
        <f>_xlfn.XLOOKUP(CustomerCombinedCleaned[[#This Row],[ID]], Table4[ID], Table4[Website], "Not Found", 0)</f>
        <v>11</v>
      </c>
      <c r="T941" s="16">
        <f>_xlfn.XLOOKUP(CustomerCombinedCleaned[[#This Row],[ID]], Table4[ID], Table4[Catalog], "Not Found", 0)</f>
        <v>2</v>
      </c>
      <c r="U941" s="16">
        <f>_xlfn.XLOOKUP(CustomerCombinedCleaned[[#This Row],[ID]], Table4[ID], Table4[Store], "Not Found", 0)</f>
        <v>12</v>
      </c>
      <c r="V941" s="16">
        <f>_xlfn.XLOOKUP(CustomerCombinedCleaned[[#This Row],[ID]], Table4[ID], Table4[Visits], "Not Found", 0)</f>
        <v>6</v>
      </c>
      <c r="W941" s="16">
        <f>_xlfn.XLOOKUP(CustomerCombinedCleaned[[#This Row],[ID]], Table2[ID],Table2[Complaint], "Not Found", 0 )</f>
        <v>0</v>
      </c>
      <c r="X941" s="16">
        <f>_xlfn.XLOOKUP(CustomerCombinedCleaned[[#This Row],[ID]], Table2[ID],Table2[Pilot], "Not Found", 0 )</f>
        <v>0</v>
      </c>
      <c r="Y941" s="16">
        <f>_xlfn.XLOOKUP(CustomerCombinedCleaned[[#This Row],[ID]], Table2[ID],Table2[MC1], "Not Found", 0 )</f>
        <v>0</v>
      </c>
      <c r="Z941" s="16">
        <f>_xlfn.XLOOKUP(CustomerCombinedCleaned[[#This Row],[ID]], Table2[ID],Table2[MC2], "Not Found", 0 )</f>
        <v>0</v>
      </c>
      <c r="AA941" s="16">
        <f>_xlfn.XLOOKUP(CustomerCombinedCleaned[[#This Row],[ID]], Table2[ID],Table2[MC3], "Not Found", 0 )</f>
        <v>0</v>
      </c>
      <c r="AB941" s="16">
        <f>_xlfn.XLOOKUP(CustomerCombinedCleaned[[#This Row],[ID]], Table2[ID],Table2[MC4], "Not Found", 0 )</f>
        <v>0</v>
      </c>
      <c r="AC941" s="16">
        <f>_xlfn.XLOOKUP(CustomerCombinedCleaned[[#This Row],[ID]], Table2[ID],Table2[MC5], "Not Found", 0 )</f>
        <v>0</v>
      </c>
    </row>
    <row r="942" spans="1:29" x14ac:dyDescent="0.3">
      <c r="A942" s="18">
        <v>1789</v>
      </c>
      <c r="B942" s="16">
        <v>159666</v>
      </c>
      <c r="C942" s="16">
        <v>1</v>
      </c>
      <c r="D942" s="16">
        <v>1</v>
      </c>
      <c r="E942" s="16">
        <v>48</v>
      </c>
      <c r="F942" s="17" t="s">
        <v>6</v>
      </c>
      <c r="G942" s="17" t="s">
        <v>11</v>
      </c>
      <c r="H942" s="3" t="s">
        <v>286</v>
      </c>
      <c r="I942" s="5" t="s">
        <v>437</v>
      </c>
      <c r="J942" s="16">
        <f>_xlfn.XLOOKUP(CustomerCombinedCleaned[[#This Row],[ID]], Table4[ID], Table4[Recency], "Not Found", 0)</f>
        <v>87</v>
      </c>
      <c r="K942" s="16">
        <f>_xlfn.XLOOKUP(CustomerCombinedCleaned[[#This Row],[ID]], Table4[ID], Table4[Teas], "Not Found", 0)</f>
        <v>1667</v>
      </c>
      <c r="L942" s="16">
        <f>_xlfn.XLOOKUP(CustomerCombinedCleaned[[#This Row],[ID]], Table4[ID], Table4[Fruits], "Not Found", 0)</f>
        <v>142</v>
      </c>
      <c r="M942" s="16">
        <f>_xlfn.XLOOKUP(CustomerCombinedCleaned[[#This Row],[ID]], Table4[ID], Table4[Meats], "Not Found", 0)</f>
        <v>476</v>
      </c>
      <c r="N942" s="16">
        <f>_xlfn.XLOOKUP(CustomerCombinedCleaned[[#This Row],[ID]], Table4[ID], Table4[Seafood], "Not Found", 0)</f>
        <v>62</v>
      </c>
      <c r="O942" s="16">
        <f>_xlfn.XLOOKUP(CustomerCombinedCleaned[[#This Row],[ID]], Table4[ID], Table4[Sweets], "Not Found", 0)</f>
        <v>45</v>
      </c>
      <c r="P942" s="16">
        <f>_xlfn.XLOOKUP(CustomerCombinedCleaned[[#This Row],[ID]], Table4[ID], Table4[Premium], "Not Found", 0)</f>
        <v>356</v>
      </c>
      <c r="Q942" s="16">
        <f>_xlfn.XLOOKUP(CustomerCombinedCleaned[[#This Row],[ID]], Table4[ID], Table4[Regular], "Not Found", 0)</f>
        <v>2036</v>
      </c>
      <c r="R942" s="16">
        <f>_xlfn.XLOOKUP(CustomerCombinedCleaned[[#This Row],[ID]], Table4[ID], Table4[Deals], "Not Found", 0)</f>
        <v>7</v>
      </c>
      <c r="S942" s="16">
        <f>_xlfn.XLOOKUP(CustomerCombinedCleaned[[#This Row],[ID]], Table4[ID], Table4[Website], "Not Found", 0)</f>
        <v>3</v>
      </c>
      <c r="T942" s="16">
        <f>_xlfn.XLOOKUP(CustomerCombinedCleaned[[#This Row],[ID]], Table4[ID], Table4[Catalog], "Not Found", 0)</f>
        <v>2</v>
      </c>
      <c r="U942" s="16">
        <f>_xlfn.XLOOKUP(CustomerCombinedCleaned[[#This Row],[ID]], Table4[ID], Table4[Store], "Not Found", 0)</f>
        <v>8</v>
      </c>
      <c r="V942" s="16">
        <f>_xlfn.XLOOKUP(CustomerCombinedCleaned[[#This Row],[ID]], Table4[ID], Table4[Visits], "Not Found", 0)</f>
        <v>8</v>
      </c>
      <c r="W942" s="16">
        <f>_xlfn.XLOOKUP(CustomerCombinedCleaned[[#This Row],[ID]], Table2[ID],Table2[Complaint], "Not Found", 0 )</f>
        <v>0</v>
      </c>
      <c r="X942" s="16">
        <f>_xlfn.XLOOKUP(CustomerCombinedCleaned[[#This Row],[ID]], Table2[ID],Table2[Pilot], "Not Found", 0 )</f>
        <v>0</v>
      </c>
      <c r="Y942" s="16">
        <f>_xlfn.XLOOKUP(CustomerCombinedCleaned[[#This Row],[ID]], Table2[ID],Table2[MC1], "Not Found", 0 )</f>
        <v>0</v>
      </c>
      <c r="Z942" s="16">
        <f>_xlfn.XLOOKUP(CustomerCombinedCleaned[[#This Row],[ID]], Table2[ID],Table2[MC2], "Not Found", 0 )</f>
        <v>0</v>
      </c>
      <c r="AA942" s="16">
        <f>_xlfn.XLOOKUP(CustomerCombinedCleaned[[#This Row],[ID]], Table2[ID],Table2[MC3], "Not Found", 0 )</f>
        <v>0</v>
      </c>
      <c r="AB942" s="16">
        <f>_xlfn.XLOOKUP(CustomerCombinedCleaned[[#This Row],[ID]], Table2[ID],Table2[MC4], "Not Found", 0 )</f>
        <v>1</v>
      </c>
      <c r="AC942" s="16">
        <f>_xlfn.XLOOKUP(CustomerCombinedCleaned[[#This Row],[ID]], Table2[ID],Table2[MC5], "Not Found", 0 )</f>
        <v>0</v>
      </c>
    </row>
    <row r="943" spans="1:29" x14ac:dyDescent="0.3">
      <c r="A943" s="18">
        <v>3211</v>
      </c>
      <c r="B943" s="16">
        <v>159535</v>
      </c>
      <c r="C943" s="16">
        <v>2</v>
      </c>
      <c r="D943" s="16">
        <v>0</v>
      </c>
      <c r="E943" s="16">
        <v>48</v>
      </c>
      <c r="F943" s="17" t="s">
        <v>6</v>
      </c>
      <c r="G943" s="17" t="s">
        <v>11</v>
      </c>
      <c r="H943" s="3" t="s">
        <v>47</v>
      </c>
      <c r="I943" s="5" t="s">
        <v>437</v>
      </c>
      <c r="J943" s="16">
        <f>_xlfn.XLOOKUP(CustomerCombinedCleaned[[#This Row],[ID]], Table4[ID], Table4[Recency], "Not Found", 0)</f>
        <v>9</v>
      </c>
      <c r="K943" s="16">
        <f>_xlfn.XLOOKUP(CustomerCombinedCleaned[[#This Row],[ID]], Table4[ID], Table4[Teas], "Not Found", 0)</f>
        <v>8</v>
      </c>
      <c r="L943" s="16">
        <v>6</v>
      </c>
      <c r="M943" s="16">
        <f>_xlfn.XLOOKUP(CustomerCombinedCleaned[[#This Row],[ID]], Table4[ID], Table4[Meats], "Not Found", 0)</f>
        <v>21</v>
      </c>
      <c r="N943" s="16">
        <f>_xlfn.XLOOKUP(CustomerCombinedCleaned[[#This Row],[ID]], Table4[ID], Table4[Seafood], "Not Found", 0)</f>
        <v>54</v>
      </c>
      <c r="O943" s="16">
        <f>_xlfn.XLOOKUP(CustomerCombinedCleaned[[#This Row],[ID]], Table4[ID], Table4[Sweets], "Not Found", 0)</f>
        <v>0</v>
      </c>
      <c r="P943" s="16">
        <f>_xlfn.XLOOKUP(CustomerCombinedCleaned[[#This Row],[ID]], Table4[ID], Table4[Premium], "Not Found", 0)</f>
        <v>46</v>
      </c>
      <c r="Q943" s="16">
        <f>_xlfn.XLOOKUP(CustomerCombinedCleaned[[#This Row],[ID]], Table4[ID], Table4[Regular], "Not Found", 0)</f>
        <v>43</v>
      </c>
      <c r="R943" s="16">
        <f>_xlfn.XLOOKUP(CustomerCombinedCleaned[[#This Row],[ID]], Table4[ID], Table4[Deals], "Not Found", 0)</f>
        <v>2</v>
      </c>
      <c r="S943" s="16">
        <f>_xlfn.XLOOKUP(CustomerCombinedCleaned[[#This Row],[ID]], Table4[ID], Table4[Website], "Not Found", 0)</f>
        <v>2</v>
      </c>
      <c r="T943" s="16">
        <f>_xlfn.XLOOKUP(CustomerCombinedCleaned[[#This Row],[ID]], Table4[ID], Table4[Catalog], "Not Found", 0)</f>
        <v>1</v>
      </c>
      <c r="U943" s="16">
        <f>_xlfn.XLOOKUP(CustomerCombinedCleaned[[#This Row],[ID]], Table4[ID], Table4[Store], "Not Found", 0)</f>
        <v>2</v>
      </c>
      <c r="V943" s="16">
        <f>_xlfn.XLOOKUP(CustomerCombinedCleaned[[#This Row],[ID]], Table4[ID], Table4[Visits], "Not Found", 0)</f>
        <v>7</v>
      </c>
      <c r="W943" s="16">
        <f>_xlfn.XLOOKUP(CustomerCombinedCleaned[[#This Row],[ID]], Table2[ID],Table2[Complaint], "Not Found", 0 )</f>
        <v>0</v>
      </c>
      <c r="X943" s="16">
        <f>_xlfn.XLOOKUP(CustomerCombinedCleaned[[#This Row],[ID]], Table2[ID],Table2[Pilot], "Not Found", 0 )</f>
        <v>0</v>
      </c>
      <c r="Y943" s="16">
        <f>_xlfn.XLOOKUP(CustomerCombinedCleaned[[#This Row],[ID]], Table2[ID],Table2[MC1], "Not Found", 0 )</f>
        <v>0</v>
      </c>
      <c r="Z943" s="16">
        <f>_xlfn.XLOOKUP(CustomerCombinedCleaned[[#This Row],[ID]], Table2[ID],Table2[MC2], "Not Found", 0 )</f>
        <v>0</v>
      </c>
      <c r="AA943" s="16">
        <f>_xlfn.XLOOKUP(CustomerCombinedCleaned[[#This Row],[ID]], Table2[ID],Table2[MC3], "Not Found", 0 )</f>
        <v>0</v>
      </c>
      <c r="AB943" s="16">
        <f>_xlfn.XLOOKUP(CustomerCombinedCleaned[[#This Row],[ID]], Table2[ID],Table2[MC4], "Not Found", 0 )</f>
        <v>0</v>
      </c>
      <c r="AC943" s="16">
        <f>_xlfn.XLOOKUP(CustomerCombinedCleaned[[#This Row],[ID]], Table2[ID],Table2[MC5], "Not Found", 0 )</f>
        <v>0</v>
      </c>
    </row>
    <row r="944" spans="1:29" x14ac:dyDescent="0.3">
      <c r="A944" s="18">
        <v>2482</v>
      </c>
      <c r="B944" s="16">
        <v>157136</v>
      </c>
      <c r="C944" s="16">
        <v>1</v>
      </c>
      <c r="D944" s="16">
        <v>1</v>
      </c>
      <c r="E944" s="16">
        <v>48</v>
      </c>
      <c r="F944" s="17" t="s">
        <v>6</v>
      </c>
      <c r="G944" s="17" t="s">
        <v>12</v>
      </c>
      <c r="H944" s="3" t="s">
        <v>226</v>
      </c>
      <c r="I944" s="5" t="s">
        <v>439</v>
      </c>
      <c r="J944" s="16">
        <f>_xlfn.XLOOKUP(CustomerCombinedCleaned[[#This Row],[ID]], Table4[ID], Table4[Recency], "Not Found", 0)</f>
        <v>48</v>
      </c>
      <c r="K944" s="16">
        <f>_xlfn.XLOOKUP(CustomerCombinedCleaned[[#This Row],[ID]], Table4[ID], Table4[Teas], "Not Found", 0)</f>
        <v>842</v>
      </c>
      <c r="L944" s="16">
        <f>_xlfn.XLOOKUP(CustomerCombinedCleaned[[#This Row],[ID]], Table4[ID], Table4[Fruits], "Not Found", 0)</f>
        <v>14</v>
      </c>
      <c r="M944" s="16">
        <f>_xlfn.XLOOKUP(CustomerCombinedCleaned[[#This Row],[ID]], Table4[ID], Table4[Meats], "Not Found", 0)</f>
        <v>300</v>
      </c>
      <c r="N944" s="16">
        <f>_xlfn.XLOOKUP(CustomerCombinedCleaned[[#This Row],[ID]], Table4[ID], Table4[Seafood], "Not Found", 0)</f>
        <v>58</v>
      </c>
      <c r="O944" s="16">
        <f>_xlfn.XLOOKUP(CustomerCombinedCleaned[[#This Row],[ID]], Table4[ID], Table4[Sweets], "Not Found", 0)</f>
        <v>300</v>
      </c>
      <c r="P944" s="16">
        <f>_xlfn.XLOOKUP(CustomerCombinedCleaned[[#This Row],[ID]], Table4[ID], Table4[Premium], "Not Found", 0)</f>
        <v>253</v>
      </c>
      <c r="Q944" s="16">
        <f>_xlfn.XLOOKUP(CustomerCombinedCleaned[[#This Row],[ID]], Table4[ID], Table4[Regular], "Not Found", 0)</f>
        <v>1260</v>
      </c>
      <c r="R944" s="16">
        <f>_xlfn.XLOOKUP(CustomerCombinedCleaned[[#This Row],[ID]], Table4[ID], Table4[Deals], "Not Found", 0)</f>
        <v>9</v>
      </c>
      <c r="S944" s="16">
        <f>_xlfn.XLOOKUP(CustomerCombinedCleaned[[#This Row],[ID]], Table4[ID], Table4[Website], "Not Found", 0)</f>
        <v>5</v>
      </c>
      <c r="T944" s="16">
        <f>_xlfn.XLOOKUP(CustomerCombinedCleaned[[#This Row],[ID]], Table4[ID], Table4[Catalog], "Not Found", 0)</f>
        <v>2</v>
      </c>
      <c r="U944" s="16">
        <f>_xlfn.XLOOKUP(CustomerCombinedCleaned[[#This Row],[ID]], Table4[ID], Table4[Store], "Not Found", 0)</f>
        <v>10</v>
      </c>
      <c r="V944" s="16">
        <f>_xlfn.XLOOKUP(CustomerCombinedCleaned[[#This Row],[ID]], Table4[ID], Table4[Visits], "Not Found", 0)</f>
        <v>6</v>
      </c>
      <c r="W944" s="16">
        <f>_xlfn.XLOOKUP(CustomerCombinedCleaned[[#This Row],[ID]], Table2[ID],Table2[Complaint], "Not Found", 0 )</f>
        <v>0</v>
      </c>
      <c r="X944" s="16">
        <f>_xlfn.XLOOKUP(CustomerCombinedCleaned[[#This Row],[ID]], Table2[ID],Table2[Pilot], "Not Found", 0 )</f>
        <v>0</v>
      </c>
      <c r="Y944" s="16">
        <f>_xlfn.XLOOKUP(CustomerCombinedCleaned[[#This Row],[ID]], Table2[ID],Table2[MC1], "Not Found", 0 )</f>
        <v>0</v>
      </c>
      <c r="Z944" s="16">
        <f>_xlfn.XLOOKUP(CustomerCombinedCleaned[[#This Row],[ID]], Table2[ID],Table2[MC2], "Not Found", 0 )</f>
        <v>0</v>
      </c>
      <c r="AA944" s="16">
        <f>_xlfn.XLOOKUP(CustomerCombinedCleaned[[#This Row],[ID]], Table2[ID],Table2[MC3], "Not Found", 0 )</f>
        <v>0</v>
      </c>
      <c r="AB944" s="16">
        <f>_xlfn.XLOOKUP(CustomerCombinedCleaned[[#This Row],[ID]], Table2[ID],Table2[MC4], "Not Found", 0 )</f>
        <v>0</v>
      </c>
      <c r="AC944" s="16">
        <f>_xlfn.XLOOKUP(CustomerCombinedCleaned[[#This Row],[ID]], Table2[ID],Table2[MC5], "Not Found", 0 )</f>
        <v>0</v>
      </c>
    </row>
    <row r="945" spans="1:29" x14ac:dyDescent="0.3">
      <c r="A945" s="18">
        <v>2267</v>
      </c>
      <c r="B945" s="16">
        <v>157091</v>
      </c>
      <c r="C945" s="16">
        <v>0</v>
      </c>
      <c r="D945" s="16">
        <v>1</v>
      </c>
      <c r="E945" s="16">
        <v>48</v>
      </c>
      <c r="F945" s="17" t="s">
        <v>6</v>
      </c>
      <c r="G945" s="17" t="s">
        <v>13</v>
      </c>
      <c r="H945" s="3" t="s">
        <v>353</v>
      </c>
      <c r="I945" s="5" t="s">
        <v>434</v>
      </c>
      <c r="J945" s="16">
        <f>_xlfn.XLOOKUP(CustomerCombinedCleaned[[#This Row],[ID]], Table4[ID], Table4[Recency], "Not Found", 0)</f>
        <v>82</v>
      </c>
      <c r="K945" s="16">
        <f>_xlfn.XLOOKUP(CustomerCombinedCleaned[[#This Row],[ID]], Table4[ID], Table4[Teas], "Not Found", 0)</f>
        <v>1271</v>
      </c>
      <c r="L945" s="16">
        <f>_xlfn.XLOOKUP(CustomerCombinedCleaned[[#This Row],[ID]], Table4[ID], Table4[Fruits], "Not Found", 0)</f>
        <v>0</v>
      </c>
      <c r="M945" s="16">
        <f>_xlfn.XLOOKUP(CustomerCombinedCleaned[[#This Row],[ID]], Table4[ID], Table4[Meats], "Not Found", 0)</f>
        <v>66</v>
      </c>
      <c r="N945" s="16">
        <f>_xlfn.XLOOKUP(CustomerCombinedCleaned[[#This Row],[ID]], Table4[ID], Table4[Seafood], "Not Found", 0)</f>
        <v>17</v>
      </c>
      <c r="O945" s="16">
        <f>_xlfn.XLOOKUP(CustomerCombinedCleaned[[#This Row],[ID]], Table4[ID], Table4[Sweets], "Not Found", 0)</f>
        <v>0</v>
      </c>
      <c r="P945" s="16">
        <f>_xlfn.XLOOKUP(CustomerCombinedCleaned[[#This Row],[ID]], Table4[ID], Table4[Premium], "Not Found", 0)</f>
        <v>11</v>
      </c>
      <c r="Q945" s="16">
        <f>_xlfn.XLOOKUP(CustomerCombinedCleaned[[#This Row],[ID]], Table4[ID], Table4[Regular], "Not Found", 0)</f>
        <v>1343</v>
      </c>
      <c r="R945" s="16">
        <f>_xlfn.XLOOKUP(CustomerCombinedCleaned[[#This Row],[ID]], Table4[ID], Table4[Deals], "Not Found", 0)</f>
        <v>2</v>
      </c>
      <c r="S945" s="16">
        <f>_xlfn.XLOOKUP(CustomerCombinedCleaned[[#This Row],[ID]], Table4[ID], Table4[Website], "Not Found", 0)</f>
        <v>9</v>
      </c>
      <c r="T945" s="16">
        <f>_xlfn.XLOOKUP(CustomerCombinedCleaned[[#This Row],[ID]], Table4[ID], Table4[Catalog], "Not Found", 0)</f>
        <v>2</v>
      </c>
      <c r="U945" s="16">
        <f>_xlfn.XLOOKUP(CustomerCombinedCleaned[[#This Row],[ID]], Table4[ID], Table4[Store], "Not Found", 0)</f>
        <v>5</v>
      </c>
      <c r="V945" s="16">
        <f>_xlfn.XLOOKUP(CustomerCombinedCleaned[[#This Row],[ID]], Table4[ID], Table4[Visits], "Not Found", 0)</f>
        <v>7</v>
      </c>
      <c r="W945" s="16">
        <f>_xlfn.XLOOKUP(CustomerCombinedCleaned[[#This Row],[ID]], Table2[ID],Table2[Complaint], "Not Found", 0 )</f>
        <v>0</v>
      </c>
      <c r="X945" s="16">
        <f>_xlfn.XLOOKUP(CustomerCombinedCleaned[[#This Row],[ID]], Table2[ID],Table2[Pilot], "Not Found", 0 )</f>
        <v>1</v>
      </c>
      <c r="Y945" s="16">
        <f>_xlfn.XLOOKUP(CustomerCombinedCleaned[[#This Row],[ID]], Table2[ID],Table2[MC1], "Not Found", 0 )</f>
        <v>0</v>
      </c>
      <c r="Z945" s="16">
        <f>_xlfn.XLOOKUP(CustomerCombinedCleaned[[#This Row],[ID]], Table2[ID],Table2[MC2], "Not Found", 0 )</f>
        <v>0</v>
      </c>
      <c r="AA945" s="16">
        <f>_xlfn.XLOOKUP(CustomerCombinedCleaned[[#This Row],[ID]], Table2[ID],Table2[MC3], "Not Found", 0 )</f>
        <v>0</v>
      </c>
      <c r="AB945" s="16">
        <f>_xlfn.XLOOKUP(CustomerCombinedCleaned[[#This Row],[ID]], Table2[ID],Table2[MC4], "Not Found", 0 )</f>
        <v>1</v>
      </c>
      <c r="AC945" s="16">
        <f>_xlfn.XLOOKUP(CustomerCombinedCleaned[[#This Row],[ID]], Table2[ID],Table2[MC5], "Not Found", 0 )</f>
        <v>0</v>
      </c>
    </row>
    <row r="946" spans="1:29" x14ac:dyDescent="0.3">
      <c r="A946" s="18">
        <v>2195</v>
      </c>
      <c r="B946" s="16">
        <v>156721</v>
      </c>
      <c r="C946" s="16">
        <v>1</v>
      </c>
      <c r="D946" s="16">
        <v>1</v>
      </c>
      <c r="E946" s="16">
        <v>48</v>
      </c>
      <c r="F946" s="17" t="s">
        <v>6</v>
      </c>
      <c r="G946" s="17" t="s">
        <v>11</v>
      </c>
      <c r="H946" s="3" t="s">
        <v>584</v>
      </c>
      <c r="I946" s="5" t="s">
        <v>434</v>
      </c>
      <c r="J946" s="16">
        <f>_xlfn.XLOOKUP(CustomerCombinedCleaned[[#This Row],[ID]], Table4[ID], Table4[Recency], "Not Found", 0)</f>
        <v>64</v>
      </c>
      <c r="K946" s="16">
        <f>_xlfn.XLOOKUP(CustomerCombinedCleaned[[#This Row],[ID]], Table4[ID], Table4[Teas], "Not Found", 0)</f>
        <v>434</v>
      </c>
      <c r="L946" s="16">
        <f>_xlfn.XLOOKUP(CustomerCombinedCleaned[[#This Row],[ID]], Table4[ID], Table4[Fruits], "Not Found", 0)</f>
        <v>17</v>
      </c>
      <c r="M946" s="16">
        <f>_xlfn.XLOOKUP(CustomerCombinedCleaned[[#This Row],[ID]], Table4[ID], Table4[Meats], "Not Found", 0)</f>
        <v>108</v>
      </c>
      <c r="N946" s="16">
        <f>_xlfn.XLOOKUP(CustomerCombinedCleaned[[#This Row],[ID]], Table4[ID], Table4[Seafood], "Not Found", 0)</f>
        <v>17</v>
      </c>
      <c r="O946" s="16">
        <f>_xlfn.XLOOKUP(CustomerCombinedCleaned[[#This Row],[ID]], Table4[ID], Table4[Sweets], "Not Found", 0)</f>
        <v>36</v>
      </c>
      <c r="P946" s="16">
        <f>_xlfn.XLOOKUP(CustomerCombinedCleaned[[#This Row],[ID]], Table4[ID], Table4[Premium], "Not Found", 0)</f>
        <v>207</v>
      </c>
      <c r="Q946" s="16">
        <f>_xlfn.XLOOKUP(CustomerCombinedCleaned[[#This Row],[ID]], Table4[ID], Table4[Regular], "Not Found", 0)</f>
        <v>403</v>
      </c>
      <c r="R946" s="16">
        <f>_xlfn.XLOOKUP(CustomerCombinedCleaned[[#This Row],[ID]], Table4[ID], Table4[Deals], "Not Found", 0)</f>
        <v>5</v>
      </c>
      <c r="S946" s="16">
        <f>_xlfn.XLOOKUP(CustomerCombinedCleaned[[#This Row],[ID]], Table4[ID], Table4[Website], "Not Found", 0)</f>
        <v>4</v>
      </c>
      <c r="T946" s="16">
        <f>_xlfn.XLOOKUP(CustomerCombinedCleaned[[#This Row],[ID]], Table4[ID], Table4[Catalog], "Not Found", 0)</f>
        <v>1</v>
      </c>
      <c r="U946" s="16">
        <f>_xlfn.XLOOKUP(CustomerCombinedCleaned[[#This Row],[ID]], Table4[ID], Table4[Store], "Not Found", 0)</f>
        <v>5</v>
      </c>
      <c r="V946" s="16">
        <f>_xlfn.XLOOKUP(CustomerCombinedCleaned[[#This Row],[ID]], Table4[ID], Table4[Visits], "Not Found", 0)</f>
        <v>6</v>
      </c>
      <c r="W946" s="16">
        <f>_xlfn.XLOOKUP(CustomerCombinedCleaned[[#This Row],[ID]], Table2[ID],Table2[Complaint], "Not Found", 0 )</f>
        <v>0</v>
      </c>
      <c r="X946" s="16">
        <f>_xlfn.XLOOKUP(CustomerCombinedCleaned[[#This Row],[ID]], Table2[ID],Table2[Pilot], "Not Found", 0 )</f>
        <v>0</v>
      </c>
      <c r="Y946" s="16">
        <f>_xlfn.XLOOKUP(CustomerCombinedCleaned[[#This Row],[ID]], Table2[ID],Table2[MC1], "Not Found", 0 )</f>
        <v>0</v>
      </c>
      <c r="Z946" s="16">
        <f>_xlfn.XLOOKUP(CustomerCombinedCleaned[[#This Row],[ID]], Table2[ID],Table2[MC2], "Not Found", 0 )</f>
        <v>0</v>
      </c>
      <c r="AA946" s="16">
        <f>_xlfn.XLOOKUP(CustomerCombinedCleaned[[#This Row],[ID]], Table2[ID],Table2[MC3], "Not Found", 0 )</f>
        <v>0</v>
      </c>
      <c r="AB946" s="16">
        <f>_xlfn.XLOOKUP(CustomerCombinedCleaned[[#This Row],[ID]], Table2[ID],Table2[MC4], "Not Found", 0 )</f>
        <v>0</v>
      </c>
      <c r="AC946" s="16">
        <f>_xlfn.XLOOKUP(CustomerCombinedCleaned[[#This Row],[ID]], Table2[ID],Table2[MC5], "Not Found", 0 )</f>
        <v>0</v>
      </c>
    </row>
    <row r="947" spans="1:29" x14ac:dyDescent="0.3">
      <c r="A947" s="18">
        <v>1876</v>
      </c>
      <c r="B947" s="16">
        <v>155260</v>
      </c>
      <c r="C947" s="16">
        <v>0</v>
      </c>
      <c r="D947" s="16">
        <v>1</v>
      </c>
      <c r="E947" s="16">
        <v>48</v>
      </c>
      <c r="F947" s="17" t="s">
        <v>7</v>
      </c>
      <c r="G947" s="17" t="s">
        <v>13</v>
      </c>
      <c r="H947" s="3" t="s">
        <v>346</v>
      </c>
      <c r="I947" s="5" t="s">
        <v>439</v>
      </c>
      <c r="J947" s="16">
        <f>_xlfn.XLOOKUP(CustomerCombinedCleaned[[#This Row],[ID]], Table4[ID], Table4[Recency], "Not Found", 0)</f>
        <v>81</v>
      </c>
      <c r="K947" s="16">
        <f>_xlfn.XLOOKUP(CustomerCombinedCleaned[[#This Row],[ID]], Table4[ID], Table4[Teas], "Not Found", 0)</f>
        <v>2318</v>
      </c>
      <c r="L947" s="16">
        <f>_xlfn.XLOOKUP(CustomerCombinedCleaned[[#This Row],[ID]], Table4[ID], Table4[Fruits], "Not Found", 0)</f>
        <v>22</v>
      </c>
      <c r="M947" s="16">
        <f>_xlfn.XLOOKUP(CustomerCombinedCleaned[[#This Row],[ID]], Table4[ID], Table4[Meats], "Not Found", 0)</f>
        <v>149</v>
      </c>
      <c r="N947" s="16">
        <f>_xlfn.XLOOKUP(CustomerCombinedCleaned[[#This Row],[ID]], Table4[ID], Table4[Seafood], "Not Found", 0)</f>
        <v>31</v>
      </c>
      <c r="O947" s="16">
        <f>_xlfn.XLOOKUP(CustomerCombinedCleaned[[#This Row],[ID]], Table4[ID], Table4[Sweets], "Not Found", 0)</f>
        <v>0</v>
      </c>
      <c r="P947" s="16">
        <f>_xlfn.XLOOKUP(CustomerCombinedCleaned[[#This Row],[ID]], Table4[ID], Table4[Premium], "Not Found", 0)</f>
        <v>680</v>
      </c>
      <c r="Q947" s="16">
        <f>_xlfn.XLOOKUP(CustomerCombinedCleaned[[#This Row],[ID]], Table4[ID], Table4[Regular], "Not Found", 0)</f>
        <v>1840</v>
      </c>
      <c r="R947" s="16">
        <f>_xlfn.XLOOKUP(CustomerCombinedCleaned[[#This Row],[ID]], Table4[ID], Table4[Deals], "Not Found", 0)</f>
        <v>2</v>
      </c>
      <c r="S947" s="16">
        <f>_xlfn.XLOOKUP(CustomerCombinedCleaned[[#This Row],[ID]], Table4[ID], Table4[Website], "Not Found", 0)</f>
        <v>8</v>
      </c>
      <c r="T947" s="16">
        <f>_xlfn.XLOOKUP(CustomerCombinedCleaned[[#This Row],[ID]], Table4[ID], Table4[Catalog], "Not Found", 0)</f>
        <v>10</v>
      </c>
      <c r="U947" s="16">
        <f>_xlfn.XLOOKUP(CustomerCombinedCleaned[[#This Row],[ID]], Table4[ID], Table4[Store], "Not Found", 0)</f>
        <v>5</v>
      </c>
      <c r="V947" s="16">
        <f>_xlfn.XLOOKUP(CustomerCombinedCleaned[[#This Row],[ID]], Table4[ID], Table4[Visits], "Not Found", 0)</f>
        <v>6</v>
      </c>
      <c r="W947" s="16">
        <f>_xlfn.XLOOKUP(CustomerCombinedCleaned[[#This Row],[ID]], Table2[ID],Table2[Complaint], "Not Found", 0 )</f>
        <v>0</v>
      </c>
      <c r="X947" s="16">
        <f>_xlfn.XLOOKUP(CustomerCombinedCleaned[[#This Row],[ID]], Table2[ID],Table2[Pilot], "Not Found", 0 )</f>
        <v>0</v>
      </c>
      <c r="Y947" s="16">
        <f>_xlfn.XLOOKUP(CustomerCombinedCleaned[[#This Row],[ID]], Table2[ID],Table2[MC1], "Not Found", 0 )</f>
        <v>0</v>
      </c>
      <c r="Z947" s="16">
        <f>_xlfn.XLOOKUP(CustomerCombinedCleaned[[#This Row],[ID]], Table2[ID],Table2[MC2], "Not Found", 0 )</f>
        <v>0</v>
      </c>
      <c r="AA947" s="16">
        <f>_xlfn.XLOOKUP(CustomerCombinedCleaned[[#This Row],[ID]], Table2[ID],Table2[MC3], "Not Found", 0 )</f>
        <v>0</v>
      </c>
      <c r="AB947" s="16">
        <f>_xlfn.XLOOKUP(CustomerCombinedCleaned[[#This Row],[ID]], Table2[ID],Table2[MC4], "Not Found", 0 )</f>
        <v>0</v>
      </c>
      <c r="AC947" s="16">
        <f>_xlfn.XLOOKUP(CustomerCombinedCleaned[[#This Row],[ID]], Table2[ID],Table2[MC5], "Not Found", 0 )</f>
        <v>0</v>
      </c>
    </row>
    <row r="948" spans="1:29" x14ac:dyDescent="0.3">
      <c r="A948" s="18">
        <v>2366</v>
      </c>
      <c r="B948" s="16">
        <v>153761</v>
      </c>
      <c r="C948" s="16">
        <v>1</v>
      </c>
      <c r="D948" s="16">
        <v>1</v>
      </c>
      <c r="E948" s="16">
        <v>48</v>
      </c>
      <c r="F948" s="17" t="s">
        <v>6</v>
      </c>
      <c r="G948" s="17" t="s">
        <v>12</v>
      </c>
      <c r="H948" s="3" t="s">
        <v>171</v>
      </c>
      <c r="I948" s="5" t="s">
        <v>438</v>
      </c>
      <c r="J948" s="16">
        <f>_xlfn.XLOOKUP(CustomerCombinedCleaned[[#This Row],[ID]], Table4[ID], Table4[Recency], "Not Found", 0)</f>
        <v>7</v>
      </c>
      <c r="K948" s="16">
        <f>_xlfn.XLOOKUP(CustomerCombinedCleaned[[#This Row],[ID]], Table4[ID], Table4[Teas], "Not Found", 0)</f>
        <v>452</v>
      </c>
      <c r="L948" s="16">
        <f>_xlfn.XLOOKUP(CustomerCombinedCleaned[[#This Row],[ID]], Table4[ID], Table4[Fruits], "Not Found", 0)</f>
        <v>0</v>
      </c>
      <c r="M948" s="16">
        <f>_xlfn.XLOOKUP(CustomerCombinedCleaned[[#This Row],[ID]], Table4[ID], Table4[Meats], "Not Found", 0)</f>
        <v>217</v>
      </c>
      <c r="N948" s="16">
        <f>_xlfn.XLOOKUP(CustomerCombinedCleaned[[#This Row],[ID]], Table4[ID], Table4[Seafood], "Not Found", 0)</f>
        <v>37</v>
      </c>
      <c r="O948" s="16">
        <f>_xlfn.XLOOKUP(CustomerCombinedCleaned[[#This Row],[ID]], Table4[ID], Table4[Sweets], "Not Found", 0)</f>
        <v>20</v>
      </c>
      <c r="P948" s="16">
        <f>_xlfn.XLOOKUP(CustomerCombinedCleaned[[#This Row],[ID]], Table4[ID], Table4[Premium], "Not Found", 0)</f>
        <v>203</v>
      </c>
      <c r="Q948" s="16">
        <f>_xlfn.XLOOKUP(CustomerCombinedCleaned[[#This Row],[ID]], Table4[ID], Table4[Regular], "Not Found", 0)</f>
        <v>523</v>
      </c>
      <c r="R948" s="16">
        <f>_xlfn.XLOOKUP(CustomerCombinedCleaned[[#This Row],[ID]], Table4[ID], Table4[Deals], "Not Found", 0)</f>
        <v>6</v>
      </c>
      <c r="S948" s="16">
        <f>_xlfn.XLOOKUP(CustomerCombinedCleaned[[#This Row],[ID]], Table4[ID], Table4[Website], "Not Found", 0)</f>
        <v>4</v>
      </c>
      <c r="T948" s="16">
        <f>_xlfn.XLOOKUP(CustomerCombinedCleaned[[#This Row],[ID]], Table4[ID], Table4[Catalog], "Not Found", 0)</f>
        <v>4</v>
      </c>
      <c r="U948" s="16">
        <f>_xlfn.XLOOKUP(CustomerCombinedCleaned[[#This Row],[ID]], Table4[ID], Table4[Store], "Not Found", 0)</f>
        <v>3</v>
      </c>
      <c r="V948" s="16">
        <f>_xlfn.XLOOKUP(CustomerCombinedCleaned[[#This Row],[ID]], Table4[ID], Table4[Visits], "Not Found", 0)</f>
        <v>5</v>
      </c>
      <c r="W948" s="16">
        <f>_xlfn.XLOOKUP(CustomerCombinedCleaned[[#This Row],[ID]], Table2[ID],Table2[Complaint], "Not Found", 0 )</f>
        <v>0</v>
      </c>
      <c r="X948" s="16">
        <f>_xlfn.XLOOKUP(CustomerCombinedCleaned[[#This Row],[ID]], Table2[ID],Table2[Pilot], "Not Found", 0 )</f>
        <v>0</v>
      </c>
      <c r="Y948" s="16">
        <f>_xlfn.XLOOKUP(CustomerCombinedCleaned[[#This Row],[ID]], Table2[ID],Table2[MC1], "Not Found", 0 )</f>
        <v>0</v>
      </c>
      <c r="Z948" s="16">
        <f>_xlfn.XLOOKUP(CustomerCombinedCleaned[[#This Row],[ID]], Table2[ID],Table2[MC2], "Not Found", 0 )</f>
        <v>0</v>
      </c>
      <c r="AA948" s="16">
        <f>_xlfn.XLOOKUP(CustomerCombinedCleaned[[#This Row],[ID]], Table2[ID],Table2[MC3], "Not Found", 0 )</f>
        <v>0</v>
      </c>
      <c r="AB948" s="16">
        <f>_xlfn.XLOOKUP(CustomerCombinedCleaned[[#This Row],[ID]], Table2[ID],Table2[MC4], "Not Found", 0 )</f>
        <v>0</v>
      </c>
      <c r="AC948" s="16">
        <f>_xlfn.XLOOKUP(CustomerCombinedCleaned[[#This Row],[ID]], Table2[ID],Table2[MC5], "Not Found", 0 )</f>
        <v>0</v>
      </c>
    </row>
    <row r="949" spans="1:29" x14ac:dyDescent="0.3">
      <c r="A949" s="18">
        <v>1089</v>
      </c>
      <c r="B949" s="16">
        <v>151813</v>
      </c>
      <c r="C949" s="16">
        <v>1</v>
      </c>
      <c r="D949" s="16">
        <v>1</v>
      </c>
      <c r="E949" s="16">
        <v>48</v>
      </c>
      <c r="F949" s="17" t="s">
        <v>5</v>
      </c>
      <c r="G949" s="17" t="s">
        <v>11</v>
      </c>
      <c r="H949" s="3" t="s">
        <v>278</v>
      </c>
      <c r="I949" s="5" t="s">
        <v>435</v>
      </c>
      <c r="J949" s="16">
        <f>_xlfn.XLOOKUP(CustomerCombinedCleaned[[#This Row],[ID]], Table4[ID], Table4[Recency], "Not Found", 0)</f>
        <v>37</v>
      </c>
      <c r="K949" s="16">
        <f>_xlfn.XLOOKUP(CustomerCombinedCleaned[[#This Row],[ID]], Table4[ID], Table4[Teas], "Not Found", 0)</f>
        <v>149</v>
      </c>
      <c r="L949" s="16">
        <f>_xlfn.XLOOKUP(CustomerCombinedCleaned[[#This Row],[ID]], Table4[ID], Table4[Fruits], "Not Found", 0)</f>
        <v>6</v>
      </c>
      <c r="M949" s="16">
        <f>_xlfn.XLOOKUP(CustomerCombinedCleaned[[#This Row],[ID]], Table4[ID], Table4[Meats], "Not Found", 0)</f>
        <v>21</v>
      </c>
      <c r="N949" s="16">
        <f>_xlfn.XLOOKUP(CustomerCombinedCleaned[[#This Row],[ID]], Table4[ID], Table4[Seafood], "Not Found", 0)</f>
        <v>0</v>
      </c>
      <c r="O949" s="16">
        <f>_xlfn.XLOOKUP(CustomerCombinedCleaned[[#This Row],[ID]], Table4[ID], Table4[Sweets], "Not Found", 0)</f>
        <v>3</v>
      </c>
      <c r="P949" s="16">
        <f>_xlfn.XLOOKUP(CustomerCombinedCleaned[[#This Row],[ID]], Table4[ID], Table4[Premium], "Not Found", 0)</f>
        <v>6</v>
      </c>
      <c r="Q949" s="16">
        <f>_xlfn.XLOOKUP(CustomerCombinedCleaned[[#This Row],[ID]], Table4[ID], Table4[Regular], "Not Found", 0)</f>
        <v>173</v>
      </c>
      <c r="R949" s="16">
        <f>_xlfn.XLOOKUP(CustomerCombinedCleaned[[#This Row],[ID]], Table4[ID], Table4[Deals], "Not Found", 0)</f>
        <v>2</v>
      </c>
      <c r="S949" s="16">
        <f>_xlfn.XLOOKUP(CustomerCombinedCleaned[[#This Row],[ID]], Table4[ID], Table4[Website], "Not Found", 0)</f>
        <v>2</v>
      </c>
      <c r="T949" s="16">
        <f>_xlfn.XLOOKUP(CustomerCombinedCleaned[[#This Row],[ID]], Table4[ID], Table4[Catalog], "Not Found", 0)</f>
        <v>0</v>
      </c>
      <c r="U949" s="16">
        <f>_xlfn.XLOOKUP(CustomerCombinedCleaned[[#This Row],[ID]], Table4[ID], Table4[Store], "Not Found", 0)</f>
        <v>3</v>
      </c>
      <c r="V949" s="16">
        <f>_xlfn.XLOOKUP(CustomerCombinedCleaned[[#This Row],[ID]], Table4[ID], Table4[Visits], "Not Found", 0)</f>
        <v>7</v>
      </c>
      <c r="W949" s="16">
        <f>_xlfn.XLOOKUP(CustomerCombinedCleaned[[#This Row],[ID]], Table2[ID],Table2[Complaint], "Not Found", 0 )</f>
        <v>0</v>
      </c>
      <c r="X949" s="16">
        <f>_xlfn.XLOOKUP(CustomerCombinedCleaned[[#This Row],[ID]], Table2[ID],Table2[Pilot], "Not Found", 0 )</f>
        <v>0</v>
      </c>
      <c r="Y949" s="16">
        <f>_xlfn.XLOOKUP(CustomerCombinedCleaned[[#This Row],[ID]], Table2[ID],Table2[MC1], "Not Found", 0 )</f>
        <v>0</v>
      </c>
      <c r="Z949" s="16">
        <f>_xlfn.XLOOKUP(CustomerCombinedCleaned[[#This Row],[ID]], Table2[ID],Table2[MC2], "Not Found", 0 )</f>
        <v>0</v>
      </c>
      <c r="AA949" s="16">
        <f>_xlfn.XLOOKUP(CustomerCombinedCleaned[[#This Row],[ID]], Table2[ID],Table2[MC3], "Not Found", 0 )</f>
        <v>0</v>
      </c>
      <c r="AB949" s="16">
        <f>_xlfn.XLOOKUP(CustomerCombinedCleaned[[#This Row],[ID]], Table2[ID],Table2[MC4], "Not Found", 0 )</f>
        <v>0</v>
      </c>
      <c r="AC949" s="16">
        <f>_xlfn.XLOOKUP(CustomerCombinedCleaned[[#This Row],[ID]], Table2[ID],Table2[MC5], "Not Found", 0 )</f>
        <v>0</v>
      </c>
    </row>
    <row r="950" spans="1:29" x14ac:dyDescent="0.3">
      <c r="A950" s="18">
        <v>2633</v>
      </c>
      <c r="B950" s="16">
        <v>150334</v>
      </c>
      <c r="C950" s="16">
        <v>0</v>
      </c>
      <c r="D950" s="16">
        <v>1</v>
      </c>
      <c r="E950" s="16">
        <v>48</v>
      </c>
      <c r="F950" s="17" t="s">
        <v>8</v>
      </c>
      <c r="G950" s="17" t="s">
        <v>11</v>
      </c>
      <c r="H950" s="3" t="s">
        <v>212</v>
      </c>
      <c r="I950" s="5" t="s">
        <v>434</v>
      </c>
      <c r="J950" s="16">
        <f>_xlfn.XLOOKUP(CustomerCombinedCleaned[[#This Row],[ID]], Table4[ID], Table4[Recency], "Not Found", 0)</f>
        <v>24</v>
      </c>
      <c r="K950" s="16">
        <f>_xlfn.XLOOKUP(CustomerCombinedCleaned[[#This Row],[ID]], Table4[ID], Table4[Teas], "Not Found", 0)</f>
        <v>848</v>
      </c>
      <c r="L950" s="16">
        <f>_xlfn.XLOOKUP(CustomerCombinedCleaned[[#This Row],[ID]], Table4[ID], Table4[Fruits], "Not Found", 0)</f>
        <v>48</v>
      </c>
      <c r="M950" s="16">
        <f>_xlfn.XLOOKUP(CustomerCombinedCleaned[[#This Row],[ID]], Table4[ID], Table4[Meats], "Not Found", 0)</f>
        <v>478</v>
      </c>
      <c r="N950" s="16">
        <f>_xlfn.XLOOKUP(CustomerCombinedCleaned[[#This Row],[ID]], Table4[ID], Table4[Seafood], "Not Found", 0)</f>
        <v>251</v>
      </c>
      <c r="O950" s="16">
        <f>_xlfn.XLOOKUP(CustomerCombinedCleaned[[#This Row],[ID]], Table4[ID], Table4[Sweets], "Not Found", 0)</f>
        <v>48</v>
      </c>
      <c r="P950" s="16">
        <f>_xlfn.XLOOKUP(CustomerCombinedCleaned[[#This Row],[ID]], Table4[ID], Table4[Premium], "Not Found", 0)</f>
        <v>400</v>
      </c>
      <c r="Q950" s="16">
        <f>_xlfn.XLOOKUP(CustomerCombinedCleaned[[#This Row],[ID]], Table4[ID], Table4[Regular], "Not Found", 0)</f>
        <v>1272</v>
      </c>
      <c r="R950" s="16">
        <f>_xlfn.XLOOKUP(CustomerCombinedCleaned[[#This Row],[ID]], Table4[ID], Table4[Deals], "Not Found", 0)</f>
        <v>6</v>
      </c>
      <c r="S950" s="16">
        <f>_xlfn.XLOOKUP(CustomerCombinedCleaned[[#This Row],[ID]], Table4[ID], Table4[Website], "Not Found", 0)</f>
        <v>7</v>
      </c>
      <c r="T950" s="16">
        <f>_xlfn.XLOOKUP(CustomerCombinedCleaned[[#This Row],[ID]], Table4[ID], Table4[Catalog], "Not Found", 0)</f>
        <v>4</v>
      </c>
      <c r="U950" s="16">
        <f>_xlfn.XLOOKUP(CustomerCombinedCleaned[[#This Row],[ID]], Table4[ID], Table4[Store], "Not Found", 0)</f>
        <v>6</v>
      </c>
      <c r="V950" s="16">
        <f>_xlfn.XLOOKUP(CustomerCombinedCleaned[[#This Row],[ID]], Table4[ID], Table4[Visits], "Not Found", 0)</f>
        <v>6</v>
      </c>
      <c r="W950" s="16">
        <f>_xlfn.XLOOKUP(CustomerCombinedCleaned[[#This Row],[ID]], Table2[ID],Table2[Complaint], "Not Found", 0 )</f>
        <v>0</v>
      </c>
      <c r="X950" s="16">
        <f>_xlfn.XLOOKUP(CustomerCombinedCleaned[[#This Row],[ID]], Table2[ID],Table2[Pilot], "Not Found", 0 )</f>
        <v>0</v>
      </c>
      <c r="Y950" s="16">
        <f>_xlfn.XLOOKUP(CustomerCombinedCleaned[[#This Row],[ID]], Table2[ID],Table2[MC1], "Not Found", 0 )</f>
        <v>0</v>
      </c>
      <c r="Z950" s="16">
        <f>_xlfn.XLOOKUP(CustomerCombinedCleaned[[#This Row],[ID]], Table2[ID],Table2[MC2], "Not Found", 0 )</f>
        <v>0</v>
      </c>
      <c r="AA950" s="16">
        <f>_xlfn.XLOOKUP(CustomerCombinedCleaned[[#This Row],[ID]], Table2[ID],Table2[MC3], "Not Found", 0 )</f>
        <v>0</v>
      </c>
      <c r="AB950" s="16">
        <f>_xlfn.XLOOKUP(CustomerCombinedCleaned[[#This Row],[ID]], Table2[ID],Table2[MC4], "Not Found", 0 )</f>
        <v>0</v>
      </c>
      <c r="AC950" s="16">
        <f>_xlfn.XLOOKUP(CustomerCombinedCleaned[[#This Row],[ID]], Table2[ID],Table2[MC5], "Not Found", 0 )</f>
        <v>0</v>
      </c>
    </row>
    <row r="951" spans="1:29" x14ac:dyDescent="0.3">
      <c r="A951" s="18">
        <v>2465</v>
      </c>
      <c r="B951" s="16">
        <v>149854</v>
      </c>
      <c r="C951" s="16">
        <v>1</v>
      </c>
      <c r="D951" s="16">
        <v>0</v>
      </c>
      <c r="E951" s="16">
        <v>48</v>
      </c>
      <c r="F951" s="17" t="s">
        <v>8</v>
      </c>
      <c r="G951" s="17" t="s">
        <v>12</v>
      </c>
      <c r="H951" s="3" t="s">
        <v>153</v>
      </c>
      <c r="I951" s="5" t="s">
        <v>434</v>
      </c>
      <c r="J951" s="16">
        <f>_xlfn.XLOOKUP(CustomerCombinedCleaned[[#This Row],[ID]], Table4[ID], Table4[Recency], "Not Found", 0)</f>
        <v>63</v>
      </c>
      <c r="K951" s="16">
        <f>_xlfn.XLOOKUP(CustomerCombinedCleaned[[#This Row],[ID]], Table4[ID], Table4[Teas], "Not Found", 0)</f>
        <v>370</v>
      </c>
      <c r="L951" s="16">
        <f>_xlfn.XLOOKUP(CustomerCombinedCleaned[[#This Row],[ID]], Table4[ID], Table4[Fruits], "Not Found", 0)</f>
        <v>51</v>
      </c>
      <c r="M951" s="16">
        <f>_xlfn.XLOOKUP(CustomerCombinedCleaned[[#This Row],[ID]], Table4[ID], Table4[Meats], "Not Found", 0)</f>
        <v>514</v>
      </c>
      <c r="N951" s="16">
        <f>_xlfn.XLOOKUP(CustomerCombinedCleaned[[#This Row],[ID]], Table4[ID], Table4[Seafood], "Not Found", 0)</f>
        <v>117</v>
      </c>
      <c r="O951" s="16">
        <f>_xlfn.XLOOKUP(CustomerCombinedCleaned[[#This Row],[ID]], Table4[ID], Table4[Sweets], "Not Found", 0)</f>
        <v>0</v>
      </c>
      <c r="P951" s="16">
        <f>_xlfn.XLOOKUP(CustomerCombinedCleaned[[#This Row],[ID]], Table4[ID], Table4[Premium], "Not Found", 0)</f>
        <v>90</v>
      </c>
      <c r="Q951" s="16">
        <f>_xlfn.XLOOKUP(CustomerCombinedCleaned[[#This Row],[ID]], Table4[ID], Table4[Regular], "Not Found", 0)</f>
        <v>962</v>
      </c>
      <c r="R951" s="16">
        <f>_xlfn.XLOOKUP(CustomerCombinedCleaned[[#This Row],[ID]], Table4[ID], Table4[Deals], "Not Found", 0)</f>
        <v>5</v>
      </c>
      <c r="S951" s="16">
        <f>_xlfn.XLOOKUP(CustomerCombinedCleaned[[#This Row],[ID]], Table4[ID], Table4[Website], "Not Found", 0)</f>
        <v>6</v>
      </c>
      <c r="T951" s="16">
        <f>_xlfn.XLOOKUP(CustomerCombinedCleaned[[#This Row],[ID]], Table4[ID], Table4[Catalog], "Not Found", 0)</f>
        <v>2</v>
      </c>
      <c r="U951" s="16">
        <f>_xlfn.XLOOKUP(CustomerCombinedCleaned[[#This Row],[ID]], Table4[ID], Table4[Store], "Not Found", 0)</f>
        <v>5</v>
      </c>
      <c r="V951" s="16">
        <f>_xlfn.XLOOKUP(CustomerCombinedCleaned[[#This Row],[ID]], Table4[ID], Table4[Visits], "Not Found", 0)</f>
        <v>6</v>
      </c>
      <c r="W951" s="16">
        <f>_xlfn.XLOOKUP(CustomerCombinedCleaned[[#This Row],[ID]], Table2[ID],Table2[Complaint], "Not Found", 0 )</f>
        <v>0</v>
      </c>
      <c r="X951" s="16">
        <f>_xlfn.XLOOKUP(CustomerCombinedCleaned[[#This Row],[ID]], Table2[ID],Table2[Pilot], "Not Found", 0 )</f>
        <v>0</v>
      </c>
      <c r="Y951" s="16">
        <f>_xlfn.XLOOKUP(CustomerCombinedCleaned[[#This Row],[ID]], Table2[ID],Table2[MC1], "Not Found", 0 )</f>
        <v>0</v>
      </c>
      <c r="Z951" s="16">
        <f>_xlfn.XLOOKUP(CustomerCombinedCleaned[[#This Row],[ID]], Table2[ID],Table2[MC2], "Not Found", 0 )</f>
        <v>0</v>
      </c>
      <c r="AA951" s="16">
        <f>_xlfn.XLOOKUP(CustomerCombinedCleaned[[#This Row],[ID]], Table2[ID],Table2[MC3], "Not Found", 0 )</f>
        <v>0</v>
      </c>
      <c r="AB951" s="16">
        <f>_xlfn.XLOOKUP(CustomerCombinedCleaned[[#This Row],[ID]], Table2[ID],Table2[MC4], "Not Found", 0 )</f>
        <v>0</v>
      </c>
      <c r="AC951" s="16">
        <f>_xlfn.XLOOKUP(CustomerCombinedCleaned[[#This Row],[ID]], Table2[ID],Table2[MC5], "Not Found", 0 )</f>
        <v>0</v>
      </c>
    </row>
    <row r="952" spans="1:29" x14ac:dyDescent="0.3">
      <c r="A952" s="18">
        <v>1817</v>
      </c>
      <c r="B952" s="16">
        <v>149494</v>
      </c>
      <c r="C952" s="16">
        <v>1</v>
      </c>
      <c r="D952" s="16">
        <v>0</v>
      </c>
      <c r="E952" s="16">
        <v>48</v>
      </c>
      <c r="F952" s="17" t="s">
        <v>7</v>
      </c>
      <c r="G952" s="17" t="s">
        <v>12</v>
      </c>
      <c r="H952" s="3" t="s">
        <v>264</v>
      </c>
      <c r="I952" s="5" t="s">
        <v>434</v>
      </c>
      <c r="J952" s="16">
        <f>_xlfn.XLOOKUP(CustomerCombinedCleaned[[#This Row],[ID]], Table4[ID], Table4[Recency], "Not Found", 0)</f>
        <v>46</v>
      </c>
      <c r="K952" s="16">
        <f>_xlfn.XLOOKUP(CustomerCombinedCleaned[[#This Row],[ID]], Table4[ID], Table4[Teas], "Not Found", 0)</f>
        <v>577</v>
      </c>
      <c r="L952" s="16">
        <f>_xlfn.XLOOKUP(CustomerCombinedCleaned[[#This Row],[ID]], Table4[ID], Table4[Fruits], "Not Found", 0)</f>
        <v>27</v>
      </c>
      <c r="M952" s="16">
        <f>_xlfn.XLOOKUP(CustomerCombinedCleaned[[#This Row],[ID]], Table4[ID], Table4[Meats], "Not Found", 0)</f>
        <v>293</v>
      </c>
      <c r="N952" s="16">
        <f>_xlfn.XLOOKUP(CustomerCombinedCleaned[[#This Row],[ID]], Table4[ID], Table4[Seafood], "Not Found", 0)</f>
        <v>0</v>
      </c>
      <c r="O952" s="16">
        <f>_xlfn.XLOOKUP(CustomerCombinedCleaned[[#This Row],[ID]], Table4[ID], Table4[Sweets], "Not Found", 0)</f>
        <v>18</v>
      </c>
      <c r="P952" s="16">
        <f>_xlfn.XLOOKUP(CustomerCombinedCleaned[[#This Row],[ID]], Table4[ID], Table4[Premium], "Not Found", 0)</f>
        <v>248</v>
      </c>
      <c r="Q952" s="16">
        <f>_xlfn.XLOOKUP(CustomerCombinedCleaned[[#This Row],[ID]], Table4[ID], Table4[Regular], "Not Found", 0)</f>
        <v>668</v>
      </c>
      <c r="R952" s="16">
        <f>_xlfn.XLOOKUP(CustomerCombinedCleaned[[#This Row],[ID]], Table4[ID], Table4[Deals], "Not Found", 0)</f>
        <v>2</v>
      </c>
      <c r="S952" s="16">
        <f>_xlfn.XLOOKUP(CustomerCombinedCleaned[[#This Row],[ID]], Table4[ID], Table4[Website], "Not Found", 0)</f>
        <v>6</v>
      </c>
      <c r="T952" s="16">
        <f>_xlfn.XLOOKUP(CustomerCombinedCleaned[[#This Row],[ID]], Table4[ID], Table4[Catalog], "Not Found", 0)</f>
        <v>1</v>
      </c>
      <c r="U952" s="16">
        <f>_xlfn.XLOOKUP(CustomerCombinedCleaned[[#This Row],[ID]], Table4[ID], Table4[Store], "Not Found", 0)</f>
        <v>5</v>
      </c>
      <c r="V952" s="16">
        <f>_xlfn.XLOOKUP(CustomerCombinedCleaned[[#This Row],[ID]], Table4[ID], Table4[Visits], "Not Found", 0)</f>
        <v>7</v>
      </c>
      <c r="W952" s="16">
        <f>_xlfn.XLOOKUP(CustomerCombinedCleaned[[#This Row],[ID]], Table2[ID],Table2[Complaint], "Not Found", 0 )</f>
        <v>0</v>
      </c>
      <c r="X952" s="16">
        <f>_xlfn.XLOOKUP(CustomerCombinedCleaned[[#This Row],[ID]], Table2[ID],Table2[Pilot], "Not Found", 0 )</f>
        <v>0</v>
      </c>
      <c r="Y952" s="16">
        <f>_xlfn.XLOOKUP(CustomerCombinedCleaned[[#This Row],[ID]], Table2[ID],Table2[MC1], "Not Found", 0 )</f>
        <v>0</v>
      </c>
      <c r="Z952" s="16">
        <f>_xlfn.XLOOKUP(CustomerCombinedCleaned[[#This Row],[ID]], Table2[ID],Table2[MC2], "Not Found", 0 )</f>
        <v>0</v>
      </c>
      <c r="AA952" s="16">
        <f>_xlfn.XLOOKUP(CustomerCombinedCleaned[[#This Row],[ID]], Table2[ID],Table2[MC3], "Not Found", 0 )</f>
        <v>0</v>
      </c>
      <c r="AB952" s="16">
        <f>_xlfn.XLOOKUP(CustomerCombinedCleaned[[#This Row],[ID]], Table2[ID],Table2[MC4], "Not Found", 0 )</f>
        <v>0</v>
      </c>
      <c r="AC952" s="16">
        <f>_xlfn.XLOOKUP(CustomerCombinedCleaned[[#This Row],[ID]], Table2[ID],Table2[MC5], "Not Found", 0 )</f>
        <v>0</v>
      </c>
    </row>
    <row r="953" spans="1:29" x14ac:dyDescent="0.3">
      <c r="A953" s="18">
        <v>2018</v>
      </c>
      <c r="B953" s="16">
        <v>146423</v>
      </c>
      <c r="C953" s="16">
        <v>1</v>
      </c>
      <c r="D953" s="16">
        <v>1</v>
      </c>
      <c r="E953" s="16">
        <v>48</v>
      </c>
      <c r="F953" s="17" t="s">
        <v>7</v>
      </c>
      <c r="G953" s="17" t="s">
        <v>12</v>
      </c>
      <c r="H953" s="3" t="s">
        <v>181</v>
      </c>
      <c r="I953" s="5" t="s">
        <v>438</v>
      </c>
      <c r="J953" s="16">
        <f>_xlfn.XLOOKUP(CustomerCombinedCleaned[[#This Row],[ID]], Table4[ID], Table4[Recency], "Not Found", 0)</f>
        <v>6</v>
      </c>
      <c r="K953" s="16">
        <f>_xlfn.XLOOKUP(CustomerCombinedCleaned[[#This Row],[ID]], Table4[ID], Table4[Teas], "Not Found", 0)</f>
        <v>214</v>
      </c>
      <c r="L953" s="16">
        <f>_xlfn.XLOOKUP(CustomerCombinedCleaned[[#This Row],[ID]], Table4[ID], Table4[Fruits], "Not Found", 0)</f>
        <v>0</v>
      </c>
      <c r="M953" s="16">
        <f>_xlfn.XLOOKUP(CustomerCombinedCleaned[[#This Row],[ID]], Table4[ID], Table4[Meats], "Not Found", 0)</f>
        <v>50</v>
      </c>
      <c r="N953" s="16">
        <f>_xlfn.XLOOKUP(CustomerCombinedCleaned[[#This Row],[ID]], Table4[ID], Table4[Seafood], "Not Found", 0)</f>
        <v>0</v>
      </c>
      <c r="O953" s="16">
        <f>_xlfn.XLOOKUP(CustomerCombinedCleaned[[#This Row],[ID]], Table4[ID], Table4[Sweets], "Not Found", 0)</f>
        <v>0</v>
      </c>
      <c r="P953" s="16">
        <f>_xlfn.XLOOKUP(CustomerCombinedCleaned[[#This Row],[ID]], Table4[ID], Table4[Premium], "Not Found", 0)</f>
        <v>25</v>
      </c>
      <c r="Q953" s="16">
        <f>_xlfn.XLOOKUP(CustomerCombinedCleaned[[#This Row],[ID]], Table4[ID], Table4[Regular], "Not Found", 0)</f>
        <v>240</v>
      </c>
      <c r="R953" s="16">
        <f>_xlfn.XLOOKUP(CustomerCombinedCleaned[[#This Row],[ID]], Table4[ID], Table4[Deals], "Not Found", 0)</f>
        <v>3</v>
      </c>
      <c r="S953" s="16">
        <f>_xlfn.XLOOKUP(CustomerCombinedCleaned[[#This Row],[ID]], Table4[ID], Table4[Website], "Not Found", 0)</f>
        <v>2</v>
      </c>
      <c r="T953" s="16">
        <f>_xlfn.XLOOKUP(CustomerCombinedCleaned[[#This Row],[ID]], Table4[ID], Table4[Catalog], "Not Found", 0)</f>
        <v>0</v>
      </c>
      <c r="U953" s="16">
        <f>_xlfn.XLOOKUP(CustomerCombinedCleaned[[#This Row],[ID]], Table4[ID], Table4[Store], "Not Found", 0)</f>
        <v>4</v>
      </c>
      <c r="V953" s="16">
        <f>_xlfn.XLOOKUP(CustomerCombinedCleaned[[#This Row],[ID]], Table4[ID], Table4[Visits], "Not Found", 0)</f>
        <v>7</v>
      </c>
      <c r="W953" s="16">
        <f>_xlfn.XLOOKUP(CustomerCombinedCleaned[[#This Row],[ID]], Table2[ID],Table2[Complaint], "Not Found", 0 )</f>
        <v>0</v>
      </c>
      <c r="X953" s="16">
        <f>_xlfn.XLOOKUP(CustomerCombinedCleaned[[#This Row],[ID]], Table2[ID],Table2[Pilot], "Not Found", 0 )</f>
        <v>0</v>
      </c>
      <c r="Y953" s="16">
        <f>_xlfn.XLOOKUP(CustomerCombinedCleaned[[#This Row],[ID]], Table2[ID],Table2[MC1], "Not Found", 0 )</f>
        <v>0</v>
      </c>
      <c r="Z953" s="16">
        <f>_xlfn.XLOOKUP(CustomerCombinedCleaned[[#This Row],[ID]], Table2[ID],Table2[MC2], "Not Found", 0 )</f>
        <v>0</v>
      </c>
      <c r="AA953" s="16">
        <f>_xlfn.XLOOKUP(CustomerCombinedCleaned[[#This Row],[ID]], Table2[ID],Table2[MC3], "Not Found", 0 )</f>
        <v>0</v>
      </c>
      <c r="AB953" s="16">
        <f>_xlfn.XLOOKUP(CustomerCombinedCleaned[[#This Row],[ID]], Table2[ID],Table2[MC4], "Not Found", 0 )</f>
        <v>0</v>
      </c>
      <c r="AC953" s="16">
        <f>_xlfn.XLOOKUP(CustomerCombinedCleaned[[#This Row],[ID]], Table2[ID],Table2[MC5], "Not Found", 0 )</f>
        <v>0</v>
      </c>
    </row>
    <row r="954" spans="1:29" x14ac:dyDescent="0.3">
      <c r="A954" s="18">
        <v>2979</v>
      </c>
      <c r="B954" s="16">
        <v>146423</v>
      </c>
      <c r="C954" s="16">
        <v>1</v>
      </c>
      <c r="D954" s="16">
        <v>1</v>
      </c>
      <c r="E954" s="16">
        <v>48</v>
      </c>
      <c r="F954" s="17" t="s">
        <v>7</v>
      </c>
      <c r="G954" s="17" t="s">
        <v>12</v>
      </c>
      <c r="H954" s="3" t="s">
        <v>181</v>
      </c>
      <c r="I954" s="5" t="s">
        <v>435</v>
      </c>
      <c r="J954" s="16">
        <f>_xlfn.XLOOKUP(CustomerCombinedCleaned[[#This Row],[ID]], Table4[ID], Table4[Recency], "Not Found", 0)</f>
        <v>6</v>
      </c>
      <c r="K954" s="16">
        <f>_xlfn.XLOOKUP(CustomerCombinedCleaned[[#This Row],[ID]], Table4[ID], Table4[Teas], "Not Found", 0)</f>
        <v>214</v>
      </c>
      <c r="L954" s="16">
        <f>_xlfn.XLOOKUP(CustomerCombinedCleaned[[#This Row],[ID]], Table4[ID], Table4[Fruits], "Not Found", 0)</f>
        <v>0</v>
      </c>
      <c r="M954" s="16">
        <f>_xlfn.XLOOKUP(CustomerCombinedCleaned[[#This Row],[ID]], Table4[ID], Table4[Meats], "Not Found", 0)</f>
        <v>50</v>
      </c>
      <c r="N954" s="16">
        <f>_xlfn.XLOOKUP(CustomerCombinedCleaned[[#This Row],[ID]], Table4[ID], Table4[Seafood], "Not Found", 0)</f>
        <v>0</v>
      </c>
      <c r="O954" s="16">
        <f>_xlfn.XLOOKUP(CustomerCombinedCleaned[[#This Row],[ID]], Table4[ID], Table4[Sweets], "Not Found", 0)</f>
        <v>0</v>
      </c>
      <c r="P954" s="16">
        <f>_xlfn.XLOOKUP(CustomerCombinedCleaned[[#This Row],[ID]], Table4[ID], Table4[Premium], "Not Found", 0)</f>
        <v>25</v>
      </c>
      <c r="Q954" s="16">
        <f>_xlfn.XLOOKUP(CustomerCombinedCleaned[[#This Row],[ID]], Table4[ID], Table4[Regular], "Not Found", 0)</f>
        <v>240</v>
      </c>
      <c r="R954" s="16">
        <f>_xlfn.XLOOKUP(CustomerCombinedCleaned[[#This Row],[ID]], Table4[ID], Table4[Deals], "Not Found", 0)</f>
        <v>3</v>
      </c>
      <c r="S954" s="16">
        <f>_xlfn.XLOOKUP(CustomerCombinedCleaned[[#This Row],[ID]], Table4[ID], Table4[Website], "Not Found", 0)</f>
        <v>2</v>
      </c>
      <c r="T954" s="16">
        <f>_xlfn.XLOOKUP(CustomerCombinedCleaned[[#This Row],[ID]], Table4[ID], Table4[Catalog], "Not Found", 0)</f>
        <v>0</v>
      </c>
      <c r="U954" s="16">
        <f>_xlfn.XLOOKUP(CustomerCombinedCleaned[[#This Row],[ID]], Table4[ID], Table4[Store], "Not Found", 0)</f>
        <v>4</v>
      </c>
      <c r="V954" s="16">
        <f>_xlfn.XLOOKUP(CustomerCombinedCleaned[[#This Row],[ID]], Table4[ID], Table4[Visits], "Not Found", 0)</f>
        <v>7</v>
      </c>
      <c r="W954" s="16">
        <f>_xlfn.XLOOKUP(CustomerCombinedCleaned[[#This Row],[ID]], Table2[ID],Table2[Complaint], "Not Found", 0 )</f>
        <v>0</v>
      </c>
      <c r="X954" s="16">
        <f>_xlfn.XLOOKUP(CustomerCombinedCleaned[[#This Row],[ID]], Table2[ID],Table2[Pilot], "Not Found", 0 )</f>
        <v>0</v>
      </c>
      <c r="Y954" s="16">
        <f>_xlfn.XLOOKUP(CustomerCombinedCleaned[[#This Row],[ID]], Table2[ID],Table2[MC1], "Not Found", 0 )</f>
        <v>0</v>
      </c>
      <c r="Z954" s="16">
        <f>_xlfn.XLOOKUP(CustomerCombinedCleaned[[#This Row],[ID]], Table2[ID],Table2[MC2], "Not Found", 0 )</f>
        <v>0</v>
      </c>
      <c r="AA954" s="16">
        <f>_xlfn.XLOOKUP(CustomerCombinedCleaned[[#This Row],[ID]], Table2[ID],Table2[MC3], "Not Found", 0 )</f>
        <v>0</v>
      </c>
      <c r="AB954" s="16">
        <f>_xlfn.XLOOKUP(CustomerCombinedCleaned[[#This Row],[ID]], Table2[ID],Table2[MC4], "Not Found", 0 )</f>
        <v>0</v>
      </c>
      <c r="AC954" s="16">
        <f>_xlfn.XLOOKUP(CustomerCombinedCleaned[[#This Row],[ID]], Table2[ID],Table2[MC5], "Not Found", 0 )</f>
        <v>0</v>
      </c>
    </row>
    <row r="955" spans="1:29" x14ac:dyDescent="0.3">
      <c r="A955" s="18">
        <v>1142</v>
      </c>
      <c r="B955" s="16">
        <v>146344</v>
      </c>
      <c r="C955" s="16">
        <v>0</v>
      </c>
      <c r="D955" s="16">
        <v>1</v>
      </c>
      <c r="E955" s="16">
        <v>48</v>
      </c>
      <c r="F955" s="17" t="s">
        <v>8</v>
      </c>
      <c r="G955" s="17" t="s">
        <v>11</v>
      </c>
      <c r="H955" s="3" t="s">
        <v>345</v>
      </c>
      <c r="I955" s="5" t="s">
        <v>438</v>
      </c>
      <c r="J955" s="16">
        <f>_xlfn.XLOOKUP(CustomerCombinedCleaned[[#This Row],[ID]], Table4[ID], Table4[Recency], "Not Found", 0)</f>
        <v>28</v>
      </c>
      <c r="K955" s="16">
        <f>_xlfn.XLOOKUP(CustomerCombinedCleaned[[#This Row],[ID]], Table4[ID], Table4[Teas], "Not Found", 0)</f>
        <v>736</v>
      </c>
      <c r="L955" s="16">
        <f>_xlfn.XLOOKUP(CustomerCombinedCleaned[[#This Row],[ID]], Table4[ID], Table4[Fruits], "Not Found", 0)</f>
        <v>63</v>
      </c>
      <c r="M955" s="16">
        <f>_xlfn.XLOOKUP(CustomerCombinedCleaned[[#This Row],[ID]], Table4[ID], Table4[Meats], "Not Found", 0)</f>
        <v>180</v>
      </c>
      <c r="N955" s="16">
        <f>_xlfn.XLOOKUP(CustomerCombinedCleaned[[#This Row],[ID]], Table4[ID], Table4[Seafood], "Not Found", 0)</f>
        <v>25</v>
      </c>
      <c r="O955" s="16">
        <f>_xlfn.XLOOKUP(CustomerCombinedCleaned[[#This Row],[ID]], Table4[ID], Table4[Sweets], "Not Found", 0)</f>
        <v>63</v>
      </c>
      <c r="P955" s="16">
        <f>_xlfn.XLOOKUP(CustomerCombinedCleaned[[#This Row],[ID]], Table4[ID], Table4[Premium], "Not Found", 0)</f>
        <v>287</v>
      </c>
      <c r="Q955" s="16">
        <f>_xlfn.XLOOKUP(CustomerCombinedCleaned[[#This Row],[ID]], Table4[ID], Table4[Regular], "Not Found", 0)</f>
        <v>780</v>
      </c>
      <c r="R955" s="16">
        <f>_xlfn.XLOOKUP(CustomerCombinedCleaned[[#This Row],[ID]], Table4[ID], Table4[Deals], "Not Found", 0)</f>
        <v>4</v>
      </c>
      <c r="S955" s="16">
        <f>_xlfn.XLOOKUP(CustomerCombinedCleaned[[#This Row],[ID]], Table4[ID], Table4[Website], "Not Found", 0)</f>
        <v>7</v>
      </c>
      <c r="T955" s="16">
        <f>_xlfn.XLOOKUP(CustomerCombinedCleaned[[#This Row],[ID]], Table4[ID], Table4[Catalog], "Not Found", 0)</f>
        <v>1</v>
      </c>
      <c r="U955" s="16">
        <f>_xlfn.XLOOKUP(CustomerCombinedCleaned[[#This Row],[ID]], Table4[ID], Table4[Store], "Not Found", 0)</f>
        <v>5</v>
      </c>
      <c r="V955" s="16">
        <f>_xlfn.XLOOKUP(CustomerCombinedCleaned[[#This Row],[ID]], Table4[ID], Table4[Visits], "Not Found", 0)</f>
        <v>7</v>
      </c>
      <c r="W955" s="16">
        <f>_xlfn.XLOOKUP(CustomerCombinedCleaned[[#This Row],[ID]], Table2[ID],Table2[Complaint], "Not Found", 0 )</f>
        <v>0</v>
      </c>
      <c r="X955" s="16">
        <f>_xlfn.XLOOKUP(CustomerCombinedCleaned[[#This Row],[ID]], Table2[ID],Table2[Pilot], "Not Found", 0 )</f>
        <v>0</v>
      </c>
      <c r="Y955" s="16">
        <f>_xlfn.XLOOKUP(CustomerCombinedCleaned[[#This Row],[ID]], Table2[ID],Table2[MC1], "Not Found", 0 )</f>
        <v>0</v>
      </c>
      <c r="Z955" s="16">
        <f>_xlfn.XLOOKUP(CustomerCombinedCleaned[[#This Row],[ID]], Table2[ID],Table2[MC2], "Not Found", 0 )</f>
        <v>0</v>
      </c>
      <c r="AA955" s="16">
        <f>_xlfn.XLOOKUP(CustomerCombinedCleaned[[#This Row],[ID]], Table2[ID],Table2[MC3], "Not Found", 0 )</f>
        <v>0</v>
      </c>
      <c r="AB955" s="16">
        <f>_xlfn.XLOOKUP(CustomerCombinedCleaned[[#This Row],[ID]], Table2[ID],Table2[MC4], "Not Found", 0 )</f>
        <v>0</v>
      </c>
      <c r="AC955" s="16">
        <f>_xlfn.XLOOKUP(CustomerCombinedCleaned[[#This Row],[ID]], Table2[ID],Table2[MC5], "Not Found", 0 )</f>
        <v>0</v>
      </c>
    </row>
    <row r="956" spans="1:29" x14ac:dyDescent="0.3">
      <c r="A956" s="18">
        <v>2426</v>
      </c>
      <c r="B956" s="16">
        <v>146053</v>
      </c>
      <c r="C956" s="16">
        <v>1</v>
      </c>
      <c r="D956" s="16">
        <v>0</v>
      </c>
      <c r="E956" s="16">
        <v>48</v>
      </c>
      <c r="F956" s="17" t="s">
        <v>8</v>
      </c>
      <c r="G956" s="17" t="s">
        <v>11</v>
      </c>
      <c r="H956" s="3" t="s">
        <v>306</v>
      </c>
      <c r="I956" s="5" t="s">
        <v>438</v>
      </c>
      <c r="J956" s="16">
        <f>_xlfn.XLOOKUP(CustomerCombinedCleaned[[#This Row],[ID]], Table4[ID], Table4[Recency], "Not Found", 0)</f>
        <v>46</v>
      </c>
      <c r="K956" s="16">
        <f>_xlfn.XLOOKUP(CustomerCombinedCleaned[[#This Row],[ID]], Table4[ID], Table4[Teas], "Not Found", 0)</f>
        <v>178</v>
      </c>
      <c r="L956" s="16">
        <f>_xlfn.XLOOKUP(CustomerCombinedCleaned[[#This Row],[ID]], Table4[ID], Table4[Fruits], "Not Found", 0)</f>
        <v>32</v>
      </c>
      <c r="M956" s="16">
        <f>_xlfn.XLOOKUP(CustomerCombinedCleaned[[#This Row],[ID]], Table4[ID], Table4[Meats], "Not Found", 0)</f>
        <v>292</v>
      </c>
      <c r="N956" s="16">
        <f>_xlfn.XLOOKUP(CustomerCombinedCleaned[[#This Row],[ID]], Table4[ID], Table4[Seafood], "Not Found", 0)</f>
        <v>60</v>
      </c>
      <c r="O956" s="16">
        <f>_xlfn.XLOOKUP(CustomerCombinedCleaned[[#This Row],[ID]], Table4[ID], Table4[Sweets], "Not Found", 0)</f>
        <v>22</v>
      </c>
      <c r="P956" s="16">
        <f>_xlfn.XLOOKUP(CustomerCombinedCleaned[[#This Row],[ID]], Table4[ID], Table4[Premium], "Not Found", 0)</f>
        <v>79</v>
      </c>
      <c r="Q956" s="16">
        <f>_xlfn.XLOOKUP(CustomerCombinedCleaned[[#This Row],[ID]], Table4[ID], Table4[Regular], "Not Found", 0)</f>
        <v>504</v>
      </c>
      <c r="R956" s="16">
        <f>_xlfn.XLOOKUP(CustomerCombinedCleaned[[#This Row],[ID]], Table4[ID], Table4[Deals], "Not Found", 0)</f>
        <v>3</v>
      </c>
      <c r="S956" s="16">
        <f>_xlfn.XLOOKUP(CustomerCombinedCleaned[[#This Row],[ID]], Table4[ID], Table4[Website], "Not Found", 0)</f>
        <v>3</v>
      </c>
      <c r="T956" s="16">
        <f>_xlfn.XLOOKUP(CustomerCombinedCleaned[[#This Row],[ID]], Table4[ID], Table4[Catalog], "Not Found", 0)</f>
        <v>2</v>
      </c>
      <c r="U956" s="16">
        <f>_xlfn.XLOOKUP(CustomerCombinedCleaned[[#This Row],[ID]], Table4[ID], Table4[Store], "Not Found", 0)</f>
        <v>4</v>
      </c>
      <c r="V956" s="16">
        <f>_xlfn.XLOOKUP(CustomerCombinedCleaned[[#This Row],[ID]], Table4[ID], Table4[Visits], "Not Found", 0)</f>
        <v>5</v>
      </c>
      <c r="W956" s="16">
        <f>_xlfn.XLOOKUP(CustomerCombinedCleaned[[#This Row],[ID]], Table2[ID],Table2[Complaint], "Not Found", 0 )</f>
        <v>0</v>
      </c>
      <c r="X956" s="16">
        <f>_xlfn.XLOOKUP(CustomerCombinedCleaned[[#This Row],[ID]], Table2[ID],Table2[Pilot], "Not Found", 0 )</f>
        <v>0</v>
      </c>
      <c r="Y956" s="16">
        <f>_xlfn.XLOOKUP(CustomerCombinedCleaned[[#This Row],[ID]], Table2[ID],Table2[MC1], "Not Found", 0 )</f>
        <v>0</v>
      </c>
      <c r="Z956" s="16">
        <f>_xlfn.XLOOKUP(CustomerCombinedCleaned[[#This Row],[ID]], Table2[ID],Table2[MC2], "Not Found", 0 )</f>
        <v>0</v>
      </c>
      <c r="AA956" s="16">
        <f>_xlfn.XLOOKUP(CustomerCombinedCleaned[[#This Row],[ID]], Table2[ID],Table2[MC3], "Not Found", 0 )</f>
        <v>0</v>
      </c>
      <c r="AB956" s="16">
        <f>_xlfn.XLOOKUP(CustomerCombinedCleaned[[#This Row],[ID]], Table2[ID],Table2[MC4], "Not Found", 0 )</f>
        <v>0</v>
      </c>
      <c r="AC956" s="16">
        <f>_xlfn.XLOOKUP(CustomerCombinedCleaned[[#This Row],[ID]], Table2[ID],Table2[MC5], "Not Found", 0 )</f>
        <v>0</v>
      </c>
    </row>
    <row r="957" spans="1:29" x14ac:dyDescent="0.3">
      <c r="A957" s="18">
        <v>2847</v>
      </c>
      <c r="B957" s="16">
        <v>144503</v>
      </c>
      <c r="C957" s="16">
        <v>1</v>
      </c>
      <c r="D957" s="16">
        <v>1</v>
      </c>
      <c r="E957" s="16">
        <v>48</v>
      </c>
      <c r="F957" s="17" t="s">
        <v>7</v>
      </c>
      <c r="G957" s="17" t="s">
        <v>11</v>
      </c>
      <c r="H957" s="3" t="s">
        <v>66</v>
      </c>
      <c r="I957" s="5" t="s">
        <v>435</v>
      </c>
      <c r="J957" s="16">
        <f>_xlfn.XLOOKUP(CustomerCombinedCleaned[[#This Row],[ID]], Table4[ID], Table4[Recency], "Not Found", 0)</f>
        <v>83</v>
      </c>
      <c r="K957" s="16">
        <f>_xlfn.XLOOKUP(CustomerCombinedCleaned[[#This Row],[ID]], Table4[ID], Table4[Teas], "Not Found", 0)</f>
        <v>101</v>
      </c>
      <c r="L957" s="16">
        <f>_xlfn.XLOOKUP(CustomerCombinedCleaned[[#This Row],[ID]], Table4[ID], Table4[Fruits], "Not Found", 0)</f>
        <v>3</v>
      </c>
      <c r="M957" s="16">
        <f>_xlfn.XLOOKUP(CustomerCombinedCleaned[[#This Row],[ID]], Table4[ID], Table4[Meats], "Not Found", 0)</f>
        <v>26</v>
      </c>
      <c r="N957" s="16">
        <f>_xlfn.XLOOKUP(CustomerCombinedCleaned[[#This Row],[ID]], Table4[ID], Table4[Seafood], "Not Found", 0)</f>
        <v>0</v>
      </c>
      <c r="O957" s="16">
        <f>_xlfn.XLOOKUP(CustomerCombinedCleaned[[#This Row],[ID]], Table4[ID], Table4[Sweets], "Not Found", 0)</f>
        <v>0</v>
      </c>
      <c r="P957" s="16">
        <f>_xlfn.XLOOKUP(CustomerCombinedCleaned[[#This Row],[ID]], Table4[ID], Table4[Premium], "Not Found", 0)</f>
        <v>26</v>
      </c>
      <c r="Q957" s="16">
        <f>_xlfn.XLOOKUP(CustomerCombinedCleaned[[#This Row],[ID]], Table4[ID], Table4[Regular], "Not Found", 0)</f>
        <v>104</v>
      </c>
      <c r="R957" s="16">
        <f>_xlfn.XLOOKUP(CustomerCombinedCleaned[[#This Row],[ID]], Table4[ID], Table4[Deals], "Not Found", 0)</f>
        <v>2</v>
      </c>
      <c r="S957" s="16">
        <f>_xlfn.XLOOKUP(CustomerCombinedCleaned[[#This Row],[ID]], Table4[ID], Table4[Website], "Not Found", 0)</f>
        <v>2</v>
      </c>
      <c r="T957" s="16">
        <f>_xlfn.XLOOKUP(CustomerCombinedCleaned[[#This Row],[ID]], Table4[ID], Table4[Catalog], "Not Found", 0)</f>
        <v>0</v>
      </c>
      <c r="U957" s="16">
        <f>_xlfn.XLOOKUP(CustomerCombinedCleaned[[#This Row],[ID]], Table4[ID], Table4[Store], "Not Found", 0)</f>
        <v>3</v>
      </c>
      <c r="V957" s="16">
        <f>_xlfn.XLOOKUP(CustomerCombinedCleaned[[#This Row],[ID]], Table4[ID], Table4[Visits], "Not Found", 0)</f>
        <v>6</v>
      </c>
      <c r="W957" s="16">
        <f>_xlfn.XLOOKUP(CustomerCombinedCleaned[[#This Row],[ID]], Table2[ID],Table2[Complaint], "Not Found", 0 )</f>
        <v>0</v>
      </c>
      <c r="X957" s="16">
        <f>_xlfn.XLOOKUP(CustomerCombinedCleaned[[#This Row],[ID]], Table2[ID],Table2[Pilot], "Not Found", 0 )</f>
        <v>0</v>
      </c>
      <c r="Y957" s="16">
        <f>_xlfn.XLOOKUP(CustomerCombinedCleaned[[#This Row],[ID]], Table2[ID],Table2[MC1], "Not Found", 0 )</f>
        <v>0</v>
      </c>
      <c r="Z957" s="16">
        <f>_xlfn.XLOOKUP(CustomerCombinedCleaned[[#This Row],[ID]], Table2[ID],Table2[MC2], "Not Found", 0 )</f>
        <v>0</v>
      </c>
      <c r="AA957" s="16">
        <f>_xlfn.XLOOKUP(CustomerCombinedCleaned[[#This Row],[ID]], Table2[ID],Table2[MC3], "Not Found", 0 )</f>
        <v>0</v>
      </c>
      <c r="AB957" s="16">
        <f>_xlfn.XLOOKUP(CustomerCombinedCleaned[[#This Row],[ID]], Table2[ID],Table2[MC4], "Not Found", 0 )</f>
        <v>0</v>
      </c>
      <c r="AC957" s="16">
        <f>_xlfn.XLOOKUP(CustomerCombinedCleaned[[#This Row],[ID]], Table2[ID],Table2[MC5], "Not Found", 0 )</f>
        <v>0</v>
      </c>
    </row>
    <row r="958" spans="1:29" x14ac:dyDescent="0.3">
      <c r="A958" s="18">
        <v>3149</v>
      </c>
      <c r="B958" s="16">
        <v>144325</v>
      </c>
      <c r="C958" s="16">
        <v>0</v>
      </c>
      <c r="D958" s="16">
        <v>1</v>
      </c>
      <c r="E958" s="16">
        <v>48</v>
      </c>
      <c r="F958" s="17" t="s">
        <v>6</v>
      </c>
      <c r="G958" s="17" t="s">
        <v>13</v>
      </c>
      <c r="H958" s="3" t="s">
        <v>688</v>
      </c>
      <c r="I958" s="5" t="s">
        <v>434</v>
      </c>
      <c r="J958" s="16">
        <f>_xlfn.XLOOKUP(CustomerCombinedCleaned[[#This Row],[ID]], Table4[ID], Table4[Recency], "Not Found", 0)</f>
        <v>69</v>
      </c>
      <c r="K958" s="16">
        <f>_xlfn.XLOOKUP(CustomerCombinedCleaned[[#This Row],[ID]], Table4[ID], Table4[Teas], "Not Found", 0)</f>
        <v>1680</v>
      </c>
      <c r="L958" s="16">
        <f>_xlfn.XLOOKUP(CustomerCombinedCleaned[[#This Row],[ID]], Table4[ID], Table4[Fruits], "Not Found", 0)</f>
        <v>0</v>
      </c>
      <c r="M958" s="16">
        <f>_xlfn.XLOOKUP(CustomerCombinedCleaned[[#This Row],[ID]], Table4[ID], Table4[Meats], "Not Found", 0)</f>
        <v>68</v>
      </c>
      <c r="N958" s="16">
        <f>_xlfn.XLOOKUP(CustomerCombinedCleaned[[#This Row],[ID]], Table4[ID], Table4[Seafood], "Not Found", 0)</f>
        <v>0</v>
      </c>
      <c r="O958" s="16">
        <f>_xlfn.XLOOKUP(CustomerCombinedCleaned[[#This Row],[ID]], Table4[ID], Table4[Sweets], "Not Found", 0)</f>
        <v>0</v>
      </c>
      <c r="P958" s="16">
        <f>_xlfn.XLOOKUP(CustomerCombinedCleaned[[#This Row],[ID]], Table4[ID], Table4[Premium], "Not Found", 0)</f>
        <v>16</v>
      </c>
      <c r="Q958" s="16">
        <f>_xlfn.XLOOKUP(CustomerCombinedCleaned[[#This Row],[ID]], Table4[ID], Table4[Regular], "Not Found", 0)</f>
        <v>1732</v>
      </c>
      <c r="R958" s="16">
        <f>_xlfn.XLOOKUP(CustomerCombinedCleaned[[#This Row],[ID]], Table4[ID], Table4[Deals], "Not Found", 0)</f>
        <v>4</v>
      </c>
      <c r="S958" s="16">
        <f>_xlfn.XLOOKUP(CustomerCombinedCleaned[[#This Row],[ID]], Table4[ID], Table4[Website], "Not Found", 0)</f>
        <v>8</v>
      </c>
      <c r="T958" s="16">
        <f>_xlfn.XLOOKUP(CustomerCombinedCleaned[[#This Row],[ID]], Table4[ID], Table4[Catalog], "Not Found", 0)</f>
        <v>2</v>
      </c>
      <c r="U958" s="16">
        <f>_xlfn.XLOOKUP(CustomerCombinedCleaned[[#This Row],[ID]], Table4[ID], Table4[Store], "Not Found", 0)</f>
        <v>7</v>
      </c>
      <c r="V958" s="16">
        <f>_xlfn.XLOOKUP(CustomerCombinedCleaned[[#This Row],[ID]], Table4[ID], Table4[Visits], "Not Found", 0)</f>
        <v>8</v>
      </c>
      <c r="W958" s="16">
        <f>_xlfn.XLOOKUP(CustomerCombinedCleaned[[#This Row],[ID]], Table2[ID],Table2[Complaint], "Not Found", 0 )</f>
        <v>0</v>
      </c>
      <c r="X958" s="16">
        <f>_xlfn.XLOOKUP(CustomerCombinedCleaned[[#This Row],[ID]], Table2[ID],Table2[Pilot], "Not Found", 0 )</f>
        <v>0</v>
      </c>
      <c r="Y958" s="16">
        <f>_xlfn.XLOOKUP(CustomerCombinedCleaned[[#This Row],[ID]], Table2[ID],Table2[MC1], "Not Found", 0 )</f>
        <v>0</v>
      </c>
      <c r="Z958" s="16">
        <f>_xlfn.XLOOKUP(CustomerCombinedCleaned[[#This Row],[ID]], Table2[ID],Table2[MC2], "Not Found", 0 )</f>
        <v>0</v>
      </c>
      <c r="AA958" s="16">
        <f>_xlfn.XLOOKUP(CustomerCombinedCleaned[[#This Row],[ID]], Table2[ID],Table2[MC3], "Not Found", 0 )</f>
        <v>0</v>
      </c>
      <c r="AB958" s="16">
        <f>_xlfn.XLOOKUP(CustomerCombinedCleaned[[#This Row],[ID]], Table2[ID],Table2[MC4], "Not Found", 0 )</f>
        <v>1</v>
      </c>
      <c r="AC958" s="16">
        <f>_xlfn.XLOOKUP(CustomerCombinedCleaned[[#This Row],[ID]], Table2[ID],Table2[MC5], "Not Found", 0 )</f>
        <v>0</v>
      </c>
    </row>
    <row r="959" spans="1:29" x14ac:dyDescent="0.3">
      <c r="A959" s="18">
        <v>2403</v>
      </c>
      <c r="B959" s="16">
        <v>143269</v>
      </c>
      <c r="C959" s="16">
        <v>1</v>
      </c>
      <c r="D959" s="16">
        <v>0</v>
      </c>
      <c r="E959" s="16">
        <v>48</v>
      </c>
      <c r="F959" s="17" t="s">
        <v>6</v>
      </c>
      <c r="G959" s="17" t="s">
        <v>13</v>
      </c>
      <c r="H959" s="3" t="s">
        <v>183</v>
      </c>
      <c r="I959" s="5" t="s">
        <v>435</v>
      </c>
      <c r="J959" s="16">
        <f>_xlfn.XLOOKUP(CustomerCombinedCleaned[[#This Row],[ID]], Table4[ID], Table4[Recency], "Not Found", 0)</f>
        <v>61</v>
      </c>
      <c r="K959" s="16">
        <f>_xlfn.XLOOKUP(CustomerCombinedCleaned[[#This Row],[ID]], Table4[ID], Table4[Teas], "Not Found", 0)</f>
        <v>33</v>
      </c>
      <c r="L959" s="16">
        <f>_xlfn.XLOOKUP(CustomerCombinedCleaned[[#This Row],[ID]], Table4[ID], Table4[Fruits], "Not Found", 0)</f>
        <v>3</v>
      </c>
      <c r="M959" s="16">
        <f>_xlfn.XLOOKUP(CustomerCombinedCleaned[[#This Row],[ID]], Table4[ID], Table4[Meats], "Not Found", 0)</f>
        <v>23</v>
      </c>
      <c r="N959" s="16">
        <f>_xlfn.XLOOKUP(CustomerCombinedCleaned[[#This Row],[ID]], Table4[ID], Table4[Seafood], "Not Found", 0)</f>
        <v>0</v>
      </c>
      <c r="O959" s="16">
        <f>_xlfn.XLOOKUP(CustomerCombinedCleaned[[#This Row],[ID]], Table4[ID], Table4[Sweets], "Not Found", 0)</f>
        <v>0</v>
      </c>
      <c r="P959" s="16">
        <f>_xlfn.XLOOKUP(CustomerCombinedCleaned[[#This Row],[ID]], Table4[ID], Table4[Premium], "Not Found", 0)</f>
        <v>3</v>
      </c>
      <c r="Q959" s="16">
        <f>_xlfn.XLOOKUP(CustomerCombinedCleaned[[#This Row],[ID]], Table4[ID], Table4[Regular], "Not Found", 0)</f>
        <v>56</v>
      </c>
      <c r="R959" s="16">
        <f>_xlfn.XLOOKUP(CustomerCombinedCleaned[[#This Row],[ID]], Table4[ID], Table4[Deals], "Not Found", 0)</f>
        <v>1</v>
      </c>
      <c r="S959" s="16">
        <f>_xlfn.XLOOKUP(CustomerCombinedCleaned[[#This Row],[ID]], Table4[ID], Table4[Website], "Not Found", 0)</f>
        <v>1</v>
      </c>
      <c r="T959" s="16">
        <f>_xlfn.XLOOKUP(CustomerCombinedCleaned[[#This Row],[ID]], Table4[ID], Table4[Catalog], "Not Found", 0)</f>
        <v>0</v>
      </c>
      <c r="U959" s="16">
        <f>_xlfn.XLOOKUP(CustomerCombinedCleaned[[#This Row],[ID]], Table4[ID], Table4[Store], "Not Found", 0)</f>
        <v>2</v>
      </c>
      <c r="V959" s="16">
        <f>_xlfn.XLOOKUP(CustomerCombinedCleaned[[#This Row],[ID]], Table4[ID], Table4[Visits], "Not Found", 0)</f>
        <v>8</v>
      </c>
      <c r="W959" s="16">
        <f>_xlfn.XLOOKUP(CustomerCombinedCleaned[[#This Row],[ID]], Table2[ID],Table2[Complaint], "Not Found", 0 )</f>
        <v>0</v>
      </c>
      <c r="X959" s="16">
        <f>_xlfn.XLOOKUP(CustomerCombinedCleaned[[#This Row],[ID]], Table2[ID],Table2[Pilot], "Not Found", 0 )</f>
        <v>0</v>
      </c>
      <c r="Y959" s="16">
        <f>_xlfn.XLOOKUP(CustomerCombinedCleaned[[#This Row],[ID]], Table2[ID],Table2[MC1], "Not Found", 0 )</f>
        <v>0</v>
      </c>
      <c r="Z959" s="16">
        <f>_xlfn.XLOOKUP(CustomerCombinedCleaned[[#This Row],[ID]], Table2[ID],Table2[MC2], "Not Found", 0 )</f>
        <v>0</v>
      </c>
      <c r="AA959" s="16">
        <f>_xlfn.XLOOKUP(CustomerCombinedCleaned[[#This Row],[ID]], Table2[ID],Table2[MC3], "Not Found", 0 )</f>
        <v>0</v>
      </c>
      <c r="AB959" s="16">
        <f>_xlfn.XLOOKUP(CustomerCombinedCleaned[[#This Row],[ID]], Table2[ID],Table2[MC4], "Not Found", 0 )</f>
        <v>0</v>
      </c>
      <c r="AC959" s="16">
        <f>_xlfn.XLOOKUP(CustomerCombinedCleaned[[#This Row],[ID]], Table2[ID],Table2[MC5], "Not Found", 0 )</f>
        <v>0</v>
      </c>
    </row>
    <row r="960" spans="1:29" x14ac:dyDescent="0.3">
      <c r="A960" s="18">
        <v>1430</v>
      </c>
      <c r="B960" s="16">
        <v>142618</v>
      </c>
      <c r="C960" s="16">
        <v>1</v>
      </c>
      <c r="D960" s="16">
        <v>0</v>
      </c>
      <c r="E960" s="16">
        <v>48</v>
      </c>
      <c r="F960" s="17" t="s">
        <v>5</v>
      </c>
      <c r="G960" s="17" t="s">
        <v>12</v>
      </c>
      <c r="H960" s="3" t="s">
        <v>173</v>
      </c>
      <c r="I960" s="5" t="s">
        <v>438</v>
      </c>
      <c r="J960" s="16">
        <f>_xlfn.XLOOKUP(CustomerCombinedCleaned[[#This Row],[ID]], Table4[ID], Table4[Recency], "Not Found", 0)</f>
        <v>92</v>
      </c>
      <c r="K960" s="16">
        <f>_xlfn.XLOOKUP(CustomerCombinedCleaned[[#This Row],[ID]], Table4[ID], Table4[Teas], "Not Found", 0)</f>
        <v>254</v>
      </c>
      <c r="L960" s="16">
        <f>_xlfn.XLOOKUP(CustomerCombinedCleaned[[#This Row],[ID]], Table4[ID], Table4[Fruits], "Not Found", 0)</f>
        <v>47</v>
      </c>
      <c r="M960" s="16">
        <f>_xlfn.XLOOKUP(CustomerCombinedCleaned[[#This Row],[ID]], Table4[ID], Table4[Meats], "Not Found", 0)</f>
        <v>248</v>
      </c>
      <c r="N960" s="16">
        <f>_xlfn.XLOOKUP(CustomerCombinedCleaned[[#This Row],[ID]], Table4[ID], Table4[Seafood], "Not Found", 0)</f>
        <v>44</v>
      </c>
      <c r="O960" s="16">
        <f>_xlfn.XLOOKUP(CustomerCombinedCleaned[[#This Row],[ID]], Table4[ID], Table4[Sweets], "Not Found", 0)</f>
        <v>17</v>
      </c>
      <c r="P960" s="16">
        <f>_xlfn.XLOOKUP(CustomerCombinedCleaned[[#This Row],[ID]], Table4[ID], Table4[Premium], "Not Found", 0)</f>
        <v>33</v>
      </c>
      <c r="Q960" s="16">
        <f>_xlfn.XLOOKUP(CustomerCombinedCleaned[[#This Row],[ID]], Table4[ID], Table4[Regular], "Not Found", 0)</f>
        <v>576</v>
      </c>
      <c r="R960" s="16">
        <f>_xlfn.XLOOKUP(CustomerCombinedCleaned[[#This Row],[ID]], Table4[ID], Table4[Deals], "Not Found", 0)</f>
        <v>2</v>
      </c>
      <c r="S960" s="16">
        <f>_xlfn.XLOOKUP(CustomerCombinedCleaned[[#This Row],[ID]], Table4[ID], Table4[Website], "Not Found", 0)</f>
        <v>5</v>
      </c>
      <c r="T960" s="16">
        <f>_xlfn.XLOOKUP(CustomerCombinedCleaned[[#This Row],[ID]], Table4[ID], Table4[Catalog], "Not Found", 0)</f>
        <v>0</v>
      </c>
      <c r="U960" s="16">
        <f>_xlfn.XLOOKUP(CustomerCombinedCleaned[[#This Row],[ID]], Table4[ID], Table4[Store], "Not Found", 0)</f>
        <v>4</v>
      </c>
      <c r="V960" s="16">
        <f>_xlfn.XLOOKUP(CustomerCombinedCleaned[[#This Row],[ID]], Table4[ID], Table4[Visits], "Not Found", 0)</f>
        <v>8</v>
      </c>
      <c r="W960" s="16">
        <f>_xlfn.XLOOKUP(CustomerCombinedCleaned[[#This Row],[ID]], Table2[ID],Table2[Complaint], "Not Found", 0 )</f>
        <v>0</v>
      </c>
      <c r="X960" s="16">
        <f>_xlfn.XLOOKUP(CustomerCombinedCleaned[[#This Row],[ID]], Table2[ID],Table2[Pilot], "Not Found", 0 )</f>
        <v>0</v>
      </c>
      <c r="Y960" s="16">
        <f>_xlfn.XLOOKUP(CustomerCombinedCleaned[[#This Row],[ID]], Table2[ID],Table2[MC1], "Not Found", 0 )</f>
        <v>0</v>
      </c>
      <c r="Z960" s="16">
        <f>_xlfn.XLOOKUP(CustomerCombinedCleaned[[#This Row],[ID]], Table2[ID],Table2[MC2], "Not Found", 0 )</f>
        <v>0</v>
      </c>
      <c r="AA960" s="16">
        <f>_xlfn.XLOOKUP(CustomerCombinedCleaned[[#This Row],[ID]], Table2[ID],Table2[MC3], "Not Found", 0 )</f>
        <v>0</v>
      </c>
      <c r="AB960" s="16">
        <f>_xlfn.XLOOKUP(CustomerCombinedCleaned[[#This Row],[ID]], Table2[ID],Table2[MC4], "Not Found", 0 )</f>
        <v>0</v>
      </c>
      <c r="AC960" s="16">
        <f>_xlfn.XLOOKUP(CustomerCombinedCleaned[[#This Row],[ID]], Table2[ID],Table2[MC5], "Not Found", 0 )</f>
        <v>0</v>
      </c>
    </row>
    <row r="961" spans="1:29" x14ac:dyDescent="0.3">
      <c r="A961" s="18">
        <v>1085</v>
      </c>
      <c r="B961" s="16">
        <v>142394</v>
      </c>
      <c r="C961" s="16">
        <v>1</v>
      </c>
      <c r="D961" s="16">
        <v>0</v>
      </c>
      <c r="E961" s="16">
        <v>48</v>
      </c>
      <c r="F961" s="17" t="s">
        <v>7</v>
      </c>
      <c r="G961" s="17" t="s">
        <v>12</v>
      </c>
      <c r="H961" s="3" t="s">
        <v>78</v>
      </c>
      <c r="I961" s="5" t="s">
        <v>434</v>
      </c>
      <c r="J961" s="16">
        <f>_xlfn.XLOOKUP(CustomerCombinedCleaned[[#This Row],[ID]], Table4[ID], Table4[Recency], "Not Found", 0)</f>
        <v>69</v>
      </c>
      <c r="K961" s="16">
        <f>_xlfn.XLOOKUP(CustomerCombinedCleaned[[#This Row],[ID]], Table4[ID], Table4[Teas], "Not Found", 0)</f>
        <v>50</v>
      </c>
      <c r="L961" s="16">
        <f>_xlfn.XLOOKUP(CustomerCombinedCleaned[[#This Row],[ID]], Table4[ID], Table4[Fruits], "Not Found", 0)</f>
        <v>7</v>
      </c>
      <c r="M961" s="16">
        <f>_xlfn.XLOOKUP(CustomerCombinedCleaned[[#This Row],[ID]], Table4[ID], Table4[Meats], "Not Found", 0)</f>
        <v>34</v>
      </c>
      <c r="N961" s="16">
        <f>_xlfn.XLOOKUP(CustomerCombinedCleaned[[#This Row],[ID]], Table4[ID], Table4[Seafood], "Not Found", 0)</f>
        <v>0</v>
      </c>
      <c r="O961" s="16">
        <f>_xlfn.XLOOKUP(CustomerCombinedCleaned[[#This Row],[ID]], Table4[ID], Table4[Sweets], "Not Found", 0)</f>
        <v>3</v>
      </c>
      <c r="P961" s="16">
        <f>_xlfn.XLOOKUP(CustomerCombinedCleaned[[#This Row],[ID]], Table4[ID], Table4[Premium], "Not Found", 0)</f>
        <v>13</v>
      </c>
      <c r="Q961" s="16">
        <f>_xlfn.XLOOKUP(CustomerCombinedCleaned[[#This Row],[ID]], Table4[ID], Table4[Regular], "Not Found", 0)</f>
        <v>81</v>
      </c>
      <c r="R961" s="16">
        <f>_xlfn.XLOOKUP(CustomerCombinedCleaned[[#This Row],[ID]], Table4[ID], Table4[Deals], "Not Found", 0)</f>
        <v>1</v>
      </c>
      <c r="S961" s="16">
        <f>_xlfn.XLOOKUP(CustomerCombinedCleaned[[#This Row],[ID]], Table4[ID], Table4[Website], "Not Found", 0)</f>
        <v>1</v>
      </c>
      <c r="T961" s="16">
        <f>_xlfn.XLOOKUP(CustomerCombinedCleaned[[#This Row],[ID]], Table4[ID], Table4[Catalog], "Not Found", 0)</f>
        <v>0</v>
      </c>
      <c r="U961" s="16">
        <f>_xlfn.XLOOKUP(CustomerCombinedCleaned[[#This Row],[ID]], Table4[ID], Table4[Store], "Not Found", 0)</f>
        <v>3</v>
      </c>
      <c r="V961" s="16">
        <f>_xlfn.XLOOKUP(CustomerCombinedCleaned[[#This Row],[ID]], Table4[ID], Table4[Visits], "Not Found", 0)</f>
        <v>7</v>
      </c>
      <c r="W961" s="16">
        <f>_xlfn.XLOOKUP(CustomerCombinedCleaned[[#This Row],[ID]], Table2[ID],Table2[Complaint], "Not Found", 0 )</f>
        <v>0</v>
      </c>
      <c r="X961" s="16">
        <f>_xlfn.XLOOKUP(CustomerCombinedCleaned[[#This Row],[ID]], Table2[ID],Table2[Pilot], "Not Found", 0 )</f>
        <v>0</v>
      </c>
      <c r="Y961" s="16">
        <f>_xlfn.XLOOKUP(CustomerCombinedCleaned[[#This Row],[ID]], Table2[ID],Table2[MC1], "Not Found", 0 )</f>
        <v>0</v>
      </c>
      <c r="Z961" s="16">
        <f>_xlfn.XLOOKUP(CustomerCombinedCleaned[[#This Row],[ID]], Table2[ID],Table2[MC2], "Not Found", 0 )</f>
        <v>0</v>
      </c>
      <c r="AA961" s="16">
        <f>_xlfn.XLOOKUP(CustomerCombinedCleaned[[#This Row],[ID]], Table2[ID],Table2[MC3], "Not Found", 0 )</f>
        <v>0</v>
      </c>
      <c r="AB961" s="16">
        <f>_xlfn.XLOOKUP(CustomerCombinedCleaned[[#This Row],[ID]], Table2[ID],Table2[MC4], "Not Found", 0 )</f>
        <v>0</v>
      </c>
      <c r="AC961" s="16">
        <f>_xlfn.XLOOKUP(CustomerCombinedCleaned[[#This Row],[ID]], Table2[ID],Table2[MC5], "Not Found", 0 )</f>
        <v>0</v>
      </c>
    </row>
    <row r="962" spans="1:29" x14ac:dyDescent="0.3">
      <c r="A962" s="18">
        <v>1460</v>
      </c>
      <c r="B962" s="16">
        <v>141644</v>
      </c>
      <c r="C962" s="16">
        <v>1</v>
      </c>
      <c r="D962" s="16">
        <v>1</v>
      </c>
      <c r="E962" s="16">
        <v>48</v>
      </c>
      <c r="F962" s="17" t="s">
        <v>7</v>
      </c>
      <c r="G962" s="17" t="s">
        <v>13</v>
      </c>
      <c r="H962" s="3" t="s">
        <v>55</v>
      </c>
      <c r="I962" s="5" t="s">
        <v>438</v>
      </c>
      <c r="J962" s="16">
        <f>_xlfn.XLOOKUP(CustomerCombinedCleaned[[#This Row],[ID]], Table4[ID], Table4[Recency], "Not Found", 0)</f>
        <v>67</v>
      </c>
      <c r="K962" s="16">
        <f>_xlfn.XLOOKUP(CustomerCombinedCleaned[[#This Row],[ID]], Table4[ID], Table4[Teas], "Not Found", 0)</f>
        <v>68</v>
      </c>
      <c r="L962" s="16">
        <f>_xlfn.XLOOKUP(CustomerCombinedCleaned[[#This Row],[ID]], Table4[ID], Table4[Fruits], "Not Found", 0)</f>
        <v>10</v>
      </c>
      <c r="M962" s="16">
        <f>_xlfn.XLOOKUP(CustomerCombinedCleaned[[#This Row],[ID]], Table4[ID], Table4[Meats], "Not Found", 0)</f>
        <v>14</v>
      </c>
      <c r="N962" s="16">
        <f>_xlfn.XLOOKUP(CustomerCombinedCleaned[[#This Row],[ID]], Table4[ID], Table4[Seafood], "Not Found", 0)</f>
        <v>7</v>
      </c>
      <c r="O962" s="16">
        <f>_xlfn.XLOOKUP(CustomerCombinedCleaned[[#This Row],[ID]], Table4[ID], Table4[Sweets], "Not Found", 0)</f>
        <v>0</v>
      </c>
      <c r="P962" s="16">
        <f>_xlfn.XLOOKUP(CustomerCombinedCleaned[[#This Row],[ID]], Table4[ID], Table4[Premium], "Not Found", 0)</f>
        <v>7</v>
      </c>
      <c r="Q962" s="16">
        <f>_xlfn.XLOOKUP(CustomerCombinedCleaned[[#This Row],[ID]], Table4[ID], Table4[Regular], "Not Found", 0)</f>
        <v>92</v>
      </c>
      <c r="R962" s="16">
        <f>_xlfn.XLOOKUP(CustomerCombinedCleaned[[#This Row],[ID]], Table4[ID], Table4[Deals], "Not Found", 0)</f>
        <v>2</v>
      </c>
      <c r="S962" s="16">
        <f>_xlfn.XLOOKUP(CustomerCombinedCleaned[[#This Row],[ID]], Table4[ID], Table4[Website], "Not Found", 0)</f>
        <v>1</v>
      </c>
      <c r="T962" s="16">
        <f>_xlfn.XLOOKUP(CustomerCombinedCleaned[[#This Row],[ID]], Table4[ID], Table4[Catalog], "Not Found", 0)</f>
        <v>0</v>
      </c>
      <c r="U962" s="16">
        <f>_xlfn.XLOOKUP(CustomerCombinedCleaned[[#This Row],[ID]], Table4[ID], Table4[Store], "Not Found", 0)</f>
        <v>3</v>
      </c>
      <c r="V962" s="16">
        <f>_xlfn.XLOOKUP(CustomerCombinedCleaned[[#This Row],[ID]], Table4[ID], Table4[Visits], "Not Found", 0)</f>
        <v>3</v>
      </c>
      <c r="W962" s="16">
        <f>_xlfn.XLOOKUP(CustomerCombinedCleaned[[#This Row],[ID]], Table2[ID],Table2[Complaint], "Not Found", 0 )</f>
        <v>0</v>
      </c>
      <c r="X962" s="16">
        <f>_xlfn.XLOOKUP(CustomerCombinedCleaned[[#This Row],[ID]], Table2[ID],Table2[Pilot], "Not Found", 0 )</f>
        <v>0</v>
      </c>
      <c r="Y962" s="16">
        <f>_xlfn.XLOOKUP(CustomerCombinedCleaned[[#This Row],[ID]], Table2[ID],Table2[MC1], "Not Found", 0 )</f>
        <v>0</v>
      </c>
      <c r="Z962" s="16">
        <f>_xlfn.XLOOKUP(CustomerCombinedCleaned[[#This Row],[ID]], Table2[ID],Table2[MC2], "Not Found", 0 )</f>
        <v>0</v>
      </c>
      <c r="AA962" s="16">
        <f>_xlfn.XLOOKUP(CustomerCombinedCleaned[[#This Row],[ID]], Table2[ID],Table2[MC3], "Not Found", 0 )</f>
        <v>0</v>
      </c>
      <c r="AB962" s="16">
        <f>_xlfn.XLOOKUP(CustomerCombinedCleaned[[#This Row],[ID]], Table2[ID],Table2[MC4], "Not Found", 0 )</f>
        <v>0</v>
      </c>
      <c r="AC962" s="16">
        <f>_xlfn.XLOOKUP(CustomerCombinedCleaned[[#This Row],[ID]], Table2[ID],Table2[MC5], "Not Found", 0 )</f>
        <v>0</v>
      </c>
    </row>
    <row r="963" spans="1:29" x14ac:dyDescent="0.3">
      <c r="A963" s="18">
        <v>1302</v>
      </c>
      <c r="B963" s="16">
        <v>140321</v>
      </c>
      <c r="C963" s="16">
        <v>1</v>
      </c>
      <c r="D963" s="16">
        <v>1</v>
      </c>
      <c r="E963" s="16">
        <v>48</v>
      </c>
      <c r="F963" s="17" t="s">
        <v>6</v>
      </c>
      <c r="G963" s="17" t="s">
        <v>11</v>
      </c>
      <c r="H963" s="3" t="s">
        <v>549</v>
      </c>
      <c r="I963" s="5" t="s">
        <v>436</v>
      </c>
      <c r="J963" s="16">
        <f>_xlfn.XLOOKUP(CustomerCombinedCleaned[[#This Row],[ID]], Table4[ID], Table4[Recency], "Not Found", 0)</f>
        <v>59</v>
      </c>
      <c r="K963" s="16">
        <f>_xlfn.XLOOKUP(CustomerCombinedCleaned[[#This Row],[ID]], Table4[ID], Table4[Teas], "Not Found", 0)</f>
        <v>153</v>
      </c>
      <c r="L963" s="16">
        <f>_xlfn.XLOOKUP(CustomerCombinedCleaned[[#This Row],[ID]], Table4[ID], Table4[Fruits], "Not Found", 0)</f>
        <v>14</v>
      </c>
      <c r="M963" s="16">
        <f>_xlfn.XLOOKUP(CustomerCombinedCleaned[[#This Row],[ID]], Table4[ID], Table4[Meats], "Not Found", 0)</f>
        <v>73</v>
      </c>
      <c r="N963" s="16">
        <f>_xlfn.XLOOKUP(CustomerCombinedCleaned[[#This Row],[ID]], Table4[ID], Table4[Seafood], "Not Found", 0)</f>
        <v>21</v>
      </c>
      <c r="O963" s="16">
        <f>_xlfn.XLOOKUP(CustomerCombinedCleaned[[#This Row],[ID]], Table4[ID], Table4[Sweets], "Not Found", 0)</f>
        <v>0</v>
      </c>
      <c r="P963" s="16">
        <f>_xlfn.XLOOKUP(CustomerCombinedCleaned[[#This Row],[ID]], Table4[ID], Table4[Premium], "Not Found", 0)</f>
        <v>94</v>
      </c>
      <c r="Q963" s="16">
        <f>_xlfn.XLOOKUP(CustomerCombinedCleaned[[#This Row],[ID]], Table4[ID], Table4[Regular], "Not Found", 0)</f>
        <v>167</v>
      </c>
      <c r="R963" s="16">
        <f>_xlfn.XLOOKUP(CustomerCombinedCleaned[[#This Row],[ID]], Table4[ID], Table4[Deals], "Not Found", 0)</f>
        <v>2</v>
      </c>
      <c r="S963" s="16">
        <f>_xlfn.XLOOKUP(CustomerCombinedCleaned[[#This Row],[ID]], Table4[ID], Table4[Website], "Not Found", 0)</f>
        <v>3</v>
      </c>
      <c r="T963" s="16">
        <f>_xlfn.XLOOKUP(CustomerCombinedCleaned[[#This Row],[ID]], Table4[ID], Table4[Catalog], "Not Found", 0)</f>
        <v>0</v>
      </c>
      <c r="U963" s="16">
        <f>_xlfn.XLOOKUP(CustomerCombinedCleaned[[#This Row],[ID]], Table4[ID], Table4[Store], "Not Found", 0)</f>
        <v>3</v>
      </c>
      <c r="V963" s="16">
        <f>_xlfn.XLOOKUP(CustomerCombinedCleaned[[#This Row],[ID]], Table4[ID], Table4[Visits], "Not Found", 0)</f>
        <v>7</v>
      </c>
      <c r="W963" s="16">
        <f>_xlfn.XLOOKUP(CustomerCombinedCleaned[[#This Row],[ID]], Table2[ID],Table2[Complaint], "Not Found", 0 )</f>
        <v>0</v>
      </c>
      <c r="X963" s="16">
        <f>_xlfn.XLOOKUP(CustomerCombinedCleaned[[#This Row],[ID]], Table2[ID],Table2[Pilot], "Not Found", 0 )</f>
        <v>0</v>
      </c>
      <c r="Y963" s="16">
        <f>_xlfn.XLOOKUP(CustomerCombinedCleaned[[#This Row],[ID]], Table2[ID],Table2[MC1], "Not Found", 0 )</f>
        <v>0</v>
      </c>
      <c r="Z963" s="16">
        <f>_xlfn.XLOOKUP(CustomerCombinedCleaned[[#This Row],[ID]], Table2[ID],Table2[MC2], "Not Found", 0 )</f>
        <v>0</v>
      </c>
      <c r="AA963" s="16">
        <f>_xlfn.XLOOKUP(CustomerCombinedCleaned[[#This Row],[ID]], Table2[ID],Table2[MC3], "Not Found", 0 )</f>
        <v>0</v>
      </c>
      <c r="AB963" s="16">
        <f>_xlfn.XLOOKUP(CustomerCombinedCleaned[[#This Row],[ID]], Table2[ID],Table2[MC4], "Not Found", 0 )</f>
        <v>0</v>
      </c>
      <c r="AC963" s="16">
        <f>_xlfn.XLOOKUP(CustomerCombinedCleaned[[#This Row],[ID]], Table2[ID],Table2[MC5], "Not Found", 0 )</f>
        <v>0</v>
      </c>
    </row>
    <row r="964" spans="1:29" x14ac:dyDescent="0.3">
      <c r="A964" s="18">
        <v>2298</v>
      </c>
      <c r="B964" s="16">
        <v>140321</v>
      </c>
      <c r="C964" s="16">
        <v>1</v>
      </c>
      <c r="D964" s="16">
        <v>1</v>
      </c>
      <c r="E964" s="16">
        <v>48</v>
      </c>
      <c r="F964" s="17" t="s">
        <v>6</v>
      </c>
      <c r="G964" s="17" t="s">
        <v>11</v>
      </c>
      <c r="H964" s="3" t="s">
        <v>549</v>
      </c>
      <c r="I964" s="5" t="s">
        <v>436</v>
      </c>
      <c r="J964" s="16">
        <f>_xlfn.XLOOKUP(CustomerCombinedCleaned[[#This Row],[ID]], Table4[ID], Table4[Recency], "Not Found", 0)</f>
        <v>59</v>
      </c>
      <c r="K964" s="16">
        <f>_xlfn.XLOOKUP(CustomerCombinedCleaned[[#This Row],[ID]], Table4[ID], Table4[Teas], "Not Found", 0)</f>
        <v>153</v>
      </c>
      <c r="L964" s="16">
        <f>_xlfn.XLOOKUP(CustomerCombinedCleaned[[#This Row],[ID]], Table4[ID], Table4[Fruits], "Not Found", 0)</f>
        <v>14</v>
      </c>
      <c r="M964" s="16">
        <f>_xlfn.XLOOKUP(CustomerCombinedCleaned[[#This Row],[ID]], Table4[ID], Table4[Meats], "Not Found", 0)</f>
        <v>73</v>
      </c>
      <c r="N964" s="16">
        <f>_xlfn.XLOOKUP(CustomerCombinedCleaned[[#This Row],[ID]], Table4[ID], Table4[Seafood], "Not Found", 0)</f>
        <v>21</v>
      </c>
      <c r="O964" s="16">
        <f>_xlfn.XLOOKUP(CustomerCombinedCleaned[[#This Row],[ID]], Table4[ID], Table4[Sweets], "Not Found", 0)</f>
        <v>0</v>
      </c>
      <c r="P964" s="16">
        <f>_xlfn.XLOOKUP(CustomerCombinedCleaned[[#This Row],[ID]], Table4[ID], Table4[Premium], "Not Found", 0)</f>
        <v>94</v>
      </c>
      <c r="Q964" s="16">
        <f>_xlfn.XLOOKUP(CustomerCombinedCleaned[[#This Row],[ID]], Table4[ID], Table4[Regular], "Not Found", 0)</f>
        <v>167</v>
      </c>
      <c r="R964" s="16">
        <f>_xlfn.XLOOKUP(CustomerCombinedCleaned[[#This Row],[ID]], Table4[ID], Table4[Deals], "Not Found", 0)</f>
        <v>2</v>
      </c>
      <c r="S964" s="16">
        <f>_xlfn.XLOOKUP(CustomerCombinedCleaned[[#This Row],[ID]], Table4[ID], Table4[Website], "Not Found", 0)</f>
        <v>3</v>
      </c>
      <c r="T964" s="16">
        <f>_xlfn.XLOOKUP(CustomerCombinedCleaned[[#This Row],[ID]], Table4[ID], Table4[Catalog], "Not Found", 0)</f>
        <v>0</v>
      </c>
      <c r="U964" s="16">
        <f>_xlfn.XLOOKUP(CustomerCombinedCleaned[[#This Row],[ID]], Table4[ID], Table4[Store], "Not Found", 0)</f>
        <v>3</v>
      </c>
      <c r="V964" s="16">
        <f>_xlfn.XLOOKUP(CustomerCombinedCleaned[[#This Row],[ID]], Table4[ID], Table4[Visits], "Not Found", 0)</f>
        <v>7</v>
      </c>
      <c r="W964" s="16">
        <f>_xlfn.XLOOKUP(CustomerCombinedCleaned[[#This Row],[ID]], Table2[ID],Table2[Complaint], "Not Found", 0 )</f>
        <v>0</v>
      </c>
      <c r="X964" s="16">
        <f>_xlfn.XLOOKUP(CustomerCombinedCleaned[[#This Row],[ID]], Table2[ID],Table2[Pilot], "Not Found", 0 )</f>
        <v>0</v>
      </c>
      <c r="Y964" s="16">
        <f>_xlfn.XLOOKUP(CustomerCombinedCleaned[[#This Row],[ID]], Table2[ID],Table2[MC1], "Not Found", 0 )</f>
        <v>0</v>
      </c>
      <c r="Z964" s="16">
        <f>_xlfn.XLOOKUP(CustomerCombinedCleaned[[#This Row],[ID]], Table2[ID],Table2[MC2], "Not Found", 0 )</f>
        <v>0</v>
      </c>
      <c r="AA964" s="16">
        <f>_xlfn.XLOOKUP(CustomerCombinedCleaned[[#This Row],[ID]], Table2[ID],Table2[MC3], "Not Found", 0 )</f>
        <v>0</v>
      </c>
      <c r="AB964" s="16">
        <f>_xlfn.XLOOKUP(CustomerCombinedCleaned[[#This Row],[ID]], Table2[ID],Table2[MC4], "Not Found", 0 )</f>
        <v>0</v>
      </c>
      <c r="AC964" s="16">
        <f>_xlfn.XLOOKUP(CustomerCombinedCleaned[[#This Row],[ID]], Table2[ID],Table2[MC5], "Not Found", 0 )</f>
        <v>0</v>
      </c>
    </row>
    <row r="965" spans="1:29" x14ac:dyDescent="0.3">
      <c r="A965" s="18">
        <v>1439</v>
      </c>
      <c r="B965" s="16">
        <v>138988</v>
      </c>
      <c r="C965" s="16">
        <v>1</v>
      </c>
      <c r="D965" s="16">
        <v>2</v>
      </c>
      <c r="E965" s="16">
        <v>48</v>
      </c>
      <c r="F965" s="17" t="s">
        <v>6</v>
      </c>
      <c r="G965" s="17" t="s">
        <v>11</v>
      </c>
      <c r="H965" s="3" t="s">
        <v>408</v>
      </c>
      <c r="I965" s="5" t="s">
        <v>434</v>
      </c>
      <c r="J965" s="16">
        <f>_xlfn.XLOOKUP(CustomerCombinedCleaned[[#This Row],[ID]], Table4[ID], Table4[Recency], "Not Found", 0)</f>
        <v>90</v>
      </c>
      <c r="K965" s="16">
        <f>_xlfn.XLOOKUP(CustomerCombinedCleaned[[#This Row],[ID]], Table4[ID], Table4[Teas], "Not Found", 0)</f>
        <v>585</v>
      </c>
      <c r="L965" s="16">
        <f>_xlfn.XLOOKUP(CustomerCombinedCleaned[[#This Row],[ID]], Table4[ID], Table4[Fruits], "Not Found", 0)</f>
        <v>86</v>
      </c>
      <c r="M965" s="16">
        <f>_xlfn.XLOOKUP(CustomerCombinedCleaned[[#This Row],[ID]], Table4[ID], Table4[Meats], "Not Found", 0)</f>
        <v>367</v>
      </c>
      <c r="N965" s="16">
        <f>_xlfn.XLOOKUP(CustomerCombinedCleaned[[#This Row],[ID]], Table4[ID], Table4[Seafood], "Not Found", 0)</f>
        <v>43</v>
      </c>
      <c r="O965" s="16">
        <f>_xlfn.XLOOKUP(CustomerCombinedCleaned[[#This Row],[ID]], Table4[ID], Table4[Sweets], "Not Found", 0)</f>
        <v>11</v>
      </c>
      <c r="P965" s="16">
        <f>_xlfn.XLOOKUP(CustomerCombinedCleaned[[#This Row],[ID]], Table4[ID], Table4[Premium], "Not Found", 0)</f>
        <v>150</v>
      </c>
      <c r="Q965" s="16">
        <f>_xlfn.XLOOKUP(CustomerCombinedCleaned[[#This Row],[ID]], Table4[ID], Table4[Regular], "Not Found", 0)</f>
        <v>941</v>
      </c>
      <c r="R965" s="16">
        <f>_xlfn.XLOOKUP(CustomerCombinedCleaned[[#This Row],[ID]], Table4[ID], Table4[Deals], "Not Found", 0)</f>
        <v>7</v>
      </c>
      <c r="S965" s="16">
        <f>_xlfn.XLOOKUP(CustomerCombinedCleaned[[#This Row],[ID]], Table4[ID], Table4[Website], "Not Found", 0)</f>
        <v>5</v>
      </c>
      <c r="T965" s="16">
        <f>_xlfn.XLOOKUP(CustomerCombinedCleaned[[#This Row],[ID]], Table4[ID], Table4[Catalog], "Not Found", 0)</f>
        <v>1</v>
      </c>
      <c r="U965" s="16">
        <f>_xlfn.XLOOKUP(CustomerCombinedCleaned[[#This Row],[ID]], Table4[ID], Table4[Store], "Not Found", 0)</f>
        <v>6</v>
      </c>
      <c r="V965" s="16">
        <f>_xlfn.XLOOKUP(CustomerCombinedCleaned[[#This Row],[ID]], Table4[ID], Table4[Visits], "Not Found", 0)</f>
        <v>8</v>
      </c>
      <c r="W965" s="16">
        <f>_xlfn.XLOOKUP(CustomerCombinedCleaned[[#This Row],[ID]], Table2[ID],Table2[Complaint], "Not Found", 0 )</f>
        <v>0</v>
      </c>
      <c r="X965" s="16">
        <f>_xlfn.XLOOKUP(CustomerCombinedCleaned[[#This Row],[ID]], Table2[ID],Table2[Pilot], "Not Found", 0 )</f>
        <v>0</v>
      </c>
      <c r="Y965" s="16">
        <f>_xlfn.XLOOKUP(CustomerCombinedCleaned[[#This Row],[ID]], Table2[ID],Table2[MC1], "Not Found", 0 )</f>
        <v>0</v>
      </c>
      <c r="Z965" s="16">
        <f>_xlfn.XLOOKUP(CustomerCombinedCleaned[[#This Row],[ID]], Table2[ID],Table2[MC2], "Not Found", 0 )</f>
        <v>0</v>
      </c>
      <c r="AA965" s="16">
        <f>_xlfn.XLOOKUP(CustomerCombinedCleaned[[#This Row],[ID]], Table2[ID],Table2[MC3], "Not Found", 0 )</f>
        <v>0</v>
      </c>
      <c r="AB965" s="16">
        <f>_xlfn.XLOOKUP(CustomerCombinedCleaned[[#This Row],[ID]], Table2[ID],Table2[MC4], "Not Found", 0 )</f>
        <v>0</v>
      </c>
      <c r="AC965" s="16">
        <f>_xlfn.XLOOKUP(CustomerCombinedCleaned[[#This Row],[ID]], Table2[ID],Table2[MC5], "Not Found", 0 )</f>
        <v>0</v>
      </c>
    </row>
    <row r="966" spans="1:29" x14ac:dyDescent="0.3">
      <c r="A966" s="18">
        <v>2368</v>
      </c>
      <c r="B966" s="16">
        <v>138887</v>
      </c>
      <c r="C966" s="16">
        <v>1</v>
      </c>
      <c r="D966" s="16">
        <v>0</v>
      </c>
      <c r="E966" s="16">
        <v>48</v>
      </c>
      <c r="F966" s="17" t="s">
        <v>8</v>
      </c>
      <c r="G966" s="17" t="s">
        <v>13</v>
      </c>
      <c r="H966" s="3" t="s">
        <v>691</v>
      </c>
      <c r="I966" s="5" t="s">
        <v>439</v>
      </c>
      <c r="J966" s="16">
        <f>_xlfn.XLOOKUP(CustomerCombinedCleaned[[#This Row],[ID]], Table4[ID], Table4[Recency], "Not Found", 0)</f>
        <v>17</v>
      </c>
      <c r="K966" s="16">
        <f>_xlfn.XLOOKUP(CustomerCombinedCleaned[[#This Row],[ID]], Table4[ID], Table4[Teas], "Not Found", 0)</f>
        <v>89</v>
      </c>
      <c r="L966" s="16">
        <f>_xlfn.XLOOKUP(CustomerCombinedCleaned[[#This Row],[ID]], Table4[ID], Table4[Fruits], "Not Found", 0)</f>
        <v>4</v>
      </c>
      <c r="M966" s="16">
        <f>_xlfn.XLOOKUP(CustomerCombinedCleaned[[#This Row],[ID]], Table4[ID], Table4[Meats], "Not Found", 0)</f>
        <v>46</v>
      </c>
      <c r="N966" s="16">
        <f>_xlfn.XLOOKUP(CustomerCombinedCleaned[[#This Row],[ID]], Table4[ID], Table4[Seafood], "Not Found", 0)</f>
        <v>0</v>
      </c>
      <c r="O966" s="16">
        <f>_xlfn.XLOOKUP(CustomerCombinedCleaned[[#This Row],[ID]], Table4[ID], Table4[Sweets], "Not Found", 0)</f>
        <v>0</v>
      </c>
      <c r="P966" s="16">
        <f>_xlfn.XLOOKUP(CustomerCombinedCleaned[[#This Row],[ID]], Table4[ID], Table4[Premium], "Not Found", 0)</f>
        <v>11</v>
      </c>
      <c r="Q966" s="16">
        <f>_xlfn.XLOOKUP(CustomerCombinedCleaned[[#This Row],[ID]], Table4[ID], Table4[Regular], "Not Found", 0)</f>
        <v>129</v>
      </c>
      <c r="R966" s="16">
        <f>_xlfn.XLOOKUP(CustomerCombinedCleaned[[#This Row],[ID]], Table4[ID], Table4[Deals], "Not Found", 0)</f>
        <v>1</v>
      </c>
      <c r="S966" s="16">
        <f>_xlfn.XLOOKUP(CustomerCombinedCleaned[[#This Row],[ID]], Table4[ID], Table4[Website], "Not Found", 0)</f>
        <v>1</v>
      </c>
      <c r="T966" s="16">
        <f>_xlfn.XLOOKUP(CustomerCombinedCleaned[[#This Row],[ID]], Table4[ID], Table4[Catalog], "Not Found", 0)</f>
        <v>0</v>
      </c>
      <c r="U966" s="16">
        <f>_xlfn.XLOOKUP(CustomerCombinedCleaned[[#This Row],[ID]], Table4[ID], Table4[Store], "Not Found", 0)</f>
        <v>3</v>
      </c>
      <c r="V966" s="16">
        <f>_xlfn.XLOOKUP(CustomerCombinedCleaned[[#This Row],[ID]], Table4[ID], Table4[Visits], "Not Found", 0)</f>
        <v>7</v>
      </c>
      <c r="W966" s="16">
        <f>_xlfn.XLOOKUP(CustomerCombinedCleaned[[#This Row],[ID]], Table2[ID],Table2[Complaint], "Not Found", 0 )</f>
        <v>0</v>
      </c>
      <c r="X966" s="16">
        <f>_xlfn.XLOOKUP(CustomerCombinedCleaned[[#This Row],[ID]], Table2[ID],Table2[Pilot], "Not Found", 0 )</f>
        <v>0</v>
      </c>
      <c r="Y966" s="16">
        <f>_xlfn.XLOOKUP(CustomerCombinedCleaned[[#This Row],[ID]], Table2[ID],Table2[MC1], "Not Found", 0 )</f>
        <v>0</v>
      </c>
      <c r="Z966" s="16">
        <f>_xlfn.XLOOKUP(CustomerCombinedCleaned[[#This Row],[ID]], Table2[ID],Table2[MC2], "Not Found", 0 )</f>
        <v>0</v>
      </c>
      <c r="AA966" s="16">
        <f>_xlfn.XLOOKUP(CustomerCombinedCleaned[[#This Row],[ID]], Table2[ID],Table2[MC3], "Not Found", 0 )</f>
        <v>0</v>
      </c>
      <c r="AB966" s="16">
        <f>_xlfn.XLOOKUP(CustomerCombinedCleaned[[#This Row],[ID]], Table2[ID],Table2[MC4], "Not Found", 0 )</f>
        <v>0</v>
      </c>
      <c r="AC966" s="16">
        <f>_xlfn.XLOOKUP(CustomerCombinedCleaned[[#This Row],[ID]], Table2[ID],Table2[MC5], "Not Found", 0 )</f>
        <v>0</v>
      </c>
    </row>
    <row r="967" spans="1:29" x14ac:dyDescent="0.3">
      <c r="A967" s="18">
        <v>2253</v>
      </c>
      <c r="B967" s="16">
        <v>138808</v>
      </c>
      <c r="C967" s="16">
        <v>1</v>
      </c>
      <c r="D967" s="16">
        <v>0</v>
      </c>
      <c r="E967" s="16">
        <v>48</v>
      </c>
      <c r="F967" s="17" t="s">
        <v>7</v>
      </c>
      <c r="G967" s="17" t="s">
        <v>11</v>
      </c>
      <c r="H967" s="3" t="s">
        <v>402</v>
      </c>
      <c r="I967" s="5" t="s">
        <v>435</v>
      </c>
      <c r="J967" s="16">
        <f>_xlfn.XLOOKUP(CustomerCombinedCleaned[[#This Row],[ID]], Table4[ID], Table4[Recency], "Not Found", 0)</f>
        <v>21</v>
      </c>
      <c r="K967" s="16">
        <f>_xlfn.XLOOKUP(CustomerCombinedCleaned[[#This Row],[ID]], Table4[ID], Table4[Teas], "Not Found", 0)</f>
        <v>447</v>
      </c>
      <c r="L967" s="16">
        <f>_xlfn.XLOOKUP(CustomerCombinedCleaned[[#This Row],[ID]], Table4[ID], Table4[Fruits], "Not Found", 0)</f>
        <v>61</v>
      </c>
      <c r="M967" s="16">
        <f>_xlfn.XLOOKUP(CustomerCombinedCleaned[[#This Row],[ID]], Table4[ID], Table4[Meats], "Not Found", 0)</f>
        <v>186</v>
      </c>
      <c r="N967" s="16">
        <f>_xlfn.XLOOKUP(CustomerCombinedCleaned[[#This Row],[ID]], Table4[ID], Table4[Seafood], "Not Found", 0)</f>
        <v>11</v>
      </c>
      <c r="O967" s="16">
        <f>_xlfn.XLOOKUP(CustomerCombinedCleaned[[#This Row],[ID]], Table4[ID], Table4[Sweets], "Not Found", 0)</f>
        <v>68</v>
      </c>
      <c r="P967" s="16">
        <f>_xlfn.XLOOKUP(CustomerCombinedCleaned[[#This Row],[ID]], Table4[ID], Table4[Premium], "Not Found", 0)</f>
        <v>107</v>
      </c>
      <c r="Q967" s="16">
        <f>_xlfn.XLOOKUP(CustomerCombinedCleaned[[#This Row],[ID]], Table4[ID], Table4[Regular], "Not Found", 0)</f>
        <v>665</v>
      </c>
      <c r="R967" s="16">
        <f>_xlfn.XLOOKUP(CustomerCombinedCleaned[[#This Row],[ID]], Table4[ID], Table4[Deals], "Not Found", 0)</f>
        <v>4</v>
      </c>
      <c r="S967" s="16">
        <f>_xlfn.XLOOKUP(CustomerCombinedCleaned[[#This Row],[ID]], Table4[ID], Table4[Website], "Not Found", 0)</f>
        <v>5</v>
      </c>
      <c r="T967" s="16">
        <f>_xlfn.XLOOKUP(CustomerCombinedCleaned[[#This Row],[ID]], Table4[ID], Table4[Catalog], "Not Found", 0)</f>
        <v>1</v>
      </c>
      <c r="U967" s="16">
        <f>_xlfn.XLOOKUP(CustomerCombinedCleaned[[#This Row],[ID]], Table4[ID], Table4[Store], "Not Found", 0)</f>
        <v>4</v>
      </c>
      <c r="V967" s="16">
        <f>_xlfn.XLOOKUP(CustomerCombinedCleaned[[#This Row],[ID]], Table4[ID], Table4[Visits], "Not Found", 0)</f>
        <v>8</v>
      </c>
      <c r="W967" s="16">
        <f>_xlfn.XLOOKUP(CustomerCombinedCleaned[[#This Row],[ID]], Table2[ID],Table2[Complaint], "Not Found", 0 )</f>
        <v>0</v>
      </c>
      <c r="X967" s="16">
        <f>_xlfn.XLOOKUP(CustomerCombinedCleaned[[#This Row],[ID]], Table2[ID],Table2[Pilot], "Not Found", 0 )</f>
        <v>1</v>
      </c>
      <c r="Y967" s="16">
        <f>_xlfn.XLOOKUP(CustomerCombinedCleaned[[#This Row],[ID]], Table2[ID],Table2[MC1], "Not Found", 0 )</f>
        <v>0</v>
      </c>
      <c r="Z967" s="16">
        <f>_xlfn.XLOOKUP(CustomerCombinedCleaned[[#This Row],[ID]], Table2[ID],Table2[MC2], "Not Found", 0 )</f>
        <v>0</v>
      </c>
      <c r="AA967" s="16">
        <f>_xlfn.XLOOKUP(CustomerCombinedCleaned[[#This Row],[ID]], Table2[ID],Table2[MC3], "Not Found", 0 )</f>
        <v>1</v>
      </c>
      <c r="AB967" s="16">
        <f>_xlfn.XLOOKUP(CustomerCombinedCleaned[[#This Row],[ID]], Table2[ID],Table2[MC4], "Not Found", 0 )</f>
        <v>0</v>
      </c>
      <c r="AC967" s="16">
        <f>_xlfn.XLOOKUP(CustomerCombinedCleaned[[#This Row],[ID]], Table2[ID],Table2[MC5], "Not Found", 0 )</f>
        <v>0</v>
      </c>
    </row>
    <row r="968" spans="1:29" x14ac:dyDescent="0.3">
      <c r="A968" s="18">
        <v>1358</v>
      </c>
      <c r="B968" s="16">
        <v>138578</v>
      </c>
      <c r="C968" s="16">
        <v>1</v>
      </c>
      <c r="D968" s="16">
        <v>1</v>
      </c>
      <c r="E968" s="16">
        <v>48</v>
      </c>
      <c r="F968" s="17" t="s">
        <v>7</v>
      </c>
      <c r="G968" s="17" t="s">
        <v>13</v>
      </c>
      <c r="H968" s="3" t="s">
        <v>231</v>
      </c>
      <c r="I968" s="5" t="s">
        <v>438</v>
      </c>
      <c r="J968" s="16">
        <f>_xlfn.XLOOKUP(CustomerCombinedCleaned[[#This Row],[ID]], Table4[ID], Table4[Recency], "Not Found", 0)</f>
        <v>2</v>
      </c>
      <c r="K968" s="16">
        <f>_xlfn.XLOOKUP(CustomerCombinedCleaned[[#This Row],[ID]], Table4[ID], Table4[Teas], "Not Found", 0)</f>
        <v>137</v>
      </c>
      <c r="L968" s="16">
        <f>_xlfn.XLOOKUP(CustomerCombinedCleaned[[#This Row],[ID]], Table4[ID], Table4[Fruits], "Not Found", 0)</f>
        <v>14</v>
      </c>
      <c r="M968" s="16">
        <f>_xlfn.XLOOKUP(CustomerCombinedCleaned[[#This Row],[ID]], Table4[ID], Table4[Meats], "Not Found", 0)</f>
        <v>79</v>
      </c>
      <c r="N968" s="16">
        <f>_xlfn.XLOOKUP(CustomerCombinedCleaned[[#This Row],[ID]], Table4[ID], Table4[Seafood], "Not Found", 0)</f>
        <v>11</v>
      </c>
      <c r="O968" s="16">
        <f>_xlfn.XLOOKUP(CustomerCombinedCleaned[[#This Row],[ID]], Table4[ID], Table4[Sweets], "Not Found", 0)</f>
        <v>11</v>
      </c>
      <c r="P968" s="16">
        <f>_xlfn.XLOOKUP(CustomerCombinedCleaned[[#This Row],[ID]], Table4[ID], Table4[Premium], "Not Found", 0)</f>
        <v>11</v>
      </c>
      <c r="Q968" s="16">
        <f>_xlfn.XLOOKUP(CustomerCombinedCleaned[[#This Row],[ID]], Table4[ID], Table4[Regular], "Not Found", 0)</f>
        <v>241</v>
      </c>
      <c r="R968" s="16">
        <f>_xlfn.XLOOKUP(CustomerCombinedCleaned[[#This Row],[ID]], Table4[ID], Table4[Deals], "Not Found", 0)</f>
        <v>3</v>
      </c>
      <c r="S968" s="16">
        <f>_xlfn.XLOOKUP(CustomerCombinedCleaned[[#This Row],[ID]], Table4[ID], Table4[Website], "Not Found", 0)</f>
        <v>3</v>
      </c>
      <c r="T968" s="16">
        <f>_xlfn.XLOOKUP(CustomerCombinedCleaned[[#This Row],[ID]], Table4[ID], Table4[Catalog], "Not Found", 0)</f>
        <v>0</v>
      </c>
      <c r="U968" s="16">
        <f>_xlfn.XLOOKUP(CustomerCombinedCleaned[[#This Row],[ID]], Table4[ID], Table4[Store], "Not Found", 0)</f>
        <v>3</v>
      </c>
      <c r="V968" s="16">
        <f>_xlfn.XLOOKUP(CustomerCombinedCleaned[[#This Row],[ID]], Table4[ID], Table4[Visits], "Not Found", 0)</f>
        <v>8</v>
      </c>
      <c r="W968" s="16">
        <f>_xlfn.XLOOKUP(CustomerCombinedCleaned[[#This Row],[ID]], Table2[ID],Table2[Complaint], "Not Found", 0 )</f>
        <v>0</v>
      </c>
      <c r="X968" s="16">
        <f>_xlfn.XLOOKUP(CustomerCombinedCleaned[[#This Row],[ID]], Table2[ID],Table2[Pilot], "Not Found", 0 )</f>
        <v>1</v>
      </c>
      <c r="Y968" s="16">
        <f>_xlfn.XLOOKUP(CustomerCombinedCleaned[[#This Row],[ID]], Table2[ID],Table2[MC1], "Not Found", 0 )</f>
        <v>0</v>
      </c>
      <c r="Z968" s="16">
        <f>_xlfn.XLOOKUP(CustomerCombinedCleaned[[#This Row],[ID]], Table2[ID],Table2[MC2], "Not Found", 0 )</f>
        <v>0</v>
      </c>
      <c r="AA968" s="16">
        <f>_xlfn.XLOOKUP(CustomerCombinedCleaned[[#This Row],[ID]], Table2[ID],Table2[MC3], "Not Found", 0 )</f>
        <v>0</v>
      </c>
      <c r="AB968" s="16">
        <f>_xlfn.XLOOKUP(CustomerCombinedCleaned[[#This Row],[ID]], Table2[ID],Table2[MC4], "Not Found", 0 )</f>
        <v>0</v>
      </c>
      <c r="AC968" s="16">
        <f>_xlfn.XLOOKUP(CustomerCombinedCleaned[[#This Row],[ID]], Table2[ID],Table2[MC5], "Not Found", 0 )</f>
        <v>0</v>
      </c>
    </row>
    <row r="969" spans="1:29" x14ac:dyDescent="0.3">
      <c r="A969" s="18">
        <v>2074</v>
      </c>
      <c r="B969" s="16">
        <v>138578</v>
      </c>
      <c r="C969" s="16">
        <v>1</v>
      </c>
      <c r="D969" s="16">
        <v>1</v>
      </c>
      <c r="E969" s="16">
        <v>48</v>
      </c>
      <c r="F969" s="17" t="s">
        <v>7</v>
      </c>
      <c r="G969" s="17" t="s">
        <v>13</v>
      </c>
      <c r="H969" s="3" t="s">
        <v>231</v>
      </c>
      <c r="I969" s="5" t="s">
        <v>439</v>
      </c>
      <c r="J969" s="16">
        <f>_xlfn.XLOOKUP(CustomerCombinedCleaned[[#This Row],[ID]], Table4[ID], Table4[Recency], "Not Found", 0)</f>
        <v>2</v>
      </c>
      <c r="K969" s="16">
        <f>_xlfn.XLOOKUP(CustomerCombinedCleaned[[#This Row],[ID]], Table4[ID], Table4[Teas], "Not Found", 0)</f>
        <v>137</v>
      </c>
      <c r="L969" s="16">
        <f>_xlfn.XLOOKUP(CustomerCombinedCleaned[[#This Row],[ID]], Table4[ID], Table4[Fruits], "Not Found", 0)</f>
        <v>14</v>
      </c>
      <c r="M969" s="16">
        <f>_xlfn.XLOOKUP(CustomerCombinedCleaned[[#This Row],[ID]], Table4[ID], Table4[Meats], "Not Found", 0)</f>
        <v>79</v>
      </c>
      <c r="N969" s="16">
        <f>_xlfn.XLOOKUP(CustomerCombinedCleaned[[#This Row],[ID]], Table4[ID], Table4[Seafood], "Not Found", 0)</f>
        <v>11</v>
      </c>
      <c r="O969" s="16">
        <f>_xlfn.XLOOKUP(CustomerCombinedCleaned[[#This Row],[ID]], Table4[ID], Table4[Sweets], "Not Found", 0)</f>
        <v>11</v>
      </c>
      <c r="P969" s="16">
        <f>_xlfn.XLOOKUP(CustomerCombinedCleaned[[#This Row],[ID]], Table4[ID], Table4[Premium], "Not Found", 0)</f>
        <v>11</v>
      </c>
      <c r="Q969" s="16">
        <f>_xlfn.XLOOKUP(CustomerCombinedCleaned[[#This Row],[ID]], Table4[ID], Table4[Regular], "Not Found", 0)</f>
        <v>241</v>
      </c>
      <c r="R969" s="16">
        <f>_xlfn.XLOOKUP(CustomerCombinedCleaned[[#This Row],[ID]], Table4[ID], Table4[Deals], "Not Found", 0)</f>
        <v>3</v>
      </c>
      <c r="S969" s="16">
        <f>_xlfn.XLOOKUP(CustomerCombinedCleaned[[#This Row],[ID]], Table4[ID], Table4[Website], "Not Found", 0)</f>
        <v>3</v>
      </c>
      <c r="T969" s="16">
        <f>_xlfn.XLOOKUP(CustomerCombinedCleaned[[#This Row],[ID]], Table4[ID], Table4[Catalog], "Not Found", 0)</f>
        <v>0</v>
      </c>
      <c r="U969" s="16">
        <f>_xlfn.XLOOKUP(CustomerCombinedCleaned[[#This Row],[ID]], Table4[ID], Table4[Store], "Not Found", 0)</f>
        <v>3</v>
      </c>
      <c r="V969" s="16">
        <f>_xlfn.XLOOKUP(CustomerCombinedCleaned[[#This Row],[ID]], Table4[ID], Table4[Visits], "Not Found", 0)</f>
        <v>8</v>
      </c>
      <c r="W969" s="16">
        <f>_xlfn.XLOOKUP(CustomerCombinedCleaned[[#This Row],[ID]], Table2[ID],Table2[Complaint], "Not Found", 0 )</f>
        <v>0</v>
      </c>
      <c r="X969" s="16">
        <f>_xlfn.XLOOKUP(CustomerCombinedCleaned[[#This Row],[ID]], Table2[ID],Table2[Pilot], "Not Found", 0 )</f>
        <v>0</v>
      </c>
      <c r="Y969" s="16">
        <f>_xlfn.XLOOKUP(CustomerCombinedCleaned[[#This Row],[ID]], Table2[ID],Table2[MC1], "Not Found", 0 )</f>
        <v>0</v>
      </c>
      <c r="Z969" s="16">
        <f>_xlfn.XLOOKUP(CustomerCombinedCleaned[[#This Row],[ID]], Table2[ID],Table2[MC2], "Not Found", 0 )</f>
        <v>0</v>
      </c>
      <c r="AA969" s="16">
        <f>_xlfn.XLOOKUP(CustomerCombinedCleaned[[#This Row],[ID]], Table2[ID],Table2[MC3], "Not Found", 0 )</f>
        <v>0</v>
      </c>
      <c r="AB969" s="16">
        <f>_xlfn.XLOOKUP(CustomerCombinedCleaned[[#This Row],[ID]], Table2[ID],Table2[MC4], "Not Found", 0 )</f>
        <v>0</v>
      </c>
      <c r="AC969" s="16">
        <f>_xlfn.XLOOKUP(CustomerCombinedCleaned[[#This Row],[ID]], Table2[ID],Table2[MC5], "Not Found", 0 )</f>
        <v>0</v>
      </c>
    </row>
    <row r="970" spans="1:29" x14ac:dyDescent="0.3">
      <c r="A970" s="18">
        <v>2494</v>
      </c>
      <c r="B970" s="16">
        <v>137787</v>
      </c>
      <c r="C970" s="16">
        <v>1</v>
      </c>
      <c r="D970" s="16">
        <v>0</v>
      </c>
      <c r="E970" s="16">
        <v>48</v>
      </c>
      <c r="F970" s="17" t="s">
        <v>6</v>
      </c>
      <c r="G970" s="17" t="s">
        <v>12</v>
      </c>
      <c r="H970" s="3" t="s">
        <v>179</v>
      </c>
      <c r="I970" s="5" t="s">
        <v>439</v>
      </c>
      <c r="J970" s="16">
        <f>_xlfn.XLOOKUP(CustomerCombinedCleaned[[#This Row],[ID]], Table4[ID], Table4[Recency], "Not Found", 0)</f>
        <v>50</v>
      </c>
      <c r="K970" s="16">
        <f>_xlfn.XLOOKUP(CustomerCombinedCleaned[[#This Row],[ID]], Table4[ID], Table4[Teas], "Not Found", 0)</f>
        <v>146</v>
      </c>
      <c r="L970" s="16">
        <f>_xlfn.XLOOKUP(CustomerCombinedCleaned[[#This Row],[ID]], Table4[ID], Table4[Fruits], "Not Found", 0)</f>
        <v>4</v>
      </c>
      <c r="M970" s="16">
        <f>_xlfn.XLOOKUP(CustomerCombinedCleaned[[#This Row],[ID]], Table4[ID], Table4[Meats], "Not Found", 0)</f>
        <v>146</v>
      </c>
      <c r="N970" s="16">
        <f>_xlfn.XLOOKUP(CustomerCombinedCleaned[[#This Row],[ID]], Table4[ID], Table4[Seafood], "Not Found", 0)</f>
        <v>15</v>
      </c>
      <c r="O970" s="16">
        <f>_xlfn.XLOOKUP(CustomerCombinedCleaned[[#This Row],[ID]], Table4[ID], Table4[Sweets], "Not Found", 0)</f>
        <v>11</v>
      </c>
      <c r="P970" s="16">
        <f>_xlfn.XLOOKUP(CustomerCombinedCleaned[[#This Row],[ID]], Table4[ID], Table4[Premium], "Not Found", 0)</f>
        <v>66</v>
      </c>
      <c r="Q970" s="16">
        <f>_xlfn.XLOOKUP(CustomerCombinedCleaned[[#This Row],[ID]], Table4[ID], Table4[Regular], "Not Found", 0)</f>
        <v>255</v>
      </c>
      <c r="R970" s="16">
        <f>_xlfn.XLOOKUP(CustomerCombinedCleaned[[#This Row],[ID]], Table4[ID], Table4[Deals], "Not Found", 0)</f>
        <v>1</v>
      </c>
      <c r="S970" s="16">
        <f>_xlfn.XLOOKUP(CustomerCombinedCleaned[[#This Row],[ID]], Table4[ID], Table4[Website], "Not Found", 0)</f>
        <v>3</v>
      </c>
      <c r="T970" s="16">
        <f>_xlfn.XLOOKUP(CustomerCombinedCleaned[[#This Row],[ID]], Table4[ID], Table4[Catalog], "Not Found", 0)</f>
        <v>0</v>
      </c>
      <c r="U970" s="16">
        <f>_xlfn.XLOOKUP(CustomerCombinedCleaned[[#This Row],[ID]], Table4[ID], Table4[Store], "Not Found", 0)</f>
        <v>3</v>
      </c>
      <c r="V970" s="16">
        <f>_xlfn.XLOOKUP(CustomerCombinedCleaned[[#This Row],[ID]], Table4[ID], Table4[Visits], "Not Found", 0)</f>
        <v>8</v>
      </c>
      <c r="W970" s="16">
        <f>_xlfn.XLOOKUP(CustomerCombinedCleaned[[#This Row],[ID]], Table2[ID],Table2[Complaint], "Not Found", 0 )</f>
        <v>0</v>
      </c>
      <c r="X970" s="16">
        <f>_xlfn.XLOOKUP(CustomerCombinedCleaned[[#This Row],[ID]], Table2[ID],Table2[Pilot], "Not Found", 0 )</f>
        <v>0</v>
      </c>
      <c r="Y970" s="16">
        <f>_xlfn.XLOOKUP(CustomerCombinedCleaned[[#This Row],[ID]], Table2[ID],Table2[MC1], "Not Found", 0 )</f>
        <v>0</v>
      </c>
      <c r="Z970" s="16">
        <f>_xlfn.XLOOKUP(CustomerCombinedCleaned[[#This Row],[ID]], Table2[ID],Table2[MC2], "Not Found", 0 )</f>
        <v>0</v>
      </c>
      <c r="AA970" s="16">
        <f>_xlfn.XLOOKUP(CustomerCombinedCleaned[[#This Row],[ID]], Table2[ID],Table2[MC3], "Not Found", 0 )</f>
        <v>0</v>
      </c>
      <c r="AB970" s="16">
        <f>_xlfn.XLOOKUP(CustomerCombinedCleaned[[#This Row],[ID]], Table2[ID],Table2[MC4], "Not Found", 0 )</f>
        <v>0</v>
      </c>
      <c r="AC970" s="16">
        <f>_xlfn.XLOOKUP(CustomerCombinedCleaned[[#This Row],[ID]], Table2[ID],Table2[MC5], "Not Found", 0 )</f>
        <v>0</v>
      </c>
    </row>
    <row r="971" spans="1:29" x14ac:dyDescent="0.3">
      <c r="A971" s="18">
        <v>1465</v>
      </c>
      <c r="B971" s="16">
        <v>137760</v>
      </c>
      <c r="C971" s="16">
        <v>1</v>
      </c>
      <c r="D971" s="16">
        <v>0</v>
      </c>
      <c r="E971" s="16">
        <v>48</v>
      </c>
      <c r="F971" s="17" t="s">
        <v>5</v>
      </c>
      <c r="G971" s="17" t="s">
        <v>12</v>
      </c>
      <c r="H971" s="3" t="s">
        <v>206</v>
      </c>
      <c r="I971" s="5" t="s">
        <v>437</v>
      </c>
      <c r="J971" s="16">
        <f>_xlfn.XLOOKUP(CustomerCombinedCleaned[[#This Row],[ID]], Table4[ID], Table4[Recency], "Not Found", 0)</f>
        <v>54</v>
      </c>
      <c r="K971" s="16">
        <f>_xlfn.XLOOKUP(CustomerCombinedCleaned[[#This Row],[ID]], Table4[ID], Table4[Teas], "Not Found", 0)</f>
        <v>95</v>
      </c>
      <c r="L971" s="16">
        <f>_xlfn.XLOOKUP(CustomerCombinedCleaned[[#This Row],[ID]], Table4[ID], Table4[Fruits], "Not Found", 0)</f>
        <v>11</v>
      </c>
      <c r="M971" s="16">
        <f>_xlfn.XLOOKUP(CustomerCombinedCleaned[[#This Row],[ID]], Table4[ID], Table4[Meats], "Not Found", 0)</f>
        <v>47</v>
      </c>
      <c r="N971" s="16">
        <f>_xlfn.XLOOKUP(CustomerCombinedCleaned[[#This Row],[ID]], Table4[ID], Table4[Seafood], "Not Found", 0)</f>
        <v>7</v>
      </c>
      <c r="O971" s="16">
        <f>_xlfn.XLOOKUP(CustomerCombinedCleaned[[#This Row],[ID]], Table4[ID], Table4[Sweets], "Not Found", 0)</f>
        <v>36</v>
      </c>
      <c r="P971" s="16">
        <f>_xlfn.XLOOKUP(CustomerCombinedCleaned[[#This Row],[ID]], Table4[ID], Table4[Premium], "Not Found", 0)</f>
        <v>0</v>
      </c>
      <c r="Q971" s="16">
        <f>_xlfn.XLOOKUP(CustomerCombinedCleaned[[#This Row],[ID]], Table4[ID], Table4[Regular], "Not Found", 0)</f>
        <v>197</v>
      </c>
      <c r="R971" s="16">
        <f>_xlfn.XLOOKUP(CustomerCombinedCleaned[[#This Row],[ID]], Table4[ID], Table4[Deals], "Not Found", 0)</f>
        <v>1</v>
      </c>
      <c r="S971" s="16">
        <f>_xlfn.XLOOKUP(CustomerCombinedCleaned[[#This Row],[ID]], Table4[ID], Table4[Website], "Not Found", 0)</f>
        <v>2</v>
      </c>
      <c r="T971" s="16">
        <f>_xlfn.XLOOKUP(CustomerCombinedCleaned[[#This Row],[ID]], Table4[ID], Table4[Catalog], "Not Found", 0)</f>
        <v>0</v>
      </c>
      <c r="U971" s="16">
        <f>_xlfn.XLOOKUP(CustomerCombinedCleaned[[#This Row],[ID]], Table4[ID], Table4[Store], "Not Found", 0)</f>
        <v>3</v>
      </c>
      <c r="V971" s="16">
        <f>_xlfn.XLOOKUP(CustomerCombinedCleaned[[#This Row],[ID]], Table4[ID], Table4[Visits], "Not Found", 0)</f>
        <v>6</v>
      </c>
      <c r="W971" s="16">
        <f>_xlfn.XLOOKUP(CustomerCombinedCleaned[[#This Row],[ID]], Table2[ID],Table2[Complaint], "Not Found", 0 )</f>
        <v>0</v>
      </c>
      <c r="X971" s="16">
        <f>_xlfn.XLOOKUP(CustomerCombinedCleaned[[#This Row],[ID]], Table2[ID],Table2[Pilot], "Not Found", 0 )</f>
        <v>0</v>
      </c>
      <c r="Y971" s="16">
        <f>_xlfn.XLOOKUP(CustomerCombinedCleaned[[#This Row],[ID]], Table2[ID],Table2[MC1], "Not Found", 0 )</f>
        <v>0</v>
      </c>
      <c r="Z971" s="16">
        <f>_xlfn.XLOOKUP(CustomerCombinedCleaned[[#This Row],[ID]], Table2[ID],Table2[MC2], "Not Found", 0 )</f>
        <v>0</v>
      </c>
      <c r="AA971" s="16">
        <f>_xlfn.XLOOKUP(CustomerCombinedCleaned[[#This Row],[ID]], Table2[ID],Table2[MC3], "Not Found", 0 )</f>
        <v>0</v>
      </c>
      <c r="AB971" s="16">
        <f>_xlfn.XLOOKUP(CustomerCombinedCleaned[[#This Row],[ID]], Table2[ID],Table2[MC4], "Not Found", 0 )</f>
        <v>0</v>
      </c>
      <c r="AC971" s="16">
        <f>_xlfn.XLOOKUP(CustomerCombinedCleaned[[#This Row],[ID]], Table2[ID],Table2[MC5], "Not Found", 0 )</f>
        <v>0</v>
      </c>
    </row>
    <row r="972" spans="1:29" x14ac:dyDescent="0.3">
      <c r="A972" s="18">
        <v>2394</v>
      </c>
      <c r="B972" s="16">
        <v>136026</v>
      </c>
      <c r="C972" s="16">
        <v>2</v>
      </c>
      <c r="D972" s="16">
        <v>1</v>
      </c>
      <c r="E972" s="16">
        <v>48</v>
      </c>
      <c r="F972" s="17" t="s">
        <v>6</v>
      </c>
      <c r="G972" s="17" t="s">
        <v>11</v>
      </c>
      <c r="H972" s="3" t="s">
        <v>85</v>
      </c>
      <c r="I972" s="5" t="s">
        <v>436</v>
      </c>
      <c r="J972" s="16">
        <f>_xlfn.XLOOKUP(CustomerCombinedCleaned[[#This Row],[ID]], Table4[ID], Table4[Recency], "Not Found", 0)</f>
        <v>34</v>
      </c>
      <c r="K972" s="16">
        <f>_xlfn.XLOOKUP(CustomerCombinedCleaned[[#This Row],[ID]], Table4[ID], Table4[Teas], "Not Found", 0)</f>
        <v>76</v>
      </c>
      <c r="L972" s="16">
        <f>_xlfn.XLOOKUP(CustomerCombinedCleaned[[#This Row],[ID]], Table4[ID], Table4[Fruits], "Not Found", 0)</f>
        <v>15</v>
      </c>
      <c r="M972" s="16">
        <f>_xlfn.XLOOKUP(CustomerCombinedCleaned[[#This Row],[ID]], Table4[ID], Table4[Meats], "Not Found", 0)</f>
        <v>38</v>
      </c>
      <c r="N972" s="16">
        <f>_xlfn.XLOOKUP(CustomerCombinedCleaned[[#This Row],[ID]], Table4[ID], Table4[Seafood], "Not Found", 0)</f>
        <v>23</v>
      </c>
      <c r="O972" s="16">
        <f>_xlfn.XLOOKUP(CustomerCombinedCleaned[[#This Row],[ID]], Table4[ID], Table4[Sweets], "Not Found", 0)</f>
        <v>15</v>
      </c>
      <c r="P972" s="16">
        <f>_xlfn.XLOOKUP(CustomerCombinedCleaned[[#This Row],[ID]], Table4[ID], Table4[Premium], "Not Found", 0)</f>
        <v>64</v>
      </c>
      <c r="Q972" s="16">
        <f>_xlfn.XLOOKUP(CustomerCombinedCleaned[[#This Row],[ID]], Table4[ID], Table4[Regular], "Not Found", 0)</f>
        <v>102</v>
      </c>
      <c r="R972" s="16">
        <f>_xlfn.XLOOKUP(CustomerCombinedCleaned[[#This Row],[ID]], Table4[ID], Table4[Deals], "Not Found", 0)</f>
        <v>2</v>
      </c>
      <c r="S972" s="16">
        <f>_xlfn.XLOOKUP(CustomerCombinedCleaned[[#This Row],[ID]], Table4[ID], Table4[Website], "Not Found", 0)</f>
        <v>2</v>
      </c>
      <c r="T972" s="16">
        <f>_xlfn.XLOOKUP(CustomerCombinedCleaned[[#This Row],[ID]], Table4[ID], Table4[Catalog], "Not Found", 0)</f>
        <v>0</v>
      </c>
      <c r="U972" s="16">
        <f>_xlfn.XLOOKUP(CustomerCombinedCleaned[[#This Row],[ID]], Table4[ID], Table4[Store], "Not Found", 0)</f>
        <v>3</v>
      </c>
      <c r="V972" s="16">
        <f>_xlfn.XLOOKUP(CustomerCombinedCleaned[[#This Row],[ID]], Table4[ID], Table4[Visits], "Not Found", 0)</f>
        <v>6</v>
      </c>
      <c r="W972" s="16">
        <f>_xlfn.XLOOKUP(CustomerCombinedCleaned[[#This Row],[ID]], Table2[ID],Table2[Complaint], "Not Found", 0 )</f>
        <v>0</v>
      </c>
      <c r="X972" s="16">
        <f>_xlfn.XLOOKUP(CustomerCombinedCleaned[[#This Row],[ID]], Table2[ID],Table2[Pilot], "Not Found", 0 )</f>
        <v>0</v>
      </c>
      <c r="Y972" s="16">
        <f>_xlfn.XLOOKUP(CustomerCombinedCleaned[[#This Row],[ID]], Table2[ID],Table2[MC1], "Not Found", 0 )</f>
        <v>0</v>
      </c>
      <c r="Z972" s="16">
        <f>_xlfn.XLOOKUP(CustomerCombinedCleaned[[#This Row],[ID]], Table2[ID],Table2[MC2], "Not Found", 0 )</f>
        <v>0</v>
      </c>
      <c r="AA972" s="16">
        <f>_xlfn.XLOOKUP(CustomerCombinedCleaned[[#This Row],[ID]], Table2[ID],Table2[MC3], "Not Found", 0 )</f>
        <v>0</v>
      </c>
      <c r="AB972" s="16">
        <f>_xlfn.XLOOKUP(CustomerCombinedCleaned[[#This Row],[ID]], Table2[ID],Table2[MC4], "Not Found", 0 )</f>
        <v>0</v>
      </c>
      <c r="AC972" s="16">
        <f>_xlfn.XLOOKUP(CustomerCombinedCleaned[[#This Row],[ID]], Table2[ID],Table2[MC5], "Not Found", 0 )</f>
        <v>0</v>
      </c>
    </row>
    <row r="973" spans="1:29" x14ac:dyDescent="0.3">
      <c r="A973" s="18">
        <v>1894</v>
      </c>
      <c r="B973" s="16">
        <v>135641</v>
      </c>
      <c r="C973" s="16">
        <v>1</v>
      </c>
      <c r="D973" s="16">
        <v>0</v>
      </c>
      <c r="E973" s="16">
        <v>48</v>
      </c>
      <c r="F973" s="17" t="s">
        <v>6</v>
      </c>
      <c r="G973" s="17" t="s">
        <v>12</v>
      </c>
      <c r="H973" s="3" t="s">
        <v>222</v>
      </c>
      <c r="I973" s="5" t="s">
        <v>439</v>
      </c>
      <c r="J973" s="16">
        <f>_xlfn.XLOOKUP(CustomerCombinedCleaned[[#This Row],[ID]], Table4[ID], Table4[Recency], "Not Found", 0)</f>
        <v>11</v>
      </c>
      <c r="K973" s="16">
        <f>_xlfn.XLOOKUP(CustomerCombinedCleaned[[#This Row],[ID]], Table4[ID], Table4[Teas], "Not Found", 0)</f>
        <v>240</v>
      </c>
      <c r="L973" s="16">
        <f>_xlfn.XLOOKUP(CustomerCombinedCleaned[[#This Row],[ID]], Table4[ID], Table4[Fruits], "Not Found", 0)</f>
        <v>11</v>
      </c>
      <c r="M973" s="16">
        <f>_xlfn.XLOOKUP(CustomerCombinedCleaned[[#This Row],[ID]], Table4[ID], Table4[Meats], "Not Found", 0)</f>
        <v>255</v>
      </c>
      <c r="N973" s="16">
        <f>_xlfn.XLOOKUP(CustomerCombinedCleaned[[#This Row],[ID]], Table4[ID], Table4[Seafood], "Not Found", 0)</f>
        <v>30</v>
      </c>
      <c r="O973" s="16">
        <f>_xlfn.XLOOKUP(CustomerCombinedCleaned[[#This Row],[ID]], Table4[ID], Table4[Sweets], "Not Found", 0)</f>
        <v>34</v>
      </c>
      <c r="P973" s="16">
        <f>_xlfn.XLOOKUP(CustomerCombinedCleaned[[#This Row],[ID]], Table4[ID], Table4[Premium], "Not Found", 0)</f>
        <v>107</v>
      </c>
      <c r="Q973" s="16">
        <f>_xlfn.XLOOKUP(CustomerCombinedCleaned[[#This Row],[ID]], Table4[ID], Table4[Regular], "Not Found", 0)</f>
        <v>464</v>
      </c>
      <c r="R973" s="16">
        <f>_xlfn.XLOOKUP(CustomerCombinedCleaned[[#This Row],[ID]], Table4[ID], Table4[Deals], "Not Found", 0)</f>
        <v>2</v>
      </c>
      <c r="S973" s="16">
        <f>_xlfn.XLOOKUP(CustomerCombinedCleaned[[#This Row],[ID]], Table4[ID], Table4[Website], "Not Found", 0)</f>
        <v>3</v>
      </c>
      <c r="T973" s="16">
        <f>_xlfn.XLOOKUP(CustomerCombinedCleaned[[#This Row],[ID]], Table4[ID], Table4[Catalog], "Not Found", 0)</f>
        <v>1</v>
      </c>
      <c r="U973" s="16">
        <f>_xlfn.XLOOKUP(CustomerCombinedCleaned[[#This Row],[ID]], Table4[ID], Table4[Store], "Not Found", 0)</f>
        <v>4</v>
      </c>
      <c r="V973" s="16">
        <f>_xlfn.XLOOKUP(CustomerCombinedCleaned[[#This Row],[ID]], Table4[ID], Table4[Visits], "Not Found", 0)</f>
        <v>7</v>
      </c>
      <c r="W973" s="16">
        <f>_xlfn.XLOOKUP(CustomerCombinedCleaned[[#This Row],[ID]], Table2[ID],Table2[Complaint], "Not Found", 0 )</f>
        <v>0</v>
      </c>
      <c r="X973" s="16">
        <f>_xlfn.XLOOKUP(CustomerCombinedCleaned[[#This Row],[ID]], Table2[ID],Table2[Pilot], "Not Found", 0 )</f>
        <v>1</v>
      </c>
      <c r="Y973" s="16">
        <f>_xlfn.XLOOKUP(CustomerCombinedCleaned[[#This Row],[ID]], Table2[ID],Table2[MC1], "Not Found", 0 )</f>
        <v>0</v>
      </c>
      <c r="Z973" s="16">
        <f>_xlfn.XLOOKUP(CustomerCombinedCleaned[[#This Row],[ID]], Table2[ID],Table2[MC2], "Not Found", 0 )</f>
        <v>0</v>
      </c>
      <c r="AA973" s="16">
        <f>_xlfn.XLOOKUP(CustomerCombinedCleaned[[#This Row],[ID]], Table2[ID],Table2[MC3], "Not Found", 0 )</f>
        <v>0</v>
      </c>
      <c r="AB973" s="16">
        <f>_xlfn.XLOOKUP(CustomerCombinedCleaned[[#This Row],[ID]], Table2[ID],Table2[MC4], "Not Found", 0 )</f>
        <v>0</v>
      </c>
      <c r="AC973" s="16">
        <f>_xlfn.XLOOKUP(CustomerCombinedCleaned[[#This Row],[ID]], Table2[ID],Table2[MC5], "Not Found", 0 )</f>
        <v>0</v>
      </c>
    </row>
    <row r="974" spans="1:29" x14ac:dyDescent="0.3">
      <c r="A974" s="18">
        <v>2396</v>
      </c>
      <c r="B974" s="16">
        <v>134578</v>
      </c>
      <c r="C974" s="16">
        <v>2</v>
      </c>
      <c r="D974" s="16">
        <v>1</v>
      </c>
      <c r="E974" s="16">
        <v>48</v>
      </c>
      <c r="F974" s="17" t="s">
        <v>8</v>
      </c>
      <c r="G974" s="17" t="s">
        <v>13</v>
      </c>
      <c r="H974" s="3" t="s">
        <v>71</v>
      </c>
      <c r="I974" s="5" t="s">
        <v>438</v>
      </c>
      <c r="J974" s="16">
        <f>_xlfn.XLOOKUP(CustomerCombinedCleaned[[#This Row],[ID]], Table4[ID], Table4[Recency], "Not Found", 0)</f>
        <v>1</v>
      </c>
      <c r="K974" s="16">
        <f>_xlfn.XLOOKUP(CustomerCombinedCleaned[[#This Row],[ID]], Table4[ID], Table4[Teas], "Not Found", 0)</f>
        <v>27</v>
      </c>
      <c r="L974" s="16">
        <f>_xlfn.XLOOKUP(CustomerCombinedCleaned[[#This Row],[ID]], Table4[ID], Table4[Fruits], "Not Found", 0)</f>
        <v>0</v>
      </c>
      <c r="M974" s="16">
        <f>_xlfn.XLOOKUP(CustomerCombinedCleaned[[#This Row],[ID]], Table4[ID], Table4[Meats], "Not Found", 0)</f>
        <v>4</v>
      </c>
      <c r="N974" s="16">
        <f>_xlfn.XLOOKUP(CustomerCombinedCleaned[[#This Row],[ID]], Table4[ID], Table4[Seafood], "Not Found", 0)</f>
        <v>0</v>
      </c>
      <c r="O974" s="16">
        <f>_xlfn.XLOOKUP(CustomerCombinedCleaned[[#This Row],[ID]], Table4[ID], Table4[Sweets], "Not Found", 0)</f>
        <v>0</v>
      </c>
      <c r="P974" s="16">
        <f>_xlfn.XLOOKUP(CustomerCombinedCleaned[[#This Row],[ID]], Table4[ID], Table4[Premium], "Not Found", 0)</f>
        <v>0</v>
      </c>
      <c r="Q974" s="16">
        <f>_xlfn.XLOOKUP(CustomerCombinedCleaned[[#This Row],[ID]], Table4[ID], Table4[Regular], "Not Found", 0)</f>
        <v>31</v>
      </c>
      <c r="R974" s="16">
        <f>_xlfn.XLOOKUP(CustomerCombinedCleaned[[#This Row],[ID]], Table4[ID], Table4[Deals], "Not Found", 0)</f>
        <v>1</v>
      </c>
      <c r="S974" s="16">
        <f>_xlfn.XLOOKUP(CustomerCombinedCleaned[[#This Row],[ID]], Table4[ID], Table4[Website], "Not Found", 0)</f>
        <v>1</v>
      </c>
      <c r="T974" s="16">
        <f>_xlfn.XLOOKUP(CustomerCombinedCleaned[[#This Row],[ID]], Table4[ID], Table4[Catalog], "Not Found", 0)</f>
        <v>0</v>
      </c>
      <c r="U974" s="16">
        <f>_xlfn.XLOOKUP(CustomerCombinedCleaned[[#This Row],[ID]], Table4[ID], Table4[Store], "Not Found", 0)</f>
        <v>2</v>
      </c>
      <c r="V974" s="16">
        <f>_xlfn.XLOOKUP(CustomerCombinedCleaned[[#This Row],[ID]], Table4[ID], Table4[Visits], "Not Found", 0)</f>
        <v>6</v>
      </c>
      <c r="W974" s="16">
        <f>_xlfn.XLOOKUP(CustomerCombinedCleaned[[#This Row],[ID]], Table2[ID],Table2[Complaint], "Not Found", 0 )</f>
        <v>0</v>
      </c>
      <c r="X974" s="16">
        <f>_xlfn.XLOOKUP(CustomerCombinedCleaned[[#This Row],[ID]], Table2[ID],Table2[Pilot], "Not Found", 0 )</f>
        <v>0</v>
      </c>
      <c r="Y974" s="16">
        <f>_xlfn.XLOOKUP(CustomerCombinedCleaned[[#This Row],[ID]], Table2[ID],Table2[MC1], "Not Found", 0 )</f>
        <v>0</v>
      </c>
      <c r="Z974" s="16">
        <f>_xlfn.XLOOKUP(CustomerCombinedCleaned[[#This Row],[ID]], Table2[ID],Table2[MC2], "Not Found", 0 )</f>
        <v>0</v>
      </c>
      <c r="AA974" s="16">
        <f>_xlfn.XLOOKUP(CustomerCombinedCleaned[[#This Row],[ID]], Table2[ID],Table2[MC3], "Not Found", 0 )</f>
        <v>0</v>
      </c>
      <c r="AB974" s="16">
        <f>_xlfn.XLOOKUP(CustomerCombinedCleaned[[#This Row],[ID]], Table2[ID],Table2[MC4], "Not Found", 0 )</f>
        <v>0</v>
      </c>
      <c r="AC974" s="16">
        <f>_xlfn.XLOOKUP(CustomerCombinedCleaned[[#This Row],[ID]], Table2[ID],Table2[MC5], "Not Found", 0 )</f>
        <v>0</v>
      </c>
    </row>
    <row r="975" spans="1:29" x14ac:dyDescent="0.3">
      <c r="A975" s="18">
        <v>1754</v>
      </c>
      <c r="B975" s="16">
        <v>133622</v>
      </c>
      <c r="C975" s="16">
        <v>1</v>
      </c>
      <c r="D975" s="16">
        <v>1</v>
      </c>
      <c r="E975" s="16">
        <v>48</v>
      </c>
      <c r="F975" s="17" t="s">
        <v>6</v>
      </c>
      <c r="G975" s="17" t="s">
        <v>11</v>
      </c>
      <c r="H975" s="3" t="s">
        <v>276</v>
      </c>
      <c r="I975" s="5" t="s">
        <v>438</v>
      </c>
      <c r="J975" s="16">
        <f>_xlfn.XLOOKUP(CustomerCombinedCleaned[[#This Row],[ID]], Table4[ID], Table4[Recency], "Not Found", 0)</f>
        <v>22</v>
      </c>
      <c r="K975" s="16">
        <f>_xlfn.XLOOKUP(CustomerCombinedCleaned[[#This Row],[ID]], Table4[ID], Table4[Teas], "Not Found", 0)</f>
        <v>155</v>
      </c>
      <c r="L975" s="16">
        <f>_xlfn.XLOOKUP(CustomerCombinedCleaned[[#This Row],[ID]], Table4[ID], Table4[Fruits], "Not Found", 0)</f>
        <v>4</v>
      </c>
      <c r="M975" s="16">
        <f>_xlfn.XLOOKUP(CustomerCombinedCleaned[[#This Row],[ID]], Table4[ID], Table4[Meats], "Not Found", 0)</f>
        <v>87</v>
      </c>
      <c r="N975" s="16">
        <f>_xlfn.XLOOKUP(CustomerCombinedCleaned[[#This Row],[ID]], Table4[ID], Table4[Seafood], "Not Found", 0)</f>
        <v>12</v>
      </c>
      <c r="O975" s="16">
        <f>_xlfn.XLOOKUP(CustomerCombinedCleaned[[#This Row],[ID]], Table4[ID], Table4[Sweets], "Not Found", 0)</f>
        <v>16</v>
      </c>
      <c r="P975" s="16">
        <f>_xlfn.XLOOKUP(CustomerCombinedCleaned[[#This Row],[ID]], Table4[ID], Table4[Premium], "Not Found", 0)</f>
        <v>48</v>
      </c>
      <c r="Q975" s="16">
        <f>_xlfn.XLOOKUP(CustomerCombinedCleaned[[#This Row],[ID]], Table4[ID], Table4[Regular], "Not Found", 0)</f>
        <v>227</v>
      </c>
      <c r="R975" s="16">
        <f>_xlfn.XLOOKUP(CustomerCombinedCleaned[[#This Row],[ID]], Table4[ID], Table4[Deals], "Not Found", 0)</f>
        <v>3</v>
      </c>
      <c r="S975" s="16">
        <f>_xlfn.XLOOKUP(CustomerCombinedCleaned[[#This Row],[ID]], Table4[ID], Table4[Website], "Not Found", 0)</f>
        <v>2</v>
      </c>
      <c r="T975" s="16">
        <f>_xlfn.XLOOKUP(CustomerCombinedCleaned[[#This Row],[ID]], Table4[ID], Table4[Catalog], "Not Found", 0)</f>
        <v>0</v>
      </c>
      <c r="U975" s="16">
        <f>_xlfn.XLOOKUP(CustomerCombinedCleaned[[#This Row],[ID]], Table4[ID], Table4[Store], "Not Found", 0)</f>
        <v>4</v>
      </c>
      <c r="V975" s="16">
        <f>_xlfn.XLOOKUP(CustomerCombinedCleaned[[#This Row],[ID]], Table4[ID], Table4[Visits], "Not Found", 0)</f>
        <v>7</v>
      </c>
      <c r="W975" s="16">
        <f>_xlfn.XLOOKUP(CustomerCombinedCleaned[[#This Row],[ID]], Table2[ID],Table2[Complaint], "Not Found", 0 )</f>
        <v>0</v>
      </c>
      <c r="X975" s="16">
        <f>_xlfn.XLOOKUP(CustomerCombinedCleaned[[#This Row],[ID]], Table2[ID],Table2[Pilot], "Not Found", 0 )</f>
        <v>0</v>
      </c>
      <c r="Y975" s="16">
        <f>_xlfn.XLOOKUP(CustomerCombinedCleaned[[#This Row],[ID]], Table2[ID],Table2[MC1], "Not Found", 0 )</f>
        <v>0</v>
      </c>
      <c r="Z975" s="16">
        <f>_xlfn.XLOOKUP(CustomerCombinedCleaned[[#This Row],[ID]], Table2[ID],Table2[MC2], "Not Found", 0 )</f>
        <v>0</v>
      </c>
      <c r="AA975" s="16">
        <f>_xlfn.XLOOKUP(CustomerCombinedCleaned[[#This Row],[ID]], Table2[ID],Table2[MC3], "Not Found", 0 )</f>
        <v>0</v>
      </c>
      <c r="AB975" s="16">
        <f>_xlfn.XLOOKUP(CustomerCombinedCleaned[[#This Row],[ID]], Table2[ID],Table2[MC4], "Not Found", 0 )</f>
        <v>0</v>
      </c>
      <c r="AC975" s="16">
        <f>_xlfn.XLOOKUP(CustomerCombinedCleaned[[#This Row],[ID]], Table2[ID],Table2[MC5], "Not Found", 0 )</f>
        <v>0</v>
      </c>
    </row>
    <row r="976" spans="1:29" x14ac:dyDescent="0.3">
      <c r="A976" s="18">
        <v>2405</v>
      </c>
      <c r="B976" s="16">
        <v>131907</v>
      </c>
      <c r="C976" s="16">
        <v>0</v>
      </c>
      <c r="D976" s="16">
        <v>0</v>
      </c>
      <c r="E976" s="16">
        <v>48</v>
      </c>
      <c r="F976" s="17" t="s">
        <v>7</v>
      </c>
      <c r="G976" s="17" t="s">
        <v>11</v>
      </c>
      <c r="H976" s="3" t="s">
        <v>544</v>
      </c>
      <c r="I976" s="5" t="s">
        <v>434</v>
      </c>
      <c r="J976" s="16">
        <f>_xlfn.XLOOKUP(CustomerCombinedCleaned[[#This Row],[ID]], Table4[ID], Table4[Recency], "Not Found", 0)</f>
        <v>75</v>
      </c>
      <c r="K976" s="16">
        <f>_xlfn.XLOOKUP(CustomerCombinedCleaned[[#This Row],[ID]], Table4[ID], Table4[Teas], "Not Found", 0)</f>
        <v>136</v>
      </c>
      <c r="L976" s="16">
        <f>_xlfn.XLOOKUP(CustomerCombinedCleaned[[#This Row],[ID]], Table4[ID], Table4[Fruits], "Not Found", 0)</f>
        <v>360</v>
      </c>
      <c r="M976" s="16">
        <f>_xlfn.XLOOKUP(CustomerCombinedCleaned[[#This Row],[ID]], Table4[ID], Table4[Meats], "Not Found", 0)</f>
        <v>265</v>
      </c>
      <c r="N976" s="16">
        <f>_xlfn.XLOOKUP(CustomerCombinedCleaned[[#This Row],[ID]], Table4[ID], Table4[Seafood], "Not Found", 0)</f>
        <v>723</v>
      </c>
      <c r="O976" s="16">
        <f>_xlfn.XLOOKUP(CustomerCombinedCleaned[[#This Row],[ID]], Table4[ID], Table4[Sweets], "Not Found", 0)</f>
        <v>66</v>
      </c>
      <c r="P976" s="16">
        <f>_xlfn.XLOOKUP(CustomerCombinedCleaned[[#This Row],[ID]], Table4[ID], Table4[Premium], "Not Found", 0)</f>
        <v>306</v>
      </c>
      <c r="Q976" s="16">
        <f>_xlfn.XLOOKUP(CustomerCombinedCleaned[[#This Row],[ID]], Table4[ID], Table4[Regular], "Not Found", 0)</f>
        <v>1244</v>
      </c>
      <c r="R976" s="16">
        <f>_xlfn.XLOOKUP(CustomerCombinedCleaned[[#This Row],[ID]], Table4[ID], Table4[Deals], "Not Found", 0)</f>
        <v>1</v>
      </c>
      <c r="S976" s="16">
        <f>_xlfn.XLOOKUP(CustomerCombinedCleaned[[#This Row],[ID]], Table4[ID], Table4[Website], "Not Found", 0)</f>
        <v>6</v>
      </c>
      <c r="T976" s="16">
        <f>_xlfn.XLOOKUP(CustomerCombinedCleaned[[#This Row],[ID]], Table4[ID], Table4[Catalog], "Not Found", 0)</f>
        <v>1</v>
      </c>
      <c r="U976" s="16">
        <f>_xlfn.XLOOKUP(CustomerCombinedCleaned[[#This Row],[ID]], Table4[ID], Table4[Store], "Not Found", 0)</f>
        <v>6</v>
      </c>
      <c r="V976" s="16">
        <f>_xlfn.XLOOKUP(CustomerCombinedCleaned[[#This Row],[ID]], Table4[ID], Table4[Visits], "Not Found", 0)</f>
        <v>7</v>
      </c>
      <c r="W976" s="16">
        <f>_xlfn.XLOOKUP(CustomerCombinedCleaned[[#This Row],[ID]], Table2[ID],Table2[Complaint], "Not Found", 0 )</f>
        <v>0</v>
      </c>
      <c r="X976" s="16">
        <f>_xlfn.XLOOKUP(CustomerCombinedCleaned[[#This Row],[ID]], Table2[ID],Table2[Pilot], "Not Found", 0 )</f>
        <v>0</v>
      </c>
      <c r="Y976" s="16">
        <f>_xlfn.XLOOKUP(CustomerCombinedCleaned[[#This Row],[ID]], Table2[ID],Table2[MC1], "Not Found", 0 )</f>
        <v>0</v>
      </c>
      <c r="Z976" s="16">
        <f>_xlfn.XLOOKUP(CustomerCombinedCleaned[[#This Row],[ID]], Table2[ID],Table2[MC2], "Not Found", 0 )</f>
        <v>0</v>
      </c>
      <c r="AA976" s="16">
        <f>_xlfn.XLOOKUP(CustomerCombinedCleaned[[#This Row],[ID]], Table2[ID],Table2[MC3], "Not Found", 0 )</f>
        <v>0</v>
      </c>
      <c r="AB976" s="16">
        <f>_xlfn.XLOOKUP(CustomerCombinedCleaned[[#This Row],[ID]], Table2[ID],Table2[MC4], "Not Found", 0 )</f>
        <v>0</v>
      </c>
      <c r="AC976" s="16">
        <f>_xlfn.XLOOKUP(CustomerCombinedCleaned[[#This Row],[ID]], Table2[ID],Table2[MC5], "Not Found", 0 )</f>
        <v>0</v>
      </c>
    </row>
    <row r="977" spans="1:29" x14ac:dyDescent="0.3">
      <c r="A977" s="18">
        <v>1765</v>
      </c>
      <c r="B977" s="16">
        <v>131590</v>
      </c>
      <c r="C977" s="16">
        <v>1</v>
      </c>
      <c r="D977" s="16">
        <v>0</v>
      </c>
      <c r="E977" s="16">
        <v>48</v>
      </c>
      <c r="F977" s="17" t="s">
        <v>8</v>
      </c>
      <c r="G977" s="17" t="s">
        <v>11</v>
      </c>
      <c r="H977" s="3" t="s">
        <v>235</v>
      </c>
      <c r="I977" s="5" t="s">
        <v>437</v>
      </c>
      <c r="J977" s="16">
        <f>_xlfn.XLOOKUP(CustomerCombinedCleaned[[#This Row],[ID]], Table4[ID], Table4[Recency], "Not Found", 0)</f>
        <v>40</v>
      </c>
      <c r="K977" s="16">
        <f>_xlfn.XLOOKUP(CustomerCombinedCleaned[[#This Row],[ID]], Table4[ID], Table4[Teas], "Not Found", 0)</f>
        <v>25</v>
      </c>
      <c r="L977" s="16">
        <f>_xlfn.XLOOKUP(CustomerCombinedCleaned[[#This Row],[ID]], Table4[ID], Table4[Fruits], "Not Found", 0)</f>
        <v>8</v>
      </c>
      <c r="M977" s="16">
        <f>_xlfn.XLOOKUP(CustomerCombinedCleaned[[#This Row],[ID]], Table4[ID], Table4[Meats], "Not Found", 0)</f>
        <v>62</v>
      </c>
      <c r="N977" s="16">
        <f>_xlfn.XLOOKUP(CustomerCombinedCleaned[[#This Row],[ID]], Table4[ID], Table4[Seafood], "Not Found", 0)</f>
        <v>25</v>
      </c>
      <c r="O977" s="16">
        <f>_xlfn.XLOOKUP(CustomerCombinedCleaned[[#This Row],[ID]], Table4[ID], Table4[Sweets], "Not Found", 0)</f>
        <v>25</v>
      </c>
      <c r="P977" s="16">
        <f>_xlfn.XLOOKUP(CustomerCombinedCleaned[[#This Row],[ID]], Table4[ID], Table4[Premium], "Not Found", 0)</f>
        <v>12</v>
      </c>
      <c r="Q977" s="16">
        <f>_xlfn.XLOOKUP(CustomerCombinedCleaned[[#This Row],[ID]], Table4[ID], Table4[Regular], "Not Found", 0)</f>
        <v>133</v>
      </c>
      <c r="R977" s="16">
        <f>_xlfn.XLOOKUP(CustomerCombinedCleaned[[#This Row],[ID]], Table4[ID], Table4[Deals], "Not Found", 0)</f>
        <v>1</v>
      </c>
      <c r="S977" s="16">
        <f>_xlfn.XLOOKUP(CustomerCombinedCleaned[[#This Row],[ID]], Table4[ID], Table4[Website], "Not Found", 0)</f>
        <v>1</v>
      </c>
      <c r="T977" s="16">
        <f>_xlfn.XLOOKUP(CustomerCombinedCleaned[[#This Row],[ID]], Table4[ID], Table4[Catalog], "Not Found", 0)</f>
        <v>0</v>
      </c>
      <c r="U977" s="16">
        <f>_xlfn.XLOOKUP(CustomerCombinedCleaned[[#This Row],[ID]], Table4[ID], Table4[Store], "Not Found", 0)</f>
        <v>3</v>
      </c>
      <c r="V977" s="16">
        <f>_xlfn.XLOOKUP(CustomerCombinedCleaned[[#This Row],[ID]], Table4[ID], Table4[Visits], "Not Found", 0)</f>
        <v>8</v>
      </c>
      <c r="W977" s="16">
        <f>_xlfn.XLOOKUP(CustomerCombinedCleaned[[#This Row],[ID]], Table2[ID],Table2[Complaint], "Not Found", 0 )</f>
        <v>0</v>
      </c>
      <c r="X977" s="16">
        <f>_xlfn.XLOOKUP(CustomerCombinedCleaned[[#This Row],[ID]], Table2[ID],Table2[Pilot], "Not Found", 0 )</f>
        <v>0</v>
      </c>
      <c r="Y977" s="16">
        <f>_xlfn.XLOOKUP(CustomerCombinedCleaned[[#This Row],[ID]], Table2[ID],Table2[MC1], "Not Found", 0 )</f>
        <v>0</v>
      </c>
      <c r="Z977" s="16">
        <f>_xlfn.XLOOKUP(CustomerCombinedCleaned[[#This Row],[ID]], Table2[ID],Table2[MC2], "Not Found", 0 )</f>
        <v>0</v>
      </c>
      <c r="AA977" s="16">
        <f>_xlfn.XLOOKUP(CustomerCombinedCleaned[[#This Row],[ID]], Table2[ID],Table2[MC3], "Not Found", 0 )</f>
        <v>0</v>
      </c>
      <c r="AB977" s="16">
        <f>_xlfn.XLOOKUP(CustomerCombinedCleaned[[#This Row],[ID]], Table2[ID],Table2[MC4], "Not Found", 0 )</f>
        <v>0</v>
      </c>
      <c r="AC977" s="16">
        <f>_xlfn.XLOOKUP(CustomerCombinedCleaned[[#This Row],[ID]], Table2[ID],Table2[MC5], "Not Found", 0 )</f>
        <v>0</v>
      </c>
    </row>
    <row r="978" spans="1:29" x14ac:dyDescent="0.3">
      <c r="A978" s="18">
        <v>1322</v>
      </c>
      <c r="B978" s="16">
        <v>130675</v>
      </c>
      <c r="C978" s="16">
        <v>1</v>
      </c>
      <c r="D978" s="16">
        <v>0</v>
      </c>
      <c r="E978" s="16">
        <v>48</v>
      </c>
      <c r="F978" s="17" t="s">
        <v>6</v>
      </c>
      <c r="G978" s="17" t="s">
        <v>11</v>
      </c>
      <c r="H978" s="3" t="s">
        <v>363</v>
      </c>
      <c r="I978" s="5" t="s">
        <v>438</v>
      </c>
      <c r="J978" s="16">
        <f>_xlfn.XLOOKUP(CustomerCombinedCleaned[[#This Row],[ID]], Table4[ID], Table4[Recency], "Not Found", 0)</f>
        <v>14</v>
      </c>
      <c r="K978" s="16">
        <f>_xlfn.XLOOKUP(CustomerCombinedCleaned[[#This Row],[ID]], Table4[ID], Table4[Teas], "Not Found", 0)</f>
        <v>43</v>
      </c>
      <c r="L978" s="16">
        <f>_xlfn.XLOOKUP(CustomerCombinedCleaned[[#This Row],[ID]], Table4[ID], Table4[Fruits], "Not Found", 0)</f>
        <v>9</v>
      </c>
      <c r="M978" s="16">
        <f>_xlfn.XLOOKUP(CustomerCombinedCleaned[[#This Row],[ID]], Table4[ID], Table4[Meats], "Not Found", 0)</f>
        <v>68</v>
      </c>
      <c r="N978" s="16">
        <f>_xlfn.XLOOKUP(CustomerCombinedCleaned[[#This Row],[ID]], Table4[ID], Table4[Seafood], "Not Found", 0)</f>
        <v>47</v>
      </c>
      <c r="O978" s="16">
        <f>_xlfn.XLOOKUP(CustomerCombinedCleaned[[#This Row],[ID]], Table4[ID], Table4[Sweets], "Not Found", 0)</f>
        <v>9</v>
      </c>
      <c r="P978" s="16">
        <f>_xlfn.XLOOKUP(CustomerCombinedCleaned[[#This Row],[ID]], Table4[ID], Table4[Premium], "Not Found", 0)</f>
        <v>89</v>
      </c>
      <c r="Q978" s="16">
        <f>_xlfn.XLOOKUP(CustomerCombinedCleaned[[#This Row],[ID]], Table4[ID], Table4[Regular], "Not Found", 0)</f>
        <v>85</v>
      </c>
      <c r="R978" s="16">
        <f>_xlfn.XLOOKUP(CustomerCombinedCleaned[[#This Row],[ID]], Table4[ID], Table4[Deals], "Not Found", 0)</f>
        <v>1</v>
      </c>
      <c r="S978" s="16">
        <f>_xlfn.XLOOKUP(CustomerCombinedCleaned[[#This Row],[ID]], Table4[ID], Table4[Website], "Not Found", 0)</f>
        <v>1</v>
      </c>
      <c r="T978" s="16">
        <f>_xlfn.XLOOKUP(CustomerCombinedCleaned[[#This Row],[ID]], Table4[ID], Table4[Catalog], "Not Found", 0)</f>
        <v>0</v>
      </c>
      <c r="U978" s="16">
        <f>_xlfn.XLOOKUP(CustomerCombinedCleaned[[#This Row],[ID]], Table4[ID], Table4[Store], "Not Found", 0)</f>
        <v>3</v>
      </c>
      <c r="V978" s="16">
        <f>_xlfn.XLOOKUP(CustomerCombinedCleaned[[#This Row],[ID]], Table4[ID], Table4[Visits], "Not Found", 0)</f>
        <v>8</v>
      </c>
      <c r="W978" s="16">
        <f>_xlfn.XLOOKUP(CustomerCombinedCleaned[[#This Row],[ID]], Table2[ID],Table2[Complaint], "Not Found", 0 )</f>
        <v>0</v>
      </c>
      <c r="X978" s="16">
        <f>_xlfn.XLOOKUP(CustomerCombinedCleaned[[#This Row],[ID]], Table2[ID],Table2[Pilot], "Not Found", 0 )</f>
        <v>0</v>
      </c>
      <c r="Y978" s="16">
        <f>_xlfn.XLOOKUP(CustomerCombinedCleaned[[#This Row],[ID]], Table2[ID],Table2[MC1], "Not Found", 0 )</f>
        <v>0</v>
      </c>
      <c r="Z978" s="16">
        <f>_xlfn.XLOOKUP(CustomerCombinedCleaned[[#This Row],[ID]], Table2[ID],Table2[MC2], "Not Found", 0 )</f>
        <v>0</v>
      </c>
      <c r="AA978" s="16">
        <f>_xlfn.XLOOKUP(CustomerCombinedCleaned[[#This Row],[ID]], Table2[ID],Table2[MC3], "Not Found", 0 )</f>
        <v>0</v>
      </c>
      <c r="AB978" s="16">
        <f>_xlfn.XLOOKUP(CustomerCombinedCleaned[[#This Row],[ID]], Table2[ID],Table2[MC4], "Not Found", 0 )</f>
        <v>0</v>
      </c>
      <c r="AC978" s="16">
        <f>_xlfn.XLOOKUP(CustomerCombinedCleaned[[#This Row],[ID]], Table2[ID],Table2[MC5], "Not Found", 0 )</f>
        <v>0</v>
      </c>
    </row>
    <row r="979" spans="1:29" x14ac:dyDescent="0.3">
      <c r="A979" s="18">
        <v>1764</v>
      </c>
      <c r="B979" s="16">
        <v>130467</v>
      </c>
      <c r="C979" s="16">
        <v>1</v>
      </c>
      <c r="D979" s="16">
        <v>0</v>
      </c>
      <c r="E979" s="16">
        <v>48</v>
      </c>
      <c r="F979" s="17" t="s">
        <v>6</v>
      </c>
      <c r="G979" s="17" t="s">
        <v>11</v>
      </c>
      <c r="H979" s="3" t="s">
        <v>82</v>
      </c>
      <c r="I979" s="5" t="s">
        <v>436</v>
      </c>
      <c r="J979" s="16">
        <f>_xlfn.XLOOKUP(CustomerCombinedCleaned[[#This Row],[ID]], Table4[ID], Table4[Recency], "Not Found", 0)</f>
        <v>8</v>
      </c>
      <c r="K979" s="16">
        <f>_xlfn.XLOOKUP(CustomerCombinedCleaned[[#This Row],[ID]], Table4[ID], Table4[Teas], "Not Found", 0)</f>
        <v>4</v>
      </c>
      <c r="L979" s="16">
        <f>_xlfn.XLOOKUP(CustomerCombinedCleaned[[#This Row],[ID]], Table4[ID], Table4[Fruits], "Not Found", 0)</f>
        <v>13</v>
      </c>
      <c r="M979" s="16">
        <f>_xlfn.XLOOKUP(CustomerCombinedCleaned[[#This Row],[ID]], Table4[ID], Table4[Meats], "Not Found", 0)</f>
        <v>34</v>
      </c>
      <c r="N979" s="16">
        <f>_xlfn.XLOOKUP(CustomerCombinedCleaned[[#This Row],[ID]], Table4[ID], Table4[Seafood], "Not Found", 0)</f>
        <v>9</v>
      </c>
      <c r="O979" s="16">
        <f>_xlfn.XLOOKUP(CustomerCombinedCleaned[[#This Row],[ID]], Table4[ID], Table4[Sweets], "Not Found", 0)</f>
        <v>21</v>
      </c>
      <c r="P979" s="16">
        <f>_xlfn.XLOOKUP(CustomerCombinedCleaned[[#This Row],[ID]], Table4[ID], Table4[Premium], "Not Found", 0)</f>
        <v>21</v>
      </c>
      <c r="Q979" s="16">
        <f>_xlfn.XLOOKUP(CustomerCombinedCleaned[[#This Row],[ID]], Table4[ID], Table4[Regular], "Not Found", 0)</f>
        <v>60</v>
      </c>
      <c r="R979" s="16">
        <f>_xlfn.XLOOKUP(CustomerCombinedCleaned[[#This Row],[ID]], Table4[ID], Table4[Deals], "Not Found", 0)</f>
        <v>1</v>
      </c>
      <c r="S979" s="16">
        <f>_xlfn.XLOOKUP(CustomerCombinedCleaned[[#This Row],[ID]], Table4[ID], Table4[Website], "Not Found", 0)</f>
        <v>1</v>
      </c>
      <c r="T979" s="16">
        <f>_xlfn.XLOOKUP(CustomerCombinedCleaned[[#This Row],[ID]], Table4[ID], Table4[Catalog], "Not Found", 0)</f>
        <v>0</v>
      </c>
      <c r="U979" s="16">
        <f>_xlfn.XLOOKUP(CustomerCombinedCleaned[[#This Row],[ID]], Table4[ID], Table4[Store], "Not Found", 0)</f>
        <v>2</v>
      </c>
      <c r="V979" s="16">
        <f>_xlfn.XLOOKUP(CustomerCombinedCleaned[[#This Row],[ID]], Table4[ID], Table4[Visits], "Not Found", 0)</f>
        <v>7</v>
      </c>
      <c r="W979" s="16">
        <f>_xlfn.XLOOKUP(CustomerCombinedCleaned[[#This Row],[ID]], Table2[ID],Table2[Complaint], "Not Found", 0 )</f>
        <v>0</v>
      </c>
      <c r="X979" s="16">
        <f>_xlfn.XLOOKUP(CustomerCombinedCleaned[[#This Row],[ID]], Table2[ID],Table2[Pilot], "Not Found", 0 )</f>
        <v>0</v>
      </c>
      <c r="Y979" s="16">
        <f>_xlfn.XLOOKUP(CustomerCombinedCleaned[[#This Row],[ID]], Table2[ID],Table2[MC1], "Not Found", 0 )</f>
        <v>0</v>
      </c>
      <c r="Z979" s="16">
        <f>_xlfn.XLOOKUP(CustomerCombinedCleaned[[#This Row],[ID]], Table2[ID],Table2[MC2], "Not Found", 0 )</f>
        <v>0</v>
      </c>
      <c r="AA979" s="16">
        <f>_xlfn.XLOOKUP(CustomerCombinedCleaned[[#This Row],[ID]], Table2[ID],Table2[MC3], "Not Found", 0 )</f>
        <v>0</v>
      </c>
      <c r="AB979" s="16">
        <f>_xlfn.XLOOKUP(CustomerCombinedCleaned[[#This Row],[ID]], Table2[ID],Table2[MC4], "Not Found", 0 )</f>
        <v>0</v>
      </c>
      <c r="AC979" s="16">
        <f>_xlfn.XLOOKUP(CustomerCombinedCleaned[[#This Row],[ID]], Table2[ID],Table2[MC5], "Not Found", 0 )</f>
        <v>0</v>
      </c>
    </row>
    <row r="980" spans="1:29" x14ac:dyDescent="0.3">
      <c r="A980" s="18">
        <v>2994</v>
      </c>
      <c r="B980" s="16">
        <v>130261</v>
      </c>
      <c r="C980" s="16">
        <v>1</v>
      </c>
      <c r="D980" s="16">
        <v>2</v>
      </c>
      <c r="E980" s="16">
        <v>48</v>
      </c>
      <c r="F980" s="17" t="s">
        <v>8</v>
      </c>
      <c r="G980" s="17" t="s">
        <v>11</v>
      </c>
      <c r="H980" s="3" t="s">
        <v>576</v>
      </c>
      <c r="I980" s="5" t="s">
        <v>436</v>
      </c>
      <c r="J980" s="16">
        <f>_xlfn.XLOOKUP(CustomerCombinedCleaned[[#This Row],[ID]], Table4[ID], Table4[Recency], "Not Found", 0)</f>
        <v>75</v>
      </c>
      <c r="K980" s="16">
        <f>_xlfn.XLOOKUP(CustomerCombinedCleaned[[#This Row],[ID]], Table4[ID], Table4[Teas], "Not Found", 0)</f>
        <v>34</v>
      </c>
      <c r="L980" s="16">
        <f>_xlfn.XLOOKUP(CustomerCombinedCleaned[[#This Row],[ID]], Table4[ID], Table4[Fruits], "Not Found", 0)</f>
        <v>0</v>
      </c>
      <c r="M980" s="16">
        <f>_xlfn.XLOOKUP(CustomerCombinedCleaned[[#This Row],[ID]], Table4[ID], Table4[Meats], "Not Found", 0)</f>
        <v>22</v>
      </c>
      <c r="N980" s="16">
        <f>_xlfn.XLOOKUP(CustomerCombinedCleaned[[#This Row],[ID]], Table4[ID], Table4[Seafood], "Not Found", 0)</f>
        <v>0</v>
      </c>
      <c r="O980" s="16">
        <f>_xlfn.XLOOKUP(CustomerCombinedCleaned[[#This Row],[ID]], Table4[ID], Table4[Sweets], "Not Found", 0)</f>
        <v>13</v>
      </c>
      <c r="P980" s="16">
        <f>_xlfn.XLOOKUP(CustomerCombinedCleaned[[#This Row],[ID]], Table4[ID], Table4[Premium], "Not Found", 0)</f>
        <v>26</v>
      </c>
      <c r="Q980" s="16">
        <f>_xlfn.XLOOKUP(CustomerCombinedCleaned[[#This Row],[ID]], Table4[ID], Table4[Regular], "Not Found", 0)</f>
        <v>43</v>
      </c>
      <c r="R980" s="16">
        <f>_xlfn.XLOOKUP(CustomerCombinedCleaned[[#This Row],[ID]], Table4[ID], Table4[Deals], "Not Found", 0)</f>
        <v>1</v>
      </c>
      <c r="S980" s="16">
        <f>_xlfn.XLOOKUP(CustomerCombinedCleaned[[#This Row],[ID]], Table4[ID], Table4[Website], "Not Found", 0)</f>
        <v>0</v>
      </c>
      <c r="T980" s="16">
        <f>_xlfn.XLOOKUP(CustomerCombinedCleaned[[#This Row],[ID]], Table4[ID], Table4[Catalog], "Not Found", 0)</f>
        <v>0</v>
      </c>
      <c r="U980" s="16">
        <f>_xlfn.XLOOKUP(CustomerCombinedCleaned[[#This Row],[ID]], Table4[ID], Table4[Store], "Not Found", 0)</f>
        <v>3</v>
      </c>
      <c r="V980" s="16">
        <f>_xlfn.XLOOKUP(CustomerCombinedCleaned[[#This Row],[ID]], Table4[ID], Table4[Visits], "Not Found", 0)</f>
        <v>8</v>
      </c>
      <c r="W980" s="16">
        <f>_xlfn.XLOOKUP(CustomerCombinedCleaned[[#This Row],[ID]], Table2[ID],Table2[Complaint], "Not Found", 0 )</f>
        <v>0</v>
      </c>
      <c r="X980" s="16">
        <f>_xlfn.XLOOKUP(CustomerCombinedCleaned[[#This Row],[ID]], Table2[ID],Table2[Pilot], "Not Found", 0 )</f>
        <v>0</v>
      </c>
      <c r="Y980" s="16">
        <f>_xlfn.XLOOKUP(CustomerCombinedCleaned[[#This Row],[ID]], Table2[ID],Table2[MC1], "Not Found", 0 )</f>
        <v>0</v>
      </c>
      <c r="Z980" s="16">
        <f>_xlfn.XLOOKUP(CustomerCombinedCleaned[[#This Row],[ID]], Table2[ID],Table2[MC2], "Not Found", 0 )</f>
        <v>0</v>
      </c>
      <c r="AA980" s="16">
        <f>_xlfn.XLOOKUP(CustomerCombinedCleaned[[#This Row],[ID]], Table2[ID],Table2[MC3], "Not Found", 0 )</f>
        <v>0</v>
      </c>
      <c r="AB980" s="16">
        <f>_xlfn.XLOOKUP(CustomerCombinedCleaned[[#This Row],[ID]], Table2[ID],Table2[MC4], "Not Found", 0 )</f>
        <v>0</v>
      </c>
      <c r="AC980" s="16">
        <f>_xlfn.XLOOKUP(CustomerCombinedCleaned[[#This Row],[ID]], Table2[ID],Table2[MC5], "Not Found", 0 )</f>
        <v>0</v>
      </c>
    </row>
    <row r="981" spans="1:29" x14ac:dyDescent="0.3">
      <c r="A981" s="18">
        <v>2085</v>
      </c>
      <c r="B981" s="16">
        <v>130023</v>
      </c>
      <c r="C981" s="16">
        <v>1</v>
      </c>
      <c r="D981" s="16">
        <v>0</v>
      </c>
      <c r="E981" s="16">
        <v>48</v>
      </c>
      <c r="F981" s="17" t="s">
        <v>6</v>
      </c>
      <c r="G981" s="17" t="s">
        <v>11</v>
      </c>
      <c r="H981" s="3" t="s">
        <v>77</v>
      </c>
      <c r="I981" s="5" t="s">
        <v>435</v>
      </c>
      <c r="J981" s="16">
        <f>_xlfn.XLOOKUP(CustomerCombinedCleaned[[#This Row],[ID]], Table4[ID], Table4[Recency], "Not Found", 0)</f>
        <v>28</v>
      </c>
      <c r="K981" s="16">
        <f>_xlfn.XLOOKUP(CustomerCombinedCleaned[[#This Row],[ID]], Table4[ID], Table4[Teas], "Not Found", 0)</f>
        <v>48</v>
      </c>
      <c r="L981" s="16">
        <f>_xlfn.XLOOKUP(CustomerCombinedCleaned[[#This Row],[ID]], Table4[ID], Table4[Fruits], "Not Found", 0)</f>
        <v>0</v>
      </c>
      <c r="M981" s="16">
        <f>_xlfn.XLOOKUP(CustomerCombinedCleaned[[#This Row],[ID]], Table4[ID], Table4[Meats], "Not Found", 0)</f>
        <v>69</v>
      </c>
      <c r="N981" s="16">
        <f>_xlfn.XLOOKUP(CustomerCombinedCleaned[[#This Row],[ID]], Table4[ID], Table4[Seafood], "Not Found", 0)</f>
        <v>30</v>
      </c>
      <c r="O981" s="16">
        <f>_xlfn.XLOOKUP(CustomerCombinedCleaned[[#This Row],[ID]], Table4[ID], Table4[Sweets], "Not Found", 0)</f>
        <v>26</v>
      </c>
      <c r="P981" s="16">
        <f>_xlfn.XLOOKUP(CustomerCombinedCleaned[[#This Row],[ID]], Table4[ID], Table4[Premium], "Not Found", 0)</f>
        <v>91</v>
      </c>
      <c r="Q981" s="16">
        <f>_xlfn.XLOOKUP(CustomerCombinedCleaned[[#This Row],[ID]], Table4[ID], Table4[Regular], "Not Found", 0)</f>
        <v>82</v>
      </c>
      <c r="R981" s="16">
        <f>_xlfn.XLOOKUP(CustomerCombinedCleaned[[#This Row],[ID]], Table4[ID], Table4[Deals], "Not Found", 0)</f>
        <v>1</v>
      </c>
      <c r="S981" s="16">
        <f>_xlfn.XLOOKUP(CustomerCombinedCleaned[[#This Row],[ID]], Table4[ID], Table4[Website], "Not Found", 0)</f>
        <v>2</v>
      </c>
      <c r="T981" s="16">
        <f>_xlfn.XLOOKUP(CustomerCombinedCleaned[[#This Row],[ID]], Table4[ID], Table4[Catalog], "Not Found", 0)</f>
        <v>0</v>
      </c>
      <c r="U981" s="16">
        <f>_xlfn.XLOOKUP(CustomerCombinedCleaned[[#This Row],[ID]], Table4[ID], Table4[Store], "Not Found", 0)</f>
        <v>3</v>
      </c>
      <c r="V981" s="16">
        <f>_xlfn.XLOOKUP(CustomerCombinedCleaned[[#This Row],[ID]], Table4[ID], Table4[Visits], "Not Found", 0)</f>
        <v>8</v>
      </c>
      <c r="W981" s="16">
        <f>_xlfn.XLOOKUP(CustomerCombinedCleaned[[#This Row],[ID]], Table2[ID],Table2[Complaint], "Not Found", 0 )</f>
        <v>0</v>
      </c>
      <c r="X981" s="16">
        <f>_xlfn.XLOOKUP(CustomerCombinedCleaned[[#This Row],[ID]], Table2[ID],Table2[Pilot], "Not Found", 0 )</f>
        <v>0</v>
      </c>
      <c r="Y981" s="16">
        <f>_xlfn.XLOOKUP(CustomerCombinedCleaned[[#This Row],[ID]], Table2[ID],Table2[MC1], "Not Found", 0 )</f>
        <v>0</v>
      </c>
      <c r="Z981" s="16">
        <f>_xlfn.XLOOKUP(CustomerCombinedCleaned[[#This Row],[ID]], Table2[ID],Table2[MC2], "Not Found", 0 )</f>
        <v>0</v>
      </c>
      <c r="AA981" s="16">
        <f>_xlfn.XLOOKUP(CustomerCombinedCleaned[[#This Row],[ID]], Table2[ID],Table2[MC3], "Not Found", 0 )</f>
        <v>0</v>
      </c>
      <c r="AB981" s="16">
        <f>_xlfn.XLOOKUP(CustomerCombinedCleaned[[#This Row],[ID]], Table2[ID],Table2[MC4], "Not Found", 0 )</f>
        <v>0</v>
      </c>
      <c r="AC981" s="16">
        <f>_xlfn.XLOOKUP(CustomerCombinedCleaned[[#This Row],[ID]], Table2[ID],Table2[MC5], "Not Found", 0 )</f>
        <v>0</v>
      </c>
    </row>
    <row r="982" spans="1:29" x14ac:dyDescent="0.3">
      <c r="A982" s="18">
        <v>2370</v>
      </c>
      <c r="B982" s="16">
        <v>129791</v>
      </c>
      <c r="C982" s="16">
        <v>1</v>
      </c>
      <c r="D982" s="16">
        <v>0</v>
      </c>
      <c r="E982" s="16">
        <v>48</v>
      </c>
      <c r="F982" s="17" t="s">
        <v>6</v>
      </c>
      <c r="G982" s="17" t="s">
        <v>13</v>
      </c>
      <c r="H982" s="3" t="s">
        <v>50</v>
      </c>
      <c r="I982" s="5" t="s">
        <v>436</v>
      </c>
      <c r="J982" s="16">
        <f>_xlfn.XLOOKUP(CustomerCombinedCleaned[[#This Row],[ID]], Table4[ID], Table4[Recency], "Not Found", 0)</f>
        <v>21</v>
      </c>
      <c r="K982" s="16">
        <f>_xlfn.XLOOKUP(CustomerCombinedCleaned[[#This Row],[ID]], Table4[ID], Table4[Teas], "Not Found", 0)</f>
        <v>61</v>
      </c>
      <c r="L982" s="16">
        <f>_xlfn.XLOOKUP(CustomerCombinedCleaned[[#This Row],[ID]], Table4[ID], Table4[Fruits], "Not Found", 0)</f>
        <v>0</v>
      </c>
      <c r="M982" s="16">
        <f>_xlfn.XLOOKUP(CustomerCombinedCleaned[[#This Row],[ID]], Table4[ID], Table4[Meats], "Not Found", 0)</f>
        <v>26</v>
      </c>
      <c r="N982" s="16">
        <f>_xlfn.XLOOKUP(CustomerCombinedCleaned[[#This Row],[ID]], Table4[ID], Table4[Seafood], "Not Found", 0)</f>
        <v>0</v>
      </c>
      <c r="O982" s="16">
        <f>_xlfn.XLOOKUP(CustomerCombinedCleaned[[#This Row],[ID]], Table4[ID], Table4[Sweets], "Not Found", 0)</f>
        <v>0</v>
      </c>
      <c r="P982" s="16">
        <f>_xlfn.XLOOKUP(CustomerCombinedCleaned[[#This Row],[ID]], Table4[ID], Table4[Premium], "Not Found", 0)</f>
        <v>0</v>
      </c>
      <c r="Q982" s="16">
        <f>_xlfn.XLOOKUP(CustomerCombinedCleaned[[#This Row],[ID]], Table4[ID], Table4[Regular], "Not Found", 0)</f>
        <v>87</v>
      </c>
      <c r="R982" s="16">
        <f>_xlfn.XLOOKUP(CustomerCombinedCleaned[[#This Row],[ID]], Table4[ID], Table4[Deals], "Not Found", 0)</f>
        <v>2</v>
      </c>
      <c r="S982" s="16">
        <f>_xlfn.XLOOKUP(CustomerCombinedCleaned[[#This Row],[ID]], Table4[ID], Table4[Website], "Not Found", 0)</f>
        <v>2</v>
      </c>
      <c r="T982" s="16">
        <f>_xlfn.XLOOKUP(CustomerCombinedCleaned[[#This Row],[ID]], Table4[ID], Table4[Catalog], "Not Found", 0)</f>
        <v>0</v>
      </c>
      <c r="U982" s="16">
        <f>_xlfn.XLOOKUP(CustomerCombinedCleaned[[#This Row],[ID]], Table4[ID], Table4[Store], "Not Found", 0)</f>
        <v>3</v>
      </c>
      <c r="V982" s="16">
        <f>_xlfn.XLOOKUP(CustomerCombinedCleaned[[#This Row],[ID]], Table4[ID], Table4[Visits], "Not Found", 0)</f>
        <v>5</v>
      </c>
      <c r="W982" s="16">
        <f>_xlfn.XLOOKUP(CustomerCombinedCleaned[[#This Row],[ID]], Table2[ID],Table2[Complaint], "Not Found", 0 )</f>
        <v>0</v>
      </c>
      <c r="X982" s="16">
        <f>_xlfn.XLOOKUP(CustomerCombinedCleaned[[#This Row],[ID]], Table2[ID],Table2[Pilot], "Not Found", 0 )</f>
        <v>0</v>
      </c>
      <c r="Y982" s="16">
        <f>_xlfn.XLOOKUP(CustomerCombinedCleaned[[#This Row],[ID]], Table2[ID],Table2[MC1], "Not Found", 0 )</f>
        <v>0</v>
      </c>
      <c r="Z982" s="16">
        <f>_xlfn.XLOOKUP(CustomerCombinedCleaned[[#This Row],[ID]], Table2[ID],Table2[MC2], "Not Found", 0 )</f>
        <v>0</v>
      </c>
      <c r="AA982" s="16">
        <f>_xlfn.XLOOKUP(CustomerCombinedCleaned[[#This Row],[ID]], Table2[ID],Table2[MC3], "Not Found", 0 )</f>
        <v>0</v>
      </c>
      <c r="AB982" s="16">
        <f>_xlfn.XLOOKUP(CustomerCombinedCleaned[[#This Row],[ID]], Table2[ID],Table2[MC4], "Not Found", 0 )</f>
        <v>0</v>
      </c>
      <c r="AC982" s="16">
        <f>_xlfn.XLOOKUP(CustomerCombinedCleaned[[#This Row],[ID]], Table2[ID],Table2[MC5], "Not Found", 0 )</f>
        <v>0</v>
      </c>
    </row>
    <row r="983" spans="1:29" x14ac:dyDescent="0.3">
      <c r="A983" s="18">
        <v>1390</v>
      </c>
      <c r="B983" s="16">
        <v>127213</v>
      </c>
      <c r="C983" s="16">
        <v>1</v>
      </c>
      <c r="D983" s="16">
        <v>0</v>
      </c>
      <c r="E983" s="16">
        <v>48</v>
      </c>
      <c r="F983" s="17" t="s">
        <v>7</v>
      </c>
      <c r="G983" s="17" t="s">
        <v>13</v>
      </c>
      <c r="H983" s="3" t="s">
        <v>677</v>
      </c>
      <c r="I983" s="5" t="s">
        <v>439</v>
      </c>
      <c r="J983" s="16">
        <f>_xlfn.XLOOKUP(CustomerCombinedCleaned[[#This Row],[ID]], Table4[ID], Table4[Recency], "Not Found", 0)</f>
        <v>19</v>
      </c>
      <c r="K983" s="16">
        <f>_xlfn.XLOOKUP(CustomerCombinedCleaned[[#This Row],[ID]], Table4[ID], Table4[Teas], "Not Found", 0)</f>
        <v>89</v>
      </c>
      <c r="L983" s="16">
        <f>_xlfn.XLOOKUP(CustomerCombinedCleaned[[#This Row],[ID]], Table4[ID], Table4[Fruits], "Not Found", 0)</f>
        <v>14</v>
      </c>
      <c r="M983" s="16">
        <f>_xlfn.XLOOKUP(CustomerCombinedCleaned[[#This Row],[ID]], Table4[ID], Table4[Meats], "Not Found", 0)</f>
        <v>122</v>
      </c>
      <c r="N983" s="16">
        <f>_xlfn.XLOOKUP(CustomerCombinedCleaned[[#This Row],[ID]], Table4[ID], Table4[Seafood], "Not Found", 0)</f>
        <v>47</v>
      </c>
      <c r="O983" s="16">
        <f>_xlfn.XLOOKUP(CustomerCombinedCleaned[[#This Row],[ID]], Table4[ID], Table4[Sweets], "Not Found", 0)</f>
        <v>42</v>
      </c>
      <c r="P983" s="16">
        <f>_xlfn.XLOOKUP(CustomerCombinedCleaned[[#This Row],[ID]], Table4[ID], Table4[Premium], "Not Found", 0)</f>
        <v>14</v>
      </c>
      <c r="Q983" s="16">
        <f>_xlfn.XLOOKUP(CustomerCombinedCleaned[[#This Row],[ID]], Table4[ID], Table4[Regular], "Not Found", 0)</f>
        <v>299</v>
      </c>
      <c r="R983" s="16">
        <f>_xlfn.XLOOKUP(CustomerCombinedCleaned[[#This Row],[ID]], Table4[ID], Table4[Deals], "Not Found", 0)</f>
        <v>3</v>
      </c>
      <c r="S983" s="16">
        <f>_xlfn.XLOOKUP(CustomerCombinedCleaned[[#This Row],[ID]], Table4[ID], Table4[Website], "Not Found", 0)</f>
        <v>2</v>
      </c>
      <c r="T983" s="16">
        <f>_xlfn.XLOOKUP(CustomerCombinedCleaned[[#This Row],[ID]], Table4[ID], Table4[Catalog], "Not Found", 0)</f>
        <v>0</v>
      </c>
      <c r="U983" s="16">
        <f>_xlfn.XLOOKUP(CustomerCombinedCleaned[[#This Row],[ID]], Table4[ID], Table4[Store], "Not Found", 0)</f>
        <v>4</v>
      </c>
      <c r="V983" s="16">
        <f>_xlfn.XLOOKUP(CustomerCombinedCleaned[[#This Row],[ID]], Table4[ID], Table4[Visits], "Not Found", 0)</f>
        <v>8</v>
      </c>
      <c r="W983" s="16">
        <f>_xlfn.XLOOKUP(CustomerCombinedCleaned[[#This Row],[ID]], Table2[ID],Table2[Complaint], "Not Found", 0 )</f>
        <v>0</v>
      </c>
      <c r="X983" s="16">
        <f>_xlfn.XLOOKUP(CustomerCombinedCleaned[[#This Row],[ID]], Table2[ID],Table2[Pilot], "Not Found", 0 )</f>
        <v>1</v>
      </c>
      <c r="Y983" s="16">
        <f>_xlfn.XLOOKUP(CustomerCombinedCleaned[[#This Row],[ID]], Table2[ID],Table2[MC1], "Not Found", 0 )</f>
        <v>0</v>
      </c>
      <c r="Z983" s="16">
        <f>_xlfn.XLOOKUP(CustomerCombinedCleaned[[#This Row],[ID]], Table2[ID],Table2[MC2], "Not Found", 0 )</f>
        <v>0</v>
      </c>
      <c r="AA983" s="16">
        <f>_xlfn.XLOOKUP(CustomerCombinedCleaned[[#This Row],[ID]], Table2[ID],Table2[MC3], "Not Found", 0 )</f>
        <v>0</v>
      </c>
      <c r="AB983" s="16">
        <f>_xlfn.XLOOKUP(CustomerCombinedCleaned[[#This Row],[ID]], Table2[ID],Table2[MC4], "Not Found", 0 )</f>
        <v>0</v>
      </c>
      <c r="AC983" s="16">
        <f>_xlfn.XLOOKUP(CustomerCombinedCleaned[[#This Row],[ID]], Table2[ID],Table2[MC5], "Not Found", 0 )</f>
        <v>0</v>
      </c>
    </row>
    <row r="984" spans="1:29" x14ac:dyDescent="0.3">
      <c r="A984" s="18">
        <v>2373</v>
      </c>
      <c r="B984" s="16">
        <v>126759</v>
      </c>
      <c r="C984" s="16">
        <v>1</v>
      </c>
      <c r="D984" s="16">
        <v>0</v>
      </c>
      <c r="E984" s="16">
        <v>48</v>
      </c>
      <c r="F984" s="17" t="s">
        <v>5</v>
      </c>
      <c r="G984" s="17" t="s">
        <v>11</v>
      </c>
      <c r="H984" s="3" t="s">
        <v>106</v>
      </c>
      <c r="I984" s="5" t="s">
        <v>435</v>
      </c>
      <c r="J984" s="16">
        <f>_xlfn.XLOOKUP(CustomerCombinedCleaned[[#This Row],[ID]], Table4[ID], Table4[Recency], "Not Found", 0)</f>
        <v>65</v>
      </c>
      <c r="K984" s="16">
        <f>_xlfn.XLOOKUP(CustomerCombinedCleaned[[#This Row],[ID]], Table4[ID], Table4[Teas], "Not Found", 0)</f>
        <v>118</v>
      </c>
      <c r="L984" s="16">
        <f>_xlfn.XLOOKUP(CustomerCombinedCleaned[[#This Row],[ID]], Table4[ID], Table4[Fruits], "Not Found", 0)</f>
        <v>14</v>
      </c>
      <c r="M984" s="16">
        <f>_xlfn.XLOOKUP(CustomerCombinedCleaned[[#This Row],[ID]], Table4[ID], Table4[Meats], "Not Found", 0)</f>
        <v>76</v>
      </c>
      <c r="N984" s="16">
        <f>_xlfn.XLOOKUP(CustomerCombinedCleaned[[#This Row],[ID]], Table4[ID], Table4[Seafood], "Not Found", 0)</f>
        <v>38</v>
      </c>
      <c r="O984" s="16">
        <f>_xlfn.XLOOKUP(CustomerCombinedCleaned[[#This Row],[ID]], Table4[ID], Table4[Sweets], "Not Found", 0)</f>
        <v>24</v>
      </c>
      <c r="P984" s="16">
        <f>_xlfn.XLOOKUP(CustomerCombinedCleaned[[#This Row],[ID]], Table4[ID], Table4[Premium], "Not Found", 0)</f>
        <v>9</v>
      </c>
      <c r="Q984" s="16">
        <f>_xlfn.XLOOKUP(CustomerCombinedCleaned[[#This Row],[ID]], Table4[ID], Table4[Regular], "Not Found", 0)</f>
        <v>261</v>
      </c>
      <c r="R984" s="16">
        <f>_xlfn.XLOOKUP(CustomerCombinedCleaned[[#This Row],[ID]], Table4[ID], Table4[Deals], "Not Found", 0)</f>
        <v>2</v>
      </c>
      <c r="S984" s="16">
        <f>_xlfn.XLOOKUP(CustomerCombinedCleaned[[#This Row],[ID]], Table4[ID], Table4[Website], "Not Found", 0)</f>
        <v>2</v>
      </c>
      <c r="T984" s="16">
        <f>_xlfn.XLOOKUP(CustomerCombinedCleaned[[#This Row],[ID]], Table4[ID], Table4[Catalog], "Not Found", 0)</f>
        <v>1</v>
      </c>
      <c r="U984" s="16">
        <f>_xlfn.XLOOKUP(CustomerCombinedCleaned[[#This Row],[ID]], Table4[ID], Table4[Store], "Not Found", 0)</f>
        <v>3</v>
      </c>
      <c r="V984" s="16">
        <f>_xlfn.XLOOKUP(CustomerCombinedCleaned[[#This Row],[ID]], Table4[ID], Table4[Visits], "Not Found", 0)</f>
        <v>6</v>
      </c>
      <c r="W984" s="16">
        <f>_xlfn.XLOOKUP(CustomerCombinedCleaned[[#This Row],[ID]], Table2[ID],Table2[Complaint], "Not Found", 0 )</f>
        <v>0</v>
      </c>
      <c r="X984" s="16">
        <f>_xlfn.XLOOKUP(CustomerCombinedCleaned[[#This Row],[ID]], Table2[ID],Table2[Pilot], "Not Found", 0 )</f>
        <v>0</v>
      </c>
      <c r="Y984" s="16">
        <f>_xlfn.XLOOKUP(CustomerCombinedCleaned[[#This Row],[ID]], Table2[ID],Table2[MC1], "Not Found", 0 )</f>
        <v>0</v>
      </c>
      <c r="Z984" s="16">
        <f>_xlfn.XLOOKUP(CustomerCombinedCleaned[[#This Row],[ID]], Table2[ID],Table2[MC2], "Not Found", 0 )</f>
        <v>0</v>
      </c>
      <c r="AA984" s="16">
        <f>_xlfn.XLOOKUP(CustomerCombinedCleaned[[#This Row],[ID]], Table2[ID],Table2[MC3], "Not Found", 0 )</f>
        <v>0</v>
      </c>
      <c r="AB984" s="16">
        <f>_xlfn.XLOOKUP(CustomerCombinedCleaned[[#This Row],[ID]], Table2[ID],Table2[MC4], "Not Found", 0 )</f>
        <v>0</v>
      </c>
      <c r="AC984" s="16">
        <f>_xlfn.XLOOKUP(CustomerCombinedCleaned[[#This Row],[ID]], Table2[ID],Table2[MC5], "Not Found", 0 )</f>
        <v>0</v>
      </c>
    </row>
    <row r="985" spans="1:29" x14ac:dyDescent="0.3">
      <c r="A985" s="18">
        <v>2433</v>
      </c>
      <c r="B985" s="16">
        <v>126290</v>
      </c>
      <c r="C985" s="16">
        <v>1</v>
      </c>
      <c r="D985" s="16">
        <v>1</v>
      </c>
      <c r="E985" s="16">
        <v>48</v>
      </c>
      <c r="F985" s="17" t="s">
        <v>8</v>
      </c>
      <c r="G985" s="17" t="s">
        <v>11</v>
      </c>
      <c r="H985" s="3" t="s">
        <v>328</v>
      </c>
      <c r="I985" s="5" t="s">
        <v>435</v>
      </c>
      <c r="J985" s="16">
        <f>_xlfn.XLOOKUP(CustomerCombinedCleaned[[#This Row],[ID]], Table4[ID], Table4[Recency], "Not Found", 0)</f>
        <v>49</v>
      </c>
      <c r="K985" s="16">
        <f>_xlfn.XLOOKUP(CustomerCombinedCleaned[[#This Row],[ID]], Table4[ID], Table4[Teas], "Not Found", 0)</f>
        <v>72</v>
      </c>
      <c r="L985" s="16">
        <f>_xlfn.XLOOKUP(CustomerCombinedCleaned[[#This Row],[ID]], Table4[ID], Table4[Fruits], "Not Found", 0)</f>
        <v>38</v>
      </c>
      <c r="M985" s="16">
        <f>_xlfn.XLOOKUP(CustomerCombinedCleaned[[#This Row],[ID]], Table4[ID], Table4[Meats], "Not Found", 0)</f>
        <v>77</v>
      </c>
      <c r="N985" s="16">
        <f>_xlfn.XLOOKUP(CustomerCombinedCleaned[[#This Row],[ID]], Table4[ID], Table4[Seafood], "Not Found", 0)</f>
        <v>53</v>
      </c>
      <c r="O985" s="16">
        <f>_xlfn.XLOOKUP(CustomerCombinedCleaned[[#This Row],[ID]], Table4[ID], Table4[Sweets], "Not Found", 0)</f>
        <v>24</v>
      </c>
      <c r="P985" s="16">
        <f>_xlfn.XLOOKUP(CustomerCombinedCleaned[[#This Row],[ID]], Table4[ID], Table4[Premium], "Not Found", 0)</f>
        <v>106</v>
      </c>
      <c r="Q985" s="16">
        <f>_xlfn.XLOOKUP(CustomerCombinedCleaned[[#This Row],[ID]], Table4[ID], Table4[Regular], "Not Found", 0)</f>
        <v>159</v>
      </c>
      <c r="R985" s="16">
        <f>_xlfn.XLOOKUP(CustomerCombinedCleaned[[#This Row],[ID]], Table4[ID], Table4[Deals], "Not Found", 0)</f>
        <v>4</v>
      </c>
      <c r="S985" s="16">
        <f>_xlfn.XLOOKUP(CustomerCombinedCleaned[[#This Row],[ID]], Table4[ID], Table4[Website], "Not Found", 0)</f>
        <v>2</v>
      </c>
      <c r="T985" s="16">
        <f>_xlfn.XLOOKUP(CustomerCombinedCleaned[[#This Row],[ID]], Table4[ID], Table4[Catalog], "Not Found", 0)</f>
        <v>0</v>
      </c>
      <c r="U985" s="16">
        <f>_xlfn.XLOOKUP(CustomerCombinedCleaned[[#This Row],[ID]], Table4[ID], Table4[Store], "Not Found", 0)</f>
        <v>4</v>
      </c>
      <c r="V985" s="16">
        <f>_xlfn.XLOOKUP(CustomerCombinedCleaned[[#This Row],[ID]], Table4[ID], Table4[Visits], "Not Found", 0)</f>
        <v>6</v>
      </c>
      <c r="W985" s="16">
        <f>_xlfn.XLOOKUP(CustomerCombinedCleaned[[#This Row],[ID]], Table2[ID],Table2[Complaint], "Not Found", 0 )</f>
        <v>0</v>
      </c>
      <c r="X985" s="16">
        <f>_xlfn.XLOOKUP(CustomerCombinedCleaned[[#This Row],[ID]], Table2[ID],Table2[Pilot], "Not Found", 0 )</f>
        <v>0</v>
      </c>
      <c r="Y985" s="16">
        <f>_xlfn.XLOOKUP(CustomerCombinedCleaned[[#This Row],[ID]], Table2[ID],Table2[MC1], "Not Found", 0 )</f>
        <v>0</v>
      </c>
      <c r="Z985" s="16">
        <f>_xlfn.XLOOKUP(CustomerCombinedCleaned[[#This Row],[ID]], Table2[ID],Table2[MC2], "Not Found", 0 )</f>
        <v>0</v>
      </c>
      <c r="AA985" s="16">
        <f>_xlfn.XLOOKUP(CustomerCombinedCleaned[[#This Row],[ID]], Table2[ID],Table2[MC3], "Not Found", 0 )</f>
        <v>0</v>
      </c>
      <c r="AB985" s="16">
        <f>_xlfn.XLOOKUP(CustomerCombinedCleaned[[#This Row],[ID]], Table2[ID],Table2[MC4], "Not Found", 0 )</f>
        <v>0</v>
      </c>
      <c r="AC985" s="16">
        <f>_xlfn.XLOOKUP(CustomerCombinedCleaned[[#This Row],[ID]], Table2[ID],Table2[MC5], "Not Found", 0 )</f>
        <v>0</v>
      </c>
    </row>
    <row r="986" spans="1:29" x14ac:dyDescent="0.3">
      <c r="A986" s="18">
        <v>3157</v>
      </c>
      <c r="B986" s="16">
        <v>125224</v>
      </c>
      <c r="C986" s="16">
        <v>1</v>
      </c>
      <c r="D986" s="16">
        <v>0</v>
      </c>
      <c r="E986" s="16">
        <v>48</v>
      </c>
      <c r="F986" s="17" t="s">
        <v>6</v>
      </c>
      <c r="G986" s="17" t="s">
        <v>10</v>
      </c>
      <c r="H986" s="3" t="s">
        <v>85</v>
      </c>
      <c r="I986" s="5" t="s">
        <v>437</v>
      </c>
      <c r="J986" s="16">
        <f>_xlfn.XLOOKUP(CustomerCombinedCleaned[[#This Row],[ID]], Table4[ID], Table4[Recency], "Not Found", 0)</f>
        <v>36</v>
      </c>
      <c r="K986" s="16">
        <f>_xlfn.XLOOKUP(CustomerCombinedCleaned[[#This Row],[ID]], Table4[ID], Table4[Teas], "Not Found", 0)</f>
        <v>20</v>
      </c>
      <c r="L986" s="16">
        <f>_xlfn.XLOOKUP(CustomerCombinedCleaned[[#This Row],[ID]], Table4[ID], Table4[Fruits], "Not Found", 0)</f>
        <v>45</v>
      </c>
      <c r="M986" s="16">
        <f>_xlfn.XLOOKUP(CustomerCombinedCleaned[[#This Row],[ID]], Table4[ID], Table4[Meats], "Not Found", 0)</f>
        <v>60</v>
      </c>
      <c r="N986" s="16">
        <f>_xlfn.XLOOKUP(CustomerCombinedCleaned[[#This Row],[ID]], Table4[ID], Table4[Seafood], "Not Found", 0)</f>
        <v>55</v>
      </c>
      <c r="O986" s="16">
        <f>_xlfn.XLOOKUP(CustomerCombinedCleaned[[#This Row],[ID]], Table4[ID], Table4[Sweets], "Not Found", 0)</f>
        <v>10</v>
      </c>
      <c r="P986" s="16">
        <f>_xlfn.XLOOKUP(CustomerCombinedCleaned[[#This Row],[ID]], Table4[ID], Table4[Premium], "Not Found", 0)</f>
        <v>40</v>
      </c>
      <c r="Q986" s="16">
        <f>_xlfn.XLOOKUP(CustomerCombinedCleaned[[#This Row],[ID]], Table4[ID], Table4[Regular], "Not Found", 0)</f>
        <v>149</v>
      </c>
      <c r="R986" s="16">
        <f>_xlfn.XLOOKUP(CustomerCombinedCleaned[[#This Row],[ID]], Table4[ID], Table4[Deals], "Not Found", 0)</f>
        <v>2</v>
      </c>
      <c r="S986" s="16">
        <f>_xlfn.XLOOKUP(CustomerCombinedCleaned[[#This Row],[ID]], Table4[ID], Table4[Website], "Not Found", 0)</f>
        <v>1</v>
      </c>
      <c r="T986" s="16">
        <f>_xlfn.XLOOKUP(CustomerCombinedCleaned[[#This Row],[ID]], Table4[ID], Table4[Catalog], "Not Found", 0)</f>
        <v>1</v>
      </c>
      <c r="U986" s="16">
        <f>_xlfn.XLOOKUP(CustomerCombinedCleaned[[#This Row],[ID]], Table4[ID], Table4[Store], "Not Found", 0)</f>
        <v>3</v>
      </c>
      <c r="V986" s="16">
        <f>_xlfn.XLOOKUP(CustomerCombinedCleaned[[#This Row],[ID]], Table4[ID], Table4[Visits], "Not Found", 0)</f>
        <v>3</v>
      </c>
      <c r="W986" s="16">
        <f>_xlfn.XLOOKUP(CustomerCombinedCleaned[[#This Row],[ID]], Table2[ID],Table2[Complaint], "Not Found", 0 )</f>
        <v>0</v>
      </c>
      <c r="X986" s="16">
        <f>_xlfn.XLOOKUP(CustomerCombinedCleaned[[#This Row],[ID]], Table2[ID],Table2[Pilot], "Not Found", 0 )</f>
        <v>0</v>
      </c>
      <c r="Y986" s="16">
        <f>_xlfn.XLOOKUP(CustomerCombinedCleaned[[#This Row],[ID]], Table2[ID],Table2[MC1], "Not Found", 0 )</f>
        <v>0</v>
      </c>
      <c r="Z986" s="16">
        <f>_xlfn.XLOOKUP(CustomerCombinedCleaned[[#This Row],[ID]], Table2[ID],Table2[MC2], "Not Found", 0 )</f>
        <v>0</v>
      </c>
      <c r="AA986" s="16">
        <f>_xlfn.XLOOKUP(CustomerCombinedCleaned[[#This Row],[ID]], Table2[ID],Table2[MC3], "Not Found", 0 )</f>
        <v>0</v>
      </c>
      <c r="AB986" s="16">
        <f>_xlfn.XLOOKUP(CustomerCombinedCleaned[[#This Row],[ID]], Table2[ID],Table2[MC4], "Not Found", 0 )</f>
        <v>0</v>
      </c>
      <c r="AC986" s="16">
        <f>_xlfn.XLOOKUP(CustomerCombinedCleaned[[#This Row],[ID]], Table2[ID],Table2[MC5], "Not Found", 0 )</f>
        <v>0</v>
      </c>
    </row>
    <row r="987" spans="1:29" x14ac:dyDescent="0.3">
      <c r="A987" s="18">
        <v>1972</v>
      </c>
      <c r="B987" s="16">
        <v>124884</v>
      </c>
      <c r="C987" s="16">
        <v>1</v>
      </c>
      <c r="D987" s="16">
        <v>0</v>
      </c>
      <c r="E987" s="16">
        <v>48</v>
      </c>
      <c r="F987" s="17" t="s">
        <v>6</v>
      </c>
      <c r="G987" s="17" t="s">
        <v>11</v>
      </c>
      <c r="H987" s="3" t="s">
        <v>631</v>
      </c>
      <c r="I987" s="5" t="s">
        <v>439</v>
      </c>
      <c r="J987" s="16">
        <f>_xlfn.XLOOKUP(CustomerCombinedCleaned[[#This Row],[ID]], Table4[ID], Table4[Recency], "Not Found", 0)</f>
        <v>32</v>
      </c>
      <c r="K987" s="16">
        <f>_xlfn.XLOOKUP(CustomerCombinedCleaned[[#This Row],[ID]], Table4[ID], Table4[Teas], "Not Found", 0)</f>
        <v>15</v>
      </c>
      <c r="L987" s="16">
        <f>_xlfn.XLOOKUP(CustomerCombinedCleaned[[#This Row],[ID]], Table4[ID], Table4[Fruits], "Not Found", 0)</f>
        <v>30</v>
      </c>
      <c r="M987" s="16">
        <f>_xlfn.XLOOKUP(CustomerCombinedCleaned[[#This Row],[ID]], Table4[ID], Table4[Meats], "Not Found", 0)</f>
        <v>35</v>
      </c>
      <c r="N987" s="16">
        <f>_xlfn.XLOOKUP(CustomerCombinedCleaned[[#This Row],[ID]], Table4[ID], Table4[Seafood], "Not Found", 0)</f>
        <v>0</v>
      </c>
      <c r="O987" s="16">
        <f>_xlfn.XLOOKUP(CustomerCombinedCleaned[[#This Row],[ID]], Table4[ID], Table4[Sweets], "Not Found", 0)</f>
        <v>0</v>
      </c>
      <c r="P987" s="16">
        <f>_xlfn.XLOOKUP(CustomerCombinedCleaned[[#This Row],[ID]], Table4[ID], Table4[Premium], "Not Found", 0)</f>
        <v>15</v>
      </c>
      <c r="Q987" s="16">
        <f>_xlfn.XLOOKUP(CustomerCombinedCleaned[[#This Row],[ID]], Table4[ID], Table4[Regular], "Not Found", 0)</f>
        <v>65</v>
      </c>
      <c r="R987" s="16">
        <f>_xlfn.XLOOKUP(CustomerCombinedCleaned[[#This Row],[ID]], Table4[ID], Table4[Deals], "Not Found", 0)</f>
        <v>1</v>
      </c>
      <c r="S987" s="16">
        <f>_xlfn.XLOOKUP(CustomerCombinedCleaned[[#This Row],[ID]], Table4[ID], Table4[Website], "Not Found", 0)</f>
        <v>0</v>
      </c>
      <c r="T987" s="16">
        <f>_xlfn.XLOOKUP(CustomerCombinedCleaned[[#This Row],[ID]], Table4[ID], Table4[Catalog], "Not Found", 0)</f>
        <v>0</v>
      </c>
      <c r="U987" s="16">
        <f>_xlfn.XLOOKUP(CustomerCombinedCleaned[[#This Row],[ID]], Table4[ID], Table4[Store], "Not Found", 0)</f>
        <v>3</v>
      </c>
      <c r="V987" s="16">
        <f>_xlfn.XLOOKUP(CustomerCombinedCleaned[[#This Row],[ID]], Table4[ID], Table4[Visits], "Not Found", 0)</f>
        <v>7</v>
      </c>
      <c r="W987" s="16">
        <f>_xlfn.XLOOKUP(CustomerCombinedCleaned[[#This Row],[ID]], Table2[ID],Table2[Complaint], "Not Found", 0 )</f>
        <v>0</v>
      </c>
      <c r="X987" s="16">
        <f>_xlfn.XLOOKUP(CustomerCombinedCleaned[[#This Row],[ID]], Table2[ID],Table2[Pilot], "Not Found", 0 )</f>
        <v>0</v>
      </c>
      <c r="Y987" s="16">
        <f>_xlfn.XLOOKUP(CustomerCombinedCleaned[[#This Row],[ID]], Table2[ID],Table2[MC1], "Not Found", 0 )</f>
        <v>0</v>
      </c>
      <c r="Z987" s="16">
        <f>_xlfn.XLOOKUP(CustomerCombinedCleaned[[#This Row],[ID]], Table2[ID],Table2[MC2], "Not Found", 0 )</f>
        <v>0</v>
      </c>
      <c r="AA987" s="16">
        <f>_xlfn.XLOOKUP(CustomerCombinedCleaned[[#This Row],[ID]], Table2[ID],Table2[MC3], "Not Found", 0 )</f>
        <v>0</v>
      </c>
      <c r="AB987" s="16">
        <f>_xlfn.XLOOKUP(CustomerCombinedCleaned[[#This Row],[ID]], Table2[ID],Table2[MC4], "Not Found", 0 )</f>
        <v>0</v>
      </c>
      <c r="AC987" s="16">
        <f>_xlfn.XLOOKUP(CustomerCombinedCleaned[[#This Row],[ID]], Table2[ID],Table2[MC5], "Not Found", 0 )</f>
        <v>0</v>
      </c>
    </row>
    <row r="988" spans="1:29" x14ac:dyDescent="0.3">
      <c r="A988" s="18">
        <v>1861</v>
      </c>
      <c r="B988" s="16">
        <v>124762</v>
      </c>
      <c r="C988" s="16">
        <v>1</v>
      </c>
      <c r="D988" s="16">
        <v>0</v>
      </c>
      <c r="E988" s="16">
        <v>48</v>
      </c>
      <c r="F988" s="17" t="s">
        <v>7</v>
      </c>
      <c r="G988" s="17" t="s">
        <v>11</v>
      </c>
      <c r="H988" s="3" t="s">
        <v>103</v>
      </c>
      <c r="I988" s="5" t="s">
        <v>437</v>
      </c>
      <c r="J988" s="16">
        <f>_xlfn.XLOOKUP(CustomerCombinedCleaned[[#This Row],[ID]], Table4[ID], Table4[Recency], "Not Found", 0)</f>
        <v>16</v>
      </c>
      <c r="K988" s="16">
        <f>_xlfn.XLOOKUP(CustomerCombinedCleaned[[#This Row],[ID]], Table4[ID], Table4[Teas], "Not Found", 0)</f>
        <v>30</v>
      </c>
      <c r="L988" s="16">
        <f>_xlfn.XLOOKUP(CustomerCombinedCleaned[[#This Row],[ID]], Table4[ID], Table4[Fruits], "Not Found", 0)</f>
        <v>50</v>
      </c>
      <c r="M988" s="16">
        <f>_xlfn.XLOOKUP(CustomerCombinedCleaned[[#This Row],[ID]], Table4[ID], Table4[Meats], "Not Found", 0)</f>
        <v>60</v>
      </c>
      <c r="N988" s="16">
        <f>_xlfn.XLOOKUP(CustomerCombinedCleaned[[#This Row],[ID]], Table4[ID], Table4[Seafood], "Not Found", 0)</f>
        <v>15</v>
      </c>
      <c r="O988" s="16">
        <f>_xlfn.XLOOKUP(CustomerCombinedCleaned[[#This Row],[ID]], Table4[ID], Table4[Sweets], "Not Found", 0)</f>
        <v>76</v>
      </c>
      <c r="P988" s="16">
        <f>_xlfn.XLOOKUP(CustomerCombinedCleaned[[#This Row],[ID]], Table4[ID], Table4[Premium], "Not Found", 0)</f>
        <v>202</v>
      </c>
      <c r="Q988" s="16">
        <f>_xlfn.XLOOKUP(CustomerCombinedCleaned[[#This Row],[ID]], Table4[ID], Table4[Regular], "Not Found", 0)</f>
        <v>30</v>
      </c>
      <c r="R988" s="16">
        <f>_xlfn.XLOOKUP(CustomerCombinedCleaned[[#This Row],[ID]], Table4[ID], Table4[Deals], "Not Found", 0)</f>
        <v>3</v>
      </c>
      <c r="S988" s="16">
        <f>_xlfn.XLOOKUP(CustomerCombinedCleaned[[#This Row],[ID]], Table4[ID], Table4[Website], "Not Found", 0)</f>
        <v>3</v>
      </c>
      <c r="T988" s="16">
        <f>_xlfn.XLOOKUP(CustomerCombinedCleaned[[#This Row],[ID]], Table4[ID], Table4[Catalog], "Not Found", 0)</f>
        <v>1</v>
      </c>
      <c r="U988" s="16">
        <f>_xlfn.XLOOKUP(CustomerCombinedCleaned[[#This Row],[ID]], Table4[ID], Table4[Store], "Not Found", 0)</f>
        <v>2</v>
      </c>
      <c r="V988" s="16">
        <f>_xlfn.XLOOKUP(CustomerCombinedCleaned[[#This Row],[ID]], Table4[ID], Table4[Visits], "Not Found", 0)</f>
        <v>8</v>
      </c>
      <c r="W988" s="16">
        <f>_xlfn.XLOOKUP(CustomerCombinedCleaned[[#This Row],[ID]], Table2[ID],Table2[Complaint], "Not Found", 0 )</f>
        <v>0</v>
      </c>
      <c r="X988" s="16">
        <f>_xlfn.XLOOKUP(CustomerCombinedCleaned[[#This Row],[ID]], Table2[ID],Table2[Pilot], "Not Found", 0 )</f>
        <v>1</v>
      </c>
      <c r="Y988" s="16">
        <f>_xlfn.XLOOKUP(CustomerCombinedCleaned[[#This Row],[ID]], Table2[ID],Table2[MC1], "Not Found", 0 )</f>
        <v>0</v>
      </c>
      <c r="Z988" s="16">
        <f>_xlfn.XLOOKUP(CustomerCombinedCleaned[[#This Row],[ID]], Table2[ID],Table2[MC2], "Not Found", 0 )</f>
        <v>0</v>
      </c>
      <c r="AA988" s="16">
        <f>_xlfn.XLOOKUP(CustomerCombinedCleaned[[#This Row],[ID]], Table2[ID],Table2[MC3], "Not Found", 0 )</f>
        <v>1</v>
      </c>
      <c r="AB988" s="16">
        <f>_xlfn.XLOOKUP(CustomerCombinedCleaned[[#This Row],[ID]], Table2[ID],Table2[MC4], "Not Found", 0 )</f>
        <v>0</v>
      </c>
      <c r="AC988" s="16">
        <f>_xlfn.XLOOKUP(CustomerCombinedCleaned[[#This Row],[ID]], Table2[ID],Table2[MC5], "Not Found", 0 )</f>
        <v>0</v>
      </c>
    </row>
    <row r="989" spans="1:29" x14ac:dyDescent="0.3">
      <c r="A989" s="18">
        <v>3196</v>
      </c>
      <c r="B989" s="16">
        <v>124434</v>
      </c>
      <c r="C989" s="16">
        <v>2</v>
      </c>
      <c r="D989" s="16">
        <v>0</v>
      </c>
      <c r="E989" s="16">
        <v>48</v>
      </c>
      <c r="F989" s="17" t="s">
        <v>6</v>
      </c>
      <c r="G989" s="17" t="s">
        <v>11</v>
      </c>
      <c r="H989" s="3" t="s">
        <v>47</v>
      </c>
      <c r="I989" s="5" t="s">
        <v>439</v>
      </c>
      <c r="J989" s="16">
        <f>_xlfn.XLOOKUP(CustomerCombinedCleaned[[#This Row],[ID]], Table4[ID], Table4[Recency], "Not Found", 0)</f>
        <v>9</v>
      </c>
      <c r="K989" s="16">
        <f>_xlfn.XLOOKUP(CustomerCombinedCleaned[[#This Row],[ID]], Table4[ID], Table4[Teas], "Not Found", 0)</f>
        <v>15</v>
      </c>
      <c r="L989" s="16">
        <f>_xlfn.XLOOKUP(CustomerCombinedCleaned[[#This Row],[ID]], Table4[ID], Table4[Fruits], "Not Found", 0)</f>
        <v>10</v>
      </c>
      <c r="M989" s="16">
        <f>_xlfn.XLOOKUP(CustomerCombinedCleaned[[#This Row],[ID]], Table4[ID], Table4[Meats], "Not Found", 0)</f>
        <v>41</v>
      </c>
      <c r="N989" s="16">
        <f>_xlfn.XLOOKUP(CustomerCombinedCleaned[[#This Row],[ID]], Table4[ID], Table4[Seafood], "Not Found", 0)</f>
        <v>102</v>
      </c>
      <c r="O989" s="16">
        <f>_xlfn.XLOOKUP(CustomerCombinedCleaned[[#This Row],[ID]], Table4[ID], Table4[Sweets], "Not Found", 0)</f>
        <v>0</v>
      </c>
      <c r="P989" s="16">
        <f>_xlfn.XLOOKUP(CustomerCombinedCleaned[[#This Row],[ID]], Table4[ID], Table4[Premium], "Not Found", 0)</f>
        <v>87</v>
      </c>
      <c r="Q989" s="16">
        <f>_xlfn.XLOOKUP(CustomerCombinedCleaned[[#This Row],[ID]], Table4[ID], Table4[Regular], "Not Found", 0)</f>
        <v>81</v>
      </c>
      <c r="R989" s="16">
        <f>_xlfn.XLOOKUP(CustomerCombinedCleaned[[#This Row],[ID]], Table4[ID], Table4[Deals], "Not Found", 0)</f>
        <v>2</v>
      </c>
      <c r="S989" s="16">
        <f>_xlfn.XLOOKUP(CustomerCombinedCleaned[[#This Row],[ID]], Table4[ID], Table4[Website], "Not Found", 0)</f>
        <v>2</v>
      </c>
      <c r="T989" s="16">
        <f>_xlfn.XLOOKUP(CustomerCombinedCleaned[[#This Row],[ID]], Table4[ID], Table4[Catalog], "Not Found", 0)</f>
        <v>1</v>
      </c>
      <c r="U989" s="16">
        <f>_xlfn.XLOOKUP(CustomerCombinedCleaned[[#This Row],[ID]], Table4[ID], Table4[Store], "Not Found", 0)</f>
        <v>2</v>
      </c>
      <c r="V989" s="16">
        <f>_xlfn.XLOOKUP(CustomerCombinedCleaned[[#This Row],[ID]], Table4[ID], Table4[Visits], "Not Found", 0)</f>
        <v>7</v>
      </c>
      <c r="W989" s="16">
        <f>_xlfn.XLOOKUP(CustomerCombinedCleaned[[#This Row],[ID]], Table2[ID],Table2[Complaint], "Not Found", 0 )</f>
        <v>0</v>
      </c>
      <c r="X989" s="16">
        <f>_xlfn.XLOOKUP(CustomerCombinedCleaned[[#This Row],[ID]], Table2[ID],Table2[Pilot], "Not Found", 0 )</f>
        <v>0</v>
      </c>
      <c r="Y989" s="16">
        <f>_xlfn.XLOOKUP(CustomerCombinedCleaned[[#This Row],[ID]], Table2[ID],Table2[MC1], "Not Found", 0 )</f>
        <v>0</v>
      </c>
      <c r="Z989" s="16">
        <f>_xlfn.XLOOKUP(CustomerCombinedCleaned[[#This Row],[ID]], Table2[ID],Table2[MC2], "Not Found", 0 )</f>
        <v>0</v>
      </c>
      <c r="AA989" s="16">
        <f>_xlfn.XLOOKUP(CustomerCombinedCleaned[[#This Row],[ID]], Table2[ID],Table2[MC3], "Not Found", 0 )</f>
        <v>0</v>
      </c>
      <c r="AB989" s="16">
        <f>_xlfn.XLOOKUP(CustomerCombinedCleaned[[#This Row],[ID]], Table2[ID],Table2[MC4], "Not Found", 0 )</f>
        <v>0</v>
      </c>
      <c r="AC989" s="16">
        <f>_xlfn.XLOOKUP(CustomerCombinedCleaned[[#This Row],[ID]], Table2[ID],Table2[MC5], "Not Found", 0 )</f>
        <v>0</v>
      </c>
    </row>
    <row r="990" spans="1:29" x14ac:dyDescent="0.3">
      <c r="A990" s="18">
        <v>1802</v>
      </c>
      <c r="B990" s="16">
        <v>122063</v>
      </c>
      <c r="C990" s="16">
        <v>1</v>
      </c>
      <c r="D990" s="16">
        <v>0</v>
      </c>
      <c r="E990" s="16">
        <v>48</v>
      </c>
      <c r="F990" s="17" t="s">
        <v>6</v>
      </c>
      <c r="G990" s="17" t="s">
        <v>11</v>
      </c>
      <c r="H990" s="3" t="s">
        <v>209</v>
      </c>
      <c r="I990" s="5" t="s">
        <v>438</v>
      </c>
      <c r="J990" s="16">
        <f>_xlfn.XLOOKUP(CustomerCombinedCleaned[[#This Row],[ID]], Table4[ID], Table4[Recency], "Not Found", 0)</f>
        <v>43</v>
      </c>
      <c r="K990" s="16">
        <f>_xlfn.XLOOKUP(CustomerCombinedCleaned[[#This Row],[ID]], Table4[ID], Table4[Teas], "Not Found", 0)</f>
        <v>39</v>
      </c>
      <c r="L990" s="16">
        <f>_xlfn.XLOOKUP(CustomerCombinedCleaned[[#This Row],[ID]], Table4[ID], Table4[Fruits], "Not Found", 0)</f>
        <v>55</v>
      </c>
      <c r="M990" s="16">
        <f>_xlfn.XLOOKUP(CustomerCombinedCleaned[[#This Row],[ID]], Table4[ID], Table4[Meats], "Not Found", 0)</f>
        <v>72</v>
      </c>
      <c r="N990" s="16">
        <f>_xlfn.XLOOKUP(CustomerCombinedCleaned[[#This Row],[ID]], Table4[ID], Table4[Seafood], "Not Found", 0)</f>
        <v>17</v>
      </c>
      <c r="O990" s="16">
        <f>_xlfn.XLOOKUP(CustomerCombinedCleaned[[#This Row],[ID]], Table4[ID], Table4[Sweets], "Not Found", 0)</f>
        <v>61</v>
      </c>
      <c r="P990" s="16">
        <f>_xlfn.XLOOKUP(CustomerCombinedCleaned[[#This Row],[ID]], Table4[ID], Table4[Premium], "Not Found", 0)</f>
        <v>61</v>
      </c>
      <c r="Q990" s="16">
        <f>_xlfn.XLOOKUP(CustomerCombinedCleaned[[#This Row],[ID]], Table4[ID], Table4[Regular], "Not Found", 0)</f>
        <v>183</v>
      </c>
      <c r="R990" s="16">
        <f>_xlfn.XLOOKUP(CustomerCombinedCleaned[[#This Row],[ID]], Table4[ID], Table4[Deals], "Not Found", 0)</f>
        <v>2</v>
      </c>
      <c r="S990" s="16">
        <f>_xlfn.XLOOKUP(CustomerCombinedCleaned[[#This Row],[ID]], Table4[ID], Table4[Website], "Not Found", 0)</f>
        <v>2</v>
      </c>
      <c r="T990" s="16">
        <f>_xlfn.XLOOKUP(CustomerCombinedCleaned[[#This Row],[ID]], Table4[ID], Table4[Catalog], "Not Found", 0)</f>
        <v>0</v>
      </c>
      <c r="U990" s="16">
        <f>_xlfn.XLOOKUP(CustomerCombinedCleaned[[#This Row],[ID]], Table4[ID], Table4[Store], "Not Found", 0)</f>
        <v>3</v>
      </c>
      <c r="V990" s="16">
        <f>_xlfn.XLOOKUP(CustomerCombinedCleaned[[#This Row],[ID]], Table4[ID], Table4[Visits], "Not Found", 0)</f>
        <v>7</v>
      </c>
      <c r="W990" s="16">
        <f>_xlfn.XLOOKUP(CustomerCombinedCleaned[[#This Row],[ID]], Table2[ID],Table2[Complaint], "Not Found", 0 )</f>
        <v>0</v>
      </c>
      <c r="X990" s="16">
        <f>_xlfn.XLOOKUP(CustomerCombinedCleaned[[#This Row],[ID]], Table2[ID],Table2[Pilot], "Not Found", 0 )</f>
        <v>0</v>
      </c>
      <c r="Y990" s="16">
        <f>_xlfn.XLOOKUP(CustomerCombinedCleaned[[#This Row],[ID]], Table2[ID],Table2[MC1], "Not Found", 0 )</f>
        <v>0</v>
      </c>
      <c r="Z990" s="16">
        <f>_xlfn.XLOOKUP(CustomerCombinedCleaned[[#This Row],[ID]], Table2[ID],Table2[MC2], "Not Found", 0 )</f>
        <v>0</v>
      </c>
      <c r="AA990" s="16">
        <f>_xlfn.XLOOKUP(CustomerCombinedCleaned[[#This Row],[ID]], Table2[ID],Table2[MC3], "Not Found", 0 )</f>
        <v>0</v>
      </c>
      <c r="AB990" s="16">
        <f>_xlfn.XLOOKUP(CustomerCombinedCleaned[[#This Row],[ID]], Table2[ID],Table2[MC4], "Not Found", 0 )</f>
        <v>0</v>
      </c>
      <c r="AC990" s="16">
        <f>_xlfn.XLOOKUP(CustomerCombinedCleaned[[#This Row],[ID]], Table2[ID],Table2[MC5], "Not Found", 0 )</f>
        <v>0</v>
      </c>
    </row>
    <row r="991" spans="1:29" x14ac:dyDescent="0.3">
      <c r="A991" s="18">
        <v>1792</v>
      </c>
      <c r="B991" s="16">
        <v>121359</v>
      </c>
      <c r="C991" s="16">
        <v>1</v>
      </c>
      <c r="D991" s="16">
        <v>0</v>
      </c>
      <c r="E991" s="16">
        <v>48</v>
      </c>
      <c r="F991" s="17" t="s">
        <v>7</v>
      </c>
      <c r="G991" s="17" t="s">
        <v>11</v>
      </c>
      <c r="H991" s="3" t="s">
        <v>269</v>
      </c>
      <c r="I991" s="5" t="s">
        <v>439</v>
      </c>
      <c r="J991" s="16">
        <f>_xlfn.XLOOKUP(CustomerCombinedCleaned[[#This Row],[ID]], Table4[ID], Table4[Recency], "Not Found", 0)</f>
        <v>1</v>
      </c>
      <c r="K991" s="16">
        <f>_xlfn.XLOOKUP(CustomerCombinedCleaned[[#This Row],[ID]], Table4[ID], Table4[Teas], "Not Found", 0)</f>
        <v>68</v>
      </c>
      <c r="L991" s="16">
        <f>_xlfn.XLOOKUP(CustomerCombinedCleaned[[#This Row],[ID]], Table4[ID], Table4[Fruits], "Not Found", 0)</f>
        <v>11</v>
      </c>
      <c r="M991" s="16">
        <f>_xlfn.XLOOKUP(CustomerCombinedCleaned[[#This Row],[ID]], Table4[ID], Table4[Meats], "Not Found", 0)</f>
        <v>97</v>
      </c>
      <c r="N991" s="16">
        <f>_xlfn.XLOOKUP(CustomerCombinedCleaned[[#This Row],[ID]], Table4[ID], Table4[Seafood], "Not Found", 0)</f>
        <v>34</v>
      </c>
      <c r="O991" s="16">
        <f>_xlfn.XLOOKUP(CustomerCombinedCleaned[[#This Row],[ID]], Table4[ID], Table4[Sweets], "Not Found", 0)</f>
        <v>6</v>
      </c>
      <c r="P991" s="16">
        <f>_xlfn.XLOOKUP(CustomerCombinedCleaned[[#This Row],[ID]], Table4[ID], Table4[Premium], "Not Found", 0)</f>
        <v>57</v>
      </c>
      <c r="Q991" s="16">
        <f>_xlfn.XLOOKUP(CustomerCombinedCleaned[[#This Row],[ID]], Table4[ID], Table4[Regular], "Not Found", 0)</f>
        <v>159</v>
      </c>
      <c r="R991" s="16">
        <f>_xlfn.XLOOKUP(CustomerCombinedCleaned[[#This Row],[ID]], Table4[ID], Table4[Deals], "Not Found", 0)</f>
        <v>2</v>
      </c>
      <c r="S991" s="16">
        <f>_xlfn.XLOOKUP(CustomerCombinedCleaned[[#This Row],[ID]], Table4[ID], Table4[Website], "Not Found", 0)</f>
        <v>2</v>
      </c>
      <c r="T991" s="16">
        <f>_xlfn.XLOOKUP(CustomerCombinedCleaned[[#This Row],[ID]], Table4[ID], Table4[Catalog], "Not Found", 0)</f>
        <v>0</v>
      </c>
      <c r="U991" s="16">
        <f>_xlfn.XLOOKUP(CustomerCombinedCleaned[[#This Row],[ID]], Table4[ID], Table4[Store], "Not Found", 0)</f>
        <v>3</v>
      </c>
      <c r="V991" s="16">
        <f>_xlfn.XLOOKUP(CustomerCombinedCleaned[[#This Row],[ID]], Table4[ID], Table4[Visits], "Not Found", 0)</f>
        <v>8</v>
      </c>
      <c r="W991" s="16">
        <f>_xlfn.XLOOKUP(CustomerCombinedCleaned[[#This Row],[ID]], Table2[ID],Table2[Complaint], "Not Found", 0 )</f>
        <v>0</v>
      </c>
      <c r="X991" s="16">
        <f>_xlfn.XLOOKUP(CustomerCombinedCleaned[[#This Row],[ID]], Table2[ID],Table2[Pilot], "Not Found", 0 )</f>
        <v>1</v>
      </c>
      <c r="Y991" s="16">
        <f>_xlfn.XLOOKUP(CustomerCombinedCleaned[[#This Row],[ID]], Table2[ID],Table2[MC1], "Not Found", 0 )</f>
        <v>0</v>
      </c>
      <c r="Z991" s="16">
        <f>_xlfn.XLOOKUP(CustomerCombinedCleaned[[#This Row],[ID]], Table2[ID],Table2[MC2], "Not Found", 0 )</f>
        <v>0</v>
      </c>
      <c r="AA991" s="16">
        <f>_xlfn.XLOOKUP(CustomerCombinedCleaned[[#This Row],[ID]], Table2[ID],Table2[MC3], "Not Found", 0 )</f>
        <v>0</v>
      </c>
      <c r="AB991" s="16">
        <f>_xlfn.XLOOKUP(CustomerCombinedCleaned[[#This Row],[ID]], Table2[ID],Table2[MC4], "Not Found", 0 )</f>
        <v>0</v>
      </c>
      <c r="AC991" s="16">
        <f>_xlfn.XLOOKUP(CustomerCombinedCleaned[[#This Row],[ID]], Table2[ID],Table2[MC5], "Not Found", 0 )</f>
        <v>0</v>
      </c>
    </row>
    <row r="992" spans="1:29" x14ac:dyDescent="0.3">
      <c r="A992" s="18">
        <v>3073</v>
      </c>
      <c r="B992" s="16">
        <v>114188</v>
      </c>
      <c r="C992" s="16">
        <v>0</v>
      </c>
      <c r="D992" s="16">
        <v>0</v>
      </c>
      <c r="E992" s="16">
        <v>48</v>
      </c>
      <c r="F992" s="17" t="s">
        <v>6</v>
      </c>
      <c r="G992" s="17" t="s">
        <v>10</v>
      </c>
      <c r="H992" s="3" t="s">
        <v>601</v>
      </c>
      <c r="I992" s="5" t="s">
        <v>437</v>
      </c>
      <c r="J992" s="16">
        <f>_xlfn.XLOOKUP(CustomerCombinedCleaned[[#This Row],[ID]], Table4[ID], Table4[Recency], "Not Found", 0)</f>
        <v>40</v>
      </c>
      <c r="K992" s="16">
        <f>_xlfn.XLOOKUP(CustomerCombinedCleaned[[#This Row],[ID]], Table4[ID], Table4[Teas], "Not Found", 0)</f>
        <v>16</v>
      </c>
      <c r="L992" s="16">
        <f>_xlfn.XLOOKUP(CustomerCombinedCleaned[[#This Row],[ID]], Table4[ID], Table4[Fruits], "Not Found", 0)</f>
        <v>56</v>
      </c>
      <c r="M992" s="16">
        <f>_xlfn.XLOOKUP(CustomerCombinedCleaned[[#This Row],[ID]], Table4[ID], Table4[Meats], "Not Found", 0)</f>
        <v>89</v>
      </c>
      <c r="N992" s="16">
        <f>_xlfn.XLOOKUP(CustomerCombinedCleaned[[#This Row],[ID]], Table4[ID], Table4[Seafood], "Not Found", 0)</f>
        <v>129</v>
      </c>
      <c r="O992" s="16">
        <f>_xlfn.XLOOKUP(CustomerCombinedCleaned[[#This Row],[ID]], Table4[ID], Table4[Sweets], "Not Found", 0)</f>
        <v>97</v>
      </c>
      <c r="P992" s="16">
        <f>_xlfn.XLOOKUP(CustomerCombinedCleaned[[#This Row],[ID]], Table4[ID], Table4[Premium], "Not Found", 0)</f>
        <v>217</v>
      </c>
      <c r="Q992" s="16">
        <f>_xlfn.XLOOKUP(CustomerCombinedCleaned[[#This Row],[ID]], Table4[ID], Table4[Regular], "Not Found", 0)</f>
        <v>169</v>
      </c>
      <c r="R992" s="16">
        <f>_xlfn.XLOOKUP(CustomerCombinedCleaned[[#This Row],[ID]], Table4[ID], Table4[Deals], "Not Found", 0)</f>
        <v>1</v>
      </c>
      <c r="S992" s="16">
        <f>_xlfn.XLOOKUP(CustomerCombinedCleaned[[#This Row],[ID]], Table4[ID], Table4[Website], "Not Found", 0)</f>
        <v>2</v>
      </c>
      <c r="T992" s="16">
        <f>_xlfn.XLOOKUP(CustomerCombinedCleaned[[#This Row],[ID]], Table4[ID], Table4[Catalog], "Not Found", 0)</f>
        <v>0</v>
      </c>
      <c r="U992" s="16">
        <f>_xlfn.XLOOKUP(CustomerCombinedCleaned[[#This Row],[ID]], Table4[ID], Table4[Store], "Not Found", 0)</f>
        <v>4</v>
      </c>
      <c r="V992" s="16">
        <f>_xlfn.XLOOKUP(CustomerCombinedCleaned[[#This Row],[ID]], Table4[ID], Table4[Visits], "Not Found", 0)</f>
        <v>6</v>
      </c>
      <c r="W992" s="16">
        <f>_xlfn.XLOOKUP(CustomerCombinedCleaned[[#This Row],[ID]], Table2[ID],Table2[Complaint], "Not Found", 0 )</f>
        <v>0</v>
      </c>
      <c r="X992" s="16">
        <f>_xlfn.XLOOKUP(CustomerCombinedCleaned[[#This Row],[ID]], Table2[ID],Table2[Pilot], "Not Found", 0 )</f>
        <v>0</v>
      </c>
      <c r="Y992" s="16">
        <f>_xlfn.XLOOKUP(CustomerCombinedCleaned[[#This Row],[ID]], Table2[ID],Table2[MC1], "Not Found", 0 )</f>
        <v>0</v>
      </c>
      <c r="Z992" s="16">
        <f>_xlfn.XLOOKUP(CustomerCombinedCleaned[[#This Row],[ID]], Table2[ID],Table2[MC2], "Not Found", 0 )</f>
        <v>0</v>
      </c>
      <c r="AA992" s="16">
        <f>_xlfn.XLOOKUP(CustomerCombinedCleaned[[#This Row],[ID]], Table2[ID],Table2[MC3], "Not Found", 0 )</f>
        <v>0</v>
      </c>
      <c r="AB992" s="16">
        <f>_xlfn.XLOOKUP(CustomerCombinedCleaned[[#This Row],[ID]], Table2[ID],Table2[MC4], "Not Found", 0 )</f>
        <v>0</v>
      </c>
      <c r="AC992" s="16">
        <f>_xlfn.XLOOKUP(CustomerCombinedCleaned[[#This Row],[ID]], Table2[ID],Table2[MC5], "Not Found", 0 )</f>
        <v>0</v>
      </c>
    </row>
    <row r="993" spans="1:29" x14ac:dyDescent="0.3">
      <c r="A993" s="18">
        <v>2012</v>
      </c>
      <c r="B993" s="16">
        <v>191700</v>
      </c>
      <c r="C993" s="16">
        <v>0</v>
      </c>
      <c r="D993" s="16">
        <v>0</v>
      </c>
      <c r="E993" s="16">
        <v>49</v>
      </c>
      <c r="F993" s="17" t="s">
        <v>7</v>
      </c>
      <c r="G993" s="17" t="s">
        <v>11</v>
      </c>
      <c r="H993" s="3" t="s">
        <v>323</v>
      </c>
      <c r="I993" s="5" t="s">
        <v>438</v>
      </c>
      <c r="J993" s="16">
        <f>_xlfn.XLOOKUP(CustomerCombinedCleaned[[#This Row],[ID]], Table4[ID], Table4[Recency], "Not Found", 0)</f>
        <v>58</v>
      </c>
      <c r="K993" s="16">
        <f>_xlfn.XLOOKUP(CustomerCombinedCleaned[[#This Row],[ID]], Table4[ID], Table4[Teas], "Not Found", 0)</f>
        <v>1204</v>
      </c>
      <c r="L993" s="16">
        <f>_xlfn.XLOOKUP(CustomerCombinedCleaned[[#This Row],[ID]], Table4[ID], Table4[Fruits], "Not Found", 0)</f>
        <v>360</v>
      </c>
      <c r="M993" s="16">
        <f>_xlfn.XLOOKUP(CustomerCombinedCleaned[[#This Row],[ID]], Table4[ID], Table4[Meats], "Not Found", 0)</f>
        <v>2009</v>
      </c>
      <c r="N993" s="16">
        <f>_xlfn.XLOOKUP(CustomerCombinedCleaned[[#This Row],[ID]], Table4[ID], Table4[Seafood], "Not Found", 0)</f>
        <v>261</v>
      </c>
      <c r="O993" s="16">
        <f>_xlfn.XLOOKUP(CustomerCombinedCleaned[[#This Row],[ID]], Table4[ID], Table4[Sweets], "Not Found", 0)</f>
        <v>240</v>
      </c>
      <c r="P993" s="16">
        <f>_xlfn.XLOOKUP(CustomerCombinedCleaned[[#This Row],[ID]], Table4[ID], Table4[Premium], "Not Found", 0)</f>
        <v>40</v>
      </c>
      <c r="Q993" s="16">
        <f>_xlfn.XLOOKUP(CustomerCombinedCleaned[[#This Row],[ID]], Table4[ID], Table4[Regular], "Not Found", 0)</f>
        <v>4035</v>
      </c>
      <c r="R993" s="16">
        <f>_xlfn.XLOOKUP(CustomerCombinedCleaned[[#This Row],[ID]], Table4[ID], Table4[Deals], "Not Found", 0)</f>
        <v>1</v>
      </c>
      <c r="S993" s="16">
        <f>_xlfn.XLOOKUP(CustomerCombinedCleaned[[#This Row],[ID]], Table4[ID], Table4[Website], "Not Found", 0)</f>
        <v>8</v>
      </c>
      <c r="T993" s="16">
        <f>_xlfn.XLOOKUP(CustomerCombinedCleaned[[#This Row],[ID]], Table4[ID], Table4[Catalog], "Not Found", 0)</f>
        <v>6</v>
      </c>
      <c r="U993" s="16">
        <f>_xlfn.XLOOKUP(CustomerCombinedCleaned[[#This Row],[ID]], Table4[ID], Table4[Store], "Not Found", 0)</f>
        <v>5</v>
      </c>
      <c r="V993" s="16">
        <f>_xlfn.XLOOKUP(CustomerCombinedCleaned[[#This Row],[ID]], Table4[ID], Table4[Visits], "Not Found", 0)</f>
        <v>3</v>
      </c>
      <c r="W993" s="16">
        <f>_xlfn.XLOOKUP(CustomerCombinedCleaned[[#This Row],[ID]], Table2[ID],Table2[Complaint], "Not Found", 0 )</f>
        <v>0</v>
      </c>
      <c r="X993" s="16">
        <f>_xlfn.XLOOKUP(CustomerCombinedCleaned[[#This Row],[ID]], Table2[ID],Table2[Pilot], "Not Found", 0 )</f>
        <v>1</v>
      </c>
      <c r="Y993" s="16">
        <f>_xlfn.XLOOKUP(CustomerCombinedCleaned[[#This Row],[ID]], Table2[ID],Table2[MC1], "Not Found", 0 )</f>
        <v>0</v>
      </c>
      <c r="Z993" s="16">
        <f>_xlfn.XLOOKUP(CustomerCombinedCleaned[[#This Row],[ID]], Table2[ID],Table2[MC2], "Not Found", 0 )</f>
        <v>0</v>
      </c>
      <c r="AA993" s="16">
        <f>_xlfn.XLOOKUP(CustomerCombinedCleaned[[#This Row],[ID]], Table2[ID],Table2[MC3], "Not Found", 0 )</f>
        <v>0</v>
      </c>
      <c r="AB993" s="16">
        <f>_xlfn.XLOOKUP(CustomerCombinedCleaned[[#This Row],[ID]], Table2[ID],Table2[MC4], "Not Found", 0 )</f>
        <v>0</v>
      </c>
      <c r="AC993" s="16">
        <f>_xlfn.XLOOKUP(CustomerCombinedCleaned[[#This Row],[ID]], Table2[ID],Table2[MC5], "Not Found", 0 )</f>
        <v>0</v>
      </c>
    </row>
    <row r="994" spans="1:29" x14ac:dyDescent="0.3">
      <c r="A994" s="18">
        <v>2862</v>
      </c>
      <c r="B994" s="16">
        <v>186979</v>
      </c>
      <c r="C994" s="16">
        <v>0</v>
      </c>
      <c r="D994" s="16">
        <v>0</v>
      </c>
      <c r="E994" s="16">
        <v>49</v>
      </c>
      <c r="F994" s="17" t="s">
        <v>5</v>
      </c>
      <c r="G994" s="17" t="s">
        <v>13</v>
      </c>
      <c r="H994" s="3" t="s">
        <v>156</v>
      </c>
      <c r="I994" s="5" t="s">
        <v>436</v>
      </c>
      <c r="J994" s="16">
        <f>_xlfn.XLOOKUP(CustomerCombinedCleaned[[#This Row],[ID]], Table4[ID], Table4[Recency], "Not Found", 0)</f>
        <v>67</v>
      </c>
      <c r="K994" s="16">
        <f>_xlfn.XLOOKUP(CustomerCombinedCleaned[[#This Row],[ID]], Table4[ID], Table4[Teas], "Not Found", 0)</f>
        <v>1255</v>
      </c>
      <c r="L994" s="16">
        <f>_xlfn.XLOOKUP(CustomerCombinedCleaned[[#This Row],[ID]], Table4[ID], Table4[Fruits], "Not Found", 0)</f>
        <v>215</v>
      </c>
      <c r="M994" s="16">
        <f>_xlfn.XLOOKUP(CustomerCombinedCleaned[[#This Row],[ID]], Table4[ID], Table4[Meats], "Not Found", 0)</f>
        <v>1795</v>
      </c>
      <c r="N994" s="16">
        <f>_xlfn.XLOOKUP(CustomerCombinedCleaned[[#This Row],[ID]], Table4[ID], Table4[Seafood], "Not Found", 0)</f>
        <v>140</v>
      </c>
      <c r="O994" s="16">
        <f>_xlfn.XLOOKUP(CustomerCombinedCleaned[[#This Row],[ID]], Table4[ID], Table4[Sweets], "Not Found", 0)</f>
        <v>178</v>
      </c>
      <c r="P994" s="16">
        <f>_xlfn.XLOOKUP(CustomerCombinedCleaned[[#This Row],[ID]], Table4[ID], Table4[Premium], "Not Found", 0)</f>
        <v>75</v>
      </c>
      <c r="Q994" s="16">
        <f>_xlfn.XLOOKUP(CustomerCombinedCleaned[[#This Row],[ID]], Table4[ID], Table4[Regular], "Not Found", 0)</f>
        <v>3508</v>
      </c>
      <c r="R994" s="16">
        <f>_xlfn.XLOOKUP(CustomerCombinedCleaned[[#This Row],[ID]], Table4[ID], Table4[Deals], "Not Found", 0)</f>
        <v>1</v>
      </c>
      <c r="S994" s="16">
        <f>_xlfn.XLOOKUP(CustomerCombinedCleaned[[#This Row],[ID]], Table4[ID], Table4[Website], "Not Found", 0)</f>
        <v>5</v>
      </c>
      <c r="T994" s="16">
        <f>_xlfn.XLOOKUP(CustomerCombinedCleaned[[#This Row],[ID]], Table4[ID], Table4[Catalog], "Not Found", 0)</f>
        <v>5</v>
      </c>
      <c r="U994" s="16">
        <f>_xlfn.XLOOKUP(CustomerCombinedCleaned[[#This Row],[ID]], Table4[ID], Table4[Store], "Not Found", 0)</f>
        <v>5</v>
      </c>
      <c r="V994" s="16">
        <f>_xlfn.XLOOKUP(CustomerCombinedCleaned[[#This Row],[ID]], Table4[ID], Table4[Visits], "Not Found", 0)</f>
        <v>2</v>
      </c>
      <c r="W994" s="16">
        <f>_xlfn.XLOOKUP(CustomerCombinedCleaned[[#This Row],[ID]], Table2[ID],Table2[Complaint], "Not Found", 0 )</f>
        <v>0</v>
      </c>
      <c r="X994" s="16">
        <f>_xlfn.XLOOKUP(CustomerCombinedCleaned[[#This Row],[ID]], Table2[ID],Table2[Pilot], "Not Found", 0 )</f>
        <v>1</v>
      </c>
      <c r="Y994" s="16">
        <f>_xlfn.XLOOKUP(CustomerCombinedCleaned[[#This Row],[ID]], Table2[ID],Table2[MC1], "Not Found", 0 )</f>
        <v>0</v>
      </c>
      <c r="Z994" s="16">
        <f>_xlfn.XLOOKUP(CustomerCombinedCleaned[[#This Row],[ID]], Table2[ID],Table2[MC2], "Not Found", 0 )</f>
        <v>0</v>
      </c>
      <c r="AA994" s="16">
        <f>_xlfn.XLOOKUP(CustomerCombinedCleaned[[#This Row],[ID]], Table2[ID],Table2[MC3], "Not Found", 0 )</f>
        <v>1</v>
      </c>
      <c r="AB994" s="16">
        <f>_xlfn.XLOOKUP(CustomerCombinedCleaned[[#This Row],[ID]], Table2[ID],Table2[MC4], "Not Found", 0 )</f>
        <v>0</v>
      </c>
      <c r="AC994" s="16">
        <f>_xlfn.XLOOKUP(CustomerCombinedCleaned[[#This Row],[ID]], Table2[ID],Table2[MC5], "Not Found", 0 )</f>
        <v>0</v>
      </c>
    </row>
    <row r="995" spans="1:29" x14ac:dyDescent="0.3">
      <c r="A995" s="18">
        <v>1955</v>
      </c>
      <c r="B995" s="16">
        <v>180573</v>
      </c>
      <c r="C995" s="16">
        <v>0</v>
      </c>
      <c r="D995" s="16">
        <v>0</v>
      </c>
      <c r="E995" s="16">
        <v>49</v>
      </c>
      <c r="F995" s="17" t="s">
        <v>8</v>
      </c>
      <c r="G995" s="17" t="s">
        <v>12</v>
      </c>
      <c r="H995" s="3" t="s">
        <v>380</v>
      </c>
      <c r="I995" s="5" t="s">
        <v>434</v>
      </c>
      <c r="J995" s="16">
        <f>_xlfn.XLOOKUP(CustomerCombinedCleaned[[#This Row],[ID]], Table4[ID], Table4[Recency], "Not Found", 0)</f>
        <v>85</v>
      </c>
      <c r="K995" s="16">
        <f>_xlfn.XLOOKUP(CustomerCombinedCleaned[[#This Row],[ID]], Table4[ID], Table4[Teas], "Not Found", 0)</f>
        <v>1858</v>
      </c>
      <c r="L995" s="16">
        <f>_xlfn.XLOOKUP(CustomerCombinedCleaned[[#This Row],[ID]], Table4[ID], Table4[Fruits], "Not Found", 0)</f>
        <v>309</v>
      </c>
      <c r="M995" s="16">
        <f>_xlfn.XLOOKUP(CustomerCombinedCleaned[[#This Row],[ID]], Table4[ID], Table4[Meats], "Not Found", 0)</f>
        <v>964</v>
      </c>
      <c r="N995" s="16">
        <f>_xlfn.XLOOKUP(CustomerCombinedCleaned[[#This Row],[ID]], Table4[ID], Table4[Seafood], "Not Found", 0)</f>
        <v>134</v>
      </c>
      <c r="O995" s="16">
        <f>_xlfn.XLOOKUP(CustomerCombinedCleaned[[#This Row],[ID]], Table4[ID], Table4[Sweets], "Not Found", 0)</f>
        <v>206</v>
      </c>
      <c r="P995" s="16">
        <f>_xlfn.XLOOKUP(CustomerCombinedCleaned[[#This Row],[ID]], Table4[ID], Table4[Premium], "Not Found", 0)</f>
        <v>34</v>
      </c>
      <c r="Q995" s="16">
        <f>_xlfn.XLOOKUP(CustomerCombinedCleaned[[#This Row],[ID]], Table4[ID], Table4[Regular], "Not Found", 0)</f>
        <v>3438</v>
      </c>
      <c r="R995" s="16">
        <f>_xlfn.XLOOKUP(CustomerCombinedCleaned[[#This Row],[ID]], Table4[ID], Table4[Deals], "Not Found", 0)</f>
        <v>1</v>
      </c>
      <c r="S995" s="16">
        <f>_xlfn.XLOOKUP(CustomerCombinedCleaned[[#This Row],[ID]], Table4[ID], Table4[Website], "Not Found", 0)</f>
        <v>4</v>
      </c>
      <c r="T995" s="16">
        <f>_xlfn.XLOOKUP(CustomerCombinedCleaned[[#This Row],[ID]], Table4[ID], Table4[Catalog], "Not Found", 0)</f>
        <v>6</v>
      </c>
      <c r="U995" s="16">
        <f>_xlfn.XLOOKUP(CustomerCombinedCleaned[[#This Row],[ID]], Table4[ID], Table4[Store], "Not Found", 0)</f>
        <v>13</v>
      </c>
      <c r="V995" s="16">
        <f>_xlfn.XLOOKUP(CustomerCombinedCleaned[[#This Row],[ID]], Table4[ID], Table4[Visits], "Not Found", 0)</f>
        <v>2</v>
      </c>
      <c r="W995" s="16">
        <f>_xlfn.XLOOKUP(CustomerCombinedCleaned[[#This Row],[ID]], Table2[ID],Table2[Complaint], "Not Found", 0 )</f>
        <v>0</v>
      </c>
      <c r="X995" s="16">
        <f>_xlfn.XLOOKUP(CustomerCombinedCleaned[[#This Row],[ID]], Table2[ID],Table2[Pilot], "Not Found", 0 )</f>
        <v>0</v>
      </c>
      <c r="Y995" s="16">
        <f>_xlfn.XLOOKUP(CustomerCombinedCleaned[[#This Row],[ID]], Table2[ID],Table2[MC1], "Not Found", 0 )</f>
        <v>0</v>
      </c>
      <c r="Z995" s="16">
        <f>_xlfn.XLOOKUP(CustomerCombinedCleaned[[#This Row],[ID]], Table2[ID],Table2[MC2], "Not Found", 0 )</f>
        <v>0</v>
      </c>
      <c r="AA995" s="16">
        <f>_xlfn.XLOOKUP(CustomerCombinedCleaned[[#This Row],[ID]], Table2[ID],Table2[MC3], "Not Found", 0 )</f>
        <v>0</v>
      </c>
      <c r="AB995" s="16">
        <f>_xlfn.XLOOKUP(CustomerCombinedCleaned[[#This Row],[ID]], Table2[ID],Table2[MC4], "Not Found", 0 )</f>
        <v>0</v>
      </c>
      <c r="AC995" s="16">
        <f>_xlfn.XLOOKUP(CustomerCombinedCleaned[[#This Row],[ID]], Table2[ID],Table2[MC5], "Not Found", 0 )</f>
        <v>0</v>
      </c>
    </row>
    <row r="996" spans="1:29" x14ac:dyDescent="0.3">
      <c r="A996" s="18">
        <v>2887</v>
      </c>
      <c r="B996" s="16">
        <v>180573</v>
      </c>
      <c r="C996" s="16">
        <v>0</v>
      </c>
      <c r="D996" s="16">
        <v>0</v>
      </c>
      <c r="E996" s="16">
        <v>49</v>
      </c>
      <c r="F996" s="17" t="s">
        <v>8</v>
      </c>
      <c r="G996" s="17" t="s">
        <v>12</v>
      </c>
      <c r="H996" s="3" t="s">
        <v>380</v>
      </c>
      <c r="I996" s="5" t="s">
        <v>437</v>
      </c>
      <c r="J996" s="16">
        <f>_xlfn.XLOOKUP(CustomerCombinedCleaned[[#This Row],[ID]], Table4[ID], Table4[Recency], "Not Found", 0)</f>
        <v>85</v>
      </c>
      <c r="K996" s="16">
        <f>_xlfn.XLOOKUP(CustomerCombinedCleaned[[#This Row],[ID]], Table4[ID], Table4[Teas], "Not Found", 0)</f>
        <v>1858</v>
      </c>
      <c r="L996" s="16">
        <f>_xlfn.XLOOKUP(CustomerCombinedCleaned[[#This Row],[ID]], Table4[ID], Table4[Fruits], "Not Found", 0)</f>
        <v>309</v>
      </c>
      <c r="M996" s="16">
        <f>_xlfn.XLOOKUP(CustomerCombinedCleaned[[#This Row],[ID]], Table4[ID], Table4[Meats], "Not Found", 0)</f>
        <v>964</v>
      </c>
      <c r="N996" s="16">
        <f>_xlfn.XLOOKUP(CustomerCombinedCleaned[[#This Row],[ID]], Table4[ID], Table4[Seafood], "Not Found", 0)</f>
        <v>134</v>
      </c>
      <c r="O996" s="16">
        <f>_xlfn.XLOOKUP(CustomerCombinedCleaned[[#This Row],[ID]], Table4[ID], Table4[Sweets], "Not Found", 0)</f>
        <v>206</v>
      </c>
      <c r="P996" s="16">
        <f>_xlfn.XLOOKUP(CustomerCombinedCleaned[[#This Row],[ID]], Table4[ID], Table4[Premium], "Not Found", 0)</f>
        <v>34</v>
      </c>
      <c r="Q996" s="16">
        <f>_xlfn.XLOOKUP(CustomerCombinedCleaned[[#This Row],[ID]], Table4[ID], Table4[Regular], "Not Found", 0)</f>
        <v>3438</v>
      </c>
      <c r="R996" s="16">
        <f>_xlfn.XLOOKUP(CustomerCombinedCleaned[[#This Row],[ID]], Table4[ID], Table4[Deals], "Not Found", 0)</f>
        <v>1</v>
      </c>
      <c r="S996" s="16">
        <f>_xlfn.XLOOKUP(CustomerCombinedCleaned[[#This Row],[ID]], Table4[ID], Table4[Website], "Not Found", 0)</f>
        <v>4</v>
      </c>
      <c r="T996" s="16">
        <f>_xlfn.XLOOKUP(CustomerCombinedCleaned[[#This Row],[ID]], Table4[ID], Table4[Catalog], "Not Found", 0)</f>
        <v>6</v>
      </c>
      <c r="U996" s="16">
        <f>_xlfn.XLOOKUP(CustomerCombinedCleaned[[#This Row],[ID]], Table4[ID], Table4[Store], "Not Found", 0)</f>
        <v>13</v>
      </c>
      <c r="V996" s="16">
        <f>_xlfn.XLOOKUP(CustomerCombinedCleaned[[#This Row],[ID]], Table4[ID], Table4[Visits], "Not Found", 0)</f>
        <v>2</v>
      </c>
      <c r="W996" s="16">
        <f>_xlfn.XLOOKUP(CustomerCombinedCleaned[[#This Row],[ID]], Table2[ID],Table2[Complaint], "Not Found", 0 )</f>
        <v>0</v>
      </c>
      <c r="X996" s="16">
        <f>_xlfn.XLOOKUP(CustomerCombinedCleaned[[#This Row],[ID]], Table2[ID],Table2[Pilot], "Not Found", 0 )</f>
        <v>0</v>
      </c>
      <c r="Y996" s="16">
        <f>_xlfn.XLOOKUP(CustomerCombinedCleaned[[#This Row],[ID]], Table2[ID],Table2[MC1], "Not Found", 0 )</f>
        <v>0</v>
      </c>
      <c r="Z996" s="16">
        <f>_xlfn.XLOOKUP(CustomerCombinedCleaned[[#This Row],[ID]], Table2[ID],Table2[MC2], "Not Found", 0 )</f>
        <v>0</v>
      </c>
      <c r="AA996" s="16">
        <f>_xlfn.XLOOKUP(CustomerCombinedCleaned[[#This Row],[ID]], Table2[ID],Table2[MC3], "Not Found", 0 )</f>
        <v>0</v>
      </c>
      <c r="AB996" s="16">
        <f>_xlfn.XLOOKUP(CustomerCombinedCleaned[[#This Row],[ID]], Table2[ID],Table2[MC4], "Not Found", 0 )</f>
        <v>0</v>
      </c>
      <c r="AC996" s="16">
        <f>_xlfn.XLOOKUP(CustomerCombinedCleaned[[#This Row],[ID]], Table2[ID],Table2[MC5], "Not Found", 0 )</f>
        <v>0</v>
      </c>
    </row>
    <row r="997" spans="1:29" x14ac:dyDescent="0.3">
      <c r="A997" s="18">
        <v>2484</v>
      </c>
      <c r="B997" s="16">
        <v>178931</v>
      </c>
      <c r="C997" s="16">
        <v>0</v>
      </c>
      <c r="D997" s="16">
        <v>0</v>
      </c>
      <c r="E997" s="16">
        <v>49</v>
      </c>
      <c r="F997" s="17" t="s">
        <v>6</v>
      </c>
      <c r="G997" s="17" t="s">
        <v>13</v>
      </c>
      <c r="H997" s="3" t="s">
        <v>157</v>
      </c>
      <c r="I997" s="5" t="s">
        <v>436</v>
      </c>
      <c r="J997" s="16">
        <f>_xlfn.XLOOKUP(CustomerCombinedCleaned[[#This Row],[ID]], Table4[ID], Table4[Recency], "Not Found", 0)</f>
        <v>19</v>
      </c>
      <c r="K997" s="16">
        <f>_xlfn.XLOOKUP(CustomerCombinedCleaned[[#This Row],[ID]], Table4[ID], Table4[Teas], "Not Found", 0)</f>
        <v>750</v>
      </c>
      <c r="L997" s="16">
        <f>_xlfn.XLOOKUP(CustomerCombinedCleaned[[#This Row],[ID]], Table4[ID], Table4[Fruits], "Not Found", 0)</f>
        <v>447</v>
      </c>
      <c r="M997" s="16">
        <f>_xlfn.XLOOKUP(CustomerCombinedCleaned[[#This Row],[ID]], Table4[ID], Table4[Meats], "Not Found", 0)</f>
        <v>385</v>
      </c>
      <c r="N997" s="16">
        <f>_xlfn.XLOOKUP(CustomerCombinedCleaned[[#This Row],[ID]], Table4[ID], Table4[Seafood], "Not Found", 0)</f>
        <v>131</v>
      </c>
      <c r="O997" s="16">
        <f>_xlfn.XLOOKUP(CustomerCombinedCleaned[[#This Row],[ID]], Table4[ID], Table4[Sweets], "Not Found", 0)</f>
        <v>345</v>
      </c>
      <c r="P997" s="16">
        <f>_xlfn.XLOOKUP(CustomerCombinedCleaned[[#This Row],[ID]], Table4[ID], Table4[Premium], "Not Found", 0)</f>
        <v>79</v>
      </c>
      <c r="Q997" s="16">
        <f>_xlfn.XLOOKUP(CustomerCombinedCleaned[[#This Row],[ID]], Table4[ID], Table4[Regular], "Not Found", 0)</f>
        <v>1979</v>
      </c>
      <c r="R997" s="16">
        <f>_xlfn.XLOOKUP(CustomerCombinedCleaned[[#This Row],[ID]], Table4[ID], Table4[Deals], "Not Found", 0)</f>
        <v>1</v>
      </c>
      <c r="S997" s="16">
        <f>_xlfn.XLOOKUP(CustomerCombinedCleaned[[#This Row],[ID]], Table4[ID], Table4[Website], "Not Found", 0)</f>
        <v>2</v>
      </c>
      <c r="T997" s="16">
        <f>_xlfn.XLOOKUP(CustomerCombinedCleaned[[#This Row],[ID]], Table4[ID], Table4[Catalog], "Not Found", 0)</f>
        <v>8</v>
      </c>
      <c r="U997" s="16">
        <f>_xlfn.XLOOKUP(CustomerCombinedCleaned[[#This Row],[ID]], Table4[ID], Table4[Store], "Not Found", 0)</f>
        <v>13</v>
      </c>
      <c r="V997" s="16">
        <f>_xlfn.XLOOKUP(CustomerCombinedCleaned[[#This Row],[ID]], Table4[ID], Table4[Visits], "Not Found", 0)</f>
        <v>1</v>
      </c>
      <c r="W997" s="16">
        <f>_xlfn.XLOOKUP(CustomerCombinedCleaned[[#This Row],[ID]], Table2[ID],Table2[Complaint], "Not Found", 0 )</f>
        <v>0</v>
      </c>
      <c r="X997" s="16">
        <f>_xlfn.XLOOKUP(CustomerCombinedCleaned[[#This Row],[ID]], Table2[ID],Table2[Pilot], "Not Found", 0 )</f>
        <v>0</v>
      </c>
      <c r="Y997" s="16">
        <f>_xlfn.XLOOKUP(CustomerCombinedCleaned[[#This Row],[ID]], Table2[ID],Table2[MC1], "Not Found", 0 )</f>
        <v>0</v>
      </c>
      <c r="Z997" s="16">
        <f>_xlfn.XLOOKUP(CustomerCombinedCleaned[[#This Row],[ID]], Table2[ID],Table2[MC2], "Not Found", 0 )</f>
        <v>0</v>
      </c>
      <c r="AA997" s="16">
        <f>_xlfn.XLOOKUP(CustomerCombinedCleaned[[#This Row],[ID]], Table2[ID],Table2[MC3], "Not Found", 0 )</f>
        <v>0</v>
      </c>
      <c r="AB997" s="16">
        <f>_xlfn.XLOOKUP(CustomerCombinedCleaned[[#This Row],[ID]], Table2[ID],Table2[MC4], "Not Found", 0 )</f>
        <v>0</v>
      </c>
      <c r="AC997" s="16">
        <f>_xlfn.XLOOKUP(CustomerCombinedCleaned[[#This Row],[ID]], Table2[ID],Table2[MC5], "Not Found", 0 )</f>
        <v>0</v>
      </c>
    </row>
    <row r="998" spans="1:29" x14ac:dyDescent="0.3">
      <c r="A998" s="18">
        <v>1481</v>
      </c>
      <c r="B998" s="16">
        <v>178642</v>
      </c>
      <c r="C998" s="16">
        <v>0</v>
      </c>
      <c r="D998" s="16">
        <v>1</v>
      </c>
      <c r="E998" s="16">
        <v>49</v>
      </c>
      <c r="F998" s="17" t="s">
        <v>8</v>
      </c>
      <c r="G998" s="17" t="s">
        <v>13</v>
      </c>
      <c r="H998" s="3" t="s">
        <v>268</v>
      </c>
      <c r="I998" s="5" t="s">
        <v>434</v>
      </c>
      <c r="J998" s="16">
        <f>_xlfn.XLOOKUP(CustomerCombinedCleaned[[#This Row],[ID]], Table4[ID], Table4[Recency], "Not Found", 0)</f>
        <v>83</v>
      </c>
      <c r="K998" s="16">
        <f>_xlfn.XLOOKUP(CustomerCombinedCleaned[[#This Row],[ID]], Table4[ID], Table4[Teas], "Not Found", 0)</f>
        <v>3171</v>
      </c>
      <c r="L998" s="16">
        <f>_xlfn.XLOOKUP(CustomerCombinedCleaned[[#This Row],[ID]], Table4[ID], Table4[Fruits], "Not Found", 0)</f>
        <v>0</v>
      </c>
      <c r="M998" s="16">
        <f>_xlfn.XLOOKUP(CustomerCombinedCleaned[[#This Row],[ID]], Table4[ID], Table4[Meats], "Not Found", 0)</f>
        <v>731</v>
      </c>
      <c r="N998" s="16">
        <f>_xlfn.XLOOKUP(CustomerCombinedCleaned[[#This Row],[ID]], Table4[ID], Table4[Seafood], "Not Found", 0)</f>
        <v>104</v>
      </c>
      <c r="O998" s="16">
        <f>_xlfn.XLOOKUP(CustomerCombinedCleaned[[#This Row],[ID]], Table4[ID], Table4[Sweets], "Not Found", 0)</f>
        <v>80</v>
      </c>
      <c r="P998" s="16">
        <f>_xlfn.XLOOKUP(CustomerCombinedCleaned[[#This Row],[ID]], Table4[ID], Table4[Premium], "Not Found", 0)</f>
        <v>39</v>
      </c>
      <c r="Q998" s="16">
        <f>_xlfn.XLOOKUP(CustomerCombinedCleaned[[#This Row],[ID]], Table4[ID], Table4[Regular], "Not Found", 0)</f>
        <v>4048</v>
      </c>
      <c r="R998" s="16">
        <f>_xlfn.XLOOKUP(CustomerCombinedCleaned[[#This Row],[ID]], Table4[ID], Table4[Deals], "Not Found", 0)</f>
        <v>1</v>
      </c>
      <c r="S998" s="16">
        <f>_xlfn.XLOOKUP(CustomerCombinedCleaned[[#This Row],[ID]], Table4[ID], Table4[Website], "Not Found", 0)</f>
        <v>4</v>
      </c>
      <c r="T998" s="16">
        <f>_xlfn.XLOOKUP(CustomerCombinedCleaned[[#This Row],[ID]], Table4[ID], Table4[Catalog], "Not Found", 0)</f>
        <v>9</v>
      </c>
      <c r="U998" s="16">
        <f>_xlfn.XLOOKUP(CustomerCombinedCleaned[[#This Row],[ID]], Table4[ID], Table4[Store], "Not Found", 0)</f>
        <v>4</v>
      </c>
      <c r="V998" s="16">
        <f>_xlfn.XLOOKUP(CustomerCombinedCleaned[[#This Row],[ID]], Table4[ID], Table4[Visits], "Not Found", 0)</f>
        <v>6</v>
      </c>
      <c r="W998" s="16">
        <f>_xlfn.XLOOKUP(CustomerCombinedCleaned[[#This Row],[ID]], Table2[ID],Table2[Complaint], "Not Found", 0 )</f>
        <v>0</v>
      </c>
      <c r="X998" s="16">
        <f>_xlfn.XLOOKUP(CustomerCombinedCleaned[[#This Row],[ID]], Table2[ID],Table2[Pilot], "Not Found", 0 )</f>
        <v>0</v>
      </c>
      <c r="Y998" s="16">
        <f>_xlfn.XLOOKUP(CustomerCombinedCleaned[[#This Row],[ID]], Table2[ID],Table2[MC1], "Not Found", 0 )</f>
        <v>0</v>
      </c>
      <c r="Z998" s="16">
        <f>_xlfn.XLOOKUP(CustomerCombinedCleaned[[#This Row],[ID]], Table2[ID],Table2[MC2], "Not Found", 0 )</f>
        <v>0</v>
      </c>
      <c r="AA998" s="16">
        <f>_xlfn.XLOOKUP(CustomerCombinedCleaned[[#This Row],[ID]], Table2[ID],Table2[MC3], "Not Found", 0 )</f>
        <v>0</v>
      </c>
      <c r="AB998" s="16">
        <f>_xlfn.XLOOKUP(CustomerCombinedCleaned[[#This Row],[ID]], Table2[ID],Table2[MC4], "Not Found", 0 )</f>
        <v>0</v>
      </c>
      <c r="AC998" s="16">
        <f>_xlfn.XLOOKUP(CustomerCombinedCleaned[[#This Row],[ID]], Table2[ID],Table2[MC5], "Not Found", 0 )</f>
        <v>0</v>
      </c>
    </row>
    <row r="999" spans="1:29" x14ac:dyDescent="0.3">
      <c r="A999" s="18">
        <v>2422</v>
      </c>
      <c r="B999" s="16">
        <v>178041</v>
      </c>
      <c r="C999" s="16">
        <v>0</v>
      </c>
      <c r="D999" s="16">
        <v>0</v>
      </c>
      <c r="E999" s="16">
        <v>49</v>
      </c>
      <c r="F999" s="17" t="s">
        <v>6</v>
      </c>
      <c r="G999" s="17" t="s">
        <v>11</v>
      </c>
      <c r="H999" s="3" t="s">
        <v>343</v>
      </c>
      <c r="I999" s="5" t="s">
        <v>439</v>
      </c>
      <c r="J999" s="16">
        <f>_xlfn.XLOOKUP(CustomerCombinedCleaned[[#This Row],[ID]], Table4[ID], Table4[Recency], "Not Found", 0)</f>
        <v>93</v>
      </c>
      <c r="K999" s="16">
        <f>_xlfn.XLOOKUP(CustomerCombinedCleaned[[#This Row],[ID]], Table4[ID], Table4[Teas], "Not Found", 0)</f>
        <v>1100</v>
      </c>
      <c r="L999" s="16">
        <f>_xlfn.XLOOKUP(CustomerCombinedCleaned[[#This Row],[ID]], Table4[ID], Table4[Fruits], "Not Found", 0)</f>
        <v>80</v>
      </c>
      <c r="M999" s="16">
        <f>_xlfn.XLOOKUP(CustomerCombinedCleaned[[#This Row],[ID]], Table4[ID], Table4[Meats], "Not Found", 0)</f>
        <v>1262</v>
      </c>
      <c r="N999" s="16">
        <f>_xlfn.XLOOKUP(CustomerCombinedCleaned[[#This Row],[ID]], Table4[ID], Table4[Seafood], "Not Found", 0)</f>
        <v>164</v>
      </c>
      <c r="O999" s="16">
        <f>_xlfn.XLOOKUP(CustomerCombinedCleaned[[#This Row],[ID]], Table4[ID], Table4[Sweets], "Not Found", 0)</f>
        <v>365</v>
      </c>
      <c r="P999" s="16">
        <f>_xlfn.XLOOKUP(CustomerCombinedCleaned[[#This Row],[ID]], Table4[ID], Table4[Premium], "Not Found", 0)</f>
        <v>39</v>
      </c>
      <c r="Q999" s="16">
        <f>_xlfn.XLOOKUP(CustomerCombinedCleaned[[#This Row],[ID]], Table4[ID], Table4[Regular], "Not Found", 0)</f>
        <v>2932</v>
      </c>
      <c r="R999" s="16">
        <f>_xlfn.XLOOKUP(CustomerCombinedCleaned[[#This Row],[ID]], Table4[ID], Table4[Deals], "Not Found", 0)</f>
        <v>1</v>
      </c>
      <c r="S999" s="16">
        <f>_xlfn.XLOOKUP(CustomerCombinedCleaned[[#This Row],[ID]], Table4[ID], Table4[Website], "Not Found", 0)</f>
        <v>4</v>
      </c>
      <c r="T999" s="16">
        <f>_xlfn.XLOOKUP(CustomerCombinedCleaned[[#This Row],[ID]], Table4[ID], Table4[Catalog], "Not Found", 0)</f>
        <v>4</v>
      </c>
      <c r="U999" s="16">
        <f>_xlfn.XLOOKUP(CustomerCombinedCleaned[[#This Row],[ID]], Table4[ID], Table4[Store], "Not Found", 0)</f>
        <v>9</v>
      </c>
      <c r="V999" s="16">
        <f>_xlfn.XLOOKUP(CustomerCombinedCleaned[[#This Row],[ID]], Table4[ID], Table4[Visits], "Not Found", 0)</f>
        <v>2</v>
      </c>
      <c r="W999" s="16">
        <f>_xlfn.XLOOKUP(CustomerCombinedCleaned[[#This Row],[ID]], Table2[ID],Table2[Complaint], "Not Found", 0 )</f>
        <v>0</v>
      </c>
      <c r="X999" s="16">
        <f>_xlfn.XLOOKUP(CustomerCombinedCleaned[[#This Row],[ID]], Table2[ID],Table2[Pilot], "Not Found", 0 )</f>
        <v>0</v>
      </c>
      <c r="Y999" s="16">
        <f>_xlfn.XLOOKUP(CustomerCombinedCleaned[[#This Row],[ID]], Table2[ID],Table2[MC1], "Not Found", 0 )</f>
        <v>0</v>
      </c>
      <c r="Z999" s="16">
        <f>_xlfn.XLOOKUP(CustomerCombinedCleaned[[#This Row],[ID]], Table2[ID],Table2[MC2], "Not Found", 0 )</f>
        <v>0</v>
      </c>
      <c r="AA999" s="16">
        <f>_xlfn.XLOOKUP(CustomerCombinedCleaned[[#This Row],[ID]], Table2[ID],Table2[MC3], "Not Found", 0 )</f>
        <v>0</v>
      </c>
      <c r="AB999" s="16">
        <f>_xlfn.XLOOKUP(CustomerCombinedCleaned[[#This Row],[ID]], Table2[ID],Table2[MC4], "Not Found", 0 )</f>
        <v>0</v>
      </c>
      <c r="AC999" s="16">
        <f>_xlfn.XLOOKUP(CustomerCombinedCleaned[[#This Row],[ID]], Table2[ID],Table2[MC5], "Not Found", 0 )</f>
        <v>0</v>
      </c>
    </row>
    <row r="1000" spans="1:29" x14ac:dyDescent="0.3">
      <c r="A1000" s="18">
        <v>2574</v>
      </c>
      <c r="B1000" s="16">
        <v>176445</v>
      </c>
      <c r="C1000" s="16">
        <v>1</v>
      </c>
      <c r="D1000" s="16">
        <v>0</v>
      </c>
      <c r="E1000" s="16">
        <v>49</v>
      </c>
      <c r="F1000" s="17" t="s">
        <v>6</v>
      </c>
      <c r="G1000" s="17" t="s">
        <v>11</v>
      </c>
      <c r="H1000" s="3" t="s">
        <v>612</v>
      </c>
      <c r="I1000" s="5" t="s">
        <v>436</v>
      </c>
      <c r="J1000" s="16">
        <f>_xlfn.XLOOKUP(CustomerCombinedCleaned[[#This Row],[ID]], Table4[ID], Table4[Recency], "Not Found", 0)</f>
        <v>2</v>
      </c>
      <c r="K1000" s="16">
        <f>_xlfn.XLOOKUP(CustomerCombinedCleaned[[#This Row],[ID]], Table4[ID], Table4[Teas], "Not Found", 0)</f>
        <v>1706</v>
      </c>
      <c r="L1000" s="16">
        <f>_xlfn.XLOOKUP(CustomerCombinedCleaned[[#This Row],[ID]], Table4[ID], Table4[Fruits], "Not Found", 0)</f>
        <v>247</v>
      </c>
      <c r="M1000" s="16">
        <f>_xlfn.XLOOKUP(CustomerCombinedCleaned[[#This Row],[ID]], Table4[ID], Table4[Meats], "Not Found", 0)</f>
        <v>713</v>
      </c>
      <c r="N1000" s="16">
        <f>_xlfn.XLOOKUP(CustomerCombinedCleaned[[#This Row],[ID]], Table4[ID], Table4[Seafood], "Not Found", 0)</f>
        <v>323</v>
      </c>
      <c r="O1000" s="16">
        <f>_xlfn.XLOOKUP(CustomerCombinedCleaned[[#This Row],[ID]], Table4[ID], Table4[Sweets], "Not Found", 0)</f>
        <v>185</v>
      </c>
      <c r="P1000" s="16">
        <f>_xlfn.XLOOKUP(CustomerCombinedCleaned[[#This Row],[ID]], Table4[ID], Table4[Premium], "Not Found", 0)</f>
        <v>81</v>
      </c>
      <c r="Q1000" s="16">
        <f>_xlfn.XLOOKUP(CustomerCombinedCleaned[[#This Row],[ID]], Table4[ID], Table4[Regular], "Not Found", 0)</f>
        <v>3093</v>
      </c>
      <c r="R1000" s="16">
        <f>_xlfn.XLOOKUP(CustomerCombinedCleaned[[#This Row],[ID]], Table4[ID], Table4[Deals], "Not Found", 0)</f>
        <v>1</v>
      </c>
      <c r="S1000" s="16">
        <f>_xlfn.XLOOKUP(CustomerCombinedCleaned[[#This Row],[ID]], Table4[ID], Table4[Website], "Not Found", 0)</f>
        <v>2</v>
      </c>
      <c r="T1000" s="16">
        <f>_xlfn.XLOOKUP(CustomerCombinedCleaned[[#This Row],[ID]], Table4[ID], Table4[Catalog], "Not Found", 0)</f>
        <v>5</v>
      </c>
      <c r="U1000" s="16">
        <f>_xlfn.XLOOKUP(CustomerCombinedCleaned[[#This Row],[ID]], Table4[ID], Table4[Store], "Not Found", 0)</f>
        <v>13</v>
      </c>
      <c r="V1000" s="16">
        <f>_xlfn.XLOOKUP(CustomerCombinedCleaned[[#This Row],[ID]], Table4[ID], Table4[Visits], "Not Found", 0)</f>
        <v>6</v>
      </c>
      <c r="W1000" s="16">
        <f>_xlfn.XLOOKUP(CustomerCombinedCleaned[[#This Row],[ID]], Table2[ID],Table2[Complaint], "Not Found", 0 )</f>
        <v>0</v>
      </c>
      <c r="X1000" s="16">
        <f>_xlfn.XLOOKUP(CustomerCombinedCleaned[[#This Row],[ID]], Table2[ID],Table2[Pilot], "Not Found", 0 )</f>
        <v>0</v>
      </c>
      <c r="Y1000" s="16">
        <f>_xlfn.XLOOKUP(CustomerCombinedCleaned[[#This Row],[ID]], Table2[ID],Table2[MC1], "Not Found", 0 )</f>
        <v>0</v>
      </c>
      <c r="Z1000" s="16">
        <f>_xlfn.XLOOKUP(CustomerCombinedCleaned[[#This Row],[ID]], Table2[ID],Table2[MC2], "Not Found", 0 )</f>
        <v>0</v>
      </c>
      <c r="AA1000" s="16">
        <f>_xlfn.XLOOKUP(CustomerCombinedCleaned[[#This Row],[ID]], Table2[ID],Table2[MC3], "Not Found", 0 )</f>
        <v>0</v>
      </c>
      <c r="AB1000" s="16">
        <f>_xlfn.XLOOKUP(CustomerCombinedCleaned[[#This Row],[ID]], Table2[ID],Table2[MC4], "Not Found", 0 )</f>
        <v>0</v>
      </c>
      <c r="AC1000" s="16">
        <f>_xlfn.XLOOKUP(CustomerCombinedCleaned[[#This Row],[ID]], Table2[ID],Table2[MC5], "Not Found", 0 )</f>
        <v>0</v>
      </c>
    </row>
    <row r="1001" spans="1:29" x14ac:dyDescent="0.3">
      <c r="A1001" s="18">
        <v>2011</v>
      </c>
      <c r="B1001" s="16">
        <v>174538</v>
      </c>
      <c r="C1001" s="16">
        <v>0</v>
      </c>
      <c r="D1001" s="16">
        <v>0</v>
      </c>
      <c r="E1001" s="16">
        <v>49</v>
      </c>
      <c r="F1001" s="17" t="s">
        <v>8</v>
      </c>
      <c r="G1001" s="17" t="s">
        <v>11</v>
      </c>
      <c r="H1001" s="3" t="s">
        <v>614</v>
      </c>
      <c r="I1001" s="5" t="s">
        <v>437</v>
      </c>
      <c r="J1001" s="16">
        <f>_xlfn.XLOOKUP(CustomerCombinedCleaned[[#This Row],[ID]], Table4[ID], Table4[Recency], "Not Found", 0)</f>
        <v>21</v>
      </c>
      <c r="K1001" s="16">
        <f>_xlfn.XLOOKUP(CustomerCombinedCleaned[[#This Row],[ID]], Table4[ID], Table4[Teas], "Not Found", 0)</f>
        <v>890</v>
      </c>
      <c r="L1001" s="16">
        <f>_xlfn.XLOOKUP(CustomerCombinedCleaned[[#This Row],[ID]], Table4[ID], Table4[Fruits], "Not Found", 0)</f>
        <v>229</v>
      </c>
      <c r="M1001" s="16">
        <f>_xlfn.XLOOKUP(CustomerCombinedCleaned[[#This Row],[ID]], Table4[ID], Table4[Meats], "Not Found", 0)</f>
        <v>1716</v>
      </c>
      <c r="N1001" s="16">
        <f>_xlfn.XLOOKUP(CustomerCombinedCleaned[[#This Row],[ID]], Table4[ID], Table4[Seafood], "Not Found", 0)</f>
        <v>258</v>
      </c>
      <c r="O1001" s="16">
        <f>_xlfn.XLOOKUP(CustomerCombinedCleaned[[#This Row],[ID]], Table4[ID], Table4[Sweets], "Not Found", 0)</f>
        <v>262</v>
      </c>
      <c r="P1001" s="16">
        <f>_xlfn.XLOOKUP(CustomerCombinedCleaned[[#This Row],[ID]], Table4[ID], Table4[Premium], "Not Found", 0)</f>
        <v>66</v>
      </c>
      <c r="Q1001" s="16">
        <f>_xlfn.XLOOKUP(CustomerCombinedCleaned[[#This Row],[ID]], Table4[ID], Table4[Regular], "Not Found", 0)</f>
        <v>3290</v>
      </c>
      <c r="R1001" s="16">
        <f>_xlfn.XLOOKUP(CustomerCombinedCleaned[[#This Row],[ID]], Table4[ID], Table4[Deals], "Not Found", 0)</f>
        <v>1</v>
      </c>
      <c r="S1001" s="16">
        <f>_xlfn.XLOOKUP(CustomerCombinedCleaned[[#This Row],[ID]], Table4[ID], Table4[Website], "Not Found", 0)</f>
        <v>8</v>
      </c>
      <c r="T1001" s="16">
        <f>_xlfn.XLOOKUP(CustomerCombinedCleaned[[#This Row],[ID]], Table4[ID], Table4[Catalog], "Not Found", 0)</f>
        <v>8</v>
      </c>
      <c r="U1001" s="16">
        <f>_xlfn.XLOOKUP(CustomerCombinedCleaned[[#This Row],[ID]], Table4[ID], Table4[Store], "Not Found", 0)</f>
        <v>5</v>
      </c>
      <c r="V1001" s="16">
        <f>_xlfn.XLOOKUP(CustomerCombinedCleaned[[#This Row],[ID]], Table4[ID], Table4[Visits], "Not Found", 0)</f>
        <v>3</v>
      </c>
      <c r="W1001" s="16">
        <f>_xlfn.XLOOKUP(CustomerCombinedCleaned[[#This Row],[ID]], Table2[ID],Table2[Complaint], "Not Found", 0 )</f>
        <v>0</v>
      </c>
      <c r="X1001" s="16">
        <f>_xlfn.XLOOKUP(CustomerCombinedCleaned[[#This Row],[ID]], Table2[ID],Table2[Pilot], "Not Found", 0 )</f>
        <v>1</v>
      </c>
      <c r="Y1001" s="16">
        <f>_xlfn.XLOOKUP(CustomerCombinedCleaned[[#This Row],[ID]], Table2[ID],Table2[MC1], "Not Found", 0 )</f>
        <v>0</v>
      </c>
      <c r="Z1001" s="16">
        <f>_xlfn.XLOOKUP(CustomerCombinedCleaned[[#This Row],[ID]], Table2[ID],Table2[MC2], "Not Found", 0 )</f>
        <v>0</v>
      </c>
      <c r="AA1001" s="16">
        <f>_xlfn.XLOOKUP(CustomerCombinedCleaned[[#This Row],[ID]], Table2[ID],Table2[MC3], "Not Found", 0 )</f>
        <v>0</v>
      </c>
      <c r="AB1001" s="16">
        <f>_xlfn.XLOOKUP(CustomerCombinedCleaned[[#This Row],[ID]], Table2[ID],Table2[MC4], "Not Found", 0 )</f>
        <v>0</v>
      </c>
      <c r="AC1001" s="16">
        <f>_xlfn.XLOOKUP(CustomerCombinedCleaned[[#This Row],[ID]], Table2[ID],Table2[MC5], "Not Found", 0 )</f>
        <v>1</v>
      </c>
    </row>
    <row r="1002" spans="1:29" x14ac:dyDescent="0.3">
      <c r="A1002" s="18">
        <v>2830</v>
      </c>
      <c r="B1002" s="16">
        <v>174290</v>
      </c>
      <c r="C1002" s="16">
        <v>0</v>
      </c>
      <c r="D1002" s="16">
        <v>1</v>
      </c>
      <c r="E1002" s="16">
        <v>49</v>
      </c>
      <c r="F1002" s="17" t="s">
        <v>5</v>
      </c>
      <c r="G1002" s="17" t="s">
        <v>12</v>
      </c>
      <c r="H1002" s="3" t="s">
        <v>205</v>
      </c>
      <c r="I1002" s="5" t="s">
        <v>439</v>
      </c>
      <c r="J1002" s="16">
        <f>_xlfn.XLOOKUP(CustomerCombinedCleaned[[#This Row],[ID]], Table4[ID], Table4[Recency], "Not Found", 0)</f>
        <v>70</v>
      </c>
      <c r="K1002" s="16">
        <f>_xlfn.XLOOKUP(CustomerCombinedCleaned[[#This Row],[ID]], Table4[ID], Table4[Teas], "Not Found", 0)</f>
        <v>2630</v>
      </c>
      <c r="L1002" s="16">
        <f>_xlfn.XLOOKUP(CustomerCombinedCleaned[[#This Row],[ID]], Table4[ID], Table4[Fruits], "Not Found", 0)</f>
        <v>0</v>
      </c>
      <c r="M1002" s="16">
        <f>_xlfn.XLOOKUP(CustomerCombinedCleaned[[#This Row],[ID]], Table4[ID], Table4[Meats], "Not Found", 0)</f>
        <v>169</v>
      </c>
      <c r="N1002" s="16">
        <f>_xlfn.XLOOKUP(CustomerCombinedCleaned[[#This Row],[ID]], Table4[ID], Table4[Seafood], "Not Found", 0)</f>
        <v>0</v>
      </c>
      <c r="O1002" s="16">
        <f>_xlfn.XLOOKUP(CustomerCombinedCleaned[[#This Row],[ID]], Table4[ID], Table4[Sweets], "Not Found", 0)</f>
        <v>28</v>
      </c>
      <c r="P1002" s="16">
        <f>_xlfn.XLOOKUP(CustomerCombinedCleaned[[#This Row],[ID]], Table4[ID], Table4[Premium], "Not Found", 0)</f>
        <v>28</v>
      </c>
      <c r="Q1002" s="16">
        <f>_xlfn.XLOOKUP(CustomerCombinedCleaned[[#This Row],[ID]], Table4[ID], Table4[Regular], "Not Found", 0)</f>
        <v>2799</v>
      </c>
      <c r="R1002" s="16">
        <f>_xlfn.XLOOKUP(CustomerCombinedCleaned[[#This Row],[ID]], Table4[ID], Table4[Deals], "Not Found", 0)</f>
        <v>4</v>
      </c>
      <c r="S1002" s="16">
        <f>_xlfn.XLOOKUP(CustomerCombinedCleaned[[#This Row],[ID]], Table4[ID], Table4[Website], "Not Found", 0)</f>
        <v>10</v>
      </c>
      <c r="T1002" s="16">
        <f>_xlfn.XLOOKUP(CustomerCombinedCleaned[[#This Row],[ID]], Table4[ID], Table4[Catalog], "Not Found", 0)</f>
        <v>8</v>
      </c>
      <c r="U1002" s="16">
        <f>_xlfn.XLOOKUP(CustomerCombinedCleaned[[#This Row],[ID]], Table4[ID], Table4[Store], "Not Found", 0)</f>
        <v>10</v>
      </c>
      <c r="V1002" s="16">
        <f>_xlfn.XLOOKUP(CustomerCombinedCleaned[[#This Row],[ID]], Table4[ID], Table4[Visits], "Not Found", 0)</f>
        <v>6</v>
      </c>
      <c r="W1002" s="16">
        <f>_xlfn.XLOOKUP(CustomerCombinedCleaned[[#This Row],[ID]], Table2[ID],Table2[Complaint], "Not Found", 0 )</f>
        <v>0</v>
      </c>
      <c r="X1002" s="16">
        <f>_xlfn.XLOOKUP(CustomerCombinedCleaned[[#This Row],[ID]], Table2[ID],Table2[Pilot], "Not Found", 0 )</f>
        <v>0</v>
      </c>
      <c r="Y1002" s="16">
        <f>_xlfn.XLOOKUP(CustomerCombinedCleaned[[#This Row],[ID]], Table2[ID],Table2[MC1], "Not Found", 0 )</f>
        <v>1</v>
      </c>
      <c r="Z1002" s="16">
        <f>_xlfn.XLOOKUP(CustomerCombinedCleaned[[#This Row],[ID]], Table2[ID],Table2[MC2], "Not Found", 0 )</f>
        <v>0</v>
      </c>
      <c r="AA1002" s="16">
        <f>_xlfn.XLOOKUP(CustomerCombinedCleaned[[#This Row],[ID]], Table2[ID],Table2[MC3], "Not Found", 0 )</f>
        <v>0</v>
      </c>
      <c r="AB1002" s="16">
        <f>_xlfn.XLOOKUP(CustomerCombinedCleaned[[#This Row],[ID]], Table2[ID],Table2[MC4], "Not Found", 0 )</f>
        <v>1</v>
      </c>
      <c r="AC1002" s="16">
        <f>_xlfn.XLOOKUP(CustomerCombinedCleaned[[#This Row],[ID]], Table2[ID],Table2[MC5], "Not Found", 0 )</f>
        <v>0</v>
      </c>
    </row>
    <row r="1003" spans="1:29" x14ac:dyDescent="0.3">
      <c r="A1003" s="18">
        <v>1622</v>
      </c>
      <c r="B1003" s="16">
        <v>173691</v>
      </c>
      <c r="C1003" s="16">
        <v>0</v>
      </c>
      <c r="D1003" s="16">
        <v>1</v>
      </c>
      <c r="E1003" s="16">
        <v>49</v>
      </c>
      <c r="F1003" s="17" t="s">
        <v>6</v>
      </c>
      <c r="G1003" s="17" t="s">
        <v>11</v>
      </c>
      <c r="H1003" s="3" t="s">
        <v>594</v>
      </c>
      <c r="I1003" s="5" t="s">
        <v>438</v>
      </c>
      <c r="J1003" s="16">
        <f>_xlfn.XLOOKUP(CustomerCombinedCleaned[[#This Row],[ID]], Table4[ID], Table4[Recency], "Not Found", 0)</f>
        <v>58</v>
      </c>
      <c r="K1003" s="16">
        <f>_xlfn.XLOOKUP(CustomerCombinedCleaned[[#This Row],[ID]], Table4[ID], Table4[Teas], "Not Found", 0)</f>
        <v>1666</v>
      </c>
      <c r="L1003" s="16">
        <f>_xlfn.XLOOKUP(CustomerCombinedCleaned[[#This Row],[ID]], Table4[ID], Table4[Fruits], "Not Found", 0)</f>
        <v>49</v>
      </c>
      <c r="M1003" s="16">
        <f>_xlfn.XLOOKUP(CustomerCombinedCleaned[[#This Row],[ID]], Table4[ID], Table4[Meats], "Not Found", 0)</f>
        <v>589</v>
      </c>
      <c r="N1003" s="16">
        <f>_xlfn.XLOOKUP(CustomerCombinedCleaned[[#This Row],[ID]], Table4[ID], Table4[Seafood], "Not Found", 0)</f>
        <v>200</v>
      </c>
      <c r="O1003" s="16">
        <f>_xlfn.XLOOKUP(CustomerCombinedCleaned[[#This Row],[ID]], Table4[ID], Table4[Sweets], "Not Found", 0)</f>
        <v>101</v>
      </c>
      <c r="P1003" s="16">
        <f>_xlfn.XLOOKUP(CustomerCombinedCleaned[[#This Row],[ID]], Table4[ID], Table4[Premium], "Not Found", 0)</f>
        <v>172</v>
      </c>
      <c r="Q1003" s="16">
        <f>_xlfn.XLOOKUP(CustomerCombinedCleaned[[#This Row],[ID]], Table4[ID], Table4[Regular], "Not Found", 0)</f>
        <v>2435</v>
      </c>
      <c r="R1003" s="16">
        <f>_xlfn.XLOOKUP(CustomerCombinedCleaned[[#This Row],[ID]], Table4[ID], Table4[Deals], "Not Found", 0)</f>
        <v>2</v>
      </c>
      <c r="S1003" s="16">
        <f>_xlfn.XLOOKUP(CustomerCombinedCleaned[[#This Row],[ID]], Table4[ID], Table4[Website], "Not Found", 0)</f>
        <v>6</v>
      </c>
      <c r="T1003" s="16">
        <f>_xlfn.XLOOKUP(CustomerCombinedCleaned[[#This Row],[ID]], Table4[ID], Table4[Catalog], "Not Found", 0)</f>
        <v>2</v>
      </c>
      <c r="U1003" s="16">
        <f>_xlfn.XLOOKUP(CustomerCombinedCleaned[[#This Row],[ID]], Table4[ID], Table4[Store], "Not Found", 0)</f>
        <v>8</v>
      </c>
      <c r="V1003" s="16">
        <f>_xlfn.XLOOKUP(CustomerCombinedCleaned[[#This Row],[ID]], Table4[ID], Table4[Visits], "Not Found", 0)</f>
        <v>2</v>
      </c>
      <c r="W1003" s="16">
        <f>_xlfn.XLOOKUP(CustomerCombinedCleaned[[#This Row],[ID]], Table2[ID],Table2[Complaint], "Not Found", 0 )</f>
        <v>0</v>
      </c>
      <c r="X1003" s="16">
        <f>_xlfn.XLOOKUP(CustomerCombinedCleaned[[#This Row],[ID]], Table2[ID],Table2[Pilot], "Not Found", 0 )</f>
        <v>0</v>
      </c>
      <c r="Y1003" s="16">
        <f>_xlfn.XLOOKUP(CustomerCombinedCleaned[[#This Row],[ID]], Table2[ID],Table2[MC1], "Not Found", 0 )</f>
        <v>0</v>
      </c>
      <c r="Z1003" s="16">
        <f>_xlfn.XLOOKUP(CustomerCombinedCleaned[[#This Row],[ID]], Table2[ID],Table2[MC2], "Not Found", 0 )</f>
        <v>0</v>
      </c>
      <c r="AA1003" s="16">
        <f>_xlfn.XLOOKUP(CustomerCombinedCleaned[[#This Row],[ID]], Table2[ID],Table2[MC3], "Not Found", 0 )</f>
        <v>1</v>
      </c>
      <c r="AB1003" s="16">
        <f>_xlfn.XLOOKUP(CustomerCombinedCleaned[[#This Row],[ID]], Table2[ID],Table2[MC4], "Not Found", 0 )</f>
        <v>0</v>
      </c>
      <c r="AC1003" s="16">
        <f>_xlfn.XLOOKUP(CustomerCombinedCleaned[[#This Row],[ID]], Table2[ID],Table2[MC5], "Not Found", 0 )</f>
        <v>0</v>
      </c>
    </row>
    <row r="1004" spans="1:29" x14ac:dyDescent="0.3">
      <c r="A1004" s="18">
        <v>1760</v>
      </c>
      <c r="B1004" s="16">
        <v>172258</v>
      </c>
      <c r="C1004" s="16">
        <v>0</v>
      </c>
      <c r="D1004" s="16">
        <v>1</v>
      </c>
      <c r="E1004" s="16">
        <v>49</v>
      </c>
      <c r="F1004" s="17" t="s">
        <v>7</v>
      </c>
      <c r="G1004" s="17" t="s">
        <v>11</v>
      </c>
      <c r="H1004" s="3" t="s">
        <v>187</v>
      </c>
      <c r="I1004" s="5" t="s">
        <v>438</v>
      </c>
      <c r="J1004" s="16">
        <f>_xlfn.XLOOKUP(CustomerCombinedCleaned[[#This Row],[ID]], Table4[ID], Table4[Recency], "Not Found", 0)</f>
        <v>28</v>
      </c>
      <c r="K1004" s="16">
        <f>_xlfn.XLOOKUP(CustomerCombinedCleaned[[#This Row],[ID]], Table4[ID], Table4[Teas], "Not Found", 0)</f>
        <v>1244</v>
      </c>
      <c r="L1004" s="16">
        <f>_xlfn.XLOOKUP(CustomerCombinedCleaned[[#This Row],[ID]], Table4[ID], Table4[Fruits], "Not Found", 0)</f>
        <v>0</v>
      </c>
      <c r="M1004" s="16">
        <f>_xlfn.XLOOKUP(CustomerCombinedCleaned[[#This Row],[ID]], Table4[ID], Table4[Meats], "Not Found", 0)</f>
        <v>1244</v>
      </c>
      <c r="N1004" s="16">
        <f>_xlfn.XLOOKUP(CustomerCombinedCleaned[[#This Row],[ID]], Table4[ID], Table4[Seafood], "Not Found", 0)</f>
        <v>541</v>
      </c>
      <c r="O1004" s="16">
        <f>_xlfn.XLOOKUP(CustomerCombinedCleaned[[#This Row],[ID]], Table4[ID], Table4[Sweets], "Not Found", 0)</f>
        <v>286</v>
      </c>
      <c r="P1004" s="16">
        <f>_xlfn.XLOOKUP(CustomerCombinedCleaned[[#This Row],[ID]], Table4[ID], Table4[Premium], "Not Found", 0)</f>
        <v>319</v>
      </c>
      <c r="Q1004" s="16">
        <f>_xlfn.XLOOKUP(CustomerCombinedCleaned[[#This Row],[ID]], Table4[ID], Table4[Regular], "Not Found", 0)</f>
        <v>2997</v>
      </c>
      <c r="R1004" s="16">
        <f>_xlfn.XLOOKUP(CustomerCombinedCleaned[[#This Row],[ID]], Table4[ID], Table4[Deals], "Not Found", 0)</f>
        <v>2</v>
      </c>
      <c r="S1004" s="16">
        <f>_xlfn.XLOOKUP(CustomerCombinedCleaned[[#This Row],[ID]], Table4[ID], Table4[Website], "Not Found", 0)</f>
        <v>6</v>
      </c>
      <c r="T1004" s="16">
        <f>_xlfn.XLOOKUP(CustomerCombinedCleaned[[#This Row],[ID]], Table4[ID], Table4[Catalog], "Not Found", 0)</f>
        <v>9</v>
      </c>
      <c r="U1004" s="16">
        <f>_xlfn.XLOOKUP(CustomerCombinedCleaned[[#This Row],[ID]], Table4[ID], Table4[Store], "Not Found", 0)</f>
        <v>5</v>
      </c>
      <c r="V1004" s="16">
        <f>_xlfn.XLOOKUP(CustomerCombinedCleaned[[#This Row],[ID]], Table4[ID], Table4[Visits], "Not Found", 0)</f>
        <v>2</v>
      </c>
      <c r="W1004" s="16">
        <f>_xlfn.XLOOKUP(CustomerCombinedCleaned[[#This Row],[ID]], Table2[ID],Table2[Complaint], "Not Found", 0 )</f>
        <v>0</v>
      </c>
      <c r="X1004" s="16">
        <f>_xlfn.XLOOKUP(CustomerCombinedCleaned[[#This Row],[ID]], Table2[ID],Table2[Pilot], "Not Found", 0 )</f>
        <v>0</v>
      </c>
      <c r="Y1004" s="16">
        <f>_xlfn.XLOOKUP(CustomerCombinedCleaned[[#This Row],[ID]], Table2[ID],Table2[MC1], "Not Found", 0 )</f>
        <v>0</v>
      </c>
      <c r="Z1004" s="16">
        <f>_xlfn.XLOOKUP(CustomerCombinedCleaned[[#This Row],[ID]], Table2[ID],Table2[MC2], "Not Found", 0 )</f>
        <v>0</v>
      </c>
      <c r="AA1004" s="16">
        <f>_xlfn.XLOOKUP(CustomerCombinedCleaned[[#This Row],[ID]], Table2[ID],Table2[MC3], "Not Found", 0 )</f>
        <v>0</v>
      </c>
      <c r="AB1004" s="16">
        <f>_xlfn.XLOOKUP(CustomerCombinedCleaned[[#This Row],[ID]], Table2[ID],Table2[MC4], "Not Found", 0 )</f>
        <v>0</v>
      </c>
      <c r="AC1004" s="16">
        <f>_xlfn.XLOOKUP(CustomerCombinedCleaned[[#This Row],[ID]], Table2[ID],Table2[MC5], "Not Found", 0 )</f>
        <v>0</v>
      </c>
    </row>
    <row r="1005" spans="1:29" x14ac:dyDescent="0.3">
      <c r="A1005" s="18">
        <v>2514</v>
      </c>
      <c r="B1005" s="16">
        <v>171969</v>
      </c>
      <c r="C1005" s="16">
        <v>0</v>
      </c>
      <c r="D1005" s="16">
        <v>1</v>
      </c>
      <c r="E1005" s="16">
        <v>49</v>
      </c>
      <c r="F1005" s="17" t="s">
        <v>6</v>
      </c>
      <c r="G1005" s="17" t="s">
        <v>13</v>
      </c>
      <c r="H1005" s="3" t="s">
        <v>378</v>
      </c>
      <c r="I1005" s="5" t="s">
        <v>436</v>
      </c>
      <c r="J1005" s="16">
        <f>_xlfn.XLOOKUP(CustomerCombinedCleaned[[#This Row],[ID]], Table4[ID], Table4[Recency], "Not Found", 0)</f>
        <v>59</v>
      </c>
      <c r="K1005" s="16">
        <f>_xlfn.XLOOKUP(CustomerCombinedCleaned[[#This Row],[ID]], Table4[ID], Table4[Teas], "Not Found", 0)</f>
        <v>2389</v>
      </c>
      <c r="L1005" s="16">
        <f>_xlfn.XLOOKUP(CustomerCombinedCleaned[[#This Row],[ID]], Table4[ID], Table4[Fruits], "Not Found", 0)</f>
        <v>0</v>
      </c>
      <c r="M1005" s="16">
        <f>_xlfn.XLOOKUP(CustomerCombinedCleaned[[#This Row],[ID]], Table4[ID], Table4[Meats], "Not Found", 0)</f>
        <v>182</v>
      </c>
      <c r="N1005" s="16">
        <f>_xlfn.XLOOKUP(CustomerCombinedCleaned[[#This Row],[ID]], Table4[ID], Table4[Seafood], "Not Found", 0)</f>
        <v>0</v>
      </c>
      <c r="O1005" s="16">
        <f>_xlfn.XLOOKUP(CustomerCombinedCleaned[[#This Row],[ID]], Table4[ID], Table4[Sweets], "Not Found", 0)</f>
        <v>0</v>
      </c>
      <c r="P1005" s="16">
        <f>_xlfn.XLOOKUP(CustomerCombinedCleaned[[#This Row],[ID]], Table4[ID], Table4[Premium], "Not Found", 0)</f>
        <v>24</v>
      </c>
      <c r="Q1005" s="16">
        <f>_xlfn.XLOOKUP(CustomerCombinedCleaned[[#This Row],[ID]], Table4[ID], Table4[Regular], "Not Found", 0)</f>
        <v>2547</v>
      </c>
      <c r="R1005" s="16">
        <f>_xlfn.XLOOKUP(CustomerCombinedCleaned[[#This Row],[ID]], Table4[ID], Table4[Deals], "Not Found", 0)</f>
        <v>3</v>
      </c>
      <c r="S1005" s="16">
        <f>_xlfn.XLOOKUP(CustomerCombinedCleaned[[#This Row],[ID]], Table4[ID], Table4[Website], "Not Found", 0)</f>
        <v>3</v>
      </c>
      <c r="T1005" s="16">
        <f>_xlfn.XLOOKUP(CustomerCombinedCleaned[[#This Row],[ID]], Table4[ID], Table4[Catalog], "Not Found", 0)</f>
        <v>4</v>
      </c>
      <c r="U1005" s="16">
        <f>_xlfn.XLOOKUP(CustomerCombinedCleaned[[#This Row],[ID]], Table4[ID], Table4[Store], "Not Found", 0)</f>
        <v>9</v>
      </c>
      <c r="V1005" s="16">
        <f>_xlfn.XLOOKUP(CustomerCombinedCleaned[[#This Row],[ID]], Table4[ID], Table4[Visits], "Not Found", 0)</f>
        <v>8</v>
      </c>
      <c r="W1005" s="16">
        <f>_xlfn.XLOOKUP(CustomerCombinedCleaned[[#This Row],[ID]], Table2[ID],Table2[Complaint], "Not Found", 0 )</f>
        <v>0</v>
      </c>
      <c r="X1005" s="16">
        <f>_xlfn.XLOOKUP(CustomerCombinedCleaned[[#This Row],[ID]], Table2[ID],Table2[Pilot], "Not Found", 0 )</f>
        <v>0</v>
      </c>
      <c r="Y1005" s="16">
        <f>_xlfn.XLOOKUP(CustomerCombinedCleaned[[#This Row],[ID]], Table2[ID],Table2[MC1], "Not Found", 0 )</f>
        <v>0</v>
      </c>
      <c r="Z1005" s="16">
        <f>_xlfn.XLOOKUP(CustomerCombinedCleaned[[#This Row],[ID]], Table2[ID],Table2[MC2], "Not Found", 0 )</f>
        <v>0</v>
      </c>
      <c r="AA1005" s="16">
        <f>_xlfn.XLOOKUP(CustomerCombinedCleaned[[#This Row],[ID]], Table2[ID],Table2[MC3], "Not Found", 0 )</f>
        <v>0</v>
      </c>
      <c r="AB1005" s="16">
        <f>_xlfn.XLOOKUP(CustomerCombinedCleaned[[#This Row],[ID]], Table2[ID],Table2[MC4], "Not Found", 0 )</f>
        <v>1</v>
      </c>
      <c r="AC1005" s="16">
        <f>_xlfn.XLOOKUP(CustomerCombinedCleaned[[#This Row],[ID]], Table2[ID],Table2[MC5], "Not Found", 0 )</f>
        <v>0</v>
      </c>
    </row>
    <row r="1006" spans="1:29" x14ac:dyDescent="0.3">
      <c r="A1006" s="18">
        <v>2096</v>
      </c>
      <c r="B1006" s="16">
        <v>171819</v>
      </c>
      <c r="C1006" s="16">
        <v>0</v>
      </c>
      <c r="D1006" s="16">
        <v>1</v>
      </c>
      <c r="E1006" s="16">
        <v>49</v>
      </c>
      <c r="F1006" s="17" t="s">
        <v>8</v>
      </c>
      <c r="G1006" s="17" t="s">
        <v>11</v>
      </c>
      <c r="H1006" s="3" t="s">
        <v>621</v>
      </c>
      <c r="I1006" s="5" t="s">
        <v>438</v>
      </c>
      <c r="J1006" s="16">
        <f>_xlfn.XLOOKUP(CustomerCombinedCleaned[[#This Row],[ID]], Table4[ID], Table4[Recency], "Not Found", 0)</f>
        <v>70</v>
      </c>
      <c r="K1006" s="16">
        <f>_xlfn.XLOOKUP(CustomerCombinedCleaned[[#This Row],[ID]], Table4[ID], Table4[Teas], "Not Found", 0)</f>
        <v>2928</v>
      </c>
      <c r="L1006" s="16">
        <f>_xlfn.XLOOKUP(CustomerCombinedCleaned[[#This Row],[ID]], Table4[ID], Table4[Fruits], "Not Found", 0)</f>
        <v>67</v>
      </c>
      <c r="M1006" s="16">
        <f>_xlfn.XLOOKUP(CustomerCombinedCleaned[[#This Row],[ID]], Table4[ID], Table4[Meats], "Not Found", 0)</f>
        <v>335</v>
      </c>
      <c r="N1006" s="16">
        <f>_xlfn.XLOOKUP(CustomerCombinedCleaned[[#This Row],[ID]], Table4[ID], Table4[Seafood], "Not Found", 0)</f>
        <v>0</v>
      </c>
      <c r="O1006" s="16">
        <f>_xlfn.XLOOKUP(CustomerCombinedCleaned[[#This Row],[ID]], Table4[ID], Table4[Sweets], "Not Found", 0)</f>
        <v>33</v>
      </c>
      <c r="P1006" s="16">
        <f>_xlfn.XLOOKUP(CustomerCombinedCleaned[[#This Row],[ID]], Table4[ID], Table4[Premium], "Not Found", 0)</f>
        <v>402</v>
      </c>
      <c r="Q1006" s="16">
        <f>_xlfn.XLOOKUP(CustomerCombinedCleaned[[#This Row],[ID]], Table4[ID], Table4[Regular], "Not Found", 0)</f>
        <v>2962</v>
      </c>
      <c r="R1006" s="16">
        <f>_xlfn.XLOOKUP(CustomerCombinedCleaned[[#This Row],[ID]], Table4[ID], Table4[Deals], "Not Found", 0)</f>
        <v>3</v>
      </c>
      <c r="S1006" s="16">
        <f>_xlfn.XLOOKUP(CustomerCombinedCleaned[[#This Row],[ID]], Table4[ID], Table4[Website], "Not Found", 0)</f>
        <v>3</v>
      </c>
      <c r="T1006" s="16">
        <f>_xlfn.XLOOKUP(CustomerCombinedCleaned[[#This Row],[ID]], Table4[ID], Table4[Catalog], "Not Found", 0)</f>
        <v>3</v>
      </c>
      <c r="U1006" s="16">
        <f>_xlfn.XLOOKUP(CustomerCombinedCleaned[[#This Row],[ID]], Table4[ID], Table4[Store], "Not Found", 0)</f>
        <v>5</v>
      </c>
      <c r="V1006" s="16">
        <f>_xlfn.XLOOKUP(CustomerCombinedCleaned[[#This Row],[ID]], Table4[ID], Table4[Visits], "Not Found", 0)</f>
        <v>6</v>
      </c>
      <c r="W1006" s="16">
        <f>_xlfn.XLOOKUP(CustomerCombinedCleaned[[#This Row],[ID]], Table2[ID],Table2[Complaint], "Not Found", 0 )</f>
        <v>0</v>
      </c>
      <c r="X1006" s="16">
        <f>_xlfn.XLOOKUP(CustomerCombinedCleaned[[#This Row],[ID]], Table2[ID],Table2[Pilot], "Not Found", 0 )</f>
        <v>0</v>
      </c>
      <c r="Y1006" s="16">
        <f>_xlfn.XLOOKUP(CustomerCombinedCleaned[[#This Row],[ID]], Table2[ID],Table2[MC1], "Not Found", 0 )</f>
        <v>0</v>
      </c>
      <c r="Z1006" s="16">
        <f>_xlfn.XLOOKUP(CustomerCombinedCleaned[[#This Row],[ID]], Table2[ID],Table2[MC2], "Not Found", 0 )</f>
        <v>0</v>
      </c>
      <c r="AA1006" s="16">
        <f>_xlfn.XLOOKUP(CustomerCombinedCleaned[[#This Row],[ID]], Table2[ID],Table2[MC3], "Not Found", 0 )</f>
        <v>0</v>
      </c>
      <c r="AB1006" s="16">
        <f>_xlfn.XLOOKUP(CustomerCombinedCleaned[[#This Row],[ID]], Table2[ID],Table2[MC4], "Not Found", 0 )</f>
        <v>1</v>
      </c>
      <c r="AC1006" s="16">
        <f>_xlfn.XLOOKUP(CustomerCombinedCleaned[[#This Row],[ID]], Table2[ID],Table2[MC5], "Not Found", 0 )</f>
        <v>1</v>
      </c>
    </row>
    <row r="1007" spans="1:29" x14ac:dyDescent="0.3">
      <c r="A1007" s="18">
        <v>1917</v>
      </c>
      <c r="B1007" s="16">
        <v>171796</v>
      </c>
      <c r="C1007" s="16">
        <v>0</v>
      </c>
      <c r="D1007" s="16">
        <v>0</v>
      </c>
      <c r="E1007" s="16">
        <v>49</v>
      </c>
      <c r="F1007" s="17" t="s">
        <v>8</v>
      </c>
      <c r="G1007" s="17" t="s">
        <v>11</v>
      </c>
      <c r="H1007" s="3" t="s">
        <v>158</v>
      </c>
      <c r="I1007" s="5" t="s">
        <v>435</v>
      </c>
      <c r="J1007" s="16">
        <f>_xlfn.XLOOKUP(CustomerCombinedCleaned[[#This Row],[ID]], Table4[ID], Table4[Recency], "Not Found", 0)</f>
        <v>54</v>
      </c>
      <c r="K1007" s="16">
        <f>_xlfn.XLOOKUP(CustomerCombinedCleaned[[#This Row],[ID]], Table4[ID], Table4[Teas], "Not Found", 0)</f>
        <v>847</v>
      </c>
      <c r="L1007" s="16">
        <f>_xlfn.XLOOKUP(CustomerCombinedCleaned[[#This Row],[ID]], Table4[ID], Table4[Fruits], "Not Found", 0)</f>
        <v>50</v>
      </c>
      <c r="M1007" s="16">
        <f>_xlfn.XLOOKUP(CustomerCombinedCleaned[[#This Row],[ID]], Table4[ID], Table4[Meats], "Not Found", 0)</f>
        <v>744</v>
      </c>
      <c r="N1007" s="16">
        <f>_xlfn.XLOOKUP(CustomerCombinedCleaned[[#This Row],[ID]], Table4[ID], Table4[Seafood], "Not Found", 0)</f>
        <v>400</v>
      </c>
      <c r="O1007" s="16">
        <f>_xlfn.XLOOKUP(CustomerCombinedCleaned[[#This Row],[ID]], Table4[ID], Table4[Sweets], "Not Found", 0)</f>
        <v>179</v>
      </c>
      <c r="P1007" s="16">
        <f>_xlfn.XLOOKUP(CustomerCombinedCleaned[[#This Row],[ID]], Table4[ID], Table4[Premium], "Not Found", 0)</f>
        <v>77</v>
      </c>
      <c r="Q1007" s="16">
        <f>_xlfn.XLOOKUP(CustomerCombinedCleaned[[#This Row],[ID]], Table4[ID], Table4[Regular], "Not Found", 0)</f>
        <v>2144</v>
      </c>
      <c r="R1007" s="16">
        <f>_xlfn.XLOOKUP(CustomerCombinedCleaned[[#This Row],[ID]], Table4[ID], Table4[Deals], "Not Found", 0)</f>
        <v>1</v>
      </c>
      <c r="S1007" s="16">
        <f>_xlfn.XLOOKUP(CustomerCombinedCleaned[[#This Row],[ID]], Table4[ID], Table4[Website], "Not Found", 0)</f>
        <v>9</v>
      </c>
      <c r="T1007" s="16">
        <f>_xlfn.XLOOKUP(CustomerCombinedCleaned[[#This Row],[ID]], Table4[ID], Table4[Catalog], "Not Found", 0)</f>
        <v>3</v>
      </c>
      <c r="U1007" s="16">
        <f>_xlfn.XLOOKUP(CustomerCombinedCleaned[[#This Row],[ID]], Table4[ID], Table4[Store], "Not Found", 0)</f>
        <v>4</v>
      </c>
      <c r="V1007" s="16">
        <f>_xlfn.XLOOKUP(CustomerCombinedCleaned[[#This Row],[ID]], Table4[ID], Table4[Visits], "Not Found", 0)</f>
        <v>4</v>
      </c>
      <c r="W1007" s="16">
        <f>_xlfn.XLOOKUP(CustomerCombinedCleaned[[#This Row],[ID]], Table2[ID],Table2[Complaint], "Not Found", 0 )</f>
        <v>0</v>
      </c>
      <c r="X1007" s="16">
        <f>_xlfn.XLOOKUP(CustomerCombinedCleaned[[#This Row],[ID]], Table2[ID],Table2[Pilot], "Not Found", 0 )</f>
        <v>0</v>
      </c>
      <c r="Y1007" s="16">
        <f>_xlfn.XLOOKUP(CustomerCombinedCleaned[[#This Row],[ID]], Table2[ID],Table2[MC1], "Not Found", 0 )</f>
        <v>0</v>
      </c>
      <c r="Z1007" s="16">
        <f>_xlfn.XLOOKUP(CustomerCombinedCleaned[[#This Row],[ID]], Table2[ID],Table2[MC2], "Not Found", 0 )</f>
        <v>0</v>
      </c>
      <c r="AA1007" s="16">
        <f>_xlfn.XLOOKUP(CustomerCombinedCleaned[[#This Row],[ID]], Table2[ID],Table2[MC3], "Not Found", 0 )</f>
        <v>0</v>
      </c>
      <c r="AB1007" s="16">
        <f>_xlfn.XLOOKUP(CustomerCombinedCleaned[[#This Row],[ID]], Table2[ID],Table2[MC4], "Not Found", 0 )</f>
        <v>0</v>
      </c>
      <c r="AC1007" s="16">
        <f>_xlfn.XLOOKUP(CustomerCombinedCleaned[[#This Row],[ID]], Table2[ID],Table2[MC5], "Not Found", 0 )</f>
        <v>0</v>
      </c>
    </row>
    <row r="1008" spans="1:29" x14ac:dyDescent="0.3">
      <c r="A1008" s="18">
        <v>1546</v>
      </c>
      <c r="B1008" s="16">
        <v>171499</v>
      </c>
      <c r="C1008" s="16">
        <v>0</v>
      </c>
      <c r="D1008" s="16">
        <v>1</v>
      </c>
      <c r="E1008" s="16">
        <v>49</v>
      </c>
      <c r="F1008" s="17" t="s">
        <v>8</v>
      </c>
      <c r="G1008" s="17" t="s">
        <v>12</v>
      </c>
      <c r="H1008" s="3" t="s">
        <v>228</v>
      </c>
      <c r="I1008" s="5" t="s">
        <v>439</v>
      </c>
      <c r="J1008" s="16">
        <f>_xlfn.XLOOKUP(CustomerCombinedCleaned[[#This Row],[ID]], Table4[ID], Table4[Recency], "Not Found", 0)</f>
        <v>12</v>
      </c>
      <c r="K1008" s="16">
        <f>_xlfn.XLOOKUP(CustomerCombinedCleaned[[#This Row],[ID]], Table4[ID], Table4[Teas], "Not Found", 0)</f>
        <v>1115</v>
      </c>
      <c r="L1008" s="16">
        <f>_xlfn.XLOOKUP(CustomerCombinedCleaned[[#This Row],[ID]], Table4[ID], Table4[Fruits], "Not Found", 0)</f>
        <v>60</v>
      </c>
      <c r="M1008" s="16">
        <f>_xlfn.XLOOKUP(CustomerCombinedCleaned[[#This Row],[ID]], Table4[ID], Table4[Meats], "Not Found", 0)</f>
        <v>317</v>
      </c>
      <c r="N1008" s="16">
        <f>_xlfn.XLOOKUP(CustomerCombinedCleaned[[#This Row],[ID]], Table4[ID], Table4[Seafood], "Not Found", 0)</f>
        <v>326</v>
      </c>
      <c r="O1008" s="16">
        <f>_xlfn.XLOOKUP(CustomerCombinedCleaned[[#This Row],[ID]], Table4[ID], Table4[Sweets], "Not Found", 0)</f>
        <v>0</v>
      </c>
      <c r="P1008" s="16">
        <f>_xlfn.XLOOKUP(CustomerCombinedCleaned[[#This Row],[ID]], Table4[ID], Table4[Premium], "Not Found", 0)</f>
        <v>89</v>
      </c>
      <c r="Q1008" s="16">
        <f>_xlfn.XLOOKUP(CustomerCombinedCleaned[[#This Row],[ID]], Table4[ID], Table4[Regular], "Not Found", 0)</f>
        <v>1729</v>
      </c>
      <c r="R1008" s="16">
        <f>_xlfn.XLOOKUP(CustomerCombinedCleaned[[#This Row],[ID]], Table4[ID], Table4[Deals], "Not Found", 0)</f>
        <v>2</v>
      </c>
      <c r="S1008" s="16">
        <f>_xlfn.XLOOKUP(CustomerCombinedCleaned[[#This Row],[ID]], Table4[ID], Table4[Website], "Not Found", 0)</f>
        <v>8</v>
      </c>
      <c r="T1008" s="16">
        <f>_xlfn.XLOOKUP(CustomerCombinedCleaned[[#This Row],[ID]], Table4[ID], Table4[Catalog], "Not Found", 0)</f>
        <v>3</v>
      </c>
      <c r="U1008" s="16">
        <f>_xlfn.XLOOKUP(CustomerCombinedCleaned[[#This Row],[ID]], Table4[ID], Table4[Store], "Not Found", 0)</f>
        <v>13</v>
      </c>
      <c r="V1008" s="16">
        <f>_xlfn.XLOOKUP(CustomerCombinedCleaned[[#This Row],[ID]], Table4[ID], Table4[Visits], "Not Found", 0)</f>
        <v>4</v>
      </c>
      <c r="W1008" s="16">
        <f>_xlfn.XLOOKUP(CustomerCombinedCleaned[[#This Row],[ID]], Table2[ID],Table2[Complaint], "Not Found", 0 )</f>
        <v>0</v>
      </c>
      <c r="X1008" s="16">
        <f>_xlfn.XLOOKUP(CustomerCombinedCleaned[[#This Row],[ID]], Table2[ID],Table2[Pilot], "Not Found", 0 )</f>
        <v>0</v>
      </c>
      <c r="Y1008" s="16">
        <f>_xlfn.XLOOKUP(CustomerCombinedCleaned[[#This Row],[ID]], Table2[ID],Table2[MC1], "Not Found", 0 )</f>
        <v>0</v>
      </c>
      <c r="Z1008" s="16">
        <f>_xlfn.XLOOKUP(CustomerCombinedCleaned[[#This Row],[ID]], Table2[ID],Table2[MC2], "Not Found", 0 )</f>
        <v>0</v>
      </c>
      <c r="AA1008" s="16">
        <f>_xlfn.XLOOKUP(CustomerCombinedCleaned[[#This Row],[ID]], Table2[ID],Table2[MC3], "Not Found", 0 )</f>
        <v>0</v>
      </c>
      <c r="AB1008" s="16">
        <f>_xlfn.XLOOKUP(CustomerCombinedCleaned[[#This Row],[ID]], Table2[ID],Table2[MC4], "Not Found", 0 )</f>
        <v>0</v>
      </c>
      <c r="AC1008" s="16">
        <f>_xlfn.XLOOKUP(CustomerCombinedCleaned[[#This Row],[ID]], Table2[ID],Table2[MC5], "Not Found", 0 )</f>
        <v>0</v>
      </c>
    </row>
    <row r="1009" spans="1:29" x14ac:dyDescent="0.3">
      <c r="A1009" s="18">
        <v>2838</v>
      </c>
      <c r="B1009" s="16">
        <v>170886</v>
      </c>
      <c r="C1009" s="16">
        <v>1</v>
      </c>
      <c r="D1009" s="16">
        <v>0</v>
      </c>
      <c r="E1009" s="16">
        <v>49</v>
      </c>
      <c r="F1009" s="17" t="s">
        <v>6</v>
      </c>
      <c r="G1009" s="17" t="s">
        <v>11</v>
      </c>
      <c r="H1009" s="3" t="s">
        <v>168</v>
      </c>
      <c r="I1009" s="5" t="s">
        <v>436</v>
      </c>
      <c r="J1009" s="16">
        <f>_xlfn.XLOOKUP(CustomerCombinedCleaned[[#This Row],[ID]], Table4[ID], Table4[Recency], "Not Found", 0)</f>
        <v>65</v>
      </c>
      <c r="K1009" s="16">
        <f>_xlfn.XLOOKUP(CustomerCombinedCleaned[[#This Row],[ID]], Table4[ID], Table4[Teas], "Not Found", 0)</f>
        <v>981</v>
      </c>
      <c r="L1009" s="16">
        <f>_xlfn.XLOOKUP(CustomerCombinedCleaned[[#This Row],[ID]], Table4[ID], Table4[Fruits], "Not Found", 0)</f>
        <v>169</v>
      </c>
      <c r="M1009" s="16">
        <f>_xlfn.XLOOKUP(CustomerCombinedCleaned[[#This Row],[ID]], Table4[ID], Table4[Meats], "Not Found", 0)</f>
        <v>576</v>
      </c>
      <c r="N1009" s="16">
        <f>_xlfn.XLOOKUP(CustomerCombinedCleaned[[#This Row],[ID]], Table4[ID], Table4[Seafood], "Not Found", 0)</f>
        <v>248</v>
      </c>
      <c r="O1009" s="16">
        <f>_xlfn.XLOOKUP(CustomerCombinedCleaned[[#This Row],[ID]], Table4[ID], Table4[Sweets], "Not Found", 0)</f>
        <v>212</v>
      </c>
      <c r="P1009" s="16">
        <f>_xlfn.XLOOKUP(CustomerCombinedCleaned[[#This Row],[ID]], Table4[ID], Table4[Premium], "Not Found", 0)</f>
        <v>128</v>
      </c>
      <c r="Q1009" s="16">
        <f>_xlfn.XLOOKUP(CustomerCombinedCleaned[[#This Row],[ID]], Table4[ID], Table4[Regular], "Not Found", 0)</f>
        <v>2059</v>
      </c>
      <c r="R1009" s="16">
        <f>_xlfn.XLOOKUP(CustomerCombinedCleaned[[#This Row],[ID]], Table4[ID], Table4[Deals], "Not Found", 0)</f>
        <v>1</v>
      </c>
      <c r="S1009" s="16">
        <f>_xlfn.XLOOKUP(CustomerCombinedCleaned[[#This Row],[ID]], Table4[ID], Table4[Website], "Not Found", 0)</f>
        <v>5</v>
      </c>
      <c r="T1009" s="16">
        <f>_xlfn.XLOOKUP(CustomerCombinedCleaned[[#This Row],[ID]], Table4[ID], Table4[Catalog], "Not Found", 0)</f>
        <v>4</v>
      </c>
      <c r="U1009" s="16">
        <f>_xlfn.XLOOKUP(CustomerCombinedCleaned[[#This Row],[ID]], Table4[ID], Table4[Store], "Not Found", 0)</f>
        <v>4</v>
      </c>
      <c r="V1009" s="16">
        <f>_xlfn.XLOOKUP(CustomerCombinedCleaned[[#This Row],[ID]], Table4[ID], Table4[Visits], "Not Found", 0)</f>
        <v>2</v>
      </c>
      <c r="W1009" s="16">
        <f>_xlfn.XLOOKUP(CustomerCombinedCleaned[[#This Row],[ID]], Table2[ID],Table2[Complaint], "Not Found", 0 )</f>
        <v>0</v>
      </c>
      <c r="X1009" s="16">
        <f>_xlfn.XLOOKUP(CustomerCombinedCleaned[[#This Row],[ID]], Table2[ID],Table2[Pilot], "Not Found", 0 )</f>
        <v>0</v>
      </c>
      <c r="Y1009" s="16">
        <f>_xlfn.XLOOKUP(CustomerCombinedCleaned[[#This Row],[ID]], Table2[ID],Table2[MC1], "Not Found", 0 )</f>
        <v>0</v>
      </c>
      <c r="Z1009" s="16">
        <f>_xlfn.XLOOKUP(CustomerCombinedCleaned[[#This Row],[ID]], Table2[ID],Table2[MC2], "Not Found", 0 )</f>
        <v>0</v>
      </c>
      <c r="AA1009" s="16">
        <f>_xlfn.XLOOKUP(CustomerCombinedCleaned[[#This Row],[ID]], Table2[ID],Table2[MC3], "Not Found", 0 )</f>
        <v>0</v>
      </c>
      <c r="AB1009" s="16">
        <f>_xlfn.XLOOKUP(CustomerCombinedCleaned[[#This Row],[ID]], Table2[ID],Table2[MC4], "Not Found", 0 )</f>
        <v>0</v>
      </c>
      <c r="AC1009" s="16">
        <f>_xlfn.XLOOKUP(CustomerCombinedCleaned[[#This Row],[ID]], Table2[ID],Table2[MC5], "Not Found", 0 )</f>
        <v>0</v>
      </c>
    </row>
    <row r="1010" spans="1:29" x14ac:dyDescent="0.3">
      <c r="A1010" s="18">
        <v>2497</v>
      </c>
      <c r="B1010" s="16">
        <v>169930</v>
      </c>
      <c r="C1010" s="16">
        <v>0</v>
      </c>
      <c r="D1010" s="16">
        <v>0</v>
      </c>
      <c r="E1010" s="16">
        <v>49</v>
      </c>
      <c r="F1010" s="17" t="s">
        <v>8</v>
      </c>
      <c r="G1010" s="17" t="s">
        <v>11</v>
      </c>
      <c r="H1010" s="3" t="s">
        <v>245</v>
      </c>
      <c r="I1010" s="5" t="s">
        <v>437</v>
      </c>
      <c r="J1010" s="16">
        <f>_xlfn.XLOOKUP(CustomerCombinedCleaned[[#This Row],[ID]], Table4[ID], Table4[Recency], "Not Found", 0)</f>
        <v>21</v>
      </c>
      <c r="K1010" s="16">
        <f>_xlfn.XLOOKUP(CustomerCombinedCleaned[[#This Row],[ID]], Table4[ID], Table4[Teas], "Not Found", 0)</f>
        <v>612</v>
      </c>
      <c r="L1010" s="16">
        <f>_xlfn.XLOOKUP(CustomerCombinedCleaned[[#This Row],[ID]], Table4[ID], Table4[Fruits], "Not Found", 0)</f>
        <v>238</v>
      </c>
      <c r="M1010" s="16">
        <f>_xlfn.XLOOKUP(CustomerCombinedCleaned[[#This Row],[ID]], Table4[ID], Table4[Meats], "Not Found", 0)</f>
        <v>2010</v>
      </c>
      <c r="N1010" s="16">
        <f>_xlfn.XLOOKUP(CustomerCombinedCleaned[[#This Row],[ID]], Table4[ID], Table4[Seafood], "Not Found", 0)</f>
        <v>532</v>
      </c>
      <c r="O1010" s="16">
        <f>_xlfn.XLOOKUP(CustomerCombinedCleaned[[#This Row],[ID]], Table4[ID], Table4[Sweets], "Not Found", 0)</f>
        <v>170</v>
      </c>
      <c r="P1010" s="16">
        <f>_xlfn.XLOOKUP(CustomerCombinedCleaned[[#This Row],[ID]], Table4[ID], Table4[Premium], "Not Found", 0)</f>
        <v>476</v>
      </c>
      <c r="Q1010" s="16">
        <f>_xlfn.XLOOKUP(CustomerCombinedCleaned[[#This Row],[ID]], Table4[ID], Table4[Regular], "Not Found", 0)</f>
        <v>3086</v>
      </c>
      <c r="R1010" s="16">
        <f>_xlfn.XLOOKUP(CustomerCombinedCleaned[[#This Row],[ID]], Table4[ID], Table4[Deals], "Not Found", 0)</f>
        <v>1</v>
      </c>
      <c r="S1010" s="16">
        <f>_xlfn.XLOOKUP(CustomerCombinedCleaned[[#This Row],[ID]], Table4[ID], Table4[Website], "Not Found", 0)</f>
        <v>4</v>
      </c>
      <c r="T1010" s="16">
        <f>_xlfn.XLOOKUP(CustomerCombinedCleaned[[#This Row],[ID]], Table4[ID], Table4[Catalog], "Not Found", 0)</f>
        <v>5</v>
      </c>
      <c r="U1010" s="16">
        <f>_xlfn.XLOOKUP(CustomerCombinedCleaned[[#This Row],[ID]], Table4[ID], Table4[Store], "Not Found", 0)</f>
        <v>12</v>
      </c>
      <c r="V1010" s="16">
        <f>_xlfn.XLOOKUP(CustomerCombinedCleaned[[#This Row],[ID]], Table4[ID], Table4[Visits], "Not Found", 0)</f>
        <v>3</v>
      </c>
      <c r="W1010" s="16">
        <f>_xlfn.XLOOKUP(CustomerCombinedCleaned[[#This Row],[ID]], Table2[ID],Table2[Complaint], "Not Found", 0 )</f>
        <v>0</v>
      </c>
      <c r="X1010" s="16">
        <f>_xlfn.XLOOKUP(CustomerCombinedCleaned[[#This Row],[ID]], Table2[ID],Table2[Pilot], "Not Found", 0 )</f>
        <v>0</v>
      </c>
      <c r="Y1010" s="16">
        <f>_xlfn.XLOOKUP(CustomerCombinedCleaned[[#This Row],[ID]], Table2[ID],Table2[MC1], "Not Found", 0 )</f>
        <v>0</v>
      </c>
      <c r="Z1010" s="16">
        <f>_xlfn.XLOOKUP(CustomerCombinedCleaned[[#This Row],[ID]], Table2[ID],Table2[MC2], "Not Found", 0 )</f>
        <v>0</v>
      </c>
      <c r="AA1010" s="16">
        <f>_xlfn.XLOOKUP(CustomerCombinedCleaned[[#This Row],[ID]], Table2[ID],Table2[MC3], "Not Found", 0 )</f>
        <v>0</v>
      </c>
      <c r="AB1010" s="16">
        <f>_xlfn.XLOOKUP(CustomerCombinedCleaned[[#This Row],[ID]], Table2[ID],Table2[MC4], "Not Found", 0 )</f>
        <v>0</v>
      </c>
      <c r="AC1010" s="16">
        <f>_xlfn.XLOOKUP(CustomerCombinedCleaned[[#This Row],[ID]], Table2[ID],Table2[MC5], "Not Found", 0 )</f>
        <v>0</v>
      </c>
    </row>
    <row r="1011" spans="1:29" x14ac:dyDescent="0.3">
      <c r="A1011" s="18">
        <v>2256</v>
      </c>
      <c r="B1011" s="16">
        <v>166303</v>
      </c>
      <c r="C1011" s="16">
        <v>0</v>
      </c>
      <c r="D1011" s="16">
        <v>1</v>
      </c>
      <c r="E1011" s="16">
        <v>49</v>
      </c>
      <c r="F1011" s="17" t="s">
        <v>6</v>
      </c>
      <c r="G1011" s="17" t="s">
        <v>11</v>
      </c>
      <c r="H1011" s="3" t="s">
        <v>690</v>
      </c>
      <c r="I1011" s="5" t="s">
        <v>436</v>
      </c>
      <c r="J1011" s="16">
        <f>_xlfn.XLOOKUP(CustomerCombinedCleaned[[#This Row],[ID]], Table4[ID], Table4[Recency], "Not Found", 0)</f>
        <v>56</v>
      </c>
      <c r="K1011" s="16">
        <f>_xlfn.XLOOKUP(CustomerCombinedCleaned[[#This Row],[ID]], Table4[ID], Table4[Teas], "Not Found", 0)</f>
        <v>2734</v>
      </c>
      <c r="L1011" s="16">
        <f>_xlfn.XLOOKUP(CustomerCombinedCleaned[[#This Row],[ID]], Table4[ID], Table4[Fruits], "Not Found", 0)</f>
        <v>30</v>
      </c>
      <c r="M1011" s="16">
        <f>_xlfn.XLOOKUP(CustomerCombinedCleaned[[#This Row],[ID]], Table4[ID], Table4[Meats], "Not Found", 0)</f>
        <v>241</v>
      </c>
      <c r="N1011" s="16">
        <f>_xlfn.XLOOKUP(CustomerCombinedCleaned[[#This Row],[ID]], Table4[ID], Table4[Seafood], "Not Found", 0)</f>
        <v>40</v>
      </c>
      <c r="O1011" s="16">
        <f>_xlfn.XLOOKUP(CustomerCombinedCleaned[[#This Row],[ID]], Table4[ID], Table4[Sweets], "Not Found", 0)</f>
        <v>30</v>
      </c>
      <c r="P1011" s="16">
        <f>_xlfn.XLOOKUP(CustomerCombinedCleaned[[#This Row],[ID]], Table4[ID], Table4[Premium], "Not Found", 0)</f>
        <v>150</v>
      </c>
      <c r="Q1011" s="16">
        <f>_xlfn.XLOOKUP(CustomerCombinedCleaned[[#This Row],[ID]], Table4[ID], Table4[Regular], "Not Found", 0)</f>
        <v>2925</v>
      </c>
      <c r="R1011" s="16">
        <f>_xlfn.XLOOKUP(CustomerCombinedCleaned[[#This Row],[ID]], Table4[ID], Table4[Deals], "Not Found", 0)</f>
        <v>4</v>
      </c>
      <c r="S1011" s="16">
        <f>_xlfn.XLOOKUP(CustomerCombinedCleaned[[#This Row],[ID]], Table4[ID], Table4[Website], "Not Found", 0)</f>
        <v>3</v>
      </c>
      <c r="T1011" s="16">
        <f>_xlfn.XLOOKUP(CustomerCombinedCleaned[[#This Row],[ID]], Table4[ID], Table4[Catalog], "Not Found", 0)</f>
        <v>4</v>
      </c>
      <c r="U1011" s="16">
        <f>_xlfn.XLOOKUP(CustomerCombinedCleaned[[#This Row],[ID]], Table4[ID], Table4[Store], "Not Found", 0)</f>
        <v>11</v>
      </c>
      <c r="V1011" s="16">
        <f>_xlfn.XLOOKUP(CustomerCombinedCleaned[[#This Row],[ID]], Table4[ID], Table4[Visits], "Not Found", 0)</f>
        <v>8</v>
      </c>
      <c r="W1011" s="16">
        <f>_xlfn.XLOOKUP(CustomerCombinedCleaned[[#This Row],[ID]], Table2[ID],Table2[Complaint], "Not Found", 0 )</f>
        <v>0</v>
      </c>
      <c r="X1011" s="16">
        <f>_xlfn.XLOOKUP(CustomerCombinedCleaned[[#This Row],[ID]], Table2[ID],Table2[Pilot], "Not Found", 0 )</f>
        <v>0</v>
      </c>
      <c r="Y1011" s="16">
        <f>_xlfn.XLOOKUP(CustomerCombinedCleaned[[#This Row],[ID]], Table2[ID],Table2[MC1], "Not Found", 0 )</f>
        <v>0</v>
      </c>
      <c r="Z1011" s="16">
        <f>_xlfn.XLOOKUP(CustomerCombinedCleaned[[#This Row],[ID]], Table2[ID],Table2[MC2], "Not Found", 0 )</f>
        <v>0</v>
      </c>
      <c r="AA1011" s="16">
        <f>_xlfn.XLOOKUP(CustomerCombinedCleaned[[#This Row],[ID]], Table2[ID],Table2[MC3], "Not Found", 0 )</f>
        <v>0</v>
      </c>
      <c r="AB1011" s="16">
        <f>_xlfn.XLOOKUP(CustomerCombinedCleaned[[#This Row],[ID]], Table2[ID],Table2[MC4], "Not Found", 0 )</f>
        <v>1</v>
      </c>
      <c r="AC1011" s="16">
        <f>_xlfn.XLOOKUP(CustomerCombinedCleaned[[#This Row],[ID]], Table2[ID],Table2[MC5], "Not Found", 0 )</f>
        <v>0</v>
      </c>
    </row>
    <row r="1012" spans="1:29" x14ac:dyDescent="0.3">
      <c r="A1012" s="18">
        <v>1391</v>
      </c>
      <c r="B1012" s="16">
        <v>165808</v>
      </c>
      <c r="C1012" s="16">
        <v>1</v>
      </c>
      <c r="D1012" s="16">
        <v>1</v>
      </c>
      <c r="E1012" s="16">
        <v>49</v>
      </c>
      <c r="F1012" s="17" t="s">
        <v>5</v>
      </c>
      <c r="G1012" s="17" t="s">
        <v>13</v>
      </c>
      <c r="H1012" s="3" t="s">
        <v>692</v>
      </c>
      <c r="I1012" s="5" t="s">
        <v>434</v>
      </c>
      <c r="J1012" s="16">
        <f>_xlfn.XLOOKUP(CustomerCombinedCleaned[[#This Row],[ID]], Table4[ID], Table4[Recency], "Not Found", 0)</f>
        <v>1</v>
      </c>
      <c r="K1012" s="16">
        <f>_xlfn.XLOOKUP(CustomerCombinedCleaned[[#This Row],[ID]], Table4[ID], Table4[Teas], "Not Found", 0)</f>
        <v>391</v>
      </c>
      <c r="L1012" s="16">
        <f>_xlfn.XLOOKUP(CustomerCombinedCleaned[[#This Row],[ID]], Table4[ID], Table4[Fruits], "Not Found", 0)</f>
        <v>18</v>
      </c>
      <c r="M1012" s="16">
        <f>_xlfn.XLOOKUP(CustomerCombinedCleaned[[#This Row],[ID]], Table4[ID], Table4[Meats], "Not Found", 0)</f>
        <v>202</v>
      </c>
      <c r="N1012" s="16">
        <f>_xlfn.XLOOKUP(CustomerCombinedCleaned[[#This Row],[ID]], Table4[ID], Table4[Seafood], "Not Found", 0)</f>
        <v>33</v>
      </c>
      <c r="O1012" s="16">
        <f>_xlfn.XLOOKUP(CustomerCombinedCleaned[[#This Row],[ID]], Table4[ID], Table4[Sweets], "Not Found", 0)</f>
        <v>18</v>
      </c>
      <c r="P1012" s="16">
        <f>_xlfn.XLOOKUP(CustomerCombinedCleaned[[#This Row],[ID]], Table4[ID], Table4[Premium], "Not Found", 0)</f>
        <v>25</v>
      </c>
      <c r="Q1012" s="16">
        <f>_xlfn.XLOOKUP(CustomerCombinedCleaned[[#This Row],[ID]], Table4[ID], Table4[Regular], "Not Found", 0)</f>
        <v>635</v>
      </c>
      <c r="R1012" s="16">
        <f>_xlfn.XLOOKUP(CustomerCombinedCleaned[[#This Row],[ID]], Table4[ID], Table4[Deals], "Not Found", 0)</f>
        <v>3</v>
      </c>
      <c r="S1012" s="16">
        <f>_xlfn.XLOOKUP(CustomerCombinedCleaned[[#This Row],[ID]], Table4[ID], Table4[Website], "Not Found", 0)</f>
        <v>5</v>
      </c>
      <c r="T1012" s="16">
        <f>_xlfn.XLOOKUP(CustomerCombinedCleaned[[#This Row],[ID]], Table4[ID], Table4[Catalog], "Not Found", 0)</f>
        <v>1</v>
      </c>
      <c r="U1012" s="16">
        <f>_xlfn.XLOOKUP(CustomerCombinedCleaned[[#This Row],[ID]], Table4[ID], Table4[Store], "Not Found", 0)</f>
        <v>5</v>
      </c>
      <c r="V1012" s="16">
        <f>_xlfn.XLOOKUP(CustomerCombinedCleaned[[#This Row],[ID]], Table4[ID], Table4[Visits], "Not Found", 0)</f>
        <v>6</v>
      </c>
      <c r="W1012" s="16">
        <f>_xlfn.XLOOKUP(CustomerCombinedCleaned[[#This Row],[ID]], Table2[ID],Table2[Complaint], "Not Found", 0 )</f>
        <v>0</v>
      </c>
      <c r="X1012" s="16">
        <f>_xlfn.XLOOKUP(CustomerCombinedCleaned[[#This Row],[ID]], Table2[ID],Table2[Pilot], "Not Found", 0 )</f>
        <v>0</v>
      </c>
      <c r="Y1012" s="16">
        <f>_xlfn.XLOOKUP(CustomerCombinedCleaned[[#This Row],[ID]], Table2[ID],Table2[MC1], "Not Found", 0 )</f>
        <v>0</v>
      </c>
      <c r="Z1012" s="16">
        <f>_xlfn.XLOOKUP(CustomerCombinedCleaned[[#This Row],[ID]], Table2[ID],Table2[MC2], "Not Found", 0 )</f>
        <v>0</v>
      </c>
      <c r="AA1012" s="16">
        <f>_xlfn.XLOOKUP(CustomerCombinedCleaned[[#This Row],[ID]], Table2[ID],Table2[MC3], "Not Found", 0 )</f>
        <v>0</v>
      </c>
      <c r="AB1012" s="16">
        <f>_xlfn.XLOOKUP(CustomerCombinedCleaned[[#This Row],[ID]], Table2[ID],Table2[MC4], "Not Found", 0 )</f>
        <v>0</v>
      </c>
      <c r="AC1012" s="16">
        <f>_xlfn.XLOOKUP(CustomerCombinedCleaned[[#This Row],[ID]], Table2[ID],Table2[MC5], "Not Found", 0 )</f>
        <v>0</v>
      </c>
    </row>
    <row r="1013" spans="1:29" x14ac:dyDescent="0.3">
      <c r="A1013" s="18">
        <v>1305</v>
      </c>
      <c r="B1013" s="16">
        <v>164795</v>
      </c>
      <c r="C1013" s="16">
        <v>0</v>
      </c>
      <c r="D1013" s="16">
        <v>1</v>
      </c>
      <c r="E1013" s="16">
        <v>49</v>
      </c>
      <c r="F1013" s="17" t="s">
        <v>6</v>
      </c>
      <c r="G1013" s="17" t="s">
        <v>11</v>
      </c>
      <c r="H1013" s="3" t="s">
        <v>323</v>
      </c>
      <c r="I1013" s="5" t="s">
        <v>435</v>
      </c>
      <c r="J1013" s="16">
        <f>_xlfn.XLOOKUP(CustomerCombinedCleaned[[#This Row],[ID]], Table4[ID], Table4[Recency], "Not Found", 0)</f>
        <v>23</v>
      </c>
      <c r="K1013" s="16">
        <f>_xlfn.XLOOKUP(CustomerCombinedCleaned[[#This Row],[ID]], Table4[ID], Table4[Teas], "Not Found", 0)</f>
        <v>1048</v>
      </c>
      <c r="L1013" s="16">
        <f>_xlfn.XLOOKUP(CustomerCombinedCleaned[[#This Row],[ID]], Table4[ID], Table4[Fruits], "Not Found", 0)</f>
        <v>13</v>
      </c>
      <c r="M1013" s="16">
        <f>_xlfn.XLOOKUP(CustomerCombinedCleaned[[#This Row],[ID]], Table4[ID], Table4[Meats], "Not Found", 0)</f>
        <v>303</v>
      </c>
      <c r="N1013" s="16">
        <f>_xlfn.XLOOKUP(CustomerCombinedCleaned[[#This Row],[ID]], Table4[ID], Table4[Seafood], "Not Found", 0)</f>
        <v>97</v>
      </c>
      <c r="O1013" s="16">
        <f>_xlfn.XLOOKUP(CustomerCombinedCleaned[[#This Row],[ID]], Table4[ID], Table4[Sweets], "Not Found", 0)</f>
        <v>74</v>
      </c>
      <c r="P1013" s="16">
        <f>_xlfn.XLOOKUP(CustomerCombinedCleaned[[#This Row],[ID]], Table4[ID], Table4[Premium], "Not Found", 0)</f>
        <v>196</v>
      </c>
      <c r="Q1013" s="16">
        <f>_xlfn.XLOOKUP(CustomerCombinedCleaned[[#This Row],[ID]], Table4[ID], Table4[Regular], "Not Found", 0)</f>
        <v>1338</v>
      </c>
      <c r="R1013" s="16">
        <f>_xlfn.XLOOKUP(CustomerCombinedCleaned[[#This Row],[ID]], Table4[ID], Table4[Deals], "Not Found", 0)</f>
        <v>3</v>
      </c>
      <c r="S1013" s="16">
        <f>_xlfn.XLOOKUP(CustomerCombinedCleaned[[#This Row],[ID]], Table4[ID], Table4[Website], "Not Found", 0)</f>
        <v>3</v>
      </c>
      <c r="T1013" s="16">
        <f>_xlfn.XLOOKUP(CustomerCombinedCleaned[[#This Row],[ID]], Table4[ID], Table4[Catalog], "Not Found", 0)</f>
        <v>3</v>
      </c>
      <c r="U1013" s="16">
        <f>_xlfn.XLOOKUP(CustomerCombinedCleaned[[#This Row],[ID]], Table4[ID], Table4[Store], "Not Found", 0)</f>
        <v>12</v>
      </c>
      <c r="V1013" s="16">
        <f>_xlfn.XLOOKUP(CustomerCombinedCleaned[[#This Row],[ID]], Table4[ID], Table4[Visits], "Not Found", 0)</f>
        <v>2</v>
      </c>
      <c r="W1013" s="16">
        <f>_xlfn.XLOOKUP(CustomerCombinedCleaned[[#This Row],[ID]], Table2[ID],Table2[Complaint], "Not Found", 0 )</f>
        <v>0</v>
      </c>
      <c r="X1013" s="16">
        <f>_xlfn.XLOOKUP(CustomerCombinedCleaned[[#This Row],[ID]], Table2[ID],Table2[Pilot], "Not Found", 0 )</f>
        <v>0</v>
      </c>
      <c r="Y1013" s="16">
        <f>_xlfn.XLOOKUP(CustomerCombinedCleaned[[#This Row],[ID]], Table2[ID],Table2[MC1], "Not Found", 0 )</f>
        <v>0</v>
      </c>
      <c r="Z1013" s="16">
        <f>_xlfn.XLOOKUP(CustomerCombinedCleaned[[#This Row],[ID]], Table2[ID],Table2[MC2], "Not Found", 0 )</f>
        <v>0</v>
      </c>
      <c r="AA1013" s="16">
        <f>_xlfn.XLOOKUP(CustomerCombinedCleaned[[#This Row],[ID]], Table2[ID],Table2[MC3], "Not Found", 0 )</f>
        <v>0</v>
      </c>
      <c r="AB1013" s="16">
        <f>_xlfn.XLOOKUP(CustomerCombinedCleaned[[#This Row],[ID]], Table2[ID],Table2[MC4], "Not Found", 0 )</f>
        <v>0</v>
      </c>
      <c r="AC1013" s="16">
        <f>_xlfn.XLOOKUP(CustomerCombinedCleaned[[#This Row],[ID]], Table2[ID],Table2[MC5], "Not Found", 0 )</f>
        <v>0</v>
      </c>
    </row>
    <row r="1014" spans="1:29" x14ac:dyDescent="0.3">
      <c r="A1014" s="18">
        <v>2216</v>
      </c>
      <c r="B1014" s="16">
        <v>164722</v>
      </c>
      <c r="C1014" s="16">
        <v>1</v>
      </c>
      <c r="D1014" s="16">
        <v>0</v>
      </c>
      <c r="E1014" s="16">
        <v>49</v>
      </c>
      <c r="F1014" s="17" t="s">
        <v>6</v>
      </c>
      <c r="G1014" s="17" t="s">
        <v>11</v>
      </c>
      <c r="H1014" s="3" t="s">
        <v>41</v>
      </c>
      <c r="I1014" s="5" t="s">
        <v>438</v>
      </c>
      <c r="J1014" s="16">
        <f>_xlfn.XLOOKUP(CustomerCombinedCleaned[[#This Row],[ID]], Table4[ID], Table4[Recency], "Not Found", 0)</f>
        <v>47</v>
      </c>
      <c r="K1014" s="16">
        <f>_xlfn.XLOOKUP(CustomerCombinedCleaned[[#This Row],[ID]], Table4[ID], Table4[Teas], "Not Found", 0)</f>
        <v>771</v>
      </c>
      <c r="L1014" s="16">
        <f>_xlfn.XLOOKUP(CustomerCombinedCleaned[[#This Row],[ID]], Table4[ID], Table4[Fruits], "Not Found", 0)</f>
        <v>0</v>
      </c>
      <c r="M1014" s="16">
        <f>_xlfn.XLOOKUP(CustomerCombinedCleaned[[#This Row],[ID]], Table4[ID], Table4[Meats], "Not Found", 0)</f>
        <v>713</v>
      </c>
      <c r="N1014" s="16">
        <f>_xlfn.XLOOKUP(CustomerCombinedCleaned[[#This Row],[ID]], Table4[ID], Table4[Seafood], "Not Found", 0)</f>
        <v>153</v>
      </c>
      <c r="O1014" s="16">
        <f>_xlfn.XLOOKUP(CustomerCombinedCleaned[[#This Row],[ID]], Table4[ID], Table4[Sweets], "Not Found", 0)</f>
        <v>374</v>
      </c>
      <c r="P1014" s="16">
        <f>_xlfn.XLOOKUP(CustomerCombinedCleaned[[#This Row],[ID]], Table4[ID], Table4[Premium], "Not Found", 0)</f>
        <v>38</v>
      </c>
      <c r="Q1014" s="16">
        <f>_xlfn.XLOOKUP(CustomerCombinedCleaned[[#This Row],[ID]], Table4[ID], Table4[Regular], "Not Found", 0)</f>
        <v>1972</v>
      </c>
      <c r="R1014" s="16">
        <f>_xlfn.XLOOKUP(CustomerCombinedCleaned[[#This Row],[ID]], Table4[ID], Table4[Deals], "Not Found", 0)</f>
        <v>4</v>
      </c>
      <c r="S1014" s="16">
        <f>_xlfn.XLOOKUP(CustomerCombinedCleaned[[#This Row],[ID]], Table4[ID], Table4[Website], "Not Found", 0)</f>
        <v>8</v>
      </c>
      <c r="T1014" s="16">
        <f>_xlfn.XLOOKUP(CustomerCombinedCleaned[[#This Row],[ID]], Table4[ID], Table4[Catalog], "Not Found", 0)</f>
        <v>2</v>
      </c>
      <c r="U1014" s="16">
        <f>_xlfn.XLOOKUP(CustomerCombinedCleaned[[#This Row],[ID]], Table4[ID], Table4[Store], "Not Found", 0)</f>
        <v>11</v>
      </c>
      <c r="V1014" s="16">
        <f>_xlfn.XLOOKUP(CustomerCombinedCleaned[[#This Row],[ID]], Table4[ID], Table4[Visits], "Not Found", 0)</f>
        <v>6</v>
      </c>
      <c r="W1014" s="16">
        <f>_xlfn.XLOOKUP(CustomerCombinedCleaned[[#This Row],[ID]], Table2[ID],Table2[Complaint], "Not Found", 0 )</f>
        <v>0</v>
      </c>
      <c r="X1014" s="16">
        <f>_xlfn.XLOOKUP(CustomerCombinedCleaned[[#This Row],[ID]], Table2[ID],Table2[Pilot], "Not Found", 0 )</f>
        <v>0</v>
      </c>
      <c r="Y1014" s="16">
        <f>_xlfn.XLOOKUP(CustomerCombinedCleaned[[#This Row],[ID]], Table2[ID],Table2[MC1], "Not Found", 0 )</f>
        <v>0</v>
      </c>
      <c r="Z1014" s="16">
        <f>_xlfn.XLOOKUP(CustomerCombinedCleaned[[#This Row],[ID]], Table2[ID],Table2[MC2], "Not Found", 0 )</f>
        <v>0</v>
      </c>
      <c r="AA1014" s="16">
        <f>_xlfn.XLOOKUP(CustomerCombinedCleaned[[#This Row],[ID]], Table2[ID],Table2[MC3], "Not Found", 0 )</f>
        <v>0</v>
      </c>
      <c r="AB1014" s="16">
        <f>_xlfn.XLOOKUP(CustomerCombinedCleaned[[#This Row],[ID]], Table2[ID],Table2[MC4], "Not Found", 0 )</f>
        <v>0</v>
      </c>
      <c r="AC1014" s="16">
        <f>_xlfn.XLOOKUP(CustomerCombinedCleaned[[#This Row],[ID]], Table2[ID],Table2[MC5], "Not Found", 0 )</f>
        <v>0</v>
      </c>
    </row>
    <row r="1015" spans="1:29" x14ac:dyDescent="0.3">
      <c r="A1015" s="18">
        <v>2466</v>
      </c>
      <c r="B1015" s="16">
        <v>160585</v>
      </c>
      <c r="C1015" s="16">
        <v>1</v>
      </c>
      <c r="D1015" s="16">
        <v>1</v>
      </c>
      <c r="E1015" s="16">
        <v>49</v>
      </c>
      <c r="F1015" s="17" t="s">
        <v>6</v>
      </c>
      <c r="G1015" s="17" t="s">
        <v>13</v>
      </c>
      <c r="H1015" s="3" t="s">
        <v>229</v>
      </c>
      <c r="I1015" s="5" t="s">
        <v>436</v>
      </c>
      <c r="J1015" s="16">
        <f>_xlfn.XLOOKUP(CustomerCombinedCleaned[[#This Row],[ID]], Table4[ID], Table4[Recency], "Not Found", 0)</f>
        <v>17</v>
      </c>
      <c r="K1015" s="16">
        <f>_xlfn.XLOOKUP(CustomerCombinedCleaned[[#This Row],[ID]], Table4[ID], Table4[Teas], "Not Found", 0)</f>
        <v>708</v>
      </c>
      <c r="L1015" s="16">
        <f>_xlfn.XLOOKUP(CustomerCombinedCleaned[[#This Row],[ID]], Table4[ID], Table4[Fruits], "Not Found", 0)</f>
        <v>111</v>
      </c>
      <c r="M1015" s="16">
        <f>_xlfn.XLOOKUP(CustomerCombinedCleaned[[#This Row],[ID]], Table4[ID], Table4[Meats], "Not Found", 0)</f>
        <v>819</v>
      </c>
      <c r="N1015" s="16">
        <f>_xlfn.XLOOKUP(CustomerCombinedCleaned[[#This Row],[ID]], Table4[ID], Table4[Seafood], "Not Found", 0)</f>
        <v>146</v>
      </c>
      <c r="O1015" s="16">
        <f>_xlfn.XLOOKUP(CustomerCombinedCleaned[[#This Row],[ID]], Table4[ID], Table4[Sweets], "Not Found", 0)</f>
        <v>111</v>
      </c>
      <c r="P1015" s="16">
        <f>_xlfn.XLOOKUP(CustomerCombinedCleaned[[#This Row],[ID]], Table4[ID], Table4[Premium], "Not Found", 0)</f>
        <v>56</v>
      </c>
      <c r="Q1015" s="16">
        <f>_xlfn.XLOOKUP(CustomerCombinedCleaned[[#This Row],[ID]], Table4[ID], Table4[Regular], "Not Found", 0)</f>
        <v>1839</v>
      </c>
      <c r="R1015" s="16">
        <f>_xlfn.XLOOKUP(CustomerCombinedCleaned[[#This Row],[ID]], Table4[ID], Table4[Deals], "Not Found", 0)</f>
        <v>10</v>
      </c>
      <c r="S1015" s="16">
        <f>_xlfn.XLOOKUP(CustomerCombinedCleaned[[#This Row],[ID]], Table4[ID], Table4[Website], "Not Found", 0)</f>
        <v>7</v>
      </c>
      <c r="T1015" s="16">
        <f>_xlfn.XLOOKUP(CustomerCombinedCleaned[[#This Row],[ID]], Table4[ID], Table4[Catalog], "Not Found", 0)</f>
        <v>4</v>
      </c>
      <c r="U1015" s="16">
        <f>_xlfn.XLOOKUP(CustomerCombinedCleaned[[#This Row],[ID]], Table4[ID], Table4[Store], "Not Found", 0)</f>
        <v>9</v>
      </c>
      <c r="V1015" s="16">
        <f>_xlfn.XLOOKUP(CustomerCombinedCleaned[[#This Row],[ID]], Table4[ID], Table4[Visits], "Not Found", 0)</f>
        <v>5</v>
      </c>
      <c r="W1015" s="16">
        <f>_xlfn.XLOOKUP(CustomerCombinedCleaned[[#This Row],[ID]], Table2[ID],Table2[Complaint], "Not Found", 0 )</f>
        <v>0</v>
      </c>
      <c r="X1015" s="16">
        <f>_xlfn.XLOOKUP(CustomerCombinedCleaned[[#This Row],[ID]], Table2[ID],Table2[Pilot], "Not Found", 0 )</f>
        <v>1</v>
      </c>
      <c r="Y1015" s="16">
        <f>_xlfn.XLOOKUP(CustomerCombinedCleaned[[#This Row],[ID]], Table2[ID],Table2[MC1], "Not Found", 0 )</f>
        <v>0</v>
      </c>
      <c r="Z1015" s="16">
        <f>_xlfn.XLOOKUP(CustomerCombinedCleaned[[#This Row],[ID]], Table2[ID],Table2[MC2], "Not Found", 0 )</f>
        <v>0</v>
      </c>
      <c r="AA1015" s="16">
        <f>_xlfn.XLOOKUP(CustomerCombinedCleaned[[#This Row],[ID]], Table2[ID],Table2[MC3], "Not Found", 0 )</f>
        <v>0</v>
      </c>
      <c r="AB1015" s="16">
        <f>_xlfn.XLOOKUP(CustomerCombinedCleaned[[#This Row],[ID]], Table2[ID],Table2[MC4], "Not Found", 0 )</f>
        <v>0</v>
      </c>
      <c r="AC1015" s="16">
        <f>_xlfn.XLOOKUP(CustomerCombinedCleaned[[#This Row],[ID]], Table2[ID],Table2[MC5], "Not Found", 0 )</f>
        <v>0</v>
      </c>
    </row>
    <row r="1016" spans="1:29" x14ac:dyDescent="0.3">
      <c r="A1016" s="18">
        <v>1536</v>
      </c>
      <c r="B1016" s="16">
        <v>160504</v>
      </c>
      <c r="C1016" s="16">
        <v>0</v>
      </c>
      <c r="D1016" s="16">
        <v>1</v>
      </c>
      <c r="E1016" s="16">
        <v>49</v>
      </c>
      <c r="F1016" s="17" t="s">
        <v>7</v>
      </c>
      <c r="G1016" s="17" t="s">
        <v>13</v>
      </c>
      <c r="H1016" s="3" t="s">
        <v>106</v>
      </c>
      <c r="I1016" s="5" t="s">
        <v>436</v>
      </c>
      <c r="J1016" s="16">
        <f>_xlfn.XLOOKUP(CustomerCombinedCleaned[[#This Row],[ID]], Table4[ID], Table4[Recency], "Not Found", 0)</f>
        <v>73</v>
      </c>
      <c r="K1016" s="16">
        <f>_xlfn.XLOOKUP(CustomerCombinedCleaned[[#This Row],[ID]], Table4[ID], Table4[Teas], "Not Found", 0)</f>
        <v>1215</v>
      </c>
      <c r="L1016" s="16">
        <f>_xlfn.XLOOKUP(CustomerCombinedCleaned[[#This Row],[ID]], Table4[ID], Table4[Fruits], "Not Found", 0)</f>
        <v>0</v>
      </c>
      <c r="M1016" s="16">
        <f>_xlfn.XLOOKUP(CustomerCombinedCleaned[[#This Row],[ID]], Table4[ID], Table4[Meats], "Not Found", 0)</f>
        <v>64</v>
      </c>
      <c r="N1016" s="16">
        <f>_xlfn.XLOOKUP(CustomerCombinedCleaned[[#This Row],[ID]], Table4[ID], Table4[Seafood], "Not Found", 0)</f>
        <v>16</v>
      </c>
      <c r="O1016" s="16">
        <f>_xlfn.XLOOKUP(CustomerCombinedCleaned[[#This Row],[ID]], Table4[ID], Table4[Sweets], "Not Found", 0)</f>
        <v>11</v>
      </c>
      <c r="P1016" s="16">
        <f>_xlfn.XLOOKUP(CustomerCombinedCleaned[[#This Row],[ID]], Table4[ID], Table4[Premium], "Not Found", 0)</f>
        <v>90</v>
      </c>
      <c r="Q1016" s="16">
        <f>_xlfn.XLOOKUP(CustomerCombinedCleaned[[#This Row],[ID]], Table4[ID], Table4[Regular], "Not Found", 0)</f>
        <v>1215</v>
      </c>
      <c r="R1016" s="16">
        <f>_xlfn.XLOOKUP(CustomerCombinedCleaned[[#This Row],[ID]], Table4[ID], Table4[Deals], "Not Found", 0)</f>
        <v>2</v>
      </c>
      <c r="S1016" s="16">
        <f>_xlfn.XLOOKUP(CustomerCombinedCleaned[[#This Row],[ID]], Table4[ID], Table4[Website], "Not Found", 0)</f>
        <v>6</v>
      </c>
      <c r="T1016" s="16">
        <f>_xlfn.XLOOKUP(CustomerCombinedCleaned[[#This Row],[ID]], Table4[ID], Table4[Catalog], "Not Found", 0)</f>
        <v>2</v>
      </c>
      <c r="U1016" s="16">
        <f>_xlfn.XLOOKUP(CustomerCombinedCleaned[[#This Row],[ID]], Table4[ID], Table4[Store], "Not Found", 0)</f>
        <v>8</v>
      </c>
      <c r="V1016" s="16">
        <f>_xlfn.XLOOKUP(CustomerCombinedCleaned[[#This Row],[ID]], Table4[ID], Table4[Visits], "Not Found", 0)</f>
        <v>6</v>
      </c>
      <c r="W1016" s="16">
        <f>_xlfn.XLOOKUP(CustomerCombinedCleaned[[#This Row],[ID]], Table2[ID],Table2[Complaint], "Not Found", 0 )</f>
        <v>0</v>
      </c>
      <c r="X1016" s="16">
        <f>_xlfn.XLOOKUP(CustomerCombinedCleaned[[#This Row],[ID]], Table2[ID],Table2[Pilot], "Not Found", 0 )</f>
        <v>0</v>
      </c>
      <c r="Y1016" s="16">
        <f>_xlfn.XLOOKUP(CustomerCombinedCleaned[[#This Row],[ID]], Table2[ID],Table2[MC1], "Not Found", 0 )</f>
        <v>0</v>
      </c>
      <c r="Z1016" s="16">
        <f>_xlfn.XLOOKUP(CustomerCombinedCleaned[[#This Row],[ID]], Table2[ID],Table2[MC2], "Not Found", 0 )</f>
        <v>0</v>
      </c>
      <c r="AA1016" s="16">
        <f>_xlfn.XLOOKUP(CustomerCombinedCleaned[[#This Row],[ID]], Table2[ID],Table2[MC3], "Not Found", 0 )</f>
        <v>0</v>
      </c>
      <c r="AB1016" s="16">
        <f>_xlfn.XLOOKUP(CustomerCombinedCleaned[[#This Row],[ID]], Table2[ID],Table2[MC4], "Not Found", 0 )</f>
        <v>0</v>
      </c>
      <c r="AC1016" s="16">
        <f>_xlfn.XLOOKUP(CustomerCombinedCleaned[[#This Row],[ID]], Table2[ID],Table2[MC5], "Not Found", 0 )</f>
        <v>0</v>
      </c>
    </row>
    <row r="1017" spans="1:29" x14ac:dyDescent="0.3">
      <c r="A1017" s="18">
        <v>2881</v>
      </c>
      <c r="B1017" s="16">
        <v>160491</v>
      </c>
      <c r="C1017" s="16">
        <v>0</v>
      </c>
      <c r="D1017" s="16">
        <v>1</v>
      </c>
      <c r="E1017" s="16">
        <v>49</v>
      </c>
      <c r="F1017" s="17" t="s">
        <v>6</v>
      </c>
      <c r="G1017" s="17" t="s">
        <v>13</v>
      </c>
      <c r="H1017" s="3" t="s">
        <v>719</v>
      </c>
      <c r="I1017" s="5" t="s">
        <v>437</v>
      </c>
      <c r="J1017" s="16">
        <f>_xlfn.XLOOKUP(CustomerCombinedCleaned[[#This Row],[ID]], Table4[ID], Table4[Recency], "Not Found", 0)</f>
        <v>81</v>
      </c>
      <c r="K1017" s="16">
        <f>_xlfn.XLOOKUP(CustomerCombinedCleaned[[#This Row],[ID]], Table4[ID], Table4[Teas], "Not Found", 0)</f>
        <v>1690</v>
      </c>
      <c r="L1017" s="16">
        <f>_xlfn.XLOOKUP(CustomerCombinedCleaned[[#This Row],[ID]], Table4[ID], Table4[Fruits], "Not Found", 0)</f>
        <v>125</v>
      </c>
      <c r="M1017" s="16">
        <f>_xlfn.XLOOKUP(CustomerCombinedCleaned[[#This Row],[ID]], Table4[ID], Table4[Meats], "Not Found", 0)</f>
        <v>629</v>
      </c>
      <c r="N1017" s="16">
        <f>_xlfn.XLOOKUP(CustomerCombinedCleaned[[#This Row],[ID]], Table4[ID], Table4[Seafood], "Not Found", 0)</f>
        <v>32</v>
      </c>
      <c r="O1017" s="16">
        <f>_xlfn.XLOOKUP(CustomerCombinedCleaned[[#This Row],[ID]], Table4[ID], Table4[Sweets], "Not Found", 0)</f>
        <v>50</v>
      </c>
      <c r="P1017" s="16">
        <f>_xlfn.XLOOKUP(CustomerCombinedCleaned[[#This Row],[ID]], Table4[ID], Table4[Premium], "Not Found", 0)</f>
        <v>202</v>
      </c>
      <c r="Q1017" s="16">
        <f>_xlfn.XLOOKUP(CustomerCombinedCleaned[[#This Row],[ID]], Table4[ID], Table4[Regular], "Not Found", 0)</f>
        <v>2324</v>
      </c>
      <c r="R1017" s="16">
        <f>_xlfn.XLOOKUP(CustomerCombinedCleaned[[#This Row],[ID]], Table4[ID], Table4[Deals], "Not Found", 0)</f>
        <v>4</v>
      </c>
      <c r="S1017" s="16">
        <f>_xlfn.XLOOKUP(CustomerCombinedCleaned[[#This Row],[ID]], Table4[ID], Table4[Website], "Not Found", 0)</f>
        <v>6</v>
      </c>
      <c r="T1017" s="16">
        <f>_xlfn.XLOOKUP(CustomerCombinedCleaned[[#This Row],[ID]], Table4[ID], Table4[Catalog], "Not Found", 0)</f>
        <v>11</v>
      </c>
      <c r="U1017" s="16">
        <f>_xlfn.XLOOKUP(CustomerCombinedCleaned[[#This Row],[ID]], Table4[ID], Table4[Store], "Not Found", 0)</f>
        <v>7</v>
      </c>
      <c r="V1017" s="16">
        <f>_xlfn.XLOOKUP(CustomerCombinedCleaned[[#This Row],[ID]], Table4[ID], Table4[Visits], "Not Found", 0)</f>
        <v>5</v>
      </c>
      <c r="W1017" s="16">
        <f>_xlfn.XLOOKUP(CustomerCombinedCleaned[[#This Row],[ID]], Table2[ID],Table2[Complaint], "Not Found", 0 )</f>
        <v>0</v>
      </c>
      <c r="X1017" s="16">
        <f>_xlfn.XLOOKUP(CustomerCombinedCleaned[[#This Row],[ID]], Table2[ID],Table2[Pilot], "Not Found", 0 )</f>
        <v>0</v>
      </c>
      <c r="Y1017" s="16">
        <f>_xlfn.XLOOKUP(CustomerCombinedCleaned[[#This Row],[ID]], Table2[ID],Table2[MC1], "Not Found", 0 )</f>
        <v>0</v>
      </c>
      <c r="Z1017" s="16">
        <f>_xlfn.XLOOKUP(CustomerCombinedCleaned[[#This Row],[ID]], Table2[ID],Table2[MC2], "Not Found", 0 )</f>
        <v>0</v>
      </c>
      <c r="AA1017" s="16">
        <f>_xlfn.XLOOKUP(CustomerCombinedCleaned[[#This Row],[ID]], Table2[ID],Table2[MC3], "Not Found", 0 )</f>
        <v>0</v>
      </c>
      <c r="AB1017" s="16">
        <f>_xlfn.XLOOKUP(CustomerCombinedCleaned[[#This Row],[ID]], Table2[ID],Table2[MC4], "Not Found", 0 )</f>
        <v>0</v>
      </c>
      <c r="AC1017" s="16">
        <f>_xlfn.XLOOKUP(CustomerCombinedCleaned[[#This Row],[ID]], Table2[ID],Table2[MC5], "Not Found", 0 )</f>
        <v>0</v>
      </c>
    </row>
    <row r="1018" spans="1:29" x14ac:dyDescent="0.3">
      <c r="A1018" s="18">
        <v>2663</v>
      </c>
      <c r="B1018" s="16">
        <v>158350</v>
      </c>
      <c r="C1018" s="16">
        <v>0</v>
      </c>
      <c r="D1018" s="16">
        <v>1</v>
      </c>
      <c r="E1018" s="16">
        <v>49</v>
      </c>
      <c r="F1018" s="17" t="s">
        <v>7</v>
      </c>
      <c r="G1018" s="17" t="s">
        <v>11</v>
      </c>
      <c r="H1018" s="3" t="s">
        <v>570</v>
      </c>
      <c r="I1018" s="5" t="s">
        <v>434</v>
      </c>
      <c r="J1018" s="16">
        <f>_xlfn.XLOOKUP(CustomerCombinedCleaned[[#This Row],[ID]], Table4[ID], Table4[Recency], "Not Found", 0)</f>
        <v>5</v>
      </c>
      <c r="K1018" s="16">
        <f>_xlfn.XLOOKUP(CustomerCombinedCleaned[[#This Row],[ID]], Table4[ID], Table4[Teas], "Not Found", 0)</f>
        <v>1338</v>
      </c>
      <c r="L1018" s="16">
        <f>_xlfn.XLOOKUP(CustomerCombinedCleaned[[#This Row],[ID]], Table4[ID], Table4[Fruits], "Not Found", 0)</f>
        <v>71</v>
      </c>
      <c r="M1018" s="16">
        <f>_xlfn.XLOOKUP(CustomerCombinedCleaned[[#This Row],[ID]], Table4[ID], Table4[Meats], "Not Found", 0)</f>
        <v>559</v>
      </c>
      <c r="N1018" s="16">
        <f>_xlfn.XLOOKUP(CustomerCombinedCleaned[[#This Row],[ID]], Table4[ID], Table4[Seafood], "Not Found", 0)</f>
        <v>315</v>
      </c>
      <c r="O1018" s="16">
        <f>_xlfn.XLOOKUP(CustomerCombinedCleaned[[#This Row],[ID]], Table4[ID], Table4[Sweets], "Not Found", 0)</f>
        <v>217</v>
      </c>
      <c r="P1018" s="16">
        <f>_xlfn.XLOOKUP(CustomerCombinedCleaned[[#This Row],[ID]], Table4[ID], Table4[Premium], "Not Found", 0)</f>
        <v>217</v>
      </c>
      <c r="Q1018" s="16">
        <f>_xlfn.XLOOKUP(CustomerCombinedCleaned[[#This Row],[ID]], Table4[ID], Table4[Regular], "Not Found", 0)</f>
        <v>2282</v>
      </c>
      <c r="R1018" s="16">
        <f>_xlfn.XLOOKUP(CustomerCombinedCleaned[[#This Row],[ID]], Table4[ID], Table4[Deals], "Not Found", 0)</f>
        <v>4</v>
      </c>
      <c r="S1018" s="16">
        <f>_xlfn.XLOOKUP(CustomerCombinedCleaned[[#This Row],[ID]], Table4[ID], Table4[Website], "Not Found", 0)</f>
        <v>8</v>
      </c>
      <c r="T1018" s="16">
        <f>_xlfn.XLOOKUP(CustomerCombinedCleaned[[#This Row],[ID]], Table4[ID], Table4[Catalog], "Not Found", 0)</f>
        <v>3</v>
      </c>
      <c r="U1018" s="16">
        <f>_xlfn.XLOOKUP(CustomerCombinedCleaned[[#This Row],[ID]], Table4[ID], Table4[Store], "Not Found", 0)</f>
        <v>12</v>
      </c>
      <c r="V1018" s="16">
        <f>_xlfn.XLOOKUP(CustomerCombinedCleaned[[#This Row],[ID]], Table4[ID], Table4[Visits], "Not Found", 0)</f>
        <v>6</v>
      </c>
      <c r="W1018" s="16">
        <f>_xlfn.XLOOKUP(CustomerCombinedCleaned[[#This Row],[ID]], Table2[ID],Table2[Complaint], "Not Found", 0 )</f>
        <v>0</v>
      </c>
      <c r="X1018" s="16">
        <f>_xlfn.XLOOKUP(CustomerCombinedCleaned[[#This Row],[ID]], Table2[ID],Table2[Pilot], "Not Found", 0 )</f>
        <v>0</v>
      </c>
      <c r="Y1018" s="16">
        <f>_xlfn.XLOOKUP(CustomerCombinedCleaned[[#This Row],[ID]], Table2[ID],Table2[MC1], "Not Found", 0 )</f>
        <v>0</v>
      </c>
      <c r="Z1018" s="16">
        <f>_xlfn.XLOOKUP(CustomerCombinedCleaned[[#This Row],[ID]], Table2[ID],Table2[MC2], "Not Found", 0 )</f>
        <v>0</v>
      </c>
      <c r="AA1018" s="16">
        <f>_xlfn.XLOOKUP(CustomerCombinedCleaned[[#This Row],[ID]], Table2[ID],Table2[MC3], "Not Found", 0 )</f>
        <v>0</v>
      </c>
      <c r="AB1018" s="16">
        <f>_xlfn.XLOOKUP(CustomerCombinedCleaned[[#This Row],[ID]], Table2[ID],Table2[MC4], "Not Found", 0 )</f>
        <v>0</v>
      </c>
      <c r="AC1018" s="16">
        <f>_xlfn.XLOOKUP(CustomerCombinedCleaned[[#This Row],[ID]], Table2[ID],Table2[MC5], "Not Found", 0 )</f>
        <v>0</v>
      </c>
    </row>
    <row r="1019" spans="1:29" x14ac:dyDescent="0.3">
      <c r="A1019" s="18">
        <v>2358</v>
      </c>
      <c r="B1019" s="16">
        <v>157420</v>
      </c>
      <c r="C1019" s="16">
        <v>0</v>
      </c>
      <c r="D1019" s="16">
        <v>1</v>
      </c>
      <c r="E1019" s="16">
        <v>49</v>
      </c>
      <c r="F1019" s="17" t="s">
        <v>8</v>
      </c>
      <c r="G1019" s="17" t="s">
        <v>12</v>
      </c>
      <c r="H1019" s="3" t="s">
        <v>228</v>
      </c>
      <c r="I1019" s="5" t="s">
        <v>436</v>
      </c>
      <c r="J1019" s="16">
        <f>_xlfn.XLOOKUP(CustomerCombinedCleaned[[#This Row],[ID]], Table4[ID], Table4[Recency], "Not Found", 0)</f>
        <v>22</v>
      </c>
      <c r="K1019" s="16">
        <f>_xlfn.XLOOKUP(CustomerCombinedCleaned[[#This Row],[ID]], Table4[ID], Table4[Teas], "Not Found", 0)</f>
        <v>768</v>
      </c>
      <c r="L1019" s="16">
        <f>_xlfn.XLOOKUP(CustomerCombinedCleaned[[#This Row],[ID]], Table4[ID], Table4[Fruits], "Not Found", 0)</f>
        <v>0</v>
      </c>
      <c r="M1019" s="16">
        <f>_xlfn.XLOOKUP(CustomerCombinedCleaned[[#This Row],[ID]], Table4[ID], Table4[Meats], "Not Found", 0)</f>
        <v>49</v>
      </c>
      <c r="N1019" s="16">
        <f>_xlfn.XLOOKUP(CustomerCombinedCleaned[[#This Row],[ID]], Table4[ID], Table4[Seafood], "Not Found", 0)</f>
        <v>0</v>
      </c>
      <c r="O1019" s="16">
        <f>_xlfn.XLOOKUP(CustomerCombinedCleaned[[#This Row],[ID]], Table4[ID], Table4[Sweets], "Not Found", 0)</f>
        <v>0</v>
      </c>
      <c r="P1019" s="16">
        <f>_xlfn.XLOOKUP(CustomerCombinedCleaned[[#This Row],[ID]], Table4[ID], Table4[Premium], "Not Found", 0)</f>
        <v>66</v>
      </c>
      <c r="Q1019" s="16">
        <f>_xlfn.XLOOKUP(CustomerCombinedCleaned[[#This Row],[ID]], Table4[ID], Table4[Regular], "Not Found", 0)</f>
        <v>751</v>
      </c>
      <c r="R1019" s="16">
        <f>_xlfn.XLOOKUP(CustomerCombinedCleaned[[#This Row],[ID]], Table4[ID], Table4[Deals], "Not Found", 0)</f>
        <v>3</v>
      </c>
      <c r="S1019" s="16">
        <f>_xlfn.XLOOKUP(CustomerCombinedCleaned[[#This Row],[ID]], Table4[ID], Table4[Website], "Not Found", 0)</f>
        <v>5</v>
      </c>
      <c r="T1019" s="16">
        <f>_xlfn.XLOOKUP(CustomerCombinedCleaned[[#This Row],[ID]], Table4[ID], Table4[Catalog], "Not Found", 0)</f>
        <v>1</v>
      </c>
      <c r="U1019" s="16">
        <f>_xlfn.XLOOKUP(CustomerCombinedCleaned[[#This Row],[ID]], Table4[ID], Table4[Store], "Not Found", 0)</f>
        <v>6</v>
      </c>
      <c r="V1019" s="16">
        <f>_xlfn.XLOOKUP(CustomerCombinedCleaned[[#This Row],[ID]], Table4[ID], Table4[Visits], "Not Found", 0)</f>
        <v>7</v>
      </c>
      <c r="W1019" s="16">
        <f>_xlfn.XLOOKUP(CustomerCombinedCleaned[[#This Row],[ID]], Table2[ID],Table2[Complaint], "Not Found", 0 )</f>
        <v>0</v>
      </c>
      <c r="X1019" s="16">
        <f>_xlfn.XLOOKUP(CustomerCombinedCleaned[[#This Row],[ID]], Table2[ID],Table2[Pilot], "Not Found", 0 )</f>
        <v>0</v>
      </c>
      <c r="Y1019" s="16">
        <f>_xlfn.XLOOKUP(CustomerCombinedCleaned[[#This Row],[ID]], Table2[ID],Table2[MC1], "Not Found", 0 )</f>
        <v>0</v>
      </c>
      <c r="Z1019" s="16">
        <f>_xlfn.XLOOKUP(CustomerCombinedCleaned[[#This Row],[ID]], Table2[ID],Table2[MC2], "Not Found", 0 )</f>
        <v>0</v>
      </c>
      <c r="AA1019" s="16">
        <f>_xlfn.XLOOKUP(CustomerCombinedCleaned[[#This Row],[ID]], Table2[ID],Table2[MC3], "Not Found", 0 )</f>
        <v>0</v>
      </c>
      <c r="AB1019" s="16">
        <f>_xlfn.XLOOKUP(CustomerCombinedCleaned[[#This Row],[ID]], Table2[ID],Table2[MC4], "Not Found", 0 )</f>
        <v>1</v>
      </c>
      <c r="AC1019" s="16">
        <f>_xlfn.XLOOKUP(CustomerCombinedCleaned[[#This Row],[ID]], Table2[ID],Table2[MC5], "Not Found", 0 )</f>
        <v>0</v>
      </c>
    </row>
    <row r="1020" spans="1:29" x14ac:dyDescent="0.3">
      <c r="A1020" s="18">
        <v>1787</v>
      </c>
      <c r="B1020" s="16">
        <v>156850</v>
      </c>
      <c r="C1020" s="16">
        <v>0</v>
      </c>
      <c r="D1020" s="16">
        <v>1</v>
      </c>
      <c r="E1020" s="16">
        <v>49</v>
      </c>
      <c r="F1020" s="17" t="s">
        <v>6</v>
      </c>
      <c r="G1020" s="17" t="s">
        <v>12</v>
      </c>
      <c r="H1020" s="3" t="s">
        <v>78</v>
      </c>
      <c r="I1020" s="5" t="s">
        <v>434</v>
      </c>
      <c r="J1020" s="16">
        <f>_xlfn.XLOOKUP(CustomerCombinedCleaned[[#This Row],[ID]], Table4[ID], Table4[Recency], "Not Found", 0)</f>
        <v>83</v>
      </c>
      <c r="K1020" s="16">
        <f>_xlfn.XLOOKUP(CustomerCombinedCleaned[[#This Row],[ID]], Table4[ID], Table4[Teas], "Not Found", 0)</f>
        <v>94</v>
      </c>
      <c r="L1020" s="16">
        <f>_xlfn.XLOOKUP(CustomerCombinedCleaned[[#This Row],[ID]], Table4[ID], Table4[Fruits], "Not Found", 0)</f>
        <v>3</v>
      </c>
      <c r="M1020" s="16">
        <f>_xlfn.XLOOKUP(CustomerCombinedCleaned[[#This Row],[ID]], Table4[ID], Table4[Meats], "Not Found", 0)</f>
        <v>52</v>
      </c>
      <c r="N1020" s="16">
        <f>_xlfn.XLOOKUP(CustomerCombinedCleaned[[#This Row],[ID]], Table4[ID], Table4[Seafood], "Not Found", 0)</f>
        <v>6</v>
      </c>
      <c r="O1020" s="16">
        <f>_xlfn.XLOOKUP(CustomerCombinedCleaned[[#This Row],[ID]], Table4[ID], Table4[Sweets], "Not Found", 0)</f>
        <v>19</v>
      </c>
      <c r="P1020" s="16">
        <f>_xlfn.XLOOKUP(CustomerCombinedCleaned[[#This Row],[ID]], Table4[ID], Table4[Premium], "Not Found", 0)</f>
        <v>0</v>
      </c>
      <c r="Q1020" s="16">
        <f>_xlfn.XLOOKUP(CustomerCombinedCleaned[[#This Row],[ID]], Table4[ID], Table4[Regular], "Not Found", 0)</f>
        <v>174</v>
      </c>
      <c r="R1020" s="16">
        <f>_xlfn.XLOOKUP(CustomerCombinedCleaned[[#This Row],[ID]], Table4[ID], Table4[Deals], "Not Found", 0)</f>
        <v>1</v>
      </c>
      <c r="S1020" s="16">
        <f>_xlfn.XLOOKUP(CustomerCombinedCleaned[[#This Row],[ID]], Table4[ID], Table4[Website], "Not Found", 0)</f>
        <v>1</v>
      </c>
      <c r="T1020" s="16">
        <f>_xlfn.XLOOKUP(CustomerCombinedCleaned[[#This Row],[ID]], Table4[ID], Table4[Catalog], "Not Found", 0)</f>
        <v>1</v>
      </c>
      <c r="U1020" s="16">
        <f>_xlfn.XLOOKUP(CustomerCombinedCleaned[[#This Row],[ID]], Table4[ID], Table4[Store], "Not Found", 0)</f>
        <v>3</v>
      </c>
      <c r="V1020" s="16">
        <f>_xlfn.XLOOKUP(CustomerCombinedCleaned[[#This Row],[ID]], Table4[ID], Table4[Visits], "Not Found", 0)</f>
        <v>2</v>
      </c>
      <c r="W1020" s="16">
        <f>_xlfn.XLOOKUP(CustomerCombinedCleaned[[#This Row],[ID]], Table2[ID],Table2[Complaint], "Not Found", 0 )</f>
        <v>0</v>
      </c>
      <c r="X1020" s="16">
        <f>_xlfn.XLOOKUP(CustomerCombinedCleaned[[#This Row],[ID]], Table2[ID],Table2[Pilot], "Not Found", 0 )</f>
        <v>0</v>
      </c>
      <c r="Y1020" s="16">
        <f>_xlfn.XLOOKUP(CustomerCombinedCleaned[[#This Row],[ID]], Table2[ID],Table2[MC1], "Not Found", 0 )</f>
        <v>0</v>
      </c>
      <c r="Z1020" s="16">
        <f>_xlfn.XLOOKUP(CustomerCombinedCleaned[[#This Row],[ID]], Table2[ID],Table2[MC2], "Not Found", 0 )</f>
        <v>0</v>
      </c>
      <c r="AA1020" s="16">
        <f>_xlfn.XLOOKUP(CustomerCombinedCleaned[[#This Row],[ID]], Table2[ID],Table2[MC3], "Not Found", 0 )</f>
        <v>0</v>
      </c>
      <c r="AB1020" s="16">
        <f>_xlfn.XLOOKUP(CustomerCombinedCleaned[[#This Row],[ID]], Table2[ID],Table2[MC4], "Not Found", 0 )</f>
        <v>0</v>
      </c>
      <c r="AC1020" s="16">
        <f>_xlfn.XLOOKUP(CustomerCombinedCleaned[[#This Row],[ID]], Table2[ID],Table2[MC5], "Not Found", 0 )</f>
        <v>0</v>
      </c>
    </row>
    <row r="1021" spans="1:29" x14ac:dyDescent="0.3">
      <c r="A1021" s="18">
        <v>1007</v>
      </c>
      <c r="B1021" s="16">
        <v>155635</v>
      </c>
      <c r="C1021" s="16">
        <v>0</v>
      </c>
      <c r="D1021" s="16">
        <v>1</v>
      </c>
      <c r="E1021" s="16">
        <v>49</v>
      </c>
      <c r="F1021" s="17" t="s">
        <v>5</v>
      </c>
      <c r="G1021" s="17" t="s">
        <v>11</v>
      </c>
      <c r="H1021" s="3" t="s">
        <v>362</v>
      </c>
      <c r="I1021" s="5" t="s">
        <v>434</v>
      </c>
      <c r="J1021" s="16">
        <f>_xlfn.XLOOKUP(CustomerCombinedCleaned[[#This Row],[ID]], Table4[ID], Table4[Recency], "Not Found", 0)</f>
        <v>34</v>
      </c>
      <c r="K1021" s="16">
        <f>_xlfn.XLOOKUP(CustomerCombinedCleaned[[#This Row],[ID]], Table4[ID], Table4[Teas], "Not Found", 0)</f>
        <v>657</v>
      </c>
      <c r="L1021" s="16">
        <f>_xlfn.XLOOKUP(CustomerCombinedCleaned[[#This Row],[ID]], Table4[ID], Table4[Fruits], "Not Found", 0)</f>
        <v>182</v>
      </c>
      <c r="M1021" s="16">
        <f>_xlfn.XLOOKUP(CustomerCombinedCleaned[[#This Row],[ID]], Table4[ID], Table4[Meats], "Not Found", 0)</f>
        <v>459</v>
      </c>
      <c r="N1021" s="16">
        <f>_xlfn.XLOOKUP(CustomerCombinedCleaned[[#This Row],[ID]], Table4[ID], Table4[Seafood], "Not Found", 0)</f>
        <v>140</v>
      </c>
      <c r="O1021" s="16">
        <f>_xlfn.XLOOKUP(CustomerCombinedCleaned[[#This Row],[ID]], Table4[ID], Table4[Sweets], "Not Found", 0)</f>
        <v>137</v>
      </c>
      <c r="P1021" s="16">
        <f>_xlfn.XLOOKUP(CustomerCombinedCleaned[[#This Row],[ID]], Table4[ID], Table4[Premium], "Not Found", 0)</f>
        <v>76</v>
      </c>
      <c r="Q1021" s="16">
        <f>_xlfn.XLOOKUP(CustomerCombinedCleaned[[#This Row],[ID]], Table4[ID], Table4[Regular], "Not Found", 0)</f>
        <v>1499</v>
      </c>
      <c r="R1021" s="16">
        <f>_xlfn.XLOOKUP(CustomerCombinedCleaned[[#This Row],[ID]], Table4[ID], Table4[Deals], "Not Found", 0)</f>
        <v>4</v>
      </c>
      <c r="S1021" s="16">
        <f>_xlfn.XLOOKUP(CustomerCombinedCleaned[[#This Row],[ID]], Table4[ID], Table4[Website], "Not Found", 0)</f>
        <v>7</v>
      </c>
      <c r="T1021" s="16">
        <f>_xlfn.XLOOKUP(CustomerCombinedCleaned[[#This Row],[ID]], Table4[ID], Table4[Catalog], "Not Found", 0)</f>
        <v>3</v>
      </c>
      <c r="U1021" s="16">
        <f>_xlfn.XLOOKUP(CustomerCombinedCleaned[[#This Row],[ID]], Table4[ID], Table4[Store], "Not Found", 0)</f>
        <v>7</v>
      </c>
      <c r="V1021" s="16">
        <f>_xlfn.XLOOKUP(CustomerCombinedCleaned[[#This Row],[ID]], Table4[ID], Table4[Visits], "Not Found", 0)</f>
        <v>6</v>
      </c>
      <c r="W1021" s="16">
        <f>_xlfn.XLOOKUP(CustomerCombinedCleaned[[#This Row],[ID]], Table2[ID],Table2[Complaint], "Not Found", 0 )</f>
        <v>0</v>
      </c>
      <c r="X1021" s="16">
        <f>_xlfn.XLOOKUP(CustomerCombinedCleaned[[#This Row],[ID]], Table2[ID],Table2[Pilot], "Not Found", 0 )</f>
        <v>0</v>
      </c>
      <c r="Y1021" s="16">
        <f>_xlfn.XLOOKUP(CustomerCombinedCleaned[[#This Row],[ID]], Table2[ID],Table2[MC1], "Not Found", 0 )</f>
        <v>0</v>
      </c>
      <c r="Z1021" s="16">
        <f>_xlfn.XLOOKUP(CustomerCombinedCleaned[[#This Row],[ID]], Table2[ID],Table2[MC2], "Not Found", 0 )</f>
        <v>0</v>
      </c>
      <c r="AA1021" s="16">
        <f>_xlfn.XLOOKUP(CustomerCombinedCleaned[[#This Row],[ID]], Table2[ID],Table2[MC3], "Not Found", 0 )</f>
        <v>0</v>
      </c>
      <c r="AB1021" s="16">
        <f>_xlfn.XLOOKUP(CustomerCombinedCleaned[[#This Row],[ID]], Table2[ID],Table2[MC4], "Not Found", 0 )</f>
        <v>0</v>
      </c>
      <c r="AC1021" s="16">
        <f>_xlfn.XLOOKUP(CustomerCombinedCleaned[[#This Row],[ID]], Table2[ID],Table2[MC5], "Not Found", 0 )</f>
        <v>0</v>
      </c>
    </row>
    <row r="1022" spans="1:29" x14ac:dyDescent="0.3">
      <c r="A1022" s="18">
        <v>1919</v>
      </c>
      <c r="B1022" s="16">
        <v>155239</v>
      </c>
      <c r="C1022" s="16">
        <v>0</v>
      </c>
      <c r="D1022" s="16">
        <v>1</v>
      </c>
      <c r="E1022" s="16">
        <v>49</v>
      </c>
      <c r="F1022" s="17" t="s">
        <v>7</v>
      </c>
      <c r="G1022" s="17" t="s">
        <v>11</v>
      </c>
      <c r="H1022" s="3" t="s">
        <v>222</v>
      </c>
      <c r="I1022" s="5" t="s">
        <v>434</v>
      </c>
      <c r="J1022" s="16">
        <f>_xlfn.XLOOKUP(CustomerCombinedCleaned[[#This Row],[ID]], Table4[ID], Table4[Recency], "Not Found", 0)</f>
        <v>59</v>
      </c>
      <c r="K1022" s="16">
        <f>_xlfn.XLOOKUP(CustomerCombinedCleaned[[#This Row],[ID]], Table4[ID], Table4[Teas], "Not Found", 0)</f>
        <v>1043</v>
      </c>
      <c r="L1022" s="16">
        <f>_xlfn.XLOOKUP(CustomerCombinedCleaned[[#This Row],[ID]], Table4[ID], Table4[Fruits], "Not Found", 0)</f>
        <v>48</v>
      </c>
      <c r="M1022" s="16">
        <f>_xlfn.XLOOKUP(CustomerCombinedCleaned[[#This Row],[ID]], Table4[ID], Table4[Meats], "Not Found", 0)</f>
        <v>669</v>
      </c>
      <c r="N1022" s="16">
        <f>_xlfn.XLOOKUP(CustomerCombinedCleaned[[#This Row],[ID]], Table4[ID], Table4[Seafood], "Not Found", 0)</f>
        <v>65</v>
      </c>
      <c r="O1022" s="16">
        <f>_xlfn.XLOOKUP(CustomerCombinedCleaned[[#This Row],[ID]], Table4[ID], Table4[Sweets], "Not Found", 0)</f>
        <v>67</v>
      </c>
      <c r="P1022" s="16">
        <f>_xlfn.XLOOKUP(CustomerCombinedCleaned[[#This Row],[ID]], Table4[ID], Table4[Premium], "Not Found", 0)</f>
        <v>298</v>
      </c>
      <c r="Q1022" s="16">
        <f>_xlfn.XLOOKUP(CustomerCombinedCleaned[[#This Row],[ID]], Table4[ID], Table4[Regular], "Not Found", 0)</f>
        <v>1593</v>
      </c>
      <c r="R1022" s="16">
        <f>_xlfn.XLOOKUP(CustomerCombinedCleaned[[#This Row],[ID]], Table4[ID], Table4[Deals], "Not Found", 0)</f>
        <v>3</v>
      </c>
      <c r="S1022" s="16">
        <f>_xlfn.XLOOKUP(CustomerCombinedCleaned[[#This Row],[ID]], Table4[ID], Table4[Website], "Not Found", 0)</f>
        <v>7</v>
      </c>
      <c r="T1022" s="16">
        <f>_xlfn.XLOOKUP(CustomerCombinedCleaned[[#This Row],[ID]], Table4[ID], Table4[Catalog], "Not Found", 0)</f>
        <v>5</v>
      </c>
      <c r="U1022" s="16">
        <f>_xlfn.XLOOKUP(CustomerCombinedCleaned[[#This Row],[ID]], Table4[ID], Table4[Store], "Not Found", 0)</f>
        <v>11</v>
      </c>
      <c r="V1022" s="16">
        <f>_xlfn.XLOOKUP(CustomerCombinedCleaned[[#This Row],[ID]], Table4[ID], Table4[Visits], "Not Found", 0)</f>
        <v>5</v>
      </c>
      <c r="W1022" s="16">
        <f>_xlfn.XLOOKUP(CustomerCombinedCleaned[[#This Row],[ID]], Table2[ID],Table2[Complaint], "Not Found", 0 )</f>
        <v>0</v>
      </c>
      <c r="X1022" s="16">
        <f>_xlfn.XLOOKUP(CustomerCombinedCleaned[[#This Row],[ID]], Table2[ID],Table2[Pilot], "Not Found", 0 )</f>
        <v>0</v>
      </c>
      <c r="Y1022" s="16">
        <f>_xlfn.XLOOKUP(CustomerCombinedCleaned[[#This Row],[ID]], Table2[ID],Table2[MC1], "Not Found", 0 )</f>
        <v>0</v>
      </c>
      <c r="Z1022" s="16">
        <f>_xlfn.XLOOKUP(CustomerCombinedCleaned[[#This Row],[ID]], Table2[ID],Table2[MC2], "Not Found", 0 )</f>
        <v>0</v>
      </c>
      <c r="AA1022" s="16">
        <f>_xlfn.XLOOKUP(CustomerCombinedCleaned[[#This Row],[ID]], Table2[ID],Table2[MC3], "Not Found", 0 )</f>
        <v>0</v>
      </c>
      <c r="AB1022" s="16">
        <f>_xlfn.XLOOKUP(CustomerCombinedCleaned[[#This Row],[ID]], Table2[ID],Table2[MC4], "Not Found", 0 )</f>
        <v>0</v>
      </c>
      <c r="AC1022" s="16">
        <f>_xlfn.XLOOKUP(CustomerCombinedCleaned[[#This Row],[ID]], Table2[ID],Table2[MC5], "Not Found", 0 )</f>
        <v>0</v>
      </c>
    </row>
    <row r="1023" spans="1:29" x14ac:dyDescent="0.3">
      <c r="A1023" s="18">
        <v>1651</v>
      </c>
      <c r="B1023" s="16">
        <v>154690</v>
      </c>
      <c r="C1023" s="16">
        <v>1</v>
      </c>
      <c r="D1023" s="16">
        <v>1</v>
      </c>
      <c r="E1023" s="16">
        <v>49</v>
      </c>
      <c r="F1023" s="17" t="s">
        <v>6</v>
      </c>
      <c r="G1023" s="17" t="s">
        <v>11</v>
      </c>
      <c r="H1023" s="3" t="s">
        <v>156</v>
      </c>
      <c r="I1023" s="5" t="s">
        <v>437</v>
      </c>
      <c r="J1023" s="16">
        <f>_xlfn.XLOOKUP(CustomerCombinedCleaned[[#This Row],[ID]], Table4[ID], Table4[Recency], "Not Found", 0)</f>
        <v>76</v>
      </c>
      <c r="K1023" s="16">
        <f>_xlfn.XLOOKUP(CustomerCombinedCleaned[[#This Row],[ID]], Table4[ID], Table4[Teas], "Not Found", 0)</f>
        <v>314</v>
      </c>
      <c r="L1023" s="16">
        <f>_xlfn.XLOOKUP(CustomerCombinedCleaned[[#This Row],[ID]], Table4[ID], Table4[Fruits], "Not Found", 0)</f>
        <v>45</v>
      </c>
      <c r="M1023" s="16">
        <f>_xlfn.XLOOKUP(CustomerCombinedCleaned[[#This Row],[ID]], Table4[ID], Table4[Meats], "Not Found", 0)</f>
        <v>105</v>
      </c>
      <c r="N1023" s="16">
        <f>_xlfn.XLOOKUP(CustomerCombinedCleaned[[#This Row],[ID]], Table4[ID], Table4[Seafood], "Not Found", 0)</f>
        <v>20</v>
      </c>
      <c r="O1023" s="16">
        <f>_xlfn.XLOOKUP(CustomerCombinedCleaned[[#This Row],[ID]], Table4[ID], Table4[Sweets], "Not Found", 0)</f>
        <v>25</v>
      </c>
      <c r="P1023" s="16">
        <f>_xlfn.XLOOKUP(CustomerCombinedCleaned[[#This Row],[ID]], Table4[ID], Table4[Premium], "Not Found", 0)</f>
        <v>51</v>
      </c>
      <c r="Q1023" s="16">
        <f>_xlfn.XLOOKUP(CustomerCombinedCleaned[[#This Row],[ID]], Table4[ID], Table4[Regular], "Not Found", 0)</f>
        <v>458</v>
      </c>
      <c r="R1023" s="16">
        <f>_xlfn.XLOOKUP(CustomerCombinedCleaned[[#This Row],[ID]], Table4[ID], Table4[Deals], "Not Found", 0)</f>
        <v>3</v>
      </c>
      <c r="S1023" s="16">
        <f>_xlfn.XLOOKUP(CustomerCombinedCleaned[[#This Row],[ID]], Table4[ID], Table4[Website], "Not Found", 0)</f>
        <v>3</v>
      </c>
      <c r="T1023" s="16">
        <f>_xlfn.XLOOKUP(CustomerCombinedCleaned[[#This Row],[ID]], Table4[ID], Table4[Catalog], "Not Found", 0)</f>
        <v>1</v>
      </c>
      <c r="U1023" s="16">
        <f>_xlfn.XLOOKUP(CustomerCombinedCleaned[[#This Row],[ID]], Table4[ID], Table4[Store], "Not Found", 0)</f>
        <v>5</v>
      </c>
      <c r="V1023" s="16">
        <f>_xlfn.XLOOKUP(CustomerCombinedCleaned[[#This Row],[ID]], Table4[ID], Table4[Visits], "Not Found", 0)</f>
        <v>3</v>
      </c>
      <c r="W1023" s="16">
        <f>_xlfn.XLOOKUP(CustomerCombinedCleaned[[#This Row],[ID]], Table2[ID],Table2[Complaint], "Not Found", 0 )</f>
        <v>0</v>
      </c>
      <c r="X1023" s="16">
        <f>_xlfn.XLOOKUP(CustomerCombinedCleaned[[#This Row],[ID]], Table2[ID],Table2[Pilot], "Not Found", 0 )</f>
        <v>0</v>
      </c>
      <c r="Y1023" s="16">
        <f>_xlfn.XLOOKUP(CustomerCombinedCleaned[[#This Row],[ID]], Table2[ID],Table2[MC1], "Not Found", 0 )</f>
        <v>0</v>
      </c>
      <c r="Z1023" s="16">
        <f>_xlfn.XLOOKUP(CustomerCombinedCleaned[[#This Row],[ID]], Table2[ID],Table2[MC2], "Not Found", 0 )</f>
        <v>0</v>
      </c>
      <c r="AA1023" s="16">
        <f>_xlfn.XLOOKUP(CustomerCombinedCleaned[[#This Row],[ID]], Table2[ID],Table2[MC3], "Not Found", 0 )</f>
        <v>0</v>
      </c>
      <c r="AB1023" s="16">
        <f>_xlfn.XLOOKUP(CustomerCombinedCleaned[[#This Row],[ID]], Table2[ID],Table2[MC4], "Not Found", 0 )</f>
        <v>0</v>
      </c>
      <c r="AC1023" s="16">
        <f>_xlfn.XLOOKUP(CustomerCombinedCleaned[[#This Row],[ID]], Table2[ID],Table2[MC5], "Not Found", 0 )</f>
        <v>0</v>
      </c>
    </row>
    <row r="1024" spans="1:29" x14ac:dyDescent="0.3">
      <c r="A1024" s="18">
        <v>2949</v>
      </c>
      <c r="B1024" s="16">
        <v>154690</v>
      </c>
      <c r="C1024" s="16">
        <v>1</v>
      </c>
      <c r="D1024" s="16">
        <v>1</v>
      </c>
      <c r="E1024" s="16">
        <v>49</v>
      </c>
      <c r="F1024" s="17" t="s">
        <v>6</v>
      </c>
      <c r="G1024" s="17" t="s">
        <v>11</v>
      </c>
      <c r="H1024" s="3" t="s">
        <v>156</v>
      </c>
      <c r="I1024" s="5" t="s">
        <v>435</v>
      </c>
      <c r="J1024" s="16">
        <f>_xlfn.XLOOKUP(CustomerCombinedCleaned[[#This Row],[ID]], Table4[ID], Table4[Recency], "Not Found", 0)</f>
        <v>76</v>
      </c>
      <c r="K1024" s="16">
        <f>_xlfn.XLOOKUP(CustomerCombinedCleaned[[#This Row],[ID]], Table4[ID], Table4[Teas], "Not Found", 0)</f>
        <v>314</v>
      </c>
      <c r="L1024" s="16">
        <f>_xlfn.XLOOKUP(CustomerCombinedCleaned[[#This Row],[ID]], Table4[ID], Table4[Fruits], "Not Found", 0)</f>
        <v>45</v>
      </c>
      <c r="M1024" s="16">
        <f>_xlfn.XLOOKUP(CustomerCombinedCleaned[[#This Row],[ID]], Table4[ID], Table4[Meats], "Not Found", 0)</f>
        <v>105</v>
      </c>
      <c r="N1024" s="16">
        <f>_xlfn.XLOOKUP(CustomerCombinedCleaned[[#This Row],[ID]], Table4[ID], Table4[Seafood], "Not Found", 0)</f>
        <v>20</v>
      </c>
      <c r="O1024" s="16">
        <f>_xlfn.XLOOKUP(CustomerCombinedCleaned[[#This Row],[ID]], Table4[ID], Table4[Sweets], "Not Found", 0)</f>
        <v>25</v>
      </c>
      <c r="P1024" s="16">
        <f>_xlfn.XLOOKUP(CustomerCombinedCleaned[[#This Row],[ID]], Table4[ID], Table4[Premium], "Not Found", 0)</f>
        <v>51</v>
      </c>
      <c r="Q1024" s="16">
        <f>_xlfn.XLOOKUP(CustomerCombinedCleaned[[#This Row],[ID]], Table4[ID], Table4[Regular], "Not Found", 0)</f>
        <v>458</v>
      </c>
      <c r="R1024" s="16">
        <f>_xlfn.XLOOKUP(CustomerCombinedCleaned[[#This Row],[ID]], Table4[ID], Table4[Deals], "Not Found", 0)</f>
        <v>3</v>
      </c>
      <c r="S1024" s="16">
        <f>_xlfn.XLOOKUP(CustomerCombinedCleaned[[#This Row],[ID]], Table4[ID], Table4[Website], "Not Found", 0)</f>
        <v>3</v>
      </c>
      <c r="T1024" s="16">
        <f>_xlfn.XLOOKUP(CustomerCombinedCleaned[[#This Row],[ID]], Table4[ID], Table4[Catalog], "Not Found", 0)</f>
        <v>1</v>
      </c>
      <c r="U1024" s="16">
        <f>_xlfn.XLOOKUP(CustomerCombinedCleaned[[#This Row],[ID]], Table4[ID], Table4[Store], "Not Found", 0)</f>
        <v>5</v>
      </c>
      <c r="V1024" s="16">
        <f>_xlfn.XLOOKUP(CustomerCombinedCleaned[[#This Row],[ID]], Table4[ID], Table4[Visits], "Not Found", 0)</f>
        <v>3</v>
      </c>
      <c r="W1024" s="16">
        <f>_xlfn.XLOOKUP(CustomerCombinedCleaned[[#This Row],[ID]], Table2[ID],Table2[Complaint], "Not Found", 0 )</f>
        <v>0</v>
      </c>
      <c r="X1024" s="16">
        <f>_xlfn.XLOOKUP(CustomerCombinedCleaned[[#This Row],[ID]], Table2[ID],Table2[Pilot], "Not Found", 0 )</f>
        <v>0</v>
      </c>
      <c r="Y1024" s="16">
        <f>_xlfn.XLOOKUP(CustomerCombinedCleaned[[#This Row],[ID]], Table2[ID],Table2[MC1], "Not Found", 0 )</f>
        <v>0</v>
      </c>
      <c r="Z1024" s="16">
        <f>_xlfn.XLOOKUP(CustomerCombinedCleaned[[#This Row],[ID]], Table2[ID],Table2[MC2], "Not Found", 0 )</f>
        <v>0</v>
      </c>
      <c r="AA1024" s="16">
        <f>_xlfn.XLOOKUP(CustomerCombinedCleaned[[#This Row],[ID]], Table2[ID],Table2[MC3], "Not Found", 0 )</f>
        <v>0</v>
      </c>
      <c r="AB1024" s="16">
        <f>_xlfn.XLOOKUP(CustomerCombinedCleaned[[#This Row],[ID]], Table2[ID],Table2[MC4], "Not Found", 0 )</f>
        <v>0</v>
      </c>
      <c r="AC1024" s="16">
        <f>_xlfn.XLOOKUP(CustomerCombinedCleaned[[#This Row],[ID]], Table2[ID],Table2[MC5], "Not Found", 0 )</f>
        <v>0</v>
      </c>
    </row>
    <row r="1025" spans="1:29" x14ac:dyDescent="0.3">
      <c r="A1025" s="18">
        <v>3146</v>
      </c>
      <c r="B1025" s="16">
        <v>152914</v>
      </c>
      <c r="C1025" s="16">
        <v>0</v>
      </c>
      <c r="D1025" s="16">
        <v>1</v>
      </c>
      <c r="E1025" s="16">
        <v>49</v>
      </c>
      <c r="F1025" s="17" t="s">
        <v>6</v>
      </c>
      <c r="G1025" s="17" t="s">
        <v>11</v>
      </c>
      <c r="H1025" s="3" t="s">
        <v>333</v>
      </c>
      <c r="I1025" s="5" t="s">
        <v>438</v>
      </c>
      <c r="J1025" s="16">
        <f>_xlfn.XLOOKUP(CustomerCombinedCleaned[[#This Row],[ID]], Table4[ID], Table4[Recency], "Not Found", 0)</f>
        <v>32</v>
      </c>
      <c r="K1025" s="16">
        <f>_xlfn.XLOOKUP(CustomerCombinedCleaned[[#This Row],[ID]], Table4[ID], Table4[Teas], "Not Found", 0)</f>
        <v>734</v>
      </c>
      <c r="L1025" s="16">
        <f>_xlfn.XLOOKUP(CustomerCombinedCleaned[[#This Row],[ID]], Table4[ID], Table4[Fruits], "Not Found", 0)</f>
        <v>29</v>
      </c>
      <c r="M1025" s="16">
        <f>_xlfn.XLOOKUP(CustomerCombinedCleaned[[#This Row],[ID]], Table4[ID], Table4[Meats], "Not Found", 0)</f>
        <v>127</v>
      </c>
      <c r="N1025" s="16">
        <f>_xlfn.XLOOKUP(CustomerCombinedCleaned[[#This Row],[ID]], Table4[ID], Table4[Seafood], "Not Found", 0)</f>
        <v>87</v>
      </c>
      <c r="O1025" s="16">
        <f>_xlfn.XLOOKUP(CustomerCombinedCleaned[[#This Row],[ID]], Table4[ID], Table4[Sweets], "Not Found", 0)</f>
        <v>29</v>
      </c>
      <c r="P1025" s="16">
        <f>_xlfn.XLOOKUP(CustomerCombinedCleaned[[#This Row],[ID]], Table4[ID], Table4[Premium], "Not Found", 0)</f>
        <v>656</v>
      </c>
      <c r="Q1025" s="16">
        <f>_xlfn.XLOOKUP(CustomerCombinedCleaned[[#This Row],[ID]], Table4[ID], Table4[Regular], "Not Found", 0)</f>
        <v>350</v>
      </c>
      <c r="R1025" s="16">
        <f>_xlfn.XLOOKUP(CustomerCombinedCleaned[[#This Row],[ID]], Table4[ID], Table4[Deals], "Not Found", 0)</f>
        <v>2</v>
      </c>
      <c r="S1025" s="16">
        <f>_xlfn.XLOOKUP(CustomerCombinedCleaned[[#This Row],[ID]], Table4[ID], Table4[Website], "Not Found", 0)</f>
        <v>7</v>
      </c>
      <c r="T1025" s="16">
        <f>_xlfn.XLOOKUP(CustomerCombinedCleaned[[#This Row],[ID]], Table4[ID], Table4[Catalog], "Not Found", 0)</f>
        <v>3</v>
      </c>
      <c r="U1025" s="16">
        <f>_xlfn.XLOOKUP(CustomerCombinedCleaned[[#This Row],[ID]], Table4[ID], Table4[Store], "Not Found", 0)</f>
        <v>3</v>
      </c>
      <c r="V1025" s="16">
        <f>_xlfn.XLOOKUP(CustomerCombinedCleaned[[#This Row],[ID]], Table4[ID], Table4[Visits], "Not Found", 0)</f>
        <v>7</v>
      </c>
      <c r="W1025" s="16">
        <f>_xlfn.XLOOKUP(CustomerCombinedCleaned[[#This Row],[ID]], Table2[ID],Table2[Complaint], "Not Found", 0 )</f>
        <v>0</v>
      </c>
      <c r="X1025" s="16">
        <f>_xlfn.XLOOKUP(CustomerCombinedCleaned[[#This Row],[ID]], Table2[ID],Table2[Pilot], "Not Found", 0 )</f>
        <v>0</v>
      </c>
      <c r="Y1025" s="16">
        <f>_xlfn.XLOOKUP(CustomerCombinedCleaned[[#This Row],[ID]], Table2[ID],Table2[MC1], "Not Found", 0 )</f>
        <v>0</v>
      </c>
      <c r="Z1025" s="16">
        <f>_xlfn.XLOOKUP(CustomerCombinedCleaned[[#This Row],[ID]], Table2[ID],Table2[MC2], "Not Found", 0 )</f>
        <v>0</v>
      </c>
      <c r="AA1025" s="16">
        <f>_xlfn.XLOOKUP(CustomerCombinedCleaned[[#This Row],[ID]], Table2[ID],Table2[MC3], "Not Found", 0 )</f>
        <v>1</v>
      </c>
      <c r="AB1025" s="16">
        <f>_xlfn.XLOOKUP(CustomerCombinedCleaned[[#This Row],[ID]], Table2[ID],Table2[MC4], "Not Found", 0 )</f>
        <v>0</v>
      </c>
      <c r="AC1025" s="16">
        <f>_xlfn.XLOOKUP(CustomerCombinedCleaned[[#This Row],[ID]], Table2[ID],Table2[MC5], "Not Found", 0 )</f>
        <v>0</v>
      </c>
    </row>
    <row r="1026" spans="1:29" x14ac:dyDescent="0.3">
      <c r="A1026" s="18">
        <v>2270</v>
      </c>
      <c r="B1026" s="16">
        <v>152531</v>
      </c>
      <c r="C1026" s="16">
        <v>0</v>
      </c>
      <c r="D1026" s="16">
        <v>0</v>
      </c>
      <c r="E1026" s="16">
        <v>49</v>
      </c>
      <c r="F1026" s="17" t="s">
        <v>6</v>
      </c>
      <c r="G1026" s="17" t="s">
        <v>11</v>
      </c>
      <c r="H1026" s="3" t="s">
        <v>709</v>
      </c>
      <c r="I1026" s="5" t="s">
        <v>438</v>
      </c>
      <c r="J1026" s="16">
        <f>_xlfn.XLOOKUP(CustomerCombinedCleaned[[#This Row],[ID]], Table4[ID], Table4[Recency], "Not Found", 0)</f>
        <v>68</v>
      </c>
      <c r="K1026" s="16">
        <f>_xlfn.XLOOKUP(CustomerCombinedCleaned[[#This Row],[ID]], Table4[ID], Table4[Teas], "Not Found", 0)</f>
        <v>822</v>
      </c>
      <c r="L1026" s="16">
        <f>_xlfn.XLOOKUP(CustomerCombinedCleaned[[#This Row],[ID]], Table4[ID], Table4[Fruits], "Not Found", 0)</f>
        <v>325</v>
      </c>
      <c r="M1026" s="16">
        <f>_xlfn.XLOOKUP(CustomerCombinedCleaned[[#This Row],[ID]], Table4[ID], Table4[Meats], "Not Found", 0)</f>
        <v>438</v>
      </c>
      <c r="N1026" s="16">
        <f>_xlfn.XLOOKUP(CustomerCombinedCleaned[[#This Row],[ID]], Table4[ID], Table4[Seafood], "Not Found", 0)</f>
        <v>148</v>
      </c>
      <c r="O1026" s="16">
        <f>_xlfn.XLOOKUP(CustomerCombinedCleaned[[#This Row],[ID]], Table4[ID], Table4[Sweets], "Not Found", 0)</f>
        <v>209</v>
      </c>
      <c r="P1026" s="16">
        <f>_xlfn.XLOOKUP(CustomerCombinedCleaned[[#This Row],[ID]], Table4[ID], Table4[Premium], "Not Found", 0)</f>
        <v>363</v>
      </c>
      <c r="Q1026" s="16">
        <f>_xlfn.XLOOKUP(CustomerCombinedCleaned[[#This Row],[ID]], Table4[ID], Table4[Regular], "Not Found", 0)</f>
        <v>1580</v>
      </c>
      <c r="R1026" s="16">
        <f>_xlfn.XLOOKUP(CustomerCombinedCleaned[[#This Row],[ID]], Table4[ID], Table4[Deals], "Not Found", 0)</f>
        <v>2</v>
      </c>
      <c r="S1026" s="16">
        <f>_xlfn.XLOOKUP(CustomerCombinedCleaned[[#This Row],[ID]], Table4[ID], Table4[Website], "Not Found", 0)</f>
        <v>7</v>
      </c>
      <c r="T1026" s="16">
        <f>_xlfn.XLOOKUP(CustomerCombinedCleaned[[#This Row],[ID]], Table4[ID], Table4[Catalog], "Not Found", 0)</f>
        <v>2</v>
      </c>
      <c r="U1026" s="16">
        <f>_xlfn.XLOOKUP(CustomerCombinedCleaned[[#This Row],[ID]], Table4[ID], Table4[Store], "Not Found", 0)</f>
        <v>10</v>
      </c>
      <c r="V1026" s="16">
        <f>_xlfn.XLOOKUP(CustomerCombinedCleaned[[#This Row],[ID]], Table4[ID], Table4[Visits], "Not Found", 0)</f>
        <v>6</v>
      </c>
      <c r="W1026" s="16">
        <f>_xlfn.XLOOKUP(CustomerCombinedCleaned[[#This Row],[ID]], Table2[ID],Table2[Complaint], "Not Found", 0 )</f>
        <v>0</v>
      </c>
      <c r="X1026" s="16">
        <f>_xlfn.XLOOKUP(CustomerCombinedCleaned[[#This Row],[ID]], Table2[ID],Table2[Pilot], "Not Found", 0 )</f>
        <v>0</v>
      </c>
      <c r="Y1026" s="16">
        <f>_xlfn.XLOOKUP(CustomerCombinedCleaned[[#This Row],[ID]], Table2[ID],Table2[MC1], "Not Found", 0 )</f>
        <v>0</v>
      </c>
      <c r="Z1026" s="16">
        <f>_xlfn.XLOOKUP(CustomerCombinedCleaned[[#This Row],[ID]], Table2[ID],Table2[MC2], "Not Found", 0 )</f>
        <v>0</v>
      </c>
      <c r="AA1026" s="16">
        <f>_xlfn.XLOOKUP(CustomerCombinedCleaned[[#This Row],[ID]], Table2[ID],Table2[MC3], "Not Found", 0 )</f>
        <v>0</v>
      </c>
      <c r="AB1026" s="16">
        <f>_xlfn.XLOOKUP(CustomerCombinedCleaned[[#This Row],[ID]], Table2[ID],Table2[MC4], "Not Found", 0 )</f>
        <v>0</v>
      </c>
      <c r="AC1026" s="16">
        <f>_xlfn.XLOOKUP(CustomerCombinedCleaned[[#This Row],[ID]], Table2[ID],Table2[MC5], "Not Found", 0 )</f>
        <v>0</v>
      </c>
    </row>
    <row r="1027" spans="1:29" x14ac:dyDescent="0.3">
      <c r="A1027" s="18">
        <v>1403</v>
      </c>
      <c r="B1027" s="16">
        <v>149505</v>
      </c>
      <c r="C1027" s="16">
        <v>1</v>
      </c>
      <c r="D1027" s="16">
        <v>1</v>
      </c>
      <c r="E1027" s="16">
        <v>49</v>
      </c>
      <c r="F1027" s="17" t="s">
        <v>6</v>
      </c>
      <c r="G1027" s="17" t="s">
        <v>12</v>
      </c>
      <c r="H1027" s="3" t="s">
        <v>751</v>
      </c>
      <c r="I1027" s="5" t="s">
        <v>434</v>
      </c>
      <c r="J1027" s="16">
        <f>_xlfn.XLOOKUP(CustomerCombinedCleaned[[#This Row],[ID]], Table4[ID], Table4[Recency], "Not Found", 0)</f>
        <v>4</v>
      </c>
      <c r="K1027" s="16">
        <f>_xlfn.XLOOKUP(CustomerCombinedCleaned[[#This Row],[ID]], Table4[ID], Table4[Teas], "Not Found", 0)</f>
        <v>1824</v>
      </c>
      <c r="L1027" s="16">
        <f>_xlfn.XLOOKUP(CustomerCombinedCleaned[[#This Row],[ID]], Table4[ID], Table4[Fruits], "Not Found", 0)</f>
        <v>0</v>
      </c>
      <c r="M1027" s="16">
        <f>_xlfn.XLOOKUP(CustomerCombinedCleaned[[#This Row],[ID]], Table4[ID], Table4[Meats], "Not Found", 0)</f>
        <v>302</v>
      </c>
      <c r="N1027" s="16">
        <f>_xlfn.XLOOKUP(CustomerCombinedCleaned[[#This Row],[ID]], Table4[ID], Table4[Seafood], "Not Found", 0)</f>
        <v>57</v>
      </c>
      <c r="O1027" s="16">
        <f>_xlfn.XLOOKUP(CustomerCombinedCleaned[[#This Row],[ID]], Table4[ID], Table4[Sweets], "Not Found", 0)</f>
        <v>0</v>
      </c>
      <c r="P1027" s="16">
        <f>_xlfn.XLOOKUP(CustomerCombinedCleaned[[#This Row],[ID]], Table4[ID], Table4[Premium], "Not Found", 0)</f>
        <v>85</v>
      </c>
      <c r="Q1027" s="16">
        <f>_xlfn.XLOOKUP(CustomerCombinedCleaned[[#This Row],[ID]], Table4[ID], Table4[Regular], "Not Found", 0)</f>
        <v>2099</v>
      </c>
      <c r="R1027" s="16">
        <f>_xlfn.XLOOKUP(CustomerCombinedCleaned[[#This Row],[ID]], Table4[ID], Table4[Deals], "Not Found", 0)</f>
        <v>9</v>
      </c>
      <c r="S1027" s="16">
        <f>_xlfn.XLOOKUP(CustomerCombinedCleaned[[#This Row],[ID]], Table4[ID], Table4[Website], "Not Found", 0)</f>
        <v>10</v>
      </c>
      <c r="T1027" s="16">
        <f>_xlfn.XLOOKUP(CustomerCombinedCleaned[[#This Row],[ID]], Table4[ID], Table4[Catalog], "Not Found", 0)</f>
        <v>2</v>
      </c>
      <c r="U1027" s="16">
        <f>_xlfn.XLOOKUP(CustomerCombinedCleaned[[#This Row],[ID]], Table4[ID], Table4[Store], "Not Found", 0)</f>
        <v>8</v>
      </c>
      <c r="V1027" s="16">
        <f>_xlfn.XLOOKUP(CustomerCombinedCleaned[[#This Row],[ID]], Table4[ID], Table4[Visits], "Not Found", 0)</f>
        <v>8</v>
      </c>
      <c r="W1027" s="16">
        <f>_xlfn.XLOOKUP(CustomerCombinedCleaned[[#This Row],[ID]], Table2[ID],Table2[Complaint], "Not Found", 0 )</f>
        <v>0</v>
      </c>
      <c r="X1027" s="16">
        <f>_xlfn.XLOOKUP(CustomerCombinedCleaned[[#This Row],[ID]], Table2[ID],Table2[Pilot], "Not Found", 0 )</f>
        <v>0</v>
      </c>
      <c r="Y1027" s="16">
        <f>_xlfn.XLOOKUP(CustomerCombinedCleaned[[#This Row],[ID]], Table2[ID],Table2[MC1], "Not Found", 0 )</f>
        <v>0</v>
      </c>
      <c r="Z1027" s="16">
        <f>_xlfn.XLOOKUP(CustomerCombinedCleaned[[#This Row],[ID]], Table2[ID],Table2[MC2], "Not Found", 0 )</f>
        <v>0</v>
      </c>
      <c r="AA1027" s="16">
        <f>_xlfn.XLOOKUP(CustomerCombinedCleaned[[#This Row],[ID]], Table2[ID],Table2[MC3], "Not Found", 0 )</f>
        <v>0</v>
      </c>
      <c r="AB1027" s="16">
        <f>_xlfn.XLOOKUP(CustomerCombinedCleaned[[#This Row],[ID]], Table2[ID],Table2[MC4], "Not Found", 0 )</f>
        <v>0</v>
      </c>
      <c r="AC1027" s="16">
        <f>_xlfn.XLOOKUP(CustomerCombinedCleaned[[#This Row],[ID]], Table2[ID],Table2[MC5], "Not Found", 0 )</f>
        <v>0</v>
      </c>
    </row>
    <row r="1028" spans="1:29" x14ac:dyDescent="0.3">
      <c r="A1028" s="18">
        <v>1453</v>
      </c>
      <c r="B1028" s="16">
        <v>149269</v>
      </c>
      <c r="C1028" s="16">
        <v>1</v>
      </c>
      <c r="D1028" s="16">
        <v>0</v>
      </c>
      <c r="E1028" s="16">
        <v>49</v>
      </c>
      <c r="F1028" s="17" t="s">
        <v>8</v>
      </c>
      <c r="G1028" s="17" t="s">
        <v>13</v>
      </c>
      <c r="H1028" s="3" t="s">
        <v>413</v>
      </c>
      <c r="I1028" s="5" t="s">
        <v>437</v>
      </c>
      <c r="J1028" s="16">
        <f>_xlfn.XLOOKUP(CustomerCombinedCleaned[[#This Row],[ID]], Table4[ID], Table4[Recency], "Not Found", 0)</f>
        <v>92</v>
      </c>
      <c r="K1028" s="16">
        <f>_xlfn.XLOOKUP(CustomerCombinedCleaned[[#This Row],[ID]], Table4[ID], Table4[Teas], "Not Found", 0)</f>
        <v>1936</v>
      </c>
      <c r="L1028" s="16">
        <f>_xlfn.XLOOKUP(CustomerCombinedCleaned[[#This Row],[ID]], Table4[ID], Table4[Fruits], "Not Found", 0)</f>
        <v>24</v>
      </c>
      <c r="M1028" s="16">
        <f>_xlfn.XLOOKUP(CustomerCombinedCleaned[[#This Row],[ID]], Table4[ID], Table4[Meats], "Not Found", 0)</f>
        <v>503</v>
      </c>
      <c r="N1028" s="16">
        <f>_xlfn.XLOOKUP(CustomerCombinedCleaned[[#This Row],[ID]], Table4[ID], Table4[Seafood], "Not Found", 0)</f>
        <v>33</v>
      </c>
      <c r="O1028" s="16">
        <f>_xlfn.XLOOKUP(CustomerCombinedCleaned[[#This Row],[ID]], Table4[ID], Table4[Sweets], "Not Found", 0)</f>
        <v>24</v>
      </c>
      <c r="P1028" s="16">
        <f>_xlfn.XLOOKUP(CustomerCombinedCleaned[[#This Row],[ID]], Table4[ID], Table4[Premium], "Not Found", 0)</f>
        <v>176</v>
      </c>
      <c r="Q1028" s="16">
        <f>_xlfn.XLOOKUP(CustomerCombinedCleaned[[#This Row],[ID]], Table4[ID], Table4[Regular], "Not Found", 0)</f>
        <v>2345</v>
      </c>
      <c r="R1028" s="16">
        <f>_xlfn.XLOOKUP(CustomerCombinedCleaned[[#This Row],[ID]], Table4[ID], Table4[Deals], "Not Found", 0)</f>
        <v>3</v>
      </c>
      <c r="S1028" s="16">
        <f>_xlfn.XLOOKUP(CustomerCombinedCleaned[[#This Row],[ID]], Table4[ID], Table4[Website], "Not Found", 0)</f>
        <v>7</v>
      </c>
      <c r="T1028" s="16">
        <f>_xlfn.XLOOKUP(CustomerCombinedCleaned[[#This Row],[ID]], Table4[ID], Table4[Catalog], "Not Found", 0)</f>
        <v>3</v>
      </c>
      <c r="U1028" s="16">
        <f>_xlfn.XLOOKUP(CustomerCombinedCleaned[[#This Row],[ID]], Table4[ID], Table4[Store], "Not Found", 0)</f>
        <v>12</v>
      </c>
      <c r="V1028" s="16">
        <f>_xlfn.XLOOKUP(CustomerCombinedCleaned[[#This Row],[ID]], Table4[ID], Table4[Visits], "Not Found", 0)</f>
        <v>7</v>
      </c>
      <c r="W1028" s="16">
        <f>_xlfn.XLOOKUP(CustomerCombinedCleaned[[#This Row],[ID]], Table2[ID],Table2[Complaint], "Not Found", 0 )</f>
        <v>0</v>
      </c>
      <c r="X1028" s="16">
        <f>_xlfn.XLOOKUP(CustomerCombinedCleaned[[#This Row],[ID]], Table2[ID],Table2[Pilot], "Not Found", 0 )</f>
        <v>0</v>
      </c>
      <c r="Y1028" s="16">
        <f>_xlfn.XLOOKUP(CustomerCombinedCleaned[[#This Row],[ID]], Table2[ID],Table2[MC1], "Not Found", 0 )</f>
        <v>0</v>
      </c>
      <c r="Z1028" s="16">
        <f>_xlfn.XLOOKUP(CustomerCombinedCleaned[[#This Row],[ID]], Table2[ID],Table2[MC2], "Not Found", 0 )</f>
        <v>0</v>
      </c>
      <c r="AA1028" s="16">
        <f>_xlfn.XLOOKUP(CustomerCombinedCleaned[[#This Row],[ID]], Table2[ID],Table2[MC3], "Not Found", 0 )</f>
        <v>0</v>
      </c>
      <c r="AB1028" s="16">
        <f>_xlfn.XLOOKUP(CustomerCombinedCleaned[[#This Row],[ID]], Table2[ID],Table2[MC4], "Not Found", 0 )</f>
        <v>0</v>
      </c>
      <c r="AC1028" s="16">
        <f>_xlfn.XLOOKUP(CustomerCombinedCleaned[[#This Row],[ID]], Table2[ID],Table2[MC5], "Not Found", 0 )</f>
        <v>0</v>
      </c>
    </row>
    <row r="1029" spans="1:29" x14ac:dyDescent="0.3">
      <c r="A1029" s="18">
        <v>2262</v>
      </c>
      <c r="B1029" s="16">
        <v>149118</v>
      </c>
      <c r="C1029" s="16">
        <v>0</v>
      </c>
      <c r="D1029" s="16">
        <v>0</v>
      </c>
      <c r="E1029" s="16">
        <v>49</v>
      </c>
      <c r="F1029" s="17" t="s">
        <v>5</v>
      </c>
      <c r="G1029" s="17" t="s">
        <v>11</v>
      </c>
      <c r="H1029" s="3" t="s">
        <v>410</v>
      </c>
      <c r="I1029" s="5" t="s">
        <v>436</v>
      </c>
      <c r="J1029" s="16">
        <f>_xlfn.XLOOKUP(CustomerCombinedCleaned[[#This Row],[ID]], Table4[ID], Table4[Recency], "Not Found", 0)</f>
        <v>90</v>
      </c>
      <c r="K1029" s="16">
        <f>_xlfn.XLOOKUP(CustomerCombinedCleaned[[#This Row],[ID]], Table4[ID], Table4[Teas], "Not Found", 0)</f>
        <v>1882</v>
      </c>
      <c r="L1029" s="16">
        <f>_xlfn.XLOOKUP(CustomerCombinedCleaned[[#This Row],[ID]], Table4[ID], Table4[Fruits], "Not Found", 0)</f>
        <v>164</v>
      </c>
      <c r="M1029" s="16">
        <f>_xlfn.XLOOKUP(CustomerCombinedCleaned[[#This Row],[ID]], Table4[ID], Table4[Meats], "Not Found", 0)</f>
        <v>726</v>
      </c>
      <c r="N1029" s="16">
        <f>_xlfn.XLOOKUP(CustomerCombinedCleaned[[#This Row],[ID]], Table4[ID], Table4[Seafood], "Not Found", 0)</f>
        <v>301</v>
      </c>
      <c r="O1029" s="16">
        <f>_xlfn.XLOOKUP(CustomerCombinedCleaned[[#This Row],[ID]], Table4[ID], Table4[Sweets], "Not Found", 0)</f>
        <v>298</v>
      </c>
      <c r="P1029" s="16">
        <f>_xlfn.XLOOKUP(CustomerCombinedCleaned[[#This Row],[ID]], Table4[ID], Table4[Premium], "Not Found", 0)</f>
        <v>361</v>
      </c>
      <c r="Q1029" s="16">
        <f>_xlfn.XLOOKUP(CustomerCombinedCleaned[[#This Row],[ID]], Table4[ID], Table4[Regular], "Not Found", 0)</f>
        <v>3009</v>
      </c>
      <c r="R1029" s="16">
        <f>_xlfn.XLOOKUP(CustomerCombinedCleaned[[#This Row],[ID]], Table4[ID], Table4[Deals], "Not Found", 0)</f>
        <v>2</v>
      </c>
      <c r="S1029" s="16">
        <f>_xlfn.XLOOKUP(CustomerCombinedCleaned[[#This Row],[ID]], Table4[ID], Table4[Website], "Not Found", 0)</f>
        <v>9</v>
      </c>
      <c r="T1029" s="16">
        <f>_xlfn.XLOOKUP(CustomerCombinedCleaned[[#This Row],[ID]], Table4[ID], Table4[Catalog], "Not Found", 0)</f>
        <v>7</v>
      </c>
      <c r="U1029" s="16">
        <f>_xlfn.XLOOKUP(CustomerCombinedCleaned[[#This Row],[ID]], Table4[ID], Table4[Store], "Not Found", 0)</f>
        <v>10</v>
      </c>
      <c r="V1029" s="16">
        <f>_xlfn.XLOOKUP(CustomerCombinedCleaned[[#This Row],[ID]], Table4[ID], Table4[Visits], "Not Found", 0)</f>
        <v>7</v>
      </c>
      <c r="W1029" s="16">
        <f>_xlfn.XLOOKUP(CustomerCombinedCleaned[[#This Row],[ID]], Table2[ID],Table2[Complaint], "Not Found", 0 )</f>
        <v>0</v>
      </c>
      <c r="X1029" s="16">
        <f>_xlfn.XLOOKUP(CustomerCombinedCleaned[[#This Row],[ID]], Table2[ID],Table2[Pilot], "Not Found", 0 )</f>
        <v>1</v>
      </c>
      <c r="Y1029" s="16">
        <f>_xlfn.XLOOKUP(CustomerCombinedCleaned[[#This Row],[ID]], Table2[ID],Table2[MC1], "Not Found", 0 )</f>
        <v>0</v>
      </c>
      <c r="Z1029" s="16">
        <f>_xlfn.XLOOKUP(CustomerCombinedCleaned[[#This Row],[ID]], Table2[ID],Table2[MC2], "Not Found", 0 )</f>
        <v>1</v>
      </c>
      <c r="AA1029" s="16">
        <f>_xlfn.XLOOKUP(CustomerCombinedCleaned[[#This Row],[ID]], Table2[ID],Table2[MC3], "Not Found", 0 )</f>
        <v>0</v>
      </c>
      <c r="AB1029" s="16">
        <f>_xlfn.XLOOKUP(CustomerCombinedCleaned[[#This Row],[ID]], Table2[ID],Table2[MC4], "Not Found", 0 )</f>
        <v>1</v>
      </c>
      <c r="AC1029" s="16">
        <f>_xlfn.XLOOKUP(CustomerCombinedCleaned[[#This Row],[ID]], Table2[ID],Table2[MC5], "Not Found", 0 )</f>
        <v>0</v>
      </c>
    </row>
    <row r="1030" spans="1:29" x14ac:dyDescent="0.3">
      <c r="A1030" s="18">
        <v>2602</v>
      </c>
      <c r="B1030" s="16">
        <v>147111</v>
      </c>
      <c r="C1030" s="16">
        <v>0</v>
      </c>
      <c r="D1030" s="16">
        <v>1</v>
      </c>
      <c r="E1030" s="16">
        <v>49</v>
      </c>
      <c r="F1030" s="17" t="s">
        <v>9</v>
      </c>
      <c r="G1030" s="17" t="s">
        <v>13</v>
      </c>
      <c r="H1030" s="3" t="s">
        <v>401</v>
      </c>
      <c r="I1030" s="5" t="s">
        <v>439</v>
      </c>
      <c r="J1030" s="16">
        <f>_xlfn.XLOOKUP(CustomerCombinedCleaned[[#This Row],[ID]], Table4[ID], Table4[Recency], "Not Found", 0)</f>
        <v>35</v>
      </c>
      <c r="K1030" s="16">
        <f>_xlfn.XLOOKUP(CustomerCombinedCleaned[[#This Row],[ID]], Table4[ID], Table4[Teas], "Not Found", 0)</f>
        <v>1858</v>
      </c>
      <c r="L1030" s="16">
        <f>_xlfn.XLOOKUP(CustomerCombinedCleaned[[#This Row],[ID]], Table4[ID], Table4[Fruits], "Not Found", 0)</f>
        <v>222</v>
      </c>
      <c r="M1030" s="16">
        <f>_xlfn.XLOOKUP(CustomerCombinedCleaned[[#This Row],[ID]], Table4[ID], Table4[Meats], "Not Found", 0)</f>
        <v>478</v>
      </c>
      <c r="N1030" s="16">
        <f>_xlfn.XLOOKUP(CustomerCombinedCleaned[[#This Row],[ID]], Table4[ID], Table4[Seafood], "Not Found", 0)</f>
        <v>375</v>
      </c>
      <c r="O1030" s="16">
        <f>_xlfn.XLOOKUP(CustomerCombinedCleaned[[#This Row],[ID]], Table4[ID], Table4[Sweets], "Not Found", 0)</f>
        <v>350</v>
      </c>
      <c r="P1030" s="16">
        <f>_xlfn.XLOOKUP(CustomerCombinedCleaned[[#This Row],[ID]], Table4[ID], Table4[Premium], "Not Found", 0)</f>
        <v>128</v>
      </c>
      <c r="Q1030" s="16">
        <f>_xlfn.XLOOKUP(CustomerCombinedCleaned[[#This Row],[ID]], Table4[ID], Table4[Regular], "Not Found", 0)</f>
        <v>3154</v>
      </c>
      <c r="R1030" s="16">
        <f>_xlfn.XLOOKUP(CustomerCombinedCleaned[[#This Row],[ID]], Table4[ID], Table4[Deals], "Not Found", 0)</f>
        <v>6</v>
      </c>
      <c r="S1030" s="16">
        <f>_xlfn.XLOOKUP(CustomerCombinedCleaned[[#This Row],[ID]], Table4[ID], Table4[Website], "Not Found", 0)</f>
        <v>3</v>
      </c>
      <c r="T1030" s="16">
        <f>_xlfn.XLOOKUP(CustomerCombinedCleaned[[#This Row],[ID]], Table4[ID], Table4[Catalog], "Not Found", 0)</f>
        <v>2</v>
      </c>
      <c r="U1030" s="16">
        <f>_xlfn.XLOOKUP(CustomerCombinedCleaned[[#This Row],[ID]], Table4[ID], Table4[Store], "Not Found", 0)</f>
        <v>10</v>
      </c>
      <c r="V1030" s="16">
        <f>_xlfn.XLOOKUP(CustomerCombinedCleaned[[#This Row],[ID]], Table4[ID], Table4[Visits], "Not Found", 0)</f>
        <v>9</v>
      </c>
      <c r="W1030" s="16">
        <f>_xlfn.XLOOKUP(CustomerCombinedCleaned[[#This Row],[ID]], Table2[ID],Table2[Complaint], "Not Found", 0 )</f>
        <v>0</v>
      </c>
      <c r="X1030" s="16">
        <f>_xlfn.XLOOKUP(CustomerCombinedCleaned[[#This Row],[ID]], Table2[ID],Table2[Pilot], "Not Found", 0 )</f>
        <v>0</v>
      </c>
      <c r="Y1030" s="16">
        <f>_xlfn.XLOOKUP(CustomerCombinedCleaned[[#This Row],[ID]], Table2[ID],Table2[MC1], "Not Found", 0 )</f>
        <v>0</v>
      </c>
      <c r="Z1030" s="16">
        <f>_xlfn.XLOOKUP(CustomerCombinedCleaned[[#This Row],[ID]], Table2[ID],Table2[MC2], "Not Found", 0 )</f>
        <v>0</v>
      </c>
      <c r="AA1030" s="16">
        <f>_xlfn.XLOOKUP(CustomerCombinedCleaned[[#This Row],[ID]], Table2[ID],Table2[MC3], "Not Found", 0 )</f>
        <v>0</v>
      </c>
      <c r="AB1030" s="16">
        <f>_xlfn.XLOOKUP(CustomerCombinedCleaned[[#This Row],[ID]], Table2[ID],Table2[MC4], "Not Found", 0 )</f>
        <v>0</v>
      </c>
      <c r="AC1030" s="16">
        <f>_xlfn.XLOOKUP(CustomerCombinedCleaned[[#This Row],[ID]], Table2[ID],Table2[MC5], "Not Found", 0 )</f>
        <v>0</v>
      </c>
    </row>
    <row r="1031" spans="1:29" x14ac:dyDescent="0.3">
      <c r="A1031" s="18">
        <v>1628</v>
      </c>
      <c r="B1031" s="16">
        <v>146463</v>
      </c>
      <c r="C1031" s="16">
        <v>1</v>
      </c>
      <c r="D1031" s="16">
        <v>1</v>
      </c>
      <c r="E1031" s="16">
        <v>49</v>
      </c>
      <c r="F1031" s="17" t="s">
        <v>6</v>
      </c>
      <c r="G1031" s="17" t="s">
        <v>13</v>
      </c>
      <c r="H1031" s="3" t="s">
        <v>199</v>
      </c>
      <c r="I1031" s="5" t="s">
        <v>438</v>
      </c>
      <c r="J1031" s="16">
        <f>_xlfn.XLOOKUP(CustomerCombinedCleaned[[#This Row],[ID]], Table4[ID], Table4[Recency], "Not Found", 0)</f>
        <v>56</v>
      </c>
      <c r="K1031" s="16">
        <f>_xlfn.XLOOKUP(CustomerCombinedCleaned[[#This Row],[ID]], Table4[ID], Table4[Teas], "Not Found", 0)</f>
        <v>514</v>
      </c>
      <c r="L1031" s="16">
        <f>_xlfn.XLOOKUP(CustomerCombinedCleaned[[#This Row],[ID]], Table4[ID], Table4[Fruits], "Not Found", 0)</f>
        <v>6</v>
      </c>
      <c r="M1031" s="16">
        <f>_xlfn.XLOOKUP(CustomerCombinedCleaned[[#This Row],[ID]], Table4[ID], Table4[Meats], "Not Found", 0)</f>
        <v>126</v>
      </c>
      <c r="N1031" s="16">
        <f>_xlfn.XLOOKUP(CustomerCombinedCleaned[[#This Row],[ID]], Table4[ID], Table4[Seafood], "Not Found", 0)</f>
        <v>25</v>
      </c>
      <c r="O1031" s="16">
        <f>_xlfn.XLOOKUP(CustomerCombinedCleaned[[#This Row],[ID]], Table4[ID], Table4[Sweets], "Not Found", 0)</f>
        <v>35</v>
      </c>
      <c r="P1031" s="16">
        <f>_xlfn.XLOOKUP(CustomerCombinedCleaned[[#This Row],[ID]], Table4[ID], Table4[Premium], "Not Found", 0)</f>
        <v>35</v>
      </c>
      <c r="Q1031" s="16">
        <f>_xlfn.XLOOKUP(CustomerCombinedCleaned[[#This Row],[ID]], Table4[ID], Table4[Regular], "Not Found", 0)</f>
        <v>671</v>
      </c>
      <c r="R1031" s="16">
        <f>_xlfn.XLOOKUP(CustomerCombinedCleaned[[#This Row],[ID]], Table4[ID], Table4[Deals], "Not Found", 0)</f>
        <v>7</v>
      </c>
      <c r="S1031" s="16">
        <f>_xlfn.XLOOKUP(CustomerCombinedCleaned[[#This Row],[ID]], Table4[ID], Table4[Website], "Not Found", 0)</f>
        <v>3</v>
      </c>
      <c r="T1031" s="16">
        <f>_xlfn.XLOOKUP(CustomerCombinedCleaned[[#This Row],[ID]], Table4[ID], Table4[Catalog], "Not Found", 0)</f>
        <v>1</v>
      </c>
      <c r="U1031" s="16">
        <f>_xlfn.XLOOKUP(CustomerCombinedCleaned[[#This Row],[ID]], Table4[ID], Table4[Store], "Not Found", 0)</f>
        <v>6</v>
      </c>
      <c r="V1031" s="16">
        <f>_xlfn.XLOOKUP(CustomerCombinedCleaned[[#This Row],[ID]], Table4[ID], Table4[Visits], "Not Found", 0)</f>
        <v>6</v>
      </c>
      <c r="W1031" s="16">
        <f>_xlfn.XLOOKUP(CustomerCombinedCleaned[[#This Row],[ID]], Table2[ID],Table2[Complaint], "Not Found", 0 )</f>
        <v>0</v>
      </c>
      <c r="X1031" s="16">
        <f>_xlfn.XLOOKUP(CustomerCombinedCleaned[[#This Row],[ID]], Table2[ID],Table2[Pilot], "Not Found", 0 )</f>
        <v>0</v>
      </c>
      <c r="Y1031" s="16">
        <f>_xlfn.XLOOKUP(CustomerCombinedCleaned[[#This Row],[ID]], Table2[ID],Table2[MC1], "Not Found", 0 )</f>
        <v>0</v>
      </c>
      <c r="Z1031" s="16">
        <f>_xlfn.XLOOKUP(CustomerCombinedCleaned[[#This Row],[ID]], Table2[ID],Table2[MC2], "Not Found", 0 )</f>
        <v>0</v>
      </c>
      <c r="AA1031" s="16">
        <f>_xlfn.XLOOKUP(CustomerCombinedCleaned[[#This Row],[ID]], Table2[ID],Table2[MC3], "Not Found", 0 )</f>
        <v>0</v>
      </c>
      <c r="AB1031" s="16">
        <f>_xlfn.XLOOKUP(CustomerCombinedCleaned[[#This Row],[ID]], Table2[ID],Table2[MC4], "Not Found", 0 )</f>
        <v>0</v>
      </c>
      <c r="AC1031" s="16">
        <f>_xlfn.XLOOKUP(CustomerCombinedCleaned[[#This Row],[ID]], Table2[ID],Table2[MC5], "Not Found", 0 )</f>
        <v>0</v>
      </c>
    </row>
    <row r="1032" spans="1:29" x14ac:dyDescent="0.3">
      <c r="A1032" s="18">
        <v>1888</v>
      </c>
      <c r="B1032" s="16">
        <v>145684</v>
      </c>
      <c r="C1032" s="16">
        <v>1</v>
      </c>
      <c r="D1032" s="16">
        <v>0</v>
      </c>
      <c r="E1032" s="16">
        <v>49</v>
      </c>
      <c r="F1032" s="17" t="s">
        <v>9</v>
      </c>
      <c r="G1032" s="17" t="s">
        <v>11</v>
      </c>
      <c r="H1032" s="3" t="s">
        <v>585</v>
      </c>
      <c r="I1032" s="5" t="s">
        <v>439</v>
      </c>
      <c r="J1032" s="16">
        <f>_xlfn.XLOOKUP(CustomerCombinedCleaned[[#This Row],[ID]], Table4[ID], Table4[Recency], "Not Found", 0)</f>
        <v>37</v>
      </c>
      <c r="K1032" s="16">
        <f>_xlfn.XLOOKUP(CustomerCombinedCleaned[[#This Row],[ID]], Table4[ID], Table4[Teas], "Not Found", 0)</f>
        <v>16</v>
      </c>
      <c r="L1032" s="16">
        <f>_xlfn.XLOOKUP(CustomerCombinedCleaned[[#This Row],[ID]], Table4[ID], Table4[Fruits], "Not Found", 0)</f>
        <v>3</v>
      </c>
      <c r="M1032" s="16">
        <f>_xlfn.XLOOKUP(CustomerCombinedCleaned[[#This Row],[ID]], Table4[ID], Table4[Meats], "Not Found", 0)</f>
        <v>16</v>
      </c>
      <c r="N1032" s="16">
        <f>_xlfn.XLOOKUP(CustomerCombinedCleaned[[#This Row],[ID]], Table4[ID], Table4[Seafood], "Not Found", 0)</f>
        <v>32</v>
      </c>
      <c r="O1032" s="16">
        <f>_xlfn.XLOOKUP(CustomerCombinedCleaned[[#This Row],[ID]], Table4[ID], Table4[Sweets], "Not Found", 0)</f>
        <v>0</v>
      </c>
      <c r="P1032" s="16">
        <f>_xlfn.XLOOKUP(CustomerCombinedCleaned[[#This Row],[ID]], Table4[ID], Table4[Premium], "Not Found", 0)</f>
        <v>22</v>
      </c>
      <c r="Q1032" s="16">
        <f>_xlfn.XLOOKUP(CustomerCombinedCleaned[[#This Row],[ID]], Table4[ID], Table4[Regular], "Not Found", 0)</f>
        <v>45</v>
      </c>
      <c r="R1032" s="16">
        <f>_xlfn.XLOOKUP(CustomerCombinedCleaned[[#This Row],[ID]], Table4[ID], Table4[Deals], "Not Found", 0)</f>
        <v>1</v>
      </c>
      <c r="S1032" s="16">
        <f>_xlfn.XLOOKUP(CustomerCombinedCleaned[[#This Row],[ID]], Table4[ID], Table4[Website], "Not Found", 0)</f>
        <v>1</v>
      </c>
      <c r="T1032" s="16">
        <f>_xlfn.XLOOKUP(CustomerCombinedCleaned[[#This Row],[ID]], Table4[ID], Table4[Catalog], "Not Found", 0)</f>
        <v>0</v>
      </c>
      <c r="U1032" s="16">
        <f>_xlfn.XLOOKUP(CustomerCombinedCleaned[[#This Row],[ID]], Table4[ID], Table4[Store], "Not Found", 0)</f>
        <v>2</v>
      </c>
      <c r="V1032" s="16">
        <f>_xlfn.XLOOKUP(CustomerCombinedCleaned[[#This Row],[ID]], Table4[ID], Table4[Visits], "Not Found", 0)</f>
        <v>7</v>
      </c>
      <c r="W1032" s="16">
        <f>_xlfn.XLOOKUP(CustomerCombinedCleaned[[#This Row],[ID]], Table2[ID],Table2[Complaint], "Not Found", 0 )</f>
        <v>0</v>
      </c>
      <c r="X1032" s="16">
        <f>_xlfn.XLOOKUP(CustomerCombinedCleaned[[#This Row],[ID]], Table2[ID],Table2[Pilot], "Not Found", 0 )</f>
        <v>0</v>
      </c>
      <c r="Y1032" s="16">
        <f>_xlfn.XLOOKUP(CustomerCombinedCleaned[[#This Row],[ID]], Table2[ID],Table2[MC1], "Not Found", 0 )</f>
        <v>0</v>
      </c>
      <c r="Z1032" s="16">
        <f>_xlfn.XLOOKUP(CustomerCombinedCleaned[[#This Row],[ID]], Table2[ID],Table2[MC2], "Not Found", 0 )</f>
        <v>0</v>
      </c>
      <c r="AA1032" s="16">
        <f>_xlfn.XLOOKUP(CustomerCombinedCleaned[[#This Row],[ID]], Table2[ID],Table2[MC3], "Not Found", 0 )</f>
        <v>0</v>
      </c>
      <c r="AB1032" s="16">
        <f>_xlfn.XLOOKUP(CustomerCombinedCleaned[[#This Row],[ID]], Table2[ID],Table2[MC4], "Not Found", 0 )</f>
        <v>0</v>
      </c>
      <c r="AC1032" s="16">
        <f>_xlfn.XLOOKUP(CustomerCombinedCleaned[[#This Row],[ID]], Table2[ID],Table2[MC5], "Not Found", 0 )</f>
        <v>0</v>
      </c>
    </row>
    <row r="1033" spans="1:29" x14ac:dyDescent="0.3">
      <c r="A1033" s="18">
        <v>2796</v>
      </c>
      <c r="B1033" s="16">
        <v>144635</v>
      </c>
      <c r="C1033" s="16">
        <v>1</v>
      </c>
      <c r="D1033" s="16">
        <v>1</v>
      </c>
      <c r="E1033" s="16">
        <v>49</v>
      </c>
      <c r="F1033" s="17" t="s">
        <v>5</v>
      </c>
      <c r="G1033" s="17" t="s">
        <v>12</v>
      </c>
      <c r="H1033" s="3" t="s">
        <v>171</v>
      </c>
      <c r="I1033" s="5" t="s">
        <v>436</v>
      </c>
      <c r="J1033" s="16">
        <f>_xlfn.XLOOKUP(CustomerCombinedCleaned[[#This Row],[ID]], Table4[ID], Table4[Recency], "Not Found", 0)</f>
        <v>25</v>
      </c>
      <c r="K1033" s="16">
        <f>_xlfn.XLOOKUP(CustomerCombinedCleaned[[#This Row],[ID]], Table4[ID], Table4[Teas], "Not Found", 0)</f>
        <v>181</v>
      </c>
      <c r="L1033" s="16">
        <f>_xlfn.XLOOKUP(CustomerCombinedCleaned[[#This Row],[ID]], Table4[ID], Table4[Fruits], "Not Found", 0)</f>
        <v>0</v>
      </c>
      <c r="M1033" s="16">
        <f>_xlfn.XLOOKUP(CustomerCombinedCleaned[[#This Row],[ID]], Table4[ID], Table4[Meats], "Not Found", 0)</f>
        <v>29</v>
      </c>
      <c r="N1033" s="16">
        <f>_xlfn.XLOOKUP(CustomerCombinedCleaned[[#This Row],[ID]], Table4[ID], Table4[Seafood], "Not Found", 0)</f>
        <v>0</v>
      </c>
      <c r="O1033" s="16">
        <f>_xlfn.XLOOKUP(CustomerCombinedCleaned[[#This Row],[ID]], Table4[ID], Table4[Sweets], "Not Found", 0)</f>
        <v>0</v>
      </c>
      <c r="P1033" s="16">
        <f>_xlfn.XLOOKUP(CustomerCombinedCleaned[[#This Row],[ID]], Table4[ID], Table4[Premium], "Not Found", 0)</f>
        <v>10</v>
      </c>
      <c r="Q1033" s="16">
        <f>_xlfn.XLOOKUP(CustomerCombinedCleaned[[#This Row],[ID]], Table4[ID], Table4[Regular], "Not Found", 0)</f>
        <v>201</v>
      </c>
      <c r="R1033" s="16">
        <f>_xlfn.XLOOKUP(CustomerCombinedCleaned[[#This Row],[ID]], Table4[ID], Table4[Deals], "Not Found", 0)</f>
        <v>2</v>
      </c>
      <c r="S1033" s="16">
        <f>_xlfn.XLOOKUP(CustomerCombinedCleaned[[#This Row],[ID]], Table4[ID], Table4[Website], "Not Found", 0)</f>
        <v>2</v>
      </c>
      <c r="T1033" s="16">
        <f>_xlfn.XLOOKUP(CustomerCombinedCleaned[[#This Row],[ID]], Table4[ID], Table4[Catalog], "Not Found", 0)</f>
        <v>0</v>
      </c>
      <c r="U1033" s="16">
        <f>_xlfn.XLOOKUP(CustomerCombinedCleaned[[#This Row],[ID]], Table4[ID], Table4[Store], "Not Found", 0)</f>
        <v>3</v>
      </c>
      <c r="V1033" s="16">
        <f>_xlfn.XLOOKUP(CustomerCombinedCleaned[[#This Row],[ID]], Table4[ID], Table4[Visits], "Not Found", 0)</f>
        <v>7</v>
      </c>
      <c r="W1033" s="16">
        <f>_xlfn.XLOOKUP(CustomerCombinedCleaned[[#This Row],[ID]], Table2[ID],Table2[Complaint], "Not Found", 0 )</f>
        <v>0</v>
      </c>
      <c r="X1033" s="16">
        <f>_xlfn.XLOOKUP(CustomerCombinedCleaned[[#This Row],[ID]], Table2[ID],Table2[Pilot], "Not Found", 0 )</f>
        <v>0</v>
      </c>
      <c r="Y1033" s="16">
        <f>_xlfn.XLOOKUP(CustomerCombinedCleaned[[#This Row],[ID]], Table2[ID],Table2[MC1], "Not Found", 0 )</f>
        <v>0</v>
      </c>
      <c r="Z1033" s="16">
        <f>_xlfn.XLOOKUP(CustomerCombinedCleaned[[#This Row],[ID]], Table2[ID],Table2[MC2], "Not Found", 0 )</f>
        <v>0</v>
      </c>
      <c r="AA1033" s="16">
        <f>_xlfn.XLOOKUP(CustomerCombinedCleaned[[#This Row],[ID]], Table2[ID],Table2[MC3], "Not Found", 0 )</f>
        <v>0</v>
      </c>
      <c r="AB1033" s="16">
        <f>_xlfn.XLOOKUP(CustomerCombinedCleaned[[#This Row],[ID]], Table2[ID],Table2[MC4], "Not Found", 0 )</f>
        <v>0</v>
      </c>
      <c r="AC1033" s="16">
        <f>_xlfn.XLOOKUP(CustomerCombinedCleaned[[#This Row],[ID]], Table2[ID],Table2[MC5], "Not Found", 0 )</f>
        <v>0</v>
      </c>
    </row>
    <row r="1034" spans="1:29" x14ac:dyDescent="0.3">
      <c r="A1034" s="18">
        <v>2211</v>
      </c>
      <c r="B1034" s="16">
        <v>144421</v>
      </c>
      <c r="C1034" s="16">
        <v>1</v>
      </c>
      <c r="D1034" s="16">
        <v>1</v>
      </c>
      <c r="E1034" s="16">
        <v>49</v>
      </c>
      <c r="F1034" s="17" t="s">
        <v>5</v>
      </c>
      <c r="G1034" s="17" t="s">
        <v>11</v>
      </c>
      <c r="H1034" s="3" t="s">
        <v>308</v>
      </c>
      <c r="I1034" s="5" t="s">
        <v>435</v>
      </c>
      <c r="J1034" s="16">
        <f>_xlfn.XLOOKUP(CustomerCombinedCleaned[[#This Row],[ID]], Table4[ID], Table4[Recency], "Not Found", 0)</f>
        <v>53</v>
      </c>
      <c r="K1034" s="16">
        <f>_xlfn.XLOOKUP(CustomerCombinedCleaned[[#This Row],[ID]], Table4[ID], Table4[Teas], "Not Found", 0)</f>
        <v>358</v>
      </c>
      <c r="L1034" s="16">
        <f>_xlfn.XLOOKUP(CustomerCombinedCleaned[[#This Row],[ID]], Table4[ID], Table4[Fruits], "Not Found", 0)</f>
        <v>16</v>
      </c>
      <c r="M1034" s="16">
        <f>_xlfn.XLOOKUP(CustomerCombinedCleaned[[#This Row],[ID]], Table4[ID], Table4[Meats], "Not Found", 0)</f>
        <v>192</v>
      </c>
      <c r="N1034" s="16">
        <f>_xlfn.XLOOKUP(CustomerCombinedCleaned[[#This Row],[ID]], Table4[ID], Table4[Seafood], "Not Found", 0)</f>
        <v>23</v>
      </c>
      <c r="O1034" s="16">
        <f>_xlfn.XLOOKUP(CustomerCombinedCleaned[[#This Row],[ID]], Table4[ID], Table4[Sweets], "Not Found", 0)</f>
        <v>3</v>
      </c>
      <c r="P1034" s="16">
        <f>_xlfn.XLOOKUP(CustomerCombinedCleaned[[#This Row],[ID]], Table4[ID], Table4[Premium], "Not Found", 0)</f>
        <v>23</v>
      </c>
      <c r="Q1034" s="16">
        <f>_xlfn.XLOOKUP(CustomerCombinedCleaned[[#This Row],[ID]], Table4[ID], Table4[Regular], "Not Found", 0)</f>
        <v>569</v>
      </c>
      <c r="R1034" s="16">
        <f>_xlfn.XLOOKUP(CustomerCombinedCleaned[[#This Row],[ID]], Table4[ID], Table4[Deals], "Not Found", 0)</f>
        <v>5</v>
      </c>
      <c r="S1034" s="16">
        <f>_xlfn.XLOOKUP(CustomerCombinedCleaned[[#This Row],[ID]], Table4[ID], Table4[Website], "Not Found", 0)</f>
        <v>5</v>
      </c>
      <c r="T1034" s="16">
        <f>_xlfn.XLOOKUP(CustomerCombinedCleaned[[#This Row],[ID]], Table4[ID], Table4[Catalog], "Not Found", 0)</f>
        <v>0</v>
      </c>
      <c r="U1034" s="16">
        <f>_xlfn.XLOOKUP(CustomerCombinedCleaned[[#This Row],[ID]], Table4[ID], Table4[Store], "Not Found", 0)</f>
        <v>4</v>
      </c>
      <c r="V1034" s="16">
        <f>_xlfn.XLOOKUP(CustomerCombinedCleaned[[#This Row],[ID]], Table4[ID], Table4[Visits], "Not Found", 0)</f>
        <v>8</v>
      </c>
      <c r="W1034" s="16">
        <f>_xlfn.XLOOKUP(CustomerCombinedCleaned[[#This Row],[ID]], Table2[ID],Table2[Complaint], "Not Found", 0 )</f>
        <v>0</v>
      </c>
      <c r="X1034" s="16">
        <f>_xlfn.XLOOKUP(CustomerCombinedCleaned[[#This Row],[ID]], Table2[ID],Table2[Pilot], "Not Found", 0 )</f>
        <v>0</v>
      </c>
      <c r="Y1034" s="16">
        <f>_xlfn.XLOOKUP(CustomerCombinedCleaned[[#This Row],[ID]], Table2[ID],Table2[MC1], "Not Found", 0 )</f>
        <v>0</v>
      </c>
      <c r="Z1034" s="16">
        <f>_xlfn.XLOOKUP(CustomerCombinedCleaned[[#This Row],[ID]], Table2[ID],Table2[MC2], "Not Found", 0 )</f>
        <v>0</v>
      </c>
      <c r="AA1034" s="16">
        <f>_xlfn.XLOOKUP(CustomerCombinedCleaned[[#This Row],[ID]], Table2[ID],Table2[MC3], "Not Found", 0 )</f>
        <v>0</v>
      </c>
      <c r="AB1034" s="16">
        <f>_xlfn.XLOOKUP(CustomerCombinedCleaned[[#This Row],[ID]], Table2[ID],Table2[MC4], "Not Found", 0 )</f>
        <v>0</v>
      </c>
      <c r="AC1034" s="16">
        <f>_xlfn.XLOOKUP(CustomerCombinedCleaned[[#This Row],[ID]], Table2[ID],Table2[MC5], "Not Found", 0 )</f>
        <v>0</v>
      </c>
    </row>
    <row r="1035" spans="1:29" x14ac:dyDescent="0.3">
      <c r="A1035" s="18">
        <v>1380</v>
      </c>
      <c r="B1035" s="16">
        <v>143824</v>
      </c>
      <c r="C1035" s="16">
        <v>1</v>
      </c>
      <c r="D1035" s="16">
        <v>1</v>
      </c>
      <c r="E1035" s="16">
        <v>49</v>
      </c>
      <c r="F1035" s="17" t="s">
        <v>6</v>
      </c>
      <c r="G1035" s="17" t="s">
        <v>11</v>
      </c>
      <c r="H1035" s="3" t="s">
        <v>395</v>
      </c>
      <c r="I1035" s="5" t="s">
        <v>436</v>
      </c>
      <c r="J1035" s="16">
        <f>_xlfn.XLOOKUP(CustomerCombinedCleaned[[#This Row],[ID]], Table4[ID], Table4[Recency], "Not Found", 0)</f>
        <v>18</v>
      </c>
      <c r="K1035" s="16">
        <f>_xlfn.XLOOKUP(CustomerCombinedCleaned[[#This Row],[ID]], Table4[ID], Table4[Teas], "Not Found", 0)</f>
        <v>315</v>
      </c>
      <c r="L1035" s="16">
        <f>_xlfn.XLOOKUP(CustomerCombinedCleaned[[#This Row],[ID]], Table4[ID], Table4[Fruits], "Not Found", 0)</f>
        <v>3</v>
      </c>
      <c r="M1035" s="16">
        <f>_xlfn.XLOOKUP(CustomerCombinedCleaned[[#This Row],[ID]], Table4[ID], Table4[Meats], "Not Found", 0)</f>
        <v>138</v>
      </c>
      <c r="N1035" s="16">
        <f>_xlfn.XLOOKUP(CustomerCombinedCleaned[[#This Row],[ID]], Table4[ID], Table4[Seafood], "Not Found", 0)</f>
        <v>39</v>
      </c>
      <c r="O1035" s="16">
        <f>_xlfn.XLOOKUP(CustomerCombinedCleaned[[#This Row],[ID]], Table4[ID], Table4[Sweets], "Not Found", 0)</f>
        <v>10</v>
      </c>
      <c r="P1035" s="16">
        <f>_xlfn.XLOOKUP(CustomerCombinedCleaned[[#This Row],[ID]], Table4[ID], Table4[Premium], "Not Found", 0)</f>
        <v>105</v>
      </c>
      <c r="Q1035" s="16">
        <f>_xlfn.XLOOKUP(CustomerCombinedCleaned[[#This Row],[ID]], Table4[ID], Table4[Regular], "Not Found", 0)</f>
        <v>400</v>
      </c>
      <c r="R1035" s="16">
        <f>_xlfn.XLOOKUP(CustomerCombinedCleaned[[#This Row],[ID]], Table4[ID], Table4[Deals], "Not Found", 0)</f>
        <v>4</v>
      </c>
      <c r="S1035" s="16">
        <f>_xlfn.XLOOKUP(CustomerCombinedCleaned[[#This Row],[ID]], Table4[ID], Table4[Website], "Not Found", 0)</f>
        <v>3</v>
      </c>
      <c r="T1035" s="16">
        <f>_xlfn.XLOOKUP(CustomerCombinedCleaned[[#This Row],[ID]], Table4[ID], Table4[Catalog], "Not Found", 0)</f>
        <v>1</v>
      </c>
      <c r="U1035" s="16">
        <f>_xlfn.XLOOKUP(CustomerCombinedCleaned[[#This Row],[ID]], Table4[ID], Table4[Store], "Not Found", 0)</f>
        <v>4</v>
      </c>
      <c r="V1035" s="16">
        <f>_xlfn.XLOOKUP(CustomerCombinedCleaned[[#This Row],[ID]], Table4[ID], Table4[Visits], "Not Found", 0)</f>
        <v>8</v>
      </c>
      <c r="W1035" s="16">
        <f>_xlfn.XLOOKUP(CustomerCombinedCleaned[[#This Row],[ID]], Table2[ID],Table2[Complaint], "Not Found", 0 )</f>
        <v>0</v>
      </c>
      <c r="X1035" s="16">
        <f>_xlfn.XLOOKUP(CustomerCombinedCleaned[[#This Row],[ID]], Table2[ID],Table2[Pilot], "Not Found", 0 )</f>
        <v>0</v>
      </c>
      <c r="Y1035" s="16">
        <f>_xlfn.XLOOKUP(CustomerCombinedCleaned[[#This Row],[ID]], Table2[ID],Table2[MC1], "Not Found", 0 )</f>
        <v>0</v>
      </c>
      <c r="Z1035" s="16">
        <f>_xlfn.XLOOKUP(CustomerCombinedCleaned[[#This Row],[ID]], Table2[ID],Table2[MC2], "Not Found", 0 )</f>
        <v>0</v>
      </c>
      <c r="AA1035" s="16">
        <f>_xlfn.XLOOKUP(CustomerCombinedCleaned[[#This Row],[ID]], Table2[ID],Table2[MC3], "Not Found", 0 )</f>
        <v>0</v>
      </c>
      <c r="AB1035" s="16">
        <f>_xlfn.XLOOKUP(CustomerCombinedCleaned[[#This Row],[ID]], Table2[ID],Table2[MC4], "Not Found", 0 )</f>
        <v>0</v>
      </c>
      <c r="AC1035" s="16">
        <f>_xlfn.XLOOKUP(CustomerCombinedCleaned[[#This Row],[ID]], Table2[ID],Table2[MC5], "Not Found", 0 )</f>
        <v>0</v>
      </c>
    </row>
    <row r="1036" spans="1:29" x14ac:dyDescent="0.3">
      <c r="A1036" s="18">
        <v>2432</v>
      </c>
      <c r="B1036" s="16">
        <v>143300</v>
      </c>
      <c r="C1036" s="16">
        <v>0</v>
      </c>
      <c r="D1036" s="16">
        <v>1</v>
      </c>
      <c r="E1036" s="16">
        <v>49</v>
      </c>
      <c r="F1036" s="17" t="s">
        <v>5</v>
      </c>
      <c r="G1036" s="17" t="s">
        <v>11</v>
      </c>
      <c r="H1036" s="3" t="s">
        <v>381</v>
      </c>
      <c r="I1036" s="5" t="s">
        <v>438</v>
      </c>
      <c r="J1036" s="16">
        <f>_xlfn.XLOOKUP(CustomerCombinedCleaned[[#This Row],[ID]], Table4[ID], Table4[Recency], "Not Found", 0)</f>
        <v>87</v>
      </c>
      <c r="K1036" s="16">
        <f>_xlfn.XLOOKUP(CustomerCombinedCleaned[[#This Row],[ID]], Table4[ID], Table4[Teas], "Not Found", 0)</f>
        <v>301</v>
      </c>
      <c r="L1036" s="16">
        <f>_xlfn.XLOOKUP(CustomerCombinedCleaned[[#This Row],[ID]], Table4[ID], Table4[Fruits], "Not Found", 0)</f>
        <v>10</v>
      </c>
      <c r="M1036" s="16">
        <f>_xlfn.XLOOKUP(CustomerCombinedCleaned[[#This Row],[ID]], Table4[ID], Table4[Meats], "Not Found", 0)</f>
        <v>172</v>
      </c>
      <c r="N1036" s="16">
        <f>_xlfn.XLOOKUP(CustomerCombinedCleaned[[#This Row],[ID]], Table4[ID], Table4[Seafood], "Not Found", 0)</f>
        <v>7</v>
      </c>
      <c r="O1036" s="16">
        <f>_xlfn.XLOOKUP(CustomerCombinedCleaned[[#This Row],[ID]], Table4[ID], Table4[Sweets], "Not Found", 0)</f>
        <v>3</v>
      </c>
      <c r="P1036" s="16">
        <f>_xlfn.XLOOKUP(CustomerCombinedCleaned[[#This Row],[ID]], Table4[ID], Table4[Premium], "Not Found", 0)</f>
        <v>103</v>
      </c>
      <c r="Q1036" s="16">
        <f>_xlfn.XLOOKUP(CustomerCombinedCleaned[[#This Row],[ID]], Table4[ID], Table4[Regular], "Not Found", 0)</f>
        <v>391</v>
      </c>
      <c r="R1036" s="16">
        <f>_xlfn.XLOOKUP(CustomerCombinedCleaned[[#This Row],[ID]], Table4[ID], Table4[Deals], "Not Found", 0)</f>
        <v>3</v>
      </c>
      <c r="S1036" s="16">
        <f>_xlfn.XLOOKUP(CustomerCombinedCleaned[[#This Row],[ID]], Table4[ID], Table4[Website], "Not Found", 0)</f>
        <v>4</v>
      </c>
      <c r="T1036" s="16">
        <f>_xlfn.XLOOKUP(CustomerCombinedCleaned[[#This Row],[ID]], Table4[ID], Table4[Catalog], "Not Found", 0)</f>
        <v>0</v>
      </c>
      <c r="U1036" s="16">
        <f>_xlfn.XLOOKUP(CustomerCombinedCleaned[[#This Row],[ID]], Table4[ID], Table4[Store], "Not Found", 0)</f>
        <v>4</v>
      </c>
      <c r="V1036" s="16">
        <f>_xlfn.XLOOKUP(CustomerCombinedCleaned[[#This Row],[ID]], Table4[ID], Table4[Visits], "Not Found", 0)</f>
        <v>8</v>
      </c>
      <c r="W1036" s="16">
        <f>_xlfn.XLOOKUP(CustomerCombinedCleaned[[#This Row],[ID]], Table2[ID],Table2[Complaint], "Not Found", 0 )</f>
        <v>0</v>
      </c>
      <c r="X1036" s="16">
        <f>_xlfn.XLOOKUP(CustomerCombinedCleaned[[#This Row],[ID]], Table2[ID],Table2[Pilot], "Not Found", 0 )</f>
        <v>1</v>
      </c>
      <c r="Y1036" s="16">
        <f>_xlfn.XLOOKUP(CustomerCombinedCleaned[[#This Row],[ID]], Table2[ID],Table2[MC1], "Not Found", 0 )</f>
        <v>0</v>
      </c>
      <c r="Z1036" s="16">
        <f>_xlfn.XLOOKUP(CustomerCombinedCleaned[[#This Row],[ID]], Table2[ID],Table2[MC2], "Not Found", 0 )</f>
        <v>0</v>
      </c>
      <c r="AA1036" s="16">
        <f>_xlfn.XLOOKUP(CustomerCombinedCleaned[[#This Row],[ID]], Table2[ID],Table2[MC3], "Not Found", 0 )</f>
        <v>0</v>
      </c>
      <c r="AB1036" s="16">
        <f>_xlfn.XLOOKUP(CustomerCombinedCleaned[[#This Row],[ID]], Table2[ID],Table2[MC4], "Not Found", 0 )</f>
        <v>0</v>
      </c>
      <c r="AC1036" s="16">
        <f>_xlfn.XLOOKUP(CustomerCombinedCleaned[[#This Row],[ID]], Table2[ID],Table2[MC5], "Not Found", 0 )</f>
        <v>0</v>
      </c>
    </row>
    <row r="1037" spans="1:29" x14ac:dyDescent="0.3">
      <c r="A1037" s="18">
        <v>1857</v>
      </c>
      <c r="B1037" s="16">
        <v>142835</v>
      </c>
      <c r="C1037" s="16">
        <v>1</v>
      </c>
      <c r="D1037" s="16">
        <v>1</v>
      </c>
      <c r="E1037" s="16">
        <v>49</v>
      </c>
      <c r="F1037" s="17" t="s">
        <v>5</v>
      </c>
      <c r="G1037" s="17" t="s">
        <v>12</v>
      </c>
      <c r="H1037" s="3" t="s">
        <v>769</v>
      </c>
      <c r="I1037" s="5" t="s">
        <v>435</v>
      </c>
      <c r="J1037" s="16">
        <f>_xlfn.XLOOKUP(CustomerCombinedCleaned[[#This Row],[ID]], Table4[ID], Table4[Recency], "Not Found", 0)</f>
        <v>64</v>
      </c>
      <c r="K1037" s="16">
        <f>_xlfn.XLOOKUP(CustomerCombinedCleaned[[#This Row],[ID]], Table4[ID], Table4[Teas], "Not Found", 0)</f>
        <v>1264</v>
      </c>
      <c r="L1037" s="16">
        <f>_xlfn.XLOOKUP(CustomerCombinedCleaned[[#This Row],[ID]], Table4[ID], Table4[Fruits], "Not Found", 0)</f>
        <v>13</v>
      </c>
      <c r="M1037" s="16">
        <f>_xlfn.XLOOKUP(CustomerCombinedCleaned[[#This Row],[ID]], Table4[ID], Table4[Meats], "Not Found", 0)</f>
        <v>310</v>
      </c>
      <c r="N1037" s="16">
        <f>_xlfn.XLOOKUP(CustomerCombinedCleaned[[#This Row],[ID]], Table4[ID], Table4[Seafood], "Not Found", 0)</f>
        <v>40</v>
      </c>
      <c r="O1037" s="16">
        <f>_xlfn.XLOOKUP(CustomerCombinedCleaned[[#This Row],[ID]], Table4[ID], Table4[Sweets], "Not Found", 0)</f>
        <v>30</v>
      </c>
      <c r="P1037" s="16">
        <f>_xlfn.XLOOKUP(CustomerCombinedCleaned[[#This Row],[ID]], Table4[ID], Table4[Premium], "Not Found", 0)</f>
        <v>327</v>
      </c>
      <c r="Q1037" s="16">
        <f>_xlfn.XLOOKUP(CustomerCombinedCleaned[[#This Row],[ID]], Table4[ID], Table4[Regular], "Not Found", 0)</f>
        <v>1330</v>
      </c>
      <c r="R1037" s="16">
        <f>_xlfn.XLOOKUP(CustomerCombinedCleaned[[#This Row],[ID]], Table4[ID], Table4[Deals], "Not Found", 0)</f>
        <v>7</v>
      </c>
      <c r="S1037" s="16">
        <f>_xlfn.XLOOKUP(CustomerCombinedCleaned[[#This Row],[ID]], Table4[ID], Table4[Website], "Not Found", 0)</f>
        <v>6</v>
      </c>
      <c r="T1037" s="16">
        <f>_xlfn.XLOOKUP(CustomerCombinedCleaned[[#This Row],[ID]], Table4[ID], Table4[Catalog], "Not Found", 0)</f>
        <v>6</v>
      </c>
      <c r="U1037" s="16">
        <f>_xlfn.XLOOKUP(CustomerCombinedCleaned[[#This Row],[ID]], Table4[ID], Table4[Store], "Not Found", 0)</f>
        <v>4</v>
      </c>
      <c r="V1037" s="16">
        <f>_xlfn.XLOOKUP(CustomerCombinedCleaned[[#This Row],[ID]], Table4[ID], Table4[Visits], "Not Found", 0)</f>
        <v>6</v>
      </c>
      <c r="W1037" s="16">
        <f>_xlfn.XLOOKUP(CustomerCombinedCleaned[[#This Row],[ID]], Table2[ID],Table2[Complaint], "Not Found", 0 )</f>
        <v>0</v>
      </c>
      <c r="X1037" s="16">
        <f>_xlfn.XLOOKUP(CustomerCombinedCleaned[[#This Row],[ID]], Table2[ID],Table2[Pilot], "Not Found", 0 )</f>
        <v>0</v>
      </c>
      <c r="Y1037" s="16">
        <f>_xlfn.XLOOKUP(CustomerCombinedCleaned[[#This Row],[ID]], Table2[ID],Table2[MC1], "Not Found", 0 )</f>
        <v>0</v>
      </c>
      <c r="Z1037" s="16">
        <f>_xlfn.XLOOKUP(CustomerCombinedCleaned[[#This Row],[ID]], Table2[ID],Table2[MC2], "Not Found", 0 )</f>
        <v>0</v>
      </c>
      <c r="AA1037" s="16">
        <f>_xlfn.XLOOKUP(CustomerCombinedCleaned[[#This Row],[ID]], Table2[ID],Table2[MC3], "Not Found", 0 )</f>
        <v>0</v>
      </c>
      <c r="AB1037" s="16">
        <f>_xlfn.XLOOKUP(CustomerCombinedCleaned[[#This Row],[ID]], Table2[ID],Table2[MC4], "Not Found", 0 )</f>
        <v>0</v>
      </c>
      <c r="AC1037" s="16">
        <f>_xlfn.XLOOKUP(CustomerCombinedCleaned[[#This Row],[ID]], Table2[ID],Table2[MC5], "Not Found", 0 )</f>
        <v>0</v>
      </c>
    </row>
    <row r="1038" spans="1:29" x14ac:dyDescent="0.3">
      <c r="A1038" s="18">
        <v>1934</v>
      </c>
      <c r="B1038" s="16">
        <v>142767</v>
      </c>
      <c r="C1038" s="16">
        <v>2</v>
      </c>
      <c r="D1038" s="16">
        <v>0</v>
      </c>
      <c r="E1038" s="16">
        <v>49</v>
      </c>
      <c r="F1038" s="17" t="s">
        <v>7</v>
      </c>
      <c r="G1038" s="17" t="s">
        <v>13</v>
      </c>
      <c r="H1038" s="3" t="s">
        <v>260</v>
      </c>
      <c r="I1038" s="5" t="s">
        <v>438</v>
      </c>
      <c r="J1038" s="16">
        <f>_xlfn.XLOOKUP(CustomerCombinedCleaned[[#This Row],[ID]], Table4[ID], Table4[Recency], "Not Found", 0)</f>
        <v>53</v>
      </c>
      <c r="K1038" s="16">
        <f>_xlfn.XLOOKUP(CustomerCombinedCleaned[[#This Row],[ID]], Table4[ID], Table4[Teas], "Not Found", 0)</f>
        <v>67</v>
      </c>
      <c r="L1038" s="16">
        <f>_xlfn.XLOOKUP(CustomerCombinedCleaned[[#This Row],[ID]], Table4[ID], Table4[Fruits], "Not Found", 0)</f>
        <v>20</v>
      </c>
      <c r="M1038" s="16">
        <f>_xlfn.XLOOKUP(CustomerCombinedCleaned[[#This Row],[ID]], Table4[ID], Table4[Meats], "Not Found", 0)</f>
        <v>144</v>
      </c>
      <c r="N1038" s="16">
        <f>_xlfn.XLOOKUP(CustomerCombinedCleaned[[#This Row],[ID]], Table4[ID], Table4[Seafood], "Not Found", 0)</f>
        <v>63</v>
      </c>
      <c r="O1038" s="16">
        <f>_xlfn.XLOOKUP(CustomerCombinedCleaned[[#This Row],[ID]], Table4[ID], Table4[Sweets], "Not Found", 0)</f>
        <v>17</v>
      </c>
      <c r="P1038" s="16">
        <f>_xlfn.XLOOKUP(CustomerCombinedCleaned[[#This Row],[ID]], Table4[ID], Table4[Premium], "Not Found", 0)</f>
        <v>127</v>
      </c>
      <c r="Q1038" s="16">
        <f>_xlfn.XLOOKUP(CustomerCombinedCleaned[[#This Row],[ID]], Table4[ID], Table4[Regular], "Not Found", 0)</f>
        <v>184</v>
      </c>
      <c r="R1038" s="16">
        <f>_xlfn.XLOOKUP(CustomerCombinedCleaned[[#This Row],[ID]], Table4[ID], Table4[Deals], "Not Found", 0)</f>
        <v>1</v>
      </c>
      <c r="S1038" s="16">
        <f>_xlfn.XLOOKUP(CustomerCombinedCleaned[[#This Row],[ID]], Table4[ID], Table4[Website], "Not Found", 0)</f>
        <v>3</v>
      </c>
      <c r="T1038" s="16">
        <f>_xlfn.XLOOKUP(CustomerCombinedCleaned[[#This Row],[ID]], Table4[ID], Table4[Catalog], "Not Found", 0)</f>
        <v>1</v>
      </c>
      <c r="U1038" s="16">
        <f>_xlfn.XLOOKUP(CustomerCombinedCleaned[[#This Row],[ID]], Table4[ID], Table4[Store], "Not Found", 0)</f>
        <v>2</v>
      </c>
      <c r="V1038" s="16">
        <f>_xlfn.XLOOKUP(CustomerCombinedCleaned[[#This Row],[ID]], Table4[ID], Table4[Visits], "Not Found", 0)</f>
        <v>8</v>
      </c>
      <c r="W1038" s="16">
        <f>_xlfn.XLOOKUP(CustomerCombinedCleaned[[#This Row],[ID]], Table2[ID],Table2[Complaint], "Not Found", 0 )</f>
        <v>0</v>
      </c>
      <c r="X1038" s="16">
        <f>_xlfn.XLOOKUP(CustomerCombinedCleaned[[#This Row],[ID]], Table2[ID],Table2[Pilot], "Not Found", 0 )</f>
        <v>0</v>
      </c>
      <c r="Y1038" s="16">
        <f>_xlfn.XLOOKUP(CustomerCombinedCleaned[[#This Row],[ID]], Table2[ID],Table2[MC1], "Not Found", 0 )</f>
        <v>0</v>
      </c>
      <c r="Z1038" s="16">
        <f>_xlfn.XLOOKUP(CustomerCombinedCleaned[[#This Row],[ID]], Table2[ID],Table2[MC2], "Not Found", 0 )</f>
        <v>0</v>
      </c>
      <c r="AA1038" s="16">
        <f>_xlfn.XLOOKUP(CustomerCombinedCleaned[[#This Row],[ID]], Table2[ID],Table2[MC3], "Not Found", 0 )</f>
        <v>0</v>
      </c>
      <c r="AB1038" s="16">
        <f>_xlfn.XLOOKUP(CustomerCombinedCleaned[[#This Row],[ID]], Table2[ID],Table2[MC4], "Not Found", 0 )</f>
        <v>0</v>
      </c>
      <c r="AC1038" s="16">
        <f>_xlfn.XLOOKUP(CustomerCombinedCleaned[[#This Row],[ID]], Table2[ID],Table2[MC5], "Not Found", 0 )</f>
        <v>0</v>
      </c>
    </row>
    <row r="1039" spans="1:29" x14ac:dyDescent="0.3">
      <c r="A1039" s="18">
        <v>2714</v>
      </c>
      <c r="B1039" s="16">
        <v>142403</v>
      </c>
      <c r="C1039" s="16">
        <v>1</v>
      </c>
      <c r="D1039" s="16">
        <v>0</v>
      </c>
      <c r="E1039" s="16">
        <v>49</v>
      </c>
      <c r="F1039" s="17" t="s">
        <v>6</v>
      </c>
      <c r="G1039" s="17" t="s">
        <v>13</v>
      </c>
      <c r="H1039" s="3" t="s">
        <v>137</v>
      </c>
      <c r="I1039" s="5" t="s">
        <v>438</v>
      </c>
      <c r="J1039" s="16">
        <f>_xlfn.XLOOKUP(CustomerCombinedCleaned[[#This Row],[ID]], Table4[ID], Table4[Recency], "Not Found", 0)</f>
        <v>18</v>
      </c>
      <c r="K1039" s="16">
        <f>_xlfn.XLOOKUP(CustomerCombinedCleaned[[#This Row],[ID]], Table4[ID], Table4[Teas], "Not Found", 0)</f>
        <v>74</v>
      </c>
      <c r="L1039" s="16">
        <f>_xlfn.XLOOKUP(CustomerCombinedCleaned[[#This Row],[ID]], Table4[ID], Table4[Fruits], "Not Found", 0)</f>
        <v>3</v>
      </c>
      <c r="M1039" s="16">
        <f>_xlfn.XLOOKUP(CustomerCombinedCleaned[[#This Row],[ID]], Table4[ID], Table4[Meats], "Not Found", 0)</f>
        <v>37</v>
      </c>
      <c r="N1039" s="16">
        <f>_xlfn.XLOOKUP(CustomerCombinedCleaned[[#This Row],[ID]], Table4[ID], Table4[Seafood], "Not Found", 0)</f>
        <v>0</v>
      </c>
      <c r="O1039" s="16">
        <f>_xlfn.XLOOKUP(CustomerCombinedCleaned[[#This Row],[ID]], Table4[ID], Table4[Sweets], "Not Found", 0)</f>
        <v>17</v>
      </c>
      <c r="P1039" s="16">
        <f>_xlfn.XLOOKUP(CustomerCombinedCleaned[[#This Row],[ID]], Table4[ID], Table4[Premium], "Not Found", 0)</f>
        <v>10</v>
      </c>
      <c r="Q1039" s="16">
        <f>_xlfn.XLOOKUP(CustomerCombinedCleaned[[#This Row],[ID]], Table4[ID], Table4[Regular], "Not Found", 0)</f>
        <v>121</v>
      </c>
      <c r="R1039" s="16">
        <f>_xlfn.XLOOKUP(CustomerCombinedCleaned[[#This Row],[ID]], Table4[ID], Table4[Deals], "Not Found", 0)</f>
        <v>1</v>
      </c>
      <c r="S1039" s="16">
        <f>_xlfn.XLOOKUP(CustomerCombinedCleaned[[#This Row],[ID]], Table4[ID], Table4[Website], "Not Found", 0)</f>
        <v>1</v>
      </c>
      <c r="T1039" s="16">
        <f>_xlfn.XLOOKUP(CustomerCombinedCleaned[[#This Row],[ID]], Table4[ID], Table4[Catalog], "Not Found", 0)</f>
        <v>0</v>
      </c>
      <c r="U1039" s="16">
        <f>_xlfn.XLOOKUP(CustomerCombinedCleaned[[#This Row],[ID]], Table4[ID], Table4[Store], "Not Found", 0)</f>
        <v>3</v>
      </c>
      <c r="V1039" s="16">
        <f>_xlfn.XLOOKUP(CustomerCombinedCleaned[[#This Row],[ID]], Table4[ID], Table4[Visits], "Not Found", 0)</f>
        <v>8</v>
      </c>
      <c r="W1039" s="16">
        <f>_xlfn.XLOOKUP(CustomerCombinedCleaned[[#This Row],[ID]], Table2[ID],Table2[Complaint], "Not Found", 0 )</f>
        <v>0</v>
      </c>
      <c r="X1039" s="16">
        <f>_xlfn.XLOOKUP(CustomerCombinedCleaned[[#This Row],[ID]], Table2[ID],Table2[Pilot], "Not Found", 0 )</f>
        <v>0</v>
      </c>
      <c r="Y1039" s="16">
        <f>_xlfn.XLOOKUP(CustomerCombinedCleaned[[#This Row],[ID]], Table2[ID],Table2[MC1], "Not Found", 0 )</f>
        <v>0</v>
      </c>
      <c r="Z1039" s="16">
        <f>_xlfn.XLOOKUP(CustomerCombinedCleaned[[#This Row],[ID]], Table2[ID],Table2[MC2], "Not Found", 0 )</f>
        <v>0</v>
      </c>
      <c r="AA1039" s="16">
        <f>_xlfn.XLOOKUP(CustomerCombinedCleaned[[#This Row],[ID]], Table2[ID],Table2[MC3], "Not Found", 0 )</f>
        <v>0</v>
      </c>
      <c r="AB1039" s="16">
        <f>_xlfn.XLOOKUP(CustomerCombinedCleaned[[#This Row],[ID]], Table2[ID],Table2[MC4], "Not Found", 0 )</f>
        <v>0</v>
      </c>
      <c r="AC1039" s="16">
        <f>_xlfn.XLOOKUP(CustomerCombinedCleaned[[#This Row],[ID]], Table2[ID],Table2[MC5], "Not Found", 0 )</f>
        <v>0</v>
      </c>
    </row>
    <row r="1040" spans="1:29" x14ac:dyDescent="0.3">
      <c r="A1040" s="18">
        <v>2671</v>
      </c>
      <c r="B1040" s="16">
        <v>142033</v>
      </c>
      <c r="C1040" s="16">
        <v>1</v>
      </c>
      <c r="D1040" s="16">
        <v>1</v>
      </c>
      <c r="E1040" s="16">
        <v>49</v>
      </c>
      <c r="F1040" s="17" t="s">
        <v>8</v>
      </c>
      <c r="G1040" s="17" t="s">
        <v>11</v>
      </c>
      <c r="H1040" s="3" t="s">
        <v>392</v>
      </c>
      <c r="I1040" s="5" t="s">
        <v>437</v>
      </c>
      <c r="J1040" s="16">
        <f>_xlfn.XLOOKUP(CustomerCombinedCleaned[[#This Row],[ID]], Table4[ID], Table4[Recency], "Not Found", 0)</f>
        <v>95</v>
      </c>
      <c r="K1040" s="16">
        <f>_xlfn.XLOOKUP(CustomerCombinedCleaned[[#This Row],[ID]], Table4[ID], Table4[Teas], "Not Found", 0)</f>
        <v>37</v>
      </c>
      <c r="L1040" s="16">
        <f>_xlfn.XLOOKUP(CustomerCombinedCleaned[[#This Row],[ID]], Table4[ID], Table4[Fruits], "Not Found", 0)</f>
        <v>3</v>
      </c>
      <c r="M1040" s="16">
        <f>_xlfn.XLOOKUP(CustomerCombinedCleaned[[#This Row],[ID]], Table4[ID], Table4[Meats], "Not Found", 0)</f>
        <v>14</v>
      </c>
      <c r="N1040" s="16">
        <f>_xlfn.XLOOKUP(CustomerCombinedCleaned[[#This Row],[ID]], Table4[ID], Table4[Seafood], "Not Found", 0)</f>
        <v>7</v>
      </c>
      <c r="O1040" s="16">
        <f>_xlfn.XLOOKUP(CustomerCombinedCleaned[[#This Row],[ID]], Table4[ID], Table4[Sweets], "Not Found", 0)</f>
        <v>0</v>
      </c>
      <c r="P1040" s="16">
        <f>_xlfn.XLOOKUP(CustomerCombinedCleaned[[#This Row],[ID]], Table4[ID], Table4[Premium], "Not Found", 0)</f>
        <v>24</v>
      </c>
      <c r="Q1040" s="16">
        <f>_xlfn.XLOOKUP(CustomerCombinedCleaned[[#This Row],[ID]], Table4[ID], Table4[Regular], "Not Found", 0)</f>
        <v>37</v>
      </c>
      <c r="R1040" s="16">
        <f>_xlfn.XLOOKUP(CustomerCombinedCleaned[[#This Row],[ID]], Table4[ID], Table4[Deals], "Not Found", 0)</f>
        <v>1</v>
      </c>
      <c r="S1040" s="16">
        <f>_xlfn.XLOOKUP(CustomerCombinedCleaned[[#This Row],[ID]], Table4[ID], Table4[Website], "Not Found", 0)</f>
        <v>1</v>
      </c>
      <c r="T1040" s="16">
        <f>_xlfn.XLOOKUP(CustomerCombinedCleaned[[#This Row],[ID]], Table4[ID], Table4[Catalog], "Not Found", 0)</f>
        <v>0</v>
      </c>
      <c r="U1040" s="16">
        <f>_xlfn.XLOOKUP(CustomerCombinedCleaned[[#This Row],[ID]], Table4[ID], Table4[Store], "Not Found", 0)</f>
        <v>2</v>
      </c>
      <c r="V1040" s="16">
        <f>_xlfn.XLOOKUP(CustomerCombinedCleaned[[#This Row],[ID]], Table4[ID], Table4[Visits], "Not Found", 0)</f>
        <v>7</v>
      </c>
      <c r="W1040" s="16">
        <f>_xlfn.XLOOKUP(CustomerCombinedCleaned[[#This Row],[ID]], Table2[ID],Table2[Complaint], "Not Found", 0 )</f>
        <v>0</v>
      </c>
      <c r="X1040" s="16">
        <f>_xlfn.XLOOKUP(CustomerCombinedCleaned[[#This Row],[ID]], Table2[ID],Table2[Pilot], "Not Found", 0 )</f>
        <v>0</v>
      </c>
      <c r="Y1040" s="16">
        <f>_xlfn.XLOOKUP(CustomerCombinedCleaned[[#This Row],[ID]], Table2[ID],Table2[MC1], "Not Found", 0 )</f>
        <v>0</v>
      </c>
      <c r="Z1040" s="16">
        <f>_xlfn.XLOOKUP(CustomerCombinedCleaned[[#This Row],[ID]], Table2[ID],Table2[MC2], "Not Found", 0 )</f>
        <v>0</v>
      </c>
      <c r="AA1040" s="16">
        <f>_xlfn.XLOOKUP(CustomerCombinedCleaned[[#This Row],[ID]], Table2[ID],Table2[MC3], "Not Found", 0 )</f>
        <v>0</v>
      </c>
      <c r="AB1040" s="16">
        <f>_xlfn.XLOOKUP(CustomerCombinedCleaned[[#This Row],[ID]], Table2[ID],Table2[MC4], "Not Found", 0 )</f>
        <v>0</v>
      </c>
      <c r="AC1040" s="16">
        <f>_xlfn.XLOOKUP(CustomerCombinedCleaned[[#This Row],[ID]], Table2[ID],Table2[MC5], "Not Found", 0 )</f>
        <v>0</v>
      </c>
    </row>
    <row r="1041" spans="1:29" x14ac:dyDescent="0.3">
      <c r="A1041" s="18">
        <v>3159</v>
      </c>
      <c r="B1041" s="16">
        <v>140851</v>
      </c>
      <c r="C1041" s="16">
        <v>1</v>
      </c>
      <c r="D1041" s="16">
        <v>1</v>
      </c>
      <c r="E1041" s="16">
        <v>49</v>
      </c>
      <c r="F1041" s="17" t="s">
        <v>5</v>
      </c>
      <c r="G1041" s="17" t="s">
        <v>11</v>
      </c>
      <c r="H1041" s="3" t="s">
        <v>302</v>
      </c>
      <c r="I1041" s="5" t="s">
        <v>435</v>
      </c>
      <c r="J1041" s="16">
        <f>_xlfn.XLOOKUP(CustomerCombinedCleaned[[#This Row],[ID]], Table4[ID], Table4[Recency], "Not Found", 0)</f>
        <v>63</v>
      </c>
      <c r="K1041" s="16">
        <f>_xlfn.XLOOKUP(CustomerCombinedCleaned[[#This Row],[ID]], Table4[ID], Table4[Teas], "Not Found", 0)</f>
        <v>79</v>
      </c>
      <c r="L1041" s="16">
        <f>_xlfn.XLOOKUP(CustomerCombinedCleaned[[#This Row],[ID]], Table4[ID], Table4[Fruits], "Not Found", 0)</f>
        <v>3</v>
      </c>
      <c r="M1041" s="16">
        <f>_xlfn.XLOOKUP(CustomerCombinedCleaned[[#This Row],[ID]], Table4[ID], Table4[Meats], "Not Found", 0)</f>
        <v>24</v>
      </c>
      <c r="N1041" s="16">
        <f>_xlfn.XLOOKUP(CustomerCombinedCleaned[[#This Row],[ID]], Table4[ID], Table4[Seafood], "Not Found", 0)</f>
        <v>0</v>
      </c>
      <c r="O1041" s="16">
        <f>_xlfn.XLOOKUP(CustomerCombinedCleaned[[#This Row],[ID]], Table4[ID], Table4[Sweets], "Not Found", 0)</f>
        <v>14</v>
      </c>
      <c r="P1041" s="16">
        <f>_xlfn.XLOOKUP(CustomerCombinedCleaned[[#This Row],[ID]], Table4[ID], Table4[Premium], "Not Found", 0)</f>
        <v>83</v>
      </c>
      <c r="Q1041" s="16">
        <f>_xlfn.XLOOKUP(CustomerCombinedCleaned[[#This Row],[ID]], Table4[ID], Table4[Regular], "Not Found", 0)</f>
        <v>38</v>
      </c>
      <c r="R1041" s="16">
        <f>_xlfn.XLOOKUP(CustomerCombinedCleaned[[#This Row],[ID]], Table4[ID], Table4[Deals], "Not Found", 0)</f>
        <v>1</v>
      </c>
      <c r="S1041" s="16">
        <f>_xlfn.XLOOKUP(CustomerCombinedCleaned[[#This Row],[ID]], Table4[ID], Table4[Website], "Not Found", 0)</f>
        <v>1</v>
      </c>
      <c r="T1041" s="16">
        <f>_xlfn.XLOOKUP(CustomerCombinedCleaned[[#This Row],[ID]], Table4[ID], Table4[Catalog], "Not Found", 0)</f>
        <v>1</v>
      </c>
      <c r="U1041" s="16">
        <f>_xlfn.XLOOKUP(CustomerCombinedCleaned[[#This Row],[ID]], Table4[ID], Table4[Store], "Not Found", 0)</f>
        <v>2</v>
      </c>
      <c r="V1041" s="16">
        <f>_xlfn.XLOOKUP(CustomerCombinedCleaned[[#This Row],[ID]], Table4[ID], Table4[Visits], "Not Found", 0)</f>
        <v>7</v>
      </c>
      <c r="W1041" s="16">
        <f>_xlfn.XLOOKUP(CustomerCombinedCleaned[[#This Row],[ID]], Table2[ID],Table2[Complaint], "Not Found", 0 )</f>
        <v>0</v>
      </c>
      <c r="X1041" s="16">
        <f>_xlfn.XLOOKUP(CustomerCombinedCleaned[[#This Row],[ID]], Table2[ID],Table2[Pilot], "Not Found", 0 )</f>
        <v>0</v>
      </c>
      <c r="Y1041" s="16">
        <f>_xlfn.XLOOKUP(CustomerCombinedCleaned[[#This Row],[ID]], Table2[ID],Table2[MC1], "Not Found", 0 )</f>
        <v>0</v>
      </c>
      <c r="Z1041" s="16">
        <f>_xlfn.XLOOKUP(CustomerCombinedCleaned[[#This Row],[ID]], Table2[ID],Table2[MC2], "Not Found", 0 )</f>
        <v>0</v>
      </c>
      <c r="AA1041" s="16">
        <f>_xlfn.XLOOKUP(CustomerCombinedCleaned[[#This Row],[ID]], Table2[ID],Table2[MC3], "Not Found", 0 )</f>
        <v>0</v>
      </c>
      <c r="AB1041" s="16">
        <f>_xlfn.XLOOKUP(CustomerCombinedCleaned[[#This Row],[ID]], Table2[ID],Table2[MC4], "Not Found", 0 )</f>
        <v>0</v>
      </c>
      <c r="AC1041" s="16">
        <f>_xlfn.XLOOKUP(CustomerCombinedCleaned[[#This Row],[ID]], Table2[ID],Table2[MC5], "Not Found", 0 )</f>
        <v>0</v>
      </c>
    </row>
    <row r="1042" spans="1:29" x14ac:dyDescent="0.3">
      <c r="A1042" s="18">
        <v>2966</v>
      </c>
      <c r="B1042" s="16">
        <v>139791</v>
      </c>
      <c r="C1042" s="16">
        <v>0</v>
      </c>
      <c r="D1042" s="16">
        <v>1</v>
      </c>
      <c r="E1042" s="16">
        <v>49</v>
      </c>
      <c r="F1042" s="17" t="s">
        <v>6</v>
      </c>
      <c r="G1042" s="17" t="s">
        <v>12</v>
      </c>
      <c r="H1042" s="3" t="s">
        <v>602</v>
      </c>
      <c r="I1042" s="5" t="s">
        <v>438</v>
      </c>
      <c r="J1042" s="16">
        <f>_xlfn.XLOOKUP(CustomerCombinedCleaned[[#This Row],[ID]], Table4[ID], Table4[Recency], "Not Found", 0)</f>
        <v>89</v>
      </c>
      <c r="K1042" s="16">
        <f>_xlfn.XLOOKUP(CustomerCombinedCleaned[[#This Row],[ID]], Table4[ID], Table4[Teas], "Not Found", 0)</f>
        <v>299</v>
      </c>
      <c r="L1042" s="16">
        <f>_xlfn.XLOOKUP(CustomerCombinedCleaned[[#This Row],[ID]], Table4[ID], Table4[Fruits], "Not Found", 0)</f>
        <v>53</v>
      </c>
      <c r="M1042" s="16">
        <f>_xlfn.XLOOKUP(CustomerCombinedCleaned[[#This Row],[ID]], Table4[ID], Table4[Meats], "Not Found", 0)</f>
        <v>95</v>
      </c>
      <c r="N1042" s="16">
        <f>_xlfn.XLOOKUP(CustomerCombinedCleaned[[#This Row],[ID]], Table4[ID], Table4[Seafood], "Not Found", 0)</f>
        <v>46</v>
      </c>
      <c r="O1042" s="16">
        <f>_xlfn.XLOOKUP(CustomerCombinedCleaned[[#This Row],[ID]], Table4[ID], Table4[Sweets], "Not Found", 0)</f>
        <v>46</v>
      </c>
      <c r="P1042" s="16">
        <f>_xlfn.XLOOKUP(CustomerCombinedCleaned[[#This Row],[ID]], Table4[ID], Table4[Premium], "Not Found", 0)</f>
        <v>74</v>
      </c>
      <c r="Q1042" s="16">
        <f>_xlfn.XLOOKUP(CustomerCombinedCleaned[[#This Row],[ID]], Table4[ID], Table4[Regular], "Not Found", 0)</f>
        <v>464</v>
      </c>
      <c r="R1042" s="16">
        <f>_xlfn.XLOOKUP(CustomerCombinedCleaned[[#This Row],[ID]], Table4[ID], Table4[Deals], "Not Found", 0)</f>
        <v>2</v>
      </c>
      <c r="S1042" s="16">
        <f>_xlfn.XLOOKUP(CustomerCombinedCleaned[[#This Row],[ID]], Table4[ID], Table4[Website], "Not Found", 0)</f>
        <v>3</v>
      </c>
      <c r="T1042" s="16">
        <f>_xlfn.XLOOKUP(CustomerCombinedCleaned[[#This Row],[ID]], Table4[ID], Table4[Catalog], "Not Found", 0)</f>
        <v>1</v>
      </c>
      <c r="U1042" s="16">
        <f>_xlfn.XLOOKUP(CustomerCombinedCleaned[[#This Row],[ID]], Table4[ID], Table4[Store], "Not Found", 0)</f>
        <v>4</v>
      </c>
      <c r="V1042" s="16">
        <f>_xlfn.XLOOKUP(CustomerCombinedCleaned[[#This Row],[ID]], Table4[ID], Table4[Visits], "Not Found", 0)</f>
        <v>7</v>
      </c>
      <c r="W1042" s="16">
        <f>_xlfn.XLOOKUP(CustomerCombinedCleaned[[#This Row],[ID]], Table2[ID],Table2[Complaint], "Not Found", 0 )</f>
        <v>0</v>
      </c>
      <c r="X1042" s="16">
        <f>_xlfn.XLOOKUP(CustomerCombinedCleaned[[#This Row],[ID]], Table2[ID],Table2[Pilot], "Not Found", 0 )</f>
        <v>0</v>
      </c>
      <c r="Y1042" s="16">
        <f>_xlfn.XLOOKUP(CustomerCombinedCleaned[[#This Row],[ID]], Table2[ID],Table2[MC1], "Not Found", 0 )</f>
        <v>0</v>
      </c>
      <c r="Z1042" s="16">
        <f>_xlfn.XLOOKUP(CustomerCombinedCleaned[[#This Row],[ID]], Table2[ID],Table2[MC2], "Not Found", 0 )</f>
        <v>0</v>
      </c>
      <c r="AA1042" s="16">
        <f>_xlfn.XLOOKUP(CustomerCombinedCleaned[[#This Row],[ID]], Table2[ID],Table2[MC3], "Not Found", 0 )</f>
        <v>0</v>
      </c>
      <c r="AB1042" s="16">
        <f>_xlfn.XLOOKUP(CustomerCombinedCleaned[[#This Row],[ID]], Table2[ID],Table2[MC4], "Not Found", 0 )</f>
        <v>0</v>
      </c>
      <c r="AC1042" s="16">
        <f>_xlfn.XLOOKUP(CustomerCombinedCleaned[[#This Row],[ID]], Table2[ID],Table2[MC5], "Not Found", 0 )</f>
        <v>0</v>
      </c>
    </row>
    <row r="1043" spans="1:29" x14ac:dyDescent="0.3">
      <c r="A1043" s="18">
        <v>2732</v>
      </c>
      <c r="B1043" s="16">
        <v>139763</v>
      </c>
      <c r="C1043" s="16">
        <v>1</v>
      </c>
      <c r="D1043" s="16">
        <v>0</v>
      </c>
      <c r="E1043" s="16">
        <v>49</v>
      </c>
      <c r="F1043" s="17" t="s">
        <v>7</v>
      </c>
      <c r="G1043" s="17" t="s">
        <v>12</v>
      </c>
      <c r="H1043" s="3" t="s">
        <v>774</v>
      </c>
      <c r="I1043" s="5" t="s">
        <v>438</v>
      </c>
      <c r="J1043" s="16">
        <f>_xlfn.XLOOKUP(CustomerCombinedCleaned[[#This Row],[ID]], Table4[ID], Table4[Recency], "Not Found", 0)</f>
        <v>9</v>
      </c>
      <c r="K1043" s="16">
        <f>_xlfn.XLOOKUP(CustomerCombinedCleaned[[#This Row],[ID]], Table4[ID], Table4[Teas], "Not Found", 0)</f>
        <v>281</v>
      </c>
      <c r="L1043" s="16">
        <f>_xlfn.XLOOKUP(CustomerCombinedCleaned[[#This Row],[ID]], Table4[ID], Table4[Fruits], "Not Found", 0)</f>
        <v>4</v>
      </c>
      <c r="M1043" s="16">
        <f>_xlfn.XLOOKUP(CustomerCombinedCleaned[[#This Row],[ID]], Table4[ID], Table4[Meats], "Not Found", 0)</f>
        <v>211</v>
      </c>
      <c r="N1043" s="16">
        <f>_xlfn.XLOOKUP(CustomerCombinedCleaned[[#This Row],[ID]], Table4[ID], Table4[Seafood], "Not Found", 0)</f>
        <v>14</v>
      </c>
      <c r="O1043" s="16">
        <f>_xlfn.XLOOKUP(CustomerCombinedCleaned[[#This Row],[ID]], Table4[ID], Table4[Sweets], "Not Found", 0)</f>
        <v>21</v>
      </c>
      <c r="P1043" s="16">
        <f>_xlfn.XLOOKUP(CustomerCombinedCleaned[[#This Row],[ID]], Table4[ID], Table4[Premium], "Not Found", 0)</f>
        <v>56</v>
      </c>
      <c r="Q1043" s="16">
        <f>_xlfn.XLOOKUP(CustomerCombinedCleaned[[#This Row],[ID]], Table4[ID], Table4[Regular], "Not Found", 0)</f>
        <v>475</v>
      </c>
      <c r="R1043" s="16">
        <f>_xlfn.XLOOKUP(CustomerCombinedCleaned[[#This Row],[ID]], Table4[ID], Table4[Deals], "Not Found", 0)</f>
        <v>2</v>
      </c>
      <c r="S1043" s="16">
        <f>_xlfn.XLOOKUP(CustomerCombinedCleaned[[#This Row],[ID]], Table4[ID], Table4[Website], "Not Found", 0)</f>
        <v>5</v>
      </c>
      <c r="T1043" s="16">
        <f>_xlfn.XLOOKUP(CustomerCombinedCleaned[[#This Row],[ID]], Table4[ID], Table4[Catalog], "Not Found", 0)</f>
        <v>1</v>
      </c>
      <c r="U1043" s="16">
        <f>_xlfn.XLOOKUP(CustomerCombinedCleaned[[#This Row],[ID]], Table4[ID], Table4[Store], "Not Found", 0)</f>
        <v>2</v>
      </c>
      <c r="V1043" s="16">
        <f>_xlfn.XLOOKUP(CustomerCombinedCleaned[[#This Row],[ID]], Table4[ID], Table4[Visits], "Not Found", 0)</f>
        <v>9</v>
      </c>
      <c r="W1043" s="16">
        <f>_xlfn.XLOOKUP(CustomerCombinedCleaned[[#This Row],[ID]], Table2[ID],Table2[Complaint], "Not Found", 0 )</f>
        <v>0</v>
      </c>
      <c r="X1043" s="16">
        <f>_xlfn.XLOOKUP(CustomerCombinedCleaned[[#This Row],[ID]], Table2[ID],Table2[Pilot], "Not Found", 0 )</f>
        <v>1</v>
      </c>
      <c r="Y1043" s="16">
        <f>_xlfn.XLOOKUP(CustomerCombinedCleaned[[#This Row],[ID]], Table2[ID],Table2[MC1], "Not Found", 0 )</f>
        <v>0</v>
      </c>
      <c r="Z1043" s="16">
        <f>_xlfn.XLOOKUP(CustomerCombinedCleaned[[#This Row],[ID]], Table2[ID],Table2[MC2], "Not Found", 0 )</f>
        <v>0</v>
      </c>
      <c r="AA1043" s="16">
        <f>_xlfn.XLOOKUP(CustomerCombinedCleaned[[#This Row],[ID]], Table2[ID],Table2[MC3], "Not Found", 0 )</f>
        <v>0</v>
      </c>
      <c r="AB1043" s="16">
        <f>_xlfn.XLOOKUP(CustomerCombinedCleaned[[#This Row],[ID]], Table2[ID],Table2[MC4], "Not Found", 0 )</f>
        <v>0</v>
      </c>
      <c r="AC1043" s="16">
        <f>_xlfn.XLOOKUP(CustomerCombinedCleaned[[#This Row],[ID]], Table2[ID],Table2[MC5], "Not Found", 0 )</f>
        <v>0</v>
      </c>
    </row>
    <row r="1044" spans="1:29" x14ac:dyDescent="0.3">
      <c r="A1044" s="18">
        <v>1220</v>
      </c>
      <c r="B1044" s="16">
        <v>138590</v>
      </c>
      <c r="C1044" s="16">
        <v>1</v>
      </c>
      <c r="D1044" s="16">
        <v>0</v>
      </c>
      <c r="E1044" s="16">
        <v>49</v>
      </c>
      <c r="F1044" s="17" t="s">
        <v>8</v>
      </c>
      <c r="G1044" s="17" t="s">
        <v>11</v>
      </c>
      <c r="H1044" s="3" t="s">
        <v>256</v>
      </c>
      <c r="I1044" s="5" t="s">
        <v>438</v>
      </c>
      <c r="J1044" s="16">
        <f>_xlfn.XLOOKUP(CustomerCombinedCleaned[[#This Row],[ID]], Table4[ID], Table4[Recency], "Not Found", 0)</f>
        <v>65</v>
      </c>
      <c r="K1044" s="16">
        <f>_xlfn.XLOOKUP(CustomerCombinedCleaned[[#This Row],[ID]], Table4[ID], Table4[Teas], "Not Found", 0)</f>
        <v>11</v>
      </c>
      <c r="L1044" s="16">
        <f>_xlfn.XLOOKUP(CustomerCombinedCleaned[[#This Row],[ID]], Table4[ID], Table4[Fruits], "Not Found", 0)</f>
        <v>4</v>
      </c>
      <c r="M1044" s="16">
        <f>_xlfn.XLOOKUP(CustomerCombinedCleaned[[#This Row],[ID]], Table4[ID], Table4[Meats], "Not Found", 0)</f>
        <v>29</v>
      </c>
      <c r="N1044" s="16">
        <f>_xlfn.XLOOKUP(CustomerCombinedCleaned[[#This Row],[ID]], Table4[ID], Table4[Seafood], "Not Found", 0)</f>
        <v>14</v>
      </c>
      <c r="O1044" s="16">
        <f>_xlfn.XLOOKUP(CustomerCombinedCleaned[[#This Row],[ID]], Table4[ID], Table4[Sweets], "Not Found", 0)</f>
        <v>11</v>
      </c>
      <c r="P1044" s="16">
        <f>_xlfn.XLOOKUP(CustomerCombinedCleaned[[#This Row],[ID]], Table4[ID], Table4[Premium], "Not Found", 0)</f>
        <v>11</v>
      </c>
      <c r="Q1044" s="16">
        <f>_xlfn.XLOOKUP(CustomerCombinedCleaned[[#This Row],[ID]], Table4[ID], Table4[Regular], "Not Found", 0)</f>
        <v>57</v>
      </c>
      <c r="R1044" s="16">
        <f>_xlfn.XLOOKUP(CustomerCombinedCleaned[[#This Row],[ID]], Table4[ID], Table4[Deals], "Not Found", 0)</f>
        <v>1</v>
      </c>
      <c r="S1044" s="16">
        <f>_xlfn.XLOOKUP(CustomerCombinedCleaned[[#This Row],[ID]], Table4[ID], Table4[Website], "Not Found", 0)</f>
        <v>1</v>
      </c>
      <c r="T1044" s="16">
        <f>_xlfn.XLOOKUP(CustomerCombinedCleaned[[#This Row],[ID]], Table4[ID], Table4[Catalog], "Not Found", 0)</f>
        <v>0</v>
      </c>
      <c r="U1044" s="16">
        <f>_xlfn.XLOOKUP(CustomerCombinedCleaned[[#This Row],[ID]], Table4[ID], Table4[Store], "Not Found", 0)</f>
        <v>2</v>
      </c>
      <c r="V1044" s="16">
        <f>_xlfn.XLOOKUP(CustomerCombinedCleaned[[#This Row],[ID]], Table4[ID], Table4[Visits], "Not Found", 0)</f>
        <v>8</v>
      </c>
      <c r="W1044" s="16">
        <f>_xlfn.XLOOKUP(CustomerCombinedCleaned[[#This Row],[ID]], Table2[ID],Table2[Complaint], "Not Found", 0 )</f>
        <v>0</v>
      </c>
      <c r="X1044" s="16">
        <f>_xlfn.XLOOKUP(CustomerCombinedCleaned[[#This Row],[ID]], Table2[ID],Table2[Pilot], "Not Found", 0 )</f>
        <v>0</v>
      </c>
      <c r="Y1044" s="16">
        <f>_xlfn.XLOOKUP(CustomerCombinedCleaned[[#This Row],[ID]], Table2[ID],Table2[MC1], "Not Found", 0 )</f>
        <v>0</v>
      </c>
      <c r="Z1044" s="16">
        <f>_xlfn.XLOOKUP(CustomerCombinedCleaned[[#This Row],[ID]], Table2[ID],Table2[MC2], "Not Found", 0 )</f>
        <v>0</v>
      </c>
      <c r="AA1044" s="16">
        <f>_xlfn.XLOOKUP(CustomerCombinedCleaned[[#This Row],[ID]], Table2[ID],Table2[MC3], "Not Found", 0 )</f>
        <v>0</v>
      </c>
      <c r="AB1044" s="16">
        <f>_xlfn.XLOOKUP(CustomerCombinedCleaned[[#This Row],[ID]], Table2[ID],Table2[MC4], "Not Found", 0 )</f>
        <v>0</v>
      </c>
      <c r="AC1044" s="16">
        <f>_xlfn.XLOOKUP(CustomerCombinedCleaned[[#This Row],[ID]], Table2[ID],Table2[MC5], "Not Found", 0 )</f>
        <v>0</v>
      </c>
    </row>
    <row r="1045" spans="1:29" x14ac:dyDescent="0.3">
      <c r="A1045" s="18">
        <v>2656</v>
      </c>
      <c r="B1045" s="16">
        <v>138232</v>
      </c>
      <c r="C1045" s="16">
        <v>1</v>
      </c>
      <c r="D1045" s="16">
        <v>1</v>
      </c>
      <c r="E1045" s="16">
        <v>49</v>
      </c>
      <c r="F1045" s="17" t="s">
        <v>8</v>
      </c>
      <c r="G1045" s="17" t="s">
        <v>11</v>
      </c>
      <c r="H1045" s="3" t="s">
        <v>114</v>
      </c>
      <c r="I1045" s="5" t="s">
        <v>439</v>
      </c>
      <c r="J1045" s="16">
        <f>_xlfn.XLOOKUP(CustomerCombinedCleaned[[#This Row],[ID]], Table4[ID], Table4[Recency], "Not Found", 0)</f>
        <v>84</v>
      </c>
      <c r="K1045" s="16">
        <f>_xlfn.XLOOKUP(CustomerCombinedCleaned[[#This Row],[ID]], Table4[ID], Table4[Teas], "Not Found", 0)</f>
        <v>155</v>
      </c>
      <c r="L1045" s="16">
        <f>_xlfn.XLOOKUP(CustomerCombinedCleaned[[#This Row],[ID]], Table4[ID], Table4[Fruits], "Not Found", 0)</f>
        <v>18</v>
      </c>
      <c r="M1045" s="16">
        <f>_xlfn.XLOOKUP(CustomerCombinedCleaned[[#This Row],[ID]], Table4[ID], Table4[Meats], "Not Found", 0)</f>
        <v>101</v>
      </c>
      <c r="N1045" s="16">
        <f>_xlfn.XLOOKUP(CustomerCombinedCleaned[[#This Row],[ID]], Table4[ID], Table4[Seafood], "Not Found", 0)</f>
        <v>25</v>
      </c>
      <c r="O1045" s="16">
        <f>_xlfn.XLOOKUP(CustomerCombinedCleaned[[#This Row],[ID]], Table4[ID], Table4[Sweets], "Not Found", 0)</f>
        <v>22</v>
      </c>
      <c r="P1045" s="16">
        <f>_xlfn.XLOOKUP(CustomerCombinedCleaned[[#This Row],[ID]], Table4[ID], Table4[Premium], "Not Found", 0)</f>
        <v>119</v>
      </c>
      <c r="Q1045" s="16">
        <f>_xlfn.XLOOKUP(CustomerCombinedCleaned[[#This Row],[ID]], Table4[ID], Table4[Regular], "Not Found", 0)</f>
        <v>202</v>
      </c>
      <c r="R1045" s="16">
        <f>_xlfn.XLOOKUP(CustomerCombinedCleaned[[#This Row],[ID]], Table4[ID], Table4[Deals], "Not Found", 0)</f>
        <v>4</v>
      </c>
      <c r="S1045" s="16">
        <f>_xlfn.XLOOKUP(CustomerCombinedCleaned[[#This Row],[ID]], Table4[ID], Table4[Website], "Not Found", 0)</f>
        <v>3</v>
      </c>
      <c r="T1045" s="16">
        <f>_xlfn.XLOOKUP(CustomerCombinedCleaned[[#This Row],[ID]], Table4[ID], Table4[Catalog], "Not Found", 0)</f>
        <v>1</v>
      </c>
      <c r="U1045" s="16">
        <f>_xlfn.XLOOKUP(CustomerCombinedCleaned[[#This Row],[ID]], Table4[ID], Table4[Store], "Not Found", 0)</f>
        <v>3</v>
      </c>
      <c r="V1045" s="16">
        <f>_xlfn.XLOOKUP(CustomerCombinedCleaned[[#This Row],[ID]], Table4[ID], Table4[Visits], "Not Found", 0)</f>
        <v>5</v>
      </c>
      <c r="W1045" s="16">
        <f>_xlfn.XLOOKUP(CustomerCombinedCleaned[[#This Row],[ID]], Table2[ID],Table2[Complaint], "Not Found", 0 )</f>
        <v>0</v>
      </c>
      <c r="X1045" s="16">
        <f>_xlfn.XLOOKUP(CustomerCombinedCleaned[[#This Row],[ID]], Table2[ID],Table2[Pilot], "Not Found", 0 )</f>
        <v>0</v>
      </c>
      <c r="Y1045" s="16">
        <f>_xlfn.XLOOKUP(CustomerCombinedCleaned[[#This Row],[ID]], Table2[ID],Table2[MC1], "Not Found", 0 )</f>
        <v>0</v>
      </c>
      <c r="Z1045" s="16">
        <f>_xlfn.XLOOKUP(CustomerCombinedCleaned[[#This Row],[ID]], Table2[ID],Table2[MC2], "Not Found", 0 )</f>
        <v>0</v>
      </c>
      <c r="AA1045" s="16">
        <f>_xlfn.XLOOKUP(CustomerCombinedCleaned[[#This Row],[ID]], Table2[ID],Table2[MC3], "Not Found", 0 )</f>
        <v>0</v>
      </c>
      <c r="AB1045" s="16">
        <f>_xlfn.XLOOKUP(CustomerCombinedCleaned[[#This Row],[ID]], Table2[ID],Table2[MC4], "Not Found", 0 )</f>
        <v>0</v>
      </c>
      <c r="AC1045" s="16">
        <f>_xlfn.XLOOKUP(CustomerCombinedCleaned[[#This Row],[ID]], Table2[ID],Table2[MC5], "Not Found", 0 )</f>
        <v>0</v>
      </c>
    </row>
    <row r="1046" spans="1:29" x14ac:dyDescent="0.3">
      <c r="A1046" s="18">
        <v>1995</v>
      </c>
      <c r="B1046" s="16">
        <v>138196</v>
      </c>
      <c r="C1046" s="16">
        <v>1</v>
      </c>
      <c r="D1046" s="16">
        <v>1</v>
      </c>
      <c r="E1046" s="16">
        <v>49</v>
      </c>
      <c r="F1046" s="17" t="s">
        <v>6</v>
      </c>
      <c r="G1046" s="17" t="s">
        <v>12</v>
      </c>
      <c r="H1046" s="3" t="s">
        <v>64</v>
      </c>
      <c r="I1046" s="5" t="s">
        <v>435</v>
      </c>
      <c r="J1046" s="16">
        <f>_xlfn.XLOOKUP(CustomerCombinedCleaned[[#This Row],[ID]], Table4[ID], Table4[Recency], "Not Found", 0)</f>
        <v>20</v>
      </c>
      <c r="K1046" s="16">
        <f>_xlfn.XLOOKUP(CustomerCombinedCleaned[[#This Row],[ID]], Table4[ID], Table4[Teas], "Not Found", 0)</f>
        <v>109</v>
      </c>
      <c r="L1046" s="16">
        <f>_xlfn.XLOOKUP(CustomerCombinedCleaned[[#This Row],[ID]], Table4[ID], Table4[Fruits], "Not Found", 0)</f>
        <v>0</v>
      </c>
      <c r="M1046" s="16">
        <f>_xlfn.XLOOKUP(CustomerCombinedCleaned[[#This Row],[ID]], Table4[ID], Table4[Meats], "Not Found", 0)</f>
        <v>40</v>
      </c>
      <c r="N1046" s="16">
        <f>_xlfn.XLOOKUP(CustomerCombinedCleaned[[#This Row],[ID]], Table4[ID], Table4[Seafood], "Not Found", 0)</f>
        <v>0</v>
      </c>
      <c r="O1046" s="16">
        <f>_xlfn.XLOOKUP(CustomerCombinedCleaned[[#This Row],[ID]], Table4[ID], Table4[Sweets], "Not Found", 0)</f>
        <v>0</v>
      </c>
      <c r="P1046" s="16">
        <f>_xlfn.XLOOKUP(CustomerCombinedCleaned[[#This Row],[ID]], Table4[ID], Table4[Premium], "Not Found", 0)</f>
        <v>11</v>
      </c>
      <c r="Q1046" s="16">
        <f>_xlfn.XLOOKUP(CustomerCombinedCleaned[[#This Row],[ID]], Table4[ID], Table4[Regular], "Not Found", 0)</f>
        <v>137</v>
      </c>
      <c r="R1046" s="16">
        <f>_xlfn.XLOOKUP(CustomerCombinedCleaned[[#This Row],[ID]], Table4[ID], Table4[Deals], "Not Found", 0)</f>
        <v>3</v>
      </c>
      <c r="S1046" s="16">
        <f>_xlfn.XLOOKUP(CustomerCombinedCleaned[[#This Row],[ID]], Table4[ID], Table4[Website], "Not Found", 0)</f>
        <v>2</v>
      </c>
      <c r="T1046" s="16">
        <f>_xlfn.XLOOKUP(CustomerCombinedCleaned[[#This Row],[ID]], Table4[ID], Table4[Catalog], "Not Found", 0)</f>
        <v>0</v>
      </c>
      <c r="U1046" s="16">
        <f>_xlfn.XLOOKUP(CustomerCombinedCleaned[[#This Row],[ID]], Table4[ID], Table4[Store], "Not Found", 0)</f>
        <v>4</v>
      </c>
      <c r="V1046" s="16">
        <f>_xlfn.XLOOKUP(CustomerCombinedCleaned[[#This Row],[ID]], Table4[ID], Table4[Visits], "Not Found", 0)</f>
        <v>5</v>
      </c>
      <c r="W1046" s="16">
        <f>_xlfn.XLOOKUP(CustomerCombinedCleaned[[#This Row],[ID]], Table2[ID],Table2[Complaint], "Not Found", 0 )</f>
        <v>0</v>
      </c>
      <c r="X1046" s="16">
        <f>_xlfn.XLOOKUP(CustomerCombinedCleaned[[#This Row],[ID]], Table2[ID],Table2[Pilot], "Not Found", 0 )</f>
        <v>0</v>
      </c>
      <c r="Y1046" s="16">
        <f>_xlfn.XLOOKUP(CustomerCombinedCleaned[[#This Row],[ID]], Table2[ID],Table2[MC1], "Not Found", 0 )</f>
        <v>0</v>
      </c>
      <c r="Z1046" s="16">
        <f>_xlfn.XLOOKUP(CustomerCombinedCleaned[[#This Row],[ID]], Table2[ID],Table2[MC2], "Not Found", 0 )</f>
        <v>0</v>
      </c>
      <c r="AA1046" s="16">
        <f>_xlfn.XLOOKUP(CustomerCombinedCleaned[[#This Row],[ID]], Table2[ID],Table2[MC3], "Not Found", 0 )</f>
        <v>0</v>
      </c>
      <c r="AB1046" s="16">
        <f>_xlfn.XLOOKUP(CustomerCombinedCleaned[[#This Row],[ID]], Table2[ID],Table2[MC4], "Not Found", 0 )</f>
        <v>0</v>
      </c>
      <c r="AC1046" s="16">
        <f>_xlfn.XLOOKUP(CustomerCombinedCleaned[[#This Row],[ID]], Table2[ID],Table2[MC5], "Not Found", 0 )</f>
        <v>0</v>
      </c>
    </row>
    <row r="1047" spans="1:29" x14ac:dyDescent="0.3">
      <c r="A1047" s="18">
        <v>3019</v>
      </c>
      <c r="B1047" s="16">
        <v>137150</v>
      </c>
      <c r="C1047" s="16">
        <v>1</v>
      </c>
      <c r="D1047" s="16">
        <v>0</v>
      </c>
      <c r="E1047" s="16">
        <v>49</v>
      </c>
      <c r="F1047" s="17" t="s">
        <v>6</v>
      </c>
      <c r="G1047" s="17" t="s">
        <v>11</v>
      </c>
      <c r="H1047" s="3" t="s">
        <v>398</v>
      </c>
      <c r="I1047" s="5" t="s">
        <v>437</v>
      </c>
      <c r="J1047" s="16">
        <f>_xlfn.XLOOKUP(CustomerCombinedCleaned[[#This Row],[ID]], Table4[ID], Table4[Recency], "Not Found", 0)</f>
        <v>80</v>
      </c>
      <c r="K1047" s="16">
        <f>_xlfn.XLOOKUP(CustomerCombinedCleaned[[#This Row],[ID]], Table4[ID], Table4[Teas], "Not Found", 0)</f>
        <v>617</v>
      </c>
      <c r="L1047" s="16">
        <f>_xlfn.XLOOKUP(CustomerCombinedCleaned[[#This Row],[ID]], Table4[ID], Table4[Fruits], "Not Found", 0)</f>
        <v>137</v>
      </c>
      <c r="M1047" s="16">
        <f>_xlfn.XLOOKUP(CustomerCombinedCleaned[[#This Row],[ID]], Table4[ID], Table4[Meats], "Not Found", 0)</f>
        <v>236</v>
      </c>
      <c r="N1047" s="16">
        <f>_xlfn.XLOOKUP(CustomerCombinedCleaned[[#This Row],[ID]], Table4[ID], Table4[Seafood], "Not Found", 0)</f>
        <v>181</v>
      </c>
      <c r="O1047" s="16">
        <f>_xlfn.XLOOKUP(CustomerCombinedCleaned[[#This Row],[ID]], Table4[ID], Table4[Sweets], "Not Found", 0)</f>
        <v>126</v>
      </c>
      <c r="P1047" s="16">
        <f>_xlfn.XLOOKUP(CustomerCombinedCleaned[[#This Row],[ID]], Table4[ID], Table4[Premium], "Not Found", 0)</f>
        <v>428</v>
      </c>
      <c r="Q1047" s="16">
        <f>_xlfn.XLOOKUP(CustomerCombinedCleaned[[#This Row],[ID]], Table4[ID], Table4[Regular], "Not Found", 0)</f>
        <v>868</v>
      </c>
      <c r="R1047" s="16">
        <f>_xlfn.XLOOKUP(CustomerCombinedCleaned[[#This Row],[ID]], Table4[ID], Table4[Deals], "Not Found", 0)</f>
        <v>8</v>
      </c>
      <c r="S1047" s="16">
        <f>_xlfn.XLOOKUP(CustomerCombinedCleaned[[#This Row],[ID]], Table4[ID], Table4[Website], "Not Found", 0)</f>
        <v>4</v>
      </c>
      <c r="T1047" s="16">
        <f>_xlfn.XLOOKUP(CustomerCombinedCleaned[[#This Row],[ID]], Table4[ID], Table4[Catalog], "Not Found", 0)</f>
        <v>3</v>
      </c>
      <c r="U1047" s="16">
        <f>_xlfn.XLOOKUP(CustomerCombinedCleaned[[#This Row],[ID]], Table4[ID], Table4[Store], "Not Found", 0)</f>
        <v>6</v>
      </c>
      <c r="V1047" s="16">
        <f>_xlfn.XLOOKUP(CustomerCombinedCleaned[[#This Row],[ID]], Table4[ID], Table4[Visits], "Not Found", 0)</f>
        <v>7</v>
      </c>
      <c r="W1047" s="16">
        <f>_xlfn.XLOOKUP(CustomerCombinedCleaned[[#This Row],[ID]], Table2[ID],Table2[Complaint], "Not Found", 0 )</f>
        <v>0</v>
      </c>
      <c r="X1047" s="16">
        <f>_xlfn.XLOOKUP(CustomerCombinedCleaned[[#This Row],[ID]], Table2[ID],Table2[Pilot], "Not Found", 0 )</f>
        <v>0</v>
      </c>
      <c r="Y1047" s="16">
        <f>_xlfn.XLOOKUP(CustomerCombinedCleaned[[#This Row],[ID]], Table2[ID],Table2[MC1], "Not Found", 0 )</f>
        <v>0</v>
      </c>
      <c r="Z1047" s="16">
        <f>_xlfn.XLOOKUP(CustomerCombinedCleaned[[#This Row],[ID]], Table2[ID],Table2[MC2], "Not Found", 0 )</f>
        <v>0</v>
      </c>
      <c r="AA1047" s="16">
        <f>_xlfn.XLOOKUP(CustomerCombinedCleaned[[#This Row],[ID]], Table2[ID],Table2[MC3], "Not Found", 0 )</f>
        <v>0</v>
      </c>
      <c r="AB1047" s="16">
        <f>_xlfn.XLOOKUP(CustomerCombinedCleaned[[#This Row],[ID]], Table2[ID],Table2[MC4], "Not Found", 0 )</f>
        <v>0</v>
      </c>
      <c r="AC1047" s="16">
        <f>_xlfn.XLOOKUP(CustomerCombinedCleaned[[#This Row],[ID]], Table2[ID],Table2[MC5], "Not Found", 0 )</f>
        <v>0</v>
      </c>
    </row>
    <row r="1048" spans="1:29" x14ac:dyDescent="0.3">
      <c r="A1048" s="18">
        <v>2019</v>
      </c>
      <c r="B1048" s="16">
        <v>137126</v>
      </c>
      <c r="C1048" s="16">
        <v>1</v>
      </c>
      <c r="D1048" s="16">
        <v>0</v>
      </c>
      <c r="E1048" s="16">
        <v>49</v>
      </c>
      <c r="F1048" s="17" t="s">
        <v>6</v>
      </c>
      <c r="G1048" s="17" t="s">
        <v>13</v>
      </c>
      <c r="H1048" s="3" t="s">
        <v>775</v>
      </c>
      <c r="I1048" s="5" t="s">
        <v>435</v>
      </c>
      <c r="J1048" s="16">
        <f>_xlfn.XLOOKUP(CustomerCombinedCleaned[[#This Row],[ID]], Table4[ID], Table4[Recency], "Not Found", 0)</f>
        <v>9</v>
      </c>
      <c r="K1048" s="16">
        <f>_xlfn.XLOOKUP(CustomerCombinedCleaned[[#This Row],[ID]], Table4[ID], Table4[Teas], "Not Found", 0)</f>
        <v>166</v>
      </c>
      <c r="L1048" s="16">
        <f>_xlfn.XLOOKUP(CustomerCombinedCleaned[[#This Row],[ID]], Table4[ID], Table4[Fruits], "Not Found", 0)</f>
        <v>11</v>
      </c>
      <c r="M1048" s="16">
        <f>_xlfn.XLOOKUP(CustomerCombinedCleaned[[#This Row],[ID]], Table4[ID], Table4[Meats], "Not Found", 0)</f>
        <v>33</v>
      </c>
      <c r="N1048" s="16">
        <f>_xlfn.XLOOKUP(CustomerCombinedCleaned[[#This Row],[ID]], Table4[ID], Table4[Seafood], "Not Found", 0)</f>
        <v>15</v>
      </c>
      <c r="O1048" s="16">
        <f>_xlfn.XLOOKUP(CustomerCombinedCleaned[[#This Row],[ID]], Table4[ID], Table4[Sweets], "Not Found", 0)</f>
        <v>15</v>
      </c>
      <c r="P1048" s="16">
        <f>_xlfn.XLOOKUP(CustomerCombinedCleaned[[#This Row],[ID]], Table4[ID], Table4[Premium], "Not Found", 0)</f>
        <v>26</v>
      </c>
      <c r="Q1048" s="16">
        <f>_xlfn.XLOOKUP(CustomerCombinedCleaned[[#This Row],[ID]], Table4[ID], Table4[Regular], "Not Found", 0)</f>
        <v>214</v>
      </c>
      <c r="R1048" s="16">
        <f>_xlfn.XLOOKUP(CustomerCombinedCleaned[[#This Row],[ID]], Table4[ID], Table4[Deals], "Not Found", 0)</f>
        <v>1</v>
      </c>
      <c r="S1048" s="16">
        <f>_xlfn.XLOOKUP(CustomerCombinedCleaned[[#This Row],[ID]], Table4[ID], Table4[Website], "Not Found", 0)</f>
        <v>1</v>
      </c>
      <c r="T1048" s="16">
        <f>_xlfn.XLOOKUP(CustomerCombinedCleaned[[#This Row],[ID]], Table4[ID], Table4[Catalog], "Not Found", 0)</f>
        <v>2</v>
      </c>
      <c r="U1048" s="16">
        <f>_xlfn.XLOOKUP(CustomerCombinedCleaned[[#This Row],[ID]], Table4[ID], Table4[Store], "Not Found", 0)</f>
        <v>2</v>
      </c>
      <c r="V1048" s="16">
        <f>_xlfn.XLOOKUP(CustomerCombinedCleaned[[#This Row],[ID]], Table4[ID], Table4[Visits], "Not Found", 0)</f>
        <v>6</v>
      </c>
      <c r="W1048" s="16">
        <f>_xlfn.XLOOKUP(CustomerCombinedCleaned[[#This Row],[ID]], Table2[ID],Table2[Complaint], "Not Found", 0 )</f>
        <v>0</v>
      </c>
      <c r="X1048" s="16">
        <f>_xlfn.XLOOKUP(CustomerCombinedCleaned[[#This Row],[ID]], Table2[ID],Table2[Pilot], "Not Found", 0 )</f>
        <v>1</v>
      </c>
      <c r="Y1048" s="16">
        <f>_xlfn.XLOOKUP(CustomerCombinedCleaned[[#This Row],[ID]], Table2[ID],Table2[MC1], "Not Found", 0 )</f>
        <v>0</v>
      </c>
      <c r="Z1048" s="16">
        <f>_xlfn.XLOOKUP(CustomerCombinedCleaned[[#This Row],[ID]], Table2[ID],Table2[MC2], "Not Found", 0 )</f>
        <v>0</v>
      </c>
      <c r="AA1048" s="16">
        <f>_xlfn.XLOOKUP(CustomerCombinedCleaned[[#This Row],[ID]], Table2[ID],Table2[MC3], "Not Found", 0 )</f>
        <v>1</v>
      </c>
      <c r="AB1048" s="16">
        <f>_xlfn.XLOOKUP(CustomerCombinedCleaned[[#This Row],[ID]], Table2[ID],Table2[MC4], "Not Found", 0 )</f>
        <v>0</v>
      </c>
      <c r="AC1048" s="16">
        <f>_xlfn.XLOOKUP(CustomerCombinedCleaned[[#This Row],[ID]], Table2[ID],Table2[MC5], "Not Found", 0 )</f>
        <v>0</v>
      </c>
    </row>
    <row r="1049" spans="1:29" x14ac:dyDescent="0.3">
      <c r="A1049" s="18">
        <v>2062</v>
      </c>
      <c r="B1049" s="16">
        <v>136715</v>
      </c>
      <c r="C1049" s="16">
        <v>1</v>
      </c>
      <c r="D1049" s="16">
        <v>0</v>
      </c>
      <c r="E1049" s="16">
        <v>49</v>
      </c>
      <c r="F1049" s="17" t="s">
        <v>6</v>
      </c>
      <c r="G1049" s="17" t="s">
        <v>11</v>
      </c>
      <c r="H1049" s="3" t="s">
        <v>359</v>
      </c>
      <c r="I1049" s="5" t="s">
        <v>439</v>
      </c>
      <c r="J1049" s="16">
        <f>_xlfn.XLOOKUP(CustomerCombinedCleaned[[#This Row],[ID]], Table4[ID], Table4[Recency], "Not Found", 0)</f>
        <v>16</v>
      </c>
      <c r="K1049" s="16">
        <f>_xlfn.XLOOKUP(CustomerCombinedCleaned[[#This Row],[ID]], Table4[ID], Table4[Teas], "Not Found", 0)</f>
        <v>640</v>
      </c>
      <c r="L1049" s="16">
        <f>_xlfn.XLOOKUP(CustomerCombinedCleaned[[#This Row],[ID]], Table4[ID], Table4[Fruits], "Not Found", 0)</f>
        <v>37</v>
      </c>
      <c r="M1049" s="16">
        <f>_xlfn.XLOOKUP(CustomerCombinedCleaned[[#This Row],[ID]], Table4[ID], Table4[Meats], "Not Found", 0)</f>
        <v>465</v>
      </c>
      <c r="N1049" s="16">
        <f>_xlfn.XLOOKUP(CustomerCombinedCleaned[[#This Row],[ID]], Table4[ID], Table4[Seafood], "Not Found", 0)</f>
        <v>78</v>
      </c>
      <c r="O1049" s="16">
        <f>_xlfn.XLOOKUP(CustomerCombinedCleaned[[#This Row],[ID]], Table4[ID], Table4[Sweets], "Not Found", 0)</f>
        <v>48</v>
      </c>
      <c r="P1049" s="16">
        <f>_xlfn.XLOOKUP(CustomerCombinedCleaned[[#This Row],[ID]], Table4[ID], Table4[Premium], "Not Found", 0)</f>
        <v>60</v>
      </c>
      <c r="Q1049" s="16">
        <f>_xlfn.XLOOKUP(CustomerCombinedCleaned[[#This Row],[ID]], Table4[ID], Table4[Regular], "Not Found", 0)</f>
        <v>1210</v>
      </c>
      <c r="R1049" s="16">
        <f>_xlfn.XLOOKUP(CustomerCombinedCleaned[[#This Row],[ID]], Table4[ID], Table4[Deals], "Not Found", 0)</f>
        <v>6</v>
      </c>
      <c r="S1049" s="16">
        <f>_xlfn.XLOOKUP(CustomerCombinedCleaned[[#This Row],[ID]], Table4[ID], Table4[Website], "Not Found", 0)</f>
        <v>7</v>
      </c>
      <c r="T1049" s="16">
        <f>_xlfn.XLOOKUP(CustomerCombinedCleaned[[#This Row],[ID]], Table4[ID], Table4[Catalog], "Not Found", 0)</f>
        <v>2</v>
      </c>
      <c r="U1049" s="16">
        <f>_xlfn.XLOOKUP(CustomerCombinedCleaned[[#This Row],[ID]], Table4[ID], Table4[Store], "Not Found", 0)</f>
        <v>4</v>
      </c>
      <c r="V1049" s="16">
        <f>_xlfn.XLOOKUP(CustomerCombinedCleaned[[#This Row],[ID]], Table4[ID], Table4[Visits], "Not Found", 0)</f>
        <v>9</v>
      </c>
      <c r="W1049" s="16">
        <f>_xlfn.XLOOKUP(CustomerCombinedCleaned[[#This Row],[ID]], Table2[ID],Table2[Complaint], "Not Found", 0 )</f>
        <v>0</v>
      </c>
      <c r="X1049" s="16">
        <f>_xlfn.XLOOKUP(CustomerCombinedCleaned[[#This Row],[ID]], Table2[ID],Table2[Pilot], "Not Found", 0 )</f>
        <v>1</v>
      </c>
      <c r="Y1049" s="16">
        <f>_xlfn.XLOOKUP(CustomerCombinedCleaned[[#This Row],[ID]], Table2[ID],Table2[MC1], "Not Found", 0 )</f>
        <v>0</v>
      </c>
      <c r="Z1049" s="16">
        <f>_xlfn.XLOOKUP(CustomerCombinedCleaned[[#This Row],[ID]], Table2[ID],Table2[MC2], "Not Found", 0 )</f>
        <v>0</v>
      </c>
      <c r="AA1049" s="16">
        <f>_xlfn.XLOOKUP(CustomerCombinedCleaned[[#This Row],[ID]], Table2[ID],Table2[MC3], "Not Found", 0 )</f>
        <v>0</v>
      </c>
      <c r="AB1049" s="16">
        <f>_xlfn.XLOOKUP(CustomerCombinedCleaned[[#This Row],[ID]], Table2[ID],Table2[MC4], "Not Found", 0 )</f>
        <v>0</v>
      </c>
      <c r="AC1049" s="16">
        <f>_xlfn.XLOOKUP(CustomerCombinedCleaned[[#This Row],[ID]], Table2[ID],Table2[MC5], "Not Found", 0 )</f>
        <v>0</v>
      </c>
    </row>
    <row r="1050" spans="1:29" x14ac:dyDescent="0.3">
      <c r="A1050" s="18">
        <v>1436</v>
      </c>
      <c r="B1050" s="16">
        <v>136230</v>
      </c>
      <c r="C1050" s="16">
        <v>1</v>
      </c>
      <c r="D1050" s="16">
        <v>0</v>
      </c>
      <c r="E1050" s="16">
        <v>49</v>
      </c>
      <c r="F1050" s="17" t="s">
        <v>7</v>
      </c>
      <c r="G1050" s="17" t="s">
        <v>12</v>
      </c>
      <c r="H1050" s="3" t="s">
        <v>165</v>
      </c>
      <c r="I1050" s="5" t="s">
        <v>438</v>
      </c>
      <c r="J1050" s="16">
        <f>_xlfn.XLOOKUP(CustomerCombinedCleaned[[#This Row],[ID]], Table4[ID], Table4[Recency], "Not Found", 0)</f>
        <v>17</v>
      </c>
      <c r="K1050" s="16">
        <f>_xlfn.XLOOKUP(CustomerCombinedCleaned[[#This Row],[ID]], Table4[ID], Table4[Teas], "Not Found", 0)</f>
        <v>53</v>
      </c>
      <c r="L1050" s="16">
        <f>_xlfn.XLOOKUP(CustomerCombinedCleaned[[#This Row],[ID]], Table4[ID], Table4[Fruits], "Not Found", 0)</f>
        <v>8</v>
      </c>
      <c r="M1050" s="16">
        <f>_xlfn.XLOOKUP(CustomerCombinedCleaned[[#This Row],[ID]], Table4[ID], Table4[Meats], "Not Found", 0)</f>
        <v>113</v>
      </c>
      <c r="N1050" s="16">
        <f>_xlfn.XLOOKUP(CustomerCombinedCleaned[[#This Row],[ID]], Table4[ID], Table4[Seafood], "Not Found", 0)</f>
        <v>30</v>
      </c>
      <c r="O1050" s="16">
        <f>_xlfn.XLOOKUP(CustomerCombinedCleaned[[#This Row],[ID]], Table4[ID], Table4[Sweets], "Not Found", 0)</f>
        <v>8</v>
      </c>
      <c r="P1050" s="16">
        <f>_xlfn.XLOOKUP(CustomerCombinedCleaned[[#This Row],[ID]], Table4[ID], Table4[Premium], "Not Found", 0)</f>
        <v>11</v>
      </c>
      <c r="Q1050" s="16">
        <f>_xlfn.XLOOKUP(CustomerCombinedCleaned[[#This Row],[ID]], Table4[ID], Table4[Regular], "Not Found", 0)</f>
        <v>199</v>
      </c>
      <c r="R1050" s="16">
        <f>_xlfn.XLOOKUP(CustomerCombinedCleaned[[#This Row],[ID]], Table4[ID], Table4[Deals], "Not Found", 0)</f>
        <v>1</v>
      </c>
      <c r="S1050" s="16">
        <f>_xlfn.XLOOKUP(CustomerCombinedCleaned[[#This Row],[ID]], Table4[ID], Table4[Website], "Not Found", 0)</f>
        <v>2</v>
      </c>
      <c r="T1050" s="16">
        <f>_xlfn.XLOOKUP(CustomerCombinedCleaned[[#This Row],[ID]], Table4[ID], Table4[Catalog], "Not Found", 0)</f>
        <v>0</v>
      </c>
      <c r="U1050" s="16">
        <f>_xlfn.XLOOKUP(CustomerCombinedCleaned[[#This Row],[ID]], Table4[ID], Table4[Store], "Not Found", 0)</f>
        <v>4</v>
      </c>
      <c r="V1050" s="16">
        <f>_xlfn.XLOOKUP(CustomerCombinedCleaned[[#This Row],[ID]], Table4[ID], Table4[Visits], "Not Found", 0)</f>
        <v>5</v>
      </c>
      <c r="W1050" s="16">
        <f>_xlfn.XLOOKUP(CustomerCombinedCleaned[[#This Row],[ID]], Table2[ID],Table2[Complaint], "Not Found", 0 )</f>
        <v>0</v>
      </c>
      <c r="X1050" s="16">
        <f>_xlfn.XLOOKUP(CustomerCombinedCleaned[[#This Row],[ID]], Table2[ID],Table2[Pilot], "Not Found", 0 )</f>
        <v>0</v>
      </c>
      <c r="Y1050" s="16">
        <f>_xlfn.XLOOKUP(CustomerCombinedCleaned[[#This Row],[ID]], Table2[ID],Table2[MC1], "Not Found", 0 )</f>
        <v>0</v>
      </c>
      <c r="Z1050" s="16">
        <f>_xlfn.XLOOKUP(CustomerCombinedCleaned[[#This Row],[ID]], Table2[ID],Table2[MC2], "Not Found", 0 )</f>
        <v>0</v>
      </c>
      <c r="AA1050" s="16">
        <f>_xlfn.XLOOKUP(CustomerCombinedCleaned[[#This Row],[ID]], Table2[ID],Table2[MC3], "Not Found", 0 )</f>
        <v>0</v>
      </c>
      <c r="AB1050" s="16">
        <f>_xlfn.XLOOKUP(CustomerCombinedCleaned[[#This Row],[ID]], Table2[ID],Table2[MC4], "Not Found", 0 )</f>
        <v>0</v>
      </c>
      <c r="AC1050" s="16">
        <f>_xlfn.XLOOKUP(CustomerCombinedCleaned[[#This Row],[ID]], Table2[ID],Table2[MC5], "Not Found", 0 )</f>
        <v>0</v>
      </c>
    </row>
    <row r="1051" spans="1:29" x14ac:dyDescent="0.3">
      <c r="A1051" s="18">
        <v>3109</v>
      </c>
      <c r="B1051" s="16">
        <v>135788</v>
      </c>
      <c r="C1051" s="16">
        <v>1</v>
      </c>
      <c r="D1051" s="16">
        <v>1</v>
      </c>
      <c r="E1051" s="16">
        <v>49</v>
      </c>
      <c r="F1051" s="17" t="s">
        <v>6</v>
      </c>
      <c r="G1051" s="17" t="s">
        <v>11</v>
      </c>
      <c r="H1051" s="3" t="s">
        <v>109</v>
      </c>
      <c r="I1051" s="5" t="s">
        <v>437</v>
      </c>
      <c r="J1051" s="16">
        <f>_xlfn.XLOOKUP(CustomerCombinedCleaned[[#This Row],[ID]], Table4[ID], Table4[Recency], "Not Found", 0)</f>
        <v>34</v>
      </c>
      <c r="K1051" s="16">
        <f>_xlfn.XLOOKUP(CustomerCombinedCleaned[[#This Row],[ID]], Table4[ID], Table4[Teas], "Not Found", 0)</f>
        <v>87</v>
      </c>
      <c r="L1051" s="16">
        <f>_xlfn.XLOOKUP(CustomerCombinedCleaned[[#This Row],[ID]], Table4[ID], Table4[Fruits], "Not Found", 0)</f>
        <v>8</v>
      </c>
      <c r="M1051" s="16">
        <f>_xlfn.XLOOKUP(CustomerCombinedCleaned[[#This Row],[ID]], Table4[ID], Table4[Meats], "Not Found", 0)</f>
        <v>42</v>
      </c>
      <c r="N1051" s="16">
        <f>_xlfn.XLOOKUP(CustomerCombinedCleaned[[#This Row],[ID]], Table4[ID], Table4[Seafood], "Not Found", 0)</f>
        <v>11</v>
      </c>
      <c r="O1051" s="16">
        <f>_xlfn.XLOOKUP(CustomerCombinedCleaned[[#This Row],[ID]], Table4[ID], Table4[Sweets], "Not Found", 0)</f>
        <v>4</v>
      </c>
      <c r="P1051" s="16">
        <f>_xlfn.XLOOKUP(CustomerCombinedCleaned[[#This Row],[ID]], Table4[ID], Table4[Premium], "Not Found", 0)</f>
        <v>15</v>
      </c>
      <c r="Q1051" s="16">
        <f>_xlfn.XLOOKUP(CustomerCombinedCleaned[[#This Row],[ID]], Table4[ID], Table4[Regular], "Not Found", 0)</f>
        <v>137</v>
      </c>
      <c r="R1051" s="16">
        <f>_xlfn.XLOOKUP(CustomerCombinedCleaned[[#This Row],[ID]], Table4[ID], Table4[Deals], "Not Found", 0)</f>
        <v>2</v>
      </c>
      <c r="S1051" s="16">
        <f>_xlfn.XLOOKUP(CustomerCombinedCleaned[[#This Row],[ID]], Table4[ID], Table4[Website], "Not Found", 0)</f>
        <v>2</v>
      </c>
      <c r="T1051" s="16">
        <f>_xlfn.XLOOKUP(CustomerCombinedCleaned[[#This Row],[ID]], Table4[ID], Table4[Catalog], "Not Found", 0)</f>
        <v>0</v>
      </c>
      <c r="U1051" s="16">
        <f>_xlfn.XLOOKUP(CustomerCombinedCleaned[[#This Row],[ID]], Table4[ID], Table4[Store], "Not Found", 0)</f>
        <v>3</v>
      </c>
      <c r="V1051" s="16">
        <f>_xlfn.XLOOKUP(CustomerCombinedCleaned[[#This Row],[ID]], Table4[ID], Table4[Visits], "Not Found", 0)</f>
        <v>6</v>
      </c>
      <c r="W1051" s="16">
        <f>_xlfn.XLOOKUP(CustomerCombinedCleaned[[#This Row],[ID]], Table2[ID],Table2[Complaint], "Not Found", 0 )</f>
        <v>0</v>
      </c>
      <c r="X1051" s="16">
        <f>_xlfn.XLOOKUP(CustomerCombinedCleaned[[#This Row],[ID]], Table2[ID],Table2[Pilot], "Not Found", 0 )</f>
        <v>0</v>
      </c>
      <c r="Y1051" s="16">
        <f>_xlfn.XLOOKUP(CustomerCombinedCleaned[[#This Row],[ID]], Table2[ID],Table2[MC1], "Not Found", 0 )</f>
        <v>0</v>
      </c>
      <c r="Z1051" s="16">
        <f>_xlfn.XLOOKUP(CustomerCombinedCleaned[[#This Row],[ID]], Table2[ID],Table2[MC2], "Not Found", 0 )</f>
        <v>0</v>
      </c>
      <c r="AA1051" s="16">
        <f>_xlfn.XLOOKUP(CustomerCombinedCleaned[[#This Row],[ID]], Table2[ID],Table2[MC3], "Not Found", 0 )</f>
        <v>0</v>
      </c>
      <c r="AB1051" s="16">
        <f>_xlfn.XLOOKUP(CustomerCombinedCleaned[[#This Row],[ID]], Table2[ID],Table2[MC4], "Not Found", 0 )</f>
        <v>0</v>
      </c>
      <c r="AC1051" s="16">
        <f>_xlfn.XLOOKUP(CustomerCombinedCleaned[[#This Row],[ID]], Table2[ID],Table2[MC5], "Not Found", 0 )</f>
        <v>0</v>
      </c>
    </row>
    <row r="1052" spans="1:29" x14ac:dyDescent="0.3">
      <c r="A1052" s="18">
        <v>1318</v>
      </c>
      <c r="B1052" s="16">
        <v>135178</v>
      </c>
      <c r="C1052" s="16">
        <v>1</v>
      </c>
      <c r="D1052" s="16">
        <v>0</v>
      </c>
      <c r="E1052" s="16">
        <v>49</v>
      </c>
      <c r="F1052" s="17" t="s">
        <v>6</v>
      </c>
      <c r="G1052" s="17" t="s">
        <v>12</v>
      </c>
      <c r="H1052" s="3" t="s">
        <v>330</v>
      </c>
      <c r="I1052" s="5" t="s">
        <v>439</v>
      </c>
      <c r="J1052" s="16">
        <f>_xlfn.XLOOKUP(CustomerCombinedCleaned[[#This Row],[ID]], Table4[ID], Table4[Recency], "Not Found", 0)</f>
        <v>10</v>
      </c>
      <c r="K1052" s="16">
        <f>_xlfn.XLOOKUP(CustomerCombinedCleaned[[#This Row],[ID]], Table4[ID], Table4[Teas], "Not Found", 0)</f>
        <v>88</v>
      </c>
      <c r="L1052" s="16">
        <f>_xlfn.XLOOKUP(CustomerCombinedCleaned[[#This Row],[ID]], Table4[ID], Table4[Fruits], "Not Found", 0)</f>
        <v>4</v>
      </c>
      <c r="M1052" s="16">
        <f>_xlfn.XLOOKUP(CustomerCombinedCleaned[[#This Row],[ID]], Table4[ID], Table4[Meats], "Not Found", 0)</f>
        <v>50</v>
      </c>
      <c r="N1052" s="16">
        <f>_xlfn.XLOOKUP(CustomerCombinedCleaned[[#This Row],[ID]], Table4[ID], Table4[Seafood], "Not Found", 0)</f>
        <v>8</v>
      </c>
      <c r="O1052" s="16">
        <f>_xlfn.XLOOKUP(CustomerCombinedCleaned[[#This Row],[ID]], Table4[ID], Table4[Sweets], "Not Found", 0)</f>
        <v>8</v>
      </c>
      <c r="P1052" s="16">
        <f>_xlfn.XLOOKUP(CustomerCombinedCleaned[[#This Row],[ID]], Table4[ID], Table4[Premium], "Not Found", 0)</f>
        <v>69</v>
      </c>
      <c r="Q1052" s="16">
        <f>_xlfn.XLOOKUP(CustomerCombinedCleaned[[#This Row],[ID]], Table4[ID], Table4[Regular], "Not Found", 0)</f>
        <v>88</v>
      </c>
      <c r="R1052" s="16">
        <f>_xlfn.XLOOKUP(CustomerCombinedCleaned[[#This Row],[ID]], Table4[ID], Table4[Deals], "Not Found", 0)</f>
        <v>1</v>
      </c>
      <c r="S1052" s="16">
        <f>_xlfn.XLOOKUP(CustomerCombinedCleaned[[#This Row],[ID]], Table4[ID], Table4[Website], "Not Found", 0)</f>
        <v>1</v>
      </c>
      <c r="T1052" s="16">
        <f>_xlfn.XLOOKUP(CustomerCombinedCleaned[[#This Row],[ID]], Table4[ID], Table4[Catalog], "Not Found", 0)</f>
        <v>1</v>
      </c>
      <c r="U1052" s="16">
        <f>_xlfn.XLOOKUP(CustomerCombinedCleaned[[#This Row],[ID]], Table4[ID], Table4[Store], "Not Found", 0)</f>
        <v>2</v>
      </c>
      <c r="V1052" s="16">
        <f>_xlfn.XLOOKUP(CustomerCombinedCleaned[[#This Row],[ID]], Table4[ID], Table4[Visits], "Not Found", 0)</f>
        <v>7</v>
      </c>
      <c r="W1052" s="16">
        <f>_xlfn.XLOOKUP(CustomerCombinedCleaned[[#This Row],[ID]], Table2[ID],Table2[Complaint], "Not Found", 0 )</f>
        <v>0</v>
      </c>
      <c r="X1052" s="16">
        <f>_xlfn.XLOOKUP(CustomerCombinedCleaned[[#This Row],[ID]], Table2[ID],Table2[Pilot], "Not Found", 0 )</f>
        <v>1</v>
      </c>
      <c r="Y1052" s="16">
        <f>_xlfn.XLOOKUP(CustomerCombinedCleaned[[#This Row],[ID]], Table2[ID],Table2[MC1], "Not Found", 0 )</f>
        <v>0</v>
      </c>
      <c r="Z1052" s="16">
        <f>_xlfn.XLOOKUP(CustomerCombinedCleaned[[#This Row],[ID]], Table2[ID],Table2[MC2], "Not Found", 0 )</f>
        <v>0</v>
      </c>
      <c r="AA1052" s="16">
        <f>_xlfn.XLOOKUP(CustomerCombinedCleaned[[#This Row],[ID]], Table2[ID],Table2[MC3], "Not Found", 0 )</f>
        <v>1</v>
      </c>
      <c r="AB1052" s="16">
        <f>_xlfn.XLOOKUP(CustomerCombinedCleaned[[#This Row],[ID]], Table2[ID],Table2[MC4], "Not Found", 0 )</f>
        <v>0</v>
      </c>
      <c r="AC1052" s="16">
        <f>_xlfn.XLOOKUP(CustomerCombinedCleaned[[#This Row],[ID]], Table2[ID],Table2[MC5], "Not Found", 0 )</f>
        <v>0</v>
      </c>
    </row>
    <row r="1053" spans="1:29" x14ac:dyDescent="0.3">
      <c r="A1053" s="18">
        <v>1690</v>
      </c>
      <c r="B1053" s="16">
        <v>135178</v>
      </c>
      <c r="C1053" s="16">
        <v>1</v>
      </c>
      <c r="D1053" s="16">
        <v>0</v>
      </c>
      <c r="E1053" s="16">
        <v>49</v>
      </c>
      <c r="F1053" s="17" t="s">
        <v>6</v>
      </c>
      <c r="G1053" s="17" t="s">
        <v>12</v>
      </c>
      <c r="H1053" s="3" t="s">
        <v>330</v>
      </c>
      <c r="I1053" s="5" t="s">
        <v>439</v>
      </c>
      <c r="J1053" s="16">
        <f>_xlfn.XLOOKUP(CustomerCombinedCleaned[[#This Row],[ID]], Table4[ID], Table4[Recency], "Not Found", 0)</f>
        <v>10</v>
      </c>
      <c r="K1053" s="16">
        <f>_xlfn.XLOOKUP(CustomerCombinedCleaned[[#This Row],[ID]], Table4[ID], Table4[Teas], "Not Found", 0)</f>
        <v>88</v>
      </c>
      <c r="L1053" s="16">
        <f>_xlfn.XLOOKUP(CustomerCombinedCleaned[[#This Row],[ID]], Table4[ID], Table4[Fruits], "Not Found", 0)</f>
        <v>4</v>
      </c>
      <c r="M1053" s="16">
        <f>_xlfn.XLOOKUP(CustomerCombinedCleaned[[#This Row],[ID]], Table4[ID], Table4[Meats], "Not Found", 0)</f>
        <v>50</v>
      </c>
      <c r="N1053" s="16">
        <f>_xlfn.XLOOKUP(CustomerCombinedCleaned[[#This Row],[ID]], Table4[ID], Table4[Seafood], "Not Found", 0)</f>
        <v>8</v>
      </c>
      <c r="O1053" s="16">
        <f>_xlfn.XLOOKUP(CustomerCombinedCleaned[[#This Row],[ID]], Table4[ID], Table4[Sweets], "Not Found", 0)</f>
        <v>8</v>
      </c>
      <c r="P1053" s="16">
        <f>_xlfn.XLOOKUP(CustomerCombinedCleaned[[#This Row],[ID]], Table4[ID], Table4[Premium], "Not Found", 0)</f>
        <v>69</v>
      </c>
      <c r="Q1053" s="16">
        <f>_xlfn.XLOOKUP(CustomerCombinedCleaned[[#This Row],[ID]], Table4[ID], Table4[Regular], "Not Found", 0)</f>
        <v>88</v>
      </c>
      <c r="R1053" s="16">
        <f>_xlfn.XLOOKUP(CustomerCombinedCleaned[[#This Row],[ID]], Table4[ID], Table4[Deals], "Not Found", 0)</f>
        <v>1</v>
      </c>
      <c r="S1053" s="16">
        <f>_xlfn.XLOOKUP(CustomerCombinedCleaned[[#This Row],[ID]], Table4[ID], Table4[Website], "Not Found", 0)</f>
        <v>1</v>
      </c>
      <c r="T1053" s="16">
        <f>_xlfn.XLOOKUP(CustomerCombinedCleaned[[#This Row],[ID]], Table4[ID], Table4[Catalog], "Not Found", 0)</f>
        <v>1</v>
      </c>
      <c r="U1053" s="16">
        <f>_xlfn.XLOOKUP(CustomerCombinedCleaned[[#This Row],[ID]], Table4[ID], Table4[Store], "Not Found", 0)</f>
        <v>2</v>
      </c>
      <c r="V1053" s="16">
        <f>_xlfn.XLOOKUP(CustomerCombinedCleaned[[#This Row],[ID]], Table4[ID], Table4[Visits], "Not Found", 0)</f>
        <v>7</v>
      </c>
      <c r="W1053" s="16">
        <f>_xlfn.XLOOKUP(CustomerCombinedCleaned[[#This Row],[ID]], Table2[ID],Table2[Complaint], "Not Found", 0 )</f>
        <v>0</v>
      </c>
      <c r="X1053" s="16">
        <f>_xlfn.XLOOKUP(CustomerCombinedCleaned[[#This Row],[ID]], Table2[ID],Table2[Pilot], "Not Found", 0 )</f>
        <v>1</v>
      </c>
      <c r="Y1053" s="16">
        <f>_xlfn.XLOOKUP(CustomerCombinedCleaned[[#This Row],[ID]], Table2[ID],Table2[MC1], "Not Found", 0 )</f>
        <v>0</v>
      </c>
      <c r="Z1053" s="16">
        <f>_xlfn.XLOOKUP(CustomerCombinedCleaned[[#This Row],[ID]], Table2[ID],Table2[MC2], "Not Found", 0 )</f>
        <v>0</v>
      </c>
      <c r="AA1053" s="16">
        <f>_xlfn.XLOOKUP(CustomerCombinedCleaned[[#This Row],[ID]], Table2[ID],Table2[MC3], "Not Found", 0 )</f>
        <v>1</v>
      </c>
      <c r="AB1053" s="16">
        <f>_xlfn.XLOOKUP(CustomerCombinedCleaned[[#This Row],[ID]], Table2[ID],Table2[MC4], "Not Found", 0 )</f>
        <v>0</v>
      </c>
      <c r="AC1053" s="16">
        <f>_xlfn.XLOOKUP(CustomerCombinedCleaned[[#This Row],[ID]], Table2[ID],Table2[MC5], "Not Found", 0 )</f>
        <v>0</v>
      </c>
    </row>
    <row r="1054" spans="1:29" x14ac:dyDescent="0.3">
      <c r="A1054" s="18">
        <v>2759</v>
      </c>
      <c r="B1054" s="16">
        <v>134600</v>
      </c>
      <c r="C1054" s="16">
        <v>1</v>
      </c>
      <c r="D1054" s="16">
        <v>1</v>
      </c>
      <c r="E1054" s="16">
        <v>49</v>
      </c>
      <c r="F1054" s="17" t="s">
        <v>8</v>
      </c>
      <c r="G1054" s="17" t="s">
        <v>11</v>
      </c>
      <c r="H1054" s="3" t="s">
        <v>771</v>
      </c>
      <c r="I1054" s="5" t="s">
        <v>434</v>
      </c>
      <c r="J1054" s="16">
        <f>_xlfn.XLOOKUP(CustomerCombinedCleaned[[#This Row],[ID]], Table4[ID], Table4[Recency], "Not Found", 0)</f>
        <v>8</v>
      </c>
      <c r="K1054" s="16">
        <f>_xlfn.XLOOKUP(CustomerCombinedCleaned[[#This Row],[ID]], Table4[ID], Table4[Teas], "Not Found", 0)</f>
        <v>774</v>
      </c>
      <c r="L1054" s="16">
        <f>_xlfn.XLOOKUP(CustomerCombinedCleaned[[#This Row],[ID]], Table4[ID], Table4[Fruits], "Not Found", 0)</f>
        <v>128</v>
      </c>
      <c r="M1054" s="16">
        <f>_xlfn.XLOOKUP(CustomerCombinedCleaned[[#This Row],[ID]], Table4[ID], Table4[Meats], "Not Found", 0)</f>
        <v>233</v>
      </c>
      <c r="N1054" s="16">
        <f>_xlfn.XLOOKUP(CustomerCombinedCleaned[[#This Row],[ID]], Table4[ID], Table4[Seafood], "Not Found", 0)</f>
        <v>31</v>
      </c>
      <c r="O1054" s="16">
        <f>_xlfn.XLOOKUP(CustomerCombinedCleaned[[#This Row],[ID]], Table4[ID], Table4[Sweets], "Not Found", 0)</f>
        <v>12</v>
      </c>
      <c r="P1054" s="16">
        <f>_xlfn.XLOOKUP(CustomerCombinedCleaned[[#This Row],[ID]], Table4[ID], Table4[Premium], "Not Found", 0)</f>
        <v>58</v>
      </c>
      <c r="Q1054" s="16">
        <f>_xlfn.XLOOKUP(CustomerCombinedCleaned[[#This Row],[ID]], Table4[ID], Table4[Regular], "Not Found", 0)</f>
        <v>1120</v>
      </c>
      <c r="R1054" s="16">
        <f>_xlfn.XLOOKUP(CustomerCombinedCleaned[[#This Row],[ID]], Table4[ID], Table4[Deals], "Not Found", 0)</f>
        <v>5</v>
      </c>
      <c r="S1054" s="16">
        <f>_xlfn.XLOOKUP(CustomerCombinedCleaned[[#This Row],[ID]], Table4[ID], Table4[Website], "Not Found", 0)</f>
        <v>5</v>
      </c>
      <c r="T1054" s="16">
        <f>_xlfn.XLOOKUP(CustomerCombinedCleaned[[#This Row],[ID]], Table4[ID], Table4[Catalog], "Not Found", 0)</f>
        <v>2</v>
      </c>
      <c r="U1054" s="16">
        <f>_xlfn.XLOOKUP(CustomerCombinedCleaned[[#This Row],[ID]], Table4[ID], Table4[Store], "Not Found", 0)</f>
        <v>5</v>
      </c>
      <c r="V1054" s="16">
        <f>_xlfn.XLOOKUP(CustomerCombinedCleaned[[#This Row],[ID]], Table4[ID], Table4[Visits], "Not Found", 0)</f>
        <v>8</v>
      </c>
      <c r="W1054" s="16">
        <f>_xlfn.XLOOKUP(CustomerCombinedCleaned[[#This Row],[ID]], Table2[ID],Table2[Complaint], "Not Found", 0 )</f>
        <v>0</v>
      </c>
      <c r="X1054" s="16">
        <f>_xlfn.XLOOKUP(CustomerCombinedCleaned[[#This Row],[ID]], Table2[ID],Table2[Pilot], "Not Found", 0 )</f>
        <v>1</v>
      </c>
      <c r="Y1054" s="16">
        <f>_xlfn.XLOOKUP(CustomerCombinedCleaned[[#This Row],[ID]], Table2[ID],Table2[MC1], "Not Found", 0 )</f>
        <v>0</v>
      </c>
      <c r="Z1054" s="16">
        <f>_xlfn.XLOOKUP(CustomerCombinedCleaned[[#This Row],[ID]], Table2[ID],Table2[MC2], "Not Found", 0 )</f>
        <v>0</v>
      </c>
      <c r="AA1054" s="16">
        <f>_xlfn.XLOOKUP(CustomerCombinedCleaned[[#This Row],[ID]], Table2[ID],Table2[MC3], "Not Found", 0 )</f>
        <v>0</v>
      </c>
      <c r="AB1054" s="16">
        <f>_xlfn.XLOOKUP(CustomerCombinedCleaned[[#This Row],[ID]], Table2[ID],Table2[MC4], "Not Found", 0 )</f>
        <v>0</v>
      </c>
      <c r="AC1054" s="16">
        <f>_xlfn.XLOOKUP(CustomerCombinedCleaned[[#This Row],[ID]], Table2[ID],Table2[MC5], "Not Found", 0 )</f>
        <v>0</v>
      </c>
    </row>
    <row r="1055" spans="1:29" x14ac:dyDescent="0.3">
      <c r="A1055" s="18">
        <v>2947</v>
      </c>
      <c r="B1055" s="16">
        <v>134600</v>
      </c>
      <c r="C1055" s="16">
        <v>1</v>
      </c>
      <c r="D1055" s="16">
        <v>1</v>
      </c>
      <c r="E1055" s="16">
        <v>49</v>
      </c>
      <c r="F1055" s="17" t="s">
        <v>8</v>
      </c>
      <c r="G1055" s="17" t="s">
        <v>11</v>
      </c>
      <c r="H1055" s="3" t="s">
        <v>771</v>
      </c>
      <c r="I1055" s="5" t="s">
        <v>437</v>
      </c>
      <c r="J1055" s="16">
        <f>_xlfn.XLOOKUP(CustomerCombinedCleaned[[#This Row],[ID]], Table4[ID], Table4[Recency], "Not Found", 0)</f>
        <v>8</v>
      </c>
      <c r="K1055" s="16">
        <f>_xlfn.XLOOKUP(CustomerCombinedCleaned[[#This Row],[ID]], Table4[ID], Table4[Teas], "Not Found", 0)</f>
        <v>774</v>
      </c>
      <c r="L1055" s="16">
        <f>_xlfn.XLOOKUP(CustomerCombinedCleaned[[#This Row],[ID]], Table4[ID], Table4[Fruits], "Not Found", 0)</f>
        <v>128</v>
      </c>
      <c r="M1055" s="16">
        <f>_xlfn.XLOOKUP(CustomerCombinedCleaned[[#This Row],[ID]], Table4[ID], Table4[Meats], "Not Found", 0)</f>
        <v>233</v>
      </c>
      <c r="N1055" s="16">
        <f>_xlfn.XLOOKUP(CustomerCombinedCleaned[[#This Row],[ID]], Table4[ID], Table4[Seafood], "Not Found", 0)</f>
        <v>31</v>
      </c>
      <c r="O1055" s="16">
        <f>_xlfn.XLOOKUP(CustomerCombinedCleaned[[#This Row],[ID]], Table4[ID], Table4[Sweets], "Not Found", 0)</f>
        <v>12</v>
      </c>
      <c r="P1055" s="16">
        <f>_xlfn.XLOOKUP(CustomerCombinedCleaned[[#This Row],[ID]], Table4[ID], Table4[Premium], "Not Found", 0)</f>
        <v>58</v>
      </c>
      <c r="Q1055" s="16">
        <f>_xlfn.XLOOKUP(CustomerCombinedCleaned[[#This Row],[ID]], Table4[ID], Table4[Regular], "Not Found", 0)</f>
        <v>1120</v>
      </c>
      <c r="R1055" s="16">
        <f>_xlfn.XLOOKUP(CustomerCombinedCleaned[[#This Row],[ID]], Table4[ID], Table4[Deals], "Not Found", 0)</f>
        <v>5</v>
      </c>
      <c r="S1055" s="16">
        <f>_xlfn.XLOOKUP(CustomerCombinedCleaned[[#This Row],[ID]], Table4[ID], Table4[Website], "Not Found", 0)</f>
        <v>5</v>
      </c>
      <c r="T1055" s="16">
        <f>_xlfn.XLOOKUP(CustomerCombinedCleaned[[#This Row],[ID]], Table4[ID], Table4[Catalog], "Not Found", 0)</f>
        <v>2</v>
      </c>
      <c r="U1055" s="16">
        <f>_xlfn.XLOOKUP(CustomerCombinedCleaned[[#This Row],[ID]], Table4[ID], Table4[Store], "Not Found", 0)</f>
        <v>5</v>
      </c>
      <c r="V1055" s="16">
        <f>_xlfn.XLOOKUP(CustomerCombinedCleaned[[#This Row],[ID]], Table4[ID], Table4[Visits], "Not Found", 0)</f>
        <v>8</v>
      </c>
      <c r="W1055" s="16">
        <f>_xlfn.XLOOKUP(CustomerCombinedCleaned[[#This Row],[ID]], Table2[ID],Table2[Complaint], "Not Found", 0 )</f>
        <v>0</v>
      </c>
      <c r="X1055" s="16">
        <f>_xlfn.XLOOKUP(CustomerCombinedCleaned[[#This Row],[ID]], Table2[ID],Table2[Pilot], "Not Found", 0 )</f>
        <v>1</v>
      </c>
      <c r="Y1055" s="16">
        <f>_xlfn.XLOOKUP(CustomerCombinedCleaned[[#This Row],[ID]], Table2[ID],Table2[MC1], "Not Found", 0 )</f>
        <v>0</v>
      </c>
      <c r="Z1055" s="16">
        <f>_xlfn.XLOOKUP(CustomerCombinedCleaned[[#This Row],[ID]], Table2[ID],Table2[MC2], "Not Found", 0 )</f>
        <v>0</v>
      </c>
      <c r="AA1055" s="16">
        <f>_xlfn.XLOOKUP(CustomerCombinedCleaned[[#This Row],[ID]], Table2[ID],Table2[MC3], "Not Found", 0 )</f>
        <v>0</v>
      </c>
      <c r="AB1055" s="16">
        <f>_xlfn.XLOOKUP(CustomerCombinedCleaned[[#This Row],[ID]], Table2[ID],Table2[MC4], "Not Found", 0 )</f>
        <v>0</v>
      </c>
      <c r="AC1055" s="16">
        <f>_xlfn.XLOOKUP(CustomerCombinedCleaned[[#This Row],[ID]], Table2[ID],Table2[MC5], "Not Found", 0 )</f>
        <v>0</v>
      </c>
    </row>
    <row r="1056" spans="1:29" x14ac:dyDescent="0.3">
      <c r="A1056" s="18">
        <v>3058</v>
      </c>
      <c r="B1056" s="16">
        <v>134109</v>
      </c>
      <c r="C1056" s="16">
        <v>0</v>
      </c>
      <c r="D1056" s="16">
        <v>1</v>
      </c>
      <c r="E1056" s="16">
        <v>49</v>
      </c>
      <c r="F1056" s="17" t="s">
        <v>6</v>
      </c>
      <c r="G1056" s="17" t="s">
        <v>12</v>
      </c>
      <c r="H1056" s="3" t="s">
        <v>594</v>
      </c>
      <c r="I1056" s="5" t="s">
        <v>439</v>
      </c>
      <c r="J1056" s="16">
        <f>_xlfn.XLOOKUP(CustomerCombinedCleaned[[#This Row],[ID]], Table4[ID], Table4[Recency], "Not Found", 0)</f>
        <v>39</v>
      </c>
      <c r="K1056" s="16">
        <f>_xlfn.XLOOKUP(CustomerCombinedCleaned[[#This Row],[ID]], Table4[ID], Table4[Teas], "Not Found", 0)</f>
        <v>35</v>
      </c>
      <c r="L1056" s="16">
        <f>_xlfn.XLOOKUP(CustomerCombinedCleaned[[#This Row],[ID]], Table4[ID], Table4[Fruits], "Not Found", 0)</f>
        <v>4</v>
      </c>
      <c r="M1056" s="16">
        <f>_xlfn.XLOOKUP(CustomerCombinedCleaned[[#This Row],[ID]], Table4[ID], Table4[Meats], "Not Found", 0)</f>
        <v>20</v>
      </c>
      <c r="N1056" s="16">
        <f>_xlfn.XLOOKUP(CustomerCombinedCleaned[[#This Row],[ID]], Table4[ID], Table4[Seafood], "Not Found", 0)</f>
        <v>8</v>
      </c>
      <c r="O1056" s="16">
        <f>_xlfn.XLOOKUP(CustomerCombinedCleaned[[#This Row],[ID]], Table4[ID], Table4[Sweets], "Not Found", 0)</f>
        <v>4</v>
      </c>
      <c r="P1056" s="16">
        <f>_xlfn.XLOOKUP(CustomerCombinedCleaned[[#This Row],[ID]], Table4[ID], Table4[Premium], "Not Found", 0)</f>
        <v>16</v>
      </c>
      <c r="Q1056" s="16">
        <f>_xlfn.XLOOKUP(CustomerCombinedCleaned[[#This Row],[ID]], Table4[ID], Table4[Regular], "Not Found", 0)</f>
        <v>55</v>
      </c>
      <c r="R1056" s="16">
        <f>_xlfn.XLOOKUP(CustomerCombinedCleaned[[#This Row],[ID]], Table4[ID], Table4[Deals], "Not Found", 0)</f>
        <v>1</v>
      </c>
      <c r="S1056" s="16">
        <f>_xlfn.XLOOKUP(CustomerCombinedCleaned[[#This Row],[ID]], Table4[ID], Table4[Website], "Not Found", 0)</f>
        <v>0</v>
      </c>
      <c r="T1056" s="16">
        <f>_xlfn.XLOOKUP(CustomerCombinedCleaned[[#This Row],[ID]], Table4[ID], Table4[Catalog], "Not Found", 0)</f>
        <v>0</v>
      </c>
      <c r="U1056" s="16">
        <f>_xlfn.XLOOKUP(CustomerCombinedCleaned[[#This Row],[ID]], Table4[ID], Table4[Store], "Not Found", 0)</f>
        <v>3</v>
      </c>
      <c r="V1056" s="16">
        <f>_xlfn.XLOOKUP(CustomerCombinedCleaned[[#This Row],[ID]], Table4[ID], Table4[Visits], "Not Found", 0)</f>
        <v>4</v>
      </c>
      <c r="W1056" s="16">
        <f>_xlfn.XLOOKUP(CustomerCombinedCleaned[[#This Row],[ID]], Table2[ID],Table2[Complaint], "Not Found", 0 )</f>
        <v>0</v>
      </c>
      <c r="X1056" s="16">
        <f>_xlfn.XLOOKUP(CustomerCombinedCleaned[[#This Row],[ID]], Table2[ID],Table2[Pilot], "Not Found", 0 )</f>
        <v>0</v>
      </c>
      <c r="Y1056" s="16">
        <f>_xlfn.XLOOKUP(CustomerCombinedCleaned[[#This Row],[ID]], Table2[ID],Table2[MC1], "Not Found", 0 )</f>
        <v>0</v>
      </c>
      <c r="Z1056" s="16">
        <f>_xlfn.XLOOKUP(CustomerCombinedCleaned[[#This Row],[ID]], Table2[ID],Table2[MC2], "Not Found", 0 )</f>
        <v>0</v>
      </c>
      <c r="AA1056" s="16">
        <f>_xlfn.XLOOKUP(CustomerCombinedCleaned[[#This Row],[ID]], Table2[ID],Table2[MC3], "Not Found", 0 )</f>
        <v>0</v>
      </c>
      <c r="AB1056" s="16">
        <f>_xlfn.XLOOKUP(CustomerCombinedCleaned[[#This Row],[ID]], Table2[ID],Table2[MC4], "Not Found", 0 )</f>
        <v>0</v>
      </c>
      <c r="AC1056" s="16">
        <f>_xlfn.XLOOKUP(CustomerCombinedCleaned[[#This Row],[ID]], Table2[ID],Table2[MC5], "Not Found", 0 )</f>
        <v>0</v>
      </c>
    </row>
    <row r="1057" spans="1:29" x14ac:dyDescent="0.3">
      <c r="A1057" s="18">
        <v>2339</v>
      </c>
      <c r="B1057" s="16">
        <v>133316</v>
      </c>
      <c r="C1057" s="16">
        <v>1</v>
      </c>
      <c r="D1057" s="16">
        <v>1</v>
      </c>
      <c r="E1057" s="16">
        <v>49</v>
      </c>
      <c r="F1057" s="17" t="s">
        <v>7</v>
      </c>
      <c r="G1057" s="17" t="s">
        <v>12</v>
      </c>
      <c r="H1057" s="3" t="s">
        <v>568</v>
      </c>
      <c r="I1057" s="5" t="s">
        <v>434</v>
      </c>
      <c r="J1057" s="16">
        <f>_xlfn.XLOOKUP(CustomerCombinedCleaned[[#This Row],[ID]], Table4[ID], Table4[Recency], "Not Found", 0)</f>
        <v>34</v>
      </c>
      <c r="K1057" s="16">
        <f>_xlfn.XLOOKUP(CustomerCombinedCleaned[[#This Row],[ID]], Table4[ID], Table4[Teas], "Not Found", 0)</f>
        <v>316</v>
      </c>
      <c r="L1057" s="16">
        <f>_xlfn.XLOOKUP(CustomerCombinedCleaned[[#This Row],[ID]], Table4[ID], Table4[Fruits], "Not Found", 0)</f>
        <v>4</v>
      </c>
      <c r="M1057" s="16">
        <f>_xlfn.XLOOKUP(CustomerCombinedCleaned[[#This Row],[ID]], Table4[ID], Table4[Meats], "Not Found", 0)</f>
        <v>124</v>
      </c>
      <c r="N1057" s="16">
        <f>_xlfn.XLOOKUP(CustomerCombinedCleaned[[#This Row],[ID]], Table4[ID], Table4[Seafood], "Not Found", 0)</f>
        <v>16</v>
      </c>
      <c r="O1057" s="16">
        <f>_xlfn.XLOOKUP(CustomerCombinedCleaned[[#This Row],[ID]], Table4[ID], Table4[Sweets], "Not Found", 0)</f>
        <v>16</v>
      </c>
      <c r="P1057" s="16">
        <f>_xlfn.XLOOKUP(CustomerCombinedCleaned[[#This Row],[ID]], Table4[ID], Table4[Premium], "Not Found", 0)</f>
        <v>48</v>
      </c>
      <c r="Q1057" s="16">
        <f>_xlfn.XLOOKUP(CustomerCombinedCleaned[[#This Row],[ID]], Table4[ID], Table4[Regular], "Not Found", 0)</f>
        <v>428</v>
      </c>
      <c r="R1057" s="16">
        <f>_xlfn.XLOOKUP(CustomerCombinedCleaned[[#This Row],[ID]], Table4[ID], Table4[Deals], "Not Found", 0)</f>
        <v>3</v>
      </c>
      <c r="S1057" s="16">
        <f>_xlfn.XLOOKUP(CustomerCombinedCleaned[[#This Row],[ID]], Table4[ID], Table4[Website], "Not Found", 0)</f>
        <v>2</v>
      </c>
      <c r="T1057" s="16">
        <f>_xlfn.XLOOKUP(CustomerCombinedCleaned[[#This Row],[ID]], Table4[ID], Table4[Catalog], "Not Found", 0)</f>
        <v>1</v>
      </c>
      <c r="U1057" s="16">
        <f>_xlfn.XLOOKUP(CustomerCombinedCleaned[[#This Row],[ID]], Table4[ID], Table4[Store], "Not Found", 0)</f>
        <v>4</v>
      </c>
      <c r="V1057" s="16">
        <f>_xlfn.XLOOKUP(CustomerCombinedCleaned[[#This Row],[ID]], Table4[ID], Table4[Visits], "Not Found", 0)</f>
        <v>6</v>
      </c>
      <c r="W1057" s="16">
        <f>_xlfn.XLOOKUP(CustomerCombinedCleaned[[#This Row],[ID]], Table2[ID],Table2[Complaint], "Not Found", 0 )</f>
        <v>0</v>
      </c>
      <c r="X1057" s="16">
        <f>_xlfn.XLOOKUP(CustomerCombinedCleaned[[#This Row],[ID]], Table2[ID],Table2[Pilot], "Not Found", 0 )</f>
        <v>0</v>
      </c>
      <c r="Y1057" s="16">
        <f>_xlfn.XLOOKUP(CustomerCombinedCleaned[[#This Row],[ID]], Table2[ID],Table2[MC1], "Not Found", 0 )</f>
        <v>0</v>
      </c>
      <c r="Z1057" s="16">
        <f>_xlfn.XLOOKUP(CustomerCombinedCleaned[[#This Row],[ID]], Table2[ID],Table2[MC2], "Not Found", 0 )</f>
        <v>0</v>
      </c>
      <c r="AA1057" s="16">
        <f>_xlfn.XLOOKUP(CustomerCombinedCleaned[[#This Row],[ID]], Table2[ID],Table2[MC3], "Not Found", 0 )</f>
        <v>0</v>
      </c>
      <c r="AB1057" s="16">
        <f>_xlfn.XLOOKUP(CustomerCombinedCleaned[[#This Row],[ID]], Table2[ID],Table2[MC4], "Not Found", 0 )</f>
        <v>0</v>
      </c>
      <c r="AC1057" s="16">
        <f>_xlfn.XLOOKUP(CustomerCombinedCleaned[[#This Row],[ID]], Table2[ID],Table2[MC5], "Not Found", 0 )</f>
        <v>0</v>
      </c>
    </row>
    <row r="1058" spans="1:29" x14ac:dyDescent="0.3">
      <c r="A1058" s="18">
        <v>2797</v>
      </c>
      <c r="B1058" s="16">
        <v>133316</v>
      </c>
      <c r="C1058" s="16">
        <v>1</v>
      </c>
      <c r="D1058" s="16">
        <v>1</v>
      </c>
      <c r="E1058" s="16">
        <v>49</v>
      </c>
      <c r="F1058" s="17" t="s">
        <v>7</v>
      </c>
      <c r="G1058" s="17" t="s">
        <v>12</v>
      </c>
      <c r="H1058" s="3" t="s">
        <v>568</v>
      </c>
      <c r="I1058" s="5" t="s">
        <v>437</v>
      </c>
      <c r="J1058" s="16">
        <f>_xlfn.XLOOKUP(CustomerCombinedCleaned[[#This Row],[ID]], Table4[ID], Table4[Recency], "Not Found", 0)</f>
        <v>34</v>
      </c>
      <c r="K1058" s="16">
        <f>_xlfn.XLOOKUP(CustomerCombinedCleaned[[#This Row],[ID]], Table4[ID], Table4[Teas], "Not Found", 0)</f>
        <v>316</v>
      </c>
      <c r="L1058" s="16">
        <f>_xlfn.XLOOKUP(CustomerCombinedCleaned[[#This Row],[ID]], Table4[ID], Table4[Fruits], "Not Found", 0)</f>
        <v>4</v>
      </c>
      <c r="M1058" s="16">
        <f>_xlfn.XLOOKUP(CustomerCombinedCleaned[[#This Row],[ID]], Table4[ID], Table4[Meats], "Not Found", 0)</f>
        <v>124</v>
      </c>
      <c r="N1058" s="16">
        <f>_xlfn.XLOOKUP(CustomerCombinedCleaned[[#This Row],[ID]], Table4[ID], Table4[Seafood], "Not Found", 0)</f>
        <v>16</v>
      </c>
      <c r="O1058" s="16">
        <f>_xlfn.XLOOKUP(CustomerCombinedCleaned[[#This Row],[ID]], Table4[ID], Table4[Sweets], "Not Found", 0)</f>
        <v>16</v>
      </c>
      <c r="P1058" s="16">
        <f>_xlfn.XLOOKUP(CustomerCombinedCleaned[[#This Row],[ID]], Table4[ID], Table4[Premium], "Not Found", 0)</f>
        <v>48</v>
      </c>
      <c r="Q1058" s="16">
        <f>_xlfn.XLOOKUP(CustomerCombinedCleaned[[#This Row],[ID]], Table4[ID], Table4[Regular], "Not Found", 0)</f>
        <v>428</v>
      </c>
      <c r="R1058" s="16">
        <f>_xlfn.XLOOKUP(CustomerCombinedCleaned[[#This Row],[ID]], Table4[ID], Table4[Deals], "Not Found", 0)</f>
        <v>3</v>
      </c>
      <c r="S1058" s="16">
        <f>_xlfn.XLOOKUP(CustomerCombinedCleaned[[#This Row],[ID]], Table4[ID], Table4[Website], "Not Found", 0)</f>
        <v>2</v>
      </c>
      <c r="T1058" s="16">
        <f>_xlfn.XLOOKUP(CustomerCombinedCleaned[[#This Row],[ID]], Table4[ID], Table4[Catalog], "Not Found", 0)</f>
        <v>1</v>
      </c>
      <c r="U1058" s="16">
        <f>_xlfn.XLOOKUP(CustomerCombinedCleaned[[#This Row],[ID]], Table4[ID], Table4[Store], "Not Found", 0)</f>
        <v>4</v>
      </c>
      <c r="V1058" s="16">
        <f>_xlfn.XLOOKUP(CustomerCombinedCleaned[[#This Row],[ID]], Table4[ID], Table4[Visits], "Not Found", 0)</f>
        <v>6</v>
      </c>
      <c r="W1058" s="16">
        <f>_xlfn.XLOOKUP(CustomerCombinedCleaned[[#This Row],[ID]], Table2[ID],Table2[Complaint], "Not Found", 0 )</f>
        <v>0</v>
      </c>
      <c r="X1058" s="16">
        <f>_xlfn.XLOOKUP(CustomerCombinedCleaned[[#This Row],[ID]], Table2[ID],Table2[Pilot], "Not Found", 0 )</f>
        <v>0</v>
      </c>
      <c r="Y1058" s="16">
        <f>_xlfn.XLOOKUP(CustomerCombinedCleaned[[#This Row],[ID]], Table2[ID],Table2[MC1], "Not Found", 0 )</f>
        <v>0</v>
      </c>
      <c r="Z1058" s="16">
        <f>_xlfn.XLOOKUP(CustomerCombinedCleaned[[#This Row],[ID]], Table2[ID],Table2[MC2], "Not Found", 0 )</f>
        <v>0</v>
      </c>
      <c r="AA1058" s="16">
        <f>_xlfn.XLOOKUP(CustomerCombinedCleaned[[#This Row],[ID]], Table2[ID],Table2[MC3], "Not Found", 0 )</f>
        <v>0</v>
      </c>
      <c r="AB1058" s="16">
        <f>_xlfn.XLOOKUP(CustomerCombinedCleaned[[#This Row],[ID]], Table2[ID],Table2[MC4], "Not Found", 0 )</f>
        <v>0</v>
      </c>
      <c r="AC1058" s="16">
        <f>_xlfn.XLOOKUP(CustomerCombinedCleaned[[#This Row],[ID]], Table2[ID],Table2[MC5], "Not Found", 0 )</f>
        <v>0</v>
      </c>
    </row>
    <row r="1059" spans="1:29" x14ac:dyDescent="0.3">
      <c r="A1059" s="18">
        <v>1916</v>
      </c>
      <c r="B1059" s="16">
        <v>132892</v>
      </c>
      <c r="C1059" s="16">
        <v>1</v>
      </c>
      <c r="D1059" s="16">
        <v>0</v>
      </c>
      <c r="E1059" s="16">
        <v>49</v>
      </c>
      <c r="F1059" s="17" t="s">
        <v>8</v>
      </c>
      <c r="G1059" s="17" t="s">
        <v>13</v>
      </c>
      <c r="H1059" s="3" t="s">
        <v>42</v>
      </c>
      <c r="I1059" s="5" t="s">
        <v>438</v>
      </c>
      <c r="J1059" s="16">
        <f>_xlfn.XLOOKUP(CustomerCombinedCleaned[[#This Row],[ID]], Table4[ID], Table4[Recency], "Not Found", 0)</f>
        <v>78</v>
      </c>
      <c r="K1059" s="16">
        <f>_xlfn.XLOOKUP(CustomerCombinedCleaned[[#This Row],[ID]], Table4[ID], Table4[Teas], "Not Found", 0)</f>
        <v>105</v>
      </c>
      <c r="L1059" s="16">
        <f>_xlfn.XLOOKUP(CustomerCombinedCleaned[[#This Row],[ID]], Table4[ID], Table4[Fruits], "Not Found", 0)</f>
        <v>0</v>
      </c>
      <c r="M1059" s="16">
        <f>_xlfn.XLOOKUP(CustomerCombinedCleaned[[#This Row],[ID]], Table4[ID], Table4[Meats], "Not Found", 0)</f>
        <v>61</v>
      </c>
      <c r="N1059" s="16">
        <f>_xlfn.XLOOKUP(CustomerCombinedCleaned[[#This Row],[ID]], Table4[ID], Table4[Seafood], "Not Found", 0)</f>
        <v>8</v>
      </c>
      <c r="O1059" s="16">
        <f>_xlfn.XLOOKUP(CustomerCombinedCleaned[[#This Row],[ID]], Table4[ID], Table4[Sweets], "Not Found", 0)</f>
        <v>4</v>
      </c>
      <c r="P1059" s="16">
        <f>_xlfn.XLOOKUP(CustomerCombinedCleaned[[#This Row],[ID]], Table4[ID], Table4[Premium], "Not Found", 0)</f>
        <v>8</v>
      </c>
      <c r="Q1059" s="16">
        <f>_xlfn.XLOOKUP(CustomerCombinedCleaned[[#This Row],[ID]], Table4[ID], Table4[Regular], "Not Found", 0)</f>
        <v>170</v>
      </c>
      <c r="R1059" s="16">
        <f>_xlfn.XLOOKUP(CustomerCombinedCleaned[[#This Row],[ID]], Table4[ID], Table4[Deals], "Not Found", 0)</f>
        <v>2</v>
      </c>
      <c r="S1059" s="16">
        <f>_xlfn.XLOOKUP(CustomerCombinedCleaned[[#This Row],[ID]], Table4[ID], Table4[Website], "Not Found", 0)</f>
        <v>3</v>
      </c>
      <c r="T1059" s="16">
        <f>_xlfn.XLOOKUP(CustomerCombinedCleaned[[#This Row],[ID]], Table4[ID], Table4[Catalog], "Not Found", 0)</f>
        <v>0</v>
      </c>
      <c r="U1059" s="16">
        <f>_xlfn.XLOOKUP(CustomerCombinedCleaned[[#This Row],[ID]], Table4[ID], Table4[Store], "Not Found", 0)</f>
        <v>3</v>
      </c>
      <c r="V1059" s="16">
        <f>_xlfn.XLOOKUP(CustomerCombinedCleaned[[#This Row],[ID]], Table4[ID], Table4[Visits], "Not Found", 0)</f>
        <v>8</v>
      </c>
      <c r="W1059" s="16">
        <f>_xlfn.XLOOKUP(CustomerCombinedCleaned[[#This Row],[ID]], Table2[ID],Table2[Complaint], "Not Found", 0 )</f>
        <v>0</v>
      </c>
      <c r="X1059" s="16">
        <f>_xlfn.XLOOKUP(CustomerCombinedCleaned[[#This Row],[ID]], Table2[ID],Table2[Pilot], "Not Found", 0 )</f>
        <v>0</v>
      </c>
      <c r="Y1059" s="16">
        <f>_xlfn.XLOOKUP(CustomerCombinedCleaned[[#This Row],[ID]], Table2[ID],Table2[MC1], "Not Found", 0 )</f>
        <v>0</v>
      </c>
      <c r="Z1059" s="16">
        <f>_xlfn.XLOOKUP(CustomerCombinedCleaned[[#This Row],[ID]], Table2[ID],Table2[MC2], "Not Found", 0 )</f>
        <v>0</v>
      </c>
      <c r="AA1059" s="16">
        <f>_xlfn.XLOOKUP(CustomerCombinedCleaned[[#This Row],[ID]], Table2[ID],Table2[MC3], "Not Found", 0 )</f>
        <v>0</v>
      </c>
      <c r="AB1059" s="16">
        <f>_xlfn.XLOOKUP(CustomerCombinedCleaned[[#This Row],[ID]], Table2[ID],Table2[MC4], "Not Found", 0 )</f>
        <v>0</v>
      </c>
      <c r="AC1059" s="16">
        <f>_xlfn.XLOOKUP(CustomerCombinedCleaned[[#This Row],[ID]], Table2[ID],Table2[MC5], "Not Found", 0 )</f>
        <v>0</v>
      </c>
    </row>
    <row r="1060" spans="1:29" x14ac:dyDescent="0.3">
      <c r="A1060" s="18">
        <v>2051</v>
      </c>
      <c r="B1060" s="16">
        <v>132892</v>
      </c>
      <c r="C1060" s="16">
        <v>1</v>
      </c>
      <c r="D1060" s="16">
        <v>0</v>
      </c>
      <c r="E1060" s="16">
        <v>49</v>
      </c>
      <c r="F1060" s="17" t="s">
        <v>8</v>
      </c>
      <c r="G1060" s="17" t="s">
        <v>13</v>
      </c>
      <c r="H1060" s="3" t="s">
        <v>42</v>
      </c>
      <c r="I1060" s="5" t="s">
        <v>434</v>
      </c>
      <c r="J1060" s="16">
        <f>_xlfn.XLOOKUP(CustomerCombinedCleaned[[#This Row],[ID]], Table4[ID], Table4[Recency], "Not Found", 0)</f>
        <v>78</v>
      </c>
      <c r="K1060" s="16">
        <f>_xlfn.XLOOKUP(CustomerCombinedCleaned[[#This Row],[ID]], Table4[ID], Table4[Teas], "Not Found", 0)</f>
        <v>105</v>
      </c>
      <c r="L1060" s="16">
        <f>_xlfn.XLOOKUP(CustomerCombinedCleaned[[#This Row],[ID]], Table4[ID], Table4[Fruits], "Not Found", 0)</f>
        <v>0</v>
      </c>
      <c r="M1060" s="16">
        <f>_xlfn.XLOOKUP(CustomerCombinedCleaned[[#This Row],[ID]], Table4[ID], Table4[Meats], "Not Found", 0)</f>
        <v>61</v>
      </c>
      <c r="N1060" s="16">
        <f>_xlfn.XLOOKUP(CustomerCombinedCleaned[[#This Row],[ID]], Table4[ID], Table4[Seafood], "Not Found", 0)</f>
        <v>8</v>
      </c>
      <c r="O1060" s="16">
        <f>_xlfn.XLOOKUP(CustomerCombinedCleaned[[#This Row],[ID]], Table4[ID], Table4[Sweets], "Not Found", 0)</f>
        <v>4</v>
      </c>
      <c r="P1060" s="16">
        <f>_xlfn.XLOOKUP(CustomerCombinedCleaned[[#This Row],[ID]], Table4[ID], Table4[Premium], "Not Found", 0)</f>
        <v>8</v>
      </c>
      <c r="Q1060" s="16">
        <f>_xlfn.XLOOKUP(CustomerCombinedCleaned[[#This Row],[ID]], Table4[ID], Table4[Regular], "Not Found", 0)</f>
        <v>170</v>
      </c>
      <c r="R1060" s="16">
        <f>_xlfn.XLOOKUP(CustomerCombinedCleaned[[#This Row],[ID]], Table4[ID], Table4[Deals], "Not Found", 0)</f>
        <v>2</v>
      </c>
      <c r="S1060" s="16">
        <f>_xlfn.XLOOKUP(CustomerCombinedCleaned[[#This Row],[ID]], Table4[ID], Table4[Website], "Not Found", 0)</f>
        <v>3</v>
      </c>
      <c r="T1060" s="16">
        <f>_xlfn.XLOOKUP(CustomerCombinedCleaned[[#This Row],[ID]], Table4[ID], Table4[Catalog], "Not Found", 0)</f>
        <v>0</v>
      </c>
      <c r="U1060" s="16">
        <f>_xlfn.XLOOKUP(CustomerCombinedCleaned[[#This Row],[ID]], Table4[ID], Table4[Store], "Not Found", 0)</f>
        <v>3</v>
      </c>
      <c r="V1060" s="16">
        <f>_xlfn.XLOOKUP(CustomerCombinedCleaned[[#This Row],[ID]], Table4[ID], Table4[Visits], "Not Found", 0)</f>
        <v>8</v>
      </c>
      <c r="W1060" s="16">
        <f>_xlfn.XLOOKUP(CustomerCombinedCleaned[[#This Row],[ID]], Table2[ID],Table2[Complaint], "Not Found", 0 )</f>
        <v>0</v>
      </c>
      <c r="X1060" s="16">
        <f>_xlfn.XLOOKUP(CustomerCombinedCleaned[[#This Row],[ID]], Table2[ID],Table2[Pilot], "Not Found", 0 )</f>
        <v>0</v>
      </c>
      <c r="Y1060" s="16">
        <f>_xlfn.XLOOKUP(CustomerCombinedCleaned[[#This Row],[ID]], Table2[ID],Table2[MC1], "Not Found", 0 )</f>
        <v>0</v>
      </c>
      <c r="Z1060" s="16">
        <f>_xlfn.XLOOKUP(CustomerCombinedCleaned[[#This Row],[ID]], Table2[ID],Table2[MC2], "Not Found", 0 )</f>
        <v>0</v>
      </c>
      <c r="AA1060" s="16">
        <f>_xlfn.XLOOKUP(CustomerCombinedCleaned[[#This Row],[ID]], Table2[ID],Table2[MC3], "Not Found", 0 )</f>
        <v>0</v>
      </c>
      <c r="AB1060" s="16">
        <f>_xlfn.XLOOKUP(CustomerCombinedCleaned[[#This Row],[ID]], Table2[ID],Table2[MC4], "Not Found", 0 )</f>
        <v>0</v>
      </c>
      <c r="AC1060" s="16">
        <f>_xlfn.XLOOKUP(CustomerCombinedCleaned[[#This Row],[ID]], Table2[ID],Table2[MC5], "Not Found", 0 )</f>
        <v>0</v>
      </c>
    </row>
    <row r="1061" spans="1:29" x14ac:dyDescent="0.3">
      <c r="A1061" s="18">
        <v>1422</v>
      </c>
      <c r="B1061" s="16">
        <v>132011</v>
      </c>
      <c r="C1061" s="16">
        <v>1</v>
      </c>
      <c r="D1061" s="16">
        <v>0</v>
      </c>
      <c r="E1061" s="16">
        <v>49</v>
      </c>
      <c r="F1061" s="17" t="s">
        <v>6</v>
      </c>
      <c r="G1061" s="17" t="s">
        <v>13</v>
      </c>
      <c r="H1061" s="3" t="s">
        <v>195</v>
      </c>
      <c r="I1061" s="5" t="s">
        <v>436</v>
      </c>
      <c r="J1061" s="16">
        <f>_xlfn.XLOOKUP(CustomerCombinedCleaned[[#This Row],[ID]], Table4[ID], Table4[Recency], "Not Found", 0)</f>
        <v>89</v>
      </c>
      <c r="K1061" s="16">
        <f>_xlfn.XLOOKUP(CustomerCombinedCleaned[[#This Row],[ID]], Table4[ID], Table4[Teas], "Not Found", 0)</f>
        <v>408</v>
      </c>
      <c r="L1061" s="16">
        <f>_xlfn.XLOOKUP(CustomerCombinedCleaned[[#This Row],[ID]], Table4[ID], Table4[Fruits], "Not Found", 0)</f>
        <v>0</v>
      </c>
      <c r="M1061" s="16">
        <f>_xlfn.XLOOKUP(CustomerCombinedCleaned[[#This Row],[ID]], Table4[ID], Table4[Meats], "Not Found", 0)</f>
        <v>62</v>
      </c>
      <c r="N1061" s="16">
        <f>_xlfn.XLOOKUP(CustomerCombinedCleaned[[#This Row],[ID]], Table4[ID], Table4[Seafood], "Not Found", 0)</f>
        <v>8</v>
      </c>
      <c r="O1061" s="16">
        <f>_xlfn.XLOOKUP(CustomerCombinedCleaned[[#This Row],[ID]], Table4[ID], Table4[Sweets], "Not Found", 0)</f>
        <v>4</v>
      </c>
      <c r="P1061" s="16">
        <f>_xlfn.XLOOKUP(CustomerCombinedCleaned[[#This Row],[ID]], Table4[ID], Table4[Premium], "Not Found", 0)</f>
        <v>21</v>
      </c>
      <c r="Q1061" s="16">
        <f>_xlfn.XLOOKUP(CustomerCombinedCleaned[[#This Row],[ID]], Table4[ID], Table4[Regular], "Not Found", 0)</f>
        <v>462</v>
      </c>
      <c r="R1061" s="16">
        <f>_xlfn.XLOOKUP(CustomerCombinedCleaned[[#This Row],[ID]], Table4[ID], Table4[Deals], "Not Found", 0)</f>
        <v>3</v>
      </c>
      <c r="S1061" s="16">
        <f>_xlfn.XLOOKUP(CustomerCombinedCleaned[[#This Row],[ID]], Table4[ID], Table4[Website], "Not Found", 0)</f>
        <v>2</v>
      </c>
      <c r="T1061" s="16">
        <f>_xlfn.XLOOKUP(CustomerCombinedCleaned[[#This Row],[ID]], Table4[ID], Table4[Catalog], "Not Found", 0)</f>
        <v>1</v>
      </c>
      <c r="U1061" s="16">
        <f>_xlfn.XLOOKUP(CustomerCombinedCleaned[[#This Row],[ID]], Table4[ID], Table4[Store], "Not Found", 0)</f>
        <v>4</v>
      </c>
      <c r="V1061" s="16">
        <f>_xlfn.XLOOKUP(CustomerCombinedCleaned[[#This Row],[ID]], Table4[ID], Table4[Visits], "Not Found", 0)</f>
        <v>7</v>
      </c>
      <c r="W1061" s="16">
        <f>_xlfn.XLOOKUP(CustomerCombinedCleaned[[#This Row],[ID]], Table2[ID],Table2[Complaint], "Not Found", 0 )</f>
        <v>0</v>
      </c>
      <c r="X1061" s="16">
        <f>_xlfn.XLOOKUP(CustomerCombinedCleaned[[#This Row],[ID]], Table2[ID],Table2[Pilot], "Not Found", 0 )</f>
        <v>0</v>
      </c>
      <c r="Y1061" s="16">
        <f>_xlfn.XLOOKUP(CustomerCombinedCleaned[[#This Row],[ID]], Table2[ID],Table2[MC1], "Not Found", 0 )</f>
        <v>0</v>
      </c>
      <c r="Z1061" s="16">
        <f>_xlfn.XLOOKUP(CustomerCombinedCleaned[[#This Row],[ID]], Table2[ID],Table2[MC2], "Not Found", 0 )</f>
        <v>0</v>
      </c>
      <c r="AA1061" s="16">
        <f>_xlfn.XLOOKUP(CustomerCombinedCleaned[[#This Row],[ID]], Table2[ID],Table2[MC3], "Not Found", 0 )</f>
        <v>0</v>
      </c>
      <c r="AB1061" s="16">
        <f>_xlfn.XLOOKUP(CustomerCombinedCleaned[[#This Row],[ID]], Table2[ID],Table2[MC4], "Not Found", 0 )</f>
        <v>0</v>
      </c>
      <c r="AC1061" s="16">
        <f>_xlfn.XLOOKUP(CustomerCombinedCleaned[[#This Row],[ID]], Table2[ID],Table2[MC5], "Not Found", 0 )</f>
        <v>0</v>
      </c>
    </row>
    <row r="1062" spans="1:29" x14ac:dyDescent="0.3">
      <c r="A1062" s="18">
        <v>1604</v>
      </c>
      <c r="B1062" s="16">
        <v>131632</v>
      </c>
      <c r="C1062" s="16">
        <v>0</v>
      </c>
      <c r="D1062" s="16">
        <v>0</v>
      </c>
      <c r="E1062" s="16">
        <v>49</v>
      </c>
      <c r="F1062" s="17" t="s">
        <v>7</v>
      </c>
      <c r="G1062" s="17" t="s">
        <v>11</v>
      </c>
      <c r="H1062" s="3" t="s">
        <v>222</v>
      </c>
      <c r="I1062" s="5" t="s">
        <v>438</v>
      </c>
      <c r="J1062" s="16">
        <f>_xlfn.XLOOKUP(CustomerCombinedCleaned[[#This Row],[ID]], Table4[ID], Table4[Recency], "Not Found", 0)</f>
        <v>92</v>
      </c>
      <c r="K1062" s="16">
        <f>_xlfn.XLOOKUP(CustomerCombinedCleaned[[#This Row],[ID]], Table4[ID], Table4[Teas], "Not Found", 0)</f>
        <v>71</v>
      </c>
      <c r="L1062" s="16">
        <f>_xlfn.XLOOKUP(CustomerCombinedCleaned[[#This Row],[ID]], Table4[ID], Table4[Fruits], "Not Found", 0)</f>
        <v>33</v>
      </c>
      <c r="M1062" s="16">
        <f>_xlfn.XLOOKUP(CustomerCombinedCleaned[[#This Row],[ID]], Table4[ID], Table4[Meats], "Not Found", 0)</f>
        <v>50</v>
      </c>
      <c r="N1062" s="16">
        <f>_xlfn.XLOOKUP(CustomerCombinedCleaned[[#This Row],[ID]], Table4[ID], Table4[Seafood], "Not Found", 0)</f>
        <v>46</v>
      </c>
      <c r="O1062" s="16">
        <f>_xlfn.XLOOKUP(CustomerCombinedCleaned[[#This Row],[ID]], Table4[ID], Table4[Sweets], "Not Found", 0)</f>
        <v>62</v>
      </c>
      <c r="P1062" s="16">
        <f>_xlfn.XLOOKUP(CustomerCombinedCleaned[[#This Row],[ID]], Table4[ID], Table4[Premium], "Not Found", 0)</f>
        <v>133</v>
      </c>
      <c r="Q1062" s="16">
        <f>_xlfn.XLOOKUP(CustomerCombinedCleaned[[#This Row],[ID]], Table4[ID], Table4[Regular], "Not Found", 0)</f>
        <v>129</v>
      </c>
      <c r="R1062" s="16">
        <f>_xlfn.XLOOKUP(CustomerCombinedCleaned[[#This Row],[ID]], Table4[ID], Table4[Deals], "Not Found", 0)</f>
        <v>1</v>
      </c>
      <c r="S1062" s="16">
        <f>_xlfn.XLOOKUP(CustomerCombinedCleaned[[#This Row],[ID]], Table4[ID], Table4[Website], "Not Found", 0)</f>
        <v>2</v>
      </c>
      <c r="T1062" s="16">
        <f>_xlfn.XLOOKUP(CustomerCombinedCleaned[[#This Row],[ID]], Table4[ID], Table4[Catalog], "Not Found", 0)</f>
        <v>1</v>
      </c>
      <c r="U1062" s="16">
        <f>_xlfn.XLOOKUP(CustomerCombinedCleaned[[#This Row],[ID]], Table4[ID], Table4[Store], "Not Found", 0)</f>
        <v>2</v>
      </c>
      <c r="V1062" s="16">
        <f>_xlfn.XLOOKUP(CustomerCombinedCleaned[[#This Row],[ID]], Table4[ID], Table4[Visits], "Not Found", 0)</f>
        <v>7</v>
      </c>
      <c r="W1062" s="16">
        <f>_xlfn.XLOOKUP(CustomerCombinedCleaned[[#This Row],[ID]], Table2[ID],Table2[Complaint], "Not Found", 0 )</f>
        <v>0</v>
      </c>
      <c r="X1062" s="16">
        <f>_xlfn.XLOOKUP(CustomerCombinedCleaned[[#This Row],[ID]], Table2[ID],Table2[Pilot], "Not Found", 0 )</f>
        <v>0</v>
      </c>
      <c r="Y1062" s="16">
        <f>_xlfn.XLOOKUP(CustomerCombinedCleaned[[#This Row],[ID]], Table2[ID],Table2[MC1], "Not Found", 0 )</f>
        <v>0</v>
      </c>
      <c r="Z1062" s="16">
        <f>_xlfn.XLOOKUP(CustomerCombinedCleaned[[#This Row],[ID]], Table2[ID],Table2[MC2], "Not Found", 0 )</f>
        <v>0</v>
      </c>
      <c r="AA1062" s="16">
        <f>_xlfn.XLOOKUP(CustomerCombinedCleaned[[#This Row],[ID]], Table2[ID],Table2[MC3], "Not Found", 0 )</f>
        <v>0</v>
      </c>
      <c r="AB1062" s="16">
        <f>_xlfn.XLOOKUP(CustomerCombinedCleaned[[#This Row],[ID]], Table2[ID],Table2[MC4], "Not Found", 0 )</f>
        <v>0</v>
      </c>
      <c r="AC1062" s="16">
        <f>_xlfn.XLOOKUP(CustomerCombinedCleaned[[#This Row],[ID]], Table2[ID],Table2[MC5], "Not Found", 0 )</f>
        <v>0</v>
      </c>
    </row>
    <row r="1063" spans="1:29" x14ac:dyDescent="0.3">
      <c r="A1063" s="18">
        <v>2843</v>
      </c>
      <c r="B1063" s="16">
        <v>130538</v>
      </c>
      <c r="C1063" s="16">
        <v>1</v>
      </c>
      <c r="D1063" s="16">
        <v>0</v>
      </c>
      <c r="E1063" s="16">
        <v>49</v>
      </c>
      <c r="F1063" s="17" t="s">
        <v>8</v>
      </c>
      <c r="G1063" s="17" t="s">
        <v>12</v>
      </c>
      <c r="H1063" s="3" t="s">
        <v>680</v>
      </c>
      <c r="I1063" s="5" t="s">
        <v>434</v>
      </c>
      <c r="J1063" s="16">
        <f>_xlfn.XLOOKUP(CustomerCombinedCleaned[[#This Row],[ID]], Table4[ID], Table4[Recency], "Not Found", 0)</f>
        <v>27</v>
      </c>
      <c r="K1063" s="16">
        <f>_xlfn.XLOOKUP(CustomerCombinedCleaned[[#This Row],[ID]], Table4[ID], Table4[Teas], "Not Found", 0)</f>
        <v>1214</v>
      </c>
      <c r="L1063" s="16">
        <f>_xlfn.XLOOKUP(CustomerCombinedCleaned[[#This Row],[ID]], Table4[ID], Table4[Fruits], "Not Found", 0)</f>
        <v>0</v>
      </c>
      <c r="M1063" s="16">
        <f>_xlfn.XLOOKUP(CustomerCombinedCleaned[[#This Row],[ID]], Table4[ID], Table4[Meats], "Not Found", 0)</f>
        <v>222</v>
      </c>
      <c r="N1063" s="16">
        <f>_xlfn.XLOOKUP(CustomerCombinedCleaned[[#This Row],[ID]], Table4[ID], Table4[Seafood], "Not Found", 0)</f>
        <v>34</v>
      </c>
      <c r="O1063" s="16">
        <f>_xlfn.XLOOKUP(CustomerCombinedCleaned[[#This Row],[ID]], Table4[ID], Table4[Sweets], "Not Found", 0)</f>
        <v>13</v>
      </c>
      <c r="P1063" s="16">
        <f>_xlfn.XLOOKUP(CustomerCombinedCleaned[[#This Row],[ID]], Table4[ID], Table4[Premium], "Not Found", 0)</f>
        <v>85</v>
      </c>
      <c r="Q1063" s="16">
        <f>_xlfn.XLOOKUP(CustomerCombinedCleaned[[#This Row],[ID]], Table4[ID], Table4[Regular], "Not Found", 0)</f>
        <v>1398</v>
      </c>
      <c r="R1063" s="16">
        <f>_xlfn.XLOOKUP(CustomerCombinedCleaned[[#This Row],[ID]], Table4[ID], Table4[Deals], "Not Found", 0)</f>
        <v>4</v>
      </c>
      <c r="S1063" s="16">
        <f>_xlfn.XLOOKUP(CustomerCombinedCleaned[[#This Row],[ID]], Table4[ID], Table4[Website], "Not Found", 0)</f>
        <v>9</v>
      </c>
      <c r="T1063" s="16">
        <f>_xlfn.XLOOKUP(CustomerCombinedCleaned[[#This Row],[ID]], Table4[ID], Table4[Catalog], "Not Found", 0)</f>
        <v>0</v>
      </c>
      <c r="U1063" s="16">
        <f>_xlfn.XLOOKUP(CustomerCombinedCleaned[[#This Row],[ID]], Table4[ID], Table4[Store], "Not Found", 0)</f>
        <v>4</v>
      </c>
      <c r="V1063" s="16">
        <f>_xlfn.XLOOKUP(CustomerCombinedCleaned[[#This Row],[ID]], Table4[ID], Table4[Visits], "Not Found", 0)</f>
        <v>10</v>
      </c>
      <c r="W1063" s="16">
        <f>_xlfn.XLOOKUP(CustomerCombinedCleaned[[#This Row],[ID]], Table2[ID],Table2[Complaint], "Not Found", 0 )</f>
        <v>0</v>
      </c>
      <c r="X1063" s="16">
        <f>_xlfn.XLOOKUP(CustomerCombinedCleaned[[#This Row],[ID]], Table2[ID],Table2[Pilot], "Not Found", 0 )</f>
        <v>0</v>
      </c>
      <c r="Y1063" s="16">
        <f>_xlfn.XLOOKUP(CustomerCombinedCleaned[[#This Row],[ID]], Table2[ID],Table2[MC1], "Not Found", 0 )</f>
        <v>0</v>
      </c>
      <c r="Z1063" s="16">
        <f>_xlfn.XLOOKUP(CustomerCombinedCleaned[[#This Row],[ID]], Table2[ID],Table2[MC2], "Not Found", 0 )</f>
        <v>0</v>
      </c>
      <c r="AA1063" s="16">
        <f>_xlfn.XLOOKUP(CustomerCombinedCleaned[[#This Row],[ID]], Table2[ID],Table2[MC3], "Not Found", 0 )</f>
        <v>0</v>
      </c>
      <c r="AB1063" s="16">
        <f>_xlfn.XLOOKUP(CustomerCombinedCleaned[[#This Row],[ID]], Table2[ID],Table2[MC4], "Not Found", 0 )</f>
        <v>0</v>
      </c>
      <c r="AC1063" s="16">
        <f>_xlfn.XLOOKUP(CustomerCombinedCleaned[[#This Row],[ID]], Table2[ID],Table2[MC5], "Not Found", 0 )</f>
        <v>0</v>
      </c>
    </row>
    <row r="1064" spans="1:29" x14ac:dyDescent="0.3">
      <c r="A1064" s="18">
        <v>1332</v>
      </c>
      <c r="B1064" s="16">
        <v>130372</v>
      </c>
      <c r="C1064" s="16">
        <v>1</v>
      </c>
      <c r="D1064" s="16">
        <v>1</v>
      </c>
      <c r="E1064" s="16">
        <v>49</v>
      </c>
      <c r="F1064" s="17" t="s">
        <v>9</v>
      </c>
      <c r="G1064" s="17" t="s">
        <v>11</v>
      </c>
      <c r="H1064" s="3" t="s">
        <v>729</v>
      </c>
      <c r="I1064" s="5" t="s">
        <v>436</v>
      </c>
      <c r="J1064" s="16">
        <f>_xlfn.XLOOKUP(CustomerCombinedCleaned[[#This Row],[ID]], Table4[ID], Table4[Recency], "Not Found", 0)</f>
        <v>33</v>
      </c>
      <c r="K1064" s="16">
        <f>_xlfn.XLOOKUP(CustomerCombinedCleaned[[#This Row],[ID]], Table4[ID], Table4[Teas], "Not Found", 0)</f>
        <v>64</v>
      </c>
      <c r="L1064" s="16">
        <f>_xlfn.XLOOKUP(CustomerCombinedCleaned[[#This Row],[ID]], Table4[ID], Table4[Fruits], "Not Found", 0)</f>
        <v>0</v>
      </c>
      <c r="M1064" s="16">
        <f>_xlfn.XLOOKUP(CustomerCombinedCleaned[[#This Row],[ID]], Table4[ID], Table4[Meats], "Not Found", 0)</f>
        <v>52</v>
      </c>
      <c r="N1064" s="16">
        <f>_xlfn.XLOOKUP(CustomerCombinedCleaned[[#This Row],[ID]], Table4[ID], Table4[Seafood], "Not Found", 0)</f>
        <v>30</v>
      </c>
      <c r="O1064" s="16">
        <f>_xlfn.XLOOKUP(CustomerCombinedCleaned[[#This Row],[ID]], Table4[ID], Table4[Sweets], "Not Found", 0)</f>
        <v>13</v>
      </c>
      <c r="P1064" s="16">
        <f>_xlfn.XLOOKUP(CustomerCombinedCleaned[[#This Row],[ID]], Table4[ID], Table4[Premium], "Not Found", 0)</f>
        <v>30</v>
      </c>
      <c r="Q1064" s="16">
        <f>_xlfn.XLOOKUP(CustomerCombinedCleaned[[#This Row],[ID]], Table4[ID], Table4[Regular], "Not Found", 0)</f>
        <v>129</v>
      </c>
      <c r="R1064" s="16">
        <f>_xlfn.XLOOKUP(CustomerCombinedCleaned[[#This Row],[ID]], Table4[ID], Table4[Deals], "Not Found", 0)</f>
        <v>3</v>
      </c>
      <c r="S1064" s="16">
        <f>_xlfn.XLOOKUP(CustomerCombinedCleaned[[#This Row],[ID]], Table4[ID], Table4[Website], "Not Found", 0)</f>
        <v>2</v>
      </c>
      <c r="T1064" s="16">
        <f>_xlfn.XLOOKUP(CustomerCombinedCleaned[[#This Row],[ID]], Table4[ID], Table4[Catalog], "Not Found", 0)</f>
        <v>0</v>
      </c>
      <c r="U1064" s="16">
        <f>_xlfn.XLOOKUP(CustomerCombinedCleaned[[#This Row],[ID]], Table4[ID], Table4[Store], "Not Found", 0)</f>
        <v>3</v>
      </c>
      <c r="V1064" s="16">
        <f>_xlfn.XLOOKUP(CustomerCombinedCleaned[[#This Row],[ID]], Table4[ID], Table4[Visits], "Not Found", 0)</f>
        <v>7</v>
      </c>
      <c r="W1064" s="16">
        <f>_xlfn.XLOOKUP(CustomerCombinedCleaned[[#This Row],[ID]], Table2[ID],Table2[Complaint], "Not Found", 0 )</f>
        <v>0</v>
      </c>
      <c r="X1064" s="16">
        <f>_xlfn.XLOOKUP(CustomerCombinedCleaned[[#This Row],[ID]], Table2[ID],Table2[Pilot], "Not Found", 0 )</f>
        <v>0</v>
      </c>
      <c r="Y1064" s="16">
        <f>_xlfn.XLOOKUP(CustomerCombinedCleaned[[#This Row],[ID]], Table2[ID],Table2[MC1], "Not Found", 0 )</f>
        <v>0</v>
      </c>
      <c r="Z1064" s="16">
        <f>_xlfn.XLOOKUP(CustomerCombinedCleaned[[#This Row],[ID]], Table2[ID],Table2[MC2], "Not Found", 0 )</f>
        <v>0</v>
      </c>
      <c r="AA1064" s="16">
        <f>_xlfn.XLOOKUP(CustomerCombinedCleaned[[#This Row],[ID]], Table2[ID],Table2[MC3], "Not Found", 0 )</f>
        <v>0</v>
      </c>
      <c r="AB1064" s="16">
        <f>_xlfn.XLOOKUP(CustomerCombinedCleaned[[#This Row],[ID]], Table2[ID],Table2[MC4], "Not Found", 0 )</f>
        <v>0</v>
      </c>
      <c r="AC1064" s="16">
        <f>_xlfn.XLOOKUP(CustomerCombinedCleaned[[#This Row],[ID]], Table2[ID],Table2[MC5], "Not Found", 0 )</f>
        <v>0</v>
      </c>
    </row>
    <row r="1065" spans="1:29" x14ac:dyDescent="0.3">
      <c r="A1065" s="18">
        <v>2729</v>
      </c>
      <c r="B1065" s="16">
        <v>130372</v>
      </c>
      <c r="C1065" s="16">
        <v>1</v>
      </c>
      <c r="D1065" s="16">
        <v>1</v>
      </c>
      <c r="E1065" s="16">
        <v>49</v>
      </c>
      <c r="F1065" s="17" t="s">
        <v>9</v>
      </c>
      <c r="G1065" s="17" t="s">
        <v>11</v>
      </c>
      <c r="H1065" s="3" t="s">
        <v>729</v>
      </c>
      <c r="I1065" s="5" t="s">
        <v>434</v>
      </c>
      <c r="J1065" s="16">
        <f>_xlfn.XLOOKUP(CustomerCombinedCleaned[[#This Row],[ID]], Table4[ID], Table4[Recency], "Not Found", 0)</f>
        <v>33</v>
      </c>
      <c r="K1065" s="16">
        <f>_xlfn.XLOOKUP(CustomerCombinedCleaned[[#This Row],[ID]], Table4[ID], Table4[Teas], "Not Found", 0)</f>
        <v>64</v>
      </c>
      <c r="L1065" s="16">
        <f>_xlfn.XLOOKUP(CustomerCombinedCleaned[[#This Row],[ID]], Table4[ID], Table4[Fruits], "Not Found", 0)</f>
        <v>0</v>
      </c>
      <c r="M1065" s="16">
        <f>_xlfn.XLOOKUP(CustomerCombinedCleaned[[#This Row],[ID]], Table4[ID], Table4[Meats], "Not Found", 0)</f>
        <v>52</v>
      </c>
      <c r="N1065" s="16">
        <f>_xlfn.XLOOKUP(CustomerCombinedCleaned[[#This Row],[ID]], Table4[ID], Table4[Seafood], "Not Found", 0)</f>
        <v>30</v>
      </c>
      <c r="O1065" s="16">
        <f>_xlfn.XLOOKUP(CustomerCombinedCleaned[[#This Row],[ID]], Table4[ID], Table4[Sweets], "Not Found", 0)</f>
        <v>13</v>
      </c>
      <c r="P1065" s="16">
        <f>_xlfn.XLOOKUP(CustomerCombinedCleaned[[#This Row],[ID]], Table4[ID], Table4[Premium], "Not Found", 0)</f>
        <v>30</v>
      </c>
      <c r="Q1065" s="16">
        <f>_xlfn.XLOOKUP(CustomerCombinedCleaned[[#This Row],[ID]], Table4[ID], Table4[Regular], "Not Found", 0)</f>
        <v>129</v>
      </c>
      <c r="R1065" s="16">
        <f>_xlfn.XLOOKUP(CustomerCombinedCleaned[[#This Row],[ID]], Table4[ID], Table4[Deals], "Not Found", 0)</f>
        <v>3</v>
      </c>
      <c r="S1065" s="16">
        <f>_xlfn.XLOOKUP(CustomerCombinedCleaned[[#This Row],[ID]], Table4[ID], Table4[Website], "Not Found", 0)</f>
        <v>2</v>
      </c>
      <c r="T1065" s="16">
        <f>_xlfn.XLOOKUP(CustomerCombinedCleaned[[#This Row],[ID]], Table4[ID], Table4[Catalog], "Not Found", 0)</f>
        <v>0</v>
      </c>
      <c r="U1065" s="16">
        <f>_xlfn.XLOOKUP(CustomerCombinedCleaned[[#This Row],[ID]], Table4[ID], Table4[Store], "Not Found", 0)</f>
        <v>3</v>
      </c>
      <c r="V1065" s="16">
        <f>_xlfn.XLOOKUP(CustomerCombinedCleaned[[#This Row],[ID]], Table4[ID], Table4[Visits], "Not Found", 0)</f>
        <v>7</v>
      </c>
      <c r="W1065" s="16">
        <f>_xlfn.XLOOKUP(CustomerCombinedCleaned[[#This Row],[ID]], Table2[ID],Table2[Complaint], "Not Found", 0 )</f>
        <v>0</v>
      </c>
      <c r="X1065" s="16">
        <f>_xlfn.XLOOKUP(CustomerCombinedCleaned[[#This Row],[ID]], Table2[ID],Table2[Pilot], "Not Found", 0 )</f>
        <v>0</v>
      </c>
      <c r="Y1065" s="16">
        <f>_xlfn.XLOOKUP(CustomerCombinedCleaned[[#This Row],[ID]], Table2[ID],Table2[MC1], "Not Found", 0 )</f>
        <v>0</v>
      </c>
      <c r="Z1065" s="16">
        <f>_xlfn.XLOOKUP(CustomerCombinedCleaned[[#This Row],[ID]], Table2[ID],Table2[MC2], "Not Found", 0 )</f>
        <v>0</v>
      </c>
      <c r="AA1065" s="16">
        <f>_xlfn.XLOOKUP(CustomerCombinedCleaned[[#This Row],[ID]], Table2[ID],Table2[MC3], "Not Found", 0 )</f>
        <v>0</v>
      </c>
      <c r="AB1065" s="16">
        <f>_xlfn.XLOOKUP(CustomerCombinedCleaned[[#This Row],[ID]], Table2[ID],Table2[MC4], "Not Found", 0 )</f>
        <v>0</v>
      </c>
      <c r="AC1065" s="16">
        <f>_xlfn.XLOOKUP(CustomerCombinedCleaned[[#This Row],[ID]], Table2[ID],Table2[MC5], "Not Found", 0 )</f>
        <v>0</v>
      </c>
    </row>
    <row r="1066" spans="1:29" x14ac:dyDescent="0.3">
      <c r="A1066" s="18">
        <v>2878</v>
      </c>
      <c r="B1066" s="16">
        <v>129819</v>
      </c>
      <c r="C1066" s="16">
        <v>1</v>
      </c>
      <c r="D1066" s="16">
        <v>0</v>
      </c>
      <c r="E1066" s="16">
        <v>49</v>
      </c>
      <c r="F1066" s="17" t="s">
        <v>5</v>
      </c>
      <c r="G1066" s="17" t="s">
        <v>11</v>
      </c>
      <c r="H1066" s="3" t="s">
        <v>158</v>
      </c>
      <c r="I1066" s="5" t="s">
        <v>439</v>
      </c>
      <c r="J1066" s="16">
        <f>_xlfn.XLOOKUP(CustomerCombinedCleaned[[#This Row],[ID]], Table4[ID], Table4[Recency], "Not Found", 0)</f>
        <v>77</v>
      </c>
      <c r="K1066" s="16">
        <f>_xlfn.XLOOKUP(CustomerCombinedCleaned[[#This Row],[ID]], Table4[ID], Table4[Teas], "Not Found", 0)</f>
        <v>39</v>
      </c>
      <c r="L1066" s="16">
        <f>_xlfn.XLOOKUP(CustomerCombinedCleaned[[#This Row],[ID]], Table4[ID], Table4[Fruits], "Not Found", 0)</f>
        <v>4</v>
      </c>
      <c r="M1066" s="16">
        <f>_xlfn.XLOOKUP(CustomerCombinedCleaned[[#This Row],[ID]], Table4[ID], Table4[Meats], "Not Found", 0)</f>
        <v>104</v>
      </c>
      <c r="N1066" s="16">
        <f>_xlfn.XLOOKUP(CustomerCombinedCleaned[[#This Row],[ID]], Table4[ID], Table4[Seafood], "Not Found", 0)</f>
        <v>9</v>
      </c>
      <c r="O1066" s="16">
        <f>_xlfn.XLOOKUP(CustomerCombinedCleaned[[#This Row],[ID]], Table4[ID], Table4[Sweets], "Not Found", 0)</f>
        <v>4</v>
      </c>
      <c r="P1066" s="16">
        <f>_xlfn.XLOOKUP(CustomerCombinedCleaned[[#This Row],[ID]], Table4[ID], Table4[Premium], "Not Found", 0)</f>
        <v>9</v>
      </c>
      <c r="Q1066" s="16">
        <f>_xlfn.XLOOKUP(CustomerCombinedCleaned[[#This Row],[ID]], Table4[ID], Table4[Regular], "Not Found", 0)</f>
        <v>152</v>
      </c>
      <c r="R1066" s="16">
        <f>_xlfn.XLOOKUP(CustomerCombinedCleaned[[#This Row],[ID]], Table4[ID], Table4[Deals], "Not Found", 0)</f>
        <v>3</v>
      </c>
      <c r="S1066" s="16">
        <f>_xlfn.XLOOKUP(CustomerCombinedCleaned[[#This Row],[ID]], Table4[ID], Table4[Website], "Not Found", 0)</f>
        <v>3</v>
      </c>
      <c r="T1066" s="16">
        <f>_xlfn.XLOOKUP(CustomerCombinedCleaned[[#This Row],[ID]], Table4[ID], Table4[Catalog], "Not Found", 0)</f>
        <v>0</v>
      </c>
      <c r="U1066" s="16">
        <f>_xlfn.XLOOKUP(CustomerCombinedCleaned[[#This Row],[ID]], Table4[ID], Table4[Store], "Not Found", 0)</f>
        <v>3</v>
      </c>
      <c r="V1066" s="16">
        <f>_xlfn.XLOOKUP(CustomerCombinedCleaned[[#This Row],[ID]], Table4[ID], Table4[Visits], "Not Found", 0)</f>
        <v>6</v>
      </c>
      <c r="W1066" s="16">
        <f>_xlfn.XLOOKUP(CustomerCombinedCleaned[[#This Row],[ID]], Table2[ID],Table2[Complaint], "Not Found", 0 )</f>
        <v>0</v>
      </c>
      <c r="X1066" s="16">
        <f>_xlfn.XLOOKUP(CustomerCombinedCleaned[[#This Row],[ID]], Table2[ID],Table2[Pilot], "Not Found", 0 )</f>
        <v>0</v>
      </c>
      <c r="Y1066" s="16">
        <f>_xlfn.XLOOKUP(CustomerCombinedCleaned[[#This Row],[ID]], Table2[ID],Table2[MC1], "Not Found", 0 )</f>
        <v>0</v>
      </c>
      <c r="Z1066" s="16">
        <f>_xlfn.XLOOKUP(CustomerCombinedCleaned[[#This Row],[ID]], Table2[ID],Table2[MC2], "Not Found", 0 )</f>
        <v>0</v>
      </c>
      <c r="AA1066" s="16">
        <f>_xlfn.XLOOKUP(CustomerCombinedCleaned[[#This Row],[ID]], Table2[ID],Table2[MC3], "Not Found", 0 )</f>
        <v>0</v>
      </c>
      <c r="AB1066" s="16">
        <f>_xlfn.XLOOKUP(CustomerCombinedCleaned[[#This Row],[ID]], Table2[ID],Table2[MC4], "Not Found", 0 )</f>
        <v>0</v>
      </c>
      <c r="AC1066" s="16">
        <f>_xlfn.XLOOKUP(CustomerCombinedCleaned[[#This Row],[ID]], Table2[ID],Table2[MC5], "Not Found", 0 )</f>
        <v>0</v>
      </c>
    </row>
    <row r="1067" spans="1:29" x14ac:dyDescent="0.3">
      <c r="A1067" s="18">
        <v>3114</v>
      </c>
      <c r="B1067" s="16">
        <v>129732</v>
      </c>
      <c r="C1067" s="16">
        <v>1</v>
      </c>
      <c r="D1067" s="16">
        <v>0</v>
      </c>
      <c r="E1067" s="16">
        <v>49</v>
      </c>
      <c r="F1067" s="17" t="s">
        <v>8</v>
      </c>
      <c r="G1067" s="17" t="s">
        <v>13</v>
      </c>
      <c r="H1067" s="3" t="s">
        <v>76</v>
      </c>
      <c r="I1067" s="5" t="s">
        <v>436</v>
      </c>
      <c r="J1067" s="16">
        <f>_xlfn.XLOOKUP(CustomerCombinedCleaned[[#This Row],[ID]], Table4[ID], Table4[Recency], "Not Found", 0)</f>
        <v>23</v>
      </c>
      <c r="K1067" s="16">
        <f>_xlfn.XLOOKUP(CustomerCombinedCleaned[[#This Row],[ID]], Table4[ID], Table4[Teas], "Not Found", 0)</f>
        <v>109</v>
      </c>
      <c r="L1067" s="16">
        <f>_xlfn.XLOOKUP(CustomerCombinedCleaned[[#This Row],[ID]], Table4[ID], Table4[Fruits], "Not Found", 0)</f>
        <v>0</v>
      </c>
      <c r="M1067" s="16">
        <f>_xlfn.XLOOKUP(CustomerCombinedCleaned[[#This Row],[ID]], Table4[ID], Table4[Meats], "Not Found", 0)</f>
        <v>35</v>
      </c>
      <c r="N1067" s="16">
        <f>_xlfn.XLOOKUP(CustomerCombinedCleaned[[#This Row],[ID]], Table4[ID], Table4[Seafood], "Not Found", 0)</f>
        <v>0</v>
      </c>
      <c r="O1067" s="16">
        <f>_xlfn.XLOOKUP(CustomerCombinedCleaned[[#This Row],[ID]], Table4[ID], Table4[Sweets], "Not Found", 0)</f>
        <v>4</v>
      </c>
      <c r="P1067" s="16">
        <f>_xlfn.XLOOKUP(CustomerCombinedCleaned[[#This Row],[ID]], Table4[ID], Table4[Premium], "Not Found", 0)</f>
        <v>17</v>
      </c>
      <c r="Q1067" s="16">
        <f>_xlfn.XLOOKUP(CustomerCombinedCleaned[[#This Row],[ID]], Table4[ID], Table4[Regular], "Not Found", 0)</f>
        <v>131</v>
      </c>
      <c r="R1067" s="16">
        <f>_xlfn.XLOOKUP(CustomerCombinedCleaned[[#This Row],[ID]], Table4[ID], Table4[Deals], "Not Found", 0)</f>
        <v>1</v>
      </c>
      <c r="S1067" s="16">
        <f>_xlfn.XLOOKUP(CustomerCombinedCleaned[[#This Row],[ID]], Table4[ID], Table4[Website], "Not Found", 0)</f>
        <v>2</v>
      </c>
      <c r="T1067" s="16">
        <f>_xlfn.XLOOKUP(CustomerCombinedCleaned[[#This Row],[ID]], Table4[ID], Table4[Catalog], "Not Found", 0)</f>
        <v>0</v>
      </c>
      <c r="U1067" s="16">
        <f>_xlfn.XLOOKUP(CustomerCombinedCleaned[[#This Row],[ID]], Table4[ID], Table4[Store], "Not Found", 0)</f>
        <v>2</v>
      </c>
      <c r="V1067" s="16">
        <f>_xlfn.XLOOKUP(CustomerCombinedCleaned[[#This Row],[ID]], Table4[ID], Table4[Visits], "Not Found", 0)</f>
        <v>9</v>
      </c>
      <c r="W1067" s="16">
        <f>_xlfn.XLOOKUP(CustomerCombinedCleaned[[#This Row],[ID]], Table2[ID],Table2[Complaint], "Not Found", 0 )</f>
        <v>0</v>
      </c>
      <c r="X1067" s="16">
        <f>_xlfn.XLOOKUP(CustomerCombinedCleaned[[#This Row],[ID]], Table2[ID],Table2[Pilot], "Not Found", 0 )</f>
        <v>0</v>
      </c>
      <c r="Y1067" s="16">
        <f>_xlfn.XLOOKUP(CustomerCombinedCleaned[[#This Row],[ID]], Table2[ID],Table2[MC1], "Not Found", 0 )</f>
        <v>0</v>
      </c>
      <c r="Z1067" s="16">
        <f>_xlfn.XLOOKUP(CustomerCombinedCleaned[[#This Row],[ID]], Table2[ID],Table2[MC2], "Not Found", 0 )</f>
        <v>0</v>
      </c>
      <c r="AA1067" s="16">
        <f>_xlfn.XLOOKUP(CustomerCombinedCleaned[[#This Row],[ID]], Table2[ID],Table2[MC3], "Not Found", 0 )</f>
        <v>0</v>
      </c>
      <c r="AB1067" s="16">
        <f>_xlfn.XLOOKUP(CustomerCombinedCleaned[[#This Row],[ID]], Table2[ID],Table2[MC4], "Not Found", 0 )</f>
        <v>0</v>
      </c>
      <c r="AC1067" s="16">
        <f>_xlfn.XLOOKUP(CustomerCombinedCleaned[[#This Row],[ID]], Table2[ID],Table2[MC5], "Not Found", 0 )</f>
        <v>0</v>
      </c>
    </row>
    <row r="1068" spans="1:29" x14ac:dyDescent="0.3">
      <c r="A1068" s="18">
        <v>2165</v>
      </c>
      <c r="B1068" s="16">
        <v>126954</v>
      </c>
      <c r="C1068" s="16">
        <v>1</v>
      </c>
      <c r="D1068" s="16">
        <v>0</v>
      </c>
      <c r="E1068" s="16">
        <v>49</v>
      </c>
      <c r="F1068" s="17" t="s">
        <v>7</v>
      </c>
      <c r="G1068" s="17" t="s">
        <v>11</v>
      </c>
      <c r="H1068" s="3" t="s">
        <v>559</v>
      </c>
      <c r="I1068" s="5" t="s">
        <v>434</v>
      </c>
      <c r="J1068" s="16">
        <f>_xlfn.XLOOKUP(CustomerCombinedCleaned[[#This Row],[ID]], Table4[ID], Table4[Recency], "Not Found", 0)</f>
        <v>17</v>
      </c>
      <c r="K1068" s="16">
        <f>_xlfn.XLOOKUP(CustomerCombinedCleaned[[#This Row],[ID]], Table4[ID], Table4[Teas], "Not Found", 0)</f>
        <v>19</v>
      </c>
      <c r="L1068" s="16">
        <f>_xlfn.XLOOKUP(CustomerCombinedCleaned[[#This Row],[ID]], Table4[ID], Table4[Fruits], "Not Found", 0)</f>
        <v>5</v>
      </c>
      <c r="M1068" s="16">
        <f>_xlfn.XLOOKUP(CustomerCombinedCleaned[[#This Row],[ID]], Table4[ID], Table4[Meats], "Not Found", 0)</f>
        <v>52</v>
      </c>
      <c r="N1068" s="16">
        <f>_xlfn.XLOOKUP(CustomerCombinedCleaned[[#This Row],[ID]], Table4[ID], Table4[Seafood], "Not Found", 0)</f>
        <v>0</v>
      </c>
      <c r="O1068" s="16">
        <f>_xlfn.XLOOKUP(CustomerCombinedCleaned[[#This Row],[ID]], Table4[ID], Table4[Sweets], "Not Found", 0)</f>
        <v>0</v>
      </c>
      <c r="P1068" s="16">
        <f>_xlfn.XLOOKUP(CustomerCombinedCleaned[[#This Row],[ID]], Table4[ID], Table4[Premium], "Not Found", 0)</f>
        <v>5</v>
      </c>
      <c r="Q1068" s="16">
        <f>_xlfn.XLOOKUP(CustomerCombinedCleaned[[#This Row],[ID]], Table4[ID], Table4[Regular], "Not Found", 0)</f>
        <v>71</v>
      </c>
      <c r="R1068" s="16">
        <f>_xlfn.XLOOKUP(CustomerCombinedCleaned[[#This Row],[ID]], Table4[ID], Table4[Deals], "Not Found", 0)</f>
        <v>1</v>
      </c>
      <c r="S1068" s="16">
        <f>_xlfn.XLOOKUP(CustomerCombinedCleaned[[#This Row],[ID]], Table4[ID], Table4[Website], "Not Found", 0)</f>
        <v>1</v>
      </c>
      <c r="T1068" s="16">
        <f>_xlfn.XLOOKUP(CustomerCombinedCleaned[[#This Row],[ID]], Table4[ID], Table4[Catalog], "Not Found", 0)</f>
        <v>0</v>
      </c>
      <c r="U1068" s="16">
        <f>_xlfn.XLOOKUP(CustomerCombinedCleaned[[#This Row],[ID]], Table4[ID], Table4[Store], "Not Found", 0)</f>
        <v>2</v>
      </c>
      <c r="V1068" s="16">
        <f>_xlfn.XLOOKUP(CustomerCombinedCleaned[[#This Row],[ID]], Table4[ID], Table4[Visits], "Not Found", 0)</f>
        <v>7</v>
      </c>
      <c r="W1068" s="16">
        <f>_xlfn.XLOOKUP(CustomerCombinedCleaned[[#This Row],[ID]], Table2[ID],Table2[Complaint], "Not Found", 0 )</f>
        <v>0</v>
      </c>
      <c r="X1068" s="16">
        <f>_xlfn.XLOOKUP(CustomerCombinedCleaned[[#This Row],[ID]], Table2[ID],Table2[Pilot], "Not Found", 0 )</f>
        <v>0</v>
      </c>
      <c r="Y1068" s="16">
        <f>_xlfn.XLOOKUP(CustomerCombinedCleaned[[#This Row],[ID]], Table2[ID],Table2[MC1], "Not Found", 0 )</f>
        <v>0</v>
      </c>
      <c r="Z1068" s="16">
        <f>_xlfn.XLOOKUP(CustomerCombinedCleaned[[#This Row],[ID]], Table2[ID],Table2[MC2], "Not Found", 0 )</f>
        <v>0</v>
      </c>
      <c r="AA1068" s="16">
        <f>_xlfn.XLOOKUP(CustomerCombinedCleaned[[#This Row],[ID]], Table2[ID],Table2[MC3], "Not Found", 0 )</f>
        <v>0</v>
      </c>
      <c r="AB1068" s="16">
        <f>_xlfn.XLOOKUP(CustomerCombinedCleaned[[#This Row],[ID]], Table2[ID],Table2[MC4], "Not Found", 0 )</f>
        <v>0</v>
      </c>
      <c r="AC1068" s="16">
        <f>_xlfn.XLOOKUP(CustomerCombinedCleaned[[#This Row],[ID]], Table2[ID],Table2[MC5], "Not Found", 0 )</f>
        <v>0</v>
      </c>
    </row>
    <row r="1069" spans="1:29" x14ac:dyDescent="0.3">
      <c r="A1069" s="18">
        <v>1569</v>
      </c>
      <c r="B1069" s="16">
        <v>126850</v>
      </c>
      <c r="C1069" s="16">
        <v>1</v>
      </c>
      <c r="D1069" s="16">
        <v>1</v>
      </c>
      <c r="E1069" s="16">
        <v>49</v>
      </c>
      <c r="F1069" s="17" t="s">
        <v>8</v>
      </c>
      <c r="G1069" s="17" t="s">
        <v>11</v>
      </c>
      <c r="H1069" s="3" t="s">
        <v>64</v>
      </c>
      <c r="I1069" s="5" t="s">
        <v>435</v>
      </c>
      <c r="J1069" s="16">
        <f>_xlfn.XLOOKUP(CustomerCombinedCleaned[[#This Row],[ID]], Table4[ID], Table4[Recency], "Not Found", 0)</f>
        <v>10</v>
      </c>
      <c r="K1069" s="16">
        <f>_xlfn.XLOOKUP(CustomerCombinedCleaned[[#This Row],[ID]], Table4[ID], Table4[Teas], "Not Found", 0)</f>
        <v>146</v>
      </c>
      <c r="L1069" s="16">
        <f>_xlfn.XLOOKUP(CustomerCombinedCleaned[[#This Row],[ID]], Table4[ID], Table4[Fruits], "Not Found", 0)</f>
        <v>5</v>
      </c>
      <c r="M1069" s="16">
        <f>_xlfn.XLOOKUP(CustomerCombinedCleaned[[#This Row],[ID]], Table4[ID], Table4[Meats], "Not Found", 0)</f>
        <v>61</v>
      </c>
      <c r="N1069" s="16">
        <f>_xlfn.XLOOKUP(CustomerCombinedCleaned[[#This Row],[ID]], Table4[ID], Table4[Seafood], "Not Found", 0)</f>
        <v>33</v>
      </c>
      <c r="O1069" s="16">
        <f>_xlfn.XLOOKUP(CustomerCombinedCleaned[[#This Row],[ID]], Table4[ID], Table4[Sweets], "Not Found", 0)</f>
        <v>9</v>
      </c>
      <c r="P1069" s="16">
        <f>_xlfn.XLOOKUP(CustomerCombinedCleaned[[#This Row],[ID]], Table4[ID], Table4[Premium], "Not Found", 0)</f>
        <v>43</v>
      </c>
      <c r="Q1069" s="16">
        <f>_xlfn.XLOOKUP(CustomerCombinedCleaned[[#This Row],[ID]], Table4[ID], Table4[Regular], "Not Found", 0)</f>
        <v>213</v>
      </c>
      <c r="R1069" s="16">
        <f>_xlfn.XLOOKUP(CustomerCombinedCleaned[[#This Row],[ID]], Table4[ID], Table4[Deals], "Not Found", 0)</f>
        <v>4</v>
      </c>
      <c r="S1069" s="16">
        <f>_xlfn.XLOOKUP(CustomerCombinedCleaned[[#This Row],[ID]], Table4[ID], Table4[Website], "Not Found", 0)</f>
        <v>2</v>
      </c>
      <c r="T1069" s="16">
        <f>_xlfn.XLOOKUP(CustomerCombinedCleaned[[#This Row],[ID]], Table4[ID], Table4[Catalog], "Not Found", 0)</f>
        <v>1</v>
      </c>
      <c r="U1069" s="16">
        <f>_xlfn.XLOOKUP(CustomerCombinedCleaned[[#This Row],[ID]], Table4[ID], Table4[Store], "Not Found", 0)</f>
        <v>4</v>
      </c>
      <c r="V1069" s="16">
        <f>_xlfn.XLOOKUP(CustomerCombinedCleaned[[#This Row],[ID]], Table4[ID], Table4[Visits], "Not Found", 0)</f>
        <v>4</v>
      </c>
      <c r="W1069" s="16">
        <f>_xlfn.XLOOKUP(CustomerCombinedCleaned[[#This Row],[ID]], Table2[ID],Table2[Complaint], "Not Found", 0 )</f>
        <v>0</v>
      </c>
      <c r="X1069" s="16">
        <f>_xlfn.XLOOKUP(CustomerCombinedCleaned[[#This Row],[ID]], Table2[ID],Table2[Pilot], "Not Found", 0 )</f>
        <v>0</v>
      </c>
      <c r="Y1069" s="16">
        <f>_xlfn.XLOOKUP(CustomerCombinedCleaned[[#This Row],[ID]], Table2[ID],Table2[MC1], "Not Found", 0 )</f>
        <v>0</v>
      </c>
      <c r="Z1069" s="16">
        <f>_xlfn.XLOOKUP(CustomerCombinedCleaned[[#This Row],[ID]], Table2[ID],Table2[MC2], "Not Found", 0 )</f>
        <v>0</v>
      </c>
      <c r="AA1069" s="16">
        <f>_xlfn.XLOOKUP(CustomerCombinedCleaned[[#This Row],[ID]], Table2[ID],Table2[MC3], "Not Found", 0 )</f>
        <v>0</v>
      </c>
      <c r="AB1069" s="16">
        <f>_xlfn.XLOOKUP(CustomerCombinedCleaned[[#This Row],[ID]], Table2[ID],Table2[MC4], "Not Found", 0 )</f>
        <v>0</v>
      </c>
      <c r="AC1069" s="16">
        <f>_xlfn.XLOOKUP(CustomerCombinedCleaned[[#This Row],[ID]], Table2[ID],Table2[MC5], "Not Found", 0 )</f>
        <v>0</v>
      </c>
    </row>
    <row r="1070" spans="1:29" x14ac:dyDescent="0.3">
      <c r="A1070" s="18">
        <v>3088</v>
      </c>
      <c r="B1070" s="16">
        <v>125818</v>
      </c>
      <c r="C1070" s="16">
        <v>1</v>
      </c>
      <c r="D1070" s="16">
        <v>0</v>
      </c>
      <c r="E1070" s="16">
        <v>49</v>
      </c>
      <c r="F1070" s="17" t="s">
        <v>5</v>
      </c>
      <c r="G1070" s="17" t="s">
        <v>11</v>
      </c>
      <c r="H1070" s="3" t="s">
        <v>376</v>
      </c>
      <c r="I1070" s="5" t="s">
        <v>439</v>
      </c>
      <c r="J1070" s="16">
        <f>_xlfn.XLOOKUP(CustomerCombinedCleaned[[#This Row],[ID]], Table4[ID], Table4[Recency], "Not Found", 0)</f>
        <v>51</v>
      </c>
      <c r="K1070" s="16">
        <f>_xlfn.XLOOKUP(CustomerCombinedCleaned[[#This Row],[ID]], Table4[ID], Table4[Teas], "Not Found", 0)</f>
        <v>24</v>
      </c>
      <c r="L1070" s="16">
        <f>_xlfn.XLOOKUP(CustomerCombinedCleaned[[#This Row],[ID]], Table4[ID], Table4[Fruits], "Not Found", 0)</f>
        <v>10</v>
      </c>
      <c r="M1070" s="16">
        <f>_xlfn.XLOOKUP(CustomerCombinedCleaned[[#This Row],[ID]], Table4[ID], Table4[Meats], "Not Found", 0)</f>
        <v>39</v>
      </c>
      <c r="N1070" s="16">
        <f>_xlfn.XLOOKUP(CustomerCombinedCleaned[[#This Row],[ID]], Table4[ID], Table4[Seafood], "Not Found", 0)</f>
        <v>10</v>
      </c>
      <c r="O1070" s="16">
        <f>_xlfn.XLOOKUP(CustomerCombinedCleaned[[#This Row],[ID]], Table4[ID], Table4[Sweets], "Not Found", 0)</f>
        <v>10</v>
      </c>
      <c r="P1070" s="16">
        <f>_xlfn.XLOOKUP(CustomerCombinedCleaned[[#This Row],[ID]], Table4[ID], Table4[Premium], "Not Found", 0)</f>
        <v>44</v>
      </c>
      <c r="Q1070" s="16">
        <f>_xlfn.XLOOKUP(CustomerCombinedCleaned[[#This Row],[ID]], Table4[ID], Table4[Regular], "Not Found", 0)</f>
        <v>49</v>
      </c>
      <c r="R1070" s="16">
        <f>_xlfn.XLOOKUP(CustomerCombinedCleaned[[#This Row],[ID]], Table4[ID], Table4[Deals], "Not Found", 0)</f>
        <v>1</v>
      </c>
      <c r="S1070" s="16">
        <f>_xlfn.XLOOKUP(CustomerCombinedCleaned[[#This Row],[ID]], Table4[ID], Table4[Website], "Not Found", 0)</f>
        <v>0</v>
      </c>
      <c r="T1070" s="16">
        <f>_xlfn.XLOOKUP(CustomerCombinedCleaned[[#This Row],[ID]], Table4[ID], Table4[Catalog], "Not Found", 0)</f>
        <v>1</v>
      </c>
      <c r="U1070" s="16">
        <f>_xlfn.XLOOKUP(CustomerCombinedCleaned[[#This Row],[ID]], Table4[ID], Table4[Store], "Not Found", 0)</f>
        <v>2</v>
      </c>
      <c r="V1070" s="16">
        <f>_xlfn.XLOOKUP(CustomerCombinedCleaned[[#This Row],[ID]], Table4[ID], Table4[Visits], "Not Found", 0)</f>
        <v>7</v>
      </c>
      <c r="W1070" s="16">
        <f>_xlfn.XLOOKUP(CustomerCombinedCleaned[[#This Row],[ID]], Table2[ID],Table2[Complaint], "Not Found", 0 )</f>
        <v>0</v>
      </c>
      <c r="X1070" s="16">
        <f>_xlfn.XLOOKUP(CustomerCombinedCleaned[[#This Row],[ID]], Table2[ID],Table2[Pilot], "Not Found", 0 )</f>
        <v>0</v>
      </c>
      <c r="Y1070" s="16">
        <f>_xlfn.XLOOKUP(CustomerCombinedCleaned[[#This Row],[ID]], Table2[ID],Table2[MC1], "Not Found", 0 )</f>
        <v>0</v>
      </c>
      <c r="Z1070" s="16">
        <f>_xlfn.XLOOKUP(CustomerCombinedCleaned[[#This Row],[ID]], Table2[ID],Table2[MC2], "Not Found", 0 )</f>
        <v>0</v>
      </c>
      <c r="AA1070" s="16">
        <f>_xlfn.XLOOKUP(CustomerCombinedCleaned[[#This Row],[ID]], Table2[ID],Table2[MC3], "Not Found", 0 )</f>
        <v>0</v>
      </c>
      <c r="AB1070" s="16">
        <f>_xlfn.XLOOKUP(CustomerCombinedCleaned[[#This Row],[ID]], Table2[ID],Table2[MC4], "Not Found", 0 )</f>
        <v>0</v>
      </c>
      <c r="AC1070" s="16">
        <f>_xlfn.XLOOKUP(CustomerCombinedCleaned[[#This Row],[ID]], Table2[ID],Table2[MC5], "Not Found", 0 )</f>
        <v>0</v>
      </c>
    </row>
    <row r="1071" spans="1:29" x14ac:dyDescent="0.3">
      <c r="A1071" s="18">
        <v>1061</v>
      </c>
      <c r="B1071" s="16">
        <v>125721</v>
      </c>
      <c r="C1071" s="16">
        <v>1</v>
      </c>
      <c r="D1071" s="16">
        <v>0</v>
      </c>
      <c r="E1071" s="16">
        <v>49</v>
      </c>
      <c r="F1071" s="17" t="s">
        <v>6</v>
      </c>
      <c r="G1071" s="17" t="s">
        <v>11</v>
      </c>
      <c r="H1071" s="3" t="s">
        <v>250</v>
      </c>
      <c r="I1071" s="5" t="s">
        <v>434</v>
      </c>
      <c r="J1071" s="16">
        <f>_xlfn.XLOOKUP(CustomerCombinedCleaned[[#This Row],[ID]], Table4[ID], Table4[Recency], "Not Found", 0)</f>
        <v>75</v>
      </c>
      <c r="K1071" s="16">
        <f>_xlfn.XLOOKUP(CustomerCombinedCleaned[[#This Row],[ID]], Table4[ID], Table4[Teas], "Not Found", 0)</f>
        <v>5</v>
      </c>
      <c r="L1071" s="16">
        <f>_xlfn.XLOOKUP(CustomerCombinedCleaned[[#This Row],[ID]], Table4[ID], Table4[Fruits], "Not Found", 0)</f>
        <v>15</v>
      </c>
      <c r="M1071" s="16">
        <f>_xlfn.XLOOKUP(CustomerCombinedCleaned[[#This Row],[ID]], Table4[ID], Table4[Meats], "Not Found", 0)</f>
        <v>29</v>
      </c>
      <c r="N1071" s="16">
        <f>_xlfn.XLOOKUP(CustomerCombinedCleaned[[#This Row],[ID]], Table4[ID], Table4[Seafood], "Not Found", 0)</f>
        <v>15</v>
      </c>
      <c r="O1071" s="16">
        <f>_xlfn.XLOOKUP(CustomerCombinedCleaned[[#This Row],[ID]], Table4[ID], Table4[Sweets], "Not Found", 0)</f>
        <v>29</v>
      </c>
      <c r="P1071" s="16">
        <f>_xlfn.XLOOKUP(CustomerCombinedCleaned[[#This Row],[ID]], Table4[ID], Table4[Premium], "Not Found", 0)</f>
        <v>73</v>
      </c>
      <c r="Q1071" s="16">
        <f>_xlfn.XLOOKUP(CustomerCombinedCleaned[[#This Row],[ID]], Table4[ID], Table4[Regular], "Not Found", 0)</f>
        <v>20</v>
      </c>
      <c r="R1071" s="16">
        <f>_xlfn.XLOOKUP(CustomerCombinedCleaned[[#This Row],[ID]], Table4[ID], Table4[Deals], "Not Found", 0)</f>
        <v>1</v>
      </c>
      <c r="S1071" s="16">
        <f>_xlfn.XLOOKUP(CustomerCombinedCleaned[[#This Row],[ID]], Table4[ID], Table4[Website], "Not Found", 0)</f>
        <v>1</v>
      </c>
      <c r="T1071" s="16">
        <f>_xlfn.XLOOKUP(CustomerCombinedCleaned[[#This Row],[ID]], Table4[ID], Table4[Catalog], "Not Found", 0)</f>
        <v>1</v>
      </c>
      <c r="U1071" s="16">
        <f>_xlfn.XLOOKUP(CustomerCombinedCleaned[[#This Row],[ID]], Table4[ID], Table4[Store], "Not Found", 0)</f>
        <v>2</v>
      </c>
      <c r="V1071" s="16">
        <f>_xlfn.XLOOKUP(CustomerCombinedCleaned[[#This Row],[ID]], Table4[ID], Table4[Visits], "Not Found", 0)</f>
        <v>7</v>
      </c>
      <c r="W1071" s="16">
        <f>_xlfn.XLOOKUP(CustomerCombinedCleaned[[#This Row],[ID]], Table2[ID],Table2[Complaint], "Not Found", 0 )</f>
        <v>0</v>
      </c>
      <c r="X1071" s="16">
        <f>_xlfn.XLOOKUP(CustomerCombinedCleaned[[#This Row],[ID]], Table2[ID],Table2[Pilot], "Not Found", 0 )</f>
        <v>1</v>
      </c>
      <c r="Y1071" s="16">
        <f>_xlfn.XLOOKUP(CustomerCombinedCleaned[[#This Row],[ID]], Table2[ID],Table2[MC1], "Not Found", 0 )</f>
        <v>0</v>
      </c>
      <c r="Z1071" s="16">
        <f>_xlfn.XLOOKUP(CustomerCombinedCleaned[[#This Row],[ID]], Table2[ID],Table2[MC2], "Not Found", 0 )</f>
        <v>0</v>
      </c>
      <c r="AA1071" s="16">
        <f>_xlfn.XLOOKUP(CustomerCombinedCleaned[[#This Row],[ID]], Table2[ID],Table2[MC3], "Not Found", 0 )</f>
        <v>0</v>
      </c>
      <c r="AB1071" s="16">
        <f>_xlfn.XLOOKUP(CustomerCombinedCleaned[[#This Row],[ID]], Table2[ID],Table2[MC4], "Not Found", 0 )</f>
        <v>0</v>
      </c>
      <c r="AC1071" s="16">
        <f>_xlfn.XLOOKUP(CustomerCombinedCleaned[[#This Row],[ID]], Table2[ID],Table2[MC5], "Not Found", 0 )</f>
        <v>0</v>
      </c>
    </row>
    <row r="1072" spans="1:29" x14ac:dyDescent="0.3">
      <c r="A1072" s="18">
        <v>1229</v>
      </c>
      <c r="B1072" s="16">
        <v>122804</v>
      </c>
      <c r="C1072" s="16">
        <v>1</v>
      </c>
      <c r="D1072" s="16">
        <v>0</v>
      </c>
      <c r="E1072" s="16">
        <v>49</v>
      </c>
      <c r="F1072" s="17" t="s">
        <v>7</v>
      </c>
      <c r="G1072" s="17" t="s">
        <v>11</v>
      </c>
      <c r="H1072" s="3" t="s">
        <v>795</v>
      </c>
      <c r="I1072" s="5" t="s">
        <v>434</v>
      </c>
      <c r="J1072" s="16">
        <f>_xlfn.XLOOKUP(CustomerCombinedCleaned[[#This Row],[ID]], Table4[ID], Table4[Recency], "Not Found", 0)</f>
        <v>75</v>
      </c>
      <c r="K1072" s="16">
        <f>_xlfn.XLOOKUP(CustomerCombinedCleaned[[#This Row],[ID]], Table4[ID], Table4[Teas], "Not Found", 0)</f>
        <v>75</v>
      </c>
      <c r="L1072" s="16">
        <f>_xlfn.XLOOKUP(CustomerCombinedCleaned[[#This Row],[ID]], Table4[ID], Table4[Fruits], "Not Found", 0)</f>
        <v>5</v>
      </c>
      <c r="M1072" s="16">
        <f>_xlfn.XLOOKUP(CustomerCombinedCleaned[[#This Row],[ID]], Table4[ID], Table4[Meats], "Not Found", 0)</f>
        <v>38</v>
      </c>
      <c r="N1072" s="16">
        <f>_xlfn.XLOOKUP(CustomerCombinedCleaned[[#This Row],[ID]], Table4[ID], Table4[Seafood], "Not Found", 0)</f>
        <v>11</v>
      </c>
      <c r="O1072" s="16">
        <f>_xlfn.XLOOKUP(CustomerCombinedCleaned[[#This Row],[ID]], Table4[ID], Table4[Sweets], "Not Found", 0)</f>
        <v>5</v>
      </c>
      <c r="P1072" s="16">
        <f>_xlfn.XLOOKUP(CustomerCombinedCleaned[[#This Row],[ID]], Table4[ID], Table4[Premium], "Not Found", 0)</f>
        <v>5</v>
      </c>
      <c r="Q1072" s="16">
        <f>_xlfn.XLOOKUP(CustomerCombinedCleaned[[#This Row],[ID]], Table4[ID], Table4[Regular], "Not Found", 0)</f>
        <v>129</v>
      </c>
      <c r="R1072" s="16">
        <f>_xlfn.XLOOKUP(CustomerCombinedCleaned[[#This Row],[ID]], Table4[ID], Table4[Deals], "Not Found", 0)</f>
        <v>1</v>
      </c>
      <c r="S1072" s="16">
        <f>_xlfn.XLOOKUP(CustomerCombinedCleaned[[#This Row],[ID]], Table4[ID], Table4[Website], "Not Found", 0)</f>
        <v>2</v>
      </c>
      <c r="T1072" s="16">
        <f>_xlfn.XLOOKUP(CustomerCombinedCleaned[[#This Row],[ID]], Table4[ID], Table4[Catalog], "Not Found", 0)</f>
        <v>0</v>
      </c>
      <c r="U1072" s="16">
        <f>_xlfn.XLOOKUP(CustomerCombinedCleaned[[#This Row],[ID]], Table4[ID], Table4[Store], "Not Found", 0)</f>
        <v>2</v>
      </c>
      <c r="V1072" s="16">
        <f>_xlfn.XLOOKUP(CustomerCombinedCleaned[[#This Row],[ID]], Table4[ID], Table4[Visits], "Not Found", 0)</f>
        <v>9</v>
      </c>
      <c r="W1072" s="16">
        <f>_xlfn.XLOOKUP(CustomerCombinedCleaned[[#This Row],[ID]], Table2[ID],Table2[Complaint], "Not Found", 0 )</f>
        <v>0</v>
      </c>
      <c r="X1072" s="16">
        <f>_xlfn.XLOOKUP(CustomerCombinedCleaned[[#This Row],[ID]], Table2[ID],Table2[Pilot], "Not Found", 0 )</f>
        <v>0</v>
      </c>
      <c r="Y1072" s="16">
        <f>_xlfn.XLOOKUP(CustomerCombinedCleaned[[#This Row],[ID]], Table2[ID],Table2[MC1], "Not Found", 0 )</f>
        <v>0</v>
      </c>
      <c r="Z1072" s="16">
        <f>_xlfn.XLOOKUP(CustomerCombinedCleaned[[#This Row],[ID]], Table2[ID],Table2[MC2], "Not Found", 0 )</f>
        <v>0</v>
      </c>
      <c r="AA1072" s="16">
        <f>_xlfn.XLOOKUP(CustomerCombinedCleaned[[#This Row],[ID]], Table2[ID],Table2[MC3], "Not Found", 0 )</f>
        <v>0</v>
      </c>
      <c r="AB1072" s="16">
        <f>_xlfn.XLOOKUP(CustomerCombinedCleaned[[#This Row],[ID]], Table2[ID],Table2[MC4], "Not Found", 0 )</f>
        <v>0</v>
      </c>
      <c r="AC1072" s="16">
        <f>_xlfn.XLOOKUP(CustomerCombinedCleaned[[#This Row],[ID]], Table2[ID],Table2[MC5], "Not Found", 0 )</f>
        <v>0</v>
      </c>
    </row>
    <row r="1073" spans="1:29" x14ac:dyDescent="0.3">
      <c r="A1073" s="18">
        <v>2272</v>
      </c>
      <c r="B1073" s="16">
        <v>122804</v>
      </c>
      <c r="C1073" s="16">
        <v>1</v>
      </c>
      <c r="D1073" s="16">
        <v>0</v>
      </c>
      <c r="E1073" s="16">
        <v>49</v>
      </c>
      <c r="F1073" s="17" t="s">
        <v>7</v>
      </c>
      <c r="G1073" s="17" t="s">
        <v>11</v>
      </c>
      <c r="H1073" s="3" t="s">
        <v>795</v>
      </c>
      <c r="I1073" s="5" t="s">
        <v>439</v>
      </c>
      <c r="J1073" s="16">
        <f>_xlfn.XLOOKUP(CustomerCombinedCleaned[[#This Row],[ID]], Table4[ID], Table4[Recency], "Not Found", 0)</f>
        <v>75</v>
      </c>
      <c r="K1073" s="16">
        <f>_xlfn.XLOOKUP(CustomerCombinedCleaned[[#This Row],[ID]], Table4[ID], Table4[Teas], "Not Found", 0)</f>
        <v>75</v>
      </c>
      <c r="L1073" s="16">
        <f>_xlfn.XLOOKUP(CustomerCombinedCleaned[[#This Row],[ID]], Table4[ID], Table4[Fruits], "Not Found", 0)</f>
        <v>5</v>
      </c>
      <c r="M1073" s="16">
        <f>_xlfn.XLOOKUP(CustomerCombinedCleaned[[#This Row],[ID]], Table4[ID], Table4[Meats], "Not Found", 0)</f>
        <v>38</v>
      </c>
      <c r="N1073" s="16">
        <f>_xlfn.XLOOKUP(CustomerCombinedCleaned[[#This Row],[ID]], Table4[ID], Table4[Seafood], "Not Found", 0)</f>
        <v>11</v>
      </c>
      <c r="O1073" s="16">
        <f>_xlfn.XLOOKUP(CustomerCombinedCleaned[[#This Row],[ID]], Table4[ID], Table4[Sweets], "Not Found", 0)</f>
        <v>5</v>
      </c>
      <c r="P1073" s="16">
        <f>_xlfn.XLOOKUP(CustomerCombinedCleaned[[#This Row],[ID]], Table4[ID], Table4[Premium], "Not Found", 0)</f>
        <v>5</v>
      </c>
      <c r="Q1073" s="16">
        <f>_xlfn.XLOOKUP(CustomerCombinedCleaned[[#This Row],[ID]], Table4[ID], Table4[Regular], "Not Found", 0)</f>
        <v>129</v>
      </c>
      <c r="R1073" s="16">
        <f>_xlfn.XLOOKUP(CustomerCombinedCleaned[[#This Row],[ID]], Table4[ID], Table4[Deals], "Not Found", 0)</f>
        <v>1</v>
      </c>
      <c r="S1073" s="16">
        <f>_xlfn.XLOOKUP(CustomerCombinedCleaned[[#This Row],[ID]], Table4[ID], Table4[Website], "Not Found", 0)</f>
        <v>2</v>
      </c>
      <c r="T1073" s="16">
        <f>_xlfn.XLOOKUP(CustomerCombinedCleaned[[#This Row],[ID]], Table4[ID], Table4[Catalog], "Not Found", 0)</f>
        <v>0</v>
      </c>
      <c r="U1073" s="16">
        <f>_xlfn.XLOOKUP(CustomerCombinedCleaned[[#This Row],[ID]], Table4[ID], Table4[Store], "Not Found", 0)</f>
        <v>2</v>
      </c>
      <c r="V1073" s="16">
        <f>_xlfn.XLOOKUP(CustomerCombinedCleaned[[#This Row],[ID]], Table4[ID], Table4[Visits], "Not Found", 0)</f>
        <v>9</v>
      </c>
      <c r="W1073" s="16">
        <f>_xlfn.XLOOKUP(CustomerCombinedCleaned[[#This Row],[ID]], Table2[ID],Table2[Complaint], "Not Found", 0 )</f>
        <v>0</v>
      </c>
      <c r="X1073" s="16">
        <f>_xlfn.XLOOKUP(CustomerCombinedCleaned[[#This Row],[ID]], Table2[ID],Table2[Pilot], "Not Found", 0 )</f>
        <v>0</v>
      </c>
      <c r="Y1073" s="16">
        <f>_xlfn.XLOOKUP(CustomerCombinedCleaned[[#This Row],[ID]], Table2[ID],Table2[MC1], "Not Found", 0 )</f>
        <v>0</v>
      </c>
      <c r="Z1073" s="16">
        <f>_xlfn.XLOOKUP(CustomerCombinedCleaned[[#This Row],[ID]], Table2[ID],Table2[MC2], "Not Found", 0 )</f>
        <v>0</v>
      </c>
      <c r="AA1073" s="16">
        <f>_xlfn.XLOOKUP(CustomerCombinedCleaned[[#This Row],[ID]], Table2[ID],Table2[MC3], "Not Found", 0 )</f>
        <v>0</v>
      </c>
      <c r="AB1073" s="16">
        <f>_xlfn.XLOOKUP(CustomerCombinedCleaned[[#This Row],[ID]], Table2[ID],Table2[MC4], "Not Found", 0 )</f>
        <v>0</v>
      </c>
      <c r="AC1073" s="16">
        <f>_xlfn.XLOOKUP(CustomerCombinedCleaned[[#This Row],[ID]], Table2[ID],Table2[MC5], "Not Found", 0 )</f>
        <v>0</v>
      </c>
    </row>
    <row r="1074" spans="1:29" x14ac:dyDescent="0.3">
      <c r="A1074" s="18">
        <v>2597</v>
      </c>
      <c r="B1074" s="16">
        <v>118793</v>
      </c>
      <c r="C1074" s="16">
        <v>1</v>
      </c>
      <c r="D1074" s="16">
        <v>0</v>
      </c>
      <c r="E1074" s="16">
        <v>49</v>
      </c>
      <c r="F1074" s="17" t="s">
        <v>6</v>
      </c>
      <c r="G1074" s="17" t="s">
        <v>11</v>
      </c>
      <c r="H1074" s="3" t="s">
        <v>328</v>
      </c>
      <c r="I1074" s="5" t="s">
        <v>434</v>
      </c>
      <c r="J1074" s="16">
        <f>_xlfn.XLOOKUP(CustomerCombinedCleaned[[#This Row],[ID]], Table4[ID], Table4[Recency], "Not Found", 0)</f>
        <v>14</v>
      </c>
      <c r="K1074" s="16">
        <f>_xlfn.XLOOKUP(CustomerCombinedCleaned[[#This Row],[ID]], Table4[ID], Table4[Teas], "Not Found", 0)</f>
        <v>25</v>
      </c>
      <c r="L1074" s="16">
        <f>_xlfn.XLOOKUP(CustomerCombinedCleaned[[#This Row],[ID]], Table4[ID], Table4[Fruits], "Not Found", 0)</f>
        <v>101</v>
      </c>
      <c r="M1074" s="16">
        <f>_xlfn.XLOOKUP(CustomerCombinedCleaned[[#This Row],[ID]], Table4[ID], Table4[Meats], "Not Found", 0)</f>
        <v>126</v>
      </c>
      <c r="N1074" s="16">
        <f>_xlfn.XLOOKUP(CustomerCombinedCleaned[[#This Row],[ID]], Table4[ID], Table4[Seafood], "Not Found", 0)</f>
        <v>0</v>
      </c>
      <c r="O1074" s="16">
        <f>_xlfn.XLOOKUP(CustomerCombinedCleaned[[#This Row],[ID]], Table4[ID], Table4[Sweets], "Not Found", 0)</f>
        <v>107</v>
      </c>
      <c r="P1074" s="16">
        <f>_xlfn.XLOOKUP(CustomerCombinedCleaned[[#This Row],[ID]], Table4[ID], Table4[Premium], "Not Found", 0)</f>
        <v>126</v>
      </c>
      <c r="Q1074" s="16">
        <f>_xlfn.XLOOKUP(CustomerCombinedCleaned[[#This Row],[ID]], Table4[ID], Table4[Regular], "Not Found", 0)</f>
        <v>234</v>
      </c>
      <c r="R1074" s="16">
        <f>_xlfn.XLOOKUP(CustomerCombinedCleaned[[#This Row],[ID]], Table4[ID], Table4[Deals], "Not Found", 0)</f>
        <v>3</v>
      </c>
      <c r="S1074" s="16">
        <f>_xlfn.XLOOKUP(CustomerCombinedCleaned[[#This Row],[ID]], Table4[ID], Table4[Website], "Not Found", 0)</f>
        <v>2</v>
      </c>
      <c r="T1074" s="16">
        <f>_xlfn.XLOOKUP(CustomerCombinedCleaned[[#This Row],[ID]], Table4[ID], Table4[Catalog], "Not Found", 0)</f>
        <v>0</v>
      </c>
      <c r="U1074" s="16">
        <f>_xlfn.XLOOKUP(CustomerCombinedCleaned[[#This Row],[ID]], Table4[ID], Table4[Store], "Not Found", 0)</f>
        <v>4</v>
      </c>
      <c r="V1074" s="16">
        <f>_xlfn.XLOOKUP(CustomerCombinedCleaned[[#This Row],[ID]], Table4[ID], Table4[Visits], "Not Found", 0)</f>
        <v>8</v>
      </c>
      <c r="W1074" s="16">
        <f>_xlfn.XLOOKUP(CustomerCombinedCleaned[[#This Row],[ID]], Table2[ID],Table2[Complaint], "Not Found", 0 )</f>
        <v>0</v>
      </c>
      <c r="X1074" s="16">
        <f>_xlfn.XLOOKUP(CustomerCombinedCleaned[[#This Row],[ID]], Table2[ID],Table2[Pilot], "Not Found", 0 )</f>
        <v>0</v>
      </c>
      <c r="Y1074" s="16">
        <f>_xlfn.XLOOKUP(CustomerCombinedCleaned[[#This Row],[ID]], Table2[ID],Table2[MC1], "Not Found", 0 )</f>
        <v>0</v>
      </c>
      <c r="Z1074" s="16">
        <f>_xlfn.XLOOKUP(CustomerCombinedCleaned[[#This Row],[ID]], Table2[ID],Table2[MC2], "Not Found", 0 )</f>
        <v>0</v>
      </c>
      <c r="AA1074" s="16">
        <f>_xlfn.XLOOKUP(CustomerCombinedCleaned[[#This Row],[ID]], Table2[ID],Table2[MC3], "Not Found", 0 )</f>
        <v>0</v>
      </c>
      <c r="AB1074" s="16">
        <f>_xlfn.XLOOKUP(CustomerCombinedCleaned[[#This Row],[ID]], Table2[ID],Table2[MC4], "Not Found", 0 )</f>
        <v>0</v>
      </c>
      <c r="AC1074" s="16">
        <f>_xlfn.XLOOKUP(CustomerCombinedCleaned[[#This Row],[ID]], Table2[ID],Table2[MC5], "Not Found", 0 )</f>
        <v>0</v>
      </c>
    </row>
    <row r="1075" spans="1:29" x14ac:dyDescent="0.3">
      <c r="A1075" s="18">
        <v>1280</v>
      </c>
      <c r="B1075" s="16">
        <v>116626</v>
      </c>
      <c r="C1075" s="16">
        <v>2</v>
      </c>
      <c r="D1075" s="16">
        <v>0</v>
      </c>
      <c r="E1075" s="16">
        <v>49</v>
      </c>
      <c r="F1075" s="17" t="s">
        <v>8</v>
      </c>
      <c r="G1075" s="17" t="s">
        <v>11</v>
      </c>
      <c r="H1075" s="3" t="s">
        <v>115</v>
      </c>
      <c r="I1075" s="5" t="s">
        <v>438</v>
      </c>
      <c r="J1075" s="16">
        <f>_xlfn.XLOOKUP(CustomerCombinedCleaned[[#This Row],[ID]], Table4[ID], Table4[Recency], "Not Found", 0)</f>
        <v>76</v>
      </c>
      <c r="K1075" s="16">
        <f>_xlfn.XLOOKUP(CustomerCombinedCleaned[[#This Row],[ID]], Table4[ID], Table4[Teas], "Not Found", 0)</f>
        <v>56</v>
      </c>
      <c r="L1075" s="16">
        <f>_xlfn.XLOOKUP(CustomerCombinedCleaned[[#This Row],[ID]], Table4[ID], Table4[Fruits], "Not Found", 0)</f>
        <v>21</v>
      </c>
      <c r="M1075" s="16">
        <f>_xlfn.XLOOKUP(CustomerCombinedCleaned[[#This Row],[ID]], Table4[ID], Table4[Meats], "Not Found", 0)</f>
        <v>154</v>
      </c>
      <c r="N1075" s="16">
        <f>_xlfn.XLOOKUP(CustomerCombinedCleaned[[#This Row],[ID]], Table4[ID], Table4[Seafood], "Not Found", 0)</f>
        <v>147</v>
      </c>
      <c r="O1075" s="16">
        <f>_xlfn.XLOOKUP(CustomerCombinedCleaned[[#This Row],[ID]], Table4[ID], Table4[Sweets], "Not Found", 0)</f>
        <v>7</v>
      </c>
      <c r="P1075" s="16">
        <f>_xlfn.XLOOKUP(CustomerCombinedCleaned[[#This Row],[ID]], Table4[ID], Table4[Premium], "Not Found", 0)</f>
        <v>91</v>
      </c>
      <c r="Q1075" s="16">
        <f>_xlfn.XLOOKUP(CustomerCombinedCleaned[[#This Row],[ID]], Table4[ID], Table4[Regular], "Not Found", 0)</f>
        <v>295</v>
      </c>
      <c r="R1075" s="16">
        <f>_xlfn.XLOOKUP(CustomerCombinedCleaned[[#This Row],[ID]], Table4[ID], Table4[Deals], "Not Found", 0)</f>
        <v>3</v>
      </c>
      <c r="S1075" s="16">
        <f>_xlfn.XLOOKUP(CustomerCombinedCleaned[[#This Row],[ID]], Table4[ID], Table4[Website], "Not Found", 0)</f>
        <v>3</v>
      </c>
      <c r="T1075" s="16">
        <f>_xlfn.XLOOKUP(CustomerCombinedCleaned[[#This Row],[ID]], Table4[ID], Table4[Catalog], "Not Found", 0)</f>
        <v>0</v>
      </c>
      <c r="U1075" s="16">
        <f>_xlfn.XLOOKUP(CustomerCombinedCleaned[[#This Row],[ID]], Table4[ID], Table4[Store], "Not Found", 0)</f>
        <v>3</v>
      </c>
      <c r="V1075" s="16">
        <f>_xlfn.XLOOKUP(CustomerCombinedCleaned[[#This Row],[ID]], Table4[ID], Table4[Visits], "Not Found", 0)</f>
        <v>9</v>
      </c>
      <c r="W1075" s="16">
        <f>_xlfn.XLOOKUP(CustomerCombinedCleaned[[#This Row],[ID]], Table2[ID],Table2[Complaint], "Not Found", 0 )</f>
        <v>0</v>
      </c>
      <c r="X1075" s="16">
        <f>_xlfn.XLOOKUP(CustomerCombinedCleaned[[#This Row],[ID]], Table2[ID],Table2[Pilot], "Not Found", 0 )</f>
        <v>0</v>
      </c>
      <c r="Y1075" s="16">
        <f>_xlfn.XLOOKUP(CustomerCombinedCleaned[[#This Row],[ID]], Table2[ID],Table2[MC1], "Not Found", 0 )</f>
        <v>0</v>
      </c>
      <c r="Z1075" s="16">
        <f>_xlfn.XLOOKUP(CustomerCombinedCleaned[[#This Row],[ID]], Table2[ID],Table2[MC2], "Not Found", 0 )</f>
        <v>0</v>
      </c>
      <c r="AA1075" s="16">
        <f>_xlfn.XLOOKUP(CustomerCombinedCleaned[[#This Row],[ID]], Table2[ID],Table2[MC3], "Not Found", 0 )</f>
        <v>0</v>
      </c>
      <c r="AB1075" s="16">
        <f>_xlfn.XLOOKUP(CustomerCombinedCleaned[[#This Row],[ID]], Table2[ID],Table2[MC4], "Not Found", 0 )</f>
        <v>0</v>
      </c>
      <c r="AC1075" s="16">
        <f>_xlfn.XLOOKUP(CustomerCombinedCleaned[[#This Row],[ID]], Table2[ID],Table2[MC5], "Not Found", 0 )</f>
        <v>0</v>
      </c>
    </row>
    <row r="1076" spans="1:29" x14ac:dyDescent="0.3">
      <c r="A1076" s="18">
        <v>1369</v>
      </c>
      <c r="B1076" s="16">
        <v>110245</v>
      </c>
      <c r="C1076" s="16">
        <v>1</v>
      </c>
      <c r="D1076" s="16">
        <v>0</v>
      </c>
      <c r="E1076" s="16">
        <v>49</v>
      </c>
      <c r="F1076" s="17" t="s">
        <v>7</v>
      </c>
      <c r="G1076" s="17" t="s">
        <v>11</v>
      </c>
      <c r="H1076" s="3" t="s">
        <v>256</v>
      </c>
      <c r="I1076" s="5" t="s">
        <v>437</v>
      </c>
      <c r="J1076" s="16">
        <f>_xlfn.XLOOKUP(CustomerCombinedCleaned[[#This Row],[ID]], Table4[ID], Table4[Recency], "Not Found", 0)</f>
        <v>32</v>
      </c>
      <c r="K1076" s="16">
        <f>_xlfn.XLOOKUP(CustomerCombinedCleaned[[#This Row],[ID]], Table4[ID], Table4[Teas], "Not Found", 0)</f>
        <v>43</v>
      </c>
      <c r="L1076" s="16">
        <f>_xlfn.XLOOKUP(CustomerCombinedCleaned[[#This Row],[ID]], Table4[ID], Table4[Fruits], "Not Found", 0)</f>
        <v>75</v>
      </c>
      <c r="M1076" s="16">
        <f>_xlfn.XLOOKUP(CustomerCombinedCleaned[[#This Row],[ID]], Table4[ID], Table4[Meats], "Not Found", 0)</f>
        <v>75</v>
      </c>
      <c r="N1076" s="16">
        <f>_xlfn.XLOOKUP(CustomerCombinedCleaned[[#This Row],[ID]], Table4[ID], Table4[Seafood], "Not Found", 0)</f>
        <v>65</v>
      </c>
      <c r="O1076" s="16">
        <f>_xlfn.XLOOKUP(CustomerCombinedCleaned[[#This Row],[ID]], Table4[ID], Table4[Sweets], "Not Found", 0)</f>
        <v>43</v>
      </c>
      <c r="P1076" s="16">
        <f>_xlfn.XLOOKUP(CustomerCombinedCleaned[[#This Row],[ID]], Table4[ID], Table4[Premium], "Not Found", 0)</f>
        <v>140</v>
      </c>
      <c r="Q1076" s="16">
        <f>_xlfn.XLOOKUP(CustomerCombinedCleaned[[#This Row],[ID]], Table4[ID], Table4[Regular], "Not Found", 0)</f>
        <v>161</v>
      </c>
      <c r="R1076" s="16">
        <f>_xlfn.XLOOKUP(CustomerCombinedCleaned[[#This Row],[ID]], Table4[ID], Table4[Deals], "Not Found", 0)</f>
        <v>3</v>
      </c>
      <c r="S1076" s="16">
        <f>_xlfn.XLOOKUP(CustomerCombinedCleaned[[#This Row],[ID]], Table4[ID], Table4[Website], "Not Found", 0)</f>
        <v>1</v>
      </c>
      <c r="T1076" s="16">
        <f>_xlfn.XLOOKUP(CustomerCombinedCleaned[[#This Row],[ID]], Table4[ID], Table4[Catalog], "Not Found", 0)</f>
        <v>2</v>
      </c>
      <c r="U1076" s="16">
        <f>_xlfn.XLOOKUP(CustomerCombinedCleaned[[#This Row],[ID]], Table4[ID], Table4[Store], "Not Found", 0)</f>
        <v>2</v>
      </c>
      <c r="V1076" s="16">
        <f>_xlfn.XLOOKUP(CustomerCombinedCleaned[[#This Row],[ID]], Table4[ID], Table4[Visits], "Not Found", 0)</f>
        <v>5</v>
      </c>
      <c r="W1076" s="16">
        <f>_xlfn.XLOOKUP(CustomerCombinedCleaned[[#This Row],[ID]], Table2[ID],Table2[Complaint], "Not Found", 0 )</f>
        <v>0</v>
      </c>
      <c r="X1076" s="16">
        <f>_xlfn.XLOOKUP(CustomerCombinedCleaned[[#This Row],[ID]], Table2[ID],Table2[Pilot], "Not Found", 0 )</f>
        <v>0</v>
      </c>
      <c r="Y1076" s="16">
        <f>_xlfn.XLOOKUP(CustomerCombinedCleaned[[#This Row],[ID]], Table2[ID],Table2[MC1], "Not Found", 0 )</f>
        <v>0</v>
      </c>
      <c r="Z1076" s="16">
        <f>_xlfn.XLOOKUP(CustomerCombinedCleaned[[#This Row],[ID]], Table2[ID],Table2[MC2], "Not Found", 0 )</f>
        <v>0</v>
      </c>
      <c r="AA1076" s="16">
        <f>_xlfn.XLOOKUP(CustomerCombinedCleaned[[#This Row],[ID]], Table2[ID],Table2[MC3], "Not Found", 0 )</f>
        <v>0</v>
      </c>
      <c r="AB1076" s="16">
        <f>_xlfn.XLOOKUP(CustomerCombinedCleaned[[#This Row],[ID]], Table2[ID],Table2[MC4], "Not Found", 0 )</f>
        <v>0</v>
      </c>
      <c r="AC1076" s="16">
        <f>_xlfn.XLOOKUP(CustomerCombinedCleaned[[#This Row],[ID]], Table2[ID],Table2[MC5], "Not Found", 0 )</f>
        <v>0</v>
      </c>
    </row>
    <row r="1077" spans="1:29" x14ac:dyDescent="0.3">
      <c r="A1077" s="18">
        <v>2226</v>
      </c>
      <c r="B1077" s="16">
        <v>101730</v>
      </c>
      <c r="C1077" s="16">
        <v>0</v>
      </c>
      <c r="D1077" s="16">
        <v>0</v>
      </c>
      <c r="E1077" s="16">
        <v>49</v>
      </c>
      <c r="F1077" s="17" t="s">
        <v>5</v>
      </c>
      <c r="G1077" s="17" t="s">
        <v>11</v>
      </c>
      <c r="H1077" s="3" t="s">
        <v>47</v>
      </c>
      <c r="I1077" s="5" t="s">
        <v>436</v>
      </c>
      <c r="J1077" s="16">
        <f>_xlfn.XLOOKUP(CustomerCombinedCleaned[[#This Row],[ID]], Table4[ID], Table4[Recency], "Not Found", 0)</f>
        <v>65</v>
      </c>
      <c r="K1077" s="16">
        <f>_xlfn.XLOOKUP(CustomerCombinedCleaned[[#This Row],[ID]], Table4[ID], Table4[Teas], "Not Found", 0)</f>
        <v>59</v>
      </c>
      <c r="L1077" s="16">
        <f>_xlfn.XLOOKUP(CustomerCombinedCleaned[[#This Row],[ID]], Table4[ID], Table4[Fruits], "Not Found", 0)</f>
        <v>59</v>
      </c>
      <c r="M1077" s="16">
        <f>_xlfn.XLOOKUP(CustomerCombinedCleaned[[#This Row],[ID]], Table4[ID], Table4[Meats], "Not Found", 0)</f>
        <v>176</v>
      </c>
      <c r="N1077" s="16">
        <f>_xlfn.XLOOKUP(CustomerCombinedCleaned[[#This Row],[ID]], Table4[ID], Table4[Seafood], "Not Found", 0)</f>
        <v>59</v>
      </c>
      <c r="O1077" s="16">
        <f>_xlfn.XLOOKUP(CustomerCombinedCleaned[[#This Row],[ID]], Table4[ID], Table4[Sweets], "Not Found", 0)</f>
        <v>59</v>
      </c>
      <c r="P1077" s="16">
        <f>_xlfn.XLOOKUP(CustomerCombinedCleaned[[#This Row],[ID]], Table4[ID], Table4[Premium], "Not Found", 0)</f>
        <v>59</v>
      </c>
      <c r="Q1077" s="16">
        <f>_xlfn.XLOOKUP(CustomerCombinedCleaned[[#This Row],[ID]], Table4[ID], Table4[Regular], "Not Found", 0)</f>
        <v>353</v>
      </c>
      <c r="R1077" s="16">
        <f>_xlfn.XLOOKUP(CustomerCombinedCleaned[[#This Row],[ID]], Table4[ID], Table4[Deals], "Not Found", 0)</f>
        <v>15</v>
      </c>
      <c r="S1077" s="16">
        <f>_xlfn.XLOOKUP(CustomerCombinedCleaned[[#This Row],[ID]], Table4[ID], Table4[Website], "Not Found", 0)</f>
        <v>0</v>
      </c>
      <c r="T1077" s="16">
        <f>_xlfn.XLOOKUP(CustomerCombinedCleaned[[#This Row],[ID]], Table4[ID], Table4[Catalog], "Not Found", 0)</f>
        <v>0</v>
      </c>
      <c r="U1077" s="16">
        <f>_xlfn.XLOOKUP(CustomerCombinedCleaned[[#This Row],[ID]], Table4[ID], Table4[Store], "Not Found", 0)</f>
        <v>0</v>
      </c>
      <c r="V1077" s="16">
        <f>_xlfn.XLOOKUP(CustomerCombinedCleaned[[#This Row],[ID]], Table4[ID], Table4[Visits], "Not Found", 0)</f>
        <v>20</v>
      </c>
      <c r="W1077" s="16">
        <f>_xlfn.XLOOKUP(CustomerCombinedCleaned[[#This Row],[ID]], Table2[ID],Table2[Complaint], "Not Found", 0 )</f>
        <v>0</v>
      </c>
      <c r="X1077" s="16">
        <f>_xlfn.XLOOKUP(CustomerCombinedCleaned[[#This Row],[ID]], Table2[ID],Table2[Pilot], "Not Found", 0 )</f>
        <v>0</v>
      </c>
      <c r="Y1077" s="16">
        <f>_xlfn.XLOOKUP(CustomerCombinedCleaned[[#This Row],[ID]], Table2[ID],Table2[MC1], "Not Found", 0 )</f>
        <v>0</v>
      </c>
      <c r="Z1077" s="16">
        <f>_xlfn.XLOOKUP(CustomerCombinedCleaned[[#This Row],[ID]], Table2[ID],Table2[MC2], "Not Found", 0 )</f>
        <v>0</v>
      </c>
      <c r="AA1077" s="16">
        <f>_xlfn.XLOOKUP(CustomerCombinedCleaned[[#This Row],[ID]], Table2[ID],Table2[MC3], "Not Found", 0 )</f>
        <v>0</v>
      </c>
      <c r="AB1077" s="16">
        <f>_xlfn.XLOOKUP(CustomerCombinedCleaned[[#This Row],[ID]], Table2[ID],Table2[MC4], "Not Found", 0 )</f>
        <v>0</v>
      </c>
      <c r="AC1077" s="16">
        <f>_xlfn.XLOOKUP(CustomerCombinedCleaned[[#This Row],[ID]], Table2[ID],Table2[MC5], "Not Found", 0 )</f>
        <v>0</v>
      </c>
    </row>
    <row r="1078" spans="1:29" x14ac:dyDescent="0.3">
      <c r="A1078" s="18">
        <v>1629</v>
      </c>
      <c r="B1078" s="16">
        <v>205471</v>
      </c>
      <c r="C1078" s="16">
        <v>0</v>
      </c>
      <c r="D1078" s="16">
        <v>0</v>
      </c>
      <c r="E1078" s="16">
        <v>50</v>
      </c>
      <c r="F1078" s="17" t="s">
        <v>8</v>
      </c>
      <c r="G1078" s="17" t="s">
        <v>11</v>
      </c>
      <c r="H1078" s="3" t="s">
        <v>320</v>
      </c>
      <c r="I1078" s="5" t="s">
        <v>435</v>
      </c>
      <c r="J1078" s="16">
        <f>_xlfn.XLOOKUP(CustomerCombinedCleaned[[#This Row],[ID]], Table4[ID], Table4[Recency], "Not Found", 0)</f>
        <v>36</v>
      </c>
      <c r="K1078" s="16">
        <f>_xlfn.XLOOKUP(CustomerCombinedCleaned[[#This Row],[ID]], Table4[ID], Table4[Teas], "Not Found", 0)</f>
        <v>1966</v>
      </c>
      <c r="L1078" s="16">
        <f>_xlfn.XLOOKUP(CustomerCombinedCleaned[[#This Row],[ID]], Table4[ID], Table4[Fruits], "Not Found", 0)</f>
        <v>353</v>
      </c>
      <c r="M1078" s="16">
        <f>_xlfn.XLOOKUP(CustomerCombinedCleaned[[#This Row],[ID]], Table4[ID], Table4[Meats], "Not Found", 0)</f>
        <v>203</v>
      </c>
      <c r="N1078" s="16">
        <f>_xlfn.XLOOKUP(CustomerCombinedCleaned[[#This Row],[ID]], Table4[ID], Table4[Seafood], "Not Found", 0)</f>
        <v>394</v>
      </c>
      <c r="O1078" s="16">
        <f>_xlfn.XLOOKUP(CustomerCombinedCleaned[[#This Row],[ID]], Table4[ID], Table4[Sweets], "Not Found", 0)</f>
        <v>41</v>
      </c>
      <c r="P1078" s="16">
        <f>_xlfn.XLOOKUP(CustomerCombinedCleaned[[#This Row],[ID]], Table4[ID], Table4[Premium], "Not Found", 0)</f>
        <v>403</v>
      </c>
      <c r="Q1078" s="16">
        <f>_xlfn.XLOOKUP(CustomerCombinedCleaned[[#This Row],[ID]], Table4[ID], Table4[Regular], "Not Found", 0)</f>
        <v>2552</v>
      </c>
      <c r="R1078" s="16">
        <f>_xlfn.XLOOKUP(CustomerCombinedCleaned[[#This Row],[ID]], Table4[ID], Table4[Deals], "Not Found", 0)</f>
        <v>0</v>
      </c>
      <c r="S1078" s="16">
        <f>_xlfn.XLOOKUP(CustomerCombinedCleaned[[#This Row],[ID]], Table4[ID], Table4[Website], "Not Found", 0)</f>
        <v>9</v>
      </c>
      <c r="T1078" s="16">
        <f>_xlfn.XLOOKUP(CustomerCombinedCleaned[[#This Row],[ID]], Table4[ID], Table4[Catalog], "Not Found", 0)</f>
        <v>8</v>
      </c>
      <c r="U1078" s="16">
        <f>_xlfn.XLOOKUP(CustomerCombinedCleaned[[#This Row],[ID]], Table4[ID], Table4[Store], "Not Found", 0)</f>
        <v>13</v>
      </c>
      <c r="V1078" s="16">
        <f>_xlfn.XLOOKUP(CustomerCombinedCleaned[[#This Row],[ID]], Table4[ID], Table4[Visits], "Not Found", 0)</f>
        <v>3</v>
      </c>
      <c r="W1078" s="16">
        <f>_xlfn.XLOOKUP(CustomerCombinedCleaned[[#This Row],[ID]], Table2[ID],Table2[Complaint], "Not Found", 0 )</f>
        <v>0</v>
      </c>
      <c r="X1078" s="16">
        <f>_xlfn.XLOOKUP(CustomerCombinedCleaned[[#This Row],[ID]], Table2[ID],Table2[Pilot], "Not Found", 0 )</f>
        <v>1</v>
      </c>
      <c r="Y1078" s="16">
        <f>_xlfn.XLOOKUP(CustomerCombinedCleaned[[#This Row],[ID]], Table2[ID],Table2[MC1], "Not Found", 0 )</f>
        <v>1</v>
      </c>
      <c r="Z1078" s="16">
        <f>_xlfn.XLOOKUP(CustomerCombinedCleaned[[#This Row],[ID]], Table2[ID],Table2[MC2], "Not Found", 0 )</f>
        <v>0</v>
      </c>
      <c r="AA1078" s="16">
        <f>_xlfn.XLOOKUP(CustomerCombinedCleaned[[#This Row],[ID]], Table2[ID],Table2[MC3], "Not Found", 0 )</f>
        <v>0</v>
      </c>
      <c r="AB1078" s="16">
        <f>_xlfn.XLOOKUP(CustomerCombinedCleaned[[#This Row],[ID]], Table2[ID],Table2[MC4], "Not Found", 0 )</f>
        <v>0</v>
      </c>
      <c r="AC1078" s="16">
        <f>_xlfn.XLOOKUP(CustomerCombinedCleaned[[#This Row],[ID]], Table2[ID],Table2[MC5], "Not Found", 0 )</f>
        <v>1</v>
      </c>
    </row>
    <row r="1079" spans="1:29" x14ac:dyDescent="0.3">
      <c r="A1079" s="18">
        <v>2434</v>
      </c>
      <c r="B1079" s="16">
        <v>193790</v>
      </c>
      <c r="C1079" s="16">
        <v>0</v>
      </c>
      <c r="D1079" s="16">
        <v>0</v>
      </c>
      <c r="E1079" s="16">
        <v>50</v>
      </c>
      <c r="F1079" s="17" t="s">
        <v>7</v>
      </c>
      <c r="G1079" s="17" t="s">
        <v>11</v>
      </c>
      <c r="H1079" s="3" t="s">
        <v>101</v>
      </c>
      <c r="I1079" s="5" t="s">
        <v>439</v>
      </c>
      <c r="J1079" s="16">
        <f>_xlfn.XLOOKUP(CustomerCombinedCleaned[[#This Row],[ID]], Table4[ID], Table4[Recency], "Not Found", 0)</f>
        <v>16</v>
      </c>
      <c r="K1079" s="16">
        <f>_xlfn.XLOOKUP(CustomerCombinedCleaned[[#This Row],[ID]], Table4[ID], Table4[Teas], "Not Found", 0)</f>
        <v>2690</v>
      </c>
      <c r="L1079" s="16">
        <f>_xlfn.XLOOKUP(CustomerCombinedCleaned[[#This Row],[ID]], Table4[ID], Table4[Fruits], "Not Found", 0)</f>
        <v>141</v>
      </c>
      <c r="M1079" s="16">
        <f>_xlfn.XLOOKUP(CustomerCombinedCleaned[[#This Row],[ID]], Table4[ID], Table4[Meats], "Not Found", 0)</f>
        <v>1510</v>
      </c>
      <c r="N1079" s="16">
        <f>_xlfn.XLOOKUP(CustomerCombinedCleaned[[#This Row],[ID]], Table4[ID], Table4[Seafood], "Not Found", 0)</f>
        <v>184</v>
      </c>
      <c r="O1079" s="16">
        <f>_xlfn.XLOOKUP(CustomerCombinedCleaned[[#This Row],[ID]], Table4[ID], Table4[Sweets], "Not Found", 0)</f>
        <v>236</v>
      </c>
      <c r="P1079" s="16">
        <f>_xlfn.XLOOKUP(CustomerCombinedCleaned[[#This Row],[ID]], Table4[ID], Table4[Premium], "Not Found", 0)</f>
        <v>93</v>
      </c>
      <c r="Q1079" s="16">
        <f>_xlfn.XLOOKUP(CustomerCombinedCleaned[[#This Row],[ID]], Table4[ID], Table4[Regular], "Not Found", 0)</f>
        <v>4668</v>
      </c>
      <c r="R1079" s="16">
        <f>_xlfn.XLOOKUP(CustomerCombinedCleaned[[#This Row],[ID]], Table4[ID], Table4[Deals], "Not Found", 0)</f>
        <v>0</v>
      </c>
      <c r="S1079" s="16">
        <f>_xlfn.XLOOKUP(CustomerCombinedCleaned[[#This Row],[ID]], Table4[ID], Table4[Website], "Not Found", 0)</f>
        <v>6</v>
      </c>
      <c r="T1079" s="16">
        <f>_xlfn.XLOOKUP(CustomerCombinedCleaned[[#This Row],[ID]], Table4[ID], Table4[Catalog], "Not Found", 0)</f>
        <v>7</v>
      </c>
      <c r="U1079" s="16">
        <f>_xlfn.XLOOKUP(CustomerCombinedCleaned[[#This Row],[ID]], Table4[ID], Table4[Store], "Not Found", 0)</f>
        <v>12</v>
      </c>
      <c r="V1079" s="16">
        <f>_xlfn.XLOOKUP(CustomerCombinedCleaned[[#This Row],[ID]], Table4[ID], Table4[Visits], "Not Found", 0)</f>
        <v>2</v>
      </c>
      <c r="W1079" s="16">
        <f>_xlfn.XLOOKUP(CustomerCombinedCleaned[[#This Row],[ID]], Table2[ID],Table2[Complaint], "Not Found", 0 )</f>
        <v>0</v>
      </c>
      <c r="X1079" s="16">
        <f>_xlfn.XLOOKUP(CustomerCombinedCleaned[[#This Row],[ID]], Table2[ID],Table2[Pilot], "Not Found", 0 )</f>
        <v>1</v>
      </c>
      <c r="Y1079" s="16">
        <f>_xlfn.XLOOKUP(CustomerCombinedCleaned[[#This Row],[ID]], Table2[ID],Table2[MC1], "Not Found", 0 )</f>
        <v>1</v>
      </c>
      <c r="Z1079" s="16">
        <f>_xlfn.XLOOKUP(CustomerCombinedCleaned[[#This Row],[ID]], Table2[ID],Table2[MC2], "Not Found", 0 )</f>
        <v>0</v>
      </c>
      <c r="AA1079" s="16">
        <f>_xlfn.XLOOKUP(CustomerCombinedCleaned[[#This Row],[ID]], Table2[ID],Table2[MC3], "Not Found", 0 )</f>
        <v>0</v>
      </c>
      <c r="AB1079" s="16">
        <f>_xlfn.XLOOKUP(CustomerCombinedCleaned[[#This Row],[ID]], Table2[ID],Table2[MC4], "Not Found", 0 )</f>
        <v>1</v>
      </c>
      <c r="AC1079" s="16">
        <f>_xlfn.XLOOKUP(CustomerCombinedCleaned[[#This Row],[ID]], Table2[ID],Table2[MC5], "Not Found", 0 )</f>
        <v>1</v>
      </c>
    </row>
    <row r="1080" spans="1:29" x14ac:dyDescent="0.3">
      <c r="A1080" s="18">
        <v>1108</v>
      </c>
      <c r="B1080" s="16">
        <v>190765</v>
      </c>
      <c r="C1080" s="16">
        <v>0</v>
      </c>
      <c r="D1080" s="16">
        <v>0</v>
      </c>
      <c r="E1080" s="16">
        <v>50</v>
      </c>
      <c r="F1080" s="17" t="s">
        <v>6</v>
      </c>
      <c r="G1080" s="17" t="s">
        <v>11</v>
      </c>
      <c r="H1080" s="3" t="s">
        <v>108</v>
      </c>
      <c r="I1080" s="5" t="s">
        <v>439</v>
      </c>
      <c r="J1080" s="16">
        <f>_xlfn.XLOOKUP(CustomerCombinedCleaned[[#This Row],[ID]], Table4[ID], Table4[Recency], "Not Found", 0)</f>
        <v>25</v>
      </c>
      <c r="K1080" s="16">
        <f>_xlfn.XLOOKUP(CustomerCombinedCleaned[[#This Row],[ID]], Table4[ID], Table4[Teas], "Not Found", 0)</f>
        <v>1150</v>
      </c>
      <c r="L1080" s="16">
        <f>_xlfn.XLOOKUP(CustomerCombinedCleaned[[#This Row],[ID]], Table4[ID], Table4[Fruits], "Not Found", 0)</f>
        <v>208</v>
      </c>
      <c r="M1080" s="16">
        <f>_xlfn.XLOOKUP(CustomerCombinedCleaned[[#This Row],[ID]], Table4[ID], Table4[Meats], "Not Found", 0)</f>
        <v>1707</v>
      </c>
      <c r="N1080" s="16">
        <f>_xlfn.XLOOKUP(CustomerCombinedCleaned[[#This Row],[ID]], Table4[ID], Table4[Seafood], "Not Found", 0)</f>
        <v>317</v>
      </c>
      <c r="O1080" s="16">
        <f>_xlfn.XLOOKUP(CustomerCombinedCleaned[[#This Row],[ID]], Table4[ID], Table4[Sweets], "Not Found", 0)</f>
        <v>172</v>
      </c>
      <c r="P1080" s="16">
        <f>_xlfn.XLOOKUP(CustomerCombinedCleaned[[#This Row],[ID]], Table4[ID], Table4[Premium], "Not Found", 0)</f>
        <v>69</v>
      </c>
      <c r="Q1080" s="16">
        <f>_xlfn.XLOOKUP(CustomerCombinedCleaned[[#This Row],[ID]], Table4[ID], Table4[Regular], "Not Found", 0)</f>
        <v>3485</v>
      </c>
      <c r="R1080" s="16">
        <f>_xlfn.XLOOKUP(CustomerCombinedCleaned[[#This Row],[ID]], Table4[ID], Table4[Deals], "Not Found", 0)</f>
        <v>0</v>
      </c>
      <c r="S1080" s="16">
        <f>_xlfn.XLOOKUP(CustomerCombinedCleaned[[#This Row],[ID]], Table4[ID], Table4[Website], "Not Found", 0)</f>
        <v>4</v>
      </c>
      <c r="T1080" s="16">
        <f>_xlfn.XLOOKUP(CustomerCombinedCleaned[[#This Row],[ID]], Table4[ID], Table4[Catalog], "Not Found", 0)</f>
        <v>6</v>
      </c>
      <c r="U1080" s="16">
        <f>_xlfn.XLOOKUP(CustomerCombinedCleaned[[#This Row],[ID]], Table4[ID], Table4[Store], "Not Found", 0)</f>
        <v>5</v>
      </c>
      <c r="V1080" s="16">
        <f>_xlfn.XLOOKUP(CustomerCombinedCleaned[[#This Row],[ID]], Table4[ID], Table4[Visits], "Not Found", 0)</f>
        <v>1</v>
      </c>
      <c r="W1080" s="16">
        <f>_xlfn.XLOOKUP(CustomerCombinedCleaned[[#This Row],[ID]], Table2[ID],Table2[Complaint], "Not Found", 0 )</f>
        <v>0</v>
      </c>
      <c r="X1080" s="16">
        <f>_xlfn.XLOOKUP(CustomerCombinedCleaned[[#This Row],[ID]], Table2[ID],Table2[Pilot], "Not Found", 0 )</f>
        <v>0</v>
      </c>
      <c r="Y1080" s="16">
        <f>_xlfn.XLOOKUP(CustomerCombinedCleaned[[#This Row],[ID]], Table2[ID],Table2[MC1], "Not Found", 0 )</f>
        <v>1</v>
      </c>
      <c r="Z1080" s="16">
        <f>_xlfn.XLOOKUP(CustomerCombinedCleaned[[#This Row],[ID]], Table2[ID],Table2[MC2], "Not Found", 0 )</f>
        <v>0</v>
      </c>
      <c r="AA1080" s="16">
        <f>_xlfn.XLOOKUP(CustomerCombinedCleaned[[#This Row],[ID]], Table2[ID],Table2[MC3], "Not Found", 0 )</f>
        <v>0</v>
      </c>
      <c r="AB1080" s="16">
        <f>_xlfn.XLOOKUP(CustomerCombinedCleaned[[#This Row],[ID]], Table2[ID],Table2[MC4], "Not Found", 0 )</f>
        <v>0</v>
      </c>
      <c r="AC1080" s="16">
        <f>_xlfn.XLOOKUP(CustomerCombinedCleaned[[#This Row],[ID]], Table2[ID],Table2[MC5], "Not Found", 0 )</f>
        <v>1</v>
      </c>
    </row>
    <row r="1081" spans="1:29" x14ac:dyDescent="0.3">
      <c r="A1081" s="18">
        <v>1331</v>
      </c>
      <c r="B1081" s="16">
        <v>184835</v>
      </c>
      <c r="C1081" s="16">
        <v>0</v>
      </c>
      <c r="D1081" s="16">
        <v>0</v>
      </c>
      <c r="E1081" s="16">
        <v>50</v>
      </c>
      <c r="F1081" s="17" t="s">
        <v>5</v>
      </c>
      <c r="G1081" s="17" t="s">
        <v>11</v>
      </c>
      <c r="H1081" s="3" t="s">
        <v>33</v>
      </c>
      <c r="I1081" s="5" t="s">
        <v>434</v>
      </c>
      <c r="J1081" s="16">
        <f>_xlfn.XLOOKUP(CustomerCombinedCleaned[[#This Row],[ID]], Table4[ID], Table4[Recency], "Not Found", 0)</f>
        <v>0</v>
      </c>
      <c r="K1081" s="16">
        <f>_xlfn.XLOOKUP(CustomerCombinedCleaned[[#This Row],[ID]], Table4[ID], Table4[Teas], "Not Found", 0)</f>
        <v>412</v>
      </c>
      <c r="L1081" s="16">
        <f>_xlfn.XLOOKUP(CustomerCombinedCleaned[[#This Row],[ID]], Table4[ID], Table4[Fruits], "Not Found", 0)</f>
        <v>227</v>
      </c>
      <c r="M1081" s="16">
        <f>_xlfn.XLOOKUP(CustomerCombinedCleaned[[#This Row],[ID]], Table4[ID], Table4[Meats], "Not Found", 0)</f>
        <v>826</v>
      </c>
      <c r="N1081" s="16">
        <f>_xlfn.XLOOKUP(CustomerCombinedCleaned[[#This Row],[ID]], Table4[ID], Table4[Seafood], "Not Found", 0)</f>
        <v>242</v>
      </c>
      <c r="O1081" s="16">
        <f>_xlfn.XLOOKUP(CustomerCombinedCleaned[[#This Row],[ID]], Table4[ID], Table4[Sweets], "Not Found", 0)</f>
        <v>412</v>
      </c>
      <c r="P1081" s="16">
        <f>_xlfn.XLOOKUP(CustomerCombinedCleaned[[#This Row],[ID]], Table4[ID], Table4[Premium], "Not Found", 0)</f>
        <v>475</v>
      </c>
      <c r="Q1081" s="16">
        <f>_xlfn.XLOOKUP(CustomerCombinedCleaned[[#This Row],[ID]], Table4[ID], Table4[Regular], "Not Found", 0)</f>
        <v>1643</v>
      </c>
      <c r="R1081" s="16">
        <f>_xlfn.XLOOKUP(CustomerCombinedCleaned[[#This Row],[ID]], Table4[ID], Table4[Deals], "Not Found", 0)</f>
        <v>1</v>
      </c>
      <c r="S1081" s="16">
        <f>_xlfn.XLOOKUP(CustomerCombinedCleaned[[#This Row],[ID]], Table4[ID], Table4[Website], "Not Found", 0)</f>
        <v>4</v>
      </c>
      <c r="T1081" s="16">
        <f>_xlfn.XLOOKUP(CustomerCombinedCleaned[[#This Row],[ID]], Table4[ID], Table4[Catalog], "Not Found", 0)</f>
        <v>4</v>
      </c>
      <c r="U1081" s="16">
        <f>_xlfn.XLOOKUP(CustomerCombinedCleaned[[#This Row],[ID]], Table4[ID], Table4[Store], "Not Found", 0)</f>
        <v>6</v>
      </c>
      <c r="V1081" s="16">
        <f>_xlfn.XLOOKUP(CustomerCombinedCleaned[[#This Row],[ID]], Table4[ID], Table4[Visits], "Not Found", 0)</f>
        <v>1</v>
      </c>
      <c r="W1081" s="16">
        <f>_xlfn.XLOOKUP(CustomerCombinedCleaned[[#This Row],[ID]], Table2[ID],Table2[Complaint], "Not Found", 0 )</f>
        <v>0</v>
      </c>
      <c r="X1081" s="16">
        <f>_xlfn.XLOOKUP(CustomerCombinedCleaned[[#This Row],[ID]], Table2[ID],Table2[Pilot], "Not Found", 0 )</f>
        <v>1</v>
      </c>
      <c r="Y1081" s="16">
        <f>_xlfn.XLOOKUP(CustomerCombinedCleaned[[#This Row],[ID]], Table2[ID],Table2[MC1], "Not Found", 0 )</f>
        <v>0</v>
      </c>
      <c r="Z1081" s="16">
        <f>_xlfn.XLOOKUP(CustomerCombinedCleaned[[#This Row],[ID]], Table2[ID],Table2[MC2], "Not Found", 0 )</f>
        <v>0</v>
      </c>
      <c r="AA1081" s="16">
        <f>_xlfn.XLOOKUP(CustomerCombinedCleaned[[#This Row],[ID]], Table2[ID],Table2[MC3], "Not Found", 0 )</f>
        <v>0</v>
      </c>
      <c r="AB1081" s="16">
        <f>_xlfn.XLOOKUP(CustomerCombinedCleaned[[#This Row],[ID]], Table2[ID],Table2[MC4], "Not Found", 0 )</f>
        <v>0</v>
      </c>
      <c r="AC1081" s="16">
        <f>_xlfn.XLOOKUP(CustomerCombinedCleaned[[#This Row],[ID]], Table2[ID],Table2[MC5], "Not Found", 0 )</f>
        <v>0</v>
      </c>
    </row>
    <row r="1082" spans="1:29" x14ac:dyDescent="0.3">
      <c r="A1082" s="18">
        <v>3016</v>
      </c>
      <c r="B1082" s="16">
        <v>183273</v>
      </c>
      <c r="C1082" s="16">
        <v>1</v>
      </c>
      <c r="D1082" s="16">
        <v>2</v>
      </c>
      <c r="E1082" s="16">
        <v>50</v>
      </c>
      <c r="F1082" s="17" t="s">
        <v>7</v>
      </c>
      <c r="G1082" s="17" t="s">
        <v>11</v>
      </c>
      <c r="H1082" s="3" t="s">
        <v>576</v>
      </c>
      <c r="I1082" s="5" t="s">
        <v>439</v>
      </c>
      <c r="J1082" s="16">
        <f>_xlfn.XLOOKUP(CustomerCombinedCleaned[[#This Row],[ID]], Table4[ID], Table4[Recency], "Not Found", 0)</f>
        <v>98</v>
      </c>
      <c r="K1082" s="16">
        <f>_xlfn.XLOOKUP(CustomerCombinedCleaned[[#This Row],[ID]], Table4[ID], Table4[Teas], "Not Found", 0)</f>
        <v>953</v>
      </c>
      <c r="L1082" s="16">
        <f>_xlfn.XLOOKUP(CustomerCombinedCleaned[[#This Row],[ID]], Table4[ID], Table4[Fruits], "Not Found", 0)</f>
        <v>196</v>
      </c>
      <c r="M1082" s="16">
        <f>_xlfn.XLOOKUP(CustomerCombinedCleaned[[#This Row],[ID]], Table4[ID], Table4[Meats], "Not Found", 0)</f>
        <v>1431</v>
      </c>
      <c r="N1082" s="16">
        <f>_xlfn.XLOOKUP(CustomerCombinedCleaned[[#This Row],[ID]], Table4[ID], Table4[Seafood], "Not Found", 0)</f>
        <v>35</v>
      </c>
      <c r="O1082" s="16">
        <f>_xlfn.XLOOKUP(CustomerCombinedCleaned[[#This Row],[ID]], Table4[ID], Table4[Sweets], "Not Found", 0)</f>
        <v>224</v>
      </c>
      <c r="P1082" s="16">
        <f>_xlfn.XLOOKUP(CustomerCombinedCleaned[[#This Row],[ID]], Table4[ID], Table4[Premium], "Not Found", 0)</f>
        <v>224</v>
      </c>
      <c r="Q1082" s="16">
        <f>_xlfn.XLOOKUP(CustomerCombinedCleaned[[#This Row],[ID]], Table4[ID], Table4[Regular], "Not Found", 0)</f>
        <v>2615</v>
      </c>
      <c r="R1082" s="16">
        <f>_xlfn.XLOOKUP(CustomerCombinedCleaned[[#This Row],[ID]], Table4[ID], Table4[Deals], "Not Found", 0)</f>
        <v>10</v>
      </c>
      <c r="S1082" s="16">
        <f>_xlfn.XLOOKUP(CustomerCombinedCleaned[[#This Row],[ID]], Table4[ID], Table4[Website], "Not Found", 0)</f>
        <v>4</v>
      </c>
      <c r="T1082" s="16">
        <f>_xlfn.XLOOKUP(CustomerCombinedCleaned[[#This Row],[ID]], Table4[ID], Table4[Catalog], "Not Found", 0)</f>
        <v>6</v>
      </c>
      <c r="U1082" s="16">
        <f>_xlfn.XLOOKUP(CustomerCombinedCleaned[[#This Row],[ID]], Table4[ID], Table4[Store], "Not Found", 0)</f>
        <v>9</v>
      </c>
      <c r="V1082" s="16">
        <f>_xlfn.XLOOKUP(CustomerCombinedCleaned[[#This Row],[ID]], Table4[ID], Table4[Visits], "Not Found", 0)</f>
        <v>7</v>
      </c>
      <c r="W1082" s="16">
        <f>_xlfn.XLOOKUP(CustomerCombinedCleaned[[#This Row],[ID]], Table2[ID],Table2[Complaint], "Not Found", 0 )</f>
        <v>0</v>
      </c>
      <c r="X1082" s="16">
        <f>_xlfn.XLOOKUP(CustomerCombinedCleaned[[#This Row],[ID]], Table2[ID],Table2[Pilot], "Not Found", 0 )</f>
        <v>0</v>
      </c>
      <c r="Y1082" s="16">
        <f>_xlfn.XLOOKUP(CustomerCombinedCleaned[[#This Row],[ID]], Table2[ID],Table2[MC1], "Not Found", 0 )</f>
        <v>0</v>
      </c>
      <c r="Z1082" s="16">
        <f>_xlfn.XLOOKUP(CustomerCombinedCleaned[[#This Row],[ID]], Table2[ID],Table2[MC2], "Not Found", 0 )</f>
        <v>0</v>
      </c>
      <c r="AA1082" s="16">
        <f>_xlfn.XLOOKUP(CustomerCombinedCleaned[[#This Row],[ID]], Table2[ID],Table2[MC3], "Not Found", 0 )</f>
        <v>0</v>
      </c>
      <c r="AB1082" s="16">
        <f>_xlfn.XLOOKUP(CustomerCombinedCleaned[[#This Row],[ID]], Table2[ID],Table2[MC4], "Not Found", 0 )</f>
        <v>0</v>
      </c>
      <c r="AC1082" s="16">
        <f>_xlfn.XLOOKUP(CustomerCombinedCleaned[[#This Row],[ID]], Table2[ID],Table2[MC5], "Not Found", 0 )</f>
        <v>0</v>
      </c>
    </row>
    <row r="1083" spans="1:29" x14ac:dyDescent="0.3">
      <c r="A1083" s="18">
        <v>1866</v>
      </c>
      <c r="B1083" s="16">
        <v>182072</v>
      </c>
      <c r="C1083" s="16">
        <v>0</v>
      </c>
      <c r="D1083" s="16">
        <v>0</v>
      </c>
      <c r="E1083" s="16">
        <v>50</v>
      </c>
      <c r="F1083" s="17" t="s">
        <v>8</v>
      </c>
      <c r="G1083" s="17" t="s">
        <v>13</v>
      </c>
      <c r="H1083" s="3" t="s">
        <v>589</v>
      </c>
      <c r="I1083" s="5" t="s">
        <v>436</v>
      </c>
      <c r="J1083" s="16">
        <f>_xlfn.XLOOKUP(CustomerCombinedCleaned[[#This Row],[ID]], Table4[ID], Table4[Recency], "Not Found", 0)</f>
        <v>67</v>
      </c>
      <c r="K1083" s="16">
        <f>_xlfn.XLOOKUP(CustomerCombinedCleaned[[#This Row],[ID]], Table4[ID], Table4[Teas], "Not Found", 0)</f>
        <v>1972</v>
      </c>
      <c r="L1083" s="16">
        <f>_xlfn.XLOOKUP(CustomerCombinedCleaned[[#This Row],[ID]], Table4[ID], Table4[Fruits], "Not Found", 0)</f>
        <v>122</v>
      </c>
      <c r="M1083" s="16">
        <f>_xlfn.XLOOKUP(CustomerCombinedCleaned[[#This Row],[ID]], Table4[ID], Table4[Meats], "Not Found", 0)</f>
        <v>1520</v>
      </c>
      <c r="N1083" s="16">
        <f>_xlfn.XLOOKUP(CustomerCombinedCleaned[[#This Row],[ID]], Table4[ID], Table4[Seafood], "Not Found", 0)</f>
        <v>373</v>
      </c>
      <c r="O1083" s="16">
        <f>_xlfn.XLOOKUP(CustomerCombinedCleaned[[#This Row],[ID]], Table4[ID], Table4[Sweets], "Not Found", 0)</f>
        <v>204</v>
      </c>
      <c r="P1083" s="16">
        <f>_xlfn.XLOOKUP(CustomerCombinedCleaned[[#This Row],[ID]], Table4[ID], Table4[Premium], "Not Found", 0)</f>
        <v>286</v>
      </c>
      <c r="Q1083" s="16">
        <f>_xlfn.XLOOKUP(CustomerCombinedCleaned[[#This Row],[ID]], Table4[ID], Table4[Regular], "Not Found", 0)</f>
        <v>3904</v>
      </c>
      <c r="R1083" s="16">
        <f>_xlfn.XLOOKUP(CustomerCombinedCleaned[[#This Row],[ID]], Table4[ID], Table4[Deals], "Not Found", 0)</f>
        <v>1</v>
      </c>
      <c r="S1083" s="16">
        <f>_xlfn.XLOOKUP(CustomerCombinedCleaned[[#This Row],[ID]], Table4[ID], Table4[Website], "Not Found", 0)</f>
        <v>3</v>
      </c>
      <c r="T1083" s="16">
        <f>_xlfn.XLOOKUP(CustomerCombinedCleaned[[#This Row],[ID]], Table4[ID], Table4[Catalog], "Not Found", 0)</f>
        <v>2</v>
      </c>
      <c r="U1083" s="16">
        <f>_xlfn.XLOOKUP(CustomerCombinedCleaned[[#This Row],[ID]], Table4[ID], Table4[Store], "Not Found", 0)</f>
        <v>13</v>
      </c>
      <c r="V1083" s="16">
        <f>_xlfn.XLOOKUP(CustomerCombinedCleaned[[#This Row],[ID]], Table4[ID], Table4[Visits], "Not Found", 0)</f>
        <v>1</v>
      </c>
      <c r="W1083" s="16">
        <f>_xlfn.XLOOKUP(CustomerCombinedCleaned[[#This Row],[ID]], Table2[ID],Table2[Complaint], "Not Found", 0 )</f>
        <v>0</v>
      </c>
      <c r="X1083" s="16">
        <f>_xlfn.XLOOKUP(CustomerCombinedCleaned[[#This Row],[ID]], Table2[ID],Table2[Pilot], "Not Found", 0 )</f>
        <v>0</v>
      </c>
      <c r="Y1083" s="16">
        <f>_xlfn.XLOOKUP(CustomerCombinedCleaned[[#This Row],[ID]], Table2[ID],Table2[MC1], "Not Found", 0 )</f>
        <v>0</v>
      </c>
      <c r="Z1083" s="16">
        <f>_xlfn.XLOOKUP(CustomerCombinedCleaned[[#This Row],[ID]], Table2[ID],Table2[MC2], "Not Found", 0 )</f>
        <v>0</v>
      </c>
      <c r="AA1083" s="16">
        <f>_xlfn.XLOOKUP(CustomerCombinedCleaned[[#This Row],[ID]], Table2[ID],Table2[MC3], "Not Found", 0 )</f>
        <v>0</v>
      </c>
      <c r="AB1083" s="16">
        <f>_xlfn.XLOOKUP(CustomerCombinedCleaned[[#This Row],[ID]], Table2[ID],Table2[MC4], "Not Found", 0 )</f>
        <v>0</v>
      </c>
      <c r="AC1083" s="16">
        <f>_xlfn.XLOOKUP(CustomerCombinedCleaned[[#This Row],[ID]], Table2[ID],Table2[MC5], "Not Found", 0 )</f>
        <v>0</v>
      </c>
    </row>
    <row r="1084" spans="1:29" x14ac:dyDescent="0.3">
      <c r="A1084" s="18">
        <v>1826</v>
      </c>
      <c r="B1084" s="16">
        <v>181205</v>
      </c>
      <c r="C1084" s="16">
        <v>0</v>
      </c>
      <c r="D1084" s="16">
        <v>0</v>
      </c>
      <c r="E1084" s="16">
        <v>50</v>
      </c>
      <c r="F1084" s="17" t="s">
        <v>8</v>
      </c>
      <c r="G1084" s="17" t="s">
        <v>11</v>
      </c>
      <c r="H1084" s="3" t="s">
        <v>117</v>
      </c>
      <c r="I1084" s="5" t="s">
        <v>438</v>
      </c>
      <c r="J1084" s="16">
        <f>_xlfn.XLOOKUP(CustomerCombinedCleaned[[#This Row],[ID]], Table4[ID], Table4[Recency], "Not Found", 0)</f>
        <v>43</v>
      </c>
      <c r="K1084" s="16">
        <f>_xlfn.XLOOKUP(CustomerCombinedCleaned[[#This Row],[ID]], Table4[ID], Table4[Teas], "Not Found", 0)</f>
        <v>1616</v>
      </c>
      <c r="L1084" s="16">
        <f>_xlfn.XLOOKUP(CustomerCombinedCleaned[[#This Row],[ID]], Table4[ID], Table4[Fruits], "Not Found", 0)</f>
        <v>165</v>
      </c>
      <c r="M1084" s="16">
        <f>_xlfn.XLOOKUP(CustomerCombinedCleaned[[#This Row],[ID]], Table4[ID], Table4[Meats], "Not Found", 0)</f>
        <v>2073</v>
      </c>
      <c r="N1084" s="16">
        <f>_xlfn.XLOOKUP(CustomerCombinedCleaned[[#This Row],[ID]], Table4[ID], Table4[Seafood], "Not Found", 0)</f>
        <v>216</v>
      </c>
      <c r="O1084" s="16">
        <f>_xlfn.XLOOKUP(CustomerCombinedCleaned[[#This Row],[ID]], Table4[ID], Table4[Sweets], "Not Found", 0)</f>
        <v>123</v>
      </c>
      <c r="P1084" s="16">
        <f>_xlfn.XLOOKUP(CustomerCombinedCleaned[[#This Row],[ID]], Table4[ID], Table4[Premium], "Not Found", 0)</f>
        <v>290</v>
      </c>
      <c r="Q1084" s="16">
        <f>_xlfn.XLOOKUP(CustomerCombinedCleaned[[#This Row],[ID]], Table4[ID], Table4[Regular], "Not Found", 0)</f>
        <v>3903</v>
      </c>
      <c r="R1084" s="16">
        <f>_xlfn.XLOOKUP(CustomerCombinedCleaned[[#This Row],[ID]], Table4[ID], Table4[Deals], "Not Found", 0)</f>
        <v>1</v>
      </c>
      <c r="S1084" s="16">
        <f>_xlfn.XLOOKUP(CustomerCombinedCleaned[[#This Row],[ID]], Table4[ID], Table4[Website], "Not Found", 0)</f>
        <v>5</v>
      </c>
      <c r="T1084" s="16">
        <f>_xlfn.XLOOKUP(CustomerCombinedCleaned[[#This Row],[ID]], Table4[ID], Table4[Catalog], "Not Found", 0)</f>
        <v>6</v>
      </c>
      <c r="U1084" s="16">
        <f>_xlfn.XLOOKUP(CustomerCombinedCleaned[[#This Row],[ID]], Table4[ID], Table4[Store], "Not Found", 0)</f>
        <v>7</v>
      </c>
      <c r="V1084" s="16">
        <f>_xlfn.XLOOKUP(CustomerCombinedCleaned[[#This Row],[ID]], Table4[ID], Table4[Visits], "Not Found", 0)</f>
        <v>2</v>
      </c>
      <c r="W1084" s="16">
        <f>_xlfn.XLOOKUP(CustomerCombinedCleaned[[#This Row],[ID]], Table2[ID],Table2[Complaint], "Not Found", 0 )</f>
        <v>0</v>
      </c>
      <c r="X1084" s="16">
        <f>_xlfn.XLOOKUP(CustomerCombinedCleaned[[#This Row],[ID]], Table2[ID],Table2[Pilot], "Not Found", 0 )</f>
        <v>1</v>
      </c>
      <c r="Y1084" s="16">
        <f>_xlfn.XLOOKUP(CustomerCombinedCleaned[[#This Row],[ID]], Table2[ID],Table2[MC1], "Not Found", 0 )</f>
        <v>0</v>
      </c>
      <c r="Z1084" s="16">
        <f>_xlfn.XLOOKUP(CustomerCombinedCleaned[[#This Row],[ID]], Table2[ID],Table2[MC2], "Not Found", 0 )</f>
        <v>1</v>
      </c>
      <c r="AA1084" s="16">
        <f>_xlfn.XLOOKUP(CustomerCombinedCleaned[[#This Row],[ID]], Table2[ID],Table2[MC3], "Not Found", 0 )</f>
        <v>1</v>
      </c>
      <c r="AB1084" s="16">
        <f>_xlfn.XLOOKUP(CustomerCombinedCleaned[[#This Row],[ID]], Table2[ID],Table2[MC4], "Not Found", 0 )</f>
        <v>0</v>
      </c>
      <c r="AC1084" s="16">
        <f>_xlfn.XLOOKUP(CustomerCombinedCleaned[[#This Row],[ID]], Table2[ID],Table2[MC5], "Not Found", 0 )</f>
        <v>1</v>
      </c>
    </row>
    <row r="1085" spans="1:29" x14ac:dyDescent="0.3">
      <c r="A1085" s="18">
        <v>2811</v>
      </c>
      <c r="B1085" s="16">
        <v>180336</v>
      </c>
      <c r="C1085" s="16">
        <v>0</v>
      </c>
      <c r="D1085" s="16">
        <v>0</v>
      </c>
      <c r="E1085" s="16">
        <v>50</v>
      </c>
      <c r="F1085" s="17" t="s">
        <v>6</v>
      </c>
      <c r="G1085" s="17" t="s">
        <v>13</v>
      </c>
      <c r="H1085" s="3" t="s">
        <v>190</v>
      </c>
      <c r="I1085" s="5" t="s">
        <v>435</v>
      </c>
      <c r="J1085" s="16">
        <f>_xlfn.XLOOKUP(CustomerCombinedCleaned[[#This Row],[ID]], Table4[ID], Table4[Recency], "Not Found", 0)</f>
        <v>12</v>
      </c>
      <c r="K1085" s="16">
        <f>_xlfn.XLOOKUP(CustomerCombinedCleaned[[#This Row],[ID]], Table4[ID], Table4[Teas], "Not Found", 0)</f>
        <v>469</v>
      </c>
      <c r="L1085" s="16">
        <f>_xlfn.XLOOKUP(CustomerCombinedCleaned[[#This Row],[ID]], Table4[ID], Table4[Fruits], "Not Found", 0)</f>
        <v>43</v>
      </c>
      <c r="M1085" s="16">
        <f>_xlfn.XLOOKUP(CustomerCombinedCleaned[[#This Row],[ID]], Table4[ID], Table4[Meats], "Not Found", 0)</f>
        <v>1024</v>
      </c>
      <c r="N1085" s="16">
        <f>_xlfn.XLOOKUP(CustomerCombinedCleaned[[#This Row],[ID]], Table4[ID], Table4[Seafood], "Not Found", 0)</f>
        <v>359</v>
      </c>
      <c r="O1085" s="16">
        <f>_xlfn.XLOOKUP(CustomerCombinedCleaned[[#This Row],[ID]], Table4[ID], Table4[Sweets], "Not Found", 0)</f>
        <v>319</v>
      </c>
      <c r="P1085" s="16">
        <f>_xlfn.XLOOKUP(CustomerCombinedCleaned[[#This Row],[ID]], Table4[ID], Table4[Premium], "Not Found", 0)</f>
        <v>148</v>
      </c>
      <c r="Q1085" s="16">
        <f>_xlfn.XLOOKUP(CustomerCombinedCleaned[[#This Row],[ID]], Table4[ID], Table4[Regular], "Not Found", 0)</f>
        <v>2065</v>
      </c>
      <c r="R1085" s="16">
        <f>_xlfn.XLOOKUP(CustomerCombinedCleaned[[#This Row],[ID]], Table4[ID], Table4[Deals], "Not Found", 0)</f>
        <v>1</v>
      </c>
      <c r="S1085" s="16">
        <f>_xlfn.XLOOKUP(CustomerCombinedCleaned[[#This Row],[ID]], Table4[ID], Table4[Website], "Not Found", 0)</f>
        <v>2</v>
      </c>
      <c r="T1085" s="16">
        <f>_xlfn.XLOOKUP(CustomerCombinedCleaned[[#This Row],[ID]], Table4[ID], Table4[Catalog], "Not Found", 0)</f>
        <v>9</v>
      </c>
      <c r="U1085" s="16">
        <f>_xlfn.XLOOKUP(CustomerCombinedCleaned[[#This Row],[ID]], Table4[ID], Table4[Store], "Not Found", 0)</f>
        <v>13</v>
      </c>
      <c r="V1085" s="16">
        <f>_xlfn.XLOOKUP(CustomerCombinedCleaned[[#This Row],[ID]], Table4[ID], Table4[Visits], "Not Found", 0)</f>
        <v>1</v>
      </c>
      <c r="W1085" s="16">
        <f>_xlfn.XLOOKUP(CustomerCombinedCleaned[[#This Row],[ID]], Table2[ID],Table2[Complaint], "Not Found", 0 )</f>
        <v>0</v>
      </c>
      <c r="X1085" s="16">
        <f>_xlfn.XLOOKUP(CustomerCombinedCleaned[[#This Row],[ID]], Table2[ID],Table2[Pilot], "Not Found", 0 )</f>
        <v>0</v>
      </c>
      <c r="Y1085" s="16">
        <f>_xlfn.XLOOKUP(CustomerCombinedCleaned[[#This Row],[ID]], Table2[ID],Table2[MC1], "Not Found", 0 )</f>
        <v>0</v>
      </c>
      <c r="Z1085" s="16">
        <f>_xlfn.XLOOKUP(CustomerCombinedCleaned[[#This Row],[ID]], Table2[ID],Table2[MC2], "Not Found", 0 )</f>
        <v>0</v>
      </c>
      <c r="AA1085" s="16">
        <f>_xlfn.XLOOKUP(CustomerCombinedCleaned[[#This Row],[ID]], Table2[ID],Table2[MC3], "Not Found", 0 )</f>
        <v>0</v>
      </c>
      <c r="AB1085" s="16">
        <f>_xlfn.XLOOKUP(CustomerCombinedCleaned[[#This Row],[ID]], Table2[ID],Table2[MC4], "Not Found", 0 )</f>
        <v>0</v>
      </c>
      <c r="AC1085" s="16">
        <f>_xlfn.XLOOKUP(CustomerCombinedCleaned[[#This Row],[ID]], Table2[ID],Table2[MC5], "Not Found", 0 )</f>
        <v>0</v>
      </c>
    </row>
    <row r="1086" spans="1:29" x14ac:dyDescent="0.3">
      <c r="A1086" s="18">
        <v>2462</v>
      </c>
      <c r="B1086" s="16">
        <v>179419</v>
      </c>
      <c r="C1086" s="16">
        <v>0</v>
      </c>
      <c r="D1086" s="16">
        <v>0</v>
      </c>
      <c r="E1086" s="16">
        <v>50</v>
      </c>
      <c r="F1086" s="17" t="s">
        <v>8</v>
      </c>
      <c r="G1086" s="17" t="s">
        <v>12</v>
      </c>
      <c r="H1086" s="3" t="s">
        <v>27</v>
      </c>
      <c r="I1086" s="5" t="s">
        <v>438</v>
      </c>
      <c r="J1086" s="16">
        <f>_xlfn.XLOOKUP(CustomerCombinedCleaned[[#This Row],[ID]], Table4[ID], Table4[Recency], "Not Found", 0)</f>
        <v>96</v>
      </c>
      <c r="K1086" s="16">
        <f>_xlfn.XLOOKUP(CustomerCombinedCleaned[[#This Row],[ID]], Table4[ID], Table4[Teas], "Not Found", 0)</f>
        <v>1697</v>
      </c>
      <c r="L1086" s="16">
        <f>_xlfn.XLOOKUP(CustomerCombinedCleaned[[#This Row],[ID]], Table4[ID], Table4[Fruits], "Not Found", 0)</f>
        <v>287</v>
      </c>
      <c r="M1086" s="16">
        <f>_xlfn.XLOOKUP(CustomerCombinedCleaned[[#This Row],[ID]], Table4[ID], Table4[Meats], "Not Found", 0)</f>
        <v>1552</v>
      </c>
      <c r="N1086" s="16">
        <f>_xlfn.XLOOKUP(CustomerCombinedCleaned[[#This Row],[ID]], Table4[ID], Table4[Seafood], "Not Found", 0)</f>
        <v>45</v>
      </c>
      <c r="O1086" s="16">
        <f>_xlfn.XLOOKUP(CustomerCombinedCleaned[[#This Row],[ID]], Table4[ID], Table4[Sweets], "Not Found", 0)</f>
        <v>34</v>
      </c>
      <c r="P1086" s="16">
        <f>_xlfn.XLOOKUP(CustomerCombinedCleaned[[#This Row],[ID]], Table4[ID], Table4[Premium], "Not Found", 0)</f>
        <v>70</v>
      </c>
      <c r="Q1086" s="16">
        <f>_xlfn.XLOOKUP(CustomerCombinedCleaned[[#This Row],[ID]], Table4[ID], Table4[Regular], "Not Found", 0)</f>
        <v>3545</v>
      </c>
      <c r="R1086" s="16">
        <f>_xlfn.XLOOKUP(CustomerCombinedCleaned[[#This Row],[ID]], Table4[ID], Table4[Deals], "Not Found", 0)</f>
        <v>1</v>
      </c>
      <c r="S1086" s="16">
        <f>_xlfn.XLOOKUP(CustomerCombinedCleaned[[#This Row],[ID]], Table4[ID], Table4[Website], "Not Found", 0)</f>
        <v>4</v>
      </c>
      <c r="T1086" s="16">
        <f>_xlfn.XLOOKUP(CustomerCombinedCleaned[[#This Row],[ID]], Table4[ID], Table4[Catalog], "Not Found", 0)</f>
        <v>6</v>
      </c>
      <c r="U1086" s="16">
        <f>_xlfn.XLOOKUP(CustomerCombinedCleaned[[#This Row],[ID]], Table4[ID], Table4[Store], "Not Found", 0)</f>
        <v>4</v>
      </c>
      <c r="V1086" s="16">
        <f>_xlfn.XLOOKUP(CustomerCombinedCleaned[[#This Row],[ID]], Table4[ID], Table4[Visits], "Not Found", 0)</f>
        <v>2</v>
      </c>
      <c r="W1086" s="16">
        <f>_xlfn.XLOOKUP(CustomerCombinedCleaned[[#This Row],[ID]], Table2[ID],Table2[Complaint], "Not Found", 0 )</f>
        <v>0</v>
      </c>
      <c r="X1086" s="16">
        <f>_xlfn.XLOOKUP(CustomerCombinedCleaned[[#This Row],[ID]], Table2[ID],Table2[Pilot], "Not Found", 0 )</f>
        <v>0</v>
      </c>
      <c r="Y1086" s="16">
        <f>_xlfn.XLOOKUP(CustomerCombinedCleaned[[#This Row],[ID]], Table2[ID],Table2[MC1], "Not Found", 0 )</f>
        <v>0</v>
      </c>
      <c r="Z1086" s="16">
        <f>_xlfn.XLOOKUP(CustomerCombinedCleaned[[#This Row],[ID]], Table2[ID],Table2[MC2], "Not Found", 0 )</f>
        <v>0</v>
      </c>
      <c r="AA1086" s="16">
        <f>_xlfn.XLOOKUP(CustomerCombinedCleaned[[#This Row],[ID]], Table2[ID],Table2[MC3], "Not Found", 0 )</f>
        <v>0</v>
      </c>
      <c r="AB1086" s="16">
        <f>_xlfn.XLOOKUP(CustomerCombinedCleaned[[#This Row],[ID]], Table2[ID],Table2[MC4], "Not Found", 0 )</f>
        <v>0</v>
      </c>
      <c r="AC1086" s="16">
        <f>_xlfn.XLOOKUP(CustomerCombinedCleaned[[#This Row],[ID]], Table2[ID],Table2[MC5], "Not Found", 0 )</f>
        <v>0</v>
      </c>
    </row>
    <row r="1087" spans="1:29" x14ac:dyDescent="0.3">
      <c r="A1087" s="18">
        <v>2171</v>
      </c>
      <c r="B1087" s="16">
        <v>178579</v>
      </c>
      <c r="C1087" s="16">
        <v>0</v>
      </c>
      <c r="D1087" s="16">
        <v>0</v>
      </c>
      <c r="E1087" s="16">
        <v>50</v>
      </c>
      <c r="F1087" s="17" t="s">
        <v>5</v>
      </c>
      <c r="G1087" s="17" t="s">
        <v>12</v>
      </c>
      <c r="H1087" s="3" t="s">
        <v>337</v>
      </c>
      <c r="I1087" s="5" t="s">
        <v>434</v>
      </c>
      <c r="J1087" s="16">
        <f>_xlfn.XLOOKUP(CustomerCombinedCleaned[[#This Row],[ID]], Table4[ID], Table4[Recency], "Not Found", 0)</f>
        <v>35</v>
      </c>
      <c r="K1087" s="16">
        <f>_xlfn.XLOOKUP(CustomerCombinedCleaned[[#This Row],[ID]], Table4[ID], Table4[Teas], "Not Found", 0)</f>
        <v>1854</v>
      </c>
      <c r="L1087" s="16">
        <f>_xlfn.XLOOKUP(CustomerCombinedCleaned[[#This Row],[ID]], Table4[ID], Table4[Fruits], "Not Found", 0)</f>
        <v>150</v>
      </c>
      <c r="M1087" s="16">
        <f>_xlfn.XLOOKUP(CustomerCombinedCleaned[[#This Row],[ID]], Table4[ID], Table4[Meats], "Not Found", 0)</f>
        <v>1248</v>
      </c>
      <c r="N1087" s="16">
        <f>_xlfn.XLOOKUP(CustomerCombinedCleaned[[#This Row],[ID]], Table4[ID], Table4[Seafood], "Not Found", 0)</f>
        <v>491</v>
      </c>
      <c r="O1087" s="16">
        <f>_xlfn.XLOOKUP(CustomerCombinedCleaned[[#This Row],[ID]], Table4[ID], Table4[Sweets], "Not Found", 0)</f>
        <v>150</v>
      </c>
      <c r="P1087" s="16">
        <f>_xlfn.XLOOKUP(CustomerCombinedCleaned[[#This Row],[ID]], Table4[ID], Table4[Premium], "Not Found", 0)</f>
        <v>225</v>
      </c>
      <c r="Q1087" s="16">
        <f>_xlfn.XLOOKUP(CustomerCombinedCleaned[[#This Row],[ID]], Table4[ID], Table4[Regular], "Not Found", 0)</f>
        <v>3668</v>
      </c>
      <c r="R1087" s="16">
        <f>_xlfn.XLOOKUP(CustomerCombinedCleaned[[#This Row],[ID]], Table4[ID], Table4[Deals], "Not Found", 0)</f>
        <v>1</v>
      </c>
      <c r="S1087" s="16">
        <f>_xlfn.XLOOKUP(CustomerCombinedCleaned[[#This Row],[ID]], Table4[ID], Table4[Website], "Not Found", 0)</f>
        <v>5</v>
      </c>
      <c r="T1087" s="16">
        <f>_xlfn.XLOOKUP(CustomerCombinedCleaned[[#This Row],[ID]], Table4[ID], Table4[Catalog], "Not Found", 0)</f>
        <v>6</v>
      </c>
      <c r="U1087" s="16">
        <f>_xlfn.XLOOKUP(CustomerCombinedCleaned[[#This Row],[ID]], Table4[ID], Table4[Store], "Not Found", 0)</f>
        <v>4</v>
      </c>
      <c r="V1087" s="16">
        <f>_xlfn.XLOOKUP(CustomerCombinedCleaned[[#This Row],[ID]], Table4[ID], Table4[Visits], "Not Found", 0)</f>
        <v>3</v>
      </c>
      <c r="W1087" s="16">
        <f>_xlfn.XLOOKUP(CustomerCombinedCleaned[[#This Row],[ID]], Table2[ID],Table2[Complaint], "Not Found", 0 )</f>
        <v>0</v>
      </c>
      <c r="X1087" s="16">
        <f>_xlfn.XLOOKUP(CustomerCombinedCleaned[[#This Row],[ID]], Table2[ID],Table2[Pilot], "Not Found", 0 )</f>
        <v>1</v>
      </c>
      <c r="Y1087" s="16">
        <f>_xlfn.XLOOKUP(CustomerCombinedCleaned[[#This Row],[ID]], Table2[ID],Table2[MC1], "Not Found", 0 )</f>
        <v>0</v>
      </c>
      <c r="Z1087" s="16">
        <f>_xlfn.XLOOKUP(CustomerCombinedCleaned[[#This Row],[ID]], Table2[ID],Table2[MC2], "Not Found", 0 )</f>
        <v>0</v>
      </c>
      <c r="AA1087" s="16">
        <f>_xlfn.XLOOKUP(CustomerCombinedCleaned[[#This Row],[ID]], Table2[ID],Table2[MC3], "Not Found", 0 )</f>
        <v>0</v>
      </c>
      <c r="AB1087" s="16">
        <f>_xlfn.XLOOKUP(CustomerCombinedCleaned[[#This Row],[ID]], Table2[ID],Table2[MC4], "Not Found", 0 )</f>
        <v>0</v>
      </c>
      <c r="AC1087" s="16">
        <f>_xlfn.XLOOKUP(CustomerCombinedCleaned[[#This Row],[ID]], Table2[ID],Table2[MC5], "Not Found", 0 )</f>
        <v>0</v>
      </c>
    </row>
    <row r="1088" spans="1:29" x14ac:dyDescent="0.3">
      <c r="A1088" s="18">
        <v>1210</v>
      </c>
      <c r="B1088" s="16">
        <v>177622</v>
      </c>
      <c r="C1088" s="16">
        <v>0</v>
      </c>
      <c r="D1088" s="16">
        <v>2</v>
      </c>
      <c r="E1088" s="16">
        <v>50</v>
      </c>
      <c r="F1088" s="17" t="s">
        <v>8</v>
      </c>
      <c r="G1088" s="17" t="s">
        <v>13</v>
      </c>
      <c r="H1088" s="3" t="s">
        <v>68</v>
      </c>
      <c r="I1088" s="5" t="s">
        <v>439</v>
      </c>
      <c r="J1088" s="16">
        <f>_xlfn.XLOOKUP(CustomerCombinedCleaned[[#This Row],[ID]], Table4[ID], Table4[Recency], "Not Found", 0)</f>
        <v>3</v>
      </c>
      <c r="K1088" s="16">
        <f>_xlfn.XLOOKUP(CustomerCombinedCleaned[[#This Row],[ID]], Table4[ID], Table4[Teas], "Not Found", 0)</f>
        <v>1190</v>
      </c>
      <c r="L1088" s="16">
        <f>_xlfn.XLOOKUP(CustomerCombinedCleaned[[#This Row],[ID]], Table4[ID], Table4[Fruits], "Not Found", 0)</f>
        <v>16</v>
      </c>
      <c r="M1088" s="16">
        <f>_xlfn.XLOOKUP(CustomerCombinedCleaned[[#This Row],[ID]], Table4[ID], Table4[Meats], "Not Found", 0)</f>
        <v>352</v>
      </c>
      <c r="N1088" s="16">
        <f>_xlfn.XLOOKUP(CustomerCombinedCleaned[[#This Row],[ID]], Table4[ID], Table4[Seafood], "Not Found", 0)</f>
        <v>43</v>
      </c>
      <c r="O1088" s="16">
        <f>_xlfn.XLOOKUP(CustomerCombinedCleaned[[#This Row],[ID]], Table4[ID], Table4[Sweets], "Not Found", 0)</f>
        <v>0</v>
      </c>
      <c r="P1088" s="16">
        <f>_xlfn.XLOOKUP(CustomerCombinedCleaned[[#This Row],[ID]], Table4[ID], Table4[Premium], "Not Found", 0)</f>
        <v>32</v>
      </c>
      <c r="Q1088" s="16">
        <f>_xlfn.XLOOKUP(CustomerCombinedCleaned[[#This Row],[ID]], Table4[ID], Table4[Regular], "Not Found", 0)</f>
        <v>1570</v>
      </c>
      <c r="R1088" s="16">
        <f>_xlfn.XLOOKUP(CustomerCombinedCleaned[[#This Row],[ID]], Table4[ID], Table4[Deals], "Not Found", 0)</f>
        <v>2</v>
      </c>
      <c r="S1088" s="16">
        <f>_xlfn.XLOOKUP(CustomerCombinedCleaned[[#This Row],[ID]], Table4[ID], Table4[Website], "Not Found", 0)</f>
        <v>6</v>
      </c>
      <c r="T1088" s="16">
        <f>_xlfn.XLOOKUP(CustomerCombinedCleaned[[#This Row],[ID]], Table4[ID], Table4[Catalog], "Not Found", 0)</f>
        <v>3</v>
      </c>
      <c r="U1088" s="16">
        <f>_xlfn.XLOOKUP(CustomerCombinedCleaned[[#This Row],[ID]], Table4[ID], Table4[Store], "Not Found", 0)</f>
        <v>11</v>
      </c>
      <c r="V1088" s="16">
        <f>_xlfn.XLOOKUP(CustomerCombinedCleaned[[#This Row],[ID]], Table4[ID], Table4[Visits], "Not Found", 0)</f>
        <v>3</v>
      </c>
      <c r="W1088" s="16">
        <f>_xlfn.XLOOKUP(CustomerCombinedCleaned[[#This Row],[ID]], Table2[ID],Table2[Complaint], "Not Found", 0 )</f>
        <v>0</v>
      </c>
      <c r="X1088" s="16">
        <f>_xlfn.XLOOKUP(CustomerCombinedCleaned[[#This Row],[ID]], Table2[ID],Table2[Pilot], "Not Found", 0 )</f>
        <v>0</v>
      </c>
      <c r="Y1088" s="16">
        <f>_xlfn.XLOOKUP(CustomerCombinedCleaned[[#This Row],[ID]], Table2[ID],Table2[MC1], "Not Found", 0 )</f>
        <v>0</v>
      </c>
      <c r="Z1088" s="16">
        <f>_xlfn.XLOOKUP(CustomerCombinedCleaned[[#This Row],[ID]], Table2[ID],Table2[MC2], "Not Found", 0 )</f>
        <v>0</v>
      </c>
      <c r="AA1088" s="16">
        <f>_xlfn.XLOOKUP(CustomerCombinedCleaned[[#This Row],[ID]], Table2[ID],Table2[MC3], "Not Found", 0 )</f>
        <v>0</v>
      </c>
      <c r="AB1088" s="16">
        <f>_xlfn.XLOOKUP(CustomerCombinedCleaned[[#This Row],[ID]], Table2[ID],Table2[MC4], "Not Found", 0 )</f>
        <v>0</v>
      </c>
      <c r="AC1088" s="16">
        <f>_xlfn.XLOOKUP(CustomerCombinedCleaned[[#This Row],[ID]], Table2[ID],Table2[MC5], "Not Found", 0 )</f>
        <v>0</v>
      </c>
    </row>
    <row r="1089" spans="1:29" x14ac:dyDescent="0.3">
      <c r="A1089" s="18">
        <v>3023</v>
      </c>
      <c r="B1089" s="16">
        <v>176467</v>
      </c>
      <c r="C1089" s="16">
        <v>1</v>
      </c>
      <c r="D1089" s="16">
        <v>0</v>
      </c>
      <c r="E1089" s="16">
        <v>50</v>
      </c>
      <c r="F1089" s="17" t="s">
        <v>7</v>
      </c>
      <c r="G1089" s="17" t="s">
        <v>11</v>
      </c>
      <c r="H1089" s="3" t="s">
        <v>411</v>
      </c>
      <c r="I1089" s="5" t="s">
        <v>434</v>
      </c>
      <c r="J1089" s="16">
        <f>_xlfn.XLOOKUP(CustomerCombinedCleaned[[#This Row],[ID]], Table4[ID], Table4[Recency], "Not Found", 0)</f>
        <v>44</v>
      </c>
      <c r="K1089" s="16">
        <f>_xlfn.XLOOKUP(CustomerCombinedCleaned[[#This Row],[ID]], Table4[ID], Table4[Teas], "Not Found", 0)</f>
        <v>1560</v>
      </c>
      <c r="L1089" s="16">
        <f>_xlfn.XLOOKUP(CustomerCombinedCleaned[[#This Row],[ID]], Table4[ID], Table4[Fruits], "Not Found", 0)</f>
        <v>372</v>
      </c>
      <c r="M1089" s="16">
        <f>_xlfn.XLOOKUP(CustomerCombinedCleaned[[#This Row],[ID]], Table4[ID], Table4[Meats], "Not Found", 0)</f>
        <v>983</v>
      </c>
      <c r="N1089" s="16">
        <f>_xlfn.XLOOKUP(CustomerCombinedCleaned[[#This Row],[ID]], Table4[ID], Table4[Seafood], "Not Found", 0)</f>
        <v>485</v>
      </c>
      <c r="O1089" s="16">
        <f>_xlfn.XLOOKUP(CustomerCombinedCleaned[[#This Row],[ID]], Table4[ID], Table4[Sweets], "Not Found", 0)</f>
        <v>102</v>
      </c>
      <c r="P1089" s="16">
        <f>_xlfn.XLOOKUP(CustomerCombinedCleaned[[#This Row],[ID]], Table4[ID], Table4[Premium], "Not Found", 0)</f>
        <v>134</v>
      </c>
      <c r="Q1089" s="16">
        <f>_xlfn.XLOOKUP(CustomerCombinedCleaned[[#This Row],[ID]], Table4[ID], Table4[Regular], "Not Found", 0)</f>
        <v>3367</v>
      </c>
      <c r="R1089" s="16">
        <f>_xlfn.XLOOKUP(CustomerCombinedCleaned[[#This Row],[ID]], Table4[ID], Table4[Deals], "Not Found", 0)</f>
        <v>2</v>
      </c>
      <c r="S1089" s="16">
        <f>_xlfn.XLOOKUP(CustomerCombinedCleaned[[#This Row],[ID]], Table4[ID], Table4[Website], "Not Found", 0)</f>
        <v>2</v>
      </c>
      <c r="T1089" s="16">
        <f>_xlfn.XLOOKUP(CustomerCombinedCleaned[[#This Row],[ID]], Table4[ID], Table4[Catalog], "Not Found", 0)</f>
        <v>5</v>
      </c>
      <c r="U1089" s="16">
        <f>_xlfn.XLOOKUP(CustomerCombinedCleaned[[#This Row],[ID]], Table4[ID], Table4[Store], "Not Found", 0)</f>
        <v>5</v>
      </c>
      <c r="V1089" s="16">
        <f>_xlfn.XLOOKUP(CustomerCombinedCleaned[[#This Row],[ID]], Table4[ID], Table4[Visits], "Not Found", 0)</f>
        <v>6</v>
      </c>
      <c r="W1089" s="16">
        <f>_xlfn.XLOOKUP(CustomerCombinedCleaned[[#This Row],[ID]], Table2[ID],Table2[Complaint], "Not Found", 0 )</f>
        <v>0</v>
      </c>
      <c r="X1089" s="16">
        <f>_xlfn.XLOOKUP(CustomerCombinedCleaned[[#This Row],[ID]], Table2[ID],Table2[Pilot], "Not Found", 0 )</f>
        <v>1</v>
      </c>
      <c r="Y1089" s="16">
        <f>_xlfn.XLOOKUP(CustomerCombinedCleaned[[#This Row],[ID]], Table2[ID],Table2[MC1], "Not Found", 0 )</f>
        <v>0</v>
      </c>
      <c r="Z1089" s="16">
        <f>_xlfn.XLOOKUP(CustomerCombinedCleaned[[#This Row],[ID]], Table2[ID],Table2[MC2], "Not Found", 0 )</f>
        <v>0</v>
      </c>
      <c r="AA1089" s="16">
        <f>_xlfn.XLOOKUP(CustomerCombinedCleaned[[#This Row],[ID]], Table2[ID],Table2[MC3], "Not Found", 0 )</f>
        <v>0</v>
      </c>
      <c r="AB1089" s="16">
        <f>_xlfn.XLOOKUP(CustomerCombinedCleaned[[#This Row],[ID]], Table2[ID],Table2[MC4], "Not Found", 0 )</f>
        <v>0</v>
      </c>
      <c r="AC1089" s="16">
        <f>_xlfn.XLOOKUP(CustomerCombinedCleaned[[#This Row],[ID]], Table2[ID],Table2[MC5], "Not Found", 0 )</f>
        <v>0</v>
      </c>
    </row>
    <row r="1090" spans="1:29" x14ac:dyDescent="0.3">
      <c r="A1090" s="18">
        <v>2065</v>
      </c>
      <c r="B1090" s="16">
        <v>175345</v>
      </c>
      <c r="C1090" s="16">
        <v>0</v>
      </c>
      <c r="D1090" s="16">
        <v>0</v>
      </c>
      <c r="E1090" s="16">
        <v>50</v>
      </c>
      <c r="F1090" s="17" t="s">
        <v>7</v>
      </c>
      <c r="G1090" s="17" t="s">
        <v>12</v>
      </c>
      <c r="H1090" s="3" t="s">
        <v>634</v>
      </c>
      <c r="I1090" s="5" t="s">
        <v>437</v>
      </c>
      <c r="J1090" s="16">
        <f>_xlfn.XLOOKUP(CustomerCombinedCleaned[[#This Row],[ID]], Table4[ID], Table4[Recency], "Not Found", 0)</f>
        <v>16</v>
      </c>
      <c r="K1090" s="16">
        <f>_xlfn.XLOOKUP(CustomerCombinedCleaned[[#This Row],[ID]], Table4[ID], Table4[Teas], "Not Found", 0)</f>
        <v>2136</v>
      </c>
      <c r="L1090" s="16">
        <f>_xlfn.XLOOKUP(CustomerCombinedCleaned[[#This Row],[ID]], Table4[ID], Table4[Fruits], "Not Found", 0)</f>
        <v>133</v>
      </c>
      <c r="M1090" s="16">
        <f>_xlfn.XLOOKUP(CustomerCombinedCleaned[[#This Row],[ID]], Table4[ID], Table4[Meats], "Not Found", 0)</f>
        <v>1960</v>
      </c>
      <c r="N1090" s="16">
        <f>_xlfn.XLOOKUP(CustomerCombinedCleaned[[#This Row],[ID]], Table4[ID], Table4[Seafood], "Not Found", 0)</f>
        <v>230</v>
      </c>
      <c r="O1090" s="16">
        <f>_xlfn.XLOOKUP(CustomerCombinedCleaned[[#This Row],[ID]], Table4[ID], Table4[Sweets], "Not Found", 0)</f>
        <v>88</v>
      </c>
      <c r="P1090" s="16">
        <f>_xlfn.XLOOKUP(CustomerCombinedCleaned[[#This Row],[ID]], Table4[ID], Table4[Premium], "Not Found", 0)</f>
        <v>310</v>
      </c>
      <c r="Q1090" s="16">
        <f>_xlfn.XLOOKUP(CustomerCombinedCleaned[[#This Row],[ID]], Table4[ID], Table4[Regular], "Not Found", 0)</f>
        <v>4238</v>
      </c>
      <c r="R1090" s="16">
        <f>_xlfn.XLOOKUP(CustomerCombinedCleaned[[#This Row],[ID]], Table4[ID], Table4[Deals], "Not Found", 0)</f>
        <v>1</v>
      </c>
      <c r="S1090" s="16">
        <f>_xlfn.XLOOKUP(CustomerCombinedCleaned[[#This Row],[ID]], Table4[ID], Table4[Website], "Not Found", 0)</f>
        <v>5</v>
      </c>
      <c r="T1090" s="16">
        <f>_xlfn.XLOOKUP(CustomerCombinedCleaned[[#This Row],[ID]], Table4[ID], Table4[Catalog], "Not Found", 0)</f>
        <v>8</v>
      </c>
      <c r="U1090" s="16">
        <f>_xlfn.XLOOKUP(CustomerCombinedCleaned[[#This Row],[ID]], Table4[ID], Table4[Store], "Not Found", 0)</f>
        <v>6</v>
      </c>
      <c r="V1090" s="16">
        <f>_xlfn.XLOOKUP(CustomerCombinedCleaned[[#This Row],[ID]], Table4[ID], Table4[Visits], "Not Found", 0)</f>
        <v>3</v>
      </c>
      <c r="W1090" s="16">
        <f>_xlfn.XLOOKUP(CustomerCombinedCleaned[[#This Row],[ID]], Table2[ID],Table2[Complaint], "Not Found", 0 )</f>
        <v>0</v>
      </c>
      <c r="X1090" s="16">
        <f>_xlfn.XLOOKUP(CustomerCombinedCleaned[[#This Row],[ID]], Table2[ID],Table2[Pilot], "Not Found", 0 )</f>
        <v>1</v>
      </c>
      <c r="Y1090" s="16">
        <f>_xlfn.XLOOKUP(CustomerCombinedCleaned[[#This Row],[ID]], Table2[ID],Table2[MC1], "Not Found", 0 )</f>
        <v>1</v>
      </c>
      <c r="Z1090" s="16">
        <f>_xlfn.XLOOKUP(CustomerCombinedCleaned[[#This Row],[ID]], Table2[ID],Table2[MC2], "Not Found", 0 )</f>
        <v>0</v>
      </c>
      <c r="AA1090" s="16">
        <f>_xlfn.XLOOKUP(CustomerCombinedCleaned[[#This Row],[ID]], Table2[ID],Table2[MC3], "Not Found", 0 )</f>
        <v>0</v>
      </c>
      <c r="AB1090" s="16">
        <f>_xlfn.XLOOKUP(CustomerCombinedCleaned[[#This Row],[ID]], Table2[ID],Table2[MC4], "Not Found", 0 )</f>
        <v>0</v>
      </c>
      <c r="AC1090" s="16">
        <f>_xlfn.XLOOKUP(CustomerCombinedCleaned[[#This Row],[ID]], Table2[ID],Table2[MC5], "Not Found", 0 )</f>
        <v>0</v>
      </c>
    </row>
    <row r="1091" spans="1:29" x14ac:dyDescent="0.3">
      <c r="A1091" s="18">
        <v>1065</v>
      </c>
      <c r="B1091" s="16">
        <v>174854</v>
      </c>
      <c r="C1091" s="16">
        <v>1</v>
      </c>
      <c r="D1091" s="16">
        <v>2</v>
      </c>
      <c r="E1091" s="16">
        <v>50</v>
      </c>
      <c r="F1091" s="17" t="s">
        <v>8</v>
      </c>
      <c r="G1091" s="17" t="s">
        <v>11</v>
      </c>
      <c r="H1091" s="3" t="s">
        <v>281</v>
      </c>
      <c r="I1091" s="5" t="s">
        <v>435</v>
      </c>
      <c r="J1091" s="16">
        <f>_xlfn.XLOOKUP(CustomerCombinedCleaned[[#This Row],[ID]], Table4[ID], Table4[Recency], "Not Found", 0)</f>
        <v>90</v>
      </c>
      <c r="K1091" s="16">
        <f>_xlfn.XLOOKUP(CustomerCombinedCleaned[[#This Row],[ID]], Table4[ID], Table4[Teas], "Not Found", 0)</f>
        <v>2000</v>
      </c>
      <c r="L1091" s="16">
        <f>_xlfn.XLOOKUP(CustomerCombinedCleaned[[#This Row],[ID]], Table4[ID], Table4[Fruits], "Not Found", 0)</f>
        <v>138</v>
      </c>
      <c r="M1091" s="16">
        <f>_xlfn.XLOOKUP(CustomerCombinedCleaned[[#This Row],[ID]], Table4[ID], Table4[Meats], "Not Found", 0)</f>
        <v>1138</v>
      </c>
      <c r="N1091" s="16">
        <f>_xlfn.XLOOKUP(CustomerCombinedCleaned[[#This Row],[ID]], Table4[ID], Table4[Seafood], "Not Found", 0)</f>
        <v>135</v>
      </c>
      <c r="O1091" s="16">
        <f>_xlfn.XLOOKUP(CustomerCombinedCleaned[[#This Row],[ID]], Table4[ID], Table4[Sweets], "Not Found", 0)</f>
        <v>68</v>
      </c>
      <c r="P1091" s="16">
        <f>_xlfn.XLOOKUP(CustomerCombinedCleaned[[#This Row],[ID]], Table4[ID], Table4[Premium], "Not Found", 0)</f>
        <v>171</v>
      </c>
      <c r="Q1091" s="16">
        <f>_xlfn.XLOOKUP(CustomerCombinedCleaned[[#This Row],[ID]], Table4[ID], Table4[Regular], "Not Found", 0)</f>
        <v>3308</v>
      </c>
      <c r="R1091" s="16">
        <f>_xlfn.XLOOKUP(CustomerCombinedCleaned[[#This Row],[ID]], Table4[ID], Table4[Deals], "Not Found", 0)</f>
        <v>7</v>
      </c>
      <c r="S1091" s="16">
        <f>_xlfn.XLOOKUP(CustomerCombinedCleaned[[#This Row],[ID]], Table4[ID], Table4[Website], "Not Found", 0)</f>
        <v>2</v>
      </c>
      <c r="T1091" s="16">
        <f>_xlfn.XLOOKUP(CustomerCombinedCleaned[[#This Row],[ID]], Table4[ID], Table4[Catalog], "Not Found", 0)</f>
        <v>5</v>
      </c>
      <c r="U1091" s="16">
        <f>_xlfn.XLOOKUP(CustomerCombinedCleaned[[#This Row],[ID]], Table4[ID], Table4[Store], "Not Found", 0)</f>
        <v>5</v>
      </c>
      <c r="V1091" s="16">
        <f>_xlfn.XLOOKUP(CustomerCombinedCleaned[[#This Row],[ID]], Table4[ID], Table4[Visits], "Not Found", 0)</f>
        <v>5</v>
      </c>
      <c r="W1091" s="16">
        <f>_xlfn.XLOOKUP(CustomerCombinedCleaned[[#This Row],[ID]], Table2[ID],Table2[Complaint], "Not Found", 0 )</f>
        <v>0</v>
      </c>
      <c r="X1091" s="16">
        <f>_xlfn.XLOOKUP(CustomerCombinedCleaned[[#This Row],[ID]], Table2[ID],Table2[Pilot], "Not Found", 0 )</f>
        <v>0</v>
      </c>
      <c r="Y1091" s="16">
        <f>_xlfn.XLOOKUP(CustomerCombinedCleaned[[#This Row],[ID]], Table2[ID],Table2[MC1], "Not Found", 0 )</f>
        <v>0</v>
      </c>
      <c r="Z1091" s="16">
        <f>_xlfn.XLOOKUP(CustomerCombinedCleaned[[#This Row],[ID]], Table2[ID],Table2[MC2], "Not Found", 0 )</f>
        <v>0</v>
      </c>
      <c r="AA1091" s="16">
        <f>_xlfn.XLOOKUP(CustomerCombinedCleaned[[#This Row],[ID]], Table2[ID],Table2[MC3], "Not Found", 0 )</f>
        <v>0</v>
      </c>
      <c r="AB1091" s="16">
        <f>_xlfn.XLOOKUP(CustomerCombinedCleaned[[#This Row],[ID]], Table2[ID],Table2[MC4], "Not Found", 0 )</f>
        <v>0</v>
      </c>
      <c r="AC1091" s="16">
        <f>_xlfn.XLOOKUP(CustomerCombinedCleaned[[#This Row],[ID]], Table2[ID],Table2[MC5], "Not Found", 0 )</f>
        <v>0</v>
      </c>
    </row>
    <row r="1092" spans="1:29" x14ac:dyDescent="0.3">
      <c r="A1092" s="18">
        <v>3076</v>
      </c>
      <c r="B1092" s="16">
        <v>172967</v>
      </c>
      <c r="C1092" s="16">
        <v>0</v>
      </c>
      <c r="D1092" s="16">
        <v>1</v>
      </c>
      <c r="E1092" s="16">
        <v>50</v>
      </c>
      <c r="F1092" s="17" t="s">
        <v>5</v>
      </c>
      <c r="G1092" s="17" t="s">
        <v>11</v>
      </c>
      <c r="H1092" s="3" t="s">
        <v>344</v>
      </c>
      <c r="I1092" s="5" t="s">
        <v>439</v>
      </c>
      <c r="J1092" s="16">
        <f>_xlfn.XLOOKUP(CustomerCombinedCleaned[[#This Row],[ID]], Table4[ID], Table4[Recency], "Not Found", 0)</f>
        <v>1</v>
      </c>
      <c r="K1092" s="16">
        <f>_xlfn.XLOOKUP(CustomerCombinedCleaned[[#This Row],[ID]], Table4[ID], Table4[Teas], "Not Found", 0)</f>
        <v>375</v>
      </c>
      <c r="L1092" s="16">
        <f>_xlfn.XLOOKUP(CustomerCombinedCleaned[[#This Row],[ID]], Table4[ID], Table4[Fruits], "Not Found", 0)</f>
        <v>83</v>
      </c>
      <c r="M1092" s="16">
        <f>_xlfn.XLOOKUP(CustomerCombinedCleaned[[#This Row],[ID]], Table4[ID], Table4[Meats], "Not Found", 0)</f>
        <v>424</v>
      </c>
      <c r="N1092" s="16">
        <f>_xlfn.XLOOKUP(CustomerCombinedCleaned[[#This Row],[ID]], Table4[ID], Table4[Seafood], "Not Found", 0)</f>
        <v>0</v>
      </c>
      <c r="O1092" s="16">
        <f>_xlfn.XLOOKUP(CustomerCombinedCleaned[[#This Row],[ID]], Table4[ID], Table4[Sweets], "Not Found", 0)</f>
        <v>0</v>
      </c>
      <c r="P1092" s="16">
        <f>_xlfn.XLOOKUP(CustomerCombinedCleaned[[#This Row],[ID]], Table4[ID], Table4[Premium], "Not Found", 0)</f>
        <v>296</v>
      </c>
      <c r="Q1092" s="16">
        <f>_xlfn.XLOOKUP(CustomerCombinedCleaned[[#This Row],[ID]], Table4[ID], Table4[Regular], "Not Found", 0)</f>
        <v>586</v>
      </c>
      <c r="R1092" s="16">
        <f>_xlfn.XLOOKUP(CustomerCombinedCleaned[[#This Row],[ID]], Table4[ID], Table4[Deals], "Not Found", 0)</f>
        <v>2</v>
      </c>
      <c r="S1092" s="16">
        <f>_xlfn.XLOOKUP(CustomerCombinedCleaned[[#This Row],[ID]], Table4[ID], Table4[Website], "Not Found", 0)</f>
        <v>7</v>
      </c>
      <c r="T1092" s="16">
        <f>_xlfn.XLOOKUP(CustomerCombinedCleaned[[#This Row],[ID]], Table4[ID], Table4[Catalog], "Not Found", 0)</f>
        <v>2</v>
      </c>
      <c r="U1092" s="16">
        <f>_xlfn.XLOOKUP(CustomerCombinedCleaned[[#This Row],[ID]], Table4[ID], Table4[Store], "Not Found", 0)</f>
        <v>8</v>
      </c>
      <c r="V1092" s="16">
        <f>_xlfn.XLOOKUP(CustomerCombinedCleaned[[#This Row],[ID]], Table4[ID], Table4[Visits], "Not Found", 0)</f>
        <v>5</v>
      </c>
      <c r="W1092" s="16">
        <f>_xlfn.XLOOKUP(CustomerCombinedCleaned[[#This Row],[ID]], Table2[ID],Table2[Complaint], "Not Found", 0 )</f>
        <v>0</v>
      </c>
      <c r="X1092" s="16">
        <f>_xlfn.XLOOKUP(CustomerCombinedCleaned[[#This Row],[ID]], Table2[ID],Table2[Pilot], "Not Found", 0 )</f>
        <v>1</v>
      </c>
      <c r="Y1092" s="16">
        <f>_xlfn.XLOOKUP(CustomerCombinedCleaned[[#This Row],[ID]], Table2[ID],Table2[MC1], "Not Found", 0 )</f>
        <v>0</v>
      </c>
      <c r="Z1092" s="16">
        <f>_xlfn.XLOOKUP(CustomerCombinedCleaned[[#This Row],[ID]], Table2[ID],Table2[MC2], "Not Found", 0 )</f>
        <v>0</v>
      </c>
      <c r="AA1092" s="16">
        <f>_xlfn.XLOOKUP(CustomerCombinedCleaned[[#This Row],[ID]], Table2[ID],Table2[MC3], "Not Found", 0 )</f>
        <v>1</v>
      </c>
      <c r="AB1092" s="16">
        <f>_xlfn.XLOOKUP(CustomerCombinedCleaned[[#This Row],[ID]], Table2[ID],Table2[MC4], "Not Found", 0 )</f>
        <v>0</v>
      </c>
      <c r="AC1092" s="16">
        <f>_xlfn.XLOOKUP(CustomerCombinedCleaned[[#This Row],[ID]], Table2[ID],Table2[MC5], "Not Found", 0 )</f>
        <v>0</v>
      </c>
    </row>
    <row r="1093" spans="1:29" x14ac:dyDescent="0.3">
      <c r="A1093" s="18">
        <v>1255</v>
      </c>
      <c r="B1093" s="16">
        <v>172940</v>
      </c>
      <c r="C1093" s="16">
        <v>0</v>
      </c>
      <c r="D1093" s="16">
        <v>0</v>
      </c>
      <c r="E1093" s="16">
        <v>50</v>
      </c>
      <c r="F1093" s="17" t="s">
        <v>6</v>
      </c>
      <c r="G1093" s="17" t="s">
        <v>11</v>
      </c>
      <c r="H1093" s="3" t="s">
        <v>234</v>
      </c>
      <c r="I1093" s="5" t="s">
        <v>437</v>
      </c>
      <c r="J1093" s="16">
        <f>_xlfn.XLOOKUP(CustomerCombinedCleaned[[#This Row],[ID]], Table4[ID], Table4[Recency], "Not Found", 0)</f>
        <v>13</v>
      </c>
      <c r="K1093" s="16">
        <f>_xlfn.XLOOKUP(CustomerCombinedCleaned[[#This Row],[ID]], Table4[ID], Table4[Teas], "Not Found", 0)</f>
        <v>432</v>
      </c>
      <c r="L1093" s="16">
        <f>_xlfn.XLOOKUP(CustomerCombinedCleaned[[#This Row],[ID]], Table4[ID], Table4[Fruits], "Not Found", 0)</f>
        <v>175</v>
      </c>
      <c r="M1093" s="16">
        <f>_xlfn.XLOOKUP(CustomerCombinedCleaned[[#This Row],[ID]], Table4[ID], Table4[Meats], "Not Found", 0)</f>
        <v>707</v>
      </c>
      <c r="N1093" s="16">
        <f>_xlfn.XLOOKUP(CustomerCombinedCleaned[[#This Row],[ID]], Table4[ID], Table4[Seafood], "Not Found", 0)</f>
        <v>384</v>
      </c>
      <c r="O1093" s="16">
        <f>_xlfn.XLOOKUP(CustomerCombinedCleaned[[#This Row],[ID]], Table4[ID], Table4[Sweets], "Not Found", 0)</f>
        <v>353</v>
      </c>
      <c r="P1093" s="16">
        <f>_xlfn.XLOOKUP(CustomerCombinedCleaned[[#This Row],[ID]], Table4[ID], Table4[Premium], "Not Found", 0)</f>
        <v>275</v>
      </c>
      <c r="Q1093" s="16">
        <f>_xlfn.XLOOKUP(CustomerCombinedCleaned[[#This Row],[ID]], Table4[ID], Table4[Regular], "Not Found", 0)</f>
        <v>1776</v>
      </c>
      <c r="R1093" s="16">
        <f>_xlfn.XLOOKUP(CustomerCombinedCleaned[[#This Row],[ID]], Table4[ID], Table4[Deals], "Not Found", 0)</f>
        <v>1</v>
      </c>
      <c r="S1093" s="16">
        <f>_xlfn.XLOOKUP(CustomerCombinedCleaned[[#This Row],[ID]], Table4[ID], Table4[Website], "Not Found", 0)</f>
        <v>3</v>
      </c>
      <c r="T1093" s="16">
        <f>_xlfn.XLOOKUP(CustomerCombinedCleaned[[#This Row],[ID]], Table4[ID], Table4[Catalog], "Not Found", 0)</f>
        <v>3</v>
      </c>
      <c r="U1093" s="16">
        <f>_xlfn.XLOOKUP(CustomerCombinedCleaned[[#This Row],[ID]], Table4[ID], Table4[Store], "Not Found", 0)</f>
        <v>6</v>
      </c>
      <c r="V1093" s="16">
        <f>_xlfn.XLOOKUP(CustomerCombinedCleaned[[#This Row],[ID]], Table4[ID], Table4[Visits], "Not Found", 0)</f>
        <v>1</v>
      </c>
      <c r="W1093" s="16">
        <f>_xlfn.XLOOKUP(CustomerCombinedCleaned[[#This Row],[ID]], Table2[ID],Table2[Complaint], "Not Found", 0 )</f>
        <v>0</v>
      </c>
      <c r="X1093" s="16">
        <f>_xlfn.XLOOKUP(CustomerCombinedCleaned[[#This Row],[ID]], Table2[ID],Table2[Pilot], "Not Found", 0 )</f>
        <v>0</v>
      </c>
      <c r="Y1093" s="16">
        <f>_xlfn.XLOOKUP(CustomerCombinedCleaned[[#This Row],[ID]], Table2[ID],Table2[MC1], "Not Found", 0 )</f>
        <v>0</v>
      </c>
      <c r="Z1093" s="16">
        <f>_xlfn.XLOOKUP(CustomerCombinedCleaned[[#This Row],[ID]], Table2[ID],Table2[MC2], "Not Found", 0 )</f>
        <v>0</v>
      </c>
      <c r="AA1093" s="16">
        <f>_xlfn.XLOOKUP(CustomerCombinedCleaned[[#This Row],[ID]], Table2[ID],Table2[MC3], "Not Found", 0 )</f>
        <v>0</v>
      </c>
      <c r="AB1093" s="16">
        <f>_xlfn.XLOOKUP(CustomerCombinedCleaned[[#This Row],[ID]], Table2[ID],Table2[MC4], "Not Found", 0 )</f>
        <v>0</v>
      </c>
      <c r="AC1093" s="16">
        <f>_xlfn.XLOOKUP(CustomerCombinedCleaned[[#This Row],[ID]], Table2[ID],Table2[MC5], "Not Found", 0 )</f>
        <v>0</v>
      </c>
    </row>
    <row r="1094" spans="1:29" x14ac:dyDescent="0.3">
      <c r="A1094" s="18">
        <v>2902</v>
      </c>
      <c r="B1094" s="16">
        <v>170617</v>
      </c>
      <c r="C1094" s="16">
        <v>0</v>
      </c>
      <c r="D1094" s="16">
        <v>0</v>
      </c>
      <c r="E1094" s="16">
        <v>50</v>
      </c>
      <c r="F1094" s="17" t="s">
        <v>6</v>
      </c>
      <c r="G1094" s="17" t="s">
        <v>11</v>
      </c>
      <c r="H1094" s="3" t="s">
        <v>230</v>
      </c>
      <c r="I1094" s="5" t="s">
        <v>439</v>
      </c>
      <c r="J1094" s="16">
        <f>_xlfn.XLOOKUP(CustomerCombinedCleaned[[#This Row],[ID]], Table4[ID], Table4[Recency], "Not Found", 0)</f>
        <v>45</v>
      </c>
      <c r="K1094" s="16">
        <f>_xlfn.XLOOKUP(CustomerCombinedCleaned[[#This Row],[ID]], Table4[ID], Table4[Teas], "Not Found", 0)</f>
        <v>853</v>
      </c>
      <c r="L1094" s="16">
        <f>_xlfn.XLOOKUP(CustomerCombinedCleaned[[#This Row],[ID]], Table4[ID], Table4[Fruits], "Not Found", 0)</f>
        <v>147</v>
      </c>
      <c r="M1094" s="16">
        <f>_xlfn.XLOOKUP(CustomerCombinedCleaned[[#This Row],[ID]], Table4[ID], Table4[Meats], "Not Found", 0)</f>
        <v>1819</v>
      </c>
      <c r="N1094" s="16">
        <f>_xlfn.XLOOKUP(CustomerCombinedCleaned[[#This Row],[ID]], Table4[ID], Table4[Seafood], "Not Found", 0)</f>
        <v>97</v>
      </c>
      <c r="O1094" s="16">
        <f>_xlfn.XLOOKUP(CustomerCombinedCleaned[[#This Row],[ID]], Table4[ID], Table4[Sweets], "Not Found", 0)</f>
        <v>111</v>
      </c>
      <c r="P1094" s="16">
        <f>_xlfn.XLOOKUP(CustomerCombinedCleaned[[#This Row],[ID]], Table4[ID], Table4[Premium], "Not Found", 0)</f>
        <v>65</v>
      </c>
      <c r="Q1094" s="16">
        <f>_xlfn.XLOOKUP(CustomerCombinedCleaned[[#This Row],[ID]], Table4[ID], Table4[Regular], "Not Found", 0)</f>
        <v>2962</v>
      </c>
      <c r="R1094" s="16">
        <f>_xlfn.XLOOKUP(CustomerCombinedCleaned[[#This Row],[ID]], Table4[ID], Table4[Deals], "Not Found", 0)</f>
        <v>1</v>
      </c>
      <c r="S1094" s="16">
        <f>_xlfn.XLOOKUP(CustomerCombinedCleaned[[#This Row],[ID]], Table4[ID], Table4[Website], "Not Found", 0)</f>
        <v>3</v>
      </c>
      <c r="T1094" s="16">
        <f>_xlfn.XLOOKUP(CustomerCombinedCleaned[[#This Row],[ID]], Table4[ID], Table4[Catalog], "Not Found", 0)</f>
        <v>3</v>
      </c>
      <c r="U1094" s="16">
        <f>_xlfn.XLOOKUP(CustomerCombinedCleaned[[#This Row],[ID]], Table4[ID], Table4[Store], "Not Found", 0)</f>
        <v>7</v>
      </c>
      <c r="V1094" s="16">
        <f>_xlfn.XLOOKUP(CustomerCombinedCleaned[[#This Row],[ID]], Table4[ID], Table4[Visits], "Not Found", 0)</f>
        <v>2</v>
      </c>
      <c r="W1094" s="16">
        <f>_xlfn.XLOOKUP(CustomerCombinedCleaned[[#This Row],[ID]], Table2[ID],Table2[Complaint], "Not Found", 0 )</f>
        <v>0</v>
      </c>
      <c r="X1094" s="16">
        <f>_xlfn.XLOOKUP(CustomerCombinedCleaned[[#This Row],[ID]], Table2[ID],Table2[Pilot], "Not Found", 0 )</f>
        <v>0</v>
      </c>
      <c r="Y1094" s="16">
        <f>_xlfn.XLOOKUP(CustomerCombinedCleaned[[#This Row],[ID]], Table2[ID],Table2[MC1], "Not Found", 0 )</f>
        <v>0</v>
      </c>
      <c r="Z1094" s="16">
        <f>_xlfn.XLOOKUP(CustomerCombinedCleaned[[#This Row],[ID]], Table2[ID],Table2[MC2], "Not Found", 0 )</f>
        <v>0</v>
      </c>
      <c r="AA1094" s="16">
        <f>_xlfn.XLOOKUP(CustomerCombinedCleaned[[#This Row],[ID]], Table2[ID],Table2[MC3], "Not Found", 0 )</f>
        <v>0</v>
      </c>
      <c r="AB1094" s="16">
        <f>_xlfn.XLOOKUP(CustomerCombinedCleaned[[#This Row],[ID]], Table2[ID],Table2[MC4], "Not Found", 0 )</f>
        <v>0</v>
      </c>
      <c r="AC1094" s="16">
        <f>_xlfn.XLOOKUP(CustomerCombinedCleaned[[#This Row],[ID]], Table2[ID],Table2[MC5], "Not Found", 0 )</f>
        <v>0</v>
      </c>
    </row>
    <row r="1095" spans="1:29" x14ac:dyDescent="0.3">
      <c r="A1095" s="18">
        <v>1613</v>
      </c>
      <c r="B1095" s="16">
        <v>169084</v>
      </c>
      <c r="C1095" s="16">
        <v>1</v>
      </c>
      <c r="D1095" s="16">
        <v>0</v>
      </c>
      <c r="E1095" s="16">
        <v>50</v>
      </c>
      <c r="F1095" s="17" t="s">
        <v>6</v>
      </c>
      <c r="G1095" s="17" t="s">
        <v>13</v>
      </c>
      <c r="H1095" s="3" t="s">
        <v>146</v>
      </c>
      <c r="I1095" s="5" t="s">
        <v>434</v>
      </c>
      <c r="J1095" s="16">
        <f>_xlfn.XLOOKUP(CustomerCombinedCleaned[[#This Row],[ID]], Table4[ID], Table4[Recency], "Not Found", 0)</f>
        <v>43</v>
      </c>
      <c r="K1095" s="16">
        <f>_xlfn.XLOOKUP(CustomerCombinedCleaned[[#This Row],[ID]], Table4[ID], Table4[Teas], "Not Found", 0)</f>
        <v>2891</v>
      </c>
      <c r="L1095" s="16">
        <f>_xlfn.XLOOKUP(CustomerCombinedCleaned[[#This Row],[ID]], Table4[ID], Table4[Fruits], "Not Found", 0)</f>
        <v>262</v>
      </c>
      <c r="M1095" s="16">
        <f>_xlfn.XLOOKUP(CustomerCombinedCleaned[[#This Row],[ID]], Table4[ID], Table4[Meats], "Not Found", 0)</f>
        <v>487</v>
      </c>
      <c r="N1095" s="16">
        <f>_xlfn.XLOOKUP(CustomerCombinedCleaned[[#This Row],[ID]], Table4[ID], Table4[Seafood], "Not Found", 0)</f>
        <v>95</v>
      </c>
      <c r="O1095" s="16">
        <f>_xlfn.XLOOKUP(CustomerCombinedCleaned[[#This Row],[ID]], Table4[ID], Table4[Sweets], "Not Found", 0)</f>
        <v>73</v>
      </c>
      <c r="P1095" s="16">
        <f>_xlfn.XLOOKUP(CustomerCombinedCleaned[[#This Row],[ID]], Table4[ID], Table4[Premium], "Not Found", 0)</f>
        <v>73</v>
      </c>
      <c r="Q1095" s="16">
        <f>_xlfn.XLOOKUP(CustomerCombinedCleaned[[#This Row],[ID]], Table4[ID], Table4[Regular], "Not Found", 0)</f>
        <v>3735</v>
      </c>
      <c r="R1095" s="16">
        <f>_xlfn.XLOOKUP(CustomerCombinedCleaned[[#This Row],[ID]], Table4[ID], Table4[Deals], "Not Found", 0)</f>
        <v>2</v>
      </c>
      <c r="S1095" s="16">
        <f>_xlfn.XLOOKUP(CustomerCombinedCleaned[[#This Row],[ID]], Table4[ID], Table4[Website], "Not Found", 0)</f>
        <v>7</v>
      </c>
      <c r="T1095" s="16">
        <f>_xlfn.XLOOKUP(CustomerCombinedCleaned[[#This Row],[ID]], Table4[ID], Table4[Catalog], "Not Found", 0)</f>
        <v>3</v>
      </c>
      <c r="U1095" s="16">
        <f>_xlfn.XLOOKUP(CustomerCombinedCleaned[[#This Row],[ID]], Table4[ID], Table4[Store], "Not Found", 0)</f>
        <v>13</v>
      </c>
      <c r="V1095" s="16">
        <f>_xlfn.XLOOKUP(CustomerCombinedCleaned[[#This Row],[ID]], Table4[ID], Table4[Visits], "Not Found", 0)</f>
        <v>8</v>
      </c>
      <c r="W1095" s="16">
        <f>_xlfn.XLOOKUP(CustomerCombinedCleaned[[#This Row],[ID]], Table2[ID],Table2[Complaint], "Not Found", 0 )</f>
        <v>0</v>
      </c>
      <c r="X1095" s="16">
        <f>_xlfn.XLOOKUP(CustomerCombinedCleaned[[#This Row],[ID]], Table2[ID],Table2[Pilot], "Not Found", 0 )</f>
        <v>0</v>
      </c>
      <c r="Y1095" s="16">
        <f>_xlfn.XLOOKUP(CustomerCombinedCleaned[[#This Row],[ID]], Table2[ID],Table2[MC1], "Not Found", 0 )</f>
        <v>0</v>
      </c>
      <c r="Z1095" s="16">
        <f>_xlfn.XLOOKUP(CustomerCombinedCleaned[[#This Row],[ID]], Table2[ID],Table2[MC2], "Not Found", 0 )</f>
        <v>0</v>
      </c>
      <c r="AA1095" s="16">
        <f>_xlfn.XLOOKUP(CustomerCombinedCleaned[[#This Row],[ID]], Table2[ID],Table2[MC3], "Not Found", 0 )</f>
        <v>0</v>
      </c>
      <c r="AB1095" s="16">
        <f>_xlfn.XLOOKUP(CustomerCombinedCleaned[[#This Row],[ID]], Table2[ID],Table2[MC4], "Not Found", 0 )</f>
        <v>0</v>
      </c>
      <c r="AC1095" s="16">
        <f>_xlfn.XLOOKUP(CustomerCombinedCleaned[[#This Row],[ID]], Table2[ID],Table2[MC5], "Not Found", 0 )</f>
        <v>0</v>
      </c>
    </row>
    <row r="1096" spans="1:29" x14ac:dyDescent="0.3">
      <c r="A1096" s="18">
        <v>2643</v>
      </c>
      <c r="B1096" s="16">
        <v>169084</v>
      </c>
      <c r="C1096" s="16">
        <v>1</v>
      </c>
      <c r="D1096" s="16">
        <v>0</v>
      </c>
      <c r="E1096" s="16">
        <v>50</v>
      </c>
      <c r="F1096" s="17" t="s">
        <v>6</v>
      </c>
      <c r="G1096" s="17" t="s">
        <v>13</v>
      </c>
      <c r="H1096" s="3" t="s">
        <v>146</v>
      </c>
      <c r="I1096" s="5" t="s">
        <v>435</v>
      </c>
      <c r="J1096" s="16">
        <f>_xlfn.XLOOKUP(CustomerCombinedCleaned[[#This Row],[ID]], Table4[ID], Table4[Recency], "Not Found", 0)</f>
        <v>43</v>
      </c>
      <c r="K1096" s="16">
        <f>_xlfn.XLOOKUP(CustomerCombinedCleaned[[#This Row],[ID]], Table4[ID], Table4[Teas], "Not Found", 0)</f>
        <v>2891</v>
      </c>
      <c r="L1096" s="16">
        <f>_xlfn.XLOOKUP(CustomerCombinedCleaned[[#This Row],[ID]], Table4[ID], Table4[Fruits], "Not Found", 0)</f>
        <v>262</v>
      </c>
      <c r="M1096" s="16">
        <f>_xlfn.XLOOKUP(CustomerCombinedCleaned[[#This Row],[ID]], Table4[ID], Table4[Meats], "Not Found", 0)</f>
        <v>487</v>
      </c>
      <c r="N1096" s="16">
        <f>_xlfn.XLOOKUP(CustomerCombinedCleaned[[#This Row],[ID]], Table4[ID], Table4[Seafood], "Not Found", 0)</f>
        <v>95</v>
      </c>
      <c r="O1096" s="16">
        <f>_xlfn.XLOOKUP(CustomerCombinedCleaned[[#This Row],[ID]], Table4[ID], Table4[Sweets], "Not Found", 0)</f>
        <v>73</v>
      </c>
      <c r="P1096" s="16">
        <f>_xlfn.XLOOKUP(CustomerCombinedCleaned[[#This Row],[ID]], Table4[ID], Table4[Premium], "Not Found", 0)</f>
        <v>73</v>
      </c>
      <c r="Q1096" s="16">
        <f>_xlfn.XLOOKUP(CustomerCombinedCleaned[[#This Row],[ID]], Table4[ID], Table4[Regular], "Not Found", 0)</f>
        <v>3735</v>
      </c>
      <c r="R1096" s="16">
        <f>_xlfn.XLOOKUP(CustomerCombinedCleaned[[#This Row],[ID]], Table4[ID], Table4[Deals], "Not Found", 0)</f>
        <v>2</v>
      </c>
      <c r="S1096" s="16">
        <f>_xlfn.XLOOKUP(CustomerCombinedCleaned[[#This Row],[ID]], Table4[ID], Table4[Website], "Not Found", 0)</f>
        <v>7</v>
      </c>
      <c r="T1096" s="16">
        <f>_xlfn.XLOOKUP(CustomerCombinedCleaned[[#This Row],[ID]], Table4[ID], Table4[Catalog], "Not Found", 0)</f>
        <v>3</v>
      </c>
      <c r="U1096" s="16">
        <f>_xlfn.XLOOKUP(CustomerCombinedCleaned[[#This Row],[ID]], Table4[ID], Table4[Store], "Not Found", 0)</f>
        <v>13</v>
      </c>
      <c r="V1096" s="16">
        <f>_xlfn.XLOOKUP(CustomerCombinedCleaned[[#This Row],[ID]], Table4[ID], Table4[Visits], "Not Found", 0)</f>
        <v>8</v>
      </c>
      <c r="W1096" s="16">
        <f>_xlfn.XLOOKUP(CustomerCombinedCleaned[[#This Row],[ID]], Table2[ID],Table2[Complaint], "Not Found", 0 )</f>
        <v>0</v>
      </c>
      <c r="X1096" s="16">
        <f>_xlfn.XLOOKUP(CustomerCombinedCleaned[[#This Row],[ID]], Table2[ID],Table2[Pilot], "Not Found", 0 )</f>
        <v>0</v>
      </c>
      <c r="Y1096" s="16">
        <f>_xlfn.XLOOKUP(CustomerCombinedCleaned[[#This Row],[ID]], Table2[ID],Table2[MC1], "Not Found", 0 )</f>
        <v>0</v>
      </c>
      <c r="Z1096" s="16">
        <f>_xlfn.XLOOKUP(CustomerCombinedCleaned[[#This Row],[ID]], Table2[ID],Table2[MC2], "Not Found", 0 )</f>
        <v>0</v>
      </c>
      <c r="AA1096" s="16">
        <f>_xlfn.XLOOKUP(CustomerCombinedCleaned[[#This Row],[ID]], Table2[ID],Table2[MC3], "Not Found", 0 )</f>
        <v>0</v>
      </c>
      <c r="AB1096" s="16">
        <f>_xlfn.XLOOKUP(CustomerCombinedCleaned[[#This Row],[ID]], Table2[ID],Table2[MC4], "Not Found", 0 )</f>
        <v>0</v>
      </c>
      <c r="AC1096" s="16">
        <f>_xlfn.XLOOKUP(CustomerCombinedCleaned[[#This Row],[ID]], Table2[ID],Table2[MC5], "Not Found", 0 )</f>
        <v>0</v>
      </c>
    </row>
    <row r="1097" spans="1:29" x14ac:dyDescent="0.3">
      <c r="A1097" s="18">
        <v>2649</v>
      </c>
      <c r="B1097" s="16">
        <v>169016</v>
      </c>
      <c r="C1097" s="16">
        <v>0</v>
      </c>
      <c r="D1097" s="16">
        <v>1</v>
      </c>
      <c r="E1097" s="16">
        <v>50</v>
      </c>
      <c r="F1097" s="17" t="s">
        <v>6</v>
      </c>
      <c r="G1097" s="17" t="s">
        <v>11</v>
      </c>
      <c r="H1097" s="3" t="s">
        <v>354</v>
      </c>
      <c r="I1097" s="5" t="s">
        <v>435</v>
      </c>
      <c r="J1097" s="16">
        <f>_xlfn.XLOOKUP(CustomerCombinedCleaned[[#This Row],[ID]], Table4[ID], Table4[Recency], "Not Found", 0)</f>
        <v>61</v>
      </c>
      <c r="K1097" s="16">
        <f>_xlfn.XLOOKUP(CustomerCombinedCleaned[[#This Row],[ID]], Table4[ID], Table4[Teas], "Not Found", 0)</f>
        <v>1778</v>
      </c>
      <c r="L1097" s="16">
        <f>_xlfn.XLOOKUP(CustomerCombinedCleaned[[#This Row],[ID]], Table4[ID], Table4[Fruits], "Not Found", 0)</f>
        <v>130</v>
      </c>
      <c r="M1097" s="16">
        <f>_xlfn.XLOOKUP(CustomerCombinedCleaned[[#This Row],[ID]], Table4[ID], Table4[Meats], "Not Found", 0)</f>
        <v>889</v>
      </c>
      <c r="N1097" s="16">
        <f>_xlfn.XLOOKUP(CustomerCombinedCleaned[[#This Row],[ID]], Table4[ID], Table4[Seafood], "Not Found", 0)</f>
        <v>301</v>
      </c>
      <c r="O1097" s="16">
        <f>_xlfn.XLOOKUP(CustomerCombinedCleaned[[#This Row],[ID]], Table4[ID], Table4[Sweets], "Not Found", 0)</f>
        <v>262</v>
      </c>
      <c r="P1097" s="16">
        <f>_xlfn.XLOOKUP(CustomerCombinedCleaned[[#This Row],[ID]], Table4[ID], Table4[Premium], "Not Found", 0)</f>
        <v>394</v>
      </c>
      <c r="Q1097" s="16">
        <f>_xlfn.XLOOKUP(CustomerCombinedCleaned[[#This Row],[ID]], Table4[ID], Table4[Regular], "Not Found", 0)</f>
        <v>2966</v>
      </c>
      <c r="R1097" s="16">
        <f>_xlfn.XLOOKUP(CustomerCombinedCleaned[[#This Row],[ID]], Table4[ID], Table4[Deals], "Not Found", 0)</f>
        <v>4</v>
      </c>
      <c r="S1097" s="16">
        <f>_xlfn.XLOOKUP(CustomerCombinedCleaned[[#This Row],[ID]], Table4[ID], Table4[Website], "Not Found", 0)</f>
        <v>8</v>
      </c>
      <c r="T1097" s="16">
        <f>_xlfn.XLOOKUP(CustomerCombinedCleaned[[#This Row],[ID]], Table4[ID], Table4[Catalog], "Not Found", 0)</f>
        <v>9</v>
      </c>
      <c r="U1097" s="16">
        <f>_xlfn.XLOOKUP(CustomerCombinedCleaned[[#This Row],[ID]], Table4[ID], Table4[Store], "Not Found", 0)</f>
        <v>13</v>
      </c>
      <c r="V1097" s="16">
        <f>_xlfn.XLOOKUP(CustomerCombinedCleaned[[#This Row],[ID]], Table4[ID], Table4[Visits], "Not Found", 0)</f>
        <v>5</v>
      </c>
      <c r="W1097" s="16">
        <f>_xlfn.XLOOKUP(CustomerCombinedCleaned[[#This Row],[ID]], Table2[ID],Table2[Complaint], "Not Found", 0 )</f>
        <v>0</v>
      </c>
      <c r="X1097" s="16">
        <f>_xlfn.XLOOKUP(CustomerCombinedCleaned[[#This Row],[ID]], Table2[ID],Table2[Pilot], "Not Found", 0 )</f>
        <v>0</v>
      </c>
      <c r="Y1097" s="16">
        <f>_xlfn.XLOOKUP(CustomerCombinedCleaned[[#This Row],[ID]], Table2[ID],Table2[MC1], "Not Found", 0 )</f>
        <v>0</v>
      </c>
      <c r="Z1097" s="16">
        <f>_xlfn.XLOOKUP(CustomerCombinedCleaned[[#This Row],[ID]], Table2[ID],Table2[MC2], "Not Found", 0 )</f>
        <v>0</v>
      </c>
      <c r="AA1097" s="16">
        <f>_xlfn.XLOOKUP(CustomerCombinedCleaned[[#This Row],[ID]], Table2[ID],Table2[MC3], "Not Found", 0 )</f>
        <v>0</v>
      </c>
      <c r="AB1097" s="16">
        <f>_xlfn.XLOOKUP(CustomerCombinedCleaned[[#This Row],[ID]], Table2[ID],Table2[MC4], "Not Found", 0 )</f>
        <v>0</v>
      </c>
      <c r="AC1097" s="16">
        <f>_xlfn.XLOOKUP(CustomerCombinedCleaned[[#This Row],[ID]], Table2[ID],Table2[MC5], "Not Found", 0 )</f>
        <v>0</v>
      </c>
    </row>
    <row r="1098" spans="1:29" x14ac:dyDescent="0.3">
      <c r="A1098" s="18">
        <v>1918</v>
      </c>
      <c r="B1098" s="16">
        <v>167536</v>
      </c>
      <c r="C1098" s="16">
        <v>0</v>
      </c>
      <c r="D1098" s="16">
        <v>1</v>
      </c>
      <c r="E1098" s="16">
        <v>50</v>
      </c>
      <c r="F1098" s="17" t="s">
        <v>6</v>
      </c>
      <c r="G1098" s="17" t="s">
        <v>13</v>
      </c>
      <c r="H1098" s="3" t="s">
        <v>249</v>
      </c>
      <c r="I1098" s="5" t="s">
        <v>439</v>
      </c>
      <c r="J1098" s="16">
        <f>_xlfn.XLOOKUP(CustomerCombinedCleaned[[#This Row],[ID]], Table4[ID], Table4[Recency], "Not Found", 0)</f>
        <v>45</v>
      </c>
      <c r="K1098" s="16">
        <f>_xlfn.XLOOKUP(CustomerCombinedCleaned[[#This Row],[ID]], Table4[ID], Table4[Teas], "Not Found", 0)</f>
        <v>3108</v>
      </c>
      <c r="L1098" s="16">
        <f>_xlfn.XLOOKUP(CustomerCombinedCleaned[[#This Row],[ID]], Table4[ID], Table4[Fruits], "Not Found", 0)</f>
        <v>0</v>
      </c>
      <c r="M1098" s="16">
        <f>_xlfn.XLOOKUP(CustomerCombinedCleaned[[#This Row],[ID]], Table4[ID], Table4[Meats], "Not Found", 0)</f>
        <v>1109</v>
      </c>
      <c r="N1098" s="16">
        <f>_xlfn.XLOOKUP(CustomerCombinedCleaned[[#This Row],[ID]], Table4[ID], Table4[Seafood], "Not Found", 0)</f>
        <v>57</v>
      </c>
      <c r="O1098" s="16">
        <f>_xlfn.XLOOKUP(CustomerCombinedCleaned[[#This Row],[ID]], Table4[ID], Table4[Sweets], "Not Found", 0)</f>
        <v>176</v>
      </c>
      <c r="P1098" s="16">
        <f>_xlfn.XLOOKUP(CustomerCombinedCleaned[[#This Row],[ID]], Table4[ID], Table4[Premium], "Not Found", 0)</f>
        <v>87</v>
      </c>
      <c r="Q1098" s="16">
        <f>_xlfn.XLOOKUP(CustomerCombinedCleaned[[#This Row],[ID]], Table4[ID], Table4[Regular], "Not Found", 0)</f>
        <v>4364</v>
      </c>
      <c r="R1098" s="16">
        <f>_xlfn.XLOOKUP(CustomerCombinedCleaned[[#This Row],[ID]], Table4[ID], Table4[Deals], "Not Found", 0)</f>
        <v>3</v>
      </c>
      <c r="S1098" s="16">
        <f>_xlfn.XLOOKUP(CustomerCombinedCleaned[[#This Row],[ID]], Table4[ID], Table4[Website], "Not Found", 0)</f>
        <v>11</v>
      </c>
      <c r="T1098" s="16">
        <f>_xlfn.XLOOKUP(CustomerCombinedCleaned[[#This Row],[ID]], Table4[ID], Table4[Catalog], "Not Found", 0)</f>
        <v>5</v>
      </c>
      <c r="U1098" s="16">
        <f>_xlfn.XLOOKUP(CustomerCombinedCleaned[[#This Row],[ID]], Table4[ID], Table4[Store], "Not Found", 0)</f>
        <v>11</v>
      </c>
      <c r="V1098" s="16">
        <f>_xlfn.XLOOKUP(CustomerCombinedCleaned[[#This Row],[ID]], Table4[ID], Table4[Visits], "Not Found", 0)</f>
        <v>8</v>
      </c>
      <c r="W1098" s="16">
        <f>_xlfn.XLOOKUP(CustomerCombinedCleaned[[#This Row],[ID]], Table2[ID],Table2[Complaint], "Not Found", 0 )</f>
        <v>0</v>
      </c>
      <c r="X1098" s="16">
        <f>_xlfn.XLOOKUP(CustomerCombinedCleaned[[#This Row],[ID]], Table2[ID],Table2[Pilot], "Not Found", 0 )</f>
        <v>0</v>
      </c>
      <c r="Y1098" s="16">
        <f>_xlfn.XLOOKUP(CustomerCombinedCleaned[[#This Row],[ID]], Table2[ID],Table2[MC1], "Not Found", 0 )</f>
        <v>1</v>
      </c>
      <c r="Z1098" s="16">
        <f>_xlfn.XLOOKUP(CustomerCombinedCleaned[[#This Row],[ID]], Table2[ID],Table2[MC2], "Not Found", 0 )</f>
        <v>0</v>
      </c>
      <c r="AA1098" s="16">
        <f>_xlfn.XLOOKUP(CustomerCombinedCleaned[[#This Row],[ID]], Table2[ID],Table2[MC3], "Not Found", 0 )</f>
        <v>0</v>
      </c>
      <c r="AB1098" s="16">
        <f>_xlfn.XLOOKUP(CustomerCombinedCleaned[[#This Row],[ID]], Table2[ID],Table2[MC4], "Not Found", 0 )</f>
        <v>0</v>
      </c>
      <c r="AC1098" s="16">
        <f>_xlfn.XLOOKUP(CustomerCombinedCleaned[[#This Row],[ID]], Table2[ID],Table2[MC5], "Not Found", 0 )</f>
        <v>0</v>
      </c>
    </row>
    <row r="1099" spans="1:29" x14ac:dyDescent="0.3">
      <c r="A1099" s="18">
        <v>2445</v>
      </c>
      <c r="B1099" s="16">
        <v>167419</v>
      </c>
      <c r="C1099" s="16">
        <v>0</v>
      </c>
      <c r="D1099" s="16">
        <v>1</v>
      </c>
      <c r="E1099" s="16">
        <v>50</v>
      </c>
      <c r="F1099" s="17" t="s">
        <v>8</v>
      </c>
      <c r="G1099" s="17" t="s">
        <v>11</v>
      </c>
      <c r="H1099" s="3" t="s">
        <v>324</v>
      </c>
      <c r="I1099" s="5" t="s">
        <v>435</v>
      </c>
      <c r="J1099" s="16">
        <f>_xlfn.XLOOKUP(CustomerCombinedCleaned[[#This Row],[ID]], Table4[ID], Table4[Recency], "Not Found", 0)</f>
        <v>29</v>
      </c>
      <c r="K1099" s="16">
        <f>_xlfn.XLOOKUP(CustomerCombinedCleaned[[#This Row],[ID]], Table4[ID], Table4[Teas], "Not Found", 0)</f>
        <v>2101</v>
      </c>
      <c r="L1099" s="16">
        <f>_xlfn.XLOOKUP(CustomerCombinedCleaned[[#This Row],[ID]], Table4[ID], Table4[Fruits], "Not Found", 0)</f>
        <v>209</v>
      </c>
      <c r="M1099" s="16">
        <f>_xlfn.XLOOKUP(CustomerCombinedCleaned[[#This Row],[ID]], Table4[ID], Table4[Meats], "Not Found", 0)</f>
        <v>874</v>
      </c>
      <c r="N1099" s="16">
        <f>_xlfn.XLOOKUP(CustomerCombinedCleaned[[#This Row],[ID]], Table4[ID], Table4[Seafood], "Not Found", 0)</f>
        <v>226</v>
      </c>
      <c r="O1099" s="16">
        <f>_xlfn.XLOOKUP(CustomerCombinedCleaned[[#This Row],[ID]], Table4[ID], Table4[Sweets], "Not Found", 0)</f>
        <v>139</v>
      </c>
      <c r="P1099" s="16">
        <f>_xlfn.XLOOKUP(CustomerCombinedCleaned[[#This Row],[ID]], Table4[ID], Table4[Premium], "Not Found", 0)</f>
        <v>104</v>
      </c>
      <c r="Q1099" s="16">
        <f>_xlfn.XLOOKUP(CustomerCombinedCleaned[[#This Row],[ID]], Table4[ID], Table4[Regular], "Not Found", 0)</f>
        <v>3444</v>
      </c>
      <c r="R1099" s="16">
        <f>_xlfn.XLOOKUP(CustomerCombinedCleaned[[#This Row],[ID]], Table4[ID], Table4[Deals], "Not Found", 0)</f>
        <v>4</v>
      </c>
      <c r="S1099" s="16">
        <f>_xlfn.XLOOKUP(CustomerCombinedCleaned[[#This Row],[ID]], Table4[ID], Table4[Website], "Not Found", 0)</f>
        <v>9</v>
      </c>
      <c r="T1099" s="16">
        <f>_xlfn.XLOOKUP(CustomerCombinedCleaned[[#This Row],[ID]], Table4[ID], Table4[Catalog], "Not Found", 0)</f>
        <v>4</v>
      </c>
      <c r="U1099" s="16">
        <f>_xlfn.XLOOKUP(CustomerCombinedCleaned[[#This Row],[ID]], Table4[ID], Table4[Store], "Not Found", 0)</f>
        <v>8</v>
      </c>
      <c r="V1099" s="16">
        <f>_xlfn.XLOOKUP(CustomerCombinedCleaned[[#This Row],[ID]], Table4[ID], Table4[Visits], "Not Found", 0)</f>
        <v>5</v>
      </c>
      <c r="W1099" s="16">
        <f>_xlfn.XLOOKUP(CustomerCombinedCleaned[[#This Row],[ID]], Table2[ID],Table2[Complaint], "Not Found", 0 )</f>
        <v>0</v>
      </c>
      <c r="X1099" s="16">
        <f>_xlfn.XLOOKUP(CustomerCombinedCleaned[[#This Row],[ID]], Table2[ID],Table2[Pilot], "Not Found", 0 )</f>
        <v>0</v>
      </c>
      <c r="Y1099" s="16">
        <f>_xlfn.XLOOKUP(CustomerCombinedCleaned[[#This Row],[ID]], Table2[ID],Table2[MC1], "Not Found", 0 )</f>
        <v>0</v>
      </c>
      <c r="Z1099" s="16">
        <f>_xlfn.XLOOKUP(CustomerCombinedCleaned[[#This Row],[ID]], Table2[ID],Table2[MC2], "Not Found", 0 )</f>
        <v>0</v>
      </c>
      <c r="AA1099" s="16">
        <f>_xlfn.XLOOKUP(CustomerCombinedCleaned[[#This Row],[ID]], Table2[ID],Table2[MC3], "Not Found", 0 )</f>
        <v>0</v>
      </c>
      <c r="AB1099" s="16">
        <f>_xlfn.XLOOKUP(CustomerCombinedCleaned[[#This Row],[ID]], Table2[ID],Table2[MC4], "Not Found", 0 )</f>
        <v>0</v>
      </c>
      <c r="AC1099" s="16">
        <f>_xlfn.XLOOKUP(CustomerCombinedCleaned[[#This Row],[ID]], Table2[ID],Table2[MC5], "Not Found", 0 )</f>
        <v>0</v>
      </c>
    </row>
    <row r="1100" spans="1:29" x14ac:dyDescent="0.3">
      <c r="A1100" s="18">
        <v>2886</v>
      </c>
      <c r="B1100" s="16">
        <v>167384</v>
      </c>
      <c r="C1100" s="16">
        <v>0</v>
      </c>
      <c r="D1100" s="16">
        <v>1</v>
      </c>
      <c r="E1100" s="16">
        <v>50</v>
      </c>
      <c r="F1100" s="17" t="s">
        <v>7</v>
      </c>
      <c r="G1100" s="17" t="s">
        <v>11</v>
      </c>
      <c r="H1100" s="3" t="s">
        <v>365</v>
      </c>
      <c r="I1100" s="5" t="s">
        <v>436</v>
      </c>
      <c r="J1100" s="16">
        <f>_xlfn.XLOOKUP(CustomerCombinedCleaned[[#This Row],[ID]], Table4[ID], Table4[Recency], "Not Found", 0)</f>
        <v>32</v>
      </c>
      <c r="K1100" s="16">
        <f>_xlfn.XLOOKUP(CustomerCombinedCleaned[[#This Row],[ID]], Table4[ID], Table4[Teas], "Not Found", 0)</f>
        <v>2377</v>
      </c>
      <c r="L1100" s="16">
        <f>_xlfn.XLOOKUP(CustomerCombinedCleaned[[#This Row],[ID]], Table4[ID], Table4[Fruits], "Not Found", 0)</f>
        <v>99</v>
      </c>
      <c r="M1100" s="16">
        <f>_xlfn.XLOOKUP(CustomerCombinedCleaned[[#This Row],[ID]], Table4[ID], Table4[Meats], "Not Found", 0)</f>
        <v>435</v>
      </c>
      <c r="N1100" s="16">
        <f>_xlfn.XLOOKUP(CustomerCombinedCleaned[[#This Row],[ID]], Table4[ID], Table4[Seafood], "Not Found", 0)</f>
        <v>392</v>
      </c>
      <c r="O1100" s="16">
        <f>_xlfn.XLOOKUP(CustomerCombinedCleaned[[#This Row],[ID]], Table4[ID], Table4[Sweets], "Not Found", 0)</f>
        <v>132</v>
      </c>
      <c r="P1100" s="16">
        <f>_xlfn.XLOOKUP(CustomerCombinedCleaned[[#This Row],[ID]], Table4[ID], Table4[Premium], "Not Found", 0)</f>
        <v>266</v>
      </c>
      <c r="Q1100" s="16">
        <f>_xlfn.XLOOKUP(CustomerCombinedCleaned[[#This Row],[ID]], Table4[ID], Table4[Regular], "Not Found", 0)</f>
        <v>3170</v>
      </c>
      <c r="R1100" s="16">
        <f>_xlfn.XLOOKUP(CustomerCombinedCleaned[[#This Row],[ID]], Table4[ID], Table4[Deals], "Not Found", 0)</f>
        <v>2</v>
      </c>
      <c r="S1100" s="16">
        <f>_xlfn.XLOOKUP(CustomerCombinedCleaned[[#This Row],[ID]], Table4[ID], Table4[Website], "Not Found", 0)</f>
        <v>7</v>
      </c>
      <c r="T1100" s="16">
        <f>_xlfn.XLOOKUP(CustomerCombinedCleaned[[#This Row],[ID]], Table4[ID], Table4[Catalog], "Not Found", 0)</f>
        <v>8</v>
      </c>
      <c r="U1100" s="16">
        <f>_xlfn.XLOOKUP(CustomerCombinedCleaned[[#This Row],[ID]], Table4[ID], Table4[Store], "Not Found", 0)</f>
        <v>5</v>
      </c>
      <c r="V1100" s="16">
        <f>_xlfn.XLOOKUP(CustomerCombinedCleaned[[#This Row],[ID]], Table4[ID], Table4[Visits], "Not Found", 0)</f>
        <v>5</v>
      </c>
      <c r="W1100" s="16">
        <f>_xlfn.XLOOKUP(CustomerCombinedCleaned[[#This Row],[ID]], Table2[ID],Table2[Complaint], "Not Found", 0 )</f>
        <v>0</v>
      </c>
      <c r="X1100" s="16">
        <f>_xlfn.XLOOKUP(CustomerCombinedCleaned[[#This Row],[ID]], Table2[ID],Table2[Pilot], "Not Found", 0 )</f>
        <v>0</v>
      </c>
      <c r="Y1100" s="16">
        <f>_xlfn.XLOOKUP(CustomerCombinedCleaned[[#This Row],[ID]], Table2[ID],Table2[MC1], "Not Found", 0 )</f>
        <v>0</v>
      </c>
      <c r="Z1100" s="16">
        <f>_xlfn.XLOOKUP(CustomerCombinedCleaned[[#This Row],[ID]], Table2[ID],Table2[MC2], "Not Found", 0 )</f>
        <v>0</v>
      </c>
      <c r="AA1100" s="16">
        <f>_xlfn.XLOOKUP(CustomerCombinedCleaned[[#This Row],[ID]], Table2[ID],Table2[MC3], "Not Found", 0 )</f>
        <v>0</v>
      </c>
      <c r="AB1100" s="16">
        <f>_xlfn.XLOOKUP(CustomerCombinedCleaned[[#This Row],[ID]], Table2[ID],Table2[MC4], "Not Found", 0 )</f>
        <v>1</v>
      </c>
      <c r="AC1100" s="16">
        <f>_xlfn.XLOOKUP(CustomerCombinedCleaned[[#This Row],[ID]], Table2[ID],Table2[MC5], "Not Found", 0 )</f>
        <v>0</v>
      </c>
    </row>
    <row r="1101" spans="1:29" x14ac:dyDescent="0.3">
      <c r="A1101" s="18">
        <v>1035</v>
      </c>
      <c r="B1101" s="16">
        <v>167353</v>
      </c>
      <c r="C1101" s="16">
        <v>0</v>
      </c>
      <c r="D1101" s="16">
        <v>1</v>
      </c>
      <c r="E1101" s="16">
        <v>50</v>
      </c>
      <c r="F1101" s="17" t="s">
        <v>6</v>
      </c>
      <c r="G1101" s="17" t="s">
        <v>13</v>
      </c>
      <c r="H1101" s="3" t="s">
        <v>575</v>
      </c>
      <c r="I1101" s="5" t="s">
        <v>435</v>
      </c>
      <c r="J1101" s="16">
        <f>_xlfn.XLOOKUP(CustomerCombinedCleaned[[#This Row],[ID]], Table4[ID], Table4[Recency], "Not Found", 0)</f>
        <v>37</v>
      </c>
      <c r="K1101" s="16">
        <f>_xlfn.XLOOKUP(CustomerCombinedCleaned[[#This Row],[ID]], Table4[ID], Table4[Teas], "Not Found", 0)</f>
        <v>1744</v>
      </c>
      <c r="L1101" s="16">
        <f>_xlfn.XLOOKUP(CustomerCombinedCleaned[[#This Row],[ID]], Table4[ID], Table4[Fruits], "Not Found", 0)</f>
        <v>42</v>
      </c>
      <c r="M1101" s="16">
        <f>_xlfn.XLOOKUP(CustomerCombinedCleaned[[#This Row],[ID]], Table4[ID], Table4[Meats], "Not Found", 0)</f>
        <v>375</v>
      </c>
      <c r="N1101" s="16">
        <f>_xlfn.XLOOKUP(CustomerCombinedCleaned[[#This Row],[ID]], Table4[ID], Table4[Seafood], "Not Found", 0)</f>
        <v>0</v>
      </c>
      <c r="O1101" s="16">
        <f>_xlfn.XLOOKUP(CustomerCombinedCleaned[[#This Row],[ID]], Table4[ID], Table4[Sweets], "Not Found", 0)</f>
        <v>20</v>
      </c>
      <c r="P1101" s="16">
        <f>_xlfn.XLOOKUP(CustomerCombinedCleaned[[#This Row],[ID]], Table4[ID], Table4[Premium], "Not Found", 0)</f>
        <v>87</v>
      </c>
      <c r="Q1101" s="16">
        <f>_xlfn.XLOOKUP(CustomerCombinedCleaned[[#This Row],[ID]], Table4[ID], Table4[Regular], "Not Found", 0)</f>
        <v>2095</v>
      </c>
      <c r="R1101" s="16">
        <f>_xlfn.XLOOKUP(CustomerCombinedCleaned[[#This Row],[ID]], Table4[ID], Table4[Deals], "Not Found", 0)</f>
        <v>5</v>
      </c>
      <c r="S1101" s="16">
        <f>_xlfn.XLOOKUP(CustomerCombinedCleaned[[#This Row],[ID]], Table4[ID], Table4[Website], "Not Found", 0)</f>
        <v>5</v>
      </c>
      <c r="T1101" s="16">
        <f>_xlfn.XLOOKUP(CustomerCombinedCleaned[[#This Row],[ID]], Table4[ID], Table4[Catalog], "Not Found", 0)</f>
        <v>6</v>
      </c>
      <c r="U1101" s="16">
        <f>_xlfn.XLOOKUP(CustomerCombinedCleaned[[#This Row],[ID]], Table4[ID], Table4[Store], "Not Found", 0)</f>
        <v>12</v>
      </c>
      <c r="V1101" s="16">
        <f>_xlfn.XLOOKUP(CustomerCombinedCleaned[[#This Row],[ID]], Table4[ID], Table4[Visits], "Not Found", 0)</f>
        <v>2</v>
      </c>
      <c r="W1101" s="16">
        <f>_xlfn.XLOOKUP(CustomerCombinedCleaned[[#This Row],[ID]], Table2[ID],Table2[Complaint], "Not Found", 0 )</f>
        <v>0</v>
      </c>
      <c r="X1101" s="16">
        <f>_xlfn.XLOOKUP(CustomerCombinedCleaned[[#This Row],[ID]], Table2[ID],Table2[Pilot], "Not Found", 0 )</f>
        <v>0</v>
      </c>
      <c r="Y1101" s="16">
        <f>_xlfn.XLOOKUP(CustomerCombinedCleaned[[#This Row],[ID]], Table2[ID],Table2[MC1], "Not Found", 0 )</f>
        <v>0</v>
      </c>
      <c r="Z1101" s="16">
        <f>_xlfn.XLOOKUP(CustomerCombinedCleaned[[#This Row],[ID]], Table2[ID],Table2[MC2], "Not Found", 0 )</f>
        <v>0</v>
      </c>
      <c r="AA1101" s="16">
        <f>_xlfn.XLOOKUP(CustomerCombinedCleaned[[#This Row],[ID]], Table2[ID],Table2[MC3], "Not Found", 0 )</f>
        <v>0</v>
      </c>
      <c r="AB1101" s="16">
        <f>_xlfn.XLOOKUP(CustomerCombinedCleaned[[#This Row],[ID]], Table2[ID],Table2[MC4], "Not Found", 0 )</f>
        <v>0</v>
      </c>
      <c r="AC1101" s="16">
        <f>_xlfn.XLOOKUP(CustomerCombinedCleaned[[#This Row],[ID]], Table2[ID],Table2[MC5], "Not Found", 0 )</f>
        <v>0</v>
      </c>
    </row>
    <row r="1102" spans="1:29" x14ac:dyDescent="0.3">
      <c r="A1102" s="18">
        <v>1654</v>
      </c>
      <c r="B1102" s="16">
        <v>166731</v>
      </c>
      <c r="C1102" s="16">
        <v>0</v>
      </c>
      <c r="D1102" s="16">
        <v>1</v>
      </c>
      <c r="E1102" s="16">
        <v>50</v>
      </c>
      <c r="F1102" s="17" t="s">
        <v>9</v>
      </c>
      <c r="G1102" s="17" t="s">
        <v>11</v>
      </c>
      <c r="H1102" s="3" t="s">
        <v>397</v>
      </c>
      <c r="I1102" s="5" t="s">
        <v>439</v>
      </c>
      <c r="J1102" s="16">
        <f>_xlfn.XLOOKUP(CustomerCombinedCleaned[[#This Row],[ID]], Table4[ID], Table4[Recency], "Not Found", 0)</f>
        <v>33</v>
      </c>
      <c r="K1102" s="16">
        <f>_xlfn.XLOOKUP(CustomerCombinedCleaned[[#This Row],[ID]], Table4[ID], Table4[Teas], "Not Found", 0)</f>
        <v>927</v>
      </c>
      <c r="L1102" s="16">
        <f>_xlfn.XLOOKUP(CustomerCombinedCleaned[[#This Row],[ID]], Table4[ID], Table4[Fruits], "Not Found", 0)</f>
        <v>397</v>
      </c>
      <c r="M1102" s="16">
        <f>_xlfn.XLOOKUP(CustomerCombinedCleaned[[#This Row],[ID]], Table4[ID], Table4[Meats], "Not Found", 0)</f>
        <v>485</v>
      </c>
      <c r="N1102" s="16">
        <f>_xlfn.XLOOKUP(CustomerCombinedCleaned[[#This Row],[ID]], Table4[ID], Table4[Seafood], "Not Found", 0)</f>
        <v>145</v>
      </c>
      <c r="O1102" s="16">
        <f>_xlfn.XLOOKUP(CustomerCombinedCleaned[[#This Row],[ID]], Table4[ID], Table4[Sweets], "Not Found", 0)</f>
        <v>265</v>
      </c>
      <c r="P1102" s="16">
        <f>_xlfn.XLOOKUP(CustomerCombinedCleaned[[#This Row],[ID]], Table4[ID], Table4[Premium], "Not Found", 0)</f>
        <v>352</v>
      </c>
      <c r="Q1102" s="16">
        <f>_xlfn.XLOOKUP(CustomerCombinedCleaned[[#This Row],[ID]], Table4[ID], Table4[Regular], "Not Found", 0)</f>
        <v>1866</v>
      </c>
      <c r="R1102" s="16">
        <f>_xlfn.XLOOKUP(CustomerCombinedCleaned[[#This Row],[ID]], Table4[ID], Table4[Deals], "Not Found", 0)</f>
        <v>4</v>
      </c>
      <c r="S1102" s="16">
        <f>_xlfn.XLOOKUP(CustomerCombinedCleaned[[#This Row],[ID]], Table4[ID], Table4[Website], "Not Found", 0)</f>
        <v>4</v>
      </c>
      <c r="T1102" s="16">
        <f>_xlfn.XLOOKUP(CustomerCombinedCleaned[[#This Row],[ID]], Table4[ID], Table4[Catalog], "Not Found", 0)</f>
        <v>3</v>
      </c>
      <c r="U1102" s="16">
        <f>_xlfn.XLOOKUP(CustomerCombinedCleaned[[#This Row],[ID]], Table4[ID], Table4[Store], "Not Found", 0)</f>
        <v>6</v>
      </c>
      <c r="V1102" s="16">
        <f>_xlfn.XLOOKUP(CustomerCombinedCleaned[[#This Row],[ID]], Table4[ID], Table4[Visits], "Not Found", 0)</f>
        <v>3</v>
      </c>
      <c r="W1102" s="16">
        <f>_xlfn.XLOOKUP(CustomerCombinedCleaned[[#This Row],[ID]], Table2[ID],Table2[Complaint], "Not Found", 0 )</f>
        <v>0</v>
      </c>
      <c r="X1102" s="16">
        <f>_xlfn.XLOOKUP(CustomerCombinedCleaned[[#This Row],[ID]], Table2[ID],Table2[Pilot], "Not Found", 0 )</f>
        <v>0</v>
      </c>
      <c r="Y1102" s="16">
        <f>_xlfn.XLOOKUP(CustomerCombinedCleaned[[#This Row],[ID]], Table2[ID],Table2[MC1], "Not Found", 0 )</f>
        <v>0</v>
      </c>
      <c r="Z1102" s="16">
        <f>_xlfn.XLOOKUP(CustomerCombinedCleaned[[#This Row],[ID]], Table2[ID],Table2[MC2], "Not Found", 0 )</f>
        <v>0</v>
      </c>
      <c r="AA1102" s="16">
        <f>_xlfn.XLOOKUP(CustomerCombinedCleaned[[#This Row],[ID]], Table2[ID],Table2[MC3], "Not Found", 0 )</f>
        <v>0</v>
      </c>
      <c r="AB1102" s="16">
        <f>_xlfn.XLOOKUP(CustomerCombinedCleaned[[#This Row],[ID]], Table2[ID],Table2[MC4], "Not Found", 0 )</f>
        <v>0</v>
      </c>
      <c r="AC1102" s="16">
        <f>_xlfn.XLOOKUP(CustomerCombinedCleaned[[#This Row],[ID]], Table2[ID],Table2[MC5], "Not Found", 0 )</f>
        <v>0</v>
      </c>
    </row>
    <row r="1103" spans="1:29" x14ac:dyDescent="0.3">
      <c r="A1103" s="18">
        <v>1796</v>
      </c>
      <c r="B1103" s="16">
        <v>165968</v>
      </c>
      <c r="C1103" s="16">
        <v>0</v>
      </c>
      <c r="D1103" s="16">
        <v>1</v>
      </c>
      <c r="E1103" s="16">
        <v>50</v>
      </c>
      <c r="F1103" s="17" t="s">
        <v>8</v>
      </c>
      <c r="G1103" s="17" t="s">
        <v>13</v>
      </c>
      <c r="H1103" s="3" t="s">
        <v>52</v>
      </c>
      <c r="I1103" s="5" t="s">
        <v>438</v>
      </c>
      <c r="J1103" s="16">
        <f>_xlfn.XLOOKUP(CustomerCombinedCleaned[[#This Row],[ID]], Table4[ID], Table4[Recency], "Not Found", 0)</f>
        <v>12</v>
      </c>
      <c r="K1103" s="16">
        <f>_xlfn.XLOOKUP(CustomerCombinedCleaned[[#This Row],[ID]], Table4[ID], Table4[Teas], "Not Found", 0)</f>
        <v>946</v>
      </c>
      <c r="L1103" s="16">
        <f>_xlfn.XLOOKUP(CustomerCombinedCleaned[[#This Row],[ID]], Table4[ID], Table4[Fruits], "Not Found", 0)</f>
        <v>23</v>
      </c>
      <c r="M1103" s="16">
        <f>_xlfn.XLOOKUP(CustomerCombinedCleaned[[#This Row],[ID]], Table4[ID], Table4[Meats], "Not Found", 0)</f>
        <v>209</v>
      </c>
      <c r="N1103" s="16">
        <f>_xlfn.XLOOKUP(CustomerCombinedCleaned[[#This Row],[ID]], Table4[ID], Table4[Seafood], "Not Found", 0)</f>
        <v>48</v>
      </c>
      <c r="O1103" s="16">
        <f>_xlfn.XLOOKUP(CustomerCombinedCleaned[[#This Row],[ID]], Table4[ID], Table4[Sweets], "Not Found", 0)</f>
        <v>10</v>
      </c>
      <c r="P1103" s="16">
        <f>_xlfn.XLOOKUP(CustomerCombinedCleaned[[#This Row],[ID]], Table4[ID], Table4[Premium], "Not Found", 0)</f>
        <v>10</v>
      </c>
      <c r="Q1103" s="16">
        <f>_xlfn.XLOOKUP(CustomerCombinedCleaned[[#This Row],[ID]], Table4[ID], Table4[Regular], "Not Found", 0)</f>
        <v>1225</v>
      </c>
      <c r="R1103" s="16">
        <f>_xlfn.XLOOKUP(CustomerCombinedCleaned[[#This Row],[ID]], Table4[ID], Table4[Deals], "Not Found", 0)</f>
        <v>2</v>
      </c>
      <c r="S1103" s="16">
        <f>_xlfn.XLOOKUP(CustomerCombinedCleaned[[#This Row],[ID]], Table4[ID], Table4[Website], "Not Found", 0)</f>
        <v>5</v>
      </c>
      <c r="T1103" s="16">
        <f>_xlfn.XLOOKUP(CustomerCombinedCleaned[[#This Row],[ID]], Table4[ID], Table4[Catalog], "Not Found", 0)</f>
        <v>4</v>
      </c>
      <c r="U1103" s="16">
        <f>_xlfn.XLOOKUP(CustomerCombinedCleaned[[#This Row],[ID]], Table4[ID], Table4[Store], "Not Found", 0)</f>
        <v>7</v>
      </c>
      <c r="V1103" s="16">
        <f>_xlfn.XLOOKUP(CustomerCombinedCleaned[[#This Row],[ID]], Table4[ID], Table4[Visits], "Not Found", 0)</f>
        <v>3</v>
      </c>
      <c r="W1103" s="16">
        <f>_xlfn.XLOOKUP(CustomerCombinedCleaned[[#This Row],[ID]], Table2[ID],Table2[Complaint], "Not Found", 0 )</f>
        <v>0</v>
      </c>
      <c r="X1103" s="16">
        <f>_xlfn.XLOOKUP(CustomerCombinedCleaned[[#This Row],[ID]], Table2[ID],Table2[Pilot], "Not Found", 0 )</f>
        <v>0</v>
      </c>
      <c r="Y1103" s="16">
        <f>_xlfn.XLOOKUP(CustomerCombinedCleaned[[#This Row],[ID]], Table2[ID],Table2[MC1], "Not Found", 0 )</f>
        <v>0</v>
      </c>
      <c r="Z1103" s="16">
        <f>_xlfn.XLOOKUP(CustomerCombinedCleaned[[#This Row],[ID]], Table2[ID],Table2[MC2], "Not Found", 0 )</f>
        <v>0</v>
      </c>
      <c r="AA1103" s="16">
        <f>_xlfn.XLOOKUP(CustomerCombinedCleaned[[#This Row],[ID]], Table2[ID],Table2[MC3], "Not Found", 0 )</f>
        <v>0</v>
      </c>
      <c r="AB1103" s="16">
        <f>_xlfn.XLOOKUP(CustomerCombinedCleaned[[#This Row],[ID]], Table2[ID],Table2[MC4], "Not Found", 0 )</f>
        <v>0</v>
      </c>
      <c r="AC1103" s="16">
        <f>_xlfn.XLOOKUP(CustomerCombinedCleaned[[#This Row],[ID]], Table2[ID],Table2[MC5], "Not Found", 0 )</f>
        <v>0</v>
      </c>
    </row>
    <row r="1104" spans="1:29" x14ac:dyDescent="0.3">
      <c r="A1104" s="18">
        <v>3139</v>
      </c>
      <c r="B1104" s="16">
        <v>165706</v>
      </c>
      <c r="C1104" s="16">
        <v>0</v>
      </c>
      <c r="D1104" s="16">
        <v>0</v>
      </c>
      <c r="E1104" s="16">
        <v>50</v>
      </c>
      <c r="F1104" s="17" t="s">
        <v>5</v>
      </c>
      <c r="G1104" s="17" t="s">
        <v>11</v>
      </c>
      <c r="H1104" s="3" t="s">
        <v>694</v>
      </c>
      <c r="I1104" s="5" t="s">
        <v>437</v>
      </c>
      <c r="J1104" s="16">
        <f>_xlfn.XLOOKUP(CustomerCombinedCleaned[[#This Row],[ID]], Table4[ID], Table4[Recency], "Not Found", 0)</f>
        <v>77</v>
      </c>
      <c r="K1104" s="16">
        <f>_xlfn.XLOOKUP(CustomerCombinedCleaned[[#This Row],[ID]], Table4[ID], Table4[Teas], "Not Found", 0)</f>
        <v>2315</v>
      </c>
      <c r="L1104" s="16">
        <f>_xlfn.XLOOKUP(CustomerCombinedCleaned[[#This Row],[ID]], Table4[ID], Table4[Fruits], "Not Found", 0)</f>
        <v>25</v>
      </c>
      <c r="M1104" s="16">
        <f>_xlfn.XLOOKUP(CustomerCombinedCleaned[[#This Row],[ID]], Table4[ID], Table4[Meats], "Not Found", 0)</f>
        <v>325</v>
      </c>
      <c r="N1104" s="16">
        <f>_xlfn.XLOOKUP(CustomerCombinedCleaned[[#This Row],[ID]], Table4[ID], Table4[Seafood], "Not Found", 0)</f>
        <v>33</v>
      </c>
      <c r="O1104" s="16">
        <f>_xlfn.XLOOKUP(CustomerCombinedCleaned[[#This Row],[ID]], Table4[ID], Table4[Sweets], "Not Found", 0)</f>
        <v>0</v>
      </c>
      <c r="P1104" s="16">
        <f>_xlfn.XLOOKUP(CustomerCombinedCleaned[[#This Row],[ID]], Table4[ID], Table4[Premium], "Not Found", 0)</f>
        <v>325</v>
      </c>
      <c r="Q1104" s="16">
        <f>_xlfn.XLOOKUP(CustomerCombinedCleaned[[#This Row],[ID]], Table4[ID], Table4[Regular], "Not Found", 0)</f>
        <v>2373</v>
      </c>
      <c r="R1104" s="16">
        <f>_xlfn.XLOOKUP(CustomerCombinedCleaned[[#This Row],[ID]], Table4[ID], Table4[Deals], "Not Found", 0)</f>
        <v>1</v>
      </c>
      <c r="S1104" s="16">
        <f>_xlfn.XLOOKUP(CustomerCombinedCleaned[[#This Row],[ID]], Table4[ID], Table4[Website], "Not Found", 0)</f>
        <v>11</v>
      </c>
      <c r="T1104" s="16">
        <f>_xlfn.XLOOKUP(CustomerCombinedCleaned[[#This Row],[ID]], Table4[ID], Table4[Catalog], "Not Found", 0)</f>
        <v>3</v>
      </c>
      <c r="U1104" s="16">
        <f>_xlfn.XLOOKUP(CustomerCombinedCleaned[[#This Row],[ID]], Table4[ID], Table4[Store], "Not Found", 0)</f>
        <v>12</v>
      </c>
      <c r="V1104" s="16">
        <f>_xlfn.XLOOKUP(CustomerCombinedCleaned[[#This Row],[ID]], Table4[ID], Table4[Visits], "Not Found", 0)</f>
        <v>7</v>
      </c>
      <c r="W1104" s="16">
        <f>_xlfn.XLOOKUP(CustomerCombinedCleaned[[#This Row],[ID]], Table2[ID],Table2[Complaint], "Not Found", 0 )</f>
        <v>0</v>
      </c>
      <c r="X1104" s="16">
        <f>_xlfn.XLOOKUP(CustomerCombinedCleaned[[#This Row],[ID]], Table2[ID],Table2[Pilot], "Not Found", 0 )</f>
        <v>1</v>
      </c>
      <c r="Y1104" s="16">
        <f>_xlfn.XLOOKUP(CustomerCombinedCleaned[[#This Row],[ID]], Table2[ID],Table2[MC1], "Not Found", 0 )</f>
        <v>0</v>
      </c>
      <c r="Z1104" s="16">
        <f>_xlfn.XLOOKUP(CustomerCombinedCleaned[[#This Row],[ID]], Table2[ID],Table2[MC2], "Not Found", 0 )</f>
        <v>1</v>
      </c>
      <c r="AA1104" s="16">
        <f>_xlfn.XLOOKUP(CustomerCombinedCleaned[[#This Row],[ID]], Table2[ID],Table2[MC3], "Not Found", 0 )</f>
        <v>0</v>
      </c>
      <c r="AB1104" s="16">
        <f>_xlfn.XLOOKUP(CustomerCombinedCleaned[[#This Row],[ID]], Table2[ID],Table2[MC4], "Not Found", 0 )</f>
        <v>1</v>
      </c>
      <c r="AC1104" s="16">
        <f>_xlfn.XLOOKUP(CustomerCombinedCleaned[[#This Row],[ID]], Table2[ID],Table2[MC5], "Not Found", 0 )</f>
        <v>1</v>
      </c>
    </row>
    <row r="1105" spans="1:29" x14ac:dyDescent="0.3">
      <c r="A1105" s="18">
        <v>3048</v>
      </c>
      <c r="B1105" s="16">
        <v>164713</v>
      </c>
      <c r="C1105" s="16">
        <v>1</v>
      </c>
      <c r="D1105" s="16">
        <v>0</v>
      </c>
      <c r="E1105" s="16">
        <v>50</v>
      </c>
      <c r="F1105" s="17" t="s">
        <v>5</v>
      </c>
      <c r="G1105" s="17" t="s">
        <v>11</v>
      </c>
      <c r="H1105" s="3" t="s">
        <v>106</v>
      </c>
      <c r="I1105" s="5" t="s">
        <v>436</v>
      </c>
      <c r="J1105" s="16">
        <f>_xlfn.XLOOKUP(CustomerCombinedCleaned[[#This Row],[ID]], Table4[ID], Table4[Recency], "Not Found", 0)</f>
        <v>11</v>
      </c>
      <c r="K1105" s="16">
        <f>_xlfn.XLOOKUP(CustomerCombinedCleaned[[#This Row],[ID]], Table4[ID], Table4[Teas], "Not Found", 0)</f>
        <v>458</v>
      </c>
      <c r="L1105" s="16">
        <f>_xlfn.XLOOKUP(CustomerCombinedCleaned[[#This Row],[ID]], Table4[ID], Table4[Fruits], "Not Found", 0)</f>
        <v>153</v>
      </c>
      <c r="M1105" s="16">
        <f>_xlfn.XLOOKUP(CustomerCombinedCleaned[[#This Row],[ID]], Table4[ID], Table4[Meats], "Not Found", 0)</f>
        <v>613</v>
      </c>
      <c r="N1105" s="16">
        <f>_xlfn.XLOOKUP(CustomerCombinedCleaned[[#This Row],[ID]], Table4[ID], Table4[Seafood], "Not Found", 0)</f>
        <v>33</v>
      </c>
      <c r="O1105" s="16">
        <f>_xlfn.XLOOKUP(CustomerCombinedCleaned[[#This Row],[ID]], Table4[ID], Table4[Sweets], "Not Found", 0)</f>
        <v>137</v>
      </c>
      <c r="P1105" s="16">
        <f>_xlfn.XLOOKUP(CustomerCombinedCleaned[[#This Row],[ID]], Table4[ID], Table4[Premium], "Not Found", 0)</f>
        <v>137</v>
      </c>
      <c r="Q1105" s="16">
        <f>_xlfn.XLOOKUP(CustomerCombinedCleaned[[#This Row],[ID]], Table4[ID], Table4[Regular], "Not Found", 0)</f>
        <v>1257</v>
      </c>
      <c r="R1105" s="16">
        <f>_xlfn.XLOOKUP(CustomerCombinedCleaned[[#This Row],[ID]], Table4[ID], Table4[Deals], "Not Found", 0)</f>
        <v>2</v>
      </c>
      <c r="S1105" s="16">
        <f>_xlfn.XLOOKUP(CustomerCombinedCleaned[[#This Row],[ID]], Table4[ID], Table4[Website], "Not Found", 0)</f>
        <v>5</v>
      </c>
      <c r="T1105" s="16">
        <f>_xlfn.XLOOKUP(CustomerCombinedCleaned[[#This Row],[ID]], Table4[ID], Table4[Catalog], "Not Found", 0)</f>
        <v>5</v>
      </c>
      <c r="U1105" s="16">
        <f>_xlfn.XLOOKUP(CustomerCombinedCleaned[[#This Row],[ID]], Table4[ID], Table4[Store], "Not Found", 0)</f>
        <v>7</v>
      </c>
      <c r="V1105" s="16">
        <f>_xlfn.XLOOKUP(CustomerCombinedCleaned[[#This Row],[ID]], Table4[ID], Table4[Visits], "Not Found", 0)</f>
        <v>4</v>
      </c>
      <c r="W1105" s="16">
        <f>_xlfn.XLOOKUP(CustomerCombinedCleaned[[#This Row],[ID]], Table2[ID],Table2[Complaint], "Not Found", 0 )</f>
        <v>0</v>
      </c>
      <c r="X1105" s="16">
        <f>_xlfn.XLOOKUP(CustomerCombinedCleaned[[#This Row],[ID]], Table2[ID],Table2[Pilot], "Not Found", 0 )</f>
        <v>1</v>
      </c>
      <c r="Y1105" s="16">
        <f>_xlfn.XLOOKUP(CustomerCombinedCleaned[[#This Row],[ID]], Table2[ID],Table2[MC1], "Not Found", 0 )</f>
        <v>0</v>
      </c>
      <c r="Z1105" s="16">
        <f>_xlfn.XLOOKUP(CustomerCombinedCleaned[[#This Row],[ID]], Table2[ID],Table2[MC2], "Not Found", 0 )</f>
        <v>0</v>
      </c>
      <c r="AA1105" s="16">
        <f>_xlfn.XLOOKUP(CustomerCombinedCleaned[[#This Row],[ID]], Table2[ID],Table2[MC3], "Not Found", 0 )</f>
        <v>0</v>
      </c>
      <c r="AB1105" s="16">
        <f>_xlfn.XLOOKUP(CustomerCombinedCleaned[[#This Row],[ID]], Table2[ID],Table2[MC4], "Not Found", 0 )</f>
        <v>0</v>
      </c>
      <c r="AC1105" s="16">
        <f>_xlfn.XLOOKUP(CustomerCombinedCleaned[[#This Row],[ID]], Table2[ID],Table2[MC5], "Not Found", 0 )</f>
        <v>0</v>
      </c>
    </row>
    <row r="1106" spans="1:29" x14ac:dyDescent="0.3">
      <c r="A1106" s="18">
        <v>1557</v>
      </c>
      <c r="B1106" s="16">
        <v>164413</v>
      </c>
      <c r="C1106" s="16">
        <v>0</v>
      </c>
      <c r="D1106" s="16">
        <v>1</v>
      </c>
      <c r="E1106" s="16">
        <v>50</v>
      </c>
      <c r="F1106" s="17" t="s">
        <v>8</v>
      </c>
      <c r="G1106" s="17" t="s">
        <v>13</v>
      </c>
      <c r="H1106" s="3" t="s">
        <v>698</v>
      </c>
      <c r="I1106" s="5" t="s">
        <v>435</v>
      </c>
      <c r="J1106" s="16">
        <f>_xlfn.XLOOKUP(CustomerCombinedCleaned[[#This Row],[ID]], Table4[ID], Table4[Recency], "Not Found", 0)</f>
        <v>27</v>
      </c>
      <c r="K1106" s="16">
        <f>_xlfn.XLOOKUP(CustomerCombinedCleaned[[#This Row],[ID]], Table4[ID], Table4[Teas], "Not Found", 0)</f>
        <v>510</v>
      </c>
      <c r="L1106" s="16">
        <f>_xlfn.XLOOKUP(CustomerCombinedCleaned[[#This Row],[ID]], Table4[ID], Table4[Fruits], "Not Found", 0)</f>
        <v>13</v>
      </c>
      <c r="M1106" s="16">
        <f>_xlfn.XLOOKUP(CustomerCombinedCleaned[[#This Row],[ID]], Table4[ID], Table4[Meats], "Not Found", 0)</f>
        <v>112</v>
      </c>
      <c r="N1106" s="16">
        <f>_xlfn.XLOOKUP(CustomerCombinedCleaned[[#This Row],[ID]], Table4[ID], Table4[Seafood], "Not Found", 0)</f>
        <v>0</v>
      </c>
      <c r="O1106" s="16">
        <f>_xlfn.XLOOKUP(CustomerCombinedCleaned[[#This Row],[ID]], Table4[ID], Table4[Sweets], "Not Found", 0)</f>
        <v>26</v>
      </c>
      <c r="P1106" s="16">
        <f>_xlfn.XLOOKUP(CustomerCombinedCleaned[[#This Row],[ID]], Table4[ID], Table4[Premium], "Not Found", 0)</f>
        <v>51</v>
      </c>
      <c r="Q1106" s="16">
        <f>_xlfn.XLOOKUP(CustomerCombinedCleaned[[#This Row],[ID]], Table4[ID], Table4[Regular], "Not Found", 0)</f>
        <v>610</v>
      </c>
      <c r="R1106" s="16">
        <f>_xlfn.XLOOKUP(CustomerCombinedCleaned[[#This Row],[ID]], Table4[ID], Table4[Deals], "Not Found", 0)</f>
        <v>1</v>
      </c>
      <c r="S1106" s="16">
        <f>_xlfn.XLOOKUP(CustomerCombinedCleaned[[#This Row],[ID]], Table4[ID], Table4[Website], "Not Found", 0)</f>
        <v>5</v>
      </c>
      <c r="T1106" s="16">
        <f>_xlfn.XLOOKUP(CustomerCombinedCleaned[[#This Row],[ID]], Table4[ID], Table4[Catalog], "Not Found", 0)</f>
        <v>1</v>
      </c>
      <c r="U1106" s="16">
        <f>_xlfn.XLOOKUP(CustomerCombinedCleaned[[#This Row],[ID]], Table4[ID], Table4[Store], "Not Found", 0)</f>
        <v>5</v>
      </c>
      <c r="V1106" s="16">
        <f>_xlfn.XLOOKUP(CustomerCombinedCleaned[[#This Row],[ID]], Table4[ID], Table4[Visits], "Not Found", 0)</f>
        <v>5</v>
      </c>
      <c r="W1106" s="16">
        <f>_xlfn.XLOOKUP(CustomerCombinedCleaned[[#This Row],[ID]], Table2[ID],Table2[Complaint], "Not Found", 0 )</f>
        <v>0</v>
      </c>
      <c r="X1106" s="16">
        <f>_xlfn.XLOOKUP(CustomerCombinedCleaned[[#This Row],[ID]], Table2[ID],Table2[Pilot], "Not Found", 0 )</f>
        <v>0</v>
      </c>
      <c r="Y1106" s="16">
        <f>_xlfn.XLOOKUP(CustomerCombinedCleaned[[#This Row],[ID]], Table2[ID],Table2[MC1], "Not Found", 0 )</f>
        <v>0</v>
      </c>
      <c r="Z1106" s="16">
        <f>_xlfn.XLOOKUP(CustomerCombinedCleaned[[#This Row],[ID]], Table2[ID],Table2[MC2], "Not Found", 0 )</f>
        <v>0</v>
      </c>
      <c r="AA1106" s="16">
        <f>_xlfn.XLOOKUP(CustomerCombinedCleaned[[#This Row],[ID]], Table2[ID],Table2[MC3], "Not Found", 0 )</f>
        <v>0</v>
      </c>
      <c r="AB1106" s="16">
        <f>_xlfn.XLOOKUP(CustomerCombinedCleaned[[#This Row],[ID]], Table2[ID],Table2[MC4], "Not Found", 0 )</f>
        <v>0</v>
      </c>
      <c r="AC1106" s="16">
        <f>_xlfn.XLOOKUP(CustomerCombinedCleaned[[#This Row],[ID]], Table2[ID],Table2[MC5], "Not Found", 0 )</f>
        <v>0</v>
      </c>
    </row>
    <row r="1107" spans="1:29" x14ac:dyDescent="0.3">
      <c r="A1107" s="18">
        <v>2981</v>
      </c>
      <c r="B1107" s="16">
        <v>163684</v>
      </c>
      <c r="C1107" s="16">
        <v>0</v>
      </c>
      <c r="D1107" s="16">
        <v>1</v>
      </c>
      <c r="E1107" s="16">
        <v>50</v>
      </c>
      <c r="F1107" s="17" t="s">
        <v>6</v>
      </c>
      <c r="G1107" s="17" t="s">
        <v>11</v>
      </c>
      <c r="H1107" s="3" t="s">
        <v>705</v>
      </c>
      <c r="I1107" s="5" t="s">
        <v>434</v>
      </c>
      <c r="J1107" s="16">
        <f>_xlfn.XLOOKUP(CustomerCombinedCleaned[[#This Row],[ID]], Table4[ID], Table4[Recency], "Not Found", 0)</f>
        <v>61</v>
      </c>
      <c r="K1107" s="16">
        <f>_xlfn.XLOOKUP(CustomerCombinedCleaned[[#This Row],[ID]], Table4[ID], Table4[Teas], "Not Found", 0)</f>
        <v>1478</v>
      </c>
      <c r="L1107" s="16">
        <f>_xlfn.XLOOKUP(CustomerCombinedCleaned[[#This Row],[ID]], Table4[ID], Table4[Fruits], "Not Found", 0)</f>
        <v>206</v>
      </c>
      <c r="M1107" s="16">
        <f>_xlfn.XLOOKUP(CustomerCombinedCleaned[[#This Row],[ID]], Table4[ID], Table4[Meats], "Not Found", 0)</f>
        <v>1100</v>
      </c>
      <c r="N1107" s="16">
        <f>_xlfn.XLOOKUP(CustomerCombinedCleaned[[#This Row],[ID]], Table4[ID], Table4[Seafood], "Not Found", 0)</f>
        <v>535</v>
      </c>
      <c r="O1107" s="16">
        <f>_xlfn.XLOOKUP(CustomerCombinedCleaned[[#This Row],[ID]], Table4[ID], Table4[Sweets], "Not Found", 0)</f>
        <v>239</v>
      </c>
      <c r="P1107" s="16">
        <f>_xlfn.XLOOKUP(CustomerCombinedCleaned[[#This Row],[ID]], Table4[ID], Table4[Premium], "Not Found", 0)</f>
        <v>206</v>
      </c>
      <c r="Q1107" s="16">
        <f>_xlfn.XLOOKUP(CustomerCombinedCleaned[[#This Row],[ID]], Table4[ID], Table4[Regular], "Not Found", 0)</f>
        <v>3352</v>
      </c>
      <c r="R1107" s="16">
        <f>_xlfn.XLOOKUP(CustomerCombinedCleaned[[#This Row],[ID]], Table4[ID], Table4[Deals], "Not Found", 0)</f>
        <v>3</v>
      </c>
      <c r="S1107" s="16">
        <f>_xlfn.XLOOKUP(CustomerCombinedCleaned[[#This Row],[ID]], Table4[ID], Table4[Website], "Not Found", 0)</f>
        <v>8</v>
      </c>
      <c r="T1107" s="16">
        <f>_xlfn.XLOOKUP(CustomerCombinedCleaned[[#This Row],[ID]], Table4[ID], Table4[Catalog], "Not Found", 0)</f>
        <v>4</v>
      </c>
      <c r="U1107" s="16">
        <f>_xlfn.XLOOKUP(CustomerCombinedCleaned[[#This Row],[ID]], Table4[ID], Table4[Store], "Not Found", 0)</f>
        <v>8</v>
      </c>
      <c r="V1107" s="16">
        <f>_xlfn.XLOOKUP(CustomerCombinedCleaned[[#This Row],[ID]], Table4[ID], Table4[Visits], "Not Found", 0)</f>
        <v>5</v>
      </c>
      <c r="W1107" s="16">
        <f>_xlfn.XLOOKUP(CustomerCombinedCleaned[[#This Row],[ID]], Table2[ID],Table2[Complaint], "Not Found", 0 )</f>
        <v>0</v>
      </c>
      <c r="X1107" s="16">
        <f>_xlfn.XLOOKUP(CustomerCombinedCleaned[[#This Row],[ID]], Table2[ID],Table2[Pilot], "Not Found", 0 )</f>
        <v>0</v>
      </c>
      <c r="Y1107" s="16">
        <f>_xlfn.XLOOKUP(CustomerCombinedCleaned[[#This Row],[ID]], Table2[ID],Table2[MC1], "Not Found", 0 )</f>
        <v>0</v>
      </c>
      <c r="Z1107" s="16">
        <f>_xlfn.XLOOKUP(CustomerCombinedCleaned[[#This Row],[ID]], Table2[ID],Table2[MC2], "Not Found", 0 )</f>
        <v>0</v>
      </c>
      <c r="AA1107" s="16">
        <f>_xlfn.XLOOKUP(CustomerCombinedCleaned[[#This Row],[ID]], Table2[ID],Table2[MC3], "Not Found", 0 )</f>
        <v>0</v>
      </c>
      <c r="AB1107" s="16">
        <f>_xlfn.XLOOKUP(CustomerCombinedCleaned[[#This Row],[ID]], Table2[ID],Table2[MC4], "Not Found", 0 )</f>
        <v>0</v>
      </c>
      <c r="AC1107" s="16">
        <f>_xlfn.XLOOKUP(CustomerCombinedCleaned[[#This Row],[ID]], Table2[ID],Table2[MC5], "Not Found", 0 )</f>
        <v>0</v>
      </c>
    </row>
    <row r="1108" spans="1:29" x14ac:dyDescent="0.3">
      <c r="A1108" s="18">
        <v>1547</v>
      </c>
      <c r="B1108" s="16">
        <v>162466</v>
      </c>
      <c r="C1108" s="16">
        <v>0</v>
      </c>
      <c r="D1108" s="16">
        <v>1</v>
      </c>
      <c r="E1108" s="16">
        <v>50</v>
      </c>
      <c r="F1108" s="17" t="s">
        <v>6</v>
      </c>
      <c r="G1108" s="17" t="s">
        <v>11</v>
      </c>
      <c r="H1108" s="3" t="s">
        <v>115</v>
      </c>
      <c r="I1108" s="5" t="s">
        <v>434</v>
      </c>
      <c r="J1108" s="16">
        <f>_xlfn.XLOOKUP(CustomerCombinedCleaned[[#This Row],[ID]], Table4[ID], Table4[Recency], "Not Found", 0)</f>
        <v>13</v>
      </c>
      <c r="K1108" s="16">
        <f>_xlfn.XLOOKUP(CustomerCombinedCleaned[[#This Row],[ID]], Table4[ID], Table4[Teas], "Not Found", 0)</f>
        <v>336</v>
      </c>
      <c r="L1108" s="16">
        <f>_xlfn.XLOOKUP(CustomerCombinedCleaned[[#This Row],[ID]], Table4[ID], Table4[Fruits], "Not Found", 0)</f>
        <v>336</v>
      </c>
      <c r="M1108" s="16">
        <f>_xlfn.XLOOKUP(CustomerCombinedCleaned[[#This Row],[ID]], Table4[ID], Table4[Meats], "Not Found", 0)</f>
        <v>674</v>
      </c>
      <c r="N1108" s="16">
        <f>_xlfn.XLOOKUP(CustomerCombinedCleaned[[#This Row],[ID]], Table4[ID], Table4[Seafood], "Not Found", 0)</f>
        <v>437</v>
      </c>
      <c r="O1108" s="16">
        <f>_xlfn.XLOOKUP(CustomerCombinedCleaned[[#This Row],[ID]], Table4[ID], Table4[Sweets], "Not Found", 0)</f>
        <v>315</v>
      </c>
      <c r="P1108" s="16">
        <f>_xlfn.XLOOKUP(CustomerCombinedCleaned[[#This Row],[ID]], Table4[ID], Table4[Premium], "Not Found", 0)</f>
        <v>216</v>
      </c>
      <c r="Q1108" s="16">
        <f>_xlfn.XLOOKUP(CustomerCombinedCleaned[[#This Row],[ID]], Table4[ID], Table4[Regular], "Not Found", 0)</f>
        <v>1880</v>
      </c>
      <c r="R1108" s="16">
        <f>_xlfn.XLOOKUP(CustomerCombinedCleaned[[#This Row],[ID]], Table4[ID], Table4[Deals], "Not Found", 0)</f>
        <v>5</v>
      </c>
      <c r="S1108" s="16">
        <f>_xlfn.XLOOKUP(CustomerCombinedCleaned[[#This Row],[ID]], Table4[ID], Table4[Website], "Not Found", 0)</f>
        <v>6</v>
      </c>
      <c r="T1108" s="16">
        <f>_xlfn.XLOOKUP(CustomerCombinedCleaned[[#This Row],[ID]], Table4[ID], Table4[Catalog], "Not Found", 0)</f>
        <v>3</v>
      </c>
      <c r="U1108" s="16">
        <f>_xlfn.XLOOKUP(CustomerCombinedCleaned[[#This Row],[ID]], Table4[ID], Table4[Store], "Not Found", 0)</f>
        <v>12</v>
      </c>
      <c r="V1108" s="16">
        <f>_xlfn.XLOOKUP(CustomerCombinedCleaned[[#This Row],[ID]], Table4[ID], Table4[Visits], "Not Found", 0)</f>
        <v>4</v>
      </c>
      <c r="W1108" s="16">
        <f>_xlfn.XLOOKUP(CustomerCombinedCleaned[[#This Row],[ID]], Table2[ID],Table2[Complaint], "Not Found", 0 )</f>
        <v>0</v>
      </c>
      <c r="X1108" s="16">
        <f>_xlfn.XLOOKUP(CustomerCombinedCleaned[[#This Row],[ID]], Table2[ID],Table2[Pilot], "Not Found", 0 )</f>
        <v>0</v>
      </c>
      <c r="Y1108" s="16">
        <f>_xlfn.XLOOKUP(CustomerCombinedCleaned[[#This Row],[ID]], Table2[ID],Table2[MC1], "Not Found", 0 )</f>
        <v>0</v>
      </c>
      <c r="Z1108" s="16">
        <f>_xlfn.XLOOKUP(CustomerCombinedCleaned[[#This Row],[ID]], Table2[ID],Table2[MC2], "Not Found", 0 )</f>
        <v>0</v>
      </c>
      <c r="AA1108" s="16">
        <f>_xlfn.XLOOKUP(CustomerCombinedCleaned[[#This Row],[ID]], Table2[ID],Table2[MC3], "Not Found", 0 )</f>
        <v>0</v>
      </c>
      <c r="AB1108" s="16">
        <f>_xlfn.XLOOKUP(CustomerCombinedCleaned[[#This Row],[ID]], Table2[ID],Table2[MC4], "Not Found", 0 )</f>
        <v>0</v>
      </c>
      <c r="AC1108" s="16">
        <f>_xlfn.XLOOKUP(CustomerCombinedCleaned[[#This Row],[ID]], Table2[ID],Table2[MC5], "Not Found", 0 )</f>
        <v>0</v>
      </c>
    </row>
    <row r="1109" spans="1:29" x14ac:dyDescent="0.3">
      <c r="A1109" s="18">
        <v>1615</v>
      </c>
      <c r="B1109" s="16">
        <v>162466</v>
      </c>
      <c r="C1109" s="16">
        <v>0</v>
      </c>
      <c r="D1109" s="16">
        <v>1</v>
      </c>
      <c r="E1109" s="16">
        <v>50</v>
      </c>
      <c r="F1109" s="17" t="s">
        <v>6</v>
      </c>
      <c r="G1109" s="17" t="s">
        <v>11</v>
      </c>
      <c r="H1109" s="3" t="s">
        <v>115</v>
      </c>
      <c r="I1109" s="5" t="s">
        <v>437</v>
      </c>
      <c r="J1109" s="16">
        <f>_xlfn.XLOOKUP(CustomerCombinedCleaned[[#This Row],[ID]], Table4[ID], Table4[Recency], "Not Found", 0)</f>
        <v>13</v>
      </c>
      <c r="K1109" s="16">
        <f>_xlfn.XLOOKUP(CustomerCombinedCleaned[[#This Row],[ID]], Table4[ID], Table4[Teas], "Not Found", 0)</f>
        <v>336</v>
      </c>
      <c r="L1109" s="16">
        <f>_xlfn.XLOOKUP(CustomerCombinedCleaned[[#This Row],[ID]], Table4[ID], Table4[Fruits], "Not Found", 0)</f>
        <v>336</v>
      </c>
      <c r="M1109" s="16">
        <f>_xlfn.XLOOKUP(CustomerCombinedCleaned[[#This Row],[ID]], Table4[ID], Table4[Meats], "Not Found", 0)</f>
        <v>674</v>
      </c>
      <c r="N1109" s="16">
        <f>_xlfn.XLOOKUP(CustomerCombinedCleaned[[#This Row],[ID]], Table4[ID], Table4[Seafood], "Not Found", 0)</f>
        <v>437</v>
      </c>
      <c r="O1109" s="16">
        <f>_xlfn.XLOOKUP(CustomerCombinedCleaned[[#This Row],[ID]], Table4[ID], Table4[Sweets], "Not Found", 0)</f>
        <v>315</v>
      </c>
      <c r="P1109" s="16">
        <f>_xlfn.XLOOKUP(CustomerCombinedCleaned[[#This Row],[ID]], Table4[ID], Table4[Premium], "Not Found", 0)</f>
        <v>216</v>
      </c>
      <c r="Q1109" s="16">
        <f>_xlfn.XLOOKUP(CustomerCombinedCleaned[[#This Row],[ID]], Table4[ID], Table4[Regular], "Not Found", 0)</f>
        <v>1880</v>
      </c>
      <c r="R1109" s="16">
        <f>_xlfn.XLOOKUP(CustomerCombinedCleaned[[#This Row],[ID]], Table4[ID], Table4[Deals], "Not Found", 0)</f>
        <v>5</v>
      </c>
      <c r="S1109" s="16">
        <f>_xlfn.XLOOKUP(CustomerCombinedCleaned[[#This Row],[ID]], Table4[ID], Table4[Website], "Not Found", 0)</f>
        <v>6</v>
      </c>
      <c r="T1109" s="16">
        <f>_xlfn.XLOOKUP(CustomerCombinedCleaned[[#This Row],[ID]], Table4[ID], Table4[Catalog], "Not Found", 0)</f>
        <v>3</v>
      </c>
      <c r="U1109" s="16">
        <f>_xlfn.XLOOKUP(CustomerCombinedCleaned[[#This Row],[ID]], Table4[ID], Table4[Store], "Not Found", 0)</f>
        <v>12</v>
      </c>
      <c r="V1109" s="16">
        <f>_xlfn.XLOOKUP(CustomerCombinedCleaned[[#This Row],[ID]], Table4[ID], Table4[Visits], "Not Found", 0)</f>
        <v>4</v>
      </c>
      <c r="W1109" s="16">
        <f>_xlfn.XLOOKUP(CustomerCombinedCleaned[[#This Row],[ID]], Table2[ID],Table2[Complaint], "Not Found", 0 )</f>
        <v>0</v>
      </c>
      <c r="X1109" s="16">
        <f>_xlfn.XLOOKUP(CustomerCombinedCleaned[[#This Row],[ID]], Table2[ID],Table2[Pilot], "Not Found", 0 )</f>
        <v>0</v>
      </c>
      <c r="Y1109" s="16">
        <f>_xlfn.XLOOKUP(CustomerCombinedCleaned[[#This Row],[ID]], Table2[ID],Table2[MC1], "Not Found", 0 )</f>
        <v>0</v>
      </c>
      <c r="Z1109" s="16">
        <f>_xlfn.XLOOKUP(CustomerCombinedCleaned[[#This Row],[ID]], Table2[ID],Table2[MC2], "Not Found", 0 )</f>
        <v>0</v>
      </c>
      <c r="AA1109" s="16">
        <f>_xlfn.XLOOKUP(CustomerCombinedCleaned[[#This Row],[ID]], Table2[ID],Table2[MC3], "Not Found", 0 )</f>
        <v>0</v>
      </c>
      <c r="AB1109" s="16">
        <f>_xlfn.XLOOKUP(CustomerCombinedCleaned[[#This Row],[ID]], Table2[ID],Table2[MC4], "Not Found", 0 )</f>
        <v>0</v>
      </c>
      <c r="AC1109" s="16">
        <f>_xlfn.XLOOKUP(CustomerCombinedCleaned[[#This Row],[ID]], Table2[ID],Table2[MC5], "Not Found", 0 )</f>
        <v>0</v>
      </c>
    </row>
    <row r="1110" spans="1:29" x14ac:dyDescent="0.3">
      <c r="A1110" s="18">
        <v>1781</v>
      </c>
      <c r="B1110" s="16">
        <v>161872</v>
      </c>
      <c r="C1110" s="16">
        <v>0</v>
      </c>
      <c r="D1110" s="16">
        <v>1</v>
      </c>
      <c r="E1110" s="16">
        <v>50</v>
      </c>
      <c r="F1110" s="17" t="s">
        <v>6</v>
      </c>
      <c r="G1110" s="17" t="s">
        <v>12</v>
      </c>
      <c r="H1110" s="3" t="s">
        <v>135</v>
      </c>
      <c r="I1110" s="5" t="s">
        <v>434</v>
      </c>
      <c r="J1110" s="16">
        <f>_xlfn.XLOOKUP(CustomerCombinedCleaned[[#This Row],[ID]], Table4[ID], Table4[Recency], "Not Found", 0)</f>
        <v>81</v>
      </c>
      <c r="K1110" s="16">
        <f>_xlfn.XLOOKUP(CustomerCombinedCleaned[[#This Row],[ID]], Table4[ID], Table4[Teas], "Not Found", 0)</f>
        <v>863</v>
      </c>
      <c r="L1110" s="16">
        <f>_xlfn.XLOOKUP(CustomerCombinedCleaned[[#This Row],[ID]], Table4[ID], Table4[Fruits], "Not Found", 0)</f>
        <v>13</v>
      </c>
      <c r="M1110" s="16">
        <f>_xlfn.XLOOKUP(CustomerCombinedCleaned[[#This Row],[ID]], Table4[ID], Table4[Meats], "Not Found", 0)</f>
        <v>416</v>
      </c>
      <c r="N1110" s="16">
        <f>_xlfn.XLOOKUP(CustomerCombinedCleaned[[#This Row],[ID]], Table4[ID], Table4[Seafood], "Not Found", 0)</f>
        <v>94</v>
      </c>
      <c r="O1110" s="16">
        <f>_xlfn.XLOOKUP(CustomerCombinedCleaned[[#This Row],[ID]], Table4[ID], Table4[Sweets], "Not Found", 0)</f>
        <v>71</v>
      </c>
      <c r="P1110" s="16">
        <f>_xlfn.XLOOKUP(CustomerCombinedCleaned[[#This Row],[ID]], Table4[ID], Table4[Premium], "Not Found", 0)</f>
        <v>42</v>
      </c>
      <c r="Q1110" s="16">
        <f>_xlfn.XLOOKUP(CustomerCombinedCleaned[[#This Row],[ID]], Table4[ID], Table4[Regular], "Not Found", 0)</f>
        <v>1415</v>
      </c>
      <c r="R1110" s="16">
        <f>_xlfn.XLOOKUP(CustomerCombinedCleaned[[#This Row],[ID]], Table4[ID], Table4[Deals], "Not Found", 0)</f>
        <v>4</v>
      </c>
      <c r="S1110" s="16">
        <f>_xlfn.XLOOKUP(CustomerCombinedCleaned[[#This Row],[ID]], Table4[ID], Table4[Website], "Not Found", 0)</f>
        <v>4</v>
      </c>
      <c r="T1110" s="16">
        <f>_xlfn.XLOOKUP(CustomerCombinedCleaned[[#This Row],[ID]], Table4[ID], Table4[Catalog], "Not Found", 0)</f>
        <v>4</v>
      </c>
      <c r="U1110" s="16">
        <f>_xlfn.XLOOKUP(CustomerCombinedCleaned[[#This Row],[ID]], Table4[ID], Table4[Store], "Not Found", 0)</f>
        <v>9</v>
      </c>
      <c r="V1110" s="16">
        <f>_xlfn.XLOOKUP(CustomerCombinedCleaned[[#This Row],[ID]], Table4[ID], Table4[Visits], "Not Found", 0)</f>
        <v>4</v>
      </c>
      <c r="W1110" s="16">
        <f>_xlfn.XLOOKUP(CustomerCombinedCleaned[[#This Row],[ID]], Table2[ID],Table2[Complaint], "Not Found", 0 )</f>
        <v>0</v>
      </c>
      <c r="X1110" s="16">
        <f>_xlfn.XLOOKUP(CustomerCombinedCleaned[[#This Row],[ID]], Table2[ID],Table2[Pilot], "Not Found", 0 )</f>
        <v>0</v>
      </c>
      <c r="Y1110" s="16">
        <f>_xlfn.XLOOKUP(CustomerCombinedCleaned[[#This Row],[ID]], Table2[ID],Table2[MC1], "Not Found", 0 )</f>
        <v>0</v>
      </c>
      <c r="Z1110" s="16">
        <f>_xlfn.XLOOKUP(CustomerCombinedCleaned[[#This Row],[ID]], Table2[ID],Table2[MC2], "Not Found", 0 )</f>
        <v>0</v>
      </c>
      <c r="AA1110" s="16">
        <f>_xlfn.XLOOKUP(CustomerCombinedCleaned[[#This Row],[ID]], Table2[ID],Table2[MC3], "Not Found", 0 )</f>
        <v>0</v>
      </c>
      <c r="AB1110" s="16">
        <f>_xlfn.XLOOKUP(CustomerCombinedCleaned[[#This Row],[ID]], Table2[ID],Table2[MC4], "Not Found", 0 )</f>
        <v>0</v>
      </c>
      <c r="AC1110" s="16">
        <f>_xlfn.XLOOKUP(CustomerCombinedCleaned[[#This Row],[ID]], Table2[ID],Table2[MC5], "Not Found", 0 )</f>
        <v>0</v>
      </c>
    </row>
    <row r="1111" spans="1:29" x14ac:dyDescent="0.3">
      <c r="A1111" s="18">
        <v>3213</v>
      </c>
      <c r="B1111" s="16">
        <v>161757</v>
      </c>
      <c r="C1111" s="16">
        <v>0</v>
      </c>
      <c r="D1111" s="16">
        <v>0</v>
      </c>
      <c r="E1111" s="16">
        <v>50</v>
      </c>
      <c r="F1111" s="17" t="s">
        <v>7</v>
      </c>
      <c r="G1111" s="17" t="s">
        <v>12</v>
      </c>
      <c r="H1111" s="3" t="s">
        <v>407</v>
      </c>
      <c r="I1111" s="5" t="s">
        <v>435</v>
      </c>
      <c r="J1111" s="16">
        <f>_xlfn.XLOOKUP(CustomerCombinedCleaned[[#This Row],[ID]], Table4[ID], Table4[Recency], "Not Found", 0)</f>
        <v>71</v>
      </c>
      <c r="K1111" s="16">
        <f>_xlfn.XLOOKUP(CustomerCombinedCleaned[[#This Row],[ID]], Table4[ID], Table4[Teas], "Not Found", 0)</f>
        <v>2234</v>
      </c>
      <c r="L1111" s="16">
        <f>_xlfn.XLOOKUP(CustomerCombinedCleaned[[#This Row],[ID]], Table4[ID], Table4[Fruits], "Not Found", 0)</f>
        <v>26</v>
      </c>
      <c r="M1111" s="16">
        <f>_xlfn.XLOOKUP(CustomerCombinedCleaned[[#This Row],[ID]], Table4[ID], Table4[Meats], "Not Found", 0)</f>
        <v>375</v>
      </c>
      <c r="N1111" s="16">
        <v>34</v>
      </c>
      <c r="O1111" s="16">
        <f>_xlfn.XLOOKUP(CustomerCombinedCleaned[[#This Row],[ID]], Table4[ID], Table4[Sweets], "Not Found", 0)</f>
        <v>26</v>
      </c>
      <c r="P1111" s="16">
        <f>_xlfn.XLOOKUP(CustomerCombinedCleaned[[#This Row],[ID]], Table4[ID], Table4[Premium], "Not Found", 0)</f>
        <v>52</v>
      </c>
      <c r="Q1111" s="16">
        <f>_xlfn.XLOOKUP(CustomerCombinedCleaned[[#This Row],[ID]], Table4[ID], Table4[Regular], "Not Found", 0)</f>
        <v>2643</v>
      </c>
      <c r="R1111" s="16">
        <f>_xlfn.XLOOKUP(CustomerCombinedCleaned[[#This Row],[ID]], Table4[ID], Table4[Deals], "Not Found", 0)</f>
        <v>2</v>
      </c>
      <c r="S1111" s="16">
        <f>_xlfn.XLOOKUP(CustomerCombinedCleaned[[#This Row],[ID]], Table4[ID], Table4[Website], "Not Found", 0)</f>
        <v>9</v>
      </c>
      <c r="T1111" s="16">
        <f>_xlfn.XLOOKUP(CustomerCombinedCleaned[[#This Row],[ID]], Table4[ID], Table4[Catalog], "Not Found", 0)</f>
        <v>4</v>
      </c>
      <c r="U1111" s="16">
        <f>_xlfn.XLOOKUP(CustomerCombinedCleaned[[#This Row],[ID]], Table4[ID], Table4[Store], "Not Found", 0)</f>
        <v>12</v>
      </c>
      <c r="V1111" s="16">
        <f>_xlfn.XLOOKUP(CustomerCombinedCleaned[[#This Row],[ID]], Table4[ID], Table4[Visits], "Not Found", 0)</f>
        <v>8</v>
      </c>
      <c r="W1111" s="16">
        <f>_xlfn.XLOOKUP(CustomerCombinedCleaned[[#This Row],[ID]], Table2[ID],Table2[Complaint], "Not Found", 0 )</f>
        <v>0</v>
      </c>
      <c r="X1111" s="16">
        <f>_xlfn.XLOOKUP(CustomerCombinedCleaned[[#This Row],[ID]], Table2[ID],Table2[Pilot], "Not Found", 0 )</f>
        <v>0</v>
      </c>
      <c r="Y1111" s="16">
        <f>_xlfn.XLOOKUP(CustomerCombinedCleaned[[#This Row],[ID]], Table2[ID],Table2[MC1], "Not Found", 0 )</f>
        <v>0</v>
      </c>
      <c r="Z1111" s="16">
        <f>_xlfn.XLOOKUP(CustomerCombinedCleaned[[#This Row],[ID]], Table2[ID],Table2[MC2], "Not Found", 0 )</f>
        <v>0</v>
      </c>
      <c r="AA1111" s="16">
        <f>_xlfn.XLOOKUP(CustomerCombinedCleaned[[#This Row],[ID]], Table2[ID],Table2[MC3], "Not Found", 0 )</f>
        <v>0</v>
      </c>
      <c r="AB1111" s="16">
        <f>_xlfn.XLOOKUP(CustomerCombinedCleaned[[#This Row],[ID]], Table2[ID],Table2[MC4], "Not Found", 0 )</f>
        <v>0</v>
      </c>
      <c r="AC1111" s="16">
        <f>_xlfn.XLOOKUP(CustomerCombinedCleaned[[#This Row],[ID]], Table2[ID],Table2[MC5], "Not Found", 0 )</f>
        <v>0</v>
      </c>
    </row>
    <row r="1112" spans="1:29" x14ac:dyDescent="0.3">
      <c r="A1112" s="18">
        <v>1672</v>
      </c>
      <c r="B1112" s="16">
        <v>161209</v>
      </c>
      <c r="C1112" s="16">
        <v>0</v>
      </c>
      <c r="D1112" s="16">
        <v>0</v>
      </c>
      <c r="E1112" s="16">
        <v>50</v>
      </c>
      <c r="F1112" s="17" t="s">
        <v>7</v>
      </c>
      <c r="G1112" s="17" t="s">
        <v>11</v>
      </c>
      <c r="H1112" s="3" t="s">
        <v>192</v>
      </c>
      <c r="I1112" s="5" t="s">
        <v>439</v>
      </c>
      <c r="J1112" s="16">
        <f>_xlfn.XLOOKUP(CustomerCombinedCleaned[[#This Row],[ID]], Table4[ID], Table4[Recency], "Not Found", 0)</f>
        <v>73</v>
      </c>
      <c r="K1112" s="16">
        <f>_xlfn.XLOOKUP(CustomerCombinedCleaned[[#This Row],[ID]], Table4[ID], Table4[Teas], "Not Found", 0)</f>
        <v>1227</v>
      </c>
      <c r="L1112" s="16">
        <f>_xlfn.XLOOKUP(CustomerCombinedCleaned[[#This Row],[ID]], Table4[ID], Table4[Fruits], "Not Found", 0)</f>
        <v>0</v>
      </c>
      <c r="M1112" s="16">
        <f>_xlfn.XLOOKUP(CustomerCombinedCleaned[[#This Row],[ID]], Table4[ID], Table4[Meats], "Not Found", 0)</f>
        <v>590</v>
      </c>
      <c r="N1112" s="16">
        <f>_xlfn.XLOOKUP(CustomerCombinedCleaned[[#This Row],[ID]], Table4[ID], Table4[Seafood], "Not Found", 0)</f>
        <v>313</v>
      </c>
      <c r="O1112" s="16">
        <f>_xlfn.XLOOKUP(CustomerCombinedCleaned[[#This Row],[ID]], Table4[ID], Table4[Sweets], "Not Found", 0)</f>
        <v>129</v>
      </c>
      <c r="P1112" s="16">
        <f>_xlfn.XLOOKUP(CustomerCombinedCleaned[[#This Row],[ID]], Table4[ID], Table4[Premium], "Not Found", 0)</f>
        <v>261</v>
      </c>
      <c r="Q1112" s="16">
        <f>_xlfn.XLOOKUP(CustomerCombinedCleaned[[#This Row],[ID]], Table4[ID], Table4[Regular], "Not Found", 0)</f>
        <v>1999</v>
      </c>
      <c r="R1112" s="16">
        <f>_xlfn.XLOOKUP(CustomerCombinedCleaned[[#This Row],[ID]], Table4[ID], Table4[Deals], "Not Found", 0)</f>
        <v>1</v>
      </c>
      <c r="S1112" s="16">
        <f>_xlfn.XLOOKUP(CustomerCombinedCleaned[[#This Row],[ID]], Table4[ID], Table4[Website], "Not Found", 0)</f>
        <v>5</v>
      </c>
      <c r="T1112" s="16">
        <f>_xlfn.XLOOKUP(CustomerCombinedCleaned[[#This Row],[ID]], Table4[ID], Table4[Catalog], "Not Found", 0)</f>
        <v>3</v>
      </c>
      <c r="U1112" s="16">
        <f>_xlfn.XLOOKUP(CustomerCombinedCleaned[[#This Row],[ID]], Table4[ID], Table4[Store], "Not Found", 0)</f>
        <v>4</v>
      </c>
      <c r="V1112" s="16">
        <f>_xlfn.XLOOKUP(CustomerCombinedCleaned[[#This Row],[ID]], Table4[ID], Table4[Visits], "Not Found", 0)</f>
        <v>2</v>
      </c>
      <c r="W1112" s="16">
        <f>_xlfn.XLOOKUP(CustomerCombinedCleaned[[#This Row],[ID]], Table2[ID],Table2[Complaint], "Not Found", 0 )</f>
        <v>0</v>
      </c>
      <c r="X1112" s="16">
        <f>_xlfn.XLOOKUP(CustomerCombinedCleaned[[#This Row],[ID]], Table2[ID],Table2[Pilot], "Not Found", 0 )</f>
        <v>0</v>
      </c>
      <c r="Y1112" s="16">
        <f>_xlfn.XLOOKUP(CustomerCombinedCleaned[[#This Row],[ID]], Table2[ID],Table2[MC1], "Not Found", 0 )</f>
        <v>0</v>
      </c>
      <c r="Z1112" s="16">
        <f>_xlfn.XLOOKUP(CustomerCombinedCleaned[[#This Row],[ID]], Table2[ID],Table2[MC2], "Not Found", 0 )</f>
        <v>0</v>
      </c>
      <c r="AA1112" s="16">
        <f>_xlfn.XLOOKUP(CustomerCombinedCleaned[[#This Row],[ID]], Table2[ID],Table2[MC3], "Not Found", 0 )</f>
        <v>0</v>
      </c>
      <c r="AB1112" s="16">
        <f>_xlfn.XLOOKUP(CustomerCombinedCleaned[[#This Row],[ID]], Table2[ID],Table2[MC4], "Not Found", 0 )</f>
        <v>0</v>
      </c>
      <c r="AC1112" s="16">
        <f>_xlfn.XLOOKUP(CustomerCombinedCleaned[[#This Row],[ID]], Table2[ID],Table2[MC5], "Not Found", 0 )</f>
        <v>0</v>
      </c>
    </row>
    <row r="1113" spans="1:29" x14ac:dyDescent="0.3">
      <c r="A1113" s="18">
        <v>2453</v>
      </c>
      <c r="B1113" s="16">
        <v>159892</v>
      </c>
      <c r="C1113" s="16">
        <v>0</v>
      </c>
      <c r="D1113" s="16">
        <v>1</v>
      </c>
      <c r="E1113" s="16">
        <v>50</v>
      </c>
      <c r="F1113" s="17" t="s">
        <v>6</v>
      </c>
      <c r="G1113" s="17" t="s">
        <v>13</v>
      </c>
      <c r="H1113" s="3" t="s">
        <v>624</v>
      </c>
      <c r="I1113" s="5" t="s">
        <v>434</v>
      </c>
      <c r="J1113" s="16">
        <f>_xlfn.XLOOKUP(CustomerCombinedCleaned[[#This Row],[ID]], Table4[ID], Table4[Recency], "Not Found", 0)</f>
        <v>26</v>
      </c>
      <c r="K1113" s="16">
        <f>_xlfn.XLOOKUP(CustomerCombinedCleaned[[#This Row],[ID]], Table4[ID], Table4[Teas], "Not Found", 0)</f>
        <v>195</v>
      </c>
      <c r="L1113" s="16">
        <f>_xlfn.XLOOKUP(CustomerCombinedCleaned[[#This Row],[ID]], Table4[ID], Table4[Fruits], "Not Found", 0)</f>
        <v>0</v>
      </c>
      <c r="M1113" s="16">
        <f>_xlfn.XLOOKUP(CustomerCombinedCleaned[[#This Row],[ID]], Table4[ID], Table4[Meats], "Not Found", 0)</f>
        <v>35</v>
      </c>
      <c r="N1113" s="16">
        <f>_xlfn.XLOOKUP(CustomerCombinedCleaned[[#This Row],[ID]], Table4[ID], Table4[Seafood], "Not Found", 0)</f>
        <v>0</v>
      </c>
      <c r="O1113" s="16">
        <f>_xlfn.XLOOKUP(CustomerCombinedCleaned[[#This Row],[ID]], Table4[ID], Table4[Sweets], "Not Found", 0)</f>
        <v>3</v>
      </c>
      <c r="P1113" s="16">
        <f>_xlfn.XLOOKUP(CustomerCombinedCleaned[[#This Row],[ID]], Table4[ID], Table4[Premium], "Not Found", 0)</f>
        <v>0</v>
      </c>
      <c r="Q1113" s="16">
        <f>_xlfn.XLOOKUP(CustomerCombinedCleaned[[#This Row],[ID]], Table4[ID], Table4[Regular], "Not Found", 0)</f>
        <v>232</v>
      </c>
      <c r="R1113" s="16">
        <f>_xlfn.XLOOKUP(CustomerCombinedCleaned[[#This Row],[ID]], Table4[ID], Table4[Deals], "Not Found", 0)</f>
        <v>1</v>
      </c>
      <c r="S1113" s="16">
        <f>_xlfn.XLOOKUP(CustomerCombinedCleaned[[#This Row],[ID]], Table4[ID], Table4[Website], "Not Found", 0)</f>
        <v>2</v>
      </c>
      <c r="T1113" s="16">
        <f>_xlfn.XLOOKUP(CustomerCombinedCleaned[[#This Row],[ID]], Table4[ID], Table4[Catalog], "Not Found", 0)</f>
        <v>1</v>
      </c>
      <c r="U1113" s="16">
        <f>_xlfn.XLOOKUP(CustomerCombinedCleaned[[#This Row],[ID]], Table4[ID], Table4[Store], "Not Found", 0)</f>
        <v>3</v>
      </c>
      <c r="V1113" s="16">
        <f>_xlfn.XLOOKUP(CustomerCombinedCleaned[[#This Row],[ID]], Table4[ID], Table4[Visits], "Not Found", 0)</f>
        <v>3</v>
      </c>
      <c r="W1113" s="16">
        <f>_xlfn.XLOOKUP(CustomerCombinedCleaned[[#This Row],[ID]], Table2[ID],Table2[Complaint], "Not Found", 0 )</f>
        <v>0</v>
      </c>
      <c r="X1113" s="16">
        <f>_xlfn.XLOOKUP(CustomerCombinedCleaned[[#This Row],[ID]], Table2[ID],Table2[Pilot], "Not Found", 0 )</f>
        <v>0</v>
      </c>
      <c r="Y1113" s="16">
        <f>_xlfn.XLOOKUP(CustomerCombinedCleaned[[#This Row],[ID]], Table2[ID],Table2[MC1], "Not Found", 0 )</f>
        <v>0</v>
      </c>
      <c r="Z1113" s="16">
        <f>_xlfn.XLOOKUP(CustomerCombinedCleaned[[#This Row],[ID]], Table2[ID],Table2[MC2], "Not Found", 0 )</f>
        <v>0</v>
      </c>
      <c r="AA1113" s="16">
        <f>_xlfn.XLOOKUP(CustomerCombinedCleaned[[#This Row],[ID]], Table2[ID],Table2[MC3], "Not Found", 0 )</f>
        <v>0</v>
      </c>
      <c r="AB1113" s="16">
        <f>_xlfn.XLOOKUP(CustomerCombinedCleaned[[#This Row],[ID]], Table2[ID],Table2[MC4], "Not Found", 0 )</f>
        <v>0</v>
      </c>
      <c r="AC1113" s="16">
        <f>_xlfn.XLOOKUP(CustomerCombinedCleaned[[#This Row],[ID]], Table2[ID],Table2[MC5], "Not Found", 0 )</f>
        <v>0</v>
      </c>
    </row>
    <row r="1114" spans="1:29" x14ac:dyDescent="0.3">
      <c r="A1114" s="18">
        <v>1699</v>
      </c>
      <c r="B1114" s="16">
        <v>158710</v>
      </c>
      <c r="C1114" s="16">
        <v>0</v>
      </c>
      <c r="D1114" s="16">
        <v>1</v>
      </c>
      <c r="E1114" s="16">
        <v>50</v>
      </c>
      <c r="F1114" s="17" t="s">
        <v>5</v>
      </c>
      <c r="G1114" s="17" t="s">
        <v>11</v>
      </c>
      <c r="H1114" s="3" t="s">
        <v>671</v>
      </c>
      <c r="I1114" s="5" t="s">
        <v>437</v>
      </c>
      <c r="J1114" s="16">
        <f>_xlfn.XLOOKUP(CustomerCombinedCleaned[[#This Row],[ID]], Table4[ID], Table4[Recency], "Not Found", 0)</f>
        <v>77</v>
      </c>
      <c r="K1114" s="16">
        <f>_xlfn.XLOOKUP(CustomerCombinedCleaned[[#This Row],[ID]], Table4[ID], Table4[Teas], "Not Found", 0)</f>
        <v>1189</v>
      </c>
      <c r="L1114" s="16">
        <f>_xlfn.XLOOKUP(CustomerCombinedCleaned[[#This Row],[ID]], Table4[ID], Table4[Fruits], "Not Found", 0)</f>
        <v>219</v>
      </c>
      <c r="M1114" s="16">
        <f>_xlfn.XLOOKUP(CustomerCombinedCleaned[[#This Row],[ID]], Table4[ID], Table4[Meats], "Not Found", 0)</f>
        <v>995</v>
      </c>
      <c r="N1114" s="16">
        <f>_xlfn.XLOOKUP(CustomerCombinedCleaned[[#This Row],[ID]], Table4[ID], Table4[Seafood], "Not Found", 0)</f>
        <v>0</v>
      </c>
      <c r="O1114" s="16">
        <f>_xlfn.XLOOKUP(CustomerCombinedCleaned[[#This Row],[ID]], Table4[ID], Table4[Sweets], "Not Found", 0)</f>
        <v>330</v>
      </c>
      <c r="P1114" s="16">
        <f>_xlfn.XLOOKUP(CustomerCombinedCleaned[[#This Row],[ID]], Table4[ID], Table4[Premium], "Not Found", 0)</f>
        <v>470</v>
      </c>
      <c r="Q1114" s="16">
        <f>_xlfn.XLOOKUP(CustomerCombinedCleaned[[#This Row],[ID]], Table4[ID], Table4[Regular], "Not Found", 0)</f>
        <v>2263</v>
      </c>
      <c r="R1114" s="16">
        <f>_xlfn.XLOOKUP(CustomerCombinedCleaned[[#This Row],[ID]], Table4[ID], Table4[Deals], "Not Found", 0)</f>
        <v>6</v>
      </c>
      <c r="S1114" s="16">
        <f>_xlfn.XLOOKUP(CustomerCombinedCleaned[[#This Row],[ID]], Table4[ID], Table4[Website], "Not Found", 0)</f>
        <v>11</v>
      </c>
      <c r="T1114" s="16">
        <f>_xlfn.XLOOKUP(CustomerCombinedCleaned[[#This Row],[ID]], Table4[ID], Table4[Catalog], "Not Found", 0)</f>
        <v>5</v>
      </c>
      <c r="U1114" s="16">
        <f>_xlfn.XLOOKUP(CustomerCombinedCleaned[[#This Row],[ID]], Table4[ID], Table4[Store], "Not Found", 0)</f>
        <v>9</v>
      </c>
      <c r="V1114" s="16">
        <f>_xlfn.XLOOKUP(CustomerCombinedCleaned[[#This Row],[ID]], Table4[ID], Table4[Visits], "Not Found", 0)</f>
        <v>6</v>
      </c>
      <c r="W1114" s="16">
        <f>_xlfn.XLOOKUP(CustomerCombinedCleaned[[#This Row],[ID]], Table2[ID],Table2[Complaint], "Not Found", 0 )</f>
        <v>0</v>
      </c>
      <c r="X1114" s="16">
        <f>_xlfn.XLOOKUP(CustomerCombinedCleaned[[#This Row],[ID]], Table2[ID],Table2[Pilot], "Not Found", 0 )</f>
        <v>0</v>
      </c>
      <c r="Y1114" s="16">
        <f>_xlfn.XLOOKUP(CustomerCombinedCleaned[[#This Row],[ID]], Table2[ID],Table2[MC1], "Not Found", 0 )</f>
        <v>0</v>
      </c>
      <c r="Z1114" s="16">
        <f>_xlfn.XLOOKUP(CustomerCombinedCleaned[[#This Row],[ID]], Table2[ID],Table2[MC2], "Not Found", 0 )</f>
        <v>0</v>
      </c>
      <c r="AA1114" s="16">
        <f>_xlfn.XLOOKUP(CustomerCombinedCleaned[[#This Row],[ID]], Table2[ID],Table2[MC3], "Not Found", 0 )</f>
        <v>0</v>
      </c>
      <c r="AB1114" s="16">
        <f>_xlfn.XLOOKUP(CustomerCombinedCleaned[[#This Row],[ID]], Table2[ID],Table2[MC4], "Not Found", 0 )</f>
        <v>0</v>
      </c>
      <c r="AC1114" s="16">
        <f>_xlfn.XLOOKUP(CustomerCombinedCleaned[[#This Row],[ID]], Table2[ID],Table2[MC5], "Not Found", 0 )</f>
        <v>0</v>
      </c>
    </row>
    <row r="1115" spans="1:29" x14ac:dyDescent="0.3">
      <c r="A1115" s="18">
        <v>3192</v>
      </c>
      <c r="B1115" s="16">
        <v>157642</v>
      </c>
      <c r="C1115" s="16">
        <v>0</v>
      </c>
      <c r="D1115" s="16">
        <v>1</v>
      </c>
      <c r="E1115" s="16">
        <v>50</v>
      </c>
      <c r="F1115" s="17" t="s">
        <v>7</v>
      </c>
      <c r="G1115" s="17" t="s">
        <v>13</v>
      </c>
      <c r="H1115" s="3" t="s">
        <v>121</v>
      </c>
      <c r="I1115" s="5" t="s">
        <v>436</v>
      </c>
      <c r="J1115" s="16">
        <f>_xlfn.XLOOKUP(CustomerCombinedCleaned[[#This Row],[ID]], Table4[ID], Table4[Recency], "Not Found", 0)</f>
        <v>24</v>
      </c>
      <c r="K1115" s="16">
        <f>_xlfn.XLOOKUP(CustomerCombinedCleaned[[#This Row],[ID]], Table4[ID], Table4[Teas], "Not Found", 0)</f>
        <v>1586</v>
      </c>
      <c r="L1115" s="16">
        <f>_xlfn.XLOOKUP(CustomerCombinedCleaned[[#This Row],[ID]], Table4[ID], Table4[Fruits], "Not Found", 0)</f>
        <v>16</v>
      </c>
      <c r="M1115" s="16">
        <f>_xlfn.XLOOKUP(CustomerCombinedCleaned[[#This Row],[ID]], Table4[ID], Table4[Meats], "Not Found", 0)</f>
        <v>159</v>
      </c>
      <c r="N1115" s="16">
        <f>_xlfn.XLOOKUP(CustomerCombinedCleaned[[#This Row],[ID]], Table4[ID], Table4[Seafood], "Not Found", 0)</f>
        <v>22</v>
      </c>
      <c r="O1115" s="16">
        <f>_xlfn.XLOOKUP(CustomerCombinedCleaned[[#This Row],[ID]], Table4[ID], Table4[Sweets], "Not Found", 0)</f>
        <v>0</v>
      </c>
      <c r="P1115" s="16">
        <f>_xlfn.XLOOKUP(CustomerCombinedCleaned[[#This Row],[ID]], Table4[ID], Table4[Premium], "Not Found", 0)</f>
        <v>74</v>
      </c>
      <c r="Q1115" s="16">
        <f>_xlfn.XLOOKUP(CustomerCombinedCleaned[[#This Row],[ID]], Table4[ID], Table4[Regular], "Not Found", 0)</f>
        <v>1709</v>
      </c>
      <c r="R1115" s="16">
        <f>_xlfn.XLOOKUP(CustomerCombinedCleaned[[#This Row],[ID]], Table4[ID], Table4[Deals], "Not Found", 0)</f>
        <v>3</v>
      </c>
      <c r="S1115" s="16">
        <f>_xlfn.XLOOKUP(CustomerCombinedCleaned[[#This Row],[ID]], Table4[ID], Table4[Website], "Not Found", 0)</f>
        <v>7</v>
      </c>
      <c r="T1115" s="16">
        <f>_xlfn.XLOOKUP(CustomerCombinedCleaned[[#This Row],[ID]], Table4[ID], Table4[Catalog], "Not Found", 0)</f>
        <v>6</v>
      </c>
      <c r="U1115" s="16">
        <f>_xlfn.XLOOKUP(CustomerCombinedCleaned[[#This Row],[ID]], Table4[ID], Table4[Store], "Not Found", 0)</f>
        <v>6</v>
      </c>
      <c r="V1115" s="16">
        <f>_xlfn.XLOOKUP(CustomerCombinedCleaned[[#This Row],[ID]], Table4[ID], Table4[Visits], "Not Found", 0)</f>
        <v>4</v>
      </c>
      <c r="W1115" s="16">
        <f>_xlfn.XLOOKUP(CustomerCombinedCleaned[[#This Row],[ID]], Table2[ID],Table2[Complaint], "Not Found", 0 )</f>
        <v>0</v>
      </c>
      <c r="X1115" s="16">
        <f>_xlfn.XLOOKUP(CustomerCombinedCleaned[[#This Row],[ID]], Table2[ID],Table2[Pilot], "Not Found", 0 )</f>
        <v>0</v>
      </c>
      <c r="Y1115" s="16">
        <f>_xlfn.XLOOKUP(CustomerCombinedCleaned[[#This Row],[ID]], Table2[ID],Table2[MC1], "Not Found", 0 )</f>
        <v>0</v>
      </c>
      <c r="Z1115" s="16">
        <f>_xlfn.XLOOKUP(CustomerCombinedCleaned[[#This Row],[ID]], Table2[ID],Table2[MC2], "Not Found", 0 )</f>
        <v>0</v>
      </c>
      <c r="AA1115" s="16">
        <f>_xlfn.XLOOKUP(CustomerCombinedCleaned[[#This Row],[ID]], Table2[ID],Table2[MC3], "Not Found", 0 )</f>
        <v>1</v>
      </c>
      <c r="AB1115" s="16">
        <f>_xlfn.XLOOKUP(CustomerCombinedCleaned[[#This Row],[ID]], Table2[ID],Table2[MC4], "Not Found", 0 )</f>
        <v>0</v>
      </c>
      <c r="AC1115" s="16">
        <f>_xlfn.XLOOKUP(CustomerCombinedCleaned[[#This Row],[ID]], Table2[ID],Table2[MC5], "Not Found", 0 )</f>
        <v>0</v>
      </c>
    </row>
    <row r="1116" spans="1:29" x14ac:dyDescent="0.3">
      <c r="A1116" s="18">
        <v>1630</v>
      </c>
      <c r="B1116" s="16">
        <v>155282</v>
      </c>
      <c r="C1116" s="16">
        <v>1</v>
      </c>
      <c r="D1116" s="16">
        <v>0</v>
      </c>
      <c r="E1116" s="16">
        <v>50</v>
      </c>
      <c r="F1116" s="17" t="s">
        <v>5</v>
      </c>
      <c r="G1116" s="17" t="s">
        <v>12</v>
      </c>
      <c r="H1116" s="3" t="s">
        <v>135</v>
      </c>
      <c r="I1116" s="5" t="s">
        <v>439</v>
      </c>
      <c r="J1116" s="16">
        <f>_xlfn.XLOOKUP(CustomerCombinedCleaned[[#This Row],[ID]], Table4[ID], Table4[Recency], "Not Found", 0)</f>
        <v>9</v>
      </c>
      <c r="K1116" s="16">
        <f>_xlfn.XLOOKUP(CustomerCombinedCleaned[[#This Row],[ID]], Table4[ID], Table4[Teas], "Not Found", 0)</f>
        <v>351</v>
      </c>
      <c r="L1116" s="16">
        <f>_xlfn.XLOOKUP(CustomerCombinedCleaned[[#This Row],[ID]], Table4[ID], Table4[Fruits], "Not Found", 0)</f>
        <v>17</v>
      </c>
      <c r="M1116" s="16">
        <f>_xlfn.XLOOKUP(CustomerCombinedCleaned[[#This Row],[ID]], Table4[ID], Table4[Meats], "Not Found", 0)</f>
        <v>205</v>
      </c>
      <c r="N1116" s="16">
        <f>_xlfn.XLOOKUP(CustomerCombinedCleaned[[#This Row],[ID]], Table4[ID], Table4[Seafood], "Not Found", 0)</f>
        <v>22</v>
      </c>
      <c r="O1116" s="16">
        <f>_xlfn.XLOOKUP(CustomerCombinedCleaned[[#This Row],[ID]], Table4[ID], Table4[Sweets], "Not Found", 0)</f>
        <v>11</v>
      </c>
      <c r="P1116" s="16">
        <f>_xlfn.XLOOKUP(CustomerCombinedCleaned[[#This Row],[ID]], Table4[ID], Table4[Premium], "Not Found", 0)</f>
        <v>53</v>
      </c>
      <c r="Q1116" s="16">
        <f>_xlfn.XLOOKUP(CustomerCombinedCleaned[[#This Row],[ID]], Table4[ID], Table4[Regular], "Not Found", 0)</f>
        <v>553</v>
      </c>
      <c r="R1116" s="16">
        <f>_xlfn.XLOOKUP(CustomerCombinedCleaned[[#This Row],[ID]], Table4[ID], Table4[Deals], "Not Found", 0)</f>
        <v>1</v>
      </c>
      <c r="S1116" s="16">
        <f>_xlfn.XLOOKUP(CustomerCombinedCleaned[[#This Row],[ID]], Table4[ID], Table4[Website], "Not Found", 0)</f>
        <v>3</v>
      </c>
      <c r="T1116" s="16">
        <f>_xlfn.XLOOKUP(CustomerCombinedCleaned[[#This Row],[ID]], Table4[ID], Table4[Catalog], "Not Found", 0)</f>
        <v>1</v>
      </c>
      <c r="U1116" s="16">
        <f>_xlfn.XLOOKUP(CustomerCombinedCleaned[[#This Row],[ID]], Table4[ID], Table4[Store], "Not Found", 0)</f>
        <v>6</v>
      </c>
      <c r="V1116" s="16">
        <f>_xlfn.XLOOKUP(CustomerCombinedCleaned[[#This Row],[ID]], Table4[ID], Table4[Visits], "Not Found", 0)</f>
        <v>4</v>
      </c>
      <c r="W1116" s="16">
        <f>_xlfn.XLOOKUP(CustomerCombinedCleaned[[#This Row],[ID]], Table2[ID],Table2[Complaint], "Not Found", 0 )</f>
        <v>0</v>
      </c>
      <c r="X1116" s="16">
        <f>_xlfn.XLOOKUP(CustomerCombinedCleaned[[#This Row],[ID]], Table2[ID],Table2[Pilot], "Not Found", 0 )</f>
        <v>0</v>
      </c>
      <c r="Y1116" s="16">
        <f>_xlfn.XLOOKUP(CustomerCombinedCleaned[[#This Row],[ID]], Table2[ID],Table2[MC1], "Not Found", 0 )</f>
        <v>0</v>
      </c>
      <c r="Z1116" s="16">
        <f>_xlfn.XLOOKUP(CustomerCombinedCleaned[[#This Row],[ID]], Table2[ID],Table2[MC2], "Not Found", 0 )</f>
        <v>0</v>
      </c>
      <c r="AA1116" s="16">
        <f>_xlfn.XLOOKUP(CustomerCombinedCleaned[[#This Row],[ID]], Table2[ID],Table2[MC3], "Not Found", 0 )</f>
        <v>0</v>
      </c>
      <c r="AB1116" s="16">
        <f>_xlfn.XLOOKUP(CustomerCombinedCleaned[[#This Row],[ID]], Table2[ID],Table2[MC4], "Not Found", 0 )</f>
        <v>0</v>
      </c>
      <c r="AC1116" s="16">
        <f>_xlfn.XLOOKUP(CustomerCombinedCleaned[[#This Row],[ID]], Table2[ID],Table2[MC5], "Not Found", 0 )</f>
        <v>0</v>
      </c>
    </row>
    <row r="1117" spans="1:29" x14ac:dyDescent="0.3">
      <c r="A1117" s="18">
        <v>2236</v>
      </c>
      <c r="B1117" s="16">
        <v>155158</v>
      </c>
      <c r="C1117" s="16">
        <v>1</v>
      </c>
      <c r="D1117" s="16">
        <v>1</v>
      </c>
      <c r="E1117" s="16">
        <v>50</v>
      </c>
      <c r="F1117" s="17" t="s">
        <v>6</v>
      </c>
      <c r="G1117" s="17" t="s">
        <v>13</v>
      </c>
      <c r="H1117" s="3" t="s">
        <v>732</v>
      </c>
      <c r="I1117" s="5" t="s">
        <v>439</v>
      </c>
      <c r="J1117" s="16">
        <f>_xlfn.XLOOKUP(CustomerCombinedCleaned[[#This Row],[ID]], Table4[ID], Table4[Recency], "Not Found", 0)</f>
        <v>72</v>
      </c>
      <c r="K1117" s="16">
        <f>_xlfn.XLOOKUP(CustomerCombinedCleaned[[#This Row],[ID]], Table4[ID], Table4[Teas], "Not Found", 0)</f>
        <v>824</v>
      </c>
      <c r="L1117" s="16">
        <f>_xlfn.XLOOKUP(CustomerCombinedCleaned[[#This Row],[ID]], Table4[ID], Table4[Fruits], "Not Found", 0)</f>
        <v>0</v>
      </c>
      <c r="M1117" s="16">
        <f>_xlfn.XLOOKUP(CustomerCombinedCleaned[[#This Row],[ID]], Table4[ID], Table4[Meats], "Not Found", 0)</f>
        <v>245</v>
      </c>
      <c r="N1117" s="16">
        <f>_xlfn.XLOOKUP(CustomerCombinedCleaned[[#This Row],[ID]], Table4[ID], Table4[Seafood], "Not Found", 0)</f>
        <v>11</v>
      </c>
      <c r="O1117" s="16">
        <f>_xlfn.XLOOKUP(CustomerCombinedCleaned[[#This Row],[ID]], Table4[ID], Table4[Sweets], "Not Found", 0)</f>
        <v>31</v>
      </c>
      <c r="P1117" s="16">
        <f>_xlfn.XLOOKUP(CustomerCombinedCleaned[[#This Row],[ID]], Table4[ID], Table4[Premium], "Not Found", 0)</f>
        <v>65</v>
      </c>
      <c r="Q1117" s="16">
        <f>_xlfn.XLOOKUP(CustomerCombinedCleaned[[#This Row],[ID]], Table4[ID], Table4[Regular], "Not Found", 0)</f>
        <v>1046</v>
      </c>
      <c r="R1117" s="16">
        <f>_xlfn.XLOOKUP(CustomerCombinedCleaned[[#This Row],[ID]], Table4[ID], Table4[Deals], "Not Found", 0)</f>
        <v>4</v>
      </c>
      <c r="S1117" s="16">
        <f>_xlfn.XLOOKUP(CustomerCombinedCleaned[[#This Row],[ID]], Table4[ID], Table4[Website], "Not Found", 0)</f>
        <v>7</v>
      </c>
      <c r="T1117" s="16">
        <f>_xlfn.XLOOKUP(CustomerCombinedCleaned[[#This Row],[ID]], Table4[ID], Table4[Catalog], "Not Found", 0)</f>
        <v>2</v>
      </c>
      <c r="U1117" s="16">
        <f>_xlfn.XLOOKUP(CustomerCombinedCleaned[[#This Row],[ID]], Table4[ID], Table4[Store], "Not Found", 0)</f>
        <v>5</v>
      </c>
      <c r="V1117" s="16">
        <f>_xlfn.XLOOKUP(CustomerCombinedCleaned[[#This Row],[ID]], Table4[ID], Table4[Visits], "Not Found", 0)</f>
        <v>7</v>
      </c>
      <c r="W1117" s="16">
        <f>_xlfn.XLOOKUP(CustomerCombinedCleaned[[#This Row],[ID]], Table2[ID],Table2[Complaint], "Not Found", 0 )</f>
        <v>0</v>
      </c>
      <c r="X1117" s="16">
        <f>_xlfn.XLOOKUP(CustomerCombinedCleaned[[#This Row],[ID]], Table2[ID],Table2[Pilot], "Not Found", 0 )</f>
        <v>1</v>
      </c>
      <c r="Y1117" s="16">
        <f>_xlfn.XLOOKUP(CustomerCombinedCleaned[[#This Row],[ID]], Table2[ID],Table2[MC1], "Not Found", 0 )</f>
        <v>0</v>
      </c>
      <c r="Z1117" s="16">
        <f>_xlfn.XLOOKUP(CustomerCombinedCleaned[[#This Row],[ID]], Table2[ID],Table2[MC2], "Not Found", 0 )</f>
        <v>0</v>
      </c>
      <c r="AA1117" s="16">
        <f>_xlfn.XLOOKUP(CustomerCombinedCleaned[[#This Row],[ID]], Table2[ID],Table2[MC3], "Not Found", 0 )</f>
        <v>0</v>
      </c>
      <c r="AB1117" s="16">
        <f>_xlfn.XLOOKUP(CustomerCombinedCleaned[[#This Row],[ID]], Table2[ID],Table2[MC4], "Not Found", 0 )</f>
        <v>0</v>
      </c>
      <c r="AC1117" s="16">
        <f>_xlfn.XLOOKUP(CustomerCombinedCleaned[[#This Row],[ID]], Table2[ID],Table2[MC5], "Not Found", 0 )</f>
        <v>0</v>
      </c>
    </row>
    <row r="1118" spans="1:29" x14ac:dyDescent="0.3">
      <c r="A1118" s="18">
        <v>1882</v>
      </c>
      <c r="B1118" s="16">
        <v>154137</v>
      </c>
      <c r="C1118" s="16">
        <v>0</v>
      </c>
      <c r="D1118" s="16">
        <v>1</v>
      </c>
      <c r="E1118" s="16">
        <v>50</v>
      </c>
      <c r="F1118" s="17" t="s">
        <v>5</v>
      </c>
      <c r="G1118" s="17" t="s">
        <v>11</v>
      </c>
      <c r="H1118" s="3" t="s">
        <v>201</v>
      </c>
      <c r="I1118" s="5" t="s">
        <v>439</v>
      </c>
      <c r="J1118" s="16">
        <f>_xlfn.XLOOKUP(CustomerCombinedCleaned[[#This Row],[ID]], Table4[ID], Table4[Recency], "Not Found", 0)</f>
        <v>46</v>
      </c>
      <c r="K1118" s="16">
        <f>_xlfn.XLOOKUP(CustomerCombinedCleaned[[#This Row],[ID]], Table4[ID], Table4[Teas], "Not Found", 0)</f>
        <v>487</v>
      </c>
      <c r="L1118" s="16">
        <f>_xlfn.XLOOKUP(CustomerCombinedCleaned[[#This Row],[ID]], Table4[ID], Table4[Fruits], "Not Found", 0)</f>
        <v>0</v>
      </c>
      <c r="M1118" s="16">
        <f>_xlfn.XLOOKUP(CustomerCombinedCleaned[[#This Row],[ID]], Table4[ID], Table4[Meats], "Not Found", 0)</f>
        <v>31</v>
      </c>
      <c r="N1118" s="16">
        <f>_xlfn.XLOOKUP(CustomerCombinedCleaned[[#This Row],[ID]], Table4[ID], Table4[Seafood], "Not Found", 0)</f>
        <v>0</v>
      </c>
      <c r="O1118" s="16">
        <f>_xlfn.XLOOKUP(CustomerCombinedCleaned[[#This Row],[ID]], Table4[ID], Table4[Sweets], "Not Found", 0)</f>
        <v>3</v>
      </c>
      <c r="P1118" s="16">
        <f>_xlfn.XLOOKUP(CustomerCombinedCleaned[[#This Row],[ID]], Table4[ID], Table4[Premium], "Not Found", 0)</f>
        <v>57</v>
      </c>
      <c r="Q1118" s="16">
        <f>_xlfn.XLOOKUP(CustomerCombinedCleaned[[#This Row],[ID]], Table4[ID], Table4[Regular], "Not Found", 0)</f>
        <v>464</v>
      </c>
      <c r="R1118" s="16">
        <f>_xlfn.XLOOKUP(CustomerCombinedCleaned[[#This Row],[ID]], Table4[ID], Table4[Deals], "Not Found", 0)</f>
        <v>2</v>
      </c>
      <c r="S1118" s="16">
        <f>_xlfn.XLOOKUP(CustomerCombinedCleaned[[#This Row],[ID]], Table4[ID], Table4[Website], "Not Found", 0)</f>
        <v>4</v>
      </c>
      <c r="T1118" s="16">
        <f>_xlfn.XLOOKUP(CustomerCombinedCleaned[[#This Row],[ID]], Table4[ID], Table4[Catalog], "Not Found", 0)</f>
        <v>1</v>
      </c>
      <c r="U1118" s="16">
        <f>_xlfn.XLOOKUP(CustomerCombinedCleaned[[#This Row],[ID]], Table4[ID], Table4[Store], "Not Found", 0)</f>
        <v>4</v>
      </c>
      <c r="V1118" s="16">
        <f>_xlfn.XLOOKUP(CustomerCombinedCleaned[[#This Row],[ID]], Table4[ID], Table4[Visits], "Not Found", 0)</f>
        <v>6</v>
      </c>
      <c r="W1118" s="16">
        <f>_xlfn.XLOOKUP(CustomerCombinedCleaned[[#This Row],[ID]], Table2[ID],Table2[Complaint], "Not Found", 0 )</f>
        <v>0</v>
      </c>
      <c r="X1118" s="16">
        <f>_xlfn.XLOOKUP(CustomerCombinedCleaned[[#This Row],[ID]], Table2[ID],Table2[Pilot], "Not Found", 0 )</f>
        <v>0</v>
      </c>
      <c r="Y1118" s="16">
        <f>_xlfn.XLOOKUP(CustomerCombinedCleaned[[#This Row],[ID]], Table2[ID],Table2[MC1], "Not Found", 0 )</f>
        <v>0</v>
      </c>
      <c r="Z1118" s="16">
        <f>_xlfn.XLOOKUP(CustomerCombinedCleaned[[#This Row],[ID]], Table2[ID],Table2[MC2], "Not Found", 0 )</f>
        <v>0</v>
      </c>
      <c r="AA1118" s="16">
        <f>_xlfn.XLOOKUP(CustomerCombinedCleaned[[#This Row],[ID]], Table2[ID],Table2[MC3], "Not Found", 0 )</f>
        <v>0</v>
      </c>
      <c r="AB1118" s="16">
        <f>_xlfn.XLOOKUP(CustomerCombinedCleaned[[#This Row],[ID]], Table2[ID],Table2[MC4], "Not Found", 0 )</f>
        <v>0</v>
      </c>
      <c r="AC1118" s="16">
        <f>_xlfn.XLOOKUP(CustomerCombinedCleaned[[#This Row],[ID]], Table2[ID],Table2[MC5], "Not Found", 0 )</f>
        <v>0</v>
      </c>
    </row>
    <row r="1119" spans="1:29" x14ac:dyDescent="0.3">
      <c r="A1119" s="18">
        <v>2084</v>
      </c>
      <c r="B1119" s="16">
        <v>153187</v>
      </c>
      <c r="C1119" s="16">
        <v>1</v>
      </c>
      <c r="D1119" s="16">
        <v>0</v>
      </c>
      <c r="E1119" s="16">
        <v>50</v>
      </c>
      <c r="F1119" s="17" t="s">
        <v>8</v>
      </c>
      <c r="G1119" s="17" t="s">
        <v>11</v>
      </c>
      <c r="H1119" s="3" t="s">
        <v>740</v>
      </c>
      <c r="I1119" s="5" t="s">
        <v>438</v>
      </c>
      <c r="J1119" s="16">
        <f>_xlfn.XLOOKUP(CustomerCombinedCleaned[[#This Row],[ID]], Table4[ID], Table4[Recency], "Not Found", 0)</f>
        <v>66</v>
      </c>
      <c r="K1119" s="16">
        <f>_xlfn.XLOOKUP(CustomerCombinedCleaned[[#This Row],[ID]], Table4[ID], Table4[Teas], "Not Found", 0)</f>
        <v>608</v>
      </c>
      <c r="L1119" s="16">
        <f>_xlfn.XLOOKUP(CustomerCombinedCleaned[[#This Row],[ID]], Table4[ID], Table4[Fruits], "Not Found", 0)</f>
        <v>6</v>
      </c>
      <c r="M1119" s="16">
        <f>_xlfn.XLOOKUP(CustomerCombinedCleaned[[#This Row],[ID]], Table4[ID], Table4[Meats], "Not Found", 0)</f>
        <v>86</v>
      </c>
      <c r="N1119" s="16">
        <f>_xlfn.XLOOKUP(CustomerCombinedCleaned[[#This Row],[ID]], Table4[ID], Table4[Seafood], "Not Found", 0)</f>
        <v>20</v>
      </c>
      <c r="O1119" s="16">
        <f>_xlfn.XLOOKUP(CustomerCombinedCleaned[[#This Row],[ID]], Table4[ID], Table4[Sweets], "Not Found", 0)</f>
        <v>20</v>
      </c>
      <c r="P1119" s="16">
        <f>_xlfn.XLOOKUP(CustomerCombinedCleaned[[#This Row],[ID]], Table4[ID], Table4[Premium], "Not Found", 0)</f>
        <v>29</v>
      </c>
      <c r="Q1119" s="16">
        <f>_xlfn.XLOOKUP(CustomerCombinedCleaned[[#This Row],[ID]], Table4[ID], Table4[Regular], "Not Found", 0)</f>
        <v>711</v>
      </c>
      <c r="R1119" s="16">
        <f>_xlfn.XLOOKUP(CustomerCombinedCleaned[[#This Row],[ID]], Table4[ID], Table4[Deals], "Not Found", 0)</f>
        <v>2</v>
      </c>
      <c r="S1119" s="16">
        <f>_xlfn.XLOOKUP(CustomerCombinedCleaned[[#This Row],[ID]], Table4[ID], Table4[Website], "Not Found", 0)</f>
        <v>4</v>
      </c>
      <c r="T1119" s="16">
        <f>_xlfn.XLOOKUP(CustomerCombinedCleaned[[#This Row],[ID]], Table4[ID], Table4[Catalog], "Not Found", 0)</f>
        <v>1</v>
      </c>
      <c r="U1119" s="16">
        <f>_xlfn.XLOOKUP(CustomerCombinedCleaned[[#This Row],[ID]], Table4[ID], Table4[Store], "Not Found", 0)</f>
        <v>6</v>
      </c>
      <c r="V1119" s="16">
        <f>_xlfn.XLOOKUP(CustomerCombinedCleaned[[#This Row],[ID]], Table4[ID], Table4[Visits], "Not Found", 0)</f>
        <v>5</v>
      </c>
      <c r="W1119" s="16">
        <f>_xlfn.XLOOKUP(CustomerCombinedCleaned[[#This Row],[ID]], Table2[ID],Table2[Complaint], "Not Found", 0 )</f>
        <v>0</v>
      </c>
      <c r="X1119" s="16">
        <f>_xlfn.XLOOKUP(CustomerCombinedCleaned[[#This Row],[ID]], Table2[ID],Table2[Pilot], "Not Found", 0 )</f>
        <v>0</v>
      </c>
      <c r="Y1119" s="16">
        <f>_xlfn.XLOOKUP(CustomerCombinedCleaned[[#This Row],[ID]], Table2[ID],Table2[MC1], "Not Found", 0 )</f>
        <v>0</v>
      </c>
      <c r="Z1119" s="16">
        <f>_xlfn.XLOOKUP(CustomerCombinedCleaned[[#This Row],[ID]], Table2[ID],Table2[MC2], "Not Found", 0 )</f>
        <v>0</v>
      </c>
      <c r="AA1119" s="16">
        <f>_xlfn.XLOOKUP(CustomerCombinedCleaned[[#This Row],[ID]], Table2[ID],Table2[MC3], "Not Found", 0 )</f>
        <v>0</v>
      </c>
      <c r="AB1119" s="16">
        <f>_xlfn.XLOOKUP(CustomerCombinedCleaned[[#This Row],[ID]], Table2[ID],Table2[MC4], "Not Found", 0 )</f>
        <v>0</v>
      </c>
      <c r="AC1119" s="16">
        <f>_xlfn.XLOOKUP(CustomerCombinedCleaned[[#This Row],[ID]], Table2[ID],Table2[MC5], "Not Found", 0 )</f>
        <v>0</v>
      </c>
    </row>
    <row r="1120" spans="1:29" x14ac:dyDescent="0.3">
      <c r="A1120" s="18">
        <v>1161</v>
      </c>
      <c r="B1120" s="16">
        <v>150447</v>
      </c>
      <c r="C1120" s="16">
        <v>2</v>
      </c>
      <c r="D1120" s="16">
        <v>0</v>
      </c>
      <c r="E1120" s="16">
        <v>50</v>
      </c>
      <c r="F1120" s="17" t="s">
        <v>6</v>
      </c>
      <c r="G1120" s="17" t="s">
        <v>11</v>
      </c>
      <c r="H1120" s="3" t="s">
        <v>61</v>
      </c>
      <c r="I1120" s="5" t="s">
        <v>435</v>
      </c>
      <c r="J1120" s="16">
        <f>_xlfn.XLOOKUP(CustomerCombinedCleaned[[#This Row],[ID]], Table4[ID], Table4[Recency], "Not Found", 0)</f>
        <v>4</v>
      </c>
      <c r="K1120" s="16">
        <f>_xlfn.XLOOKUP(CustomerCombinedCleaned[[#This Row],[ID]], Table4[ID], Table4[Teas], "Not Found", 0)</f>
        <v>253</v>
      </c>
      <c r="L1120" s="16">
        <f>_xlfn.XLOOKUP(CustomerCombinedCleaned[[#This Row],[ID]], Table4[ID], Table4[Fruits], "Not Found", 0)</f>
        <v>21</v>
      </c>
      <c r="M1120" s="16">
        <f>_xlfn.XLOOKUP(CustomerCombinedCleaned[[#This Row],[ID]], Table4[ID], Table4[Meats], "Not Found", 0)</f>
        <v>72</v>
      </c>
      <c r="N1120" s="16">
        <f>_xlfn.XLOOKUP(CustomerCombinedCleaned[[#This Row],[ID]], Table4[ID], Table4[Seafood], "Not Found", 0)</f>
        <v>6</v>
      </c>
      <c r="O1120" s="16">
        <f>_xlfn.XLOOKUP(CustomerCombinedCleaned[[#This Row],[ID]], Table4[ID], Table4[Sweets], "Not Found", 0)</f>
        <v>9</v>
      </c>
      <c r="P1120" s="16">
        <f>_xlfn.XLOOKUP(CustomerCombinedCleaned[[#This Row],[ID]], Table4[ID], Table4[Premium], "Not Found", 0)</f>
        <v>81</v>
      </c>
      <c r="Q1120" s="16">
        <f>_xlfn.XLOOKUP(CustomerCombinedCleaned[[#This Row],[ID]], Table4[ID], Table4[Regular], "Not Found", 0)</f>
        <v>280</v>
      </c>
      <c r="R1120" s="16">
        <f>_xlfn.XLOOKUP(CustomerCombinedCleaned[[#This Row],[ID]], Table4[ID], Table4[Deals], "Not Found", 0)</f>
        <v>1</v>
      </c>
      <c r="S1120" s="16">
        <f>_xlfn.XLOOKUP(CustomerCombinedCleaned[[#This Row],[ID]], Table4[ID], Table4[Website], "Not Found", 0)</f>
        <v>3</v>
      </c>
      <c r="T1120" s="16">
        <f>_xlfn.XLOOKUP(CustomerCombinedCleaned[[#This Row],[ID]], Table4[ID], Table4[Catalog], "Not Found", 0)</f>
        <v>1</v>
      </c>
      <c r="U1120" s="16">
        <f>_xlfn.XLOOKUP(CustomerCombinedCleaned[[#This Row],[ID]], Table4[ID], Table4[Store], "Not Found", 0)</f>
        <v>3</v>
      </c>
      <c r="V1120" s="16">
        <f>_xlfn.XLOOKUP(CustomerCombinedCleaned[[#This Row],[ID]], Table4[ID], Table4[Visits], "Not Found", 0)</f>
        <v>6</v>
      </c>
      <c r="W1120" s="16">
        <f>_xlfn.XLOOKUP(CustomerCombinedCleaned[[#This Row],[ID]], Table2[ID],Table2[Complaint], "Not Found", 0 )</f>
        <v>0</v>
      </c>
      <c r="X1120" s="16">
        <f>_xlfn.XLOOKUP(CustomerCombinedCleaned[[#This Row],[ID]], Table2[ID],Table2[Pilot], "Not Found", 0 )</f>
        <v>0</v>
      </c>
      <c r="Y1120" s="16">
        <f>_xlfn.XLOOKUP(CustomerCombinedCleaned[[#This Row],[ID]], Table2[ID],Table2[MC1], "Not Found", 0 )</f>
        <v>0</v>
      </c>
      <c r="Z1120" s="16">
        <f>_xlfn.XLOOKUP(CustomerCombinedCleaned[[#This Row],[ID]], Table2[ID],Table2[MC2], "Not Found", 0 )</f>
        <v>0</v>
      </c>
      <c r="AA1120" s="16">
        <f>_xlfn.XLOOKUP(CustomerCombinedCleaned[[#This Row],[ID]], Table2[ID],Table2[MC3], "Not Found", 0 )</f>
        <v>0</v>
      </c>
      <c r="AB1120" s="16">
        <f>_xlfn.XLOOKUP(CustomerCombinedCleaned[[#This Row],[ID]], Table2[ID],Table2[MC4], "Not Found", 0 )</f>
        <v>0</v>
      </c>
      <c r="AC1120" s="16">
        <f>_xlfn.XLOOKUP(CustomerCombinedCleaned[[#This Row],[ID]], Table2[ID],Table2[MC5], "Not Found", 0 )</f>
        <v>0</v>
      </c>
    </row>
    <row r="1121" spans="1:29" x14ac:dyDescent="0.3">
      <c r="A1121" s="18">
        <v>3198</v>
      </c>
      <c r="B1121" s="16">
        <v>144802</v>
      </c>
      <c r="C1121" s="16">
        <v>0</v>
      </c>
      <c r="D1121" s="16">
        <v>0</v>
      </c>
      <c r="E1121" s="16">
        <v>50</v>
      </c>
      <c r="F1121" s="17" t="s">
        <v>7</v>
      </c>
      <c r="G1121" s="17" t="s">
        <v>12</v>
      </c>
      <c r="H1121" s="3" t="s">
        <v>407</v>
      </c>
      <c r="I1121" s="5" t="s">
        <v>436</v>
      </c>
      <c r="J1121" s="16">
        <f>_xlfn.XLOOKUP(CustomerCombinedCleaned[[#This Row],[ID]], Table4[ID], Table4[Recency], "Not Found", 0)</f>
        <v>71</v>
      </c>
      <c r="K1121" s="16">
        <f>_xlfn.XLOOKUP(CustomerCombinedCleaned[[#This Row],[ID]], Table4[ID], Table4[Teas], "Not Found", 0)</f>
        <v>2757</v>
      </c>
      <c r="L1121" s="16">
        <f>_xlfn.XLOOKUP(CustomerCombinedCleaned[[#This Row],[ID]], Table4[ID], Table4[Fruits], "Not Found", 0)</f>
        <v>32</v>
      </c>
      <c r="M1121" s="16">
        <f>_xlfn.XLOOKUP(CustomerCombinedCleaned[[#This Row],[ID]], Table4[ID], Table4[Meats], "Not Found", 0)</f>
        <v>462</v>
      </c>
      <c r="N1121" s="16">
        <f>_xlfn.XLOOKUP(CustomerCombinedCleaned[[#This Row],[ID]], Table4[ID], Table4[Seafood], "Not Found", 0)</f>
        <v>42</v>
      </c>
      <c r="O1121" s="16">
        <f>_xlfn.XLOOKUP(CustomerCombinedCleaned[[#This Row],[ID]], Table4[ID], Table4[Sweets], "Not Found", 0)</f>
        <v>32</v>
      </c>
      <c r="P1121" s="16">
        <f>_xlfn.XLOOKUP(CustomerCombinedCleaned[[#This Row],[ID]], Table4[ID], Table4[Premium], "Not Found", 0)</f>
        <v>65</v>
      </c>
      <c r="Q1121" s="16">
        <f>_xlfn.XLOOKUP(CustomerCombinedCleaned[[#This Row],[ID]], Table4[ID], Table4[Regular], "Not Found", 0)</f>
        <v>3261</v>
      </c>
      <c r="R1121" s="16">
        <f>_xlfn.XLOOKUP(CustomerCombinedCleaned[[#This Row],[ID]], Table4[ID], Table4[Deals], "Not Found", 0)</f>
        <v>2</v>
      </c>
      <c r="S1121" s="16">
        <f>_xlfn.XLOOKUP(CustomerCombinedCleaned[[#This Row],[ID]], Table4[ID], Table4[Website], "Not Found", 0)</f>
        <v>9</v>
      </c>
      <c r="T1121" s="16">
        <f>_xlfn.XLOOKUP(CustomerCombinedCleaned[[#This Row],[ID]], Table4[ID], Table4[Catalog], "Not Found", 0)</f>
        <v>4</v>
      </c>
      <c r="U1121" s="16">
        <f>_xlfn.XLOOKUP(CustomerCombinedCleaned[[#This Row],[ID]], Table4[ID], Table4[Store], "Not Found", 0)</f>
        <v>12</v>
      </c>
      <c r="V1121" s="16">
        <f>_xlfn.XLOOKUP(CustomerCombinedCleaned[[#This Row],[ID]], Table4[ID], Table4[Visits], "Not Found", 0)</f>
        <v>8</v>
      </c>
      <c r="W1121" s="16">
        <f>_xlfn.XLOOKUP(CustomerCombinedCleaned[[#This Row],[ID]], Table2[ID],Table2[Complaint], "Not Found", 0 )</f>
        <v>0</v>
      </c>
      <c r="X1121" s="16">
        <f>_xlfn.XLOOKUP(CustomerCombinedCleaned[[#This Row],[ID]], Table2[ID],Table2[Pilot], "Not Found", 0 )</f>
        <v>0</v>
      </c>
      <c r="Y1121" s="16">
        <f>_xlfn.XLOOKUP(CustomerCombinedCleaned[[#This Row],[ID]], Table2[ID],Table2[MC1], "Not Found", 0 )</f>
        <v>0</v>
      </c>
      <c r="Z1121" s="16">
        <f>_xlfn.XLOOKUP(CustomerCombinedCleaned[[#This Row],[ID]], Table2[ID],Table2[MC2], "Not Found", 0 )</f>
        <v>0</v>
      </c>
      <c r="AA1121" s="16">
        <f>_xlfn.XLOOKUP(CustomerCombinedCleaned[[#This Row],[ID]], Table2[ID],Table2[MC3], "Not Found", 0 )</f>
        <v>0</v>
      </c>
      <c r="AB1121" s="16">
        <f>_xlfn.XLOOKUP(CustomerCombinedCleaned[[#This Row],[ID]], Table2[ID],Table2[MC4], "Not Found", 0 )</f>
        <v>0</v>
      </c>
      <c r="AC1121" s="16">
        <f>_xlfn.XLOOKUP(CustomerCombinedCleaned[[#This Row],[ID]], Table2[ID],Table2[MC5], "Not Found", 0 )</f>
        <v>0</v>
      </c>
    </row>
    <row r="1122" spans="1:29" x14ac:dyDescent="0.3">
      <c r="A1122" s="18">
        <v>2380</v>
      </c>
      <c r="B1122" s="16">
        <v>144511</v>
      </c>
      <c r="C1122" s="16">
        <v>1</v>
      </c>
      <c r="D1122" s="16">
        <v>0</v>
      </c>
      <c r="E1122" s="16">
        <v>50</v>
      </c>
      <c r="F1122" s="17" t="s">
        <v>6</v>
      </c>
      <c r="G1122" s="17" t="s">
        <v>12</v>
      </c>
      <c r="H1122" s="3" t="s">
        <v>382</v>
      </c>
      <c r="I1122" s="5" t="s">
        <v>439</v>
      </c>
      <c r="J1122" s="16">
        <f>_xlfn.XLOOKUP(CustomerCombinedCleaned[[#This Row],[ID]], Table4[ID], Table4[Recency], "Not Found", 0)</f>
        <v>39</v>
      </c>
      <c r="K1122" s="16">
        <f>_xlfn.XLOOKUP(CustomerCombinedCleaned[[#This Row],[ID]], Table4[ID], Table4[Teas], "Not Found", 0)</f>
        <v>1666</v>
      </c>
      <c r="L1122" s="16">
        <f>_xlfn.XLOOKUP(CustomerCombinedCleaned[[#This Row],[ID]], Table4[ID], Table4[Fruits], "Not Found", 0)</f>
        <v>23</v>
      </c>
      <c r="M1122" s="16">
        <f>_xlfn.XLOOKUP(CustomerCombinedCleaned[[#This Row],[ID]], Table4[ID], Table4[Meats], "Not Found", 0)</f>
        <v>432</v>
      </c>
      <c r="N1122" s="16">
        <f>_xlfn.XLOOKUP(CustomerCombinedCleaned[[#This Row],[ID]], Table4[ID], Table4[Seafood], "Not Found", 0)</f>
        <v>149</v>
      </c>
      <c r="O1122" s="16">
        <f>_xlfn.XLOOKUP(CustomerCombinedCleaned[[#This Row],[ID]], Table4[ID], Table4[Sweets], "Not Found", 0)</f>
        <v>45</v>
      </c>
      <c r="P1122" s="16">
        <f>_xlfn.XLOOKUP(CustomerCombinedCleaned[[#This Row],[ID]], Table4[ID], Table4[Premium], "Not Found", 0)</f>
        <v>45</v>
      </c>
      <c r="Q1122" s="16">
        <f>_xlfn.XLOOKUP(CustomerCombinedCleaned[[#This Row],[ID]], Table4[ID], Table4[Regular], "Not Found", 0)</f>
        <v>2269</v>
      </c>
      <c r="R1122" s="16">
        <f>_xlfn.XLOOKUP(CustomerCombinedCleaned[[#This Row],[ID]], Table4[ID], Table4[Deals], "Not Found", 0)</f>
        <v>6</v>
      </c>
      <c r="S1122" s="16">
        <f>_xlfn.XLOOKUP(CustomerCombinedCleaned[[#This Row],[ID]], Table4[ID], Table4[Website], "Not Found", 0)</f>
        <v>8</v>
      </c>
      <c r="T1122" s="16">
        <f>_xlfn.XLOOKUP(CustomerCombinedCleaned[[#This Row],[ID]], Table4[ID], Table4[Catalog], "Not Found", 0)</f>
        <v>4</v>
      </c>
      <c r="U1122" s="16">
        <f>_xlfn.XLOOKUP(CustomerCombinedCleaned[[#This Row],[ID]], Table4[ID], Table4[Store], "Not Found", 0)</f>
        <v>8</v>
      </c>
      <c r="V1122" s="16">
        <f>_xlfn.XLOOKUP(CustomerCombinedCleaned[[#This Row],[ID]], Table4[ID], Table4[Visits], "Not Found", 0)</f>
        <v>8</v>
      </c>
      <c r="W1122" s="16">
        <f>_xlfn.XLOOKUP(CustomerCombinedCleaned[[#This Row],[ID]], Table2[ID],Table2[Complaint], "Not Found", 0 )</f>
        <v>0</v>
      </c>
      <c r="X1122" s="16">
        <f>_xlfn.XLOOKUP(CustomerCombinedCleaned[[#This Row],[ID]], Table2[ID],Table2[Pilot], "Not Found", 0 )</f>
        <v>0</v>
      </c>
      <c r="Y1122" s="16">
        <f>_xlfn.XLOOKUP(CustomerCombinedCleaned[[#This Row],[ID]], Table2[ID],Table2[MC1], "Not Found", 0 )</f>
        <v>0</v>
      </c>
      <c r="Z1122" s="16">
        <f>_xlfn.XLOOKUP(CustomerCombinedCleaned[[#This Row],[ID]], Table2[ID],Table2[MC2], "Not Found", 0 )</f>
        <v>0</v>
      </c>
      <c r="AA1122" s="16">
        <f>_xlfn.XLOOKUP(CustomerCombinedCleaned[[#This Row],[ID]], Table2[ID],Table2[MC3], "Not Found", 0 )</f>
        <v>0</v>
      </c>
      <c r="AB1122" s="16">
        <f>_xlfn.XLOOKUP(CustomerCombinedCleaned[[#This Row],[ID]], Table2[ID],Table2[MC4], "Not Found", 0 )</f>
        <v>0</v>
      </c>
      <c r="AC1122" s="16">
        <f>_xlfn.XLOOKUP(CustomerCombinedCleaned[[#This Row],[ID]], Table2[ID],Table2[MC5], "Not Found", 0 )</f>
        <v>0</v>
      </c>
    </row>
    <row r="1123" spans="1:29" x14ac:dyDescent="0.3">
      <c r="A1123" s="18">
        <v>2283</v>
      </c>
      <c r="B1123" s="16">
        <v>144267</v>
      </c>
      <c r="C1123" s="16">
        <v>1</v>
      </c>
      <c r="D1123" s="16">
        <v>1</v>
      </c>
      <c r="E1123" s="16">
        <v>50</v>
      </c>
      <c r="F1123" s="17" t="s">
        <v>5</v>
      </c>
      <c r="G1123" s="17" t="s">
        <v>11</v>
      </c>
      <c r="H1123" s="3" t="s">
        <v>554</v>
      </c>
      <c r="I1123" s="5" t="s">
        <v>435</v>
      </c>
      <c r="J1123" s="16">
        <f>_xlfn.XLOOKUP(CustomerCombinedCleaned[[#This Row],[ID]], Table4[ID], Table4[Recency], "Not Found", 0)</f>
        <v>48</v>
      </c>
      <c r="K1123" s="16">
        <f>_xlfn.XLOOKUP(CustomerCombinedCleaned[[#This Row],[ID]], Table4[ID], Table4[Teas], "Not Found", 0)</f>
        <v>596</v>
      </c>
      <c r="L1123" s="16">
        <f>_xlfn.XLOOKUP(CustomerCombinedCleaned[[#This Row],[ID]], Table4[ID], Table4[Fruits], "Not Found", 0)</f>
        <v>16</v>
      </c>
      <c r="M1123" s="16">
        <f>_xlfn.XLOOKUP(CustomerCombinedCleaned[[#This Row],[ID]], Table4[ID], Table4[Meats], "Not Found", 0)</f>
        <v>212</v>
      </c>
      <c r="N1123" s="16">
        <f>_xlfn.XLOOKUP(CustomerCombinedCleaned[[#This Row],[ID]], Table4[ID], Table4[Seafood], "Not Found", 0)</f>
        <v>10</v>
      </c>
      <c r="O1123" s="16">
        <f>_xlfn.XLOOKUP(CustomerCombinedCleaned[[#This Row],[ID]], Table4[ID], Table4[Sweets], "Not Found", 0)</f>
        <v>16</v>
      </c>
      <c r="P1123" s="16">
        <f>_xlfn.XLOOKUP(CustomerCombinedCleaned[[#This Row],[ID]], Table4[ID], Table4[Premium], "Not Found", 0)</f>
        <v>160</v>
      </c>
      <c r="Q1123" s="16">
        <f>_xlfn.XLOOKUP(CustomerCombinedCleaned[[#This Row],[ID]], Table4[ID], Table4[Regular], "Not Found", 0)</f>
        <v>691</v>
      </c>
      <c r="R1123" s="16">
        <f>_xlfn.XLOOKUP(CustomerCombinedCleaned[[#This Row],[ID]], Table4[ID], Table4[Deals], "Not Found", 0)</f>
        <v>5</v>
      </c>
      <c r="S1123" s="16">
        <f>_xlfn.XLOOKUP(CustomerCombinedCleaned[[#This Row],[ID]], Table4[ID], Table4[Website], "Not Found", 0)</f>
        <v>5</v>
      </c>
      <c r="T1123" s="16">
        <f>_xlfn.XLOOKUP(CustomerCombinedCleaned[[#This Row],[ID]], Table4[ID], Table4[Catalog], "Not Found", 0)</f>
        <v>2</v>
      </c>
      <c r="U1123" s="16">
        <f>_xlfn.XLOOKUP(CustomerCombinedCleaned[[#This Row],[ID]], Table4[ID], Table4[Store], "Not Found", 0)</f>
        <v>4</v>
      </c>
      <c r="V1123" s="16">
        <f>_xlfn.XLOOKUP(CustomerCombinedCleaned[[#This Row],[ID]], Table4[ID], Table4[Visits], "Not Found", 0)</f>
        <v>9</v>
      </c>
      <c r="W1123" s="16">
        <f>_xlfn.XLOOKUP(CustomerCombinedCleaned[[#This Row],[ID]], Table2[ID],Table2[Complaint], "Not Found", 0 )</f>
        <v>0</v>
      </c>
      <c r="X1123" s="16">
        <f>_xlfn.XLOOKUP(CustomerCombinedCleaned[[#This Row],[ID]], Table2[ID],Table2[Pilot], "Not Found", 0 )</f>
        <v>0</v>
      </c>
      <c r="Y1123" s="16">
        <f>_xlfn.XLOOKUP(CustomerCombinedCleaned[[#This Row],[ID]], Table2[ID],Table2[MC1], "Not Found", 0 )</f>
        <v>0</v>
      </c>
      <c r="Z1123" s="16">
        <f>_xlfn.XLOOKUP(CustomerCombinedCleaned[[#This Row],[ID]], Table2[ID],Table2[MC2], "Not Found", 0 )</f>
        <v>0</v>
      </c>
      <c r="AA1123" s="16">
        <f>_xlfn.XLOOKUP(CustomerCombinedCleaned[[#This Row],[ID]], Table2[ID],Table2[MC3], "Not Found", 0 )</f>
        <v>0</v>
      </c>
      <c r="AB1123" s="16">
        <f>_xlfn.XLOOKUP(CustomerCombinedCleaned[[#This Row],[ID]], Table2[ID],Table2[MC4], "Not Found", 0 )</f>
        <v>0</v>
      </c>
      <c r="AC1123" s="16">
        <f>_xlfn.XLOOKUP(CustomerCombinedCleaned[[#This Row],[ID]], Table2[ID],Table2[MC5], "Not Found", 0 )</f>
        <v>0</v>
      </c>
    </row>
    <row r="1124" spans="1:29" x14ac:dyDescent="0.3">
      <c r="A1124" s="18">
        <v>1249</v>
      </c>
      <c r="B1124" s="16">
        <v>144159</v>
      </c>
      <c r="C1124" s="16">
        <v>1</v>
      </c>
      <c r="D1124" s="16">
        <v>0</v>
      </c>
      <c r="E1124" s="16">
        <v>50</v>
      </c>
      <c r="F1124" s="17" t="s">
        <v>6</v>
      </c>
      <c r="G1124" s="17" t="s">
        <v>12</v>
      </c>
      <c r="H1124" s="3" t="s">
        <v>32</v>
      </c>
      <c r="I1124" s="5" t="s">
        <v>437</v>
      </c>
      <c r="J1124" s="16">
        <f>_xlfn.XLOOKUP(CustomerCombinedCleaned[[#This Row],[ID]], Table4[ID], Table4[Recency], "Not Found", 0)</f>
        <v>85</v>
      </c>
      <c r="K1124" s="16">
        <f>_xlfn.XLOOKUP(CustomerCombinedCleaned[[#This Row],[ID]], Table4[ID], Table4[Teas], "Not Found", 0)</f>
        <v>545</v>
      </c>
      <c r="L1124" s="16">
        <f>_xlfn.XLOOKUP(CustomerCombinedCleaned[[#This Row],[ID]], Table4[ID], Table4[Fruits], "Not Found", 0)</f>
        <v>7</v>
      </c>
      <c r="M1124" s="16">
        <f>_xlfn.XLOOKUP(CustomerCombinedCleaned[[#This Row],[ID]], Table4[ID], Table4[Meats], "Not Found", 0)</f>
        <v>202</v>
      </c>
      <c r="N1124" s="16">
        <f>_xlfn.XLOOKUP(CustomerCombinedCleaned[[#This Row],[ID]], Table4[ID], Table4[Seafood], "Not Found", 0)</f>
        <v>78</v>
      </c>
      <c r="O1124" s="16">
        <f>_xlfn.XLOOKUP(CustomerCombinedCleaned[[#This Row],[ID]], Table4[ID], Table4[Sweets], "Not Found", 0)</f>
        <v>42</v>
      </c>
      <c r="P1124" s="16">
        <f>_xlfn.XLOOKUP(CustomerCombinedCleaned[[#This Row],[ID]], Table4[ID], Table4[Premium], "Not Found", 0)</f>
        <v>23</v>
      </c>
      <c r="Q1124" s="16">
        <f>_xlfn.XLOOKUP(CustomerCombinedCleaned[[#This Row],[ID]], Table4[ID], Table4[Regular], "Not Found", 0)</f>
        <v>852</v>
      </c>
      <c r="R1124" s="16">
        <f>_xlfn.XLOOKUP(CustomerCombinedCleaned[[#This Row],[ID]], Table4[ID], Table4[Deals], "Not Found", 0)</f>
        <v>4</v>
      </c>
      <c r="S1124" s="16">
        <f>_xlfn.XLOOKUP(CustomerCombinedCleaned[[#This Row],[ID]], Table4[ID], Table4[Website], "Not Found", 0)</f>
        <v>4</v>
      </c>
      <c r="T1124" s="16">
        <f>_xlfn.XLOOKUP(CustomerCombinedCleaned[[#This Row],[ID]], Table4[ID], Table4[Catalog], "Not Found", 0)</f>
        <v>1</v>
      </c>
      <c r="U1124" s="16">
        <f>_xlfn.XLOOKUP(CustomerCombinedCleaned[[#This Row],[ID]], Table4[ID], Table4[Store], "Not Found", 0)</f>
        <v>6</v>
      </c>
      <c r="V1124" s="16">
        <f>_xlfn.XLOOKUP(CustomerCombinedCleaned[[#This Row],[ID]], Table4[ID], Table4[Visits], "Not Found", 0)</f>
        <v>5</v>
      </c>
      <c r="W1124" s="16">
        <f>_xlfn.XLOOKUP(CustomerCombinedCleaned[[#This Row],[ID]], Table2[ID],Table2[Complaint], "Not Found", 0 )</f>
        <v>0</v>
      </c>
      <c r="X1124" s="16">
        <f>_xlfn.XLOOKUP(CustomerCombinedCleaned[[#This Row],[ID]], Table2[ID],Table2[Pilot], "Not Found", 0 )</f>
        <v>0</v>
      </c>
      <c r="Y1124" s="16">
        <f>_xlfn.XLOOKUP(CustomerCombinedCleaned[[#This Row],[ID]], Table2[ID],Table2[MC1], "Not Found", 0 )</f>
        <v>0</v>
      </c>
      <c r="Z1124" s="16">
        <f>_xlfn.XLOOKUP(CustomerCombinedCleaned[[#This Row],[ID]], Table2[ID],Table2[MC2], "Not Found", 0 )</f>
        <v>0</v>
      </c>
      <c r="AA1124" s="16">
        <f>_xlfn.XLOOKUP(CustomerCombinedCleaned[[#This Row],[ID]], Table2[ID],Table2[MC3], "Not Found", 0 )</f>
        <v>0</v>
      </c>
      <c r="AB1124" s="16">
        <f>_xlfn.XLOOKUP(CustomerCombinedCleaned[[#This Row],[ID]], Table2[ID],Table2[MC4], "Not Found", 0 )</f>
        <v>0</v>
      </c>
      <c r="AC1124" s="16">
        <f>_xlfn.XLOOKUP(CustomerCombinedCleaned[[#This Row],[ID]], Table2[ID],Table2[MC5], "Not Found", 0 )</f>
        <v>0</v>
      </c>
    </row>
    <row r="1125" spans="1:29" x14ac:dyDescent="0.3">
      <c r="A1125" s="18">
        <v>3020</v>
      </c>
      <c r="B1125" s="16">
        <v>143020</v>
      </c>
      <c r="C1125" s="16">
        <v>1</v>
      </c>
      <c r="D1125" s="16">
        <v>0</v>
      </c>
      <c r="E1125" s="16">
        <v>50</v>
      </c>
      <c r="F1125" s="17" t="s">
        <v>7</v>
      </c>
      <c r="G1125" s="17" t="s">
        <v>11</v>
      </c>
      <c r="H1125" s="3" t="s">
        <v>767</v>
      </c>
      <c r="I1125" s="5" t="s">
        <v>438</v>
      </c>
      <c r="J1125" s="16">
        <f>_xlfn.XLOOKUP(CustomerCombinedCleaned[[#This Row],[ID]], Table4[ID], Table4[Recency], "Not Found", 0)</f>
        <v>79</v>
      </c>
      <c r="K1125" s="16">
        <f>_xlfn.XLOOKUP(CustomerCombinedCleaned[[#This Row],[ID]], Table4[ID], Table4[Teas], "Not Found", 0)</f>
        <v>150</v>
      </c>
      <c r="L1125" s="16">
        <f>_xlfn.XLOOKUP(CustomerCombinedCleaned[[#This Row],[ID]], Table4[ID], Table4[Fruits], "Not Found", 0)</f>
        <v>23</v>
      </c>
      <c r="M1125" s="16">
        <f>_xlfn.XLOOKUP(CustomerCombinedCleaned[[#This Row],[ID]], Table4[ID], Table4[Meats], "Not Found", 0)</f>
        <v>329</v>
      </c>
      <c r="N1125" s="16">
        <f>_xlfn.XLOOKUP(CustomerCombinedCleaned[[#This Row],[ID]], Table4[ID], Table4[Seafood], "Not Found", 0)</f>
        <v>13</v>
      </c>
      <c r="O1125" s="16">
        <f>_xlfn.XLOOKUP(CustomerCombinedCleaned[[#This Row],[ID]], Table4[ID], Table4[Sweets], "Not Found", 0)</f>
        <v>83</v>
      </c>
      <c r="P1125" s="16">
        <f>_xlfn.XLOOKUP(CustomerCombinedCleaned[[#This Row],[ID]], Table4[ID], Table4[Premium], "Not Found", 0)</f>
        <v>143</v>
      </c>
      <c r="Q1125" s="16">
        <f>_xlfn.XLOOKUP(CustomerCombinedCleaned[[#This Row],[ID]], Table4[ID], Table4[Regular], "Not Found", 0)</f>
        <v>455</v>
      </c>
      <c r="R1125" s="16">
        <f>_xlfn.XLOOKUP(CustomerCombinedCleaned[[#This Row],[ID]], Table4[ID], Table4[Deals], "Not Found", 0)</f>
        <v>3</v>
      </c>
      <c r="S1125" s="16">
        <f>_xlfn.XLOOKUP(CustomerCombinedCleaned[[#This Row],[ID]], Table4[ID], Table4[Website], "Not Found", 0)</f>
        <v>4</v>
      </c>
      <c r="T1125" s="16">
        <f>_xlfn.XLOOKUP(CustomerCombinedCleaned[[#This Row],[ID]], Table4[ID], Table4[Catalog], "Not Found", 0)</f>
        <v>1</v>
      </c>
      <c r="U1125" s="16">
        <f>_xlfn.XLOOKUP(CustomerCombinedCleaned[[#This Row],[ID]], Table4[ID], Table4[Store], "Not Found", 0)</f>
        <v>4</v>
      </c>
      <c r="V1125" s="16">
        <f>_xlfn.XLOOKUP(CustomerCombinedCleaned[[#This Row],[ID]], Table4[ID], Table4[Visits], "Not Found", 0)</f>
        <v>6</v>
      </c>
      <c r="W1125" s="16">
        <f>_xlfn.XLOOKUP(CustomerCombinedCleaned[[#This Row],[ID]], Table2[ID],Table2[Complaint], "Not Found", 0 )</f>
        <v>0</v>
      </c>
      <c r="X1125" s="16">
        <f>_xlfn.XLOOKUP(CustomerCombinedCleaned[[#This Row],[ID]], Table2[ID],Table2[Pilot], "Not Found", 0 )</f>
        <v>0</v>
      </c>
      <c r="Y1125" s="16">
        <f>_xlfn.XLOOKUP(CustomerCombinedCleaned[[#This Row],[ID]], Table2[ID],Table2[MC1], "Not Found", 0 )</f>
        <v>0</v>
      </c>
      <c r="Z1125" s="16">
        <f>_xlfn.XLOOKUP(CustomerCombinedCleaned[[#This Row],[ID]], Table2[ID],Table2[MC2], "Not Found", 0 )</f>
        <v>0</v>
      </c>
      <c r="AA1125" s="16">
        <f>_xlfn.XLOOKUP(CustomerCombinedCleaned[[#This Row],[ID]], Table2[ID],Table2[MC3], "Not Found", 0 )</f>
        <v>0</v>
      </c>
      <c r="AB1125" s="16">
        <f>_xlfn.XLOOKUP(CustomerCombinedCleaned[[#This Row],[ID]], Table2[ID],Table2[MC4], "Not Found", 0 )</f>
        <v>0</v>
      </c>
      <c r="AC1125" s="16">
        <f>_xlfn.XLOOKUP(CustomerCombinedCleaned[[#This Row],[ID]], Table2[ID],Table2[MC5], "Not Found", 0 )</f>
        <v>0</v>
      </c>
    </row>
    <row r="1126" spans="1:29" x14ac:dyDescent="0.3">
      <c r="A1126" s="18">
        <v>1031</v>
      </c>
      <c r="B1126" s="16">
        <v>140548</v>
      </c>
      <c r="C1126" s="16">
        <v>0</v>
      </c>
      <c r="D1126" s="16">
        <v>1</v>
      </c>
      <c r="E1126" s="16">
        <v>50</v>
      </c>
      <c r="F1126" s="17" t="s">
        <v>8</v>
      </c>
      <c r="G1126" s="17" t="s">
        <v>11</v>
      </c>
      <c r="H1126" s="3" t="s">
        <v>384</v>
      </c>
      <c r="I1126" s="5" t="s">
        <v>434</v>
      </c>
      <c r="J1126" s="16">
        <f>_xlfn.XLOOKUP(CustomerCombinedCleaned[[#This Row],[ID]], Table4[ID], Table4[Recency], "Not Found", 0)</f>
        <v>31</v>
      </c>
      <c r="K1126" s="16">
        <f>_xlfn.XLOOKUP(CustomerCombinedCleaned[[#This Row],[ID]], Table4[ID], Table4[Teas], "Not Found", 0)</f>
        <v>381</v>
      </c>
      <c r="L1126" s="16">
        <f>_xlfn.XLOOKUP(CustomerCombinedCleaned[[#This Row],[ID]], Table4[ID], Table4[Fruits], "Not Found", 0)</f>
        <v>0</v>
      </c>
      <c r="M1126" s="16">
        <f>_xlfn.XLOOKUP(CustomerCombinedCleaned[[#This Row],[ID]], Table4[ID], Table4[Meats], "Not Found", 0)</f>
        <v>17</v>
      </c>
      <c r="N1126" s="16">
        <f>_xlfn.XLOOKUP(CustomerCombinedCleaned[[#This Row],[ID]], Table4[ID], Table4[Seafood], "Not Found", 0)</f>
        <v>7</v>
      </c>
      <c r="O1126" s="16">
        <f>_xlfn.XLOOKUP(CustomerCombinedCleaned[[#This Row],[ID]], Table4[ID], Table4[Sweets], "Not Found", 0)</f>
        <v>0</v>
      </c>
      <c r="P1126" s="16">
        <f>_xlfn.XLOOKUP(CustomerCombinedCleaned[[#This Row],[ID]], Table4[ID], Table4[Premium], "Not Found", 0)</f>
        <v>10</v>
      </c>
      <c r="Q1126" s="16">
        <f>_xlfn.XLOOKUP(CustomerCombinedCleaned[[#This Row],[ID]], Table4[ID], Table4[Regular], "Not Found", 0)</f>
        <v>395</v>
      </c>
      <c r="R1126" s="16">
        <f>_xlfn.XLOOKUP(CustomerCombinedCleaned[[#This Row],[ID]], Table4[ID], Table4[Deals], "Not Found", 0)</f>
        <v>2</v>
      </c>
      <c r="S1126" s="16">
        <f>_xlfn.XLOOKUP(CustomerCombinedCleaned[[#This Row],[ID]], Table4[ID], Table4[Website], "Not Found", 0)</f>
        <v>2</v>
      </c>
      <c r="T1126" s="16">
        <f>_xlfn.XLOOKUP(CustomerCombinedCleaned[[#This Row],[ID]], Table4[ID], Table4[Catalog], "Not Found", 0)</f>
        <v>1</v>
      </c>
      <c r="U1126" s="16">
        <f>_xlfn.XLOOKUP(CustomerCombinedCleaned[[#This Row],[ID]], Table4[ID], Table4[Store], "Not Found", 0)</f>
        <v>4</v>
      </c>
      <c r="V1126" s="16">
        <f>_xlfn.XLOOKUP(CustomerCombinedCleaned[[#This Row],[ID]], Table4[ID], Table4[Visits], "Not Found", 0)</f>
        <v>5</v>
      </c>
      <c r="W1126" s="16">
        <f>_xlfn.XLOOKUP(CustomerCombinedCleaned[[#This Row],[ID]], Table2[ID],Table2[Complaint], "Not Found", 0 )</f>
        <v>0</v>
      </c>
      <c r="X1126" s="16">
        <f>_xlfn.XLOOKUP(CustomerCombinedCleaned[[#This Row],[ID]], Table2[ID],Table2[Pilot], "Not Found", 0 )</f>
        <v>0</v>
      </c>
      <c r="Y1126" s="16">
        <f>_xlfn.XLOOKUP(CustomerCombinedCleaned[[#This Row],[ID]], Table2[ID],Table2[MC1], "Not Found", 0 )</f>
        <v>0</v>
      </c>
      <c r="Z1126" s="16">
        <f>_xlfn.XLOOKUP(CustomerCombinedCleaned[[#This Row],[ID]], Table2[ID],Table2[MC2], "Not Found", 0 )</f>
        <v>0</v>
      </c>
      <c r="AA1126" s="16">
        <f>_xlfn.XLOOKUP(CustomerCombinedCleaned[[#This Row],[ID]], Table2[ID],Table2[MC3], "Not Found", 0 )</f>
        <v>0</v>
      </c>
      <c r="AB1126" s="16">
        <f>_xlfn.XLOOKUP(CustomerCombinedCleaned[[#This Row],[ID]], Table2[ID],Table2[MC4], "Not Found", 0 )</f>
        <v>1</v>
      </c>
      <c r="AC1126" s="16">
        <f>_xlfn.XLOOKUP(CustomerCombinedCleaned[[#This Row],[ID]], Table2[ID],Table2[MC5], "Not Found", 0 )</f>
        <v>0</v>
      </c>
    </row>
    <row r="1127" spans="1:29" x14ac:dyDescent="0.3">
      <c r="A1127" s="18">
        <v>1166</v>
      </c>
      <c r="B1127" s="16">
        <v>138853</v>
      </c>
      <c r="C1127" s="16">
        <v>1</v>
      </c>
      <c r="D1127" s="16">
        <v>1</v>
      </c>
      <c r="E1127" s="16">
        <v>50</v>
      </c>
      <c r="F1127" s="17" t="s">
        <v>6</v>
      </c>
      <c r="G1127" s="17" t="s">
        <v>13</v>
      </c>
      <c r="H1127" s="3" t="s">
        <v>44</v>
      </c>
      <c r="I1127" s="5" t="s">
        <v>438</v>
      </c>
      <c r="J1127" s="16">
        <f>_xlfn.XLOOKUP(CustomerCombinedCleaned[[#This Row],[ID]], Table4[ID], Table4[Recency], "Not Found", 0)</f>
        <v>90</v>
      </c>
      <c r="K1127" s="16">
        <f>_xlfn.XLOOKUP(CustomerCombinedCleaned[[#This Row],[ID]], Table4[ID], Table4[Teas], "Not Found", 0)</f>
        <v>104</v>
      </c>
      <c r="L1127" s="16">
        <f>_xlfn.XLOOKUP(CustomerCombinedCleaned[[#This Row],[ID]], Table4[ID], Table4[Fruits], "Not Found", 0)</f>
        <v>0</v>
      </c>
      <c r="M1127" s="16">
        <f>_xlfn.XLOOKUP(CustomerCombinedCleaned[[#This Row],[ID]], Table4[ID], Table4[Meats], "Not Found", 0)</f>
        <v>50</v>
      </c>
      <c r="N1127" s="16">
        <f>_xlfn.XLOOKUP(CustomerCombinedCleaned[[#This Row],[ID]], Table4[ID], Table4[Seafood], "Not Found", 0)</f>
        <v>0</v>
      </c>
      <c r="O1127" s="16">
        <f>_xlfn.XLOOKUP(CustomerCombinedCleaned[[#This Row],[ID]], Table4[ID], Table4[Sweets], "Not Found", 0)</f>
        <v>0</v>
      </c>
      <c r="P1127" s="16">
        <f>_xlfn.XLOOKUP(CustomerCombinedCleaned[[#This Row],[ID]], Table4[ID], Table4[Premium], "Not Found", 0)</f>
        <v>7</v>
      </c>
      <c r="Q1127" s="16">
        <f>_xlfn.XLOOKUP(CustomerCombinedCleaned[[#This Row],[ID]], Table4[ID], Table4[Regular], "Not Found", 0)</f>
        <v>147</v>
      </c>
      <c r="R1127" s="16">
        <f>_xlfn.XLOOKUP(CustomerCombinedCleaned[[#This Row],[ID]], Table4[ID], Table4[Deals], "Not Found", 0)</f>
        <v>2</v>
      </c>
      <c r="S1127" s="16">
        <f>_xlfn.XLOOKUP(CustomerCombinedCleaned[[#This Row],[ID]], Table4[ID], Table4[Website], "Not Found", 0)</f>
        <v>2</v>
      </c>
      <c r="T1127" s="16">
        <f>_xlfn.XLOOKUP(CustomerCombinedCleaned[[#This Row],[ID]], Table4[ID], Table4[Catalog], "Not Found", 0)</f>
        <v>0</v>
      </c>
      <c r="U1127" s="16">
        <f>_xlfn.XLOOKUP(CustomerCombinedCleaned[[#This Row],[ID]], Table4[ID], Table4[Store], "Not Found", 0)</f>
        <v>3</v>
      </c>
      <c r="V1127" s="16">
        <f>_xlfn.XLOOKUP(CustomerCombinedCleaned[[#This Row],[ID]], Table4[ID], Table4[Visits], "Not Found", 0)</f>
        <v>7</v>
      </c>
      <c r="W1127" s="16">
        <f>_xlfn.XLOOKUP(CustomerCombinedCleaned[[#This Row],[ID]], Table2[ID],Table2[Complaint], "Not Found", 0 )</f>
        <v>0</v>
      </c>
      <c r="X1127" s="16">
        <f>_xlfn.XLOOKUP(CustomerCombinedCleaned[[#This Row],[ID]], Table2[ID],Table2[Pilot], "Not Found", 0 )</f>
        <v>0</v>
      </c>
      <c r="Y1127" s="16">
        <f>_xlfn.XLOOKUP(CustomerCombinedCleaned[[#This Row],[ID]], Table2[ID],Table2[MC1], "Not Found", 0 )</f>
        <v>0</v>
      </c>
      <c r="Z1127" s="16">
        <f>_xlfn.XLOOKUP(CustomerCombinedCleaned[[#This Row],[ID]], Table2[ID],Table2[MC2], "Not Found", 0 )</f>
        <v>0</v>
      </c>
      <c r="AA1127" s="16">
        <f>_xlfn.XLOOKUP(CustomerCombinedCleaned[[#This Row],[ID]], Table2[ID],Table2[MC3], "Not Found", 0 )</f>
        <v>0</v>
      </c>
      <c r="AB1127" s="16">
        <f>_xlfn.XLOOKUP(CustomerCombinedCleaned[[#This Row],[ID]], Table2[ID],Table2[MC4], "Not Found", 0 )</f>
        <v>0</v>
      </c>
      <c r="AC1127" s="16">
        <f>_xlfn.XLOOKUP(CustomerCombinedCleaned[[#This Row],[ID]], Table2[ID],Table2[MC5], "Not Found", 0 )</f>
        <v>0</v>
      </c>
    </row>
    <row r="1128" spans="1:29" x14ac:dyDescent="0.3">
      <c r="A1128" s="18">
        <v>1553</v>
      </c>
      <c r="B1128" s="16">
        <v>138200</v>
      </c>
      <c r="C1128" s="16">
        <v>1</v>
      </c>
      <c r="D1128" s="16">
        <v>1</v>
      </c>
      <c r="E1128" s="16">
        <v>50</v>
      </c>
      <c r="F1128" s="17" t="s">
        <v>8</v>
      </c>
      <c r="G1128" s="17" t="s">
        <v>11</v>
      </c>
      <c r="H1128" s="3" t="s">
        <v>351</v>
      </c>
      <c r="I1128" s="5" t="s">
        <v>434</v>
      </c>
      <c r="J1128" s="16">
        <f>_xlfn.XLOOKUP(CustomerCombinedCleaned[[#This Row],[ID]], Table4[ID], Table4[Recency], "Not Found", 0)</f>
        <v>19</v>
      </c>
      <c r="K1128" s="16">
        <f>_xlfn.XLOOKUP(CustomerCombinedCleaned[[#This Row],[ID]], Table4[ID], Table4[Teas], "Not Found", 0)</f>
        <v>43</v>
      </c>
      <c r="L1128" s="16">
        <f>_xlfn.XLOOKUP(CustomerCombinedCleaned[[#This Row],[ID]], Table4[ID], Table4[Fruits], "Not Found", 0)</f>
        <v>0</v>
      </c>
      <c r="M1128" s="16">
        <f>_xlfn.XLOOKUP(CustomerCombinedCleaned[[#This Row],[ID]], Table4[ID], Table4[Meats], "Not Found", 0)</f>
        <v>14</v>
      </c>
      <c r="N1128" s="16">
        <f>_xlfn.XLOOKUP(CustomerCombinedCleaned[[#This Row],[ID]], Table4[ID], Table4[Seafood], "Not Found", 0)</f>
        <v>0</v>
      </c>
      <c r="O1128" s="16">
        <f>_xlfn.XLOOKUP(CustomerCombinedCleaned[[#This Row],[ID]], Table4[ID], Table4[Sweets], "Not Found", 0)</f>
        <v>0</v>
      </c>
      <c r="P1128" s="16">
        <f>_xlfn.XLOOKUP(CustomerCombinedCleaned[[#This Row],[ID]], Table4[ID], Table4[Premium], "Not Found", 0)</f>
        <v>4</v>
      </c>
      <c r="Q1128" s="16">
        <f>_xlfn.XLOOKUP(CustomerCombinedCleaned[[#This Row],[ID]], Table4[ID], Table4[Regular], "Not Found", 0)</f>
        <v>54</v>
      </c>
      <c r="R1128" s="16">
        <f>_xlfn.XLOOKUP(CustomerCombinedCleaned[[#This Row],[ID]], Table4[ID], Table4[Deals], "Not Found", 0)</f>
        <v>1</v>
      </c>
      <c r="S1128" s="16">
        <f>_xlfn.XLOOKUP(CustomerCombinedCleaned[[#This Row],[ID]], Table4[ID], Table4[Website], "Not Found", 0)</f>
        <v>1</v>
      </c>
      <c r="T1128" s="16">
        <f>_xlfn.XLOOKUP(CustomerCombinedCleaned[[#This Row],[ID]], Table4[ID], Table4[Catalog], "Not Found", 0)</f>
        <v>0</v>
      </c>
      <c r="U1128" s="16">
        <f>_xlfn.XLOOKUP(CustomerCombinedCleaned[[#This Row],[ID]], Table4[ID], Table4[Store], "Not Found", 0)</f>
        <v>2</v>
      </c>
      <c r="V1128" s="16">
        <f>_xlfn.XLOOKUP(CustomerCombinedCleaned[[#This Row],[ID]], Table4[ID], Table4[Visits], "Not Found", 0)</f>
        <v>7</v>
      </c>
      <c r="W1128" s="16">
        <f>_xlfn.XLOOKUP(CustomerCombinedCleaned[[#This Row],[ID]], Table2[ID],Table2[Complaint], "Not Found", 0 )</f>
        <v>0</v>
      </c>
      <c r="X1128" s="16">
        <f>_xlfn.XLOOKUP(CustomerCombinedCleaned[[#This Row],[ID]], Table2[ID],Table2[Pilot], "Not Found", 0 )</f>
        <v>0</v>
      </c>
      <c r="Y1128" s="16">
        <f>_xlfn.XLOOKUP(CustomerCombinedCleaned[[#This Row],[ID]], Table2[ID],Table2[MC1], "Not Found", 0 )</f>
        <v>0</v>
      </c>
      <c r="Z1128" s="16">
        <f>_xlfn.XLOOKUP(CustomerCombinedCleaned[[#This Row],[ID]], Table2[ID],Table2[MC2], "Not Found", 0 )</f>
        <v>0</v>
      </c>
      <c r="AA1128" s="16">
        <f>_xlfn.XLOOKUP(CustomerCombinedCleaned[[#This Row],[ID]], Table2[ID],Table2[MC3], "Not Found", 0 )</f>
        <v>0</v>
      </c>
      <c r="AB1128" s="16">
        <f>_xlfn.XLOOKUP(CustomerCombinedCleaned[[#This Row],[ID]], Table2[ID],Table2[MC4], "Not Found", 0 )</f>
        <v>0</v>
      </c>
      <c r="AC1128" s="16">
        <f>_xlfn.XLOOKUP(CustomerCombinedCleaned[[#This Row],[ID]], Table2[ID],Table2[MC5], "Not Found", 0 )</f>
        <v>0</v>
      </c>
    </row>
    <row r="1129" spans="1:29" x14ac:dyDescent="0.3">
      <c r="A1129" s="18">
        <v>1254</v>
      </c>
      <c r="B1129" s="16">
        <v>138097</v>
      </c>
      <c r="C1129" s="16">
        <v>1</v>
      </c>
      <c r="D1129" s="16">
        <v>1</v>
      </c>
      <c r="E1129" s="16">
        <v>50</v>
      </c>
      <c r="F1129" s="17" t="s">
        <v>6</v>
      </c>
      <c r="G1129" s="17" t="s">
        <v>13</v>
      </c>
      <c r="H1129" s="3" t="s">
        <v>379</v>
      </c>
      <c r="I1129" s="5" t="s">
        <v>436</v>
      </c>
      <c r="J1129" s="16">
        <f>_xlfn.XLOOKUP(CustomerCombinedCleaned[[#This Row],[ID]], Table4[ID], Table4[Recency], "Not Found", 0)</f>
        <v>70</v>
      </c>
      <c r="K1129" s="16">
        <f>_xlfn.XLOOKUP(CustomerCombinedCleaned[[#This Row],[ID]], Table4[ID], Table4[Teas], "Not Found", 0)</f>
        <v>279</v>
      </c>
      <c r="L1129" s="16">
        <f>_xlfn.XLOOKUP(CustomerCombinedCleaned[[#This Row],[ID]], Table4[ID], Table4[Fruits], "Not Found", 0)</f>
        <v>7</v>
      </c>
      <c r="M1129" s="16">
        <f>_xlfn.XLOOKUP(CustomerCombinedCleaned[[#This Row],[ID]], Table4[ID], Table4[Meats], "Not Found", 0)</f>
        <v>127</v>
      </c>
      <c r="N1129" s="16">
        <f>_xlfn.XLOOKUP(CustomerCombinedCleaned[[#This Row],[ID]], Table4[ID], Table4[Seafood], "Not Found", 0)</f>
        <v>0</v>
      </c>
      <c r="O1129" s="16">
        <f>_xlfn.XLOOKUP(CustomerCombinedCleaned[[#This Row],[ID]], Table4[ID], Table4[Sweets], "Not Found", 0)</f>
        <v>4</v>
      </c>
      <c r="P1129" s="16">
        <f>_xlfn.XLOOKUP(CustomerCombinedCleaned[[#This Row],[ID]], Table4[ID], Table4[Premium], "Not Found", 0)</f>
        <v>250</v>
      </c>
      <c r="Q1129" s="16">
        <f>_xlfn.XLOOKUP(CustomerCombinedCleaned[[#This Row],[ID]], Table4[ID], Table4[Regular], "Not Found", 0)</f>
        <v>167</v>
      </c>
      <c r="R1129" s="16">
        <f>_xlfn.XLOOKUP(CustomerCombinedCleaned[[#This Row],[ID]], Table4[ID], Table4[Deals], "Not Found", 0)</f>
        <v>4</v>
      </c>
      <c r="S1129" s="16">
        <f>_xlfn.XLOOKUP(CustomerCombinedCleaned[[#This Row],[ID]], Table4[ID], Table4[Website], "Not Found", 0)</f>
        <v>3</v>
      </c>
      <c r="T1129" s="16">
        <f>_xlfn.XLOOKUP(CustomerCombinedCleaned[[#This Row],[ID]], Table4[ID], Table4[Catalog], "Not Found", 0)</f>
        <v>2</v>
      </c>
      <c r="U1129" s="16">
        <f>_xlfn.XLOOKUP(CustomerCombinedCleaned[[#This Row],[ID]], Table4[ID], Table4[Store], "Not Found", 0)</f>
        <v>2</v>
      </c>
      <c r="V1129" s="16">
        <f>_xlfn.XLOOKUP(CustomerCombinedCleaned[[#This Row],[ID]], Table4[ID], Table4[Visits], "Not Found", 0)</f>
        <v>7</v>
      </c>
      <c r="W1129" s="16">
        <f>_xlfn.XLOOKUP(CustomerCombinedCleaned[[#This Row],[ID]], Table2[ID],Table2[Complaint], "Not Found", 0 )</f>
        <v>0</v>
      </c>
      <c r="X1129" s="16">
        <f>_xlfn.XLOOKUP(CustomerCombinedCleaned[[#This Row],[ID]], Table2[ID],Table2[Pilot], "Not Found", 0 )</f>
        <v>1</v>
      </c>
      <c r="Y1129" s="16">
        <f>_xlfn.XLOOKUP(CustomerCombinedCleaned[[#This Row],[ID]], Table2[ID],Table2[MC1], "Not Found", 0 )</f>
        <v>0</v>
      </c>
      <c r="Z1129" s="16">
        <f>_xlfn.XLOOKUP(CustomerCombinedCleaned[[#This Row],[ID]], Table2[ID],Table2[MC2], "Not Found", 0 )</f>
        <v>0</v>
      </c>
      <c r="AA1129" s="16">
        <f>_xlfn.XLOOKUP(CustomerCombinedCleaned[[#This Row],[ID]], Table2[ID],Table2[MC3], "Not Found", 0 )</f>
        <v>1</v>
      </c>
      <c r="AB1129" s="16">
        <f>_xlfn.XLOOKUP(CustomerCombinedCleaned[[#This Row],[ID]], Table2[ID],Table2[MC4], "Not Found", 0 )</f>
        <v>0</v>
      </c>
      <c r="AC1129" s="16">
        <f>_xlfn.XLOOKUP(CustomerCombinedCleaned[[#This Row],[ID]], Table2[ID],Table2[MC5], "Not Found", 0 )</f>
        <v>0</v>
      </c>
    </row>
    <row r="1130" spans="1:29" x14ac:dyDescent="0.3">
      <c r="A1130" s="18">
        <v>1081</v>
      </c>
      <c r="B1130" s="16">
        <v>136138</v>
      </c>
      <c r="C1130" s="16">
        <v>1</v>
      </c>
      <c r="D1130" s="16">
        <v>1</v>
      </c>
      <c r="E1130" s="16">
        <v>50</v>
      </c>
      <c r="F1130" s="17" t="s">
        <v>6</v>
      </c>
      <c r="G1130" s="17" t="s">
        <v>12</v>
      </c>
      <c r="H1130" s="3" t="s">
        <v>220</v>
      </c>
      <c r="I1130" s="5" t="s">
        <v>437</v>
      </c>
      <c r="J1130" s="16">
        <f>_xlfn.XLOOKUP(CustomerCombinedCleaned[[#This Row],[ID]], Table4[ID], Table4[Recency], "Not Found", 0)</f>
        <v>48</v>
      </c>
      <c r="K1130" s="16">
        <f>_xlfn.XLOOKUP(CustomerCombinedCleaned[[#This Row],[ID]], Table4[ID], Table4[Teas], "Not Found", 0)</f>
        <v>490</v>
      </c>
      <c r="L1130" s="16">
        <f>_xlfn.XLOOKUP(CustomerCombinedCleaned[[#This Row],[ID]], Table4[ID], Table4[Fruits], "Not Found", 0)</f>
        <v>0</v>
      </c>
      <c r="M1130" s="16">
        <f>_xlfn.XLOOKUP(CustomerCombinedCleaned[[#This Row],[ID]], Table4[ID], Table4[Meats], "Not Found", 0)</f>
        <v>60</v>
      </c>
      <c r="N1130" s="16">
        <f>_xlfn.XLOOKUP(CustomerCombinedCleaned[[#This Row],[ID]], Table4[ID], Table4[Seafood], "Not Found", 0)</f>
        <v>0</v>
      </c>
      <c r="O1130" s="16">
        <f>_xlfn.XLOOKUP(CustomerCombinedCleaned[[#This Row],[ID]], Table4[ID], Table4[Sweets], "Not Found", 0)</f>
        <v>0</v>
      </c>
      <c r="P1130" s="16">
        <f>_xlfn.XLOOKUP(CustomerCombinedCleaned[[#This Row],[ID]], Table4[ID], Table4[Premium], "Not Found", 0)</f>
        <v>19</v>
      </c>
      <c r="Q1130" s="16">
        <f>_xlfn.XLOOKUP(CustomerCombinedCleaned[[#This Row],[ID]], Table4[ID], Table4[Regular], "Not Found", 0)</f>
        <v>531</v>
      </c>
      <c r="R1130" s="16">
        <f>_xlfn.XLOOKUP(CustomerCombinedCleaned[[#This Row],[ID]], Table4[ID], Table4[Deals], "Not Found", 0)</f>
        <v>5</v>
      </c>
      <c r="S1130" s="16">
        <f>_xlfn.XLOOKUP(CustomerCombinedCleaned[[#This Row],[ID]], Table4[ID], Table4[Website], "Not Found", 0)</f>
        <v>3</v>
      </c>
      <c r="T1130" s="16">
        <f>_xlfn.XLOOKUP(CustomerCombinedCleaned[[#This Row],[ID]], Table4[ID], Table4[Catalog], "Not Found", 0)</f>
        <v>1</v>
      </c>
      <c r="U1130" s="16">
        <f>_xlfn.XLOOKUP(CustomerCombinedCleaned[[#This Row],[ID]], Table4[ID], Table4[Store], "Not Found", 0)</f>
        <v>4</v>
      </c>
      <c r="V1130" s="16">
        <f>_xlfn.XLOOKUP(CustomerCombinedCleaned[[#This Row],[ID]], Table4[ID], Table4[Visits], "Not Found", 0)</f>
        <v>7</v>
      </c>
      <c r="W1130" s="16">
        <f>_xlfn.XLOOKUP(CustomerCombinedCleaned[[#This Row],[ID]], Table2[ID],Table2[Complaint], "Not Found", 0 )</f>
        <v>0</v>
      </c>
      <c r="X1130" s="16">
        <f>_xlfn.XLOOKUP(CustomerCombinedCleaned[[#This Row],[ID]], Table2[ID],Table2[Pilot], "Not Found", 0 )</f>
        <v>0</v>
      </c>
      <c r="Y1130" s="16">
        <f>_xlfn.XLOOKUP(CustomerCombinedCleaned[[#This Row],[ID]], Table2[ID],Table2[MC1], "Not Found", 0 )</f>
        <v>0</v>
      </c>
      <c r="Z1130" s="16">
        <f>_xlfn.XLOOKUP(CustomerCombinedCleaned[[#This Row],[ID]], Table2[ID],Table2[MC2], "Not Found", 0 )</f>
        <v>0</v>
      </c>
      <c r="AA1130" s="16">
        <f>_xlfn.XLOOKUP(CustomerCombinedCleaned[[#This Row],[ID]], Table2[ID],Table2[MC3], "Not Found", 0 )</f>
        <v>0</v>
      </c>
      <c r="AB1130" s="16">
        <f>_xlfn.XLOOKUP(CustomerCombinedCleaned[[#This Row],[ID]], Table2[ID],Table2[MC4], "Not Found", 0 )</f>
        <v>1</v>
      </c>
      <c r="AC1130" s="16">
        <f>_xlfn.XLOOKUP(CustomerCombinedCleaned[[#This Row],[ID]], Table2[ID],Table2[MC5], "Not Found", 0 )</f>
        <v>0</v>
      </c>
    </row>
    <row r="1131" spans="1:29" x14ac:dyDescent="0.3">
      <c r="A1131" s="18">
        <v>1687</v>
      </c>
      <c r="B1131" s="16">
        <v>135682</v>
      </c>
      <c r="C1131" s="16">
        <v>1</v>
      </c>
      <c r="D1131" s="16">
        <v>0</v>
      </c>
      <c r="E1131" s="16">
        <v>50</v>
      </c>
      <c r="F1131" s="17" t="s">
        <v>5</v>
      </c>
      <c r="G1131" s="17" t="s">
        <v>13</v>
      </c>
      <c r="H1131" s="3" t="s">
        <v>615</v>
      </c>
      <c r="I1131" s="5" t="s">
        <v>437</v>
      </c>
      <c r="J1131" s="16">
        <f>_xlfn.XLOOKUP(CustomerCombinedCleaned[[#This Row],[ID]], Table4[ID], Table4[Recency], "Not Found", 0)</f>
        <v>34</v>
      </c>
      <c r="K1131" s="16">
        <f>_xlfn.XLOOKUP(CustomerCombinedCleaned[[#This Row],[ID]], Table4[ID], Table4[Teas], "Not Found", 0)</f>
        <v>87</v>
      </c>
      <c r="L1131" s="16">
        <f>_xlfn.XLOOKUP(CustomerCombinedCleaned[[#This Row],[ID]], Table4[ID], Table4[Fruits], "Not Found", 0)</f>
        <v>0</v>
      </c>
      <c r="M1131" s="16">
        <f>_xlfn.XLOOKUP(CustomerCombinedCleaned[[#This Row],[ID]], Table4[ID], Table4[Meats], "Not Found", 0)</f>
        <v>30</v>
      </c>
      <c r="N1131" s="16">
        <f>_xlfn.XLOOKUP(CustomerCombinedCleaned[[#This Row],[ID]], Table4[ID], Table4[Seafood], "Not Found", 0)</f>
        <v>23</v>
      </c>
      <c r="O1131" s="16">
        <f>_xlfn.XLOOKUP(CustomerCombinedCleaned[[#This Row],[ID]], Table4[ID], Table4[Sweets], "Not Found", 0)</f>
        <v>8</v>
      </c>
      <c r="P1131" s="16">
        <f>_xlfn.XLOOKUP(CustomerCombinedCleaned[[#This Row],[ID]], Table4[ID], Table4[Premium], "Not Found", 0)</f>
        <v>68</v>
      </c>
      <c r="Q1131" s="16">
        <f>_xlfn.XLOOKUP(CustomerCombinedCleaned[[#This Row],[ID]], Table4[ID], Table4[Regular], "Not Found", 0)</f>
        <v>80</v>
      </c>
      <c r="R1131" s="16">
        <f>_xlfn.XLOOKUP(CustomerCombinedCleaned[[#This Row],[ID]], Table4[ID], Table4[Deals], "Not Found", 0)</f>
        <v>1</v>
      </c>
      <c r="S1131" s="16">
        <f>_xlfn.XLOOKUP(CustomerCombinedCleaned[[#This Row],[ID]], Table4[ID], Table4[Website], "Not Found", 0)</f>
        <v>1</v>
      </c>
      <c r="T1131" s="16">
        <f>_xlfn.XLOOKUP(CustomerCombinedCleaned[[#This Row],[ID]], Table4[ID], Table4[Catalog], "Not Found", 0)</f>
        <v>1</v>
      </c>
      <c r="U1131" s="16">
        <f>_xlfn.XLOOKUP(CustomerCombinedCleaned[[#This Row],[ID]], Table4[ID], Table4[Store], "Not Found", 0)</f>
        <v>3</v>
      </c>
      <c r="V1131" s="16">
        <f>_xlfn.XLOOKUP(CustomerCombinedCleaned[[#This Row],[ID]], Table4[ID], Table4[Visits], "Not Found", 0)</f>
        <v>2</v>
      </c>
      <c r="W1131" s="16">
        <f>_xlfn.XLOOKUP(CustomerCombinedCleaned[[#This Row],[ID]], Table2[ID],Table2[Complaint], "Not Found", 0 )</f>
        <v>0</v>
      </c>
      <c r="X1131" s="16">
        <f>_xlfn.XLOOKUP(CustomerCombinedCleaned[[#This Row],[ID]], Table2[ID],Table2[Pilot], "Not Found", 0 )</f>
        <v>0</v>
      </c>
      <c r="Y1131" s="16">
        <f>_xlfn.XLOOKUP(CustomerCombinedCleaned[[#This Row],[ID]], Table2[ID],Table2[MC1], "Not Found", 0 )</f>
        <v>0</v>
      </c>
      <c r="Z1131" s="16">
        <f>_xlfn.XLOOKUP(CustomerCombinedCleaned[[#This Row],[ID]], Table2[ID],Table2[MC2], "Not Found", 0 )</f>
        <v>0</v>
      </c>
      <c r="AA1131" s="16">
        <f>_xlfn.XLOOKUP(CustomerCombinedCleaned[[#This Row],[ID]], Table2[ID],Table2[MC3], "Not Found", 0 )</f>
        <v>0</v>
      </c>
      <c r="AB1131" s="16">
        <f>_xlfn.XLOOKUP(CustomerCombinedCleaned[[#This Row],[ID]], Table2[ID],Table2[MC4], "Not Found", 0 )</f>
        <v>0</v>
      </c>
      <c r="AC1131" s="16">
        <f>_xlfn.XLOOKUP(CustomerCombinedCleaned[[#This Row],[ID]], Table2[ID],Table2[MC5], "Not Found", 0 )</f>
        <v>0</v>
      </c>
    </row>
    <row r="1132" spans="1:29" x14ac:dyDescent="0.3">
      <c r="A1132" s="18">
        <v>2266</v>
      </c>
      <c r="B1132" s="16">
        <v>133986</v>
      </c>
      <c r="C1132" s="16">
        <v>1</v>
      </c>
      <c r="D1132" s="16">
        <v>0</v>
      </c>
      <c r="E1132" s="16">
        <v>50</v>
      </c>
      <c r="F1132" s="17" t="s">
        <v>5</v>
      </c>
      <c r="G1132" s="17" t="s">
        <v>11</v>
      </c>
      <c r="H1132" s="3" t="s">
        <v>294</v>
      </c>
      <c r="I1132" s="5" t="s">
        <v>439</v>
      </c>
      <c r="J1132" s="16">
        <f>_xlfn.XLOOKUP(CustomerCombinedCleaned[[#This Row],[ID]], Table4[ID], Table4[Recency], "Not Found", 0)</f>
        <v>43</v>
      </c>
      <c r="K1132" s="16">
        <f>_xlfn.XLOOKUP(CustomerCombinedCleaned[[#This Row],[ID]], Table4[ID], Table4[Teas], "Not Found", 0)</f>
        <v>63</v>
      </c>
      <c r="L1132" s="16">
        <f>_xlfn.XLOOKUP(CustomerCombinedCleaned[[#This Row],[ID]], Table4[ID], Table4[Fruits], "Not Found", 0)</f>
        <v>8</v>
      </c>
      <c r="M1132" s="16">
        <f>_xlfn.XLOOKUP(CustomerCombinedCleaned[[#This Row],[ID]], Table4[ID], Table4[Meats], "Not Found", 0)</f>
        <v>71</v>
      </c>
      <c r="N1132" s="16">
        <f>_xlfn.XLOOKUP(CustomerCombinedCleaned[[#This Row],[ID]], Table4[ID], Table4[Seafood], "Not Found", 0)</f>
        <v>8</v>
      </c>
      <c r="O1132" s="16">
        <f>_xlfn.XLOOKUP(CustomerCombinedCleaned[[#This Row],[ID]], Table4[ID], Table4[Sweets], "Not Found", 0)</f>
        <v>4</v>
      </c>
      <c r="P1132" s="16">
        <f>_xlfn.XLOOKUP(CustomerCombinedCleaned[[#This Row],[ID]], Table4[ID], Table4[Premium], "Not Found", 0)</f>
        <v>20</v>
      </c>
      <c r="Q1132" s="16">
        <f>_xlfn.XLOOKUP(CustomerCombinedCleaned[[#This Row],[ID]], Table4[ID], Table4[Regular], "Not Found", 0)</f>
        <v>134</v>
      </c>
      <c r="R1132" s="16">
        <f>_xlfn.XLOOKUP(CustomerCombinedCleaned[[#This Row],[ID]], Table4[ID], Table4[Deals], "Not Found", 0)</f>
        <v>1</v>
      </c>
      <c r="S1132" s="16">
        <f>_xlfn.XLOOKUP(CustomerCombinedCleaned[[#This Row],[ID]], Table4[ID], Table4[Website], "Not Found", 0)</f>
        <v>1</v>
      </c>
      <c r="T1132" s="16">
        <f>_xlfn.XLOOKUP(CustomerCombinedCleaned[[#This Row],[ID]], Table4[ID], Table4[Catalog], "Not Found", 0)</f>
        <v>0</v>
      </c>
      <c r="U1132" s="16">
        <f>_xlfn.XLOOKUP(CustomerCombinedCleaned[[#This Row],[ID]], Table4[ID], Table4[Store], "Not Found", 0)</f>
        <v>3</v>
      </c>
      <c r="V1132" s="16">
        <f>_xlfn.XLOOKUP(CustomerCombinedCleaned[[#This Row],[ID]], Table4[ID], Table4[Visits], "Not Found", 0)</f>
        <v>7</v>
      </c>
      <c r="W1132" s="16">
        <f>_xlfn.XLOOKUP(CustomerCombinedCleaned[[#This Row],[ID]], Table2[ID],Table2[Complaint], "Not Found", 0 )</f>
        <v>0</v>
      </c>
      <c r="X1132" s="16">
        <f>_xlfn.XLOOKUP(CustomerCombinedCleaned[[#This Row],[ID]], Table2[ID],Table2[Pilot], "Not Found", 0 )</f>
        <v>0</v>
      </c>
      <c r="Y1132" s="16">
        <f>_xlfn.XLOOKUP(CustomerCombinedCleaned[[#This Row],[ID]], Table2[ID],Table2[MC1], "Not Found", 0 )</f>
        <v>0</v>
      </c>
      <c r="Z1132" s="16">
        <f>_xlfn.XLOOKUP(CustomerCombinedCleaned[[#This Row],[ID]], Table2[ID],Table2[MC2], "Not Found", 0 )</f>
        <v>0</v>
      </c>
      <c r="AA1132" s="16">
        <f>_xlfn.XLOOKUP(CustomerCombinedCleaned[[#This Row],[ID]], Table2[ID],Table2[MC3], "Not Found", 0 )</f>
        <v>0</v>
      </c>
      <c r="AB1132" s="16">
        <f>_xlfn.XLOOKUP(CustomerCombinedCleaned[[#This Row],[ID]], Table2[ID],Table2[MC4], "Not Found", 0 )</f>
        <v>0</v>
      </c>
      <c r="AC1132" s="16">
        <f>_xlfn.XLOOKUP(CustomerCombinedCleaned[[#This Row],[ID]], Table2[ID],Table2[MC5], "Not Found", 0 )</f>
        <v>0</v>
      </c>
    </row>
    <row r="1133" spans="1:29" x14ac:dyDescent="0.3">
      <c r="A1133" s="18">
        <v>1729</v>
      </c>
      <c r="B1133" s="16">
        <v>133697</v>
      </c>
      <c r="C1133" s="16">
        <v>1</v>
      </c>
      <c r="D1133" s="16">
        <v>0</v>
      </c>
      <c r="E1133" s="16">
        <v>50</v>
      </c>
      <c r="F1133" s="17" t="s">
        <v>7</v>
      </c>
      <c r="G1133" s="17" t="s">
        <v>11</v>
      </c>
      <c r="H1133" s="3" t="s">
        <v>184</v>
      </c>
      <c r="I1133" s="5" t="s">
        <v>437</v>
      </c>
      <c r="J1133" s="16">
        <f>_xlfn.XLOOKUP(CustomerCombinedCleaned[[#This Row],[ID]], Table4[ID], Table4[Recency], "Not Found", 0)</f>
        <v>34</v>
      </c>
      <c r="K1133" s="16">
        <f>_xlfn.XLOOKUP(CustomerCombinedCleaned[[#This Row],[ID]], Table4[ID], Table4[Teas], "Not Found", 0)</f>
        <v>16</v>
      </c>
      <c r="L1133" s="16">
        <f>_xlfn.XLOOKUP(CustomerCombinedCleaned[[#This Row],[ID]], Table4[ID], Table4[Fruits], "Not Found", 0)</f>
        <v>12</v>
      </c>
      <c r="M1133" s="16">
        <f>_xlfn.XLOOKUP(CustomerCombinedCleaned[[#This Row],[ID]], Table4[ID], Table4[Meats], "Not Found", 0)</f>
        <v>28</v>
      </c>
      <c r="N1133" s="16">
        <f>_xlfn.XLOOKUP(CustomerCombinedCleaned[[#This Row],[ID]], Table4[ID], Table4[Seafood], "Not Found", 0)</f>
        <v>0</v>
      </c>
      <c r="O1133" s="16">
        <f>_xlfn.XLOOKUP(CustomerCombinedCleaned[[#This Row],[ID]], Table4[ID], Table4[Sweets], "Not Found", 0)</f>
        <v>12</v>
      </c>
      <c r="P1133" s="16">
        <f>_xlfn.XLOOKUP(CustomerCombinedCleaned[[#This Row],[ID]], Table4[ID], Table4[Premium], "Not Found", 0)</f>
        <v>44</v>
      </c>
      <c r="Q1133" s="16">
        <f>_xlfn.XLOOKUP(CustomerCombinedCleaned[[#This Row],[ID]], Table4[ID], Table4[Regular], "Not Found", 0)</f>
        <v>24</v>
      </c>
      <c r="R1133" s="16">
        <f>_xlfn.XLOOKUP(CustomerCombinedCleaned[[#This Row],[ID]], Table4[ID], Table4[Deals], "Not Found", 0)</f>
        <v>1</v>
      </c>
      <c r="S1133" s="16">
        <f>_xlfn.XLOOKUP(CustomerCombinedCleaned[[#This Row],[ID]], Table4[ID], Table4[Website], "Not Found", 0)</f>
        <v>1</v>
      </c>
      <c r="T1133" s="16">
        <f>_xlfn.XLOOKUP(CustomerCombinedCleaned[[#This Row],[ID]], Table4[ID], Table4[Catalog], "Not Found", 0)</f>
        <v>0</v>
      </c>
      <c r="U1133" s="16">
        <f>_xlfn.XLOOKUP(CustomerCombinedCleaned[[#This Row],[ID]], Table4[ID], Table4[Store], "Not Found", 0)</f>
        <v>2</v>
      </c>
      <c r="V1133" s="16">
        <f>_xlfn.XLOOKUP(CustomerCombinedCleaned[[#This Row],[ID]], Table4[ID], Table4[Visits], "Not Found", 0)</f>
        <v>7</v>
      </c>
      <c r="W1133" s="16">
        <f>_xlfn.XLOOKUP(CustomerCombinedCleaned[[#This Row],[ID]], Table2[ID],Table2[Complaint], "Not Found", 0 )</f>
        <v>0</v>
      </c>
      <c r="X1133" s="16">
        <f>_xlfn.XLOOKUP(CustomerCombinedCleaned[[#This Row],[ID]], Table2[ID],Table2[Pilot], "Not Found", 0 )</f>
        <v>0</v>
      </c>
      <c r="Y1133" s="16">
        <f>_xlfn.XLOOKUP(CustomerCombinedCleaned[[#This Row],[ID]], Table2[ID],Table2[MC1], "Not Found", 0 )</f>
        <v>0</v>
      </c>
      <c r="Z1133" s="16">
        <f>_xlfn.XLOOKUP(CustomerCombinedCleaned[[#This Row],[ID]], Table2[ID],Table2[MC2], "Not Found", 0 )</f>
        <v>0</v>
      </c>
      <c r="AA1133" s="16">
        <f>_xlfn.XLOOKUP(CustomerCombinedCleaned[[#This Row],[ID]], Table2[ID],Table2[MC3], "Not Found", 0 )</f>
        <v>1</v>
      </c>
      <c r="AB1133" s="16">
        <f>_xlfn.XLOOKUP(CustomerCombinedCleaned[[#This Row],[ID]], Table2[ID],Table2[MC4], "Not Found", 0 )</f>
        <v>0</v>
      </c>
      <c r="AC1133" s="16">
        <f>_xlfn.XLOOKUP(CustomerCombinedCleaned[[#This Row],[ID]], Table2[ID],Table2[MC5], "Not Found", 0 )</f>
        <v>0</v>
      </c>
    </row>
    <row r="1134" spans="1:29" x14ac:dyDescent="0.3">
      <c r="A1134" s="18">
        <v>1175</v>
      </c>
      <c r="B1134" s="16">
        <v>132303</v>
      </c>
      <c r="C1134" s="16">
        <v>0</v>
      </c>
      <c r="D1134" s="16">
        <v>1</v>
      </c>
      <c r="E1134" s="16">
        <v>50</v>
      </c>
      <c r="F1134" s="17" t="s">
        <v>7</v>
      </c>
      <c r="G1134" s="17" t="s">
        <v>13</v>
      </c>
      <c r="H1134" s="3" t="s">
        <v>630</v>
      </c>
      <c r="I1134" s="5" t="s">
        <v>434</v>
      </c>
      <c r="J1134" s="16">
        <f>_xlfn.XLOOKUP(CustomerCombinedCleaned[[#This Row],[ID]], Table4[ID], Table4[Recency], "Not Found", 0)</f>
        <v>63</v>
      </c>
      <c r="K1134" s="16">
        <f>_xlfn.XLOOKUP(CustomerCombinedCleaned[[#This Row],[ID]], Table4[ID], Table4[Teas], "Not Found", 0)</f>
        <v>143</v>
      </c>
      <c r="L1134" s="16">
        <f>_xlfn.XLOOKUP(CustomerCombinedCleaned[[#This Row],[ID]], Table4[ID], Table4[Fruits], "Not Found", 0)</f>
        <v>0</v>
      </c>
      <c r="M1134" s="16">
        <f>_xlfn.XLOOKUP(CustomerCombinedCleaned[[#This Row],[ID]], Table4[ID], Table4[Meats], "Not Found", 0)</f>
        <v>8</v>
      </c>
      <c r="N1134" s="16">
        <f>_xlfn.XLOOKUP(CustomerCombinedCleaned[[#This Row],[ID]], Table4[ID], Table4[Seafood], "Not Found", 0)</f>
        <v>0</v>
      </c>
      <c r="O1134" s="16">
        <f>_xlfn.XLOOKUP(CustomerCombinedCleaned[[#This Row],[ID]], Table4[ID], Table4[Sweets], "Not Found", 0)</f>
        <v>0</v>
      </c>
      <c r="P1134" s="16">
        <f>_xlfn.XLOOKUP(CustomerCombinedCleaned[[#This Row],[ID]], Table4[ID], Table4[Premium], "Not Found", 0)</f>
        <v>8</v>
      </c>
      <c r="Q1134" s="16">
        <f>_xlfn.XLOOKUP(CustomerCombinedCleaned[[#This Row],[ID]], Table4[ID], Table4[Regular], "Not Found", 0)</f>
        <v>143</v>
      </c>
      <c r="R1134" s="16">
        <f>_xlfn.XLOOKUP(CustomerCombinedCleaned[[#This Row],[ID]], Table4[ID], Table4[Deals], "Not Found", 0)</f>
        <v>2</v>
      </c>
      <c r="S1134" s="16">
        <f>_xlfn.XLOOKUP(CustomerCombinedCleaned[[#This Row],[ID]], Table4[ID], Table4[Website], "Not Found", 0)</f>
        <v>1</v>
      </c>
      <c r="T1134" s="16">
        <f>_xlfn.XLOOKUP(CustomerCombinedCleaned[[#This Row],[ID]], Table4[ID], Table4[Catalog], "Not Found", 0)</f>
        <v>0</v>
      </c>
      <c r="U1134" s="16">
        <f>_xlfn.XLOOKUP(CustomerCombinedCleaned[[#This Row],[ID]], Table4[ID], Table4[Store], "Not Found", 0)</f>
        <v>4</v>
      </c>
      <c r="V1134" s="16">
        <f>_xlfn.XLOOKUP(CustomerCombinedCleaned[[#This Row],[ID]], Table4[ID], Table4[Visits], "Not Found", 0)</f>
        <v>5</v>
      </c>
      <c r="W1134" s="16">
        <f>_xlfn.XLOOKUP(CustomerCombinedCleaned[[#This Row],[ID]], Table2[ID],Table2[Complaint], "Not Found", 0 )</f>
        <v>0</v>
      </c>
      <c r="X1134" s="16">
        <f>_xlfn.XLOOKUP(CustomerCombinedCleaned[[#This Row],[ID]], Table2[ID],Table2[Pilot], "Not Found", 0 )</f>
        <v>0</v>
      </c>
      <c r="Y1134" s="16">
        <f>_xlfn.XLOOKUP(CustomerCombinedCleaned[[#This Row],[ID]], Table2[ID],Table2[MC1], "Not Found", 0 )</f>
        <v>0</v>
      </c>
      <c r="Z1134" s="16">
        <f>_xlfn.XLOOKUP(CustomerCombinedCleaned[[#This Row],[ID]], Table2[ID],Table2[MC2], "Not Found", 0 )</f>
        <v>0</v>
      </c>
      <c r="AA1134" s="16">
        <f>_xlfn.XLOOKUP(CustomerCombinedCleaned[[#This Row],[ID]], Table2[ID],Table2[MC3], "Not Found", 0 )</f>
        <v>0</v>
      </c>
      <c r="AB1134" s="16">
        <f>_xlfn.XLOOKUP(CustomerCombinedCleaned[[#This Row],[ID]], Table2[ID],Table2[MC4], "Not Found", 0 )</f>
        <v>0</v>
      </c>
      <c r="AC1134" s="16">
        <f>_xlfn.XLOOKUP(CustomerCombinedCleaned[[#This Row],[ID]], Table2[ID],Table2[MC5], "Not Found", 0 )</f>
        <v>0</v>
      </c>
    </row>
    <row r="1135" spans="1:29" x14ac:dyDescent="0.3">
      <c r="A1135" s="18">
        <v>1451</v>
      </c>
      <c r="B1135" s="16">
        <v>131880</v>
      </c>
      <c r="C1135" s="16">
        <v>1</v>
      </c>
      <c r="D1135" s="16">
        <v>0</v>
      </c>
      <c r="E1135" s="16">
        <v>50</v>
      </c>
      <c r="F1135" s="17" t="s">
        <v>9</v>
      </c>
      <c r="G1135" s="17" t="s">
        <v>11</v>
      </c>
      <c r="H1135" s="3" t="s">
        <v>584</v>
      </c>
      <c r="I1135" s="5" t="s">
        <v>434</v>
      </c>
      <c r="J1135" s="16">
        <f>_xlfn.XLOOKUP(CustomerCombinedCleaned[[#This Row],[ID]], Table4[ID], Table4[Recency], "Not Found", 0)</f>
        <v>13</v>
      </c>
      <c r="K1135" s="16">
        <f>_xlfn.XLOOKUP(CustomerCombinedCleaned[[#This Row],[ID]], Table4[ID], Table4[Teas], "Not Found", 0)</f>
        <v>17</v>
      </c>
      <c r="L1135" s="16">
        <f>_xlfn.XLOOKUP(CustomerCombinedCleaned[[#This Row],[ID]], Table4[ID], Table4[Fruits], "Not Found", 0)</f>
        <v>4</v>
      </c>
      <c r="M1135" s="16">
        <f>_xlfn.XLOOKUP(CustomerCombinedCleaned[[#This Row],[ID]], Table4[ID], Table4[Meats], "Not Found", 0)</f>
        <v>21</v>
      </c>
      <c r="N1135" s="16">
        <f>_xlfn.XLOOKUP(CustomerCombinedCleaned[[#This Row],[ID]], Table4[ID], Table4[Seafood], "Not Found", 0)</f>
        <v>8</v>
      </c>
      <c r="O1135" s="16">
        <f>_xlfn.XLOOKUP(CustomerCombinedCleaned[[#This Row],[ID]], Table4[ID], Table4[Sweets], "Not Found", 0)</f>
        <v>0</v>
      </c>
      <c r="P1135" s="16">
        <f>_xlfn.XLOOKUP(CustomerCombinedCleaned[[#This Row],[ID]], Table4[ID], Table4[Premium], "Not Found", 0)</f>
        <v>12</v>
      </c>
      <c r="Q1135" s="16">
        <f>_xlfn.XLOOKUP(CustomerCombinedCleaned[[#This Row],[ID]], Table4[ID], Table4[Regular], "Not Found", 0)</f>
        <v>37</v>
      </c>
      <c r="R1135" s="16">
        <f>_xlfn.XLOOKUP(CustomerCombinedCleaned[[#This Row],[ID]], Table4[ID], Table4[Deals], "Not Found", 0)</f>
        <v>1</v>
      </c>
      <c r="S1135" s="16">
        <f>_xlfn.XLOOKUP(CustomerCombinedCleaned[[#This Row],[ID]], Table4[ID], Table4[Website], "Not Found", 0)</f>
        <v>1</v>
      </c>
      <c r="T1135" s="16">
        <f>_xlfn.XLOOKUP(CustomerCombinedCleaned[[#This Row],[ID]], Table4[ID], Table4[Catalog], "Not Found", 0)</f>
        <v>0</v>
      </c>
      <c r="U1135" s="16">
        <f>_xlfn.XLOOKUP(CustomerCombinedCleaned[[#This Row],[ID]], Table4[ID], Table4[Store], "Not Found", 0)</f>
        <v>2</v>
      </c>
      <c r="V1135" s="16">
        <f>_xlfn.XLOOKUP(CustomerCombinedCleaned[[#This Row],[ID]], Table4[ID], Table4[Visits], "Not Found", 0)</f>
        <v>8</v>
      </c>
      <c r="W1135" s="16">
        <f>_xlfn.XLOOKUP(CustomerCombinedCleaned[[#This Row],[ID]], Table2[ID],Table2[Complaint], "Not Found", 0 )</f>
        <v>0</v>
      </c>
      <c r="X1135" s="16">
        <f>_xlfn.XLOOKUP(CustomerCombinedCleaned[[#This Row],[ID]], Table2[ID],Table2[Pilot], "Not Found", 0 )</f>
        <v>0</v>
      </c>
      <c r="Y1135" s="16">
        <f>_xlfn.XLOOKUP(CustomerCombinedCleaned[[#This Row],[ID]], Table2[ID],Table2[MC1], "Not Found", 0 )</f>
        <v>0</v>
      </c>
      <c r="Z1135" s="16">
        <f>_xlfn.XLOOKUP(CustomerCombinedCleaned[[#This Row],[ID]], Table2[ID],Table2[MC2], "Not Found", 0 )</f>
        <v>0</v>
      </c>
      <c r="AA1135" s="16">
        <f>_xlfn.XLOOKUP(CustomerCombinedCleaned[[#This Row],[ID]], Table2[ID],Table2[MC3], "Not Found", 0 )</f>
        <v>0</v>
      </c>
      <c r="AB1135" s="16">
        <f>_xlfn.XLOOKUP(CustomerCombinedCleaned[[#This Row],[ID]], Table2[ID],Table2[MC4], "Not Found", 0 )</f>
        <v>0</v>
      </c>
      <c r="AC1135" s="16">
        <f>_xlfn.XLOOKUP(CustomerCombinedCleaned[[#This Row],[ID]], Table2[ID],Table2[MC5], "Not Found", 0 )</f>
        <v>0</v>
      </c>
    </row>
    <row r="1136" spans="1:29" x14ac:dyDescent="0.3">
      <c r="A1136" s="18">
        <v>1418</v>
      </c>
      <c r="B1136" s="16">
        <v>130015</v>
      </c>
      <c r="C1136" s="16">
        <v>1</v>
      </c>
      <c r="D1136" s="16">
        <v>0</v>
      </c>
      <c r="E1136" s="16">
        <v>50</v>
      </c>
      <c r="F1136" s="17" t="s">
        <v>7</v>
      </c>
      <c r="G1136" s="17" t="s">
        <v>11</v>
      </c>
      <c r="H1136" s="3" t="s">
        <v>571</v>
      </c>
      <c r="I1136" s="5" t="s">
        <v>438</v>
      </c>
      <c r="J1136" s="16">
        <f>_xlfn.XLOOKUP(CustomerCombinedCleaned[[#This Row],[ID]], Table4[ID], Table4[Recency], "Not Found", 0)</f>
        <v>28</v>
      </c>
      <c r="K1136" s="16">
        <f>_xlfn.XLOOKUP(CustomerCombinedCleaned[[#This Row],[ID]], Table4[ID], Table4[Teas], "Not Found", 0)</f>
        <v>108</v>
      </c>
      <c r="L1136" s="16">
        <f>_xlfn.XLOOKUP(CustomerCombinedCleaned[[#This Row],[ID]], Table4[ID], Table4[Fruits], "Not Found", 0)</f>
        <v>0</v>
      </c>
      <c r="M1136" s="16">
        <f>_xlfn.XLOOKUP(CustomerCombinedCleaned[[#This Row],[ID]], Table4[ID], Table4[Meats], "Not Found", 0)</f>
        <v>95</v>
      </c>
      <c r="N1136" s="16">
        <f>_xlfn.XLOOKUP(CustomerCombinedCleaned[[#This Row],[ID]], Table4[ID], Table4[Seafood], "Not Found", 0)</f>
        <v>9</v>
      </c>
      <c r="O1136" s="16">
        <f>_xlfn.XLOOKUP(CustomerCombinedCleaned[[#This Row],[ID]], Table4[ID], Table4[Sweets], "Not Found", 0)</f>
        <v>13</v>
      </c>
      <c r="P1136" s="16">
        <f>_xlfn.XLOOKUP(CustomerCombinedCleaned[[#This Row],[ID]], Table4[ID], Table4[Premium], "Not Found", 0)</f>
        <v>22</v>
      </c>
      <c r="Q1136" s="16">
        <f>_xlfn.XLOOKUP(CustomerCombinedCleaned[[#This Row],[ID]], Table4[ID], Table4[Regular], "Not Found", 0)</f>
        <v>204</v>
      </c>
      <c r="R1136" s="16">
        <f>_xlfn.XLOOKUP(CustomerCombinedCleaned[[#This Row],[ID]], Table4[ID], Table4[Deals], "Not Found", 0)</f>
        <v>2</v>
      </c>
      <c r="S1136" s="16">
        <f>_xlfn.XLOOKUP(CustomerCombinedCleaned[[#This Row],[ID]], Table4[ID], Table4[Website], "Not Found", 0)</f>
        <v>1</v>
      </c>
      <c r="T1136" s="16">
        <f>_xlfn.XLOOKUP(CustomerCombinedCleaned[[#This Row],[ID]], Table4[ID], Table4[Catalog], "Not Found", 0)</f>
        <v>0</v>
      </c>
      <c r="U1136" s="16">
        <f>_xlfn.XLOOKUP(CustomerCombinedCleaned[[#This Row],[ID]], Table4[ID], Table4[Store], "Not Found", 0)</f>
        <v>4</v>
      </c>
      <c r="V1136" s="16">
        <f>_xlfn.XLOOKUP(CustomerCombinedCleaned[[#This Row],[ID]], Table4[ID], Table4[Visits], "Not Found", 0)</f>
        <v>5</v>
      </c>
      <c r="W1136" s="16">
        <f>_xlfn.XLOOKUP(CustomerCombinedCleaned[[#This Row],[ID]], Table2[ID],Table2[Complaint], "Not Found", 0 )</f>
        <v>0</v>
      </c>
      <c r="X1136" s="16">
        <f>_xlfn.XLOOKUP(CustomerCombinedCleaned[[#This Row],[ID]], Table2[ID],Table2[Pilot], "Not Found", 0 )</f>
        <v>0</v>
      </c>
      <c r="Y1136" s="16">
        <f>_xlfn.XLOOKUP(CustomerCombinedCleaned[[#This Row],[ID]], Table2[ID],Table2[MC1], "Not Found", 0 )</f>
        <v>0</v>
      </c>
      <c r="Z1136" s="16">
        <f>_xlfn.XLOOKUP(CustomerCombinedCleaned[[#This Row],[ID]], Table2[ID],Table2[MC2], "Not Found", 0 )</f>
        <v>0</v>
      </c>
      <c r="AA1136" s="16">
        <f>_xlfn.XLOOKUP(CustomerCombinedCleaned[[#This Row],[ID]], Table2[ID],Table2[MC3], "Not Found", 0 )</f>
        <v>0</v>
      </c>
      <c r="AB1136" s="16">
        <f>_xlfn.XLOOKUP(CustomerCombinedCleaned[[#This Row],[ID]], Table2[ID],Table2[MC4], "Not Found", 0 )</f>
        <v>0</v>
      </c>
      <c r="AC1136" s="16">
        <f>_xlfn.XLOOKUP(CustomerCombinedCleaned[[#This Row],[ID]], Table2[ID],Table2[MC5], "Not Found", 0 )</f>
        <v>0</v>
      </c>
    </row>
    <row r="1137" spans="1:29" x14ac:dyDescent="0.3">
      <c r="A1137" s="18">
        <v>1356</v>
      </c>
      <c r="B1137" s="16">
        <v>129548</v>
      </c>
      <c r="C1137" s="16">
        <v>1</v>
      </c>
      <c r="D1137" s="16">
        <v>0</v>
      </c>
      <c r="E1137" s="16">
        <v>50</v>
      </c>
      <c r="F1137" s="17" t="s">
        <v>7</v>
      </c>
      <c r="G1137" s="17" t="s">
        <v>12</v>
      </c>
      <c r="H1137" s="3" t="s">
        <v>752</v>
      </c>
      <c r="I1137" s="5" t="s">
        <v>436</v>
      </c>
      <c r="J1137" s="16">
        <f>_xlfn.XLOOKUP(CustomerCombinedCleaned[[#This Row],[ID]], Table4[ID], Table4[Recency], "Not Found", 0)</f>
        <v>52</v>
      </c>
      <c r="K1137" s="16">
        <f>_xlfn.XLOOKUP(CustomerCombinedCleaned[[#This Row],[ID]], Table4[ID], Table4[Teas], "Not Found", 0)</f>
        <v>31</v>
      </c>
      <c r="L1137" s="16">
        <f>_xlfn.XLOOKUP(CustomerCombinedCleaned[[#This Row],[ID]], Table4[ID], Table4[Fruits], "Not Found", 0)</f>
        <v>4</v>
      </c>
      <c r="M1137" s="16">
        <f>_xlfn.XLOOKUP(CustomerCombinedCleaned[[#This Row],[ID]], Table4[ID], Table4[Meats], "Not Found", 0)</f>
        <v>26</v>
      </c>
      <c r="N1137" s="16">
        <f>_xlfn.XLOOKUP(CustomerCombinedCleaned[[#This Row],[ID]], Table4[ID], Table4[Seafood], "Not Found", 0)</f>
        <v>13</v>
      </c>
      <c r="O1137" s="16">
        <f>_xlfn.XLOOKUP(CustomerCombinedCleaned[[#This Row],[ID]], Table4[ID], Table4[Sweets], "Not Found", 0)</f>
        <v>4</v>
      </c>
      <c r="P1137" s="16">
        <f>_xlfn.XLOOKUP(CustomerCombinedCleaned[[#This Row],[ID]], Table4[ID], Table4[Premium], "Not Found", 0)</f>
        <v>48</v>
      </c>
      <c r="Q1137" s="16">
        <f>_xlfn.XLOOKUP(CustomerCombinedCleaned[[#This Row],[ID]], Table4[ID], Table4[Regular], "Not Found", 0)</f>
        <v>31</v>
      </c>
      <c r="R1137" s="16">
        <f>_xlfn.XLOOKUP(CustomerCombinedCleaned[[#This Row],[ID]], Table4[ID], Table4[Deals], "Not Found", 0)</f>
        <v>1</v>
      </c>
      <c r="S1137" s="16">
        <f>_xlfn.XLOOKUP(CustomerCombinedCleaned[[#This Row],[ID]], Table4[ID], Table4[Website], "Not Found", 0)</f>
        <v>1</v>
      </c>
      <c r="T1137" s="16">
        <f>_xlfn.XLOOKUP(CustomerCombinedCleaned[[#This Row],[ID]], Table4[ID], Table4[Catalog], "Not Found", 0)</f>
        <v>1</v>
      </c>
      <c r="U1137" s="16">
        <f>_xlfn.XLOOKUP(CustomerCombinedCleaned[[#This Row],[ID]], Table4[ID], Table4[Store], "Not Found", 0)</f>
        <v>2</v>
      </c>
      <c r="V1137" s="16">
        <f>_xlfn.XLOOKUP(CustomerCombinedCleaned[[#This Row],[ID]], Table4[ID], Table4[Visits], "Not Found", 0)</f>
        <v>4</v>
      </c>
      <c r="W1137" s="16">
        <f>_xlfn.XLOOKUP(CustomerCombinedCleaned[[#This Row],[ID]], Table2[ID],Table2[Complaint], "Not Found", 0 )</f>
        <v>0</v>
      </c>
      <c r="X1137" s="16">
        <f>_xlfn.XLOOKUP(CustomerCombinedCleaned[[#This Row],[ID]], Table2[ID],Table2[Pilot], "Not Found", 0 )</f>
        <v>0</v>
      </c>
      <c r="Y1137" s="16">
        <f>_xlfn.XLOOKUP(CustomerCombinedCleaned[[#This Row],[ID]], Table2[ID],Table2[MC1], "Not Found", 0 )</f>
        <v>0</v>
      </c>
      <c r="Z1137" s="16">
        <f>_xlfn.XLOOKUP(CustomerCombinedCleaned[[#This Row],[ID]], Table2[ID],Table2[MC2], "Not Found", 0 )</f>
        <v>0</v>
      </c>
      <c r="AA1137" s="16">
        <f>_xlfn.XLOOKUP(CustomerCombinedCleaned[[#This Row],[ID]], Table2[ID],Table2[MC3], "Not Found", 0 )</f>
        <v>1</v>
      </c>
      <c r="AB1137" s="16">
        <f>_xlfn.XLOOKUP(CustomerCombinedCleaned[[#This Row],[ID]], Table2[ID],Table2[MC4], "Not Found", 0 )</f>
        <v>0</v>
      </c>
      <c r="AC1137" s="16">
        <f>_xlfn.XLOOKUP(CustomerCombinedCleaned[[#This Row],[ID]], Table2[ID],Table2[MC5], "Not Found", 0 )</f>
        <v>0</v>
      </c>
    </row>
    <row r="1138" spans="1:29" x14ac:dyDescent="0.3">
      <c r="A1138" s="18">
        <v>2401</v>
      </c>
      <c r="B1138" s="16">
        <v>128164</v>
      </c>
      <c r="C1138" s="16">
        <v>1</v>
      </c>
      <c r="D1138" s="16">
        <v>0</v>
      </c>
      <c r="E1138" s="16">
        <v>50</v>
      </c>
      <c r="F1138" s="17" t="s">
        <v>6</v>
      </c>
      <c r="G1138" s="17" t="s">
        <v>11</v>
      </c>
      <c r="H1138" s="3" t="s">
        <v>658</v>
      </c>
      <c r="I1138" s="5" t="s">
        <v>437</v>
      </c>
      <c r="J1138" s="16">
        <f>_xlfn.XLOOKUP(CustomerCombinedCleaned[[#This Row],[ID]], Table4[ID], Table4[Recency], "Not Found", 0)</f>
        <v>23</v>
      </c>
      <c r="K1138" s="16">
        <f>_xlfn.XLOOKUP(CustomerCombinedCleaned[[#This Row],[ID]], Table4[ID], Table4[Teas], "Not Found", 0)</f>
        <v>14</v>
      </c>
      <c r="L1138" s="16">
        <f>_xlfn.XLOOKUP(CustomerCombinedCleaned[[#This Row],[ID]], Table4[ID], Table4[Fruits], "Not Found", 0)</f>
        <v>82</v>
      </c>
      <c r="M1138" s="16">
        <f>_xlfn.XLOOKUP(CustomerCombinedCleaned[[#This Row],[ID]], Table4[ID], Table4[Meats], "Not Found", 0)</f>
        <v>118</v>
      </c>
      <c r="N1138" s="16">
        <f>_xlfn.XLOOKUP(CustomerCombinedCleaned[[#This Row],[ID]], Table4[ID], Table4[Seafood], "Not Found", 0)</f>
        <v>50</v>
      </c>
      <c r="O1138" s="16">
        <f>_xlfn.XLOOKUP(CustomerCombinedCleaned[[#This Row],[ID]], Table4[ID], Table4[Sweets], "Not Found", 0)</f>
        <v>36</v>
      </c>
      <c r="P1138" s="16">
        <f>_xlfn.XLOOKUP(CustomerCombinedCleaned[[#This Row],[ID]], Table4[ID], Table4[Premium], "Not Found", 0)</f>
        <v>55</v>
      </c>
      <c r="Q1138" s="16">
        <f>_xlfn.XLOOKUP(CustomerCombinedCleaned[[#This Row],[ID]], Table4[ID], Table4[Regular], "Not Found", 0)</f>
        <v>246</v>
      </c>
      <c r="R1138" s="16">
        <f>_xlfn.XLOOKUP(CustomerCombinedCleaned[[#This Row],[ID]], Table4[ID], Table4[Deals], "Not Found", 0)</f>
        <v>3</v>
      </c>
      <c r="S1138" s="16">
        <f>_xlfn.XLOOKUP(CustomerCombinedCleaned[[#This Row],[ID]], Table4[ID], Table4[Website], "Not Found", 0)</f>
        <v>2</v>
      </c>
      <c r="T1138" s="16">
        <f>_xlfn.XLOOKUP(CustomerCombinedCleaned[[#This Row],[ID]], Table4[ID], Table4[Catalog], "Not Found", 0)</f>
        <v>0</v>
      </c>
      <c r="U1138" s="16">
        <f>_xlfn.XLOOKUP(CustomerCombinedCleaned[[#This Row],[ID]], Table4[ID], Table4[Store], "Not Found", 0)</f>
        <v>4</v>
      </c>
      <c r="V1138" s="16">
        <f>_xlfn.XLOOKUP(CustomerCombinedCleaned[[#This Row],[ID]], Table4[ID], Table4[Visits], "Not Found", 0)</f>
        <v>7</v>
      </c>
      <c r="W1138" s="16">
        <f>_xlfn.XLOOKUP(CustomerCombinedCleaned[[#This Row],[ID]], Table2[ID],Table2[Complaint], "Not Found", 0 )</f>
        <v>0</v>
      </c>
      <c r="X1138" s="16">
        <f>_xlfn.XLOOKUP(CustomerCombinedCleaned[[#This Row],[ID]], Table2[ID],Table2[Pilot], "Not Found", 0 )</f>
        <v>0</v>
      </c>
      <c r="Y1138" s="16">
        <f>_xlfn.XLOOKUP(CustomerCombinedCleaned[[#This Row],[ID]], Table2[ID],Table2[MC1], "Not Found", 0 )</f>
        <v>0</v>
      </c>
      <c r="Z1138" s="16">
        <f>_xlfn.XLOOKUP(CustomerCombinedCleaned[[#This Row],[ID]], Table2[ID],Table2[MC2], "Not Found", 0 )</f>
        <v>0</v>
      </c>
      <c r="AA1138" s="16">
        <f>_xlfn.XLOOKUP(CustomerCombinedCleaned[[#This Row],[ID]], Table2[ID],Table2[MC3], "Not Found", 0 )</f>
        <v>0</v>
      </c>
      <c r="AB1138" s="16">
        <f>_xlfn.XLOOKUP(CustomerCombinedCleaned[[#This Row],[ID]], Table2[ID],Table2[MC4], "Not Found", 0 )</f>
        <v>0</v>
      </c>
      <c r="AC1138" s="16">
        <f>_xlfn.XLOOKUP(CustomerCombinedCleaned[[#This Row],[ID]], Table2[ID],Table2[MC5], "Not Found", 0 )</f>
        <v>0</v>
      </c>
    </row>
    <row r="1139" spans="1:29" x14ac:dyDescent="0.3">
      <c r="A1139" s="18">
        <v>2495</v>
      </c>
      <c r="B1139" s="16">
        <v>127242</v>
      </c>
      <c r="C1139" s="16">
        <v>1</v>
      </c>
      <c r="D1139" s="16">
        <v>0</v>
      </c>
      <c r="E1139" s="16">
        <v>50</v>
      </c>
      <c r="F1139" s="17" t="s">
        <v>7</v>
      </c>
      <c r="G1139" s="17" t="s">
        <v>11</v>
      </c>
      <c r="H1139" s="3" t="s">
        <v>364</v>
      </c>
      <c r="I1139" s="5" t="s">
        <v>434</v>
      </c>
      <c r="J1139" s="16">
        <f>_xlfn.XLOOKUP(CustomerCombinedCleaned[[#This Row],[ID]], Table4[ID], Table4[Recency], "Not Found", 0)</f>
        <v>2</v>
      </c>
      <c r="K1139" s="16">
        <f>_xlfn.XLOOKUP(CustomerCombinedCleaned[[#This Row],[ID]], Table4[ID], Table4[Teas], "Not Found", 0)</f>
        <v>14</v>
      </c>
      <c r="L1139" s="16">
        <f>_xlfn.XLOOKUP(CustomerCombinedCleaned[[#This Row],[ID]], Table4[ID], Table4[Fruits], "Not Found", 0)</f>
        <v>79</v>
      </c>
      <c r="M1139" s="16">
        <f>_xlfn.XLOOKUP(CustomerCombinedCleaned[[#This Row],[ID]], Table4[ID], Table4[Meats], "Not Found", 0)</f>
        <v>121</v>
      </c>
      <c r="N1139" s="16">
        <f>_xlfn.XLOOKUP(CustomerCombinedCleaned[[#This Row],[ID]], Table4[ID], Table4[Seafood], "Not Found", 0)</f>
        <v>93</v>
      </c>
      <c r="O1139" s="16">
        <f>_xlfn.XLOOKUP(CustomerCombinedCleaned[[#This Row],[ID]], Table4[ID], Table4[Sweets], "Not Found", 0)</f>
        <v>5</v>
      </c>
      <c r="P1139" s="16">
        <f>_xlfn.XLOOKUP(CustomerCombinedCleaned[[#This Row],[ID]], Table4[ID], Table4[Premium], "Not Found", 0)</f>
        <v>182</v>
      </c>
      <c r="Q1139" s="16">
        <f>_xlfn.XLOOKUP(CustomerCombinedCleaned[[#This Row],[ID]], Table4[ID], Table4[Regular], "Not Found", 0)</f>
        <v>131</v>
      </c>
      <c r="R1139" s="16">
        <f>_xlfn.XLOOKUP(CustomerCombinedCleaned[[#This Row],[ID]], Table4[ID], Table4[Deals], "Not Found", 0)</f>
        <v>2</v>
      </c>
      <c r="S1139" s="16">
        <f>_xlfn.XLOOKUP(CustomerCombinedCleaned[[#This Row],[ID]], Table4[ID], Table4[Website], "Not Found", 0)</f>
        <v>2</v>
      </c>
      <c r="T1139" s="16">
        <f>_xlfn.XLOOKUP(CustomerCombinedCleaned[[#This Row],[ID]], Table4[ID], Table4[Catalog], "Not Found", 0)</f>
        <v>0</v>
      </c>
      <c r="U1139" s="16">
        <f>_xlfn.XLOOKUP(CustomerCombinedCleaned[[#This Row],[ID]], Table4[ID], Table4[Store], "Not Found", 0)</f>
        <v>3</v>
      </c>
      <c r="V1139" s="16">
        <f>_xlfn.XLOOKUP(CustomerCombinedCleaned[[#This Row],[ID]], Table4[ID], Table4[Visits], "Not Found", 0)</f>
        <v>9</v>
      </c>
      <c r="W1139" s="16">
        <f>_xlfn.XLOOKUP(CustomerCombinedCleaned[[#This Row],[ID]], Table2[ID],Table2[Complaint], "Not Found", 0 )</f>
        <v>0</v>
      </c>
      <c r="X1139" s="16">
        <f>_xlfn.XLOOKUP(CustomerCombinedCleaned[[#This Row],[ID]], Table2[ID],Table2[Pilot], "Not Found", 0 )</f>
        <v>1</v>
      </c>
      <c r="Y1139" s="16">
        <f>_xlfn.XLOOKUP(CustomerCombinedCleaned[[#This Row],[ID]], Table2[ID],Table2[MC1], "Not Found", 0 )</f>
        <v>0</v>
      </c>
      <c r="Z1139" s="16">
        <f>_xlfn.XLOOKUP(CustomerCombinedCleaned[[#This Row],[ID]], Table2[ID],Table2[MC2], "Not Found", 0 )</f>
        <v>0</v>
      </c>
      <c r="AA1139" s="16">
        <f>_xlfn.XLOOKUP(CustomerCombinedCleaned[[#This Row],[ID]], Table2[ID],Table2[MC3], "Not Found", 0 )</f>
        <v>0</v>
      </c>
      <c r="AB1139" s="16">
        <f>_xlfn.XLOOKUP(CustomerCombinedCleaned[[#This Row],[ID]], Table2[ID],Table2[MC4], "Not Found", 0 )</f>
        <v>0</v>
      </c>
      <c r="AC1139" s="16">
        <f>_xlfn.XLOOKUP(CustomerCombinedCleaned[[#This Row],[ID]], Table2[ID],Table2[MC5], "Not Found", 0 )</f>
        <v>0</v>
      </c>
    </row>
    <row r="1140" spans="1:29" x14ac:dyDescent="0.3">
      <c r="A1140" s="18">
        <v>2034</v>
      </c>
      <c r="B1140" s="16">
        <v>125959</v>
      </c>
      <c r="C1140" s="16">
        <v>1</v>
      </c>
      <c r="D1140" s="16">
        <v>1</v>
      </c>
      <c r="E1140" s="16">
        <v>50</v>
      </c>
      <c r="F1140" s="17" t="s">
        <v>5</v>
      </c>
      <c r="G1140" s="17" t="s">
        <v>11</v>
      </c>
      <c r="H1140" s="3" t="s">
        <v>309</v>
      </c>
      <c r="I1140" s="5" t="s">
        <v>436</v>
      </c>
      <c r="J1140" s="16">
        <f>_xlfn.XLOOKUP(CustomerCombinedCleaned[[#This Row],[ID]], Table4[ID], Table4[Recency], "Not Found", 0)</f>
        <v>1</v>
      </c>
      <c r="K1140" s="16">
        <f>_xlfn.XLOOKUP(CustomerCombinedCleaned[[#This Row],[ID]], Table4[ID], Table4[Teas], "Not Found", 0)</f>
        <v>19</v>
      </c>
      <c r="L1140" s="16">
        <f>_xlfn.XLOOKUP(CustomerCombinedCleaned[[#This Row],[ID]], Table4[ID], Table4[Fruits], "Not Found", 0)</f>
        <v>10</v>
      </c>
      <c r="M1140" s="16">
        <f>_xlfn.XLOOKUP(CustomerCombinedCleaned[[#This Row],[ID]], Table4[ID], Table4[Meats], "Not Found", 0)</f>
        <v>58</v>
      </c>
      <c r="N1140" s="16">
        <f>_xlfn.XLOOKUP(CustomerCombinedCleaned[[#This Row],[ID]], Table4[ID], Table4[Seafood], "Not Found", 0)</f>
        <v>34</v>
      </c>
      <c r="O1140" s="16">
        <f>_xlfn.XLOOKUP(CustomerCombinedCleaned[[#This Row],[ID]], Table4[ID], Table4[Sweets], "Not Found", 0)</f>
        <v>24</v>
      </c>
      <c r="P1140" s="16">
        <f>_xlfn.XLOOKUP(CustomerCombinedCleaned[[#This Row],[ID]], Table4[ID], Table4[Premium], "Not Found", 0)</f>
        <v>126</v>
      </c>
      <c r="Q1140" s="16">
        <f>_xlfn.XLOOKUP(CustomerCombinedCleaned[[#This Row],[ID]], Table4[ID], Table4[Regular], "Not Found", 0)</f>
        <v>19</v>
      </c>
      <c r="R1140" s="16">
        <f>_xlfn.XLOOKUP(CustomerCombinedCleaned[[#This Row],[ID]], Table4[ID], Table4[Deals], "Not Found", 0)</f>
        <v>2</v>
      </c>
      <c r="S1140" s="16">
        <f>_xlfn.XLOOKUP(CustomerCombinedCleaned[[#This Row],[ID]], Table4[ID], Table4[Website], "Not Found", 0)</f>
        <v>1</v>
      </c>
      <c r="T1140" s="16">
        <f>_xlfn.XLOOKUP(CustomerCombinedCleaned[[#This Row],[ID]], Table4[ID], Table4[Catalog], "Not Found", 0)</f>
        <v>2</v>
      </c>
      <c r="U1140" s="16">
        <f>_xlfn.XLOOKUP(CustomerCombinedCleaned[[#This Row],[ID]], Table4[ID], Table4[Store], "Not Found", 0)</f>
        <v>2</v>
      </c>
      <c r="V1140" s="16">
        <f>_xlfn.XLOOKUP(CustomerCombinedCleaned[[#This Row],[ID]], Table4[ID], Table4[Visits], "Not Found", 0)</f>
        <v>6</v>
      </c>
      <c r="W1140" s="16">
        <f>_xlfn.XLOOKUP(CustomerCombinedCleaned[[#This Row],[ID]], Table2[ID],Table2[Complaint], "Not Found", 0 )</f>
        <v>0</v>
      </c>
      <c r="X1140" s="16">
        <f>_xlfn.XLOOKUP(CustomerCombinedCleaned[[#This Row],[ID]], Table2[ID],Table2[Pilot], "Not Found", 0 )</f>
        <v>1</v>
      </c>
      <c r="Y1140" s="16">
        <f>_xlfn.XLOOKUP(CustomerCombinedCleaned[[#This Row],[ID]], Table2[ID],Table2[MC1], "Not Found", 0 )</f>
        <v>0</v>
      </c>
      <c r="Z1140" s="16">
        <f>_xlfn.XLOOKUP(CustomerCombinedCleaned[[#This Row],[ID]], Table2[ID],Table2[MC2], "Not Found", 0 )</f>
        <v>0</v>
      </c>
      <c r="AA1140" s="16">
        <f>_xlfn.XLOOKUP(CustomerCombinedCleaned[[#This Row],[ID]], Table2[ID],Table2[MC3], "Not Found", 0 )</f>
        <v>0</v>
      </c>
      <c r="AB1140" s="16">
        <f>_xlfn.XLOOKUP(CustomerCombinedCleaned[[#This Row],[ID]], Table2[ID],Table2[MC4], "Not Found", 0 )</f>
        <v>0</v>
      </c>
      <c r="AC1140" s="16">
        <f>_xlfn.XLOOKUP(CustomerCombinedCleaned[[#This Row],[ID]], Table2[ID],Table2[MC5], "Not Found", 0 )</f>
        <v>0</v>
      </c>
    </row>
    <row r="1141" spans="1:29" x14ac:dyDescent="0.3">
      <c r="A1141" s="18">
        <v>2975</v>
      </c>
      <c r="B1141" s="16">
        <v>124206</v>
      </c>
      <c r="C1141" s="16">
        <v>1</v>
      </c>
      <c r="D1141" s="16">
        <v>0</v>
      </c>
      <c r="E1141" s="16">
        <v>50</v>
      </c>
      <c r="F1141" s="17" t="s">
        <v>7</v>
      </c>
      <c r="G1141" s="17" t="s">
        <v>11</v>
      </c>
      <c r="H1141" s="3" t="s">
        <v>299</v>
      </c>
      <c r="I1141" s="5" t="s">
        <v>434</v>
      </c>
      <c r="J1141" s="16">
        <f>_xlfn.XLOOKUP(CustomerCombinedCleaned[[#This Row],[ID]], Table4[ID], Table4[Recency], "Not Found", 0)</f>
        <v>66</v>
      </c>
      <c r="K1141" s="16">
        <f>_xlfn.XLOOKUP(CustomerCombinedCleaned[[#This Row],[ID]], Table4[ID], Table4[Teas], "Not Found", 0)</f>
        <v>36</v>
      </c>
      <c r="L1141" s="16">
        <f>_xlfn.XLOOKUP(CustomerCombinedCleaned[[#This Row],[ID]], Table4[ID], Table4[Fruits], "Not Found", 0)</f>
        <v>10</v>
      </c>
      <c r="M1141" s="16">
        <f>_xlfn.XLOOKUP(CustomerCombinedCleaned[[#This Row],[ID]], Table4[ID], Table4[Meats], "Not Found", 0)</f>
        <v>41</v>
      </c>
      <c r="N1141" s="16">
        <f>_xlfn.XLOOKUP(CustomerCombinedCleaned[[#This Row],[ID]], Table4[ID], Table4[Seafood], "Not Found", 0)</f>
        <v>15</v>
      </c>
      <c r="O1141" s="16">
        <f>_xlfn.XLOOKUP(CustomerCombinedCleaned[[#This Row],[ID]], Table4[ID], Table4[Sweets], "Not Found", 0)</f>
        <v>10</v>
      </c>
      <c r="P1141" s="16">
        <f>_xlfn.XLOOKUP(CustomerCombinedCleaned[[#This Row],[ID]], Table4[ID], Table4[Premium], "Not Found", 0)</f>
        <v>15</v>
      </c>
      <c r="Q1141" s="16">
        <f>_xlfn.XLOOKUP(CustomerCombinedCleaned[[#This Row],[ID]], Table4[ID], Table4[Regular], "Not Found", 0)</f>
        <v>97</v>
      </c>
      <c r="R1141" s="16">
        <f>_xlfn.XLOOKUP(CustomerCombinedCleaned[[#This Row],[ID]], Table4[ID], Table4[Deals], "Not Found", 0)</f>
        <v>1</v>
      </c>
      <c r="S1141" s="16">
        <f>_xlfn.XLOOKUP(CustomerCombinedCleaned[[#This Row],[ID]], Table4[ID], Table4[Website], "Not Found", 0)</f>
        <v>1</v>
      </c>
      <c r="T1141" s="16">
        <f>_xlfn.XLOOKUP(CustomerCombinedCleaned[[#This Row],[ID]], Table4[ID], Table4[Catalog], "Not Found", 0)</f>
        <v>0</v>
      </c>
      <c r="U1141" s="16">
        <f>_xlfn.XLOOKUP(CustomerCombinedCleaned[[#This Row],[ID]], Table4[ID], Table4[Store], "Not Found", 0)</f>
        <v>3</v>
      </c>
      <c r="V1141" s="16">
        <f>_xlfn.XLOOKUP(CustomerCombinedCleaned[[#This Row],[ID]], Table4[ID], Table4[Visits], "Not Found", 0)</f>
        <v>6</v>
      </c>
      <c r="W1141" s="16">
        <f>_xlfn.XLOOKUP(CustomerCombinedCleaned[[#This Row],[ID]], Table2[ID],Table2[Complaint], "Not Found", 0 )</f>
        <v>0</v>
      </c>
      <c r="X1141" s="16">
        <f>_xlfn.XLOOKUP(CustomerCombinedCleaned[[#This Row],[ID]], Table2[ID],Table2[Pilot], "Not Found", 0 )</f>
        <v>0</v>
      </c>
      <c r="Y1141" s="16">
        <f>_xlfn.XLOOKUP(CustomerCombinedCleaned[[#This Row],[ID]], Table2[ID],Table2[MC1], "Not Found", 0 )</f>
        <v>0</v>
      </c>
      <c r="Z1141" s="16">
        <f>_xlfn.XLOOKUP(CustomerCombinedCleaned[[#This Row],[ID]], Table2[ID],Table2[MC2], "Not Found", 0 )</f>
        <v>0</v>
      </c>
      <c r="AA1141" s="16">
        <f>_xlfn.XLOOKUP(CustomerCombinedCleaned[[#This Row],[ID]], Table2[ID],Table2[MC3], "Not Found", 0 )</f>
        <v>0</v>
      </c>
      <c r="AB1141" s="16">
        <f>_xlfn.XLOOKUP(CustomerCombinedCleaned[[#This Row],[ID]], Table2[ID],Table2[MC4], "Not Found", 0 )</f>
        <v>0</v>
      </c>
      <c r="AC1141" s="16">
        <f>_xlfn.XLOOKUP(CustomerCombinedCleaned[[#This Row],[ID]], Table2[ID],Table2[MC5], "Not Found", 0 )</f>
        <v>0</v>
      </c>
    </row>
    <row r="1142" spans="1:29" x14ac:dyDescent="0.3">
      <c r="A1142" s="18">
        <v>2067</v>
      </c>
      <c r="B1142" s="16">
        <v>124163</v>
      </c>
      <c r="C1142" s="16">
        <v>1</v>
      </c>
      <c r="D1142" s="16">
        <v>1</v>
      </c>
      <c r="E1142" s="16">
        <v>50</v>
      </c>
      <c r="F1142" s="17" t="s">
        <v>7</v>
      </c>
      <c r="G1142" s="17" t="s">
        <v>11</v>
      </c>
      <c r="H1142" s="3" t="s">
        <v>170</v>
      </c>
      <c r="I1142" s="5" t="s">
        <v>435</v>
      </c>
      <c r="J1142" s="16">
        <f>_xlfn.XLOOKUP(CustomerCombinedCleaned[[#This Row],[ID]], Table4[ID], Table4[Recency], "Not Found", 0)</f>
        <v>3</v>
      </c>
      <c r="K1142" s="16">
        <f>_xlfn.XLOOKUP(CustomerCombinedCleaned[[#This Row],[ID]], Table4[ID], Table4[Teas], "Not Found", 0)</f>
        <v>21</v>
      </c>
      <c r="L1142" s="16">
        <f>_xlfn.XLOOKUP(CustomerCombinedCleaned[[#This Row],[ID]], Table4[ID], Table4[Fruits], "Not Found", 0)</f>
        <v>5</v>
      </c>
      <c r="M1142" s="16">
        <f>_xlfn.XLOOKUP(CustomerCombinedCleaned[[#This Row],[ID]], Table4[ID], Table4[Meats], "Not Found", 0)</f>
        <v>36</v>
      </c>
      <c r="N1142" s="16">
        <f>_xlfn.XLOOKUP(CustomerCombinedCleaned[[#This Row],[ID]], Table4[ID], Table4[Seafood], "Not Found", 0)</f>
        <v>10</v>
      </c>
      <c r="O1142" s="16">
        <f>_xlfn.XLOOKUP(CustomerCombinedCleaned[[#This Row],[ID]], Table4[ID], Table4[Sweets], "Not Found", 0)</f>
        <v>5</v>
      </c>
      <c r="P1142" s="16">
        <f>_xlfn.XLOOKUP(CustomerCombinedCleaned[[#This Row],[ID]], Table4[ID], Table4[Premium], "Not Found", 0)</f>
        <v>10</v>
      </c>
      <c r="Q1142" s="16">
        <f>_xlfn.XLOOKUP(CustomerCombinedCleaned[[#This Row],[ID]], Table4[ID], Table4[Regular], "Not Found", 0)</f>
        <v>67</v>
      </c>
      <c r="R1142" s="16">
        <f>_xlfn.XLOOKUP(CustomerCombinedCleaned[[#This Row],[ID]], Table4[ID], Table4[Deals], "Not Found", 0)</f>
        <v>2</v>
      </c>
      <c r="S1142" s="16">
        <f>_xlfn.XLOOKUP(CustomerCombinedCleaned[[#This Row],[ID]], Table4[ID], Table4[Website], "Not Found", 0)</f>
        <v>1</v>
      </c>
      <c r="T1142" s="16">
        <f>_xlfn.XLOOKUP(CustomerCombinedCleaned[[#This Row],[ID]], Table4[ID], Table4[Catalog], "Not Found", 0)</f>
        <v>0</v>
      </c>
      <c r="U1142" s="16">
        <f>_xlfn.XLOOKUP(CustomerCombinedCleaned[[#This Row],[ID]], Table4[ID], Table4[Store], "Not Found", 0)</f>
        <v>3</v>
      </c>
      <c r="V1142" s="16">
        <f>_xlfn.XLOOKUP(CustomerCombinedCleaned[[#This Row],[ID]], Table4[ID], Table4[Visits], "Not Found", 0)</f>
        <v>4</v>
      </c>
      <c r="W1142" s="16">
        <f>_xlfn.XLOOKUP(CustomerCombinedCleaned[[#This Row],[ID]], Table2[ID],Table2[Complaint], "Not Found", 0 )</f>
        <v>0</v>
      </c>
      <c r="X1142" s="16">
        <f>_xlfn.XLOOKUP(CustomerCombinedCleaned[[#This Row],[ID]], Table2[ID],Table2[Pilot], "Not Found", 0 )</f>
        <v>0</v>
      </c>
      <c r="Y1142" s="16">
        <f>_xlfn.XLOOKUP(CustomerCombinedCleaned[[#This Row],[ID]], Table2[ID],Table2[MC1], "Not Found", 0 )</f>
        <v>0</v>
      </c>
      <c r="Z1142" s="16">
        <f>_xlfn.XLOOKUP(CustomerCombinedCleaned[[#This Row],[ID]], Table2[ID],Table2[MC2], "Not Found", 0 )</f>
        <v>0</v>
      </c>
      <c r="AA1142" s="16">
        <f>_xlfn.XLOOKUP(CustomerCombinedCleaned[[#This Row],[ID]], Table2[ID],Table2[MC3], "Not Found", 0 )</f>
        <v>0</v>
      </c>
      <c r="AB1142" s="16">
        <f>_xlfn.XLOOKUP(CustomerCombinedCleaned[[#This Row],[ID]], Table2[ID],Table2[MC4], "Not Found", 0 )</f>
        <v>0</v>
      </c>
      <c r="AC1142" s="16">
        <f>_xlfn.XLOOKUP(CustomerCombinedCleaned[[#This Row],[ID]], Table2[ID],Table2[MC5], "Not Found", 0 )</f>
        <v>0</v>
      </c>
    </row>
    <row r="1143" spans="1:29" x14ac:dyDescent="0.3">
      <c r="A1143" s="18">
        <v>1086</v>
      </c>
      <c r="B1143" s="16">
        <v>123626</v>
      </c>
      <c r="C1143" s="16">
        <v>1</v>
      </c>
      <c r="D1143" s="16">
        <v>0</v>
      </c>
      <c r="E1143" s="16">
        <v>50</v>
      </c>
      <c r="F1143" s="17" t="s">
        <v>6</v>
      </c>
      <c r="G1143" s="17" t="s">
        <v>13</v>
      </c>
      <c r="H1143" s="3" t="s">
        <v>43</v>
      </c>
      <c r="I1143" s="5" t="s">
        <v>436</v>
      </c>
      <c r="J1143" s="16">
        <f>_xlfn.XLOOKUP(CustomerCombinedCleaned[[#This Row],[ID]], Table4[ID], Table4[Recency], "Not Found", 0)</f>
        <v>84</v>
      </c>
      <c r="K1143" s="16">
        <f>_xlfn.XLOOKUP(CustomerCombinedCleaned[[#This Row],[ID]], Table4[ID], Table4[Teas], "Not Found", 0)</f>
        <v>141</v>
      </c>
      <c r="L1143" s="16">
        <f>_xlfn.XLOOKUP(CustomerCombinedCleaned[[#This Row],[ID]], Table4[ID], Table4[Fruits], "Not Found", 0)</f>
        <v>10</v>
      </c>
      <c r="M1143" s="16">
        <f>_xlfn.XLOOKUP(CustomerCombinedCleaned[[#This Row],[ID]], Table4[ID], Table4[Meats], "Not Found", 0)</f>
        <v>73</v>
      </c>
      <c r="N1143" s="16">
        <f>_xlfn.XLOOKUP(CustomerCombinedCleaned[[#This Row],[ID]], Table4[ID], Table4[Seafood], "Not Found", 0)</f>
        <v>0</v>
      </c>
      <c r="O1143" s="16">
        <f>_xlfn.XLOOKUP(CustomerCombinedCleaned[[#This Row],[ID]], Table4[ID], Table4[Sweets], "Not Found", 0)</f>
        <v>0</v>
      </c>
      <c r="P1143" s="16">
        <f>_xlfn.XLOOKUP(CustomerCombinedCleaned[[#This Row],[ID]], Table4[ID], Table4[Premium], "Not Found", 0)</f>
        <v>0</v>
      </c>
      <c r="Q1143" s="16">
        <f>_xlfn.XLOOKUP(CustomerCombinedCleaned[[#This Row],[ID]], Table4[ID], Table4[Regular], "Not Found", 0)</f>
        <v>225</v>
      </c>
      <c r="R1143" s="16">
        <f>_xlfn.XLOOKUP(CustomerCombinedCleaned[[#This Row],[ID]], Table4[ID], Table4[Deals], "Not Found", 0)</f>
        <v>3</v>
      </c>
      <c r="S1143" s="16">
        <f>_xlfn.XLOOKUP(CustomerCombinedCleaned[[#This Row],[ID]], Table4[ID], Table4[Website], "Not Found", 0)</f>
        <v>3</v>
      </c>
      <c r="T1143" s="16">
        <f>_xlfn.XLOOKUP(CustomerCombinedCleaned[[#This Row],[ID]], Table4[ID], Table4[Catalog], "Not Found", 0)</f>
        <v>1</v>
      </c>
      <c r="U1143" s="16">
        <f>_xlfn.XLOOKUP(CustomerCombinedCleaned[[#This Row],[ID]], Table4[ID], Table4[Store], "Not Found", 0)</f>
        <v>3</v>
      </c>
      <c r="V1143" s="16">
        <f>_xlfn.XLOOKUP(CustomerCombinedCleaned[[#This Row],[ID]], Table4[ID], Table4[Visits], "Not Found", 0)</f>
        <v>5</v>
      </c>
      <c r="W1143" s="16">
        <f>_xlfn.XLOOKUP(CustomerCombinedCleaned[[#This Row],[ID]], Table2[ID],Table2[Complaint], "Not Found", 0 )</f>
        <v>0</v>
      </c>
      <c r="X1143" s="16">
        <f>_xlfn.XLOOKUP(CustomerCombinedCleaned[[#This Row],[ID]], Table2[ID],Table2[Pilot], "Not Found", 0 )</f>
        <v>0</v>
      </c>
      <c r="Y1143" s="16">
        <f>_xlfn.XLOOKUP(CustomerCombinedCleaned[[#This Row],[ID]], Table2[ID],Table2[MC1], "Not Found", 0 )</f>
        <v>0</v>
      </c>
      <c r="Z1143" s="16">
        <f>_xlfn.XLOOKUP(CustomerCombinedCleaned[[#This Row],[ID]], Table2[ID],Table2[MC2], "Not Found", 0 )</f>
        <v>0</v>
      </c>
      <c r="AA1143" s="16">
        <f>_xlfn.XLOOKUP(CustomerCombinedCleaned[[#This Row],[ID]], Table2[ID],Table2[MC3], "Not Found", 0 )</f>
        <v>0</v>
      </c>
      <c r="AB1143" s="16">
        <f>_xlfn.XLOOKUP(CustomerCombinedCleaned[[#This Row],[ID]], Table2[ID],Table2[MC4], "Not Found", 0 )</f>
        <v>0</v>
      </c>
      <c r="AC1143" s="16">
        <f>_xlfn.XLOOKUP(CustomerCombinedCleaned[[#This Row],[ID]], Table2[ID],Table2[MC5], "Not Found", 0 )</f>
        <v>0</v>
      </c>
    </row>
    <row r="1144" spans="1:29" x14ac:dyDescent="0.3">
      <c r="A1144" s="18">
        <v>2446</v>
      </c>
      <c r="B1144" s="16">
        <v>123162</v>
      </c>
      <c r="C1144" s="16">
        <v>1</v>
      </c>
      <c r="D1144" s="16">
        <v>1</v>
      </c>
      <c r="E1144" s="16">
        <v>50</v>
      </c>
      <c r="F1144" s="17" t="s">
        <v>6</v>
      </c>
      <c r="G1144" s="17" t="s">
        <v>11</v>
      </c>
      <c r="H1144" s="3" t="s">
        <v>127</v>
      </c>
      <c r="I1144" s="5" t="s">
        <v>439</v>
      </c>
      <c r="J1144" s="16">
        <f>_xlfn.XLOOKUP(CustomerCombinedCleaned[[#This Row],[ID]], Table4[ID], Table4[Recency], "Not Found", 0)</f>
        <v>82</v>
      </c>
      <c r="K1144" s="16">
        <f>_xlfn.XLOOKUP(CustomerCombinedCleaned[[#This Row],[ID]], Table4[ID], Table4[Teas], "Not Found", 0)</f>
        <v>43</v>
      </c>
      <c r="L1144" s="16">
        <f>_xlfn.XLOOKUP(CustomerCombinedCleaned[[#This Row],[ID]], Table4[ID], Table4[Fruits], "Not Found", 0)</f>
        <v>16</v>
      </c>
      <c r="M1144" s="16">
        <f>_xlfn.XLOOKUP(CustomerCombinedCleaned[[#This Row],[ID]], Table4[ID], Table4[Meats], "Not Found", 0)</f>
        <v>48</v>
      </c>
      <c r="N1144" s="16">
        <f>_xlfn.XLOOKUP(CustomerCombinedCleaned[[#This Row],[ID]], Table4[ID], Table4[Seafood], "Not Found", 0)</f>
        <v>101</v>
      </c>
      <c r="O1144" s="16">
        <f>_xlfn.XLOOKUP(CustomerCombinedCleaned[[#This Row],[ID]], Table4[ID], Table4[Sweets], "Not Found", 0)</f>
        <v>21</v>
      </c>
      <c r="P1144" s="16">
        <f>_xlfn.XLOOKUP(CustomerCombinedCleaned[[#This Row],[ID]], Table4[ID], Table4[Premium], "Not Found", 0)</f>
        <v>117</v>
      </c>
      <c r="Q1144" s="16">
        <f>_xlfn.XLOOKUP(CustomerCombinedCleaned[[#This Row],[ID]], Table4[ID], Table4[Regular], "Not Found", 0)</f>
        <v>112</v>
      </c>
      <c r="R1144" s="16">
        <f>_xlfn.XLOOKUP(CustomerCombinedCleaned[[#This Row],[ID]], Table4[ID], Table4[Deals], "Not Found", 0)</f>
        <v>3</v>
      </c>
      <c r="S1144" s="16">
        <f>_xlfn.XLOOKUP(CustomerCombinedCleaned[[#This Row],[ID]], Table4[ID], Table4[Website], "Not Found", 0)</f>
        <v>1</v>
      </c>
      <c r="T1144" s="16">
        <f>_xlfn.XLOOKUP(CustomerCombinedCleaned[[#This Row],[ID]], Table4[ID], Table4[Catalog], "Not Found", 0)</f>
        <v>1</v>
      </c>
      <c r="U1144" s="16">
        <f>_xlfn.XLOOKUP(CustomerCombinedCleaned[[#This Row],[ID]], Table4[ID], Table4[Store], "Not Found", 0)</f>
        <v>3</v>
      </c>
      <c r="V1144" s="16">
        <f>_xlfn.XLOOKUP(CustomerCombinedCleaned[[#This Row],[ID]], Table4[ID], Table4[Visits], "Not Found", 0)</f>
        <v>6</v>
      </c>
      <c r="W1144" s="16">
        <f>_xlfn.XLOOKUP(CustomerCombinedCleaned[[#This Row],[ID]], Table2[ID],Table2[Complaint], "Not Found", 0 )</f>
        <v>0</v>
      </c>
      <c r="X1144" s="16">
        <f>_xlfn.XLOOKUP(CustomerCombinedCleaned[[#This Row],[ID]], Table2[ID],Table2[Pilot], "Not Found", 0 )</f>
        <v>0</v>
      </c>
      <c r="Y1144" s="16">
        <f>_xlfn.XLOOKUP(CustomerCombinedCleaned[[#This Row],[ID]], Table2[ID],Table2[MC1], "Not Found", 0 )</f>
        <v>0</v>
      </c>
      <c r="Z1144" s="16">
        <f>_xlfn.XLOOKUP(CustomerCombinedCleaned[[#This Row],[ID]], Table2[ID],Table2[MC2], "Not Found", 0 )</f>
        <v>0</v>
      </c>
      <c r="AA1144" s="16">
        <f>_xlfn.XLOOKUP(CustomerCombinedCleaned[[#This Row],[ID]], Table2[ID],Table2[MC3], "Not Found", 0 )</f>
        <v>0</v>
      </c>
      <c r="AB1144" s="16">
        <f>_xlfn.XLOOKUP(CustomerCombinedCleaned[[#This Row],[ID]], Table2[ID],Table2[MC4], "Not Found", 0 )</f>
        <v>0</v>
      </c>
      <c r="AC1144" s="16">
        <f>_xlfn.XLOOKUP(CustomerCombinedCleaned[[#This Row],[ID]], Table2[ID],Table2[MC5], "Not Found", 0 )</f>
        <v>0</v>
      </c>
    </row>
    <row r="1145" spans="1:29" x14ac:dyDescent="0.3">
      <c r="A1145" s="18">
        <v>2977</v>
      </c>
      <c r="B1145" s="16">
        <v>122979</v>
      </c>
      <c r="C1145" s="16">
        <v>1</v>
      </c>
      <c r="D1145" s="16">
        <v>0</v>
      </c>
      <c r="E1145" s="16">
        <v>50</v>
      </c>
      <c r="F1145" s="17" t="s">
        <v>6</v>
      </c>
      <c r="G1145" s="17" t="s">
        <v>11</v>
      </c>
      <c r="H1145" s="3" t="s">
        <v>781</v>
      </c>
      <c r="I1145" s="5" t="s">
        <v>437</v>
      </c>
      <c r="J1145" s="16">
        <f>_xlfn.XLOOKUP(CustomerCombinedCleaned[[#This Row],[ID]], Table4[ID], Table4[Recency], "Not Found", 0)</f>
        <v>29</v>
      </c>
      <c r="K1145" s="16">
        <f>_xlfn.XLOOKUP(CustomerCombinedCleaned[[#This Row],[ID]], Table4[ID], Table4[Teas], "Not Found", 0)</f>
        <v>86</v>
      </c>
      <c r="L1145" s="16">
        <f>_xlfn.XLOOKUP(CustomerCombinedCleaned[[#This Row],[ID]], Table4[ID], Table4[Fruits], "Not Found", 0)</f>
        <v>91</v>
      </c>
      <c r="M1145" s="16">
        <f>_xlfn.XLOOKUP(CustomerCombinedCleaned[[#This Row],[ID]], Table4[ID], Table4[Meats], "Not Found", 0)</f>
        <v>102</v>
      </c>
      <c r="N1145" s="16">
        <f>_xlfn.XLOOKUP(CustomerCombinedCleaned[[#This Row],[ID]], Table4[ID], Table4[Seafood], "Not Found", 0)</f>
        <v>107</v>
      </c>
      <c r="O1145" s="16">
        <f>_xlfn.XLOOKUP(CustomerCombinedCleaned[[#This Row],[ID]], Table4[ID], Table4[Sweets], "Not Found", 0)</f>
        <v>112</v>
      </c>
      <c r="P1145" s="16">
        <f>_xlfn.XLOOKUP(CustomerCombinedCleaned[[#This Row],[ID]], Table4[ID], Table4[Premium], "Not Found", 0)</f>
        <v>118</v>
      </c>
      <c r="Q1145" s="16">
        <f>_xlfn.XLOOKUP(CustomerCombinedCleaned[[#This Row],[ID]], Table4[ID], Table4[Regular], "Not Found", 0)</f>
        <v>380</v>
      </c>
      <c r="R1145" s="16">
        <f>_xlfn.XLOOKUP(CustomerCombinedCleaned[[#This Row],[ID]], Table4[ID], Table4[Deals], "Not Found", 0)</f>
        <v>3</v>
      </c>
      <c r="S1145" s="16">
        <f>_xlfn.XLOOKUP(CustomerCombinedCleaned[[#This Row],[ID]], Table4[ID], Table4[Website], "Not Found", 0)</f>
        <v>3</v>
      </c>
      <c r="T1145" s="16">
        <f>_xlfn.XLOOKUP(CustomerCombinedCleaned[[#This Row],[ID]], Table4[ID], Table4[Catalog], "Not Found", 0)</f>
        <v>2</v>
      </c>
      <c r="U1145" s="16">
        <f>_xlfn.XLOOKUP(CustomerCombinedCleaned[[#This Row],[ID]], Table4[ID], Table4[Store], "Not Found", 0)</f>
        <v>2</v>
      </c>
      <c r="V1145" s="16">
        <f>_xlfn.XLOOKUP(CustomerCombinedCleaned[[#This Row],[ID]], Table4[ID], Table4[Visits], "Not Found", 0)</f>
        <v>8</v>
      </c>
      <c r="W1145" s="16">
        <f>_xlfn.XLOOKUP(CustomerCombinedCleaned[[#This Row],[ID]], Table2[ID],Table2[Complaint], "Not Found", 0 )</f>
        <v>0</v>
      </c>
      <c r="X1145" s="16">
        <f>_xlfn.XLOOKUP(CustomerCombinedCleaned[[#This Row],[ID]], Table2[ID],Table2[Pilot], "Not Found", 0 )</f>
        <v>1</v>
      </c>
      <c r="Y1145" s="16">
        <f>_xlfn.XLOOKUP(CustomerCombinedCleaned[[#This Row],[ID]], Table2[ID],Table2[MC1], "Not Found", 0 )</f>
        <v>0</v>
      </c>
      <c r="Z1145" s="16">
        <f>_xlfn.XLOOKUP(CustomerCombinedCleaned[[#This Row],[ID]], Table2[ID],Table2[MC2], "Not Found", 0 )</f>
        <v>0</v>
      </c>
      <c r="AA1145" s="16">
        <f>_xlfn.XLOOKUP(CustomerCombinedCleaned[[#This Row],[ID]], Table2[ID],Table2[MC3], "Not Found", 0 )</f>
        <v>0</v>
      </c>
      <c r="AB1145" s="16">
        <f>_xlfn.XLOOKUP(CustomerCombinedCleaned[[#This Row],[ID]], Table2[ID],Table2[MC4], "Not Found", 0 )</f>
        <v>0</v>
      </c>
      <c r="AC1145" s="16">
        <f>_xlfn.XLOOKUP(CustomerCombinedCleaned[[#This Row],[ID]], Table2[ID],Table2[MC5], "Not Found", 0 )</f>
        <v>0</v>
      </c>
    </row>
    <row r="1146" spans="1:29" x14ac:dyDescent="0.3">
      <c r="A1146" s="18">
        <v>1360</v>
      </c>
      <c r="B1146" s="16">
        <v>122585</v>
      </c>
      <c r="C1146" s="16">
        <v>0</v>
      </c>
      <c r="D1146" s="16">
        <v>0</v>
      </c>
      <c r="E1146" s="16">
        <v>50</v>
      </c>
      <c r="F1146" s="17" t="s">
        <v>7</v>
      </c>
      <c r="G1146" s="17" t="s">
        <v>11</v>
      </c>
      <c r="H1146" s="3" t="s">
        <v>290</v>
      </c>
      <c r="I1146" s="5" t="s">
        <v>439</v>
      </c>
      <c r="J1146" s="16">
        <f>_xlfn.XLOOKUP(CustomerCombinedCleaned[[#This Row],[ID]], Table4[ID], Table4[Recency], "Not Found", 0)</f>
        <v>23</v>
      </c>
      <c r="K1146" s="16">
        <f>_xlfn.XLOOKUP(CustomerCombinedCleaned[[#This Row],[ID]], Table4[ID], Table4[Teas], "Not Found", 0)</f>
        <v>16</v>
      </c>
      <c r="L1146" s="16">
        <f>_xlfn.XLOOKUP(CustomerCombinedCleaned[[#This Row],[ID]], Table4[ID], Table4[Fruits], "Not Found", 0)</f>
        <v>49</v>
      </c>
      <c r="M1146" s="16">
        <f>_xlfn.XLOOKUP(CustomerCombinedCleaned[[#This Row],[ID]], Table4[ID], Table4[Meats], "Not Found", 0)</f>
        <v>81</v>
      </c>
      <c r="N1146" s="16">
        <f>_xlfn.XLOOKUP(CustomerCombinedCleaned[[#This Row],[ID]], Table4[ID], Table4[Seafood], "Not Found", 0)</f>
        <v>71</v>
      </c>
      <c r="O1146" s="16">
        <f>_xlfn.XLOOKUP(CustomerCombinedCleaned[[#This Row],[ID]], Table4[ID], Table4[Sweets], "Not Found", 0)</f>
        <v>11</v>
      </c>
      <c r="P1146" s="16">
        <f>_xlfn.XLOOKUP(CustomerCombinedCleaned[[#This Row],[ID]], Table4[ID], Table4[Premium], "Not Found", 0)</f>
        <v>212</v>
      </c>
      <c r="Q1146" s="16">
        <f>_xlfn.XLOOKUP(CustomerCombinedCleaned[[#This Row],[ID]], Table4[ID], Table4[Regular], "Not Found", 0)</f>
        <v>16</v>
      </c>
      <c r="R1146" s="16">
        <f>_xlfn.XLOOKUP(CustomerCombinedCleaned[[#This Row],[ID]], Table4[ID], Table4[Deals], "Not Found", 0)</f>
        <v>1</v>
      </c>
      <c r="S1146" s="16">
        <f>_xlfn.XLOOKUP(CustomerCombinedCleaned[[#This Row],[ID]], Table4[ID], Table4[Website], "Not Found", 0)</f>
        <v>1</v>
      </c>
      <c r="T1146" s="16">
        <f>_xlfn.XLOOKUP(CustomerCombinedCleaned[[#This Row],[ID]], Table4[ID], Table4[Catalog], "Not Found", 0)</f>
        <v>1</v>
      </c>
      <c r="U1146" s="16">
        <f>_xlfn.XLOOKUP(CustomerCombinedCleaned[[#This Row],[ID]], Table4[ID], Table4[Store], "Not Found", 0)</f>
        <v>2</v>
      </c>
      <c r="V1146" s="16">
        <f>_xlfn.XLOOKUP(CustomerCombinedCleaned[[#This Row],[ID]], Table4[ID], Table4[Visits], "Not Found", 0)</f>
        <v>9</v>
      </c>
      <c r="W1146" s="16">
        <f>_xlfn.XLOOKUP(CustomerCombinedCleaned[[#This Row],[ID]], Table2[ID],Table2[Complaint], "Not Found", 0 )</f>
        <v>0</v>
      </c>
      <c r="X1146" s="16">
        <f>_xlfn.XLOOKUP(CustomerCombinedCleaned[[#This Row],[ID]], Table2[ID],Table2[Pilot], "Not Found", 0 )</f>
        <v>1</v>
      </c>
      <c r="Y1146" s="16">
        <f>_xlfn.XLOOKUP(CustomerCombinedCleaned[[#This Row],[ID]], Table2[ID],Table2[MC1], "Not Found", 0 )</f>
        <v>0</v>
      </c>
      <c r="Z1146" s="16">
        <f>_xlfn.XLOOKUP(CustomerCombinedCleaned[[#This Row],[ID]], Table2[ID],Table2[MC2], "Not Found", 0 )</f>
        <v>0</v>
      </c>
      <c r="AA1146" s="16">
        <f>_xlfn.XLOOKUP(CustomerCombinedCleaned[[#This Row],[ID]], Table2[ID],Table2[MC3], "Not Found", 0 )</f>
        <v>1</v>
      </c>
      <c r="AB1146" s="16">
        <f>_xlfn.XLOOKUP(CustomerCombinedCleaned[[#This Row],[ID]], Table2[ID],Table2[MC4], "Not Found", 0 )</f>
        <v>0</v>
      </c>
      <c r="AC1146" s="16">
        <f>_xlfn.XLOOKUP(CustomerCombinedCleaned[[#This Row],[ID]], Table2[ID],Table2[MC5], "Not Found", 0 )</f>
        <v>0</v>
      </c>
    </row>
    <row r="1147" spans="1:29" x14ac:dyDescent="0.3">
      <c r="A1147" s="18">
        <v>1256</v>
      </c>
      <c r="B1147" s="16">
        <v>122070</v>
      </c>
      <c r="C1147" s="16">
        <v>1</v>
      </c>
      <c r="D1147" s="16">
        <v>0</v>
      </c>
      <c r="E1147" s="16">
        <v>50</v>
      </c>
      <c r="F1147" s="17" t="s">
        <v>8</v>
      </c>
      <c r="G1147" s="17" t="s">
        <v>11</v>
      </c>
      <c r="H1147" s="3" t="s">
        <v>568</v>
      </c>
      <c r="I1147" s="5" t="s">
        <v>438</v>
      </c>
      <c r="J1147" s="16">
        <f>_xlfn.XLOOKUP(CustomerCombinedCleaned[[#This Row],[ID]], Table4[ID], Table4[Recency], "Not Found", 0)</f>
        <v>11</v>
      </c>
      <c r="K1147" s="16">
        <f>_xlfn.XLOOKUP(CustomerCombinedCleaned[[#This Row],[ID]], Table4[ID], Table4[Teas], "Not Found", 0)</f>
        <v>55</v>
      </c>
      <c r="L1147" s="16">
        <f>_xlfn.XLOOKUP(CustomerCombinedCleaned[[#This Row],[ID]], Table4[ID], Table4[Fruits], "Not Found", 0)</f>
        <v>39</v>
      </c>
      <c r="M1147" s="16">
        <f>_xlfn.XLOOKUP(CustomerCombinedCleaned[[#This Row],[ID]], Table4[ID], Table4[Meats], "Not Found", 0)</f>
        <v>105</v>
      </c>
      <c r="N1147" s="16">
        <f>_xlfn.XLOOKUP(CustomerCombinedCleaned[[#This Row],[ID]], Table4[ID], Table4[Seafood], "Not Found", 0)</f>
        <v>44</v>
      </c>
      <c r="O1147" s="16">
        <f>_xlfn.XLOOKUP(CustomerCombinedCleaned[[#This Row],[ID]], Table4[ID], Table4[Sweets], "Not Found", 0)</f>
        <v>11</v>
      </c>
      <c r="P1147" s="16">
        <f>_xlfn.XLOOKUP(CustomerCombinedCleaned[[#This Row],[ID]], Table4[ID], Table4[Premium], "Not Found", 0)</f>
        <v>116</v>
      </c>
      <c r="Q1147" s="16">
        <f>_xlfn.XLOOKUP(CustomerCombinedCleaned[[#This Row],[ID]], Table4[ID], Table4[Regular], "Not Found", 0)</f>
        <v>138</v>
      </c>
      <c r="R1147" s="16">
        <f>_xlfn.XLOOKUP(CustomerCombinedCleaned[[#This Row],[ID]], Table4[ID], Table4[Deals], "Not Found", 0)</f>
        <v>2</v>
      </c>
      <c r="S1147" s="16">
        <f>_xlfn.XLOOKUP(CustomerCombinedCleaned[[#This Row],[ID]], Table4[ID], Table4[Website], "Not Found", 0)</f>
        <v>2</v>
      </c>
      <c r="T1147" s="16">
        <f>_xlfn.XLOOKUP(CustomerCombinedCleaned[[#This Row],[ID]], Table4[ID], Table4[Catalog], "Not Found", 0)</f>
        <v>2</v>
      </c>
      <c r="U1147" s="16">
        <f>_xlfn.XLOOKUP(CustomerCombinedCleaned[[#This Row],[ID]], Table4[ID], Table4[Store], "Not Found", 0)</f>
        <v>2</v>
      </c>
      <c r="V1147" s="16">
        <f>_xlfn.XLOOKUP(CustomerCombinedCleaned[[#This Row],[ID]], Table4[ID], Table4[Visits], "Not Found", 0)</f>
        <v>6</v>
      </c>
      <c r="W1147" s="16">
        <f>_xlfn.XLOOKUP(CustomerCombinedCleaned[[#This Row],[ID]], Table2[ID],Table2[Complaint], "Not Found", 0 )</f>
        <v>0</v>
      </c>
      <c r="X1147" s="16">
        <f>_xlfn.XLOOKUP(CustomerCombinedCleaned[[#This Row],[ID]], Table2[ID],Table2[Pilot], "Not Found", 0 )</f>
        <v>0</v>
      </c>
      <c r="Y1147" s="16">
        <f>_xlfn.XLOOKUP(CustomerCombinedCleaned[[#This Row],[ID]], Table2[ID],Table2[MC1], "Not Found", 0 )</f>
        <v>0</v>
      </c>
      <c r="Z1147" s="16">
        <f>_xlfn.XLOOKUP(CustomerCombinedCleaned[[#This Row],[ID]], Table2[ID],Table2[MC2], "Not Found", 0 )</f>
        <v>0</v>
      </c>
      <c r="AA1147" s="16">
        <f>_xlfn.XLOOKUP(CustomerCombinedCleaned[[#This Row],[ID]], Table2[ID],Table2[MC3], "Not Found", 0 )</f>
        <v>0</v>
      </c>
      <c r="AB1147" s="16">
        <f>_xlfn.XLOOKUP(CustomerCombinedCleaned[[#This Row],[ID]], Table2[ID],Table2[MC4], "Not Found", 0 )</f>
        <v>0</v>
      </c>
      <c r="AC1147" s="16">
        <f>_xlfn.XLOOKUP(CustomerCombinedCleaned[[#This Row],[ID]], Table2[ID],Table2[MC5], "Not Found", 0 )</f>
        <v>0</v>
      </c>
    </row>
    <row r="1148" spans="1:29" x14ac:dyDescent="0.3">
      <c r="A1148" s="18">
        <v>1763</v>
      </c>
      <c r="B1148" s="16">
        <v>120587</v>
      </c>
      <c r="C1148" s="16">
        <v>1</v>
      </c>
      <c r="D1148" s="16">
        <v>0</v>
      </c>
      <c r="E1148" s="16">
        <v>50</v>
      </c>
      <c r="F1148" s="17" t="s">
        <v>7</v>
      </c>
      <c r="G1148" s="17" t="s">
        <v>11</v>
      </c>
      <c r="H1148" s="3" t="s">
        <v>53</v>
      </c>
      <c r="I1148" s="5" t="s">
        <v>434</v>
      </c>
      <c r="J1148" s="16">
        <f>_xlfn.XLOOKUP(CustomerCombinedCleaned[[#This Row],[ID]], Table4[ID], Table4[Recency], "Not Found", 0)</f>
        <v>39</v>
      </c>
      <c r="K1148" s="16">
        <f>_xlfn.XLOOKUP(CustomerCombinedCleaned[[#This Row],[ID]], Table4[ID], Table4[Teas], "Not Found", 0)</f>
        <v>12</v>
      </c>
      <c r="L1148" s="16">
        <f>_xlfn.XLOOKUP(CustomerCombinedCleaned[[#This Row],[ID]], Table4[ID], Table4[Fruits], "Not Found", 0)</f>
        <v>18</v>
      </c>
      <c r="M1148" s="16">
        <f>_xlfn.XLOOKUP(CustomerCombinedCleaned[[#This Row],[ID]], Table4[ID], Table4[Meats], "Not Found", 0)</f>
        <v>35</v>
      </c>
      <c r="N1148" s="16">
        <f>_xlfn.XLOOKUP(CustomerCombinedCleaned[[#This Row],[ID]], Table4[ID], Table4[Seafood], "Not Found", 0)</f>
        <v>23</v>
      </c>
      <c r="O1148" s="16">
        <f>_xlfn.XLOOKUP(CustomerCombinedCleaned[[#This Row],[ID]], Table4[ID], Table4[Sweets], "Not Found", 0)</f>
        <v>6</v>
      </c>
      <c r="P1148" s="16">
        <f>_xlfn.XLOOKUP(CustomerCombinedCleaned[[#This Row],[ID]], Table4[ID], Table4[Premium], "Not Found", 0)</f>
        <v>53</v>
      </c>
      <c r="Q1148" s="16">
        <f>_xlfn.XLOOKUP(CustomerCombinedCleaned[[#This Row],[ID]], Table4[ID], Table4[Regular], "Not Found", 0)</f>
        <v>41</v>
      </c>
      <c r="R1148" s="16">
        <f>_xlfn.XLOOKUP(CustomerCombinedCleaned[[#This Row],[ID]], Table4[ID], Table4[Deals], "Not Found", 0)</f>
        <v>1</v>
      </c>
      <c r="S1148" s="16">
        <f>_xlfn.XLOOKUP(CustomerCombinedCleaned[[#This Row],[ID]], Table4[ID], Table4[Website], "Not Found", 0)</f>
        <v>1</v>
      </c>
      <c r="T1148" s="16">
        <f>_xlfn.XLOOKUP(CustomerCombinedCleaned[[#This Row],[ID]], Table4[ID], Table4[Catalog], "Not Found", 0)</f>
        <v>1</v>
      </c>
      <c r="U1148" s="16">
        <f>_xlfn.XLOOKUP(CustomerCombinedCleaned[[#This Row],[ID]], Table4[ID], Table4[Store], "Not Found", 0)</f>
        <v>2</v>
      </c>
      <c r="V1148" s="16">
        <f>_xlfn.XLOOKUP(CustomerCombinedCleaned[[#This Row],[ID]], Table4[ID], Table4[Visits], "Not Found", 0)</f>
        <v>7</v>
      </c>
      <c r="W1148" s="16">
        <f>_xlfn.XLOOKUP(CustomerCombinedCleaned[[#This Row],[ID]], Table2[ID],Table2[Complaint], "Not Found", 0 )</f>
        <v>0</v>
      </c>
      <c r="X1148" s="16">
        <f>_xlfn.XLOOKUP(CustomerCombinedCleaned[[#This Row],[ID]], Table2[ID],Table2[Pilot], "Not Found", 0 )</f>
        <v>0</v>
      </c>
      <c r="Y1148" s="16">
        <f>_xlfn.XLOOKUP(CustomerCombinedCleaned[[#This Row],[ID]], Table2[ID],Table2[MC1], "Not Found", 0 )</f>
        <v>0</v>
      </c>
      <c r="Z1148" s="16">
        <f>_xlfn.XLOOKUP(CustomerCombinedCleaned[[#This Row],[ID]], Table2[ID],Table2[MC2], "Not Found", 0 )</f>
        <v>0</v>
      </c>
      <c r="AA1148" s="16">
        <f>_xlfn.XLOOKUP(CustomerCombinedCleaned[[#This Row],[ID]], Table2[ID],Table2[MC3], "Not Found", 0 )</f>
        <v>0</v>
      </c>
      <c r="AB1148" s="16">
        <f>_xlfn.XLOOKUP(CustomerCombinedCleaned[[#This Row],[ID]], Table2[ID],Table2[MC4], "Not Found", 0 )</f>
        <v>0</v>
      </c>
      <c r="AC1148" s="16">
        <f>_xlfn.XLOOKUP(CustomerCombinedCleaned[[#This Row],[ID]], Table2[ID],Table2[MC5], "Not Found", 0 )</f>
        <v>0</v>
      </c>
    </row>
    <row r="1149" spans="1:29" x14ac:dyDescent="0.3">
      <c r="A1149" s="18">
        <v>3105</v>
      </c>
      <c r="B1149" s="16">
        <v>120587</v>
      </c>
      <c r="C1149" s="16">
        <v>1</v>
      </c>
      <c r="D1149" s="16">
        <v>0</v>
      </c>
      <c r="E1149" s="16">
        <v>50</v>
      </c>
      <c r="F1149" s="17" t="s">
        <v>7</v>
      </c>
      <c r="G1149" s="17" t="s">
        <v>11</v>
      </c>
      <c r="H1149" s="3" t="s">
        <v>53</v>
      </c>
      <c r="I1149" s="5" t="s">
        <v>435</v>
      </c>
      <c r="J1149" s="16">
        <f>_xlfn.XLOOKUP(CustomerCombinedCleaned[[#This Row],[ID]], Table4[ID], Table4[Recency], "Not Found", 0)</f>
        <v>39</v>
      </c>
      <c r="K1149" s="16">
        <f>_xlfn.XLOOKUP(CustomerCombinedCleaned[[#This Row],[ID]], Table4[ID], Table4[Teas], "Not Found", 0)</f>
        <v>12</v>
      </c>
      <c r="L1149" s="16">
        <f>_xlfn.XLOOKUP(CustomerCombinedCleaned[[#This Row],[ID]], Table4[ID], Table4[Fruits], "Not Found", 0)</f>
        <v>18</v>
      </c>
      <c r="M1149" s="16">
        <f>_xlfn.XLOOKUP(CustomerCombinedCleaned[[#This Row],[ID]], Table4[ID], Table4[Meats], "Not Found", 0)</f>
        <v>35</v>
      </c>
      <c r="N1149" s="16">
        <f>_xlfn.XLOOKUP(CustomerCombinedCleaned[[#This Row],[ID]], Table4[ID], Table4[Seafood], "Not Found", 0)</f>
        <v>23</v>
      </c>
      <c r="O1149" s="16">
        <f>_xlfn.XLOOKUP(CustomerCombinedCleaned[[#This Row],[ID]], Table4[ID], Table4[Sweets], "Not Found", 0)</f>
        <v>6</v>
      </c>
      <c r="P1149" s="16">
        <f>_xlfn.XLOOKUP(CustomerCombinedCleaned[[#This Row],[ID]], Table4[ID], Table4[Premium], "Not Found", 0)</f>
        <v>53</v>
      </c>
      <c r="Q1149" s="16">
        <f>_xlfn.XLOOKUP(CustomerCombinedCleaned[[#This Row],[ID]], Table4[ID], Table4[Regular], "Not Found", 0)</f>
        <v>41</v>
      </c>
      <c r="R1149" s="16">
        <f>_xlfn.XLOOKUP(CustomerCombinedCleaned[[#This Row],[ID]], Table4[ID], Table4[Deals], "Not Found", 0)</f>
        <v>1</v>
      </c>
      <c r="S1149" s="16">
        <f>_xlfn.XLOOKUP(CustomerCombinedCleaned[[#This Row],[ID]], Table4[ID], Table4[Website], "Not Found", 0)</f>
        <v>1</v>
      </c>
      <c r="T1149" s="16">
        <f>_xlfn.XLOOKUP(CustomerCombinedCleaned[[#This Row],[ID]], Table4[ID], Table4[Catalog], "Not Found", 0)</f>
        <v>1</v>
      </c>
      <c r="U1149" s="16">
        <f>_xlfn.XLOOKUP(CustomerCombinedCleaned[[#This Row],[ID]], Table4[ID], Table4[Store], "Not Found", 0)</f>
        <v>2</v>
      </c>
      <c r="V1149" s="16">
        <f>_xlfn.XLOOKUP(CustomerCombinedCleaned[[#This Row],[ID]], Table4[ID], Table4[Visits], "Not Found", 0)</f>
        <v>7</v>
      </c>
      <c r="W1149" s="16">
        <f>_xlfn.XLOOKUP(CustomerCombinedCleaned[[#This Row],[ID]], Table2[ID],Table2[Complaint], "Not Found", 0 )</f>
        <v>0</v>
      </c>
      <c r="X1149" s="16">
        <f>_xlfn.XLOOKUP(CustomerCombinedCleaned[[#This Row],[ID]], Table2[ID],Table2[Pilot], "Not Found", 0 )</f>
        <v>0</v>
      </c>
      <c r="Y1149" s="16">
        <f>_xlfn.XLOOKUP(CustomerCombinedCleaned[[#This Row],[ID]], Table2[ID],Table2[MC1], "Not Found", 0 )</f>
        <v>0</v>
      </c>
      <c r="Z1149" s="16">
        <f>_xlfn.XLOOKUP(CustomerCombinedCleaned[[#This Row],[ID]], Table2[ID],Table2[MC2], "Not Found", 0 )</f>
        <v>0</v>
      </c>
      <c r="AA1149" s="16">
        <f>_xlfn.XLOOKUP(CustomerCombinedCleaned[[#This Row],[ID]], Table2[ID],Table2[MC3], "Not Found", 0 )</f>
        <v>0</v>
      </c>
      <c r="AB1149" s="16">
        <f>_xlfn.XLOOKUP(CustomerCombinedCleaned[[#This Row],[ID]], Table2[ID],Table2[MC4], "Not Found", 0 )</f>
        <v>0</v>
      </c>
      <c r="AC1149" s="16">
        <f>_xlfn.XLOOKUP(CustomerCombinedCleaned[[#This Row],[ID]], Table2[ID],Table2[MC5], "Not Found", 0 )</f>
        <v>0</v>
      </c>
    </row>
    <row r="1150" spans="1:29" x14ac:dyDescent="0.3">
      <c r="A1150" s="18">
        <v>2248</v>
      </c>
      <c r="B1150" s="16">
        <v>119656</v>
      </c>
      <c r="C1150" s="16">
        <v>1</v>
      </c>
      <c r="D1150" s="16">
        <v>0</v>
      </c>
      <c r="E1150" s="16">
        <v>50</v>
      </c>
      <c r="F1150" s="17" t="s">
        <v>8</v>
      </c>
      <c r="G1150" s="17" t="s">
        <v>11</v>
      </c>
      <c r="H1150" s="3" t="s">
        <v>315</v>
      </c>
      <c r="I1150" s="5" t="s">
        <v>439</v>
      </c>
      <c r="J1150" s="16">
        <f>_xlfn.XLOOKUP(CustomerCombinedCleaned[[#This Row],[ID]], Table4[ID], Table4[Recency], "Not Found", 0)</f>
        <v>94</v>
      </c>
      <c r="K1150" s="16">
        <f>_xlfn.XLOOKUP(CustomerCombinedCleaned[[#This Row],[ID]], Table4[ID], Table4[Teas], "Not Found", 0)</f>
        <v>152</v>
      </c>
      <c r="L1150" s="16">
        <f>_xlfn.XLOOKUP(CustomerCombinedCleaned[[#This Row],[ID]], Table4[ID], Table4[Fruits], "Not Found", 0)</f>
        <v>24</v>
      </c>
      <c r="M1150" s="16">
        <f>_xlfn.XLOOKUP(CustomerCombinedCleaned[[#This Row],[ID]], Table4[ID], Table4[Meats], "Not Found", 0)</f>
        <v>55</v>
      </c>
      <c r="N1150" s="16">
        <f>_xlfn.XLOOKUP(CustomerCombinedCleaned[[#This Row],[ID]], Table4[ID], Table4[Seafood], "Not Found", 0)</f>
        <v>37</v>
      </c>
      <c r="O1150" s="16">
        <f>_xlfn.XLOOKUP(CustomerCombinedCleaned[[#This Row],[ID]], Table4[ID], Table4[Sweets], "Not Found", 0)</f>
        <v>49</v>
      </c>
      <c r="P1150" s="16">
        <f>_xlfn.XLOOKUP(CustomerCombinedCleaned[[#This Row],[ID]], Table4[ID], Table4[Premium], "Not Found", 0)</f>
        <v>195</v>
      </c>
      <c r="Q1150" s="16">
        <f>_xlfn.XLOOKUP(CustomerCombinedCleaned[[#This Row],[ID]], Table4[ID], Table4[Regular], "Not Found", 0)</f>
        <v>122</v>
      </c>
      <c r="R1150" s="16">
        <f>_xlfn.XLOOKUP(CustomerCombinedCleaned[[#This Row],[ID]], Table4[ID], Table4[Deals], "Not Found", 0)</f>
        <v>3</v>
      </c>
      <c r="S1150" s="16">
        <f>_xlfn.XLOOKUP(CustomerCombinedCleaned[[#This Row],[ID]], Table4[ID], Table4[Website], "Not Found", 0)</f>
        <v>2</v>
      </c>
      <c r="T1150" s="16">
        <f>_xlfn.XLOOKUP(CustomerCombinedCleaned[[#This Row],[ID]], Table4[ID], Table4[Catalog], "Not Found", 0)</f>
        <v>1</v>
      </c>
      <c r="U1150" s="16">
        <f>_xlfn.XLOOKUP(CustomerCombinedCleaned[[#This Row],[ID]], Table4[ID], Table4[Store], "Not Found", 0)</f>
        <v>3</v>
      </c>
      <c r="V1150" s="16">
        <f>_xlfn.XLOOKUP(CustomerCombinedCleaned[[#This Row],[ID]], Table4[ID], Table4[Visits], "Not Found", 0)</f>
        <v>7</v>
      </c>
      <c r="W1150" s="16">
        <f>_xlfn.XLOOKUP(CustomerCombinedCleaned[[#This Row],[ID]], Table2[ID],Table2[Complaint], "Not Found", 0 )</f>
        <v>0</v>
      </c>
      <c r="X1150" s="16">
        <f>_xlfn.XLOOKUP(CustomerCombinedCleaned[[#This Row],[ID]], Table2[ID],Table2[Pilot], "Not Found", 0 )</f>
        <v>0</v>
      </c>
      <c r="Y1150" s="16">
        <f>_xlfn.XLOOKUP(CustomerCombinedCleaned[[#This Row],[ID]], Table2[ID],Table2[MC1], "Not Found", 0 )</f>
        <v>0</v>
      </c>
      <c r="Z1150" s="16">
        <f>_xlfn.XLOOKUP(CustomerCombinedCleaned[[#This Row],[ID]], Table2[ID],Table2[MC2], "Not Found", 0 )</f>
        <v>0</v>
      </c>
      <c r="AA1150" s="16">
        <f>_xlfn.XLOOKUP(CustomerCombinedCleaned[[#This Row],[ID]], Table2[ID],Table2[MC3], "Not Found", 0 )</f>
        <v>0</v>
      </c>
      <c r="AB1150" s="16">
        <f>_xlfn.XLOOKUP(CustomerCombinedCleaned[[#This Row],[ID]], Table2[ID],Table2[MC4], "Not Found", 0 )</f>
        <v>0</v>
      </c>
      <c r="AC1150" s="16">
        <f>_xlfn.XLOOKUP(CustomerCombinedCleaned[[#This Row],[ID]], Table2[ID],Table2[MC5], "Not Found", 0 )</f>
        <v>0</v>
      </c>
    </row>
    <row r="1151" spans="1:29" x14ac:dyDescent="0.3">
      <c r="A1151" s="18">
        <v>1542</v>
      </c>
      <c r="B1151" s="16">
        <v>115315</v>
      </c>
      <c r="C1151" s="16">
        <v>0</v>
      </c>
      <c r="D1151" s="16">
        <v>0</v>
      </c>
      <c r="E1151" s="16">
        <v>50</v>
      </c>
      <c r="F1151" s="17" t="s">
        <v>6</v>
      </c>
      <c r="G1151" s="17" t="s">
        <v>11</v>
      </c>
      <c r="H1151" s="3" t="s">
        <v>798</v>
      </c>
      <c r="I1151" s="5" t="s">
        <v>436</v>
      </c>
      <c r="J1151" s="16">
        <f>_xlfn.XLOOKUP(CustomerCombinedCleaned[[#This Row],[ID]], Table4[ID], Table4[Recency], "Not Found", 0)</f>
        <v>27</v>
      </c>
      <c r="K1151" s="16">
        <f>_xlfn.XLOOKUP(CustomerCombinedCleaned[[#This Row],[ID]], Table4[ID], Table4[Teas], "Not Found", 0)</f>
        <v>53</v>
      </c>
      <c r="L1151" s="16">
        <f>_xlfn.XLOOKUP(CustomerCombinedCleaned[[#This Row],[ID]], Table4[ID], Table4[Fruits], "Not Found", 0)</f>
        <v>30</v>
      </c>
      <c r="M1151" s="16">
        <f>_xlfn.XLOOKUP(CustomerCombinedCleaned[[#This Row],[ID]], Table4[ID], Table4[Meats], "Not Found", 0)</f>
        <v>98</v>
      </c>
      <c r="N1151" s="16">
        <f>_xlfn.XLOOKUP(CustomerCombinedCleaned[[#This Row],[ID]], Table4[ID], Table4[Seafood], "Not Found", 0)</f>
        <v>113</v>
      </c>
      <c r="O1151" s="16">
        <f>_xlfn.XLOOKUP(CustomerCombinedCleaned[[#This Row],[ID]], Table4[ID], Table4[Sweets], "Not Found", 0)</f>
        <v>60</v>
      </c>
      <c r="P1151" s="16">
        <f>_xlfn.XLOOKUP(CustomerCombinedCleaned[[#This Row],[ID]], Table4[ID], Table4[Premium], "Not Found", 0)</f>
        <v>128</v>
      </c>
      <c r="Q1151" s="16">
        <f>_xlfn.XLOOKUP(CustomerCombinedCleaned[[#This Row],[ID]], Table4[ID], Table4[Regular], "Not Found", 0)</f>
        <v>226</v>
      </c>
      <c r="R1151" s="16">
        <f>_xlfn.XLOOKUP(CustomerCombinedCleaned[[#This Row],[ID]], Table4[ID], Table4[Deals], "Not Found", 0)</f>
        <v>2</v>
      </c>
      <c r="S1151" s="16">
        <f>_xlfn.XLOOKUP(CustomerCombinedCleaned[[#This Row],[ID]], Table4[ID], Table4[Website], "Not Found", 0)</f>
        <v>2</v>
      </c>
      <c r="T1151" s="16">
        <f>_xlfn.XLOOKUP(CustomerCombinedCleaned[[#This Row],[ID]], Table4[ID], Table4[Catalog], "Not Found", 0)</f>
        <v>0</v>
      </c>
      <c r="U1151" s="16">
        <f>_xlfn.XLOOKUP(CustomerCombinedCleaned[[#This Row],[ID]], Table4[ID], Table4[Store], "Not Found", 0)</f>
        <v>4</v>
      </c>
      <c r="V1151" s="16">
        <f>_xlfn.XLOOKUP(CustomerCombinedCleaned[[#This Row],[ID]], Table4[ID], Table4[Visits], "Not Found", 0)</f>
        <v>5</v>
      </c>
      <c r="W1151" s="16">
        <f>_xlfn.XLOOKUP(CustomerCombinedCleaned[[#This Row],[ID]], Table2[ID],Table2[Complaint], "Not Found", 0 )</f>
        <v>0</v>
      </c>
      <c r="X1151" s="16">
        <f>_xlfn.XLOOKUP(CustomerCombinedCleaned[[#This Row],[ID]], Table2[ID],Table2[Pilot], "Not Found", 0 )</f>
        <v>0</v>
      </c>
      <c r="Y1151" s="16">
        <f>_xlfn.XLOOKUP(CustomerCombinedCleaned[[#This Row],[ID]], Table2[ID],Table2[MC1], "Not Found", 0 )</f>
        <v>0</v>
      </c>
      <c r="Z1151" s="16">
        <f>_xlfn.XLOOKUP(CustomerCombinedCleaned[[#This Row],[ID]], Table2[ID],Table2[MC2], "Not Found", 0 )</f>
        <v>0</v>
      </c>
      <c r="AA1151" s="16">
        <f>_xlfn.XLOOKUP(CustomerCombinedCleaned[[#This Row],[ID]], Table2[ID],Table2[MC3], "Not Found", 0 )</f>
        <v>0</v>
      </c>
      <c r="AB1151" s="16">
        <f>_xlfn.XLOOKUP(CustomerCombinedCleaned[[#This Row],[ID]], Table2[ID],Table2[MC4], "Not Found", 0 )</f>
        <v>0</v>
      </c>
      <c r="AC1151" s="16">
        <f>_xlfn.XLOOKUP(CustomerCombinedCleaned[[#This Row],[ID]], Table2[ID],Table2[MC5], "Not Found", 0 )</f>
        <v>0</v>
      </c>
    </row>
    <row r="1152" spans="1:29" x14ac:dyDescent="0.3">
      <c r="A1152" s="18">
        <v>2088</v>
      </c>
      <c r="B1152" s="16">
        <v>115315</v>
      </c>
      <c r="C1152" s="16">
        <v>0</v>
      </c>
      <c r="D1152" s="16">
        <v>0</v>
      </c>
      <c r="E1152" s="16">
        <v>50</v>
      </c>
      <c r="F1152" s="17" t="s">
        <v>6</v>
      </c>
      <c r="G1152" s="17" t="s">
        <v>11</v>
      </c>
      <c r="H1152" s="3" t="s">
        <v>798</v>
      </c>
      <c r="I1152" s="5" t="s">
        <v>436</v>
      </c>
      <c r="J1152" s="16">
        <f>_xlfn.XLOOKUP(CustomerCombinedCleaned[[#This Row],[ID]], Table4[ID], Table4[Recency], "Not Found", 0)</f>
        <v>27</v>
      </c>
      <c r="K1152" s="16">
        <f>_xlfn.XLOOKUP(CustomerCombinedCleaned[[#This Row],[ID]], Table4[ID], Table4[Teas], "Not Found", 0)</f>
        <v>53</v>
      </c>
      <c r="L1152" s="16">
        <f>_xlfn.XLOOKUP(CustomerCombinedCleaned[[#This Row],[ID]], Table4[ID], Table4[Fruits], "Not Found", 0)</f>
        <v>30</v>
      </c>
      <c r="M1152" s="16">
        <f>_xlfn.XLOOKUP(CustomerCombinedCleaned[[#This Row],[ID]], Table4[ID], Table4[Meats], "Not Found", 0)</f>
        <v>98</v>
      </c>
      <c r="N1152" s="16">
        <f>_xlfn.XLOOKUP(CustomerCombinedCleaned[[#This Row],[ID]], Table4[ID], Table4[Seafood], "Not Found", 0)</f>
        <v>113</v>
      </c>
      <c r="O1152" s="16">
        <f>_xlfn.XLOOKUP(CustomerCombinedCleaned[[#This Row],[ID]], Table4[ID], Table4[Sweets], "Not Found", 0)</f>
        <v>60</v>
      </c>
      <c r="P1152" s="16">
        <f>_xlfn.XLOOKUP(CustomerCombinedCleaned[[#This Row],[ID]], Table4[ID], Table4[Premium], "Not Found", 0)</f>
        <v>128</v>
      </c>
      <c r="Q1152" s="16">
        <f>_xlfn.XLOOKUP(CustomerCombinedCleaned[[#This Row],[ID]], Table4[ID], Table4[Regular], "Not Found", 0)</f>
        <v>226</v>
      </c>
      <c r="R1152" s="16">
        <f>_xlfn.XLOOKUP(CustomerCombinedCleaned[[#This Row],[ID]], Table4[ID], Table4[Deals], "Not Found", 0)</f>
        <v>2</v>
      </c>
      <c r="S1152" s="16">
        <f>_xlfn.XLOOKUP(CustomerCombinedCleaned[[#This Row],[ID]], Table4[ID], Table4[Website], "Not Found", 0)</f>
        <v>2</v>
      </c>
      <c r="T1152" s="16">
        <f>_xlfn.XLOOKUP(CustomerCombinedCleaned[[#This Row],[ID]], Table4[ID], Table4[Catalog], "Not Found", 0)</f>
        <v>0</v>
      </c>
      <c r="U1152" s="16">
        <f>_xlfn.XLOOKUP(CustomerCombinedCleaned[[#This Row],[ID]], Table4[ID], Table4[Store], "Not Found", 0)</f>
        <v>4</v>
      </c>
      <c r="V1152" s="16">
        <f>_xlfn.XLOOKUP(CustomerCombinedCleaned[[#This Row],[ID]], Table4[ID], Table4[Visits], "Not Found", 0)</f>
        <v>5</v>
      </c>
      <c r="W1152" s="16">
        <f>_xlfn.XLOOKUP(CustomerCombinedCleaned[[#This Row],[ID]], Table2[ID],Table2[Complaint], "Not Found", 0 )</f>
        <v>0</v>
      </c>
      <c r="X1152" s="16">
        <f>_xlfn.XLOOKUP(CustomerCombinedCleaned[[#This Row],[ID]], Table2[ID],Table2[Pilot], "Not Found", 0 )</f>
        <v>0</v>
      </c>
      <c r="Y1152" s="16">
        <f>_xlfn.XLOOKUP(CustomerCombinedCleaned[[#This Row],[ID]], Table2[ID],Table2[MC1], "Not Found", 0 )</f>
        <v>0</v>
      </c>
      <c r="Z1152" s="16">
        <f>_xlfn.XLOOKUP(CustomerCombinedCleaned[[#This Row],[ID]], Table2[ID],Table2[MC2], "Not Found", 0 )</f>
        <v>0</v>
      </c>
      <c r="AA1152" s="16">
        <f>_xlfn.XLOOKUP(CustomerCombinedCleaned[[#This Row],[ID]], Table2[ID],Table2[MC3], "Not Found", 0 )</f>
        <v>0</v>
      </c>
      <c r="AB1152" s="16">
        <f>_xlfn.XLOOKUP(CustomerCombinedCleaned[[#This Row],[ID]], Table2[ID],Table2[MC4], "Not Found", 0 )</f>
        <v>0</v>
      </c>
      <c r="AC1152" s="16">
        <f>_xlfn.XLOOKUP(CustomerCombinedCleaned[[#This Row],[ID]], Table2[ID],Table2[MC5], "Not Found", 0 )</f>
        <v>0</v>
      </c>
    </row>
    <row r="1153" spans="1:29" x14ac:dyDescent="0.3">
      <c r="A1153" s="18">
        <v>1561</v>
      </c>
      <c r="B1153" s="16">
        <v>113260</v>
      </c>
      <c r="C1153" s="16">
        <v>1</v>
      </c>
      <c r="D1153" s="16">
        <v>1</v>
      </c>
      <c r="E1153" s="16">
        <v>50</v>
      </c>
      <c r="F1153" s="17" t="s">
        <v>6</v>
      </c>
      <c r="G1153" s="17" t="s">
        <v>11</v>
      </c>
      <c r="H1153" s="3" t="s">
        <v>194</v>
      </c>
      <c r="I1153" s="5" t="s">
        <v>437</v>
      </c>
      <c r="J1153" s="16">
        <f>_xlfn.XLOOKUP(CustomerCombinedCleaned[[#This Row],[ID]], Table4[ID], Table4[Recency], "Not Found", 0)</f>
        <v>48</v>
      </c>
      <c r="K1153" s="16">
        <f>_xlfn.XLOOKUP(CustomerCombinedCleaned[[#This Row],[ID]], Table4[ID], Table4[Teas], "Not Found", 0)</f>
        <v>77</v>
      </c>
      <c r="L1153" s="16">
        <f>_xlfn.XLOOKUP(CustomerCombinedCleaned[[#This Row],[ID]], Table4[ID], Table4[Fruits], "Not Found", 0)</f>
        <v>34</v>
      </c>
      <c r="M1153" s="16">
        <f>_xlfn.XLOOKUP(CustomerCombinedCleaned[[#This Row],[ID]], Table4[ID], Table4[Meats], "Not Found", 0)</f>
        <v>145</v>
      </c>
      <c r="N1153" s="16">
        <f>_xlfn.XLOOKUP(CustomerCombinedCleaned[[#This Row],[ID]], Table4[ID], Table4[Seafood], "Not Found", 0)</f>
        <v>85</v>
      </c>
      <c r="O1153" s="16">
        <f>_xlfn.XLOOKUP(CustomerCombinedCleaned[[#This Row],[ID]], Table4[ID], Table4[Sweets], "Not Found", 0)</f>
        <v>17</v>
      </c>
      <c r="P1153" s="16">
        <f>_xlfn.XLOOKUP(CustomerCombinedCleaned[[#This Row],[ID]], Table4[ID], Table4[Premium], "Not Found", 0)</f>
        <v>60</v>
      </c>
      <c r="Q1153" s="16">
        <f>_xlfn.XLOOKUP(CustomerCombinedCleaned[[#This Row],[ID]], Table4[ID], Table4[Regular], "Not Found", 0)</f>
        <v>299</v>
      </c>
      <c r="R1153" s="16">
        <f>_xlfn.XLOOKUP(CustomerCombinedCleaned[[#This Row],[ID]], Table4[ID], Table4[Deals], "Not Found", 0)</f>
        <v>4</v>
      </c>
      <c r="S1153" s="16">
        <f>_xlfn.XLOOKUP(CustomerCombinedCleaned[[#This Row],[ID]], Table4[ID], Table4[Website], "Not Found", 0)</f>
        <v>3</v>
      </c>
      <c r="T1153" s="16">
        <f>_xlfn.XLOOKUP(CustomerCombinedCleaned[[#This Row],[ID]], Table4[ID], Table4[Catalog], "Not Found", 0)</f>
        <v>0</v>
      </c>
      <c r="U1153" s="16">
        <f>_xlfn.XLOOKUP(CustomerCombinedCleaned[[#This Row],[ID]], Table4[ID], Table4[Store], "Not Found", 0)</f>
        <v>3</v>
      </c>
      <c r="V1153" s="16">
        <f>_xlfn.XLOOKUP(CustomerCombinedCleaned[[#This Row],[ID]], Table4[ID], Table4[Visits], "Not Found", 0)</f>
        <v>8</v>
      </c>
      <c r="W1153" s="16">
        <f>_xlfn.XLOOKUP(CustomerCombinedCleaned[[#This Row],[ID]], Table2[ID],Table2[Complaint], "Not Found", 0 )</f>
        <v>0</v>
      </c>
      <c r="X1153" s="16">
        <f>_xlfn.XLOOKUP(CustomerCombinedCleaned[[#This Row],[ID]], Table2[ID],Table2[Pilot], "Not Found", 0 )</f>
        <v>0</v>
      </c>
      <c r="Y1153" s="16">
        <f>_xlfn.XLOOKUP(CustomerCombinedCleaned[[#This Row],[ID]], Table2[ID],Table2[MC1], "Not Found", 0 )</f>
        <v>0</v>
      </c>
      <c r="Z1153" s="16">
        <f>_xlfn.XLOOKUP(CustomerCombinedCleaned[[#This Row],[ID]], Table2[ID],Table2[MC2], "Not Found", 0 )</f>
        <v>0</v>
      </c>
      <c r="AA1153" s="16">
        <f>_xlfn.XLOOKUP(CustomerCombinedCleaned[[#This Row],[ID]], Table2[ID],Table2[MC3], "Not Found", 0 )</f>
        <v>0</v>
      </c>
      <c r="AB1153" s="16">
        <f>_xlfn.XLOOKUP(CustomerCombinedCleaned[[#This Row],[ID]], Table2[ID],Table2[MC4], "Not Found", 0 )</f>
        <v>0</v>
      </c>
      <c r="AC1153" s="16">
        <f>_xlfn.XLOOKUP(CustomerCombinedCleaned[[#This Row],[ID]], Table2[ID],Table2[MC5], "Not Found", 0 )</f>
        <v>0</v>
      </c>
    </row>
    <row r="1154" spans="1:29" x14ac:dyDescent="0.3">
      <c r="A1154" s="18">
        <v>3218</v>
      </c>
      <c r="B1154" s="16">
        <v>167312</v>
      </c>
      <c r="C1154" s="16">
        <v>0</v>
      </c>
      <c r="D1154" s="16">
        <v>0</v>
      </c>
      <c r="E1154" s="16">
        <v>50</v>
      </c>
      <c r="F1154" s="17" t="s">
        <v>5</v>
      </c>
      <c r="G1154" s="17" t="s">
        <v>11</v>
      </c>
      <c r="H1154" s="3">
        <v>43837</v>
      </c>
      <c r="I1154" s="5" t="s">
        <v>438</v>
      </c>
      <c r="J1154" s="21">
        <v>91</v>
      </c>
      <c r="K1154" s="21">
        <v>2257</v>
      </c>
      <c r="L1154" s="21">
        <v>119</v>
      </c>
      <c r="M1154" s="21">
        <v>539</v>
      </c>
      <c r="N1154" s="21">
        <v>80</v>
      </c>
      <c r="O1154" s="21">
        <v>30</v>
      </c>
      <c r="P1154" s="21">
        <v>60</v>
      </c>
      <c r="Q1154" s="21">
        <v>2965</v>
      </c>
      <c r="R1154" s="21">
        <v>1</v>
      </c>
      <c r="S1154" s="21">
        <v>2</v>
      </c>
      <c r="T1154" s="21">
        <v>3</v>
      </c>
      <c r="U1154" s="21">
        <v>6</v>
      </c>
      <c r="V1154" s="21">
        <v>6</v>
      </c>
      <c r="W1154" s="21">
        <v>0</v>
      </c>
      <c r="X1154" s="21">
        <v>0</v>
      </c>
      <c r="Y1154" s="21">
        <v>0</v>
      </c>
      <c r="Z1154" s="21">
        <v>0</v>
      </c>
      <c r="AA1154" s="21">
        <v>0</v>
      </c>
      <c r="AB1154" s="21">
        <v>1</v>
      </c>
      <c r="AC1154" s="21">
        <v>0</v>
      </c>
    </row>
    <row r="1155" spans="1:29" x14ac:dyDescent="0.3">
      <c r="A1155" s="18">
        <v>2449</v>
      </c>
      <c r="B1155" s="16">
        <v>194871</v>
      </c>
      <c r="C1155" s="16">
        <v>0</v>
      </c>
      <c r="D1155" s="16">
        <v>2</v>
      </c>
      <c r="E1155" s="16">
        <v>51</v>
      </c>
      <c r="F1155" s="17" t="s">
        <v>6</v>
      </c>
      <c r="G1155" s="17" t="s">
        <v>13</v>
      </c>
      <c r="H1155" s="3" t="s">
        <v>542</v>
      </c>
      <c r="I1155" s="5" t="s">
        <v>437</v>
      </c>
      <c r="J1155" s="16">
        <f>_xlfn.XLOOKUP(CustomerCombinedCleaned[[#This Row],[ID]], Table4[ID], Table4[Recency], "Not Found", 0)</f>
        <v>99</v>
      </c>
      <c r="K1155" s="16">
        <f>_xlfn.XLOOKUP(CustomerCombinedCleaned[[#This Row],[ID]], Table4[ID], Table4[Teas], "Not Found", 0)</f>
        <v>347</v>
      </c>
      <c r="L1155" s="16">
        <f>_xlfn.XLOOKUP(CustomerCombinedCleaned[[#This Row],[ID]], Table4[ID], Table4[Fruits], "Not Found", 0)</f>
        <v>49</v>
      </c>
      <c r="M1155" s="16">
        <f>_xlfn.XLOOKUP(CustomerCombinedCleaned[[#This Row],[ID]], Table4[ID], Table4[Meats], "Not Found", 0)</f>
        <v>1136</v>
      </c>
      <c r="N1155" s="16">
        <f>_xlfn.XLOOKUP(CustomerCombinedCleaned[[#This Row],[ID]], Table4[ID], Table4[Seafood], "Not Found", 0)</f>
        <v>386</v>
      </c>
      <c r="O1155" s="16">
        <f>_xlfn.XLOOKUP(CustomerCombinedCleaned[[#This Row],[ID]], Table4[ID], Table4[Sweets], "Not Found", 0)</f>
        <v>0</v>
      </c>
      <c r="P1155" s="16">
        <f>_xlfn.XLOOKUP(CustomerCombinedCleaned[[#This Row],[ID]], Table4[ID], Table4[Premium], "Not Found", 0)</f>
        <v>296</v>
      </c>
      <c r="Q1155" s="16">
        <f>_xlfn.XLOOKUP(CustomerCombinedCleaned[[#This Row],[ID]], Table4[ID], Table4[Regular], "Not Found", 0)</f>
        <v>1623</v>
      </c>
      <c r="R1155" s="16">
        <f>_xlfn.XLOOKUP(CustomerCombinedCleaned[[#This Row],[ID]], Table4[ID], Table4[Deals], "Not Found", 0)</f>
        <v>1</v>
      </c>
      <c r="S1155" s="16">
        <f>_xlfn.XLOOKUP(CustomerCombinedCleaned[[#This Row],[ID]], Table4[ID], Table4[Website], "Not Found", 0)</f>
        <v>8</v>
      </c>
      <c r="T1155" s="16">
        <f>_xlfn.XLOOKUP(CustomerCombinedCleaned[[#This Row],[ID]], Table4[ID], Table4[Catalog], "Not Found", 0)</f>
        <v>5</v>
      </c>
      <c r="U1155" s="16">
        <f>_xlfn.XLOOKUP(CustomerCombinedCleaned[[#This Row],[ID]], Table4[ID], Table4[Store], "Not Found", 0)</f>
        <v>4</v>
      </c>
      <c r="V1155" s="16">
        <f>_xlfn.XLOOKUP(CustomerCombinedCleaned[[#This Row],[ID]], Table4[ID], Table4[Visits], "Not Found", 0)</f>
        <v>7</v>
      </c>
      <c r="W1155" s="16">
        <f>_xlfn.XLOOKUP(CustomerCombinedCleaned[[#This Row],[ID]], Table2[ID],Table2[Complaint], "Not Found", 0 )</f>
        <v>0</v>
      </c>
      <c r="X1155" s="16">
        <f>_xlfn.XLOOKUP(CustomerCombinedCleaned[[#This Row],[ID]], Table2[ID],Table2[Pilot], "Not Found", 0 )</f>
        <v>1</v>
      </c>
      <c r="Y1155" s="16">
        <f>_xlfn.XLOOKUP(CustomerCombinedCleaned[[#This Row],[ID]], Table2[ID],Table2[MC1], "Not Found", 0 )</f>
        <v>0</v>
      </c>
      <c r="Z1155" s="16">
        <f>_xlfn.XLOOKUP(CustomerCombinedCleaned[[#This Row],[ID]], Table2[ID],Table2[MC2], "Not Found", 0 )</f>
        <v>0</v>
      </c>
      <c r="AA1155" s="16">
        <f>_xlfn.XLOOKUP(CustomerCombinedCleaned[[#This Row],[ID]], Table2[ID],Table2[MC3], "Not Found", 0 )</f>
        <v>0</v>
      </c>
      <c r="AB1155" s="16">
        <f>_xlfn.XLOOKUP(CustomerCombinedCleaned[[#This Row],[ID]], Table2[ID],Table2[MC4], "Not Found", 0 )</f>
        <v>1</v>
      </c>
      <c r="AC1155" s="16">
        <f>_xlfn.XLOOKUP(CustomerCombinedCleaned[[#This Row],[ID]], Table2[ID],Table2[MC5], "Not Found", 0 )</f>
        <v>1</v>
      </c>
    </row>
    <row r="1156" spans="1:29" x14ac:dyDescent="0.3">
      <c r="A1156" s="18">
        <v>2150</v>
      </c>
      <c r="B1156" s="16">
        <v>181657</v>
      </c>
      <c r="C1156" s="16">
        <v>0</v>
      </c>
      <c r="D1156" s="16">
        <v>0</v>
      </c>
      <c r="E1156" s="16">
        <v>51</v>
      </c>
      <c r="F1156" s="17" t="s">
        <v>7</v>
      </c>
      <c r="G1156" s="17" t="s">
        <v>11</v>
      </c>
      <c r="H1156" s="3" t="s">
        <v>110</v>
      </c>
      <c r="I1156" s="5" t="s">
        <v>438</v>
      </c>
      <c r="J1156" s="16">
        <f>_xlfn.XLOOKUP(CustomerCombinedCleaned[[#This Row],[ID]], Table4[ID], Table4[Recency], "Not Found", 0)</f>
        <v>69</v>
      </c>
      <c r="K1156" s="16">
        <f>_xlfn.XLOOKUP(CustomerCombinedCleaned[[#This Row],[ID]], Table4[ID], Table4[Teas], "Not Found", 0)</f>
        <v>810</v>
      </c>
      <c r="L1156" s="16">
        <f>_xlfn.XLOOKUP(CustomerCombinedCleaned[[#This Row],[ID]], Table4[ID], Table4[Fruits], "Not Found", 0)</f>
        <v>89</v>
      </c>
      <c r="M1156" s="16">
        <f>_xlfn.XLOOKUP(CustomerCombinedCleaned[[#This Row],[ID]], Table4[ID], Table4[Meats], "Not Found", 0)</f>
        <v>945</v>
      </c>
      <c r="N1156" s="16">
        <f>_xlfn.XLOOKUP(CustomerCombinedCleaned[[#This Row],[ID]], Table4[ID], Table4[Seafood], "Not Found", 0)</f>
        <v>351</v>
      </c>
      <c r="O1156" s="16">
        <f>_xlfn.XLOOKUP(CustomerCombinedCleaned[[#This Row],[ID]], Table4[ID], Table4[Sweets], "Not Found", 0)</f>
        <v>133</v>
      </c>
      <c r="P1156" s="16">
        <f>_xlfn.XLOOKUP(CustomerCombinedCleaned[[#This Row],[ID]], Table4[ID], Table4[Premium], "Not Found", 0)</f>
        <v>111</v>
      </c>
      <c r="Q1156" s="16">
        <f>_xlfn.XLOOKUP(CustomerCombinedCleaned[[#This Row],[ID]], Table4[ID], Table4[Regular], "Not Found", 0)</f>
        <v>2218</v>
      </c>
      <c r="R1156" s="16">
        <f>_xlfn.XLOOKUP(CustomerCombinedCleaned[[#This Row],[ID]], Table4[ID], Table4[Deals], "Not Found", 0)</f>
        <v>1</v>
      </c>
      <c r="S1156" s="16">
        <f>_xlfn.XLOOKUP(CustomerCombinedCleaned[[#This Row],[ID]], Table4[ID], Table4[Website], "Not Found", 0)</f>
        <v>3</v>
      </c>
      <c r="T1156" s="16">
        <f>_xlfn.XLOOKUP(CustomerCombinedCleaned[[#This Row],[ID]], Table4[ID], Table4[Catalog], "Not Found", 0)</f>
        <v>4</v>
      </c>
      <c r="U1156" s="16">
        <f>_xlfn.XLOOKUP(CustomerCombinedCleaned[[#This Row],[ID]], Table4[ID], Table4[Store], "Not Found", 0)</f>
        <v>8</v>
      </c>
      <c r="V1156" s="16">
        <f>_xlfn.XLOOKUP(CustomerCombinedCleaned[[#This Row],[ID]], Table4[ID], Table4[Visits], "Not Found", 0)</f>
        <v>1</v>
      </c>
      <c r="W1156" s="16">
        <f>_xlfn.XLOOKUP(CustomerCombinedCleaned[[#This Row],[ID]], Table2[ID],Table2[Complaint], "Not Found", 0 )</f>
        <v>0</v>
      </c>
      <c r="X1156" s="16">
        <f>_xlfn.XLOOKUP(CustomerCombinedCleaned[[#This Row],[ID]], Table2[ID],Table2[Pilot], "Not Found", 0 )</f>
        <v>0</v>
      </c>
      <c r="Y1156" s="16">
        <f>_xlfn.XLOOKUP(CustomerCombinedCleaned[[#This Row],[ID]], Table2[ID],Table2[MC1], "Not Found", 0 )</f>
        <v>0</v>
      </c>
      <c r="Z1156" s="16">
        <f>_xlfn.XLOOKUP(CustomerCombinedCleaned[[#This Row],[ID]], Table2[ID],Table2[MC2], "Not Found", 0 )</f>
        <v>0</v>
      </c>
      <c r="AA1156" s="16">
        <f>_xlfn.XLOOKUP(CustomerCombinedCleaned[[#This Row],[ID]], Table2[ID],Table2[MC3], "Not Found", 0 )</f>
        <v>0</v>
      </c>
      <c r="AB1156" s="16">
        <f>_xlfn.XLOOKUP(CustomerCombinedCleaned[[#This Row],[ID]], Table2[ID],Table2[MC4], "Not Found", 0 )</f>
        <v>0</v>
      </c>
      <c r="AC1156" s="16">
        <f>_xlfn.XLOOKUP(CustomerCombinedCleaned[[#This Row],[ID]], Table2[ID],Table2[MC5], "Not Found", 0 )</f>
        <v>0</v>
      </c>
    </row>
    <row r="1157" spans="1:29" x14ac:dyDescent="0.3">
      <c r="A1157" s="18">
        <v>1734</v>
      </c>
      <c r="B1157" s="16">
        <v>180952</v>
      </c>
      <c r="C1157" s="16">
        <v>0</v>
      </c>
      <c r="D1157" s="16">
        <v>0</v>
      </c>
      <c r="E1157" s="16">
        <v>51</v>
      </c>
      <c r="F1157" s="17" t="s">
        <v>6</v>
      </c>
      <c r="G1157" s="17" t="s">
        <v>11</v>
      </c>
      <c r="H1157" s="3" t="s">
        <v>601</v>
      </c>
      <c r="I1157" s="5" t="s">
        <v>436</v>
      </c>
      <c r="J1157" s="16">
        <f>_xlfn.XLOOKUP(CustomerCombinedCleaned[[#This Row],[ID]], Table4[ID], Table4[Recency], "Not Found", 0)</f>
        <v>20</v>
      </c>
      <c r="K1157" s="16">
        <f>_xlfn.XLOOKUP(CustomerCombinedCleaned[[#This Row],[ID]], Table4[ID], Table4[Teas], "Not Found", 0)</f>
        <v>1739</v>
      </c>
      <c r="L1157" s="16">
        <f>_xlfn.XLOOKUP(CustomerCombinedCleaned[[#This Row],[ID]], Table4[ID], Table4[Fruits], "Not Found", 0)</f>
        <v>398</v>
      </c>
      <c r="M1157" s="16">
        <f>_xlfn.XLOOKUP(CustomerCombinedCleaned[[#This Row],[ID]], Table4[ID], Table4[Meats], "Not Found", 0)</f>
        <v>1540</v>
      </c>
      <c r="N1157" s="16">
        <f>_xlfn.XLOOKUP(CustomerCombinedCleaned[[#This Row],[ID]], Table4[ID], Table4[Seafood], "Not Found", 0)</f>
        <v>92</v>
      </c>
      <c r="O1157" s="16">
        <f>_xlfn.XLOOKUP(CustomerCombinedCleaned[[#This Row],[ID]], Table4[ID], Table4[Sweets], "Not Found", 0)</f>
        <v>60</v>
      </c>
      <c r="P1157" s="16">
        <f>_xlfn.XLOOKUP(CustomerCombinedCleaned[[#This Row],[ID]], Table4[ID], Table4[Premium], "Not Found", 0)</f>
        <v>98</v>
      </c>
      <c r="Q1157" s="16">
        <f>_xlfn.XLOOKUP(CustomerCombinedCleaned[[#This Row],[ID]], Table4[ID], Table4[Regular], "Not Found", 0)</f>
        <v>3731</v>
      </c>
      <c r="R1157" s="16">
        <f>_xlfn.XLOOKUP(CustomerCombinedCleaned[[#This Row],[ID]], Table4[ID], Table4[Deals], "Not Found", 0)</f>
        <v>1</v>
      </c>
      <c r="S1157" s="16">
        <f>_xlfn.XLOOKUP(CustomerCombinedCleaned[[#This Row],[ID]], Table4[ID], Table4[Website], "Not Found", 0)</f>
        <v>8</v>
      </c>
      <c r="T1157" s="16">
        <f>_xlfn.XLOOKUP(CustomerCombinedCleaned[[#This Row],[ID]], Table4[ID], Table4[Catalog], "Not Found", 0)</f>
        <v>5</v>
      </c>
      <c r="U1157" s="16">
        <f>_xlfn.XLOOKUP(CustomerCombinedCleaned[[#This Row],[ID]], Table4[ID], Table4[Store], "Not Found", 0)</f>
        <v>11</v>
      </c>
      <c r="V1157" s="16">
        <f>_xlfn.XLOOKUP(CustomerCombinedCleaned[[#This Row],[ID]], Table4[ID], Table4[Visits], "Not Found", 0)</f>
        <v>8</v>
      </c>
      <c r="W1157" s="16">
        <f>_xlfn.XLOOKUP(CustomerCombinedCleaned[[#This Row],[ID]], Table2[ID],Table2[Complaint], "Not Found", 0 )</f>
        <v>0</v>
      </c>
      <c r="X1157" s="16">
        <f>_xlfn.XLOOKUP(CustomerCombinedCleaned[[#This Row],[ID]], Table2[ID],Table2[Pilot], "Not Found", 0 )</f>
        <v>1</v>
      </c>
      <c r="Y1157" s="16">
        <f>_xlfn.XLOOKUP(CustomerCombinedCleaned[[#This Row],[ID]], Table2[ID],Table2[MC1], "Not Found", 0 )</f>
        <v>1</v>
      </c>
      <c r="Z1157" s="16">
        <f>_xlfn.XLOOKUP(CustomerCombinedCleaned[[#This Row],[ID]], Table2[ID],Table2[MC2], "Not Found", 0 )</f>
        <v>0</v>
      </c>
      <c r="AA1157" s="16">
        <f>_xlfn.XLOOKUP(CustomerCombinedCleaned[[#This Row],[ID]], Table2[ID],Table2[MC3], "Not Found", 0 )</f>
        <v>0</v>
      </c>
      <c r="AB1157" s="16">
        <f>_xlfn.XLOOKUP(CustomerCombinedCleaned[[#This Row],[ID]], Table2[ID],Table2[MC4], "Not Found", 0 )</f>
        <v>1</v>
      </c>
      <c r="AC1157" s="16">
        <f>_xlfn.XLOOKUP(CustomerCombinedCleaned[[#This Row],[ID]], Table2[ID],Table2[MC5], "Not Found", 0 )</f>
        <v>1</v>
      </c>
    </row>
    <row r="1158" spans="1:29" x14ac:dyDescent="0.3">
      <c r="A1158" s="18">
        <v>2787</v>
      </c>
      <c r="B1158" s="16">
        <v>179734</v>
      </c>
      <c r="C1158" s="16">
        <v>0</v>
      </c>
      <c r="D1158" s="16">
        <v>0</v>
      </c>
      <c r="E1158" s="16">
        <v>51</v>
      </c>
      <c r="F1158" s="17" t="s">
        <v>6</v>
      </c>
      <c r="G1158" s="17" t="s">
        <v>12</v>
      </c>
      <c r="H1158" s="3" t="s">
        <v>606</v>
      </c>
      <c r="I1158" s="5" t="s">
        <v>435</v>
      </c>
      <c r="J1158" s="16">
        <f>_xlfn.XLOOKUP(CustomerCombinedCleaned[[#This Row],[ID]], Table4[ID], Table4[Recency], "Not Found", 0)</f>
        <v>72</v>
      </c>
      <c r="K1158" s="16">
        <f>_xlfn.XLOOKUP(CustomerCombinedCleaned[[#This Row],[ID]], Table4[ID], Table4[Teas], "Not Found", 0)</f>
        <v>1289</v>
      </c>
      <c r="L1158" s="16">
        <f>_xlfn.XLOOKUP(CustomerCombinedCleaned[[#This Row],[ID]], Table4[ID], Table4[Fruits], "Not Found", 0)</f>
        <v>18</v>
      </c>
      <c r="M1158" s="16">
        <f>_xlfn.XLOOKUP(CustomerCombinedCleaned[[#This Row],[ID]], Table4[ID], Table4[Meats], "Not Found", 0)</f>
        <v>523</v>
      </c>
      <c r="N1158" s="16">
        <f>_xlfn.XLOOKUP(CustomerCombinedCleaned[[#This Row],[ID]], Table4[ID], Table4[Seafood], "Not Found", 0)</f>
        <v>52</v>
      </c>
      <c r="O1158" s="16">
        <f>_xlfn.XLOOKUP(CustomerCombinedCleaned[[#This Row],[ID]], Table4[ID], Table4[Sweets], "Not Found", 0)</f>
        <v>140</v>
      </c>
      <c r="P1158" s="16">
        <f>_xlfn.XLOOKUP(CustomerCombinedCleaned[[#This Row],[ID]], Table4[ID], Table4[Premium], "Not Found", 0)</f>
        <v>38</v>
      </c>
      <c r="Q1158" s="16">
        <f>_xlfn.XLOOKUP(CustomerCombinedCleaned[[#This Row],[ID]], Table4[ID], Table4[Regular], "Not Found", 0)</f>
        <v>1984</v>
      </c>
      <c r="R1158" s="16">
        <f>_xlfn.XLOOKUP(CustomerCombinedCleaned[[#This Row],[ID]], Table4[ID], Table4[Deals], "Not Found", 0)</f>
        <v>1</v>
      </c>
      <c r="S1158" s="16">
        <f>_xlfn.XLOOKUP(CustomerCombinedCleaned[[#This Row],[ID]], Table4[ID], Table4[Website], "Not Found", 0)</f>
        <v>4</v>
      </c>
      <c r="T1158" s="16">
        <f>_xlfn.XLOOKUP(CustomerCombinedCleaned[[#This Row],[ID]], Table4[ID], Table4[Catalog], "Not Found", 0)</f>
        <v>3</v>
      </c>
      <c r="U1158" s="16">
        <f>_xlfn.XLOOKUP(CustomerCombinedCleaned[[#This Row],[ID]], Table4[ID], Table4[Store], "Not Found", 0)</f>
        <v>6</v>
      </c>
      <c r="V1158" s="16">
        <f>_xlfn.XLOOKUP(CustomerCombinedCleaned[[#This Row],[ID]], Table4[ID], Table4[Visits], "Not Found", 0)</f>
        <v>1</v>
      </c>
      <c r="W1158" s="16">
        <f>_xlfn.XLOOKUP(CustomerCombinedCleaned[[#This Row],[ID]], Table2[ID],Table2[Complaint], "Not Found", 0 )</f>
        <v>0</v>
      </c>
      <c r="X1158" s="16">
        <f>_xlfn.XLOOKUP(CustomerCombinedCleaned[[#This Row],[ID]], Table2[ID],Table2[Pilot], "Not Found", 0 )</f>
        <v>0</v>
      </c>
      <c r="Y1158" s="16">
        <f>_xlfn.XLOOKUP(CustomerCombinedCleaned[[#This Row],[ID]], Table2[ID],Table2[MC1], "Not Found", 0 )</f>
        <v>1</v>
      </c>
      <c r="Z1158" s="16">
        <f>_xlfn.XLOOKUP(CustomerCombinedCleaned[[#This Row],[ID]], Table2[ID],Table2[MC2], "Not Found", 0 )</f>
        <v>0</v>
      </c>
      <c r="AA1158" s="16">
        <f>_xlfn.XLOOKUP(CustomerCombinedCleaned[[#This Row],[ID]], Table2[ID],Table2[MC3], "Not Found", 0 )</f>
        <v>0</v>
      </c>
      <c r="AB1158" s="16">
        <f>_xlfn.XLOOKUP(CustomerCombinedCleaned[[#This Row],[ID]], Table2[ID],Table2[MC4], "Not Found", 0 )</f>
        <v>0</v>
      </c>
      <c r="AC1158" s="16">
        <f>_xlfn.XLOOKUP(CustomerCombinedCleaned[[#This Row],[ID]], Table2[ID],Table2[MC5], "Not Found", 0 )</f>
        <v>0</v>
      </c>
    </row>
    <row r="1159" spans="1:29" x14ac:dyDescent="0.3">
      <c r="A1159" s="18">
        <v>2240</v>
      </c>
      <c r="B1159" s="16">
        <v>176653</v>
      </c>
      <c r="C1159" s="16">
        <v>0</v>
      </c>
      <c r="D1159" s="16">
        <v>0</v>
      </c>
      <c r="E1159" s="16">
        <v>51</v>
      </c>
      <c r="F1159" s="17" t="s">
        <v>8</v>
      </c>
      <c r="G1159" s="17" t="s">
        <v>11</v>
      </c>
      <c r="H1159" s="3" t="s">
        <v>201</v>
      </c>
      <c r="I1159" s="5" t="s">
        <v>438</v>
      </c>
      <c r="J1159" s="16">
        <f>_xlfn.XLOOKUP(CustomerCombinedCleaned[[#This Row],[ID]], Table4[ID], Table4[Recency], "Not Found", 0)</f>
        <v>91</v>
      </c>
      <c r="K1159" s="16">
        <f>_xlfn.XLOOKUP(CustomerCombinedCleaned[[#This Row],[ID]], Table4[ID], Table4[Teas], "Not Found", 0)</f>
        <v>1696</v>
      </c>
      <c r="L1159" s="16">
        <f>_xlfn.XLOOKUP(CustomerCombinedCleaned[[#This Row],[ID]], Table4[ID], Table4[Fruits], "Not Found", 0)</f>
        <v>145</v>
      </c>
      <c r="M1159" s="16">
        <f>_xlfn.XLOOKUP(CustomerCombinedCleaned[[#This Row],[ID]], Table4[ID], Table4[Meats], "Not Found", 0)</f>
        <v>2180</v>
      </c>
      <c r="N1159" s="16">
        <f>_xlfn.XLOOKUP(CustomerCombinedCleaned[[#This Row],[ID]], Table4[ID], Table4[Seafood], "Not Found", 0)</f>
        <v>505</v>
      </c>
      <c r="O1159" s="16">
        <f>_xlfn.XLOOKUP(CustomerCombinedCleaned[[#This Row],[ID]], Table4[ID], Table4[Sweets], "Not Found", 0)</f>
        <v>436</v>
      </c>
      <c r="P1159" s="16">
        <f>_xlfn.XLOOKUP(CustomerCombinedCleaned[[#This Row],[ID]], Table4[ID], Table4[Premium], "Not Found", 0)</f>
        <v>290</v>
      </c>
      <c r="Q1159" s="16">
        <f>_xlfn.XLOOKUP(CustomerCombinedCleaned[[#This Row],[ID]], Table4[ID], Table4[Regular], "Not Found", 0)</f>
        <v>4671</v>
      </c>
      <c r="R1159" s="16">
        <f>_xlfn.XLOOKUP(CustomerCombinedCleaned[[#This Row],[ID]], Table4[ID], Table4[Deals], "Not Found", 0)</f>
        <v>1</v>
      </c>
      <c r="S1159" s="16">
        <f>_xlfn.XLOOKUP(CustomerCombinedCleaned[[#This Row],[ID]], Table4[ID], Table4[Website], "Not Found", 0)</f>
        <v>4</v>
      </c>
      <c r="T1159" s="16">
        <f>_xlfn.XLOOKUP(CustomerCombinedCleaned[[#This Row],[ID]], Table4[ID], Table4[Catalog], "Not Found", 0)</f>
        <v>7</v>
      </c>
      <c r="U1159" s="16">
        <f>_xlfn.XLOOKUP(CustomerCombinedCleaned[[#This Row],[ID]], Table4[ID], Table4[Store], "Not Found", 0)</f>
        <v>11</v>
      </c>
      <c r="V1159" s="16">
        <f>_xlfn.XLOOKUP(CustomerCombinedCleaned[[#This Row],[ID]], Table4[ID], Table4[Visits], "Not Found", 0)</f>
        <v>2</v>
      </c>
      <c r="W1159" s="16">
        <f>_xlfn.XLOOKUP(CustomerCombinedCleaned[[#This Row],[ID]], Table2[ID],Table2[Complaint], "Not Found", 0 )</f>
        <v>0</v>
      </c>
      <c r="X1159" s="16">
        <f>_xlfn.XLOOKUP(CustomerCombinedCleaned[[#This Row],[ID]], Table2[ID],Table2[Pilot], "Not Found", 0 )</f>
        <v>0</v>
      </c>
      <c r="Y1159" s="16">
        <f>_xlfn.XLOOKUP(CustomerCombinedCleaned[[#This Row],[ID]], Table2[ID],Table2[MC1], "Not Found", 0 )</f>
        <v>1</v>
      </c>
      <c r="Z1159" s="16">
        <f>_xlfn.XLOOKUP(CustomerCombinedCleaned[[#This Row],[ID]], Table2[ID],Table2[MC2], "Not Found", 0 )</f>
        <v>0</v>
      </c>
      <c r="AA1159" s="16">
        <f>_xlfn.XLOOKUP(CustomerCombinedCleaned[[#This Row],[ID]], Table2[ID],Table2[MC3], "Not Found", 0 )</f>
        <v>0</v>
      </c>
      <c r="AB1159" s="16">
        <f>_xlfn.XLOOKUP(CustomerCombinedCleaned[[#This Row],[ID]], Table2[ID],Table2[MC4], "Not Found", 0 )</f>
        <v>0</v>
      </c>
      <c r="AC1159" s="16">
        <f>_xlfn.XLOOKUP(CustomerCombinedCleaned[[#This Row],[ID]], Table2[ID],Table2[MC5], "Not Found", 0 )</f>
        <v>1</v>
      </c>
    </row>
    <row r="1160" spans="1:29" x14ac:dyDescent="0.3">
      <c r="A1160" s="18">
        <v>1968</v>
      </c>
      <c r="B1160" s="16">
        <v>175759</v>
      </c>
      <c r="C1160" s="16">
        <v>0</v>
      </c>
      <c r="D1160" s="16">
        <v>0</v>
      </c>
      <c r="E1160" s="16">
        <v>51</v>
      </c>
      <c r="F1160" s="17" t="s">
        <v>6</v>
      </c>
      <c r="G1160" s="17" t="s">
        <v>11</v>
      </c>
      <c r="H1160" s="3" t="s">
        <v>157</v>
      </c>
      <c r="I1160" s="5" t="s">
        <v>436</v>
      </c>
      <c r="J1160" s="16">
        <f>_xlfn.XLOOKUP(CustomerCombinedCleaned[[#This Row],[ID]], Table4[ID], Table4[Recency], "Not Found", 0)</f>
        <v>46</v>
      </c>
      <c r="K1160" s="16">
        <f>_xlfn.XLOOKUP(CustomerCombinedCleaned[[#This Row],[ID]], Table4[ID], Table4[Teas], "Not Found", 0)</f>
        <v>3234</v>
      </c>
      <c r="L1160" s="16">
        <f>_xlfn.XLOOKUP(CustomerCombinedCleaned[[#This Row],[ID]], Table4[ID], Table4[Fruits], "Not Found", 0)</f>
        <v>51</v>
      </c>
      <c r="M1160" s="16">
        <f>_xlfn.XLOOKUP(CustomerCombinedCleaned[[#This Row],[ID]], Table4[ID], Table4[Meats], "Not Found", 0)</f>
        <v>1643</v>
      </c>
      <c r="N1160" s="16">
        <f>_xlfn.XLOOKUP(CustomerCombinedCleaned[[#This Row],[ID]], Table4[ID], Table4[Seafood], "Not Found", 0)</f>
        <v>206</v>
      </c>
      <c r="O1160" s="16">
        <f>_xlfn.XLOOKUP(CustomerCombinedCleaned[[#This Row],[ID]], Table4[ID], Table4[Sweets], "Not Found", 0)</f>
        <v>211</v>
      </c>
      <c r="P1160" s="16">
        <f>_xlfn.XLOOKUP(CustomerCombinedCleaned[[#This Row],[ID]], Table4[ID], Table4[Premium], "Not Found", 0)</f>
        <v>422</v>
      </c>
      <c r="Q1160" s="16">
        <f>_xlfn.XLOOKUP(CustomerCombinedCleaned[[#This Row],[ID]], Table4[ID], Table4[Regular], "Not Found", 0)</f>
        <v>4923</v>
      </c>
      <c r="R1160" s="16">
        <f>_xlfn.XLOOKUP(CustomerCombinedCleaned[[#This Row],[ID]], Table4[ID], Table4[Deals], "Not Found", 0)</f>
        <v>1</v>
      </c>
      <c r="S1160" s="16">
        <f>_xlfn.XLOOKUP(CustomerCombinedCleaned[[#This Row],[ID]], Table4[ID], Table4[Website], "Not Found", 0)</f>
        <v>9</v>
      </c>
      <c r="T1160" s="16">
        <f>_xlfn.XLOOKUP(CustomerCombinedCleaned[[#This Row],[ID]], Table4[ID], Table4[Catalog], "Not Found", 0)</f>
        <v>7</v>
      </c>
      <c r="U1160" s="16">
        <f>_xlfn.XLOOKUP(CustomerCombinedCleaned[[#This Row],[ID]], Table4[ID], Table4[Store], "Not Found", 0)</f>
        <v>9</v>
      </c>
      <c r="V1160" s="16">
        <f>_xlfn.XLOOKUP(CustomerCombinedCleaned[[#This Row],[ID]], Table4[ID], Table4[Visits], "Not Found", 0)</f>
        <v>5</v>
      </c>
      <c r="W1160" s="16">
        <f>_xlfn.XLOOKUP(CustomerCombinedCleaned[[#This Row],[ID]], Table2[ID],Table2[Complaint], "Not Found", 0 )</f>
        <v>0</v>
      </c>
      <c r="X1160" s="16">
        <f>_xlfn.XLOOKUP(CustomerCombinedCleaned[[#This Row],[ID]], Table2[ID],Table2[Pilot], "Not Found", 0 )</f>
        <v>1</v>
      </c>
      <c r="Y1160" s="16">
        <f>_xlfn.XLOOKUP(CustomerCombinedCleaned[[#This Row],[ID]], Table2[ID],Table2[MC1], "Not Found", 0 )</f>
        <v>1</v>
      </c>
      <c r="Z1160" s="16">
        <f>_xlfn.XLOOKUP(CustomerCombinedCleaned[[#This Row],[ID]], Table2[ID],Table2[MC2], "Not Found", 0 )</f>
        <v>0</v>
      </c>
      <c r="AA1160" s="16">
        <f>_xlfn.XLOOKUP(CustomerCombinedCleaned[[#This Row],[ID]], Table2[ID],Table2[MC3], "Not Found", 0 )</f>
        <v>1</v>
      </c>
      <c r="AB1160" s="16">
        <f>_xlfn.XLOOKUP(CustomerCombinedCleaned[[#This Row],[ID]], Table2[ID],Table2[MC4], "Not Found", 0 )</f>
        <v>0</v>
      </c>
      <c r="AC1160" s="16">
        <f>_xlfn.XLOOKUP(CustomerCombinedCleaned[[#This Row],[ID]], Table2[ID],Table2[MC5], "Not Found", 0 )</f>
        <v>1</v>
      </c>
    </row>
    <row r="1161" spans="1:29" x14ac:dyDescent="0.3">
      <c r="A1161" s="18">
        <v>2194</v>
      </c>
      <c r="B1161" s="16">
        <v>174918</v>
      </c>
      <c r="C1161" s="16">
        <v>0</v>
      </c>
      <c r="D1161" s="16">
        <v>0</v>
      </c>
      <c r="E1161" s="16">
        <v>51</v>
      </c>
      <c r="F1161" s="17" t="s">
        <v>8</v>
      </c>
      <c r="G1161" s="17" t="s">
        <v>11</v>
      </c>
      <c r="H1161" s="3" t="s">
        <v>295</v>
      </c>
      <c r="I1161" s="5" t="s">
        <v>439</v>
      </c>
      <c r="J1161" s="16">
        <f>_xlfn.XLOOKUP(CustomerCombinedCleaned[[#This Row],[ID]], Table4[ID], Table4[Recency], "Not Found", 0)</f>
        <v>78</v>
      </c>
      <c r="K1161" s="16">
        <f>_xlfn.XLOOKUP(CustomerCombinedCleaned[[#This Row],[ID]], Table4[ID], Table4[Teas], "Not Found", 0)</f>
        <v>2269</v>
      </c>
      <c r="L1161" s="16">
        <f>_xlfn.XLOOKUP(CustomerCombinedCleaned[[#This Row],[ID]], Table4[ID], Table4[Fruits], "Not Found", 0)</f>
        <v>138</v>
      </c>
      <c r="M1161" s="16">
        <f>_xlfn.XLOOKUP(CustomerCombinedCleaned[[#This Row],[ID]], Table4[ID], Table4[Meats], "Not Found", 0)</f>
        <v>2132</v>
      </c>
      <c r="N1161" s="16">
        <f>_xlfn.XLOOKUP(CustomerCombinedCleaned[[#This Row],[ID]], Table4[ID], Table4[Seafood], "Not Found", 0)</f>
        <v>58</v>
      </c>
      <c r="O1161" s="16">
        <f>_xlfn.XLOOKUP(CustomerCombinedCleaned[[#This Row],[ID]], Table4[ID], Table4[Sweets], "Not Found", 0)</f>
        <v>44</v>
      </c>
      <c r="P1161" s="16">
        <f>_xlfn.XLOOKUP(CustomerCombinedCleaned[[#This Row],[ID]], Table4[ID], Table4[Premium], "Not Found", 0)</f>
        <v>138</v>
      </c>
      <c r="Q1161" s="16">
        <f>_xlfn.XLOOKUP(CustomerCombinedCleaned[[#This Row],[ID]], Table4[ID], Table4[Regular], "Not Found", 0)</f>
        <v>4504</v>
      </c>
      <c r="R1161" s="16">
        <f>_xlfn.XLOOKUP(CustomerCombinedCleaned[[#This Row],[ID]], Table4[ID], Table4[Deals], "Not Found", 0)</f>
        <v>1</v>
      </c>
      <c r="S1161" s="16">
        <f>_xlfn.XLOOKUP(CustomerCombinedCleaned[[#This Row],[ID]], Table4[ID], Table4[Website], "Not Found", 0)</f>
        <v>5</v>
      </c>
      <c r="T1161" s="16">
        <f>_xlfn.XLOOKUP(CustomerCombinedCleaned[[#This Row],[ID]], Table4[ID], Table4[Catalog], "Not Found", 0)</f>
        <v>9</v>
      </c>
      <c r="U1161" s="16">
        <f>_xlfn.XLOOKUP(CustomerCombinedCleaned[[#This Row],[ID]], Table4[ID], Table4[Store], "Not Found", 0)</f>
        <v>6</v>
      </c>
      <c r="V1161" s="16">
        <f>_xlfn.XLOOKUP(CustomerCombinedCleaned[[#This Row],[ID]], Table4[ID], Table4[Visits], "Not Found", 0)</f>
        <v>3</v>
      </c>
      <c r="W1161" s="16">
        <f>_xlfn.XLOOKUP(CustomerCombinedCleaned[[#This Row],[ID]], Table2[ID],Table2[Complaint], "Not Found", 0 )</f>
        <v>0</v>
      </c>
      <c r="X1161" s="16">
        <f>_xlfn.XLOOKUP(CustomerCombinedCleaned[[#This Row],[ID]], Table2[ID],Table2[Pilot], "Not Found", 0 )</f>
        <v>0</v>
      </c>
      <c r="Y1161" s="16">
        <f>_xlfn.XLOOKUP(CustomerCombinedCleaned[[#This Row],[ID]], Table2[ID],Table2[MC1], "Not Found", 0 )</f>
        <v>0</v>
      </c>
      <c r="Z1161" s="16">
        <f>_xlfn.XLOOKUP(CustomerCombinedCleaned[[#This Row],[ID]], Table2[ID],Table2[MC2], "Not Found", 0 )</f>
        <v>0</v>
      </c>
      <c r="AA1161" s="16">
        <f>_xlfn.XLOOKUP(CustomerCombinedCleaned[[#This Row],[ID]], Table2[ID],Table2[MC3], "Not Found", 0 )</f>
        <v>0</v>
      </c>
      <c r="AB1161" s="16">
        <f>_xlfn.XLOOKUP(CustomerCombinedCleaned[[#This Row],[ID]], Table2[ID],Table2[MC4], "Not Found", 0 )</f>
        <v>0</v>
      </c>
      <c r="AC1161" s="16">
        <f>_xlfn.XLOOKUP(CustomerCombinedCleaned[[#This Row],[ID]], Table2[ID],Table2[MC5], "Not Found", 0 )</f>
        <v>1</v>
      </c>
    </row>
    <row r="1162" spans="1:29" x14ac:dyDescent="0.3">
      <c r="A1162" s="18">
        <v>1123</v>
      </c>
      <c r="B1162" s="16">
        <v>173448</v>
      </c>
      <c r="C1162" s="16">
        <v>0</v>
      </c>
      <c r="D1162" s="16">
        <v>0</v>
      </c>
      <c r="E1162" s="16">
        <v>51</v>
      </c>
      <c r="F1162" s="17" t="s">
        <v>6</v>
      </c>
      <c r="G1162" s="17" t="s">
        <v>11</v>
      </c>
      <c r="H1162" s="3" t="s">
        <v>103</v>
      </c>
      <c r="I1162" s="5" t="s">
        <v>437</v>
      </c>
      <c r="J1162" s="16">
        <f>_xlfn.XLOOKUP(CustomerCombinedCleaned[[#This Row],[ID]], Table4[ID], Table4[Recency], "Not Found", 0)</f>
        <v>10</v>
      </c>
      <c r="K1162" s="16">
        <f>_xlfn.XLOOKUP(CustomerCombinedCleaned[[#This Row],[ID]], Table4[ID], Table4[Teas], "Not Found", 0)</f>
        <v>557</v>
      </c>
      <c r="L1162" s="16">
        <f>_xlfn.XLOOKUP(CustomerCombinedCleaned[[#This Row],[ID]], Table4[ID], Table4[Fruits], "Not Found", 0)</f>
        <v>250</v>
      </c>
      <c r="M1162" s="16">
        <f>_xlfn.XLOOKUP(CustomerCombinedCleaned[[#This Row],[ID]], Table4[ID], Table4[Meats], "Not Found", 0)</f>
        <v>446</v>
      </c>
      <c r="N1162" s="16">
        <f>_xlfn.XLOOKUP(CustomerCombinedCleaned[[#This Row],[ID]], Table4[ID], Table4[Seafood], "Not Found", 0)</f>
        <v>54</v>
      </c>
      <c r="O1162" s="16">
        <f>_xlfn.XLOOKUP(CustomerCombinedCleaned[[#This Row],[ID]], Table4[ID], Table4[Sweets], "Not Found", 0)</f>
        <v>97</v>
      </c>
      <c r="P1162" s="16">
        <f>_xlfn.XLOOKUP(CustomerCombinedCleaned[[#This Row],[ID]], Table4[ID], Table4[Premium], "Not Found", 0)</f>
        <v>307</v>
      </c>
      <c r="Q1162" s="16">
        <f>_xlfn.XLOOKUP(CustomerCombinedCleaned[[#This Row],[ID]], Table4[ID], Table4[Regular], "Not Found", 0)</f>
        <v>1098</v>
      </c>
      <c r="R1162" s="16">
        <f>_xlfn.XLOOKUP(CustomerCombinedCleaned[[#This Row],[ID]], Table4[ID], Table4[Deals], "Not Found", 0)</f>
        <v>1</v>
      </c>
      <c r="S1162" s="16">
        <f>_xlfn.XLOOKUP(CustomerCombinedCleaned[[#This Row],[ID]], Table4[ID], Table4[Website], "Not Found", 0)</f>
        <v>7</v>
      </c>
      <c r="T1162" s="16">
        <f>_xlfn.XLOOKUP(CustomerCombinedCleaned[[#This Row],[ID]], Table4[ID], Table4[Catalog], "Not Found", 0)</f>
        <v>2</v>
      </c>
      <c r="U1162" s="16">
        <f>_xlfn.XLOOKUP(CustomerCombinedCleaned[[#This Row],[ID]], Table4[ID], Table4[Store], "Not Found", 0)</f>
        <v>9</v>
      </c>
      <c r="V1162" s="16">
        <f>_xlfn.XLOOKUP(CustomerCombinedCleaned[[#This Row],[ID]], Table4[ID], Table4[Visits], "Not Found", 0)</f>
        <v>4</v>
      </c>
      <c r="W1162" s="16">
        <f>_xlfn.XLOOKUP(CustomerCombinedCleaned[[#This Row],[ID]], Table2[ID],Table2[Complaint], "Not Found", 0 )</f>
        <v>0</v>
      </c>
      <c r="X1162" s="16">
        <f>_xlfn.XLOOKUP(CustomerCombinedCleaned[[#This Row],[ID]], Table2[ID],Table2[Pilot], "Not Found", 0 )</f>
        <v>0</v>
      </c>
      <c r="Y1162" s="16">
        <f>_xlfn.XLOOKUP(CustomerCombinedCleaned[[#This Row],[ID]], Table2[ID],Table2[MC1], "Not Found", 0 )</f>
        <v>0</v>
      </c>
      <c r="Z1162" s="16">
        <f>_xlfn.XLOOKUP(CustomerCombinedCleaned[[#This Row],[ID]], Table2[ID],Table2[MC2], "Not Found", 0 )</f>
        <v>0</v>
      </c>
      <c r="AA1162" s="16">
        <f>_xlfn.XLOOKUP(CustomerCombinedCleaned[[#This Row],[ID]], Table2[ID],Table2[MC3], "Not Found", 0 )</f>
        <v>0</v>
      </c>
      <c r="AB1162" s="16">
        <f>_xlfn.XLOOKUP(CustomerCombinedCleaned[[#This Row],[ID]], Table2[ID],Table2[MC4], "Not Found", 0 )</f>
        <v>0</v>
      </c>
      <c r="AC1162" s="16">
        <f>_xlfn.XLOOKUP(CustomerCombinedCleaned[[#This Row],[ID]], Table2[ID],Table2[MC5], "Not Found", 0 )</f>
        <v>0</v>
      </c>
    </row>
    <row r="1163" spans="1:29" x14ac:dyDescent="0.3">
      <c r="A1163" s="18">
        <v>1515</v>
      </c>
      <c r="B1163" s="16">
        <v>172679</v>
      </c>
      <c r="C1163" s="16">
        <v>0</v>
      </c>
      <c r="D1163" s="16">
        <v>1</v>
      </c>
      <c r="E1163" s="16">
        <v>51</v>
      </c>
      <c r="F1163" s="17" t="s">
        <v>7</v>
      </c>
      <c r="G1163" s="17" t="s">
        <v>11</v>
      </c>
      <c r="H1163" s="3" t="s">
        <v>181</v>
      </c>
      <c r="I1163" s="5" t="s">
        <v>435</v>
      </c>
      <c r="J1163" s="16">
        <f>_xlfn.XLOOKUP(CustomerCombinedCleaned[[#This Row],[ID]], Table4[ID], Table4[Recency], "Not Found", 0)</f>
        <v>65</v>
      </c>
      <c r="K1163" s="16">
        <f>_xlfn.XLOOKUP(CustomerCombinedCleaned[[#This Row],[ID]], Table4[ID], Table4[Teas], "Not Found", 0)</f>
        <v>1471</v>
      </c>
      <c r="L1163" s="16">
        <f>_xlfn.XLOOKUP(CustomerCombinedCleaned[[#This Row],[ID]], Table4[ID], Table4[Fruits], "Not Found", 0)</f>
        <v>128</v>
      </c>
      <c r="M1163" s="16">
        <f>_xlfn.XLOOKUP(CustomerCombinedCleaned[[#This Row],[ID]], Table4[ID], Table4[Meats], "Not Found", 0)</f>
        <v>618</v>
      </c>
      <c r="N1163" s="16">
        <f>_xlfn.XLOOKUP(CustomerCombinedCleaned[[#This Row],[ID]], Table4[ID], Table4[Seafood], "Not Found", 0)</f>
        <v>302</v>
      </c>
      <c r="O1163" s="16">
        <f>_xlfn.XLOOKUP(CustomerCombinedCleaned[[#This Row],[ID]], Table4[ID], Table4[Sweets], "Not Found", 0)</f>
        <v>128</v>
      </c>
      <c r="P1163" s="16">
        <f>_xlfn.XLOOKUP(CustomerCombinedCleaned[[#This Row],[ID]], Table4[ID], Table4[Premium], "Not Found", 0)</f>
        <v>128</v>
      </c>
      <c r="Q1163" s="16">
        <f>_xlfn.XLOOKUP(CustomerCombinedCleaned[[#This Row],[ID]], Table4[ID], Table4[Regular], "Not Found", 0)</f>
        <v>2518</v>
      </c>
      <c r="R1163" s="16">
        <f>_xlfn.XLOOKUP(CustomerCombinedCleaned[[#This Row],[ID]], Table4[ID], Table4[Deals], "Not Found", 0)</f>
        <v>1</v>
      </c>
      <c r="S1163" s="16">
        <f>_xlfn.XLOOKUP(CustomerCombinedCleaned[[#This Row],[ID]], Table4[ID], Table4[Website], "Not Found", 0)</f>
        <v>4</v>
      </c>
      <c r="T1163" s="16">
        <f>_xlfn.XLOOKUP(CustomerCombinedCleaned[[#This Row],[ID]], Table4[ID], Table4[Catalog], "Not Found", 0)</f>
        <v>7</v>
      </c>
      <c r="U1163" s="16">
        <f>_xlfn.XLOOKUP(CustomerCombinedCleaned[[#This Row],[ID]], Table4[ID], Table4[Store], "Not Found", 0)</f>
        <v>5</v>
      </c>
      <c r="V1163" s="16">
        <f>_xlfn.XLOOKUP(CustomerCombinedCleaned[[#This Row],[ID]], Table4[ID], Table4[Visits], "Not Found", 0)</f>
        <v>1</v>
      </c>
      <c r="W1163" s="16">
        <f>_xlfn.XLOOKUP(CustomerCombinedCleaned[[#This Row],[ID]], Table2[ID],Table2[Complaint], "Not Found", 0 )</f>
        <v>0</v>
      </c>
      <c r="X1163" s="16">
        <f>_xlfn.XLOOKUP(CustomerCombinedCleaned[[#This Row],[ID]], Table2[ID],Table2[Pilot], "Not Found", 0 )</f>
        <v>0</v>
      </c>
      <c r="Y1163" s="16">
        <f>_xlfn.XLOOKUP(CustomerCombinedCleaned[[#This Row],[ID]], Table2[ID],Table2[MC1], "Not Found", 0 )</f>
        <v>0</v>
      </c>
      <c r="Z1163" s="16">
        <f>_xlfn.XLOOKUP(CustomerCombinedCleaned[[#This Row],[ID]], Table2[ID],Table2[MC2], "Not Found", 0 )</f>
        <v>0</v>
      </c>
      <c r="AA1163" s="16">
        <f>_xlfn.XLOOKUP(CustomerCombinedCleaned[[#This Row],[ID]], Table2[ID],Table2[MC3], "Not Found", 0 )</f>
        <v>0</v>
      </c>
      <c r="AB1163" s="16">
        <f>_xlfn.XLOOKUP(CustomerCombinedCleaned[[#This Row],[ID]], Table2[ID],Table2[MC4], "Not Found", 0 )</f>
        <v>0</v>
      </c>
      <c r="AC1163" s="16">
        <f>_xlfn.XLOOKUP(CustomerCombinedCleaned[[#This Row],[ID]], Table2[ID],Table2[MC5], "Not Found", 0 )</f>
        <v>0</v>
      </c>
    </row>
    <row r="1164" spans="1:29" x14ac:dyDescent="0.3">
      <c r="A1164" s="18">
        <v>1209</v>
      </c>
      <c r="B1164" s="16">
        <v>172460</v>
      </c>
      <c r="C1164" s="16">
        <v>0</v>
      </c>
      <c r="D1164" s="16">
        <v>0</v>
      </c>
      <c r="E1164" s="16">
        <v>51</v>
      </c>
      <c r="F1164" s="17" t="s">
        <v>6</v>
      </c>
      <c r="G1164" s="17" t="s">
        <v>11</v>
      </c>
      <c r="H1164" s="3" t="s">
        <v>150</v>
      </c>
      <c r="I1164" s="5" t="s">
        <v>435</v>
      </c>
      <c r="J1164" s="16">
        <f>_xlfn.XLOOKUP(CustomerCombinedCleaned[[#This Row],[ID]], Table4[ID], Table4[Recency], "Not Found", 0)</f>
        <v>56</v>
      </c>
      <c r="K1164" s="16">
        <f>_xlfn.XLOOKUP(CustomerCombinedCleaned[[#This Row],[ID]], Table4[ID], Table4[Teas], "Not Found", 0)</f>
        <v>897</v>
      </c>
      <c r="L1164" s="16">
        <f>_xlfn.XLOOKUP(CustomerCombinedCleaned[[#This Row],[ID]], Table4[ID], Table4[Fruits], "Not Found", 0)</f>
        <v>24</v>
      </c>
      <c r="M1164" s="16">
        <f>_xlfn.XLOOKUP(CustomerCombinedCleaned[[#This Row],[ID]], Table4[ID], Table4[Meats], "Not Found", 0)</f>
        <v>1285</v>
      </c>
      <c r="N1164" s="16">
        <f>_xlfn.XLOOKUP(CustomerCombinedCleaned[[#This Row],[ID]], Table4[ID], Table4[Seafood], "Not Found", 0)</f>
        <v>190</v>
      </c>
      <c r="O1164" s="16">
        <f>_xlfn.XLOOKUP(CustomerCombinedCleaned[[#This Row],[ID]], Table4[ID], Table4[Sweets], "Not Found", 0)</f>
        <v>71</v>
      </c>
      <c r="P1164" s="16">
        <f>_xlfn.XLOOKUP(CustomerCombinedCleaned[[#This Row],[ID]], Table4[ID], Table4[Premium], "Not Found", 0)</f>
        <v>24</v>
      </c>
      <c r="Q1164" s="16">
        <f>_xlfn.XLOOKUP(CustomerCombinedCleaned[[#This Row],[ID]], Table4[ID], Table4[Regular], "Not Found", 0)</f>
        <v>2444</v>
      </c>
      <c r="R1164" s="16">
        <f>_xlfn.XLOOKUP(CustomerCombinedCleaned[[#This Row],[ID]], Table4[ID], Table4[Deals], "Not Found", 0)</f>
        <v>1</v>
      </c>
      <c r="S1164" s="16">
        <f>_xlfn.XLOOKUP(CustomerCombinedCleaned[[#This Row],[ID]], Table4[ID], Table4[Website], "Not Found", 0)</f>
        <v>3</v>
      </c>
      <c r="T1164" s="16">
        <f>_xlfn.XLOOKUP(CustomerCombinedCleaned[[#This Row],[ID]], Table4[ID], Table4[Catalog], "Not Found", 0)</f>
        <v>5</v>
      </c>
      <c r="U1164" s="16">
        <f>_xlfn.XLOOKUP(CustomerCombinedCleaned[[#This Row],[ID]], Table4[ID], Table4[Store], "Not Found", 0)</f>
        <v>7</v>
      </c>
      <c r="V1164" s="16">
        <f>_xlfn.XLOOKUP(CustomerCombinedCleaned[[#This Row],[ID]], Table4[ID], Table4[Visits], "Not Found", 0)</f>
        <v>1</v>
      </c>
      <c r="W1164" s="16">
        <f>_xlfn.XLOOKUP(CustomerCombinedCleaned[[#This Row],[ID]], Table2[ID],Table2[Complaint], "Not Found", 0 )</f>
        <v>0</v>
      </c>
      <c r="X1164" s="16">
        <f>_xlfn.XLOOKUP(CustomerCombinedCleaned[[#This Row],[ID]], Table2[ID],Table2[Pilot], "Not Found", 0 )</f>
        <v>0</v>
      </c>
      <c r="Y1164" s="16">
        <f>_xlfn.XLOOKUP(CustomerCombinedCleaned[[#This Row],[ID]], Table2[ID],Table2[MC1], "Not Found", 0 )</f>
        <v>0</v>
      </c>
      <c r="Z1164" s="16">
        <f>_xlfn.XLOOKUP(CustomerCombinedCleaned[[#This Row],[ID]], Table2[ID],Table2[MC2], "Not Found", 0 )</f>
        <v>0</v>
      </c>
      <c r="AA1164" s="16">
        <f>_xlfn.XLOOKUP(CustomerCombinedCleaned[[#This Row],[ID]], Table2[ID],Table2[MC3], "Not Found", 0 )</f>
        <v>0</v>
      </c>
      <c r="AB1164" s="16">
        <f>_xlfn.XLOOKUP(CustomerCombinedCleaned[[#This Row],[ID]], Table2[ID],Table2[MC4], "Not Found", 0 )</f>
        <v>0</v>
      </c>
      <c r="AC1164" s="16">
        <f>_xlfn.XLOOKUP(CustomerCombinedCleaned[[#This Row],[ID]], Table2[ID],Table2[MC5], "Not Found", 0 )</f>
        <v>0</v>
      </c>
    </row>
    <row r="1165" spans="1:29" x14ac:dyDescent="0.3">
      <c r="A1165" s="18">
        <v>2178</v>
      </c>
      <c r="B1165" s="16">
        <v>170091</v>
      </c>
      <c r="C1165" s="16">
        <v>1</v>
      </c>
      <c r="D1165" s="16">
        <v>0</v>
      </c>
      <c r="E1165" s="16">
        <v>51</v>
      </c>
      <c r="F1165" s="17" t="s">
        <v>6</v>
      </c>
      <c r="G1165" s="17" t="s">
        <v>12</v>
      </c>
      <c r="H1165" s="3" t="s">
        <v>671</v>
      </c>
      <c r="I1165" s="5" t="s">
        <v>436</v>
      </c>
      <c r="J1165" s="16">
        <f>_xlfn.XLOOKUP(CustomerCombinedCleaned[[#This Row],[ID]], Table4[ID], Table4[Recency], "Not Found", 0)</f>
        <v>11</v>
      </c>
      <c r="K1165" s="16">
        <f>_xlfn.XLOOKUP(CustomerCombinedCleaned[[#This Row],[ID]], Table4[ID], Table4[Teas], "Not Found", 0)</f>
        <v>2339</v>
      </c>
      <c r="L1165" s="16">
        <f>_xlfn.XLOOKUP(CustomerCombinedCleaned[[#This Row],[ID]], Table4[ID], Table4[Fruits], "Not Found", 0)</f>
        <v>83</v>
      </c>
      <c r="M1165" s="16">
        <f>_xlfn.XLOOKUP(CustomerCombinedCleaned[[#This Row],[ID]], Table4[ID], Table4[Meats], "Not Found", 0)</f>
        <v>332</v>
      </c>
      <c r="N1165" s="16">
        <f>_xlfn.XLOOKUP(CustomerCombinedCleaned[[#This Row],[ID]], Table4[ID], Table4[Seafood], "Not Found", 0)</f>
        <v>36</v>
      </c>
      <c r="O1165" s="16">
        <f>_xlfn.XLOOKUP(CustomerCombinedCleaned[[#This Row],[ID]], Table4[ID], Table4[Sweets], "Not Found", 0)</f>
        <v>0</v>
      </c>
      <c r="P1165" s="16">
        <f>_xlfn.XLOOKUP(CustomerCombinedCleaned[[#This Row],[ID]], Table4[ID], Table4[Premium], "Not Found", 0)</f>
        <v>27</v>
      </c>
      <c r="Q1165" s="16">
        <f>_xlfn.XLOOKUP(CustomerCombinedCleaned[[#This Row],[ID]], Table4[ID], Table4[Regular], "Not Found", 0)</f>
        <v>2764</v>
      </c>
      <c r="R1165" s="16">
        <f>_xlfn.XLOOKUP(CustomerCombinedCleaned[[#This Row],[ID]], Table4[ID], Table4[Deals], "Not Found", 0)</f>
        <v>2</v>
      </c>
      <c r="S1165" s="16">
        <f>_xlfn.XLOOKUP(CustomerCombinedCleaned[[#This Row],[ID]], Table4[ID], Table4[Website], "Not Found", 0)</f>
        <v>5</v>
      </c>
      <c r="T1165" s="16">
        <f>_xlfn.XLOOKUP(CustomerCombinedCleaned[[#This Row],[ID]], Table4[ID], Table4[Catalog], "Not Found", 0)</f>
        <v>2</v>
      </c>
      <c r="U1165" s="16">
        <f>_xlfn.XLOOKUP(CustomerCombinedCleaned[[#This Row],[ID]], Table4[ID], Table4[Store], "Not Found", 0)</f>
        <v>10</v>
      </c>
      <c r="V1165" s="16">
        <f>_xlfn.XLOOKUP(CustomerCombinedCleaned[[#This Row],[ID]], Table4[ID], Table4[Visits], "Not Found", 0)</f>
        <v>8</v>
      </c>
      <c r="W1165" s="16">
        <f>_xlfn.XLOOKUP(CustomerCombinedCleaned[[#This Row],[ID]], Table2[ID],Table2[Complaint], "Not Found", 0 )</f>
        <v>0</v>
      </c>
      <c r="X1165" s="16">
        <f>_xlfn.XLOOKUP(CustomerCombinedCleaned[[#This Row],[ID]], Table2[ID],Table2[Pilot], "Not Found", 0 )</f>
        <v>0</v>
      </c>
      <c r="Y1165" s="16">
        <f>_xlfn.XLOOKUP(CustomerCombinedCleaned[[#This Row],[ID]], Table2[ID],Table2[MC1], "Not Found", 0 )</f>
        <v>0</v>
      </c>
      <c r="Z1165" s="16">
        <f>_xlfn.XLOOKUP(CustomerCombinedCleaned[[#This Row],[ID]], Table2[ID],Table2[MC2], "Not Found", 0 )</f>
        <v>0</v>
      </c>
      <c r="AA1165" s="16">
        <f>_xlfn.XLOOKUP(CustomerCombinedCleaned[[#This Row],[ID]], Table2[ID],Table2[MC3], "Not Found", 0 )</f>
        <v>0</v>
      </c>
      <c r="AB1165" s="16">
        <f>_xlfn.XLOOKUP(CustomerCombinedCleaned[[#This Row],[ID]], Table2[ID],Table2[MC4], "Not Found", 0 )</f>
        <v>1</v>
      </c>
      <c r="AC1165" s="16">
        <f>_xlfn.XLOOKUP(CustomerCombinedCleaned[[#This Row],[ID]], Table2[ID],Table2[MC5], "Not Found", 0 )</f>
        <v>0</v>
      </c>
    </row>
    <row r="1166" spans="1:29" x14ac:dyDescent="0.3">
      <c r="A1166" s="18">
        <v>2723</v>
      </c>
      <c r="B1166" s="16">
        <v>169901</v>
      </c>
      <c r="C1166" s="16">
        <v>0</v>
      </c>
      <c r="D1166" s="16">
        <v>1</v>
      </c>
      <c r="E1166" s="16">
        <v>51</v>
      </c>
      <c r="F1166" s="17" t="s">
        <v>5</v>
      </c>
      <c r="G1166" s="17" t="s">
        <v>11</v>
      </c>
      <c r="H1166" s="3" t="s">
        <v>627</v>
      </c>
      <c r="I1166" s="5" t="s">
        <v>434</v>
      </c>
      <c r="J1166" s="16">
        <f>_xlfn.XLOOKUP(CustomerCombinedCleaned[[#This Row],[ID]], Table4[ID], Table4[Recency], "Not Found", 0)</f>
        <v>95</v>
      </c>
      <c r="K1166" s="16">
        <f>_xlfn.XLOOKUP(CustomerCombinedCleaned[[#This Row],[ID]], Table4[ID], Table4[Teas], "Not Found", 0)</f>
        <v>758</v>
      </c>
      <c r="L1166" s="16">
        <f>_xlfn.XLOOKUP(CustomerCombinedCleaned[[#This Row],[ID]], Table4[ID], Table4[Fruits], "Not Found", 0)</f>
        <v>51</v>
      </c>
      <c r="M1166" s="16">
        <f>_xlfn.XLOOKUP(CustomerCombinedCleaned[[#This Row],[ID]], Table4[ID], Table4[Meats], "Not Found", 0)</f>
        <v>501</v>
      </c>
      <c r="N1166" s="16">
        <f>_xlfn.XLOOKUP(CustomerCombinedCleaned[[#This Row],[ID]], Table4[ID], Table4[Seafood], "Not Found", 0)</f>
        <v>248</v>
      </c>
      <c r="O1166" s="16">
        <f>_xlfn.XLOOKUP(CustomerCombinedCleaned[[#This Row],[ID]], Table4[ID], Table4[Sweets], "Not Found", 0)</f>
        <v>224</v>
      </c>
      <c r="P1166" s="16">
        <f>_xlfn.XLOOKUP(CustomerCombinedCleaned[[#This Row],[ID]], Table4[ID], Table4[Premium], "Not Found", 0)</f>
        <v>362</v>
      </c>
      <c r="Q1166" s="16">
        <f>_xlfn.XLOOKUP(CustomerCombinedCleaned[[#This Row],[ID]], Table4[ID], Table4[Regular], "Not Found", 0)</f>
        <v>1419</v>
      </c>
      <c r="R1166" s="16">
        <f>_xlfn.XLOOKUP(CustomerCombinedCleaned[[#This Row],[ID]], Table4[ID], Table4[Deals], "Not Found", 0)</f>
        <v>3</v>
      </c>
      <c r="S1166" s="16">
        <f>_xlfn.XLOOKUP(CustomerCombinedCleaned[[#This Row],[ID]], Table4[ID], Table4[Website], "Not Found", 0)</f>
        <v>7</v>
      </c>
      <c r="T1166" s="16">
        <f>_xlfn.XLOOKUP(CustomerCombinedCleaned[[#This Row],[ID]], Table4[ID], Table4[Catalog], "Not Found", 0)</f>
        <v>3</v>
      </c>
      <c r="U1166" s="16">
        <f>_xlfn.XLOOKUP(CustomerCombinedCleaned[[#This Row],[ID]], Table4[ID], Table4[Store], "Not Found", 0)</f>
        <v>10</v>
      </c>
      <c r="V1166" s="16">
        <f>_xlfn.XLOOKUP(CustomerCombinedCleaned[[#This Row],[ID]], Table4[ID], Table4[Visits], "Not Found", 0)</f>
        <v>5</v>
      </c>
      <c r="W1166" s="16">
        <f>_xlfn.XLOOKUP(CustomerCombinedCleaned[[#This Row],[ID]], Table2[ID],Table2[Complaint], "Not Found", 0 )</f>
        <v>0</v>
      </c>
      <c r="X1166" s="16">
        <f>_xlfn.XLOOKUP(CustomerCombinedCleaned[[#This Row],[ID]], Table2[ID],Table2[Pilot], "Not Found", 0 )</f>
        <v>0</v>
      </c>
      <c r="Y1166" s="16">
        <f>_xlfn.XLOOKUP(CustomerCombinedCleaned[[#This Row],[ID]], Table2[ID],Table2[MC1], "Not Found", 0 )</f>
        <v>0</v>
      </c>
      <c r="Z1166" s="16">
        <f>_xlfn.XLOOKUP(CustomerCombinedCleaned[[#This Row],[ID]], Table2[ID],Table2[MC2], "Not Found", 0 )</f>
        <v>0</v>
      </c>
      <c r="AA1166" s="16">
        <f>_xlfn.XLOOKUP(CustomerCombinedCleaned[[#This Row],[ID]], Table2[ID],Table2[MC3], "Not Found", 0 )</f>
        <v>0</v>
      </c>
      <c r="AB1166" s="16">
        <f>_xlfn.XLOOKUP(CustomerCombinedCleaned[[#This Row],[ID]], Table2[ID],Table2[MC4], "Not Found", 0 )</f>
        <v>0</v>
      </c>
      <c r="AC1166" s="16">
        <f>_xlfn.XLOOKUP(CustomerCombinedCleaned[[#This Row],[ID]], Table2[ID],Table2[MC5], "Not Found", 0 )</f>
        <v>0</v>
      </c>
    </row>
    <row r="1167" spans="1:29" x14ac:dyDescent="0.3">
      <c r="A1167" s="18">
        <v>3220</v>
      </c>
      <c r="B1167" s="16">
        <v>169534</v>
      </c>
      <c r="C1167" s="16">
        <v>1</v>
      </c>
      <c r="D1167" s="16">
        <v>1</v>
      </c>
      <c r="E1167" s="16">
        <v>51</v>
      </c>
      <c r="F1167" s="17" t="s">
        <v>6</v>
      </c>
      <c r="G1167" s="17" t="s">
        <v>13</v>
      </c>
      <c r="H1167" s="3" t="s">
        <v>379</v>
      </c>
      <c r="I1167" s="5" t="s">
        <v>439</v>
      </c>
      <c r="J1167" s="16">
        <f>_xlfn.XLOOKUP(CustomerCombinedCleaned[[#This Row],[ID]], Table4[ID], Table4[Recency], "Not Found", 0)</f>
        <v>40</v>
      </c>
      <c r="K1167" s="16">
        <f>_xlfn.XLOOKUP(CustomerCombinedCleaned[[#This Row],[ID]], Table4[ID], Table4[Teas], "Not Found", 0)</f>
        <v>205</v>
      </c>
      <c r="L1167" s="16">
        <f>_xlfn.XLOOKUP(CustomerCombinedCleaned[[#This Row],[ID]], Table4[ID], Table4[Fruits], "Not Found", 0)</f>
        <v>7</v>
      </c>
      <c r="M1167" s="16">
        <f>_xlfn.XLOOKUP(CustomerCombinedCleaned[[#This Row],[ID]], Table4[ID], Table4[Meats], "Not Found", 0)</f>
        <v>149</v>
      </c>
      <c r="N1167" s="16">
        <f>_xlfn.XLOOKUP(CustomerCombinedCleaned[[#This Row],[ID]], Table4[ID], Table4[Seafood], "Not Found", 0)</f>
        <v>5</v>
      </c>
      <c r="O1167" s="16">
        <f>_xlfn.XLOOKUP(CustomerCombinedCleaned[[#This Row],[ID]], Table4[ID], Table4[Sweets], "Not Found", 0)</f>
        <v>2</v>
      </c>
      <c r="P1167" s="16">
        <f>_xlfn.XLOOKUP(CustomerCombinedCleaned[[#This Row],[ID]], Table4[ID], Table4[Premium], "Not Found", 0)</f>
        <v>51</v>
      </c>
      <c r="Q1167" s="16">
        <f>_xlfn.XLOOKUP(CustomerCombinedCleaned[[#This Row],[ID]], Table4[ID], Table4[Regular], "Not Found", 0)</f>
        <v>317</v>
      </c>
      <c r="R1167" s="16">
        <f>_xlfn.XLOOKUP(CustomerCombinedCleaned[[#This Row],[ID]], Table4[ID], Table4[Deals], "Not Found", 0)</f>
        <v>3</v>
      </c>
      <c r="S1167" s="16">
        <f>_xlfn.XLOOKUP(CustomerCombinedCleaned[[#This Row],[ID]], Table4[ID], Table4[Website], "Not Found", 0)</f>
        <v>3</v>
      </c>
      <c r="T1167" s="16">
        <f>_xlfn.XLOOKUP(CustomerCombinedCleaned[[#This Row],[ID]], Table4[ID], Table4[Catalog], "Not Found", 0)</f>
        <v>1</v>
      </c>
      <c r="U1167" s="16">
        <f>_xlfn.XLOOKUP(CustomerCombinedCleaned[[#This Row],[ID]], Table4[ID], Table4[Store], "Not Found", 0)</f>
        <v>4</v>
      </c>
      <c r="V1167" s="16">
        <f>_xlfn.XLOOKUP(CustomerCombinedCleaned[[#This Row],[ID]], Table4[ID], Table4[Visits], "Not Found", 0)</f>
        <v>7</v>
      </c>
      <c r="W1167" s="16">
        <f>_xlfn.XLOOKUP(CustomerCombinedCleaned[[#This Row],[ID]], Table2[ID],Table2[Complaint], "Not Found", 0 )</f>
        <v>0</v>
      </c>
      <c r="X1167" s="16">
        <f>_xlfn.XLOOKUP(CustomerCombinedCleaned[[#This Row],[ID]], Table2[ID],Table2[Pilot], "Not Found", 0 )</f>
        <v>1</v>
      </c>
      <c r="Y1167" s="16">
        <f>_xlfn.XLOOKUP(CustomerCombinedCleaned[[#This Row],[ID]], Table2[ID],Table2[MC1], "Not Found", 0 )</f>
        <v>0</v>
      </c>
      <c r="Z1167" s="16">
        <f>_xlfn.XLOOKUP(CustomerCombinedCleaned[[#This Row],[ID]], Table2[ID],Table2[MC2], "Not Found", 0 )</f>
        <v>0</v>
      </c>
      <c r="AA1167" s="16">
        <f>_xlfn.XLOOKUP(CustomerCombinedCleaned[[#This Row],[ID]], Table2[ID],Table2[MC3], "Not Found", 0 )</f>
        <v>0</v>
      </c>
      <c r="AB1167" s="16">
        <f>_xlfn.XLOOKUP(CustomerCombinedCleaned[[#This Row],[ID]], Table2[ID],Table2[MC4], "Not Found", 0 )</f>
        <v>0</v>
      </c>
      <c r="AC1167" s="16">
        <f>_xlfn.XLOOKUP(CustomerCombinedCleaned[[#This Row],[ID]], Table2[ID],Table2[MC5], "Not Found", 0 )</f>
        <v>0</v>
      </c>
    </row>
    <row r="1168" spans="1:29" x14ac:dyDescent="0.3">
      <c r="A1168" s="18">
        <v>1670</v>
      </c>
      <c r="B1168" s="16">
        <v>169476</v>
      </c>
      <c r="C1168" s="16">
        <v>0</v>
      </c>
      <c r="D1168" s="16">
        <v>0</v>
      </c>
      <c r="E1168" s="16">
        <v>51</v>
      </c>
      <c r="F1168" s="17" t="s">
        <v>8</v>
      </c>
      <c r="G1168" s="17" t="s">
        <v>13</v>
      </c>
      <c r="H1168" s="3" t="s">
        <v>604</v>
      </c>
      <c r="I1168" s="5" t="s">
        <v>438</v>
      </c>
      <c r="J1168" s="16">
        <f>_xlfn.XLOOKUP(CustomerCombinedCleaned[[#This Row],[ID]], Table4[ID], Table4[Recency], "Not Found", 0)</f>
        <v>3</v>
      </c>
      <c r="K1168" s="16">
        <f>_xlfn.XLOOKUP(CustomerCombinedCleaned[[#This Row],[ID]], Table4[ID], Table4[Teas], "Not Found", 0)</f>
        <v>634</v>
      </c>
      <c r="L1168" s="16">
        <f>_xlfn.XLOOKUP(CustomerCombinedCleaned[[#This Row],[ID]], Table4[ID], Table4[Fruits], "Not Found", 0)</f>
        <v>210</v>
      </c>
      <c r="M1168" s="16">
        <f>_xlfn.XLOOKUP(CustomerCombinedCleaned[[#This Row],[ID]], Table4[ID], Table4[Meats], "Not Found", 0)</f>
        <v>1364</v>
      </c>
      <c r="N1168" s="16">
        <f>_xlfn.XLOOKUP(CustomerCombinedCleaned[[#This Row],[ID]], Table4[ID], Table4[Seafood], "Not Found", 0)</f>
        <v>154</v>
      </c>
      <c r="O1168" s="16">
        <f>_xlfn.XLOOKUP(CustomerCombinedCleaned[[#This Row],[ID]], Table4[ID], Table4[Sweets], "Not Found", 0)</f>
        <v>22</v>
      </c>
      <c r="P1168" s="16">
        <f>_xlfn.XLOOKUP(CustomerCombinedCleaned[[#This Row],[ID]], Table4[ID], Table4[Premium], "Not Found", 0)</f>
        <v>163</v>
      </c>
      <c r="Q1168" s="16">
        <f>_xlfn.XLOOKUP(CustomerCombinedCleaned[[#This Row],[ID]], Table4[ID], Table4[Regular], "Not Found", 0)</f>
        <v>2220</v>
      </c>
      <c r="R1168" s="16">
        <f>_xlfn.XLOOKUP(CustomerCombinedCleaned[[#This Row],[ID]], Table4[ID], Table4[Deals], "Not Found", 0)</f>
        <v>1</v>
      </c>
      <c r="S1168" s="16">
        <f>_xlfn.XLOOKUP(CustomerCombinedCleaned[[#This Row],[ID]], Table4[ID], Table4[Website], "Not Found", 0)</f>
        <v>4</v>
      </c>
      <c r="T1168" s="16">
        <f>_xlfn.XLOOKUP(CustomerCombinedCleaned[[#This Row],[ID]], Table4[ID], Table4[Catalog], "Not Found", 0)</f>
        <v>6</v>
      </c>
      <c r="U1168" s="16">
        <f>_xlfn.XLOOKUP(CustomerCombinedCleaned[[#This Row],[ID]], Table4[ID], Table4[Store], "Not Found", 0)</f>
        <v>4</v>
      </c>
      <c r="V1168" s="16">
        <f>_xlfn.XLOOKUP(CustomerCombinedCleaned[[#This Row],[ID]], Table4[ID], Table4[Visits], "Not Found", 0)</f>
        <v>2</v>
      </c>
      <c r="W1168" s="16">
        <f>_xlfn.XLOOKUP(CustomerCombinedCleaned[[#This Row],[ID]], Table2[ID],Table2[Complaint], "Not Found", 0 )</f>
        <v>0</v>
      </c>
      <c r="X1168" s="16">
        <f>_xlfn.XLOOKUP(CustomerCombinedCleaned[[#This Row],[ID]], Table2[ID],Table2[Pilot], "Not Found", 0 )</f>
        <v>0</v>
      </c>
      <c r="Y1168" s="16">
        <f>_xlfn.XLOOKUP(CustomerCombinedCleaned[[#This Row],[ID]], Table2[ID],Table2[MC1], "Not Found", 0 )</f>
        <v>0</v>
      </c>
      <c r="Z1168" s="16">
        <f>_xlfn.XLOOKUP(CustomerCombinedCleaned[[#This Row],[ID]], Table2[ID],Table2[MC2], "Not Found", 0 )</f>
        <v>0</v>
      </c>
      <c r="AA1168" s="16">
        <f>_xlfn.XLOOKUP(CustomerCombinedCleaned[[#This Row],[ID]], Table2[ID],Table2[MC3], "Not Found", 0 )</f>
        <v>0</v>
      </c>
      <c r="AB1168" s="16">
        <f>_xlfn.XLOOKUP(CustomerCombinedCleaned[[#This Row],[ID]], Table2[ID],Table2[MC4], "Not Found", 0 )</f>
        <v>0</v>
      </c>
      <c r="AC1168" s="16">
        <f>_xlfn.XLOOKUP(CustomerCombinedCleaned[[#This Row],[ID]], Table2[ID],Table2[MC5], "Not Found", 0 )</f>
        <v>0</v>
      </c>
    </row>
    <row r="1169" spans="1:29" x14ac:dyDescent="0.3">
      <c r="A1169" s="18">
        <v>2013</v>
      </c>
      <c r="B1169" s="16">
        <v>168695</v>
      </c>
      <c r="C1169" s="16">
        <v>0</v>
      </c>
      <c r="D1169" s="16">
        <v>0</v>
      </c>
      <c r="E1169" s="16">
        <v>51</v>
      </c>
      <c r="F1169" s="17" t="s">
        <v>8</v>
      </c>
      <c r="G1169" s="17" t="s">
        <v>11</v>
      </c>
      <c r="H1169" s="3" t="s">
        <v>24</v>
      </c>
      <c r="I1169" s="5" t="s">
        <v>435</v>
      </c>
      <c r="J1169" s="16">
        <f>_xlfn.XLOOKUP(CustomerCombinedCleaned[[#This Row],[ID]], Table4[ID], Table4[Recency], "Not Found", 0)</f>
        <v>3</v>
      </c>
      <c r="K1169" s="16">
        <f>_xlfn.XLOOKUP(CustomerCombinedCleaned[[#This Row],[ID]], Table4[ID], Table4[Teas], "Not Found", 0)</f>
        <v>1125</v>
      </c>
      <c r="L1169" s="16">
        <f>_xlfn.XLOOKUP(CustomerCombinedCleaned[[#This Row],[ID]], Table4[ID], Table4[Fruits], "Not Found", 0)</f>
        <v>199</v>
      </c>
      <c r="M1169" s="16">
        <f>_xlfn.XLOOKUP(CustomerCombinedCleaned[[#This Row],[ID]], Table4[ID], Table4[Meats], "Not Found", 0)</f>
        <v>874</v>
      </c>
      <c r="N1169" s="16">
        <f>_xlfn.XLOOKUP(CustomerCombinedCleaned[[#This Row],[ID]], Table4[ID], Table4[Seafood], "Not Found", 0)</f>
        <v>260</v>
      </c>
      <c r="O1169" s="16">
        <f>_xlfn.XLOOKUP(CustomerCombinedCleaned[[#This Row],[ID]], Table4[ID], Table4[Sweets], "Not Found", 0)</f>
        <v>123</v>
      </c>
      <c r="P1169" s="16">
        <f>_xlfn.XLOOKUP(CustomerCombinedCleaned[[#This Row],[ID]], Table4[ID], Table4[Premium], "Not Found", 0)</f>
        <v>98</v>
      </c>
      <c r="Q1169" s="16">
        <f>_xlfn.XLOOKUP(CustomerCombinedCleaned[[#This Row],[ID]], Table4[ID], Table4[Regular], "Not Found", 0)</f>
        <v>2483</v>
      </c>
      <c r="R1169" s="16">
        <f>_xlfn.XLOOKUP(CustomerCombinedCleaned[[#This Row],[ID]], Table4[ID], Table4[Deals], "Not Found", 0)</f>
        <v>1</v>
      </c>
      <c r="S1169" s="16">
        <f>_xlfn.XLOOKUP(CustomerCombinedCleaned[[#This Row],[ID]], Table4[ID], Table4[Website], "Not Found", 0)</f>
        <v>4</v>
      </c>
      <c r="T1169" s="16">
        <f>_xlfn.XLOOKUP(CustomerCombinedCleaned[[#This Row],[ID]], Table4[ID], Table4[Catalog], "Not Found", 0)</f>
        <v>4</v>
      </c>
      <c r="U1169" s="16">
        <f>_xlfn.XLOOKUP(CustomerCombinedCleaned[[#This Row],[ID]], Table4[ID], Table4[Store], "Not Found", 0)</f>
        <v>7</v>
      </c>
      <c r="V1169" s="16">
        <f>_xlfn.XLOOKUP(CustomerCombinedCleaned[[#This Row],[ID]], Table4[ID], Table4[Visits], "Not Found", 0)</f>
        <v>2</v>
      </c>
      <c r="W1169" s="16">
        <f>_xlfn.XLOOKUP(CustomerCombinedCleaned[[#This Row],[ID]], Table2[ID],Table2[Complaint], "Not Found", 0 )</f>
        <v>0</v>
      </c>
      <c r="X1169" s="16">
        <f>_xlfn.XLOOKUP(CustomerCombinedCleaned[[#This Row],[ID]], Table2[ID],Table2[Pilot], "Not Found", 0 )</f>
        <v>0</v>
      </c>
      <c r="Y1169" s="16">
        <f>_xlfn.XLOOKUP(CustomerCombinedCleaned[[#This Row],[ID]], Table2[ID],Table2[MC1], "Not Found", 0 )</f>
        <v>0</v>
      </c>
      <c r="Z1169" s="16">
        <f>_xlfn.XLOOKUP(CustomerCombinedCleaned[[#This Row],[ID]], Table2[ID],Table2[MC2], "Not Found", 0 )</f>
        <v>0</v>
      </c>
      <c r="AA1169" s="16">
        <f>_xlfn.XLOOKUP(CustomerCombinedCleaned[[#This Row],[ID]], Table2[ID],Table2[MC3], "Not Found", 0 )</f>
        <v>0</v>
      </c>
      <c r="AB1169" s="16">
        <f>_xlfn.XLOOKUP(CustomerCombinedCleaned[[#This Row],[ID]], Table2[ID],Table2[MC4], "Not Found", 0 )</f>
        <v>0</v>
      </c>
      <c r="AC1169" s="16">
        <f>_xlfn.XLOOKUP(CustomerCombinedCleaned[[#This Row],[ID]], Table2[ID],Table2[MC5], "Not Found", 0 )</f>
        <v>0</v>
      </c>
    </row>
    <row r="1170" spans="1:29" x14ac:dyDescent="0.3">
      <c r="A1170" s="18">
        <v>2431</v>
      </c>
      <c r="B1170" s="16">
        <v>168695</v>
      </c>
      <c r="C1170" s="16">
        <v>0</v>
      </c>
      <c r="D1170" s="16">
        <v>0</v>
      </c>
      <c r="E1170" s="16">
        <v>51</v>
      </c>
      <c r="F1170" s="17" t="s">
        <v>8</v>
      </c>
      <c r="G1170" s="17" t="s">
        <v>11</v>
      </c>
      <c r="H1170" s="3" t="s">
        <v>24</v>
      </c>
      <c r="I1170" s="5" t="s">
        <v>437</v>
      </c>
      <c r="J1170" s="16">
        <f>_xlfn.XLOOKUP(CustomerCombinedCleaned[[#This Row],[ID]], Table4[ID], Table4[Recency], "Not Found", 0)</f>
        <v>3</v>
      </c>
      <c r="K1170" s="16">
        <f>_xlfn.XLOOKUP(CustomerCombinedCleaned[[#This Row],[ID]], Table4[ID], Table4[Teas], "Not Found", 0)</f>
        <v>1125</v>
      </c>
      <c r="L1170" s="16">
        <f>_xlfn.XLOOKUP(CustomerCombinedCleaned[[#This Row],[ID]], Table4[ID], Table4[Fruits], "Not Found", 0)</f>
        <v>199</v>
      </c>
      <c r="M1170" s="16">
        <f>_xlfn.XLOOKUP(CustomerCombinedCleaned[[#This Row],[ID]], Table4[ID], Table4[Meats], "Not Found", 0)</f>
        <v>874</v>
      </c>
      <c r="N1170" s="16">
        <f>_xlfn.XLOOKUP(CustomerCombinedCleaned[[#This Row],[ID]], Table4[ID], Table4[Seafood], "Not Found", 0)</f>
        <v>260</v>
      </c>
      <c r="O1170" s="16">
        <f>_xlfn.XLOOKUP(CustomerCombinedCleaned[[#This Row],[ID]], Table4[ID], Table4[Sweets], "Not Found", 0)</f>
        <v>123</v>
      </c>
      <c r="P1170" s="16">
        <f>_xlfn.XLOOKUP(CustomerCombinedCleaned[[#This Row],[ID]], Table4[ID], Table4[Premium], "Not Found", 0)</f>
        <v>98</v>
      </c>
      <c r="Q1170" s="16">
        <f>_xlfn.XLOOKUP(CustomerCombinedCleaned[[#This Row],[ID]], Table4[ID], Table4[Regular], "Not Found", 0)</f>
        <v>2483</v>
      </c>
      <c r="R1170" s="16">
        <f>_xlfn.XLOOKUP(CustomerCombinedCleaned[[#This Row],[ID]], Table4[ID], Table4[Deals], "Not Found", 0)</f>
        <v>1</v>
      </c>
      <c r="S1170" s="16">
        <f>_xlfn.XLOOKUP(CustomerCombinedCleaned[[#This Row],[ID]], Table4[ID], Table4[Website], "Not Found", 0)</f>
        <v>4</v>
      </c>
      <c r="T1170" s="16">
        <f>_xlfn.XLOOKUP(CustomerCombinedCleaned[[#This Row],[ID]], Table4[ID], Table4[Catalog], "Not Found", 0)</f>
        <v>4</v>
      </c>
      <c r="U1170" s="16">
        <f>_xlfn.XLOOKUP(CustomerCombinedCleaned[[#This Row],[ID]], Table4[ID], Table4[Store], "Not Found", 0)</f>
        <v>7</v>
      </c>
      <c r="V1170" s="16">
        <f>_xlfn.XLOOKUP(CustomerCombinedCleaned[[#This Row],[ID]], Table4[ID], Table4[Visits], "Not Found", 0)</f>
        <v>2</v>
      </c>
      <c r="W1170" s="16">
        <f>_xlfn.XLOOKUP(CustomerCombinedCleaned[[#This Row],[ID]], Table2[ID],Table2[Complaint], "Not Found", 0 )</f>
        <v>0</v>
      </c>
      <c r="X1170" s="16">
        <f>_xlfn.XLOOKUP(CustomerCombinedCleaned[[#This Row],[ID]], Table2[ID],Table2[Pilot], "Not Found", 0 )</f>
        <v>0</v>
      </c>
      <c r="Y1170" s="16">
        <f>_xlfn.XLOOKUP(CustomerCombinedCleaned[[#This Row],[ID]], Table2[ID],Table2[MC1], "Not Found", 0 )</f>
        <v>0</v>
      </c>
      <c r="Z1170" s="16">
        <f>_xlfn.XLOOKUP(CustomerCombinedCleaned[[#This Row],[ID]], Table2[ID],Table2[MC2], "Not Found", 0 )</f>
        <v>0</v>
      </c>
      <c r="AA1170" s="16">
        <f>_xlfn.XLOOKUP(CustomerCombinedCleaned[[#This Row],[ID]], Table2[ID],Table2[MC3], "Not Found", 0 )</f>
        <v>0</v>
      </c>
      <c r="AB1170" s="16">
        <f>_xlfn.XLOOKUP(CustomerCombinedCleaned[[#This Row],[ID]], Table2[ID],Table2[MC4], "Not Found", 0 )</f>
        <v>0</v>
      </c>
      <c r="AC1170" s="16">
        <f>_xlfn.XLOOKUP(CustomerCombinedCleaned[[#This Row],[ID]], Table2[ID],Table2[MC5], "Not Found", 0 )</f>
        <v>0</v>
      </c>
    </row>
    <row r="1171" spans="1:29" x14ac:dyDescent="0.3">
      <c r="A1171" s="18">
        <v>1341</v>
      </c>
      <c r="B1171" s="16">
        <v>168462</v>
      </c>
      <c r="C1171" s="16">
        <v>0</v>
      </c>
      <c r="D1171" s="16">
        <v>0</v>
      </c>
      <c r="E1171" s="16">
        <v>51</v>
      </c>
      <c r="F1171" s="17" t="s">
        <v>6</v>
      </c>
      <c r="G1171" s="17" t="s">
        <v>13</v>
      </c>
      <c r="H1171" s="3" t="s">
        <v>346</v>
      </c>
      <c r="I1171" s="5" t="s">
        <v>435</v>
      </c>
      <c r="J1171" s="16">
        <f>_xlfn.XLOOKUP(CustomerCombinedCleaned[[#This Row],[ID]], Table4[ID], Table4[Recency], "Not Found", 0)</f>
        <v>6</v>
      </c>
      <c r="K1171" s="16">
        <f>_xlfn.XLOOKUP(CustomerCombinedCleaned[[#This Row],[ID]], Table4[ID], Table4[Teas], "Not Found", 0)</f>
        <v>1380</v>
      </c>
      <c r="L1171" s="16">
        <f>_xlfn.XLOOKUP(CustomerCombinedCleaned[[#This Row],[ID]], Table4[ID], Table4[Fruits], "Not Found", 0)</f>
        <v>157</v>
      </c>
      <c r="M1171" s="16">
        <f>_xlfn.XLOOKUP(CustomerCombinedCleaned[[#This Row],[ID]], Table4[ID], Table4[Meats], "Not Found", 0)</f>
        <v>1932</v>
      </c>
      <c r="N1171" s="16">
        <f>_xlfn.XLOOKUP(CustomerCombinedCleaned[[#This Row],[ID]], Table4[ID], Table4[Seafood], "Not Found", 0)</f>
        <v>207</v>
      </c>
      <c r="O1171" s="16">
        <f>_xlfn.XLOOKUP(CustomerCombinedCleaned[[#This Row],[ID]], Table4[ID], Table4[Sweets], "Not Found", 0)</f>
        <v>315</v>
      </c>
      <c r="P1171" s="16">
        <f>_xlfn.XLOOKUP(CustomerCombinedCleaned[[#This Row],[ID]], Table4[ID], Table4[Premium], "Not Found", 0)</f>
        <v>118</v>
      </c>
      <c r="Q1171" s="16">
        <f>_xlfn.XLOOKUP(CustomerCombinedCleaned[[#This Row],[ID]], Table4[ID], Table4[Regular], "Not Found", 0)</f>
        <v>3873</v>
      </c>
      <c r="R1171" s="16">
        <f>_xlfn.XLOOKUP(CustomerCombinedCleaned[[#This Row],[ID]], Table4[ID], Table4[Deals], "Not Found", 0)</f>
        <v>1</v>
      </c>
      <c r="S1171" s="16">
        <f>_xlfn.XLOOKUP(CustomerCombinedCleaned[[#This Row],[ID]], Table4[ID], Table4[Website], "Not Found", 0)</f>
        <v>3</v>
      </c>
      <c r="T1171" s="16">
        <f>_xlfn.XLOOKUP(CustomerCombinedCleaned[[#This Row],[ID]], Table4[ID], Table4[Catalog], "Not Found", 0)</f>
        <v>3</v>
      </c>
      <c r="U1171" s="16">
        <f>_xlfn.XLOOKUP(CustomerCombinedCleaned[[#This Row],[ID]], Table4[ID], Table4[Store], "Not Found", 0)</f>
        <v>8</v>
      </c>
      <c r="V1171" s="16">
        <f>_xlfn.XLOOKUP(CustomerCombinedCleaned[[#This Row],[ID]], Table4[ID], Table4[Visits], "Not Found", 0)</f>
        <v>1</v>
      </c>
      <c r="W1171" s="16">
        <f>_xlfn.XLOOKUP(CustomerCombinedCleaned[[#This Row],[ID]], Table2[ID],Table2[Complaint], "Not Found", 0 )</f>
        <v>0</v>
      </c>
      <c r="X1171" s="16">
        <f>_xlfn.XLOOKUP(CustomerCombinedCleaned[[#This Row],[ID]], Table2[ID],Table2[Pilot], "Not Found", 0 )</f>
        <v>0</v>
      </c>
      <c r="Y1171" s="16">
        <f>_xlfn.XLOOKUP(CustomerCombinedCleaned[[#This Row],[ID]], Table2[ID],Table2[MC1], "Not Found", 0 )</f>
        <v>0</v>
      </c>
      <c r="Z1171" s="16">
        <f>_xlfn.XLOOKUP(CustomerCombinedCleaned[[#This Row],[ID]], Table2[ID],Table2[MC2], "Not Found", 0 )</f>
        <v>0</v>
      </c>
      <c r="AA1171" s="16">
        <f>_xlfn.XLOOKUP(CustomerCombinedCleaned[[#This Row],[ID]], Table2[ID],Table2[MC3], "Not Found", 0 )</f>
        <v>0</v>
      </c>
      <c r="AB1171" s="16">
        <f>_xlfn.XLOOKUP(CustomerCombinedCleaned[[#This Row],[ID]], Table2[ID],Table2[MC4], "Not Found", 0 )</f>
        <v>0</v>
      </c>
      <c r="AC1171" s="16">
        <f>_xlfn.XLOOKUP(CustomerCombinedCleaned[[#This Row],[ID]], Table2[ID],Table2[MC5], "Not Found", 0 )</f>
        <v>0</v>
      </c>
    </row>
    <row r="1172" spans="1:29" x14ac:dyDescent="0.3">
      <c r="A1172" s="18">
        <v>3219</v>
      </c>
      <c r="B1172" s="16">
        <v>168423</v>
      </c>
      <c r="C1172" s="16">
        <v>0</v>
      </c>
      <c r="D1172" s="16">
        <v>1</v>
      </c>
      <c r="E1172" s="16">
        <v>51</v>
      </c>
      <c r="F1172" s="17" t="s">
        <v>8</v>
      </c>
      <c r="G1172" s="17" t="s">
        <v>12</v>
      </c>
      <c r="H1172" s="3" t="s">
        <v>108</v>
      </c>
      <c r="I1172" s="5" t="s">
        <v>435</v>
      </c>
      <c r="J1172" s="16">
        <f>_xlfn.XLOOKUP(CustomerCombinedCleaned[[#This Row],[ID]], Table4[ID], Table4[Recency], "Not Found", 0)</f>
        <v>8</v>
      </c>
      <c r="K1172" s="16">
        <f>_xlfn.XLOOKUP(CustomerCombinedCleaned[[#This Row],[ID]], Table4[ID], Table4[Teas], "Not Found", 0)</f>
        <v>1054</v>
      </c>
      <c r="L1172" s="16">
        <f>_xlfn.XLOOKUP(CustomerCombinedCleaned[[#This Row],[ID]], Table4[ID], Table4[Fruits], "Not Found", 0)</f>
        <v>74</v>
      </c>
      <c r="M1172" s="16">
        <f>_xlfn.XLOOKUP(CustomerCombinedCleaned[[#This Row],[ID]], Table4[ID], Table4[Meats], "Not Found", 0)</f>
        <v>527</v>
      </c>
      <c r="N1172" s="16">
        <f>_xlfn.XLOOKUP(CustomerCombinedCleaned[[#This Row],[ID]], Table4[ID], Table4[Seafood], "Not Found", 0)</f>
        <v>197</v>
      </c>
      <c r="O1172" s="16">
        <f>_xlfn.XLOOKUP(CustomerCombinedCleaned[[#This Row],[ID]], Table4[ID], Table4[Sweets], "Not Found", 0)</f>
        <v>74</v>
      </c>
      <c r="P1172" s="16">
        <f>_xlfn.XLOOKUP(CustomerCombinedCleaned[[#This Row],[ID]], Table4[ID], Table4[Premium], "Not Found", 0)</f>
        <v>150</v>
      </c>
      <c r="Q1172" s="16">
        <f>_xlfn.XLOOKUP(CustomerCombinedCleaned[[#This Row],[ID]], Table4[ID], Table4[Regular], "Not Found", 0)</f>
        <v>1775</v>
      </c>
      <c r="R1172" s="16">
        <f>_xlfn.XLOOKUP(CustomerCombinedCleaned[[#This Row],[ID]], Table4[ID], Table4[Deals], "Not Found", 0)</f>
        <v>2</v>
      </c>
      <c r="S1172" s="16">
        <f>_xlfn.XLOOKUP(CustomerCombinedCleaned[[#This Row],[ID]], Table4[ID], Table4[Website], "Not Found", 0)</f>
        <v>6</v>
      </c>
      <c r="T1172" s="16">
        <f>_xlfn.XLOOKUP(CustomerCombinedCleaned[[#This Row],[ID]], Table4[ID], Table4[Catalog], "Not Found", 0)</f>
        <v>5</v>
      </c>
      <c r="U1172" s="16">
        <f>_xlfn.XLOOKUP(CustomerCombinedCleaned[[#This Row],[ID]], Table4[ID], Table4[Store], "Not Found", 0)</f>
        <v>10</v>
      </c>
      <c r="V1172" s="16">
        <f>_xlfn.XLOOKUP(CustomerCombinedCleaned[[#This Row],[ID]], Table4[ID], Table4[Visits], "Not Found", 0)</f>
        <v>3</v>
      </c>
      <c r="W1172" s="16">
        <f>_xlfn.XLOOKUP(CustomerCombinedCleaned[[#This Row],[ID]], Table2[ID],Table2[Complaint], "Not Found", 0 )</f>
        <v>0</v>
      </c>
      <c r="X1172" s="16">
        <f>_xlfn.XLOOKUP(CustomerCombinedCleaned[[#This Row],[ID]], Table2[ID],Table2[Pilot], "Not Found", 0 )</f>
        <v>0</v>
      </c>
      <c r="Y1172" s="16">
        <f>_xlfn.XLOOKUP(CustomerCombinedCleaned[[#This Row],[ID]], Table2[ID],Table2[MC1], "Not Found", 0 )</f>
        <v>0</v>
      </c>
      <c r="Z1172" s="16">
        <f>_xlfn.XLOOKUP(CustomerCombinedCleaned[[#This Row],[ID]], Table2[ID],Table2[MC2], "Not Found", 0 )</f>
        <v>0</v>
      </c>
      <c r="AA1172" s="16">
        <f>_xlfn.XLOOKUP(CustomerCombinedCleaned[[#This Row],[ID]], Table2[ID],Table2[MC3], "Not Found", 0 )</f>
        <v>0</v>
      </c>
      <c r="AB1172" s="16">
        <f>_xlfn.XLOOKUP(CustomerCombinedCleaned[[#This Row],[ID]], Table2[ID],Table2[MC4], "Not Found", 0 )</f>
        <v>0</v>
      </c>
      <c r="AC1172" s="16">
        <f>_xlfn.XLOOKUP(CustomerCombinedCleaned[[#This Row],[ID]], Table2[ID],Table2[MC5], "Not Found", 0 )</f>
        <v>0</v>
      </c>
    </row>
    <row r="1173" spans="1:29" x14ac:dyDescent="0.3">
      <c r="A1173" s="18">
        <v>2172</v>
      </c>
      <c r="B1173" s="16">
        <v>167369</v>
      </c>
      <c r="C1173" s="16">
        <v>0</v>
      </c>
      <c r="D1173" s="16">
        <v>1</v>
      </c>
      <c r="E1173" s="16">
        <v>51</v>
      </c>
      <c r="F1173" s="17" t="s">
        <v>9</v>
      </c>
      <c r="G1173" s="17" t="s">
        <v>12</v>
      </c>
      <c r="H1173" s="3" t="s">
        <v>359</v>
      </c>
      <c r="I1173" s="5" t="s">
        <v>436</v>
      </c>
      <c r="J1173" s="16">
        <f>_xlfn.XLOOKUP(CustomerCombinedCleaned[[#This Row],[ID]], Table4[ID], Table4[Recency], "Not Found", 0)</f>
        <v>81</v>
      </c>
      <c r="K1173" s="16">
        <f>_xlfn.XLOOKUP(CustomerCombinedCleaned[[#This Row],[ID]], Table4[ID], Table4[Teas], "Not Found", 0)</f>
        <v>3225</v>
      </c>
      <c r="L1173" s="16">
        <f>_xlfn.XLOOKUP(CustomerCombinedCleaned[[#This Row],[ID]], Table4[ID], Table4[Fruits], "Not Found", 0)</f>
        <v>0</v>
      </c>
      <c r="M1173" s="16">
        <f>_xlfn.XLOOKUP(CustomerCombinedCleaned[[#This Row],[ID]], Table4[ID], Table4[Meats], "Not Found", 0)</f>
        <v>174</v>
      </c>
      <c r="N1173" s="16">
        <f>_xlfn.XLOOKUP(CustomerCombinedCleaned[[#This Row],[ID]], Table4[ID], Table4[Seafood], "Not Found", 0)</f>
        <v>92</v>
      </c>
      <c r="O1173" s="16">
        <f>_xlfn.XLOOKUP(CustomerCombinedCleaned[[#This Row],[ID]], Table4[ID], Table4[Sweets], "Not Found", 0)</f>
        <v>35</v>
      </c>
      <c r="P1173" s="16">
        <f>_xlfn.XLOOKUP(CustomerCombinedCleaned[[#This Row],[ID]], Table4[ID], Table4[Premium], "Not Found", 0)</f>
        <v>104</v>
      </c>
      <c r="Q1173" s="16">
        <f>_xlfn.XLOOKUP(CustomerCombinedCleaned[[#This Row],[ID]], Table4[ID], Table4[Regular], "Not Found", 0)</f>
        <v>3421</v>
      </c>
      <c r="R1173" s="16">
        <f>_xlfn.XLOOKUP(CustomerCombinedCleaned[[#This Row],[ID]], Table4[ID], Table4[Deals], "Not Found", 0)</f>
        <v>4</v>
      </c>
      <c r="S1173" s="16">
        <f>_xlfn.XLOOKUP(CustomerCombinedCleaned[[#This Row],[ID]], Table4[ID], Table4[Website], "Not Found", 0)</f>
        <v>7</v>
      </c>
      <c r="T1173" s="16">
        <f>_xlfn.XLOOKUP(CustomerCombinedCleaned[[#This Row],[ID]], Table4[ID], Table4[Catalog], "Not Found", 0)</f>
        <v>4</v>
      </c>
      <c r="U1173" s="16">
        <f>_xlfn.XLOOKUP(CustomerCombinedCleaned[[#This Row],[ID]], Table4[ID], Table4[Store], "Not Found", 0)</f>
        <v>10</v>
      </c>
      <c r="V1173" s="16">
        <f>_xlfn.XLOOKUP(CustomerCombinedCleaned[[#This Row],[ID]], Table4[ID], Table4[Visits], "Not Found", 0)</f>
        <v>4</v>
      </c>
      <c r="W1173" s="16">
        <f>_xlfn.XLOOKUP(CustomerCombinedCleaned[[#This Row],[ID]], Table2[ID],Table2[Complaint], "Not Found", 0 )</f>
        <v>0</v>
      </c>
      <c r="X1173" s="16">
        <f>_xlfn.XLOOKUP(CustomerCombinedCleaned[[#This Row],[ID]], Table2[ID],Table2[Pilot], "Not Found", 0 )</f>
        <v>1</v>
      </c>
      <c r="Y1173" s="16">
        <f>_xlfn.XLOOKUP(CustomerCombinedCleaned[[#This Row],[ID]], Table2[ID],Table2[MC1], "Not Found", 0 )</f>
        <v>0</v>
      </c>
      <c r="Z1173" s="16">
        <f>_xlfn.XLOOKUP(CustomerCombinedCleaned[[#This Row],[ID]], Table2[ID],Table2[MC2], "Not Found", 0 )</f>
        <v>0</v>
      </c>
      <c r="AA1173" s="16">
        <f>_xlfn.XLOOKUP(CustomerCombinedCleaned[[#This Row],[ID]], Table2[ID],Table2[MC3], "Not Found", 0 )</f>
        <v>0</v>
      </c>
      <c r="AB1173" s="16">
        <f>_xlfn.XLOOKUP(CustomerCombinedCleaned[[#This Row],[ID]], Table2[ID],Table2[MC4], "Not Found", 0 )</f>
        <v>1</v>
      </c>
      <c r="AC1173" s="16">
        <f>_xlfn.XLOOKUP(CustomerCombinedCleaned[[#This Row],[ID]], Table2[ID],Table2[MC5], "Not Found", 0 )</f>
        <v>1</v>
      </c>
    </row>
    <row r="1174" spans="1:29" x14ac:dyDescent="0.3">
      <c r="A1174" s="18">
        <v>3218</v>
      </c>
      <c r="B1174" s="16">
        <v>167312</v>
      </c>
      <c r="C1174" s="16">
        <v>0</v>
      </c>
      <c r="D1174" s="16">
        <v>0</v>
      </c>
      <c r="E1174" s="16">
        <v>51</v>
      </c>
      <c r="F1174" s="17" t="s">
        <v>5</v>
      </c>
      <c r="G1174" s="17" t="s">
        <v>11</v>
      </c>
      <c r="H1174" s="3" t="s">
        <v>587</v>
      </c>
      <c r="I1174" s="5" t="s">
        <v>438</v>
      </c>
      <c r="J1174" s="16">
        <f>_xlfn.XLOOKUP(CustomerCombinedCleaned[[#This Row],[ID]], Table4[ID], Table4[Recency], "Not Found", 0)</f>
        <v>91</v>
      </c>
      <c r="K1174" s="16">
        <f>_xlfn.XLOOKUP(CustomerCombinedCleaned[[#This Row],[ID]], Table4[ID], Table4[Teas], "Not Found", 0)</f>
        <v>2257</v>
      </c>
      <c r="L1174" s="16">
        <f>_xlfn.XLOOKUP(CustomerCombinedCleaned[[#This Row],[ID]], Table4[ID], Table4[Fruits], "Not Found", 0)</f>
        <v>119</v>
      </c>
      <c r="M1174" s="16">
        <f>_xlfn.XLOOKUP(CustomerCombinedCleaned[[#This Row],[ID]], Table4[ID], Table4[Meats], "Not Found", 0)</f>
        <v>539</v>
      </c>
      <c r="N1174" s="16">
        <f>_xlfn.XLOOKUP(CustomerCombinedCleaned[[#This Row],[ID]], Table4[ID], Table4[Seafood], "Not Found", 0)</f>
        <v>80</v>
      </c>
      <c r="O1174" s="16">
        <f>_xlfn.XLOOKUP(CustomerCombinedCleaned[[#This Row],[ID]], Table4[ID], Table4[Sweets], "Not Found", 0)</f>
        <v>30</v>
      </c>
      <c r="P1174" s="16">
        <f>_xlfn.XLOOKUP(CustomerCombinedCleaned[[#This Row],[ID]], Table4[ID], Table4[Premium], "Not Found", 0)</f>
        <v>60</v>
      </c>
      <c r="Q1174" s="16">
        <f>_xlfn.XLOOKUP(CustomerCombinedCleaned[[#This Row],[ID]], Table4[ID], Table4[Regular], "Not Found", 0)</f>
        <v>2965</v>
      </c>
      <c r="R1174" s="16">
        <f>_xlfn.XLOOKUP(CustomerCombinedCleaned[[#This Row],[ID]], Table4[ID], Table4[Deals], "Not Found", 0)</f>
        <v>1</v>
      </c>
      <c r="S1174" s="16">
        <f>_xlfn.XLOOKUP(CustomerCombinedCleaned[[#This Row],[ID]], Table4[ID], Table4[Website], "Not Found", 0)</f>
        <v>2</v>
      </c>
      <c r="T1174" s="16">
        <f>_xlfn.XLOOKUP(CustomerCombinedCleaned[[#This Row],[ID]], Table4[ID], Table4[Catalog], "Not Found", 0)</f>
        <v>3</v>
      </c>
      <c r="U1174" s="16">
        <v>6</v>
      </c>
      <c r="V1174" s="16">
        <f>_xlfn.XLOOKUP(CustomerCombinedCleaned[[#This Row],[ID]], Table4[ID], Table4[Visits], "Not Found", 0)</f>
        <v>6</v>
      </c>
      <c r="W1174" s="16">
        <f>_xlfn.XLOOKUP(CustomerCombinedCleaned[[#This Row],[ID]], Table2[ID],Table2[Complaint], "Not Found", 0 )</f>
        <v>0</v>
      </c>
      <c r="X1174" s="16">
        <f>_xlfn.XLOOKUP(CustomerCombinedCleaned[[#This Row],[ID]], Table2[ID],Table2[Pilot], "Not Found", 0 )</f>
        <v>0</v>
      </c>
      <c r="Y1174" s="16">
        <f>_xlfn.XLOOKUP(CustomerCombinedCleaned[[#This Row],[ID]], Table2[ID],Table2[MC1], "Not Found", 0 )</f>
        <v>0</v>
      </c>
      <c r="Z1174" s="16">
        <f>_xlfn.XLOOKUP(CustomerCombinedCleaned[[#This Row],[ID]], Table2[ID],Table2[MC2], "Not Found", 0 )</f>
        <v>0</v>
      </c>
      <c r="AA1174" s="16">
        <f>_xlfn.XLOOKUP(CustomerCombinedCleaned[[#This Row],[ID]], Table2[ID],Table2[MC3], "Not Found", 0 )</f>
        <v>0</v>
      </c>
      <c r="AB1174" s="16">
        <f>_xlfn.XLOOKUP(CustomerCombinedCleaned[[#This Row],[ID]], Table2[ID],Table2[MC4], "Not Found", 0 )</f>
        <v>1</v>
      </c>
      <c r="AC1174" s="16">
        <f>_xlfn.XLOOKUP(CustomerCombinedCleaned[[#This Row],[ID]], Table2[ID],Table2[MC5], "Not Found", 0 )</f>
        <v>0</v>
      </c>
    </row>
    <row r="1175" spans="1:29" x14ac:dyDescent="0.3">
      <c r="A1175" s="18">
        <v>1449</v>
      </c>
      <c r="B1175" s="16">
        <v>166582</v>
      </c>
      <c r="C1175" s="16">
        <v>0</v>
      </c>
      <c r="D1175" s="16">
        <v>0</v>
      </c>
      <c r="E1175" s="16">
        <v>51</v>
      </c>
      <c r="F1175" s="17" t="s">
        <v>7</v>
      </c>
      <c r="G1175" s="17" t="s">
        <v>13</v>
      </c>
      <c r="H1175" s="3" t="s">
        <v>685</v>
      </c>
      <c r="I1175" s="5" t="s">
        <v>435</v>
      </c>
      <c r="J1175" s="16">
        <f>_xlfn.XLOOKUP(CustomerCombinedCleaned[[#This Row],[ID]], Table4[ID], Table4[Recency], "Not Found", 0)</f>
        <v>83</v>
      </c>
      <c r="K1175" s="16">
        <f>_xlfn.XLOOKUP(CustomerCombinedCleaned[[#This Row],[ID]], Table4[ID], Table4[Teas], "Not Found", 0)</f>
        <v>1974</v>
      </c>
      <c r="L1175" s="16">
        <f>_xlfn.XLOOKUP(CustomerCombinedCleaned[[#This Row],[ID]], Table4[ID], Table4[Fruits], "Not Found", 0)</f>
        <v>63</v>
      </c>
      <c r="M1175" s="16">
        <f>_xlfn.XLOOKUP(CustomerCombinedCleaned[[#This Row],[ID]], Table4[ID], Table4[Meats], "Not Found", 0)</f>
        <v>1051</v>
      </c>
      <c r="N1175" s="16">
        <f>_xlfn.XLOOKUP(CustomerCombinedCleaned[[#This Row],[ID]], Table4[ID], Table4[Seafood], "Not Found", 0)</f>
        <v>40</v>
      </c>
      <c r="O1175" s="16">
        <f>_xlfn.XLOOKUP(CustomerCombinedCleaned[[#This Row],[ID]], Table4[ID], Table4[Sweets], "Not Found", 0)</f>
        <v>95</v>
      </c>
      <c r="P1175" s="16">
        <f>_xlfn.XLOOKUP(CustomerCombinedCleaned[[#This Row],[ID]], Table4[ID], Table4[Premium], "Not Found", 0)</f>
        <v>0</v>
      </c>
      <c r="Q1175" s="16">
        <f>_xlfn.XLOOKUP(CustomerCombinedCleaned[[#This Row],[ID]], Table4[ID], Table4[Regular], "Not Found", 0)</f>
        <v>3222</v>
      </c>
      <c r="R1175" s="16">
        <f>_xlfn.XLOOKUP(CustomerCombinedCleaned[[#This Row],[ID]], Table4[ID], Table4[Deals], "Not Found", 0)</f>
        <v>1</v>
      </c>
      <c r="S1175" s="16">
        <f>_xlfn.XLOOKUP(CustomerCombinedCleaned[[#This Row],[ID]], Table4[ID], Table4[Website], "Not Found", 0)</f>
        <v>2</v>
      </c>
      <c r="T1175" s="16">
        <f>_xlfn.XLOOKUP(CustomerCombinedCleaned[[#This Row],[ID]], Table4[ID], Table4[Catalog], "Not Found", 0)</f>
        <v>8</v>
      </c>
      <c r="U1175" s="16">
        <f>_xlfn.XLOOKUP(CustomerCombinedCleaned[[#This Row],[ID]], Table4[ID], Table4[Store], "Not Found", 0)</f>
        <v>9</v>
      </c>
      <c r="V1175" s="16">
        <f>_xlfn.XLOOKUP(CustomerCombinedCleaned[[#This Row],[ID]], Table4[ID], Table4[Visits], "Not Found", 0)</f>
        <v>1</v>
      </c>
      <c r="W1175" s="16">
        <f>_xlfn.XLOOKUP(CustomerCombinedCleaned[[#This Row],[ID]], Table2[ID],Table2[Complaint], "Not Found", 0 )</f>
        <v>0</v>
      </c>
      <c r="X1175" s="16">
        <f>_xlfn.XLOOKUP(CustomerCombinedCleaned[[#This Row],[ID]], Table2[ID],Table2[Pilot], "Not Found", 0 )</f>
        <v>0</v>
      </c>
      <c r="Y1175" s="16">
        <f>_xlfn.XLOOKUP(CustomerCombinedCleaned[[#This Row],[ID]], Table2[ID],Table2[MC1], "Not Found", 0 )</f>
        <v>0</v>
      </c>
      <c r="Z1175" s="16">
        <f>_xlfn.XLOOKUP(CustomerCombinedCleaned[[#This Row],[ID]], Table2[ID],Table2[MC2], "Not Found", 0 )</f>
        <v>0</v>
      </c>
      <c r="AA1175" s="16">
        <f>_xlfn.XLOOKUP(CustomerCombinedCleaned[[#This Row],[ID]], Table2[ID],Table2[MC3], "Not Found", 0 )</f>
        <v>0</v>
      </c>
      <c r="AB1175" s="16">
        <f>_xlfn.XLOOKUP(CustomerCombinedCleaned[[#This Row],[ID]], Table2[ID],Table2[MC4], "Not Found", 0 )</f>
        <v>0</v>
      </c>
      <c r="AC1175" s="16">
        <f>_xlfn.XLOOKUP(CustomerCombinedCleaned[[#This Row],[ID]], Table2[ID],Table2[MC5], "Not Found", 0 )</f>
        <v>0</v>
      </c>
    </row>
    <row r="1176" spans="1:29" x14ac:dyDescent="0.3">
      <c r="A1176" s="18">
        <v>3084</v>
      </c>
      <c r="B1176" s="16">
        <v>166476</v>
      </c>
      <c r="C1176" s="16">
        <v>0</v>
      </c>
      <c r="D1176" s="16">
        <v>1</v>
      </c>
      <c r="E1176" s="16">
        <v>51</v>
      </c>
      <c r="F1176" s="17" t="s">
        <v>8</v>
      </c>
      <c r="G1176" s="17" t="s">
        <v>12</v>
      </c>
      <c r="H1176" s="3" t="s">
        <v>687</v>
      </c>
      <c r="I1176" s="5" t="s">
        <v>436</v>
      </c>
      <c r="J1176" s="16">
        <f>_xlfn.XLOOKUP(CustomerCombinedCleaned[[#This Row],[ID]], Table4[ID], Table4[Recency], "Not Found", 0)</f>
        <v>80</v>
      </c>
      <c r="K1176" s="16">
        <f>_xlfn.XLOOKUP(CustomerCombinedCleaned[[#This Row],[ID]], Table4[ID], Table4[Teas], "Not Found", 0)</f>
        <v>1858</v>
      </c>
      <c r="L1176" s="16">
        <f>_xlfn.XLOOKUP(CustomerCombinedCleaned[[#This Row],[ID]], Table4[ID], Table4[Fruits], "Not Found", 0)</f>
        <v>70</v>
      </c>
      <c r="M1176" s="16">
        <f>_xlfn.XLOOKUP(CustomerCombinedCleaned[[#This Row],[ID]], Table4[ID], Table4[Meats], "Not Found", 0)</f>
        <v>381</v>
      </c>
      <c r="N1176" s="16">
        <f>_xlfn.XLOOKUP(CustomerCombinedCleaned[[#This Row],[ID]], Table4[ID], Table4[Seafood], "Not Found", 0)</f>
        <v>63</v>
      </c>
      <c r="O1176" s="16">
        <f>_xlfn.XLOOKUP(CustomerCombinedCleaned[[#This Row],[ID]], Table4[ID], Table4[Sweets], "Not Found", 0)</f>
        <v>23</v>
      </c>
      <c r="P1176" s="16">
        <f>_xlfn.XLOOKUP(CustomerCombinedCleaned[[#This Row],[ID]], Table4[ID], Table4[Premium], "Not Found", 0)</f>
        <v>143</v>
      </c>
      <c r="Q1176" s="16">
        <f>_xlfn.XLOOKUP(CustomerCombinedCleaned[[#This Row],[ID]], Table4[ID], Table4[Regular], "Not Found", 0)</f>
        <v>2251</v>
      </c>
      <c r="R1176" s="16">
        <f>_xlfn.XLOOKUP(CustomerCombinedCleaned[[#This Row],[ID]], Table4[ID], Table4[Deals], "Not Found", 0)</f>
        <v>2</v>
      </c>
      <c r="S1176" s="16">
        <f>_xlfn.XLOOKUP(CustomerCombinedCleaned[[#This Row],[ID]], Table4[ID], Table4[Website], "Not Found", 0)</f>
        <v>6</v>
      </c>
      <c r="T1176" s="16">
        <f>_xlfn.XLOOKUP(CustomerCombinedCleaned[[#This Row],[ID]], Table4[ID], Table4[Catalog], "Not Found", 0)</f>
        <v>8</v>
      </c>
      <c r="U1176" s="16">
        <f>_xlfn.XLOOKUP(CustomerCombinedCleaned[[#This Row],[ID]], Table4[ID], Table4[Store], "Not Found", 0)</f>
        <v>10</v>
      </c>
      <c r="V1176" s="16">
        <f>_xlfn.XLOOKUP(CustomerCombinedCleaned[[#This Row],[ID]], Table4[ID], Table4[Visits], "Not Found", 0)</f>
        <v>4</v>
      </c>
      <c r="W1176" s="16">
        <f>_xlfn.XLOOKUP(CustomerCombinedCleaned[[#This Row],[ID]], Table2[ID],Table2[Complaint], "Not Found", 0 )</f>
        <v>0</v>
      </c>
      <c r="X1176" s="16">
        <f>_xlfn.XLOOKUP(CustomerCombinedCleaned[[#This Row],[ID]], Table2[ID],Table2[Pilot], "Not Found", 0 )</f>
        <v>0</v>
      </c>
      <c r="Y1176" s="16">
        <f>_xlfn.XLOOKUP(CustomerCombinedCleaned[[#This Row],[ID]], Table2[ID],Table2[MC1], "Not Found", 0 )</f>
        <v>0</v>
      </c>
      <c r="Z1176" s="16">
        <f>_xlfn.XLOOKUP(CustomerCombinedCleaned[[#This Row],[ID]], Table2[ID],Table2[MC2], "Not Found", 0 )</f>
        <v>0</v>
      </c>
      <c r="AA1176" s="16">
        <f>_xlfn.XLOOKUP(CustomerCombinedCleaned[[#This Row],[ID]], Table2[ID],Table2[MC3], "Not Found", 0 )</f>
        <v>0</v>
      </c>
      <c r="AB1176" s="16">
        <f>_xlfn.XLOOKUP(CustomerCombinedCleaned[[#This Row],[ID]], Table2[ID],Table2[MC4], "Not Found", 0 )</f>
        <v>0</v>
      </c>
      <c r="AC1176" s="16">
        <f>_xlfn.XLOOKUP(CustomerCombinedCleaned[[#This Row],[ID]], Table2[ID],Table2[MC5], "Not Found", 0 )</f>
        <v>0</v>
      </c>
    </row>
    <row r="1177" spans="1:29" x14ac:dyDescent="0.3">
      <c r="A1177" s="18">
        <v>1141</v>
      </c>
      <c r="B1177" s="16">
        <v>165747</v>
      </c>
      <c r="C1177" s="16">
        <v>0</v>
      </c>
      <c r="D1177" s="16">
        <v>1</v>
      </c>
      <c r="E1177" s="16">
        <v>51</v>
      </c>
      <c r="F1177" s="17" t="s">
        <v>6</v>
      </c>
      <c r="G1177" s="17" t="s">
        <v>11</v>
      </c>
      <c r="H1177" s="3" t="s">
        <v>693</v>
      </c>
      <c r="I1177" s="5" t="s">
        <v>437</v>
      </c>
      <c r="J1177" s="16">
        <f>_xlfn.XLOOKUP(CustomerCombinedCleaned[[#This Row],[ID]], Table4[ID], Table4[Recency], "Not Found", 0)</f>
        <v>96</v>
      </c>
      <c r="K1177" s="16">
        <f>_xlfn.XLOOKUP(CustomerCombinedCleaned[[#This Row],[ID]], Table4[ID], Table4[Teas], "Not Found", 0)</f>
        <v>872</v>
      </c>
      <c r="L1177" s="16">
        <f>_xlfn.XLOOKUP(CustomerCombinedCleaned[[#This Row],[ID]], Table4[ID], Table4[Fruits], "Not Found", 0)</f>
        <v>43</v>
      </c>
      <c r="M1177" s="16">
        <f>_xlfn.XLOOKUP(CustomerCombinedCleaned[[#This Row],[ID]], Table4[ID], Table4[Meats], "Not Found", 0)</f>
        <v>121</v>
      </c>
      <c r="N1177" s="16">
        <f>_xlfn.XLOOKUP(CustomerCombinedCleaned[[#This Row],[ID]], Table4[ID], Table4[Seafood], "Not Found", 0)</f>
        <v>58</v>
      </c>
      <c r="O1177" s="16">
        <f>_xlfn.XLOOKUP(CustomerCombinedCleaned[[#This Row],[ID]], Table4[ID], Table4[Sweets], "Not Found", 0)</f>
        <v>33</v>
      </c>
      <c r="P1177" s="16">
        <f>_xlfn.XLOOKUP(CustomerCombinedCleaned[[#This Row],[ID]], Table4[ID], Table4[Premium], "Not Found", 0)</f>
        <v>33</v>
      </c>
      <c r="Q1177" s="16">
        <f>_xlfn.XLOOKUP(CustomerCombinedCleaned[[#This Row],[ID]], Table4[ID], Table4[Regular], "Not Found", 0)</f>
        <v>1094</v>
      </c>
      <c r="R1177" s="16">
        <f>_xlfn.XLOOKUP(CustomerCombinedCleaned[[#This Row],[ID]], Table4[ID], Table4[Deals], "Not Found", 0)</f>
        <v>4</v>
      </c>
      <c r="S1177" s="16">
        <f>_xlfn.XLOOKUP(CustomerCombinedCleaned[[#This Row],[ID]], Table4[ID], Table4[Website], "Not Found", 0)</f>
        <v>8</v>
      </c>
      <c r="T1177" s="16">
        <f>_xlfn.XLOOKUP(CustomerCombinedCleaned[[#This Row],[ID]], Table4[ID], Table4[Catalog], "Not Found", 0)</f>
        <v>1</v>
      </c>
      <c r="U1177" s="16">
        <f>_xlfn.XLOOKUP(CustomerCombinedCleaned[[#This Row],[ID]], Table4[ID], Table4[Store], "Not Found", 0)</f>
        <v>6</v>
      </c>
      <c r="V1177" s="16">
        <f>_xlfn.XLOOKUP(CustomerCombinedCleaned[[#This Row],[ID]], Table4[ID], Table4[Visits], "Not Found", 0)</f>
        <v>6</v>
      </c>
      <c r="W1177" s="16">
        <f>_xlfn.XLOOKUP(CustomerCombinedCleaned[[#This Row],[ID]], Table2[ID],Table2[Complaint], "Not Found", 0 )</f>
        <v>0</v>
      </c>
      <c r="X1177" s="16">
        <f>_xlfn.XLOOKUP(CustomerCombinedCleaned[[#This Row],[ID]], Table2[ID],Table2[Pilot], "Not Found", 0 )</f>
        <v>0</v>
      </c>
      <c r="Y1177" s="16">
        <f>_xlfn.XLOOKUP(CustomerCombinedCleaned[[#This Row],[ID]], Table2[ID],Table2[MC1], "Not Found", 0 )</f>
        <v>0</v>
      </c>
      <c r="Z1177" s="16">
        <f>_xlfn.XLOOKUP(CustomerCombinedCleaned[[#This Row],[ID]], Table2[ID],Table2[MC2], "Not Found", 0 )</f>
        <v>0</v>
      </c>
      <c r="AA1177" s="16">
        <f>_xlfn.XLOOKUP(CustomerCombinedCleaned[[#This Row],[ID]], Table2[ID],Table2[MC3], "Not Found", 0 )</f>
        <v>0</v>
      </c>
      <c r="AB1177" s="16">
        <f>_xlfn.XLOOKUP(CustomerCombinedCleaned[[#This Row],[ID]], Table2[ID],Table2[MC4], "Not Found", 0 )</f>
        <v>1</v>
      </c>
      <c r="AC1177" s="16">
        <f>_xlfn.XLOOKUP(CustomerCombinedCleaned[[#This Row],[ID]], Table2[ID],Table2[MC5], "Not Found", 0 )</f>
        <v>0</v>
      </c>
    </row>
    <row r="1178" spans="1:29" x14ac:dyDescent="0.3">
      <c r="A1178" s="18">
        <v>1236</v>
      </c>
      <c r="B1178" s="16">
        <v>165176</v>
      </c>
      <c r="C1178" s="16">
        <v>0</v>
      </c>
      <c r="D1178" s="16">
        <v>1</v>
      </c>
      <c r="E1178" s="16">
        <v>51</v>
      </c>
      <c r="F1178" s="17" t="s">
        <v>8</v>
      </c>
      <c r="G1178" s="17" t="s">
        <v>12</v>
      </c>
      <c r="H1178" s="3" t="s">
        <v>619</v>
      </c>
      <c r="I1178" s="5" t="s">
        <v>436</v>
      </c>
      <c r="J1178" s="16">
        <f>_xlfn.XLOOKUP(CustomerCombinedCleaned[[#This Row],[ID]], Table4[ID], Table4[Recency], "Not Found", 0)</f>
        <v>57</v>
      </c>
      <c r="K1178" s="16">
        <f>_xlfn.XLOOKUP(CustomerCombinedCleaned[[#This Row],[ID]], Table4[ID], Table4[Teas], "Not Found", 0)</f>
        <v>2433</v>
      </c>
      <c r="L1178" s="16">
        <f>_xlfn.XLOOKUP(CustomerCombinedCleaned[[#This Row],[ID]], Table4[ID], Table4[Fruits], "Not Found", 0)</f>
        <v>71</v>
      </c>
      <c r="M1178" s="16">
        <f>_xlfn.XLOOKUP(CustomerCombinedCleaned[[#This Row],[ID]], Table4[ID], Table4[Meats], "Not Found", 0)</f>
        <v>464</v>
      </c>
      <c r="N1178" s="16">
        <f>_xlfn.XLOOKUP(CustomerCombinedCleaned[[#This Row],[ID]], Table4[ID], Table4[Seafood], "Not Found", 0)</f>
        <v>558</v>
      </c>
      <c r="O1178" s="16">
        <f>_xlfn.XLOOKUP(CustomerCombinedCleaned[[#This Row],[ID]], Table4[ID], Table4[Sweets], "Not Found", 0)</f>
        <v>177</v>
      </c>
      <c r="P1178" s="16">
        <f>_xlfn.XLOOKUP(CustomerCombinedCleaned[[#This Row],[ID]], Table4[ID], Table4[Premium], "Not Found", 0)</f>
        <v>177</v>
      </c>
      <c r="Q1178" s="16">
        <f>_xlfn.XLOOKUP(CustomerCombinedCleaned[[#This Row],[ID]], Table4[ID], Table4[Regular], "Not Found", 0)</f>
        <v>3525</v>
      </c>
      <c r="R1178" s="16">
        <f>_xlfn.XLOOKUP(CustomerCombinedCleaned[[#This Row],[ID]], Table4[ID], Table4[Deals], "Not Found", 0)</f>
        <v>4</v>
      </c>
      <c r="S1178" s="16">
        <f>_xlfn.XLOOKUP(CustomerCombinedCleaned[[#This Row],[ID]], Table4[ID], Table4[Website], "Not Found", 0)</f>
        <v>9</v>
      </c>
      <c r="T1178" s="16">
        <f>_xlfn.XLOOKUP(CustomerCombinedCleaned[[#This Row],[ID]], Table4[ID], Table4[Catalog], "Not Found", 0)</f>
        <v>6</v>
      </c>
      <c r="U1178" s="16">
        <f>_xlfn.XLOOKUP(CustomerCombinedCleaned[[#This Row],[ID]], Table4[ID], Table4[Store], "Not Found", 0)</f>
        <v>6</v>
      </c>
      <c r="V1178" s="16">
        <f>_xlfn.XLOOKUP(CustomerCombinedCleaned[[#This Row],[ID]], Table4[ID], Table4[Visits], "Not Found", 0)</f>
        <v>6</v>
      </c>
      <c r="W1178" s="16">
        <f>_xlfn.XLOOKUP(CustomerCombinedCleaned[[#This Row],[ID]], Table2[ID],Table2[Complaint], "Not Found", 0 )</f>
        <v>0</v>
      </c>
      <c r="X1178" s="16">
        <f>_xlfn.XLOOKUP(CustomerCombinedCleaned[[#This Row],[ID]], Table2[ID],Table2[Pilot], "Not Found", 0 )</f>
        <v>0</v>
      </c>
      <c r="Y1178" s="16">
        <f>_xlfn.XLOOKUP(CustomerCombinedCleaned[[#This Row],[ID]], Table2[ID],Table2[MC1], "Not Found", 0 )</f>
        <v>0</v>
      </c>
      <c r="Z1178" s="16">
        <f>_xlfn.XLOOKUP(CustomerCombinedCleaned[[#This Row],[ID]], Table2[ID],Table2[MC2], "Not Found", 0 )</f>
        <v>0</v>
      </c>
      <c r="AA1178" s="16">
        <f>_xlfn.XLOOKUP(CustomerCombinedCleaned[[#This Row],[ID]], Table2[ID],Table2[MC3], "Not Found", 0 )</f>
        <v>0</v>
      </c>
      <c r="AB1178" s="16">
        <f>_xlfn.XLOOKUP(CustomerCombinedCleaned[[#This Row],[ID]], Table2[ID],Table2[MC4], "Not Found", 0 )</f>
        <v>0</v>
      </c>
      <c r="AC1178" s="16">
        <f>_xlfn.XLOOKUP(CustomerCombinedCleaned[[#This Row],[ID]], Table2[ID],Table2[MC5], "Not Found", 0 )</f>
        <v>0</v>
      </c>
    </row>
    <row r="1179" spans="1:29" x14ac:dyDescent="0.3">
      <c r="A1179" s="18">
        <v>1720</v>
      </c>
      <c r="B1179" s="16">
        <v>162882</v>
      </c>
      <c r="C1179" s="16">
        <v>0</v>
      </c>
      <c r="D1179" s="16">
        <v>1</v>
      </c>
      <c r="E1179" s="16">
        <v>51</v>
      </c>
      <c r="F1179" s="17" t="s">
        <v>8</v>
      </c>
      <c r="G1179" s="17" t="s">
        <v>11</v>
      </c>
      <c r="H1179" s="3" t="s">
        <v>419</v>
      </c>
      <c r="I1179" s="5" t="s">
        <v>439</v>
      </c>
      <c r="J1179" s="16">
        <f>_xlfn.XLOOKUP(CustomerCombinedCleaned[[#This Row],[ID]], Table4[ID], Table4[Recency], "Not Found", 0)</f>
        <v>26</v>
      </c>
      <c r="K1179" s="16">
        <f>_xlfn.XLOOKUP(CustomerCombinedCleaned[[#This Row],[ID]], Table4[ID], Table4[Teas], "Not Found", 0)</f>
        <v>1318</v>
      </c>
      <c r="L1179" s="16">
        <f>_xlfn.XLOOKUP(CustomerCombinedCleaned[[#This Row],[ID]], Table4[ID], Table4[Fruits], "Not Found", 0)</f>
        <v>345</v>
      </c>
      <c r="M1179" s="16">
        <f>_xlfn.XLOOKUP(CustomerCombinedCleaned[[#This Row],[ID]], Table4[ID], Table4[Meats], "Not Found", 0)</f>
        <v>1287</v>
      </c>
      <c r="N1179" s="16">
        <f>_xlfn.XLOOKUP(CustomerCombinedCleaned[[#This Row],[ID]], Table4[ID], Table4[Seafood], "Not Found", 0)</f>
        <v>202</v>
      </c>
      <c r="O1179" s="16">
        <f>_xlfn.XLOOKUP(CustomerCombinedCleaned[[#This Row],[ID]], Table4[ID], Table4[Sweets], "Not Found", 0)</f>
        <v>62</v>
      </c>
      <c r="P1179" s="16">
        <f>_xlfn.XLOOKUP(CustomerCombinedCleaned[[#This Row],[ID]], Table4[ID], Table4[Premium], "Not Found", 0)</f>
        <v>251</v>
      </c>
      <c r="Q1179" s="16">
        <f>_xlfn.XLOOKUP(CustomerCombinedCleaned[[#This Row],[ID]], Table4[ID], Table4[Regular], "Not Found", 0)</f>
        <v>2963</v>
      </c>
      <c r="R1179" s="16">
        <f>_xlfn.XLOOKUP(CustomerCombinedCleaned[[#This Row],[ID]], Table4[ID], Table4[Deals], "Not Found", 0)</f>
        <v>2</v>
      </c>
      <c r="S1179" s="16">
        <f>_xlfn.XLOOKUP(CustomerCombinedCleaned[[#This Row],[ID]], Table4[ID], Table4[Website], "Not Found", 0)</f>
        <v>7</v>
      </c>
      <c r="T1179" s="16">
        <f>_xlfn.XLOOKUP(CustomerCombinedCleaned[[#This Row],[ID]], Table4[ID], Table4[Catalog], "Not Found", 0)</f>
        <v>5</v>
      </c>
      <c r="U1179" s="16">
        <f>_xlfn.XLOOKUP(CustomerCombinedCleaned[[#This Row],[ID]], Table4[ID], Table4[Store], "Not Found", 0)</f>
        <v>6</v>
      </c>
      <c r="V1179" s="16">
        <f>_xlfn.XLOOKUP(CustomerCombinedCleaned[[#This Row],[ID]], Table4[ID], Table4[Visits], "Not Found", 0)</f>
        <v>4</v>
      </c>
      <c r="W1179" s="16">
        <f>_xlfn.XLOOKUP(CustomerCombinedCleaned[[#This Row],[ID]], Table2[ID],Table2[Complaint], "Not Found", 0 )</f>
        <v>0</v>
      </c>
      <c r="X1179" s="16">
        <f>_xlfn.XLOOKUP(CustomerCombinedCleaned[[#This Row],[ID]], Table2[ID],Table2[Pilot], "Not Found", 0 )</f>
        <v>0</v>
      </c>
      <c r="Y1179" s="16">
        <f>_xlfn.XLOOKUP(CustomerCombinedCleaned[[#This Row],[ID]], Table2[ID],Table2[MC1], "Not Found", 0 )</f>
        <v>0</v>
      </c>
      <c r="Z1179" s="16">
        <f>_xlfn.XLOOKUP(CustomerCombinedCleaned[[#This Row],[ID]], Table2[ID],Table2[MC2], "Not Found", 0 )</f>
        <v>0</v>
      </c>
      <c r="AA1179" s="16">
        <f>_xlfn.XLOOKUP(CustomerCombinedCleaned[[#This Row],[ID]], Table2[ID],Table2[MC3], "Not Found", 0 )</f>
        <v>0</v>
      </c>
      <c r="AB1179" s="16">
        <f>_xlfn.XLOOKUP(CustomerCombinedCleaned[[#This Row],[ID]], Table2[ID],Table2[MC4], "Not Found", 0 )</f>
        <v>0</v>
      </c>
      <c r="AC1179" s="16">
        <f>_xlfn.XLOOKUP(CustomerCombinedCleaned[[#This Row],[ID]], Table2[ID],Table2[MC5], "Not Found", 0 )</f>
        <v>0</v>
      </c>
    </row>
    <row r="1180" spans="1:29" x14ac:dyDescent="0.3">
      <c r="A1180" s="18">
        <v>2858</v>
      </c>
      <c r="B1180" s="16">
        <v>162772</v>
      </c>
      <c r="C1180" s="16">
        <v>0</v>
      </c>
      <c r="D1180" s="16">
        <v>1</v>
      </c>
      <c r="E1180" s="16">
        <v>51</v>
      </c>
      <c r="F1180" s="17" t="s">
        <v>7</v>
      </c>
      <c r="G1180" s="17" t="s">
        <v>12</v>
      </c>
      <c r="H1180" s="3" t="s">
        <v>252</v>
      </c>
      <c r="I1180" s="5" t="s">
        <v>438</v>
      </c>
      <c r="J1180" s="16">
        <f>_xlfn.XLOOKUP(CustomerCombinedCleaned[[#This Row],[ID]], Table4[ID], Table4[Recency], "Not Found", 0)</f>
        <v>74</v>
      </c>
      <c r="K1180" s="16">
        <f>_xlfn.XLOOKUP(CustomerCombinedCleaned[[#This Row],[ID]], Table4[ID], Table4[Teas], "Not Found", 0)</f>
        <v>1507</v>
      </c>
      <c r="L1180" s="16">
        <f>_xlfn.XLOOKUP(CustomerCombinedCleaned[[#This Row],[ID]], Table4[ID], Table4[Fruits], "Not Found", 0)</f>
        <v>127</v>
      </c>
      <c r="M1180" s="16">
        <f>_xlfn.XLOOKUP(CustomerCombinedCleaned[[#This Row],[ID]], Table4[ID], Table4[Meats], "Not Found", 0)</f>
        <v>407</v>
      </c>
      <c r="N1180" s="16">
        <f>_xlfn.XLOOKUP(CustomerCombinedCleaned[[#This Row],[ID]], Table4[ID], Table4[Seafood], "Not Found", 0)</f>
        <v>112</v>
      </c>
      <c r="O1180" s="16">
        <f>_xlfn.XLOOKUP(CustomerCombinedCleaned[[#This Row],[ID]], Table4[ID], Table4[Sweets], "Not Found", 0)</f>
        <v>21</v>
      </c>
      <c r="P1180" s="16">
        <f>_xlfn.XLOOKUP(CustomerCombinedCleaned[[#This Row],[ID]], Table4[ID], Table4[Premium], "Not Found", 0)</f>
        <v>280</v>
      </c>
      <c r="Q1180" s="16">
        <f>_xlfn.XLOOKUP(CustomerCombinedCleaned[[#This Row],[ID]], Table4[ID], Table4[Regular], "Not Found", 0)</f>
        <v>1893</v>
      </c>
      <c r="R1180" s="16">
        <f>_xlfn.XLOOKUP(CustomerCombinedCleaned[[#This Row],[ID]], Table4[ID], Table4[Deals], "Not Found", 0)</f>
        <v>1</v>
      </c>
      <c r="S1180" s="16">
        <f>_xlfn.XLOOKUP(CustomerCombinedCleaned[[#This Row],[ID]], Table4[ID], Table4[Website], "Not Found", 0)</f>
        <v>5</v>
      </c>
      <c r="T1180" s="16">
        <f>_xlfn.XLOOKUP(CustomerCombinedCleaned[[#This Row],[ID]], Table4[ID], Table4[Catalog], "Not Found", 0)</f>
        <v>6</v>
      </c>
      <c r="U1180" s="16">
        <f>_xlfn.XLOOKUP(CustomerCombinedCleaned[[#This Row],[ID]], Table4[ID], Table4[Store], "Not Found", 0)</f>
        <v>11</v>
      </c>
      <c r="V1180" s="16">
        <f>_xlfn.XLOOKUP(CustomerCombinedCleaned[[#This Row],[ID]], Table4[ID], Table4[Visits], "Not Found", 0)</f>
        <v>2</v>
      </c>
      <c r="W1180" s="16">
        <f>_xlfn.XLOOKUP(CustomerCombinedCleaned[[#This Row],[ID]], Table2[ID],Table2[Complaint], "Not Found", 0 )</f>
        <v>0</v>
      </c>
      <c r="X1180" s="16">
        <f>_xlfn.XLOOKUP(CustomerCombinedCleaned[[#This Row],[ID]], Table2[ID],Table2[Pilot], "Not Found", 0 )</f>
        <v>0</v>
      </c>
      <c r="Y1180" s="16">
        <f>_xlfn.XLOOKUP(CustomerCombinedCleaned[[#This Row],[ID]], Table2[ID],Table2[MC1], "Not Found", 0 )</f>
        <v>0</v>
      </c>
      <c r="Z1180" s="16">
        <f>_xlfn.XLOOKUP(CustomerCombinedCleaned[[#This Row],[ID]], Table2[ID],Table2[MC2], "Not Found", 0 )</f>
        <v>0</v>
      </c>
      <c r="AA1180" s="16">
        <f>_xlfn.XLOOKUP(CustomerCombinedCleaned[[#This Row],[ID]], Table2[ID],Table2[MC3], "Not Found", 0 )</f>
        <v>0</v>
      </c>
      <c r="AB1180" s="16">
        <f>_xlfn.XLOOKUP(CustomerCombinedCleaned[[#This Row],[ID]], Table2[ID],Table2[MC4], "Not Found", 0 )</f>
        <v>1</v>
      </c>
      <c r="AC1180" s="16">
        <f>_xlfn.XLOOKUP(CustomerCombinedCleaned[[#This Row],[ID]], Table2[ID],Table2[MC5], "Not Found", 0 )</f>
        <v>0</v>
      </c>
    </row>
    <row r="1181" spans="1:29" x14ac:dyDescent="0.3">
      <c r="A1181" s="18">
        <v>1345</v>
      </c>
      <c r="B1181" s="16">
        <v>162187</v>
      </c>
      <c r="C1181" s="16">
        <v>0</v>
      </c>
      <c r="D1181" s="16">
        <v>1</v>
      </c>
      <c r="E1181" s="16">
        <v>51</v>
      </c>
      <c r="F1181" s="17" t="s">
        <v>9</v>
      </c>
      <c r="G1181" s="17" t="s">
        <v>13</v>
      </c>
      <c r="H1181" s="3" t="s">
        <v>79</v>
      </c>
      <c r="I1181" s="5" t="s">
        <v>437</v>
      </c>
      <c r="J1181" s="16">
        <f>_xlfn.XLOOKUP(CustomerCombinedCleaned[[#This Row],[ID]], Table4[ID], Table4[Recency], "Not Found", 0)</f>
        <v>38</v>
      </c>
      <c r="K1181" s="16">
        <f>_xlfn.XLOOKUP(CustomerCombinedCleaned[[#This Row],[ID]], Table4[ID], Table4[Teas], "Not Found", 0)</f>
        <v>1335</v>
      </c>
      <c r="L1181" s="16">
        <f>_xlfn.XLOOKUP(CustomerCombinedCleaned[[#This Row],[ID]], Table4[ID], Table4[Fruits], "Not Found", 0)</f>
        <v>0</v>
      </c>
      <c r="M1181" s="16">
        <f>_xlfn.XLOOKUP(CustomerCombinedCleaned[[#This Row],[ID]], Table4[ID], Table4[Meats], "Not Found", 0)</f>
        <v>216</v>
      </c>
      <c r="N1181" s="16">
        <f>_xlfn.XLOOKUP(CustomerCombinedCleaned[[#This Row],[ID]], Table4[ID], Table4[Seafood], "Not Found", 0)</f>
        <v>0</v>
      </c>
      <c r="O1181" s="16">
        <f>_xlfn.XLOOKUP(CustomerCombinedCleaned[[#This Row],[ID]], Table4[ID], Table4[Sweets], "Not Found", 0)</f>
        <v>0</v>
      </c>
      <c r="P1181" s="16">
        <f>_xlfn.XLOOKUP(CustomerCombinedCleaned[[#This Row],[ID]], Table4[ID], Table4[Premium], "Not Found", 0)</f>
        <v>107</v>
      </c>
      <c r="Q1181" s="16">
        <f>_xlfn.XLOOKUP(CustomerCombinedCleaned[[#This Row],[ID]], Table4[ID], Table4[Regular], "Not Found", 0)</f>
        <v>1445</v>
      </c>
      <c r="R1181" s="16">
        <f>_xlfn.XLOOKUP(CustomerCombinedCleaned[[#This Row],[ID]], Table4[ID], Table4[Deals], "Not Found", 0)</f>
        <v>3</v>
      </c>
      <c r="S1181" s="16">
        <f>_xlfn.XLOOKUP(CustomerCombinedCleaned[[#This Row],[ID]], Table4[ID], Table4[Website], "Not Found", 0)</f>
        <v>6</v>
      </c>
      <c r="T1181" s="16">
        <f>_xlfn.XLOOKUP(CustomerCombinedCleaned[[#This Row],[ID]], Table4[ID], Table4[Catalog], "Not Found", 0)</f>
        <v>2</v>
      </c>
      <c r="U1181" s="16">
        <f>_xlfn.XLOOKUP(CustomerCombinedCleaned[[#This Row],[ID]], Table4[ID], Table4[Store], "Not Found", 0)</f>
        <v>10</v>
      </c>
      <c r="V1181" s="16">
        <f>_xlfn.XLOOKUP(CustomerCombinedCleaned[[#This Row],[ID]], Table4[ID], Table4[Visits], "Not Found", 0)</f>
        <v>4</v>
      </c>
      <c r="W1181" s="16">
        <f>_xlfn.XLOOKUP(CustomerCombinedCleaned[[#This Row],[ID]], Table2[ID],Table2[Complaint], "Not Found", 0 )</f>
        <v>0</v>
      </c>
      <c r="X1181" s="16">
        <f>_xlfn.XLOOKUP(CustomerCombinedCleaned[[#This Row],[ID]], Table2[ID],Table2[Pilot], "Not Found", 0 )</f>
        <v>0</v>
      </c>
      <c r="Y1181" s="16">
        <f>_xlfn.XLOOKUP(CustomerCombinedCleaned[[#This Row],[ID]], Table2[ID],Table2[MC1], "Not Found", 0 )</f>
        <v>0</v>
      </c>
      <c r="Z1181" s="16">
        <f>_xlfn.XLOOKUP(CustomerCombinedCleaned[[#This Row],[ID]], Table2[ID],Table2[MC2], "Not Found", 0 )</f>
        <v>0</v>
      </c>
      <c r="AA1181" s="16">
        <f>_xlfn.XLOOKUP(CustomerCombinedCleaned[[#This Row],[ID]], Table2[ID],Table2[MC3], "Not Found", 0 )</f>
        <v>0</v>
      </c>
      <c r="AB1181" s="16">
        <f>_xlfn.XLOOKUP(CustomerCombinedCleaned[[#This Row],[ID]], Table2[ID],Table2[MC4], "Not Found", 0 )</f>
        <v>0</v>
      </c>
      <c r="AC1181" s="16">
        <f>_xlfn.XLOOKUP(CustomerCombinedCleaned[[#This Row],[ID]], Table2[ID],Table2[MC5], "Not Found", 0 )</f>
        <v>0</v>
      </c>
    </row>
    <row r="1182" spans="1:29" x14ac:dyDescent="0.3">
      <c r="A1182" s="18">
        <v>1885</v>
      </c>
      <c r="B1182" s="16">
        <v>158917</v>
      </c>
      <c r="C1182" s="16">
        <v>1</v>
      </c>
      <c r="D1182" s="16">
        <v>2</v>
      </c>
      <c r="E1182" s="16">
        <v>51</v>
      </c>
      <c r="F1182" s="17" t="s">
        <v>8</v>
      </c>
      <c r="G1182" s="17" t="s">
        <v>11</v>
      </c>
      <c r="H1182" s="3" t="s">
        <v>284</v>
      </c>
      <c r="I1182" s="5" t="s">
        <v>437</v>
      </c>
      <c r="J1182" s="16">
        <f>_xlfn.XLOOKUP(CustomerCombinedCleaned[[#This Row],[ID]], Table4[ID], Table4[Recency], "Not Found", 0)</f>
        <v>10</v>
      </c>
      <c r="K1182" s="16">
        <f>_xlfn.XLOOKUP(CustomerCombinedCleaned[[#This Row],[ID]], Table4[ID], Table4[Teas], "Not Found", 0)</f>
        <v>407</v>
      </c>
      <c r="L1182" s="16">
        <f>_xlfn.XLOOKUP(CustomerCombinedCleaned[[#This Row],[ID]], Table4[ID], Table4[Fruits], "Not Found", 0)</f>
        <v>19</v>
      </c>
      <c r="M1182" s="16">
        <f>_xlfn.XLOOKUP(CustomerCombinedCleaned[[#This Row],[ID]], Table4[ID], Table4[Meats], "Not Found", 0)</f>
        <v>240</v>
      </c>
      <c r="N1182" s="16">
        <f>_xlfn.XLOOKUP(CustomerCombinedCleaned[[#This Row],[ID]], Table4[ID], Table4[Seafood], "Not Found", 0)</f>
        <v>0</v>
      </c>
      <c r="O1182" s="16">
        <f>_xlfn.XLOOKUP(CustomerCombinedCleaned[[#This Row],[ID]], Table4[ID], Table4[Sweets], "Not Found", 0)</f>
        <v>19</v>
      </c>
      <c r="P1182" s="16">
        <f>_xlfn.XLOOKUP(CustomerCombinedCleaned[[#This Row],[ID]], Table4[ID], Table4[Premium], "Not Found", 0)</f>
        <v>76</v>
      </c>
      <c r="Q1182" s="16">
        <f>_xlfn.XLOOKUP(CustomerCombinedCleaned[[#This Row],[ID]], Table4[ID], Table4[Regular], "Not Found", 0)</f>
        <v>610</v>
      </c>
      <c r="R1182" s="16">
        <f>_xlfn.XLOOKUP(CustomerCombinedCleaned[[#This Row],[ID]], Table4[ID], Table4[Deals], "Not Found", 0)</f>
        <v>5</v>
      </c>
      <c r="S1182" s="16">
        <f>_xlfn.XLOOKUP(CustomerCombinedCleaned[[#This Row],[ID]], Table4[ID], Table4[Website], "Not Found", 0)</f>
        <v>4</v>
      </c>
      <c r="T1182" s="16">
        <f>_xlfn.XLOOKUP(CustomerCombinedCleaned[[#This Row],[ID]], Table4[ID], Table4[Catalog], "Not Found", 0)</f>
        <v>1</v>
      </c>
      <c r="U1182" s="16">
        <f>_xlfn.XLOOKUP(CustomerCombinedCleaned[[#This Row],[ID]], Table4[ID], Table4[Store], "Not Found", 0)</f>
        <v>6</v>
      </c>
      <c r="V1182" s="16">
        <f>_xlfn.XLOOKUP(CustomerCombinedCleaned[[#This Row],[ID]], Table4[ID], Table4[Visits], "Not Found", 0)</f>
        <v>5</v>
      </c>
      <c r="W1182" s="16">
        <f>_xlfn.XLOOKUP(CustomerCombinedCleaned[[#This Row],[ID]], Table2[ID],Table2[Complaint], "Not Found", 0 )</f>
        <v>0</v>
      </c>
      <c r="X1182" s="16">
        <f>_xlfn.XLOOKUP(CustomerCombinedCleaned[[#This Row],[ID]], Table2[ID],Table2[Pilot], "Not Found", 0 )</f>
        <v>0</v>
      </c>
      <c r="Y1182" s="16">
        <f>_xlfn.XLOOKUP(CustomerCombinedCleaned[[#This Row],[ID]], Table2[ID],Table2[MC1], "Not Found", 0 )</f>
        <v>0</v>
      </c>
      <c r="Z1182" s="16">
        <f>_xlfn.XLOOKUP(CustomerCombinedCleaned[[#This Row],[ID]], Table2[ID],Table2[MC2], "Not Found", 0 )</f>
        <v>0</v>
      </c>
      <c r="AA1182" s="16">
        <f>_xlfn.XLOOKUP(CustomerCombinedCleaned[[#This Row],[ID]], Table2[ID],Table2[MC3], "Not Found", 0 )</f>
        <v>0</v>
      </c>
      <c r="AB1182" s="16">
        <f>_xlfn.XLOOKUP(CustomerCombinedCleaned[[#This Row],[ID]], Table2[ID],Table2[MC4], "Not Found", 0 )</f>
        <v>0</v>
      </c>
      <c r="AC1182" s="16">
        <f>_xlfn.XLOOKUP(CustomerCombinedCleaned[[#This Row],[ID]], Table2[ID],Table2[MC5], "Not Found", 0 )</f>
        <v>0</v>
      </c>
    </row>
    <row r="1183" spans="1:29" x14ac:dyDescent="0.3">
      <c r="A1183" s="18">
        <v>2719</v>
      </c>
      <c r="B1183" s="16">
        <v>158086</v>
      </c>
      <c r="C1183" s="16">
        <v>0</v>
      </c>
      <c r="D1183" s="16">
        <v>1</v>
      </c>
      <c r="E1183" s="16">
        <v>51</v>
      </c>
      <c r="F1183" s="17" t="s">
        <v>5</v>
      </c>
      <c r="G1183" s="17" t="s">
        <v>13</v>
      </c>
      <c r="H1183" s="3" t="s">
        <v>321</v>
      </c>
      <c r="I1183" s="5" t="s">
        <v>437</v>
      </c>
      <c r="J1183" s="16">
        <f>_xlfn.XLOOKUP(CustomerCombinedCleaned[[#This Row],[ID]], Table4[ID], Table4[Recency], "Not Found", 0)</f>
        <v>80</v>
      </c>
      <c r="K1183" s="16">
        <f>_xlfn.XLOOKUP(CustomerCombinedCleaned[[#This Row],[ID]], Table4[ID], Table4[Teas], "Not Found", 0)</f>
        <v>1927</v>
      </c>
      <c r="L1183" s="16">
        <f>_xlfn.XLOOKUP(CustomerCombinedCleaned[[#This Row],[ID]], Table4[ID], Table4[Fruits], "Not Found", 0)</f>
        <v>19</v>
      </c>
      <c r="M1183" s="16">
        <f>_xlfn.XLOOKUP(CustomerCombinedCleaned[[#This Row],[ID]], Table4[ID], Table4[Meats], "Not Found", 0)</f>
        <v>169</v>
      </c>
      <c r="N1183" s="16">
        <f>_xlfn.XLOOKUP(CustomerCombinedCleaned[[#This Row],[ID]], Table4[ID], Table4[Seafood], "Not Found", 0)</f>
        <v>0</v>
      </c>
      <c r="O1183" s="16">
        <f>_xlfn.XLOOKUP(CustomerCombinedCleaned[[#This Row],[ID]], Table4[ID], Table4[Sweets], "Not Found", 0)</f>
        <v>0</v>
      </c>
      <c r="P1183" s="16">
        <f>_xlfn.XLOOKUP(CustomerCombinedCleaned[[#This Row],[ID]], Table4[ID], Table4[Premium], "Not Found", 0)</f>
        <v>41</v>
      </c>
      <c r="Q1183" s="16">
        <f>_xlfn.XLOOKUP(CustomerCombinedCleaned[[#This Row],[ID]], Table4[ID], Table4[Regular], "Not Found", 0)</f>
        <v>2074</v>
      </c>
      <c r="R1183" s="16">
        <f>_xlfn.XLOOKUP(CustomerCombinedCleaned[[#This Row],[ID]], Table4[ID], Table4[Deals], "Not Found", 0)</f>
        <v>2</v>
      </c>
      <c r="S1183" s="16">
        <f>_xlfn.XLOOKUP(CustomerCombinedCleaned[[#This Row],[ID]], Table4[ID], Table4[Website], "Not Found", 0)</f>
        <v>11</v>
      </c>
      <c r="T1183" s="16">
        <f>_xlfn.XLOOKUP(CustomerCombinedCleaned[[#This Row],[ID]], Table4[ID], Table4[Catalog], "Not Found", 0)</f>
        <v>3</v>
      </c>
      <c r="U1183" s="16">
        <f>_xlfn.XLOOKUP(CustomerCombinedCleaned[[#This Row],[ID]], Table4[ID], Table4[Store], "Not Found", 0)</f>
        <v>7</v>
      </c>
      <c r="V1183" s="16">
        <f>_xlfn.XLOOKUP(CustomerCombinedCleaned[[#This Row],[ID]], Table4[ID], Table4[Visits], "Not Found", 0)</f>
        <v>8</v>
      </c>
      <c r="W1183" s="16">
        <f>_xlfn.XLOOKUP(CustomerCombinedCleaned[[#This Row],[ID]], Table2[ID],Table2[Complaint], "Not Found", 0 )</f>
        <v>0</v>
      </c>
      <c r="X1183" s="16">
        <f>_xlfn.XLOOKUP(CustomerCombinedCleaned[[#This Row],[ID]], Table2[ID],Table2[Pilot], "Not Found", 0 )</f>
        <v>0</v>
      </c>
      <c r="Y1183" s="16">
        <f>_xlfn.XLOOKUP(CustomerCombinedCleaned[[#This Row],[ID]], Table2[ID],Table2[MC1], "Not Found", 0 )</f>
        <v>0</v>
      </c>
      <c r="Z1183" s="16">
        <f>_xlfn.XLOOKUP(CustomerCombinedCleaned[[#This Row],[ID]], Table2[ID],Table2[MC2], "Not Found", 0 )</f>
        <v>0</v>
      </c>
      <c r="AA1183" s="16">
        <f>_xlfn.XLOOKUP(CustomerCombinedCleaned[[#This Row],[ID]], Table2[ID],Table2[MC3], "Not Found", 0 )</f>
        <v>0</v>
      </c>
      <c r="AB1183" s="16">
        <f>_xlfn.XLOOKUP(CustomerCombinedCleaned[[#This Row],[ID]], Table2[ID],Table2[MC4], "Not Found", 0 )</f>
        <v>0</v>
      </c>
      <c r="AC1183" s="16">
        <f>_xlfn.XLOOKUP(CustomerCombinedCleaned[[#This Row],[ID]], Table2[ID],Table2[MC5], "Not Found", 0 )</f>
        <v>0</v>
      </c>
    </row>
    <row r="1184" spans="1:29" x14ac:dyDescent="0.3">
      <c r="A1184" s="18">
        <v>3169</v>
      </c>
      <c r="B1184" s="16">
        <v>157731</v>
      </c>
      <c r="C1184" s="16">
        <v>0</v>
      </c>
      <c r="D1184" s="16">
        <v>1</v>
      </c>
      <c r="E1184" s="16">
        <v>51</v>
      </c>
      <c r="F1184" s="17" t="s">
        <v>7</v>
      </c>
      <c r="G1184" s="17" t="s">
        <v>11</v>
      </c>
      <c r="H1184" s="3" t="s">
        <v>353</v>
      </c>
      <c r="I1184" s="5" t="s">
        <v>437</v>
      </c>
      <c r="J1184" s="16">
        <f>_xlfn.XLOOKUP(CustomerCombinedCleaned[[#This Row],[ID]], Table4[ID], Table4[Recency], "Not Found", 0)</f>
        <v>0</v>
      </c>
      <c r="K1184" s="16">
        <f>_xlfn.XLOOKUP(CustomerCombinedCleaned[[#This Row],[ID]], Table4[ID], Table4[Teas], "Not Found", 0)</f>
        <v>727</v>
      </c>
      <c r="L1184" s="16">
        <f>_xlfn.XLOOKUP(CustomerCombinedCleaned[[#This Row],[ID]], Table4[ID], Table4[Fruits], "Not Found", 0)</f>
        <v>57</v>
      </c>
      <c r="M1184" s="16">
        <f>_xlfn.XLOOKUP(CustomerCombinedCleaned[[#This Row],[ID]], Table4[ID], Table4[Meats], "Not Found", 0)</f>
        <v>820</v>
      </c>
      <c r="N1184" s="16">
        <f>_xlfn.XLOOKUP(CustomerCombinedCleaned[[#This Row],[ID]], Table4[ID], Table4[Seafood], "Not Found", 0)</f>
        <v>178</v>
      </c>
      <c r="O1184" s="16">
        <f>_xlfn.XLOOKUP(CustomerCombinedCleaned[[#This Row],[ID]], Table4[ID], Table4[Sweets], "Not Found", 0)</f>
        <v>22</v>
      </c>
      <c r="P1184" s="16">
        <f>_xlfn.XLOOKUP(CustomerCombinedCleaned[[#This Row],[ID]], Table4[ID], Table4[Premium], "Not Found", 0)</f>
        <v>120</v>
      </c>
      <c r="Q1184" s="16">
        <f>_xlfn.XLOOKUP(CustomerCombinedCleaned[[#This Row],[ID]], Table4[ID], Table4[Regular], "Not Found", 0)</f>
        <v>1683</v>
      </c>
      <c r="R1184" s="16">
        <f>_xlfn.XLOOKUP(CustomerCombinedCleaned[[#This Row],[ID]], Table4[ID], Table4[Deals], "Not Found", 0)</f>
        <v>4</v>
      </c>
      <c r="S1184" s="16">
        <f>_xlfn.XLOOKUP(CustomerCombinedCleaned[[#This Row],[ID]], Table4[ID], Table4[Website], "Not Found", 0)</f>
        <v>8</v>
      </c>
      <c r="T1184" s="16">
        <f>_xlfn.XLOOKUP(CustomerCombinedCleaned[[#This Row],[ID]], Table4[ID], Table4[Catalog], "Not Found", 0)</f>
        <v>8</v>
      </c>
      <c r="U1184" s="16">
        <f>_xlfn.XLOOKUP(CustomerCombinedCleaned[[#This Row],[ID]], Table4[ID], Table4[Store], "Not Found", 0)</f>
        <v>6</v>
      </c>
      <c r="V1184" s="16">
        <f>_xlfn.XLOOKUP(CustomerCombinedCleaned[[#This Row],[ID]], Table4[ID], Table4[Visits], "Not Found", 0)</f>
        <v>6</v>
      </c>
      <c r="W1184" s="16">
        <f>_xlfn.XLOOKUP(CustomerCombinedCleaned[[#This Row],[ID]], Table2[ID],Table2[Complaint], "Not Found", 0 )</f>
        <v>0</v>
      </c>
      <c r="X1184" s="16">
        <f>_xlfn.XLOOKUP(CustomerCombinedCleaned[[#This Row],[ID]], Table2[ID],Table2[Pilot], "Not Found", 0 )</f>
        <v>0</v>
      </c>
      <c r="Y1184" s="16">
        <f>_xlfn.XLOOKUP(CustomerCombinedCleaned[[#This Row],[ID]], Table2[ID],Table2[MC1], "Not Found", 0 )</f>
        <v>0</v>
      </c>
      <c r="Z1184" s="16">
        <f>_xlfn.XLOOKUP(CustomerCombinedCleaned[[#This Row],[ID]], Table2[ID],Table2[MC2], "Not Found", 0 )</f>
        <v>0</v>
      </c>
      <c r="AA1184" s="16">
        <f>_xlfn.XLOOKUP(CustomerCombinedCleaned[[#This Row],[ID]], Table2[ID],Table2[MC3], "Not Found", 0 )</f>
        <v>0</v>
      </c>
      <c r="AB1184" s="16">
        <f>_xlfn.XLOOKUP(CustomerCombinedCleaned[[#This Row],[ID]], Table2[ID],Table2[MC4], "Not Found", 0 )</f>
        <v>0</v>
      </c>
      <c r="AC1184" s="16">
        <f>_xlfn.XLOOKUP(CustomerCombinedCleaned[[#This Row],[ID]], Table2[ID],Table2[MC5], "Not Found", 0 )</f>
        <v>0</v>
      </c>
    </row>
    <row r="1185" spans="1:29" x14ac:dyDescent="0.3">
      <c r="A1185" s="18">
        <v>1435</v>
      </c>
      <c r="B1185" s="16">
        <v>156796</v>
      </c>
      <c r="C1185" s="16">
        <v>0</v>
      </c>
      <c r="D1185" s="16">
        <v>1</v>
      </c>
      <c r="E1185" s="16">
        <v>51</v>
      </c>
      <c r="F1185" s="17" t="s">
        <v>6</v>
      </c>
      <c r="G1185" s="17" t="s">
        <v>11</v>
      </c>
      <c r="H1185" s="3" t="s">
        <v>307</v>
      </c>
      <c r="I1185" s="5" t="s">
        <v>437</v>
      </c>
      <c r="J1185" s="16">
        <f>_xlfn.XLOOKUP(CustomerCombinedCleaned[[#This Row],[ID]], Table4[ID], Table4[Recency], "Not Found", 0)</f>
        <v>24</v>
      </c>
      <c r="K1185" s="16">
        <f>_xlfn.XLOOKUP(CustomerCombinedCleaned[[#This Row],[ID]], Table4[ID], Table4[Teas], "Not Found", 0)</f>
        <v>1811</v>
      </c>
      <c r="L1185" s="16">
        <f>_xlfn.XLOOKUP(CustomerCombinedCleaned[[#This Row],[ID]], Table4[ID], Table4[Fruits], "Not Found", 0)</f>
        <v>105</v>
      </c>
      <c r="M1185" s="16">
        <f>_xlfn.XLOOKUP(CustomerCombinedCleaned[[#This Row],[ID]], Table4[ID], Table4[Meats], "Not Found", 0)</f>
        <v>444</v>
      </c>
      <c r="N1185" s="16">
        <f>_xlfn.XLOOKUP(CustomerCombinedCleaned[[#This Row],[ID]], Table4[ID], Table4[Seafood], "Not Found", 0)</f>
        <v>171</v>
      </c>
      <c r="O1185" s="16">
        <f>_xlfn.XLOOKUP(CustomerCombinedCleaned[[#This Row],[ID]], Table4[ID], Table4[Sweets], "Not Found", 0)</f>
        <v>130</v>
      </c>
      <c r="P1185" s="16">
        <f>_xlfn.XLOOKUP(CustomerCombinedCleaned[[#This Row],[ID]], Table4[ID], Table4[Premium], "Not Found", 0)</f>
        <v>102</v>
      </c>
      <c r="Q1185" s="16">
        <f>_xlfn.XLOOKUP(CustomerCombinedCleaned[[#This Row],[ID]], Table4[ID], Table4[Regular], "Not Found", 0)</f>
        <v>2559</v>
      </c>
      <c r="R1185" s="16">
        <f>_xlfn.XLOOKUP(CustomerCombinedCleaned[[#This Row],[ID]], Table4[ID], Table4[Deals], "Not Found", 0)</f>
        <v>3</v>
      </c>
      <c r="S1185" s="16">
        <f>_xlfn.XLOOKUP(CustomerCombinedCleaned[[#This Row],[ID]], Table4[ID], Table4[Website], "Not Found", 0)</f>
        <v>8</v>
      </c>
      <c r="T1185" s="16">
        <f>_xlfn.XLOOKUP(CustomerCombinedCleaned[[#This Row],[ID]], Table4[ID], Table4[Catalog], "Not Found", 0)</f>
        <v>9</v>
      </c>
      <c r="U1185" s="16">
        <f>_xlfn.XLOOKUP(CustomerCombinedCleaned[[#This Row],[ID]], Table4[ID], Table4[Store], "Not Found", 0)</f>
        <v>7</v>
      </c>
      <c r="V1185" s="16">
        <f>_xlfn.XLOOKUP(CustomerCombinedCleaned[[#This Row],[ID]], Table4[ID], Table4[Visits], "Not Found", 0)</f>
        <v>7</v>
      </c>
      <c r="W1185" s="16">
        <f>_xlfn.XLOOKUP(CustomerCombinedCleaned[[#This Row],[ID]], Table2[ID],Table2[Complaint], "Not Found", 0 )</f>
        <v>0</v>
      </c>
      <c r="X1185" s="16">
        <f>_xlfn.XLOOKUP(CustomerCombinedCleaned[[#This Row],[ID]], Table2[ID],Table2[Pilot], "Not Found", 0 )</f>
        <v>0</v>
      </c>
      <c r="Y1185" s="16">
        <f>_xlfn.XLOOKUP(CustomerCombinedCleaned[[#This Row],[ID]], Table2[ID],Table2[MC1], "Not Found", 0 )</f>
        <v>0</v>
      </c>
      <c r="Z1185" s="16">
        <f>_xlfn.XLOOKUP(CustomerCombinedCleaned[[#This Row],[ID]], Table2[ID],Table2[MC2], "Not Found", 0 )</f>
        <v>0</v>
      </c>
      <c r="AA1185" s="16">
        <f>_xlfn.XLOOKUP(CustomerCombinedCleaned[[#This Row],[ID]], Table2[ID],Table2[MC3], "Not Found", 0 )</f>
        <v>0</v>
      </c>
      <c r="AB1185" s="16">
        <f>_xlfn.XLOOKUP(CustomerCombinedCleaned[[#This Row],[ID]], Table2[ID],Table2[MC4], "Not Found", 0 )</f>
        <v>0</v>
      </c>
      <c r="AC1185" s="16">
        <f>_xlfn.XLOOKUP(CustomerCombinedCleaned[[#This Row],[ID]], Table2[ID],Table2[MC5], "Not Found", 0 )</f>
        <v>0</v>
      </c>
    </row>
    <row r="1186" spans="1:29" x14ac:dyDescent="0.3">
      <c r="A1186" s="18">
        <v>3054</v>
      </c>
      <c r="B1186" s="16">
        <v>156796</v>
      </c>
      <c r="C1186" s="16">
        <v>0</v>
      </c>
      <c r="D1186" s="16">
        <v>1</v>
      </c>
      <c r="E1186" s="16">
        <v>51</v>
      </c>
      <c r="F1186" s="17" t="s">
        <v>6</v>
      </c>
      <c r="G1186" s="17" t="s">
        <v>11</v>
      </c>
      <c r="H1186" s="3" t="s">
        <v>307</v>
      </c>
      <c r="I1186" s="5" t="s">
        <v>436</v>
      </c>
      <c r="J1186" s="16">
        <f>_xlfn.XLOOKUP(CustomerCombinedCleaned[[#This Row],[ID]], Table4[ID], Table4[Recency], "Not Found", 0)</f>
        <v>24</v>
      </c>
      <c r="K1186" s="16">
        <f>_xlfn.XLOOKUP(CustomerCombinedCleaned[[#This Row],[ID]], Table4[ID], Table4[Teas], "Not Found", 0)</f>
        <v>1811</v>
      </c>
      <c r="L1186" s="16">
        <f>_xlfn.XLOOKUP(CustomerCombinedCleaned[[#This Row],[ID]], Table4[ID], Table4[Fruits], "Not Found", 0)</f>
        <v>105</v>
      </c>
      <c r="M1186" s="16">
        <f>_xlfn.XLOOKUP(CustomerCombinedCleaned[[#This Row],[ID]], Table4[ID], Table4[Meats], "Not Found", 0)</f>
        <v>444</v>
      </c>
      <c r="N1186" s="16">
        <f>_xlfn.XLOOKUP(CustomerCombinedCleaned[[#This Row],[ID]], Table4[ID], Table4[Seafood], "Not Found", 0)</f>
        <v>171</v>
      </c>
      <c r="O1186" s="16">
        <f>_xlfn.XLOOKUP(CustomerCombinedCleaned[[#This Row],[ID]], Table4[ID], Table4[Sweets], "Not Found", 0)</f>
        <v>130</v>
      </c>
      <c r="P1186" s="16">
        <f>_xlfn.XLOOKUP(CustomerCombinedCleaned[[#This Row],[ID]], Table4[ID], Table4[Premium], "Not Found", 0)</f>
        <v>102</v>
      </c>
      <c r="Q1186" s="16">
        <f>_xlfn.XLOOKUP(CustomerCombinedCleaned[[#This Row],[ID]], Table4[ID], Table4[Regular], "Not Found", 0)</f>
        <v>2559</v>
      </c>
      <c r="R1186" s="16">
        <f>_xlfn.XLOOKUP(CustomerCombinedCleaned[[#This Row],[ID]], Table4[ID], Table4[Deals], "Not Found", 0)</f>
        <v>3</v>
      </c>
      <c r="S1186" s="16">
        <f>_xlfn.XLOOKUP(CustomerCombinedCleaned[[#This Row],[ID]], Table4[ID], Table4[Website], "Not Found", 0)</f>
        <v>8</v>
      </c>
      <c r="T1186" s="16">
        <f>_xlfn.XLOOKUP(CustomerCombinedCleaned[[#This Row],[ID]], Table4[ID], Table4[Catalog], "Not Found", 0)</f>
        <v>9</v>
      </c>
      <c r="U1186" s="16">
        <f>_xlfn.XLOOKUP(CustomerCombinedCleaned[[#This Row],[ID]], Table4[ID], Table4[Store], "Not Found", 0)</f>
        <v>7</v>
      </c>
      <c r="V1186" s="16">
        <f>_xlfn.XLOOKUP(CustomerCombinedCleaned[[#This Row],[ID]], Table4[ID], Table4[Visits], "Not Found", 0)</f>
        <v>7</v>
      </c>
      <c r="W1186" s="16">
        <f>_xlfn.XLOOKUP(CustomerCombinedCleaned[[#This Row],[ID]], Table2[ID],Table2[Complaint], "Not Found", 0 )</f>
        <v>0</v>
      </c>
      <c r="X1186" s="16">
        <f>_xlfn.XLOOKUP(CustomerCombinedCleaned[[#This Row],[ID]], Table2[ID],Table2[Pilot], "Not Found", 0 )</f>
        <v>0</v>
      </c>
      <c r="Y1186" s="16">
        <f>_xlfn.XLOOKUP(CustomerCombinedCleaned[[#This Row],[ID]], Table2[ID],Table2[MC1], "Not Found", 0 )</f>
        <v>0</v>
      </c>
      <c r="Z1186" s="16">
        <f>_xlfn.XLOOKUP(CustomerCombinedCleaned[[#This Row],[ID]], Table2[ID],Table2[MC2], "Not Found", 0 )</f>
        <v>0</v>
      </c>
      <c r="AA1186" s="16">
        <f>_xlfn.XLOOKUP(CustomerCombinedCleaned[[#This Row],[ID]], Table2[ID],Table2[MC3], "Not Found", 0 )</f>
        <v>0</v>
      </c>
      <c r="AB1186" s="16">
        <f>_xlfn.XLOOKUP(CustomerCombinedCleaned[[#This Row],[ID]], Table2[ID],Table2[MC4], "Not Found", 0 )</f>
        <v>0</v>
      </c>
      <c r="AC1186" s="16">
        <f>_xlfn.XLOOKUP(CustomerCombinedCleaned[[#This Row],[ID]], Table2[ID],Table2[MC5], "Not Found", 0 )</f>
        <v>0</v>
      </c>
    </row>
    <row r="1187" spans="1:29" x14ac:dyDescent="0.3">
      <c r="A1187" s="18">
        <v>2354</v>
      </c>
      <c r="B1187" s="16">
        <v>156242</v>
      </c>
      <c r="C1187" s="16">
        <v>0</v>
      </c>
      <c r="D1187" s="16">
        <v>1</v>
      </c>
      <c r="E1187" s="16">
        <v>51</v>
      </c>
      <c r="F1187" s="17" t="s">
        <v>6</v>
      </c>
      <c r="G1187" s="17" t="s">
        <v>13</v>
      </c>
      <c r="H1187" s="3" t="s">
        <v>577</v>
      </c>
      <c r="I1187" s="5" t="s">
        <v>438</v>
      </c>
      <c r="J1187" s="16">
        <f>_xlfn.XLOOKUP(CustomerCombinedCleaned[[#This Row],[ID]], Table4[ID], Table4[Recency], "Not Found", 0)</f>
        <v>72</v>
      </c>
      <c r="K1187" s="16">
        <f>_xlfn.XLOOKUP(CustomerCombinedCleaned[[#This Row],[ID]], Table4[ID], Table4[Teas], "Not Found", 0)</f>
        <v>1914</v>
      </c>
      <c r="L1187" s="16">
        <f>_xlfn.XLOOKUP(CustomerCombinedCleaned[[#This Row],[ID]], Table4[ID], Table4[Fruits], "Not Found", 0)</f>
        <v>22</v>
      </c>
      <c r="M1187" s="16">
        <f>_xlfn.XLOOKUP(CustomerCombinedCleaned[[#This Row],[ID]], Table4[ID], Table4[Meats], "Not Found", 0)</f>
        <v>464</v>
      </c>
      <c r="N1187" s="16">
        <f>_xlfn.XLOOKUP(CustomerCombinedCleaned[[#This Row],[ID]], Table4[ID], Table4[Seafood], "Not Found", 0)</f>
        <v>31</v>
      </c>
      <c r="O1187" s="16">
        <f>_xlfn.XLOOKUP(CustomerCombinedCleaned[[#This Row],[ID]], Table4[ID], Table4[Sweets], "Not Found", 0)</f>
        <v>22</v>
      </c>
      <c r="P1187" s="16">
        <f>_xlfn.XLOOKUP(CustomerCombinedCleaned[[#This Row],[ID]], Table4[ID], Table4[Premium], "Not Found", 0)</f>
        <v>244</v>
      </c>
      <c r="Q1187" s="16">
        <f>_xlfn.XLOOKUP(CustomerCombinedCleaned[[#This Row],[ID]], Table4[ID], Table4[Regular], "Not Found", 0)</f>
        <v>2209</v>
      </c>
      <c r="R1187" s="16">
        <f>_xlfn.XLOOKUP(CustomerCombinedCleaned[[#This Row],[ID]], Table4[ID], Table4[Deals], "Not Found", 0)</f>
        <v>5</v>
      </c>
      <c r="S1187" s="16">
        <f>_xlfn.XLOOKUP(CustomerCombinedCleaned[[#This Row],[ID]], Table4[ID], Table4[Website], "Not Found", 0)</f>
        <v>8</v>
      </c>
      <c r="T1187" s="16">
        <f>_xlfn.XLOOKUP(CustomerCombinedCleaned[[#This Row],[ID]], Table4[ID], Table4[Catalog], "Not Found", 0)</f>
        <v>4</v>
      </c>
      <c r="U1187" s="16">
        <f>_xlfn.XLOOKUP(CustomerCombinedCleaned[[#This Row],[ID]], Table4[ID], Table4[Store], "Not Found", 0)</f>
        <v>11</v>
      </c>
      <c r="V1187" s="16">
        <f>_xlfn.XLOOKUP(CustomerCombinedCleaned[[#This Row],[ID]], Table4[ID], Table4[Visits], "Not Found", 0)</f>
        <v>6</v>
      </c>
      <c r="W1187" s="16">
        <f>_xlfn.XLOOKUP(CustomerCombinedCleaned[[#This Row],[ID]], Table2[ID],Table2[Complaint], "Not Found", 0 )</f>
        <v>0</v>
      </c>
      <c r="X1187" s="16">
        <f>_xlfn.XLOOKUP(CustomerCombinedCleaned[[#This Row],[ID]], Table2[ID],Table2[Pilot], "Not Found", 0 )</f>
        <v>0</v>
      </c>
      <c r="Y1187" s="16">
        <f>_xlfn.XLOOKUP(CustomerCombinedCleaned[[#This Row],[ID]], Table2[ID],Table2[MC1], "Not Found", 0 )</f>
        <v>0</v>
      </c>
      <c r="Z1187" s="16">
        <f>_xlfn.XLOOKUP(CustomerCombinedCleaned[[#This Row],[ID]], Table2[ID],Table2[MC2], "Not Found", 0 )</f>
        <v>0</v>
      </c>
      <c r="AA1187" s="16">
        <f>_xlfn.XLOOKUP(CustomerCombinedCleaned[[#This Row],[ID]], Table2[ID],Table2[MC3], "Not Found", 0 )</f>
        <v>0</v>
      </c>
      <c r="AB1187" s="16">
        <f>_xlfn.XLOOKUP(CustomerCombinedCleaned[[#This Row],[ID]], Table2[ID],Table2[MC4], "Not Found", 0 )</f>
        <v>0</v>
      </c>
      <c r="AC1187" s="16">
        <f>_xlfn.XLOOKUP(CustomerCombinedCleaned[[#This Row],[ID]], Table2[ID],Table2[MC5], "Not Found", 0 )</f>
        <v>0</v>
      </c>
    </row>
    <row r="1188" spans="1:29" x14ac:dyDescent="0.3">
      <c r="A1188" s="18">
        <v>1326</v>
      </c>
      <c r="B1188" s="16">
        <v>155212</v>
      </c>
      <c r="C1188" s="16">
        <v>0</v>
      </c>
      <c r="D1188" s="16">
        <v>1</v>
      </c>
      <c r="E1188" s="16">
        <v>51</v>
      </c>
      <c r="F1188" s="17" t="s">
        <v>6</v>
      </c>
      <c r="G1188" s="17" t="s">
        <v>13</v>
      </c>
      <c r="H1188" s="3" t="s">
        <v>353</v>
      </c>
      <c r="I1188" s="5" t="s">
        <v>436</v>
      </c>
      <c r="J1188" s="16">
        <f>_xlfn.XLOOKUP(CustomerCombinedCleaned[[#This Row],[ID]], Table4[ID], Table4[Recency], "Not Found", 0)</f>
        <v>65</v>
      </c>
      <c r="K1188" s="16">
        <f>_xlfn.XLOOKUP(CustomerCombinedCleaned[[#This Row],[ID]], Table4[ID], Table4[Teas], "Not Found", 0)</f>
        <v>3101</v>
      </c>
      <c r="L1188" s="16">
        <f>_xlfn.XLOOKUP(CustomerCombinedCleaned[[#This Row],[ID]], Table4[ID], Table4[Fruits], "Not Found", 0)</f>
        <v>0</v>
      </c>
      <c r="M1188" s="16">
        <f>_xlfn.XLOOKUP(CustomerCombinedCleaned[[#This Row],[ID]], Table4[ID], Table4[Meats], "Not Found", 0)</f>
        <v>127</v>
      </c>
      <c r="N1188" s="16">
        <f>_xlfn.XLOOKUP(CustomerCombinedCleaned[[#This Row],[ID]], Table4[ID], Table4[Seafood], "Not Found", 0)</f>
        <v>0</v>
      </c>
      <c r="O1188" s="16">
        <f>_xlfn.XLOOKUP(CustomerCombinedCleaned[[#This Row],[ID]], Table4[ID], Table4[Sweets], "Not Found", 0)</f>
        <v>0</v>
      </c>
      <c r="P1188" s="16">
        <f>_xlfn.XLOOKUP(CustomerCombinedCleaned[[#This Row],[ID]], Table4[ID], Table4[Premium], "Not Found", 0)</f>
        <v>96</v>
      </c>
      <c r="Q1188" s="16">
        <f>_xlfn.XLOOKUP(CustomerCombinedCleaned[[#This Row],[ID]], Table4[ID], Table4[Regular], "Not Found", 0)</f>
        <v>3132</v>
      </c>
      <c r="R1188" s="16">
        <f>_xlfn.XLOOKUP(CustomerCombinedCleaned[[#This Row],[ID]], Table4[ID], Table4[Deals], "Not Found", 0)</f>
        <v>3</v>
      </c>
      <c r="S1188" s="16">
        <f>_xlfn.XLOOKUP(CustomerCombinedCleaned[[#This Row],[ID]], Table4[ID], Table4[Website], "Not Found", 0)</f>
        <v>4</v>
      </c>
      <c r="T1188" s="16">
        <f>_xlfn.XLOOKUP(CustomerCombinedCleaned[[#This Row],[ID]], Table4[ID], Table4[Catalog], "Not Found", 0)</f>
        <v>2</v>
      </c>
      <c r="U1188" s="16">
        <f>_xlfn.XLOOKUP(CustomerCombinedCleaned[[#This Row],[ID]], Table4[ID], Table4[Store], "Not Found", 0)</f>
        <v>11</v>
      </c>
      <c r="V1188" s="16">
        <f>_xlfn.XLOOKUP(CustomerCombinedCleaned[[#This Row],[ID]], Table4[ID], Table4[Visits], "Not Found", 0)</f>
        <v>8</v>
      </c>
      <c r="W1188" s="16">
        <f>_xlfn.XLOOKUP(CustomerCombinedCleaned[[#This Row],[ID]], Table2[ID],Table2[Complaint], "Not Found", 0 )</f>
        <v>0</v>
      </c>
      <c r="X1188" s="16">
        <f>_xlfn.XLOOKUP(CustomerCombinedCleaned[[#This Row],[ID]], Table2[ID],Table2[Pilot], "Not Found", 0 )</f>
        <v>0</v>
      </c>
      <c r="Y1188" s="16">
        <f>_xlfn.XLOOKUP(CustomerCombinedCleaned[[#This Row],[ID]], Table2[ID],Table2[MC1], "Not Found", 0 )</f>
        <v>0</v>
      </c>
      <c r="Z1188" s="16">
        <f>_xlfn.XLOOKUP(CustomerCombinedCleaned[[#This Row],[ID]], Table2[ID],Table2[MC2], "Not Found", 0 )</f>
        <v>1</v>
      </c>
      <c r="AA1188" s="16">
        <f>_xlfn.XLOOKUP(CustomerCombinedCleaned[[#This Row],[ID]], Table2[ID],Table2[MC3], "Not Found", 0 )</f>
        <v>0</v>
      </c>
      <c r="AB1188" s="16">
        <f>_xlfn.XLOOKUP(CustomerCombinedCleaned[[#This Row],[ID]], Table2[ID],Table2[MC4], "Not Found", 0 )</f>
        <v>1</v>
      </c>
      <c r="AC1188" s="16">
        <f>_xlfn.XLOOKUP(CustomerCombinedCleaned[[#This Row],[ID]], Table2[ID],Table2[MC5], "Not Found", 0 )</f>
        <v>0</v>
      </c>
    </row>
    <row r="1189" spans="1:29" x14ac:dyDescent="0.3">
      <c r="A1189" s="18">
        <v>2901</v>
      </c>
      <c r="B1189" s="16">
        <v>155212</v>
      </c>
      <c r="C1189" s="16">
        <v>0</v>
      </c>
      <c r="D1189" s="16">
        <v>1</v>
      </c>
      <c r="E1189" s="16">
        <v>51</v>
      </c>
      <c r="F1189" s="17" t="s">
        <v>6</v>
      </c>
      <c r="G1189" s="17" t="s">
        <v>13</v>
      </c>
      <c r="H1189" s="3" t="s">
        <v>353</v>
      </c>
      <c r="I1189" s="5" t="s">
        <v>435</v>
      </c>
      <c r="J1189" s="16">
        <f>_xlfn.XLOOKUP(CustomerCombinedCleaned[[#This Row],[ID]], Table4[ID], Table4[Recency], "Not Found", 0)</f>
        <v>65</v>
      </c>
      <c r="K1189" s="16">
        <f>_xlfn.XLOOKUP(CustomerCombinedCleaned[[#This Row],[ID]], Table4[ID], Table4[Teas], "Not Found", 0)</f>
        <v>3101</v>
      </c>
      <c r="L1189" s="16">
        <f>_xlfn.XLOOKUP(CustomerCombinedCleaned[[#This Row],[ID]], Table4[ID], Table4[Fruits], "Not Found", 0)</f>
        <v>0</v>
      </c>
      <c r="M1189" s="16">
        <f>_xlfn.XLOOKUP(CustomerCombinedCleaned[[#This Row],[ID]], Table4[ID], Table4[Meats], "Not Found", 0)</f>
        <v>127</v>
      </c>
      <c r="N1189" s="16">
        <f>_xlfn.XLOOKUP(CustomerCombinedCleaned[[#This Row],[ID]], Table4[ID], Table4[Seafood], "Not Found", 0)</f>
        <v>0</v>
      </c>
      <c r="O1189" s="16">
        <f>_xlfn.XLOOKUP(CustomerCombinedCleaned[[#This Row],[ID]], Table4[ID], Table4[Sweets], "Not Found", 0)</f>
        <v>0</v>
      </c>
      <c r="P1189" s="16">
        <f>_xlfn.XLOOKUP(CustomerCombinedCleaned[[#This Row],[ID]], Table4[ID], Table4[Premium], "Not Found", 0)</f>
        <v>96</v>
      </c>
      <c r="Q1189" s="16">
        <f>_xlfn.XLOOKUP(CustomerCombinedCleaned[[#This Row],[ID]], Table4[ID], Table4[Regular], "Not Found", 0)</f>
        <v>3132</v>
      </c>
      <c r="R1189" s="16">
        <f>_xlfn.XLOOKUP(CustomerCombinedCleaned[[#This Row],[ID]], Table4[ID], Table4[Deals], "Not Found", 0)</f>
        <v>3</v>
      </c>
      <c r="S1189" s="16">
        <f>_xlfn.XLOOKUP(CustomerCombinedCleaned[[#This Row],[ID]], Table4[ID], Table4[Website], "Not Found", 0)</f>
        <v>4</v>
      </c>
      <c r="T1189" s="16">
        <f>_xlfn.XLOOKUP(CustomerCombinedCleaned[[#This Row],[ID]], Table4[ID], Table4[Catalog], "Not Found", 0)</f>
        <v>2</v>
      </c>
      <c r="U1189" s="16">
        <f>_xlfn.XLOOKUP(CustomerCombinedCleaned[[#This Row],[ID]], Table4[ID], Table4[Store], "Not Found", 0)</f>
        <v>11</v>
      </c>
      <c r="V1189" s="16">
        <f>_xlfn.XLOOKUP(CustomerCombinedCleaned[[#This Row],[ID]], Table4[ID], Table4[Visits], "Not Found", 0)</f>
        <v>8</v>
      </c>
      <c r="W1189" s="16">
        <f>_xlfn.XLOOKUP(CustomerCombinedCleaned[[#This Row],[ID]], Table2[ID],Table2[Complaint], "Not Found", 0 )</f>
        <v>0</v>
      </c>
      <c r="X1189" s="16">
        <f>_xlfn.XLOOKUP(CustomerCombinedCleaned[[#This Row],[ID]], Table2[ID],Table2[Pilot], "Not Found", 0 )</f>
        <v>0</v>
      </c>
      <c r="Y1189" s="16">
        <f>_xlfn.XLOOKUP(CustomerCombinedCleaned[[#This Row],[ID]], Table2[ID],Table2[MC1], "Not Found", 0 )</f>
        <v>0</v>
      </c>
      <c r="Z1189" s="16">
        <f>_xlfn.XLOOKUP(CustomerCombinedCleaned[[#This Row],[ID]], Table2[ID],Table2[MC2], "Not Found", 0 )</f>
        <v>1</v>
      </c>
      <c r="AA1189" s="16">
        <f>_xlfn.XLOOKUP(CustomerCombinedCleaned[[#This Row],[ID]], Table2[ID],Table2[MC3], "Not Found", 0 )</f>
        <v>0</v>
      </c>
      <c r="AB1189" s="16">
        <f>_xlfn.XLOOKUP(CustomerCombinedCleaned[[#This Row],[ID]], Table2[ID],Table2[MC4], "Not Found", 0 )</f>
        <v>1</v>
      </c>
      <c r="AC1189" s="16">
        <f>_xlfn.XLOOKUP(CustomerCombinedCleaned[[#This Row],[ID]], Table2[ID],Table2[MC5], "Not Found", 0 )</f>
        <v>0</v>
      </c>
    </row>
    <row r="1190" spans="1:29" x14ac:dyDescent="0.3">
      <c r="A1190" s="18">
        <v>1349</v>
      </c>
      <c r="B1190" s="16">
        <v>154803</v>
      </c>
      <c r="C1190" s="16">
        <v>0</v>
      </c>
      <c r="D1190" s="16">
        <v>1</v>
      </c>
      <c r="E1190" s="16">
        <v>51</v>
      </c>
      <c r="F1190" s="17" t="s">
        <v>7</v>
      </c>
      <c r="G1190" s="17" t="s">
        <v>11</v>
      </c>
      <c r="H1190" s="3" t="s">
        <v>407</v>
      </c>
      <c r="I1190" s="5" t="s">
        <v>434</v>
      </c>
      <c r="J1190" s="16">
        <f>_xlfn.XLOOKUP(CustomerCombinedCleaned[[#This Row],[ID]], Table4[ID], Table4[Recency], "Not Found", 0)</f>
        <v>65</v>
      </c>
      <c r="K1190" s="16">
        <f>_xlfn.XLOOKUP(CustomerCombinedCleaned[[#This Row],[ID]], Table4[ID], Table4[Teas], "Not Found", 0)</f>
        <v>1141</v>
      </c>
      <c r="L1190" s="16">
        <f>_xlfn.XLOOKUP(CustomerCombinedCleaned[[#This Row],[ID]], Table4[ID], Table4[Fruits], "Not Found", 0)</f>
        <v>0</v>
      </c>
      <c r="M1190" s="16">
        <f>_xlfn.XLOOKUP(CustomerCombinedCleaned[[#This Row],[ID]], Table4[ID], Table4[Meats], "Not Found", 0)</f>
        <v>260</v>
      </c>
      <c r="N1190" s="16">
        <f>_xlfn.XLOOKUP(CustomerCombinedCleaned[[#This Row],[ID]], Table4[ID], Table4[Seafood], "Not Found", 0)</f>
        <v>79</v>
      </c>
      <c r="O1190" s="16">
        <f>_xlfn.XLOOKUP(CustomerCombinedCleaned[[#This Row],[ID]], Table4[ID], Table4[Sweets], "Not Found", 0)</f>
        <v>76</v>
      </c>
      <c r="P1190" s="16">
        <f>_xlfn.XLOOKUP(CustomerCombinedCleaned[[#This Row],[ID]], Table4[ID], Table4[Premium], "Not Found", 0)</f>
        <v>401</v>
      </c>
      <c r="Q1190" s="16">
        <f>_xlfn.XLOOKUP(CustomerCombinedCleaned[[#This Row],[ID]], Table4[ID], Table4[Regular], "Not Found", 0)</f>
        <v>1155</v>
      </c>
      <c r="R1190" s="16">
        <f>_xlfn.XLOOKUP(CustomerCombinedCleaned[[#This Row],[ID]], Table4[ID], Table4[Deals], "Not Found", 0)</f>
        <v>2</v>
      </c>
      <c r="S1190" s="16">
        <f>_xlfn.XLOOKUP(CustomerCombinedCleaned[[#This Row],[ID]], Table4[ID], Table4[Website], "Not Found", 0)</f>
        <v>6</v>
      </c>
      <c r="T1190" s="16">
        <f>_xlfn.XLOOKUP(CustomerCombinedCleaned[[#This Row],[ID]], Table4[ID], Table4[Catalog], "Not Found", 0)</f>
        <v>2</v>
      </c>
      <c r="U1190" s="16">
        <f>_xlfn.XLOOKUP(CustomerCombinedCleaned[[#This Row],[ID]], Table4[ID], Table4[Store], "Not Found", 0)</f>
        <v>9</v>
      </c>
      <c r="V1190" s="16">
        <f>_xlfn.XLOOKUP(CustomerCombinedCleaned[[#This Row],[ID]], Table4[ID], Table4[Visits], "Not Found", 0)</f>
        <v>4</v>
      </c>
      <c r="W1190" s="16">
        <f>_xlfn.XLOOKUP(CustomerCombinedCleaned[[#This Row],[ID]], Table2[ID],Table2[Complaint], "Not Found", 0 )</f>
        <v>0</v>
      </c>
      <c r="X1190" s="16">
        <f>_xlfn.XLOOKUP(CustomerCombinedCleaned[[#This Row],[ID]], Table2[ID],Table2[Pilot], "Not Found", 0 )</f>
        <v>0</v>
      </c>
      <c r="Y1190" s="16">
        <f>_xlfn.XLOOKUP(CustomerCombinedCleaned[[#This Row],[ID]], Table2[ID],Table2[MC1], "Not Found", 0 )</f>
        <v>0</v>
      </c>
      <c r="Z1190" s="16">
        <f>_xlfn.XLOOKUP(CustomerCombinedCleaned[[#This Row],[ID]], Table2[ID],Table2[MC2], "Not Found", 0 )</f>
        <v>0</v>
      </c>
      <c r="AA1190" s="16">
        <f>_xlfn.XLOOKUP(CustomerCombinedCleaned[[#This Row],[ID]], Table2[ID],Table2[MC3], "Not Found", 0 )</f>
        <v>0</v>
      </c>
      <c r="AB1190" s="16">
        <f>_xlfn.XLOOKUP(CustomerCombinedCleaned[[#This Row],[ID]], Table2[ID],Table2[MC4], "Not Found", 0 )</f>
        <v>0</v>
      </c>
      <c r="AC1190" s="16">
        <f>_xlfn.XLOOKUP(CustomerCombinedCleaned[[#This Row],[ID]], Table2[ID],Table2[MC5], "Not Found", 0 )</f>
        <v>0</v>
      </c>
    </row>
    <row r="1191" spans="1:29" x14ac:dyDescent="0.3">
      <c r="A1191" s="18">
        <v>1998</v>
      </c>
      <c r="B1191" s="16">
        <v>154165</v>
      </c>
      <c r="C1191" s="16">
        <v>0</v>
      </c>
      <c r="D1191" s="16">
        <v>0</v>
      </c>
      <c r="E1191" s="16">
        <v>51</v>
      </c>
      <c r="F1191" s="17" t="s">
        <v>8</v>
      </c>
      <c r="G1191" s="17" t="s">
        <v>11</v>
      </c>
      <c r="H1191" s="3" t="s">
        <v>590</v>
      </c>
      <c r="I1191" s="5" t="s">
        <v>436</v>
      </c>
      <c r="J1191" s="16">
        <f>_xlfn.XLOOKUP(CustomerCombinedCleaned[[#This Row],[ID]], Table4[ID], Table4[Recency], "Not Found", 0)</f>
        <v>72</v>
      </c>
      <c r="K1191" s="16">
        <f>_xlfn.XLOOKUP(CustomerCombinedCleaned[[#This Row],[ID]], Table4[ID], Table4[Teas], "Not Found", 0)</f>
        <v>361</v>
      </c>
      <c r="L1191" s="16">
        <f>_xlfn.XLOOKUP(CustomerCombinedCleaned[[#This Row],[ID]], Table4[ID], Table4[Fruits], "Not Found", 0)</f>
        <v>11</v>
      </c>
      <c r="M1191" s="16">
        <f>_xlfn.XLOOKUP(CustomerCombinedCleaned[[#This Row],[ID]], Table4[ID], Table4[Meats], "Not Found", 0)</f>
        <v>208</v>
      </c>
      <c r="N1191" s="16">
        <f>_xlfn.XLOOKUP(CustomerCombinedCleaned[[#This Row],[ID]], Table4[ID], Table4[Seafood], "Not Found", 0)</f>
        <v>43</v>
      </c>
      <c r="O1191" s="16">
        <f>_xlfn.XLOOKUP(CustomerCombinedCleaned[[#This Row],[ID]], Table4[ID], Table4[Sweets], "Not Found", 0)</f>
        <v>17</v>
      </c>
      <c r="P1191" s="16">
        <f>_xlfn.XLOOKUP(CustomerCombinedCleaned[[#This Row],[ID]], Table4[ID], Table4[Premium], "Not Found", 0)</f>
        <v>31</v>
      </c>
      <c r="Q1191" s="16">
        <f>_xlfn.XLOOKUP(CustomerCombinedCleaned[[#This Row],[ID]], Table4[ID], Table4[Regular], "Not Found", 0)</f>
        <v>609</v>
      </c>
      <c r="R1191" s="16">
        <f>_xlfn.XLOOKUP(CustomerCombinedCleaned[[#This Row],[ID]], Table4[ID], Table4[Deals], "Not Found", 0)</f>
        <v>1</v>
      </c>
      <c r="S1191" s="16">
        <f>_xlfn.XLOOKUP(CustomerCombinedCleaned[[#This Row],[ID]], Table4[ID], Table4[Website], "Not Found", 0)</f>
        <v>2</v>
      </c>
      <c r="T1191" s="16">
        <f>_xlfn.XLOOKUP(CustomerCombinedCleaned[[#This Row],[ID]], Table4[ID], Table4[Catalog], "Not Found", 0)</f>
        <v>1</v>
      </c>
      <c r="U1191" s="16">
        <f>_xlfn.XLOOKUP(CustomerCombinedCleaned[[#This Row],[ID]], Table4[ID], Table4[Store], "Not Found", 0)</f>
        <v>7</v>
      </c>
      <c r="V1191" s="16">
        <f>_xlfn.XLOOKUP(CustomerCombinedCleaned[[#This Row],[ID]], Table4[ID], Table4[Visits], "Not Found", 0)</f>
        <v>2</v>
      </c>
      <c r="W1191" s="16">
        <f>_xlfn.XLOOKUP(CustomerCombinedCleaned[[#This Row],[ID]], Table2[ID],Table2[Complaint], "Not Found", 0 )</f>
        <v>0</v>
      </c>
      <c r="X1191" s="16">
        <f>_xlfn.XLOOKUP(CustomerCombinedCleaned[[#This Row],[ID]], Table2[ID],Table2[Pilot], "Not Found", 0 )</f>
        <v>0</v>
      </c>
      <c r="Y1191" s="16">
        <f>_xlfn.XLOOKUP(CustomerCombinedCleaned[[#This Row],[ID]], Table2[ID],Table2[MC1], "Not Found", 0 )</f>
        <v>0</v>
      </c>
      <c r="Z1191" s="16">
        <f>_xlfn.XLOOKUP(CustomerCombinedCleaned[[#This Row],[ID]], Table2[ID],Table2[MC2], "Not Found", 0 )</f>
        <v>0</v>
      </c>
      <c r="AA1191" s="16">
        <f>_xlfn.XLOOKUP(CustomerCombinedCleaned[[#This Row],[ID]], Table2[ID],Table2[MC3], "Not Found", 0 )</f>
        <v>0</v>
      </c>
      <c r="AB1191" s="16">
        <f>_xlfn.XLOOKUP(CustomerCombinedCleaned[[#This Row],[ID]], Table2[ID],Table2[MC4], "Not Found", 0 )</f>
        <v>0</v>
      </c>
      <c r="AC1191" s="16">
        <f>_xlfn.XLOOKUP(CustomerCombinedCleaned[[#This Row],[ID]], Table2[ID],Table2[MC5], "Not Found", 0 )</f>
        <v>0</v>
      </c>
    </row>
    <row r="1192" spans="1:29" x14ac:dyDescent="0.3">
      <c r="A1192" s="18">
        <v>2399</v>
      </c>
      <c r="B1192" s="16">
        <v>154132</v>
      </c>
      <c r="C1192" s="16">
        <v>0</v>
      </c>
      <c r="D1192" s="16">
        <v>1</v>
      </c>
      <c r="E1192" s="16">
        <v>51</v>
      </c>
      <c r="F1192" s="17" t="s">
        <v>8</v>
      </c>
      <c r="G1192" s="17" t="s">
        <v>13</v>
      </c>
      <c r="H1192" s="3" t="s">
        <v>97</v>
      </c>
      <c r="I1192" s="5" t="s">
        <v>434</v>
      </c>
      <c r="J1192" s="16">
        <f>_xlfn.XLOOKUP(CustomerCombinedCleaned[[#This Row],[ID]], Table4[ID], Table4[Recency], "Not Found", 0)</f>
        <v>81</v>
      </c>
      <c r="K1192" s="16">
        <f>_xlfn.XLOOKUP(CustomerCombinedCleaned[[#This Row],[ID]], Table4[ID], Table4[Teas], "Not Found", 0)</f>
        <v>85</v>
      </c>
      <c r="L1192" s="16">
        <f>_xlfn.XLOOKUP(CustomerCombinedCleaned[[#This Row],[ID]], Table4[ID], Table4[Fruits], "Not Found", 0)</f>
        <v>3</v>
      </c>
      <c r="M1192" s="16">
        <f>_xlfn.XLOOKUP(CustomerCombinedCleaned[[#This Row],[ID]], Table4[ID], Table4[Meats], "Not Found", 0)</f>
        <v>23</v>
      </c>
      <c r="N1192" s="16">
        <f>_xlfn.XLOOKUP(CustomerCombinedCleaned[[#This Row],[ID]], Table4[ID], Table4[Seafood], "Not Found", 0)</f>
        <v>0</v>
      </c>
      <c r="O1192" s="16">
        <f>_xlfn.XLOOKUP(CustomerCombinedCleaned[[#This Row],[ID]], Table4[ID], Table4[Sweets], "Not Found", 0)</f>
        <v>0</v>
      </c>
      <c r="P1192" s="16">
        <f>_xlfn.XLOOKUP(CustomerCombinedCleaned[[#This Row],[ID]], Table4[ID], Table4[Premium], "Not Found", 0)</f>
        <v>9</v>
      </c>
      <c r="Q1192" s="16">
        <f>_xlfn.XLOOKUP(CustomerCombinedCleaned[[#This Row],[ID]], Table4[ID], Table4[Regular], "Not Found", 0)</f>
        <v>103</v>
      </c>
      <c r="R1192" s="16">
        <f>_xlfn.XLOOKUP(CustomerCombinedCleaned[[#This Row],[ID]], Table4[ID], Table4[Deals], "Not Found", 0)</f>
        <v>1</v>
      </c>
      <c r="S1192" s="16">
        <f>_xlfn.XLOOKUP(CustomerCombinedCleaned[[#This Row],[ID]], Table4[ID], Table4[Website], "Not Found", 0)</f>
        <v>1</v>
      </c>
      <c r="T1192" s="16">
        <f>_xlfn.XLOOKUP(CustomerCombinedCleaned[[#This Row],[ID]], Table4[ID], Table4[Catalog], "Not Found", 0)</f>
        <v>0</v>
      </c>
      <c r="U1192" s="16">
        <f>_xlfn.XLOOKUP(CustomerCombinedCleaned[[#This Row],[ID]], Table4[ID], Table4[Store], "Not Found", 0)</f>
        <v>3</v>
      </c>
      <c r="V1192" s="16">
        <f>_xlfn.XLOOKUP(CustomerCombinedCleaned[[#This Row],[ID]], Table4[ID], Table4[Visits], "Not Found", 0)</f>
        <v>7</v>
      </c>
      <c r="W1192" s="16">
        <f>_xlfn.XLOOKUP(CustomerCombinedCleaned[[#This Row],[ID]], Table2[ID],Table2[Complaint], "Not Found", 0 )</f>
        <v>0</v>
      </c>
      <c r="X1192" s="16">
        <f>_xlfn.XLOOKUP(CustomerCombinedCleaned[[#This Row],[ID]], Table2[ID],Table2[Pilot], "Not Found", 0 )</f>
        <v>0</v>
      </c>
      <c r="Y1192" s="16">
        <f>_xlfn.XLOOKUP(CustomerCombinedCleaned[[#This Row],[ID]], Table2[ID],Table2[MC1], "Not Found", 0 )</f>
        <v>0</v>
      </c>
      <c r="Z1192" s="16">
        <f>_xlfn.XLOOKUP(CustomerCombinedCleaned[[#This Row],[ID]], Table2[ID],Table2[MC2], "Not Found", 0 )</f>
        <v>0</v>
      </c>
      <c r="AA1192" s="16">
        <f>_xlfn.XLOOKUP(CustomerCombinedCleaned[[#This Row],[ID]], Table2[ID],Table2[MC3], "Not Found", 0 )</f>
        <v>0</v>
      </c>
      <c r="AB1192" s="16">
        <f>_xlfn.XLOOKUP(CustomerCombinedCleaned[[#This Row],[ID]], Table2[ID],Table2[MC4], "Not Found", 0 )</f>
        <v>0</v>
      </c>
      <c r="AC1192" s="16">
        <f>_xlfn.XLOOKUP(CustomerCombinedCleaned[[#This Row],[ID]], Table2[ID],Table2[MC5], "Not Found", 0 )</f>
        <v>0</v>
      </c>
    </row>
    <row r="1193" spans="1:29" x14ac:dyDescent="0.3">
      <c r="A1193" s="18">
        <v>2473</v>
      </c>
      <c r="B1193" s="16">
        <v>153374</v>
      </c>
      <c r="C1193" s="16">
        <v>0</v>
      </c>
      <c r="D1193" s="16">
        <v>1</v>
      </c>
      <c r="E1193" s="16">
        <v>51</v>
      </c>
      <c r="F1193" s="17" t="s">
        <v>8</v>
      </c>
      <c r="G1193" s="17" t="s">
        <v>13</v>
      </c>
      <c r="H1193" s="3" t="s">
        <v>412</v>
      </c>
      <c r="I1193" s="5" t="s">
        <v>437</v>
      </c>
      <c r="J1193" s="16">
        <f>_xlfn.XLOOKUP(CustomerCombinedCleaned[[#This Row],[ID]], Table4[ID], Table4[Recency], "Not Found", 0)</f>
        <v>34</v>
      </c>
      <c r="K1193" s="16">
        <f>_xlfn.XLOOKUP(CustomerCombinedCleaned[[#This Row],[ID]], Table4[ID], Table4[Teas], "Not Found", 0)</f>
        <v>2575</v>
      </c>
      <c r="L1193" s="16">
        <f>_xlfn.XLOOKUP(CustomerCombinedCleaned[[#This Row],[ID]], Table4[ID], Table4[Fruits], "Not Found", 0)</f>
        <v>29</v>
      </c>
      <c r="M1193" s="16">
        <f>_xlfn.XLOOKUP(CustomerCombinedCleaned[[#This Row],[ID]], Table4[ID], Table4[Meats], "Not Found", 0)</f>
        <v>290</v>
      </c>
      <c r="N1193" s="16">
        <f>_xlfn.XLOOKUP(CustomerCombinedCleaned[[#This Row],[ID]], Table4[ID], Table4[Seafood], "Not Found", 0)</f>
        <v>37</v>
      </c>
      <c r="O1193" s="16">
        <f>_xlfn.XLOOKUP(CustomerCombinedCleaned[[#This Row],[ID]], Table4[ID], Table4[Sweets], "Not Found", 0)</f>
        <v>29</v>
      </c>
      <c r="P1193" s="16">
        <f>_xlfn.XLOOKUP(CustomerCombinedCleaned[[#This Row],[ID]], Table4[ID], Table4[Premium], "Not Found", 0)</f>
        <v>98</v>
      </c>
      <c r="Q1193" s="16">
        <f>_xlfn.XLOOKUP(CustomerCombinedCleaned[[#This Row],[ID]], Table4[ID], Table4[Regular], "Not Found", 0)</f>
        <v>2862</v>
      </c>
      <c r="R1193" s="16">
        <f>_xlfn.XLOOKUP(CustomerCombinedCleaned[[#This Row],[ID]], Table4[ID], Table4[Deals], "Not Found", 0)</f>
        <v>6</v>
      </c>
      <c r="S1193" s="16">
        <f>_xlfn.XLOOKUP(CustomerCombinedCleaned[[#This Row],[ID]], Table4[ID], Table4[Website], "Not Found", 0)</f>
        <v>4</v>
      </c>
      <c r="T1193" s="16">
        <f>_xlfn.XLOOKUP(CustomerCombinedCleaned[[#This Row],[ID]], Table4[ID], Table4[Catalog], "Not Found", 0)</f>
        <v>2</v>
      </c>
      <c r="U1193" s="16">
        <f>_xlfn.XLOOKUP(CustomerCombinedCleaned[[#This Row],[ID]], Table4[ID], Table4[Store], "Not Found", 0)</f>
        <v>9</v>
      </c>
      <c r="V1193" s="16">
        <f>_xlfn.XLOOKUP(CustomerCombinedCleaned[[#This Row],[ID]], Table4[ID], Table4[Visits], "Not Found", 0)</f>
        <v>9</v>
      </c>
      <c r="W1193" s="16">
        <f>_xlfn.XLOOKUP(CustomerCombinedCleaned[[#This Row],[ID]], Table2[ID],Table2[Complaint], "Not Found", 0 )</f>
        <v>0</v>
      </c>
      <c r="X1193" s="16">
        <f>_xlfn.XLOOKUP(CustomerCombinedCleaned[[#This Row],[ID]], Table2[ID],Table2[Pilot], "Not Found", 0 )</f>
        <v>1</v>
      </c>
      <c r="Y1193" s="16">
        <f>_xlfn.XLOOKUP(CustomerCombinedCleaned[[#This Row],[ID]], Table2[ID],Table2[MC1], "Not Found", 0 )</f>
        <v>0</v>
      </c>
      <c r="Z1193" s="16">
        <f>_xlfn.XLOOKUP(CustomerCombinedCleaned[[#This Row],[ID]], Table2[ID],Table2[MC2], "Not Found", 0 )</f>
        <v>0</v>
      </c>
      <c r="AA1193" s="16">
        <f>_xlfn.XLOOKUP(CustomerCombinedCleaned[[#This Row],[ID]], Table2[ID],Table2[MC3], "Not Found", 0 )</f>
        <v>1</v>
      </c>
      <c r="AB1193" s="16">
        <f>_xlfn.XLOOKUP(CustomerCombinedCleaned[[#This Row],[ID]], Table2[ID],Table2[MC4], "Not Found", 0 )</f>
        <v>0</v>
      </c>
      <c r="AC1193" s="16">
        <f>_xlfn.XLOOKUP(CustomerCombinedCleaned[[#This Row],[ID]], Table2[ID],Table2[MC5], "Not Found", 0 )</f>
        <v>0</v>
      </c>
    </row>
    <row r="1194" spans="1:29" x14ac:dyDescent="0.3">
      <c r="A1194" s="18">
        <v>1099</v>
      </c>
      <c r="B1194" s="16">
        <v>152413</v>
      </c>
      <c r="C1194" s="16">
        <v>0</v>
      </c>
      <c r="D1194" s="16">
        <v>2</v>
      </c>
      <c r="E1194" s="16">
        <v>51</v>
      </c>
      <c r="F1194" s="17" t="s">
        <v>6</v>
      </c>
      <c r="G1194" s="17" t="s">
        <v>11</v>
      </c>
      <c r="H1194" s="3" t="s">
        <v>634</v>
      </c>
      <c r="I1194" s="5" t="s">
        <v>437</v>
      </c>
      <c r="J1194" s="16">
        <f>_xlfn.XLOOKUP(CustomerCombinedCleaned[[#This Row],[ID]], Table4[ID], Table4[Recency], "Not Found", 0)</f>
        <v>56</v>
      </c>
      <c r="K1194" s="16">
        <f>_xlfn.XLOOKUP(CustomerCombinedCleaned[[#This Row],[ID]], Table4[ID], Table4[Teas], "Not Found", 0)</f>
        <v>858</v>
      </c>
      <c r="L1194" s="16">
        <f>_xlfn.XLOOKUP(CustomerCombinedCleaned[[#This Row],[ID]], Table4[ID], Table4[Fruits], "Not Found", 0)</f>
        <v>308</v>
      </c>
      <c r="M1194" s="16">
        <f>_xlfn.XLOOKUP(CustomerCombinedCleaned[[#This Row],[ID]], Table4[ID], Table4[Meats], "Not Found", 0)</f>
        <v>788</v>
      </c>
      <c r="N1194" s="16">
        <f>_xlfn.XLOOKUP(CustomerCombinedCleaned[[#This Row],[ID]], Table4[ID], Table4[Seafood], "Not Found", 0)</f>
        <v>218</v>
      </c>
      <c r="O1194" s="16">
        <f>_xlfn.XLOOKUP(CustomerCombinedCleaned[[#This Row],[ID]], Table4[ID], Table4[Sweets], "Not Found", 0)</f>
        <v>285</v>
      </c>
      <c r="P1194" s="16">
        <f>_xlfn.XLOOKUP(CustomerCombinedCleaned[[#This Row],[ID]], Table4[ID], Table4[Premium], "Not Found", 0)</f>
        <v>189</v>
      </c>
      <c r="Q1194" s="16">
        <f>_xlfn.XLOOKUP(CustomerCombinedCleaned[[#This Row],[ID]], Table4[ID], Table4[Regular], "Not Found", 0)</f>
        <v>2268</v>
      </c>
      <c r="R1194" s="16">
        <f>_xlfn.XLOOKUP(CustomerCombinedCleaned[[#This Row],[ID]], Table4[ID], Table4[Deals], "Not Found", 0)</f>
        <v>4</v>
      </c>
      <c r="S1194" s="16">
        <f>_xlfn.XLOOKUP(CustomerCombinedCleaned[[#This Row],[ID]], Table4[ID], Table4[Website], "Not Found", 0)</f>
        <v>6</v>
      </c>
      <c r="T1194" s="16">
        <f>_xlfn.XLOOKUP(CustomerCombinedCleaned[[#This Row],[ID]], Table4[ID], Table4[Catalog], "Not Found", 0)</f>
        <v>4</v>
      </c>
      <c r="U1194" s="16">
        <f>_xlfn.XLOOKUP(CustomerCombinedCleaned[[#This Row],[ID]], Table4[ID], Table4[Store], "Not Found", 0)</f>
        <v>12</v>
      </c>
      <c r="V1194" s="16">
        <f>_xlfn.XLOOKUP(CustomerCombinedCleaned[[#This Row],[ID]], Table4[ID], Table4[Visits], "Not Found", 0)</f>
        <v>6</v>
      </c>
      <c r="W1194" s="16">
        <f>_xlfn.XLOOKUP(CustomerCombinedCleaned[[#This Row],[ID]], Table2[ID],Table2[Complaint], "Not Found", 0 )</f>
        <v>0</v>
      </c>
      <c r="X1194" s="16">
        <f>_xlfn.XLOOKUP(CustomerCombinedCleaned[[#This Row],[ID]], Table2[ID],Table2[Pilot], "Not Found", 0 )</f>
        <v>0</v>
      </c>
      <c r="Y1194" s="16">
        <f>_xlfn.XLOOKUP(CustomerCombinedCleaned[[#This Row],[ID]], Table2[ID],Table2[MC1], "Not Found", 0 )</f>
        <v>0</v>
      </c>
      <c r="Z1194" s="16">
        <f>_xlfn.XLOOKUP(CustomerCombinedCleaned[[#This Row],[ID]], Table2[ID],Table2[MC2], "Not Found", 0 )</f>
        <v>0</v>
      </c>
      <c r="AA1194" s="16">
        <f>_xlfn.XLOOKUP(CustomerCombinedCleaned[[#This Row],[ID]], Table2[ID],Table2[MC3], "Not Found", 0 )</f>
        <v>0</v>
      </c>
      <c r="AB1194" s="16">
        <f>_xlfn.XLOOKUP(CustomerCombinedCleaned[[#This Row],[ID]], Table2[ID],Table2[MC4], "Not Found", 0 )</f>
        <v>0</v>
      </c>
      <c r="AC1194" s="16">
        <f>_xlfn.XLOOKUP(CustomerCombinedCleaned[[#This Row],[ID]], Table2[ID],Table2[MC5], "Not Found", 0 )</f>
        <v>0</v>
      </c>
    </row>
    <row r="1195" spans="1:29" x14ac:dyDescent="0.3">
      <c r="A1195" s="18">
        <v>2375</v>
      </c>
      <c r="B1195" s="16">
        <v>151039</v>
      </c>
      <c r="C1195" s="16">
        <v>1</v>
      </c>
      <c r="D1195" s="16">
        <v>1</v>
      </c>
      <c r="E1195" s="16">
        <v>51</v>
      </c>
      <c r="F1195" s="17" t="s">
        <v>6</v>
      </c>
      <c r="G1195" s="17" t="s">
        <v>13</v>
      </c>
      <c r="H1195" s="3" t="s">
        <v>348</v>
      </c>
      <c r="I1195" s="5" t="s">
        <v>434</v>
      </c>
      <c r="J1195" s="16">
        <f>_xlfn.XLOOKUP(CustomerCombinedCleaned[[#This Row],[ID]], Table4[ID], Table4[Recency], "Not Found", 0)</f>
        <v>11</v>
      </c>
      <c r="K1195" s="16">
        <f>_xlfn.XLOOKUP(CustomerCombinedCleaned[[#This Row],[ID]], Table4[ID], Table4[Teas], "Not Found", 0)</f>
        <v>296</v>
      </c>
      <c r="L1195" s="16">
        <f>_xlfn.XLOOKUP(CustomerCombinedCleaned[[#This Row],[ID]], Table4[ID], Table4[Fruits], "Not Found", 0)</f>
        <v>189</v>
      </c>
      <c r="M1195" s="16">
        <f>_xlfn.XLOOKUP(CustomerCombinedCleaned[[#This Row],[ID]], Table4[ID], Table4[Meats], "Not Found", 0)</f>
        <v>234</v>
      </c>
      <c r="N1195" s="16">
        <f>_xlfn.XLOOKUP(CustomerCombinedCleaned[[#This Row],[ID]], Table4[ID], Table4[Seafood], "Not Found", 0)</f>
        <v>192</v>
      </c>
      <c r="O1195" s="16">
        <f>_xlfn.XLOOKUP(CustomerCombinedCleaned[[#This Row],[ID]], Table4[ID], Table4[Sweets], "Not Found", 0)</f>
        <v>0</v>
      </c>
      <c r="P1195" s="16">
        <f>_xlfn.XLOOKUP(CustomerCombinedCleaned[[#This Row],[ID]], Table4[ID], Table4[Premium], "Not Found", 0)</f>
        <v>323</v>
      </c>
      <c r="Q1195" s="16">
        <f>_xlfn.XLOOKUP(CustomerCombinedCleaned[[#This Row],[ID]], Table4[ID], Table4[Regular], "Not Found", 0)</f>
        <v>589</v>
      </c>
      <c r="R1195" s="16">
        <f>_xlfn.XLOOKUP(CustomerCombinedCleaned[[#This Row],[ID]], Table4[ID], Table4[Deals], "Not Found", 0)</f>
        <v>2</v>
      </c>
      <c r="S1195" s="16">
        <f>_xlfn.XLOOKUP(CustomerCombinedCleaned[[#This Row],[ID]], Table4[ID], Table4[Website], "Not Found", 0)</f>
        <v>6</v>
      </c>
      <c r="T1195" s="16">
        <f>_xlfn.XLOOKUP(CustomerCombinedCleaned[[#This Row],[ID]], Table4[ID], Table4[Catalog], "Not Found", 0)</f>
        <v>2</v>
      </c>
      <c r="U1195" s="16">
        <f>_xlfn.XLOOKUP(CustomerCombinedCleaned[[#This Row],[ID]], Table4[ID], Table4[Store], "Not Found", 0)</f>
        <v>4</v>
      </c>
      <c r="V1195" s="16">
        <f>_xlfn.XLOOKUP(CustomerCombinedCleaned[[#This Row],[ID]], Table4[ID], Table4[Visits], "Not Found", 0)</f>
        <v>7</v>
      </c>
      <c r="W1195" s="16">
        <f>_xlfn.XLOOKUP(CustomerCombinedCleaned[[#This Row],[ID]], Table2[ID],Table2[Complaint], "Not Found", 0 )</f>
        <v>0</v>
      </c>
      <c r="X1195" s="16">
        <f>_xlfn.XLOOKUP(CustomerCombinedCleaned[[#This Row],[ID]], Table2[ID],Table2[Pilot], "Not Found", 0 )</f>
        <v>0</v>
      </c>
      <c r="Y1195" s="16">
        <f>_xlfn.XLOOKUP(CustomerCombinedCleaned[[#This Row],[ID]], Table2[ID],Table2[MC1], "Not Found", 0 )</f>
        <v>0</v>
      </c>
      <c r="Z1195" s="16">
        <f>_xlfn.XLOOKUP(CustomerCombinedCleaned[[#This Row],[ID]], Table2[ID],Table2[MC2], "Not Found", 0 )</f>
        <v>0</v>
      </c>
      <c r="AA1195" s="16">
        <f>_xlfn.XLOOKUP(CustomerCombinedCleaned[[#This Row],[ID]], Table2[ID],Table2[MC3], "Not Found", 0 )</f>
        <v>0</v>
      </c>
      <c r="AB1195" s="16">
        <f>_xlfn.XLOOKUP(CustomerCombinedCleaned[[#This Row],[ID]], Table2[ID],Table2[MC4], "Not Found", 0 )</f>
        <v>0</v>
      </c>
      <c r="AC1195" s="16">
        <f>_xlfn.XLOOKUP(CustomerCombinedCleaned[[#This Row],[ID]], Table2[ID],Table2[MC5], "Not Found", 0 )</f>
        <v>0</v>
      </c>
    </row>
    <row r="1196" spans="1:29" x14ac:dyDescent="0.3">
      <c r="A1196" s="18">
        <v>2311</v>
      </c>
      <c r="B1196" s="16">
        <v>148752</v>
      </c>
      <c r="C1196" s="16">
        <v>1</v>
      </c>
      <c r="D1196" s="16">
        <v>1</v>
      </c>
      <c r="E1196" s="16">
        <v>51</v>
      </c>
      <c r="F1196" s="17" t="s">
        <v>6</v>
      </c>
      <c r="G1196" s="17" t="s">
        <v>11</v>
      </c>
      <c r="H1196" s="3" t="s">
        <v>346</v>
      </c>
      <c r="I1196" s="5" t="s">
        <v>437</v>
      </c>
      <c r="J1196" s="16">
        <f>_xlfn.XLOOKUP(CustomerCombinedCleaned[[#This Row],[ID]], Table4[ID], Table4[Recency], "Not Found", 0)</f>
        <v>8</v>
      </c>
      <c r="K1196" s="16">
        <f>_xlfn.XLOOKUP(CustomerCombinedCleaned[[#This Row],[ID]], Table4[ID], Table4[Teas], "Not Found", 0)</f>
        <v>223</v>
      </c>
      <c r="L1196" s="16">
        <f>_xlfn.XLOOKUP(CustomerCombinedCleaned[[#This Row],[ID]], Table4[ID], Table4[Fruits], "Not Found", 0)</f>
        <v>174</v>
      </c>
      <c r="M1196" s="16">
        <f>_xlfn.XLOOKUP(CustomerCombinedCleaned[[#This Row],[ID]], Table4[ID], Table4[Meats], "Not Found", 0)</f>
        <v>305</v>
      </c>
      <c r="N1196" s="16">
        <f>_xlfn.XLOOKUP(CustomerCombinedCleaned[[#This Row],[ID]], Table4[ID], Table4[Seafood], "Not Found", 0)</f>
        <v>217</v>
      </c>
      <c r="O1196" s="16">
        <f>_xlfn.XLOOKUP(CustomerCombinedCleaned[[#This Row],[ID]], Table4[ID], Table4[Sweets], "Not Found", 0)</f>
        <v>46</v>
      </c>
      <c r="P1196" s="16">
        <f>_xlfn.XLOOKUP(CustomerCombinedCleaned[[#This Row],[ID]], Table4[ID], Table4[Premium], "Not Found", 0)</f>
        <v>0</v>
      </c>
      <c r="Q1196" s="16">
        <f>_xlfn.XLOOKUP(CustomerCombinedCleaned[[#This Row],[ID]], Table4[ID], Table4[Regular], "Not Found", 0)</f>
        <v>964</v>
      </c>
      <c r="R1196" s="16">
        <f>_xlfn.XLOOKUP(CustomerCombinedCleaned[[#This Row],[ID]], Table4[ID], Table4[Deals], "Not Found", 0)</f>
        <v>5</v>
      </c>
      <c r="S1196" s="16">
        <f>_xlfn.XLOOKUP(CustomerCombinedCleaned[[#This Row],[ID]], Table4[ID], Table4[Website], "Not Found", 0)</f>
        <v>6</v>
      </c>
      <c r="T1196" s="16">
        <f>_xlfn.XLOOKUP(CustomerCombinedCleaned[[#This Row],[ID]], Table4[ID], Table4[Catalog], "Not Found", 0)</f>
        <v>1</v>
      </c>
      <c r="U1196" s="16">
        <f>_xlfn.XLOOKUP(CustomerCombinedCleaned[[#This Row],[ID]], Table4[ID], Table4[Store], "Not Found", 0)</f>
        <v>5</v>
      </c>
      <c r="V1196" s="16">
        <f>_xlfn.XLOOKUP(CustomerCombinedCleaned[[#This Row],[ID]], Table4[ID], Table4[Visits], "Not Found", 0)</f>
        <v>9</v>
      </c>
      <c r="W1196" s="16">
        <f>_xlfn.XLOOKUP(CustomerCombinedCleaned[[#This Row],[ID]], Table2[ID],Table2[Complaint], "Not Found", 0 )</f>
        <v>0</v>
      </c>
      <c r="X1196" s="16">
        <f>_xlfn.XLOOKUP(CustomerCombinedCleaned[[#This Row],[ID]], Table2[ID],Table2[Pilot], "Not Found", 0 )</f>
        <v>1</v>
      </c>
      <c r="Y1196" s="16">
        <f>_xlfn.XLOOKUP(CustomerCombinedCleaned[[#This Row],[ID]], Table2[ID],Table2[MC1], "Not Found", 0 )</f>
        <v>0</v>
      </c>
      <c r="Z1196" s="16">
        <f>_xlfn.XLOOKUP(CustomerCombinedCleaned[[#This Row],[ID]], Table2[ID],Table2[MC2], "Not Found", 0 )</f>
        <v>0</v>
      </c>
      <c r="AA1196" s="16">
        <f>_xlfn.XLOOKUP(CustomerCombinedCleaned[[#This Row],[ID]], Table2[ID],Table2[MC3], "Not Found", 0 )</f>
        <v>0</v>
      </c>
      <c r="AB1196" s="16">
        <f>_xlfn.XLOOKUP(CustomerCombinedCleaned[[#This Row],[ID]], Table2[ID],Table2[MC4], "Not Found", 0 )</f>
        <v>0</v>
      </c>
      <c r="AC1196" s="16">
        <f>_xlfn.XLOOKUP(CustomerCombinedCleaned[[#This Row],[ID]], Table2[ID],Table2[MC5], "Not Found", 0 )</f>
        <v>0</v>
      </c>
    </row>
    <row r="1197" spans="1:29" x14ac:dyDescent="0.3">
      <c r="A1197" s="18">
        <v>1598</v>
      </c>
      <c r="B1197" s="16">
        <v>148240</v>
      </c>
      <c r="C1197" s="16">
        <v>0</v>
      </c>
      <c r="D1197" s="16">
        <v>0</v>
      </c>
      <c r="E1197" s="16">
        <v>51</v>
      </c>
      <c r="F1197" s="17" t="s">
        <v>7</v>
      </c>
      <c r="G1197" s="17" t="s">
        <v>13</v>
      </c>
      <c r="H1197" s="3" t="s">
        <v>366</v>
      </c>
      <c r="I1197" s="5" t="s">
        <v>438</v>
      </c>
      <c r="J1197" s="16">
        <f>_xlfn.XLOOKUP(CustomerCombinedCleaned[[#This Row],[ID]], Table4[ID], Table4[Recency], "Not Found", 0)</f>
        <v>73</v>
      </c>
      <c r="K1197" s="16">
        <f>_xlfn.XLOOKUP(CustomerCombinedCleaned[[#This Row],[ID]], Table4[ID], Table4[Teas], "Not Found", 0)</f>
        <v>1195</v>
      </c>
      <c r="L1197" s="16">
        <f>_xlfn.XLOOKUP(CustomerCombinedCleaned[[#This Row],[ID]], Table4[ID], Table4[Fruits], "Not Found", 0)</f>
        <v>280</v>
      </c>
      <c r="M1197" s="16">
        <f>_xlfn.XLOOKUP(CustomerCombinedCleaned[[#This Row],[ID]], Table4[ID], Table4[Meats], "Not Found", 0)</f>
        <v>762</v>
      </c>
      <c r="N1197" s="16">
        <f>_xlfn.XLOOKUP(CustomerCombinedCleaned[[#This Row],[ID]], Table4[ID], Table4[Seafood], "Not Found", 0)</f>
        <v>197</v>
      </c>
      <c r="O1197" s="16">
        <f>_xlfn.XLOOKUP(CustomerCombinedCleaned[[#This Row],[ID]], Table4[ID], Table4[Sweets], "Not Found", 0)</f>
        <v>151</v>
      </c>
      <c r="P1197" s="16">
        <f>_xlfn.XLOOKUP(CustomerCombinedCleaned[[#This Row],[ID]], Table4[ID], Table4[Premium], "Not Found", 0)</f>
        <v>126</v>
      </c>
      <c r="Q1197" s="16">
        <f>_xlfn.XLOOKUP(CustomerCombinedCleaned[[#This Row],[ID]], Table4[ID], Table4[Regular], "Not Found", 0)</f>
        <v>2458</v>
      </c>
      <c r="R1197" s="16">
        <f>_xlfn.XLOOKUP(CustomerCombinedCleaned[[#This Row],[ID]], Table4[ID], Table4[Deals], "Not Found", 0)</f>
        <v>3</v>
      </c>
      <c r="S1197" s="16">
        <f>_xlfn.XLOOKUP(CustomerCombinedCleaned[[#This Row],[ID]], Table4[ID], Table4[Website], "Not Found", 0)</f>
        <v>6</v>
      </c>
      <c r="T1197" s="16">
        <f>_xlfn.XLOOKUP(CustomerCombinedCleaned[[#This Row],[ID]], Table4[ID], Table4[Catalog], "Not Found", 0)</f>
        <v>3</v>
      </c>
      <c r="U1197" s="16">
        <f>_xlfn.XLOOKUP(CustomerCombinedCleaned[[#This Row],[ID]], Table4[ID], Table4[Store], "Not Found", 0)</f>
        <v>13</v>
      </c>
      <c r="V1197" s="16">
        <f>_xlfn.XLOOKUP(CustomerCombinedCleaned[[#This Row],[ID]], Table4[ID], Table4[Visits], "Not Found", 0)</f>
        <v>5</v>
      </c>
      <c r="W1197" s="16">
        <f>_xlfn.XLOOKUP(CustomerCombinedCleaned[[#This Row],[ID]], Table2[ID],Table2[Complaint], "Not Found", 0 )</f>
        <v>0</v>
      </c>
      <c r="X1197" s="16">
        <f>_xlfn.XLOOKUP(CustomerCombinedCleaned[[#This Row],[ID]], Table2[ID],Table2[Pilot], "Not Found", 0 )</f>
        <v>1</v>
      </c>
      <c r="Y1197" s="16">
        <f>_xlfn.XLOOKUP(CustomerCombinedCleaned[[#This Row],[ID]], Table2[ID],Table2[MC1], "Not Found", 0 )</f>
        <v>0</v>
      </c>
      <c r="Z1197" s="16">
        <f>_xlfn.XLOOKUP(CustomerCombinedCleaned[[#This Row],[ID]], Table2[ID],Table2[MC2], "Not Found", 0 )</f>
        <v>0</v>
      </c>
      <c r="AA1197" s="16">
        <f>_xlfn.XLOOKUP(CustomerCombinedCleaned[[#This Row],[ID]], Table2[ID],Table2[MC3], "Not Found", 0 )</f>
        <v>0</v>
      </c>
      <c r="AB1197" s="16">
        <f>_xlfn.XLOOKUP(CustomerCombinedCleaned[[#This Row],[ID]], Table2[ID],Table2[MC4], "Not Found", 0 )</f>
        <v>0</v>
      </c>
      <c r="AC1197" s="16">
        <f>_xlfn.XLOOKUP(CustomerCombinedCleaned[[#This Row],[ID]], Table2[ID],Table2[MC5], "Not Found", 0 )</f>
        <v>0</v>
      </c>
    </row>
    <row r="1198" spans="1:29" x14ac:dyDescent="0.3">
      <c r="A1198" s="18">
        <v>2268</v>
      </c>
      <c r="B1198" s="16">
        <v>146831</v>
      </c>
      <c r="C1198" s="16">
        <v>1</v>
      </c>
      <c r="D1198" s="16">
        <v>1</v>
      </c>
      <c r="E1198" s="16">
        <v>51</v>
      </c>
      <c r="F1198" s="17" t="s">
        <v>6</v>
      </c>
      <c r="G1198" s="17" t="s">
        <v>11</v>
      </c>
      <c r="H1198" s="3" t="s">
        <v>244</v>
      </c>
      <c r="I1198" s="5" t="s">
        <v>436</v>
      </c>
      <c r="J1198" s="16">
        <f>_xlfn.XLOOKUP(CustomerCombinedCleaned[[#This Row],[ID]], Table4[ID], Table4[Recency], "Not Found", 0)</f>
        <v>84</v>
      </c>
      <c r="K1198" s="16">
        <f>_xlfn.XLOOKUP(CustomerCombinedCleaned[[#This Row],[ID]], Table4[ID], Table4[Teas], "Not Found", 0)</f>
        <v>69</v>
      </c>
      <c r="L1198" s="16">
        <f>_xlfn.XLOOKUP(CustomerCombinedCleaned[[#This Row],[ID]], Table4[ID], Table4[Fruits], "Not Found", 0)</f>
        <v>6</v>
      </c>
      <c r="M1198" s="16">
        <f>_xlfn.XLOOKUP(CustomerCombinedCleaned[[#This Row],[ID]], Table4[ID], Table4[Meats], "Not Found", 0)</f>
        <v>31</v>
      </c>
      <c r="N1198" s="16">
        <f>_xlfn.XLOOKUP(CustomerCombinedCleaned[[#This Row],[ID]], Table4[ID], Table4[Seafood], "Not Found", 0)</f>
        <v>19</v>
      </c>
      <c r="O1198" s="16">
        <f>_xlfn.XLOOKUP(CustomerCombinedCleaned[[#This Row],[ID]], Table4[ID], Table4[Sweets], "Not Found", 0)</f>
        <v>13</v>
      </c>
      <c r="P1198" s="16">
        <f>_xlfn.XLOOKUP(CustomerCombinedCleaned[[#This Row],[ID]], Table4[ID], Table4[Premium], "Not Found", 0)</f>
        <v>107</v>
      </c>
      <c r="Q1198" s="16">
        <f>_xlfn.XLOOKUP(CustomerCombinedCleaned[[#This Row],[ID]], Table4[ID], Table4[Regular], "Not Found", 0)</f>
        <v>31</v>
      </c>
      <c r="R1198" s="16">
        <f>_xlfn.XLOOKUP(CustomerCombinedCleaned[[#This Row],[ID]], Table4[ID], Table4[Deals], "Not Found", 0)</f>
        <v>2</v>
      </c>
      <c r="S1198" s="16">
        <f>_xlfn.XLOOKUP(CustomerCombinedCleaned[[#This Row],[ID]], Table4[ID], Table4[Website], "Not Found", 0)</f>
        <v>1</v>
      </c>
      <c r="T1198" s="16">
        <f>_xlfn.XLOOKUP(CustomerCombinedCleaned[[#This Row],[ID]], Table4[ID], Table4[Catalog], "Not Found", 0)</f>
        <v>2</v>
      </c>
      <c r="U1198" s="16">
        <f>_xlfn.XLOOKUP(CustomerCombinedCleaned[[#This Row],[ID]], Table4[ID], Table4[Store], "Not Found", 0)</f>
        <v>2</v>
      </c>
      <c r="V1198" s="16">
        <f>_xlfn.XLOOKUP(CustomerCombinedCleaned[[#This Row],[ID]], Table4[ID], Table4[Visits], "Not Found", 0)</f>
        <v>4</v>
      </c>
      <c r="W1198" s="16">
        <f>_xlfn.XLOOKUP(CustomerCombinedCleaned[[#This Row],[ID]], Table2[ID],Table2[Complaint], "Not Found", 0 )</f>
        <v>0</v>
      </c>
      <c r="X1198" s="16">
        <f>_xlfn.XLOOKUP(CustomerCombinedCleaned[[#This Row],[ID]], Table2[ID],Table2[Pilot], "Not Found", 0 )</f>
        <v>0</v>
      </c>
      <c r="Y1198" s="16">
        <f>_xlfn.XLOOKUP(CustomerCombinedCleaned[[#This Row],[ID]], Table2[ID],Table2[MC1], "Not Found", 0 )</f>
        <v>0</v>
      </c>
      <c r="Z1198" s="16">
        <f>_xlfn.XLOOKUP(CustomerCombinedCleaned[[#This Row],[ID]], Table2[ID],Table2[MC2], "Not Found", 0 )</f>
        <v>0</v>
      </c>
      <c r="AA1198" s="16">
        <f>_xlfn.XLOOKUP(CustomerCombinedCleaned[[#This Row],[ID]], Table2[ID],Table2[MC3], "Not Found", 0 )</f>
        <v>0</v>
      </c>
      <c r="AB1198" s="16">
        <f>_xlfn.XLOOKUP(CustomerCombinedCleaned[[#This Row],[ID]], Table2[ID],Table2[MC4], "Not Found", 0 )</f>
        <v>0</v>
      </c>
      <c r="AC1198" s="16">
        <f>_xlfn.XLOOKUP(CustomerCombinedCleaned[[#This Row],[ID]], Table2[ID],Table2[MC5], "Not Found", 0 )</f>
        <v>0</v>
      </c>
    </row>
    <row r="1199" spans="1:29" x14ac:dyDescent="0.3">
      <c r="A1199" s="18">
        <v>1842</v>
      </c>
      <c r="B1199" s="16">
        <v>144602</v>
      </c>
      <c r="C1199" s="16">
        <v>1</v>
      </c>
      <c r="D1199" s="16">
        <v>1</v>
      </c>
      <c r="E1199" s="16">
        <v>51</v>
      </c>
      <c r="F1199" s="17" t="s">
        <v>8</v>
      </c>
      <c r="G1199" s="17" t="s">
        <v>12</v>
      </c>
      <c r="H1199" s="3" t="s">
        <v>98</v>
      </c>
      <c r="I1199" s="5" t="s">
        <v>436</v>
      </c>
      <c r="J1199" s="16">
        <f>_xlfn.XLOOKUP(CustomerCombinedCleaned[[#This Row],[ID]], Table4[ID], Table4[Recency], "Not Found", 0)</f>
        <v>35</v>
      </c>
      <c r="K1199" s="16">
        <f>_xlfn.XLOOKUP(CustomerCombinedCleaned[[#This Row],[ID]], Table4[ID], Table4[Teas], "Not Found", 0)</f>
        <v>541</v>
      </c>
      <c r="L1199" s="16">
        <f>_xlfn.XLOOKUP(CustomerCombinedCleaned[[#This Row],[ID]], Table4[ID], Table4[Fruits], "Not Found", 0)</f>
        <v>6</v>
      </c>
      <c r="M1199" s="16">
        <f>_xlfn.XLOOKUP(CustomerCombinedCleaned[[#This Row],[ID]], Table4[ID], Table4[Meats], "Not Found", 0)</f>
        <v>289</v>
      </c>
      <c r="N1199" s="16">
        <f>_xlfn.XLOOKUP(CustomerCombinedCleaned[[#This Row],[ID]], Table4[ID], Table4[Seafood], "Not Found", 0)</f>
        <v>0</v>
      </c>
      <c r="O1199" s="16">
        <f>_xlfn.XLOOKUP(CustomerCombinedCleaned[[#This Row],[ID]], Table4[ID], Table4[Sweets], "Not Found", 0)</f>
        <v>0</v>
      </c>
      <c r="P1199" s="16">
        <f>_xlfn.XLOOKUP(CustomerCombinedCleaned[[#This Row],[ID]], Table4[ID], Table4[Premium], "Not Found", 0)</f>
        <v>110</v>
      </c>
      <c r="Q1199" s="16">
        <f>_xlfn.XLOOKUP(CustomerCombinedCleaned[[#This Row],[ID]], Table4[ID], Table4[Regular], "Not Found", 0)</f>
        <v>726</v>
      </c>
      <c r="R1199" s="16">
        <f>_xlfn.XLOOKUP(CustomerCombinedCleaned[[#This Row],[ID]], Table4[ID], Table4[Deals], "Not Found", 0)</f>
        <v>6</v>
      </c>
      <c r="S1199" s="16">
        <f>_xlfn.XLOOKUP(CustomerCombinedCleaned[[#This Row],[ID]], Table4[ID], Table4[Website], "Not Found", 0)</f>
        <v>6</v>
      </c>
      <c r="T1199" s="16">
        <f>_xlfn.XLOOKUP(CustomerCombinedCleaned[[#This Row],[ID]], Table4[ID], Table4[Catalog], "Not Found", 0)</f>
        <v>1</v>
      </c>
      <c r="U1199" s="16">
        <f>_xlfn.XLOOKUP(CustomerCombinedCleaned[[#This Row],[ID]], Table4[ID], Table4[Store], "Not Found", 0)</f>
        <v>4</v>
      </c>
      <c r="V1199" s="16">
        <f>_xlfn.XLOOKUP(CustomerCombinedCleaned[[#This Row],[ID]], Table4[ID], Table4[Visits], "Not Found", 0)</f>
        <v>8</v>
      </c>
      <c r="W1199" s="16">
        <f>_xlfn.XLOOKUP(CustomerCombinedCleaned[[#This Row],[ID]], Table2[ID],Table2[Complaint], "Not Found", 0 )</f>
        <v>0</v>
      </c>
      <c r="X1199" s="16">
        <f>_xlfn.XLOOKUP(CustomerCombinedCleaned[[#This Row],[ID]], Table2[ID],Table2[Pilot], "Not Found", 0 )</f>
        <v>0</v>
      </c>
      <c r="Y1199" s="16">
        <f>_xlfn.XLOOKUP(CustomerCombinedCleaned[[#This Row],[ID]], Table2[ID],Table2[MC1], "Not Found", 0 )</f>
        <v>0</v>
      </c>
      <c r="Z1199" s="16">
        <f>_xlfn.XLOOKUP(CustomerCombinedCleaned[[#This Row],[ID]], Table2[ID],Table2[MC2], "Not Found", 0 )</f>
        <v>0</v>
      </c>
      <c r="AA1199" s="16">
        <f>_xlfn.XLOOKUP(CustomerCombinedCleaned[[#This Row],[ID]], Table2[ID],Table2[MC3], "Not Found", 0 )</f>
        <v>0</v>
      </c>
      <c r="AB1199" s="16">
        <f>_xlfn.XLOOKUP(CustomerCombinedCleaned[[#This Row],[ID]], Table2[ID],Table2[MC4], "Not Found", 0 )</f>
        <v>0</v>
      </c>
      <c r="AC1199" s="16">
        <f>_xlfn.XLOOKUP(CustomerCombinedCleaned[[#This Row],[ID]], Table2[ID],Table2[MC5], "Not Found", 0 )</f>
        <v>0</v>
      </c>
    </row>
    <row r="1200" spans="1:29" x14ac:dyDescent="0.3">
      <c r="A1200" s="18">
        <v>2614</v>
      </c>
      <c r="B1200" s="16">
        <v>144078</v>
      </c>
      <c r="C1200" s="16">
        <v>1</v>
      </c>
      <c r="D1200" s="16">
        <v>1</v>
      </c>
      <c r="E1200" s="16">
        <v>51</v>
      </c>
      <c r="F1200" s="17" t="s">
        <v>6</v>
      </c>
      <c r="G1200" s="17" t="s">
        <v>11</v>
      </c>
      <c r="H1200" s="3" t="s">
        <v>30</v>
      </c>
      <c r="I1200" s="5" t="s">
        <v>439</v>
      </c>
      <c r="J1200" s="16">
        <f>_xlfn.XLOOKUP(CustomerCombinedCleaned[[#This Row],[ID]], Table4[ID], Table4[Recency], "Not Found", 0)</f>
        <v>17</v>
      </c>
      <c r="K1200" s="16">
        <f>_xlfn.XLOOKUP(CustomerCombinedCleaned[[#This Row],[ID]], Table4[ID], Table4[Teas], "Not Found", 0)</f>
        <v>78</v>
      </c>
      <c r="L1200" s="16">
        <f>_xlfn.XLOOKUP(CustomerCombinedCleaned[[#This Row],[ID]], Table4[ID], Table4[Fruits], "Not Found", 0)</f>
        <v>3</v>
      </c>
      <c r="M1200" s="16">
        <f>_xlfn.XLOOKUP(CustomerCombinedCleaned[[#This Row],[ID]], Table4[ID], Table4[Meats], "Not Found", 0)</f>
        <v>33</v>
      </c>
      <c r="N1200" s="16">
        <f>_xlfn.XLOOKUP(CustomerCombinedCleaned[[#This Row],[ID]], Table4[ID], Table4[Seafood], "Not Found", 0)</f>
        <v>7</v>
      </c>
      <c r="O1200" s="16">
        <f>_xlfn.XLOOKUP(CustomerCombinedCleaned[[#This Row],[ID]], Table4[ID], Table4[Sweets], "Not Found", 0)</f>
        <v>0</v>
      </c>
      <c r="P1200" s="16">
        <f>_xlfn.XLOOKUP(CustomerCombinedCleaned[[#This Row],[ID]], Table4[ID], Table4[Premium], "Not Found", 0)</f>
        <v>13</v>
      </c>
      <c r="Q1200" s="16">
        <f>_xlfn.XLOOKUP(CustomerCombinedCleaned[[#This Row],[ID]], Table4[ID], Table4[Regular], "Not Found", 0)</f>
        <v>108</v>
      </c>
      <c r="R1200" s="16">
        <f>_xlfn.XLOOKUP(CustomerCombinedCleaned[[#This Row],[ID]], Table4[ID], Table4[Deals], "Not Found", 0)</f>
        <v>2</v>
      </c>
      <c r="S1200" s="16">
        <f>_xlfn.XLOOKUP(CustomerCombinedCleaned[[#This Row],[ID]], Table4[ID], Table4[Website], "Not Found", 0)</f>
        <v>2</v>
      </c>
      <c r="T1200" s="16">
        <f>_xlfn.XLOOKUP(CustomerCombinedCleaned[[#This Row],[ID]], Table4[ID], Table4[Catalog], "Not Found", 0)</f>
        <v>0</v>
      </c>
      <c r="U1200" s="16">
        <f>_xlfn.XLOOKUP(CustomerCombinedCleaned[[#This Row],[ID]], Table4[ID], Table4[Store], "Not Found", 0)</f>
        <v>3</v>
      </c>
      <c r="V1200" s="16">
        <f>_xlfn.XLOOKUP(CustomerCombinedCleaned[[#This Row],[ID]], Table4[ID], Table4[Visits], "Not Found", 0)</f>
        <v>5</v>
      </c>
      <c r="W1200" s="16">
        <f>_xlfn.XLOOKUP(CustomerCombinedCleaned[[#This Row],[ID]], Table2[ID],Table2[Complaint], "Not Found", 0 )</f>
        <v>0</v>
      </c>
      <c r="X1200" s="16">
        <f>_xlfn.XLOOKUP(CustomerCombinedCleaned[[#This Row],[ID]], Table2[ID],Table2[Pilot], "Not Found", 0 )</f>
        <v>0</v>
      </c>
      <c r="Y1200" s="16">
        <f>_xlfn.XLOOKUP(CustomerCombinedCleaned[[#This Row],[ID]], Table2[ID],Table2[MC1], "Not Found", 0 )</f>
        <v>0</v>
      </c>
      <c r="Z1200" s="16">
        <f>_xlfn.XLOOKUP(CustomerCombinedCleaned[[#This Row],[ID]], Table2[ID],Table2[MC2], "Not Found", 0 )</f>
        <v>0</v>
      </c>
      <c r="AA1200" s="16">
        <f>_xlfn.XLOOKUP(CustomerCombinedCleaned[[#This Row],[ID]], Table2[ID],Table2[MC3], "Not Found", 0 )</f>
        <v>0</v>
      </c>
      <c r="AB1200" s="16">
        <f>_xlfn.XLOOKUP(CustomerCombinedCleaned[[#This Row],[ID]], Table2[ID],Table2[MC4], "Not Found", 0 )</f>
        <v>0</v>
      </c>
      <c r="AC1200" s="16">
        <f>_xlfn.XLOOKUP(CustomerCombinedCleaned[[#This Row],[ID]], Table2[ID],Table2[MC5], "Not Found", 0 )</f>
        <v>0</v>
      </c>
    </row>
    <row r="1201" spans="1:29" x14ac:dyDescent="0.3">
      <c r="A1201" s="18">
        <v>2175</v>
      </c>
      <c r="B1201" s="16">
        <v>143641</v>
      </c>
      <c r="C1201" s="16">
        <v>1</v>
      </c>
      <c r="D1201" s="16">
        <v>1</v>
      </c>
      <c r="E1201" s="16">
        <v>51</v>
      </c>
      <c r="F1201" s="17" t="s">
        <v>6</v>
      </c>
      <c r="G1201" s="17" t="s">
        <v>12</v>
      </c>
      <c r="H1201" s="3" t="s">
        <v>267</v>
      </c>
      <c r="I1201" s="5" t="s">
        <v>435</v>
      </c>
      <c r="J1201" s="16">
        <f>_xlfn.XLOOKUP(CustomerCombinedCleaned[[#This Row],[ID]], Table4[ID], Table4[Recency], "Not Found", 0)</f>
        <v>50</v>
      </c>
      <c r="K1201" s="16">
        <f>_xlfn.XLOOKUP(CustomerCombinedCleaned[[#This Row],[ID]], Table4[ID], Table4[Teas], "Not Found", 0)</f>
        <v>188</v>
      </c>
      <c r="L1201" s="16">
        <f>_xlfn.XLOOKUP(CustomerCombinedCleaned[[#This Row],[ID]], Table4[ID], Table4[Fruits], "Not Found", 0)</f>
        <v>7</v>
      </c>
      <c r="M1201" s="16">
        <f>_xlfn.XLOOKUP(CustomerCombinedCleaned[[#This Row],[ID]], Table4[ID], Table4[Meats], "Not Found", 0)</f>
        <v>168</v>
      </c>
      <c r="N1201" s="16">
        <f>_xlfn.XLOOKUP(CustomerCombinedCleaned[[#This Row],[ID]], Table4[ID], Table4[Seafood], "Not Found", 0)</f>
        <v>13</v>
      </c>
      <c r="O1201" s="16">
        <f>_xlfn.XLOOKUP(CustomerCombinedCleaned[[#This Row],[ID]], Table4[ID], Table4[Sweets], "Not Found", 0)</f>
        <v>7</v>
      </c>
      <c r="P1201" s="16">
        <f>_xlfn.XLOOKUP(CustomerCombinedCleaned[[#This Row],[ID]], Table4[ID], Table4[Premium], "Not Found", 0)</f>
        <v>76</v>
      </c>
      <c r="Q1201" s="16">
        <f>_xlfn.XLOOKUP(CustomerCombinedCleaned[[#This Row],[ID]], Table4[ID], Table4[Regular], "Not Found", 0)</f>
        <v>306</v>
      </c>
      <c r="R1201" s="16">
        <f>_xlfn.XLOOKUP(CustomerCombinedCleaned[[#This Row],[ID]], Table4[ID], Table4[Deals], "Not Found", 0)</f>
        <v>3</v>
      </c>
      <c r="S1201" s="16">
        <f>_xlfn.XLOOKUP(CustomerCombinedCleaned[[#This Row],[ID]], Table4[ID], Table4[Website], "Not Found", 0)</f>
        <v>2</v>
      </c>
      <c r="T1201" s="16">
        <f>_xlfn.XLOOKUP(CustomerCombinedCleaned[[#This Row],[ID]], Table4[ID], Table4[Catalog], "Not Found", 0)</f>
        <v>1</v>
      </c>
      <c r="U1201" s="16">
        <f>_xlfn.XLOOKUP(CustomerCombinedCleaned[[#This Row],[ID]], Table4[ID], Table4[Store], "Not Found", 0)</f>
        <v>4</v>
      </c>
      <c r="V1201" s="16">
        <f>_xlfn.XLOOKUP(CustomerCombinedCleaned[[#This Row],[ID]], Table4[ID], Table4[Visits], "Not Found", 0)</f>
        <v>6</v>
      </c>
      <c r="W1201" s="16">
        <f>_xlfn.XLOOKUP(CustomerCombinedCleaned[[#This Row],[ID]], Table2[ID],Table2[Complaint], "Not Found", 0 )</f>
        <v>0</v>
      </c>
      <c r="X1201" s="16">
        <f>_xlfn.XLOOKUP(CustomerCombinedCleaned[[#This Row],[ID]], Table2[ID],Table2[Pilot], "Not Found", 0 )</f>
        <v>0</v>
      </c>
      <c r="Y1201" s="16">
        <f>_xlfn.XLOOKUP(CustomerCombinedCleaned[[#This Row],[ID]], Table2[ID],Table2[MC1], "Not Found", 0 )</f>
        <v>0</v>
      </c>
      <c r="Z1201" s="16">
        <f>_xlfn.XLOOKUP(CustomerCombinedCleaned[[#This Row],[ID]], Table2[ID],Table2[MC2], "Not Found", 0 )</f>
        <v>0</v>
      </c>
      <c r="AA1201" s="16">
        <f>_xlfn.XLOOKUP(CustomerCombinedCleaned[[#This Row],[ID]], Table2[ID],Table2[MC3], "Not Found", 0 )</f>
        <v>0</v>
      </c>
      <c r="AB1201" s="16">
        <f>_xlfn.XLOOKUP(CustomerCombinedCleaned[[#This Row],[ID]], Table2[ID],Table2[MC4], "Not Found", 0 )</f>
        <v>0</v>
      </c>
      <c r="AC1201" s="16">
        <f>_xlfn.XLOOKUP(CustomerCombinedCleaned[[#This Row],[ID]], Table2[ID],Table2[MC5], "Not Found", 0 )</f>
        <v>0</v>
      </c>
    </row>
    <row r="1202" spans="1:29" x14ac:dyDescent="0.3">
      <c r="A1202" s="18">
        <v>1525</v>
      </c>
      <c r="B1202" s="16">
        <v>143638</v>
      </c>
      <c r="C1202" s="16">
        <v>0</v>
      </c>
      <c r="D1202" s="16">
        <v>1</v>
      </c>
      <c r="E1202" s="16">
        <v>51</v>
      </c>
      <c r="F1202" s="17" t="s">
        <v>9</v>
      </c>
      <c r="G1202" s="17" t="s">
        <v>11</v>
      </c>
      <c r="H1202" s="3" t="s">
        <v>766</v>
      </c>
      <c r="I1202" s="5" t="s">
        <v>437</v>
      </c>
      <c r="J1202" s="16">
        <f>_xlfn.XLOOKUP(CustomerCombinedCleaned[[#This Row],[ID]], Table4[ID], Table4[Recency], "Not Found", 0)</f>
        <v>37</v>
      </c>
      <c r="K1202" s="16">
        <f>_xlfn.XLOOKUP(CustomerCombinedCleaned[[#This Row],[ID]], Table4[ID], Table4[Teas], "Not Found", 0)</f>
        <v>207</v>
      </c>
      <c r="L1202" s="16">
        <f>_xlfn.XLOOKUP(CustomerCombinedCleaned[[#This Row],[ID]], Table4[ID], Table4[Fruits], "Not Found", 0)</f>
        <v>33</v>
      </c>
      <c r="M1202" s="16">
        <f>_xlfn.XLOOKUP(CustomerCombinedCleaned[[#This Row],[ID]], Table4[ID], Table4[Meats], "Not Found", 0)</f>
        <v>273</v>
      </c>
      <c r="N1202" s="16">
        <f>_xlfn.XLOOKUP(CustomerCombinedCleaned[[#This Row],[ID]], Table4[ID], Table4[Seafood], "Not Found", 0)</f>
        <v>23</v>
      </c>
      <c r="O1202" s="16">
        <f>_xlfn.XLOOKUP(CustomerCombinedCleaned[[#This Row],[ID]], Table4[ID], Table4[Sweets], "Not Found", 0)</f>
        <v>63</v>
      </c>
      <c r="P1202" s="16">
        <f>_xlfn.XLOOKUP(CustomerCombinedCleaned[[#This Row],[ID]], Table4[ID], Table4[Premium], "Not Found", 0)</f>
        <v>63</v>
      </c>
      <c r="Q1202" s="16">
        <f>_xlfn.XLOOKUP(CustomerCombinedCleaned[[#This Row],[ID]], Table4[ID], Table4[Regular], "Not Found", 0)</f>
        <v>537</v>
      </c>
      <c r="R1202" s="16">
        <f>_xlfn.XLOOKUP(CustomerCombinedCleaned[[#This Row],[ID]], Table4[ID], Table4[Deals], "Not Found", 0)</f>
        <v>2</v>
      </c>
      <c r="S1202" s="16">
        <f>_xlfn.XLOOKUP(CustomerCombinedCleaned[[#This Row],[ID]], Table4[ID], Table4[Website], "Not Found", 0)</f>
        <v>4</v>
      </c>
      <c r="T1202" s="16">
        <f>_xlfn.XLOOKUP(CustomerCombinedCleaned[[#This Row],[ID]], Table4[ID], Table4[Catalog], "Not Found", 0)</f>
        <v>1</v>
      </c>
      <c r="U1202" s="16">
        <f>_xlfn.XLOOKUP(CustomerCombinedCleaned[[#This Row],[ID]], Table4[ID], Table4[Store], "Not Found", 0)</f>
        <v>4</v>
      </c>
      <c r="V1202" s="16">
        <f>_xlfn.XLOOKUP(CustomerCombinedCleaned[[#This Row],[ID]], Table4[ID], Table4[Visits], "Not Found", 0)</f>
        <v>7</v>
      </c>
      <c r="W1202" s="16">
        <f>_xlfn.XLOOKUP(CustomerCombinedCleaned[[#This Row],[ID]], Table2[ID],Table2[Complaint], "Not Found", 0 )</f>
        <v>0</v>
      </c>
      <c r="X1202" s="16">
        <f>_xlfn.XLOOKUP(CustomerCombinedCleaned[[#This Row],[ID]], Table2[ID],Table2[Pilot], "Not Found", 0 )</f>
        <v>0</v>
      </c>
      <c r="Y1202" s="16">
        <f>_xlfn.XLOOKUP(CustomerCombinedCleaned[[#This Row],[ID]], Table2[ID],Table2[MC1], "Not Found", 0 )</f>
        <v>0</v>
      </c>
      <c r="Z1202" s="16">
        <f>_xlfn.XLOOKUP(CustomerCombinedCleaned[[#This Row],[ID]], Table2[ID],Table2[MC2], "Not Found", 0 )</f>
        <v>0</v>
      </c>
      <c r="AA1202" s="16">
        <f>_xlfn.XLOOKUP(CustomerCombinedCleaned[[#This Row],[ID]], Table2[ID],Table2[MC3], "Not Found", 0 )</f>
        <v>0</v>
      </c>
      <c r="AB1202" s="16">
        <f>_xlfn.XLOOKUP(CustomerCombinedCleaned[[#This Row],[ID]], Table2[ID],Table2[MC4], "Not Found", 0 )</f>
        <v>0</v>
      </c>
      <c r="AC1202" s="16">
        <f>_xlfn.XLOOKUP(CustomerCombinedCleaned[[#This Row],[ID]], Table2[ID],Table2[MC5], "Not Found", 0 )</f>
        <v>0</v>
      </c>
    </row>
    <row r="1203" spans="1:29" x14ac:dyDescent="0.3">
      <c r="A1203" s="18">
        <v>2388</v>
      </c>
      <c r="B1203" s="16">
        <v>143142</v>
      </c>
      <c r="C1203" s="16">
        <v>1</v>
      </c>
      <c r="D1203" s="16">
        <v>1</v>
      </c>
      <c r="E1203" s="16">
        <v>51</v>
      </c>
      <c r="F1203" s="17" t="s">
        <v>6</v>
      </c>
      <c r="G1203" s="17" t="s">
        <v>12</v>
      </c>
      <c r="H1203" s="3" t="s">
        <v>95</v>
      </c>
      <c r="I1203" s="5" t="s">
        <v>436</v>
      </c>
      <c r="J1203" s="16">
        <f>_xlfn.XLOOKUP(CustomerCombinedCleaned[[#This Row],[ID]], Table4[ID], Table4[Recency], "Not Found", 0)</f>
        <v>84</v>
      </c>
      <c r="K1203" s="16">
        <f>_xlfn.XLOOKUP(CustomerCombinedCleaned[[#This Row],[ID]], Table4[ID], Table4[Teas], "Not Found", 0)</f>
        <v>17</v>
      </c>
      <c r="L1203" s="16">
        <f>_xlfn.XLOOKUP(CustomerCombinedCleaned[[#This Row],[ID]], Table4[ID], Table4[Fruits], "Not Found", 0)</f>
        <v>3</v>
      </c>
      <c r="M1203" s="16">
        <f>_xlfn.XLOOKUP(CustomerCombinedCleaned[[#This Row],[ID]], Table4[ID], Table4[Meats], "Not Found", 0)</f>
        <v>23</v>
      </c>
      <c r="N1203" s="16">
        <f>_xlfn.XLOOKUP(CustomerCombinedCleaned[[#This Row],[ID]], Table4[ID], Table4[Seafood], "Not Found", 0)</f>
        <v>7</v>
      </c>
      <c r="O1203" s="16">
        <f>_xlfn.XLOOKUP(CustomerCombinedCleaned[[#This Row],[ID]], Table4[ID], Table4[Sweets], "Not Found", 0)</f>
        <v>3</v>
      </c>
      <c r="P1203" s="16">
        <f>_xlfn.XLOOKUP(CustomerCombinedCleaned[[#This Row],[ID]], Table4[ID], Table4[Premium], "Not Found", 0)</f>
        <v>13</v>
      </c>
      <c r="Q1203" s="16">
        <f>_xlfn.XLOOKUP(CustomerCombinedCleaned[[#This Row],[ID]], Table4[ID], Table4[Regular], "Not Found", 0)</f>
        <v>40</v>
      </c>
      <c r="R1203" s="16">
        <f>_xlfn.XLOOKUP(CustomerCombinedCleaned[[#This Row],[ID]], Table4[ID], Table4[Deals], "Not Found", 0)</f>
        <v>1</v>
      </c>
      <c r="S1203" s="16">
        <f>_xlfn.XLOOKUP(CustomerCombinedCleaned[[#This Row],[ID]], Table4[ID], Table4[Website], "Not Found", 0)</f>
        <v>1</v>
      </c>
      <c r="T1203" s="16">
        <f>_xlfn.XLOOKUP(CustomerCombinedCleaned[[#This Row],[ID]], Table4[ID], Table4[Catalog], "Not Found", 0)</f>
        <v>0</v>
      </c>
      <c r="U1203" s="16">
        <f>_xlfn.XLOOKUP(CustomerCombinedCleaned[[#This Row],[ID]], Table4[ID], Table4[Store], "Not Found", 0)</f>
        <v>2</v>
      </c>
      <c r="V1203" s="16">
        <f>_xlfn.XLOOKUP(CustomerCombinedCleaned[[#This Row],[ID]], Table4[ID], Table4[Visits], "Not Found", 0)</f>
        <v>7</v>
      </c>
      <c r="W1203" s="16">
        <f>_xlfn.XLOOKUP(CustomerCombinedCleaned[[#This Row],[ID]], Table2[ID],Table2[Complaint], "Not Found", 0 )</f>
        <v>0</v>
      </c>
      <c r="X1203" s="16">
        <f>_xlfn.XLOOKUP(CustomerCombinedCleaned[[#This Row],[ID]], Table2[ID],Table2[Pilot], "Not Found", 0 )</f>
        <v>0</v>
      </c>
      <c r="Y1203" s="16">
        <f>_xlfn.XLOOKUP(CustomerCombinedCleaned[[#This Row],[ID]], Table2[ID],Table2[MC1], "Not Found", 0 )</f>
        <v>0</v>
      </c>
      <c r="Z1203" s="16">
        <f>_xlfn.XLOOKUP(CustomerCombinedCleaned[[#This Row],[ID]], Table2[ID],Table2[MC2], "Not Found", 0 )</f>
        <v>0</v>
      </c>
      <c r="AA1203" s="16">
        <f>_xlfn.XLOOKUP(CustomerCombinedCleaned[[#This Row],[ID]], Table2[ID],Table2[MC3], "Not Found", 0 )</f>
        <v>0</v>
      </c>
      <c r="AB1203" s="16">
        <f>_xlfn.XLOOKUP(CustomerCombinedCleaned[[#This Row],[ID]], Table2[ID],Table2[MC4], "Not Found", 0 )</f>
        <v>0</v>
      </c>
      <c r="AC1203" s="16">
        <f>_xlfn.XLOOKUP(CustomerCombinedCleaned[[#This Row],[ID]], Table2[ID],Table2[MC5], "Not Found", 0 )</f>
        <v>0</v>
      </c>
    </row>
    <row r="1204" spans="1:29" x14ac:dyDescent="0.3">
      <c r="A1204" s="18">
        <v>2607</v>
      </c>
      <c r="B1204" s="16">
        <v>142731</v>
      </c>
      <c r="C1204" s="16">
        <v>1</v>
      </c>
      <c r="D1204" s="16">
        <v>0</v>
      </c>
      <c r="E1204" s="16">
        <v>51</v>
      </c>
      <c r="F1204" s="17" t="s">
        <v>8</v>
      </c>
      <c r="G1204" s="17" t="s">
        <v>13</v>
      </c>
      <c r="H1204" s="3" t="s">
        <v>161</v>
      </c>
      <c r="I1204" s="5" t="s">
        <v>435</v>
      </c>
      <c r="J1204" s="16">
        <f>_xlfn.XLOOKUP(CustomerCombinedCleaned[[#This Row],[ID]], Table4[ID], Table4[Recency], "Not Found", 0)</f>
        <v>64</v>
      </c>
      <c r="K1204" s="16">
        <f>_xlfn.XLOOKUP(CustomerCombinedCleaned[[#This Row],[ID]], Table4[ID], Table4[Teas], "Not Found", 0)</f>
        <v>531</v>
      </c>
      <c r="L1204" s="16">
        <f>_xlfn.XLOOKUP(CustomerCombinedCleaned[[#This Row],[ID]], Table4[ID], Table4[Fruits], "Not Found", 0)</f>
        <v>7</v>
      </c>
      <c r="M1204" s="16">
        <f>_xlfn.XLOOKUP(CustomerCombinedCleaned[[#This Row],[ID]], Table4[ID], Table4[Meats], "Not Found", 0)</f>
        <v>170</v>
      </c>
      <c r="N1204" s="16">
        <f>_xlfn.XLOOKUP(CustomerCombinedCleaned[[#This Row],[ID]], Table4[ID], Table4[Seafood], "Not Found", 0)</f>
        <v>20</v>
      </c>
      <c r="O1204" s="16">
        <f>_xlfn.XLOOKUP(CustomerCombinedCleaned[[#This Row],[ID]], Table4[ID], Table4[Sweets], "Not Found", 0)</f>
        <v>7</v>
      </c>
      <c r="P1204" s="16">
        <f>_xlfn.XLOOKUP(CustomerCombinedCleaned[[#This Row],[ID]], Table4[ID], Table4[Premium], "Not Found", 0)</f>
        <v>80</v>
      </c>
      <c r="Q1204" s="16">
        <f>_xlfn.XLOOKUP(CustomerCombinedCleaned[[#This Row],[ID]], Table4[ID], Table4[Regular], "Not Found", 0)</f>
        <v>655</v>
      </c>
      <c r="R1204" s="16">
        <f>_xlfn.XLOOKUP(CustomerCombinedCleaned[[#This Row],[ID]], Table4[ID], Table4[Deals], "Not Found", 0)</f>
        <v>3</v>
      </c>
      <c r="S1204" s="16">
        <f>_xlfn.XLOOKUP(CustomerCombinedCleaned[[#This Row],[ID]], Table4[ID], Table4[Website], "Not Found", 0)</f>
        <v>4</v>
      </c>
      <c r="T1204" s="16">
        <f>_xlfn.XLOOKUP(CustomerCombinedCleaned[[#This Row],[ID]], Table4[ID], Table4[Catalog], "Not Found", 0)</f>
        <v>1</v>
      </c>
      <c r="U1204" s="16">
        <f>_xlfn.XLOOKUP(CustomerCombinedCleaned[[#This Row],[ID]], Table4[ID], Table4[Store], "Not Found", 0)</f>
        <v>5</v>
      </c>
      <c r="V1204" s="16">
        <f>_xlfn.XLOOKUP(CustomerCombinedCleaned[[#This Row],[ID]], Table4[ID], Table4[Visits], "Not Found", 0)</f>
        <v>5</v>
      </c>
      <c r="W1204" s="16">
        <f>_xlfn.XLOOKUP(CustomerCombinedCleaned[[#This Row],[ID]], Table2[ID],Table2[Complaint], "Not Found", 0 )</f>
        <v>0</v>
      </c>
      <c r="X1204" s="16">
        <f>_xlfn.XLOOKUP(CustomerCombinedCleaned[[#This Row],[ID]], Table2[ID],Table2[Pilot], "Not Found", 0 )</f>
        <v>0</v>
      </c>
      <c r="Y1204" s="16">
        <f>_xlfn.XLOOKUP(CustomerCombinedCleaned[[#This Row],[ID]], Table2[ID],Table2[MC1], "Not Found", 0 )</f>
        <v>0</v>
      </c>
      <c r="Z1204" s="16">
        <f>_xlfn.XLOOKUP(CustomerCombinedCleaned[[#This Row],[ID]], Table2[ID],Table2[MC2], "Not Found", 0 )</f>
        <v>0</v>
      </c>
      <c r="AA1204" s="16">
        <f>_xlfn.XLOOKUP(CustomerCombinedCleaned[[#This Row],[ID]], Table2[ID],Table2[MC3], "Not Found", 0 )</f>
        <v>0</v>
      </c>
      <c r="AB1204" s="16">
        <f>_xlfn.XLOOKUP(CustomerCombinedCleaned[[#This Row],[ID]], Table2[ID],Table2[MC4], "Not Found", 0 )</f>
        <v>0</v>
      </c>
      <c r="AC1204" s="16">
        <f>_xlfn.XLOOKUP(CustomerCombinedCleaned[[#This Row],[ID]], Table2[ID],Table2[MC5], "Not Found", 0 )</f>
        <v>0</v>
      </c>
    </row>
    <row r="1205" spans="1:29" x14ac:dyDescent="0.3">
      <c r="A1205" s="18">
        <v>2660</v>
      </c>
      <c r="B1205" s="16">
        <v>142231</v>
      </c>
      <c r="C1205" s="16">
        <v>1</v>
      </c>
      <c r="D1205" s="16">
        <v>1</v>
      </c>
      <c r="E1205" s="16">
        <v>51</v>
      </c>
      <c r="F1205" s="17" t="s">
        <v>6</v>
      </c>
      <c r="G1205" s="17" t="s">
        <v>11</v>
      </c>
      <c r="H1205" s="3" t="s">
        <v>76</v>
      </c>
      <c r="I1205" s="5" t="s">
        <v>438</v>
      </c>
      <c r="J1205" s="16">
        <f>_xlfn.XLOOKUP(CustomerCombinedCleaned[[#This Row],[ID]], Table4[ID], Table4[Recency], "Not Found", 0)</f>
        <v>99</v>
      </c>
      <c r="K1205" s="16">
        <f>_xlfn.XLOOKUP(CustomerCombinedCleaned[[#This Row],[ID]], Table4[ID], Table4[Teas], "Not Found", 0)</f>
        <v>81</v>
      </c>
      <c r="L1205" s="16">
        <f>_xlfn.XLOOKUP(CustomerCombinedCleaned[[#This Row],[ID]], Table4[ID], Table4[Fruits], "Not Found", 0)</f>
        <v>0</v>
      </c>
      <c r="M1205" s="16">
        <f>_xlfn.XLOOKUP(CustomerCombinedCleaned[[#This Row],[ID]], Table4[ID], Table4[Meats], "Not Found", 0)</f>
        <v>27</v>
      </c>
      <c r="N1205" s="16">
        <f>_xlfn.XLOOKUP(CustomerCombinedCleaned[[#This Row],[ID]], Table4[ID], Table4[Seafood], "Not Found", 0)</f>
        <v>0</v>
      </c>
      <c r="O1205" s="16">
        <f>_xlfn.XLOOKUP(CustomerCombinedCleaned[[#This Row],[ID]], Table4[ID], Table4[Sweets], "Not Found", 0)</f>
        <v>3</v>
      </c>
      <c r="P1205" s="16">
        <f>_xlfn.XLOOKUP(CustomerCombinedCleaned[[#This Row],[ID]], Table4[ID], Table4[Premium], "Not Found", 0)</f>
        <v>13</v>
      </c>
      <c r="Q1205" s="16">
        <f>_xlfn.XLOOKUP(CustomerCombinedCleaned[[#This Row],[ID]], Table4[ID], Table4[Regular], "Not Found", 0)</f>
        <v>98</v>
      </c>
      <c r="R1205" s="16">
        <f>_xlfn.XLOOKUP(CustomerCombinedCleaned[[#This Row],[ID]], Table4[ID], Table4[Deals], "Not Found", 0)</f>
        <v>1</v>
      </c>
      <c r="S1205" s="16">
        <f>_xlfn.XLOOKUP(CustomerCombinedCleaned[[#This Row],[ID]], Table4[ID], Table4[Website], "Not Found", 0)</f>
        <v>1</v>
      </c>
      <c r="T1205" s="16">
        <f>_xlfn.XLOOKUP(CustomerCombinedCleaned[[#This Row],[ID]], Table4[ID], Table4[Catalog], "Not Found", 0)</f>
        <v>0</v>
      </c>
      <c r="U1205" s="16">
        <f>_xlfn.XLOOKUP(CustomerCombinedCleaned[[#This Row],[ID]], Table4[ID], Table4[Store], "Not Found", 0)</f>
        <v>3</v>
      </c>
      <c r="V1205" s="16">
        <f>_xlfn.XLOOKUP(CustomerCombinedCleaned[[#This Row],[ID]], Table4[ID], Table4[Visits], "Not Found", 0)</f>
        <v>5</v>
      </c>
      <c r="W1205" s="16">
        <f>_xlfn.XLOOKUP(CustomerCombinedCleaned[[#This Row],[ID]], Table2[ID],Table2[Complaint], "Not Found", 0 )</f>
        <v>0</v>
      </c>
      <c r="X1205" s="16">
        <f>_xlfn.XLOOKUP(CustomerCombinedCleaned[[#This Row],[ID]], Table2[ID],Table2[Pilot], "Not Found", 0 )</f>
        <v>0</v>
      </c>
      <c r="Y1205" s="16">
        <f>_xlfn.XLOOKUP(CustomerCombinedCleaned[[#This Row],[ID]], Table2[ID],Table2[MC1], "Not Found", 0 )</f>
        <v>0</v>
      </c>
      <c r="Z1205" s="16">
        <f>_xlfn.XLOOKUP(CustomerCombinedCleaned[[#This Row],[ID]], Table2[ID],Table2[MC2], "Not Found", 0 )</f>
        <v>0</v>
      </c>
      <c r="AA1205" s="16">
        <f>_xlfn.XLOOKUP(CustomerCombinedCleaned[[#This Row],[ID]], Table2[ID],Table2[MC3], "Not Found", 0 )</f>
        <v>0</v>
      </c>
      <c r="AB1205" s="16">
        <f>_xlfn.XLOOKUP(CustomerCombinedCleaned[[#This Row],[ID]], Table2[ID],Table2[MC4], "Not Found", 0 )</f>
        <v>0</v>
      </c>
      <c r="AC1205" s="16">
        <f>_xlfn.XLOOKUP(CustomerCombinedCleaned[[#This Row],[ID]], Table2[ID],Table2[MC5], "Not Found", 0 )</f>
        <v>0</v>
      </c>
    </row>
    <row r="1206" spans="1:29" x14ac:dyDescent="0.3">
      <c r="A1206" s="18">
        <v>1581</v>
      </c>
      <c r="B1206" s="16">
        <v>142169</v>
      </c>
      <c r="C1206" s="16">
        <v>1</v>
      </c>
      <c r="D1206" s="16">
        <v>1</v>
      </c>
      <c r="E1206" s="16">
        <v>51</v>
      </c>
      <c r="F1206" s="17" t="s">
        <v>6</v>
      </c>
      <c r="G1206" s="17" t="s">
        <v>12</v>
      </c>
      <c r="H1206" s="3" t="s">
        <v>163</v>
      </c>
      <c r="I1206" s="5" t="s">
        <v>435</v>
      </c>
      <c r="J1206" s="16">
        <f>_xlfn.XLOOKUP(CustomerCombinedCleaned[[#This Row],[ID]], Table4[ID], Table4[Recency], "Not Found", 0)</f>
        <v>20</v>
      </c>
      <c r="K1206" s="16">
        <f>_xlfn.XLOOKUP(CustomerCombinedCleaned[[#This Row],[ID]], Table4[ID], Table4[Teas], "Not Found", 0)</f>
        <v>64</v>
      </c>
      <c r="L1206" s="16">
        <f>_xlfn.XLOOKUP(CustomerCombinedCleaned[[#This Row],[ID]], Table4[ID], Table4[Fruits], "Not Found", 0)</f>
        <v>0</v>
      </c>
      <c r="M1206" s="16">
        <f>_xlfn.XLOOKUP(CustomerCombinedCleaned[[#This Row],[ID]], Table4[ID], Table4[Meats], "Not Found", 0)</f>
        <v>30</v>
      </c>
      <c r="N1206" s="16">
        <f>_xlfn.XLOOKUP(CustomerCombinedCleaned[[#This Row],[ID]], Table4[ID], Table4[Seafood], "Not Found", 0)</f>
        <v>0</v>
      </c>
      <c r="O1206" s="16">
        <f>_xlfn.XLOOKUP(CustomerCombinedCleaned[[#This Row],[ID]], Table4[ID], Table4[Sweets], "Not Found", 0)</f>
        <v>0</v>
      </c>
      <c r="P1206" s="16">
        <f>_xlfn.XLOOKUP(CustomerCombinedCleaned[[#This Row],[ID]], Table4[ID], Table4[Premium], "Not Found", 0)</f>
        <v>7</v>
      </c>
      <c r="Q1206" s="16">
        <f>_xlfn.XLOOKUP(CustomerCombinedCleaned[[#This Row],[ID]], Table4[ID], Table4[Regular], "Not Found", 0)</f>
        <v>88</v>
      </c>
      <c r="R1206" s="16">
        <f>_xlfn.XLOOKUP(CustomerCombinedCleaned[[#This Row],[ID]], Table4[ID], Table4[Deals], "Not Found", 0)</f>
        <v>2</v>
      </c>
      <c r="S1206" s="16">
        <f>_xlfn.XLOOKUP(CustomerCombinedCleaned[[#This Row],[ID]], Table4[ID], Table4[Website], "Not Found", 0)</f>
        <v>1</v>
      </c>
      <c r="T1206" s="16">
        <f>_xlfn.XLOOKUP(CustomerCombinedCleaned[[#This Row],[ID]], Table4[ID], Table4[Catalog], "Not Found", 0)</f>
        <v>0</v>
      </c>
      <c r="U1206" s="16">
        <f>_xlfn.XLOOKUP(CustomerCombinedCleaned[[#This Row],[ID]], Table4[ID], Table4[Store], "Not Found", 0)</f>
        <v>3</v>
      </c>
      <c r="V1206" s="16">
        <f>_xlfn.XLOOKUP(CustomerCombinedCleaned[[#This Row],[ID]], Table4[ID], Table4[Visits], "Not Found", 0)</f>
        <v>8</v>
      </c>
      <c r="W1206" s="16">
        <f>_xlfn.XLOOKUP(CustomerCombinedCleaned[[#This Row],[ID]], Table2[ID],Table2[Complaint], "Not Found", 0 )</f>
        <v>0</v>
      </c>
      <c r="X1206" s="16">
        <f>_xlfn.XLOOKUP(CustomerCombinedCleaned[[#This Row],[ID]], Table2[ID],Table2[Pilot], "Not Found", 0 )</f>
        <v>0</v>
      </c>
      <c r="Y1206" s="16">
        <f>_xlfn.XLOOKUP(CustomerCombinedCleaned[[#This Row],[ID]], Table2[ID],Table2[MC1], "Not Found", 0 )</f>
        <v>0</v>
      </c>
      <c r="Z1206" s="16">
        <f>_xlfn.XLOOKUP(CustomerCombinedCleaned[[#This Row],[ID]], Table2[ID],Table2[MC2], "Not Found", 0 )</f>
        <v>0</v>
      </c>
      <c r="AA1206" s="16">
        <f>_xlfn.XLOOKUP(CustomerCombinedCleaned[[#This Row],[ID]], Table2[ID],Table2[MC3], "Not Found", 0 )</f>
        <v>0</v>
      </c>
      <c r="AB1206" s="16">
        <f>_xlfn.XLOOKUP(CustomerCombinedCleaned[[#This Row],[ID]], Table2[ID],Table2[MC4], "Not Found", 0 )</f>
        <v>0</v>
      </c>
      <c r="AC1206" s="16">
        <f>_xlfn.XLOOKUP(CustomerCombinedCleaned[[#This Row],[ID]], Table2[ID],Table2[MC5], "Not Found", 0 )</f>
        <v>0</v>
      </c>
    </row>
    <row r="1207" spans="1:29" x14ac:dyDescent="0.3">
      <c r="A1207" s="18">
        <v>1943</v>
      </c>
      <c r="B1207" s="16">
        <v>141021</v>
      </c>
      <c r="C1207" s="16">
        <v>1</v>
      </c>
      <c r="D1207" s="16">
        <v>0</v>
      </c>
      <c r="E1207" s="16">
        <v>51</v>
      </c>
      <c r="F1207" s="17" t="s">
        <v>8</v>
      </c>
      <c r="G1207" s="17" t="s">
        <v>12</v>
      </c>
      <c r="H1207" s="3" t="s">
        <v>709</v>
      </c>
      <c r="I1207" s="5" t="s">
        <v>434</v>
      </c>
      <c r="J1207" s="16">
        <f>_xlfn.XLOOKUP(CustomerCombinedCleaned[[#This Row],[ID]], Table4[ID], Table4[Recency], "Not Found", 0)</f>
        <v>12</v>
      </c>
      <c r="K1207" s="16">
        <f>_xlfn.XLOOKUP(CustomerCombinedCleaned[[#This Row],[ID]], Table4[ID], Table4[Teas], "Not Found", 0)</f>
        <v>48</v>
      </c>
      <c r="L1207" s="16">
        <f>_xlfn.XLOOKUP(CustomerCombinedCleaned[[#This Row],[ID]], Table4[ID], Table4[Fruits], "Not Found", 0)</f>
        <v>24</v>
      </c>
      <c r="M1207" s="16">
        <f>_xlfn.XLOOKUP(CustomerCombinedCleaned[[#This Row],[ID]], Table4[ID], Table4[Meats], "Not Found", 0)</f>
        <v>31</v>
      </c>
      <c r="N1207" s="16">
        <f>_xlfn.XLOOKUP(CustomerCombinedCleaned[[#This Row],[ID]], Table4[ID], Table4[Seafood], "Not Found", 0)</f>
        <v>21</v>
      </c>
      <c r="O1207" s="16">
        <f>_xlfn.XLOOKUP(CustomerCombinedCleaned[[#This Row],[ID]], Table4[ID], Table4[Sweets], "Not Found", 0)</f>
        <v>55</v>
      </c>
      <c r="P1207" s="16">
        <f>_xlfn.XLOOKUP(CustomerCombinedCleaned[[#This Row],[ID]], Table4[ID], Table4[Premium], "Not Found", 0)</f>
        <v>41</v>
      </c>
      <c r="Q1207" s="16">
        <f>_xlfn.XLOOKUP(CustomerCombinedCleaned[[#This Row],[ID]], Table4[ID], Table4[Regular], "Not Found", 0)</f>
        <v>138</v>
      </c>
      <c r="R1207" s="16">
        <f>_xlfn.XLOOKUP(CustomerCombinedCleaned[[#This Row],[ID]], Table4[ID], Table4[Deals], "Not Found", 0)</f>
        <v>2</v>
      </c>
      <c r="S1207" s="16">
        <f>_xlfn.XLOOKUP(CustomerCombinedCleaned[[#This Row],[ID]], Table4[ID], Table4[Website], "Not Found", 0)</f>
        <v>2</v>
      </c>
      <c r="T1207" s="16">
        <f>_xlfn.XLOOKUP(CustomerCombinedCleaned[[#This Row],[ID]], Table4[ID], Table4[Catalog], "Not Found", 0)</f>
        <v>0</v>
      </c>
      <c r="U1207" s="16">
        <f>_xlfn.XLOOKUP(CustomerCombinedCleaned[[#This Row],[ID]], Table4[ID], Table4[Store], "Not Found", 0)</f>
        <v>3</v>
      </c>
      <c r="V1207" s="16">
        <f>_xlfn.XLOOKUP(CustomerCombinedCleaned[[#This Row],[ID]], Table4[ID], Table4[Visits], "Not Found", 0)</f>
        <v>6</v>
      </c>
      <c r="W1207" s="16">
        <f>_xlfn.XLOOKUP(CustomerCombinedCleaned[[#This Row],[ID]], Table2[ID],Table2[Complaint], "Not Found", 0 )</f>
        <v>0</v>
      </c>
      <c r="X1207" s="16">
        <f>_xlfn.XLOOKUP(CustomerCombinedCleaned[[#This Row],[ID]], Table2[ID],Table2[Pilot], "Not Found", 0 )</f>
        <v>1</v>
      </c>
      <c r="Y1207" s="16">
        <f>_xlfn.XLOOKUP(CustomerCombinedCleaned[[#This Row],[ID]], Table2[ID],Table2[MC1], "Not Found", 0 )</f>
        <v>0</v>
      </c>
      <c r="Z1207" s="16">
        <f>_xlfn.XLOOKUP(CustomerCombinedCleaned[[#This Row],[ID]], Table2[ID],Table2[MC2], "Not Found", 0 )</f>
        <v>0</v>
      </c>
      <c r="AA1207" s="16">
        <f>_xlfn.XLOOKUP(CustomerCombinedCleaned[[#This Row],[ID]], Table2[ID],Table2[MC3], "Not Found", 0 )</f>
        <v>0</v>
      </c>
      <c r="AB1207" s="16">
        <f>_xlfn.XLOOKUP(CustomerCombinedCleaned[[#This Row],[ID]], Table2[ID],Table2[MC4], "Not Found", 0 )</f>
        <v>0</v>
      </c>
      <c r="AC1207" s="16">
        <f>_xlfn.XLOOKUP(CustomerCombinedCleaned[[#This Row],[ID]], Table2[ID],Table2[MC5], "Not Found", 0 )</f>
        <v>0</v>
      </c>
    </row>
    <row r="1208" spans="1:29" x14ac:dyDescent="0.3">
      <c r="A1208" s="18">
        <v>3104</v>
      </c>
      <c r="B1208" s="16">
        <v>140590</v>
      </c>
      <c r="C1208" s="16">
        <v>1</v>
      </c>
      <c r="D1208" s="16">
        <v>1</v>
      </c>
      <c r="E1208" s="16">
        <v>51</v>
      </c>
      <c r="F1208" s="17" t="s">
        <v>9</v>
      </c>
      <c r="G1208" s="17" t="s">
        <v>11</v>
      </c>
      <c r="H1208" s="3" t="s">
        <v>673</v>
      </c>
      <c r="I1208" s="5" t="s">
        <v>438</v>
      </c>
      <c r="J1208" s="16">
        <f>_xlfn.XLOOKUP(CustomerCombinedCleaned[[#This Row],[ID]], Table4[ID], Table4[Recency], "Not Found", 0)</f>
        <v>30</v>
      </c>
      <c r="K1208" s="16">
        <f>_xlfn.XLOOKUP(CustomerCombinedCleaned[[#This Row],[ID]], Table4[ID], Table4[Teas], "Not Found", 0)</f>
        <v>533</v>
      </c>
      <c r="L1208" s="16">
        <f>_xlfn.XLOOKUP(CustomerCombinedCleaned[[#This Row],[ID]], Table4[ID], Table4[Fruits], "Not Found", 0)</f>
        <v>0</v>
      </c>
      <c r="M1208" s="16">
        <f>_xlfn.XLOOKUP(CustomerCombinedCleaned[[#This Row],[ID]], Table4[ID], Table4[Meats], "Not Found", 0)</f>
        <v>173</v>
      </c>
      <c r="N1208" s="16">
        <f>_xlfn.XLOOKUP(CustomerCombinedCleaned[[#This Row],[ID]], Table4[ID], Table4[Seafood], "Not Found", 0)</f>
        <v>21</v>
      </c>
      <c r="O1208" s="16">
        <f>_xlfn.XLOOKUP(CustomerCombinedCleaned[[#This Row],[ID]], Table4[ID], Table4[Sweets], "Not Found", 0)</f>
        <v>38</v>
      </c>
      <c r="P1208" s="16">
        <f>_xlfn.XLOOKUP(CustomerCombinedCleaned[[#This Row],[ID]], Table4[ID], Table4[Premium], "Not Found", 0)</f>
        <v>128</v>
      </c>
      <c r="Q1208" s="16">
        <f>_xlfn.XLOOKUP(CustomerCombinedCleaned[[#This Row],[ID]], Table4[ID], Table4[Regular], "Not Found", 0)</f>
        <v>637</v>
      </c>
      <c r="R1208" s="16">
        <f>_xlfn.XLOOKUP(CustomerCombinedCleaned[[#This Row],[ID]], Table4[ID], Table4[Deals], "Not Found", 0)</f>
        <v>5</v>
      </c>
      <c r="S1208" s="16">
        <f>_xlfn.XLOOKUP(CustomerCombinedCleaned[[#This Row],[ID]], Table4[ID], Table4[Website], "Not Found", 0)</f>
        <v>3</v>
      </c>
      <c r="T1208" s="16">
        <f>_xlfn.XLOOKUP(CustomerCombinedCleaned[[#This Row],[ID]], Table4[ID], Table4[Catalog], "Not Found", 0)</f>
        <v>4</v>
      </c>
      <c r="U1208" s="16">
        <f>_xlfn.XLOOKUP(CustomerCombinedCleaned[[#This Row],[ID]], Table4[ID], Table4[Store], "Not Found", 0)</f>
        <v>3</v>
      </c>
      <c r="V1208" s="16">
        <f>_xlfn.XLOOKUP(CustomerCombinedCleaned[[#This Row],[ID]], Table4[ID], Table4[Visits], "Not Found", 0)</f>
        <v>6</v>
      </c>
      <c r="W1208" s="16">
        <f>_xlfn.XLOOKUP(CustomerCombinedCleaned[[#This Row],[ID]], Table2[ID],Table2[Complaint], "Not Found", 0 )</f>
        <v>0</v>
      </c>
      <c r="X1208" s="16">
        <f>_xlfn.XLOOKUP(CustomerCombinedCleaned[[#This Row],[ID]], Table2[ID],Table2[Pilot], "Not Found", 0 )</f>
        <v>0</v>
      </c>
      <c r="Y1208" s="16">
        <f>_xlfn.XLOOKUP(CustomerCombinedCleaned[[#This Row],[ID]], Table2[ID],Table2[MC1], "Not Found", 0 )</f>
        <v>0</v>
      </c>
      <c r="Z1208" s="16">
        <f>_xlfn.XLOOKUP(CustomerCombinedCleaned[[#This Row],[ID]], Table2[ID],Table2[MC2], "Not Found", 0 )</f>
        <v>0</v>
      </c>
      <c r="AA1208" s="16">
        <f>_xlfn.XLOOKUP(CustomerCombinedCleaned[[#This Row],[ID]], Table2[ID],Table2[MC3], "Not Found", 0 )</f>
        <v>1</v>
      </c>
      <c r="AB1208" s="16">
        <f>_xlfn.XLOOKUP(CustomerCombinedCleaned[[#This Row],[ID]], Table2[ID],Table2[MC4], "Not Found", 0 )</f>
        <v>0</v>
      </c>
      <c r="AC1208" s="16">
        <f>_xlfn.XLOOKUP(CustomerCombinedCleaned[[#This Row],[ID]], Table2[ID],Table2[MC5], "Not Found", 0 )</f>
        <v>0</v>
      </c>
    </row>
    <row r="1209" spans="1:29" x14ac:dyDescent="0.3">
      <c r="A1209" s="18">
        <v>3121</v>
      </c>
      <c r="B1209" s="16">
        <v>140590</v>
      </c>
      <c r="C1209" s="16">
        <v>1</v>
      </c>
      <c r="D1209" s="16">
        <v>1</v>
      </c>
      <c r="E1209" s="16">
        <v>51</v>
      </c>
      <c r="F1209" s="17" t="s">
        <v>9</v>
      </c>
      <c r="G1209" s="17" t="s">
        <v>11</v>
      </c>
      <c r="H1209" s="3" t="s">
        <v>673</v>
      </c>
      <c r="I1209" s="5" t="s">
        <v>437</v>
      </c>
      <c r="J1209" s="16">
        <f>_xlfn.XLOOKUP(CustomerCombinedCleaned[[#This Row],[ID]], Table4[ID], Table4[Recency], "Not Found", 0)</f>
        <v>30</v>
      </c>
      <c r="K1209" s="16">
        <f>_xlfn.XLOOKUP(CustomerCombinedCleaned[[#This Row],[ID]], Table4[ID], Table4[Teas], "Not Found", 0)</f>
        <v>533</v>
      </c>
      <c r="L1209" s="16">
        <f>_xlfn.XLOOKUP(CustomerCombinedCleaned[[#This Row],[ID]], Table4[ID], Table4[Fruits], "Not Found", 0)</f>
        <v>0</v>
      </c>
      <c r="M1209" s="16">
        <f>_xlfn.XLOOKUP(CustomerCombinedCleaned[[#This Row],[ID]], Table4[ID], Table4[Meats], "Not Found", 0)</f>
        <v>173</v>
      </c>
      <c r="N1209" s="16">
        <f>_xlfn.XLOOKUP(CustomerCombinedCleaned[[#This Row],[ID]], Table4[ID], Table4[Seafood], "Not Found", 0)</f>
        <v>21</v>
      </c>
      <c r="O1209" s="16">
        <f>_xlfn.XLOOKUP(CustomerCombinedCleaned[[#This Row],[ID]], Table4[ID], Table4[Sweets], "Not Found", 0)</f>
        <v>38</v>
      </c>
      <c r="P1209" s="16">
        <f>_xlfn.XLOOKUP(CustomerCombinedCleaned[[#This Row],[ID]], Table4[ID], Table4[Premium], "Not Found", 0)</f>
        <v>128</v>
      </c>
      <c r="Q1209" s="16">
        <f>_xlfn.XLOOKUP(CustomerCombinedCleaned[[#This Row],[ID]], Table4[ID], Table4[Regular], "Not Found", 0)</f>
        <v>637</v>
      </c>
      <c r="R1209" s="16">
        <f>_xlfn.XLOOKUP(CustomerCombinedCleaned[[#This Row],[ID]], Table4[ID], Table4[Deals], "Not Found", 0)</f>
        <v>5</v>
      </c>
      <c r="S1209" s="16">
        <f>_xlfn.XLOOKUP(CustomerCombinedCleaned[[#This Row],[ID]], Table4[ID], Table4[Website], "Not Found", 0)</f>
        <v>3</v>
      </c>
      <c r="T1209" s="16">
        <f>_xlfn.XLOOKUP(CustomerCombinedCleaned[[#This Row],[ID]], Table4[ID], Table4[Catalog], "Not Found", 0)</f>
        <v>4</v>
      </c>
      <c r="U1209" s="16">
        <f>_xlfn.XLOOKUP(CustomerCombinedCleaned[[#This Row],[ID]], Table4[ID], Table4[Store], "Not Found", 0)</f>
        <v>3</v>
      </c>
      <c r="V1209" s="16">
        <f>_xlfn.XLOOKUP(CustomerCombinedCleaned[[#This Row],[ID]], Table4[ID], Table4[Visits], "Not Found", 0)</f>
        <v>6</v>
      </c>
      <c r="W1209" s="16">
        <f>_xlfn.XLOOKUP(CustomerCombinedCleaned[[#This Row],[ID]], Table2[ID],Table2[Complaint], "Not Found", 0 )</f>
        <v>0</v>
      </c>
      <c r="X1209" s="16">
        <f>_xlfn.XLOOKUP(CustomerCombinedCleaned[[#This Row],[ID]], Table2[ID],Table2[Pilot], "Not Found", 0 )</f>
        <v>0</v>
      </c>
      <c r="Y1209" s="16">
        <f>_xlfn.XLOOKUP(CustomerCombinedCleaned[[#This Row],[ID]], Table2[ID],Table2[MC1], "Not Found", 0 )</f>
        <v>0</v>
      </c>
      <c r="Z1209" s="16">
        <f>_xlfn.XLOOKUP(CustomerCombinedCleaned[[#This Row],[ID]], Table2[ID],Table2[MC2], "Not Found", 0 )</f>
        <v>0</v>
      </c>
      <c r="AA1209" s="16">
        <f>_xlfn.XLOOKUP(CustomerCombinedCleaned[[#This Row],[ID]], Table2[ID],Table2[MC3], "Not Found", 0 )</f>
        <v>1</v>
      </c>
      <c r="AB1209" s="16">
        <f>_xlfn.XLOOKUP(CustomerCombinedCleaned[[#This Row],[ID]], Table2[ID],Table2[MC4], "Not Found", 0 )</f>
        <v>0</v>
      </c>
      <c r="AC1209" s="16">
        <f>_xlfn.XLOOKUP(CustomerCombinedCleaned[[#This Row],[ID]], Table2[ID],Table2[MC5], "Not Found", 0 )</f>
        <v>0</v>
      </c>
    </row>
    <row r="1210" spans="1:29" x14ac:dyDescent="0.3">
      <c r="A1210" s="18">
        <v>1903</v>
      </c>
      <c r="B1210" s="16">
        <v>139858</v>
      </c>
      <c r="C1210" s="16">
        <v>1</v>
      </c>
      <c r="D1210" s="16">
        <v>0</v>
      </c>
      <c r="E1210" s="16">
        <v>51</v>
      </c>
      <c r="F1210" s="17" t="s">
        <v>7</v>
      </c>
      <c r="G1210" s="17" t="s">
        <v>12</v>
      </c>
      <c r="H1210" s="3" t="s">
        <v>773</v>
      </c>
      <c r="I1210" s="5" t="s">
        <v>437</v>
      </c>
      <c r="J1210" s="16">
        <f>_xlfn.XLOOKUP(CustomerCombinedCleaned[[#This Row],[ID]], Table4[ID], Table4[Recency], "Not Found", 0)</f>
        <v>67</v>
      </c>
      <c r="K1210" s="16">
        <f>_xlfn.XLOOKUP(CustomerCombinedCleaned[[#This Row],[ID]], Table4[ID], Table4[Teas], "Not Found", 0)</f>
        <v>53</v>
      </c>
      <c r="L1210" s="16">
        <f>_xlfn.XLOOKUP(CustomerCombinedCleaned[[#This Row],[ID]], Table4[ID], Table4[Fruits], "Not Found", 0)</f>
        <v>70</v>
      </c>
      <c r="M1210" s="16">
        <f>_xlfn.XLOOKUP(CustomerCombinedCleaned[[#This Row],[ID]], Table4[ID], Table4[Meats], "Not Found", 0)</f>
        <v>88</v>
      </c>
      <c r="N1210" s="16">
        <f>_xlfn.XLOOKUP(CustomerCombinedCleaned[[#This Row],[ID]], Table4[ID], Table4[Seafood], "Not Found", 0)</f>
        <v>7</v>
      </c>
      <c r="O1210" s="16">
        <f>_xlfn.XLOOKUP(CustomerCombinedCleaned[[#This Row],[ID]], Table4[ID], Table4[Sweets], "Not Found", 0)</f>
        <v>25</v>
      </c>
      <c r="P1210" s="16">
        <f>_xlfn.XLOOKUP(CustomerCombinedCleaned[[#This Row],[ID]], Table4[ID], Table4[Premium], "Not Found", 0)</f>
        <v>91</v>
      </c>
      <c r="Q1210" s="16">
        <f>_xlfn.XLOOKUP(CustomerCombinedCleaned[[#This Row],[ID]], Table4[ID], Table4[Regular], "Not Found", 0)</f>
        <v>151</v>
      </c>
      <c r="R1210" s="16">
        <f>_xlfn.XLOOKUP(CustomerCombinedCleaned[[#This Row],[ID]], Table4[ID], Table4[Deals], "Not Found", 0)</f>
        <v>1</v>
      </c>
      <c r="S1210" s="16">
        <f>_xlfn.XLOOKUP(CustomerCombinedCleaned[[#This Row],[ID]], Table4[ID], Table4[Website], "Not Found", 0)</f>
        <v>2</v>
      </c>
      <c r="T1210" s="16">
        <f>_xlfn.XLOOKUP(CustomerCombinedCleaned[[#This Row],[ID]], Table4[ID], Table4[Catalog], "Not Found", 0)</f>
        <v>0</v>
      </c>
      <c r="U1210" s="16">
        <f>_xlfn.XLOOKUP(CustomerCombinedCleaned[[#This Row],[ID]], Table4[ID], Table4[Store], "Not Found", 0)</f>
        <v>4</v>
      </c>
      <c r="V1210" s="16">
        <f>_xlfn.XLOOKUP(CustomerCombinedCleaned[[#This Row],[ID]], Table4[ID], Table4[Visits], "Not Found", 0)</f>
        <v>6</v>
      </c>
      <c r="W1210" s="16">
        <f>_xlfn.XLOOKUP(CustomerCombinedCleaned[[#This Row],[ID]], Table2[ID],Table2[Complaint], "Not Found", 0 )</f>
        <v>0</v>
      </c>
      <c r="X1210" s="16">
        <f>_xlfn.XLOOKUP(CustomerCombinedCleaned[[#This Row],[ID]], Table2[ID],Table2[Pilot], "Not Found", 0 )</f>
        <v>1</v>
      </c>
      <c r="Y1210" s="16">
        <f>_xlfn.XLOOKUP(CustomerCombinedCleaned[[#This Row],[ID]], Table2[ID],Table2[MC1], "Not Found", 0 )</f>
        <v>0</v>
      </c>
      <c r="Z1210" s="16">
        <f>_xlfn.XLOOKUP(CustomerCombinedCleaned[[#This Row],[ID]], Table2[ID],Table2[MC2], "Not Found", 0 )</f>
        <v>0</v>
      </c>
      <c r="AA1210" s="16">
        <f>_xlfn.XLOOKUP(CustomerCombinedCleaned[[#This Row],[ID]], Table2[ID],Table2[MC3], "Not Found", 0 )</f>
        <v>0</v>
      </c>
      <c r="AB1210" s="16">
        <f>_xlfn.XLOOKUP(CustomerCombinedCleaned[[#This Row],[ID]], Table2[ID],Table2[MC4], "Not Found", 0 )</f>
        <v>0</v>
      </c>
      <c r="AC1210" s="16">
        <f>_xlfn.XLOOKUP(CustomerCombinedCleaned[[#This Row],[ID]], Table2[ID],Table2[MC5], "Not Found", 0 )</f>
        <v>0</v>
      </c>
    </row>
    <row r="1211" spans="1:29" x14ac:dyDescent="0.3">
      <c r="A1211" s="18">
        <v>1278</v>
      </c>
      <c r="B1211" s="16">
        <v>138361</v>
      </c>
      <c r="C1211" s="16">
        <v>1</v>
      </c>
      <c r="D1211" s="16">
        <v>0</v>
      </c>
      <c r="E1211" s="16">
        <v>51</v>
      </c>
      <c r="F1211" s="17" t="s">
        <v>8</v>
      </c>
      <c r="G1211" s="17" t="s">
        <v>11</v>
      </c>
      <c r="H1211" s="3" t="s">
        <v>600</v>
      </c>
      <c r="I1211" s="5" t="s">
        <v>436</v>
      </c>
      <c r="J1211" s="16">
        <f>_xlfn.XLOOKUP(CustomerCombinedCleaned[[#This Row],[ID]], Table4[ID], Table4[Recency], "Not Found", 0)</f>
        <v>74</v>
      </c>
      <c r="K1211" s="16">
        <f>_xlfn.XLOOKUP(CustomerCombinedCleaned[[#This Row],[ID]], Table4[ID], Table4[Teas], "Not Found", 0)</f>
        <v>141</v>
      </c>
      <c r="L1211" s="16">
        <f>_xlfn.XLOOKUP(CustomerCombinedCleaned[[#This Row],[ID]], Table4[ID], Table4[Fruits], "Not Found", 0)</f>
        <v>0</v>
      </c>
      <c r="M1211" s="16">
        <f>_xlfn.XLOOKUP(CustomerCombinedCleaned[[#This Row],[ID]], Table4[ID], Table4[Meats], "Not Found", 0)</f>
        <v>202</v>
      </c>
      <c r="N1211" s="16">
        <f>_xlfn.XLOOKUP(CustomerCombinedCleaned[[#This Row],[ID]], Table4[ID], Table4[Seafood], "Not Found", 0)</f>
        <v>72</v>
      </c>
      <c r="O1211" s="16">
        <f>_xlfn.XLOOKUP(CustomerCombinedCleaned[[#This Row],[ID]], Table4[ID], Table4[Sweets], "Not Found", 0)</f>
        <v>29</v>
      </c>
      <c r="P1211" s="16">
        <f>_xlfn.XLOOKUP(CustomerCombinedCleaned[[#This Row],[ID]], Table4[ID], Table4[Premium], "Not Found", 0)</f>
        <v>50</v>
      </c>
      <c r="Q1211" s="16">
        <f>_xlfn.XLOOKUP(CustomerCombinedCleaned[[#This Row],[ID]], Table4[ID], Table4[Regular], "Not Found", 0)</f>
        <v>393</v>
      </c>
      <c r="R1211" s="16">
        <f>_xlfn.XLOOKUP(CustomerCombinedCleaned[[#This Row],[ID]], Table4[ID], Table4[Deals], "Not Found", 0)</f>
        <v>3</v>
      </c>
      <c r="S1211" s="16">
        <f>_xlfn.XLOOKUP(CustomerCombinedCleaned[[#This Row],[ID]], Table4[ID], Table4[Website], "Not Found", 0)</f>
        <v>3</v>
      </c>
      <c r="T1211" s="16">
        <f>_xlfn.XLOOKUP(CustomerCombinedCleaned[[#This Row],[ID]], Table4[ID], Table4[Catalog], "Not Found", 0)</f>
        <v>1</v>
      </c>
      <c r="U1211" s="16">
        <f>_xlfn.XLOOKUP(CustomerCombinedCleaned[[#This Row],[ID]], Table4[ID], Table4[Store], "Not Found", 0)</f>
        <v>3</v>
      </c>
      <c r="V1211" s="16">
        <f>_xlfn.XLOOKUP(CustomerCombinedCleaned[[#This Row],[ID]], Table4[ID], Table4[Visits], "Not Found", 0)</f>
        <v>7</v>
      </c>
      <c r="W1211" s="16">
        <f>_xlfn.XLOOKUP(CustomerCombinedCleaned[[#This Row],[ID]], Table2[ID],Table2[Complaint], "Not Found", 0 )</f>
        <v>0</v>
      </c>
      <c r="X1211" s="16">
        <f>_xlfn.XLOOKUP(CustomerCombinedCleaned[[#This Row],[ID]], Table2[ID],Table2[Pilot], "Not Found", 0 )</f>
        <v>0</v>
      </c>
      <c r="Y1211" s="16">
        <f>_xlfn.XLOOKUP(CustomerCombinedCleaned[[#This Row],[ID]], Table2[ID],Table2[MC1], "Not Found", 0 )</f>
        <v>0</v>
      </c>
      <c r="Z1211" s="16">
        <f>_xlfn.XLOOKUP(CustomerCombinedCleaned[[#This Row],[ID]], Table2[ID],Table2[MC2], "Not Found", 0 )</f>
        <v>0</v>
      </c>
      <c r="AA1211" s="16">
        <f>_xlfn.XLOOKUP(CustomerCombinedCleaned[[#This Row],[ID]], Table2[ID],Table2[MC3], "Not Found", 0 )</f>
        <v>0</v>
      </c>
      <c r="AB1211" s="16">
        <f>_xlfn.XLOOKUP(CustomerCombinedCleaned[[#This Row],[ID]], Table2[ID],Table2[MC4], "Not Found", 0 )</f>
        <v>0</v>
      </c>
      <c r="AC1211" s="16">
        <f>_xlfn.XLOOKUP(CustomerCombinedCleaned[[#This Row],[ID]], Table2[ID],Table2[MC5], "Not Found", 0 )</f>
        <v>0</v>
      </c>
    </row>
    <row r="1212" spans="1:29" x14ac:dyDescent="0.3">
      <c r="A1212" s="18">
        <v>3034</v>
      </c>
      <c r="B1212" s="16">
        <v>138361</v>
      </c>
      <c r="C1212" s="16">
        <v>1</v>
      </c>
      <c r="D1212" s="16">
        <v>0</v>
      </c>
      <c r="E1212" s="16">
        <v>51</v>
      </c>
      <c r="F1212" s="17" t="s">
        <v>8</v>
      </c>
      <c r="G1212" s="17" t="s">
        <v>11</v>
      </c>
      <c r="H1212" s="3" t="s">
        <v>600</v>
      </c>
      <c r="I1212" s="5" t="s">
        <v>439</v>
      </c>
      <c r="J1212" s="16">
        <f>_xlfn.XLOOKUP(CustomerCombinedCleaned[[#This Row],[ID]], Table4[ID], Table4[Recency], "Not Found", 0)</f>
        <v>74</v>
      </c>
      <c r="K1212" s="16">
        <f>_xlfn.XLOOKUP(CustomerCombinedCleaned[[#This Row],[ID]], Table4[ID], Table4[Teas], "Not Found", 0)</f>
        <v>141</v>
      </c>
      <c r="L1212" s="16">
        <f>_xlfn.XLOOKUP(CustomerCombinedCleaned[[#This Row],[ID]], Table4[ID], Table4[Fruits], "Not Found", 0)</f>
        <v>0</v>
      </c>
      <c r="M1212" s="16">
        <f>_xlfn.XLOOKUP(CustomerCombinedCleaned[[#This Row],[ID]], Table4[ID], Table4[Meats], "Not Found", 0)</f>
        <v>202</v>
      </c>
      <c r="N1212" s="16">
        <f>_xlfn.XLOOKUP(CustomerCombinedCleaned[[#This Row],[ID]], Table4[ID], Table4[Seafood], "Not Found", 0)</f>
        <v>72</v>
      </c>
      <c r="O1212" s="16">
        <f>_xlfn.XLOOKUP(CustomerCombinedCleaned[[#This Row],[ID]], Table4[ID], Table4[Sweets], "Not Found", 0)</f>
        <v>29</v>
      </c>
      <c r="P1212" s="16">
        <f>_xlfn.XLOOKUP(CustomerCombinedCleaned[[#This Row],[ID]], Table4[ID], Table4[Premium], "Not Found", 0)</f>
        <v>50</v>
      </c>
      <c r="Q1212" s="16">
        <f>_xlfn.XLOOKUP(CustomerCombinedCleaned[[#This Row],[ID]], Table4[ID], Table4[Regular], "Not Found", 0)</f>
        <v>393</v>
      </c>
      <c r="R1212" s="16">
        <f>_xlfn.XLOOKUP(CustomerCombinedCleaned[[#This Row],[ID]], Table4[ID], Table4[Deals], "Not Found", 0)</f>
        <v>3</v>
      </c>
      <c r="S1212" s="16">
        <f>_xlfn.XLOOKUP(CustomerCombinedCleaned[[#This Row],[ID]], Table4[ID], Table4[Website], "Not Found", 0)</f>
        <v>3</v>
      </c>
      <c r="T1212" s="16">
        <f>_xlfn.XLOOKUP(CustomerCombinedCleaned[[#This Row],[ID]], Table4[ID], Table4[Catalog], "Not Found", 0)</f>
        <v>1</v>
      </c>
      <c r="U1212" s="16">
        <f>_xlfn.XLOOKUP(CustomerCombinedCleaned[[#This Row],[ID]], Table4[ID], Table4[Store], "Not Found", 0)</f>
        <v>3</v>
      </c>
      <c r="V1212" s="16">
        <f>_xlfn.XLOOKUP(CustomerCombinedCleaned[[#This Row],[ID]], Table4[ID], Table4[Visits], "Not Found", 0)</f>
        <v>7</v>
      </c>
      <c r="W1212" s="16">
        <f>_xlfn.XLOOKUP(CustomerCombinedCleaned[[#This Row],[ID]], Table2[ID],Table2[Complaint], "Not Found", 0 )</f>
        <v>0</v>
      </c>
      <c r="X1212" s="16">
        <f>_xlfn.XLOOKUP(CustomerCombinedCleaned[[#This Row],[ID]], Table2[ID],Table2[Pilot], "Not Found", 0 )</f>
        <v>0</v>
      </c>
      <c r="Y1212" s="16">
        <f>_xlfn.XLOOKUP(CustomerCombinedCleaned[[#This Row],[ID]], Table2[ID],Table2[MC1], "Not Found", 0 )</f>
        <v>0</v>
      </c>
      <c r="Z1212" s="16">
        <f>_xlfn.XLOOKUP(CustomerCombinedCleaned[[#This Row],[ID]], Table2[ID],Table2[MC2], "Not Found", 0 )</f>
        <v>0</v>
      </c>
      <c r="AA1212" s="16">
        <f>_xlfn.XLOOKUP(CustomerCombinedCleaned[[#This Row],[ID]], Table2[ID],Table2[MC3], "Not Found", 0 )</f>
        <v>0</v>
      </c>
      <c r="AB1212" s="16">
        <f>_xlfn.XLOOKUP(CustomerCombinedCleaned[[#This Row],[ID]], Table2[ID],Table2[MC4], "Not Found", 0 )</f>
        <v>0</v>
      </c>
      <c r="AC1212" s="16">
        <f>_xlfn.XLOOKUP(CustomerCombinedCleaned[[#This Row],[ID]], Table2[ID],Table2[MC5], "Not Found", 0 )</f>
        <v>0</v>
      </c>
    </row>
    <row r="1213" spans="1:29" x14ac:dyDescent="0.3">
      <c r="A1213" s="18">
        <v>2616</v>
      </c>
      <c r="B1213" s="16">
        <v>135924</v>
      </c>
      <c r="C1213" s="16">
        <v>1</v>
      </c>
      <c r="D1213" s="16">
        <v>1</v>
      </c>
      <c r="E1213" s="16">
        <v>51</v>
      </c>
      <c r="F1213" s="17" t="s">
        <v>8</v>
      </c>
      <c r="G1213" s="17" t="s">
        <v>12</v>
      </c>
      <c r="H1213" s="3" t="s">
        <v>78</v>
      </c>
      <c r="I1213" s="5" t="s">
        <v>436</v>
      </c>
      <c r="J1213" s="16">
        <f>_xlfn.XLOOKUP(CustomerCombinedCleaned[[#This Row],[ID]], Table4[ID], Table4[Recency], "Not Found", 0)</f>
        <v>56</v>
      </c>
      <c r="K1213" s="16">
        <f>_xlfn.XLOOKUP(CustomerCombinedCleaned[[#This Row],[ID]], Table4[ID], Table4[Teas], "Not Found", 0)</f>
        <v>30</v>
      </c>
      <c r="L1213" s="16">
        <f>_xlfn.XLOOKUP(CustomerCombinedCleaned[[#This Row],[ID]], Table4[ID], Table4[Fruits], "Not Found", 0)</f>
        <v>0</v>
      </c>
      <c r="M1213" s="16">
        <f>_xlfn.XLOOKUP(CustomerCombinedCleaned[[#This Row],[ID]], Table4[ID], Table4[Meats], "Not Found", 0)</f>
        <v>53</v>
      </c>
      <c r="N1213" s="16">
        <f>_xlfn.XLOOKUP(CustomerCombinedCleaned[[#This Row],[ID]], Table4[ID], Table4[Seafood], "Not Found", 0)</f>
        <v>8</v>
      </c>
      <c r="O1213" s="16">
        <f>_xlfn.XLOOKUP(CustomerCombinedCleaned[[#This Row],[ID]], Table4[ID], Table4[Sweets], "Not Found", 0)</f>
        <v>11</v>
      </c>
      <c r="P1213" s="16">
        <f>_xlfn.XLOOKUP(CustomerCombinedCleaned[[#This Row],[ID]], Table4[ID], Table4[Premium], "Not Found", 0)</f>
        <v>26</v>
      </c>
      <c r="Q1213" s="16">
        <f>_xlfn.XLOOKUP(CustomerCombinedCleaned[[#This Row],[ID]], Table4[ID], Table4[Regular], "Not Found", 0)</f>
        <v>76</v>
      </c>
      <c r="R1213" s="16">
        <f>_xlfn.XLOOKUP(CustomerCombinedCleaned[[#This Row],[ID]], Table4[ID], Table4[Deals], "Not Found", 0)</f>
        <v>1</v>
      </c>
      <c r="S1213" s="16">
        <f>_xlfn.XLOOKUP(CustomerCombinedCleaned[[#This Row],[ID]], Table4[ID], Table4[Website], "Not Found", 0)</f>
        <v>1</v>
      </c>
      <c r="T1213" s="16">
        <f>_xlfn.XLOOKUP(CustomerCombinedCleaned[[#This Row],[ID]], Table4[ID], Table4[Catalog], "Not Found", 0)</f>
        <v>0</v>
      </c>
      <c r="U1213" s="16">
        <f>_xlfn.XLOOKUP(CustomerCombinedCleaned[[#This Row],[ID]], Table4[ID], Table4[Store], "Not Found", 0)</f>
        <v>3</v>
      </c>
      <c r="V1213" s="16">
        <f>_xlfn.XLOOKUP(CustomerCombinedCleaned[[#This Row],[ID]], Table4[ID], Table4[Visits], "Not Found", 0)</f>
        <v>5</v>
      </c>
      <c r="W1213" s="16">
        <f>_xlfn.XLOOKUP(CustomerCombinedCleaned[[#This Row],[ID]], Table2[ID],Table2[Complaint], "Not Found", 0 )</f>
        <v>0</v>
      </c>
      <c r="X1213" s="16">
        <f>_xlfn.XLOOKUP(CustomerCombinedCleaned[[#This Row],[ID]], Table2[ID],Table2[Pilot], "Not Found", 0 )</f>
        <v>0</v>
      </c>
      <c r="Y1213" s="16">
        <f>_xlfn.XLOOKUP(CustomerCombinedCleaned[[#This Row],[ID]], Table2[ID],Table2[MC1], "Not Found", 0 )</f>
        <v>0</v>
      </c>
      <c r="Z1213" s="16">
        <f>_xlfn.XLOOKUP(CustomerCombinedCleaned[[#This Row],[ID]], Table2[ID],Table2[MC2], "Not Found", 0 )</f>
        <v>0</v>
      </c>
      <c r="AA1213" s="16">
        <f>_xlfn.XLOOKUP(CustomerCombinedCleaned[[#This Row],[ID]], Table2[ID],Table2[MC3], "Not Found", 0 )</f>
        <v>0</v>
      </c>
      <c r="AB1213" s="16">
        <f>_xlfn.XLOOKUP(CustomerCombinedCleaned[[#This Row],[ID]], Table2[ID],Table2[MC4], "Not Found", 0 )</f>
        <v>0</v>
      </c>
      <c r="AC1213" s="16">
        <f>_xlfn.XLOOKUP(CustomerCombinedCleaned[[#This Row],[ID]], Table2[ID],Table2[MC5], "Not Found", 0 )</f>
        <v>0</v>
      </c>
    </row>
    <row r="1214" spans="1:29" x14ac:dyDescent="0.3">
      <c r="A1214" s="18">
        <v>1364</v>
      </c>
      <c r="B1214" s="16">
        <v>133581</v>
      </c>
      <c r="C1214" s="16">
        <v>2</v>
      </c>
      <c r="D1214" s="16">
        <v>0</v>
      </c>
      <c r="E1214" s="16">
        <v>51</v>
      </c>
      <c r="F1214" s="17" t="s">
        <v>6</v>
      </c>
      <c r="G1214" s="17" t="s">
        <v>13</v>
      </c>
      <c r="H1214" s="3" t="s">
        <v>332</v>
      </c>
      <c r="I1214" s="5" t="s">
        <v>438</v>
      </c>
      <c r="J1214" s="16">
        <f>_xlfn.XLOOKUP(CustomerCombinedCleaned[[#This Row],[ID]], Table4[ID], Table4[Recency], "Not Found", 0)</f>
        <v>38</v>
      </c>
      <c r="K1214" s="16">
        <f>_xlfn.XLOOKUP(CustomerCombinedCleaned[[#This Row],[ID]], Table4[ID], Table4[Teas], "Not Found", 0)</f>
        <v>44</v>
      </c>
      <c r="L1214" s="16">
        <f>_xlfn.XLOOKUP(CustomerCombinedCleaned[[#This Row],[ID]], Table4[ID], Table4[Fruits], "Not Found", 0)</f>
        <v>0</v>
      </c>
      <c r="M1214" s="16">
        <f>_xlfn.XLOOKUP(CustomerCombinedCleaned[[#This Row],[ID]], Table4[ID], Table4[Meats], "Not Found", 0)</f>
        <v>20</v>
      </c>
      <c r="N1214" s="16">
        <f>_xlfn.XLOOKUP(CustomerCombinedCleaned[[#This Row],[ID]], Table4[ID], Table4[Seafood], "Not Found", 0)</f>
        <v>0</v>
      </c>
      <c r="O1214" s="16">
        <f>_xlfn.XLOOKUP(CustomerCombinedCleaned[[#This Row],[ID]], Table4[ID], Table4[Sweets], "Not Found", 0)</f>
        <v>0</v>
      </c>
      <c r="P1214" s="16">
        <f>_xlfn.XLOOKUP(CustomerCombinedCleaned[[#This Row],[ID]], Table4[ID], Table4[Premium], "Not Found", 0)</f>
        <v>4</v>
      </c>
      <c r="Q1214" s="16">
        <f>_xlfn.XLOOKUP(CustomerCombinedCleaned[[#This Row],[ID]], Table4[ID], Table4[Regular], "Not Found", 0)</f>
        <v>60</v>
      </c>
      <c r="R1214" s="16">
        <f>_xlfn.XLOOKUP(CustomerCombinedCleaned[[#This Row],[ID]], Table4[ID], Table4[Deals], "Not Found", 0)</f>
        <v>1</v>
      </c>
      <c r="S1214" s="16">
        <f>_xlfn.XLOOKUP(CustomerCombinedCleaned[[#This Row],[ID]], Table4[ID], Table4[Website], "Not Found", 0)</f>
        <v>1</v>
      </c>
      <c r="T1214" s="16">
        <f>_xlfn.XLOOKUP(CustomerCombinedCleaned[[#This Row],[ID]], Table4[ID], Table4[Catalog], "Not Found", 0)</f>
        <v>0</v>
      </c>
      <c r="U1214" s="16">
        <f>_xlfn.XLOOKUP(CustomerCombinedCleaned[[#This Row],[ID]], Table4[ID], Table4[Store], "Not Found", 0)</f>
        <v>2</v>
      </c>
      <c r="V1214" s="16">
        <f>_xlfn.XLOOKUP(CustomerCombinedCleaned[[#This Row],[ID]], Table4[ID], Table4[Visits], "Not Found", 0)</f>
        <v>8</v>
      </c>
      <c r="W1214" s="16">
        <f>_xlfn.XLOOKUP(CustomerCombinedCleaned[[#This Row],[ID]], Table2[ID],Table2[Complaint], "Not Found", 0 )</f>
        <v>0</v>
      </c>
      <c r="X1214" s="16">
        <f>_xlfn.XLOOKUP(CustomerCombinedCleaned[[#This Row],[ID]], Table2[ID],Table2[Pilot], "Not Found", 0 )</f>
        <v>0</v>
      </c>
      <c r="Y1214" s="16">
        <f>_xlfn.XLOOKUP(CustomerCombinedCleaned[[#This Row],[ID]], Table2[ID],Table2[MC1], "Not Found", 0 )</f>
        <v>0</v>
      </c>
      <c r="Z1214" s="16">
        <f>_xlfn.XLOOKUP(CustomerCombinedCleaned[[#This Row],[ID]], Table2[ID],Table2[MC2], "Not Found", 0 )</f>
        <v>0</v>
      </c>
      <c r="AA1214" s="16">
        <f>_xlfn.XLOOKUP(CustomerCombinedCleaned[[#This Row],[ID]], Table2[ID],Table2[MC3], "Not Found", 0 )</f>
        <v>0</v>
      </c>
      <c r="AB1214" s="16">
        <f>_xlfn.XLOOKUP(CustomerCombinedCleaned[[#This Row],[ID]], Table2[ID],Table2[MC4], "Not Found", 0 )</f>
        <v>0</v>
      </c>
      <c r="AC1214" s="16">
        <f>_xlfn.XLOOKUP(CustomerCombinedCleaned[[#This Row],[ID]], Table2[ID],Table2[MC5], "Not Found", 0 )</f>
        <v>0</v>
      </c>
    </row>
    <row r="1215" spans="1:29" x14ac:dyDescent="0.3">
      <c r="A1215" s="18">
        <v>1363</v>
      </c>
      <c r="B1215" s="16">
        <v>130822</v>
      </c>
      <c r="C1215" s="16">
        <v>1</v>
      </c>
      <c r="D1215" s="16">
        <v>0</v>
      </c>
      <c r="E1215" s="16">
        <v>51</v>
      </c>
      <c r="F1215" s="17" t="s">
        <v>7</v>
      </c>
      <c r="G1215" s="17" t="s">
        <v>11</v>
      </c>
      <c r="H1215" s="3" t="s">
        <v>238</v>
      </c>
      <c r="I1215" s="5" t="s">
        <v>437</v>
      </c>
      <c r="J1215" s="16">
        <f>_xlfn.XLOOKUP(CustomerCombinedCleaned[[#This Row],[ID]], Table4[ID], Table4[Recency], "Not Found", 0)</f>
        <v>92</v>
      </c>
      <c r="K1215" s="16">
        <f>_xlfn.XLOOKUP(CustomerCombinedCleaned[[#This Row],[ID]], Table4[ID], Table4[Teas], "Not Found", 0)</f>
        <v>13</v>
      </c>
      <c r="L1215" s="16">
        <f>_xlfn.XLOOKUP(CustomerCombinedCleaned[[#This Row],[ID]], Table4[ID], Table4[Fruits], "Not Found", 0)</f>
        <v>38</v>
      </c>
      <c r="M1215" s="16">
        <f>_xlfn.XLOOKUP(CustomerCombinedCleaned[[#This Row],[ID]], Table4[ID], Table4[Meats], "Not Found", 0)</f>
        <v>55</v>
      </c>
      <c r="N1215" s="16">
        <f>_xlfn.XLOOKUP(CustomerCombinedCleaned[[#This Row],[ID]], Table4[ID], Table4[Seafood], "Not Found", 0)</f>
        <v>8</v>
      </c>
      <c r="O1215" s="16">
        <f>_xlfn.XLOOKUP(CustomerCombinedCleaned[[#This Row],[ID]], Table4[ID], Table4[Sweets], "Not Found", 0)</f>
        <v>51</v>
      </c>
      <c r="P1215" s="16">
        <f>_xlfn.XLOOKUP(CustomerCombinedCleaned[[#This Row],[ID]], Table4[ID], Table4[Premium], "Not Found", 0)</f>
        <v>51</v>
      </c>
      <c r="Q1215" s="16">
        <f>_xlfn.XLOOKUP(CustomerCombinedCleaned[[#This Row],[ID]], Table4[ID], Table4[Regular], "Not Found", 0)</f>
        <v>115</v>
      </c>
      <c r="R1215" s="16">
        <f>_xlfn.XLOOKUP(CustomerCombinedCleaned[[#This Row],[ID]], Table4[ID], Table4[Deals], "Not Found", 0)</f>
        <v>1</v>
      </c>
      <c r="S1215" s="16">
        <f>_xlfn.XLOOKUP(CustomerCombinedCleaned[[#This Row],[ID]], Table4[ID], Table4[Website], "Not Found", 0)</f>
        <v>1</v>
      </c>
      <c r="T1215" s="16">
        <f>_xlfn.XLOOKUP(CustomerCombinedCleaned[[#This Row],[ID]], Table4[ID], Table4[Catalog], "Not Found", 0)</f>
        <v>0</v>
      </c>
      <c r="U1215" s="16">
        <f>_xlfn.XLOOKUP(CustomerCombinedCleaned[[#This Row],[ID]], Table4[ID], Table4[Store], "Not Found", 0)</f>
        <v>3</v>
      </c>
      <c r="V1215" s="16">
        <f>_xlfn.XLOOKUP(CustomerCombinedCleaned[[#This Row],[ID]], Table4[ID], Table4[Visits], "Not Found", 0)</f>
        <v>7</v>
      </c>
      <c r="W1215" s="16">
        <f>_xlfn.XLOOKUP(CustomerCombinedCleaned[[#This Row],[ID]], Table2[ID],Table2[Complaint], "Not Found", 0 )</f>
        <v>0</v>
      </c>
      <c r="X1215" s="16">
        <f>_xlfn.XLOOKUP(CustomerCombinedCleaned[[#This Row],[ID]], Table2[ID],Table2[Pilot], "Not Found", 0 )</f>
        <v>0</v>
      </c>
      <c r="Y1215" s="16">
        <f>_xlfn.XLOOKUP(CustomerCombinedCleaned[[#This Row],[ID]], Table2[ID],Table2[MC1], "Not Found", 0 )</f>
        <v>0</v>
      </c>
      <c r="Z1215" s="16">
        <f>_xlfn.XLOOKUP(CustomerCombinedCleaned[[#This Row],[ID]], Table2[ID],Table2[MC2], "Not Found", 0 )</f>
        <v>0</v>
      </c>
      <c r="AA1215" s="16">
        <f>_xlfn.XLOOKUP(CustomerCombinedCleaned[[#This Row],[ID]], Table2[ID],Table2[MC3], "Not Found", 0 )</f>
        <v>0</v>
      </c>
      <c r="AB1215" s="16">
        <f>_xlfn.XLOOKUP(CustomerCombinedCleaned[[#This Row],[ID]], Table2[ID],Table2[MC4], "Not Found", 0 )</f>
        <v>0</v>
      </c>
      <c r="AC1215" s="16">
        <f>_xlfn.XLOOKUP(CustomerCombinedCleaned[[#This Row],[ID]], Table2[ID],Table2[MC5], "Not Found", 0 )</f>
        <v>0</v>
      </c>
    </row>
    <row r="1216" spans="1:29" x14ac:dyDescent="0.3">
      <c r="A1216" s="18">
        <v>2856</v>
      </c>
      <c r="B1216" s="16">
        <v>130396</v>
      </c>
      <c r="C1216" s="16">
        <v>1</v>
      </c>
      <c r="D1216" s="16">
        <v>0</v>
      </c>
      <c r="E1216" s="16">
        <v>51</v>
      </c>
      <c r="F1216" s="17" t="s">
        <v>6</v>
      </c>
      <c r="G1216" s="17" t="s">
        <v>13</v>
      </c>
      <c r="H1216" s="3" t="s">
        <v>617</v>
      </c>
      <c r="I1216" s="5" t="s">
        <v>436</v>
      </c>
      <c r="J1216" s="16">
        <f>_xlfn.XLOOKUP(CustomerCombinedCleaned[[#This Row],[ID]], Table4[ID], Table4[Recency], "Not Found", 0)</f>
        <v>22</v>
      </c>
      <c r="K1216" s="16">
        <f>_xlfn.XLOOKUP(CustomerCombinedCleaned[[#This Row],[ID]], Table4[ID], Table4[Teas], "Not Found", 0)</f>
        <v>64</v>
      </c>
      <c r="L1216" s="16">
        <f>_xlfn.XLOOKUP(CustomerCombinedCleaned[[#This Row],[ID]], Table4[ID], Table4[Fruits], "Not Found", 0)</f>
        <v>0</v>
      </c>
      <c r="M1216" s="16">
        <f>_xlfn.XLOOKUP(CustomerCombinedCleaned[[#This Row],[ID]], Table4[ID], Table4[Meats], "Not Found", 0)</f>
        <v>26</v>
      </c>
      <c r="N1216" s="16">
        <f>_xlfn.XLOOKUP(CustomerCombinedCleaned[[#This Row],[ID]], Table4[ID], Table4[Seafood], "Not Found", 0)</f>
        <v>0</v>
      </c>
      <c r="O1216" s="16">
        <f>_xlfn.XLOOKUP(CustomerCombinedCleaned[[#This Row],[ID]], Table4[ID], Table4[Sweets], "Not Found", 0)</f>
        <v>4</v>
      </c>
      <c r="P1216" s="16">
        <f>_xlfn.XLOOKUP(CustomerCombinedCleaned[[#This Row],[ID]], Table4[ID], Table4[Premium], "Not Found", 0)</f>
        <v>51</v>
      </c>
      <c r="Q1216" s="16">
        <f>_xlfn.XLOOKUP(CustomerCombinedCleaned[[#This Row],[ID]], Table4[ID], Table4[Regular], "Not Found", 0)</f>
        <v>43</v>
      </c>
      <c r="R1216" s="16">
        <f>_xlfn.XLOOKUP(CustomerCombinedCleaned[[#This Row],[ID]], Table4[ID], Table4[Deals], "Not Found", 0)</f>
        <v>2</v>
      </c>
      <c r="S1216" s="16">
        <f>_xlfn.XLOOKUP(CustomerCombinedCleaned[[#This Row],[ID]], Table4[ID], Table4[Website], "Not Found", 0)</f>
        <v>1</v>
      </c>
      <c r="T1216" s="16">
        <f>_xlfn.XLOOKUP(CustomerCombinedCleaned[[#This Row],[ID]], Table4[ID], Table4[Catalog], "Not Found", 0)</f>
        <v>1</v>
      </c>
      <c r="U1216" s="16">
        <f>_xlfn.XLOOKUP(CustomerCombinedCleaned[[#This Row],[ID]], Table4[ID], Table4[Store], "Not Found", 0)</f>
        <v>2</v>
      </c>
      <c r="V1216" s="16">
        <f>_xlfn.XLOOKUP(CustomerCombinedCleaned[[#This Row],[ID]], Table4[ID], Table4[Visits], "Not Found", 0)</f>
        <v>7</v>
      </c>
      <c r="W1216" s="16">
        <f>_xlfn.XLOOKUP(CustomerCombinedCleaned[[#This Row],[ID]], Table2[ID],Table2[Complaint], "Not Found", 0 )</f>
        <v>0</v>
      </c>
      <c r="X1216" s="16">
        <f>_xlfn.XLOOKUP(CustomerCombinedCleaned[[#This Row],[ID]], Table2[ID],Table2[Pilot], "Not Found", 0 )</f>
        <v>1</v>
      </c>
      <c r="Y1216" s="16">
        <f>_xlfn.XLOOKUP(CustomerCombinedCleaned[[#This Row],[ID]], Table2[ID],Table2[MC1], "Not Found", 0 )</f>
        <v>0</v>
      </c>
      <c r="Z1216" s="16">
        <f>_xlfn.XLOOKUP(CustomerCombinedCleaned[[#This Row],[ID]], Table2[ID],Table2[MC2], "Not Found", 0 )</f>
        <v>0</v>
      </c>
      <c r="AA1216" s="16">
        <f>_xlfn.XLOOKUP(CustomerCombinedCleaned[[#This Row],[ID]], Table2[ID],Table2[MC3], "Not Found", 0 )</f>
        <v>1</v>
      </c>
      <c r="AB1216" s="16">
        <f>_xlfn.XLOOKUP(CustomerCombinedCleaned[[#This Row],[ID]], Table2[ID],Table2[MC4], "Not Found", 0 )</f>
        <v>0</v>
      </c>
      <c r="AC1216" s="16">
        <f>_xlfn.XLOOKUP(CustomerCombinedCleaned[[#This Row],[ID]], Table2[ID],Table2[MC5], "Not Found", 0 )</f>
        <v>0</v>
      </c>
    </row>
    <row r="1217" spans="1:29" x14ac:dyDescent="0.3">
      <c r="A1217" s="18">
        <v>1594</v>
      </c>
      <c r="B1217" s="16">
        <v>126877</v>
      </c>
      <c r="C1217" s="16">
        <v>0</v>
      </c>
      <c r="D1217" s="16">
        <v>0</v>
      </c>
      <c r="E1217" s="16">
        <v>51</v>
      </c>
      <c r="F1217" s="17" t="s">
        <v>7</v>
      </c>
      <c r="G1217" s="17" t="s">
        <v>12</v>
      </c>
      <c r="H1217" s="3" t="s">
        <v>198</v>
      </c>
      <c r="I1217" s="5" t="s">
        <v>439</v>
      </c>
      <c r="J1217" s="16">
        <f>_xlfn.XLOOKUP(CustomerCombinedCleaned[[#This Row],[ID]], Table4[ID], Table4[Recency], "Not Found", 0)</f>
        <v>74</v>
      </c>
      <c r="K1217" s="16">
        <f>_xlfn.XLOOKUP(CustomerCombinedCleaned[[#This Row],[ID]], Table4[ID], Table4[Teas], "Not Found", 0)</f>
        <v>477</v>
      </c>
      <c r="L1217" s="16">
        <f>_xlfn.XLOOKUP(CustomerCombinedCleaned[[#This Row],[ID]], Table4[ID], Table4[Fruits], "Not Found", 0)</f>
        <v>61</v>
      </c>
      <c r="M1217" s="16">
        <f>_xlfn.XLOOKUP(CustomerCombinedCleaned[[#This Row],[ID]], Table4[ID], Table4[Meats], "Not Found", 0)</f>
        <v>359</v>
      </c>
      <c r="N1217" s="16">
        <f>_xlfn.XLOOKUP(CustomerCombinedCleaned[[#This Row],[ID]], Table4[ID], Table4[Seafood], "Not Found", 0)</f>
        <v>94</v>
      </c>
      <c r="O1217" s="16">
        <f>_xlfn.XLOOKUP(CustomerCombinedCleaned[[#This Row],[ID]], Table4[ID], Table4[Sweets], "Not Found", 0)</f>
        <v>85</v>
      </c>
      <c r="P1217" s="16">
        <f>_xlfn.XLOOKUP(CustomerCombinedCleaned[[#This Row],[ID]], Table4[ID], Table4[Premium], "Not Found", 0)</f>
        <v>189</v>
      </c>
      <c r="Q1217" s="16">
        <f>_xlfn.XLOOKUP(CustomerCombinedCleaned[[#This Row],[ID]], Table4[ID], Table4[Regular], "Not Found", 0)</f>
        <v>887</v>
      </c>
      <c r="R1217" s="16">
        <f>_xlfn.XLOOKUP(CustomerCombinedCleaned[[#This Row],[ID]], Table4[ID], Table4[Deals], "Not Found", 0)</f>
        <v>2</v>
      </c>
      <c r="S1217" s="16">
        <f>_xlfn.XLOOKUP(CustomerCombinedCleaned[[#This Row],[ID]], Table4[ID], Table4[Website], "Not Found", 0)</f>
        <v>3</v>
      </c>
      <c r="T1217" s="16">
        <f>_xlfn.XLOOKUP(CustomerCombinedCleaned[[#This Row],[ID]], Table4[ID], Table4[Catalog], "Not Found", 0)</f>
        <v>1</v>
      </c>
      <c r="U1217" s="16">
        <f>_xlfn.XLOOKUP(CustomerCombinedCleaned[[#This Row],[ID]], Table4[ID], Table4[Store], "Not Found", 0)</f>
        <v>6</v>
      </c>
      <c r="V1217" s="16">
        <f>_xlfn.XLOOKUP(CustomerCombinedCleaned[[#This Row],[ID]], Table4[ID], Table4[Visits], "Not Found", 0)</f>
        <v>6</v>
      </c>
      <c r="W1217" s="16">
        <f>_xlfn.XLOOKUP(CustomerCombinedCleaned[[#This Row],[ID]], Table2[ID],Table2[Complaint], "Not Found", 0 )</f>
        <v>0</v>
      </c>
      <c r="X1217" s="16">
        <f>_xlfn.XLOOKUP(CustomerCombinedCleaned[[#This Row],[ID]], Table2[ID],Table2[Pilot], "Not Found", 0 )</f>
        <v>0</v>
      </c>
      <c r="Y1217" s="16">
        <f>_xlfn.XLOOKUP(CustomerCombinedCleaned[[#This Row],[ID]], Table2[ID],Table2[MC1], "Not Found", 0 )</f>
        <v>0</v>
      </c>
      <c r="Z1217" s="16">
        <f>_xlfn.XLOOKUP(CustomerCombinedCleaned[[#This Row],[ID]], Table2[ID],Table2[MC2], "Not Found", 0 )</f>
        <v>0</v>
      </c>
      <c r="AA1217" s="16">
        <f>_xlfn.XLOOKUP(CustomerCombinedCleaned[[#This Row],[ID]], Table2[ID],Table2[MC3], "Not Found", 0 )</f>
        <v>0</v>
      </c>
      <c r="AB1217" s="16">
        <f>_xlfn.XLOOKUP(CustomerCombinedCleaned[[#This Row],[ID]], Table2[ID],Table2[MC4], "Not Found", 0 )</f>
        <v>0</v>
      </c>
      <c r="AC1217" s="16">
        <f>_xlfn.XLOOKUP(CustomerCombinedCleaned[[#This Row],[ID]], Table2[ID],Table2[MC5], "Not Found", 0 )</f>
        <v>0</v>
      </c>
    </row>
    <row r="1218" spans="1:29" x14ac:dyDescent="0.3">
      <c r="A1218" s="18">
        <v>1076</v>
      </c>
      <c r="B1218" s="16">
        <v>126304</v>
      </c>
      <c r="C1218" s="16">
        <v>1</v>
      </c>
      <c r="D1218" s="16">
        <v>0</v>
      </c>
      <c r="E1218" s="16">
        <v>51</v>
      </c>
      <c r="F1218" s="17" t="s">
        <v>6</v>
      </c>
      <c r="G1218" s="17" t="s">
        <v>11</v>
      </c>
      <c r="H1218" s="3" t="s">
        <v>230</v>
      </c>
      <c r="I1218" s="5" t="s">
        <v>438</v>
      </c>
      <c r="J1218" s="16">
        <f>_xlfn.XLOOKUP(CustomerCombinedCleaned[[#This Row],[ID]], Table4[ID], Table4[Recency], "Not Found", 0)</f>
        <v>5</v>
      </c>
      <c r="K1218" s="16">
        <f>_xlfn.XLOOKUP(CustomerCombinedCleaned[[#This Row],[ID]], Table4[ID], Table4[Teas], "Not Found", 0)</f>
        <v>19</v>
      </c>
      <c r="L1218" s="16">
        <f>_xlfn.XLOOKUP(CustomerCombinedCleaned[[#This Row],[ID]], Table4[ID], Table4[Fruits], "Not Found", 0)</f>
        <v>5</v>
      </c>
      <c r="M1218" s="16">
        <f>_xlfn.XLOOKUP(CustomerCombinedCleaned[[#This Row],[ID]], Table4[ID], Table4[Meats], "Not Found", 0)</f>
        <v>24</v>
      </c>
      <c r="N1218" s="16">
        <f>_xlfn.XLOOKUP(CustomerCombinedCleaned[[#This Row],[ID]], Table4[ID], Table4[Seafood], "Not Found", 0)</f>
        <v>10</v>
      </c>
      <c r="O1218" s="16">
        <f>_xlfn.XLOOKUP(CustomerCombinedCleaned[[#This Row],[ID]], Table4[ID], Table4[Sweets], "Not Found", 0)</f>
        <v>0</v>
      </c>
      <c r="P1218" s="16">
        <f>_xlfn.XLOOKUP(CustomerCombinedCleaned[[#This Row],[ID]], Table4[ID], Table4[Premium], "Not Found", 0)</f>
        <v>19</v>
      </c>
      <c r="Q1218" s="16">
        <f>_xlfn.XLOOKUP(CustomerCombinedCleaned[[#This Row],[ID]], Table4[ID], Table4[Regular], "Not Found", 0)</f>
        <v>38</v>
      </c>
      <c r="R1218" s="16">
        <f>_xlfn.XLOOKUP(CustomerCombinedCleaned[[#This Row],[ID]], Table4[ID], Table4[Deals], "Not Found", 0)</f>
        <v>1</v>
      </c>
      <c r="S1218" s="16">
        <f>_xlfn.XLOOKUP(CustomerCombinedCleaned[[#This Row],[ID]], Table4[ID], Table4[Website], "Not Found", 0)</f>
        <v>1</v>
      </c>
      <c r="T1218" s="16">
        <f>_xlfn.XLOOKUP(CustomerCombinedCleaned[[#This Row],[ID]], Table4[ID], Table4[Catalog], "Not Found", 0)</f>
        <v>0</v>
      </c>
      <c r="U1218" s="16">
        <f>_xlfn.XLOOKUP(CustomerCombinedCleaned[[#This Row],[ID]], Table4[ID], Table4[Store], "Not Found", 0)</f>
        <v>2</v>
      </c>
      <c r="V1218" s="16">
        <f>_xlfn.XLOOKUP(CustomerCombinedCleaned[[#This Row],[ID]], Table4[ID], Table4[Visits], "Not Found", 0)</f>
        <v>7</v>
      </c>
      <c r="W1218" s="16">
        <f>_xlfn.XLOOKUP(CustomerCombinedCleaned[[#This Row],[ID]], Table2[ID],Table2[Complaint], "Not Found", 0 )</f>
        <v>0</v>
      </c>
      <c r="X1218" s="16">
        <f>_xlfn.XLOOKUP(CustomerCombinedCleaned[[#This Row],[ID]], Table2[ID],Table2[Pilot], "Not Found", 0 )</f>
        <v>0</v>
      </c>
      <c r="Y1218" s="16">
        <f>_xlfn.XLOOKUP(CustomerCombinedCleaned[[#This Row],[ID]], Table2[ID],Table2[MC1], "Not Found", 0 )</f>
        <v>0</v>
      </c>
      <c r="Z1218" s="16">
        <f>_xlfn.XLOOKUP(CustomerCombinedCleaned[[#This Row],[ID]], Table2[ID],Table2[MC2], "Not Found", 0 )</f>
        <v>0</v>
      </c>
      <c r="AA1218" s="16">
        <f>_xlfn.XLOOKUP(CustomerCombinedCleaned[[#This Row],[ID]], Table2[ID],Table2[MC3], "Not Found", 0 )</f>
        <v>0</v>
      </c>
      <c r="AB1218" s="16">
        <f>_xlfn.XLOOKUP(CustomerCombinedCleaned[[#This Row],[ID]], Table2[ID],Table2[MC4], "Not Found", 0 )</f>
        <v>0</v>
      </c>
      <c r="AC1218" s="16">
        <f>_xlfn.XLOOKUP(CustomerCombinedCleaned[[#This Row],[ID]], Table2[ID],Table2[MC5], "Not Found", 0 )</f>
        <v>0</v>
      </c>
    </row>
    <row r="1219" spans="1:29" x14ac:dyDescent="0.3">
      <c r="A1219" s="18">
        <v>2800</v>
      </c>
      <c r="B1219" s="16">
        <v>125293</v>
      </c>
      <c r="C1219" s="16">
        <v>1</v>
      </c>
      <c r="D1219" s="16">
        <v>0</v>
      </c>
      <c r="E1219" s="16">
        <v>51</v>
      </c>
      <c r="F1219" s="17" t="s">
        <v>6</v>
      </c>
      <c r="G1219" s="17" t="s">
        <v>11</v>
      </c>
      <c r="H1219" s="3" t="s">
        <v>184</v>
      </c>
      <c r="I1219" s="5" t="s">
        <v>439</v>
      </c>
      <c r="J1219" s="16">
        <f>_xlfn.XLOOKUP(CustomerCombinedCleaned[[#This Row],[ID]], Table4[ID], Table4[Recency], "Not Found", 0)</f>
        <v>51</v>
      </c>
      <c r="K1219" s="16">
        <f>_xlfn.XLOOKUP(CustomerCombinedCleaned[[#This Row],[ID]], Table4[ID], Table4[Teas], "Not Found", 0)</f>
        <v>74</v>
      </c>
      <c r="L1219" s="16">
        <f>_xlfn.XLOOKUP(CustomerCombinedCleaned[[#This Row],[ID]], Table4[ID], Table4[Fruits], "Not Found", 0)</f>
        <v>0</v>
      </c>
      <c r="M1219" s="16">
        <f>_xlfn.XLOOKUP(CustomerCombinedCleaned[[#This Row],[ID]], Table4[ID], Table4[Meats], "Not Found", 0)</f>
        <v>54</v>
      </c>
      <c r="N1219" s="16">
        <f>_xlfn.XLOOKUP(CustomerCombinedCleaned[[#This Row],[ID]], Table4[ID], Table4[Seafood], "Not Found", 0)</f>
        <v>0</v>
      </c>
      <c r="O1219" s="16">
        <f>_xlfn.XLOOKUP(CustomerCombinedCleaned[[#This Row],[ID]], Table4[ID], Table4[Sweets], "Not Found", 0)</f>
        <v>10</v>
      </c>
      <c r="P1219" s="16">
        <f>_xlfn.XLOOKUP(CustomerCombinedCleaned[[#This Row],[ID]], Table4[ID], Table4[Premium], "Not Found", 0)</f>
        <v>45</v>
      </c>
      <c r="Q1219" s="16">
        <f>_xlfn.XLOOKUP(CustomerCombinedCleaned[[#This Row],[ID]], Table4[ID], Table4[Regular], "Not Found", 0)</f>
        <v>94</v>
      </c>
      <c r="R1219" s="16">
        <f>_xlfn.XLOOKUP(CustomerCombinedCleaned[[#This Row],[ID]], Table4[ID], Table4[Deals], "Not Found", 0)</f>
        <v>1</v>
      </c>
      <c r="S1219" s="16">
        <f>_xlfn.XLOOKUP(CustomerCombinedCleaned[[#This Row],[ID]], Table4[ID], Table4[Website], "Not Found", 0)</f>
        <v>1</v>
      </c>
      <c r="T1219" s="16">
        <f>_xlfn.XLOOKUP(CustomerCombinedCleaned[[#This Row],[ID]], Table4[ID], Table4[Catalog], "Not Found", 0)</f>
        <v>1</v>
      </c>
      <c r="U1219" s="16">
        <f>_xlfn.XLOOKUP(CustomerCombinedCleaned[[#This Row],[ID]], Table4[ID], Table4[Store], "Not Found", 0)</f>
        <v>2</v>
      </c>
      <c r="V1219" s="16">
        <f>_xlfn.XLOOKUP(CustomerCombinedCleaned[[#This Row],[ID]], Table4[ID], Table4[Visits], "Not Found", 0)</f>
        <v>8</v>
      </c>
      <c r="W1219" s="16">
        <f>_xlfn.XLOOKUP(CustomerCombinedCleaned[[#This Row],[ID]], Table2[ID],Table2[Complaint], "Not Found", 0 )</f>
        <v>0</v>
      </c>
      <c r="X1219" s="16">
        <f>_xlfn.XLOOKUP(CustomerCombinedCleaned[[#This Row],[ID]], Table2[ID],Table2[Pilot], "Not Found", 0 )</f>
        <v>0</v>
      </c>
      <c r="Y1219" s="16">
        <f>_xlfn.XLOOKUP(CustomerCombinedCleaned[[#This Row],[ID]], Table2[ID],Table2[MC1], "Not Found", 0 )</f>
        <v>0</v>
      </c>
      <c r="Z1219" s="16">
        <f>_xlfn.XLOOKUP(CustomerCombinedCleaned[[#This Row],[ID]], Table2[ID],Table2[MC2], "Not Found", 0 )</f>
        <v>0</v>
      </c>
      <c r="AA1219" s="16">
        <f>_xlfn.XLOOKUP(CustomerCombinedCleaned[[#This Row],[ID]], Table2[ID],Table2[MC3], "Not Found", 0 )</f>
        <v>0</v>
      </c>
      <c r="AB1219" s="16">
        <f>_xlfn.XLOOKUP(CustomerCombinedCleaned[[#This Row],[ID]], Table2[ID],Table2[MC4], "Not Found", 0 )</f>
        <v>0</v>
      </c>
      <c r="AC1219" s="16">
        <f>_xlfn.XLOOKUP(CustomerCombinedCleaned[[#This Row],[ID]], Table2[ID],Table2[MC5], "Not Found", 0 )</f>
        <v>0</v>
      </c>
    </row>
    <row r="1220" spans="1:29" x14ac:dyDescent="0.3">
      <c r="A1220" s="18">
        <v>3045</v>
      </c>
      <c r="B1220" s="16">
        <v>125293</v>
      </c>
      <c r="C1220" s="16">
        <v>1</v>
      </c>
      <c r="D1220" s="16">
        <v>0</v>
      </c>
      <c r="E1220" s="16">
        <v>51</v>
      </c>
      <c r="F1220" s="17" t="s">
        <v>6</v>
      </c>
      <c r="G1220" s="17" t="s">
        <v>11</v>
      </c>
      <c r="H1220" s="3" t="s">
        <v>184</v>
      </c>
      <c r="I1220" s="5" t="s">
        <v>435</v>
      </c>
      <c r="J1220" s="16">
        <f>_xlfn.XLOOKUP(CustomerCombinedCleaned[[#This Row],[ID]], Table4[ID], Table4[Recency], "Not Found", 0)</f>
        <v>51</v>
      </c>
      <c r="K1220" s="16">
        <f>_xlfn.XLOOKUP(CustomerCombinedCleaned[[#This Row],[ID]], Table4[ID], Table4[Teas], "Not Found", 0)</f>
        <v>74</v>
      </c>
      <c r="L1220" s="16">
        <f>_xlfn.XLOOKUP(CustomerCombinedCleaned[[#This Row],[ID]], Table4[ID], Table4[Fruits], "Not Found", 0)</f>
        <v>0</v>
      </c>
      <c r="M1220" s="16">
        <f>_xlfn.XLOOKUP(CustomerCombinedCleaned[[#This Row],[ID]], Table4[ID], Table4[Meats], "Not Found", 0)</f>
        <v>54</v>
      </c>
      <c r="N1220" s="16">
        <f>_xlfn.XLOOKUP(CustomerCombinedCleaned[[#This Row],[ID]], Table4[ID], Table4[Seafood], "Not Found", 0)</f>
        <v>0</v>
      </c>
      <c r="O1220" s="16">
        <f>_xlfn.XLOOKUP(CustomerCombinedCleaned[[#This Row],[ID]], Table4[ID], Table4[Sweets], "Not Found", 0)</f>
        <v>10</v>
      </c>
      <c r="P1220" s="16">
        <f>_xlfn.XLOOKUP(CustomerCombinedCleaned[[#This Row],[ID]], Table4[ID], Table4[Premium], "Not Found", 0)</f>
        <v>45</v>
      </c>
      <c r="Q1220" s="16">
        <f>_xlfn.XLOOKUP(CustomerCombinedCleaned[[#This Row],[ID]], Table4[ID], Table4[Regular], "Not Found", 0)</f>
        <v>94</v>
      </c>
      <c r="R1220" s="16">
        <f>_xlfn.XLOOKUP(CustomerCombinedCleaned[[#This Row],[ID]], Table4[ID], Table4[Deals], "Not Found", 0)</f>
        <v>1</v>
      </c>
      <c r="S1220" s="16">
        <f>_xlfn.XLOOKUP(CustomerCombinedCleaned[[#This Row],[ID]], Table4[ID], Table4[Website], "Not Found", 0)</f>
        <v>1</v>
      </c>
      <c r="T1220" s="16">
        <f>_xlfn.XLOOKUP(CustomerCombinedCleaned[[#This Row],[ID]], Table4[ID], Table4[Catalog], "Not Found", 0)</f>
        <v>1</v>
      </c>
      <c r="U1220" s="16">
        <f>_xlfn.XLOOKUP(CustomerCombinedCleaned[[#This Row],[ID]], Table4[ID], Table4[Store], "Not Found", 0)</f>
        <v>2</v>
      </c>
      <c r="V1220" s="16">
        <f>_xlfn.XLOOKUP(CustomerCombinedCleaned[[#This Row],[ID]], Table4[ID], Table4[Visits], "Not Found", 0)</f>
        <v>8</v>
      </c>
      <c r="W1220" s="16">
        <f>_xlfn.XLOOKUP(CustomerCombinedCleaned[[#This Row],[ID]], Table2[ID],Table2[Complaint], "Not Found", 0 )</f>
        <v>0</v>
      </c>
      <c r="X1220" s="16">
        <f>_xlfn.XLOOKUP(CustomerCombinedCleaned[[#This Row],[ID]], Table2[ID],Table2[Pilot], "Not Found", 0 )</f>
        <v>0</v>
      </c>
      <c r="Y1220" s="16">
        <f>_xlfn.XLOOKUP(CustomerCombinedCleaned[[#This Row],[ID]], Table2[ID],Table2[MC1], "Not Found", 0 )</f>
        <v>0</v>
      </c>
      <c r="Z1220" s="16">
        <f>_xlfn.XLOOKUP(CustomerCombinedCleaned[[#This Row],[ID]], Table2[ID],Table2[MC2], "Not Found", 0 )</f>
        <v>0</v>
      </c>
      <c r="AA1220" s="16">
        <f>_xlfn.XLOOKUP(CustomerCombinedCleaned[[#This Row],[ID]], Table2[ID],Table2[MC3], "Not Found", 0 )</f>
        <v>0</v>
      </c>
      <c r="AB1220" s="16">
        <f>_xlfn.XLOOKUP(CustomerCombinedCleaned[[#This Row],[ID]], Table2[ID],Table2[MC4], "Not Found", 0 )</f>
        <v>0</v>
      </c>
      <c r="AC1220" s="16">
        <f>_xlfn.XLOOKUP(CustomerCombinedCleaned[[#This Row],[ID]], Table2[ID],Table2[MC5], "Not Found", 0 )</f>
        <v>0</v>
      </c>
    </row>
    <row r="1221" spans="1:29" x14ac:dyDescent="0.3">
      <c r="A1221" s="18">
        <v>1580</v>
      </c>
      <c r="B1221" s="16">
        <v>123910</v>
      </c>
      <c r="C1221" s="16">
        <v>1</v>
      </c>
      <c r="D1221" s="16">
        <v>0</v>
      </c>
      <c r="E1221" s="16">
        <v>51</v>
      </c>
      <c r="F1221" s="17" t="s">
        <v>5</v>
      </c>
      <c r="G1221" s="17" t="s">
        <v>11</v>
      </c>
      <c r="H1221" s="3" t="s">
        <v>593</v>
      </c>
      <c r="I1221" s="5" t="s">
        <v>438</v>
      </c>
      <c r="J1221" s="16">
        <f>_xlfn.XLOOKUP(CustomerCombinedCleaned[[#This Row],[ID]], Table4[ID], Table4[Recency], "Not Found", 0)</f>
        <v>80</v>
      </c>
      <c r="K1221" s="16">
        <f>_xlfn.XLOOKUP(CustomerCombinedCleaned[[#This Row],[ID]], Table4[ID], Table4[Teas], "Not Found", 0)</f>
        <v>83</v>
      </c>
      <c r="L1221" s="16">
        <f>_xlfn.XLOOKUP(CustomerCombinedCleaned[[#This Row],[ID]], Table4[ID], Table4[Fruits], "Not Found", 0)</f>
        <v>62</v>
      </c>
      <c r="M1221" s="16">
        <f>_xlfn.XLOOKUP(CustomerCombinedCleaned[[#This Row],[ID]], Table4[ID], Table4[Meats], "Not Found", 0)</f>
        <v>93</v>
      </c>
      <c r="N1221" s="16">
        <f>_xlfn.XLOOKUP(CustomerCombinedCleaned[[#This Row],[ID]], Table4[ID], Table4[Seafood], "Not Found", 0)</f>
        <v>36</v>
      </c>
      <c r="O1221" s="16">
        <f>_xlfn.XLOOKUP(CustomerCombinedCleaned[[#This Row],[ID]], Table4[ID], Table4[Sweets], "Not Found", 0)</f>
        <v>5</v>
      </c>
      <c r="P1221" s="16">
        <f>_xlfn.XLOOKUP(CustomerCombinedCleaned[[#This Row],[ID]], Table4[ID], Table4[Premium], "Not Found", 0)</f>
        <v>67</v>
      </c>
      <c r="Q1221" s="16">
        <f>_xlfn.XLOOKUP(CustomerCombinedCleaned[[#This Row],[ID]], Table4[ID], Table4[Regular], "Not Found", 0)</f>
        <v>212</v>
      </c>
      <c r="R1221" s="16">
        <f>_xlfn.XLOOKUP(CustomerCombinedCleaned[[#This Row],[ID]], Table4[ID], Table4[Deals], "Not Found", 0)</f>
        <v>1</v>
      </c>
      <c r="S1221" s="16">
        <f>_xlfn.XLOOKUP(CustomerCombinedCleaned[[#This Row],[ID]], Table4[ID], Table4[Website], "Not Found", 0)</f>
        <v>2</v>
      </c>
      <c r="T1221" s="16">
        <f>_xlfn.XLOOKUP(CustomerCombinedCleaned[[#This Row],[ID]], Table4[ID], Table4[Catalog], "Not Found", 0)</f>
        <v>0</v>
      </c>
      <c r="U1221" s="16">
        <f>_xlfn.XLOOKUP(CustomerCombinedCleaned[[#This Row],[ID]], Table4[ID], Table4[Store], "Not Found", 0)</f>
        <v>3</v>
      </c>
      <c r="V1221" s="16">
        <f>_xlfn.XLOOKUP(CustomerCombinedCleaned[[#This Row],[ID]], Table4[ID], Table4[Visits], "Not Found", 0)</f>
        <v>7</v>
      </c>
      <c r="W1221" s="16">
        <f>_xlfn.XLOOKUP(CustomerCombinedCleaned[[#This Row],[ID]], Table2[ID],Table2[Complaint], "Not Found", 0 )</f>
        <v>0</v>
      </c>
      <c r="X1221" s="16">
        <f>_xlfn.XLOOKUP(CustomerCombinedCleaned[[#This Row],[ID]], Table2[ID],Table2[Pilot], "Not Found", 0 )</f>
        <v>0</v>
      </c>
      <c r="Y1221" s="16">
        <f>_xlfn.XLOOKUP(CustomerCombinedCleaned[[#This Row],[ID]], Table2[ID],Table2[MC1], "Not Found", 0 )</f>
        <v>0</v>
      </c>
      <c r="Z1221" s="16">
        <f>_xlfn.XLOOKUP(CustomerCombinedCleaned[[#This Row],[ID]], Table2[ID],Table2[MC2], "Not Found", 0 )</f>
        <v>0</v>
      </c>
      <c r="AA1221" s="16">
        <f>_xlfn.XLOOKUP(CustomerCombinedCleaned[[#This Row],[ID]], Table2[ID],Table2[MC3], "Not Found", 0 )</f>
        <v>0</v>
      </c>
      <c r="AB1221" s="16">
        <f>_xlfn.XLOOKUP(CustomerCombinedCleaned[[#This Row],[ID]], Table2[ID],Table2[MC4], "Not Found", 0 )</f>
        <v>0</v>
      </c>
      <c r="AC1221" s="16">
        <f>_xlfn.XLOOKUP(CustomerCombinedCleaned[[#This Row],[ID]], Table2[ID],Table2[MC5], "Not Found", 0 )</f>
        <v>0</v>
      </c>
    </row>
    <row r="1222" spans="1:29" x14ac:dyDescent="0.3">
      <c r="A1222" s="18">
        <v>1841</v>
      </c>
      <c r="B1222" s="16">
        <v>123228</v>
      </c>
      <c r="C1222" s="16">
        <v>1</v>
      </c>
      <c r="D1222" s="16">
        <v>0</v>
      </c>
      <c r="E1222" s="16">
        <v>51</v>
      </c>
      <c r="F1222" s="17" t="s">
        <v>8</v>
      </c>
      <c r="G1222" s="17" t="s">
        <v>11</v>
      </c>
      <c r="H1222" s="3" t="s">
        <v>643</v>
      </c>
      <c r="I1222" s="5" t="s">
        <v>434</v>
      </c>
      <c r="J1222" s="16">
        <f>_xlfn.XLOOKUP(CustomerCombinedCleaned[[#This Row],[ID]], Table4[ID], Table4[Recency], "Not Found", 0)</f>
        <v>71</v>
      </c>
      <c r="K1222" s="16">
        <f>_xlfn.XLOOKUP(CustomerCombinedCleaned[[#This Row],[ID]], Table4[ID], Table4[Teas], "Not Found", 0)</f>
        <v>69</v>
      </c>
      <c r="L1222" s="16">
        <f>_xlfn.XLOOKUP(CustomerCombinedCleaned[[#This Row],[ID]], Table4[ID], Table4[Fruits], "Not Found", 0)</f>
        <v>11</v>
      </c>
      <c r="M1222" s="16">
        <f>_xlfn.XLOOKUP(CustomerCombinedCleaned[[#This Row],[ID]], Table4[ID], Table4[Meats], "Not Found", 0)</f>
        <v>95</v>
      </c>
      <c r="N1222" s="16">
        <f>_xlfn.XLOOKUP(CustomerCombinedCleaned[[#This Row],[ID]], Table4[ID], Table4[Seafood], "Not Found", 0)</f>
        <v>32</v>
      </c>
      <c r="O1222" s="16">
        <f>_xlfn.XLOOKUP(CustomerCombinedCleaned[[#This Row],[ID]], Table4[ID], Table4[Sweets], "Not Found", 0)</f>
        <v>5</v>
      </c>
      <c r="P1222" s="16">
        <f>_xlfn.XLOOKUP(CustomerCombinedCleaned[[#This Row],[ID]], Table4[ID], Table4[Premium], "Not Found", 0)</f>
        <v>0</v>
      </c>
      <c r="Q1222" s="16">
        <f>_xlfn.XLOOKUP(CustomerCombinedCleaned[[#This Row],[ID]], Table4[ID], Table4[Regular], "Not Found", 0)</f>
        <v>212</v>
      </c>
      <c r="R1222" s="16">
        <f>_xlfn.XLOOKUP(CustomerCombinedCleaned[[#This Row],[ID]], Table4[ID], Table4[Deals], "Not Found", 0)</f>
        <v>2</v>
      </c>
      <c r="S1222" s="16">
        <f>_xlfn.XLOOKUP(CustomerCombinedCleaned[[#This Row],[ID]], Table4[ID], Table4[Website], "Not Found", 0)</f>
        <v>2</v>
      </c>
      <c r="T1222" s="16">
        <f>_xlfn.XLOOKUP(CustomerCombinedCleaned[[#This Row],[ID]], Table4[ID], Table4[Catalog], "Not Found", 0)</f>
        <v>0</v>
      </c>
      <c r="U1222" s="16">
        <f>_xlfn.XLOOKUP(CustomerCombinedCleaned[[#This Row],[ID]], Table4[ID], Table4[Store], "Not Found", 0)</f>
        <v>3</v>
      </c>
      <c r="V1222" s="16">
        <f>_xlfn.XLOOKUP(CustomerCombinedCleaned[[#This Row],[ID]], Table4[ID], Table4[Visits], "Not Found", 0)</f>
        <v>8</v>
      </c>
      <c r="W1222" s="16">
        <f>_xlfn.XLOOKUP(CustomerCombinedCleaned[[#This Row],[ID]], Table2[ID],Table2[Complaint], "Not Found", 0 )</f>
        <v>0</v>
      </c>
      <c r="X1222" s="16">
        <f>_xlfn.XLOOKUP(CustomerCombinedCleaned[[#This Row],[ID]], Table2[ID],Table2[Pilot], "Not Found", 0 )</f>
        <v>0</v>
      </c>
      <c r="Y1222" s="16">
        <f>_xlfn.XLOOKUP(CustomerCombinedCleaned[[#This Row],[ID]], Table2[ID],Table2[MC1], "Not Found", 0 )</f>
        <v>0</v>
      </c>
      <c r="Z1222" s="16">
        <f>_xlfn.XLOOKUP(CustomerCombinedCleaned[[#This Row],[ID]], Table2[ID],Table2[MC2], "Not Found", 0 )</f>
        <v>0</v>
      </c>
      <c r="AA1222" s="16">
        <f>_xlfn.XLOOKUP(CustomerCombinedCleaned[[#This Row],[ID]], Table2[ID],Table2[MC3], "Not Found", 0 )</f>
        <v>0</v>
      </c>
      <c r="AB1222" s="16">
        <f>_xlfn.XLOOKUP(CustomerCombinedCleaned[[#This Row],[ID]], Table2[ID],Table2[MC4], "Not Found", 0 )</f>
        <v>0</v>
      </c>
      <c r="AC1222" s="16">
        <f>_xlfn.XLOOKUP(CustomerCombinedCleaned[[#This Row],[ID]], Table2[ID],Table2[MC5], "Not Found", 0 )</f>
        <v>0</v>
      </c>
    </row>
    <row r="1223" spans="1:29" x14ac:dyDescent="0.3">
      <c r="A1223" s="18">
        <v>3060</v>
      </c>
      <c r="B1223" s="16">
        <v>122390</v>
      </c>
      <c r="C1223" s="16">
        <v>0</v>
      </c>
      <c r="D1223" s="16">
        <v>0</v>
      </c>
      <c r="E1223" s="16">
        <v>51</v>
      </c>
      <c r="F1223" s="17" t="s">
        <v>8</v>
      </c>
      <c r="G1223" s="17" t="s">
        <v>10</v>
      </c>
      <c r="H1223" s="3" t="s">
        <v>161</v>
      </c>
      <c r="I1223" s="5" t="s">
        <v>436</v>
      </c>
      <c r="J1223" s="16">
        <f>_xlfn.XLOOKUP(CustomerCombinedCleaned[[#This Row],[ID]], Table4[ID], Table4[Recency], "Not Found", 0)</f>
        <v>49</v>
      </c>
      <c r="K1223" s="16">
        <f>_xlfn.XLOOKUP(CustomerCombinedCleaned[[#This Row],[ID]], Table4[ID], Table4[Teas], "Not Found", 0)</f>
        <v>0</v>
      </c>
      <c r="L1223" s="16">
        <f>_xlfn.XLOOKUP(CustomerCombinedCleaned[[#This Row],[ID]], Table4[ID], Table4[Fruits], "Not Found", 0)</f>
        <v>5</v>
      </c>
      <c r="M1223" s="16">
        <f>_xlfn.XLOOKUP(CustomerCombinedCleaned[[#This Row],[ID]], Table4[ID], Table4[Meats], "Not Found", 0)</f>
        <v>22</v>
      </c>
      <c r="N1223" s="16">
        <f>_xlfn.XLOOKUP(CustomerCombinedCleaned[[#This Row],[ID]], Table4[ID], Table4[Seafood], "Not Found", 0)</f>
        <v>82</v>
      </c>
      <c r="O1223" s="16">
        <f>_xlfn.XLOOKUP(CustomerCombinedCleaned[[#This Row],[ID]], Table4[ID], Table4[Sweets], "Not Found", 0)</f>
        <v>5</v>
      </c>
      <c r="P1223" s="16">
        <f>_xlfn.XLOOKUP(CustomerCombinedCleaned[[#This Row],[ID]], Table4[ID], Table4[Premium], "Not Found", 0)</f>
        <v>27</v>
      </c>
      <c r="Q1223" s="16">
        <f>_xlfn.XLOOKUP(CustomerCombinedCleaned[[#This Row],[ID]], Table4[ID], Table4[Regular], "Not Found", 0)</f>
        <v>87</v>
      </c>
      <c r="R1223" s="16">
        <f>_xlfn.XLOOKUP(CustomerCombinedCleaned[[#This Row],[ID]], Table4[ID], Table4[Deals], "Not Found", 0)</f>
        <v>1</v>
      </c>
      <c r="S1223" s="16">
        <f>_xlfn.XLOOKUP(CustomerCombinedCleaned[[#This Row],[ID]], Table4[ID], Table4[Website], "Not Found", 0)</f>
        <v>1</v>
      </c>
      <c r="T1223" s="16">
        <f>_xlfn.XLOOKUP(CustomerCombinedCleaned[[#This Row],[ID]], Table4[ID], Table4[Catalog], "Not Found", 0)</f>
        <v>0</v>
      </c>
      <c r="U1223" s="16">
        <f>_xlfn.XLOOKUP(CustomerCombinedCleaned[[#This Row],[ID]], Table4[ID], Table4[Store], "Not Found", 0)</f>
        <v>2</v>
      </c>
      <c r="V1223" s="16">
        <f>_xlfn.XLOOKUP(CustomerCombinedCleaned[[#This Row],[ID]], Table4[ID], Table4[Visits], "Not Found", 0)</f>
        <v>7</v>
      </c>
      <c r="W1223" s="16">
        <f>_xlfn.XLOOKUP(CustomerCombinedCleaned[[#This Row],[ID]], Table2[ID],Table2[Complaint], "Not Found", 0 )</f>
        <v>0</v>
      </c>
      <c r="X1223" s="16">
        <f>_xlfn.XLOOKUP(CustomerCombinedCleaned[[#This Row],[ID]], Table2[ID],Table2[Pilot], "Not Found", 0 )</f>
        <v>0</v>
      </c>
      <c r="Y1223" s="16">
        <f>_xlfn.XLOOKUP(CustomerCombinedCleaned[[#This Row],[ID]], Table2[ID],Table2[MC1], "Not Found", 0 )</f>
        <v>0</v>
      </c>
      <c r="Z1223" s="16">
        <f>_xlfn.XLOOKUP(CustomerCombinedCleaned[[#This Row],[ID]], Table2[ID],Table2[MC2], "Not Found", 0 )</f>
        <v>0</v>
      </c>
      <c r="AA1223" s="16">
        <f>_xlfn.XLOOKUP(CustomerCombinedCleaned[[#This Row],[ID]], Table2[ID],Table2[MC3], "Not Found", 0 )</f>
        <v>0</v>
      </c>
      <c r="AB1223" s="16">
        <f>_xlfn.XLOOKUP(CustomerCombinedCleaned[[#This Row],[ID]], Table2[ID],Table2[MC4], "Not Found", 0 )</f>
        <v>0</v>
      </c>
      <c r="AC1223" s="16">
        <f>_xlfn.XLOOKUP(CustomerCombinedCleaned[[#This Row],[ID]], Table2[ID],Table2[MC5], "Not Found", 0 )</f>
        <v>0</v>
      </c>
    </row>
    <row r="1224" spans="1:29" x14ac:dyDescent="0.3">
      <c r="A1224" s="18">
        <v>1111</v>
      </c>
      <c r="B1224" s="16">
        <v>121918</v>
      </c>
      <c r="C1224" s="16">
        <v>1</v>
      </c>
      <c r="D1224" s="16">
        <v>0</v>
      </c>
      <c r="E1224" s="16">
        <v>51</v>
      </c>
      <c r="F1224" s="17" t="s">
        <v>8</v>
      </c>
      <c r="G1224" s="17" t="s">
        <v>11</v>
      </c>
      <c r="H1224" s="3" t="s">
        <v>150</v>
      </c>
      <c r="I1224" s="5" t="s">
        <v>437</v>
      </c>
      <c r="J1224" s="16">
        <f>_xlfn.XLOOKUP(CustomerCombinedCleaned[[#This Row],[ID]], Table4[ID], Table4[Recency], "Not Found", 0)</f>
        <v>37</v>
      </c>
      <c r="K1224" s="16">
        <f>_xlfn.XLOOKUP(CustomerCombinedCleaned[[#This Row],[ID]], Table4[ID], Table4[Teas], "Not Found", 0)</f>
        <v>6</v>
      </c>
      <c r="L1224" s="16">
        <f>_xlfn.XLOOKUP(CustomerCombinedCleaned[[#This Row],[ID]], Table4[ID], Table4[Fruits], "Not Found", 0)</f>
        <v>33</v>
      </c>
      <c r="M1224" s="16">
        <f>_xlfn.XLOOKUP(CustomerCombinedCleaned[[#This Row],[ID]], Table4[ID], Table4[Meats], "Not Found", 0)</f>
        <v>39</v>
      </c>
      <c r="N1224" s="16">
        <f>_xlfn.XLOOKUP(CustomerCombinedCleaned[[#This Row],[ID]], Table4[ID], Table4[Seafood], "Not Found", 0)</f>
        <v>61</v>
      </c>
      <c r="O1224" s="16">
        <f>_xlfn.XLOOKUP(CustomerCombinedCleaned[[#This Row],[ID]], Table4[ID], Table4[Sweets], "Not Found", 0)</f>
        <v>28</v>
      </c>
      <c r="P1224" s="16">
        <f>_xlfn.XLOOKUP(CustomerCombinedCleaned[[#This Row],[ID]], Table4[ID], Table4[Premium], "Not Found", 0)</f>
        <v>17</v>
      </c>
      <c r="Q1224" s="16">
        <f>_xlfn.XLOOKUP(CustomerCombinedCleaned[[#This Row],[ID]], Table4[ID], Table4[Regular], "Not Found", 0)</f>
        <v>150</v>
      </c>
      <c r="R1224" s="16">
        <f>_xlfn.XLOOKUP(CustomerCombinedCleaned[[#This Row],[ID]], Table4[ID], Table4[Deals], "Not Found", 0)</f>
        <v>2</v>
      </c>
      <c r="S1224" s="16">
        <f>_xlfn.XLOOKUP(CustomerCombinedCleaned[[#This Row],[ID]], Table4[ID], Table4[Website], "Not Found", 0)</f>
        <v>2</v>
      </c>
      <c r="T1224" s="16">
        <f>_xlfn.XLOOKUP(CustomerCombinedCleaned[[#This Row],[ID]], Table4[ID], Table4[Catalog], "Not Found", 0)</f>
        <v>0</v>
      </c>
      <c r="U1224" s="16">
        <f>_xlfn.XLOOKUP(CustomerCombinedCleaned[[#This Row],[ID]], Table4[ID], Table4[Store], "Not Found", 0)</f>
        <v>3</v>
      </c>
      <c r="V1224" s="16">
        <f>_xlfn.XLOOKUP(CustomerCombinedCleaned[[#This Row],[ID]], Table4[ID], Table4[Visits], "Not Found", 0)</f>
        <v>6</v>
      </c>
      <c r="W1224" s="16">
        <f>_xlfn.XLOOKUP(CustomerCombinedCleaned[[#This Row],[ID]], Table2[ID],Table2[Complaint], "Not Found", 0 )</f>
        <v>0</v>
      </c>
      <c r="X1224" s="16">
        <f>_xlfn.XLOOKUP(CustomerCombinedCleaned[[#This Row],[ID]], Table2[ID],Table2[Pilot], "Not Found", 0 )</f>
        <v>0</v>
      </c>
      <c r="Y1224" s="16">
        <f>_xlfn.XLOOKUP(CustomerCombinedCleaned[[#This Row],[ID]], Table2[ID],Table2[MC1], "Not Found", 0 )</f>
        <v>0</v>
      </c>
      <c r="Z1224" s="16">
        <f>_xlfn.XLOOKUP(CustomerCombinedCleaned[[#This Row],[ID]], Table2[ID],Table2[MC2], "Not Found", 0 )</f>
        <v>0</v>
      </c>
      <c r="AA1224" s="16">
        <f>_xlfn.XLOOKUP(CustomerCombinedCleaned[[#This Row],[ID]], Table2[ID],Table2[MC3], "Not Found", 0 )</f>
        <v>0</v>
      </c>
      <c r="AB1224" s="16">
        <f>_xlfn.XLOOKUP(CustomerCombinedCleaned[[#This Row],[ID]], Table2[ID],Table2[MC4], "Not Found", 0 )</f>
        <v>0</v>
      </c>
      <c r="AC1224" s="16">
        <f>_xlfn.XLOOKUP(CustomerCombinedCleaned[[#This Row],[ID]], Table2[ID],Table2[MC5], "Not Found", 0 )</f>
        <v>0</v>
      </c>
    </row>
    <row r="1225" spans="1:29" x14ac:dyDescent="0.3">
      <c r="A1225" s="18">
        <v>1025</v>
      </c>
      <c r="B1225" s="16">
        <v>118589</v>
      </c>
      <c r="C1225" s="16">
        <v>0</v>
      </c>
      <c r="D1225" s="16">
        <v>0</v>
      </c>
      <c r="E1225" s="16">
        <v>51</v>
      </c>
      <c r="F1225" s="17" t="s">
        <v>7</v>
      </c>
      <c r="G1225" s="17" t="s">
        <v>11</v>
      </c>
      <c r="H1225" s="3" t="s">
        <v>564</v>
      </c>
      <c r="I1225" s="5" t="s">
        <v>434</v>
      </c>
      <c r="J1225" s="16">
        <f>_xlfn.XLOOKUP(CustomerCombinedCleaned[[#This Row],[ID]], Table4[ID], Table4[Recency], "Not Found", 0)</f>
        <v>89</v>
      </c>
      <c r="K1225" s="16">
        <f>_xlfn.XLOOKUP(CustomerCombinedCleaned[[#This Row],[ID]], Table4[ID], Table4[Teas], "Not Found", 0)</f>
        <v>38</v>
      </c>
      <c r="L1225" s="16">
        <f>_xlfn.XLOOKUP(CustomerCombinedCleaned[[#This Row],[ID]], Table4[ID], Table4[Fruits], "Not Found", 0)</f>
        <v>26</v>
      </c>
      <c r="M1225" s="16">
        <f>_xlfn.XLOOKUP(CustomerCombinedCleaned[[#This Row],[ID]], Table4[ID], Table4[Meats], "Not Found", 0)</f>
        <v>159</v>
      </c>
      <c r="N1225" s="16">
        <f>_xlfn.XLOOKUP(CustomerCombinedCleaned[[#This Row],[ID]], Table4[ID], Table4[Seafood], "Not Found", 0)</f>
        <v>96</v>
      </c>
      <c r="O1225" s="16">
        <f>_xlfn.XLOOKUP(CustomerCombinedCleaned[[#This Row],[ID]], Table4[ID], Table4[Sweets], "Not Found", 0)</f>
        <v>77</v>
      </c>
      <c r="P1225" s="16">
        <f>_xlfn.XLOOKUP(CustomerCombinedCleaned[[#This Row],[ID]], Table4[ID], Table4[Premium], "Not Found", 0)</f>
        <v>83</v>
      </c>
      <c r="Q1225" s="16">
        <f>_xlfn.XLOOKUP(CustomerCombinedCleaned[[#This Row],[ID]], Table4[ID], Table4[Regular], "Not Found", 0)</f>
        <v>313</v>
      </c>
      <c r="R1225" s="16">
        <f>_xlfn.XLOOKUP(CustomerCombinedCleaned[[#This Row],[ID]], Table4[ID], Table4[Deals], "Not Found", 0)</f>
        <v>2</v>
      </c>
      <c r="S1225" s="16">
        <f>_xlfn.XLOOKUP(CustomerCombinedCleaned[[#This Row],[ID]], Table4[ID], Table4[Website], "Not Found", 0)</f>
        <v>2</v>
      </c>
      <c r="T1225" s="16">
        <f>_xlfn.XLOOKUP(CustomerCombinedCleaned[[#This Row],[ID]], Table4[ID], Table4[Catalog], "Not Found", 0)</f>
        <v>1</v>
      </c>
      <c r="U1225" s="16">
        <f>_xlfn.XLOOKUP(CustomerCombinedCleaned[[#This Row],[ID]], Table4[ID], Table4[Store], "Not Found", 0)</f>
        <v>3</v>
      </c>
      <c r="V1225" s="16">
        <f>_xlfn.XLOOKUP(CustomerCombinedCleaned[[#This Row],[ID]], Table4[ID], Table4[Visits], "Not Found", 0)</f>
        <v>7</v>
      </c>
      <c r="W1225" s="16">
        <f>_xlfn.XLOOKUP(CustomerCombinedCleaned[[#This Row],[ID]], Table2[ID],Table2[Complaint], "Not Found", 0 )</f>
        <v>0</v>
      </c>
      <c r="X1225" s="16">
        <f>_xlfn.XLOOKUP(CustomerCombinedCleaned[[#This Row],[ID]], Table2[ID],Table2[Pilot], "Not Found", 0 )</f>
        <v>0</v>
      </c>
      <c r="Y1225" s="16">
        <f>_xlfn.XLOOKUP(CustomerCombinedCleaned[[#This Row],[ID]], Table2[ID],Table2[MC1], "Not Found", 0 )</f>
        <v>0</v>
      </c>
      <c r="Z1225" s="16">
        <f>_xlfn.XLOOKUP(CustomerCombinedCleaned[[#This Row],[ID]], Table2[ID],Table2[MC2], "Not Found", 0 )</f>
        <v>0</v>
      </c>
      <c r="AA1225" s="16">
        <f>_xlfn.XLOOKUP(CustomerCombinedCleaned[[#This Row],[ID]], Table2[ID],Table2[MC3], "Not Found", 0 )</f>
        <v>0</v>
      </c>
      <c r="AB1225" s="16">
        <f>_xlfn.XLOOKUP(CustomerCombinedCleaned[[#This Row],[ID]], Table2[ID],Table2[MC4], "Not Found", 0 )</f>
        <v>0</v>
      </c>
      <c r="AC1225" s="16">
        <f>_xlfn.XLOOKUP(CustomerCombinedCleaned[[#This Row],[ID]], Table2[ID],Table2[MC5], "Not Found", 0 )</f>
        <v>0</v>
      </c>
    </row>
    <row r="1226" spans="1:29" x14ac:dyDescent="0.3">
      <c r="A1226" s="18">
        <v>1472</v>
      </c>
      <c r="B1226" s="16">
        <v>114045</v>
      </c>
      <c r="C1226" s="16">
        <v>1</v>
      </c>
      <c r="D1226" s="16">
        <v>0</v>
      </c>
      <c r="E1226" s="16">
        <v>51</v>
      </c>
      <c r="F1226" s="17" t="s">
        <v>6</v>
      </c>
      <c r="G1226" s="17" t="s">
        <v>11</v>
      </c>
      <c r="H1226" s="3" t="s">
        <v>643</v>
      </c>
      <c r="I1226" s="5" t="s">
        <v>438</v>
      </c>
      <c r="J1226" s="16">
        <f>_xlfn.XLOOKUP(CustomerCombinedCleaned[[#This Row],[ID]], Table4[ID], Table4[Recency], "Not Found", 0)</f>
        <v>24</v>
      </c>
      <c r="K1226" s="16">
        <f>_xlfn.XLOOKUP(CustomerCombinedCleaned[[#This Row],[ID]], Table4[ID], Table4[Teas], "Not Found", 0)</f>
        <v>89</v>
      </c>
      <c r="L1226" s="16">
        <f>_xlfn.XLOOKUP(CustomerCombinedCleaned[[#This Row],[ID]], Table4[ID], Table4[Fruits], "Not Found", 0)</f>
        <v>0</v>
      </c>
      <c r="M1226" s="16">
        <f>_xlfn.XLOOKUP(CustomerCombinedCleaned[[#This Row],[ID]], Table4[ID], Table4[Meats], "Not Found", 0)</f>
        <v>41</v>
      </c>
      <c r="N1226" s="16">
        <f>_xlfn.XLOOKUP(CustomerCombinedCleaned[[#This Row],[ID]], Table4[ID], Table4[Seafood], "Not Found", 0)</f>
        <v>16</v>
      </c>
      <c r="O1226" s="16">
        <f>_xlfn.XLOOKUP(CustomerCombinedCleaned[[#This Row],[ID]], Table4[ID], Table4[Sweets], "Not Found", 0)</f>
        <v>8</v>
      </c>
      <c r="P1226" s="16">
        <f>_xlfn.XLOOKUP(CustomerCombinedCleaned[[#This Row],[ID]], Table4[ID], Table4[Premium], "Not Found", 0)</f>
        <v>8</v>
      </c>
      <c r="Q1226" s="16">
        <f>_xlfn.XLOOKUP(CustomerCombinedCleaned[[#This Row],[ID]], Table4[ID], Table4[Regular], "Not Found", 0)</f>
        <v>146</v>
      </c>
      <c r="R1226" s="16">
        <f>_xlfn.XLOOKUP(CustomerCombinedCleaned[[#This Row],[ID]], Table4[ID], Table4[Deals], "Not Found", 0)</f>
        <v>1</v>
      </c>
      <c r="S1226" s="16">
        <f>_xlfn.XLOOKUP(CustomerCombinedCleaned[[#This Row],[ID]], Table4[ID], Table4[Website], "Not Found", 0)</f>
        <v>1</v>
      </c>
      <c r="T1226" s="16">
        <f>_xlfn.XLOOKUP(CustomerCombinedCleaned[[#This Row],[ID]], Table4[ID], Table4[Catalog], "Not Found", 0)</f>
        <v>0</v>
      </c>
      <c r="U1226" s="16">
        <f>_xlfn.XLOOKUP(CustomerCombinedCleaned[[#This Row],[ID]], Table4[ID], Table4[Store], "Not Found", 0)</f>
        <v>3</v>
      </c>
      <c r="V1226" s="16">
        <f>_xlfn.XLOOKUP(CustomerCombinedCleaned[[#This Row],[ID]], Table4[ID], Table4[Visits], "Not Found", 0)</f>
        <v>7</v>
      </c>
      <c r="W1226" s="16">
        <f>_xlfn.XLOOKUP(CustomerCombinedCleaned[[#This Row],[ID]], Table2[ID],Table2[Complaint], "Not Found", 0 )</f>
        <v>0</v>
      </c>
      <c r="X1226" s="16">
        <f>_xlfn.XLOOKUP(CustomerCombinedCleaned[[#This Row],[ID]], Table2[ID],Table2[Pilot], "Not Found", 0 )</f>
        <v>0</v>
      </c>
      <c r="Y1226" s="16">
        <f>_xlfn.XLOOKUP(CustomerCombinedCleaned[[#This Row],[ID]], Table2[ID],Table2[MC1], "Not Found", 0 )</f>
        <v>0</v>
      </c>
      <c r="Z1226" s="16">
        <f>_xlfn.XLOOKUP(CustomerCombinedCleaned[[#This Row],[ID]], Table2[ID],Table2[MC2], "Not Found", 0 )</f>
        <v>0</v>
      </c>
      <c r="AA1226" s="16">
        <f>_xlfn.XLOOKUP(CustomerCombinedCleaned[[#This Row],[ID]], Table2[ID],Table2[MC3], "Not Found", 0 )</f>
        <v>0</v>
      </c>
      <c r="AB1226" s="16">
        <f>_xlfn.XLOOKUP(CustomerCombinedCleaned[[#This Row],[ID]], Table2[ID],Table2[MC4], "Not Found", 0 )</f>
        <v>0</v>
      </c>
      <c r="AC1226" s="16">
        <f>_xlfn.XLOOKUP(CustomerCombinedCleaned[[#This Row],[ID]], Table2[ID],Table2[MC5], "Not Found", 0 )</f>
        <v>0</v>
      </c>
    </row>
    <row r="1227" spans="1:29" x14ac:dyDescent="0.3">
      <c r="A1227" s="18">
        <v>2950</v>
      </c>
      <c r="B1227" s="16">
        <v>104428</v>
      </c>
      <c r="C1227" s="16">
        <v>0</v>
      </c>
      <c r="D1227" s="16">
        <v>1</v>
      </c>
      <c r="E1227" s="16">
        <v>51</v>
      </c>
      <c r="F1227" s="17" t="s">
        <v>6</v>
      </c>
      <c r="G1227" s="17" t="s">
        <v>11</v>
      </c>
      <c r="H1227" s="3">
        <v>44138</v>
      </c>
      <c r="I1227" s="5" t="s">
        <v>439</v>
      </c>
      <c r="J1227" s="21">
        <v>0</v>
      </c>
      <c r="K1227" s="21">
        <v>377</v>
      </c>
      <c r="L1227" s="21">
        <v>94</v>
      </c>
      <c r="M1227" s="21">
        <v>283</v>
      </c>
      <c r="N1227" s="21">
        <v>47</v>
      </c>
      <c r="O1227" s="21">
        <v>94</v>
      </c>
      <c r="P1227" s="21">
        <v>7570</v>
      </c>
      <c r="Q1227" s="21">
        <v>6674</v>
      </c>
      <c r="R1227" s="21">
        <v>0</v>
      </c>
      <c r="S1227" s="21">
        <v>25</v>
      </c>
      <c r="T1227" s="21">
        <v>0</v>
      </c>
      <c r="U1227" s="21">
        <v>0</v>
      </c>
      <c r="V1227" s="21">
        <v>1</v>
      </c>
      <c r="W1227" s="21">
        <v>0</v>
      </c>
      <c r="X1227" s="21">
        <v>0</v>
      </c>
      <c r="Y1227" s="21">
        <v>0</v>
      </c>
      <c r="Z1227" s="21">
        <v>0</v>
      </c>
      <c r="AA1227" s="21">
        <v>0</v>
      </c>
      <c r="AB1227" s="21">
        <v>0</v>
      </c>
      <c r="AC1227" s="21">
        <v>0</v>
      </c>
    </row>
    <row r="1228" spans="1:29" x14ac:dyDescent="0.3">
      <c r="A1228" s="18">
        <v>1373</v>
      </c>
      <c r="B1228" s="16">
        <v>183664</v>
      </c>
      <c r="C1228" s="16">
        <v>1</v>
      </c>
      <c r="D1228" s="16">
        <v>1</v>
      </c>
      <c r="E1228" s="16">
        <v>52</v>
      </c>
      <c r="F1228" s="17" t="s">
        <v>5</v>
      </c>
      <c r="G1228" s="17" t="s">
        <v>13</v>
      </c>
      <c r="H1228" s="3" t="s">
        <v>263</v>
      </c>
      <c r="I1228" s="5" t="s">
        <v>434</v>
      </c>
      <c r="J1228" s="16">
        <f>_xlfn.XLOOKUP(CustomerCombinedCleaned[[#This Row],[ID]], Table4[ID], Table4[Recency], "Not Found", 0)</f>
        <v>57</v>
      </c>
      <c r="K1228" s="16">
        <f>_xlfn.XLOOKUP(CustomerCombinedCleaned[[#This Row],[ID]], Table4[ID], Table4[Teas], "Not Found", 0)</f>
        <v>1901</v>
      </c>
      <c r="L1228" s="16">
        <f>_xlfn.XLOOKUP(CustomerCombinedCleaned[[#This Row],[ID]], Table4[ID], Table4[Fruits], "Not Found", 0)</f>
        <v>46</v>
      </c>
      <c r="M1228" s="16">
        <f>_xlfn.XLOOKUP(CustomerCombinedCleaned[[#This Row],[ID]], Table4[ID], Table4[Meats], "Not Found", 0)</f>
        <v>331</v>
      </c>
      <c r="N1228" s="16">
        <f>_xlfn.XLOOKUP(CustomerCombinedCleaned[[#This Row],[ID]], Table4[ID], Table4[Seafood], "Not Found", 0)</f>
        <v>61</v>
      </c>
      <c r="O1228" s="16">
        <f>_xlfn.XLOOKUP(CustomerCombinedCleaned[[#This Row],[ID]], Table4[ID], Table4[Sweets], "Not Found", 0)</f>
        <v>46</v>
      </c>
      <c r="P1228" s="16">
        <f>_xlfn.XLOOKUP(CustomerCombinedCleaned[[#This Row],[ID]], Table4[ID], Table4[Premium], "Not Found", 0)</f>
        <v>189</v>
      </c>
      <c r="Q1228" s="16">
        <f>_xlfn.XLOOKUP(CustomerCombinedCleaned[[#This Row],[ID]], Table4[ID], Table4[Regular], "Not Found", 0)</f>
        <v>2197</v>
      </c>
      <c r="R1228" s="16">
        <f>_xlfn.XLOOKUP(CustomerCombinedCleaned[[#This Row],[ID]], Table4[ID], Table4[Deals], "Not Found", 0)</f>
        <v>3</v>
      </c>
      <c r="S1228" s="16">
        <f>_xlfn.XLOOKUP(CustomerCombinedCleaned[[#This Row],[ID]], Table4[ID], Table4[Website], "Not Found", 0)</f>
        <v>2</v>
      </c>
      <c r="T1228" s="16">
        <f>_xlfn.XLOOKUP(CustomerCombinedCleaned[[#This Row],[ID]], Table4[ID], Table4[Catalog], "Not Found", 0)</f>
        <v>2</v>
      </c>
      <c r="U1228" s="16">
        <f>_xlfn.XLOOKUP(CustomerCombinedCleaned[[#This Row],[ID]], Table4[ID], Table4[Store], "Not Found", 0)</f>
        <v>12</v>
      </c>
      <c r="V1228" s="16">
        <f>_xlfn.XLOOKUP(CustomerCombinedCleaned[[#This Row],[ID]], Table4[ID], Table4[Visits], "Not Found", 0)</f>
        <v>5</v>
      </c>
      <c r="W1228" s="16">
        <f>_xlfn.XLOOKUP(CustomerCombinedCleaned[[#This Row],[ID]], Table2[ID],Table2[Complaint], "Not Found", 0 )</f>
        <v>0</v>
      </c>
      <c r="X1228" s="16">
        <f>_xlfn.XLOOKUP(CustomerCombinedCleaned[[#This Row],[ID]], Table2[ID],Table2[Pilot], "Not Found", 0 )</f>
        <v>0</v>
      </c>
      <c r="Y1228" s="16">
        <f>_xlfn.XLOOKUP(CustomerCombinedCleaned[[#This Row],[ID]], Table2[ID],Table2[MC1], "Not Found", 0 )</f>
        <v>0</v>
      </c>
      <c r="Z1228" s="16">
        <f>_xlfn.XLOOKUP(CustomerCombinedCleaned[[#This Row],[ID]], Table2[ID],Table2[MC2], "Not Found", 0 )</f>
        <v>0</v>
      </c>
      <c r="AA1228" s="16">
        <f>_xlfn.XLOOKUP(CustomerCombinedCleaned[[#This Row],[ID]], Table2[ID],Table2[MC3], "Not Found", 0 )</f>
        <v>0</v>
      </c>
      <c r="AB1228" s="16">
        <f>_xlfn.XLOOKUP(CustomerCombinedCleaned[[#This Row],[ID]], Table2[ID],Table2[MC4], "Not Found", 0 )</f>
        <v>0</v>
      </c>
      <c r="AC1228" s="16">
        <f>_xlfn.XLOOKUP(CustomerCombinedCleaned[[#This Row],[ID]], Table2[ID],Table2[MC5], "Not Found", 0 )</f>
        <v>0</v>
      </c>
    </row>
    <row r="1229" spans="1:29" x14ac:dyDescent="0.3">
      <c r="A1229" s="18">
        <v>2302</v>
      </c>
      <c r="B1229" s="16">
        <v>177382</v>
      </c>
      <c r="C1229" s="16">
        <v>0</v>
      </c>
      <c r="D1229" s="16">
        <v>1</v>
      </c>
      <c r="E1229" s="16">
        <v>52</v>
      </c>
      <c r="F1229" s="17" t="s">
        <v>8</v>
      </c>
      <c r="G1229" s="17" t="s">
        <v>11</v>
      </c>
      <c r="H1229" s="3" t="s">
        <v>122</v>
      </c>
      <c r="I1229" s="5" t="s">
        <v>439</v>
      </c>
      <c r="J1229" s="16">
        <f>_xlfn.XLOOKUP(CustomerCombinedCleaned[[#This Row],[ID]], Table4[ID], Table4[Recency], "Not Found", 0)</f>
        <v>36</v>
      </c>
      <c r="K1229" s="16">
        <f>_xlfn.XLOOKUP(CustomerCombinedCleaned[[#This Row],[ID]], Table4[ID], Table4[Teas], "Not Found", 0)</f>
        <v>1126</v>
      </c>
      <c r="L1229" s="16">
        <f>_xlfn.XLOOKUP(CustomerCombinedCleaned[[#This Row],[ID]], Table4[ID], Table4[Fruits], "Not Found", 0)</f>
        <v>110</v>
      </c>
      <c r="M1229" s="16">
        <f>_xlfn.XLOOKUP(CustomerCombinedCleaned[[#This Row],[ID]], Table4[ID], Table4[Meats], "Not Found", 0)</f>
        <v>530</v>
      </c>
      <c r="N1229" s="16">
        <f>_xlfn.XLOOKUP(CustomerCombinedCleaned[[#This Row],[ID]], Table4[ID], Table4[Seafood], "Not Found", 0)</f>
        <v>257</v>
      </c>
      <c r="O1229" s="16">
        <f>_xlfn.XLOOKUP(CustomerCombinedCleaned[[#This Row],[ID]], Table4[ID], Table4[Sweets], "Not Found", 0)</f>
        <v>241</v>
      </c>
      <c r="P1229" s="16">
        <f>_xlfn.XLOOKUP(CustomerCombinedCleaned[[#This Row],[ID]], Table4[ID], Table4[Premium], "Not Found", 0)</f>
        <v>307</v>
      </c>
      <c r="Q1229" s="16">
        <f>_xlfn.XLOOKUP(CustomerCombinedCleaned[[#This Row],[ID]], Table4[ID], Table4[Regular], "Not Found", 0)</f>
        <v>1955</v>
      </c>
      <c r="R1229" s="16">
        <f>_xlfn.XLOOKUP(CustomerCombinedCleaned[[#This Row],[ID]], Table4[ID], Table4[Deals], "Not Found", 0)</f>
        <v>2</v>
      </c>
      <c r="S1229" s="16">
        <f>_xlfn.XLOOKUP(CustomerCombinedCleaned[[#This Row],[ID]], Table4[ID], Table4[Website], "Not Found", 0)</f>
        <v>5</v>
      </c>
      <c r="T1229" s="16">
        <f>_xlfn.XLOOKUP(CustomerCombinedCleaned[[#This Row],[ID]], Table4[ID], Table4[Catalog], "Not Found", 0)</f>
        <v>7</v>
      </c>
      <c r="U1229" s="16">
        <f>_xlfn.XLOOKUP(CustomerCombinedCleaned[[#This Row],[ID]], Table4[ID], Table4[Store], "Not Found", 0)</f>
        <v>12</v>
      </c>
      <c r="V1229" s="16">
        <f>_xlfn.XLOOKUP(CustomerCombinedCleaned[[#This Row],[ID]], Table4[ID], Table4[Visits], "Not Found", 0)</f>
        <v>1</v>
      </c>
      <c r="W1229" s="16">
        <f>_xlfn.XLOOKUP(CustomerCombinedCleaned[[#This Row],[ID]], Table2[ID],Table2[Complaint], "Not Found", 0 )</f>
        <v>0</v>
      </c>
      <c r="X1229" s="16">
        <f>_xlfn.XLOOKUP(CustomerCombinedCleaned[[#This Row],[ID]], Table2[ID],Table2[Pilot], "Not Found", 0 )</f>
        <v>0</v>
      </c>
      <c r="Y1229" s="16">
        <f>_xlfn.XLOOKUP(CustomerCombinedCleaned[[#This Row],[ID]], Table2[ID],Table2[MC1], "Not Found", 0 )</f>
        <v>0</v>
      </c>
      <c r="Z1229" s="16">
        <f>_xlfn.XLOOKUP(CustomerCombinedCleaned[[#This Row],[ID]], Table2[ID],Table2[MC2], "Not Found", 0 )</f>
        <v>0</v>
      </c>
      <c r="AA1229" s="16">
        <f>_xlfn.XLOOKUP(CustomerCombinedCleaned[[#This Row],[ID]], Table2[ID],Table2[MC3], "Not Found", 0 )</f>
        <v>0</v>
      </c>
      <c r="AB1229" s="16">
        <f>_xlfn.XLOOKUP(CustomerCombinedCleaned[[#This Row],[ID]], Table2[ID],Table2[MC4], "Not Found", 0 )</f>
        <v>0</v>
      </c>
      <c r="AC1229" s="16">
        <f>_xlfn.XLOOKUP(CustomerCombinedCleaned[[#This Row],[ID]], Table2[ID],Table2[MC5], "Not Found", 0 )</f>
        <v>1</v>
      </c>
    </row>
    <row r="1230" spans="1:29" x14ac:dyDescent="0.3">
      <c r="A1230" s="18">
        <v>1189</v>
      </c>
      <c r="B1230" s="16">
        <v>175922</v>
      </c>
      <c r="C1230" s="16">
        <v>0</v>
      </c>
      <c r="D1230" s="16">
        <v>0</v>
      </c>
      <c r="E1230" s="16">
        <v>52</v>
      </c>
      <c r="F1230" s="17" t="s">
        <v>7</v>
      </c>
      <c r="G1230" s="17" t="s">
        <v>11</v>
      </c>
      <c r="H1230" s="3" t="s">
        <v>139</v>
      </c>
      <c r="I1230" s="5" t="s">
        <v>437</v>
      </c>
      <c r="J1230" s="16">
        <f>_xlfn.XLOOKUP(CustomerCombinedCleaned[[#This Row],[ID]], Table4[ID], Table4[Recency], "Not Found", 0)</f>
        <v>60</v>
      </c>
      <c r="K1230" s="16">
        <f>_xlfn.XLOOKUP(CustomerCombinedCleaned[[#This Row],[ID]], Table4[ID], Table4[Teas], "Not Found", 0)</f>
        <v>614</v>
      </c>
      <c r="L1230" s="16">
        <f>_xlfn.XLOOKUP(CustomerCombinedCleaned[[#This Row],[ID]], Table4[ID], Table4[Fruits], "Not Found", 0)</f>
        <v>320</v>
      </c>
      <c r="M1230" s="16">
        <f>_xlfn.XLOOKUP(CustomerCombinedCleaned[[#This Row],[ID]], Table4[ID], Table4[Meats], "Not Found", 0)</f>
        <v>1281</v>
      </c>
      <c r="N1230" s="16">
        <f>_xlfn.XLOOKUP(CustomerCombinedCleaned[[#This Row],[ID]], Table4[ID], Table4[Seafood], "Not Found", 0)</f>
        <v>519</v>
      </c>
      <c r="O1230" s="16">
        <f>_xlfn.XLOOKUP(CustomerCombinedCleaned[[#This Row],[ID]], Table4[ID], Table4[Sweets], "Not Found", 0)</f>
        <v>53</v>
      </c>
      <c r="P1230" s="16">
        <f>_xlfn.XLOOKUP(CustomerCombinedCleaned[[#This Row],[ID]], Table4[ID], Table4[Premium], "Not Found", 0)</f>
        <v>213</v>
      </c>
      <c r="Q1230" s="16">
        <f>_xlfn.XLOOKUP(CustomerCombinedCleaned[[#This Row],[ID]], Table4[ID], Table4[Regular], "Not Found", 0)</f>
        <v>2574</v>
      </c>
      <c r="R1230" s="16">
        <f>_xlfn.XLOOKUP(CustomerCombinedCleaned[[#This Row],[ID]], Table4[ID], Table4[Deals], "Not Found", 0)</f>
        <v>1</v>
      </c>
      <c r="S1230" s="16">
        <f>_xlfn.XLOOKUP(CustomerCombinedCleaned[[#This Row],[ID]], Table4[ID], Table4[Website], "Not Found", 0)</f>
        <v>4</v>
      </c>
      <c r="T1230" s="16">
        <f>_xlfn.XLOOKUP(CustomerCombinedCleaned[[#This Row],[ID]], Table4[ID], Table4[Catalog], "Not Found", 0)</f>
        <v>4</v>
      </c>
      <c r="U1230" s="16">
        <f>_xlfn.XLOOKUP(CustomerCombinedCleaned[[#This Row],[ID]], Table4[ID], Table4[Store], "Not Found", 0)</f>
        <v>9</v>
      </c>
      <c r="V1230" s="16">
        <f>_xlfn.XLOOKUP(CustomerCombinedCleaned[[#This Row],[ID]], Table4[ID], Table4[Visits], "Not Found", 0)</f>
        <v>1</v>
      </c>
      <c r="W1230" s="16">
        <f>_xlfn.XLOOKUP(CustomerCombinedCleaned[[#This Row],[ID]], Table2[ID],Table2[Complaint], "Not Found", 0 )</f>
        <v>0</v>
      </c>
      <c r="X1230" s="16">
        <f>_xlfn.XLOOKUP(CustomerCombinedCleaned[[#This Row],[ID]], Table2[ID],Table2[Pilot], "Not Found", 0 )</f>
        <v>0</v>
      </c>
      <c r="Y1230" s="16">
        <f>_xlfn.XLOOKUP(CustomerCombinedCleaned[[#This Row],[ID]], Table2[ID],Table2[MC1], "Not Found", 0 )</f>
        <v>0</v>
      </c>
      <c r="Z1230" s="16">
        <f>_xlfn.XLOOKUP(CustomerCombinedCleaned[[#This Row],[ID]], Table2[ID],Table2[MC2], "Not Found", 0 )</f>
        <v>0</v>
      </c>
      <c r="AA1230" s="16">
        <f>_xlfn.XLOOKUP(CustomerCombinedCleaned[[#This Row],[ID]], Table2[ID],Table2[MC3], "Not Found", 0 )</f>
        <v>0</v>
      </c>
      <c r="AB1230" s="16">
        <f>_xlfn.XLOOKUP(CustomerCombinedCleaned[[#This Row],[ID]], Table2[ID],Table2[MC4], "Not Found", 0 )</f>
        <v>0</v>
      </c>
      <c r="AC1230" s="16">
        <f>_xlfn.XLOOKUP(CustomerCombinedCleaned[[#This Row],[ID]], Table2[ID],Table2[MC5], "Not Found", 0 )</f>
        <v>0</v>
      </c>
    </row>
    <row r="1231" spans="1:29" x14ac:dyDescent="0.3">
      <c r="A1231" s="18">
        <v>1321</v>
      </c>
      <c r="B1231" s="16">
        <v>175693</v>
      </c>
      <c r="C1231" s="16">
        <v>0</v>
      </c>
      <c r="D1231" s="16">
        <v>0</v>
      </c>
      <c r="E1231" s="16">
        <v>52</v>
      </c>
      <c r="F1231" s="17" t="s">
        <v>5</v>
      </c>
      <c r="G1231" s="17" t="s">
        <v>11</v>
      </c>
      <c r="H1231" s="3" t="s">
        <v>352</v>
      </c>
      <c r="I1231" s="5" t="s">
        <v>437</v>
      </c>
      <c r="J1231" s="16">
        <f>_xlfn.XLOOKUP(CustomerCombinedCleaned[[#This Row],[ID]], Table4[ID], Table4[Recency], "Not Found", 0)</f>
        <v>10</v>
      </c>
      <c r="K1231" s="16">
        <f>_xlfn.XLOOKUP(CustomerCombinedCleaned[[#This Row],[ID]], Table4[ID], Table4[Teas], "Not Found", 0)</f>
        <v>1850</v>
      </c>
      <c r="L1231" s="16">
        <f>_xlfn.XLOOKUP(CustomerCombinedCleaned[[#This Row],[ID]], Table4[ID], Table4[Fruits], "Not Found", 0)</f>
        <v>355</v>
      </c>
      <c r="M1231" s="16">
        <f>_xlfn.XLOOKUP(CustomerCombinedCleaned[[#This Row],[ID]], Table4[ID], Table4[Meats], "Not Found", 0)</f>
        <v>680</v>
      </c>
      <c r="N1231" s="16">
        <f>_xlfn.XLOOKUP(CustomerCombinedCleaned[[#This Row],[ID]], Table4[ID], Table4[Seafood], "Not Found", 0)</f>
        <v>167</v>
      </c>
      <c r="O1231" s="16">
        <f>_xlfn.XLOOKUP(CustomerCombinedCleaned[[#This Row],[ID]], Table4[ID], Table4[Sweets], "Not Found", 0)</f>
        <v>225</v>
      </c>
      <c r="P1231" s="16">
        <f>_xlfn.XLOOKUP(CustomerCombinedCleaned[[#This Row],[ID]], Table4[ID], Table4[Premium], "Not Found", 0)</f>
        <v>70</v>
      </c>
      <c r="Q1231" s="16">
        <f>_xlfn.XLOOKUP(CustomerCombinedCleaned[[#This Row],[ID]], Table4[ID], Table4[Regular], "Not Found", 0)</f>
        <v>3208</v>
      </c>
      <c r="R1231" s="16">
        <f>_xlfn.XLOOKUP(CustomerCombinedCleaned[[#This Row],[ID]], Table4[ID], Table4[Deals], "Not Found", 0)</f>
        <v>1</v>
      </c>
      <c r="S1231" s="16">
        <f>_xlfn.XLOOKUP(CustomerCombinedCleaned[[#This Row],[ID]], Table4[ID], Table4[Website], "Not Found", 0)</f>
        <v>11</v>
      </c>
      <c r="T1231" s="16">
        <f>_xlfn.XLOOKUP(CustomerCombinedCleaned[[#This Row],[ID]], Table4[ID], Table4[Catalog], "Not Found", 0)</f>
        <v>4</v>
      </c>
      <c r="U1231" s="16">
        <f>_xlfn.XLOOKUP(CustomerCombinedCleaned[[#This Row],[ID]], Table4[ID], Table4[Store], "Not Found", 0)</f>
        <v>6</v>
      </c>
      <c r="V1231" s="16">
        <f>_xlfn.XLOOKUP(CustomerCombinedCleaned[[#This Row],[ID]], Table4[ID], Table4[Visits], "Not Found", 0)</f>
        <v>4</v>
      </c>
      <c r="W1231" s="16">
        <f>_xlfn.XLOOKUP(CustomerCombinedCleaned[[#This Row],[ID]], Table2[ID],Table2[Complaint], "Not Found", 0 )</f>
        <v>0</v>
      </c>
      <c r="X1231" s="16">
        <f>_xlfn.XLOOKUP(CustomerCombinedCleaned[[#This Row],[ID]], Table2[ID],Table2[Pilot], "Not Found", 0 )</f>
        <v>1</v>
      </c>
      <c r="Y1231" s="16">
        <f>_xlfn.XLOOKUP(CustomerCombinedCleaned[[#This Row],[ID]], Table2[ID],Table2[MC1], "Not Found", 0 )</f>
        <v>1</v>
      </c>
      <c r="Z1231" s="16">
        <f>_xlfn.XLOOKUP(CustomerCombinedCleaned[[#This Row],[ID]], Table2[ID],Table2[MC2], "Not Found", 0 )</f>
        <v>0</v>
      </c>
      <c r="AA1231" s="16">
        <f>_xlfn.XLOOKUP(CustomerCombinedCleaned[[#This Row],[ID]], Table2[ID],Table2[MC3], "Not Found", 0 )</f>
        <v>0</v>
      </c>
      <c r="AB1231" s="16">
        <f>_xlfn.XLOOKUP(CustomerCombinedCleaned[[#This Row],[ID]], Table2[ID],Table2[MC4], "Not Found", 0 )</f>
        <v>1</v>
      </c>
      <c r="AC1231" s="16">
        <f>_xlfn.XLOOKUP(CustomerCombinedCleaned[[#This Row],[ID]], Table2[ID],Table2[MC5], "Not Found", 0 )</f>
        <v>1</v>
      </c>
    </row>
    <row r="1232" spans="1:29" x14ac:dyDescent="0.3">
      <c r="A1232" s="18">
        <v>1227</v>
      </c>
      <c r="B1232" s="16">
        <v>173455</v>
      </c>
      <c r="C1232" s="16">
        <v>0</v>
      </c>
      <c r="D1232" s="16">
        <v>0</v>
      </c>
      <c r="E1232" s="16">
        <v>52</v>
      </c>
      <c r="F1232" s="17" t="s">
        <v>9</v>
      </c>
      <c r="G1232" s="17" t="s">
        <v>11</v>
      </c>
      <c r="H1232" s="3" t="s">
        <v>616</v>
      </c>
      <c r="I1232" s="5" t="s">
        <v>435</v>
      </c>
      <c r="J1232" s="16">
        <f>_xlfn.XLOOKUP(CustomerCombinedCleaned[[#This Row],[ID]], Table4[ID], Table4[Recency], "Not Found", 0)</f>
        <v>98</v>
      </c>
      <c r="K1232" s="16">
        <f>_xlfn.XLOOKUP(CustomerCombinedCleaned[[#This Row],[ID]], Table4[ID], Table4[Teas], "Not Found", 0)</f>
        <v>2128</v>
      </c>
      <c r="L1232" s="16">
        <f>_xlfn.XLOOKUP(CustomerCombinedCleaned[[#This Row],[ID]], Table4[ID], Table4[Fruits], "Not Found", 0)</f>
        <v>144</v>
      </c>
      <c r="M1232" s="16">
        <f>_xlfn.XLOOKUP(CustomerCombinedCleaned[[#This Row],[ID]], Table4[ID], Table4[Meats], "Not Found", 0)</f>
        <v>1788</v>
      </c>
      <c r="N1232" s="16">
        <f>_xlfn.XLOOKUP(CustomerCombinedCleaned[[#This Row],[ID]], Table4[ID], Table4[Seafood], "Not Found", 0)</f>
        <v>439</v>
      </c>
      <c r="O1232" s="16">
        <f>_xlfn.XLOOKUP(CustomerCombinedCleaned[[#This Row],[ID]], Table4[ID], Table4[Sweets], "Not Found", 0)</f>
        <v>385</v>
      </c>
      <c r="P1232" s="16">
        <f>_xlfn.XLOOKUP(CustomerCombinedCleaned[[#This Row],[ID]], Table4[ID], Table4[Premium], "Not Found", 0)</f>
        <v>47</v>
      </c>
      <c r="Q1232" s="16">
        <f>_xlfn.XLOOKUP(CustomerCombinedCleaned[[#This Row],[ID]], Table4[ID], Table4[Regular], "Not Found", 0)</f>
        <v>4836</v>
      </c>
      <c r="R1232" s="16">
        <f>_xlfn.XLOOKUP(CustomerCombinedCleaned[[#This Row],[ID]], Table4[ID], Table4[Deals], "Not Found", 0)</f>
        <v>1</v>
      </c>
      <c r="S1232" s="16">
        <f>_xlfn.XLOOKUP(CustomerCombinedCleaned[[#This Row],[ID]], Table4[ID], Table4[Website], "Not Found", 0)</f>
        <v>6</v>
      </c>
      <c r="T1232" s="16">
        <f>_xlfn.XLOOKUP(CustomerCombinedCleaned[[#This Row],[ID]], Table4[ID], Table4[Catalog], "Not Found", 0)</f>
        <v>5</v>
      </c>
      <c r="U1232" s="16">
        <f>_xlfn.XLOOKUP(CustomerCombinedCleaned[[#This Row],[ID]], Table4[ID], Table4[Store], "Not Found", 0)</f>
        <v>10</v>
      </c>
      <c r="V1232" s="16">
        <f>_xlfn.XLOOKUP(CustomerCombinedCleaned[[#This Row],[ID]], Table4[ID], Table4[Visits], "Not Found", 0)</f>
        <v>3</v>
      </c>
      <c r="W1232" s="16">
        <f>_xlfn.XLOOKUP(CustomerCombinedCleaned[[#This Row],[ID]], Table2[ID],Table2[Complaint], "Not Found", 0 )</f>
        <v>0</v>
      </c>
      <c r="X1232" s="16">
        <f>_xlfn.XLOOKUP(CustomerCombinedCleaned[[#This Row],[ID]], Table2[ID],Table2[Pilot], "Not Found", 0 )</f>
        <v>0</v>
      </c>
      <c r="Y1232" s="16">
        <f>_xlfn.XLOOKUP(CustomerCombinedCleaned[[#This Row],[ID]], Table2[ID],Table2[MC1], "Not Found", 0 )</f>
        <v>0</v>
      </c>
      <c r="Z1232" s="16">
        <f>_xlfn.XLOOKUP(CustomerCombinedCleaned[[#This Row],[ID]], Table2[ID],Table2[MC2], "Not Found", 0 )</f>
        <v>0</v>
      </c>
      <c r="AA1232" s="16">
        <f>_xlfn.XLOOKUP(CustomerCombinedCleaned[[#This Row],[ID]], Table2[ID],Table2[MC3], "Not Found", 0 )</f>
        <v>0</v>
      </c>
      <c r="AB1232" s="16">
        <f>_xlfn.XLOOKUP(CustomerCombinedCleaned[[#This Row],[ID]], Table2[ID],Table2[MC4], "Not Found", 0 )</f>
        <v>1</v>
      </c>
      <c r="AC1232" s="16">
        <f>_xlfn.XLOOKUP(CustomerCombinedCleaned[[#This Row],[ID]], Table2[ID],Table2[MC5], "Not Found", 0 )</f>
        <v>0</v>
      </c>
    </row>
    <row r="1233" spans="1:29" x14ac:dyDescent="0.3">
      <c r="A1233" s="18">
        <v>1378</v>
      </c>
      <c r="B1233" s="16">
        <v>170777</v>
      </c>
      <c r="C1233" s="16">
        <v>0</v>
      </c>
      <c r="D1233" s="16">
        <v>1</v>
      </c>
      <c r="E1233" s="16">
        <v>52</v>
      </c>
      <c r="F1233" s="17" t="s">
        <v>6</v>
      </c>
      <c r="G1233" s="17" t="s">
        <v>12</v>
      </c>
      <c r="H1233" s="3" t="s">
        <v>596</v>
      </c>
      <c r="I1233" s="5" t="s">
        <v>439</v>
      </c>
      <c r="J1233" s="16">
        <f>_xlfn.XLOOKUP(CustomerCombinedCleaned[[#This Row],[ID]], Table4[ID], Table4[Recency], "Not Found", 0)</f>
        <v>80</v>
      </c>
      <c r="K1233" s="16">
        <f>_xlfn.XLOOKUP(CustomerCombinedCleaned[[#This Row],[ID]], Table4[ID], Table4[Teas], "Not Found", 0)</f>
        <v>1337</v>
      </c>
      <c r="L1233" s="16">
        <f>_xlfn.XLOOKUP(CustomerCombinedCleaned[[#This Row],[ID]], Table4[ID], Table4[Fruits], "Not Found", 0)</f>
        <v>84</v>
      </c>
      <c r="M1233" s="16">
        <f>_xlfn.XLOOKUP(CustomerCombinedCleaned[[#This Row],[ID]], Table4[ID], Table4[Meats], "Not Found", 0)</f>
        <v>273</v>
      </c>
      <c r="N1233" s="16">
        <f>_xlfn.XLOOKUP(CustomerCombinedCleaned[[#This Row],[ID]], Table4[ID], Table4[Seafood], "Not Found", 0)</f>
        <v>0</v>
      </c>
      <c r="O1233" s="16">
        <f>_xlfn.XLOOKUP(CustomerCombinedCleaned[[#This Row],[ID]], Table4[ID], Table4[Sweets], "Not Found", 0)</f>
        <v>17</v>
      </c>
      <c r="P1233" s="16">
        <f>_xlfn.XLOOKUP(CustomerCombinedCleaned[[#This Row],[ID]], Table4[ID], Table4[Premium], "Not Found", 0)</f>
        <v>188</v>
      </c>
      <c r="Q1233" s="16">
        <f>_xlfn.XLOOKUP(CustomerCombinedCleaned[[#This Row],[ID]], Table4[ID], Table4[Regular], "Not Found", 0)</f>
        <v>1523</v>
      </c>
      <c r="R1233" s="16">
        <f>_xlfn.XLOOKUP(CustomerCombinedCleaned[[#This Row],[ID]], Table4[ID], Table4[Deals], "Not Found", 0)</f>
        <v>3</v>
      </c>
      <c r="S1233" s="16">
        <f>_xlfn.XLOOKUP(CustomerCombinedCleaned[[#This Row],[ID]], Table4[ID], Table4[Website], "Not Found", 0)</f>
        <v>5</v>
      </c>
      <c r="T1233" s="16">
        <f>_xlfn.XLOOKUP(CustomerCombinedCleaned[[#This Row],[ID]], Table4[ID], Table4[Catalog], "Not Found", 0)</f>
        <v>3</v>
      </c>
      <c r="U1233" s="16">
        <f>_xlfn.XLOOKUP(CustomerCombinedCleaned[[#This Row],[ID]], Table4[ID], Table4[Store], "Not Found", 0)</f>
        <v>12</v>
      </c>
      <c r="V1233" s="16">
        <f>_xlfn.XLOOKUP(CustomerCombinedCleaned[[#This Row],[ID]], Table4[ID], Table4[Visits], "Not Found", 0)</f>
        <v>3</v>
      </c>
      <c r="W1233" s="16">
        <f>_xlfn.XLOOKUP(CustomerCombinedCleaned[[#This Row],[ID]], Table2[ID],Table2[Complaint], "Not Found", 0 )</f>
        <v>0</v>
      </c>
      <c r="X1233" s="16">
        <f>_xlfn.XLOOKUP(CustomerCombinedCleaned[[#This Row],[ID]], Table2[ID],Table2[Pilot], "Not Found", 0 )</f>
        <v>0</v>
      </c>
      <c r="Y1233" s="16">
        <f>_xlfn.XLOOKUP(CustomerCombinedCleaned[[#This Row],[ID]], Table2[ID],Table2[MC1], "Not Found", 0 )</f>
        <v>0</v>
      </c>
      <c r="Z1233" s="16">
        <f>_xlfn.XLOOKUP(CustomerCombinedCleaned[[#This Row],[ID]], Table2[ID],Table2[MC2], "Not Found", 0 )</f>
        <v>0</v>
      </c>
      <c r="AA1233" s="16">
        <f>_xlfn.XLOOKUP(CustomerCombinedCleaned[[#This Row],[ID]], Table2[ID],Table2[MC3], "Not Found", 0 )</f>
        <v>0</v>
      </c>
      <c r="AB1233" s="16">
        <f>_xlfn.XLOOKUP(CustomerCombinedCleaned[[#This Row],[ID]], Table2[ID],Table2[MC4], "Not Found", 0 )</f>
        <v>0</v>
      </c>
      <c r="AC1233" s="16">
        <f>_xlfn.XLOOKUP(CustomerCombinedCleaned[[#This Row],[ID]], Table2[ID],Table2[MC5], "Not Found", 0 )</f>
        <v>0</v>
      </c>
    </row>
    <row r="1234" spans="1:29" x14ac:dyDescent="0.3">
      <c r="A1234" s="18">
        <v>2101</v>
      </c>
      <c r="B1234" s="16">
        <v>170566</v>
      </c>
      <c r="C1234" s="16">
        <v>0</v>
      </c>
      <c r="D1234" s="16">
        <v>1</v>
      </c>
      <c r="E1234" s="16">
        <v>52</v>
      </c>
      <c r="F1234" s="17" t="s">
        <v>7</v>
      </c>
      <c r="G1234" s="17" t="s">
        <v>11</v>
      </c>
      <c r="H1234" s="3" t="s">
        <v>664</v>
      </c>
      <c r="I1234" s="5" t="s">
        <v>437</v>
      </c>
      <c r="J1234" s="16">
        <f>_xlfn.XLOOKUP(CustomerCombinedCleaned[[#This Row],[ID]], Table4[ID], Table4[Recency], "Not Found", 0)</f>
        <v>4</v>
      </c>
      <c r="K1234" s="16">
        <f>_xlfn.XLOOKUP(CustomerCombinedCleaned[[#This Row],[ID]], Table4[ID], Table4[Teas], "Not Found", 0)</f>
        <v>921</v>
      </c>
      <c r="L1234" s="16">
        <f>_xlfn.XLOOKUP(CustomerCombinedCleaned[[#This Row],[ID]], Table4[ID], Table4[Fruits], "Not Found", 0)</f>
        <v>68</v>
      </c>
      <c r="M1234" s="16">
        <f>_xlfn.XLOOKUP(CustomerCombinedCleaned[[#This Row],[ID]], Table4[ID], Table4[Meats], "Not Found", 0)</f>
        <v>520</v>
      </c>
      <c r="N1234" s="16">
        <f>_xlfn.XLOOKUP(CustomerCombinedCleaned[[#This Row],[ID]], Table4[ID], Table4[Seafood], "Not Found", 0)</f>
        <v>203</v>
      </c>
      <c r="O1234" s="16">
        <f>_xlfn.XLOOKUP(CustomerCombinedCleaned[[#This Row],[ID]], Table4[ID], Table4[Sweets], "Not Found", 0)</f>
        <v>68</v>
      </c>
      <c r="P1234" s="16">
        <f>_xlfn.XLOOKUP(CustomerCombinedCleaned[[#This Row],[ID]], Table4[ID], Table4[Premium], "Not Found", 0)</f>
        <v>51</v>
      </c>
      <c r="Q1234" s="16">
        <f>_xlfn.XLOOKUP(CustomerCombinedCleaned[[#This Row],[ID]], Table4[ID], Table4[Regular], "Not Found", 0)</f>
        <v>1728</v>
      </c>
      <c r="R1234" s="16">
        <f>_xlfn.XLOOKUP(CustomerCombinedCleaned[[#This Row],[ID]], Table4[ID], Table4[Deals], "Not Found", 0)</f>
        <v>2</v>
      </c>
      <c r="S1234" s="16">
        <f>_xlfn.XLOOKUP(CustomerCombinedCleaned[[#This Row],[ID]], Table4[ID], Table4[Website], "Not Found", 0)</f>
        <v>6</v>
      </c>
      <c r="T1234" s="16">
        <f>_xlfn.XLOOKUP(CustomerCombinedCleaned[[#This Row],[ID]], Table4[ID], Table4[Catalog], "Not Found", 0)</f>
        <v>5</v>
      </c>
      <c r="U1234" s="16">
        <f>_xlfn.XLOOKUP(CustomerCombinedCleaned[[#This Row],[ID]], Table4[ID], Table4[Store], "Not Found", 0)</f>
        <v>9</v>
      </c>
      <c r="V1234" s="16">
        <f>_xlfn.XLOOKUP(CustomerCombinedCleaned[[#This Row],[ID]], Table4[ID], Table4[Visits], "Not Found", 0)</f>
        <v>3</v>
      </c>
      <c r="W1234" s="16">
        <f>_xlfn.XLOOKUP(CustomerCombinedCleaned[[#This Row],[ID]], Table2[ID],Table2[Complaint], "Not Found", 0 )</f>
        <v>0</v>
      </c>
      <c r="X1234" s="16">
        <f>_xlfn.XLOOKUP(CustomerCombinedCleaned[[#This Row],[ID]], Table2[ID],Table2[Pilot], "Not Found", 0 )</f>
        <v>0</v>
      </c>
      <c r="Y1234" s="16">
        <f>_xlfn.XLOOKUP(CustomerCombinedCleaned[[#This Row],[ID]], Table2[ID],Table2[MC1], "Not Found", 0 )</f>
        <v>0</v>
      </c>
      <c r="Z1234" s="16">
        <f>_xlfn.XLOOKUP(CustomerCombinedCleaned[[#This Row],[ID]], Table2[ID],Table2[MC2], "Not Found", 0 )</f>
        <v>0</v>
      </c>
      <c r="AA1234" s="16">
        <f>_xlfn.XLOOKUP(CustomerCombinedCleaned[[#This Row],[ID]], Table2[ID],Table2[MC3], "Not Found", 0 )</f>
        <v>0</v>
      </c>
      <c r="AB1234" s="16">
        <f>_xlfn.XLOOKUP(CustomerCombinedCleaned[[#This Row],[ID]], Table2[ID],Table2[MC4], "Not Found", 0 )</f>
        <v>0</v>
      </c>
      <c r="AC1234" s="16">
        <f>_xlfn.XLOOKUP(CustomerCombinedCleaned[[#This Row],[ID]], Table2[ID],Table2[MC5], "Not Found", 0 )</f>
        <v>0</v>
      </c>
    </row>
    <row r="1235" spans="1:29" x14ac:dyDescent="0.3">
      <c r="A1235" s="18">
        <v>1248</v>
      </c>
      <c r="B1235" s="16">
        <v>169674</v>
      </c>
      <c r="C1235" s="16">
        <v>0</v>
      </c>
      <c r="D1235" s="16">
        <v>2</v>
      </c>
      <c r="E1235" s="16">
        <v>52</v>
      </c>
      <c r="F1235" s="17" t="s">
        <v>5</v>
      </c>
      <c r="G1235" s="17" t="s">
        <v>13</v>
      </c>
      <c r="H1235" s="3" t="s">
        <v>249</v>
      </c>
      <c r="I1235" s="5" t="s">
        <v>436</v>
      </c>
      <c r="J1235" s="16">
        <f>_xlfn.XLOOKUP(CustomerCombinedCleaned[[#This Row],[ID]], Table4[ID], Table4[Recency], "Not Found", 0)</f>
        <v>46</v>
      </c>
      <c r="K1235" s="16">
        <f>_xlfn.XLOOKUP(CustomerCombinedCleaned[[#This Row],[ID]], Table4[ID], Table4[Teas], "Not Found", 0)</f>
        <v>1349</v>
      </c>
      <c r="L1235" s="16">
        <f>_xlfn.XLOOKUP(CustomerCombinedCleaned[[#This Row],[ID]], Table4[ID], Table4[Fruits], "Not Found", 0)</f>
        <v>100</v>
      </c>
      <c r="M1235" s="16">
        <f>_xlfn.XLOOKUP(CustomerCombinedCleaned[[#This Row],[ID]], Table4[ID], Table4[Meats], "Not Found", 0)</f>
        <v>524</v>
      </c>
      <c r="N1235" s="16">
        <f>_xlfn.XLOOKUP(CustomerCombinedCleaned[[#This Row],[ID]], Table4[ID], Table4[Seafood], "Not Found", 0)</f>
        <v>27</v>
      </c>
      <c r="O1235" s="16">
        <f>_xlfn.XLOOKUP(CustomerCombinedCleaned[[#This Row],[ID]], Table4[ID], Table4[Sweets], "Not Found", 0)</f>
        <v>0</v>
      </c>
      <c r="P1235" s="16">
        <f>_xlfn.XLOOKUP(CustomerCombinedCleaned[[#This Row],[ID]], Table4[ID], Table4[Premium], "Not Found", 0)</f>
        <v>58</v>
      </c>
      <c r="Q1235" s="16">
        <f>_xlfn.XLOOKUP(CustomerCombinedCleaned[[#This Row],[ID]], Table4[ID], Table4[Regular], "Not Found", 0)</f>
        <v>1941</v>
      </c>
      <c r="R1235" s="16">
        <f>_xlfn.XLOOKUP(CustomerCombinedCleaned[[#This Row],[ID]], Table4[ID], Table4[Deals], "Not Found", 0)</f>
        <v>3</v>
      </c>
      <c r="S1235" s="16">
        <f>_xlfn.XLOOKUP(CustomerCombinedCleaned[[#This Row],[ID]], Table4[ID], Table4[Website], "Not Found", 0)</f>
        <v>10</v>
      </c>
      <c r="T1235" s="16">
        <f>_xlfn.XLOOKUP(CustomerCombinedCleaned[[#This Row],[ID]], Table4[ID], Table4[Catalog], "Not Found", 0)</f>
        <v>2</v>
      </c>
      <c r="U1235" s="16">
        <f>_xlfn.XLOOKUP(CustomerCombinedCleaned[[#This Row],[ID]], Table4[ID], Table4[Store], "Not Found", 0)</f>
        <v>10</v>
      </c>
      <c r="V1235" s="16">
        <f>_xlfn.XLOOKUP(CustomerCombinedCleaned[[#This Row],[ID]], Table4[ID], Table4[Visits], "Not Found", 0)</f>
        <v>5</v>
      </c>
      <c r="W1235" s="16">
        <f>_xlfn.XLOOKUP(CustomerCombinedCleaned[[#This Row],[ID]], Table2[ID],Table2[Complaint], "Not Found", 0 )</f>
        <v>0</v>
      </c>
      <c r="X1235" s="16">
        <f>_xlfn.XLOOKUP(CustomerCombinedCleaned[[#This Row],[ID]], Table2[ID],Table2[Pilot], "Not Found", 0 )</f>
        <v>0</v>
      </c>
      <c r="Y1235" s="16">
        <f>_xlfn.XLOOKUP(CustomerCombinedCleaned[[#This Row],[ID]], Table2[ID],Table2[MC1], "Not Found", 0 )</f>
        <v>0</v>
      </c>
      <c r="Z1235" s="16">
        <f>_xlfn.XLOOKUP(CustomerCombinedCleaned[[#This Row],[ID]], Table2[ID],Table2[MC2], "Not Found", 0 )</f>
        <v>0</v>
      </c>
      <c r="AA1235" s="16">
        <f>_xlfn.XLOOKUP(CustomerCombinedCleaned[[#This Row],[ID]], Table2[ID],Table2[MC3], "Not Found", 0 )</f>
        <v>0</v>
      </c>
      <c r="AB1235" s="16">
        <f>_xlfn.XLOOKUP(CustomerCombinedCleaned[[#This Row],[ID]], Table2[ID],Table2[MC4], "Not Found", 0 )</f>
        <v>0</v>
      </c>
      <c r="AC1235" s="16">
        <f>_xlfn.XLOOKUP(CustomerCombinedCleaned[[#This Row],[ID]], Table2[ID],Table2[MC5], "Not Found", 0 )</f>
        <v>0</v>
      </c>
    </row>
    <row r="1236" spans="1:29" x14ac:dyDescent="0.3">
      <c r="A1236" s="18">
        <v>2757</v>
      </c>
      <c r="B1236" s="16">
        <v>164590</v>
      </c>
      <c r="C1236" s="16">
        <v>0</v>
      </c>
      <c r="D1236" s="16">
        <v>0</v>
      </c>
      <c r="E1236" s="16">
        <v>52</v>
      </c>
      <c r="F1236" s="17" t="s">
        <v>6</v>
      </c>
      <c r="G1236" s="17" t="s">
        <v>11</v>
      </c>
      <c r="H1236" s="3" t="s">
        <v>380</v>
      </c>
      <c r="I1236" s="5" t="s">
        <v>435</v>
      </c>
      <c r="J1236" s="16">
        <f>_xlfn.XLOOKUP(CustomerCombinedCleaned[[#This Row],[ID]], Table4[ID], Table4[Recency], "Not Found", 0)</f>
        <v>98</v>
      </c>
      <c r="K1236" s="16">
        <f>_xlfn.XLOOKUP(CustomerCombinedCleaned[[#This Row],[ID]], Table4[ID], Table4[Teas], "Not Found", 0)</f>
        <v>2344</v>
      </c>
      <c r="L1236" s="16">
        <f>_xlfn.XLOOKUP(CustomerCombinedCleaned[[#This Row],[ID]], Table4[ID], Table4[Fruits], "Not Found", 0)</f>
        <v>352</v>
      </c>
      <c r="M1236" s="16">
        <f>_xlfn.XLOOKUP(CustomerCombinedCleaned[[#This Row],[ID]], Table4[ID], Table4[Meats], "Not Found", 0)</f>
        <v>428</v>
      </c>
      <c r="N1236" s="16">
        <f>_xlfn.XLOOKUP(CustomerCombinedCleaned[[#This Row],[ID]], Table4[ID], Table4[Seafood], "Not Found", 0)</f>
        <v>92</v>
      </c>
      <c r="O1236" s="16">
        <f>_xlfn.XLOOKUP(CustomerCombinedCleaned[[#This Row],[ID]], Table4[ID], Table4[Sweets], "Not Found", 0)</f>
        <v>117</v>
      </c>
      <c r="P1236" s="16">
        <f>_xlfn.XLOOKUP(CustomerCombinedCleaned[[#This Row],[ID]], Table4[ID], Table4[Premium], "Not Found", 0)</f>
        <v>76</v>
      </c>
      <c r="Q1236" s="16">
        <f>_xlfn.XLOOKUP(CustomerCombinedCleaned[[#This Row],[ID]], Table4[ID], Table4[Regular], "Not Found", 0)</f>
        <v>3257</v>
      </c>
      <c r="R1236" s="16">
        <f>_xlfn.XLOOKUP(CustomerCombinedCleaned[[#This Row],[ID]], Table4[ID], Table4[Deals], "Not Found", 0)</f>
        <v>1</v>
      </c>
      <c r="S1236" s="16">
        <f>_xlfn.XLOOKUP(CustomerCombinedCleaned[[#This Row],[ID]], Table4[ID], Table4[Website], "Not Found", 0)</f>
        <v>9</v>
      </c>
      <c r="T1236" s="16">
        <f>_xlfn.XLOOKUP(CustomerCombinedCleaned[[#This Row],[ID]], Table4[ID], Table4[Catalog], "Not Found", 0)</f>
        <v>4</v>
      </c>
      <c r="U1236" s="16">
        <f>_xlfn.XLOOKUP(CustomerCombinedCleaned[[#This Row],[ID]], Table4[ID], Table4[Store], "Not Found", 0)</f>
        <v>10</v>
      </c>
      <c r="V1236" s="16">
        <f>_xlfn.XLOOKUP(CustomerCombinedCleaned[[#This Row],[ID]], Table4[ID], Table4[Visits], "Not Found", 0)</f>
        <v>6</v>
      </c>
      <c r="W1236" s="16">
        <f>_xlfn.XLOOKUP(CustomerCombinedCleaned[[#This Row],[ID]], Table2[ID],Table2[Complaint], "Not Found", 0 )</f>
        <v>0</v>
      </c>
      <c r="X1236" s="16">
        <f>_xlfn.XLOOKUP(CustomerCombinedCleaned[[#This Row],[ID]], Table2[ID],Table2[Pilot], "Not Found", 0 )</f>
        <v>0</v>
      </c>
      <c r="Y1236" s="16">
        <f>_xlfn.XLOOKUP(CustomerCombinedCleaned[[#This Row],[ID]], Table2[ID],Table2[MC1], "Not Found", 0 )</f>
        <v>0</v>
      </c>
      <c r="Z1236" s="16">
        <f>_xlfn.XLOOKUP(CustomerCombinedCleaned[[#This Row],[ID]], Table2[ID],Table2[MC2], "Not Found", 0 )</f>
        <v>0</v>
      </c>
      <c r="AA1236" s="16">
        <f>_xlfn.XLOOKUP(CustomerCombinedCleaned[[#This Row],[ID]], Table2[ID],Table2[MC3], "Not Found", 0 )</f>
        <v>0</v>
      </c>
      <c r="AB1236" s="16">
        <f>_xlfn.XLOOKUP(CustomerCombinedCleaned[[#This Row],[ID]], Table2[ID],Table2[MC4], "Not Found", 0 )</f>
        <v>0</v>
      </c>
      <c r="AC1236" s="16">
        <f>_xlfn.XLOOKUP(CustomerCombinedCleaned[[#This Row],[ID]], Table2[ID],Table2[MC5], "Not Found", 0 )</f>
        <v>0</v>
      </c>
    </row>
    <row r="1237" spans="1:29" x14ac:dyDescent="0.3">
      <c r="A1237" s="18">
        <v>2798</v>
      </c>
      <c r="B1237" s="16">
        <v>163967</v>
      </c>
      <c r="C1237" s="16">
        <v>0</v>
      </c>
      <c r="D1237" s="16">
        <v>1</v>
      </c>
      <c r="E1237" s="16">
        <v>52</v>
      </c>
      <c r="F1237" s="17" t="s">
        <v>6</v>
      </c>
      <c r="G1237" s="17" t="s">
        <v>11</v>
      </c>
      <c r="H1237" s="3" t="s">
        <v>208</v>
      </c>
      <c r="I1237" s="5" t="s">
        <v>438</v>
      </c>
      <c r="J1237" s="16">
        <f>_xlfn.XLOOKUP(CustomerCombinedCleaned[[#This Row],[ID]], Table4[ID], Table4[Recency], "Not Found", 0)</f>
        <v>57</v>
      </c>
      <c r="K1237" s="16">
        <f>_xlfn.XLOOKUP(CustomerCombinedCleaned[[#This Row],[ID]], Table4[ID], Table4[Teas], "Not Found", 0)</f>
        <v>992</v>
      </c>
      <c r="L1237" s="16">
        <f>_xlfn.XLOOKUP(CustomerCombinedCleaned[[#This Row],[ID]], Table4[ID], Table4[Fruits], "Not Found", 0)</f>
        <v>215</v>
      </c>
      <c r="M1237" s="16">
        <f>_xlfn.XLOOKUP(CustomerCombinedCleaned[[#This Row],[ID]], Table4[ID], Table4[Meats], "Not Found", 0)</f>
        <v>361</v>
      </c>
      <c r="N1237" s="16">
        <f>_xlfn.XLOOKUP(CustomerCombinedCleaned[[#This Row],[ID]], Table4[ID], Table4[Seafood], "Not Found", 0)</f>
        <v>187</v>
      </c>
      <c r="O1237" s="16">
        <f>_xlfn.XLOOKUP(CustomerCombinedCleaned[[#This Row],[ID]], Table4[ID], Table4[Sweets], "Not Found", 0)</f>
        <v>90</v>
      </c>
      <c r="P1237" s="16">
        <f>_xlfn.XLOOKUP(CustomerCombinedCleaned[[#This Row],[ID]], Table4[ID], Table4[Premium], "Not Found", 0)</f>
        <v>415</v>
      </c>
      <c r="Q1237" s="16">
        <f>_xlfn.XLOOKUP(CustomerCombinedCleaned[[#This Row],[ID]], Table4[ID], Table4[Regular], "Not Found", 0)</f>
        <v>1430</v>
      </c>
      <c r="R1237" s="16">
        <f>_xlfn.XLOOKUP(CustomerCombinedCleaned[[#This Row],[ID]], Table4[ID], Table4[Deals], "Not Found", 0)</f>
        <v>3</v>
      </c>
      <c r="S1237" s="16">
        <f>_xlfn.XLOOKUP(CustomerCombinedCleaned[[#This Row],[ID]], Table4[ID], Table4[Website], "Not Found", 0)</f>
        <v>4</v>
      </c>
      <c r="T1237" s="16">
        <f>_xlfn.XLOOKUP(CustomerCombinedCleaned[[#This Row],[ID]], Table4[ID], Table4[Catalog], "Not Found", 0)</f>
        <v>4</v>
      </c>
      <c r="U1237" s="16">
        <f>_xlfn.XLOOKUP(CustomerCombinedCleaned[[#This Row],[ID]], Table4[ID], Table4[Store], "Not Found", 0)</f>
        <v>12</v>
      </c>
      <c r="V1237" s="16">
        <f>_xlfn.XLOOKUP(CustomerCombinedCleaned[[#This Row],[ID]], Table4[ID], Table4[Visits], "Not Found", 0)</f>
        <v>2</v>
      </c>
      <c r="W1237" s="16">
        <f>_xlfn.XLOOKUP(CustomerCombinedCleaned[[#This Row],[ID]], Table2[ID],Table2[Complaint], "Not Found", 0 )</f>
        <v>0</v>
      </c>
      <c r="X1237" s="16">
        <f>_xlfn.XLOOKUP(CustomerCombinedCleaned[[#This Row],[ID]], Table2[ID],Table2[Pilot], "Not Found", 0 )</f>
        <v>0</v>
      </c>
      <c r="Y1237" s="16">
        <f>_xlfn.XLOOKUP(CustomerCombinedCleaned[[#This Row],[ID]], Table2[ID],Table2[MC1], "Not Found", 0 )</f>
        <v>0</v>
      </c>
      <c r="Z1237" s="16">
        <f>_xlfn.XLOOKUP(CustomerCombinedCleaned[[#This Row],[ID]], Table2[ID],Table2[MC2], "Not Found", 0 )</f>
        <v>0</v>
      </c>
      <c r="AA1237" s="16">
        <f>_xlfn.XLOOKUP(CustomerCombinedCleaned[[#This Row],[ID]], Table2[ID],Table2[MC3], "Not Found", 0 )</f>
        <v>0</v>
      </c>
      <c r="AB1237" s="16">
        <f>_xlfn.XLOOKUP(CustomerCombinedCleaned[[#This Row],[ID]], Table2[ID],Table2[MC4], "Not Found", 0 )</f>
        <v>0</v>
      </c>
      <c r="AC1237" s="16">
        <f>_xlfn.XLOOKUP(CustomerCombinedCleaned[[#This Row],[ID]], Table2[ID],Table2[MC5], "Not Found", 0 )</f>
        <v>0</v>
      </c>
    </row>
    <row r="1238" spans="1:29" x14ac:dyDescent="0.3">
      <c r="A1238" s="18">
        <v>1266</v>
      </c>
      <c r="B1238" s="16">
        <v>163841</v>
      </c>
      <c r="C1238" s="16">
        <v>0</v>
      </c>
      <c r="D1238" s="16">
        <v>1</v>
      </c>
      <c r="E1238" s="16">
        <v>52</v>
      </c>
      <c r="F1238" s="17" t="s">
        <v>5</v>
      </c>
      <c r="G1238" s="17" t="s">
        <v>12</v>
      </c>
      <c r="H1238" s="3" t="s">
        <v>268</v>
      </c>
      <c r="I1238" s="5" t="s">
        <v>436</v>
      </c>
      <c r="J1238" s="16">
        <f>_xlfn.XLOOKUP(CustomerCombinedCleaned[[#This Row],[ID]], Table4[ID], Table4[Recency], "Not Found", 0)</f>
        <v>64</v>
      </c>
      <c r="K1238" s="16">
        <f>_xlfn.XLOOKUP(CustomerCombinedCleaned[[#This Row],[ID]], Table4[ID], Table4[Teas], "Not Found", 0)</f>
        <v>1630</v>
      </c>
      <c r="L1238" s="16">
        <f>_xlfn.XLOOKUP(CustomerCombinedCleaned[[#This Row],[ID]], Table4[ID], Table4[Fruits], "Not Found", 0)</f>
        <v>38</v>
      </c>
      <c r="M1238" s="16">
        <f>_xlfn.XLOOKUP(CustomerCombinedCleaned[[#This Row],[ID]], Table4[ID], Table4[Meats], "Not Found", 0)</f>
        <v>257</v>
      </c>
      <c r="N1238" s="16">
        <f>_xlfn.XLOOKUP(CustomerCombinedCleaned[[#This Row],[ID]], Table4[ID], Table4[Seafood], "Not Found", 0)</f>
        <v>51</v>
      </c>
      <c r="O1238" s="16">
        <f>_xlfn.XLOOKUP(CustomerCombinedCleaned[[#This Row],[ID]], Table4[ID], Table4[Sweets], "Not Found", 0)</f>
        <v>18</v>
      </c>
      <c r="P1238" s="16">
        <f>_xlfn.XLOOKUP(CustomerCombinedCleaned[[#This Row],[ID]], Table4[ID], Table4[Premium], "Not Found", 0)</f>
        <v>336</v>
      </c>
      <c r="Q1238" s="16">
        <f>_xlfn.XLOOKUP(CustomerCombinedCleaned[[#This Row],[ID]], Table4[ID], Table4[Regular], "Not Found", 0)</f>
        <v>1658</v>
      </c>
      <c r="R1238" s="16">
        <f>_xlfn.XLOOKUP(CustomerCombinedCleaned[[#This Row],[ID]], Table4[ID], Table4[Deals], "Not Found", 0)</f>
        <v>1</v>
      </c>
      <c r="S1238" s="16">
        <f>_xlfn.XLOOKUP(CustomerCombinedCleaned[[#This Row],[ID]], Table4[ID], Table4[Website], "Not Found", 0)</f>
        <v>9</v>
      </c>
      <c r="T1238" s="16">
        <f>_xlfn.XLOOKUP(CustomerCombinedCleaned[[#This Row],[ID]], Table4[ID], Table4[Catalog], "Not Found", 0)</f>
        <v>3</v>
      </c>
      <c r="U1238" s="16">
        <f>_xlfn.XLOOKUP(CustomerCombinedCleaned[[#This Row],[ID]], Table4[ID], Table4[Store], "Not Found", 0)</f>
        <v>9</v>
      </c>
      <c r="V1238" s="16">
        <f>_xlfn.XLOOKUP(CustomerCombinedCleaned[[#This Row],[ID]], Table4[ID], Table4[Visits], "Not Found", 0)</f>
        <v>6</v>
      </c>
      <c r="W1238" s="16">
        <f>_xlfn.XLOOKUP(CustomerCombinedCleaned[[#This Row],[ID]], Table2[ID],Table2[Complaint], "Not Found", 0 )</f>
        <v>0</v>
      </c>
      <c r="X1238" s="16">
        <f>_xlfn.XLOOKUP(CustomerCombinedCleaned[[#This Row],[ID]], Table2[ID],Table2[Pilot], "Not Found", 0 )</f>
        <v>0</v>
      </c>
      <c r="Y1238" s="16">
        <f>_xlfn.XLOOKUP(CustomerCombinedCleaned[[#This Row],[ID]], Table2[ID],Table2[MC1], "Not Found", 0 )</f>
        <v>0</v>
      </c>
      <c r="Z1238" s="16">
        <f>_xlfn.XLOOKUP(CustomerCombinedCleaned[[#This Row],[ID]], Table2[ID],Table2[MC2], "Not Found", 0 )</f>
        <v>0</v>
      </c>
      <c r="AA1238" s="16">
        <f>_xlfn.XLOOKUP(CustomerCombinedCleaned[[#This Row],[ID]], Table2[ID],Table2[MC3], "Not Found", 0 )</f>
        <v>0</v>
      </c>
      <c r="AB1238" s="16">
        <f>_xlfn.XLOOKUP(CustomerCombinedCleaned[[#This Row],[ID]], Table2[ID],Table2[MC4], "Not Found", 0 )</f>
        <v>0</v>
      </c>
      <c r="AC1238" s="16">
        <f>_xlfn.XLOOKUP(CustomerCombinedCleaned[[#This Row],[ID]], Table2[ID],Table2[MC5], "Not Found", 0 )</f>
        <v>0</v>
      </c>
    </row>
    <row r="1239" spans="1:29" x14ac:dyDescent="0.3">
      <c r="A1239" s="18">
        <v>2176</v>
      </c>
      <c r="B1239" s="16">
        <v>163841</v>
      </c>
      <c r="C1239" s="16">
        <v>0</v>
      </c>
      <c r="D1239" s="16">
        <v>1</v>
      </c>
      <c r="E1239" s="16">
        <v>52</v>
      </c>
      <c r="F1239" s="17" t="s">
        <v>5</v>
      </c>
      <c r="G1239" s="17" t="s">
        <v>12</v>
      </c>
      <c r="H1239" s="3" t="s">
        <v>268</v>
      </c>
      <c r="I1239" s="5" t="s">
        <v>439</v>
      </c>
      <c r="J1239" s="16">
        <f>_xlfn.XLOOKUP(CustomerCombinedCleaned[[#This Row],[ID]], Table4[ID], Table4[Recency], "Not Found", 0)</f>
        <v>64</v>
      </c>
      <c r="K1239" s="16">
        <f>_xlfn.XLOOKUP(CustomerCombinedCleaned[[#This Row],[ID]], Table4[ID], Table4[Teas], "Not Found", 0)</f>
        <v>1630</v>
      </c>
      <c r="L1239" s="16">
        <f>_xlfn.XLOOKUP(CustomerCombinedCleaned[[#This Row],[ID]], Table4[ID], Table4[Fruits], "Not Found", 0)</f>
        <v>38</v>
      </c>
      <c r="M1239" s="16">
        <f>_xlfn.XLOOKUP(CustomerCombinedCleaned[[#This Row],[ID]], Table4[ID], Table4[Meats], "Not Found", 0)</f>
        <v>257</v>
      </c>
      <c r="N1239" s="16">
        <f>_xlfn.XLOOKUP(CustomerCombinedCleaned[[#This Row],[ID]], Table4[ID], Table4[Seafood], "Not Found", 0)</f>
        <v>51</v>
      </c>
      <c r="O1239" s="16">
        <f>_xlfn.XLOOKUP(CustomerCombinedCleaned[[#This Row],[ID]], Table4[ID], Table4[Sweets], "Not Found", 0)</f>
        <v>18</v>
      </c>
      <c r="P1239" s="16">
        <f>_xlfn.XLOOKUP(CustomerCombinedCleaned[[#This Row],[ID]], Table4[ID], Table4[Premium], "Not Found", 0)</f>
        <v>336</v>
      </c>
      <c r="Q1239" s="16">
        <f>_xlfn.XLOOKUP(CustomerCombinedCleaned[[#This Row],[ID]], Table4[ID], Table4[Regular], "Not Found", 0)</f>
        <v>1658</v>
      </c>
      <c r="R1239" s="16">
        <f>_xlfn.XLOOKUP(CustomerCombinedCleaned[[#This Row],[ID]], Table4[ID], Table4[Deals], "Not Found", 0)</f>
        <v>1</v>
      </c>
      <c r="S1239" s="16">
        <f>_xlfn.XLOOKUP(CustomerCombinedCleaned[[#This Row],[ID]], Table4[ID], Table4[Website], "Not Found", 0)</f>
        <v>9</v>
      </c>
      <c r="T1239" s="16">
        <f>_xlfn.XLOOKUP(CustomerCombinedCleaned[[#This Row],[ID]], Table4[ID], Table4[Catalog], "Not Found", 0)</f>
        <v>3</v>
      </c>
      <c r="U1239" s="16">
        <f>_xlfn.XLOOKUP(CustomerCombinedCleaned[[#This Row],[ID]], Table4[ID], Table4[Store], "Not Found", 0)</f>
        <v>9</v>
      </c>
      <c r="V1239" s="16">
        <f>_xlfn.XLOOKUP(CustomerCombinedCleaned[[#This Row],[ID]], Table4[ID], Table4[Visits], "Not Found", 0)</f>
        <v>6</v>
      </c>
      <c r="W1239" s="16">
        <f>_xlfn.XLOOKUP(CustomerCombinedCleaned[[#This Row],[ID]], Table2[ID],Table2[Complaint], "Not Found", 0 )</f>
        <v>0</v>
      </c>
      <c r="X1239" s="16">
        <f>_xlfn.XLOOKUP(CustomerCombinedCleaned[[#This Row],[ID]], Table2[ID],Table2[Pilot], "Not Found", 0 )</f>
        <v>0</v>
      </c>
      <c r="Y1239" s="16">
        <f>_xlfn.XLOOKUP(CustomerCombinedCleaned[[#This Row],[ID]], Table2[ID],Table2[MC1], "Not Found", 0 )</f>
        <v>0</v>
      </c>
      <c r="Z1239" s="16">
        <f>_xlfn.XLOOKUP(CustomerCombinedCleaned[[#This Row],[ID]], Table2[ID],Table2[MC2], "Not Found", 0 )</f>
        <v>0</v>
      </c>
      <c r="AA1239" s="16">
        <f>_xlfn.XLOOKUP(CustomerCombinedCleaned[[#This Row],[ID]], Table2[ID],Table2[MC3], "Not Found", 0 )</f>
        <v>0</v>
      </c>
      <c r="AB1239" s="16">
        <f>_xlfn.XLOOKUP(CustomerCombinedCleaned[[#This Row],[ID]], Table2[ID],Table2[MC4], "Not Found", 0 )</f>
        <v>0</v>
      </c>
      <c r="AC1239" s="16">
        <f>_xlfn.XLOOKUP(CustomerCombinedCleaned[[#This Row],[ID]], Table2[ID],Table2[MC5], "Not Found", 0 )</f>
        <v>0</v>
      </c>
    </row>
    <row r="1240" spans="1:29" x14ac:dyDescent="0.3">
      <c r="A1240" s="18">
        <v>2374</v>
      </c>
      <c r="B1240" s="16">
        <v>163841</v>
      </c>
      <c r="C1240" s="16">
        <v>0</v>
      </c>
      <c r="D1240" s="16">
        <v>1</v>
      </c>
      <c r="E1240" s="16">
        <v>52</v>
      </c>
      <c r="F1240" s="17" t="s">
        <v>5</v>
      </c>
      <c r="G1240" s="17" t="s">
        <v>12</v>
      </c>
      <c r="H1240" s="3" t="s">
        <v>268</v>
      </c>
      <c r="I1240" s="5" t="s">
        <v>439</v>
      </c>
      <c r="J1240" s="16">
        <f>_xlfn.XLOOKUP(CustomerCombinedCleaned[[#This Row],[ID]], Table4[ID], Table4[Recency], "Not Found", 0)</f>
        <v>64</v>
      </c>
      <c r="K1240" s="16">
        <f>_xlfn.XLOOKUP(CustomerCombinedCleaned[[#This Row],[ID]], Table4[ID], Table4[Teas], "Not Found", 0)</f>
        <v>1630</v>
      </c>
      <c r="L1240" s="16">
        <f>_xlfn.XLOOKUP(CustomerCombinedCleaned[[#This Row],[ID]], Table4[ID], Table4[Fruits], "Not Found", 0)</f>
        <v>38</v>
      </c>
      <c r="M1240" s="16">
        <f>_xlfn.XLOOKUP(CustomerCombinedCleaned[[#This Row],[ID]], Table4[ID], Table4[Meats], "Not Found", 0)</f>
        <v>257</v>
      </c>
      <c r="N1240" s="16">
        <f>_xlfn.XLOOKUP(CustomerCombinedCleaned[[#This Row],[ID]], Table4[ID], Table4[Seafood], "Not Found", 0)</f>
        <v>51</v>
      </c>
      <c r="O1240" s="16">
        <f>_xlfn.XLOOKUP(CustomerCombinedCleaned[[#This Row],[ID]], Table4[ID], Table4[Sweets], "Not Found", 0)</f>
        <v>18</v>
      </c>
      <c r="P1240" s="16">
        <f>_xlfn.XLOOKUP(CustomerCombinedCleaned[[#This Row],[ID]], Table4[ID], Table4[Premium], "Not Found", 0)</f>
        <v>336</v>
      </c>
      <c r="Q1240" s="16">
        <f>_xlfn.XLOOKUP(CustomerCombinedCleaned[[#This Row],[ID]], Table4[ID], Table4[Regular], "Not Found", 0)</f>
        <v>1658</v>
      </c>
      <c r="R1240" s="16">
        <f>_xlfn.XLOOKUP(CustomerCombinedCleaned[[#This Row],[ID]], Table4[ID], Table4[Deals], "Not Found", 0)</f>
        <v>1</v>
      </c>
      <c r="S1240" s="16">
        <f>_xlfn.XLOOKUP(CustomerCombinedCleaned[[#This Row],[ID]], Table4[ID], Table4[Website], "Not Found", 0)</f>
        <v>9</v>
      </c>
      <c r="T1240" s="16">
        <f>_xlfn.XLOOKUP(CustomerCombinedCleaned[[#This Row],[ID]], Table4[ID], Table4[Catalog], "Not Found", 0)</f>
        <v>3</v>
      </c>
      <c r="U1240" s="16">
        <f>_xlfn.XLOOKUP(CustomerCombinedCleaned[[#This Row],[ID]], Table4[ID], Table4[Store], "Not Found", 0)</f>
        <v>9</v>
      </c>
      <c r="V1240" s="16">
        <f>_xlfn.XLOOKUP(CustomerCombinedCleaned[[#This Row],[ID]], Table4[ID], Table4[Visits], "Not Found", 0)</f>
        <v>6</v>
      </c>
      <c r="W1240" s="16">
        <f>_xlfn.XLOOKUP(CustomerCombinedCleaned[[#This Row],[ID]], Table2[ID],Table2[Complaint], "Not Found", 0 )</f>
        <v>0</v>
      </c>
      <c r="X1240" s="16">
        <f>_xlfn.XLOOKUP(CustomerCombinedCleaned[[#This Row],[ID]], Table2[ID],Table2[Pilot], "Not Found", 0 )</f>
        <v>0</v>
      </c>
      <c r="Y1240" s="16">
        <f>_xlfn.XLOOKUP(CustomerCombinedCleaned[[#This Row],[ID]], Table2[ID],Table2[MC1], "Not Found", 0 )</f>
        <v>0</v>
      </c>
      <c r="Z1240" s="16">
        <f>_xlfn.XLOOKUP(CustomerCombinedCleaned[[#This Row],[ID]], Table2[ID],Table2[MC2], "Not Found", 0 )</f>
        <v>0</v>
      </c>
      <c r="AA1240" s="16">
        <f>_xlfn.XLOOKUP(CustomerCombinedCleaned[[#This Row],[ID]], Table2[ID],Table2[MC3], "Not Found", 0 )</f>
        <v>0</v>
      </c>
      <c r="AB1240" s="16">
        <f>_xlfn.XLOOKUP(CustomerCombinedCleaned[[#This Row],[ID]], Table2[ID],Table2[MC4], "Not Found", 0 )</f>
        <v>0</v>
      </c>
      <c r="AC1240" s="16">
        <f>_xlfn.XLOOKUP(CustomerCombinedCleaned[[#This Row],[ID]], Table2[ID],Table2[MC5], "Not Found", 0 )</f>
        <v>0</v>
      </c>
    </row>
    <row r="1241" spans="1:29" x14ac:dyDescent="0.3">
      <c r="A1241" s="18">
        <v>2868</v>
      </c>
      <c r="B1241" s="16">
        <v>161671</v>
      </c>
      <c r="C1241" s="16">
        <v>0</v>
      </c>
      <c r="D1241" s="16">
        <v>1</v>
      </c>
      <c r="E1241" s="16">
        <v>52</v>
      </c>
      <c r="F1241" s="17" t="s">
        <v>5</v>
      </c>
      <c r="G1241" s="17" t="s">
        <v>11</v>
      </c>
      <c r="H1241" s="3" t="s">
        <v>665</v>
      </c>
      <c r="I1241" s="5" t="s">
        <v>436</v>
      </c>
      <c r="J1241" s="16">
        <f>_xlfn.XLOOKUP(CustomerCombinedCleaned[[#This Row],[ID]], Table4[ID], Table4[Recency], "Not Found", 0)</f>
        <v>23</v>
      </c>
      <c r="K1241" s="16">
        <f>_xlfn.XLOOKUP(CustomerCombinedCleaned[[#This Row],[ID]], Table4[ID], Table4[Teas], "Not Found", 0)</f>
        <v>1680</v>
      </c>
      <c r="L1241" s="16">
        <f>_xlfn.XLOOKUP(CustomerCombinedCleaned[[#This Row],[ID]], Table4[ID], Table4[Fruits], "Not Found", 0)</f>
        <v>18</v>
      </c>
      <c r="M1241" s="16">
        <f>_xlfn.XLOOKUP(CustomerCombinedCleaned[[#This Row],[ID]], Table4[ID], Table4[Meats], "Not Found", 0)</f>
        <v>147</v>
      </c>
      <c r="N1241" s="16">
        <f>_xlfn.XLOOKUP(CustomerCombinedCleaned[[#This Row],[ID]], Table4[ID], Table4[Seafood], "Not Found", 0)</f>
        <v>0</v>
      </c>
      <c r="O1241" s="16">
        <f>_xlfn.XLOOKUP(CustomerCombinedCleaned[[#This Row],[ID]], Table4[ID], Table4[Sweets], "Not Found", 0)</f>
        <v>0</v>
      </c>
      <c r="P1241" s="16">
        <f>_xlfn.XLOOKUP(CustomerCombinedCleaned[[#This Row],[ID]], Table4[ID], Table4[Premium], "Not Found", 0)</f>
        <v>73</v>
      </c>
      <c r="Q1241" s="16">
        <f>_xlfn.XLOOKUP(CustomerCombinedCleaned[[#This Row],[ID]], Table4[ID], Table4[Regular], "Not Found", 0)</f>
        <v>1772</v>
      </c>
      <c r="R1241" s="16">
        <f>_xlfn.XLOOKUP(CustomerCombinedCleaned[[#This Row],[ID]], Table4[ID], Table4[Deals], "Not Found", 0)</f>
        <v>8</v>
      </c>
      <c r="S1241" s="16">
        <f>_xlfn.XLOOKUP(CustomerCombinedCleaned[[#This Row],[ID]], Table4[ID], Table4[Website], "Not Found", 0)</f>
        <v>10</v>
      </c>
      <c r="T1241" s="16">
        <f>_xlfn.XLOOKUP(CustomerCombinedCleaned[[#This Row],[ID]], Table4[ID], Table4[Catalog], "Not Found", 0)</f>
        <v>4</v>
      </c>
      <c r="U1241" s="16">
        <f>_xlfn.XLOOKUP(CustomerCombinedCleaned[[#This Row],[ID]], Table4[ID], Table4[Store], "Not Found", 0)</f>
        <v>6</v>
      </c>
      <c r="V1241" s="16">
        <f>_xlfn.XLOOKUP(CustomerCombinedCleaned[[#This Row],[ID]], Table4[ID], Table4[Visits], "Not Found", 0)</f>
        <v>8</v>
      </c>
      <c r="W1241" s="16">
        <f>_xlfn.XLOOKUP(CustomerCombinedCleaned[[#This Row],[ID]], Table2[ID],Table2[Complaint], "Not Found", 0 )</f>
        <v>0</v>
      </c>
      <c r="X1241" s="16">
        <f>_xlfn.XLOOKUP(CustomerCombinedCleaned[[#This Row],[ID]], Table2[ID],Table2[Pilot], "Not Found", 0 )</f>
        <v>0</v>
      </c>
      <c r="Y1241" s="16">
        <f>_xlfn.XLOOKUP(CustomerCombinedCleaned[[#This Row],[ID]], Table2[ID],Table2[MC1], "Not Found", 0 )</f>
        <v>1</v>
      </c>
      <c r="Z1241" s="16">
        <f>_xlfn.XLOOKUP(CustomerCombinedCleaned[[#This Row],[ID]], Table2[ID],Table2[MC2], "Not Found", 0 )</f>
        <v>0</v>
      </c>
      <c r="AA1241" s="16">
        <f>_xlfn.XLOOKUP(CustomerCombinedCleaned[[#This Row],[ID]], Table2[ID],Table2[MC3], "Not Found", 0 )</f>
        <v>0</v>
      </c>
      <c r="AB1241" s="16">
        <f>_xlfn.XLOOKUP(CustomerCombinedCleaned[[#This Row],[ID]], Table2[ID],Table2[MC4], "Not Found", 0 )</f>
        <v>1</v>
      </c>
      <c r="AC1241" s="16">
        <f>_xlfn.XLOOKUP(CustomerCombinedCleaned[[#This Row],[ID]], Table2[ID],Table2[MC5], "Not Found", 0 )</f>
        <v>0</v>
      </c>
    </row>
    <row r="1242" spans="1:29" x14ac:dyDescent="0.3">
      <c r="A1242" s="18">
        <v>1413</v>
      </c>
      <c r="B1242" s="16">
        <v>161314</v>
      </c>
      <c r="C1242" s="16">
        <v>0</v>
      </c>
      <c r="D1242" s="16">
        <v>1</v>
      </c>
      <c r="E1242" s="16">
        <v>52</v>
      </c>
      <c r="F1242" s="17" t="s">
        <v>6</v>
      </c>
      <c r="G1242" s="17" t="s">
        <v>11</v>
      </c>
      <c r="H1242" s="3" t="s">
        <v>264</v>
      </c>
      <c r="I1242" s="5" t="s">
        <v>435</v>
      </c>
      <c r="J1242" s="16">
        <f>_xlfn.XLOOKUP(CustomerCombinedCleaned[[#This Row],[ID]], Table4[ID], Table4[Recency], "Not Found", 0)</f>
        <v>1</v>
      </c>
      <c r="K1242" s="16">
        <f>_xlfn.XLOOKUP(CustomerCombinedCleaned[[#This Row],[ID]], Table4[ID], Table4[Teas], "Not Found", 0)</f>
        <v>994</v>
      </c>
      <c r="L1242" s="16">
        <f>_xlfn.XLOOKUP(CustomerCombinedCleaned[[#This Row],[ID]], Table4[ID], Table4[Fruits], "Not Found", 0)</f>
        <v>0</v>
      </c>
      <c r="M1242" s="16">
        <f>_xlfn.XLOOKUP(CustomerCombinedCleaned[[#This Row],[ID]], Table4[ID], Table4[Meats], "Not Found", 0)</f>
        <v>497</v>
      </c>
      <c r="N1242" s="16">
        <f>_xlfn.XLOOKUP(CustomerCombinedCleaned[[#This Row],[ID]], Table4[ID], Table4[Seafood], "Not Found", 0)</f>
        <v>255</v>
      </c>
      <c r="O1242" s="16">
        <f>_xlfn.XLOOKUP(CustomerCombinedCleaned[[#This Row],[ID]], Table4[ID], Table4[Sweets], "Not Found", 0)</f>
        <v>453</v>
      </c>
      <c r="P1242" s="16">
        <f>_xlfn.XLOOKUP(CustomerCombinedCleaned[[#This Row],[ID]], Table4[ID], Table4[Premium], "Not Found", 0)</f>
        <v>453</v>
      </c>
      <c r="Q1242" s="16">
        <f>_xlfn.XLOOKUP(CustomerCombinedCleaned[[#This Row],[ID]], Table4[ID], Table4[Regular], "Not Found", 0)</f>
        <v>1747</v>
      </c>
      <c r="R1242" s="16">
        <f>_xlfn.XLOOKUP(CustomerCombinedCleaned[[#This Row],[ID]], Table4[ID], Table4[Deals], "Not Found", 0)</f>
        <v>2</v>
      </c>
      <c r="S1242" s="16">
        <f>_xlfn.XLOOKUP(CustomerCombinedCleaned[[#This Row],[ID]], Table4[ID], Table4[Website], "Not Found", 0)</f>
        <v>5</v>
      </c>
      <c r="T1242" s="16">
        <f>_xlfn.XLOOKUP(CustomerCombinedCleaned[[#This Row],[ID]], Table4[ID], Table4[Catalog], "Not Found", 0)</f>
        <v>5</v>
      </c>
      <c r="U1242" s="16">
        <f>_xlfn.XLOOKUP(CustomerCombinedCleaned[[#This Row],[ID]], Table4[ID], Table4[Store], "Not Found", 0)</f>
        <v>12</v>
      </c>
      <c r="V1242" s="16">
        <f>_xlfn.XLOOKUP(CustomerCombinedCleaned[[#This Row],[ID]], Table4[ID], Table4[Visits], "Not Found", 0)</f>
        <v>3</v>
      </c>
      <c r="W1242" s="16">
        <f>_xlfn.XLOOKUP(CustomerCombinedCleaned[[#This Row],[ID]], Table2[ID],Table2[Complaint], "Not Found", 0 )</f>
        <v>0</v>
      </c>
      <c r="X1242" s="16">
        <f>_xlfn.XLOOKUP(CustomerCombinedCleaned[[#This Row],[ID]], Table2[ID],Table2[Pilot], "Not Found", 0 )</f>
        <v>0</v>
      </c>
      <c r="Y1242" s="16">
        <f>_xlfn.XLOOKUP(CustomerCombinedCleaned[[#This Row],[ID]], Table2[ID],Table2[MC1], "Not Found", 0 )</f>
        <v>0</v>
      </c>
      <c r="Z1242" s="16">
        <f>_xlfn.XLOOKUP(CustomerCombinedCleaned[[#This Row],[ID]], Table2[ID],Table2[MC2], "Not Found", 0 )</f>
        <v>0</v>
      </c>
      <c r="AA1242" s="16">
        <f>_xlfn.XLOOKUP(CustomerCombinedCleaned[[#This Row],[ID]], Table2[ID],Table2[MC3], "Not Found", 0 )</f>
        <v>0</v>
      </c>
      <c r="AB1242" s="16">
        <f>_xlfn.XLOOKUP(CustomerCombinedCleaned[[#This Row],[ID]], Table2[ID],Table2[MC4], "Not Found", 0 )</f>
        <v>0</v>
      </c>
      <c r="AC1242" s="16">
        <f>_xlfn.XLOOKUP(CustomerCombinedCleaned[[#This Row],[ID]], Table2[ID],Table2[MC5], "Not Found", 0 )</f>
        <v>0</v>
      </c>
    </row>
    <row r="1243" spans="1:29" x14ac:dyDescent="0.3">
      <c r="A1243" s="18">
        <v>2340</v>
      </c>
      <c r="B1243" s="16">
        <v>158554</v>
      </c>
      <c r="C1243" s="16">
        <v>1</v>
      </c>
      <c r="D1243" s="16">
        <v>1</v>
      </c>
      <c r="E1243" s="16">
        <v>52</v>
      </c>
      <c r="F1243" s="17" t="s">
        <v>8</v>
      </c>
      <c r="G1243" s="17" t="s">
        <v>11</v>
      </c>
      <c r="H1243" s="3" t="s">
        <v>553</v>
      </c>
      <c r="I1243" s="5" t="s">
        <v>436</v>
      </c>
      <c r="J1243" s="16">
        <f>_xlfn.XLOOKUP(CustomerCombinedCleaned[[#This Row],[ID]], Table4[ID], Table4[Recency], "Not Found", 0)</f>
        <v>55</v>
      </c>
      <c r="K1243" s="16">
        <f>_xlfn.XLOOKUP(CustomerCombinedCleaned[[#This Row],[ID]], Table4[ID], Table4[Teas], "Not Found", 0)</f>
        <v>996</v>
      </c>
      <c r="L1243" s="16">
        <f>_xlfn.XLOOKUP(CustomerCombinedCleaned[[#This Row],[ID]], Table4[ID], Table4[Fruits], "Not Found", 0)</f>
        <v>65</v>
      </c>
      <c r="M1243" s="16">
        <f>_xlfn.XLOOKUP(CustomerCombinedCleaned[[#This Row],[ID]], Table4[ID], Table4[Meats], "Not Found", 0)</f>
        <v>184</v>
      </c>
      <c r="N1243" s="16">
        <f>_xlfn.XLOOKUP(CustomerCombinedCleaned[[#This Row],[ID]], Table4[ID], Table4[Seafood], "Not Found", 0)</f>
        <v>103</v>
      </c>
      <c r="O1243" s="16">
        <f>_xlfn.XLOOKUP(CustomerCombinedCleaned[[#This Row],[ID]], Table4[ID], Table4[Sweets], "Not Found", 0)</f>
        <v>0</v>
      </c>
      <c r="P1243" s="16">
        <f>_xlfn.XLOOKUP(CustomerCombinedCleaned[[#This Row],[ID]], Table4[ID], Table4[Premium], "Not Found", 0)</f>
        <v>238</v>
      </c>
      <c r="Q1243" s="16">
        <f>_xlfn.XLOOKUP(CustomerCombinedCleaned[[#This Row],[ID]], Table4[ID], Table4[Regular], "Not Found", 0)</f>
        <v>1110</v>
      </c>
      <c r="R1243" s="16">
        <f>_xlfn.XLOOKUP(CustomerCombinedCleaned[[#This Row],[ID]], Table4[ID], Table4[Deals], "Not Found", 0)</f>
        <v>6</v>
      </c>
      <c r="S1243" s="16">
        <f>_xlfn.XLOOKUP(CustomerCombinedCleaned[[#This Row],[ID]], Table4[ID], Table4[Website], "Not Found", 0)</f>
        <v>8</v>
      </c>
      <c r="T1243" s="16">
        <f>_xlfn.XLOOKUP(CustomerCombinedCleaned[[#This Row],[ID]], Table4[ID], Table4[Catalog], "Not Found", 0)</f>
        <v>2</v>
      </c>
      <c r="U1243" s="16">
        <f>_xlfn.XLOOKUP(CustomerCombinedCleaned[[#This Row],[ID]], Table4[ID], Table4[Store], "Not Found", 0)</f>
        <v>6</v>
      </c>
      <c r="V1243" s="16">
        <f>_xlfn.XLOOKUP(CustomerCombinedCleaned[[#This Row],[ID]], Table4[ID], Table4[Visits], "Not Found", 0)</f>
        <v>7</v>
      </c>
      <c r="W1243" s="16">
        <f>_xlfn.XLOOKUP(CustomerCombinedCleaned[[#This Row],[ID]], Table2[ID],Table2[Complaint], "Not Found", 0 )</f>
        <v>0</v>
      </c>
      <c r="X1243" s="16">
        <f>_xlfn.XLOOKUP(CustomerCombinedCleaned[[#This Row],[ID]], Table2[ID],Table2[Pilot], "Not Found", 0 )</f>
        <v>0</v>
      </c>
      <c r="Y1243" s="16">
        <f>_xlfn.XLOOKUP(CustomerCombinedCleaned[[#This Row],[ID]], Table2[ID],Table2[MC1], "Not Found", 0 )</f>
        <v>0</v>
      </c>
      <c r="Z1243" s="16">
        <f>_xlfn.XLOOKUP(CustomerCombinedCleaned[[#This Row],[ID]], Table2[ID],Table2[MC2], "Not Found", 0 )</f>
        <v>0</v>
      </c>
      <c r="AA1243" s="16">
        <f>_xlfn.XLOOKUP(CustomerCombinedCleaned[[#This Row],[ID]], Table2[ID],Table2[MC3], "Not Found", 0 )</f>
        <v>0</v>
      </c>
      <c r="AB1243" s="16">
        <f>_xlfn.XLOOKUP(CustomerCombinedCleaned[[#This Row],[ID]], Table2[ID],Table2[MC4], "Not Found", 0 )</f>
        <v>0</v>
      </c>
      <c r="AC1243" s="16">
        <f>_xlfn.XLOOKUP(CustomerCombinedCleaned[[#This Row],[ID]], Table2[ID],Table2[MC5], "Not Found", 0 )</f>
        <v>0</v>
      </c>
    </row>
    <row r="1244" spans="1:29" x14ac:dyDescent="0.3">
      <c r="A1244" s="18">
        <v>3193</v>
      </c>
      <c r="B1244" s="16">
        <v>158554</v>
      </c>
      <c r="C1244" s="16">
        <v>1</v>
      </c>
      <c r="D1244" s="16">
        <v>1</v>
      </c>
      <c r="E1244" s="16">
        <v>52</v>
      </c>
      <c r="F1244" s="17" t="s">
        <v>8</v>
      </c>
      <c r="G1244" s="17" t="s">
        <v>11</v>
      </c>
      <c r="H1244" s="3" t="s">
        <v>553</v>
      </c>
      <c r="I1244" s="5" t="s">
        <v>437</v>
      </c>
      <c r="J1244" s="16">
        <f>_xlfn.XLOOKUP(CustomerCombinedCleaned[[#This Row],[ID]], Table4[ID], Table4[Recency], "Not Found", 0)</f>
        <v>55</v>
      </c>
      <c r="K1244" s="16">
        <f>_xlfn.XLOOKUP(CustomerCombinedCleaned[[#This Row],[ID]], Table4[ID], Table4[Teas], "Not Found", 0)</f>
        <v>996</v>
      </c>
      <c r="L1244" s="16">
        <f>_xlfn.XLOOKUP(CustomerCombinedCleaned[[#This Row],[ID]], Table4[ID], Table4[Fruits], "Not Found", 0)</f>
        <v>65</v>
      </c>
      <c r="M1244" s="16">
        <f>_xlfn.XLOOKUP(CustomerCombinedCleaned[[#This Row],[ID]], Table4[ID], Table4[Meats], "Not Found", 0)</f>
        <v>184</v>
      </c>
      <c r="N1244" s="16">
        <f>_xlfn.XLOOKUP(CustomerCombinedCleaned[[#This Row],[ID]], Table4[ID], Table4[Seafood], "Not Found", 0)</f>
        <v>103</v>
      </c>
      <c r="O1244" s="16">
        <f>_xlfn.XLOOKUP(CustomerCombinedCleaned[[#This Row],[ID]], Table4[ID], Table4[Sweets], "Not Found", 0)</f>
        <v>0</v>
      </c>
      <c r="P1244" s="16">
        <f>_xlfn.XLOOKUP(CustomerCombinedCleaned[[#This Row],[ID]], Table4[ID], Table4[Premium], "Not Found", 0)</f>
        <v>238</v>
      </c>
      <c r="Q1244" s="16">
        <f>_xlfn.XLOOKUP(CustomerCombinedCleaned[[#This Row],[ID]], Table4[ID], Table4[Regular], "Not Found", 0)</f>
        <v>1110</v>
      </c>
      <c r="R1244" s="16">
        <f>_xlfn.XLOOKUP(CustomerCombinedCleaned[[#This Row],[ID]], Table4[ID], Table4[Deals], "Not Found", 0)</f>
        <v>6</v>
      </c>
      <c r="S1244" s="16">
        <f>_xlfn.XLOOKUP(CustomerCombinedCleaned[[#This Row],[ID]], Table4[ID], Table4[Website], "Not Found", 0)</f>
        <v>8</v>
      </c>
      <c r="T1244" s="16">
        <f>_xlfn.XLOOKUP(CustomerCombinedCleaned[[#This Row],[ID]], Table4[ID], Table4[Catalog], "Not Found", 0)</f>
        <v>2</v>
      </c>
      <c r="U1244" s="16">
        <f>_xlfn.XLOOKUP(CustomerCombinedCleaned[[#This Row],[ID]], Table4[ID], Table4[Store], "Not Found", 0)</f>
        <v>6</v>
      </c>
      <c r="V1244" s="16">
        <f>_xlfn.XLOOKUP(CustomerCombinedCleaned[[#This Row],[ID]], Table4[ID], Table4[Visits], "Not Found", 0)</f>
        <v>7</v>
      </c>
      <c r="W1244" s="16">
        <f>_xlfn.XLOOKUP(CustomerCombinedCleaned[[#This Row],[ID]], Table2[ID],Table2[Complaint], "Not Found", 0 )</f>
        <v>0</v>
      </c>
      <c r="X1244" s="16">
        <f>_xlfn.XLOOKUP(CustomerCombinedCleaned[[#This Row],[ID]], Table2[ID],Table2[Pilot], "Not Found", 0 )</f>
        <v>0</v>
      </c>
      <c r="Y1244" s="16">
        <f>_xlfn.XLOOKUP(CustomerCombinedCleaned[[#This Row],[ID]], Table2[ID],Table2[MC1], "Not Found", 0 )</f>
        <v>0</v>
      </c>
      <c r="Z1244" s="16">
        <f>_xlfn.XLOOKUP(CustomerCombinedCleaned[[#This Row],[ID]], Table2[ID],Table2[MC2], "Not Found", 0 )</f>
        <v>0</v>
      </c>
      <c r="AA1244" s="16">
        <f>_xlfn.XLOOKUP(CustomerCombinedCleaned[[#This Row],[ID]], Table2[ID],Table2[MC3], "Not Found", 0 )</f>
        <v>0</v>
      </c>
      <c r="AB1244" s="16">
        <f>_xlfn.XLOOKUP(CustomerCombinedCleaned[[#This Row],[ID]], Table2[ID],Table2[MC4], "Not Found", 0 )</f>
        <v>0</v>
      </c>
      <c r="AC1244" s="16">
        <f>_xlfn.XLOOKUP(CustomerCombinedCleaned[[#This Row],[ID]], Table2[ID],Table2[MC5], "Not Found", 0 )</f>
        <v>0</v>
      </c>
    </row>
    <row r="1245" spans="1:29" x14ac:dyDescent="0.3">
      <c r="A1245" s="18">
        <v>2890</v>
      </c>
      <c r="B1245" s="16">
        <v>157107</v>
      </c>
      <c r="C1245" s="16">
        <v>0</v>
      </c>
      <c r="D1245" s="16">
        <v>1</v>
      </c>
      <c r="E1245" s="16">
        <v>52</v>
      </c>
      <c r="F1245" s="17" t="s">
        <v>7</v>
      </c>
      <c r="G1245" s="17" t="s">
        <v>11</v>
      </c>
      <c r="H1245" s="3" t="s">
        <v>404</v>
      </c>
      <c r="I1245" s="5" t="s">
        <v>439</v>
      </c>
      <c r="J1245" s="16">
        <f>_xlfn.XLOOKUP(CustomerCombinedCleaned[[#This Row],[ID]], Table4[ID], Table4[Recency], "Not Found", 0)</f>
        <v>44</v>
      </c>
      <c r="K1245" s="16">
        <f>_xlfn.XLOOKUP(CustomerCombinedCleaned[[#This Row],[ID]], Table4[ID], Table4[Teas], "Not Found", 0)</f>
        <v>437</v>
      </c>
      <c r="L1245" s="16">
        <f>_xlfn.XLOOKUP(CustomerCombinedCleaned[[#This Row],[ID]], Table4[ID], Table4[Fruits], "Not Found", 0)</f>
        <v>0</v>
      </c>
      <c r="M1245" s="16">
        <f>_xlfn.XLOOKUP(CustomerCombinedCleaned[[#This Row],[ID]], Table4[ID], Table4[Meats], "Not Found", 0)</f>
        <v>330</v>
      </c>
      <c r="N1245" s="16">
        <f>_xlfn.XLOOKUP(CustomerCombinedCleaned[[#This Row],[ID]], Table4[ID], Table4[Seafood], "Not Found", 0)</f>
        <v>0</v>
      </c>
      <c r="O1245" s="16">
        <f>_xlfn.XLOOKUP(CustomerCombinedCleaned[[#This Row],[ID]], Table4[ID], Table4[Sweets], "Not Found", 0)</f>
        <v>0</v>
      </c>
      <c r="P1245" s="16">
        <f>_xlfn.XLOOKUP(CustomerCombinedCleaned[[#This Row],[ID]], Table4[ID], Table4[Premium], "Not Found", 0)</f>
        <v>377</v>
      </c>
      <c r="Q1245" s="16">
        <f>_xlfn.XLOOKUP(CustomerCombinedCleaned[[#This Row],[ID]], Table4[ID], Table4[Regular], "Not Found", 0)</f>
        <v>391</v>
      </c>
      <c r="R1245" s="16">
        <f>_xlfn.XLOOKUP(CustomerCombinedCleaned[[#This Row],[ID]], Table4[ID], Table4[Deals], "Not Found", 0)</f>
        <v>7</v>
      </c>
      <c r="S1245" s="16">
        <f>_xlfn.XLOOKUP(CustomerCombinedCleaned[[#This Row],[ID]], Table4[ID], Table4[Website], "Not Found", 0)</f>
        <v>4</v>
      </c>
      <c r="T1245" s="16">
        <f>_xlfn.XLOOKUP(CustomerCombinedCleaned[[#This Row],[ID]], Table4[ID], Table4[Catalog], "Not Found", 0)</f>
        <v>4</v>
      </c>
      <c r="U1245" s="16">
        <f>_xlfn.XLOOKUP(CustomerCombinedCleaned[[#This Row],[ID]], Table4[ID], Table4[Store], "Not Found", 0)</f>
        <v>8</v>
      </c>
      <c r="V1245" s="16">
        <f>_xlfn.XLOOKUP(CustomerCombinedCleaned[[#This Row],[ID]], Table4[ID], Table4[Visits], "Not Found", 0)</f>
        <v>8</v>
      </c>
      <c r="W1245" s="16">
        <f>_xlfn.XLOOKUP(CustomerCombinedCleaned[[#This Row],[ID]], Table2[ID],Table2[Complaint], "Not Found", 0 )</f>
        <v>0</v>
      </c>
      <c r="X1245" s="16">
        <f>_xlfn.XLOOKUP(CustomerCombinedCleaned[[#This Row],[ID]], Table2[ID],Table2[Pilot], "Not Found", 0 )</f>
        <v>1</v>
      </c>
      <c r="Y1245" s="16">
        <f>_xlfn.XLOOKUP(CustomerCombinedCleaned[[#This Row],[ID]], Table2[ID],Table2[MC1], "Not Found", 0 )</f>
        <v>0</v>
      </c>
      <c r="Z1245" s="16">
        <f>_xlfn.XLOOKUP(CustomerCombinedCleaned[[#This Row],[ID]], Table2[ID],Table2[MC2], "Not Found", 0 )</f>
        <v>1</v>
      </c>
      <c r="AA1245" s="16">
        <f>_xlfn.XLOOKUP(CustomerCombinedCleaned[[#This Row],[ID]], Table2[ID],Table2[MC3], "Not Found", 0 )</f>
        <v>0</v>
      </c>
      <c r="AB1245" s="16">
        <f>_xlfn.XLOOKUP(CustomerCombinedCleaned[[#This Row],[ID]], Table2[ID],Table2[MC4], "Not Found", 0 )</f>
        <v>1</v>
      </c>
      <c r="AC1245" s="16">
        <f>_xlfn.XLOOKUP(CustomerCombinedCleaned[[#This Row],[ID]], Table2[ID],Table2[MC5], "Not Found", 0 )</f>
        <v>0</v>
      </c>
    </row>
    <row r="1246" spans="1:29" x14ac:dyDescent="0.3">
      <c r="A1246" s="18">
        <v>2662</v>
      </c>
      <c r="B1246" s="16">
        <v>156534</v>
      </c>
      <c r="C1246" s="16">
        <v>0</v>
      </c>
      <c r="D1246" s="16">
        <v>1</v>
      </c>
      <c r="E1246" s="16">
        <v>52</v>
      </c>
      <c r="F1246" s="17" t="s">
        <v>8</v>
      </c>
      <c r="G1246" s="17" t="s">
        <v>11</v>
      </c>
      <c r="H1246" s="3" t="s">
        <v>213</v>
      </c>
      <c r="I1246" s="5" t="s">
        <v>439</v>
      </c>
      <c r="J1246" s="16">
        <f>_xlfn.XLOOKUP(CustomerCombinedCleaned[[#This Row],[ID]], Table4[ID], Table4[Recency], "Not Found", 0)</f>
        <v>35</v>
      </c>
      <c r="K1246" s="16">
        <f>_xlfn.XLOOKUP(CustomerCombinedCleaned[[#This Row],[ID]], Table4[ID], Table4[Teas], "Not Found", 0)</f>
        <v>1913</v>
      </c>
      <c r="L1246" s="16">
        <f>_xlfn.XLOOKUP(CustomerCombinedCleaned[[#This Row],[ID]], Table4[ID], Table4[Fruits], "Not Found", 0)</f>
        <v>19</v>
      </c>
      <c r="M1246" s="16">
        <f>_xlfn.XLOOKUP(CustomerCombinedCleaned[[#This Row],[ID]], Table4[ID], Table4[Meats], "Not Found", 0)</f>
        <v>169</v>
      </c>
      <c r="N1246" s="16">
        <f>_xlfn.XLOOKUP(CustomerCombinedCleaned[[#This Row],[ID]], Table4[ID], Table4[Seafood], "Not Found", 0)</f>
        <v>28</v>
      </c>
      <c r="O1246" s="16">
        <f>_xlfn.XLOOKUP(CustomerCombinedCleaned[[#This Row],[ID]], Table4[ID], Table4[Sweets], "Not Found", 0)</f>
        <v>0</v>
      </c>
      <c r="P1246" s="16">
        <f>_xlfn.XLOOKUP(CustomerCombinedCleaned[[#This Row],[ID]], Table4[ID], Table4[Premium], "Not Found", 0)</f>
        <v>127</v>
      </c>
      <c r="Q1246" s="16">
        <f>_xlfn.XLOOKUP(CustomerCombinedCleaned[[#This Row],[ID]], Table4[ID], Table4[Regular], "Not Found", 0)</f>
        <v>2002</v>
      </c>
      <c r="R1246" s="16">
        <f>_xlfn.XLOOKUP(CustomerCombinedCleaned[[#This Row],[ID]], Table4[ID], Table4[Deals], "Not Found", 0)</f>
        <v>4</v>
      </c>
      <c r="S1246" s="16">
        <f>_xlfn.XLOOKUP(CustomerCombinedCleaned[[#This Row],[ID]], Table4[ID], Table4[Website], "Not Found", 0)</f>
        <v>10</v>
      </c>
      <c r="T1246" s="16">
        <f>_xlfn.XLOOKUP(CustomerCombinedCleaned[[#This Row],[ID]], Table4[ID], Table4[Catalog], "Not Found", 0)</f>
        <v>4</v>
      </c>
      <c r="U1246" s="16">
        <f>_xlfn.XLOOKUP(CustomerCombinedCleaned[[#This Row],[ID]], Table4[ID], Table4[Store], "Not Found", 0)</f>
        <v>7</v>
      </c>
      <c r="V1246" s="16">
        <f>_xlfn.XLOOKUP(CustomerCombinedCleaned[[#This Row],[ID]], Table4[ID], Table4[Visits], "Not Found", 0)</f>
        <v>8</v>
      </c>
      <c r="W1246" s="16">
        <f>_xlfn.XLOOKUP(CustomerCombinedCleaned[[#This Row],[ID]], Table2[ID],Table2[Complaint], "Not Found", 0 )</f>
        <v>0</v>
      </c>
      <c r="X1246" s="16">
        <f>_xlfn.XLOOKUP(CustomerCombinedCleaned[[#This Row],[ID]], Table2[ID],Table2[Pilot], "Not Found", 0 )</f>
        <v>1</v>
      </c>
      <c r="Y1246" s="16">
        <f>_xlfn.XLOOKUP(CustomerCombinedCleaned[[#This Row],[ID]], Table2[ID],Table2[MC1], "Not Found", 0 )</f>
        <v>0</v>
      </c>
      <c r="Z1246" s="16">
        <f>_xlfn.XLOOKUP(CustomerCombinedCleaned[[#This Row],[ID]], Table2[ID],Table2[MC2], "Not Found", 0 )</f>
        <v>1</v>
      </c>
      <c r="AA1246" s="16">
        <f>_xlfn.XLOOKUP(CustomerCombinedCleaned[[#This Row],[ID]], Table2[ID],Table2[MC3], "Not Found", 0 )</f>
        <v>0</v>
      </c>
      <c r="AB1246" s="16">
        <f>_xlfn.XLOOKUP(CustomerCombinedCleaned[[#This Row],[ID]], Table2[ID],Table2[MC4], "Not Found", 0 )</f>
        <v>1</v>
      </c>
      <c r="AC1246" s="16">
        <f>_xlfn.XLOOKUP(CustomerCombinedCleaned[[#This Row],[ID]], Table2[ID],Table2[MC5], "Not Found", 0 )</f>
        <v>0</v>
      </c>
    </row>
    <row r="1247" spans="1:29" x14ac:dyDescent="0.3">
      <c r="A1247" s="18">
        <v>3208</v>
      </c>
      <c r="B1247" s="16">
        <v>156202</v>
      </c>
      <c r="C1247" s="16">
        <v>0</v>
      </c>
      <c r="D1247" s="16">
        <v>1</v>
      </c>
      <c r="E1247" s="16">
        <v>52</v>
      </c>
      <c r="F1247" s="17" t="s">
        <v>8</v>
      </c>
      <c r="G1247" s="17" t="s">
        <v>11</v>
      </c>
      <c r="H1247" s="3" t="s">
        <v>553</v>
      </c>
      <c r="I1247" s="5" t="s">
        <v>439</v>
      </c>
      <c r="J1247" s="16">
        <f>_xlfn.XLOOKUP(CustomerCombinedCleaned[[#This Row],[ID]], Table4[ID], Table4[Recency], "Not Found", 0)</f>
        <v>55</v>
      </c>
      <c r="K1247" s="16">
        <f>_xlfn.XLOOKUP(CustomerCombinedCleaned[[#This Row],[ID]], Table4[ID], Table4[Teas], "Not Found", 0)</f>
        <v>1023</v>
      </c>
      <c r="L1247" s="16">
        <f>_xlfn.XLOOKUP(CustomerCombinedCleaned[[#This Row],[ID]], Table4[ID], Table4[Fruits], "Not Found", 0)</f>
        <v>67</v>
      </c>
      <c r="M1247" s="16">
        <f>_xlfn.XLOOKUP(CustomerCombinedCleaned[[#This Row],[ID]], Table4[ID], Table4[Meats], "Not Found", 0)</f>
        <v>189</v>
      </c>
      <c r="N1247" s="16">
        <f>_xlfn.XLOOKUP(CustomerCombinedCleaned[[#This Row],[ID]], Table4[ID], Table4[Seafood], "Not Found", 0)</f>
        <v>106</v>
      </c>
      <c r="O1247" s="16">
        <f>_xlfn.XLOOKUP(CustomerCombinedCleaned[[#This Row],[ID]], Table4[ID], Table4[Sweets], "Not Found", 0)</f>
        <v>0</v>
      </c>
      <c r="P1247" s="16">
        <f>_xlfn.XLOOKUP(CustomerCombinedCleaned[[#This Row],[ID]], Table4[ID], Table4[Premium], "Not Found", 0)</f>
        <v>245</v>
      </c>
      <c r="Q1247" s="16">
        <f>_xlfn.XLOOKUP(CustomerCombinedCleaned[[#This Row],[ID]], Table4[ID], Table4[Regular], "Not Found", 0)</f>
        <v>1140</v>
      </c>
      <c r="R1247" s="16">
        <f>_xlfn.XLOOKUP(CustomerCombinedCleaned[[#This Row],[ID]], Table4[ID], Table4[Deals], "Not Found", 0)</f>
        <v>6</v>
      </c>
      <c r="S1247" s="16">
        <f>_xlfn.XLOOKUP(CustomerCombinedCleaned[[#This Row],[ID]], Table4[ID], Table4[Website], "Not Found", 0)</f>
        <v>8</v>
      </c>
      <c r="T1247" s="16">
        <f>_xlfn.XLOOKUP(CustomerCombinedCleaned[[#This Row],[ID]], Table4[ID], Table4[Catalog], "Not Found", 0)</f>
        <v>2</v>
      </c>
      <c r="U1247" s="16">
        <f>_xlfn.XLOOKUP(CustomerCombinedCleaned[[#This Row],[ID]], Table4[ID], Table4[Store], "Not Found", 0)</f>
        <v>6</v>
      </c>
      <c r="V1247" s="16">
        <f>_xlfn.XLOOKUP(CustomerCombinedCleaned[[#This Row],[ID]], Table4[ID], Table4[Visits], "Not Found", 0)</f>
        <v>7</v>
      </c>
      <c r="W1247" s="16">
        <f>_xlfn.XLOOKUP(CustomerCombinedCleaned[[#This Row],[ID]], Table2[ID],Table2[Complaint], "Not Found", 0 )</f>
        <v>0</v>
      </c>
      <c r="X1247" s="16">
        <f>_xlfn.XLOOKUP(CustomerCombinedCleaned[[#This Row],[ID]], Table2[ID],Table2[Pilot], "Not Found", 0 )</f>
        <v>0</v>
      </c>
      <c r="Y1247" s="16">
        <f>_xlfn.XLOOKUP(CustomerCombinedCleaned[[#This Row],[ID]], Table2[ID],Table2[MC1], "Not Found", 0 )</f>
        <v>0</v>
      </c>
      <c r="Z1247" s="16">
        <f>_xlfn.XLOOKUP(CustomerCombinedCleaned[[#This Row],[ID]], Table2[ID],Table2[MC2], "Not Found", 0 )</f>
        <v>0</v>
      </c>
      <c r="AA1247" s="16">
        <f>_xlfn.XLOOKUP(CustomerCombinedCleaned[[#This Row],[ID]], Table2[ID],Table2[MC3], "Not Found", 0 )</f>
        <v>0</v>
      </c>
      <c r="AB1247" s="16">
        <f>_xlfn.XLOOKUP(CustomerCombinedCleaned[[#This Row],[ID]], Table2[ID],Table2[MC4], "Not Found", 0 )</f>
        <v>0</v>
      </c>
      <c r="AC1247" s="16">
        <f>_xlfn.XLOOKUP(CustomerCombinedCleaned[[#This Row],[ID]], Table2[ID],Table2[MC5], "Not Found", 0 )</f>
        <v>0</v>
      </c>
    </row>
    <row r="1248" spans="1:29" x14ac:dyDescent="0.3">
      <c r="A1248" s="18">
        <v>1055</v>
      </c>
      <c r="B1248" s="16">
        <v>155954</v>
      </c>
      <c r="C1248" s="16">
        <v>0</v>
      </c>
      <c r="D1248" s="16">
        <v>1</v>
      </c>
      <c r="E1248" s="16">
        <v>52</v>
      </c>
      <c r="F1248" s="17" t="s">
        <v>6</v>
      </c>
      <c r="G1248" s="17" t="s">
        <v>13</v>
      </c>
      <c r="H1248" s="3" t="s">
        <v>685</v>
      </c>
      <c r="I1248" s="5" t="s">
        <v>434</v>
      </c>
      <c r="J1248" s="16">
        <f>_xlfn.XLOOKUP(CustomerCombinedCleaned[[#This Row],[ID]], Table4[ID], Table4[Recency], "Not Found", 0)</f>
        <v>63</v>
      </c>
      <c r="K1248" s="16">
        <f>_xlfn.XLOOKUP(CustomerCombinedCleaned[[#This Row],[ID]], Table4[ID], Table4[Teas], "Not Found", 0)</f>
        <v>1246</v>
      </c>
      <c r="L1248" s="16">
        <f>_xlfn.XLOOKUP(CustomerCombinedCleaned[[#This Row],[ID]], Table4[ID], Table4[Fruits], "Not Found", 0)</f>
        <v>0</v>
      </c>
      <c r="M1248" s="16">
        <f>_xlfn.XLOOKUP(CustomerCombinedCleaned[[#This Row],[ID]], Table4[ID], Table4[Meats], "Not Found", 0)</f>
        <v>78</v>
      </c>
      <c r="N1248" s="16">
        <f>_xlfn.XLOOKUP(CustomerCombinedCleaned[[#This Row],[ID]], Table4[ID], Table4[Seafood], "Not Found", 0)</f>
        <v>0</v>
      </c>
      <c r="O1248" s="16">
        <f>_xlfn.XLOOKUP(CustomerCombinedCleaned[[#This Row],[ID]], Table4[ID], Table4[Sweets], "Not Found", 0)</f>
        <v>0</v>
      </c>
      <c r="P1248" s="16">
        <f>_xlfn.XLOOKUP(CustomerCombinedCleaned[[#This Row],[ID]], Table4[ID], Table4[Premium], "Not Found", 0)</f>
        <v>120</v>
      </c>
      <c r="Q1248" s="16">
        <f>_xlfn.XLOOKUP(CustomerCombinedCleaned[[#This Row],[ID]], Table4[ID], Table4[Regular], "Not Found", 0)</f>
        <v>1204</v>
      </c>
      <c r="R1248" s="16">
        <f>_xlfn.XLOOKUP(CustomerCombinedCleaned[[#This Row],[ID]], Table4[ID], Table4[Deals], "Not Found", 0)</f>
        <v>3</v>
      </c>
      <c r="S1248" s="16">
        <f>_xlfn.XLOOKUP(CustomerCombinedCleaned[[#This Row],[ID]], Table4[ID], Table4[Website], "Not Found", 0)</f>
        <v>8</v>
      </c>
      <c r="T1248" s="16">
        <f>_xlfn.XLOOKUP(CustomerCombinedCleaned[[#This Row],[ID]], Table4[ID], Table4[Catalog], "Not Found", 0)</f>
        <v>2</v>
      </c>
      <c r="U1248" s="16">
        <f>_xlfn.XLOOKUP(CustomerCombinedCleaned[[#This Row],[ID]], Table4[ID], Table4[Store], "Not Found", 0)</f>
        <v>6</v>
      </c>
      <c r="V1248" s="16">
        <f>_xlfn.XLOOKUP(CustomerCombinedCleaned[[#This Row],[ID]], Table4[ID], Table4[Visits], "Not Found", 0)</f>
        <v>7</v>
      </c>
      <c r="W1248" s="16">
        <f>_xlfn.XLOOKUP(CustomerCombinedCleaned[[#This Row],[ID]], Table2[ID],Table2[Complaint], "Not Found", 0 )</f>
        <v>0</v>
      </c>
      <c r="X1248" s="16">
        <f>_xlfn.XLOOKUP(CustomerCombinedCleaned[[#This Row],[ID]], Table2[ID],Table2[Pilot], "Not Found", 0 )</f>
        <v>0</v>
      </c>
      <c r="Y1248" s="16">
        <f>_xlfn.XLOOKUP(CustomerCombinedCleaned[[#This Row],[ID]], Table2[ID],Table2[MC1], "Not Found", 0 )</f>
        <v>0</v>
      </c>
      <c r="Z1248" s="16">
        <f>_xlfn.XLOOKUP(CustomerCombinedCleaned[[#This Row],[ID]], Table2[ID],Table2[MC2], "Not Found", 0 )</f>
        <v>0</v>
      </c>
      <c r="AA1248" s="16">
        <f>_xlfn.XLOOKUP(CustomerCombinedCleaned[[#This Row],[ID]], Table2[ID],Table2[MC3], "Not Found", 0 )</f>
        <v>0</v>
      </c>
      <c r="AB1248" s="16">
        <f>_xlfn.XLOOKUP(CustomerCombinedCleaned[[#This Row],[ID]], Table2[ID],Table2[MC4], "Not Found", 0 )</f>
        <v>0</v>
      </c>
      <c r="AC1248" s="16">
        <f>_xlfn.XLOOKUP(CustomerCombinedCleaned[[#This Row],[ID]], Table2[ID],Table2[MC5], "Not Found", 0 )</f>
        <v>0</v>
      </c>
    </row>
    <row r="1249" spans="1:29" x14ac:dyDescent="0.3">
      <c r="A1249" s="18">
        <v>1560</v>
      </c>
      <c r="B1249" s="16">
        <v>151287</v>
      </c>
      <c r="C1249" s="16">
        <v>1</v>
      </c>
      <c r="D1249" s="16">
        <v>1</v>
      </c>
      <c r="E1249" s="16">
        <v>52</v>
      </c>
      <c r="F1249" s="17" t="s">
        <v>6</v>
      </c>
      <c r="G1249" s="17" t="s">
        <v>11</v>
      </c>
      <c r="H1249" s="3" t="s">
        <v>748</v>
      </c>
      <c r="I1249" s="5" t="s">
        <v>436</v>
      </c>
      <c r="J1249" s="16">
        <f>_xlfn.XLOOKUP(CustomerCombinedCleaned[[#This Row],[ID]], Table4[ID], Table4[Recency], "Not Found", 0)</f>
        <v>10</v>
      </c>
      <c r="K1249" s="16">
        <f>_xlfn.XLOOKUP(CustomerCombinedCleaned[[#This Row],[ID]], Table4[ID], Table4[Teas], "Not Found", 0)</f>
        <v>345</v>
      </c>
      <c r="L1249" s="16">
        <f>_xlfn.XLOOKUP(CustomerCombinedCleaned[[#This Row],[ID]], Table4[ID], Table4[Fruits], "Not Found", 0)</f>
        <v>0</v>
      </c>
      <c r="M1249" s="16">
        <f>_xlfn.XLOOKUP(CustomerCombinedCleaned[[#This Row],[ID]], Table4[ID], Table4[Meats], "Not Found", 0)</f>
        <v>65</v>
      </c>
      <c r="N1249" s="16">
        <f>_xlfn.XLOOKUP(CustomerCombinedCleaned[[#This Row],[ID]], Table4[ID], Table4[Seafood], "Not Found", 0)</f>
        <v>38</v>
      </c>
      <c r="O1249" s="16">
        <f>_xlfn.XLOOKUP(CustomerCombinedCleaned[[#This Row],[ID]], Table4[ID], Table4[Sweets], "Not Found", 0)</f>
        <v>0</v>
      </c>
      <c r="P1249" s="16">
        <f>_xlfn.XLOOKUP(CustomerCombinedCleaned[[#This Row],[ID]], Table4[ID], Table4[Premium], "Not Found", 0)</f>
        <v>88</v>
      </c>
      <c r="Q1249" s="16">
        <f>_xlfn.XLOOKUP(CustomerCombinedCleaned[[#This Row],[ID]], Table4[ID], Table4[Regular], "Not Found", 0)</f>
        <v>360</v>
      </c>
      <c r="R1249" s="16">
        <f>_xlfn.XLOOKUP(CustomerCombinedCleaned[[#This Row],[ID]], Table4[ID], Table4[Deals], "Not Found", 0)</f>
        <v>3</v>
      </c>
      <c r="S1249" s="16">
        <f>_xlfn.XLOOKUP(CustomerCombinedCleaned[[#This Row],[ID]], Table4[ID], Table4[Website], "Not Found", 0)</f>
        <v>4</v>
      </c>
      <c r="T1249" s="16">
        <f>_xlfn.XLOOKUP(CustomerCombinedCleaned[[#This Row],[ID]], Table4[ID], Table4[Catalog], "Not Found", 0)</f>
        <v>1</v>
      </c>
      <c r="U1249" s="16">
        <f>_xlfn.XLOOKUP(CustomerCombinedCleaned[[#This Row],[ID]], Table4[ID], Table4[Store], "Not Found", 0)</f>
        <v>3</v>
      </c>
      <c r="V1249" s="16">
        <f>_xlfn.XLOOKUP(CustomerCombinedCleaned[[#This Row],[ID]], Table4[ID], Table4[Visits], "Not Found", 0)</f>
        <v>7</v>
      </c>
      <c r="W1249" s="16">
        <f>_xlfn.XLOOKUP(CustomerCombinedCleaned[[#This Row],[ID]], Table2[ID],Table2[Complaint], "Not Found", 0 )</f>
        <v>0</v>
      </c>
      <c r="X1249" s="16">
        <f>_xlfn.XLOOKUP(CustomerCombinedCleaned[[#This Row],[ID]], Table2[ID],Table2[Pilot], "Not Found", 0 )</f>
        <v>0</v>
      </c>
      <c r="Y1249" s="16">
        <f>_xlfn.XLOOKUP(CustomerCombinedCleaned[[#This Row],[ID]], Table2[ID],Table2[MC1], "Not Found", 0 )</f>
        <v>0</v>
      </c>
      <c r="Z1249" s="16">
        <f>_xlfn.XLOOKUP(CustomerCombinedCleaned[[#This Row],[ID]], Table2[ID],Table2[MC2], "Not Found", 0 )</f>
        <v>0</v>
      </c>
      <c r="AA1249" s="16">
        <f>_xlfn.XLOOKUP(CustomerCombinedCleaned[[#This Row],[ID]], Table2[ID],Table2[MC3], "Not Found", 0 )</f>
        <v>0</v>
      </c>
      <c r="AB1249" s="16">
        <f>_xlfn.XLOOKUP(CustomerCombinedCleaned[[#This Row],[ID]], Table2[ID],Table2[MC4], "Not Found", 0 )</f>
        <v>0</v>
      </c>
      <c r="AC1249" s="16">
        <f>_xlfn.XLOOKUP(CustomerCombinedCleaned[[#This Row],[ID]], Table2[ID],Table2[MC5], "Not Found", 0 )</f>
        <v>0</v>
      </c>
    </row>
    <row r="1250" spans="1:29" x14ac:dyDescent="0.3">
      <c r="A1250" s="18">
        <v>2857</v>
      </c>
      <c r="B1250" s="16">
        <v>150616</v>
      </c>
      <c r="C1250" s="16">
        <v>0</v>
      </c>
      <c r="D1250" s="16">
        <v>1</v>
      </c>
      <c r="E1250" s="16">
        <v>52</v>
      </c>
      <c r="F1250" s="17" t="s">
        <v>5</v>
      </c>
      <c r="G1250" s="17" t="s">
        <v>13</v>
      </c>
      <c r="H1250" s="3" t="s">
        <v>64</v>
      </c>
      <c r="I1250" s="5" t="s">
        <v>437</v>
      </c>
      <c r="J1250" s="16">
        <f>_xlfn.XLOOKUP(CustomerCombinedCleaned[[#This Row],[ID]], Table4[ID], Table4[Recency], "Not Found", 0)</f>
        <v>56</v>
      </c>
      <c r="K1250" s="16">
        <f>_xlfn.XLOOKUP(CustomerCombinedCleaned[[#This Row],[ID]], Table4[ID], Table4[Teas], "Not Found", 0)</f>
        <v>381</v>
      </c>
      <c r="L1250" s="16">
        <f>_xlfn.XLOOKUP(CustomerCombinedCleaned[[#This Row],[ID]], Table4[ID], Table4[Fruits], "Not Found", 0)</f>
        <v>0</v>
      </c>
      <c r="M1250" s="16">
        <f>_xlfn.XLOOKUP(CustomerCombinedCleaned[[#This Row],[ID]], Table4[ID], Table4[Meats], "Not Found", 0)</f>
        <v>48</v>
      </c>
      <c r="N1250" s="16">
        <f>_xlfn.XLOOKUP(CustomerCombinedCleaned[[#This Row],[ID]], Table4[ID], Table4[Seafood], "Not Found", 0)</f>
        <v>0</v>
      </c>
      <c r="O1250" s="16">
        <f>_xlfn.XLOOKUP(CustomerCombinedCleaned[[#This Row],[ID]], Table4[ID], Table4[Sweets], "Not Found", 0)</f>
        <v>3</v>
      </c>
      <c r="P1250" s="16">
        <f>_xlfn.XLOOKUP(CustomerCombinedCleaned[[#This Row],[ID]], Table4[ID], Table4[Premium], "Not Found", 0)</f>
        <v>12</v>
      </c>
      <c r="Q1250" s="16">
        <f>_xlfn.XLOOKUP(CustomerCombinedCleaned[[#This Row],[ID]], Table4[ID], Table4[Regular], "Not Found", 0)</f>
        <v>420</v>
      </c>
      <c r="R1250" s="16">
        <f>_xlfn.XLOOKUP(CustomerCombinedCleaned[[#This Row],[ID]], Table4[ID], Table4[Deals], "Not Found", 0)</f>
        <v>2</v>
      </c>
      <c r="S1250" s="16">
        <f>_xlfn.XLOOKUP(CustomerCombinedCleaned[[#This Row],[ID]], Table4[ID], Table4[Website], "Not Found", 0)</f>
        <v>4</v>
      </c>
      <c r="T1250" s="16">
        <f>_xlfn.XLOOKUP(CustomerCombinedCleaned[[#This Row],[ID]], Table4[ID], Table4[Catalog], "Not Found", 0)</f>
        <v>0</v>
      </c>
      <c r="U1250" s="16">
        <f>_xlfn.XLOOKUP(CustomerCombinedCleaned[[#This Row],[ID]], Table4[ID], Table4[Store], "Not Found", 0)</f>
        <v>4</v>
      </c>
      <c r="V1250" s="16">
        <f>_xlfn.XLOOKUP(CustomerCombinedCleaned[[#This Row],[ID]], Table4[ID], Table4[Visits], "Not Found", 0)</f>
        <v>7</v>
      </c>
      <c r="W1250" s="16">
        <f>_xlfn.XLOOKUP(CustomerCombinedCleaned[[#This Row],[ID]], Table2[ID],Table2[Complaint], "Not Found", 0 )</f>
        <v>0</v>
      </c>
      <c r="X1250" s="16">
        <f>_xlfn.XLOOKUP(CustomerCombinedCleaned[[#This Row],[ID]], Table2[ID],Table2[Pilot], "Not Found", 0 )</f>
        <v>0</v>
      </c>
      <c r="Y1250" s="16">
        <f>_xlfn.XLOOKUP(CustomerCombinedCleaned[[#This Row],[ID]], Table2[ID],Table2[MC1], "Not Found", 0 )</f>
        <v>0</v>
      </c>
      <c r="Z1250" s="16">
        <f>_xlfn.XLOOKUP(CustomerCombinedCleaned[[#This Row],[ID]], Table2[ID],Table2[MC2], "Not Found", 0 )</f>
        <v>0</v>
      </c>
      <c r="AA1250" s="16">
        <f>_xlfn.XLOOKUP(CustomerCombinedCleaned[[#This Row],[ID]], Table2[ID],Table2[MC3], "Not Found", 0 )</f>
        <v>0</v>
      </c>
      <c r="AB1250" s="16">
        <f>_xlfn.XLOOKUP(CustomerCombinedCleaned[[#This Row],[ID]], Table2[ID],Table2[MC4], "Not Found", 0 )</f>
        <v>0</v>
      </c>
      <c r="AC1250" s="16">
        <f>_xlfn.XLOOKUP(CustomerCombinedCleaned[[#This Row],[ID]], Table2[ID],Table2[MC5], "Not Found", 0 )</f>
        <v>0</v>
      </c>
    </row>
    <row r="1251" spans="1:29" x14ac:dyDescent="0.3">
      <c r="A1251" s="18">
        <v>2059</v>
      </c>
      <c r="B1251" s="16">
        <v>150014</v>
      </c>
      <c r="C1251" s="16">
        <v>1</v>
      </c>
      <c r="D1251" s="16">
        <v>0</v>
      </c>
      <c r="E1251" s="16">
        <v>52</v>
      </c>
      <c r="F1251" s="17" t="s">
        <v>7</v>
      </c>
      <c r="G1251" s="17" t="s">
        <v>12</v>
      </c>
      <c r="H1251" s="3" t="s">
        <v>110</v>
      </c>
      <c r="I1251" s="5" t="s">
        <v>437</v>
      </c>
      <c r="J1251" s="16">
        <f>_xlfn.XLOOKUP(CustomerCombinedCleaned[[#This Row],[ID]], Table4[ID], Table4[Recency], "Not Found", 0)</f>
        <v>9</v>
      </c>
      <c r="K1251" s="16">
        <f>_xlfn.XLOOKUP(CustomerCombinedCleaned[[#This Row],[ID]], Table4[ID], Table4[Teas], "Not Found", 0)</f>
        <v>702</v>
      </c>
      <c r="L1251" s="16">
        <f>_xlfn.XLOOKUP(CustomerCombinedCleaned[[#This Row],[ID]], Table4[ID], Table4[Fruits], "Not Found", 0)</f>
        <v>42</v>
      </c>
      <c r="M1251" s="16">
        <f>_xlfn.XLOOKUP(CustomerCombinedCleaned[[#This Row],[ID]], Table4[ID], Table4[Meats], "Not Found", 0)</f>
        <v>231</v>
      </c>
      <c r="N1251" s="16">
        <f>_xlfn.XLOOKUP(CustomerCombinedCleaned[[#This Row],[ID]], Table4[ID], Table4[Seafood], "Not Found", 0)</f>
        <v>57</v>
      </c>
      <c r="O1251" s="16">
        <f>_xlfn.XLOOKUP(CustomerCombinedCleaned[[#This Row],[ID]], Table4[ID], Table4[Sweets], "Not Found", 0)</f>
        <v>30</v>
      </c>
      <c r="P1251" s="16">
        <f>_xlfn.XLOOKUP(CustomerCombinedCleaned[[#This Row],[ID]], Table4[ID], Table4[Premium], "Not Found", 0)</f>
        <v>126</v>
      </c>
      <c r="Q1251" s="16">
        <f>_xlfn.XLOOKUP(CustomerCombinedCleaned[[#This Row],[ID]], Table4[ID], Table4[Regular], "Not Found", 0)</f>
        <v>936</v>
      </c>
      <c r="R1251" s="16">
        <f>_xlfn.XLOOKUP(CustomerCombinedCleaned[[#This Row],[ID]], Table4[ID], Table4[Deals], "Not Found", 0)</f>
        <v>2</v>
      </c>
      <c r="S1251" s="16">
        <f>_xlfn.XLOOKUP(CustomerCombinedCleaned[[#This Row],[ID]], Table4[ID], Table4[Website], "Not Found", 0)</f>
        <v>4</v>
      </c>
      <c r="T1251" s="16">
        <f>_xlfn.XLOOKUP(CustomerCombinedCleaned[[#This Row],[ID]], Table4[ID], Table4[Catalog], "Not Found", 0)</f>
        <v>1</v>
      </c>
      <c r="U1251" s="16">
        <f>_xlfn.XLOOKUP(CustomerCombinedCleaned[[#This Row],[ID]], Table4[ID], Table4[Store], "Not Found", 0)</f>
        <v>8</v>
      </c>
      <c r="V1251" s="16">
        <f>_xlfn.XLOOKUP(CustomerCombinedCleaned[[#This Row],[ID]], Table4[ID], Table4[Visits], "Not Found", 0)</f>
        <v>5</v>
      </c>
      <c r="W1251" s="16">
        <f>_xlfn.XLOOKUP(CustomerCombinedCleaned[[#This Row],[ID]], Table2[ID],Table2[Complaint], "Not Found", 0 )</f>
        <v>0</v>
      </c>
      <c r="X1251" s="16">
        <f>_xlfn.XLOOKUP(CustomerCombinedCleaned[[#This Row],[ID]], Table2[ID],Table2[Pilot], "Not Found", 0 )</f>
        <v>0</v>
      </c>
      <c r="Y1251" s="16">
        <f>_xlfn.XLOOKUP(CustomerCombinedCleaned[[#This Row],[ID]], Table2[ID],Table2[MC1], "Not Found", 0 )</f>
        <v>0</v>
      </c>
      <c r="Z1251" s="16">
        <f>_xlfn.XLOOKUP(CustomerCombinedCleaned[[#This Row],[ID]], Table2[ID],Table2[MC2], "Not Found", 0 )</f>
        <v>0</v>
      </c>
      <c r="AA1251" s="16">
        <f>_xlfn.XLOOKUP(CustomerCombinedCleaned[[#This Row],[ID]], Table2[ID],Table2[MC3], "Not Found", 0 )</f>
        <v>0</v>
      </c>
      <c r="AB1251" s="16">
        <f>_xlfn.XLOOKUP(CustomerCombinedCleaned[[#This Row],[ID]], Table2[ID],Table2[MC4], "Not Found", 0 )</f>
        <v>0</v>
      </c>
      <c r="AC1251" s="16">
        <f>_xlfn.XLOOKUP(CustomerCombinedCleaned[[#This Row],[ID]], Table2[ID],Table2[MC5], "Not Found", 0 )</f>
        <v>0</v>
      </c>
    </row>
    <row r="1252" spans="1:29" x14ac:dyDescent="0.3">
      <c r="A1252" s="18">
        <v>2147</v>
      </c>
      <c r="B1252" s="16">
        <v>148985</v>
      </c>
      <c r="C1252" s="16">
        <v>0</v>
      </c>
      <c r="D1252" s="16">
        <v>1</v>
      </c>
      <c r="E1252" s="16">
        <v>52</v>
      </c>
      <c r="F1252" s="17" t="s">
        <v>6</v>
      </c>
      <c r="G1252" s="17" t="s">
        <v>11</v>
      </c>
      <c r="H1252" s="3" t="s">
        <v>712</v>
      </c>
      <c r="I1252" s="5" t="s">
        <v>434</v>
      </c>
      <c r="J1252" s="16">
        <f>_xlfn.XLOOKUP(CustomerCombinedCleaned[[#This Row],[ID]], Table4[ID], Table4[Recency], "Not Found", 0)</f>
        <v>13</v>
      </c>
      <c r="K1252" s="16">
        <f>_xlfn.XLOOKUP(CustomerCombinedCleaned[[#This Row],[ID]], Table4[ID], Table4[Teas], "Not Found", 0)</f>
        <v>58</v>
      </c>
      <c r="L1252" s="16">
        <f>_xlfn.XLOOKUP(CustomerCombinedCleaned[[#This Row],[ID]], Table4[ID], Table4[Fruits], "Not Found", 0)</f>
        <v>40</v>
      </c>
      <c r="M1252" s="16">
        <f>_xlfn.XLOOKUP(CustomerCombinedCleaned[[#This Row],[ID]], Table4[ID], Table4[Meats], "Not Found", 0)</f>
        <v>55</v>
      </c>
      <c r="N1252" s="16">
        <f>_xlfn.XLOOKUP(CustomerCombinedCleaned[[#This Row],[ID]], Table4[ID], Table4[Seafood], "Not Found", 0)</f>
        <v>30</v>
      </c>
      <c r="O1252" s="16">
        <f>_xlfn.XLOOKUP(CustomerCombinedCleaned[[#This Row],[ID]], Table4[ID], Table4[Sweets], "Not Found", 0)</f>
        <v>21</v>
      </c>
      <c r="P1252" s="16">
        <f>_xlfn.XLOOKUP(CustomerCombinedCleaned[[#This Row],[ID]], Table4[ID], Table4[Premium], "Not Found", 0)</f>
        <v>24</v>
      </c>
      <c r="Q1252" s="16">
        <f>_xlfn.XLOOKUP(CustomerCombinedCleaned[[#This Row],[ID]], Table4[ID], Table4[Regular], "Not Found", 0)</f>
        <v>179</v>
      </c>
      <c r="R1252" s="16">
        <f>_xlfn.XLOOKUP(CustomerCombinedCleaned[[#This Row],[ID]], Table4[ID], Table4[Deals], "Not Found", 0)</f>
        <v>1</v>
      </c>
      <c r="S1252" s="16">
        <f>_xlfn.XLOOKUP(CustomerCombinedCleaned[[#This Row],[ID]], Table4[ID], Table4[Website], "Not Found", 0)</f>
        <v>1</v>
      </c>
      <c r="T1252" s="16">
        <f>_xlfn.XLOOKUP(CustomerCombinedCleaned[[#This Row],[ID]], Table4[ID], Table4[Catalog], "Not Found", 0)</f>
        <v>1</v>
      </c>
      <c r="U1252" s="16">
        <f>_xlfn.XLOOKUP(CustomerCombinedCleaned[[#This Row],[ID]], Table4[ID], Table4[Store], "Not Found", 0)</f>
        <v>3</v>
      </c>
      <c r="V1252" s="16">
        <f>_xlfn.XLOOKUP(CustomerCombinedCleaned[[#This Row],[ID]], Table4[ID], Table4[Visits], "Not Found", 0)</f>
        <v>3</v>
      </c>
      <c r="W1252" s="16">
        <f>_xlfn.XLOOKUP(CustomerCombinedCleaned[[#This Row],[ID]], Table2[ID],Table2[Complaint], "Not Found", 0 )</f>
        <v>0</v>
      </c>
      <c r="X1252" s="16">
        <f>_xlfn.XLOOKUP(CustomerCombinedCleaned[[#This Row],[ID]], Table2[ID],Table2[Pilot], "Not Found", 0 )</f>
        <v>0</v>
      </c>
      <c r="Y1252" s="16">
        <f>_xlfn.XLOOKUP(CustomerCombinedCleaned[[#This Row],[ID]], Table2[ID],Table2[MC1], "Not Found", 0 )</f>
        <v>0</v>
      </c>
      <c r="Z1252" s="16">
        <f>_xlfn.XLOOKUP(CustomerCombinedCleaned[[#This Row],[ID]], Table2[ID],Table2[MC2], "Not Found", 0 )</f>
        <v>0</v>
      </c>
      <c r="AA1252" s="16">
        <f>_xlfn.XLOOKUP(CustomerCombinedCleaned[[#This Row],[ID]], Table2[ID],Table2[MC3], "Not Found", 0 )</f>
        <v>0</v>
      </c>
      <c r="AB1252" s="16">
        <f>_xlfn.XLOOKUP(CustomerCombinedCleaned[[#This Row],[ID]], Table2[ID],Table2[MC4], "Not Found", 0 )</f>
        <v>0</v>
      </c>
      <c r="AC1252" s="16">
        <f>_xlfn.XLOOKUP(CustomerCombinedCleaned[[#This Row],[ID]], Table2[ID],Table2[MC5], "Not Found", 0 )</f>
        <v>0</v>
      </c>
    </row>
    <row r="1253" spans="1:29" x14ac:dyDescent="0.3">
      <c r="A1253" s="18">
        <v>2879</v>
      </c>
      <c r="B1253" s="16">
        <v>145688</v>
      </c>
      <c r="C1253" s="16">
        <v>0</v>
      </c>
      <c r="D1253" s="16">
        <v>1</v>
      </c>
      <c r="E1253" s="16">
        <v>52</v>
      </c>
      <c r="F1253" s="17" t="s">
        <v>6</v>
      </c>
      <c r="G1253" s="17" t="s">
        <v>11</v>
      </c>
      <c r="H1253" s="3" t="s">
        <v>587</v>
      </c>
      <c r="I1253" s="5" t="s">
        <v>434</v>
      </c>
      <c r="J1253" s="16">
        <f>_xlfn.XLOOKUP(CustomerCombinedCleaned[[#This Row],[ID]], Table4[ID], Table4[Recency], "Not Found", 0)</f>
        <v>20</v>
      </c>
      <c r="K1253" s="16">
        <f>_xlfn.XLOOKUP(CustomerCombinedCleaned[[#This Row],[ID]], Table4[ID], Table4[Teas], "Not Found", 0)</f>
        <v>890</v>
      </c>
      <c r="L1253" s="16">
        <f>_xlfn.XLOOKUP(CustomerCombinedCleaned[[#This Row],[ID]], Table4[ID], Table4[Fruits], "Not Found", 0)</f>
        <v>0</v>
      </c>
      <c r="M1253" s="16">
        <f>_xlfn.XLOOKUP(CustomerCombinedCleaned[[#This Row],[ID]], Table4[ID], Table4[Meats], "Not Found", 0)</f>
        <v>57</v>
      </c>
      <c r="N1253" s="16">
        <f>_xlfn.XLOOKUP(CustomerCombinedCleaned[[#This Row],[ID]], Table4[ID], Table4[Seafood], "Not Found", 0)</f>
        <v>0</v>
      </c>
      <c r="O1253" s="16">
        <f>_xlfn.XLOOKUP(CustomerCombinedCleaned[[#This Row],[ID]], Table4[ID], Table4[Sweets], "Not Found", 0)</f>
        <v>0</v>
      </c>
      <c r="P1253" s="16">
        <f>_xlfn.XLOOKUP(CustomerCombinedCleaned[[#This Row],[ID]], Table4[ID], Table4[Premium], "Not Found", 0)</f>
        <v>29</v>
      </c>
      <c r="Q1253" s="16">
        <f>_xlfn.XLOOKUP(CustomerCombinedCleaned[[#This Row],[ID]], Table4[ID], Table4[Regular], "Not Found", 0)</f>
        <v>918</v>
      </c>
      <c r="R1253" s="16">
        <f>_xlfn.XLOOKUP(CustomerCombinedCleaned[[#This Row],[ID]], Table4[ID], Table4[Deals], "Not Found", 0)</f>
        <v>2</v>
      </c>
      <c r="S1253" s="16">
        <f>_xlfn.XLOOKUP(CustomerCombinedCleaned[[#This Row],[ID]], Table4[ID], Table4[Website], "Not Found", 0)</f>
        <v>3</v>
      </c>
      <c r="T1253" s="16">
        <f>_xlfn.XLOOKUP(CustomerCombinedCleaned[[#This Row],[ID]], Table4[ID], Table4[Catalog], "Not Found", 0)</f>
        <v>1</v>
      </c>
      <c r="U1253" s="16">
        <f>_xlfn.XLOOKUP(CustomerCombinedCleaned[[#This Row],[ID]], Table4[ID], Table4[Store], "Not Found", 0)</f>
        <v>8</v>
      </c>
      <c r="V1253" s="16">
        <f>_xlfn.XLOOKUP(CustomerCombinedCleaned[[#This Row],[ID]], Table4[ID], Table4[Visits], "Not Found", 0)</f>
        <v>4</v>
      </c>
      <c r="W1253" s="16">
        <f>_xlfn.XLOOKUP(CustomerCombinedCleaned[[#This Row],[ID]], Table2[ID],Table2[Complaint], "Not Found", 0 )</f>
        <v>0</v>
      </c>
      <c r="X1253" s="16">
        <f>_xlfn.XLOOKUP(CustomerCombinedCleaned[[#This Row],[ID]], Table2[ID],Table2[Pilot], "Not Found", 0 )</f>
        <v>0</v>
      </c>
      <c r="Y1253" s="16">
        <f>_xlfn.XLOOKUP(CustomerCombinedCleaned[[#This Row],[ID]], Table2[ID],Table2[MC1], "Not Found", 0 )</f>
        <v>0</v>
      </c>
      <c r="Z1253" s="16">
        <f>_xlfn.XLOOKUP(CustomerCombinedCleaned[[#This Row],[ID]], Table2[ID],Table2[MC2], "Not Found", 0 )</f>
        <v>0</v>
      </c>
      <c r="AA1253" s="16">
        <f>_xlfn.XLOOKUP(CustomerCombinedCleaned[[#This Row],[ID]], Table2[ID],Table2[MC3], "Not Found", 0 )</f>
        <v>0</v>
      </c>
      <c r="AB1253" s="16">
        <f>_xlfn.XLOOKUP(CustomerCombinedCleaned[[#This Row],[ID]], Table2[ID],Table2[MC4], "Not Found", 0 )</f>
        <v>1</v>
      </c>
      <c r="AC1253" s="16">
        <f>_xlfn.XLOOKUP(CustomerCombinedCleaned[[#This Row],[ID]], Table2[ID],Table2[MC5], "Not Found", 0 )</f>
        <v>0</v>
      </c>
    </row>
    <row r="1254" spans="1:29" x14ac:dyDescent="0.3">
      <c r="A1254" s="18">
        <v>1200</v>
      </c>
      <c r="B1254" s="16">
        <v>144377</v>
      </c>
      <c r="C1254" s="16">
        <v>1</v>
      </c>
      <c r="D1254" s="16">
        <v>1</v>
      </c>
      <c r="E1254" s="16">
        <v>52</v>
      </c>
      <c r="F1254" s="17" t="s">
        <v>6</v>
      </c>
      <c r="G1254" s="17" t="s">
        <v>13</v>
      </c>
      <c r="H1254" s="3" t="s">
        <v>663</v>
      </c>
      <c r="I1254" s="5" t="s">
        <v>436</v>
      </c>
      <c r="J1254" s="16">
        <f>_xlfn.XLOOKUP(CustomerCombinedCleaned[[#This Row],[ID]], Table4[ID], Table4[Recency], "Not Found", 0)</f>
        <v>70</v>
      </c>
      <c r="K1254" s="16">
        <f>_xlfn.XLOOKUP(CustomerCombinedCleaned[[#This Row],[ID]], Table4[ID], Table4[Teas], "Not Found", 0)</f>
        <v>729</v>
      </c>
      <c r="L1254" s="16">
        <f>_xlfn.XLOOKUP(CustomerCombinedCleaned[[#This Row],[ID]], Table4[ID], Table4[Fruits], "Not Found", 0)</f>
        <v>0</v>
      </c>
      <c r="M1254" s="16">
        <f>_xlfn.XLOOKUP(CustomerCombinedCleaned[[#This Row],[ID]], Table4[ID], Table4[Meats], "Not Found", 0)</f>
        <v>98</v>
      </c>
      <c r="N1254" s="16">
        <f>_xlfn.XLOOKUP(CustomerCombinedCleaned[[#This Row],[ID]], Table4[ID], Table4[Seafood], "Not Found", 0)</f>
        <v>0</v>
      </c>
      <c r="O1254" s="16">
        <f>_xlfn.XLOOKUP(CustomerCombinedCleaned[[#This Row],[ID]], Table4[ID], Table4[Sweets], "Not Found", 0)</f>
        <v>0</v>
      </c>
      <c r="P1254" s="16">
        <f>_xlfn.XLOOKUP(CustomerCombinedCleaned[[#This Row],[ID]], Table4[ID], Table4[Premium], "Not Found", 0)</f>
        <v>33</v>
      </c>
      <c r="Q1254" s="16">
        <f>_xlfn.XLOOKUP(CustomerCombinedCleaned[[#This Row],[ID]], Table4[ID], Table4[Regular], "Not Found", 0)</f>
        <v>794</v>
      </c>
      <c r="R1254" s="16">
        <f>_xlfn.XLOOKUP(CustomerCombinedCleaned[[#This Row],[ID]], Table4[ID], Table4[Deals], "Not Found", 0)</f>
        <v>8</v>
      </c>
      <c r="S1254" s="16">
        <f>_xlfn.XLOOKUP(CustomerCombinedCleaned[[#This Row],[ID]], Table4[ID], Table4[Website], "Not Found", 0)</f>
        <v>5</v>
      </c>
      <c r="T1254" s="16">
        <f>_xlfn.XLOOKUP(CustomerCombinedCleaned[[#This Row],[ID]], Table4[ID], Table4[Catalog], "Not Found", 0)</f>
        <v>1</v>
      </c>
      <c r="U1254" s="16">
        <f>_xlfn.XLOOKUP(CustomerCombinedCleaned[[#This Row],[ID]], Table4[ID], Table4[Store], "Not Found", 0)</f>
        <v>5</v>
      </c>
      <c r="V1254" s="16">
        <f>_xlfn.XLOOKUP(CustomerCombinedCleaned[[#This Row],[ID]], Table4[ID], Table4[Visits], "Not Found", 0)</f>
        <v>8</v>
      </c>
      <c r="W1254" s="16">
        <f>_xlfn.XLOOKUP(CustomerCombinedCleaned[[#This Row],[ID]], Table2[ID],Table2[Complaint], "Not Found", 0 )</f>
        <v>0</v>
      </c>
      <c r="X1254" s="16">
        <f>_xlfn.XLOOKUP(CustomerCombinedCleaned[[#This Row],[ID]], Table2[ID],Table2[Pilot], "Not Found", 0 )</f>
        <v>0</v>
      </c>
      <c r="Y1254" s="16">
        <f>_xlfn.XLOOKUP(CustomerCombinedCleaned[[#This Row],[ID]], Table2[ID],Table2[MC1], "Not Found", 0 )</f>
        <v>0</v>
      </c>
      <c r="Z1254" s="16">
        <f>_xlfn.XLOOKUP(CustomerCombinedCleaned[[#This Row],[ID]], Table2[ID],Table2[MC2], "Not Found", 0 )</f>
        <v>0</v>
      </c>
      <c r="AA1254" s="16">
        <f>_xlfn.XLOOKUP(CustomerCombinedCleaned[[#This Row],[ID]], Table2[ID],Table2[MC3], "Not Found", 0 )</f>
        <v>0</v>
      </c>
      <c r="AB1254" s="16">
        <f>_xlfn.XLOOKUP(CustomerCombinedCleaned[[#This Row],[ID]], Table2[ID],Table2[MC4], "Not Found", 0 )</f>
        <v>0</v>
      </c>
      <c r="AC1254" s="16">
        <f>_xlfn.XLOOKUP(CustomerCombinedCleaned[[#This Row],[ID]], Table2[ID],Table2[MC5], "Not Found", 0 )</f>
        <v>0</v>
      </c>
    </row>
    <row r="1255" spans="1:29" x14ac:dyDescent="0.3">
      <c r="A1255" s="18">
        <v>1370</v>
      </c>
      <c r="B1255" s="16">
        <v>143795</v>
      </c>
      <c r="C1255" s="16">
        <v>0</v>
      </c>
      <c r="D1255" s="16">
        <v>1</v>
      </c>
      <c r="E1255" s="16">
        <v>52</v>
      </c>
      <c r="F1255" s="17" t="s">
        <v>8</v>
      </c>
      <c r="G1255" s="17" t="s">
        <v>12</v>
      </c>
      <c r="H1255" s="3" t="s">
        <v>166</v>
      </c>
      <c r="I1255" s="5" t="s">
        <v>438</v>
      </c>
      <c r="J1255" s="16">
        <f>_xlfn.XLOOKUP(CustomerCombinedCleaned[[#This Row],[ID]], Table4[ID], Table4[Recency], "Not Found", 0)</f>
        <v>11</v>
      </c>
      <c r="K1255" s="16">
        <f>_xlfn.XLOOKUP(CustomerCombinedCleaned[[#This Row],[ID]], Table4[ID], Table4[Teas], "Not Found", 0)</f>
        <v>1031</v>
      </c>
      <c r="L1255" s="16">
        <f>_xlfn.XLOOKUP(CustomerCombinedCleaned[[#This Row],[ID]], Table4[ID], Table4[Fruits], "Not Found", 0)</f>
        <v>36</v>
      </c>
      <c r="M1255" s="16">
        <f>_xlfn.XLOOKUP(CustomerCombinedCleaned[[#This Row],[ID]], Table4[ID], Table4[Meats], "Not Found", 0)</f>
        <v>174</v>
      </c>
      <c r="N1255" s="16">
        <f>_xlfn.XLOOKUP(CustomerCombinedCleaned[[#This Row],[ID]], Table4[ID], Table4[Seafood], "Not Found", 0)</f>
        <v>13</v>
      </c>
      <c r="O1255" s="16">
        <f>_xlfn.XLOOKUP(CustomerCombinedCleaned[[#This Row],[ID]], Table4[ID], Table4[Sweets], "Not Found", 0)</f>
        <v>10</v>
      </c>
      <c r="P1255" s="16">
        <f>_xlfn.XLOOKUP(CustomerCombinedCleaned[[#This Row],[ID]], Table4[ID], Table4[Premium], "Not Found", 0)</f>
        <v>351</v>
      </c>
      <c r="Q1255" s="16">
        <f>_xlfn.XLOOKUP(CustomerCombinedCleaned[[#This Row],[ID]], Table4[ID], Table4[Regular], "Not Found", 0)</f>
        <v>913</v>
      </c>
      <c r="R1255" s="16">
        <f>_xlfn.XLOOKUP(CustomerCombinedCleaned[[#This Row],[ID]], Table4[ID], Table4[Deals], "Not Found", 0)</f>
        <v>3</v>
      </c>
      <c r="S1255" s="16">
        <f>_xlfn.XLOOKUP(CustomerCombinedCleaned[[#This Row],[ID]], Table4[ID], Table4[Website], "Not Found", 0)</f>
        <v>7</v>
      </c>
      <c r="T1255" s="16">
        <f>_xlfn.XLOOKUP(CustomerCombinedCleaned[[#This Row],[ID]], Table4[ID], Table4[Catalog], "Not Found", 0)</f>
        <v>3</v>
      </c>
      <c r="U1255" s="16">
        <f>_xlfn.XLOOKUP(CustomerCombinedCleaned[[#This Row],[ID]], Table4[ID], Table4[Store], "Not Found", 0)</f>
        <v>4</v>
      </c>
      <c r="V1255" s="16">
        <f>_xlfn.XLOOKUP(CustomerCombinedCleaned[[#This Row],[ID]], Table4[ID], Table4[Visits], "Not Found", 0)</f>
        <v>7</v>
      </c>
      <c r="W1255" s="16">
        <f>_xlfn.XLOOKUP(CustomerCombinedCleaned[[#This Row],[ID]], Table2[ID],Table2[Complaint], "Not Found", 0 )</f>
        <v>0</v>
      </c>
      <c r="X1255" s="16">
        <f>_xlfn.XLOOKUP(CustomerCombinedCleaned[[#This Row],[ID]], Table2[ID],Table2[Pilot], "Not Found", 0 )</f>
        <v>1</v>
      </c>
      <c r="Y1255" s="16">
        <f>_xlfn.XLOOKUP(CustomerCombinedCleaned[[#This Row],[ID]], Table2[ID],Table2[MC1], "Not Found", 0 )</f>
        <v>0</v>
      </c>
      <c r="Z1255" s="16">
        <f>_xlfn.XLOOKUP(CustomerCombinedCleaned[[#This Row],[ID]], Table2[ID],Table2[MC2], "Not Found", 0 )</f>
        <v>0</v>
      </c>
      <c r="AA1255" s="16">
        <f>_xlfn.XLOOKUP(CustomerCombinedCleaned[[#This Row],[ID]], Table2[ID],Table2[MC3], "Not Found", 0 )</f>
        <v>0</v>
      </c>
      <c r="AB1255" s="16">
        <f>_xlfn.XLOOKUP(CustomerCombinedCleaned[[#This Row],[ID]], Table2[ID],Table2[MC4], "Not Found", 0 )</f>
        <v>1</v>
      </c>
      <c r="AC1255" s="16">
        <f>_xlfn.XLOOKUP(CustomerCombinedCleaned[[#This Row],[ID]], Table2[ID],Table2[MC5], "Not Found", 0 )</f>
        <v>0</v>
      </c>
    </row>
    <row r="1256" spans="1:29" x14ac:dyDescent="0.3">
      <c r="A1256" s="18">
        <v>1768</v>
      </c>
      <c r="B1256" s="16">
        <v>142564</v>
      </c>
      <c r="C1256" s="16">
        <v>0</v>
      </c>
      <c r="D1256" s="16">
        <v>1</v>
      </c>
      <c r="E1256" s="16">
        <v>52</v>
      </c>
      <c r="F1256" s="17" t="s">
        <v>5</v>
      </c>
      <c r="G1256" s="17" t="s">
        <v>13</v>
      </c>
      <c r="H1256" s="3" t="s">
        <v>564</v>
      </c>
      <c r="I1256" s="5" t="s">
        <v>439</v>
      </c>
      <c r="J1256" s="16">
        <f>_xlfn.XLOOKUP(CustomerCombinedCleaned[[#This Row],[ID]], Table4[ID], Table4[Recency], "Not Found", 0)</f>
        <v>28</v>
      </c>
      <c r="K1256" s="16">
        <f>_xlfn.XLOOKUP(CustomerCombinedCleaned[[#This Row],[ID]], Table4[ID], Table4[Teas], "Not Found", 0)</f>
        <v>1085</v>
      </c>
      <c r="L1256" s="16">
        <f>_xlfn.XLOOKUP(CustomerCombinedCleaned[[#This Row],[ID]], Table4[ID], Table4[Fruits], "Not Found", 0)</f>
        <v>161</v>
      </c>
      <c r="M1256" s="16">
        <f>_xlfn.XLOOKUP(CustomerCombinedCleaned[[#This Row],[ID]], Table4[ID], Table4[Meats], "Not Found", 0)</f>
        <v>623</v>
      </c>
      <c r="N1256" s="16">
        <f>_xlfn.XLOOKUP(CustomerCombinedCleaned[[#This Row],[ID]], Table4[ID], Table4[Seafood], "Not Found", 0)</f>
        <v>131</v>
      </c>
      <c r="O1256" s="16">
        <f>_xlfn.XLOOKUP(CustomerCombinedCleaned[[#This Row],[ID]], Table4[ID], Table4[Sweets], "Not Found", 0)</f>
        <v>60</v>
      </c>
      <c r="P1256" s="16">
        <f>_xlfn.XLOOKUP(CustomerCombinedCleaned[[#This Row],[ID]], Table4[ID], Table4[Premium], "Not Found", 0)</f>
        <v>663</v>
      </c>
      <c r="Q1256" s="16">
        <f>_xlfn.XLOOKUP(CustomerCombinedCleaned[[#This Row],[ID]], Table4[ID], Table4[Regular], "Not Found", 0)</f>
        <v>1397</v>
      </c>
      <c r="R1256" s="16">
        <f>_xlfn.XLOOKUP(CustomerCombinedCleaned[[#This Row],[ID]], Table4[ID], Table4[Deals], "Not Found", 0)</f>
        <v>6</v>
      </c>
      <c r="S1256" s="16">
        <f>_xlfn.XLOOKUP(CustomerCombinedCleaned[[#This Row],[ID]], Table4[ID], Table4[Website], "Not Found", 0)</f>
        <v>6</v>
      </c>
      <c r="T1256" s="16">
        <f>_xlfn.XLOOKUP(CustomerCombinedCleaned[[#This Row],[ID]], Table4[ID], Table4[Catalog], "Not Found", 0)</f>
        <v>8</v>
      </c>
      <c r="U1256" s="16">
        <f>_xlfn.XLOOKUP(CustomerCombinedCleaned[[#This Row],[ID]], Table4[ID], Table4[Store], "Not Found", 0)</f>
        <v>4</v>
      </c>
      <c r="V1256" s="16">
        <f>_xlfn.XLOOKUP(CustomerCombinedCleaned[[#This Row],[ID]], Table4[ID], Table4[Visits], "Not Found", 0)</f>
        <v>7</v>
      </c>
      <c r="W1256" s="16">
        <f>_xlfn.XLOOKUP(CustomerCombinedCleaned[[#This Row],[ID]], Table2[ID],Table2[Complaint], "Not Found", 0 )</f>
        <v>0</v>
      </c>
      <c r="X1256" s="16">
        <f>_xlfn.XLOOKUP(CustomerCombinedCleaned[[#This Row],[ID]], Table2[ID],Table2[Pilot], "Not Found", 0 )</f>
        <v>1</v>
      </c>
      <c r="Y1256" s="16">
        <f>_xlfn.XLOOKUP(CustomerCombinedCleaned[[#This Row],[ID]], Table2[ID],Table2[MC1], "Not Found", 0 )</f>
        <v>0</v>
      </c>
      <c r="Z1256" s="16">
        <f>_xlfn.XLOOKUP(CustomerCombinedCleaned[[#This Row],[ID]], Table2[ID],Table2[MC2], "Not Found", 0 )</f>
        <v>0</v>
      </c>
      <c r="AA1256" s="16">
        <f>_xlfn.XLOOKUP(CustomerCombinedCleaned[[#This Row],[ID]], Table2[ID],Table2[MC3], "Not Found", 0 )</f>
        <v>1</v>
      </c>
      <c r="AB1256" s="16">
        <f>_xlfn.XLOOKUP(CustomerCombinedCleaned[[#This Row],[ID]], Table2[ID],Table2[MC4], "Not Found", 0 )</f>
        <v>0</v>
      </c>
      <c r="AC1256" s="16">
        <f>_xlfn.XLOOKUP(CustomerCombinedCleaned[[#This Row],[ID]], Table2[ID],Table2[MC5], "Not Found", 0 )</f>
        <v>0</v>
      </c>
    </row>
    <row r="1257" spans="1:29" x14ac:dyDescent="0.3">
      <c r="A1257" s="18">
        <v>1045</v>
      </c>
      <c r="B1257" s="16">
        <v>141728</v>
      </c>
      <c r="C1257" s="16">
        <v>1</v>
      </c>
      <c r="D1257" s="16">
        <v>0</v>
      </c>
      <c r="E1257" s="16">
        <v>52</v>
      </c>
      <c r="F1257" s="17" t="s">
        <v>8</v>
      </c>
      <c r="G1257" s="17" t="s">
        <v>11</v>
      </c>
      <c r="H1257" s="3" t="s">
        <v>247</v>
      </c>
      <c r="I1257" s="5" t="s">
        <v>437</v>
      </c>
      <c r="J1257" s="16">
        <f>_xlfn.XLOOKUP(CustomerCombinedCleaned[[#This Row],[ID]], Table4[ID], Table4[Recency], "Not Found", 0)</f>
        <v>92</v>
      </c>
      <c r="K1257" s="16">
        <f>_xlfn.XLOOKUP(CustomerCombinedCleaned[[#This Row],[ID]], Table4[ID], Table4[Teas], "Not Found", 0)</f>
        <v>44</v>
      </c>
      <c r="L1257" s="16">
        <f>_xlfn.XLOOKUP(CustomerCombinedCleaned[[#This Row],[ID]], Table4[ID], Table4[Fruits], "Not Found", 0)</f>
        <v>20</v>
      </c>
      <c r="M1257" s="16">
        <f>_xlfn.XLOOKUP(CustomerCombinedCleaned[[#This Row],[ID]], Table4[ID], Table4[Meats], "Not Found", 0)</f>
        <v>51</v>
      </c>
      <c r="N1257" s="16">
        <f>_xlfn.XLOOKUP(CustomerCombinedCleaned[[#This Row],[ID]], Table4[ID], Table4[Seafood], "Not Found", 0)</f>
        <v>10</v>
      </c>
      <c r="O1257" s="16">
        <f>_xlfn.XLOOKUP(CustomerCombinedCleaned[[#This Row],[ID]], Table4[ID], Table4[Sweets], "Not Found", 0)</f>
        <v>17</v>
      </c>
      <c r="P1257" s="16">
        <f>_xlfn.XLOOKUP(CustomerCombinedCleaned[[#This Row],[ID]], Table4[ID], Table4[Premium], "Not Found", 0)</f>
        <v>44</v>
      </c>
      <c r="Q1257" s="16">
        <f>_xlfn.XLOOKUP(CustomerCombinedCleaned[[#This Row],[ID]], Table4[ID], Table4[Regular], "Not Found", 0)</f>
        <v>98</v>
      </c>
      <c r="R1257" s="16">
        <f>_xlfn.XLOOKUP(CustomerCombinedCleaned[[#This Row],[ID]], Table4[ID], Table4[Deals], "Not Found", 0)</f>
        <v>1</v>
      </c>
      <c r="S1257" s="16">
        <f>_xlfn.XLOOKUP(CustomerCombinedCleaned[[#This Row],[ID]], Table4[ID], Table4[Website], "Not Found", 0)</f>
        <v>2</v>
      </c>
      <c r="T1257" s="16">
        <f>_xlfn.XLOOKUP(CustomerCombinedCleaned[[#This Row],[ID]], Table4[ID], Table4[Catalog], "Not Found", 0)</f>
        <v>0</v>
      </c>
      <c r="U1257" s="16">
        <f>_xlfn.XLOOKUP(CustomerCombinedCleaned[[#This Row],[ID]], Table4[ID], Table4[Store], "Not Found", 0)</f>
        <v>2</v>
      </c>
      <c r="V1257" s="16">
        <f>_xlfn.XLOOKUP(CustomerCombinedCleaned[[#This Row],[ID]], Table4[ID], Table4[Visits], "Not Found", 0)</f>
        <v>10</v>
      </c>
      <c r="W1257" s="16">
        <f>_xlfn.XLOOKUP(CustomerCombinedCleaned[[#This Row],[ID]], Table2[ID],Table2[Complaint], "Not Found", 0 )</f>
        <v>0</v>
      </c>
      <c r="X1257" s="16">
        <f>_xlfn.XLOOKUP(CustomerCombinedCleaned[[#This Row],[ID]], Table2[ID],Table2[Pilot], "Not Found", 0 )</f>
        <v>0</v>
      </c>
      <c r="Y1257" s="16">
        <f>_xlfn.XLOOKUP(CustomerCombinedCleaned[[#This Row],[ID]], Table2[ID],Table2[MC1], "Not Found", 0 )</f>
        <v>0</v>
      </c>
      <c r="Z1257" s="16">
        <f>_xlfn.XLOOKUP(CustomerCombinedCleaned[[#This Row],[ID]], Table2[ID],Table2[MC2], "Not Found", 0 )</f>
        <v>0</v>
      </c>
      <c r="AA1257" s="16">
        <f>_xlfn.XLOOKUP(CustomerCombinedCleaned[[#This Row],[ID]], Table2[ID],Table2[MC3], "Not Found", 0 )</f>
        <v>0</v>
      </c>
      <c r="AB1257" s="16">
        <f>_xlfn.XLOOKUP(CustomerCombinedCleaned[[#This Row],[ID]], Table2[ID],Table2[MC4], "Not Found", 0 )</f>
        <v>0</v>
      </c>
      <c r="AC1257" s="16">
        <f>_xlfn.XLOOKUP(CustomerCombinedCleaned[[#This Row],[ID]], Table2[ID],Table2[MC5], "Not Found", 0 )</f>
        <v>0</v>
      </c>
    </row>
    <row r="1258" spans="1:29" x14ac:dyDescent="0.3">
      <c r="A1258" s="18">
        <v>1685</v>
      </c>
      <c r="B1258" s="16">
        <v>141335</v>
      </c>
      <c r="C1258" s="16">
        <v>1</v>
      </c>
      <c r="D1258" s="16">
        <v>0</v>
      </c>
      <c r="E1258" s="16">
        <v>52</v>
      </c>
      <c r="F1258" s="17" t="s">
        <v>5</v>
      </c>
      <c r="G1258" s="17" t="s">
        <v>12</v>
      </c>
      <c r="H1258" s="3" t="s">
        <v>650</v>
      </c>
      <c r="I1258" s="5" t="s">
        <v>434</v>
      </c>
      <c r="J1258" s="16">
        <f>_xlfn.XLOOKUP(CustomerCombinedCleaned[[#This Row],[ID]], Table4[ID], Table4[Recency], "Not Found", 0)</f>
        <v>24</v>
      </c>
      <c r="K1258" s="16">
        <f>_xlfn.XLOOKUP(CustomerCombinedCleaned[[#This Row],[ID]], Table4[ID], Table4[Teas], "Not Found", 0)</f>
        <v>383</v>
      </c>
      <c r="L1258" s="16">
        <f>_xlfn.XLOOKUP(CustomerCombinedCleaned[[#This Row],[ID]], Table4[ID], Table4[Fruits], "Not Found", 0)</f>
        <v>65</v>
      </c>
      <c r="M1258" s="16">
        <f>_xlfn.XLOOKUP(CustomerCombinedCleaned[[#This Row],[ID]], Table4[ID], Table4[Meats], "Not Found", 0)</f>
        <v>72</v>
      </c>
      <c r="N1258" s="16">
        <f>_xlfn.XLOOKUP(CustomerCombinedCleaned[[#This Row],[ID]], Table4[ID], Table4[Seafood], "Not Found", 0)</f>
        <v>55</v>
      </c>
      <c r="O1258" s="16">
        <f>_xlfn.XLOOKUP(CustomerCombinedCleaned[[#This Row],[ID]], Table4[ID], Table4[Sweets], "Not Found", 0)</f>
        <v>48</v>
      </c>
      <c r="P1258" s="16">
        <f>_xlfn.XLOOKUP(CustomerCombinedCleaned[[#This Row],[ID]], Table4[ID], Table4[Premium], "Not Found", 0)</f>
        <v>17</v>
      </c>
      <c r="Q1258" s="16">
        <f>_xlfn.XLOOKUP(CustomerCombinedCleaned[[#This Row],[ID]], Table4[ID], Table4[Regular], "Not Found", 0)</f>
        <v>605</v>
      </c>
      <c r="R1258" s="16">
        <f>_xlfn.XLOOKUP(CustomerCombinedCleaned[[#This Row],[ID]], Table4[ID], Table4[Deals], "Not Found", 0)</f>
        <v>3</v>
      </c>
      <c r="S1258" s="16">
        <f>_xlfn.XLOOKUP(CustomerCombinedCleaned[[#This Row],[ID]], Table4[ID], Table4[Website], "Not Found", 0)</f>
        <v>4</v>
      </c>
      <c r="T1258" s="16">
        <f>_xlfn.XLOOKUP(CustomerCombinedCleaned[[#This Row],[ID]], Table4[ID], Table4[Catalog], "Not Found", 0)</f>
        <v>1</v>
      </c>
      <c r="U1258" s="16">
        <f>_xlfn.XLOOKUP(CustomerCombinedCleaned[[#This Row],[ID]], Table4[ID], Table4[Store], "Not Found", 0)</f>
        <v>4</v>
      </c>
      <c r="V1258" s="16">
        <f>_xlfn.XLOOKUP(CustomerCombinedCleaned[[#This Row],[ID]], Table4[ID], Table4[Visits], "Not Found", 0)</f>
        <v>7</v>
      </c>
      <c r="W1258" s="16">
        <f>_xlfn.XLOOKUP(CustomerCombinedCleaned[[#This Row],[ID]], Table2[ID],Table2[Complaint], "Not Found", 0 )</f>
        <v>0</v>
      </c>
      <c r="X1258" s="16">
        <f>_xlfn.XLOOKUP(CustomerCombinedCleaned[[#This Row],[ID]], Table2[ID],Table2[Pilot], "Not Found", 0 )</f>
        <v>0</v>
      </c>
      <c r="Y1258" s="16">
        <f>_xlfn.XLOOKUP(CustomerCombinedCleaned[[#This Row],[ID]], Table2[ID],Table2[MC1], "Not Found", 0 )</f>
        <v>0</v>
      </c>
      <c r="Z1258" s="16">
        <f>_xlfn.XLOOKUP(CustomerCombinedCleaned[[#This Row],[ID]], Table2[ID],Table2[MC2], "Not Found", 0 )</f>
        <v>0</v>
      </c>
      <c r="AA1258" s="16">
        <f>_xlfn.XLOOKUP(CustomerCombinedCleaned[[#This Row],[ID]], Table2[ID],Table2[MC3], "Not Found", 0 )</f>
        <v>0</v>
      </c>
      <c r="AB1258" s="16">
        <f>_xlfn.XLOOKUP(CustomerCombinedCleaned[[#This Row],[ID]], Table2[ID],Table2[MC4], "Not Found", 0 )</f>
        <v>0</v>
      </c>
      <c r="AC1258" s="16">
        <f>_xlfn.XLOOKUP(CustomerCombinedCleaned[[#This Row],[ID]], Table2[ID],Table2[MC5], "Not Found", 0 )</f>
        <v>0</v>
      </c>
    </row>
    <row r="1259" spans="1:29" x14ac:dyDescent="0.3">
      <c r="A1259" s="18">
        <v>2348</v>
      </c>
      <c r="B1259" s="16">
        <v>141335</v>
      </c>
      <c r="C1259" s="16">
        <v>1</v>
      </c>
      <c r="D1259" s="16">
        <v>0</v>
      </c>
      <c r="E1259" s="16">
        <v>52</v>
      </c>
      <c r="F1259" s="17" t="s">
        <v>5</v>
      </c>
      <c r="G1259" s="17" t="s">
        <v>12</v>
      </c>
      <c r="H1259" s="3" t="s">
        <v>650</v>
      </c>
      <c r="I1259" s="5" t="s">
        <v>438</v>
      </c>
      <c r="J1259" s="16">
        <f>_xlfn.XLOOKUP(CustomerCombinedCleaned[[#This Row],[ID]], Table4[ID], Table4[Recency], "Not Found", 0)</f>
        <v>24</v>
      </c>
      <c r="K1259" s="16">
        <f>_xlfn.XLOOKUP(CustomerCombinedCleaned[[#This Row],[ID]], Table4[ID], Table4[Teas], "Not Found", 0)</f>
        <v>383</v>
      </c>
      <c r="L1259" s="16">
        <f>_xlfn.XLOOKUP(CustomerCombinedCleaned[[#This Row],[ID]], Table4[ID], Table4[Fruits], "Not Found", 0)</f>
        <v>65</v>
      </c>
      <c r="M1259" s="16">
        <f>_xlfn.XLOOKUP(CustomerCombinedCleaned[[#This Row],[ID]], Table4[ID], Table4[Meats], "Not Found", 0)</f>
        <v>72</v>
      </c>
      <c r="N1259" s="16">
        <f>_xlfn.XLOOKUP(CustomerCombinedCleaned[[#This Row],[ID]], Table4[ID], Table4[Seafood], "Not Found", 0)</f>
        <v>55</v>
      </c>
      <c r="O1259" s="16">
        <f>_xlfn.XLOOKUP(CustomerCombinedCleaned[[#This Row],[ID]], Table4[ID], Table4[Sweets], "Not Found", 0)</f>
        <v>48</v>
      </c>
      <c r="P1259" s="16">
        <f>_xlfn.XLOOKUP(CustomerCombinedCleaned[[#This Row],[ID]], Table4[ID], Table4[Premium], "Not Found", 0)</f>
        <v>17</v>
      </c>
      <c r="Q1259" s="16">
        <f>_xlfn.XLOOKUP(CustomerCombinedCleaned[[#This Row],[ID]], Table4[ID], Table4[Regular], "Not Found", 0)</f>
        <v>605</v>
      </c>
      <c r="R1259" s="16">
        <f>_xlfn.XLOOKUP(CustomerCombinedCleaned[[#This Row],[ID]], Table4[ID], Table4[Deals], "Not Found", 0)</f>
        <v>3</v>
      </c>
      <c r="S1259" s="16">
        <f>_xlfn.XLOOKUP(CustomerCombinedCleaned[[#This Row],[ID]], Table4[ID], Table4[Website], "Not Found", 0)</f>
        <v>4</v>
      </c>
      <c r="T1259" s="16">
        <f>_xlfn.XLOOKUP(CustomerCombinedCleaned[[#This Row],[ID]], Table4[ID], Table4[Catalog], "Not Found", 0)</f>
        <v>1</v>
      </c>
      <c r="U1259" s="16">
        <f>_xlfn.XLOOKUP(CustomerCombinedCleaned[[#This Row],[ID]], Table4[ID], Table4[Store], "Not Found", 0)</f>
        <v>4</v>
      </c>
      <c r="V1259" s="16">
        <f>_xlfn.XLOOKUP(CustomerCombinedCleaned[[#This Row],[ID]], Table4[ID], Table4[Visits], "Not Found", 0)</f>
        <v>7</v>
      </c>
      <c r="W1259" s="16">
        <f>_xlfn.XLOOKUP(CustomerCombinedCleaned[[#This Row],[ID]], Table2[ID],Table2[Complaint], "Not Found", 0 )</f>
        <v>0</v>
      </c>
      <c r="X1259" s="16">
        <f>_xlfn.XLOOKUP(CustomerCombinedCleaned[[#This Row],[ID]], Table2[ID],Table2[Pilot], "Not Found", 0 )</f>
        <v>0</v>
      </c>
      <c r="Y1259" s="16">
        <f>_xlfn.XLOOKUP(CustomerCombinedCleaned[[#This Row],[ID]], Table2[ID],Table2[MC1], "Not Found", 0 )</f>
        <v>0</v>
      </c>
      <c r="Z1259" s="16">
        <f>_xlfn.XLOOKUP(CustomerCombinedCleaned[[#This Row],[ID]], Table2[ID],Table2[MC2], "Not Found", 0 )</f>
        <v>0</v>
      </c>
      <c r="AA1259" s="16">
        <f>_xlfn.XLOOKUP(CustomerCombinedCleaned[[#This Row],[ID]], Table2[ID],Table2[MC3], "Not Found", 0 )</f>
        <v>0</v>
      </c>
      <c r="AB1259" s="16">
        <f>_xlfn.XLOOKUP(CustomerCombinedCleaned[[#This Row],[ID]], Table2[ID],Table2[MC4], "Not Found", 0 )</f>
        <v>0</v>
      </c>
      <c r="AC1259" s="16">
        <f>_xlfn.XLOOKUP(CustomerCombinedCleaned[[#This Row],[ID]], Table2[ID],Table2[MC5], "Not Found", 0 )</f>
        <v>0</v>
      </c>
    </row>
    <row r="1260" spans="1:29" x14ac:dyDescent="0.3">
      <c r="A1260" s="18">
        <v>2731</v>
      </c>
      <c r="B1260" s="16">
        <v>141120</v>
      </c>
      <c r="C1260" s="16">
        <v>1</v>
      </c>
      <c r="D1260" s="16">
        <v>1</v>
      </c>
      <c r="E1260" s="16">
        <v>52</v>
      </c>
      <c r="F1260" s="17" t="s">
        <v>6</v>
      </c>
      <c r="G1260" s="17" t="s">
        <v>11</v>
      </c>
      <c r="H1260" s="3" t="s">
        <v>594</v>
      </c>
      <c r="I1260" s="5" t="s">
        <v>437</v>
      </c>
      <c r="J1260" s="16">
        <f>_xlfn.XLOOKUP(CustomerCombinedCleaned[[#This Row],[ID]], Table4[ID], Table4[Recency], "Not Found", 0)</f>
        <v>80</v>
      </c>
      <c r="K1260" s="16">
        <f>_xlfn.XLOOKUP(CustomerCombinedCleaned[[#This Row],[ID]], Table4[ID], Table4[Teas], "Not Found", 0)</f>
        <v>82</v>
      </c>
      <c r="L1260" s="16">
        <f>_xlfn.XLOOKUP(CustomerCombinedCleaned[[#This Row],[ID]], Table4[ID], Table4[Fruits], "Not Found", 0)</f>
        <v>7</v>
      </c>
      <c r="M1260" s="16">
        <f>_xlfn.XLOOKUP(CustomerCombinedCleaned[[#This Row],[ID]], Table4[ID], Table4[Meats], "Not Found", 0)</f>
        <v>79</v>
      </c>
      <c r="N1260" s="16">
        <f>_xlfn.XLOOKUP(CustomerCombinedCleaned[[#This Row],[ID]], Table4[ID], Table4[Seafood], "Not Found", 0)</f>
        <v>0</v>
      </c>
      <c r="O1260" s="16">
        <f>_xlfn.XLOOKUP(CustomerCombinedCleaned[[#This Row],[ID]], Table4[ID], Table4[Sweets], "Not Found", 0)</f>
        <v>27</v>
      </c>
      <c r="P1260" s="16">
        <f>_xlfn.XLOOKUP(CustomerCombinedCleaned[[#This Row],[ID]], Table4[ID], Table4[Premium], "Not Found", 0)</f>
        <v>82</v>
      </c>
      <c r="Q1260" s="16">
        <f>_xlfn.XLOOKUP(CustomerCombinedCleaned[[#This Row],[ID]], Table4[ID], Table4[Regular], "Not Found", 0)</f>
        <v>113</v>
      </c>
      <c r="R1260" s="16">
        <f>_xlfn.XLOOKUP(CustomerCombinedCleaned[[#This Row],[ID]], Table4[ID], Table4[Deals], "Not Found", 0)</f>
        <v>3</v>
      </c>
      <c r="S1260" s="16">
        <f>_xlfn.XLOOKUP(CustomerCombinedCleaned[[#This Row],[ID]], Table4[ID], Table4[Website], "Not Found", 0)</f>
        <v>2</v>
      </c>
      <c r="T1260" s="16">
        <f>_xlfn.XLOOKUP(CustomerCombinedCleaned[[#This Row],[ID]], Table4[ID], Table4[Catalog], "Not Found", 0)</f>
        <v>1</v>
      </c>
      <c r="U1260" s="16">
        <f>_xlfn.XLOOKUP(CustomerCombinedCleaned[[#This Row],[ID]], Table4[ID], Table4[Store], "Not Found", 0)</f>
        <v>3</v>
      </c>
      <c r="V1260" s="16">
        <f>_xlfn.XLOOKUP(CustomerCombinedCleaned[[#This Row],[ID]], Table4[ID], Table4[Visits], "Not Found", 0)</f>
        <v>6</v>
      </c>
      <c r="W1260" s="16">
        <f>_xlfn.XLOOKUP(CustomerCombinedCleaned[[#This Row],[ID]], Table2[ID],Table2[Complaint], "Not Found", 0 )</f>
        <v>0</v>
      </c>
      <c r="X1260" s="16">
        <f>_xlfn.XLOOKUP(CustomerCombinedCleaned[[#This Row],[ID]], Table2[ID],Table2[Pilot], "Not Found", 0 )</f>
        <v>0</v>
      </c>
      <c r="Y1260" s="16">
        <f>_xlfn.XLOOKUP(CustomerCombinedCleaned[[#This Row],[ID]], Table2[ID],Table2[MC1], "Not Found", 0 )</f>
        <v>0</v>
      </c>
      <c r="Z1260" s="16">
        <f>_xlfn.XLOOKUP(CustomerCombinedCleaned[[#This Row],[ID]], Table2[ID],Table2[MC2], "Not Found", 0 )</f>
        <v>0</v>
      </c>
      <c r="AA1260" s="16">
        <f>_xlfn.XLOOKUP(CustomerCombinedCleaned[[#This Row],[ID]], Table2[ID],Table2[MC3], "Not Found", 0 )</f>
        <v>0</v>
      </c>
      <c r="AB1260" s="16">
        <f>_xlfn.XLOOKUP(CustomerCombinedCleaned[[#This Row],[ID]], Table2[ID],Table2[MC4], "Not Found", 0 )</f>
        <v>0</v>
      </c>
      <c r="AC1260" s="16">
        <f>_xlfn.XLOOKUP(CustomerCombinedCleaned[[#This Row],[ID]], Table2[ID],Table2[MC5], "Not Found", 0 )</f>
        <v>0</v>
      </c>
    </row>
    <row r="1261" spans="1:29" x14ac:dyDescent="0.3">
      <c r="A1261" s="18">
        <v>1952</v>
      </c>
      <c r="B1261" s="16">
        <v>140706</v>
      </c>
      <c r="C1261" s="16">
        <v>2</v>
      </c>
      <c r="D1261" s="16">
        <v>1</v>
      </c>
      <c r="E1261" s="16">
        <v>52</v>
      </c>
      <c r="F1261" s="17" t="s">
        <v>8</v>
      </c>
      <c r="G1261" s="17" t="s">
        <v>13</v>
      </c>
      <c r="H1261" s="3" t="s">
        <v>323</v>
      </c>
      <c r="I1261" s="5" t="s">
        <v>438</v>
      </c>
      <c r="J1261" s="16">
        <f>_xlfn.XLOOKUP(CustomerCombinedCleaned[[#This Row],[ID]], Table4[ID], Table4[Recency], "Not Found", 0)</f>
        <v>37</v>
      </c>
      <c r="K1261" s="16">
        <f>_xlfn.XLOOKUP(CustomerCombinedCleaned[[#This Row],[ID]], Table4[ID], Table4[Teas], "Not Found", 0)</f>
        <v>204</v>
      </c>
      <c r="L1261" s="16">
        <f>_xlfn.XLOOKUP(CustomerCombinedCleaned[[#This Row],[ID]], Table4[ID], Table4[Fruits], "Not Found", 0)</f>
        <v>0</v>
      </c>
      <c r="M1261" s="16">
        <f>_xlfn.XLOOKUP(CustomerCombinedCleaned[[#This Row],[ID]], Table4[ID], Table4[Meats], "Not Found", 0)</f>
        <v>38</v>
      </c>
      <c r="N1261" s="16">
        <f>_xlfn.XLOOKUP(CustomerCombinedCleaned[[#This Row],[ID]], Table4[ID], Table4[Seafood], "Not Found", 0)</f>
        <v>14</v>
      </c>
      <c r="O1261" s="16">
        <f>_xlfn.XLOOKUP(CustomerCombinedCleaned[[#This Row],[ID]], Table4[ID], Table4[Sweets], "Not Found", 0)</f>
        <v>7</v>
      </c>
      <c r="P1261" s="16">
        <f>_xlfn.XLOOKUP(CustomerCombinedCleaned[[#This Row],[ID]], Table4[ID], Table4[Premium], "Not Found", 0)</f>
        <v>17</v>
      </c>
      <c r="Q1261" s="16">
        <f>_xlfn.XLOOKUP(CustomerCombinedCleaned[[#This Row],[ID]], Table4[ID], Table4[Regular], "Not Found", 0)</f>
        <v>245</v>
      </c>
      <c r="R1261" s="16">
        <f>_xlfn.XLOOKUP(CustomerCombinedCleaned[[#This Row],[ID]], Table4[ID], Table4[Deals], "Not Found", 0)</f>
        <v>4</v>
      </c>
      <c r="S1261" s="16">
        <f>_xlfn.XLOOKUP(CustomerCombinedCleaned[[#This Row],[ID]], Table4[ID], Table4[Website], "Not Found", 0)</f>
        <v>3</v>
      </c>
      <c r="T1261" s="16">
        <f>_xlfn.XLOOKUP(CustomerCombinedCleaned[[#This Row],[ID]], Table4[ID], Table4[Catalog], "Not Found", 0)</f>
        <v>0</v>
      </c>
      <c r="U1261" s="16">
        <f>_xlfn.XLOOKUP(CustomerCombinedCleaned[[#This Row],[ID]], Table4[ID], Table4[Store], "Not Found", 0)</f>
        <v>4</v>
      </c>
      <c r="V1261" s="16">
        <f>_xlfn.XLOOKUP(CustomerCombinedCleaned[[#This Row],[ID]], Table4[ID], Table4[Visits], "Not Found", 0)</f>
        <v>7</v>
      </c>
      <c r="W1261" s="16">
        <f>_xlfn.XLOOKUP(CustomerCombinedCleaned[[#This Row],[ID]], Table2[ID],Table2[Complaint], "Not Found", 0 )</f>
        <v>0</v>
      </c>
      <c r="X1261" s="16">
        <f>_xlfn.XLOOKUP(CustomerCombinedCleaned[[#This Row],[ID]], Table2[ID],Table2[Pilot], "Not Found", 0 )</f>
        <v>0</v>
      </c>
      <c r="Y1261" s="16">
        <f>_xlfn.XLOOKUP(CustomerCombinedCleaned[[#This Row],[ID]], Table2[ID],Table2[MC1], "Not Found", 0 )</f>
        <v>0</v>
      </c>
      <c r="Z1261" s="16">
        <f>_xlfn.XLOOKUP(CustomerCombinedCleaned[[#This Row],[ID]], Table2[ID],Table2[MC2], "Not Found", 0 )</f>
        <v>0</v>
      </c>
      <c r="AA1261" s="16">
        <f>_xlfn.XLOOKUP(CustomerCombinedCleaned[[#This Row],[ID]], Table2[ID],Table2[MC3], "Not Found", 0 )</f>
        <v>0</v>
      </c>
      <c r="AB1261" s="16">
        <f>_xlfn.XLOOKUP(CustomerCombinedCleaned[[#This Row],[ID]], Table2[ID],Table2[MC4], "Not Found", 0 )</f>
        <v>0</v>
      </c>
      <c r="AC1261" s="16">
        <f>_xlfn.XLOOKUP(CustomerCombinedCleaned[[#This Row],[ID]], Table2[ID],Table2[MC5], "Not Found", 0 )</f>
        <v>0</v>
      </c>
    </row>
    <row r="1262" spans="1:29" x14ac:dyDescent="0.3">
      <c r="A1262" s="18">
        <v>2228</v>
      </c>
      <c r="B1262" s="16">
        <v>140521</v>
      </c>
      <c r="C1262" s="16">
        <v>1</v>
      </c>
      <c r="D1262" s="16">
        <v>1</v>
      </c>
      <c r="E1262" s="16">
        <v>52</v>
      </c>
      <c r="F1262" s="17" t="s">
        <v>8</v>
      </c>
      <c r="G1262" s="17" t="s">
        <v>11</v>
      </c>
      <c r="H1262" s="3" t="s">
        <v>538</v>
      </c>
      <c r="I1262" s="5" t="s">
        <v>438</v>
      </c>
      <c r="J1262" s="16">
        <f>_xlfn.XLOOKUP(CustomerCombinedCleaned[[#This Row],[ID]], Table4[ID], Table4[Recency], "Not Found", 0)</f>
        <v>82</v>
      </c>
      <c r="K1262" s="16">
        <f>_xlfn.XLOOKUP(CustomerCombinedCleaned[[#This Row],[ID]], Table4[ID], Table4[Teas], "Not Found", 0)</f>
        <v>42</v>
      </c>
      <c r="L1262" s="16">
        <f>_xlfn.XLOOKUP(CustomerCombinedCleaned[[#This Row],[ID]], Table4[ID], Table4[Fruits], "Not Found", 0)</f>
        <v>0</v>
      </c>
      <c r="M1262" s="16">
        <f>_xlfn.XLOOKUP(CustomerCombinedCleaned[[#This Row],[ID]], Table4[ID], Table4[Meats], "Not Found", 0)</f>
        <v>17</v>
      </c>
      <c r="N1262" s="16">
        <f>_xlfn.XLOOKUP(CustomerCombinedCleaned[[#This Row],[ID]], Table4[ID], Table4[Seafood], "Not Found", 0)</f>
        <v>0</v>
      </c>
      <c r="O1262" s="16">
        <f>_xlfn.XLOOKUP(CustomerCombinedCleaned[[#This Row],[ID]], Table4[ID], Table4[Sweets], "Not Found", 0)</f>
        <v>0</v>
      </c>
      <c r="P1262" s="16">
        <f>_xlfn.XLOOKUP(CustomerCombinedCleaned[[#This Row],[ID]], Table4[ID], Table4[Premium], "Not Found", 0)</f>
        <v>14</v>
      </c>
      <c r="Q1262" s="16">
        <f>_xlfn.XLOOKUP(CustomerCombinedCleaned[[#This Row],[ID]], Table4[ID], Table4[Regular], "Not Found", 0)</f>
        <v>45</v>
      </c>
      <c r="R1262" s="16">
        <f>_xlfn.XLOOKUP(CustomerCombinedCleaned[[#This Row],[ID]], Table4[ID], Table4[Deals], "Not Found", 0)</f>
        <v>1</v>
      </c>
      <c r="S1262" s="16">
        <f>_xlfn.XLOOKUP(CustomerCombinedCleaned[[#This Row],[ID]], Table4[ID], Table4[Website], "Not Found", 0)</f>
        <v>0</v>
      </c>
      <c r="T1262" s="16">
        <f>_xlfn.XLOOKUP(CustomerCombinedCleaned[[#This Row],[ID]], Table4[ID], Table4[Catalog], "Not Found", 0)</f>
        <v>1</v>
      </c>
      <c r="U1262" s="16">
        <f>_xlfn.XLOOKUP(CustomerCombinedCleaned[[#This Row],[ID]], Table4[ID], Table4[Store], "Not Found", 0)</f>
        <v>2</v>
      </c>
      <c r="V1262" s="16">
        <f>_xlfn.XLOOKUP(CustomerCombinedCleaned[[#This Row],[ID]], Table4[ID], Table4[Visits], "Not Found", 0)</f>
        <v>5</v>
      </c>
      <c r="W1262" s="16">
        <f>_xlfn.XLOOKUP(CustomerCombinedCleaned[[#This Row],[ID]], Table2[ID],Table2[Complaint], "Not Found", 0 )</f>
        <v>0</v>
      </c>
      <c r="X1262" s="16">
        <f>_xlfn.XLOOKUP(CustomerCombinedCleaned[[#This Row],[ID]], Table2[ID],Table2[Pilot], "Not Found", 0 )</f>
        <v>0</v>
      </c>
      <c r="Y1262" s="16">
        <f>_xlfn.XLOOKUP(CustomerCombinedCleaned[[#This Row],[ID]], Table2[ID],Table2[MC1], "Not Found", 0 )</f>
        <v>0</v>
      </c>
      <c r="Z1262" s="16">
        <f>_xlfn.XLOOKUP(CustomerCombinedCleaned[[#This Row],[ID]], Table2[ID],Table2[MC2], "Not Found", 0 )</f>
        <v>0</v>
      </c>
      <c r="AA1262" s="16">
        <f>_xlfn.XLOOKUP(CustomerCombinedCleaned[[#This Row],[ID]], Table2[ID],Table2[MC3], "Not Found", 0 )</f>
        <v>0</v>
      </c>
      <c r="AB1262" s="16">
        <f>_xlfn.XLOOKUP(CustomerCombinedCleaned[[#This Row],[ID]], Table2[ID],Table2[MC4], "Not Found", 0 )</f>
        <v>0</v>
      </c>
      <c r="AC1262" s="16">
        <f>_xlfn.XLOOKUP(CustomerCombinedCleaned[[#This Row],[ID]], Table2[ID],Table2[MC5], "Not Found", 0 )</f>
        <v>0</v>
      </c>
    </row>
    <row r="1263" spans="1:29" x14ac:dyDescent="0.3">
      <c r="A1263" s="18">
        <v>1555</v>
      </c>
      <c r="B1263" s="16">
        <v>138443</v>
      </c>
      <c r="C1263" s="16">
        <v>1</v>
      </c>
      <c r="D1263" s="16">
        <v>1</v>
      </c>
      <c r="E1263" s="16">
        <v>52</v>
      </c>
      <c r="F1263" s="17" t="s">
        <v>6</v>
      </c>
      <c r="G1263" s="17" t="s">
        <v>13</v>
      </c>
      <c r="H1263" s="3" t="s">
        <v>676</v>
      </c>
      <c r="I1263" s="5" t="s">
        <v>437</v>
      </c>
      <c r="J1263" s="16">
        <f>_xlfn.XLOOKUP(CustomerCombinedCleaned[[#This Row],[ID]], Table4[ID], Table4[Recency], "Not Found", 0)</f>
        <v>58</v>
      </c>
      <c r="K1263" s="16">
        <f>_xlfn.XLOOKUP(CustomerCombinedCleaned[[#This Row],[ID]], Table4[ID], Table4[Teas], "Not Found", 0)</f>
        <v>115</v>
      </c>
      <c r="L1263" s="16">
        <f>_xlfn.XLOOKUP(CustomerCombinedCleaned[[#This Row],[ID]], Table4[ID], Table4[Fruits], "Not Found", 0)</f>
        <v>0</v>
      </c>
      <c r="M1263" s="16">
        <f>_xlfn.XLOOKUP(CustomerCombinedCleaned[[#This Row],[ID]], Table4[ID], Table4[Meats], "Not Found", 0)</f>
        <v>18</v>
      </c>
      <c r="N1263" s="16">
        <f>_xlfn.XLOOKUP(CustomerCombinedCleaned[[#This Row],[ID]], Table4[ID], Table4[Seafood], "Not Found", 0)</f>
        <v>0</v>
      </c>
      <c r="O1263" s="16">
        <f>_xlfn.XLOOKUP(CustomerCombinedCleaned[[#This Row],[ID]], Table4[ID], Table4[Sweets], "Not Found", 0)</f>
        <v>0</v>
      </c>
      <c r="P1263" s="16">
        <f>_xlfn.XLOOKUP(CustomerCombinedCleaned[[#This Row],[ID]], Table4[ID], Table4[Premium], "Not Found", 0)</f>
        <v>4</v>
      </c>
      <c r="Q1263" s="16">
        <f>_xlfn.XLOOKUP(CustomerCombinedCleaned[[#This Row],[ID]], Table4[ID], Table4[Regular], "Not Found", 0)</f>
        <v>130</v>
      </c>
      <c r="R1263" s="16">
        <f>_xlfn.XLOOKUP(CustomerCombinedCleaned[[#This Row],[ID]], Table4[ID], Table4[Deals], "Not Found", 0)</f>
        <v>2</v>
      </c>
      <c r="S1263" s="16">
        <f>_xlfn.XLOOKUP(CustomerCombinedCleaned[[#This Row],[ID]], Table4[ID], Table4[Website], "Not Found", 0)</f>
        <v>1</v>
      </c>
      <c r="T1263" s="16">
        <f>_xlfn.XLOOKUP(CustomerCombinedCleaned[[#This Row],[ID]], Table4[ID], Table4[Catalog], "Not Found", 0)</f>
        <v>0</v>
      </c>
      <c r="U1263" s="16">
        <f>_xlfn.XLOOKUP(CustomerCombinedCleaned[[#This Row],[ID]], Table4[ID], Table4[Store], "Not Found", 0)</f>
        <v>3</v>
      </c>
      <c r="V1263" s="16">
        <f>_xlfn.XLOOKUP(CustomerCombinedCleaned[[#This Row],[ID]], Table4[ID], Table4[Visits], "Not Found", 0)</f>
        <v>7</v>
      </c>
      <c r="W1263" s="16">
        <f>_xlfn.XLOOKUP(CustomerCombinedCleaned[[#This Row],[ID]], Table2[ID],Table2[Complaint], "Not Found", 0 )</f>
        <v>0</v>
      </c>
      <c r="X1263" s="16">
        <f>_xlfn.XLOOKUP(CustomerCombinedCleaned[[#This Row],[ID]], Table2[ID],Table2[Pilot], "Not Found", 0 )</f>
        <v>0</v>
      </c>
      <c r="Y1263" s="16">
        <f>_xlfn.XLOOKUP(CustomerCombinedCleaned[[#This Row],[ID]], Table2[ID],Table2[MC1], "Not Found", 0 )</f>
        <v>0</v>
      </c>
      <c r="Z1263" s="16">
        <f>_xlfn.XLOOKUP(CustomerCombinedCleaned[[#This Row],[ID]], Table2[ID],Table2[MC2], "Not Found", 0 )</f>
        <v>0</v>
      </c>
      <c r="AA1263" s="16">
        <f>_xlfn.XLOOKUP(CustomerCombinedCleaned[[#This Row],[ID]], Table2[ID],Table2[MC3], "Not Found", 0 )</f>
        <v>0</v>
      </c>
      <c r="AB1263" s="16">
        <f>_xlfn.XLOOKUP(CustomerCombinedCleaned[[#This Row],[ID]], Table2[ID],Table2[MC4], "Not Found", 0 )</f>
        <v>0</v>
      </c>
      <c r="AC1263" s="16">
        <f>_xlfn.XLOOKUP(CustomerCombinedCleaned[[#This Row],[ID]], Table2[ID],Table2[MC5], "Not Found", 0 )</f>
        <v>0</v>
      </c>
    </row>
    <row r="1264" spans="1:29" x14ac:dyDescent="0.3">
      <c r="A1264" s="18">
        <v>2952</v>
      </c>
      <c r="B1264" s="16">
        <v>138236</v>
      </c>
      <c r="C1264" s="16">
        <v>1</v>
      </c>
      <c r="D1264" s="16">
        <v>1</v>
      </c>
      <c r="E1264" s="16">
        <v>52</v>
      </c>
      <c r="F1264" s="17" t="s">
        <v>7</v>
      </c>
      <c r="G1264" s="17" t="s">
        <v>13</v>
      </c>
      <c r="H1264" s="3" t="s">
        <v>179</v>
      </c>
      <c r="I1264" s="5" t="s">
        <v>436</v>
      </c>
      <c r="J1264" s="16">
        <f>_xlfn.XLOOKUP(CustomerCombinedCleaned[[#This Row],[ID]], Table4[ID], Table4[Recency], "Not Found", 0)</f>
        <v>2</v>
      </c>
      <c r="K1264" s="16">
        <f>_xlfn.XLOOKUP(CustomerCombinedCleaned[[#This Row],[ID]], Table4[ID], Table4[Teas], "Not Found", 0)</f>
        <v>210</v>
      </c>
      <c r="L1264" s="16">
        <f>_xlfn.XLOOKUP(CustomerCombinedCleaned[[#This Row],[ID]], Table4[ID], Table4[Fruits], "Not Found", 0)</f>
        <v>0</v>
      </c>
      <c r="M1264" s="16">
        <f>_xlfn.XLOOKUP(CustomerCombinedCleaned[[#This Row],[ID]], Table4[ID], Table4[Meats], "Not Found", 0)</f>
        <v>65</v>
      </c>
      <c r="N1264" s="16">
        <f>_xlfn.XLOOKUP(CustomerCombinedCleaned[[#This Row],[ID]], Table4[ID], Table4[Seafood], "Not Found", 0)</f>
        <v>7</v>
      </c>
      <c r="O1264" s="16">
        <f>_xlfn.XLOOKUP(CustomerCombinedCleaned[[#This Row],[ID]], Table4[ID], Table4[Sweets], "Not Found", 0)</f>
        <v>0</v>
      </c>
      <c r="P1264" s="16">
        <f>_xlfn.XLOOKUP(CustomerCombinedCleaned[[#This Row],[ID]], Table4[ID], Table4[Premium], "Not Found", 0)</f>
        <v>36</v>
      </c>
      <c r="Q1264" s="16">
        <f>_xlfn.XLOOKUP(CustomerCombinedCleaned[[#This Row],[ID]], Table4[ID], Table4[Regular], "Not Found", 0)</f>
        <v>246</v>
      </c>
      <c r="R1264" s="16">
        <f>_xlfn.XLOOKUP(CustomerCombinedCleaned[[#This Row],[ID]], Table4[ID], Table4[Deals], "Not Found", 0)</f>
        <v>4</v>
      </c>
      <c r="S1264" s="16">
        <f>_xlfn.XLOOKUP(CustomerCombinedCleaned[[#This Row],[ID]], Table4[ID], Table4[Website], "Not Found", 0)</f>
        <v>3</v>
      </c>
      <c r="T1264" s="16">
        <f>_xlfn.XLOOKUP(CustomerCombinedCleaned[[#This Row],[ID]], Table4[ID], Table4[Catalog], "Not Found", 0)</f>
        <v>0</v>
      </c>
      <c r="U1264" s="16">
        <f>_xlfn.XLOOKUP(CustomerCombinedCleaned[[#This Row],[ID]], Table4[ID], Table4[Store], "Not Found", 0)</f>
        <v>4</v>
      </c>
      <c r="V1264" s="16">
        <f>_xlfn.XLOOKUP(CustomerCombinedCleaned[[#This Row],[ID]], Table4[ID], Table4[Visits], "Not Found", 0)</f>
        <v>7</v>
      </c>
      <c r="W1264" s="16">
        <f>_xlfn.XLOOKUP(CustomerCombinedCleaned[[#This Row],[ID]], Table2[ID],Table2[Complaint], "Not Found", 0 )</f>
        <v>0</v>
      </c>
      <c r="X1264" s="16">
        <f>_xlfn.XLOOKUP(CustomerCombinedCleaned[[#This Row],[ID]], Table2[ID],Table2[Pilot], "Not Found", 0 )</f>
        <v>0</v>
      </c>
      <c r="Y1264" s="16">
        <f>_xlfn.XLOOKUP(CustomerCombinedCleaned[[#This Row],[ID]], Table2[ID],Table2[MC1], "Not Found", 0 )</f>
        <v>0</v>
      </c>
      <c r="Z1264" s="16">
        <f>_xlfn.XLOOKUP(CustomerCombinedCleaned[[#This Row],[ID]], Table2[ID],Table2[MC2], "Not Found", 0 )</f>
        <v>0</v>
      </c>
      <c r="AA1264" s="16">
        <f>_xlfn.XLOOKUP(CustomerCombinedCleaned[[#This Row],[ID]], Table2[ID],Table2[MC3], "Not Found", 0 )</f>
        <v>0</v>
      </c>
      <c r="AB1264" s="16">
        <f>_xlfn.XLOOKUP(CustomerCombinedCleaned[[#This Row],[ID]], Table2[ID],Table2[MC4], "Not Found", 0 )</f>
        <v>0</v>
      </c>
      <c r="AC1264" s="16">
        <f>_xlfn.XLOOKUP(CustomerCombinedCleaned[[#This Row],[ID]], Table2[ID],Table2[MC5], "Not Found", 0 )</f>
        <v>0</v>
      </c>
    </row>
    <row r="1265" spans="1:29" x14ac:dyDescent="0.3">
      <c r="A1265" s="18">
        <v>3110</v>
      </c>
      <c r="B1265" s="16">
        <v>136997</v>
      </c>
      <c r="C1265" s="16">
        <v>1</v>
      </c>
      <c r="D1265" s="16">
        <v>1</v>
      </c>
      <c r="E1265" s="16">
        <v>52</v>
      </c>
      <c r="F1265" s="17" t="s">
        <v>5</v>
      </c>
      <c r="G1265" s="17" t="s">
        <v>11</v>
      </c>
      <c r="H1265" s="3" t="s">
        <v>754</v>
      </c>
      <c r="I1265" s="5" t="s">
        <v>438</v>
      </c>
      <c r="J1265" s="16">
        <f>_xlfn.XLOOKUP(CustomerCombinedCleaned[[#This Row],[ID]], Table4[ID], Table4[Recency], "Not Found", 0)</f>
        <v>72</v>
      </c>
      <c r="K1265" s="16">
        <f>_xlfn.XLOOKUP(CustomerCombinedCleaned[[#This Row],[ID]], Table4[ID], Table4[Teas], "Not Found", 0)</f>
        <v>159</v>
      </c>
      <c r="L1265" s="16">
        <f>_xlfn.XLOOKUP(CustomerCombinedCleaned[[#This Row],[ID]], Table4[ID], Table4[Fruits], "Not Found", 0)</f>
        <v>15</v>
      </c>
      <c r="M1265" s="16">
        <f>_xlfn.XLOOKUP(CustomerCombinedCleaned[[#This Row],[ID]], Table4[ID], Table4[Meats], "Not Found", 0)</f>
        <v>44</v>
      </c>
      <c r="N1265" s="16">
        <f>_xlfn.XLOOKUP(CustomerCombinedCleaned[[#This Row],[ID]], Table4[ID], Table4[Seafood], "Not Found", 0)</f>
        <v>30</v>
      </c>
      <c r="O1265" s="16">
        <f>_xlfn.XLOOKUP(CustomerCombinedCleaned[[#This Row],[ID]], Table4[ID], Table4[Sweets], "Not Found", 0)</f>
        <v>0</v>
      </c>
      <c r="P1265" s="16">
        <f>_xlfn.XLOOKUP(CustomerCombinedCleaned[[#This Row],[ID]], Table4[ID], Table4[Premium], "Not Found", 0)</f>
        <v>100</v>
      </c>
      <c r="Q1265" s="16">
        <f>_xlfn.XLOOKUP(CustomerCombinedCleaned[[#This Row],[ID]], Table4[ID], Table4[Regular], "Not Found", 0)</f>
        <v>148</v>
      </c>
      <c r="R1265" s="16">
        <f>_xlfn.XLOOKUP(CustomerCombinedCleaned[[#This Row],[ID]], Table4[ID], Table4[Deals], "Not Found", 0)</f>
        <v>5</v>
      </c>
      <c r="S1265" s="16">
        <f>_xlfn.XLOOKUP(CustomerCombinedCleaned[[#This Row],[ID]], Table4[ID], Table4[Website], "Not Found", 0)</f>
        <v>2</v>
      </c>
      <c r="T1265" s="16">
        <f>_xlfn.XLOOKUP(CustomerCombinedCleaned[[#This Row],[ID]], Table4[ID], Table4[Catalog], "Not Found", 0)</f>
        <v>1</v>
      </c>
      <c r="U1265" s="16">
        <f>_xlfn.XLOOKUP(CustomerCombinedCleaned[[#This Row],[ID]], Table4[ID], Table4[Store], "Not Found", 0)</f>
        <v>4</v>
      </c>
      <c r="V1265" s="16">
        <f>_xlfn.XLOOKUP(CustomerCombinedCleaned[[#This Row],[ID]], Table4[ID], Table4[Visits], "Not Found", 0)</f>
        <v>5</v>
      </c>
      <c r="W1265" s="16">
        <f>_xlfn.XLOOKUP(CustomerCombinedCleaned[[#This Row],[ID]], Table2[ID],Table2[Complaint], "Not Found", 0 )</f>
        <v>0</v>
      </c>
      <c r="X1265" s="16">
        <f>_xlfn.XLOOKUP(CustomerCombinedCleaned[[#This Row],[ID]], Table2[ID],Table2[Pilot], "Not Found", 0 )</f>
        <v>0</v>
      </c>
      <c r="Y1265" s="16">
        <f>_xlfn.XLOOKUP(CustomerCombinedCleaned[[#This Row],[ID]], Table2[ID],Table2[MC1], "Not Found", 0 )</f>
        <v>0</v>
      </c>
      <c r="Z1265" s="16">
        <f>_xlfn.XLOOKUP(CustomerCombinedCleaned[[#This Row],[ID]], Table2[ID],Table2[MC2], "Not Found", 0 )</f>
        <v>0</v>
      </c>
      <c r="AA1265" s="16">
        <f>_xlfn.XLOOKUP(CustomerCombinedCleaned[[#This Row],[ID]], Table2[ID],Table2[MC3], "Not Found", 0 )</f>
        <v>0</v>
      </c>
      <c r="AB1265" s="16">
        <f>_xlfn.XLOOKUP(CustomerCombinedCleaned[[#This Row],[ID]], Table2[ID],Table2[MC4], "Not Found", 0 )</f>
        <v>0</v>
      </c>
      <c r="AC1265" s="16">
        <f>_xlfn.XLOOKUP(CustomerCombinedCleaned[[#This Row],[ID]], Table2[ID],Table2[MC5], "Not Found", 0 )</f>
        <v>0</v>
      </c>
    </row>
    <row r="1266" spans="1:29" x14ac:dyDescent="0.3">
      <c r="A1266" s="18">
        <v>2117</v>
      </c>
      <c r="B1266" s="16">
        <v>136778</v>
      </c>
      <c r="C1266" s="16">
        <v>1</v>
      </c>
      <c r="D1266" s="16">
        <v>1</v>
      </c>
      <c r="E1266" s="16">
        <v>52</v>
      </c>
      <c r="F1266" s="17" t="s">
        <v>6</v>
      </c>
      <c r="G1266" s="17" t="s">
        <v>13</v>
      </c>
      <c r="H1266" s="3" t="s">
        <v>783</v>
      </c>
      <c r="I1266" s="5" t="s">
        <v>434</v>
      </c>
      <c r="J1266" s="16">
        <f>_xlfn.XLOOKUP(CustomerCombinedCleaned[[#This Row],[ID]], Table4[ID], Table4[Recency], "Not Found", 0)</f>
        <v>63</v>
      </c>
      <c r="K1266" s="16">
        <f>_xlfn.XLOOKUP(CustomerCombinedCleaned[[#This Row],[ID]], Table4[ID], Table4[Teas], "Not Found", 0)</f>
        <v>108</v>
      </c>
      <c r="L1266" s="16">
        <f>_xlfn.XLOOKUP(CustomerCombinedCleaned[[#This Row],[ID]], Table4[ID], Table4[Fruits], "Not Found", 0)</f>
        <v>15</v>
      </c>
      <c r="M1266" s="16">
        <f>_xlfn.XLOOKUP(CustomerCombinedCleaned[[#This Row],[ID]], Table4[ID], Table4[Meats], "Not Found", 0)</f>
        <v>126</v>
      </c>
      <c r="N1266" s="16">
        <f>_xlfn.XLOOKUP(CustomerCombinedCleaned[[#This Row],[ID]], Table4[ID], Table4[Seafood], "Not Found", 0)</f>
        <v>7</v>
      </c>
      <c r="O1266" s="16">
        <f>_xlfn.XLOOKUP(CustomerCombinedCleaned[[#This Row],[ID]], Table4[ID], Table4[Sweets], "Not Found", 0)</f>
        <v>15</v>
      </c>
      <c r="P1266" s="16">
        <f>_xlfn.XLOOKUP(CustomerCombinedCleaned[[#This Row],[ID]], Table4[ID], Table4[Premium], "Not Found", 0)</f>
        <v>15</v>
      </c>
      <c r="Q1266" s="16">
        <f>_xlfn.XLOOKUP(CustomerCombinedCleaned[[#This Row],[ID]], Table4[ID], Table4[Regular], "Not Found", 0)</f>
        <v>257</v>
      </c>
      <c r="R1266" s="16">
        <f>_xlfn.XLOOKUP(CustomerCombinedCleaned[[#This Row],[ID]], Table4[ID], Table4[Deals], "Not Found", 0)</f>
        <v>3</v>
      </c>
      <c r="S1266" s="16">
        <f>_xlfn.XLOOKUP(CustomerCombinedCleaned[[#This Row],[ID]], Table4[ID], Table4[Website], "Not Found", 0)</f>
        <v>3</v>
      </c>
      <c r="T1266" s="16">
        <f>_xlfn.XLOOKUP(CustomerCombinedCleaned[[#This Row],[ID]], Table4[ID], Table4[Catalog], "Not Found", 0)</f>
        <v>0</v>
      </c>
      <c r="U1266" s="16">
        <f>_xlfn.XLOOKUP(CustomerCombinedCleaned[[#This Row],[ID]], Table4[ID], Table4[Store], "Not Found", 0)</f>
        <v>3</v>
      </c>
      <c r="V1266" s="16">
        <f>_xlfn.XLOOKUP(CustomerCombinedCleaned[[#This Row],[ID]], Table4[ID], Table4[Visits], "Not Found", 0)</f>
        <v>9</v>
      </c>
      <c r="W1266" s="16">
        <f>_xlfn.XLOOKUP(CustomerCombinedCleaned[[#This Row],[ID]], Table2[ID],Table2[Complaint], "Not Found", 0 )</f>
        <v>0</v>
      </c>
      <c r="X1266" s="16">
        <f>_xlfn.XLOOKUP(CustomerCombinedCleaned[[#This Row],[ID]], Table2[ID],Table2[Pilot], "Not Found", 0 )</f>
        <v>0</v>
      </c>
      <c r="Y1266" s="16">
        <f>_xlfn.XLOOKUP(CustomerCombinedCleaned[[#This Row],[ID]], Table2[ID],Table2[MC1], "Not Found", 0 )</f>
        <v>0</v>
      </c>
      <c r="Z1266" s="16">
        <f>_xlfn.XLOOKUP(CustomerCombinedCleaned[[#This Row],[ID]], Table2[ID],Table2[MC2], "Not Found", 0 )</f>
        <v>0</v>
      </c>
      <c r="AA1266" s="16">
        <f>_xlfn.XLOOKUP(CustomerCombinedCleaned[[#This Row],[ID]], Table2[ID],Table2[MC3], "Not Found", 0 )</f>
        <v>0</v>
      </c>
      <c r="AB1266" s="16">
        <f>_xlfn.XLOOKUP(CustomerCombinedCleaned[[#This Row],[ID]], Table2[ID],Table2[MC4], "Not Found", 0 )</f>
        <v>0</v>
      </c>
      <c r="AC1266" s="16">
        <f>_xlfn.XLOOKUP(CustomerCombinedCleaned[[#This Row],[ID]], Table2[ID],Table2[MC5], "Not Found", 0 )</f>
        <v>0</v>
      </c>
    </row>
    <row r="1267" spans="1:29" x14ac:dyDescent="0.3">
      <c r="A1267" s="18">
        <v>2923</v>
      </c>
      <c r="B1267" s="16">
        <v>136065</v>
      </c>
      <c r="C1267" s="16">
        <v>1</v>
      </c>
      <c r="D1267" s="16">
        <v>1</v>
      </c>
      <c r="E1267" s="16">
        <v>52</v>
      </c>
      <c r="F1267" s="17" t="s">
        <v>7</v>
      </c>
      <c r="G1267" s="17" t="s">
        <v>11</v>
      </c>
      <c r="H1267" s="3" t="s">
        <v>671</v>
      </c>
      <c r="I1267" s="5" t="s">
        <v>437</v>
      </c>
      <c r="J1267" s="16">
        <f>_xlfn.XLOOKUP(CustomerCombinedCleaned[[#This Row],[ID]], Table4[ID], Table4[Recency], "Not Found", 0)</f>
        <v>54</v>
      </c>
      <c r="K1267" s="16">
        <f>_xlfn.XLOOKUP(CustomerCombinedCleaned[[#This Row],[ID]], Table4[ID], Table4[Teas], "Not Found", 0)</f>
        <v>68</v>
      </c>
      <c r="L1267" s="16">
        <f>_xlfn.XLOOKUP(CustomerCombinedCleaned[[#This Row],[ID]], Table4[ID], Table4[Fruits], "Not Found", 0)</f>
        <v>26</v>
      </c>
      <c r="M1267" s="16">
        <f>_xlfn.XLOOKUP(CustomerCombinedCleaned[[#This Row],[ID]], Table4[ID], Table4[Meats], "Not Found", 0)</f>
        <v>128</v>
      </c>
      <c r="N1267" s="16">
        <f>_xlfn.XLOOKUP(CustomerCombinedCleaned[[#This Row],[ID]], Table4[ID], Table4[Seafood], "Not Found", 0)</f>
        <v>38</v>
      </c>
      <c r="O1267" s="16">
        <f>_xlfn.XLOOKUP(CustomerCombinedCleaned[[#This Row],[ID]], Table4[ID], Table4[Sweets], "Not Found", 0)</f>
        <v>8</v>
      </c>
      <c r="P1267" s="16">
        <f>_xlfn.XLOOKUP(CustomerCombinedCleaned[[#This Row],[ID]], Table4[ID], Table4[Premium], "Not Found", 0)</f>
        <v>11</v>
      </c>
      <c r="Q1267" s="16">
        <f>_xlfn.XLOOKUP(CustomerCombinedCleaned[[#This Row],[ID]], Table4[ID], Table4[Regular], "Not Found", 0)</f>
        <v>257</v>
      </c>
      <c r="R1267" s="16">
        <f>_xlfn.XLOOKUP(CustomerCombinedCleaned[[#This Row],[ID]], Table4[ID], Table4[Deals], "Not Found", 0)</f>
        <v>3</v>
      </c>
      <c r="S1267" s="16">
        <f>_xlfn.XLOOKUP(CustomerCombinedCleaned[[#This Row],[ID]], Table4[ID], Table4[Website], "Not Found", 0)</f>
        <v>3</v>
      </c>
      <c r="T1267" s="16">
        <f>_xlfn.XLOOKUP(CustomerCombinedCleaned[[#This Row],[ID]], Table4[ID], Table4[Catalog], "Not Found", 0)</f>
        <v>0</v>
      </c>
      <c r="U1267" s="16">
        <f>_xlfn.XLOOKUP(CustomerCombinedCleaned[[#This Row],[ID]], Table4[ID], Table4[Store], "Not Found", 0)</f>
        <v>3</v>
      </c>
      <c r="V1267" s="16">
        <f>_xlfn.XLOOKUP(CustomerCombinedCleaned[[#This Row],[ID]], Table4[ID], Table4[Visits], "Not Found", 0)</f>
        <v>8</v>
      </c>
      <c r="W1267" s="16">
        <f>_xlfn.XLOOKUP(CustomerCombinedCleaned[[#This Row],[ID]], Table2[ID],Table2[Complaint], "Not Found", 0 )</f>
        <v>0</v>
      </c>
      <c r="X1267" s="16">
        <f>_xlfn.XLOOKUP(CustomerCombinedCleaned[[#This Row],[ID]], Table2[ID],Table2[Pilot], "Not Found", 0 )</f>
        <v>0</v>
      </c>
      <c r="Y1267" s="16">
        <f>_xlfn.XLOOKUP(CustomerCombinedCleaned[[#This Row],[ID]], Table2[ID],Table2[MC1], "Not Found", 0 )</f>
        <v>0</v>
      </c>
      <c r="Z1267" s="16">
        <f>_xlfn.XLOOKUP(CustomerCombinedCleaned[[#This Row],[ID]], Table2[ID],Table2[MC2], "Not Found", 0 )</f>
        <v>0</v>
      </c>
      <c r="AA1267" s="16">
        <f>_xlfn.XLOOKUP(CustomerCombinedCleaned[[#This Row],[ID]], Table2[ID],Table2[MC3], "Not Found", 0 )</f>
        <v>0</v>
      </c>
      <c r="AB1267" s="16">
        <f>_xlfn.XLOOKUP(CustomerCombinedCleaned[[#This Row],[ID]], Table2[ID],Table2[MC4], "Not Found", 0 )</f>
        <v>0</v>
      </c>
      <c r="AC1267" s="16">
        <f>_xlfn.XLOOKUP(CustomerCombinedCleaned[[#This Row],[ID]], Table2[ID],Table2[MC5], "Not Found", 0 )</f>
        <v>0</v>
      </c>
    </row>
    <row r="1268" spans="1:29" x14ac:dyDescent="0.3">
      <c r="A1268" s="18">
        <v>3173</v>
      </c>
      <c r="B1268" s="16">
        <v>135893</v>
      </c>
      <c r="C1268" s="16">
        <v>1</v>
      </c>
      <c r="D1268" s="16">
        <v>1</v>
      </c>
      <c r="E1268" s="16">
        <v>52</v>
      </c>
      <c r="F1268" s="17" t="s">
        <v>7</v>
      </c>
      <c r="G1268" s="17" t="s">
        <v>11</v>
      </c>
      <c r="H1268" s="3" t="s">
        <v>379</v>
      </c>
      <c r="I1268" s="5" t="s">
        <v>434</v>
      </c>
      <c r="J1268" s="16">
        <f>_xlfn.XLOOKUP(CustomerCombinedCleaned[[#This Row],[ID]], Table4[ID], Table4[Recency], "Not Found", 0)</f>
        <v>80</v>
      </c>
      <c r="K1268" s="16">
        <f>_xlfn.XLOOKUP(CustomerCombinedCleaned[[#This Row],[ID]], Table4[ID], Table4[Teas], "Not Found", 0)</f>
        <v>598</v>
      </c>
      <c r="L1268" s="16">
        <f>_xlfn.XLOOKUP(CustomerCombinedCleaned[[#This Row],[ID]], Table4[ID], Table4[Fruits], "Not Found", 0)</f>
        <v>0</v>
      </c>
      <c r="M1268" s="16">
        <f>_xlfn.XLOOKUP(CustomerCombinedCleaned[[#This Row],[ID]], Table4[ID], Table4[Meats], "Not Found", 0)</f>
        <v>87</v>
      </c>
      <c r="N1268" s="16">
        <f>_xlfn.XLOOKUP(CustomerCombinedCleaned[[#This Row],[ID]], Table4[ID], Table4[Seafood], "Not Found", 0)</f>
        <v>0</v>
      </c>
      <c r="O1268" s="16">
        <f>_xlfn.XLOOKUP(CustomerCombinedCleaned[[#This Row],[ID]], Table4[ID], Table4[Sweets], "Not Found", 0)</f>
        <v>0</v>
      </c>
      <c r="P1268" s="16">
        <f>_xlfn.XLOOKUP(CustomerCombinedCleaned[[#This Row],[ID]], Table4[ID], Table4[Premium], "Not Found", 0)</f>
        <v>68</v>
      </c>
      <c r="Q1268" s="16">
        <f>_xlfn.XLOOKUP(CustomerCombinedCleaned[[#This Row],[ID]], Table4[ID], Table4[Regular], "Not Found", 0)</f>
        <v>617</v>
      </c>
      <c r="R1268" s="16">
        <f>_xlfn.XLOOKUP(CustomerCombinedCleaned[[#This Row],[ID]], Table4[ID], Table4[Deals], "Not Found", 0)</f>
        <v>6</v>
      </c>
      <c r="S1268" s="16">
        <f>_xlfn.XLOOKUP(CustomerCombinedCleaned[[#This Row],[ID]], Table4[ID], Table4[Website], "Not Found", 0)</f>
        <v>3</v>
      </c>
      <c r="T1268" s="16">
        <f>_xlfn.XLOOKUP(CustomerCombinedCleaned[[#This Row],[ID]], Table4[ID], Table4[Catalog], "Not Found", 0)</f>
        <v>1</v>
      </c>
      <c r="U1268" s="16">
        <f>_xlfn.XLOOKUP(CustomerCombinedCleaned[[#This Row],[ID]], Table4[ID], Table4[Store], "Not Found", 0)</f>
        <v>5</v>
      </c>
      <c r="V1268" s="16">
        <f>_xlfn.XLOOKUP(CustomerCombinedCleaned[[#This Row],[ID]], Table4[ID], Table4[Visits], "Not Found", 0)</f>
        <v>8</v>
      </c>
      <c r="W1268" s="16">
        <f>_xlfn.XLOOKUP(CustomerCombinedCleaned[[#This Row],[ID]], Table2[ID],Table2[Complaint], "Not Found", 0 )</f>
        <v>0</v>
      </c>
      <c r="X1268" s="16">
        <f>_xlfn.XLOOKUP(CustomerCombinedCleaned[[#This Row],[ID]], Table2[ID],Table2[Pilot], "Not Found", 0 )</f>
        <v>0</v>
      </c>
      <c r="Y1268" s="16">
        <f>_xlfn.XLOOKUP(CustomerCombinedCleaned[[#This Row],[ID]], Table2[ID],Table2[MC1], "Not Found", 0 )</f>
        <v>0</v>
      </c>
      <c r="Z1268" s="16">
        <f>_xlfn.XLOOKUP(CustomerCombinedCleaned[[#This Row],[ID]], Table2[ID],Table2[MC2], "Not Found", 0 )</f>
        <v>0</v>
      </c>
      <c r="AA1268" s="16">
        <f>_xlfn.XLOOKUP(CustomerCombinedCleaned[[#This Row],[ID]], Table2[ID],Table2[MC3], "Not Found", 0 )</f>
        <v>0</v>
      </c>
      <c r="AB1268" s="16">
        <f>_xlfn.XLOOKUP(CustomerCombinedCleaned[[#This Row],[ID]], Table2[ID],Table2[MC4], "Not Found", 0 )</f>
        <v>0</v>
      </c>
      <c r="AC1268" s="16">
        <f>_xlfn.XLOOKUP(CustomerCombinedCleaned[[#This Row],[ID]], Table2[ID],Table2[MC5], "Not Found", 0 )</f>
        <v>0</v>
      </c>
    </row>
    <row r="1269" spans="1:29" x14ac:dyDescent="0.3">
      <c r="A1269" s="18">
        <v>2148</v>
      </c>
      <c r="B1269" s="16">
        <v>135322</v>
      </c>
      <c r="C1269" s="16">
        <v>1</v>
      </c>
      <c r="D1269" s="16">
        <v>2</v>
      </c>
      <c r="E1269" s="16">
        <v>52</v>
      </c>
      <c r="F1269" s="17" t="s">
        <v>8</v>
      </c>
      <c r="G1269" s="17" t="s">
        <v>11</v>
      </c>
      <c r="H1269" s="3" t="s">
        <v>406</v>
      </c>
      <c r="I1269" s="5" t="s">
        <v>436</v>
      </c>
      <c r="J1269" s="16">
        <f>_xlfn.XLOOKUP(CustomerCombinedCleaned[[#This Row],[ID]], Table4[ID], Table4[Recency], "Not Found", 0)</f>
        <v>34</v>
      </c>
      <c r="K1269" s="16">
        <f>_xlfn.XLOOKUP(CustomerCombinedCleaned[[#This Row],[ID]], Table4[ID], Table4[Teas], "Not Found", 0)</f>
        <v>107</v>
      </c>
      <c r="L1269" s="16">
        <f>_xlfn.XLOOKUP(CustomerCombinedCleaned[[#This Row],[ID]], Table4[ID], Table4[Fruits], "Not Found", 0)</f>
        <v>34</v>
      </c>
      <c r="M1269" s="16">
        <f>_xlfn.XLOOKUP(CustomerCombinedCleaned[[#This Row],[ID]], Table4[ID], Table4[Meats], "Not Found", 0)</f>
        <v>142</v>
      </c>
      <c r="N1269" s="16">
        <f>_xlfn.XLOOKUP(CustomerCombinedCleaned[[#This Row],[ID]], Table4[ID], Table4[Seafood], "Not Found", 0)</f>
        <v>46</v>
      </c>
      <c r="O1269" s="16">
        <f>_xlfn.XLOOKUP(CustomerCombinedCleaned[[#This Row],[ID]], Table4[ID], Table4[Sweets], "Not Found", 0)</f>
        <v>27</v>
      </c>
      <c r="P1269" s="16">
        <f>_xlfn.XLOOKUP(CustomerCombinedCleaned[[#This Row],[ID]], Table4[ID], Table4[Premium], "Not Found", 0)</f>
        <v>50</v>
      </c>
      <c r="Q1269" s="16">
        <f>_xlfn.XLOOKUP(CustomerCombinedCleaned[[#This Row],[ID]], Table4[ID], Table4[Regular], "Not Found", 0)</f>
        <v>306</v>
      </c>
      <c r="R1269" s="16">
        <f>_xlfn.XLOOKUP(CustomerCombinedCleaned[[#This Row],[ID]], Table4[ID], Table4[Deals], "Not Found", 0)</f>
        <v>3</v>
      </c>
      <c r="S1269" s="16">
        <f>_xlfn.XLOOKUP(CustomerCombinedCleaned[[#This Row],[ID]], Table4[ID], Table4[Website], "Not Found", 0)</f>
        <v>2</v>
      </c>
      <c r="T1269" s="16">
        <f>_xlfn.XLOOKUP(CustomerCombinedCleaned[[#This Row],[ID]], Table4[ID], Table4[Catalog], "Not Found", 0)</f>
        <v>0</v>
      </c>
      <c r="U1269" s="16">
        <f>_xlfn.XLOOKUP(CustomerCombinedCleaned[[#This Row],[ID]], Table4[ID], Table4[Store], "Not Found", 0)</f>
        <v>4</v>
      </c>
      <c r="V1269" s="16">
        <f>_xlfn.XLOOKUP(CustomerCombinedCleaned[[#This Row],[ID]], Table4[ID], Table4[Visits], "Not Found", 0)</f>
        <v>8</v>
      </c>
      <c r="W1269" s="16">
        <f>_xlfn.XLOOKUP(CustomerCombinedCleaned[[#This Row],[ID]], Table2[ID],Table2[Complaint], "Not Found", 0 )</f>
        <v>0</v>
      </c>
      <c r="X1269" s="16">
        <f>_xlfn.XLOOKUP(CustomerCombinedCleaned[[#This Row],[ID]], Table2[ID],Table2[Pilot], "Not Found", 0 )</f>
        <v>0</v>
      </c>
      <c r="Y1269" s="16">
        <f>_xlfn.XLOOKUP(CustomerCombinedCleaned[[#This Row],[ID]], Table2[ID],Table2[MC1], "Not Found", 0 )</f>
        <v>0</v>
      </c>
      <c r="Z1269" s="16">
        <f>_xlfn.XLOOKUP(CustomerCombinedCleaned[[#This Row],[ID]], Table2[ID],Table2[MC2], "Not Found", 0 )</f>
        <v>0</v>
      </c>
      <c r="AA1269" s="16">
        <f>_xlfn.XLOOKUP(CustomerCombinedCleaned[[#This Row],[ID]], Table2[ID],Table2[MC3], "Not Found", 0 )</f>
        <v>0</v>
      </c>
      <c r="AB1269" s="16">
        <f>_xlfn.XLOOKUP(CustomerCombinedCleaned[[#This Row],[ID]], Table2[ID],Table2[MC4], "Not Found", 0 )</f>
        <v>0</v>
      </c>
      <c r="AC1269" s="16">
        <f>_xlfn.XLOOKUP(CustomerCombinedCleaned[[#This Row],[ID]], Table2[ID],Table2[MC5], "Not Found", 0 )</f>
        <v>0</v>
      </c>
    </row>
    <row r="1270" spans="1:29" x14ac:dyDescent="0.3">
      <c r="A1270" s="18">
        <v>2636</v>
      </c>
      <c r="B1270" s="16">
        <v>134916</v>
      </c>
      <c r="C1270" s="16">
        <v>2</v>
      </c>
      <c r="D1270" s="16">
        <v>0</v>
      </c>
      <c r="E1270" s="16">
        <v>52</v>
      </c>
      <c r="F1270" s="17" t="s">
        <v>8</v>
      </c>
      <c r="G1270" s="17" t="s">
        <v>11</v>
      </c>
      <c r="H1270" s="3" t="s">
        <v>256</v>
      </c>
      <c r="I1270" s="5" t="s">
        <v>438</v>
      </c>
      <c r="J1270" s="16">
        <f>_xlfn.XLOOKUP(CustomerCombinedCleaned[[#This Row],[ID]], Table4[ID], Table4[Recency], "Not Found", 0)</f>
        <v>89</v>
      </c>
      <c r="K1270" s="16">
        <f>_xlfn.XLOOKUP(CustomerCombinedCleaned[[#This Row],[ID]], Table4[ID], Table4[Teas], "Not Found", 0)</f>
        <v>197</v>
      </c>
      <c r="L1270" s="16">
        <f>_xlfn.XLOOKUP(CustomerCombinedCleaned[[#This Row],[ID]], Table4[ID], Table4[Fruits], "Not Found", 0)</f>
        <v>89</v>
      </c>
      <c r="M1270" s="16">
        <f>_xlfn.XLOOKUP(CustomerCombinedCleaned[[#This Row],[ID]], Table4[ID], Table4[Meats], "Not Found", 0)</f>
        <v>317</v>
      </c>
      <c r="N1270" s="16">
        <f>_xlfn.XLOOKUP(CustomerCombinedCleaned[[#This Row],[ID]], Table4[ID], Table4[Seafood], "Not Found", 0)</f>
        <v>128</v>
      </c>
      <c r="O1270" s="16">
        <f>_xlfn.XLOOKUP(CustomerCombinedCleaned[[#This Row],[ID]], Table4[ID], Table4[Sweets], "Not Found", 0)</f>
        <v>0</v>
      </c>
      <c r="P1270" s="16">
        <f>_xlfn.XLOOKUP(CustomerCombinedCleaned[[#This Row],[ID]], Table4[ID], Table4[Premium], "Not Found", 0)</f>
        <v>162</v>
      </c>
      <c r="Q1270" s="16">
        <f>_xlfn.XLOOKUP(CustomerCombinedCleaned[[#This Row],[ID]], Table4[ID], Table4[Regular], "Not Found", 0)</f>
        <v>568</v>
      </c>
      <c r="R1270" s="16">
        <f>_xlfn.XLOOKUP(CustomerCombinedCleaned[[#This Row],[ID]], Table4[ID], Table4[Deals], "Not Found", 0)</f>
        <v>4</v>
      </c>
      <c r="S1270" s="16">
        <f>_xlfn.XLOOKUP(CustomerCombinedCleaned[[#This Row],[ID]], Table4[ID], Table4[Website], "Not Found", 0)</f>
        <v>5</v>
      </c>
      <c r="T1270" s="16">
        <f>_xlfn.XLOOKUP(CustomerCombinedCleaned[[#This Row],[ID]], Table4[ID], Table4[Catalog], "Not Found", 0)</f>
        <v>1</v>
      </c>
      <c r="U1270" s="16">
        <f>_xlfn.XLOOKUP(CustomerCombinedCleaned[[#This Row],[ID]], Table4[ID], Table4[Store], "Not Found", 0)</f>
        <v>3</v>
      </c>
      <c r="V1270" s="16">
        <f>_xlfn.XLOOKUP(CustomerCombinedCleaned[[#This Row],[ID]], Table4[ID], Table4[Visits], "Not Found", 0)</f>
        <v>9</v>
      </c>
      <c r="W1270" s="16">
        <f>_xlfn.XLOOKUP(CustomerCombinedCleaned[[#This Row],[ID]], Table2[ID],Table2[Complaint], "Not Found", 0 )</f>
        <v>0</v>
      </c>
      <c r="X1270" s="16">
        <f>_xlfn.XLOOKUP(CustomerCombinedCleaned[[#This Row],[ID]], Table2[ID],Table2[Pilot], "Not Found", 0 )</f>
        <v>0</v>
      </c>
      <c r="Y1270" s="16">
        <f>_xlfn.XLOOKUP(CustomerCombinedCleaned[[#This Row],[ID]], Table2[ID],Table2[MC1], "Not Found", 0 )</f>
        <v>0</v>
      </c>
      <c r="Z1270" s="16">
        <f>_xlfn.XLOOKUP(CustomerCombinedCleaned[[#This Row],[ID]], Table2[ID],Table2[MC2], "Not Found", 0 )</f>
        <v>0</v>
      </c>
      <c r="AA1270" s="16">
        <f>_xlfn.XLOOKUP(CustomerCombinedCleaned[[#This Row],[ID]], Table2[ID],Table2[MC3], "Not Found", 0 )</f>
        <v>0</v>
      </c>
      <c r="AB1270" s="16">
        <f>_xlfn.XLOOKUP(CustomerCombinedCleaned[[#This Row],[ID]], Table2[ID],Table2[MC4], "Not Found", 0 )</f>
        <v>0</v>
      </c>
      <c r="AC1270" s="16">
        <f>_xlfn.XLOOKUP(CustomerCombinedCleaned[[#This Row],[ID]], Table2[ID],Table2[MC5], "Not Found", 0 )</f>
        <v>0</v>
      </c>
    </row>
    <row r="1271" spans="1:29" x14ac:dyDescent="0.3">
      <c r="A1271" s="18">
        <v>1994</v>
      </c>
      <c r="B1271" s="16">
        <v>134053</v>
      </c>
      <c r="C1271" s="16">
        <v>0</v>
      </c>
      <c r="D1271" s="16">
        <v>1</v>
      </c>
      <c r="E1271" s="16">
        <v>52</v>
      </c>
      <c r="F1271" s="17" t="s">
        <v>8</v>
      </c>
      <c r="G1271" s="17" t="s">
        <v>12</v>
      </c>
      <c r="H1271" s="3" t="s">
        <v>399</v>
      </c>
      <c r="I1271" s="5" t="s">
        <v>438</v>
      </c>
      <c r="J1271" s="16">
        <f>_xlfn.XLOOKUP(CustomerCombinedCleaned[[#This Row],[ID]], Table4[ID], Table4[Recency], "Not Found", 0)</f>
        <v>14</v>
      </c>
      <c r="K1271" s="16">
        <f>_xlfn.XLOOKUP(CustomerCombinedCleaned[[#This Row],[ID]], Table4[ID], Table4[Teas], "Not Found", 0)</f>
        <v>248</v>
      </c>
      <c r="L1271" s="16">
        <f>_xlfn.XLOOKUP(CustomerCombinedCleaned[[#This Row],[ID]], Table4[ID], Table4[Fruits], "Not Found", 0)</f>
        <v>0</v>
      </c>
      <c r="M1271" s="16">
        <f>_xlfn.XLOOKUP(CustomerCombinedCleaned[[#This Row],[ID]], Table4[ID], Table4[Meats], "Not Found", 0)</f>
        <v>83</v>
      </c>
      <c r="N1271" s="16">
        <f>_xlfn.XLOOKUP(CustomerCombinedCleaned[[#This Row],[ID]], Table4[ID], Table4[Seafood], "Not Found", 0)</f>
        <v>28</v>
      </c>
      <c r="O1271" s="16">
        <f>_xlfn.XLOOKUP(CustomerCombinedCleaned[[#This Row],[ID]], Table4[ID], Table4[Sweets], "Not Found", 0)</f>
        <v>0</v>
      </c>
      <c r="P1271" s="16">
        <f>_xlfn.XLOOKUP(CustomerCombinedCleaned[[#This Row],[ID]], Table4[ID], Table4[Premium], "Not Found", 0)</f>
        <v>47</v>
      </c>
      <c r="Q1271" s="16">
        <f>_xlfn.XLOOKUP(CustomerCombinedCleaned[[#This Row],[ID]], Table4[ID], Table4[Regular], "Not Found", 0)</f>
        <v>311</v>
      </c>
      <c r="R1271" s="16">
        <f>_xlfn.XLOOKUP(CustomerCombinedCleaned[[#This Row],[ID]], Table4[ID], Table4[Deals], "Not Found", 0)</f>
        <v>1</v>
      </c>
      <c r="S1271" s="16">
        <f>_xlfn.XLOOKUP(CustomerCombinedCleaned[[#This Row],[ID]], Table4[ID], Table4[Website], "Not Found", 0)</f>
        <v>3</v>
      </c>
      <c r="T1271" s="16">
        <f>_xlfn.XLOOKUP(CustomerCombinedCleaned[[#This Row],[ID]], Table4[ID], Table4[Catalog], "Not Found", 0)</f>
        <v>0</v>
      </c>
      <c r="U1271" s="16">
        <f>_xlfn.XLOOKUP(CustomerCombinedCleaned[[#This Row],[ID]], Table4[ID], Table4[Store], "Not Found", 0)</f>
        <v>3</v>
      </c>
      <c r="V1271" s="16">
        <f>_xlfn.XLOOKUP(CustomerCombinedCleaned[[#This Row],[ID]], Table4[ID], Table4[Visits], "Not Found", 0)</f>
        <v>8</v>
      </c>
      <c r="W1271" s="16">
        <f>_xlfn.XLOOKUP(CustomerCombinedCleaned[[#This Row],[ID]], Table2[ID],Table2[Complaint], "Not Found", 0 )</f>
        <v>0</v>
      </c>
      <c r="X1271" s="16">
        <f>_xlfn.XLOOKUP(CustomerCombinedCleaned[[#This Row],[ID]], Table2[ID],Table2[Pilot], "Not Found", 0 )</f>
        <v>0</v>
      </c>
      <c r="Y1271" s="16">
        <f>_xlfn.XLOOKUP(CustomerCombinedCleaned[[#This Row],[ID]], Table2[ID],Table2[MC1], "Not Found", 0 )</f>
        <v>0</v>
      </c>
      <c r="Z1271" s="16">
        <f>_xlfn.XLOOKUP(CustomerCombinedCleaned[[#This Row],[ID]], Table2[ID],Table2[MC2], "Not Found", 0 )</f>
        <v>0</v>
      </c>
      <c r="AA1271" s="16">
        <f>_xlfn.XLOOKUP(CustomerCombinedCleaned[[#This Row],[ID]], Table2[ID],Table2[MC3], "Not Found", 0 )</f>
        <v>0</v>
      </c>
      <c r="AB1271" s="16">
        <f>_xlfn.XLOOKUP(CustomerCombinedCleaned[[#This Row],[ID]], Table2[ID],Table2[MC4], "Not Found", 0 )</f>
        <v>0</v>
      </c>
      <c r="AC1271" s="16">
        <f>_xlfn.XLOOKUP(CustomerCombinedCleaned[[#This Row],[ID]], Table2[ID],Table2[MC5], "Not Found", 0 )</f>
        <v>0</v>
      </c>
    </row>
    <row r="1272" spans="1:29" x14ac:dyDescent="0.3">
      <c r="A1272" s="18">
        <v>2841</v>
      </c>
      <c r="B1272" s="16">
        <v>132889</v>
      </c>
      <c r="C1272" s="16">
        <v>1</v>
      </c>
      <c r="D1272" s="16">
        <v>1</v>
      </c>
      <c r="E1272" s="16">
        <v>52</v>
      </c>
      <c r="F1272" s="17" t="s">
        <v>8</v>
      </c>
      <c r="G1272" s="17" t="s">
        <v>12</v>
      </c>
      <c r="H1272" s="3" t="s">
        <v>719</v>
      </c>
      <c r="I1272" s="5" t="s">
        <v>435</v>
      </c>
      <c r="J1272" s="16">
        <f>_xlfn.XLOOKUP(CustomerCombinedCleaned[[#This Row],[ID]], Table4[ID], Table4[Recency], "Not Found", 0)</f>
        <v>78</v>
      </c>
      <c r="K1272" s="16">
        <f>_xlfn.XLOOKUP(CustomerCombinedCleaned[[#This Row],[ID]], Table4[ID], Table4[Teas], "Not Found", 0)</f>
        <v>113</v>
      </c>
      <c r="L1272" s="16">
        <f>_xlfn.XLOOKUP(CustomerCombinedCleaned[[#This Row],[ID]], Table4[ID], Table4[Fruits], "Not Found", 0)</f>
        <v>0</v>
      </c>
      <c r="M1272" s="16">
        <f>_xlfn.XLOOKUP(CustomerCombinedCleaned[[#This Row],[ID]], Table4[ID], Table4[Meats], "Not Found", 0)</f>
        <v>53</v>
      </c>
      <c r="N1272" s="16">
        <f>_xlfn.XLOOKUP(CustomerCombinedCleaned[[#This Row],[ID]], Table4[ID], Table4[Seafood], "Not Found", 0)</f>
        <v>16</v>
      </c>
      <c r="O1272" s="16">
        <f>_xlfn.XLOOKUP(CustomerCombinedCleaned[[#This Row],[ID]], Table4[ID], Table4[Sweets], "Not Found", 0)</f>
        <v>8</v>
      </c>
      <c r="P1272" s="16">
        <f>_xlfn.XLOOKUP(CustomerCombinedCleaned[[#This Row],[ID]], Table4[ID], Table4[Premium], "Not Found", 0)</f>
        <v>32</v>
      </c>
      <c r="Q1272" s="16">
        <f>_xlfn.XLOOKUP(CustomerCombinedCleaned[[#This Row],[ID]], Table4[ID], Table4[Regular], "Not Found", 0)</f>
        <v>158</v>
      </c>
      <c r="R1272" s="16">
        <f>_xlfn.XLOOKUP(CustomerCombinedCleaned[[#This Row],[ID]], Table4[ID], Table4[Deals], "Not Found", 0)</f>
        <v>3</v>
      </c>
      <c r="S1272" s="16">
        <f>_xlfn.XLOOKUP(CustomerCombinedCleaned[[#This Row],[ID]], Table4[ID], Table4[Website], "Not Found", 0)</f>
        <v>2</v>
      </c>
      <c r="T1272" s="16">
        <f>_xlfn.XLOOKUP(CustomerCombinedCleaned[[#This Row],[ID]], Table4[ID], Table4[Catalog], "Not Found", 0)</f>
        <v>1</v>
      </c>
      <c r="U1272" s="16">
        <f>_xlfn.XLOOKUP(CustomerCombinedCleaned[[#This Row],[ID]], Table4[ID], Table4[Store], "Not Found", 0)</f>
        <v>3</v>
      </c>
      <c r="V1272" s="16">
        <f>_xlfn.XLOOKUP(CustomerCombinedCleaned[[#This Row],[ID]], Table4[ID], Table4[Visits], "Not Found", 0)</f>
        <v>5</v>
      </c>
      <c r="W1272" s="16">
        <f>_xlfn.XLOOKUP(CustomerCombinedCleaned[[#This Row],[ID]], Table2[ID],Table2[Complaint], "Not Found", 0 )</f>
        <v>0</v>
      </c>
      <c r="X1272" s="16">
        <f>_xlfn.XLOOKUP(CustomerCombinedCleaned[[#This Row],[ID]], Table2[ID],Table2[Pilot], "Not Found", 0 )</f>
        <v>0</v>
      </c>
      <c r="Y1272" s="16">
        <f>_xlfn.XLOOKUP(CustomerCombinedCleaned[[#This Row],[ID]], Table2[ID],Table2[MC1], "Not Found", 0 )</f>
        <v>0</v>
      </c>
      <c r="Z1272" s="16">
        <f>_xlfn.XLOOKUP(CustomerCombinedCleaned[[#This Row],[ID]], Table2[ID],Table2[MC2], "Not Found", 0 )</f>
        <v>0</v>
      </c>
      <c r="AA1272" s="16">
        <f>_xlfn.XLOOKUP(CustomerCombinedCleaned[[#This Row],[ID]], Table2[ID],Table2[MC3], "Not Found", 0 )</f>
        <v>0</v>
      </c>
      <c r="AB1272" s="16">
        <f>_xlfn.XLOOKUP(CustomerCombinedCleaned[[#This Row],[ID]], Table2[ID],Table2[MC4], "Not Found", 0 )</f>
        <v>0</v>
      </c>
      <c r="AC1272" s="16">
        <f>_xlfn.XLOOKUP(CustomerCombinedCleaned[[#This Row],[ID]], Table2[ID],Table2[MC5], "Not Found", 0 )</f>
        <v>0</v>
      </c>
    </row>
    <row r="1273" spans="1:29" x14ac:dyDescent="0.3">
      <c r="A1273" s="18">
        <v>2908</v>
      </c>
      <c r="B1273" s="16">
        <v>129543</v>
      </c>
      <c r="C1273" s="16">
        <v>2</v>
      </c>
      <c r="D1273" s="16">
        <v>0</v>
      </c>
      <c r="E1273" s="16">
        <v>52</v>
      </c>
      <c r="F1273" s="17" t="s">
        <v>6</v>
      </c>
      <c r="G1273" s="17" t="s">
        <v>12</v>
      </c>
      <c r="H1273" s="3" t="s">
        <v>748</v>
      </c>
      <c r="I1273" s="5" t="s">
        <v>439</v>
      </c>
      <c r="J1273" s="16">
        <f>_xlfn.XLOOKUP(CustomerCombinedCleaned[[#This Row],[ID]], Table4[ID], Table4[Recency], "Not Found", 0)</f>
        <v>47</v>
      </c>
      <c r="K1273" s="16">
        <f>_xlfn.XLOOKUP(CustomerCombinedCleaned[[#This Row],[ID]], Table4[ID], Table4[Teas], "Not Found", 0)</f>
        <v>75</v>
      </c>
      <c r="L1273" s="16">
        <f>_xlfn.XLOOKUP(CustomerCombinedCleaned[[#This Row],[ID]], Table4[ID], Table4[Fruits], "Not Found", 0)</f>
        <v>13</v>
      </c>
      <c r="M1273" s="16">
        <f>_xlfn.XLOOKUP(CustomerCombinedCleaned[[#This Row],[ID]], Table4[ID], Table4[Meats], "Not Found", 0)</f>
        <v>79</v>
      </c>
      <c r="N1273" s="16">
        <f>_xlfn.XLOOKUP(CustomerCombinedCleaned[[#This Row],[ID]], Table4[ID], Table4[Seafood], "Not Found", 0)</f>
        <v>13</v>
      </c>
      <c r="O1273" s="16">
        <f>_xlfn.XLOOKUP(CustomerCombinedCleaned[[#This Row],[ID]], Table4[ID], Table4[Sweets], "Not Found", 0)</f>
        <v>18</v>
      </c>
      <c r="P1273" s="16">
        <f>_xlfn.XLOOKUP(CustomerCombinedCleaned[[#This Row],[ID]], Table4[ID], Table4[Premium], "Not Found", 0)</f>
        <v>79</v>
      </c>
      <c r="Q1273" s="16">
        <f>_xlfn.XLOOKUP(CustomerCombinedCleaned[[#This Row],[ID]], Table4[ID], Table4[Regular], "Not Found", 0)</f>
        <v>118</v>
      </c>
      <c r="R1273" s="16">
        <f>_xlfn.XLOOKUP(CustomerCombinedCleaned[[#This Row],[ID]], Table4[ID], Table4[Deals], "Not Found", 0)</f>
        <v>2</v>
      </c>
      <c r="S1273" s="16">
        <f>_xlfn.XLOOKUP(CustomerCombinedCleaned[[#This Row],[ID]], Table4[ID], Table4[Website], "Not Found", 0)</f>
        <v>3</v>
      </c>
      <c r="T1273" s="16">
        <f>_xlfn.XLOOKUP(CustomerCombinedCleaned[[#This Row],[ID]], Table4[ID], Table4[Catalog], "Not Found", 0)</f>
        <v>1</v>
      </c>
      <c r="U1273" s="16">
        <f>_xlfn.XLOOKUP(CustomerCombinedCleaned[[#This Row],[ID]], Table4[ID], Table4[Store], "Not Found", 0)</f>
        <v>2</v>
      </c>
      <c r="V1273" s="16">
        <f>_xlfn.XLOOKUP(CustomerCombinedCleaned[[#This Row],[ID]], Table4[ID], Table4[Visits], "Not Found", 0)</f>
        <v>7</v>
      </c>
      <c r="W1273" s="16">
        <f>_xlfn.XLOOKUP(CustomerCombinedCleaned[[#This Row],[ID]], Table2[ID],Table2[Complaint], "Not Found", 0 )</f>
        <v>0</v>
      </c>
      <c r="X1273" s="16">
        <f>_xlfn.XLOOKUP(CustomerCombinedCleaned[[#This Row],[ID]], Table2[ID],Table2[Pilot], "Not Found", 0 )</f>
        <v>0</v>
      </c>
      <c r="Y1273" s="16">
        <f>_xlfn.XLOOKUP(CustomerCombinedCleaned[[#This Row],[ID]], Table2[ID],Table2[MC1], "Not Found", 0 )</f>
        <v>0</v>
      </c>
      <c r="Z1273" s="16">
        <f>_xlfn.XLOOKUP(CustomerCombinedCleaned[[#This Row],[ID]], Table2[ID],Table2[MC2], "Not Found", 0 )</f>
        <v>0</v>
      </c>
      <c r="AA1273" s="16">
        <f>_xlfn.XLOOKUP(CustomerCombinedCleaned[[#This Row],[ID]], Table2[ID],Table2[MC3], "Not Found", 0 )</f>
        <v>0</v>
      </c>
      <c r="AB1273" s="16">
        <f>_xlfn.XLOOKUP(CustomerCombinedCleaned[[#This Row],[ID]], Table2[ID],Table2[MC4], "Not Found", 0 )</f>
        <v>0</v>
      </c>
      <c r="AC1273" s="16">
        <f>_xlfn.XLOOKUP(CustomerCombinedCleaned[[#This Row],[ID]], Table2[ID],Table2[MC5], "Not Found", 0 )</f>
        <v>0</v>
      </c>
    </row>
    <row r="1274" spans="1:29" x14ac:dyDescent="0.3">
      <c r="A1274" s="18">
        <v>1650</v>
      </c>
      <c r="B1274" s="16">
        <v>129187</v>
      </c>
      <c r="C1274" s="16">
        <v>1</v>
      </c>
      <c r="D1274" s="16">
        <v>0</v>
      </c>
      <c r="E1274" s="16">
        <v>52</v>
      </c>
      <c r="F1274" s="17" t="s">
        <v>6</v>
      </c>
      <c r="G1274" s="17" t="s">
        <v>13</v>
      </c>
      <c r="H1274" s="3" t="s">
        <v>262</v>
      </c>
      <c r="I1274" s="5" t="s">
        <v>436</v>
      </c>
      <c r="J1274" s="16">
        <f>_xlfn.XLOOKUP(CustomerCombinedCleaned[[#This Row],[ID]], Table4[ID], Table4[Recency], "Not Found", 0)</f>
        <v>43</v>
      </c>
      <c r="K1274" s="16">
        <f>_xlfn.XLOOKUP(CustomerCombinedCleaned[[#This Row],[ID]], Table4[ID], Table4[Teas], "Not Found", 0)</f>
        <v>115</v>
      </c>
      <c r="L1274" s="16">
        <f>_xlfn.XLOOKUP(CustomerCombinedCleaned[[#This Row],[ID]], Table4[ID], Table4[Fruits], "Not Found", 0)</f>
        <v>0</v>
      </c>
      <c r="M1274" s="16">
        <f>_xlfn.XLOOKUP(CustomerCombinedCleaned[[#This Row],[ID]], Table4[ID], Table4[Meats], "Not Found", 0)</f>
        <v>27</v>
      </c>
      <c r="N1274" s="16">
        <f>_xlfn.XLOOKUP(CustomerCombinedCleaned[[#This Row],[ID]], Table4[ID], Table4[Seafood], "Not Found", 0)</f>
        <v>0</v>
      </c>
      <c r="O1274" s="16">
        <f>_xlfn.XLOOKUP(CustomerCombinedCleaned[[#This Row],[ID]], Table4[ID], Table4[Sweets], "Not Found", 0)</f>
        <v>0</v>
      </c>
      <c r="P1274" s="16">
        <f>_xlfn.XLOOKUP(CustomerCombinedCleaned[[#This Row],[ID]], Table4[ID], Table4[Premium], "Not Found", 0)</f>
        <v>9</v>
      </c>
      <c r="Q1274" s="16">
        <f>_xlfn.XLOOKUP(CustomerCombinedCleaned[[#This Row],[ID]], Table4[ID], Table4[Regular], "Not Found", 0)</f>
        <v>133</v>
      </c>
      <c r="R1274" s="16">
        <f>_xlfn.XLOOKUP(CustomerCombinedCleaned[[#This Row],[ID]], Table4[ID], Table4[Deals], "Not Found", 0)</f>
        <v>1</v>
      </c>
      <c r="S1274" s="16">
        <f>_xlfn.XLOOKUP(CustomerCombinedCleaned[[#This Row],[ID]], Table4[ID], Table4[Website], "Not Found", 0)</f>
        <v>1</v>
      </c>
      <c r="T1274" s="16">
        <f>_xlfn.XLOOKUP(CustomerCombinedCleaned[[#This Row],[ID]], Table4[ID], Table4[Catalog], "Not Found", 0)</f>
        <v>0</v>
      </c>
      <c r="U1274" s="16">
        <f>_xlfn.XLOOKUP(CustomerCombinedCleaned[[#This Row],[ID]], Table4[ID], Table4[Store], "Not Found", 0)</f>
        <v>3</v>
      </c>
      <c r="V1274" s="16">
        <f>_xlfn.XLOOKUP(CustomerCombinedCleaned[[#This Row],[ID]], Table4[ID], Table4[Visits], "Not Found", 0)</f>
        <v>8</v>
      </c>
      <c r="W1274" s="16">
        <f>_xlfn.XLOOKUP(CustomerCombinedCleaned[[#This Row],[ID]], Table2[ID],Table2[Complaint], "Not Found", 0 )</f>
        <v>0</v>
      </c>
      <c r="X1274" s="16">
        <f>_xlfn.XLOOKUP(CustomerCombinedCleaned[[#This Row],[ID]], Table2[ID],Table2[Pilot], "Not Found", 0 )</f>
        <v>0</v>
      </c>
      <c r="Y1274" s="16">
        <f>_xlfn.XLOOKUP(CustomerCombinedCleaned[[#This Row],[ID]], Table2[ID],Table2[MC1], "Not Found", 0 )</f>
        <v>0</v>
      </c>
      <c r="Z1274" s="16">
        <f>_xlfn.XLOOKUP(CustomerCombinedCleaned[[#This Row],[ID]], Table2[ID],Table2[MC2], "Not Found", 0 )</f>
        <v>0</v>
      </c>
      <c r="AA1274" s="16">
        <f>_xlfn.XLOOKUP(CustomerCombinedCleaned[[#This Row],[ID]], Table2[ID],Table2[MC3], "Not Found", 0 )</f>
        <v>0</v>
      </c>
      <c r="AB1274" s="16">
        <f>_xlfn.XLOOKUP(CustomerCombinedCleaned[[#This Row],[ID]], Table2[ID],Table2[MC4], "Not Found", 0 )</f>
        <v>0</v>
      </c>
      <c r="AC1274" s="16">
        <f>_xlfn.XLOOKUP(CustomerCombinedCleaned[[#This Row],[ID]], Table2[ID],Table2[MC5], "Not Found", 0 )</f>
        <v>0</v>
      </c>
    </row>
    <row r="1275" spans="1:29" x14ac:dyDescent="0.3">
      <c r="A1275" s="18">
        <v>2817</v>
      </c>
      <c r="B1275" s="16">
        <v>127071</v>
      </c>
      <c r="C1275" s="16">
        <v>1</v>
      </c>
      <c r="D1275" s="16">
        <v>0</v>
      </c>
      <c r="E1275" s="16">
        <v>52</v>
      </c>
      <c r="F1275" s="17" t="s">
        <v>5</v>
      </c>
      <c r="G1275" s="17" t="s">
        <v>12</v>
      </c>
      <c r="H1275" s="3" t="s">
        <v>59</v>
      </c>
      <c r="I1275" s="5" t="s">
        <v>435</v>
      </c>
      <c r="J1275" s="16">
        <f>_xlfn.XLOOKUP(CustomerCombinedCleaned[[#This Row],[ID]], Table4[ID], Table4[Recency], "Not Found", 0)</f>
        <v>90</v>
      </c>
      <c r="K1275" s="16">
        <f>_xlfn.XLOOKUP(CustomerCombinedCleaned[[#This Row],[ID]], Table4[ID], Table4[Teas], "Not Found", 0)</f>
        <v>38</v>
      </c>
      <c r="L1275" s="16">
        <f>_xlfn.XLOOKUP(CustomerCombinedCleaned[[#This Row],[ID]], Table4[ID], Table4[Fruits], "Not Found", 0)</f>
        <v>14</v>
      </c>
      <c r="M1275" s="16">
        <f>_xlfn.XLOOKUP(CustomerCombinedCleaned[[#This Row],[ID]], Table4[ID], Table4[Meats], "Not Found", 0)</f>
        <v>89</v>
      </c>
      <c r="N1275" s="16">
        <f>_xlfn.XLOOKUP(CustomerCombinedCleaned[[#This Row],[ID]], Table4[ID], Table4[Seafood], "Not Found", 0)</f>
        <v>0</v>
      </c>
      <c r="O1275" s="16">
        <f>_xlfn.XLOOKUP(CustomerCombinedCleaned[[#This Row],[ID]], Table4[ID], Table4[Sweets], "Not Found", 0)</f>
        <v>9</v>
      </c>
      <c r="P1275" s="16">
        <f>_xlfn.XLOOKUP(CustomerCombinedCleaned[[#This Row],[ID]], Table4[ID], Table4[Premium], "Not Found", 0)</f>
        <v>14</v>
      </c>
      <c r="Q1275" s="16">
        <f>_xlfn.XLOOKUP(CustomerCombinedCleaned[[#This Row],[ID]], Table4[ID], Table4[Regular], "Not Found", 0)</f>
        <v>136</v>
      </c>
      <c r="R1275" s="16">
        <f>_xlfn.XLOOKUP(CustomerCombinedCleaned[[#This Row],[ID]], Table4[ID], Table4[Deals], "Not Found", 0)</f>
        <v>2</v>
      </c>
      <c r="S1275" s="16">
        <f>_xlfn.XLOOKUP(CustomerCombinedCleaned[[#This Row],[ID]], Table4[ID], Table4[Website], "Not Found", 0)</f>
        <v>2</v>
      </c>
      <c r="T1275" s="16">
        <f>_xlfn.XLOOKUP(CustomerCombinedCleaned[[#This Row],[ID]], Table4[ID], Table4[Catalog], "Not Found", 0)</f>
        <v>0</v>
      </c>
      <c r="U1275" s="16">
        <f>_xlfn.XLOOKUP(CustomerCombinedCleaned[[#This Row],[ID]], Table4[ID], Table4[Store], "Not Found", 0)</f>
        <v>3</v>
      </c>
      <c r="V1275" s="16">
        <f>_xlfn.XLOOKUP(CustomerCombinedCleaned[[#This Row],[ID]], Table4[ID], Table4[Visits], "Not Found", 0)</f>
        <v>6</v>
      </c>
      <c r="W1275" s="16">
        <f>_xlfn.XLOOKUP(CustomerCombinedCleaned[[#This Row],[ID]], Table2[ID],Table2[Complaint], "Not Found", 0 )</f>
        <v>0</v>
      </c>
      <c r="X1275" s="16">
        <f>_xlfn.XLOOKUP(CustomerCombinedCleaned[[#This Row],[ID]], Table2[ID],Table2[Pilot], "Not Found", 0 )</f>
        <v>0</v>
      </c>
      <c r="Y1275" s="16">
        <f>_xlfn.XLOOKUP(CustomerCombinedCleaned[[#This Row],[ID]], Table2[ID],Table2[MC1], "Not Found", 0 )</f>
        <v>0</v>
      </c>
      <c r="Z1275" s="16">
        <f>_xlfn.XLOOKUP(CustomerCombinedCleaned[[#This Row],[ID]], Table2[ID],Table2[MC2], "Not Found", 0 )</f>
        <v>0</v>
      </c>
      <c r="AA1275" s="16">
        <f>_xlfn.XLOOKUP(CustomerCombinedCleaned[[#This Row],[ID]], Table2[ID],Table2[MC3], "Not Found", 0 )</f>
        <v>0</v>
      </c>
      <c r="AB1275" s="16">
        <f>_xlfn.XLOOKUP(CustomerCombinedCleaned[[#This Row],[ID]], Table2[ID],Table2[MC4], "Not Found", 0 )</f>
        <v>0</v>
      </c>
      <c r="AC1275" s="16">
        <f>_xlfn.XLOOKUP(CustomerCombinedCleaned[[#This Row],[ID]], Table2[ID],Table2[MC5], "Not Found", 0 )</f>
        <v>0</v>
      </c>
    </row>
    <row r="1276" spans="1:29" x14ac:dyDescent="0.3">
      <c r="A1276" s="18">
        <v>2255</v>
      </c>
      <c r="B1276" s="16">
        <v>123748</v>
      </c>
      <c r="C1276" s="16">
        <v>1</v>
      </c>
      <c r="D1276" s="16">
        <v>0</v>
      </c>
      <c r="E1276" s="16">
        <v>52</v>
      </c>
      <c r="F1276" s="17" t="s">
        <v>5</v>
      </c>
      <c r="G1276" s="17" t="s">
        <v>12</v>
      </c>
      <c r="H1276" s="3" t="s">
        <v>355</v>
      </c>
      <c r="I1276" s="5" t="s">
        <v>434</v>
      </c>
      <c r="J1276" s="16">
        <f>_xlfn.XLOOKUP(CustomerCombinedCleaned[[#This Row],[ID]], Table4[ID], Table4[Recency], "Not Found", 0)</f>
        <v>97</v>
      </c>
      <c r="K1276" s="16">
        <f>_xlfn.XLOOKUP(CustomerCombinedCleaned[[#This Row],[ID]], Table4[ID], Table4[Teas], "Not Found", 0)</f>
        <v>31</v>
      </c>
      <c r="L1276" s="16">
        <f>_xlfn.XLOOKUP(CustomerCombinedCleaned[[#This Row],[ID]], Table4[ID], Table4[Fruits], "Not Found", 0)</f>
        <v>31</v>
      </c>
      <c r="M1276" s="16">
        <f>_xlfn.XLOOKUP(CustomerCombinedCleaned[[#This Row],[ID]], Table4[ID], Table4[Meats], "Not Found", 0)</f>
        <v>151</v>
      </c>
      <c r="N1276" s="16">
        <f>_xlfn.XLOOKUP(CustomerCombinedCleaned[[#This Row],[ID]], Table4[ID], Table4[Seafood], "Not Found", 0)</f>
        <v>63</v>
      </c>
      <c r="O1276" s="16">
        <f>_xlfn.XLOOKUP(CustomerCombinedCleaned[[#This Row],[ID]], Table4[ID], Table4[Sweets], "Not Found", 0)</f>
        <v>78</v>
      </c>
      <c r="P1276" s="16">
        <f>_xlfn.XLOOKUP(CustomerCombinedCleaned[[#This Row],[ID]], Table4[ID], Table4[Premium], "Not Found", 0)</f>
        <v>42</v>
      </c>
      <c r="Q1276" s="16">
        <f>_xlfn.XLOOKUP(CustomerCombinedCleaned[[#This Row],[ID]], Table4[ID], Table4[Regular], "Not Found", 0)</f>
        <v>313</v>
      </c>
      <c r="R1276" s="16">
        <f>_xlfn.XLOOKUP(CustomerCombinedCleaned[[#This Row],[ID]], Table4[ID], Table4[Deals], "Not Found", 0)</f>
        <v>3</v>
      </c>
      <c r="S1276" s="16">
        <f>_xlfn.XLOOKUP(CustomerCombinedCleaned[[#This Row],[ID]], Table4[ID], Table4[Website], "Not Found", 0)</f>
        <v>2</v>
      </c>
      <c r="T1276" s="16">
        <f>_xlfn.XLOOKUP(CustomerCombinedCleaned[[#This Row],[ID]], Table4[ID], Table4[Catalog], "Not Found", 0)</f>
        <v>1</v>
      </c>
      <c r="U1276" s="16">
        <f>_xlfn.XLOOKUP(CustomerCombinedCleaned[[#This Row],[ID]], Table4[ID], Table4[Store], "Not Found", 0)</f>
        <v>3</v>
      </c>
      <c r="V1276" s="16">
        <f>_xlfn.XLOOKUP(CustomerCombinedCleaned[[#This Row],[ID]], Table4[ID], Table4[Visits], "Not Found", 0)</f>
        <v>8</v>
      </c>
      <c r="W1276" s="16">
        <f>_xlfn.XLOOKUP(CustomerCombinedCleaned[[#This Row],[ID]], Table2[ID],Table2[Complaint], "Not Found", 0 )</f>
        <v>0</v>
      </c>
      <c r="X1276" s="16">
        <f>_xlfn.XLOOKUP(CustomerCombinedCleaned[[#This Row],[ID]], Table2[ID],Table2[Pilot], "Not Found", 0 )</f>
        <v>0</v>
      </c>
      <c r="Y1276" s="16">
        <f>_xlfn.XLOOKUP(CustomerCombinedCleaned[[#This Row],[ID]], Table2[ID],Table2[MC1], "Not Found", 0 )</f>
        <v>0</v>
      </c>
      <c r="Z1276" s="16">
        <f>_xlfn.XLOOKUP(CustomerCombinedCleaned[[#This Row],[ID]], Table2[ID],Table2[MC2], "Not Found", 0 )</f>
        <v>0</v>
      </c>
      <c r="AA1276" s="16">
        <f>_xlfn.XLOOKUP(CustomerCombinedCleaned[[#This Row],[ID]], Table2[ID],Table2[MC3], "Not Found", 0 )</f>
        <v>0</v>
      </c>
      <c r="AB1276" s="16">
        <f>_xlfn.XLOOKUP(CustomerCombinedCleaned[[#This Row],[ID]], Table2[ID],Table2[MC4], "Not Found", 0 )</f>
        <v>0</v>
      </c>
      <c r="AC1276" s="16">
        <f>_xlfn.XLOOKUP(CustomerCombinedCleaned[[#This Row],[ID]], Table2[ID],Table2[MC5], "Not Found", 0 )</f>
        <v>0</v>
      </c>
    </row>
    <row r="1277" spans="1:29" x14ac:dyDescent="0.3">
      <c r="A1277" s="18">
        <v>1532</v>
      </c>
      <c r="B1277" s="16">
        <v>119514</v>
      </c>
      <c r="C1277" s="16">
        <v>1</v>
      </c>
      <c r="D1277" s="16">
        <v>1</v>
      </c>
      <c r="E1277" s="16">
        <v>52</v>
      </c>
      <c r="F1277" s="17" t="s">
        <v>6</v>
      </c>
      <c r="G1277" s="17" t="s">
        <v>11</v>
      </c>
      <c r="H1277" s="3" t="s">
        <v>643</v>
      </c>
      <c r="I1277" s="5" t="s">
        <v>438</v>
      </c>
      <c r="J1277" s="16">
        <f>_xlfn.XLOOKUP(CustomerCombinedCleaned[[#This Row],[ID]], Table4[ID], Table4[Recency], "Not Found", 0)</f>
        <v>47</v>
      </c>
      <c r="K1277" s="16">
        <f>_xlfn.XLOOKUP(CustomerCombinedCleaned[[#This Row],[ID]], Table4[ID], Table4[Teas], "Not Found", 0)</f>
        <v>86</v>
      </c>
      <c r="L1277" s="16">
        <f>_xlfn.XLOOKUP(CustomerCombinedCleaned[[#This Row],[ID]], Table4[ID], Table4[Fruits], "Not Found", 0)</f>
        <v>18</v>
      </c>
      <c r="M1277" s="16">
        <f>_xlfn.XLOOKUP(CustomerCombinedCleaned[[#This Row],[ID]], Table4[ID], Table4[Meats], "Not Found", 0)</f>
        <v>129</v>
      </c>
      <c r="N1277" s="16">
        <f>_xlfn.XLOOKUP(CustomerCombinedCleaned[[#This Row],[ID]], Table4[ID], Table4[Seafood], "Not Found", 0)</f>
        <v>12</v>
      </c>
      <c r="O1277" s="16">
        <f>_xlfn.XLOOKUP(CustomerCombinedCleaned[[#This Row],[ID]], Table4[ID], Table4[Sweets], "Not Found", 0)</f>
        <v>6</v>
      </c>
      <c r="P1277" s="16">
        <f>_xlfn.XLOOKUP(CustomerCombinedCleaned[[#This Row],[ID]], Table4[ID], Table4[Premium], "Not Found", 0)</f>
        <v>171</v>
      </c>
      <c r="Q1277" s="16">
        <f>_xlfn.XLOOKUP(CustomerCombinedCleaned[[#This Row],[ID]], Table4[ID], Table4[Regular], "Not Found", 0)</f>
        <v>80</v>
      </c>
      <c r="R1277" s="16">
        <f>_xlfn.XLOOKUP(CustomerCombinedCleaned[[#This Row],[ID]], Table4[ID], Table4[Deals], "Not Found", 0)</f>
        <v>4</v>
      </c>
      <c r="S1277" s="16">
        <f>_xlfn.XLOOKUP(CustomerCombinedCleaned[[#This Row],[ID]], Table4[ID], Table4[Website], "Not Found", 0)</f>
        <v>3</v>
      </c>
      <c r="T1277" s="16">
        <f>_xlfn.XLOOKUP(CustomerCombinedCleaned[[#This Row],[ID]], Table4[ID], Table4[Catalog], "Not Found", 0)</f>
        <v>1</v>
      </c>
      <c r="U1277" s="16">
        <f>_xlfn.XLOOKUP(CustomerCombinedCleaned[[#This Row],[ID]], Table4[ID], Table4[Store], "Not Found", 0)</f>
        <v>2</v>
      </c>
      <c r="V1277" s="16">
        <f>_xlfn.XLOOKUP(CustomerCombinedCleaned[[#This Row],[ID]], Table4[ID], Table4[Visits], "Not Found", 0)</f>
        <v>8</v>
      </c>
      <c r="W1277" s="16">
        <f>_xlfn.XLOOKUP(CustomerCombinedCleaned[[#This Row],[ID]], Table2[ID],Table2[Complaint], "Not Found", 0 )</f>
        <v>0</v>
      </c>
      <c r="X1277" s="16">
        <f>_xlfn.XLOOKUP(CustomerCombinedCleaned[[#This Row],[ID]], Table2[ID],Table2[Pilot], "Not Found", 0 )</f>
        <v>1</v>
      </c>
      <c r="Y1277" s="16">
        <f>_xlfn.XLOOKUP(CustomerCombinedCleaned[[#This Row],[ID]], Table2[ID],Table2[MC1], "Not Found", 0 )</f>
        <v>0</v>
      </c>
      <c r="Z1277" s="16">
        <f>_xlfn.XLOOKUP(CustomerCombinedCleaned[[#This Row],[ID]], Table2[ID],Table2[MC2], "Not Found", 0 )</f>
        <v>0</v>
      </c>
      <c r="AA1277" s="16">
        <f>_xlfn.XLOOKUP(CustomerCombinedCleaned[[#This Row],[ID]], Table2[ID],Table2[MC3], "Not Found", 0 )</f>
        <v>1</v>
      </c>
      <c r="AB1277" s="16">
        <f>_xlfn.XLOOKUP(CustomerCombinedCleaned[[#This Row],[ID]], Table2[ID],Table2[MC4], "Not Found", 0 )</f>
        <v>0</v>
      </c>
      <c r="AC1277" s="16">
        <f>_xlfn.XLOOKUP(CustomerCombinedCleaned[[#This Row],[ID]], Table2[ID],Table2[MC5], "Not Found", 0 )</f>
        <v>0</v>
      </c>
    </row>
    <row r="1278" spans="1:29" x14ac:dyDescent="0.3">
      <c r="A1278" s="18">
        <v>1989</v>
      </c>
      <c r="B1278" s="16">
        <v>119514</v>
      </c>
      <c r="C1278" s="16">
        <v>1</v>
      </c>
      <c r="D1278" s="16">
        <v>1</v>
      </c>
      <c r="E1278" s="16">
        <v>52</v>
      </c>
      <c r="F1278" s="17" t="s">
        <v>6</v>
      </c>
      <c r="G1278" s="17" t="s">
        <v>11</v>
      </c>
      <c r="H1278" s="3" t="s">
        <v>643</v>
      </c>
      <c r="I1278" s="5" t="s">
        <v>435</v>
      </c>
      <c r="J1278" s="16">
        <f>_xlfn.XLOOKUP(CustomerCombinedCleaned[[#This Row],[ID]], Table4[ID], Table4[Recency], "Not Found", 0)</f>
        <v>47</v>
      </c>
      <c r="K1278" s="16">
        <f>_xlfn.XLOOKUP(CustomerCombinedCleaned[[#This Row],[ID]], Table4[ID], Table4[Teas], "Not Found", 0)</f>
        <v>86</v>
      </c>
      <c r="L1278" s="16">
        <f>_xlfn.XLOOKUP(CustomerCombinedCleaned[[#This Row],[ID]], Table4[ID], Table4[Fruits], "Not Found", 0)</f>
        <v>18</v>
      </c>
      <c r="M1278" s="16">
        <f>_xlfn.XLOOKUP(CustomerCombinedCleaned[[#This Row],[ID]], Table4[ID], Table4[Meats], "Not Found", 0)</f>
        <v>129</v>
      </c>
      <c r="N1278" s="16">
        <f>_xlfn.XLOOKUP(CustomerCombinedCleaned[[#This Row],[ID]], Table4[ID], Table4[Seafood], "Not Found", 0)</f>
        <v>12</v>
      </c>
      <c r="O1278" s="16">
        <f>_xlfn.XLOOKUP(CustomerCombinedCleaned[[#This Row],[ID]], Table4[ID], Table4[Sweets], "Not Found", 0)</f>
        <v>6</v>
      </c>
      <c r="P1278" s="16">
        <f>_xlfn.XLOOKUP(CustomerCombinedCleaned[[#This Row],[ID]], Table4[ID], Table4[Premium], "Not Found", 0)</f>
        <v>171</v>
      </c>
      <c r="Q1278" s="16">
        <f>_xlfn.XLOOKUP(CustomerCombinedCleaned[[#This Row],[ID]], Table4[ID], Table4[Regular], "Not Found", 0)</f>
        <v>80</v>
      </c>
      <c r="R1278" s="16">
        <f>_xlfn.XLOOKUP(CustomerCombinedCleaned[[#This Row],[ID]], Table4[ID], Table4[Deals], "Not Found", 0)</f>
        <v>4</v>
      </c>
      <c r="S1278" s="16">
        <f>_xlfn.XLOOKUP(CustomerCombinedCleaned[[#This Row],[ID]], Table4[ID], Table4[Website], "Not Found", 0)</f>
        <v>3</v>
      </c>
      <c r="T1278" s="16">
        <f>_xlfn.XLOOKUP(CustomerCombinedCleaned[[#This Row],[ID]], Table4[ID], Table4[Catalog], "Not Found", 0)</f>
        <v>1</v>
      </c>
      <c r="U1278" s="16">
        <f>_xlfn.XLOOKUP(CustomerCombinedCleaned[[#This Row],[ID]], Table4[ID], Table4[Store], "Not Found", 0)</f>
        <v>2</v>
      </c>
      <c r="V1278" s="16">
        <f>_xlfn.XLOOKUP(CustomerCombinedCleaned[[#This Row],[ID]], Table4[ID], Table4[Visits], "Not Found", 0)</f>
        <v>8</v>
      </c>
      <c r="W1278" s="16">
        <f>_xlfn.XLOOKUP(CustomerCombinedCleaned[[#This Row],[ID]], Table2[ID],Table2[Complaint], "Not Found", 0 )</f>
        <v>0</v>
      </c>
      <c r="X1278" s="16">
        <f>_xlfn.XLOOKUP(CustomerCombinedCleaned[[#This Row],[ID]], Table2[ID],Table2[Pilot], "Not Found", 0 )</f>
        <v>0</v>
      </c>
      <c r="Y1278" s="16">
        <f>_xlfn.XLOOKUP(CustomerCombinedCleaned[[#This Row],[ID]], Table2[ID],Table2[MC1], "Not Found", 0 )</f>
        <v>0</v>
      </c>
      <c r="Z1278" s="16">
        <f>_xlfn.XLOOKUP(CustomerCombinedCleaned[[#This Row],[ID]], Table2[ID],Table2[MC2], "Not Found", 0 )</f>
        <v>0</v>
      </c>
      <c r="AA1278" s="16">
        <f>_xlfn.XLOOKUP(CustomerCombinedCleaned[[#This Row],[ID]], Table2[ID],Table2[MC3], "Not Found", 0 )</f>
        <v>1</v>
      </c>
      <c r="AB1278" s="16">
        <f>_xlfn.XLOOKUP(CustomerCombinedCleaned[[#This Row],[ID]], Table2[ID],Table2[MC4], "Not Found", 0 )</f>
        <v>0</v>
      </c>
      <c r="AC1278" s="16">
        <f>_xlfn.XLOOKUP(CustomerCombinedCleaned[[#This Row],[ID]], Table2[ID],Table2[MC5], "Not Found", 0 )</f>
        <v>0</v>
      </c>
    </row>
    <row r="1279" spans="1:29" x14ac:dyDescent="0.3">
      <c r="A1279" s="18">
        <v>1780</v>
      </c>
      <c r="B1279" s="16">
        <v>119329</v>
      </c>
      <c r="C1279" s="16">
        <v>1</v>
      </c>
      <c r="D1279" s="16">
        <v>0</v>
      </c>
      <c r="E1279" s="16">
        <v>52</v>
      </c>
      <c r="F1279" s="17" t="s">
        <v>6</v>
      </c>
      <c r="G1279" s="17" t="s">
        <v>11</v>
      </c>
      <c r="H1279" s="3" t="s">
        <v>134</v>
      </c>
      <c r="I1279" s="5" t="s">
        <v>439</v>
      </c>
      <c r="J1279" s="16">
        <f>_xlfn.XLOOKUP(CustomerCombinedCleaned[[#This Row],[ID]], Table4[ID], Table4[Recency], "Not Found", 0)</f>
        <v>39</v>
      </c>
      <c r="K1279" s="16">
        <f>_xlfn.XLOOKUP(CustomerCombinedCleaned[[#This Row],[ID]], Table4[ID], Table4[Teas], "Not Found", 0)</f>
        <v>148</v>
      </c>
      <c r="L1279" s="16">
        <f>_xlfn.XLOOKUP(CustomerCombinedCleaned[[#This Row],[ID]], Table4[ID], Table4[Fruits], "Not Found", 0)</f>
        <v>6</v>
      </c>
      <c r="M1279" s="16">
        <f>_xlfn.XLOOKUP(CustomerCombinedCleaned[[#This Row],[ID]], Table4[ID], Table4[Meats], "Not Found", 0)</f>
        <v>99</v>
      </c>
      <c r="N1279" s="16">
        <f>_xlfn.XLOOKUP(CustomerCombinedCleaned[[#This Row],[ID]], Table4[ID], Table4[Seafood], "Not Found", 0)</f>
        <v>74</v>
      </c>
      <c r="O1279" s="16">
        <f>_xlfn.XLOOKUP(CustomerCombinedCleaned[[#This Row],[ID]], Table4[ID], Table4[Sweets], "Not Found", 0)</f>
        <v>12</v>
      </c>
      <c r="P1279" s="16">
        <f>_xlfn.XLOOKUP(CustomerCombinedCleaned[[#This Row],[ID]], Table4[ID], Table4[Premium], "Not Found", 0)</f>
        <v>31</v>
      </c>
      <c r="Q1279" s="16">
        <f>_xlfn.XLOOKUP(CustomerCombinedCleaned[[#This Row],[ID]], Table4[ID], Table4[Regular], "Not Found", 0)</f>
        <v>309</v>
      </c>
      <c r="R1279" s="16">
        <f>_xlfn.XLOOKUP(CustomerCombinedCleaned[[#This Row],[ID]], Table4[ID], Table4[Deals], "Not Found", 0)</f>
        <v>3</v>
      </c>
      <c r="S1279" s="16">
        <f>_xlfn.XLOOKUP(CustomerCombinedCleaned[[#This Row],[ID]], Table4[ID], Table4[Website], "Not Found", 0)</f>
        <v>4</v>
      </c>
      <c r="T1279" s="16">
        <f>_xlfn.XLOOKUP(CustomerCombinedCleaned[[#This Row],[ID]], Table4[ID], Table4[Catalog], "Not Found", 0)</f>
        <v>0</v>
      </c>
      <c r="U1279" s="16">
        <f>_xlfn.XLOOKUP(CustomerCombinedCleaned[[#This Row],[ID]], Table4[ID], Table4[Store], "Not Found", 0)</f>
        <v>3</v>
      </c>
      <c r="V1279" s="16">
        <f>_xlfn.XLOOKUP(CustomerCombinedCleaned[[#This Row],[ID]], Table4[ID], Table4[Visits], "Not Found", 0)</f>
        <v>8</v>
      </c>
      <c r="W1279" s="16">
        <f>_xlfn.XLOOKUP(CustomerCombinedCleaned[[#This Row],[ID]], Table2[ID],Table2[Complaint], "Not Found", 0 )</f>
        <v>0</v>
      </c>
      <c r="X1279" s="16">
        <f>_xlfn.XLOOKUP(CustomerCombinedCleaned[[#This Row],[ID]], Table2[ID],Table2[Pilot], "Not Found", 0 )</f>
        <v>0</v>
      </c>
      <c r="Y1279" s="16">
        <f>_xlfn.XLOOKUP(CustomerCombinedCleaned[[#This Row],[ID]], Table2[ID],Table2[MC1], "Not Found", 0 )</f>
        <v>0</v>
      </c>
      <c r="Z1279" s="16">
        <f>_xlfn.XLOOKUP(CustomerCombinedCleaned[[#This Row],[ID]], Table2[ID],Table2[MC2], "Not Found", 0 )</f>
        <v>0</v>
      </c>
      <c r="AA1279" s="16">
        <f>_xlfn.XLOOKUP(CustomerCombinedCleaned[[#This Row],[ID]], Table2[ID],Table2[MC3], "Not Found", 0 )</f>
        <v>0</v>
      </c>
      <c r="AB1279" s="16">
        <f>_xlfn.XLOOKUP(CustomerCombinedCleaned[[#This Row],[ID]], Table2[ID],Table2[MC4], "Not Found", 0 )</f>
        <v>0</v>
      </c>
      <c r="AC1279" s="16">
        <f>_xlfn.XLOOKUP(CustomerCombinedCleaned[[#This Row],[ID]], Table2[ID],Table2[MC5], "Not Found", 0 )</f>
        <v>0</v>
      </c>
    </row>
    <row r="1280" spans="1:29" x14ac:dyDescent="0.3">
      <c r="A1280" s="18">
        <v>3144</v>
      </c>
      <c r="B1280" s="16">
        <v>181380</v>
      </c>
      <c r="C1280" s="16">
        <v>0</v>
      </c>
      <c r="D1280" s="16">
        <v>0</v>
      </c>
      <c r="E1280" s="16">
        <v>53</v>
      </c>
      <c r="F1280" s="17" t="s">
        <v>5</v>
      </c>
      <c r="G1280" s="17" t="s">
        <v>12</v>
      </c>
      <c r="H1280" s="3" t="s">
        <v>337</v>
      </c>
      <c r="I1280" s="5" t="s">
        <v>436</v>
      </c>
      <c r="J1280" s="16">
        <f>_xlfn.XLOOKUP(CustomerCombinedCleaned[[#This Row],[ID]], Table4[ID], Table4[Recency], "Not Found", 0)</f>
        <v>51</v>
      </c>
      <c r="K1280" s="16">
        <f>_xlfn.XLOOKUP(CustomerCombinedCleaned[[#This Row],[ID]], Table4[ID], Table4[Teas], "Not Found", 0)</f>
        <v>1652</v>
      </c>
      <c r="L1280" s="16">
        <f>_xlfn.XLOOKUP(CustomerCombinedCleaned[[#This Row],[ID]], Table4[ID], Table4[Fruits], "Not Found", 0)</f>
        <v>152</v>
      </c>
      <c r="M1280" s="16">
        <f>_xlfn.XLOOKUP(CustomerCombinedCleaned[[#This Row],[ID]], Table4[ID], Table4[Meats], "Not Found", 0)</f>
        <v>1536</v>
      </c>
      <c r="N1280" s="16">
        <f>_xlfn.XLOOKUP(CustomerCombinedCleaned[[#This Row],[ID]], Table4[ID], Table4[Seafood], "Not Found", 0)</f>
        <v>499</v>
      </c>
      <c r="O1280" s="16">
        <f>_xlfn.XLOOKUP(CustomerCombinedCleaned[[#This Row],[ID]], Table4[ID], Table4[Sweets], "Not Found", 0)</f>
        <v>152</v>
      </c>
      <c r="P1280" s="16">
        <f>_xlfn.XLOOKUP(CustomerCombinedCleaned[[#This Row],[ID]], Table4[ID], Table4[Premium], "Not Found", 0)</f>
        <v>230</v>
      </c>
      <c r="Q1280" s="16">
        <f>_xlfn.XLOOKUP(CustomerCombinedCleaned[[#This Row],[ID]], Table4[ID], Table4[Regular], "Not Found", 0)</f>
        <v>3760</v>
      </c>
      <c r="R1280" s="16">
        <f>_xlfn.XLOOKUP(CustomerCombinedCleaned[[#This Row],[ID]], Table4[ID], Table4[Deals], "Not Found", 0)</f>
        <v>1</v>
      </c>
      <c r="S1280" s="16">
        <f>_xlfn.XLOOKUP(CustomerCombinedCleaned[[#This Row],[ID]], Table4[ID], Table4[Website], "Not Found", 0)</f>
        <v>4</v>
      </c>
      <c r="T1280" s="16">
        <f>_xlfn.XLOOKUP(CustomerCombinedCleaned[[#This Row],[ID]], Table4[ID], Table4[Catalog], "Not Found", 0)</f>
        <v>2</v>
      </c>
      <c r="U1280" s="16">
        <f>_xlfn.XLOOKUP(CustomerCombinedCleaned[[#This Row],[ID]], Table4[ID], Table4[Store], "Not Found", 0)</f>
        <v>10</v>
      </c>
      <c r="V1280" s="16">
        <f>_xlfn.XLOOKUP(CustomerCombinedCleaned[[#This Row],[ID]], Table4[ID], Table4[Visits], "Not Found", 0)</f>
        <v>2</v>
      </c>
      <c r="W1280" s="16">
        <f>_xlfn.XLOOKUP(CustomerCombinedCleaned[[#This Row],[ID]], Table2[ID],Table2[Complaint], "Not Found", 0 )</f>
        <v>0</v>
      </c>
      <c r="X1280" s="16">
        <f>_xlfn.XLOOKUP(CustomerCombinedCleaned[[#This Row],[ID]], Table2[ID],Table2[Pilot], "Not Found", 0 )</f>
        <v>0</v>
      </c>
      <c r="Y1280" s="16">
        <f>_xlfn.XLOOKUP(CustomerCombinedCleaned[[#This Row],[ID]], Table2[ID],Table2[MC1], "Not Found", 0 )</f>
        <v>0</v>
      </c>
      <c r="Z1280" s="16">
        <f>_xlfn.XLOOKUP(CustomerCombinedCleaned[[#This Row],[ID]], Table2[ID],Table2[MC2], "Not Found", 0 )</f>
        <v>0</v>
      </c>
      <c r="AA1280" s="16">
        <f>_xlfn.XLOOKUP(CustomerCombinedCleaned[[#This Row],[ID]], Table2[ID],Table2[MC3], "Not Found", 0 )</f>
        <v>0</v>
      </c>
      <c r="AB1280" s="16">
        <f>_xlfn.XLOOKUP(CustomerCombinedCleaned[[#This Row],[ID]], Table2[ID],Table2[MC4], "Not Found", 0 )</f>
        <v>0</v>
      </c>
      <c r="AC1280" s="16">
        <f>_xlfn.XLOOKUP(CustomerCombinedCleaned[[#This Row],[ID]], Table2[ID],Table2[MC5], "Not Found", 0 )</f>
        <v>0</v>
      </c>
    </row>
    <row r="1281" spans="1:29" x14ac:dyDescent="0.3">
      <c r="A1281" s="18">
        <v>1742</v>
      </c>
      <c r="B1281" s="16">
        <v>179146</v>
      </c>
      <c r="C1281" s="16">
        <v>1</v>
      </c>
      <c r="D1281" s="16">
        <v>1</v>
      </c>
      <c r="E1281" s="16">
        <v>53</v>
      </c>
      <c r="F1281" s="17" t="s">
        <v>7</v>
      </c>
      <c r="G1281" s="17" t="s">
        <v>11</v>
      </c>
      <c r="H1281" s="3" t="s">
        <v>58</v>
      </c>
      <c r="I1281" s="5" t="s">
        <v>438</v>
      </c>
      <c r="J1281" s="16">
        <f>_xlfn.XLOOKUP(CustomerCombinedCleaned[[#This Row],[ID]], Table4[ID], Table4[Recency], "Not Found", 0)</f>
        <v>33</v>
      </c>
      <c r="K1281" s="16">
        <f>_xlfn.XLOOKUP(CustomerCombinedCleaned[[#This Row],[ID]], Table4[ID], Table4[Teas], "Not Found", 0)</f>
        <v>555</v>
      </c>
      <c r="L1281" s="16">
        <f>_xlfn.XLOOKUP(CustomerCombinedCleaned[[#This Row],[ID]], Table4[ID], Table4[Fruits], "Not Found", 0)</f>
        <v>36</v>
      </c>
      <c r="M1281" s="16">
        <f>_xlfn.XLOOKUP(CustomerCombinedCleaned[[#This Row],[ID]], Table4[ID], Table4[Meats], "Not Found", 0)</f>
        <v>505</v>
      </c>
      <c r="N1281" s="16">
        <f>_xlfn.XLOOKUP(CustomerCombinedCleaned[[#This Row],[ID]], Table4[ID], Table4[Seafood], "Not Found", 0)</f>
        <v>48</v>
      </c>
      <c r="O1281" s="16">
        <f>_xlfn.XLOOKUP(CustomerCombinedCleaned[[#This Row],[ID]], Table4[ID], Table4[Sweets], "Not Found", 0)</f>
        <v>97</v>
      </c>
      <c r="P1281" s="16">
        <f>_xlfn.XLOOKUP(CustomerCombinedCleaned[[#This Row],[ID]], Table4[ID], Table4[Premium], "Not Found", 0)</f>
        <v>36</v>
      </c>
      <c r="Q1281" s="16">
        <f>_xlfn.XLOOKUP(CustomerCombinedCleaned[[#This Row],[ID]], Table4[ID], Table4[Regular], "Not Found", 0)</f>
        <v>1204</v>
      </c>
      <c r="R1281" s="16">
        <f>_xlfn.XLOOKUP(CustomerCombinedCleaned[[#This Row],[ID]], Table4[ID], Table4[Deals], "Not Found", 0)</f>
        <v>2</v>
      </c>
      <c r="S1281" s="16">
        <f>_xlfn.XLOOKUP(CustomerCombinedCleaned[[#This Row],[ID]], Table4[ID], Table4[Website], "Not Found", 0)</f>
        <v>8</v>
      </c>
      <c r="T1281" s="16">
        <f>_xlfn.XLOOKUP(CustomerCombinedCleaned[[#This Row],[ID]], Table4[ID], Table4[Catalog], "Not Found", 0)</f>
        <v>1</v>
      </c>
      <c r="U1281" s="16">
        <f>_xlfn.XLOOKUP(CustomerCombinedCleaned[[#This Row],[ID]], Table4[ID], Table4[Store], "Not Found", 0)</f>
        <v>8</v>
      </c>
      <c r="V1281" s="16">
        <f>_xlfn.XLOOKUP(CustomerCombinedCleaned[[#This Row],[ID]], Table4[ID], Table4[Visits], "Not Found", 0)</f>
        <v>6</v>
      </c>
      <c r="W1281" s="16">
        <f>_xlfn.XLOOKUP(CustomerCombinedCleaned[[#This Row],[ID]], Table2[ID],Table2[Complaint], "Not Found", 0 )</f>
        <v>0</v>
      </c>
      <c r="X1281" s="16">
        <f>_xlfn.XLOOKUP(CustomerCombinedCleaned[[#This Row],[ID]], Table2[ID],Table2[Pilot], "Not Found", 0 )</f>
        <v>0</v>
      </c>
      <c r="Y1281" s="16">
        <f>_xlfn.XLOOKUP(CustomerCombinedCleaned[[#This Row],[ID]], Table2[ID],Table2[MC1], "Not Found", 0 )</f>
        <v>0</v>
      </c>
      <c r="Z1281" s="16">
        <f>_xlfn.XLOOKUP(CustomerCombinedCleaned[[#This Row],[ID]], Table2[ID],Table2[MC2], "Not Found", 0 )</f>
        <v>0</v>
      </c>
      <c r="AA1281" s="16">
        <f>_xlfn.XLOOKUP(CustomerCombinedCleaned[[#This Row],[ID]], Table2[ID],Table2[MC3], "Not Found", 0 )</f>
        <v>0</v>
      </c>
      <c r="AB1281" s="16">
        <f>_xlfn.XLOOKUP(CustomerCombinedCleaned[[#This Row],[ID]], Table2[ID],Table2[MC4], "Not Found", 0 )</f>
        <v>0</v>
      </c>
      <c r="AC1281" s="16">
        <f>_xlfn.XLOOKUP(CustomerCombinedCleaned[[#This Row],[ID]], Table2[ID],Table2[MC5], "Not Found", 0 )</f>
        <v>0</v>
      </c>
    </row>
    <row r="1282" spans="1:29" x14ac:dyDescent="0.3">
      <c r="A1282" s="18">
        <v>2711</v>
      </c>
      <c r="B1282" s="16">
        <v>179146</v>
      </c>
      <c r="C1282" s="16">
        <v>1</v>
      </c>
      <c r="D1282" s="16">
        <v>1</v>
      </c>
      <c r="E1282" s="16">
        <v>53</v>
      </c>
      <c r="F1282" s="17" t="s">
        <v>7</v>
      </c>
      <c r="G1282" s="17" t="s">
        <v>11</v>
      </c>
      <c r="H1282" s="3" t="s">
        <v>58</v>
      </c>
      <c r="I1282" s="5" t="s">
        <v>434</v>
      </c>
      <c r="J1282" s="16">
        <f>_xlfn.XLOOKUP(CustomerCombinedCleaned[[#This Row],[ID]], Table4[ID], Table4[Recency], "Not Found", 0)</f>
        <v>33</v>
      </c>
      <c r="K1282" s="16">
        <f>_xlfn.XLOOKUP(CustomerCombinedCleaned[[#This Row],[ID]], Table4[ID], Table4[Teas], "Not Found", 0)</f>
        <v>555</v>
      </c>
      <c r="L1282" s="16">
        <f>_xlfn.XLOOKUP(CustomerCombinedCleaned[[#This Row],[ID]], Table4[ID], Table4[Fruits], "Not Found", 0)</f>
        <v>36</v>
      </c>
      <c r="M1282" s="16">
        <f>_xlfn.XLOOKUP(CustomerCombinedCleaned[[#This Row],[ID]], Table4[ID], Table4[Meats], "Not Found", 0)</f>
        <v>505</v>
      </c>
      <c r="N1282" s="16">
        <f>_xlfn.XLOOKUP(CustomerCombinedCleaned[[#This Row],[ID]], Table4[ID], Table4[Seafood], "Not Found", 0)</f>
        <v>48</v>
      </c>
      <c r="O1282" s="16">
        <f>_xlfn.XLOOKUP(CustomerCombinedCleaned[[#This Row],[ID]], Table4[ID], Table4[Sweets], "Not Found", 0)</f>
        <v>97</v>
      </c>
      <c r="P1282" s="16">
        <f>_xlfn.XLOOKUP(CustomerCombinedCleaned[[#This Row],[ID]], Table4[ID], Table4[Premium], "Not Found", 0)</f>
        <v>36</v>
      </c>
      <c r="Q1282" s="16">
        <f>_xlfn.XLOOKUP(CustomerCombinedCleaned[[#This Row],[ID]], Table4[ID], Table4[Regular], "Not Found", 0)</f>
        <v>1204</v>
      </c>
      <c r="R1282" s="16">
        <f>_xlfn.XLOOKUP(CustomerCombinedCleaned[[#This Row],[ID]], Table4[ID], Table4[Deals], "Not Found", 0)</f>
        <v>2</v>
      </c>
      <c r="S1282" s="16">
        <f>_xlfn.XLOOKUP(CustomerCombinedCleaned[[#This Row],[ID]], Table4[ID], Table4[Website], "Not Found", 0)</f>
        <v>8</v>
      </c>
      <c r="T1282" s="16">
        <f>_xlfn.XLOOKUP(CustomerCombinedCleaned[[#This Row],[ID]], Table4[ID], Table4[Catalog], "Not Found", 0)</f>
        <v>1</v>
      </c>
      <c r="U1282" s="16">
        <f>_xlfn.XLOOKUP(CustomerCombinedCleaned[[#This Row],[ID]], Table4[ID], Table4[Store], "Not Found", 0)</f>
        <v>8</v>
      </c>
      <c r="V1282" s="16">
        <f>_xlfn.XLOOKUP(CustomerCombinedCleaned[[#This Row],[ID]], Table4[ID], Table4[Visits], "Not Found", 0)</f>
        <v>6</v>
      </c>
      <c r="W1282" s="16">
        <f>_xlfn.XLOOKUP(CustomerCombinedCleaned[[#This Row],[ID]], Table2[ID],Table2[Complaint], "Not Found", 0 )</f>
        <v>0</v>
      </c>
      <c r="X1282" s="16">
        <f>_xlfn.XLOOKUP(CustomerCombinedCleaned[[#This Row],[ID]], Table2[ID],Table2[Pilot], "Not Found", 0 )</f>
        <v>0</v>
      </c>
      <c r="Y1282" s="16">
        <f>_xlfn.XLOOKUP(CustomerCombinedCleaned[[#This Row],[ID]], Table2[ID],Table2[MC1], "Not Found", 0 )</f>
        <v>0</v>
      </c>
      <c r="Z1282" s="16">
        <f>_xlfn.XLOOKUP(CustomerCombinedCleaned[[#This Row],[ID]], Table2[ID],Table2[MC2], "Not Found", 0 )</f>
        <v>0</v>
      </c>
      <c r="AA1282" s="16">
        <f>_xlfn.XLOOKUP(CustomerCombinedCleaned[[#This Row],[ID]], Table2[ID],Table2[MC3], "Not Found", 0 )</f>
        <v>0</v>
      </c>
      <c r="AB1282" s="16">
        <f>_xlfn.XLOOKUP(CustomerCombinedCleaned[[#This Row],[ID]], Table2[ID],Table2[MC4], "Not Found", 0 )</f>
        <v>0</v>
      </c>
      <c r="AC1282" s="16">
        <f>_xlfn.XLOOKUP(CustomerCombinedCleaned[[#This Row],[ID]], Table2[ID],Table2[MC5], "Not Found", 0 )</f>
        <v>0</v>
      </c>
    </row>
    <row r="1283" spans="1:29" x14ac:dyDescent="0.3">
      <c r="A1283" s="18">
        <v>2888</v>
      </c>
      <c r="B1283" s="16">
        <v>177870</v>
      </c>
      <c r="C1283" s="16">
        <v>0</v>
      </c>
      <c r="D1283" s="16">
        <v>1</v>
      </c>
      <c r="E1283" s="16">
        <v>53</v>
      </c>
      <c r="F1283" s="17" t="s">
        <v>6</v>
      </c>
      <c r="G1283" s="17" t="s">
        <v>11</v>
      </c>
      <c r="H1283" s="3" t="s">
        <v>406</v>
      </c>
      <c r="I1283" s="5" t="s">
        <v>438</v>
      </c>
      <c r="J1283" s="16">
        <f>_xlfn.XLOOKUP(CustomerCombinedCleaned[[#This Row],[ID]], Table4[ID], Table4[Recency], "Not Found", 0)</f>
        <v>93</v>
      </c>
      <c r="K1283" s="16">
        <f>_xlfn.XLOOKUP(CustomerCombinedCleaned[[#This Row],[ID]], Table4[ID], Table4[Teas], "Not Found", 0)</f>
        <v>2323</v>
      </c>
      <c r="L1283" s="16">
        <f>_xlfn.XLOOKUP(CustomerCombinedCleaned[[#This Row],[ID]], Table4[ID], Table4[Fruits], "Not Found", 0)</f>
        <v>114</v>
      </c>
      <c r="M1283" s="16">
        <f>_xlfn.XLOOKUP(CustomerCombinedCleaned[[#This Row],[ID]], Table4[ID], Table4[Meats], "Not Found", 0)</f>
        <v>1142</v>
      </c>
      <c r="N1283" s="16">
        <f>_xlfn.XLOOKUP(CustomerCombinedCleaned[[#This Row],[ID]], Table4[ID], Table4[Seafood], "Not Found", 0)</f>
        <v>148</v>
      </c>
      <c r="O1283" s="16">
        <f>_xlfn.XLOOKUP(CustomerCombinedCleaned[[#This Row],[ID]], Table4[ID], Table4[Sweets], "Not Found", 0)</f>
        <v>114</v>
      </c>
      <c r="P1283" s="16">
        <f>_xlfn.XLOOKUP(CustomerCombinedCleaned[[#This Row],[ID]], Table4[ID], Table4[Premium], "Not Found", 0)</f>
        <v>304</v>
      </c>
      <c r="Q1283" s="16">
        <f>_xlfn.XLOOKUP(CustomerCombinedCleaned[[#This Row],[ID]], Table4[ID], Table4[Regular], "Not Found", 0)</f>
        <v>3538</v>
      </c>
      <c r="R1283" s="16">
        <f>_xlfn.XLOOKUP(CustomerCombinedCleaned[[#This Row],[ID]], Table4[ID], Table4[Deals], "Not Found", 0)</f>
        <v>3</v>
      </c>
      <c r="S1283" s="16">
        <f>_xlfn.XLOOKUP(CustomerCombinedCleaned[[#This Row],[ID]], Table4[ID], Table4[Website], "Not Found", 0)</f>
        <v>5</v>
      </c>
      <c r="T1283" s="16">
        <f>_xlfn.XLOOKUP(CustomerCombinedCleaned[[#This Row],[ID]], Table4[ID], Table4[Catalog], "Not Found", 0)</f>
        <v>5</v>
      </c>
      <c r="U1283" s="16">
        <f>_xlfn.XLOOKUP(CustomerCombinedCleaned[[#This Row],[ID]], Table4[ID], Table4[Store], "Not Found", 0)</f>
        <v>5</v>
      </c>
      <c r="V1283" s="16">
        <f>_xlfn.XLOOKUP(CustomerCombinedCleaned[[#This Row],[ID]], Table4[ID], Table4[Visits], "Not Found", 0)</f>
        <v>8</v>
      </c>
      <c r="W1283" s="16">
        <f>_xlfn.XLOOKUP(CustomerCombinedCleaned[[#This Row],[ID]], Table2[ID],Table2[Complaint], "Not Found", 0 )</f>
        <v>0</v>
      </c>
      <c r="X1283" s="16">
        <f>_xlfn.XLOOKUP(CustomerCombinedCleaned[[#This Row],[ID]], Table2[ID],Table2[Pilot], "Not Found", 0 )</f>
        <v>1</v>
      </c>
      <c r="Y1283" s="16">
        <f>_xlfn.XLOOKUP(CustomerCombinedCleaned[[#This Row],[ID]], Table2[ID],Table2[MC1], "Not Found", 0 )</f>
        <v>1</v>
      </c>
      <c r="Z1283" s="16">
        <f>_xlfn.XLOOKUP(CustomerCombinedCleaned[[#This Row],[ID]], Table2[ID],Table2[MC2], "Not Found", 0 )</f>
        <v>0</v>
      </c>
      <c r="AA1283" s="16">
        <f>_xlfn.XLOOKUP(CustomerCombinedCleaned[[#This Row],[ID]], Table2[ID],Table2[MC3], "Not Found", 0 )</f>
        <v>0</v>
      </c>
      <c r="AB1283" s="16">
        <f>_xlfn.XLOOKUP(CustomerCombinedCleaned[[#This Row],[ID]], Table2[ID],Table2[MC4], "Not Found", 0 )</f>
        <v>1</v>
      </c>
      <c r="AC1283" s="16">
        <f>_xlfn.XLOOKUP(CustomerCombinedCleaned[[#This Row],[ID]], Table2[ID],Table2[MC5], "Not Found", 0 )</f>
        <v>0</v>
      </c>
    </row>
    <row r="1284" spans="1:29" x14ac:dyDescent="0.3">
      <c r="A1284" s="18">
        <v>2233</v>
      </c>
      <c r="B1284" s="16">
        <v>177766</v>
      </c>
      <c r="C1284" s="16">
        <v>0</v>
      </c>
      <c r="D1284" s="16">
        <v>1</v>
      </c>
      <c r="E1284" s="16">
        <v>53</v>
      </c>
      <c r="F1284" s="17" t="s">
        <v>6</v>
      </c>
      <c r="G1284" s="17" t="s">
        <v>13</v>
      </c>
      <c r="H1284" s="3" t="s">
        <v>301</v>
      </c>
      <c r="I1284" s="5" t="s">
        <v>437</v>
      </c>
      <c r="J1284" s="16">
        <f>_xlfn.XLOOKUP(CustomerCombinedCleaned[[#This Row],[ID]], Table4[ID], Table4[Recency], "Not Found", 0)</f>
        <v>97</v>
      </c>
      <c r="K1284" s="16">
        <f>_xlfn.XLOOKUP(CustomerCombinedCleaned[[#This Row],[ID]], Table4[ID], Table4[Teas], "Not Found", 0)</f>
        <v>2295</v>
      </c>
      <c r="L1284" s="16">
        <f>_xlfn.XLOOKUP(CustomerCombinedCleaned[[#This Row],[ID]], Table4[ID], Table4[Fruits], "Not Found", 0)</f>
        <v>135</v>
      </c>
      <c r="M1284" s="16">
        <f>_xlfn.XLOOKUP(CustomerCombinedCleaned[[#This Row],[ID]], Table4[ID], Table4[Meats], "Not Found", 0)</f>
        <v>606</v>
      </c>
      <c r="N1284" s="16">
        <f>_xlfn.XLOOKUP(CustomerCombinedCleaned[[#This Row],[ID]], Table4[ID], Table4[Seafood], "Not Found", 0)</f>
        <v>263</v>
      </c>
      <c r="O1284" s="16">
        <f>_xlfn.XLOOKUP(CustomerCombinedCleaned[[#This Row],[ID]], Table4[ID], Table4[Sweets], "Not Found", 0)</f>
        <v>135</v>
      </c>
      <c r="P1284" s="16">
        <f>_xlfn.XLOOKUP(CustomerCombinedCleaned[[#This Row],[ID]], Table4[ID], Table4[Premium], "Not Found", 0)</f>
        <v>62</v>
      </c>
      <c r="Q1284" s="16">
        <f>_xlfn.XLOOKUP(CustomerCombinedCleaned[[#This Row],[ID]], Table4[ID], Table4[Regular], "Not Found", 0)</f>
        <v>3372</v>
      </c>
      <c r="R1284" s="16">
        <f>_xlfn.XLOOKUP(CustomerCombinedCleaned[[#This Row],[ID]], Table4[ID], Table4[Deals], "Not Found", 0)</f>
        <v>2</v>
      </c>
      <c r="S1284" s="16">
        <f>_xlfn.XLOOKUP(CustomerCombinedCleaned[[#This Row],[ID]], Table4[ID], Table4[Website], "Not Found", 0)</f>
        <v>11</v>
      </c>
      <c r="T1284" s="16">
        <f>_xlfn.XLOOKUP(CustomerCombinedCleaned[[#This Row],[ID]], Table4[ID], Table4[Catalog], "Not Found", 0)</f>
        <v>10</v>
      </c>
      <c r="U1284" s="16">
        <f>_xlfn.XLOOKUP(CustomerCombinedCleaned[[#This Row],[ID]], Table4[ID], Table4[Store], "Not Found", 0)</f>
        <v>11</v>
      </c>
      <c r="V1284" s="16">
        <f>_xlfn.XLOOKUP(CustomerCombinedCleaned[[#This Row],[ID]], Table4[ID], Table4[Visits], "Not Found", 0)</f>
        <v>6</v>
      </c>
      <c r="W1284" s="16">
        <f>_xlfn.XLOOKUP(CustomerCombinedCleaned[[#This Row],[ID]], Table2[ID],Table2[Complaint], "Not Found", 0 )</f>
        <v>0</v>
      </c>
      <c r="X1284" s="16">
        <f>_xlfn.XLOOKUP(CustomerCombinedCleaned[[#This Row],[ID]], Table2[ID],Table2[Pilot], "Not Found", 0 )</f>
        <v>1</v>
      </c>
      <c r="Y1284" s="16">
        <f>_xlfn.XLOOKUP(CustomerCombinedCleaned[[#This Row],[ID]], Table2[ID],Table2[MC1], "Not Found", 0 )</f>
        <v>0</v>
      </c>
      <c r="Z1284" s="16">
        <f>_xlfn.XLOOKUP(CustomerCombinedCleaned[[#This Row],[ID]], Table2[ID],Table2[MC2], "Not Found", 0 )</f>
        <v>0</v>
      </c>
      <c r="AA1284" s="16">
        <f>_xlfn.XLOOKUP(CustomerCombinedCleaned[[#This Row],[ID]], Table2[ID],Table2[MC3], "Not Found", 0 )</f>
        <v>1</v>
      </c>
      <c r="AB1284" s="16">
        <f>_xlfn.XLOOKUP(CustomerCombinedCleaned[[#This Row],[ID]], Table2[ID],Table2[MC4], "Not Found", 0 )</f>
        <v>0</v>
      </c>
      <c r="AC1284" s="16">
        <f>_xlfn.XLOOKUP(CustomerCombinedCleaned[[#This Row],[ID]], Table2[ID],Table2[MC5], "Not Found", 0 )</f>
        <v>0</v>
      </c>
    </row>
    <row r="1285" spans="1:29" x14ac:dyDescent="0.3">
      <c r="A1285" s="18">
        <v>2644</v>
      </c>
      <c r="B1285" s="16">
        <v>177766</v>
      </c>
      <c r="C1285" s="16">
        <v>0</v>
      </c>
      <c r="D1285" s="16">
        <v>1</v>
      </c>
      <c r="E1285" s="16">
        <v>53</v>
      </c>
      <c r="F1285" s="17" t="s">
        <v>6</v>
      </c>
      <c r="G1285" s="17" t="s">
        <v>13</v>
      </c>
      <c r="H1285" s="3" t="s">
        <v>301</v>
      </c>
      <c r="I1285" s="5" t="s">
        <v>439</v>
      </c>
      <c r="J1285" s="16">
        <f>_xlfn.XLOOKUP(CustomerCombinedCleaned[[#This Row],[ID]], Table4[ID], Table4[Recency], "Not Found", 0)</f>
        <v>97</v>
      </c>
      <c r="K1285" s="16">
        <f>_xlfn.XLOOKUP(CustomerCombinedCleaned[[#This Row],[ID]], Table4[ID], Table4[Teas], "Not Found", 0)</f>
        <v>2295</v>
      </c>
      <c r="L1285" s="16">
        <f>_xlfn.XLOOKUP(CustomerCombinedCleaned[[#This Row],[ID]], Table4[ID], Table4[Fruits], "Not Found", 0)</f>
        <v>135</v>
      </c>
      <c r="M1285" s="16">
        <f>_xlfn.XLOOKUP(CustomerCombinedCleaned[[#This Row],[ID]], Table4[ID], Table4[Meats], "Not Found", 0)</f>
        <v>606</v>
      </c>
      <c r="N1285" s="16">
        <f>_xlfn.XLOOKUP(CustomerCombinedCleaned[[#This Row],[ID]], Table4[ID], Table4[Seafood], "Not Found", 0)</f>
        <v>263</v>
      </c>
      <c r="O1285" s="16">
        <f>_xlfn.XLOOKUP(CustomerCombinedCleaned[[#This Row],[ID]], Table4[ID], Table4[Sweets], "Not Found", 0)</f>
        <v>135</v>
      </c>
      <c r="P1285" s="16">
        <f>_xlfn.XLOOKUP(CustomerCombinedCleaned[[#This Row],[ID]], Table4[ID], Table4[Premium], "Not Found", 0)</f>
        <v>62</v>
      </c>
      <c r="Q1285" s="16">
        <f>_xlfn.XLOOKUP(CustomerCombinedCleaned[[#This Row],[ID]], Table4[ID], Table4[Regular], "Not Found", 0)</f>
        <v>3372</v>
      </c>
      <c r="R1285" s="16">
        <f>_xlfn.XLOOKUP(CustomerCombinedCleaned[[#This Row],[ID]], Table4[ID], Table4[Deals], "Not Found", 0)</f>
        <v>2</v>
      </c>
      <c r="S1285" s="16">
        <f>_xlfn.XLOOKUP(CustomerCombinedCleaned[[#This Row],[ID]], Table4[ID], Table4[Website], "Not Found", 0)</f>
        <v>11</v>
      </c>
      <c r="T1285" s="16">
        <f>_xlfn.XLOOKUP(CustomerCombinedCleaned[[#This Row],[ID]], Table4[ID], Table4[Catalog], "Not Found", 0)</f>
        <v>10</v>
      </c>
      <c r="U1285" s="16">
        <f>_xlfn.XLOOKUP(CustomerCombinedCleaned[[#This Row],[ID]], Table4[ID], Table4[Store], "Not Found", 0)</f>
        <v>11</v>
      </c>
      <c r="V1285" s="16">
        <f>_xlfn.XLOOKUP(CustomerCombinedCleaned[[#This Row],[ID]], Table4[ID], Table4[Visits], "Not Found", 0)</f>
        <v>6</v>
      </c>
      <c r="W1285" s="16">
        <f>_xlfn.XLOOKUP(CustomerCombinedCleaned[[#This Row],[ID]], Table2[ID],Table2[Complaint], "Not Found", 0 )</f>
        <v>0</v>
      </c>
      <c r="X1285" s="16">
        <f>_xlfn.XLOOKUP(CustomerCombinedCleaned[[#This Row],[ID]], Table2[ID],Table2[Pilot], "Not Found", 0 )</f>
        <v>1</v>
      </c>
      <c r="Y1285" s="16">
        <f>_xlfn.XLOOKUP(CustomerCombinedCleaned[[#This Row],[ID]], Table2[ID],Table2[MC1], "Not Found", 0 )</f>
        <v>0</v>
      </c>
      <c r="Z1285" s="16">
        <f>_xlfn.XLOOKUP(CustomerCombinedCleaned[[#This Row],[ID]], Table2[ID],Table2[MC2], "Not Found", 0 )</f>
        <v>0</v>
      </c>
      <c r="AA1285" s="16">
        <f>_xlfn.XLOOKUP(CustomerCombinedCleaned[[#This Row],[ID]], Table2[ID],Table2[MC3], "Not Found", 0 )</f>
        <v>1</v>
      </c>
      <c r="AB1285" s="16">
        <f>_xlfn.XLOOKUP(CustomerCombinedCleaned[[#This Row],[ID]], Table2[ID],Table2[MC4], "Not Found", 0 )</f>
        <v>0</v>
      </c>
      <c r="AC1285" s="16">
        <f>_xlfn.XLOOKUP(CustomerCombinedCleaned[[#This Row],[ID]], Table2[ID],Table2[MC5], "Not Found", 0 )</f>
        <v>0</v>
      </c>
    </row>
    <row r="1286" spans="1:29" x14ac:dyDescent="0.3">
      <c r="A1286" s="18">
        <v>1521</v>
      </c>
      <c r="B1286" s="16">
        <v>176982</v>
      </c>
      <c r="C1286" s="16">
        <v>0</v>
      </c>
      <c r="D1286" s="16">
        <v>0</v>
      </c>
      <c r="E1286" s="16">
        <v>53</v>
      </c>
      <c r="F1286" s="17" t="s">
        <v>5</v>
      </c>
      <c r="G1286" s="17" t="s">
        <v>11</v>
      </c>
      <c r="H1286" s="3" t="s">
        <v>98</v>
      </c>
      <c r="I1286" s="5" t="s">
        <v>435</v>
      </c>
      <c r="J1286" s="16">
        <f>_xlfn.XLOOKUP(CustomerCombinedCleaned[[#This Row],[ID]], Table4[ID], Table4[Recency], "Not Found", 0)</f>
        <v>19</v>
      </c>
      <c r="K1286" s="16">
        <f>_xlfn.XLOOKUP(CustomerCombinedCleaned[[#This Row],[ID]], Table4[ID], Table4[Teas], "Not Found", 0)</f>
        <v>1067</v>
      </c>
      <c r="L1286" s="16">
        <f>_xlfn.XLOOKUP(CustomerCombinedCleaned[[#This Row],[ID]], Table4[ID], Table4[Fruits], "Not Found", 0)</f>
        <v>347</v>
      </c>
      <c r="M1286" s="16">
        <f>_xlfn.XLOOKUP(CustomerCombinedCleaned[[#This Row],[ID]], Table4[ID], Table4[Meats], "Not Found", 0)</f>
        <v>671</v>
      </c>
      <c r="N1286" s="16">
        <f>_xlfn.XLOOKUP(CustomerCombinedCleaned[[#This Row],[ID]], Table4[ID], Table4[Seafood], "Not Found", 0)</f>
        <v>149</v>
      </c>
      <c r="O1286" s="16">
        <f>_xlfn.XLOOKUP(CustomerCombinedCleaned[[#This Row],[ID]], Table4[ID], Table4[Sweets], "Not Found", 0)</f>
        <v>138</v>
      </c>
      <c r="P1286" s="16">
        <f>_xlfn.XLOOKUP(CustomerCombinedCleaned[[#This Row],[ID]], Table4[ID], Table4[Premium], "Not Found", 0)</f>
        <v>69</v>
      </c>
      <c r="Q1286" s="16">
        <f>_xlfn.XLOOKUP(CustomerCombinedCleaned[[#This Row],[ID]], Table4[ID], Table4[Regular], "Not Found", 0)</f>
        <v>2304</v>
      </c>
      <c r="R1286" s="16">
        <f>_xlfn.XLOOKUP(CustomerCombinedCleaned[[#This Row],[ID]], Table4[ID], Table4[Deals], "Not Found", 0)</f>
        <v>1</v>
      </c>
      <c r="S1286" s="16">
        <f>_xlfn.XLOOKUP(CustomerCombinedCleaned[[#This Row],[ID]], Table4[ID], Table4[Website], "Not Found", 0)</f>
        <v>8</v>
      </c>
      <c r="T1286" s="16">
        <f>_xlfn.XLOOKUP(CustomerCombinedCleaned[[#This Row],[ID]], Table4[ID], Table4[Catalog], "Not Found", 0)</f>
        <v>3</v>
      </c>
      <c r="U1286" s="16">
        <f>_xlfn.XLOOKUP(CustomerCombinedCleaned[[#This Row],[ID]], Table4[ID], Table4[Store], "Not Found", 0)</f>
        <v>4</v>
      </c>
      <c r="V1286" s="16">
        <f>_xlfn.XLOOKUP(CustomerCombinedCleaned[[#This Row],[ID]], Table4[ID], Table4[Visits], "Not Found", 0)</f>
        <v>4</v>
      </c>
      <c r="W1286" s="16">
        <f>_xlfn.XLOOKUP(CustomerCombinedCleaned[[#This Row],[ID]], Table2[ID],Table2[Complaint], "Not Found", 0 )</f>
        <v>0</v>
      </c>
      <c r="X1286" s="16">
        <f>_xlfn.XLOOKUP(CustomerCombinedCleaned[[#This Row],[ID]], Table2[ID],Table2[Pilot], "Not Found", 0 )</f>
        <v>1</v>
      </c>
      <c r="Y1286" s="16">
        <f>_xlfn.XLOOKUP(CustomerCombinedCleaned[[#This Row],[ID]], Table2[ID],Table2[MC1], "Not Found", 0 )</f>
        <v>0</v>
      </c>
      <c r="Z1286" s="16">
        <f>_xlfn.XLOOKUP(CustomerCombinedCleaned[[#This Row],[ID]], Table2[ID],Table2[MC2], "Not Found", 0 )</f>
        <v>0</v>
      </c>
      <c r="AA1286" s="16">
        <f>_xlfn.XLOOKUP(CustomerCombinedCleaned[[#This Row],[ID]], Table2[ID],Table2[MC3], "Not Found", 0 )</f>
        <v>0</v>
      </c>
      <c r="AB1286" s="16">
        <f>_xlfn.XLOOKUP(CustomerCombinedCleaned[[#This Row],[ID]], Table2[ID],Table2[MC4], "Not Found", 0 )</f>
        <v>0</v>
      </c>
      <c r="AC1286" s="16">
        <f>_xlfn.XLOOKUP(CustomerCombinedCleaned[[#This Row],[ID]], Table2[ID],Table2[MC5], "Not Found", 0 )</f>
        <v>1</v>
      </c>
    </row>
    <row r="1287" spans="1:29" x14ac:dyDescent="0.3">
      <c r="A1287" s="18">
        <v>1241</v>
      </c>
      <c r="B1287" s="16">
        <v>175702</v>
      </c>
      <c r="C1287" s="16">
        <v>1</v>
      </c>
      <c r="D1287" s="16">
        <v>1</v>
      </c>
      <c r="E1287" s="16">
        <v>53</v>
      </c>
      <c r="F1287" s="17" t="s">
        <v>8</v>
      </c>
      <c r="G1287" s="17" t="s">
        <v>11</v>
      </c>
      <c r="H1287" s="3" t="s">
        <v>610</v>
      </c>
      <c r="I1287" s="5" t="s">
        <v>434</v>
      </c>
      <c r="J1287" s="16">
        <f>_xlfn.XLOOKUP(CustomerCombinedCleaned[[#This Row],[ID]], Table4[ID], Table4[Recency], "Not Found", 0)</f>
        <v>77</v>
      </c>
      <c r="K1287" s="16">
        <f>_xlfn.XLOOKUP(CustomerCombinedCleaned[[#This Row],[ID]], Table4[ID], Table4[Teas], "Not Found", 0)</f>
        <v>1509</v>
      </c>
      <c r="L1287" s="16">
        <f>_xlfn.XLOOKUP(CustomerCombinedCleaned[[#This Row],[ID]], Table4[ID], Table4[Fruits], "Not Found", 0)</f>
        <v>65</v>
      </c>
      <c r="M1287" s="16">
        <f>_xlfn.XLOOKUP(CustomerCombinedCleaned[[#This Row],[ID]], Table4[ID], Table4[Meats], "Not Found", 0)</f>
        <v>819</v>
      </c>
      <c r="N1287" s="16">
        <f>_xlfn.XLOOKUP(CustomerCombinedCleaned[[#This Row],[ID]], Table4[ID], Table4[Seafood], "Not Found", 0)</f>
        <v>104</v>
      </c>
      <c r="O1287" s="16">
        <f>_xlfn.XLOOKUP(CustomerCombinedCleaned[[#This Row],[ID]], Table4[ID], Table4[Sweets], "Not Found", 0)</f>
        <v>97</v>
      </c>
      <c r="P1287" s="16">
        <f>_xlfn.XLOOKUP(CustomerCombinedCleaned[[#This Row],[ID]], Table4[ID], Table4[Premium], "Not Found", 0)</f>
        <v>70</v>
      </c>
      <c r="Q1287" s="16">
        <f>_xlfn.XLOOKUP(CustomerCombinedCleaned[[#This Row],[ID]], Table4[ID], Table4[Regular], "Not Found", 0)</f>
        <v>2525</v>
      </c>
      <c r="R1287" s="16">
        <f>_xlfn.XLOOKUP(CustomerCombinedCleaned[[#This Row],[ID]], Table4[ID], Table4[Deals], "Not Found", 0)</f>
        <v>5</v>
      </c>
      <c r="S1287" s="16">
        <f>_xlfn.XLOOKUP(CustomerCombinedCleaned[[#This Row],[ID]], Table4[ID], Table4[Website], "Not Found", 0)</f>
        <v>4</v>
      </c>
      <c r="T1287" s="16">
        <f>_xlfn.XLOOKUP(CustomerCombinedCleaned[[#This Row],[ID]], Table4[ID], Table4[Catalog], "Not Found", 0)</f>
        <v>6</v>
      </c>
      <c r="U1287" s="16">
        <f>_xlfn.XLOOKUP(CustomerCombinedCleaned[[#This Row],[ID]], Table4[ID], Table4[Store], "Not Found", 0)</f>
        <v>11</v>
      </c>
      <c r="V1287" s="16">
        <f>_xlfn.XLOOKUP(CustomerCombinedCleaned[[#This Row],[ID]], Table4[ID], Table4[Visits], "Not Found", 0)</f>
        <v>8</v>
      </c>
      <c r="W1287" s="16">
        <f>_xlfn.XLOOKUP(CustomerCombinedCleaned[[#This Row],[ID]], Table2[ID],Table2[Complaint], "Not Found", 0 )</f>
        <v>0</v>
      </c>
      <c r="X1287" s="16">
        <f>_xlfn.XLOOKUP(CustomerCombinedCleaned[[#This Row],[ID]], Table2[ID],Table2[Pilot], "Not Found", 0 )</f>
        <v>0</v>
      </c>
      <c r="Y1287" s="16">
        <f>_xlfn.XLOOKUP(CustomerCombinedCleaned[[#This Row],[ID]], Table2[ID],Table2[MC1], "Not Found", 0 )</f>
        <v>0</v>
      </c>
      <c r="Z1287" s="16">
        <f>_xlfn.XLOOKUP(CustomerCombinedCleaned[[#This Row],[ID]], Table2[ID],Table2[MC2], "Not Found", 0 )</f>
        <v>0</v>
      </c>
      <c r="AA1287" s="16">
        <f>_xlfn.XLOOKUP(CustomerCombinedCleaned[[#This Row],[ID]], Table2[ID],Table2[MC3], "Not Found", 0 )</f>
        <v>0</v>
      </c>
      <c r="AB1287" s="16">
        <f>_xlfn.XLOOKUP(CustomerCombinedCleaned[[#This Row],[ID]], Table2[ID],Table2[MC4], "Not Found", 0 )</f>
        <v>0</v>
      </c>
      <c r="AC1287" s="16">
        <f>_xlfn.XLOOKUP(CustomerCombinedCleaned[[#This Row],[ID]], Table2[ID],Table2[MC5], "Not Found", 0 )</f>
        <v>0</v>
      </c>
    </row>
    <row r="1288" spans="1:29" x14ac:dyDescent="0.3">
      <c r="A1288" s="18">
        <v>2410</v>
      </c>
      <c r="B1288" s="16">
        <v>170844</v>
      </c>
      <c r="C1288" s="16">
        <v>1</v>
      </c>
      <c r="D1288" s="16">
        <v>1</v>
      </c>
      <c r="E1288" s="16">
        <v>53</v>
      </c>
      <c r="F1288" s="17" t="s">
        <v>5</v>
      </c>
      <c r="G1288" s="17" t="s">
        <v>11</v>
      </c>
      <c r="H1288" s="3" t="s">
        <v>660</v>
      </c>
      <c r="I1288" s="5" t="s">
        <v>439</v>
      </c>
      <c r="J1288" s="16">
        <f>_xlfn.XLOOKUP(CustomerCombinedCleaned[[#This Row],[ID]], Table4[ID], Table4[Recency], "Not Found", 0)</f>
        <v>16</v>
      </c>
      <c r="K1288" s="16">
        <f>_xlfn.XLOOKUP(CustomerCombinedCleaned[[#This Row],[ID]], Table4[ID], Table4[Teas], "Not Found", 0)</f>
        <v>311</v>
      </c>
      <c r="L1288" s="16">
        <f>_xlfn.XLOOKUP(CustomerCombinedCleaned[[#This Row],[ID]], Table4[ID], Table4[Fruits], "Not Found", 0)</f>
        <v>63</v>
      </c>
      <c r="M1288" s="16">
        <f>_xlfn.XLOOKUP(CustomerCombinedCleaned[[#This Row],[ID]], Table4[ID], Table4[Meats], "Not Found", 0)</f>
        <v>162</v>
      </c>
      <c r="N1288" s="16">
        <f>_xlfn.XLOOKUP(CustomerCombinedCleaned[[#This Row],[ID]], Table4[ID], Table4[Seafood], "Not Found", 0)</f>
        <v>7</v>
      </c>
      <c r="O1288" s="16">
        <f>_xlfn.XLOOKUP(CustomerCombinedCleaned[[#This Row],[ID]], Table4[ID], Table4[Sweets], "Not Found", 0)</f>
        <v>162</v>
      </c>
      <c r="P1288" s="16">
        <f>_xlfn.XLOOKUP(CustomerCombinedCleaned[[#This Row],[ID]], Table4[ID], Table4[Premium], "Not Found", 0)</f>
        <v>5</v>
      </c>
      <c r="Q1288" s="16">
        <f>_xlfn.XLOOKUP(CustomerCombinedCleaned[[#This Row],[ID]], Table4[ID], Table4[Regular], "Not Found", 0)</f>
        <v>699</v>
      </c>
      <c r="R1288" s="16">
        <f>_xlfn.XLOOKUP(CustomerCombinedCleaned[[#This Row],[ID]], Table4[ID], Table4[Deals], "Not Found", 0)</f>
        <v>5</v>
      </c>
      <c r="S1288" s="16">
        <f>_xlfn.XLOOKUP(CustomerCombinedCleaned[[#This Row],[ID]], Table4[ID], Table4[Website], "Not Found", 0)</f>
        <v>6</v>
      </c>
      <c r="T1288" s="16">
        <f>_xlfn.XLOOKUP(CustomerCombinedCleaned[[#This Row],[ID]], Table4[ID], Table4[Catalog], "Not Found", 0)</f>
        <v>1</v>
      </c>
      <c r="U1288" s="16">
        <f>_xlfn.XLOOKUP(CustomerCombinedCleaned[[#This Row],[ID]], Table4[ID], Table4[Store], "Not Found", 0)</f>
        <v>5</v>
      </c>
      <c r="V1288" s="16">
        <f>_xlfn.XLOOKUP(CustomerCombinedCleaned[[#This Row],[ID]], Table4[ID], Table4[Visits], "Not Found", 0)</f>
        <v>7</v>
      </c>
      <c r="W1288" s="16">
        <f>_xlfn.XLOOKUP(CustomerCombinedCleaned[[#This Row],[ID]], Table2[ID],Table2[Complaint], "Not Found", 0 )</f>
        <v>0</v>
      </c>
      <c r="X1288" s="16">
        <f>_xlfn.XLOOKUP(CustomerCombinedCleaned[[#This Row],[ID]], Table2[ID],Table2[Pilot], "Not Found", 0 )</f>
        <v>0</v>
      </c>
      <c r="Y1288" s="16">
        <f>_xlfn.XLOOKUP(CustomerCombinedCleaned[[#This Row],[ID]], Table2[ID],Table2[MC1], "Not Found", 0 )</f>
        <v>0</v>
      </c>
      <c r="Z1288" s="16">
        <f>_xlfn.XLOOKUP(CustomerCombinedCleaned[[#This Row],[ID]], Table2[ID],Table2[MC2], "Not Found", 0 )</f>
        <v>0</v>
      </c>
      <c r="AA1288" s="16">
        <f>_xlfn.XLOOKUP(CustomerCombinedCleaned[[#This Row],[ID]], Table2[ID],Table2[MC3], "Not Found", 0 )</f>
        <v>0</v>
      </c>
      <c r="AB1288" s="16">
        <f>_xlfn.XLOOKUP(CustomerCombinedCleaned[[#This Row],[ID]], Table2[ID],Table2[MC4], "Not Found", 0 )</f>
        <v>0</v>
      </c>
      <c r="AC1288" s="16">
        <f>_xlfn.XLOOKUP(CustomerCombinedCleaned[[#This Row],[ID]], Table2[ID],Table2[MC5], "Not Found", 0 )</f>
        <v>0</v>
      </c>
    </row>
    <row r="1289" spans="1:29" x14ac:dyDescent="0.3">
      <c r="A1289" s="18">
        <v>1941</v>
      </c>
      <c r="B1289" s="16">
        <v>170647</v>
      </c>
      <c r="C1289" s="16">
        <v>0</v>
      </c>
      <c r="D1289" s="16">
        <v>1</v>
      </c>
      <c r="E1289" s="16">
        <v>53</v>
      </c>
      <c r="F1289" s="17" t="s">
        <v>5</v>
      </c>
      <c r="G1289" s="17" t="s">
        <v>11</v>
      </c>
      <c r="H1289" s="3" t="s">
        <v>390</v>
      </c>
      <c r="I1289" s="5" t="s">
        <v>435</v>
      </c>
      <c r="J1289" s="16">
        <f>_xlfn.XLOOKUP(CustomerCombinedCleaned[[#This Row],[ID]], Table4[ID], Table4[Recency], "Not Found", 0)</f>
        <v>65</v>
      </c>
      <c r="K1289" s="16">
        <f>_xlfn.XLOOKUP(CustomerCombinedCleaned[[#This Row],[ID]], Table4[ID], Table4[Teas], "Not Found", 0)</f>
        <v>1355</v>
      </c>
      <c r="L1289" s="16">
        <f>_xlfn.XLOOKUP(CustomerCombinedCleaned[[#This Row],[ID]], Table4[ID], Table4[Fruits], "Not Found", 0)</f>
        <v>205</v>
      </c>
      <c r="M1289" s="16">
        <f>_xlfn.XLOOKUP(CustomerCombinedCleaned[[#This Row],[ID]], Table4[ID], Table4[Meats], "Not Found", 0)</f>
        <v>413</v>
      </c>
      <c r="N1289" s="16">
        <f>_xlfn.XLOOKUP(CustomerCombinedCleaned[[#This Row],[ID]], Table4[ID], Table4[Seafood], "Not Found", 0)</f>
        <v>60</v>
      </c>
      <c r="O1289" s="16">
        <f>_xlfn.XLOOKUP(CustomerCombinedCleaned[[#This Row],[ID]], Table4[ID], Table4[Sweets], "Not Found", 0)</f>
        <v>297</v>
      </c>
      <c r="P1289" s="16">
        <f>_xlfn.XLOOKUP(CustomerCombinedCleaned[[#This Row],[ID]], Table4[ID], Table4[Premium], "Not Found", 0)</f>
        <v>275</v>
      </c>
      <c r="Q1289" s="16">
        <f>_xlfn.XLOOKUP(CustomerCombinedCleaned[[#This Row],[ID]], Table4[ID], Table4[Regular], "Not Found", 0)</f>
        <v>2056</v>
      </c>
      <c r="R1289" s="16">
        <f>_xlfn.XLOOKUP(CustomerCombinedCleaned[[#This Row],[ID]], Table4[ID], Table4[Deals], "Not Found", 0)</f>
        <v>2</v>
      </c>
      <c r="S1289" s="16">
        <f>_xlfn.XLOOKUP(CustomerCombinedCleaned[[#This Row],[ID]], Table4[ID], Table4[Website], "Not Found", 0)</f>
        <v>4</v>
      </c>
      <c r="T1289" s="16">
        <f>_xlfn.XLOOKUP(CustomerCombinedCleaned[[#This Row],[ID]], Table4[ID], Table4[Catalog], "Not Found", 0)</f>
        <v>7</v>
      </c>
      <c r="U1289" s="16">
        <f>_xlfn.XLOOKUP(CustomerCombinedCleaned[[#This Row],[ID]], Table4[ID], Table4[Store], "Not Found", 0)</f>
        <v>13</v>
      </c>
      <c r="V1289" s="16">
        <f>_xlfn.XLOOKUP(CustomerCombinedCleaned[[#This Row],[ID]], Table4[ID], Table4[Visits], "Not Found", 0)</f>
        <v>2</v>
      </c>
      <c r="W1289" s="16">
        <f>_xlfn.XLOOKUP(CustomerCombinedCleaned[[#This Row],[ID]], Table2[ID],Table2[Complaint], "Not Found", 0 )</f>
        <v>0</v>
      </c>
      <c r="X1289" s="16">
        <f>_xlfn.XLOOKUP(CustomerCombinedCleaned[[#This Row],[ID]], Table2[ID],Table2[Pilot], "Not Found", 0 )</f>
        <v>0</v>
      </c>
      <c r="Y1289" s="16">
        <f>_xlfn.XLOOKUP(CustomerCombinedCleaned[[#This Row],[ID]], Table2[ID],Table2[MC1], "Not Found", 0 )</f>
        <v>0</v>
      </c>
      <c r="Z1289" s="16">
        <f>_xlfn.XLOOKUP(CustomerCombinedCleaned[[#This Row],[ID]], Table2[ID],Table2[MC2], "Not Found", 0 )</f>
        <v>0</v>
      </c>
      <c r="AA1289" s="16">
        <f>_xlfn.XLOOKUP(CustomerCombinedCleaned[[#This Row],[ID]], Table2[ID],Table2[MC3], "Not Found", 0 )</f>
        <v>0</v>
      </c>
      <c r="AB1289" s="16">
        <f>_xlfn.XLOOKUP(CustomerCombinedCleaned[[#This Row],[ID]], Table2[ID],Table2[MC4], "Not Found", 0 )</f>
        <v>0</v>
      </c>
      <c r="AC1289" s="16">
        <f>_xlfn.XLOOKUP(CustomerCombinedCleaned[[#This Row],[ID]], Table2[ID],Table2[MC5], "Not Found", 0 )</f>
        <v>0</v>
      </c>
    </row>
    <row r="1290" spans="1:29" x14ac:dyDescent="0.3">
      <c r="A1290" s="18">
        <v>1663</v>
      </c>
      <c r="B1290" s="16">
        <v>168743</v>
      </c>
      <c r="C1290" s="16">
        <v>0</v>
      </c>
      <c r="D1290" s="16">
        <v>0</v>
      </c>
      <c r="E1290" s="16">
        <v>53</v>
      </c>
      <c r="F1290" s="17" t="s">
        <v>5</v>
      </c>
      <c r="G1290" s="17" t="s">
        <v>11</v>
      </c>
      <c r="H1290" s="3" t="s">
        <v>677</v>
      </c>
      <c r="I1290" s="5" t="s">
        <v>437</v>
      </c>
      <c r="J1290" s="16">
        <f>_xlfn.XLOOKUP(CustomerCombinedCleaned[[#This Row],[ID]], Table4[ID], Table4[Recency], "Not Found", 0)</f>
        <v>81</v>
      </c>
      <c r="K1290" s="16">
        <f>_xlfn.XLOOKUP(CustomerCombinedCleaned[[#This Row],[ID]], Table4[ID], Table4[Teas], "Not Found", 0)</f>
        <v>2779</v>
      </c>
      <c r="L1290" s="16">
        <f>_xlfn.XLOOKUP(CustomerCombinedCleaned[[#This Row],[ID]], Table4[ID], Table4[Fruits], "Not Found", 0)</f>
        <v>329</v>
      </c>
      <c r="M1290" s="16">
        <f>_xlfn.XLOOKUP(CustomerCombinedCleaned[[#This Row],[ID]], Table4[ID], Table4[Meats], "Not Found", 0)</f>
        <v>943</v>
      </c>
      <c r="N1290" s="16">
        <f>_xlfn.XLOOKUP(CustomerCombinedCleaned[[#This Row],[ID]], Table4[ID], Table4[Seafood], "Not Found", 0)</f>
        <v>430</v>
      </c>
      <c r="O1290" s="16">
        <f>_xlfn.XLOOKUP(CustomerCombinedCleaned[[#This Row],[ID]], Table4[ID], Table4[Sweets], "Not Found", 0)</f>
        <v>329</v>
      </c>
      <c r="P1290" s="16">
        <f>_xlfn.XLOOKUP(CustomerCombinedCleaned[[#This Row],[ID]], Table4[ID], Table4[Premium], "Not Found", 0)</f>
        <v>282</v>
      </c>
      <c r="Q1290" s="16">
        <f>_xlfn.XLOOKUP(CustomerCombinedCleaned[[#This Row],[ID]], Table4[ID], Table4[Regular], "Not Found", 0)</f>
        <v>4526</v>
      </c>
      <c r="R1290" s="16">
        <f>_xlfn.XLOOKUP(CustomerCombinedCleaned[[#This Row],[ID]], Table4[ID], Table4[Deals], "Not Found", 0)</f>
        <v>1</v>
      </c>
      <c r="S1290" s="16">
        <f>_xlfn.XLOOKUP(CustomerCombinedCleaned[[#This Row],[ID]], Table4[ID], Table4[Website], "Not Found", 0)</f>
        <v>11</v>
      </c>
      <c r="T1290" s="16">
        <f>_xlfn.XLOOKUP(CustomerCombinedCleaned[[#This Row],[ID]], Table4[ID], Table4[Catalog], "Not Found", 0)</f>
        <v>5</v>
      </c>
      <c r="U1290" s="16">
        <f>_xlfn.XLOOKUP(CustomerCombinedCleaned[[#This Row],[ID]], Table4[ID], Table4[Store], "Not Found", 0)</f>
        <v>13</v>
      </c>
      <c r="V1290" s="16">
        <f>_xlfn.XLOOKUP(CustomerCombinedCleaned[[#This Row],[ID]], Table4[ID], Table4[Visits], "Not Found", 0)</f>
        <v>7</v>
      </c>
      <c r="W1290" s="16">
        <f>_xlfn.XLOOKUP(CustomerCombinedCleaned[[#This Row],[ID]], Table2[ID],Table2[Complaint], "Not Found", 0 )</f>
        <v>0</v>
      </c>
      <c r="X1290" s="16">
        <f>_xlfn.XLOOKUP(CustomerCombinedCleaned[[#This Row],[ID]], Table2[ID],Table2[Pilot], "Not Found", 0 )</f>
        <v>0</v>
      </c>
      <c r="Y1290" s="16">
        <f>_xlfn.XLOOKUP(CustomerCombinedCleaned[[#This Row],[ID]], Table2[ID],Table2[MC1], "Not Found", 0 )</f>
        <v>0</v>
      </c>
      <c r="Z1290" s="16">
        <f>_xlfn.XLOOKUP(CustomerCombinedCleaned[[#This Row],[ID]], Table2[ID],Table2[MC2], "Not Found", 0 )</f>
        <v>0</v>
      </c>
      <c r="AA1290" s="16">
        <f>_xlfn.XLOOKUP(CustomerCombinedCleaned[[#This Row],[ID]], Table2[ID],Table2[MC3], "Not Found", 0 )</f>
        <v>0</v>
      </c>
      <c r="AB1290" s="16">
        <f>_xlfn.XLOOKUP(CustomerCombinedCleaned[[#This Row],[ID]], Table2[ID],Table2[MC4], "Not Found", 0 )</f>
        <v>0</v>
      </c>
      <c r="AC1290" s="16">
        <f>_xlfn.XLOOKUP(CustomerCombinedCleaned[[#This Row],[ID]], Table2[ID],Table2[MC5], "Not Found", 0 )</f>
        <v>0</v>
      </c>
    </row>
    <row r="1291" spans="1:29" x14ac:dyDescent="0.3">
      <c r="A1291" s="18">
        <v>1416</v>
      </c>
      <c r="B1291" s="16">
        <v>167309</v>
      </c>
      <c r="C1291" s="16">
        <v>1</v>
      </c>
      <c r="D1291" s="16">
        <v>1</v>
      </c>
      <c r="E1291" s="16">
        <v>53</v>
      </c>
      <c r="F1291" s="17" t="s">
        <v>8</v>
      </c>
      <c r="G1291" s="17" t="s">
        <v>11</v>
      </c>
      <c r="H1291" s="3" t="s">
        <v>318</v>
      </c>
      <c r="I1291" s="5" t="s">
        <v>436</v>
      </c>
      <c r="J1291" s="16">
        <f>_xlfn.XLOOKUP(CustomerCombinedCleaned[[#This Row],[ID]], Table4[ID], Table4[Recency], "Not Found", 0)</f>
        <v>76</v>
      </c>
      <c r="K1291" s="16">
        <f>_xlfn.XLOOKUP(CustomerCombinedCleaned[[#This Row],[ID]], Table4[ID], Table4[Teas], "Not Found", 0)</f>
        <v>1280</v>
      </c>
      <c r="L1291" s="16">
        <f>_xlfn.XLOOKUP(CustomerCombinedCleaned[[#This Row],[ID]], Table4[ID], Table4[Fruits], "Not Found", 0)</f>
        <v>117</v>
      </c>
      <c r="M1291" s="16">
        <f>_xlfn.XLOOKUP(CustomerCombinedCleaned[[#This Row],[ID]], Table4[ID], Table4[Meats], "Not Found", 0)</f>
        <v>450</v>
      </c>
      <c r="N1291" s="16">
        <f>_xlfn.XLOOKUP(CustomerCombinedCleaned[[#This Row],[ID]], Table4[ID], Table4[Seafood], "Not Found", 0)</f>
        <v>370</v>
      </c>
      <c r="O1291" s="16">
        <f>_xlfn.XLOOKUP(CustomerCombinedCleaned[[#This Row],[ID]], Table4[ID], Table4[Sweets], "Not Found", 0)</f>
        <v>236</v>
      </c>
      <c r="P1291" s="16">
        <f>_xlfn.XLOOKUP(CustomerCombinedCleaned[[#This Row],[ID]], Table4[ID], Table4[Premium], "Not Found", 0)</f>
        <v>236</v>
      </c>
      <c r="Q1291" s="16">
        <f>_xlfn.XLOOKUP(CustomerCombinedCleaned[[#This Row],[ID]], Table4[ID], Table4[Regular], "Not Found", 0)</f>
        <v>2217</v>
      </c>
      <c r="R1291" s="16">
        <f>_xlfn.XLOOKUP(CustomerCombinedCleaned[[#This Row],[ID]], Table4[ID], Table4[Deals], "Not Found", 0)</f>
        <v>15</v>
      </c>
      <c r="S1291" s="16">
        <f>_xlfn.XLOOKUP(CustomerCombinedCleaned[[#This Row],[ID]], Table4[ID], Table4[Website], "Not Found", 0)</f>
        <v>9</v>
      </c>
      <c r="T1291" s="16">
        <f>_xlfn.XLOOKUP(CustomerCombinedCleaned[[#This Row],[ID]], Table4[ID], Table4[Catalog], "Not Found", 0)</f>
        <v>6</v>
      </c>
      <c r="U1291" s="16">
        <f>_xlfn.XLOOKUP(CustomerCombinedCleaned[[#This Row],[ID]], Table4[ID], Table4[Store], "Not Found", 0)</f>
        <v>9</v>
      </c>
      <c r="V1291" s="16">
        <f>_xlfn.XLOOKUP(CustomerCombinedCleaned[[#This Row],[ID]], Table4[ID], Table4[Visits], "Not Found", 0)</f>
        <v>7</v>
      </c>
      <c r="W1291" s="16">
        <f>_xlfn.XLOOKUP(CustomerCombinedCleaned[[#This Row],[ID]], Table2[ID],Table2[Complaint], "Not Found", 0 )</f>
        <v>0</v>
      </c>
      <c r="X1291" s="16">
        <f>_xlfn.XLOOKUP(CustomerCombinedCleaned[[#This Row],[ID]], Table2[ID],Table2[Pilot], "Not Found", 0 )</f>
        <v>0</v>
      </c>
      <c r="Y1291" s="16">
        <f>_xlfn.XLOOKUP(CustomerCombinedCleaned[[#This Row],[ID]], Table2[ID],Table2[MC1], "Not Found", 0 )</f>
        <v>0</v>
      </c>
      <c r="Z1291" s="16">
        <f>_xlfn.XLOOKUP(CustomerCombinedCleaned[[#This Row],[ID]], Table2[ID],Table2[MC2], "Not Found", 0 )</f>
        <v>0</v>
      </c>
      <c r="AA1291" s="16">
        <f>_xlfn.XLOOKUP(CustomerCombinedCleaned[[#This Row],[ID]], Table2[ID],Table2[MC3], "Not Found", 0 )</f>
        <v>0</v>
      </c>
      <c r="AB1291" s="16">
        <f>_xlfn.XLOOKUP(CustomerCombinedCleaned[[#This Row],[ID]], Table2[ID],Table2[MC4], "Not Found", 0 )</f>
        <v>0</v>
      </c>
      <c r="AC1291" s="16">
        <f>_xlfn.XLOOKUP(CustomerCombinedCleaned[[#This Row],[ID]], Table2[ID],Table2[MC5], "Not Found", 0 )</f>
        <v>0</v>
      </c>
    </row>
    <row r="1292" spans="1:29" x14ac:dyDescent="0.3">
      <c r="A1292" s="18">
        <v>1883</v>
      </c>
      <c r="B1292" s="16">
        <v>166825</v>
      </c>
      <c r="C1292" s="16">
        <v>0</v>
      </c>
      <c r="D1292" s="16">
        <v>0</v>
      </c>
      <c r="E1292" s="16">
        <v>53</v>
      </c>
      <c r="F1292" s="17" t="s">
        <v>8</v>
      </c>
      <c r="G1292" s="17" t="s">
        <v>11</v>
      </c>
      <c r="H1292" s="3" t="s">
        <v>222</v>
      </c>
      <c r="I1292" s="5" t="s">
        <v>434</v>
      </c>
      <c r="J1292" s="16">
        <f>_xlfn.XLOOKUP(CustomerCombinedCleaned[[#This Row],[ID]], Table4[ID], Table4[Recency], "Not Found", 0)</f>
        <v>73</v>
      </c>
      <c r="K1292" s="16">
        <f>_xlfn.XLOOKUP(CustomerCombinedCleaned[[#This Row],[ID]], Table4[ID], Table4[Teas], "Not Found", 0)</f>
        <v>607</v>
      </c>
      <c r="L1292" s="16">
        <f>_xlfn.XLOOKUP(CustomerCombinedCleaned[[#This Row],[ID]], Table4[ID], Table4[Fruits], "Not Found", 0)</f>
        <v>252</v>
      </c>
      <c r="M1292" s="16">
        <f>_xlfn.XLOOKUP(CustomerCombinedCleaned[[#This Row],[ID]], Table4[ID], Table4[Meats], "Not Found", 0)</f>
        <v>1011</v>
      </c>
      <c r="N1292" s="16">
        <f>_xlfn.XLOOKUP(CustomerCombinedCleaned[[#This Row],[ID]], Table4[ID], Table4[Seafood], "Not Found", 0)</f>
        <v>72</v>
      </c>
      <c r="O1292" s="16">
        <f>_xlfn.XLOOKUP(CustomerCombinedCleaned[[#This Row],[ID]], Table4[ID], Table4[Sweets], "Not Found", 0)</f>
        <v>100</v>
      </c>
      <c r="P1292" s="16">
        <f>_xlfn.XLOOKUP(CustomerCombinedCleaned[[#This Row],[ID]], Table4[ID], Table4[Premium], "Not Found", 0)</f>
        <v>100</v>
      </c>
      <c r="Q1292" s="16">
        <f>_xlfn.XLOOKUP(CustomerCombinedCleaned[[#This Row],[ID]], Table4[ID], Table4[Regular], "Not Found", 0)</f>
        <v>1942</v>
      </c>
      <c r="R1292" s="16">
        <f>_xlfn.XLOOKUP(CustomerCombinedCleaned[[#This Row],[ID]], Table4[ID], Table4[Deals], "Not Found", 0)</f>
        <v>1</v>
      </c>
      <c r="S1292" s="16">
        <f>_xlfn.XLOOKUP(CustomerCombinedCleaned[[#This Row],[ID]], Table4[ID], Table4[Website], "Not Found", 0)</f>
        <v>4</v>
      </c>
      <c r="T1292" s="16">
        <f>_xlfn.XLOOKUP(CustomerCombinedCleaned[[#This Row],[ID]], Table4[ID], Table4[Catalog], "Not Found", 0)</f>
        <v>5</v>
      </c>
      <c r="U1292" s="16">
        <f>_xlfn.XLOOKUP(CustomerCombinedCleaned[[#This Row],[ID]], Table4[ID], Table4[Store], "Not Found", 0)</f>
        <v>6</v>
      </c>
      <c r="V1292" s="16">
        <f>_xlfn.XLOOKUP(CustomerCombinedCleaned[[#This Row],[ID]], Table4[ID], Table4[Visits], "Not Found", 0)</f>
        <v>2</v>
      </c>
      <c r="W1292" s="16">
        <f>_xlfn.XLOOKUP(CustomerCombinedCleaned[[#This Row],[ID]], Table2[ID],Table2[Complaint], "Not Found", 0 )</f>
        <v>0</v>
      </c>
      <c r="X1292" s="16">
        <f>_xlfn.XLOOKUP(CustomerCombinedCleaned[[#This Row],[ID]], Table2[ID],Table2[Pilot], "Not Found", 0 )</f>
        <v>0</v>
      </c>
      <c r="Y1292" s="16">
        <f>_xlfn.XLOOKUP(CustomerCombinedCleaned[[#This Row],[ID]], Table2[ID],Table2[MC1], "Not Found", 0 )</f>
        <v>0</v>
      </c>
      <c r="Z1292" s="16">
        <f>_xlfn.XLOOKUP(CustomerCombinedCleaned[[#This Row],[ID]], Table2[ID],Table2[MC2], "Not Found", 0 )</f>
        <v>0</v>
      </c>
      <c r="AA1292" s="16">
        <f>_xlfn.XLOOKUP(CustomerCombinedCleaned[[#This Row],[ID]], Table2[ID],Table2[MC3], "Not Found", 0 )</f>
        <v>0</v>
      </c>
      <c r="AB1292" s="16">
        <f>_xlfn.XLOOKUP(CustomerCombinedCleaned[[#This Row],[ID]], Table2[ID],Table2[MC4], "Not Found", 0 )</f>
        <v>0</v>
      </c>
      <c r="AC1292" s="16">
        <f>_xlfn.XLOOKUP(CustomerCombinedCleaned[[#This Row],[ID]], Table2[ID],Table2[MC5], "Not Found", 0 )</f>
        <v>0</v>
      </c>
    </row>
    <row r="1293" spans="1:29" x14ac:dyDescent="0.3">
      <c r="A1293" s="18">
        <v>1666</v>
      </c>
      <c r="B1293" s="16">
        <v>165777</v>
      </c>
      <c r="C1293" s="16">
        <v>0</v>
      </c>
      <c r="D1293" s="16">
        <v>0</v>
      </c>
      <c r="E1293" s="16">
        <v>53</v>
      </c>
      <c r="F1293" s="17" t="s">
        <v>8</v>
      </c>
      <c r="G1293" s="17" t="s">
        <v>11</v>
      </c>
      <c r="H1293" s="3" t="s">
        <v>129</v>
      </c>
      <c r="I1293" s="5" t="s">
        <v>439</v>
      </c>
      <c r="J1293" s="16">
        <f>_xlfn.XLOOKUP(CustomerCombinedCleaned[[#This Row],[ID]], Table4[ID], Table4[Recency], "Not Found", 0)</f>
        <v>87</v>
      </c>
      <c r="K1293" s="16">
        <f>_xlfn.XLOOKUP(CustomerCombinedCleaned[[#This Row],[ID]], Table4[ID], Table4[Teas], "Not Found", 0)</f>
        <v>1424</v>
      </c>
      <c r="L1293" s="16">
        <f>_xlfn.XLOOKUP(CustomerCombinedCleaned[[#This Row],[ID]], Table4[ID], Table4[Fruits], "Not Found", 0)</f>
        <v>81</v>
      </c>
      <c r="M1293" s="16">
        <f>_xlfn.XLOOKUP(CustomerCombinedCleaned[[#This Row],[ID]], Table4[ID], Table4[Meats], "Not Found", 0)</f>
        <v>1096</v>
      </c>
      <c r="N1293" s="16">
        <f>_xlfn.XLOOKUP(CustomerCombinedCleaned[[#This Row],[ID]], Table4[ID], Table4[Seafood], "Not Found", 0)</f>
        <v>71</v>
      </c>
      <c r="O1293" s="16">
        <f>_xlfn.XLOOKUP(CustomerCombinedCleaned[[#This Row],[ID]], Table4[ID], Table4[Sweets], "Not Found", 0)</f>
        <v>81</v>
      </c>
      <c r="P1293" s="16">
        <f>_xlfn.XLOOKUP(CustomerCombinedCleaned[[#This Row],[ID]], Table4[ID], Table4[Premium], "Not Found", 0)</f>
        <v>136</v>
      </c>
      <c r="Q1293" s="16">
        <f>_xlfn.XLOOKUP(CustomerCombinedCleaned[[#This Row],[ID]], Table4[ID], Table4[Regular], "Not Found", 0)</f>
        <v>2616</v>
      </c>
      <c r="R1293" s="16">
        <f>_xlfn.XLOOKUP(CustomerCombinedCleaned[[#This Row],[ID]], Table4[ID], Table4[Deals], "Not Found", 0)</f>
        <v>1</v>
      </c>
      <c r="S1293" s="16">
        <f>_xlfn.XLOOKUP(CustomerCombinedCleaned[[#This Row],[ID]], Table4[ID], Table4[Website], "Not Found", 0)</f>
        <v>2</v>
      </c>
      <c r="T1293" s="16">
        <f>_xlfn.XLOOKUP(CustomerCombinedCleaned[[#This Row],[ID]], Table4[ID], Table4[Catalog], "Not Found", 0)</f>
        <v>8</v>
      </c>
      <c r="U1293" s="16">
        <f>_xlfn.XLOOKUP(CustomerCombinedCleaned[[#This Row],[ID]], Table4[ID], Table4[Store], "Not Found", 0)</f>
        <v>6</v>
      </c>
      <c r="V1293" s="16">
        <f>_xlfn.XLOOKUP(CustomerCombinedCleaned[[#This Row],[ID]], Table4[ID], Table4[Visits], "Not Found", 0)</f>
        <v>1</v>
      </c>
      <c r="W1293" s="16">
        <f>_xlfn.XLOOKUP(CustomerCombinedCleaned[[#This Row],[ID]], Table2[ID],Table2[Complaint], "Not Found", 0 )</f>
        <v>0</v>
      </c>
      <c r="X1293" s="16">
        <f>_xlfn.XLOOKUP(CustomerCombinedCleaned[[#This Row],[ID]], Table2[ID],Table2[Pilot], "Not Found", 0 )</f>
        <v>0</v>
      </c>
      <c r="Y1293" s="16">
        <f>_xlfn.XLOOKUP(CustomerCombinedCleaned[[#This Row],[ID]], Table2[ID],Table2[MC1], "Not Found", 0 )</f>
        <v>0</v>
      </c>
      <c r="Z1293" s="16">
        <f>_xlfn.XLOOKUP(CustomerCombinedCleaned[[#This Row],[ID]], Table2[ID],Table2[MC2], "Not Found", 0 )</f>
        <v>0</v>
      </c>
      <c r="AA1293" s="16">
        <f>_xlfn.XLOOKUP(CustomerCombinedCleaned[[#This Row],[ID]], Table2[ID],Table2[MC3], "Not Found", 0 )</f>
        <v>0</v>
      </c>
      <c r="AB1293" s="16">
        <f>_xlfn.XLOOKUP(CustomerCombinedCleaned[[#This Row],[ID]], Table2[ID],Table2[MC4], "Not Found", 0 )</f>
        <v>0</v>
      </c>
      <c r="AC1293" s="16">
        <f>_xlfn.XLOOKUP(CustomerCombinedCleaned[[#This Row],[ID]], Table2[ID],Table2[MC5], "Not Found", 0 )</f>
        <v>0</v>
      </c>
    </row>
    <row r="1294" spans="1:29" x14ac:dyDescent="0.3">
      <c r="A1294" s="18">
        <v>3216</v>
      </c>
      <c r="B1294" s="16">
        <v>165090</v>
      </c>
      <c r="C1294" s="16">
        <v>0</v>
      </c>
      <c r="D1294" s="16">
        <v>1</v>
      </c>
      <c r="E1294" s="16">
        <v>53</v>
      </c>
      <c r="F1294" s="17" t="s">
        <v>6</v>
      </c>
      <c r="G1294" s="17" t="s">
        <v>11</v>
      </c>
      <c r="H1294" s="3" t="s">
        <v>239</v>
      </c>
      <c r="I1294" s="5" t="s">
        <v>436</v>
      </c>
      <c r="J1294" s="16">
        <f>_xlfn.XLOOKUP(CustomerCombinedCleaned[[#This Row],[ID]], Table4[ID], Table4[Recency], "Not Found", 0)</f>
        <v>46</v>
      </c>
      <c r="K1294" s="16">
        <f>_xlfn.XLOOKUP(CustomerCombinedCleaned[[#This Row],[ID]], Table4[ID], Table4[Teas], "Not Found", 0)</f>
        <v>1798</v>
      </c>
      <c r="L1294" s="16">
        <f>_xlfn.XLOOKUP(CustomerCombinedCleaned[[#This Row],[ID]], Table4[ID], Table4[Fruits], "Not Found", 0)</f>
        <v>109</v>
      </c>
      <c r="M1294" s="16">
        <f>_xlfn.XLOOKUP(CustomerCombinedCleaned[[#This Row],[ID]], Table4[ID], Table4[Meats], "Not Found", 0)</f>
        <v>462</v>
      </c>
      <c r="N1294" s="16">
        <f>_xlfn.XLOOKUP(CustomerCombinedCleaned[[#This Row],[ID]], Table4[ID], Table4[Seafood], "Not Found", 0)</f>
        <v>107</v>
      </c>
      <c r="O1294" s="16">
        <f>_xlfn.XLOOKUP(CustomerCombinedCleaned[[#This Row],[ID]], Table4[ID], Table4[Sweets], "Not Found", 0)</f>
        <v>299</v>
      </c>
      <c r="P1294" s="16">
        <f>_xlfn.XLOOKUP(CustomerCombinedCleaned[[#This Row],[ID]], Table4[ID], Table4[Premium], "Not Found", 0)</f>
        <v>626</v>
      </c>
      <c r="Q1294" s="16">
        <f>_xlfn.XLOOKUP(CustomerCombinedCleaned[[#This Row],[ID]], Table4[ID], Table4[Regular], "Not Found", 0)</f>
        <v>2148</v>
      </c>
      <c r="R1294" s="16">
        <f>_xlfn.XLOOKUP(CustomerCombinedCleaned[[#This Row],[ID]], Table4[ID], Table4[Deals], "Not Found", 0)</f>
        <v>2</v>
      </c>
      <c r="S1294" s="16">
        <f>_xlfn.XLOOKUP(CustomerCombinedCleaned[[#This Row],[ID]], Table4[ID], Table4[Website], "Not Found", 0)</f>
        <v>0</v>
      </c>
      <c r="T1294" s="16">
        <f>_xlfn.XLOOKUP(CustomerCombinedCleaned[[#This Row],[ID]], Table4[ID], Table4[Catalog], "Not Found", 0)</f>
        <v>3</v>
      </c>
      <c r="U1294" s="16">
        <f>_xlfn.XLOOKUP(CustomerCombinedCleaned[[#This Row],[ID]], Table4[ID], Table4[Store], "Not Found", 0)</f>
        <v>4</v>
      </c>
      <c r="V1294" s="16">
        <f>_xlfn.XLOOKUP(CustomerCombinedCleaned[[#This Row],[ID]], Table4[ID], Table4[Visits], "Not Found", 0)</f>
        <v>5</v>
      </c>
      <c r="W1294" s="16">
        <f>_xlfn.XLOOKUP(CustomerCombinedCleaned[[#This Row],[ID]], Table2[ID],Table2[Complaint], "Not Found", 0 )</f>
        <v>0</v>
      </c>
      <c r="X1294" s="16">
        <f>_xlfn.XLOOKUP(CustomerCombinedCleaned[[#This Row],[ID]], Table2[ID],Table2[Pilot], "Not Found", 0 )</f>
        <v>0</v>
      </c>
      <c r="Y1294" s="16">
        <f>_xlfn.XLOOKUP(CustomerCombinedCleaned[[#This Row],[ID]], Table2[ID],Table2[MC1], "Not Found", 0 )</f>
        <v>0</v>
      </c>
      <c r="Z1294" s="16">
        <f>_xlfn.XLOOKUP(CustomerCombinedCleaned[[#This Row],[ID]], Table2[ID],Table2[MC2], "Not Found", 0 )</f>
        <v>0</v>
      </c>
      <c r="AA1294" s="16">
        <f>_xlfn.XLOOKUP(CustomerCombinedCleaned[[#This Row],[ID]], Table2[ID],Table2[MC3], "Not Found", 0 )</f>
        <v>0</v>
      </c>
      <c r="AB1294" s="16">
        <f>_xlfn.XLOOKUP(CustomerCombinedCleaned[[#This Row],[ID]], Table2[ID],Table2[MC4], "Not Found", 0 )</f>
        <v>0</v>
      </c>
      <c r="AC1294" s="16">
        <f>_xlfn.XLOOKUP(CustomerCombinedCleaned[[#This Row],[ID]], Table2[ID],Table2[MC5], "Not Found", 0 )</f>
        <v>0</v>
      </c>
    </row>
    <row r="1295" spans="1:29" x14ac:dyDescent="0.3">
      <c r="A1295" s="18">
        <v>2641</v>
      </c>
      <c r="B1295" s="16">
        <v>163246</v>
      </c>
      <c r="C1295" s="16">
        <v>0</v>
      </c>
      <c r="D1295" s="16">
        <v>2</v>
      </c>
      <c r="E1295" s="16">
        <v>53</v>
      </c>
      <c r="F1295" s="17" t="s">
        <v>6</v>
      </c>
      <c r="G1295" s="17" t="s">
        <v>13</v>
      </c>
      <c r="H1295" s="3" t="s">
        <v>197</v>
      </c>
      <c r="I1295" s="5" t="s">
        <v>437</v>
      </c>
      <c r="J1295" s="16">
        <f>_xlfn.XLOOKUP(CustomerCombinedCleaned[[#This Row],[ID]], Table4[ID], Table4[Recency], "Not Found", 0)</f>
        <v>60</v>
      </c>
      <c r="K1295" s="16">
        <f>_xlfn.XLOOKUP(CustomerCombinedCleaned[[#This Row],[ID]], Table4[ID], Table4[Teas], "Not Found", 0)</f>
        <v>1531</v>
      </c>
      <c r="L1295" s="16">
        <f>_xlfn.XLOOKUP(CustomerCombinedCleaned[[#This Row],[ID]], Table4[ID], Table4[Fruits], "Not Found", 0)</f>
        <v>77</v>
      </c>
      <c r="M1295" s="16">
        <f>_xlfn.XLOOKUP(CustomerCombinedCleaned[[#This Row],[ID]], Table4[ID], Table4[Meats], "Not Found", 0)</f>
        <v>235</v>
      </c>
      <c r="N1295" s="16">
        <f>_xlfn.XLOOKUP(CustomerCombinedCleaned[[#This Row],[ID]], Table4[ID], Table4[Seafood], "Not Found", 0)</f>
        <v>75</v>
      </c>
      <c r="O1295" s="16">
        <f>_xlfn.XLOOKUP(CustomerCombinedCleaned[[#This Row],[ID]], Table4[ID], Table4[Sweets], "Not Found", 0)</f>
        <v>57</v>
      </c>
      <c r="P1295" s="16">
        <f>_xlfn.XLOOKUP(CustomerCombinedCleaned[[#This Row],[ID]], Table4[ID], Table4[Premium], "Not Found", 0)</f>
        <v>18</v>
      </c>
      <c r="Q1295" s="16">
        <f>_xlfn.XLOOKUP(CustomerCombinedCleaned[[#This Row],[ID]], Table4[ID], Table4[Regular], "Not Found", 0)</f>
        <v>1956</v>
      </c>
      <c r="R1295" s="16">
        <f>_xlfn.XLOOKUP(CustomerCombinedCleaned[[#This Row],[ID]], Table4[ID], Table4[Deals], "Not Found", 0)</f>
        <v>1</v>
      </c>
      <c r="S1295" s="16">
        <f>_xlfn.XLOOKUP(CustomerCombinedCleaned[[#This Row],[ID]], Table4[ID], Table4[Website], "Not Found", 0)</f>
        <v>6</v>
      </c>
      <c r="T1295" s="16">
        <f>_xlfn.XLOOKUP(CustomerCombinedCleaned[[#This Row],[ID]], Table4[ID], Table4[Catalog], "Not Found", 0)</f>
        <v>3</v>
      </c>
      <c r="U1295" s="16">
        <f>_xlfn.XLOOKUP(CustomerCombinedCleaned[[#This Row],[ID]], Table4[ID], Table4[Store], "Not Found", 0)</f>
        <v>12</v>
      </c>
      <c r="V1295" s="16">
        <f>_xlfn.XLOOKUP(CustomerCombinedCleaned[[#This Row],[ID]], Table4[ID], Table4[Visits], "Not Found", 0)</f>
        <v>4</v>
      </c>
      <c r="W1295" s="16">
        <f>_xlfn.XLOOKUP(CustomerCombinedCleaned[[#This Row],[ID]], Table2[ID],Table2[Complaint], "Not Found", 0 )</f>
        <v>0</v>
      </c>
      <c r="X1295" s="16">
        <f>_xlfn.XLOOKUP(CustomerCombinedCleaned[[#This Row],[ID]], Table2[ID],Table2[Pilot], "Not Found", 0 )</f>
        <v>0</v>
      </c>
      <c r="Y1295" s="16">
        <f>_xlfn.XLOOKUP(CustomerCombinedCleaned[[#This Row],[ID]], Table2[ID],Table2[MC1], "Not Found", 0 )</f>
        <v>0</v>
      </c>
      <c r="Z1295" s="16">
        <f>_xlfn.XLOOKUP(CustomerCombinedCleaned[[#This Row],[ID]], Table2[ID],Table2[MC2], "Not Found", 0 )</f>
        <v>0</v>
      </c>
      <c r="AA1295" s="16">
        <f>_xlfn.XLOOKUP(CustomerCombinedCleaned[[#This Row],[ID]], Table2[ID],Table2[MC3], "Not Found", 0 )</f>
        <v>0</v>
      </c>
      <c r="AB1295" s="16">
        <f>_xlfn.XLOOKUP(CustomerCombinedCleaned[[#This Row],[ID]], Table2[ID],Table2[MC4], "Not Found", 0 )</f>
        <v>0</v>
      </c>
      <c r="AC1295" s="16">
        <f>_xlfn.XLOOKUP(CustomerCombinedCleaned[[#This Row],[ID]], Table2[ID],Table2[MC5], "Not Found", 0 )</f>
        <v>0</v>
      </c>
    </row>
    <row r="1296" spans="1:29" x14ac:dyDescent="0.3">
      <c r="A1296" s="18">
        <v>1125</v>
      </c>
      <c r="B1296" s="16">
        <v>162981</v>
      </c>
      <c r="C1296" s="16">
        <v>0</v>
      </c>
      <c r="D1296" s="16">
        <v>0</v>
      </c>
      <c r="E1296" s="16">
        <v>53</v>
      </c>
      <c r="F1296" s="17" t="s">
        <v>8</v>
      </c>
      <c r="G1296" s="17" t="s">
        <v>13</v>
      </c>
      <c r="H1296" s="3" t="s">
        <v>291</v>
      </c>
      <c r="I1296" s="5" t="s">
        <v>435</v>
      </c>
      <c r="J1296" s="16">
        <f>_xlfn.XLOOKUP(CustomerCombinedCleaned[[#This Row],[ID]], Table4[ID], Table4[Recency], "Not Found", 0)</f>
        <v>21</v>
      </c>
      <c r="K1296" s="16">
        <f>_xlfn.XLOOKUP(CustomerCombinedCleaned[[#This Row],[ID]], Table4[ID], Table4[Teas], "Not Found", 0)</f>
        <v>2060</v>
      </c>
      <c r="L1296" s="16">
        <f>_xlfn.XLOOKUP(CustomerCombinedCleaned[[#This Row],[ID]], Table4[ID], Table4[Fruits], "Not Found", 0)</f>
        <v>36</v>
      </c>
      <c r="M1296" s="16">
        <f>_xlfn.XLOOKUP(CustomerCombinedCleaned[[#This Row],[ID]], Table4[ID], Table4[Meats], "Not Found", 0)</f>
        <v>1527</v>
      </c>
      <c r="N1296" s="16">
        <f>_xlfn.XLOOKUP(CustomerCombinedCleaned[[#This Row],[ID]], Table4[ID], Table4[Seafood], "Not Found", 0)</f>
        <v>98</v>
      </c>
      <c r="O1296" s="16">
        <f>_xlfn.XLOOKUP(CustomerCombinedCleaned[[#This Row],[ID]], Table4[ID], Table4[Sweets], "Not Found", 0)</f>
        <v>114</v>
      </c>
      <c r="P1296" s="16">
        <f>_xlfn.XLOOKUP(CustomerCombinedCleaned[[#This Row],[ID]], Table4[ID], Table4[Premium], "Not Found", 0)</f>
        <v>0</v>
      </c>
      <c r="Q1296" s="16">
        <f>_xlfn.XLOOKUP(CustomerCombinedCleaned[[#This Row],[ID]], Table4[ID], Table4[Regular], "Not Found", 0)</f>
        <v>3835</v>
      </c>
      <c r="R1296" s="16">
        <f>_xlfn.XLOOKUP(CustomerCombinedCleaned[[#This Row],[ID]], Table4[ID], Table4[Deals], "Not Found", 0)</f>
        <v>1</v>
      </c>
      <c r="S1296" s="16">
        <f>_xlfn.XLOOKUP(CustomerCombinedCleaned[[#This Row],[ID]], Table4[ID], Table4[Website], "Not Found", 0)</f>
        <v>4</v>
      </c>
      <c r="T1296" s="16">
        <f>_xlfn.XLOOKUP(CustomerCombinedCleaned[[#This Row],[ID]], Table4[ID], Table4[Catalog], "Not Found", 0)</f>
        <v>5</v>
      </c>
      <c r="U1296" s="16">
        <f>_xlfn.XLOOKUP(CustomerCombinedCleaned[[#This Row],[ID]], Table4[ID], Table4[Store], "Not Found", 0)</f>
        <v>13</v>
      </c>
      <c r="V1296" s="16">
        <f>_xlfn.XLOOKUP(CustomerCombinedCleaned[[#This Row],[ID]], Table4[ID], Table4[Visits], "Not Found", 0)</f>
        <v>3</v>
      </c>
      <c r="W1296" s="16">
        <f>_xlfn.XLOOKUP(CustomerCombinedCleaned[[#This Row],[ID]], Table2[ID],Table2[Complaint], "Not Found", 0 )</f>
        <v>0</v>
      </c>
      <c r="X1296" s="16">
        <f>_xlfn.XLOOKUP(CustomerCombinedCleaned[[#This Row],[ID]], Table2[ID],Table2[Pilot], "Not Found", 0 )</f>
        <v>0</v>
      </c>
      <c r="Y1296" s="16">
        <f>_xlfn.XLOOKUP(CustomerCombinedCleaned[[#This Row],[ID]], Table2[ID],Table2[MC1], "Not Found", 0 )</f>
        <v>0</v>
      </c>
      <c r="Z1296" s="16">
        <f>_xlfn.XLOOKUP(CustomerCombinedCleaned[[#This Row],[ID]], Table2[ID],Table2[MC2], "Not Found", 0 )</f>
        <v>0</v>
      </c>
      <c r="AA1296" s="16">
        <f>_xlfn.XLOOKUP(CustomerCombinedCleaned[[#This Row],[ID]], Table2[ID],Table2[MC3], "Not Found", 0 )</f>
        <v>0</v>
      </c>
      <c r="AB1296" s="16">
        <f>_xlfn.XLOOKUP(CustomerCombinedCleaned[[#This Row],[ID]], Table2[ID],Table2[MC4], "Not Found", 0 )</f>
        <v>1</v>
      </c>
      <c r="AC1296" s="16">
        <f>_xlfn.XLOOKUP(CustomerCombinedCleaned[[#This Row],[ID]], Table2[ID],Table2[MC5], "Not Found", 0 )</f>
        <v>0</v>
      </c>
    </row>
    <row r="1297" spans="1:29" x14ac:dyDescent="0.3">
      <c r="A1297" s="18">
        <v>1006</v>
      </c>
      <c r="B1297" s="16">
        <v>162513</v>
      </c>
      <c r="C1297" s="16">
        <v>0</v>
      </c>
      <c r="D1297" s="16">
        <v>1</v>
      </c>
      <c r="E1297" s="16">
        <v>53</v>
      </c>
      <c r="F1297" s="17" t="s">
        <v>8</v>
      </c>
      <c r="G1297" s="17" t="s">
        <v>12</v>
      </c>
      <c r="H1297" s="3" t="s">
        <v>190</v>
      </c>
      <c r="I1297" s="5" t="s">
        <v>439</v>
      </c>
      <c r="J1297" s="16">
        <f>_xlfn.XLOOKUP(CustomerCombinedCleaned[[#This Row],[ID]], Table4[ID], Table4[Recency], "Not Found", 0)</f>
        <v>16</v>
      </c>
      <c r="K1297" s="16">
        <f>_xlfn.XLOOKUP(CustomerCombinedCleaned[[#This Row],[ID]], Table4[ID], Table4[Teas], "Not Found", 0)</f>
        <v>1352</v>
      </c>
      <c r="L1297" s="16">
        <f>_xlfn.XLOOKUP(CustomerCombinedCleaned[[#This Row],[ID]], Table4[ID], Table4[Fruits], "Not Found", 0)</f>
        <v>109</v>
      </c>
      <c r="M1297" s="16">
        <f>_xlfn.XLOOKUP(CustomerCombinedCleaned[[#This Row],[ID]], Table4[ID], Table4[Meats], "Not Found", 0)</f>
        <v>255</v>
      </c>
      <c r="N1297" s="16">
        <f>_xlfn.XLOOKUP(CustomerCombinedCleaned[[#This Row],[ID]], Table4[ID], Table4[Seafood], "Not Found", 0)</f>
        <v>0</v>
      </c>
      <c r="O1297" s="16">
        <f>_xlfn.XLOOKUP(CustomerCombinedCleaned[[#This Row],[ID]], Table4[ID], Table4[Sweets], "Not Found", 0)</f>
        <v>109</v>
      </c>
      <c r="P1297" s="16">
        <f>_xlfn.XLOOKUP(CustomerCombinedCleaned[[#This Row],[ID]], Table4[ID], Table4[Premium], "Not Found", 0)</f>
        <v>36</v>
      </c>
      <c r="Q1297" s="16">
        <f>_xlfn.XLOOKUP(CustomerCombinedCleaned[[#This Row],[ID]], Table4[ID], Table4[Regular], "Not Found", 0)</f>
        <v>1789</v>
      </c>
      <c r="R1297" s="16">
        <f>_xlfn.XLOOKUP(CustomerCombinedCleaned[[#This Row],[ID]], Table4[ID], Table4[Deals], "Not Found", 0)</f>
        <v>2</v>
      </c>
      <c r="S1297" s="16">
        <f>_xlfn.XLOOKUP(CustomerCombinedCleaned[[#This Row],[ID]], Table4[ID], Table4[Website], "Not Found", 0)</f>
        <v>6</v>
      </c>
      <c r="T1297" s="16">
        <f>_xlfn.XLOOKUP(CustomerCombinedCleaned[[#This Row],[ID]], Table4[ID], Table4[Catalog], "Not Found", 0)</f>
        <v>4</v>
      </c>
      <c r="U1297" s="16">
        <f>_xlfn.XLOOKUP(CustomerCombinedCleaned[[#This Row],[ID]], Table4[ID], Table4[Store], "Not Found", 0)</f>
        <v>10</v>
      </c>
      <c r="V1297" s="16">
        <f>_xlfn.XLOOKUP(CustomerCombinedCleaned[[#This Row],[ID]], Table4[ID], Table4[Visits], "Not Found", 0)</f>
        <v>6</v>
      </c>
      <c r="W1297" s="16">
        <f>_xlfn.XLOOKUP(CustomerCombinedCleaned[[#This Row],[ID]], Table2[ID],Table2[Complaint], "Not Found", 0 )</f>
        <v>0</v>
      </c>
      <c r="X1297" s="16">
        <f>_xlfn.XLOOKUP(CustomerCombinedCleaned[[#This Row],[ID]], Table2[ID],Table2[Pilot], "Not Found", 0 )</f>
        <v>0</v>
      </c>
      <c r="Y1297" s="16">
        <f>_xlfn.XLOOKUP(CustomerCombinedCleaned[[#This Row],[ID]], Table2[ID],Table2[MC1], "Not Found", 0 )</f>
        <v>0</v>
      </c>
      <c r="Z1297" s="16">
        <f>_xlfn.XLOOKUP(CustomerCombinedCleaned[[#This Row],[ID]], Table2[ID],Table2[MC2], "Not Found", 0 )</f>
        <v>0</v>
      </c>
      <c r="AA1297" s="16">
        <f>_xlfn.XLOOKUP(CustomerCombinedCleaned[[#This Row],[ID]], Table2[ID],Table2[MC3], "Not Found", 0 )</f>
        <v>0</v>
      </c>
      <c r="AB1297" s="16">
        <f>_xlfn.XLOOKUP(CustomerCombinedCleaned[[#This Row],[ID]], Table2[ID],Table2[MC4], "Not Found", 0 )</f>
        <v>0</v>
      </c>
      <c r="AC1297" s="16">
        <f>_xlfn.XLOOKUP(CustomerCombinedCleaned[[#This Row],[ID]], Table2[ID],Table2[MC5], "Not Found", 0 )</f>
        <v>0</v>
      </c>
    </row>
    <row r="1298" spans="1:29" x14ac:dyDescent="0.3">
      <c r="A1298" s="18">
        <v>3201</v>
      </c>
      <c r="B1298" s="16">
        <v>161223</v>
      </c>
      <c r="C1298" s="16">
        <v>0</v>
      </c>
      <c r="D1298" s="16">
        <v>1</v>
      </c>
      <c r="E1298" s="16">
        <v>53</v>
      </c>
      <c r="F1298" s="17" t="s">
        <v>6</v>
      </c>
      <c r="G1298" s="17" t="s">
        <v>11</v>
      </c>
      <c r="H1298" s="3" t="s">
        <v>239</v>
      </c>
      <c r="I1298" s="5" t="s">
        <v>435</v>
      </c>
      <c r="J1298" s="16">
        <f>_xlfn.XLOOKUP(CustomerCombinedCleaned[[#This Row],[ID]], Table4[ID], Table4[Recency], "Not Found", 0)</f>
        <v>46</v>
      </c>
      <c r="K1298" s="16">
        <f>_xlfn.XLOOKUP(CustomerCombinedCleaned[[#This Row],[ID]], Table4[ID], Table4[Teas], "Not Found", 0)</f>
        <v>1867</v>
      </c>
      <c r="L1298" s="16">
        <f>_xlfn.XLOOKUP(CustomerCombinedCleaned[[#This Row],[ID]], Table4[ID], Table4[Fruits], "Not Found", 0)</f>
        <v>113</v>
      </c>
      <c r="M1298" s="16">
        <f>_xlfn.XLOOKUP(CustomerCombinedCleaned[[#This Row],[ID]], Table4[ID], Table4[Meats], "Not Found", 0)</f>
        <v>479</v>
      </c>
      <c r="N1298" s="16">
        <f>_xlfn.XLOOKUP(CustomerCombinedCleaned[[#This Row],[ID]], Table4[ID], Table4[Seafood], "Not Found", 0)</f>
        <v>111</v>
      </c>
      <c r="O1298" s="16">
        <f>_xlfn.XLOOKUP(CustomerCombinedCleaned[[#This Row],[ID]], Table4[ID], Table4[Sweets], "Not Found", 0)</f>
        <v>311</v>
      </c>
      <c r="P1298" s="16">
        <f>_xlfn.XLOOKUP(CustomerCombinedCleaned[[#This Row],[ID]], Table4[ID], Table4[Premium], "Not Found", 0)</f>
        <v>650</v>
      </c>
      <c r="Q1298" s="16">
        <f>_xlfn.XLOOKUP(CustomerCombinedCleaned[[#This Row],[ID]], Table4[ID], Table4[Regular], "Not Found", 0)</f>
        <v>2230</v>
      </c>
      <c r="R1298" s="16">
        <f>_xlfn.XLOOKUP(CustomerCombinedCleaned[[#This Row],[ID]], Table4[ID], Table4[Deals], "Not Found", 0)</f>
        <v>2</v>
      </c>
      <c r="S1298" s="16">
        <f>_xlfn.XLOOKUP(CustomerCombinedCleaned[[#This Row],[ID]], Table4[ID], Table4[Website], "Not Found", 0)</f>
        <v>9</v>
      </c>
      <c r="T1298" s="16">
        <f>_xlfn.XLOOKUP(CustomerCombinedCleaned[[#This Row],[ID]], Table4[ID], Table4[Catalog], "Not Found", 0)</f>
        <v>3</v>
      </c>
      <c r="U1298" s="16">
        <f>_xlfn.XLOOKUP(CustomerCombinedCleaned[[#This Row],[ID]], Table4[ID], Table4[Store], "Not Found", 0)</f>
        <v>4</v>
      </c>
      <c r="V1298" s="16">
        <f>_xlfn.XLOOKUP(CustomerCombinedCleaned[[#This Row],[ID]], Table4[ID], Table4[Visits], "Not Found", 0)</f>
        <v>5</v>
      </c>
      <c r="W1298" s="16">
        <f>_xlfn.XLOOKUP(CustomerCombinedCleaned[[#This Row],[ID]], Table2[ID],Table2[Complaint], "Not Found", 0 )</f>
        <v>0</v>
      </c>
      <c r="X1298" s="16">
        <f>_xlfn.XLOOKUP(CustomerCombinedCleaned[[#This Row],[ID]], Table2[ID],Table2[Pilot], "Not Found", 0 )</f>
        <v>0</v>
      </c>
      <c r="Y1298" s="16">
        <f>_xlfn.XLOOKUP(CustomerCombinedCleaned[[#This Row],[ID]], Table2[ID],Table2[MC1], "Not Found", 0 )</f>
        <v>0</v>
      </c>
      <c r="Z1298" s="16">
        <f>_xlfn.XLOOKUP(CustomerCombinedCleaned[[#This Row],[ID]], Table2[ID],Table2[MC2], "Not Found", 0 )</f>
        <v>0</v>
      </c>
      <c r="AA1298" s="16">
        <f>_xlfn.XLOOKUP(CustomerCombinedCleaned[[#This Row],[ID]], Table2[ID],Table2[MC3], "Not Found", 0 )</f>
        <v>0</v>
      </c>
      <c r="AB1298" s="16">
        <f>_xlfn.XLOOKUP(CustomerCombinedCleaned[[#This Row],[ID]], Table2[ID],Table2[MC4], "Not Found", 0 )</f>
        <v>0</v>
      </c>
      <c r="AC1298" s="16">
        <f>_xlfn.XLOOKUP(CustomerCombinedCleaned[[#This Row],[ID]], Table2[ID],Table2[MC5], "Not Found", 0 )</f>
        <v>0</v>
      </c>
    </row>
    <row r="1299" spans="1:29" x14ac:dyDescent="0.3">
      <c r="A1299" s="18">
        <v>2515</v>
      </c>
      <c r="B1299" s="16">
        <v>159235</v>
      </c>
      <c r="C1299" s="16">
        <v>1</v>
      </c>
      <c r="D1299" s="16">
        <v>0</v>
      </c>
      <c r="E1299" s="16">
        <v>53</v>
      </c>
      <c r="F1299" s="17" t="s">
        <v>7</v>
      </c>
      <c r="G1299" s="17" t="s">
        <v>12</v>
      </c>
      <c r="H1299" s="3" t="s">
        <v>328</v>
      </c>
      <c r="I1299" s="5" t="s">
        <v>437</v>
      </c>
      <c r="J1299" s="16">
        <f>_xlfn.XLOOKUP(CustomerCombinedCleaned[[#This Row],[ID]], Table4[ID], Table4[Recency], "Not Found", 0)</f>
        <v>4</v>
      </c>
      <c r="K1299" s="16">
        <f>_xlfn.XLOOKUP(CustomerCombinedCleaned[[#This Row],[ID]], Table4[ID], Table4[Teas], "Not Found", 0)</f>
        <v>1204</v>
      </c>
      <c r="L1299" s="16">
        <f>_xlfn.XLOOKUP(CustomerCombinedCleaned[[#This Row],[ID]], Table4[ID], Table4[Fruits], "Not Found", 0)</f>
        <v>108</v>
      </c>
      <c r="M1299" s="16">
        <f>_xlfn.XLOOKUP(CustomerCombinedCleaned[[#This Row],[ID]], Table4[ID], Table4[Meats], "Not Found", 0)</f>
        <v>1261</v>
      </c>
      <c r="N1299" s="16">
        <f>_xlfn.XLOOKUP(CustomerCombinedCleaned[[#This Row],[ID]], Table4[ID], Table4[Seafood], "Not Found", 0)</f>
        <v>215</v>
      </c>
      <c r="O1299" s="16">
        <f>_xlfn.XLOOKUP(CustomerCombinedCleaned[[#This Row],[ID]], Table4[ID], Table4[Sweets], "Not Found", 0)</f>
        <v>0</v>
      </c>
      <c r="P1299" s="16">
        <f>_xlfn.XLOOKUP(CustomerCombinedCleaned[[#This Row],[ID]], Table4[ID], Table4[Premium], "Not Found", 0)</f>
        <v>245</v>
      </c>
      <c r="Q1299" s="16">
        <f>_xlfn.XLOOKUP(CustomerCombinedCleaned[[#This Row],[ID]], Table4[ID], Table4[Regular], "Not Found", 0)</f>
        <v>2543</v>
      </c>
      <c r="R1299" s="16">
        <f>_xlfn.XLOOKUP(CustomerCombinedCleaned[[#This Row],[ID]], Table4[ID], Table4[Deals], "Not Found", 0)</f>
        <v>3</v>
      </c>
      <c r="S1299" s="16">
        <f>_xlfn.XLOOKUP(CustomerCombinedCleaned[[#This Row],[ID]], Table4[ID], Table4[Website], "Not Found", 0)</f>
        <v>11</v>
      </c>
      <c r="T1299" s="16">
        <f>_xlfn.XLOOKUP(CustomerCombinedCleaned[[#This Row],[ID]], Table4[ID], Table4[Catalog], "Not Found", 0)</f>
        <v>2</v>
      </c>
      <c r="U1299" s="16">
        <f>_xlfn.XLOOKUP(CustomerCombinedCleaned[[#This Row],[ID]], Table4[ID], Table4[Store], "Not Found", 0)</f>
        <v>12</v>
      </c>
      <c r="V1299" s="16">
        <f>_xlfn.XLOOKUP(CustomerCombinedCleaned[[#This Row],[ID]], Table4[ID], Table4[Visits], "Not Found", 0)</f>
        <v>7</v>
      </c>
      <c r="W1299" s="16">
        <f>_xlfn.XLOOKUP(CustomerCombinedCleaned[[#This Row],[ID]], Table2[ID],Table2[Complaint], "Not Found", 0 )</f>
        <v>0</v>
      </c>
      <c r="X1299" s="16">
        <f>_xlfn.XLOOKUP(CustomerCombinedCleaned[[#This Row],[ID]], Table2[ID],Table2[Pilot], "Not Found", 0 )</f>
        <v>0</v>
      </c>
      <c r="Y1299" s="16">
        <f>_xlfn.XLOOKUP(CustomerCombinedCleaned[[#This Row],[ID]], Table2[ID],Table2[MC1], "Not Found", 0 )</f>
        <v>0</v>
      </c>
      <c r="Z1299" s="16">
        <f>_xlfn.XLOOKUP(CustomerCombinedCleaned[[#This Row],[ID]], Table2[ID],Table2[MC2], "Not Found", 0 )</f>
        <v>0</v>
      </c>
      <c r="AA1299" s="16">
        <f>_xlfn.XLOOKUP(CustomerCombinedCleaned[[#This Row],[ID]], Table2[ID],Table2[MC3], "Not Found", 0 )</f>
        <v>0</v>
      </c>
      <c r="AB1299" s="16">
        <f>_xlfn.XLOOKUP(CustomerCombinedCleaned[[#This Row],[ID]], Table2[ID],Table2[MC4], "Not Found", 0 )</f>
        <v>0</v>
      </c>
      <c r="AC1299" s="16">
        <f>_xlfn.XLOOKUP(CustomerCombinedCleaned[[#This Row],[ID]], Table2[ID],Table2[MC5], "Not Found", 0 )</f>
        <v>0</v>
      </c>
    </row>
    <row r="1300" spans="1:29" x14ac:dyDescent="0.3">
      <c r="A1300" s="18">
        <v>2222</v>
      </c>
      <c r="B1300" s="16">
        <v>159062</v>
      </c>
      <c r="C1300" s="16">
        <v>2</v>
      </c>
      <c r="D1300" s="16">
        <v>1</v>
      </c>
      <c r="E1300" s="16">
        <v>53</v>
      </c>
      <c r="F1300" s="17" t="s">
        <v>6</v>
      </c>
      <c r="G1300" s="17" t="s">
        <v>13</v>
      </c>
      <c r="H1300" s="3" t="s">
        <v>710</v>
      </c>
      <c r="I1300" s="5" t="s">
        <v>438</v>
      </c>
      <c r="J1300" s="16">
        <f>_xlfn.XLOOKUP(CustomerCombinedCleaned[[#This Row],[ID]], Table4[ID], Table4[Recency], "Not Found", 0)</f>
        <v>74</v>
      </c>
      <c r="K1300" s="16">
        <f>_xlfn.XLOOKUP(CustomerCombinedCleaned[[#This Row],[ID]], Table4[ID], Table4[Teas], "Not Found", 0)</f>
        <v>124</v>
      </c>
      <c r="L1300" s="16">
        <f>_xlfn.XLOOKUP(CustomerCombinedCleaned[[#This Row],[ID]], Table4[ID], Table4[Fruits], "Not Found", 0)</f>
        <v>3</v>
      </c>
      <c r="M1300" s="16">
        <f>_xlfn.XLOOKUP(CustomerCombinedCleaned[[#This Row],[ID]], Table4[ID], Table4[Meats], "Not Found", 0)</f>
        <v>32</v>
      </c>
      <c r="N1300" s="16">
        <f>_xlfn.XLOOKUP(CustomerCombinedCleaned[[#This Row],[ID]], Table4[ID], Table4[Seafood], "Not Found", 0)</f>
        <v>8</v>
      </c>
      <c r="O1300" s="16">
        <f>_xlfn.XLOOKUP(CustomerCombinedCleaned[[#This Row],[ID]], Table4[ID], Table4[Sweets], "Not Found", 0)</f>
        <v>0</v>
      </c>
      <c r="P1300" s="16">
        <f>_xlfn.XLOOKUP(CustomerCombinedCleaned[[#This Row],[ID]], Table4[ID], Table4[Premium], "Not Found", 0)</f>
        <v>24</v>
      </c>
      <c r="Q1300" s="16">
        <f>_xlfn.XLOOKUP(CustomerCombinedCleaned[[#This Row],[ID]], Table4[ID], Table4[Regular], "Not Found", 0)</f>
        <v>143</v>
      </c>
      <c r="R1300" s="16">
        <f>_xlfn.XLOOKUP(CustomerCombinedCleaned[[#This Row],[ID]], Table4[ID], Table4[Deals], "Not Found", 0)</f>
        <v>2</v>
      </c>
      <c r="S1300" s="16">
        <f>_xlfn.XLOOKUP(CustomerCombinedCleaned[[#This Row],[ID]], Table4[ID], Table4[Website], "Not Found", 0)</f>
        <v>2</v>
      </c>
      <c r="T1300" s="16">
        <f>_xlfn.XLOOKUP(CustomerCombinedCleaned[[#This Row],[ID]], Table4[ID], Table4[Catalog], "Not Found", 0)</f>
        <v>0</v>
      </c>
      <c r="U1300" s="16">
        <f>_xlfn.XLOOKUP(CustomerCombinedCleaned[[#This Row],[ID]], Table4[ID], Table4[Store], "Not Found", 0)</f>
        <v>3</v>
      </c>
      <c r="V1300" s="16">
        <f>_xlfn.XLOOKUP(CustomerCombinedCleaned[[#This Row],[ID]], Table4[ID], Table4[Visits], "Not Found", 0)</f>
        <v>4</v>
      </c>
      <c r="W1300" s="16">
        <f>_xlfn.XLOOKUP(CustomerCombinedCleaned[[#This Row],[ID]], Table2[ID],Table2[Complaint], "Not Found", 0 )</f>
        <v>0</v>
      </c>
      <c r="X1300" s="16">
        <f>_xlfn.XLOOKUP(CustomerCombinedCleaned[[#This Row],[ID]], Table2[ID],Table2[Pilot], "Not Found", 0 )</f>
        <v>0</v>
      </c>
      <c r="Y1300" s="16">
        <f>_xlfn.XLOOKUP(CustomerCombinedCleaned[[#This Row],[ID]], Table2[ID],Table2[MC1], "Not Found", 0 )</f>
        <v>0</v>
      </c>
      <c r="Z1300" s="16">
        <f>_xlfn.XLOOKUP(CustomerCombinedCleaned[[#This Row],[ID]], Table2[ID],Table2[MC2], "Not Found", 0 )</f>
        <v>0</v>
      </c>
      <c r="AA1300" s="16">
        <f>_xlfn.XLOOKUP(CustomerCombinedCleaned[[#This Row],[ID]], Table2[ID],Table2[MC3], "Not Found", 0 )</f>
        <v>0</v>
      </c>
      <c r="AB1300" s="16">
        <f>_xlfn.XLOOKUP(CustomerCombinedCleaned[[#This Row],[ID]], Table2[ID],Table2[MC4], "Not Found", 0 )</f>
        <v>0</v>
      </c>
      <c r="AC1300" s="16">
        <f>_xlfn.XLOOKUP(CustomerCombinedCleaned[[#This Row],[ID]], Table2[ID],Table2[MC5], "Not Found", 0 )</f>
        <v>0</v>
      </c>
    </row>
    <row r="1301" spans="1:29" x14ac:dyDescent="0.3">
      <c r="A1301" s="18">
        <v>2624</v>
      </c>
      <c r="B1301" s="16">
        <v>157136</v>
      </c>
      <c r="C1301" s="16">
        <v>0</v>
      </c>
      <c r="D1301" s="16">
        <v>0</v>
      </c>
      <c r="E1301" s="16">
        <v>53</v>
      </c>
      <c r="F1301" s="17" t="s">
        <v>5</v>
      </c>
      <c r="G1301" s="17" t="s">
        <v>11</v>
      </c>
      <c r="H1301" s="3" t="s">
        <v>253</v>
      </c>
      <c r="I1301" s="5" t="s">
        <v>438</v>
      </c>
      <c r="J1301" s="16">
        <f>_xlfn.XLOOKUP(CustomerCombinedCleaned[[#This Row],[ID]], Table4[ID], Table4[Recency], "Not Found", 0)</f>
        <v>18</v>
      </c>
      <c r="K1301" s="16">
        <f>_xlfn.XLOOKUP(CustomerCombinedCleaned[[#This Row],[ID]], Table4[ID], Table4[Teas], "Not Found", 0)</f>
        <v>734</v>
      </c>
      <c r="L1301" s="16">
        <f>_xlfn.XLOOKUP(CustomerCombinedCleaned[[#This Row],[ID]], Table4[ID], Table4[Fruits], "Not Found", 0)</f>
        <v>385</v>
      </c>
      <c r="M1301" s="16">
        <f>_xlfn.XLOOKUP(CustomerCombinedCleaned[[#This Row],[ID]], Table4[ID], Table4[Meats], "Not Found", 0)</f>
        <v>1647</v>
      </c>
      <c r="N1301" s="16">
        <f>_xlfn.XLOOKUP(CustomerCombinedCleaned[[#This Row],[ID]], Table4[ID], Table4[Seafood], "Not Found", 0)</f>
        <v>94</v>
      </c>
      <c r="O1301" s="16">
        <f>_xlfn.XLOOKUP(CustomerCombinedCleaned[[#This Row],[ID]], Table4[ID], Table4[Sweets], "Not Found", 0)</f>
        <v>33</v>
      </c>
      <c r="P1301" s="16">
        <f>_xlfn.XLOOKUP(CustomerCombinedCleaned[[#This Row],[ID]], Table4[ID], Table4[Premium], "Not Found", 0)</f>
        <v>349</v>
      </c>
      <c r="Q1301" s="16">
        <f>_xlfn.XLOOKUP(CustomerCombinedCleaned[[#This Row],[ID]], Table4[ID], Table4[Regular], "Not Found", 0)</f>
        <v>2544</v>
      </c>
      <c r="R1301" s="16">
        <f>_xlfn.XLOOKUP(CustomerCombinedCleaned[[#This Row],[ID]], Table4[ID], Table4[Deals], "Not Found", 0)</f>
        <v>1</v>
      </c>
      <c r="S1301" s="16">
        <f>_xlfn.XLOOKUP(CustomerCombinedCleaned[[#This Row],[ID]], Table4[ID], Table4[Website], "Not Found", 0)</f>
        <v>7</v>
      </c>
      <c r="T1301" s="16">
        <f>_xlfn.XLOOKUP(CustomerCombinedCleaned[[#This Row],[ID]], Table4[ID], Table4[Catalog], "Not Found", 0)</f>
        <v>5</v>
      </c>
      <c r="U1301" s="16">
        <f>_xlfn.XLOOKUP(CustomerCombinedCleaned[[#This Row],[ID]], Table4[ID], Table4[Store], "Not Found", 0)</f>
        <v>7</v>
      </c>
      <c r="V1301" s="16">
        <f>_xlfn.XLOOKUP(CustomerCombinedCleaned[[#This Row],[ID]], Table4[ID], Table4[Visits], "Not Found", 0)</f>
        <v>6</v>
      </c>
      <c r="W1301" s="16">
        <f>_xlfn.XLOOKUP(CustomerCombinedCleaned[[#This Row],[ID]], Table2[ID],Table2[Complaint], "Not Found", 0 )</f>
        <v>0</v>
      </c>
      <c r="X1301" s="16">
        <f>_xlfn.XLOOKUP(CustomerCombinedCleaned[[#This Row],[ID]], Table2[ID],Table2[Pilot], "Not Found", 0 )</f>
        <v>1</v>
      </c>
      <c r="Y1301" s="16">
        <f>_xlfn.XLOOKUP(CustomerCombinedCleaned[[#This Row],[ID]], Table2[ID],Table2[MC1], "Not Found", 0 )</f>
        <v>0</v>
      </c>
      <c r="Z1301" s="16">
        <f>_xlfn.XLOOKUP(CustomerCombinedCleaned[[#This Row],[ID]], Table2[ID],Table2[MC2], "Not Found", 0 )</f>
        <v>0</v>
      </c>
      <c r="AA1301" s="16">
        <f>_xlfn.XLOOKUP(CustomerCombinedCleaned[[#This Row],[ID]], Table2[ID],Table2[MC3], "Not Found", 0 )</f>
        <v>0</v>
      </c>
      <c r="AB1301" s="16">
        <f>_xlfn.XLOOKUP(CustomerCombinedCleaned[[#This Row],[ID]], Table2[ID],Table2[MC4], "Not Found", 0 )</f>
        <v>0</v>
      </c>
      <c r="AC1301" s="16">
        <f>_xlfn.XLOOKUP(CustomerCombinedCleaned[[#This Row],[ID]], Table2[ID],Table2[MC5], "Not Found", 0 )</f>
        <v>0</v>
      </c>
    </row>
    <row r="1302" spans="1:29" x14ac:dyDescent="0.3">
      <c r="A1302" s="18">
        <v>1813</v>
      </c>
      <c r="B1302" s="16">
        <v>156575</v>
      </c>
      <c r="C1302" s="16">
        <v>0</v>
      </c>
      <c r="D1302" s="16">
        <v>2</v>
      </c>
      <c r="E1302" s="16">
        <v>53</v>
      </c>
      <c r="F1302" s="17" t="s">
        <v>8</v>
      </c>
      <c r="G1302" s="17" t="s">
        <v>13</v>
      </c>
      <c r="H1302" s="3" t="s">
        <v>566</v>
      </c>
      <c r="I1302" s="5" t="s">
        <v>437</v>
      </c>
      <c r="J1302" s="16">
        <f>_xlfn.XLOOKUP(CustomerCombinedCleaned[[#This Row],[ID]], Table4[ID], Table4[Recency], "Not Found", 0)</f>
        <v>42</v>
      </c>
      <c r="K1302" s="16">
        <f>_xlfn.XLOOKUP(CustomerCombinedCleaned[[#This Row],[ID]], Table4[ID], Table4[Teas], "Not Found", 0)</f>
        <v>1165</v>
      </c>
      <c r="L1302" s="16">
        <f>_xlfn.XLOOKUP(CustomerCombinedCleaned[[#This Row],[ID]], Table4[ID], Table4[Fruits], "Not Found", 0)</f>
        <v>14</v>
      </c>
      <c r="M1302" s="16">
        <f>_xlfn.XLOOKUP(CustomerCombinedCleaned[[#This Row],[ID]], Table4[ID], Table4[Meats], "Not Found", 0)</f>
        <v>249</v>
      </c>
      <c r="N1302" s="16">
        <f>_xlfn.XLOOKUP(CustomerCombinedCleaned[[#This Row],[ID]], Table4[ID], Table4[Seafood], "Not Found", 0)</f>
        <v>0</v>
      </c>
      <c r="O1302" s="16">
        <f>_xlfn.XLOOKUP(CustomerCombinedCleaned[[#This Row],[ID]], Table4[ID], Table4[Sweets], "Not Found", 0)</f>
        <v>44</v>
      </c>
      <c r="P1302" s="16">
        <f>_xlfn.XLOOKUP(CustomerCombinedCleaned[[#This Row],[ID]], Table4[ID], Table4[Premium], "Not Found", 0)</f>
        <v>28</v>
      </c>
      <c r="Q1302" s="16">
        <f>_xlfn.XLOOKUP(CustomerCombinedCleaned[[#This Row],[ID]], Table4[ID], Table4[Regular], "Not Found", 0)</f>
        <v>1445</v>
      </c>
      <c r="R1302" s="16">
        <f>_xlfn.XLOOKUP(CustomerCombinedCleaned[[#This Row],[ID]], Table4[ID], Table4[Deals], "Not Found", 0)</f>
        <v>3</v>
      </c>
      <c r="S1302" s="16">
        <f>_xlfn.XLOOKUP(CustomerCombinedCleaned[[#This Row],[ID]], Table4[ID], Table4[Website], "Not Found", 0)</f>
        <v>7</v>
      </c>
      <c r="T1302" s="16">
        <f>_xlfn.XLOOKUP(CustomerCombinedCleaned[[#This Row],[ID]], Table4[ID], Table4[Catalog], "Not Found", 0)</f>
        <v>3</v>
      </c>
      <c r="U1302" s="16">
        <f>_xlfn.XLOOKUP(CustomerCombinedCleaned[[#This Row],[ID]], Table4[ID], Table4[Store], "Not Found", 0)</f>
        <v>7</v>
      </c>
      <c r="V1302" s="16">
        <f>_xlfn.XLOOKUP(CustomerCombinedCleaned[[#This Row],[ID]], Table4[ID], Table4[Visits], "Not Found", 0)</f>
        <v>5</v>
      </c>
      <c r="W1302" s="16">
        <f>_xlfn.XLOOKUP(CustomerCombinedCleaned[[#This Row],[ID]], Table2[ID],Table2[Complaint], "Not Found", 0 )</f>
        <v>0</v>
      </c>
      <c r="X1302" s="16">
        <f>_xlfn.XLOOKUP(CustomerCombinedCleaned[[#This Row],[ID]], Table2[ID],Table2[Pilot], "Not Found", 0 )</f>
        <v>0</v>
      </c>
      <c r="Y1302" s="16">
        <f>_xlfn.XLOOKUP(CustomerCombinedCleaned[[#This Row],[ID]], Table2[ID],Table2[MC1], "Not Found", 0 )</f>
        <v>0</v>
      </c>
      <c r="Z1302" s="16">
        <f>_xlfn.XLOOKUP(CustomerCombinedCleaned[[#This Row],[ID]], Table2[ID],Table2[MC2], "Not Found", 0 )</f>
        <v>0</v>
      </c>
      <c r="AA1302" s="16">
        <f>_xlfn.XLOOKUP(CustomerCombinedCleaned[[#This Row],[ID]], Table2[ID],Table2[MC3], "Not Found", 0 )</f>
        <v>0</v>
      </c>
      <c r="AB1302" s="16">
        <f>_xlfn.XLOOKUP(CustomerCombinedCleaned[[#This Row],[ID]], Table2[ID],Table2[MC4], "Not Found", 0 )</f>
        <v>0</v>
      </c>
      <c r="AC1302" s="16">
        <f>_xlfn.XLOOKUP(CustomerCombinedCleaned[[#This Row],[ID]], Table2[ID],Table2[MC5], "Not Found", 0 )</f>
        <v>0</v>
      </c>
    </row>
    <row r="1303" spans="1:29" x14ac:dyDescent="0.3">
      <c r="A1303" s="18">
        <v>2006</v>
      </c>
      <c r="B1303" s="16">
        <v>156320</v>
      </c>
      <c r="C1303" s="16">
        <v>0</v>
      </c>
      <c r="D1303" s="16">
        <v>1</v>
      </c>
      <c r="E1303" s="16">
        <v>53</v>
      </c>
      <c r="F1303" s="17" t="s">
        <v>6</v>
      </c>
      <c r="G1303" s="17" t="s">
        <v>13</v>
      </c>
      <c r="H1303" s="3" t="s">
        <v>281</v>
      </c>
      <c r="I1303" s="5" t="s">
        <v>438</v>
      </c>
      <c r="J1303" s="16">
        <f>_xlfn.XLOOKUP(CustomerCombinedCleaned[[#This Row],[ID]], Table4[ID], Table4[Recency], "Not Found", 0)</f>
        <v>11</v>
      </c>
      <c r="K1303" s="16">
        <f>_xlfn.XLOOKUP(CustomerCombinedCleaned[[#This Row],[ID]], Table4[ID], Table4[Teas], "Not Found", 0)</f>
        <v>558</v>
      </c>
      <c r="L1303" s="16">
        <f>_xlfn.XLOOKUP(CustomerCombinedCleaned[[#This Row],[ID]], Table4[ID], Table4[Fruits], "Not Found", 0)</f>
        <v>147</v>
      </c>
      <c r="M1303" s="16">
        <f>_xlfn.XLOOKUP(CustomerCombinedCleaned[[#This Row],[ID]], Table4[ID], Table4[Meats], "Not Found", 0)</f>
        <v>477</v>
      </c>
      <c r="N1303" s="16">
        <f>_xlfn.XLOOKUP(CustomerCombinedCleaned[[#This Row],[ID]], Table4[ID], Table4[Seafood], "Not Found", 0)</f>
        <v>322</v>
      </c>
      <c r="O1303" s="16">
        <f>_xlfn.XLOOKUP(CustomerCombinedCleaned[[#This Row],[ID]], Table4[ID], Table4[Sweets], "Not Found", 0)</f>
        <v>214</v>
      </c>
      <c r="P1303" s="16">
        <f>_xlfn.XLOOKUP(CustomerCombinedCleaned[[#This Row],[ID]], Table4[ID], Table4[Premium], "Not Found", 0)</f>
        <v>230</v>
      </c>
      <c r="Q1303" s="16">
        <f>_xlfn.XLOOKUP(CustomerCombinedCleaned[[#This Row],[ID]], Table4[ID], Table4[Regular], "Not Found", 0)</f>
        <v>1488</v>
      </c>
      <c r="R1303" s="16">
        <f>_xlfn.XLOOKUP(CustomerCombinedCleaned[[#This Row],[ID]], Table4[ID], Table4[Deals], "Not Found", 0)</f>
        <v>3</v>
      </c>
      <c r="S1303" s="16">
        <f>_xlfn.XLOOKUP(CustomerCombinedCleaned[[#This Row],[ID]], Table4[ID], Table4[Website], "Not Found", 0)</f>
        <v>5</v>
      </c>
      <c r="T1303" s="16">
        <f>_xlfn.XLOOKUP(CustomerCombinedCleaned[[#This Row],[ID]], Table4[ID], Table4[Catalog], "Not Found", 0)</f>
        <v>4</v>
      </c>
      <c r="U1303" s="16">
        <f>_xlfn.XLOOKUP(CustomerCombinedCleaned[[#This Row],[ID]], Table4[ID], Table4[Store], "Not Found", 0)</f>
        <v>9</v>
      </c>
      <c r="V1303" s="16">
        <f>_xlfn.XLOOKUP(CustomerCombinedCleaned[[#This Row],[ID]], Table4[ID], Table4[Visits], "Not Found", 0)</f>
        <v>4</v>
      </c>
      <c r="W1303" s="16">
        <f>_xlfn.XLOOKUP(CustomerCombinedCleaned[[#This Row],[ID]], Table2[ID],Table2[Complaint], "Not Found", 0 )</f>
        <v>0</v>
      </c>
      <c r="X1303" s="16">
        <f>_xlfn.XLOOKUP(CustomerCombinedCleaned[[#This Row],[ID]], Table2[ID],Table2[Pilot], "Not Found", 0 )</f>
        <v>0</v>
      </c>
      <c r="Y1303" s="16">
        <f>_xlfn.XLOOKUP(CustomerCombinedCleaned[[#This Row],[ID]], Table2[ID],Table2[MC1], "Not Found", 0 )</f>
        <v>0</v>
      </c>
      <c r="Z1303" s="16">
        <f>_xlfn.XLOOKUP(CustomerCombinedCleaned[[#This Row],[ID]], Table2[ID],Table2[MC2], "Not Found", 0 )</f>
        <v>0</v>
      </c>
      <c r="AA1303" s="16">
        <f>_xlfn.XLOOKUP(CustomerCombinedCleaned[[#This Row],[ID]], Table2[ID],Table2[MC3], "Not Found", 0 )</f>
        <v>0</v>
      </c>
      <c r="AB1303" s="16">
        <f>_xlfn.XLOOKUP(CustomerCombinedCleaned[[#This Row],[ID]], Table2[ID],Table2[MC4], "Not Found", 0 )</f>
        <v>0</v>
      </c>
      <c r="AC1303" s="16">
        <f>_xlfn.XLOOKUP(CustomerCombinedCleaned[[#This Row],[ID]], Table2[ID],Table2[MC5], "Not Found", 0 )</f>
        <v>0</v>
      </c>
    </row>
    <row r="1304" spans="1:29" x14ac:dyDescent="0.3">
      <c r="A1304" s="18">
        <v>1084</v>
      </c>
      <c r="B1304" s="16">
        <v>154178</v>
      </c>
      <c r="C1304" s="16">
        <v>0</v>
      </c>
      <c r="D1304" s="16">
        <v>1</v>
      </c>
      <c r="E1304" s="16">
        <v>53</v>
      </c>
      <c r="F1304" s="17" t="s">
        <v>8</v>
      </c>
      <c r="G1304" s="17" t="s">
        <v>11</v>
      </c>
      <c r="H1304" s="3" t="s">
        <v>111</v>
      </c>
      <c r="I1304" s="5" t="s">
        <v>439</v>
      </c>
      <c r="J1304" s="16">
        <f>_xlfn.XLOOKUP(CustomerCombinedCleaned[[#This Row],[ID]], Table4[ID], Table4[Recency], "Not Found", 0)</f>
        <v>79</v>
      </c>
      <c r="K1304" s="16">
        <f>_xlfn.XLOOKUP(CustomerCombinedCleaned[[#This Row],[ID]], Table4[ID], Table4[Teas], "Not Found", 0)</f>
        <v>384</v>
      </c>
      <c r="L1304" s="16">
        <f>_xlfn.XLOOKUP(CustomerCombinedCleaned[[#This Row],[ID]], Table4[ID], Table4[Fruits], "Not Found", 0)</f>
        <v>26</v>
      </c>
      <c r="M1304" s="16">
        <f>_xlfn.XLOOKUP(CustomerCombinedCleaned[[#This Row],[ID]], Table4[ID], Table4[Meats], "Not Found", 0)</f>
        <v>111</v>
      </c>
      <c r="N1304" s="16">
        <f>_xlfn.XLOOKUP(CustomerCombinedCleaned[[#This Row],[ID]], Table4[ID], Table4[Seafood], "Not Found", 0)</f>
        <v>11</v>
      </c>
      <c r="O1304" s="16">
        <f>_xlfn.XLOOKUP(CustomerCombinedCleaned[[#This Row],[ID]], Table4[ID], Table4[Sweets], "Not Found", 0)</f>
        <v>0</v>
      </c>
      <c r="P1304" s="16">
        <f>_xlfn.XLOOKUP(CustomerCombinedCleaned[[#This Row],[ID]], Table4[ID], Table4[Premium], "Not Found", 0)</f>
        <v>20</v>
      </c>
      <c r="Q1304" s="16">
        <f>_xlfn.XLOOKUP(CustomerCombinedCleaned[[#This Row],[ID]], Table4[ID], Table4[Regular], "Not Found", 0)</f>
        <v>512</v>
      </c>
      <c r="R1304" s="16">
        <f>_xlfn.XLOOKUP(CustomerCombinedCleaned[[#This Row],[ID]], Table4[ID], Table4[Deals], "Not Found", 0)</f>
        <v>1</v>
      </c>
      <c r="S1304" s="16">
        <f>_xlfn.XLOOKUP(CustomerCombinedCleaned[[#This Row],[ID]], Table4[ID], Table4[Website], "Not Found", 0)</f>
        <v>2</v>
      </c>
      <c r="T1304" s="16">
        <f>_xlfn.XLOOKUP(CustomerCombinedCleaned[[#This Row],[ID]], Table4[ID], Table4[Catalog], "Not Found", 0)</f>
        <v>2</v>
      </c>
      <c r="U1304" s="16">
        <f>_xlfn.XLOOKUP(CustomerCombinedCleaned[[#This Row],[ID]], Table4[ID], Table4[Store], "Not Found", 0)</f>
        <v>5</v>
      </c>
      <c r="V1304" s="16">
        <f>_xlfn.XLOOKUP(CustomerCombinedCleaned[[#This Row],[ID]], Table4[ID], Table4[Visits], "Not Found", 0)</f>
        <v>2</v>
      </c>
      <c r="W1304" s="16">
        <f>_xlfn.XLOOKUP(CustomerCombinedCleaned[[#This Row],[ID]], Table2[ID],Table2[Complaint], "Not Found", 0 )</f>
        <v>0</v>
      </c>
      <c r="X1304" s="16">
        <f>_xlfn.XLOOKUP(CustomerCombinedCleaned[[#This Row],[ID]], Table2[ID],Table2[Pilot], "Not Found", 0 )</f>
        <v>0</v>
      </c>
      <c r="Y1304" s="16">
        <f>_xlfn.XLOOKUP(CustomerCombinedCleaned[[#This Row],[ID]], Table2[ID],Table2[MC1], "Not Found", 0 )</f>
        <v>0</v>
      </c>
      <c r="Z1304" s="16">
        <f>_xlfn.XLOOKUP(CustomerCombinedCleaned[[#This Row],[ID]], Table2[ID],Table2[MC2], "Not Found", 0 )</f>
        <v>0</v>
      </c>
      <c r="AA1304" s="16">
        <f>_xlfn.XLOOKUP(CustomerCombinedCleaned[[#This Row],[ID]], Table2[ID],Table2[MC3], "Not Found", 0 )</f>
        <v>0</v>
      </c>
      <c r="AB1304" s="16">
        <f>_xlfn.XLOOKUP(CustomerCombinedCleaned[[#This Row],[ID]], Table2[ID],Table2[MC4], "Not Found", 0 )</f>
        <v>0</v>
      </c>
      <c r="AC1304" s="16">
        <f>_xlfn.XLOOKUP(CustomerCombinedCleaned[[#This Row],[ID]], Table2[ID],Table2[MC5], "Not Found", 0 )</f>
        <v>0</v>
      </c>
    </row>
    <row r="1305" spans="1:29" x14ac:dyDescent="0.3">
      <c r="A1305" s="18">
        <v>2570</v>
      </c>
      <c r="B1305" s="16">
        <v>152569</v>
      </c>
      <c r="C1305" s="16">
        <v>0</v>
      </c>
      <c r="D1305" s="16">
        <v>1</v>
      </c>
      <c r="E1305" s="16">
        <v>53</v>
      </c>
      <c r="F1305" s="17" t="s">
        <v>7</v>
      </c>
      <c r="G1305" s="17" t="s">
        <v>13</v>
      </c>
      <c r="H1305" s="3" t="s">
        <v>563</v>
      </c>
      <c r="I1305" s="5" t="s">
        <v>438</v>
      </c>
      <c r="J1305" s="16">
        <f>_xlfn.XLOOKUP(CustomerCombinedCleaned[[#This Row],[ID]], Table4[ID], Table4[Recency], "Not Found", 0)</f>
        <v>54</v>
      </c>
      <c r="K1305" s="16">
        <f>_xlfn.XLOOKUP(CustomerCombinedCleaned[[#This Row],[ID]], Table4[ID], Table4[Teas], "Not Found", 0)</f>
        <v>247</v>
      </c>
      <c r="L1305" s="16">
        <f>_xlfn.XLOOKUP(CustomerCombinedCleaned[[#This Row],[ID]], Table4[ID], Table4[Fruits], "Not Found", 0)</f>
        <v>0</v>
      </c>
      <c r="M1305" s="16">
        <f>_xlfn.XLOOKUP(CustomerCombinedCleaned[[#This Row],[ID]], Table4[ID], Table4[Meats], "Not Found", 0)</f>
        <v>9</v>
      </c>
      <c r="N1305" s="16">
        <f>_xlfn.XLOOKUP(CustomerCombinedCleaned[[#This Row],[ID]], Table4[ID], Table4[Seafood], "Not Found", 0)</f>
        <v>0</v>
      </c>
      <c r="O1305" s="16">
        <f>_xlfn.XLOOKUP(CustomerCombinedCleaned[[#This Row],[ID]], Table4[ID], Table4[Sweets], "Not Found", 0)</f>
        <v>0</v>
      </c>
      <c r="P1305" s="16">
        <f>_xlfn.XLOOKUP(CustomerCombinedCleaned[[#This Row],[ID]], Table4[ID], Table4[Premium], "Not Found", 0)</f>
        <v>20</v>
      </c>
      <c r="Q1305" s="16">
        <f>_xlfn.XLOOKUP(CustomerCombinedCleaned[[#This Row],[ID]], Table4[ID], Table4[Regular], "Not Found", 0)</f>
        <v>235</v>
      </c>
      <c r="R1305" s="16">
        <f>_xlfn.XLOOKUP(CustomerCombinedCleaned[[#This Row],[ID]], Table4[ID], Table4[Deals], "Not Found", 0)</f>
        <v>1</v>
      </c>
      <c r="S1305" s="16">
        <f>_xlfn.XLOOKUP(CustomerCombinedCleaned[[#This Row],[ID]], Table4[ID], Table4[Website], "Not Found", 0)</f>
        <v>2</v>
      </c>
      <c r="T1305" s="16">
        <f>_xlfn.XLOOKUP(CustomerCombinedCleaned[[#This Row],[ID]], Table4[ID], Table4[Catalog], "Not Found", 0)</f>
        <v>0</v>
      </c>
      <c r="U1305" s="16">
        <f>_xlfn.XLOOKUP(CustomerCombinedCleaned[[#This Row],[ID]], Table4[ID], Table4[Store], "Not Found", 0)</f>
        <v>4</v>
      </c>
      <c r="V1305" s="16">
        <f>_xlfn.XLOOKUP(CustomerCombinedCleaned[[#This Row],[ID]], Table4[ID], Table4[Visits], "Not Found", 0)</f>
        <v>3</v>
      </c>
      <c r="W1305" s="16">
        <f>_xlfn.XLOOKUP(CustomerCombinedCleaned[[#This Row],[ID]], Table2[ID],Table2[Complaint], "Not Found", 0 )</f>
        <v>0</v>
      </c>
      <c r="X1305" s="16">
        <f>_xlfn.XLOOKUP(CustomerCombinedCleaned[[#This Row],[ID]], Table2[ID],Table2[Pilot], "Not Found", 0 )</f>
        <v>0</v>
      </c>
      <c r="Y1305" s="16">
        <f>_xlfn.XLOOKUP(CustomerCombinedCleaned[[#This Row],[ID]], Table2[ID],Table2[MC1], "Not Found", 0 )</f>
        <v>0</v>
      </c>
      <c r="Z1305" s="16">
        <f>_xlfn.XLOOKUP(CustomerCombinedCleaned[[#This Row],[ID]], Table2[ID],Table2[MC2], "Not Found", 0 )</f>
        <v>0</v>
      </c>
      <c r="AA1305" s="16">
        <f>_xlfn.XLOOKUP(CustomerCombinedCleaned[[#This Row],[ID]], Table2[ID],Table2[MC3], "Not Found", 0 )</f>
        <v>0</v>
      </c>
      <c r="AB1305" s="16">
        <f>_xlfn.XLOOKUP(CustomerCombinedCleaned[[#This Row],[ID]], Table2[ID],Table2[MC4], "Not Found", 0 )</f>
        <v>0</v>
      </c>
      <c r="AC1305" s="16">
        <f>_xlfn.XLOOKUP(CustomerCombinedCleaned[[#This Row],[ID]], Table2[ID],Table2[MC5], "Not Found", 0 )</f>
        <v>0</v>
      </c>
    </row>
    <row r="1306" spans="1:29" x14ac:dyDescent="0.3">
      <c r="A1306" s="18">
        <v>1163</v>
      </c>
      <c r="B1306" s="16">
        <v>152074</v>
      </c>
      <c r="C1306" s="16">
        <v>0</v>
      </c>
      <c r="D1306" s="16">
        <v>1</v>
      </c>
      <c r="E1306" s="16">
        <v>53</v>
      </c>
      <c r="F1306" s="17" t="s">
        <v>7</v>
      </c>
      <c r="G1306" s="17" t="s">
        <v>11</v>
      </c>
      <c r="H1306" s="3" t="s">
        <v>744</v>
      </c>
      <c r="I1306" s="5" t="s">
        <v>434</v>
      </c>
      <c r="J1306" s="16">
        <f>_xlfn.XLOOKUP(CustomerCombinedCleaned[[#This Row],[ID]], Table4[ID], Table4[Recency], "Not Found", 0)</f>
        <v>77</v>
      </c>
      <c r="K1306" s="16">
        <f>_xlfn.XLOOKUP(CustomerCombinedCleaned[[#This Row],[ID]], Table4[ID], Table4[Teas], "Not Found", 0)</f>
        <v>172</v>
      </c>
      <c r="L1306" s="16">
        <f>_xlfn.XLOOKUP(CustomerCombinedCleaned[[#This Row],[ID]], Table4[ID], Table4[Fruits], "Not Found", 0)</f>
        <v>0</v>
      </c>
      <c r="M1306" s="16">
        <f>_xlfn.XLOOKUP(CustomerCombinedCleaned[[#This Row],[ID]], Table4[ID], Table4[Meats], "Not Found", 0)</f>
        <v>35</v>
      </c>
      <c r="N1306" s="16">
        <f>_xlfn.XLOOKUP(CustomerCombinedCleaned[[#This Row],[ID]], Table4[ID], Table4[Seafood], "Not Found", 0)</f>
        <v>0</v>
      </c>
      <c r="O1306" s="16">
        <f>_xlfn.XLOOKUP(CustomerCombinedCleaned[[#This Row],[ID]], Table4[ID], Table4[Sweets], "Not Found", 0)</f>
        <v>0</v>
      </c>
      <c r="P1306" s="16">
        <f>_xlfn.XLOOKUP(CustomerCombinedCleaned[[#This Row],[ID]], Table4[ID], Table4[Premium], "Not Found", 0)</f>
        <v>140</v>
      </c>
      <c r="Q1306" s="16">
        <f>_xlfn.XLOOKUP(CustomerCombinedCleaned[[#This Row],[ID]], Table4[ID], Table4[Regular], "Not Found", 0)</f>
        <v>67</v>
      </c>
      <c r="R1306" s="16">
        <f>_xlfn.XLOOKUP(CustomerCombinedCleaned[[#This Row],[ID]], Table4[ID], Table4[Deals], "Not Found", 0)</f>
        <v>1</v>
      </c>
      <c r="S1306" s="16">
        <f>_xlfn.XLOOKUP(CustomerCombinedCleaned[[#This Row],[ID]], Table4[ID], Table4[Website], "Not Found", 0)</f>
        <v>2</v>
      </c>
      <c r="T1306" s="16">
        <f>_xlfn.XLOOKUP(CustomerCombinedCleaned[[#This Row],[ID]], Table4[ID], Table4[Catalog], "Not Found", 0)</f>
        <v>2</v>
      </c>
      <c r="U1306" s="16">
        <f>_xlfn.XLOOKUP(CustomerCombinedCleaned[[#This Row],[ID]], Table4[ID], Table4[Store], "Not Found", 0)</f>
        <v>2</v>
      </c>
      <c r="V1306" s="16">
        <f>_xlfn.XLOOKUP(CustomerCombinedCleaned[[#This Row],[ID]], Table4[ID], Table4[Visits], "Not Found", 0)</f>
        <v>4</v>
      </c>
      <c r="W1306" s="16">
        <f>_xlfn.XLOOKUP(CustomerCombinedCleaned[[#This Row],[ID]], Table2[ID],Table2[Complaint], "Not Found", 0 )</f>
        <v>0</v>
      </c>
      <c r="X1306" s="16">
        <f>_xlfn.XLOOKUP(CustomerCombinedCleaned[[#This Row],[ID]], Table2[ID],Table2[Pilot], "Not Found", 0 )</f>
        <v>0</v>
      </c>
      <c r="Y1306" s="16">
        <f>_xlfn.XLOOKUP(CustomerCombinedCleaned[[#This Row],[ID]], Table2[ID],Table2[MC1], "Not Found", 0 )</f>
        <v>0</v>
      </c>
      <c r="Z1306" s="16">
        <f>_xlfn.XLOOKUP(CustomerCombinedCleaned[[#This Row],[ID]], Table2[ID],Table2[MC2], "Not Found", 0 )</f>
        <v>0</v>
      </c>
      <c r="AA1306" s="16">
        <f>_xlfn.XLOOKUP(CustomerCombinedCleaned[[#This Row],[ID]], Table2[ID],Table2[MC3], "Not Found", 0 )</f>
        <v>1</v>
      </c>
      <c r="AB1306" s="16">
        <f>_xlfn.XLOOKUP(CustomerCombinedCleaned[[#This Row],[ID]], Table2[ID],Table2[MC4], "Not Found", 0 )</f>
        <v>0</v>
      </c>
      <c r="AC1306" s="16">
        <f>_xlfn.XLOOKUP(CustomerCombinedCleaned[[#This Row],[ID]], Table2[ID],Table2[MC5], "Not Found", 0 )</f>
        <v>0</v>
      </c>
    </row>
    <row r="1307" spans="1:29" x14ac:dyDescent="0.3">
      <c r="A1307" s="18">
        <v>1348</v>
      </c>
      <c r="B1307" s="16">
        <v>151479</v>
      </c>
      <c r="C1307" s="16">
        <v>1</v>
      </c>
      <c r="D1307" s="16">
        <v>1</v>
      </c>
      <c r="E1307" s="16">
        <v>53</v>
      </c>
      <c r="F1307" s="17" t="s">
        <v>6</v>
      </c>
      <c r="G1307" s="17" t="s">
        <v>11</v>
      </c>
      <c r="H1307" s="3" t="s">
        <v>746</v>
      </c>
      <c r="I1307" s="5" t="s">
        <v>439</v>
      </c>
      <c r="J1307" s="16">
        <f>_xlfn.XLOOKUP(CustomerCombinedCleaned[[#This Row],[ID]], Table4[ID], Table4[Recency], "Not Found", 0)</f>
        <v>67</v>
      </c>
      <c r="K1307" s="16">
        <f>_xlfn.XLOOKUP(CustomerCombinedCleaned[[#This Row],[ID]], Table4[ID], Table4[Teas], "Not Found", 0)</f>
        <v>727</v>
      </c>
      <c r="L1307" s="16">
        <f>_xlfn.XLOOKUP(CustomerCombinedCleaned[[#This Row],[ID]], Table4[ID], Table4[Fruits], "Not Found", 0)</f>
        <v>24</v>
      </c>
      <c r="M1307" s="16">
        <f>_xlfn.XLOOKUP(CustomerCombinedCleaned[[#This Row],[ID]], Table4[ID], Table4[Meats], "Not Found", 0)</f>
        <v>471</v>
      </c>
      <c r="N1307" s="16">
        <f>_xlfn.XLOOKUP(CustomerCombinedCleaned[[#This Row],[ID]], Table4[ID], Table4[Seafood], "Not Found", 0)</f>
        <v>18</v>
      </c>
      <c r="O1307" s="16">
        <f>_xlfn.XLOOKUP(CustomerCombinedCleaned[[#This Row],[ID]], Table4[ID], Table4[Sweets], "Not Found", 0)</f>
        <v>24</v>
      </c>
      <c r="P1307" s="16">
        <f>_xlfn.XLOOKUP(CustomerCombinedCleaned[[#This Row],[ID]], Table4[ID], Table4[Premium], "Not Found", 0)</f>
        <v>191</v>
      </c>
      <c r="Q1307" s="16">
        <f>_xlfn.XLOOKUP(CustomerCombinedCleaned[[#This Row],[ID]], Table4[ID], Table4[Regular], "Not Found", 0)</f>
        <v>1071</v>
      </c>
      <c r="R1307" s="16">
        <f>_xlfn.XLOOKUP(CustomerCombinedCleaned[[#This Row],[ID]], Table4[ID], Table4[Deals], "Not Found", 0)</f>
        <v>7</v>
      </c>
      <c r="S1307" s="16">
        <f>_xlfn.XLOOKUP(CustomerCombinedCleaned[[#This Row],[ID]], Table4[ID], Table4[Website], "Not Found", 0)</f>
        <v>6</v>
      </c>
      <c r="T1307" s="16">
        <f>_xlfn.XLOOKUP(CustomerCombinedCleaned[[#This Row],[ID]], Table4[ID], Table4[Catalog], "Not Found", 0)</f>
        <v>3</v>
      </c>
      <c r="U1307" s="16">
        <f>_xlfn.XLOOKUP(CustomerCombinedCleaned[[#This Row],[ID]], Table4[ID], Table4[Store], "Not Found", 0)</f>
        <v>6</v>
      </c>
      <c r="V1307" s="16">
        <f>_xlfn.XLOOKUP(CustomerCombinedCleaned[[#This Row],[ID]], Table4[ID], Table4[Visits], "Not Found", 0)</f>
        <v>7</v>
      </c>
      <c r="W1307" s="16">
        <f>_xlfn.XLOOKUP(CustomerCombinedCleaned[[#This Row],[ID]], Table2[ID],Table2[Complaint], "Not Found", 0 )</f>
        <v>0</v>
      </c>
      <c r="X1307" s="16">
        <f>_xlfn.XLOOKUP(CustomerCombinedCleaned[[#This Row],[ID]], Table2[ID],Table2[Pilot], "Not Found", 0 )</f>
        <v>0</v>
      </c>
      <c r="Y1307" s="16">
        <f>_xlfn.XLOOKUP(CustomerCombinedCleaned[[#This Row],[ID]], Table2[ID],Table2[MC1], "Not Found", 0 )</f>
        <v>0</v>
      </c>
      <c r="Z1307" s="16">
        <f>_xlfn.XLOOKUP(CustomerCombinedCleaned[[#This Row],[ID]], Table2[ID],Table2[MC2], "Not Found", 0 )</f>
        <v>0</v>
      </c>
      <c r="AA1307" s="16">
        <f>_xlfn.XLOOKUP(CustomerCombinedCleaned[[#This Row],[ID]], Table2[ID],Table2[MC3], "Not Found", 0 )</f>
        <v>0</v>
      </c>
      <c r="AB1307" s="16">
        <f>_xlfn.XLOOKUP(CustomerCombinedCleaned[[#This Row],[ID]], Table2[ID],Table2[MC4], "Not Found", 0 )</f>
        <v>0</v>
      </c>
      <c r="AC1307" s="16">
        <f>_xlfn.XLOOKUP(CustomerCombinedCleaned[[#This Row],[ID]], Table2[ID],Table2[MC5], "Not Found", 0 )</f>
        <v>0</v>
      </c>
    </row>
    <row r="1308" spans="1:29" x14ac:dyDescent="0.3">
      <c r="A1308" s="18">
        <v>1566</v>
      </c>
      <c r="B1308" s="16">
        <v>147821</v>
      </c>
      <c r="C1308" s="16">
        <v>1</v>
      </c>
      <c r="D1308" s="16">
        <v>1</v>
      </c>
      <c r="E1308" s="16">
        <v>53</v>
      </c>
      <c r="F1308" s="17" t="s">
        <v>8</v>
      </c>
      <c r="G1308" s="17" t="s">
        <v>11</v>
      </c>
      <c r="H1308" s="3" t="s">
        <v>162</v>
      </c>
      <c r="I1308" s="5" t="s">
        <v>436</v>
      </c>
      <c r="J1308" s="16">
        <f>_xlfn.XLOOKUP(CustomerCombinedCleaned[[#This Row],[ID]], Table4[ID], Table4[Recency], "Not Found", 0)</f>
        <v>54</v>
      </c>
      <c r="K1308" s="16">
        <f>_xlfn.XLOOKUP(CustomerCombinedCleaned[[#This Row],[ID]], Table4[ID], Table4[Teas], "Not Found", 0)</f>
        <v>28</v>
      </c>
      <c r="L1308" s="16">
        <f>_xlfn.XLOOKUP(CustomerCombinedCleaned[[#This Row],[ID]], Table4[ID], Table4[Fruits], "Not Found", 0)</f>
        <v>0</v>
      </c>
      <c r="M1308" s="16">
        <f>_xlfn.XLOOKUP(CustomerCombinedCleaned[[#This Row],[ID]], Table4[ID], Table4[Meats], "Not Found", 0)</f>
        <v>49</v>
      </c>
      <c r="N1308" s="16">
        <f>_xlfn.XLOOKUP(CustomerCombinedCleaned[[#This Row],[ID]], Table4[ID], Table4[Seafood], "Not Found", 0)</f>
        <v>19</v>
      </c>
      <c r="O1308" s="16">
        <f>_xlfn.XLOOKUP(CustomerCombinedCleaned[[#This Row],[ID]], Table4[ID], Table4[Sweets], "Not Found", 0)</f>
        <v>19</v>
      </c>
      <c r="P1308" s="16">
        <f>_xlfn.XLOOKUP(CustomerCombinedCleaned[[#This Row],[ID]], Table4[ID], Table4[Premium], "Not Found", 0)</f>
        <v>31</v>
      </c>
      <c r="Q1308" s="16">
        <f>_xlfn.XLOOKUP(CustomerCombinedCleaned[[#This Row],[ID]], Table4[ID], Table4[Regular], "Not Found", 0)</f>
        <v>83</v>
      </c>
      <c r="R1308" s="16">
        <f>_xlfn.XLOOKUP(CustomerCombinedCleaned[[#This Row],[ID]], Table4[ID], Table4[Deals], "Not Found", 0)</f>
        <v>1</v>
      </c>
      <c r="S1308" s="16">
        <f>_xlfn.XLOOKUP(CustomerCombinedCleaned[[#This Row],[ID]], Table4[ID], Table4[Website], "Not Found", 0)</f>
        <v>1</v>
      </c>
      <c r="T1308" s="16">
        <f>_xlfn.XLOOKUP(CustomerCombinedCleaned[[#This Row],[ID]], Table4[ID], Table4[Catalog], "Not Found", 0)</f>
        <v>0</v>
      </c>
      <c r="U1308" s="16">
        <f>_xlfn.XLOOKUP(CustomerCombinedCleaned[[#This Row],[ID]], Table4[ID], Table4[Store], "Not Found", 0)</f>
        <v>3</v>
      </c>
      <c r="V1308" s="16">
        <f>_xlfn.XLOOKUP(CustomerCombinedCleaned[[#This Row],[ID]], Table4[ID], Table4[Visits], "Not Found", 0)</f>
        <v>8</v>
      </c>
      <c r="W1308" s="16">
        <f>_xlfn.XLOOKUP(CustomerCombinedCleaned[[#This Row],[ID]], Table2[ID],Table2[Complaint], "Not Found", 0 )</f>
        <v>0</v>
      </c>
      <c r="X1308" s="16">
        <f>_xlfn.XLOOKUP(CustomerCombinedCleaned[[#This Row],[ID]], Table2[ID],Table2[Pilot], "Not Found", 0 )</f>
        <v>0</v>
      </c>
      <c r="Y1308" s="16">
        <f>_xlfn.XLOOKUP(CustomerCombinedCleaned[[#This Row],[ID]], Table2[ID],Table2[MC1], "Not Found", 0 )</f>
        <v>0</v>
      </c>
      <c r="Z1308" s="16">
        <f>_xlfn.XLOOKUP(CustomerCombinedCleaned[[#This Row],[ID]], Table2[ID],Table2[MC2], "Not Found", 0 )</f>
        <v>0</v>
      </c>
      <c r="AA1308" s="16">
        <f>_xlfn.XLOOKUP(CustomerCombinedCleaned[[#This Row],[ID]], Table2[ID],Table2[MC3], "Not Found", 0 )</f>
        <v>0</v>
      </c>
      <c r="AB1308" s="16">
        <f>_xlfn.XLOOKUP(CustomerCombinedCleaned[[#This Row],[ID]], Table2[ID],Table2[MC4], "Not Found", 0 )</f>
        <v>0</v>
      </c>
      <c r="AC1308" s="16">
        <f>_xlfn.XLOOKUP(CustomerCombinedCleaned[[#This Row],[ID]], Table2[ID],Table2[MC5], "Not Found", 0 )</f>
        <v>0</v>
      </c>
    </row>
    <row r="1309" spans="1:29" x14ac:dyDescent="0.3">
      <c r="A1309" s="18">
        <v>2760</v>
      </c>
      <c r="B1309" s="16">
        <v>146904</v>
      </c>
      <c r="C1309" s="16">
        <v>1</v>
      </c>
      <c r="D1309" s="16">
        <v>1</v>
      </c>
      <c r="E1309" s="16">
        <v>53</v>
      </c>
      <c r="F1309" s="17" t="s">
        <v>7</v>
      </c>
      <c r="G1309" s="17" t="s">
        <v>11</v>
      </c>
      <c r="H1309" s="3" t="s">
        <v>742</v>
      </c>
      <c r="I1309" s="5" t="s">
        <v>436</v>
      </c>
      <c r="J1309" s="16">
        <f>_xlfn.XLOOKUP(CustomerCombinedCleaned[[#This Row],[ID]], Table4[ID], Table4[Recency], "Not Found", 0)</f>
        <v>20</v>
      </c>
      <c r="K1309" s="16">
        <f>_xlfn.XLOOKUP(CustomerCombinedCleaned[[#This Row],[ID]], Table4[ID], Table4[Teas], "Not Found", 0)</f>
        <v>479</v>
      </c>
      <c r="L1309" s="16">
        <f>_xlfn.XLOOKUP(CustomerCombinedCleaned[[#This Row],[ID]], Table4[ID], Table4[Fruits], "Not Found", 0)</f>
        <v>13</v>
      </c>
      <c r="M1309" s="16">
        <f>_xlfn.XLOOKUP(CustomerCombinedCleaned[[#This Row],[ID]], Table4[ID], Table4[Meats], "Not Found", 0)</f>
        <v>175</v>
      </c>
      <c r="N1309" s="16">
        <f>_xlfn.XLOOKUP(CustomerCombinedCleaned[[#This Row],[ID]], Table4[ID], Table4[Seafood], "Not Found", 0)</f>
        <v>0</v>
      </c>
      <c r="O1309" s="16">
        <f>_xlfn.XLOOKUP(CustomerCombinedCleaned[[#This Row],[ID]], Table4[ID], Table4[Sweets], "Not Found", 0)</f>
        <v>28</v>
      </c>
      <c r="P1309" s="16">
        <f>_xlfn.XLOOKUP(CustomerCombinedCleaned[[#This Row],[ID]], Table4[ID], Table4[Premium], "Not Found", 0)</f>
        <v>97</v>
      </c>
      <c r="Q1309" s="16">
        <f>_xlfn.XLOOKUP(CustomerCombinedCleaned[[#This Row],[ID]], Table4[ID], Table4[Regular], "Not Found", 0)</f>
        <v>598</v>
      </c>
      <c r="R1309" s="16">
        <f>_xlfn.XLOOKUP(CustomerCombinedCleaned[[#This Row],[ID]], Table4[ID], Table4[Deals], "Not Found", 0)</f>
        <v>4</v>
      </c>
      <c r="S1309" s="16">
        <f>_xlfn.XLOOKUP(CustomerCombinedCleaned[[#This Row],[ID]], Table4[ID], Table4[Website], "Not Found", 0)</f>
        <v>5</v>
      </c>
      <c r="T1309" s="16">
        <f>_xlfn.XLOOKUP(CustomerCombinedCleaned[[#This Row],[ID]], Table4[ID], Table4[Catalog], "Not Found", 0)</f>
        <v>1</v>
      </c>
      <c r="U1309" s="16">
        <f>_xlfn.XLOOKUP(CustomerCombinedCleaned[[#This Row],[ID]], Table4[ID], Table4[Store], "Not Found", 0)</f>
        <v>4</v>
      </c>
      <c r="V1309" s="16">
        <f>_xlfn.XLOOKUP(CustomerCombinedCleaned[[#This Row],[ID]], Table4[ID], Table4[Visits], "Not Found", 0)</f>
        <v>8</v>
      </c>
      <c r="W1309" s="16">
        <f>_xlfn.XLOOKUP(CustomerCombinedCleaned[[#This Row],[ID]], Table2[ID],Table2[Complaint], "Not Found", 0 )</f>
        <v>0</v>
      </c>
      <c r="X1309" s="16">
        <f>_xlfn.XLOOKUP(CustomerCombinedCleaned[[#This Row],[ID]], Table2[ID],Table2[Pilot], "Not Found", 0 )</f>
        <v>0</v>
      </c>
      <c r="Y1309" s="16">
        <f>_xlfn.XLOOKUP(CustomerCombinedCleaned[[#This Row],[ID]], Table2[ID],Table2[MC1], "Not Found", 0 )</f>
        <v>0</v>
      </c>
      <c r="Z1309" s="16">
        <f>_xlfn.XLOOKUP(CustomerCombinedCleaned[[#This Row],[ID]], Table2[ID],Table2[MC2], "Not Found", 0 )</f>
        <v>0</v>
      </c>
      <c r="AA1309" s="16">
        <f>_xlfn.XLOOKUP(CustomerCombinedCleaned[[#This Row],[ID]], Table2[ID],Table2[MC3], "Not Found", 0 )</f>
        <v>0</v>
      </c>
      <c r="AB1309" s="16">
        <f>_xlfn.XLOOKUP(CustomerCombinedCleaned[[#This Row],[ID]], Table2[ID],Table2[MC4], "Not Found", 0 )</f>
        <v>0</v>
      </c>
      <c r="AC1309" s="16">
        <f>_xlfn.XLOOKUP(CustomerCombinedCleaned[[#This Row],[ID]], Table2[ID],Table2[MC5], "Not Found", 0 )</f>
        <v>0</v>
      </c>
    </row>
    <row r="1310" spans="1:29" x14ac:dyDescent="0.3">
      <c r="A1310" s="18">
        <v>1520</v>
      </c>
      <c r="B1310" s="16">
        <v>144931</v>
      </c>
      <c r="C1310" s="16">
        <v>0</v>
      </c>
      <c r="D1310" s="16">
        <v>1</v>
      </c>
      <c r="E1310" s="16">
        <v>53</v>
      </c>
      <c r="F1310" s="17" t="s">
        <v>8</v>
      </c>
      <c r="G1310" s="17" t="s">
        <v>11</v>
      </c>
      <c r="H1310" s="3" t="s">
        <v>113</v>
      </c>
      <c r="I1310" s="5" t="s">
        <v>438</v>
      </c>
      <c r="J1310" s="16">
        <f>_xlfn.XLOOKUP(CustomerCombinedCleaned[[#This Row],[ID]], Table4[ID], Table4[Recency], "Not Found", 0)</f>
        <v>0</v>
      </c>
      <c r="K1310" s="16">
        <f>_xlfn.XLOOKUP(CustomerCombinedCleaned[[#This Row],[ID]], Table4[ID], Table4[Teas], "Not Found", 0)</f>
        <v>252</v>
      </c>
      <c r="L1310" s="16">
        <f>_xlfn.XLOOKUP(CustomerCombinedCleaned[[#This Row],[ID]], Table4[ID], Table4[Fruits], "Not Found", 0)</f>
        <v>0</v>
      </c>
      <c r="M1310" s="16">
        <f>_xlfn.XLOOKUP(CustomerCombinedCleaned[[#This Row],[ID]], Table4[ID], Table4[Meats], "Not Found", 0)</f>
        <v>35</v>
      </c>
      <c r="N1310" s="16">
        <f>_xlfn.XLOOKUP(CustomerCombinedCleaned[[#This Row],[ID]], Table4[ID], Table4[Seafood], "Not Found", 0)</f>
        <v>0</v>
      </c>
      <c r="O1310" s="16">
        <f>_xlfn.XLOOKUP(CustomerCombinedCleaned[[#This Row],[ID]], Table4[ID], Table4[Sweets], "Not Found", 0)</f>
        <v>0</v>
      </c>
      <c r="P1310" s="16">
        <f>_xlfn.XLOOKUP(CustomerCombinedCleaned[[#This Row],[ID]], Table4[ID], Table4[Premium], "Not Found", 0)</f>
        <v>23</v>
      </c>
      <c r="Q1310" s="16">
        <f>_xlfn.XLOOKUP(CustomerCombinedCleaned[[#This Row],[ID]], Table4[ID], Table4[Regular], "Not Found", 0)</f>
        <v>265</v>
      </c>
      <c r="R1310" s="16">
        <f>_xlfn.XLOOKUP(CustomerCombinedCleaned[[#This Row],[ID]], Table4[ID], Table4[Deals], "Not Found", 0)</f>
        <v>1</v>
      </c>
      <c r="S1310" s="16">
        <f>_xlfn.XLOOKUP(CustomerCombinedCleaned[[#This Row],[ID]], Table4[ID], Table4[Website], "Not Found", 0)</f>
        <v>2</v>
      </c>
      <c r="T1310" s="16">
        <f>_xlfn.XLOOKUP(CustomerCombinedCleaned[[#This Row],[ID]], Table4[ID], Table4[Catalog], "Not Found", 0)</f>
        <v>1</v>
      </c>
      <c r="U1310" s="16">
        <f>_xlfn.XLOOKUP(CustomerCombinedCleaned[[#This Row],[ID]], Table4[ID], Table4[Store], "Not Found", 0)</f>
        <v>3</v>
      </c>
      <c r="V1310" s="16">
        <f>_xlfn.XLOOKUP(CustomerCombinedCleaned[[#This Row],[ID]], Table4[ID], Table4[Visits], "Not Found", 0)</f>
        <v>5</v>
      </c>
      <c r="W1310" s="16">
        <f>_xlfn.XLOOKUP(CustomerCombinedCleaned[[#This Row],[ID]], Table2[ID],Table2[Complaint], "Not Found", 0 )</f>
        <v>0</v>
      </c>
      <c r="X1310" s="16">
        <f>_xlfn.XLOOKUP(CustomerCombinedCleaned[[#This Row],[ID]], Table2[ID],Table2[Pilot], "Not Found", 0 )</f>
        <v>0</v>
      </c>
      <c r="Y1310" s="16">
        <f>_xlfn.XLOOKUP(CustomerCombinedCleaned[[#This Row],[ID]], Table2[ID],Table2[MC1], "Not Found", 0 )</f>
        <v>0</v>
      </c>
      <c r="Z1310" s="16">
        <f>_xlfn.XLOOKUP(CustomerCombinedCleaned[[#This Row],[ID]], Table2[ID],Table2[MC2], "Not Found", 0 )</f>
        <v>0</v>
      </c>
      <c r="AA1310" s="16">
        <f>_xlfn.XLOOKUP(CustomerCombinedCleaned[[#This Row],[ID]], Table2[ID],Table2[MC3], "Not Found", 0 )</f>
        <v>0</v>
      </c>
      <c r="AB1310" s="16">
        <f>_xlfn.XLOOKUP(CustomerCombinedCleaned[[#This Row],[ID]], Table2[ID],Table2[MC4], "Not Found", 0 )</f>
        <v>0</v>
      </c>
      <c r="AC1310" s="16">
        <f>_xlfn.XLOOKUP(CustomerCombinedCleaned[[#This Row],[ID]], Table2[ID],Table2[MC5], "Not Found", 0 )</f>
        <v>0</v>
      </c>
    </row>
    <row r="1311" spans="1:29" x14ac:dyDescent="0.3">
      <c r="A1311" s="18">
        <v>2749</v>
      </c>
      <c r="B1311" s="16">
        <v>142664</v>
      </c>
      <c r="C1311" s="16">
        <v>0</v>
      </c>
      <c r="D1311" s="16">
        <v>1</v>
      </c>
      <c r="E1311" s="16">
        <v>53</v>
      </c>
      <c r="F1311" s="17" t="s">
        <v>6</v>
      </c>
      <c r="G1311" s="17" t="s">
        <v>11</v>
      </c>
      <c r="H1311" s="3" t="s">
        <v>83</v>
      </c>
      <c r="I1311" s="5" t="s">
        <v>437</v>
      </c>
      <c r="J1311" s="16">
        <f>_xlfn.XLOOKUP(CustomerCombinedCleaned[[#This Row],[ID]], Table4[ID], Table4[Recency], "Not Found", 0)</f>
        <v>44</v>
      </c>
      <c r="K1311" s="16">
        <f>_xlfn.XLOOKUP(CustomerCombinedCleaned[[#This Row],[ID]], Table4[ID], Table4[Teas], "Not Found", 0)</f>
        <v>70</v>
      </c>
      <c r="L1311" s="16">
        <f>_xlfn.XLOOKUP(CustomerCombinedCleaned[[#This Row],[ID]], Table4[ID], Table4[Fruits], "Not Found", 0)</f>
        <v>0</v>
      </c>
      <c r="M1311" s="16">
        <f>_xlfn.XLOOKUP(CustomerCombinedCleaned[[#This Row],[ID]], Table4[ID], Table4[Meats], "Not Found", 0)</f>
        <v>10</v>
      </c>
      <c r="N1311" s="16">
        <f>_xlfn.XLOOKUP(CustomerCombinedCleaned[[#This Row],[ID]], Table4[ID], Table4[Seafood], "Not Found", 0)</f>
        <v>0</v>
      </c>
      <c r="O1311" s="16">
        <f>_xlfn.XLOOKUP(CustomerCombinedCleaned[[#This Row],[ID]], Table4[ID], Table4[Sweets], "Not Found", 0)</f>
        <v>0</v>
      </c>
      <c r="P1311" s="16">
        <f>_xlfn.XLOOKUP(CustomerCombinedCleaned[[#This Row],[ID]], Table4[ID], Table4[Premium], "Not Found", 0)</f>
        <v>0</v>
      </c>
      <c r="Q1311" s="16">
        <f>_xlfn.XLOOKUP(CustomerCombinedCleaned[[#This Row],[ID]], Table4[ID], Table4[Regular], "Not Found", 0)</f>
        <v>80</v>
      </c>
      <c r="R1311" s="16">
        <f>_xlfn.XLOOKUP(CustomerCombinedCleaned[[#This Row],[ID]], Table4[ID], Table4[Deals], "Not Found", 0)</f>
        <v>1</v>
      </c>
      <c r="S1311" s="16">
        <f>_xlfn.XLOOKUP(CustomerCombinedCleaned[[#This Row],[ID]], Table4[ID], Table4[Website], "Not Found", 0)</f>
        <v>1</v>
      </c>
      <c r="T1311" s="16">
        <f>_xlfn.XLOOKUP(CustomerCombinedCleaned[[#This Row],[ID]], Table4[ID], Table4[Catalog], "Not Found", 0)</f>
        <v>0</v>
      </c>
      <c r="U1311" s="16">
        <f>_xlfn.XLOOKUP(CustomerCombinedCleaned[[#This Row],[ID]], Table4[ID], Table4[Store], "Not Found", 0)</f>
        <v>3</v>
      </c>
      <c r="V1311" s="16">
        <f>_xlfn.XLOOKUP(CustomerCombinedCleaned[[#This Row],[ID]], Table4[ID], Table4[Visits], "Not Found", 0)</f>
        <v>6</v>
      </c>
      <c r="W1311" s="16">
        <f>_xlfn.XLOOKUP(CustomerCombinedCleaned[[#This Row],[ID]], Table2[ID],Table2[Complaint], "Not Found", 0 )</f>
        <v>0</v>
      </c>
      <c r="X1311" s="16">
        <f>_xlfn.XLOOKUP(CustomerCombinedCleaned[[#This Row],[ID]], Table2[ID],Table2[Pilot], "Not Found", 0 )</f>
        <v>0</v>
      </c>
      <c r="Y1311" s="16">
        <f>_xlfn.XLOOKUP(CustomerCombinedCleaned[[#This Row],[ID]], Table2[ID],Table2[MC1], "Not Found", 0 )</f>
        <v>0</v>
      </c>
      <c r="Z1311" s="16">
        <f>_xlfn.XLOOKUP(CustomerCombinedCleaned[[#This Row],[ID]], Table2[ID],Table2[MC2], "Not Found", 0 )</f>
        <v>0</v>
      </c>
      <c r="AA1311" s="16">
        <f>_xlfn.XLOOKUP(CustomerCombinedCleaned[[#This Row],[ID]], Table2[ID],Table2[MC3], "Not Found", 0 )</f>
        <v>0</v>
      </c>
      <c r="AB1311" s="16">
        <f>_xlfn.XLOOKUP(CustomerCombinedCleaned[[#This Row],[ID]], Table2[ID],Table2[MC4], "Not Found", 0 )</f>
        <v>0</v>
      </c>
      <c r="AC1311" s="16">
        <f>_xlfn.XLOOKUP(CustomerCombinedCleaned[[#This Row],[ID]], Table2[ID],Table2[MC5], "Not Found", 0 )</f>
        <v>0</v>
      </c>
    </row>
    <row r="1312" spans="1:29" x14ac:dyDescent="0.3">
      <c r="A1312" s="18">
        <v>2429</v>
      </c>
      <c r="B1312" s="16">
        <v>140304</v>
      </c>
      <c r="C1312" s="16">
        <v>1</v>
      </c>
      <c r="D1312" s="16">
        <v>0</v>
      </c>
      <c r="E1312" s="16">
        <v>53</v>
      </c>
      <c r="F1312" s="17" t="s">
        <v>7</v>
      </c>
      <c r="G1312" s="17" t="s">
        <v>13</v>
      </c>
      <c r="H1312" s="3" t="s">
        <v>604</v>
      </c>
      <c r="I1312" s="5" t="s">
        <v>434</v>
      </c>
      <c r="J1312" s="16">
        <f>_xlfn.XLOOKUP(CustomerCombinedCleaned[[#This Row],[ID]], Table4[ID], Table4[Recency], "Not Found", 0)</f>
        <v>82</v>
      </c>
      <c r="K1312" s="16">
        <f>_xlfn.XLOOKUP(CustomerCombinedCleaned[[#This Row],[ID]], Table4[ID], Table4[Teas], "Not Found", 0)</f>
        <v>129</v>
      </c>
      <c r="L1312" s="16">
        <f>_xlfn.XLOOKUP(CustomerCombinedCleaned[[#This Row],[ID]], Table4[ID], Table4[Fruits], "Not Found", 0)</f>
        <v>0</v>
      </c>
      <c r="M1312" s="16">
        <f>_xlfn.XLOOKUP(CustomerCombinedCleaned[[#This Row],[ID]], Table4[ID], Table4[Meats], "Not Found", 0)</f>
        <v>59</v>
      </c>
      <c r="N1312" s="16">
        <f>_xlfn.XLOOKUP(CustomerCombinedCleaned[[#This Row],[ID]], Table4[ID], Table4[Seafood], "Not Found", 0)</f>
        <v>0</v>
      </c>
      <c r="O1312" s="16">
        <f>_xlfn.XLOOKUP(CustomerCombinedCleaned[[#This Row],[ID]], Table4[ID], Table4[Sweets], "Not Found", 0)</f>
        <v>0</v>
      </c>
      <c r="P1312" s="16">
        <f>_xlfn.XLOOKUP(CustomerCombinedCleaned[[#This Row],[ID]], Table4[ID], Table4[Premium], "Not Found", 0)</f>
        <v>10</v>
      </c>
      <c r="Q1312" s="16">
        <f>_xlfn.XLOOKUP(CustomerCombinedCleaned[[#This Row],[ID]], Table4[ID], Table4[Regular], "Not Found", 0)</f>
        <v>178</v>
      </c>
      <c r="R1312" s="16">
        <f>_xlfn.XLOOKUP(CustomerCombinedCleaned[[#This Row],[ID]], Table4[ID], Table4[Deals], "Not Found", 0)</f>
        <v>1</v>
      </c>
      <c r="S1312" s="16">
        <f>_xlfn.XLOOKUP(CustomerCombinedCleaned[[#This Row],[ID]], Table4[ID], Table4[Website], "Not Found", 0)</f>
        <v>2</v>
      </c>
      <c r="T1312" s="16">
        <f>_xlfn.XLOOKUP(CustomerCombinedCleaned[[#This Row],[ID]], Table4[ID], Table4[Catalog], "Not Found", 0)</f>
        <v>0</v>
      </c>
      <c r="U1312" s="16">
        <f>_xlfn.XLOOKUP(CustomerCombinedCleaned[[#This Row],[ID]], Table4[ID], Table4[Store], "Not Found", 0)</f>
        <v>3</v>
      </c>
      <c r="V1312" s="16">
        <f>_xlfn.XLOOKUP(CustomerCombinedCleaned[[#This Row],[ID]], Table4[ID], Table4[Visits], "Not Found", 0)</f>
        <v>7</v>
      </c>
      <c r="W1312" s="16">
        <f>_xlfn.XLOOKUP(CustomerCombinedCleaned[[#This Row],[ID]], Table2[ID],Table2[Complaint], "Not Found", 0 )</f>
        <v>0</v>
      </c>
      <c r="X1312" s="16">
        <f>_xlfn.XLOOKUP(CustomerCombinedCleaned[[#This Row],[ID]], Table2[ID],Table2[Pilot], "Not Found", 0 )</f>
        <v>0</v>
      </c>
      <c r="Y1312" s="16">
        <f>_xlfn.XLOOKUP(CustomerCombinedCleaned[[#This Row],[ID]], Table2[ID],Table2[MC1], "Not Found", 0 )</f>
        <v>0</v>
      </c>
      <c r="Z1312" s="16">
        <f>_xlfn.XLOOKUP(CustomerCombinedCleaned[[#This Row],[ID]], Table2[ID],Table2[MC2], "Not Found", 0 )</f>
        <v>0</v>
      </c>
      <c r="AA1312" s="16">
        <f>_xlfn.XLOOKUP(CustomerCombinedCleaned[[#This Row],[ID]], Table2[ID],Table2[MC3], "Not Found", 0 )</f>
        <v>0</v>
      </c>
      <c r="AB1312" s="16">
        <f>_xlfn.XLOOKUP(CustomerCombinedCleaned[[#This Row],[ID]], Table2[ID],Table2[MC4], "Not Found", 0 )</f>
        <v>0</v>
      </c>
      <c r="AC1312" s="16">
        <f>_xlfn.XLOOKUP(CustomerCombinedCleaned[[#This Row],[ID]], Table2[ID],Table2[MC5], "Not Found", 0 )</f>
        <v>0</v>
      </c>
    </row>
    <row r="1313" spans="1:29" x14ac:dyDescent="0.3">
      <c r="A1313" s="18">
        <v>2531</v>
      </c>
      <c r="B1313" s="16">
        <v>137054</v>
      </c>
      <c r="C1313" s="16">
        <v>1</v>
      </c>
      <c r="D1313" s="16">
        <v>1</v>
      </c>
      <c r="E1313" s="16">
        <v>53</v>
      </c>
      <c r="F1313" s="17" t="s">
        <v>6</v>
      </c>
      <c r="G1313" s="17" t="s">
        <v>12</v>
      </c>
      <c r="H1313" s="3" t="s">
        <v>184</v>
      </c>
      <c r="I1313" s="5" t="s">
        <v>434</v>
      </c>
      <c r="J1313" s="16">
        <f>_xlfn.XLOOKUP(CustomerCombinedCleaned[[#This Row],[ID]], Table4[ID], Table4[Recency], "Not Found", 0)</f>
        <v>89</v>
      </c>
      <c r="K1313" s="16">
        <f>_xlfn.XLOOKUP(CustomerCombinedCleaned[[#This Row],[ID]], Table4[ID], Table4[Teas], "Not Found", 0)</f>
        <v>44</v>
      </c>
      <c r="L1313" s="16">
        <f>_xlfn.XLOOKUP(CustomerCombinedCleaned[[#This Row],[ID]], Table4[ID], Table4[Fruits], "Not Found", 0)</f>
        <v>4</v>
      </c>
      <c r="M1313" s="16">
        <f>_xlfn.XLOOKUP(CustomerCombinedCleaned[[#This Row],[ID]], Table4[ID], Table4[Meats], "Not Found", 0)</f>
        <v>22</v>
      </c>
      <c r="N1313" s="16">
        <f>_xlfn.XLOOKUP(CustomerCombinedCleaned[[#This Row],[ID]], Table4[ID], Table4[Seafood], "Not Found", 0)</f>
        <v>0</v>
      </c>
      <c r="O1313" s="16">
        <f>_xlfn.XLOOKUP(CustomerCombinedCleaned[[#This Row],[ID]], Table4[ID], Table4[Sweets], "Not Found", 0)</f>
        <v>4</v>
      </c>
      <c r="P1313" s="16">
        <f>_xlfn.XLOOKUP(CustomerCombinedCleaned[[#This Row],[ID]], Table4[ID], Table4[Premium], "Not Found", 0)</f>
        <v>18</v>
      </c>
      <c r="Q1313" s="16">
        <f>_xlfn.XLOOKUP(CustomerCombinedCleaned[[#This Row],[ID]], Table4[ID], Table4[Regular], "Not Found", 0)</f>
        <v>55</v>
      </c>
      <c r="R1313" s="16">
        <f>_xlfn.XLOOKUP(CustomerCombinedCleaned[[#This Row],[ID]], Table4[ID], Table4[Deals], "Not Found", 0)</f>
        <v>2</v>
      </c>
      <c r="S1313" s="16">
        <f>_xlfn.XLOOKUP(CustomerCombinedCleaned[[#This Row],[ID]], Table4[ID], Table4[Website], "Not Found", 0)</f>
        <v>1</v>
      </c>
      <c r="T1313" s="16">
        <f>_xlfn.XLOOKUP(CustomerCombinedCleaned[[#This Row],[ID]], Table4[ID], Table4[Catalog], "Not Found", 0)</f>
        <v>0</v>
      </c>
      <c r="U1313" s="16">
        <f>_xlfn.XLOOKUP(CustomerCombinedCleaned[[#This Row],[ID]], Table4[ID], Table4[Store], "Not Found", 0)</f>
        <v>3</v>
      </c>
      <c r="V1313" s="16">
        <f>_xlfn.XLOOKUP(CustomerCombinedCleaned[[#This Row],[ID]], Table4[ID], Table4[Visits], "Not Found", 0)</f>
        <v>7</v>
      </c>
      <c r="W1313" s="16">
        <f>_xlfn.XLOOKUP(CustomerCombinedCleaned[[#This Row],[ID]], Table2[ID],Table2[Complaint], "Not Found", 0 )</f>
        <v>0</v>
      </c>
      <c r="X1313" s="16">
        <f>_xlfn.XLOOKUP(CustomerCombinedCleaned[[#This Row],[ID]], Table2[ID],Table2[Pilot], "Not Found", 0 )</f>
        <v>0</v>
      </c>
      <c r="Y1313" s="16">
        <f>_xlfn.XLOOKUP(CustomerCombinedCleaned[[#This Row],[ID]], Table2[ID],Table2[MC1], "Not Found", 0 )</f>
        <v>0</v>
      </c>
      <c r="Z1313" s="16">
        <f>_xlfn.XLOOKUP(CustomerCombinedCleaned[[#This Row],[ID]], Table2[ID],Table2[MC2], "Not Found", 0 )</f>
        <v>0</v>
      </c>
      <c r="AA1313" s="16">
        <f>_xlfn.XLOOKUP(CustomerCombinedCleaned[[#This Row],[ID]], Table2[ID],Table2[MC3], "Not Found", 0 )</f>
        <v>0</v>
      </c>
      <c r="AB1313" s="16">
        <f>_xlfn.XLOOKUP(CustomerCombinedCleaned[[#This Row],[ID]], Table2[ID],Table2[MC4], "Not Found", 0 )</f>
        <v>0</v>
      </c>
      <c r="AC1313" s="16">
        <f>_xlfn.XLOOKUP(CustomerCombinedCleaned[[#This Row],[ID]], Table2[ID],Table2[MC5], "Not Found", 0 )</f>
        <v>0</v>
      </c>
    </row>
    <row r="1314" spans="1:29" x14ac:dyDescent="0.3">
      <c r="A1314" s="18">
        <v>2381</v>
      </c>
      <c r="B1314" s="16">
        <v>136947</v>
      </c>
      <c r="C1314" s="16">
        <v>1</v>
      </c>
      <c r="D1314" s="16">
        <v>1</v>
      </c>
      <c r="E1314" s="16">
        <v>53</v>
      </c>
      <c r="F1314" s="17" t="s">
        <v>6</v>
      </c>
      <c r="G1314" s="17" t="s">
        <v>13</v>
      </c>
      <c r="H1314" s="3" t="s">
        <v>679</v>
      </c>
      <c r="I1314" s="5" t="s">
        <v>434</v>
      </c>
      <c r="J1314" s="16">
        <f>_xlfn.XLOOKUP(CustomerCombinedCleaned[[#This Row],[ID]], Table4[ID], Table4[Recency], "Not Found", 0)</f>
        <v>49</v>
      </c>
      <c r="K1314" s="16">
        <f>_xlfn.XLOOKUP(CustomerCombinedCleaned[[#This Row],[ID]], Table4[ID], Table4[Teas], "Not Found", 0)</f>
        <v>326</v>
      </c>
      <c r="L1314" s="16">
        <f>_xlfn.XLOOKUP(CustomerCombinedCleaned[[#This Row],[ID]], Table4[ID], Table4[Fruits], "Not Found", 0)</f>
        <v>11</v>
      </c>
      <c r="M1314" s="16">
        <f>_xlfn.XLOOKUP(CustomerCombinedCleaned[[#This Row],[ID]], Table4[ID], Table4[Meats], "Not Found", 0)</f>
        <v>78</v>
      </c>
      <c r="N1314" s="16">
        <f>_xlfn.XLOOKUP(CustomerCombinedCleaned[[#This Row],[ID]], Table4[ID], Table4[Seafood], "Not Found", 0)</f>
        <v>15</v>
      </c>
      <c r="O1314" s="16">
        <f>_xlfn.XLOOKUP(CustomerCombinedCleaned[[#This Row],[ID]], Table4[ID], Table4[Sweets], "Not Found", 0)</f>
        <v>4</v>
      </c>
      <c r="P1314" s="16">
        <f>_xlfn.XLOOKUP(CustomerCombinedCleaned[[#This Row],[ID]], Table4[ID], Table4[Premium], "Not Found", 0)</f>
        <v>107</v>
      </c>
      <c r="Q1314" s="16">
        <f>_xlfn.XLOOKUP(CustomerCombinedCleaned[[#This Row],[ID]], Table4[ID], Table4[Regular], "Not Found", 0)</f>
        <v>326</v>
      </c>
      <c r="R1314" s="16">
        <f>_xlfn.XLOOKUP(CustomerCombinedCleaned[[#This Row],[ID]], Table4[ID], Table4[Deals], "Not Found", 0)</f>
        <v>4</v>
      </c>
      <c r="S1314" s="16">
        <f>_xlfn.XLOOKUP(CustomerCombinedCleaned[[#This Row],[ID]], Table4[ID], Table4[Website], "Not Found", 0)</f>
        <v>3</v>
      </c>
      <c r="T1314" s="16">
        <f>_xlfn.XLOOKUP(CustomerCombinedCleaned[[#This Row],[ID]], Table4[ID], Table4[Catalog], "Not Found", 0)</f>
        <v>0</v>
      </c>
      <c r="U1314" s="16">
        <f>_xlfn.XLOOKUP(CustomerCombinedCleaned[[#This Row],[ID]], Table4[ID], Table4[Store], "Not Found", 0)</f>
        <v>4</v>
      </c>
      <c r="V1314" s="16">
        <f>_xlfn.XLOOKUP(CustomerCombinedCleaned[[#This Row],[ID]], Table4[ID], Table4[Visits], "Not Found", 0)</f>
        <v>9</v>
      </c>
      <c r="W1314" s="16">
        <f>_xlfn.XLOOKUP(CustomerCombinedCleaned[[#This Row],[ID]], Table2[ID],Table2[Complaint], "Not Found", 0 )</f>
        <v>0</v>
      </c>
      <c r="X1314" s="16">
        <f>_xlfn.XLOOKUP(CustomerCombinedCleaned[[#This Row],[ID]], Table2[ID],Table2[Pilot], "Not Found", 0 )</f>
        <v>0</v>
      </c>
      <c r="Y1314" s="16">
        <f>_xlfn.XLOOKUP(CustomerCombinedCleaned[[#This Row],[ID]], Table2[ID],Table2[MC1], "Not Found", 0 )</f>
        <v>0</v>
      </c>
      <c r="Z1314" s="16">
        <f>_xlfn.XLOOKUP(CustomerCombinedCleaned[[#This Row],[ID]], Table2[ID],Table2[MC2], "Not Found", 0 )</f>
        <v>0</v>
      </c>
      <c r="AA1314" s="16">
        <f>_xlfn.XLOOKUP(CustomerCombinedCleaned[[#This Row],[ID]], Table2[ID],Table2[MC3], "Not Found", 0 )</f>
        <v>0</v>
      </c>
      <c r="AB1314" s="16">
        <f>_xlfn.XLOOKUP(CustomerCombinedCleaned[[#This Row],[ID]], Table2[ID],Table2[MC4], "Not Found", 0 )</f>
        <v>0</v>
      </c>
      <c r="AC1314" s="16">
        <f>_xlfn.XLOOKUP(CustomerCombinedCleaned[[#This Row],[ID]], Table2[ID],Table2[MC5], "Not Found", 0 )</f>
        <v>0</v>
      </c>
    </row>
    <row r="1315" spans="1:29" x14ac:dyDescent="0.3">
      <c r="A1315" s="18">
        <v>1815</v>
      </c>
      <c r="B1315" s="16">
        <v>135441</v>
      </c>
      <c r="C1315" s="16">
        <v>1</v>
      </c>
      <c r="D1315" s="16">
        <v>1</v>
      </c>
      <c r="E1315" s="16">
        <v>53</v>
      </c>
      <c r="F1315" s="17" t="s">
        <v>6</v>
      </c>
      <c r="G1315" s="17" t="s">
        <v>11</v>
      </c>
      <c r="H1315" s="3" t="s">
        <v>309</v>
      </c>
      <c r="I1315" s="5" t="s">
        <v>435</v>
      </c>
      <c r="J1315" s="16">
        <f>_xlfn.XLOOKUP(CustomerCombinedCleaned[[#This Row],[ID]], Table4[ID], Table4[Recency], "Not Found", 0)</f>
        <v>94</v>
      </c>
      <c r="K1315" s="16">
        <f>_xlfn.XLOOKUP(CustomerCombinedCleaned[[#This Row],[ID]], Table4[ID], Table4[Teas], "Not Found", 0)</f>
        <v>96</v>
      </c>
      <c r="L1315" s="16">
        <f>_xlfn.XLOOKUP(CustomerCombinedCleaned[[#This Row],[ID]], Table4[ID], Table4[Fruits], "Not Found", 0)</f>
        <v>4</v>
      </c>
      <c r="M1315" s="16">
        <f>_xlfn.XLOOKUP(CustomerCombinedCleaned[[#This Row],[ID]], Table4[ID], Table4[Meats], "Not Found", 0)</f>
        <v>34</v>
      </c>
      <c r="N1315" s="16">
        <f>_xlfn.XLOOKUP(CustomerCombinedCleaned[[#This Row],[ID]], Table4[ID], Table4[Seafood], "Not Found", 0)</f>
        <v>8</v>
      </c>
      <c r="O1315" s="16">
        <f>_xlfn.XLOOKUP(CustomerCombinedCleaned[[#This Row],[ID]], Table4[ID], Table4[Sweets], "Not Found", 0)</f>
        <v>4</v>
      </c>
      <c r="P1315" s="16">
        <f>_xlfn.XLOOKUP(CustomerCombinedCleaned[[#This Row],[ID]], Table4[ID], Table4[Premium], "Not Found", 0)</f>
        <v>4</v>
      </c>
      <c r="Q1315" s="16">
        <f>_xlfn.XLOOKUP(CustomerCombinedCleaned[[#This Row],[ID]], Table4[ID], Table4[Regular], "Not Found", 0)</f>
        <v>141</v>
      </c>
      <c r="R1315" s="16">
        <f>_xlfn.XLOOKUP(CustomerCombinedCleaned[[#This Row],[ID]], Table4[ID], Table4[Deals], "Not Found", 0)</f>
        <v>2</v>
      </c>
      <c r="S1315" s="16">
        <f>_xlfn.XLOOKUP(CustomerCombinedCleaned[[#This Row],[ID]], Table4[ID], Table4[Website], "Not Found", 0)</f>
        <v>1</v>
      </c>
      <c r="T1315" s="16">
        <f>_xlfn.XLOOKUP(CustomerCombinedCleaned[[#This Row],[ID]], Table4[ID], Table4[Catalog], "Not Found", 0)</f>
        <v>0</v>
      </c>
      <c r="U1315" s="16">
        <f>_xlfn.XLOOKUP(CustomerCombinedCleaned[[#This Row],[ID]], Table4[ID], Table4[Store], "Not Found", 0)</f>
        <v>3</v>
      </c>
      <c r="V1315" s="16">
        <f>_xlfn.XLOOKUP(CustomerCombinedCleaned[[#This Row],[ID]], Table4[ID], Table4[Visits], "Not Found", 0)</f>
        <v>8</v>
      </c>
      <c r="W1315" s="16">
        <f>_xlfn.XLOOKUP(CustomerCombinedCleaned[[#This Row],[ID]], Table2[ID],Table2[Complaint], "Not Found", 0 )</f>
        <v>0</v>
      </c>
      <c r="X1315" s="16">
        <f>_xlfn.XLOOKUP(CustomerCombinedCleaned[[#This Row],[ID]], Table2[ID],Table2[Pilot], "Not Found", 0 )</f>
        <v>0</v>
      </c>
      <c r="Y1315" s="16">
        <f>_xlfn.XLOOKUP(CustomerCombinedCleaned[[#This Row],[ID]], Table2[ID],Table2[MC1], "Not Found", 0 )</f>
        <v>0</v>
      </c>
      <c r="Z1315" s="16">
        <f>_xlfn.XLOOKUP(CustomerCombinedCleaned[[#This Row],[ID]], Table2[ID],Table2[MC2], "Not Found", 0 )</f>
        <v>0</v>
      </c>
      <c r="AA1315" s="16">
        <f>_xlfn.XLOOKUP(CustomerCombinedCleaned[[#This Row],[ID]], Table2[ID],Table2[MC3], "Not Found", 0 )</f>
        <v>0</v>
      </c>
      <c r="AB1315" s="16">
        <f>_xlfn.XLOOKUP(CustomerCombinedCleaned[[#This Row],[ID]], Table2[ID],Table2[MC4], "Not Found", 0 )</f>
        <v>0</v>
      </c>
      <c r="AC1315" s="16">
        <f>_xlfn.XLOOKUP(CustomerCombinedCleaned[[#This Row],[ID]], Table2[ID],Table2[MC5], "Not Found", 0 )</f>
        <v>0</v>
      </c>
    </row>
    <row r="1316" spans="1:29" x14ac:dyDescent="0.3">
      <c r="A1316" s="18">
        <v>1113</v>
      </c>
      <c r="B1316" s="16">
        <v>132557</v>
      </c>
      <c r="C1316" s="16">
        <v>1</v>
      </c>
      <c r="D1316" s="16">
        <v>0</v>
      </c>
      <c r="E1316" s="16">
        <v>53</v>
      </c>
      <c r="F1316" s="17" t="s">
        <v>7</v>
      </c>
      <c r="G1316" s="17" t="s">
        <v>12</v>
      </c>
      <c r="H1316" s="3" t="s">
        <v>91</v>
      </c>
      <c r="I1316" s="5" t="s">
        <v>435</v>
      </c>
      <c r="J1316" s="16">
        <f>_xlfn.XLOOKUP(CustomerCombinedCleaned[[#This Row],[ID]], Table4[ID], Table4[Recency], "Not Found", 0)</f>
        <v>13</v>
      </c>
      <c r="K1316" s="16">
        <f>_xlfn.XLOOKUP(CustomerCombinedCleaned[[#This Row],[ID]], Table4[ID], Table4[Teas], "Not Found", 0)</f>
        <v>138</v>
      </c>
      <c r="L1316" s="16">
        <f>_xlfn.XLOOKUP(CustomerCombinedCleaned[[#This Row],[ID]], Table4[ID], Table4[Fruits], "Not Found", 0)</f>
        <v>12</v>
      </c>
      <c r="M1316" s="16">
        <f>_xlfn.XLOOKUP(CustomerCombinedCleaned[[#This Row],[ID]], Table4[ID], Table4[Meats], "Not Found", 0)</f>
        <v>118</v>
      </c>
      <c r="N1316" s="16">
        <f>_xlfn.XLOOKUP(CustomerCombinedCleaned[[#This Row],[ID]], Table4[ID], Table4[Seafood], "Not Found", 0)</f>
        <v>0</v>
      </c>
      <c r="O1316" s="16">
        <f>_xlfn.XLOOKUP(CustomerCombinedCleaned[[#This Row],[ID]], Table4[ID], Table4[Sweets], "Not Found", 0)</f>
        <v>16</v>
      </c>
      <c r="P1316" s="16">
        <f>_xlfn.XLOOKUP(CustomerCombinedCleaned[[#This Row],[ID]], Table4[ID], Table4[Premium], "Not Found", 0)</f>
        <v>41</v>
      </c>
      <c r="Q1316" s="16">
        <f>_xlfn.XLOOKUP(CustomerCombinedCleaned[[#This Row],[ID]], Table4[ID], Table4[Regular], "Not Found", 0)</f>
        <v>244</v>
      </c>
      <c r="R1316" s="16">
        <f>_xlfn.XLOOKUP(CustomerCombinedCleaned[[#This Row],[ID]], Table4[ID], Table4[Deals], "Not Found", 0)</f>
        <v>3</v>
      </c>
      <c r="S1316" s="16">
        <f>_xlfn.XLOOKUP(CustomerCombinedCleaned[[#This Row],[ID]], Table4[ID], Table4[Website], "Not Found", 0)</f>
        <v>2</v>
      </c>
      <c r="T1316" s="16">
        <f>_xlfn.XLOOKUP(CustomerCombinedCleaned[[#This Row],[ID]], Table4[ID], Table4[Catalog], "Not Found", 0)</f>
        <v>1</v>
      </c>
      <c r="U1316" s="16">
        <f>_xlfn.XLOOKUP(CustomerCombinedCleaned[[#This Row],[ID]], Table4[ID], Table4[Store], "Not Found", 0)</f>
        <v>3</v>
      </c>
      <c r="V1316" s="16">
        <f>_xlfn.XLOOKUP(CustomerCombinedCleaned[[#This Row],[ID]], Table4[ID], Table4[Visits], "Not Found", 0)</f>
        <v>5</v>
      </c>
      <c r="W1316" s="16">
        <f>_xlfn.XLOOKUP(CustomerCombinedCleaned[[#This Row],[ID]], Table2[ID],Table2[Complaint], "Not Found", 0 )</f>
        <v>0</v>
      </c>
      <c r="X1316" s="16">
        <f>_xlfn.XLOOKUP(CustomerCombinedCleaned[[#This Row],[ID]], Table2[ID],Table2[Pilot], "Not Found", 0 )</f>
        <v>1</v>
      </c>
      <c r="Y1316" s="16">
        <f>_xlfn.XLOOKUP(CustomerCombinedCleaned[[#This Row],[ID]], Table2[ID],Table2[MC1], "Not Found", 0 )</f>
        <v>0</v>
      </c>
      <c r="Z1316" s="16">
        <f>_xlfn.XLOOKUP(CustomerCombinedCleaned[[#This Row],[ID]], Table2[ID],Table2[MC2], "Not Found", 0 )</f>
        <v>0</v>
      </c>
      <c r="AA1316" s="16">
        <f>_xlfn.XLOOKUP(CustomerCombinedCleaned[[#This Row],[ID]], Table2[ID],Table2[MC3], "Not Found", 0 )</f>
        <v>0</v>
      </c>
      <c r="AB1316" s="16">
        <f>_xlfn.XLOOKUP(CustomerCombinedCleaned[[#This Row],[ID]], Table2[ID],Table2[MC4], "Not Found", 0 )</f>
        <v>0</v>
      </c>
      <c r="AC1316" s="16">
        <f>_xlfn.XLOOKUP(CustomerCombinedCleaned[[#This Row],[ID]], Table2[ID],Table2[MC5], "Not Found", 0 )</f>
        <v>0</v>
      </c>
    </row>
    <row r="1317" spans="1:29" x14ac:dyDescent="0.3">
      <c r="A1317" s="18">
        <v>1062</v>
      </c>
      <c r="B1317" s="16">
        <v>132474</v>
      </c>
      <c r="C1317" s="16">
        <v>1</v>
      </c>
      <c r="D1317" s="16">
        <v>1</v>
      </c>
      <c r="E1317" s="16">
        <v>53</v>
      </c>
      <c r="F1317" s="17" t="s">
        <v>8</v>
      </c>
      <c r="G1317" s="17" t="s">
        <v>11</v>
      </c>
      <c r="H1317" s="3" t="s">
        <v>53</v>
      </c>
      <c r="I1317" s="5" t="s">
        <v>436</v>
      </c>
      <c r="J1317" s="16">
        <f>_xlfn.XLOOKUP(CustomerCombinedCleaned[[#This Row],[ID]], Table4[ID], Table4[Recency], "Not Found", 0)</f>
        <v>0</v>
      </c>
      <c r="K1317" s="16">
        <f>_xlfn.XLOOKUP(CustomerCombinedCleaned[[#This Row],[ID]], Table4[ID], Table4[Teas], "Not Found", 0)</f>
        <v>41</v>
      </c>
      <c r="L1317" s="16">
        <f>_xlfn.XLOOKUP(CustomerCombinedCleaned[[#This Row],[ID]], Table4[ID], Table4[Fruits], "Not Found", 0)</f>
        <v>0</v>
      </c>
      <c r="M1317" s="16">
        <f>_xlfn.XLOOKUP(CustomerCombinedCleaned[[#This Row],[ID]], Table4[ID], Table4[Meats], "Not Found", 0)</f>
        <v>4</v>
      </c>
      <c r="N1317" s="16">
        <f>_xlfn.XLOOKUP(CustomerCombinedCleaned[[#This Row],[ID]], Table4[ID], Table4[Seafood], "Not Found", 0)</f>
        <v>0</v>
      </c>
      <c r="O1317" s="16">
        <f>_xlfn.XLOOKUP(CustomerCombinedCleaned[[#This Row],[ID]], Table4[ID], Table4[Sweets], "Not Found", 0)</f>
        <v>0</v>
      </c>
      <c r="P1317" s="16">
        <f>_xlfn.XLOOKUP(CustomerCombinedCleaned[[#This Row],[ID]], Table4[ID], Table4[Premium], "Not Found", 0)</f>
        <v>0</v>
      </c>
      <c r="Q1317" s="16">
        <f>_xlfn.XLOOKUP(CustomerCombinedCleaned[[#This Row],[ID]], Table4[ID], Table4[Regular], "Not Found", 0)</f>
        <v>45</v>
      </c>
      <c r="R1317" s="16">
        <f>_xlfn.XLOOKUP(CustomerCombinedCleaned[[#This Row],[ID]], Table4[ID], Table4[Deals], "Not Found", 0)</f>
        <v>1</v>
      </c>
      <c r="S1317" s="16">
        <f>_xlfn.XLOOKUP(CustomerCombinedCleaned[[#This Row],[ID]], Table4[ID], Table4[Website], "Not Found", 0)</f>
        <v>1</v>
      </c>
      <c r="T1317" s="16">
        <f>_xlfn.XLOOKUP(CustomerCombinedCleaned[[#This Row],[ID]], Table4[ID], Table4[Catalog], "Not Found", 0)</f>
        <v>0</v>
      </c>
      <c r="U1317" s="16">
        <f>_xlfn.XLOOKUP(CustomerCombinedCleaned[[#This Row],[ID]], Table4[ID], Table4[Store], "Not Found", 0)</f>
        <v>2</v>
      </c>
      <c r="V1317" s="16">
        <f>_xlfn.XLOOKUP(CustomerCombinedCleaned[[#This Row],[ID]], Table4[ID], Table4[Visits], "Not Found", 0)</f>
        <v>7</v>
      </c>
      <c r="W1317" s="16">
        <f>_xlfn.XLOOKUP(CustomerCombinedCleaned[[#This Row],[ID]], Table2[ID],Table2[Complaint], "Not Found", 0 )</f>
        <v>0</v>
      </c>
      <c r="X1317" s="16">
        <f>_xlfn.XLOOKUP(CustomerCombinedCleaned[[#This Row],[ID]], Table2[ID],Table2[Pilot], "Not Found", 0 )</f>
        <v>0</v>
      </c>
      <c r="Y1317" s="16">
        <f>_xlfn.XLOOKUP(CustomerCombinedCleaned[[#This Row],[ID]], Table2[ID],Table2[MC1], "Not Found", 0 )</f>
        <v>0</v>
      </c>
      <c r="Z1317" s="16">
        <f>_xlfn.XLOOKUP(CustomerCombinedCleaned[[#This Row],[ID]], Table2[ID],Table2[MC2], "Not Found", 0 )</f>
        <v>0</v>
      </c>
      <c r="AA1317" s="16">
        <f>_xlfn.XLOOKUP(CustomerCombinedCleaned[[#This Row],[ID]], Table2[ID],Table2[MC3], "Not Found", 0 )</f>
        <v>0</v>
      </c>
      <c r="AB1317" s="16">
        <f>_xlfn.XLOOKUP(CustomerCombinedCleaned[[#This Row],[ID]], Table2[ID],Table2[MC4], "Not Found", 0 )</f>
        <v>0</v>
      </c>
      <c r="AC1317" s="16">
        <f>_xlfn.XLOOKUP(CustomerCombinedCleaned[[#This Row],[ID]], Table2[ID],Table2[MC5], "Not Found", 0 )</f>
        <v>0</v>
      </c>
    </row>
    <row r="1318" spans="1:29" x14ac:dyDescent="0.3">
      <c r="A1318" s="18">
        <v>1110</v>
      </c>
      <c r="B1318" s="16">
        <v>130753</v>
      </c>
      <c r="C1318" s="16">
        <v>1</v>
      </c>
      <c r="D1318" s="16">
        <v>1</v>
      </c>
      <c r="E1318" s="16">
        <v>53</v>
      </c>
      <c r="F1318" s="17" t="s">
        <v>8</v>
      </c>
      <c r="G1318" s="17" t="s">
        <v>11</v>
      </c>
      <c r="H1318" s="3" t="s">
        <v>225</v>
      </c>
      <c r="I1318" s="5" t="s">
        <v>436</v>
      </c>
      <c r="J1318" s="16">
        <f>_xlfn.XLOOKUP(CustomerCombinedCleaned[[#This Row],[ID]], Table4[ID], Table4[Recency], "Not Found", 0)</f>
        <v>85</v>
      </c>
      <c r="K1318" s="16">
        <f>_xlfn.XLOOKUP(CustomerCombinedCleaned[[#This Row],[ID]], Table4[ID], Table4[Teas], "Not Found", 0)</f>
        <v>51</v>
      </c>
      <c r="L1318" s="16">
        <f>_xlfn.XLOOKUP(CustomerCombinedCleaned[[#This Row],[ID]], Table4[ID], Table4[Fruits], "Not Found", 0)</f>
        <v>21</v>
      </c>
      <c r="M1318" s="16">
        <f>_xlfn.XLOOKUP(CustomerCombinedCleaned[[#This Row],[ID]], Table4[ID], Table4[Meats], "Not Found", 0)</f>
        <v>106</v>
      </c>
      <c r="N1318" s="16">
        <f>_xlfn.XLOOKUP(CustomerCombinedCleaned[[#This Row],[ID]], Table4[ID], Table4[Seafood], "Not Found", 0)</f>
        <v>0</v>
      </c>
      <c r="O1318" s="16">
        <f>_xlfn.XLOOKUP(CustomerCombinedCleaned[[#This Row],[ID]], Table4[ID], Table4[Sweets], "Not Found", 0)</f>
        <v>38</v>
      </c>
      <c r="P1318" s="16">
        <f>_xlfn.XLOOKUP(CustomerCombinedCleaned[[#This Row],[ID]], Table4[ID], Table4[Premium], "Not Found", 0)</f>
        <v>128</v>
      </c>
      <c r="Q1318" s="16">
        <f>_xlfn.XLOOKUP(CustomerCombinedCleaned[[#This Row],[ID]], Table4[ID], Table4[Regular], "Not Found", 0)</f>
        <v>89</v>
      </c>
      <c r="R1318" s="16">
        <f>_xlfn.XLOOKUP(CustomerCombinedCleaned[[#This Row],[ID]], Table4[ID], Table4[Deals], "Not Found", 0)</f>
        <v>2</v>
      </c>
      <c r="S1318" s="16">
        <f>_xlfn.XLOOKUP(CustomerCombinedCleaned[[#This Row],[ID]], Table4[ID], Table4[Website], "Not Found", 0)</f>
        <v>1</v>
      </c>
      <c r="T1318" s="16">
        <f>_xlfn.XLOOKUP(CustomerCombinedCleaned[[#This Row],[ID]], Table4[ID], Table4[Catalog], "Not Found", 0)</f>
        <v>1</v>
      </c>
      <c r="U1318" s="16">
        <f>_xlfn.XLOOKUP(CustomerCombinedCleaned[[#This Row],[ID]], Table4[ID], Table4[Store], "Not Found", 0)</f>
        <v>3</v>
      </c>
      <c r="V1318" s="16">
        <f>_xlfn.XLOOKUP(CustomerCombinedCleaned[[#This Row],[ID]], Table4[ID], Table4[Visits], "Not Found", 0)</f>
        <v>5</v>
      </c>
      <c r="W1318" s="16">
        <f>_xlfn.XLOOKUP(CustomerCombinedCleaned[[#This Row],[ID]], Table2[ID],Table2[Complaint], "Not Found", 0 )</f>
        <v>0</v>
      </c>
      <c r="X1318" s="16">
        <f>_xlfn.XLOOKUP(CustomerCombinedCleaned[[#This Row],[ID]], Table2[ID],Table2[Pilot], "Not Found", 0 )</f>
        <v>0</v>
      </c>
      <c r="Y1318" s="16">
        <f>_xlfn.XLOOKUP(CustomerCombinedCleaned[[#This Row],[ID]], Table2[ID],Table2[MC1], "Not Found", 0 )</f>
        <v>0</v>
      </c>
      <c r="Z1318" s="16">
        <f>_xlfn.XLOOKUP(CustomerCombinedCleaned[[#This Row],[ID]], Table2[ID],Table2[MC2], "Not Found", 0 )</f>
        <v>0</v>
      </c>
      <c r="AA1318" s="16">
        <f>_xlfn.XLOOKUP(CustomerCombinedCleaned[[#This Row],[ID]], Table2[ID],Table2[MC3], "Not Found", 0 )</f>
        <v>0</v>
      </c>
      <c r="AB1318" s="16">
        <f>_xlfn.XLOOKUP(CustomerCombinedCleaned[[#This Row],[ID]], Table2[ID],Table2[MC4], "Not Found", 0 )</f>
        <v>0</v>
      </c>
      <c r="AC1318" s="16">
        <f>_xlfn.XLOOKUP(CustomerCombinedCleaned[[#This Row],[ID]], Table2[ID],Table2[MC5], "Not Found", 0 )</f>
        <v>0</v>
      </c>
    </row>
    <row r="1319" spans="1:29" x14ac:dyDescent="0.3">
      <c r="A1319" s="18">
        <v>2976</v>
      </c>
      <c r="B1319" s="16">
        <v>128420</v>
      </c>
      <c r="C1319" s="16">
        <v>1</v>
      </c>
      <c r="D1319" s="16">
        <v>0</v>
      </c>
      <c r="E1319" s="16">
        <v>53</v>
      </c>
      <c r="F1319" s="17" t="s">
        <v>5</v>
      </c>
      <c r="G1319" s="17" t="s">
        <v>13</v>
      </c>
      <c r="H1319" s="3" t="s">
        <v>124</v>
      </c>
      <c r="I1319" s="5" t="s">
        <v>436</v>
      </c>
      <c r="J1319" s="16">
        <f>_xlfn.XLOOKUP(CustomerCombinedCleaned[[#This Row],[ID]], Table4[ID], Table4[Recency], "Not Found", 0)</f>
        <v>36</v>
      </c>
      <c r="K1319" s="16">
        <f>_xlfn.XLOOKUP(CustomerCombinedCleaned[[#This Row],[ID]], Table4[ID], Table4[Teas], "Not Found", 0)</f>
        <v>18</v>
      </c>
      <c r="L1319" s="16">
        <f>_xlfn.XLOOKUP(CustomerCombinedCleaned[[#This Row],[ID]], Table4[ID], Table4[Fruits], "Not Found", 0)</f>
        <v>9</v>
      </c>
      <c r="M1319" s="16">
        <f>_xlfn.XLOOKUP(CustomerCombinedCleaned[[#This Row],[ID]], Table4[ID], Table4[Meats], "Not Found", 0)</f>
        <v>23</v>
      </c>
      <c r="N1319" s="16">
        <f>_xlfn.XLOOKUP(CustomerCombinedCleaned[[#This Row],[ID]], Table4[ID], Table4[Seafood], "Not Found", 0)</f>
        <v>9</v>
      </c>
      <c r="O1319" s="16">
        <f>_xlfn.XLOOKUP(CustomerCombinedCleaned[[#This Row],[ID]], Table4[ID], Table4[Sweets], "Not Found", 0)</f>
        <v>0</v>
      </c>
      <c r="P1319" s="16">
        <f>_xlfn.XLOOKUP(CustomerCombinedCleaned[[#This Row],[ID]], Table4[ID], Table4[Premium], "Not Found", 0)</f>
        <v>0</v>
      </c>
      <c r="Q1319" s="16">
        <f>_xlfn.XLOOKUP(CustomerCombinedCleaned[[#This Row],[ID]], Table4[ID], Table4[Regular], "Not Found", 0)</f>
        <v>59</v>
      </c>
      <c r="R1319" s="16">
        <f>_xlfn.XLOOKUP(CustomerCombinedCleaned[[#This Row],[ID]], Table4[ID], Table4[Deals], "Not Found", 0)</f>
        <v>1</v>
      </c>
      <c r="S1319" s="16">
        <f>_xlfn.XLOOKUP(CustomerCombinedCleaned[[#This Row],[ID]], Table4[ID], Table4[Website], "Not Found", 0)</f>
        <v>1</v>
      </c>
      <c r="T1319" s="16">
        <f>_xlfn.XLOOKUP(CustomerCombinedCleaned[[#This Row],[ID]], Table4[ID], Table4[Catalog], "Not Found", 0)</f>
        <v>0</v>
      </c>
      <c r="U1319" s="16">
        <f>_xlfn.XLOOKUP(CustomerCombinedCleaned[[#This Row],[ID]], Table4[ID], Table4[Store], "Not Found", 0)</f>
        <v>2</v>
      </c>
      <c r="V1319" s="16">
        <f>_xlfn.XLOOKUP(CustomerCombinedCleaned[[#This Row],[ID]], Table4[ID], Table4[Visits], "Not Found", 0)</f>
        <v>6</v>
      </c>
      <c r="W1319" s="16">
        <f>_xlfn.XLOOKUP(CustomerCombinedCleaned[[#This Row],[ID]], Table2[ID],Table2[Complaint], "Not Found", 0 )</f>
        <v>0</v>
      </c>
      <c r="X1319" s="16">
        <f>_xlfn.XLOOKUP(CustomerCombinedCleaned[[#This Row],[ID]], Table2[ID],Table2[Pilot], "Not Found", 0 )</f>
        <v>0</v>
      </c>
      <c r="Y1319" s="16">
        <f>_xlfn.XLOOKUP(CustomerCombinedCleaned[[#This Row],[ID]], Table2[ID],Table2[MC1], "Not Found", 0 )</f>
        <v>0</v>
      </c>
      <c r="Z1319" s="16">
        <f>_xlfn.XLOOKUP(CustomerCombinedCleaned[[#This Row],[ID]], Table2[ID],Table2[MC2], "Not Found", 0 )</f>
        <v>0</v>
      </c>
      <c r="AA1319" s="16">
        <f>_xlfn.XLOOKUP(CustomerCombinedCleaned[[#This Row],[ID]], Table2[ID],Table2[MC3], "Not Found", 0 )</f>
        <v>0</v>
      </c>
      <c r="AB1319" s="16">
        <f>_xlfn.XLOOKUP(CustomerCombinedCleaned[[#This Row],[ID]], Table2[ID],Table2[MC4], "Not Found", 0 )</f>
        <v>0</v>
      </c>
      <c r="AC1319" s="16">
        <f>_xlfn.XLOOKUP(CustomerCombinedCleaned[[#This Row],[ID]], Table2[ID],Table2[MC5], "Not Found", 0 )</f>
        <v>0</v>
      </c>
    </row>
    <row r="1320" spans="1:29" x14ac:dyDescent="0.3">
      <c r="A1320" s="18">
        <v>2992</v>
      </c>
      <c r="B1320" s="16">
        <v>127943</v>
      </c>
      <c r="C1320" s="16">
        <v>1</v>
      </c>
      <c r="D1320" s="16">
        <v>1</v>
      </c>
      <c r="E1320" s="16">
        <v>53</v>
      </c>
      <c r="F1320" s="17" t="s">
        <v>8</v>
      </c>
      <c r="G1320" s="17" t="s">
        <v>11</v>
      </c>
      <c r="H1320" s="3" t="s">
        <v>274</v>
      </c>
      <c r="I1320" s="5" t="s">
        <v>439</v>
      </c>
      <c r="J1320" s="16">
        <f>_xlfn.XLOOKUP(CustomerCombinedCleaned[[#This Row],[ID]], Table4[ID], Table4[Recency], "Not Found", 0)</f>
        <v>89</v>
      </c>
      <c r="K1320" s="16">
        <f>_xlfn.XLOOKUP(CustomerCombinedCleaned[[#This Row],[ID]], Table4[ID], Table4[Teas], "Not Found", 0)</f>
        <v>55</v>
      </c>
      <c r="L1320" s="16">
        <f>_xlfn.XLOOKUP(CustomerCombinedCleaned[[#This Row],[ID]], Table4[ID], Table4[Fruits], "Not Found", 0)</f>
        <v>5</v>
      </c>
      <c r="M1320" s="16">
        <f>_xlfn.XLOOKUP(CustomerCombinedCleaned[[#This Row],[ID]], Table4[ID], Table4[Meats], "Not Found", 0)</f>
        <v>73</v>
      </c>
      <c r="N1320" s="16">
        <f>_xlfn.XLOOKUP(CustomerCombinedCleaned[[#This Row],[ID]], Table4[ID], Table4[Seafood], "Not Found", 0)</f>
        <v>18</v>
      </c>
      <c r="O1320" s="16">
        <f>_xlfn.XLOOKUP(CustomerCombinedCleaned[[#This Row],[ID]], Table4[ID], Table4[Sweets], "Not Found", 0)</f>
        <v>5</v>
      </c>
      <c r="P1320" s="16">
        <f>_xlfn.XLOOKUP(CustomerCombinedCleaned[[#This Row],[ID]], Table4[ID], Table4[Premium], "Not Found", 0)</f>
        <v>14</v>
      </c>
      <c r="Q1320" s="16">
        <f>_xlfn.XLOOKUP(CustomerCombinedCleaned[[#This Row],[ID]], Table4[ID], Table4[Regular], "Not Found", 0)</f>
        <v>142</v>
      </c>
      <c r="R1320" s="16">
        <f>_xlfn.XLOOKUP(CustomerCombinedCleaned[[#This Row],[ID]], Table4[ID], Table4[Deals], "Not Found", 0)</f>
        <v>3</v>
      </c>
      <c r="S1320" s="16">
        <f>_xlfn.XLOOKUP(CustomerCombinedCleaned[[#This Row],[ID]], Table4[ID], Table4[Website], "Not Found", 0)</f>
        <v>2</v>
      </c>
      <c r="T1320" s="16">
        <f>_xlfn.XLOOKUP(CustomerCombinedCleaned[[#This Row],[ID]], Table4[ID], Table4[Catalog], "Not Found", 0)</f>
        <v>0</v>
      </c>
      <c r="U1320" s="16">
        <f>_xlfn.XLOOKUP(CustomerCombinedCleaned[[#This Row],[ID]], Table4[ID], Table4[Store], "Not Found", 0)</f>
        <v>3</v>
      </c>
      <c r="V1320" s="16">
        <f>_xlfn.XLOOKUP(CustomerCombinedCleaned[[#This Row],[ID]], Table4[ID], Table4[Visits], "Not Found", 0)</f>
        <v>8</v>
      </c>
      <c r="W1320" s="16">
        <f>_xlfn.XLOOKUP(CustomerCombinedCleaned[[#This Row],[ID]], Table2[ID],Table2[Complaint], "Not Found", 0 )</f>
        <v>0</v>
      </c>
      <c r="X1320" s="16">
        <f>_xlfn.XLOOKUP(CustomerCombinedCleaned[[#This Row],[ID]], Table2[ID],Table2[Pilot], "Not Found", 0 )</f>
        <v>0</v>
      </c>
      <c r="Y1320" s="16">
        <f>_xlfn.XLOOKUP(CustomerCombinedCleaned[[#This Row],[ID]], Table2[ID],Table2[MC1], "Not Found", 0 )</f>
        <v>0</v>
      </c>
      <c r="Z1320" s="16">
        <f>_xlfn.XLOOKUP(CustomerCombinedCleaned[[#This Row],[ID]], Table2[ID],Table2[MC2], "Not Found", 0 )</f>
        <v>0</v>
      </c>
      <c r="AA1320" s="16">
        <f>_xlfn.XLOOKUP(CustomerCombinedCleaned[[#This Row],[ID]], Table2[ID],Table2[MC3], "Not Found", 0 )</f>
        <v>0</v>
      </c>
      <c r="AB1320" s="16">
        <f>_xlfn.XLOOKUP(CustomerCombinedCleaned[[#This Row],[ID]], Table2[ID],Table2[MC4], "Not Found", 0 )</f>
        <v>0</v>
      </c>
      <c r="AC1320" s="16">
        <f>_xlfn.XLOOKUP(CustomerCombinedCleaned[[#This Row],[ID]], Table2[ID],Table2[MC5], "Not Found", 0 )</f>
        <v>0</v>
      </c>
    </row>
    <row r="1321" spans="1:29" x14ac:dyDescent="0.3">
      <c r="A1321" s="18">
        <v>2845</v>
      </c>
      <c r="B1321" s="16">
        <v>126642</v>
      </c>
      <c r="C1321" s="16">
        <v>1</v>
      </c>
      <c r="D1321" s="16">
        <v>0</v>
      </c>
      <c r="E1321" s="16">
        <v>53</v>
      </c>
      <c r="F1321" s="17" t="s">
        <v>5</v>
      </c>
      <c r="G1321" s="17" t="s">
        <v>13</v>
      </c>
      <c r="H1321" s="3" t="s">
        <v>603</v>
      </c>
      <c r="I1321" s="5" t="s">
        <v>437</v>
      </c>
      <c r="J1321" s="16">
        <f>_xlfn.XLOOKUP(CustomerCombinedCleaned[[#This Row],[ID]], Table4[ID], Table4[Recency], "Not Found", 0)</f>
        <v>71</v>
      </c>
      <c r="K1321" s="16">
        <f>_xlfn.XLOOKUP(CustomerCombinedCleaned[[#This Row],[ID]], Table4[ID], Table4[Teas], "Not Found", 0)</f>
        <v>62</v>
      </c>
      <c r="L1321" s="16">
        <f>_xlfn.XLOOKUP(CustomerCombinedCleaned[[#This Row],[ID]], Table4[ID], Table4[Fruits], "Not Found", 0)</f>
        <v>10</v>
      </c>
      <c r="M1321" s="16">
        <f>_xlfn.XLOOKUP(CustomerCombinedCleaned[[#This Row],[ID]], Table4[ID], Table4[Meats], "Not Found", 0)</f>
        <v>71</v>
      </c>
      <c r="N1321" s="16">
        <f>_xlfn.XLOOKUP(CustomerCombinedCleaned[[#This Row],[ID]], Table4[ID], Table4[Seafood], "Not Found", 0)</f>
        <v>10</v>
      </c>
      <c r="O1321" s="16">
        <f>_xlfn.XLOOKUP(CustomerCombinedCleaned[[#This Row],[ID]], Table4[ID], Table4[Sweets], "Not Found", 0)</f>
        <v>10</v>
      </c>
      <c r="P1321" s="16">
        <f>_xlfn.XLOOKUP(CustomerCombinedCleaned[[#This Row],[ID]], Table4[ID], Table4[Premium], "Not Found", 0)</f>
        <v>38</v>
      </c>
      <c r="Q1321" s="16">
        <f>_xlfn.XLOOKUP(CustomerCombinedCleaned[[#This Row],[ID]], Table4[ID], Table4[Regular], "Not Found", 0)</f>
        <v>124</v>
      </c>
      <c r="R1321" s="16">
        <f>_xlfn.XLOOKUP(CustomerCombinedCleaned[[#This Row],[ID]], Table4[ID], Table4[Deals], "Not Found", 0)</f>
        <v>2</v>
      </c>
      <c r="S1321" s="16">
        <f>_xlfn.XLOOKUP(CustomerCombinedCleaned[[#This Row],[ID]], Table4[ID], Table4[Website], "Not Found", 0)</f>
        <v>2</v>
      </c>
      <c r="T1321" s="16">
        <f>_xlfn.XLOOKUP(CustomerCombinedCleaned[[#This Row],[ID]], Table4[ID], Table4[Catalog], "Not Found", 0)</f>
        <v>0</v>
      </c>
      <c r="U1321" s="16">
        <f>_xlfn.XLOOKUP(CustomerCombinedCleaned[[#This Row],[ID]], Table4[ID], Table4[Store], "Not Found", 0)</f>
        <v>3</v>
      </c>
      <c r="V1321" s="16">
        <f>_xlfn.XLOOKUP(CustomerCombinedCleaned[[#This Row],[ID]], Table4[ID], Table4[Visits], "Not Found", 0)</f>
        <v>6</v>
      </c>
      <c r="W1321" s="16">
        <f>_xlfn.XLOOKUP(CustomerCombinedCleaned[[#This Row],[ID]], Table2[ID],Table2[Complaint], "Not Found", 0 )</f>
        <v>0</v>
      </c>
      <c r="X1321" s="16">
        <f>_xlfn.XLOOKUP(CustomerCombinedCleaned[[#This Row],[ID]], Table2[ID],Table2[Pilot], "Not Found", 0 )</f>
        <v>0</v>
      </c>
      <c r="Y1321" s="16">
        <f>_xlfn.XLOOKUP(CustomerCombinedCleaned[[#This Row],[ID]], Table2[ID],Table2[MC1], "Not Found", 0 )</f>
        <v>0</v>
      </c>
      <c r="Z1321" s="16">
        <f>_xlfn.XLOOKUP(CustomerCombinedCleaned[[#This Row],[ID]], Table2[ID],Table2[MC2], "Not Found", 0 )</f>
        <v>0</v>
      </c>
      <c r="AA1321" s="16">
        <f>_xlfn.XLOOKUP(CustomerCombinedCleaned[[#This Row],[ID]], Table2[ID],Table2[MC3], "Not Found", 0 )</f>
        <v>0</v>
      </c>
      <c r="AB1321" s="16">
        <f>_xlfn.XLOOKUP(CustomerCombinedCleaned[[#This Row],[ID]], Table2[ID],Table2[MC4], "Not Found", 0 )</f>
        <v>0</v>
      </c>
      <c r="AC1321" s="16">
        <f>_xlfn.XLOOKUP(CustomerCombinedCleaned[[#This Row],[ID]], Table2[ID],Table2[MC5], "Not Found", 0 )</f>
        <v>0</v>
      </c>
    </row>
    <row r="1322" spans="1:29" x14ac:dyDescent="0.3">
      <c r="A1322" s="18">
        <v>2112</v>
      </c>
      <c r="B1322" s="16">
        <v>125930</v>
      </c>
      <c r="C1322" s="16">
        <v>1</v>
      </c>
      <c r="D1322" s="16">
        <v>1</v>
      </c>
      <c r="E1322" s="16">
        <v>53</v>
      </c>
      <c r="F1322" s="17" t="s">
        <v>7</v>
      </c>
      <c r="G1322" s="17" t="s">
        <v>11</v>
      </c>
      <c r="H1322" s="3" t="s">
        <v>172</v>
      </c>
      <c r="I1322" s="5" t="s">
        <v>436</v>
      </c>
      <c r="J1322" s="16">
        <f>_xlfn.XLOOKUP(CustomerCombinedCleaned[[#This Row],[ID]], Table4[ID], Table4[Recency], "Not Found", 0)</f>
        <v>87</v>
      </c>
      <c r="K1322" s="16">
        <f>_xlfn.XLOOKUP(CustomerCombinedCleaned[[#This Row],[ID]], Table4[ID], Table4[Teas], "Not Found", 0)</f>
        <v>29</v>
      </c>
      <c r="L1322" s="16">
        <f>_xlfn.XLOOKUP(CustomerCombinedCleaned[[#This Row],[ID]], Table4[ID], Table4[Fruits], "Not Found", 0)</f>
        <v>5</v>
      </c>
      <c r="M1322" s="16">
        <f>_xlfn.XLOOKUP(CustomerCombinedCleaned[[#This Row],[ID]], Table4[ID], Table4[Meats], "Not Found", 0)</f>
        <v>10</v>
      </c>
      <c r="N1322" s="16">
        <f>_xlfn.XLOOKUP(CustomerCombinedCleaned[[#This Row],[ID]], Table4[ID], Table4[Seafood], "Not Found", 0)</f>
        <v>10</v>
      </c>
      <c r="O1322" s="16">
        <f>_xlfn.XLOOKUP(CustomerCombinedCleaned[[#This Row],[ID]], Table4[ID], Table4[Sweets], "Not Found", 0)</f>
        <v>0</v>
      </c>
      <c r="P1322" s="16">
        <f>_xlfn.XLOOKUP(CustomerCombinedCleaned[[#This Row],[ID]], Table4[ID], Table4[Premium], "Not Found", 0)</f>
        <v>19</v>
      </c>
      <c r="Q1322" s="16">
        <f>_xlfn.XLOOKUP(CustomerCombinedCleaned[[#This Row],[ID]], Table4[ID], Table4[Regular], "Not Found", 0)</f>
        <v>34</v>
      </c>
      <c r="R1322" s="16">
        <f>_xlfn.XLOOKUP(CustomerCombinedCleaned[[#This Row],[ID]], Table4[ID], Table4[Deals], "Not Found", 0)</f>
        <v>1</v>
      </c>
      <c r="S1322" s="16">
        <f>_xlfn.XLOOKUP(CustomerCombinedCleaned[[#This Row],[ID]], Table4[ID], Table4[Website], "Not Found", 0)</f>
        <v>1</v>
      </c>
      <c r="T1322" s="16">
        <f>_xlfn.XLOOKUP(CustomerCombinedCleaned[[#This Row],[ID]], Table4[ID], Table4[Catalog], "Not Found", 0)</f>
        <v>0</v>
      </c>
      <c r="U1322" s="16">
        <f>_xlfn.XLOOKUP(CustomerCombinedCleaned[[#This Row],[ID]], Table4[ID], Table4[Store], "Not Found", 0)</f>
        <v>2</v>
      </c>
      <c r="V1322" s="16">
        <f>_xlfn.XLOOKUP(CustomerCombinedCleaned[[#This Row],[ID]], Table4[ID], Table4[Visits], "Not Found", 0)</f>
        <v>7</v>
      </c>
      <c r="W1322" s="16">
        <f>_xlfn.XLOOKUP(CustomerCombinedCleaned[[#This Row],[ID]], Table2[ID],Table2[Complaint], "Not Found", 0 )</f>
        <v>0</v>
      </c>
      <c r="X1322" s="16">
        <f>_xlfn.XLOOKUP(CustomerCombinedCleaned[[#This Row],[ID]], Table2[ID],Table2[Pilot], "Not Found", 0 )</f>
        <v>0</v>
      </c>
      <c r="Y1322" s="16">
        <f>_xlfn.XLOOKUP(CustomerCombinedCleaned[[#This Row],[ID]], Table2[ID],Table2[MC1], "Not Found", 0 )</f>
        <v>0</v>
      </c>
      <c r="Z1322" s="16">
        <f>_xlfn.XLOOKUP(CustomerCombinedCleaned[[#This Row],[ID]], Table2[ID],Table2[MC2], "Not Found", 0 )</f>
        <v>0</v>
      </c>
      <c r="AA1322" s="16">
        <f>_xlfn.XLOOKUP(CustomerCombinedCleaned[[#This Row],[ID]], Table2[ID],Table2[MC3], "Not Found", 0 )</f>
        <v>0</v>
      </c>
      <c r="AB1322" s="16">
        <f>_xlfn.XLOOKUP(CustomerCombinedCleaned[[#This Row],[ID]], Table2[ID],Table2[MC4], "Not Found", 0 )</f>
        <v>0</v>
      </c>
      <c r="AC1322" s="16">
        <f>_xlfn.XLOOKUP(CustomerCombinedCleaned[[#This Row],[ID]], Table2[ID],Table2[MC5], "Not Found", 0 )</f>
        <v>0</v>
      </c>
    </row>
    <row r="1323" spans="1:29" x14ac:dyDescent="0.3">
      <c r="A1323" s="18">
        <v>1298</v>
      </c>
      <c r="B1323" s="16">
        <v>122574</v>
      </c>
      <c r="C1323" s="16">
        <v>2</v>
      </c>
      <c r="D1323" s="16">
        <v>1</v>
      </c>
      <c r="E1323" s="16">
        <v>53</v>
      </c>
      <c r="F1323" s="17" t="s">
        <v>6</v>
      </c>
      <c r="G1323" s="17" t="s">
        <v>11</v>
      </c>
      <c r="H1323" s="3" t="s">
        <v>616</v>
      </c>
      <c r="I1323" s="5" t="s">
        <v>438</v>
      </c>
      <c r="J1323" s="16">
        <f>_xlfn.XLOOKUP(CustomerCombinedCleaned[[#This Row],[ID]], Table4[ID], Table4[Recency], "Not Found", 0)</f>
        <v>28</v>
      </c>
      <c r="K1323" s="16">
        <f>_xlfn.XLOOKUP(CustomerCombinedCleaned[[#This Row],[ID]], Table4[ID], Table4[Teas], "Not Found", 0)</f>
        <v>136</v>
      </c>
      <c r="L1323" s="16">
        <f>_xlfn.XLOOKUP(CustomerCombinedCleaned[[#This Row],[ID]], Table4[ID], Table4[Fruits], "Not Found", 0)</f>
        <v>0</v>
      </c>
      <c r="M1323" s="16">
        <f>_xlfn.XLOOKUP(CustomerCombinedCleaned[[#This Row],[ID]], Table4[ID], Table4[Meats], "Not Found", 0)</f>
        <v>43</v>
      </c>
      <c r="N1323" s="16">
        <f>_xlfn.XLOOKUP(CustomerCombinedCleaned[[#This Row],[ID]], Table4[ID], Table4[Seafood], "Not Found", 0)</f>
        <v>11</v>
      </c>
      <c r="O1323" s="16">
        <f>_xlfn.XLOOKUP(CustomerCombinedCleaned[[#This Row],[ID]], Table4[ID], Table4[Sweets], "Not Found", 0)</f>
        <v>0</v>
      </c>
      <c r="P1323" s="16">
        <f>_xlfn.XLOOKUP(CustomerCombinedCleaned[[#This Row],[ID]], Table4[ID], Table4[Premium], "Not Found", 0)</f>
        <v>11</v>
      </c>
      <c r="Q1323" s="16">
        <f>_xlfn.XLOOKUP(CustomerCombinedCleaned[[#This Row],[ID]], Table4[ID], Table4[Regular], "Not Found", 0)</f>
        <v>179</v>
      </c>
      <c r="R1323" s="16">
        <f>_xlfn.XLOOKUP(CustomerCombinedCleaned[[#This Row],[ID]], Table4[ID], Table4[Deals], "Not Found", 0)</f>
        <v>2</v>
      </c>
      <c r="S1323" s="16">
        <f>_xlfn.XLOOKUP(CustomerCombinedCleaned[[#This Row],[ID]], Table4[ID], Table4[Website], "Not Found", 0)</f>
        <v>2</v>
      </c>
      <c r="T1323" s="16">
        <f>_xlfn.XLOOKUP(CustomerCombinedCleaned[[#This Row],[ID]], Table4[ID], Table4[Catalog], "Not Found", 0)</f>
        <v>0</v>
      </c>
      <c r="U1323" s="16">
        <f>_xlfn.XLOOKUP(CustomerCombinedCleaned[[#This Row],[ID]], Table4[ID], Table4[Store], "Not Found", 0)</f>
        <v>3</v>
      </c>
      <c r="V1323" s="16">
        <f>_xlfn.XLOOKUP(CustomerCombinedCleaned[[#This Row],[ID]], Table4[ID], Table4[Visits], "Not Found", 0)</f>
        <v>7</v>
      </c>
      <c r="W1323" s="16">
        <f>_xlfn.XLOOKUP(CustomerCombinedCleaned[[#This Row],[ID]], Table2[ID],Table2[Complaint], "Not Found", 0 )</f>
        <v>0</v>
      </c>
      <c r="X1323" s="16">
        <f>_xlfn.XLOOKUP(CustomerCombinedCleaned[[#This Row],[ID]], Table2[ID],Table2[Pilot], "Not Found", 0 )</f>
        <v>0</v>
      </c>
      <c r="Y1323" s="16">
        <f>_xlfn.XLOOKUP(CustomerCombinedCleaned[[#This Row],[ID]], Table2[ID],Table2[MC1], "Not Found", 0 )</f>
        <v>0</v>
      </c>
      <c r="Z1323" s="16">
        <f>_xlfn.XLOOKUP(CustomerCombinedCleaned[[#This Row],[ID]], Table2[ID],Table2[MC2], "Not Found", 0 )</f>
        <v>0</v>
      </c>
      <c r="AA1323" s="16">
        <f>_xlfn.XLOOKUP(CustomerCombinedCleaned[[#This Row],[ID]], Table2[ID],Table2[MC3], "Not Found", 0 )</f>
        <v>0</v>
      </c>
      <c r="AB1323" s="16">
        <f>_xlfn.XLOOKUP(CustomerCombinedCleaned[[#This Row],[ID]], Table2[ID],Table2[MC4], "Not Found", 0 )</f>
        <v>0</v>
      </c>
      <c r="AC1323" s="16">
        <f>_xlfn.XLOOKUP(CustomerCombinedCleaned[[#This Row],[ID]], Table2[ID],Table2[MC5], "Not Found", 0 )</f>
        <v>0</v>
      </c>
    </row>
    <row r="1324" spans="1:29" x14ac:dyDescent="0.3">
      <c r="A1324" s="18">
        <v>1597</v>
      </c>
      <c r="B1324" s="16">
        <v>122574</v>
      </c>
      <c r="C1324" s="16">
        <v>2</v>
      </c>
      <c r="D1324" s="16">
        <v>1</v>
      </c>
      <c r="E1324" s="16">
        <v>53</v>
      </c>
      <c r="F1324" s="17" t="s">
        <v>6</v>
      </c>
      <c r="G1324" s="17" t="s">
        <v>11</v>
      </c>
      <c r="H1324" s="3" t="s">
        <v>616</v>
      </c>
      <c r="I1324" s="5" t="s">
        <v>437</v>
      </c>
      <c r="J1324" s="16">
        <f>_xlfn.XLOOKUP(CustomerCombinedCleaned[[#This Row],[ID]], Table4[ID], Table4[Recency], "Not Found", 0)</f>
        <v>28</v>
      </c>
      <c r="K1324" s="16">
        <f>_xlfn.XLOOKUP(CustomerCombinedCleaned[[#This Row],[ID]], Table4[ID], Table4[Teas], "Not Found", 0)</f>
        <v>136</v>
      </c>
      <c r="L1324" s="16">
        <f>_xlfn.XLOOKUP(CustomerCombinedCleaned[[#This Row],[ID]], Table4[ID], Table4[Fruits], "Not Found", 0)</f>
        <v>0</v>
      </c>
      <c r="M1324" s="16">
        <f>_xlfn.XLOOKUP(CustomerCombinedCleaned[[#This Row],[ID]], Table4[ID], Table4[Meats], "Not Found", 0)</f>
        <v>43</v>
      </c>
      <c r="N1324" s="16">
        <f>_xlfn.XLOOKUP(CustomerCombinedCleaned[[#This Row],[ID]], Table4[ID], Table4[Seafood], "Not Found", 0)</f>
        <v>11</v>
      </c>
      <c r="O1324" s="16">
        <f>_xlfn.XLOOKUP(CustomerCombinedCleaned[[#This Row],[ID]], Table4[ID], Table4[Sweets], "Not Found", 0)</f>
        <v>0</v>
      </c>
      <c r="P1324" s="16">
        <f>_xlfn.XLOOKUP(CustomerCombinedCleaned[[#This Row],[ID]], Table4[ID], Table4[Premium], "Not Found", 0)</f>
        <v>11</v>
      </c>
      <c r="Q1324" s="16">
        <f>_xlfn.XLOOKUP(CustomerCombinedCleaned[[#This Row],[ID]], Table4[ID], Table4[Regular], "Not Found", 0)</f>
        <v>179</v>
      </c>
      <c r="R1324" s="16">
        <f>_xlfn.XLOOKUP(CustomerCombinedCleaned[[#This Row],[ID]], Table4[ID], Table4[Deals], "Not Found", 0)</f>
        <v>2</v>
      </c>
      <c r="S1324" s="16">
        <f>_xlfn.XLOOKUP(CustomerCombinedCleaned[[#This Row],[ID]], Table4[ID], Table4[Website], "Not Found", 0)</f>
        <v>2</v>
      </c>
      <c r="T1324" s="16">
        <f>_xlfn.XLOOKUP(CustomerCombinedCleaned[[#This Row],[ID]], Table4[ID], Table4[Catalog], "Not Found", 0)</f>
        <v>0</v>
      </c>
      <c r="U1324" s="16">
        <f>_xlfn.XLOOKUP(CustomerCombinedCleaned[[#This Row],[ID]], Table4[ID], Table4[Store], "Not Found", 0)</f>
        <v>3</v>
      </c>
      <c r="V1324" s="16">
        <f>_xlfn.XLOOKUP(CustomerCombinedCleaned[[#This Row],[ID]], Table4[ID], Table4[Visits], "Not Found", 0)</f>
        <v>7</v>
      </c>
      <c r="W1324" s="16">
        <f>_xlfn.XLOOKUP(CustomerCombinedCleaned[[#This Row],[ID]], Table2[ID],Table2[Complaint], "Not Found", 0 )</f>
        <v>0</v>
      </c>
      <c r="X1324" s="16">
        <f>_xlfn.XLOOKUP(CustomerCombinedCleaned[[#This Row],[ID]], Table2[ID],Table2[Pilot], "Not Found", 0 )</f>
        <v>0</v>
      </c>
      <c r="Y1324" s="16">
        <f>_xlfn.XLOOKUP(CustomerCombinedCleaned[[#This Row],[ID]], Table2[ID],Table2[MC1], "Not Found", 0 )</f>
        <v>0</v>
      </c>
      <c r="Z1324" s="16">
        <f>_xlfn.XLOOKUP(CustomerCombinedCleaned[[#This Row],[ID]], Table2[ID],Table2[MC2], "Not Found", 0 )</f>
        <v>0</v>
      </c>
      <c r="AA1324" s="16">
        <f>_xlfn.XLOOKUP(CustomerCombinedCleaned[[#This Row],[ID]], Table2[ID],Table2[MC3], "Not Found", 0 )</f>
        <v>0</v>
      </c>
      <c r="AB1324" s="16">
        <f>_xlfn.XLOOKUP(CustomerCombinedCleaned[[#This Row],[ID]], Table2[ID],Table2[MC4], "Not Found", 0 )</f>
        <v>0</v>
      </c>
      <c r="AC1324" s="16">
        <f>_xlfn.XLOOKUP(CustomerCombinedCleaned[[#This Row],[ID]], Table2[ID],Table2[MC5], "Not Found", 0 )</f>
        <v>0</v>
      </c>
    </row>
    <row r="1325" spans="1:29" x14ac:dyDescent="0.3">
      <c r="A1325" s="18">
        <v>1440</v>
      </c>
      <c r="B1325" s="16">
        <v>189572</v>
      </c>
      <c r="C1325" s="16">
        <v>0</v>
      </c>
      <c r="D1325" s="16">
        <v>0</v>
      </c>
      <c r="E1325" s="16">
        <v>54</v>
      </c>
      <c r="F1325" s="17" t="s">
        <v>7</v>
      </c>
      <c r="G1325" s="17" t="s">
        <v>11</v>
      </c>
      <c r="H1325" s="3" t="s">
        <v>395</v>
      </c>
      <c r="I1325" s="5" t="s">
        <v>436</v>
      </c>
      <c r="J1325" s="16">
        <f>_xlfn.XLOOKUP(CustomerCombinedCleaned[[#This Row],[ID]], Table4[ID], Table4[Recency], "Not Found", 0)</f>
        <v>44</v>
      </c>
      <c r="K1325" s="16">
        <f>_xlfn.XLOOKUP(CustomerCombinedCleaned[[#This Row],[ID]], Table4[ID], Table4[Teas], "Not Found", 0)</f>
        <v>1283</v>
      </c>
      <c r="L1325" s="16">
        <f>_xlfn.XLOOKUP(CustomerCombinedCleaned[[#This Row],[ID]], Table4[ID], Table4[Fruits], "Not Found", 0)</f>
        <v>51</v>
      </c>
      <c r="M1325" s="16">
        <f>_xlfn.XLOOKUP(CustomerCombinedCleaned[[#This Row],[ID]], Table4[ID], Table4[Meats], "Not Found", 0)</f>
        <v>2061</v>
      </c>
      <c r="N1325" s="16">
        <f>_xlfn.XLOOKUP(CustomerCombinedCleaned[[#This Row],[ID]], Table4[ID], Table4[Seafood], "Not Found", 0)</f>
        <v>417</v>
      </c>
      <c r="O1325" s="16">
        <f>_xlfn.XLOOKUP(CustomerCombinedCleaned[[#This Row],[ID]], Table4[ID], Table4[Sweets], "Not Found", 0)</f>
        <v>411</v>
      </c>
      <c r="P1325" s="16">
        <f>_xlfn.XLOOKUP(CustomerCombinedCleaned[[#This Row],[ID]], Table4[ID], Table4[Premium], "Not Found", 0)</f>
        <v>135</v>
      </c>
      <c r="Q1325" s="16">
        <f>_xlfn.XLOOKUP(CustomerCombinedCleaned[[#This Row],[ID]], Table4[ID], Table4[Regular], "Not Found", 0)</f>
        <v>4087</v>
      </c>
      <c r="R1325" s="16">
        <f>_xlfn.XLOOKUP(CustomerCombinedCleaned[[#This Row],[ID]], Table4[ID], Table4[Deals], "Not Found", 0)</f>
        <v>1</v>
      </c>
      <c r="S1325" s="16">
        <f>_xlfn.XLOOKUP(CustomerCombinedCleaned[[#This Row],[ID]], Table4[ID], Table4[Website], "Not Found", 0)</f>
        <v>7</v>
      </c>
      <c r="T1325" s="16">
        <f>_xlfn.XLOOKUP(CustomerCombinedCleaned[[#This Row],[ID]], Table4[ID], Table4[Catalog], "Not Found", 0)</f>
        <v>7</v>
      </c>
      <c r="U1325" s="16">
        <f>_xlfn.XLOOKUP(CustomerCombinedCleaned[[#This Row],[ID]], Table4[ID], Table4[Store], "Not Found", 0)</f>
        <v>9</v>
      </c>
      <c r="V1325" s="16">
        <f>_xlfn.XLOOKUP(CustomerCombinedCleaned[[#This Row],[ID]], Table4[ID], Table4[Visits], "Not Found", 0)</f>
        <v>4</v>
      </c>
      <c r="W1325" s="16">
        <f>_xlfn.XLOOKUP(CustomerCombinedCleaned[[#This Row],[ID]], Table2[ID],Table2[Complaint], "Not Found", 0 )</f>
        <v>0</v>
      </c>
      <c r="X1325" s="16">
        <f>_xlfn.XLOOKUP(CustomerCombinedCleaned[[#This Row],[ID]], Table2[ID],Table2[Pilot], "Not Found", 0 )</f>
        <v>1</v>
      </c>
      <c r="Y1325" s="16">
        <f>_xlfn.XLOOKUP(CustomerCombinedCleaned[[#This Row],[ID]], Table2[ID],Table2[MC1], "Not Found", 0 )</f>
        <v>1</v>
      </c>
      <c r="Z1325" s="16">
        <f>_xlfn.XLOOKUP(CustomerCombinedCleaned[[#This Row],[ID]], Table2[ID],Table2[MC2], "Not Found", 0 )</f>
        <v>0</v>
      </c>
      <c r="AA1325" s="16">
        <f>_xlfn.XLOOKUP(CustomerCombinedCleaned[[#This Row],[ID]], Table2[ID],Table2[MC3], "Not Found", 0 )</f>
        <v>0</v>
      </c>
      <c r="AB1325" s="16">
        <f>_xlfn.XLOOKUP(CustomerCombinedCleaned[[#This Row],[ID]], Table2[ID],Table2[MC4], "Not Found", 0 )</f>
        <v>1</v>
      </c>
      <c r="AC1325" s="16">
        <f>_xlfn.XLOOKUP(CustomerCombinedCleaned[[#This Row],[ID]], Table2[ID],Table2[MC5], "Not Found", 0 )</f>
        <v>0</v>
      </c>
    </row>
    <row r="1326" spans="1:29" x14ac:dyDescent="0.3">
      <c r="A1326" s="18">
        <v>2107</v>
      </c>
      <c r="B1326" s="16">
        <v>186358</v>
      </c>
      <c r="C1326" s="16">
        <v>1</v>
      </c>
      <c r="D1326" s="16">
        <v>1</v>
      </c>
      <c r="E1326" s="16">
        <v>54</v>
      </c>
      <c r="F1326" s="17" t="s">
        <v>7</v>
      </c>
      <c r="G1326" s="17" t="s">
        <v>11</v>
      </c>
      <c r="H1326" s="3" t="s">
        <v>420</v>
      </c>
      <c r="I1326" s="5" t="s">
        <v>437</v>
      </c>
      <c r="J1326" s="16">
        <f>_xlfn.XLOOKUP(CustomerCombinedCleaned[[#This Row],[ID]], Table4[ID], Table4[Recency], "Not Found", 0)</f>
        <v>78</v>
      </c>
      <c r="K1326" s="16">
        <f>_xlfn.XLOOKUP(CustomerCombinedCleaned[[#This Row],[ID]], Table4[ID], Table4[Teas], "Not Found", 0)</f>
        <v>2065</v>
      </c>
      <c r="L1326" s="16">
        <f>_xlfn.XLOOKUP(CustomerCombinedCleaned[[#This Row],[ID]], Table4[ID], Table4[Fruits], "Not Found", 0)</f>
        <v>101</v>
      </c>
      <c r="M1326" s="16">
        <f>_xlfn.XLOOKUP(CustomerCombinedCleaned[[#This Row],[ID]], Table4[ID], Table4[Meats], "Not Found", 0)</f>
        <v>1066</v>
      </c>
      <c r="N1326" s="16">
        <f>_xlfn.XLOOKUP(CustomerCombinedCleaned[[#This Row],[ID]], Table4[ID], Table4[Seafood], "Not Found", 0)</f>
        <v>177</v>
      </c>
      <c r="O1326" s="16">
        <f>_xlfn.XLOOKUP(CustomerCombinedCleaned[[#This Row],[ID]], Table4[ID], Table4[Sweets], "Not Found", 0)</f>
        <v>101</v>
      </c>
      <c r="P1326" s="16">
        <f>_xlfn.XLOOKUP(CustomerCombinedCleaned[[#This Row],[ID]], Table4[ID], Table4[Premium], "Not Found", 0)</f>
        <v>205</v>
      </c>
      <c r="Q1326" s="16">
        <f>_xlfn.XLOOKUP(CustomerCombinedCleaned[[#This Row],[ID]], Table4[ID], Table4[Regular], "Not Found", 0)</f>
        <v>3306</v>
      </c>
      <c r="R1326" s="16">
        <f>_xlfn.XLOOKUP(CustomerCombinedCleaned[[#This Row],[ID]], Table4[ID], Table4[Deals], "Not Found", 0)</f>
        <v>4</v>
      </c>
      <c r="S1326" s="16">
        <f>_xlfn.XLOOKUP(CustomerCombinedCleaned[[#This Row],[ID]], Table4[ID], Table4[Website], "Not Found", 0)</f>
        <v>5</v>
      </c>
      <c r="T1326" s="16">
        <f>_xlfn.XLOOKUP(CustomerCombinedCleaned[[#This Row],[ID]], Table4[ID], Table4[Catalog], "Not Found", 0)</f>
        <v>3</v>
      </c>
      <c r="U1326" s="16">
        <f>_xlfn.XLOOKUP(CustomerCombinedCleaned[[#This Row],[ID]], Table4[ID], Table4[Store], "Not Found", 0)</f>
        <v>6</v>
      </c>
      <c r="V1326" s="16">
        <f>_xlfn.XLOOKUP(CustomerCombinedCleaned[[#This Row],[ID]], Table4[ID], Table4[Visits], "Not Found", 0)</f>
        <v>8</v>
      </c>
      <c r="W1326" s="16">
        <f>_xlfn.XLOOKUP(CustomerCombinedCleaned[[#This Row],[ID]], Table2[ID],Table2[Complaint], "Not Found", 0 )</f>
        <v>0</v>
      </c>
      <c r="X1326" s="16">
        <f>_xlfn.XLOOKUP(CustomerCombinedCleaned[[#This Row],[ID]], Table2[ID],Table2[Pilot], "Not Found", 0 )</f>
        <v>0</v>
      </c>
      <c r="Y1326" s="16">
        <f>_xlfn.XLOOKUP(CustomerCombinedCleaned[[#This Row],[ID]], Table2[ID],Table2[MC1], "Not Found", 0 )</f>
        <v>0</v>
      </c>
      <c r="Z1326" s="16">
        <f>_xlfn.XLOOKUP(CustomerCombinedCleaned[[#This Row],[ID]], Table2[ID],Table2[MC2], "Not Found", 0 )</f>
        <v>0</v>
      </c>
      <c r="AA1326" s="16">
        <f>_xlfn.XLOOKUP(CustomerCombinedCleaned[[#This Row],[ID]], Table2[ID],Table2[MC3], "Not Found", 0 )</f>
        <v>0</v>
      </c>
      <c r="AB1326" s="16">
        <f>_xlfn.XLOOKUP(CustomerCombinedCleaned[[#This Row],[ID]], Table2[ID],Table2[MC4], "Not Found", 0 )</f>
        <v>0</v>
      </c>
      <c r="AC1326" s="16">
        <f>_xlfn.XLOOKUP(CustomerCombinedCleaned[[#This Row],[ID]], Table2[ID],Table2[MC5], "Not Found", 0 )</f>
        <v>0</v>
      </c>
    </row>
    <row r="1327" spans="1:29" x14ac:dyDescent="0.3">
      <c r="A1327" s="18">
        <v>2708</v>
      </c>
      <c r="B1327" s="16">
        <v>182427</v>
      </c>
      <c r="C1327" s="16">
        <v>0</v>
      </c>
      <c r="D1327" s="16">
        <v>0</v>
      </c>
      <c r="E1327" s="16">
        <v>54</v>
      </c>
      <c r="F1327" s="17" t="s">
        <v>8</v>
      </c>
      <c r="G1327" s="17" t="s">
        <v>11</v>
      </c>
      <c r="H1327" s="3" t="s">
        <v>87</v>
      </c>
      <c r="I1327" s="5" t="s">
        <v>438</v>
      </c>
      <c r="J1327" s="16">
        <f>_xlfn.XLOOKUP(CustomerCombinedCleaned[[#This Row],[ID]], Table4[ID], Table4[Recency], "Not Found", 0)</f>
        <v>35</v>
      </c>
      <c r="K1327" s="16">
        <f>_xlfn.XLOOKUP(CustomerCombinedCleaned[[#This Row],[ID]], Table4[ID], Table4[Teas], "Not Found", 0)</f>
        <v>1067</v>
      </c>
      <c r="L1327" s="16">
        <f>_xlfn.XLOOKUP(CustomerCombinedCleaned[[#This Row],[ID]], Table4[ID], Table4[Fruits], "Not Found", 0)</f>
        <v>325</v>
      </c>
      <c r="M1327" s="16">
        <f>_xlfn.XLOOKUP(CustomerCombinedCleaned[[#This Row],[ID]], Table4[ID], Table4[Meats], "Not Found", 0)</f>
        <v>1127</v>
      </c>
      <c r="N1327" s="16">
        <f>_xlfn.XLOOKUP(CustomerCombinedCleaned[[#This Row],[ID]], Table4[ID], Table4[Seafood], "Not Found", 0)</f>
        <v>230</v>
      </c>
      <c r="O1327" s="16">
        <f>_xlfn.XLOOKUP(CustomerCombinedCleaned[[#This Row],[ID]], Table4[ID], Table4[Sweets], "Not Found", 0)</f>
        <v>237</v>
      </c>
      <c r="P1327" s="16">
        <f>_xlfn.XLOOKUP(CustomerCombinedCleaned[[#This Row],[ID]], Table4[ID], Table4[Premium], "Not Found", 0)</f>
        <v>237</v>
      </c>
      <c r="Q1327" s="16">
        <f>_xlfn.XLOOKUP(CustomerCombinedCleaned[[#This Row],[ID]], Table4[ID], Table4[Regular], "Not Found", 0)</f>
        <v>2749</v>
      </c>
      <c r="R1327" s="16">
        <f>_xlfn.XLOOKUP(CustomerCombinedCleaned[[#This Row],[ID]], Table4[ID], Table4[Deals], "Not Found", 0)</f>
        <v>1</v>
      </c>
      <c r="S1327" s="16">
        <f>_xlfn.XLOOKUP(CustomerCombinedCleaned[[#This Row],[ID]], Table4[ID], Table4[Website], "Not Found", 0)</f>
        <v>3</v>
      </c>
      <c r="T1327" s="16">
        <f>_xlfn.XLOOKUP(CustomerCombinedCleaned[[#This Row],[ID]], Table4[ID], Table4[Catalog], "Not Found", 0)</f>
        <v>5</v>
      </c>
      <c r="U1327" s="16">
        <f>_xlfn.XLOOKUP(CustomerCombinedCleaned[[#This Row],[ID]], Table4[ID], Table4[Store], "Not Found", 0)</f>
        <v>12</v>
      </c>
      <c r="V1327" s="16">
        <f>_xlfn.XLOOKUP(CustomerCombinedCleaned[[#This Row],[ID]], Table4[ID], Table4[Visits], "Not Found", 0)</f>
        <v>1</v>
      </c>
      <c r="W1327" s="16">
        <f>_xlfn.XLOOKUP(CustomerCombinedCleaned[[#This Row],[ID]], Table2[ID],Table2[Complaint], "Not Found", 0 )</f>
        <v>0</v>
      </c>
      <c r="X1327" s="16">
        <f>_xlfn.XLOOKUP(CustomerCombinedCleaned[[#This Row],[ID]], Table2[ID],Table2[Pilot], "Not Found", 0 )</f>
        <v>0</v>
      </c>
      <c r="Y1327" s="16">
        <f>_xlfn.XLOOKUP(CustomerCombinedCleaned[[#This Row],[ID]], Table2[ID],Table2[MC1], "Not Found", 0 )</f>
        <v>0</v>
      </c>
      <c r="Z1327" s="16">
        <f>_xlfn.XLOOKUP(CustomerCombinedCleaned[[#This Row],[ID]], Table2[ID],Table2[MC2], "Not Found", 0 )</f>
        <v>0</v>
      </c>
      <c r="AA1327" s="16">
        <f>_xlfn.XLOOKUP(CustomerCombinedCleaned[[#This Row],[ID]], Table2[ID],Table2[MC3], "Not Found", 0 )</f>
        <v>0</v>
      </c>
      <c r="AB1327" s="16">
        <f>_xlfn.XLOOKUP(CustomerCombinedCleaned[[#This Row],[ID]], Table2[ID],Table2[MC4], "Not Found", 0 )</f>
        <v>0</v>
      </c>
      <c r="AC1327" s="16">
        <f>_xlfn.XLOOKUP(CustomerCombinedCleaned[[#This Row],[ID]], Table2[ID],Table2[MC5], "Not Found", 0 )</f>
        <v>1</v>
      </c>
    </row>
    <row r="1328" spans="1:29" x14ac:dyDescent="0.3">
      <c r="A1328" s="18">
        <v>2688</v>
      </c>
      <c r="B1328" s="16">
        <v>180398</v>
      </c>
      <c r="C1328" s="16">
        <v>0</v>
      </c>
      <c r="D1328" s="16">
        <v>0</v>
      </c>
      <c r="E1328" s="16">
        <v>54</v>
      </c>
      <c r="F1328" s="17" t="s">
        <v>6</v>
      </c>
      <c r="G1328" s="17" t="s">
        <v>11</v>
      </c>
      <c r="H1328" s="3" t="s">
        <v>365</v>
      </c>
      <c r="I1328" s="5" t="s">
        <v>436</v>
      </c>
      <c r="J1328" s="16">
        <f>_xlfn.XLOOKUP(CustomerCombinedCleaned[[#This Row],[ID]], Table4[ID], Table4[Recency], "Not Found", 0)</f>
        <v>92</v>
      </c>
      <c r="K1328" s="16">
        <f>_xlfn.XLOOKUP(CustomerCombinedCleaned[[#This Row],[ID]], Table4[ID], Table4[Teas], "Not Found", 0)</f>
        <v>767</v>
      </c>
      <c r="L1328" s="16">
        <f>_xlfn.XLOOKUP(CustomerCombinedCleaned[[#This Row],[ID]], Table4[ID], Table4[Fruits], "Not Found", 0)</f>
        <v>114</v>
      </c>
      <c r="M1328" s="16">
        <f>_xlfn.XLOOKUP(CustomerCombinedCleaned[[#This Row],[ID]], Table4[ID], Table4[Meats], "Not Found", 0)</f>
        <v>2100</v>
      </c>
      <c r="N1328" s="16">
        <f>_xlfn.XLOOKUP(CustomerCombinedCleaned[[#This Row],[ID]], Table4[ID], Table4[Seafood], "Not Found", 0)</f>
        <v>464</v>
      </c>
      <c r="O1328" s="16">
        <f>_xlfn.XLOOKUP(CustomerCombinedCleaned[[#This Row],[ID]], Table4[ID], Table4[Sweets], "Not Found", 0)</f>
        <v>79</v>
      </c>
      <c r="P1328" s="16">
        <f>_xlfn.XLOOKUP(CustomerCombinedCleaned[[#This Row],[ID]], Table4[ID], Table4[Premium], "Not Found", 0)</f>
        <v>58</v>
      </c>
      <c r="Q1328" s="16">
        <f>_xlfn.XLOOKUP(CustomerCombinedCleaned[[#This Row],[ID]], Table4[ID], Table4[Regular], "Not Found", 0)</f>
        <v>3467</v>
      </c>
      <c r="R1328" s="16">
        <f>_xlfn.XLOOKUP(CustomerCombinedCleaned[[#This Row],[ID]], Table4[ID], Table4[Deals], "Not Found", 0)</f>
        <v>1</v>
      </c>
      <c r="S1328" s="16">
        <f>_xlfn.XLOOKUP(CustomerCombinedCleaned[[#This Row],[ID]], Table4[ID], Table4[Website], "Not Found", 0)</f>
        <v>5</v>
      </c>
      <c r="T1328" s="16">
        <f>_xlfn.XLOOKUP(CustomerCombinedCleaned[[#This Row],[ID]], Table4[ID], Table4[Catalog], "Not Found", 0)</f>
        <v>8</v>
      </c>
      <c r="U1328" s="16">
        <f>_xlfn.XLOOKUP(CustomerCombinedCleaned[[#This Row],[ID]], Table4[ID], Table4[Store], "Not Found", 0)</f>
        <v>12</v>
      </c>
      <c r="V1328" s="16">
        <f>_xlfn.XLOOKUP(CustomerCombinedCleaned[[#This Row],[ID]], Table4[ID], Table4[Visits], "Not Found", 0)</f>
        <v>3</v>
      </c>
      <c r="W1328" s="16">
        <f>_xlfn.XLOOKUP(CustomerCombinedCleaned[[#This Row],[ID]], Table2[ID],Table2[Complaint], "Not Found", 0 )</f>
        <v>0</v>
      </c>
      <c r="X1328" s="16">
        <f>_xlfn.XLOOKUP(CustomerCombinedCleaned[[#This Row],[ID]], Table2[ID],Table2[Pilot], "Not Found", 0 )</f>
        <v>0</v>
      </c>
      <c r="Y1328" s="16">
        <f>_xlfn.XLOOKUP(CustomerCombinedCleaned[[#This Row],[ID]], Table2[ID],Table2[MC1], "Not Found", 0 )</f>
        <v>0</v>
      </c>
      <c r="Z1328" s="16">
        <f>_xlfn.XLOOKUP(CustomerCombinedCleaned[[#This Row],[ID]], Table2[ID],Table2[MC2], "Not Found", 0 )</f>
        <v>0</v>
      </c>
      <c r="AA1328" s="16">
        <f>_xlfn.XLOOKUP(CustomerCombinedCleaned[[#This Row],[ID]], Table2[ID],Table2[MC3], "Not Found", 0 )</f>
        <v>0</v>
      </c>
      <c r="AB1328" s="16">
        <f>_xlfn.XLOOKUP(CustomerCombinedCleaned[[#This Row],[ID]], Table2[ID],Table2[MC4], "Not Found", 0 )</f>
        <v>0</v>
      </c>
      <c r="AC1328" s="16">
        <f>_xlfn.XLOOKUP(CustomerCombinedCleaned[[#This Row],[ID]], Table2[ID],Table2[MC5], "Not Found", 0 )</f>
        <v>1</v>
      </c>
    </row>
    <row r="1329" spans="1:29" x14ac:dyDescent="0.3">
      <c r="A1329" s="18">
        <v>1275</v>
      </c>
      <c r="B1329" s="16">
        <v>179946</v>
      </c>
      <c r="C1329" s="16">
        <v>0</v>
      </c>
      <c r="D1329" s="16">
        <v>0</v>
      </c>
      <c r="E1329" s="16">
        <v>54</v>
      </c>
      <c r="F1329" s="17" t="s">
        <v>9</v>
      </c>
      <c r="G1329" s="17" t="s">
        <v>11</v>
      </c>
      <c r="H1329" s="3" t="s">
        <v>52</v>
      </c>
      <c r="I1329" s="5" t="s">
        <v>435</v>
      </c>
      <c r="J1329" s="16">
        <f>_xlfn.XLOOKUP(CustomerCombinedCleaned[[#This Row],[ID]], Table4[ID], Table4[Recency], "Not Found", 0)</f>
        <v>19</v>
      </c>
      <c r="K1329" s="16">
        <f>_xlfn.XLOOKUP(CustomerCombinedCleaned[[#This Row],[ID]], Table4[ID], Table4[Teas], "Not Found", 0)</f>
        <v>889</v>
      </c>
      <c r="L1329" s="16">
        <f>_xlfn.XLOOKUP(CustomerCombinedCleaned[[#This Row],[ID]], Table4[ID], Table4[Fruits], "Not Found", 0)</f>
        <v>412</v>
      </c>
      <c r="M1329" s="16">
        <f>_xlfn.XLOOKUP(CustomerCombinedCleaned[[#This Row],[ID]], Table4[ID], Table4[Meats], "Not Found", 0)</f>
        <v>1272</v>
      </c>
      <c r="N1329" s="16">
        <f>_xlfn.XLOOKUP(CustomerCombinedCleaned[[#This Row],[ID]], Table4[ID], Table4[Seafood], "Not Found", 0)</f>
        <v>374</v>
      </c>
      <c r="O1329" s="16">
        <f>_xlfn.XLOOKUP(CustomerCombinedCleaned[[#This Row],[ID]], Table4[ID], Table4[Sweets], "Not Found", 0)</f>
        <v>317</v>
      </c>
      <c r="P1329" s="16">
        <f>_xlfn.XLOOKUP(CustomerCombinedCleaned[[#This Row],[ID]], Table4[ID], Table4[Premium], "Not Found", 0)</f>
        <v>63</v>
      </c>
      <c r="Q1329" s="16">
        <f>_xlfn.XLOOKUP(CustomerCombinedCleaned[[#This Row],[ID]], Table4[ID], Table4[Regular], "Not Found", 0)</f>
        <v>3201</v>
      </c>
      <c r="R1329" s="16">
        <f>_xlfn.XLOOKUP(CustomerCombinedCleaned[[#This Row],[ID]], Table4[ID], Table4[Deals], "Not Found", 0)</f>
        <v>1</v>
      </c>
      <c r="S1329" s="16">
        <f>_xlfn.XLOOKUP(CustomerCombinedCleaned[[#This Row],[ID]], Table4[ID], Table4[Website], "Not Found", 0)</f>
        <v>5</v>
      </c>
      <c r="T1329" s="16">
        <f>_xlfn.XLOOKUP(CustomerCombinedCleaned[[#This Row],[ID]], Table4[ID], Table4[Catalog], "Not Found", 0)</f>
        <v>11</v>
      </c>
      <c r="U1329" s="16">
        <f>_xlfn.XLOOKUP(CustomerCombinedCleaned[[#This Row],[ID]], Table4[ID], Table4[Store], "Not Found", 0)</f>
        <v>5</v>
      </c>
      <c r="V1329" s="16">
        <f>_xlfn.XLOOKUP(CustomerCombinedCleaned[[#This Row],[ID]], Table4[ID], Table4[Visits], "Not Found", 0)</f>
        <v>3</v>
      </c>
      <c r="W1329" s="16">
        <f>_xlfn.XLOOKUP(CustomerCombinedCleaned[[#This Row],[ID]], Table2[ID],Table2[Complaint], "Not Found", 0 )</f>
        <v>0</v>
      </c>
      <c r="X1329" s="16">
        <f>_xlfn.XLOOKUP(CustomerCombinedCleaned[[#This Row],[ID]], Table2[ID],Table2[Pilot], "Not Found", 0 )</f>
        <v>0</v>
      </c>
      <c r="Y1329" s="16">
        <f>_xlfn.XLOOKUP(CustomerCombinedCleaned[[#This Row],[ID]], Table2[ID],Table2[MC1], "Not Found", 0 )</f>
        <v>0</v>
      </c>
      <c r="Z1329" s="16">
        <f>_xlfn.XLOOKUP(CustomerCombinedCleaned[[#This Row],[ID]], Table2[ID],Table2[MC2], "Not Found", 0 )</f>
        <v>0</v>
      </c>
      <c r="AA1329" s="16">
        <f>_xlfn.XLOOKUP(CustomerCombinedCleaned[[#This Row],[ID]], Table2[ID],Table2[MC3], "Not Found", 0 )</f>
        <v>0</v>
      </c>
      <c r="AB1329" s="16">
        <f>_xlfn.XLOOKUP(CustomerCombinedCleaned[[#This Row],[ID]], Table2[ID],Table2[MC4], "Not Found", 0 )</f>
        <v>0</v>
      </c>
      <c r="AC1329" s="16">
        <f>_xlfn.XLOOKUP(CustomerCombinedCleaned[[#This Row],[ID]], Table2[ID],Table2[MC5], "Not Found", 0 )</f>
        <v>0</v>
      </c>
    </row>
    <row r="1330" spans="1:29" x14ac:dyDescent="0.3">
      <c r="A1330" s="18">
        <v>1891</v>
      </c>
      <c r="B1330" s="16">
        <v>178420</v>
      </c>
      <c r="C1330" s="16">
        <v>0</v>
      </c>
      <c r="D1330" s="16">
        <v>0</v>
      </c>
      <c r="E1330" s="16">
        <v>54</v>
      </c>
      <c r="F1330" s="17" t="s">
        <v>7</v>
      </c>
      <c r="G1330" s="17" t="s">
        <v>13</v>
      </c>
      <c r="H1330" s="3" t="s">
        <v>614</v>
      </c>
      <c r="I1330" s="5" t="s">
        <v>437</v>
      </c>
      <c r="J1330" s="16">
        <f>_xlfn.XLOOKUP(CustomerCombinedCleaned[[#This Row],[ID]], Table4[ID], Table4[Recency], "Not Found", 0)</f>
        <v>75</v>
      </c>
      <c r="K1330" s="16">
        <f>_xlfn.XLOOKUP(CustomerCombinedCleaned[[#This Row],[ID]], Table4[ID], Table4[Teas], "Not Found", 0)</f>
        <v>1374</v>
      </c>
      <c r="L1330" s="16">
        <f>_xlfn.XLOOKUP(CustomerCombinedCleaned[[#This Row],[ID]], Table4[ID], Table4[Fruits], "Not Found", 0)</f>
        <v>64</v>
      </c>
      <c r="M1330" s="16">
        <f>_xlfn.XLOOKUP(CustomerCombinedCleaned[[#This Row],[ID]], Table4[ID], Table4[Meats], "Not Found", 0)</f>
        <v>1533</v>
      </c>
      <c r="N1330" s="16">
        <f>_xlfn.XLOOKUP(CustomerCombinedCleaned[[#This Row],[ID]], Table4[ID], Table4[Seafood], "Not Found", 0)</f>
        <v>207</v>
      </c>
      <c r="O1330" s="16">
        <f>_xlfn.XLOOKUP(CustomerCombinedCleaned[[#This Row],[ID]], Table4[ID], Table4[Sweets], "Not Found", 0)</f>
        <v>64</v>
      </c>
      <c r="P1330" s="16">
        <f>_xlfn.XLOOKUP(CustomerCombinedCleaned[[#This Row],[ID]], Table4[ID], Table4[Premium], "Not Found", 0)</f>
        <v>64</v>
      </c>
      <c r="Q1330" s="16">
        <f>_xlfn.XLOOKUP(CustomerCombinedCleaned[[#This Row],[ID]], Table4[ID], Table4[Regular], "Not Found", 0)</f>
        <v>3178</v>
      </c>
      <c r="R1330" s="16">
        <f>_xlfn.XLOOKUP(CustomerCombinedCleaned[[#This Row],[ID]], Table4[ID], Table4[Deals], "Not Found", 0)</f>
        <v>1</v>
      </c>
      <c r="S1330" s="16">
        <f>_xlfn.XLOOKUP(CustomerCombinedCleaned[[#This Row],[ID]], Table4[ID], Table4[Website], "Not Found", 0)</f>
        <v>3</v>
      </c>
      <c r="T1330" s="16">
        <f>_xlfn.XLOOKUP(CustomerCombinedCleaned[[#This Row],[ID]], Table4[ID], Table4[Catalog], "Not Found", 0)</f>
        <v>10</v>
      </c>
      <c r="U1330" s="16">
        <f>_xlfn.XLOOKUP(CustomerCombinedCleaned[[#This Row],[ID]], Table4[ID], Table4[Store], "Not Found", 0)</f>
        <v>8</v>
      </c>
      <c r="V1330" s="16">
        <f>_xlfn.XLOOKUP(CustomerCombinedCleaned[[#This Row],[ID]], Table4[ID], Table4[Visits], "Not Found", 0)</f>
        <v>1</v>
      </c>
      <c r="W1330" s="16">
        <f>_xlfn.XLOOKUP(CustomerCombinedCleaned[[#This Row],[ID]], Table2[ID],Table2[Complaint], "Not Found", 0 )</f>
        <v>0</v>
      </c>
      <c r="X1330" s="16">
        <f>_xlfn.XLOOKUP(CustomerCombinedCleaned[[#This Row],[ID]], Table2[ID],Table2[Pilot], "Not Found", 0 )</f>
        <v>0</v>
      </c>
      <c r="Y1330" s="16">
        <f>_xlfn.XLOOKUP(CustomerCombinedCleaned[[#This Row],[ID]], Table2[ID],Table2[MC1], "Not Found", 0 )</f>
        <v>0</v>
      </c>
      <c r="Z1330" s="16">
        <f>_xlfn.XLOOKUP(CustomerCombinedCleaned[[#This Row],[ID]], Table2[ID],Table2[MC2], "Not Found", 0 )</f>
        <v>0</v>
      </c>
      <c r="AA1330" s="16">
        <f>_xlfn.XLOOKUP(CustomerCombinedCleaned[[#This Row],[ID]], Table2[ID],Table2[MC3], "Not Found", 0 )</f>
        <v>0</v>
      </c>
      <c r="AB1330" s="16">
        <f>_xlfn.XLOOKUP(CustomerCombinedCleaned[[#This Row],[ID]], Table2[ID],Table2[MC4], "Not Found", 0 )</f>
        <v>0</v>
      </c>
      <c r="AC1330" s="16">
        <f>_xlfn.XLOOKUP(CustomerCombinedCleaned[[#This Row],[ID]], Table2[ID],Table2[MC5], "Not Found", 0 )</f>
        <v>0</v>
      </c>
    </row>
    <row r="1331" spans="1:29" x14ac:dyDescent="0.3">
      <c r="A1331" s="18">
        <v>2052</v>
      </c>
      <c r="B1331" s="16">
        <v>170713</v>
      </c>
      <c r="C1331" s="16">
        <v>0</v>
      </c>
      <c r="D1331" s="16">
        <v>1</v>
      </c>
      <c r="E1331" s="16">
        <v>54</v>
      </c>
      <c r="F1331" s="17" t="s">
        <v>8</v>
      </c>
      <c r="G1331" s="17" t="s">
        <v>11</v>
      </c>
      <c r="H1331" s="3" t="s">
        <v>541</v>
      </c>
      <c r="I1331" s="5" t="s">
        <v>436</v>
      </c>
      <c r="J1331" s="16">
        <f>_xlfn.XLOOKUP(CustomerCombinedCleaned[[#This Row],[ID]], Table4[ID], Table4[Recency], "Not Found", 0)</f>
        <v>23</v>
      </c>
      <c r="K1331" s="16">
        <f>_xlfn.XLOOKUP(CustomerCombinedCleaned[[#This Row],[ID]], Table4[ID], Table4[Teas], "Not Found", 0)</f>
        <v>1777</v>
      </c>
      <c r="L1331" s="16">
        <f>_xlfn.XLOOKUP(CustomerCombinedCleaned[[#This Row],[ID]], Table4[ID], Table4[Fruits], "Not Found", 0)</f>
        <v>275</v>
      </c>
      <c r="M1331" s="16">
        <f>_xlfn.XLOOKUP(CustomerCombinedCleaned[[#This Row],[ID]], Table4[ID], Table4[Meats], "Not Found", 0)</f>
        <v>674</v>
      </c>
      <c r="N1331" s="16">
        <f>_xlfn.XLOOKUP(CustomerCombinedCleaned[[#This Row],[ID]], Table4[ID], Table4[Seafood], "Not Found", 0)</f>
        <v>198</v>
      </c>
      <c r="O1331" s="16">
        <f>_xlfn.XLOOKUP(CustomerCombinedCleaned[[#This Row],[ID]], Table4[ID], Table4[Sweets], "Not Found", 0)</f>
        <v>183</v>
      </c>
      <c r="P1331" s="16">
        <f>_xlfn.XLOOKUP(CustomerCombinedCleaned[[#This Row],[ID]], Table4[ID], Table4[Premium], "Not Found", 0)</f>
        <v>459</v>
      </c>
      <c r="Q1331" s="16">
        <f>_xlfn.XLOOKUP(CustomerCombinedCleaned[[#This Row],[ID]], Table4[ID], Table4[Regular], "Not Found", 0)</f>
        <v>2648</v>
      </c>
      <c r="R1331" s="16">
        <f>_xlfn.XLOOKUP(CustomerCombinedCleaned[[#This Row],[ID]], Table4[ID], Table4[Deals], "Not Found", 0)</f>
        <v>6</v>
      </c>
      <c r="S1331" s="16">
        <f>_xlfn.XLOOKUP(CustomerCombinedCleaned[[#This Row],[ID]], Table4[ID], Table4[Website], "Not Found", 0)</f>
        <v>5</v>
      </c>
      <c r="T1331" s="16">
        <f>_xlfn.XLOOKUP(CustomerCombinedCleaned[[#This Row],[ID]], Table4[ID], Table4[Catalog], "Not Found", 0)</f>
        <v>6</v>
      </c>
      <c r="U1331" s="16">
        <f>_xlfn.XLOOKUP(CustomerCombinedCleaned[[#This Row],[ID]], Table4[ID], Table4[Store], "Not Found", 0)</f>
        <v>8</v>
      </c>
      <c r="V1331" s="16">
        <f>_xlfn.XLOOKUP(CustomerCombinedCleaned[[#This Row],[ID]], Table4[ID], Table4[Visits], "Not Found", 0)</f>
        <v>3</v>
      </c>
      <c r="W1331" s="16">
        <f>_xlfn.XLOOKUP(CustomerCombinedCleaned[[#This Row],[ID]], Table2[ID],Table2[Complaint], "Not Found", 0 )</f>
        <v>0</v>
      </c>
      <c r="X1331" s="16">
        <f>_xlfn.XLOOKUP(CustomerCombinedCleaned[[#This Row],[ID]], Table2[ID],Table2[Pilot], "Not Found", 0 )</f>
        <v>0</v>
      </c>
      <c r="Y1331" s="16">
        <f>_xlfn.XLOOKUP(CustomerCombinedCleaned[[#This Row],[ID]], Table2[ID],Table2[MC1], "Not Found", 0 )</f>
        <v>0</v>
      </c>
      <c r="Z1331" s="16">
        <f>_xlfn.XLOOKUP(CustomerCombinedCleaned[[#This Row],[ID]], Table2[ID],Table2[MC2], "Not Found", 0 )</f>
        <v>0</v>
      </c>
      <c r="AA1331" s="16">
        <f>_xlfn.XLOOKUP(CustomerCombinedCleaned[[#This Row],[ID]], Table2[ID],Table2[MC3], "Not Found", 0 )</f>
        <v>0</v>
      </c>
      <c r="AB1331" s="16">
        <f>_xlfn.XLOOKUP(CustomerCombinedCleaned[[#This Row],[ID]], Table2[ID],Table2[MC4], "Not Found", 0 )</f>
        <v>0</v>
      </c>
      <c r="AC1331" s="16">
        <f>_xlfn.XLOOKUP(CustomerCombinedCleaned[[#This Row],[ID]], Table2[ID],Table2[MC5], "Not Found", 0 )</f>
        <v>0</v>
      </c>
    </row>
    <row r="1332" spans="1:29" x14ac:dyDescent="0.3">
      <c r="A1332" s="18">
        <v>1053</v>
      </c>
      <c r="B1332" s="16">
        <v>170287</v>
      </c>
      <c r="C1332" s="16">
        <v>0</v>
      </c>
      <c r="D1332" s="16">
        <v>0</v>
      </c>
      <c r="E1332" s="16">
        <v>54</v>
      </c>
      <c r="F1332" s="17" t="s">
        <v>5</v>
      </c>
      <c r="G1332" s="17" t="s">
        <v>11</v>
      </c>
      <c r="H1332" s="3" t="s">
        <v>669</v>
      </c>
      <c r="I1332" s="5" t="s">
        <v>435</v>
      </c>
      <c r="J1332" s="16">
        <f>_xlfn.XLOOKUP(CustomerCombinedCleaned[[#This Row],[ID]], Table4[ID], Table4[Recency], "Not Found", 0)</f>
        <v>30</v>
      </c>
      <c r="K1332" s="16">
        <f>_xlfn.XLOOKUP(CustomerCombinedCleaned[[#This Row],[ID]], Table4[ID], Table4[Teas], "Not Found", 0)</f>
        <v>715</v>
      </c>
      <c r="L1332" s="16">
        <f>_xlfn.XLOOKUP(CustomerCombinedCleaned[[#This Row],[ID]], Table4[ID], Table4[Fruits], "Not Found", 0)</f>
        <v>85</v>
      </c>
      <c r="M1332" s="16">
        <f>_xlfn.XLOOKUP(CustomerCombinedCleaned[[#This Row],[ID]], Table4[ID], Table4[Meats], "Not Found", 0)</f>
        <v>1168</v>
      </c>
      <c r="N1332" s="16">
        <f>_xlfn.XLOOKUP(CustomerCombinedCleaned[[#This Row],[ID]], Table4[ID], Table4[Seafood], "Not Found", 0)</f>
        <v>293</v>
      </c>
      <c r="O1332" s="16">
        <f>_xlfn.XLOOKUP(CustomerCombinedCleaned[[#This Row],[ID]], Table4[ID], Table4[Sweets], "Not Found", 0)</f>
        <v>291</v>
      </c>
      <c r="P1332" s="16">
        <f>_xlfn.XLOOKUP(CustomerCombinedCleaned[[#This Row],[ID]], Table4[ID], Table4[Premium], "Not Found", 0)</f>
        <v>97</v>
      </c>
      <c r="Q1332" s="16">
        <f>_xlfn.XLOOKUP(CustomerCombinedCleaned[[#This Row],[ID]], Table4[ID], Table4[Regular], "Not Found", 0)</f>
        <v>2454</v>
      </c>
      <c r="R1332" s="16">
        <f>_xlfn.XLOOKUP(CustomerCombinedCleaned[[#This Row],[ID]], Table4[ID], Table4[Deals], "Not Found", 0)</f>
        <v>1</v>
      </c>
      <c r="S1332" s="16">
        <f>_xlfn.XLOOKUP(CustomerCombinedCleaned[[#This Row],[ID]], Table4[ID], Table4[Website], "Not Found", 0)</f>
        <v>5</v>
      </c>
      <c r="T1332" s="16">
        <f>_xlfn.XLOOKUP(CustomerCombinedCleaned[[#This Row],[ID]], Table4[ID], Table4[Catalog], "Not Found", 0)</f>
        <v>5</v>
      </c>
      <c r="U1332" s="16">
        <f>_xlfn.XLOOKUP(CustomerCombinedCleaned[[#This Row],[ID]], Table4[ID], Table4[Store], "Not Found", 0)</f>
        <v>10</v>
      </c>
      <c r="V1332" s="16">
        <f>_xlfn.XLOOKUP(CustomerCombinedCleaned[[#This Row],[ID]], Table4[ID], Table4[Visits], "Not Found", 0)</f>
        <v>3</v>
      </c>
      <c r="W1332" s="16">
        <f>_xlfn.XLOOKUP(CustomerCombinedCleaned[[#This Row],[ID]], Table2[ID],Table2[Complaint], "Not Found", 0 )</f>
        <v>0</v>
      </c>
      <c r="X1332" s="16">
        <f>_xlfn.XLOOKUP(CustomerCombinedCleaned[[#This Row],[ID]], Table2[ID],Table2[Pilot], "Not Found", 0 )</f>
        <v>1</v>
      </c>
      <c r="Y1332" s="16">
        <f>_xlfn.XLOOKUP(CustomerCombinedCleaned[[#This Row],[ID]], Table2[ID],Table2[MC1], "Not Found", 0 )</f>
        <v>0</v>
      </c>
      <c r="Z1332" s="16">
        <f>_xlfn.XLOOKUP(CustomerCombinedCleaned[[#This Row],[ID]], Table2[ID],Table2[MC2], "Not Found", 0 )</f>
        <v>0</v>
      </c>
      <c r="AA1332" s="16">
        <f>_xlfn.XLOOKUP(CustomerCombinedCleaned[[#This Row],[ID]], Table2[ID],Table2[MC3], "Not Found", 0 )</f>
        <v>0</v>
      </c>
      <c r="AB1332" s="16">
        <f>_xlfn.XLOOKUP(CustomerCombinedCleaned[[#This Row],[ID]], Table2[ID],Table2[MC4], "Not Found", 0 )</f>
        <v>0</v>
      </c>
      <c r="AC1332" s="16">
        <f>_xlfn.XLOOKUP(CustomerCombinedCleaned[[#This Row],[ID]], Table2[ID],Table2[MC5], "Not Found", 0 )</f>
        <v>0</v>
      </c>
    </row>
    <row r="1333" spans="1:29" x14ac:dyDescent="0.3">
      <c r="A1333" s="18">
        <v>1336</v>
      </c>
      <c r="B1333" s="16">
        <v>169759</v>
      </c>
      <c r="C1333" s="16">
        <v>0</v>
      </c>
      <c r="D1333" s="16">
        <v>0</v>
      </c>
      <c r="E1333" s="16">
        <v>54</v>
      </c>
      <c r="F1333" s="17" t="s">
        <v>7</v>
      </c>
      <c r="G1333" s="17" t="s">
        <v>13</v>
      </c>
      <c r="H1333" s="3" t="s">
        <v>616</v>
      </c>
      <c r="I1333" s="5" t="s">
        <v>439</v>
      </c>
      <c r="J1333" s="16">
        <f>_xlfn.XLOOKUP(CustomerCombinedCleaned[[#This Row],[ID]], Table4[ID], Table4[Recency], "Not Found", 0)</f>
        <v>38</v>
      </c>
      <c r="K1333" s="16">
        <f>_xlfn.XLOOKUP(CustomerCombinedCleaned[[#This Row],[ID]], Table4[ID], Table4[Teas], "Not Found", 0)</f>
        <v>1100</v>
      </c>
      <c r="L1333" s="16">
        <f>_xlfn.XLOOKUP(CustomerCombinedCleaned[[#This Row],[ID]], Table4[ID], Table4[Fruits], "Not Found", 0)</f>
        <v>49</v>
      </c>
      <c r="M1333" s="16">
        <f>_xlfn.XLOOKUP(CustomerCombinedCleaned[[#This Row],[ID]], Table4[ID], Table4[Meats], "Not Found", 0)</f>
        <v>1251</v>
      </c>
      <c r="N1333" s="16">
        <f>_xlfn.XLOOKUP(CustomerCombinedCleaned[[#This Row],[ID]], Table4[ID], Table4[Seafood], "Not Found", 0)</f>
        <v>32</v>
      </c>
      <c r="O1333" s="16">
        <f>_xlfn.XLOOKUP(CustomerCombinedCleaned[[#This Row],[ID]], Table4[ID], Table4[Sweets], "Not Found", 0)</f>
        <v>73</v>
      </c>
      <c r="P1333" s="16">
        <f>_xlfn.XLOOKUP(CustomerCombinedCleaned[[#This Row],[ID]], Table4[ID], Table4[Premium], "Not Found", 0)</f>
        <v>0</v>
      </c>
      <c r="Q1333" s="16">
        <f>_xlfn.XLOOKUP(CustomerCombinedCleaned[[#This Row],[ID]], Table4[ID], Table4[Regular], "Not Found", 0)</f>
        <v>2504</v>
      </c>
      <c r="R1333" s="16">
        <f>_xlfn.XLOOKUP(CustomerCombinedCleaned[[#This Row],[ID]], Table4[ID], Table4[Deals], "Not Found", 0)</f>
        <v>3</v>
      </c>
      <c r="S1333" s="16">
        <f>_xlfn.XLOOKUP(CustomerCombinedCleaned[[#This Row],[ID]], Table4[ID], Table4[Website], "Not Found", 0)</f>
        <v>4</v>
      </c>
      <c r="T1333" s="16">
        <f>_xlfn.XLOOKUP(CustomerCombinedCleaned[[#This Row],[ID]], Table4[ID], Table4[Catalog], "Not Found", 0)</f>
        <v>6</v>
      </c>
      <c r="U1333" s="16">
        <f>_xlfn.XLOOKUP(CustomerCombinedCleaned[[#This Row],[ID]], Table4[ID], Table4[Store], "Not Found", 0)</f>
        <v>5</v>
      </c>
      <c r="V1333" s="16">
        <f>_xlfn.XLOOKUP(CustomerCombinedCleaned[[#This Row],[ID]], Table4[ID], Table4[Visits], "Not Found", 0)</f>
        <v>3</v>
      </c>
      <c r="W1333" s="16">
        <f>_xlfn.XLOOKUP(CustomerCombinedCleaned[[#This Row],[ID]], Table2[ID],Table2[Complaint], "Not Found", 0 )</f>
        <v>0</v>
      </c>
      <c r="X1333" s="16">
        <f>_xlfn.XLOOKUP(CustomerCombinedCleaned[[#This Row],[ID]], Table2[ID],Table2[Pilot], "Not Found", 0 )</f>
        <v>1</v>
      </c>
      <c r="Y1333" s="16">
        <f>_xlfn.XLOOKUP(CustomerCombinedCleaned[[#This Row],[ID]], Table2[ID],Table2[MC1], "Not Found", 0 )</f>
        <v>0</v>
      </c>
      <c r="Z1333" s="16">
        <f>_xlfn.XLOOKUP(CustomerCombinedCleaned[[#This Row],[ID]], Table2[ID],Table2[MC2], "Not Found", 0 )</f>
        <v>0</v>
      </c>
      <c r="AA1333" s="16">
        <f>_xlfn.XLOOKUP(CustomerCombinedCleaned[[#This Row],[ID]], Table2[ID],Table2[MC3], "Not Found", 0 )</f>
        <v>0</v>
      </c>
      <c r="AB1333" s="16">
        <f>_xlfn.XLOOKUP(CustomerCombinedCleaned[[#This Row],[ID]], Table2[ID],Table2[MC4], "Not Found", 0 )</f>
        <v>0</v>
      </c>
      <c r="AC1333" s="16">
        <f>_xlfn.XLOOKUP(CustomerCombinedCleaned[[#This Row],[ID]], Table2[ID],Table2[MC5], "Not Found", 0 )</f>
        <v>0</v>
      </c>
    </row>
    <row r="1334" spans="1:29" x14ac:dyDescent="0.3">
      <c r="A1334" s="18">
        <v>2835</v>
      </c>
      <c r="B1334" s="16">
        <v>169063</v>
      </c>
      <c r="C1334" s="16">
        <v>0</v>
      </c>
      <c r="D1334" s="16">
        <v>1</v>
      </c>
      <c r="E1334" s="16">
        <v>54</v>
      </c>
      <c r="F1334" s="17" t="s">
        <v>6</v>
      </c>
      <c r="G1334" s="17" t="s">
        <v>13</v>
      </c>
      <c r="H1334" s="3" t="s">
        <v>368</v>
      </c>
      <c r="I1334" s="5" t="s">
        <v>435</v>
      </c>
      <c r="J1334" s="16">
        <f>_xlfn.XLOOKUP(CustomerCombinedCleaned[[#This Row],[ID]], Table4[ID], Table4[Recency], "Not Found", 0)</f>
        <v>16</v>
      </c>
      <c r="K1334" s="16">
        <f>_xlfn.XLOOKUP(CustomerCombinedCleaned[[#This Row],[ID]], Table4[ID], Table4[Teas], "Not Found", 0)</f>
        <v>1630</v>
      </c>
      <c r="L1334" s="16">
        <f>_xlfn.XLOOKUP(CustomerCombinedCleaned[[#This Row],[ID]], Table4[ID], Table4[Fruits], "Not Found", 0)</f>
        <v>86</v>
      </c>
      <c r="M1334" s="16">
        <f>_xlfn.XLOOKUP(CustomerCombinedCleaned[[#This Row],[ID]], Table4[ID], Table4[Meats], "Not Found", 0)</f>
        <v>304</v>
      </c>
      <c r="N1334" s="16">
        <f>_xlfn.XLOOKUP(CustomerCombinedCleaned[[#This Row],[ID]], Table4[ID], Table4[Seafood], "Not Found", 0)</f>
        <v>169</v>
      </c>
      <c r="O1334" s="16">
        <f>_xlfn.XLOOKUP(CustomerCombinedCleaned[[#This Row],[ID]], Table4[ID], Table4[Sweets], "Not Found", 0)</f>
        <v>20</v>
      </c>
      <c r="P1334" s="16">
        <f>_xlfn.XLOOKUP(CustomerCombinedCleaned[[#This Row],[ID]], Table4[ID], Table4[Premium], "Not Found", 0)</f>
        <v>64</v>
      </c>
      <c r="Q1334" s="16">
        <f>_xlfn.XLOOKUP(CustomerCombinedCleaned[[#This Row],[ID]], Table4[ID], Table4[Regular], "Not Found", 0)</f>
        <v>2144</v>
      </c>
      <c r="R1334" s="16">
        <f>_xlfn.XLOOKUP(CustomerCombinedCleaned[[#This Row],[ID]], Table4[ID], Table4[Deals], "Not Found", 0)</f>
        <v>1</v>
      </c>
      <c r="S1334" s="16">
        <f>_xlfn.XLOOKUP(CustomerCombinedCleaned[[#This Row],[ID]], Table4[ID], Table4[Website], "Not Found", 0)</f>
        <v>5</v>
      </c>
      <c r="T1334" s="16">
        <f>_xlfn.XLOOKUP(CustomerCombinedCleaned[[#This Row],[ID]], Table4[ID], Table4[Catalog], "Not Found", 0)</f>
        <v>3</v>
      </c>
      <c r="U1334" s="16">
        <f>_xlfn.XLOOKUP(CustomerCombinedCleaned[[#This Row],[ID]], Table4[ID], Table4[Store], "Not Found", 0)</f>
        <v>5</v>
      </c>
      <c r="V1334" s="16">
        <f>_xlfn.XLOOKUP(CustomerCombinedCleaned[[#This Row],[ID]], Table4[ID], Table4[Visits], "Not Found", 0)</f>
        <v>3</v>
      </c>
      <c r="W1334" s="16">
        <f>_xlfn.XLOOKUP(CustomerCombinedCleaned[[#This Row],[ID]], Table2[ID],Table2[Complaint], "Not Found", 0 )</f>
        <v>0</v>
      </c>
      <c r="X1334" s="16">
        <f>_xlfn.XLOOKUP(CustomerCombinedCleaned[[#This Row],[ID]], Table2[ID],Table2[Pilot], "Not Found", 0 )</f>
        <v>0</v>
      </c>
      <c r="Y1334" s="16">
        <f>_xlfn.XLOOKUP(CustomerCombinedCleaned[[#This Row],[ID]], Table2[ID],Table2[MC1], "Not Found", 0 )</f>
        <v>0</v>
      </c>
      <c r="Z1334" s="16">
        <f>_xlfn.XLOOKUP(CustomerCombinedCleaned[[#This Row],[ID]], Table2[ID],Table2[MC2], "Not Found", 0 )</f>
        <v>0</v>
      </c>
      <c r="AA1334" s="16">
        <f>_xlfn.XLOOKUP(CustomerCombinedCleaned[[#This Row],[ID]], Table2[ID],Table2[MC3], "Not Found", 0 )</f>
        <v>0</v>
      </c>
      <c r="AB1334" s="16">
        <f>_xlfn.XLOOKUP(CustomerCombinedCleaned[[#This Row],[ID]], Table2[ID],Table2[MC4], "Not Found", 0 )</f>
        <v>0</v>
      </c>
      <c r="AC1334" s="16">
        <f>_xlfn.XLOOKUP(CustomerCombinedCleaned[[#This Row],[ID]], Table2[ID],Table2[MC5], "Not Found", 0 )</f>
        <v>0</v>
      </c>
    </row>
    <row r="1335" spans="1:29" x14ac:dyDescent="0.3">
      <c r="A1335" s="18">
        <v>1420</v>
      </c>
      <c r="B1335" s="16">
        <v>167272</v>
      </c>
      <c r="C1335" s="16">
        <v>0</v>
      </c>
      <c r="D1335" s="16">
        <v>1</v>
      </c>
      <c r="E1335" s="16">
        <v>54</v>
      </c>
      <c r="F1335" s="17" t="s">
        <v>5</v>
      </c>
      <c r="G1335" s="17" t="s">
        <v>11</v>
      </c>
      <c r="H1335" s="3" t="s">
        <v>127</v>
      </c>
      <c r="I1335" s="5" t="s">
        <v>439</v>
      </c>
      <c r="J1335" s="16">
        <f>_xlfn.XLOOKUP(CustomerCombinedCleaned[[#This Row],[ID]], Table4[ID], Table4[Recency], "Not Found", 0)</f>
        <v>12</v>
      </c>
      <c r="K1335" s="16">
        <f>_xlfn.XLOOKUP(CustomerCombinedCleaned[[#This Row],[ID]], Table4[ID], Table4[Teas], "Not Found", 0)</f>
        <v>888</v>
      </c>
      <c r="L1335" s="16">
        <f>_xlfn.XLOOKUP(CustomerCombinedCleaned[[#This Row],[ID]], Table4[ID], Table4[Fruits], "Not Found", 0)</f>
        <v>87</v>
      </c>
      <c r="M1335" s="16">
        <f>_xlfn.XLOOKUP(CustomerCombinedCleaned[[#This Row],[ID]], Table4[ID], Table4[Meats], "Not Found", 0)</f>
        <v>674</v>
      </c>
      <c r="N1335" s="16">
        <f>_xlfn.XLOOKUP(CustomerCombinedCleaned[[#This Row],[ID]], Table4[ID], Table4[Seafood], "Not Found", 0)</f>
        <v>70</v>
      </c>
      <c r="O1335" s="16">
        <f>_xlfn.XLOOKUP(CustomerCombinedCleaned[[#This Row],[ID]], Table4[ID], Table4[Sweets], "Not Found", 0)</f>
        <v>70</v>
      </c>
      <c r="P1335" s="16">
        <f>_xlfn.XLOOKUP(CustomerCombinedCleaned[[#This Row],[ID]], Table4[ID], Table4[Premium], "Not Found", 0)</f>
        <v>35</v>
      </c>
      <c r="Q1335" s="16">
        <f>_xlfn.XLOOKUP(CustomerCombinedCleaned[[#This Row],[ID]], Table4[ID], Table4[Regular], "Not Found", 0)</f>
        <v>1753</v>
      </c>
      <c r="R1335" s="16">
        <f>_xlfn.XLOOKUP(CustomerCombinedCleaned[[#This Row],[ID]], Table4[ID], Table4[Deals], "Not Found", 0)</f>
        <v>3</v>
      </c>
      <c r="S1335" s="16">
        <f>_xlfn.XLOOKUP(CustomerCombinedCleaned[[#This Row],[ID]], Table4[ID], Table4[Website], "Not Found", 0)</f>
        <v>6</v>
      </c>
      <c r="T1335" s="16">
        <f>_xlfn.XLOOKUP(CustomerCombinedCleaned[[#This Row],[ID]], Table4[ID], Table4[Catalog], "Not Found", 0)</f>
        <v>2</v>
      </c>
      <c r="U1335" s="16">
        <f>_xlfn.XLOOKUP(CustomerCombinedCleaned[[#This Row],[ID]], Table4[ID], Table4[Store], "Not Found", 0)</f>
        <v>12</v>
      </c>
      <c r="V1335" s="16">
        <f>_xlfn.XLOOKUP(CustomerCombinedCleaned[[#This Row],[ID]], Table4[ID], Table4[Visits], "Not Found", 0)</f>
        <v>5</v>
      </c>
      <c r="W1335" s="16">
        <f>_xlfn.XLOOKUP(CustomerCombinedCleaned[[#This Row],[ID]], Table2[ID],Table2[Complaint], "Not Found", 0 )</f>
        <v>0</v>
      </c>
      <c r="X1335" s="16">
        <f>_xlfn.XLOOKUP(CustomerCombinedCleaned[[#This Row],[ID]], Table2[ID],Table2[Pilot], "Not Found", 0 )</f>
        <v>0</v>
      </c>
      <c r="Y1335" s="16">
        <f>_xlfn.XLOOKUP(CustomerCombinedCleaned[[#This Row],[ID]], Table2[ID],Table2[MC1], "Not Found", 0 )</f>
        <v>0</v>
      </c>
      <c r="Z1335" s="16">
        <f>_xlfn.XLOOKUP(CustomerCombinedCleaned[[#This Row],[ID]], Table2[ID],Table2[MC2], "Not Found", 0 )</f>
        <v>0</v>
      </c>
      <c r="AA1335" s="16">
        <f>_xlfn.XLOOKUP(CustomerCombinedCleaned[[#This Row],[ID]], Table2[ID],Table2[MC3], "Not Found", 0 )</f>
        <v>0</v>
      </c>
      <c r="AB1335" s="16">
        <f>_xlfn.XLOOKUP(CustomerCombinedCleaned[[#This Row],[ID]], Table2[ID],Table2[MC4], "Not Found", 0 )</f>
        <v>0</v>
      </c>
      <c r="AC1335" s="16">
        <f>_xlfn.XLOOKUP(CustomerCombinedCleaned[[#This Row],[ID]], Table2[ID],Table2[MC5], "Not Found", 0 )</f>
        <v>0</v>
      </c>
    </row>
    <row r="1336" spans="1:29" x14ac:dyDescent="0.3">
      <c r="A1336" s="18">
        <v>2984</v>
      </c>
      <c r="B1336" s="16">
        <v>165814</v>
      </c>
      <c r="C1336" s="16">
        <v>0</v>
      </c>
      <c r="D1336" s="16">
        <v>1</v>
      </c>
      <c r="E1336" s="16">
        <v>54</v>
      </c>
      <c r="F1336" s="17" t="s">
        <v>8</v>
      </c>
      <c r="G1336" s="17" t="s">
        <v>13</v>
      </c>
      <c r="H1336" s="3" t="s">
        <v>691</v>
      </c>
      <c r="I1336" s="5" t="s">
        <v>438</v>
      </c>
      <c r="J1336" s="16">
        <f>_xlfn.XLOOKUP(CustomerCombinedCleaned[[#This Row],[ID]], Table4[ID], Table4[Recency], "Not Found", 0)</f>
        <v>90</v>
      </c>
      <c r="K1336" s="16">
        <f>_xlfn.XLOOKUP(CustomerCombinedCleaned[[#This Row],[ID]], Table4[ID], Table4[Teas], "Not Found", 0)</f>
        <v>1413</v>
      </c>
      <c r="L1336" s="16">
        <f>_xlfn.XLOOKUP(CustomerCombinedCleaned[[#This Row],[ID]], Table4[ID], Table4[Fruits], "Not Found", 0)</f>
        <v>35</v>
      </c>
      <c r="M1336" s="16">
        <f>_xlfn.XLOOKUP(CustomerCombinedCleaned[[#This Row],[ID]], Table4[ID], Table4[Meats], "Not Found", 0)</f>
        <v>285</v>
      </c>
      <c r="N1336" s="16">
        <f>_xlfn.XLOOKUP(CustomerCombinedCleaned[[#This Row],[ID]], Table4[ID], Table4[Seafood], "Not Found", 0)</f>
        <v>25</v>
      </c>
      <c r="O1336" s="16">
        <f>_xlfn.XLOOKUP(CustomerCombinedCleaned[[#This Row],[ID]], Table4[ID], Table4[Sweets], "Not Found", 0)</f>
        <v>35</v>
      </c>
      <c r="P1336" s="16">
        <f>_xlfn.XLOOKUP(CustomerCombinedCleaned[[#This Row],[ID]], Table4[ID], Table4[Premium], "Not Found", 0)</f>
        <v>88</v>
      </c>
      <c r="Q1336" s="16">
        <f>_xlfn.XLOOKUP(CustomerCombinedCleaned[[#This Row],[ID]], Table4[ID], Table4[Regular], "Not Found", 0)</f>
        <v>1706</v>
      </c>
      <c r="R1336" s="16">
        <f>_xlfn.XLOOKUP(CustomerCombinedCleaned[[#This Row],[ID]], Table4[ID], Table4[Deals], "Not Found", 0)</f>
        <v>3</v>
      </c>
      <c r="S1336" s="16">
        <f>_xlfn.XLOOKUP(CustomerCombinedCleaned[[#This Row],[ID]], Table4[ID], Table4[Website], "Not Found", 0)</f>
        <v>8</v>
      </c>
      <c r="T1336" s="16">
        <f>_xlfn.XLOOKUP(CustomerCombinedCleaned[[#This Row],[ID]], Table4[ID], Table4[Catalog], "Not Found", 0)</f>
        <v>2</v>
      </c>
      <c r="U1336" s="16">
        <f>_xlfn.XLOOKUP(CustomerCombinedCleaned[[#This Row],[ID]], Table4[ID], Table4[Store], "Not Found", 0)</f>
        <v>10</v>
      </c>
      <c r="V1336" s="16">
        <f>_xlfn.XLOOKUP(CustomerCombinedCleaned[[#This Row],[ID]], Table4[ID], Table4[Visits], "Not Found", 0)</f>
        <v>5</v>
      </c>
      <c r="W1336" s="16">
        <f>_xlfn.XLOOKUP(CustomerCombinedCleaned[[#This Row],[ID]], Table2[ID],Table2[Complaint], "Not Found", 0 )</f>
        <v>0</v>
      </c>
      <c r="X1336" s="16">
        <f>_xlfn.XLOOKUP(CustomerCombinedCleaned[[#This Row],[ID]], Table2[ID],Table2[Pilot], "Not Found", 0 )</f>
        <v>0</v>
      </c>
      <c r="Y1336" s="16">
        <f>_xlfn.XLOOKUP(CustomerCombinedCleaned[[#This Row],[ID]], Table2[ID],Table2[MC1], "Not Found", 0 )</f>
        <v>0</v>
      </c>
      <c r="Z1336" s="16">
        <f>_xlfn.XLOOKUP(CustomerCombinedCleaned[[#This Row],[ID]], Table2[ID],Table2[MC2], "Not Found", 0 )</f>
        <v>0</v>
      </c>
      <c r="AA1336" s="16">
        <f>_xlfn.XLOOKUP(CustomerCombinedCleaned[[#This Row],[ID]], Table2[ID],Table2[MC3], "Not Found", 0 )</f>
        <v>0</v>
      </c>
      <c r="AB1336" s="16">
        <f>_xlfn.XLOOKUP(CustomerCombinedCleaned[[#This Row],[ID]], Table2[ID],Table2[MC4], "Not Found", 0 )</f>
        <v>0</v>
      </c>
      <c r="AC1336" s="16">
        <f>_xlfn.XLOOKUP(CustomerCombinedCleaned[[#This Row],[ID]], Table2[ID],Table2[MC5], "Not Found", 0 )</f>
        <v>0</v>
      </c>
    </row>
    <row r="1337" spans="1:29" x14ac:dyDescent="0.3">
      <c r="A1337" s="18">
        <v>1357</v>
      </c>
      <c r="B1337" s="16">
        <v>163810</v>
      </c>
      <c r="C1337" s="16">
        <v>0</v>
      </c>
      <c r="D1337" s="16">
        <v>1</v>
      </c>
      <c r="E1337" s="16">
        <v>54</v>
      </c>
      <c r="F1337" s="17" t="s">
        <v>7</v>
      </c>
      <c r="G1337" s="17" t="s">
        <v>11</v>
      </c>
      <c r="H1337" s="3" t="s">
        <v>364</v>
      </c>
      <c r="I1337" s="5" t="s">
        <v>437</v>
      </c>
      <c r="J1337" s="16">
        <f>_xlfn.XLOOKUP(CustomerCombinedCleaned[[#This Row],[ID]], Table4[ID], Table4[Recency], "Not Found", 0)</f>
        <v>45</v>
      </c>
      <c r="K1337" s="16">
        <f>_xlfn.XLOOKUP(CustomerCombinedCleaned[[#This Row],[ID]], Table4[ID], Table4[Teas], "Not Found", 0)</f>
        <v>2508</v>
      </c>
      <c r="L1337" s="16">
        <f>_xlfn.XLOOKUP(CustomerCombinedCleaned[[#This Row],[ID]], Table4[ID], Table4[Fruits], "Not Found", 0)</f>
        <v>31</v>
      </c>
      <c r="M1337" s="16">
        <f>_xlfn.XLOOKUP(CustomerCombinedCleaned[[#This Row],[ID]], Table4[ID], Table4[Meats], "Not Found", 0)</f>
        <v>649</v>
      </c>
      <c r="N1337" s="16">
        <f>_xlfn.XLOOKUP(CustomerCombinedCleaned[[#This Row],[ID]], Table4[ID], Table4[Seafood], "Not Found", 0)</f>
        <v>41</v>
      </c>
      <c r="O1337" s="16">
        <f>_xlfn.XLOOKUP(CustomerCombinedCleaned[[#This Row],[ID]], Table4[ID], Table4[Sweets], "Not Found", 0)</f>
        <v>31</v>
      </c>
      <c r="P1337" s="16">
        <f>_xlfn.XLOOKUP(CustomerCombinedCleaned[[#This Row],[ID]], Table4[ID], Table4[Premium], "Not Found", 0)</f>
        <v>259</v>
      </c>
      <c r="Q1337" s="16">
        <f>_xlfn.XLOOKUP(CustomerCombinedCleaned[[#This Row],[ID]], Table4[ID], Table4[Regular], "Not Found", 0)</f>
        <v>3001</v>
      </c>
      <c r="R1337" s="16">
        <f>_xlfn.XLOOKUP(CustomerCombinedCleaned[[#This Row],[ID]], Table4[ID], Table4[Deals], "Not Found", 0)</f>
        <v>4</v>
      </c>
      <c r="S1337" s="16">
        <f>_xlfn.XLOOKUP(CustomerCombinedCleaned[[#This Row],[ID]], Table4[ID], Table4[Website], "Not Found", 0)</f>
        <v>4</v>
      </c>
      <c r="T1337" s="16">
        <f>_xlfn.XLOOKUP(CustomerCombinedCleaned[[#This Row],[ID]], Table4[ID], Table4[Catalog], "Not Found", 0)</f>
        <v>3</v>
      </c>
      <c r="U1337" s="16">
        <f>_xlfn.XLOOKUP(CustomerCombinedCleaned[[#This Row],[ID]], Table4[ID], Table4[Store], "Not Found", 0)</f>
        <v>12</v>
      </c>
      <c r="V1337" s="16">
        <f>_xlfn.XLOOKUP(CustomerCombinedCleaned[[#This Row],[ID]], Table4[ID], Table4[Visits], "Not Found", 0)</f>
        <v>8</v>
      </c>
      <c r="W1337" s="16">
        <f>_xlfn.XLOOKUP(CustomerCombinedCleaned[[#This Row],[ID]], Table2[ID],Table2[Complaint], "Not Found", 0 )</f>
        <v>0</v>
      </c>
      <c r="X1337" s="16">
        <f>_xlfn.XLOOKUP(CustomerCombinedCleaned[[#This Row],[ID]], Table2[ID],Table2[Pilot], "Not Found", 0 )</f>
        <v>0</v>
      </c>
      <c r="Y1337" s="16">
        <f>_xlfn.XLOOKUP(CustomerCombinedCleaned[[#This Row],[ID]], Table2[ID],Table2[MC1], "Not Found", 0 )</f>
        <v>0</v>
      </c>
      <c r="Z1337" s="16">
        <f>_xlfn.XLOOKUP(CustomerCombinedCleaned[[#This Row],[ID]], Table2[ID],Table2[MC2], "Not Found", 0 )</f>
        <v>0</v>
      </c>
      <c r="AA1337" s="16">
        <f>_xlfn.XLOOKUP(CustomerCombinedCleaned[[#This Row],[ID]], Table2[ID],Table2[MC3], "Not Found", 0 )</f>
        <v>0</v>
      </c>
      <c r="AB1337" s="16">
        <f>_xlfn.XLOOKUP(CustomerCombinedCleaned[[#This Row],[ID]], Table2[ID],Table2[MC4], "Not Found", 0 )</f>
        <v>1</v>
      </c>
      <c r="AC1337" s="16">
        <f>_xlfn.XLOOKUP(CustomerCombinedCleaned[[#This Row],[ID]], Table2[ID],Table2[MC5], "Not Found", 0 )</f>
        <v>0</v>
      </c>
    </row>
    <row r="1338" spans="1:29" x14ac:dyDescent="0.3">
      <c r="A1338" s="18">
        <v>2398</v>
      </c>
      <c r="B1338" s="16">
        <v>163810</v>
      </c>
      <c r="C1338" s="16">
        <v>0</v>
      </c>
      <c r="D1338" s="16">
        <v>1</v>
      </c>
      <c r="E1338" s="16">
        <v>54</v>
      </c>
      <c r="F1338" s="17" t="s">
        <v>7</v>
      </c>
      <c r="G1338" s="17" t="s">
        <v>11</v>
      </c>
      <c r="H1338" s="3" t="s">
        <v>364</v>
      </c>
      <c r="I1338" s="5" t="s">
        <v>439</v>
      </c>
      <c r="J1338" s="16">
        <f>_xlfn.XLOOKUP(CustomerCombinedCleaned[[#This Row],[ID]], Table4[ID], Table4[Recency], "Not Found", 0)</f>
        <v>45</v>
      </c>
      <c r="K1338" s="16">
        <f>_xlfn.XLOOKUP(CustomerCombinedCleaned[[#This Row],[ID]], Table4[ID], Table4[Teas], "Not Found", 0)</f>
        <v>2508</v>
      </c>
      <c r="L1338" s="16">
        <f>_xlfn.XLOOKUP(CustomerCombinedCleaned[[#This Row],[ID]], Table4[ID], Table4[Fruits], "Not Found", 0)</f>
        <v>31</v>
      </c>
      <c r="M1338" s="16">
        <f>_xlfn.XLOOKUP(CustomerCombinedCleaned[[#This Row],[ID]], Table4[ID], Table4[Meats], "Not Found", 0)</f>
        <v>649</v>
      </c>
      <c r="N1338" s="16">
        <f>_xlfn.XLOOKUP(CustomerCombinedCleaned[[#This Row],[ID]], Table4[ID], Table4[Seafood], "Not Found", 0)</f>
        <v>41</v>
      </c>
      <c r="O1338" s="16">
        <f>_xlfn.XLOOKUP(CustomerCombinedCleaned[[#This Row],[ID]], Table4[ID], Table4[Sweets], "Not Found", 0)</f>
        <v>31</v>
      </c>
      <c r="P1338" s="16">
        <f>_xlfn.XLOOKUP(CustomerCombinedCleaned[[#This Row],[ID]], Table4[ID], Table4[Premium], "Not Found", 0)</f>
        <v>259</v>
      </c>
      <c r="Q1338" s="16">
        <f>_xlfn.XLOOKUP(CustomerCombinedCleaned[[#This Row],[ID]], Table4[ID], Table4[Regular], "Not Found", 0)</f>
        <v>3001</v>
      </c>
      <c r="R1338" s="16">
        <f>_xlfn.XLOOKUP(CustomerCombinedCleaned[[#This Row],[ID]], Table4[ID], Table4[Deals], "Not Found", 0)</f>
        <v>4</v>
      </c>
      <c r="S1338" s="16">
        <f>_xlfn.XLOOKUP(CustomerCombinedCleaned[[#This Row],[ID]], Table4[ID], Table4[Website], "Not Found", 0)</f>
        <v>4</v>
      </c>
      <c r="T1338" s="16">
        <f>_xlfn.XLOOKUP(CustomerCombinedCleaned[[#This Row],[ID]], Table4[ID], Table4[Catalog], "Not Found", 0)</f>
        <v>3</v>
      </c>
      <c r="U1338" s="16">
        <f>_xlfn.XLOOKUP(CustomerCombinedCleaned[[#This Row],[ID]], Table4[ID], Table4[Store], "Not Found", 0)</f>
        <v>12</v>
      </c>
      <c r="V1338" s="16">
        <f>_xlfn.XLOOKUP(CustomerCombinedCleaned[[#This Row],[ID]], Table4[ID], Table4[Visits], "Not Found", 0)</f>
        <v>8</v>
      </c>
      <c r="W1338" s="16">
        <f>_xlfn.XLOOKUP(CustomerCombinedCleaned[[#This Row],[ID]], Table2[ID],Table2[Complaint], "Not Found", 0 )</f>
        <v>0</v>
      </c>
      <c r="X1338" s="16">
        <f>_xlfn.XLOOKUP(CustomerCombinedCleaned[[#This Row],[ID]], Table2[ID],Table2[Pilot], "Not Found", 0 )</f>
        <v>0</v>
      </c>
      <c r="Y1338" s="16">
        <f>_xlfn.XLOOKUP(CustomerCombinedCleaned[[#This Row],[ID]], Table2[ID],Table2[MC1], "Not Found", 0 )</f>
        <v>0</v>
      </c>
      <c r="Z1338" s="16">
        <f>_xlfn.XLOOKUP(CustomerCombinedCleaned[[#This Row],[ID]], Table2[ID],Table2[MC2], "Not Found", 0 )</f>
        <v>0</v>
      </c>
      <c r="AA1338" s="16">
        <f>_xlfn.XLOOKUP(CustomerCombinedCleaned[[#This Row],[ID]], Table2[ID],Table2[MC3], "Not Found", 0 )</f>
        <v>0</v>
      </c>
      <c r="AB1338" s="16">
        <f>_xlfn.XLOOKUP(CustomerCombinedCleaned[[#This Row],[ID]], Table2[ID],Table2[MC4], "Not Found", 0 )</f>
        <v>1</v>
      </c>
      <c r="AC1338" s="16">
        <f>_xlfn.XLOOKUP(CustomerCombinedCleaned[[#This Row],[ID]], Table2[ID],Table2[MC5], "Not Found", 0 )</f>
        <v>0</v>
      </c>
    </row>
    <row r="1339" spans="1:29" x14ac:dyDescent="0.3">
      <c r="A1339" s="18">
        <v>1176</v>
      </c>
      <c r="B1339" s="16">
        <v>161286</v>
      </c>
      <c r="C1339" s="16">
        <v>0</v>
      </c>
      <c r="D1339" s="16">
        <v>1</v>
      </c>
      <c r="E1339" s="16">
        <v>54</v>
      </c>
      <c r="F1339" s="17" t="s">
        <v>6</v>
      </c>
      <c r="G1339" s="17" t="s">
        <v>11</v>
      </c>
      <c r="H1339" s="3" t="s">
        <v>715</v>
      </c>
      <c r="I1339" s="5" t="s">
        <v>436</v>
      </c>
      <c r="J1339" s="16">
        <f>_xlfn.XLOOKUP(CustomerCombinedCleaned[[#This Row],[ID]], Table4[ID], Table4[Recency], "Not Found", 0)</f>
        <v>34</v>
      </c>
      <c r="K1339" s="16">
        <f>_xlfn.XLOOKUP(CustomerCombinedCleaned[[#This Row],[ID]], Table4[ID], Table4[Teas], "Not Found", 0)</f>
        <v>937</v>
      </c>
      <c r="L1339" s="16">
        <f>_xlfn.XLOOKUP(CustomerCombinedCleaned[[#This Row],[ID]], Table4[ID], Table4[Fruits], "Not Found", 0)</f>
        <v>0</v>
      </c>
      <c r="M1339" s="16">
        <f>_xlfn.XLOOKUP(CustomerCombinedCleaned[[#This Row],[ID]], Table4[ID], Table4[Meats], "Not Found", 0)</f>
        <v>282</v>
      </c>
      <c r="N1339" s="16">
        <f>_xlfn.XLOOKUP(CustomerCombinedCleaned[[#This Row],[ID]], Table4[ID], Table4[Seafood], "Not Found", 0)</f>
        <v>50</v>
      </c>
      <c r="O1339" s="16">
        <f>_xlfn.XLOOKUP(CustomerCombinedCleaned[[#This Row],[ID]], Table4[ID], Table4[Sweets], "Not Found", 0)</f>
        <v>24</v>
      </c>
      <c r="P1339" s="16">
        <f>_xlfn.XLOOKUP(CustomerCombinedCleaned[[#This Row],[ID]], Table4[ID], Table4[Premium], "Not Found", 0)</f>
        <v>308</v>
      </c>
      <c r="Q1339" s="16">
        <f>_xlfn.XLOOKUP(CustomerCombinedCleaned[[#This Row],[ID]], Table4[ID], Table4[Regular], "Not Found", 0)</f>
        <v>984</v>
      </c>
      <c r="R1339" s="16">
        <f>_xlfn.XLOOKUP(CustomerCombinedCleaned[[#This Row],[ID]], Table4[ID], Table4[Deals], "Not Found", 0)</f>
        <v>2</v>
      </c>
      <c r="S1339" s="16">
        <f>_xlfn.XLOOKUP(CustomerCombinedCleaned[[#This Row],[ID]], Table4[ID], Table4[Website], "Not Found", 0)</f>
        <v>7</v>
      </c>
      <c r="T1339" s="16">
        <f>_xlfn.XLOOKUP(CustomerCombinedCleaned[[#This Row],[ID]], Table4[ID], Table4[Catalog], "Not Found", 0)</f>
        <v>1</v>
      </c>
      <c r="U1339" s="16">
        <f>_xlfn.XLOOKUP(CustomerCombinedCleaned[[#This Row],[ID]], Table4[ID], Table4[Store], "Not Found", 0)</f>
        <v>8</v>
      </c>
      <c r="V1339" s="16">
        <f>_xlfn.XLOOKUP(CustomerCombinedCleaned[[#This Row],[ID]], Table4[ID], Table4[Visits], "Not Found", 0)</f>
        <v>5</v>
      </c>
      <c r="W1339" s="16">
        <f>_xlfn.XLOOKUP(CustomerCombinedCleaned[[#This Row],[ID]], Table2[ID],Table2[Complaint], "Not Found", 0 )</f>
        <v>0</v>
      </c>
      <c r="X1339" s="16">
        <f>_xlfn.XLOOKUP(CustomerCombinedCleaned[[#This Row],[ID]], Table2[ID],Table2[Pilot], "Not Found", 0 )</f>
        <v>0</v>
      </c>
      <c r="Y1339" s="16">
        <f>_xlfn.XLOOKUP(CustomerCombinedCleaned[[#This Row],[ID]], Table2[ID],Table2[MC1], "Not Found", 0 )</f>
        <v>0</v>
      </c>
      <c r="Z1339" s="16">
        <f>_xlfn.XLOOKUP(CustomerCombinedCleaned[[#This Row],[ID]], Table2[ID],Table2[MC2], "Not Found", 0 )</f>
        <v>0</v>
      </c>
      <c r="AA1339" s="16">
        <f>_xlfn.XLOOKUP(CustomerCombinedCleaned[[#This Row],[ID]], Table2[ID],Table2[MC3], "Not Found", 0 )</f>
        <v>0</v>
      </c>
      <c r="AB1339" s="16">
        <f>_xlfn.XLOOKUP(CustomerCombinedCleaned[[#This Row],[ID]], Table2[ID],Table2[MC4], "Not Found", 0 )</f>
        <v>0</v>
      </c>
      <c r="AC1339" s="16">
        <f>_xlfn.XLOOKUP(CustomerCombinedCleaned[[#This Row],[ID]], Table2[ID],Table2[MC5], "Not Found", 0 )</f>
        <v>0</v>
      </c>
    </row>
    <row r="1340" spans="1:29" x14ac:dyDescent="0.3">
      <c r="A1340" s="18">
        <v>3095</v>
      </c>
      <c r="B1340" s="16">
        <v>161286</v>
      </c>
      <c r="C1340" s="16">
        <v>0</v>
      </c>
      <c r="D1340" s="16">
        <v>1</v>
      </c>
      <c r="E1340" s="16">
        <v>54</v>
      </c>
      <c r="F1340" s="17" t="s">
        <v>6</v>
      </c>
      <c r="G1340" s="17" t="s">
        <v>11</v>
      </c>
      <c r="H1340" s="3" t="s">
        <v>715</v>
      </c>
      <c r="I1340" s="5" t="s">
        <v>434</v>
      </c>
      <c r="J1340" s="16">
        <f>_xlfn.XLOOKUP(CustomerCombinedCleaned[[#This Row],[ID]], Table4[ID], Table4[Recency], "Not Found", 0)</f>
        <v>34</v>
      </c>
      <c r="K1340" s="16">
        <f>_xlfn.XLOOKUP(CustomerCombinedCleaned[[#This Row],[ID]], Table4[ID], Table4[Teas], "Not Found", 0)</f>
        <v>937</v>
      </c>
      <c r="L1340" s="16">
        <f>_xlfn.XLOOKUP(CustomerCombinedCleaned[[#This Row],[ID]], Table4[ID], Table4[Fruits], "Not Found", 0)</f>
        <v>0</v>
      </c>
      <c r="M1340" s="16">
        <f>_xlfn.XLOOKUP(CustomerCombinedCleaned[[#This Row],[ID]], Table4[ID], Table4[Meats], "Not Found", 0)</f>
        <v>282</v>
      </c>
      <c r="N1340" s="16">
        <f>_xlfn.XLOOKUP(CustomerCombinedCleaned[[#This Row],[ID]], Table4[ID], Table4[Seafood], "Not Found", 0)</f>
        <v>50</v>
      </c>
      <c r="O1340" s="16">
        <f>_xlfn.XLOOKUP(CustomerCombinedCleaned[[#This Row],[ID]], Table4[ID], Table4[Sweets], "Not Found", 0)</f>
        <v>24</v>
      </c>
      <c r="P1340" s="16">
        <f>_xlfn.XLOOKUP(CustomerCombinedCleaned[[#This Row],[ID]], Table4[ID], Table4[Premium], "Not Found", 0)</f>
        <v>308</v>
      </c>
      <c r="Q1340" s="16">
        <f>_xlfn.XLOOKUP(CustomerCombinedCleaned[[#This Row],[ID]], Table4[ID], Table4[Regular], "Not Found", 0)</f>
        <v>984</v>
      </c>
      <c r="R1340" s="16">
        <f>_xlfn.XLOOKUP(CustomerCombinedCleaned[[#This Row],[ID]], Table4[ID], Table4[Deals], "Not Found", 0)</f>
        <v>2</v>
      </c>
      <c r="S1340" s="16">
        <f>_xlfn.XLOOKUP(CustomerCombinedCleaned[[#This Row],[ID]], Table4[ID], Table4[Website], "Not Found", 0)</f>
        <v>7</v>
      </c>
      <c r="T1340" s="16">
        <f>_xlfn.XLOOKUP(CustomerCombinedCleaned[[#This Row],[ID]], Table4[ID], Table4[Catalog], "Not Found", 0)</f>
        <v>1</v>
      </c>
      <c r="U1340" s="16">
        <f>_xlfn.XLOOKUP(CustomerCombinedCleaned[[#This Row],[ID]], Table4[ID], Table4[Store], "Not Found", 0)</f>
        <v>8</v>
      </c>
      <c r="V1340" s="16">
        <f>_xlfn.XLOOKUP(CustomerCombinedCleaned[[#This Row],[ID]], Table4[ID], Table4[Visits], "Not Found", 0)</f>
        <v>5</v>
      </c>
      <c r="W1340" s="16">
        <f>_xlfn.XLOOKUP(CustomerCombinedCleaned[[#This Row],[ID]], Table2[ID],Table2[Complaint], "Not Found", 0 )</f>
        <v>0</v>
      </c>
      <c r="X1340" s="16">
        <f>_xlfn.XLOOKUP(CustomerCombinedCleaned[[#This Row],[ID]], Table2[ID],Table2[Pilot], "Not Found", 0 )</f>
        <v>0</v>
      </c>
      <c r="Y1340" s="16">
        <f>_xlfn.XLOOKUP(CustomerCombinedCleaned[[#This Row],[ID]], Table2[ID],Table2[MC1], "Not Found", 0 )</f>
        <v>0</v>
      </c>
      <c r="Z1340" s="16">
        <f>_xlfn.XLOOKUP(CustomerCombinedCleaned[[#This Row],[ID]], Table2[ID],Table2[MC2], "Not Found", 0 )</f>
        <v>0</v>
      </c>
      <c r="AA1340" s="16">
        <f>_xlfn.XLOOKUP(CustomerCombinedCleaned[[#This Row],[ID]], Table2[ID],Table2[MC3], "Not Found", 0 )</f>
        <v>0</v>
      </c>
      <c r="AB1340" s="16">
        <f>_xlfn.XLOOKUP(CustomerCombinedCleaned[[#This Row],[ID]], Table2[ID],Table2[MC4], "Not Found", 0 )</f>
        <v>0</v>
      </c>
      <c r="AC1340" s="16">
        <f>_xlfn.XLOOKUP(CustomerCombinedCleaned[[#This Row],[ID]], Table2[ID],Table2[MC5], "Not Found", 0 )</f>
        <v>0</v>
      </c>
    </row>
    <row r="1341" spans="1:29" x14ac:dyDescent="0.3">
      <c r="A1341" s="18">
        <v>2285</v>
      </c>
      <c r="B1341" s="16">
        <v>160894</v>
      </c>
      <c r="C1341" s="16">
        <v>0</v>
      </c>
      <c r="D1341" s="16">
        <v>1</v>
      </c>
      <c r="E1341" s="16">
        <v>54</v>
      </c>
      <c r="F1341" s="17" t="s">
        <v>8</v>
      </c>
      <c r="G1341" s="17" t="s">
        <v>11</v>
      </c>
      <c r="H1341" s="3" t="s">
        <v>694</v>
      </c>
      <c r="I1341" s="5" t="s">
        <v>434</v>
      </c>
      <c r="J1341" s="16">
        <f>_xlfn.XLOOKUP(CustomerCombinedCleaned[[#This Row],[ID]], Table4[ID], Table4[Recency], "Not Found", 0)</f>
        <v>61</v>
      </c>
      <c r="K1341" s="16">
        <f>_xlfn.XLOOKUP(CustomerCombinedCleaned[[#This Row],[ID]], Table4[ID], Table4[Teas], "Not Found", 0)</f>
        <v>1601</v>
      </c>
      <c r="L1341" s="16">
        <f>_xlfn.XLOOKUP(CustomerCombinedCleaned[[#This Row],[ID]], Table4[ID], Table4[Fruits], "Not Found", 0)</f>
        <v>18</v>
      </c>
      <c r="M1341" s="16">
        <f>_xlfn.XLOOKUP(CustomerCombinedCleaned[[#This Row],[ID]], Table4[ID], Table4[Meats], "Not Found", 0)</f>
        <v>410</v>
      </c>
      <c r="N1341" s="16">
        <f>_xlfn.XLOOKUP(CustomerCombinedCleaned[[#This Row],[ID]], Table4[ID], Table4[Seafood], "Not Found", 0)</f>
        <v>26</v>
      </c>
      <c r="O1341" s="16">
        <f>_xlfn.XLOOKUP(CustomerCombinedCleaned[[#This Row],[ID]], Table4[ID], Table4[Sweets], "Not Found", 0)</f>
        <v>0</v>
      </c>
      <c r="P1341" s="16">
        <f>_xlfn.XLOOKUP(CustomerCombinedCleaned[[#This Row],[ID]], Table4[ID], Table4[Premium], "Not Found", 0)</f>
        <v>143</v>
      </c>
      <c r="Q1341" s="16">
        <f>_xlfn.XLOOKUP(CustomerCombinedCleaned[[#This Row],[ID]], Table4[ID], Table4[Regular], "Not Found", 0)</f>
        <v>1913</v>
      </c>
      <c r="R1341" s="16">
        <f>_xlfn.XLOOKUP(CustomerCombinedCleaned[[#This Row],[ID]], Table4[ID], Table4[Deals], "Not Found", 0)</f>
        <v>5</v>
      </c>
      <c r="S1341" s="16">
        <f>_xlfn.XLOOKUP(CustomerCombinedCleaned[[#This Row],[ID]], Table4[ID], Table4[Website], "Not Found", 0)</f>
        <v>10</v>
      </c>
      <c r="T1341" s="16">
        <f>_xlfn.XLOOKUP(CustomerCombinedCleaned[[#This Row],[ID]], Table4[ID], Table4[Catalog], "Not Found", 0)</f>
        <v>3</v>
      </c>
      <c r="U1341" s="16">
        <f>_xlfn.XLOOKUP(CustomerCombinedCleaned[[#This Row],[ID]], Table4[ID], Table4[Store], "Not Found", 0)</f>
        <v>8</v>
      </c>
      <c r="V1341" s="16">
        <f>_xlfn.XLOOKUP(CustomerCombinedCleaned[[#This Row],[ID]], Table4[ID], Table4[Visits], "Not Found", 0)</f>
        <v>7</v>
      </c>
      <c r="W1341" s="16">
        <f>_xlfn.XLOOKUP(CustomerCombinedCleaned[[#This Row],[ID]], Table2[ID],Table2[Complaint], "Not Found", 0 )</f>
        <v>0</v>
      </c>
      <c r="X1341" s="16">
        <f>_xlfn.XLOOKUP(CustomerCombinedCleaned[[#This Row],[ID]], Table2[ID],Table2[Pilot], "Not Found", 0 )</f>
        <v>0</v>
      </c>
      <c r="Y1341" s="16">
        <f>_xlfn.XLOOKUP(CustomerCombinedCleaned[[#This Row],[ID]], Table2[ID],Table2[MC1], "Not Found", 0 )</f>
        <v>0</v>
      </c>
      <c r="Z1341" s="16">
        <f>_xlfn.XLOOKUP(CustomerCombinedCleaned[[#This Row],[ID]], Table2[ID],Table2[MC2], "Not Found", 0 )</f>
        <v>0</v>
      </c>
      <c r="AA1341" s="16">
        <f>_xlfn.XLOOKUP(CustomerCombinedCleaned[[#This Row],[ID]], Table2[ID],Table2[MC3], "Not Found", 0 )</f>
        <v>0</v>
      </c>
      <c r="AB1341" s="16">
        <f>_xlfn.XLOOKUP(CustomerCombinedCleaned[[#This Row],[ID]], Table2[ID],Table2[MC4], "Not Found", 0 )</f>
        <v>0</v>
      </c>
      <c r="AC1341" s="16">
        <f>_xlfn.XLOOKUP(CustomerCombinedCleaned[[#This Row],[ID]], Table2[ID],Table2[MC5], "Not Found", 0 )</f>
        <v>0</v>
      </c>
    </row>
    <row r="1342" spans="1:29" x14ac:dyDescent="0.3">
      <c r="A1342" s="18">
        <v>2278</v>
      </c>
      <c r="B1342" s="16">
        <v>157811</v>
      </c>
      <c r="C1342" s="16">
        <v>0</v>
      </c>
      <c r="D1342" s="16">
        <v>1</v>
      </c>
      <c r="E1342" s="16">
        <v>54</v>
      </c>
      <c r="F1342" s="17" t="s">
        <v>8</v>
      </c>
      <c r="G1342" s="17" t="s">
        <v>11</v>
      </c>
      <c r="H1342" s="3" t="s">
        <v>229</v>
      </c>
      <c r="I1342" s="5" t="s">
        <v>439</v>
      </c>
      <c r="J1342" s="16">
        <f>_xlfn.XLOOKUP(CustomerCombinedCleaned[[#This Row],[ID]], Table4[ID], Table4[Recency], "Not Found", 0)</f>
        <v>49</v>
      </c>
      <c r="K1342" s="16">
        <f>_xlfn.XLOOKUP(CustomerCombinedCleaned[[#This Row],[ID]], Table4[ID], Table4[Teas], "Not Found", 0)</f>
        <v>1488</v>
      </c>
      <c r="L1342" s="16">
        <f>_xlfn.XLOOKUP(CustomerCombinedCleaned[[#This Row],[ID]], Table4[ID], Table4[Fruits], "Not Found", 0)</f>
        <v>19</v>
      </c>
      <c r="M1342" s="16">
        <f>_xlfn.XLOOKUP(CustomerCombinedCleaned[[#This Row],[ID]], Table4[ID], Table4[Meats], "Not Found", 0)</f>
        <v>311</v>
      </c>
      <c r="N1342" s="16">
        <f>_xlfn.XLOOKUP(CustomerCombinedCleaned[[#This Row],[ID]], Table4[ID], Table4[Seafood], "Not Found", 0)</f>
        <v>101</v>
      </c>
      <c r="O1342" s="16">
        <f>_xlfn.XLOOKUP(CustomerCombinedCleaned[[#This Row],[ID]], Table4[ID], Table4[Sweets], "Not Found", 0)</f>
        <v>57</v>
      </c>
      <c r="P1342" s="16">
        <f>_xlfn.XLOOKUP(CustomerCombinedCleaned[[#This Row],[ID]], Table4[ID], Table4[Premium], "Not Found", 0)</f>
        <v>213</v>
      </c>
      <c r="Q1342" s="16">
        <f>_xlfn.XLOOKUP(CustomerCombinedCleaned[[#This Row],[ID]], Table4[ID], Table4[Regular], "Not Found", 0)</f>
        <v>1763</v>
      </c>
      <c r="R1342" s="16">
        <f>_xlfn.XLOOKUP(CustomerCombinedCleaned[[#This Row],[ID]], Table4[ID], Table4[Deals], "Not Found", 0)</f>
        <v>5</v>
      </c>
      <c r="S1342" s="16">
        <f>_xlfn.XLOOKUP(CustomerCombinedCleaned[[#This Row],[ID]], Table4[ID], Table4[Website], "Not Found", 0)</f>
        <v>7</v>
      </c>
      <c r="T1342" s="16">
        <f>_xlfn.XLOOKUP(CustomerCombinedCleaned[[#This Row],[ID]], Table4[ID], Table4[Catalog], "Not Found", 0)</f>
        <v>2</v>
      </c>
      <c r="U1342" s="16">
        <f>_xlfn.XLOOKUP(CustomerCombinedCleaned[[#This Row],[ID]], Table4[ID], Table4[Store], "Not Found", 0)</f>
        <v>11</v>
      </c>
      <c r="V1342" s="16">
        <f>_xlfn.XLOOKUP(CustomerCombinedCleaned[[#This Row],[ID]], Table4[ID], Table4[Visits], "Not Found", 0)</f>
        <v>5</v>
      </c>
      <c r="W1342" s="16">
        <f>_xlfn.XLOOKUP(CustomerCombinedCleaned[[#This Row],[ID]], Table2[ID],Table2[Complaint], "Not Found", 0 )</f>
        <v>0</v>
      </c>
      <c r="X1342" s="16">
        <f>_xlfn.XLOOKUP(CustomerCombinedCleaned[[#This Row],[ID]], Table2[ID],Table2[Pilot], "Not Found", 0 )</f>
        <v>0</v>
      </c>
      <c r="Y1342" s="16">
        <f>_xlfn.XLOOKUP(CustomerCombinedCleaned[[#This Row],[ID]], Table2[ID],Table2[MC1], "Not Found", 0 )</f>
        <v>0</v>
      </c>
      <c r="Z1342" s="16">
        <f>_xlfn.XLOOKUP(CustomerCombinedCleaned[[#This Row],[ID]], Table2[ID],Table2[MC2], "Not Found", 0 )</f>
        <v>0</v>
      </c>
      <c r="AA1342" s="16">
        <f>_xlfn.XLOOKUP(CustomerCombinedCleaned[[#This Row],[ID]], Table2[ID],Table2[MC3], "Not Found", 0 )</f>
        <v>0</v>
      </c>
      <c r="AB1342" s="16">
        <f>_xlfn.XLOOKUP(CustomerCombinedCleaned[[#This Row],[ID]], Table2[ID],Table2[MC4], "Not Found", 0 )</f>
        <v>1</v>
      </c>
      <c r="AC1342" s="16">
        <f>_xlfn.XLOOKUP(CustomerCombinedCleaned[[#This Row],[ID]], Table2[ID],Table2[MC5], "Not Found", 0 )</f>
        <v>0</v>
      </c>
    </row>
    <row r="1343" spans="1:29" x14ac:dyDescent="0.3">
      <c r="A1343" s="18">
        <v>2823</v>
      </c>
      <c r="B1343" s="16">
        <v>157705</v>
      </c>
      <c r="C1343" s="16">
        <v>0</v>
      </c>
      <c r="D1343" s="16">
        <v>1</v>
      </c>
      <c r="E1343" s="16">
        <v>54</v>
      </c>
      <c r="F1343" s="17" t="s">
        <v>6</v>
      </c>
      <c r="G1343" s="17" t="s">
        <v>13</v>
      </c>
      <c r="H1343" s="3" t="s">
        <v>119</v>
      </c>
      <c r="I1343" s="5" t="s">
        <v>435</v>
      </c>
      <c r="J1343" s="16">
        <f>_xlfn.XLOOKUP(CustomerCombinedCleaned[[#This Row],[ID]], Table4[ID], Table4[Recency], "Not Found", 0)</f>
        <v>14</v>
      </c>
      <c r="K1343" s="16">
        <f>_xlfn.XLOOKUP(CustomerCombinedCleaned[[#This Row],[ID]], Table4[ID], Table4[Teas], "Not Found", 0)</f>
        <v>1047</v>
      </c>
      <c r="L1343" s="16">
        <f>_xlfn.XLOOKUP(CustomerCombinedCleaned[[#This Row],[ID]], Table4[ID], Table4[Fruits], "Not Found", 0)</f>
        <v>0</v>
      </c>
      <c r="M1343" s="16">
        <f>_xlfn.XLOOKUP(CustomerCombinedCleaned[[#This Row],[ID]], Table4[ID], Table4[Meats], "Not Found", 0)</f>
        <v>145</v>
      </c>
      <c r="N1343" s="16">
        <f>_xlfn.XLOOKUP(CustomerCombinedCleaned[[#This Row],[ID]], Table4[ID], Table4[Seafood], "Not Found", 0)</f>
        <v>16</v>
      </c>
      <c r="O1343" s="16">
        <f>_xlfn.XLOOKUP(CustomerCombinedCleaned[[#This Row],[ID]], Table4[ID], Table4[Sweets], "Not Found", 0)</f>
        <v>11</v>
      </c>
      <c r="P1343" s="16">
        <f>_xlfn.XLOOKUP(CustomerCombinedCleaned[[#This Row],[ID]], Table4[ID], Table4[Premium], "Not Found", 0)</f>
        <v>109</v>
      </c>
      <c r="Q1343" s="16">
        <f>_xlfn.XLOOKUP(CustomerCombinedCleaned[[#This Row],[ID]], Table4[ID], Table4[Regular], "Not Found", 0)</f>
        <v>1110</v>
      </c>
      <c r="R1343" s="16">
        <f>_xlfn.XLOOKUP(CustomerCombinedCleaned[[#This Row],[ID]], Table4[ID], Table4[Deals], "Not Found", 0)</f>
        <v>3</v>
      </c>
      <c r="S1343" s="16">
        <f>_xlfn.XLOOKUP(CustomerCombinedCleaned[[#This Row],[ID]], Table4[ID], Table4[Website], "Not Found", 0)</f>
        <v>8</v>
      </c>
      <c r="T1343" s="16">
        <f>_xlfn.XLOOKUP(CustomerCombinedCleaned[[#This Row],[ID]], Table4[ID], Table4[Catalog], "Not Found", 0)</f>
        <v>1</v>
      </c>
      <c r="U1343" s="16">
        <f>_xlfn.XLOOKUP(CustomerCombinedCleaned[[#This Row],[ID]], Table4[ID], Table4[Store], "Not Found", 0)</f>
        <v>6</v>
      </c>
      <c r="V1343" s="16">
        <f>_xlfn.XLOOKUP(CustomerCombinedCleaned[[#This Row],[ID]], Table4[ID], Table4[Visits], "Not Found", 0)</f>
        <v>6</v>
      </c>
      <c r="W1343" s="16">
        <f>_xlfn.XLOOKUP(CustomerCombinedCleaned[[#This Row],[ID]], Table2[ID],Table2[Complaint], "Not Found", 0 )</f>
        <v>0</v>
      </c>
      <c r="X1343" s="16">
        <f>_xlfn.XLOOKUP(CustomerCombinedCleaned[[#This Row],[ID]], Table2[ID],Table2[Pilot], "Not Found", 0 )</f>
        <v>0</v>
      </c>
      <c r="Y1343" s="16">
        <f>_xlfn.XLOOKUP(CustomerCombinedCleaned[[#This Row],[ID]], Table2[ID],Table2[MC1], "Not Found", 0 )</f>
        <v>0</v>
      </c>
      <c r="Z1343" s="16">
        <f>_xlfn.XLOOKUP(CustomerCombinedCleaned[[#This Row],[ID]], Table2[ID],Table2[MC2], "Not Found", 0 )</f>
        <v>0</v>
      </c>
      <c r="AA1343" s="16">
        <f>_xlfn.XLOOKUP(CustomerCombinedCleaned[[#This Row],[ID]], Table2[ID],Table2[MC3], "Not Found", 0 )</f>
        <v>0</v>
      </c>
      <c r="AB1343" s="16">
        <f>_xlfn.XLOOKUP(CustomerCombinedCleaned[[#This Row],[ID]], Table2[ID],Table2[MC4], "Not Found", 0 )</f>
        <v>0</v>
      </c>
      <c r="AC1343" s="16">
        <f>_xlfn.XLOOKUP(CustomerCombinedCleaned[[#This Row],[ID]], Table2[ID],Table2[MC5], "Not Found", 0 )</f>
        <v>0</v>
      </c>
    </row>
    <row r="1344" spans="1:29" x14ac:dyDescent="0.3">
      <c r="A1344" s="18">
        <v>2254</v>
      </c>
      <c r="B1344" s="16">
        <v>157183</v>
      </c>
      <c r="C1344" s="16">
        <v>1</v>
      </c>
      <c r="D1344" s="16">
        <v>1</v>
      </c>
      <c r="E1344" s="16">
        <v>54</v>
      </c>
      <c r="F1344" s="17" t="s">
        <v>6</v>
      </c>
      <c r="G1344" s="17" t="s">
        <v>12</v>
      </c>
      <c r="H1344" s="3" t="s">
        <v>289</v>
      </c>
      <c r="I1344" s="5" t="s">
        <v>439</v>
      </c>
      <c r="J1344" s="16">
        <f>_xlfn.XLOOKUP(CustomerCombinedCleaned[[#This Row],[ID]], Table4[ID], Table4[Recency], "Not Found", 0)</f>
        <v>51</v>
      </c>
      <c r="K1344" s="16">
        <f>_xlfn.XLOOKUP(CustomerCombinedCleaned[[#This Row],[ID]], Table4[ID], Table4[Teas], "Not Found", 0)</f>
        <v>1275</v>
      </c>
      <c r="L1344" s="16">
        <f>_xlfn.XLOOKUP(CustomerCombinedCleaned[[#This Row],[ID]], Table4[ID], Table4[Fruits], "Not Found", 0)</f>
        <v>14</v>
      </c>
      <c r="M1344" s="16">
        <f>_xlfn.XLOOKUP(CustomerCombinedCleaned[[#This Row],[ID]], Table4[ID], Table4[Meats], "Not Found", 0)</f>
        <v>176</v>
      </c>
      <c r="N1344" s="16">
        <f>_xlfn.XLOOKUP(CustomerCombinedCleaned[[#This Row],[ID]], Table4[ID], Table4[Seafood], "Not Found", 0)</f>
        <v>19</v>
      </c>
      <c r="O1344" s="16">
        <f>_xlfn.XLOOKUP(CustomerCombinedCleaned[[#This Row],[ID]], Table4[ID], Table4[Sweets], "Not Found", 0)</f>
        <v>0</v>
      </c>
      <c r="P1344" s="16">
        <f>_xlfn.XLOOKUP(CustomerCombinedCleaned[[#This Row],[ID]], Table4[ID], Table4[Premium], "Not Found", 0)</f>
        <v>192</v>
      </c>
      <c r="Q1344" s="16">
        <f>_xlfn.XLOOKUP(CustomerCombinedCleaned[[#This Row],[ID]], Table4[ID], Table4[Regular], "Not Found", 0)</f>
        <v>1292</v>
      </c>
      <c r="R1344" s="16">
        <f>_xlfn.XLOOKUP(CustomerCombinedCleaned[[#This Row],[ID]], Table4[ID], Table4[Deals], "Not Found", 0)</f>
        <v>8</v>
      </c>
      <c r="S1344" s="16">
        <f>_xlfn.XLOOKUP(CustomerCombinedCleaned[[#This Row],[ID]], Table4[ID], Table4[Website], "Not Found", 0)</f>
        <v>9</v>
      </c>
      <c r="T1344" s="16">
        <f>_xlfn.XLOOKUP(CustomerCombinedCleaned[[#This Row],[ID]], Table4[ID], Table4[Catalog], "Not Found", 0)</f>
        <v>1</v>
      </c>
      <c r="U1344" s="16">
        <f>_xlfn.XLOOKUP(CustomerCombinedCleaned[[#This Row],[ID]], Table4[ID], Table4[Store], "Not Found", 0)</f>
        <v>7</v>
      </c>
      <c r="V1344" s="16">
        <f>_xlfn.XLOOKUP(CustomerCombinedCleaned[[#This Row],[ID]], Table4[ID], Table4[Visits], "Not Found", 0)</f>
        <v>8</v>
      </c>
      <c r="W1344" s="16">
        <f>_xlfn.XLOOKUP(CustomerCombinedCleaned[[#This Row],[ID]], Table2[ID],Table2[Complaint], "Not Found", 0 )</f>
        <v>0</v>
      </c>
      <c r="X1344" s="16">
        <f>_xlfn.XLOOKUP(CustomerCombinedCleaned[[#This Row],[ID]], Table2[ID],Table2[Pilot], "Not Found", 0 )</f>
        <v>0</v>
      </c>
      <c r="Y1344" s="16">
        <f>_xlfn.XLOOKUP(CustomerCombinedCleaned[[#This Row],[ID]], Table2[ID],Table2[MC1], "Not Found", 0 )</f>
        <v>0</v>
      </c>
      <c r="Z1344" s="16">
        <f>_xlfn.XLOOKUP(CustomerCombinedCleaned[[#This Row],[ID]], Table2[ID],Table2[MC2], "Not Found", 0 )</f>
        <v>0</v>
      </c>
      <c r="AA1344" s="16">
        <f>_xlfn.XLOOKUP(CustomerCombinedCleaned[[#This Row],[ID]], Table2[ID],Table2[MC3], "Not Found", 0 )</f>
        <v>0</v>
      </c>
      <c r="AB1344" s="16">
        <f>_xlfn.XLOOKUP(CustomerCombinedCleaned[[#This Row],[ID]], Table2[ID],Table2[MC4], "Not Found", 0 )</f>
        <v>0</v>
      </c>
      <c r="AC1344" s="16">
        <f>_xlfn.XLOOKUP(CustomerCombinedCleaned[[#This Row],[ID]], Table2[ID],Table2[MC5], "Not Found", 0 )</f>
        <v>0</v>
      </c>
    </row>
    <row r="1345" spans="1:29" x14ac:dyDescent="0.3">
      <c r="A1345" s="18">
        <v>2945</v>
      </c>
      <c r="B1345" s="16">
        <v>155686</v>
      </c>
      <c r="C1345" s="16">
        <v>0</v>
      </c>
      <c r="D1345" s="16">
        <v>1</v>
      </c>
      <c r="E1345" s="16">
        <v>54</v>
      </c>
      <c r="F1345" s="17" t="s">
        <v>5</v>
      </c>
      <c r="G1345" s="17" t="s">
        <v>11</v>
      </c>
      <c r="H1345" s="3" t="s">
        <v>309</v>
      </c>
      <c r="I1345" s="5" t="s">
        <v>434</v>
      </c>
      <c r="J1345" s="16">
        <f>_xlfn.XLOOKUP(CustomerCombinedCleaned[[#This Row],[ID]], Table4[ID], Table4[Recency], "Not Found", 0)</f>
        <v>27</v>
      </c>
      <c r="K1345" s="16">
        <f>_xlfn.XLOOKUP(CustomerCombinedCleaned[[#This Row],[ID]], Table4[ID], Table4[Teas], "Not Found", 0)</f>
        <v>1882</v>
      </c>
      <c r="L1345" s="16">
        <f>_xlfn.XLOOKUP(CustomerCombinedCleaned[[#This Row],[ID]], Table4[ID], Table4[Fruits], "Not Found", 0)</f>
        <v>0</v>
      </c>
      <c r="M1345" s="16">
        <f>_xlfn.XLOOKUP(CustomerCombinedCleaned[[#This Row],[ID]], Table4[ID], Table4[Meats], "Not Found", 0)</f>
        <v>556</v>
      </c>
      <c r="N1345" s="16">
        <f>_xlfn.XLOOKUP(CustomerCombinedCleaned[[#This Row],[ID]], Table4[ID], Table4[Seafood], "Not Found", 0)</f>
        <v>103</v>
      </c>
      <c r="O1345" s="16">
        <f>_xlfn.XLOOKUP(CustomerCombinedCleaned[[#This Row],[ID]], Table4[ID], Table4[Sweets], "Not Found", 0)</f>
        <v>131</v>
      </c>
      <c r="P1345" s="16">
        <f>_xlfn.XLOOKUP(CustomerCombinedCleaned[[#This Row],[ID]], Table4[ID], Table4[Premium], "Not Found", 0)</f>
        <v>73</v>
      </c>
      <c r="Q1345" s="16">
        <f>_xlfn.XLOOKUP(CustomerCombinedCleaned[[#This Row],[ID]], Table4[ID], Table4[Regular], "Not Found", 0)</f>
        <v>2600</v>
      </c>
      <c r="R1345" s="16">
        <f>_xlfn.XLOOKUP(CustomerCombinedCleaned[[#This Row],[ID]], Table4[ID], Table4[Deals], "Not Found", 0)</f>
        <v>2</v>
      </c>
      <c r="S1345" s="16">
        <f>_xlfn.XLOOKUP(CustomerCombinedCleaned[[#This Row],[ID]], Table4[ID], Table4[Website], "Not Found", 0)</f>
        <v>6</v>
      </c>
      <c r="T1345" s="16">
        <f>_xlfn.XLOOKUP(CustomerCombinedCleaned[[#This Row],[ID]], Table4[ID], Table4[Catalog], "Not Found", 0)</f>
        <v>3</v>
      </c>
      <c r="U1345" s="16">
        <f>_xlfn.XLOOKUP(CustomerCombinedCleaned[[#This Row],[ID]], Table4[ID], Table4[Store], "Not Found", 0)</f>
        <v>5</v>
      </c>
      <c r="V1345" s="16">
        <f>_xlfn.XLOOKUP(CustomerCombinedCleaned[[#This Row],[ID]], Table4[ID], Table4[Visits], "Not Found", 0)</f>
        <v>4</v>
      </c>
      <c r="W1345" s="16">
        <f>_xlfn.XLOOKUP(CustomerCombinedCleaned[[#This Row],[ID]], Table2[ID],Table2[Complaint], "Not Found", 0 )</f>
        <v>0</v>
      </c>
      <c r="X1345" s="16">
        <f>_xlfn.XLOOKUP(CustomerCombinedCleaned[[#This Row],[ID]], Table2[ID],Table2[Pilot], "Not Found", 0 )</f>
        <v>0</v>
      </c>
      <c r="Y1345" s="16">
        <f>_xlfn.XLOOKUP(CustomerCombinedCleaned[[#This Row],[ID]], Table2[ID],Table2[MC1], "Not Found", 0 )</f>
        <v>0</v>
      </c>
      <c r="Z1345" s="16">
        <f>_xlfn.XLOOKUP(CustomerCombinedCleaned[[#This Row],[ID]], Table2[ID],Table2[MC2], "Not Found", 0 )</f>
        <v>0</v>
      </c>
      <c r="AA1345" s="16">
        <f>_xlfn.XLOOKUP(CustomerCombinedCleaned[[#This Row],[ID]], Table2[ID],Table2[MC3], "Not Found", 0 )</f>
        <v>1</v>
      </c>
      <c r="AB1345" s="16">
        <f>_xlfn.XLOOKUP(CustomerCombinedCleaned[[#This Row],[ID]], Table2[ID],Table2[MC4], "Not Found", 0 )</f>
        <v>0</v>
      </c>
      <c r="AC1345" s="16">
        <f>_xlfn.XLOOKUP(CustomerCombinedCleaned[[#This Row],[ID]], Table2[ID],Table2[MC5], "Not Found", 0 )</f>
        <v>0</v>
      </c>
    </row>
    <row r="1346" spans="1:29" x14ac:dyDescent="0.3">
      <c r="A1346" s="18">
        <v>1300</v>
      </c>
      <c r="B1346" s="16">
        <v>154198</v>
      </c>
      <c r="C1346" s="16">
        <v>1</v>
      </c>
      <c r="D1346" s="16">
        <v>1</v>
      </c>
      <c r="E1346" s="16">
        <v>54</v>
      </c>
      <c r="F1346" s="17" t="s">
        <v>6</v>
      </c>
      <c r="G1346" s="17" t="s">
        <v>11</v>
      </c>
      <c r="H1346" s="3" t="s">
        <v>131</v>
      </c>
      <c r="I1346" s="5" t="s">
        <v>439</v>
      </c>
      <c r="J1346" s="16">
        <f>_xlfn.XLOOKUP(CustomerCombinedCleaned[[#This Row],[ID]], Table4[ID], Table4[Recency], "Not Found", 0)</f>
        <v>13</v>
      </c>
      <c r="K1346" s="16">
        <f>_xlfn.XLOOKUP(CustomerCombinedCleaned[[#This Row],[ID]], Table4[ID], Table4[Teas], "Not Found", 0)</f>
        <v>526</v>
      </c>
      <c r="L1346" s="16">
        <f>_xlfn.XLOOKUP(CustomerCombinedCleaned[[#This Row],[ID]], Table4[ID], Table4[Fruits], "Not Found", 0)</f>
        <v>0</v>
      </c>
      <c r="M1346" s="16">
        <f>_xlfn.XLOOKUP(CustomerCombinedCleaned[[#This Row],[ID]], Table4[ID], Table4[Meats], "Not Found", 0)</f>
        <v>80</v>
      </c>
      <c r="N1346" s="16">
        <f>_xlfn.XLOOKUP(CustomerCombinedCleaned[[#This Row],[ID]], Table4[ID], Table4[Seafood], "Not Found", 0)</f>
        <v>9</v>
      </c>
      <c r="O1346" s="16">
        <f>_xlfn.XLOOKUP(CustomerCombinedCleaned[[#This Row],[ID]], Table4[ID], Table4[Sweets], "Not Found", 0)</f>
        <v>6</v>
      </c>
      <c r="P1346" s="16">
        <f>_xlfn.XLOOKUP(CustomerCombinedCleaned[[#This Row],[ID]], Table4[ID], Table4[Premium], "Not Found", 0)</f>
        <v>48</v>
      </c>
      <c r="Q1346" s="16">
        <f>_xlfn.XLOOKUP(CustomerCombinedCleaned[[#This Row],[ID]], Table4[ID], Table4[Regular], "Not Found", 0)</f>
        <v>572</v>
      </c>
      <c r="R1346" s="16">
        <f>_xlfn.XLOOKUP(CustomerCombinedCleaned[[#This Row],[ID]], Table4[ID], Table4[Deals], "Not Found", 0)</f>
        <v>6</v>
      </c>
      <c r="S1346" s="16">
        <f>_xlfn.XLOOKUP(CustomerCombinedCleaned[[#This Row],[ID]], Table4[ID], Table4[Website], "Not Found", 0)</f>
        <v>3</v>
      </c>
      <c r="T1346" s="16">
        <f>_xlfn.XLOOKUP(CustomerCombinedCleaned[[#This Row],[ID]], Table4[ID], Table4[Catalog], "Not Found", 0)</f>
        <v>1</v>
      </c>
      <c r="U1346" s="16">
        <f>_xlfn.XLOOKUP(CustomerCombinedCleaned[[#This Row],[ID]], Table4[ID], Table4[Store], "Not Found", 0)</f>
        <v>6</v>
      </c>
      <c r="V1346" s="16">
        <f>_xlfn.XLOOKUP(CustomerCombinedCleaned[[#This Row],[ID]], Table4[ID], Table4[Visits], "Not Found", 0)</f>
        <v>4</v>
      </c>
      <c r="W1346" s="16">
        <f>_xlfn.XLOOKUP(CustomerCombinedCleaned[[#This Row],[ID]], Table2[ID],Table2[Complaint], "Not Found", 0 )</f>
        <v>0</v>
      </c>
      <c r="X1346" s="16">
        <f>_xlfn.XLOOKUP(CustomerCombinedCleaned[[#This Row],[ID]], Table2[ID],Table2[Pilot], "Not Found", 0 )</f>
        <v>0</v>
      </c>
      <c r="Y1346" s="16">
        <f>_xlfn.XLOOKUP(CustomerCombinedCleaned[[#This Row],[ID]], Table2[ID],Table2[MC1], "Not Found", 0 )</f>
        <v>0</v>
      </c>
      <c r="Z1346" s="16">
        <f>_xlfn.XLOOKUP(CustomerCombinedCleaned[[#This Row],[ID]], Table2[ID],Table2[MC2], "Not Found", 0 )</f>
        <v>0</v>
      </c>
      <c r="AA1346" s="16">
        <f>_xlfn.XLOOKUP(CustomerCombinedCleaned[[#This Row],[ID]], Table2[ID],Table2[MC3], "Not Found", 0 )</f>
        <v>0</v>
      </c>
      <c r="AB1346" s="16">
        <f>_xlfn.XLOOKUP(CustomerCombinedCleaned[[#This Row],[ID]], Table2[ID],Table2[MC4], "Not Found", 0 )</f>
        <v>0</v>
      </c>
      <c r="AC1346" s="16">
        <f>_xlfn.XLOOKUP(CustomerCombinedCleaned[[#This Row],[ID]], Table2[ID],Table2[MC5], "Not Found", 0 )</f>
        <v>0</v>
      </c>
    </row>
    <row r="1347" spans="1:29" x14ac:dyDescent="0.3">
      <c r="A1347" s="18">
        <v>1588</v>
      </c>
      <c r="B1347" s="16">
        <v>149618</v>
      </c>
      <c r="C1347" s="16">
        <v>1</v>
      </c>
      <c r="D1347" s="16">
        <v>1</v>
      </c>
      <c r="E1347" s="16">
        <v>54</v>
      </c>
      <c r="F1347" s="17" t="s">
        <v>8</v>
      </c>
      <c r="G1347" s="17" t="s">
        <v>12</v>
      </c>
      <c r="H1347" s="3" t="s">
        <v>625</v>
      </c>
      <c r="I1347" s="5" t="s">
        <v>439</v>
      </c>
      <c r="J1347" s="16">
        <f>_xlfn.XLOOKUP(CustomerCombinedCleaned[[#This Row],[ID]], Table4[ID], Table4[Recency], "Not Found", 0)</f>
        <v>77</v>
      </c>
      <c r="K1347" s="16">
        <f>_xlfn.XLOOKUP(CustomerCombinedCleaned[[#This Row],[ID]], Table4[ID], Table4[Teas], "Not Found", 0)</f>
        <v>241</v>
      </c>
      <c r="L1347" s="16">
        <f>_xlfn.XLOOKUP(CustomerCombinedCleaned[[#This Row],[ID]], Table4[ID], Table4[Fruits], "Not Found", 0)</f>
        <v>9</v>
      </c>
      <c r="M1347" s="16">
        <f>_xlfn.XLOOKUP(CustomerCombinedCleaned[[#This Row],[ID]], Table4[ID], Table4[Meats], "Not Found", 0)</f>
        <v>78</v>
      </c>
      <c r="N1347" s="16">
        <f>_xlfn.XLOOKUP(CustomerCombinedCleaned[[#This Row],[ID]], Table4[ID], Table4[Seafood], "Not Found", 0)</f>
        <v>12</v>
      </c>
      <c r="O1347" s="16">
        <f>_xlfn.XLOOKUP(CustomerCombinedCleaned[[#This Row],[ID]], Table4[ID], Table4[Sweets], "Not Found", 0)</f>
        <v>6</v>
      </c>
      <c r="P1347" s="16">
        <f>_xlfn.XLOOKUP(CustomerCombinedCleaned[[#This Row],[ID]], Table4[ID], Table4[Premium], "Not Found", 0)</f>
        <v>42</v>
      </c>
      <c r="Q1347" s="16">
        <f>_xlfn.XLOOKUP(CustomerCombinedCleaned[[#This Row],[ID]], Table4[ID], Table4[Regular], "Not Found", 0)</f>
        <v>305</v>
      </c>
      <c r="R1347" s="16">
        <f>_xlfn.XLOOKUP(CustomerCombinedCleaned[[#This Row],[ID]], Table4[ID], Table4[Deals], "Not Found", 0)</f>
        <v>4</v>
      </c>
      <c r="S1347" s="16">
        <f>_xlfn.XLOOKUP(CustomerCombinedCleaned[[#This Row],[ID]], Table4[ID], Table4[Website], "Not Found", 0)</f>
        <v>3</v>
      </c>
      <c r="T1347" s="16">
        <f>_xlfn.XLOOKUP(CustomerCombinedCleaned[[#This Row],[ID]], Table4[ID], Table4[Catalog], "Not Found", 0)</f>
        <v>1</v>
      </c>
      <c r="U1347" s="16">
        <f>_xlfn.XLOOKUP(CustomerCombinedCleaned[[#This Row],[ID]], Table4[ID], Table4[Store], "Not Found", 0)</f>
        <v>3</v>
      </c>
      <c r="V1347" s="16">
        <f>_xlfn.XLOOKUP(CustomerCombinedCleaned[[#This Row],[ID]], Table4[ID], Table4[Visits], "Not Found", 0)</f>
        <v>7</v>
      </c>
      <c r="W1347" s="16">
        <f>_xlfn.XLOOKUP(CustomerCombinedCleaned[[#This Row],[ID]], Table2[ID],Table2[Complaint], "Not Found", 0 )</f>
        <v>0</v>
      </c>
      <c r="X1347" s="16">
        <f>_xlfn.XLOOKUP(CustomerCombinedCleaned[[#This Row],[ID]], Table2[ID],Table2[Pilot], "Not Found", 0 )</f>
        <v>0</v>
      </c>
      <c r="Y1347" s="16">
        <f>_xlfn.XLOOKUP(CustomerCombinedCleaned[[#This Row],[ID]], Table2[ID],Table2[MC1], "Not Found", 0 )</f>
        <v>0</v>
      </c>
      <c r="Z1347" s="16">
        <f>_xlfn.XLOOKUP(CustomerCombinedCleaned[[#This Row],[ID]], Table2[ID],Table2[MC2], "Not Found", 0 )</f>
        <v>0</v>
      </c>
      <c r="AA1347" s="16">
        <f>_xlfn.XLOOKUP(CustomerCombinedCleaned[[#This Row],[ID]], Table2[ID],Table2[MC3], "Not Found", 0 )</f>
        <v>0</v>
      </c>
      <c r="AB1347" s="16">
        <f>_xlfn.XLOOKUP(CustomerCombinedCleaned[[#This Row],[ID]], Table2[ID],Table2[MC4], "Not Found", 0 )</f>
        <v>0</v>
      </c>
      <c r="AC1347" s="16">
        <f>_xlfn.XLOOKUP(CustomerCombinedCleaned[[#This Row],[ID]], Table2[ID],Table2[MC5], "Not Found", 0 )</f>
        <v>0</v>
      </c>
    </row>
    <row r="1348" spans="1:29" x14ac:dyDescent="0.3">
      <c r="A1348" s="18">
        <v>1139</v>
      </c>
      <c r="B1348" s="16">
        <v>149605</v>
      </c>
      <c r="C1348" s="16">
        <v>0</v>
      </c>
      <c r="D1348" s="16">
        <v>0</v>
      </c>
      <c r="E1348" s="16">
        <v>54</v>
      </c>
      <c r="F1348" s="17" t="s">
        <v>6</v>
      </c>
      <c r="G1348" s="17" t="s">
        <v>12</v>
      </c>
      <c r="H1348" s="3" t="s">
        <v>28</v>
      </c>
      <c r="I1348" s="5" t="s">
        <v>434</v>
      </c>
      <c r="J1348" s="16">
        <f>_xlfn.XLOOKUP(CustomerCombinedCleaned[[#This Row],[ID]], Table4[ID], Table4[Recency], "Not Found", 0)</f>
        <v>65</v>
      </c>
      <c r="K1348" s="16">
        <f>_xlfn.XLOOKUP(CustomerCombinedCleaned[[#This Row],[ID]], Table4[ID], Table4[Teas], "Not Found", 0)</f>
        <v>127</v>
      </c>
      <c r="L1348" s="16">
        <f>_xlfn.XLOOKUP(CustomerCombinedCleaned[[#This Row],[ID]], Table4[ID], Table4[Fruits], "Not Found", 0)</f>
        <v>48</v>
      </c>
      <c r="M1348" s="16">
        <f>_xlfn.XLOOKUP(CustomerCombinedCleaned[[#This Row],[ID]], Table4[ID], Table4[Meats], "Not Found", 0)</f>
        <v>87</v>
      </c>
      <c r="N1348" s="16">
        <f>_xlfn.XLOOKUP(CustomerCombinedCleaned[[#This Row],[ID]], Table4[ID], Table4[Seafood], "Not Found", 0)</f>
        <v>36</v>
      </c>
      <c r="O1348" s="16">
        <f>_xlfn.XLOOKUP(CustomerCombinedCleaned[[#This Row],[ID]], Table4[ID], Table4[Sweets], "Not Found", 0)</f>
        <v>60</v>
      </c>
      <c r="P1348" s="16">
        <f>_xlfn.XLOOKUP(CustomerCombinedCleaned[[#This Row],[ID]], Table4[ID], Table4[Premium], "Not Found", 0)</f>
        <v>24</v>
      </c>
      <c r="Q1348" s="16">
        <f>_xlfn.XLOOKUP(CustomerCombinedCleaned[[#This Row],[ID]], Table4[ID], Table4[Regular], "Not Found", 0)</f>
        <v>335</v>
      </c>
      <c r="R1348" s="16">
        <f>_xlfn.XLOOKUP(CustomerCombinedCleaned[[#This Row],[ID]], Table4[ID], Table4[Deals], "Not Found", 0)</f>
        <v>1</v>
      </c>
      <c r="S1348" s="16">
        <f>_xlfn.XLOOKUP(CustomerCombinedCleaned[[#This Row],[ID]], Table4[ID], Table4[Website], "Not Found", 0)</f>
        <v>2</v>
      </c>
      <c r="T1348" s="16">
        <f>_xlfn.XLOOKUP(CustomerCombinedCleaned[[#This Row],[ID]], Table4[ID], Table4[Catalog], "Not Found", 0)</f>
        <v>1</v>
      </c>
      <c r="U1348" s="16">
        <f>_xlfn.XLOOKUP(CustomerCombinedCleaned[[#This Row],[ID]], Table4[ID], Table4[Store], "Not Found", 0)</f>
        <v>4</v>
      </c>
      <c r="V1348" s="16">
        <f>_xlfn.XLOOKUP(CustomerCombinedCleaned[[#This Row],[ID]], Table4[ID], Table4[Visits], "Not Found", 0)</f>
        <v>3</v>
      </c>
      <c r="W1348" s="16">
        <f>_xlfn.XLOOKUP(CustomerCombinedCleaned[[#This Row],[ID]], Table2[ID],Table2[Complaint], "Not Found", 0 )</f>
        <v>0</v>
      </c>
      <c r="X1348" s="16">
        <f>_xlfn.XLOOKUP(CustomerCombinedCleaned[[#This Row],[ID]], Table2[ID],Table2[Pilot], "Not Found", 0 )</f>
        <v>0</v>
      </c>
      <c r="Y1348" s="16">
        <f>_xlfn.XLOOKUP(CustomerCombinedCleaned[[#This Row],[ID]], Table2[ID],Table2[MC1], "Not Found", 0 )</f>
        <v>0</v>
      </c>
      <c r="Z1348" s="16">
        <f>_xlfn.XLOOKUP(CustomerCombinedCleaned[[#This Row],[ID]], Table2[ID],Table2[MC2], "Not Found", 0 )</f>
        <v>0</v>
      </c>
      <c r="AA1348" s="16">
        <f>_xlfn.XLOOKUP(CustomerCombinedCleaned[[#This Row],[ID]], Table2[ID],Table2[MC3], "Not Found", 0 )</f>
        <v>0</v>
      </c>
      <c r="AB1348" s="16">
        <f>_xlfn.XLOOKUP(CustomerCombinedCleaned[[#This Row],[ID]], Table2[ID],Table2[MC4], "Not Found", 0 )</f>
        <v>0</v>
      </c>
      <c r="AC1348" s="16">
        <f>_xlfn.XLOOKUP(CustomerCombinedCleaned[[#This Row],[ID]], Table2[ID],Table2[MC5], "Not Found", 0 )</f>
        <v>0</v>
      </c>
    </row>
    <row r="1349" spans="1:29" x14ac:dyDescent="0.3">
      <c r="A1349" s="18">
        <v>2939</v>
      </c>
      <c r="B1349" s="16">
        <v>148877</v>
      </c>
      <c r="C1349" s="16">
        <v>0</v>
      </c>
      <c r="D1349" s="16">
        <v>1</v>
      </c>
      <c r="E1349" s="16">
        <v>54</v>
      </c>
      <c r="F1349" s="17" t="s">
        <v>5</v>
      </c>
      <c r="G1349" s="17" t="s">
        <v>11</v>
      </c>
      <c r="H1349" s="3" t="s">
        <v>755</v>
      </c>
      <c r="I1349" s="5" t="s">
        <v>434</v>
      </c>
      <c r="J1349" s="16">
        <f>_xlfn.XLOOKUP(CustomerCombinedCleaned[[#This Row],[ID]], Table4[ID], Table4[Recency], "Not Found", 0)</f>
        <v>27</v>
      </c>
      <c r="K1349" s="16">
        <f>_xlfn.XLOOKUP(CustomerCombinedCleaned[[#This Row],[ID]], Table4[ID], Table4[Teas], "Not Found", 0)</f>
        <v>311</v>
      </c>
      <c r="L1349" s="16">
        <f>_xlfn.XLOOKUP(CustomerCombinedCleaned[[#This Row],[ID]], Table4[ID], Table4[Fruits], "Not Found", 0)</f>
        <v>3</v>
      </c>
      <c r="M1349" s="16">
        <f>_xlfn.XLOOKUP(CustomerCombinedCleaned[[#This Row],[ID]], Table4[ID], Table4[Meats], "Not Found", 0)</f>
        <v>46</v>
      </c>
      <c r="N1349" s="16">
        <f>_xlfn.XLOOKUP(CustomerCombinedCleaned[[#This Row],[ID]], Table4[ID], Table4[Seafood], "Not Found", 0)</f>
        <v>6</v>
      </c>
      <c r="O1349" s="16">
        <f>_xlfn.XLOOKUP(CustomerCombinedCleaned[[#This Row],[ID]], Table4[ID], Table4[Sweets], "Not Found", 0)</f>
        <v>0</v>
      </c>
      <c r="P1349" s="16">
        <f>_xlfn.XLOOKUP(CustomerCombinedCleaned[[#This Row],[ID]], Table4[ID], Table4[Premium], "Not Found", 0)</f>
        <v>73</v>
      </c>
      <c r="Q1349" s="16">
        <f>_xlfn.XLOOKUP(CustomerCombinedCleaned[[#This Row],[ID]], Table4[ID], Table4[Regular], "Not Found", 0)</f>
        <v>292</v>
      </c>
      <c r="R1349" s="16">
        <f>_xlfn.XLOOKUP(CustomerCombinedCleaned[[#This Row],[ID]], Table4[ID], Table4[Deals], "Not Found", 0)</f>
        <v>1</v>
      </c>
      <c r="S1349" s="16">
        <f>_xlfn.XLOOKUP(CustomerCombinedCleaned[[#This Row],[ID]], Table4[ID], Table4[Website], "Not Found", 0)</f>
        <v>3</v>
      </c>
      <c r="T1349" s="16">
        <f>_xlfn.XLOOKUP(CustomerCombinedCleaned[[#This Row],[ID]], Table4[ID], Table4[Catalog], "Not Found", 0)</f>
        <v>0</v>
      </c>
      <c r="U1349" s="16">
        <f>_xlfn.XLOOKUP(CustomerCombinedCleaned[[#This Row],[ID]], Table4[ID], Table4[Store], "Not Found", 0)</f>
        <v>4</v>
      </c>
      <c r="V1349" s="16">
        <f>_xlfn.XLOOKUP(CustomerCombinedCleaned[[#This Row],[ID]], Table4[ID], Table4[Visits], "Not Found", 0)</f>
        <v>7</v>
      </c>
      <c r="W1349" s="16">
        <f>_xlfn.XLOOKUP(CustomerCombinedCleaned[[#This Row],[ID]], Table2[ID],Table2[Complaint], "Not Found", 0 )</f>
        <v>0</v>
      </c>
      <c r="X1349" s="16">
        <f>_xlfn.XLOOKUP(CustomerCombinedCleaned[[#This Row],[ID]], Table2[ID],Table2[Pilot], "Not Found", 0 )</f>
        <v>0</v>
      </c>
      <c r="Y1349" s="16">
        <f>_xlfn.XLOOKUP(CustomerCombinedCleaned[[#This Row],[ID]], Table2[ID],Table2[MC1], "Not Found", 0 )</f>
        <v>0</v>
      </c>
      <c r="Z1349" s="16">
        <f>_xlfn.XLOOKUP(CustomerCombinedCleaned[[#This Row],[ID]], Table2[ID],Table2[MC2], "Not Found", 0 )</f>
        <v>0</v>
      </c>
      <c r="AA1349" s="16">
        <f>_xlfn.XLOOKUP(CustomerCombinedCleaned[[#This Row],[ID]], Table2[ID],Table2[MC3], "Not Found", 0 )</f>
        <v>0</v>
      </c>
      <c r="AB1349" s="16">
        <f>_xlfn.XLOOKUP(CustomerCombinedCleaned[[#This Row],[ID]], Table2[ID],Table2[MC4], "Not Found", 0 )</f>
        <v>0</v>
      </c>
      <c r="AC1349" s="16">
        <f>_xlfn.XLOOKUP(CustomerCombinedCleaned[[#This Row],[ID]], Table2[ID],Table2[MC5], "Not Found", 0 )</f>
        <v>0</v>
      </c>
    </row>
    <row r="1350" spans="1:29" x14ac:dyDescent="0.3">
      <c r="A1350" s="18">
        <v>1562</v>
      </c>
      <c r="B1350" s="16">
        <v>147472</v>
      </c>
      <c r="C1350" s="16">
        <v>1</v>
      </c>
      <c r="D1350" s="16">
        <v>1</v>
      </c>
      <c r="E1350" s="16">
        <v>54</v>
      </c>
      <c r="F1350" s="17" t="s">
        <v>8</v>
      </c>
      <c r="G1350" s="17" t="s">
        <v>13</v>
      </c>
      <c r="H1350" s="3" t="s">
        <v>183</v>
      </c>
      <c r="I1350" s="5" t="s">
        <v>438</v>
      </c>
      <c r="J1350" s="16">
        <f>_xlfn.XLOOKUP(CustomerCombinedCleaned[[#This Row],[ID]], Table4[ID], Table4[Recency], "Not Found", 0)</f>
        <v>39</v>
      </c>
      <c r="K1350" s="16">
        <f>_xlfn.XLOOKUP(CustomerCombinedCleaned[[#This Row],[ID]], Table4[ID], Table4[Teas], "Not Found", 0)</f>
        <v>174</v>
      </c>
      <c r="L1350" s="16">
        <f>_xlfn.XLOOKUP(CustomerCombinedCleaned[[#This Row],[ID]], Table4[ID], Table4[Fruits], "Not Found", 0)</f>
        <v>0</v>
      </c>
      <c r="M1350" s="16">
        <f>_xlfn.XLOOKUP(CustomerCombinedCleaned[[#This Row],[ID]], Table4[ID], Table4[Meats], "Not Found", 0)</f>
        <v>34</v>
      </c>
      <c r="N1350" s="16">
        <f>_xlfn.XLOOKUP(CustomerCombinedCleaned[[#This Row],[ID]], Table4[ID], Table4[Seafood], "Not Found", 0)</f>
        <v>0</v>
      </c>
      <c r="O1350" s="16">
        <f>_xlfn.XLOOKUP(CustomerCombinedCleaned[[#This Row],[ID]], Table4[ID], Table4[Sweets], "Not Found", 0)</f>
        <v>0</v>
      </c>
      <c r="P1350" s="16">
        <f>_xlfn.XLOOKUP(CustomerCombinedCleaned[[#This Row],[ID]], Table4[ID], Table4[Premium], "Not Found", 0)</f>
        <v>25</v>
      </c>
      <c r="Q1350" s="16">
        <f>_xlfn.XLOOKUP(CustomerCombinedCleaned[[#This Row],[ID]], Table4[ID], Table4[Regular], "Not Found", 0)</f>
        <v>183</v>
      </c>
      <c r="R1350" s="16">
        <f>_xlfn.XLOOKUP(CustomerCombinedCleaned[[#This Row],[ID]], Table4[ID], Table4[Deals], "Not Found", 0)</f>
        <v>2</v>
      </c>
      <c r="S1350" s="16">
        <f>_xlfn.XLOOKUP(CustomerCombinedCleaned[[#This Row],[ID]], Table4[ID], Table4[Website], "Not Found", 0)</f>
        <v>2</v>
      </c>
      <c r="T1350" s="16">
        <f>_xlfn.XLOOKUP(CustomerCombinedCleaned[[#This Row],[ID]], Table4[ID], Table4[Catalog], "Not Found", 0)</f>
        <v>0</v>
      </c>
      <c r="U1350" s="16">
        <f>_xlfn.XLOOKUP(CustomerCombinedCleaned[[#This Row],[ID]], Table4[ID], Table4[Store], "Not Found", 0)</f>
        <v>4</v>
      </c>
      <c r="V1350" s="16">
        <f>_xlfn.XLOOKUP(CustomerCombinedCleaned[[#This Row],[ID]], Table4[ID], Table4[Visits], "Not Found", 0)</f>
        <v>5</v>
      </c>
      <c r="W1350" s="16">
        <f>_xlfn.XLOOKUP(CustomerCombinedCleaned[[#This Row],[ID]], Table2[ID],Table2[Complaint], "Not Found", 0 )</f>
        <v>0</v>
      </c>
      <c r="X1350" s="16">
        <f>_xlfn.XLOOKUP(CustomerCombinedCleaned[[#This Row],[ID]], Table2[ID],Table2[Pilot], "Not Found", 0 )</f>
        <v>0</v>
      </c>
      <c r="Y1350" s="16">
        <f>_xlfn.XLOOKUP(CustomerCombinedCleaned[[#This Row],[ID]], Table2[ID],Table2[MC1], "Not Found", 0 )</f>
        <v>0</v>
      </c>
      <c r="Z1350" s="16">
        <f>_xlfn.XLOOKUP(CustomerCombinedCleaned[[#This Row],[ID]], Table2[ID],Table2[MC2], "Not Found", 0 )</f>
        <v>0</v>
      </c>
      <c r="AA1350" s="16">
        <f>_xlfn.XLOOKUP(CustomerCombinedCleaned[[#This Row],[ID]], Table2[ID],Table2[MC3], "Not Found", 0 )</f>
        <v>0</v>
      </c>
      <c r="AB1350" s="16">
        <f>_xlfn.XLOOKUP(CustomerCombinedCleaned[[#This Row],[ID]], Table2[ID],Table2[MC4], "Not Found", 0 )</f>
        <v>0</v>
      </c>
      <c r="AC1350" s="16">
        <f>_xlfn.XLOOKUP(CustomerCombinedCleaned[[#This Row],[ID]], Table2[ID],Table2[MC5], "Not Found", 0 )</f>
        <v>0</v>
      </c>
    </row>
    <row r="1351" spans="1:29" x14ac:dyDescent="0.3">
      <c r="A1351" s="18">
        <v>1641</v>
      </c>
      <c r="B1351" s="16">
        <v>146734</v>
      </c>
      <c r="C1351" s="16">
        <v>1</v>
      </c>
      <c r="D1351" s="16">
        <v>2</v>
      </c>
      <c r="E1351" s="16">
        <v>54</v>
      </c>
      <c r="F1351" s="17" t="s">
        <v>7</v>
      </c>
      <c r="G1351" s="17" t="s">
        <v>13</v>
      </c>
      <c r="H1351" s="3" t="s">
        <v>161</v>
      </c>
      <c r="I1351" s="5" t="s">
        <v>435</v>
      </c>
      <c r="J1351" s="16">
        <f>_xlfn.XLOOKUP(CustomerCombinedCleaned[[#This Row],[ID]], Table4[ID], Table4[Recency], "Not Found", 0)</f>
        <v>86</v>
      </c>
      <c r="K1351" s="16">
        <f>_xlfn.XLOOKUP(CustomerCombinedCleaned[[#This Row],[ID]], Table4[ID], Table4[Teas], "Not Found", 0)</f>
        <v>314</v>
      </c>
      <c r="L1351" s="16">
        <f>_xlfn.XLOOKUP(CustomerCombinedCleaned[[#This Row],[ID]], Table4[ID], Table4[Fruits], "Not Found", 0)</f>
        <v>3</v>
      </c>
      <c r="M1351" s="16">
        <f>_xlfn.XLOOKUP(CustomerCombinedCleaned[[#This Row],[ID]], Table4[ID], Table4[Meats], "Not Found", 0)</f>
        <v>122</v>
      </c>
      <c r="N1351" s="16">
        <f>_xlfn.XLOOKUP(CustomerCombinedCleaned[[#This Row],[ID]], Table4[ID], Table4[Seafood], "Not Found", 0)</f>
        <v>19</v>
      </c>
      <c r="O1351" s="16">
        <f>_xlfn.XLOOKUP(CustomerCombinedCleaned[[#This Row],[ID]], Table4[ID], Table4[Sweets], "Not Found", 0)</f>
        <v>3</v>
      </c>
      <c r="P1351" s="16">
        <f>_xlfn.XLOOKUP(CustomerCombinedCleaned[[#This Row],[ID]], Table4[ID], Table4[Premium], "Not Found", 0)</f>
        <v>239</v>
      </c>
      <c r="Q1351" s="16">
        <f>_xlfn.XLOOKUP(CustomerCombinedCleaned[[#This Row],[ID]], Table4[ID], Table4[Regular], "Not Found", 0)</f>
        <v>223</v>
      </c>
      <c r="R1351" s="16">
        <f>_xlfn.XLOOKUP(CustomerCombinedCleaned[[#This Row],[ID]], Table4[ID], Table4[Deals], "Not Found", 0)</f>
        <v>4</v>
      </c>
      <c r="S1351" s="16">
        <f>_xlfn.XLOOKUP(CustomerCombinedCleaned[[#This Row],[ID]], Table4[ID], Table4[Website], "Not Found", 0)</f>
        <v>3</v>
      </c>
      <c r="T1351" s="16">
        <f>_xlfn.XLOOKUP(CustomerCombinedCleaned[[#This Row],[ID]], Table4[ID], Table4[Catalog], "Not Found", 0)</f>
        <v>2</v>
      </c>
      <c r="U1351" s="16">
        <f>_xlfn.XLOOKUP(CustomerCombinedCleaned[[#This Row],[ID]], Table4[ID], Table4[Store], "Not Found", 0)</f>
        <v>3</v>
      </c>
      <c r="V1351" s="16">
        <f>_xlfn.XLOOKUP(CustomerCombinedCleaned[[#This Row],[ID]], Table4[ID], Table4[Visits], "Not Found", 0)</f>
        <v>6</v>
      </c>
      <c r="W1351" s="16">
        <f>_xlfn.XLOOKUP(CustomerCombinedCleaned[[#This Row],[ID]], Table2[ID],Table2[Complaint], "Not Found", 0 )</f>
        <v>0</v>
      </c>
      <c r="X1351" s="16">
        <f>_xlfn.XLOOKUP(CustomerCombinedCleaned[[#This Row],[ID]], Table2[ID],Table2[Pilot], "Not Found", 0 )</f>
        <v>0</v>
      </c>
      <c r="Y1351" s="16">
        <f>_xlfn.XLOOKUP(CustomerCombinedCleaned[[#This Row],[ID]], Table2[ID],Table2[MC1], "Not Found", 0 )</f>
        <v>0</v>
      </c>
      <c r="Z1351" s="16">
        <f>_xlfn.XLOOKUP(CustomerCombinedCleaned[[#This Row],[ID]], Table2[ID],Table2[MC2], "Not Found", 0 )</f>
        <v>0</v>
      </c>
      <c r="AA1351" s="16">
        <f>_xlfn.XLOOKUP(CustomerCombinedCleaned[[#This Row],[ID]], Table2[ID],Table2[MC3], "Not Found", 0 )</f>
        <v>1</v>
      </c>
      <c r="AB1351" s="16">
        <f>_xlfn.XLOOKUP(CustomerCombinedCleaned[[#This Row],[ID]], Table2[ID],Table2[MC4], "Not Found", 0 )</f>
        <v>0</v>
      </c>
      <c r="AC1351" s="16">
        <f>_xlfn.XLOOKUP(CustomerCombinedCleaned[[#This Row],[ID]], Table2[ID],Table2[MC5], "Not Found", 0 )</f>
        <v>0</v>
      </c>
    </row>
    <row r="1352" spans="1:29" x14ac:dyDescent="0.3">
      <c r="A1352" s="18">
        <v>2559</v>
      </c>
      <c r="B1352" s="16">
        <v>145903</v>
      </c>
      <c r="C1352" s="16">
        <v>0</v>
      </c>
      <c r="D1352" s="16">
        <v>1</v>
      </c>
      <c r="E1352" s="16">
        <v>54</v>
      </c>
      <c r="F1352" s="17" t="s">
        <v>8</v>
      </c>
      <c r="G1352" s="17" t="s">
        <v>12</v>
      </c>
      <c r="H1352" s="3" t="s">
        <v>59</v>
      </c>
      <c r="I1352" s="5" t="s">
        <v>435</v>
      </c>
      <c r="J1352" s="16">
        <f>_xlfn.XLOOKUP(CustomerCombinedCleaned[[#This Row],[ID]], Table4[ID], Table4[Recency], "Not Found", 0)</f>
        <v>80</v>
      </c>
      <c r="K1352" s="16">
        <f>_xlfn.XLOOKUP(CustomerCombinedCleaned[[#This Row],[ID]], Table4[ID], Table4[Teas], "Not Found", 0)</f>
        <v>105</v>
      </c>
      <c r="L1352" s="16">
        <f>_xlfn.XLOOKUP(CustomerCombinedCleaned[[#This Row],[ID]], Table4[ID], Table4[Fruits], "Not Found", 0)</f>
        <v>25</v>
      </c>
      <c r="M1352" s="16">
        <f>_xlfn.XLOOKUP(CustomerCombinedCleaned[[#This Row],[ID]], Table4[ID], Table4[Meats], "Not Found", 0)</f>
        <v>32</v>
      </c>
      <c r="N1352" s="16">
        <f>_xlfn.XLOOKUP(CustomerCombinedCleaned[[#This Row],[ID]], Table4[ID], Table4[Seafood], "Not Found", 0)</f>
        <v>6</v>
      </c>
      <c r="O1352" s="16">
        <f>_xlfn.XLOOKUP(CustomerCombinedCleaned[[#This Row],[ID]], Table4[ID], Table4[Sweets], "Not Found", 0)</f>
        <v>32</v>
      </c>
      <c r="P1352" s="16">
        <f>_xlfn.XLOOKUP(CustomerCombinedCleaned[[#This Row],[ID]], Table4[ID], Table4[Premium], "Not Found", 0)</f>
        <v>10</v>
      </c>
      <c r="Q1352" s="16">
        <f>_xlfn.XLOOKUP(CustomerCombinedCleaned[[#This Row],[ID]], Table4[ID], Table4[Regular], "Not Found", 0)</f>
        <v>191</v>
      </c>
      <c r="R1352" s="16">
        <f>_xlfn.XLOOKUP(CustomerCombinedCleaned[[#This Row],[ID]], Table4[ID], Table4[Deals], "Not Found", 0)</f>
        <v>2</v>
      </c>
      <c r="S1352" s="16">
        <f>_xlfn.XLOOKUP(CustomerCombinedCleaned[[#This Row],[ID]], Table4[ID], Table4[Website], "Not Found", 0)</f>
        <v>2</v>
      </c>
      <c r="T1352" s="16">
        <f>_xlfn.XLOOKUP(CustomerCombinedCleaned[[#This Row],[ID]], Table4[ID], Table4[Catalog], "Not Found", 0)</f>
        <v>1</v>
      </c>
      <c r="U1352" s="16">
        <f>_xlfn.XLOOKUP(CustomerCombinedCleaned[[#This Row],[ID]], Table4[ID], Table4[Store], "Not Found", 0)</f>
        <v>3</v>
      </c>
      <c r="V1352" s="16">
        <f>_xlfn.XLOOKUP(CustomerCombinedCleaned[[#This Row],[ID]], Table4[ID], Table4[Visits], "Not Found", 0)</f>
        <v>4</v>
      </c>
      <c r="W1352" s="16">
        <f>_xlfn.XLOOKUP(CustomerCombinedCleaned[[#This Row],[ID]], Table2[ID],Table2[Complaint], "Not Found", 0 )</f>
        <v>0</v>
      </c>
      <c r="X1352" s="16">
        <f>_xlfn.XLOOKUP(CustomerCombinedCleaned[[#This Row],[ID]], Table2[ID],Table2[Pilot], "Not Found", 0 )</f>
        <v>0</v>
      </c>
      <c r="Y1352" s="16">
        <f>_xlfn.XLOOKUP(CustomerCombinedCleaned[[#This Row],[ID]], Table2[ID],Table2[MC1], "Not Found", 0 )</f>
        <v>0</v>
      </c>
      <c r="Z1352" s="16">
        <f>_xlfn.XLOOKUP(CustomerCombinedCleaned[[#This Row],[ID]], Table2[ID],Table2[MC2], "Not Found", 0 )</f>
        <v>0</v>
      </c>
      <c r="AA1352" s="16">
        <f>_xlfn.XLOOKUP(CustomerCombinedCleaned[[#This Row],[ID]], Table2[ID],Table2[MC3], "Not Found", 0 )</f>
        <v>0</v>
      </c>
      <c r="AB1352" s="16">
        <f>_xlfn.XLOOKUP(CustomerCombinedCleaned[[#This Row],[ID]], Table2[ID],Table2[MC4], "Not Found", 0 )</f>
        <v>0</v>
      </c>
      <c r="AC1352" s="16">
        <f>_xlfn.XLOOKUP(CustomerCombinedCleaned[[#This Row],[ID]], Table2[ID],Table2[MC5], "Not Found", 0 )</f>
        <v>0</v>
      </c>
    </row>
    <row r="1353" spans="1:29" x14ac:dyDescent="0.3">
      <c r="A1353" s="18">
        <v>1196</v>
      </c>
      <c r="B1353" s="16">
        <v>144794</v>
      </c>
      <c r="C1353" s="16">
        <v>0</v>
      </c>
      <c r="D1353" s="16">
        <v>1</v>
      </c>
      <c r="E1353" s="16">
        <v>54</v>
      </c>
      <c r="F1353" s="17" t="s">
        <v>6</v>
      </c>
      <c r="G1353" s="17" t="s">
        <v>11</v>
      </c>
      <c r="H1353" s="3" t="s">
        <v>734</v>
      </c>
      <c r="I1353" s="5" t="s">
        <v>438</v>
      </c>
      <c r="J1353" s="16">
        <f>_xlfn.XLOOKUP(CustomerCombinedCleaned[[#This Row],[ID]], Table4[ID], Table4[Recency], "Not Found", 0)</f>
        <v>99</v>
      </c>
      <c r="K1353" s="16">
        <f>_xlfn.XLOOKUP(CustomerCombinedCleaned[[#This Row],[ID]], Table4[ID], Table4[Teas], "Not Found", 0)</f>
        <v>175</v>
      </c>
      <c r="L1353" s="16">
        <f>_xlfn.XLOOKUP(CustomerCombinedCleaned[[#This Row],[ID]], Table4[ID], Table4[Fruits], "Not Found", 0)</f>
        <v>0</v>
      </c>
      <c r="M1353" s="16">
        <f>_xlfn.XLOOKUP(CustomerCombinedCleaned[[#This Row],[ID]], Table4[ID], Table4[Meats], "Not Found", 0)</f>
        <v>23</v>
      </c>
      <c r="N1353" s="16">
        <f>_xlfn.XLOOKUP(CustomerCombinedCleaned[[#This Row],[ID]], Table4[ID], Table4[Seafood], "Not Found", 0)</f>
        <v>0</v>
      </c>
      <c r="O1353" s="16">
        <f>_xlfn.XLOOKUP(CustomerCombinedCleaned[[#This Row],[ID]], Table4[ID], Table4[Sweets], "Not Found", 0)</f>
        <v>0</v>
      </c>
      <c r="P1353" s="16">
        <f>_xlfn.XLOOKUP(CustomerCombinedCleaned[[#This Row],[ID]], Table4[ID], Table4[Premium], "Not Found", 0)</f>
        <v>13</v>
      </c>
      <c r="Q1353" s="16">
        <f>_xlfn.XLOOKUP(CustomerCombinedCleaned[[#This Row],[ID]], Table4[ID], Table4[Regular], "Not Found", 0)</f>
        <v>184</v>
      </c>
      <c r="R1353" s="16">
        <f>_xlfn.XLOOKUP(CustomerCombinedCleaned[[#This Row],[ID]], Table4[ID], Table4[Deals], "Not Found", 0)</f>
        <v>1</v>
      </c>
      <c r="S1353" s="16">
        <f>_xlfn.XLOOKUP(CustomerCombinedCleaned[[#This Row],[ID]], Table4[ID], Table4[Website], "Not Found", 0)</f>
        <v>2</v>
      </c>
      <c r="T1353" s="16">
        <f>_xlfn.XLOOKUP(CustomerCombinedCleaned[[#This Row],[ID]], Table4[ID], Table4[Catalog], "Not Found", 0)</f>
        <v>0</v>
      </c>
      <c r="U1353" s="16">
        <f>_xlfn.XLOOKUP(CustomerCombinedCleaned[[#This Row],[ID]], Table4[ID], Table4[Store], "Not Found", 0)</f>
        <v>3</v>
      </c>
      <c r="V1353" s="16">
        <f>_xlfn.XLOOKUP(CustomerCombinedCleaned[[#This Row],[ID]], Table4[ID], Table4[Visits], "Not Found", 0)</f>
        <v>6</v>
      </c>
      <c r="W1353" s="16">
        <f>_xlfn.XLOOKUP(CustomerCombinedCleaned[[#This Row],[ID]], Table2[ID],Table2[Complaint], "Not Found", 0 )</f>
        <v>0</v>
      </c>
      <c r="X1353" s="16">
        <f>_xlfn.XLOOKUP(CustomerCombinedCleaned[[#This Row],[ID]], Table2[ID],Table2[Pilot], "Not Found", 0 )</f>
        <v>0</v>
      </c>
      <c r="Y1353" s="16">
        <f>_xlfn.XLOOKUP(CustomerCombinedCleaned[[#This Row],[ID]], Table2[ID],Table2[MC1], "Not Found", 0 )</f>
        <v>0</v>
      </c>
      <c r="Z1353" s="16">
        <f>_xlfn.XLOOKUP(CustomerCombinedCleaned[[#This Row],[ID]], Table2[ID],Table2[MC2], "Not Found", 0 )</f>
        <v>0</v>
      </c>
      <c r="AA1353" s="16">
        <f>_xlfn.XLOOKUP(CustomerCombinedCleaned[[#This Row],[ID]], Table2[ID],Table2[MC3], "Not Found", 0 )</f>
        <v>0</v>
      </c>
      <c r="AB1353" s="16">
        <f>_xlfn.XLOOKUP(CustomerCombinedCleaned[[#This Row],[ID]], Table2[ID],Table2[MC4], "Not Found", 0 )</f>
        <v>0</v>
      </c>
      <c r="AC1353" s="16">
        <f>_xlfn.XLOOKUP(CustomerCombinedCleaned[[#This Row],[ID]], Table2[ID],Table2[MC5], "Not Found", 0 )</f>
        <v>0</v>
      </c>
    </row>
    <row r="1354" spans="1:29" x14ac:dyDescent="0.3">
      <c r="A1354" s="18">
        <v>1706</v>
      </c>
      <c r="B1354" s="16">
        <v>144794</v>
      </c>
      <c r="C1354" s="16">
        <v>0</v>
      </c>
      <c r="D1354" s="16">
        <v>1</v>
      </c>
      <c r="E1354" s="16">
        <v>54</v>
      </c>
      <c r="F1354" s="17" t="s">
        <v>6</v>
      </c>
      <c r="G1354" s="17" t="s">
        <v>11</v>
      </c>
      <c r="H1354" s="3" t="s">
        <v>734</v>
      </c>
      <c r="I1354" s="5" t="s">
        <v>438</v>
      </c>
      <c r="J1354" s="16">
        <f>_xlfn.XLOOKUP(CustomerCombinedCleaned[[#This Row],[ID]], Table4[ID], Table4[Recency], "Not Found", 0)</f>
        <v>99</v>
      </c>
      <c r="K1354" s="16">
        <f>_xlfn.XLOOKUP(CustomerCombinedCleaned[[#This Row],[ID]], Table4[ID], Table4[Teas], "Not Found", 0)</f>
        <v>175</v>
      </c>
      <c r="L1354" s="16">
        <f>_xlfn.XLOOKUP(CustomerCombinedCleaned[[#This Row],[ID]], Table4[ID], Table4[Fruits], "Not Found", 0)</f>
        <v>0</v>
      </c>
      <c r="M1354" s="16">
        <f>_xlfn.XLOOKUP(CustomerCombinedCleaned[[#This Row],[ID]], Table4[ID], Table4[Meats], "Not Found", 0)</f>
        <v>23</v>
      </c>
      <c r="N1354" s="16">
        <f>_xlfn.XLOOKUP(CustomerCombinedCleaned[[#This Row],[ID]], Table4[ID], Table4[Seafood], "Not Found", 0)</f>
        <v>0</v>
      </c>
      <c r="O1354" s="16">
        <f>_xlfn.XLOOKUP(CustomerCombinedCleaned[[#This Row],[ID]], Table4[ID], Table4[Sweets], "Not Found", 0)</f>
        <v>0</v>
      </c>
      <c r="P1354" s="16">
        <f>_xlfn.XLOOKUP(CustomerCombinedCleaned[[#This Row],[ID]], Table4[ID], Table4[Premium], "Not Found", 0)</f>
        <v>13</v>
      </c>
      <c r="Q1354" s="16">
        <f>_xlfn.XLOOKUP(CustomerCombinedCleaned[[#This Row],[ID]], Table4[ID], Table4[Regular], "Not Found", 0)</f>
        <v>184</v>
      </c>
      <c r="R1354" s="16">
        <f>_xlfn.XLOOKUP(CustomerCombinedCleaned[[#This Row],[ID]], Table4[ID], Table4[Deals], "Not Found", 0)</f>
        <v>1</v>
      </c>
      <c r="S1354" s="16">
        <f>_xlfn.XLOOKUP(CustomerCombinedCleaned[[#This Row],[ID]], Table4[ID], Table4[Website], "Not Found", 0)</f>
        <v>2</v>
      </c>
      <c r="T1354" s="16">
        <f>_xlfn.XLOOKUP(CustomerCombinedCleaned[[#This Row],[ID]], Table4[ID], Table4[Catalog], "Not Found", 0)</f>
        <v>0</v>
      </c>
      <c r="U1354" s="16">
        <f>_xlfn.XLOOKUP(CustomerCombinedCleaned[[#This Row],[ID]], Table4[ID], Table4[Store], "Not Found", 0)</f>
        <v>3</v>
      </c>
      <c r="V1354" s="16">
        <f>_xlfn.XLOOKUP(CustomerCombinedCleaned[[#This Row],[ID]], Table4[ID], Table4[Visits], "Not Found", 0)</f>
        <v>6</v>
      </c>
      <c r="W1354" s="16">
        <f>_xlfn.XLOOKUP(CustomerCombinedCleaned[[#This Row],[ID]], Table2[ID],Table2[Complaint], "Not Found", 0 )</f>
        <v>0</v>
      </c>
      <c r="X1354" s="16">
        <f>_xlfn.XLOOKUP(CustomerCombinedCleaned[[#This Row],[ID]], Table2[ID],Table2[Pilot], "Not Found", 0 )</f>
        <v>0</v>
      </c>
      <c r="Y1354" s="16">
        <f>_xlfn.XLOOKUP(CustomerCombinedCleaned[[#This Row],[ID]], Table2[ID],Table2[MC1], "Not Found", 0 )</f>
        <v>0</v>
      </c>
      <c r="Z1354" s="16">
        <f>_xlfn.XLOOKUP(CustomerCombinedCleaned[[#This Row],[ID]], Table2[ID],Table2[MC2], "Not Found", 0 )</f>
        <v>0</v>
      </c>
      <c r="AA1354" s="16">
        <f>_xlfn.XLOOKUP(CustomerCombinedCleaned[[#This Row],[ID]], Table2[ID],Table2[MC3], "Not Found", 0 )</f>
        <v>0</v>
      </c>
      <c r="AB1354" s="16">
        <f>_xlfn.XLOOKUP(CustomerCombinedCleaned[[#This Row],[ID]], Table2[ID],Table2[MC4], "Not Found", 0 )</f>
        <v>0</v>
      </c>
      <c r="AC1354" s="16">
        <f>_xlfn.XLOOKUP(CustomerCombinedCleaned[[#This Row],[ID]], Table2[ID],Table2[MC5], "Not Found", 0 )</f>
        <v>0</v>
      </c>
    </row>
    <row r="1355" spans="1:29" x14ac:dyDescent="0.3">
      <c r="A1355" s="18">
        <v>2030</v>
      </c>
      <c r="B1355" s="16">
        <v>144529</v>
      </c>
      <c r="C1355" s="16">
        <v>0</v>
      </c>
      <c r="D1355" s="16">
        <v>1</v>
      </c>
      <c r="E1355" s="16">
        <v>54</v>
      </c>
      <c r="F1355" s="17" t="s">
        <v>6</v>
      </c>
      <c r="G1355" s="17" t="s">
        <v>11</v>
      </c>
      <c r="H1355" s="3" t="s">
        <v>712</v>
      </c>
      <c r="I1355" s="5" t="s">
        <v>438</v>
      </c>
      <c r="J1355" s="16">
        <f>_xlfn.XLOOKUP(CustomerCombinedCleaned[[#This Row],[ID]], Table4[ID], Table4[Recency], "Not Found", 0)</f>
        <v>98</v>
      </c>
      <c r="K1355" s="16">
        <f>_xlfn.XLOOKUP(CustomerCombinedCleaned[[#This Row],[ID]], Table4[ID], Table4[Teas], "Not Found", 0)</f>
        <v>1746</v>
      </c>
      <c r="L1355" s="16">
        <f>_xlfn.XLOOKUP(CustomerCombinedCleaned[[#This Row],[ID]], Table4[ID], Table4[Fruits], "Not Found", 0)</f>
        <v>42</v>
      </c>
      <c r="M1355" s="16">
        <f>_xlfn.XLOOKUP(CustomerCombinedCleaned[[#This Row],[ID]], Table4[ID], Table4[Meats], "Not Found", 0)</f>
        <v>295</v>
      </c>
      <c r="N1355" s="16">
        <f>_xlfn.XLOOKUP(CustomerCombinedCleaned[[#This Row],[ID]], Table4[ID], Table4[Seafood], "Not Found", 0)</f>
        <v>55</v>
      </c>
      <c r="O1355" s="16">
        <f>_xlfn.XLOOKUP(CustomerCombinedCleaned[[#This Row],[ID]], Table4[ID], Table4[Sweets], "Not Found", 0)</f>
        <v>19</v>
      </c>
      <c r="P1355" s="16">
        <f>_xlfn.XLOOKUP(CustomerCombinedCleaned[[#This Row],[ID]], Table4[ID], Table4[Premium], "Not Found", 0)</f>
        <v>84</v>
      </c>
      <c r="Q1355" s="16">
        <f>_xlfn.XLOOKUP(CustomerCombinedCleaned[[#This Row],[ID]], Table4[ID], Table4[Regular], "Not Found", 0)</f>
        <v>2074</v>
      </c>
      <c r="R1355" s="16">
        <f>_xlfn.XLOOKUP(CustomerCombinedCleaned[[#This Row],[ID]], Table4[ID], Table4[Deals], "Not Found", 0)</f>
        <v>6</v>
      </c>
      <c r="S1355" s="16">
        <f>_xlfn.XLOOKUP(CustomerCombinedCleaned[[#This Row],[ID]], Table4[ID], Table4[Website], "Not Found", 0)</f>
        <v>6</v>
      </c>
      <c r="T1355" s="16">
        <f>_xlfn.XLOOKUP(CustomerCombinedCleaned[[#This Row],[ID]], Table4[ID], Table4[Catalog], "Not Found", 0)</f>
        <v>2</v>
      </c>
      <c r="U1355" s="16">
        <f>_xlfn.XLOOKUP(CustomerCombinedCleaned[[#This Row],[ID]], Table4[ID], Table4[Store], "Not Found", 0)</f>
        <v>11</v>
      </c>
      <c r="V1355" s="16">
        <f>_xlfn.XLOOKUP(CustomerCombinedCleaned[[#This Row],[ID]], Table4[ID], Table4[Visits], "Not Found", 0)</f>
        <v>5</v>
      </c>
      <c r="W1355" s="16">
        <f>_xlfn.XLOOKUP(CustomerCombinedCleaned[[#This Row],[ID]], Table2[ID],Table2[Complaint], "Not Found", 0 )</f>
        <v>0</v>
      </c>
      <c r="X1355" s="16">
        <f>_xlfn.XLOOKUP(CustomerCombinedCleaned[[#This Row],[ID]], Table2[ID],Table2[Pilot], "Not Found", 0 )</f>
        <v>0</v>
      </c>
      <c r="Y1355" s="16">
        <f>_xlfn.XLOOKUP(CustomerCombinedCleaned[[#This Row],[ID]], Table2[ID],Table2[MC1], "Not Found", 0 )</f>
        <v>0</v>
      </c>
      <c r="Z1355" s="16">
        <f>_xlfn.XLOOKUP(CustomerCombinedCleaned[[#This Row],[ID]], Table2[ID],Table2[MC2], "Not Found", 0 )</f>
        <v>0</v>
      </c>
      <c r="AA1355" s="16">
        <f>_xlfn.XLOOKUP(CustomerCombinedCleaned[[#This Row],[ID]], Table2[ID],Table2[MC3], "Not Found", 0 )</f>
        <v>0</v>
      </c>
      <c r="AB1355" s="16">
        <f>_xlfn.XLOOKUP(CustomerCombinedCleaned[[#This Row],[ID]], Table2[ID],Table2[MC4], "Not Found", 0 )</f>
        <v>1</v>
      </c>
      <c r="AC1355" s="16">
        <f>_xlfn.XLOOKUP(CustomerCombinedCleaned[[#This Row],[ID]], Table2[ID],Table2[MC5], "Not Found", 0 )</f>
        <v>0</v>
      </c>
    </row>
    <row r="1356" spans="1:29" x14ac:dyDescent="0.3">
      <c r="A1356" s="18">
        <v>2638</v>
      </c>
      <c r="B1356" s="16">
        <v>143602</v>
      </c>
      <c r="C1356" s="16">
        <v>1</v>
      </c>
      <c r="D1356" s="16">
        <v>1</v>
      </c>
      <c r="E1356" s="16">
        <v>54</v>
      </c>
      <c r="F1356" s="17" t="s">
        <v>7</v>
      </c>
      <c r="G1356" s="17" t="s">
        <v>11</v>
      </c>
      <c r="H1356" s="3" t="s">
        <v>120</v>
      </c>
      <c r="I1356" s="5" t="s">
        <v>439</v>
      </c>
      <c r="J1356" s="16">
        <f>_xlfn.XLOOKUP(CustomerCombinedCleaned[[#This Row],[ID]], Table4[ID], Table4[Recency], "Not Found", 0)</f>
        <v>45</v>
      </c>
      <c r="K1356" s="16">
        <f>_xlfn.XLOOKUP(CustomerCombinedCleaned[[#This Row],[ID]], Table4[ID], Table4[Teas], "Not Found", 0)</f>
        <v>63</v>
      </c>
      <c r="L1356" s="16">
        <f>_xlfn.XLOOKUP(CustomerCombinedCleaned[[#This Row],[ID]], Table4[ID], Table4[Fruits], "Not Found", 0)</f>
        <v>16</v>
      </c>
      <c r="M1356" s="16">
        <f>_xlfn.XLOOKUP(CustomerCombinedCleaned[[#This Row],[ID]], Table4[ID], Table4[Meats], "Not Found", 0)</f>
        <v>40</v>
      </c>
      <c r="N1356" s="16">
        <f>_xlfn.XLOOKUP(CustomerCombinedCleaned[[#This Row],[ID]], Table4[ID], Table4[Seafood], "Not Found", 0)</f>
        <v>33</v>
      </c>
      <c r="O1356" s="16">
        <f>_xlfn.XLOOKUP(CustomerCombinedCleaned[[#This Row],[ID]], Table4[ID], Table4[Sweets], "Not Found", 0)</f>
        <v>10</v>
      </c>
      <c r="P1356" s="16">
        <f>_xlfn.XLOOKUP(CustomerCombinedCleaned[[#This Row],[ID]], Table4[ID], Table4[Premium], "Not Found", 0)</f>
        <v>63</v>
      </c>
      <c r="Q1356" s="16">
        <f>_xlfn.XLOOKUP(CustomerCombinedCleaned[[#This Row],[ID]], Table4[ID], Table4[Regular], "Not Found", 0)</f>
        <v>99</v>
      </c>
      <c r="R1356" s="16">
        <f>_xlfn.XLOOKUP(CustomerCombinedCleaned[[#This Row],[ID]], Table4[ID], Table4[Deals], "Not Found", 0)</f>
        <v>3</v>
      </c>
      <c r="S1356" s="16">
        <f>_xlfn.XLOOKUP(CustomerCombinedCleaned[[#This Row],[ID]], Table4[ID], Table4[Website], "Not Found", 0)</f>
        <v>3</v>
      </c>
      <c r="T1356" s="16">
        <f>_xlfn.XLOOKUP(CustomerCombinedCleaned[[#This Row],[ID]], Table4[ID], Table4[Catalog], "Not Found", 0)</f>
        <v>1</v>
      </c>
      <c r="U1356" s="16">
        <f>_xlfn.XLOOKUP(CustomerCombinedCleaned[[#This Row],[ID]], Table4[ID], Table4[Store], "Not Found", 0)</f>
        <v>2</v>
      </c>
      <c r="V1356" s="16">
        <f>_xlfn.XLOOKUP(CustomerCombinedCleaned[[#This Row],[ID]], Table4[ID], Table4[Visits], "Not Found", 0)</f>
        <v>6</v>
      </c>
      <c r="W1356" s="16">
        <f>_xlfn.XLOOKUP(CustomerCombinedCleaned[[#This Row],[ID]], Table2[ID],Table2[Complaint], "Not Found", 0 )</f>
        <v>0</v>
      </c>
      <c r="X1356" s="16">
        <f>_xlfn.XLOOKUP(CustomerCombinedCleaned[[#This Row],[ID]], Table2[ID],Table2[Pilot], "Not Found", 0 )</f>
        <v>0</v>
      </c>
      <c r="Y1356" s="16">
        <f>_xlfn.XLOOKUP(CustomerCombinedCleaned[[#This Row],[ID]], Table2[ID],Table2[MC1], "Not Found", 0 )</f>
        <v>0</v>
      </c>
      <c r="Z1356" s="16">
        <f>_xlfn.XLOOKUP(CustomerCombinedCleaned[[#This Row],[ID]], Table2[ID],Table2[MC2], "Not Found", 0 )</f>
        <v>0</v>
      </c>
      <c r="AA1356" s="16">
        <f>_xlfn.XLOOKUP(CustomerCombinedCleaned[[#This Row],[ID]], Table2[ID],Table2[MC3], "Not Found", 0 )</f>
        <v>0</v>
      </c>
      <c r="AB1356" s="16">
        <f>_xlfn.XLOOKUP(CustomerCombinedCleaned[[#This Row],[ID]], Table2[ID],Table2[MC4], "Not Found", 0 )</f>
        <v>0</v>
      </c>
      <c r="AC1356" s="16">
        <f>_xlfn.XLOOKUP(CustomerCombinedCleaned[[#This Row],[ID]], Table2[ID],Table2[MC5], "Not Found", 0 )</f>
        <v>0</v>
      </c>
    </row>
    <row r="1357" spans="1:29" x14ac:dyDescent="0.3">
      <c r="A1357" s="18">
        <v>1154</v>
      </c>
      <c r="B1357" s="16">
        <v>143482</v>
      </c>
      <c r="C1357" s="16">
        <v>2</v>
      </c>
      <c r="D1357" s="16">
        <v>1</v>
      </c>
      <c r="E1357" s="16">
        <v>54</v>
      </c>
      <c r="F1357" s="17" t="s">
        <v>8</v>
      </c>
      <c r="G1357" s="17" t="s">
        <v>11</v>
      </c>
      <c r="H1357" s="3" t="s">
        <v>151</v>
      </c>
      <c r="I1357" s="5" t="s">
        <v>438</v>
      </c>
      <c r="J1357" s="16">
        <f>_xlfn.XLOOKUP(CustomerCombinedCleaned[[#This Row],[ID]], Table4[ID], Table4[Recency], "Not Found", 0)</f>
        <v>83</v>
      </c>
      <c r="K1357" s="16">
        <f>_xlfn.XLOOKUP(CustomerCombinedCleaned[[#This Row],[ID]], Table4[ID], Table4[Teas], "Not Found", 0)</f>
        <v>59</v>
      </c>
      <c r="L1357" s="16">
        <f>_xlfn.XLOOKUP(CustomerCombinedCleaned[[#This Row],[ID]], Table4[ID], Table4[Fruits], "Not Found", 0)</f>
        <v>3</v>
      </c>
      <c r="M1357" s="16">
        <f>_xlfn.XLOOKUP(CustomerCombinedCleaned[[#This Row],[ID]], Table4[ID], Table4[Meats], "Not Found", 0)</f>
        <v>106</v>
      </c>
      <c r="N1357" s="16">
        <f>_xlfn.XLOOKUP(CustomerCombinedCleaned[[#This Row],[ID]], Table4[ID], Table4[Seafood], "Not Found", 0)</f>
        <v>20</v>
      </c>
      <c r="O1357" s="16">
        <f>_xlfn.XLOOKUP(CustomerCombinedCleaned[[#This Row],[ID]], Table4[ID], Table4[Sweets], "Not Found", 0)</f>
        <v>10</v>
      </c>
      <c r="P1357" s="16">
        <f>_xlfn.XLOOKUP(CustomerCombinedCleaned[[#This Row],[ID]], Table4[ID], Table4[Premium], "Not Found", 0)</f>
        <v>92</v>
      </c>
      <c r="Q1357" s="16">
        <f>_xlfn.XLOOKUP(CustomerCombinedCleaned[[#This Row],[ID]], Table4[ID], Table4[Regular], "Not Found", 0)</f>
        <v>106</v>
      </c>
      <c r="R1357" s="16">
        <f>_xlfn.XLOOKUP(CustomerCombinedCleaned[[#This Row],[ID]], Table4[ID], Table4[Deals], "Not Found", 0)</f>
        <v>3</v>
      </c>
      <c r="S1357" s="16">
        <f>_xlfn.XLOOKUP(CustomerCombinedCleaned[[#This Row],[ID]], Table4[ID], Table4[Website], "Not Found", 0)</f>
        <v>2</v>
      </c>
      <c r="T1357" s="16">
        <f>_xlfn.XLOOKUP(CustomerCombinedCleaned[[#This Row],[ID]], Table4[ID], Table4[Catalog], "Not Found", 0)</f>
        <v>0</v>
      </c>
      <c r="U1357" s="16">
        <f>_xlfn.XLOOKUP(CustomerCombinedCleaned[[#This Row],[ID]], Table4[ID], Table4[Store], "Not Found", 0)</f>
        <v>4</v>
      </c>
      <c r="V1357" s="16">
        <f>_xlfn.XLOOKUP(CustomerCombinedCleaned[[#This Row],[ID]], Table4[ID], Table4[Visits], "Not Found", 0)</f>
        <v>6</v>
      </c>
      <c r="W1357" s="16">
        <f>_xlfn.XLOOKUP(CustomerCombinedCleaned[[#This Row],[ID]], Table2[ID],Table2[Complaint], "Not Found", 0 )</f>
        <v>0</v>
      </c>
      <c r="X1357" s="16">
        <f>_xlfn.XLOOKUP(CustomerCombinedCleaned[[#This Row],[ID]], Table2[ID],Table2[Pilot], "Not Found", 0 )</f>
        <v>0</v>
      </c>
      <c r="Y1357" s="16">
        <f>_xlfn.XLOOKUP(CustomerCombinedCleaned[[#This Row],[ID]], Table2[ID],Table2[MC1], "Not Found", 0 )</f>
        <v>0</v>
      </c>
      <c r="Z1357" s="16">
        <f>_xlfn.XLOOKUP(CustomerCombinedCleaned[[#This Row],[ID]], Table2[ID],Table2[MC2], "Not Found", 0 )</f>
        <v>0</v>
      </c>
      <c r="AA1357" s="16">
        <f>_xlfn.XLOOKUP(CustomerCombinedCleaned[[#This Row],[ID]], Table2[ID],Table2[MC3], "Not Found", 0 )</f>
        <v>0</v>
      </c>
      <c r="AB1357" s="16">
        <f>_xlfn.XLOOKUP(CustomerCombinedCleaned[[#This Row],[ID]], Table2[ID],Table2[MC4], "Not Found", 0 )</f>
        <v>0</v>
      </c>
      <c r="AC1357" s="16">
        <f>_xlfn.XLOOKUP(CustomerCombinedCleaned[[#This Row],[ID]], Table2[ID],Table2[MC5], "Not Found", 0 )</f>
        <v>0</v>
      </c>
    </row>
    <row r="1358" spans="1:29" x14ac:dyDescent="0.3">
      <c r="A1358" s="18">
        <v>1847</v>
      </c>
      <c r="B1358" s="16">
        <v>143456</v>
      </c>
      <c r="C1358" s="16">
        <v>0</v>
      </c>
      <c r="D1358" s="16">
        <v>1</v>
      </c>
      <c r="E1358" s="16">
        <v>54</v>
      </c>
      <c r="F1358" s="17" t="s">
        <v>7</v>
      </c>
      <c r="G1358" s="17" t="s">
        <v>12</v>
      </c>
      <c r="H1358" s="3" t="s">
        <v>282</v>
      </c>
      <c r="I1358" s="5" t="s">
        <v>434</v>
      </c>
      <c r="J1358" s="16">
        <f>_xlfn.XLOOKUP(CustomerCombinedCleaned[[#This Row],[ID]], Table4[ID], Table4[Recency], "Not Found", 0)</f>
        <v>0</v>
      </c>
      <c r="K1358" s="16">
        <f>_xlfn.XLOOKUP(CustomerCombinedCleaned[[#This Row],[ID]], Table4[ID], Table4[Teas], "Not Found", 0)</f>
        <v>908</v>
      </c>
      <c r="L1358" s="16">
        <f>_xlfn.XLOOKUP(CustomerCombinedCleaned[[#This Row],[ID]], Table4[ID], Table4[Fruits], "Not Found", 0)</f>
        <v>36</v>
      </c>
      <c r="M1358" s="16">
        <f>_xlfn.XLOOKUP(CustomerCombinedCleaned[[#This Row],[ID]], Table4[ID], Table4[Meats], "Not Found", 0)</f>
        <v>224</v>
      </c>
      <c r="N1358" s="16">
        <f>_xlfn.XLOOKUP(CustomerCombinedCleaned[[#This Row],[ID]], Table4[ID], Table4[Seafood], "Not Found", 0)</f>
        <v>83</v>
      </c>
      <c r="O1358" s="16">
        <f>_xlfn.XLOOKUP(CustomerCombinedCleaned[[#This Row],[ID]], Table4[ID], Table4[Sweets], "Not Found", 0)</f>
        <v>23</v>
      </c>
      <c r="P1358" s="16">
        <f>_xlfn.XLOOKUP(CustomerCombinedCleaned[[#This Row],[ID]], Table4[ID], Table4[Premium], "Not Found", 0)</f>
        <v>23</v>
      </c>
      <c r="Q1358" s="16">
        <f>_xlfn.XLOOKUP(CustomerCombinedCleaned[[#This Row],[ID]], Table4[ID], Table4[Regular], "Not Found", 0)</f>
        <v>1251</v>
      </c>
      <c r="R1358" s="16">
        <f>_xlfn.XLOOKUP(CustomerCombinedCleaned[[#This Row],[ID]], Table4[ID], Table4[Deals], "Not Found", 0)</f>
        <v>3</v>
      </c>
      <c r="S1358" s="16">
        <f>_xlfn.XLOOKUP(CustomerCombinedCleaned[[#This Row],[ID]], Table4[ID], Table4[Website], "Not Found", 0)</f>
        <v>5</v>
      </c>
      <c r="T1358" s="16">
        <f>_xlfn.XLOOKUP(CustomerCombinedCleaned[[#This Row],[ID]], Table4[ID], Table4[Catalog], "Not Found", 0)</f>
        <v>1</v>
      </c>
      <c r="U1358" s="16">
        <f>_xlfn.XLOOKUP(CustomerCombinedCleaned[[#This Row],[ID]], Table4[ID], Table4[Store], "Not Found", 0)</f>
        <v>8</v>
      </c>
      <c r="V1358" s="16">
        <f>_xlfn.XLOOKUP(CustomerCombinedCleaned[[#This Row],[ID]], Table4[ID], Table4[Visits], "Not Found", 0)</f>
        <v>5</v>
      </c>
      <c r="W1358" s="16">
        <f>_xlfn.XLOOKUP(CustomerCombinedCleaned[[#This Row],[ID]], Table2[ID],Table2[Complaint], "Not Found", 0 )</f>
        <v>0</v>
      </c>
      <c r="X1358" s="16">
        <f>_xlfn.XLOOKUP(CustomerCombinedCleaned[[#This Row],[ID]], Table2[ID],Table2[Pilot], "Not Found", 0 )</f>
        <v>0</v>
      </c>
      <c r="Y1358" s="16">
        <f>_xlfn.XLOOKUP(CustomerCombinedCleaned[[#This Row],[ID]], Table2[ID],Table2[MC1], "Not Found", 0 )</f>
        <v>0</v>
      </c>
      <c r="Z1358" s="16">
        <f>_xlfn.XLOOKUP(CustomerCombinedCleaned[[#This Row],[ID]], Table2[ID],Table2[MC2], "Not Found", 0 )</f>
        <v>0</v>
      </c>
      <c r="AA1358" s="16">
        <f>_xlfn.XLOOKUP(CustomerCombinedCleaned[[#This Row],[ID]], Table2[ID],Table2[MC3], "Not Found", 0 )</f>
        <v>0</v>
      </c>
      <c r="AB1358" s="16">
        <f>_xlfn.XLOOKUP(CustomerCombinedCleaned[[#This Row],[ID]], Table2[ID],Table2[MC4], "Not Found", 0 )</f>
        <v>0</v>
      </c>
      <c r="AC1358" s="16">
        <f>_xlfn.XLOOKUP(CustomerCombinedCleaned[[#This Row],[ID]], Table2[ID],Table2[MC5], "Not Found", 0 )</f>
        <v>0</v>
      </c>
    </row>
    <row r="1359" spans="1:29" x14ac:dyDescent="0.3">
      <c r="A1359" s="18">
        <v>1252</v>
      </c>
      <c r="B1359" s="16">
        <v>138179</v>
      </c>
      <c r="C1359" s="16">
        <v>1</v>
      </c>
      <c r="D1359" s="16">
        <v>1</v>
      </c>
      <c r="E1359" s="16">
        <v>54</v>
      </c>
      <c r="F1359" s="17" t="s">
        <v>6</v>
      </c>
      <c r="G1359" s="17" t="s">
        <v>12</v>
      </c>
      <c r="H1359" s="3" t="s">
        <v>294</v>
      </c>
      <c r="I1359" s="5" t="s">
        <v>439</v>
      </c>
      <c r="J1359" s="16">
        <f>_xlfn.XLOOKUP(CustomerCombinedCleaned[[#This Row],[ID]], Table4[ID], Table4[Recency], "Not Found", 0)</f>
        <v>30</v>
      </c>
      <c r="K1359" s="16">
        <f>_xlfn.XLOOKUP(CustomerCombinedCleaned[[#This Row],[ID]], Table4[ID], Table4[Teas], "Not Found", 0)</f>
        <v>138</v>
      </c>
      <c r="L1359" s="16">
        <f>_xlfn.XLOOKUP(CustomerCombinedCleaned[[#This Row],[ID]], Table4[ID], Table4[Fruits], "Not Found", 0)</f>
        <v>14</v>
      </c>
      <c r="M1359" s="16">
        <f>_xlfn.XLOOKUP(CustomerCombinedCleaned[[#This Row],[ID]], Table4[ID], Table4[Meats], "Not Found", 0)</f>
        <v>80</v>
      </c>
      <c r="N1359" s="16">
        <f>_xlfn.XLOOKUP(CustomerCombinedCleaned[[#This Row],[ID]], Table4[ID], Table4[Seafood], "Not Found", 0)</f>
        <v>14</v>
      </c>
      <c r="O1359" s="16">
        <f>_xlfn.XLOOKUP(CustomerCombinedCleaned[[#This Row],[ID]], Table4[ID], Table4[Sweets], "Not Found", 0)</f>
        <v>7</v>
      </c>
      <c r="P1359" s="16">
        <f>_xlfn.XLOOKUP(CustomerCombinedCleaned[[#This Row],[ID]], Table4[ID], Table4[Premium], "Not Found", 0)</f>
        <v>72</v>
      </c>
      <c r="Q1359" s="16">
        <f>_xlfn.XLOOKUP(CustomerCombinedCleaned[[#This Row],[ID]], Table4[ID], Table4[Regular], "Not Found", 0)</f>
        <v>181</v>
      </c>
      <c r="R1359" s="16">
        <f>_xlfn.XLOOKUP(CustomerCombinedCleaned[[#This Row],[ID]], Table4[ID], Table4[Deals], "Not Found", 0)</f>
        <v>4</v>
      </c>
      <c r="S1359" s="16">
        <f>_xlfn.XLOOKUP(CustomerCombinedCleaned[[#This Row],[ID]], Table4[ID], Table4[Website], "Not Found", 0)</f>
        <v>3</v>
      </c>
      <c r="T1359" s="16">
        <f>_xlfn.XLOOKUP(CustomerCombinedCleaned[[#This Row],[ID]], Table4[ID], Table4[Catalog], "Not Found", 0)</f>
        <v>1</v>
      </c>
      <c r="U1359" s="16">
        <f>_xlfn.XLOOKUP(CustomerCombinedCleaned[[#This Row],[ID]], Table4[ID], Table4[Store], "Not Found", 0)</f>
        <v>3</v>
      </c>
      <c r="V1359" s="16">
        <f>_xlfn.XLOOKUP(CustomerCombinedCleaned[[#This Row],[ID]], Table4[ID], Table4[Visits], "Not Found", 0)</f>
        <v>7</v>
      </c>
      <c r="W1359" s="16">
        <f>_xlfn.XLOOKUP(CustomerCombinedCleaned[[#This Row],[ID]], Table2[ID],Table2[Complaint], "Not Found", 0 )</f>
        <v>0</v>
      </c>
      <c r="X1359" s="16">
        <f>_xlfn.XLOOKUP(CustomerCombinedCleaned[[#This Row],[ID]], Table2[ID],Table2[Pilot], "Not Found", 0 )</f>
        <v>0</v>
      </c>
      <c r="Y1359" s="16">
        <f>_xlfn.XLOOKUP(CustomerCombinedCleaned[[#This Row],[ID]], Table2[ID],Table2[MC1], "Not Found", 0 )</f>
        <v>0</v>
      </c>
      <c r="Z1359" s="16">
        <f>_xlfn.XLOOKUP(CustomerCombinedCleaned[[#This Row],[ID]], Table2[ID],Table2[MC2], "Not Found", 0 )</f>
        <v>0</v>
      </c>
      <c r="AA1359" s="16">
        <f>_xlfn.XLOOKUP(CustomerCombinedCleaned[[#This Row],[ID]], Table2[ID],Table2[MC3], "Not Found", 0 )</f>
        <v>0</v>
      </c>
      <c r="AB1359" s="16">
        <f>_xlfn.XLOOKUP(CustomerCombinedCleaned[[#This Row],[ID]], Table2[ID],Table2[MC4], "Not Found", 0 )</f>
        <v>0</v>
      </c>
      <c r="AC1359" s="16">
        <f>_xlfn.XLOOKUP(CustomerCombinedCleaned[[#This Row],[ID]], Table2[ID],Table2[MC5], "Not Found", 0 )</f>
        <v>0</v>
      </c>
    </row>
    <row r="1360" spans="1:29" x14ac:dyDescent="0.3">
      <c r="A1360" s="18">
        <v>1839</v>
      </c>
      <c r="B1360" s="16">
        <v>137758</v>
      </c>
      <c r="C1360" s="16">
        <v>1</v>
      </c>
      <c r="D1360" s="16">
        <v>1</v>
      </c>
      <c r="E1360" s="16">
        <v>54</v>
      </c>
      <c r="F1360" s="17" t="s">
        <v>8</v>
      </c>
      <c r="G1360" s="17" t="s">
        <v>11</v>
      </c>
      <c r="H1360" s="3" t="s">
        <v>636</v>
      </c>
      <c r="I1360" s="5" t="s">
        <v>435</v>
      </c>
      <c r="J1360" s="16">
        <f>_xlfn.XLOOKUP(CustomerCombinedCleaned[[#This Row],[ID]], Table4[ID], Table4[Recency], "Not Found", 0)</f>
        <v>49</v>
      </c>
      <c r="K1360" s="16">
        <f>_xlfn.XLOOKUP(CustomerCombinedCleaned[[#This Row],[ID]], Table4[ID], Table4[Teas], "Not Found", 0)</f>
        <v>99</v>
      </c>
      <c r="L1360" s="16">
        <f>_xlfn.XLOOKUP(CustomerCombinedCleaned[[#This Row],[ID]], Table4[ID], Table4[Fruits], "Not Found", 0)</f>
        <v>7</v>
      </c>
      <c r="M1360" s="16">
        <f>_xlfn.XLOOKUP(CustomerCombinedCleaned[[#This Row],[ID]], Table4[ID], Table4[Meats], "Not Found", 0)</f>
        <v>36</v>
      </c>
      <c r="N1360" s="16">
        <f>_xlfn.XLOOKUP(CustomerCombinedCleaned[[#This Row],[ID]], Table4[ID], Table4[Seafood], "Not Found", 0)</f>
        <v>0</v>
      </c>
      <c r="O1360" s="16">
        <f>_xlfn.XLOOKUP(CustomerCombinedCleaned[[#This Row],[ID]], Table4[ID], Table4[Sweets], "Not Found", 0)</f>
        <v>0</v>
      </c>
      <c r="P1360" s="16">
        <f>_xlfn.XLOOKUP(CustomerCombinedCleaned[[#This Row],[ID]], Table4[ID], Table4[Premium], "Not Found", 0)</f>
        <v>4</v>
      </c>
      <c r="Q1360" s="16">
        <f>_xlfn.XLOOKUP(CustomerCombinedCleaned[[#This Row],[ID]], Table4[ID], Table4[Regular], "Not Found", 0)</f>
        <v>139</v>
      </c>
      <c r="R1360" s="16">
        <f>_xlfn.XLOOKUP(CustomerCombinedCleaned[[#This Row],[ID]], Table4[ID], Table4[Deals], "Not Found", 0)</f>
        <v>2</v>
      </c>
      <c r="S1360" s="16">
        <f>_xlfn.XLOOKUP(CustomerCombinedCleaned[[#This Row],[ID]], Table4[ID], Table4[Website], "Not Found", 0)</f>
        <v>1</v>
      </c>
      <c r="T1360" s="16">
        <f>_xlfn.XLOOKUP(CustomerCombinedCleaned[[#This Row],[ID]], Table4[ID], Table4[Catalog], "Not Found", 0)</f>
        <v>0</v>
      </c>
      <c r="U1360" s="16">
        <f>_xlfn.XLOOKUP(CustomerCombinedCleaned[[#This Row],[ID]], Table4[ID], Table4[Store], "Not Found", 0)</f>
        <v>3</v>
      </c>
      <c r="V1360" s="16">
        <f>_xlfn.XLOOKUP(CustomerCombinedCleaned[[#This Row],[ID]], Table4[ID], Table4[Visits], "Not Found", 0)</f>
        <v>8</v>
      </c>
      <c r="W1360" s="16">
        <f>_xlfn.XLOOKUP(CustomerCombinedCleaned[[#This Row],[ID]], Table2[ID],Table2[Complaint], "Not Found", 0 )</f>
        <v>0</v>
      </c>
      <c r="X1360" s="16">
        <f>_xlfn.XLOOKUP(CustomerCombinedCleaned[[#This Row],[ID]], Table2[ID],Table2[Pilot], "Not Found", 0 )</f>
        <v>0</v>
      </c>
      <c r="Y1360" s="16">
        <f>_xlfn.XLOOKUP(CustomerCombinedCleaned[[#This Row],[ID]], Table2[ID],Table2[MC1], "Not Found", 0 )</f>
        <v>0</v>
      </c>
      <c r="Z1360" s="16">
        <f>_xlfn.XLOOKUP(CustomerCombinedCleaned[[#This Row],[ID]], Table2[ID],Table2[MC2], "Not Found", 0 )</f>
        <v>0</v>
      </c>
      <c r="AA1360" s="16">
        <f>_xlfn.XLOOKUP(CustomerCombinedCleaned[[#This Row],[ID]], Table2[ID],Table2[MC3], "Not Found", 0 )</f>
        <v>0</v>
      </c>
      <c r="AB1360" s="16">
        <f>_xlfn.XLOOKUP(CustomerCombinedCleaned[[#This Row],[ID]], Table2[ID],Table2[MC4], "Not Found", 0 )</f>
        <v>0</v>
      </c>
      <c r="AC1360" s="16">
        <f>_xlfn.XLOOKUP(CustomerCombinedCleaned[[#This Row],[ID]], Table2[ID],Table2[MC5], "Not Found", 0 )</f>
        <v>0</v>
      </c>
    </row>
    <row r="1361" spans="1:29" x14ac:dyDescent="0.3">
      <c r="A1361" s="18">
        <v>2785</v>
      </c>
      <c r="B1361" s="16">
        <v>137758</v>
      </c>
      <c r="C1361" s="16">
        <v>1</v>
      </c>
      <c r="D1361" s="16">
        <v>1</v>
      </c>
      <c r="E1361" s="16">
        <v>54</v>
      </c>
      <c r="F1361" s="17" t="s">
        <v>8</v>
      </c>
      <c r="G1361" s="17" t="s">
        <v>11</v>
      </c>
      <c r="H1361" s="3" t="s">
        <v>636</v>
      </c>
      <c r="I1361" s="5" t="s">
        <v>437</v>
      </c>
      <c r="J1361" s="16">
        <f>_xlfn.XLOOKUP(CustomerCombinedCleaned[[#This Row],[ID]], Table4[ID], Table4[Recency], "Not Found", 0)</f>
        <v>49</v>
      </c>
      <c r="K1361" s="16">
        <f>_xlfn.XLOOKUP(CustomerCombinedCleaned[[#This Row],[ID]], Table4[ID], Table4[Teas], "Not Found", 0)</f>
        <v>99</v>
      </c>
      <c r="L1361" s="16">
        <f>_xlfn.XLOOKUP(CustomerCombinedCleaned[[#This Row],[ID]], Table4[ID], Table4[Fruits], "Not Found", 0)</f>
        <v>7</v>
      </c>
      <c r="M1361" s="16">
        <f>_xlfn.XLOOKUP(CustomerCombinedCleaned[[#This Row],[ID]], Table4[ID], Table4[Meats], "Not Found", 0)</f>
        <v>36</v>
      </c>
      <c r="N1361" s="16">
        <f>_xlfn.XLOOKUP(CustomerCombinedCleaned[[#This Row],[ID]], Table4[ID], Table4[Seafood], "Not Found", 0)</f>
        <v>0</v>
      </c>
      <c r="O1361" s="16">
        <f>_xlfn.XLOOKUP(CustomerCombinedCleaned[[#This Row],[ID]], Table4[ID], Table4[Sweets], "Not Found", 0)</f>
        <v>0</v>
      </c>
      <c r="P1361" s="16">
        <f>_xlfn.XLOOKUP(CustomerCombinedCleaned[[#This Row],[ID]], Table4[ID], Table4[Premium], "Not Found", 0)</f>
        <v>4</v>
      </c>
      <c r="Q1361" s="16">
        <f>_xlfn.XLOOKUP(CustomerCombinedCleaned[[#This Row],[ID]], Table4[ID], Table4[Regular], "Not Found", 0)</f>
        <v>139</v>
      </c>
      <c r="R1361" s="16">
        <f>_xlfn.XLOOKUP(CustomerCombinedCleaned[[#This Row],[ID]], Table4[ID], Table4[Deals], "Not Found", 0)</f>
        <v>2</v>
      </c>
      <c r="S1361" s="16">
        <f>_xlfn.XLOOKUP(CustomerCombinedCleaned[[#This Row],[ID]], Table4[ID], Table4[Website], "Not Found", 0)</f>
        <v>1</v>
      </c>
      <c r="T1361" s="16">
        <f>_xlfn.XLOOKUP(CustomerCombinedCleaned[[#This Row],[ID]], Table4[ID], Table4[Catalog], "Not Found", 0)</f>
        <v>0</v>
      </c>
      <c r="U1361" s="16">
        <f>_xlfn.XLOOKUP(CustomerCombinedCleaned[[#This Row],[ID]], Table4[ID], Table4[Store], "Not Found", 0)</f>
        <v>3</v>
      </c>
      <c r="V1361" s="16">
        <f>_xlfn.XLOOKUP(CustomerCombinedCleaned[[#This Row],[ID]], Table4[ID], Table4[Visits], "Not Found", 0)</f>
        <v>8</v>
      </c>
      <c r="W1361" s="16">
        <f>_xlfn.XLOOKUP(CustomerCombinedCleaned[[#This Row],[ID]], Table2[ID],Table2[Complaint], "Not Found", 0 )</f>
        <v>0</v>
      </c>
      <c r="X1361" s="16">
        <f>_xlfn.XLOOKUP(CustomerCombinedCleaned[[#This Row],[ID]], Table2[ID],Table2[Pilot], "Not Found", 0 )</f>
        <v>0</v>
      </c>
      <c r="Y1361" s="16">
        <f>_xlfn.XLOOKUP(CustomerCombinedCleaned[[#This Row],[ID]], Table2[ID],Table2[MC1], "Not Found", 0 )</f>
        <v>0</v>
      </c>
      <c r="Z1361" s="16">
        <f>_xlfn.XLOOKUP(CustomerCombinedCleaned[[#This Row],[ID]], Table2[ID],Table2[MC2], "Not Found", 0 )</f>
        <v>0</v>
      </c>
      <c r="AA1361" s="16">
        <f>_xlfn.XLOOKUP(CustomerCombinedCleaned[[#This Row],[ID]], Table2[ID],Table2[MC3], "Not Found", 0 )</f>
        <v>0</v>
      </c>
      <c r="AB1361" s="16">
        <f>_xlfn.XLOOKUP(CustomerCombinedCleaned[[#This Row],[ID]], Table2[ID],Table2[MC4], "Not Found", 0 )</f>
        <v>0</v>
      </c>
      <c r="AC1361" s="16">
        <f>_xlfn.XLOOKUP(CustomerCombinedCleaned[[#This Row],[ID]], Table2[ID],Table2[MC5], "Not Found", 0 )</f>
        <v>0</v>
      </c>
    </row>
    <row r="1362" spans="1:29" x14ac:dyDescent="0.3">
      <c r="A1362" s="18">
        <v>1218</v>
      </c>
      <c r="B1362" s="16">
        <v>137070</v>
      </c>
      <c r="C1362" s="16">
        <v>1</v>
      </c>
      <c r="D1362" s="16">
        <v>1</v>
      </c>
      <c r="E1362" s="16">
        <v>54</v>
      </c>
      <c r="F1362" s="17" t="s">
        <v>7</v>
      </c>
      <c r="G1362" s="17" t="s">
        <v>11</v>
      </c>
      <c r="H1362" s="3" t="s">
        <v>288</v>
      </c>
      <c r="I1362" s="5" t="s">
        <v>436</v>
      </c>
      <c r="J1362" s="16">
        <f>_xlfn.XLOOKUP(CustomerCombinedCleaned[[#This Row],[ID]], Table4[ID], Table4[Recency], "Not Found", 0)</f>
        <v>30</v>
      </c>
      <c r="K1362" s="16">
        <f>_xlfn.XLOOKUP(CustomerCombinedCleaned[[#This Row],[ID]], Table4[ID], Table4[Teas], "Not Found", 0)</f>
        <v>854</v>
      </c>
      <c r="L1362" s="16">
        <f>_xlfn.XLOOKUP(CustomerCombinedCleaned[[#This Row],[ID]], Table4[ID], Table4[Fruits], "Not Found", 0)</f>
        <v>26</v>
      </c>
      <c r="M1362" s="16">
        <f>_xlfn.XLOOKUP(CustomerCombinedCleaned[[#This Row],[ID]], Table4[ID], Table4[Meats], "Not Found", 0)</f>
        <v>507</v>
      </c>
      <c r="N1362" s="16">
        <f>_xlfn.XLOOKUP(CustomerCombinedCleaned[[#This Row],[ID]], Table4[ID], Table4[Seafood], "Not Found", 0)</f>
        <v>15</v>
      </c>
      <c r="O1362" s="16">
        <f>_xlfn.XLOOKUP(CustomerCombinedCleaned[[#This Row],[ID]], Table4[ID], Table4[Sweets], "Not Found", 0)</f>
        <v>55</v>
      </c>
      <c r="P1362" s="16">
        <f>_xlfn.XLOOKUP(CustomerCombinedCleaned[[#This Row],[ID]], Table4[ID], Table4[Premium], "Not Found", 0)</f>
        <v>144</v>
      </c>
      <c r="Q1362" s="16">
        <f>_xlfn.XLOOKUP(CustomerCombinedCleaned[[#This Row],[ID]], Table4[ID], Table4[Regular], "Not Found", 0)</f>
        <v>1313</v>
      </c>
      <c r="R1362" s="16">
        <f>_xlfn.XLOOKUP(CustomerCombinedCleaned[[#This Row],[ID]], Table4[ID], Table4[Deals], "Not Found", 0)</f>
        <v>9</v>
      </c>
      <c r="S1362" s="16">
        <f>_xlfn.XLOOKUP(CustomerCombinedCleaned[[#This Row],[ID]], Table4[ID], Table4[Website], "Not Found", 0)</f>
        <v>5</v>
      </c>
      <c r="T1362" s="16">
        <f>_xlfn.XLOOKUP(CustomerCombinedCleaned[[#This Row],[ID]], Table4[ID], Table4[Catalog], "Not Found", 0)</f>
        <v>1</v>
      </c>
      <c r="U1362" s="16">
        <f>_xlfn.XLOOKUP(CustomerCombinedCleaned[[#This Row],[ID]], Table4[ID], Table4[Store], "Not Found", 0)</f>
        <v>8</v>
      </c>
      <c r="V1362" s="16">
        <f>_xlfn.XLOOKUP(CustomerCombinedCleaned[[#This Row],[ID]], Table4[ID], Table4[Visits], "Not Found", 0)</f>
        <v>7</v>
      </c>
      <c r="W1362" s="16">
        <f>_xlfn.XLOOKUP(CustomerCombinedCleaned[[#This Row],[ID]], Table2[ID],Table2[Complaint], "Not Found", 0 )</f>
        <v>0</v>
      </c>
      <c r="X1362" s="16">
        <f>_xlfn.XLOOKUP(CustomerCombinedCleaned[[#This Row],[ID]], Table2[ID],Table2[Pilot], "Not Found", 0 )</f>
        <v>1</v>
      </c>
      <c r="Y1362" s="16">
        <f>_xlfn.XLOOKUP(CustomerCombinedCleaned[[#This Row],[ID]], Table2[ID],Table2[MC1], "Not Found", 0 )</f>
        <v>0</v>
      </c>
      <c r="Z1362" s="16">
        <f>_xlfn.XLOOKUP(CustomerCombinedCleaned[[#This Row],[ID]], Table2[ID],Table2[MC2], "Not Found", 0 )</f>
        <v>0</v>
      </c>
      <c r="AA1362" s="16">
        <f>_xlfn.XLOOKUP(CustomerCombinedCleaned[[#This Row],[ID]], Table2[ID],Table2[MC3], "Not Found", 0 )</f>
        <v>0</v>
      </c>
      <c r="AB1362" s="16">
        <f>_xlfn.XLOOKUP(CustomerCombinedCleaned[[#This Row],[ID]], Table2[ID],Table2[MC4], "Not Found", 0 )</f>
        <v>0</v>
      </c>
      <c r="AC1362" s="16">
        <f>_xlfn.XLOOKUP(CustomerCombinedCleaned[[#This Row],[ID]], Table2[ID],Table2[MC5], "Not Found", 0 )</f>
        <v>0</v>
      </c>
    </row>
    <row r="1363" spans="1:29" x14ac:dyDescent="0.3">
      <c r="A1363" s="18">
        <v>2778</v>
      </c>
      <c r="B1363" s="16">
        <v>137070</v>
      </c>
      <c r="C1363" s="16">
        <v>1</v>
      </c>
      <c r="D1363" s="16">
        <v>1</v>
      </c>
      <c r="E1363" s="16">
        <v>54</v>
      </c>
      <c r="F1363" s="17" t="s">
        <v>7</v>
      </c>
      <c r="G1363" s="17" t="s">
        <v>11</v>
      </c>
      <c r="H1363" s="3" t="s">
        <v>288</v>
      </c>
      <c r="I1363" s="5" t="s">
        <v>436</v>
      </c>
      <c r="J1363" s="16">
        <f>_xlfn.XLOOKUP(CustomerCombinedCleaned[[#This Row],[ID]], Table4[ID], Table4[Recency], "Not Found", 0)</f>
        <v>30</v>
      </c>
      <c r="K1363" s="16">
        <f>_xlfn.XLOOKUP(CustomerCombinedCleaned[[#This Row],[ID]], Table4[ID], Table4[Teas], "Not Found", 0)</f>
        <v>854</v>
      </c>
      <c r="L1363" s="16">
        <f>_xlfn.XLOOKUP(CustomerCombinedCleaned[[#This Row],[ID]], Table4[ID], Table4[Fruits], "Not Found", 0)</f>
        <v>26</v>
      </c>
      <c r="M1363" s="16">
        <f>_xlfn.XLOOKUP(CustomerCombinedCleaned[[#This Row],[ID]], Table4[ID], Table4[Meats], "Not Found", 0)</f>
        <v>507</v>
      </c>
      <c r="N1363" s="16">
        <f>_xlfn.XLOOKUP(CustomerCombinedCleaned[[#This Row],[ID]], Table4[ID], Table4[Seafood], "Not Found", 0)</f>
        <v>15</v>
      </c>
      <c r="O1363" s="16">
        <f>_xlfn.XLOOKUP(CustomerCombinedCleaned[[#This Row],[ID]], Table4[ID], Table4[Sweets], "Not Found", 0)</f>
        <v>55</v>
      </c>
      <c r="P1363" s="16">
        <f>_xlfn.XLOOKUP(CustomerCombinedCleaned[[#This Row],[ID]], Table4[ID], Table4[Premium], "Not Found", 0)</f>
        <v>144</v>
      </c>
      <c r="Q1363" s="16">
        <f>_xlfn.XLOOKUP(CustomerCombinedCleaned[[#This Row],[ID]], Table4[ID], Table4[Regular], "Not Found", 0)</f>
        <v>1313</v>
      </c>
      <c r="R1363" s="16">
        <f>_xlfn.XLOOKUP(CustomerCombinedCleaned[[#This Row],[ID]], Table4[ID], Table4[Deals], "Not Found", 0)</f>
        <v>9</v>
      </c>
      <c r="S1363" s="16">
        <f>_xlfn.XLOOKUP(CustomerCombinedCleaned[[#This Row],[ID]], Table4[ID], Table4[Website], "Not Found", 0)</f>
        <v>5</v>
      </c>
      <c r="T1363" s="16">
        <f>_xlfn.XLOOKUP(CustomerCombinedCleaned[[#This Row],[ID]], Table4[ID], Table4[Catalog], "Not Found", 0)</f>
        <v>1</v>
      </c>
      <c r="U1363" s="16">
        <f>_xlfn.XLOOKUP(CustomerCombinedCleaned[[#This Row],[ID]], Table4[ID], Table4[Store], "Not Found", 0)</f>
        <v>8</v>
      </c>
      <c r="V1363" s="16">
        <f>_xlfn.XLOOKUP(CustomerCombinedCleaned[[#This Row],[ID]], Table4[ID], Table4[Visits], "Not Found", 0)</f>
        <v>7</v>
      </c>
      <c r="W1363" s="16">
        <f>_xlfn.XLOOKUP(CustomerCombinedCleaned[[#This Row],[ID]], Table2[ID],Table2[Complaint], "Not Found", 0 )</f>
        <v>0</v>
      </c>
      <c r="X1363" s="16">
        <f>_xlfn.XLOOKUP(CustomerCombinedCleaned[[#This Row],[ID]], Table2[ID],Table2[Pilot], "Not Found", 0 )</f>
        <v>1</v>
      </c>
      <c r="Y1363" s="16">
        <f>_xlfn.XLOOKUP(CustomerCombinedCleaned[[#This Row],[ID]], Table2[ID],Table2[MC1], "Not Found", 0 )</f>
        <v>0</v>
      </c>
      <c r="Z1363" s="16">
        <f>_xlfn.XLOOKUP(CustomerCombinedCleaned[[#This Row],[ID]], Table2[ID],Table2[MC2], "Not Found", 0 )</f>
        <v>0</v>
      </c>
      <c r="AA1363" s="16">
        <f>_xlfn.XLOOKUP(CustomerCombinedCleaned[[#This Row],[ID]], Table2[ID],Table2[MC3], "Not Found", 0 )</f>
        <v>0</v>
      </c>
      <c r="AB1363" s="16">
        <f>_xlfn.XLOOKUP(CustomerCombinedCleaned[[#This Row],[ID]], Table2[ID],Table2[MC4], "Not Found", 0 )</f>
        <v>0</v>
      </c>
      <c r="AC1363" s="16">
        <f>_xlfn.XLOOKUP(CustomerCombinedCleaned[[#This Row],[ID]], Table2[ID],Table2[MC5], "Not Found", 0 )</f>
        <v>0</v>
      </c>
    </row>
    <row r="1364" spans="1:29" x14ac:dyDescent="0.3">
      <c r="A1364" s="18">
        <v>2448</v>
      </c>
      <c r="B1364" s="16">
        <v>134704</v>
      </c>
      <c r="C1364" s="16">
        <v>0</v>
      </c>
      <c r="D1364" s="16">
        <v>1</v>
      </c>
      <c r="E1364" s="16">
        <v>54</v>
      </c>
      <c r="F1364" s="17" t="s">
        <v>7</v>
      </c>
      <c r="G1364" s="17" t="s">
        <v>11</v>
      </c>
      <c r="H1364" s="3" t="s">
        <v>735</v>
      </c>
      <c r="I1364" s="5" t="s">
        <v>436</v>
      </c>
      <c r="J1364" s="16">
        <f>_xlfn.XLOOKUP(CustomerCombinedCleaned[[#This Row],[ID]], Table4[ID], Table4[Recency], "Not Found", 0)</f>
        <v>65</v>
      </c>
      <c r="K1364" s="16">
        <f>_xlfn.XLOOKUP(CustomerCombinedCleaned[[#This Row],[ID]], Table4[ID], Table4[Teas], "Not Found", 0)</f>
        <v>113</v>
      </c>
      <c r="L1364" s="16">
        <f>_xlfn.XLOOKUP(CustomerCombinedCleaned[[#This Row],[ID]], Table4[ID], Table4[Fruits], "Not Found", 0)</f>
        <v>0</v>
      </c>
      <c r="M1364" s="16">
        <f>_xlfn.XLOOKUP(CustomerCombinedCleaned[[#This Row],[ID]], Table4[ID], Table4[Meats], "Not Found", 0)</f>
        <v>19</v>
      </c>
      <c r="N1364" s="16">
        <f>_xlfn.XLOOKUP(CustomerCombinedCleaned[[#This Row],[ID]], Table4[ID], Table4[Seafood], "Not Found", 0)</f>
        <v>0</v>
      </c>
      <c r="O1364" s="16">
        <f>_xlfn.XLOOKUP(CustomerCombinedCleaned[[#This Row],[ID]], Table4[ID], Table4[Sweets], "Not Found", 0)</f>
        <v>4</v>
      </c>
      <c r="P1364" s="16">
        <f>_xlfn.XLOOKUP(CustomerCombinedCleaned[[#This Row],[ID]], Table4[ID], Table4[Premium], "Not Found", 0)</f>
        <v>19</v>
      </c>
      <c r="Q1364" s="16">
        <f>_xlfn.XLOOKUP(CustomerCombinedCleaned[[#This Row],[ID]], Table4[ID], Table4[Regular], "Not Found", 0)</f>
        <v>116</v>
      </c>
      <c r="R1364" s="16">
        <f>_xlfn.XLOOKUP(CustomerCombinedCleaned[[#This Row],[ID]], Table4[ID], Table4[Deals], "Not Found", 0)</f>
        <v>1</v>
      </c>
      <c r="S1364" s="16">
        <f>_xlfn.XLOOKUP(CustomerCombinedCleaned[[#This Row],[ID]], Table4[ID], Table4[Website], "Not Found", 0)</f>
        <v>1</v>
      </c>
      <c r="T1364" s="16">
        <f>_xlfn.XLOOKUP(CustomerCombinedCleaned[[#This Row],[ID]], Table4[ID], Table4[Catalog], "Not Found", 0)</f>
        <v>0</v>
      </c>
      <c r="U1364" s="16">
        <f>_xlfn.XLOOKUP(CustomerCombinedCleaned[[#This Row],[ID]], Table4[ID], Table4[Store], "Not Found", 0)</f>
        <v>3</v>
      </c>
      <c r="V1364" s="16">
        <f>_xlfn.XLOOKUP(CustomerCombinedCleaned[[#This Row],[ID]], Table4[ID], Table4[Visits], "Not Found", 0)</f>
        <v>5</v>
      </c>
      <c r="W1364" s="16">
        <f>_xlfn.XLOOKUP(CustomerCombinedCleaned[[#This Row],[ID]], Table2[ID],Table2[Complaint], "Not Found", 0 )</f>
        <v>0</v>
      </c>
      <c r="X1364" s="16">
        <f>_xlfn.XLOOKUP(CustomerCombinedCleaned[[#This Row],[ID]], Table2[ID],Table2[Pilot], "Not Found", 0 )</f>
        <v>0</v>
      </c>
      <c r="Y1364" s="16">
        <f>_xlfn.XLOOKUP(CustomerCombinedCleaned[[#This Row],[ID]], Table2[ID],Table2[MC1], "Not Found", 0 )</f>
        <v>0</v>
      </c>
      <c r="Z1364" s="16">
        <f>_xlfn.XLOOKUP(CustomerCombinedCleaned[[#This Row],[ID]], Table2[ID],Table2[MC2], "Not Found", 0 )</f>
        <v>0</v>
      </c>
      <c r="AA1364" s="16">
        <f>_xlfn.XLOOKUP(CustomerCombinedCleaned[[#This Row],[ID]], Table2[ID],Table2[MC3], "Not Found", 0 )</f>
        <v>0</v>
      </c>
      <c r="AB1364" s="16">
        <f>_xlfn.XLOOKUP(CustomerCombinedCleaned[[#This Row],[ID]], Table2[ID],Table2[MC4], "Not Found", 0 )</f>
        <v>0</v>
      </c>
      <c r="AC1364" s="16">
        <f>_xlfn.XLOOKUP(CustomerCombinedCleaned[[#This Row],[ID]], Table2[ID],Table2[MC5], "Not Found", 0 )</f>
        <v>0</v>
      </c>
    </row>
    <row r="1365" spans="1:29" x14ac:dyDescent="0.3">
      <c r="A1365" s="18">
        <v>2027</v>
      </c>
      <c r="B1365" s="16">
        <v>133585</v>
      </c>
      <c r="C1365" s="16">
        <v>0</v>
      </c>
      <c r="D1365" s="16">
        <v>1</v>
      </c>
      <c r="E1365" s="16">
        <v>54</v>
      </c>
      <c r="F1365" s="17" t="s">
        <v>6</v>
      </c>
      <c r="G1365" s="17" t="s">
        <v>12</v>
      </c>
      <c r="H1365" s="3" t="s">
        <v>763</v>
      </c>
      <c r="I1365" s="5" t="s">
        <v>434</v>
      </c>
      <c r="J1365" s="16">
        <f>_xlfn.XLOOKUP(CustomerCombinedCleaned[[#This Row],[ID]], Table4[ID], Table4[Recency], "Not Found", 0)</f>
        <v>91</v>
      </c>
      <c r="K1365" s="16">
        <f>_xlfn.XLOOKUP(CustomerCombinedCleaned[[#This Row],[ID]], Table4[ID], Table4[Teas], "Not Found", 0)</f>
        <v>119</v>
      </c>
      <c r="L1365" s="16">
        <f>_xlfn.XLOOKUP(CustomerCombinedCleaned[[#This Row],[ID]], Table4[ID], Table4[Fruits], "Not Found", 0)</f>
        <v>44</v>
      </c>
      <c r="M1365" s="16">
        <f>_xlfn.XLOOKUP(CustomerCombinedCleaned[[#This Row],[ID]], Table4[ID], Table4[Meats], "Not Found", 0)</f>
        <v>131</v>
      </c>
      <c r="N1365" s="16">
        <f>_xlfn.XLOOKUP(CustomerCombinedCleaned[[#This Row],[ID]], Table4[ID], Table4[Seafood], "Not Found", 0)</f>
        <v>52</v>
      </c>
      <c r="O1365" s="16">
        <f>_xlfn.XLOOKUP(CustomerCombinedCleaned[[#This Row],[ID]], Table4[ID], Table4[Sweets], "Not Found", 0)</f>
        <v>24</v>
      </c>
      <c r="P1365" s="16">
        <f>_xlfn.XLOOKUP(CustomerCombinedCleaned[[#This Row],[ID]], Table4[ID], Table4[Premium], "Not Found", 0)</f>
        <v>115</v>
      </c>
      <c r="Q1365" s="16">
        <f>_xlfn.XLOOKUP(CustomerCombinedCleaned[[#This Row],[ID]], Table4[ID], Table4[Regular], "Not Found", 0)</f>
        <v>255</v>
      </c>
      <c r="R1365" s="16">
        <f>_xlfn.XLOOKUP(CustomerCombinedCleaned[[#This Row],[ID]], Table4[ID], Table4[Deals], "Not Found", 0)</f>
        <v>1</v>
      </c>
      <c r="S1365" s="16">
        <f>_xlfn.XLOOKUP(CustomerCombinedCleaned[[#This Row],[ID]], Table4[ID], Table4[Website], "Not Found", 0)</f>
        <v>2</v>
      </c>
      <c r="T1365" s="16">
        <f>_xlfn.XLOOKUP(CustomerCombinedCleaned[[#This Row],[ID]], Table4[ID], Table4[Catalog], "Not Found", 0)</f>
        <v>0</v>
      </c>
      <c r="U1365" s="16">
        <f>_xlfn.XLOOKUP(CustomerCombinedCleaned[[#This Row],[ID]], Table4[ID], Table4[Store], "Not Found", 0)</f>
        <v>4</v>
      </c>
      <c r="V1365" s="16">
        <f>_xlfn.XLOOKUP(CustomerCombinedCleaned[[#This Row],[ID]], Table4[ID], Table4[Visits], "Not Found", 0)</f>
        <v>4</v>
      </c>
      <c r="W1365" s="16">
        <f>_xlfn.XLOOKUP(CustomerCombinedCleaned[[#This Row],[ID]], Table2[ID],Table2[Complaint], "Not Found", 0 )</f>
        <v>0</v>
      </c>
      <c r="X1365" s="16">
        <f>_xlfn.XLOOKUP(CustomerCombinedCleaned[[#This Row],[ID]], Table2[ID],Table2[Pilot], "Not Found", 0 )</f>
        <v>0</v>
      </c>
      <c r="Y1365" s="16">
        <f>_xlfn.XLOOKUP(CustomerCombinedCleaned[[#This Row],[ID]], Table2[ID],Table2[MC1], "Not Found", 0 )</f>
        <v>0</v>
      </c>
      <c r="Z1365" s="16">
        <f>_xlfn.XLOOKUP(CustomerCombinedCleaned[[#This Row],[ID]], Table2[ID],Table2[MC2], "Not Found", 0 )</f>
        <v>0</v>
      </c>
      <c r="AA1365" s="16">
        <f>_xlfn.XLOOKUP(CustomerCombinedCleaned[[#This Row],[ID]], Table2[ID],Table2[MC3], "Not Found", 0 )</f>
        <v>0</v>
      </c>
      <c r="AB1365" s="16">
        <f>_xlfn.XLOOKUP(CustomerCombinedCleaned[[#This Row],[ID]], Table2[ID],Table2[MC4], "Not Found", 0 )</f>
        <v>0</v>
      </c>
      <c r="AC1365" s="16">
        <f>_xlfn.XLOOKUP(CustomerCombinedCleaned[[#This Row],[ID]], Table2[ID],Table2[MC5], "Not Found", 0 )</f>
        <v>0</v>
      </c>
    </row>
    <row r="1366" spans="1:29" x14ac:dyDescent="0.3">
      <c r="A1366" s="18">
        <v>2004</v>
      </c>
      <c r="B1366" s="16">
        <v>133564</v>
      </c>
      <c r="C1366" s="16">
        <v>0</v>
      </c>
      <c r="D1366" s="16">
        <v>1</v>
      </c>
      <c r="E1366" s="16">
        <v>54</v>
      </c>
      <c r="F1366" s="17" t="s">
        <v>8</v>
      </c>
      <c r="G1366" s="17" t="s">
        <v>12</v>
      </c>
      <c r="H1366" s="3" t="s">
        <v>25</v>
      </c>
      <c r="I1366" s="5" t="s">
        <v>436</v>
      </c>
      <c r="J1366" s="16">
        <f>_xlfn.XLOOKUP(CustomerCombinedCleaned[[#This Row],[ID]], Table4[ID], Table4[Recency], "Not Found", 0)</f>
        <v>51</v>
      </c>
      <c r="K1366" s="16">
        <f>_xlfn.XLOOKUP(CustomerCombinedCleaned[[#This Row],[ID]], Table4[ID], Table4[Teas], "Not Found", 0)</f>
        <v>243</v>
      </c>
      <c r="L1366" s="16">
        <f>_xlfn.XLOOKUP(CustomerCombinedCleaned[[#This Row],[ID]], Table4[ID], Table4[Fruits], "Not Found", 0)</f>
        <v>0</v>
      </c>
      <c r="M1366" s="16">
        <f>_xlfn.XLOOKUP(CustomerCombinedCleaned[[#This Row],[ID]], Table4[ID], Table4[Meats], "Not Found", 0)</f>
        <v>12</v>
      </c>
      <c r="N1366" s="16">
        <f>_xlfn.XLOOKUP(CustomerCombinedCleaned[[#This Row],[ID]], Table4[ID], Table4[Seafood], "Not Found", 0)</f>
        <v>0</v>
      </c>
      <c r="O1366" s="16">
        <f>_xlfn.XLOOKUP(CustomerCombinedCleaned[[#This Row],[ID]], Table4[ID], Table4[Sweets], "Not Found", 0)</f>
        <v>0</v>
      </c>
      <c r="P1366" s="16">
        <f>_xlfn.XLOOKUP(CustomerCombinedCleaned[[#This Row],[ID]], Table4[ID], Table4[Premium], "Not Found", 0)</f>
        <v>28</v>
      </c>
      <c r="Q1366" s="16">
        <f>_xlfn.XLOOKUP(CustomerCombinedCleaned[[#This Row],[ID]], Table4[ID], Table4[Regular], "Not Found", 0)</f>
        <v>227</v>
      </c>
      <c r="R1366" s="16">
        <f>_xlfn.XLOOKUP(CustomerCombinedCleaned[[#This Row],[ID]], Table4[ID], Table4[Deals], "Not Found", 0)</f>
        <v>1</v>
      </c>
      <c r="S1366" s="16">
        <f>_xlfn.XLOOKUP(CustomerCombinedCleaned[[#This Row],[ID]], Table4[ID], Table4[Website], "Not Found", 0)</f>
        <v>1</v>
      </c>
      <c r="T1366" s="16">
        <f>_xlfn.XLOOKUP(CustomerCombinedCleaned[[#This Row],[ID]], Table4[ID], Table4[Catalog], "Not Found", 0)</f>
        <v>1</v>
      </c>
      <c r="U1366" s="16">
        <f>_xlfn.XLOOKUP(CustomerCombinedCleaned[[#This Row],[ID]], Table4[ID], Table4[Store], "Not Found", 0)</f>
        <v>3</v>
      </c>
      <c r="V1366" s="16">
        <f>_xlfn.XLOOKUP(CustomerCombinedCleaned[[#This Row],[ID]], Table4[ID], Table4[Visits], "Not Found", 0)</f>
        <v>5</v>
      </c>
      <c r="W1366" s="16">
        <f>_xlfn.XLOOKUP(CustomerCombinedCleaned[[#This Row],[ID]], Table2[ID],Table2[Complaint], "Not Found", 0 )</f>
        <v>0</v>
      </c>
      <c r="X1366" s="16">
        <f>_xlfn.XLOOKUP(CustomerCombinedCleaned[[#This Row],[ID]], Table2[ID],Table2[Pilot], "Not Found", 0 )</f>
        <v>0</v>
      </c>
      <c r="Y1366" s="16">
        <f>_xlfn.XLOOKUP(CustomerCombinedCleaned[[#This Row],[ID]], Table2[ID],Table2[MC1], "Not Found", 0 )</f>
        <v>0</v>
      </c>
      <c r="Z1366" s="16">
        <f>_xlfn.XLOOKUP(CustomerCombinedCleaned[[#This Row],[ID]], Table2[ID],Table2[MC2], "Not Found", 0 )</f>
        <v>0</v>
      </c>
      <c r="AA1366" s="16">
        <f>_xlfn.XLOOKUP(CustomerCombinedCleaned[[#This Row],[ID]], Table2[ID],Table2[MC3], "Not Found", 0 )</f>
        <v>0</v>
      </c>
      <c r="AB1366" s="16">
        <f>_xlfn.XLOOKUP(CustomerCombinedCleaned[[#This Row],[ID]], Table2[ID],Table2[MC4], "Not Found", 0 )</f>
        <v>0</v>
      </c>
      <c r="AC1366" s="16">
        <f>_xlfn.XLOOKUP(CustomerCombinedCleaned[[#This Row],[ID]], Table2[ID],Table2[MC5], "Not Found", 0 )</f>
        <v>0</v>
      </c>
    </row>
    <row r="1367" spans="1:29" x14ac:dyDescent="0.3">
      <c r="A1367" s="18">
        <v>2978</v>
      </c>
      <c r="B1367" s="16">
        <v>133279</v>
      </c>
      <c r="C1367" s="16">
        <v>0</v>
      </c>
      <c r="D1367" s="16">
        <v>0</v>
      </c>
      <c r="E1367" s="16">
        <v>54</v>
      </c>
      <c r="F1367" s="17" t="s">
        <v>7</v>
      </c>
      <c r="G1367" s="17" t="s">
        <v>11</v>
      </c>
      <c r="H1367" s="3" t="s">
        <v>37</v>
      </c>
      <c r="I1367" s="5" t="s">
        <v>438</v>
      </c>
      <c r="J1367" s="16">
        <f>_xlfn.XLOOKUP(CustomerCombinedCleaned[[#This Row],[ID]], Table4[ID], Table4[Recency], "Not Found", 0)</f>
        <v>29</v>
      </c>
      <c r="K1367" s="16">
        <f>_xlfn.XLOOKUP(CustomerCombinedCleaned[[#This Row],[ID]], Table4[ID], Table4[Teas], "Not Found", 0)</f>
        <v>40</v>
      </c>
      <c r="L1367" s="16">
        <f>_xlfn.XLOOKUP(CustomerCombinedCleaned[[#This Row],[ID]], Table4[ID], Table4[Fruits], "Not Found", 0)</f>
        <v>12</v>
      </c>
      <c r="M1367" s="16">
        <f>_xlfn.XLOOKUP(CustomerCombinedCleaned[[#This Row],[ID]], Table4[ID], Table4[Meats], "Not Found", 0)</f>
        <v>12</v>
      </c>
      <c r="N1367" s="16">
        <f>_xlfn.XLOOKUP(CustomerCombinedCleaned[[#This Row],[ID]], Table4[ID], Table4[Seafood], "Not Found", 0)</f>
        <v>0</v>
      </c>
      <c r="O1367" s="16">
        <f>_xlfn.XLOOKUP(CustomerCombinedCleaned[[#This Row],[ID]], Table4[ID], Table4[Sweets], "Not Found", 0)</f>
        <v>0</v>
      </c>
      <c r="P1367" s="16">
        <f>_xlfn.XLOOKUP(CustomerCombinedCleaned[[#This Row],[ID]], Table4[ID], Table4[Premium], "Not Found", 0)</f>
        <v>0</v>
      </c>
      <c r="Q1367" s="16">
        <f>_xlfn.XLOOKUP(CustomerCombinedCleaned[[#This Row],[ID]], Table4[ID], Table4[Regular], "Not Found", 0)</f>
        <v>64</v>
      </c>
      <c r="R1367" s="16">
        <f>_xlfn.XLOOKUP(CustomerCombinedCleaned[[#This Row],[ID]], Table4[ID], Table4[Deals], "Not Found", 0)</f>
        <v>1</v>
      </c>
      <c r="S1367" s="16">
        <f>_xlfn.XLOOKUP(CustomerCombinedCleaned[[#This Row],[ID]], Table4[ID], Table4[Website], "Not Found", 0)</f>
        <v>0</v>
      </c>
      <c r="T1367" s="16">
        <f>_xlfn.XLOOKUP(CustomerCombinedCleaned[[#This Row],[ID]], Table4[ID], Table4[Catalog], "Not Found", 0)</f>
        <v>0</v>
      </c>
      <c r="U1367" s="16">
        <f>_xlfn.XLOOKUP(CustomerCombinedCleaned[[#This Row],[ID]], Table4[ID], Table4[Store], "Not Found", 0)</f>
        <v>3</v>
      </c>
      <c r="V1367" s="16">
        <f>_xlfn.XLOOKUP(CustomerCombinedCleaned[[#This Row],[ID]], Table4[ID], Table4[Visits], "Not Found", 0)</f>
        <v>3</v>
      </c>
      <c r="W1367" s="16">
        <f>_xlfn.XLOOKUP(CustomerCombinedCleaned[[#This Row],[ID]], Table2[ID],Table2[Complaint], "Not Found", 0 )</f>
        <v>0</v>
      </c>
      <c r="X1367" s="16">
        <f>_xlfn.XLOOKUP(CustomerCombinedCleaned[[#This Row],[ID]], Table2[ID],Table2[Pilot], "Not Found", 0 )</f>
        <v>0</v>
      </c>
      <c r="Y1367" s="16">
        <f>_xlfn.XLOOKUP(CustomerCombinedCleaned[[#This Row],[ID]], Table2[ID],Table2[MC1], "Not Found", 0 )</f>
        <v>0</v>
      </c>
      <c r="Z1367" s="16">
        <f>_xlfn.XLOOKUP(CustomerCombinedCleaned[[#This Row],[ID]], Table2[ID],Table2[MC2], "Not Found", 0 )</f>
        <v>0</v>
      </c>
      <c r="AA1367" s="16">
        <f>_xlfn.XLOOKUP(CustomerCombinedCleaned[[#This Row],[ID]], Table2[ID],Table2[MC3], "Not Found", 0 )</f>
        <v>0</v>
      </c>
      <c r="AB1367" s="16">
        <f>_xlfn.XLOOKUP(CustomerCombinedCleaned[[#This Row],[ID]], Table2[ID],Table2[MC4], "Not Found", 0 )</f>
        <v>0</v>
      </c>
      <c r="AC1367" s="16">
        <f>_xlfn.XLOOKUP(CustomerCombinedCleaned[[#This Row],[ID]], Table2[ID],Table2[MC5], "Not Found", 0 )</f>
        <v>0</v>
      </c>
    </row>
    <row r="1368" spans="1:29" x14ac:dyDescent="0.3">
      <c r="A1368" s="18">
        <v>1834</v>
      </c>
      <c r="B1368" s="16">
        <v>130843</v>
      </c>
      <c r="C1368" s="16">
        <v>1</v>
      </c>
      <c r="D1368" s="16">
        <v>1</v>
      </c>
      <c r="E1368" s="16">
        <v>54</v>
      </c>
      <c r="F1368" s="17" t="s">
        <v>8</v>
      </c>
      <c r="G1368" s="17" t="s">
        <v>13</v>
      </c>
      <c r="H1368" s="3" t="s">
        <v>41</v>
      </c>
      <c r="I1368" s="5" t="s">
        <v>439</v>
      </c>
      <c r="J1368" s="16">
        <f>_xlfn.XLOOKUP(CustomerCombinedCleaned[[#This Row],[ID]], Table4[ID], Table4[Recency], "Not Found", 0)</f>
        <v>43</v>
      </c>
      <c r="K1368" s="16">
        <f>_xlfn.XLOOKUP(CustomerCombinedCleaned[[#This Row],[ID]], Table4[ID], Table4[Teas], "Not Found", 0)</f>
        <v>102</v>
      </c>
      <c r="L1368" s="16">
        <f>_xlfn.XLOOKUP(CustomerCombinedCleaned[[#This Row],[ID]], Table4[ID], Table4[Fruits], "Not Found", 0)</f>
        <v>0</v>
      </c>
      <c r="M1368" s="16">
        <f>_xlfn.XLOOKUP(CustomerCombinedCleaned[[#This Row],[ID]], Table4[ID], Table4[Meats], "Not Found", 0)</f>
        <v>8</v>
      </c>
      <c r="N1368" s="16">
        <f>_xlfn.XLOOKUP(CustomerCombinedCleaned[[#This Row],[ID]], Table4[ID], Table4[Seafood], "Not Found", 0)</f>
        <v>0</v>
      </c>
      <c r="O1368" s="16">
        <f>_xlfn.XLOOKUP(CustomerCombinedCleaned[[#This Row],[ID]], Table4[ID], Table4[Sweets], "Not Found", 0)</f>
        <v>0</v>
      </c>
      <c r="P1368" s="16">
        <f>_xlfn.XLOOKUP(CustomerCombinedCleaned[[#This Row],[ID]], Table4[ID], Table4[Premium], "Not Found", 0)</f>
        <v>38</v>
      </c>
      <c r="Q1368" s="16">
        <f>_xlfn.XLOOKUP(CustomerCombinedCleaned[[#This Row],[ID]], Table4[ID], Table4[Regular], "Not Found", 0)</f>
        <v>72</v>
      </c>
      <c r="R1368" s="16">
        <f>_xlfn.XLOOKUP(CustomerCombinedCleaned[[#This Row],[ID]], Table4[ID], Table4[Deals], "Not Found", 0)</f>
        <v>2</v>
      </c>
      <c r="S1368" s="16">
        <f>_xlfn.XLOOKUP(CustomerCombinedCleaned[[#This Row],[ID]], Table4[ID], Table4[Website], "Not Found", 0)</f>
        <v>1</v>
      </c>
      <c r="T1368" s="16">
        <f>_xlfn.XLOOKUP(CustomerCombinedCleaned[[#This Row],[ID]], Table4[ID], Table4[Catalog], "Not Found", 0)</f>
        <v>1</v>
      </c>
      <c r="U1368" s="16">
        <f>_xlfn.XLOOKUP(CustomerCombinedCleaned[[#This Row],[ID]], Table4[ID], Table4[Store], "Not Found", 0)</f>
        <v>2</v>
      </c>
      <c r="V1368" s="16">
        <f>_xlfn.XLOOKUP(CustomerCombinedCleaned[[#This Row],[ID]], Table4[ID], Table4[Visits], "Not Found", 0)</f>
        <v>5</v>
      </c>
      <c r="W1368" s="16">
        <f>_xlfn.XLOOKUP(CustomerCombinedCleaned[[#This Row],[ID]], Table2[ID],Table2[Complaint], "Not Found", 0 )</f>
        <v>0</v>
      </c>
      <c r="X1368" s="16">
        <f>_xlfn.XLOOKUP(CustomerCombinedCleaned[[#This Row],[ID]], Table2[ID],Table2[Pilot], "Not Found", 0 )</f>
        <v>0</v>
      </c>
      <c r="Y1368" s="16">
        <f>_xlfn.XLOOKUP(CustomerCombinedCleaned[[#This Row],[ID]], Table2[ID],Table2[MC1], "Not Found", 0 )</f>
        <v>0</v>
      </c>
      <c r="Z1368" s="16">
        <f>_xlfn.XLOOKUP(CustomerCombinedCleaned[[#This Row],[ID]], Table2[ID],Table2[MC2], "Not Found", 0 )</f>
        <v>0</v>
      </c>
      <c r="AA1368" s="16">
        <f>_xlfn.XLOOKUP(CustomerCombinedCleaned[[#This Row],[ID]], Table2[ID],Table2[MC3], "Not Found", 0 )</f>
        <v>1</v>
      </c>
      <c r="AB1368" s="16">
        <f>_xlfn.XLOOKUP(CustomerCombinedCleaned[[#This Row],[ID]], Table2[ID],Table2[MC4], "Not Found", 0 )</f>
        <v>0</v>
      </c>
      <c r="AC1368" s="16">
        <f>_xlfn.XLOOKUP(CustomerCombinedCleaned[[#This Row],[ID]], Table2[ID],Table2[MC5], "Not Found", 0 )</f>
        <v>0</v>
      </c>
    </row>
    <row r="1369" spans="1:29" x14ac:dyDescent="0.3">
      <c r="A1369" s="18">
        <v>3107</v>
      </c>
      <c r="B1369" s="16">
        <v>129435</v>
      </c>
      <c r="C1369" s="16">
        <v>1</v>
      </c>
      <c r="D1369" s="16">
        <v>1</v>
      </c>
      <c r="E1369" s="16">
        <v>54</v>
      </c>
      <c r="F1369" s="17" t="s">
        <v>5</v>
      </c>
      <c r="G1369" s="17" t="s">
        <v>12</v>
      </c>
      <c r="H1369" s="3" t="s">
        <v>766</v>
      </c>
      <c r="I1369" s="5" t="s">
        <v>434</v>
      </c>
      <c r="J1369" s="16">
        <f>_xlfn.XLOOKUP(CustomerCombinedCleaned[[#This Row],[ID]], Table4[ID], Table4[Recency], "Not Found", 0)</f>
        <v>11</v>
      </c>
      <c r="K1369" s="16">
        <f>_xlfn.XLOOKUP(CustomerCombinedCleaned[[#This Row],[ID]], Table4[ID], Table4[Teas], "Not Found", 0)</f>
        <v>308</v>
      </c>
      <c r="L1369" s="16">
        <f>_xlfn.XLOOKUP(CustomerCombinedCleaned[[#This Row],[ID]], Table4[ID], Table4[Fruits], "Not Found", 0)</f>
        <v>13</v>
      </c>
      <c r="M1369" s="16">
        <f>_xlfn.XLOOKUP(CustomerCombinedCleaned[[#This Row],[ID]], Table4[ID], Table4[Meats], "Not Found", 0)</f>
        <v>163</v>
      </c>
      <c r="N1369" s="16">
        <f>_xlfn.XLOOKUP(CustomerCombinedCleaned[[#This Row],[ID]], Table4[ID], Table4[Seafood], "Not Found", 0)</f>
        <v>18</v>
      </c>
      <c r="O1369" s="16">
        <f>_xlfn.XLOOKUP(CustomerCombinedCleaned[[#This Row],[ID]], Table4[ID], Table4[Sweets], "Not Found", 0)</f>
        <v>9</v>
      </c>
      <c r="P1369" s="16">
        <f>_xlfn.XLOOKUP(CustomerCombinedCleaned[[#This Row],[ID]], Table4[ID], Table4[Premium], "Not Found", 0)</f>
        <v>281</v>
      </c>
      <c r="Q1369" s="16">
        <f>_xlfn.XLOOKUP(CustomerCombinedCleaned[[#This Row],[ID]], Table4[ID], Table4[Regular], "Not Found", 0)</f>
        <v>229</v>
      </c>
      <c r="R1369" s="16">
        <f>_xlfn.XLOOKUP(CustomerCombinedCleaned[[#This Row],[ID]], Table4[ID], Table4[Deals], "Not Found", 0)</f>
        <v>4</v>
      </c>
      <c r="S1369" s="16">
        <f>_xlfn.XLOOKUP(CustomerCombinedCleaned[[#This Row],[ID]], Table4[ID], Table4[Website], "Not Found", 0)</f>
        <v>3</v>
      </c>
      <c r="T1369" s="16">
        <f>_xlfn.XLOOKUP(CustomerCombinedCleaned[[#This Row],[ID]], Table4[ID], Table4[Catalog], "Not Found", 0)</f>
        <v>2</v>
      </c>
      <c r="U1369" s="16">
        <f>_xlfn.XLOOKUP(CustomerCombinedCleaned[[#This Row],[ID]], Table4[ID], Table4[Store], "Not Found", 0)</f>
        <v>2</v>
      </c>
      <c r="V1369" s="16">
        <f>_xlfn.XLOOKUP(CustomerCombinedCleaned[[#This Row],[ID]], Table4[ID], Table4[Visits], "Not Found", 0)</f>
        <v>9</v>
      </c>
      <c r="W1369" s="16">
        <f>_xlfn.XLOOKUP(CustomerCombinedCleaned[[#This Row],[ID]], Table2[ID],Table2[Complaint], "Not Found", 0 )</f>
        <v>0</v>
      </c>
      <c r="X1369" s="16">
        <f>_xlfn.XLOOKUP(CustomerCombinedCleaned[[#This Row],[ID]], Table2[ID],Table2[Pilot], "Not Found", 0 )</f>
        <v>1</v>
      </c>
      <c r="Y1369" s="16">
        <f>_xlfn.XLOOKUP(CustomerCombinedCleaned[[#This Row],[ID]], Table2[ID],Table2[MC1], "Not Found", 0 )</f>
        <v>0</v>
      </c>
      <c r="Z1369" s="16">
        <f>_xlfn.XLOOKUP(CustomerCombinedCleaned[[#This Row],[ID]], Table2[ID],Table2[MC2], "Not Found", 0 )</f>
        <v>0</v>
      </c>
      <c r="AA1369" s="16">
        <f>_xlfn.XLOOKUP(CustomerCombinedCleaned[[#This Row],[ID]], Table2[ID],Table2[MC3], "Not Found", 0 )</f>
        <v>0</v>
      </c>
      <c r="AB1369" s="16">
        <f>_xlfn.XLOOKUP(CustomerCombinedCleaned[[#This Row],[ID]], Table2[ID],Table2[MC4], "Not Found", 0 )</f>
        <v>0</v>
      </c>
      <c r="AC1369" s="16">
        <f>_xlfn.XLOOKUP(CustomerCombinedCleaned[[#This Row],[ID]], Table2[ID],Table2[MC5], "Not Found", 0 )</f>
        <v>0</v>
      </c>
    </row>
    <row r="1370" spans="1:29" x14ac:dyDescent="0.3">
      <c r="A1370" s="18">
        <v>2032</v>
      </c>
      <c r="B1370" s="16">
        <v>128764</v>
      </c>
      <c r="C1370" s="16">
        <v>1</v>
      </c>
      <c r="D1370" s="16">
        <v>1</v>
      </c>
      <c r="E1370" s="16">
        <v>54</v>
      </c>
      <c r="F1370" s="17" t="s">
        <v>8</v>
      </c>
      <c r="G1370" s="17" t="s">
        <v>13</v>
      </c>
      <c r="H1370" s="3" t="s">
        <v>789</v>
      </c>
      <c r="I1370" s="5" t="s">
        <v>439</v>
      </c>
      <c r="J1370" s="16">
        <f>_xlfn.XLOOKUP(CustomerCombinedCleaned[[#This Row],[ID]], Table4[ID], Table4[Recency], "Not Found", 0)</f>
        <v>16</v>
      </c>
      <c r="K1370" s="16">
        <f>_xlfn.XLOOKUP(CustomerCombinedCleaned[[#This Row],[ID]], Table4[ID], Table4[Teas], "Not Found", 0)</f>
        <v>36</v>
      </c>
      <c r="L1370" s="16">
        <f>_xlfn.XLOOKUP(CustomerCombinedCleaned[[#This Row],[ID]], Table4[ID], Table4[Fruits], "Not Found", 0)</f>
        <v>0</v>
      </c>
      <c r="M1370" s="16">
        <f>_xlfn.XLOOKUP(CustomerCombinedCleaned[[#This Row],[ID]], Table4[ID], Table4[Meats], "Not Found", 0)</f>
        <v>13</v>
      </c>
      <c r="N1370" s="16">
        <f>_xlfn.XLOOKUP(CustomerCombinedCleaned[[#This Row],[ID]], Table4[ID], Table4[Seafood], "Not Found", 0)</f>
        <v>0</v>
      </c>
      <c r="O1370" s="16">
        <f>_xlfn.XLOOKUP(CustomerCombinedCleaned[[#This Row],[ID]], Table4[ID], Table4[Sweets], "Not Found", 0)</f>
        <v>0</v>
      </c>
      <c r="P1370" s="16">
        <f>_xlfn.XLOOKUP(CustomerCombinedCleaned[[#This Row],[ID]], Table4[ID], Table4[Premium], "Not Found", 0)</f>
        <v>4</v>
      </c>
      <c r="Q1370" s="16">
        <f>_xlfn.XLOOKUP(CustomerCombinedCleaned[[#This Row],[ID]], Table4[ID], Table4[Regular], "Not Found", 0)</f>
        <v>45</v>
      </c>
      <c r="R1370" s="16">
        <f>_xlfn.XLOOKUP(CustomerCombinedCleaned[[#This Row],[ID]], Table4[ID], Table4[Deals], "Not Found", 0)</f>
        <v>1</v>
      </c>
      <c r="S1370" s="16">
        <f>_xlfn.XLOOKUP(CustomerCombinedCleaned[[#This Row],[ID]], Table4[ID], Table4[Website], "Not Found", 0)</f>
        <v>1</v>
      </c>
      <c r="T1370" s="16">
        <f>_xlfn.XLOOKUP(CustomerCombinedCleaned[[#This Row],[ID]], Table4[ID], Table4[Catalog], "Not Found", 0)</f>
        <v>0</v>
      </c>
      <c r="U1370" s="16">
        <f>_xlfn.XLOOKUP(CustomerCombinedCleaned[[#This Row],[ID]], Table4[ID], Table4[Store], "Not Found", 0)</f>
        <v>2</v>
      </c>
      <c r="V1370" s="16">
        <f>_xlfn.XLOOKUP(CustomerCombinedCleaned[[#This Row],[ID]], Table4[ID], Table4[Visits], "Not Found", 0)</f>
        <v>8</v>
      </c>
      <c r="W1370" s="16">
        <f>_xlfn.XLOOKUP(CustomerCombinedCleaned[[#This Row],[ID]], Table2[ID],Table2[Complaint], "Not Found", 0 )</f>
        <v>0</v>
      </c>
      <c r="X1370" s="16">
        <f>_xlfn.XLOOKUP(CustomerCombinedCleaned[[#This Row],[ID]], Table2[ID],Table2[Pilot], "Not Found", 0 )</f>
        <v>0</v>
      </c>
      <c r="Y1370" s="16">
        <f>_xlfn.XLOOKUP(CustomerCombinedCleaned[[#This Row],[ID]], Table2[ID],Table2[MC1], "Not Found", 0 )</f>
        <v>0</v>
      </c>
      <c r="Z1370" s="16">
        <f>_xlfn.XLOOKUP(CustomerCombinedCleaned[[#This Row],[ID]], Table2[ID],Table2[MC2], "Not Found", 0 )</f>
        <v>0</v>
      </c>
      <c r="AA1370" s="16">
        <f>_xlfn.XLOOKUP(CustomerCombinedCleaned[[#This Row],[ID]], Table2[ID],Table2[MC3], "Not Found", 0 )</f>
        <v>1</v>
      </c>
      <c r="AB1370" s="16">
        <f>_xlfn.XLOOKUP(CustomerCombinedCleaned[[#This Row],[ID]], Table2[ID],Table2[MC4], "Not Found", 0 )</f>
        <v>0</v>
      </c>
      <c r="AC1370" s="16">
        <f>_xlfn.XLOOKUP(CustomerCombinedCleaned[[#This Row],[ID]], Table2[ID],Table2[MC5], "Not Found", 0 )</f>
        <v>0</v>
      </c>
    </row>
    <row r="1371" spans="1:29" x14ac:dyDescent="0.3">
      <c r="A1371" s="18">
        <v>1293</v>
      </c>
      <c r="B1371" s="16">
        <v>127038</v>
      </c>
      <c r="C1371" s="16">
        <v>0</v>
      </c>
      <c r="D1371" s="16">
        <v>0</v>
      </c>
      <c r="E1371" s="16">
        <v>54</v>
      </c>
      <c r="F1371" s="17" t="s">
        <v>9</v>
      </c>
      <c r="G1371" s="17" t="s">
        <v>11</v>
      </c>
      <c r="H1371" s="3" t="s">
        <v>393</v>
      </c>
      <c r="I1371" s="5" t="s">
        <v>435</v>
      </c>
      <c r="J1371" s="16">
        <f>_xlfn.XLOOKUP(CustomerCombinedCleaned[[#This Row],[ID]], Table4[ID], Table4[Recency], "Not Found", 0)</f>
        <v>64</v>
      </c>
      <c r="K1371" s="16">
        <f>_xlfn.XLOOKUP(CustomerCombinedCleaned[[#This Row],[ID]], Table4[ID], Table4[Teas], "Not Found", 0)</f>
        <v>5</v>
      </c>
      <c r="L1371" s="16">
        <f>_xlfn.XLOOKUP(CustomerCombinedCleaned[[#This Row],[ID]], Table4[ID], Table4[Fruits], "Not Found", 0)</f>
        <v>122</v>
      </c>
      <c r="M1371" s="16">
        <f>_xlfn.XLOOKUP(CustomerCombinedCleaned[[#This Row],[ID]], Table4[ID], Table4[Meats], "Not Found", 0)</f>
        <v>117</v>
      </c>
      <c r="N1371" s="16">
        <f>_xlfn.XLOOKUP(CustomerCombinedCleaned[[#This Row],[ID]], Table4[ID], Table4[Seafood], "Not Found", 0)</f>
        <v>80</v>
      </c>
      <c r="O1371" s="16">
        <f>_xlfn.XLOOKUP(CustomerCombinedCleaned[[#This Row],[ID]], Table4[ID], Table4[Sweets], "Not Found", 0)</f>
        <v>108</v>
      </c>
      <c r="P1371" s="16">
        <f>_xlfn.XLOOKUP(CustomerCombinedCleaned[[#This Row],[ID]], Table4[ID], Table4[Premium], "Not Found", 0)</f>
        <v>70</v>
      </c>
      <c r="Q1371" s="16">
        <f>_xlfn.XLOOKUP(CustomerCombinedCleaned[[#This Row],[ID]], Table4[ID], Table4[Regular], "Not Found", 0)</f>
        <v>362</v>
      </c>
      <c r="R1371" s="16">
        <f>_xlfn.XLOOKUP(CustomerCombinedCleaned[[#This Row],[ID]], Table4[ID], Table4[Deals], "Not Found", 0)</f>
        <v>1</v>
      </c>
      <c r="S1371" s="16">
        <f>_xlfn.XLOOKUP(CustomerCombinedCleaned[[#This Row],[ID]], Table4[ID], Table4[Website], "Not Found", 0)</f>
        <v>3</v>
      </c>
      <c r="T1371" s="16">
        <f>_xlfn.XLOOKUP(CustomerCombinedCleaned[[#This Row],[ID]], Table4[ID], Table4[Catalog], "Not Found", 0)</f>
        <v>0</v>
      </c>
      <c r="U1371" s="16">
        <f>_xlfn.XLOOKUP(CustomerCombinedCleaned[[#This Row],[ID]], Table4[ID], Table4[Store], "Not Found", 0)</f>
        <v>3</v>
      </c>
      <c r="V1371" s="16">
        <f>_xlfn.XLOOKUP(CustomerCombinedCleaned[[#This Row],[ID]], Table4[ID], Table4[Visits], "Not Found", 0)</f>
        <v>9</v>
      </c>
      <c r="W1371" s="16">
        <f>_xlfn.XLOOKUP(CustomerCombinedCleaned[[#This Row],[ID]], Table2[ID],Table2[Complaint], "Not Found", 0 )</f>
        <v>0</v>
      </c>
      <c r="X1371" s="16">
        <f>_xlfn.XLOOKUP(CustomerCombinedCleaned[[#This Row],[ID]], Table2[ID],Table2[Pilot], "Not Found", 0 )</f>
        <v>1</v>
      </c>
      <c r="Y1371" s="16">
        <f>_xlfn.XLOOKUP(CustomerCombinedCleaned[[#This Row],[ID]], Table2[ID],Table2[MC1], "Not Found", 0 )</f>
        <v>0</v>
      </c>
      <c r="Z1371" s="16">
        <f>_xlfn.XLOOKUP(CustomerCombinedCleaned[[#This Row],[ID]], Table2[ID],Table2[MC2], "Not Found", 0 )</f>
        <v>0</v>
      </c>
      <c r="AA1371" s="16">
        <f>_xlfn.XLOOKUP(CustomerCombinedCleaned[[#This Row],[ID]], Table2[ID],Table2[MC3], "Not Found", 0 )</f>
        <v>0</v>
      </c>
      <c r="AB1371" s="16">
        <f>_xlfn.XLOOKUP(CustomerCombinedCleaned[[#This Row],[ID]], Table2[ID],Table2[MC4], "Not Found", 0 )</f>
        <v>0</v>
      </c>
      <c r="AC1371" s="16">
        <f>_xlfn.XLOOKUP(CustomerCombinedCleaned[[#This Row],[ID]], Table2[ID],Table2[MC5], "Not Found", 0 )</f>
        <v>0</v>
      </c>
    </row>
    <row r="1372" spans="1:29" x14ac:dyDescent="0.3">
      <c r="A1372" s="18">
        <v>2099</v>
      </c>
      <c r="B1372" s="16">
        <v>122634</v>
      </c>
      <c r="C1372" s="16">
        <v>0</v>
      </c>
      <c r="D1372" s="16">
        <v>0</v>
      </c>
      <c r="E1372" s="16">
        <v>54</v>
      </c>
      <c r="F1372" s="17" t="s">
        <v>8</v>
      </c>
      <c r="G1372" s="17" t="s">
        <v>10</v>
      </c>
      <c r="H1372" s="3" t="s">
        <v>324</v>
      </c>
      <c r="I1372" s="5" t="s">
        <v>434</v>
      </c>
      <c r="J1372" s="16">
        <f>_xlfn.XLOOKUP(CustomerCombinedCleaned[[#This Row],[ID]], Table4[ID], Table4[Recency], "Not Found", 0)</f>
        <v>47</v>
      </c>
      <c r="K1372" s="16">
        <f>_xlfn.XLOOKUP(CustomerCombinedCleaned[[#This Row],[ID]], Table4[ID], Table4[Teas], "Not Found", 0)</f>
        <v>11</v>
      </c>
      <c r="L1372" s="16">
        <f>_xlfn.XLOOKUP(CustomerCombinedCleaned[[#This Row],[ID]], Table4[ID], Table4[Fruits], "Not Found", 0)</f>
        <v>125</v>
      </c>
      <c r="M1372" s="16">
        <f>_xlfn.XLOOKUP(CustomerCombinedCleaned[[#This Row],[ID]], Table4[ID], Table4[Meats], "Not Found", 0)</f>
        <v>60</v>
      </c>
      <c r="N1372" s="16">
        <f>_xlfn.XLOOKUP(CustomerCombinedCleaned[[#This Row],[ID]], Table4[ID], Table4[Seafood], "Not Found", 0)</f>
        <v>43</v>
      </c>
      <c r="O1372" s="16">
        <f>_xlfn.XLOOKUP(CustomerCombinedCleaned[[#This Row],[ID]], Table4[ID], Table4[Sweets], "Not Found", 0)</f>
        <v>33</v>
      </c>
      <c r="P1372" s="16">
        <f>_xlfn.XLOOKUP(CustomerCombinedCleaned[[#This Row],[ID]], Table4[ID], Table4[Premium], "Not Found", 0)</f>
        <v>249</v>
      </c>
      <c r="Q1372" s="16">
        <f>_xlfn.XLOOKUP(CustomerCombinedCleaned[[#This Row],[ID]], Table4[ID], Table4[Regular], "Not Found", 0)</f>
        <v>22</v>
      </c>
      <c r="R1372" s="16">
        <f>_xlfn.XLOOKUP(CustomerCombinedCleaned[[#This Row],[ID]], Table4[ID], Table4[Deals], "Not Found", 0)</f>
        <v>1</v>
      </c>
      <c r="S1372" s="16">
        <f>_xlfn.XLOOKUP(CustomerCombinedCleaned[[#This Row],[ID]], Table4[ID], Table4[Website], "Not Found", 0)</f>
        <v>2</v>
      </c>
      <c r="T1372" s="16">
        <f>_xlfn.XLOOKUP(CustomerCombinedCleaned[[#This Row],[ID]], Table4[ID], Table4[Catalog], "Not Found", 0)</f>
        <v>1</v>
      </c>
      <c r="U1372" s="16">
        <f>_xlfn.XLOOKUP(CustomerCombinedCleaned[[#This Row],[ID]], Table4[ID], Table4[Store], "Not Found", 0)</f>
        <v>2</v>
      </c>
      <c r="V1372" s="16">
        <f>_xlfn.XLOOKUP(CustomerCombinedCleaned[[#This Row],[ID]], Table4[ID], Table4[Visits], "Not Found", 0)</f>
        <v>8</v>
      </c>
      <c r="W1372" s="16">
        <f>_xlfn.XLOOKUP(CustomerCombinedCleaned[[#This Row],[ID]], Table2[ID],Table2[Complaint], "Not Found", 0 )</f>
        <v>0</v>
      </c>
      <c r="X1372" s="16">
        <f>_xlfn.XLOOKUP(CustomerCombinedCleaned[[#This Row],[ID]], Table2[ID],Table2[Pilot], "Not Found", 0 )</f>
        <v>0</v>
      </c>
      <c r="Y1372" s="16">
        <f>_xlfn.XLOOKUP(CustomerCombinedCleaned[[#This Row],[ID]], Table2[ID],Table2[MC1], "Not Found", 0 )</f>
        <v>0</v>
      </c>
      <c r="Z1372" s="16">
        <f>_xlfn.XLOOKUP(CustomerCombinedCleaned[[#This Row],[ID]], Table2[ID],Table2[MC2], "Not Found", 0 )</f>
        <v>0</v>
      </c>
      <c r="AA1372" s="16">
        <f>_xlfn.XLOOKUP(CustomerCombinedCleaned[[#This Row],[ID]], Table2[ID],Table2[MC3], "Not Found", 0 )</f>
        <v>0</v>
      </c>
      <c r="AB1372" s="16">
        <f>_xlfn.XLOOKUP(CustomerCombinedCleaned[[#This Row],[ID]], Table2[ID],Table2[MC4], "Not Found", 0 )</f>
        <v>0</v>
      </c>
      <c r="AC1372" s="16">
        <f>_xlfn.XLOOKUP(CustomerCombinedCleaned[[#This Row],[ID]], Table2[ID],Table2[MC5], "Not Found", 0 )</f>
        <v>0</v>
      </c>
    </row>
    <row r="1373" spans="1:29" x14ac:dyDescent="0.3">
      <c r="A1373" s="18">
        <v>2392</v>
      </c>
      <c r="B1373" s="16">
        <v>122634</v>
      </c>
      <c r="C1373" s="16">
        <v>0</v>
      </c>
      <c r="D1373" s="16">
        <v>0</v>
      </c>
      <c r="E1373" s="16">
        <v>54</v>
      </c>
      <c r="F1373" s="17" t="s">
        <v>8</v>
      </c>
      <c r="G1373" s="17" t="s">
        <v>10</v>
      </c>
      <c r="H1373" s="3" t="s">
        <v>324</v>
      </c>
      <c r="I1373" s="5" t="s">
        <v>439</v>
      </c>
      <c r="J1373" s="16">
        <f>_xlfn.XLOOKUP(CustomerCombinedCleaned[[#This Row],[ID]], Table4[ID], Table4[Recency], "Not Found", 0)</f>
        <v>47</v>
      </c>
      <c r="K1373" s="16">
        <f>_xlfn.XLOOKUP(CustomerCombinedCleaned[[#This Row],[ID]], Table4[ID], Table4[Teas], "Not Found", 0)</f>
        <v>11</v>
      </c>
      <c r="L1373" s="16">
        <f>_xlfn.XLOOKUP(CustomerCombinedCleaned[[#This Row],[ID]], Table4[ID], Table4[Fruits], "Not Found", 0)</f>
        <v>125</v>
      </c>
      <c r="M1373" s="16">
        <f>_xlfn.XLOOKUP(CustomerCombinedCleaned[[#This Row],[ID]], Table4[ID], Table4[Meats], "Not Found", 0)</f>
        <v>60</v>
      </c>
      <c r="N1373" s="16">
        <f>_xlfn.XLOOKUP(CustomerCombinedCleaned[[#This Row],[ID]], Table4[ID], Table4[Seafood], "Not Found", 0)</f>
        <v>43</v>
      </c>
      <c r="O1373" s="16">
        <f>_xlfn.XLOOKUP(CustomerCombinedCleaned[[#This Row],[ID]], Table4[ID], Table4[Sweets], "Not Found", 0)</f>
        <v>33</v>
      </c>
      <c r="P1373" s="16">
        <f>_xlfn.XLOOKUP(CustomerCombinedCleaned[[#This Row],[ID]], Table4[ID], Table4[Premium], "Not Found", 0)</f>
        <v>249</v>
      </c>
      <c r="Q1373" s="16">
        <f>_xlfn.XLOOKUP(CustomerCombinedCleaned[[#This Row],[ID]], Table4[ID], Table4[Regular], "Not Found", 0)</f>
        <v>22</v>
      </c>
      <c r="R1373" s="16">
        <f>_xlfn.XLOOKUP(CustomerCombinedCleaned[[#This Row],[ID]], Table4[ID], Table4[Deals], "Not Found", 0)</f>
        <v>1</v>
      </c>
      <c r="S1373" s="16">
        <f>_xlfn.XLOOKUP(CustomerCombinedCleaned[[#This Row],[ID]], Table4[ID], Table4[Website], "Not Found", 0)</f>
        <v>2</v>
      </c>
      <c r="T1373" s="16">
        <f>_xlfn.XLOOKUP(CustomerCombinedCleaned[[#This Row],[ID]], Table4[ID], Table4[Catalog], "Not Found", 0)</f>
        <v>1</v>
      </c>
      <c r="U1373" s="16">
        <f>_xlfn.XLOOKUP(CustomerCombinedCleaned[[#This Row],[ID]], Table4[ID], Table4[Store], "Not Found", 0)</f>
        <v>2</v>
      </c>
      <c r="V1373" s="16">
        <f>_xlfn.XLOOKUP(CustomerCombinedCleaned[[#This Row],[ID]], Table4[ID], Table4[Visits], "Not Found", 0)</f>
        <v>8</v>
      </c>
      <c r="W1373" s="16">
        <f>_xlfn.XLOOKUP(CustomerCombinedCleaned[[#This Row],[ID]], Table2[ID],Table2[Complaint], "Not Found", 0 )</f>
        <v>0</v>
      </c>
      <c r="X1373" s="16">
        <f>_xlfn.XLOOKUP(CustomerCombinedCleaned[[#This Row],[ID]], Table2[ID],Table2[Pilot], "Not Found", 0 )</f>
        <v>0</v>
      </c>
      <c r="Y1373" s="16">
        <f>_xlfn.XLOOKUP(CustomerCombinedCleaned[[#This Row],[ID]], Table2[ID],Table2[MC1], "Not Found", 0 )</f>
        <v>0</v>
      </c>
      <c r="Z1373" s="16">
        <f>_xlfn.XLOOKUP(CustomerCombinedCleaned[[#This Row],[ID]], Table2[ID],Table2[MC2], "Not Found", 0 )</f>
        <v>0</v>
      </c>
      <c r="AA1373" s="16">
        <f>_xlfn.XLOOKUP(CustomerCombinedCleaned[[#This Row],[ID]], Table2[ID],Table2[MC3], "Not Found", 0 )</f>
        <v>0</v>
      </c>
      <c r="AB1373" s="16">
        <f>_xlfn.XLOOKUP(CustomerCombinedCleaned[[#This Row],[ID]], Table2[ID],Table2[MC4], "Not Found", 0 )</f>
        <v>0</v>
      </c>
      <c r="AC1373" s="16">
        <f>_xlfn.XLOOKUP(CustomerCombinedCleaned[[#This Row],[ID]], Table2[ID],Table2[MC5], "Not Found", 0 )</f>
        <v>0</v>
      </c>
    </row>
    <row r="1374" spans="1:29" x14ac:dyDescent="0.3">
      <c r="A1374" s="18">
        <v>2781</v>
      </c>
      <c r="B1374" s="16">
        <v>107144</v>
      </c>
      <c r="C1374" s="16">
        <v>0</v>
      </c>
      <c r="D1374" s="16">
        <v>2</v>
      </c>
      <c r="E1374" s="16">
        <v>54</v>
      </c>
      <c r="F1374" s="17" t="s">
        <v>7</v>
      </c>
      <c r="G1374" s="17" t="s">
        <v>13</v>
      </c>
      <c r="H1374" s="3" t="s">
        <v>141</v>
      </c>
      <c r="I1374" s="5" t="s">
        <v>435</v>
      </c>
      <c r="J1374" s="21">
        <v>92</v>
      </c>
      <c r="K1374" s="21">
        <v>1215</v>
      </c>
      <c r="L1374" s="21">
        <v>60</v>
      </c>
      <c r="M1374" s="21">
        <v>495</v>
      </c>
      <c r="N1374" s="21">
        <v>75</v>
      </c>
      <c r="O1374" s="21">
        <v>30</v>
      </c>
      <c r="P1374" s="21">
        <v>4364</v>
      </c>
      <c r="Q1374" s="21">
        <v>2490</v>
      </c>
      <c r="R1374" s="21">
        <v>0</v>
      </c>
      <c r="S1374" s="21">
        <v>23</v>
      </c>
      <c r="T1374" s="21">
        <v>1</v>
      </c>
      <c r="U1374" s="21">
        <v>1</v>
      </c>
      <c r="V1374" s="21">
        <v>0</v>
      </c>
      <c r="W1374" s="21">
        <v>0</v>
      </c>
      <c r="X1374" s="21">
        <v>0</v>
      </c>
      <c r="Y1374" s="21">
        <v>0</v>
      </c>
      <c r="Z1374" s="21">
        <v>0</v>
      </c>
      <c r="AA1374" s="21">
        <v>0</v>
      </c>
      <c r="AB1374" s="21">
        <v>0</v>
      </c>
      <c r="AC1374" s="21">
        <v>0</v>
      </c>
    </row>
    <row r="1375" spans="1:29" x14ac:dyDescent="0.3">
      <c r="A1375" s="18">
        <v>1028</v>
      </c>
      <c r="B1375" s="16">
        <v>184618</v>
      </c>
      <c r="C1375" s="16">
        <v>0</v>
      </c>
      <c r="D1375" s="16">
        <v>0</v>
      </c>
      <c r="E1375" s="16">
        <v>55</v>
      </c>
      <c r="F1375" s="17" t="s">
        <v>6</v>
      </c>
      <c r="G1375" s="17" t="s">
        <v>13</v>
      </c>
      <c r="H1375" s="3" t="s">
        <v>143</v>
      </c>
      <c r="I1375" s="5" t="s">
        <v>438</v>
      </c>
      <c r="J1375" s="16">
        <f>_xlfn.XLOOKUP(CustomerCombinedCleaned[[#This Row],[ID]], Table4[ID], Table4[Recency], "Not Found", 0)</f>
        <v>96</v>
      </c>
      <c r="K1375" s="16">
        <f>_xlfn.XLOOKUP(CustomerCombinedCleaned[[#This Row],[ID]], Table4[ID], Table4[Teas], "Not Found", 0)</f>
        <v>1492</v>
      </c>
      <c r="L1375" s="16">
        <f>_xlfn.XLOOKUP(CustomerCombinedCleaned[[#This Row],[ID]], Table4[ID], Table4[Fruits], "Not Found", 0)</f>
        <v>218</v>
      </c>
      <c r="M1375" s="16">
        <f>_xlfn.XLOOKUP(CustomerCombinedCleaned[[#This Row],[ID]], Table4[ID], Table4[Meats], "Not Found", 0)</f>
        <v>1748</v>
      </c>
      <c r="N1375" s="16">
        <f>_xlfn.XLOOKUP(CustomerCombinedCleaned[[#This Row],[ID]], Table4[ID], Table4[Seafood], "Not Found", 0)</f>
        <v>46</v>
      </c>
      <c r="O1375" s="16">
        <f>_xlfn.XLOOKUP(CustomerCombinedCleaned[[#This Row],[ID]], Table4[ID], Table4[Sweets], "Not Found", 0)</f>
        <v>144</v>
      </c>
      <c r="P1375" s="16">
        <f>_xlfn.XLOOKUP(CustomerCombinedCleaned[[#This Row],[ID]], Table4[ID], Table4[Premium], "Not Found", 0)</f>
        <v>0</v>
      </c>
      <c r="Q1375" s="16">
        <f>_xlfn.XLOOKUP(CustomerCombinedCleaned[[#This Row],[ID]], Table4[ID], Table4[Regular], "Not Found", 0)</f>
        <v>3648</v>
      </c>
      <c r="R1375" s="16">
        <f>_xlfn.XLOOKUP(CustomerCombinedCleaned[[#This Row],[ID]], Table4[ID], Table4[Deals], "Not Found", 0)</f>
        <v>1</v>
      </c>
      <c r="S1375" s="16">
        <f>_xlfn.XLOOKUP(CustomerCombinedCleaned[[#This Row],[ID]], Table4[ID], Table4[Website], "Not Found", 0)</f>
        <v>6</v>
      </c>
      <c r="T1375" s="16">
        <f>_xlfn.XLOOKUP(CustomerCombinedCleaned[[#This Row],[ID]], Table4[ID], Table4[Catalog], "Not Found", 0)</f>
        <v>9</v>
      </c>
      <c r="U1375" s="16">
        <f>_xlfn.XLOOKUP(CustomerCombinedCleaned[[#This Row],[ID]], Table4[ID], Table4[Store], "Not Found", 0)</f>
        <v>10</v>
      </c>
      <c r="V1375" s="16">
        <f>_xlfn.XLOOKUP(CustomerCombinedCleaned[[#This Row],[ID]], Table4[ID], Table4[Visits], "Not Found", 0)</f>
        <v>2</v>
      </c>
      <c r="W1375" s="16">
        <f>_xlfn.XLOOKUP(CustomerCombinedCleaned[[#This Row],[ID]], Table2[ID],Table2[Complaint], "Not Found", 0 )</f>
        <v>0</v>
      </c>
      <c r="X1375" s="16">
        <f>_xlfn.XLOOKUP(CustomerCombinedCleaned[[#This Row],[ID]], Table2[ID],Table2[Pilot], "Not Found", 0 )</f>
        <v>0</v>
      </c>
      <c r="Y1375" s="16">
        <f>_xlfn.XLOOKUP(CustomerCombinedCleaned[[#This Row],[ID]], Table2[ID],Table2[MC1], "Not Found", 0 )</f>
        <v>0</v>
      </c>
      <c r="Z1375" s="16">
        <f>_xlfn.XLOOKUP(CustomerCombinedCleaned[[#This Row],[ID]], Table2[ID],Table2[MC2], "Not Found", 0 )</f>
        <v>0</v>
      </c>
      <c r="AA1375" s="16">
        <f>_xlfn.XLOOKUP(CustomerCombinedCleaned[[#This Row],[ID]], Table2[ID],Table2[MC3], "Not Found", 0 )</f>
        <v>0</v>
      </c>
      <c r="AB1375" s="16">
        <f>_xlfn.XLOOKUP(CustomerCombinedCleaned[[#This Row],[ID]], Table2[ID],Table2[MC4], "Not Found", 0 )</f>
        <v>0</v>
      </c>
      <c r="AC1375" s="16">
        <f>_xlfn.XLOOKUP(CustomerCombinedCleaned[[#This Row],[ID]], Table2[ID],Table2[MC5], "Not Found", 0 )</f>
        <v>1</v>
      </c>
    </row>
    <row r="1376" spans="1:29" x14ac:dyDescent="0.3">
      <c r="A1376" s="18">
        <v>2187</v>
      </c>
      <c r="B1376" s="16">
        <v>184618</v>
      </c>
      <c r="C1376" s="16">
        <v>0</v>
      </c>
      <c r="D1376" s="16">
        <v>0</v>
      </c>
      <c r="E1376" s="16">
        <v>55</v>
      </c>
      <c r="F1376" s="17" t="s">
        <v>6</v>
      </c>
      <c r="G1376" s="17" t="s">
        <v>13</v>
      </c>
      <c r="H1376" s="3" t="s">
        <v>143</v>
      </c>
      <c r="I1376" s="5" t="s">
        <v>435</v>
      </c>
      <c r="J1376" s="16">
        <f>_xlfn.XLOOKUP(CustomerCombinedCleaned[[#This Row],[ID]], Table4[ID], Table4[Recency], "Not Found", 0)</f>
        <v>96</v>
      </c>
      <c r="K1376" s="16">
        <f>_xlfn.XLOOKUP(CustomerCombinedCleaned[[#This Row],[ID]], Table4[ID], Table4[Teas], "Not Found", 0)</f>
        <v>1492</v>
      </c>
      <c r="L1376" s="16">
        <f>_xlfn.XLOOKUP(CustomerCombinedCleaned[[#This Row],[ID]], Table4[ID], Table4[Fruits], "Not Found", 0)</f>
        <v>218</v>
      </c>
      <c r="M1376" s="16">
        <f>_xlfn.XLOOKUP(CustomerCombinedCleaned[[#This Row],[ID]], Table4[ID], Table4[Meats], "Not Found", 0)</f>
        <v>1748</v>
      </c>
      <c r="N1376" s="16">
        <f>_xlfn.XLOOKUP(CustomerCombinedCleaned[[#This Row],[ID]], Table4[ID], Table4[Seafood], "Not Found", 0)</f>
        <v>46</v>
      </c>
      <c r="O1376" s="16">
        <f>_xlfn.XLOOKUP(CustomerCombinedCleaned[[#This Row],[ID]], Table4[ID], Table4[Sweets], "Not Found", 0)</f>
        <v>144</v>
      </c>
      <c r="P1376" s="16">
        <f>_xlfn.XLOOKUP(CustomerCombinedCleaned[[#This Row],[ID]], Table4[ID], Table4[Premium], "Not Found", 0)</f>
        <v>0</v>
      </c>
      <c r="Q1376" s="16">
        <f>_xlfn.XLOOKUP(CustomerCombinedCleaned[[#This Row],[ID]], Table4[ID], Table4[Regular], "Not Found", 0)</f>
        <v>3648</v>
      </c>
      <c r="R1376" s="16">
        <f>_xlfn.XLOOKUP(CustomerCombinedCleaned[[#This Row],[ID]], Table4[ID], Table4[Deals], "Not Found", 0)</f>
        <v>1</v>
      </c>
      <c r="S1376" s="16">
        <f>_xlfn.XLOOKUP(CustomerCombinedCleaned[[#This Row],[ID]], Table4[ID], Table4[Website], "Not Found", 0)</f>
        <v>6</v>
      </c>
      <c r="T1376" s="16">
        <f>_xlfn.XLOOKUP(CustomerCombinedCleaned[[#This Row],[ID]], Table4[ID], Table4[Catalog], "Not Found", 0)</f>
        <v>9</v>
      </c>
      <c r="U1376" s="16">
        <f>_xlfn.XLOOKUP(CustomerCombinedCleaned[[#This Row],[ID]], Table4[ID], Table4[Store], "Not Found", 0)</f>
        <v>10</v>
      </c>
      <c r="V1376" s="16">
        <f>_xlfn.XLOOKUP(CustomerCombinedCleaned[[#This Row],[ID]], Table4[ID], Table4[Visits], "Not Found", 0)</f>
        <v>2</v>
      </c>
      <c r="W1376" s="16">
        <f>_xlfn.XLOOKUP(CustomerCombinedCleaned[[#This Row],[ID]], Table2[ID],Table2[Complaint], "Not Found", 0 )</f>
        <v>0</v>
      </c>
      <c r="X1376" s="16">
        <f>_xlfn.XLOOKUP(CustomerCombinedCleaned[[#This Row],[ID]], Table2[ID],Table2[Pilot], "Not Found", 0 )</f>
        <v>0</v>
      </c>
      <c r="Y1376" s="16">
        <f>_xlfn.XLOOKUP(CustomerCombinedCleaned[[#This Row],[ID]], Table2[ID],Table2[MC1], "Not Found", 0 )</f>
        <v>0</v>
      </c>
      <c r="Z1376" s="16">
        <f>_xlfn.XLOOKUP(CustomerCombinedCleaned[[#This Row],[ID]], Table2[ID],Table2[MC2], "Not Found", 0 )</f>
        <v>0</v>
      </c>
      <c r="AA1376" s="16">
        <f>_xlfn.XLOOKUP(CustomerCombinedCleaned[[#This Row],[ID]], Table2[ID],Table2[MC3], "Not Found", 0 )</f>
        <v>0</v>
      </c>
      <c r="AB1376" s="16">
        <f>_xlfn.XLOOKUP(CustomerCombinedCleaned[[#This Row],[ID]], Table2[ID],Table2[MC4], "Not Found", 0 )</f>
        <v>0</v>
      </c>
      <c r="AC1376" s="16">
        <f>_xlfn.XLOOKUP(CustomerCombinedCleaned[[#This Row],[ID]], Table2[ID],Table2[MC5], "Not Found", 0 )</f>
        <v>1</v>
      </c>
    </row>
    <row r="1377" spans="1:29" x14ac:dyDescent="0.3">
      <c r="A1377" s="18">
        <v>1323</v>
      </c>
      <c r="B1377" s="16">
        <v>183003</v>
      </c>
      <c r="C1377" s="16">
        <v>0</v>
      </c>
      <c r="D1377" s="16">
        <v>0</v>
      </c>
      <c r="E1377" s="16">
        <v>55</v>
      </c>
      <c r="F1377" s="17" t="s">
        <v>8</v>
      </c>
      <c r="G1377" s="17" t="s">
        <v>11</v>
      </c>
      <c r="H1377" s="3" t="s">
        <v>577</v>
      </c>
      <c r="I1377" s="5" t="s">
        <v>435</v>
      </c>
      <c r="J1377" s="16">
        <f>_xlfn.XLOOKUP(CustomerCombinedCleaned[[#This Row],[ID]], Table4[ID], Table4[Recency], "Not Found", 0)</f>
        <v>18</v>
      </c>
      <c r="K1377" s="16">
        <f>_xlfn.XLOOKUP(CustomerCombinedCleaned[[#This Row],[ID]], Table4[ID], Table4[Teas], "Not Found", 0)</f>
        <v>1887</v>
      </c>
      <c r="L1377" s="16">
        <f>_xlfn.XLOOKUP(CustomerCombinedCleaned[[#This Row],[ID]], Table4[ID], Table4[Fruits], "Not Found", 0)</f>
        <v>134</v>
      </c>
      <c r="M1377" s="16">
        <f>_xlfn.XLOOKUP(CustomerCombinedCleaned[[#This Row],[ID]], Table4[ID], Table4[Meats], "Not Found", 0)</f>
        <v>1257</v>
      </c>
      <c r="N1377" s="16">
        <f>_xlfn.XLOOKUP(CustomerCombinedCleaned[[#This Row],[ID]], Table4[ID], Table4[Seafood], "Not Found", 0)</f>
        <v>88</v>
      </c>
      <c r="O1377" s="16">
        <f>_xlfn.XLOOKUP(CustomerCombinedCleaned[[#This Row],[ID]], Table4[ID], Table4[Sweets], "Not Found", 0)</f>
        <v>55</v>
      </c>
      <c r="P1377" s="16">
        <f>_xlfn.XLOOKUP(CustomerCombinedCleaned[[#This Row],[ID]], Table4[ID], Table4[Premium], "Not Found", 0)</f>
        <v>269</v>
      </c>
      <c r="Q1377" s="16">
        <f>_xlfn.XLOOKUP(CustomerCombinedCleaned[[#This Row],[ID]], Table4[ID], Table4[Regular], "Not Found", 0)</f>
        <v>3153</v>
      </c>
      <c r="R1377" s="16">
        <f>_xlfn.XLOOKUP(CustomerCombinedCleaned[[#This Row],[ID]], Table4[ID], Table4[Deals], "Not Found", 0)</f>
        <v>1</v>
      </c>
      <c r="S1377" s="16">
        <f>_xlfn.XLOOKUP(CustomerCombinedCleaned[[#This Row],[ID]], Table4[ID], Table4[Website], "Not Found", 0)</f>
        <v>7</v>
      </c>
      <c r="T1377" s="16">
        <f>_xlfn.XLOOKUP(CustomerCombinedCleaned[[#This Row],[ID]], Table4[ID], Table4[Catalog], "Not Found", 0)</f>
        <v>6</v>
      </c>
      <c r="U1377" s="16">
        <f>_xlfn.XLOOKUP(CustomerCombinedCleaned[[#This Row],[ID]], Table4[ID], Table4[Store], "Not Found", 0)</f>
        <v>8</v>
      </c>
      <c r="V1377" s="16">
        <f>_xlfn.XLOOKUP(CustomerCombinedCleaned[[#This Row],[ID]], Table4[ID], Table4[Visits], "Not Found", 0)</f>
        <v>3</v>
      </c>
      <c r="W1377" s="16">
        <f>_xlfn.XLOOKUP(CustomerCombinedCleaned[[#This Row],[ID]], Table2[ID],Table2[Complaint], "Not Found", 0 )</f>
        <v>0</v>
      </c>
      <c r="X1377" s="16">
        <f>_xlfn.XLOOKUP(CustomerCombinedCleaned[[#This Row],[ID]], Table2[ID],Table2[Pilot], "Not Found", 0 )</f>
        <v>1</v>
      </c>
      <c r="Y1377" s="16">
        <f>_xlfn.XLOOKUP(CustomerCombinedCleaned[[#This Row],[ID]], Table2[ID],Table2[MC1], "Not Found", 0 )</f>
        <v>0</v>
      </c>
      <c r="Z1377" s="16">
        <f>_xlfn.XLOOKUP(CustomerCombinedCleaned[[#This Row],[ID]], Table2[ID],Table2[MC2], "Not Found", 0 )</f>
        <v>0</v>
      </c>
      <c r="AA1377" s="16">
        <f>_xlfn.XLOOKUP(CustomerCombinedCleaned[[#This Row],[ID]], Table2[ID],Table2[MC3], "Not Found", 0 )</f>
        <v>0</v>
      </c>
      <c r="AB1377" s="16">
        <f>_xlfn.XLOOKUP(CustomerCombinedCleaned[[#This Row],[ID]], Table2[ID],Table2[MC4], "Not Found", 0 )</f>
        <v>0</v>
      </c>
      <c r="AC1377" s="16">
        <f>_xlfn.XLOOKUP(CustomerCombinedCleaned[[#This Row],[ID]], Table2[ID],Table2[MC5], "Not Found", 0 )</f>
        <v>1</v>
      </c>
    </row>
    <row r="1378" spans="1:29" x14ac:dyDescent="0.3">
      <c r="A1378" s="18">
        <v>1593</v>
      </c>
      <c r="B1378" s="16">
        <v>181168</v>
      </c>
      <c r="C1378" s="16">
        <v>0</v>
      </c>
      <c r="D1378" s="16">
        <v>0</v>
      </c>
      <c r="E1378" s="16">
        <v>55</v>
      </c>
      <c r="F1378" s="17" t="s">
        <v>6</v>
      </c>
      <c r="G1378" s="17" t="s">
        <v>11</v>
      </c>
      <c r="H1378" s="3" t="s">
        <v>599</v>
      </c>
      <c r="I1378" s="5" t="s">
        <v>435</v>
      </c>
      <c r="J1378" s="16">
        <f>_xlfn.XLOOKUP(CustomerCombinedCleaned[[#This Row],[ID]], Table4[ID], Table4[Recency], "Not Found", 0)</f>
        <v>84</v>
      </c>
      <c r="K1378" s="16">
        <f>_xlfn.XLOOKUP(CustomerCombinedCleaned[[#This Row],[ID]], Table4[ID], Table4[Teas], "Not Found", 0)</f>
        <v>915</v>
      </c>
      <c r="L1378" s="16">
        <f>_xlfn.XLOOKUP(CustomerCombinedCleaned[[#This Row],[ID]], Table4[ID], Table4[Fruits], "Not Found", 0)</f>
        <v>0</v>
      </c>
      <c r="M1378" s="16">
        <f>_xlfn.XLOOKUP(CustomerCombinedCleaned[[#This Row],[ID]], Table4[ID], Table4[Meats], "Not Found", 0)</f>
        <v>1321</v>
      </c>
      <c r="N1378" s="16">
        <f>_xlfn.XLOOKUP(CustomerCombinedCleaned[[#This Row],[ID]], Table4[ID], Table4[Seafood], "Not Found", 0)</f>
        <v>328</v>
      </c>
      <c r="O1378" s="16">
        <f>_xlfn.XLOOKUP(CustomerCombinedCleaned[[#This Row],[ID]], Table4[ID], Table4[Sweets], "Not Found", 0)</f>
        <v>49</v>
      </c>
      <c r="P1378" s="16">
        <f>_xlfn.XLOOKUP(CustomerCombinedCleaned[[#This Row],[ID]], Table4[ID], Table4[Premium], "Not Found", 0)</f>
        <v>49</v>
      </c>
      <c r="Q1378" s="16">
        <f>_xlfn.XLOOKUP(CustomerCombinedCleaned[[#This Row],[ID]], Table4[ID], Table4[Regular], "Not Found", 0)</f>
        <v>2565</v>
      </c>
      <c r="R1378" s="16">
        <f>_xlfn.XLOOKUP(CustomerCombinedCleaned[[#This Row],[ID]], Table4[ID], Table4[Deals], "Not Found", 0)</f>
        <v>1</v>
      </c>
      <c r="S1378" s="16">
        <f>_xlfn.XLOOKUP(CustomerCombinedCleaned[[#This Row],[ID]], Table4[ID], Table4[Website], "Not Found", 0)</f>
        <v>6</v>
      </c>
      <c r="T1378" s="16">
        <f>_xlfn.XLOOKUP(CustomerCombinedCleaned[[#This Row],[ID]], Table4[ID], Table4[Catalog], "Not Found", 0)</f>
        <v>4</v>
      </c>
      <c r="U1378" s="16">
        <f>_xlfn.XLOOKUP(CustomerCombinedCleaned[[#This Row],[ID]], Table4[ID], Table4[Store], "Not Found", 0)</f>
        <v>7</v>
      </c>
      <c r="V1378" s="16">
        <f>_xlfn.XLOOKUP(CustomerCombinedCleaned[[#This Row],[ID]], Table4[ID], Table4[Visits], "Not Found", 0)</f>
        <v>3</v>
      </c>
      <c r="W1378" s="16">
        <f>_xlfn.XLOOKUP(CustomerCombinedCleaned[[#This Row],[ID]], Table2[ID],Table2[Complaint], "Not Found", 0 )</f>
        <v>0</v>
      </c>
      <c r="X1378" s="16">
        <f>_xlfn.XLOOKUP(CustomerCombinedCleaned[[#This Row],[ID]], Table2[ID],Table2[Pilot], "Not Found", 0 )</f>
        <v>0</v>
      </c>
      <c r="Y1378" s="16">
        <f>_xlfn.XLOOKUP(CustomerCombinedCleaned[[#This Row],[ID]], Table2[ID],Table2[MC1], "Not Found", 0 )</f>
        <v>1</v>
      </c>
      <c r="Z1378" s="16">
        <f>_xlfn.XLOOKUP(CustomerCombinedCleaned[[#This Row],[ID]], Table2[ID],Table2[MC2], "Not Found", 0 )</f>
        <v>0</v>
      </c>
      <c r="AA1378" s="16">
        <f>_xlfn.XLOOKUP(CustomerCombinedCleaned[[#This Row],[ID]], Table2[ID],Table2[MC3], "Not Found", 0 )</f>
        <v>0</v>
      </c>
      <c r="AB1378" s="16">
        <f>_xlfn.XLOOKUP(CustomerCombinedCleaned[[#This Row],[ID]], Table2[ID],Table2[MC4], "Not Found", 0 )</f>
        <v>0</v>
      </c>
      <c r="AC1378" s="16">
        <f>_xlfn.XLOOKUP(CustomerCombinedCleaned[[#This Row],[ID]], Table2[ID],Table2[MC5], "Not Found", 0 )</f>
        <v>0</v>
      </c>
    </row>
    <row r="1379" spans="1:29" x14ac:dyDescent="0.3">
      <c r="A1379" s="18">
        <v>2287</v>
      </c>
      <c r="B1379" s="16">
        <v>181051</v>
      </c>
      <c r="C1379" s="16">
        <v>0</v>
      </c>
      <c r="D1379" s="16">
        <v>0</v>
      </c>
      <c r="E1379" s="16">
        <v>55</v>
      </c>
      <c r="F1379" s="17" t="s">
        <v>6</v>
      </c>
      <c r="G1379" s="17" t="s">
        <v>13</v>
      </c>
      <c r="H1379" s="3" t="s">
        <v>44</v>
      </c>
      <c r="I1379" s="5" t="s">
        <v>437</v>
      </c>
      <c r="J1379" s="16">
        <f>_xlfn.XLOOKUP(CustomerCombinedCleaned[[#This Row],[ID]], Table4[ID], Table4[Recency], "Not Found", 0)</f>
        <v>43</v>
      </c>
      <c r="K1379" s="16">
        <f>_xlfn.XLOOKUP(CustomerCombinedCleaned[[#This Row],[ID]], Table4[ID], Table4[Teas], "Not Found", 0)</f>
        <v>2551</v>
      </c>
      <c r="L1379" s="16">
        <f>_xlfn.XLOOKUP(CustomerCombinedCleaned[[#This Row],[ID]], Table4[ID], Table4[Fruits], "Not Found", 0)</f>
        <v>65</v>
      </c>
      <c r="M1379" s="16">
        <f>_xlfn.XLOOKUP(CustomerCombinedCleaned[[#This Row],[ID]], Table4[ID], Table4[Meats], "Not Found", 0)</f>
        <v>556</v>
      </c>
      <c r="N1379" s="16">
        <f>_xlfn.XLOOKUP(CustomerCombinedCleaned[[#This Row],[ID]], Table4[ID], Table4[Seafood], "Not Found", 0)</f>
        <v>85</v>
      </c>
      <c r="O1379" s="16">
        <f>_xlfn.XLOOKUP(CustomerCombinedCleaned[[#This Row],[ID]], Table4[ID], Table4[Sweets], "Not Found", 0)</f>
        <v>65</v>
      </c>
      <c r="P1379" s="16">
        <f>_xlfn.XLOOKUP(CustomerCombinedCleaned[[#This Row],[ID]], Table4[ID], Table4[Premium], "Not Found", 0)</f>
        <v>31</v>
      </c>
      <c r="Q1379" s="16">
        <f>_xlfn.XLOOKUP(CustomerCombinedCleaned[[#This Row],[ID]], Table4[ID], Table4[Regular], "Not Found", 0)</f>
        <v>3290</v>
      </c>
      <c r="R1379" s="16">
        <f>_xlfn.XLOOKUP(CustomerCombinedCleaned[[#This Row],[ID]], Table4[ID], Table4[Deals], "Not Found", 0)</f>
        <v>1</v>
      </c>
      <c r="S1379" s="16">
        <f>_xlfn.XLOOKUP(CustomerCombinedCleaned[[#This Row],[ID]], Table4[ID], Table4[Website], "Not Found", 0)</f>
        <v>5</v>
      </c>
      <c r="T1379" s="16">
        <f>_xlfn.XLOOKUP(CustomerCombinedCleaned[[#This Row],[ID]], Table4[ID], Table4[Catalog], "Not Found", 0)</f>
        <v>5</v>
      </c>
      <c r="U1379" s="16">
        <f>_xlfn.XLOOKUP(CustomerCombinedCleaned[[#This Row],[ID]], Table4[ID], Table4[Store], "Not Found", 0)</f>
        <v>12</v>
      </c>
      <c r="V1379" s="16">
        <f>_xlfn.XLOOKUP(CustomerCombinedCleaned[[#This Row],[ID]], Table4[ID], Table4[Visits], "Not Found", 0)</f>
        <v>2</v>
      </c>
      <c r="W1379" s="16">
        <f>_xlfn.XLOOKUP(CustomerCombinedCleaned[[#This Row],[ID]], Table2[ID],Table2[Complaint], "Not Found", 0 )</f>
        <v>0</v>
      </c>
      <c r="X1379" s="16">
        <f>_xlfn.XLOOKUP(CustomerCombinedCleaned[[#This Row],[ID]], Table2[ID],Table2[Pilot], "Not Found", 0 )</f>
        <v>0</v>
      </c>
      <c r="Y1379" s="16">
        <f>_xlfn.XLOOKUP(CustomerCombinedCleaned[[#This Row],[ID]], Table2[ID],Table2[MC1], "Not Found", 0 )</f>
        <v>0</v>
      </c>
      <c r="Z1379" s="16">
        <f>_xlfn.XLOOKUP(CustomerCombinedCleaned[[#This Row],[ID]], Table2[ID],Table2[MC2], "Not Found", 0 )</f>
        <v>0</v>
      </c>
      <c r="AA1379" s="16">
        <f>_xlfn.XLOOKUP(CustomerCombinedCleaned[[#This Row],[ID]], Table2[ID],Table2[MC3], "Not Found", 0 )</f>
        <v>0</v>
      </c>
      <c r="AB1379" s="16">
        <f>_xlfn.XLOOKUP(CustomerCombinedCleaned[[#This Row],[ID]], Table2[ID],Table2[MC4], "Not Found", 0 )</f>
        <v>1</v>
      </c>
      <c r="AC1379" s="16">
        <f>_xlfn.XLOOKUP(CustomerCombinedCleaned[[#This Row],[ID]], Table2[ID],Table2[MC5], "Not Found", 0 )</f>
        <v>1</v>
      </c>
    </row>
    <row r="1380" spans="1:29" x14ac:dyDescent="0.3">
      <c r="A1380" s="18">
        <v>2427</v>
      </c>
      <c r="B1380" s="16">
        <v>177343</v>
      </c>
      <c r="C1380" s="16">
        <v>0</v>
      </c>
      <c r="D1380" s="16">
        <v>0</v>
      </c>
      <c r="E1380" s="16">
        <v>55</v>
      </c>
      <c r="F1380" s="17" t="s">
        <v>6</v>
      </c>
      <c r="G1380" s="17" t="s">
        <v>11</v>
      </c>
      <c r="H1380" s="3" t="s">
        <v>40</v>
      </c>
      <c r="I1380" s="5" t="s">
        <v>435</v>
      </c>
      <c r="J1380" s="16">
        <f>_xlfn.XLOOKUP(CustomerCombinedCleaned[[#This Row],[ID]], Table4[ID], Table4[Recency], "Not Found", 0)</f>
        <v>28</v>
      </c>
      <c r="K1380" s="16">
        <f>_xlfn.XLOOKUP(CustomerCombinedCleaned[[#This Row],[ID]], Table4[ID], Table4[Teas], "Not Found", 0)</f>
        <v>520</v>
      </c>
      <c r="L1380" s="16">
        <f>_xlfn.XLOOKUP(CustomerCombinedCleaned[[#This Row],[ID]], Table4[ID], Table4[Fruits], "Not Found", 0)</f>
        <v>346</v>
      </c>
      <c r="M1380" s="16">
        <f>_xlfn.XLOOKUP(CustomerCombinedCleaned[[#This Row],[ID]], Table4[ID], Table4[Meats], "Not Found", 0)</f>
        <v>1314</v>
      </c>
      <c r="N1380" s="16">
        <f>_xlfn.XLOOKUP(CustomerCombinedCleaned[[#This Row],[ID]], Table4[ID], Table4[Seafood], "Not Found", 0)</f>
        <v>225</v>
      </c>
      <c r="O1380" s="16">
        <f>_xlfn.XLOOKUP(CustomerCombinedCleaned[[#This Row],[ID]], Table4[ID], Table4[Sweets], "Not Found", 0)</f>
        <v>124</v>
      </c>
      <c r="P1380" s="16">
        <f>_xlfn.XLOOKUP(CustomerCombinedCleaned[[#This Row],[ID]], Table4[ID], Table4[Premium], "Not Found", 0)</f>
        <v>71</v>
      </c>
      <c r="Q1380" s="16">
        <f>_xlfn.XLOOKUP(CustomerCombinedCleaned[[#This Row],[ID]], Table4[ID], Table4[Regular], "Not Found", 0)</f>
        <v>2458</v>
      </c>
      <c r="R1380" s="16">
        <f>_xlfn.XLOOKUP(CustomerCombinedCleaned[[#This Row],[ID]], Table4[ID], Table4[Deals], "Not Found", 0)</f>
        <v>1</v>
      </c>
      <c r="S1380" s="16">
        <f>_xlfn.XLOOKUP(CustomerCombinedCleaned[[#This Row],[ID]], Table4[ID], Table4[Website], "Not Found", 0)</f>
        <v>3</v>
      </c>
      <c r="T1380" s="16">
        <f>_xlfn.XLOOKUP(CustomerCombinedCleaned[[#This Row],[ID]], Table4[ID], Table4[Catalog], "Not Found", 0)</f>
        <v>4</v>
      </c>
      <c r="U1380" s="16">
        <f>_xlfn.XLOOKUP(CustomerCombinedCleaned[[#This Row],[ID]], Table4[ID], Table4[Store], "Not Found", 0)</f>
        <v>9</v>
      </c>
      <c r="V1380" s="16">
        <f>_xlfn.XLOOKUP(CustomerCombinedCleaned[[#This Row],[ID]], Table4[ID], Table4[Visits], "Not Found", 0)</f>
        <v>1</v>
      </c>
      <c r="W1380" s="16">
        <f>_xlfn.XLOOKUP(CustomerCombinedCleaned[[#This Row],[ID]], Table2[ID],Table2[Complaint], "Not Found", 0 )</f>
        <v>0</v>
      </c>
      <c r="X1380" s="16">
        <f>_xlfn.XLOOKUP(CustomerCombinedCleaned[[#This Row],[ID]], Table2[ID],Table2[Pilot], "Not Found", 0 )</f>
        <v>0</v>
      </c>
      <c r="Y1380" s="16">
        <f>_xlfn.XLOOKUP(CustomerCombinedCleaned[[#This Row],[ID]], Table2[ID],Table2[MC1], "Not Found", 0 )</f>
        <v>0</v>
      </c>
      <c r="Z1380" s="16">
        <f>_xlfn.XLOOKUP(CustomerCombinedCleaned[[#This Row],[ID]], Table2[ID],Table2[MC2], "Not Found", 0 )</f>
        <v>0</v>
      </c>
      <c r="AA1380" s="16">
        <f>_xlfn.XLOOKUP(CustomerCombinedCleaned[[#This Row],[ID]], Table2[ID],Table2[MC3], "Not Found", 0 )</f>
        <v>0</v>
      </c>
      <c r="AB1380" s="16">
        <f>_xlfn.XLOOKUP(CustomerCombinedCleaned[[#This Row],[ID]], Table2[ID],Table2[MC4], "Not Found", 0 )</f>
        <v>0</v>
      </c>
      <c r="AC1380" s="16">
        <f>_xlfn.XLOOKUP(CustomerCombinedCleaned[[#This Row],[ID]], Table2[ID],Table2[MC5], "Not Found", 0 )</f>
        <v>0</v>
      </c>
    </row>
    <row r="1381" spans="1:29" x14ac:dyDescent="0.3">
      <c r="A1381" s="18">
        <v>2527</v>
      </c>
      <c r="B1381" s="16">
        <v>176800</v>
      </c>
      <c r="C1381" s="16">
        <v>0</v>
      </c>
      <c r="D1381" s="16">
        <v>0</v>
      </c>
      <c r="E1381" s="16">
        <v>55</v>
      </c>
      <c r="F1381" s="17" t="s">
        <v>6</v>
      </c>
      <c r="G1381" s="17" t="s">
        <v>11</v>
      </c>
      <c r="H1381" s="3" t="s">
        <v>630</v>
      </c>
      <c r="I1381" s="5" t="s">
        <v>437</v>
      </c>
      <c r="J1381" s="16">
        <f>_xlfn.XLOOKUP(CustomerCombinedCleaned[[#This Row],[ID]], Table4[ID], Table4[Recency], "Not Found", 0)</f>
        <v>33</v>
      </c>
      <c r="K1381" s="16">
        <f>_xlfn.XLOOKUP(CustomerCombinedCleaned[[#This Row],[ID]], Table4[ID], Table4[Teas], "Not Found", 0)</f>
        <v>398</v>
      </c>
      <c r="L1381" s="16">
        <f>_xlfn.XLOOKUP(CustomerCombinedCleaned[[#This Row],[ID]], Table4[ID], Table4[Fruits], "Not Found", 0)</f>
        <v>60</v>
      </c>
      <c r="M1381" s="16">
        <f>_xlfn.XLOOKUP(CustomerCombinedCleaned[[#This Row],[ID]], Table4[ID], Table4[Meats], "Not Found", 0)</f>
        <v>587</v>
      </c>
      <c r="N1381" s="16">
        <f>_xlfn.XLOOKUP(CustomerCombinedCleaned[[#This Row],[ID]], Table4[ID], Table4[Seafood], "Not Found", 0)</f>
        <v>81</v>
      </c>
      <c r="O1381" s="16">
        <f>_xlfn.XLOOKUP(CustomerCombinedCleaned[[#This Row],[ID]], Table4[ID], Table4[Sweets], "Not Found", 0)</f>
        <v>163</v>
      </c>
      <c r="P1381" s="16">
        <f>_xlfn.XLOOKUP(CustomerCombinedCleaned[[#This Row],[ID]], Table4[ID], Table4[Premium], "Not Found", 0)</f>
        <v>186</v>
      </c>
      <c r="Q1381" s="16">
        <f>_xlfn.XLOOKUP(CustomerCombinedCleaned[[#This Row],[ID]], Table4[ID], Table4[Regular], "Not Found", 0)</f>
        <v>1103</v>
      </c>
      <c r="R1381" s="16">
        <f>_xlfn.XLOOKUP(CustomerCombinedCleaned[[#This Row],[ID]], Table4[ID], Table4[Deals], "Not Found", 0)</f>
        <v>1</v>
      </c>
      <c r="S1381" s="16">
        <f>_xlfn.XLOOKUP(CustomerCombinedCleaned[[#This Row],[ID]], Table4[ID], Table4[Website], "Not Found", 0)</f>
        <v>4</v>
      </c>
      <c r="T1381" s="16">
        <f>_xlfn.XLOOKUP(CustomerCombinedCleaned[[#This Row],[ID]], Table4[ID], Table4[Catalog], "Not Found", 0)</f>
        <v>4</v>
      </c>
      <c r="U1381" s="16">
        <f>_xlfn.XLOOKUP(CustomerCombinedCleaned[[#This Row],[ID]], Table4[ID], Table4[Store], "Not Found", 0)</f>
        <v>7</v>
      </c>
      <c r="V1381" s="16">
        <f>_xlfn.XLOOKUP(CustomerCombinedCleaned[[#This Row],[ID]], Table4[ID], Table4[Visits], "Not Found", 0)</f>
        <v>1</v>
      </c>
      <c r="W1381" s="16">
        <f>_xlfn.XLOOKUP(CustomerCombinedCleaned[[#This Row],[ID]], Table2[ID],Table2[Complaint], "Not Found", 0 )</f>
        <v>0</v>
      </c>
      <c r="X1381" s="16">
        <f>_xlfn.XLOOKUP(CustomerCombinedCleaned[[#This Row],[ID]], Table2[ID],Table2[Pilot], "Not Found", 0 )</f>
        <v>0</v>
      </c>
      <c r="Y1381" s="16">
        <f>_xlfn.XLOOKUP(CustomerCombinedCleaned[[#This Row],[ID]], Table2[ID],Table2[MC1], "Not Found", 0 )</f>
        <v>0</v>
      </c>
      <c r="Z1381" s="16">
        <f>_xlfn.XLOOKUP(CustomerCombinedCleaned[[#This Row],[ID]], Table2[ID],Table2[MC2], "Not Found", 0 )</f>
        <v>0</v>
      </c>
      <c r="AA1381" s="16">
        <f>_xlfn.XLOOKUP(CustomerCombinedCleaned[[#This Row],[ID]], Table2[ID],Table2[MC3], "Not Found", 0 )</f>
        <v>0</v>
      </c>
      <c r="AB1381" s="16">
        <f>_xlfn.XLOOKUP(CustomerCombinedCleaned[[#This Row],[ID]], Table2[ID],Table2[MC4], "Not Found", 0 )</f>
        <v>0</v>
      </c>
      <c r="AC1381" s="16">
        <f>_xlfn.XLOOKUP(CustomerCombinedCleaned[[#This Row],[ID]], Table2[ID],Table2[MC5], "Not Found", 0 )</f>
        <v>0</v>
      </c>
    </row>
    <row r="1382" spans="1:29" x14ac:dyDescent="0.3">
      <c r="A1382" s="18">
        <v>1385</v>
      </c>
      <c r="B1382" s="16">
        <v>175276</v>
      </c>
      <c r="C1382" s="16">
        <v>0</v>
      </c>
      <c r="D1382" s="16">
        <v>0</v>
      </c>
      <c r="E1382" s="16">
        <v>55</v>
      </c>
      <c r="F1382" s="17" t="s">
        <v>8</v>
      </c>
      <c r="G1382" s="17" t="s">
        <v>11</v>
      </c>
      <c r="H1382" s="3" t="s">
        <v>638</v>
      </c>
      <c r="I1382" s="5" t="s">
        <v>434</v>
      </c>
      <c r="J1382" s="16">
        <f>_xlfn.XLOOKUP(CustomerCombinedCleaned[[#This Row],[ID]], Table4[ID], Table4[Recency], "Not Found", 0)</f>
        <v>2</v>
      </c>
      <c r="K1382" s="16">
        <f>_xlfn.XLOOKUP(CustomerCombinedCleaned[[#This Row],[ID]], Table4[ID], Table4[Teas], "Not Found", 0)</f>
        <v>1420</v>
      </c>
      <c r="L1382" s="16">
        <f>_xlfn.XLOOKUP(CustomerCombinedCleaned[[#This Row],[ID]], Table4[ID], Table4[Fruits], "Not Found", 0)</f>
        <v>244</v>
      </c>
      <c r="M1382" s="16">
        <f>_xlfn.XLOOKUP(CustomerCombinedCleaned[[#This Row],[ID]], Table4[ID], Table4[Meats], "Not Found", 0)</f>
        <v>291</v>
      </c>
      <c r="N1382" s="16">
        <f>_xlfn.XLOOKUP(CustomerCombinedCleaned[[#This Row],[ID]], Table4[ID], Table4[Seafood], "Not Found", 0)</f>
        <v>319</v>
      </c>
      <c r="O1382" s="16">
        <f>_xlfn.XLOOKUP(CustomerCombinedCleaned[[#This Row],[ID]], Table4[ID], Table4[Sweets], "Not Found", 0)</f>
        <v>98</v>
      </c>
      <c r="P1382" s="16">
        <f>_xlfn.XLOOKUP(CustomerCombinedCleaned[[#This Row],[ID]], Table4[ID], Table4[Premium], "Not Found", 0)</f>
        <v>49</v>
      </c>
      <c r="Q1382" s="16">
        <f>_xlfn.XLOOKUP(CustomerCombinedCleaned[[#This Row],[ID]], Table4[ID], Table4[Regular], "Not Found", 0)</f>
        <v>2324</v>
      </c>
      <c r="R1382" s="16">
        <f>_xlfn.XLOOKUP(CustomerCombinedCleaned[[#This Row],[ID]], Table4[ID], Table4[Deals], "Not Found", 0)</f>
        <v>1</v>
      </c>
      <c r="S1382" s="16">
        <f>_xlfn.XLOOKUP(CustomerCombinedCleaned[[#This Row],[ID]], Table4[ID], Table4[Website], "Not Found", 0)</f>
        <v>9</v>
      </c>
      <c r="T1382" s="16">
        <f>_xlfn.XLOOKUP(CustomerCombinedCleaned[[#This Row],[ID]], Table4[ID], Table4[Catalog], "Not Found", 0)</f>
        <v>4</v>
      </c>
      <c r="U1382" s="16">
        <f>_xlfn.XLOOKUP(CustomerCombinedCleaned[[#This Row],[ID]], Table4[ID], Table4[Store], "Not Found", 0)</f>
        <v>9</v>
      </c>
      <c r="V1382" s="16">
        <f>_xlfn.XLOOKUP(CustomerCombinedCleaned[[#This Row],[ID]], Table4[ID], Table4[Visits], "Not Found", 0)</f>
        <v>5</v>
      </c>
      <c r="W1382" s="16">
        <f>_xlfn.XLOOKUP(CustomerCombinedCleaned[[#This Row],[ID]], Table2[ID],Table2[Complaint], "Not Found", 0 )</f>
        <v>0</v>
      </c>
      <c r="X1382" s="16">
        <f>_xlfn.XLOOKUP(CustomerCombinedCleaned[[#This Row],[ID]], Table2[ID],Table2[Pilot], "Not Found", 0 )</f>
        <v>0</v>
      </c>
      <c r="Y1382" s="16">
        <f>_xlfn.XLOOKUP(CustomerCombinedCleaned[[#This Row],[ID]], Table2[ID],Table2[MC1], "Not Found", 0 )</f>
        <v>0</v>
      </c>
      <c r="Z1382" s="16">
        <f>_xlfn.XLOOKUP(CustomerCombinedCleaned[[#This Row],[ID]], Table2[ID],Table2[MC2], "Not Found", 0 )</f>
        <v>0</v>
      </c>
      <c r="AA1382" s="16">
        <f>_xlfn.XLOOKUP(CustomerCombinedCleaned[[#This Row],[ID]], Table2[ID],Table2[MC3], "Not Found", 0 )</f>
        <v>0</v>
      </c>
      <c r="AB1382" s="16">
        <f>_xlfn.XLOOKUP(CustomerCombinedCleaned[[#This Row],[ID]], Table2[ID],Table2[MC4], "Not Found", 0 )</f>
        <v>0</v>
      </c>
      <c r="AC1382" s="16">
        <f>_xlfn.XLOOKUP(CustomerCombinedCleaned[[#This Row],[ID]], Table2[ID],Table2[MC5], "Not Found", 0 )</f>
        <v>0</v>
      </c>
    </row>
    <row r="1383" spans="1:29" x14ac:dyDescent="0.3">
      <c r="A1383" s="18">
        <v>1701</v>
      </c>
      <c r="B1383" s="16">
        <v>174806</v>
      </c>
      <c r="C1383" s="16">
        <v>0</v>
      </c>
      <c r="D1383" s="16">
        <v>1</v>
      </c>
      <c r="E1383" s="16">
        <v>55</v>
      </c>
      <c r="F1383" s="17" t="s">
        <v>6</v>
      </c>
      <c r="G1383" s="17" t="s">
        <v>12</v>
      </c>
      <c r="H1383" s="3" t="s">
        <v>340</v>
      </c>
      <c r="I1383" s="5" t="s">
        <v>435</v>
      </c>
      <c r="J1383" s="16">
        <f>_xlfn.XLOOKUP(CustomerCombinedCleaned[[#This Row],[ID]], Table4[ID], Table4[Recency], "Not Found", 0)</f>
        <v>1</v>
      </c>
      <c r="K1383" s="16">
        <f>_xlfn.XLOOKUP(CustomerCombinedCleaned[[#This Row],[ID]], Table4[ID], Table4[Teas], "Not Found", 0)</f>
        <v>1566</v>
      </c>
      <c r="L1383" s="16">
        <f>_xlfn.XLOOKUP(CustomerCombinedCleaned[[#This Row],[ID]], Table4[ID], Table4[Fruits], "Not Found", 0)</f>
        <v>21</v>
      </c>
      <c r="M1383" s="16">
        <f>_xlfn.XLOOKUP(CustomerCombinedCleaned[[#This Row],[ID]], Table4[ID], Table4[Meats], "Not Found", 0)</f>
        <v>582</v>
      </c>
      <c r="N1383" s="16">
        <f>_xlfn.XLOOKUP(CustomerCombinedCleaned[[#This Row],[ID]], Table4[ID], Table4[Seafood], "Not Found", 0)</f>
        <v>0</v>
      </c>
      <c r="O1383" s="16">
        <f>_xlfn.XLOOKUP(CustomerCombinedCleaned[[#This Row],[ID]], Table4[ID], Table4[Sweets], "Not Found", 0)</f>
        <v>65</v>
      </c>
      <c r="P1383" s="16">
        <f>_xlfn.XLOOKUP(CustomerCombinedCleaned[[#This Row],[ID]], Table4[ID], Table4[Premium], "Not Found", 0)</f>
        <v>21</v>
      </c>
      <c r="Q1383" s="16">
        <f>_xlfn.XLOOKUP(CustomerCombinedCleaned[[#This Row],[ID]], Table4[ID], Table4[Regular], "Not Found", 0)</f>
        <v>2213</v>
      </c>
      <c r="R1383" s="16">
        <f>_xlfn.XLOOKUP(CustomerCombinedCleaned[[#This Row],[ID]], Table4[ID], Table4[Deals], "Not Found", 0)</f>
        <v>2</v>
      </c>
      <c r="S1383" s="16">
        <f>_xlfn.XLOOKUP(CustomerCombinedCleaned[[#This Row],[ID]], Table4[ID], Table4[Website], "Not Found", 0)</f>
        <v>5</v>
      </c>
      <c r="T1383" s="16">
        <f>_xlfn.XLOOKUP(CustomerCombinedCleaned[[#This Row],[ID]], Table4[ID], Table4[Catalog], "Not Found", 0)</f>
        <v>4</v>
      </c>
      <c r="U1383" s="16">
        <f>_xlfn.XLOOKUP(CustomerCombinedCleaned[[#This Row],[ID]], Table4[ID], Table4[Store], "Not Found", 0)</f>
        <v>5</v>
      </c>
      <c r="V1383" s="16">
        <f>_xlfn.XLOOKUP(CustomerCombinedCleaned[[#This Row],[ID]], Table4[ID], Table4[Visits], "Not Found", 0)</f>
        <v>4</v>
      </c>
      <c r="W1383" s="16">
        <f>_xlfn.XLOOKUP(CustomerCombinedCleaned[[#This Row],[ID]], Table2[ID],Table2[Complaint], "Not Found", 0 )</f>
        <v>0</v>
      </c>
      <c r="X1383" s="16">
        <f>_xlfn.XLOOKUP(CustomerCombinedCleaned[[#This Row],[ID]], Table2[ID],Table2[Pilot], "Not Found", 0 )</f>
        <v>0</v>
      </c>
      <c r="Y1383" s="16">
        <f>_xlfn.XLOOKUP(CustomerCombinedCleaned[[#This Row],[ID]], Table2[ID],Table2[MC1], "Not Found", 0 )</f>
        <v>0</v>
      </c>
      <c r="Z1383" s="16">
        <f>_xlfn.XLOOKUP(CustomerCombinedCleaned[[#This Row],[ID]], Table2[ID],Table2[MC2], "Not Found", 0 )</f>
        <v>0</v>
      </c>
      <c r="AA1383" s="16">
        <f>_xlfn.XLOOKUP(CustomerCombinedCleaned[[#This Row],[ID]], Table2[ID],Table2[MC3], "Not Found", 0 )</f>
        <v>0</v>
      </c>
      <c r="AB1383" s="16">
        <f>_xlfn.XLOOKUP(CustomerCombinedCleaned[[#This Row],[ID]], Table2[ID],Table2[MC4], "Not Found", 0 )</f>
        <v>0</v>
      </c>
      <c r="AC1383" s="16">
        <f>_xlfn.XLOOKUP(CustomerCombinedCleaned[[#This Row],[ID]], Table2[ID],Table2[MC5], "Not Found", 0 )</f>
        <v>0</v>
      </c>
    </row>
    <row r="1384" spans="1:29" x14ac:dyDescent="0.3">
      <c r="A1384" s="18">
        <v>2488</v>
      </c>
      <c r="B1384" s="16">
        <v>173538</v>
      </c>
      <c r="C1384" s="16">
        <v>0</v>
      </c>
      <c r="D1384" s="16">
        <v>1</v>
      </c>
      <c r="E1384" s="16">
        <v>55</v>
      </c>
      <c r="F1384" s="17" t="s">
        <v>6</v>
      </c>
      <c r="G1384" s="17" t="s">
        <v>11</v>
      </c>
      <c r="H1384" s="3" t="s">
        <v>647</v>
      </c>
      <c r="I1384" s="5" t="s">
        <v>439</v>
      </c>
      <c r="J1384" s="16">
        <f>_xlfn.XLOOKUP(CustomerCombinedCleaned[[#This Row],[ID]], Table4[ID], Table4[Recency], "Not Found", 0)</f>
        <v>92</v>
      </c>
      <c r="K1384" s="16">
        <f>_xlfn.XLOOKUP(CustomerCombinedCleaned[[#This Row],[ID]], Table4[ID], Table4[Teas], "Not Found", 0)</f>
        <v>1914</v>
      </c>
      <c r="L1384" s="16">
        <f>_xlfn.XLOOKUP(CustomerCombinedCleaned[[#This Row],[ID]], Table4[ID], Table4[Fruits], "Not Found", 0)</f>
        <v>179</v>
      </c>
      <c r="M1384" s="16">
        <f>_xlfn.XLOOKUP(CustomerCombinedCleaned[[#This Row],[ID]], Table4[ID], Table4[Meats], "Not Found", 0)</f>
        <v>1010</v>
      </c>
      <c r="N1384" s="16">
        <f>_xlfn.XLOOKUP(CustomerCombinedCleaned[[#This Row],[ID]], Table4[ID], Table4[Seafood], "Not Found", 0)</f>
        <v>234</v>
      </c>
      <c r="O1384" s="16">
        <f>_xlfn.XLOOKUP(CustomerCombinedCleaned[[#This Row],[ID]], Table4[ID], Table4[Sweets], "Not Found", 0)</f>
        <v>323</v>
      </c>
      <c r="P1384" s="16">
        <f>_xlfn.XLOOKUP(CustomerCombinedCleaned[[#This Row],[ID]], Table4[ID], Table4[Premium], "Not Found", 0)</f>
        <v>253</v>
      </c>
      <c r="Q1384" s="16">
        <f>_xlfn.XLOOKUP(CustomerCombinedCleaned[[#This Row],[ID]], Table4[ID], Table4[Regular], "Not Found", 0)</f>
        <v>3408</v>
      </c>
      <c r="R1384" s="16">
        <f>_xlfn.XLOOKUP(CustomerCombinedCleaned[[#This Row],[ID]], Table4[ID], Table4[Deals], "Not Found", 0)</f>
        <v>3</v>
      </c>
      <c r="S1384" s="16">
        <f>_xlfn.XLOOKUP(CustomerCombinedCleaned[[#This Row],[ID]], Table4[ID], Table4[Website], "Not Found", 0)</f>
        <v>10</v>
      </c>
      <c r="T1384" s="16">
        <f>_xlfn.XLOOKUP(CustomerCombinedCleaned[[#This Row],[ID]], Table4[ID], Table4[Catalog], "Not Found", 0)</f>
        <v>4</v>
      </c>
      <c r="U1384" s="16">
        <f>_xlfn.XLOOKUP(CustomerCombinedCleaned[[#This Row],[ID]], Table4[ID], Table4[Store], "Not Found", 0)</f>
        <v>9</v>
      </c>
      <c r="V1384" s="16">
        <f>_xlfn.XLOOKUP(CustomerCombinedCleaned[[#This Row],[ID]], Table4[ID], Table4[Visits], "Not Found", 0)</f>
        <v>7</v>
      </c>
      <c r="W1384" s="16">
        <f>_xlfn.XLOOKUP(CustomerCombinedCleaned[[#This Row],[ID]], Table2[ID],Table2[Complaint], "Not Found", 0 )</f>
        <v>0</v>
      </c>
      <c r="X1384" s="16">
        <f>_xlfn.XLOOKUP(CustomerCombinedCleaned[[#This Row],[ID]], Table2[ID],Table2[Pilot], "Not Found", 0 )</f>
        <v>0</v>
      </c>
      <c r="Y1384" s="16">
        <f>_xlfn.XLOOKUP(CustomerCombinedCleaned[[#This Row],[ID]], Table2[ID],Table2[MC1], "Not Found", 0 )</f>
        <v>0</v>
      </c>
      <c r="Z1384" s="16">
        <f>_xlfn.XLOOKUP(CustomerCombinedCleaned[[#This Row],[ID]], Table2[ID],Table2[MC2], "Not Found", 0 )</f>
        <v>0</v>
      </c>
      <c r="AA1384" s="16">
        <f>_xlfn.XLOOKUP(CustomerCombinedCleaned[[#This Row],[ID]], Table2[ID],Table2[MC3], "Not Found", 0 )</f>
        <v>0</v>
      </c>
      <c r="AB1384" s="16">
        <f>_xlfn.XLOOKUP(CustomerCombinedCleaned[[#This Row],[ID]], Table2[ID],Table2[MC4], "Not Found", 0 )</f>
        <v>0</v>
      </c>
      <c r="AC1384" s="16">
        <f>_xlfn.XLOOKUP(CustomerCombinedCleaned[[#This Row],[ID]], Table2[ID],Table2[MC5], "Not Found", 0 )</f>
        <v>0</v>
      </c>
    </row>
    <row r="1385" spans="1:29" x14ac:dyDescent="0.3">
      <c r="A1385" s="18">
        <v>1704</v>
      </c>
      <c r="B1385" s="16">
        <v>172190</v>
      </c>
      <c r="C1385" s="16">
        <v>0</v>
      </c>
      <c r="D1385" s="16">
        <v>0</v>
      </c>
      <c r="E1385" s="16">
        <v>55</v>
      </c>
      <c r="F1385" s="17" t="s">
        <v>6</v>
      </c>
      <c r="G1385" s="17" t="s">
        <v>11</v>
      </c>
      <c r="H1385" s="3" t="s">
        <v>310</v>
      </c>
      <c r="I1385" s="5" t="s">
        <v>436</v>
      </c>
      <c r="J1385" s="16">
        <f>_xlfn.XLOOKUP(CustomerCombinedCleaned[[#This Row],[ID]], Table4[ID], Table4[Recency], "Not Found", 0)</f>
        <v>79</v>
      </c>
      <c r="K1385" s="16">
        <f>_xlfn.XLOOKUP(CustomerCombinedCleaned[[#This Row],[ID]], Table4[ID], Table4[Teas], "Not Found", 0)</f>
        <v>1424</v>
      </c>
      <c r="L1385" s="16">
        <f>_xlfn.XLOOKUP(CustomerCombinedCleaned[[#This Row],[ID]], Table4[ID], Table4[Fruits], "Not Found", 0)</f>
        <v>396</v>
      </c>
      <c r="M1385" s="16">
        <f>_xlfn.XLOOKUP(CustomerCombinedCleaned[[#This Row],[ID]], Table4[ID], Table4[Meats], "Not Found", 0)</f>
        <v>1424</v>
      </c>
      <c r="N1385" s="16">
        <f>_xlfn.XLOOKUP(CustomerCombinedCleaned[[#This Row],[ID]], Table4[ID], Table4[Seafood], "Not Found", 0)</f>
        <v>410</v>
      </c>
      <c r="O1385" s="16">
        <f>_xlfn.XLOOKUP(CustomerCombinedCleaned[[#This Row],[ID]], Table4[ID], Table4[Sweets], "Not Found", 0)</f>
        <v>396</v>
      </c>
      <c r="P1385" s="16">
        <f>_xlfn.XLOOKUP(CustomerCombinedCleaned[[#This Row],[ID]], Table4[ID], Table4[Premium], "Not Found", 0)</f>
        <v>594</v>
      </c>
      <c r="Q1385" s="16">
        <f>_xlfn.XLOOKUP(CustomerCombinedCleaned[[#This Row],[ID]], Table4[ID], Table4[Regular], "Not Found", 0)</f>
        <v>3456</v>
      </c>
      <c r="R1385" s="16">
        <f>_xlfn.XLOOKUP(CustomerCombinedCleaned[[#This Row],[ID]], Table4[ID], Table4[Deals], "Not Found", 0)</f>
        <v>1</v>
      </c>
      <c r="S1385" s="16">
        <f>_xlfn.XLOOKUP(CustomerCombinedCleaned[[#This Row],[ID]], Table4[ID], Table4[Website], "Not Found", 0)</f>
        <v>5</v>
      </c>
      <c r="T1385" s="16">
        <f>_xlfn.XLOOKUP(CustomerCombinedCleaned[[#This Row],[ID]], Table4[ID], Table4[Catalog], "Not Found", 0)</f>
        <v>6</v>
      </c>
      <c r="U1385" s="16">
        <f>_xlfn.XLOOKUP(CustomerCombinedCleaned[[#This Row],[ID]], Table4[ID], Table4[Store], "Not Found", 0)</f>
        <v>4</v>
      </c>
      <c r="V1385" s="16">
        <f>_xlfn.XLOOKUP(CustomerCombinedCleaned[[#This Row],[ID]], Table4[ID], Table4[Visits], "Not Found", 0)</f>
        <v>3</v>
      </c>
      <c r="W1385" s="16">
        <f>_xlfn.XLOOKUP(CustomerCombinedCleaned[[#This Row],[ID]], Table2[ID],Table2[Complaint], "Not Found", 0 )</f>
        <v>0</v>
      </c>
      <c r="X1385" s="16">
        <f>_xlfn.XLOOKUP(CustomerCombinedCleaned[[#This Row],[ID]], Table2[ID],Table2[Pilot], "Not Found", 0 )</f>
        <v>0</v>
      </c>
      <c r="Y1385" s="16">
        <f>_xlfn.XLOOKUP(CustomerCombinedCleaned[[#This Row],[ID]], Table2[ID],Table2[MC1], "Not Found", 0 )</f>
        <v>0</v>
      </c>
      <c r="Z1385" s="16">
        <f>_xlfn.XLOOKUP(CustomerCombinedCleaned[[#This Row],[ID]], Table2[ID],Table2[MC2], "Not Found", 0 )</f>
        <v>0</v>
      </c>
      <c r="AA1385" s="16">
        <f>_xlfn.XLOOKUP(CustomerCombinedCleaned[[#This Row],[ID]], Table2[ID],Table2[MC3], "Not Found", 0 )</f>
        <v>0</v>
      </c>
      <c r="AB1385" s="16">
        <f>_xlfn.XLOOKUP(CustomerCombinedCleaned[[#This Row],[ID]], Table2[ID],Table2[MC4], "Not Found", 0 )</f>
        <v>0</v>
      </c>
      <c r="AC1385" s="16">
        <f>_xlfn.XLOOKUP(CustomerCombinedCleaned[[#This Row],[ID]], Table2[ID],Table2[MC5], "Not Found", 0 )</f>
        <v>0</v>
      </c>
    </row>
    <row r="1386" spans="1:29" x14ac:dyDescent="0.3">
      <c r="A1386" s="18">
        <v>1003</v>
      </c>
      <c r="B1386" s="16">
        <v>171613</v>
      </c>
      <c r="C1386" s="16">
        <v>0</v>
      </c>
      <c r="D1386" s="16">
        <v>0</v>
      </c>
      <c r="E1386" s="16">
        <v>55</v>
      </c>
      <c r="F1386" s="17" t="s">
        <v>8</v>
      </c>
      <c r="G1386" s="17" t="s">
        <v>11</v>
      </c>
      <c r="H1386" s="3" t="s">
        <v>196</v>
      </c>
      <c r="I1386" s="5" t="s">
        <v>437</v>
      </c>
      <c r="J1386" s="16">
        <f>_xlfn.XLOOKUP(CustomerCombinedCleaned[[#This Row],[ID]], Table4[ID], Table4[Recency], "Not Found", 0)</f>
        <v>26</v>
      </c>
      <c r="K1386" s="16">
        <f>_xlfn.XLOOKUP(CustomerCombinedCleaned[[#This Row],[ID]], Table4[ID], Table4[Teas], "Not Found", 0)</f>
        <v>1021</v>
      </c>
      <c r="L1386" s="16">
        <f>_xlfn.XLOOKUP(CustomerCombinedCleaned[[#This Row],[ID]], Table4[ID], Table4[Fruits], "Not Found", 0)</f>
        <v>117</v>
      </c>
      <c r="M1386" s="16">
        <f>_xlfn.XLOOKUP(CustomerCombinedCleaned[[#This Row],[ID]], Table4[ID], Table4[Meats], "Not Found", 0)</f>
        <v>304</v>
      </c>
      <c r="N1386" s="16">
        <f>_xlfn.XLOOKUP(CustomerCombinedCleaned[[#This Row],[ID]], Table4[ID], Table4[Seafood], "Not Found", 0)</f>
        <v>266</v>
      </c>
      <c r="O1386" s="16">
        <f>_xlfn.XLOOKUP(CustomerCombinedCleaned[[#This Row],[ID]], Table4[ID], Table4[Sweets], "Not Found", 0)</f>
        <v>50</v>
      </c>
      <c r="P1386" s="16">
        <f>_xlfn.XLOOKUP(CustomerCombinedCleaned[[#This Row],[ID]], Table4[ID], Table4[Premium], "Not Found", 0)</f>
        <v>101</v>
      </c>
      <c r="Q1386" s="16">
        <f>_xlfn.XLOOKUP(CustomerCombinedCleaned[[#This Row],[ID]], Table4[ID], Table4[Regular], "Not Found", 0)</f>
        <v>1658</v>
      </c>
      <c r="R1386" s="16">
        <f>_xlfn.XLOOKUP(CustomerCombinedCleaned[[#This Row],[ID]], Table4[ID], Table4[Deals], "Not Found", 0)</f>
        <v>1</v>
      </c>
      <c r="S1386" s="16">
        <f>_xlfn.XLOOKUP(CustomerCombinedCleaned[[#This Row],[ID]], Table4[ID], Table4[Website], "Not Found", 0)</f>
        <v>8</v>
      </c>
      <c r="T1386" s="16">
        <f>_xlfn.XLOOKUP(CustomerCombinedCleaned[[#This Row],[ID]], Table4[ID], Table4[Catalog], "Not Found", 0)</f>
        <v>2</v>
      </c>
      <c r="U1386" s="16">
        <f>_xlfn.XLOOKUP(CustomerCombinedCleaned[[#This Row],[ID]], Table4[ID], Table4[Store], "Not Found", 0)</f>
        <v>10</v>
      </c>
      <c r="V1386" s="16">
        <f>_xlfn.XLOOKUP(CustomerCombinedCleaned[[#This Row],[ID]], Table4[ID], Table4[Visits], "Not Found", 0)</f>
        <v>4</v>
      </c>
      <c r="W1386" s="16">
        <f>_xlfn.XLOOKUP(CustomerCombinedCleaned[[#This Row],[ID]], Table2[ID],Table2[Complaint], "Not Found", 0 )</f>
        <v>0</v>
      </c>
      <c r="X1386" s="16">
        <f>_xlfn.XLOOKUP(CustomerCombinedCleaned[[#This Row],[ID]], Table2[ID],Table2[Pilot], "Not Found", 0 )</f>
        <v>0</v>
      </c>
      <c r="Y1386" s="16">
        <f>_xlfn.XLOOKUP(CustomerCombinedCleaned[[#This Row],[ID]], Table2[ID],Table2[MC1], "Not Found", 0 )</f>
        <v>0</v>
      </c>
      <c r="Z1386" s="16">
        <f>_xlfn.XLOOKUP(CustomerCombinedCleaned[[#This Row],[ID]], Table2[ID],Table2[MC2], "Not Found", 0 )</f>
        <v>0</v>
      </c>
      <c r="AA1386" s="16">
        <f>_xlfn.XLOOKUP(CustomerCombinedCleaned[[#This Row],[ID]], Table2[ID],Table2[MC3], "Not Found", 0 )</f>
        <v>0</v>
      </c>
      <c r="AB1386" s="16">
        <f>_xlfn.XLOOKUP(CustomerCombinedCleaned[[#This Row],[ID]], Table2[ID],Table2[MC4], "Not Found", 0 )</f>
        <v>0</v>
      </c>
      <c r="AC1386" s="16">
        <f>_xlfn.XLOOKUP(CustomerCombinedCleaned[[#This Row],[ID]], Table2[ID],Table2[MC5], "Not Found", 0 )</f>
        <v>0</v>
      </c>
    </row>
    <row r="1387" spans="1:29" x14ac:dyDescent="0.3">
      <c r="A1387" s="18">
        <v>1117</v>
      </c>
      <c r="B1387" s="16">
        <v>171488</v>
      </c>
      <c r="C1387" s="16">
        <v>0</v>
      </c>
      <c r="D1387" s="16">
        <v>0</v>
      </c>
      <c r="E1387" s="16">
        <v>55</v>
      </c>
      <c r="F1387" s="17" t="s">
        <v>8</v>
      </c>
      <c r="G1387" s="17" t="s">
        <v>11</v>
      </c>
      <c r="H1387" s="3" t="s">
        <v>305</v>
      </c>
      <c r="I1387" s="5" t="s">
        <v>437</v>
      </c>
      <c r="J1387" s="16">
        <f>_xlfn.XLOOKUP(CustomerCombinedCleaned[[#This Row],[ID]], Table4[ID], Table4[Recency], "Not Found", 0)</f>
        <v>87</v>
      </c>
      <c r="K1387" s="16">
        <f>_xlfn.XLOOKUP(CustomerCombinedCleaned[[#This Row],[ID]], Table4[ID], Table4[Teas], "Not Found", 0)</f>
        <v>389</v>
      </c>
      <c r="L1387" s="16">
        <f>_xlfn.XLOOKUP(CustomerCombinedCleaned[[#This Row],[ID]], Table4[ID], Table4[Fruits], "Not Found", 0)</f>
        <v>79</v>
      </c>
      <c r="M1387" s="16">
        <f>_xlfn.XLOOKUP(CustomerCombinedCleaned[[#This Row],[ID]], Table4[ID], Table4[Meats], "Not Found", 0)</f>
        <v>297</v>
      </c>
      <c r="N1387" s="16">
        <f>_xlfn.XLOOKUP(CustomerCombinedCleaned[[#This Row],[ID]], Table4[ID], Table4[Seafood], "Not Found", 0)</f>
        <v>96</v>
      </c>
      <c r="O1387" s="16">
        <f>_xlfn.XLOOKUP(CustomerCombinedCleaned[[#This Row],[ID]], Table4[ID], Table4[Sweets], "Not Found", 0)</f>
        <v>67</v>
      </c>
      <c r="P1387" s="16">
        <f>_xlfn.XLOOKUP(CustomerCombinedCleaned[[#This Row],[ID]], Table4[ID], Table4[Premium], "Not Found", 0)</f>
        <v>413</v>
      </c>
      <c r="Q1387" s="16">
        <f>_xlfn.XLOOKUP(CustomerCombinedCleaned[[#This Row],[ID]], Table4[ID], Table4[Regular], "Not Found", 0)</f>
        <v>516</v>
      </c>
      <c r="R1387" s="16">
        <f>_xlfn.XLOOKUP(CustomerCombinedCleaned[[#This Row],[ID]], Table4[ID], Table4[Deals], "Not Found", 0)</f>
        <v>2</v>
      </c>
      <c r="S1387" s="16">
        <f>_xlfn.XLOOKUP(CustomerCombinedCleaned[[#This Row],[ID]], Table4[ID], Table4[Website], "Not Found", 0)</f>
        <v>3</v>
      </c>
      <c r="T1387" s="16">
        <f>_xlfn.XLOOKUP(CustomerCombinedCleaned[[#This Row],[ID]], Table4[ID], Table4[Catalog], "Not Found", 0)</f>
        <v>4</v>
      </c>
      <c r="U1387" s="16">
        <f>_xlfn.XLOOKUP(CustomerCombinedCleaned[[#This Row],[ID]], Table4[ID], Table4[Store], "Not Found", 0)</f>
        <v>7</v>
      </c>
      <c r="V1387" s="16">
        <f>_xlfn.XLOOKUP(CustomerCombinedCleaned[[#This Row],[ID]], Table4[ID], Table4[Visits], "Not Found", 0)</f>
        <v>1</v>
      </c>
      <c r="W1387" s="16">
        <f>_xlfn.XLOOKUP(CustomerCombinedCleaned[[#This Row],[ID]], Table2[ID],Table2[Complaint], "Not Found", 0 )</f>
        <v>0</v>
      </c>
      <c r="X1387" s="16">
        <f>_xlfn.XLOOKUP(CustomerCombinedCleaned[[#This Row],[ID]], Table2[ID],Table2[Pilot], "Not Found", 0 )</f>
        <v>0</v>
      </c>
      <c r="Y1387" s="16">
        <f>_xlfn.XLOOKUP(CustomerCombinedCleaned[[#This Row],[ID]], Table2[ID],Table2[MC1], "Not Found", 0 )</f>
        <v>0</v>
      </c>
      <c r="Z1387" s="16">
        <f>_xlfn.XLOOKUP(CustomerCombinedCleaned[[#This Row],[ID]], Table2[ID],Table2[MC2], "Not Found", 0 )</f>
        <v>0</v>
      </c>
      <c r="AA1387" s="16">
        <f>_xlfn.XLOOKUP(CustomerCombinedCleaned[[#This Row],[ID]], Table2[ID],Table2[MC3], "Not Found", 0 )</f>
        <v>0</v>
      </c>
      <c r="AB1387" s="16">
        <f>_xlfn.XLOOKUP(CustomerCombinedCleaned[[#This Row],[ID]], Table2[ID],Table2[MC4], "Not Found", 0 )</f>
        <v>0</v>
      </c>
      <c r="AC1387" s="16">
        <f>_xlfn.XLOOKUP(CustomerCombinedCleaned[[#This Row],[ID]], Table2[ID],Table2[MC5], "Not Found", 0 )</f>
        <v>0</v>
      </c>
    </row>
    <row r="1388" spans="1:29" x14ac:dyDescent="0.3">
      <c r="A1388" s="18">
        <v>2999</v>
      </c>
      <c r="B1388" s="16">
        <v>171322</v>
      </c>
      <c r="C1388" s="16">
        <v>0</v>
      </c>
      <c r="D1388" s="16">
        <v>1</v>
      </c>
      <c r="E1388" s="16">
        <v>55</v>
      </c>
      <c r="F1388" s="17" t="s">
        <v>6</v>
      </c>
      <c r="G1388" s="17" t="s">
        <v>13</v>
      </c>
      <c r="H1388" s="3" t="s">
        <v>307</v>
      </c>
      <c r="I1388" s="5" t="s">
        <v>434</v>
      </c>
      <c r="J1388" s="16">
        <f>_xlfn.XLOOKUP(CustomerCombinedCleaned[[#This Row],[ID]], Table4[ID], Table4[Recency], "Not Found", 0)</f>
        <v>57</v>
      </c>
      <c r="K1388" s="16">
        <f>_xlfn.XLOOKUP(CustomerCombinedCleaned[[#This Row],[ID]], Table4[ID], Table4[Teas], "Not Found", 0)</f>
        <v>1809</v>
      </c>
      <c r="L1388" s="16">
        <f>_xlfn.XLOOKUP(CustomerCombinedCleaned[[#This Row],[ID]], Table4[ID], Table4[Fruits], "Not Found", 0)</f>
        <v>103</v>
      </c>
      <c r="M1388" s="16">
        <f>_xlfn.XLOOKUP(CustomerCombinedCleaned[[#This Row],[ID]], Table4[ID], Table4[Meats], "Not Found", 0)</f>
        <v>543</v>
      </c>
      <c r="N1388" s="16">
        <f>_xlfn.XLOOKUP(CustomerCombinedCleaned[[#This Row],[ID]], Table4[ID], Table4[Seafood], "Not Found", 0)</f>
        <v>166</v>
      </c>
      <c r="O1388" s="16">
        <f>_xlfn.XLOOKUP(CustomerCombinedCleaned[[#This Row],[ID]], Table4[ID], Table4[Sweets], "Not Found", 0)</f>
        <v>24</v>
      </c>
      <c r="P1388" s="16">
        <f>_xlfn.XLOOKUP(CustomerCombinedCleaned[[#This Row],[ID]], Table4[ID], Table4[Premium], "Not Found", 0)</f>
        <v>490</v>
      </c>
      <c r="Q1388" s="16">
        <f>_xlfn.XLOOKUP(CustomerCombinedCleaned[[#This Row],[ID]], Table4[ID], Table4[Regular], "Not Found", 0)</f>
        <v>2155</v>
      </c>
      <c r="R1388" s="16">
        <f>_xlfn.XLOOKUP(CustomerCombinedCleaned[[#This Row],[ID]], Table4[ID], Table4[Deals], "Not Found", 0)</f>
        <v>2</v>
      </c>
      <c r="S1388" s="16">
        <f>_xlfn.XLOOKUP(CustomerCombinedCleaned[[#This Row],[ID]], Table4[ID], Table4[Website], "Not Found", 0)</f>
        <v>8</v>
      </c>
      <c r="T1388" s="16">
        <f>_xlfn.XLOOKUP(CustomerCombinedCleaned[[#This Row],[ID]], Table4[ID], Table4[Catalog], "Not Found", 0)</f>
        <v>5</v>
      </c>
      <c r="U1388" s="16">
        <f>_xlfn.XLOOKUP(CustomerCombinedCleaned[[#This Row],[ID]], Table4[ID], Table4[Store], "Not Found", 0)</f>
        <v>13</v>
      </c>
      <c r="V1388" s="16">
        <f>_xlfn.XLOOKUP(CustomerCombinedCleaned[[#This Row],[ID]], Table4[ID], Table4[Visits], "Not Found", 0)</f>
        <v>4</v>
      </c>
      <c r="W1388" s="16">
        <f>_xlfn.XLOOKUP(CustomerCombinedCleaned[[#This Row],[ID]], Table2[ID],Table2[Complaint], "Not Found", 0 )</f>
        <v>0</v>
      </c>
      <c r="X1388" s="16">
        <f>_xlfn.XLOOKUP(CustomerCombinedCleaned[[#This Row],[ID]], Table2[ID],Table2[Pilot], "Not Found", 0 )</f>
        <v>0</v>
      </c>
      <c r="Y1388" s="16">
        <f>_xlfn.XLOOKUP(CustomerCombinedCleaned[[#This Row],[ID]], Table2[ID],Table2[MC1], "Not Found", 0 )</f>
        <v>0</v>
      </c>
      <c r="Z1388" s="16">
        <f>_xlfn.XLOOKUP(CustomerCombinedCleaned[[#This Row],[ID]], Table2[ID],Table2[MC2], "Not Found", 0 )</f>
        <v>0</v>
      </c>
      <c r="AA1388" s="16">
        <f>_xlfn.XLOOKUP(CustomerCombinedCleaned[[#This Row],[ID]], Table2[ID],Table2[MC3], "Not Found", 0 )</f>
        <v>0</v>
      </c>
      <c r="AB1388" s="16">
        <f>_xlfn.XLOOKUP(CustomerCombinedCleaned[[#This Row],[ID]], Table2[ID],Table2[MC4], "Not Found", 0 )</f>
        <v>0</v>
      </c>
      <c r="AC1388" s="16">
        <f>_xlfn.XLOOKUP(CustomerCombinedCleaned[[#This Row],[ID]], Table2[ID],Table2[MC5], "Not Found", 0 )</f>
        <v>0</v>
      </c>
    </row>
    <row r="1389" spans="1:29" x14ac:dyDescent="0.3">
      <c r="A1389" s="18">
        <v>1997</v>
      </c>
      <c r="B1389" s="16">
        <v>170924</v>
      </c>
      <c r="C1389" s="16">
        <v>0</v>
      </c>
      <c r="D1389" s="16">
        <v>0</v>
      </c>
      <c r="E1389" s="16">
        <v>55</v>
      </c>
      <c r="F1389" s="17" t="s">
        <v>6</v>
      </c>
      <c r="G1389" s="17" t="s">
        <v>11</v>
      </c>
      <c r="H1389" s="3" t="s">
        <v>659</v>
      </c>
      <c r="I1389" s="5" t="s">
        <v>434</v>
      </c>
      <c r="J1389" s="16">
        <f>_xlfn.XLOOKUP(CustomerCombinedCleaned[[#This Row],[ID]], Table4[ID], Table4[Recency], "Not Found", 0)</f>
        <v>41</v>
      </c>
      <c r="K1389" s="16">
        <f>_xlfn.XLOOKUP(CustomerCombinedCleaned[[#This Row],[ID]], Table4[ID], Table4[Teas], "Not Found", 0)</f>
        <v>1530</v>
      </c>
      <c r="L1389" s="16">
        <f>_xlfn.XLOOKUP(CustomerCombinedCleaned[[#This Row],[ID]], Table4[ID], Table4[Fruits], "Not Found", 0)</f>
        <v>275</v>
      </c>
      <c r="M1389" s="16">
        <f>_xlfn.XLOOKUP(CustomerCombinedCleaned[[#This Row],[ID]], Table4[ID], Table4[Meats], "Not Found", 0)</f>
        <v>612</v>
      </c>
      <c r="N1389" s="16">
        <f>_xlfn.XLOOKUP(CustomerCombinedCleaned[[#This Row],[ID]], Table4[ID], Table4[Seafood], "Not Found", 0)</f>
        <v>318</v>
      </c>
      <c r="O1389" s="16">
        <f>_xlfn.XLOOKUP(CustomerCombinedCleaned[[#This Row],[ID]], Table4[ID], Table4[Sweets], "Not Found", 0)</f>
        <v>366</v>
      </c>
      <c r="P1389" s="16">
        <f>_xlfn.XLOOKUP(CustomerCombinedCleaned[[#This Row],[ID]], Table4[ID], Table4[Premium], "Not Found", 0)</f>
        <v>183</v>
      </c>
      <c r="Q1389" s="16">
        <f>_xlfn.XLOOKUP(CustomerCombinedCleaned[[#This Row],[ID]], Table4[ID], Table4[Regular], "Not Found", 0)</f>
        <v>2918</v>
      </c>
      <c r="R1389" s="16">
        <f>_xlfn.XLOOKUP(CustomerCombinedCleaned[[#This Row],[ID]], Table4[ID], Table4[Deals], "Not Found", 0)</f>
        <v>1</v>
      </c>
      <c r="S1389" s="16">
        <f>_xlfn.XLOOKUP(CustomerCombinedCleaned[[#This Row],[ID]], Table4[ID], Table4[Website], "Not Found", 0)</f>
        <v>6</v>
      </c>
      <c r="T1389" s="16">
        <f>_xlfn.XLOOKUP(CustomerCombinedCleaned[[#This Row],[ID]], Table4[ID], Table4[Catalog], "Not Found", 0)</f>
        <v>6</v>
      </c>
      <c r="U1389" s="16">
        <f>_xlfn.XLOOKUP(CustomerCombinedCleaned[[#This Row],[ID]], Table4[ID], Table4[Store], "Not Found", 0)</f>
        <v>7</v>
      </c>
      <c r="V1389" s="16">
        <f>_xlfn.XLOOKUP(CustomerCombinedCleaned[[#This Row],[ID]], Table4[ID], Table4[Visits], "Not Found", 0)</f>
        <v>3</v>
      </c>
      <c r="W1389" s="16">
        <f>_xlfn.XLOOKUP(CustomerCombinedCleaned[[#This Row],[ID]], Table2[ID],Table2[Complaint], "Not Found", 0 )</f>
        <v>0</v>
      </c>
      <c r="X1389" s="16">
        <f>_xlfn.XLOOKUP(CustomerCombinedCleaned[[#This Row],[ID]], Table2[ID],Table2[Pilot], "Not Found", 0 )</f>
        <v>0</v>
      </c>
      <c r="Y1389" s="16">
        <f>_xlfn.XLOOKUP(CustomerCombinedCleaned[[#This Row],[ID]], Table2[ID],Table2[MC1], "Not Found", 0 )</f>
        <v>0</v>
      </c>
      <c r="Z1389" s="16">
        <f>_xlfn.XLOOKUP(CustomerCombinedCleaned[[#This Row],[ID]], Table2[ID],Table2[MC2], "Not Found", 0 )</f>
        <v>0</v>
      </c>
      <c r="AA1389" s="16">
        <f>_xlfn.XLOOKUP(CustomerCombinedCleaned[[#This Row],[ID]], Table2[ID],Table2[MC3], "Not Found", 0 )</f>
        <v>0</v>
      </c>
      <c r="AB1389" s="16">
        <f>_xlfn.XLOOKUP(CustomerCombinedCleaned[[#This Row],[ID]], Table2[ID],Table2[MC4], "Not Found", 0 )</f>
        <v>0</v>
      </c>
      <c r="AC1389" s="16">
        <f>_xlfn.XLOOKUP(CustomerCombinedCleaned[[#This Row],[ID]], Table2[ID],Table2[MC5], "Not Found", 0 )</f>
        <v>1</v>
      </c>
    </row>
    <row r="1390" spans="1:29" x14ac:dyDescent="0.3">
      <c r="A1390" s="18">
        <v>2031</v>
      </c>
      <c r="B1390" s="16">
        <v>170924</v>
      </c>
      <c r="C1390" s="16">
        <v>0</v>
      </c>
      <c r="D1390" s="16">
        <v>0</v>
      </c>
      <c r="E1390" s="16">
        <v>55</v>
      </c>
      <c r="F1390" s="17" t="s">
        <v>6</v>
      </c>
      <c r="G1390" s="17" t="s">
        <v>11</v>
      </c>
      <c r="H1390" s="3" t="s">
        <v>659</v>
      </c>
      <c r="I1390" s="5" t="s">
        <v>435</v>
      </c>
      <c r="J1390" s="16">
        <f>_xlfn.XLOOKUP(CustomerCombinedCleaned[[#This Row],[ID]], Table4[ID], Table4[Recency], "Not Found", 0)</f>
        <v>41</v>
      </c>
      <c r="K1390" s="16">
        <f>_xlfn.XLOOKUP(CustomerCombinedCleaned[[#This Row],[ID]], Table4[ID], Table4[Teas], "Not Found", 0)</f>
        <v>1530</v>
      </c>
      <c r="L1390" s="16">
        <f>_xlfn.XLOOKUP(CustomerCombinedCleaned[[#This Row],[ID]], Table4[ID], Table4[Fruits], "Not Found", 0)</f>
        <v>275</v>
      </c>
      <c r="M1390" s="16">
        <f>_xlfn.XLOOKUP(CustomerCombinedCleaned[[#This Row],[ID]], Table4[ID], Table4[Meats], "Not Found", 0)</f>
        <v>612</v>
      </c>
      <c r="N1390" s="16">
        <f>_xlfn.XLOOKUP(CustomerCombinedCleaned[[#This Row],[ID]], Table4[ID], Table4[Seafood], "Not Found", 0)</f>
        <v>318</v>
      </c>
      <c r="O1390" s="16">
        <f>_xlfn.XLOOKUP(CustomerCombinedCleaned[[#This Row],[ID]], Table4[ID], Table4[Sweets], "Not Found", 0)</f>
        <v>366</v>
      </c>
      <c r="P1390" s="16">
        <f>_xlfn.XLOOKUP(CustomerCombinedCleaned[[#This Row],[ID]], Table4[ID], Table4[Premium], "Not Found", 0)</f>
        <v>183</v>
      </c>
      <c r="Q1390" s="16">
        <f>_xlfn.XLOOKUP(CustomerCombinedCleaned[[#This Row],[ID]], Table4[ID], Table4[Regular], "Not Found", 0)</f>
        <v>2918</v>
      </c>
      <c r="R1390" s="16">
        <f>_xlfn.XLOOKUP(CustomerCombinedCleaned[[#This Row],[ID]], Table4[ID], Table4[Deals], "Not Found", 0)</f>
        <v>1</v>
      </c>
      <c r="S1390" s="16">
        <f>_xlfn.XLOOKUP(CustomerCombinedCleaned[[#This Row],[ID]], Table4[ID], Table4[Website], "Not Found", 0)</f>
        <v>6</v>
      </c>
      <c r="T1390" s="16">
        <f>_xlfn.XLOOKUP(CustomerCombinedCleaned[[#This Row],[ID]], Table4[ID], Table4[Catalog], "Not Found", 0)</f>
        <v>6</v>
      </c>
      <c r="U1390" s="16">
        <f>_xlfn.XLOOKUP(CustomerCombinedCleaned[[#This Row],[ID]], Table4[ID], Table4[Store], "Not Found", 0)</f>
        <v>7</v>
      </c>
      <c r="V1390" s="16">
        <f>_xlfn.XLOOKUP(CustomerCombinedCleaned[[#This Row],[ID]], Table4[ID], Table4[Visits], "Not Found", 0)</f>
        <v>3</v>
      </c>
      <c r="W1390" s="16">
        <f>_xlfn.XLOOKUP(CustomerCombinedCleaned[[#This Row],[ID]], Table2[ID],Table2[Complaint], "Not Found", 0 )</f>
        <v>0</v>
      </c>
      <c r="X1390" s="16">
        <f>_xlfn.XLOOKUP(CustomerCombinedCleaned[[#This Row],[ID]], Table2[ID],Table2[Pilot], "Not Found", 0 )</f>
        <v>0</v>
      </c>
      <c r="Y1390" s="16">
        <f>_xlfn.XLOOKUP(CustomerCombinedCleaned[[#This Row],[ID]], Table2[ID],Table2[MC1], "Not Found", 0 )</f>
        <v>0</v>
      </c>
      <c r="Z1390" s="16">
        <f>_xlfn.XLOOKUP(CustomerCombinedCleaned[[#This Row],[ID]], Table2[ID],Table2[MC2], "Not Found", 0 )</f>
        <v>0</v>
      </c>
      <c r="AA1390" s="16">
        <f>_xlfn.XLOOKUP(CustomerCombinedCleaned[[#This Row],[ID]], Table2[ID],Table2[MC3], "Not Found", 0 )</f>
        <v>0</v>
      </c>
      <c r="AB1390" s="16">
        <f>_xlfn.XLOOKUP(CustomerCombinedCleaned[[#This Row],[ID]], Table2[ID],Table2[MC4], "Not Found", 0 )</f>
        <v>0</v>
      </c>
      <c r="AC1390" s="16">
        <f>_xlfn.XLOOKUP(CustomerCombinedCleaned[[#This Row],[ID]], Table2[ID],Table2[MC5], "Not Found", 0 )</f>
        <v>1</v>
      </c>
    </row>
    <row r="1391" spans="1:29" x14ac:dyDescent="0.3">
      <c r="A1391" s="18">
        <v>2935</v>
      </c>
      <c r="B1391" s="16">
        <v>170053</v>
      </c>
      <c r="C1391" s="16">
        <v>0</v>
      </c>
      <c r="D1391" s="16">
        <v>1</v>
      </c>
      <c r="E1391" s="16">
        <v>55</v>
      </c>
      <c r="F1391" s="17" t="s">
        <v>6</v>
      </c>
      <c r="G1391" s="17" t="s">
        <v>12</v>
      </c>
      <c r="H1391" s="3" t="s">
        <v>556</v>
      </c>
      <c r="I1391" s="5" t="s">
        <v>437</v>
      </c>
      <c r="J1391" s="16">
        <f>_xlfn.XLOOKUP(CustomerCombinedCleaned[[#This Row],[ID]], Table4[ID], Table4[Recency], "Not Found", 0)</f>
        <v>38</v>
      </c>
      <c r="K1391" s="16">
        <f>_xlfn.XLOOKUP(CustomerCombinedCleaned[[#This Row],[ID]], Table4[ID], Table4[Teas], "Not Found", 0)</f>
        <v>1243</v>
      </c>
      <c r="L1391" s="16">
        <f>_xlfn.XLOOKUP(CustomerCombinedCleaned[[#This Row],[ID]], Table4[ID], Table4[Fruits], "Not Found", 0)</f>
        <v>129</v>
      </c>
      <c r="M1391" s="16">
        <f>_xlfn.XLOOKUP(CustomerCombinedCleaned[[#This Row],[ID]], Table4[ID], Table4[Meats], "Not Found", 0)</f>
        <v>238</v>
      </c>
      <c r="N1391" s="16">
        <f>_xlfn.XLOOKUP(CustomerCombinedCleaned[[#This Row],[ID]], Table4[ID], Table4[Seafood], "Not Found", 0)</f>
        <v>197</v>
      </c>
      <c r="O1391" s="16">
        <f>_xlfn.XLOOKUP(CustomerCombinedCleaned[[#This Row],[ID]], Table4[ID], Table4[Sweets], "Not Found", 0)</f>
        <v>435</v>
      </c>
      <c r="P1391" s="16">
        <f>_xlfn.XLOOKUP(CustomerCombinedCleaned[[#This Row],[ID]], Table4[ID], Table4[Premium], "Not Found", 0)</f>
        <v>216</v>
      </c>
      <c r="Q1391" s="16">
        <f>_xlfn.XLOOKUP(CustomerCombinedCleaned[[#This Row],[ID]], Table4[ID], Table4[Regular], "Not Found", 0)</f>
        <v>2025</v>
      </c>
      <c r="R1391" s="16">
        <f>_xlfn.XLOOKUP(CustomerCombinedCleaned[[#This Row],[ID]], Table4[ID], Table4[Deals], "Not Found", 0)</f>
        <v>3</v>
      </c>
      <c r="S1391" s="16">
        <f>_xlfn.XLOOKUP(CustomerCombinedCleaned[[#This Row],[ID]], Table4[ID], Table4[Website], "Not Found", 0)</f>
        <v>8</v>
      </c>
      <c r="T1391" s="16">
        <f>_xlfn.XLOOKUP(CustomerCombinedCleaned[[#This Row],[ID]], Table4[ID], Table4[Catalog], "Not Found", 0)</f>
        <v>5</v>
      </c>
      <c r="U1391" s="16">
        <f>_xlfn.XLOOKUP(CustomerCombinedCleaned[[#This Row],[ID]], Table4[ID], Table4[Store], "Not Found", 0)</f>
        <v>10</v>
      </c>
      <c r="V1391" s="16">
        <f>_xlfn.XLOOKUP(CustomerCombinedCleaned[[#This Row],[ID]], Table4[ID], Table4[Visits], "Not Found", 0)</f>
        <v>5</v>
      </c>
      <c r="W1391" s="16">
        <f>_xlfn.XLOOKUP(CustomerCombinedCleaned[[#This Row],[ID]], Table2[ID],Table2[Complaint], "Not Found", 0 )</f>
        <v>0</v>
      </c>
      <c r="X1391" s="16">
        <f>_xlfn.XLOOKUP(CustomerCombinedCleaned[[#This Row],[ID]], Table2[ID],Table2[Pilot], "Not Found", 0 )</f>
        <v>0</v>
      </c>
      <c r="Y1391" s="16">
        <f>_xlfn.XLOOKUP(CustomerCombinedCleaned[[#This Row],[ID]], Table2[ID],Table2[MC1], "Not Found", 0 )</f>
        <v>0</v>
      </c>
      <c r="Z1391" s="16">
        <f>_xlfn.XLOOKUP(CustomerCombinedCleaned[[#This Row],[ID]], Table2[ID],Table2[MC2], "Not Found", 0 )</f>
        <v>0</v>
      </c>
      <c r="AA1391" s="16">
        <f>_xlfn.XLOOKUP(CustomerCombinedCleaned[[#This Row],[ID]], Table2[ID],Table2[MC3], "Not Found", 0 )</f>
        <v>0</v>
      </c>
      <c r="AB1391" s="16">
        <f>_xlfn.XLOOKUP(CustomerCombinedCleaned[[#This Row],[ID]], Table2[ID],Table2[MC4], "Not Found", 0 )</f>
        <v>0</v>
      </c>
      <c r="AC1391" s="16">
        <f>_xlfn.XLOOKUP(CustomerCombinedCleaned[[#This Row],[ID]], Table2[ID],Table2[MC5], "Not Found", 0 )</f>
        <v>0</v>
      </c>
    </row>
    <row r="1392" spans="1:29" x14ac:dyDescent="0.3">
      <c r="A1392" s="18">
        <v>2231</v>
      </c>
      <c r="B1392" s="16">
        <v>169969</v>
      </c>
      <c r="C1392" s="16">
        <v>0</v>
      </c>
      <c r="D1392" s="16">
        <v>0</v>
      </c>
      <c r="E1392" s="16">
        <v>55</v>
      </c>
      <c r="F1392" s="17" t="s">
        <v>6</v>
      </c>
      <c r="G1392" s="17" t="s">
        <v>13</v>
      </c>
      <c r="H1392" s="3" t="s">
        <v>672</v>
      </c>
      <c r="I1392" s="5" t="s">
        <v>434</v>
      </c>
      <c r="J1392" s="16">
        <f>_xlfn.XLOOKUP(CustomerCombinedCleaned[[#This Row],[ID]], Table4[ID], Table4[Recency], "Not Found", 0)</f>
        <v>64</v>
      </c>
      <c r="K1392" s="16">
        <f>_xlfn.XLOOKUP(CustomerCombinedCleaned[[#This Row],[ID]], Table4[ID], Table4[Teas], "Not Found", 0)</f>
        <v>2143</v>
      </c>
      <c r="L1392" s="16">
        <f>_xlfn.XLOOKUP(CustomerCombinedCleaned[[#This Row],[ID]], Table4[ID], Table4[Fruits], "Not Found", 0)</f>
        <v>70</v>
      </c>
      <c r="M1392" s="16">
        <f>_xlfn.XLOOKUP(CustomerCombinedCleaned[[#This Row],[ID]], Table4[ID], Table4[Meats], "Not Found", 0)</f>
        <v>1249</v>
      </c>
      <c r="N1392" s="16">
        <f>_xlfn.XLOOKUP(CustomerCombinedCleaned[[#This Row],[ID]], Table4[ID], Table4[Seafood], "Not Found", 0)</f>
        <v>92</v>
      </c>
      <c r="O1392" s="16">
        <f>_xlfn.XLOOKUP(CustomerCombinedCleaned[[#This Row],[ID]], Table4[ID], Table4[Sweets], "Not Found", 0)</f>
        <v>70</v>
      </c>
      <c r="P1392" s="16">
        <f>_xlfn.XLOOKUP(CustomerCombinedCleaned[[#This Row],[ID]], Table4[ID], Table4[Premium], "Not Found", 0)</f>
        <v>107</v>
      </c>
      <c r="Q1392" s="16">
        <f>_xlfn.XLOOKUP(CustomerCombinedCleaned[[#This Row],[ID]], Table4[ID], Table4[Regular], "Not Found", 0)</f>
        <v>3517</v>
      </c>
      <c r="R1392" s="16">
        <f>_xlfn.XLOOKUP(CustomerCombinedCleaned[[#This Row],[ID]], Table4[ID], Table4[Deals], "Not Found", 0)</f>
        <v>1</v>
      </c>
      <c r="S1392" s="16">
        <f>_xlfn.XLOOKUP(CustomerCombinedCleaned[[#This Row],[ID]], Table4[ID], Table4[Website], "Not Found", 0)</f>
        <v>4</v>
      </c>
      <c r="T1392" s="16">
        <f>_xlfn.XLOOKUP(CustomerCombinedCleaned[[#This Row],[ID]], Table4[ID], Table4[Catalog], "Not Found", 0)</f>
        <v>2</v>
      </c>
      <c r="U1392" s="16">
        <f>_xlfn.XLOOKUP(CustomerCombinedCleaned[[#This Row],[ID]], Table4[ID], Table4[Store], "Not Found", 0)</f>
        <v>6</v>
      </c>
      <c r="V1392" s="16">
        <f>_xlfn.XLOOKUP(CustomerCombinedCleaned[[#This Row],[ID]], Table4[ID], Table4[Visits], "Not Found", 0)</f>
        <v>3</v>
      </c>
      <c r="W1392" s="16">
        <f>_xlfn.XLOOKUP(CustomerCombinedCleaned[[#This Row],[ID]], Table2[ID],Table2[Complaint], "Not Found", 0 )</f>
        <v>0</v>
      </c>
      <c r="X1392" s="16">
        <f>_xlfn.XLOOKUP(CustomerCombinedCleaned[[#This Row],[ID]], Table2[ID],Table2[Pilot], "Not Found", 0 )</f>
        <v>1</v>
      </c>
      <c r="Y1392" s="16">
        <f>_xlfn.XLOOKUP(CustomerCombinedCleaned[[#This Row],[ID]], Table2[ID],Table2[MC1], "Not Found", 0 )</f>
        <v>1</v>
      </c>
      <c r="Z1392" s="16">
        <f>_xlfn.XLOOKUP(CustomerCombinedCleaned[[#This Row],[ID]], Table2[ID],Table2[MC2], "Not Found", 0 )</f>
        <v>0</v>
      </c>
      <c r="AA1392" s="16">
        <f>_xlfn.XLOOKUP(CustomerCombinedCleaned[[#This Row],[ID]], Table2[ID],Table2[MC3], "Not Found", 0 )</f>
        <v>0</v>
      </c>
      <c r="AB1392" s="16">
        <f>_xlfn.XLOOKUP(CustomerCombinedCleaned[[#This Row],[ID]], Table2[ID],Table2[MC4], "Not Found", 0 )</f>
        <v>0</v>
      </c>
      <c r="AC1392" s="16">
        <f>_xlfn.XLOOKUP(CustomerCombinedCleaned[[#This Row],[ID]], Table2[ID],Table2[MC5], "Not Found", 0 )</f>
        <v>1</v>
      </c>
    </row>
    <row r="1393" spans="1:29" x14ac:dyDescent="0.3">
      <c r="A1393" s="18">
        <v>1576</v>
      </c>
      <c r="B1393" s="16">
        <v>169882</v>
      </c>
      <c r="C1393" s="16">
        <v>0</v>
      </c>
      <c r="D1393" s="16">
        <v>0</v>
      </c>
      <c r="E1393" s="16">
        <v>55</v>
      </c>
      <c r="F1393" s="17" t="s">
        <v>7</v>
      </c>
      <c r="G1393" s="17" t="s">
        <v>12</v>
      </c>
      <c r="H1393" s="3" t="s">
        <v>153</v>
      </c>
      <c r="I1393" s="5" t="s">
        <v>439</v>
      </c>
      <c r="J1393" s="16">
        <f>_xlfn.XLOOKUP(CustomerCombinedCleaned[[#This Row],[ID]], Table4[ID], Table4[Recency], "Not Found", 0)</f>
        <v>94</v>
      </c>
      <c r="K1393" s="16">
        <f>_xlfn.XLOOKUP(CustomerCombinedCleaned[[#This Row],[ID]], Table4[ID], Table4[Teas], "Not Found", 0)</f>
        <v>710</v>
      </c>
      <c r="L1393" s="16">
        <f>_xlfn.XLOOKUP(CustomerCombinedCleaned[[#This Row],[ID]], Table4[ID], Table4[Fruits], "Not Found", 0)</f>
        <v>309</v>
      </c>
      <c r="M1393" s="16">
        <f>_xlfn.XLOOKUP(CustomerCombinedCleaned[[#This Row],[ID]], Table4[ID], Table4[Meats], "Not Found", 0)</f>
        <v>1544</v>
      </c>
      <c r="N1393" s="16">
        <f>_xlfn.XLOOKUP(CustomerCombinedCleaned[[#This Row],[ID]], Table4[ID], Table4[Seafood], "Not Found", 0)</f>
        <v>321</v>
      </c>
      <c r="O1393" s="16">
        <f>_xlfn.XLOOKUP(CustomerCombinedCleaned[[#This Row],[ID]], Table4[ID], Table4[Sweets], "Not Found", 0)</f>
        <v>309</v>
      </c>
      <c r="P1393" s="16">
        <f>_xlfn.XLOOKUP(CustomerCombinedCleaned[[#This Row],[ID]], Table4[ID], Table4[Premium], "Not Found", 0)</f>
        <v>401</v>
      </c>
      <c r="Q1393" s="16">
        <f>_xlfn.XLOOKUP(CustomerCombinedCleaned[[#This Row],[ID]], Table4[ID], Table4[Regular], "Not Found", 0)</f>
        <v>2791</v>
      </c>
      <c r="R1393" s="16">
        <f>_xlfn.XLOOKUP(CustomerCombinedCleaned[[#This Row],[ID]], Table4[ID], Table4[Deals], "Not Found", 0)</f>
        <v>1</v>
      </c>
      <c r="S1393" s="16">
        <f>_xlfn.XLOOKUP(CustomerCombinedCleaned[[#This Row],[ID]], Table4[ID], Table4[Website], "Not Found", 0)</f>
        <v>3</v>
      </c>
      <c r="T1393" s="16">
        <f>_xlfn.XLOOKUP(CustomerCombinedCleaned[[#This Row],[ID]], Table4[ID], Table4[Catalog], "Not Found", 0)</f>
        <v>7</v>
      </c>
      <c r="U1393" s="16">
        <f>_xlfn.XLOOKUP(CustomerCombinedCleaned[[#This Row],[ID]], Table4[ID], Table4[Store], "Not Found", 0)</f>
        <v>9</v>
      </c>
      <c r="V1393" s="16">
        <f>_xlfn.XLOOKUP(CustomerCombinedCleaned[[#This Row],[ID]], Table4[ID], Table4[Visits], "Not Found", 0)</f>
        <v>1</v>
      </c>
      <c r="W1393" s="16">
        <f>_xlfn.XLOOKUP(CustomerCombinedCleaned[[#This Row],[ID]], Table2[ID],Table2[Complaint], "Not Found", 0 )</f>
        <v>0</v>
      </c>
      <c r="X1393" s="16">
        <f>_xlfn.XLOOKUP(CustomerCombinedCleaned[[#This Row],[ID]], Table2[ID],Table2[Pilot], "Not Found", 0 )</f>
        <v>0</v>
      </c>
      <c r="Y1393" s="16">
        <f>_xlfn.XLOOKUP(CustomerCombinedCleaned[[#This Row],[ID]], Table2[ID],Table2[MC1], "Not Found", 0 )</f>
        <v>0</v>
      </c>
      <c r="Z1393" s="16">
        <f>_xlfn.XLOOKUP(CustomerCombinedCleaned[[#This Row],[ID]], Table2[ID],Table2[MC2], "Not Found", 0 )</f>
        <v>0</v>
      </c>
      <c r="AA1393" s="16">
        <f>_xlfn.XLOOKUP(CustomerCombinedCleaned[[#This Row],[ID]], Table2[ID],Table2[MC3], "Not Found", 0 )</f>
        <v>0</v>
      </c>
      <c r="AB1393" s="16">
        <f>_xlfn.XLOOKUP(CustomerCombinedCleaned[[#This Row],[ID]], Table2[ID],Table2[MC4], "Not Found", 0 )</f>
        <v>0</v>
      </c>
      <c r="AC1393" s="16">
        <f>_xlfn.XLOOKUP(CustomerCombinedCleaned[[#This Row],[ID]], Table2[ID],Table2[MC5], "Not Found", 0 )</f>
        <v>0</v>
      </c>
    </row>
    <row r="1394" spans="1:29" x14ac:dyDescent="0.3">
      <c r="A1394" s="18">
        <v>3138</v>
      </c>
      <c r="B1394" s="16">
        <v>169263</v>
      </c>
      <c r="C1394" s="16">
        <v>0</v>
      </c>
      <c r="D1394" s="16">
        <v>1</v>
      </c>
      <c r="E1394" s="16">
        <v>55</v>
      </c>
      <c r="F1394" s="17" t="s">
        <v>7</v>
      </c>
      <c r="G1394" s="17" t="s">
        <v>11</v>
      </c>
      <c r="H1394" s="3" t="s">
        <v>622</v>
      </c>
      <c r="I1394" s="5" t="s">
        <v>436</v>
      </c>
      <c r="J1394" s="16">
        <f>_xlfn.XLOOKUP(CustomerCombinedCleaned[[#This Row],[ID]], Table4[ID], Table4[Recency], "Not Found", 0)</f>
        <v>14</v>
      </c>
      <c r="K1394" s="16">
        <f>_xlfn.XLOOKUP(CustomerCombinedCleaned[[#This Row],[ID]], Table4[ID], Table4[Teas], "Not Found", 0)</f>
        <v>1202</v>
      </c>
      <c r="L1394" s="16">
        <f>_xlfn.XLOOKUP(CustomerCombinedCleaned[[#This Row],[ID]], Table4[ID], Table4[Fruits], "Not Found", 0)</f>
        <v>12</v>
      </c>
      <c r="M1394" s="16">
        <f>_xlfn.XLOOKUP(CustomerCombinedCleaned[[#This Row],[ID]], Table4[ID], Table4[Meats], "Not Found", 0)</f>
        <v>78</v>
      </c>
      <c r="N1394" s="16">
        <f>_xlfn.XLOOKUP(CustomerCombinedCleaned[[#This Row],[ID]], Table4[ID], Table4[Seafood], "Not Found", 0)</f>
        <v>32</v>
      </c>
      <c r="O1394" s="16">
        <f>_xlfn.XLOOKUP(CustomerCombinedCleaned[[#This Row],[ID]], Table4[ID], Table4[Sweets], "Not Found", 0)</f>
        <v>12</v>
      </c>
      <c r="P1394" s="16">
        <f>_xlfn.XLOOKUP(CustomerCombinedCleaned[[#This Row],[ID]], Table4[ID], Table4[Premium], "Not Found", 0)</f>
        <v>51</v>
      </c>
      <c r="Q1394" s="16">
        <f>_xlfn.XLOOKUP(CustomerCombinedCleaned[[#This Row],[ID]], Table4[ID], Table4[Regular], "Not Found", 0)</f>
        <v>1285</v>
      </c>
      <c r="R1394" s="16">
        <f>_xlfn.XLOOKUP(CustomerCombinedCleaned[[#This Row],[ID]], Table4[ID], Table4[Deals], "Not Found", 0)</f>
        <v>1</v>
      </c>
      <c r="S1394" s="16">
        <f>_xlfn.XLOOKUP(CustomerCombinedCleaned[[#This Row],[ID]], Table4[ID], Table4[Website], "Not Found", 0)</f>
        <v>9</v>
      </c>
      <c r="T1394" s="16">
        <f>_xlfn.XLOOKUP(CustomerCombinedCleaned[[#This Row],[ID]], Table4[ID], Table4[Catalog], "Not Found", 0)</f>
        <v>1</v>
      </c>
      <c r="U1394" s="16">
        <f>_xlfn.XLOOKUP(CustomerCombinedCleaned[[#This Row],[ID]], Table4[ID], Table4[Store], "Not Found", 0)</f>
        <v>7</v>
      </c>
      <c r="V1394" s="16">
        <f>_xlfn.XLOOKUP(CustomerCombinedCleaned[[#This Row],[ID]], Table4[ID], Table4[Visits], "Not Found", 0)</f>
        <v>6</v>
      </c>
      <c r="W1394" s="16">
        <f>_xlfn.XLOOKUP(CustomerCombinedCleaned[[#This Row],[ID]], Table2[ID],Table2[Complaint], "Not Found", 0 )</f>
        <v>0</v>
      </c>
      <c r="X1394" s="16">
        <f>_xlfn.XLOOKUP(CustomerCombinedCleaned[[#This Row],[ID]], Table2[ID],Table2[Pilot], "Not Found", 0 )</f>
        <v>0</v>
      </c>
      <c r="Y1394" s="16">
        <f>_xlfn.XLOOKUP(CustomerCombinedCleaned[[#This Row],[ID]], Table2[ID],Table2[MC1], "Not Found", 0 )</f>
        <v>0</v>
      </c>
      <c r="Z1394" s="16">
        <f>_xlfn.XLOOKUP(CustomerCombinedCleaned[[#This Row],[ID]], Table2[ID],Table2[MC2], "Not Found", 0 )</f>
        <v>0</v>
      </c>
      <c r="AA1394" s="16">
        <f>_xlfn.XLOOKUP(CustomerCombinedCleaned[[#This Row],[ID]], Table2[ID],Table2[MC3], "Not Found", 0 )</f>
        <v>0</v>
      </c>
      <c r="AB1394" s="16">
        <f>_xlfn.XLOOKUP(CustomerCombinedCleaned[[#This Row],[ID]], Table2[ID],Table2[MC4], "Not Found", 0 )</f>
        <v>1</v>
      </c>
      <c r="AC1394" s="16">
        <f>_xlfn.XLOOKUP(CustomerCombinedCleaned[[#This Row],[ID]], Table2[ID],Table2[MC5], "Not Found", 0 )</f>
        <v>0</v>
      </c>
    </row>
    <row r="1395" spans="1:29" x14ac:dyDescent="0.3">
      <c r="A1395" s="18">
        <v>2333</v>
      </c>
      <c r="B1395" s="16">
        <v>169139</v>
      </c>
      <c r="C1395" s="16">
        <v>0</v>
      </c>
      <c r="D1395" s="16">
        <v>1</v>
      </c>
      <c r="E1395" s="16">
        <v>55</v>
      </c>
      <c r="F1395" s="17" t="s">
        <v>6</v>
      </c>
      <c r="G1395" s="17" t="s">
        <v>11</v>
      </c>
      <c r="H1395" s="3" t="s">
        <v>676</v>
      </c>
      <c r="I1395" s="5" t="s">
        <v>434</v>
      </c>
      <c r="J1395" s="16">
        <f>_xlfn.XLOOKUP(CustomerCombinedCleaned[[#This Row],[ID]], Table4[ID], Table4[Recency], "Not Found", 0)</f>
        <v>23</v>
      </c>
      <c r="K1395" s="16">
        <f>_xlfn.XLOOKUP(CustomerCombinedCleaned[[#This Row],[ID]], Table4[ID], Table4[Teas], "Not Found", 0)</f>
        <v>210</v>
      </c>
      <c r="L1395" s="16">
        <f>_xlfn.XLOOKUP(CustomerCombinedCleaned[[#This Row],[ID]], Table4[ID], Table4[Fruits], "Not Found", 0)</f>
        <v>29</v>
      </c>
      <c r="M1395" s="16">
        <f>_xlfn.XLOOKUP(CustomerCombinedCleaned[[#This Row],[ID]], Table4[ID], Table4[Meats], "Not Found", 0)</f>
        <v>183</v>
      </c>
      <c r="N1395" s="16">
        <f>_xlfn.XLOOKUP(CustomerCombinedCleaned[[#This Row],[ID]], Table4[ID], Table4[Seafood], "Not Found", 0)</f>
        <v>81</v>
      </c>
      <c r="O1395" s="16">
        <f>_xlfn.XLOOKUP(CustomerCombinedCleaned[[#This Row],[ID]], Table4[ID], Table4[Sweets], "Not Found", 0)</f>
        <v>37</v>
      </c>
      <c r="P1395" s="16">
        <f>_xlfn.XLOOKUP(CustomerCombinedCleaned[[#This Row],[ID]], Table4[ID], Table4[Premium], "Not Found", 0)</f>
        <v>15</v>
      </c>
      <c r="Q1395" s="16">
        <f>_xlfn.XLOOKUP(CustomerCombinedCleaned[[#This Row],[ID]], Table4[ID], Table4[Regular], "Not Found", 0)</f>
        <v>526</v>
      </c>
      <c r="R1395" s="16">
        <f>_xlfn.XLOOKUP(CustomerCombinedCleaned[[#This Row],[ID]], Table4[ID], Table4[Deals], "Not Found", 0)</f>
        <v>1</v>
      </c>
      <c r="S1395" s="16">
        <f>_xlfn.XLOOKUP(CustomerCombinedCleaned[[#This Row],[ID]], Table4[ID], Table4[Website], "Not Found", 0)</f>
        <v>4</v>
      </c>
      <c r="T1395" s="16">
        <f>_xlfn.XLOOKUP(CustomerCombinedCleaned[[#This Row],[ID]], Table4[ID], Table4[Catalog], "Not Found", 0)</f>
        <v>1</v>
      </c>
      <c r="U1395" s="16">
        <f>_xlfn.XLOOKUP(CustomerCombinedCleaned[[#This Row],[ID]], Table4[ID], Table4[Store], "Not Found", 0)</f>
        <v>5</v>
      </c>
      <c r="V1395" s="16">
        <f>_xlfn.XLOOKUP(CustomerCombinedCleaned[[#This Row],[ID]], Table4[ID], Table4[Visits], "Not Found", 0)</f>
        <v>4</v>
      </c>
      <c r="W1395" s="16">
        <f>_xlfn.XLOOKUP(CustomerCombinedCleaned[[#This Row],[ID]], Table2[ID],Table2[Complaint], "Not Found", 0 )</f>
        <v>0</v>
      </c>
      <c r="X1395" s="16">
        <f>_xlfn.XLOOKUP(CustomerCombinedCleaned[[#This Row],[ID]], Table2[ID],Table2[Pilot], "Not Found", 0 )</f>
        <v>0</v>
      </c>
      <c r="Y1395" s="16">
        <f>_xlfn.XLOOKUP(CustomerCombinedCleaned[[#This Row],[ID]], Table2[ID],Table2[MC1], "Not Found", 0 )</f>
        <v>0</v>
      </c>
      <c r="Z1395" s="16">
        <f>_xlfn.XLOOKUP(CustomerCombinedCleaned[[#This Row],[ID]], Table2[ID],Table2[MC2], "Not Found", 0 )</f>
        <v>0</v>
      </c>
      <c r="AA1395" s="16">
        <f>_xlfn.XLOOKUP(CustomerCombinedCleaned[[#This Row],[ID]], Table2[ID],Table2[MC3], "Not Found", 0 )</f>
        <v>0</v>
      </c>
      <c r="AB1395" s="16">
        <f>_xlfn.XLOOKUP(CustomerCombinedCleaned[[#This Row],[ID]], Table2[ID],Table2[MC4], "Not Found", 0 )</f>
        <v>0</v>
      </c>
      <c r="AC1395" s="16">
        <f>_xlfn.XLOOKUP(CustomerCombinedCleaned[[#This Row],[ID]], Table2[ID],Table2[MC5], "Not Found", 0 )</f>
        <v>0</v>
      </c>
    </row>
    <row r="1396" spans="1:29" x14ac:dyDescent="0.3">
      <c r="A1396" s="18">
        <v>2594</v>
      </c>
      <c r="B1396" s="16">
        <v>169139</v>
      </c>
      <c r="C1396" s="16">
        <v>0</v>
      </c>
      <c r="D1396" s="16">
        <v>1</v>
      </c>
      <c r="E1396" s="16">
        <v>55</v>
      </c>
      <c r="F1396" s="17" t="s">
        <v>6</v>
      </c>
      <c r="G1396" s="17" t="s">
        <v>11</v>
      </c>
      <c r="H1396" s="3" t="s">
        <v>676</v>
      </c>
      <c r="I1396" s="5" t="s">
        <v>438</v>
      </c>
      <c r="J1396" s="16">
        <f>_xlfn.XLOOKUP(CustomerCombinedCleaned[[#This Row],[ID]], Table4[ID], Table4[Recency], "Not Found", 0)</f>
        <v>23</v>
      </c>
      <c r="K1396" s="16">
        <f>_xlfn.XLOOKUP(CustomerCombinedCleaned[[#This Row],[ID]], Table4[ID], Table4[Teas], "Not Found", 0)</f>
        <v>210</v>
      </c>
      <c r="L1396" s="16">
        <f>_xlfn.XLOOKUP(CustomerCombinedCleaned[[#This Row],[ID]], Table4[ID], Table4[Fruits], "Not Found", 0)</f>
        <v>29</v>
      </c>
      <c r="M1396" s="16">
        <f>_xlfn.XLOOKUP(CustomerCombinedCleaned[[#This Row],[ID]], Table4[ID], Table4[Meats], "Not Found", 0)</f>
        <v>183</v>
      </c>
      <c r="N1396" s="16">
        <f>_xlfn.XLOOKUP(CustomerCombinedCleaned[[#This Row],[ID]], Table4[ID], Table4[Seafood], "Not Found", 0)</f>
        <v>81</v>
      </c>
      <c r="O1396" s="16">
        <f>_xlfn.XLOOKUP(CustomerCombinedCleaned[[#This Row],[ID]], Table4[ID], Table4[Sweets], "Not Found", 0)</f>
        <v>37</v>
      </c>
      <c r="P1396" s="16">
        <f>_xlfn.XLOOKUP(CustomerCombinedCleaned[[#This Row],[ID]], Table4[ID], Table4[Premium], "Not Found", 0)</f>
        <v>15</v>
      </c>
      <c r="Q1396" s="16">
        <f>_xlfn.XLOOKUP(CustomerCombinedCleaned[[#This Row],[ID]], Table4[ID], Table4[Regular], "Not Found", 0)</f>
        <v>526</v>
      </c>
      <c r="R1396" s="16">
        <f>_xlfn.XLOOKUP(CustomerCombinedCleaned[[#This Row],[ID]], Table4[ID], Table4[Deals], "Not Found", 0)</f>
        <v>1</v>
      </c>
      <c r="S1396" s="16">
        <f>_xlfn.XLOOKUP(CustomerCombinedCleaned[[#This Row],[ID]], Table4[ID], Table4[Website], "Not Found", 0)</f>
        <v>4</v>
      </c>
      <c r="T1396" s="16">
        <f>_xlfn.XLOOKUP(CustomerCombinedCleaned[[#This Row],[ID]], Table4[ID], Table4[Catalog], "Not Found", 0)</f>
        <v>1</v>
      </c>
      <c r="U1396" s="16">
        <f>_xlfn.XLOOKUP(CustomerCombinedCleaned[[#This Row],[ID]], Table4[ID], Table4[Store], "Not Found", 0)</f>
        <v>5</v>
      </c>
      <c r="V1396" s="16">
        <f>_xlfn.XLOOKUP(CustomerCombinedCleaned[[#This Row],[ID]], Table4[ID], Table4[Visits], "Not Found", 0)</f>
        <v>4</v>
      </c>
      <c r="W1396" s="16">
        <f>_xlfn.XLOOKUP(CustomerCombinedCleaned[[#This Row],[ID]], Table2[ID],Table2[Complaint], "Not Found", 0 )</f>
        <v>0</v>
      </c>
      <c r="X1396" s="16">
        <f>_xlfn.XLOOKUP(CustomerCombinedCleaned[[#This Row],[ID]], Table2[ID],Table2[Pilot], "Not Found", 0 )</f>
        <v>0</v>
      </c>
      <c r="Y1396" s="16">
        <f>_xlfn.XLOOKUP(CustomerCombinedCleaned[[#This Row],[ID]], Table2[ID],Table2[MC1], "Not Found", 0 )</f>
        <v>0</v>
      </c>
      <c r="Z1396" s="16">
        <f>_xlfn.XLOOKUP(CustomerCombinedCleaned[[#This Row],[ID]], Table2[ID],Table2[MC2], "Not Found", 0 )</f>
        <v>0</v>
      </c>
      <c r="AA1396" s="16">
        <f>_xlfn.XLOOKUP(CustomerCombinedCleaned[[#This Row],[ID]], Table2[ID],Table2[MC3], "Not Found", 0 )</f>
        <v>0</v>
      </c>
      <c r="AB1396" s="16">
        <f>_xlfn.XLOOKUP(CustomerCombinedCleaned[[#This Row],[ID]], Table2[ID],Table2[MC4], "Not Found", 0 )</f>
        <v>0</v>
      </c>
      <c r="AC1396" s="16">
        <f>_xlfn.XLOOKUP(CustomerCombinedCleaned[[#This Row],[ID]], Table2[ID],Table2[MC5], "Not Found", 0 )</f>
        <v>0</v>
      </c>
    </row>
    <row r="1397" spans="1:29" x14ac:dyDescent="0.3">
      <c r="A1397" s="18">
        <v>2090</v>
      </c>
      <c r="B1397" s="16">
        <v>166480</v>
      </c>
      <c r="C1397" s="16">
        <v>1</v>
      </c>
      <c r="D1397" s="16">
        <v>1</v>
      </c>
      <c r="E1397" s="16">
        <v>55</v>
      </c>
      <c r="F1397" s="17" t="s">
        <v>6</v>
      </c>
      <c r="G1397" s="17" t="s">
        <v>11</v>
      </c>
      <c r="H1397" s="3" t="s">
        <v>649</v>
      </c>
      <c r="I1397" s="5" t="s">
        <v>438</v>
      </c>
      <c r="J1397" s="16">
        <f>_xlfn.XLOOKUP(CustomerCombinedCleaned[[#This Row],[ID]], Table4[ID], Table4[Recency], "Not Found", 0)</f>
        <v>71</v>
      </c>
      <c r="K1397" s="16">
        <f>_xlfn.XLOOKUP(CustomerCombinedCleaned[[#This Row],[ID]], Table4[ID], Table4[Teas], "Not Found", 0)</f>
        <v>498</v>
      </c>
      <c r="L1397" s="16">
        <f>_xlfn.XLOOKUP(CustomerCombinedCleaned[[#This Row],[ID]], Table4[ID], Table4[Fruits], "Not Found", 0)</f>
        <v>23</v>
      </c>
      <c r="M1397" s="16">
        <f>_xlfn.XLOOKUP(CustomerCombinedCleaned[[#This Row],[ID]], Table4[ID], Table4[Meats], "Not Found", 0)</f>
        <v>143</v>
      </c>
      <c r="N1397" s="16">
        <f>_xlfn.XLOOKUP(CustomerCombinedCleaned[[#This Row],[ID]], Table4[ID], Table4[Seafood], "Not Found", 0)</f>
        <v>50</v>
      </c>
      <c r="O1397" s="16">
        <f>_xlfn.XLOOKUP(CustomerCombinedCleaned[[#This Row],[ID]], Table4[ID], Table4[Sweets], "Not Found", 0)</f>
        <v>53</v>
      </c>
      <c r="P1397" s="16">
        <f>_xlfn.XLOOKUP(CustomerCombinedCleaned[[#This Row],[ID]], Table4[ID], Table4[Premium], "Not Found", 0)</f>
        <v>15</v>
      </c>
      <c r="Q1397" s="16">
        <f>_xlfn.XLOOKUP(CustomerCombinedCleaned[[#This Row],[ID]], Table4[ID], Table4[Regular], "Not Found", 0)</f>
        <v>751</v>
      </c>
      <c r="R1397" s="16">
        <f>_xlfn.XLOOKUP(CustomerCombinedCleaned[[#This Row],[ID]], Table4[ID], Table4[Deals], "Not Found", 0)</f>
        <v>7</v>
      </c>
      <c r="S1397" s="16">
        <f>_xlfn.XLOOKUP(CustomerCombinedCleaned[[#This Row],[ID]], Table4[ID], Table4[Website], "Not Found", 0)</f>
        <v>4</v>
      </c>
      <c r="T1397" s="16">
        <f>_xlfn.XLOOKUP(CustomerCombinedCleaned[[#This Row],[ID]], Table4[ID], Table4[Catalog], "Not Found", 0)</f>
        <v>1</v>
      </c>
      <c r="U1397" s="16">
        <f>_xlfn.XLOOKUP(CustomerCombinedCleaned[[#This Row],[ID]], Table4[ID], Table4[Store], "Not Found", 0)</f>
        <v>7</v>
      </c>
      <c r="V1397" s="16">
        <f>_xlfn.XLOOKUP(CustomerCombinedCleaned[[#This Row],[ID]], Table4[ID], Table4[Visits], "Not Found", 0)</f>
        <v>4</v>
      </c>
      <c r="W1397" s="16">
        <f>_xlfn.XLOOKUP(CustomerCombinedCleaned[[#This Row],[ID]], Table2[ID],Table2[Complaint], "Not Found", 0 )</f>
        <v>0</v>
      </c>
      <c r="X1397" s="16">
        <f>_xlfn.XLOOKUP(CustomerCombinedCleaned[[#This Row],[ID]], Table2[ID],Table2[Pilot], "Not Found", 0 )</f>
        <v>0</v>
      </c>
      <c r="Y1397" s="16">
        <f>_xlfn.XLOOKUP(CustomerCombinedCleaned[[#This Row],[ID]], Table2[ID],Table2[MC1], "Not Found", 0 )</f>
        <v>0</v>
      </c>
      <c r="Z1397" s="16">
        <f>_xlfn.XLOOKUP(CustomerCombinedCleaned[[#This Row],[ID]], Table2[ID],Table2[MC2], "Not Found", 0 )</f>
        <v>0</v>
      </c>
      <c r="AA1397" s="16">
        <f>_xlfn.XLOOKUP(CustomerCombinedCleaned[[#This Row],[ID]], Table2[ID],Table2[MC3], "Not Found", 0 )</f>
        <v>0</v>
      </c>
      <c r="AB1397" s="16">
        <f>_xlfn.XLOOKUP(CustomerCombinedCleaned[[#This Row],[ID]], Table2[ID],Table2[MC4], "Not Found", 0 )</f>
        <v>0</v>
      </c>
      <c r="AC1397" s="16">
        <f>_xlfn.XLOOKUP(CustomerCombinedCleaned[[#This Row],[ID]], Table2[ID],Table2[MC5], "Not Found", 0 )</f>
        <v>0</v>
      </c>
    </row>
    <row r="1398" spans="1:29" x14ac:dyDescent="0.3">
      <c r="A1398" s="18">
        <v>2061</v>
      </c>
      <c r="B1398" s="16">
        <v>166294</v>
      </c>
      <c r="C1398" s="16">
        <v>0</v>
      </c>
      <c r="D1398" s="16">
        <v>0</v>
      </c>
      <c r="E1398" s="16">
        <v>55</v>
      </c>
      <c r="F1398" s="17" t="s">
        <v>7</v>
      </c>
      <c r="G1398" s="17" t="s">
        <v>11</v>
      </c>
      <c r="H1398" s="3" t="s">
        <v>84</v>
      </c>
      <c r="I1398" s="5" t="s">
        <v>435</v>
      </c>
      <c r="J1398" s="16">
        <f>_xlfn.XLOOKUP(CustomerCombinedCleaned[[#This Row],[ID]], Table4[ID], Table4[Recency], "Not Found", 0)</f>
        <v>68</v>
      </c>
      <c r="K1398" s="16">
        <f>_xlfn.XLOOKUP(CustomerCombinedCleaned[[#This Row],[ID]], Table4[ID], Table4[Teas], "Not Found", 0)</f>
        <v>630</v>
      </c>
      <c r="L1398" s="16">
        <f>_xlfn.XLOOKUP(CustomerCombinedCleaned[[#This Row],[ID]], Table4[ID], Table4[Fruits], "Not Found", 0)</f>
        <v>271</v>
      </c>
      <c r="M1398" s="16">
        <f>_xlfn.XLOOKUP(CustomerCombinedCleaned[[#This Row],[ID]], Table4[ID], Table4[Meats], "Not Found", 0)</f>
        <v>838</v>
      </c>
      <c r="N1398" s="16">
        <f>_xlfn.XLOOKUP(CustomerCombinedCleaned[[#This Row],[ID]], Table4[ID], Table4[Seafood], "Not Found", 0)</f>
        <v>163</v>
      </c>
      <c r="O1398" s="16">
        <f>_xlfn.XLOOKUP(CustomerCombinedCleaned[[#This Row],[ID]], Table4[ID], Table4[Sweets], "Not Found", 0)</f>
        <v>231</v>
      </c>
      <c r="P1398" s="16">
        <f>_xlfn.XLOOKUP(CustomerCombinedCleaned[[#This Row],[ID]], Table4[ID], Table4[Premium], "Not Found", 0)</f>
        <v>293</v>
      </c>
      <c r="Q1398" s="16">
        <f>_xlfn.XLOOKUP(CustomerCombinedCleaned[[#This Row],[ID]], Table4[ID], Table4[Regular], "Not Found", 0)</f>
        <v>1839</v>
      </c>
      <c r="R1398" s="16">
        <f>_xlfn.XLOOKUP(CustomerCombinedCleaned[[#This Row],[ID]], Table4[ID], Table4[Deals], "Not Found", 0)</f>
        <v>1</v>
      </c>
      <c r="S1398" s="16">
        <f>_xlfn.XLOOKUP(CustomerCombinedCleaned[[#This Row],[ID]], Table4[ID], Table4[Website], "Not Found", 0)</f>
        <v>4</v>
      </c>
      <c r="T1398" s="16">
        <f>_xlfn.XLOOKUP(CustomerCombinedCleaned[[#This Row],[ID]], Table4[ID], Table4[Catalog], "Not Found", 0)</f>
        <v>3</v>
      </c>
      <c r="U1398" s="16">
        <f>_xlfn.XLOOKUP(CustomerCombinedCleaned[[#This Row],[ID]], Table4[ID], Table4[Store], "Not Found", 0)</f>
        <v>5</v>
      </c>
      <c r="V1398" s="16">
        <f>_xlfn.XLOOKUP(CustomerCombinedCleaned[[#This Row],[ID]], Table4[ID], Table4[Visits], "Not Found", 0)</f>
        <v>2</v>
      </c>
      <c r="W1398" s="16">
        <f>_xlfn.XLOOKUP(CustomerCombinedCleaned[[#This Row],[ID]], Table2[ID],Table2[Complaint], "Not Found", 0 )</f>
        <v>0</v>
      </c>
      <c r="X1398" s="16">
        <f>_xlfn.XLOOKUP(CustomerCombinedCleaned[[#This Row],[ID]], Table2[ID],Table2[Pilot], "Not Found", 0 )</f>
        <v>0</v>
      </c>
      <c r="Y1398" s="16">
        <f>_xlfn.XLOOKUP(CustomerCombinedCleaned[[#This Row],[ID]], Table2[ID],Table2[MC1], "Not Found", 0 )</f>
        <v>0</v>
      </c>
      <c r="Z1398" s="16">
        <f>_xlfn.XLOOKUP(CustomerCombinedCleaned[[#This Row],[ID]], Table2[ID],Table2[MC2], "Not Found", 0 )</f>
        <v>0</v>
      </c>
      <c r="AA1398" s="16">
        <f>_xlfn.XLOOKUP(CustomerCombinedCleaned[[#This Row],[ID]], Table2[ID],Table2[MC3], "Not Found", 0 )</f>
        <v>0</v>
      </c>
      <c r="AB1398" s="16">
        <f>_xlfn.XLOOKUP(CustomerCombinedCleaned[[#This Row],[ID]], Table2[ID],Table2[MC4], "Not Found", 0 )</f>
        <v>0</v>
      </c>
      <c r="AC1398" s="16">
        <f>_xlfn.XLOOKUP(CustomerCombinedCleaned[[#This Row],[ID]], Table2[ID],Table2[MC5], "Not Found", 0 )</f>
        <v>0</v>
      </c>
    </row>
    <row r="1399" spans="1:29" x14ac:dyDescent="0.3">
      <c r="A1399" s="18">
        <v>2819</v>
      </c>
      <c r="B1399" s="16">
        <v>165735</v>
      </c>
      <c r="C1399" s="16">
        <v>1</v>
      </c>
      <c r="D1399" s="16">
        <v>1</v>
      </c>
      <c r="E1399" s="16">
        <v>55</v>
      </c>
      <c r="F1399" s="17" t="s">
        <v>8</v>
      </c>
      <c r="G1399" s="17" t="s">
        <v>12</v>
      </c>
      <c r="H1399" s="3" t="s">
        <v>141</v>
      </c>
      <c r="I1399" s="5" t="s">
        <v>434</v>
      </c>
      <c r="J1399" s="16">
        <f>_xlfn.XLOOKUP(CustomerCombinedCleaned[[#This Row],[ID]], Table4[ID], Table4[Recency], "Not Found", 0)</f>
        <v>37</v>
      </c>
      <c r="K1399" s="16">
        <f>_xlfn.XLOOKUP(CustomerCombinedCleaned[[#This Row],[ID]], Table4[ID], Table4[Teas], "Not Found", 0)</f>
        <v>603</v>
      </c>
      <c r="L1399" s="16">
        <f>_xlfn.XLOOKUP(CustomerCombinedCleaned[[#This Row],[ID]], Table4[ID], Table4[Fruits], "Not Found", 0)</f>
        <v>18</v>
      </c>
      <c r="M1399" s="16">
        <f>_xlfn.XLOOKUP(CustomerCombinedCleaned[[#This Row],[ID]], Table4[ID], Table4[Meats], "Not Found", 0)</f>
        <v>300</v>
      </c>
      <c r="N1399" s="16">
        <f>_xlfn.XLOOKUP(CustomerCombinedCleaned[[#This Row],[ID]], Table4[ID], Table4[Seafood], "Not Found", 0)</f>
        <v>10</v>
      </c>
      <c r="O1399" s="16">
        <f>_xlfn.XLOOKUP(CustomerCombinedCleaned[[#This Row],[ID]], Table4[ID], Table4[Sweets], "Not Found", 0)</f>
        <v>38</v>
      </c>
      <c r="P1399" s="16">
        <f>_xlfn.XLOOKUP(CustomerCombinedCleaned[[#This Row],[ID]], Table4[ID], Table4[Premium], "Not Found", 0)</f>
        <v>28</v>
      </c>
      <c r="Q1399" s="16">
        <f>_xlfn.XLOOKUP(CustomerCombinedCleaned[[#This Row],[ID]], Table4[ID], Table4[Regular], "Not Found", 0)</f>
        <v>940</v>
      </c>
      <c r="R1399" s="16">
        <f>_xlfn.XLOOKUP(CustomerCombinedCleaned[[#This Row],[ID]], Table4[ID], Table4[Deals], "Not Found", 0)</f>
        <v>5</v>
      </c>
      <c r="S1399" s="16">
        <f>_xlfn.XLOOKUP(CustomerCombinedCleaned[[#This Row],[ID]], Table4[ID], Table4[Website], "Not Found", 0)</f>
        <v>6</v>
      </c>
      <c r="T1399" s="16">
        <f>_xlfn.XLOOKUP(CustomerCombinedCleaned[[#This Row],[ID]], Table4[ID], Table4[Catalog], "Not Found", 0)</f>
        <v>2</v>
      </c>
      <c r="U1399" s="16">
        <f>_xlfn.XLOOKUP(CustomerCombinedCleaned[[#This Row],[ID]], Table4[ID], Table4[Store], "Not Found", 0)</f>
        <v>6</v>
      </c>
      <c r="V1399" s="16">
        <f>_xlfn.XLOOKUP(CustomerCombinedCleaned[[#This Row],[ID]], Table4[ID], Table4[Visits], "Not Found", 0)</f>
        <v>7</v>
      </c>
      <c r="W1399" s="16">
        <f>_xlfn.XLOOKUP(CustomerCombinedCleaned[[#This Row],[ID]], Table2[ID],Table2[Complaint], "Not Found", 0 )</f>
        <v>0</v>
      </c>
      <c r="X1399" s="16">
        <f>_xlfn.XLOOKUP(CustomerCombinedCleaned[[#This Row],[ID]], Table2[ID],Table2[Pilot], "Not Found", 0 )</f>
        <v>0</v>
      </c>
      <c r="Y1399" s="16">
        <f>_xlfn.XLOOKUP(CustomerCombinedCleaned[[#This Row],[ID]], Table2[ID],Table2[MC1], "Not Found", 0 )</f>
        <v>0</v>
      </c>
      <c r="Z1399" s="16">
        <f>_xlfn.XLOOKUP(CustomerCombinedCleaned[[#This Row],[ID]], Table2[ID],Table2[MC2], "Not Found", 0 )</f>
        <v>0</v>
      </c>
      <c r="AA1399" s="16">
        <f>_xlfn.XLOOKUP(CustomerCombinedCleaned[[#This Row],[ID]], Table2[ID],Table2[MC3], "Not Found", 0 )</f>
        <v>0</v>
      </c>
      <c r="AB1399" s="16">
        <f>_xlfn.XLOOKUP(CustomerCombinedCleaned[[#This Row],[ID]], Table2[ID],Table2[MC4], "Not Found", 0 )</f>
        <v>0</v>
      </c>
      <c r="AC1399" s="16">
        <f>_xlfn.XLOOKUP(CustomerCombinedCleaned[[#This Row],[ID]], Table2[ID],Table2[MC5], "Not Found", 0 )</f>
        <v>0</v>
      </c>
    </row>
    <row r="1400" spans="1:29" x14ac:dyDescent="0.3">
      <c r="A1400" s="18">
        <v>3097</v>
      </c>
      <c r="B1400" s="16">
        <v>165220</v>
      </c>
      <c r="C1400" s="16">
        <v>0</v>
      </c>
      <c r="D1400" s="16">
        <v>0</v>
      </c>
      <c r="E1400" s="16">
        <v>55</v>
      </c>
      <c r="F1400" s="17" t="s">
        <v>8</v>
      </c>
      <c r="G1400" s="17" t="s">
        <v>13</v>
      </c>
      <c r="H1400" s="3" t="s">
        <v>699</v>
      </c>
      <c r="I1400" s="5" t="s">
        <v>437</v>
      </c>
      <c r="J1400" s="16">
        <f>_xlfn.XLOOKUP(CustomerCombinedCleaned[[#This Row],[ID]], Table4[ID], Table4[Recency], "Not Found", 0)</f>
        <v>3</v>
      </c>
      <c r="K1400" s="16">
        <f>_xlfn.XLOOKUP(CustomerCombinedCleaned[[#This Row],[ID]], Table4[ID], Table4[Teas], "Not Found", 0)</f>
        <v>2255</v>
      </c>
      <c r="L1400" s="16">
        <f>_xlfn.XLOOKUP(CustomerCombinedCleaned[[#This Row],[ID]], Table4[ID], Table4[Fruits], "Not Found", 0)</f>
        <v>160</v>
      </c>
      <c r="M1400" s="16">
        <f>_xlfn.XLOOKUP(CustomerCombinedCleaned[[#This Row],[ID]], Table4[ID], Table4[Meats], "Not Found", 0)</f>
        <v>740</v>
      </c>
      <c r="N1400" s="16">
        <f>_xlfn.XLOOKUP(CustomerCombinedCleaned[[#This Row],[ID]], Table4[ID], Table4[Seafood], "Not Found", 0)</f>
        <v>0</v>
      </c>
      <c r="O1400" s="16">
        <f>_xlfn.XLOOKUP(CustomerCombinedCleaned[[#This Row],[ID]], Table4[ID], Table4[Sweets], "Not Found", 0)</f>
        <v>63</v>
      </c>
      <c r="P1400" s="16">
        <f>_xlfn.XLOOKUP(CustomerCombinedCleaned[[#This Row],[ID]], Table4[ID], Table4[Premium], "Not Found", 0)</f>
        <v>30</v>
      </c>
      <c r="Q1400" s="16">
        <f>_xlfn.XLOOKUP(CustomerCombinedCleaned[[#This Row],[ID]], Table4[ID], Table4[Regular], "Not Found", 0)</f>
        <v>3187</v>
      </c>
      <c r="R1400" s="16">
        <f>_xlfn.XLOOKUP(CustomerCombinedCleaned[[#This Row],[ID]], Table4[ID], Table4[Deals], "Not Found", 0)</f>
        <v>4</v>
      </c>
      <c r="S1400" s="16">
        <f>_xlfn.XLOOKUP(CustomerCombinedCleaned[[#This Row],[ID]], Table4[ID], Table4[Website], "Not Found", 0)</f>
        <v>8</v>
      </c>
      <c r="T1400" s="16">
        <f>_xlfn.XLOOKUP(CustomerCombinedCleaned[[#This Row],[ID]], Table4[ID], Table4[Catalog], "Not Found", 0)</f>
        <v>4</v>
      </c>
      <c r="U1400" s="16">
        <f>_xlfn.XLOOKUP(CustomerCombinedCleaned[[#This Row],[ID]], Table4[ID], Table4[Store], "Not Found", 0)</f>
        <v>7</v>
      </c>
      <c r="V1400" s="16">
        <f>_xlfn.XLOOKUP(CustomerCombinedCleaned[[#This Row],[ID]], Table4[ID], Table4[Visits], "Not Found", 0)</f>
        <v>6</v>
      </c>
      <c r="W1400" s="16">
        <f>_xlfn.XLOOKUP(CustomerCombinedCleaned[[#This Row],[ID]], Table2[ID],Table2[Complaint], "Not Found", 0 )</f>
        <v>0</v>
      </c>
      <c r="X1400" s="16">
        <f>_xlfn.XLOOKUP(CustomerCombinedCleaned[[#This Row],[ID]], Table2[ID],Table2[Pilot], "Not Found", 0 )</f>
        <v>1</v>
      </c>
      <c r="Y1400" s="16">
        <f>_xlfn.XLOOKUP(CustomerCombinedCleaned[[#This Row],[ID]], Table2[ID],Table2[MC1], "Not Found", 0 )</f>
        <v>0</v>
      </c>
      <c r="Z1400" s="16">
        <f>_xlfn.XLOOKUP(CustomerCombinedCleaned[[#This Row],[ID]], Table2[ID],Table2[MC2], "Not Found", 0 )</f>
        <v>0</v>
      </c>
      <c r="AA1400" s="16">
        <f>_xlfn.XLOOKUP(CustomerCombinedCleaned[[#This Row],[ID]], Table2[ID],Table2[MC3], "Not Found", 0 )</f>
        <v>0</v>
      </c>
      <c r="AB1400" s="16">
        <f>_xlfn.XLOOKUP(CustomerCombinedCleaned[[#This Row],[ID]], Table2[ID],Table2[MC4], "Not Found", 0 )</f>
        <v>0</v>
      </c>
      <c r="AC1400" s="16">
        <f>_xlfn.XLOOKUP(CustomerCombinedCleaned[[#This Row],[ID]], Table2[ID],Table2[MC5], "Not Found", 0 )</f>
        <v>0</v>
      </c>
    </row>
    <row r="1401" spans="1:29" x14ac:dyDescent="0.3">
      <c r="A1401" s="18">
        <v>2048</v>
      </c>
      <c r="B1401" s="16">
        <v>164176</v>
      </c>
      <c r="C1401" s="16">
        <v>0</v>
      </c>
      <c r="D1401" s="16">
        <v>1</v>
      </c>
      <c r="E1401" s="16">
        <v>55</v>
      </c>
      <c r="F1401" s="17" t="s">
        <v>5</v>
      </c>
      <c r="G1401" s="17" t="s">
        <v>11</v>
      </c>
      <c r="H1401" s="3" t="s">
        <v>700</v>
      </c>
      <c r="I1401" s="5" t="s">
        <v>438</v>
      </c>
      <c r="J1401" s="16">
        <f>_xlfn.XLOOKUP(CustomerCombinedCleaned[[#This Row],[ID]], Table4[ID], Table4[Recency], "Not Found", 0)</f>
        <v>52</v>
      </c>
      <c r="K1401" s="16">
        <f>_xlfn.XLOOKUP(CustomerCombinedCleaned[[#This Row],[ID]], Table4[ID], Table4[Teas], "Not Found", 0)</f>
        <v>3108</v>
      </c>
      <c r="L1401" s="16">
        <f>_xlfn.XLOOKUP(CustomerCombinedCleaned[[#This Row],[ID]], Table4[ID], Table4[Fruits], "Not Found", 0)</f>
        <v>84</v>
      </c>
      <c r="M1401" s="16">
        <f>_xlfn.XLOOKUP(CustomerCombinedCleaned[[#This Row],[ID]], Table4[ID], Table4[Meats], "Not Found", 0)</f>
        <v>637</v>
      </c>
      <c r="N1401" s="16">
        <f>_xlfn.XLOOKUP(CustomerCombinedCleaned[[#This Row],[ID]], Table4[ID], Table4[Seafood], "Not Found", 0)</f>
        <v>164</v>
      </c>
      <c r="O1401" s="16">
        <f>_xlfn.XLOOKUP(CustomerCombinedCleaned[[#This Row],[ID]], Table4[ID], Table4[Sweets], "Not Found", 0)</f>
        <v>297</v>
      </c>
      <c r="P1401" s="16">
        <f>_xlfn.XLOOKUP(CustomerCombinedCleaned[[#This Row],[ID]], Table4[ID], Table4[Premium], "Not Found", 0)</f>
        <v>381</v>
      </c>
      <c r="Q1401" s="16">
        <f>_xlfn.XLOOKUP(CustomerCombinedCleaned[[#This Row],[ID]], Table4[ID], Table4[Regular], "Not Found", 0)</f>
        <v>3909</v>
      </c>
      <c r="R1401" s="16">
        <f>_xlfn.XLOOKUP(CustomerCombinedCleaned[[#This Row],[ID]], Table4[ID], Table4[Deals], "Not Found", 0)</f>
        <v>8</v>
      </c>
      <c r="S1401" s="16">
        <f>_xlfn.XLOOKUP(CustomerCombinedCleaned[[#This Row],[ID]], Table4[ID], Table4[Website], "Not Found", 0)</f>
        <v>8</v>
      </c>
      <c r="T1401" s="16">
        <f>_xlfn.XLOOKUP(CustomerCombinedCleaned[[#This Row],[ID]], Table4[ID], Table4[Catalog], "Not Found", 0)</f>
        <v>9</v>
      </c>
      <c r="U1401" s="16">
        <f>_xlfn.XLOOKUP(CustomerCombinedCleaned[[#This Row],[ID]], Table4[ID], Table4[Store], "Not Found", 0)</f>
        <v>8</v>
      </c>
      <c r="V1401" s="16">
        <f>_xlfn.XLOOKUP(CustomerCombinedCleaned[[#This Row],[ID]], Table4[ID], Table4[Visits], "Not Found", 0)</f>
        <v>6</v>
      </c>
      <c r="W1401" s="16">
        <f>_xlfn.XLOOKUP(CustomerCombinedCleaned[[#This Row],[ID]], Table2[ID],Table2[Complaint], "Not Found", 0 )</f>
        <v>0</v>
      </c>
      <c r="X1401" s="16">
        <f>_xlfn.XLOOKUP(CustomerCombinedCleaned[[#This Row],[ID]], Table2[ID],Table2[Pilot], "Not Found", 0 )</f>
        <v>0</v>
      </c>
      <c r="Y1401" s="16">
        <f>_xlfn.XLOOKUP(CustomerCombinedCleaned[[#This Row],[ID]], Table2[ID],Table2[MC1], "Not Found", 0 )</f>
        <v>0</v>
      </c>
      <c r="Z1401" s="16">
        <f>_xlfn.XLOOKUP(CustomerCombinedCleaned[[#This Row],[ID]], Table2[ID],Table2[MC2], "Not Found", 0 )</f>
        <v>0</v>
      </c>
      <c r="AA1401" s="16">
        <f>_xlfn.XLOOKUP(CustomerCombinedCleaned[[#This Row],[ID]], Table2[ID],Table2[MC3], "Not Found", 0 )</f>
        <v>0</v>
      </c>
      <c r="AB1401" s="16">
        <f>_xlfn.XLOOKUP(CustomerCombinedCleaned[[#This Row],[ID]], Table2[ID],Table2[MC4], "Not Found", 0 )</f>
        <v>0</v>
      </c>
      <c r="AC1401" s="16">
        <f>_xlfn.XLOOKUP(CustomerCombinedCleaned[[#This Row],[ID]], Table2[ID],Table2[MC5], "Not Found", 0 )</f>
        <v>0</v>
      </c>
    </row>
    <row r="1402" spans="1:29" x14ac:dyDescent="0.3">
      <c r="A1402" s="18">
        <v>1222</v>
      </c>
      <c r="B1402" s="16">
        <v>162745</v>
      </c>
      <c r="C1402" s="16">
        <v>0</v>
      </c>
      <c r="D1402" s="16">
        <v>1</v>
      </c>
      <c r="E1402" s="16">
        <v>55</v>
      </c>
      <c r="F1402" s="17" t="s">
        <v>6</v>
      </c>
      <c r="G1402" s="17" t="s">
        <v>13</v>
      </c>
      <c r="H1402" s="3" t="s">
        <v>285</v>
      </c>
      <c r="I1402" s="5" t="s">
        <v>439</v>
      </c>
      <c r="J1402" s="16">
        <f>_xlfn.XLOOKUP(CustomerCombinedCleaned[[#This Row],[ID]], Table4[ID], Table4[Recency], "Not Found", 0)</f>
        <v>89</v>
      </c>
      <c r="K1402" s="16">
        <f>_xlfn.XLOOKUP(CustomerCombinedCleaned[[#This Row],[ID]], Table4[ID], Table4[Teas], "Not Found", 0)</f>
        <v>1458</v>
      </c>
      <c r="L1402" s="16">
        <f>_xlfn.XLOOKUP(CustomerCombinedCleaned[[#This Row],[ID]], Table4[ID], Table4[Fruits], "Not Found", 0)</f>
        <v>54</v>
      </c>
      <c r="M1402" s="16">
        <f>_xlfn.XLOOKUP(CustomerCombinedCleaned[[#This Row],[ID]], Table4[ID], Table4[Meats], "Not Found", 0)</f>
        <v>1204</v>
      </c>
      <c r="N1402" s="16">
        <f>_xlfn.XLOOKUP(CustomerCombinedCleaned[[#This Row],[ID]], Table4[ID], Table4[Seafood], "Not Found", 0)</f>
        <v>73</v>
      </c>
      <c r="O1402" s="16">
        <f>_xlfn.XLOOKUP(CustomerCombinedCleaned[[#This Row],[ID]], Table4[ID], Table4[Sweets], "Not Found", 0)</f>
        <v>26</v>
      </c>
      <c r="P1402" s="16">
        <f>_xlfn.XLOOKUP(CustomerCombinedCleaned[[#This Row],[ID]], Table4[ID], Table4[Premium], "Not Found", 0)</f>
        <v>83</v>
      </c>
      <c r="Q1402" s="16">
        <f>_xlfn.XLOOKUP(CustomerCombinedCleaned[[#This Row],[ID]], Table4[ID], Table4[Regular], "Not Found", 0)</f>
        <v>2731</v>
      </c>
      <c r="R1402" s="16">
        <f>_xlfn.XLOOKUP(CustomerCombinedCleaned[[#This Row],[ID]], Table4[ID], Table4[Deals], "Not Found", 0)</f>
        <v>3</v>
      </c>
      <c r="S1402" s="16">
        <f>_xlfn.XLOOKUP(CustomerCombinedCleaned[[#This Row],[ID]], Table4[ID], Table4[Website], "Not Found", 0)</f>
        <v>7</v>
      </c>
      <c r="T1402" s="16">
        <f>_xlfn.XLOOKUP(CustomerCombinedCleaned[[#This Row],[ID]], Table4[ID], Table4[Catalog], "Not Found", 0)</f>
        <v>8</v>
      </c>
      <c r="U1402" s="16">
        <f>_xlfn.XLOOKUP(CustomerCombinedCleaned[[#This Row],[ID]], Table4[ID], Table4[Store], "Not Found", 0)</f>
        <v>11</v>
      </c>
      <c r="V1402" s="16">
        <f>_xlfn.XLOOKUP(CustomerCombinedCleaned[[#This Row],[ID]], Table4[ID], Table4[Visits], "Not Found", 0)</f>
        <v>5</v>
      </c>
      <c r="W1402" s="16">
        <f>_xlfn.XLOOKUP(CustomerCombinedCleaned[[#This Row],[ID]], Table2[ID],Table2[Complaint], "Not Found", 0 )</f>
        <v>0</v>
      </c>
      <c r="X1402" s="16">
        <f>_xlfn.XLOOKUP(CustomerCombinedCleaned[[#This Row],[ID]], Table2[ID],Table2[Pilot], "Not Found", 0 )</f>
        <v>0</v>
      </c>
      <c r="Y1402" s="16">
        <f>_xlfn.XLOOKUP(CustomerCombinedCleaned[[#This Row],[ID]], Table2[ID],Table2[MC1], "Not Found", 0 )</f>
        <v>0</v>
      </c>
      <c r="Z1402" s="16">
        <f>_xlfn.XLOOKUP(CustomerCombinedCleaned[[#This Row],[ID]], Table2[ID],Table2[MC2], "Not Found", 0 )</f>
        <v>0</v>
      </c>
      <c r="AA1402" s="16">
        <f>_xlfn.XLOOKUP(CustomerCombinedCleaned[[#This Row],[ID]], Table2[ID],Table2[MC3], "Not Found", 0 )</f>
        <v>0</v>
      </c>
      <c r="AB1402" s="16">
        <f>_xlfn.XLOOKUP(CustomerCombinedCleaned[[#This Row],[ID]], Table2[ID],Table2[MC4], "Not Found", 0 )</f>
        <v>0</v>
      </c>
      <c r="AC1402" s="16">
        <f>_xlfn.XLOOKUP(CustomerCombinedCleaned[[#This Row],[ID]], Table2[ID],Table2[MC5], "Not Found", 0 )</f>
        <v>0</v>
      </c>
    </row>
    <row r="1403" spans="1:29" x14ac:dyDescent="0.3">
      <c r="A1403" s="18">
        <v>2904</v>
      </c>
      <c r="B1403" s="16">
        <v>162694</v>
      </c>
      <c r="C1403" s="16">
        <v>1</v>
      </c>
      <c r="D1403" s="16">
        <v>1</v>
      </c>
      <c r="E1403" s="16">
        <v>55</v>
      </c>
      <c r="F1403" s="17" t="s">
        <v>6</v>
      </c>
      <c r="G1403" s="17" t="s">
        <v>12</v>
      </c>
      <c r="H1403" s="3" t="s">
        <v>236</v>
      </c>
      <c r="I1403" s="5" t="s">
        <v>436</v>
      </c>
      <c r="J1403" s="16">
        <f>_xlfn.XLOOKUP(CustomerCombinedCleaned[[#This Row],[ID]], Table4[ID], Table4[Recency], "Not Found", 0)</f>
        <v>29</v>
      </c>
      <c r="K1403" s="16">
        <f>_xlfn.XLOOKUP(CustomerCombinedCleaned[[#This Row],[ID]], Table4[ID], Table4[Teas], "Not Found", 0)</f>
        <v>984</v>
      </c>
      <c r="L1403" s="16">
        <f>_xlfn.XLOOKUP(CustomerCombinedCleaned[[#This Row],[ID]], Table4[ID], Table4[Fruits], "Not Found", 0)</f>
        <v>16</v>
      </c>
      <c r="M1403" s="16">
        <f>_xlfn.XLOOKUP(CustomerCombinedCleaned[[#This Row],[ID]], Table4[ID], Table4[Meats], "Not Found", 0)</f>
        <v>407</v>
      </c>
      <c r="N1403" s="16">
        <f>_xlfn.XLOOKUP(CustomerCombinedCleaned[[#This Row],[ID]], Table4[ID], Table4[Seafood], "Not Found", 0)</f>
        <v>65</v>
      </c>
      <c r="O1403" s="16">
        <f>_xlfn.XLOOKUP(CustomerCombinedCleaned[[#This Row],[ID]], Table4[ID], Table4[Sweets], "Not Found", 0)</f>
        <v>236</v>
      </c>
      <c r="P1403" s="16">
        <f>_xlfn.XLOOKUP(CustomerCombinedCleaned[[#This Row],[ID]], Table4[ID], Table4[Premium], "Not Found", 0)</f>
        <v>236</v>
      </c>
      <c r="Q1403" s="16">
        <f>_xlfn.XLOOKUP(CustomerCombinedCleaned[[#This Row],[ID]], Table4[ID], Table4[Regular], "Not Found", 0)</f>
        <v>1471</v>
      </c>
      <c r="R1403" s="16">
        <f>_xlfn.XLOOKUP(CustomerCombinedCleaned[[#This Row],[ID]], Table4[ID], Table4[Deals], "Not Found", 0)</f>
        <v>5</v>
      </c>
      <c r="S1403" s="16">
        <f>_xlfn.XLOOKUP(CustomerCombinedCleaned[[#This Row],[ID]], Table4[ID], Table4[Website], "Not Found", 0)</f>
        <v>9</v>
      </c>
      <c r="T1403" s="16">
        <f>_xlfn.XLOOKUP(CustomerCombinedCleaned[[#This Row],[ID]], Table4[ID], Table4[Catalog], "Not Found", 0)</f>
        <v>3</v>
      </c>
      <c r="U1403" s="16">
        <f>_xlfn.XLOOKUP(CustomerCombinedCleaned[[#This Row],[ID]], Table4[ID], Table4[Store], "Not Found", 0)</f>
        <v>7</v>
      </c>
      <c r="V1403" s="16">
        <f>_xlfn.XLOOKUP(CustomerCombinedCleaned[[#This Row],[ID]], Table4[ID], Table4[Visits], "Not Found", 0)</f>
        <v>7</v>
      </c>
      <c r="W1403" s="16">
        <f>_xlfn.XLOOKUP(CustomerCombinedCleaned[[#This Row],[ID]], Table2[ID],Table2[Complaint], "Not Found", 0 )</f>
        <v>0</v>
      </c>
      <c r="X1403" s="16">
        <f>_xlfn.XLOOKUP(CustomerCombinedCleaned[[#This Row],[ID]], Table2[ID],Table2[Pilot], "Not Found", 0 )</f>
        <v>0</v>
      </c>
      <c r="Y1403" s="16">
        <f>_xlfn.XLOOKUP(CustomerCombinedCleaned[[#This Row],[ID]], Table2[ID],Table2[MC1], "Not Found", 0 )</f>
        <v>0</v>
      </c>
      <c r="Z1403" s="16">
        <f>_xlfn.XLOOKUP(CustomerCombinedCleaned[[#This Row],[ID]], Table2[ID],Table2[MC2], "Not Found", 0 )</f>
        <v>0</v>
      </c>
      <c r="AA1403" s="16">
        <f>_xlfn.XLOOKUP(CustomerCombinedCleaned[[#This Row],[ID]], Table2[ID],Table2[MC3], "Not Found", 0 )</f>
        <v>0</v>
      </c>
      <c r="AB1403" s="16">
        <f>_xlfn.XLOOKUP(CustomerCombinedCleaned[[#This Row],[ID]], Table2[ID],Table2[MC4], "Not Found", 0 )</f>
        <v>0</v>
      </c>
      <c r="AC1403" s="16">
        <f>_xlfn.XLOOKUP(CustomerCombinedCleaned[[#This Row],[ID]], Table2[ID],Table2[MC5], "Not Found", 0 )</f>
        <v>0</v>
      </c>
    </row>
    <row r="1404" spans="1:29" x14ac:dyDescent="0.3">
      <c r="A1404" s="18">
        <v>2197</v>
      </c>
      <c r="B1404" s="16">
        <v>161559</v>
      </c>
      <c r="C1404" s="16">
        <v>0</v>
      </c>
      <c r="D1404" s="16">
        <v>1</v>
      </c>
      <c r="E1404" s="16">
        <v>55</v>
      </c>
      <c r="F1404" s="17" t="s">
        <v>7</v>
      </c>
      <c r="G1404" s="17" t="s">
        <v>11</v>
      </c>
      <c r="H1404" s="3" t="s">
        <v>219</v>
      </c>
      <c r="I1404" s="5" t="s">
        <v>437</v>
      </c>
      <c r="J1404" s="16">
        <f>_xlfn.XLOOKUP(CustomerCombinedCleaned[[#This Row],[ID]], Table4[ID], Table4[Recency], "Not Found", 0)</f>
        <v>8</v>
      </c>
      <c r="K1404" s="16">
        <f>_xlfn.XLOOKUP(CustomerCombinedCleaned[[#This Row],[ID]], Table4[ID], Table4[Teas], "Not Found", 0)</f>
        <v>732</v>
      </c>
      <c r="L1404" s="16">
        <f>_xlfn.XLOOKUP(CustomerCombinedCleaned[[#This Row],[ID]], Table4[ID], Table4[Fruits], "Not Found", 0)</f>
        <v>218</v>
      </c>
      <c r="M1404" s="16">
        <f>_xlfn.XLOOKUP(CustomerCombinedCleaned[[#This Row],[ID]], Table4[ID], Table4[Meats], "Not Found", 0)</f>
        <v>231</v>
      </c>
      <c r="N1404" s="16">
        <f>_xlfn.XLOOKUP(CustomerCombinedCleaned[[#This Row],[ID]], Table4[ID], Table4[Seafood], "Not Found", 0)</f>
        <v>84</v>
      </c>
      <c r="O1404" s="16">
        <f>_xlfn.XLOOKUP(CustomerCombinedCleaned[[#This Row],[ID]], Table4[ID], Table4[Sweets], "Not Found", 0)</f>
        <v>37</v>
      </c>
      <c r="P1404" s="16">
        <f>_xlfn.XLOOKUP(CustomerCombinedCleaned[[#This Row],[ID]], Table4[ID], Table4[Premium], "Not Found", 0)</f>
        <v>89</v>
      </c>
      <c r="Q1404" s="16">
        <f>_xlfn.XLOOKUP(CustomerCombinedCleaned[[#This Row],[ID]], Table4[ID], Table4[Regular], "Not Found", 0)</f>
        <v>1212</v>
      </c>
      <c r="R1404" s="16">
        <f>_xlfn.XLOOKUP(CustomerCombinedCleaned[[#This Row],[ID]], Table4[ID], Table4[Deals], "Not Found", 0)</f>
        <v>1</v>
      </c>
      <c r="S1404" s="16">
        <f>_xlfn.XLOOKUP(CustomerCombinedCleaned[[#This Row],[ID]], Table4[ID], Table4[Website], "Not Found", 0)</f>
        <v>4</v>
      </c>
      <c r="T1404" s="16">
        <f>_xlfn.XLOOKUP(CustomerCombinedCleaned[[#This Row],[ID]], Table4[ID], Table4[Catalog], "Not Found", 0)</f>
        <v>2</v>
      </c>
      <c r="U1404" s="16">
        <f>_xlfn.XLOOKUP(CustomerCombinedCleaned[[#This Row],[ID]], Table4[ID], Table4[Store], "Not Found", 0)</f>
        <v>10</v>
      </c>
      <c r="V1404" s="16">
        <f>_xlfn.XLOOKUP(CustomerCombinedCleaned[[#This Row],[ID]], Table4[ID], Table4[Visits], "Not Found", 0)</f>
        <v>3</v>
      </c>
      <c r="W1404" s="16">
        <f>_xlfn.XLOOKUP(CustomerCombinedCleaned[[#This Row],[ID]], Table2[ID],Table2[Complaint], "Not Found", 0 )</f>
        <v>0</v>
      </c>
      <c r="X1404" s="16">
        <f>_xlfn.XLOOKUP(CustomerCombinedCleaned[[#This Row],[ID]], Table2[ID],Table2[Pilot], "Not Found", 0 )</f>
        <v>0</v>
      </c>
      <c r="Y1404" s="16">
        <f>_xlfn.XLOOKUP(CustomerCombinedCleaned[[#This Row],[ID]], Table2[ID],Table2[MC1], "Not Found", 0 )</f>
        <v>0</v>
      </c>
      <c r="Z1404" s="16">
        <f>_xlfn.XLOOKUP(CustomerCombinedCleaned[[#This Row],[ID]], Table2[ID],Table2[MC2], "Not Found", 0 )</f>
        <v>0</v>
      </c>
      <c r="AA1404" s="16">
        <f>_xlfn.XLOOKUP(CustomerCombinedCleaned[[#This Row],[ID]], Table2[ID],Table2[MC3], "Not Found", 0 )</f>
        <v>0</v>
      </c>
      <c r="AB1404" s="16">
        <f>_xlfn.XLOOKUP(CustomerCombinedCleaned[[#This Row],[ID]], Table2[ID],Table2[MC4], "Not Found", 0 )</f>
        <v>0</v>
      </c>
      <c r="AC1404" s="16">
        <f>_xlfn.XLOOKUP(CustomerCombinedCleaned[[#This Row],[ID]], Table2[ID],Table2[MC5], "Not Found", 0 )</f>
        <v>0</v>
      </c>
    </row>
    <row r="1405" spans="1:29" x14ac:dyDescent="0.3">
      <c r="A1405" s="18">
        <v>2563</v>
      </c>
      <c r="B1405" s="16">
        <v>161482</v>
      </c>
      <c r="C1405" s="16">
        <v>0</v>
      </c>
      <c r="D1405" s="16">
        <v>0</v>
      </c>
      <c r="E1405" s="16">
        <v>55</v>
      </c>
      <c r="F1405" s="17" t="s">
        <v>6</v>
      </c>
      <c r="G1405" s="17" t="s">
        <v>11</v>
      </c>
      <c r="H1405" s="3" t="s">
        <v>615</v>
      </c>
      <c r="I1405" s="5" t="s">
        <v>437</v>
      </c>
      <c r="J1405" s="16">
        <f>_xlfn.XLOOKUP(CustomerCombinedCleaned[[#This Row],[ID]], Table4[ID], Table4[Recency], "Not Found", 0)</f>
        <v>39</v>
      </c>
      <c r="K1405" s="16">
        <f>_xlfn.XLOOKUP(CustomerCombinedCleaned[[#This Row],[ID]], Table4[ID], Table4[Teas], "Not Found", 0)</f>
        <v>126</v>
      </c>
      <c r="L1405" s="16">
        <f>_xlfn.XLOOKUP(CustomerCombinedCleaned[[#This Row],[ID]], Table4[ID], Table4[Fruits], "Not Found", 0)</f>
        <v>152</v>
      </c>
      <c r="M1405" s="16">
        <f>_xlfn.XLOOKUP(CustomerCombinedCleaned[[#This Row],[ID]], Table4[ID], Table4[Meats], "Not Found", 0)</f>
        <v>179</v>
      </c>
      <c r="N1405" s="16">
        <f>_xlfn.XLOOKUP(CustomerCombinedCleaned[[#This Row],[ID]], Table4[ID], Table4[Seafood], "Not Found", 0)</f>
        <v>42</v>
      </c>
      <c r="O1405" s="16">
        <f>_xlfn.XLOOKUP(CustomerCombinedCleaned[[#This Row],[ID]], Table4[ID], Table4[Sweets], "Not Found", 0)</f>
        <v>173</v>
      </c>
      <c r="P1405" s="16">
        <f>_xlfn.XLOOKUP(CustomerCombinedCleaned[[#This Row],[ID]], Table4[ID], Table4[Premium], "Not Found", 0)</f>
        <v>113</v>
      </c>
      <c r="Q1405" s="16">
        <f>_xlfn.XLOOKUP(CustomerCombinedCleaned[[#This Row],[ID]], Table4[ID], Table4[Regular], "Not Found", 0)</f>
        <v>559</v>
      </c>
      <c r="R1405" s="16">
        <f>_xlfn.XLOOKUP(CustomerCombinedCleaned[[#This Row],[ID]], Table4[ID], Table4[Deals], "Not Found", 0)</f>
        <v>1</v>
      </c>
      <c r="S1405" s="16">
        <f>_xlfn.XLOOKUP(CustomerCombinedCleaned[[#This Row],[ID]], Table4[ID], Table4[Website], "Not Found", 0)</f>
        <v>3</v>
      </c>
      <c r="T1405" s="16">
        <f>_xlfn.XLOOKUP(CustomerCombinedCleaned[[#This Row],[ID]], Table4[ID], Table4[Catalog], "Not Found", 0)</f>
        <v>2</v>
      </c>
      <c r="U1405" s="16">
        <f>_xlfn.XLOOKUP(CustomerCombinedCleaned[[#This Row],[ID]], Table4[ID], Table4[Store], "Not Found", 0)</f>
        <v>6</v>
      </c>
      <c r="V1405" s="16">
        <f>_xlfn.XLOOKUP(CustomerCombinedCleaned[[#This Row],[ID]], Table4[ID], Table4[Visits], "Not Found", 0)</f>
        <v>2</v>
      </c>
      <c r="W1405" s="16">
        <f>_xlfn.XLOOKUP(CustomerCombinedCleaned[[#This Row],[ID]], Table2[ID],Table2[Complaint], "Not Found", 0 )</f>
        <v>0</v>
      </c>
      <c r="X1405" s="16">
        <f>_xlfn.XLOOKUP(CustomerCombinedCleaned[[#This Row],[ID]], Table2[ID],Table2[Pilot], "Not Found", 0 )</f>
        <v>0</v>
      </c>
      <c r="Y1405" s="16">
        <f>_xlfn.XLOOKUP(CustomerCombinedCleaned[[#This Row],[ID]], Table2[ID],Table2[MC1], "Not Found", 0 )</f>
        <v>0</v>
      </c>
      <c r="Z1405" s="16">
        <f>_xlfn.XLOOKUP(CustomerCombinedCleaned[[#This Row],[ID]], Table2[ID],Table2[MC2], "Not Found", 0 )</f>
        <v>0</v>
      </c>
      <c r="AA1405" s="16">
        <f>_xlfn.XLOOKUP(CustomerCombinedCleaned[[#This Row],[ID]], Table2[ID],Table2[MC3], "Not Found", 0 )</f>
        <v>0</v>
      </c>
      <c r="AB1405" s="16">
        <f>_xlfn.XLOOKUP(CustomerCombinedCleaned[[#This Row],[ID]], Table2[ID],Table2[MC4], "Not Found", 0 )</f>
        <v>0</v>
      </c>
      <c r="AC1405" s="16">
        <f>_xlfn.XLOOKUP(CustomerCombinedCleaned[[#This Row],[ID]], Table2[ID],Table2[MC5], "Not Found", 0 )</f>
        <v>0</v>
      </c>
    </row>
    <row r="1406" spans="1:29" x14ac:dyDescent="0.3">
      <c r="A1406" s="18">
        <v>1778</v>
      </c>
      <c r="B1406" s="16">
        <v>160161</v>
      </c>
      <c r="C1406" s="16">
        <v>0</v>
      </c>
      <c r="D1406" s="16">
        <v>1</v>
      </c>
      <c r="E1406" s="16">
        <v>55</v>
      </c>
      <c r="F1406" s="17" t="s">
        <v>5</v>
      </c>
      <c r="G1406" s="17" t="s">
        <v>11</v>
      </c>
      <c r="H1406" s="3" t="s">
        <v>371</v>
      </c>
      <c r="I1406" s="5" t="s">
        <v>438</v>
      </c>
      <c r="J1406" s="16">
        <f>_xlfn.XLOOKUP(CustomerCombinedCleaned[[#This Row],[ID]], Table4[ID], Table4[Recency], "Not Found", 0)</f>
        <v>17</v>
      </c>
      <c r="K1406" s="16">
        <f>_xlfn.XLOOKUP(CustomerCombinedCleaned[[#This Row],[ID]], Table4[ID], Table4[Teas], "Not Found", 0)</f>
        <v>1555</v>
      </c>
      <c r="L1406" s="16">
        <f>_xlfn.XLOOKUP(CustomerCombinedCleaned[[#This Row],[ID]], Table4[ID], Table4[Fruits], "Not Found", 0)</f>
        <v>117</v>
      </c>
      <c r="M1406" s="16">
        <f>_xlfn.XLOOKUP(CustomerCombinedCleaned[[#This Row],[ID]], Table4[ID], Table4[Meats], "Not Found", 0)</f>
        <v>564</v>
      </c>
      <c r="N1406" s="16">
        <f>_xlfn.XLOOKUP(CustomerCombinedCleaned[[#This Row],[ID]], Table4[ID], Table4[Seafood], "Not Found", 0)</f>
        <v>122</v>
      </c>
      <c r="O1406" s="16">
        <f>_xlfn.XLOOKUP(CustomerCombinedCleaned[[#This Row],[ID]], Table4[ID], Table4[Sweets], "Not Found", 0)</f>
        <v>21</v>
      </c>
      <c r="P1406" s="16">
        <f>_xlfn.XLOOKUP(CustomerCombinedCleaned[[#This Row],[ID]], Table4[ID], Table4[Premium], "Not Found", 0)</f>
        <v>471</v>
      </c>
      <c r="Q1406" s="16">
        <f>_xlfn.XLOOKUP(CustomerCombinedCleaned[[#This Row],[ID]], Table4[ID], Table4[Regular], "Not Found", 0)</f>
        <v>1909</v>
      </c>
      <c r="R1406" s="16">
        <f>_xlfn.XLOOKUP(CustomerCombinedCleaned[[#This Row],[ID]], Table4[ID], Table4[Deals], "Not Found", 0)</f>
        <v>3</v>
      </c>
      <c r="S1406" s="16">
        <f>_xlfn.XLOOKUP(CustomerCombinedCleaned[[#This Row],[ID]], Table4[ID], Table4[Website], "Not Found", 0)</f>
        <v>11</v>
      </c>
      <c r="T1406" s="16">
        <f>_xlfn.XLOOKUP(CustomerCombinedCleaned[[#This Row],[ID]], Table4[ID], Table4[Catalog], "Not Found", 0)</f>
        <v>4</v>
      </c>
      <c r="U1406" s="16">
        <f>_xlfn.XLOOKUP(CustomerCombinedCleaned[[#This Row],[ID]], Table4[ID], Table4[Store], "Not Found", 0)</f>
        <v>8</v>
      </c>
      <c r="V1406" s="16">
        <f>_xlfn.XLOOKUP(CustomerCombinedCleaned[[#This Row],[ID]], Table4[ID], Table4[Visits], "Not Found", 0)</f>
        <v>8</v>
      </c>
      <c r="W1406" s="16">
        <f>_xlfn.XLOOKUP(CustomerCombinedCleaned[[#This Row],[ID]], Table2[ID],Table2[Complaint], "Not Found", 0 )</f>
        <v>0</v>
      </c>
      <c r="X1406" s="16">
        <f>_xlfn.XLOOKUP(CustomerCombinedCleaned[[#This Row],[ID]], Table2[ID],Table2[Pilot], "Not Found", 0 )</f>
        <v>0</v>
      </c>
      <c r="Y1406" s="16">
        <f>_xlfn.XLOOKUP(CustomerCombinedCleaned[[#This Row],[ID]], Table2[ID],Table2[MC1], "Not Found", 0 )</f>
        <v>0</v>
      </c>
      <c r="Z1406" s="16">
        <f>_xlfn.XLOOKUP(CustomerCombinedCleaned[[#This Row],[ID]], Table2[ID],Table2[MC2], "Not Found", 0 )</f>
        <v>0</v>
      </c>
      <c r="AA1406" s="16">
        <f>_xlfn.XLOOKUP(CustomerCombinedCleaned[[#This Row],[ID]], Table2[ID],Table2[MC3], "Not Found", 0 )</f>
        <v>0</v>
      </c>
      <c r="AB1406" s="16">
        <f>_xlfn.XLOOKUP(CustomerCombinedCleaned[[#This Row],[ID]], Table2[ID],Table2[MC4], "Not Found", 0 )</f>
        <v>0</v>
      </c>
      <c r="AC1406" s="16">
        <f>_xlfn.XLOOKUP(CustomerCombinedCleaned[[#This Row],[ID]], Table2[ID],Table2[MC5], "Not Found", 0 )</f>
        <v>0</v>
      </c>
    </row>
    <row r="1407" spans="1:29" x14ac:dyDescent="0.3">
      <c r="A1407" s="18">
        <v>1937</v>
      </c>
      <c r="B1407" s="16">
        <v>159754</v>
      </c>
      <c r="C1407" s="16">
        <v>0</v>
      </c>
      <c r="D1407" s="16">
        <v>1</v>
      </c>
      <c r="E1407" s="16">
        <v>55</v>
      </c>
      <c r="F1407" s="17" t="s">
        <v>6</v>
      </c>
      <c r="G1407" s="17" t="s">
        <v>11</v>
      </c>
      <c r="H1407" s="3" t="s">
        <v>723</v>
      </c>
      <c r="I1407" s="5" t="s">
        <v>434</v>
      </c>
      <c r="J1407" s="16">
        <f>_xlfn.XLOOKUP(CustomerCombinedCleaned[[#This Row],[ID]], Table4[ID], Table4[Recency], "Not Found", 0)</f>
        <v>96</v>
      </c>
      <c r="K1407" s="16">
        <f>_xlfn.XLOOKUP(CustomerCombinedCleaned[[#This Row],[ID]], Table4[ID], Table4[Teas], "Not Found", 0)</f>
        <v>307</v>
      </c>
      <c r="L1407" s="16">
        <f>_xlfn.XLOOKUP(CustomerCombinedCleaned[[#This Row],[ID]], Table4[ID], Table4[Fruits], "Not Found", 0)</f>
        <v>72</v>
      </c>
      <c r="M1407" s="16">
        <f>_xlfn.XLOOKUP(CustomerCombinedCleaned[[#This Row],[ID]], Table4[ID], Table4[Meats], "Not Found", 0)</f>
        <v>118</v>
      </c>
      <c r="N1407" s="16">
        <f>_xlfn.XLOOKUP(CustomerCombinedCleaned[[#This Row],[ID]], Table4[ID], Table4[Seafood], "Not Found", 0)</f>
        <v>11</v>
      </c>
      <c r="O1407" s="16">
        <f>_xlfn.XLOOKUP(CustomerCombinedCleaned[[#This Row],[ID]], Table4[ID], Table4[Sweets], "Not Found", 0)</f>
        <v>390</v>
      </c>
      <c r="P1407" s="16">
        <f>_xlfn.XLOOKUP(CustomerCombinedCleaned[[#This Row],[ID]], Table4[ID], Table4[Premium], "Not Found", 0)</f>
        <v>372</v>
      </c>
      <c r="Q1407" s="16">
        <f>_xlfn.XLOOKUP(CustomerCombinedCleaned[[#This Row],[ID]], Table4[ID], Table4[Regular], "Not Found", 0)</f>
        <v>527</v>
      </c>
      <c r="R1407" s="16">
        <f>_xlfn.XLOOKUP(CustomerCombinedCleaned[[#This Row],[ID]], Table4[ID], Table4[Deals], "Not Found", 0)</f>
        <v>3</v>
      </c>
      <c r="S1407" s="16">
        <f>_xlfn.XLOOKUP(CustomerCombinedCleaned[[#This Row],[ID]], Table4[ID], Table4[Website], "Not Found", 0)</f>
        <v>5</v>
      </c>
      <c r="T1407" s="16">
        <f>_xlfn.XLOOKUP(CustomerCombinedCleaned[[#This Row],[ID]], Table4[ID], Table4[Catalog], "Not Found", 0)</f>
        <v>2</v>
      </c>
      <c r="U1407" s="16">
        <f>_xlfn.XLOOKUP(CustomerCombinedCleaned[[#This Row],[ID]], Table4[ID], Table4[Store], "Not Found", 0)</f>
        <v>6</v>
      </c>
      <c r="V1407" s="16">
        <f>_xlfn.XLOOKUP(CustomerCombinedCleaned[[#This Row],[ID]], Table4[ID], Table4[Visits], "Not Found", 0)</f>
        <v>5</v>
      </c>
      <c r="W1407" s="16">
        <f>_xlfn.XLOOKUP(CustomerCombinedCleaned[[#This Row],[ID]], Table2[ID],Table2[Complaint], "Not Found", 0 )</f>
        <v>0</v>
      </c>
      <c r="X1407" s="16">
        <f>_xlfn.XLOOKUP(CustomerCombinedCleaned[[#This Row],[ID]], Table2[ID],Table2[Pilot], "Not Found", 0 )</f>
        <v>1</v>
      </c>
      <c r="Y1407" s="16">
        <f>_xlfn.XLOOKUP(CustomerCombinedCleaned[[#This Row],[ID]], Table2[ID],Table2[MC1], "Not Found", 0 )</f>
        <v>0</v>
      </c>
      <c r="Z1407" s="16">
        <f>_xlfn.XLOOKUP(CustomerCombinedCleaned[[#This Row],[ID]], Table2[ID],Table2[MC2], "Not Found", 0 )</f>
        <v>0</v>
      </c>
      <c r="AA1407" s="16">
        <f>_xlfn.XLOOKUP(CustomerCombinedCleaned[[#This Row],[ID]], Table2[ID],Table2[MC3], "Not Found", 0 )</f>
        <v>0</v>
      </c>
      <c r="AB1407" s="16">
        <f>_xlfn.XLOOKUP(CustomerCombinedCleaned[[#This Row],[ID]], Table2[ID],Table2[MC4], "Not Found", 0 )</f>
        <v>0</v>
      </c>
      <c r="AC1407" s="16">
        <f>_xlfn.XLOOKUP(CustomerCombinedCleaned[[#This Row],[ID]], Table2[ID],Table2[MC5], "Not Found", 0 )</f>
        <v>0</v>
      </c>
    </row>
    <row r="1408" spans="1:29" x14ac:dyDescent="0.3">
      <c r="A1408" s="18">
        <v>3127</v>
      </c>
      <c r="B1408" s="16">
        <v>159686</v>
      </c>
      <c r="C1408" s="16">
        <v>0</v>
      </c>
      <c r="D1408" s="16">
        <v>1</v>
      </c>
      <c r="E1408" s="16">
        <v>55</v>
      </c>
      <c r="F1408" s="17" t="s">
        <v>7</v>
      </c>
      <c r="G1408" s="17" t="s">
        <v>11</v>
      </c>
      <c r="H1408" s="3" t="s">
        <v>587</v>
      </c>
      <c r="I1408" s="5" t="s">
        <v>437</v>
      </c>
      <c r="J1408" s="16">
        <f>_xlfn.XLOOKUP(CustomerCombinedCleaned[[#This Row],[ID]], Table4[ID], Table4[Recency], "Not Found", 0)</f>
        <v>78</v>
      </c>
      <c r="K1408" s="16">
        <f>_xlfn.XLOOKUP(CustomerCombinedCleaned[[#This Row],[ID]], Table4[ID], Table4[Teas], "Not Found", 0)</f>
        <v>238</v>
      </c>
      <c r="L1408" s="16">
        <f>_xlfn.XLOOKUP(CustomerCombinedCleaned[[#This Row],[ID]], Table4[ID], Table4[Fruits], "Not Found", 0)</f>
        <v>40</v>
      </c>
      <c r="M1408" s="16">
        <f>_xlfn.XLOOKUP(CustomerCombinedCleaned[[#This Row],[ID]], Table4[ID], Table4[Meats], "Not Found", 0)</f>
        <v>238</v>
      </c>
      <c r="N1408" s="16">
        <f>_xlfn.XLOOKUP(CustomerCombinedCleaned[[#This Row],[ID]], Table4[ID], Table4[Seafood], "Not Found", 0)</f>
        <v>91</v>
      </c>
      <c r="O1408" s="16">
        <f>_xlfn.XLOOKUP(CustomerCombinedCleaned[[#This Row],[ID]], Table4[ID], Table4[Sweets], "Not Found", 0)</f>
        <v>112</v>
      </c>
      <c r="P1408" s="16">
        <f>_xlfn.XLOOKUP(CustomerCombinedCleaned[[#This Row],[ID]], Table4[ID], Table4[Premium], "Not Found", 0)</f>
        <v>13</v>
      </c>
      <c r="Q1408" s="16">
        <f>_xlfn.XLOOKUP(CustomerCombinedCleaned[[#This Row],[ID]], Table4[ID], Table4[Regular], "Not Found", 0)</f>
        <v>706</v>
      </c>
      <c r="R1408" s="16">
        <f>_xlfn.XLOOKUP(CustomerCombinedCleaned[[#This Row],[ID]], Table4[ID], Table4[Deals], "Not Found", 0)</f>
        <v>1</v>
      </c>
      <c r="S1408" s="16">
        <f>_xlfn.XLOOKUP(CustomerCombinedCleaned[[#This Row],[ID]], Table4[ID], Table4[Website], "Not Found", 0)</f>
        <v>4</v>
      </c>
      <c r="T1408" s="16">
        <f>_xlfn.XLOOKUP(CustomerCombinedCleaned[[#This Row],[ID]], Table4[ID], Table4[Catalog], "Not Found", 0)</f>
        <v>1</v>
      </c>
      <c r="U1408" s="16">
        <f>_xlfn.XLOOKUP(CustomerCombinedCleaned[[#This Row],[ID]], Table4[ID], Table4[Store], "Not Found", 0)</f>
        <v>6</v>
      </c>
      <c r="V1408" s="16">
        <f>_xlfn.XLOOKUP(CustomerCombinedCleaned[[#This Row],[ID]], Table4[ID], Table4[Visits], "Not Found", 0)</f>
        <v>4</v>
      </c>
      <c r="W1408" s="16">
        <f>_xlfn.XLOOKUP(CustomerCombinedCleaned[[#This Row],[ID]], Table2[ID],Table2[Complaint], "Not Found", 0 )</f>
        <v>0</v>
      </c>
      <c r="X1408" s="16">
        <f>_xlfn.XLOOKUP(CustomerCombinedCleaned[[#This Row],[ID]], Table2[ID],Table2[Pilot], "Not Found", 0 )</f>
        <v>0</v>
      </c>
      <c r="Y1408" s="16">
        <f>_xlfn.XLOOKUP(CustomerCombinedCleaned[[#This Row],[ID]], Table2[ID],Table2[MC1], "Not Found", 0 )</f>
        <v>0</v>
      </c>
      <c r="Z1408" s="16">
        <f>_xlfn.XLOOKUP(CustomerCombinedCleaned[[#This Row],[ID]], Table2[ID],Table2[MC2], "Not Found", 0 )</f>
        <v>0</v>
      </c>
      <c r="AA1408" s="16">
        <f>_xlfn.XLOOKUP(CustomerCombinedCleaned[[#This Row],[ID]], Table2[ID],Table2[MC3], "Not Found", 0 )</f>
        <v>0</v>
      </c>
      <c r="AB1408" s="16">
        <f>_xlfn.XLOOKUP(CustomerCombinedCleaned[[#This Row],[ID]], Table2[ID],Table2[MC4], "Not Found", 0 )</f>
        <v>0</v>
      </c>
      <c r="AC1408" s="16">
        <f>_xlfn.XLOOKUP(CustomerCombinedCleaned[[#This Row],[ID]], Table2[ID],Table2[MC5], "Not Found", 0 )</f>
        <v>0</v>
      </c>
    </row>
    <row r="1409" spans="1:29" x14ac:dyDescent="0.3">
      <c r="A1409" s="18">
        <v>2143</v>
      </c>
      <c r="B1409" s="16">
        <v>159594</v>
      </c>
      <c r="C1409" s="16">
        <v>0</v>
      </c>
      <c r="D1409" s="16">
        <v>1</v>
      </c>
      <c r="E1409" s="16">
        <v>55</v>
      </c>
      <c r="F1409" s="17" t="s">
        <v>6</v>
      </c>
      <c r="G1409" s="17" t="s">
        <v>11</v>
      </c>
      <c r="H1409" s="3" t="s">
        <v>374</v>
      </c>
      <c r="I1409" s="5" t="s">
        <v>437</v>
      </c>
      <c r="J1409" s="16">
        <f>_xlfn.XLOOKUP(CustomerCombinedCleaned[[#This Row],[ID]], Table4[ID], Table4[Recency], "Not Found", 0)</f>
        <v>74</v>
      </c>
      <c r="K1409" s="16">
        <f>_xlfn.XLOOKUP(CustomerCombinedCleaned[[#This Row],[ID]], Table4[ID], Table4[Teas], "Not Found", 0)</f>
        <v>1224</v>
      </c>
      <c r="L1409" s="16">
        <f>_xlfn.XLOOKUP(CustomerCombinedCleaned[[#This Row],[ID]], Table4[ID], Table4[Fruits], "Not Found", 0)</f>
        <v>11</v>
      </c>
      <c r="M1409" s="16">
        <f>_xlfn.XLOOKUP(CustomerCombinedCleaned[[#This Row],[ID]], Table4[ID], Table4[Meats], "Not Found", 0)</f>
        <v>78</v>
      </c>
      <c r="N1409" s="16">
        <f>_xlfn.XLOOKUP(CustomerCombinedCleaned[[#This Row],[ID]], Table4[ID], Table4[Seafood], "Not Found", 0)</f>
        <v>0</v>
      </c>
      <c r="O1409" s="16">
        <f>_xlfn.XLOOKUP(CustomerCombinedCleaned[[#This Row],[ID]], Table4[ID], Table4[Sweets], "Not Found", 0)</f>
        <v>0</v>
      </c>
      <c r="P1409" s="16">
        <f>_xlfn.XLOOKUP(CustomerCombinedCleaned[[#This Row],[ID]], Table4[ID], Table4[Premium], "Not Found", 0)</f>
        <v>24</v>
      </c>
      <c r="Q1409" s="16">
        <f>_xlfn.XLOOKUP(CustomerCombinedCleaned[[#This Row],[ID]], Table4[ID], Table4[Regular], "Not Found", 0)</f>
        <v>1288</v>
      </c>
      <c r="R1409" s="16">
        <f>_xlfn.XLOOKUP(CustomerCombinedCleaned[[#This Row],[ID]], Table4[ID], Table4[Deals], "Not Found", 0)</f>
        <v>1</v>
      </c>
      <c r="S1409" s="16">
        <f>_xlfn.XLOOKUP(CustomerCombinedCleaned[[#This Row],[ID]], Table4[ID], Table4[Website], "Not Found", 0)</f>
        <v>8</v>
      </c>
      <c r="T1409" s="16">
        <f>_xlfn.XLOOKUP(CustomerCombinedCleaned[[#This Row],[ID]], Table4[ID], Table4[Catalog], "Not Found", 0)</f>
        <v>1</v>
      </c>
      <c r="U1409" s="16">
        <f>_xlfn.XLOOKUP(CustomerCombinedCleaned[[#This Row],[ID]], Table4[ID], Table4[Store], "Not Found", 0)</f>
        <v>7</v>
      </c>
      <c r="V1409" s="16">
        <f>_xlfn.XLOOKUP(CustomerCombinedCleaned[[#This Row],[ID]], Table4[ID], Table4[Visits], "Not Found", 0)</f>
        <v>7</v>
      </c>
      <c r="W1409" s="16">
        <f>_xlfn.XLOOKUP(CustomerCombinedCleaned[[#This Row],[ID]], Table2[ID],Table2[Complaint], "Not Found", 0 )</f>
        <v>0</v>
      </c>
      <c r="X1409" s="16">
        <f>_xlfn.XLOOKUP(CustomerCombinedCleaned[[#This Row],[ID]], Table2[ID],Table2[Pilot], "Not Found", 0 )</f>
        <v>0</v>
      </c>
      <c r="Y1409" s="16">
        <f>_xlfn.XLOOKUP(CustomerCombinedCleaned[[#This Row],[ID]], Table2[ID],Table2[MC1], "Not Found", 0 )</f>
        <v>0</v>
      </c>
      <c r="Z1409" s="16">
        <f>_xlfn.XLOOKUP(CustomerCombinedCleaned[[#This Row],[ID]], Table2[ID],Table2[MC2], "Not Found", 0 )</f>
        <v>0</v>
      </c>
      <c r="AA1409" s="16">
        <f>_xlfn.XLOOKUP(CustomerCombinedCleaned[[#This Row],[ID]], Table2[ID],Table2[MC3], "Not Found", 0 )</f>
        <v>0</v>
      </c>
      <c r="AB1409" s="16">
        <f>_xlfn.XLOOKUP(CustomerCombinedCleaned[[#This Row],[ID]], Table2[ID],Table2[MC4], "Not Found", 0 )</f>
        <v>1</v>
      </c>
      <c r="AC1409" s="16">
        <f>_xlfn.XLOOKUP(CustomerCombinedCleaned[[#This Row],[ID]], Table2[ID],Table2[MC5], "Not Found", 0 )</f>
        <v>0</v>
      </c>
    </row>
    <row r="1410" spans="1:29" x14ac:dyDescent="0.3">
      <c r="A1410" s="18">
        <v>3103</v>
      </c>
      <c r="B1410" s="16">
        <v>158692</v>
      </c>
      <c r="C1410" s="16">
        <v>0</v>
      </c>
      <c r="D1410" s="16">
        <v>1</v>
      </c>
      <c r="E1410" s="16">
        <v>55</v>
      </c>
      <c r="F1410" s="17" t="s">
        <v>6</v>
      </c>
      <c r="G1410" s="17" t="s">
        <v>11</v>
      </c>
      <c r="H1410" s="3" t="s">
        <v>725</v>
      </c>
      <c r="I1410" s="5" t="s">
        <v>437</v>
      </c>
      <c r="J1410" s="16">
        <f>_xlfn.XLOOKUP(CustomerCombinedCleaned[[#This Row],[ID]], Table4[ID], Table4[Recency], "Not Found", 0)</f>
        <v>21</v>
      </c>
      <c r="K1410" s="16">
        <f>_xlfn.XLOOKUP(CustomerCombinedCleaned[[#This Row],[ID]], Table4[ID], Table4[Teas], "Not Found", 0)</f>
        <v>814</v>
      </c>
      <c r="L1410" s="16">
        <f>_xlfn.XLOOKUP(CustomerCombinedCleaned[[#This Row],[ID]], Table4[ID], Table4[Fruits], "Not Found", 0)</f>
        <v>30</v>
      </c>
      <c r="M1410" s="16">
        <f>_xlfn.XLOOKUP(CustomerCombinedCleaned[[#This Row],[ID]], Table4[ID], Table4[Meats], "Not Found", 0)</f>
        <v>165</v>
      </c>
      <c r="N1410" s="16">
        <f>_xlfn.XLOOKUP(CustomerCombinedCleaned[[#This Row],[ID]], Table4[ID], Table4[Seafood], "Not Found", 0)</f>
        <v>11</v>
      </c>
      <c r="O1410" s="16">
        <f>_xlfn.XLOOKUP(CustomerCombinedCleaned[[#This Row],[ID]], Table4[ID], Table4[Sweets], "Not Found", 0)</f>
        <v>19</v>
      </c>
      <c r="P1410" s="16">
        <f>_xlfn.XLOOKUP(CustomerCombinedCleaned[[#This Row],[ID]], Table4[ID], Table4[Premium], "Not Found", 0)</f>
        <v>30</v>
      </c>
      <c r="Q1410" s="16">
        <f>_xlfn.XLOOKUP(CustomerCombinedCleaned[[#This Row],[ID]], Table4[ID], Table4[Regular], "Not Found", 0)</f>
        <v>1009</v>
      </c>
      <c r="R1410" s="16">
        <f>_xlfn.XLOOKUP(CustomerCombinedCleaned[[#This Row],[ID]], Table4[ID], Table4[Deals], "Not Found", 0)</f>
        <v>1</v>
      </c>
      <c r="S1410" s="16">
        <f>_xlfn.XLOOKUP(CustomerCombinedCleaned[[#This Row],[ID]], Table4[ID], Table4[Website], "Not Found", 0)</f>
        <v>8</v>
      </c>
      <c r="T1410" s="16">
        <f>_xlfn.XLOOKUP(CustomerCombinedCleaned[[#This Row],[ID]], Table4[ID], Table4[Catalog], "Not Found", 0)</f>
        <v>2</v>
      </c>
      <c r="U1410" s="16">
        <f>_xlfn.XLOOKUP(CustomerCombinedCleaned[[#This Row],[ID]], Table4[ID], Table4[Store], "Not Found", 0)</f>
        <v>4</v>
      </c>
      <c r="V1410" s="16">
        <f>_xlfn.XLOOKUP(CustomerCombinedCleaned[[#This Row],[ID]], Table4[ID], Table4[Visits], "Not Found", 0)</f>
        <v>7</v>
      </c>
      <c r="W1410" s="16">
        <f>_xlfn.XLOOKUP(CustomerCombinedCleaned[[#This Row],[ID]], Table2[ID],Table2[Complaint], "Not Found", 0 )</f>
        <v>0</v>
      </c>
      <c r="X1410" s="16">
        <f>_xlfn.XLOOKUP(CustomerCombinedCleaned[[#This Row],[ID]], Table2[ID],Table2[Pilot], "Not Found", 0 )</f>
        <v>0</v>
      </c>
      <c r="Y1410" s="16">
        <f>_xlfn.XLOOKUP(CustomerCombinedCleaned[[#This Row],[ID]], Table2[ID],Table2[MC1], "Not Found", 0 )</f>
        <v>0</v>
      </c>
      <c r="Z1410" s="16">
        <f>_xlfn.XLOOKUP(CustomerCombinedCleaned[[#This Row],[ID]], Table2[ID],Table2[MC2], "Not Found", 0 )</f>
        <v>0</v>
      </c>
      <c r="AA1410" s="16">
        <f>_xlfn.XLOOKUP(CustomerCombinedCleaned[[#This Row],[ID]], Table2[ID],Table2[MC3], "Not Found", 0 )</f>
        <v>0</v>
      </c>
      <c r="AB1410" s="16">
        <f>_xlfn.XLOOKUP(CustomerCombinedCleaned[[#This Row],[ID]], Table2[ID],Table2[MC4], "Not Found", 0 )</f>
        <v>0</v>
      </c>
      <c r="AC1410" s="16">
        <f>_xlfn.XLOOKUP(CustomerCombinedCleaned[[#This Row],[ID]], Table2[ID],Table2[MC5], "Not Found", 0 )</f>
        <v>0</v>
      </c>
    </row>
    <row r="1411" spans="1:29" x14ac:dyDescent="0.3">
      <c r="A1411" s="18">
        <v>1286</v>
      </c>
      <c r="B1411" s="16">
        <v>157912</v>
      </c>
      <c r="C1411" s="16">
        <v>0</v>
      </c>
      <c r="D1411" s="16">
        <v>1</v>
      </c>
      <c r="E1411" s="16">
        <v>55</v>
      </c>
      <c r="F1411" s="17" t="s">
        <v>5</v>
      </c>
      <c r="G1411" s="17" t="s">
        <v>13</v>
      </c>
      <c r="H1411" s="3" t="s">
        <v>84</v>
      </c>
      <c r="I1411" s="5" t="s">
        <v>438</v>
      </c>
      <c r="J1411" s="16">
        <f>_xlfn.XLOOKUP(CustomerCombinedCleaned[[#This Row],[ID]], Table4[ID], Table4[Recency], "Not Found", 0)</f>
        <v>34</v>
      </c>
      <c r="K1411" s="16">
        <f>_xlfn.XLOOKUP(CustomerCombinedCleaned[[#This Row],[ID]], Table4[ID], Table4[Teas], "Not Found", 0)</f>
        <v>2184</v>
      </c>
      <c r="L1411" s="16">
        <f>_xlfn.XLOOKUP(CustomerCombinedCleaned[[#This Row],[ID]], Table4[ID], Table4[Fruits], "Not Found", 0)</f>
        <v>0</v>
      </c>
      <c r="M1411" s="16">
        <f>_xlfn.XLOOKUP(CustomerCombinedCleaned[[#This Row],[ID]], Table4[ID], Table4[Meats], "Not Found", 0)</f>
        <v>218</v>
      </c>
      <c r="N1411" s="16">
        <f>_xlfn.XLOOKUP(CustomerCombinedCleaned[[#This Row],[ID]], Table4[ID], Table4[Seafood], "Not Found", 0)</f>
        <v>0</v>
      </c>
      <c r="O1411" s="16">
        <f>_xlfn.XLOOKUP(CustomerCombinedCleaned[[#This Row],[ID]], Table4[ID], Table4[Sweets], "Not Found", 0)</f>
        <v>0</v>
      </c>
      <c r="P1411" s="16">
        <f>_xlfn.XLOOKUP(CustomerCombinedCleaned[[#This Row],[ID]], Table4[ID], Table4[Premium], "Not Found", 0)</f>
        <v>95</v>
      </c>
      <c r="Q1411" s="16">
        <f>_xlfn.XLOOKUP(CustomerCombinedCleaned[[#This Row],[ID]], Table4[ID], Table4[Regular], "Not Found", 0)</f>
        <v>2307</v>
      </c>
      <c r="R1411" s="16">
        <f>_xlfn.XLOOKUP(CustomerCombinedCleaned[[#This Row],[ID]], Table4[ID], Table4[Deals], "Not Found", 0)</f>
        <v>5</v>
      </c>
      <c r="S1411" s="16">
        <f>_xlfn.XLOOKUP(CustomerCombinedCleaned[[#This Row],[ID]], Table4[ID], Table4[Website], "Not Found", 0)</f>
        <v>8</v>
      </c>
      <c r="T1411" s="16">
        <f>_xlfn.XLOOKUP(CustomerCombinedCleaned[[#This Row],[ID]], Table4[ID], Table4[Catalog], "Not Found", 0)</f>
        <v>3</v>
      </c>
      <c r="U1411" s="16">
        <f>_xlfn.XLOOKUP(CustomerCombinedCleaned[[#This Row],[ID]], Table4[ID], Table4[Store], "Not Found", 0)</f>
        <v>12</v>
      </c>
      <c r="V1411" s="16">
        <f>_xlfn.XLOOKUP(CustomerCombinedCleaned[[#This Row],[ID]], Table4[ID], Table4[Visits], "Not Found", 0)</f>
        <v>5</v>
      </c>
      <c r="W1411" s="16">
        <f>_xlfn.XLOOKUP(CustomerCombinedCleaned[[#This Row],[ID]], Table2[ID],Table2[Complaint], "Not Found", 0 )</f>
        <v>0</v>
      </c>
      <c r="X1411" s="16">
        <f>_xlfn.XLOOKUP(CustomerCombinedCleaned[[#This Row],[ID]], Table2[ID],Table2[Pilot], "Not Found", 0 )</f>
        <v>0</v>
      </c>
      <c r="Y1411" s="16">
        <f>_xlfn.XLOOKUP(CustomerCombinedCleaned[[#This Row],[ID]], Table2[ID],Table2[MC1], "Not Found", 0 )</f>
        <v>0</v>
      </c>
      <c r="Z1411" s="16">
        <f>_xlfn.XLOOKUP(CustomerCombinedCleaned[[#This Row],[ID]], Table2[ID],Table2[MC2], "Not Found", 0 )</f>
        <v>0</v>
      </c>
      <c r="AA1411" s="16">
        <f>_xlfn.XLOOKUP(CustomerCombinedCleaned[[#This Row],[ID]], Table2[ID],Table2[MC3], "Not Found", 0 )</f>
        <v>0</v>
      </c>
      <c r="AB1411" s="16">
        <f>_xlfn.XLOOKUP(CustomerCombinedCleaned[[#This Row],[ID]], Table2[ID],Table2[MC4], "Not Found", 0 )</f>
        <v>1</v>
      </c>
      <c r="AC1411" s="16">
        <f>_xlfn.XLOOKUP(CustomerCombinedCleaned[[#This Row],[ID]], Table2[ID],Table2[MC5], "Not Found", 0 )</f>
        <v>0</v>
      </c>
    </row>
    <row r="1412" spans="1:29" x14ac:dyDescent="0.3">
      <c r="A1412" s="18">
        <v>2075</v>
      </c>
      <c r="B1412" s="16">
        <v>157236</v>
      </c>
      <c r="C1412" s="16">
        <v>1</v>
      </c>
      <c r="D1412" s="16">
        <v>1</v>
      </c>
      <c r="E1412" s="16">
        <v>55</v>
      </c>
      <c r="F1412" s="17" t="s">
        <v>6</v>
      </c>
      <c r="G1412" s="17" t="s">
        <v>13</v>
      </c>
      <c r="H1412" s="3" t="s">
        <v>87</v>
      </c>
      <c r="I1412" s="5" t="s">
        <v>434</v>
      </c>
      <c r="J1412" s="16">
        <f>_xlfn.XLOOKUP(CustomerCombinedCleaned[[#This Row],[ID]], Table4[ID], Table4[Recency], "Not Found", 0)</f>
        <v>22</v>
      </c>
      <c r="K1412" s="16">
        <f>_xlfn.XLOOKUP(CustomerCombinedCleaned[[#This Row],[ID]], Table4[ID], Table4[Teas], "Not Found", 0)</f>
        <v>288</v>
      </c>
      <c r="L1412" s="16">
        <f>_xlfn.XLOOKUP(CustomerCombinedCleaned[[#This Row],[ID]], Table4[ID], Table4[Fruits], "Not Found", 0)</f>
        <v>0</v>
      </c>
      <c r="M1412" s="16">
        <f>_xlfn.XLOOKUP(CustomerCombinedCleaned[[#This Row],[ID]], Table4[ID], Table4[Meats], "Not Found", 0)</f>
        <v>25</v>
      </c>
      <c r="N1412" s="16">
        <f>_xlfn.XLOOKUP(CustomerCombinedCleaned[[#This Row],[ID]], Table4[ID], Table4[Seafood], "Not Found", 0)</f>
        <v>5</v>
      </c>
      <c r="O1412" s="16">
        <f>_xlfn.XLOOKUP(CustomerCombinedCleaned[[#This Row],[ID]], Table4[ID], Table4[Sweets], "Not Found", 0)</f>
        <v>3</v>
      </c>
      <c r="P1412" s="16">
        <f>_xlfn.XLOOKUP(CustomerCombinedCleaned[[#This Row],[ID]], Table4[ID], Table4[Premium], "Not Found", 0)</f>
        <v>11</v>
      </c>
      <c r="Q1412" s="16">
        <f>_xlfn.XLOOKUP(CustomerCombinedCleaned[[#This Row],[ID]], Table4[ID], Table4[Regular], "Not Found", 0)</f>
        <v>310</v>
      </c>
      <c r="R1412" s="16">
        <f>_xlfn.XLOOKUP(CustomerCombinedCleaned[[#This Row],[ID]], Table4[ID], Table4[Deals], "Not Found", 0)</f>
        <v>3</v>
      </c>
      <c r="S1412" s="16">
        <f>_xlfn.XLOOKUP(CustomerCombinedCleaned[[#This Row],[ID]], Table4[ID], Table4[Website], "Not Found", 0)</f>
        <v>2</v>
      </c>
      <c r="T1412" s="16">
        <f>_xlfn.XLOOKUP(CustomerCombinedCleaned[[#This Row],[ID]], Table4[ID], Table4[Catalog], "Not Found", 0)</f>
        <v>1</v>
      </c>
      <c r="U1412" s="16">
        <f>_xlfn.XLOOKUP(CustomerCombinedCleaned[[#This Row],[ID]], Table4[ID], Table4[Store], "Not Found", 0)</f>
        <v>4</v>
      </c>
      <c r="V1412" s="16">
        <f>_xlfn.XLOOKUP(CustomerCombinedCleaned[[#This Row],[ID]], Table4[ID], Table4[Visits], "Not Found", 0)</f>
        <v>3</v>
      </c>
      <c r="W1412" s="16">
        <f>_xlfn.XLOOKUP(CustomerCombinedCleaned[[#This Row],[ID]], Table2[ID],Table2[Complaint], "Not Found", 0 )</f>
        <v>0</v>
      </c>
      <c r="X1412" s="16">
        <f>_xlfn.XLOOKUP(CustomerCombinedCleaned[[#This Row],[ID]], Table2[ID],Table2[Pilot], "Not Found", 0 )</f>
        <v>0</v>
      </c>
      <c r="Y1412" s="16">
        <f>_xlfn.XLOOKUP(CustomerCombinedCleaned[[#This Row],[ID]], Table2[ID],Table2[MC1], "Not Found", 0 )</f>
        <v>0</v>
      </c>
      <c r="Z1412" s="16">
        <f>_xlfn.XLOOKUP(CustomerCombinedCleaned[[#This Row],[ID]], Table2[ID],Table2[MC2], "Not Found", 0 )</f>
        <v>0</v>
      </c>
      <c r="AA1412" s="16">
        <f>_xlfn.XLOOKUP(CustomerCombinedCleaned[[#This Row],[ID]], Table2[ID],Table2[MC3], "Not Found", 0 )</f>
        <v>0</v>
      </c>
      <c r="AB1412" s="16">
        <f>_xlfn.XLOOKUP(CustomerCombinedCleaned[[#This Row],[ID]], Table2[ID],Table2[MC4], "Not Found", 0 )</f>
        <v>0</v>
      </c>
      <c r="AC1412" s="16">
        <f>_xlfn.XLOOKUP(CustomerCombinedCleaned[[#This Row],[ID]], Table2[ID],Table2[MC5], "Not Found", 0 )</f>
        <v>0</v>
      </c>
    </row>
    <row r="1413" spans="1:29" x14ac:dyDescent="0.3">
      <c r="A1413" s="18">
        <v>1709</v>
      </c>
      <c r="B1413" s="16">
        <v>156962</v>
      </c>
      <c r="C1413" s="16">
        <v>2</v>
      </c>
      <c r="D1413" s="16">
        <v>1</v>
      </c>
      <c r="E1413" s="16">
        <v>55</v>
      </c>
      <c r="F1413" s="17" t="s">
        <v>6</v>
      </c>
      <c r="G1413" s="17" t="s">
        <v>12</v>
      </c>
      <c r="H1413" s="3" t="s">
        <v>171</v>
      </c>
      <c r="I1413" s="5" t="s">
        <v>434</v>
      </c>
      <c r="J1413" s="16">
        <f>_xlfn.XLOOKUP(CustomerCombinedCleaned[[#This Row],[ID]], Table4[ID], Table4[Recency], "Not Found", 0)</f>
        <v>60</v>
      </c>
      <c r="K1413" s="16">
        <f>_xlfn.XLOOKUP(CustomerCombinedCleaned[[#This Row],[ID]], Table4[ID], Table4[Teas], "Not Found", 0)</f>
        <v>805</v>
      </c>
      <c r="L1413" s="16">
        <f>_xlfn.XLOOKUP(CustomerCombinedCleaned[[#This Row],[ID]], Table4[ID], Table4[Fruits], "Not Found", 0)</f>
        <v>8</v>
      </c>
      <c r="M1413" s="16">
        <f>_xlfn.XLOOKUP(CustomerCombinedCleaned[[#This Row],[ID]], Table4[ID], Table4[Meats], "Not Found", 0)</f>
        <v>212</v>
      </c>
      <c r="N1413" s="16">
        <f>_xlfn.XLOOKUP(CustomerCombinedCleaned[[#This Row],[ID]], Table4[ID], Table4[Seafood], "Not Found", 0)</f>
        <v>28</v>
      </c>
      <c r="O1413" s="16">
        <f>_xlfn.XLOOKUP(CustomerCombinedCleaned[[#This Row],[ID]], Table4[ID], Table4[Sweets], "Not Found", 0)</f>
        <v>8</v>
      </c>
      <c r="P1413" s="16">
        <f>_xlfn.XLOOKUP(CustomerCombinedCleaned[[#This Row],[ID]], Table4[ID], Table4[Premium], "Not Found", 0)</f>
        <v>72</v>
      </c>
      <c r="Q1413" s="16">
        <f>_xlfn.XLOOKUP(CustomerCombinedCleaned[[#This Row],[ID]], Table4[ID], Table4[Regular], "Not Found", 0)</f>
        <v>989</v>
      </c>
      <c r="R1413" s="16">
        <f>_xlfn.XLOOKUP(CustomerCombinedCleaned[[#This Row],[ID]], Table4[ID], Table4[Deals], "Not Found", 0)</f>
        <v>7</v>
      </c>
      <c r="S1413" s="16">
        <f>_xlfn.XLOOKUP(CustomerCombinedCleaned[[#This Row],[ID]], Table4[ID], Table4[Website], "Not Found", 0)</f>
        <v>6</v>
      </c>
      <c r="T1413" s="16">
        <f>_xlfn.XLOOKUP(CustomerCombinedCleaned[[#This Row],[ID]], Table4[ID], Table4[Catalog], "Not Found", 0)</f>
        <v>3</v>
      </c>
      <c r="U1413" s="16">
        <f>_xlfn.XLOOKUP(CustomerCombinedCleaned[[#This Row],[ID]], Table4[ID], Table4[Store], "Not Found", 0)</f>
        <v>5</v>
      </c>
      <c r="V1413" s="16">
        <f>_xlfn.XLOOKUP(CustomerCombinedCleaned[[#This Row],[ID]], Table4[ID], Table4[Visits], "Not Found", 0)</f>
        <v>7</v>
      </c>
      <c r="W1413" s="16">
        <f>_xlfn.XLOOKUP(CustomerCombinedCleaned[[#This Row],[ID]], Table2[ID],Table2[Complaint], "Not Found", 0 )</f>
        <v>0</v>
      </c>
      <c r="X1413" s="16">
        <f>_xlfn.XLOOKUP(CustomerCombinedCleaned[[#This Row],[ID]], Table2[ID],Table2[Pilot], "Not Found", 0 )</f>
        <v>0</v>
      </c>
      <c r="Y1413" s="16">
        <f>_xlfn.XLOOKUP(CustomerCombinedCleaned[[#This Row],[ID]], Table2[ID],Table2[MC1], "Not Found", 0 )</f>
        <v>0</v>
      </c>
      <c r="Z1413" s="16">
        <f>_xlfn.XLOOKUP(CustomerCombinedCleaned[[#This Row],[ID]], Table2[ID],Table2[MC2], "Not Found", 0 )</f>
        <v>0</v>
      </c>
      <c r="AA1413" s="16">
        <f>_xlfn.XLOOKUP(CustomerCombinedCleaned[[#This Row],[ID]], Table2[ID],Table2[MC3], "Not Found", 0 )</f>
        <v>0</v>
      </c>
      <c r="AB1413" s="16">
        <f>_xlfn.XLOOKUP(CustomerCombinedCleaned[[#This Row],[ID]], Table2[ID],Table2[MC4], "Not Found", 0 )</f>
        <v>0</v>
      </c>
      <c r="AC1413" s="16">
        <f>_xlfn.XLOOKUP(CustomerCombinedCleaned[[#This Row],[ID]], Table2[ID],Table2[MC5], "Not Found", 0 )</f>
        <v>0</v>
      </c>
    </row>
    <row r="1414" spans="1:29" x14ac:dyDescent="0.3">
      <c r="A1414" s="18">
        <v>1958</v>
      </c>
      <c r="B1414" s="16">
        <v>156962</v>
      </c>
      <c r="C1414" s="16">
        <v>2</v>
      </c>
      <c r="D1414" s="16">
        <v>1</v>
      </c>
      <c r="E1414" s="16">
        <v>55</v>
      </c>
      <c r="F1414" s="17" t="s">
        <v>6</v>
      </c>
      <c r="G1414" s="17" t="s">
        <v>12</v>
      </c>
      <c r="H1414" s="3" t="s">
        <v>171</v>
      </c>
      <c r="I1414" s="5" t="s">
        <v>438</v>
      </c>
      <c r="J1414" s="16">
        <f>_xlfn.XLOOKUP(CustomerCombinedCleaned[[#This Row],[ID]], Table4[ID], Table4[Recency], "Not Found", 0)</f>
        <v>60</v>
      </c>
      <c r="K1414" s="16">
        <f>_xlfn.XLOOKUP(CustomerCombinedCleaned[[#This Row],[ID]], Table4[ID], Table4[Teas], "Not Found", 0)</f>
        <v>805</v>
      </c>
      <c r="L1414" s="16">
        <f>_xlfn.XLOOKUP(CustomerCombinedCleaned[[#This Row],[ID]], Table4[ID], Table4[Fruits], "Not Found", 0)</f>
        <v>8</v>
      </c>
      <c r="M1414" s="16">
        <f>_xlfn.XLOOKUP(CustomerCombinedCleaned[[#This Row],[ID]], Table4[ID], Table4[Meats], "Not Found", 0)</f>
        <v>212</v>
      </c>
      <c r="N1414" s="16">
        <f>_xlfn.XLOOKUP(CustomerCombinedCleaned[[#This Row],[ID]], Table4[ID], Table4[Seafood], "Not Found", 0)</f>
        <v>28</v>
      </c>
      <c r="O1414" s="16">
        <f>_xlfn.XLOOKUP(CustomerCombinedCleaned[[#This Row],[ID]], Table4[ID], Table4[Sweets], "Not Found", 0)</f>
        <v>8</v>
      </c>
      <c r="P1414" s="16">
        <f>_xlfn.XLOOKUP(CustomerCombinedCleaned[[#This Row],[ID]], Table4[ID], Table4[Premium], "Not Found", 0)</f>
        <v>72</v>
      </c>
      <c r="Q1414" s="16">
        <f>_xlfn.XLOOKUP(CustomerCombinedCleaned[[#This Row],[ID]], Table4[ID], Table4[Regular], "Not Found", 0)</f>
        <v>989</v>
      </c>
      <c r="R1414" s="16">
        <f>_xlfn.XLOOKUP(CustomerCombinedCleaned[[#This Row],[ID]], Table4[ID], Table4[Deals], "Not Found", 0)</f>
        <v>7</v>
      </c>
      <c r="S1414" s="16">
        <f>_xlfn.XLOOKUP(CustomerCombinedCleaned[[#This Row],[ID]], Table4[ID], Table4[Website], "Not Found", 0)</f>
        <v>6</v>
      </c>
      <c r="T1414" s="16">
        <f>_xlfn.XLOOKUP(CustomerCombinedCleaned[[#This Row],[ID]], Table4[ID], Table4[Catalog], "Not Found", 0)</f>
        <v>3</v>
      </c>
      <c r="U1414" s="16">
        <f>_xlfn.XLOOKUP(CustomerCombinedCleaned[[#This Row],[ID]], Table4[ID], Table4[Store], "Not Found", 0)</f>
        <v>5</v>
      </c>
      <c r="V1414" s="16">
        <f>_xlfn.XLOOKUP(CustomerCombinedCleaned[[#This Row],[ID]], Table4[ID], Table4[Visits], "Not Found", 0)</f>
        <v>7</v>
      </c>
      <c r="W1414" s="16">
        <f>_xlfn.XLOOKUP(CustomerCombinedCleaned[[#This Row],[ID]], Table2[ID],Table2[Complaint], "Not Found", 0 )</f>
        <v>0</v>
      </c>
      <c r="X1414" s="16">
        <f>_xlfn.XLOOKUP(CustomerCombinedCleaned[[#This Row],[ID]], Table2[ID],Table2[Pilot], "Not Found", 0 )</f>
        <v>0</v>
      </c>
      <c r="Y1414" s="16">
        <f>_xlfn.XLOOKUP(CustomerCombinedCleaned[[#This Row],[ID]], Table2[ID],Table2[MC1], "Not Found", 0 )</f>
        <v>0</v>
      </c>
      <c r="Z1414" s="16">
        <f>_xlfn.XLOOKUP(CustomerCombinedCleaned[[#This Row],[ID]], Table2[ID],Table2[MC2], "Not Found", 0 )</f>
        <v>0</v>
      </c>
      <c r="AA1414" s="16">
        <f>_xlfn.XLOOKUP(CustomerCombinedCleaned[[#This Row],[ID]], Table2[ID],Table2[MC3], "Not Found", 0 )</f>
        <v>0</v>
      </c>
      <c r="AB1414" s="16">
        <f>_xlfn.XLOOKUP(CustomerCombinedCleaned[[#This Row],[ID]], Table2[ID],Table2[MC4], "Not Found", 0 )</f>
        <v>0</v>
      </c>
      <c r="AC1414" s="16">
        <f>_xlfn.XLOOKUP(CustomerCombinedCleaned[[#This Row],[ID]], Table2[ID],Table2[MC5], "Not Found", 0 )</f>
        <v>0</v>
      </c>
    </row>
    <row r="1415" spans="1:29" x14ac:dyDescent="0.3">
      <c r="A1415" s="18">
        <v>1074</v>
      </c>
      <c r="B1415" s="16">
        <v>156046</v>
      </c>
      <c r="C1415" s="16">
        <v>0</v>
      </c>
      <c r="D1415" s="16">
        <v>0</v>
      </c>
      <c r="E1415" s="16">
        <v>55</v>
      </c>
      <c r="F1415" s="17" t="s">
        <v>8</v>
      </c>
      <c r="G1415" s="17" t="s">
        <v>11</v>
      </c>
      <c r="H1415" s="3" t="s">
        <v>564</v>
      </c>
      <c r="I1415" s="5" t="s">
        <v>436</v>
      </c>
      <c r="J1415" s="16">
        <f>_xlfn.XLOOKUP(CustomerCombinedCleaned[[#This Row],[ID]], Table4[ID], Table4[Recency], "Not Found", 0)</f>
        <v>9</v>
      </c>
      <c r="K1415" s="16">
        <f>_xlfn.XLOOKUP(CustomerCombinedCleaned[[#This Row],[ID]], Table4[ID], Table4[Teas], "Not Found", 0)</f>
        <v>1607</v>
      </c>
      <c r="L1415" s="16">
        <f>_xlfn.XLOOKUP(CustomerCombinedCleaned[[#This Row],[ID]], Table4[ID], Table4[Fruits], "Not Found", 0)</f>
        <v>0</v>
      </c>
      <c r="M1415" s="16">
        <f>_xlfn.XLOOKUP(CustomerCombinedCleaned[[#This Row],[ID]], Table4[ID], Table4[Meats], "Not Found", 0)</f>
        <v>178</v>
      </c>
      <c r="N1415" s="16">
        <f>_xlfn.XLOOKUP(CustomerCombinedCleaned[[#This Row],[ID]], Table4[ID], Table4[Seafood], "Not Found", 0)</f>
        <v>0</v>
      </c>
      <c r="O1415" s="16">
        <f>_xlfn.XLOOKUP(CustomerCombinedCleaned[[#This Row],[ID]], Table4[ID], Table4[Sweets], "Not Found", 0)</f>
        <v>0</v>
      </c>
      <c r="P1415" s="16">
        <f>_xlfn.XLOOKUP(CustomerCombinedCleaned[[#This Row],[ID]], Table4[ID], Table4[Premium], "Not Found", 0)</f>
        <v>142</v>
      </c>
      <c r="Q1415" s="16">
        <f>_xlfn.XLOOKUP(CustomerCombinedCleaned[[#This Row],[ID]], Table4[ID], Table4[Regular], "Not Found", 0)</f>
        <v>1643</v>
      </c>
      <c r="R1415" s="16">
        <f>_xlfn.XLOOKUP(CustomerCombinedCleaned[[#This Row],[ID]], Table4[ID], Table4[Deals], "Not Found", 0)</f>
        <v>2</v>
      </c>
      <c r="S1415" s="16">
        <f>_xlfn.XLOOKUP(CustomerCombinedCleaned[[#This Row],[ID]], Table4[ID], Table4[Website], "Not Found", 0)</f>
        <v>10</v>
      </c>
      <c r="T1415" s="16">
        <f>_xlfn.XLOOKUP(CustomerCombinedCleaned[[#This Row],[ID]], Table4[ID], Table4[Catalog], "Not Found", 0)</f>
        <v>1</v>
      </c>
      <c r="U1415" s="16">
        <f>_xlfn.XLOOKUP(CustomerCombinedCleaned[[#This Row],[ID]], Table4[ID], Table4[Store], "Not Found", 0)</f>
        <v>8</v>
      </c>
      <c r="V1415" s="16">
        <f>_xlfn.XLOOKUP(CustomerCombinedCleaned[[#This Row],[ID]], Table4[ID], Table4[Visits], "Not Found", 0)</f>
        <v>8</v>
      </c>
      <c r="W1415" s="16">
        <f>_xlfn.XLOOKUP(CustomerCombinedCleaned[[#This Row],[ID]], Table2[ID],Table2[Complaint], "Not Found", 0 )</f>
        <v>0</v>
      </c>
      <c r="X1415" s="16">
        <f>_xlfn.XLOOKUP(CustomerCombinedCleaned[[#This Row],[ID]], Table2[ID],Table2[Pilot], "Not Found", 0 )</f>
        <v>1</v>
      </c>
      <c r="Y1415" s="16">
        <f>_xlfn.XLOOKUP(CustomerCombinedCleaned[[#This Row],[ID]], Table2[ID],Table2[MC1], "Not Found", 0 )</f>
        <v>0</v>
      </c>
      <c r="Z1415" s="16">
        <f>_xlfn.XLOOKUP(CustomerCombinedCleaned[[#This Row],[ID]], Table2[ID],Table2[MC2], "Not Found", 0 )</f>
        <v>0</v>
      </c>
      <c r="AA1415" s="16">
        <f>_xlfn.XLOOKUP(CustomerCombinedCleaned[[#This Row],[ID]], Table2[ID],Table2[MC3], "Not Found", 0 )</f>
        <v>1</v>
      </c>
      <c r="AB1415" s="16">
        <f>_xlfn.XLOOKUP(CustomerCombinedCleaned[[#This Row],[ID]], Table2[ID],Table2[MC4], "Not Found", 0 )</f>
        <v>0</v>
      </c>
      <c r="AC1415" s="16">
        <f>_xlfn.XLOOKUP(CustomerCombinedCleaned[[#This Row],[ID]], Table2[ID],Table2[MC5], "Not Found", 0 )</f>
        <v>0</v>
      </c>
    </row>
    <row r="1416" spans="1:29" x14ac:dyDescent="0.3">
      <c r="A1416" s="18">
        <v>1692</v>
      </c>
      <c r="B1416" s="16">
        <v>155250</v>
      </c>
      <c r="C1416" s="16">
        <v>0</v>
      </c>
      <c r="D1416" s="16">
        <v>1</v>
      </c>
      <c r="E1416" s="16">
        <v>55</v>
      </c>
      <c r="F1416" s="17" t="s">
        <v>7</v>
      </c>
      <c r="G1416" s="17" t="s">
        <v>12</v>
      </c>
      <c r="H1416" s="3" t="s">
        <v>373</v>
      </c>
      <c r="I1416" s="5" t="s">
        <v>436</v>
      </c>
      <c r="J1416" s="16">
        <f>_xlfn.XLOOKUP(CustomerCombinedCleaned[[#This Row],[ID]], Table4[ID], Table4[Recency], "Not Found", 0)</f>
        <v>49</v>
      </c>
      <c r="K1416" s="16">
        <f>_xlfn.XLOOKUP(CustomerCombinedCleaned[[#This Row],[ID]], Table4[ID], Table4[Teas], "Not Found", 0)</f>
        <v>1866</v>
      </c>
      <c r="L1416" s="16">
        <f>_xlfn.XLOOKUP(CustomerCombinedCleaned[[#This Row],[ID]], Table4[ID], Table4[Fruits], "Not Found", 0)</f>
        <v>163</v>
      </c>
      <c r="M1416" s="16">
        <f>_xlfn.XLOOKUP(CustomerCombinedCleaned[[#This Row],[ID]], Table4[ID], Table4[Meats], "Not Found", 0)</f>
        <v>233</v>
      </c>
      <c r="N1416" s="16">
        <f>_xlfn.XLOOKUP(CustomerCombinedCleaned[[#This Row],[ID]], Table4[ID], Table4[Seafood], "Not Found", 0)</f>
        <v>90</v>
      </c>
      <c r="O1416" s="16">
        <f>_xlfn.XLOOKUP(CustomerCombinedCleaned[[#This Row],[ID]], Table4[ID], Table4[Sweets], "Not Found", 0)</f>
        <v>0</v>
      </c>
      <c r="P1416" s="16">
        <f>_xlfn.XLOOKUP(CustomerCombinedCleaned[[#This Row],[ID]], Table4[ID], Table4[Premium], "Not Found", 0)</f>
        <v>185</v>
      </c>
      <c r="Q1416" s="16">
        <f>_xlfn.XLOOKUP(CustomerCombinedCleaned[[#This Row],[ID]], Table4[ID], Table4[Regular], "Not Found", 0)</f>
        <v>2166</v>
      </c>
      <c r="R1416" s="16">
        <f>_xlfn.XLOOKUP(CustomerCombinedCleaned[[#This Row],[ID]], Table4[ID], Table4[Deals], "Not Found", 0)</f>
        <v>4</v>
      </c>
      <c r="S1416" s="16">
        <f>_xlfn.XLOOKUP(CustomerCombinedCleaned[[#This Row],[ID]], Table4[ID], Table4[Website], "Not Found", 0)</f>
        <v>7</v>
      </c>
      <c r="T1416" s="16">
        <f>_xlfn.XLOOKUP(CustomerCombinedCleaned[[#This Row],[ID]], Table4[ID], Table4[Catalog], "Not Found", 0)</f>
        <v>5</v>
      </c>
      <c r="U1416" s="16">
        <f>_xlfn.XLOOKUP(CustomerCombinedCleaned[[#This Row],[ID]], Table4[ID], Table4[Store], "Not Found", 0)</f>
        <v>10</v>
      </c>
      <c r="V1416" s="16">
        <f>_xlfn.XLOOKUP(CustomerCombinedCleaned[[#This Row],[ID]], Table4[ID], Table4[Visits], "Not Found", 0)</f>
        <v>5</v>
      </c>
      <c r="W1416" s="16">
        <f>_xlfn.XLOOKUP(CustomerCombinedCleaned[[#This Row],[ID]], Table2[ID],Table2[Complaint], "Not Found", 0 )</f>
        <v>0</v>
      </c>
      <c r="X1416" s="16">
        <f>_xlfn.XLOOKUP(CustomerCombinedCleaned[[#This Row],[ID]], Table2[ID],Table2[Pilot], "Not Found", 0 )</f>
        <v>0</v>
      </c>
      <c r="Y1416" s="16">
        <f>_xlfn.XLOOKUP(CustomerCombinedCleaned[[#This Row],[ID]], Table2[ID],Table2[MC1], "Not Found", 0 )</f>
        <v>0</v>
      </c>
      <c r="Z1416" s="16">
        <f>_xlfn.XLOOKUP(CustomerCombinedCleaned[[#This Row],[ID]], Table2[ID],Table2[MC2], "Not Found", 0 )</f>
        <v>0</v>
      </c>
      <c r="AA1416" s="16">
        <f>_xlfn.XLOOKUP(CustomerCombinedCleaned[[#This Row],[ID]], Table2[ID],Table2[MC3], "Not Found", 0 )</f>
        <v>0</v>
      </c>
      <c r="AB1416" s="16">
        <f>_xlfn.XLOOKUP(CustomerCombinedCleaned[[#This Row],[ID]], Table2[ID],Table2[MC4], "Not Found", 0 )</f>
        <v>0</v>
      </c>
      <c r="AC1416" s="16">
        <f>_xlfn.XLOOKUP(CustomerCombinedCleaned[[#This Row],[ID]], Table2[ID],Table2[MC5], "Not Found", 0 )</f>
        <v>0</v>
      </c>
    </row>
    <row r="1417" spans="1:29" x14ac:dyDescent="0.3">
      <c r="A1417" s="18">
        <v>2801</v>
      </c>
      <c r="B1417" s="16">
        <v>154111</v>
      </c>
      <c r="C1417" s="16">
        <v>0</v>
      </c>
      <c r="D1417" s="16">
        <v>1</v>
      </c>
      <c r="E1417" s="16">
        <v>55</v>
      </c>
      <c r="F1417" s="17" t="s">
        <v>9</v>
      </c>
      <c r="G1417" s="17" t="s">
        <v>13</v>
      </c>
      <c r="H1417" s="3" t="s">
        <v>192</v>
      </c>
      <c r="I1417" s="5" t="s">
        <v>434</v>
      </c>
      <c r="J1417" s="16">
        <f>_xlfn.XLOOKUP(CustomerCombinedCleaned[[#This Row],[ID]], Table4[ID], Table4[Recency], "Not Found", 0)</f>
        <v>97</v>
      </c>
      <c r="K1417" s="16">
        <f>_xlfn.XLOOKUP(CustomerCombinedCleaned[[#This Row],[ID]], Table4[ID], Table4[Teas], "Not Found", 0)</f>
        <v>760</v>
      </c>
      <c r="L1417" s="16">
        <f>_xlfn.XLOOKUP(CustomerCombinedCleaned[[#This Row],[ID]], Table4[ID], Table4[Fruits], "Not Found", 0)</f>
        <v>17</v>
      </c>
      <c r="M1417" s="16">
        <f>_xlfn.XLOOKUP(CustomerCombinedCleaned[[#This Row],[ID]], Table4[ID], Table4[Meats], "Not Found", 0)</f>
        <v>154</v>
      </c>
      <c r="N1417" s="16">
        <f>_xlfn.XLOOKUP(CustomerCombinedCleaned[[#This Row],[ID]], Table4[ID], Table4[Seafood], "Not Found", 0)</f>
        <v>23</v>
      </c>
      <c r="O1417" s="16">
        <f>_xlfn.XLOOKUP(CustomerCombinedCleaned[[#This Row],[ID]], Table4[ID], Table4[Sweets], "Not Found", 0)</f>
        <v>9</v>
      </c>
      <c r="P1417" s="16">
        <f>_xlfn.XLOOKUP(CustomerCombinedCleaned[[#This Row],[ID]], Table4[ID], Table4[Premium], "Not Found", 0)</f>
        <v>142</v>
      </c>
      <c r="Q1417" s="16">
        <f>_xlfn.XLOOKUP(CustomerCombinedCleaned[[#This Row],[ID]], Table4[ID], Table4[Regular], "Not Found", 0)</f>
        <v>820</v>
      </c>
      <c r="R1417" s="16">
        <f>_xlfn.XLOOKUP(CustomerCombinedCleaned[[#This Row],[ID]], Table4[ID], Table4[Deals], "Not Found", 0)</f>
        <v>2</v>
      </c>
      <c r="S1417" s="16">
        <f>_xlfn.XLOOKUP(CustomerCombinedCleaned[[#This Row],[ID]], Table4[ID], Table4[Website], "Not Found", 0)</f>
        <v>5</v>
      </c>
      <c r="T1417" s="16">
        <f>_xlfn.XLOOKUP(CustomerCombinedCleaned[[#This Row],[ID]], Table4[ID], Table4[Catalog], "Not Found", 0)</f>
        <v>2</v>
      </c>
      <c r="U1417" s="16">
        <f>_xlfn.XLOOKUP(CustomerCombinedCleaned[[#This Row],[ID]], Table4[ID], Table4[Store], "Not Found", 0)</f>
        <v>6</v>
      </c>
      <c r="V1417" s="16">
        <f>_xlfn.XLOOKUP(CustomerCombinedCleaned[[#This Row],[ID]], Table4[ID], Table4[Visits], "Not Found", 0)</f>
        <v>5</v>
      </c>
      <c r="W1417" s="16">
        <f>_xlfn.XLOOKUP(CustomerCombinedCleaned[[#This Row],[ID]], Table2[ID],Table2[Complaint], "Not Found", 0 )</f>
        <v>0</v>
      </c>
      <c r="X1417" s="16">
        <f>_xlfn.XLOOKUP(CustomerCombinedCleaned[[#This Row],[ID]], Table2[ID],Table2[Pilot], "Not Found", 0 )</f>
        <v>0</v>
      </c>
      <c r="Y1417" s="16">
        <f>_xlfn.XLOOKUP(CustomerCombinedCleaned[[#This Row],[ID]], Table2[ID],Table2[MC1], "Not Found", 0 )</f>
        <v>0</v>
      </c>
      <c r="Z1417" s="16">
        <f>_xlfn.XLOOKUP(CustomerCombinedCleaned[[#This Row],[ID]], Table2[ID],Table2[MC2], "Not Found", 0 )</f>
        <v>0</v>
      </c>
      <c r="AA1417" s="16">
        <f>_xlfn.XLOOKUP(CustomerCombinedCleaned[[#This Row],[ID]], Table2[ID],Table2[MC3], "Not Found", 0 )</f>
        <v>0</v>
      </c>
      <c r="AB1417" s="16">
        <f>_xlfn.XLOOKUP(CustomerCombinedCleaned[[#This Row],[ID]], Table2[ID],Table2[MC4], "Not Found", 0 )</f>
        <v>0</v>
      </c>
      <c r="AC1417" s="16">
        <f>_xlfn.XLOOKUP(CustomerCombinedCleaned[[#This Row],[ID]], Table2[ID],Table2[MC5], "Not Found", 0 )</f>
        <v>0</v>
      </c>
    </row>
    <row r="1418" spans="1:29" x14ac:dyDescent="0.3">
      <c r="A1418" s="18">
        <v>2576</v>
      </c>
      <c r="B1418" s="16">
        <v>153843</v>
      </c>
      <c r="C1418" s="16">
        <v>0</v>
      </c>
      <c r="D1418" s="16">
        <v>1</v>
      </c>
      <c r="E1418" s="16">
        <v>55</v>
      </c>
      <c r="F1418" s="17" t="s">
        <v>6</v>
      </c>
      <c r="G1418" s="17" t="s">
        <v>12</v>
      </c>
      <c r="H1418" s="3" t="s">
        <v>737</v>
      </c>
      <c r="I1418" s="5" t="s">
        <v>438</v>
      </c>
      <c r="J1418" s="16">
        <f>_xlfn.XLOOKUP(CustomerCombinedCleaned[[#This Row],[ID]], Table4[ID], Table4[Recency], "Not Found", 0)</f>
        <v>64</v>
      </c>
      <c r="K1418" s="16">
        <f>_xlfn.XLOOKUP(CustomerCombinedCleaned[[#This Row],[ID]], Table4[ID], Table4[Teas], "Not Found", 0)</f>
        <v>1080</v>
      </c>
      <c r="L1418" s="16">
        <f>_xlfn.XLOOKUP(CustomerCombinedCleaned[[#This Row],[ID]], Table4[ID], Table4[Fruits], "Not Found", 0)</f>
        <v>0</v>
      </c>
      <c r="M1418" s="16">
        <f>_xlfn.XLOOKUP(CustomerCombinedCleaned[[#This Row],[ID]], Table4[ID], Table4[Meats], "Not Found", 0)</f>
        <v>251</v>
      </c>
      <c r="N1418" s="16">
        <f>_xlfn.XLOOKUP(CustomerCombinedCleaned[[#This Row],[ID]], Table4[ID], Table4[Seafood], "Not Found", 0)</f>
        <v>54</v>
      </c>
      <c r="O1418" s="16">
        <f>_xlfn.XLOOKUP(CustomerCombinedCleaned[[#This Row],[ID]], Table4[ID], Table4[Sweets], "Not Found", 0)</f>
        <v>11</v>
      </c>
      <c r="P1418" s="16">
        <f>_xlfn.XLOOKUP(CustomerCombinedCleaned[[#This Row],[ID]], Table4[ID], Table4[Premium], "Not Found", 0)</f>
        <v>209</v>
      </c>
      <c r="Q1418" s="16">
        <f>_xlfn.XLOOKUP(CustomerCombinedCleaned[[#This Row],[ID]], Table4[ID], Table4[Regular], "Not Found", 0)</f>
        <v>1189</v>
      </c>
      <c r="R1418" s="16">
        <f>_xlfn.XLOOKUP(CustomerCombinedCleaned[[#This Row],[ID]], Table4[ID], Table4[Deals], "Not Found", 0)</f>
        <v>4</v>
      </c>
      <c r="S1418" s="16">
        <f>_xlfn.XLOOKUP(CustomerCombinedCleaned[[#This Row],[ID]], Table4[ID], Table4[Website], "Not Found", 0)</f>
        <v>8</v>
      </c>
      <c r="T1418" s="16">
        <f>_xlfn.XLOOKUP(CustomerCombinedCleaned[[#This Row],[ID]], Table4[ID], Table4[Catalog], "Not Found", 0)</f>
        <v>5</v>
      </c>
      <c r="U1418" s="16">
        <f>_xlfn.XLOOKUP(CustomerCombinedCleaned[[#This Row],[ID]], Table4[ID], Table4[Store], "Not Found", 0)</f>
        <v>3</v>
      </c>
      <c r="V1418" s="16">
        <f>_xlfn.XLOOKUP(CustomerCombinedCleaned[[#This Row],[ID]], Table4[ID], Table4[Visits], "Not Found", 0)</f>
        <v>7</v>
      </c>
      <c r="W1418" s="16">
        <f>_xlfn.XLOOKUP(CustomerCombinedCleaned[[#This Row],[ID]], Table2[ID],Table2[Complaint], "Not Found", 0 )</f>
        <v>0</v>
      </c>
      <c r="X1418" s="16">
        <f>_xlfn.XLOOKUP(CustomerCombinedCleaned[[#This Row],[ID]], Table2[ID],Table2[Pilot], "Not Found", 0 )</f>
        <v>0</v>
      </c>
      <c r="Y1418" s="16">
        <f>_xlfn.XLOOKUP(CustomerCombinedCleaned[[#This Row],[ID]], Table2[ID],Table2[MC1], "Not Found", 0 )</f>
        <v>0</v>
      </c>
      <c r="Z1418" s="16">
        <f>_xlfn.XLOOKUP(CustomerCombinedCleaned[[#This Row],[ID]], Table2[ID],Table2[MC2], "Not Found", 0 )</f>
        <v>0</v>
      </c>
      <c r="AA1418" s="16">
        <f>_xlfn.XLOOKUP(CustomerCombinedCleaned[[#This Row],[ID]], Table2[ID],Table2[MC3], "Not Found", 0 )</f>
        <v>0</v>
      </c>
      <c r="AB1418" s="16">
        <f>_xlfn.XLOOKUP(CustomerCombinedCleaned[[#This Row],[ID]], Table2[ID],Table2[MC4], "Not Found", 0 )</f>
        <v>0</v>
      </c>
      <c r="AC1418" s="16">
        <f>_xlfn.XLOOKUP(CustomerCombinedCleaned[[#This Row],[ID]], Table2[ID],Table2[MC5], "Not Found", 0 )</f>
        <v>0</v>
      </c>
    </row>
    <row r="1419" spans="1:29" x14ac:dyDescent="0.3">
      <c r="A1419" s="18">
        <v>2682</v>
      </c>
      <c r="B1419" s="16">
        <v>152117</v>
      </c>
      <c r="C1419" s="16">
        <v>0</v>
      </c>
      <c r="D1419" s="16">
        <v>1</v>
      </c>
      <c r="E1419" s="16">
        <v>55</v>
      </c>
      <c r="F1419" s="17" t="s">
        <v>8</v>
      </c>
      <c r="G1419" s="17" t="s">
        <v>11</v>
      </c>
      <c r="H1419" s="3" t="s">
        <v>412</v>
      </c>
      <c r="I1419" s="5" t="s">
        <v>436</v>
      </c>
      <c r="J1419" s="16">
        <f>_xlfn.XLOOKUP(CustomerCombinedCleaned[[#This Row],[ID]], Table4[ID], Table4[Recency], "Not Found", 0)</f>
        <v>55</v>
      </c>
      <c r="K1419" s="16">
        <f>_xlfn.XLOOKUP(CustomerCombinedCleaned[[#This Row],[ID]], Table4[ID], Table4[Teas], "Not Found", 0)</f>
        <v>327</v>
      </c>
      <c r="L1419" s="16">
        <f>_xlfn.XLOOKUP(CustomerCombinedCleaned[[#This Row],[ID]], Table4[ID], Table4[Fruits], "Not Found", 0)</f>
        <v>29</v>
      </c>
      <c r="M1419" s="16">
        <f>_xlfn.XLOOKUP(CustomerCombinedCleaned[[#This Row],[ID]], Table4[ID], Table4[Meats], "Not Found", 0)</f>
        <v>312</v>
      </c>
      <c r="N1419" s="16">
        <f>_xlfn.XLOOKUP(CustomerCombinedCleaned[[#This Row],[ID]], Table4[ID], Table4[Seafood], "Not Found", 0)</f>
        <v>88</v>
      </c>
      <c r="O1419" s="16">
        <f>_xlfn.XLOOKUP(CustomerCombinedCleaned[[#This Row],[ID]], Table4[ID], Table4[Sweets], "Not Found", 0)</f>
        <v>0</v>
      </c>
      <c r="P1419" s="16">
        <f>_xlfn.XLOOKUP(CustomerCombinedCleaned[[#This Row],[ID]], Table4[ID], Table4[Premium], "Not Found", 0)</f>
        <v>58</v>
      </c>
      <c r="Q1419" s="16">
        <f>_xlfn.XLOOKUP(CustomerCombinedCleaned[[#This Row],[ID]], Table4[ID], Table4[Regular], "Not Found", 0)</f>
        <v>698</v>
      </c>
      <c r="R1419" s="16">
        <f>_xlfn.XLOOKUP(CustomerCombinedCleaned[[#This Row],[ID]], Table4[ID], Table4[Deals], "Not Found", 0)</f>
        <v>2</v>
      </c>
      <c r="S1419" s="16">
        <f>_xlfn.XLOOKUP(CustomerCombinedCleaned[[#This Row],[ID]], Table4[ID], Table4[Website], "Not Found", 0)</f>
        <v>5</v>
      </c>
      <c r="T1419" s="16">
        <f>_xlfn.XLOOKUP(CustomerCombinedCleaned[[#This Row],[ID]], Table4[ID], Table4[Catalog], "Not Found", 0)</f>
        <v>2</v>
      </c>
      <c r="U1419" s="16">
        <f>_xlfn.XLOOKUP(CustomerCombinedCleaned[[#This Row],[ID]], Table4[ID], Table4[Store], "Not Found", 0)</f>
        <v>4</v>
      </c>
      <c r="V1419" s="16">
        <f>_xlfn.XLOOKUP(CustomerCombinedCleaned[[#This Row],[ID]], Table4[ID], Table4[Visits], "Not Found", 0)</f>
        <v>7</v>
      </c>
      <c r="W1419" s="16">
        <f>_xlfn.XLOOKUP(CustomerCombinedCleaned[[#This Row],[ID]], Table2[ID],Table2[Complaint], "Not Found", 0 )</f>
        <v>0</v>
      </c>
      <c r="X1419" s="16">
        <f>_xlfn.XLOOKUP(CustomerCombinedCleaned[[#This Row],[ID]], Table2[ID],Table2[Pilot], "Not Found", 0 )</f>
        <v>0</v>
      </c>
      <c r="Y1419" s="16">
        <f>_xlfn.XLOOKUP(CustomerCombinedCleaned[[#This Row],[ID]], Table2[ID],Table2[MC1], "Not Found", 0 )</f>
        <v>0</v>
      </c>
      <c r="Z1419" s="16">
        <f>_xlfn.XLOOKUP(CustomerCombinedCleaned[[#This Row],[ID]], Table2[ID],Table2[MC2], "Not Found", 0 )</f>
        <v>0</v>
      </c>
      <c r="AA1419" s="16">
        <f>_xlfn.XLOOKUP(CustomerCombinedCleaned[[#This Row],[ID]], Table2[ID],Table2[MC3], "Not Found", 0 )</f>
        <v>0</v>
      </c>
      <c r="AB1419" s="16">
        <f>_xlfn.XLOOKUP(CustomerCombinedCleaned[[#This Row],[ID]], Table2[ID],Table2[MC4], "Not Found", 0 )</f>
        <v>0</v>
      </c>
      <c r="AC1419" s="16">
        <f>_xlfn.XLOOKUP(CustomerCombinedCleaned[[#This Row],[ID]], Table2[ID],Table2[MC5], "Not Found", 0 )</f>
        <v>0</v>
      </c>
    </row>
    <row r="1420" spans="1:29" x14ac:dyDescent="0.3">
      <c r="A1420" s="18">
        <v>2596</v>
      </c>
      <c r="B1420" s="16">
        <v>151717</v>
      </c>
      <c r="C1420" s="16">
        <v>0</v>
      </c>
      <c r="D1420" s="16">
        <v>1</v>
      </c>
      <c r="E1420" s="16">
        <v>55</v>
      </c>
      <c r="F1420" s="17" t="s">
        <v>8</v>
      </c>
      <c r="G1420" s="17" t="s">
        <v>13</v>
      </c>
      <c r="H1420" s="3" t="s">
        <v>197</v>
      </c>
      <c r="I1420" s="5" t="s">
        <v>439</v>
      </c>
      <c r="J1420" s="16">
        <f>_xlfn.XLOOKUP(CustomerCombinedCleaned[[#This Row],[ID]], Table4[ID], Table4[Recency], "Not Found", 0)</f>
        <v>55</v>
      </c>
      <c r="K1420" s="16">
        <f>_xlfn.XLOOKUP(CustomerCombinedCleaned[[#This Row],[ID]], Table4[ID], Table4[Teas], "Not Found", 0)</f>
        <v>287</v>
      </c>
      <c r="L1420" s="16">
        <f>_xlfn.XLOOKUP(CustomerCombinedCleaned[[#This Row],[ID]], Table4[ID], Table4[Fruits], "Not Found", 0)</f>
        <v>3</v>
      </c>
      <c r="M1420" s="16">
        <f>_xlfn.XLOOKUP(CustomerCombinedCleaned[[#This Row],[ID]], Table4[ID], Table4[Meats], "Not Found", 0)</f>
        <v>50</v>
      </c>
      <c r="N1420" s="16">
        <f>_xlfn.XLOOKUP(CustomerCombinedCleaned[[#This Row],[ID]], Table4[ID], Table4[Seafood], "Not Found", 0)</f>
        <v>0</v>
      </c>
      <c r="O1420" s="16">
        <f>_xlfn.XLOOKUP(CustomerCombinedCleaned[[#This Row],[ID]], Table4[ID], Table4[Sweets], "Not Found", 0)</f>
        <v>3</v>
      </c>
      <c r="P1420" s="16">
        <f>_xlfn.XLOOKUP(CustomerCombinedCleaned[[#This Row],[ID]], Table4[ID], Table4[Premium], "Not Found", 0)</f>
        <v>15</v>
      </c>
      <c r="Q1420" s="16">
        <f>_xlfn.XLOOKUP(CustomerCombinedCleaned[[#This Row],[ID]], Table4[ID], Table4[Regular], "Not Found", 0)</f>
        <v>329</v>
      </c>
      <c r="R1420" s="16">
        <f>_xlfn.XLOOKUP(CustomerCombinedCleaned[[#This Row],[ID]], Table4[ID], Table4[Deals], "Not Found", 0)</f>
        <v>1</v>
      </c>
      <c r="S1420" s="16">
        <f>_xlfn.XLOOKUP(CustomerCombinedCleaned[[#This Row],[ID]], Table4[ID], Table4[Website], "Not Found", 0)</f>
        <v>3</v>
      </c>
      <c r="T1420" s="16">
        <f>_xlfn.XLOOKUP(CustomerCombinedCleaned[[#This Row],[ID]], Table4[ID], Table4[Catalog], "Not Found", 0)</f>
        <v>0</v>
      </c>
      <c r="U1420" s="16">
        <f>_xlfn.XLOOKUP(CustomerCombinedCleaned[[#This Row],[ID]], Table4[ID], Table4[Store], "Not Found", 0)</f>
        <v>4</v>
      </c>
      <c r="V1420" s="16">
        <f>_xlfn.XLOOKUP(CustomerCombinedCleaned[[#This Row],[ID]], Table4[ID], Table4[Visits], "Not Found", 0)</f>
        <v>7</v>
      </c>
      <c r="W1420" s="16">
        <f>_xlfn.XLOOKUP(CustomerCombinedCleaned[[#This Row],[ID]], Table2[ID],Table2[Complaint], "Not Found", 0 )</f>
        <v>0</v>
      </c>
      <c r="X1420" s="16">
        <f>_xlfn.XLOOKUP(CustomerCombinedCleaned[[#This Row],[ID]], Table2[ID],Table2[Pilot], "Not Found", 0 )</f>
        <v>0</v>
      </c>
      <c r="Y1420" s="16">
        <f>_xlfn.XLOOKUP(CustomerCombinedCleaned[[#This Row],[ID]], Table2[ID],Table2[MC1], "Not Found", 0 )</f>
        <v>0</v>
      </c>
      <c r="Z1420" s="16">
        <f>_xlfn.XLOOKUP(CustomerCombinedCleaned[[#This Row],[ID]], Table2[ID],Table2[MC2], "Not Found", 0 )</f>
        <v>0</v>
      </c>
      <c r="AA1420" s="16">
        <f>_xlfn.XLOOKUP(CustomerCombinedCleaned[[#This Row],[ID]], Table2[ID],Table2[MC3], "Not Found", 0 )</f>
        <v>0</v>
      </c>
      <c r="AB1420" s="16">
        <f>_xlfn.XLOOKUP(CustomerCombinedCleaned[[#This Row],[ID]], Table2[ID],Table2[MC4], "Not Found", 0 )</f>
        <v>1</v>
      </c>
      <c r="AC1420" s="16">
        <f>_xlfn.XLOOKUP(CustomerCombinedCleaned[[#This Row],[ID]], Table2[ID],Table2[MC5], "Not Found", 0 )</f>
        <v>0</v>
      </c>
    </row>
    <row r="1421" spans="1:29" x14ac:dyDescent="0.3">
      <c r="A1421" s="18">
        <v>1872</v>
      </c>
      <c r="B1421" s="16">
        <v>151390</v>
      </c>
      <c r="C1421" s="16">
        <v>1</v>
      </c>
      <c r="D1421" s="16">
        <v>1</v>
      </c>
      <c r="E1421" s="16">
        <v>55</v>
      </c>
      <c r="F1421" s="17" t="s">
        <v>9</v>
      </c>
      <c r="G1421" s="17" t="s">
        <v>12</v>
      </c>
      <c r="H1421" s="3" t="s">
        <v>401</v>
      </c>
      <c r="I1421" s="5" t="s">
        <v>436</v>
      </c>
      <c r="J1421" s="16">
        <f>_xlfn.XLOOKUP(CustomerCombinedCleaned[[#This Row],[ID]], Table4[ID], Table4[Recency], "Not Found", 0)</f>
        <v>54</v>
      </c>
      <c r="K1421" s="16">
        <f>_xlfn.XLOOKUP(CustomerCombinedCleaned[[#This Row],[ID]], Table4[ID], Table4[Teas], "Not Found", 0)</f>
        <v>604</v>
      </c>
      <c r="L1421" s="16">
        <f>_xlfn.XLOOKUP(CustomerCombinedCleaned[[#This Row],[ID]], Table4[ID], Table4[Fruits], "Not Found", 0)</f>
        <v>59</v>
      </c>
      <c r="M1421" s="16">
        <f>_xlfn.XLOOKUP(CustomerCombinedCleaned[[#This Row],[ID]], Table4[ID], Table4[Meats], "Not Found", 0)</f>
        <v>138</v>
      </c>
      <c r="N1421" s="16">
        <f>_xlfn.XLOOKUP(CustomerCombinedCleaned[[#This Row],[ID]], Table4[ID], Table4[Seafood], "Not Found", 0)</f>
        <v>68</v>
      </c>
      <c r="O1421" s="16">
        <f>_xlfn.XLOOKUP(CustomerCombinedCleaned[[#This Row],[ID]], Table4[ID], Table4[Sweets], "Not Found", 0)</f>
        <v>6</v>
      </c>
      <c r="P1421" s="16">
        <f>_xlfn.XLOOKUP(CustomerCombinedCleaned[[#This Row],[ID]], Table4[ID], Table4[Premium], "Not Found", 0)</f>
        <v>165</v>
      </c>
      <c r="Q1421" s="16">
        <f>_xlfn.XLOOKUP(CustomerCombinedCleaned[[#This Row],[ID]], Table4[ID], Table4[Regular], "Not Found", 0)</f>
        <v>710</v>
      </c>
      <c r="R1421" s="16">
        <f>_xlfn.XLOOKUP(CustomerCombinedCleaned[[#This Row],[ID]], Table4[ID], Table4[Deals], "Not Found", 0)</f>
        <v>6</v>
      </c>
      <c r="S1421" s="16">
        <f>_xlfn.XLOOKUP(CustomerCombinedCleaned[[#This Row],[ID]], Table4[ID], Table4[Website], "Not Found", 0)</f>
        <v>5</v>
      </c>
      <c r="T1421" s="16">
        <f>_xlfn.XLOOKUP(CustomerCombinedCleaned[[#This Row],[ID]], Table4[ID], Table4[Catalog], "Not Found", 0)</f>
        <v>2</v>
      </c>
      <c r="U1421" s="16">
        <f>_xlfn.XLOOKUP(CustomerCombinedCleaned[[#This Row],[ID]], Table4[ID], Table4[Store], "Not Found", 0)</f>
        <v>5</v>
      </c>
      <c r="V1421" s="16">
        <f>_xlfn.XLOOKUP(CustomerCombinedCleaned[[#This Row],[ID]], Table4[ID], Table4[Visits], "Not Found", 0)</f>
        <v>5</v>
      </c>
      <c r="W1421" s="16">
        <f>_xlfn.XLOOKUP(CustomerCombinedCleaned[[#This Row],[ID]], Table2[ID],Table2[Complaint], "Not Found", 0 )</f>
        <v>0</v>
      </c>
      <c r="X1421" s="16">
        <f>_xlfn.XLOOKUP(CustomerCombinedCleaned[[#This Row],[ID]], Table2[ID],Table2[Pilot], "Not Found", 0 )</f>
        <v>0</v>
      </c>
      <c r="Y1421" s="16">
        <f>_xlfn.XLOOKUP(CustomerCombinedCleaned[[#This Row],[ID]], Table2[ID],Table2[MC1], "Not Found", 0 )</f>
        <v>0</v>
      </c>
      <c r="Z1421" s="16">
        <f>_xlfn.XLOOKUP(CustomerCombinedCleaned[[#This Row],[ID]], Table2[ID],Table2[MC2], "Not Found", 0 )</f>
        <v>0</v>
      </c>
      <c r="AA1421" s="16">
        <f>_xlfn.XLOOKUP(CustomerCombinedCleaned[[#This Row],[ID]], Table2[ID],Table2[MC3], "Not Found", 0 )</f>
        <v>0</v>
      </c>
      <c r="AB1421" s="16">
        <f>_xlfn.XLOOKUP(CustomerCombinedCleaned[[#This Row],[ID]], Table2[ID],Table2[MC4], "Not Found", 0 )</f>
        <v>0</v>
      </c>
      <c r="AC1421" s="16">
        <f>_xlfn.XLOOKUP(CustomerCombinedCleaned[[#This Row],[ID]], Table2[ID],Table2[MC5], "Not Found", 0 )</f>
        <v>0</v>
      </c>
    </row>
    <row r="1422" spans="1:29" x14ac:dyDescent="0.3">
      <c r="A1422" s="18">
        <v>1389</v>
      </c>
      <c r="B1422" s="16">
        <v>148006</v>
      </c>
      <c r="C1422" s="16">
        <v>1</v>
      </c>
      <c r="D1422" s="16">
        <v>1</v>
      </c>
      <c r="E1422" s="16">
        <v>55</v>
      </c>
      <c r="F1422" s="17" t="s">
        <v>6</v>
      </c>
      <c r="G1422" s="17" t="s">
        <v>11</v>
      </c>
      <c r="H1422" s="3" t="s">
        <v>40</v>
      </c>
      <c r="I1422" s="5" t="s">
        <v>435</v>
      </c>
      <c r="J1422" s="16">
        <f>_xlfn.XLOOKUP(CustomerCombinedCleaned[[#This Row],[ID]], Table4[ID], Table4[Recency], "Not Found", 0)</f>
        <v>55</v>
      </c>
      <c r="K1422" s="16">
        <f>_xlfn.XLOOKUP(CustomerCombinedCleaned[[#This Row],[ID]], Table4[ID], Table4[Teas], "Not Found", 0)</f>
        <v>71</v>
      </c>
      <c r="L1422" s="16">
        <f>_xlfn.XLOOKUP(CustomerCombinedCleaned[[#This Row],[ID]], Table4[ID], Table4[Fruits], "Not Found", 0)</f>
        <v>0</v>
      </c>
      <c r="M1422" s="16">
        <f>_xlfn.XLOOKUP(CustomerCombinedCleaned[[#This Row],[ID]], Table4[ID], Table4[Meats], "Not Found", 0)</f>
        <v>34</v>
      </c>
      <c r="N1422" s="16">
        <f>_xlfn.XLOOKUP(CustomerCombinedCleaned[[#This Row],[ID]], Table4[ID], Table4[Seafood], "Not Found", 0)</f>
        <v>9</v>
      </c>
      <c r="O1422" s="16">
        <f>_xlfn.XLOOKUP(CustomerCombinedCleaned[[#This Row],[ID]], Table4[ID], Table4[Sweets], "Not Found", 0)</f>
        <v>6</v>
      </c>
      <c r="P1422" s="16">
        <f>_xlfn.XLOOKUP(CustomerCombinedCleaned[[#This Row],[ID]], Table4[ID], Table4[Premium], "Not Found", 0)</f>
        <v>6</v>
      </c>
      <c r="Q1422" s="16">
        <f>_xlfn.XLOOKUP(CustomerCombinedCleaned[[#This Row],[ID]], Table4[ID], Table4[Regular], "Not Found", 0)</f>
        <v>114</v>
      </c>
      <c r="R1422" s="16">
        <f>_xlfn.XLOOKUP(CustomerCombinedCleaned[[#This Row],[ID]], Table4[ID], Table4[Deals], "Not Found", 0)</f>
        <v>1</v>
      </c>
      <c r="S1422" s="16">
        <f>_xlfn.XLOOKUP(CustomerCombinedCleaned[[#This Row],[ID]], Table4[ID], Table4[Website], "Not Found", 0)</f>
        <v>1</v>
      </c>
      <c r="T1422" s="16">
        <f>_xlfn.XLOOKUP(CustomerCombinedCleaned[[#This Row],[ID]], Table4[ID], Table4[Catalog], "Not Found", 0)</f>
        <v>0</v>
      </c>
      <c r="U1422" s="16">
        <f>_xlfn.XLOOKUP(CustomerCombinedCleaned[[#This Row],[ID]], Table4[ID], Table4[Store], "Not Found", 0)</f>
        <v>3</v>
      </c>
      <c r="V1422" s="16">
        <f>_xlfn.XLOOKUP(CustomerCombinedCleaned[[#This Row],[ID]], Table4[ID], Table4[Visits], "Not Found", 0)</f>
        <v>6</v>
      </c>
      <c r="W1422" s="16">
        <f>_xlfn.XLOOKUP(CustomerCombinedCleaned[[#This Row],[ID]], Table2[ID],Table2[Complaint], "Not Found", 0 )</f>
        <v>0</v>
      </c>
      <c r="X1422" s="16">
        <f>_xlfn.XLOOKUP(CustomerCombinedCleaned[[#This Row],[ID]], Table2[ID],Table2[Pilot], "Not Found", 0 )</f>
        <v>0</v>
      </c>
      <c r="Y1422" s="16">
        <f>_xlfn.XLOOKUP(CustomerCombinedCleaned[[#This Row],[ID]], Table2[ID],Table2[MC1], "Not Found", 0 )</f>
        <v>0</v>
      </c>
      <c r="Z1422" s="16">
        <f>_xlfn.XLOOKUP(CustomerCombinedCleaned[[#This Row],[ID]], Table2[ID],Table2[MC2], "Not Found", 0 )</f>
        <v>0</v>
      </c>
      <c r="AA1422" s="16">
        <f>_xlfn.XLOOKUP(CustomerCombinedCleaned[[#This Row],[ID]], Table2[ID],Table2[MC3], "Not Found", 0 )</f>
        <v>0</v>
      </c>
      <c r="AB1422" s="16">
        <f>_xlfn.XLOOKUP(CustomerCombinedCleaned[[#This Row],[ID]], Table2[ID],Table2[MC4], "Not Found", 0 )</f>
        <v>0</v>
      </c>
      <c r="AC1422" s="16">
        <f>_xlfn.XLOOKUP(CustomerCombinedCleaned[[#This Row],[ID]], Table2[ID],Table2[MC5], "Not Found", 0 )</f>
        <v>0</v>
      </c>
    </row>
    <row r="1423" spans="1:29" x14ac:dyDescent="0.3">
      <c r="A1423" s="18">
        <v>1307</v>
      </c>
      <c r="B1423" s="16">
        <v>147025</v>
      </c>
      <c r="C1423" s="16">
        <v>1</v>
      </c>
      <c r="D1423" s="16">
        <v>1</v>
      </c>
      <c r="E1423" s="16">
        <v>55</v>
      </c>
      <c r="F1423" s="17" t="s">
        <v>5</v>
      </c>
      <c r="G1423" s="17" t="s">
        <v>13</v>
      </c>
      <c r="H1423" s="3" t="s">
        <v>104</v>
      </c>
      <c r="I1423" s="5" t="s">
        <v>434</v>
      </c>
      <c r="J1423" s="16">
        <f>_xlfn.XLOOKUP(CustomerCombinedCleaned[[#This Row],[ID]], Table4[ID], Table4[Recency], "Not Found", 0)</f>
        <v>6</v>
      </c>
      <c r="K1423" s="16">
        <f>_xlfn.XLOOKUP(CustomerCombinedCleaned[[#This Row],[ID]], Table4[ID], Table4[Teas], "Not Found", 0)</f>
        <v>50</v>
      </c>
      <c r="L1423" s="16">
        <f>_xlfn.XLOOKUP(CustomerCombinedCleaned[[#This Row],[ID]], Table4[ID], Table4[Fruits], "Not Found", 0)</f>
        <v>0</v>
      </c>
      <c r="M1423" s="16">
        <f>_xlfn.XLOOKUP(CustomerCombinedCleaned[[#This Row],[ID]], Table4[ID], Table4[Meats], "Not Found", 0)</f>
        <v>9</v>
      </c>
      <c r="N1423" s="16">
        <f>_xlfn.XLOOKUP(CustomerCombinedCleaned[[#This Row],[ID]], Table4[ID], Table4[Seafood], "Not Found", 0)</f>
        <v>0</v>
      </c>
      <c r="O1423" s="16">
        <f>_xlfn.XLOOKUP(CustomerCombinedCleaned[[#This Row],[ID]], Table4[ID], Table4[Sweets], "Not Found", 0)</f>
        <v>0</v>
      </c>
      <c r="P1423" s="16">
        <f>_xlfn.XLOOKUP(CustomerCombinedCleaned[[#This Row],[ID]], Table4[ID], Table4[Premium], "Not Found", 0)</f>
        <v>3</v>
      </c>
      <c r="Q1423" s="16">
        <f>_xlfn.XLOOKUP(CustomerCombinedCleaned[[#This Row],[ID]], Table4[ID], Table4[Regular], "Not Found", 0)</f>
        <v>56</v>
      </c>
      <c r="R1423" s="16">
        <f>_xlfn.XLOOKUP(CustomerCombinedCleaned[[#This Row],[ID]], Table4[ID], Table4[Deals], "Not Found", 0)</f>
        <v>1</v>
      </c>
      <c r="S1423" s="16">
        <f>_xlfn.XLOOKUP(CustomerCombinedCleaned[[#This Row],[ID]], Table4[ID], Table4[Website], "Not Found", 0)</f>
        <v>1</v>
      </c>
      <c r="T1423" s="16">
        <f>_xlfn.XLOOKUP(CustomerCombinedCleaned[[#This Row],[ID]], Table4[ID], Table4[Catalog], "Not Found", 0)</f>
        <v>0</v>
      </c>
      <c r="U1423" s="16">
        <f>_xlfn.XLOOKUP(CustomerCombinedCleaned[[#This Row],[ID]], Table4[ID], Table4[Store], "Not Found", 0)</f>
        <v>2</v>
      </c>
      <c r="V1423" s="16">
        <f>_xlfn.XLOOKUP(CustomerCombinedCleaned[[#This Row],[ID]], Table4[ID], Table4[Visits], "Not Found", 0)</f>
        <v>7</v>
      </c>
      <c r="W1423" s="16">
        <f>_xlfn.XLOOKUP(CustomerCombinedCleaned[[#This Row],[ID]], Table2[ID],Table2[Complaint], "Not Found", 0 )</f>
        <v>0</v>
      </c>
      <c r="X1423" s="16">
        <f>_xlfn.XLOOKUP(CustomerCombinedCleaned[[#This Row],[ID]], Table2[ID],Table2[Pilot], "Not Found", 0 )</f>
        <v>0</v>
      </c>
      <c r="Y1423" s="16">
        <f>_xlfn.XLOOKUP(CustomerCombinedCleaned[[#This Row],[ID]], Table2[ID],Table2[MC1], "Not Found", 0 )</f>
        <v>0</v>
      </c>
      <c r="Z1423" s="16">
        <f>_xlfn.XLOOKUP(CustomerCombinedCleaned[[#This Row],[ID]], Table2[ID],Table2[MC2], "Not Found", 0 )</f>
        <v>0</v>
      </c>
      <c r="AA1423" s="16">
        <f>_xlfn.XLOOKUP(CustomerCombinedCleaned[[#This Row],[ID]], Table2[ID],Table2[MC3], "Not Found", 0 )</f>
        <v>0</v>
      </c>
      <c r="AB1423" s="16">
        <f>_xlfn.XLOOKUP(CustomerCombinedCleaned[[#This Row],[ID]], Table2[ID],Table2[MC4], "Not Found", 0 )</f>
        <v>0</v>
      </c>
      <c r="AC1423" s="16">
        <f>_xlfn.XLOOKUP(CustomerCombinedCleaned[[#This Row],[ID]], Table2[ID],Table2[MC5], "Not Found", 0 )</f>
        <v>0</v>
      </c>
    </row>
    <row r="1424" spans="1:29" x14ac:dyDescent="0.3">
      <c r="A1424" s="18">
        <v>2296</v>
      </c>
      <c r="B1424" s="16">
        <v>147009</v>
      </c>
      <c r="C1424" s="16">
        <v>0</v>
      </c>
      <c r="D1424" s="16">
        <v>1</v>
      </c>
      <c r="E1424" s="16">
        <v>55</v>
      </c>
      <c r="F1424" s="17" t="s">
        <v>8</v>
      </c>
      <c r="G1424" s="17" t="s">
        <v>11</v>
      </c>
      <c r="H1424" s="3" t="s">
        <v>620</v>
      </c>
      <c r="I1424" s="5" t="s">
        <v>439</v>
      </c>
      <c r="J1424" s="16">
        <f>_xlfn.XLOOKUP(CustomerCombinedCleaned[[#This Row],[ID]], Table4[ID], Table4[Recency], "Not Found", 0)</f>
        <v>89</v>
      </c>
      <c r="K1424" s="16">
        <f>_xlfn.XLOOKUP(CustomerCombinedCleaned[[#This Row],[ID]], Table4[ID], Table4[Teas], "Not Found", 0)</f>
        <v>535</v>
      </c>
      <c r="L1424" s="16">
        <f>_xlfn.XLOOKUP(CustomerCombinedCleaned[[#This Row],[ID]], Table4[ID], Table4[Fruits], "Not Found", 0)</f>
        <v>141</v>
      </c>
      <c r="M1424" s="16">
        <f>_xlfn.XLOOKUP(CustomerCombinedCleaned[[#This Row],[ID]], Table4[ID], Table4[Meats], "Not Found", 0)</f>
        <v>228</v>
      </c>
      <c r="N1424" s="16">
        <f>_xlfn.XLOOKUP(CustomerCombinedCleaned[[#This Row],[ID]], Table4[ID], Table4[Seafood], "Not Found", 0)</f>
        <v>185</v>
      </c>
      <c r="O1424" s="16">
        <f>_xlfn.XLOOKUP(CustomerCombinedCleaned[[#This Row],[ID]], Table4[ID], Table4[Sweets], "Not Found", 0)</f>
        <v>31</v>
      </c>
      <c r="P1424" s="16">
        <f>_xlfn.XLOOKUP(CustomerCombinedCleaned[[#This Row],[ID]], Table4[ID], Table4[Premium], "Not Found", 0)</f>
        <v>281</v>
      </c>
      <c r="Q1424" s="16">
        <f>_xlfn.XLOOKUP(CustomerCombinedCleaned[[#This Row],[ID]], Table4[ID], Table4[Regular], "Not Found", 0)</f>
        <v>838</v>
      </c>
      <c r="R1424" s="16">
        <f>_xlfn.XLOOKUP(CustomerCombinedCleaned[[#This Row],[ID]], Table4[ID], Table4[Deals], "Not Found", 0)</f>
        <v>4</v>
      </c>
      <c r="S1424" s="16">
        <f>_xlfn.XLOOKUP(CustomerCombinedCleaned[[#This Row],[ID]], Table4[ID], Table4[Website], "Not Found", 0)</f>
        <v>3</v>
      </c>
      <c r="T1424" s="16">
        <f>_xlfn.XLOOKUP(CustomerCombinedCleaned[[#This Row],[ID]], Table4[ID], Table4[Catalog], "Not Found", 0)</f>
        <v>2</v>
      </c>
      <c r="U1424" s="16">
        <f>_xlfn.XLOOKUP(CustomerCombinedCleaned[[#This Row],[ID]], Table4[ID], Table4[Store], "Not Found", 0)</f>
        <v>8</v>
      </c>
      <c r="V1424" s="16">
        <f>_xlfn.XLOOKUP(CustomerCombinedCleaned[[#This Row],[ID]], Table4[ID], Table4[Visits], "Not Found", 0)</f>
        <v>4</v>
      </c>
      <c r="W1424" s="16">
        <f>_xlfn.XLOOKUP(CustomerCombinedCleaned[[#This Row],[ID]], Table2[ID],Table2[Complaint], "Not Found", 0 )</f>
        <v>0</v>
      </c>
      <c r="X1424" s="16">
        <f>_xlfn.XLOOKUP(CustomerCombinedCleaned[[#This Row],[ID]], Table2[ID],Table2[Pilot], "Not Found", 0 )</f>
        <v>0</v>
      </c>
      <c r="Y1424" s="16">
        <f>_xlfn.XLOOKUP(CustomerCombinedCleaned[[#This Row],[ID]], Table2[ID],Table2[MC1], "Not Found", 0 )</f>
        <v>0</v>
      </c>
      <c r="Z1424" s="16">
        <f>_xlfn.XLOOKUP(CustomerCombinedCleaned[[#This Row],[ID]], Table2[ID],Table2[MC2], "Not Found", 0 )</f>
        <v>0</v>
      </c>
      <c r="AA1424" s="16">
        <f>_xlfn.XLOOKUP(CustomerCombinedCleaned[[#This Row],[ID]], Table2[ID],Table2[MC3], "Not Found", 0 )</f>
        <v>0</v>
      </c>
      <c r="AB1424" s="16">
        <f>_xlfn.XLOOKUP(CustomerCombinedCleaned[[#This Row],[ID]], Table2[ID],Table2[MC4], "Not Found", 0 )</f>
        <v>0</v>
      </c>
      <c r="AC1424" s="16">
        <f>_xlfn.XLOOKUP(CustomerCombinedCleaned[[#This Row],[ID]], Table2[ID],Table2[MC5], "Not Found", 0 )</f>
        <v>0</v>
      </c>
    </row>
    <row r="1425" spans="1:29" x14ac:dyDescent="0.3">
      <c r="A1425" s="18">
        <v>1749</v>
      </c>
      <c r="B1425" s="16">
        <v>146891</v>
      </c>
      <c r="C1425" s="16">
        <v>0</v>
      </c>
      <c r="D1425" s="16">
        <v>1</v>
      </c>
      <c r="E1425" s="16">
        <v>55</v>
      </c>
      <c r="F1425" s="17" t="s">
        <v>6</v>
      </c>
      <c r="G1425" s="17" t="s">
        <v>11</v>
      </c>
      <c r="H1425" s="3" t="s">
        <v>758</v>
      </c>
      <c r="I1425" s="5" t="s">
        <v>435</v>
      </c>
      <c r="J1425" s="16">
        <f>_xlfn.XLOOKUP(CustomerCombinedCleaned[[#This Row],[ID]], Table4[ID], Table4[Recency], "Not Found", 0)</f>
        <v>91</v>
      </c>
      <c r="K1425" s="16">
        <f>_xlfn.XLOOKUP(CustomerCombinedCleaned[[#This Row],[ID]], Table4[ID], Table4[Teas], "Not Found", 0)</f>
        <v>135</v>
      </c>
      <c r="L1425" s="16">
        <f>_xlfn.XLOOKUP(CustomerCombinedCleaned[[#This Row],[ID]], Table4[ID], Table4[Fruits], "Not Found", 0)</f>
        <v>38</v>
      </c>
      <c r="M1425" s="16">
        <f>_xlfn.XLOOKUP(CustomerCombinedCleaned[[#This Row],[ID]], Table4[ID], Table4[Meats], "Not Found", 0)</f>
        <v>72</v>
      </c>
      <c r="N1425" s="16">
        <f>_xlfn.XLOOKUP(CustomerCombinedCleaned[[#This Row],[ID]], Table4[ID], Table4[Seafood], "Not Found", 0)</f>
        <v>91</v>
      </c>
      <c r="O1425" s="16">
        <f>_xlfn.XLOOKUP(CustomerCombinedCleaned[[#This Row],[ID]], Table4[ID], Table4[Sweets], "Not Found", 0)</f>
        <v>47</v>
      </c>
      <c r="P1425" s="16">
        <f>_xlfn.XLOOKUP(CustomerCombinedCleaned[[#This Row],[ID]], Table4[ID], Table4[Premium], "Not Found", 0)</f>
        <v>191</v>
      </c>
      <c r="Q1425" s="16">
        <f>_xlfn.XLOOKUP(CustomerCombinedCleaned[[#This Row],[ID]], Table4[ID], Table4[Regular], "Not Found", 0)</f>
        <v>191</v>
      </c>
      <c r="R1425" s="16">
        <f>_xlfn.XLOOKUP(CustomerCombinedCleaned[[#This Row],[ID]], Table4[ID], Table4[Deals], "Not Found", 0)</f>
        <v>1</v>
      </c>
      <c r="S1425" s="16">
        <f>_xlfn.XLOOKUP(CustomerCombinedCleaned[[#This Row],[ID]], Table4[ID], Table4[Website], "Not Found", 0)</f>
        <v>2</v>
      </c>
      <c r="T1425" s="16">
        <f>_xlfn.XLOOKUP(CustomerCombinedCleaned[[#This Row],[ID]], Table4[ID], Table4[Catalog], "Not Found", 0)</f>
        <v>1</v>
      </c>
      <c r="U1425" s="16">
        <f>_xlfn.XLOOKUP(CustomerCombinedCleaned[[#This Row],[ID]], Table4[ID], Table4[Store], "Not Found", 0)</f>
        <v>4</v>
      </c>
      <c r="V1425" s="16">
        <f>_xlfn.XLOOKUP(CustomerCombinedCleaned[[#This Row],[ID]], Table4[ID], Table4[Visits], "Not Found", 0)</f>
        <v>4</v>
      </c>
      <c r="W1425" s="16">
        <f>_xlfn.XLOOKUP(CustomerCombinedCleaned[[#This Row],[ID]], Table2[ID],Table2[Complaint], "Not Found", 0 )</f>
        <v>0</v>
      </c>
      <c r="X1425" s="16">
        <f>_xlfn.XLOOKUP(CustomerCombinedCleaned[[#This Row],[ID]], Table2[ID],Table2[Pilot], "Not Found", 0 )</f>
        <v>0</v>
      </c>
      <c r="Y1425" s="16">
        <f>_xlfn.XLOOKUP(CustomerCombinedCleaned[[#This Row],[ID]], Table2[ID],Table2[MC1], "Not Found", 0 )</f>
        <v>0</v>
      </c>
      <c r="Z1425" s="16">
        <f>_xlfn.XLOOKUP(CustomerCombinedCleaned[[#This Row],[ID]], Table2[ID],Table2[MC2], "Not Found", 0 )</f>
        <v>0</v>
      </c>
      <c r="AA1425" s="16">
        <f>_xlfn.XLOOKUP(CustomerCombinedCleaned[[#This Row],[ID]], Table2[ID],Table2[MC3], "Not Found", 0 )</f>
        <v>0</v>
      </c>
      <c r="AB1425" s="16">
        <f>_xlfn.XLOOKUP(CustomerCombinedCleaned[[#This Row],[ID]], Table2[ID],Table2[MC4], "Not Found", 0 )</f>
        <v>0</v>
      </c>
      <c r="AC1425" s="16">
        <f>_xlfn.XLOOKUP(CustomerCombinedCleaned[[#This Row],[ID]], Table2[ID],Table2[MC5], "Not Found", 0 )</f>
        <v>0</v>
      </c>
    </row>
    <row r="1426" spans="1:29" x14ac:dyDescent="0.3">
      <c r="A1426" s="18">
        <v>2177</v>
      </c>
      <c r="B1426" s="16">
        <v>146891</v>
      </c>
      <c r="C1426" s="16">
        <v>0</v>
      </c>
      <c r="D1426" s="16">
        <v>1</v>
      </c>
      <c r="E1426" s="16">
        <v>55</v>
      </c>
      <c r="F1426" s="17" t="s">
        <v>6</v>
      </c>
      <c r="G1426" s="17" t="s">
        <v>11</v>
      </c>
      <c r="H1426" s="3" t="s">
        <v>758</v>
      </c>
      <c r="I1426" s="5" t="s">
        <v>434</v>
      </c>
      <c r="J1426" s="16">
        <f>_xlfn.XLOOKUP(CustomerCombinedCleaned[[#This Row],[ID]], Table4[ID], Table4[Recency], "Not Found", 0)</f>
        <v>91</v>
      </c>
      <c r="K1426" s="16">
        <f>_xlfn.XLOOKUP(CustomerCombinedCleaned[[#This Row],[ID]], Table4[ID], Table4[Teas], "Not Found", 0)</f>
        <v>135</v>
      </c>
      <c r="L1426" s="16">
        <f>_xlfn.XLOOKUP(CustomerCombinedCleaned[[#This Row],[ID]], Table4[ID], Table4[Fruits], "Not Found", 0)</f>
        <v>38</v>
      </c>
      <c r="M1426" s="16">
        <f>_xlfn.XLOOKUP(CustomerCombinedCleaned[[#This Row],[ID]], Table4[ID], Table4[Meats], "Not Found", 0)</f>
        <v>72</v>
      </c>
      <c r="N1426" s="16">
        <f>_xlfn.XLOOKUP(CustomerCombinedCleaned[[#This Row],[ID]], Table4[ID], Table4[Seafood], "Not Found", 0)</f>
        <v>91</v>
      </c>
      <c r="O1426" s="16">
        <f>_xlfn.XLOOKUP(CustomerCombinedCleaned[[#This Row],[ID]], Table4[ID], Table4[Sweets], "Not Found", 0)</f>
        <v>47</v>
      </c>
      <c r="P1426" s="16">
        <f>_xlfn.XLOOKUP(CustomerCombinedCleaned[[#This Row],[ID]], Table4[ID], Table4[Premium], "Not Found", 0)</f>
        <v>191</v>
      </c>
      <c r="Q1426" s="16">
        <f>_xlfn.XLOOKUP(CustomerCombinedCleaned[[#This Row],[ID]], Table4[ID], Table4[Regular], "Not Found", 0)</f>
        <v>191</v>
      </c>
      <c r="R1426" s="16">
        <f>_xlfn.XLOOKUP(CustomerCombinedCleaned[[#This Row],[ID]], Table4[ID], Table4[Deals], "Not Found", 0)</f>
        <v>1</v>
      </c>
      <c r="S1426" s="16">
        <f>_xlfn.XLOOKUP(CustomerCombinedCleaned[[#This Row],[ID]], Table4[ID], Table4[Website], "Not Found", 0)</f>
        <v>2</v>
      </c>
      <c r="T1426" s="16">
        <f>_xlfn.XLOOKUP(CustomerCombinedCleaned[[#This Row],[ID]], Table4[ID], Table4[Catalog], "Not Found", 0)</f>
        <v>1</v>
      </c>
      <c r="U1426" s="16">
        <f>_xlfn.XLOOKUP(CustomerCombinedCleaned[[#This Row],[ID]], Table4[ID], Table4[Store], "Not Found", 0)</f>
        <v>4</v>
      </c>
      <c r="V1426" s="16">
        <f>_xlfn.XLOOKUP(CustomerCombinedCleaned[[#This Row],[ID]], Table4[ID], Table4[Visits], "Not Found", 0)</f>
        <v>4</v>
      </c>
      <c r="W1426" s="16">
        <f>_xlfn.XLOOKUP(CustomerCombinedCleaned[[#This Row],[ID]], Table2[ID],Table2[Complaint], "Not Found", 0 )</f>
        <v>0</v>
      </c>
      <c r="X1426" s="16">
        <f>_xlfn.XLOOKUP(CustomerCombinedCleaned[[#This Row],[ID]], Table2[ID],Table2[Pilot], "Not Found", 0 )</f>
        <v>0</v>
      </c>
      <c r="Y1426" s="16">
        <f>_xlfn.XLOOKUP(CustomerCombinedCleaned[[#This Row],[ID]], Table2[ID],Table2[MC1], "Not Found", 0 )</f>
        <v>0</v>
      </c>
      <c r="Z1426" s="16">
        <f>_xlfn.XLOOKUP(CustomerCombinedCleaned[[#This Row],[ID]], Table2[ID],Table2[MC2], "Not Found", 0 )</f>
        <v>0</v>
      </c>
      <c r="AA1426" s="16">
        <f>_xlfn.XLOOKUP(CustomerCombinedCleaned[[#This Row],[ID]], Table2[ID],Table2[MC3], "Not Found", 0 )</f>
        <v>0</v>
      </c>
      <c r="AB1426" s="16">
        <f>_xlfn.XLOOKUP(CustomerCombinedCleaned[[#This Row],[ID]], Table2[ID],Table2[MC4], "Not Found", 0 )</f>
        <v>0</v>
      </c>
      <c r="AC1426" s="16">
        <f>_xlfn.XLOOKUP(CustomerCombinedCleaned[[#This Row],[ID]], Table2[ID],Table2[MC5], "Not Found", 0 )</f>
        <v>0</v>
      </c>
    </row>
    <row r="1427" spans="1:29" x14ac:dyDescent="0.3">
      <c r="A1427" s="18">
        <v>2292</v>
      </c>
      <c r="B1427" s="16">
        <v>145143</v>
      </c>
      <c r="C1427" s="16">
        <v>0</v>
      </c>
      <c r="D1427" s="16">
        <v>1</v>
      </c>
      <c r="E1427" s="16">
        <v>55</v>
      </c>
      <c r="F1427" s="17" t="s">
        <v>8</v>
      </c>
      <c r="G1427" s="17" t="s">
        <v>12</v>
      </c>
      <c r="H1427" s="3" t="s">
        <v>191</v>
      </c>
      <c r="I1427" s="5" t="s">
        <v>436</v>
      </c>
      <c r="J1427" s="16">
        <f>_xlfn.XLOOKUP(CustomerCombinedCleaned[[#This Row],[ID]], Table4[ID], Table4[Recency], "Not Found", 0)</f>
        <v>74</v>
      </c>
      <c r="K1427" s="16">
        <f>_xlfn.XLOOKUP(CustomerCombinedCleaned[[#This Row],[ID]], Table4[ID], Table4[Teas], "Not Found", 0)</f>
        <v>649</v>
      </c>
      <c r="L1427" s="16">
        <f>_xlfn.XLOOKUP(CustomerCombinedCleaned[[#This Row],[ID]], Table4[ID], Table4[Fruits], "Not Found", 0)</f>
        <v>16</v>
      </c>
      <c r="M1427" s="16">
        <f>_xlfn.XLOOKUP(CustomerCombinedCleaned[[#This Row],[ID]], Table4[ID], Table4[Meats], "Not Found", 0)</f>
        <v>238</v>
      </c>
      <c r="N1427" s="16">
        <f>_xlfn.XLOOKUP(CustomerCombinedCleaned[[#This Row],[ID]], Table4[ID], Table4[Seafood], "Not Found", 0)</f>
        <v>35</v>
      </c>
      <c r="O1427" s="16">
        <f>_xlfn.XLOOKUP(CustomerCombinedCleaned[[#This Row],[ID]], Table4[ID], Table4[Sweets], "Not Found", 0)</f>
        <v>16</v>
      </c>
      <c r="P1427" s="16">
        <f>_xlfn.XLOOKUP(CustomerCombinedCleaned[[#This Row],[ID]], Table4[ID], Table4[Premium], "Not Found", 0)</f>
        <v>45</v>
      </c>
      <c r="Q1427" s="16">
        <f>_xlfn.XLOOKUP(CustomerCombinedCleaned[[#This Row],[ID]], Table4[ID], Table4[Regular], "Not Found", 0)</f>
        <v>910</v>
      </c>
      <c r="R1427" s="16">
        <f>_xlfn.XLOOKUP(CustomerCombinedCleaned[[#This Row],[ID]], Table4[ID], Table4[Deals], "Not Found", 0)</f>
        <v>3</v>
      </c>
      <c r="S1427" s="16">
        <f>_xlfn.XLOOKUP(CustomerCombinedCleaned[[#This Row],[ID]], Table4[ID], Table4[Website], "Not Found", 0)</f>
        <v>6</v>
      </c>
      <c r="T1427" s="16">
        <f>_xlfn.XLOOKUP(CustomerCombinedCleaned[[#This Row],[ID]], Table4[ID], Table4[Catalog], "Not Found", 0)</f>
        <v>1</v>
      </c>
      <c r="U1427" s="16">
        <f>_xlfn.XLOOKUP(CustomerCombinedCleaned[[#This Row],[ID]], Table4[ID], Table4[Store], "Not Found", 0)</f>
        <v>5</v>
      </c>
      <c r="V1427" s="16">
        <f>_xlfn.XLOOKUP(CustomerCombinedCleaned[[#This Row],[ID]], Table4[ID], Table4[Visits], "Not Found", 0)</f>
        <v>7</v>
      </c>
      <c r="W1427" s="16">
        <f>_xlfn.XLOOKUP(CustomerCombinedCleaned[[#This Row],[ID]], Table2[ID],Table2[Complaint], "Not Found", 0 )</f>
        <v>0</v>
      </c>
      <c r="X1427" s="16">
        <f>_xlfn.XLOOKUP(CustomerCombinedCleaned[[#This Row],[ID]], Table2[ID],Table2[Pilot], "Not Found", 0 )</f>
        <v>0</v>
      </c>
      <c r="Y1427" s="16">
        <f>_xlfn.XLOOKUP(CustomerCombinedCleaned[[#This Row],[ID]], Table2[ID],Table2[MC1], "Not Found", 0 )</f>
        <v>0</v>
      </c>
      <c r="Z1427" s="16">
        <f>_xlfn.XLOOKUP(CustomerCombinedCleaned[[#This Row],[ID]], Table2[ID],Table2[MC2], "Not Found", 0 )</f>
        <v>0</v>
      </c>
      <c r="AA1427" s="16">
        <f>_xlfn.XLOOKUP(CustomerCombinedCleaned[[#This Row],[ID]], Table2[ID],Table2[MC3], "Not Found", 0 )</f>
        <v>0</v>
      </c>
      <c r="AB1427" s="16">
        <f>_xlfn.XLOOKUP(CustomerCombinedCleaned[[#This Row],[ID]], Table2[ID],Table2[MC4], "Not Found", 0 )</f>
        <v>0</v>
      </c>
      <c r="AC1427" s="16">
        <f>_xlfn.XLOOKUP(CustomerCombinedCleaned[[#This Row],[ID]], Table2[ID],Table2[MC5], "Not Found", 0 )</f>
        <v>0</v>
      </c>
    </row>
    <row r="1428" spans="1:29" x14ac:dyDescent="0.3">
      <c r="A1428" s="18">
        <v>2569</v>
      </c>
      <c r="B1428" s="16">
        <v>145143</v>
      </c>
      <c r="C1428" s="16">
        <v>0</v>
      </c>
      <c r="D1428" s="16">
        <v>1</v>
      </c>
      <c r="E1428" s="16">
        <v>55</v>
      </c>
      <c r="F1428" s="17" t="s">
        <v>8</v>
      </c>
      <c r="G1428" s="17" t="s">
        <v>12</v>
      </c>
      <c r="H1428" s="3" t="s">
        <v>191</v>
      </c>
      <c r="I1428" s="5" t="s">
        <v>437</v>
      </c>
      <c r="J1428" s="16">
        <f>_xlfn.XLOOKUP(CustomerCombinedCleaned[[#This Row],[ID]], Table4[ID], Table4[Recency], "Not Found", 0)</f>
        <v>74</v>
      </c>
      <c r="K1428" s="16">
        <f>_xlfn.XLOOKUP(CustomerCombinedCleaned[[#This Row],[ID]], Table4[ID], Table4[Teas], "Not Found", 0)</f>
        <v>649</v>
      </c>
      <c r="L1428" s="16">
        <f>_xlfn.XLOOKUP(CustomerCombinedCleaned[[#This Row],[ID]], Table4[ID], Table4[Fruits], "Not Found", 0)</f>
        <v>16</v>
      </c>
      <c r="M1428" s="16">
        <f>_xlfn.XLOOKUP(CustomerCombinedCleaned[[#This Row],[ID]], Table4[ID], Table4[Meats], "Not Found", 0)</f>
        <v>238</v>
      </c>
      <c r="N1428" s="16">
        <f>_xlfn.XLOOKUP(CustomerCombinedCleaned[[#This Row],[ID]], Table4[ID], Table4[Seafood], "Not Found", 0)</f>
        <v>35</v>
      </c>
      <c r="O1428" s="16">
        <f>_xlfn.XLOOKUP(CustomerCombinedCleaned[[#This Row],[ID]], Table4[ID], Table4[Sweets], "Not Found", 0)</f>
        <v>16</v>
      </c>
      <c r="P1428" s="16">
        <f>_xlfn.XLOOKUP(CustomerCombinedCleaned[[#This Row],[ID]], Table4[ID], Table4[Premium], "Not Found", 0)</f>
        <v>45</v>
      </c>
      <c r="Q1428" s="16">
        <f>_xlfn.XLOOKUP(CustomerCombinedCleaned[[#This Row],[ID]], Table4[ID], Table4[Regular], "Not Found", 0)</f>
        <v>910</v>
      </c>
      <c r="R1428" s="16">
        <f>_xlfn.XLOOKUP(CustomerCombinedCleaned[[#This Row],[ID]], Table4[ID], Table4[Deals], "Not Found", 0)</f>
        <v>3</v>
      </c>
      <c r="S1428" s="16">
        <f>_xlfn.XLOOKUP(CustomerCombinedCleaned[[#This Row],[ID]], Table4[ID], Table4[Website], "Not Found", 0)</f>
        <v>6</v>
      </c>
      <c r="T1428" s="16">
        <f>_xlfn.XLOOKUP(CustomerCombinedCleaned[[#This Row],[ID]], Table4[ID], Table4[Catalog], "Not Found", 0)</f>
        <v>1</v>
      </c>
      <c r="U1428" s="16">
        <f>_xlfn.XLOOKUP(CustomerCombinedCleaned[[#This Row],[ID]], Table4[ID], Table4[Store], "Not Found", 0)</f>
        <v>5</v>
      </c>
      <c r="V1428" s="16">
        <f>_xlfn.XLOOKUP(CustomerCombinedCleaned[[#This Row],[ID]], Table4[ID], Table4[Visits], "Not Found", 0)</f>
        <v>7</v>
      </c>
      <c r="W1428" s="16">
        <f>_xlfn.XLOOKUP(CustomerCombinedCleaned[[#This Row],[ID]], Table2[ID],Table2[Complaint], "Not Found", 0 )</f>
        <v>0</v>
      </c>
      <c r="X1428" s="16">
        <f>_xlfn.XLOOKUP(CustomerCombinedCleaned[[#This Row],[ID]], Table2[ID],Table2[Pilot], "Not Found", 0 )</f>
        <v>0</v>
      </c>
      <c r="Y1428" s="16">
        <f>_xlfn.XLOOKUP(CustomerCombinedCleaned[[#This Row],[ID]], Table2[ID],Table2[MC1], "Not Found", 0 )</f>
        <v>0</v>
      </c>
      <c r="Z1428" s="16">
        <f>_xlfn.XLOOKUP(CustomerCombinedCleaned[[#This Row],[ID]], Table2[ID],Table2[MC2], "Not Found", 0 )</f>
        <v>0</v>
      </c>
      <c r="AA1428" s="16">
        <f>_xlfn.XLOOKUP(CustomerCombinedCleaned[[#This Row],[ID]], Table2[ID],Table2[MC3], "Not Found", 0 )</f>
        <v>0</v>
      </c>
      <c r="AB1428" s="16">
        <f>_xlfn.XLOOKUP(CustomerCombinedCleaned[[#This Row],[ID]], Table2[ID],Table2[MC4], "Not Found", 0 )</f>
        <v>0</v>
      </c>
      <c r="AC1428" s="16">
        <f>_xlfn.XLOOKUP(CustomerCombinedCleaned[[#This Row],[ID]], Table2[ID],Table2[MC5], "Not Found", 0 )</f>
        <v>0</v>
      </c>
    </row>
    <row r="1429" spans="1:29" x14ac:dyDescent="0.3">
      <c r="A1429" s="18">
        <v>2167</v>
      </c>
      <c r="B1429" s="16">
        <v>144393</v>
      </c>
      <c r="C1429" s="16">
        <v>1</v>
      </c>
      <c r="D1429" s="16">
        <v>1</v>
      </c>
      <c r="E1429" s="16">
        <v>55</v>
      </c>
      <c r="F1429" s="17" t="s">
        <v>6</v>
      </c>
      <c r="G1429" s="17" t="s">
        <v>11</v>
      </c>
      <c r="H1429" s="3" t="s">
        <v>195</v>
      </c>
      <c r="I1429" s="5" t="s">
        <v>437</v>
      </c>
      <c r="J1429" s="16">
        <f>_xlfn.XLOOKUP(CustomerCombinedCleaned[[#This Row],[ID]], Table4[ID], Table4[Recency], "Not Found", 0)</f>
        <v>86</v>
      </c>
      <c r="K1429" s="16">
        <f>_xlfn.XLOOKUP(CustomerCombinedCleaned[[#This Row],[ID]], Table4[ID], Table4[Teas], "Not Found", 0)</f>
        <v>78</v>
      </c>
      <c r="L1429" s="16">
        <f>_xlfn.XLOOKUP(CustomerCombinedCleaned[[#This Row],[ID]], Table4[ID], Table4[Fruits], "Not Found", 0)</f>
        <v>7</v>
      </c>
      <c r="M1429" s="16">
        <f>_xlfn.XLOOKUP(CustomerCombinedCleaned[[#This Row],[ID]], Table4[ID], Table4[Meats], "Not Found", 0)</f>
        <v>65</v>
      </c>
      <c r="N1429" s="16">
        <f>_xlfn.XLOOKUP(CustomerCombinedCleaned[[#This Row],[ID]], Table4[ID], Table4[Seafood], "Not Found", 0)</f>
        <v>7</v>
      </c>
      <c r="O1429" s="16">
        <f>_xlfn.XLOOKUP(CustomerCombinedCleaned[[#This Row],[ID]], Table4[ID], Table4[Sweets], "Not Found", 0)</f>
        <v>7</v>
      </c>
      <c r="P1429" s="16">
        <f>_xlfn.XLOOKUP(CustomerCombinedCleaned[[#This Row],[ID]], Table4[ID], Table4[Premium], "Not Found", 0)</f>
        <v>33</v>
      </c>
      <c r="Q1429" s="16">
        <f>_xlfn.XLOOKUP(CustomerCombinedCleaned[[#This Row],[ID]], Table4[ID], Table4[Regular], "Not Found", 0)</f>
        <v>130</v>
      </c>
      <c r="R1429" s="16">
        <f>_xlfn.XLOOKUP(CustomerCombinedCleaned[[#This Row],[ID]], Table4[ID], Table4[Deals], "Not Found", 0)</f>
        <v>2</v>
      </c>
      <c r="S1429" s="16">
        <f>_xlfn.XLOOKUP(CustomerCombinedCleaned[[#This Row],[ID]], Table4[ID], Table4[Website], "Not Found", 0)</f>
        <v>1</v>
      </c>
      <c r="T1429" s="16">
        <f>_xlfn.XLOOKUP(CustomerCombinedCleaned[[#This Row],[ID]], Table4[ID], Table4[Catalog], "Not Found", 0)</f>
        <v>0</v>
      </c>
      <c r="U1429" s="16">
        <f>_xlfn.XLOOKUP(CustomerCombinedCleaned[[#This Row],[ID]], Table4[ID], Table4[Store], "Not Found", 0)</f>
        <v>4</v>
      </c>
      <c r="V1429" s="16">
        <f>_xlfn.XLOOKUP(CustomerCombinedCleaned[[#This Row],[ID]], Table4[ID], Table4[Visits], "Not Found", 0)</f>
        <v>4</v>
      </c>
      <c r="W1429" s="16">
        <f>_xlfn.XLOOKUP(CustomerCombinedCleaned[[#This Row],[ID]], Table2[ID],Table2[Complaint], "Not Found", 0 )</f>
        <v>0</v>
      </c>
      <c r="X1429" s="16">
        <f>_xlfn.XLOOKUP(CustomerCombinedCleaned[[#This Row],[ID]], Table2[ID],Table2[Pilot], "Not Found", 0 )</f>
        <v>0</v>
      </c>
      <c r="Y1429" s="16">
        <f>_xlfn.XLOOKUP(CustomerCombinedCleaned[[#This Row],[ID]], Table2[ID],Table2[MC1], "Not Found", 0 )</f>
        <v>0</v>
      </c>
      <c r="Z1429" s="16">
        <f>_xlfn.XLOOKUP(CustomerCombinedCleaned[[#This Row],[ID]], Table2[ID],Table2[MC2], "Not Found", 0 )</f>
        <v>0</v>
      </c>
      <c r="AA1429" s="16">
        <f>_xlfn.XLOOKUP(CustomerCombinedCleaned[[#This Row],[ID]], Table2[ID],Table2[MC3], "Not Found", 0 )</f>
        <v>0</v>
      </c>
      <c r="AB1429" s="16">
        <f>_xlfn.XLOOKUP(CustomerCombinedCleaned[[#This Row],[ID]], Table2[ID],Table2[MC4], "Not Found", 0 )</f>
        <v>0</v>
      </c>
      <c r="AC1429" s="16">
        <f>_xlfn.XLOOKUP(CustomerCombinedCleaned[[#This Row],[ID]], Table2[ID],Table2[MC5], "Not Found", 0 )</f>
        <v>0</v>
      </c>
    </row>
    <row r="1430" spans="1:29" x14ac:dyDescent="0.3">
      <c r="A1430" s="18">
        <v>2141</v>
      </c>
      <c r="B1430" s="16">
        <v>144375</v>
      </c>
      <c r="C1430" s="16">
        <v>0</v>
      </c>
      <c r="D1430" s="16">
        <v>1</v>
      </c>
      <c r="E1430" s="16">
        <v>55</v>
      </c>
      <c r="F1430" s="17" t="s">
        <v>6</v>
      </c>
      <c r="G1430" s="17" t="s">
        <v>11</v>
      </c>
      <c r="H1430" s="3" t="s">
        <v>78</v>
      </c>
      <c r="I1430" s="5" t="s">
        <v>434</v>
      </c>
      <c r="J1430" s="16">
        <f>_xlfn.XLOOKUP(CustomerCombinedCleaned[[#This Row],[ID]], Table4[ID], Table4[Recency], "Not Found", 0)</f>
        <v>73</v>
      </c>
      <c r="K1430" s="16">
        <f>_xlfn.XLOOKUP(CustomerCombinedCleaned[[#This Row],[ID]], Table4[ID], Table4[Teas], "Not Found", 0)</f>
        <v>693</v>
      </c>
      <c r="L1430" s="16">
        <f>_xlfn.XLOOKUP(CustomerCombinedCleaned[[#This Row],[ID]], Table4[ID], Table4[Fruits], "Not Found", 0)</f>
        <v>16</v>
      </c>
      <c r="M1430" s="16">
        <f>_xlfn.XLOOKUP(CustomerCombinedCleaned[[#This Row],[ID]], Table4[ID], Table4[Meats], "Not Found", 0)</f>
        <v>91</v>
      </c>
      <c r="N1430" s="16">
        <f>_xlfn.XLOOKUP(CustomerCombinedCleaned[[#This Row],[ID]], Table4[ID], Table4[Seafood], "Not Found", 0)</f>
        <v>23</v>
      </c>
      <c r="O1430" s="16">
        <f>_xlfn.XLOOKUP(CustomerCombinedCleaned[[#This Row],[ID]], Table4[ID], Table4[Sweets], "Not Found", 0)</f>
        <v>23</v>
      </c>
      <c r="P1430" s="16">
        <f>_xlfn.XLOOKUP(CustomerCombinedCleaned[[#This Row],[ID]], Table4[ID], Table4[Premium], "Not Found", 0)</f>
        <v>133</v>
      </c>
      <c r="Q1430" s="16">
        <f>_xlfn.XLOOKUP(CustomerCombinedCleaned[[#This Row],[ID]], Table4[ID], Table4[Regular], "Not Found", 0)</f>
        <v>713</v>
      </c>
      <c r="R1430" s="16">
        <f>_xlfn.XLOOKUP(CustomerCombinedCleaned[[#This Row],[ID]], Table4[ID], Table4[Deals], "Not Found", 0)</f>
        <v>1</v>
      </c>
      <c r="S1430" s="16">
        <f>_xlfn.XLOOKUP(CustomerCombinedCleaned[[#This Row],[ID]], Table4[ID], Table4[Website], "Not Found", 0)</f>
        <v>4</v>
      </c>
      <c r="T1430" s="16">
        <f>_xlfn.XLOOKUP(CustomerCombinedCleaned[[#This Row],[ID]], Table4[ID], Table4[Catalog], "Not Found", 0)</f>
        <v>1</v>
      </c>
      <c r="U1430" s="16">
        <f>_xlfn.XLOOKUP(CustomerCombinedCleaned[[#This Row],[ID]], Table4[ID], Table4[Store], "Not Found", 0)</f>
        <v>6</v>
      </c>
      <c r="V1430" s="16">
        <f>_xlfn.XLOOKUP(CustomerCombinedCleaned[[#This Row],[ID]], Table4[ID], Table4[Visits], "Not Found", 0)</f>
        <v>5</v>
      </c>
      <c r="W1430" s="16">
        <f>_xlfn.XLOOKUP(CustomerCombinedCleaned[[#This Row],[ID]], Table2[ID],Table2[Complaint], "Not Found", 0 )</f>
        <v>0</v>
      </c>
      <c r="X1430" s="16">
        <f>_xlfn.XLOOKUP(CustomerCombinedCleaned[[#This Row],[ID]], Table2[ID],Table2[Pilot], "Not Found", 0 )</f>
        <v>0</v>
      </c>
      <c r="Y1430" s="16">
        <f>_xlfn.XLOOKUP(CustomerCombinedCleaned[[#This Row],[ID]], Table2[ID],Table2[MC1], "Not Found", 0 )</f>
        <v>0</v>
      </c>
      <c r="Z1430" s="16">
        <f>_xlfn.XLOOKUP(CustomerCombinedCleaned[[#This Row],[ID]], Table2[ID],Table2[MC2], "Not Found", 0 )</f>
        <v>0</v>
      </c>
      <c r="AA1430" s="16">
        <f>_xlfn.XLOOKUP(CustomerCombinedCleaned[[#This Row],[ID]], Table2[ID],Table2[MC3], "Not Found", 0 )</f>
        <v>0</v>
      </c>
      <c r="AB1430" s="16">
        <f>_xlfn.XLOOKUP(CustomerCombinedCleaned[[#This Row],[ID]], Table2[ID],Table2[MC4], "Not Found", 0 )</f>
        <v>0</v>
      </c>
      <c r="AC1430" s="16">
        <f>_xlfn.XLOOKUP(CustomerCombinedCleaned[[#This Row],[ID]], Table2[ID],Table2[MC5], "Not Found", 0 )</f>
        <v>0</v>
      </c>
    </row>
    <row r="1431" spans="1:29" x14ac:dyDescent="0.3">
      <c r="A1431" s="18">
        <v>1330</v>
      </c>
      <c r="B1431" s="16">
        <v>144300</v>
      </c>
      <c r="C1431" s="16">
        <v>1</v>
      </c>
      <c r="D1431" s="16">
        <v>1</v>
      </c>
      <c r="E1431" s="16">
        <v>55</v>
      </c>
      <c r="F1431" s="17" t="s">
        <v>6</v>
      </c>
      <c r="G1431" s="17" t="s">
        <v>11</v>
      </c>
      <c r="H1431" s="3" t="s">
        <v>230</v>
      </c>
      <c r="I1431" s="5" t="s">
        <v>439</v>
      </c>
      <c r="J1431" s="16">
        <f>_xlfn.XLOOKUP(CustomerCombinedCleaned[[#This Row],[ID]], Table4[ID], Table4[Recency], "Not Found", 0)</f>
        <v>65</v>
      </c>
      <c r="K1431" s="16">
        <f>_xlfn.XLOOKUP(CustomerCombinedCleaned[[#This Row],[ID]], Table4[ID], Table4[Teas], "Not Found", 0)</f>
        <v>98</v>
      </c>
      <c r="L1431" s="16">
        <f>_xlfn.XLOOKUP(CustomerCombinedCleaned[[#This Row],[ID]], Table4[ID], Table4[Fruits], "Not Found", 0)</f>
        <v>0</v>
      </c>
      <c r="M1431" s="16">
        <f>_xlfn.XLOOKUP(CustomerCombinedCleaned[[#This Row],[ID]], Table4[ID], Table4[Meats], "Not Found", 0)</f>
        <v>29</v>
      </c>
      <c r="N1431" s="16">
        <f>_xlfn.XLOOKUP(CustomerCombinedCleaned[[#This Row],[ID]], Table4[ID], Table4[Seafood], "Not Found", 0)</f>
        <v>0</v>
      </c>
      <c r="O1431" s="16">
        <f>_xlfn.XLOOKUP(CustomerCombinedCleaned[[#This Row],[ID]], Table4[ID], Table4[Sweets], "Not Found", 0)</f>
        <v>0</v>
      </c>
      <c r="P1431" s="16">
        <f>_xlfn.XLOOKUP(CustomerCombinedCleaned[[#This Row],[ID]], Table4[ID], Table4[Premium], "Not Found", 0)</f>
        <v>10</v>
      </c>
      <c r="Q1431" s="16">
        <f>_xlfn.XLOOKUP(CustomerCombinedCleaned[[#This Row],[ID]], Table4[ID], Table4[Regular], "Not Found", 0)</f>
        <v>117</v>
      </c>
      <c r="R1431" s="16">
        <f>_xlfn.XLOOKUP(CustomerCombinedCleaned[[#This Row],[ID]], Table4[ID], Table4[Deals], "Not Found", 0)</f>
        <v>2</v>
      </c>
      <c r="S1431" s="16">
        <f>_xlfn.XLOOKUP(CustomerCombinedCleaned[[#This Row],[ID]], Table4[ID], Table4[Website], "Not Found", 0)</f>
        <v>1</v>
      </c>
      <c r="T1431" s="16">
        <f>_xlfn.XLOOKUP(CustomerCombinedCleaned[[#This Row],[ID]], Table4[ID], Table4[Catalog], "Not Found", 0)</f>
        <v>0</v>
      </c>
      <c r="U1431" s="16">
        <f>_xlfn.XLOOKUP(CustomerCombinedCleaned[[#This Row],[ID]], Table4[ID], Table4[Store], "Not Found", 0)</f>
        <v>3</v>
      </c>
      <c r="V1431" s="16">
        <f>_xlfn.XLOOKUP(CustomerCombinedCleaned[[#This Row],[ID]], Table4[ID], Table4[Visits], "Not Found", 0)</f>
        <v>6</v>
      </c>
      <c r="W1431" s="16">
        <f>_xlfn.XLOOKUP(CustomerCombinedCleaned[[#This Row],[ID]], Table2[ID],Table2[Complaint], "Not Found", 0 )</f>
        <v>0</v>
      </c>
      <c r="X1431" s="16">
        <f>_xlfn.XLOOKUP(CustomerCombinedCleaned[[#This Row],[ID]], Table2[ID],Table2[Pilot], "Not Found", 0 )</f>
        <v>0</v>
      </c>
      <c r="Y1431" s="16">
        <f>_xlfn.XLOOKUP(CustomerCombinedCleaned[[#This Row],[ID]], Table2[ID],Table2[MC1], "Not Found", 0 )</f>
        <v>0</v>
      </c>
      <c r="Z1431" s="16">
        <f>_xlfn.XLOOKUP(CustomerCombinedCleaned[[#This Row],[ID]], Table2[ID],Table2[MC2], "Not Found", 0 )</f>
        <v>0</v>
      </c>
      <c r="AA1431" s="16">
        <f>_xlfn.XLOOKUP(CustomerCombinedCleaned[[#This Row],[ID]], Table2[ID],Table2[MC3], "Not Found", 0 )</f>
        <v>0</v>
      </c>
      <c r="AB1431" s="16">
        <f>_xlfn.XLOOKUP(CustomerCombinedCleaned[[#This Row],[ID]], Table2[ID],Table2[MC4], "Not Found", 0 )</f>
        <v>0</v>
      </c>
      <c r="AC1431" s="16">
        <f>_xlfn.XLOOKUP(CustomerCombinedCleaned[[#This Row],[ID]], Table2[ID],Table2[MC5], "Not Found", 0 )</f>
        <v>0</v>
      </c>
    </row>
    <row r="1432" spans="1:29" x14ac:dyDescent="0.3">
      <c r="A1432" s="18">
        <v>1753</v>
      </c>
      <c r="B1432" s="16">
        <v>142720</v>
      </c>
      <c r="C1432" s="16">
        <v>1</v>
      </c>
      <c r="D1432" s="16">
        <v>1</v>
      </c>
      <c r="E1432" s="16">
        <v>55</v>
      </c>
      <c r="F1432" s="17" t="s">
        <v>7</v>
      </c>
      <c r="G1432" s="17" t="s">
        <v>11</v>
      </c>
      <c r="H1432" s="3" t="s">
        <v>265</v>
      </c>
      <c r="I1432" s="5" t="s">
        <v>437</v>
      </c>
      <c r="J1432" s="16">
        <f>_xlfn.XLOOKUP(CustomerCombinedCleaned[[#This Row],[ID]], Table4[ID], Table4[Recency], "Not Found", 0)</f>
        <v>9</v>
      </c>
      <c r="K1432" s="16">
        <f>_xlfn.XLOOKUP(CustomerCombinedCleaned[[#This Row],[ID]], Table4[ID], Table4[Teas], "Not Found", 0)</f>
        <v>1310</v>
      </c>
      <c r="L1432" s="16">
        <f>_xlfn.XLOOKUP(CustomerCombinedCleaned[[#This Row],[ID]], Table4[ID], Table4[Fruits], "Not Found", 0)</f>
        <v>17</v>
      </c>
      <c r="M1432" s="16">
        <f>_xlfn.XLOOKUP(CustomerCombinedCleaned[[#This Row],[ID]], Table4[ID], Table4[Meats], "Not Found", 0)</f>
        <v>304</v>
      </c>
      <c r="N1432" s="16">
        <f>_xlfn.XLOOKUP(CustomerCombinedCleaned[[#This Row],[ID]], Table4[ID], Table4[Seafood], "Not Found", 0)</f>
        <v>94</v>
      </c>
      <c r="O1432" s="16">
        <f>_xlfn.XLOOKUP(CustomerCombinedCleaned[[#This Row],[ID]], Table4[ID], Table4[Sweets], "Not Found", 0)</f>
        <v>87</v>
      </c>
      <c r="P1432" s="16">
        <f>_xlfn.XLOOKUP(CustomerCombinedCleaned[[#This Row],[ID]], Table4[ID], Table4[Premium], "Not Found", 0)</f>
        <v>374</v>
      </c>
      <c r="Q1432" s="16">
        <f>_xlfn.XLOOKUP(CustomerCombinedCleaned[[#This Row],[ID]], Table4[ID], Table4[Regular], "Not Found", 0)</f>
        <v>1437</v>
      </c>
      <c r="R1432" s="16">
        <f>_xlfn.XLOOKUP(CustomerCombinedCleaned[[#This Row],[ID]], Table4[ID], Table4[Deals], "Not Found", 0)</f>
        <v>8</v>
      </c>
      <c r="S1432" s="16">
        <f>_xlfn.XLOOKUP(CustomerCombinedCleaned[[#This Row],[ID]], Table4[ID], Table4[Website], "Not Found", 0)</f>
        <v>7</v>
      </c>
      <c r="T1432" s="16">
        <f>_xlfn.XLOOKUP(CustomerCombinedCleaned[[#This Row],[ID]], Table4[ID], Table4[Catalog], "Not Found", 0)</f>
        <v>3</v>
      </c>
      <c r="U1432" s="16">
        <f>_xlfn.XLOOKUP(CustomerCombinedCleaned[[#This Row],[ID]], Table4[ID], Table4[Store], "Not Found", 0)</f>
        <v>7</v>
      </c>
      <c r="V1432" s="16">
        <f>_xlfn.XLOOKUP(CustomerCombinedCleaned[[#This Row],[ID]], Table4[ID], Table4[Visits], "Not Found", 0)</f>
        <v>8</v>
      </c>
      <c r="W1432" s="16">
        <f>_xlfn.XLOOKUP(CustomerCombinedCleaned[[#This Row],[ID]], Table2[ID],Table2[Complaint], "Not Found", 0 )</f>
        <v>0</v>
      </c>
      <c r="X1432" s="16">
        <f>_xlfn.XLOOKUP(CustomerCombinedCleaned[[#This Row],[ID]], Table2[ID],Table2[Pilot], "Not Found", 0 )</f>
        <v>1</v>
      </c>
      <c r="Y1432" s="16">
        <f>_xlfn.XLOOKUP(CustomerCombinedCleaned[[#This Row],[ID]], Table2[ID],Table2[MC1], "Not Found", 0 )</f>
        <v>0</v>
      </c>
      <c r="Z1432" s="16">
        <f>_xlfn.XLOOKUP(CustomerCombinedCleaned[[#This Row],[ID]], Table2[ID],Table2[MC2], "Not Found", 0 )</f>
        <v>0</v>
      </c>
      <c r="AA1432" s="16">
        <f>_xlfn.XLOOKUP(CustomerCombinedCleaned[[#This Row],[ID]], Table2[ID],Table2[MC3], "Not Found", 0 )</f>
        <v>0</v>
      </c>
      <c r="AB1432" s="16">
        <f>_xlfn.XLOOKUP(CustomerCombinedCleaned[[#This Row],[ID]], Table2[ID],Table2[MC4], "Not Found", 0 )</f>
        <v>0</v>
      </c>
      <c r="AC1432" s="16">
        <f>_xlfn.XLOOKUP(CustomerCombinedCleaned[[#This Row],[ID]], Table2[ID],Table2[MC5], "Not Found", 0 )</f>
        <v>0</v>
      </c>
    </row>
    <row r="1433" spans="1:29" x14ac:dyDescent="0.3">
      <c r="A1433" s="18">
        <v>1757</v>
      </c>
      <c r="B1433" s="16">
        <v>140760</v>
      </c>
      <c r="C1433" s="16">
        <v>0</v>
      </c>
      <c r="D1433" s="16">
        <v>1</v>
      </c>
      <c r="E1433" s="16">
        <v>55</v>
      </c>
      <c r="F1433" s="17" t="s">
        <v>7</v>
      </c>
      <c r="G1433" s="17" t="s">
        <v>13</v>
      </c>
      <c r="H1433" s="3" t="s">
        <v>764</v>
      </c>
      <c r="I1433" s="5" t="s">
        <v>434</v>
      </c>
      <c r="J1433" s="16">
        <f>_xlfn.XLOOKUP(CustomerCombinedCleaned[[#This Row],[ID]], Table4[ID], Table4[Recency], "Not Found", 0)</f>
        <v>64</v>
      </c>
      <c r="K1433" s="16">
        <f>_xlfn.XLOOKUP(CustomerCombinedCleaned[[#This Row],[ID]], Table4[ID], Table4[Teas], "Not Found", 0)</f>
        <v>242</v>
      </c>
      <c r="L1433" s="16">
        <f>_xlfn.XLOOKUP(CustomerCombinedCleaned[[#This Row],[ID]], Table4[ID], Table4[Fruits], "Not Found", 0)</f>
        <v>0</v>
      </c>
      <c r="M1433" s="16">
        <f>_xlfn.XLOOKUP(CustomerCombinedCleaned[[#This Row],[ID]], Table4[ID], Table4[Meats], "Not Found", 0)</f>
        <v>59</v>
      </c>
      <c r="N1433" s="16">
        <f>_xlfn.XLOOKUP(CustomerCombinedCleaned[[#This Row],[ID]], Table4[ID], Table4[Seafood], "Not Found", 0)</f>
        <v>0</v>
      </c>
      <c r="O1433" s="16">
        <f>_xlfn.XLOOKUP(CustomerCombinedCleaned[[#This Row],[ID]], Table4[ID], Table4[Sweets], "Not Found", 0)</f>
        <v>0</v>
      </c>
      <c r="P1433" s="16">
        <f>_xlfn.XLOOKUP(CustomerCombinedCleaned[[#This Row],[ID]], Table4[ID], Table4[Premium], "Not Found", 0)</f>
        <v>21</v>
      </c>
      <c r="Q1433" s="16">
        <f>_xlfn.XLOOKUP(CustomerCombinedCleaned[[#This Row],[ID]], Table4[ID], Table4[Regular], "Not Found", 0)</f>
        <v>280</v>
      </c>
      <c r="R1433" s="16">
        <f>_xlfn.XLOOKUP(CustomerCombinedCleaned[[#This Row],[ID]], Table4[ID], Table4[Deals], "Not Found", 0)</f>
        <v>2</v>
      </c>
      <c r="S1433" s="16">
        <f>_xlfn.XLOOKUP(CustomerCombinedCleaned[[#This Row],[ID]], Table4[ID], Table4[Website], "Not Found", 0)</f>
        <v>2</v>
      </c>
      <c r="T1433" s="16">
        <f>_xlfn.XLOOKUP(CustomerCombinedCleaned[[#This Row],[ID]], Table4[ID], Table4[Catalog], "Not Found", 0)</f>
        <v>1</v>
      </c>
      <c r="U1433" s="16">
        <f>_xlfn.XLOOKUP(CustomerCombinedCleaned[[#This Row],[ID]], Table4[ID], Table4[Store], "Not Found", 0)</f>
        <v>3</v>
      </c>
      <c r="V1433" s="16">
        <f>_xlfn.XLOOKUP(CustomerCombinedCleaned[[#This Row],[ID]], Table4[ID], Table4[Visits], "Not Found", 0)</f>
        <v>6</v>
      </c>
      <c r="W1433" s="16">
        <f>_xlfn.XLOOKUP(CustomerCombinedCleaned[[#This Row],[ID]], Table2[ID],Table2[Complaint], "Not Found", 0 )</f>
        <v>0</v>
      </c>
      <c r="X1433" s="16">
        <f>_xlfn.XLOOKUP(CustomerCombinedCleaned[[#This Row],[ID]], Table2[ID],Table2[Pilot], "Not Found", 0 )</f>
        <v>0</v>
      </c>
      <c r="Y1433" s="16">
        <f>_xlfn.XLOOKUP(CustomerCombinedCleaned[[#This Row],[ID]], Table2[ID],Table2[MC1], "Not Found", 0 )</f>
        <v>0</v>
      </c>
      <c r="Z1433" s="16">
        <f>_xlfn.XLOOKUP(CustomerCombinedCleaned[[#This Row],[ID]], Table2[ID],Table2[MC2], "Not Found", 0 )</f>
        <v>0</v>
      </c>
      <c r="AA1433" s="16">
        <f>_xlfn.XLOOKUP(CustomerCombinedCleaned[[#This Row],[ID]], Table2[ID],Table2[MC3], "Not Found", 0 )</f>
        <v>0</v>
      </c>
      <c r="AB1433" s="16">
        <f>_xlfn.XLOOKUP(CustomerCombinedCleaned[[#This Row],[ID]], Table2[ID],Table2[MC4], "Not Found", 0 )</f>
        <v>0</v>
      </c>
      <c r="AC1433" s="16">
        <f>_xlfn.XLOOKUP(CustomerCombinedCleaned[[#This Row],[ID]], Table2[ID],Table2[MC5], "Not Found", 0 )</f>
        <v>0</v>
      </c>
    </row>
    <row r="1434" spans="1:29" x14ac:dyDescent="0.3">
      <c r="A1434" s="18">
        <v>1192</v>
      </c>
      <c r="B1434" s="16">
        <v>140637</v>
      </c>
      <c r="C1434" s="16">
        <v>1</v>
      </c>
      <c r="D1434" s="16">
        <v>1</v>
      </c>
      <c r="E1434" s="16">
        <v>55</v>
      </c>
      <c r="F1434" s="17" t="s">
        <v>7</v>
      </c>
      <c r="G1434" s="17" t="s">
        <v>13</v>
      </c>
      <c r="H1434" s="3" t="s">
        <v>219</v>
      </c>
      <c r="I1434" s="5" t="s">
        <v>439</v>
      </c>
      <c r="J1434" s="16">
        <f>_xlfn.XLOOKUP(CustomerCombinedCleaned[[#This Row],[ID]], Table4[ID], Table4[Recency], "Not Found", 0)</f>
        <v>72</v>
      </c>
      <c r="K1434" s="16">
        <f>_xlfn.XLOOKUP(CustomerCombinedCleaned[[#This Row],[ID]], Table4[ID], Table4[Teas], "Not Found", 0)</f>
        <v>76</v>
      </c>
      <c r="L1434" s="16">
        <f>_xlfn.XLOOKUP(CustomerCombinedCleaned[[#This Row],[ID]], Table4[ID], Table4[Fruits], "Not Found", 0)</f>
        <v>0</v>
      </c>
      <c r="M1434" s="16">
        <f>_xlfn.XLOOKUP(CustomerCombinedCleaned[[#This Row],[ID]], Table4[ID], Table4[Meats], "Not Found", 0)</f>
        <v>45</v>
      </c>
      <c r="N1434" s="16">
        <f>_xlfn.XLOOKUP(CustomerCombinedCleaned[[#This Row],[ID]], Table4[ID], Table4[Seafood], "Not Found", 0)</f>
        <v>0</v>
      </c>
      <c r="O1434" s="16">
        <f>_xlfn.XLOOKUP(CustomerCombinedCleaned[[#This Row],[ID]], Table4[ID], Table4[Sweets], "Not Found", 0)</f>
        <v>0</v>
      </c>
      <c r="P1434" s="16">
        <f>_xlfn.XLOOKUP(CustomerCombinedCleaned[[#This Row],[ID]], Table4[ID], Table4[Premium], "Not Found", 0)</f>
        <v>10</v>
      </c>
      <c r="Q1434" s="16">
        <f>_xlfn.XLOOKUP(CustomerCombinedCleaned[[#This Row],[ID]], Table4[ID], Table4[Regular], "Not Found", 0)</f>
        <v>111</v>
      </c>
      <c r="R1434" s="16">
        <f>_xlfn.XLOOKUP(CustomerCombinedCleaned[[#This Row],[ID]], Table4[ID], Table4[Deals], "Not Found", 0)</f>
        <v>2</v>
      </c>
      <c r="S1434" s="16">
        <f>_xlfn.XLOOKUP(CustomerCombinedCleaned[[#This Row],[ID]], Table4[ID], Table4[Website], "Not Found", 0)</f>
        <v>1</v>
      </c>
      <c r="T1434" s="16">
        <f>_xlfn.XLOOKUP(CustomerCombinedCleaned[[#This Row],[ID]], Table4[ID], Table4[Catalog], "Not Found", 0)</f>
        <v>0</v>
      </c>
      <c r="U1434" s="16">
        <f>_xlfn.XLOOKUP(CustomerCombinedCleaned[[#This Row],[ID]], Table4[ID], Table4[Store], "Not Found", 0)</f>
        <v>3</v>
      </c>
      <c r="V1434" s="16">
        <f>_xlfn.XLOOKUP(CustomerCombinedCleaned[[#This Row],[ID]], Table4[ID], Table4[Visits], "Not Found", 0)</f>
        <v>7</v>
      </c>
      <c r="W1434" s="16">
        <f>_xlfn.XLOOKUP(CustomerCombinedCleaned[[#This Row],[ID]], Table2[ID],Table2[Complaint], "Not Found", 0 )</f>
        <v>0</v>
      </c>
      <c r="X1434" s="16">
        <f>_xlfn.XLOOKUP(CustomerCombinedCleaned[[#This Row],[ID]], Table2[ID],Table2[Pilot], "Not Found", 0 )</f>
        <v>0</v>
      </c>
      <c r="Y1434" s="16">
        <f>_xlfn.XLOOKUP(CustomerCombinedCleaned[[#This Row],[ID]], Table2[ID],Table2[MC1], "Not Found", 0 )</f>
        <v>0</v>
      </c>
      <c r="Z1434" s="16">
        <f>_xlfn.XLOOKUP(CustomerCombinedCleaned[[#This Row],[ID]], Table2[ID],Table2[MC2], "Not Found", 0 )</f>
        <v>0</v>
      </c>
      <c r="AA1434" s="16">
        <f>_xlfn.XLOOKUP(CustomerCombinedCleaned[[#This Row],[ID]], Table2[ID],Table2[MC3], "Not Found", 0 )</f>
        <v>0</v>
      </c>
      <c r="AB1434" s="16">
        <f>_xlfn.XLOOKUP(CustomerCombinedCleaned[[#This Row],[ID]], Table2[ID],Table2[MC4], "Not Found", 0 )</f>
        <v>0</v>
      </c>
      <c r="AC1434" s="16">
        <f>_xlfn.XLOOKUP(CustomerCombinedCleaned[[#This Row],[ID]], Table2[ID],Table2[MC5], "Not Found", 0 )</f>
        <v>0</v>
      </c>
    </row>
    <row r="1435" spans="1:29" x14ac:dyDescent="0.3">
      <c r="A1435" s="18">
        <v>1129</v>
      </c>
      <c r="B1435" s="16">
        <v>136921</v>
      </c>
      <c r="C1435" s="16">
        <v>1</v>
      </c>
      <c r="D1435" s="16">
        <v>1</v>
      </c>
      <c r="E1435" s="16">
        <v>55</v>
      </c>
      <c r="F1435" s="17" t="s">
        <v>5</v>
      </c>
      <c r="G1435" s="17" t="s">
        <v>13</v>
      </c>
      <c r="H1435" s="3" t="s">
        <v>782</v>
      </c>
      <c r="I1435" s="5" t="s">
        <v>437</v>
      </c>
      <c r="J1435" s="16">
        <f>_xlfn.XLOOKUP(CustomerCombinedCleaned[[#This Row],[ID]], Table4[ID], Table4[Recency], "Not Found", 0)</f>
        <v>74</v>
      </c>
      <c r="K1435" s="16">
        <f>_xlfn.XLOOKUP(CustomerCombinedCleaned[[#This Row],[ID]], Table4[ID], Table4[Teas], "Not Found", 0)</f>
        <v>63</v>
      </c>
      <c r="L1435" s="16">
        <f>_xlfn.XLOOKUP(CustomerCombinedCleaned[[#This Row],[ID]], Table4[ID], Table4[Fruits], "Not Found", 0)</f>
        <v>4</v>
      </c>
      <c r="M1435" s="16">
        <f>_xlfn.XLOOKUP(CustomerCombinedCleaned[[#This Row],[ID]], Table4[ID], Table4[Meats], "Not Found", 0)</f>
        <v>45</v>
      </c>
      <c r="N1435" s="16">
        <f>_xlfn.XLOOKUP(CustomerCombinedCleaned[[#This Row],[ID]], Table4[ID], Table4[Seafood], "Not Found", 0)</f>
        <v>11</v>
      </c>
      <c r="O1435" s="16">
        <f>_xlfn.XLOOKUP(CustomerCombinedCleaned[[#This Row],[ID]], Table4[ID], Table4[Sweets], "Not Found", 0)</f>
        <v>4</v>
      </c>
      <c r="P1435" s="16">
        <f>_xlfn.XLOOKUP(CustomerCombinedCleaned[[#This Row],[ID]], Table4[ID], Table4[Premium], "Not Found", 0)</f>
        <v>15</v>
      </c>
      <c r="Q1435" s="16">
        <f>_xlfn.XLOOKUP(CustomerCombinedCleaned[[#This Row],[ID]], Table4[ID], Table4[Regular], "Not Found", 0)</f>
        <v>111</v>
      </c>
      <c r="R1435" s="16">
        <f>_xlfn.XLOOKUP(CustomerCombinedCleaned[[#This Row],[ID]], Table4[ID], Table4[Deals], "Not Found", 0)</f>
        <v>2</v>
      </c>
      <c r="S1435" s="16">
        <f>_xlfn.XLOOKUP(CustomerCombinedCleaned[[#This Row],[ID]], Table4[ID], Table4[Website], "Not Found", 0)</f>
        <v>2</v>
      </c>
      <c r="T1435" s="16">
        <f>_xlfn.XLOOKUP(CustomerCombinedCleaned[[#This Row],[ID]], Table4[ID], Table4[Catalog], "Not Found", 0)</f>
        <v>0</v>
      </c>
      <c r="U1435" s="16">
        <f>_xlfn.XLOOKUP(CustomerCombinedCleaned[[#This Row],[ID]], Table4[ID], Table4[Store], "Not Found", 0)</f>
        <v>3</v>
      </c>
      <c r="V1435" s="16">
        <f>_xlfn.XLOOKUP(CustomerCombinedCleaned[[#This Row],[ID]], Table4[ID], Table4[Visits], "Not Found", 0)</f>
        <v>7</v>
      </c>
      <c r="W1435" s="16">
        <f>_xlfn.XLOOKUP(CustomerCombinedCleaned[[#This Row],[ID]], Table2[ID],Table2[Complaint], "Not Found", 0 )</f>
        <v>0</v>
      </c>
      <c r="X1435" s="16">
        <f>_xlfn.XLOOKUP(CustomerCombinedCleaned[[#This Row],[ID]], Table2[ID],Table2[Pilot], "Not Found", 0 )</f>
        <v>0</v>
      </c>
      <c r="Y1435" s="16">
        <f>_xlfn.XLOOKUP(CustomerCombinedCleaned[[#This Row],[ID]], Table2[ID],Table2[MC1], "Not Found", 0 )</f>
        <v>0</v>
      </c>
      <c r="Z1435" s="16">
        <f>_xlfn.XLOOKUP(CustomerCombinedCleaned[[#This Row],[ID]], Table2[ID],Table2[MC2], "Not Found", 0 )</f>
        <v>0</v>
      </c>
      <c r="AA1435" s="16">
        <f>_xlfn.XLOOKUP(CustomerCombinedCleaned[[#This Row],[ID]], Table2[ID],Table2[MC3], "Not Found", 0 )</f>
        <v>0</v>
      </c>
      <c r="AB1435" s="16">
        <f>_xlfn.XLOOKUP(CustomerCombinedCleaned[[#This Row],[ID]], Table2[ID],Table2[MC4], "Not Found", 0 )</f>
        <v>0</v>
      </c>
      <c r="AC1435" s="16">
        <f>_xlfn.XLOOKUP(CustomerCombinedCleaned[[#This Row],[ID]], Table2[ID],Table2[MC5], "Not Found", 0 )</f>
        <v>0</v>
      </c>
    </row>
    <row r="1436" spans="1:29" x14ac:dyDescent="0.3">
      <c r="A1436" s="18">
        <v>2190</v>
      </c>
      <c r="B1436" s="16">
        <v>136317</v>
      </c>
      <c r="C1436" s="16">
        <v>0</v>
      </c>
      <c r="D1436" s="16">
        <v>1</v>
      </c>
      <c r="E1436" s="16">
        <v>55</v>
      </c>
      <c r="F1436" s="17" t="s">
        <v>8</v>
      </c>
      <c r="G1436" s="17" t="s">
        <v>11</v>
      </c>
      <c r="H1436" s="3" t="s">
        <v>249</v>
      </c>
      <c r="I1436" s="5" t="s">
        <v>436</v>
      </c>
      <c r="J1436" s="16">
        <f>_xlfn.XLOOKUP(CustomerCombinedCleaned[[#This Row],[ID]], Table4[ID], Table4[Recency], "Not Found", 0)</f>
        <v>53</v>
      </c>
      <c r="K1436" s="16">
        <f>_xlfn.XLOOKUP(CustomerCombinedCleaned[[#This Row],[ID]], Table4[ID], Table4[Teas], "Not Found", 0)</f>
        <v>327</v>
      </c>
      <c r="L1436" s="16">
        <f>_xlfn.XLOOKUP(CustomerCombinedCleaned[[#This Row],[ID]], Table4[ID], Table4[Fruits], "Not Found", 0)</f>
        <v>11</v>
      </c>
      <c r="M1436" s="16">
        <f>_xlfn.XLOOKUP(CustomerCombinedCleaned[[#This Row],[ID]], Table4[ID], Table4[Meats], "Not Found", 0)</f>
        <v>94</v>
      </c>
      <c r="N1436" s="16">
        <f>_xlfn.XLOOKUP(CustomerCombinedCleaned[[#This Row],[ID]], Table4[ID], Table4[Seafood], "Not Found", 0)</f>
        <v>11</v>
      </c>
      <c r="O1436" s="16">
        <f>_xlfn.XLOOKUP(CustomerCombinedCleaned[[#This Row],[ID]], Table4[ID], Table4[Sweets], "Not Found", 0)</f>
        <v>8</v>
      </c>
      <c r="P1436" s="16">
        <f>_xlfn.XLOOKUP(CustomerCombinedCleaned[[#This Row],[ID]], Table4[ID], Table4[Premium], "Not Found", 0)</f>
        <v>49</v>
      </c>
      <c r="Q1436" s="16">
        <f>_xlfn.XLOOKUP(CustomerCombinedCleaned[[#This Row],[ID]], Table4[ID], Table4[Regular], "Not Found", 0)</f>
        <v>402</v>
      </c>
      <c r="R1436" s="16">
        <f>_xlfn.XLOOKUP(CustomerCombinedCleaned[[#This Row],[ID]], Table4[ID], Table4[Deals], "Not Found", 0)</f>
        <v>2</v>
      </c>
      <c r="S1436" s="16">
        <f>_xlfn.XLOOKUP(CustomerCombinedCleaned[[#This Row],[ID]], Table4[ID], Table4[Website], "Not Found", 0)</f>
        <v>3</v>
      </c>
      <c r="T1436" s="16">
        <f>_xlfn.XLOOKUP(CustomerCombinedCleaned[[#This Row],[ID]], Table4[ID], Table4[Catalog], "Not Found", 0)</f>
        <v>0</v>
      </c>
      <c r="U1436" s="16">
        <f>_xlfn.XLOOKUP(CustomerCombinedCleaned[[#This Row],[ID]], Table4[ID], Table4[Store], "Not Found", 0)</f>
        <v>4</v>
      </c>
      <c r="V1436" s="16">
        <f>_xlfn.XLOOKUP(CustomerCombinedCleaned[[#This Row],[ID]], Table4[ID], Table4[Visits], "Not Found", 0)</f>
        <v>7</v>
      </c>
      <c r="W1436" s="16">
        <f>_xlfn.XLOOKUP(CustomerCombinedCleaned[[#This Row],[ID]], Table2[ID],Table2[Complaint], "Not Found", 0 )</f>
        <v>0</v>
      </c>
      <c r="X1436" s="16">
        <f>_xlfn.XLOOKUP(CustomerCombinedCleaned[[#This Row],[ID]], Table2[ID],Table2[Pilot], "Not Found", 0 )</f>
        <v>0</v>
      </c>
      <c r="Y1436" s="16">
        <f>_xlfn.XLOOKUP(CustomerCombinedCleaned[[#This Row],[ID]], Table2[ID],Table2[MC1], "Not Found", 0 )</f>
        <v>0</v>
      </c>
      <c r="Z1436" s="16">
        <f>_xlfn.XLOOKUP(CustomerCombinedCleaned[[#This Row],[ID]], Table2[ID],Table2[MC2], "Not Found", 0 )</f>
        <v>0</v>
      </c>
      <c r="AA1436" s="16">
        <f>_xlfn.XLOOKUP(CustomerCombinedCleaned[[#This Row],[ID]], Table2[ID],Table2[MC3], "Not Found", 0 )</f>
        <v>0</v>
      </c>
      <c r="AB1436" s="16">
        <f>_xlfn.XLOOKUP(CustomerCombinedCleaned[[#This Row],[ID]], Table2[ID],Table2[MC4], "Not Found", 0 )</f>
        <v>0</v>
      </c>
      <c r="AC1436" s="16">
        <f>_xlfn.XLOOKUP(CustomerCombinedCleaned[[#This Row],[ID]], Table2[ID],Table2[MC5], "Not Found", 0 )</f>
        <v>0</v>
      </c>
    </row>
    <row r="1437" spans="1:29" x14ac:dyDescent="0.3">
      <c r="A1437" s="18">
        <v>1600</v>
      </c>
      <c r="B1437" s="16">
        <v>135791</v>
      </c>
      <c r="C1437" s="16">
        <v>2</v>
      </c>
      <c r="D1437" s="16">
        <v>1</v>
      </c>
      <c r="E1437" s="16">
        <v>55</v>
      </c>
      <c r="F1437" s="17" t="s">
        <v>7</v>
      </c>
      <c r="G1437" s="17" t="s">
        <v>12</v>
      </c>
      <c r="H1437" s="3" t="s">
        <v>635</v>
      </c>
      <c r="I1437" s="5" t="s">
        <v>439</v>
      </c>
      <c r="J1437" s="16">
        <f>_xlfn.XLOOKUP(CustomerCombinedCleaned[[#This Row],[ID]], Table4[ID], Table4[Recency], "Not Found", 0)</f>
        <v>94</v>
      </c>
      <c r="K1437" s="16">
        <f>_xlfn.XLOOKUP(CustomerCombinedCleaned[[#This Row],[ID]], Table4[ID], Table4[Teas], "Not Found", 0)</f>
        <v>102</v>
      </c>
      <c r="L1437" s="16">
        <f>_xlfn.XLOOKUP(CustomerCombinedCleaned[[#This Row],[ID]], Table4[ID], Table4[Fruits], "Not Found", 0)</f>
        <v>0</v>
      </c>
      <c r="M1437" s="16">
        <f>_xlfn.XLOOKUP(CustomerCombinedCleaned[[#This Row],[ID]], Table4[ID], Table4[Meats], "Not Found", 0)</f>
        <v>19</v>
      </c>
      <c r="N1437" s="16">
        <f>_xlfn.XLOOKUP(CustomerCombinedCleaned[[#This Row],[ID]], Table4[ID], Table4[Seafood], "Not Found", 0)</f>
        <v>0</v>
      </c>
      <c r="O1437" s="16">
        <f>_xlfn.XLOOKUP(CustomerCombinedCleaned[[#This Row],[ID]], Table4[ID], Table4[Sweets], "Not Found", 0)</f>
        <v>0</v>
      </c>
      <c r="P1437" s="16">
        <f>_xlfn.XLOOKUP(CustomerCombinedCleaned[[#This Row],[ID]], Table4[ID], Table4[Premium], "Not Found", 0)</f>
        <v>11</v>
      </c>
      <c r="Q1437" s="16">
        <f>_xlfn.XLOOKUP(CustomerCombinedCleaned[[#This Row],[ID]], Table4[ID], Table4[Regular], "Not Found", 0)</f>
        <v>110</v>
      </c>
      <c r="R1437" s="16">
        <f>_xlfn.XLOOKUP(CustomerCombinedCleaned[[#This Row],[ID]], Table4[ID], Table4[Deals], "Not Found", 0)</f>
        <v>2</v>
      </c>
      <c r="S1437" s="16">
        <f>_xlfn.XLOOKUP(CustomerCombinedCleaned[[#This Row],[ID]], Table4[ID], Table4[Website], "Not Found", 0)</f>
        <v>1</v>
      </c>
      <c r="T1437" s="16">
        <f>_xlfn.XLOOKUP(CustomerCombinedCleaned[[#This Row],[ID]], Table4[ID], Table4[Catalog], "Not Found", 0)</f>
        <v>0</v>
      </c>
      <c r="U1437" s="16">
        <f>_xlfn.XLOOKUP(CustomerCombinedCleaned[[#This Row],[ID]], Table4[ID], Table4[Store], "Not Found", 0)</f>
        <v>3</v>
      </c>
      <c r="V1437" s="16">
        <f>_xlfn.XLOOKUP(CustomerCombinedCleaned[[#This Row],[ID]], Table4[ID], Table4[Visits], "Not Found", 0)</f>
        <v>8</v>
      </c>
      <c r="W1437" s="16">
        <f>_xlfn.XLOOKUP(CustomerCombinedCleaned[[#This Row],[ID]], Table2[ID],Table2[Complaint], "Not Found", 0 )</f>
        <v>0</v>
      </c>
      <c r="X1437" s="16">
        <f>_xlfn.XLOOKUP(CustomerCombinedCleaned[[#This Row],[ID]], Table2[ID],Table2[Pilot], "Not Found", 0 )</f>
        <v>0</v>
      </c>
      <c r="Y1437" s="16">
        <f>_xlfn.XLOOKUP(CustomerCombinedCleaned[[#This Row],[ID]], Table2[ID],Table2[MC1], "Not Found", 0 )</f>
        <v>0</v>
      </c>
      <c r="Z1437" s="16">
        <f>_xlfn.XLOOKUP(CustomerCombinedCleaned[[#This Row],[ID]], Table2[ID],Table2[MC2], "Not Found", 0 )</f>
        <v>0</v>
      </c>
      <c r="AA1437" s="16">
        <f>_xlfn.XLOOKUP(CustomerCombinedCleaned[[#This Row],[ID]], Table2[ID],Table2[MC3], "Not Found", 0 )</f>
        <v>0</v>
      </c>
      <c r="AB1437" s="16">
        <f>_xlfn.XLOOKUP(CustomerCombinedCleaned[[#This Row],[ID]], Table2[ID],Table2[MC4], "Not Found", 0 )</f>
        <v>0</v>
      </c>
      <c r="AC1437" s="16">
        <f>_xlfn.XLOOKUP(CustomerCombinedCleaned[[#This Row],[ID]], Table2[ID],Table2[MC5], "Not Found", 0 )</f>
        <v>0</v>
      </c>
    </row>
    <row r="1438" spans="1:29" x14ac:dyDescent="0.3">
      <c r="A1438" s="18">
        <v>2352</v>
      </c>
      <c r="B1438" s="16">
        <v>135791</v>
      </c>
      <c r="C1438" s="16">
        <v>2</v>
      </c>
      <c r="D1438" s="16">
        <v>1</v>
      </c>
      <c r="E1438" s="16">
        <v>55</v>
      </c>
      <c r="F1438" s="17" t="s">
        <v>7</v>
      </c>
      <c r="G1438" s="17" t="s">
        <v>12</v>
      </c>
      <c r="H1438" s="3" t="s">
        <v>635</v>
      </c>
      <c r="I1438" s="5" t="s">
        <v>436</v>
      </c>
      <c r="J1438" s="16">
        <f>_xlfn.XLOOKUP(CustomerCombinedCleaned[[#This Row],[ID]], Table4[ID], Table4[Recency], "Not Found", 0)</f>
        <v>94</v>
      </c>
      <c r="K1438" s="16">
        <f>_xlfn.XLOOKUP(CustomerCombinedCleaned[[#This Row],[ID]], Table4[ID], Table4[Teas], "Not Found", 0)</f>
        <v>102</v>
      </c>
      <c r="L1438" s="16">
        <f>_xlfn.XLOOKUP(CustomerCombinedCleaned[[#This Row],[ID]], Table4[ID], Table4[Fruits], "Not Found", 0)</f>
        <v>0</v>
      </c>
      <c r="M1438" s="16">
        <f>_xlfn.XLOOKUP(CustomerCombinedCleaned[[#This Row],[ID]], Table4[ID], Table4[Meats], "Not Found", 0)</f>
        <v>19</v>
      </c>
      <c r="N1438" s="16">
        <f>_xlfn.XLOOKUP(CustomerCombinedCleaned[[#This Row],[ID]], Table4[ID], Table4[Seafood], "Not Found", 0)</f>
        <v>0</v>
      </c>
      <c r="O1438" s="16">
        <f>_xlfn.XLOOKUP(CustomerCombinedCleaned[[#This Row],[ID]], Table4[ID], Table4[Sweets], "Not Found", 0)</f>
        <v>0</v>
      </c>
      <c r="P1438" s="16">
        <f>_xlfn.XLOOKUP(CustomerCombinedCleaned[[#This Row],[ID]], Table4[ID], Table4[Premium], "Not Found", 0)</f>
        <v>11</v>
      </c>
      <c r="Q1438" s="16">
        <f>_xlfn.XLOOKUP(CustomerCombinedCleaned[[#This Row],[ID]], Table4[ID], Table4[Regular], "Not Found", 0)</f>
        <v>110</v>
      </c>
      <c r="R1438" s="16">
        <f>_xlfn.XLOOKUP(CustomerCombinedCleaned[[#This Row],[ID]], Table4[ID], Table4[Deals], "Not Found", 0)</f>
        <v>2</v>
      </c>
      <c r="S1438" s="16">
        <f>_xlfn.XLOOKUP(CustomerCombinedCleaned[[#This Row],[ID]], Table4[ID], Table4[Website], "Not Found", 0)</f>
        <v>1</v>
      </c>
      <c r="T1438" s="16">
        <f>_xlfn.XLOOKUP(CustomerCombinedCleaned[[#This Row],[ID]], Table4[ID], Table4[Catalog], "Not Found", 0)</f>
        <v>0</v>
      </c>
      <c r="U1438" s="16">
        <f>_xlfn.XLOOKUP(CustomerCombinedCleaned[[#This Row],[ID]], Table4[ID], Table4[Store], "Not Found", 0)</f>
        <v>3</v>
      </c>
      <c r="V1438" s="16">
        <f>_xlfn.XLOOKUP(CustomerCombinedCleaned[[#This Row],[ID]], Table4[ID], Table4[Visits], "Not Found", 0)</f>
        <v>8</v>
      </c>
      <c r="W1438" s="16">
        <f>_xlfn.XLOOKUP(CustomerCombinedCleaned[[#This Row],[ID]], Table2[ID],Table2[Complaint], "Not Found", 0 )</f>
        <v>0</v>
      </c>
      <c r="X1438" s="16">
        <f>_xlfn.XLOOKUP(CustomerCombinedCleaned[[#This Row],[ID]], Table2[ID],Table2[Pilot], "Not Found", 0 )</f>
        <v>0</v>
      </c>
      <c r="Y1438" s="16">
        <f>_xlfn.XLOOKUP(CustomerCombinedCleaned[[#This Row],[ID]], Table2[ID],Table2[MC1], "Not Found", 0 )</f>
        <v>0</v>
      </c>
      <c r="Z1438" s="16">
        <f>_xlfn.XLOOKUP(CustomerCombinedCleaned[[#This Row],[ID]], Table2[ID],Table2[MC2], "Not Found", 0 )</f>
        <v>0</v>
      </c>
      <c r="AA1438" s="16">
        <f>_xlfn.XLOOKUP(CustomerCombinedCleaned[[#This Row],[ID]], Table2[ID],Table2[MC3], "Not Found", 0 )</f>
        <v>0</v>
      </c>
      <c r="AB1438" s="16">
        <f>_xlfn.XLOOKUP(CustomerCombinedCleaned[[#This Row],[ID]], Table2[ID],Table2[MC4], "Not Found", 0 )</f>
        <v>0</v>
      </c>
      <c r="AC1438" s="16">
        <f>_xlfn.XLOOKUP(CustomerCombinedCleaned[[#This Row],[ID]], Table2[ID],Table2[MC5], "Not Found", 0 )</f>
        <v>0</v>
      </c>
    </row>
    <row r="1439" spans="1:29" x14ac:dyDescent="0.3">
      <c r="A1439" s="18">
        <v>2894</v>
      </c>
      <c r="B1439" s="16">
        <v>134230</v>
      </c>
      <c r="C1439" s="16">
        <v>1</v>
      </c>
      <c r="D1439" s="16">
        <v>1</v>
      </c>
      <c r="E1439" s="16">
        <v>55</v>
      </c>
      <c r="F1439" s="17" t="s">
        <v>8</v>
      </c>
      <c r="G1439" s="17" t="s">
        <v>13</v>
      </c>
      <c r="H1439" s="3" t="s">
        <v>785</v>
      </c>
      <c r="I1439" s="5" t="s">
        <v>438</v>
      </c>
      <c r="J1439" s="16">
        <f>_xlfn.XLOOKUP(CustomerCombinedCleaned[[#This Row],[ID]], Table4[ID], Table4[Recency], "Not Found", 0)</f>
        <v>72</v>
      </c>
      <c r="K1439" s="16">
        <f>_xlfn.XLOOKUP(CustomerCombinedCleaned[[#This Row],[ID]], Table4[ID], Table4[Teas], "Not Found", 0)</f>
        <v>59</v>
      </c>
      <c r="L1439" s="16">
        <f>_xlfn.XLOOKUP(CustomerCombinedCleaned[[#This Row],[ID]], Table4[ID], Table4[Fruits], "Not Found", 0)</f>
        <v>0</v>
      </c>
      <c r="M1439" s="16">
        <f>_xlfn.XLOOKUP(CustomerCombinedCleaned[[#This Row],[ID]], Table4[ID], Table4[Meats], "Not Found", 0)</f>
        <v>16</v>
      </c>
      <c r="N1439" s="16">
        <f>_xlfn.XLOOKUP(CustomerCombinedCleaned[[#This Row],[ID]], Table4[ID], Table4[Seafood], "Not Found", 0)</f>
        <v>0</v>
      </c>
      <c r="O1439" s="16">
        <f>_xlfn.XLOOKUP(CustomerCombinedCleaned[[#This Row],[ID]], Table4[ID], Table4[Sweets], "Not Found", 0)</f>
        <v>0</v>
      </c>
      <c r="P1439" s="16">
        <f>_xlfn.XLOOKUP(CustomerCombinedCleaned[[#This Row],[ID]], Table4[ID], Table4[Premium], "Not Found", 0)</f>
        <v>8</v>
      </c>
      <c r="Q1439" s="16">
        <f>_xlfn.XLOOKUP(CustomerCombinedCleaned[[#This Row],[ID]], Table4[ID], Table4[Regular], "Not Found", 0)</f>
        <v>67</v>
      </c>
      <c r="R1439" s="16">
        <f>_xlfn.XLOOKUP(CustomerCombinedCleaned[[#This Row],[ID]], Table4[ID], Table4[Deals], "Not Found", 0)</f>
        <v>1</v>
      </c>
      <c r="S1439" s="16">
        <f>_xlfn.XLOOKUP(CustomerCombinedCleaned[[#This Row],[ID]], Table4[ID], Table4[Website], "Not Found", 0)</f>
        <v>1</v>
      </c>
      <c r="T1439" s="16">
        <f>_xlfn.XLOOKUP(CustomerCombinedCleaned[[#This Row],[ID]], Table4[ID], Table4[Catalog], "Not Found", 0)</f>
        <v>0</v>
      </c>
      <c r="U1439" s="16">
        <f>_xlfn.XLOOKUP(CustomerCombinedCleaned[[#This Row],[ID]], Table4[ID], Table4[Store], "Not Found", 0)</f>
        <v>2</v>
      </c>
      <c r="V1439" s="16">
        <f>_xlfn.XLOOKUP(CustomerCombinedCleaned[[#This Row],[ID]], Table4[ID], Table4[Visits], "Not Found", 0)</f>
        <v>7</v>
      </c>
      <c r="W1439" s="16">
        <f>_xlfn.XLOOKUP(CustomerCombinedCleaned[[#This Row],[ID]], Table2[ID],Table2[Complaint], "Not Found", 0 )</f>
        <v>0</v>
      </c>
      <c r="X1439" s="16">
        <f>_xlfn.XLOOKUP(CustomerCombinedCleaned[[#This Row],[ID]], Table2[ID],Table2[Pilot], "Not Found", 0 )</f>
        <v>0</v>
      </c>
      <c r="Y1439" s="16">
        <f>_xlfn.XLOOKUP(CustomerCombinedCleaned[[#This Row],[ID]], Table2[ID],Table2[MC1], "Not Found", 0 )</f>
        <v>0</v>
      </c>
      <c r="Z1439" s="16">
        <f>_xlfn.XLOOKUP(CustomerCombinedCleaned[[#This Row],[ID]], Table2[ID],Table2[MC2], "Not Found", 0 )</f>
        <v>0</v>
      </c>
      <c r="AA1439" s="16">
        <f>_xlfn.XLOOKUP(CustomerCombinedCleaned[[#This Row],[ID]], Table2[ID],Table2[MC3], "Not Found", 0 )</f>
        <v>0</v>
      </c>
      <c r="AB1439" s="16">
        <f>_xlfn.XLOOKUP(CustomerCombinedCleaned[[#This Row],[ID]], Table2[ID],Table2[MC4], "Not Found", 0 )</f>
        <v>0</v>
      </c>
      <c r="AC1439" s="16">
        <f>_xlfn.XLOOKUP(CustomerCombinedCleaned[[#This Row],[ID]], Table2[ID],Table2[MC5], "Not Found", 0 )</f>
        <v>0</v>
      </c>
    </row>
    <row r="1440" spans="1:29" x14ac:dyDescent="0.3">
      <c r="A1440" s="18">
        <v>1159</v>
      </c>
      <c r="B1440" s="16">
        <v>133456</v>
      </c>
      <c r="C1440" s="16">
        <v>1</v>
      </c>
      <c r="D1440" s="16">
        <v>1</v>
      </c>
      <c r="E1440" s="16">
        <v>55</v>
      </c>
      <c r="F1440" s="17" t="s">
        <v>8</v>
      </c>
      <c r="G1440" s="17" t="s">
        <v>11</v>
      </c>
      <c r="H1440" s="3" t="s">
        <v>61</v>
      </c>
      <c r="I1440" s="5" t="s">
        <v>437</v>
      </c>
      <c r="J1440" s="16">
        <f>_xlfn.XLOOKUP(CustomerCombinedCleaned[[#This Row],[ID]], Table4[ID], Table4[Recency], "Not Found", 0)</f>
        <v>58</v>
      </c>
      <c r="K1440" s="16">
        <f>_xlfn.XLOOKUP(CustomerCombinedCleaned[[#This Row],[ID]], Table4[ID], Table4[Teas], "Not Found", 0)</f>
        <v>28</v>
      </c>
      <c r="L1440" s="16">
        <f>_xlfn.XLOOKUP(CustomerCombinedCleaned[[#This Row],[ID]], Table4[ID], Table4[Fruits], "Not Found", 0)</f>
        <v>12</v>
      </c>
      <c r="M1440" s="16">
        <f>_xlfn.XLOOKUP(CustomerCombinedCleaned[[#This Row],[ID]], Table4[ID], Table4[Meats], "Not Found", 0)</f>
        <v>40</v>
      </c>
      <c r="N1440" s="16">
        <f>_xlfn.XLOOKUP(CustomerCombinedCleaned[[#This Row],[ID]], Table4[ID], Table4[Seafood], "Not Found", 0)</f>
        <v>32</v>
      </c>
      <c r="O1440" s="16">
        <f>_xlfn.XLOOKUP(CustomerCombinedCleaned[[#This Row],[ID]], Table4[ID], Table4[Sweets], "Not Found", 0)</f>
        <v>4</v>
      </c>
      <c r="P1440" s="16">
        <f>_xlfn.XLOOKUP(CustomerCombinedCleaned[[#This Row],[ID]], Table4[ID], Table4[Premium], "Not Found", 0)</f>
        <v>28</v>
      </c>
      <c r="Q1440" s="16">
        <f>_xlfn.XLOOKUP(CustomerCombinedCleaned[[#This Row],[ID]], Table4[ID], Table4[Regular], "Not Found", 0)</f>
        <v>88</v>
      </c>
      <c r="R1440" s="16">
        <f>_xlfn.XLOOKUP(CustomerCombinedCleaned[[#This Row],[ID]], Table4[ID], Table4[Deals], "Not Found", 0)</f>
        <v>2</v>
      </c>
      <c r="S1440" s="16">
        <f>_xlfn.XLOOKUP(CustomerCombinedCleaned[[#This Row],[ID]], Table4[ID], Table4[Website], "Not Found", 0)</f>
        <v>1</v>
      </c>
      <c r="T1440" s="16">
        <f>_xlfn.XLOOKUP(CustomerCombinedCleaned[[#This Row],[ID]], Table4[ID], Table4[Catalog], "Not Found", 0)</f>
        <v>0</v>
      </c>
      <c r="U1440" s="16">
        <f>_xlfn.XLOOKUP(CustomerCombinedCleaned[[#This Row],[ID]], Table4[ID], Table4[Store], "Not Found", 0)</f>
        <v>3</v>
      </c>
      <c r="V1440" s="16">
        <f>_xlfn.XLOOKUP(CustomerCombinedCleaned[[#This Row],[ID]], Table4[ID], Table4[Visits], "Not Found", 0)</f>
        <v>7</v>
      </c>
      <c r="W1440" s="16">
        <f>_xlfn.XLOOKUP(CustomerCombinedCleaned[[#This Row],[ID]], Table2[ID],Table2[Complaint], "Not Found", 0 )</f>
        <v>0</v>
      </c>
      <c r="X1440" s="16">
        <f>_xlfn.XLOOKUP(CustomerCombinedCleaned[[#This Row],[ID]], Table2[ID],Table2[Pilot], "Not Found", 0 )</f>
        <v>0</v>
      </c>
      <c r="Y1440" s="16">
        <f>_xlfn.XLOOKUP(CustomerCombinedCleaned[[#This Row],[ID]], Table2[ID],Table2[MC1], "Not Found", 0 )</f>
        <v>0</v>
      </c>
      <c r="Z1440" s="16">
        <f>_xlfn.XLOOKUP(CustomerCombinedCleaned[[#This Row],[ID]], Table2[ID],Table2[MC2], "Not Found", 0 )</f>
        <v>0</v>
      </c>
      <c r="AA1440" s="16">
        <f>_xlfn.XLOOKUP(CustomerCombinedCleaned[[#This Row],[ID]], Table2[ID],Table2[MC3], "Not Found", 0 )</f>
        <v>0</v>
      </c>
      <c r="AB1440" s="16">
        <f>_xlfn.XLOOKUP(CustomerCombinedCleaned[[#This Row],[ID]], Table2[ID],Table2[MC4], "Not Found", 0 )</f>
        <v>0</v>
      </c>
      <c r="AC1440" s="16">
        <f>_xlfn.XLOOKUP(CustomerCombinedCleaned[[#This Row],[ID]], Table2[ID],Table2[MC5], "Not Found", 0 )</f>
        <v>0</v>
      </c>
    </row>
    <row r="1441" spans="1:29" x14ac:dyDescent="0.3">
      <c r="A1441" s="18">
        <v>2026</v>
      </c>
      <c r="B1441" s="16">
        <v>133168</v>
      </c>
      <c r="C1441" s="16">
        <v>0</v>
      </c>
      <c r="D1441" s="16">
        <v>1</v>
      </c>
      <c r="E1441" s="16">
        <v>55</v>
      </c>
      <c r="F1441" s="17" t="s">
        <v>7</v>
      </c>
      <c r="G1441" s="17" t="s">
        <v>12</v>
      </c>
      <c r="H1441" s="3" t="s">
        <v>381</v>
      </c>
      <c r="I1441" s="5" t="s">
        <v>439</v>
      </c>
      <c r="J1441" s="16">
        <f>_xlfn.XLOOKUP(CustomerCombinedCleaned[[#This Row],[ID]], Table4[ID], Table4[Recency], "Not Found", 0)</f>
        <v>0</v>
      </c>
      <c r="K1441" s="16">
        <f>_xlfn.XLOOKUP(CustomerCombinedCleaned[[#This Row],[ID]], Table4[ID], Table4[Teas], "Not Found", 0)</f>
        <v>321</v>
      </c>
      <c r="L1441" s="16">
        <f>_xlfn.XLOOKUP(CustomerCombinedCleaned[[#This Row],[ID]], Table4[ID], Table4[Fruits], "Not Found", 0)</f>
        <v>4</v>
      </c>
      <c r="M1441" s="16">
        <f>_xlfn.XLOOKUP(CustomerCombinedCleaned[[#This Row],[ID]], Table4[ID], Table4[Meats], "Not Found", 0)</f>
        <v>149</v>
      </c>
      <c r="N1441" s="16">
        <f>_xlfn.XLOOKUP(CustomerCombinedCleaned[[#This Row],[ID]], Table4[ID], Table4[Seafood], "Not Found", 0)</f>
        <v>0</v>
      </c>
      <c r="O1441" s="16">
        <f>_xlfn.XLOOKUP(CustomerCombinedCleaned[[#This Row],[ID]], Table4[ID], Table4[Sweets], "Not Found", 0)</f>
        <v>4</v>
      </c>
      <c r="P1441" s="16">
        <f>_xlfn.XLOOKUP(CustomerCombinedCleaned[[#This Row],[ID]], Table4[ID], Table4[Premium], "Not Found", 0)</f>
        <v>12</v>
      </c>
      <c r="Q1441" s="16">
        <f>_xlfn.XLOOKUP(CustomerCombinedCleaned[[#This Row],[ID]], Table4[ID], Table4[Regular], "Not Found", 0)</f>
        <v>466</v>
      </c>
      <c r="R1441" s="16">
        <f>_xlfn.XLOOKUP(CustomerCombinedCleaned[[#This Row],[ID]], Table4[ID], Table4[Deals], "Not Found", 0)</f>
        <v>3</v>
      </c>
      <c r="S1441" s="16">
        <f>_xlfn.XLOOKUP(CustomerCombinedCleaned[[#This Row],[ID]], Table4[ID], Table4[Website], "Not Found", 0)</f>
        <v>2</v>
      </c>
      <c r="T1441" s="16">
        <f>_xlfn.XLOOKUP(CustomerCombinedCleaned[[#This Row],[ID]], Table4[ID], Table4[Catalog], "Not Found", 0)</f>
        <v>1</v>
      </c>
      <c r="U1441" s="16">
        <f>_xlfn.XLOOKUP(CustomerCombinedCleaned[[#This Row],[ID]], Table4[ID], Table4[Store], "Not Found", 0)</f>
        <v>4</v>
      </c>
      <c r="V1441" s="16">
        <f>_xlfn.XLOOKUP(CustomerCombinedCleaned[[#This Row],[ID]], Table4[ID], Table4[Visits], "Not Found", 0)</f>
        <v>7</v>
      </c>
      <c r="W1441" s="16">
        <f>_xlfn.XLOOKUP(CustomerCombinedCleaned[[#This Row],[ID]], Table2[ID],Table2[Complaint], "Not Found", 0 )</f>
        <v>0</v>
      </c>
      <c r="X1441" s="16">
        <f>_xlfn.XLOOKUP(CustomerCombinedCleaned[[#This Row],[ID]], Table2[ID],Table2[Pilot], "Not Found", 0 )</f>
        <v>0</v>
      </c>
      <c r="Y1441" s="16">
        <f>_xlfn.XLOOKUP(CustomerCombinedCleaned[[#This Row],[ID]], Table2[ID],Table2[MC1], "Not Found", 0 )</f>
        <v>0</v>
      </c>
      <c r="Z1441" s="16">
        <f>_xlfn.XLOOKUP(CustomerCombinedCleaned[[#This Row],[ID]], Table2[ID],Table2[MC2], "Not Found", 0 )</f>
        <v>0</v>
      </c>
      <c r="AA1441" s="16">
        <f>_xlfn.XLOOKUP(CustomerCombinedCleaned[[#This Row],[ID]], Table2[ID],Table2[MC3], "Not Found", 0 )</f>
        <v>0</v>
      </c>
      <c r="AB1441" s="16">
        <f>_xlfn.XLOOKUP(CustomerCombinedCleaned[[#This Row],[ID]], Table2[ID],Table2[MC4], "Not Found", 0 )</f>
        <v>0</v>
      </c>
      <c r="AC1441" s="16">
        <f>_xlfn.XLOOKUP(CustomerCombinedCleaned[[#This Row],[ID]], Table2[ID],Table2[MC5], "Not Found", 0 )</f>
        <v>0</v>
      </c>
    </row>
    <row r="1442" spans="1:29" x14ac:dyDescent="0.3">
      <c r="A1442" s="18">
        <v>2430</v>
      </c>
      <c r="B1442" s="16">
        <v>132727</v>
      </c>
      <c r="C1442" s="16">
        <v>0</v>
      </c>
      <c r="D1442" s="16">
        <v>0</v>
      </c>
      <c r="E1442" s="16">
        <v>55</v>
      </c>
      <c r="F1442" s="17" t="s">
        <v>8</v>
      </c>
      <c r="G1442" s="17" t="s">
        <v>13</v>
      </c>
      <c r="H1442" s="3" t="s">
        <v>717</v>
      </c>
      <c r="I1442" s="5" t="s">
        <v>436</v>
      </c>
      <c r="J1442" s="16">
        <f>_xlfn.XLOOKUP(CustomerCombinedCleaned[[#This Row],[ID]], Table4[ID], Table4[Recency], "Not Found", 0)</f>
        <v>38</v>
      </c>
      <c r="K1442" s="16">
        <f>_xlfn.XLOOKUP(CustomerCombinedCleaned[[#This Row],[ID]], Table4[ID], Table4[Teas], "Not Found", 0)</f>
        <v>677</v>
      </c>
      <c r="L1442" s="16">
        <f>_xlfn.XLOOKUP(CustomerCombinedCleaned[[#This Row],[ID]], Table4[ID], Table4[Fruits], "Not Found", 0)</f>
        <v>53</v>
      </c>
      <c r="M1442" s="16">
        <f>_xlfn.XLOOKUP(CustomerCombinedCleaned[[#This Row],[ID]], Table4[ID], Table4[Meats], "Not Found", 0)</f>
        <v>730</v>
      </c>
      <c r="N1442" s="16">
        <f>_xlfn.XLOOKUP(CustomerCombinedCleaned[[#This Row],[ID]], Table4[ID], Table4[Seafood], "Not Found", 0)</f>
        <v>349</v>
      </c>
      <c r="O1442" s="16">
        <f>_xlfn.XLOOKUP(CustomerCombinedCleaned[[#This Row],[ID]], Table4[ID], Table4[Sweets], "Not Found", 0)</f>
        <v>53</v>
      </c>
      <c r="P1442" s="16">
        <f>_xlfn.XLOOKUP(CustomerCombinedCleaned[[#This Row],[ID]], Table4[ID], Table4[Premium], "Not Found", 0)</f>
        <v>284</v>
      </c>
      <c r="Q1442" s="16">
        <f>_xlfn.XLOOKUP(CustomerCombinedCleaned[[#This Row],[ID]], Table4[ID], Table4[Regular], "Not Found", 0)</f>
        <v>1578</v>
      </c>
      <c r="R1442" s="16">
        <f>_xlfn.XLOOKUP(CustomerCombinedCleaned[[#This Row],[ID]], Table4[ID], Table4[Deals], "Not Found", 0)</f>
        <v>2</v>
      </c>
      <c r="S1442" s="16">
        <f>_xlfn.XLOOKUP(CustomerCombinedCleaned[[#This Row],[ID]], Table4[ID], Table4[Website], "Not Found", 0)</f>
        <v>7</v>
      </c>
      <c r="T1442" s="16">
        <f>_xlfn.XLOOKUP(CustomerCombinedCleaned[[#This Row],[ID]], Table4[ID], Table4[Catalog], "Not Found", 0)</f>
        <v>3</v>
      </c>
      <c r="U1442" s="16">
        <f>_xlfn.XLOOKUP(CustomerCombinedCleaned[[#This Row],[ID]], Table4[ID], Table4[Store], "Not Found", 0)</f>
        <v>5</v>
      </c>
      <c r="V1442" s="16">
        <f>_xlfn.XLOOKUP(CustomerCombinedCleaned[[#This Row],[ID]], Table4[ID], Table4[Visits], "Not Found", 0)</f>
        <v>8</v>
      </c>
      <c r="W1442" s="16">
        <f>_xlfn.XLOOKUP(CustomerCombinedCleaned[[#This Row],[ID]], Table2[ID],Table2[Complaint], "Not Found", 0 )</f>
        <v>0</v>
      </c>
      <c r="X1442" s="16">
        <f>_xlfn.XLOOKUP(CustomerCombinedCleaned[[#This Row],[ID]], Table2[ID],Table2[Pilot], "Not Found", 0 )</f>
        <v>0</v>
      </c>
      <c r="Y1442" s="16">
        <f>_xlfn.XLOOKUP(CustomerCombinedCleaned[[#This Row],[ID]], Table2[ID],Table2[MC1], "Not Found", 0 )</f>
        <v>0</v>
      </c>
      <c r="Z1442" s="16">
        <f>_xlfn.XLOOKUP(CustomerCombinedCleaned[[#This Row],[ID]], Table2[ID],Table2[MC2], "Not Found", 0 )</f>
        <v>0</v>
      </c>
      <c r="AA1442" s="16">
        <f>_xlfn.XLOOKUP(CustomerCombinedCleaned[[#This Row],[ID]], Table2[ID],Table2[MC3], "Not Found", 0 )</f>
        <v>0</v>
      </c>
      <c r="AB1442" s="16">
        <f>_xlfn.XLOOKUP(CustomerCombinedCleaned[[#This Row],[ID]], Table2[ID],Table2[MC4], "Not Found", 0 )</f>
        <v>0</v>
      </c>
      <c r="AC1442" s="16">
        <f>_xlfn.XLOOKUP(CustomerCombinedCleaned[[#This Row],[ID]], Table2[ID],Table2[MC5], "Not Found", 0 )</f>
        <v>0</v>
      </c>
    </row>
    <row r="1443" spans="1:29" x14ac:dyDescent="0.3">
      <c r="A1443" s="18">
        <v>1504</v>
      </c>
      <c r="B1443" s="16">
        <v>130630</v>
      </c>
      <c r="C1443" s="16">
        <v>1</v>
      </c>
      <c r="D1443" s="16">
        <v>1</v>
      </c>
      <c r="E1443" s="16">
        <v>55</v>
      </c>
      <c r="F1443" s="17" t="s">
        <v>5</v>
      </c>
      <c r="G1443" s="17" t="s">
        <v>11</v>
      </c>
      <c r="H1443" s="3" t="s">
        <v>676</v>
      </c>
      <c r="I1443" s="5" t="s">
        <v>439</v>
      </c>
      <c r="J1443" s="16">
        <f>_xlfn.XLOOKUP(CustomerCombinedCleaned[[#This Row],[ID]], Table4[ID], Table4[Recency], "Not Found", 0)</f>
        <v>67</v>
      </c>
      <c r="K1443" s="16">
        <f>_xlfn.XLOOKUP(CustomerCombinedCleaned[[#This Row],[ID]], Table4[ID], Table4[Teas], "Not Found", 0)</f>
        <v>115</v>
      </c>
      <c r="L1443" s="16">
        <f>_xlfn.XLOOKUP(CustomerCombinedCleaned[[#This Row],[ID]], Table4[ID], Table4[Fruits], "Not Found", 0)</f>
        <v>4</v>
      </c>
      <c r="M1443" s="16">
        <f>_xlfn.XLOOKUP(CustomerCombinedCleaned[[#This Row],[ID]], Table4[ID], Table4[Meats], "Not Found", 0)</f>
        <v>51</v>
      </c>
      <c r="N1443" s="16">
        <f>_xlfn.XLOOKUP(CustomerCombinedCleaned[[#This Row],[ID]], Table4[ID], Table4[Seafood], "Not Found", 0)</f>
        <v>9</v>
      </c>
      <c r="O1443" s="16">
        <f>_xlfn.XLOOKUP(CustomerCombinedCleaned[[#This Row],[ID]], Table4[ID], Table4[Sweets], "Not Found", 0)</f>
        <v>0</v>
      </c>
      <c r="P1443" s="16">
        <f>_xlfn.XLOOKUP(CustomerCombinedCleaned[[#This Row],[ID]], Table4[ID], Table4[Premium], "Not Found", 0)</f>
        <v>43</v>
      </c>
      <c r="Q1443" s="16">
        <f>_xlfn.XLOOKUP(CustomerCombinedCleaned[[#This Row],[ID]], Table4[ID], Table4[Regular], "Not Found", 0)</f>
        <v>136</v>
      </c>
      <c r="R1443" s="16">
        <f>_xlfn.XLOOKUP(CustomerCombinedCleaned[[#This Row],[ID]], Table4[ID], Table4[Deals], "Not Found", 0)</f>
        <v>2</v>
      </c>
      <c r="S1443" s="16">
        <f>_xlfn.XLOOKUP(CustomerCombinedCleaned[[#This Row],[ID]], Table4[ID], Table4[Website], "Not Found", 0)</f>
        <v>2</v>
      </c>
      <c r="T1443" s="16">
        <f>_xlfn.XLOOKUP(CustomerCombinedCleaned[[#This Row],[ID]], Table4[ID], Table4[Catalog], "Not Found", 0)</f>
        <v>0</v>
      </c>
      <c r="U1443" s="16">
        <f>_xlfn.XLOOKUP(CustomerCombinedCleaned[[#This Row],[ID]], Table4[ID], Table4[Store], "Not Found", 0)</f>
        <v>3</v>
      </c>
      <c r="V1443" s="16">
        <f>_xlfn.XLOOKUP(CustomerCombinedCleaned[[#This Row],[ID]], Table4[ID], Table4[Visits], "Not Found", 0)</f>
        <v>7</v>
      </c>
      <c r="W1443" s="16">
        <f>_xlfn.XLOOKUP(CustomerCombinedCleaned[[#This Row],[ID]], Table2[ID],Table2[Complaint], "Not Found", 0 )</f>
        <v>0</v>
      </c>
      <c r="X1443" s="16">
        <f>_xlfn.XLOOKUP(CustomerCombinedCleaned[[#This Row],[ID]], Table2[ID],Table2[Pilot], "Not Found", 0 )</f>
        <v>0</v>
      </c>
      <c r="Y1443" s="16">
        <f>_xlfn.XLOOKUP(CustomerCombinedCleaned[[#This Row],[ID]], Table2[ID],Table2[MC1], "Not Found", 0 )</f>
        <v>0</v>
      </c>
      <c r="Z1443" s="16">
        <f>_xlfn.XLOOKUP(CustomerCombinedCleaned[[#This Row],[ID]], Table2[ID],Table2[MC2], "Not Found", 0 )</f>
        <v>0</v>
      </c>
      <c r="AA1443" s="16">
        <f>_xlfn.XLOOKUP(CustomerCombinedCleaned[[#This Row],[ID]], Table2[ID],Table2[MC3], "Not Found", 0 )</f>
        <v>0</v>
      </c>
      <c r="AB1443" s="16">
        <f>_xlfn.XLOOKUP(CustomerCombinedCleaned[[#This Row],[ID]], Table2[ID],Table2[MC4], "Not Found", 0 )</f>
        <v>0</v>
      </c>
      <c r="AC1443" s="16">
        <f>_xlfn.XLOOKUP(CustomerCombinedCleaned[[#This Row],[ID]], Table2[ID],Table2[MC5], "Not Found", 0 )</f>
        <v>0</v>
      </c>
    </row>
    <row r="1444" spans="1:29" x14ac:dyDescent="0.3">
      <c r="A1444" s="18">
        <v>1281</v>
      </c>
      <c r="B1444" s="16">
        <v>129672</v>
      </c>
      <c r="C1444" s="16">
        <v>1</v>
      </c>
      <c r="D1444" s="16">
        <v>1</v>
      </c>
      <c r="E1444" s="16">
        <v>55</v>
      </c>
      <c r="F1444" s="17" t="s">
        <v>8</v>
      </c>
      <c r="G1444" s="17" t="s">
        <v>11</v>
      </c>
      <c r="H1444" s="3" t="s">
        <v>295</v>
      </c>
      <c r="I1444" s="5" t="s">
        <v>435</v>
      </c>
      <c r="J1444" s="16">
        <f>_xlfn.XLOOKUP(CustomerCombinedCleaned[[#This Row],[ID]], Table4[ID], Table4[Recency], "Not Found", 0)</f>
        <v>6</v>
      </c>
      <c r="K1444" s="16">
        <f>_xlfn.XLOOKUP(CustomerCombinedCleaned[[#This Row],[ID]], Table4[ID], Table4[Teas], "Not Found", 0)</f>
        <v>39</v>
      </c>
      <c r="L1444" s="16">
        <f>_xlfn.XLOOKUP(CustomerCombinedCleaned[[#This Row],[ID]], Table4[ID], Table4[Fruits], "Not Found", 0)</f>
        <v>4</v>
      </c>
      <c r="M1444" s="16">
        <f>_xlfn.XLOOKUP(CustomerCombinedCleaned[[#This Row],[ID]], Table4[ID], Table4[Meats], "Not Found", 0)</f>
        <v>13</v>
      </c>
      <c r="N1444" s="16">
        <f>_xlfn.XLOOKUP(CustomerCombinedCleaned[[#This Row],[ID]], Table4[ID], Table4[Seafood], "Not Found", 0)</f>
        <v>0</v>
      </c>
      <c r="O1444" s="16">
        <f>_xlfn.XLOOKUP(CustomerCombinedCleaned[[#This Row],[ID]], Table4[ID], Table4[Sweets], "Not Found", 0)</f>
        <v>17</v>
      </c>
      <c r="P1444" s="16">
        <f>_xlfn.XLOOKUP(CustomerCombinedCleaned[[#This Row],[ID]], Table4[ID], Table4[Premium], "Not Found", 0)</f>
        <v>35</v>
      </c>
      <c r="Q1444" s="16">
        <f>_xlfn.XLOOKUP(CustomerCombinedCleaned[[#This Row],[ID]], Table4[ID], Table4[Regular], "Not Found", 0)</f>
        <v>39</v>
      </c>
      <c r="R1444" s="16">
        <f>_xlfn.XLOOKUP(CustomerCombinedCleaned[[#This Row],[ID]], Table4[ID], Table4[Deals], "Not Found", 0)</f>
        <v>1</v>
      </c>
      <c r="S1444" s="16">
        <f>_xlfn.XLOOKUP(CustomerCombinedCleaned[[#This Row],[ID]], Table4[ID], Table4[Website], "Not Found", 0)</f>
        <v>0</v>
      </c>
      <c r="T1444" s="16">
        <f>_xlfn.XLOOKUP(CustomerCombinedCleaned[[#This Row],[ID]], Table4[ID], Table4[Catalog], "Not Found", 0)</f>
        <v>0</v>
      </c>
      <c r="U1444" s="16">
        <f>_xlfn.XLOOKUP(CustomerCombinedCleaned[[#This Row],[ID]], Table4[ID], Table4[Store], "Not Found", 0)</f>
        <v>3</v>
      </c>
      <c r="V1444" s="16">
        <f>_xlfn.XLOOKUP(CustomerCombinedCleaned[[#This Row],[ID]], Table4[ID], Table4[Visits], "Not Found", 0)</f>
        <v>6</v>
      </c>
      <c r="W1444" s="16">
        <f>_xlfn.XLOOKUP(CustomerCombinedCleaned[[#This Row],[ID]], Table2[ID],Table2[Complaint], "Not Found", 0 )</f>
        <v>0</v>
      </c>
      <c r="X1444" s="16">
        <f>_xlfn.XLOOKUP(CustomerCombinedCleaned[[#This Row],[ID]], Table2[ID],Table2[Pilot], "Not Found", 0 )</f>
        <v>0</v>
      </c>
      <c r="Y1444" s="16">
        <f>_xlfn.XLOOKUP(CustomerCombinedCleaned[[#This Row],[ID]], Table2[ID],Table2[MC1], "Not Found", 0 )</f>
        <v>0</v>
      </c>
      <c r="Z1444" s="16">
        <f>_xlfn.XLOOKUP(CustomerCombinedCleaned[[#This Row],[ID]], Table2[ID],Table2[MC2], "Not Found", 0 )</f>
        <v>0</v>
      </c>
      <c r="AA1444" s="16">
        <f>_xlfn.XLOOKUP(CustomerCombinedCleaned[[#This Row],[ID]], Table2[ID],Table2[MC3], "Not Found", 0 )</f>
        <v>0</v>
      </c>
      <c r="AB1444" s="16">
        <f>_xlfn.XLOOKUP(CustomerCombinedCleaned[[#This Row],[ID]], Table2[ID],Table2[MC4], "Not Found", 0 )</f>
        <v>0</v>
      </c>
      <c r="AC1444" s="16">
        <f>_xlfn.XLOOKUP(CustomerCombinedCleaned[[#This Row],[ID]], Table2[ID],Table2[MC5], "Not Found", 0 )</f>
        <v>0</v>
      </c>
    </row>
    <row r="1445" spans="1:29" x14ac:dyDescent="0.3">
      <c r="A1445" s="18">
        <v>3001</v>
      </c>
      <c r="B1445" s="16">
        <v>129672</v>
      </c>
      <c r="C1445" s="16">
        <v>1</v>
      </c>
      <c r="D1445" s="16">
        <v>1</v>
      </c>
      <c r="E1445" s="16">
        <v>55</v>
      </c>
      <c r="F1445" s="17" t="s">
        <v>8</v>
      </c>
      <c r="G1445" s="17" t="s">
        <v>11</v>
      </c>
      <c r="H1445" s="3" t="s">
        <v>295</v>
      </c>
      <c r="I1445" s="5" t="s">
        <v>437</v>
      </c>
      <c r="J1445" s="16">
        <f>_xlfn.XLOOKUP(CustomerCombinedCleaned[[#This Row],[ID]], Table4[ID], Table4[Recency], "Not Found", 0)</f>
        <v>6</v>
      </c>
      <c r="K1445" s="16">
        <f>_xlfn.XLOOKUP(CustomerCombinedCleaned[[#This Row],[ID]], Table4[ID], Table4[Teas], "Not Found", 0)</f>
        <v>39</v>
      </c>
      <c r="L1445" s="16">
        <f>_xlfn.XLOOKUP(CustomerCombinedCleaned[[#This Row],[ID]], Table4[ID], Table4[Fruits], "Not Found", 0)</f>
        <v>4</v>
      </c>
      <c r="M1445" s="16">
        <f>_xlfn.XLOOKUP(CustomerCombinedCleaned[[#This Row],[ID]], Table4[ID], Table4[Meats], "Not Found", 0)</f>
        <v>13</v>
      </c>
      <c r="N1445" s="16">
        <f>_xlfn.XLOOKUP(CustomerCombinedCleaned[[#This Row],[ID]], Table4[ID], Table4[Seafood], "Not Found", 0)</f>
        <v>0</v>
      </c>
      <c r="O1445" s="16">
        <f>_xlfn.XLOOKUP(CustomerCombinedCleaned[[#This Row],[ID]], Table4[ID], Table4[Sweets], "Not Found", 0)</f>
        <v>17</v>
      </c>
      <c r="P1445" s="16">
        <f>_xlfn.XLOOKUP(CustomerCombinedCleaned[[#This Row],[ID]], Table4[ID], Table4[Premium], "Not Found", 0)</f>
        <v>35</v>
      </c>
      <c r="Q1445" s="16">
        <f>_xlfn.XLOOKUP(CustomerCombinedCleaned[[#This Row],[ID]], Table4[ID], Table4[Regular], "Not Found", 0)</f>
        <v>39</v>
      </c>
      <c r="R1445" s="16">
        <f>_xlfn.XLOOKUP(CustomerCombinedCleaned[[#This Row],[ID]], Table4[ID], Table4[Deals], "Not Found", 0)</f>
        <v>1</v>
      </c>
      <c r="S1445" s="16">
        <f>_xlfn.XLOOKUP(CustomerCombinedCleaned[[#This Row],[ID]], Table4[ID], Table4[Website], "Not Found", 0)</f>
        <v>0</v>
      </c>
      <c r="T1445" s="16">
        <f>_xlfn.XLOOKUP(CustomerCombinedCleaned[[#This Row],[ID]], Table4[ID], Table4[Catalog], "Not Found", 0)</f>
        <v>0</v>
      </c>
      <c r="U1445" s="16">
        <f>_xlfn.XLOOKUP(CustomerCombinedCleaned[[#This Row],[ID]], Table4[ID], Table4[Store], "Not Found", 0)</f>
        <v>3</v>
      </c>
      <c r="V1445" s="16">
        <f>_xlfn.XLOOKUP(CustomerCombinedCleaned[[#This Row],[ID]], Table4[ID], Table4[Visits], "Not Found", 0)</f>
        <v>6</v>
      </c>
      <c r="W1445" s="16">
        <f>_xlfn.XLOOKUP(CustomerCombinedCleaned[[#This Row],[ID]], Table2[ID],Table2[Complaint], "Not Found", 0 )</f>
        <v>0</v>
      </c>
      <c r="X1445" s="16">
        <f>_xlfn.XLOOKUP(CustomerCombinedCleaned[[#This Row],[ID]], Table2[ID],Table2[Pilot], "Not Found", 0 )</f>
        <v>0</v>
      </c>
      <c r="Y1445" s="16">
        <f>_xlfn.XLOOKUP(CustomerCombinedCleaned[[#This Row],[ID]], Table2[ID],Table2[MC1], "Not Found", 0 )</f>
        <v>0</v>
      </c>
      <c r="Z1445" s="16">
        <f>_xlfn.XLOOKUP(CustomerCombinedCleaned[[#This Row],[ID]], Table2[ID],Table2[MC2], "Not Found", 0 )</f>
        <v>0</v>
      </c>
      <c r="AA1445" s="16">
        <f>_xlfn.XLOOKUP(CustomerCombinedCleaned[[#This Row],[ID]], Table2[ID],Table2[MC3], "Not Found", 0 )</f>
        <v>0</v>
      </c>
      <c r="AB1445" s="16">
        <f>_xlfn.XLOOKUP(CustomerCombinedCleaned[[#This Row],[ID]], Table2[ID],Table2[MC4], "Not Found", 0 )</f>
        <v>0</v>
      </c>
      <c r="AC1445" s="16">
        <f>_xlfn.XLOOKUP(CustomerCombinedCleaned[[#This Row],[ID]], Table2[ID],Table2[MC5], "Not Found", 0 )</f>
        <v>0</v>
      </c>
    </row>
    <row r="1446" spans="1:29" x14ac:dyDescent="0.3">
      <c r="A1446" s="18">
        <v>2702</v>
      </c>
      <c r="B1446" s="16">
        <v>123529</v>
      </c>
      <c r="C1446" s="16">
        <v>0</v>
      </c>
      <c r="D1446" s="16">
        <v>1</v>
      </c>
      <c r="E1446" s="16">
        <v>55</v>
      </c>
      <c r="F1446" s="17" t="s">
        <v>7</v>
      </c>
      <c r="G1446" s="17" t="s">
        <v>10</v>
      </c>
      <c r="H1446" s="3" t="s">
        <v>333</v>
      </c>
      <c r="I1446" s="5" t="s">
        <v>438</v>
      </c>
      <c r="J1446" s="16">
        <f>_xlfn.XLOOKUP(CustomerCombinedCleaned[[#This Row],[ID]], Table4[ID], Table4[Recency], "Not Found", 0)</f>
        <v>67</v>
      </c>
      <c r="K1446" s="16">
        <f>_xlfn.XLOOKUP(CustomerCombinedCleaned[[#This Row],[ID]], Table4[ID], Table4[Teas], "Not Found", 0)</f>
        <v>47</v>
      </c>
      <c r="L1446" s="16">
        <f>_xlfn.XLOOKUP(CustomerCombinedCleaned[[#This Row],[ID]], Table4[ID], Table4[Fruits], "Not Found", 0)</f>
        <v>37</v>
      </c>
      <c r="M1446" s="16">
        <f>_xlfn.XLOOKUP(CustomerCombinedCleaned[[#This Row],[ID]], Table4[ID], Table4[Meats], "Not Found", 0)</f>
        <v>68</v>
      </c>
      <c r="N1446" s="16">
        <f>_xlfn.XLOOKUP(CustomerCombinedCleaned[[#This Row],[ID]], Table4[ID], Table4[Seafood], "Not Found", 0)</f>
        <v>16</v>
      </c>
      <c r="O1446" s="16">
        <f>_xlfn.XLOOKUP(CustomerCombinedCleaned[[#This Row],[ID]], Table4[ID], Table4[Sweets], "Not Found", 0)</f>
        <v>11</v>
      </c>
      <c r="P1446" s="16">
        <f>_xlfn.XLOOKUP(CustomerCombinedCleaned[[#This Row],[ID]], Table4[ID], Table4[Premium], "Not Found", 0)</f>
        <v>105</v>
      </c>
      <c r="Q1446" s="16">
        <f>_xlfn.XLOOKUP(CustomerCombinedCleaned[[#This Row],[ID]], Table4[ID], Table4[Regular], "Not Found", 0)</f>
        <v>74</v>
      </c>
      <c r="R1446" s="16">
        <f>_xlfn.XLOOKUP(CustomerCombinedCleaned[[#This Row],[ID]], Table4[ID], Table4[Deals], "Not Found", 0)</f>
        <v>1</v>
      </c>
      <c r="S1446" s="16">
        <f>_xlfn.XLOOKUP(CustomerCombinedCleaned[[#This Row],[ID]], Table4[ID], Table4[Website], "Not Found", 0)</f>
        <v>1</v>
      </c>
      <c r="T1446" s="16">
        <f>_xlfn.XLOOKUP(CustomerCombinedCleaned[[#This Row],[ID]], Table4[ID], Table4[Catalog], "Not Found", 0)</f>
        <v>1</v>
      </c>
      <c r="U1446" s="16">
        <f>_xlfn.XLOOKUP(CustomerCombinedCleaned[[#This Row],[ID]], Table4[ID], Table4[Store], "Not Found", 0)</f>
        <v>2</v>
      </c>
      <c r="V1446" s="16">
        <f>_xlfn.XLOOKUP(CustomerCombinedCleaned[[#This Row],[ID]], Table4[ID], Table4[Visits], "Not Found", 0)</f>
        <v>6</v>
      </c>
      <c r="W1446" s="16">
        <f>_xlfn.XLOOKUP(CustomerCombinedCleaned[[#This Row],[ID]], Table2[ID],Table2[Complaint], "Not Found", 0 )</f>
        <v>0</v>
      </c>
      <c r="X1446" s="16">
        <f>_xlfn.XLOOKUP(CustomerCombinedCleaned[[#This Row],[ID]], Table2[ID],Table2[Pilot], "Not Found", 0 )</f>
        <v>0</v>
      </c>
      <c r="Y1446" s="16">
        <f>_xlfn.XLOOKUP(CustomerCombinedCleaned[[#This Row],[ID]], Table2[ID],Table2[MC1], "Not Found", 0 )</f>
        <v>0</v>
      </c>
      <c r="Z1446" s="16">
        <f>_xlfn.XLOOKUP(CustomerCombinedCleaned[[#This Row],[ID]], Table2[ID],Table2[MC2], "Not Found", 0 )</f>
        <v>0</v>
      </c>
      <c r="AA1446" s="16">
        <f>_xlfn.XLOOKUP(CustomerCombinedCleaned[[#This Row],[ID]], Table2[ID],Table2[MC3], "Not Found", 0 )</f>
        <v>0</v>
      </c>
      <c r="AB1446" s="16">
        <f>_xlfn.XLOOKUP(CustomerCombinedCleaned[[#This Row],[ID]], Table2[ID],Table2[MC4], "Not Found", 0 )</f>
        <v>0</v>
      </c>
      <c r="AC1446" s="16">
        <f>_xlfn.XLOOKUP(CustomerCombinedCleaned[[#This Row],[ID]], Table2[ID],Table2[MC5], "Not Found", 0 )</f>
        <v>0</v>
      </c>
    </row>
    <row r="1447" spans="1:29" x14ac:dyDescent="0.3">
      <c r="A1447" s="18">
        <v>3030</v>
      </c>
      <c r="B1447" s="16">
        <v>123478</v>
      </c>
      <c r="C1447" s="16">
        <v>0</v>
      </c>
      <c r="D1447" s="16">
        <v>0</v>
      </c>
      <c r="E1447" s="16">
        <v>55</v>
      </c>
      <c r="F1447" s="17" t="s">
        <v>7</v>
      </c>
      <c r="G1447" s="17" t="s">
        <v>11</v>
      </c>
      <c r="H1447" s="3" t="s">
        <v>289</v>
      </c>
      <c r="I1447" s="5" t="s">
        <v>436</v>
      </c>
      <c r="J1447" s="16">
        <f>_xlfn.XLOOKUP(CustomerCombinedCleaned[[#This Row],[ID]], Table4[ID], Table4[Recency], "Not Found", 0)</f>
        <v>51</v>
      </c>
      <c r="K1447" s="16">
        <f>_xlfn.XLOOKUP(CustomerCombinedCleaned[[#This Row],[ID]], Table4[ID], Table4[Teas], "Not Found", 0)</f>
        <v>147</v>
      </c>
      <c r="L1447" s="16">
        <f>_xlfn.XLOOKUP(CustomerCombinedCleaned[[#This Row],[ID]], Table4[ID], Table4[Fruits], "Not Found", 0)</f>
        <v>32</v>
      </c>
      <c r="M1447" s="16">
        <f>_xlfn.XLOOKUP(CustomerCombinedCleaned[[#This Row],[ID]], Table4[ID], Table4[Meats], "Not Found", 0)</f>
        <v>142</v>
      </c>
      <c r="N1447" s="16">
        <f>_xlfn.XLOOKUP(CustomerCombinedCleaned[[#This Row],[ID]], Table4[ID], Table4[Seafood], "Not Found", 0)</f>
        <v>63</v>
      </c>
      <c r="O1447" s="16">
        <f>_xlfn.XLOOKUP(CustomerCombinedCleaned[[#This Row],[ID]], Table4[ID], Table4[Sweets], "Not Found", 0)</f>
        <v>89</v>
      </c>
      <c r="P1447" s="16">
        <f>_xlfn.XLOOKUP(CustomerCombinedCleaned[[#This Row],[ID]], Table4[ID], Table4[Premium], "Not Found", 0)</f>
        <v>205</v>
      </c>
      <c r="Q1447" s="16">
        <f>_xlfn.XLOOKUP(CustomerCombinedCleaned[[#This Row],[ID]], Table4[ID], Table4[Regular], "Not Found", 0)</f>
        <v>268</v>
      </c>
      <c r="R1447" s="16">
        <f>_xlfn.XLOOKUP(CustomerCombinedCleaned[[#This Row],[ID]], Table4[ID], Table4[Deals], "Not Found", 0)</f>
        <v>1</v>
      </c>
      <c r="S1447" s="16">
        <f>_xlfn.XLOOKUP(CustomerCombinedCleaned[[#This Row],[ID]], Table4[ID], Table4[Website], "Not Found", 0)</f>
        <v>3</v>
      </c>
      <c r="T1447" s="16">
        <f>_xlfn.XLOOKUP(CustomerCombinedCleaned[[#This Row],[ID]], Table4[ID], Table4[Catalog], "Not Found", 0)</f>
        <v>0</v>
      </c>
      <c r="U1447" s="16">
        <f>_xlfn.XLOOKUP(CustomerCombinedCleaned[[#This Row],[ID]], Table4[ID], Table4[Store], "Not Found", 0)</f>
        <v>3</v>
      </c>
      <c r="V1447" s="16">
        <f>_xlfn.XLOOKUP(CustomerCombinedCleaned[[#This Row],[ID]], Table4[ID], Table4[Visits], "Not Found", 0)</f>
        <v>8</v>
      </c>
      <c r="W1447" s="16">
        <f>_xlfn.XLOOKUP(CustomerCombinedCleaned[[#This Row],[ID]], Table2[ID],Table2[Complaint], "Not Found", 0 )</f>
        <v>0</v>
      </c>
      <c r="X1447" s="16">
        <f>_xlfn.XLOOKUP(CustomerCombinedCleaned[[#This Row],[ID]], Table2[ID],Table2[Pilot], "Not Found", 0 )</f>
        <v>0</v>
      </c>
      <c r="Y1447" s="16">
        <f>_xlfn.XLOOKUP(CustomerCombinedCleaned[[#This Row],[ID]], Table2[ID],Table2[MC1], "Not Found", 0 )</f>
        <v>0</v>
      </c>
      <c r="Z1447" s="16">
        <f>_xlfn.XLOOKUP(CustomerCombinedCleaned[[#This Row],[ID]], Table2[ID],Table2[MC2], "Not Found", 0 )</f>
        <v>0</v>
      </c>
      <c r="AA1447" s="16">
        <f>_xlfn.XLOOKUP(CustomerCombinedCleaned[[#This Row],[ID]], Table2[ID],Table2[MC3], "Not Found", 0 )</f>
        <v>0</v>
      </c>
      <c r="AB1447" s="16">
        <f>_xlfn.XLOOKUP(CustomerCombinedCleaned[[#This Row],[ID]], Table2[ID],Table2[MC4], "Not Found", 0 )</f>
        <v>0</v>
      </c>
      <c r="AC1447" s="16">
        <f>_xlfn.XLOOKUP(CustomerCombinedCleaned[[#This Row],[ID]], Table2[ID],Table2[MC5], "Not Found", 0 )</f>
        <v>0</v>
      </c>
    </row>
    <row r="1448" spans="1:29" x14ac:dyDescent="0.3">
      <c r="A1448" s="18">
        <v>1962</v>
      </c>
      <c r="B1448" s="16">
        <v>104861</v>
      </c>
      <c r="C1448" s="16">
        <v>0</v>
      </c>
      <c r="D1448" s="16">
        <v>0</v>
      </c>
      <c r="E1448" s="16">
        <v>55</v>
      </c>
      <c r="F1448" s="17" t="s">
        <v>5</v>
      </c>
      <c r="G1448" s="17" t="s">
        <v>11</v>
      </c>
      <c r="H1448" s="3" t="s">
        <v>27</v>
      </c>
      <c r="I1448" s="5" t="s">
        <v>436</v>
      </c>
      <c r="J1448" s="16">
        <f>_xlfn.XLOOKUP(CustomerCombinedCleaned[[#This Row],[ID]], Table4[ID], Table4[Recency], "Not Found", 0)</f>
        <v>20</v>
      </c>
      <c r="K1448" s="16">
        <f>_xlfn.XLOOKUP(CustomerCombinedCleaned[[#This Row],[ID]], Table4[ID], Table4[Teas], "Not Found", 0)</f>
        <v>43</v>
      </c>
      <c r="L1448" s="16">
        <f>_xlfn.XLOOKUP(CustomerCombinedCleaned[[#This Row],[ID]], Table4[ID], Table4[Fruits], "Not Found", 0)</f>
        <v>22</v>
      </c>
      <c r="M1448" s="16">
        <f>_xlfn.XLOOKUP(CustomerCombinedCleaned[[#This Row],[ID]], Table4[ID], Table4[Meats], "Not Found", 0)</f>
        <v>22</v>
      </c>
      <c r="N1448" s="16">
        <f>_xlfn.XLOOKUP(CustomerCombinedCleaned[[#This Row],[ID]], Table4[ID], Table4[Seafood], "Not Found", 0)</f>
        <v>22</v>
      </c>
      <c r="O1448" s="16">
        <f>_xlfn.XLOOKUP(CustomerCombinedCleaned[[#This Row],[ID]], Table4[ID], Table4[Sweets], "Not Found", 0)</f>
        <v>0</v>
      </c>
      <c r="P1448" s="16">
        <f>_xlfn.XLOOKUP(CustomerCombinedCleaned[[#This Row],[ID]], Table4[ID], Table4[Premium], "Not Found", 0)</f>
        <v>22</v>
      </c>
      <c r="Q1448" s="16">
        <f>_xlfn.XLOOKUP(CustomerCombinedCleaned[[#This Row],[ID]], Table4[ID], Table4[Regular], "Not Found", 0)</f>
        <v>86</v>
      </c>
      <c r="R1448" s="16">
        <f>_xlfn.XLOOKUP(CustomerCombinedCleaned[[#This Row],[ID]], Table4[ID], Table4[Deals], "Not Found", 0)</f>
        <v>0</v>
      </c>
      <c r="S1448" s="16">
        <f>_xlfn.XLOOKUP(CustomerCombinedCleaned[[#This Row],[ID]], Table4[ID], Table4[Website], "Not Found", 0)</f>
        <v>0</v>
      </c>
      <c r="T1448" s="16">
        <f>_xlfn.XLOOKUP(CustomerCombinedCleaned[[#This Row],[ID]], Table4[ID], Table4[Catalog], "Not Found", 0)</f>
        <v>0</v>
      </c>
      <c r="U1448" s="16">
        <f>_xlfn.XLOOKUP(CustomerCombinedCleaned[[#This Row],[ID]], Table4[ID], Table4[Store], "Not Found", 0)</f>
        <v>0</v>
      </c>
      <c r="V1448" s="16">
        <f>_xlfn.XLOOKUP(CustomerCombinedCleaned[[#This Row],[ID]], Table4[ID], Table4[Visits], "Not Found", 0)</f>
        <v>14</v>
      </c>
      <c r="W1448" s="16">
        <f>_xlfn.XLOOKUP(CustomerCombinedCleaned[[#This Row],[ID]], Table2[ID],Table2[Complaint], "Not Found", 0 )</f>
        <v>0</v>
      </c>
      <c r="X1448" s="16">
        <f>_xlfn.XLOOKUP(CustomerCombinedCleaned[[#This Row],[ID]], Table2[ID],Table2[Pilot], "Not Found", 0 )</f>
        <v>0</v>
      </c>
      <c r="Y1448" s="16">
        <f>_xlfn.XLOOKUP(CustomerCombinedCleaned[[#This Row],[ID]], Table2[ID],Table2[MC1], "Not Found", 0 )</f>
        <v>0</v>
      </c>
      <c r="Z1448" s="16">
        <f>_xlfn.XLOOKUP(CustomerCombinedCleaned[[#This Row],[ID]], Table2[ID],Table2[MC2], "Not Found", 0 )</f>
        <v>0</v>
      </c>
      <c r="AA1448" s="16">
        <f>_xlfn.XLOOKUP(CustomerCombinedCleaned[[#This Row],[ID]], Table2[ID],Table2[MC3], "Not Found", 0 )</f>
        <v>0</v>
      </c>
      <c r="AB1448" s="16">
        <f>_xlfn.XLOOKUP(CustomerCombinedCleaned[[#This Row],[ID]], Table2[ID],Table2[MC4], "Not Found", 0 )</f>
        <v>0</v>
      </c>
      <c r="AC1448" s="16">
        <f>_xlfn.XLOOKUP(CustomerCombinedCleaned[[#This Row],[ID]], Table2[ID],Table2[MC5], "Not Found", 0 )</f>
        <v>0</v>
      </c>
    </row>
    <row r="1449" spans="1:29" x14ac:dyDescent="0.3">
      <c r="A1449" s="18">
        <v>1530</v>
      </c>
      <c r="B1449" s="16">
        <v>185620</v>
      </c>
      <c r="C1449" s="16">
        <v>0</v>
      </c>
      <c r="D1449" s="16">
        <v>0</v>
      </c>
      <c r="E1449" s="16">
        <v>56</v>
      </c>
      <c r="F1449" s="17" t="s">
        <v>9</v>
      </c>
      <c r="G1449" s="17" t="s">
        <v>11</v>
      </c>
      <c r="H1449" s="3" t="s">
        <v>122</v>
      </c>
      <c r="I1449" s="5" t="s">
        <v>436</v>
      </c>
      <c r="J1449" s="16">
        <f>_xlfn.XLOOKUP(CustomerCombinedCleaned[[#This Row],[ID]], Table4[ID], Table4[Recency], "Not Found", 0)</f>
        <v>68</v>
      </c>
      <c r="K1449" s="16">
        <f>_xlfn.XLOOKUP(CustomerCombinedCleaned[[#This Row],[ID]], Table4[ID], Table4[Teas], "Not Found", 0)</f>
        <v>902</v>
      </c>
      <c r="L1449" s="16">
        <f>_xlfn.XLOOKUP(CustomerCombinedCleaned[[#This Row],[ID]], Table4[ID], Table4[Fruits], "Not Found", 0)</f>
        <v>100</v>
      </c>
      <c r="M1449" s="16">
        <f>_xlfn.XLOOKUP(CustomerCombinedCleaned[[#This Row],[ID]], Table4[ID], Table4[Meats], "Not Found", 0)</f>
        <v>2005</v>
      </c>
      <c r="N1449" s="16">
        <f>_xlfn.XLOOKUP(CustomerCombinedCleaned[[#This Row],[ID]], Table4[ID], Table4[Seafood], "Not Found", 0)</f>
        <v>130</v>
      </c>
      <c r="O1449" s="16">
        <f>_xlfn.XLOOKUP(CustomerCombinedCleaned[[#This Row],[ID]], Table4[ID], Table4[Sweets], "Not Found", 0)</f>
        <v>232</v>
      </c>
      <c r="P1449" s="16">
        <f>_xlfn.XLOOKUP(CustomerCombinedCleaned[[#This Row],[ID]], Table4[ID], Table4[Premium], "Not Found", 0)</f>
        <v>100</v>
      </c>
      <c r="Q1449" s="16">
        <f>_xlfn.XLOOKUP(CustomerCombinedCleaned[[#This Row],[ID]], Table4[ID], Table4[Regular], "Not Found", 0)</f>
        <v>3269</v>
      </c>
      <c r="R1449" s="16">
        <f>_xlfn.XLOOKUP(CustomerCombinedCleaned[[#This Row],[ID]], Table4[ID], Table4[Deals], "Not Found", 0)</f>
        <v>1</v>
      </c>
      <c r="S1449" s="16">
        <f>_xlfn.XLOOKUP(CustomerCombinedCleaned[[#This Row],[ID]], Table4[ID], Table4[Website], "Not Found", 0)</f>
        <v>3</v>
      </c>
      <c r="T1449" s="16">
        <f>_xlfn.XLOOKUP(CustomerCombinedCleaned[[#This Row],[ID]], Table4[ID], Table4[Catalog], "Not Found", 0)</f>
        <v>6</v>
      </c>
      <c r="U1449" s="16">
        <f>_xlfn.XLOOKUP(CustomerCombinedCleaned[[#This Row],[ID]], Table4[ID], Table4[Store], "Not Found", 0)</f>
        <v>4</v>
      </c>
      <c r="V1449" s="16">
        <f>_xlfn.XLOOKUP(CustomerCombinedCleaned[[#This Row],[ID]], Table4[ID], Table4[Visits], "Not Found", 0)</f>
        <v>1</v>
      </c>
      <c r="W1449" s="16">
        <f>_xlfn.XLOOKUP(CustomerCombinedCleaned[[#This Row],[ID]], Table2[ID],Table2[Complaint], "Not Found", 0 )</f>
        <v>0</v>
      </c>
      <c r="X1449" s="16">
        <f>_xlfn.XLOOKUP(CustomerCombinedCleaned[[#This Row],[ID]], Table2[ID],Table2[Pilot], "Not Found", 0 )</f>
        <v>1</v>
      </c>
      <c r="Y1449" s="16">
        <f>_xlfn.XLOOKUP(CustomerCombinedCleaned[[#This Row],[ID]], Table2[ID],Table2[MC1], "Not Found", 0 )</f>
        <v>0</v>
      </c>
      <c r="Z1449" s="16">
        <f>_xlfn.XLOOKUP(CustomerCombinedCleaned[[#This Row],[ID]], Table2[ID],Table2[MC2], "Not Found", 0 )</f>
        <v>0</v>
      </c>
      <c r="AA1449" s="16">
        <f>_xlfn.XLOOKUP(CustomerCombinedCleaned[[#This Row],[ID]], Table2[ID],Table2[MC3], "Not Found", 0 )</f>
        <v>0</v>
      </c>
      <c r="AB1449" s="16">
        <f>_xlfn.XLOOKUP(CustomerCombinedCleaned[[#This Row],[ID]], Table2[ID],Table2[MC4], "Not Found", 0 )</f>
        <v>0</v>
      </c>
      <c r="AC1449" s="16">
        <f>_xlfn.XLOOKUP(CustomerCombinedCleaned[[#This Row],[ID]], Table2[ID],Table2[MC5], "Not Found", 0 )</f>
        <v>0</v>
      </c>
    </row>
    <row r="1450" spans="1:29" x14ac:dyDescent="0.3">
      <c r="A1450" s="18">
        <v>1725</v>
      </c>
      <c r="B1450" s="16">
        <v>182224</v>
      </c>
      <c r="C1450" s="16">
        <v>0</v>
      </c>
      <c r="D1450" s="16">
        <v>0</v>
      </c>
      <c r="E1450" s="16">
        <v>56</v>
      </c>
      <c r="F1450" s="17" t="s">
        <v>6</v>
      </c>
      <c r="G1450" s="17" t="s">
        <v>11</v>
      </c>
      <c r="H1450" s="3" t="s">
        <v>587</v>
      </c>
      <c r="I1450" s="5" t="s">
        <v>435</v>
      </c>
      <c r="J1450" s="16">
        <f>_xlfn.XLOOKUP(CustomerCombinedCleaned[[#This Row],[ID]], Table4[ID], Table4[Recency], "Not Found", 0)</f>
        <v>83</v>
      </c>
      <c r="K1450" s="16">
        <f>_xlfn.XLOOKUP(CustomerCombinedCleaned[[#This Row],[ID]], Table4[ID], Table4[Teas], "Not Found", 0)</f>
        <v>680</v>
      </c>
      <c r="L1450" s="16">
        <f>_xlfn.XLOOKUP(CustomerCombinedCleaned[[#This Row],[ID]], Table4[ID], Table4[Fruits], "Not Found", 0)</f>
        <v>58</v>
      </c>
      <c r="M1450" s="16">
        <f>_xlfn.XLOOKUP(CustomerCombinedCleaned[[#This Row],[ID]], Table4[ID], Table4[Meats], "Not Found", 0)</f>
        <v>798</v>
      </c>
      <c r="N1450" s="16">
        <f>_xlfn.XLOOKUP(CustomerCombinedCleaned[[#This Row],[ID]], Table4[ID], Table4[Seafood], "Not Found", 0)</f>
        <v>306</v>
      </c>
      <c r="O1450" s="16">
        <f>_xlfn.XLOOKUP(CustomerCombinedCleaned[[#This Row],[ID]], Table4[ID], Table4[Sweets], "Not Found", 0)</f>
        <v>69</v>
      </c>
      <c r="P1450" s="16">
        <f>_xlfn.XLOOKUP(CustomerCombinedCleaned[[#This Row],[ID]], Table4[ID], Table4[Premium], "Not Found", 0)</f>
        <v>89</v>
      </c>
      <c r="Q1450" s="16">
        <f>_xlfn.XLOOKUP(CustomerCombinedCleaned[[#This Row],[ID]], Table4[ID], Table4[Regular], "Not Found", 0)</f>
        <v>1822</v>
      </c>
      <c r="R1450" s="16">
        <f>_xlfn.XLOOKUP(CustomerCombinedCleaned[[#This Row],[ID]], Table4[ID], Table4[Deals], "Not Found", 0)</f>
        <v>1</v>
      </c>
      <c r="S1450" s="16">
        <f>_xlfn.XLOOKUP(CustomerCombinedCleaned[[#This Row],[ID]], Table4[ID], Table4[Website], "Not Found", 0)</f>
        <v>6</v>
      </c>
      <c r="T1450" s="16">
        <f>_xlfn.XLOOKUP(CustomerCombinedCleaned[[#This Row],[ID]], Table4[ID], Table4[Catalog], "Not Found", 0)</f>
        <v>9</v>
      </c>
      <c r="U1450" s="16">
        <f>_xlfn.XLOOKUP(CustomerCombinedCleaned[[#This Row],[ID]], Table4[ID], Table4[Store], "Not Found", 0)</f>
        <v>5</v>
      </c>
      <c r="V1450" s="16">
        <f>_xlfn.XLOOKUP(CustomerCombinedCleaned[[#This Row],[ID]], Table4[ID], Table4[Visits], "Not Found", 0)</f>
        <v>3</v>
      </c>
      <c r="W1450" s="16">
        <f>_xlfn.XLOOKUP(CustomerCombinedCleaned[[#This Row],[ID]], Table2[ID],Table2[Complaint], "Not Found", 0 )</f>
        <v>0</v>
      </c>
      <c r="X1450" s="16">
        <f>_xlfn.XLOOKUP(CustomerCombinedCleaned[[#This Row],[ID]], Table2[ID],Table2[Pilot], "Not Found", 0 )</f>
        <v>0</v>
      </c>
      <c r="Y1450" s="16">
        <f>_xlfn.XLOOKUP(CustomerCombinedCleaned[[#This Row],[ID]], Table2[ID],Table2[MC1], "Not Found", 0 )</f>
        <v>1</v>
      </c>
      <c r="Z1450" s="16">
        <f>_xlfn.XLOOKUP(CustomerCombinedCleaned[[#This Row],[ID]], Table2[ID],Table2[MC2], "Not Found", 0 )</f>
        <v>0</v>
      </c>
      <c r="AA1450" s="16">
        <f>_xlfn.XLOOKUP(CustomerCombinedCleaned[[#This Row],[ID]], Table2[ID],Table2[MC3], "Not Found", 0 )</f>
        <v>0</v>
      </c>
      <c r="AB1450" s="16">
        <f>_xlfn.XLOOKUP(CustomerCombinedCleaned[[#This Row],[ID]], Table2[ID],Table2[MC4], "Not Found", 0 )</f>
        <v>0</v>
      </c>
      <c r="AC1450" s="16">
        <f>_xlfn.XLOOKUP(CustomerCombinedCleaned[[#This Row],[ID]], Table2[ID],Table2[MC5], "Not Found", 0 )</f>
        <v>0</v>
      </c>
    </row>
    <row r="1451" spans="1:29" x14ac:dyDescent="0.3">
      <c r="A1451" s="18">
        <v>1431</v>
      </c>
      <c r="B1451" s="16">
        <v>181246</v>
      </c>
      <c r="C1451" s="16">
        <v>0</v>
      </c>
      <c r="D1451" s="16">
        <v>0</v>
      </c>
      <c r="E1451" s="16">
        <v>56</v>
      </c>
      <c r="F1451" s="17" t="s">
        <v>7</v>
      </c>
      <c r="G1451" s="17" t="s">
        <v>11</v>
      </c>
      <c r="H1451" s="3" t="s">
        <v>598</v>
      </c>
      <c r="I1451" s="5" t="s">
        <v>435</v>
      </c>
      <c r="J1451" s="16">
        <f>_xlfn.XLOOKUP(CustomerCombinedCleaned[[#This Row],[ID]], Table4[ID], Table4[Recency], "Not Found", 0)</f>
        <v>87</v>
      </c>
      <c r="K1451" s="16">
        <f>_xlfn.XLOOKUP(CustomerCombinedCleaned[[#This Row],[ID]], Table4[ID], Table4[Teas], "Not Found", 0)</f>
        <v>888</v>
      </c>
      <c r="L1451" s="16">
        <f>_xlfn.XLOOKUP(CustomerCombinedCleaned[[#This Row],[ID]], Table4[ID], Table4[Fruits], "Not Found", 0)</f>
        <v>424</v>
      </c>
      <c r="M1451" s="16">
        <f>_xlfn.XLOOKUP(CustomerCombinedCleaned[[#This Row],[ID]], Table4[ID], Table4[Meats], "Not Found", 0)</f>
        <v>1198</v>
      </c>
      <c r="N1451" s="16">
        <f>_xlfn.XLOOKUP(CustomerCombinedCleaned[[#This Row],[ID]], Table4[ID], Table4[Seafood], "Not Found", 0)</f>
        <v>136</v>
      </c>
      <c r="O1451" s="16">
        <f>_xlfn.XLOOKUP(CustomerCombinedCleaned[[#This Row],[ID]], Table4[ID], Table4[Sweets], "Not Found", 0)</f>
        <v>348</v>
      </c>
      <c r="P1451" s="16">
        <f>_xlfn.XLOOKUP(CustomerCombinedCleaned[[#This Row],[ID]], Table4[ID], Table4[Premium], "Not Found", 0)</f>
        <v>83</v>
      </c>
      <c r="Q1451" s="16">
        <f>_xlfn.XLOOKUP(CustomerCombinedCleaned[[#This Row],[ID]], Table4[ID], Table4[Regular], "Not Found", 0)</f>
        <v>2911</v>
      </c>
      <c r="R1451" s="16">
        <f>_xlfn.XLOOKUP(CustomerCombinedCleaned[[#This Row],[ID]], Table4[ID], Table4[Deals], "Not Found", 0)</f>
        <v>1</v>
      </c>
      <c r="S1451" s="16">
        <f>_xlfn.XLOOKUP(CustomerCombinedCleaned[[#This Row],[ID]], Table4[ID], Table4[Website], "Not Found", 0)</f>
        <v>4</v>
      </c>
      <c r="T1451" s="16">
        <f>_xlfn.XLOOKUP(CustomerCombinedCleaned[[#This Row],[ID]], Table4[ID], Table4[Catalog], "Not Found", 0)</f>
        <v>5</v>
      </c>
      <c r="U1451" s="16">
        <f>_xlfn.XLOOKUP(CustomerCombinedCleaned[[#This Row],[ID]], Table4[ID], Table4[Store], "Not Found", 0)</f>
        <v>7</v>
      </c>
      <c r="V1451" s="16">
        <f>_xlfn.XLOOKUP(CustomerCombinedCleaned[[#This Row],[ID]], Table4[ID], Table4[Visits], "Not Found", 0)</f>
        <v>1</v>
      </c>
      <c r="W1451" s="16">
        <f>_xlfn.XLOOKUP(CustomerCombinedCleaned[[#This Row],[ID]], Table2[ID],Table2[Complaint], "Not Found", 0 )</f>
        <v>0</v>
      </c>
      <c r="X1451" s="16">
        <f>_xlfn.XLOOKUP(CustomerCombinedCleaned[[#This Row],[ID]], Table2[ID],Table2[Pilot], "Not Found", 0 )</f>
        <v>0</v>
      </c>
      <c r="Y1451" s="16">
        <f>_xlfn.XLOOKUP(CustomerCombinedCleaned[[#This Row],[ID]], Table2[ID],Table2[MC1], "Not Found", 0 )</f>
        <v>1</v>
      </c>
      <c r="Z1451" s="16">
        <f>_xlfn.XLOOKUP(CustomerCombinedCleaned[[#This Row],[ID]], Table2[ID],Table2[MC2], "Not Found", 0 )</f>
        <v>0</v>
      </c>
      <c r="AA1451" s="16">
        <f>_xlfn.XLOOKUP(CustomerCombinedCleaned[[#This Row],[ID]], Table2[ID],Table2[MC3], "Not Found", 0 )</f>
        <v>1</v>
      </c>
      <c r="AB1451" s="16">
        <f>_xlfn.XLOOKUP(CustomerCombinedCleaned[[#This Row],[ID]], Table2[ID],Table2[MC4], "Not Found", 0 )</f>
        <v>0</v>
      </c>
      <c r="AC1451" s="16">
        <f>_xlfn.XLOOKUP(CustomerCombinedCleaned[[#This Row],[ID]], Table2[ID],Table2[MC5], "Not Found", 0 )</f>
        <v>0</v>
      </c>
    </row>
    <row r="1452" spans="1:29" x14ac:dyDescent="0.3">
      <c r="A1452" s="18">
        <v>1048</v>
      </c>
      <c r="B1452" s="16">
        <v>179143</v>
      </c>
      <c r="C1452" s="16">
        <v>0</v>
      </c>
      <c r="D1452" s="16">
        <v>0</v>
      </c>
      <c r="E1452" s="16">
        <v>56</v>
      </c>
      <c r="F1452" s="17" t="s">
        <v>6</v>
      </c>
      <c r="G1452" s="17" t="s">
        <v>12</v>
      </c>
      <c r="H1452" s="3" t="s">
        <v>417</v>
      </c>
      <c r="I1452" s="5" t="s">
        <v>439</v>
      </c>
      <c r="J1452" s="16">
        <f>_xlfn.XLOOKUP(CustomerCombinedCleaned[[#This Row],[ID]], Table4[ID], Table4[Recency], "Not Found", 0)</f>
        <v>2</v>
      </c>
      <c r="K1452" s="16">
        <f>_xlfn.XLOOKUP(CustomerCombinedCleaned[[#This Row],[ID]], Table4[ID], Table4[Teas], "Not Found", 0)</f>
        <v>1471</v>
      </c>
      <c r="L1452" s="16">
        <f>_xlfn.XLOOKUP(CustomerCombinedCleaned[[#This Row],[ID]], Table4[ID], Table4[Fruits], "Not Found", 0)</f>
        <v>84</v>
      </c>
      <c r="M1452" s="16">
        <f>_xlfn.XLOOKUP(CustomerCombinedCleaned[[#This Row],[ID]], Table4[ID], Table4[Meats], "Not Found", 0)</f>
        <v>1766</v>
      </c>
      <c r="N1452" s="16">
        <f>_xlfn.XLOOKUP(CustomerCombinedCleaned[[#This Row],[ID]], Table4[ID], Table4[Seafood], "Not Found", 0)</f>
        <v>61</v>
      </c>
      <c r="O1452" s="16">
        <f>_xlfn.XLOOKUP(CustomerCombinedCleaned[[#This Row],[ID]], Table4[ID], Table4[Sweets], "Not Found", 0)</f>
        <v>378</v>
      </c>
      <c r="P1452" s="16">
        <f>_xlfn.XLOOKUP(CustomerCombinedCleaned[[#This Row],[ID]], Table4[ID], Table4[Premium], "Not Found", 0)</f>
        <v>72</v>
      </c>
      <c r="Q1452" s="16">
        <f>_xlfn.XLOOKUP(CustomerCombinedCleaned[[#This Row],[ID]], Table4[ID], Table4[Regular], "Not Found", 0)</f>
        <v>3687</v>
      </c>
      <c r="R1452" s="16">
        <f>_xlfn.XLOOKUP(CustomerCombinedCleaned[[#This Row],[ID]], Table4[ID], Table4[Deals], "Not Found", 0)</f>
        <v>1</v>
      </c>
      <c r="S1452" s="16">
        <f>_xlfn.XLOOKUP(CustomerCombinedCleaned[[#This Row],[ID]], Table4[ID], Table4[Website], "Not Found", 0)</f>
        <v>6</v>
      </c>
      <c r="T1452" s="16">
        <f>_xlfn.XLOOKUP(CustomerCombinedCleaned[[#This Row],[ID]], Table4[ID], Table4[Catalog], "Not Found", 0)</f>
        <v>9</v>
      </c>
      <c r="U1452" s="16">
        <f>_xlfn.XLOOKUP(CustomerCombinedCleaned[[#This Row],[ID]], Table4[ID], Table4[Store], "Not Found", 0)</f>
        <v>13</v>
      </c>
      <c r="V1452" s="16">
        <f>_xlfn.XLOOKUP(CustomerCombinedCleaned[[#This Row],[ID]], Table4[ID], Table4[Visits], "Not Found", 0)</f>
        <v>3</v>
      </c>
      <c r="W1452" s="16">
        <f>_xlfn.XLOOKUP(CustomerCombinedCleaned[[#This Row],[ID]], Table2[ID],Table2[Complaint], "Not Found", 0 )</f>
        <v>0</v>
      </c>
      <c r="X1452" s="16">
        <f>_xlfn.XLOOKUP(CustomerCombinedCleaned[[#This Row],[ID]], Table2[ID],Table2[Pilot], "Not Found", 0 )</f>
        <v>0</v>
      </c>
      <c r="Y1452" s="16">
        <f>_xlfn.XLOOKUP(CustomerCombinedCleaned[[#This Row],[ID]], Table2[ID],Table2[MC1], "Not Found", 0 )</f>
        <v>0</v>
      </c>
      <c r="Z1452" s="16">
        <f>_xlfn.XLOOKUP(CustomerCombinedCleaned[[#This Row],[ID]], Table2[ID],Table2[MC2], "Not Found", 0 )</f>
        <v>0</v>
      </c>
      <c r="AA1452" s="16">
        <f>_xlfn.XLOOKUP(CustomerCombinedCleaned[[#This Row],[ID]], Table2[ID],Table2[MC3], "Not Found", 0 )</f>
        <v>0</v>
      </c>
      <c r="AB1452" s="16">
        <f>_xlfn.XLOOKUP(CustomerCombinedCleaned[[#This Row],[ID]], Table2[ID],Table2[MC4], "Not Found", 0 )</f>
        <v>0</v>
      </c>
      <c r="AC1452" s="16">
        <f>_xlfn.XLOOKUP(CustomerCombinedCleaned[[#This Row],[ID]], Table2[ID],Table2[MC5], "Not Found", 0 )</f>
        <v>0</v>
      </c>
    </row>
    <row r="1453" spans="1:29" x14ac:dyDescent="0.3">
      <c r="A1453" s="18">
        <v>1469</v>
      </c>
      <c r="B1453" s="16">
        <v>178825</v>
      </c>
      <c r="C1453" s="16">
        <v>0</v>
      </c>
      <c r="D1453" s="16">
        <v>0</v>
      </c>
      <c r="E1453" s="16">
        <v>56</v>
      </c>
      <c r="F1453" s="17" t="s">
        <v>5</v>
      </c>
      <c r="G1453" s="17" t="s">
        <v>13</v>
      </c>
      <c r="H1453" s="3" t="s">
        <v>396</v>
      </c>
      <c r="I1453" s="5" t="s">
        <v>434</v>
      </c>
      <c r="J1453" s="16">
        <f>_xlfn.XLOOKUP(CustomerCombinedCleaned[[#This Row],[ID]], Table4[ID], Table4[Recency], "Not Found", 0)</f>
        <v>35</v>
      </c>
      <c r="K1453" s="16">
        <f>_xlfn.XLOOKUP(CustomerCombinedCleaned[[#This Row],[ID]], Table4[ID], Table4[Teas], "Not Found", 0)</f>
        <v>1096</v>
      </c>
      <c r="L1453" s="16">
        <f>_xlfn.XLOOKUP(CustomerCombinedCleaned[[#This Row],[ID]], Table4[ID], Table4[Fruits], "Not Found", 0)</f>
        <v>168</v>
      </c>
      <c r="M1453" s="16">
        <f>_xlfn.XLOOKUP(CustomerCombinedCleaned[[#This Row],[ID]], Table4[ID], Table4[Meats], "Not Found", 0)</f>
        <v>259</v>
      </c>
      <c r="N1453" s="16">
        <f>_xlfn.XLOOKUP(CustomerCombinedCleaned[[#This Row],[ID]], Table4[ID], Table4[Seafood], "Not Found", 0)</f>
        <v>383</v>
      </c>
      <c r="O1453" s="16">
        <f>_xlfn.XLOOKUP(CustomerCombinedCleaned[[#This Row],[ID]], Table4[ID], Table4[Sweets], "Not Found", 0)</f>
        <v>84</v>
      </c>
      <c r="P1453" s="16">
        <f>_xlfn.XLOOKUP(CustomerCombinedCleaned[[#This Row],[ID]], Table4[ID], Table4[Premium], "Not Found", 0)</f>
        <v>41</v>
      </c>
      <c r="Q1453" s="16">
        <f>_xlfn.XLOOKUP(CustomerCombinedCleaned[[#This Row],[ID]], Table4[ID], Table4[Regular], "Not Found", 0)</f>
        <v>1949</v>
      </c>
      <c r="R1453" s="16">
        <f>_xlfn.XLOOKUP(CustomerCombinedCleaned[[#This Row],[ID]], Table4[ID], Table4[Deals], "Not Found", 0)</f>
        <v>1</v>
      </c>
      <c r="S1453" s="16">
        <f>_xlfn.XLOOKUP(CustomerCombinedCleaned[[#This Row],[ID]], Table4[ID], Table4[Website], "Not Found", 0)</f>
        <v>5</v>
      </c>
      <c r="T1453" s="16">
        <f>_xlfn.XLOOKUP(CustomerCombinedCleaned[[#This Row],[ID]], Table4[ID], Table4[Catalog], "Not Found", 0)</f>
        <v>10</v>
      </c>
      <c r="U1453" s="16">
        <f>_xlfn.XLOOKUP(CustomerCombinedCleaned[[#This Row],[ID]], Table4[ID], Table4[Store], "Not Found", 0)</f>
        <v>13</v>
      </c>
      <c r="V1453" s="16">
        <f>_xlfn.XLOOKUP(CustomerCombinedCleaned[[#This Row],[ID]], Table4[ID], Table4[Visits], "Not Found", 0)</f>
        <v>3</v>
      </c>
      <c r="W1453" s="16">
        <f>_xlfn.XLOOKUP(CustomerCombinedCleaned[[#This Row],[ID]], Table2[ID],Table2[Complaint], "Not Found", 0 )</f>
        <v>0</v>
      </c>
      <c r="X1453" s="16">
        <f>_xlfn.XLOOKUP(CustomerCombinedCleaned[[#This Row],[ID]], Table2[ID],Table2[Pilot], "Not Found", 0 )</f>
        <v>1</v>
      </c>
      <c r="Y1453" s="16">
        <f>_xlfn.XLOOKUP(CustomerCombinedCleaned[[#This Row],[ID]], Table2[ID],Table2[MC1], "Not Found", 0 )</f>
        <v>0</v>
      </c>
      <c r="Z1453" s="16">
        <f>_xlfn.XLOOKUP(CustomerCombinedCleaned[[#This Row],[ID]], Table2[ID],Table2[MC2], "Not Found", 0 )</f>
        <v>0</v>
      </c>
      <c r="AA1453" s="16">
        <f>_xlfn.XLOOKUP(CustomerCombinedCleaned[[#This Row],[ID]], Table2[ID],Table2[MC3], "Not Found", 0 )</f>
        <v>0</v>
      </c>
      <c r="AB1453" s="16">
        <f>_xlfn.XLOOKUP(CustomerCombinedCleaned[[#This Row],[ID]], Table2[ID],Table2[MC4], "Not Found", 0 )</f>
        <v>0</v>
      </c>
      <c r="AC1453" s="16">
        <f>_xlfn.XLOOKUP(CustomerCombinedCleaned[[#This Row],[ID]], Table2[ID],Table2[MC5], "Not Found", 0 )</f>
        <v>0</v>
      </c>
    </row>
    <row r="1454" spans="1:29" x14ac:dyDescent="0.3">
      <c r="A1454" s="18">
        <v>1417</v>
      </c>
      <c r="B1454" s="16">
        <v>175236</v>
      </c>
      <c r="C1454" s="16">
        <v>0</v>
      </c>
      <c r="D1454" s="16">
        <v>1</v>
      </c>
      <c r="E1454" s="16">
        <v>56</v>
      </c>
      <c r="F1454" s="17" t="s">
        <v>6</v>
      </c>
      <c r="G1454" s="17" t="s">
        <v>11</v>
      </c>
      <c r="H1454" s="3" t="s">
        <v>588</v>
      </c>
      <c r="I1454" s="5" t="s">
        <v>437</v>
      </c>
      <c r="J1454" s="16">
        <f>_xlfn.XLOOKUP(CustomerCombinedCleaned[[#This Row],[ID]], Table4[ID], Table4[Recency], "Not Found", 0)</f>
        <v>27</v>
      </c>
      <c r="K1454" s="16">
        <f>_xlfn.XLOOKUP(CustomerCombinedCleaned[[#This Row],[ID]], Table4[ID], Table4[Teas], "Not Found", 0)</f>
        <v>1020</v>
      </c>
      <c r="L1454" s="16">
        <f>_xlfn.XLOOKUP(CustomerCombinedCleaned[[#This Row],[ID]], Table4[ID], Table4[Fruits], "Not Found", 0)</f>
        <v>154</v>
      </c>
      <c r="M1454" s="16">
        <f>_xlfn.XLOOKUP(CustomerCombinedCleaned[[#This Row],[ID]], Table4[ID], Table4[Meats], "Not Found", 0)</f>
        <v>932</v>
      </c>
      <c r="N1454" s="16">
        <f>_xlfn.XLOOKUP(CustomerCombinedCleaned[[#This Row],[ID]], Table4[ID], Table4[Seafood], "Not Found", 0)</f>
        <v>28</v>
      </c>
      <c r="O1454" s="16">
        <f>_xlfn.XLOOKUP(CustomerCombinedCleaned[[#This Row],[ID]], Table4[ID], Table4[Sweets], "Not Found", 0)</f>
        <v>89</v>
      </c>
      <c r="P1454" s="16">
        <f>_xlfn.XLOOKUP(CustomerCombinedCleaned[[#This Row],[ID]], Table4[ID], Table4[Premium], "Not Found", 0)</f>
        <v>266</v>
      </c>
      <c r="Q1454" s="16">
        <f>_xlfn.XLOOKUP(CustomerCombinedCleaned[[#This Row],[ID]], Table4[ID], Table4[Regular], "Not Found", 0)</f>
        <v>1956</v>
      </c>
      <c r="R1454" s="16">
        <f>_xlfn.XLOOKUP(CustomerCombinedCleaned[[#This Row],[ID]], Table4[ID], Table4[Deals], "Not Found", 0)</f>
        <v>1</v>
      </c>
      <c r="S1454" s="16">
        <f>_xlfn.XLOOKUP(CustomerCombinedCleaned[[#This Row],[ID]], Table4[ID], Table4[Website], "Not Found", 0)</f>
        <v>8</v>
      </c>
      <c r="T1454" s="16">
        <f>_xlfn.XLOOKUP(CustomerCombinedCleaned[[#This Row],[ID]], Table4[ID], Table4[Catalog], "Not Found", 0)</f>
        <v>3</v>
      </c>
      <c r="U1454" s="16">
        <f>_xlfn.XLOOKUP(CustomerCombinedCleaned[[#This Row],[ID]], Table4[ID], Table4[Store], "Not Found", 0)</f>
        <v>13</v>
      </c>
      <c r="V1454" s="16">
        <f>_xlfn.XLOOKUP(CustomerCombinedCleaned[[#This Row],[ID]], Table4[ID], Table4[Visits], "Not Found", 0)</f>
        <v>4</v>
      </c>
      <c r="W1454" s="16">
        <f>_xlfn.XLOOKUP(CustomerCombinedCleaned[[#This Row],[ID]], Table2[ID],Table2[Complaint], "Not Found", 0 )</f>
        <v>0</v>
      </c>
      <c r="X1454" s="16">
        <f>_xlfn.XLOOKUP(CustomerCombinedCleaned[[#This Row],[ID]], Table2[ID],Table2[Pilot], "Not Found", 0 )</f>
        <v>0</v>
      </c>
      <c r="Y1454" s="16">
        <f>_xlfn.XLOOKUP(CustomerCombinedCleaned[[#This Row],[ID]], Table2[ID],Table2[MC1], "Not Found", 0 )</f>
        <v>0</v>
      </c>
      <c r="Z1454" s="16">
        <f>_xlfn.XLOOKUP(CustomerCombinedCleaned[[#This Row],[ID]], Table2[ID],Table2[MC2], "Not Found", 0 )</f>
        <v>0</v>
      </c>
      <c r="AA1454" s="16">
        <f>_xlfn.XLOOKUP(CustomerCombinedCleaned[[#This Row],[ID]], Table2[ID],Table2[MC3], "Not Found", 0 )</f>
        <v>0</v>
      </c>
      <c r="AB1454" s="16">
        <f>_xlfn.XLOOKUP(CustomerCombinedCleaned[[#This Row],[ID]], Table2[ID],Table2[MC4], "Not Found", 0 )</f>
        <v>0</v>
      </c>
      <c r="AC1454" s="16">
        <f>_xlfn.XLOOKUP(CustomerCombinedCleaned[[#This Row],[ID]], Table2[ID],Table2[MC5], "Not Found", 0 )</f>
        <v>0</v>
      </c>
    </row>
    <row r="1455" spans="1:29" x14ac:dyDescent="0.3">
      <c r="A1455" s="18">
        <v>2846</v>
      </c>
      <c r="B1455" s="16">
        <v>169932</v>
      </c>
      <c r="C1455" s="16">
        <v>0</v>
      </c>
      <c r="D1455" s="16">
        <v>1</v>
      </c>
      <c r="E1455" s="16">
        <v>56</v>
      </c>
      <c r="F1455" s="17" t="s">
        <v>5</v>
      </c>
      <c r="G1455" s="17" t="s">
        <v>11</v>
      </c>
      <c r="H1455" s="3" t="s">
        <v>240</v>
      </c>
      <c r="I1455" s="5" t="s">
        <v>438</v>
      </c>
      <c r="J1455" s="16">
        <f>_xlfn.XLOOKUP(CustomerCombinedCleaned[[#This Row],[ID]], Table4[ID], Table4[Recency], "Not Found", 0)</f>
        <v>97</v>
      </c>
      <c r="K1455" s="16">
        <f>_xlfn.XLOOKUP(CustomerCombinedCleaned[[#This Row],[ID]], Table4[ID], Table4[Teas], "Not Found", 0)</f>
        <v>1001</v>
      </c>
      <c r="L1455" s="16">
        <f>_xlfn.XLOOKUP(CustomerCombinedCleaned[[#This Row],[ID]], Table4[ID], Table4[Fruits], "Not Found", 0)</f>
        <v>418</v>
      </c>
      <c r="M1455" s="16">
        <f>_xlfn.XLOOKUP(CustomerCombinedCleaned[[#This Row],[ID]], Table4[ID], Table4[Meats], "Not Found", 0)</f>
        <v>372</v>
      </c>
      <c r="N1455" s="16">
        <f>_xlfn.XLOOKUP(CustomerCombinedCleaned[[#This Row],[ID]], Table4[ID], Table4[Seafood], "Not Found", 0)</f>
        <v>364</v>
      </c>
      <c r="O1455" s="16">
        <f>_xlfn.XLOOKUP(CustomerCombinedCleaned[[#This Row],[ID]], Table4[ID], Table4[Sweets], "Not Found", 0)</f>
        <v>255</v>
      </c>
      <c r="P1455" s="16">
        <f>_xlfn.XLOOKUP(CustomerCombinedCleaned[[#This Row],[ID]], Table4[ID], Table4[Premium], "Not Found", 0)</f>
        <v>139</v>
      </c>
      <c r="Q1455" s="16">
        <f>_xlfn.XLOOKUP(CustomerCombinedCleaned[[#This Row],[ID]], Table4[ID], Table4[Regular], "Not Found", 0)</f>
        <v>2272</v>
      </c>
      <c r="R1455" s="16">
        <f>_xlfn.XLOOKUP(CustomerCombinedCleaned[[#This Row],[ID]], Table4[ID], Table4[Deals], "Not Found", 0)</f>
        <v>2</v>
      </c>
      <c r="S1455" s="16">
        <f>_xlfn.XLOOKUP(CustomerCombinedCleaned[[#This Row],[ID]], Table4[ID], Table4[Website], "Not Found", 0)</f>
        <v>7</v>
      </c>
      <c r="T1455" s="16">
        <f>_xlfn.XLOOKUP(CustomerCombinedCleaned[[#This Row],[ID]], Table4[ID], Table4[Catalog], "Not Found", 0)</f>
        <v>6</v>
      </c>
      <c r="U1455" s="16">
        <f>_xlfn.XLOOKUP(CustomerCombinedCleaned[[#This Row],[ID]], Table4[ID], Table4[Store], "Not Found", 0)</f>
        <v>11</v>
      </c>
      <c r="V1455" s="16">
        <f>_xlfn.XLOOKUP(CustomerCombinedCleaned[[#This Row],[ID]], Table4[ID], Table4[Visits], "Not Found", 0)</f>
        <v>4</v>
      </c>
      <c r="W1455" s="16">
        <f>_xlfn.XLOOKUP(CustomerCombinedCleaned[[#This Row],[ID]], Table2[ID],Table2[Complaint], "Not Found", 0 )</f>
        <v>0</v>
      </c>
      <c r="X1455" s="16">
        <f>_xlfn.XLOOKUP(CustomerCombinedCleaned[[#This Row],[ID]], Table2[ID],Table2[Pilot], "Not Found", 0 )</f>
        <v>0</v>
      </c>
      <c r="Y1455" s="16">
        <f>_xlfn.XLOOKUP(CustomerCombinedCleaned[[#This Row],[ID]], Table2[ID],Table2[MC1], "Not Found", 0 )</f>
        <v>0</v>
      </c>
      <c r="Z1455" s="16">
        <f>_xlfn.XLOOKUP(CustomerCombinedCleaned[[#This Row],[ID]], Table2[ID],Table2[MC2], "Not Found", 0 )</f>
        <v>0</v>
      </c>
      <c r="AA1455" s="16">
        <f>_xlfn.XLOOKUP(CustomerCombinedCleaned[[#This Row],[ID]], Table2[ID],Table2[MC3], "Not Found", 0 )</f>
        <v>0</v>
      </c>
      <c r="AB1455" s="16">
        <f>_xlfn.XLOOKUP(CustomerCombinedCleaned[[#This Row],[ID]], Table2[ID],Table2[MC4], "Not Found", 0 )</f>
        <v>0</v>
      </c>
      <c r="AC1455" s="16">
        <f>_xlfn.XLOOKUP(CustomerCombinedCleaned[[#This Row],[ID]], Table2[ID],Table2[MC5], "Not Found", 0 )</f>
        <v>0</v>
      </c>
    </row>
    <row r="1456" spans="1:29" x14ac:dyDescent="0.3">
      <c r="A1456" s="18">
        <v>2010</v>
      </c>
      <c r="B1456" s="16">
        <v>168316</v>
      </c>
      <c r="C1456" s="16">
        <v>0</v>
      </c>
      <c r="D1456" s="16">
        <v>1</v>
      </c>
      <c r="E1456" s="16">
        <v>56</v>
      </c>
      <c r="F1456" s="17" t="s">
        <v>8</v>
      </c>
      <c r="G1456" s="17" t="s">
        <v>11</v>
      </c>
      <c r="H1456" s="3" t="s">
        <v>678</v>
      </c>
      <c r="I1456" s="5" t="s">
        <v>436</v>
      </c>
      <c r="J1456" s="16">
        <f>_xlfn.XLOOKUP(CustomerCombinedCleaned[[#This Row],[ID]], Table4[ID], Table4[Recency], "Not Found", 0)</f>
        <v>54</v>
      </c>
      <c r="K1456" s="16">
        <f>_xlfn.XLOOKUP(CustomerCombinedCleaned[[#This Row],[ID]], Table4[ID], Table4[Teas], "Not Found", 0)</f>
        <v>1986</v>
      </c>
      <c r="L1456" s="16">
        <f>_xlfn.XLOOKUP(CustomerCombinedCleaned[[#This Row],[ID]], Table4[ID], Table4[Fruits], "Not Found", 0)</f>
        <v>197</v>
      </c>
      <c r="M1456" s="16">
        <f>_xlfn.XLOOKUP(CustomerCombinedCleaned[[#This Row],[ID]], Table4[ID], Table4[Meats], "Not Found", 0)</f>
        <v>397</v>
      </c>
      <c r="N1456" s="16">
        <f>_xlfn.XLOOKUP(CustomerCombinedCleaned[[#This Row],[ID]], Table4[ID], Table4[Seafood], "Not Found", 0)</f>
        <v>296</v>
      </c>
      <c r="O1456" s="16">
        <f>_xlfn.XLOOKUP(CustomerCombinedCleaned[[#This Row],[ID]], Table4[ID], Table4[Sweets], "Not Found", 0)</f>
        <v>27</v>
      </c>
      <c r="P1456" s="16">
        <f>_xlfn.XLOOKUP(CustomerCombinedCleaned[[#This Row],[ID]], Table4[ID], Table4[Premium], "Not Found", 0)</f>
        <v>81</v>
      </c>
      <c r="Q1456" s="16">
        <f>_xlfn.XLOOKUP(CustomerCombinedCleaned[[#This Row],[ID]], Table4[ID], Table4[Regular], "Not Found", 0)</f>
        <v>2821</v>
      </c>
      <c r="R1456" s="16">
        <f>_xlfn.XLOOKUP(CustomerCombinedCleaned[[#This Row],[ID]], Table4[ID], Table4[Deals], "Not Found", 0)</f>
        <v>5</v>
      </c>
      <c r="S1456" s="16">
        <f>_xlfn.XLOOKUP(CustomerCombinedCleaned[[#This Row],[ID]], Table4[ID], Table4[Website], "Not Found", 0)</f>
        <v>10</v>
      </c>
      <c r="T1456" s="16">
        <f>_xlfn.XLOOKUP(CustomerCombinedCleaned[[#This Row],[ID]], Table4[ID], Table4[Catalog], "Not Found", 0)</f>
        <v>7</v>
      </c>
      <c r="U1456" s="16">
        <f>_xlfn.XLOOKUP(CustomerCombinedCleaned[[#This Row],[ID]], Table4[ID], Table4[Store], "Not Found", 0)</f>
        <v>10</v>
      </c>
      <c r="V1456" s="16">
        <f>_xlfn.XLOOKUP(CustomerCombinedCleaned[[#This Row],[ID]], Table4[ID], Table4[Visits], "Not Found", 0)</f>
        <v>6</v>
      </c>
      <c r="W1456" s="16">
        <f>_xlfn.XLOOKUP(CustomerCombinedCleaned[[#This Row],[ID]], Table2[ID],Table2[Complaint], "Not Found", 0 )</f>
        <v>0</v>
      </c>
      <c r="X1456" s="16">
        <f>_xlfn.XLOOKUP(CustomerCombinedCleaned[[#This Row],[ID]], Table2[ID],Table2[Pilot], "Not Found", 0 )</f>
        <v>0</v>
      </c>
      <c r="Y1456" s="16">
        <f>_xlfn.XLOOKUP(CustomerCombinedCleaned[[#This Row],[ID]], Table2[ID],Table2[MC1], "Not Found", 0 )</f>
        <v>0</v>
      </c>
      <c r="Z1456" s="16">
        <f>_xlfn.XLOOKUP(CustomerCombinedCleaned[[#This Row],[ID]], Table2[ID],Table2[MC2], "Not Found", 0 )</f>
        <v>0</v>
      </c>
      <c r="AA1456" s="16">
        <f>_xlfn.XLOOKUP(CustomerCombinedCleaned[[#This Row],[ID]], Table2[ID],Table2[MC3], "Not Found", 0 )</f>
        <v>0</v>
      </c>
      <c r="AB1456" s="16">
        <f>_xlfn.XLOOKUP(CustomerCombinedCleaned[[#This Row],[ID]], Table2[ID],Table2[MC4], "Not Found", 0 )</f>
        <v>0</v>
      </c>
      <c r="AC1456" s="16">
        <f>_xlfn.XLOOKUP(CustomerCombinedCleaned[[#This Row],[ID]], Table2[ID],Table2[MC5], "Not Found", 0 )</f>
        <v>0</v>
      </c>
    </row>
    <row r="1457" spans="1:29" x14ac:dyDescent="0.3">
      <c r="A1457" s="18">
        <v>2132</v>
      </c>
      <c r="B1457" s="16">
        <v>168142</v>
      </c>
      <c r="C1457" s="16">
        <v>0</v>
      </c>
      <c r="D1457" s="16">
        <v>1</v>
      </c>
      <c r="E1457" s="16">
        <v>56</v>
      </c>
      <c r="F1457" s="17" t="s">
        <v>8</v>
      </c>
      <c r="G1457" s="17" t="s">
        <v>11</v>
      </c>
      <c r="H1457" s="3" t="s">
        <v>610</v>
      </c>
      <c r="I1457" s="5" t="s">
        <v>438</v>
      </c>
      <c r="J1457" s="16">
        <f>_xlfn.XLOOKUP(CustomerCombinedCleaned[[#This Row],[ID]], Table4[ID], Table4[Recency], "Not Found", 0)</f>
        <v>96</v>
      </c>
      <c r="K1457" s="16">
        <f>_xlfn.XLOOKUP(CustomerCombinedCleaned[[#This Row],[ID]], Table4[ID], Table4[Teas], "Not Found", 0)</f>
        <v>2213</v>
      </c>
      <c r="L1457" s="16">
        <f>_xlfn.XLOOKUP(CustomerCombinedCleaned[[#This Row],[ID]], Table4[ID], Table4[Fruits], "Not Found", 0)</f>
        <v>311</v>
      </c>
      <c r="M1457" s="16">
        <f>_xlfn.XLOOKUP(CustomerCombinedCleaned[[#This Row],[ID]], Table4[ID], Table4[Meats], "Not Found", 0)</f>
        <v>484</v>
      </c>
      <c r="N1457" s="16">
        <f>_xlfn.XLOOKUP(CustomerCombinedCleaned[[#This Row],[ID]], Table4[ID], Table4[Seafood], "Not Found", 0)</f>
        <v>225</v>
      </c>
      <c r="O1457" s="16">
        <f>_xlfn.XLOOKUP(CustomerCombinedCleaned[[#This Row],[ID]], Table4[ID], Table4[Sweets], "Not Found", 0)</f>
        <v>276</v>
      </c>
      <c r="P1457" s="16">
        <f>_xlfn.XLOOKUP(CustomerCombinedCleaned[[#This Row],[ID]], Table4[ID], Table4[Premium], "Not Found", 0)</f>
        <v>91</v>
      </c>
      <c r="Q1457" s="16">
        <f>_xlfn.XLOOKUP(CustomerCombinedCleaned[[#This Row],[ID]], Table4[ID], Table4[Regular], "Not Found", 0)</f>
        <v>3418</v>
      </c>
      <c r="R1457" s="16">
        <f>_xlfn.XLOOKUP(CustomerCombinedCleaned[[#This Row],[ID]], Table4[ID], Table4[Deals], "Not Found", 0)</f>
        <v>3</v>
      </c>
      <c r="S1457" s="16">
        <f>_xlfn.XLOOKUP(CustomerCombinedCleaned[[#This Row],[ID]], Table4[ID], Table4[Website], "Not Found", 0)</f>
        <v>10</v>
      </c>
      <c r="T1457" s="16">
        <f>_xlfn.XLOOKUP(CustomerCombinedCleaned[[#This Row],[ID]], Table4[ID], Table4[Catalog], "Not Found", 0)</f>
        <v>4</v>
      </c>
      <c r="U1457" s="16">
        <f>_xlfn.XLOOKUP(CustomerCombinedCleaned[[#This Row],[ID]], Table4[ID], Table4[Store], "Not Found", 0)</f>
        <v>7</v>
      </c>
      <c r="V1457" s="16">
        <f>_xlfn.XLOOKUP(CustomerCombinedCleaned[[#This Row],[ID]], Table4[ID], Table4[Visits], "Not Found", 0)</f>
        <v>6</v>
      </c>
      <c r="W1457" s="16">
        <f>_xlfn.XLOOKUP(CustomerCombinedCleaned[[#This Row],[ID]], Table2[ID],Table2[Complaint], "Not Found", 0 )</f>
        <v>0</v>
      </c>
      <c r="X1457" s="16">
        <f>_xlfn.XLOOKUP(CustomerCombinedCleaned[[#This Row],[ID]], Table2[ID],Table2[Pilot], "Not Found", 0 )</f>
        <v>0</v>
      </c>
      <c r="Y1457" s="16">
        <f>_xlfn.XLOOKUP(CustomerCombinedCleaned[[#This Row],[ID]], Table2[ID],Table2[MC1], "Not Found", 0 )</f>
        <v>0</v>
      </c>
      <c r="Z1457" s="16">
        <f>_xlfn.XLOOKUP(CustomerCombinedCleaned[[#This Row],[ID]], Table2[ID],Table2[MC2], "Not Found", 0 )</f>
        <v>0</v>
      </c>
      <c r="AA1457" s="16">
        <f>_xlfn.XLOOKUP(CustomerCombinedCleaned[[#This Row],[ID]], Table2[ID],Table2[MC3], "Not Found", 0 )</f>
        <v>0</v>
      </c>
      <c r="AB1457" s="16">
        <f>_xlfn.XLOOKUP(CustomerCombinedCleaned[[#This Row],[ID]], Table2[ID],Table2[MC4], "Not Found", 0 )</f>
        <v>0</v>
      </c>
      <c r="AC1457" s="16">
        <f>_xlfn.XLOOKUP(CustomerCombinedCleaned[[#This Row],[ID]], Table2[ID],Table2[MC5], "Not Found", 0 )</f>
        <v>0</v>
      </c>
    </row>
    <row r="1458" spans="1:29" x14ac:dyDescent="0.3">
      <c r="A1458" s="18">
        <v>2045</v>
      </c>
      <c r="B1458" s="16">
        <v>165526</v>
      </c>
      <c r="C1458" s="16">
        <v>0</v>
      </c>
      <c r="D1458" s="16">
        <v>1</v>
      </c>
      <c r="E1458" s="16">
        <v>56</v>
      </c>
      <c r="F1458" s="17" t="s">
        <v>6</v>
      </c>
      <c r="G1458" s="17" t="s">
        <v>13</v>
      </c>
      <c r="H1458" s="3" t="s">
        <v>71</v>
      </c>
      <c r="I1458" s="5" t="s">
        <v>434</v>
      </c>
      <c r="J1458" s="16">
        <f>_xlfn.XLOOKUP(CustomerCombinedCleaned[[#This Row],[ID]], Table4[ID], Table4[Recency], "Not Found", 0)</f>
        <v>22</v>
      </c>
      <c r="K1458" s="16">
        <f>_xlfn.XLOOKUP(CustomerCombinedCleaned[[#This Row],[ID]], Table4[ID], Table4[Teas], "Not Found", 0)</f>
        <v>1003</v>
      </c>
      <c r="L1458" s="16">
        <f>_xlfn.XLOOKUP(CustomerCombinedCleaned[[#This Row],[ID]], Table4[ID], Table4[Fruits], "Not Found", 0)</f>
        <v>48</v>
      </c>
      <c r="M1458" s="16">
        <f>_xlfn.XLOOKUP(CustomerCombinedCleaned[[#This Row],[ID]], Table4[ID], Table4[Meats], "Not Found", 0)</f>
        <v>174</v>
      </c>
      <c r="N1458" s="16">
        <f>_xlfn.XLOOKUP(CustomerCombinedCleaned[[#This Row],[ID]], Table4[ID], Table4[Seafood], "Not Found", 0)</f>
        <v>30</v>
      </c>
      <c r="O1458" s="16">
        <f>_xlfn.XLOOKUP(CustomerCombinedCleaned[[#This Row],[ID]], Table4[ID], Table4[Sweets], "Not Found", 0)</f>
        <v>0</v>
      </c>
      <c r="P1458" s="16">
        <f>_xlfn.XLOOKUP(CustomerCombinedCleaned[[#This Row],[ID]], Table4[ID], Table4[Premium], "Not Found", 0)</f>
        <v>23</v>
      </c>
      <c r="Q1458" s="16">
        <f>_xlfn.XLOOKUP(CustomerCombinedCleaned[[#This Row],[ID]], Table4[ID], Table4[Regular], "Not Found", 0)</f>
        <v>1233</v>
      </c>
      <c r="R1458" s="16">
        <f>_xlfn.XLOOKUP(CustomerCombinedCleaned[[#This Row],[ID]], Table4[ID], Table4[Deals], "Not Found", 0)</f>
        <v>1</v>
      </c>
      <c r="S1458" s="16">
        <f>_xlfn.XLOOKUP(CustomerCombinedCleaned[[#This Row],[ID]], Table4[ID], Table4[Website], "Not Found", 0)</f>
        <v>4</v>
      </c>
      <c r="T1458" s="16">
        <f>_xlfn.XLOOKUP(CustomerCombinedCleaned[[#This Row],[ID]], Table4[ID], Table4[Catalog], "Not Found", 0)</f>
        <v>4</v>
      </c>
      <c r="U1458" s="16">
        <f>_xlfn.XLOOKUP(CustomerCombinedCleaned[[#This Row],[ID]], Table4[ID], Table4[Store], "Not Found", 0)</f>
        <v>8</v>
      </c>
      <c r="V1458" s="16">
        <f>_xlfn.XLOOKUP(CustomerCombinedCleaned[[#This Row],[ID]], Table4[ID], Table4[Visits], "Not Found", 0)</f>
        <v>2</v>
      </c>
      <c r="W1458" s="16">
        <f>_xlfn.XLOOKUP(CustomerCombinedCleaned[[#This Row],[ID]], Table2[ID],Table2[Complaint], "Not Found", 0 )</f>
        <v>0</v>
      </c>
      <c r="X1458" s="16">
        <f>_xlfn.XLOOKUP(CustomerCombinedCleaned[[#This Row],[ID]], Table2[ID],Table2[Pilot], "Not Found", 0 )</f>
        <v>0</v>
      </c>
      <c r="Y1458" s="16">
        <f>_xlfn.XLOOKUP(CustomerCombinedCleaned[[#This Row],[ID]], Table2[ID],Table2[MC1], "Not Found", 0 )</f>
        <v>0</v>
      </c>
      <c r="Z1458" s="16">
        <f>_xlfn.XLOOKUP(CustomerCombinedCleaned[[#This Row],[ID]], Table2[ID],Table2[MC2], "Not Found", 0 )</f>
        <v>0</v>
      </c>
      <c r="AA1458" s="16">
        <f>_xlfn.XLOOKUP(CustomerCombinedCleaned[[#This Row],[ID]], Table2[ID],Table2[MC3], "Not Found", 0 )</f>
        <v>0</v>
      </c>
      <c r="AB1458" s="16">
        <f>_xlfn.XLOOKUP(CustomerCombinedCleaned[[#This Row],[ID]], Table2[ID],Table2[MC4], "Not Found", 0 )</f>
        <v>0</v>
      </c>
      <c r="AC1458" s="16">
        <f>_xlfn.XLOOKUP(CustomerCombinedCleaned[[#This Row],[ID]], Table2[ID],Table2[MC5], "Not Found", 0 )</f>
        <v>0</v>
      </c>
    </row>
    <row r="1459" spans="1:29" x14ac:dyDescent="0.3">
      <c r="A1459" s="18">
        <v>2585</v>
      </c>
      <c r="B1459" s="16">
        <v>165526</v>
      </c>
      <c r="C1459" s="16">
        <v>0</v>
      </c>
      <c r="D1459" s="16">
        <v>1</v>
      </c>
      <c r="E1459" s="16">
        <v>56</v>
      </c>
      <c r="F1459" s="17" t="s">
        <v>6</v>
      </c>
      <c r="G1459" s="17" t="s">
        <v>13</v>
      </c>
      <c r="H1459" s="3" t="s">
        <v>71</v>
      </c>
      <c r="I1459" s="5" t="s">
        <v>434</v>
      </c>
      <c r="J1459" s="16">
        <f>_xlfn.XLOOKUP(CustomerCombinedCleaned[[#This Row],[ID]], Table4[ID], Table4[Recency], "Not Found", 0)</f>
        <v>22</v>
      </c>
      <c r="K1459" s="16">
        <f>_xlfn.XLOOKUP(CustomerCombinedCleaned[[#This Row],[ID]], Table4[ID], Table4[Teas], "Not Found", 0)</f>
        <v>1003</v>
      </c>
      <c r="L1459" s="16">
        <f>_xlfn.XLOOKUP(CustomerCombinedCleaned[[#This Row],[ID]], Table4[ID], Table4[Fruits], "Not Found", 0)</f>
        <v>48</v>
      </c>
      <c r="M1459" s="16">
        <f>_xlfn.XLOOKUP(CustomerCombinedCleaned[[#This Row],[ID]], Table4[ID], Table4[Meats], "Not Found", 0)</f>
        <v>174</v>
      </c>
      <c r="N1459" s="16">
        <f>_xlfn.XLOOKUP(CustomerCombinedCleaned[[#This Row],[ID]], Table4[ID], Table4[Seafood], "Not Found", 0)</f>
        <v>30</v>
      </c>
      <c r="O1459" s="16">
        <f>_xlfn.XLOOKUP(CustomerCombinedCleaned[[#This Row],[ID]], Table4[ID], Table4[Sweets], "Not Found", 0)</f>
        <v>0</v>
      </c>
      <c r="P1459" s="16">
        <f>_xlfn.XLOOKUP(CustomerCombinedCleaned[[#This Row],[ID]], Table4[ID], Table4[Premium], "Not Found", 0)</f>
        <v>23</v>
      </c>
      <c r="Q1459" s="16">
        <f>_xlfn.XLOOKUP(CustomerCombinedCleaned[[#This Row],[ID]], Table4[ID], Table4[Regular], "Not Found", 0)</f>
        <v>1233</v>
      </c>
      <c r="R1459" s="16">
        <f>_xlfn.XLOOKUP(CustomerCombinedCleaned[[#This Row],[ID]], Table4[ID], Table4[Deals], "Not Found", 0)</f>
        <v>1</v>
      </c>
      <c r="S1459" s="16">
        <f>_xlfn.XLOOKUP(CustomerCombinedCleaned[[#This Row],[ID]], Table4[ID], Table4[Website], "Not Found", 0)</f>
        <v>4</v>
      </c>
      <c r="T1459" s="16">
        <f>_xlfn.XLOOKUP(CustomerCombinedCleaned[[#This Row],[ID]], Table4[ID], Table4[Catalog], "Not Found", 0)</f>
        <v>4</v>
      </c>
      <c r="U1459" s="16">
        <f>_xlfn.XLOOKUP(CustomerCombinedCleaned[[#This Row],[ID]], Table4[ID], Table4[Store], "Not Found", 0)</f>
        <v>8</v>
      </c>
      <c r="V1459" s="16">
        <f>_xlfn.XLOOKUP(CustomerCombinedCleaned[[#This Row],[ID]], Table4[ID], Table4[Visits], "Not Found", 0)</f>
        <v>2</v>
      </c>
      <c r="W1459" s="16">
        <f>_xlfn.XLOOKUP(CustomerCombinedCleaned[[#This Row],[ID]], Table2[ID],Table2[Complaint], "Not Found", 0 )</f>
        <v>0</v>
      </c>
      <c r="X1459" s="16">
        <f>_xlfn.XLOOKUP(CustomerCombinedCleaned[[#This Row],[ID]], Table2[ID],Table2[Pilot], "Not Found", 0 )</f>
        <v>0</v>
      </c>
      <c r="Y1459" s="16">
        <f>_xlfn.XLOOKUP(CustomerCombinedCleaned[[#This Row],[ID]], Table2[ID],Table2[MC1], "Not Found", 0 )</f>
        <v>0</v>
      </c>
      <c r="Z1459" s="16">
        <f>_xlfn.XLOOKUP(CustomerCombinedCleaned[[#This Row],[ID]], Table2[ID],Table2[MC2], "Not Found", 0 )</f>
        <v>0</v>
      </c>
      <c r="AA1459" s="16">
        <f>_xlfn.XLOOKUP(CustomerCombinedCleaned[[#This Row],[ID]], Table2[ID],Table2[MC3], "Not Found", 0 )</f>
        <v>0</v>
      </c>
      <c r="AB1459" s="16">
        <f>_xlfn.XLOOKUP(CustomerCombinedCleaned[[#This Row],[ID]], Table2[ID],Table2[MC4], "Not Found", 0 )</f>
        <v>0</v>
      </c>
      <c r="AC1459" s="16">
        <f>_xlfn.XLOOKUP(CustomerCombinedCleaned[[#This Row],[ID]], Table2[ID],Table2[MC5], "Not Found", 0 )</f>
        <v>0</v>
      </c>
    </row>
    <row r="1460" spans="1:29" x14ac:dyDescent="0.3">
      <c r="A1460" s="18">
        <v>2617</v>
      </c>
      <c r="B1460" s="16">
        <v>164140</v>
      </c>
      <c r="C1460" s="16">
        <v>0</v>
      </c>
      <c r="D1460" s="16">
        <v>2</v>
      </c>
      <c r="E1460" s="16">
        <v>56</v>
      </c>
      <c r="F1460" s="17" t="s">
        <v>5</v>
      </c>
      <c r="G1460" s="17" t="s">
        <v>13</v>
      </c>
      <c r="H1460" s="3" t="s">
        <v>176</v>
      </c>
      <c r="I1460" s="5" t="s">
        <v>437</v>
      </c>
      <c r="J1460" s="16">
        <f>_xlfn.XLOOKUP(CustomerCombinedCleaned[[#This Row],[ID]], Table4[ID], Table4[Recency], "Not Found", 0)</f>
        <v>71</v>
      </c>
      <c r="K1460" s="16">
        <f>_xlfn.XLOOKUP(CustomerCombinedCleaned[[#This Row],[ID]], Table4[ID], Table4[Teas], "Not Found", 0)</f>
        <v>3734</v>
      </c>
      <c r="L1460" s="16">
        <f>_xlfn.XLOOKUP(CustomerCombinedCleaned[[#This Row],[ID]], Table4[ID], Table4[Fruits], "Not Found", 0)</f>
        <v>0</v>
      </c>
      <c r="M1460" s="16">
        <f>_xlfn.XLOOKUP(CustomerCombinedCleaned[[#This Row],[ID]], Table4[ID], Table4[Meats], "Not Found", 0)</f>
        <v>156</v>
      </c>
      <c r="N1460" s="16">
        <f>_xlfn.XLOOKUP(CustomerCombinedCleaned[[#This Row],[ID]], Table4[ID], Table4[Seafood], "Not Found", 0)</f>
        <v>0</v>
      </c>
      <c r="O1460" s="16">
        <f>_xlfn.XLOOKUP(CustomerCombinedCleaned[[#This Row],[ID]], Table4[ID], Table4[Sweets], "Not Found", 0)</f>
        <v>38</v>
      </c>
      <c r="P1460" s="16">
        <f>_xlfn.XLOOKUP(CustomerCombinedCleaned[[#This Row],[ID]], Table4[ID], Table4[Premium], "Not Found", 0)</f>
        <v>550</v>
      </c>
      <c r="Q1460" s="16">
        <f>_xlfn.XLOOKUP(CustomerCombinedCleaned[[#This Row],[ID]], Table4[ID], Table4[Regular], "Not Found", 0)</f>
        <v>3378</v>
      </c>
      <c r="R1460" s="16">
        <f>_xlfn.XLOOKUP(CustomerCombinedCleaned[[#This Row],[ID]], Table4[ID], Table4[Deals], "Not Found", 0)</f>
        <v>5</v>
      </c>
      <c r="S1460" s="16">
        <f>_xlfn.XLOOKUP(CustomerCombinedCleaned[[#This Row],[ID]], Table4[ID], Table4[Website], "Not Found", 0)</f>
        <v>2</v>
      </c>
      <c r="T1460" s="16">
        <f>_xlfn.XLOOKUP(CustomerCombinedCleaned[[#This Row],[ID]], Table4[ID], Table4[Catalog], "Not Found", 0)</f>
        <v>5</v>
      </c>
      <c r="U1460" s="16">
        <f>_xlfn.XLOOKUP(CustomerCombinedCleaned[[#This Row],[ID]], Table4[ID], Table4[Store], "Not Found", 0)</f>
        <v>6</v>
      </c>
      <c r="V1460" s="16">
        <f>_xlfn.XLOOKUP(CustomerCombinedCleaned[[#This Row],[ID]], Table4[ID], Table4[Visits], "Not Found", 0)</f>
        <v>5</v>
      </c>
      <c r="W1460" s="16">
        <f>_xlfn.XLOOKUP(CustomerCombinedCleaned[[#This Row],[ID]], Table2[ID],Table2[Complaint], "Not Found", 0 )</f>
        <v>0</v>
      </c>
      <c r="X1460" s="16">
        <f>_xlfn.XLOOKUP(CustomerCombinedCleaned[[#This Row],[ID]], Table2[ID],Table2[Pilot], "Not Found", 0 )</f>
        <v>1</v>
      </c>
      <c r="Y1460" s="16">
        <f>_xlfn.XLOOKUP(CustomerCombinedCleaned[[#This Row],[ID]], Table2[ID],Table2[MC1], "Not Found", 0 )</f>
        <v>0</v>
      </c>
      <c r="Z1460" s="16">
        <f>_xlfn.XLOOKUP(CustomerCombinedCleaned[[#This Row],[ID]], Table2[ID],Table2[MC2], "Not Found", 0 )</f>
        <v>1</v>
      </c>
      <c r="AA1460" s="16">
        <f>_xlfn.XLOOKUP(CustomerCombinedCleaned[[#This Row],[ID]], Table2[ID],Table2[MC3], "Not Found", 0 )</f>
        <v>1</v>
      </c>
      <c r="AB1460" s="16">
        <f>_xlfn.XLOOKUP(CustomerCombinedCleaned[[#This Row],[ID]], Table2[ID],Table2[MC4], "Not Found", 0 )</f>
        <v>0</v>
      </c>
      <c r="AC1460" s="16">
        <f>_xlfn.XLOOKUP(CustomerCombinedCleaned[[#This Row],[ID]], Table2[ID],Table2[MC5], "Not Found", 0 )</f>
        <v>1</v>
      </c>
    </row>
    <row r="1461" spans="1:29" x14ac:dyDescent="0.3">
      <c r="A1461" s="18">
        <v>1295</v>
      </c>
      <c r="B1461" s="16">
        <v>164100</v>
      </c>
      <c r="C1461" s="16">
        <v>0</v>
      </c>
      <c r="D1461" s="16">
        <v>1</v>
      </c>
      <c r="E1461" s="16">
        <v>56</v>
      </c>
      <c r="F1461" s="17" t="s">
        <v>6</v>
      </c>
      <c r="G1461" s="17" t="s">
        <v>12</v>
      </c>
      <c r="H1461" s="3" t="s">
        <v>189</v>
      </c>
      <c r="I1461" s="5" t="s">
        <v>434</v>
      </c>
      <c r="J1461" s="16">
        <f>_xlfn.XLOOKUP(CustomerCombinedCleaned[[#This Row],[ID]], Table4[ID], Table4[Recency], "Not Found", 0)</f>
        <v>93</v>
      </c>
      <c r="K1461" s="16">
        <f>_xlfn.XLOOKUP(CustomerCombinedCleaned[[#This Row],[ID]], Table4[ID], Table4[Teas], "Not Found", 0)</f>
        <v>1303</v>
      </c>
      <c r="L1461" s="16">
        <f>_xlfn.XLOOKUP(CustomerCombinedCleaned[[#This Row],[ID]], Table4[ID], Table4[Fruits], "Not Found", 0)</f>
        <v>0</v>
      </c>
      <c r="M1461" s="16">
        <f>_xlfn.XLOOKUP(CustomerCombinedCleaned[[#This Row],[ID]], Table4[ID], Table4[Meats], "Not Found", 0)</f>
        <v>69</v>
      </c>
      <c r="N1461" s="16">
        <f>_xlfn.XLOOKUP(CustomerCombinedCleaned[[#This Row],[ID]], Table4[ID], Table4[Seafood], "Not Found", 0)</f>
        <v>0</v>
      </c>
      <c r="O1461" s="16">
        <f>_xlfn.XLOOKUP(CustomerCombinedCleaned[[#This Row],[ID]], Table4[ID], Table4[Sweets], "Not Found", 0)</f>
        <v>0</v>
      </c>
      <c r="P1461" s="16">
        <f>_xlfn.XLOOKUP(CustomerCombinedCleaned[[#This Row],[ID]], Table4[ID], Table4[Premium], "Not Found", 0)</f>
        <v>26</v>
      </c>
      <c r="Q1461" s="16">
        <f>_xlfn.XLOOKUP(CustomerCombinedCleaned[[#This Row],[ID]], Table4[ID], Table4[Regular], "Not Found", 0)</f>
        <v>1347</v>
      </c>
      <c r="R1461" s="16">
        <f>_xlfn.XLOOKUP(CustomerCombinedCleaned[[#This Row],[ID]], Table4[ID], Table4[Deals], "Not Found", 0)</f>
        <v>1</v>
      </c>
      <c r="S1461" s="16">
        <f>_xlfn.XLOOKUP(CustomerCombinedCleaned[[#This Row],[ID]], Table4[ID], Table4[Website], "Not Found", 0)</f>
        <v>8</v>
      </c>
      <c r="T1461" s="16">
        <f>_xlfn.XLOOKUP(CustomerCombinedCleaned[[#This Row],[ID]], Table4[ID], Table4[Catalog], "Not Found", 0)</f>
        <v>3</v>
      </c>
      <c r="U1461" s="16">
        <f>_xlfn.XLOOKUP(CustomerCombinedCleaned[[#This Row],[ID]], Table4[ID], Table4[Store], "Not Found", 0)</f>
        <v>6</v>
      </c>
      <c r="V1461" s="16">
        <f>_xlfn.XLOOKUP(CustomerCombinedCleaned[[#This Row],[ID]], Table4[ID], Table4[Visits], "Not Found", 0)</f>
        <v>7</v>
      </c>
      <c r="W1461" s="16">
        <f>_xlfn.XLOOKUP(CustomerCombinedCleaned[[#This Row],[ID]], Table2[ID],Table2[Complaint], "Not Found", 0 )</f>
        <v>0</v>
      </c>
      <c r="X1461" s="16">
        <f>_xlfn.XLOOKUP(CustomerCombinedCleaned[[#This Row],[ID]], Table2[ID],Table2[Pilot], "Not Found", 0 )</f>
        <v>0</v>
      </c>
      <c r="Y1461" s="16">
        <f>_xlfn.XLOOKUP(CustomerCombinedCleaned[[#This Row],[ID]], Table2[ID],Table2[MC1], "Not Found", 0 )</f>
        <v>0</v>
      </c>
      <c r="Z1461" s="16">
        <f>_xlfn.XLOOKUP(CustomerCombinedCleaned[[#This Row],[ID]], Table2[ID],Table2[MC2], "Not Found", 0 )</f>
        <v>0</v>
      </c>
      <c r="AA1461" s="16">
        <f>_xlfn.XLOOKUP(CustomerCombinedCleaned[[#This Row],[ID]], Table2[ID],Table2[MC3], "Not Found", 0 )</f>
        <v>0</v>
      </c>
      <c r="AB1461" s="16">
        <f>_xlfn.XLOOKUP(CustomerCombinedCleaned[[#This Row],[ID]], Table2[ID],Table2[MC4], "Not Found", 0 )</f>
        <v>1</v>
      </c>
      <c r="AC1461" s="16">
        <f>_xlfn.XLOOKUP(CustomerCombinedCleaned[[#This Row],[ID]], Table2[ID],Table2[MC5], "Not Found", 0 )</f>
        <v>0</v>
      </c>
    </row>
    <row r="1462" spans="1:29" x14ac:dyDescent="0.3">
      <c r="A1462" s="18">
        <v>2542</v>
      </c>
      <c r="B1462" s="16">
        <v>163972</v>
      </c>
      <c r="C1462" s="16">
        <v>0</v>
      </c>
      <c r="D1462" s="16">
        <v>1</v>
      </c>
      <c r="E1462" s="16">
        <v>56</v>
      </c>
      <c r="F1462" s="17" t="s">
        <v>7</v>
      </c>
      <c r="G1462" s="17" t="s">
        <v>12</v>
      </c>
      <c r="H1462" s="3" t="s">
        <v>702</v>
      </c>
      <c r="I1462" s="5" t="s">
        <v>439</v>
      </c>
      <c r="J1462" s="16">
        <f>_xlfn.XLOOKUP(CustomerCombinedCleaned[[#This Row],[ID]], Table4[ID], Table4[Recency], "Not Found", 0)</f>
        <v>93</v>
      </c>
      <c r="K1462" s="16">
        <f>_xlfn.XLOOKUP(CustomerCombinedCleaned[[#This Row],[ID]], Table4[ID], Table4[Teas], "Not Found", 0)</f>
        <v>2379</v>
      </c>
      <c r="L1462" s="16">
        <f>_xlfn.XLOOKUP(CustomerCombinedCleaned[[#This Row],[ID]], Table4[ID], Table4[Fruits], "Not Found", 0)</f>
        <v>161</v>
      </c>
      <c r="M1462" s="16">
        <f>_xlfn.XLOOKUP(CustomerCombinedCleaned[[#This Row],[ID]], Table4[ID], Table4[Meats], "Not Found", 0)</f>
        <v>651</v>
      </c>
      <c r="N1462" s="16">
        <f>_xlfn.XLOOKUP(CustomerCombinedCleaned[[#This Row],[ID]], Table4[ID], Table4[Seafood], "Not Found", 0)</f>
        <v>0</v>
      </c>
      <c r="O1462" s="16">
        <f>_xlfn.XLOOKUP(CustomerCombinedCleaned[[#This Row],[ID]], Table4[ID], Table4[Sweets], "Not Found", 0)</f>
        <v>31</v>
      </c>
      <c r="P1462" s="16">
        <f>_xlfn.XLOOKUP(CustomerCombinedCleaned[[#This Row],[ID]], Table4[ID], Table4[Premium], "Not Found", 0)</f>
        <v>31</v>
      </c>
      <c r="Q1462" s="16">
        <f>_xlfn.XLOOKUP(CustomerCombinedCleaned[[#This Row],[ID]], Table4[ID], Table4[Regular], "Not Found", 0)</f>
        <v>3191</v>
      </c>
      <c r="R1462" s="16">
        <f>_xlfn.XLOOKUP(CustomerCombinedCleaned[[#This Row],[ID]], Table4[ID], Table4[Deals], "Not Found", 0)</f>
        <v>4</v>
      </c>
      <c r="S1462" s="16">
        <f>_xlfn.XLOOKUP(CustomerCombinedCleaned[[#This Row],[ID]], Table4[ID], Table4[Website], "Not Found", 0)</f>
        <v>5</v>
      </c>
      <c r="T1462" s="16">
        <f>_xlfn.XLOOKUP(CustomerCombinedCleaned[[#This Row],[ID]], Table4[ID], Table4[Catalog], "Not Found", 0)</f>
        <v>4</v>
      </c>
      <c r="U1462" s="16">
        <f>_xlfn.XLOOKUP(CustomerCombinedCleaned[[#This Row],[ID]], Table4[ID], Table4[Store], "Not Found", 0)</f>
        <v>10</v>
      </c>
      <c r="V1462" s="16">
        <f>_xlfn.XLOOKUP(CustomerCombinedCleaned[[#This Row],[ID]], Table4[ID], Table4[Visits], "Not Found", 0)</f>
        <v>4</v>
      </c>
      <c r="W1462" s="16">
        <f>_xlfn.XLOOKUP(CustomerCombinedCleaned[[#This Row],[ID]], Table2[ID],Table2[Complaint], "Not Found", 0 )</f>
        <v>0</v>
      </c>
      <c r="X1462" s="16">
        <f>_xlfn.XLOOKUP(CustomerCombinedCleaned[[#This Row],[ID]], Table2[ID],Table2[Pilot], "Not Found", 0 )</f>
        <v>0</v>
      </c>
      <c r="Y1462" s="16">
        <f>_xlfn.XLOOKUP(CustomerCombinedCleaned[[#This Row],[ID]], Table2[ID],Table2[MC1], "Not Found", 0 )</f>
        <v>0</v>
      </c>
      <c r="Z1462" s="16">
        <f>_xlfn.XLOOKUP(CustomerCombinedCleaned[[#This Row],[ID]], Table2[ID],Table2[MC2], "Not Found", 0 )</f>
        <v>0</v>
      </c>
      <c r="AA1462" s="16">
        <f>_xlfn.XLOOKUP(CustomerCombinedCleaned[[#This Row],[ID]], Table2[ID],Table2[MC3], "Not Found", 0 )</f>
        <v>0</v>
      </c>
      <c r="AB1462" s="16">
        <f>_xlfn.XLOOKUP(CustomerCombinedCleaned[[#This Row],[ID]], Table2[ID],Table2[MC4], "Not Found", 0 )</f>
        <v>1</v>
      </c>
      <c r="AC1462" s="16">
        <f>_xlfn.XLOOKUP(CustomerCombinedCleaned[[#This Row],[ID]], Table2[ID],Table2[MC5], "Not Found", 0 )</f>
        <v>0</v>
      </c>
    </row>
    <row r="1463" spans="1:29" x14ac:dyDescent="0.3">
      <c r="A1463" s="18">
        <v>2773</v>
      </c>
      <c r="B1463" s="16">
        <v>163404</v>
      </c>
      <c r="C1463" s="16">
        <v>0</v>
      </c>
      <c r="D1463" s="16">
        <v>2</v>
      </c>
      <c r="E1463" s="16">
        <v>56</v>
      </c>
      <c r="F1463" s="17" t="s">
        <v>8</v>
      </c>
      <c r="G1463" s="17" t="s">
        <v>11</v>
      </c>
      <c r="H1463" s="3" t="s">
        <v>708</v>
      </c>
      <c r="I1463" s="5" t="s">
        <v>437</v>
      </c>
      <c r="J1463" s="16">
        <f>_xlfn.XLOOKUP(CustomerCombinedCleaned[[#This Row],[ID]], Table4[ID], Table4[Recency], "Not Found", 0)</f>
        <v>97</v>
      </c>
      <c r="K1463" s="16">
        <f>_xlfn.XLOOKUP(CustomerCombinedCleaned[[#This Row],[ID]], Table4[ID], Table4[Teas], "Not Found", 0)</f>
        <v>1892</v>
      </c>
      <c r="L1463" s="16">
        <f>_xlfn.XLOOKUP(CustomerCombinedCleaned[[#This Row],[ID]], Table4[ID], Table4[Fruits], "Not Found", 0)</f>
        <v>67</v>
      </c>
      <c r="M1463" s="16">
        <f>_xlfn.XLOOKUP(CustomerCombinedCleaned[[#This Row],[ID]], Table4[ID], Table4[Meats], "Not Found", 0)</f>
        <v>180</v>
      </c>
      <c r="N1463" s="16">
        <f>_xlfn.XLOOKUP(CustomerCombinedCleaned[[#This Row],[ID]], Table4[ID], Table4[Seafood], "Not Found", 0)</f>
        <v>28</v>
      </c>
      <c r="O1463" s="16">
        <f>_xlfn.XLOOKUP(CustomerCombinedCleaned[[#This Row],[ID]], Table4[ID], Table4[Sweets], "Not Found", 0)</f>
        <v>113</v>
      </c>
      <c r="P1463" s="16">
        <f>_xlfn.XLOOKUP(CustomerCombinedCleaned[[#This Row],[ID]], Table4[ID], Table4[Premium], "Not Found", 0)</f>
        <v>44</v>
      </c>
      <c r="Q1463" s="16">
        <f>_xlfn.XLOOKUP(CustomerCombinedCleaned[[#This Row],[ID]], Table4[ID], Table4[Regular], "Not Found", 0)</f>
        <v>2237</v>
      </c>
      <c r="R1463" s="16">
        <f>_xlfn.XLOOKUP(CustomerCombinedCleaned[[#This Row],[ID]], Table4[ID], Table4[Deals], "Not Found", 0)</f>
        <v>2</v>
      </c>
      <c r="S1463" s="16">
        <f>_xlfn.XLOOKUP(CustomerCombinedCleaned[[#This Row],[ID]], Table4[ID], Table4[Website], "Not Found", 0)</f>
        <v>6</v>
      </c>
      <c r="T1463" s="16">
        <f>_xlfn.XLOOKUP(CustomerCombinedCleaned[[#This Row],[ID]], Table4[ID], Table4[Catalog], "Not Found", 0)</f>
        <v>3</v>
      </c>
      <c r="U1463" s="16">
        <f>_xlfn.XLOOKUP(CustomerCombinedCleaned[[#This Row],[ID]], Table4[ID], Table4[Store], "Not Found", 0)</f>
        <v>4</v>
      </c>
      <c r="V1463" s="16">
        <f>_xlfn.XLOOKUP(CustomerCombinedCleaned[[#This Row],[ID]], Table4[ID], Table4[Visits], "Not Found", 0)</f>
        <v>4</v>
      </c>
      <c r="W1463" s="16">
        <f>_xlfn.XLOOKUP(CustomerCombinedCleaned[[#This Row],[ID]], Table2[ID],Table2[Complaint], "Not Found", 0 )</f>
        <v>0</v>
      </c>
      <c r="X1463" s="16">
        <f>_xlfn.XLOOKUP(CustomerCombinedCleaned[[#This Row],[ID]], Table2[ID],Table2[Pilot], "Not Found", 0 )</f>
        <v>0</v>
      </c>
      <c r="Y1463" s="16">
        <f>_xlfn.XLOOKUP(CustomerCombinedCleaned[[#This Row],[ID]], Table2[ID],Table2[MC1], "Not Found", 0 )</f>
        <v>1</v>
      </c>
      <c r="Z1463" s="16">
        <f>_xlfn.XLOOKUP(CustomerCombinedCleaned[[#This Row],[ID]], Table2[ID],Table2[MC2], "Not Found", 0 )</f>
        <v>0</v>
      </c>
      <c r="AA1463" s="16">
        <f>_xlfn.XLOOKUP(CustomerCombinedCleaned[[#This Row],[ID]], Table2[ID],Table2[MC3], "Not Found", 0 )</f>
        <v>0</v>
      </c>
      <c r="AB1463" s="16">
        <f>_xlfn.XLOOKUP(CustomerCombinedCleaned[[#This Row],[ID]], Table2[ID],Table2[MC4], "Not Found", 0 )</f>
        <v>0</v>
      </c>
      <c r="AC1463" s="16">
        <f>_xlfn.XLOOKUP(CustomerCombinedCleaned[[#This Row],[ID]], Table2[ID],Table2[MC5], "Not Found", 0 )</f>
        <v>0</v>
      </c>
    </row>
    <row r="1464" spans="1:29" x14ac:dyDescent="0.3">
      <c r="A1464" s="18">
        <v>2735</v>
      </c>
      <c r="B1464" s="16">
        <v>162905</v>
      </c>
      <c r="C1464" s="16">
        <v>0</v>
      </c>
      <c r="D1464" s="16">
        <v>1</v>
      </c>
      <c r="E1464" s="16">
        <v>56</v>
      </c>
      <c r="F1464" s="17" t="s">
        <v>6</v>
      </c>
      <c r="G1464" s="17" t="s">
        <v>11</v>
      </c>
      <c r="H1464" s="3" t="s">
        <v>189</v>
      </c>
      <c r="I1464" s="5" t="s">
        <v>434</v>
      </c>
      <c r="J1464" s="16">
        <f>_xlfn.XLOOKUP(CustomerCombinedCleaned[[#This Row],[ID]], Table4[ID], Table4[Recency], "Not Found", 0)</f>
        <v>68</v>
      </c>
      <c r="K1464" s="16">
        <f>_xlfn.XLOOKUP(CustomerCombinedCleaned[[#This Row],[ID]], Table4[ID], Table4[Teas], "Not Found", 0)</f>
        <v>430</v>
      </c>
      <c r="L1464" s="16">
        <f>_xlfn.XLOOKUP(CustomerCombinedCleaned[[#This Row],[ID]], Table4[ID], Table4[Fruits], "Not Found", 0)</f>
        <v>194</v>
      </c>
      <c r="M1464" s="16">
        <f>_xlfn.XLOOKUP(CustomerCombinedCleaned[[#This Row],[ID]], Table4[ID], Table4[Meats], "Not Found", 0)</f>
        <v>249</v>
      </c>
      <c r="N1464" s="16">
        <f>_xlfn.XLOOKUP(CustomerCombinedCleaned[[#This Row],[ID]], Table4[ID], Table4[Seafood], "Not Found", 0)</f>
        <v>308</v>
      </c>
      <c r="O1464" s="16">
        <f>_xlfn.XLOOKUP(CustomerCombinedCleaned[[#This Row],[ID]], Table4[ID], Table4[Sweets], "Not Found", 0)</f>
        <v>277</v>
      </c>
      <c r="P1464" s="16">
        <f>_xlfn.XLOOKUP(CustomerCombinedCleaned[[#This Row],[ID]], Table4[ID], Table4[Premium], "Not Found", 0)</f>
        <v>153</v>
      </c>
      <c r="Q1464" s="16">
        <f>_xlfn.XLOOKUP(CustomerCombinedCleaned[[#This Row],[ID]], Table4[ID], Table4[Regular], "Not Found", 0)</f>
        <v>1305</v>
      </c>
      <c r="R1464" s="16">
        <f>_xlfn.XLOOKUP(CustomerCombinedCleaned[[#This Row],[ID]], Table4[ID], Table4[Deals], "Not Found", 0)</f>
        <v>3</v>
      </c>
      <c r="S1464" s="16">
        <f>_xlfn.XLOOKUP(CustomerCombinedCleaned[[#This Row],[ID]], Table4[ID], Table4[Website], "Not Found", 0)</f>
        <v>7</v>
      </c>
      <c r="T1464" s="16">
        <f>_xlfn.XLOOKUP(CustomerCombinedCleaned[[#This Row],[ID]], Table4[ID], Table4[Catalog], "Not Found", 0)</f>
        <v>2</v>
      </c>
      <c r="U1464" s="16">
        <f>_xlfn.XLOOKUP(CustomerCombinedCleaned[[#This Row],[ID]], Table4[ID], Table4[Store], "Not Found", 0)</f>
        <v>8</v>
      </c>
      <c r="V1464" s="16">
        <f>_xlfn.XLOOKUP(CustomerCombinedCleaned[[#This Row],[ID]], Table4[ID], Table4[Visits], "Not Found", 0)</f>
        <v>4</v>
      </c>
      <c r="W1464" s="16">
        <f>_xlfn.XLOOKUP(CustomerCombinedCleaned[[#This Row],[ID]], Table2[ID],Table2[Complaint], "Not Found", 0 )</f>
        <v>0</v>
      </c>
      <c r="X1464" s="16">
        <f>_xlfn.XLOOKUP(CustomerCombinedCleaned[[#This Row],[ID]], Table2[ID],Table2[Pilot], "Not Found", 0 )</f>
        <v>0</v>
      </c>
      <c r="Y1464" s="16">
        <f>_xlfn.XLOOKUP(CustomerCombinedCleaned[[#This Row],[ID]], Table2[ID],Table2[MC1], "Not Found", 0 )</f>
        <v>0</v>
      </c>
      <c r="Z1464" s="16">
        <f>_xlfn.XLOOKUP(CustomerCombinedCleaned[[#This Row],[ID]], Table2[ID],Table2[MC2], "Not Found", 0 )</f>
        <v>0</v>
      </c>
      <c r="AA1464" s="16">
        <f>_xlfn.XLOOKUP(CustomerCombinedCleaned[[#This Row],[ID]], Table2[ID],Table2[MC3], "Not Found", 0 )</f>
        <v>0</v>
      </c>
      <c r="AB1464" s="16">
        <f>_xlfn.XLOOKUP(CustomerCombinedCleaned[[#This Row],[ID]], Table2[ID],Table2[MC4], "Not Found", 0 )</f>
        <v>0</v>
      </c>
      <c r="AC1464" s="16">
        <f>_xlfn.XLOOKUP(CustomerCombinedCleaned[[#This Row],[ID]], Table2[ID],Table2[MC5], "Not Found", 0 )</f>
        <v>0</v>
      </c>
    </row>
    <row r="1465" spans="1:29" x14ac:dyDescent="0.3">
      <c r="A1465" s="18">
        <v>1512</v>
      </c>
      <c r="B1465" s="16">
        <v>161839</v>
      </c>
      <c r="C1465" s="16">
        <v>0</v>
      </c>
      <c r="D1465" s="16">
        <v>0</v>
      </c>
      <c r="E1465" s="16">
        <v>56</v>
      </c>
      <c r="F1465" s="17" t="s">
        <v>7</v>
      </c>
      <c r="G1465" s="17" t="s">
        <v>11</v>
      </c>
      <c r="H1465" s="3" t="s">
        <v>416</v>
      </c>
      <c r="I1465" s="5" t="s">
        <v>436</v>
      </c>
      <c r="J1465" s="16">
        <f>_xlfn.XLOOKUP(CustomerCombinedCleaned[[#This Row],[ID]], Table4[ID], Table4[Recency], "Not Found", 0)</f>
        <v>20</v>
      </c>
      <c r="K1465" s="16">
        <f>_xlfn.XLOOKUP(CustomerCombinedCleaned[[#This Row],[ID]], Table4[ID], Table4[Teas], "Not Found", 0)</f>
        <v>2617</v>
      </c>
      <c r="L1465" s="16">
        <f>_xlfn.XLOOKUP(CustomerCombinedCleaned[[#This Row],[ID]], Table4[ID], Table4[Fruits], "Not Found", 0)</f>
        <v>406</v>
      </c>
      <c r="M1465" s="16">
        <f>_xlfn.XLOOKUP(CustomerCombinedCleaned[[#This Row],[ID]], Table4[ID], Table4[Meats], "Not Found", 0)</f>
        <v>992</v>
      </c>
      <c r="N1465" s="16">
        <f>_xlfn.XLOOKUP(CustomerCombinedCleaned[[#This Row],[ID]], Table4[ID], Table4[Seafood], "Not Found", 0)</f>
        <v>586</v>
      </c>
      <c r="O1465" s="16">
        <f>_xlfn.XLOOKUP(CustomerCombinedCleaned[[#This Row],[ID]], Table4[ID], Table4[Sweets], "Not Found", 0)</f>
        <v>44</v>
      </c>
      <c r="P1465" s="16">
        <f>_xlfn.XLOOKUP(CustomerCombinedCleaned[[#This Row],[ID]], Table4[ID], Table4[Premium], "Not Found", 0)</f>
        <v>314</v>
      </c>
      <c r="Q1465" s="16">
        <f>_xlfn.XLOOKUP(CustomerCombinedCleaned[[#This Row],[ID]], Table4[ID], Table4[Regular], "Not Found", 0)</f>
        <v>4331</v>
      </c>
      <c r="R1465" s="16">
        <f>_xlfn.XLOOKUP(CustomerCombinedCleaned[[#This Row],[ID]], Table4[ID], Table4[Deals], "Not Found", 0)</f>
        <v>1</v>
      </c>
      <c r="S1465" s="16">
        <f>_xlfn.XLOOKUP(CustomerCombinedCleaned[[#This Row],[ID]], Table4[ID], Table4[Website], "Not Found", 0)</f>
        <v>4</v>
      </c>
      <c r="T1465" s="16">
        <f>_xlfn.XLOOKUP(CustomerCombinedCleaned[[#This Row],[ID]], Table4[ID], Table4[Catalog], "Not Found", 0)</f>
        <v>8</v>
      </c>
      <c r="U1465" s="16">
        <f>_xlfn.XLOOKUP(CustomerCombinedCleaned[[#This Row],[ID]], Table4[ID], Table4[Store], "Not Found", 0)</f>
        <v>4</v>
      </c>
      <c r="V1465" s="16">
        <f>_xlfn.XLOOKUP(CustomerCombinedCleaned[[#This Row],[ID]], Table4[ID], Table4[Visits], "Not Found", 0)</f>
        <v>8</v>
      </c>
      <c r="W1465" s="16">
        <f>_xlfn.XLOOKUP(CustomerCombinedCleaned[[#This Row],[ID]], Table2[ID],Table2[Complaint], "Not Found", 0 )</f>
        <v>0</v>
      </c>
      <c r="X1465" s="16">
        <f>_xlfn.XLOOKUP(CustomerCombinedCleaned[[#This Row],[ID]], Table2[ID],Table2[Pilot], "Not Found", 0 )</f>
        <v>0</v>
      </c>
      <c r="Y1465" s="16">
        <f>_xlfn.XLOOKUP(CustomerCombinedCleaned[[#This Row],[ID]], Table2[ID],Table2[MC1], "Not Found", 0 )</f>
        <v>0</v>
      </c>
      <c r="Z1465" s="16">
        <f>_xlfn.XLOOKUP(CustomerCombinedCleaned[[#This Row],[ID]], Table2[ID],Table2[MC2], "Not Found", 0 )</f>
        <v>0</v>
      </c>
      <c r="AA1465" s="16">
        <f>_xlfn.XLOOKUP(CustomerCombinedCleaned[[#This Row],[ID]], Table2[ID],Table2[MC3], "Not Found", 0 )</f>
        <v>0</v>
      </c>
      <c r="AB1465" s="16">
        <f>_xlfn.XLOOKUP(CustomerCombinedCleaned[[#This Row],[ID]], Table2[ID],Table2[MC4], "Not Found", 0 )</f>
        <v>0</v>
      </c>
      <c r="AC1465" s="16">
        <f>_xlfn.XLOOKUP(CustomerCombinedCleaned[[#This Row],[ID]], Table2[ID],Table2[MC5], "Not Found", 0 )</f>
        <v>0</v>
      </c>
    </row>
    <row r="1466" spans="1:29" x14ac:dyDescent="0.3">
      <c r="A1466" s="18">
        <v>2929</v>
      </c>
      <c r="B1466" s="16">
        <v>161798</v>
      </c>
      <c r="C1466" s="16">
        <v>0</v>
      </c>
      <c r="D1466" s="16">
        <v>0</v>
      </c>
      <c r="E1466" s="16">
        <v>56</v>
      </c>
      <c r="F1466" s="17" t="s">
        <v>7</v>
      </c>
      <c r="G1466" s="17" t="s">
        <v>13</v>
      </c>
      <c r="H1466" s="3" t="s">
        <v>142</v>
      </c>
      <c r="I1466" s="5" t="s">
        <v>437</v>
      </c>
      <c r="J1466" s="16">
        <f>_xlfn.XLOOKUP(CustomerCombinedCleaned[[#This Row],[ID]], Table4[ID], Table4[Recency], "Not Found", 0)</f>
        <v>13</v>
      </c>
      <c r="K1466" s="16">
        <f>_xlfn.XLOOKUP(CustomerCombinedCleaned[[#This Row],[ID]], Table4[ID], Table4[Teas], "Not Found", 0)</f>
        <v>885</v>
      </c>
      <c r="L1466" s="16">
        <f>_xlfn.XLOOKUP(CustomerCombinedCleaned[[#This Row],[ID]], Table4[ID], Table4[Fruits], "Not Found", 0)</f>
        <v>10</v>
      </c>
      <c r="M1466" s="16">
        <f>_xlfn.XLOOKUP(CustomerCombinedCleaned[[#This Row],[ID]], Table4[ID], Table4[Meats], "Not Found", 0)</f>
        <v>233</v>
      </c>
      <c r="N1466" s="16">
        <f>_xlfn.XLOOKUP(CustomerCombinedCleaned[[#This Row],[ID]], Table4[ID], Table4[Seafood], "Not Found", 0)</f>
        <v>29</v>
      </c>
      <c r="O1466" s="16">
        <f>_xlfn.XLOOKUP(CustomerCombinedCleaned[[#This Row],[ID]], Table4[ID], Table4[Sweets], "Not Found", 0)</f>
        <v>21</v>
      </c>
      <c r="P1466" s="16">
        <f>_xlfn.XLOOKUP(CustomerCombinedCleaned[[#This Row],[ID]], Table4[ID], Table4[Premium], "Not Found", 0)</f>
        <v>34</v>
      </c>
      <c r="Q1466" s="16">
        <f>_xlfn.XLOOKUP(CustomerCombinedCleaned[[#This Row],[ID]], Table4[ID], Table4[Regular], "Not Found", 0)</f>
        <v>1144</v>
      </c>
      <c r="R1466" s="16">
        <f>_xlfn.XLOOKUP(CustomerCombinedCleaned[[#This Row],[ID]], Table4[ID], Table4[Deals], "Not Found", 0)</f>
        <v>1</v>
      </c>
      <c r="S1466" s="16">
        <f>_xlfn.XLOOKUP(CustomerCombinedCleaned[[#This Row],[ID]], Table4[ID], Table4[Website], "Not Found", 0)</f>
        <v>4</v>
      </c>
      <c r="T1466" s="16">
        <f>_xlfn.XLOOKUP(CustomerCombinedCleaned[[#This Row],[ID]], Table4[ID], Table4[Catalog], "Not Found", 0)</f>
        <v>2</v>
      </c>
      <c r="U1466" s="16">
        <f>_xlfn.XLOOKUP(CustomerCombinedCleaned[[#This Row],[ID]], Table4[ID], Table4[Store], "Not Found", 0)</f>
        <v>9</v>
      </c>
      <c r="V1466" s="16">
        <f>_xlfn.XLOOKUP(CustomerCombinedCleaned[[#This Row],[ID]], Table4[ID], Table4[Visits], "Not Found", 0)</f>
        <v>4</v>
      </c>
      <c r="W1466" s="16">
        <f>_xlfn.XLOOKUP(CustomerCombinedCleaned[[#This Row],[ID]], Table2[ID],Table2[Complaint], "Not Found", 0 )</f>
        <v>0</v>
      </c>
      <c r="X1466" s="16">
        <f>_xlfn.XLOOKUP(CustomerCombinedCleaned[[#This Row],[ID]], Table2[ID],Table2[Pilot], "Not Found", 0 )</f>
        <v>0</v>
      </c>
      <c r="Y1466" s="16">
        <f>_xlfn.XLOOKUP(CustomerCombinedCleaned[[#This Row],[ID]], Table2[ID],Table2[MC1], "Not Found", 0 )</f>
        <v>0</v>
      </c>
      <c r="Z1466" s="16">
        <f>_xlfn.XLOOKUP(CustomerCombinedCleaned[[#This Row],[ID]], Table2[ID],Table2[MC2], "Not Found", 0 )</f>
        <v>0</v>
      </c>
      <c r="AA1466" s="16">
        <f>_xlfn.XLOOKUP(CustomerCombinedCleaned[[#This Row],[ID]], Table2[ID],Table2[MC3], "Not Found", 0 )</f>
        <v>0</v>
      </c>
      <c r="AB1466" s="16">
        <f>_xlfn.XLOOKUP(CustomerCombinedCleaned[[#This Row],[ID]], Table2[ID],Table2[MC4], "Not Found", 0 )</f>
        <v>0</v>
      </c>
      <c r="AC1466" s="16">
        <f>_xlfn.XLOOKUP(CustomerCombinedCleaned[[#This Row],[ID]], Table2[ID],Table2[MC5], "Not Found", 0 )</f>
        <v>0</v>
      </c>
    </row>
    <row r="1467" spans="1:29" x14ac:dyDescent="0.3">
      <c r="A1467" s="18">
        <v>3128</v>
      </c>
      <c r="B1467" s="16">
        <v>160896</v>
      </c>
      <c r="C1467" s="16">
        <v>0</v>
      </c>
      <c r="D1467" s="16">
        <v>1</v>
      </c>
      <c r="E1467" s="16">
        <v>56</v>
      </c>
      <c r="F1467" s="17" t="s">
        <v>6</v>
      </c>
      <c r="G1467" s="17" t="s">
        <v>13</v>
      </c>
      <c r="H1467" s="3" t="s">
        <v>383</v>
      </c>
      <c r="I1467" s="5" t="s">
        <v>438</v>
      </c>
      <c r="J1467" s="16">
        <f>_xlfn.XLOOKUP(CustomerCombinedCleaned[[#This Row],[ID]], Table4[ID], Table4[Recency], "Not Found", 0)</f>
        <v>90</v>
      </c>
      <c r="K1467" s="16">
        <f>_xlfn.XLOOKUP(CustomerCombinedCleaned[[#This Row],[ID]], Table4[ID], Table4[Teas], "Not Found", 0)</f>
        <v>2676</v>
      </c>
      <c r="L1467" s="16">
        <f>_xlfn.XLOOKUP(CustomerCombinedCleaned[[#This Row],[ID]], Table4[ID], Table4[Fruits], "Not Found", 0)</f>
        <v>79</v>
      </c>
      <c r="M1467" s="16">
        <f>_xlfn.XLOOKUP(CustomerCombinedCleaned[[#This Row],[ID]], Table4[ID], Table4[Meats], "Not Found", 0)</f>
        <v>1054</v>
      </c>
      <c r="N1467" s="16">
        <f>_xlfn.XLOOKUP(CustomerCombinedCleaned[[#This Row],[ID]], Table4[ID], Table4[Seafood], "Not Found", 0)</f>
        <v>159</v>
      </c>
      <c r="O1467" s="16">
        <f>_xlfn.XLOOKUP(CustomerCombinedCleaned[[#This Row],[ID]], Table4[ID], Table4[Sweets], "Not Found", 0)</f>
        <v>122</v>
      </c>
      <c r="P1467" s="16">
        <f>_xlfn.XLOOKUP(CustomerCombinedCleaned[[#This Row],[ID]], Table4[ID], Table4[Premium], "Not Found", 0)</f>
        <v>404</v>
      </c>
      <c r="Q1467" s="16">
        <f>_xlfn.XLOOKUP(CustomerCombinedCleaned[[#This Row],[ID]], Table4[ID], Table4[Regular], "Not Found", 0)</f>
        <v>3686</v>
      </c>
      <c r="R1467" s="16">
        <f>_xlfn.XLOOKUP(CustomerCombinedCleaned[[#This Row],[ID]], Table4[ID], Table4[Deals], "Not Found", 0)</f>
        <v>3</v>
      </c>
      <c r="S1467" s="16">
        <f>_xlfn.XLOOKUP(CustomerCombinedCleaned[[#This Row],[ID]], Table4[ID], Table4[Website], "Not Found", 0)</f>
        <v>9</v>
      </c>
      <c r="T1467" s="16">
        <f>_xlfn.XLOOKUP(CustomerCombinedCleaned[[#This Row],[ID]], Table4[ID], Table4[Catalog], "Not Found", 0)</f>
        <v>10</v>
      </c>
      <c r="U1467" s="16">
        <f>_xlfn.XLOOKUP(CustomerCombinedCleaned[[#This Row],[ID]], Table4[ID], Table4[Store], "Not Found", 0)</f>
        <v>4</v>
      </c>
      <c r="V1467" s="16">
        <f>_xlfn.XLOOKUP(CustomerCombinedCleaned[[#This Row],[ID]], Table4[ID], Table4[Visits], "Not Found", 0)</f>
        <v>6</v>
      </c>
      <c r="W1467" s="16">
        <f>_xlfn.XLOOKUP(CustomerCombinedCleaned[[#This Row],[ID]], Table2[ID],Table2[Complaint], "Not Found", 0 )</f>
        <v>0</v>
      </c>
      <c r="X1467" s="16">
        <f>_xlfn.XLOOKUP(CustomerCombinedCleaned[[#This Row],[ID]], Table2[ID],Table2[Pilot], "Not Found", 0 )</f>
        <v>1</v>
      </c>
      <c r="Y1467" s="16">
        <f>_xlfn.XLOOKUP(CustomerCombinedCleaned[[#This Row],[ID]], Table2[ID],Table2[MC1], "Not Found", 0 )</f>
        <v>0</v>
      </c>
      <c r="Z1467" s="16">
        <f>_xlfn.XLOOKUP(CustomerCombinedCleaned[[#This Row],[ID]], Table2[ID],Table2[MC2], "Not Found", 0 )</f>
        <v>0</v>
      </c>
      <c r="AA1467" s="16">
        <f>_xlfn.XLOOKUP(CustomerCombinedCleaned[[#This Row],[ID]], Table2[ID],Table2[MC3], "Not Found", 0 )</f>
        <v>0</v>
      </c>
      <c r="AB1467" s="16">
        <f>_xlfn.XLOOKUP(CustomerCombinedCleaned[[#This Row],[ID]], Table2[ID],Table2[MC4], "Not Found", 0 )</f>
        <v>0</v>
      </c>
      <c r="AC1467" s="16">
        <f>_xlfn.XLOOKUP(CustomerCombinedCleaned[[#This Row],[ID]], Table2[ID],Table2[MC5], "Not Found", 0 )</f>
        <v>0</v>
      </c>
    </row>
    <row r="1468" spans="1:29" x14ac:dyDescent="0.3">
      <c r="A1468" s="18">
        <v>1444</v>
      </c>
      <c r="B1468" s="16">
        <v>160597</v>
      </c>
      <c r="C1468" s="16">
        <v>0</v>
      </c>
      <c r="D1468" s="16">
        <v>1</v>
      </c>
      <c r="E1468" s="16">
        <v>56</v>
      </c>
      <c r="F1468" s="17" t="s">
        <v>6</v>
      </c>
      <c r="G1468" s="17" t="s">
        <v>11</v>
      </c>
      <c r="H1468" s="3" t="s">
        <v>718</v>
      </c>
      <c r="I1468" s="5" t="s">
        <v>439</v>
      </c>
      <c r="J1468" s="16">
        <f>_xlfn.XLOOKUP(CustomerCombinedCleaned[[#This Row],[ID]], Table4[ID], Table4[Recency], "Not Found", 0)</f>
        <v>2</v>
      </c>
      <c r="K1468" s="16">
        <f>_xlfn.XLOOKUP(CustomerCombinedCleaned[[#This Row],[ID]], Table4[ID], Table4[Teas], "Not Found", 0)</f>
        <v>1383</v>
      </c>
      <c r="L1468" s="16">
        <f>_xlfn.XLOOKUP(CustomerCombinedCleaned[[#This Row],[ID]], Table4[ID], Table4[Fruits], "Not Found", 0)</f>
        <v>0</v>
      </c>
      <c r="M1468" s="16">
        <f>_xlfn.XLOOKUP(CustomerCombinedCleaned[[#This Row],[ID]], Table4[ID], Table4[Meats], "Not Found", 0)</f>
        <v>681</v>
      </c>
      <c r="N1468" s="16">
        <f>_xlfn.XLOOKUP(CustomerCombinedCleaned[[#This Row],[ID]], Table4[ID], Table4[Seafood], "Not Found", 0)</f>
        <v>85</v>
      </c>
      <c r="O1468" s="16">
        <f>_xlfn.XLOOKUP(CustomerCombinedCleaned[[#This Row],[ID]], Table4[ID], Table4[Sweets], "Not Found", 0)</f>
        <v>42</v>
      </c>
      <c r="P1468" s="16">
        <f>_xlfn.XLOOKUP(CustomerCombinedCleaned[[#This Row],[ID]], Table4[ID], Table4[Premium], "Not Found", 0)</f>
        <v>175</v>
      </c>
      <c r="Q1468" s="16">
        <f>_xlfn.XLOOKUP(CustomerCombinedCleaned[[#This Row],[ID]], Table4[ID], Table4[Regular], "Not Found", 0)</f>
        <v>2017</v>
      </c>
      <c r="R1468" s="16">
        <f>_xlfn.XLOOKUP(CustomerCombinedCleaned[[#This Row],[ID]], Table4[ID], Table4[Deals], "Not Found", 0)</f>
        <v>4</v>
      </c>
      <c r="S1468" s="16">
        <f>_xlfn.XLOOKUP(CustomerCombinedCleaned[[#This Row],[ID]], Table4[ID], Table4[Website], "Not Found", 0)</f>
        <v>2</v>
      </c>
      <c r="T1468" s="16">
        <f>_xlfn.XLOOKUP(CustomerCombinedCleaned[[#This Row],[ID]], Table4[ID], Table4[Catalog], "Not Found", 0)</f>
        <v>2</v>
      </c>
      <c r="U1468" s="16">
        <f>_xlfn.XLOOKUP(CustomerCombinedCleaned[[#This Row],[ID]], Table4[ID], Table4[Store], "Not Found", 0)</f>
        <v>8</v>
      </c>
      <c r="V1468" s="16">
        <f>_xlfn.XLOOKUP(CustomerCombinedCleaned[[#This Row],[ID]], Table4[ID], Table4[Visits], "Not Found", 0)</f>
        <v>7</v>
      </c>
      <c r="W1468" s="16">
        <f>_xlfn.XLOOKUP(CustomerCombinedCleaned[[#This Row],[ID]], Table2[ID],Table2[Complaint], "Not Found", 0 )</f>
        <v>0</v>
      </c>
      <c r="X1468" s="16">
        <f>_xlfn.XLOOKUP(CustomerCombinedCleaned[[#This Row],[ID]], Table2[ID],Table2[Pilot], "Not Found", 0 )</f>
        <v>1</v>
      </c>
      <c r="Y1468" s="16">
        <f>_xlfn.XLOOKUP(CustomerCombinedCleaned[[#This Row],[ID]], Table2[ID],Table2[MC1], "Not Found", 0 )</f>
        <v>1</v>
      </c>
      <c r="Z1468" s="16">
        <f>_xlfn.XLOOKUP(CustomerCombinedCleaned[[#This Row],[ID]], Table2[ID],Table2[MC2], "Not Found", 0 )</f>
        <v>0</v>
      </c>
      <c r="AA1468" s="16">
        <f>_xlfn.XLOOKUP(CustomerCombinedCleaned[[#This Row],[ID]], Table2[ID],Table2[MC3], "Not Found", 0 )</f>
        <v>0</v>
      </c>
      <c r="AB1468" s="16">
        <f>_xlfn.XLOOKUP(CustomerCombinedCleaned[[#This Row],[ID]], Table2[ID],Table2[MC4], "Not Found", 0 )</f>
        <v>0</v>
      </c>
      <c r="AC1468" s="16">
        <f>_xlfn.XLOOKUP(CustomerCombinedCleaned[[#This Row],[ID]], Table2[ID],Table2[MC5], "Not Found", 0 )</f>
        <v>0</v>
      </c>
    </row>
    <row r="1469" spans="1:29" x14ac:dyDescent="0.3">
      <c r="A1469" s="18">
        <v>1652</v>
      </c>
      <c r="B1469" s="16">
        <v>159304</v>
      </c>
      <c r="C1469" s="16">
        <v>0</v>
      </c>
      <c r="D1469" s="16">
        <v>1</v>
      </c>
      <c r="E1469" s="16">
        <v>56</v>
      </c>
      <c r="F1469" s="17" t="s">
        <v>6</v>
      </c>
      <c r="G1469" s="17" t="s">
        <v>13</v>
      </c>
      <c r="H1469" s="3" t="s">
        <v>549</v>
      </c>
      <c r="I1469" s="5" t="s">
        <v>438</v>
      </c>
      <c r="J1469" s="16">
        <f>_xlfn.XLOOKUP(CustomerCombinedCleaned[[#This Row],[ID]], Table4[ID], Table4[Recency], "Not Found", 0)</f>
        <v>81</v>
      </c>
      <c r="K1469" s="16">
        <f>_xlfn.XLOOKUP(CustomerCombinedCleaned[[#This Row],[ID]], Table4[ID], Table4[Teas], "Not Found", 0)</f>
        <v>1123</v>
      </c>
      <c r="L1469" s="16">
        <f>_xlfn.XLOOKUP(CustomerCombinedCleaned[[#This Row],[ID]], Table4[ID], Table4[Fruits], "Not Found", 0)</f>
        <v>164</v>
      </c>
      <c r="M1469" s="16">
        <f>_xlfn.XLOOKUP(CustomerCombinedCleaned[[#This Row],[ID]], Table4[ID], Table4[Meats], "Not Found", 0)</f>
        <v>1150</v>
      </c>
      <c r="N1469" s="16">
        <f>_xlfn.XLOOKUP(CustomerCombinedCleaned[[#This Row],[ID]], Table4[ID], Table4[Seafood], "Not Found", 0)</f>
        <v>215</v>
      </c>
      <c r="O1469" s="16">
        <f>_xlfn.XLOOKUP(CustomerCombinedCleaned[[#This Row],[ID]], Table4[ID], Table4[Sweets], "Not Found", 0)</f>
        <v>137</v>
      </c>
      <c r="P1469" s="16">
        <f>_xlfn.XLOOKUP(CustomerCombinedCleaned[[#This Row],[ID]], Table4[ID], Table4[Premium], "Not Found", 0)</f>
        <v>27</v>
      </c>
      <c r="Q1469" s="16">
        <f>_xlfn.XLOOKUP(CustomerCombinedCleaned[[#This Row],[ID]], Table4[ID], Table4[Regular], "Not Found", 0)</f>
        <v>2761</v>
      </c>
      <c r="R1469" s="16">
        <f>_xlfn.XLOOKUP(CustomerCombinedCleaned[[#This Row],[ID]], Table4[ID], Table4[Deals], "Not Found", 0)</f>
        <v>3</v>
      </c>
      <c r="S1469" s="16">
        <f>_xlfn.XLOOKUP(CustomerCombinedCleaned[[#This Row],[ID]], Table4[ID], Table4[Website], "Not Found", 0)</f>
        <v>7</v>
      </c>
      <c r="T1469" s="16">
        <f>_xlfn.XLOOKUP(CustomerCombinedCleaned[[#This Row],[ID]], Table4[ID], Table4[Catalog], "Not Found", 0)</f>
        <v>8</v>
      </c>
      <c r="U1469" s="16">
        <f>_xlfn.XLOOKUP(CustomerCombinedCleaned[[#This Row],[ID]], Table4[ID], Table4[Store], "Not Found", 0)</f>
        <v>10</v>
      </c>
      <c r="V1469" s="16">
        <f>_xlfn.XLOOKUP(CustomerCombinedCleaned[[#This Row],[ID]], Table4[ID], Table4[Visits], "Not Found", 0)</f>
        <v>5</v>
      </c>
      <c r="W1469" s="16">
        <f>_xlfn.XLOOKUP(CustomerCombinedCleaned[[#This Row],[ID]], Table2[ID],Table2[Complaint], "Not Found", 0 )</f>
        <v>0</v>
      </c>
      <c r="X1469" s="16">
        <f>_xlfn.XLOOKUP(CustomerCombinedCleaned[[#This Row],[ID]], Table2[ID],Table2[Pilot], "Not Found", 0 )</f>
        <v>0</v>
      </c>
      <c r="Y1469" s="16">
        <f>_xlfn.XLOOKUP(CustomerCombinedCleaned[[#This Row],[ID]], Table2[ID],Table2[MC1], "Not Found", 0 )</f>
        <v>0</v>
      </c>
      <c r="Z1469" s="16">
        <f>_xlfn.XLOOKUP(CustomerCombinedCleaned[[#This Row],[ID]], Table2[ID],Table2[MC2], "Not Found", 0 )</f>
        <v>0</v>
      </c>
      <c r="AA1469" s="16">
        <f>_xlfn.XLOOKUP(CustomerCombinedCleaned[[#This Row],[ID]], Table2[ID],Table2[MC3], "Not Found", 0 )</f>
        <v>0</v>
      </c>
      <c r="AB1469" s="16">
        <f>_xlfn.XLOOKUP(CustomerCombinedCleaned[[#This Row],[ID]], Table2[ID],Table2[MC4], "Not Found", 0 )</f>
        <v>0</v>
      </c>
      <c r="AC1469" s="16">
        <f>_xlfn.XLOOKUP(CustomerCombinedCleaned[[#This Row],[ID]], Table2[ID],Table2[MC5], "Not Found", 0 )</f>
        <v>0</v>
      </c>
    </row>
    <row r="1470" spans="1:29" x14ac:dyDescent="0.3">
      <c r="A1470" s="18">
        <v>1738</v>
      </c>
      <c r="B1470" s="16">
        <v>158512</v>
      </c>
      <c r="C1470" s="16">
        <v>0</v>
      </c>
      <c r="D1470" s="16">
        <v>1</v>
      </c>
      <c r="E1470" s="16">
        <v>56</v>
      </c>
      <c r="F1470" s="17" t="s">
        <v>6</v>
      </c>
      <c r="G1470" s="17" t="s">
        <v>11</v>
      </c>
      <c r="H1470" s="3" t="s">
        <v>180</v>
      </c>
      <c r="I1470" s="5" t="s">
        <v>439</v>
      </c>
      <c r="J1470" s="16">
        <f>_xlfn.XLOOKUP(CustomerCombinedCleaned[[#This Row],[ID]], Table4[ID], Table4[Recency], "Not Found", 0)</f>
        <v>25</v>
      </c>
      <c r="K1470" s="16">
        <f>_xlfn.XLOOKUP(CustomerCombinedCleaned[[#This Row],[ID]], Table4[ID], Table4[Teas], "Not Found", 0)</f>
        <v>2425</v>
      </c>
      <c r="L1470" s="16">
        <f>_xlfn.XLOOKUP(CustomerCombinedCleaned[[#This Row],[ID]], Table4[ID], Table4[Fruits], "Not Found", 0)</f>
        <v>27</v>
      </c>
      <c r="M1470" s="16">
        <f>_xlfn.XLOOKUP(CustomerCombinedCleaned[[#This Row],[ID]], Table4[ID], Table4[Meats], "Not Found", 0)</f>
        <v>274</v>
      </c>
      <c r="N1470" s="16">
        <f>_xlfn.XLOOKUP(CustomerCombinedCleaned[[#This Row],[ID]], Table4[ID], Table4[Seafood], "Not Found", 0)</f>
        <v>35</v>
      </c>
      <c r="O1470" s="16">
        <f>_xlfn.XLOOKUP(CustomerCombinedCleaned[[#This Row],[ID]], Table4[ID], Table4[Sweets], "Not Found", 0)</f>
        <v>0</v>
      </c>
      <c r="P1470" s="16">
        <f>_xlfn.XLOOKUP(CustomerCombinedCleaned[[#This Row],[ID]], Table4[ID], Table4[Premium], "Not Found", 0)</f>
        <v>412</v>
      </c>
      <c r="Q1470" s="16">
        <f>_xlfn.XLOOKUP(CustomerCombinedCleaned[[#This Row],[ID]], Table4[ID], Table4[Regular], "Not Found", 0)</f>
        <v>2349</v>
      </c>
      <c r="R1470" s="16">
        <f>_xlfn.XLOOKUP(CustomerCombinedCleaned[[#This Row],[ID]], Table4[ID], Table4[Deals], "Not Found", 0)</f>
        <v>5</v>
      </c>
      <c r="S1470" s="16">
        <f>_xlfn.XLOOKUP(CustomerCombinedCleaned[[#This Row],[ID]], Table4[ID], Table4[Website], "Not Found", 0)</f>
        <v>3</v>
      </c>
      <c r="T1470" s="16">
        <f>_xlfn.XLOOKUP(CustomerCombinedCleaned[[#This Row],[ID]], Table4[ID], Table4[Catalog], "Not Found", 0)</f>
        <v>4</v>
      </c>
      <c r="U1470" s="16">
        <f>_xlfn.XLOOKUP(CustomerCombinedCleaned[[#This Row],[ID]], Table4[ID], Table4[Store], "Not Found", 0)</f>
        <v>8</v>
      </c>
      <c r="V1470" s="16">
        <f>_xlfn.XLOOKUP(CustomerCombinedCleaned[[#This Row],[ID]], Table4[ID], Table4[Visits], "Not Found", 0)</f>
        <v>8</v>
      </c>
      <c r="W1470" s="16">
        <f>_xlfn.XLOOKUP(CustomerCombinedCleaned[[#This Row],[ID]], Table2[ID],Table2[Complaint], "Not Found", 0 )</f>
        <v>0</v>
      </c>
      <c r="X1470" s="16">
        <f>_xlfn.XLOOKUP(CustomerCombinedCleaned[[#This Row],[ID]], Table2[ID],Table2[Pilot], "Not Found", 0 )</f>
        <v>0</v>
      </c>
      <c r="Y1470" s="16">
        <f>_xlfn.XLOOKUP(CustomerCombinedCleaned[[#This Row],[ID]], Table2[ID],Table2[MC1], "Not Found", 0 )</f>
        <v>0</v>
      </c>
      <c r="Z1470" s="16">
        <f>_xlfn.XLOOKUP(CustomerCombinedCleaned[[#This Row],[ID]], Table2[ID],Table2[MC2], "Not Found", 0 )</f>
        <v>0</v>
      </c>
      <c r="AA1470" s="16">
        <f>_xlfn.XLOOKUP(CustomerCombinedCleaned[[#This Row],[ID]], Table2[ID],Table2[MC3], "Not Found", 0 )</f>
        <v>0</v>
      </c>
      <c r="AB1470" s="16">
        <f>_xlfn.XLOOKUP(CustomerCombinedCleaned[[#This Row],[ID]], Table2[ID],Table2[MC4], "Not Found", 0 )</f>
        <v>0</v>
      </c>
      <c r="AC1470" s="16">
        <f>_xlfn.XLOOKUP(CustomerCombinedCleaned[[#This Row],[ID]], Table2[ID],Table2[MC5], "Not Found", 0 )</f>
        <v>0</v>
      </c>
    </row>
    <row r="1471" spans="1:29" x14ac:dyDescent="0.3">
      <c r="A1471" s="18">
        <v>1477</v>
      </c>
      <c r="B1471" s="16">
        <v>158308</v>
      </c>
      <c r="C1471" s="16">
        <v>0</v>
      </c>
      <c r="D1471" s="16">
        <v>1</v>
      </c>
      <c r="E1471" s="16">
        <v>56</v>
      </c>
      <c r="F1471" s="17" t="s">
        <v>7</v>
      </c>
      <c r="G1471" s="17" t="s">
        <v>12</v>
      </c>
      <c r="H1471" s="3" t="s">
        <v>328</v>
      </c>
      <c r="I1471" s="5" t="s">
        <v>437</v>
      </c>
      <c r="J1471" s="16">
        <f>_xlfn.XLOOKUP(CustomerCombinedCleaned[[#This Row],[ID]], Table4[ID], Table4[Recency], "Not Found", 0)</f>
        <v>77</v>
      </c>
      <c r="K1471" s="16">
        <f>_xlfn.XLOOKUP(CustomerCombinedCleaned[[#This Row],[ID]], Table4[ID], Table4[Teas], "Not Found", 0)</f>
        <v>1876</v>
      </c>
      <c r="L1471" s="16">
        <f>_xlfn.XLOOKUP(CustomerCombinedCleaned[[#This Row],[ID]], Table4[ID], Table4[Fruits], "Not Found", 0)</f>
        <v>0</v>
      </c>
      <c r="M1471" s="16">
        <f>_xlfn.XLOOKUP(CustomerCombinedCleaned[[#This Row],[ID]], Table4[ID], Table4[Meats], "Not Found", 0)</f>
        <v>187</v>
      </c>
      <c r="N1471" s="16">
        <f>_xlfn.XLOOKUP(CustomerCombinedCleaned[[#This Row],[ID]], Table4[ID], Table4[Seafood], "Not Found", 0)</f>
        <v>27</v>
      </c>
      <c r="O1471" s="16">
        <f>_xlfn.XLOOKUP(CustomerCombinedCleaned[[#This Row],[ID]], Table4[ID], Table4[Sweets], "Not Found", 0)</f>
        <v>0</v>
      </c>
      <c r="P1471" s="16">
        <f>_xlfn.XLOOKUP(CustomerCombinedCleaned[[#This Row],[ID]], Table4[ID], Table4[Premium], "Not Found", 0)</f>
        <v>353</v>
      </c>
      <c r="Q1471" s="16">
        <f>_xlfn.XLOOKUP(CustomerCombinedCleaned[[#This Row],[ID]], Table4[ID], Table4[Regular], "Not Found", 0)</f>
        <v>1738</v>
      </c>
      <c r="R1471" s="16">
        <f>_xlfn.XLOOKUP(CustomerCombinedCleaned[[#This Row],[ID]], Table4[ID], Table4[Deals], "Not Found", 0)</f>
        <v>4</v>
      </c>
      <c r="S1471" s="16">
        <f>_xlfn.XLOOKUP(CustomerCombinedCleaned[[#This Row],[ID]], Table4[ID], Table4[Website], "Not Found", 0)</f>
        <v>2</v>
      </c>
      <c r="T1471" s="16">
        <f>_xlfn.XLOOKUP(CustomerCombinedCleaned[[#This Row],[ID]], Table4[ID], Table4[Catalog], "Not Found", 0)</f>
        <v>6</v>
      </c>
      <c r="U1471" s="16">
        <f>_xlfn.XLOOKUP(CustomerCombinedCleaned[[#This Row],[ID]], Table4[ID], Table4[Store], "Not Found", 0)</f>
        <v>3</v>
      </c>
      <c r="V1471" s="16">
        <f>_xlfn.XLOOKUP(CustomerCombinedCleaned[[#This Row],[ID]], Table4[ID], Table4[Visits], "Not Found", 0)</f>
        <v>8</v>
      </c>
      <c r="W1471" s="16">
        <f>_xlfn.XLOOKUP(CustomerCombinedCleaned[[#This Row],[ID]], Table2[ID],Table2[Complaint], "Not Found", 0 )</f>
        <v>0</v>
      </c>
      <c r="X1471" s="16">
        <f>_xlfn.XLOOKUP(CustomerCombinedCleaned[[#This Row],[ID]], Table2[ID],Table2[Pilot], "Not Found", 0 )</f>
        <v>0</v>
      </c>
      <c r="Y1471" s="16">
        <f>_xlfn.XLOOKUP(CustomerCombinedCleaned[[#This Row],[ID]], Table2[ID],Table2[MC1], "Not Found", 0 )</f>
        <v>0</v>
      </c>
      <c r="Z1471" s="16">
        <f>_xlfn.XLOOKUP(CustomerCombinedCleaned[[#This Row],[ID]], Table2[ID],Table2[MC2], "Not Found", 0 )</f>
        <v>0</v>
      </c>
      <c r="AA1471" s="16">
        <f>_xlfn.XLOOKUP(CustomerCombinedCleaned[[#This Row],[ID]], Table2[ID],Table2[MC3], "Not Found", 0 )</f>
        <v>0</v>
      </c>
      <c r="AB1471" s="16">
        <f>_xlfn.XLOOKUP(CustomerCombinedCleaned[[#This Row],[ID]], Table2[ID],Table2[MC4], "Not Found", 0 )</f>
        <v>0</v>
      </c>
      <c r="AC1471" s="16">
        <f>_xlfn.XLOOKUP(CustomerCombinedCleaned[[#This Row],[ID]], Table2[ID],Table2[MC5], "Not Found", 0 )</f>
        <v>0</v>
      </c>
    </row>
    <row r="1472" spans="1:29" x14ac:dyDescent="0.3">
      <c r="A1472" s="18">
        <v>2715</v>
      </c>
      <c r="B1472" s="16">
        <v>155761</v>
      </c>
      <c r="C1472" s="16">
        <v>0</v>
      </c>
      <c r="D1472" s="16">
        <v>1</v>
      </c>
      <c r="E1472" s="16">
        <v>56</v>
      </c>
      <c r="F1472" s="17" t="s">
        <v>8</v>
      </c>
      <c r="G1472" s="17" t="s">
        <v>11</v>
      </c>
      <c r="H1472" s="3" t="s">
        <v>58</v>
      </c>
      <c r="I1472" s="5" t="s">
        <v>435</v>
      </c>
      <c r="J1472" s="16">
        <f>_xlfn.XLOOKUP(CustomerCombinedCleaned[[#This Row],[ID]], Table4[ID], Table4[Recency], "Not Found", 0)</f>
        <v>97</v>
      </c>
      <c r="K1472" s="16">
        <f>_xlfn.XLOOKUP(CustomerCombinedCleaned[[#This Row],[ID]], Table4[ID], Table4[Teas], "Not Found", 0)</f>
        <v>380</v>
      </c>
      <c r="L1472" s="16">
        <f>_xlfn.XLOOKUP(CustomerCombinedCleaned[[#This Row],[ID]], Table4[ID], Table4[Fruits], "Not Found", 0)</f>
        <v>3</v>
      </c>
      <c r="M1472" s="16">
        <f>_xlfn.XLOOKUP(CustomerCombinedCleaned[[#This Row],[ID]], Table4[ID], Table4[Meats], "Not Found", 0)</f>
        <v>34</v>
      </c>
      <c r="N1472" s="16">
        <f>_xlfn.XLOOKUP(CustomerCombinedCleaned[[#This Row],[ID]], Table4[ID], Table4[Seafood], "Not Found", 0)</f>
        <v>0</v>
      </c>
      <c r="O1472" s="16">
        <f>_xlfn.XLOOKUP(CustomerCombinedCleaned[[#This Row],[ID]], Table4[ID], Table4[Sweets], "Not Found", 0)</f>
        <v>8</v>
      </c>
      <c r="P1472" s="16">
        <f>_xlfn.XLOOKUP(CustomerCombinedCleaned[[#This Row],[ID]], Table4[ID], Table4[Premium], "Not Found", 0)</f>
        <v>89</v>
      </c>
      <c r="Q1472" s="16">
        <f>_xlfn.XLOOKUP(CustomerCombinedCleaned[[#This Row],[ID]], Table4[ID], Table4[Regular], "Not Found", 0)</f>
        <v>335</v>
      </c>
      <c r="R1472" s="16">
        <f>_xlfn.XLOOKUP(CustomerCombinedCleaned[[#This Row],[ID]], Table4[ID], Table4[Deals], "Not Found", 0)</f>
        <v>2</v>
      </c>
      <c r="S1472" s="16">
        <f>_xlfn.XLOOKUP(CustomerCombinedCleaned[[#This Row],[ID]], Table4[ID], Table4[Website], "Not Found", 0)</f>
        <v>4</v>
      </c>
      <c r="T1472" s="16">
        <f>_xlfn.XLOOKUP(CustomerCombinedCleaned[[#This Row],[ID]], Table4[ID], Table4[Catalog], "Not Found", 0)</f>
        <v>1</v>
      </c>
      <c r="U1472" s="16">
        <f>_xlfn.XLOOKUP(CustomerCombinedCleaned[[#This Row],[ID]], Table4[ID], Table4[Store], "Not Found", 0)</f>
        <v>3</v>
      </c>
      <c r="V1472" s="16">
        <f>_xlfn.XLOOKUP(CustomerCombinedCleaned[[#This Row],[ID]], Table4[ID], Table4[Visits], "Not Found", 0)</f>
        <v>6</v>
      </c>
      <c r="W1472" s="16">
        <f>_xlfn.XLOOKUP(CustomerCombinedCleaned[[#This Row],[ID]], Table2[ID],Table2[Complaint], "Not Found", 0 )</f>
        <v>0</v>
      </c>
      <c r="X1472" s="16">
        <f>_xlfn.XLOOKUP(CustomerCombinedCleaned[[#This Row],[ID]], Table2[ID],Table2[Pilot], "Not Found", 0 )</f>
        <v>0</v>
      </c>
      <c r="Y1472" s="16">
        <f>_xlfn.XLOOKUP(CustomerCombinedCleaned[[#This Row],[ID]], Table2[ID],Table2[MC1], "Not Found", 0 )</f>
        <v>0</v>
      </c>
      <c r="Z1472" s="16">
        <f>_xlfn.XLOOKUP(CustomerCombinedCleaned[[#This Row],[ID]], Table2[ID],Table2[MC2], "Not Found", 0 )</f>
        <v>0</v>
      </c>
      <c r="AA1472" s="16">
        <f>_xlfn.XLOOKUP(CustomerCombinedCleaned[[#This Row],[ID]], Table2[ID],Table2[MC3], "Not Found", 0 )</f>
        <v>0</v>
      </c>
      <c r="AB1472" s="16">
        <f>_xlfn.XLOOKUP(CustomerCombinedCleaned[[#This Row],[ID]], Table2[ID],Table2[MC4], "Not Found", 0 )</f>
        <v>1</v>
      </c>
      <c r="AC1472" s="16">
        <f>_xlfn.XLOOKUP(CustomerCombinedCleaned[[#This Row],[ID]], Table2[ID],Table2[MC5], "Not Found", 0 )</f>
        <v>0</v>
      </c>
    </row>
    <row r="1473" spans="1:29" x14ac:dyDescent="0.3">
      <c r="A1473" s="18">
        <v>2520</v>
      </c>
      <c r="B1473" s="16">
        <v>151983</v>
      </c>
      <c r="C1473" s="16">
        <v>0</v>
      </c>
      <c r="D1473" s="16">
        <v>1</v>
      </c>
      <c r="E1473" s="16">
        <v>56</v>
      </c>
      <c r="F1473" s="17" t="s">
        <v>5</v>
      </c>
      <c r="G1473" s="17" t="s">
        <v>11</v>
      </c>
      <c r="H1473" s="3" t="s">
        <v>681</v>
      </c>
      <c r="I1473" s="5" t="s">
        <v>436</v>
      </c>
      <c r="J1473" s="16">
        <f>_xlfn.XLOOKUP(CustomerCombinedCleaned[[#This Row],[ID]], Table4[ID], Table4[Recency], "Not Found", 0)</f>
        <v>95</v>
      </c>
      <c r="K1473" s="16">
        <f>_xlfn.XLOOKUP(CustomerCombinedCleaned[[#This Row],[ID]], Table4[ID], Table4[Teas], "Not Found", 0)</f>
        <v>1845</v>
      </c>
      <c r="L1473" s="16">
        <f>_xlfn.XLOOKUP(CustomerCombinedCleaned[[#This Row],[ID]], Table4[ID], Table4[Fruits], "Not Found", 0)</f>
        <v>0</v>
      </c>
      <c r="M1473" s="16">
        <f>_xlfn.XLOOKUP(CustomerCombinedCleaned[[#This Row],[ID]], Table4[ID], Table4[Meats], "Not Found", 0)</f>
        <v>336</v>
      </c>
      <c r="N1473" s="16">
        <f>_xlfn.XLOOKUP(CustomerCombinedCleaned[[#This Row],[ID]], Table4[ID], Table4[Seafood], "Not Found", 0)</f>
        <v>29</v>
      </c>
      <c r="O1473" s="16">
        <f>_xlfn.XLOOKUP(CustomerCombinedCleaned[[#This Row],[ID]], Table4[ID], Table4[Sweets], "Not Found", 0)</f>
        <v>20</v>
      </c>
      <c r="P1473" s="16">
        <f>_xlfn.XLOOKUP(CustomerCombinedCleaned[[#This Row],[ID]], Table4[ID], Table4[Premium], "Not Found", 0)</f>
        <v>88</v>
      </c>
      <c r="Q1473" s="16">
        <f>_xlfn.XLOOKUP(CustomerCombinedCleaned[[#This Row],[ID]], Table4[ID], Table4[Regular], "Not Found", 0)</f>
        <v>2143</v>
      </c>
      <c r="R1473" s="16">
        <f>_xlfn.XLOOKUP(CustomerCombinedCleaned[[#This Row],[ID]], Table4[ID], Table4[Deals], "Not Found", 0)</f>
        <v>3</v>
      </c>
      <c r="S1473" s="16">
        <f>_xlfn.XLOOKUP(CustomerCombinedCleaned[[#This Row],[ID]], Table4[ID], Table4[Website], "Not Found", 0)</f>
        <v>9</v>
      </c>
      <c r="T1473" s="16">
        <f>_xlfn.XLOOKUP(CustomerCombinedCleaned[[#This Row],[ID]], Table4[ID], Table4[Catalog], "Not Found", 0)</f>
        <v>2</v>
      </c>
      <c r="U1473" s="16">
        <f>_xlfn.XLOOKUP(CustomerCombinedCleaned[[#This Row],[ID]], Table4[ID], Table4[Store], "Not Found", 0)</f>
        <v>10</v>
      </c>
      <c r="V1473" s="16">
        <f>_xlfn.XLOOKUP(CustomerCombinedCleaned[[#This Row],[ID]], Table4[ID], Table4[Visits], "Not Found", 0)</f>
        <v>7</v>
      </c>
      <c r="W1473" s="16">
        <f>_xlfn.XLOOKUP(CustomerCombinedCleaned[[#This Row],[ID]], Table2[ID],Table2[Complaint], "Not Found", 0 )</f>
        <v>0</v>
      </c>
      <c r="X1473" s="16">
        <f>_xlfn.XLOOKUP(CustomerCombinedCleaned[[#This Row],[ID]], Table2[ID],Table2[Pilot], "Not Found", 0 )</f>
        <v>0</v>
      </c>
      <c r="Y1473" s="16">
        <f>_xlfn.XLOOKUP(CustomerCombinedCleaned[[#This Row],[ID]], Table2[ID],Table2[MC1], "Not Found", 0 )</f>
        <v>0</v>
      </c>
      <c r="Z1473" s="16">
        <f>_xlfn.XLOOKUP(CustomerCombinedCleaned[[#This Row],[ID]], Table2[ID],Table2[MC2], "Not Found", 0 )</f>
        <v>0</v>
      </c>
      <c r="AA1473" s="16">
        <f>_xlfn.XLOOKUP(CustomerCombinedCleaned[[#This Row],[ID]], Table2[ID],Table2[MC3], "Not Found", 0 )</f>
        <v>0</v>
      </c>
      <c r="AB1473" s="16">
        <f>_xlfn.XLOOKUP(CustomerCombinedCleaned[[#This Row],[ID]], Table2[ID],Table2[MC4], "Not Found", 0 )</f>
        <v>0</v>
      </c>
      <c r="AC1473" s="16">
        <f>_xlfn.XLOOKUP(CustomerCombinedCleaned[[#This Row],[ID]], Table2[ID],Table2[MC5], "Not Found", 0 )</f>
        <v>0</v>
      </c>
    </row>
    <row r="1474" spans="1:29" x14ac:dyDescent="0.3">
      <c r="A1474" s="18">
        <v>1098</v>
      </c>
      <c r="B1474" s="16">
        <v>149096</v>
      </c>
      <c r="C1474" s="16">
        <v>1</v>
      </c>
      <c r="D1474" s="16">
        <v>1</v>
      </c>
      <c r="E1474" s="16">
        <v>56</v>
      </c>
      <c r="F1474" s="17" t="s">
        <v>6</v>
      </c>
      <c r="G1474" s="17" t="s">
        <v>11</v>
      </c>
      <c r="H1474" s="3" t="s">
        <v>175</v>
      </c>
      <c r="I1474" s="5" t="s">
        <v>436</v>
      </c>
      <c r="J1474" s="16">
        <f>_xlfn.XLOOKUP(CustomerCombinedCleaned[[#This Row],[ID]], Table4[ID], Table4[Recency], "Not Found", 0)</f>
        <v>15</v>
      </c>
      <c r="K1474" s="16">
        <f>_xlfn.XLOOKUP(CustomerCombinedCleaned[[#This Row],[ID]], Table4[ID], Table4[Teas], "Not Found", 0)</f>
        <v>437</v>
      </c>
      <c r="L1474" s="16">
        <f>_xlfn.XLOOKUP(CustomerCombinedCleaned[[#This Row],[ID]], Table4[ID], Table4[Fruits], "Not Found", 0)</f>
        <v>3</v>
      </c>
      <c r="M1474" s="16">
        <f>_xlfn.XLOOKUP(CustomerCombinedCleaned[[#This Row],[ID]], Table4[ID], Table4[Meats], "Not Found", 0)</f>
        <v>97</v>
      </c>
      <c r="N1474" s="16">
        <f>_xlfn.XLOOKUP(CustomerCombinedCleaned[[#This Row],[ID]], Table4[ID], Table4[Seafood], "Not Found", 0)</f>
        <v>6</v>
      </c>
      <c r="O1474" s="16">
        <f>_xlfn.XLOOKUP(CustomerCombinedCleaned[[#This Row],[ID]], Table4[ID], Table4[Sweets], "Not Found", 0)</f>
        <v>3</v>
      </c>
      <c r="P1474" s="16">
        <f>_xlfn.XLOOKUP(CustomerCombinedCleaned[[#This Row],[ID]], Table4[ID], Table4[Premium], "Not Found", 0)</f>
        <v>21</v>
      </c>
      <c r="Q1474" s="16">
        <f>_xlfn.XLOOKUP(CustomerCombinedCleaned[[#This Row],[ID]], Table4[ID], Table4[Regular], "Not Found", 0)</f>
        <v>525</v>
      </c>
      <c r="R1474" s="16">
        <f>_xlfn.XLOOKUP(CustomerCombinedCleaned[[#This Row],[ID]], Table4[ID], Table4[Deals], "Not Found", 0)</f>
        <v>4</v>
      </c>
      <c r="S1474" s="16">
        <f>_xlfn.XLOOKUP(CustomerCombinedCleaned[[#This Row],[ID]], Table4[ID], Table4[Website], "Not Found", 0)</f>
        <v>4</v>
      </c>
      <c r="T1474" s="16">
        <f>_xlfn.XLOOKUP(CustomerCombinedCleaned[[#This Row],[ID]], Table4[ID], Table4[Catalog], "Not Found", 0)</f>
        <v>1</v>
      </c>
      <c r="U1474" s="16">
        <f>_xlfn.XLOOKUP(CustomerCombinedCleaned[[#This Row],[ID]], Table4[ID], Table4[Store], "Not Found", 0)</f>
        <v>4</v>
      </c>
      <c r="V1474" s="16">
        <f>_xlfn.XLOOKUP(CustomerCombinedCleaned[[#This Row],[ID]], Table4[ID], Table4[Visits], "Not Found", 0)</f>
        <v>7</v>
      </c>
      <c r="W1474" s="16">
        <f>_xlfn.XLOOKUP(CustomerCombinedCleaned[[#This Row],[ID]], Table2[ID],Table2[Complaint], "Not Found", 0 )</f>
        <v>0</v>
      </c>
      <c r="X1474" s="16">
        <f>_xlfn.XLOOKUP(CustomerCombinedCleaned[[#This Row],[ID]], Table2[ID],Table2[Pilot], "Not Found", 0 )</f>
        <v>0</v>
      </c>
      <c r="Y1474" s="16">
        <f>_xlfn.XLOOKUP(CustomerCombinedCleaned[[#This Row],[ID]], Table2[ID],Table2[MC1], "Not Found", 0 )</f>
        <v>0</v>
      </c>
      <c r="Z1474" s="16">
        <f>_xlfn.XLOOKUP(CustomerCombinedCleaned[[#This Row],[ID]], Table2[ID],Table2[MC2], "Not Found", 0 )</f>
        <v>0</v>
      </c>
      <c r="AA1474" s="16">
        <f>_xlfn.XLOOKUP(CustomerCombinedCleaned[[#This Row],[ID]], Table2[ID],Table2[MC3], "Not Found", 0 )</f>
        <v>0</v>
      </c>
      <c r="AB1474" s="16">
        <f>_xlfn.XLOOKUP(CustomerCombinedCleaned[[#This Row],[ID]], Table2[ID],Table2[MC4], "Not Found", 0 )</f>
        <v>0</v>
      </c>
      <c r="AC1474" s="16">
        <f>_xlfn.XLOOKUP(CustomerCombinedCleaned[[#This Row],[ID]], Table2[ID],Table2[MC5], "Not Found", 0 )</f>
        <v>0</v>
      </c>
    </row>
    <row r="1475" spans="1:29" x14ac:dyDescent="0.3">
      <c r="A1475" s="18">
        <v>1496</v>
      </c>
      <c r="B1475" s="16">
        <v>148920</v>
      </c>
      <c r="C1475" s="16">
        <v>0</v>
      </c>
      <c r="D1475" s="16">
        <v>2</v>
      </c>
      <c r="E1475" s="16">
        <v>56</v>
      </c>
      <c r="F1475" s="17" t="s">
        <v>6</v>
      </c>
      <c r="G1475" s="17" t="s">
        <v>11</v>
      </c>
      <c r="H1475" s="3" t="s">
        <v>162</v>
      </c>
      <c r="I1475" s="5" t="s">
        <v>438</v>
      </c>
      <c r="J1475" s="16">
        <f>_xlfn.XLOOKUP(CustomerCombinedCleaned[[#This Row],[ID]], Table4[ID], Table4[Recency], "Not Found", 0)</f>
        <v>93</v>
      </c>
      <c r="K1475" s="16">
        <f>_xlfn.XLOOKUP(CustomerCombinedCleaned[[#This Row],[ID]], Table4[ID], Table4[Teas], "Not Found", 0)</f>
        <v>725</v>
      </c>
      <c r="L1475" s="16">
        <f>_xlfn.XLOOKUP(CustomerCombinedCleaned[[#This Row],[ID]], Table4[ID], Table4[Fruits], "Not Found", 0)</f>
        <v>52</v>
      </c>
      <c r="M1475" s="16">
        <f>_xlfn.XLOOKUP(CustomerCombinedCleaned[[#This Row],[ID]], Table4[ID], Table4[Meats], "Not Found", 0)</f>
        <v>207</v>
      </c>
      <c r="N1475" s="16">
        <f>_xlfn.XLOOKUP(CustomerCombinedCleaned[[#This Row],[ID]], Table4[ID], Table4[Seafood], "Not Found", 0)</f>
        <v>24</v>
      </c>
      <c r="O1475" s="16">
        <f>_xlfn.XLOOKUP(CustomerCombinedCleaned[[#This Row],[ID]], Table4[ID], Table4[Sweets], "Not Found", 0)</f>
        <v>30</v>
      </c>
      <c r="P1475" s="16">
        <f>_xlfn.XLOOKUP(CustomerCombinedCleaned[[#This Row],[ID]], Table4[ID], Table4[Premium], "Not Found", 0)</f>
        <v>18</v>
      </c>
      <c r="Q1475" s="16">
        <f>_xlfn.XLOOKUP(CustomerCombinedCleaned[[#This Row],[ID]], Table4[ID], Table4[Regular], "Not Found", 0)</f>
        <v>1020</v>
      </c>
      <c r="R1475" s="16">
        <f>_xlfn.XLOOKUP(CustomerCombinedCleaned[[#This Row],[ID]], Table4[ID], Table4[Deals], "Not Found", 0)</f>
        <v>3</v>
      </c>
      <c r="S1475" s="16">
        <f>_xlfn.XLOOKUP(CustomerCombinedCleaned[[#This Row],[ID]], Table4[ID], Table4[Website], "Not Found", 0)</f>
        <v>6</v>
      </c>
      <c r="T1475" s="16">
        <f>_xlfn.XLOOKUP(CustomerCombinedCleaned[[#This Row],[ID]], Table4[ID], Table4[Catalog], "Not Found", 0)</f>
        <v>2</v>
      </c>
      <c r="U1475" s="16">
        <f>_xlfn.XLOOKUP(CustomerCombinedCleaned[[#This Row],[ID]], Table4[ID], Table4[Store], "Not Found", 0)</f>
        <v>5</v>
      </c>
      <c r="V1475" s="16">
        <f>_xlfn.XLOOKUP(CustomerCombinedCleaned[[#This Row],[ID]], Table4[ID], Table4[Visits], "Not Found", 0)</f>
        <v>7</v>
      </c>
      <c r="W1475" s="16">
        <f>_xlfn.XLOOKUP(CustomerCombinedCleaned[[#This Row],[ID]], Table2[ID],Table2[Complaint], "Not Found", 0 )</f>
        <v>0</v>
      </c>
      <c r="X1475" s="16">
        <f>_xlfn.XLOOKUP(CustomerCombinedCleaned[[#This Row],[ID]], Table2[ID],Table2[Pilot], "Not Found", 0 )</f>
        <v>0</v>
      </c>
      <c r="Y1475" s="16">
        <f>_xlfn.XLOOKUP(CustomerCombinedCleaned[[#This Row],[ID]], Table2[ID],Table2[MC1], "Not Found", 0 )</f>
        <v>0</v>
      </c>
      <c r="Z1475" s="16">
        <f>_xlfn.XLOOKUP(CustomerCombinedCleaned[[#This Row],[ID]], Table2[ID],Table2[MC2], "Not Found", 0 )</f>
        <v>0</v>
      </c>
      <c r="AA1475" s="16">
        <f>_xlfn.XLOOKUP(CustomerCombinedCleaned[[#This Row],[ID]], Table2[ID],Table2[MC3], "Not Found", 0 )</f>
        <v>0</v>
      </c>
      <c r="AB1475" s="16">
        <f>_xlfn.XLOOKUP(CustomerCombinedCleaned[[#This Row],[ID]], Table2[ID],Table2[MC4], "Not Found", 0 )</f>
        <v>1</v>
      </c>
      <c r="AC1475" s="16">
        <f>_xlfn.XLOOKUP(CustomerCombinedCleaned[[#This Row],[ID]], Table2[ID],Table2[MC5], "Not Found", 0 )</f>
        <v>0</v>
      </c>
    </row>
    <row r="1476" spans="1:29" x14ac:dyDescent="0.3">
      <c r="A1476" s="18">
        <v>2705</v>
      </c>
      <c r="B1476" s="16">
        <v>146910</v>
      </c>
      <c r="C1476" s="16">
        <v>1</v>
      </c>
      <c r="D1476" s="16">
        <v>1</v>
      </c>
      <c r="E1476" s="16">
        <v>56</v>
      </c>
      <c r="F1476" s="17" t="s">
        <v>8</v>
      </c>
      <c r="G1476" s="17" t="s">
        <v>13</v>
      </c>
      <c r="H1476" s="3" t="s">
        <v>78</v>
      </c>
      <c r="I1476" s="5" t="s">
        <v>434</v>
      </c>
      <c r="J1476" s="16">
        <f>_xlfn.XLOOKUP(CustomerCombinedCleaned[[#This Row],[ID]], Table4[ID], Table4[Recency], "Not Found", 0)</f>
        <v>36</v>
      </c>
      <c r="K1476" s="16">
        <f>_xlfn.XLOOKUP(CustomerCombinedCleaned[[#This Row],[ID]], Table4[ID], Table4[Teas], "Not Found", 0)</f>
        <v>150</v>
      </c>
      <c r="L1476" s="16">
        <f>_xlfn.XLOOKUP(CustomerCombinedCleaned[[#This Row],[ID]], Table4[ID], Table4[Fruits], "Not Found", 0)</f>
        <v>0</v>
      </c>
      <c r="M1476" s="16">
        <f>_xlfn.XLOOKUP(CustomerCombinedCleaned[[#This Row],[ID]], Table4[ID], Table4[Meats], "Not Found", 0)</f>
        <v>44</v>
      </c>
      <c r="N1476" s="16">
        <f>_xlfn.XLOOKUP(CustomerCombinedCleaned[[#This Row],[ID]], Table4[ID], Table4[Seafood], "Not Found", 0)</f>
        <v>0</v>
      </c>
      <c r="O1476" s="16">
        <f>_xlfn.XLOOKUP(CustomerCombinedCleaned[[#This Row],[ID]], Table4[ID], Table4[Sweets], "Not Found", 0)</f>
        <v>0</v>
      </c>
      <c r="P1476" s="16">
        <f>_xlfn.XLOOKUP(CustomerCombinedCleaned[[#This Row],[ID]], Table4[ID], Table4[Premium], "Not Found", 0)</f>
        <v>19</v>
      </c>
      <c r="Q1476" s="16">
        <f>_xlfn.XLOOKUP(CustomerCombinedCleaned[[#This Row],[ID]], Table4[ID], Table4[Regular], "Not Found", 0)</f>
        <v>175</v>
      </c>
      <c r="R1476" s="16">
        <f>_xlfn.XLOOKUP(CustomerCombinedCleaned[[#This Row],[ID]], Table4[ID], Table4[Deals], "Not Found", 0)</f>
        <v>2</v>
      </c>
      <c r="S1476" s="16">
        <f>_xlfn.XLOOKUP(CustomerCombinedCleaned[[#This Row],[ID]], Table4[ID], Table4[Website], "Not Found", 0)</f>
        <v>2</v>
      </c>
      <c r="T1476" s="16">
        <f>_xlfn.XLOOKUP(CustomerCombinedCleaned[[#This Row],[ID]], Table4[ID], Table4[Catalog], "Not Found", 0)</f>
        <v>0</v>
      </c>
      <c r="U1476" s="16">
        <f>_xlfn.XLOOKUP(CustomerCombinedCleaned[[#This Row],[ID]], Table4[ID], Table4[Store], "Not Found", 0)</f>
        <v>3</v>
      </c>
      <c r="V1476" s="16">
        <f>_xlfn.XLOOKUP(CustomerCombinedCleaned[[#This Row],[ID]], Table4[ID], Table4[Visits], "Not Found", 0)</f>
        <v>6</v>
      </c>
      <c r="W1476" s="16">
        <f>_xlfn.XLOOKUP(CustomerCombinedCleaned[[#This Row],[ID]], Table2[ID],Table2[Complaint], "Not Found", 0 )</f>
        <v>0</v>
      </c>
      <c r="X1476" s="16">
        <f>_xlfn.XLOOKUP(CustomerCombinedCleaned[[#This Row],[ID]], Table2[ID],Table2[Pilot], "Not Found", 0 )</f>
        <v>0</v>
      </c>
      <c r="Y1476" s="16">
        <f>_xlfn.XLOOKUP(CustomerCombinedCleaned[[#This Row],[ID]], Table2[ID],Table2[MC1], "Not Found", 0 )</f>
        <v>0</v>
      </c>
      <c r="Z1476" s="16">
        <f>_xlfn.XLOOKUP(CustomerCombinedCleaned[[#This Row],[ID]], Table2[ID],Table2[MC2], "Not Found", 0 )</f>
        <v>0</v>
      </c>
      <c r="AA1476" s="16">
        <f>_xlfn.XLOOKUP(CustomerCombinedCleaned[[#This Row],[ID]], Table2[ID],Table2[MC3], "Not Found", 0 )</f>
        <v>0</v>
      </c>
      <c r="AB1476" s="16">
        <f>_xlfn.XLOOKUP(CustomerCombinedCleaned[[#This Row],[ID]], Table2[ID],Table2[MC4], "Not Found", 0 )</f>
        <v>0</v>
      </c>
      <c r="AC1476" s="16">
        <f>_xlfn.XLOOKUP(CustomerCombinedCleaned[[#This Row],[ID]], Table2[ID],Table2[MC5], "Not Found", 0 )</f>
        <v>0</v>
      </c>
    </row>
    <row r="1477" spans="1:29" x14ac:dyDescent="0.3">
      <c r="A1477" s="18">
        <v>1244</v>
      </c>
      <c r="B1477" s="16">
        <v>145989</v>
      </c>
      <c r="C1477" s="16">
        <v>0</v>
      </c>
      <c r="D1477" s="16">
        <v>1</v>
      </c>
      <c r="E1477" s="16">
        <v>56</v>
      </c>
      <c r="F1477" s="17" t="s">
        <v>7</v>
      </c>
      <c r="G1477" s="17" t="s">
        <v>11</v>
      </c>
      <c r="H1477" s="3" t="s">
        <v>372</v>
      </c>
      <c r="I1477" s="5" t="s">
        <v>438</v>
      </c>
      <c r="J1477" s="16">
        <f>_xlfn.XLOOKUP(CustomerCombinedCleaned[[#This Row],[ID]], Table4[ID], Table4[Recency], "Not Found", 0)</f>
        <v>97</v>
      </c>
      <c r="K1477" s="16">
        <f>_xlfn.XLOOKUP(CustomerCombinedCleaned[[#This Row],[ID]], Table4[ID], Table4[Teas], "Not Found", 0)</f>
        <v>438</v>
      </c>
      <c r="L1477" s="16">
        <f>_xlfn.XLOOKUP(CustomerCombinedCleaned[[#This Row],[ID]], Table4[ID], Table4[Fruits], "Not Found", 0)</f>
        <v>105</v>
      </c>
      <c r="M1477" s="16">
        <f>_xlfn.XLOOKUP(CustomerCombinedCleaned[[#This Row],[ID]], Table4[ID], Table4[Meats], "Not Found", 0)</f>
        <v>276</v>
      </c>
      <c r="N1477" s="16">
        <f>_xlfn.XLOOKUP(CustomerCombinedCleaned[[#This Row],[ID]], Table4[ID], Table4[Seafood], "Not Found", 0)</f>
        <v>89</v>
      </c>
      <c r="O1477" s="16">
        <f>_xlfn.XLOOKUP(CustomerCombinedCleaned[[#This Row],[ID]], Table4[ID], Table4[Sweets], "Not Found", 0)</f>
        <v>76</v>
      </c>
      <c r="P1477" s="16">
        <f>_xlfn.XLOOKUP(CustomerCombinedCleaned[[#This Row],[ID]], Table4[ID], Table4[Premium], "Not Found", 0)</f>
        <v>38</v>
      </c>
      <c r="Q1477" s="16">
        <f>_xlfn.XLOOKUP(CustomerCombinedCleaned[[#This Row],[ID]], Table4[ID], Table4[Regular], "Not Found", 0)</f>
        <v>946</v>
      </c>
      <c r="R1477" s="16">
        <f>_xlfn.XLOOKUP(CustomerCombinedCleaned[[#This Row],[ID]], Table4[ID], Table4[Deals], "Not Found", 0)</f>
        <v>4</v>
      </c>
      <c r="S1477" s="16">
        <f>_xlfn.XLOOKUP(CustomerCombinedCleaned[[#This Row],[ID]], Table4[ID], Table4[Website], "Not Found", 0)</f>
        <v>3</v>
      </c>
      <c r="T1477" s="16">
        <f>_xlfn.XLOOKUP(CustomerCombinedCleaned[[#This Row],[ID]], Table4[ID], Table4[Catalog], "Not Found", 0)</f>
        <v>2</v>
      </c>
      <c r="U1477" s="16">
        <f>_xlfn.XLOOKUP(CustomerCombinedCleaned[[#This Row],[ID]], Table4[ID], Table4[Store], "Not Found", 0)</f>
        <v>7</v>
      </c>
      <c r="V1477" s="16">
        <f>_xlfn.XLOOKUP(CustomerCombinedCleaned[[#This Row],[ID]], Table4[ID], Table4[Visits], "Not Found", 0)</f>
        <v>3</v>
      </c>
      <c r="W1477" s="16">
        <f>_xlfn.XLOOKUP(CustomerCombinedCleaned[[#This Row],[ID]], Table2[ID],Table2[Complaint], "Not Found", 0 )</f>
        <v>0</v>
      </c>
      <c r="X1477" s="16">
        <f>_xlfn.XLOOKUP(CustomerCombinedCleaned[[#This Row],[ID]], Table2[ID],Table2[Pilot], "Not Found", 0 )</f>
        <v>0</v>
      </c>
      <c r="Y1477" s="16">
        <f>_xlfn.XLOOKUP(CustomerCombinedCleaned[[#This Row],[ID]], Table2[ID],Table2[MC1], "Not Found", 0 )</f>
        <v>0</v>
      </c>
      <c r="Z1477" s="16">
        <f>_xlfn.XLOOKUP(CustomerCombinedCleaned[[#This Row],[ID]], Table2[ID],Table2[MC2], "Not Found", 0 )</f>
        <v>0</v>
      </c>
      <c r="AA1477" s="16">
        <f>_xlfn.XLOOKUP(CustomerCombinedCleaned[[#This Row],[ID]], Table2[ID],Table2[MC3], "Not Found", 0 )</f>
        <v>0</v>
      </c>
      <c r="AB1477" s="16">
        <f>_xlfn.XLOOKUP(CustomerCombinedCleaned[[#This Row],[ID]], Table2[ID],Table2[MC4], "Not Found", 0 )</f>
        <v>0</v>
      </c>
      <c r="AC1477" s="16">
        <f>_xlfn.XLOOKUP(CustomerCombinedCleaned[[#This Row],[ID]], Table2[ID],Table2[MC5], "Not Found", 0 )</f>
        <v>0</v>
      </c>
    </row>
    <row r="1478" spans="1:29" x14ac:dyDescent="0.3">
      <c r="A1478" s="18">
        <v>1626</v>
      </c>
      <c r="B1478" s="16">
        <v>145906</v>
      </c>
      <c r="C1478" s="16">
        <v>0</v>
      </c>
      <c r="D1478" s="16">
        <v>1</v>
      </c>
      <c r="E1478" s="16">
        <v>56</v>
      </c>
      <c r="F1478" s="17" t="s">
        <v>7</v>
      </c>
      <c r="G1478" s="17" t="s">
        <v>11</v>
      </c>
      <c r="H1478" s="3" t="s">
        <v>545</v>
      </c>
      <c r="I1478" s="5" t="s">
        <v>436</v>
      </c>
      <c r="J1478" s="16">
        <f>_xlfn.XLOOKUP(CustomerCombinedCleaned[[#This Row],[ID]], Table4[ID], Table4[Recency], "Not Found", 0)</f>
        <v>20</v>
      </c>
      <c r="K1478" s="16">
        <f>_xlfn.XLOOKUP(CustomerCombinedCleaned[[#This Row],[ID]], Table4[ID], Table4[Teas], "Not Found", 0)</f>
        <v>969</v>
      </c>
      <c r="L1478" s="16">
        <f>_xlfn.XLOOKUP(CustomerCombinedCleaned[[#This Row],[ID]], Table4[ID], Table4[Fruits], "Not Found", 0)</f>
        <v>10</v>
      </c>
      <c r="M1478" s="16">
        <f>_xlfn.XLOOKUP(CustomerCombinedCleaned[[#This Row],[ID]], Table4[ID], Table4[Meats], "Not Found", 0)</f>
        <v>86</v>
      </c>
      <c r="N1478" s="16">
        <f>_xlfn.XLOOKUP(CustomerCombinedCleaned[[#This Row],[ID]], Table4[ID], Table4[Seafood], "Not Found", 0)</f>
        <v>13</v>
      </c>
      <c r="O1478" s="16">
        <f>_xlfn.XLOOKUP(CustomerCombinedCleaned[[#This Row],[ID]], Table4[ID], Table4[Sweets], "Not Found", 0)</f>
        <v>10</v>
      </c>
      <c r="P1478" s="16">
        <f>_xlfn.XLOOKUP(CustomerCombinedCleaned[[#This Row],[ID]], Table4[ID], Table4[Premium], "Not Found", 0)</f>
        <v>458</v>
      </c>
      <c r="Q1478" s="16">
        <f>_xlfn.XLOOKUP(CustomerCombinedCleaned[[#This Row],[ID]], Table4[ID], Table4[Regular], "Not Found", 0)</f>
        <v>629</v>
      </c>
      <c r="R1478" s="16">
        <f>_xlfn.XLOOKUP(CustomerCombinedCleaned[[#This Row],[ID]], Table4[ID], Table4[Deals], "Not Found", 0)</f>
        <v>2</v>
      </c>
      <c r="S1478" s="16">
        <f>_xlfn.XLOOKUP(CustomerCombinedCleaned[[#This Row],[ID]], Table4[ID], Table4[Website], "Not Found", 0)</f>
        <v>5</v>
      </c>
      <c r="T1478" s="16">
        <f>_xlfn.XLOOKUP(CustomerCombinedCleaned[[#This Row],[ID]], Table4[ID], Table4[Catalog], "Not Found", 0)</f>
        <v>4</v>
      </c>
      <c r="U1478" s="16">
        <f>_xlfn.XLOOKUP(CustomerCombinedCleaned[[#This Row],[ID]], Table4[ID], Table4[Store], "Not Found", 0)</f>
        <v>4</v>
      </c>
      <c r="V1478" s="16">
        <f>_xlfn.XLOOKUP(CustomerCombinedCleaned[[#This Row],[ID]], Table4[ID], Table4[Visits], "Not Found", 0)</f>
        <v>5</v>
      </c>
      <c r="W1478" s="16">
        <f>_xlfn.XLOOKUP(CustomerCombinedCleaned[[#This Row],[ID]], Table2[ID],Table2[Complaint], "Not Found", 0 )</f>
        <v>0</v>
      </c>
      <c r="X1478" s="16">
        <f>_xlfn.XLOOKUP(CustomerCombinedCleaned[[#This Row],[ID]], Table2[ID],Table2[Pilot], "Not Found", 0 )</f>
        <v>0</v>
      </c>
      <c r="Y1478" s="16">
        <f>_xlfn.XLOOKUP(CustomerCombinedCleaned[[#This Row],[ID]], Table2[ID],Table2[MC1], "Not Found", 0 )</f>
        <v>0</v>
      </c>
      <c r="Z1478" s="16">
        <f>_xlfn.XLOOKUP(CustomerCombinedCleaned[[#This Row],[ID]], Table2[ID],Table2[MC2], "Not Found", 0 )</f>
        <v>0</v>
      </c>
      <c r="AA1478" s="16">
        <f>_xlfn.XLOOKUP(CustomerCombinedCleaned[[#This Row],[ID]], Table2[ID],Table2[MC3], "Not Found", 0 )</f>
        <v>1</v>
      </c>
      <c r="AB1478" s="16">
        <f>_xlfn.XLOOKUP(CustomerCombinedCleaned[[#This Row],[ID]], Table2[ID],Table2[MC4], "Not Found", 0 )</f>
        <v>0</v>
      </c>
      <c r="AC1478" s="16">
        <f>_xlfn.XLOOKUP(CustomerCombinedCleaned[[#This Row],[ID]], Table2[ID],Table2[MC5], "Not Found", 0 )</f>
        <v>0</v>
      </c>
    </row>
    <row r="1479" spans="1:29" x14ac:dyDescent="0.3">
      <c r="A1479" s="18">
        <v>1178</v>
      </c>
      <c r="B1479" s="16">
        <v>145759</v>
      </c>
      <c r="C1479" s="16">
        <v>1</v>
      </c>
      <c r="D1479" s="16">
        <v>1</v>
      </c>
      <c r="E1479" s="16">
        <v>56</v>
      </c>
      <c r="F1479" s="17" t="s">
        <v>6</v>
      </c>
      <c r="G1479" s="17" t="s">
        <v>13</v>
      </c>
      <c r="H1479" s="3" t="s">
        <v>300</v>
      </c>
      <c r="I1479" s="5" t="s">
        <v>438</v>
      </c>
      <c r="J1479" s="16">
        <f>_xlfn.XLOOKUP(CustomerCombinedCleaned[[#This Row],[ID]], Table4[ID], Table4[Recency], "Not Found", 0)</f>
        <v>13</v>
      </c>
      <c r="K1479" s="16">
        <f>_xlfn.XLOOKUP(CustomerCombinedCleaned[[#This Row],[ID]], Table4[ID], Table4[Teas], "Not Found", 0)</f>
        <v>134</v>
      </c>
      <c r="L1479" s="16">
        <f>_xlfn.XLOOKUP(CustomerCombinedCleaned[[#This Row],[ID]], Table4[ID], Table4[Fruits], "Not Found", 0)</f>
        <v>3</v>
      </c>
      <c r="M1479" s="16">
        <f>_xlfn.XLOOKUP(CustomerCombinedCleaned[[#This Row],[ID]], Table4[ID], Table4[Meats], "Not Found", 0)</f>
        <v>57</v>
      </c>
      <c r="N1479" s="16">
        <f>_xlfn.XLOOKUP(CustomerCombinedCleaned[[#This Row],[ID]], Table4[ID], Table4[Seafood], "Not Found", 0)</f>
        <v>10</v>
      </c>
      <c r="O1479" s="16">
        <f>_xlfn.XLOOKUP(CustomerCombinedCleaned[[#This Row],[ID]], Table4[ID], Table4[Sweets], "Not Found", 0)</f>
        <v>0</v>
      </c>
      <c r="P1479" s="16">
        <f>_xlfn.XLOOKUP(CustomerCombinedCleaned[[#This Row],[ID]], Table4[ID], Table4[Premium], "Not Found", 0)</f>
        <v>13</v>
      </c>
      <c r="Q1479" s="16">
        <f>_xlfn.XLOOKUP(CustomerCombinedCleaned[[#This Row],[ID]], Table4[ID], Table4[Regular], "Not Found", 0)</f>
        <v>191</v>
      </c>
      <c r="R1479" s="16">
        <f>_xlfn.XLOOKUP(CustomerCombinedCleaned[[#This Row],[ID]], Table4[ID], Table4[Deals], "Not Found", 0)</f>
        <v>2</v>
      </c>
      <c r="S1479" s="16">
        <f>_xlfn.XLOOKUP(CustomerCombinedCleaned[[#This Row],[ID]], Table4[ID], Table4[Website], "Not Found", 0)</f>
        <v>2</v>
      </c>
      <c r="T1479" s="16">
        <f>_xlfn.XLOOKUP(CustomerCombinedCleaned[[#This Row],[ID]], Table4[ID], Table4[Catalog], "Not Found", 0)</f>
        <v>0</v>
      </c>
      <c r="U1479" s="16">
        <f>_xlfn.XLOOKUP(CustomerCombinedCleaned[[#This Row],[ID]], Table4[ID], Table4[Store], "Not Found", 0)</f>
        <v>3</v>
      </c>
      <c r="V1479" s="16">
        <f>_xlfn.XLOOKUP(CustomerCombinedCleaned[[#This Row],[ID]], Table4[ID], Table4[Visits], "Not Found", 0)</f>
        <v>7</v>
      </c>
      <c r="W1479" s="16">
        <f>_xlfn.XLOOKUP(CustomerCombinedCleaned[[#This Row],[ID]], Table2[ID],Table2[Complaint], "Not Found", 0 )</f>
        <v>0</v>
      </c>
      <c r="X1479" s="16">
        <f>_xlfn.XLOOKUP(CustomerCombinedCleaned[[#This Row],[ID]], Table2[ID],Table2[Pilot], "Not Found", 0 )</f>
        <v>0</v>
      </c>
      <c r="Y1479" s="16">
        <f>_xlfn.XLOOKUP(CustomerCombinedCleaned[[#This Row],[ID]], Table2[ID],Table2[MC1], "Not Found", 0 )</f>
        <v>0</v>
      </c>
      <c r="Z1479" s="16">
        <f>_xlfn.XLOOKUP(CustomerCombinedCleaned[[#This Row],[ID]], Table2[ID],Table2[MC2], "Not Found", 0 )</f>
        <v>0</v>
      </c>
      <c r="AA1479" s="16">
        <f>_xlfn.XLOOKUP(CustomerCombinedCleaned[[#This Row],[ID]], Table2[ID],Table2[MC3], "Not Found", 0 )</f>
        <v>0</v>
      </c>
      <c r="AB1479" s="16">
        <f>_xlfn.XLOOKUP(CustomerCombinedCleaned[[#This Row],[ID]], Table2[ID],Table2[MC4], "Not Found", 0 )</f>
        <v>0</v>
      </c>
      <c r="AC1479" s="16">
        <f>_xlfn.XLOOKUP(CustomerCombinedCleaned[[#This Row],[ID]], Table2[ID],Table2[MC5], "Not Found", 0 )</f>
        <v>0</v>
      </c>
    </row>
    <row r="1480" spans="1:29" x14ac:dyDescent="0.3">
      <c r="A1480" s="18">
        <v>2875</v>
      </c>
      <c r="B1480" s="16">
        <v>145759</v>
      </c>
      <c r="C1480" s="16">
        <v>1</v>
      </c>
      <c r="D1480" s="16">
        <v>1</v>
      </c>
      <c r="E1480" s="16">
        <v>56</v>
      </c>
      <c r="F1480" s="17" t="s">
        <v>6</v>
      </c>
      <c r="G1480" s="17" t="s">
        <v>13</v>
      </c>
      <c r="H1480" s="3" t="s">
        <v>300</v>
      </c>
      <c r="I1480" s="5" t="s">
        <v>437</v>
      </c>
      <c r="J1480" s="16">
        <f>_xlfn.XLOOKUP(CustomerCombinedCleaned[[#This Row],[ID]], Table4[ID], Table4[Recency], "Not Found", 0)</f>
        <v>13</v>
      </c>
      <c r="K1480" s="16">
        <f>_xlfn.XLOOKUP(CustomerCombinedCleaned[[#This Row],[ID]], Table4[ID], Table4[Teas], "Not Found", 0)</f>
        <v>134</v>
      </c>
      <c r="L1480" s="16">
        <f>_xlfn.XLOOKUP(CustomerCombinedCleaned[[#This Row],[ID]], Table4[ID], Table4[Fruits], "Not Found", 0)</f>
        <v>3</v>
      </c>
      <c r="M1480" s="16">
        <f>_xlfn.XLOOKUP(CustomerCombinedCleaned[[#This Row],[ID]], Table4[ID], Table4[Meats], "Not Found", 0)</f>
        <v>57</v>
      </c>
      <c r="N1480" s="16">
        <f>_xlfn.XLOOKUP(CustomerCombinedCleaned[[#This Row],[ID]], Table4[ID], Table4[Seafood], "Not Found", 0)</f>
        <v>10</v>
      </c>
      <c r="O1480" s="16">
        <f>_xlfn.XLOOKUP(CustomerCombinedCleaned[[#This Row],[ID]], Table4[ID], Table4[Sweets], "Not Found", 0)</f>
        <v>0</v>
      </c>
      <c r="P1480" s="16">
        <f>_xlfn.XLOOKUP(CustomerCombinedCleaned[[#This Row],[ID]], Table4[ID], Table4[Premium], "Not Found", 0)</f>
        <v>13</v>
      </c>
      <c r="Q1480" s="16">
        <f>_xlfn.XLOOKUP(CustomerCombinedCleaned[[#This Row],[ID]], Table4[ID], Table4[Regular], "Not Found", 0)</f>
        <v>191</v>
      </c>
      <c r="R1480" s="16">
        <f>_xlfn.XLOOKUP(CustomerCombinedCleaned[[#This Row],[ID]], Table4[ID], Table4[Deals], "Not Found", 0)</f>
        <v>2</v>
      </c>
      <c r="S1480" s="16">
        <f>_xlfn.XLOOKUP(CustomerCombinedCleaned[[#This Row],[ID]], Table4[ID], Table4[Website], "Not Found", 0)</f>
        <v>2</v>
      </c>
      <c r="T1480" s="16">
        <f>_xlfn.XLOOKUP(CustomerCombinedCleaned[[#This Row],[ID]], Table4[ID], Table4[Catalog], "Not Found", 0)</f>
        <v>0</v>
      </c>
      <c r="U1480" s="16">
        <f>_xlfn.XLOOKUP(CustomerCombinedCleaned[[#This Row],[ID]], Table4[ID], Table4[Store], "Not Found", 0)</f>
        <v>3</v>
      </c>
      <c r="V1480" s="16">
        <f>_xlfn.XLOOKUP(CustomerCombinedCleaned[[#This Row],[ID]], Table4[ID], Table4[Visits], "Not Found", 0)</f>
        <v>7</v>
      </c>
      <c r="W1480" s="16">
        <f>_xlfn.XLOOKUP(CustomerCombinedCleaned[[#This Row],[ID]], Table2[ID],Table2[Complaint], "Not Found", 0 )</f>
        <v>0</v>
      </c>
      <c r="X1480" s="16">
        <f>_xlfn.XLOOKUP(CustomerCombinedCleaned[[#This Row],[ID]], Table2[ID],Table2[Pilot], "Not Found", 0 )</f>
        <v>0</v>
      </c>
      <c r="Y1480" s="16">
        <f>_xlfn.XLOOKUP(CustomerCombinedCleaned[[#This Row],[ID]], Table2[ID],Table2[MC1], "Not Found", 0 )</f>
        <v>0</v>
      </c>
      <c r="Z1480" s="16">
        <f>_xlfn.XLOOKUP(CustomerCombinedCleaned[[#This Row],[ID]], Table2[ID],Table2[MC2], "Not Found", 0 )</f>
        <v>0</v>
      </c>
      <c r="AA1480" s="16">
        <f>_xlfn.XLOOKUP(CustomerCombinedCleaned[[#This Row],[ID]], Table2[ID],Table2[MC3], "Not Found", 0 )</f>
        <v>0</v>
      </c>
      <c r="AB1480" s="16">
        <f>_xlfn.XLOOKUP(CustomerCombinedCleaned[[#This Row],[ID]], Table2[ID],Table2[MC4], "Not Found", 0 )</f>
        <v>0</v>
      </c>
      <c r="AC1480" s="16">
        <f>_xlfn.XLOOKUP(CustomerCombinedCleaned[[#This Row],[ID]], Table2[ID],Table2[MC5], "Not Found", 0 )</f>
        <v>0</v>
      </c>
    </row>
    <row r="1481" spans="1:29" x14ac:dyDescent="0.3">
      <c r="A1481" s="18">
        <v>2414</v>
      </c>
      <c r="B1481" s="16">
        <v>142523</v>
      </c>
      <c r="C1481" s="16">
        <v>0</v>
      </c>
      <c r="D1481" s="16">
        <v>0</v>
      </c>
      <c r="E1481" s="16">
        <v>56</v>
      </c>
      <c r="F1481" s="17" t="s">
        <v>6</v>
      </c>
      <c r="G1481" s="17" t="s">
        <v>11</v>
      </c>
      <c r="H1481" s="3" t="s">
        <v>59</v>
      </c>
      <c r="I1481" s="5" t="s">
        <v>438</v>
      </c>
      <c r="J1481" s="16">
        <f>_xlfn.XLOOKUP(CustomerCombinedCleaned[[#This Row],[ID]], Table4[ID], Table4[Recency], "Not Found", 0)</f>
        <v>96</v>
      </c>
      <c r="K1481" s="16">
        <f>_xlfn.XLOOKUP(CustomerCombinedCleaned[[#This Row],[ID]], Table4[ID], Table4[Teas], "Not Found", 0)</f>
        <v>47</v>
      </c>
      <c r="L1481" s="16">
        <f>_xlfn.XLOOKUP(CustomerCombinedCleaned[[#This Row],[ID]], Table4[ID], Table4[Fruits], "Not Found", 0)</f>
        <v>121</v>
      </c>
      <c r="M1481" s="16">
        <f>_xlfn.XLOOKUP(CustomerCombinedCleaned[[#This Row],[ID]], Table4[ID], Table4[Meats], "Not Found", 0)</f>
        <v>37</v>
      </c>
      <c r="N1481" s="16">
        <f>_xlfn.XLOOKUP(CustomerCombinedCleaned[[#This Row],[ID]], Table4[ID], Table4[Seafood], "Not Found", 0)</f>
        <v>10</v>
      </c>
      <c r="O1481" s="16">
        <f>_xlfn.XLOOKUP(CustomerCombinedCleaned[[#This Row],[ID]], Table4[ID], Table4[Sweets], "Not Found", 0)</f>
        <v>87</v>
      </c>
      <c r="P1481" s="16">
        <f>_xlfn.XLOOKUP(CustomerCombinedCleaned[[#This Row],[ID]], Table4[ID], Table4[Premium], "Not Found", 0)</f>
        <v>117</v>
      </c>
      <c r="Q1481" s="16">
        <f>_xlfn.XLOOKUP(CustomerCombinedCleaned[[#This Row],[ID]], Table4[ID], Table4[Regular], "Not Found", 0)</f>
        <v>184</v>
      </c>
      <c r="R1481" s="16">
        <f>_xlfn.XLOOKUP(CustomerCombinedCleaned[[#This Row],[ID]], Table4[ID], Table4[Deals], "Not Found", 0)</f>
        <v>1</v>
      </c>
      <c r="S1481" s="16">
        <f>_xlfn.XLOOKUP(CustomerCombinedCleaned[[#This Row],[ID]], Table4[ID], Table4[Website], "Not Found", 0)</f>
        <v>1</v>
      </c>
      <c r="T1481" s="16">
        <f>_xlfn.XLOOKUP(CustomerCombinedCleaned[[#This Row],[ID]], Table4[ID], Table4[Catalog], "Not Found", 0)</f>
        <v>1</v>
      </c>
      <c r="U1481" s="16">
        <f>_xlfn.XLOOKUP(CustomerCombinedCleaned[[#This Row],[ID]], Table4[ID], Table4[Store], "Not Found", 0)</f>
        <v>4</v>
      </c>
      <c r="V1481" s="16">
        <f>_xlfn.XLOOKUP(CustomerCombinedCleaned[[#This Row],[ID]], Table4[ID], Table4[Visits], "Not Found", 0)</f>
        <v>2</v>
      </c>
      <c r="W1481" s="16">
        <f>_xlfn.XLOOKUP(CustomerCombinedCleaned[[#This Row],[ID]], Table2[ID],Table2[Complaint], "Not Found", 0 )</f>
        <v>0</v>
      </c>
      <c r="X1481" s="16">
        <f>_xlfn.XLOOKUP(CustomerCombinedCleaned[[#This Row],[ID]], Table2[ID],Table2[Pilot], "Not Found", 0 )</f>
        <v>0</v>
      </c>
      <c r="Y1481" s="16">
        <f>_xlfn.XLOOKUP(CustomerCombinedCleaned[[#This Row],[ID]], Table2[ID],Table2[MC1], "Not Found", 0 )</f>
        <v>0</v>
      </c>
      <c r="Z1481" s="16">
        <f>_xlfn.XLOOKUP(CustomerCombinedCleaned[[#This Row],[ID]], Table2[ID],Table2[MC2], "Not Found", 0 )</f>
        <v>0</v>
      </c>
      <c r="AA1481" s="16">
        <f>_xlfn.XLOOKUP(CustomerCombinedCleaned[[#This Row],[ID]], Table2[ID],Table2[MC3], "Not Found", 0 )</f>
        <v>0</v>
      </c>
      <c r="AB1481" s="16">
        <f>_xlfn.XLOOKUP(CustomerCombinedCleaned[[#This Row],[ID]], Table2[ID],Table2[MC4], "Not Found", 0 )</f>
        <v>0</v>
      </c>
      <c r="AC1481" s="16">
        <f>_xlfn.XLOOKUP(CustomerCombinedCleaned[[#This Row],[ID]], Table2[ID],Table2[MC5], "Not Found", 0 )</f>
        <v>0</v>
      </c>
    </row>
    <row r="1482" spans="1:29" x14ac:dyDescent="0.3">
      <c r="A1482" s="18">
        <v>3150</v>
      </c>
      <c r="B1482" s="16">
        <v>142523</v>
      </c>
      <c r="C1482" s="16">
        <v>0</v>
      </c>
      <c r="D1482" s="16">
        <v>0</v>
      </c>
      <c r="E1482" s="16">
        <v>56</v>
      </c>
      <c r="F1482" s="17" t="s">
        <v>6</v>
      </c>
      <c r="G1482" s="17" t="s">
        <v>11</v>
      </c>
      <c r="H1482" s="3" t="s">
        <v>59</v>
      </c>
      <c r="I1482" s="5" t="s">
        <v>436</v>
      </c>
      <c r="J1482" s="16">
        <f>_xlfn.XLOOKUP(CustomerCombinedCleaned[[#This Row],[ID]], Table4[ID], Table4[Recency], "Not Found", 0)</f>
        <v>96</v>
      </c>
      <c r="K1482" s="16">
        <f>_xlfn.XLOOKUP(CustomerCombinedCleaned[[#This Row],[ID]], Table4[ID], Table4[Teas], "Not Found", 0)</f>
        <v>47</v>
      </c>
      <c r="L1482" s="16">
        <f>_xlfn.XLOOKUP(CustomerCombinedCleaned[[#This Row],[ID]], Table4[ID], Table4[Fruits], "Not Found", 0)</f>
        <v>121</v>
      </c>
      <c r="M1482" s="16">
        <f>_xlfn.XLOOKUP(CustomerCombinedCleaned[[#This Row],[ID]], Table4[ID], Table4[Meats], "Not Found", 0)</f>
        <v>37</v>
      </c>
      <c r="N1482" s="16">
        <f>_xlfn.XLOOKUP(CustomerCombinedCleaned[[#This Row],[ID]], Table4[ID], Table4[Seafood], "Not Found", 0)</f>
        <v>10</v>
      </c>
      <c r="O1482" s="16">
        <f>_xlfn.XLOOKUP(CustomerCombinedCleaned[[#This Row],[ID]], Table4[ID], Table4[Sweets], "Not Found", 0)</f>
        <v>87</v>
      </c>
      <c r="P1482" s="16">
        <f>_xlfn.XLOOKUP(CustomerCombinedCleaned[[#This Row],[ID]], Table4[ID], Table4[Premium], "Not Found", 0)</f>
        <v>117</v>
      </c>
      <c r="Q1482" s="16">
        <f>_xlfn.XLOOKUP(CustomerCombinedCleaned[[#This Row],[ID]], Table4[ID], Table4[Regular], "Not Found", 0)</f>
        <v>184</v>
      </c>
      <c r="R1482" s="16">
        <f>_xlfn.XLOOKUP(CustomerCombinedCleaned[[#This Row],[ID]], Table4[ID], Table4[Deals], "Not Found", 0)</f>
        <v>1</v>
      </c>
      <c r="S1482" s="16">
        <f>_xlfn.XLOOKUP(CustomerCombinedCleaned[[#This Row],[ID]], Table4[ID], Table4[Website], "Not Found", 0)</f>
        <v>1</v>
      </c>
      <c r="T1482" s="16">
        <f>_xlfn.XLOOKUP(CustomerCombinedCleaned[[#This Row],[ID]], Table4[ID], Table4[Catalog], "Not Found", 0)</f>
        <v>1</v>
      </c>
      <c r="U1482" s="16">
        <f>_xlfn.XLOOKUP(CustomerCombinedCleaned[[#This Row],[ID]], Table4[ID], Table4[Store], "Not Found", 0)</f>
        <v>4</v>
      </c>
      <c r="V1482" s="16">
        <f>_xlfn.XLOOKUP(CustomerCombinedCleaned[[#This Row],[ID]], Table4[ID], Table4[Visits], "Not Found", 0)</f>
        <v>2</v>
      </c>
      <c r="W1482" s="16">
        <f>_xlfn.XLOOKUP(CustomerCombinedCleaned[[#This Row],[ID]], Table2[ID],Table2[Complaint], "Not Found", 0 )</f>
        <v>0</v>
      </c>
      <c r="X1482" s="16">
        <f>_xlfn.XLOOKUP(CustomerCombinedCleaned[[#This Row],[ID]], Table2[ID],Table2[Pilot], "Not Found", 0 )</f>
        <v>0</v>
      </c>
      <c r="Y1482" s="16">
        <f>_xlfn.XLOOKUP(CustomerCombinedCleaned[[#This Row],[ID]], Table2[ID],Table2[MC1], "Not Found", 0 )</f>
        <v>0</v>
      </c>
      <c r="Z1482" s="16">
        <f>_xlfn.XLOOKUP(CustomerCombinedCleaned[[#This Row],[ID]], Table2[ID],Table2[MC2], "Not Found", 0 )</f>
        <v>0</v>
      </c>
      <c r="AA1482" s="16">
        <f>_xlfn.XLOOKUP(CustomerCombinedCleaned[[#This Row],[ID]], Table2[ID],Table2[MC3], "Not Found", 0 )</f>
        <v>0</v>
      </c>
      <c r="AB1482" s="16">
        <f>_xlfn.XLOOKUP(CustomerCombinedCleaned[[#This Row],[ID]], Table2[ID],Table2[MC4], "Not Found", 0 )</f>
        <v>0</v>
      </c>
      <c r="AC1482" s="16">
        <f>_xlfn.XLOOKUP(CustomerCombinedCleaned[[#This Row],[ID]], Table2[ID],Table2[MC5], "Not Found", 0 )</f>
        <v>0</v>
      </c>
    </row>
    <row r="1483" spans="1:29" x14ac:dyDescent="0.3">
      <c r="A1483" s="18">
        <v>3124</v>
      </c>
      <c r="B1483" s="16">
        <v>141713</v>
      </c>
      <c r="C1483" s="16">
        <v>1</v>
      </c>
      <c r="D1483" s="16">
        <v>1</v>
      </c>
      <c r="E1483" s="16">
        <v>56</v>
      </c>
      <c r="F1483" s="17" t="s">
        <v>5</v>
      </c>
      <c r="G1483" s="17" t="s">
        <v>11</v>
      </c>
      <c r="H1483" s="3" t="s">
        <v>552</v>
      </c>
      <c r="I1483" s="5" t="s">
        <v>439</v>
      </c>
      <c r="J1483" s="16">
        <f>_xlfn.XLOOKUP(CustomerCombinedCleaned[[#This Row],[ID]], Table4[ID], Table4[Recency], "Not Found", 0)</f>
        <v>57</v>
      </c>
      <c r="K1483" s="16">
        <f>_xlfn.XLOOKUP(CustomerCombinedCleaned[[#This Row],[ID]], Table4[ID], Table4[Teas], "Not Found", 0)</f>
        <v>262</v>
      </c>
      <c r="L1483" s="16">
        <f>_xlfn.XLOOKUP(CustomerCombinedCleaned[[#This Row],[ID]], Table4[ID], Table4[Fruits], "Not Found", 0)</f>
        <v>27</v>
      </c>
      <c r="M1483" s="16">
        <f>_xlfn.XLOOKUP(CustomerCombinedCleaned[[#This Row],[ID]], Table4[ID], Table4[Meats], "Not Found", 0)</f>
        <v>149</v>
      </c>
      <c r="N1483" s="16">
        <f>_xlfn.XLOOKUP(CustomerCombinedCleaned[[#This Row],[ID]], Table4[ID], Table4[Seafood], "Not Found", 0)</f>
        <v>34</v>
      </c>
      <c r="O1483" s="16">
        <f>_xlfn.XLOOKUP(CustomerCombinedCleaned[[#This Row],[ID]], Table4[ID], Table4[Sweets], "Not Found", 0)</f>
        <v>34</v>
      </c>
      <c r="P1483" s="16">
        <f>_xlfn.XLOOKUP(CustomerCombinedCleaned[[#This Row],[ID]], Table4[ID], Table4[Premium], "Not Found", 0)</f>
        <v>85</v>
      </c>
      <c r="Q1483" s="16">
        <f>_xlfn.XLOOKUP(CustomerCombinedCleaned[[#This Row],[ID]], Table4[ID], Table4[Regular], "Not Found", 0)</f>
        <v>421</v>
      </c>
      <c r="R1483" s="16">
        <f>_xlfn.XLOOKUP(CustomerCombinedCleaned[[#This Row],[ID]], Table4[ID], Table4[Deals], "Not Found", 0)</f>
        <v>5</v>
      </c>
      <c r="S1483" s="16">
        <f>_xlfn.XLOOKUP(CustomerCombinedCleaned[[#This Row],[ID]], Table4[ID], Table4[Website], "Not Found", 0)</f>
        <v>3</v>
      </c>
      <c r="T1483" s="16">
        <f>_xlfn.XLOOKUP(CustomerCombinedCleaned[[#This Row],[ID]], Table4[ID], Table4[Catalog], "Not Found", 0)</f>
        <v>1</v>
      </c>
      <c r="U1483" s="16">
        <f>_xlfn.XLOOKUP(CustomerCombinedCleaned[[#This Row],[ID]], Table4[ID], Table4[Store], "Not Found", 0)</f>
        <v>4</v>
      </c>
      <c r="V1483" s="16">
        <f>_xlfn.XLOOKUP(CustomerCombinedCleaned[[#This Row],[ID]], Table4[ID], Table4[Visits], "Not Found", 0)</f>
        <v>6</v>
      </c>
      <c r="W1483" s="16">
        <f>_xlfn.XLOOKUP(CustomerCombinedCleaned[[#This Row],[ID]], Table2[ID],Table2[Complaint], "Not Found", 0 )</f>
        <v>0</v>
      </c>
      <c r="X1483" s="16">
        <f>_xlfn.XLOOKUP(CustomerCombinedCleaned[[#This Row],[ID]], Table2[ID],Table2[Pilot], "Not Found", 0 )</f>
        <v>0</v>
      </c>
      <c r="Y1483" s="16">
        <f>_xlfn.XLOOKUP(CustomerCombinedCleaned[[#This Row],[ID]], Table2[ID],Table2[MC1], "Not Found", 0 )</f>
        <v>0</v>
      </c>
      <c r="Z1483" s="16">
        <f>_xlfn.XLOOKUP(CustomerCombinedCleaned[[#This Row],[ID]], Table2[ID],Table2[MC2], "Not Found", 0 )</f>
        <v>0</v>
      </c>
      <c r="AA1483" s="16">
        <f>_xlfn.XLOOKUP(CustomerCombinedCleaned[[#This Row],[ID]], Table2[ID],Table2[MC3], "Not Found", 0 )</f>
        <v>0</v>
      </c>
      <c r="AB1483" s="16">
        <f>_xlfn.XLOOKUP(CustomerCombinedCleaned[[#This Row],[ID]], Table2[ID],Table2[MC4], "Not Found", 0 )</f>
        <v>0</v>
      </c>
      <c r="AC1483" s="16">
        <f>_xlfn.XLOOKUP(CustomerCombinedCleaned[[#This Row],[ID]], Table2[ID],Table2[MC5], "Not Found", 0 )</f>
        <v>0</v>
      </c>
    </row>
    <row r="1484" spans="1:29" x14ac:dyDescent="0.3">
      <c r="A1484" s="18">
        <v>2982</v>
      </c>
      <c r="B1484" s="16">
        <v>141638</v>
      </c>
      <c r="C1484" s="16">
        <v>0</v>
      </c>
      <c r="D1484" s="16">
        <v>1</v>
      </c>
      <c r="E1484" s="16">
        <v>56</v>
      </c>
      <c r="F1484" s="17" t="s">
        <v>5</v>
      </c>
      <c r="G1484" s="17" t="s">
        <v>11</v>
      </c>
      <c r="H1484" s="3" t="s">
        <v>310</v>
      </c>
      <c r="I1484" s="5" t="s">
        <v>436</v>
      </c>
      <c r="J1484" s="16">
        <f>_xlfn.XLOOKUP(CustomerCombinedCleaned[[#This Row],[ID]], Table4[ID], Table4[Recency], "Not Found", 0)</f>
        <v>68</v>
      </c>
      <c r="K1484" s="16">
        <f>_xlfn.XLOOKUP(CustomerCombinedCleaned[[#This Row],[ID]], Table4[ID], Table4[Teas], "Not Found", 0)</f>
        <v>1072</v>
      </c>
      <c r="L1484" s="16">
        <f>_xlfn.XLOOKUP(CustomerCombinedCleaned[[#This Row],[ID]], Table4[ID], Table4[Fruits], "Not Found", 0)</f>
        <v>0</v>
      </c>
      <c r="M1484" s="16">
        <f>_xlfn.XLOOKUP(CustomerCombinedCleaned[[#This Row],[ID]], Table4[ID], Table4[Meats], "Not Found", 0)</f>
        <v>105</v>
      </c>
      <c r="N1484" s="16">
        <f>_xlfn.XLOOKUP(CustomerCombinedCleaned[[#This Row],[ID]], Table4[ID], Table4[Seafood], "Not Found", 0)</f>
        <v>14</v>
      </c>
      <c r="O1484" s="16">
        <f>_xlfn.XLOOKUP(CustomerCombinedCleaned[[#This Row],[ID]], Table4[ID], Table4[Sweets], "Not Found", 0)</f>
        <v>0</v>
      </c>
      <c r="P1484" s="16">
        <f>_xlfn.XLOOKUP(CustomerCombinedCleaned[[#This Row],[ID]], Table4[ID], Table4[Premium], "Not Found", 0)</f>
        <v>310</v>
      </c>
      <c r="Q1484" s="16">
        <f>_xlfn.XLOOKUP(CustomerCombinedCleaned[[#This Row],[ID]], Table4[ID], Table4[Regular], "Not Found", 0)</f>
        <v>881</v>
      </c>
      <c r="R1484" s="16">
        <f>_xlfn.XLOOKUP(CustomerCombinedCleaned[[#This Row],[ID]], Table4[ID], Table4[Deals], "Not Found", 0)</f>
        <v>4</v>
      </c>
      <c r="S1484" s="16">
        <f>_xlfn.XLOOKUP(CustomerCombinedCleaned[[#This Row],[ID]], Table4[ID], Table4[Website], "Not Found", 0)</f>
        <v>5</v>
      </c>
      <c r="T1484" s="16">
        <f>_xlfn.XLOOKUP(CustomerCombinedCleaned[[#This Row],[ID]], Table4[ID], Table4[Catalog], "Not Found", 0)</f>
        <v>5</v>
      </c>
      <c r="U1484" s="16">
        <f>_xlfn.XLOOKUP(CustomerCombinedCleaned[[#This Row],[ID]], Table4[ID], Table4[Store], "Not Found", 0)</f>
        <v>3</v>
      </c>
      <c r="V1484" s="16">
        <f>_xlfn.XLOOKUP(CustomerCombinedCleaned[[#This Row],[ID]], Table4[ID], Table4[Visits], "Not Found", 0)</f>
        <v>8</v>
      </c>
      <c r="W1484" s="16">
        <f>_xlfn.XLOOKUP(CustomerCombinedCleaned[[#This Row],[ID]], Table2[ID],Table2[Complaint], "Not Found", 0 )</f>
        <v>0</v>
      </c>
      <c r="X1484" s="16">
        <f>_xlfn.XLOOKUP(CustomerCombinedCleaned[[#This Row],[ID]], Table2[ID],Table2[Pilot], "Not Found", 0 )</f>
        <v>0</v>
      </c>
      <c r="Y1484" s="16">
        <f>_xlfn.XLOOKUP(CustomerCombinedCleaned[[#This Row],[ID]], Table2[ID],Table2[MC1], "Not Found", 0 )</f>
        <v>0</v>
      </c>
      <c r="Z1484" s="16">
        <f>_xlfn.XLOOKUP(CustomerCombinedCleaned[[#This Row],[ID]], Table2[ID],Table2[MC2], "Not Found", 0 )</f>
        <v>0</v>
      </c>
      <c r="AA1484" s="16">
        <f>_xlfn.XLOOKUP(CustomerCombinedCleaned[[#This Row],[ID]], Table2[ID],Table2[MC3], "Not Found", 0 )</f>
        <v>1</v>
      </c>
      <c r="AB1484" s="16">
        <f>_xlfn.XLOOKUP(CustomerCombinedCleaned[[#This Row],[ID]], Table2[ID],Table2[MC4], "Not Found", 0 )</f>
        <v>0</v>
      </c>
      <c r="AC1484" s="16">
        <f>_xlfn.XLOOKUP(CustomerCombinedCleaned[[#This Row],[ID]], Table2[ID],Table2[MC5], "Not Found", 0 )</f>
        <v>0</v>
      </c>
    </row>
    <row r="1485" spans="1:29" x14ac:dyDescent="0.3">
      <c r="A1485" s="18">
        <v>1124</v>
      </c>
      <c r="B1485" s="16">
        <v>141551</v>
      </c>
      <c r="C1485" s="16">
        <v>1</v>
      </c>
      <c r="D1485" s="16">
        <v>1</v>
      </c>
      <c r="E1485" s="16">
        <v>56</v>
      </c>
      <c r="F1485" s="17" t="s">
        <v>6</v>
      </c>
      <c r="G1485" s="17" t="s">
        <v>13</v>
      </c>
      <c r="H1485" s="3" t="s">
        <v>203</v>
      </c>
      <c r="I1485" s="5" t="s">
        <v>438</v>
      </c>
      <c r="J1485" s="16">
        <f>_xlfn.XLOOKUP(CustomerCombinedCleaned[[#This Row],[ID]], Table4[ID], Table4[Recency], "Not Found", 0)</f>
        <v>51</v>
      </c>
      <c r="K1485" s="16">
        <f>_xlfn.XLOOKUP(CustomerCombinedCleaned[[#This Row],[ID]], Table4[ID], Table4[Teas], "Not Found", 0)</f>
        <v>749</v>
      </c>
      <c r="L1485" s="16">
        <f>_xlfn.XLOOKUP(CustomerCombinedCleaned[[#This Row],[ID]], Table4[ID], Table4[Fruits], "Not Found", 0)</f>
        <v>0</v>
      </c>
      <c r="M1485" s="16">
        <f>_xlfn.XLOOKUP(CustomerCombinedCleaned[[#This Row],[ID]], Table4[ID], Table4[Meats], "Not Found", 0)</f>
        <v>112</v>
      </c>
      <c r="N1485" s="16">
        <f>_xlfn.XLOOKUP(CustomerCombinedCleaned[[#This Row],[ID]], Table4[ID], Table4[Seafood], "Not Found", 0)</f>
        <v>10</v>
      </c>
      <c r="O1485" s="16">
        <f>_xlfn.XLOOKUP(CustomerCombinedCleaned[[#This Row],[ID]], Table4[ID], Table4[Sweets], "Not Found", 0)</f>
        <v>0</v>
      </c>
      <c r="P1485" s="16">
        <f>_xlfn.XLOOKUP(CustomerCombinedCleaned[[#This Row],[ID]], Table4[ID], Table4[Premium], "Not Found", 0)</f>
        <v>78</v>
      </c>
      <c r="Q1485" s="16">
        <f>_xlfn.XLOOKUP(CustomerCombinedCleaned[[#This Row],[ID]], Table4[ID], Table4[Regular], "Not Found", 0)</f>
        <v>794</v>
      </c>
      <c r="R1485" s="16">
        <f>_xlfn.XLOOKUP(CustomerCombinedCleaned[[#This Row],[ID]], Table4[ID], Table4[Deals], "Not Found", 0)</f>
        <v>5</v>
      </c>
      <c r="S1485" s="16">
        <f>_xlfn.XLOOKUP(CustomerCombinedCleaned[[#This Row],[ID]], Table4[ID], Table4[Website], "Not Found", 0)</f>
        <v>5</v>
      </c>
      <c r="T1485" s="16">
        <f>_xlfn.XLOOKUP(CustomerCombinedCleaned[[#This Row],[ID]], Table4[ID], Table4[Catalog], "Not Found", 0)</f>
        <v>1</v>
      </c>
      <c r="U1485" s="16">
        <f>_xlfn.XLOOKUP(CustomerCombinedCleaned[[#This Row],[ID]], Table4[ID], Table4[Store], "Not Found", 0)</f>
        <v>5</v>
      </c>
      <c r="V1485" s="16">
        <f>_xlfn.XLOOKUP(CustomerCombinedCleaned[[#This Row],[ID]], Table4[ID], Table4[Visits], "Not Found", 0)</f>
        <v>8</v>
      </c>
      <c r="W1485" s="16">
        <f>_xlfn.XLOOKUP(CustomerCombinedCleaned[[#This Row],[ID]], Table2[ID],Table2[Complaint], "Not Found", 0 )</f>
        <v>0</v>
      </c>
      <c r="X1485" s="16">
        <f>_xlfn.XLOOKUP(CustomerCombinedCleaned[[#This Row],[ID]], Table2[ID],Table2[Pilot], "Not Found", 0 )</f>
        <v>0</v>
      </c>
      <c r="Y1485" s="16">
        <f>_xlfn.XLOOKUP(CustomerCombinedCleaned[[#This Row],[ID]], Table2[ID],Table2[MC1], "Not Found", 0 )</f>
        <v>0</v>
      </c>
      <c r="Z1485" s="16">
        <f>_xlfn.XLOOKUP(CustomerCombinedCleaned[[#This Row],[ID]], Table2[ID],Table2[MC2], "Not Found", 0 )</f>
        <v>0</v>
      </c>
      <c r="AA1485" s="16">
        <f>_xlfn.XLOOKUP(CustomerCombinedCleaned[[#This Row],[ID]], Table2[ID],Table2[MC3], "Not Found", 0 )</f>
        <v>0</v>
      </c>
      <c r="AB1485" s="16">
        <f>_xlfn.XLOOKUP(CustomerCombinedCleaned[[#This Row],[ID]], Table2[ID],Table2[MC4], "Not Found", 0 )</f>
        <v>0</v>
      </c>
      <c r="AC1485" s="16">
        <f>_xlfn.XLOOKUP(CustomerCombinedCleaned[[#This Row],[ID]], Table2[ID],Table2[MC5], "Not Found", 0 )</f>
        <v>0</v>
      </c>
    </row>
    <row r="1486" spans="1:29" x14ac:dyDescent="0.3">
      <c r="A1486" s="18">
        <v>2258</v>
      </c>
      <c r="B1486" s="16">
        <v>140800</v>
      </c>
      <c r="C1486" s="16">
        <v>1</v>
      </c>
      <c r="D1486" s="16">
        <v>2</v>
      </c>
      <c r="E1486" s="16">
        <v>56</v>
      </c>
      <c r="F1486" s="17" t="s">
        <v>6</v>
      </c>
      <c r="G1486" s="17" t="s">
        <v>11</v>
      </c>
      <c r="H1486" s="3" t="s">
        <v>771</v>
      </c>
      <c r="I1486" s="5" t="s">
        <v>438</v>
      </c>
      <c r="J1486" s="16">
        <f>_xlfn.XLOOKUP(CustomerCombinedCleaned[[#This Row],[ID]], Table4[ID], Table4[Recency], "Not Found", 0)</f>
        <v>77</v>
      </c>
      <c r="K1486" s="16">
        <f>_xlfn.XLOOKUP(CustomerCombinedCleaned[[#This Row],[ID]], Table4[ID], Table4[Teas], "Not Found", 0)</f>
        <v>83</v>
      </c>
      <c r="L1486" s="16">
        <f>_xlfn.XLOOKUP(CustomerCombinedCleaned[[#This Row],[ID]], Table4[ID], Table4[Fruits], "Not Found", 0)</f>
        <v>0</v>
      </c>
      <c r="M1486" s="16">
        <f>_xlfn.XLOOKUP(CustomerCombinedCleaned[[#This Row],[ID]], Table4[ID], Table4[Meats], "Not Found", 0)</f>
        <v>93</v>
      </c>
      <c r="N1486" s="16">
        <f>_xlfn.XLOOKUP(CustomerCombinedCleaned[[#This Row],[ID]], Table4[ID], Table4[Seafood], "Not Found", 0)</f>
        <v>28</v>
      </c>
      <c r="O1486" s="16">
        <f>_xlfn.XLOOKUP(CustomerCombinedCleaned[[#This Row],[ID]], Table4[ID], Table4[Sweets], "Not Found", 0)</f>
        <v>104</v>
      </c>
      <c r="P1486" s="16">
        <f>_xlfn.XLOOKUP(CustomerCombinedCleaned[[#This Row],[ID]], Table4[ID], Table4[Premium], "Not Found", 0)</f>
        <v>35</v>
      </c>
      <c r="Q1486" s="16">
        <f>_xlfn.XLOOKUP(CustomerCombinedCleaned[[#This Row],[ID]], Table4[ID], Table4[Regular], "Not Found", 0)</f>
        <v>273</v>
      </c>
      <c r="R1486" s="16">
        <f>_xlfn.XLOOKUP(CustomerCombinedCleaned[[#This Row],[ID]], Table4[ID], Table4[Deals], "Not Found", 0)</f>
        <v>2</v>
      </c>
      <c r="S1486" s="16">
        <f>_xlfn.XLOOKUP(CustomerCombinedCleaned[[#This Row],[ID]], Table4[ID], Table4[Website], "Not Found", 0)</f>
        <v>3</v>
      </c>
      <c r="T1486" s="16">
        <f>_xlfn.XLOOKUP(CustomerCombinedCleaned[[#This Row],[ID]], Table4[ID], Table4[Catalog], "Not Found", 0)</f>
        <v>0</v>
      </c>
      <c r="U1486" s="16">
        <f>_xlfn.XLOOKUP(CustomerCombinedCleaned[[#This Row],[ID]], Table4[ID], Table4[Store], "Not Found", 0)</f>
        <v>3</v>
      </c>
      <c r="V1486" s="16">
        <f>_xlfn.XLOOKUP(CustomerCombinedCleaned[[#This Row],[ID]], Table4[ID], Table4[Visits], "Not Found", 0)</f>
        <v>7</v>
      </c>
      <c r="W1486" s="16">
        <f>_xlfn.XLOOKUP(CustomerCombinedCleaned[[#This Row],[ID]], Table2[ID],Table2[Complaint], "Not Found", 0 )</f>
        <v>1</v>
      </c>
      <c r="X1486" s="16">
        <f>_xlfn.XLOOKUP(CustomerCombinedCleaned[[#This Row],[ID]], Table2[ID],Table2[Pilot], "Not Found", 0 )</f>
        <v>0</v>
      </c>
      <c r="Y1486" s="16">
        <f>_xlfn.XLOOKUP(CustomerCombinedCleaned[[#This Row],[ID]], Table2[ID],Table2[MC1], "Not Found", 0 )</f>
        <v>0</v>
      </c>
      <c r="Z1486" s="16">
        <f>_xlfn.XLOOKUP(CustomerCombinedCleaned[[#This Row],[ID]], Table2[ID],Table2[MC2], "Not Found", 0 )</f>
        <v>0</v>
      </c>
      <c r="AA1486" s="16">
        <f>_xlfn.XLOOKUP(CustomerCombinedCleaned[[#This Row],[ID]], Table2[ID],Table2[MC3], "Not Found", 0 )</f>
        <v>0</v>
      </c>
      <c r="AB1486" s="16">
        <f>_xlfn.XLOOKUP(CustomerCombinedCleaned[[#This Row],[ID]], Table2[ID],Table2[MC4], "Not Found", 0 )</f>
        <v>0</v>
      </c>
      <c r="AC1486" s="16">
        <f>_xlfn.XLOOKUP(CustomerCombinedCleaned[[#This Row],[ID]], Table2[ID],Table2[MC5], "Not Found", 0 )</f>
        <v>0</v>
      </c>
    </row>
    <row r="1487" spans="1:29" x14ac:dyDescent="0.3">
      <c r="A1487" s="18">
        <v>1232</v>
      </c>
      <c r="B1487" s="16">
        <v>131686</v>
      </c>
      <c r="C1487" s="16">
        <v>1</v>
      </c>
      <c r="D1487" s="16">
        <v>1</v>
      </c>
      <c r="E1487" s="16">
        <v>56</v>
      </c>
      <c r="F1487" s="17" t="s">
        <v>6</v>
      </c>
      <c r="G1487" s="17" t="s">
        <v>13</v>
      </c>
      <c r="H1487" s="3" t="s">
        <v>789</v>
      </c>
      <c r="I1487" s="5" t="s">
        <v>438</v>
      </c>
      <c r="J1487" s="16">
        <f>_xlfn.XLOOKUP(CustomerCombinedCleaned[[#This Row],[ID]], Table4[ID], Table4[Recency], "Not Found", 0)</f>
        <v>31</v>
      </c>
      <c r="K1487" s="16">
        <f>_xlfn.XLOOKUP(CustomerCombinedCleaned[[#This Row],[ID]], Table4[ID], Table4[Teas], "Not Found", 0)</f>
        <v>46</v>
      </c>
      <c r="L1487" s="16">
        <f>_xlfn.XLOOKUP(CustomerCombinedCleaned[[#This Row],[ID]], Table4[ID], Table4[Fruits], "Not Found", 0)</f>
        <v>0</v>
      </c>
      <c r="M1487" s="16">
        <f>_xlfn.XLOOKUP(CustomerCombinedCleaned[[#This Row],[ID]], Table4[ID], Table4[Meats], "Not Found", 0)</f>
        <v>21</v>
      </c>
      <c r="N1487" s="16">
        <f>_xlfn.XLOOKUP(CustomerCombinedCleaned[[#This Row],[ID]], Table4[ID], Table4[Seafood], "Not Found", 0)</f>
        <v>0</v>
      </c>
      <c r="O1487" s="16">
        <f>_xlfn.XLOOKUP(CustomerCombinedCleaned[[#This Row],[ID]], Table4[ID], Table4[Sweets], "Not Found", 0)</f>
        <v>0</v>
      </c>
      <c r="P1487" s="16">
        <f>_xlfn.XLOOKUP(CustomerCombinedCleaned[[#This Row],[ID]], Table4[ID], Table4[Premium], "Not Found", 0)</f>
        <v>4</v>
      </c>
      <c r="Q1487" s="16">
        <f>_xlfn.XLOOKUP(CustomerCombinedCleaned[[#This Row],[ID]], Table4[ID], Table4[Regular], "Not Found", 0)</f>
        <v>62</v>
      </c>
      <c r="R1487" s="16">
        <f>_xlfn.XLOOKUP(CustomerCombinedCleaned[[#This Row],[ID]], Table4[ID], Table4[Deals], "Not Found", 0)</f>
        <v>2</v>
      </c>
      <c r="S1487" s="16">
        <f>_xlfn.XLOOKUP(CustomerCombinedCleaned[[#This Row],[ID]], Table4[ID], Table4[Website], "Not Found", 0)</f>
        <v>1</v>
      </c>
      <c r="T1487" s="16">
        <f>_xlfn.XLOOKUP(CustomerCombinedCleaned[[#This Row],[ID]], Table4[ID], Table4[Catalog], "Not Found", 0)</f>
        <v>0</v>
      </c>
      <c r="U1487" s="16">
        <f>_xlfn.XLOOKUP(CustomerCombinedCleaned[[#This Row],[ID]], Table4[ID], Table4[Store], "Not Found", 0)</f>
        <v>3</v>
      </c>
      <c r="V1487" s="16">
        <f>_xlfn.XLOOKUP(CustomerCombinedCleaned[[#This Row],[ID]], Table4[ID], Table4[Visits], "Not Found", 0)</f>
        <v>6</v>
      </c>
      <c r="W1487" s="16">
        <f>_xlfn.XLOOKUP(CustomerCombinedCleaned[[#This Row],[ID]], Table2[ID],Table2[Complaint], "Not Found", 0 )</f>
        <v>0</v>
      </c>
      <c r="X1487" s="16">
        <f>_xlfn.XLOOKUP(CustomerCombinedCleaned[[#This Row],[ID]], Table2[ID],Table2[Pilot], "Not Found", 0 )</f>
        <v>0</v>
      </c>
      <c r="Y1487" s="16">
        <f>_xlfn.XLOOKUP(CustomerCombinedCleaned[[#This Row],[ID]], Table2[ID],Table2[MC1], "Not Found", 0 )</f>
        <v>0</v>
      </c>
      <c r="Z1487" s="16">
        <f>_xlfn.XLOOKUP(CustomerCombinedCleaned[[#This Row],[ID]], Table2[ID],Table2[MC2], "Not Found", 0 )</f>
        <v>0</v>
      </c>
      <c r="AA1487" s="16">
        <f>_xlfn.XLOOKUP(CustomerCombinedCleaned[[#This Row],[ID]], Table2[ID],Table2[MC3], "Not Found", 0 )</f>
        <v>0</v>
      </c>
      <c r="AB1487" s="16">
        <f>_xlfn.XLOOKUP(CustomerCombinedCleaned[[#This Row],[ID]], Table2[ID],Table2[MC4], "Not Found", 0 )</f>
        <v>0</v>
      </c>
      <c r="AC1487" s="16">
        <f>_xlfn.XLOOKUP(CustomerCombinedCleaned[[#This Row],[ID]], Table2[ID],Table2[MC5], "Not Found", 0 )</f>
        <v>0</v>
      </c>
    </row>
    <row r="1488" spans="1:29" x14ac:dyDescent="0.3">
      <c r="A1488" s="18">
        <v>1245</v>
      </c>
      <c r="B1488" s="16">
        <v>118701</v>
      </c>
      <c r="C1488" s="16">
        <v>1</v>
      </c>
      <c r="D1488" s="16">
        <v>1</v>
      </c>
      <c r="E1488" s="16">
        <v>56</v>
      </c>
      <c r="F1488" s="17" t="s">
        <v>7</v>
      </c>
      <c r="G1488" s="17" t="s">
        <v>11</v>
      </c>
      <c r="H1488" s="3" t="s">
        <v>569</v>
      </c>
      <c r="I1488" s="5" t="s">
        <v>435</v>
      </c>
      <c r="J1488" s="16">
        <f>_xlfn.XLOOKUP(CustomerCombinedCleaned[[#This Row],[ID]], Table4[ID], Table4[Recency], "Not Found", 0)</f>
        <v>95</v>
      </c>
      <c r="K1488" s="16">
        <f>_xlfn.XLOOKUP(CustomerCombinedCleaned[[#This Row],[ID]], Table4[ID], Table4[Teas], "Not Found", 0)</f>
        <v>76</v>
      </c>
      <c r="L1488" s="16">
        <f>_xlfn.XLOOKUP(CustomerCombinedCleaned[[#This Row],[ID]], Table4[ID], Table4[Fruits], "Not Found", 0)</f>
        <v>25</v>
      </c>
      <c r="M1488" s="16">
        <f>_xlfn.XLOOKUP(CustomerCombinedCleaned[[#This Row],[ID]], Table4[ID], Table4[Meats], "Not Found", 0)</f>
        <v>13</v>
      </c>
      <c r="N1488" s="16">
        <f>_xlfn.XLOOKUP(CustomerCombinedCleaned[[#This Row],[ID]], Table4[ID], Table4[Seafood], "Not Found", 0)</f>
        <v>63</v>
      </c>
      <c r="O1488" s="16">
        <f>_xlfn.XLOOKUP(CustomerCombinedCleaned[[#This Row],[ID]], Table4[ID], Table4[Sweets], "Not Found", 0)</f>
        <v>38</v>
      </c>
      <c r="P1488" s="16">
        <f>_xlfn.XLOOKUP(CustomerCombinedCleaned[[#This Row],[ID]], Table4[ID], Table4[Premium], "Not Found", 0)</f>
        <v>63</v>
      </c>
      <c r="Q1488" s="16">
        <f>_xlfn.XLOOKUP(CustomerCombinedCleaned[[#This Row],[ID]], Table4[ID], Table4[Regular], "Not Found", 0)</f>
        <v>152</v>
      </c>
      <c r="R1488" s="16">
        <f>_xlfn.XLOOKUP(CustomerCombinedCleaned[[#This Row],[ID]], Table4[ID], Table4[Deals], "Not Found", 0)</f>
        <v>4</v>
      </c>
      <c r="S1488" s="16">
        <f>_xlfn.XLOOKUP(CustomerCombinedCleaned[[#This Row],[ID]], Table4[ID], Table4[Website], "Not Found", 0)</f>
        <v>2</v>
      </c>
      <c r="T1488" s="16">
        <f>_xlfn.XLOOKUP(CustomerCombinedCleaned[[#This Row],[ID]], Table4[ID], Table4[Catalog], "Not Found", 0)</f>
        <v>0</v>
      </c>
      <c r="U1488" s="16">
        <f>_xlfn.XLOOKUP(CustomerCombinedCleaned[[#This Row],[ID]], Table4[ID], Table4[Store], "Not Found", 0)</f>
        <v>4</v>
      </c>
      <c r="V1488" s="16">
        <f>_xlfn.XLOOKUP(CustomerCombinedCleaned[[#This Row],[ID]], Table4[ID], Table4[Visits], "Not Found", 0)</f>
        <v>5</v>
      </c>
      <c r="W1488" s="16">
        <f>_xlfn.XLOOKUP(CustomerCombinedCleaned[[#This Row],[ID]], Table2[ID],Table2[Complaint], "Not Found", 0 )</f>
        <v>0</v>
      </c>
      <c r="X1488" s="16">
        <f>_xlfn.XLOOKUP(CustomerCombinedCleaned[[#This Row],[ID]], Table2[ID],Table2[Pilot], "Not Found", 0 )</f>
        <v>0</v>
      </c>
      <c r="Y1488" s="16">
        <f>_xlfn.XLOOKUP(CustomerCombinedCleaned[[#This Row],[ID]], Table2[ID],Table2[MC1], "Not Found", 0 )</f>
        <v>0</v>
      </c>
      <c r="Z1488" s="16">
        <f>_xlfn.XLOOKUP(CustomerCombinedCleaned[[#This Row],[ID]], Table2[ID],Table2[MC2], "Not Found", 0 )</f>
        <v>0</v>
      </c>
      <c r="AA1488" s="16">
        <f>_xlfn.XLOOKUP(CustomerCombinedCleaned[[#This Row],[ID]], Table2[ID],Table2[MC3], "Not Found", 0 )</f>
        <v>0</v>
      </c>
      <c r="AB1488" s="16">
        <f>_xlfn.XLOOKUP(CustomerCombinedCleaned[[#This Row],[ID]], Table2[ID],Table2[MC4], "Not Found", 0 )</f>
        <v>0</v>
      </c>
      <c r="AC1488" s="16">
        <f>_xlfn.XLOOKUP(CustomerCombinedCleaned[[#This Row],[ID]], Table2[ID],Table2[MC5], "Not Found", 0 )</f>
        <v>0</v>
      </c>
    </row>
    <row r="1489" spans="1:29" x14ac:dyDescent="0.3">
      <c r="A1489" s="18">
        <v>2782</v>
      </c>
      <c r="B1489" s="16">
        <v>118701</v>
      </c>
      <c r="C1489" s="16">
        <v>1</v>
      </c>
      <c r="D1489" s="16">
        <v>1</v>
      </c>
      <c r="E1489" s="16">
        <v>56</v>
      </c>
      <c r="F1489" s="17" t="s">
        <v>7</v>
      </c>
      <c r="G1489" s="17" t="s">
        <v>11</v>
      </c>
      <c r="H1489" s="3" t="s">
        <v>569</v>
      </c>
      <c r="I1489" s="5" t="s">
        <v>439</v>
      </c>
      <c r="J1489" s="16">
        <f>_xlfn.XLOOKUP(CustomerCombinedCleaned[[#This Row],[ID]], Table4[ID], Table4[Recency], "Not Found", 0)</f>
        <v>95</v>
      </c>
      <c r="K1489" s="16">
        <f>_xlfn.XLOOKUP(CustomerCombinedCleaned[[#This Row],[ID]], Table4[ID], Table4[Teas], "Not Found", 0)</f>
        <v>76</v>
      </c>
      <c r="L1489" s="16">
        <f>_xlfn.XLOOKUP(CustomerCombinedCleaned[[#This Row],[ID]], Table4[ID], Table4[Fruits], "Not Found", 0)</f>
        <v>25</v>
      </c>
      <c r="M1489" s="16">
        <f>_xlfn.XLOOKUP(CustomerCombinedCleaned[[#This Row],[ID]], Table4[ID], Table4[Meats], "Not Found", 0)</f>
        <v>13</v>
      </c>
      <c r="N1489" s="16">
        <f>_xlfn.XLOOKUP(CustomerCombinedCleaned[[#This Row],[ID]], Table4[ID], Table4[Seafood], "Not Found", 0)</f>
        <v>63</v>
      </c>
      <c r="O1489" s="16">
        <f>_xlfn.XLOOKUP(CustomerCombinedCleaned[[#This Row],[ID]], Table4[ID], Table4[Sweets], "Not Found", 0)</f>
        <v>38</v>
      </c>
      <c r="P1489" s="16">
        <f>_xlfn.XLOOKUP(CustomerCombinedCleaned[[#This Row],[ID]], Table4[ID], Table4[Premium], "Not Found", 0)</f>
        <v>63</v>
      </c>
      <c r="Q1489" s="16">
        <f>_xlfn.XLOOKUP(CustomerCombinedCleaned[[#This Row],[ID]], Table4[ID], Table4[Regular], "Not Found", 0)</f>
        <v>152</v>
      </c>
      <c r="R1489" s="16">
        <f>_xlfn.XLOOKUP(CustomerCombinedCleaned[[#This Row],[ID]], Table4[ID], Table4[Deals], "Not Found", 0)</f>
        <v>4</v>
      </c>
      <c r="S1489" s="16">
        <f>_xlfn.XLOOKUP(CustomerCombinedCleaned[[#This Row],[ID]], Table4[ID], Table4[Website], "Not Found", 0)</f>
        <v>2</v>
      </c>
      <c r="T1489" s="16">
        <f>_xlfn.XLOOKUP(CustomerCombinedCleaned[[#This Row],[ID]], Table4[ID], Table4[Catalog], "Not Found", 0)</f>
        <v>0</v>
      </c>
      <c r="U1489" s="16">
        <f>_xlfn.XLOOKUP(CustomerCombinedCleaned[[#This Row],[ID]], Table4[ID], Table4[Store], "Not Found", 0)</f>
        <v>4</v>
      </c>
      <c r="V1489" s="16">
        <f>_xlfn.XLOOKUP(CustomerCombinedCleaned[[#This Row],[ID]], Table4[ID], Table4[Visits], "Not Found", 0)</f>
        <v>5</v>
      </c>
      <c r="W1489" s="16">
        <f>_xlfn.XLOOKUP(CustomerCombinedCleaned[[#This Row],[ID]], Table2[ID],Table2[Complaint], "Not Found", 0 )</f>
        <v>0</v>
      </c>
      <c r="X1489" s="16">
        <f>_xlfn.XLOOKUP(CustomerCombinedCleaned[[#This Row],[ID]], Table2[ID],Table2[Pilot], "Not Found", 0 )</f>
        <v>0</v>
      </c>
      <c r="Y1489" s="16">
        <f>_xlfn.XLOOKUP(CustomerCombinedCleaned[[#This Row],[ID]], Table2[ID],Table2[MC1], "Not Found", 0 )</f>
        <v>0</v>
      </c>
      <c r="Z1489" s="16">
        <f>_xlfn.XLOOKUP(CustomerCombinedCleaned[[#This Row],[ID]], Table2[ID],Table2[MC2], "Not Found", 0 )</f>
        <v>0</v>
      </c>
      <c r="AA1489" s="16">
        <f>_xlfn.XLOOKUP(CustomerCombinedCleaned[[#This Row],[ID]], Table2[ID],Table2[MC3], "Not Found", 0 )</f>
        <v>0</v>
      </c>
      <c r="AB1489" s="16">
        <f>_xlfn.XLOOKUP(CustomerCombinedCleaned[[#This Row],[ID]], Table2[ID],Table2[MC4], "Not Found", 0 )</f>
        <v>0</v>
      </c>
      <c r="AC1489" s="16">
        <f>_xlfn.XLOOKUP(CustomerCombinedCleaned[[#This Row],[ID]], Table2[ID],Table2[MC5], "Not Found", 0 )</f>
        <v>0</v>
      </c>
    </row>
    <row r="1490" spans="1:29" x14ac:dyDescent="0.3">
      <c r="A1490" s="18">
        <v>1658</v>
      </c>
      <c r="B1490" s="16">
        <v>181300</v>
      </c>
      <c r="C1490" s="16">
        <v>0</v>
      </c>
      <c r="D1490" s="16">
        <v>1</v>
      </c>
      <c r="E1490" s="16">
        <v>57</v>
      </c>
      <c r="F1490" s="17" t="s">
        <v>6</v>
      </c>
      <c r="G1490" s="17" t="s">
        <v>13</v>
      </c>
      <c r="H1490" s="3" t="s">
        <v>597</v>
      </c>
      <c r="I1490" s="5" t="s">
        <v>438</v>
      </c>
      <c r="J1490" s="16">
        <f>_xlfn.XLOOKUP(CustomerCombinedCleaned[[#This Row],[ID]], Table4[ID], Table4[Recency], "Not Found", 0)</f>
        <v>17</v>
      </c>
      <c r="K1490" s="16">
        <f>_xlfn.XLOOKUP(CustomerCombinedCleaned[[#This Row],[ID]], Table4[ID], Table4[Teas], "Not Found", 0)</f>
        <v>2239</v>
      </c>
      <c r="L1490" s="16">
        <f>_xlfn.XLOOKUP(CustomerCombinedCleaned[[#This Row],[ID]], Table4[ID], Table4[Fruits], "Not Found", 0)</f>
        <v>27</v>
      </c>
      <c r="M1490" s="16">
        <f>_xlfn.XLOOKUP(CustomerCombinedCleaned[[#This Row],[ID]], Table4[ID], Table4[Meats], "Not Found", 0)</f>
        <v>323</v>
      </c>
      <c r="N1490" s="16">
        <f>_xlfn.XLOOKUP(CustomerCombinedCleaned[[#This Row],[ID]], Table4[ID], Table4[Seafood], "Not Found", 0)</f>
        <v>71</v>
      </c>
      <c r="O1490" s="16">
        <f>_xlfn.XLOOKUP(CustomerCombinedCleaned[[#This Row],[ID]], Table4[ID], Table4[Sweets], "Not Found", 0)</f>
        <v>27</v>
      </c>
      <c r="P1490" s="16">
        <f>_xlfn.XLOOKUP(CustomerCombinedCleaned[[#This Row],[ID]], Table4[ID], Table4[Premium], "Not Found", 0)</f>
        <v>80</v>
      </c>
      <c r="Q1490" s="16">
        <f>_xlfn.XLOOKUP(CustomerCombinedCleaned[[#This Row],[ID]], Table4[ID], Table4[Regular], "Not Found", 0)</f>
        <v>2607</v>
      </c>
      <c r="R1490" s="16">
        <f>_xlfn.XLOOKUP(CustomerCombinedCleaned[[#This Row],[ID]], Table4[ID], Table4[Deals], "Not Found", 0)</f>
        <v>3</v>
      </c>
      <c r="S1490" s="16">
        <f>_xlfn.XLOOKUP(CustomerCombinedCleaned[[#This Row],[ID]], Table4[ID], Table4[Website], "Not Found", 0)</f>
        <v>10</v>
      </c>
      <c r="T1490" s="16">
        <f>_xlfn.XLOOKUP(CustomerCombinedCleaned[[#This Row],[ID]], Table4[ID], Table4[Catalog], "Not Found", 0)</f>
        <v>3</v>
      </c>
      <c r="U1490" s="16">
        <f>_xlfn.XLOOKUP(CustomerCombinedCleaned[[#This Row],[ID]], Table4[ID], Table4[Store], "Not Found", 0)</f>
        <v>5</v>
      </c>
      <c r="V1490" s="16">
        <f>_xlfn.XLOOKUP(CustomerCombinedCleaned[[#This Row],[ID]], Table4[ID], Table4[Visits], "Not Found", 0)</f>
        <v>5</v>
      </c>
      <c r="W1490" s="16">
        <f>_xlfn.XLOOKUP(CustomerCombinedCleaned[[#This Row],[ID]], Table2[ID],Table2[Complaint], "Not Found", 0 )</f>
        <v>0</v>
      </c>
      <c r="X1490" s="16">
        <f>_xlfn.XLOOKUP(CustomerCombinedCleaned[[#This Row],[ID]], Table2[ID],Table2[Pilot], "Not Found", 0 )</f>
        <v>1</v>
      </c>
      <c r="Y1490" s="16">
        <f>_xlfn.XLOOKUP(CustomerCombinedCleaned[[#This Row],[ID]], Table2[ID],Table2[MC1], "Not Found", 0 )</f>
        <v>1</v>
      </c>
      <c r="Z1490" s="16">
        <f>_xlfn.XLOOKUP(CustomerCombinedCleaned[[#This Row],[ID]], Table2[ID],Table2[MC2], "Not Found", 0 )</f>
        <v>0</v>
      </c>
      <c r="AA1490" s="16">
        <f>_xlfn.XLOOKUP(CustomerCombinedCleaned[[#This Row],[ID]], Table2[ID],Table2[MC3], "Not Found", 0 )</f>
        <v>0</v>
      </c>
      <c r="AB1490" s="16">
        <f>_xlfn.XLOOKUP(CustomerCombinedCleaned[[#This Row],[ID]], Table2[ID],Table2[MC4], "Not Found", 0 )</f>
        <v>0</v>
      </c>
      <c r="AC1490" s="16">
        <f>_xlfn.XLOOKUP(CustomerCombinedCleaned[[#This Row],[ID]], Table2[ID],Table2[MC5], "Not Found", 0 )</f>
        <v>0</v>
      </c>
    </row>
    <row r="1491" spans="1:29" x14ac:dyDescent="0.3">
      <c r="A1491" s="18">
        <v>2338</v>
      </c>
      <c r="B1491" s="16">
        <v>180695</v>
      </c>
      <c r="C1491" s="16">
        <v>0</v>
      </c>
      <c r="D1491" s="16">
        <v>0</v>
      </c>
      <c r="E1491" s="16">
        <v>57</v>
      </c>
      <c r="F1491" s="17" t="s">
        <v>7</v>
      </c>
      <c r="G1491" s="17" t="s">
        <v>11</v>
      </c>
      <c r="H1491" s="3" t="s">
        <v>598</v>
      </c>
      <c r="I1491" s="5" t="s">
        <v>439</v>
      </c>
      <c r="J1491" s="16">
        <f>_xlfn.XLOOKUP(CustomerCombinedCleaned[[#This Row],[ID]], Table4[ID], Table4[Recency], "Not Found", 0)</f>
        <v>85</v>
      </c>
      <c r="K1491" s="16">
        <f>_xlfn.XLOOKUP(CustomerCombinedCleaned[[#This Row],[ID]], Table4[ID], Table4[Teas], "Not Found", 0)</f>
        <v>1247</v>
      </c>
      <c r="L1491" s="16">
        <f>_xlfn.XLOOKUP(CustomerCombinedCleaned[[#This Row],[ID]], Table4[ID], Table4[Fruits], "Not Found", 0)</f>
        <v>289</v>
      </c>
      <c r="M1491" s="16">
        <f>_xlfn.XLOOKUP(CustomerCombinedCleaned[[#This Row],[ID]], Table4[ID], Table4[Meats], "Not Found", 0)</f>
        <v>2203</v>
      </c>
      <c r="N1491" s="16">
        <f>_xlfn.XLOOKUP(CustomerCombinedCleaned[[#This Row],[ID]], Table4[ID], Table4[Seafood], "Not Found", 0)</f>
        <v>432</v>
      </c>
      <c r="O1491" s="16">
        <f>_xlfn.XLOOKUP(CustomerCombinedCleaned[[#This Row],[ID]], Table4[ID], Table4[Sweets], "Not Found", 0)</f>
        <v>83</v>
      </c>
      <c r="P1491" s="16">
        <f>_xlfn.XLOOKUP(CustomerCombinedCleaned[[#This Row],[ID]], Table4[ID], Table4[Premium], "Not Found", 0)</f>
        <v>40</v>
      </c>
      <c r="Q1491" s="16">
        <f>_xlfn.XLOOKUP(CustomerCombinedCleaned[[#This Row],[ID]], Table4[ID], Table4[Regular], "Not Found", 0)</f>
        <v>4214</v>
      </c>
      <c r="R1491" s="16">
        <f>_xlfn.XLOOKUP(CustomerCombinedCleaned[[#This Row],[ID]], Table4[ID], Table4[Deals], "Not Found", 0)</f>
        <v>1</v>
      </c>
      <c r="S1491" s="16">
        <f>_xlfn.XLOOKUP(CustomerCombinedCleaned[[#This Row],[ID]], Table4[ID], Table4[Website], "Not Found", 0)</f>
        <v>5</v>
      </c>
      <c r="T1491" s="16">
        <f>_xlfn.XLOOKUP(CustomerCombinedCleaned[[#This Row],[ID]], Table4[ID], Table4[Catalog], "Not Found", 0)</f>
        <v>8</v>
      </c>
      <c r="U1491" s="16">
        <f>_xlfn.XLOOKUP(CustomerCombinedCleaned[[#This Row],[ID]], Table4[ID], Table4[Store], "Not Found", 0)</f>
        <v>5</v>
      </c>
      <c r="V1491" s="16">
        <f>_xlfn.XLOOKUP(CustomerCombinedCleaned[[#This Row],[ID]], Table4[ID], Table4[Visits], "Not Found", 0)</f>
        <v>2</v>
      </c>
      <c r="W1491" s="16">
        <f>_xlfn.XLOOKUP(CustomerCombinedCleaned[[#This Row],[ID]], Table2[ID],Table2[Complaint], "Not Found", 0 )</f>
        <v>0</v>
      </c>
      <c r="X1491" s="16">
        <f>_xlfn.XLOOKUP(CustomerCombinedCleaned[[#This Row],[ID]], Table2[ID],Table2[Pilot], "Not Found", 0 )</f>
        <v>0</v>
      </c>
      <c r="Y1491" s="16">
        <f>_xlfn.XLOOKUP(CustomerCombinedCleaned[[#This Row],[ID]], Table2[ID],Table2[MC1], "Not Found", 0 )</f>
        <v>0</v>
      </c>
      <c r="Z1491" s="16">
        <f>_xlfn.XLOOKUP(CustomerCombinedCleaned[[#This Row],[ID]], Table2[ID],Table2[MC2], "Not Found", 0 )</f>
        <v>0</v>
      </c>
      <c r="AA1491" s="16">
        <f>_xlfn.XLOOKUP(CustomerCombinedCleaned[[#This Row],[ID]], Table2[ID],Table2[MC3], "Not Found", 0 )</f>
        <v>0</v>
      </c>
      <c r="AB1491" s="16">
        <f>_xlfn.XLOOKUP(CustomerCombinedCleaned[[#This Row],[ID]], Table2[ID],Table2[MC4], "Not Found", 0 )</f>
        <v>0</v>
      </c>
      <c r="AC1491" s="16">
        <f>_xlfn.XLOOKUP(CustomerCombinedCleaned[[#This Row],[ID]], Table2[ID],Table2[MC5], "Not Found", 0 )</f>
        <v>0</v>
      </c>
    </row>
    <row r="1492" spans="1:29" x14ac:dyDescent="0.3">
      <c r="A1492" s="18">
        <v>1253</v>
      </c>
      <c r="B1492" s="16">
        <v>180124</v>
      </c>
      <c r="C1492" s="16">
        <v>0</v>
      </c>
      <c r="D1492" s="16">
        <v>0</v>
      </c>
      <c r="E1492" s="16">
        <v>57</v>
      </c>
      <c r="F1492" s="17" t="s">
        <v>6</v>
      </c>
      <c r="G1492" s="17" t="s">
        <v>11</v>
      </c>
      <c r="H1492" s="3" t="s">
        <v>23</v>
      </c>
      <c r="I1492" s="5" t="s">
        <v>434</v>
      </c>
      <c r="J1492" s="16">
        <f>_xlfn.XLOOKUP(CustomerCombinedCleaned[[#This Row],[ID]], Table4[ID], Table4[Recency], "Not Found", 0)</f>
        <v>47</v>
      </c>
      <c r="K1492" s="16">
        <f>_xlfn.XLOOKUP(CustomerCombinedCleaned[[#This Row],[ID]], Table4[ID], Table4[Teas], "Not Found", 0)</f>
        <v>1086</v>
      </c>
      <c r="L1492" s="16">
        <f>_xlfn.XLOOKUP(CustomerCombinedCleaned[[#This Row],[ID]], Table4[ID], Table4[Fruits], "Not Found", 0)</f>
        <v>189</v>
      </c>
      <c r="M1492" s="16">
        <f>_xlfn.XLOOKUP(CustomerCombinedCleaned[[#This Row],[ID]], Table4[ID], Table4[Meats], "Not Found", 0)</f>
        <v>895</v>
      </c>
      <c r="N1492" s="16">
        <f>_xlfn.XLOOKUP(CustomerCombinedCleaned[[#This Row],[ID]], Table4[ID], Table4[Seafood], "Not Found", 0)</f>
        <v>461</v>
      </c>
      <c r="O1492" s="16">
        <f>_xlfn.XLOOKUP(CustomerCombinedCleaned[[#This Row],[ID]], Table4[ID], Table4[Sweets], "Not Found", 0)</f>
        <v>189</v>
      </c>
      <c r="P1492" s="16">
        <f>_xlfn.XLOOKUP(CustomerCombinedCleaned[[#This Row],[ID]], Table4[ID], Table4[Premium], "Not Found", 0)</f>
        <v>542</v>
      </c>
      <c r="Q1492" s="16">
        <f>_xlfn.XLOOKUP(CustomerCombinedCleaned[[#This Row],[ID]], Table4[ID], Table4[Regular], "Not Found", 0)</f>
        <v>2277</v>
      </c>
      <c r="R1492" s="16">
        <f>_xlfn.XLOOKUP(CustomerCombinedCleaned[[#This Row],[ID]], Table4[ID], Table4[Deals], "Not Found", 0)</f>
        <v>1</v>
      </c>
      <c r="S1492" s="16">
        <f>_xlfn.XLOOKUP(CustomerCombinedCleaned[[#This Row],[ID]], Table4[ID], Table4[Website], "Not Found", 0)</f>
        <v>3</v>
      </c>
      <c r="T1492" s="16">
        <f>_xlfn.XLOOKUP(CustomerCombinedCleaned[[#This Row],[ID]], Table4[ID], Table4[Catalog], "Not Found", 0)</f>
        <v>7</v>
      </c>
      <c r="U1492" s="16">
        <f>_xlfn.XLOOKUP(CustomerCombinedCleaned[[#This Row],[ID]], Table4[ID], Table4[Store], "Not Found", 0)</f>
        <v>8</v>
      </c>
      <c r="V1492" s="16">
        <f>_xlfn.XLOOKUP(CustomerCombinedCleaned[[#This Row],[ID]], Table4[ID], Table4[Visits], "Not Found", 0)</f>
        <v>1</v>
      </c>
      <c r="W1492" s="16">
        <f>_xlfn.XLOOKUP(CustomerCombinedCleaned[[#This Row],[ID]], Table2[ID],Table2[Complaint], "Not Found", 0 )</f>
        <v>0</v>
      </c>
      <c r="X1492" s="16">
        <f>_xlfn.XLOOKUP(CustomerCombinedCleaned[[#This Row],[ID]], Table2[ID],Table2[Pilot], "Not Found", 0 )</f>
        <v>0</v>
      </c>
      <c r="Y1492" s="16">
        <f>_xlfn.XLOOKUP(CustomerCombinedCleaned[[#This Row],[ID]], Table2[ID],Table2[MC1], "Not Found", 0 )</f>
        <v>0</v>
      </c>
      <c r="Z1492" s="16">
        <f>_xlfn.XLOOKUP(CustomerCombinedCleaned[[#This Row],[ID]], Table2[ID],Table2[MC2], "Not Found", 0 )</f>
        <v>0</v>
      </c>
      <c r="AA1492" s="16">
        <f>_xlfn.XLOOKUP(CustomerCombinedCleaned[[#This Row],[ID]], Table2[ID],Table2[MC3], "Not Found", 0 )</f>
        <v>1</v>
      </c>
      <c r="AB1492" s="16">
        <f>_xlfn.XLOOKUP(CustomerCombinedCleaned[[#This Row],[ID]], Table2[ID],Table2[MC4], "Not Found", 0 )</f>
        <v>0</v>
      </c>
      <c r="AC1492" s="16">
        <f>_xlfn.XLOOKUP(CustomerCombinedCleaned[[#This Row],[ID]], Table2[ID],Table2[MC5], "Not Found", 0 )</f>
        <v>0</v>
      </c>
    </row>
    <row r="1493" spans="1:29" x14ac:dyDescent="0.3">
      <c r="A1493" s="18">
        <v>1447</v>
      </c>
      <c r="B1493" s="16">
        <v>180124</v>
      </c>
      <c r="C1493" s="16">
        <v>0</v>
      </c>
      <c r="D1493" s="16">
        <v>0</v>
      </c>
      <c r="E1493" s="16">
        <v>57</v>
      </c>
      <c r="F1493" s="17" t="s">
        <v>6</v>
      </c>
      <c r="G1493" s="17" t="s">
        <v>11</v>
      </c>
      <c r="H1493" s="3" t="s">
        <v>23</v>
      </c>
      <c r="I1493" s="5" t="s">
        <v>437</v>
      </c>
      <c r="J1493" s="16">
        <f>_xlfn.XLOOKUP(CustomerCombinedCleaned[[#This Row],[ID]], Table4[ID], Table4[Recency], "Not Found", 0)</f>
        <v>47</v>
      </c>
      <c r="K1493" s="16">
        <f>_xlfn.XLOOKUP(CustomerCombinedCleaned[[#This Row],[ID]], Table4[ID], Table4[Teas], "Not Found", 0)</f>
        <v>1086</v>
      </c>
      <c r="L1493" s="16">
        <f>_xlfn.XLOOKUP(CustomerCombinedCleaned[[#This Row],[ID]], Table4[ID], Table4[Fruits], "Not Found", 0)</f>
        <v>189</v>
      </c>
      <c r="M1493" s="16">
        <f>_xlfn.XLOOKUP(CustomerCombinedCleaned[[#This Row],[ID]], Table4[ID], Table4[Meats], "Not Found", 0)</f>
        <v>895</v>
      </c>
      <c r="N1493" s="16">
        <f>_xlfn.XLOOKUP(CustomerCombinedCleaned[[#This Row],[ID]], Table4[ID], Table4[Seafood], "Not Found", 0)</f>
        <v>461</v>
      </c>
      <c r="O1493" s="16">
        <f>_xlfn.XLOOKUP(CustomerCombinedCleaned[[#This Row],[ID]], Table4[ID], Table4[Sweets], "Not Found", 0)</f>
        <v>189</v>
      </c>
      <c r="P1493" s="16">
        <f>_xlfn.XLOOKUP(CustomerCombinedCleaned[[#This Row],[ID]], Table4[ID], Table4[Premium], "Not Found", 0)</f>
        <v>542</v>
      </c>
      <c r="Q1493" s="16">
        <f>_xlfn.XLOOKUP(CustomerCombinedCleaned[[#This Row],[ID]], Table4[ID], Table4[Regular], "Not Found", 0)</f>
        <v>2277</v>
      </c>
      <c r="R1493" s="16">
        <f>_xlfn.XLOOKUP(CustomerCombinedCleaned[[#This Row],[ID]], Table4[ID], Table4[Deals], "Not Found", 0)</f>
        <v>1</v>
      </c>
      <c r="S1493" s="16">
        <f>_xlfn.XLOOKUP(CustomerCombinedCleaned[[#This Row],[ID]], Table4[ID], Table4[Website], "Not Found", 0)</f>
        <v>3</v>
      </c>
      <c r="T1493" s="16">
        <f>_xlfn.XLOOKUP(CustomerCombinedCleaned[[#This Row],[ID]], Table4[ID], Table4[Catalog], "Not Found", 0)</f>
        <v>7</v>
      </c>
      <c r="U1493" s="16">
        <f>_xlfn.XLOOKUP(CustomerCombinedCleaned[[#This Row],[ID]], Table4[ID], Table4[Store], "Not Found", 0)</f>
        <v>8</v>
      </c>
      <c r="V1493" s="16">
        <f>_xlfn.XLOOKUP(CustomerCombinedCleaned[[#This Row],[ID]], Table4[ID], Table4[Visits], "Not Found", 0)</f>
        <v>1</v>
      </c>
      <c r="W1493" s="16">
        <f>_xlfn.XLOOKUP(CustomerCombinedCleaned[[#This Row],[ID]], Table2[ID],Table2[Complaint], "Not Found", 0 )</f>
        <v>0</v>
      </c>
      <c r="X1493" s="16">
        <f>_xlfn.XLOOKUP(CustomerCombinedCleaned[[#This Row],[ID]], Table2[ID],Table2[Pilot], "Not Found", 0 )</f>
        <v>0</v>
      </c>
      <c r="Y1493" s="16">
        <f>_xlfn.XLOOKUP(CustomerCombinedCleaned[[#This Row],[ID]], Table2[ID],Table2[MC1], "Not Found", 0 )</f>
        <v>0</v>
      </c>
      <c r="Z1493" s="16">
        <f>_xlfn.XLOOKUP(CustomerCombinedCleaned[[#This Row],[ID]], Table2[ID],Table2[MC2], "Not Found", 0 )</f>
        <v>0</v>
      </c>
      <c r="AA1493" s="16">
        <f>_xlfn.XLOOKUP(CustomerCombinedCleaned[[#This Row],[ID]], Table2[ID],Table2[MC3], "Not Found", 0 )</f>
        <v>1</v>
      </c>
      <c r="AB1493" s="16">
        <f>_xlfn.XLOOKUP(CustomerCombinedCleaned[[#This Row],[ID]], Table2[ID],Table2[MC4], "Not Found", 0 )</f>
        <v>0</v>
      </c>
      <c r="AC1493" s="16">
        <f>_xlfn.XLOOKUP(CustomerCombinedCleaned[[#This Row],[ID]], Table2[ID],Table2[MC5], "Not Found", 0 )</f>
        <v>0</v>
      </c>
    </row>
    <row r="1494" spans="1:29" x14ac:dyDescent="0.3">
      <c r="A1494" s="18">
        <v>2712</v>
      </c>
      <c r="B1494" s="16">
        <v>177437</v>
      </c>
      <c r="C1494" s="16">
        <v>0</v>
      </c>
      <c r="D1494" s="16">
        <v>0</v>
      </c>
      <c r="E1494" s="16">
        <v>57</v>
      </c>
      <c r="F1494" s="17" t="s">
        <v>6</v>
      </c>
      <c r="G1494" s="17" t="s">
        <v>11</v>
      </c>
      <c r="H1494" s="3" t="s">
        <v>623</v>
      </c>
      <c r="I1494" s="5" t="s">
        <v>436</v>
      </c>
      <c r="J1494" s="16">
        <f>_xlfn.XLOOKUP(CustomerCombinedCleaned[[#This Row],[ID]], Table4[ID], Table4[Recency], "Not Found", 0)</f>
        <v>70</v>
      </c>
      <c r="K1494" s="16">
        <f>_xlfn.XLOOKUP(CustomerCombinedCleaned[[#This Row],[ID]], Table4[ID], Table4[Teas], "Not Found", 0)</f>
        <v>1283</v>
      </c>
      <c r="L1494" s="16">
        <f>_xlfn.XLOOKUP(CustomerCombinedCleaned[[#This Row],[ID]], Table4[ID], Table4[Fruits], "Not Found", 0)</f>
        <v>48</v>
      </c>
      <c r="M1494" s="16">
        <f>_xlfn.XLOOKUP(CustomerCombinedCleaned[[#This Row],[ID]], Table4[ID], Table4[Meats], "Not Found", 0)</f>
        <v>1013</v>
      </c>
      <c r="N1494" s="16">
        <f>_xlfn.XLOOKUP(CustomerCombinedCleaned[[#This Row],[ID]], Table4[ID], Table4[Seafood], "Not Found", 0)</f>
        <v>66</v>
      </c>
      <c r="O1494" s="16">
        <f>_xlfn.XLOOKUP(CustomerCombinedCleaned[[#This Row],[ID]], Table4[ID], Table4[Sweets], "Not Found", 0)</f>
        <v>101</v>
      </c>
      <c r="P1494" s="16">
        <f>_xlfn.XLOOKUP(CustomerCombinedCleaned[[#This Row],[ID]], Table4[ID], Table4[Premium], "Not Found", 0)</f>
        <v>66</v>
      </c>
      <c r="Q1494" s="16">
        <f>_xlfn.XLOOKUP(CustomerCombinedCleaned[[#This Row],[ID]], Table4[ID], Table4[Regular], "Not Found", 0)</f>
        <v>2445</v>
      </c>
      <c r="R1494" s="16">
        <f>_xlfn.XLOOKUP(CustomerCombinedCleaned[[#This Row],[ID]], Table4[ID], Table4[Deals], "Not Found", 0)</f>
        <v>1</v>
      </c>
      <c r="S1494" s="16">
        <f>_xlfn.XLOOKUP(CustomerCombinedCleaned[[#This Row],[ID]], Table4[ID], Table4[Website], "Not Found", 0)</f>
        <v>4</v>
      </c>
      <c r="T1494" s="16">
        <f>_xlfn.XLOOKUP(CustomerCombinedCleaned[[#This Row],[ID]], Table4[ID], Table4[Catalog], "Not Found", 0)</f>
        <v>5</v>
      </c>
      <c r="U1494" s="16">
        <f>_xlfn.XLOOKUP(CustomerCombinedCleaned[[#This Row],[ID]], Table4[ID], Table4[Store], "Not Found", 0)</f>
        <v>13</v>
      </c>
      <c r="V1494" s="16">
        <f>_xlfn.XLOOKUP(CustomerCombinedCleaned[[#This Row],[ID]], Table4[ID], Table4[Visits], "Not Found", 0)</f>
        <v>1</v>
      </c>
      <c r="W1494" s="16">
        <f>_xlfn.XLOOKUP(CustomerCombinedCleaned[[#This Row],[ID]], Table2[ID],Table2[Complaint], "Not Found", 0 )</f>
        <v>0</v>
      </c>
      <c r="X1494" s="16">
        <f>_xlfn.XLOOKUP(CustomerCombinedCleaned[[#This Row],[ID]], Table2[ID],Table2[Pilot], "Not Found", 0 )</f>
        <v>0</v>
      </c>
      <c r="Y1494" s="16">
        <f>_xlfn.XLOOKUP(CustomerCombinedCleaned[[#This Row],[ID]], Table2[ID],Table2[MC1], "Not Found", 0 )</f>
        <v>0</v>
      </c>
      <c r="Z1494" s="16">
        <f>_xlfn.XLOOKUP(CustomerCombinedCleaned[[#This Row],[ID]], Table2[ID],Table2[MC2], "Not Found", 0 )</f>
        <v>0</v>
      </c>
      <c r="AA1494" s="16">
        <f>_xlfn.XLOOKUP(CustomerCombinedCleaned[[#This Row],[ID]], Table2[ID],Table2[MC3], "Not Found", 0 )</f>
        <v>0</v>
      </c>
      <c r="AB1494" s="16">
        <f>_xlfn.XLOOKUP(CustomerCombinedCleaned[[#This Row],[ID]], Table2[ID],Table2[MC4], "Not Found", 0 )</f>
        <v>0</v>
      </c>
      <c r="AC1494" s="16">
        <f>_xlfn.XLOOKUP(CustomerCombinedCleaned[[#This Row],[ID]], Table2[ID],Table2[MC5], "Not Found", 0 )</f>
        <v>1</v>
      </c>
    </row>
    <row r="1495" spans="1:29" x14ac:dyDescent="0.3">
      <c r="A1495" s="18">
        <v>2942</v>
      </c>
      <c r="B1495" s="16">
        <v>177226</v>
      </c>
      <c r="C1495" s="16">
        <v>0</v>
      </c>
      <c r="D1495" s="16">
        <v>1</v>
      </c>
      <c r="E1495" s="16">
        <v>57</v>
      </c>
      <c r="F1495" s="17" t="s">
        <v>8</v>
      </c>
      <c r="G1495" s="17" t="s">
        <v>11</v>
      </c>
      <c r="H1495" s="3" t="s">
        <v>626</v>
      </c>
      <c r="I1495" s="5" t="s">
        <v>438</v>
      </c>
      <c r="J1495" s="16">
        <f>_xlfn.XLOOKUP(CustomerCombinedCleaned[[#This Row],[ID]], Table4[ID], Table4[Recency], "Not Found", 0)</f>
        <v>29</v>
      </c>
      <c r="K1495" s="16">
        <f>_xlfn.XLOOKUP(CustomerCombinedCleaned[[#This Row],[ID]], Table4[ID], Table4[Teas], "Not Found", 0)</f>
        <v>1448</v>
      </c>
      <c r="L1495" s="16">
        <f>_xlfn.XLOOKUP(CustomerCombinedCleaned[[#This Row],[ID]], Table4[ID], Table4[Fruits], "Not Found", 0)</f>
        <v>99</v>
      </c>
      <c r="M1495" s="16">
        <f>_xlfn.XLOOKUP(CustomerCombinedCleaned[[#This Row],[ID]], Table4[ID], Table4[Meats], "Not Found", 0)</f>
        <v>548</v>
      </c>
      <c r="N1495" s="16">
        <f>_xlfn.XLOOKUP(CustomerCombinedCleaned[[#This Row],[ID]], Table4[ID], Table4[Seafood], "Not Found", 0)</f>
        <v>294</v>
      </c>
      <c r="O1495" s="16">
        <f>_xlfn.XLOOKUP(CustomerCombinedCleaned[[#This Row],[ID]], Table4[ID], Table4[Sweets], "Not Found", 0)</f>
        <v>174</v>
      </c>
      <c r="P1495" s="16">
        <f>_xlfn.XLOOKUP(CustomerCombinedCleaned[[#This Row],[ID]], Table4[ID], Table4[Premium], "Not Found", 0)</f>
        <v>48</v>
      </c>
      <c r="Q1495" s="16">
        <f>_xlfn.XLOOKUP(CustomerCombinedCleaned[[#This Row],[ID]], Table4[ID], Table4[Regular], "Not Found", 0)</f>
        <v>2515</v>
      </c>
      <c r="R1495" s="16">
        <f>_xlfn.XLOOKUP(CustomerCombinedCleaned[[#This Row],[ID]], Table4[ID], Table4[Deals], "Not Found", 0)</f>
        <v>2</v>
      </c>
      <c r="S1495" s="16">
        <f>_xlfn.XLOOKUP(CustomerCombinedCleaned[[#This Row],[ID]], Table4[ID], Table4[Website], "Not Found", 0)</f>
        <v>6</v>
      </c>
      <c r="T1495" s="16">
        <f>_xlfn.XLOOKUP(CustomerCombinedCleaned[[#This Row],[ID]], Table4[ID], Table4[Catalog], "Not Found", 0)</f>
        <v>8</v>
      </c>
      <c r="U1495" s="16">
        <f>_xlfn.XLOOKUP(CustomerCombinedCleaned[[#This Row],[ID]], Table4[ID], Table4[Store], "Not Found", 0)</f>
        <v>12</v>
      </c>
      <c r="V1495" s="16">
        <f>_xlfn.XLOOKUP(CustomerCombinedCleaned[[#This Row],[ID]], Table4[ID], Table4[Visits], "Not Found", 0)</f>
        <v>3</v>
      </c>
      <c r="W1495" s="16">
        <f>_xlfn.XLOOKUP(CustomerCombinedCleaned[[#This Row],[ID]], Table2[ID],Table2[Complaint], "Not Found", 0 )</f>
        <v>0</v>
      </c>
      <c r="X1495" s="16">
        <f>_xlfn.XLOOKUP(CustomerCombinedCleaned[[#This Row],[ID]], Table2[ID],Table2[Pilot], "Not Found", 0 )</f>
        <v>0</v>
      </c>
      <c r="Y1495" s="16">
        <f>_xlfn.XLOOKUP(CustomerCombinedCleaned[[#This Row],[ID]], Table2[ID],Table2[MC1], "Not Found", 0 )</f>
        <v>0</v>
      </c>
      <c r="Z1495" s="16">
        <f>_xlfn.XLOOKUP(CustomerCombinedCleaned[[#This Row],[ID]], Table2[ID],Table2[MC2], "Not Found", 0 )</f>
        <v>0</v>
      </c>
      <c r="AA1495" s="16">
        <f>_xlfn.XLOOKUP(CustomerCombinedCleaned[[#This Row],[ID]], Table2[ID],Table2[MC3], "Not Found", 0 )</f>
        <v>0</v>
      </c>
      <c r="AB1495" s="16">
        <f>_xlfn.XLOOKUP(CustomerCombinedCleaned[[#This Row],[ID]], Table2[ID],Table2[MC4], "Not Found", 0 )</f>
        <v>0</v>
      </c>
      <c r="AC1495" s="16">
        <f>_xlfn.XLOOKUP(CustomerCombinedCleaned[[#This Row],[ID]], Table2[ID],Table2[MC5], "Not Found", 0 )</f>
        <v>0</v>
      </c>
    </row>
    <row r="1496" spans="1:29" x14ac:dyDescent="0.3">
      <c r="A1496" s="18">
        <v>2965</v>
      </c>
      <c r="B1496" s="16">
        <v>172968</v>
      </c>
      <c r="C1496" s="16">
        <v>0</v>
      </c>
      <c r="D1496" s="16">
        <v>0</v>
      </c>
      <c r="E1496" s="16">
        <v>57</v>
      </c>
      <c r="F1496" s="17" t="s">
        <v>5</v>
      </c>
      <c r="G1496" s="17" t="s">
        <v>13</v>
      </c>
      <c r="H1496" s="3" t="s">
        <v>132</v>
      </c>
      <c r="I1496" s="5" t="s">
        <v>437</v>
      </c>
      <c r="J1496" s="16">
        <f>_xlfn.XLOOKUP(CustomerCombinedCleaned[[#This Row],[ID]], Table4[ID], Table4[Recency], "Not Found", 0)</f>
        <v>8</v>
      </c>
      <c r="K1496" s="16">
        <f>_xlfn.XLOOKUP(CustomerCombinedCleaned[[#This Row],[ID]], Table4[ID], Table4[Teas], "Not Found", 0)</f>
        <v>2589</v>
      </c>
      <c r="L1496" s="16">
        <f>_xlfn.XLOOKUP(CustomerCombinedCleaned[[#This Row],[ID]], Table4[ID], Table4[Fruits], "Not Found", 0)</f>
        <v>88</v>
      </c>
      <c r="M1496" s="16">
        <f>_xlfn.XLOOKUP(CustomerCombinedCleaned[[#This Row],[ID]], Table4[ID], Table4[Meats], "Not Found", 0)</f>
        <v>1403</v>
      </c>
      <c r="N1496" s="16">
        <f>_xlfn.XLOOKUP(CustomerCombinedCleaned[[#This Row],[ID]], Table4[ID], Table4[Seafood], "Not Found", 0)</f>
        <v>344</v>
      </c>
      <c r="O1496" s="16">
        <f>_xlfn.XLOOKUP(CustomerCombinedCleaned[[#This Row],[ID]], Table4[ID], Table4[Sweets], "Not Found", 0)</f>
        <v>88</v>
      </c>
      <c r="P1496" s="16">
        <f>_xlfn.XLOOKUP(CustomerCombinedCleaned[[#This Row],[ID]], Table4[ID], Table4[Premium], "Not Found", 0)</f>
        <v>130</v>
      </c>
      <c r="Q1496" s="16">
        <f>_xlfn.XLOOKUP(CustomerCombinedCleaned[[#This Row],[ID]], Table4[ID], Table4[Regular], "Not Found", 0)</f>
        <v>4381</v>
      </c>
      <c r="R1496" s="16">
        <f>_xlfn.XLOOKUP(CustomerCombinedCleaned[[#This Row],[ID]], Table4[ID], Table4[Deals], "Not Found", 0)</f>
        <v>1</v>
      </c>
      <c r="S1496" s="16">
        <f>_xlfn.XLOOKUP(CustomerCombinedCleaned[[#This Row],[ID]], Table4[ID], Table4[Website], "Not Found", 0)</f>
        <v>5</v>
      </c>
      <c r="T1496" s="16">
        <f>_xlfn.XLOOKUP(CustomerCombinedCleaned[[#This Row],[ID]], Table4[ID], Table4[Catalog], "Not Found", 0)</f>
        <v>5</v>
      </c>
      <c r="U1496" s="16">
        <f>_xlfn.XLOOKUP(CustomerCombinedCleaned[[#This Row],[ID]], Table4[ID], Table4[Store], "Not Found", 0)</f>
        <v>8</v>
      </c>
      <c r="V1496" s="16">
        <f>_xlfn.XLOOKUP(CustomerCombinedCleaned[[#This Row],[ID]], Table4[ID], Table4[Visits], "Not Found", 0)</f>
        <v>3</v>
      </c>
      <c r="W1496" s="16">
        <f>_xlfn.XLOOKUP(CustomerCombinedCleaned[[#This Row],[ID]], Table2[ID],Table2[Complaint], "Not Found", 0 )</f>
        <v>0</v>
      </c>
      <c r="X1496" s="16">
        <f>_xlfn.XLOOKUP(CustomerCombinedCleaned[[#This Row],[ID]], Table2[ID],Table2[Pilot], "Not Found", 0 )</f>
        <v>1</v>
      </c>
      <c r="Y1496" s="16">
        <f>_xlfn.XLOOKUP(CustomerCombinedCleaned[[#This Row],[ID]], Table2[ID],Table2[MC1], "Not Found", 0 )</f>
        <v>1</v>
      </c>
      <c r="Z1496" s="16">
        <f>_xlfn.XLOOKUP(CustomerCombinedCleaned[[#This Row],[ID]], Table2[ID],Table2[MC2], "Not Found", 0 )</f>
        <v>0</v>
      </c>
      <c r="AA1496" s="16">
        <f>_xlfn.XLOOKUP(CustomerCombinedCleaned[[#This Row],[ID]], Table2[ID],Table2[MC3], "Not Found", 0 )</f>
        <v>0</v>
      </c>
      <c r="AB1496" s="16">
        <f>_xlfn.XLOOKUP(CustomerCombinedCleaned[[#This Row],[ID]], Table2[ID],Table2[MC4], "Not Found", 0 )</f>
        <v>0</v>
      </c>
      <c r="AC1496" s="16">
        <f>_xlfn.XLOOKUP(CustomerCombinedCleaned[[#This Row],[ID]], Table2[ID],Table2[MC5], "Not Found", 0 )</f>
        <v>0</v>
      </c>
    </row>
    <row r="1497" spans="1:29" x14ac:dyDescent="0.3">
      <c r="A1497" s="18">
        <v>1662</v>
      </c>
      <c r="B1497" s="16">
        <v>168118</v>
      </c>
      <c r="C1497" s="16">
        <v>0</v>
      </c>
      <c r="D1497" s="16">
        <v>1</v>
      </c>
      <c r="E1497" s="16">
        <v>57</v>
      </c>
      <c r="F1497" s="17" t="s">
        <v>5</v>
      </c>
      <c r="G1497" s="17" t="s">
        <v>11</v>
      </c>
      <c r="H1497" s="3" t="s">
        <v>164</v>
      </c>
      <c r="I1497" s="5" t="s">
        <v>436</v>
      </c>
      <c r="J1497" s="16">
        <f>_xlfn.XLOOKUP(CustomerCombinedCleaned[[#This Row],[ID]], Table4[ID], Table4[Recency], "Not Found", 0)</f>
        <v>51</v>
      </c>
      <c r="K1497" s="16">
        <f>_xlfn.XLOOKUP(CustomerCombinedCleaned[[#This Row],[ID]], Table4[ID], Table4[Teas], "Not Found", 0)</f>
        <v>1468</v>
      </c>
      <c r="L1497" s="16">
        <f>_xlfn.XLOOKUP(CustomerCombinedCleaned[[#This Row],[ID]], Table4[ID], Table4[Fruits], "Not Found", 0)</f>
        <v>57</v>
      </c>
      <c r="M1497" s="16">
        <f>_xlfn.XLOOKUP(CustomerCombinedCleaned[[#This Row],[ID]], Table4[ID], Table4[Meats], "Not Found", 0)</f>
        <v>304</v>
      </c>
      <c r="N1497" s="16">
        <f>_xlfn.XLOOKUP(CustomerCombinedCleaned[[#This Row],[ID]], Table4[ID], Table4[Seafood], "Not Found", 0)</f>
        <v>25</v>
      </c>
      <c r="O1497" s="16">
        <f>_xlfn.XLOOKUP(CustomerCombinedCleaned[[#This Row],[ID]], Table4[ID], Table4[Sweets], "Not Found", 0)</f>
        <v>57</v>
      </c>
      <c r="P1497" s="16">
        <f>_xlfn.XLOOKUP(CustomerCombinedCleaned[[#This Row],[ID]], Table4[ID], Table4[Premium], "Not Found", 0)</f>
        <v>380</v>
      </c>
      <c r="Q1497" s="16">
        <f>_xlfn.XLOOKUP(CustomerCombinedCleaned[[#This Row],[ID]], Table4[ID], Table4[Regular], "Not Found", 0)</f>
        <v>1530</v>
      </c>
      <c r="R1497" s="16">
        <f>_xlfn.XLOOKUP(CustomerCombinedCleaned[[#This Row],[ID]], Table4[ID], Table4[Deals], "Not Found", 0)</f>
        <v>2</v>
      </c>
      <c r="S1497" s="16">
        <f>_xlfn.XLOOKUP(CustomerCombinedCleaned[[#This Row],[ID]], Table4[ID], Table4[Website], "Not Found", 0)</f>
        <v>8</v>
      </c>
      <c r="T1497" s="16">
        <f>_xlfn.XLOOKUP(CustomerCombinedCleaned[[#This Row],[ID]], Table4[ID], Table4[Catalog], "Not Found", 0)</f>
        <v>9</v>
      </c>
      <c r="U1497" s="16">
        <f>_xlfn.XLOOKUP(CustomerCombinedCleaned[[#This Row],[ID]], Table4[ID], Table4[Store], "Not Found", 0)</f>
        <v>4</v>
      </c>
      <c r="V1497" s="16">
        <f>_xlfn.XLOOKUP(CustomerCombinedCleaned[[#This Row],[ID]], Table4[ID], Table4[Visits], "Not Found", 0)</f>
        <v>6</v>
      </c>
      <c r="W1497" s="16">
        <f>_xlfn.XLOOKUP(CustomerCombinedCleaned[[#This Row],[ID]], Table2[ID],Table2[Complaint], "Not Found", 0 )</f>
        <v>0</v>
      </c>
      <c r="X1497" s="16">
        <f>_xlfn.XLOOKUP(CustomerCombinedCleaned[[#This Row],[ID]], Table2[ID],Table2[Pilot], "Not Found", 0 )</f>
        <v>0</v>
      </c>
      <c r="Y1497" s="16">
        <f>_xlfn.XLOOKUP(CustomerCombinedCleaned[[#This Row],[ID]], Table2[ID],Table2[MC1], "Not Found", 0 )</f>
        <v>0</v>
      </c>
      <c r="Z1497" s="16">
        <f>_xlfn.XLOOKUP(CustomerCombinedCleaned[[#This Row],[ID]], Table2[ID],Table2[MC2], "Not Found", 0 )</f>
        <v>0</v>
      </c>
      <c r="AA1497" s="16">
        <f>_xlfn.XLOOKUP(CustomerCombinedCleaned[[#This Row],[ID]], Table2[ID],Table2[MC3], "Not Found", 0 )</f>
        <v>0</v>
      </c>
      <c r="AB1497" s="16">
        <f>_xlfn.XLOOKUP(CustomerCombinedCleaned[[#This Row],[ID]], Table2[ID],Table2[MC4], "Not Found", 0 )</f>
        <v>0</v>
      </c>
      <c r="AC1497" s="16">
        <f>_xlfn.XLOOKUP(CustomerCombinedCleaned[[#This Row],[ID]], Table2[ID],Table2[MC5], "Not Found", 0 )</f>
        <v>0</v>
      </c>
    </row>
    <row r="1498" spans="1:29" x14ac:dyDescent="0.3">
      <c r="A1498" s="18">
        <v>2235</v>
      </c>
      <c r="B1498" s="16">
        <v>168118</v>
      </c>
      <c r="C1498" s="16">
        <v>0</v>
      </c>
      <c r="D1498" s="16">
        <v>1</v>
      </c>
      <c r="E1498" s="16">
        <v>57</v>
      </c>
      <c r="F1498" s="17" t="s">
        <v>5</v>
      </c>
      <c r="G1498" s="17" t="s">
        <v>11</v>
      </c>
      <c r="H1498" s="3" t="s">
        <v>164</v>
      </c>
      <c r="I1498" s="5" t="s">
        <v>435</v>
      </c>
      <c r="J1498" s="16">
        <f>_xlfn.XLOOKUP(CustomerCombinedCleaned[[#This Row],[ID]], Table4[ID], Table4[Recency], "Not Found", 0)</f>
        <v>51</v>
      </c>
      <c r="K1498" s="16">
        <f>_xlfn.XLOOKUP(CustomerCombinedCleaned[[#This Row],[ID]], Table4[ID], Table4[Teas], "Not Found", 0)</f>
        <v>1468</v>
      </c>
      <c r="L1498" s="16">
        <f>_xlfn.XLOOKUP(CustomerCombinedCleaned[[#This Row],[ID]], Table4[ID], Table4[Fruits], "Not Found", 0)</f>
        <v>57</v>
      </c>
      <c r="M1498" s="16">
        <f>_xlfn.XLOOKUP(CustomerCombinedCleaned[[#This Row],[ID]], Table4[ID], Table4[Meats], "Not Found", 0)</f>
        <v>304</v>
      </c>
      <c r="N1498" s="16">
        <f>_xlfn.XLOOKUP(CustomerCombinedCleaned[[#This Row],[ID]], Table4[ID], Table4[Seafood], "Not Found", 0)</f>
        <v>25</v>
      </c>
      <c r="O1498" s="16">
        <f>_xlfn.XLOOKUP(CustomerCombinedCleaned[[#This Row],[ID]], Table4[ID], Table4[Sweets], "Not Found", 0)</f>
        <v>57</v>
      </c>
      <c r="P1498" s="16">
        <f>_xlfn.XLOOKUP(CustomerCombinedCleaned[[#This Row],[ID]], Table4[ID], Table4[Premium], "Not Found", 0)</f>
        <v>380</v>
      </c>
      <c r="Q1498" s="16">
        <f>_xlfn.XLOOKUP(CustomerCombinedCleaned[[#This Row],[ID]], Table4[ID], Table4[Regular], "Not Found", 0)</f>
        <v>1530</v>
      </c>
      <c r="R1498" s="16">
        <f>_xlfn.XLOOKUP(CustomerCombinedCleaned[[#This Row],[ID]], Table4[ID], Table4[Deals], "Not Found", 0)</f>
        <v>2</v>
      </c>
      <c r="S1498" s="16">
        <f>_xlfn.XLOOKUP(CustomerCombinedCleaned[[#This Row],[ID]], Table4[ID], Table4[Website], "Not Found", 0)</f>
        <v>8</v>
      </c>
      <c r="T1498" s="16">
        <f>_xlfn.XLOOKUP(CustomerCombinedCleaned[[#This Row],[ID]], Table4[ID], Table4[Catalog], "Not Found", 0)</f>
        <v>9</v>
      </c>
      <c r="U1498" s="16">
        <f>_xlfn.XLOOKUP(CustomerCombinedCleaned[[#This Row],[ID]], Table4[ID], Table4[Store], "Not Found", 0)</f>
        <v>4</v>
      </c>
      <c r="V1498" s="16">
        <f>_xlfn.XLOOKUP(CustomerCombinedCleaned[[#This Row],[ID]], Table4[ID], Table4[Visits], "Not Found", 0)</f>
        <v>6</v>
      </c>
      <c r="W1498" s="16">
        <f>_xlfn.XLOOKUP(CustomerCombinedCleaned[[#This Row],[ID]], Table2[ID],Table2[Complaint], "Not Found", 0 )</f>
        <v>0</v>
      </c>
      <c r="X1498" s="16">
        <f>_xlfn.XLOOKUP(CustomerCombinedCleaned[[#This Row],[ID]], Table2[ID],Table2[Pilot], "Not Found", 0 )</f>
        <v>0</v>
      </c>
      <c r="Y1498" s="16">
        <f>_xlfn.XLOOKUP(CustomerCombinedCleaned[[#This Row],[ID]], Table2[ID],Table2[MC1], "Not Found", 0 )</f>
        <v>0</v>
      </c>
      <c r="Z1498" s="16">
        <f>_xlfn.XLOOKUP(CustomerCombinedCleaned[[#This Row],[ID]], Table2[ID],Table2[MC2], "Not Found", 0 )</f>
        <v>0</v>
      </c>
      <c r="AA1498" s="16">
        <f>_xlfn.XLOOKUP(CustomerCombinedCleaned[[#This Row],[ID]], Table2[ID],Table2[MC3], "Not Found", 0 )</f>
        <v>0</v>
      </c>
      <c r="AB1498" s="16">
        <f>_xlfn.XLOOKUP(CustomerCombinedCleaned[[#This Row],[ID]], Table2[ID],Table2[MC4], "Not Found", 0 )</f>
        <v>0</v>
      </c>
      <c r="AC1498" s="16">
        <f>_xlfn.XLOOKUP(CustomerCombinedCleaned[[#This Row],[ID]], Table2[ID],Table2[MC5], "Not Found", 0 )</f>
        <v>0</v>
      </c>
    </row>
    <row r="1499" spans="1:29" x14ac:dyDescent="0.3">
      <c r="A1499" s="18">
        <v>1262</v>
      </c>
      <c r="B1499" s="16">
        <v>166313</v>
      </c>
      <c r="C1499" s="16">
        <v>0</v>
      </c>
      <c r="D1499" s="16">
        <v>1</v>
      </c>
      <c r="E1499" s="16">
        <v>57</v>
      </c>
      <c r="F1499" s="17" t="s">
        <v>8</v>
      </c>
      <c r="G1499" s="17" t="s">
        <v>13</v>
      </c>
      <c r="H1499" s="3" t="s">
        <v>183</v>
      </c>
      <c r="I1499" s="5" t="s">
        <v>438</v>
      </c>
      <c r="J1499" s="16">
        <f>_xlfn.XLOOKUP(CustomerCombinedCleaned[[#This Row],[ID]], Table4[ID], Table4[Recency], "Not Found", 0)</f>
        <v>86</v>
      </c>
      <c r="K1499" s="16">
        <f>_xlfn.XLOOKUP(CustomerCombinedCleaned[[#This Row],[ID]], Table4[ID], Table4[Teas], "Not Found", 0)</f>
        <v>1567</v>
      </c>
      <c r="L1499" s="16">
        <f>_xlfn.XLOOKUP(CustomerCombinedCleaned[[#This Row],[ID]], Table4[ID], Table4[Fruits], "Not Found", 0)</f>
        <v>18</v>
      </c>
      <c r="M1499" s="16">
        <f>_xlfn.XLOOKUP(CustomerCombinedCleaned[[#This Row],[ID]], Table4[ID], Table4[Meats], "Not Found", 0)</f>
        <v>248</v>
      </c>
      <c r="N1499" s="16">
        <f>_xlfn.XLOOKUP(CustomerCombinedCleaned[[#This Row],[ID]], Table4[ID], Table4[Seafood], "Not Found", 0)</f>
        <v>25</v>
      </c>
      <c r="O1499" s="16">
        <f>_xlfn.XLOOKUP(CustomerCombinedCleaned[[#This Row],[ID]], Table4[ID], Table4[Sweets], "Not Found", 0)</f>
        <v>55</v>
      </c>
      <c r="P1499" s="16">
        <f>_xlfn.XLOOKUP(CustomerCombinedCleaned[[#This Row],[ID]], Table4[ID], Table4[Premium], "Not Found", 0)</f>
        <v>18</v>
      </c>
      <c r="Q1499" s="16">
        <f>_xlfn.XLOOKUP(CustomerCombinedCleaned[[#This Row],[ID]], Table4[ID], Table4[Regular], "Not Found", 0)</f>
        <v>1896</v>
      </c>
      <c r="R1499" s="16">
        <f>_xlfn.XLOOKUP(CustomerCombinedCleaned[[#This Row],[ID]], Table4[ID], Table4[Deals], "Not Found", 0)</f>
        <v>2</v>
      </c>
      <c r="S1499" s="16">
        <f>_xlfn.XLOOKUP(CustomerCombinedCleaned[[#This Row],[ID]], Table4[ID], Table4[Website], "Not Found", 0)</f>
        <v>6</v>
      </c>
      <c r="T1499" s="16">
        <f>_xlfn.XLOOKUP(CustomerCombinedCleaned[[#This Row],[ID]], Table4[ID], Table4[Catalog], "Not Found", 0)</f>
        <v>3</v>
      </c>
      <c r="U1499" s="16">
        <f>_xlfn.XLOOKUP(CustomerCombinedCleaned[[#This Row],[ID]], Table4[ID], Table4[Store], "Not Found", 0)</f>
        <v>12</v>
      </c>
      <c r="V1499" s="16">
        <f>_xlfn.XLOOKUP(CustomerCombinedCleaned[[#This Row],[ID]], Table4[ID], Table4[Visits], "Not Found", 0)</f>
        <v>4</v>
      </c>
      <c r="W1499" s="16">
        <f>_xlfn.XLOOKUP(CustomerCombinedCleaned[[#This Row],[ID]], Table2[ID],Table2[Complaint], "Not Found", 0 )</f>
        <v>0</v>
      </c>
      <c r="X1499" s="16">
        <f>_xlfn.XLOOKUP(CustomerCombinedCleaned[[#This Row],[ID]], Table2[ID],Table2[Pilot], "Not Found", 0 )</f>
        <v>0</v>
      </c>
      <c r="Y1499" s="16">
        <f>_xlfn.XLOOKUP(CustomerCombinedCleaned[[#This Row],[ID]], Table2[ID],Table2[MC1], "Not Found", 0 )</f>
        <v>0</v>
      </c>
      <c r="Z1499" s="16">
        <f>_xlfn.XLOOKUP(CustomerCombinedCleaned[[#This Row],[ID]], Table2[ID],Table2[MC2], "Not Found", 0 )</f>
        <v>0</v>
      </c>
      <c r="AA1499" s="16">
        <f>_xlfn.XLOOKUP(CustomerCombinedCleaned[[#This Row],[ID]], Table2[ID],Table2[MC3], "Not Found", 0 )</f>
        <v>0</v>
      </c>
      <c r="AB1499" s="16">
        <f>_xlfn.XLOOKUP(CustomerCombinedCleaned[[#This Row],[ID]], Table2[ID],Table2[MC4], "Not Found", 0 )</f>
        <v>0</v>
      </c>
      <c r="AC1499" s="16">
        <f>_xlfn.XLOOKUP(CustomerCombinedCleaned[[#This Row],[ID]], Table2[ID],Table2[MC5], "Not Found", 0 )</f>
        <v>0</v>
      </c>
    </row>
    <row r="1500" spans="1:29" x14ac:dyDescent="0.3">
      <c r="A1500" s="18">
        <v>2252</v>
      </c>
      <c r="B1500" s="16">
        <v>164191</v>
      </c>
      <c r="C1500" s="16">
        <v>0</v>
      </c>
      <c r="D1500" s="16">
        <v>1</v>
      </c>
      <c r="E1500" s="16">
        <v>57</v>
      </c>
      <c r="F1500" s="17" t="s">
        <v>7</v>
      </c>
      <c r="G1500" s="17" t="s">
        <v>12</v>
      </c>
      <c r="H1500" s="3" t="s">
        <v>319</v>
      </c>
      <c r="I1500" s="5" t="s">
        <v>438</v>
      </c>
      <c r="J1500" s="16">
        <f>_xlfn.XLOOKUP(CustomerCombinedCleaned[[#This Row],[ID]], Table4[ID], Table4[Recency], "Not Found", 0)</f>
        <v>30</v>
      </c>
      <c r="K1500" s="16">
        <f>_xlfn.XLOOKUP(CustomerCombinedCleaned[[#This Row],[ID]], Table4[ID], Table4[Teas], "Not Found", 0)</f>
        <v>1074</v>
      </c>
      <c r="L1500" s="16">
        <f>_xlfn.XLOOKUP(CustomerCombinedCleaned[[#This Row],[ID]], Table4[ID], Table4[Fruits], "Not Found", 0)</f>
        <v>38</v>
      </c>
      <c r="M1500" s="16">
        <f>_xlfn.XLOOKUP(CustomerCombinedCleaned[[#This Row],[ID]], Table4[ID], Table4[Meats], "Not Found", 0)</f>
        <v>476</v>
      </c>
      <c r="N1500" s="16">
        <f>_xlfn.XLOOKUP(CustomerCombinedCleaned[[#This Row],[ID]], Table4[ID], Table4[Seafood], "Not Found", 0)</f>
        <v>386</v>
      </c>
      <c r="O1500" s="16">
        <f>_xlfn.XLOOKUP(CustomerCombinedCleaned[[#This Row],[ID]], Table4[ID], Table4[Sweets], "Not Found", 0)</f>
        <v>97</v>
      </c>
      <c r="P1500" s="16">
        <f>_xlfn.XLOOKUP(CustomerCombinedCleaned[[#This Row],[ID]], Table4[ID], Table4[Premium], "Not Found", 0)</f>
        <v>38</v>
      </c>
      <c r="Q1500" s="16">
        <f>_xlfn.XLOOKUP(CustomerCombinedCleaned[[#This Row],[ID]], Table4[ID], Table4[Regular], "Not Found", 0)</f>
        <v>2033</v>
      </c>
      <c r="R1500" s="16">
        <f>_xlfn.XLOOKUP(CustomerCombinedCleaned[[#This Row],[ID]], Table4[ID], Table4[Deals], "Not Found", 0)</f>
        <v>3</v>
      </c>
      <c r="S1500" s="16">
        <f>_xlfn.XLOOKUP(CustomerCombinedCleaned[[#This Row],[ID]], Table4[ID], Table4[Website], "Not Found", 0)</f>
        <v>5</v>
      </c>
      <c r="T1500" s="16">
        <f>_xlfn.XLOOKUP(CustomerCombinedCleaned[[#This Row],[ID]], Table4[ID], Table4[Catalog], "Not Found", 0)</f>
        <v>3</v>
      </c>
      <c r="U1500" s="16">
        <f>_xlfn.XLOOKUP(CustomerCombinedCleaned[[#This Row],[ID]], Table4[ID], Table4[Store], "Not Found", 0)</f>
        <v>13</v>
      </c>
      <c r="V1500" s="16">
        <f>_xlfn.XLOOKUP(CustomerCombinedCleaned[[#This Row],[ID]], Table4[ID], Table4[Visits], "Not Found", 0)</f>
        <v>3</v>
      </c>
      <c r="W1500" s="16">
        <f>_xlfn.XLOOKUP(CustomerCombinedCleaned[[#This Row],[ID]], Table2[ID],Table2[Complaint], "Not Found", 0 )</f>
        <v>0</v>
      </c>
      <c r="X1500" s="16">
        <f>_xlfn.XLOOKUP(CustomerCombinedCleaned[[#This Row],[ID]], Table2[ID],Table2[Pilot], "Not Found", 0 )</f>
        <v>0</v>
      </c>
      <c r="Y1500" s="16">
        <f>_xlfn.XLOOKUP(CustomerCombinedCleaned[[#This Row],[ID]], Table2[ID],Table2[MC1], "Not Found", 0 )</f>
        <v>0</v>
      </c>
      <c r="Z1500" s="16">
        <f>_xlfn.XLOOKUP(CustomerCombinedCleaned[[#This Row],[ID]], Table2[ID],Table2[MC2], "Not Found", 0 )</f>
        <v>0</v>
      </c>
      <c r="AA1500" s="16">
        <f>_xlfn.XLOOKUP(CustomerCombinedCleaned[[#This Row],[ID]], Table2[ID],Table2[MC3], "Not Found", 0 )</f>
        <v>0</v>
      </c>
      <c r="AB1500" s="16">
        <f>_xlfn.XLOOKUP(CustomerCombinedCleaned[[#This Row],[ID]], Table2[ID],Table2[MC4], "Not Found", 0 )</f>
        <v>0</v>
      </c>
      <c r="AC1500" s="16">
        <f>_xlfn.XLOOKUP(CustomerCombinedCleaned[[#This Row],[ID]], Table2[ID],Table2[MC5], "Not Found", 0 )</f>
        <v>0</v>
      </c>
    </row>
    <row r="1501" spans="1:29" x14ac:dyDescent="0.3">
      <c r="A1501" s="18">
        <v>1104</v>
      </c>
      <c r="B1501" s="16">
        <v>157288</v>
      </c>
      <c r="C1501" s="16">
        <v>0</v>
      </c>
      <c r="D1501" s="16">
        <v>1</v>
      </c>
      <c r="E1501" s="16">
        <v>57</v>
      </c>
      <c r="F1501" s="17" t="s">
        <v>8</v>
      </c>
      <c r="G1501" s="17" t="s">
        <v>12</v>
      </c>
      <c r="H1501" s="3" t="s">
        <v>24</v>
      </c>
      <c r="I1501" s="5" t="s">
        <v>436</v>
      </c>
      <c r="J1501" s="16">
        <f>_xlfn.XLOOKUP(CustomerCombinedCleaned[[#This Row],[ID]], Table4[ID], Table4[Recency], "Not Found", 0)</f>
        <v>27</v>
      </c>
      <c r="K1501" s="16">
        <f>_xlfn.XLOOKUP(CustomerCombinedCleaned[[#This Row],[ID]], Table4[ID], Table4[Teas], "Not Found", 0)</f>
        <v>1447</v>
      </c>
      <c r="L1501" s="16">
        <f>_xlfn.XLOOKUP(CustomerCombinedCleaned[[#This Row],[ID]], Table4[ID], Table4[Fruits], "Not Found", 0)</f>
        <v>0</v>
      </c>
      <c r="M1501" s="16">
        <f>_xlfn.XLOOKUP(CustomerCombinedCleaned[[#This Row],[ID]], Table4[ID], Table4[Meats], "Not Found", 0)</f>
        <v>58</v>
      </c>
      <c r="N1501" s="16">
        <f>_xlfn.XLOOKUP(CustomerCombinedCleaned[[#This Row],[ID]], Table4[ID], Table4[Seafood], "Not Found", 0)</f>
        <v>0</v>
      </c>
      <c r="O1501" s="16">
        <f>_xlfn.XLOOKUP(CustomerCombinedCleaned[[#This Row],[ID]], Table4[ID], Table4[Sweets], "Not Found", 0)</f>
        <v>0</v>
      </c>
      <c r="P1501" s="16">
        <f>_xlfn.XLOOKUP(CustomerCombinedCleaned[[#This Row],[ID]], Table4[ID], Table4[Premium], "Not Found", 0)</f>
        <v>165</v>
      </c>
      <c r="Q1501" s="16">
        <f>_xlfn.XLOOKUP(CustomerCombinedCleaned[[#This Row],[ID]], Table4[ID], Table4[Regular], "Not Found", 0)</f>
        <v>1340</v>
      </c>
      <c r="R1501" s="16">
        <f>_xlfn.XLOOKUP(CustomerCombinedCleaned[[#This Row],[ID]], Table4[ID], Table4[Deals], "Not Found", 0)</f>
        <v>3</v>
      </c>
      <c r="S1501" s="16">
        <f>_xlfn.XLOOKUP(CustomerCombinedCleaned[[#This Row],[ID]], Table4[ID], Table4[Website], "Not Found", 0)</f>
        <v>8</v>
      </c>
      <c r="T1501" s="16">
        <f>_xlfn.XLOOKUP(CustomerCombinedCleaned[[#This Row],[ID]], Table4[ID], Table4[Catalog], "Not Found", 0)</f>
        <v>1</v>
      </c>
      <c r="U1501" s="16">
        <f>_xlfn.XLOOKUP(CustomerCombinedCleaned[[#This Row],[ID]], Table4[ID], Table4[Store], "Not Found", 0)</f>
        <v>8</v>
      </c>
      <c r="V1501" s="16">
        <f>_xlfn.XLOOKUP(CustomerCombinedCleaned[[#This Row],[ID]], Table4[ID], Table4[Visits], "Not Found", 0)</f>
        <v>6</v>
      </c>
      <c r="W1501" s="16">
        <f>_xlfn.XLOOKUP(CustomerCombinedCleaned[[#This Row],[ID]], Table2[ID],Table2[Complaint], "Not Found", 0 )</f>
        <v>0</v>
      </c>
      <c r="X1501" s="16">
        <f>_xlfn.XLOOKUP(CustomerCombinedCleaned[[#This Row],[ID]], Table2[ID],Table2[Pilot], "Not Found", 0 )</f>
        <v>0</v>
      </c>
      <c r="Y1501" s="16">
        <f>_xlfn.XLOOKUP(CustomerCombinedCleaned[[#This Row],[ID]], Table2[ID],Table2[MC1], "Not Found", 0 )</f>
        <v>0</v>
      </c>
      <c r="Z1501" s="16">
        <f>_xlfn.XLOOKUP(CustomerCombinedCleaned[[#This Row],[ID]], Table2[ID],Table2[MC2], "Not Found", 0 )</f>
        <v>0</v>
      </c>
      <c r="AA1501" s="16">
        <f>_xlfn.XLOOKUP(CustomerCombinedCleaned[[#This Row],[ID]], Table2[ID],Table2[MC3], "Not Found", 0 )</f>
        <v>0</v>
      </c>
      <c r="AB1501" s="16">
        <f>_xlfn.XLOOKUP(CustomerCombinedCleaned[[#This Row],[ID]], Table2[ID],Table2[MC4], "Not Found", 0 )</f>
        <v>1</v>
      </c>
      <c r="AC1501" s="16">
        <f>_xlfn.XLOOKUP(CustomerCombinedCleaned[[#This Row],[ID]], Table2[ID],Table2[MC5], "Not Found", 0 )</f>
        <v>0</v>
      </c>
    </row>
    <row r="1502" spans="1:29" x14ac:dyDescent="0.3">
      <c r="A1502" s="18">
        <v>1642</v>
      </c>
      <c r="B1502" s="16">
        <v>156253</v>
      </c>
      <c r="C1502" s="16">
        <v>0</v>
      </c>
      <c r="D1502" s="16">
        <v>1</v>
      </c>
      <c r="E1502" s="16">
        <v>57</v>
      </c>
      <c r="F1502" s="17" t="s">
        <v>8</v>
      </c>
      <c r="G1502" s="17" t="s">
        <v>11</v>
      </c>
      <c r="H1502" s="3" t="s">
        <v>351</v>
      </c>
      <c r="I1502" s="5" t="s">
        <v>439</v>
      </c>
      <c r="J1502" s="16">
        <f>_xlfn.XLOOKUP(CustomerCombinedCleaned[[#This Row],[ID]], Table4[ID], Table4[Recency], "Not Found", 0)</f>
        <v>83</v>
      </c>
      <c r="K1502" s="16">
        <f>_xlfn.XLOOKUP(CustomerCombinedCleaned[[#This Row],[ID]], Table4[ID], Table4[Teas], "Not Found", 0)</f>
        <v>1414</v>
      </c>
      <c r="L1502" s="16">
        <f>_xlfn.XLOOKUP(CustomerCombinedCleaned[[#This Row],[ID]], Table4[ID], Table4[Fruits], "Not Found", 0)</f>
        <v>0</v>
      </c>
      <c r="M1502" s="16">
        <f>_xlfn.XLOOKUP(CustomerCombinedCleaned[[#This Row],[ID]], Table4[ID], Table4[Meats], "Not Found", 0)</f>
        <v>181</v>
      </c>
      <c r="N1502" s="16">
        <f>_xlfn.XLOOKUP(CustomerCombinedCleaned[[#This Row],[ID]], Table4[ID], Table4[Seafood], "Not Found", 0)</f>
        <v>19</v>
      </c>
      <c r="O1502" s="16">
        <f>_xlfn.XLOOKUP(CustomerCombinedCleaned[[#This Row],[ID]], Table4[ID], Table4[Sweets], "Not Found", 0)</f>
        <v>31</v>
      </c>
      <c r="P1502" s="16">
        <f>_xlfn.XLOOKUP(CustomerCombinedCleaned[[#This Row],[ID]], Table4[ID], Table4[Premium], "Not Found", 0)</f>
        <v>14</v>
      </c>
      <c r="Q1502" s="16">
        <f>_xlfn.XLOOKUP(CustomerCombinedCleaned[[#This Row],[ID]], Table4[ID], Table4[Regular], "Not Found", 0)</f>
        <v>1630</v>
      </c>
      <c r="R1502" s="16">
        <f>_xlfn.XLOOKUP(CustomerCombinedCleaned[[#This Row],[ID]], Table4[ID], Table4[Deals], "Not Found", 0)</f>
        <v>4</v>
      </c>
      <c r="S1502" s="16">
        <f>_xlfn.XLOOKUP(CustomerCombinedCleaned[[#This Row],[ID]], Table4[ID], Table4[Website], "Not Found", 0)</f>
        <v>7</v>
      </c>
      <c r="T1502" s="16">
        <f>_xlfn.XLOOKUP(CustomerCombinedCleaned[[#This Row],[ID]], Table4[ID], Table4[Catalog], "Not Found", 0)</f>
        <v>2</v>
      </c>
      <c r="U1502" s="16">
        <f>_xlfn.XLOOKUP(CustomerCombinedCleaned[[#This Row],[ID]], Table4[ID], Table4[Store], "Not Found", 0)</f>
        <v>9</v>
      </c>
      <c r="V1502" s="16">
        <f>_xlfn.XLOOKUP(CustomerCombinedCleaned[[#This Row],[ID]], Table4[ID], Table4[Visits], "Not Found", 0)</f>
        <v>6</v>
      </c>
      <c r="W1502" s="16">
        <f>_xlfn.XLOOKUP(CustomerCombinedCleaned[[#This Row],[ID]], Table2[ID],Table2[Complaint], "Not Found", 0 )</f>
        <v>0</v>
      </c>
      <c r="X1502" s="16">
        <f>_xlfn.XLOOKUP(CustomerCombinedCleaned[[#This Row],[ID]], Table2[ID],Table2[Pilot], "Not Found", 0 )</f>
        <v>0</v>
      </c>
      <c r="Y1502" s="16">
        <f>_xlfn.XLOOKUP(CustomerCombinedCleaned[[#This Row],[ID]], Table2[ID],Table2[MC1], "Not Found", 0 )</f>
        <v>0</v>
      </c>
      <c r="Z1502" s="16">
        <f>_xlfn.XLOOKUP(CustomerCombinedCleaned[[#This Row],[ID]], Table2[ID],Table2[MC2], "Not Found", 0 )</f>
        <v>0</v>
      </c>
      <c r="AA1502" s="16">
        <f>_xlfn.XLOOKUP(CustomerCombinedCleaned[[#This Row],[ID]], Table2[ID],Table2[MC3], "Not Found", 0 )</f>
        <v>0</v>
      </c>
      <c r="AB1502" s="16">
        <f>_xlfn.XLOOKUP(CustomerCombinedCleaned[[#This Row],[ID]], Table2[ID],Table2[MC4], "Not Found", 0 )</f>
        <v>0</v>
      </c>
      <c r="AC1502" s="16">
        <f>_xlfn.XLOOKUP(CustomerCombinedCleaned[[#This Row],[ID]], Table2[ID],Table2[MC5], "Not Found", 0 )</f>
        <v>0</v>
      </c>
    </row>
    <row r="1503" spans="1:29" x14ac:dyDescent="0.3">
      <c r="A1503" s="18">
        <v>2600</v>
      </c>
      <c r="B1503" s="16">
        <v>154414</v>
      </c>
      <c r="C1503" s="16">
        <v>1</v>
      </c>
      <c r="D1503" s="16">
        <v>1</v>
      </c>
      <c r="E1503" s="16">
        <v>57</v>
      </c>
      <c r="F1503" s="17" t="s">
        <v>8</v>
      </c>
      <c r="G1503" s="17" t="s">
        <v>11</v>
      </c>
      <c r="H1503" s="3" t="s">
        <v>318</v>
      </c>
      <c r="I1503" s="5" t="s">
        <v>438</v>
      </c>
      <c r="J1503" s="16">
        <f>_xlfn.XLOOKUP(CustomerCombinedCleaned[[#This Row],[ID]], Table4[ID], Table4[Recency], "Not Found", 0)</f>
        <v>49</v>
      </c>
      <c r="K1503" s="16">
        <f>_xlfn.XLOOKUP(CustomerCombinedCleaned[[#This Row],[ID]], Table4[ID], Table4[Teas], "Not Found", 0)</f>
        <v>309</v>
      </c>
      <c r="L1503" s="16">
        <f>_xlfn.XLOOKUP(CustomerCombinedCleaned[[#This Row],[ID]], Table4[ID], Table4[Fruits], "Not Found", 0)</f>
        <v>51</v>
      </c>
      <c r="M1503" s="16">
        <f>_xlfn.XLOOKUP(CustomerCombinedCleaned[[#This Row],[ID]], Table4[ID], Table4[Meats], "Not Found", 0)</f>
        <v>45</v>
      </c>
      <c r="N1503" s="16">
        <f>_xlfn.XLOOKUP(CustomerCombinedCleaned[[#This Row],[ID]], Table4[ID], Table4[Seafood], "Not Found", 0)</f>
        <v>68</v>
      </c>
      <c r="O1503" s="16">
        <f>_xlfn.XLOOKUP(CustomerCombinedCleaned[[#This Row],[ID]], Table4[ID], Table4[Sweets], "Not Found", 0)</f>
        <v>74</v>
      </c>
      <c r="P1503" s="16">
        <f>_xlfn.XLOOKUP(CustomerCombinedCleaned[[#This Row],[ID]], Table4[ID], Table4[Premium], "Not Found", 0)</f>
        <v>51</v>
      </c>
      <c r="Q1503" s="16">
        <f>_xlfn.XLOOKUP(CustomerCombinedCleaned[[#This Row],[ID]], Table4[ID], Table4[Regular], "Not Found", 0)</f>
        <v>497</v>
      </c>
      <c r="R1503" s="16">
        <f>_xlfn.XLOOKUP(CustomerCombinedCleaned[[#This Row],[ID]], Table4[ID], Table4[Deals], "Not Found", 0)</f>
        <v>4</v>
      </c>
      <c r="S1503" s="16">
        <f>_xlfn.XLOOKUP(CustomerCombinedCleaned[[#This Row],[ID]], Table4[ID], Table4[Website], "Not Found", 0)</f>
        <v>3</v>
      </c>
      <c r="T1503" s="16">
        <f>_xlfn.XLOOKUP(CustomerCombinedCleaned[[#This Row],[ID]], Table4[ID], Table4[Catalog], "Not Found", 0)</f>
        <v>1</v>
      </c>
      <c r="U1503" s="16">
        <f>_xlfn.XLOOKUP(CustomerCombinedCleaned[[#This Row],[ID]], Table4[ID], Table4[Store], "Not Found", 0)</f>
        <v>5</v>
      </c>
      <c r="V1503" s="16">
        <f>_xlfn.XLOOKUP(CustomerCombinedCleaned[[#This Row],[ID]], Table4[ID], Table4[Visits], "Not Found", 0)</f>
        <v>4</v>
      </c>
      <c r="W1503" s="16">
        <f>_xlfn.XLOOKUP(CustomerCombinedCleaned[[#This Row],[ID]], Table2[ID],Table2[Complaint], "Not Found", 0 )</f>
        <v>0</v>
      </c>
      <c r="X1503" s="16">
        <f>_xlfn.XLOOKUP(CustomerCombinedCleaned[[#This Row],[ID]], Table2[ID],Table2[Pilot], "Not Found", 0 )</f>
        <v>0</v>
      </c>
      <c r="Y1503" s="16">
        <f>_xlfn.XLOOKUP(CustomerCombinedCleaned[[#This Row],[ID]], Table2[ID],Table2[MC1], "Not Found", 0 )</f>
        <v>0</v>
      </c>
      <c r="Z1503" s="16">
        <f>_xlfn.XLOOKUP(CustomerCombinedCleaned[[#This Row],[ID]], Table2[ID],Table2[MC2], "Not Found", 0 )</f>
        <v>0</v>
      </c>
      <c r="AA1503" s="16">
        <f>_xlfn.XLOOKUP(CustomerCombinedCleaned[[#This Row],[ID]], Table2[ID],Table2[MC3], "Not Found", 0 )</f>
        <v>0</v>
      </c>
      <c r="AB1503" s="16">
        <f>_xlfn.XLOOKUP(CustomerCombinedCleaned[[#This Row],[ID]], Table2[ID],Table2[MC4], "Not Found", 0 )</f>
        <v>0</v>
      </c>
      <c r="AC1503" s="16">
        <f>_xlfn.XLOOKUP(CustomerCombinedCleaned[[#This Row],[ID]], Table2[ID],Table2[MC5], "Not Found", 0 )</f>
        <v>0</v>
      </c>
    </row>
    <row r="1504" spans="1:29" x14ac:dyDescent="0.3">
      <c r="A1504" s="18">
        <v>2581</v>
      </c>
      <c r="B1504" s="16">
        <v>154072</v>
      </c>
      <c r="C1504" s="16">
        <v>1</v>
      </c>
      <c r="D1504" s="16">
        <v>1</v>
      </c>
      <c r="E1504" s="16">
        <v>57</v>
      </c>
      <c r="F1504" s="17" t="s">
        <v>6</v>
      </c>
      <c r="G1504" s="17" t="s">
        <v>13</v>
      </c>
      <c r="H1504" s="3" t="s">
        <v>558</v>
      </c>
      <c r="I1504" s="5" t="s">
        <v>437</v>
      </c>
      <c r="J1504" s="16">
        <f>_xlfn.XLOOKUP(CustomerCombinedCleaned[[#This Row],[ID]], Table4[ID], Table4[Recency], "Not Found", 0)</f>
        <v>71</v>
      </c>
      <c r="K1504" s="16">
        <f>_xlfn.XLOOKUP(CustomerCombinedCleaned[[#This Row],[ID]], Table4[ID], Table4[Teas], "Not Found", 0)</f>
        <v>100</v>
      </c>
      <c r="L1504" s="16">
        <f>_xlfn.XLOOKUP(CustomerCombinedCleaned[[#This Row],[ID]], Table4[ID], Table4[Fruits], "Not Found", 0)</f>
        <v>0</v>
      </c>
      <c r="M1504" s="16">
        <f>_xlfn.XLOOKUP(CustomerCombinedCleaned[[#This Row],[ID]], Table4[ID], Table4[Meats], "Not Found", 0)</f>
        <v>11</v>
      </c>
      <c r="N1504" s="16">
        <f>_xlfn.XLOOKUP(CustomerCombinedCleaned[[#This Row],[ID]], Table4[ID], Table4[Seafood], "Not Found", 0)</f>
        <v>0</v>
      </c>
      <c r="O1504" s="16">
        <f>_xlfn.XLOOKUP(CustomerCombinedCleaned[[#This Row],[ID]], Table4[ID], Table4[Sweets], "Not Found", 0)</f>
        <v>0</v>
      </c>
      <c r="P1504" s="16">
        <f>_xlfn.XLOOKUP(CustomerCombinedCleaned[[#This Row],[ID]], Table4[ID], Table4[Premium], "Not Found", 0)</f>
        <v>0</v>
      </c>
      <c r="Q1504" s="16">
        <f>_xlfn.XLOOKUP(CustomerCombinedCleaned[[#This Row],[ID]], Table4[ID], Table4[Regular], "Not Found", 0)</f>
        <v>111</v>
      </c>
      <c r="R1504" s="16">
        <f>_xlfn.XLOOKUP(CustomerCombinedCleaned[[#This Row],[ID]], Table4[ID], Table4[Deals], "Not Found", 0)</f>
        <v>1</v>
      </c>
      <c r="S1504" s="16">
        <f>_xlfn.XLOOKUP(CustomerCombinedCleaned[[#This Row],[ID]], Table4[ID], Table4[Website], "Not Found", 0)</f>
        <v>2</v>
      </c>
      <c r="T1504" s="16">
        <f>_xlfn.XLOOKUP(CustomerCombinedCleaned[[#This Row],[ID]], Table4[ID], Table4[Catalog], "Not Found", 0)</f>
        <v>0</v>
      </c>
      <c r="U1504" s="16">
        <f>_xlfn.XLOOKUP(CustomerCombinedCleaned[[#This Row],[ID]], Table4[ID], Table4[Store], "Not Found", 0)</f>
        <v>2</v>
      </c>
      <c r="V1504" s="16">
        <f>_xlfn.XLOOKUP(CustomerCombinedCleaned[[#This Row],[ID]], Table4[ID], Table4[Visits], "Not Found", 0)</f>
        <v>8</v>
      </c>
      <c r="W1504" s="16">
        <f>_xlfn.XLOOKUP(CustomerCombinedCleaned[[#This Row],[ID]], Table2[ID],Table2[Complaint], "Not Found", 0 )</f>
        <v>0</v>
      </c>
      <c r="X1504" s="16">
        <f>_xlfn.XLOOKUP(CustomerCombinedCleaned[[#This Row],[ID]], Table2[ID],Table2[Pilot], "Not Found", 0 )</f>
        <v>0</v>
      </c>
      <c r="Y1504" s="16">
        <f>_xlfn.XLOOKUP(CustomerCombinedCleaned[[#This Row],[ID]], Table2[ID],Table2[MC1], "Not Found", 0 )</f>
        <v>0</v>
      </c>
      <c r="Z1504" s="16">
        <f>_xlfn.XLOOKUP(CustomerCombinedCleaned[[#This Row],[ID]], Table2[ID],Table2[MC2], "Not Found", 0 )</f>
        <v>0</v>
      </c>
      <c r="AA1504" s="16">
        <f>_xlfn.XLOOKUP(CustomerCombinedCleaned[[#This Row],[ID]], Table2[ID],Table2[MC3], "Not Found", 0 )</f>
        <v>0</v>
      </c>
      <c r="AB1504" s="16">
        <f>_xlfn.XLOOKUP(CustomerCombinedCleaned[[#This Row],[ID]], Table2[ID],Table2[MC4], "Not Found", 0 )</f>
        <v>0</v>
      </c>
      <c r="AC1504" s="16">
        <f>_xlfn.XLOOKUP(CustomerCombinedCleaned[[#This Row],[ID]], Table2[ID],Table2[MC5], "Not Found", 0 )</f>
        <v>0</v>
      </c>
    </row>
    <row r="1505" spans="1:29" x14ac:dyDescent="0.3">
      <c r="A1505" s="18">
        <v>2247</v>
      </c>
      <c r="B1505" s="16">
        <v>153378</v>
      </c>
      <c r="C1505" s="16">
        <v>1</v>
      </c>
      <c r="D1505" s="16">
        <v>1</v>
      </c>
      <c r="E1505" s="16">
        <v>57</v>
      </c>
      <c r="F1505" s="17" t="s">
        <v>6</v>
      </c>
      <c r="G1505" s="17" t="s">
        <v>13</v>
      </c>
      <c r="H1505" s="3" t="s">
        <v>611</v>
      </c>
      <c r="I1505" s="5" t="s">
        <v>435</v>
      </c>
      <c r="J1505" s="16">
        <f>_xlfn.XLOOKUP(CustomerCombinedCleaned[[#This Row],[ID]], Table4[ID], Table4[Recency], "Not Found", 0)</f>
        <v>41</v>
      </c>
      <c r="K1505" s="16">
        <f>_xlfn.XLOOKUP(CustomerCombinedCleaned[[#This Row],[ID]], Table4[ID], Table4[Teas], "Not Found", 0)</f>
        <v>1405</v>
      </c>
      <c r="L1505" s="16">
        <f>_xlfn.XLOOKUP(CustomerCombinedCleaned[[#This Row],[ID]], Table4[ID], Table4[Fruits], "Not Found", 0)</f>
        <v>17</v>
      </c>
      <c r="M1505" s="16">
        <f>_xlfn.XLOOKUP(CustomerCombinedCleaned[[#This Row],[ID]], Table4[ID], Table4[Meats], "Not Found", 0)</f>
        <v>437</v>
      </c>
      <c r="N1505" s="16">
        <f>_xlfn.XLOOKUP(CustomerCombinedCleaned[[#This Row],[ID]], Table4[ID], Table4[Seafood], "Not Found", 0)</f>
        <v>23</v>
      </c>
      <c r="O1505" s="16">
        <f>_xlfn.XLOOKUP(CustomerCombinedCleaned[[#This Row],[ID]], Table4[ID], Table4[Sweets], "Not Found", 0)</f>
        <v>17</v>
      </c>
      <c r="P1505" s="16">
        <f>_xlfn.XLOOKUP(CustomerCombinedCleaned[[#This Row],[ID]], Table4[ID], Table4[Premium], "Not Found", 0)</f>
        <v>379</v>
      </c>
      <c r="Q1505" s="16">
        <f>_xlfn.XLOOKUP(CustomerCombinedCleaned[[#This Row],[ID]], Table4[ID], Table4[Regular], "Not Found", 0)</f>
        <v>1520</v>
      </c>
      <c r="R1505" s="16">
        <f>_xlfn.XLOOKUP(CustomerCombinedCleaned[[#This Row],[ID]], Table4[ID], Table4[Deals], "Not Found", 0)</f>
        <v>10</v>
      </c>
      <c r="S1505" s="16">
        <f>_xlfn.XLOOKUP(CustomerCombinedCleaned[[#This Row],[ID]], Table4[ID], Table4[Website], "Not Found", 0)</f>
        <v>9</v>
      </c>
      <c r="T1505" s="16">
        <f>_xlfn.XLOOKUP(CustomerCombinedCleaned[[#This Row],[ID]], Table4[ID], Table4[Catalog], "Not Found", 0)</f>
        <v>4</v>
      </c>
      <c r="U1505" s="16">
        <f>_xlfn.XLOOKUP(CustomerCombinedCleaned[[#This Row],[ID]], Table4[ID], Table4[Store], "Not Found", 0)</f>
        <v>6</v>
      </c>
      <c r="V1505" s="16">
        <f>_xlfn.XLOOKUP(CustomerCombinedCleaned[[#This Row],[ID]], Table4[ID], Table4[Visits], "Not Found", 0)</f>
        <v>8</v>
      </c>
      <c r="W1505" s="16">
        <f>_xlfn.XLOOKUP(CustomerCombinedCleaned[[#This Row],[ID]], Table2[ID],Table2[Complaint], "Not Found", 0 )</f>
        <v>0</v>
      </c>
      <c r="X1505" s="16">
        <f>_xlfn.XLOOKUP(CustomerCombinedCleaned[[#This Row],[ID]], Table2[ID],Table2[Pilot], "Not Found", 0 )</f>
        <v>1</v>
      </c>
      <c r="Y1505" s="16">
        <f>_xlfn.XLOOKUP(CustomerCombinedCleaned[[#This Row],[ID]], Table2[ID],Table2[MC1], "Not Found", 0 )</f>
        <v>0</v>
      </c>
      <c r="Z1505" s="16">
        <f>_xlfn.XLOOKUP(CustomerCombinedCleaned[[#This Row],[ID]], Table2[ID],Table2[MC2], "Not Found", 0 )</f>
        <v>0</v>
      </c>
      <c r="AA1505" s="16">
        <f>_xlfn.XLOOKUP(CustomerCombinedCleaned[[#This Row],[ID]], Table2[ID],Table2[MC3], "Not Found", 0 )</f>
        <v>0</v>
      </c>
      <c r="AB1505" s="16">
        <f>_xlfn.XLOOKUP(CustomerCombinedCleaned[[#This Row],[ID]], Table2[ID],Table2[MC4], "Not Found", 0 )</f>
        <v>0</v>
      </c>
      <c r="AC1505" s="16">
        <f>_xlfn.XLOOKUP(CustomerCombinedCleaned[[#This Row],[ID]], Table2[ID],Table2[MC5], "Not Found", 0 )</f>
        <v>0</v>
      </c>
    </row>
    <row r="1506" spans="1:29" x14ac:dyDescent="0.3">
      <c r="A1506" s="18">
        <v>1893</v>
      </c>
      <c r="B1506" s="16">
        <v>152278</v>
      </c>
      <c r="C1506" s="16">
        <v>0</v>
      </c>
      <c r="D1506" s="16">
        <v>1</v>
      </c>
      <c r="E1506" s="16">
        <v>57</v>
      </c>
      <c r="F1506" s="17" t="s">
        <v>9</v>
      </c>
      <c r="G1506" s="17" t="s">
        <v>13</v>
      </c>
      <c r="H1506" s="3" t="s">
        <v>727</v>
      </c>
      <c r="I1506" s="5" t="s">
        <v>435</v>
      </c>
      <c r="J1506" s="16">
        <f>_xlfn.XLOOKUP(CustomerCombinedCleaned[[#This Row],[ID]], Table4[ID], Table4[Recency], "Not Found", 0)</f>
        <v>24</v>
      </c>
      <c r="K1506" s="16">
        <f>_xlfn.XLOOKUP(CustomerCombinedCleaned[[#This Row],[ID]], Table4[ID], Table4[Teas], "Not Found", 0)</f>
        <v>2776</v>
      </c>
      <c r="L1506" s="16">
        <f>_xlfn.XLOOKUP(CustomerCombinedCleaned[[#This Row],[ID]], Table4[ID], Table4[Fruits], "Not Found", 0)</f>
        <v>0</v>
      </c>
      <c r="M1506" s="16">
        <f>_xlfn.XLOOKUP(CustomerCombinedCleaned[[#This Row],[ID]], Table4[ID], Table4[Meats], "Not Found", 0)</f>
        <v>207</v>
      </c>
      <c r="N1506" s="16">
        <f>_xlfn.XLOOKUP(CustomerCombinedCleaned[[#This Row],[ID]], Table4[ID], Table4[Seafood], "Not Found", 0)</f>
        <v>0</v>
      </c>
      <c r="O1506" s="16">
        <f>_xlfn.XLOOKUP(CustomerCombinedCleaned[[#This Row],[ID]], Table4[ID], Table4[Sweets], "Not Found", 0)</f>
        <v>0</v>
      </c>
      <c r="P1506" s="16">
        <f>_xlfn.XLOOKUP(CustomerCombinedCleaned[[#This Row],[ID]], Table4[ID], Table4[Premium], "Not Found", 0)</f>
        <v>507</v>
      </c>
      <c r="Q1506" s="16">
        <f>_xlfn.XLOOKUP(CustomerCombinedCleaned[[#This Row],[ID]], Table4[ID], Table4[Regular], "Not Found", 0)</f>
        <v>2476</v>
      </c>
      <c r="R1506" s="16">
        <f>_xlfn.XLOOKUP(CustomerCombinedCleaned[[#This Row],[ID]], Table4[ID], Table4[Deals], "Not Found", 0)</f>
        <v>6</v>
      </c>
      <c r="S1506" s="16">
        <f>_xlfn.XLOOKUP(CustomerCombinedCleaned[[#This Row],[ID]], Table4[ID], Table4[Website], "Not Found", 0)</f>
        <v>10</v>
      </c>
      <c r="T1506" s="16">
        <f>_xlfn.XLOOKUP(CustomerCombinedCleaned[[#This Row],[ID]], Table4[ID], Table4[Catalog], "Not Found", 0)</f>
        <v>5</v>
      </c>
      <c r="U1506" s="16">
        <f>_xlfn.XLOOKUP(CustomerCombinedCleaned[[#This Row],[ID]], Table4[ID], Table4[Store], "Not Found", 0)</f>
        <v>10</v>
      </c>
      <c r="V1506" s="16">
        <f>_xlfn.XLOOKUP(CustomerCombinedCleaned[[#This Row],[ID]], Table4[ID], Table4[Visits], "Not Found", 0)</f>
        <v>8</v>
      </c>
      <c r="W1506" s="16">
        <f>_xlfn.XLOOKUP(CustomerCombinedCleaned[[#This Row],[ID]], Table2[ID],Table2[Complaint], "Not Found", 0 )</f>
        <v>0</v>
      </c>
      <c r="X1506" s="16">
        <f>_xlfn.XLOOKUP(CustomerCombinedCleaned[[#This Row],[ID]], Table2[ID],Table2[Pilot], "Not Found", 0 )</f>
        <v>1</v>
      </c>
      <c r="Y1506" s="16">
        <f>_xlfn.XLOOKUP(CustomerCombinedCleaned[[#This Row],[ID]], Table2[ID],Table2[MC1], "Not Found", 0 )</f>
        <v>0</v>
      </c>
      <c r="Z1506" s="16">
        <f>_xlfn.XLOOKUP(CustomerCombinedCleaned[[#This Row],[ID]], Table2[ID],Table2[MC2], "Not Found", 0 )</f>
        <v>0</v>
      </c>
      <c r="AA1506" s="16">
        <f>_xlfn.XLOOKUP(CustomerCombinedCleaned[[#This Row],[ID]], Table2[ID],Table2[MC3], "Not Found", 0 )</f>
        <v>0</v>
      </c>
      <c r="AB1506" s="16">
        <f>_xlfn.XLOOKUP(CustomerCombinedCleaned[[#This Row],[ID]], Table2[ID],Table2[MC4], "Not Found", 0 )</f>
        <v>0</v>
      </c>
      <c r="AC1506" s="16">
        <f>_xlfn.XLOOKUP(CustomerCombinedCleaned[[#This Row],[ID]], Table2[ID],Table2[MC5], "Not Found", 0 )</f>
        <v>0</v>
      </c>
    </row>
    <row r="1507" spans="1:29" x14ac:dyDescent="0.3">
      <c r="A1507" s="18">
        <v>2889</v>
      </c>
      <c r="B1507" s="16">
        <v>152278</v>
      </c>
      <c r="C1507" s="16">
        <v>0</v>
      </c>
      <c r="D1507" s="16">
        <v>1</v>
      </c>
      <c r="E1507" s="16">
        <v>57</v>
      </c>
      <c r="F1507" s="17" t="s">
        <v>9</v>
      </c>
      <c r="G1507" s="17" t="s">
        <v>13</v>
      </c>
      <c r="H1507" s="3" t="s">
        <v>727</v>
      </c>
      <c r="I1507" s="5" t="s">
        <v>435</v>
      </c>
      <c r="J1507" s="16">
        <f>_xlfn.XLOOKUP(CustomerCombinedCleaned[[#This Row],[ID]], Table4[ID], Table4[Recency], "Not Found", 0)</f>
        <v>24</v>
      </c>
      <c r="K1507" s="16">
        <f>_xlfn.XLOOKUP(CustomerCombinedCleaned[[#This Row],[ID]], Table4[ID], Table4[Teas], "Not Found", 0)</f>
        <v>2776</v>
      </c>
      <c r="L1507" s="16">
        <f>_xlfn.XLOOKUP(CustomerCombinedCleaned[[#This Row],[ID]], Table4[ID], Table4[Fruits], "Not Found", 0)</f>
        <v>0</v>
      </c>
      <c r="M1507" s="16">
        <f>_xlfn.XLOOKUP(CustomerCombinedCleaned[[#This Row],[ID]], Table4[ID], Table4[Meats], "Not Found", 0)</f>
        <v>207</v>
      </c>
      <c r="N1507" s="16">
        <f>_xlfn.XLOOKUP(CustomerCombinedCleaned[[#This Row],[ID]], Table4[ID], Table4[Seafood], "Not Found", 0)</f>
        <v>0</v>
      </c>
      <c r="O1507" s="16">
        <f>_xlfn.XLOOKUP(CustomerCombinedCleaned[[#This Row],[ID]], Table4[ID], Table4[Sweets], "Not Found", 0)</f>
        <v>0</v>
      </c>
      <c r="P1507" s="16">
        <f>_xlfn.XLOOKUP(CustomerCombinedCleaned[[#This Row],[ID]], Table4[ID], Table4[Premium], "Not Found", 0)</f>
        <v>507</v>
      </c>
      <c r="Q1507" s="16">
        <f>_xlfn.XLOOKUP(CustomerCombinedCleaned[[#This Row],[ID]], Table4[ID], Table4[Regular], "Not Found", 0)</f>
        <v>2476</v>
      </c>
      <c r="R1507" s="16">
        <f>_xlfn.XLOOKUP(CustomerCombinedCleaned[[#This Row],[ID]], Table4[ID], Table4[Deals], "Not Found", 0)</f>
        <v>6</v>
      </c>
      <c r="S1507" s="16">
        <f>_xlfn.XLOOKUP(CustomerCombinedCleaned[[#This Row],[ID]], Table4[ID], Table4[Website], "Not Found", 0)</f>
        <v>10</v>
      </c>
      <c r="T1507" s="16">
        <f>_xlfn.XLOOKUP(CustomerCombinedCleaned[[#This Row],[ID]], Table4[ID], Table4[Catalog], "Not Found", 0)</f>
        <v>5</v>
      </c>
      <c r="U1507" s="16">
        <f>_xlfn.XLOOKUP(CustomerCombinedCleaned[[#This Row],[ID]], Table4[ID], Table4[Store], "Not Found", 0)</f>
        <v>10</v>
      </c>
      <c r="V1507" s="16">
        <f>_xlfn.XLOOKUP(CustomerCombinedCleaned[[#This Row],[ID]], Table4[ID], Table4[Visits], "Not Found", 0)</f>
        <v>8</v>
      </c>
      <c r="W1507" s="16">
        <f>_xlfn.XLOOKUP(CustomerCombinedCleaned[[#This Row],[ID]], Table2[ID],Table2[Complaint], "Not Found", 0 )</f>
        <v>0</v>
      </c>
      <c r="X1507" s="16">
        <f>_xlfn.XLOOKUP(CustomerCombinedCleaned[[#This Row],[ID]], Table2[ID],Table2[Pilot], "Not Found", 0 )</f>
        <v>0</v>
      </c>
      <c r="Y1507" s="16">
        <f>_xlfn.XLOOKUP(CustomerCombinedCleaned[[#This Row],[ID]], Table2[ID],Table2[MC1], "Not Found", 0 )</f>
        <v>0</v>
      </c>
      <c r="Z1507" s="16">
        <f>_xlfn.XLOOKUP(CustomerCombinedCleaned[[#This Row],[ID]], Table2[ID],Table2[MC2], "Not Found", 0 )</f>
        <v>0</v>
      </c>
      <c r="AA1507" s="16">
        <f>_xlfn.XLOOKUP(CustomerCombinedCleaned[[#This Row],[ID]], Table2[ID],Table2[MC3], "Not Found", 0 )</f>
        <v>0</v>
      </c>
      <c r="AB1507" s="16">
        <f>_xlfn.XLOOKUP(CustomerCombinedCleaned[[#This Row],[ID]], Table2[ID],Table2[MC4], "Not Found", 0 )</f>
        <v>0</v>
      </c>
      <c r="AC1507" s="16">
        <f>_xlfn.XLOOKUP(CustomerCombinedCleaned[[#This Row],[ID]], Table2[ID],Table2[MC5], "Not Found", 0 )</f>
        <v>0</v>
      </c>
    </row>
    <row r="1508" spans="1:29" x14ac:dyDescent="0.3">
      <c r="A1508" s="18">
        <v>1393</v>
      </c>
      <c r="B1508" s="16">
        <v>150437</v>
      </c>
      <c r="C1508" s="16">
        <v>0</v>
      </c>
      <c r="D1508" s="16">
        <v>2</v>
      </c>
      <c r="E1508" s="16">
        <v>57</v>
      </c>
      <c r="F1508" s="17" t="s">
        <v>6</v>
      </c>
      <c r="G1508" s="17" t="s">
        <v>11</v>
      </c>
      <c r="H1508" s="3" t="s">
        <v>377</v>
      </c>
      <c r="I1508" s="5" t="s">
        <v>437</v>
      </c>
      <c r="J1508" s="16">
        <f>_xlfn.XLOOKUP(CustomerCombinedCleaned[[#This Row],[ID]], Table4[ID], Table4[Recency], "Not Found", 0)</f>
        <v>28</v>
      </c>
      <c r="K1508" s="16">
        <f>_xlfn.XLOOKUP(CustomerCombinedCleaned[[#This Row],[ID]], Table4[ID], Table4[Teas], "Not Found", 0)</f>
        <v>1104</v>
      </c>
      <c r="L1508" s="16">
        <f>_xlfn.XLOOKUP(CustomerCombinedCleaned[[#This Row],[ID]], Table4[ID], Table4[Fruits], "Not Found", 0)</f>
        <v>27</v>
      </c>
      <c r="M1508" s="16">
        <f>_xlfn.XLOOKUP(CustomerCombinedCleaned[[#This Row],[ID]], Table4[ID], Table4[Meats], "Not Found", 0)</f>
        <v>274</v>
      </c>
      <c r="N1508" s="16">
        <f>_xlfn.XLOOKUP(CustomerCombinedCleaned[[#This Row],[ID]], Table4[ID], Table4[Seafood], "Not Found", 0)</f>
        <v>18</v>
      </c>
      <c r="O1508" s="16">
        <f>_xlfn.XLOOKUP(CustomerCombinedCleaned[[#This Row],[ID]], Table4[ID], Table4[Sweets], "Not Found", 0)</f>
        <v>27</v>
      </c>
      <c r="P1508" s="16">
        <f>_xlfn.XLOOKUP(CustomerCombinedCleaned[[#This Row],[ID]], Table4[ID], Table4[Premium], "Not Found", 0)</f>
        <v>12</v>
      </c>
      <c r="Q1508" s="16">
        <f>_xlfn.XLOOKUP(CustomerCombinedCleaned[[#This Row],[ID]], Table4[ID], Table4[Regular], "Not Found", 0)</f>
        <v>1438</v>
      </c>
      <c r="R1508" s="16">
        <f>_xlfn.XLOOKUP(CustomerCombinedCleaned[[#This Row],[ID]], Table4[ID], Table4[Deals], "Not Found", 0)</f>
        <v>3</v>
      </c>
      <c r="S1508" s="16">
        <f>_xlfn.XLOOKUP(CustomerCombinedCleaned[[#This Row],[ID]], Table4[ID], Table4[Website], "Not Found", 0)</f>
        <v>7</v>
      </c>
      <c r="T1508" s="16">
        <f>_xlfn.XLOOKUP(CustomerCombinedCleaned[[#This Row],[ID]], Table4[ID], Table4[Catalog], "Not Found", 0)</f>
        <v>1</v>
      </c>
      <c r="U1508" s="16">
        <f>_xlfn.XLOOKUP(CustomerCombinedCleaned[[#This Row],[ID]], Table4[ID], Table4[Store], "Not Found", 0)</f>
        <v>8</v>
      </c>
      <c r="V1508" s="16">
        <f>_xlfn.XLOOKUP(CustomerCombinedCleaned[[#This Row],[ID]], Table4[ID], Table4[Visits], "Not Found", 0)</f>
        <v>7</v>
      </c>
      <c r="W1508" s="16">
        <f>_xlfn.XLOOKUP(CustomerCombinedCleaned[[#This Row],[ID]], Table2[ID],Table2[Complaint], "Not Found", 0 )</f>
        <v>0</v>
      </c>
      <c r="X1508" s="16">
        <f>_xlfn.XLOOKUP(CustomerCombinedCleaned[[#This Row],[ID]], Table2[ID],Table2[Pilot], "Not Found", 0 )</f>
        <v>0</v>
      </c>
      <c r="Y1508" s="16">
        <f>_xlfn.XLOOKUP(CustomerCombinedCleaned[[#This Row],[ID]], Table2[ID],Table2[MC1], "Not Found", 0 )</f>
        <v>0</v>
      </c>
      <c r="Z1508" s="16">
        <f>_xlfn.XLOOKUP(CustomerCombinedCleaned[[#This Row],[ID]], Table2[ID],Table2[MC2], "Not Found", 0 )</f>
        <v>0</v>
      </c>
      <c r="AA1508" s="16">
        <f>_xlfn.XLOOKUP(CustomerCombinedCleaned[[#This Row],[ID]], Table2[ID],Table2[MC3], "Not Found", 0 )</f>
        <v>0</v>
      </c>
      <c r="AB1508" s="16">
        <f>_xlfn.XLOOKUP(CustomerCombinedCleaned[[#This Row],[ID]], Table2[ID],Table2[MC4], "Not Found", 0 )</f>
        <v>0</v>
      </c>
      <c r="AC1508" s="16">
        <f>_xlfn.XLOOKUP(CustomerCombinedCleaned[[#This Row],[ID]], Table2[ID],Table2[MC5], "Not Found", 0 )</f>
        <v>0</v>
      </c>
    </row>
    <row r="1509" spans="1:29" x14ac:dyDescent="0.3">
      <c r="A1509" s="18">
        <v>1829</v>
      </c>
      <c r="B1509" s="16">
        <v>149980</v>
      </c>
      <c r="C1509" s="16">
        <v>0</v>
      </c>
      <c r="D1509" s="16">
        <v>1</v>
      </c>
      <c r="E1509" s="16">
        <v>57</v>
      </c>
      <c r="F1509" s="17" t="s">
        <v>7</v>
      </c>
      <c r="G1509" s="17" t="s">
        <v>11</v>
      </c>
      <c r="H1509" s="3" t="s">
        <v>159</v>
      </c>
      <c r="I1509" s="5" t="s">
        <v>434</v>
      </c>
      <c r="J1509" s="16">
        <f>_xlfn.XLOOKUP(CustomerCombinedCleaned[[#This Row],[ID]], Table4[ID], Table4[Recency], "Not Found", 0)</f>
        <v>79</v>
      </c>
      <c r="K1509" s="16">
        <f>_xlfn.XLOOKUP(CustomerCombinedCleaned[[#This Row],[ID]], Table4[ID], Table4[Teas], "Not Found", 0)</f>
        <v>312</v>
      </c>
      <c r="L1509" s="16">
        <f>_xlfn.XLOOKUP(CustomerCombinedCleaned[[#This Row],[ID]], Table4[ID], Table4[Fruits], "Not Found", 0)</f>
        <v>3</v>
      </c>
      <c r="M1509" s="16">
        <f>_xlfn.XLOOKUP(CustomerCombinedCleaned[[#This Row],[ID]], Table4[ID], Table4[Meats], "Not Found", 0)</f>
        <v>162</v>
      </c>
      <c r="N1509" s="16">
        <f>_xlfn.XLOOKUP(CustomerCombinedCleaned[[#This Row],[ID]], Table4[ID], Table4[Seafood], "Not Found", 0)</f>
        <v>39</v>
      </c>
      <c r="O1509" s="16">
        <f>_xlfn.XLOOKUP(CustomerCombinedCleaned[[#This Row],[ID]], Table4[ID], Table4[Sweets], "Not Found", 0)</f>
        <v>27</v>
      </c>
      <c r="P1509" s="16">
        <f>_xlfn.XLOOKUP(CustomerCombinedCleaned[[#This Row],[ID]], Table4[ID], Table4[Premium], "Not Found", 0)</f>
        <v>42</v>
      </c>
      <c r="Q1509" s="16">
        <f>_xlfn.XLOOKUP(CustomerCombinedCleaned[[#This Row],[ID]], Table4[ID], Table4[Regular], "Not Found", 0)</f>
        <v>501</v>
      </c>
      <c r="R1509" s="16">
        <f>_xlfn.XLOOKUP(CustomerCombinedCleaned[[#This Row],[ID]], Table4[ID], Table4[Deals], "Not Found", 0)</f>
        <v>2</v>
      </c>
      <c r="S1509" s="16">
        <f>_xlfn.XLOOKUP(CustomerCombinedCleaned[[#This Row],[ID]], Table4[ID], Table4[Website], "Not Found", 0)</f>
        <v>3</v>
      </c>
      <c r="T1509" s="16">
        <f>_xlfn.XLOOKUP(CustomerCombinedCleaned[[#This Row],[ID]], Table4[ID], Table4[Catalog], "Not Found", 0)</f>
        <v>1</v>
      </c>
      <c r="U1509" s="16">
        <f>_xlfn.XLOOKUP(CustomerCombinedCleaned[[#This Row],[ID]], Table4[ID], Table4[Store], "Not Found", 0)</f>
        <v>5</v>
      </c>
      <c r="V1509" s="16">
        <f>_xlfn.XLOOKUP(CustomerCombinedCleaned[[#This Row],[ID]], Table4[ID], Table4[Visits], "Not Found", 0)</f>
        <v>5</v>
      </c>
      <c r="W1509" s="16">
        <f>_xlfn.XLOOKUP(CustomerCombinedCleaned[[#This Row],[ID]], Table2[ID],Table2[Complaint], "Not Found", 0 )</f>
        <v>0</v>
      </c>
      <c r="X1509" s="16">
        <f>_xlfn.XLOOKUP(CustomerCombinedCleaned[[#This Row],[ID]], Table2[ID],Table2[Pilot], "Not Found", 0 )</f>
        <v>0</v>
      </c>
      <c r="Y1509" s="16">
        <f>_xlfn.XLOOKUP(CustomerCombinedCleaned[[#This Row],[ID]], Table2[ID],Table2[MC1], "Not Found", 0 )</f>
        <v>0</v>
      </c>
      <c r="Z1509" s="16">
        <f>_xlfn.XLOOKUP(CustomerCombinedCleaned[[#This Row],[ID]], Table2[ID],Table2[MC2], "Not Found", 0 )</f>
        <v>0</v>
      </c>
      <c r="AA1509" s="16">
        <f>_xlfn.XLOOKUP(CustomerCombinedCleaned[[#This Row],[ID]], Table2[ID],Table2[MC3], "Not Found", 0 )</f>
        <v>0</v>
      </c>
      <c r="AB1509" s="16">
        <f>_xlfn.XLOOKUP(CustomerCombinedCleaned[[#This Row],[ID]], Table2[ID],Table2[MC4], "Not Found", 0 )</f>
        <v>0</v>
      </c>
      <c r="AC1509" s="16">
        <f>_xlfn.XLOOKUP(CustomerCombinedCleaned[[#This Row],[ID]], Table2[ID],Table2[MC5], "Not Found", 0 )</f>
        <v>0</v>
      </c>
    </row>
    <row r="1510" spans="1:29" x14ac:dyDescent="0.3">
      <c r="A1510" s="18">
        <v>2441</v>
      </c>
      <c r="B1510" s="16">
        <v>149476</v>
      </c>
      <c r="C1510" s="16">
        <v>0</v>
      </c>
      <c r="D1510" s="16">
        <v>1</v>
      </c>
      <c r="E1510" s="16">
        <v>57</v>
      </c>
      <c r="F1510" s="17" t="s">
        <v>5</v>
      </c>
      <c r="G1510" s="17" t="s">
        <v>12</v>
      </c>
      <c r="H1510" s="3" t="s">
        <v>233</v>
      </c>
      <c r="I1510" s="5" t="s">
        <v>434</v>
      </c>
      <c r="J1510" s="16">
        <f>_xlfn.XLOOKUP(CustomerCombinedCleaned[[#This Row],[ID]], Table4[ID], Table4[Recency], "Not Found", 0)</f>
        <v>29</v>
      </c>
      <c r="K1510" s="16">
        <f>_xlfn.XLOOKUP(CustomerCombinedCleaned[[#This Row],[ID]], Table4[ID], Table4[Teas], "Not Found", 0)</f>
        <v>1166</v>
      </c>
      <c r="L1510" s="16">
        <f>_xlfn.XLOOKUP(CustomerCombinedCleaned[[#This Row],[ID]], Table4[ID], Table4[Fruits], "Not Found", 0)</f>
        <v>69</v>
      </c>
      <c r="M1510" s="16">
        <f>_xlfn.XLOOKUP(CustomerCombinedCleaned[[#This Row],[ID]], Table4[ID], Table4[Meats], "Not Found", 0)</f>
        <v>287</v>
      </c>
      <c r="N1510" s="16">
        <f>_xlfn.XLOOKUP(CustomerCombinedCleaned[[#This Row],[ID]], Table4[ID], Table4[Seafood], "Not Found", 0)</f>
        <v>163</v>
      </c>
      <c r="O1510" s="16">
        <f>_xlfn.XLOOKUP(CustomerCombinedCleaned[[#This Row],[ID]], Table4[ID], Table4[Sweets], "Not Found", 0)</f>
        <v>124</v>
      </c>
      <c r="P1510" s="16">
        <f>_xlfn.XLOOKUP(CustomerCombinedCleaned[[#This Row],[ID]], Table4[ID], Table4[Premium], "Not Found", 0)</f>
        <v>592</v>
      </c>
      <c r="Q1510" s="16">
        <f>_xlfn.XLOOKUP(CustomerCombinedCleaned[[#This Row],[ID]], Table4[ID], Table4[Regular], "Not Found", 0)</f>
        <v>1218</v>
      </c>
      <c r="R1510" s="16">
        <f>_xlfn.XLOOKUP(CustomerCombinedCleaned[[#This Row],[ID]], Table4[ID], Table4[Deals], "Not Found", 0)</f>
        <v>4</v>
      </c>
      <c r="S1510" s="16">
        <f>_xlfn.XLOOKUP(CustomerCombinedCleaned[[#This Row],[ID]], Table4[ID], Table4[Website], "Not Found", 0)</f>
        <v>2</v>
      </c>
      <c r="T1510" s="16">
        <f>_xlfn.XLOOKUP(CustomerCombinedCleaned[[#This Row],[ID]], Table4[ID], Table4[Catalog], "Not Found", 0)</f>
        <v>11</v>
      </c>
      <c r="U1510" s="16">
        <f>_xlfn.XLOOKUP(CustomerCombinedCleaned[[#This Row],[ID]], Table4[ID], Table4[Store], "Not Found", 0)</f>
        <v>5</v>
      </c>
      <c r="V1510" s="16">
        <f>_xlfn.XLOOKUP(CustomerCombinedCleaned[[#This Row],[ID]], Table4[ID], Table4[Visits], "Not Found", 0)</f>
        <v>2</v>
      </c>
      <c r="W1510" s="16">
        <f>_xlfn.XLOOKUP(CustomerCombinedCleaned[[#This Row],[ID]], Table2[ID],Table2[Complaint], "Not Found", 0 )</f>
        <v>0</v>
      </c>
      <c r="X1510" s="16">
        <f>_xlfn.XLOOKUP(CustomerCombinedCleaned[[#This Row],[ID]], Table2[ID],Table2[Pilot], "Not Found", 0 )</f>
        <v>0</v>
      </c>
      <c r="Y1510" s="16">
        <f>_xlfn.XLOOKUP(CustomerCombinedCleaned[[#This Row],[ID]], Table2[ID],Table2[MC1], "Not Found", 0 )</f>
        <v>0</v>
      </c>
      <c r="Z1510" s="16">
        <f>_xlfn.XLOOKUP(CustomerCombinedCleaned[[#This Row],[ID]], Table2[ID],Table2[MC2], "Not Found", 0 )</f>
        <v>0</v>
      </c>
      <c r="AA1510" s="16">
        <f>_xlfn.XLOOKUP(CustomerCombinedCleaned[[#This Row],[ID]], Table2[ID],Table2[MC3], "Not Found", 0 )</f>
        <v>0</v>
      </c>
      <c r="AB1510" s="16">
        <f>_xlfn.XLOOKUP(CustomerCombinedCleaned[[#This Row],[ID]], Table2[ID],Table2[MC4], "Not Found", 0 )</f>
        <v>0</v>
      </c>
      <c r="AC1510" s="16">
        <f>_xlfn.XLOOKUP(CustomerCombinedCleaned[[#This Row],[ID]], Table2[ID],Table2[MC5], "Not Found", 0 )</f>
        <v>0</v>
      </c>
    </row>
    <row r="1511" spans="1:29" x14ac:dyDescent="0.3">
      <c r="A1511" s="18">
        <v>2275</v>
      </c>
      <c r="B1511" s="16">
        <v>148918</v>
      </c>
      <c r="C1511" s="16">
        <v>1</v>
      </c>
      <c r="D1511" s="16">
        <v>1</v>
      </c>
      <c r="E1511" s="16">
        <v>57</v>
      </c>
      <c r="F1511" s="17" t="s">
        <v>7</v>
      </c>
      <c r="G1511" s="17" t="s">
        <v>13</v>
      </c>
      <c r="H1511" s="3" t="s">
        <v>70</v>
      </c>
      <c r="I1511" s="5" t="s">
        <v>437</v>
      </c>
      <c r="J1511" s="16">
        <f>_xlfn.XLOOKUP(CustomerCombinedCleaned[[#This Row],[ID]], Table4[ID], Table4[Recency], "Not Found", 0)</f>
        <v>21</v>
      </c>
      <c r="K1511" s="16">
        <f>_xlfn.XLOOKUP(CustomerCombinedCleaned[[#This Row],[ID]], Table4[ID], Table4[Teas], "Not Found", 0)</f>
        <v>158</v>
      </c>
      <c r="L1511" s="16">
        <f>_xlfn.XLOOKUP(CustomerCombinedCleaned[[#This Row],[ID]], Table4[ID], Table4[Fruits], "Not Found", 0)</f>
        <v>0</v>
      </c>
      <c r="M1511" s="16">
        <f>_xlfn.XLOOKUP(CustomerCombinedCleaned[[#This Row],[ID]], Table4[ID], Table4[Meats], "Not Found", 0)</f>
        <v>27</v>
      </c>
      <c r="N1511" s="16">
        <f>_xlfn.XLOOKUP(CustomerCombinedCleaned[[#This Row],[ID]], Table4[ID], Table4[Seafood], "Not Found", 0)</f>
        <v>0</v>
      </c>
      <c r="O1511" s="16">
        <f>_xlfn.XLOOKUP(CustomerCombinedCleaned[[#This Row],[ID]], Table4[ID], Table4[Sweets], "Not Found", 0)</f>
        <v>0</v>
      </c>
      <c r="P1511" s="16">
        <f>_xlfn.XLOOKUP(CustomerCombinedCleaned[[#This Row],[ID]], Table4[ID], Table4[Premium], "Not Found", 0)</f>
        <v>3</v>
      </c>
      <c r="Q1511" s="16">
        <f>_xlfn.XLOOKUP(CustomerCombinedCleaned[[#This Row],[ID]], Table4[ID], Table4[Regular], "Not Found", 0)</f>
        <v>183</v>
      </c>
      <c r="R1511" s="16">
        <f>_xlfn.XLOOKUP(CustomerCombinedCleaned[[#This Row],[ID]], Table4[ID], Table4[Deals], "Not Found", 0)</f>
        <v>2</v>
      </c>
      <c r="S1511" s="16">
        <f>_xlfn.XLOOKUP(CustomerCombinedCleaned[[#This Row],[ID]], Table4[ID], Table4[Website], "Not Found", 0)</f>
        <v>1</v>
      </c>
      <c r="T1511" s="16">
        <f>_xlfn.XLOOKUP(CustomerCombinedCleaned[[#This Row],[ID]], Table4[ID], Table4[Catalog], "Not Found", 0)</f>
        <v>0</v>
      </c>
      <c r="U1511" s="16">
        <f>_xlfn.XLOOKUP(CustomerCombinedCleaned[[#This Row],[ID]], Table4[ID], Table4[Store], "Not Found", 0)</f>
        <v>4</v>
      </c>
      <c r="V1511" s="16">
        <f>_xlfn.XLOOKUP(CustomerCombinedCleaned[[#This Row],[ID]], Table4[ID], Table4[Visits], "Not Found", 0)</f>
        <v>4</v>
      </c>
      <c r="W1511" s="16">
        <f>_xlfn.XLOOKUP(CustomerCombinedCleaned[[#This Row],[ID]], Table2[ID],Table2[Complaint], "Not Found", 0 )</f>
        <v>0</v>
      </c>
      <c r="X1511" s="16">
        <f>_xlfn.XLOOKUP(CustomerCombinedCleaned[[#This Row],[ID]], Table2[ID],Table2[Pilot], "Not Found", 0 )</f>
        <v>0</v>
      </c>
      <c r="Y1511" s="16">
        <f>_xlfn.XLOOKUP(CustomerCombinedCleaned[[#This Row],[ID]], Table2[ID],Table2[MC1], "Not Found", 0 )</f>
        <v>0</v>
      </c>
      <c r="Z1511" s="16">
        <f>_xlfn.XLOOKUP(CustomerCombinedCleaned[[#This Row],[ID]], Table2[ID],Table2[MC2], "Not Found", 0 )</f>
        <v>0</v>
      </c>
      <c r="AA1511" s="16">
        <f>_xlfn.XLOOKUP(CustomerCombinedCleaned[[#This Row],[ID]], Table2[ID],Table2[MC3], "Not Found", 0 )</f>
        <v>0</v>
      </c>
      <c r="AB1511" s="16">
        <f>_xlfn.XLOOKUP(CustomerCombinedCleaned[[#This Row],[ID]], Table2[ID],Table2[MC4], "Not Found", 0 )</f>
        <v>0</v>
      </c>
      <c r="AC1511" s="16">
        <f>_xlfn.XLOOKUP(CustomerCombinedCleaned[[#This Row],[ID]], Table2[ID],Table2[MC5], "Not Found", 0 )</f>
        <v>0</v>
      </c>
    </row>
    <row r="1512" spans="1:29" x14ac:dyDescent="0.3">
      <c r="A1512" s="18">
        <v>2766</v>
      </c>
      <c r="B1512" s="16">
        <v>148918</v>
      </c>
      <c r="C1512" s="16">
        <v>1</v>
      </c>
      <c r="D1512" s="16">
        <v>1</v>
      </c>
      <c r="E1512" s="16">
        <v>57</v>
      </c>
      <c r="F1512" s="17" t="s">
        <v>7</v>
      </c>
      <c r="G1512" s="17" t="s">
        <v>13</v>
      </c>
      <c r="H1512" s="3" t="s">
        <v>70</v>
      </c>
      <c r="I1512" s="5" t="s">
        <v>436</v>
      </c>
      <c r="J1512" s="16">
        <f>_xlfn.XLOOKUP(CustomerCombinedCleaned[[#This Row],[ID]], Table4[ID], Table4[Recency], "Not Found", 0)</f>
        <v>21</v>
      </c>
      <c r="K1512" s="16">
        <f>_xlfn.XLOOKUP(CustomerCombinedCleaned[[#This Row],[ID]], Table4[ID], Table4[Teas], "Not Found", 0)</f>
        <v>158</v>
      </c>
      <c r="L1512" s="16">
        <f>_xlfn.XLOOKUP(CustomerCombinedCleaned[[#This Row],[ID]], Table4[ID], Table4[Fruits], "Not Found", 0)</f>
        <v>0</v>
      </c>
      <c r="M1512" s="16">
        <f>_xlfn.XLOOKUP(CustomerCombinedCleaned[[#This Row],[ID]], Table4[ID], Table4[Meats], "Not Found", 0)</f>
        <v>27</v>
      </c>
      <c r="N1512" s="16">
        <f>_xlfn.XLOOKUP(CustomerCombinedCleaned[[#This Row],[ID]], Table4[ID], Table4[Seafood], "Not Found", 0)</f>
        <v>0</v>
      </c>
      <c r="O1512" s="16">
        <f>_xlfn.XLOOKUP(CustomerCombinedCleaned[[#This Row],[ID]], Table4[ID], Table4[Sweets], "Not Found", 0)</f>
        <v>0</v>
      </c>
      <c r="P1512" s="16">
        <f>_xlfn.XLOOKUP(CustomerCombinedCleaned[[#This Row],[ID]], Table4[ID], Table4[Premium], "Not Found", 0)</f>
        <v>3</v>
      </c>
      <c r="Q1512" s="16">
        <f>_xlfn.XLOOKUP(CustomerCombinedCleaned[[#This Row],[ID]], Table4[ID], Table4[Regular], "Not Found", 0)</f>
        <v>183</v>
      </c>
      <c r="R1512" s="16">
        <f>_xlfn.XLOOKUP(CustomerCombinedCleaned[[#This Row],[ID]], Table4[ID], Table4[Deals], "Not Found", 0)</f>
        <v>2</v>
      </c>
      <c r="S1512" s="16">
        <f>_xlfn.XLOOKUP(CustomerCombinedCleaned[[#This Row],[ID]], Table4[ID], Table4[Website], "Not Found", 0)</f>
        <v>1</v>
      </c>
      <c r="T1512" s="16">
        <f>_xlfn.XLOOKUP(CustomerCombinedCleaned[[#This Row],[ID]], Table4[ID], Table4[Catalog], "Not Found", 0)</f>
        <v>0</v>
      </c>
      <c r="U1512" s="16">
        <f>_xlfn.XLOOKUP(CustomerCombinedCleaned[[#This Row],[ID]], Table4[ID], Table4[Store], "Not Found", 0)</f>
        <v>4</v>
      </c>
      <c r="V1512" s="16">
        <f>_xlfn.XLOOKUP(CustomerCombinedCleaned[[#This Row],[ID]], Table4[ID], Table4[Visits], "Not Found", 0)</f>
        <v>4</v>
      </c>
      <c r="W1512" s="16">
        <f>_xlfn.XLOOKUP(CustomerCombinedCleaned[[#This Row],[ID]], Table2[ID],Table2[Complaint], "Not Found", 0 )</f>
        <v>0</v>
      </c>
      <c r="X1512" s="16">
        <f>_xlfn.XLOOKUP(CustomerCombinedCleaned[[#This Row],[ID]], Table2[ID],Table2[Pilot], "Not Found", 0 )</f>
        <v>0</v>
      </c>
      <c r="Y1512" s="16">
        <f>_xlfn.XLOOKUP(CustomerCombinedCleaned[[#This Row],[ID]], Table2[ID],Table2[MC1], "Not Found", 0 )</f>
        <v>0</v>
      </c>
      <c r="Z1512" s="16">
        <f>_xlfn.XLOOKUP(CustomerCombinedCleaned[[#This Row],[ID]], Table2[ID],Table2[MC2], "Not Found", 0 )</f>
        <v>0</v>
      </c>
      <c r="AA1512" s="16">
        <f>_xlfn.XLOOKUP(CustomerCombinedCleaned[[#This Row],[ID]], Table2[ID],Table2[MC3], "Not Found", 0 )</f>
        <v>0</v>
      </c>
      <c r="AB1512" s="16">
        <f>_xlfn.XLOOKUP(CustomerCombinedCleaned[[#This Row],[ID]], Table2[ID],Table2[MC4], "Not Found", 0 )</f>
        <v>0</v>
      </c>
      <c r="AC1512" s="16">
        <f>_xlfn.XLOOKUP(CustomerCombinedCleaned[[#This Row],[ID]], Table2[ID],Table2[MC5], "Not Found", 0 )</f>
        <v>0</v>
      </c>
    </row>
    <row r="1513" spans="1:29" x14ac:dyDescent="0.3">
      <c r="A1513" s="18">
        <v>1548</v>
      </c>
      <c r="B1513" s="16">
        <v>148799</v>
      </c>
      <c r="C1513" s="16">
        <v>0</v>
      </c>
      <c r="D1513" s="16">
        <v>1</v>
      </c>
      <c r="E1513" s="16">
        <v>57</v>
      </c>
      <c r="F1513" s="17" t="s">
        <v>5</v>
      </c>
      <c r="G1513" s="17" t="s">
        <v>13</v>
      </c>
      <c r="H1513" s="3" t="s">
        <v>579</v>
      </c>
      <c r="I1513" s="5" t="s">
        <v>436</v>
      </c>
      <c r="J1513" s="16">
        <f>_xlfn.XLOOKUP(CustomerCombinedCleaned[[#This Row],[ID]], Table4[ID], Table4[Recency], "Not Found", 0)</f>
        <v>9</v>
      </c>
      <c r="K1513" s="16">
        <f>_xlfn.XLOOKUP(CustomerCombinedCleaned[[#This Row],[ID]], Table4[ID], Table4[Teas], "Not Found", 0)</f>
        <v>531</v>
      </c>
      <c r="L1513" s="16">
        <f>_xlfn.XLOOKUP(CustomerCombinedCleaned[[#This Row],[ID]], Table4[ID], Table4[Fruits], "Not Found", 0)</f>
        <v>55</v>
      </c>
      <c r="M1513" s="16">
        <f>_xlfn.XLOOKUP(CustomerCombinedCleaned[[#This Row],[ID]], Table4[ID], Table4[Meats], "Not Found", 0)</f>
        <v>247</v>
      </c>
      <c r="N1513" s="16">
        <f>_xlfn.XLOOKUP(CustomerCombinedCleaned[[#This Row],[ID]], Table4[ID], Table4[Seafood], "Not Found", 0)</f>
        <v>85</v>
      </c>
      <c r="O1513" s="16">
        <f>_xlfn.XLOOKUP(CustomerCombinedCleaned[[#This Row],[ID]], Table4[ID], Table4[Sweets], "Not Found", 0)</f>
        <v>18</v>
      </c>
      <c r="P1513" s="16">
        <f>_xlfn.XLOOKUP(CustomerCombinedCleaned[[#This Row],[ID]], Table4[ID], Table4[Premium], "Not Found", 0)</f>
        <v>73</v>
      </c>
      <c r="Q1513" s="16">
        <f>_xlfn.XLOOKUP(CustomerCombinedCleaned[[#This Row],[ID]], Table4[ID], Table4[Regular], "Not Found", 0)</f>
        <v>863</v>
      </c>
      <c r="R1513" s="16">
        <f>_xlfn.XLOOKUP(CustomerCombinedCleaned[[#This Row],[ID]], Table4[ID], Table4[Deals], "Not Found", 0)</f>
        <v>3</v>
      </c>
      <c r="S1513" s="16">
        <f>_xlfn.XLOOKUP(CustomerCombinedCleaned[[#This Row],[ID]], Table4[ID], Table4[Website], "Not Found", 0)</f>
        <v>3</v>
      </c>
      <c r="T1513" s="16">
        <f>_xlfn.XLOOKUP(CustomerCombinedCleaned[[#This Row],[ID]], Table4[ID], Table4[Catalog], "Not Found", 0)</f>
        <v>2</v>
      </c>
      <c r="U1513" s="16">
        <f>_xlfn.XLOOKUP(CustomerCombinedCleaned[[#This Row],[ID]], Table4[ID], Table4[Store], "Not Found", 0)</f>
        <v>7</v>
      </c>
      <c r="V1513" s="16">
        <f>_xlfn.XLOOKUP(CustomerCombinedCleaned[[#This Row],[ID]], Table4[ID], Table4[Visits], "Not Found", 0)</f>
        <v>3</v>
      </c>
      <c r="W1513" s="16">
        <f>_xlfn.XLOOKUP(CustomerCombinedCleaned[[#This Row],[ID]], Table2[ID],Table2[Complaint], "Not Found", 0 )</f>
        <v>0</v>
      </c>
      <c r="X1513" s="16">
        <f>_xlfn.XLOOKUP(CustomerCombinedCleaned[[#This Row],[ID]], Table2[ID],Table2[Pilot], "Not Found", 0 )</f>
        <v>0</v>
      </c>
      <c r="Y1513" s="16">
        <f>_xlfn.XLOOKUP(CustomerCombinedCleaned[[#This Row],[ID]], Table2[ID],Table2[MC1], "Not Found", 0 )</f>
        <v>0</v>
      </c>
      <c r="Z1513" s="16">
        <f>_xlfn.XLOOKUP(CustomerCombinedCleaned[[#This Row],[ID]], Table2[ID],Table2[MC2], "Not Found", 0 )</f>
        <v>0</v>
      </c>
      <c r="AA1513" s="16">
        <f>_xlfn.XLOOKUP(CustomerCombinedCleaned[[#This Row],[ID]], Table2[ID],Table2[MC3], "Not Found", 0 )</f>
        <v>0</v>
      </c>
      <c r="AB1513" s="16">
        <f>_xlfn.XLOOKUP(CustomerCombinedCleaned[[#This Row],[ID]], Table2[ID],Table2[MC4], "Not Found", 0 )</f>
        <v>0</v>
      </c>
      <c r="AC1513" s="16">
        <f>_xlfn.XLOOKUP(CustomerCombinedCleaned[[#This Row],[ID]], Table2[ID],Table2[MC5], "Not Found", 0 )</f>
        <v>0</v>
      </c>
    </row>
    <row r="1514" spans="1:29" x14ac:dyDescent="0.3">
      <c r="A1514" s="18">
        <v>1195</v>
      </c>
      <c r="B1514" s="16">
        <v>148721</v>
      </c>
      <c r="C1514" s="16">
        <v>1</v>
      </c>
      <c r="D1514" s="16">
        <v>1</v>
      </c>
      <c r="E1514" s="16">
        <v>57</v>
      </c>
      <c r="F1514" s="17" t="s">
        <v>5</v>
      </c>
      <c r="G1514" s="17" t="s">
        <v>12</v>
      </c>
      <c r="H1514" s="3" t="s">
        <v>258</v>
      </c>
      <c r="I1514" s="5" t="s">
        <v>437</v>
      </c>
      <c r="J1514" s="16">
        <f>_xlfn.XLOOKUP(CustomerCombinedCleaned[[#This Row],[ID]], Table4[ID], Table4[Recency], "Not Found", 0)</f>
        <v>50</v>
      </c>
      <c r="K1514" s="16">
        <f>_xlfn.XLOOKUP(CustomerCombinedCleaned[[#This Row],[ID]], Table4[ID], Table4[Teas], "Not Found", 0)</f>
        <v>247</v>
      </c>
      <c r="L1514" s="16">
        <f>_xlfn.XLOOKUP(CustomerCombinedCleaned[[#This Row],[ID]], Table4[ID], Table4[Fruits], "Not Found", 0)</f>
        <v>55</v>
      </c>
      <c r="M1514" s="16">
        <f>_xlfn.XLOOKUP(CustomerCombinedCleaned[[#This Row],[ID]], Table4[ID], Table4[Meats], "Not Found", 0)</f>
        <v>345</v>
      </c>
      <c r="N1514" s="16">
        <f>_xlfn.XLOOKUP(CustomerCombinedCleaned[[#This Row],[ID]], Table4[ID], Table4[Seafood], "Not Found", 0)</f>
        <v>143</v>
      </c>
      <c r="O1514" s="16">
        <f>_xlfn.XLOOKUP(CustomerCombinedCleaned[[#This Row],[ID]], Table4[ID], Table4[Sweets], "Not Found", 0)</f>
        <v>40</v>
      </c>
      <c r="P1514" s="16">
        <f>_xlfn.XLOOKUP(CustomerCombinedCleaned[[#This Row],[ID]], Table4[ID], Table4[Premium], "Not Found", 0)</f>
        <v>64</v>
      </c>
      <c r="Q1514" s="16">
        <f>_xlfn.XLOOKUP(CustomerCombinedCleaned[[#This Row],[ID]], Table4[ID], Table4[Regular], "Not Found", 0)</f>
        <v>766</v>
      </c>
      <c r="R1514" s="16">
        <f>_xlfn.XLOOKUP(CustomerCombinedCleaned[[#This Row],[ID]], Table4[ID], Table4[Deals], "Not Found", 0)</f>
        <v>6</v>
      </c>
      <c r="S1514" s="16">
        <f>_xlfn.XLOOKUP(CustomerCombinedCleaned[[#This Row],[ID]], Table4[ID], Table4[Website], "Not Found", 0)</f>
        <v>4</v>
      </c>
      <c r="T1514" s="16">
        <f>_xlfn.XLOOKUP(CustomerCombinedCleaned[[#This Row],[ID]], Table4[ID], Table4[Catalog], "Not Found", 0)</f>
        <v>2</v>
      </c>
      <c r="U1514" s="16">
        <f>_xlfn.XLOOKUP(CustomerCombinedCleaned[[#This Row],[ID]], Table4[ID], Table4[Store], "Not Found", 0)</f>
        <v>5</v>
      </c>
      <c r="V1514" s="16">
        <f>_xlfn.XLOOKUP(CustomerCombinedCleaned[[#This Row],[ID]], Table4[ID], Table4[Visits], "Not Found", 0)</f>
        <v>6</v>
      </c>
      <c r="W1514" s="16">
        <f>_xlfn.XLOOKUP(CustomerCombinedCleaned[[#This Row],[ID]], Table2[ID],Table2[Complaint], "Not Found", 0 )</f>
        <v>0</v>
      </c>
      <c r="X1514" s="16">
        <f>_xlfn.XLOOKUP(CustomerCombinedCleaned[[#This Row],[ID]], Table2[ID],Table2[Pilot], "Not Found", 0 )</f>
        <v>0</v>
      </c>
      <c r="Y1514" s="16">
        <f>_xlfn.XLOOKUP(CustomerCombinedCleaned[[#This Row],[ID]], Table2[ID],Table2[MC1], "Not Found", 0 )</f>
        <v>0</v>
      </c>
      <c r="Z1514" s="16">
        <f>_xlfn.XLOOKUP(CustomerCombinedCleaned[[#This Row],[ID]], Table2[ID],Table2[MC2], "Not Found", 0 )</f>
        <v>0</v>
      </c>
      <c r="AA1514" s="16">
        <f>_xlfn.XLOOKUP(CustomerCombinedCleaned[[#This Row],[ID]], Table2[ID],Table2[MC3], "Not Found", 0 )</f>
        <v>0</v>
      </c>
      <c r="AB1514" s="16">
        <f>_xlfn.XLOOKUP(CustomerCombinedCleaned[[#This Row],[ID]], Table2[ID],Table2[MC4], "Not Found", 0 )</f>
        <v>0</v>
      </c>
      <c r="AC1514" s="16">
        <f>_xlfn.XLOOKUP(CustomerCombinedCleaned[[#This Row],[ID]], Table2[ID],Table2[MC5], "Not Found", 0 )</f>
        <v>0</v>
      </c>
    </row>
    <row r="1515" spans="1:29" x14ac:dyDescent="0.3">
      <c r="A1515" s="18">
        <v>2786</v>
      </c>
      <c r="B1515" s="16">
        <v>146757</v>
      </c>
      <c r="C1515" s="16">
        <v>0</v>
      </c>
      <c r="D1515" s="16">
        <v>1</v>
      </c>
      <c r="E1515" s="16">
        <v>57</v>
      </c>
      <c r="F1515" s="17" t="s">
        <v>7</v>
      </c>
      <c r="G1515" s="17" t="s">
        <v>13</v>
      </c>
      <c r="H1515" s="3" t="s">
        <v>360</v>
      </c>
      <c r="I1515" s="5" t="s">
        <v>438</v>
      </c>
      <c r="J1515" s="16">
        <f>_xlfn.XLOOKUP(CustomerCombinedCleaned[[#This Row],[ID]], Table4[ID], Table4[Recency], "Not Found", 0)</f>
        <v>71</v>
      </c>
      <c r="K1515" s="16">
        <f>_xlfn.XLOOKUP(CustomerCombinedCleaned[[#This Row],[ID]], Table4[ID], Table4[Teas], "Not Found", 0)</f>
        <v>2439</v>
      </c>
      <c r="L1515" s="16">
        <f>_xlfn.XLOOKUP(CustomerCombinedCleaned[[#This Row],[ID]], Table4[ID], Table4[Fruits], "Not Found", 0)</f>
        <v>94</v>
      </c>
      <c r="M1515" s="16">
        <f>_xlfn.XLOOKUP(CustomerCombinedCleaned[[#This Row],[ID]], Table4[ID], Table4[Meats], "Not Found", 0)</f>
        <v>512</v>
      </c>
      <c r="N1515" s="16">
        <f>_xlfn.XLOOKUP(CustomerCombinedCleaned[[#This Row],[ID]], Table4[ID], Table4[Seafood], "Not Found", 0)</f>
        <v>0</v>
      </c>
      <c r="O1515" s="16">
        <f>_xlfn.XLOOKUP(CustomerCombinedCleaned[[#This Row],[ID]], Table4[ID], Table4[Sweets], "Not Found", 0)</f>
        <v>160</v>
      </c>
      <c r="P1515" s="16">
        <f>_xlfn.XLOOKUP(CustomerCombinedCleaned[[#This Row],[ID]], Table4[ID], Table4[Premium], "Not Found", 0)</f>
        <v>383</v>
      </c>
      <c r="Q1515" s="16">
        <f>_xlfn.XLOOKUP(CustomerCombinedCleaned[[#This Row],[ID]], Table4[ID], Table4[Regular], "Not Found", 0)</f>
        <v>2822</v>
      </c>
      <c r="R1515" s="16">
        <f>_xlfn.XLOOKUP(CustomerCombinedCleaned[[#This Row],[ID]], Table4[ID], Table4[Deals], "Not Found", 0)</f>
        <v>6</v>
      </c>
      <c r="S1515" s="16">
        <f>_xlfn.XLOOKUP(CustomerCombinedCleaned[[#This Row],[ID]], Table4[ID], Table4[Website], "Not Found", 0)</f>
        <v>4</v>
      </c>
      <c r="T1515" s="16">
        <f>_xlfn.XLOOKUP(CustomerCombinedCleaned[[#This Row],[ID]], Table4[ID], Table4[Catalog], "Not Found", 0)</f>
        <v>4</v>
      </c>
      <c r="U1515" s="16">
        <f>_xlfn.XLOOKUP(CustomerCombinedCleaned[[#This Row],[ID]], Table4[ID], Table4[Store], "Not Found", 0)</f>
        <v>7</v>
      </c>
      <c r="V1515" s="16">
        <f>_xlfn.XLOOKUP(CustomerCombinedCleaned[[#This Row],[ID]], Table4[ID], Table4[Visits], "Not Found", 0)</f>
        <v>9</v>
      </c>
      <c r="W1515" s="16">
        <f>_xlfn.XLOOKUP(CustomerCombinedCleaned[[#This Row],[ID]], Table2[ID],Table2[Complaint], "Not Found", 0 )</f>
        <v>0</v>
      </c>
      <c r="X1515" s="16">
        <f>_xlfn.XLOOKUP(CustomerCombinedCleaned[[#This Row],[ID]], Table2[ID],Table2[Pilot], "Not Found", 0 )</f>
        <v>0</v>
      </c>
      <c r="Y1515" s="16">
        <f>_xlfn.XLOOKUP(CustomerCombinedCleaned[[#This Row],[ID]], Table2[ID],Table2[MC1], "Not Found", 0 )</f>
        <v>0</v>
      </c>
      <c r="Z1515" s="16">
        <f>_xlfn.XLOOKUP(CustomerCombinedCleaned[[#This Row],[ID]], Table2[ID],Table2[MC2], "Not Found", 0 )</f>
        <v>0</v>
      </c>
      <c r="AA1515" s="16">
        <f>_xlfn.XLOOKUP(CustomerCombinedCleaned[[#This Row],[ID]], Table2[ID],Table2[MC3], "Not Found", 0 )</f>
        <v>0</v>
      </c>
      <c r="AB1515" s="16">
        <f>_xlfn.XLOOKUP(CustomerCombinedCleaned[[#This Row],[ID]], Table2[ID],Table2[MC4], "Not Found", 0 )</f>
        <v>0</v>
      </c>
      <c r="AC1515" s="16">
        <f>_xlfn.XLOOKUP(CustomerCombinedCleaned[[#This Row],[ID]], Table2[ID],Table2[MC5], "Not Found", 0 )</f>
        <v>0</v>
      </c>
    </row>
    <row r="1516" spans="1:29" x14ac:dyDescent="0.3">
      <c r="A1516" s="18">
        <v>3177</v>
      </c>
      <c r="B1516" s="16">
        <v>145146</v>
      </c>
      <c r="C1516" s="16">
        <v>1</v>
      </c>
      <c r="D1516" s="16">
        <v>1</v>
      </c>
      <c r="E1516" s="16">
        <v>57</v>
      </c>
      <c r="F1516" s="17" t="s">
        <v>5</v>
      </c>
      <c r="G1516" s="17" t="s">
        <v>11</v>
      </c>
      <c r="H1516" s="3" t="s">
        <v>221</v>
      </c>
      <c r="I1516" s="5" t="s">
        <v>435</v>
      </c>
      <c r="J1516" s="16">
        <f>_xlfn.XLOOKUP(CustomerCombinedCleaned[[#This Row],[ID]], Table4[ID], Table4[Recency], "Not Found", 0)</f>
        <v>28</v>
      </c>
      <c r="K1516" s="16">
        <f>_xlfn.XLOOKUP(CustomerCombinedCleaned[[#This Row],[ID]], Table4[ID], Table4[Teas], "Not Found", 0)</f>
        <v>106</v>
      </c>
      <c r="L1516" s="16">
        <f>_xlfn.XLOOKUP(CustomerCombinedCleaned[[#This Row],[ID]], Table4[ID], Table4[Fruits], "Not Found", 0)</f>
        <v>0</v>
      </c>
      <c r="M1516" s="16">
        <f>_xlfn.XLOOKUP(CustomerCombinedCleaned[[#This Row],[ID]], Table4[ID], Table4[Meats], "Not Found", 0)</f>
        <v>16</v>
      </c>
      <c r="N1516" s="16">
        <f>_xlfn.XLOOKUP(CustomerCombinedCleaned[[#This Row],[ID]], Table4[ID], Table4[Seafood], "Not Found", 0)</f>
        <v>0</v>
      </c>
      <c r="O1516" s="16">
        <f>_xlfn.XLOOKUP(CustomerCombinedCleaned[[#This Row],[ID]], Table4[ID], Table4[Sweets], "Not Found", 0)</f>
        <v>0</v>
      </c>
      <c r="P1516" s="16">
        <f>_xlfn.XLOOKUP(CustomerCombinedCleaned[[#This Row],[ID]], Table4[ID], Table4[Premium], "Not Found", 0)</f>
        <v>48</v>
      </c>
      <c r="Q1516" s="16">
        <f>_xlfn.XLOOKUP(CustomerCombinedCleaned[[#This Row],[ID]], Table4[ID], Table4[Regular], "Not Found", 0)</f>
        <v>74</v>
      </c>
      <c r="R1516" s="16">
        <f>_xlfn.XLOOKUP(CustomerCombinedCleaned[[#This Row],[ID]], Table4[ID], Table4[Deals], "Not Found", 0)</f>
        <v>2</v>
      </c>
      <c r="S1516" s="16">
        <f>_xlfn.XLOOKUP(CustomerCombinedCleaned[[#This Row],[ID]], Table4[ID], Table4[Website], "Not Found", 0)</f>
        <v>1</v>
      </c>
      <c r="T1516" s="16">
        <f>_xlfn.XLOOKUP(CustomerCombinedCleaned[[#This Row],[ID]], Table4[ID], Table4[Catalog], "Not Found", 0)</f>
        <v>1</v>
      </c>
      <c r="U1516" s="16">
        <f>_xlfn.XLOOKUP(CustomerCombinedCleaned[[#This Row],[ID]], Table4[ID], Table4[Store], "Not Found", 0)</f>
        <v>2</v>
      </c>
      <c r="V1516" s="16">
        <f>_xlfn.XLOOKUP(CustomerCombinedCleaned[[#This Row],[ID]], Table4[ID], Table4[Visits], "Not Found", 0)</f>
        <v>4</v>
      </c>
      <c r="W1516" s="16">
        <f>_xlfn.XLOOKUP(CustomerCombinedCleaned[[#This Row],[ID]], Table2[ID],Table2[Complaint], "Not Found", 0 )</f>
        <v>0</v>
      </c>
      <c r="X1516" s="16">
        <f>_xlfn.XLOOKUP(CustomerCombinedCleaned[[#This Row],[ID]], Table2[ID],Table2[Pilot], "Not Found", 0 )</f>
        <v>0</v>
      </c>
      <c r="Y1516" s="16">
        <f>_xlfn.XLOOKUP(CustomerCombinedCleaned[[#This Row],[ID]], Table2[ID],Table2[MC1], "Not Found", 0 )</f>
        <v>0</v>
      </c>
      <c r="Z1516" s="16">
        <f>_xlfn.XLOOKUP(CustomerCombinedCleaned[[#This Row],[ID]], Table2[ID],Table2[MC2], "Not Found", 0 )</f>
        <v>0</v>
      </c>
      <c r="AA1516" s="16">
        <f>_xlfn.XLOOKUP(CustomerCombinedCleaned[[#This Row],[ID]], Table2[ID],Table2[MC3], "Not Found", 0 )</f>
        <v>0</v>
      </c>
      <c r="AB1516" s="16">
        <f>_xlfn.XLOOKUP(CustomerCombinedCleaned[[#This Row],[ID]], Table2[ID],Table2[MC4], "Not Found", 0 )</f>
        <v>0</v>
      </c>
      <c r="AC1516" s="16">
        <f>_xlfn.XLOOKUP(CustomerCombinedCleaned[[#This Row],[ID]], Table2[ID],Table2[MC5], "Not Found", 0 )</f>
        <v>0</v>
      </c>
    </row>
    <row r="1517" spans="1:29" x14ac:dyDescent="0.3">
      <c r="A1517" s="18">
        <v>2603</v>
      </c>
      <c r="B1517" s="16">
        <v>141003</v>
      </c>
      <c r="C1517" s="16">
        <v>0</v>
      </c>
      <c r="D1517" s="16">
        <v>0</v>
      </c>
      <c r="E1517" s="16">
        <v>57</v>
      </c>
      <c r="F1517" s="17" t="s">
        <v>5</v>
      </c>
      <c r="G1517" s="17" t="s">
        <v>13</v>
      </c>
      <c r="H1517" s="3" t="s">
        <v>291</v>
      </c>
      <c r="I1517" s="5" t="s">
        <v>434</v>
      </c>
      <c r="J1517" s="16">
        <f>_xlfn.XLOOKUP(CustomerCombinedCleaned[[#This Row],[ID]], Table4[ID], Table4[Recency], "Not Found", 0)</f>
        <v>11</v>
      </c>
      <c r="K1517" s="16">
        <f>_xlfn.XLOOKUP(CustomerCombinedCleaned[[#This Row],[ID]], Table4[ID], Table4[Teas], "Not Found", 0)</f>
        <v>423</v>
      </c>
      <c r="L1517" s="16">
        <f>_xlfn.XLOOKUP(CustomerCombinedCleaned[[#This Row],[ID]], Table4[ID], Table4[Fruits], "Not Found", 0)</f>
        <v>457</v>
      </c>
      <c r="M1517" s="16">
        <f>_xlfn.XLOOKUP(CustomerCombinedCleaned[[#This Row],[ID]], Table4[ID], Table4[Meats], "Not Found", 0)</f>
        <v>488</v>
      </c>
      <c r="N1517" s="16">
        <f>_xlfn.XLOOKUP(CustomerCombinedCleaned[[#This Row],[ID]], Table4[ID], Table4[Seafood], "Not Found", 0)</f>
        <v>244</v>
      </c>
      <c r="O1517" s="16">
        <f>_xlfn.XLOOKUP(CustomerCombinedCleaned[[#This Row],[ID]], Table4[ID], Table4[Sweets], "Not Found", 0)</f>
        <v>151</v>
      </c>
      <c r="P1517" s="16">
        <f>_xlfn.XLOOKUP(CustomerCombinedCleaned[[#This Row],[ID]], Table4[ID], Table4[Premium], "Not Found", 0)</f>
        <v>303</v>
      </c>
      <c r="Q1517" s="16">
        <f>_xlfn.XLOOKUP(CustomerCombinedCleaned[[#This Row],[ID]], Table4[ID], Table4[Regular], "Not Found", 0)</f>
        <v>1462</v>
      </c>
      <c r="R1517" s="16">
        <f>_xlfn.XLOOKUP(CustomerCombinedCleaned[[#This Row],[ID]], Table4[ID], Table4[Deals], "Not Found", 0)</f>
        <v>1</v>
      </c>
      <c r="S1517" s="16">
        <f>_xlfn.XLOOKUP(CustomerCombinedCleaned[[#This Row],[ID]], Table4[ID], Table4[Website], "Not Found", 0)</f>
        <v>6</v>
      </c>
      <c r="T1517" s="16">
        <f>_xlfn.XLOOKUP(CustomerCombinedCleaned[[#This Row],[ID]], Table4[ID], Table4[Catalog], "Not Found", 0)</f>
        <v>2</v>
      </c>
      <c r="U1517" s="16">
        <f>_xlfn.XLOOKUP(CustomerCombinedCleaned[[#This Row],[ID]], Table4[ID], Table4[Store], "Not Found", 0)</f>
        <v>8</v>
      </c>
      <c r="V1517" s="16">
        <f>_xlfn.XLOOKUP(CustomerCombinedCleaned[[#This Row],[ID]], Table4[ID], Table4[Visits], "Not Found", 0)</f>
        <v>6</v>
      </c>
      <c r="W1517" s="16">
        <f>_xlfn.XLOOKUP(CustomerCombinedCleaned[[#This Row],[ID]], Table2[ID],Table2[Complaint], "Not Found", 0 )</f>
        <v>0</v>
      </c>
      <c r="X1517" s="16">
        <f>_xlfn.XLOOKUP(CustomerCombinedCleaned[[#This Row],[ID]], Table2[ID],Table2[Pilot], "Not Found", 0 )</f>
        <v>0</v>
      </c>
      <c r="Y1517" s="16">
        <f>_xlfn.XLOOKUP(CustomerCombinedCleaned[[#This Row],[ID]], Table2[ID],Table2[MC1], "Not Found", 0 )</f>
        <v>0</v>
      </c>
      <c r="Z1517" s="16">
        <f>_xlfn.XLOOKUP(CustomerCombinedCleaned[[#This Row],[ID]], Table2[ID],Table2[MC2], "Not Found", 0 )</f>
        <v>0</v>
      </c>
      <c r="AA1517" s="16">
        <f>_xlfn.XLOOKUP(CustomerCombinedCleaned[[#This Row],[ID]], Table2[ID],Table2[MC3], "Not Found", 0 )</f>
        <v>0</v>
      </c>
      <c r="AB1517" s="16">
        <f>_xlfn.XLOOKUP(CustomerCombinedCleaned[[#This Row],[ID]], Table2[ID],Table2[MC4], "Not Found", 0 )</f>
        <v>0</v>
      </c>
      <c r="AC1517" s="16">
        <f>_xlfn.XLOOKUP(CustomerCombinedCleaned[[#This Row],[ID]], Table2[ID],Table2[MC5], "Not Found", 0 )</f>
        <v>0</v>
      </c>
    </row>
    <row r="1518" spans="1:29" x14ac:dyDescent="0.3">
      <c r="A1518" s="18">
        <v>1534</v>
      </c>
      <c r="B1518" s="16">
        <v>139548</v>
      </c>
      <c r="C1518" s="16">
        <v>1</v>
      </c>
      <c r="D1518" s="16">
        <v>1</v>
      </c>
      <c r="E1518" s="16">
        <v>57</v>
      </c>
      <c r="F1518" s="17" t="s">
        <v>7</v>
      </c>
      <c r="G1518" s="17" t="s">
        <v>11</v>
      </c>
      <c r="H1518" s="3" t="s">
        <v>548</v>
      </c>
      <c r="I1518" s="5" t="s">
        <v>439</v>
      </c>
      <c r="J1518" s="16">
        <f>_xlfn.XLOOKUP(CustomerCombinedCleaned[[#This Row],[ID]], Table4[ID], Table4[Recency], "Not Found", 0)</f>
        <v>87</v>
      </c>
      <c r="K1518" s="16">
        <f>_xlfn.XLOOKUP(CustomerCombinedCleaned[[#This Row],[ID]], Table4[ID], Table4[Teas], "Not Found", 0)</f>
        <v>53</v>
      </c>
      <c r="L1518" s="16">
        <f>_xlfn.XLOOKUP(CustomerCombinedCleaned[[#This Row],[ID]], Table4[ID], Table4[Fruits], "Not Found", 0)</f>
        <v>14</v>
      </c>
      <c r="M1518" s="16">
        <f>_xlfn.XLOOKUP(CustomerCombinedCleaned[[#This Row],[ID]], Table4[ID], Table4[Meats], "Not Found", 0)</f>
        <v>35</v>
      </c>
      <c r="N1518" s="16">
        <f>_xlfn.XLOOKUP(CustomerCombinedCleaned[[#This Row],[ID]], Table4[ID], Table4[Seafood], "Not Found", 0)</f>
        <v>11</v>
      </c>
      <c r="O1518" s="16">
        <f>_xlfn.XLOOKUP(CustomerCombinedCleaned[[#This Row],[ID]], Table4[ID], Table4[Sweets], "Not Found", 0)</f>
        <v>14</v>
      </c>
      <c r="P1518" s="16">
        <f>_xlfn.XLOOKUP(CustomerCombinedCleaned[[#This Row],[ID]], Table4[ID], Table4[Premium], "Not Found", 0)</f>
        <v>64</v>
      </c>
      <c r="Q1518" s="16">
        <f>_xlfn.XLOOKUP(CustomerCombinedCleaned[[#This Row],[ID]], Table4[ID], Table4[Regular], "Not Found", 0)</f>
        <v>64</v>
      </c>
      <c r="R1518" s="16">
        <f>_xlfn.XLOOKUP(CustomerCombinedCleaned[[#This Row],[ID]], Table4[ID], Table4[Deals], "Not Found", 0)</f>
        <v>2</v>
      </c>
      <c r="S1518" s="16">
        <f>_xlfn.XLOOKUP(CustomerCombinedCleaned[[#This Row],[ID]], Table4[ID], Table4[Website], "Not Found", 0)</f>
        <v>1</v>
      </c>
      <c r="T1518" s="16">
        <f>_xlfn.XLOOKUP(CustomerCombinedCleaned[[#This Row],[ID]], Table4[ID], Table4[Catalog], "Not Found", 0)</f>
        <v>1</v>
      </c>
      <c r="U1518" s="16">
        <f>_xlfn.XLOOKUP(CustomerCombinedCleaned[[#This Row],[ID]], Table4[ID], Table4[Store], "Not Found", 0)</f>
        <v>3</v>
      </c>
      <c r="V1518" s="16">
        <f>_xlfn.XLOOKUP(CustomerCombinedCleaned[[#This Row],[ID]], Table4[ID], Table4[Visits], "Not Found", 0)</f>
        <v>3</v>
      </c>
      <c r="W1518" s="16">
        <f>_xlfn.XLOOKUP(CustomerCombinedCleaned[[#This Row],[ID]], Table2[ID],Table2[Complaint], "Not Found", 0 )</f>
        <v>0</v>
      </c>
      <c r="X1518" s="16">
        <f>_xlfn.XLOOKUP(CustomerCombinedCleaned[[#This Row],[ID]], Table2[ID],Table2[Pilot], "Not Found", 0 )</f>
        <v>0</v>
      </c>
      <c r="Y1518" s="16">
        <f>_xlfn.XLOOKUP(CustomerCombinedCleaned[[#This Row],[ID]], Table2[ID],Table2[MC1], "Not Found", 0 )</f>
        <v>0</v>
      </c>
      <c r="Z1518" s="16">
        <f>_xlfn.XLOOKUP(CustomerCombinedCleaned[[#This Row],[ID]], Table2[ID],Table2[MC2], "Not Found", 0 )</f>
        <v>0</v>
      </c>
      <c r="AA1518" s="16">
        <f>_xlfn.XLOOKUP(CustomerCombinedCleaned[[#This Row],[ID]], Table2[ID],Table2[MC3], "Not Found", 0 )</f>
        <v>0</v>
      </c>
      <c r="AB1518" s="16">
        <f>_xlfn.XLOOKUP(CustomerCombinedCleaned[[#This Row],[ID]], Table2[ID],Table2[MC4], "Not Found", 0 )</f>
        <v>0</v>
      </c>
      <c r="AC1518" s="16">
        <f>_xlfn.XLOOKUP(CustomerCombinedCleaned[[#This Row],[ID]], Table2[ID],Table2[MC5], "Not Found", 0 )</f>
        <v>0</v>
      </c>
    </row>
    <row r="1519" spans="1:29" x14ac:dyDescent="0.3">
      <c r="A1519" s="18">
        <v>1030</v>
      </c>
      <c r="B1519" s="16">
        <v>138620</v>
      </c>
      <c r="C1519" s="16">
        <v>0</v>
      </c>
      <c r="D1519" s="16">
        <v>0</v>
      </c>
      <c r="E1519" s="16">
        <v>57</v>
      </c>
      <c r="F1519" s="17" t="s">
        <v>8</v>
      </c>
      <c r="G1519" s="17" t="s">
        <v>12</v>
      </c>
      <c r="H1519" s="3" t="s">
        <v>260</v>
      </c>
      <c r="I1519" s="5" t="s">
        <v>439</v>
      </c>
      <c r="J1519" s="16">
        <f>_xlfn.XLOOKUP(CustomerCombinedCleaned[[#This Row],[ID]], Table4[ID], Table4[Recency], "Not Found", 0)</f>
        <v>56</v>
      </c>
      <c r="K1519" s="16">
        <f>_xlfn.XLOOKUP(CustomerCombinedCleaned[[#This Row],[ID]], Table4[ID], Table4[Teas], "Not Found", 0)</f>
        <v>402</v>
      </c>
      <c r="L1519" s="16">
        <f>_xlfn.XLOOKUP(CustomerCombinedCleaned[[#This Row],[ID]], Table4[ID], Table4[Fruits], "Not Found", 0)</f>
        <v>61</v>
      </c>
      <c r="M1519" s="16">
        <f>_xlfn.XLOOKUP(CustomerCombinedCleaned[[#This Row],[ID]], Table4[ID], Table4[Meats], "Not Found", 0)</f>
        <v>158</v>
      </c>
      <c r="N1519" s="16">
        <f>_xlfn.XLOOKUP(CustomerCombinedCleaned[[#This Row],[ID]], Table4[ID], Table4[Seafood], "Not Found", 0)</f>
        <v>122</v>
      </c>
      <c r="O1519" s="16">
        <f>_xlfn.XLOOKUP(CustomerCombinedCleaned[[#This Row],[ID]], Table4[ID], Table4[Sweets], "Not Found", 0)</f>
        <v>79</v>
      </c>
      <c r="P1519" s="16">
        <f>_xlfn.XLOOKUP(CustomerCombinedCleaned[[#This Row],[ID]], Table4[ID], Table4[Premium], "Not Found", 0)</f>
        <v>319</v>
      </c>
      <c r="Q1519" s="16">
        <f>_xlfn.XLOOKUP(CustomerCombinedCleaned[[#This Row],[ID]], Table4[ID], Table4[Regular], "Not Found", 0)</f>
        <v>503</v>
      </c>
      <c r="R1519" s="16">
        <f>_xlfn.XLOOKUP(CustomerCombinedCleaned[[#This Row],[ID]], Table4[ID], Table4[Deals], "Not Found", 0)</f>
        <v>1</v>
      </c>
      <c r="S1519" s="16">
        <f>_xlfn.XLOOKUP(CustomerCombinedCleaned[[#This Row],[ID]], Table4[ID], Table4[Website], "Not Found", 0)</f>
        <v>2</v>
      </c>
      <c r="T1519" s="16">
        <f>_xlfn.XLOOKUP(CustomerCombinedCleaned[[#This Row],[ID]], Table4[ID], Table4[Catalog], "Not Found", 0)</f>
        <v>5</v>
      </c>
      <c r="U1519" s="16">
        <f>_xlfn.XLOOKUP(CustomerCombinedCleaned[[#This Row],[ID]], Table4[ID], Table4[Store], "Not Found", 0)</f>
        <v>3</v>
      </c>
      <c r="V1519" s="16">
        <f>_xlfn.XLOOKUP(CustomerCombinedCleaned[[#This Row],[ID]], Table4[ID], Table4[Visits], "Not Found", 0)</f>
        <v>3</v>
      </c>
      <c r="W1519" s="16">
        <f>_xlfn.XLOOKUP(CustomerCombinedCleaned[[#This Row],[ID]], Table2[ID],Table2[Complaint], "Not Found", 0 )</f>
        <v>0</v>
      </c>
      <c r="X1519" s="16">
        <f>_xlfn.XLOOKUP(CustomerCombinedCleaned[[#This Row],[ID]], Table2[ID],Table2[Pilot], "Not Found", 0 )</f>
        <v>0</v>
      </c>
      <c r="Y1519" s="16">
        <f>_xlfn.XLOOKUP(CustomerCombinedCleaned[[#This Row],[ID]], Table2[ID],Table2[MC1], "Not Found", 0 )</f>
        <v>0</v>
      </c>
      <c r="Z1519" s="16">
        <f>_xlfn.XLOOKUP(CustomerCombinedCleaned[[#This Row],[ID]], Table2[ID],Table2[MC2], "Not Found", 0 )</f>
        <v>0</v>
      </c>
      <c r="AA1519" s="16">
        <f>_xlfn.XLOOKUP(CustomerCombinedCleaned[[#This Row],[ID]], Table2[ID],Table2[MC3], "Not Found", 0 )</f>
        <v>0</v>
      </c>
      <c r="AB1519" s="16">
        <f>_xlfn.XLOOKUP(CustomerCombinedCleaned[[#This Row],[ID]], Table2[ID],Table2[MC4], "Not Found", 0 )</f>
        <v>0</v>
      </c>
      <c r="AC1519" s="16">
        <f>_xlfn.XLOOKUP(CustomerCombinedCleaned[[#This Row],[ID]], Table2[ID],Table2[MC5], "Not Found", 0 )</f>
        <v>0</v>
      </c>
    </row>
    <row r="1520" spans="1:29" x14ac:dyDescent="0.3">
      <c r="A1520" s="18">
        <v>1078</v>
      </c>
      <c r="B1520" s="16">
        <v>138620</v>
      </c>
      <c r="C1520" s="16">
        <v>0</v>
      </c>
      <c r="D1520" s="16">
        <v>0</v>
      </c>
      <c r="E1520" s="16">
        <v>57</v>
      </c>
      <c r="F1520" s="17" t="s">
        <v>8</v>
      </c>
      <c r="G1520" s="17" t="s">
        <v>12</v>
      </c>
      <c r="H1520" s="3" t="s">
        <v>260</v>
      </c>
      <c r="I1520" s="5" t="s">
        <v>439</v>
      </c>
      <c r="J1520" s="16">
        <f>_xlfn.XLOOKUP(CustomerCombinedCleaned[[#This Row],[ID]], Table4[ID], Table4[Recency], "Not Found", 0)</f>
        <v>56</v>
      </c>
      <c r="K1520" s="16">
        <f>_xlfn.XLOOKUP(CustomerCombinedCleaned[[#This Row],[ID]], Table4[ID], Table4[Teas], "Not Found", 0)</f>
        <v>402</v>
      </c>
      <c r="L1520" s="16">
        <f>_xlfn.XLOOKUP(CustomerCombinedCleaned[[#This Row],[ID]], Table4[ID], Table4[Fruits], "Not Found", 0)</f>
        <v>61</v>
      </c>
      <c r="M1520" s="16">
        <f>_xlfn.XLOOKUP(CustomerCombinedCleaned[[#This Row],[ID]], Table4[ID], Table4[Meats], "Not Found", 0)</f>
        <v>158</v>
      </c>
      <c r="N1520" s="16">
        <f>_xlfn.XLOOKUP(CustomerCombinedCleaned[[#This Row],[ID]], Table4[ID], Table4[Seafood], "Not Found", 0)</f>
        <v>122</v>
      </c>
      <c r="O1520" s="16">
        <f>_xlfn.XLOOKUP(CustomerCombinedCleaned[[#This Row],[ID]], Table4[ID], Table4[Sweets], "Not Found", 0)</f>
        <v>79</v>
      </c>
      <c r="P1520" s="16">
        <f>_xlfn.XLOOKUP(CustomerCombinedCleaned[[#This Row],[ID]], Table4[ID], Table4[Premium], "Not Found", 0)</f>
        <v>319</v>
      </c>
      <c r="Q1520" s="16">
        <f>_xlfn.XLOOKUP(CustomerCombinedCleaned[[#This Row],[ID]], Table4[ID], Table4[Regular], "Not Found", 0)</f>
        <v>503</v>
      </c>
      <c r="R1520" s="16">
        <f>_xlfn.XLOOKUP(CustomerCombinedCleaned[[#This Row],[ID]], Table4[ID], Table4[Deals], "Not Found", 0)</f>
        <v>1</v>
      </c>
      <c r="S1520" s="16">
        <f>_xlfn.XLOOKUP(CustomerCombinedCleaned[[#This Row],[ID]], Table4[ID], Table4[Website], "Not Found", 0)</f>
        <v>2</v>
      </c>
      <c r="T1520" s="16">
        <f>_xlfn.XLOOKUP(CustomerCombinedCleaned[[#This Row],[ID]], Table4[ID], Table4[Catalog], "Not Found", 0)</f>
        <v>5</v>
      </c>
      <c r="U1520" s="16">
        <f>_xlfn.XLOOKUP(CustomerCombinedCleaned[[#This Row],[ID]], Table4[ID], Table4[Store], "Not Found", 0)</f>
        <v>3</v>
      </c>
      <c r="V1520" s="16">
        <f>_xlfn.XLOOKUP(CustomerCombinedCleaned[[#This Row],[ID]], Table4[ID], Table4[Visits], "Not Found", 0)</f>
        <v>3</v>
      </c>
      <c r="W1520" s="16">
        <f>_xlfn.XLOOKUP(CustomerCombinedCleaned[[#This Row],[ID]], Table2[ID],Table2[Complaint], "Not Found", 0 )</f>
        <v>0</v>
      </c>
      <c r="X1520" s="16">
        <f>_xlfn.XLOOKUP(CustomerCombinedCleaned[[#This Row],[ID]], Table2[ID],Table2[Pilot], "Not Found", 0 )</f>
        <v>0</v>
      </c>
      <c r="Y1520" s="16">
        <f>_xlfn.XLOOKUP(CustomerCombinedCleaned[[#This Row],[ID]], Table2[ID],Table2[MC1], "Not Found", 0 )</f>
        <v>0</v>
      </c>
      <c r="Z1520" s="16">
        <f>_xlfn.XLOOKUP(CustomerCombinedCleaned[[#This Row],[ID]], Table2[ID],Table2[MC2], "Not Found", 0 )</f>
        <v>0</v>
      </c>
      <c r="AA1520" s="16">
        <f>_xlfn.XLOOKUP(CustomerCombinedCleaned[[#This Row],[ID]], Table2[ID],Table2[MC3], "Not Found", 0 )</f>
        <v>0</v>
      </c>
      <c r="AB1520" s="16">
        <f>_xlfn.XLOOKUP(CustomerCombinedCleaned[[#This Row],[ID]], Table2[ID],Table2[MC4], "Not Found", 0 )</f>
        <v>0</v>
      </c>
      <c r="AC1520" s="16">
        <f>_xlfn.XLOOKUP(CustomerCombinedCleaned[[#This Row],[ID]], Table2[ID],Table2[MC5], "Not Found", 0 )</f>
        <v>0</v>
      </c>
    </row>
    <row r="1521" spans="1:29" x14ac:dyDescent="0.3">
      <c r="A1521" s="18">
        <v>1990</v>
      </c>
      <c r="B1521" s="16">
        <v>136736</v>
      </c>
      <c r="C1521" s="16">
        <v>1</v>
      </c>
      <c r="D1521" s="16">
        <v>1</v>
      </c>
      <c r="E1521" s="16">
        <v>57</v>
      </c>
      <c r="F1521" s="17" t="s">
        <v>7</v>
      </c>
      <c r="G1521" s="17" t="s">
        <v>13</v>
      </c>
      <c r="H1521" s="3" t="s">
        <v>261</v>
      </c>
      <c r="I1521" s="5" t="s">
        <v>439</v>
      </c>
      <c r="J1521" s="16">
        <f>_xlfn.XLOOKUP(CustomerCombinedCleaned[[#This Row],[ID]], Table4[ID], Table4[Recency], "Not Found", 0)</f>
        <v>52</v>
      </c>
      <c r="K1521" s="16">
        <f>_xlfn.XLOOKUP(CustomerCombinedCleaned[[#This Row],[ID]], Table4[ID], Table4[Teas], "Not Found", 0)</f>
        <v>37</v>
      </c>
      <c r="L1521" s="16">
        <f>_xlfn.XLOOKUP(CustomerCombinedCleaned[[#This Row],[ID]], Table4[ID], Table4[Fruits], "Not Found", 0)</f>
        <v>0</v>
      </c>
      <c r="M1521" s="16">
        <f>_xlfn.XLOOKUP(CustomerCombinedCleaned[[#This Row],[ID]], Table4[ID], Table4[Meats], "Not Found", 0)</f>
        <v>11</v>
      </c>
      <c r="N1521" s="16">
        <f>_xlfn.XLOOKUP(CustomerCombinedCleaned[[#This Row],[ID]], Table4[ID], Table4[Seafood], "Not Found", 0)</f>
        <v>0</v>
      </c>
      <c r="O1521" s="16">
        <f>_xlfn.XLOOKUP(CustomerCombinedCleaned[[#This Row],[ID]], Table4[ID], Table4[Sweets], "Not Found", 0)</f>
        <v>0</v>
      </c>
      <c r="P1521" s="16">
        <f>_xlfn.XLOOKUP(CustomerCombinedCleaned[[#This Row],[ID]], Table4[ID], Table4[Premium], "Not Found", 0)</f>
        <v>15</v>
      </c>
      <c r="Q1521" s="16">
        <f>_xlfn.XLOOKUP(CustomerCombinedCleaned[[#This Row],[ID]], Table4[ID], Table4[Regular], "Not Found", 0)</f>
        <v>33</v>
      </c>
      <c r="R1521" s="16">
        <f>_xlfn.XLOOKUP(CustomerCombinedCleaned[[#This Row],[ID]], Table4[ID], Table4[Deals], "Not Found", 0)</f>
        <v>1</v>
      </c>
      <c r="S1521" s="16">
        <f>_xlfn.XLOOKUP(CustomerCombinedCleaned[[#This Row],[ID]], Table4[ID], Table4[Website], "Not Found", 0)</f>
        <v>1</v>
      </c>
      <c r="T1521" s="16">
        <f>_xlfn.XLOOKUP(CustomerCombinedCleaned[[#This Row],[ID]], Table4[ID], Table4[Catalog], "Not Found", 0)</f>
        <v>0</v>
      </c>
      <c r="U1521" s="16">
        <f>_xlfn.XLOOKUP(CustomerCombinedCleaned[[#This Row],[ID]], Table4[ID], Table4[Store], "Not Found", 0)</f>
        <v>2</v>
      </c>
      <c r="V1521" s="16">
        <f>_xlfn.XLOOKUP(CustomerCombinedCleaned[[#This Row],[ID]], Table4[ID], Table4[Visits], "Not Found", 0)</f>
        <v>6</v>
      </c>
      <c r="W1521" s="16">
        <f>_xlfn.XLOOKUP(CustomerCombinedCleaned[[#This Row],[ID]], Table2[ID],Table2[Complaint], "Not Found", 0 )</f>
        <v>0</v>
      </c>
      <c r="X1521" s="16">
        <f>_xlfn.XLOOKUP(CustomerCombinedCleaned[[#This Row],[ID]], Table2[ID],Table2[Pilot], "Not Found", 0 )</f>
        <v>0</v>
      </c>
      <c r="Y1521" s="16">
        <f>_xlfn.XLOOKUP(CustomerCombinedCleaned[[#This Row],[ID]], Table2[ID],Table2[MC1], "Not Found", 0 )</f>
        <v>0</v>
      </c>
      <c r="Z1521" s="16">
        <f>_xlfn.XLOOKUP(CustomerCombinedCleaned[[#This Row],[ID]], Table2[ID],Table2[MC2], "Not Found", 0 )</f>
        <v>0</v>
      </c>
      <c r="AA1521" s="16">
        <f>_xlfn.XLOOKUP(CustomerCombinedCleaned[[#This Row],[ID]], Table2[ID],Table2[MC3], "Not Found", 0 )</f>
        <v>0</v>
      </c>
      <c r="AB1521" s="16">
        <f>_xlfn.XLOOKUP(CustomerCombinedCleaned[[#This Row],[ID]], Table2[ID],Table2[MC4], "Not Found", 0 )</f>
        <v>0</v>
      </c>
      <c r="AC1521" s="16">
        <f>_xlfn.XLOOKUP(CustomerCombinedCleaned[[#This Row],[ID]], Table2[ID],Table2[MC5], "Not Found", 0 )</f>
        <v>0</v>
      </c>
    </row>
    <row r="1522" spans="1:29" x14ac:dyDescent="0.3">
      <c r="A1522" s="18">
        <v>2200</v>
      </c>
      <c r="B1522" s="16">
        <v>134377</v>
      </c>
      <c r="C1522" s="16">
        <v>0</v>
      </c>
      <c r="D1522" s="16">
        <v>1</v>
      </c>
      <c r="E1522" s="16">
        <v>57</v>
      </c>
      <c r="F1522" s="17" t="s">
        <v>7</v>
      </c>
      <c r="G1522" s="17" t="s">
        <v>11</v>
      </c>
      <c r="H1522" s="3" t="s">
        <v>322</v>
      </c>
      <c r="I1522" s="5" t="s">
        <v>439</v>
      </c>
      <c r="J1522" s="16">
        <f>_xlfn.XLOOKUP(CustomerCombinedCleaned[[#This Row],[ID]], Table4[ID], Table4[Recency], "Not Found", 0)</f>
        <v>55</v>
      </c>
      <c r="K1522" s="16">
        <f>_xlfn.XLOOKUP(CustomerCombinedCleaned[[#This Row],[ID]], Table4[ID], Table4[Teas], "Not Found", 0)</f>
        <v>242</v>
      </c>
      <c r="L1522" s="16">
        <f>_xlfn.XLOOKUP(CustomerCombinedCleaned[[#This Row],[ID]], Table4[ID], Table4[Fruits], "Not Found", 0)</f>
        <v>0</v>
      </c>
      <c r="M1522" s="16">
        <f>_xlfn.XLOOKUP(CustomerCombinedCleaned[[#This Row],[ID]], Table4[ID], Table4[Meats], "Not Found", 0)</f>
        <v>86</v>
      </c>
      <c r="N1522" s="16">
        <f>_xlfn.XLOOKUP(CustomerCombinedCleaned[[#This Row],[ID]], Table4[ID], Table4[Seafood], "Not Found", 0)</f>
        <v>12</v>
      </c>
      <c r="O1522" s="16">
        <f>_xlfn.XLOOKUP(CustomerCombinedCleaned[[#This Row],[ID]], Table4[ID], Table4[Sweets], "Not Found", 0)</f>
        <v>4</v>
      </c>
      <c r="P1522" s="16">
        <f>_xlfn.XLOOKUP(CustomerCombinedCleaned[[#This Row],[ID]], Table4[ID], Table4[Premium], "Not Found", 0)</f>
        <v>102</v>
      </c>
      <c r="Q1522" s="16">
        <f>_xlfn.XLOOKUP(CustomerCombinedCleaned[[#This Row],[ID]], Table4[ID], Table4[Regular], "Not Found", 0)</f>
        <v>242</v>
      </c>
      <c r="R1522" s="16">
        <f>_xlfn.XLOOKUP(CustomerCombinedCleaned[[#This Row],[ID]], Table4[ID], Table4[Deals], "Not Found", 0)</f>
        <v>2</v>
      </c>
      <c r="S1522" s="16">
        <f>_xlfn.XLOOKUP(CustomerCombinedCleaned[[#This Row],[ID]], Table4[ID], Table4[Website], "Not Found", 0)</f>
        <v>2</v>
      </c>
      <c r="T1522" s="16">
        <f>_xlfn.XLOOKUP(CustomerCombinedCleaned[[#This Row],[ID]], Table4[ID], Table4[Catalog], "Not Found", 0)</f>
        <v>2</v>
      </c>
      <c r="U1522" s="16">
        <f>_xlfn.XLOOKUP(CustomerCombinedCleaned[[#This Row],[ID]], Table4[ID], Table4[Store], "Not Found", 0)</f>
        <v>2</v>
      </c>
      <c r="V1522" s="16">
        <f>_xlfn.XLOOKUP(CustomerCombinedCleaned[[#This Row],[ID]], Table4[ID], Table4[Visits], "Not Found", 0)</f>
        <v>7</v>
      </c>
      <c r="W1522" s="16">
        <f>_xlfn.XLOOKUP(CustomerCombinedCleaned[[#This Row],[ID]], Table2[ID],Table2[Complaint], "Not Found", 0 )</f>
        <v>0</v>
      </c>
      <c r="X1522" s="16">
        <f>_xlfn.XLOOKUP(CustomerCombinedCleaned[[#This Row],[ID]], Table2[ID],Table2[Pilot], "Not Found", 0 )</f>
        <v>0</v>
      </c>
      <c r="Y1522" s="16">
        <f>_xlfn.XLOOKUP(CustomerCombinedCleaned[[#This Row],[ID]], Table2[ID],Table2[MC1], "Not Found", 0 )</f>
        <v>0</v>
      </c>
      <c r="Z1522" s="16">
        <f>_xlfn.XLOOKUP(CustomerCombinedCleaned[[#This Row],[ID]], Table2[ID],Table2[MC2], "Not Found", 0 )</f>
        <v>0</v>
      </c>
      <c r="AA1522" s="16">
        <f>_xlfn.XLOOKUP(CustomerCombinedCleaned[[#This Row],[ID]], Table2[ID],Table2[MC3], "Not Found", 0 )</f>
        <v>0</v>
      </c>
      <c r="AB1522" s="16">
        <f>_xlfn.XLOOKUP(CustomerCombinedCleaned[[#This Row],[ID]], Table2[ID],Table2[MC4], "Not Found", 0 )</f>
        <v>0</v>
      </c>
      <c r="AC1522" s="16">
        <f>_xlfn.XLOOKUP(CustomerCombinedCleaned[[#This Row],[ID]], Table2[ID],Table2[MC5], "Not Found", 0 )</f>
        <v>0</v>
      </c>
    </row>
    <row r="1523" spans="1:29" x14ac:dyDescent="0.3">
      <c r="A1523" s="18">
        <v>2628</v>
      </c>
      <c r="B1523" s="16">
        <v>134213</v>
      </c>
      <c r="C1523" s="16">
        <v>1</v>
      </c>
      <c r="D1523" s="16">
        <v>1</v>
      </c>
      <c r="E1523" s="16">
        <v>57</v>
      </c>
      <c r="F1523" s="17" t="s">
        <v>9</v>
      </c>
      <c r="G1523" s="17" t="s">
        <v>11</v>
      </c>
      <c r="H1523" s="3" t="s">
        <v>684</v>
      </c>
      <c r="I1523" s="5" t="s">
        <v>436</v>
      </c>
      <c r="J1523" s="16">
        <f>_xlfn.XLOOKUP(CustomerCombinedCleaned[[#This Row],[ID]], Table4[ID], Table4[Recency], "Not Found", 0)</f>
        <v>2</v>
      </c>
      <c r="K1523" s="16">
        <f>_xlfn.XLOOKUP(CustomerCombinedCleaned[[#This Row],[ID]], Table4[ID], Table4[Teas], "Not Found", 0)</f>
        <v>196</v>
      </c>
      <c r="L1523" s="16">
        <f>_xlfn.XLOOKUP(CustomerCombinedCleaned[[#This Row],[ID]], Table4[ID], Table4[Fruits], "Not Found", 0)</f>
        <v>16</v>
      </c>
      <c r="M1523" s="16">
        <f>_xlfn.XLOOKUP(CustomerCombinedCleaned[[#This Row],[ID]], Table4[ID], Table4[Meats], "Not Found", 0)</f>
        <v>110</v>
      </c>
      <c r="N1523" s="16">
        <f>_xlfn.XLOOKUP(CustomerCombinedCleaned[[#This Row],[ID]], Table4[ID], Table4[Seafood], "Not Found", 0)</f>
        <v>24</v>
      </c>
      <c r="O1523" s="16">
        <f>_xlfn.XLOOKUP(CustomerCombinedCleaned[[#This Row],[ID]], Table4[ID], Table4[Sweets], "Not Found", 0)</f>
        <v>12</v>
      </c>
      <c r="P1523" s="16">
        <f>_xlfn.XLOOKUP(CustomerCombinedCleaned[[#This Row],[ID]], Table4[ID], Table4[Premium], "Not Found", 0)</f>
        <v>102</v>
      </c>
      <c r="Q1523" s="16">
        <f>_xlfn.XLOOKUP(CustomerCombinedCleaned[[#This Row],[ID]], Table4[ID], Table4[Regular], "Not Found", 0)</f>
        <v>255</v>
      </c>
      <c r="R1523" s="16">
        <f>_xlfn.XLOOKUP(CustomerCombinedCleaned[[#This Row],[ID]], Table4[ID], Table4[Deals], "Not Found", 0)</f>
        <v>3</v>
      </c>
      <c r="S1523" s="16">
        <f>_xlfn.XLOOKUP(CustomerCombinedCleaned[[#This Row],[ID]], Table4[ID], Table4[Website], "Not Found", 0)</f>
        <v>3</v>
      </c>
      <c r="T1523" s="16">
        <f>_xlfn.XLOOKUP(CustomerCombinedCleaned[[#This Row],[ID]], Table4[ID], Table4[Catalog], "Not Found", 0)</f>
        <v>1</v>
      </c>
      <c r="U1523" s="16">
        <f>_xlfn.XLOOKUP(CustomerCombinedCleaned[[#This Row],[ID]], Table4[ID], Table4[Store], "Not Found", 0)</f>
        <v>2</v>
      </c>
      <c r="V1523" s="16">
        <f>_xlfn.XLOOKUP(CustomerCombinedCleaned[[#This Row],[ID]], Table4[ID], Table4[Visits], "Not Found", 0)</f>
        <v>9</v>
      </c>
      <c r="W1523" s="16">
        <f>_xlfn.XLOOKUP(CustomerCombinedCleaned[[#This Row],[ID]], Table2[ID],Table2[Complaint], "Not Found", 0 )</f>
        <v>0</v>
      </c>
      <c r="X1523" s="16">
        <f>_xlfn.XLOOKUP(CustomerCombinedCleaned[[#This Row],[ID]], Table2[ID],Table2[Pilot], "Not Found", 0 )</f>
        <v>1</v>
      </c>
      <c r="Y1523" s="16">
        <f>_xlfn.XLOOKUP(CustomerCombinedCleaned[[#This Row],[ID]], Table2[ID],Table2[MC1], "Not Found", 0 )</f>
        <v>0</v>
      </c>
      <c r="Z1523" s="16">
        <f>_xlfn.XLOOKUP(CustomerCombinedCleaned[[#This Row],[ID]], Table2[ID],Table2[MC2], "Not Found", 0 )</f>
        <v>0</v>
      </c>
      <c r="AA1523" s="16">
        <f>_xlfn.XLOOKUP(CustomerCombinedCleaned[[#This Row],[ID]], Table2[ID],Table2[MC3], "Not Found", 0 )</f>
        <v>0</v>
      </c>
      <c r="AB1523" s="16">
        <f>_xlfn.XLOOKUP(CustomerCombinedCleaned[[#This Row],[ID]], Table2[ID],Table2[MC4], "Not Found", 0 )</f>
        <v>0</v>
      </c>
      <c r="AC1523" s="16">
        <f>_xlfn.XLOOKUP(CustomerCombinedCleaned[[#This Row],[ID]], Table2[ID],Table2[MC5], "Not Found", 0 )</f>
        <v>0</v>
      </c>
    </row>
    <row r="1524" spans="1:29" x14ac:dyDescent="0.3">
      <c r="A1524" s="18">
        <v>2198</v>
      </c>
      <c r="B1524" s="16">
        <v>133629</v>
      </c>
      <c r="C1524" s="16">
        <v>1</v>
      </c>
      <c r="D1524" s="16">
        <v>1</v>
      </c>
      <c r="E1524" s="16">
        <v>57</v>
      </c>
      <c r="F1524" s="17" t="s">
        <v>8</v>
      </c>
      <c r="G1524" s="17" t="s">
        <v>13</v>
      </c>
      <c r="H1524" s="3" t="s">
        <v>420</v>
      </c>
      <c r="I1524" s="5" t="s">
        <v>438</v>
      </c>
      <c r="J1524" s="16">
        <f>_xlfn.XLOOKUP(CustomerCombinedCleaned[[#This Row],[ID]], Table4[ID], Table4[Recency], "Not Found", 0)</f>
        <v>49</v>
      </c>
      <c r="K1524" s="16">
        <f>_xlfn.XLOOKUP(CustomerCombinedCleaned[[#This Row],[ID]], Table4[ID], Table4[Teas], "Not Found", 0)</f>
        <v>525</v>
      </c>
      <c r="L1524" s="16">
        <f>_xlfn.XLOOKUP(CustomerCombinedCleaned[[#This Row],[ID]], Table4[ID], Table4[Fruits], "Not Found", 0)</f>
        <v>0</v>
      </c>
      <c r="M1524" s="16">
        <f>_xlfn.XLOOKUP(CustomerCombinedCleaned[[#This Row],[ID]], Table4[ID], Table4[Meats], "Not Found", 0)</f>
        <v>64</v>
      </c>
      <c r="N1524" s="16">
        <f>_xlfn.XLOOKUP(CustomerCombinedCleaned[[#This Row],[ID]], Table4[ID], Table4[Seafood], "Not Found", 0)</f>
        <v>0</v>
      </c>
      <c r="O1524" s="16">
        <f>_xlfn.XLOOKUP(CustomerCombinedCleaned[[#This Row],[ID]], Table4[ID], Table4[Sweets], "Not Found", 0)</f>
        <v>0</v>
      </c>
      <c r="P1524" s="16">
        <f>_xlfn.XLOOKUP(CustomerCombinedCleaned[[#This Row],[ID]], Table4[ID], Table4[Premium], "Not Found", 0)</f>
        <v>16</v>
      </c>
      <c r="Q1524" s="16">
        <f>_xlfn.XLOOKUP(CustomerCombinedCleaned[[#This Row],[ID]], Table4[ID], Table4[Regular], "Not Found", 0)</f>
        <v>572</v>
      </c>
      <c r="R1524" s="16">
        <f>_xlfn.XLOOKUP(CustomerCombinedCleaned[[#This Row],[ID]], Table4[ID], Table4[Deals], "Not Found", 0)</f>
        <v>5</v>
      </c>
      <c r="S1524" s="16">
        <f>_xlfn.XLOOKUP(CustomerCombinedCleaned[[#This Row],[ID]], Table4[ID], Table4[Website], "Not Found", 0)</f>
        <v>3</v>
      </c>
      <c r="T1524" s="16">
        <f>_xlfn.XLOOKUP(CustomerCombinedCleaned[[#This Row],[ID]], Table4[ID], Table4[Catalog], "Not Found", 0)</f>
        <v>1</v>
      </c>
      <c r="U1524" s="16">
        <f>_xlfn.XLOOKUP(CustomerCombinedCleaned[[#This Row],[ID]], Table4[ID], Table4[Store], "Not Found", 0)</f>
        <v>4</v>
      </c>
      <c r="V1524" s="16">
        <f>_xlfn.XLOOKUP(CustomerCombinedCleaned[[#This Row],[ID]], Table4[ID], Table4[Visits], "Not Found", 0)</f>
        <v>9</v>
      </c>
      <c r="W1524" s="16">
        <f>_xlfn.XLOOKUP(CustomerCombinedCleaned[[#This Row],[ID]], Table2[ID],Table2[Complaint], "Not Found", 0 )</f>
        <v>0</v>
      </c>
      <c r="X1524" s="16">
        <f>_xlfn.XLOOKUP(CustomerCombinedCleaned[[#This Row],[ID]], Table2[ID],Table2[Pilot], "Not Found", 0 )</f>
        <v>0</v>
      </c>
      <c r="Y1524" s="16">
        <f>_xlfn.XLOOKUP(CustomerCombinedCleaned[[#This Row],[ID]], Table2[ID],Table2[MC1], "Not Found", 0 )</f>
        <v>0</v>
      </c>
      <c r="Z1524" s="16">
        <f>_xlfn.XLOOKUP(CustomerCombinedCleaned[[#This Row],[ID]], Table2[ID],Table2[MC2], "Not Found", 0 )</f>
        <v>0</v>
      </c>
      <c r="AA1524" s="16">
        <f>_xlfn.XLOOKUP(CustomerCombinedCleaned[[#This Row],[ID]], Table2[ID],Table2[MC3], "Not Found", 0 )</f>
        <v>0</v>
      </c>
      <c r="AB1524" s="16">
        <f>_xlfn.XLOOKUP(CustomerCombinedCleaned[[#This Row],[ID]], Table2[ID],Table2[MC4], "Not Found", 0 )</f>
        <v>0</v>
      </c>
      <c r="AC1524" s="16">
        <f>_xlfn.XLOOKUP(CustomerCombinedCleaned[[#This Row],[ID]], Table2[ID],Table2[MC5], "Not Found", 0 )</f>
        <v>0</v>
      </c>
    </row>
    <row r="1525" spans="1:29" x14ac:dyDescent="0.3">
      <c r="A1525" s="18">
        <v>3191</v>
      </c>
      <c r="B1525" s="16">
        <v>133562</v>
      </c>
      <c r="C1525" s="16">
        <v>1</v>
      </c>
      <c r="D1525" s="16">
        <v>2</v>
      </c>
      <c r="E1525" s="16">
        <v>57</v>
      </c>
      <c r="F1525" s="17" t="s">
        <v>6</v>
      </c>
      <c r="G1525" s="17" t="s">
        <v>12</v>
      </c>
      <c r="H1525" s="3" t="s">
        <v>24</v>
      </c>
      <c r="I1525" s="5" t="s">
        <v>434</v>
      </c>
      <c r="J1525" s="16">
        <f>_xlfn.XLOOKUP(CustomerCombinedCleaned[[#This Row],[ID]], Table4[ID], Table4[Recency], "Not Found", 0)</f>
        <v>33</v>
      </c>
      <c r="K1525" s="16">
        <f>_xlfn.XLOOKUP(CustomerCombinedCleaned[[#This Row],[ID]], Table4[ID], Table4[Teas], "Not Found", 0)</f>
        <v>84</v>
      </c>
      <c r="L1525" s="16">
        <f>_xlfn.XLOOKUP(CustomerCombinedCleaned[[#This Row],[ID]], Table4[ID], Table4[Fruits], "Not Found", 0)</f>
        <v>48</v>
      </c>
      <c r="M1525" s="16">
        <f>_xlfn.XLOOKUP(CustomerCombinedCleaned[[#This Row],[ID]], Table4[ID], Table4[Meats], "Not Found", 0)</f>
        <v>48</v>
      </c>
      <c r="N1525" s="16">
        <f>_xlfn.XLOOKUP(CustomerCombinedCleaned[[#This Row],[ID]], Table4[ID], Table4[Seafood], "Not Found", 0)</f>
        <v>0</v>
      </c>
      <c r="O1525" s="16">
        <f>_xlfn.XLOOKUP(CustomerCombinedCleaned[[#This Row],[ID]], Table4[ID], Table4[Sweets], "Not Found", 0)</f>
        <v>12</v>
      </c>
      <c r="P1525" s="16">
        <f>_xlfn.XLOOKUP(CustomerCombinedCleaned[[#This Row],[ID]], Table4[ID], Table4[Premium], "Not Found", 0)</f>
        <v>12</v>
      </c>
      <c r="Q1525" s="16">
        <f>_xlfn.XLOOKUP(CustomerCombinedCleaned[[#This Row],[ID]], Table4[ID], Table4[Regular], "Not Found", 0)</f>
        <v>179</v>
      </c>
      <c r="R1525" s="16">
        <f>_xlfn.XLOOKUP(CustomerCombinedCleaned[[#This Row],[ID]], Table4[ID], Table4[Deals], "Not Found", 0)</f>
        <v>3</v>
      </c>
      <c r="S1525" s="16">
        <f>_xlfn.XLOOKUP(CustomerCombinedCleaned[[#This Row],[ID]], Table4[ID], Table4[Website], "Not Found", 0)</f>
        <v>2</v>
      </c>
      <c r="T1525" s="16">
        <f>_xlfn.XLOOKUP(CustomerCombinedCleaned[[#This Row],[ID]], Table4[ID], Table4[Catalog], "Not Found", 0)</f>
        <v>0</v>
      </c>
      <c r="U1525" s="16">
        <f>_xlfn.XLOOKUP(CustomerCombinedCleaned[[#This Row],[ID]], Table4[ID], Table4[Store], "Not Found", 0)</f>
        <v>4</v>
      </c>
      <c r="V1525" s="16">
        <f>_xlfn.XLOOKUP(CustomerCombinedCleaned[[#This Row],[ID]], Table4[ID], Table4[Visits], "Not Found", 0)</f>
        <v>4</v>
      </c>
      <c r="W1525" s="16">
        <f>_xlfn.XLOOKUP(CustomerCombinedCleaned[[#This Row],[ID]], Table2[ID],Table2[Complaint], "Not Found", 0 )</f>
        <v>0</v>
      </c>
      <c r="X1525" s="16">
        <f>_xlfn.XLOOKUP(CustomerCombinedCleaned[[#This Row],[ID]], Table2[ID],Table2[Pilot], "Not Found", 0 )</f>
        <v>0</v>
      </c>
      <c r="Y1525" s="16">
        <f>_xlfn.XLOOKUP(CustomerCombinedCleaned[[#This Row],[ID]], Table2[ID],Table2[MC1], "Not Found", 0 )</f>
        <v>0</v>
      </c>
      <c r="Z1525" s="16">
        <f>_xlfn.XLOOKUP(CustomerCombinedCleaned[[#This Row],[ID]], Table2[ID],Table2[MC2], "Not Found", 0 )</f>
        <v>0</v>
      </c>
      <c r="AA1525" s="16">
        <f>_xlfn.XLOOKUP(CustomerCombinedCleaned[[#This Row],[ID]], Table2[ID],Table2[MC3], "Not Found", 0 )</f>
        <v>0</v>
      </c>
      <c r="AB1525" s="16">
        <f>_xlfn.XLOOKUP(CustomerCombinedCleaned[[#This Row],[ID]], Table2[ID],Table2[MC4], "Not Found", 0 )</f>
        <v>0</v>
      </c>
      <c r="AC1525" s="16">
        <f>_xlfn.XLOOKUP(CustomerCombinedCleaned[[#This Row],[ID]], Table2[ID],Table2[MC5], "Not Found", 0 )</f>
        <v>0</v>
      </c>
    </row>
    <row r="1526" spans="1:29" x14ac:dyDescent="0.3">
      <c r="A1526" s="18">
        <v>1261</v>
      </c>
      <c r="B1526" s="16">
        <v>133378</v>
      </c>
      <c r="C1526" s="16">
        <v>1</v>
      </c>
      <c r="D1526" s="16">
        <v>1</v>
      </c>
      <c r="E1526" s="16">
        <v>57</v>
      </c>
      <c r="F1526" s="17" t="s">
        <v>5</v>
      </c>
      <c r="G1526" s="17" t="s">
        <v>11</v>
      </c>
      <c r="H1526" s="3" t="s">
        <v>317</v>
      </c>
      <c r="I1526" s="5" t="s">
        <v>437</v>
      </c>
      <c r="J1526" s="16">
        <f>_xlfn.XLOOKUP(CustomerCombinedCleaned[[#This Row],[ID]], Table4[ID], Table4[Recency], "Not Found", 0)</f>
        <v>38</v>
      </c>
      <c r="K1526" s="16">
        <f>_xlfn.XLOOKUP(CustomerCombinedCleaned[[#This Row],[ID]], Table4[ID], Table4[Teas], "Not Found", 0)</f>
        <v>132</v>
      </c>
      <c r="L1526" s="16">
        <f>_xlfn.XLOOKUP(CustomerCombinedCleaned[[#This Row],[ID]], Table4[ID], Table4[Fruits], "Not Found", 0)</f>
        <v>24</v>
      </c>
      <c r="M1526" s="16">
        <f>_xlfn.XLOOKUP(CustomerCombinedCleaned[[#This Row],[ID]], Table4[ID], Table4[Meats], "Not Found", 0)</f>
        <v>160</v>
      </c>
      <c r="N1526" s="16">
        <f>_xlfn.XLOOKUP(CustomerCombinedCleaned[[#This Row],[ID]], Table4[ID], Table4[Seafood], "Not Found", 0)</f>
        <v>12</v>
      </c>
      <c r="O1526" s="16">
        <f>_xlfn.XLOOKUP(CustomerCombinedCleaned[[#This Row],[ID]], Table4[ID], Table4[Sweets], "Not Found", 0)</f>
        <v>28</v>
      </c>
      <c r="P1526" s="16">
        <f>_xlfn.XLOOKUP(CustomerCombinedCleaned[[#This Row],[ID]], Table4[ID], Table4[Premium], "Not Found", 0)</f>
        <v>40</v>
      </c>
      <c r="Q1526" s="16">
        <f>_xlfn.XLOOKUP(CustomerCombinedCleaned[[#This Row],[ID]], Table4[ID], Table4[Regular], "Not Found", 0)</f>
        <v>316</v>
      </c>
      <c r="R1526" s="16">
        <f>_xlfn.XLOOKUP(CustomerCombinedCleaned[[#This Row],[ID]], Table4[ID], Table4[Deals], "Not Found", 0)</f>
        <v>3</v>
      </c>
      <c r="S1526" s="16">
        <f>_xlfn.XLOOKUP(CustomerCombinedCleaned[[#This Row],[ID]], Table4[ID], Table4[Website], "Not Found", 0)</f>
        <v>2</v>
      </c>
      <c r="T1526" s="16">
        <f>_xlfn.XLOOKUP(CustomerCombinedCleaned[[#This Row],[ID]], Table4[ID], Table4[Catalog], "Not Found", 0)</f>
        <v>0</v>
      </c>
      <c r="U1526" s="16">
        <f>_xlfn.XLOOKUP(CustomerCombinedCleaned[[#This Row],[ID]], Table4[ID], Table4[Store], "Not Found", 0)</f>
        <v>4</v>
      </c>
      <c r="V1526" s="16">
        <f>_xlfn.XLOOKUP(CustomerCombinedCleaned[[#This Row],[ID]], Table4[ID], Table4[Visits], "Not Found", 0)</f>
        <v>7</v>
      </c>
      <c r="W1526" s="16">
        <f>_xlfn.XLOOKUP(CustomerCombinedCleaned[[#This Row],[ID]], Table2[ID],Table2[Complaint], "Not Found", 0 )</f>
        <v>0</v>
      </c>
      <c r="X1526" s="16">
        <f>_xlfn.XLOOKUP(CustomerCombinedCleaned[[#This Row],[ID]], Table2[ID],Table2[Pilot], "Not Found", 0 )</f>
        <v>0</v>
      </c>
      <c r="Y1526" s="16">
        <f>_xlfn.XLOOKUP(CustomerCombinedCleaned[[#This Row],[ID]], Table2[ID],Table2[MC1], "Not Found", 0 )</f>
        <v>0</v>
      </c>
      <c r="Z1526" s="16">
        <f>_xlfn.XLOOKUP(CustomerCombinedCleaned[[#This Row],[ID]], Table2[ID],Table2[MC2], "Not Found", 0 )</f>
        <v>0</v>
      </c>
      <c r="AA1526" s="16">
        <f>_xlfn.XLOOKUP(CustomerCombinedCleaned[[#This Row],[ID]], Table2[ID],Table2[MC3], "Not Found", 0 )</f>
        <v>0</v>
      </c>
      <c r="AB1526" s="16">
        <f>_xlfn.XLOOKUP(CustomerCombinedCleaned[[#This Row],[ID]], Table2[ID],Table2[MC4], "Not Found", 0 )</f>
        <v>0</v>
      </c>
      <c r="AC1526" s="16">
        <f>_xlfn.XLOOKUP(CustomerCombinedCleaned[[#This Row],[ID]], Table2[ID],Table2[MC5], "Not Found", 0 )</f>
        <v>0</v>
      </c>
    </row>
    <row r="1527" spans="1:29" x14ac:dyDescent="0.3">
      <c r="A1527" s="18">
        <v>2951</v>
      </c>
      <c r="B1527" s="16">
        <v>132632</v>
      </c>
      <c r="C1527" s="16">
        <v>0</v>
      </c>
      <c r="D1527" s="16">
        <v>0</v>
      </c>
      <c r="E1527" s="16">
        <v>57</v>
      </c>
      <c r="F1527" s="17" t="s">
        <v>6</v>
      </c>
      <c r="G1527" s="17" t="s">
        <v>11</v>
      </c>
      <c r="H1527" s="3" t="s">
        <v>633</v>
      </c>
      <c r="I1527" s="5" t="s">
        <v>434</v>
      </c>
      <c r="J1527" s="16">
        <f>_xlfn.XLOOKUP(CustomerCombinedCleaned[[#This Row],[ID]], Table4[ID], Table4[Recency], "Not Found", 0)</f>
        <v>32</v>
      </c>
      <c r="K1527" s="16">
        <f>_xlfn.XLOOKUP(CustomerCombinedCleaned[[#This Row],[ID]], Table4[ID], Table4[Teas], "Not Found", 0)</f>
        <v>256</v>
      </c>
      <c r="L1527" s="16">
        <f>_xlfn.XLOOKUP(CustomerCombinedCleaned[[#This Row],[ID]], Table4[ID], Table4[Fruits], "Not Found", 0)</f>
        <v>614</v>
      </c>
      <c r="M1527" s="16">
        <f>_xlfn.XLOOKUP(CustomerCombinedCleaned[[#This Row],[ID]], Table4[ID], Table4[Meats], "Not Found", 0)</f>
        <v>557</v>
      </c>
      <c r="N1527" s="16">
        <f>_xlfn.XLOOKUP(CustomerCombinedCleaned[[#This Row],[ID]], Table4[ID], Table4[Seafood], "Not Found", 0)</f>
        <v>622</v>
      </c>
      <c r="O1527" s="16">
        <f>_xlfn.XLOOKUP(CustomerCombinedCleaned[[#This Row],[ID]], Table4[ID], Table4[Sweets], "Not Found", 0)</f>
        <v>77</v>
      </c>
      <c r="P1527" s="16">
        <f>_xlfn.XLOOKUP(CustomerCombinedCleaned[[#This Row],[ID]], Table4[ID], Table4[Premium], "Not Found", 0)</f>
        <v>215</v>
      </c>
      <c r="Q1527" s="16">
        <f>_xlfn.XLOOKUP(CustomerCombinedCleaned[[#This Row],[ID]], Table4[ID], Table4[Regular], "Not Found", 0)</f>
        <v>1910</v>
      </c>
      <c r="R1527" s="16">
        <f>_xlfn.XLOOKUP(CustomerCombinedCleaned[[#This Row],[ID]], Table4[ID], Table4[Deals], "Not Found", 0)</f>
        <v>2</v>
      </c>
      <c r="S1527" s="16">
        <f>_xlfn.XLOOKUP(CustomerCombinedCleaned[[#This Row],[ID]], Table4[ID], Table4[Website], "Not Found", 0)</f>
        <v>4</v>
      </c>
      <c r="T1527" s="16">
        <f>_xlfn.XLOOKUP(CustomerCombinedCleaned[[#This Row],[ID]], Table4[ID], Table4[Catalog], "Not Found", 0)</f>
        <v>4</v>
      </c>
      <c r="U1527" s="16">
        <f>_xlfn.XLOOKUP(CustomerCombinedCleaned[[#This Row],[ID]], Table4[ID], Table4[Store], "Not Found", 0)</f>
        <v>8</v>
      </c>
      <c r="V1527" s="16">
        <f>_xlfn.XLOOKUP(CustomerCombinedCleaned[[#This Row],[ID]], Table4[ID], Table4[Visits], "Not Found", 0)</f>
        <v>5</v>
      </c>
      <c r="W1527" s="16">
        <f>_xlfn.XLOOKUP(CustomerCombinedCleaned[[#This Row],[ID]], Table2[ID],Table2[Complaint], "Not Found", 0 )</f>
        <v>0</v>
      </c>
      <c r="X1527" s="16">
        <f>_xlfn.XLOOKUP(CustomerCombinedCleaned[[#This Row],[ID]], Table2[ID],Table2[Pilot], "Not Found", 0 )</f>
        <v>0</v>
      </c>
      <c r="Y1527" s="16">
        <f>_xlfn.XLOOKUP(CustomerCombinedCleaned[[#This Row],[ID]], Table2[ID],Table2[MC1], "Not Found", 0 )</f>
        <v>0</v>
      </c>
      <c r="Z1527" s="16">
        <f>_xlfn.XLOOKUP(CustomerCombinedCleaned[[#This Row],[ID]], Table2[ID],Table2[MC2], "Not Found", 0 )</f>
        <v>0</v>
      </c>
      <c r="AA1527" s="16">
        <f>_xlfn.XLOOKUP(CustomerCombinedCleaned[[#This Row],[ID]], Table2[ID],Table2[MC3], "Not Found", 0 )</f>
        <v>0</v>
      </c>
      <c r="AB1527" s="16">
        <f>_xlfn.XLOOKUP(CustomerCombinedCleaned[[#This Row],[ID]], Table2[ID],Table2[MC4], "Not Found", 0 )</f>
        <v>0</v>
      </c>
      <c r="AC1527" s="16">
        <f>_xlfn.XLOOKUP(CustomerCombinedCleaned[[#This Row],[ID]], Table2[ID],Table2[MC5], "Not Found", 0 )</f>
        <v>0</v>
      </c>
    </row>
    <row r="1528" spans="1:29" x14ac:dyDescent="0.3">
      <c r="A1528" s="18">
        <v>2523</v>
      </c>
      <c r="B1528" s="16">
        <v>130983</v>
      </c>
      <c r="C1528" s="16">
        <v>0</v>
      </c>
      <c r="D1528" s="16">
        <v>0</v>
      </c>
      <c r="E1528" s="16">
        <v>57</v>
      </c>
      <c r="F1528" s="17" t="s">
        <v>7</v>
      </c>
      <c r="G1528" s="17" t="s">
        <v>11</v>
      </c>
      <c r="H1528" s="3" t="s">
        <v>366</v>
      </c>
      <c r="I1528" s="5" t="s">
        <v>435</v>
      </c>
      <c r="J1528" s="16">
        <f>_xlfn.XLOOKUP(CustomerCombinedCleaned[[#This Row],[ID]], Table4[ID], Table4[Recency], "Not Found", 0)</f>
        <v>50</v>
      </c>
      <c r="K1528" s="16">
        <f>_xlfn.XLOOKUP(CustomerCombinedCleaned[[#This Row],[ID]], Table4[ID], Table4[Teas], "Not Found", 0)</f>
        <v>216</v>
      </c>
      <c r="L1528" s="16">
        <f>_xlfn.XLOOKUP(CustomerCombinedCleaned[[#This Row],[ID]], Table4[ID], Table4[Fruits], "Not Found", 0)</f>
        <v>17</v>
      </c>
      <c r="M1528" s="16">
        <f>_xlfn.XLOOKUP(CustomerCombinedCleaned[[#This Row],[ID]], Table4[ID], Table4[Meats], "Not Found", 0)</f>
        <v>211</v>
      </c>
      <c r="N1528" s="16">
        <f>_xlfn.XLOOKUP(CustomerCombinedCleaned[[#This Row],[ID]], Table4[ID], Table4[Seafood], "Not Found", 0)</f>
        <v>51</v>
      </c>
      <c r="O1528" s="16">
        <f>_xlfn.XLOOKUP(CustomerCombinedCleaned[[#This Row],[ID]], Table4[ID], Table4[Sweets], "Not Found", 0)</f>
        <v>4</v>
      </c>
      <c r="P1528" s="16">
        <f>_xlfn.XLOOKUP(CustomerCombinedCleaned[[#This Row],[ID]], Table4[ID], Table4[Premium], "Not Found", 0)</f>
        <v>207</v>
      </c>
      <c r="Q1528" s="16">
        <f>_xlfn.XLOOKUP(CustomerCombinedCleaned[[#This Row],[ID]], Table4[ID], Table4[Regular], "Not Found", 0)</f>
        <v>292</v>
      </c>
      <c r="R1528" s="16">
        <f>_xlfn.XLOOKUP(CustomerCombinedCleaned[[#This Row],[ID]], Table4[ID], Table4[Deals], "Not Found", 0)</f>
        <v>1</v>
      </c>
      <c r="S1528" s="16">
        <f>_xlfn.XLOOKUP(CustomerCombinedCleaned[[#This Row],[ID]], Table4[ID], Table4[Website], "Not Found", 0)</f>
        <v>4</v>
      </c>
      <c r="T1528" s="16">
        <f>_xlfn.XLOOKUP(CustomerCombinedCleaned[[#This Row],[ID]], Table4[ID], Table4[Catalog], "Not Found", 0)</f>
        <v>0</v>
      </c>
      <c r="U1528" s="16">
        <f>_xlfn.XLOOKUP(CustomerCombinedCleaned[[#This Row],[ID]], Table4[ID], Table4[Store], "Not Found", 0)</f>
        <v>3</v>
      </c>
      <c r="V1528" s="16">
        <f>_xlfn.XLOOKUP(CustomerCombinedCleaned[[#This Row],[ID]], Table4[ID], Table4[Visits], "Not Found", 0)</f>
        <v>8</v>
      </c>
      <c r="W1528" s="16">
        <f>_xlfn.XLOOKUP(CustomerCombinedCleaned[[#This Row],[ID]], Table2[ID],Table2[Complaint], "Not Found", 0 )</f>
        <v>0</v>
      </c>
      <c r="X1528" s="16">
        <f>_xlfn.XLOOKUP(CustomerCombinedCleaned[[#This Row],[ID]], Table2[ID],Table2[Pilot], "Not Found", 0 )</f>
        <v>1</v>
      </c>
      <c r="Y1528" s="16">
        <f>_xlfn.XLOOKUP(CustomerCombinedCleaned[[#This Row],[ID]], Table2[ID],Table2[MC1], "Not Found", 0 )</f>
        <v>0</v>
      </c>
      <c r="Z1528" s="16">
        <f>_xlfn.XLOOKUP(CustomerCombinedCleaned[[#This Row],[ID]], Table2[ID],Table2[MC2], "Not Found", 0 )</f>
        <v>0</v>
      </c>
      <c r="AA1528" s="16">
        <f>_xlfn.XLOOKUP(CustomerCombinedCleaned[[#This Row],[ID]], Table2[ID],Table2[MC3], "Not Found", 0 )</f>
        <v>0</v>
      </c>
      <c r="AB1528" s="16">
        <f>_xlfn.XLOOKUP(CustomerCombinedCleaned[[#This Row],[ID]], Table2[ID],Table2[MC4], "Not Found", 0 )</f>
        <v>0</v>
      </c>
      <c r="AC1528" s="16">
        <f>_xlfn.XLOOKUP(CustomerCombinedCleaned[[#This Row],[ID]], Table2[ID],Table2[MC5], "Not Found", 0 )</f>
        <v>0</v>
      </c>
    </row>
    <row r="1529" spans="1:29" x14ac:dyDescent="0.3">
      <c r="A1529" s="18">
        <v>2136</v>
      </c>
      <c r="B1529" s="16">
        <v>123091</v>
      </c>
      <c r="C1529" s="16">
        <v>1</v>
      </c>
      <c r="D1529" s="16">
        <v>1</v>
      </c>
      <c r="E1529" s="16">
        <v>57</v>
      </c>
      <c r="F1529" s="17" t="s">
        <v>7</v>
      </c>
      <c r="G1529" s="17" t="s">
        <v>13</v>
      </c>
      <c r="H1529" s="3" t="s">
        <v>537</v>
      </c>
      <c r="I1529" s="5" t="s">
        <v>436</v>
      </c>
      <c r="J1529" s="16">
        <f>_xlfn.XLOOKUP(CustomerCombinedCleaned[[#This Row],[ID]], Table4[ID], Table4[Recency], "Not Found", 0)</f>
        <v>98</v>
      </c>
      <c r="K1529" s="16">
        <f>_xlfn.XLOOKUP(CustomerCombinedCleaned[[#This Row],[ID]], Table4[ID], Table4[Teas], "Not Found", 0)</f>
        <v>187</v>
      </c>
      <c r="L1529" s="16">
        <f>_xlfn.XLOOKUP(CustomerCombinedCleaned[[#This Row],[ID]], Table4[ID], Table4[Fruits], "Not Found", 0)</f>
        <v>0</v>
      </c>
      <c r="M1529" s="16">
        <f>_xlfn.XLOOKUP(CustomerCombinedCleaned[[#This Row],[ID]], Table4[ID], Table4[Meats], "Not Found", 0)</f>
        <v>59</v>
      </c>
      <c r="N1529" s="16">
        <f>_xlfn.XLOOKUP(CustomerCombinedCleaned[[#This Row],[ID]], Table4[ID], Table4[Seafood], "Not Found", 0)</f>
        <v>0</v>
      </c>
      <c r="O1529" s="16">
        <f>_xlfn.XLOOKUP(CustomerCombinedCleaned[[#This Row],[ID]], Table4[ID], Table4[Sweets], "Not Found", 0)</f>
        <v>0</v>
      </c>
      <c r="P1529" s="16">
        <f>_xlfn.XLOOKUP(CustomerCombinedCleaned[[#This Row],[ID]], Table4[ID], Table4[Premium], "Not Found", 0)</f>
        <v>11</v>
      </c>
      <c r="Q1529" s="16">
        <f>_xlfn.XLOOKUP(CustomerCombinedCleaned[[#This Row],[ID]], Table4[ID], Table4[Regular], "Not Found", 0)</f>
        <v>235</v>
      </c>
      <c r="R1529" s="16">
        <f>_xlfn.XLOOKUP(CustomerCombinedCleaned[[#This Row],[ID]], Table4[ID], Table4[Deals], "Not Found", 0)</f>
        <v>4</v>
      </c>
      <c r="S1529" s="16">
        <f>_xlfn.XLOOKUP(CustomerCombinedCleaned[[#This Row],[ID]], Table4[ID], Table4[Website], "Not Found", 0)</f>
        <v>2</v>
      </c>
      <c r="T1529" s="16">
        <f>_xlfn.XLOOKUP(CustomerCombinedCleaned[[#This Row],[ID]], Table4[ID], Table4[Catalog], "Not Found", 0)</f>
        <v>1</v>
      </c>
      <c r="U1529" s="16">
        <f>_xlfn.XLOOKUP(CustomerCombinedCleaned[[#This Row],[ID]], Table4[ID], Table4[Store], "Not Found", 0)</f>
        <v>3</v>
      </c>
      <c r="V1529" s="16">
        <f>_xlfn.XLOOKUP(CustomerCombinedCleaned[[#This Row],[ID]], Table4[ID], Table4[Visits], "Not Found", 0)</f>
        <v>7</v>
      </c>
      <c r="W1529" s="16">
        <f>_xlfn.XLOOKUP(CustomerCombinedCleaned[[#This Row],[ID]], Table2[ID],Table2[Complaint], "Not Found", 0 )</f>
        <v>0</v>
      </c>
      <c r="X1529" s="16">
        <f>_xlfn.XLOOKUP(CustomerCombinedCleaned[[#This Row],[ID]], Table2[ID],Table2[Pilot], "Not Found", 0 )</f>
        <v>0</v>
      </c>
      <c r="Y1529" s="16">
        <f>_xlfn.XLOOKUP(CustomerCombinedCleaned[[#This Row],[ID]], Table2[ID],Table2[MC1], "Not Found", 0 )</f>
        <v>0</v>
      </c>
      <c r="Z1529" s="16">
        <f>_xlfn.XLOOKUP(CustomerCombinedCleaned[[#This Row],[ID]], Table2[ID],Table2[MC2], "Not Found", 0 )</f>
        <v>0</v>
      </c>
      <c r="AA1529" s="16">
        <f>_xlfn.XLOOKUP(CustomerCombinedCleaned[[#This Row],[ID]], Table2[ID],Table2[MC3], "Not Found", 0 )</f>
        <v>0</v>
      </c>
      <c r="AB1529" s="16">
        <f>_xlfn.XLOOKUP(CustomerCombinedCleaned[[#This Row],[ID]], Table2[ID],Table2[MC4], "Not Found", 0 )</f>
        <v>0</v>
      </c>
      <c r="AC1529" s="16">
        <f>_xlfn.XLOOKUP(CustomerCombinedCleaned[[#This Row],[ID]], Table2[ID],Table2[MC5], "Not Found", 0 )</f>
        <v>0</v>
      </c>
    </row>
    <row r="1530" spans="1:29" x14ac:dyDescent="0.3">
      <c r="A1530" s="18">
        <v>1537</v>
      </c>
      <c r="B1530" s="16">
        <v>122419</v>
      </c>
      <c r="C1530" s="16">
        <v>0</v>
      </c>
      <c r="D1530" s="16">
        <v>0</v>
      </c>
      <c r="E1530" s="16">
        <v>57</v>
      </c>
      <c r="F1530" s="17" t="s">
        <v>6</v>
      </c>
      <c r="G1530" s="17" t="s">
        <v>11</v>
      </c>
      <c r="H1530" s="3" t="s">
        <v>271</v>
      </c>
      <c r="I1530" s="5" t="s">
        <v>437</v>
      </c>
      <c r="J1530" s="16">
        <f>_xlfn.XLOOKUP(CustomerCombinedCleaned[[#This Row],[ID]], Table4[ID], Table4[Recency], "Not Found", 0)</f>
        <v>74</v>
      </c>
      <c r="K1530" s="16">
        <f>_xlfn.XLOOKUP(CustomerCombinedCleaned[[#This Row],[ID]], Table4[ID], Table4[Teas], "Not Found", 0)</f>
        <v>164</v>
      </c>
      <c r="L1530" s="16">
        <f>_xlfn.XLOOKUP(CustomerCombinedCleaned[[#This Row],[ID]], Table4[ID], Table4[Fruits], "Not Found", 0)</f>
        <v>16</v>
      </c>
      <c r="M1530" s="16">
        <f>_xlfn.XLOOKUP(CustomerCombinedCleaned[[#This Row],[ID]], Table4[ID], Table4[Meats], "Not Found", 0)</f>
        <v>257</v>
      </c>
      <c r="N1530" s="16">
        <f>_xlfn.XLOOKUP(CustomerCombinedCleaned[[#This Row],[ID]], Table4[ID], Table4[Seafood], "Not Found", 0)</f>
        <v>104</v>
      </c>
      <c r="O1530" s="16">
        <f>_xlfn.XLOOKUP(CustomerCombinedCleaned[[#This Row],[ID]], Table4[ID], Table4[Sweets], "Not Found", 0)</f>
        <v>115</v>
      </c>
      <c r="P1530" s="16">
        <f>_xlfn.XLOOKUP(CustomerCombinedCleaned[[#This Row],[ID]], Table4[ID], Table4[Premium], "Not Found", 0)</f>
        <v>229</v>
      </c>
      <c r="Q1530" s="16">
        <f>_xlfn.XLOOKUP(CustomerCombinedCleaned[[#This Row],[ID]], Table4[ID], Table4[Regular], "Not Found", 0)</f>
        <v>426</v>
      </c>
      <c r="R1530" s="16">
        <f>_xlfn.XLOOKUP(CustomerCombinedCleaned[[#This Row],[ID]], Table4[ID], Table4[Deals], "Not Found", 0)</f>
        <v>1</v>
      </c>
      <c r="S1530" s="16">
        <f>_xlfn.XLOOKUP(CustomerCombinedCleaned[[#This Row],[ID]], Table4[ID], Table4[Website], "Not Found", 0)</f>
        <v>3</v>
      </c>
      <c r="T1530" s="16">
        <f>_xlfn.XLOOKUP(CustomerCombinedCleaned[[#This Row],[ID]], Table4[ID], Table4[Catalog], "Not Found", 0)</f>
        <v>2</v>
      </c>
      <c r="U1530" s="16">
        <f>_xlfn.XLOOKUP(CustomerCombinedCleaned[[#This Row],[ID]], Table4[ID], Table4[Store], "Not Found", 0)</f>
        <v>2</v>
      </c>
      <c r="V1530" s="16">
        <f>_xlfn.XLOOKUP(CustomerCombinedCleaned[[#This Row],[ID]], Table4[ID], Table4[Visits], "Not Found", 0)</f>
        <v>8</v>
      </c>
      <c r="W1530" s="16">
        <f>_xlfn.XLOOKUP(CustomerCombinedCleaned[[#This Row],[ID]], Table2[ID],Table2[Complaint], "Not Found", 0 )</f>
        <v>0</v>
      </c>
      <c r="X1530" s="16">
        <f>_xlfn.XLOOKUP(CustomerCombinedCleaned[[#This Row],[ID]], Table2[ID],Table2[Pilot], "Not Found", 0 )</f>
        <v>0</v>
      </c>
      <c r="Y1530" s="16">
        <f>_xlfn.XLOOKUP(CustomerCombinedCleaned[[#This Row],[ID]], Table2[ID],Table2[MC1], "Not Found", 0 )</f>
        <v>0</v>
      </c>
      <c r="Z1530" s="16">
        <f>_xlfn.XLOOKUP(CustomerCombinedCleaned[[#This Row],[ID]], Table2[ID],Table2[MC2], "Not Found", 0 )</f>
        <v>0</v>
      </c>
      <c r="AA1530" s="16">
        <f>_xlfn.XLOOKUP(CustomerCombinedCleaned[[#This Row],[ID]], Table2[ID],Table2[MC3], "Not Found", 0 )</f>
        <v>0</v>
      </c>
      <c r="AB1530" s="16">
        <f>_xlfn.XLOOKUP(CustomerCombinedCleaned[[#This Row],[ID]], Table2[ID],Table2[MC4], "Not Found", 0 )</f>
        <v>0</v>
      </c>
      <c r="AC1530" s="16">
        <f>_xlfn.XLOOKUP(CustomerCombinedCleaned[[#This Row],[ID]], Table2[ID],Table2[MC5], "Not Found", 0 )</f>
        <v>0</v>
      </c>
    </row>
    <row r="1531" spans="1:29" x14ac:dyDescent="0.3">
      <c r="A1531" s="18">
        <v>1804</v>
      </c>
      <c r="B1531" s="16">
        <v>122419</v>
      </c>
      <c r="C1531" s="16">
        <v>0</v>
      </c>
      <c r="D1531" s="16">
        <v>0</v>
      </c>
      <c r="E1531" s="16">
        <v>57</v>
      </c>
      <c r="F1531" s="17" t="s">
        <v>6</v>
      </c>
      <c r="G1531" s="17" t="s">
        <v>11</v>
      </c>
      <c r="H1531" s="3" t="s">
        <v>271</v>
      </c>
      <c r="I1531" s="5" t="s">
        <v>439</v>
      </c>
      <c r="J1531" s="16">
        <f>_xlfn.XLOOKUP(CustomerCombinedCleaned[[#This Row],[ID]], Table4[ID], Table4[Recency], "Not Found", 0)</f>
        <v>74</v>
      </c>
      <c r="K1531" s="16">
        <f>_xlfn.XLOOKUP(CustomerCombinedCleaned[[#This Row],[ID]], Table4[ID], Table4[Teas], "Not Found", 0)</f>
        <v>164</v>
      </c>
      <c r="L1531" s="16">
        <f>_xlfn.XLOOKUP(CustomerCombinedCleaned[[#This Row],[ID]], Table4[ID], Table4[Fruits], "Not Found", 0)</f>
        <v>16</v>
      </c>
      <c r="M1531" s="16">
        <f>_xlfn.XLOOKUP(CustomerCombinedCleaned[[#This Row],[ID]], Table4[ID], Table4[Meats], "Not Found", 0)</f>
        <v>257</v>
      </c>
      <c r="N1531" s="16">
        <f>_xlfn.XLOOKUP(CustomerCombinedCleaned[[#This Row],[ID]], Table4[ID], Table4[Seafood], "Not Found", 0)</f>
        <v>104</v>
      </c>
      <c r="O1531" s="16">
        <f>_xlfn.XLOOKUP(CustomerCombinedCleaned[[#This Row],[ID]], Table4[ID], Table4[Sweets], "Not Found", 0)</f>
        <v>115</v>
      </c>
      <c r="P1531" s="16">
        <f>_xlfn.XLOOKUP(CustomerCombinedCleaned[[#This Row],[ID]], Table4[ID], Table4[Premium], "Not Found", 0)</f>
        <v>229</v>
      </c>
      <c r="Q1531" s="16">
        <f>_xlfn.XLOOKUP(CustomerCombinedCleaned[[#This Row],[ID]], Table4[ID], Table4[Regular], "Not Found", 0)</f>
        <v>426</v>
      </c>
      <c r="R1531" s="16">
        <f>_xlfn.XLOOKUP(CustomerCombinedCleaned[[#This Row],[ID]], Table4[ID], Table4[Deals], "Not Found", 0)</f>
        <v>1</v>
      </c>
      <c r="S1531" s="16">
        <f>_xlfn.XLOOKUP(CustomerCombinedCleaned[[#This Row],[ID]], Table4[ID], Table4[Website], "Not Found", 0)</f>
        <v>3</v>
      </c>
      <c r="T1531" s="16">
        <f>_xlfn.XLOOKUP(CustomerCombinedCleaned[[#This Row],[ID]], Table4[ID], Table4[Catalog], "Not Found", 0)</f>
        <v>2</v>
      </c>
      <c r="U1531" s="16">
        <f>_xlfn.XLOOKUP(CustomerCombinedCleaned[[#This Row],[ID]], Table4[ID], Table4[Store], "Not Found", 0)</f>
        <v>2</v>
      </c>
      <c r="V1531" s="16">
        <f>_xlfn.XLOOKUP(CustomerCombinedCleaned[[#This Row],[ID]], Table4[ID], Table4[Visits], "Not Found", 0)</f>
        <v>8</v>
      </c>
      <c r="W1531" s="16">
        <f>_xlfn.XLOOKUP(CustomerCombinedCleaned[[#This Row],[ID]], Table2[ID],Table2[Complaint], "Not Found", 0 )</f>
        <v>0</v>
      </c>
      <c r="X1531" s="16">
        <f>_xlfn.XLOOKUP(CustomerCombinedCleaned[[#This Row],[ID]], Table2[ID],Table2[Pilot], "Not Found", 0 )</f>
        <v>0</v>
      </c>
      <c r="Y1531" s="16">
        <f>_xlfn.XLOOKUP(CustomerCombinedCleaned[[#This Row],[ID]], Table2[ID],Table2[MC1], "Not Found", 0 )</f>
        <v>0</v>
      </c>
      <c r="Z1531" s="16">
        <f>_xlfn.XLOOKUP(CustomerCombinedCleaned[[#This Row],[ID]], Table2[ID],Table2[MC2], "Not Found", 0 )</f>
        <v>0</v>
      </c>
      <c r="AA1531" s="16">
        <f>_xlfn.XLOOKUP(CustomerCombinedCleaned[[#This Row],[ID]], Table2[ID],Table2[MC3], "Not Found", 0 )</f>
        <v>0</v>
      </c>
      <c r="AB1531" s="16">
        <f>_xlfn.XLOOKUP(CustomerCombinedCleaned[[#This Row],[ID]], Table2[ID],Table2[MC4], "Not Found", 0 )</f>
        <v>0</v>
      </c>
      <c r="AC1531" s="16">
        <f>_xlfn.XLOOKUP(CustomerCombinedCleaned[[#This Row],[ID]], Table2[ID],Table2[MC5], "Not Found", 0 )</f>
        <v>0</v>
      </c>
    </row>
    <row r="1532" spans="1:29" x14ac:dyDescent="0.3">
      <c r="A1532" s="18">
        <v>3176</v>
      </c>
      <c r="B1532" s="16">
        <v>114918</v>
      </c>
      <c r="C1532" s="16">
        <v>0</v>
      </c>
      <c r="D1532" s="16">
        <v>1</v>
      </c>
      <c r="E1532" s="16">
        <v>57</v>
      </c>
      <c r="F1532" s="17" t="s">
        <v>8</v>
      </c>
      <c r="G1532" s="17" t="s">
        <v>10</v>
      </c>
      <c r="H1532" s="3" t="s">
        <v>351</v>
      </c>
      <c r="I1532" s="5" t="s">
        <v>438</v>
      </c>
      <c r="J1532" s="16">
        <f>_xlfn.XLOOKUP(CustomerCombinedCleaned[[#This Row],[ID]], Table4[ID], Table4[Recency], "Not Found", 0)</f>
        <v>52</v>
      </c>
      <c r="K1532" s="16">
        <f>_xlfn.XLOOKUP(CustomerCombinedCleaned[[#This Row],[ID]], Table4[ID], Table4[Teas], "Not Found", 0)</f>
        <v>23</v>
      </c>
      <c r="L1532" s="16">
        <f>_xlfn.XLOOKUP(CustomerCombinedCleaned[[#This Row],[ID]], Table4[ID], Table4[Fruits], "Not Found", 0)</f>
        <v>23</v>
      </c>
      <c r="M1532" s="16">
        <f>_xlfn.XLOOKUP(CustomerCombinedCleaned[[#This Row],[ID]], Table4[ID], Table4[Meats], "Not Found", 0)</f>
        <v>23</v>
      </c>
      <c r="N1532" s="16">
        <f>_xlfn.XLOOKUP(CustomerCombinedCleaned[[#This Row],[ID]], Table4[ID], Table4[Seafood], "Not Found", 0)</f>
        <v>116</v>
      </c>
      <c r="O1532" s="16">
        <f>_xlfn.XLOOKUP(CustomerCombinedCleaned[[#This Row],[ID]], Table4[ID], Table4[Sweets], "Not Found", 0)</f>
        <v>31</v>
      </c>
      <c r="P1532" s="16">
        <f>_xlfn.XLOOKUP(CustomerCombinedCleaned[[#This Row],[ID]], Table4[ID], Table4[Premium], "Not Found", 0)</f>
        <v>116</v>
      </c>
      <c r="Q1532" s="16">
        <f>_xlfn.XLOOKUP(CustomerCombinedCleaned[[#This Row],[ID]], Table4[ID], Table4[Regular], "Not Found", 0)</f>
        <v>100</v>
      </c>
      <c r="R1532" s="16">
        <f>_xlfn.XLOOKUP(CustomerCombinedCleaned[[#This Row],[ID]], Table4[ID], Table4[Deals], "Not Found", 0)</f>
        <v>1</v>
      </c>
      <c r="S1532" s="16">
        <f>_xlfn.XLOOKUP(CustomerCombinedCleaned[[#This Row],[ID]], Table4[ID], Table4[Website], "Not Found", 0)</f>
        <v>1</v>
      </c>
      <c r="T1532" s="16">
        <f>_xlfn.XLOOKUP(CustomerCombinedCleaned[[#This Row],[ID]], Table4[ID], Table4[Catalog], "Not Found", 0)</f>
        <v>0</v>
      </c>
      <c r="U1532" s="16">
        <f>_xlfn.XLOOKUP(CustomerCombinedCleaned[[#This Row],[ID]], Table4[ID], Table4[Store], "Not Found", 0)</f>
        <v>3</v>
      </c>
      <c r="V1532" s="16">
        <f>_xlfn.XLOOKUP(CustomerCombinedCleaned[[#This Row],[ID]], Table4[ID], Table4[Visits], "Not Found", 0)</f>
        <v>6</v>
      </c>
      <c r="W1532" s="16">
        <f>_xlfn.XLOOKUP(CustomerCombinedCleaned[[#This Row],[ID]], Table2[ID],Table2[Complaint], "Not Found", 0 )</f>
        <v>0</v>
      </c>
      <c r="X1532" s="16">
        <f>_xlfn.XLOOKUP(CustomerCombinedCleaned[[#This Row],[ID]], Table2[ID],Table2[Pilot], "Not Found", 0 )</f>
        <v>0</v>
      </c>
      <c r="Y1532" s="16">
        <f>_xlfn.XLOOKUP(CustomerCombinedCleaned[[#This Row],[ID]], Table2[ID],Table2[MC1], "Not Found", 0 )</f>
        <v>0</v>
      </c>
      <c r="Z1532" s="16">
        <f>_xlfn.XLOOKUP(CustomerCombinedCleaned[[#This Row],[ID]], Table2[ID],Table2[MC2], "Not Found", 0 )</f>
        <v>0</v>
      </c>
      <c r="AA1532" s="16">
        <f>_xlfn.XLOOKUP(CustomerCombinedCleaned[[#This Row],[ID]], Table2[ID],Table2[MC3], "Not Found", 0 )</f>
        <v>0</v>
      </c>
      <c r="AB1532" s="16">
        <f>_xlfn.XLOOKUP(CustomerCombinedCleaned[[#This Row],[ID]], Table2[ID],Table2[MC4], "Not Found", 0 )</f>
        <v>0</v>
      </c>
      <c r="AC1532" s="16">
        <f>_xlfn.XLOOKUP(CustomerCombinedCleaned[[#This Row],[ID]], Table2[ID],Table2[MC5], "Not Found", 0 )</f>
        <v>0</v>
      </c>
    </row>
    <row r="1533" spans="1:29" x14ac:dyDescent="0.3">
      <c r="A1533" s="18">
        <v>2821</v>
      </c>
      <c r="B1533" s="16">
        <v>104023</v>
      </c>
      <c r="C1533" s="16">
        <v>1</v>
      </c>
      <c r="D1533" s="16">
        <v>1</v>
      </c>
      <c r="E1533" s="16">
        <v>57</v>
      </c>
      <c r="F1533" s="17" t="s">
        <v>6</v>
      </c>
      <c r="G1533" s="17" t="s">
        <v>13</v>
      </c>
      <c r="H1533" s="3" t="s">
        <v>26</v>
      </c>
      <c r="I1533" s="5" t="s">
        <v>437</v>
      </c>
      <c r="J1533" s="16">
        <f>_xlfn.XLOOKUP(CustomerCombinedCleaned[[#This Row],[ID]], Table4[ID], Table4[Recency], "Not Found", 0)</f>
        <v>29</v>
      </c>
      <c r="K1533" s="16">
        <f>_xlfn.XLOOKUP(CustomerCombinedCleaned[[#This Row],[ID]], Table4[ID], Table4[Teas], "Not Found", 0)</f>
        <v>129</v>
      </c>
      <c r="L1533" s="16">
        <f>_xlfn.XLOOKUP(CustomerCombinedCleaned[[#This Row],[ID]], Table4[ID], Table4[Fruits], "Not Found", 0)</f>
        <v>0</v>
      </c>
      <c r="M1533" s="16">
        <f>_xlfn.XLOOKUP(CustomerCombinedCleaned[[#This Row],[ID]], Table4[ID], Table4[Meats], "Not Found", 0)</f>
        <v>26</v>
      </c>
      <c r="N1533" s="16">
        <f>_xlfn.XLOOKUP(CustomerCombinedCleaned[[#This Row],[ID]], Table4[ID], Table4[Seafood], "Not Found", 0)</f>
        <v>26</v>
      </c>
      <c r="O1533" s="16">
        <f>_xlfn.XLOOKUP(CustomerCombinedCleaned[[#This Row],[ID]], Table4[ID], Table4[Sweets], "Not Found", 0)</f>
        <v>26</v>
      </c>
      <c r="P1533" s="16">
        <f>_xlfn.XLOOKUP(CustomerCombinedCleaned[[#This Row],[ID]], Table4[ID], Table4[Premium], "Not Found", 0)</f>
        <v>26</v>
      </c>
      <c r="Q1533" s="16">
        <f>_xlfn.XLOOKUP(CustomerCombinedCleaned[[#This Row],[ID]], Table4[ID], Table4[Regular], "Not Found", 0)</f>
        <v>181</v>
      </c>
      <c r="R1533" s="16">
        <f>_xlfn.XLOOKUP(CustomerCombinedCleaned[[#This Row],[ID]], Table4[ID], Table4[Deals], "Not Found", 0)</f>
        <v>15</v>
      </c>
      <c r="S1533" s="16">
        <f>_xlfn.XLOOKUP(CustomerCombinedCleaned[[#This Row],[ID]], Table4[ID], Table4[Website], "Not Found", 0)</f>
        <v>0</v>
      </c>
      <c r="T1533" s="16">
        <f>_xlfn.XLOOKUP(CustomerCombinedCleaned[[#This Row],[ID]], Table4[ID], Table4[Catalog], "Not Found", 0)</f>
        <v>0</v>
      </c>
      <c r="U1533" s="16">
        <f>_xlfn.XLOOKUP(CustomerCombinedCleaned[[#This Row],[ID]], Table4[ID], Table4[Store], "Not Found", 0)</f>
        <v>0</v>
      </c>
      <c r="V1533" s="16">
        <f>_xlfn.XLOOKUP(CustomerCombinedCleaned[[#This Row],[ID]], Table4[ID], Table4[Visits], "Not Found", 0)</f>
        <v>19</v>
      </c>
      <c r="W1533" s="16">
        <f>_xlfn.XLOOKUP(CustomerCombinedCleaned[[#This Row],[ID]], Table2[ID],Table2[Complaint], "Not Found", 0 )</f>
        <v>0</v>
      </c>
      <c r="X1533" s="16">
        <f>_xlfn.XLOOKUP(CustomerCombinedCleaned[[#This Row],[ID]], Table2[ID],Table2[Pilot], "Not Found", 0 )</f>
        <v>0</v>
      </c>
      <c r="Y1533" s="16">
        <f>_xlfn.XLOOKUP(CustomerCombinedCleaned[[#This Row],[ID]], Table2[ID],Table2[MC1], "Not Found", 0 )</f>
        <v>0</v>
      </c>
      <c r="Z1533" s="16">
        <f>_xlfn.XLOOKUP(CustomerCombinedCleaned[[#This Row],[ID]], Table2[ID],Table2[MC2], "Not Found", 0 )</f>
        <v>0</v>
      </c>
      <c r="AA1533" s="16">
        <f>_xlfn.XLOOKUP(CustomerCombinedCleaned[[#This Row],[ID]], Table2[ID],Table2[MC3], "Not Found", 0 )</f>
        <v>0</v>
      </c>
      <c r="AB1533" s="16">
        <f>_xlfn.XLOOKUP(CustomerCombinedCleaned[[#This Row],[ID]], Table2[ID],Table2[MC4], "Not Found", 0 )</f>
        <v>0</v>
      </c>
      <c r="AC1533" s="16">
        <f>_xlfn.XLOOKUP(CustomerCombinedCleaned[[#This Row],[ID]], Table2[ID],Table2[MC5], "Not Found", 0 )</f>
        <v>0</v>
      </c>
    </row>
    <row r="1534" spans="1:29" x14ac:dyDescent="0.3">
      <c r="A1534" s="18">
        <v>1132</v>
      </c>
      <c r="B1534" s="16">
        <v>186111</v>
      </c>
      <c r="C1534" s="16">
        <v>0</v>
      </c>
      <c r="D1534" s="16">
        <v>0</v>
      </c>
      <c r="E1534" s="16">
        <v>58</v>
      </c>
      <c r="F1534" s="17" t="s">
        <v>6</v>
      </c>
      <c r="G1534" s="17" t="s">
        <v>11</v>
      </c>
      <c r="H1534" s="3" t="s">
        <v>270</v>
      </c>
      <c r="I1534" s="5" t="s">
        <v>439</v>
      </c>
      <c r="J1534" s="16">
        <f>_xlfn.XLOOKUP(CustomerCombinedCleaned[[#This Row],[ID]], Table4[ID], Table4[Recency], "Not Found", 0)</f>
        <v>73</v>
      </c>
      <c r="K1534" s="16">
        <f>_xlfn.XLOOKUP(CustomerCombinedCleaned[[#This Row],[ID]], Table4[ID], Table4[Teas], "Not Found", 0)</f>
        <v>862</v>
      </c>
      <c r="L1534" s="16">
        <f>_xlfn.XLOOKUP(CustomerCombinedCleaned[[#This Row],[ID]], Table4[ID], Table4[Fruits], "Not Found", 0)</f>
        <v>61</v>
      </c>
      <c r="M1534" s="16">
        <f>_xlfn.XLOOKUP(CustomerCombinedCleaned[[#This Row],[ID]], Table4[ID], Table4[Meats], "Not Found", 0)</f>
        <v>1634</v>
      </c>
      <c r="N1534" s="16">
        <f>_xlfn.XLOOKUP(CustomerCombinedCleaned[[#This Row],[ID]], Table4[ID], Table4[Seafood], "Not Found", 0)</f>
        <v>78</v>
      </c>
      <c r="O1534" s="16">
        <f>_xlfn.XLOOKUP(CustomerCombinedCleaned[[#This Row],[ID]], Table4[ID], Table4[Sweets], "Not Found", 0)</f>
        <v>86</v>
      </c>
      <c r="P1534" s="16">
        <f>_xlfn.XLOOKUP(CustomerCombinedCleaned[[#This Row],[ID]], Table4[ID], Table4[Premium], "Not Found", 0)</f>
        <v>272</v>
      </c>
      <c r="Q1534" s="16">
        <f>_xlfn.XLOOKUP(CustomerCombinedCleaned[[#This Row],[ID]], Table4[ID], Table4[Regular], "Not Found", 0)</f>
        <v>2449</v>
      </c>
      <c r="R1534" s="16">
        <f>_xlfn.XLOOKUP(CustomerCombinedCleaned[[#This Row],[ID]], Table4[ID], Table4[Deals], "Not Found", 0)</f>
        <v>1</v>
      </c>
      <c r="S1534" s="16">
        <f>_xlfn.XLOOKUP(CustomerCombinedCleaned[[#This Row],[ID]], Table4[ID], Table4[Website], "Not Found", 0)</f>
        <v>5</v>
      </c>
      <c r="T1534" s="16">
        <f>_xlfn.XLOOKUP(CustomerCombinedCleaned[[#This Row],[ID]], Table4[ID], Table4[Catalog], "Not Found", 0)</f>
        <v>7</v>
      </c>
      <c r="U1534" s="16">
        <f>_xlfn.XLOOKUP(CustomerCombinedCleaned[[#This Row],[ID]], Table4[ID], Table4[Store], "Not Found", 0)</f>
        <v>10</v>
      </c>
      <c r="V1534" s="16">
        <f>_xlfn.XLOOKUP(CustomerCombinedCleaned[[#This Row],[ID]], Table4[ID], Table4[Visits], "Not Found", 0)</f>
        <v>2</v>
      </c>
      <c r="W1534" s="16">
        <f>_xlfn.XLOOKUP(CustomerCombinedCleaned[[#This Row],[ID]], Table2[ID],Table2[Complaint], "Not Found", 0 )</f>
        <v>0</v>
      </c>
      <c r="X1534" s="16">
        <f>_xlfn.XLOOKUP(CustomerCombinedCleaned[[#This Row],[ID]], Table2[ID],Table2[Pilot], "Not Found", 0 )</f>
        <v>0</v>
      </c>
      <c r="Y1534" s="16">
        <f>_xlfn.XLOOKUP(CustomerCombinedCleaned[[#This Row],[ID]], Table2[ID],Table2[MC1], "Not Found", 0 )</f>
        <v>0</v>
      </c>
      <c r="Z1534" s="16">
        <f>_xlfn.XLOOKUP(CustomerCombinedCleaned[[#This Row],[ID]], Table2[ID],Table2[MC2], "Not Found", 0 )</f>
        <v>0</v>
      </c>
      <c r="AA1534" s="16">
        <f>_xlfn.XLOOKUP(CustomerCombinedCleaned[[#This Row],[ID]], Table2[ID],Table2[MC3], "Not Found", 0 )</f>
        <v>0</v>
      </c>
      <c r="AB1534" s="16">
        <f>_xlfn.XLOOKUP(CustomerCombinedCleaned[[#This Row],[ID]], Table2[ID],Table2[MC4], "Not Found", 0 )</f>
        <v>0</v>
      </c>
      <c r="AC1534" s="16">
        <f>_xlfn.XLOOKUP(CustomerCombinedCleaned[[#This Row],[ID]], Table2[ID],Table2[MC5], "Not Found", 0 )</f>
        <v>0</v>
      </c>
    </row>
    <row r="1535" spans="1:29" x14ac:dyDescent="0.3">
      <c r="A1535" s="18">
        <v>2118</v>
      </c>
      <c r="B1535" s="16">
        <v>185696</v>
      </c>
      <c r="C1535" s="16">
        <v>0</v>
      </c>
      <c r="D1535" s="16">
        <v>0</v>
      </c>
      <c r="E1535" s="16">
        <v>58</v>
      </c>
      <c r="F1535" s="17" t="s">
        <v>5</v>
      </c>
      <c r="G1535" s="17" t="s">
        <v>13</v>
      </c>
      <c r="H1535" s="3" t="s">
        <v>567</v>
      </c>
      <c r="I1535" s="5" t="s">
        <v>436</v>
      </c>
      <c r="J1535" s="16">
        <f>_xlfn.XLOOKUP(CustomerCombinedCleaned[[#This Row],[ID]], Table4[ID], Table4[Recency], "Not Found", 0)</f>
        <v>88</v>
      </c>
      <c r="K1535" s="16">
        <f>_xlfn.XLOOKUP(CustomerCombinedCleaned[[#This Row],[ID]], Table4[ID], Table4[Teas], "Not Found", 0)</f>
        <v>1547</v>
      </c>
      <c r="L1535" s="16">
        <f>_xlfn.XLOOKUP(CustomerCombinedCleaned[[#This Row],[ID]], Table4[ID], Table4[Fruits], "Not Found", 0)</f>
        <v>165</v>
      </c>
      <c r="M1535" s="16">
        <f>_xlfn.XLOOKUP(CustomerCombinedCleaned[[#This Row],[ID]], Table4[ID], Table4[Meats], "Not Found", 0)</f>
        <v>856</v>
      </c>
      <c r="N1535" s="16">
        <f>_xlfn.XLOOKUP(CustomerCombinedCleaned[[#This Row],[ID]], Table4[ID], Table4[Seafood], "Not Found", 0)</f>
        <v>251</v>
      </c>
      <c r="O1535" s="16">
        <f>_xlfn.XLOOKUP(CustomerCombinedCleaned[[#This Row],[ID]], Table4[ID], Table4[Sweets], "Not Found", 0)</f>
        <v>0</v>
      </c>
      <c r="P1535" s="16">
        <f>_xlfn.XLOOKUP(CustomerCombinedCleaned[[#This Row],[ID]], Table4[ID], Table4[Premium], "Not Found", 0)</f>
        <v>26</v>
      </c>
      <c r="Q1535" s="16">
        <f>_xlfn.XLOOKUP(CustomerCombinedCleaned[[#This Row],[ID]], Table4[ID], Table4[Regular], "Not Found", 0)</f>
        <v>2793</v>
      </c>
      <c r="R1535" s="16">
        <f>_xlfn.XLOOKUP(CustomerCombinedCleaned[[#This Row],[ID]], Table4[ID], Table4[Deals], "Not Found", 0)</f>
        <v>1</v>
      </c>
      <c r="S1535" s="16">
        <f>_xlfn.XLOOKUP(CustomerCombinedCleaned[[#This Row],[ID]], Table4[ID], Table4[Website], "Not Found", 0)</f>
        <v>4</v>
      </c>
      <c r="T1535" s="16">
        <f>_xlfn.XLOOKUP(CustomerCombinedCleaned[[#This Row],[ID]], Table4[ID], Table4[Catalog], "Not Found", 0)</f>
        <v>6</v>
      </c>
      <c r="U1535" s="16">
        <f>_xlfn.XLOOKUP(CustomerCombinedCleaned[[#This Row],[ID]], Table4[ID], Table4[Store], "Not Found", 0)</f>
        <v>9</v>
      </c>
      <c r="V1535" s="16">
        <f>_xlfn.XLOOKUP(CustomerCombinedCleaned[[#This Row],[ID]], Table4[ID], Table4[Visits], "Not Found", 0)</f>
        <v>1</v>
      </c>
      <c r="W1535" s="16">
        <f>_xlfn.XLOOKUP(CustomerCombinedCleaned[[#This Row],[ID]], Table2[ID],Table2[Complaint], "Not Found", 0 )</f>
        <v>0</v>
      </c>
      <c r="X1535" s="16">
        <f>_xlfn.XLOOKUP(CustomerCombinedCleaned[[#This Row],[ID]], Table2[ID],Table2[Pilot], "Not Found", 0 )</f>
        <v>1</v>
      </c>
      <c r="Y1535" s="16">
        <f>_xlfn.XLOOKUP(CustomerCombinedCleaned[[#This Row],[ID]], Table2[ID],Table2[MC1], "Not Found", 0 )</f>
        <v>0</v>
      </c>
      <c r="Z1535" s="16">
        <f>_xlfn.XLOOKUP(CustomerCombinedCleaned[[#This Row],[ID]], Table2[ID],Table2[MC2], "Not Found", 0 )</f>
        <v>0</v>
      </c>
      <c r="AA1535" s="16">
        <f>_xlfn.XLOOKUP(CustomerCombinedCleaned[[#This Row],[ID]], Table2[ID],Table2[MC3], "Not Found", 0 )</f>
        <v>0</v>
      </c>
      <c r="AB1535" s="16">
        <f>_xlfn.XLOOKUP(CustomerCombinedCleaned[[#This Row],[ID]], Table2[ID],Table2[MC4], "Not Found", 0 )</f>
        <v>0</v>
      </c>
      <c r="AC1535" s="16">
        <f>_xlfn.XLOOKUP(CustomerCombinedCleaned[[#This Row],[ID]], Table2[ID],Table2[MC5], "Not Found", 0 )</f>
        <v>0</v>
      </c>
    </row>
    <row r="1536" spans="1:29" x14ac:dyDescent="0.3">
      <c r="A1536" s="18">
        <v>2329</v>
      </c>
      <c r="B1536" s="16">
        <v>185696</v>
      </c>
      <c r="C1536" s="16">
        <v>0</v>
      </c>
      <c r="D1536" s="16">
        <v>0</v>
      </c>
      <c r="E1536" s="16">
        <v>58</v>
      </c>
      <c r="F1536" s="17" t="s">
        <v>5</v>
      </c>
      <c r="G1536" s="17" t="s">
        <v>13</v>
      </c>
      <c r="H1536" s="3" t="s">
        <v>567</v>
      </c>
      <c r="I1536" s="5" t="s">
        <v>437</v>
      </c>
      <c r="J1536" s="16">
        <f>_xlfn.XLOOKUP(CustomerCombinedCleaned[[#This Row],[ID]], Table4[ID], Table4[Recency], "Not Found", 0)</f>
        <v>88</v>
      </c>
      <c r="K1536" s="16">
        <f>_xlfn.XLOOKUP(CustomerCombinedCleaned[[#This Row],[ID]], Table4[ID], Table4[Teas], "Not Found", 0)</f>
        <v>1547</v>
      </c>
      <c r="L1536" s="16">
        <f>_xlfn.XLOOKUP(CustomerCombinedCleaned[[#This Row],[ID]], Table4[ID], Table4[Fruits], "Not Found", 0)</f>
        <v>165</v>
      </c>
      <c r="M1536" s="16">
        <f>_xlfn.XLOOKUP(CustomerCombinedCleaned[[#This Row],[ID]], Table4[ID], Table4[Meats], "Not Found", 0)</f>
        <v>856</v>
      </c>
      <c r="N1536" s="16">
        <f>_xlfn.XLOOKUP(CustomerCombinedCleaned[[#This Row],[ID]], Table4[ID], Table4[Seafood], "Not Found", 0)</f>
        <v>251</v>
      </c>
      <c r="O1536" s="16">
        <f>_xlfn.XLOOKUP(CustomerCombinedCleaned[[#This Row],[ID]], Table4[ID], Table4[Sweets], "Not Found", 0)</f>
        <v>0</v>
      </c>
      <c r="P1536" s="16">
        <f>_xlfn.XLOOKUP(CustomerCombinedCleaned[[#This Row],[ID]], Table4[ID], Table4[Premium], "Not Found", 0)</f>
        <v>26</v>
      </c>
      <c r="Q1536" s="16">
        <f>_xlfn.XLOOKUP(CustomerCombinedCleaned[[#This Row],[ID]], Table4[ID], Table4[Regular], "Not Found", 0)</f>
        <v>2793</v>
      </c>
      <c r="R1536" s="16">
        <f>_xlfn.XLOOKUP(CustomerCombinedCleaned[[#This Row],[ID]], Table4[ID], Table4[Deals], "Not Found", 0)</f>
        <v>1</v>
      </c>
      <c r="S1536" s="16">
        <f>_xlfn.XLOOKUP(CustomerCombinedCleaned[[#This Row],[ID]], Table4[ID], Table4[Website], "Not Found", 0)</f>
        <v>4</v>
      </c>
      <c r="T1536" s="16">
        <f>_xlfn.XLOOKUP(CustomerCombinedCleaned[[#This Row],[ID]], Table4[ID], Table4[Catalog], "Not Found", 0)</f>
        <v>6</v>
      </c>
      <c r="U1536" s="16">
        <f>_xlfn.XLOOKUP(CustomerCombinedCleaned[[#This Row],[ID]], Table4[ID], Table4[Store], "Not Found", 0)</f>
        <v>9</v>
      </c>
      <c r="V1536" s="16">
        <f>_xlfn.XLOOKUP(CustomerCombinedCleaned[[#This Row],[ID]], Table4[ID], Table4[Visits], "Not Found", 0)</f>
        <v>1</v>
      </c>
      <c r="W1536" s="16">
        <f>_xlfn.XLOOKUP(CustomerCombinedCleaned[[#This Row],[ID]], Table2[ID],Table2[Complaint], "Not Found", 0 )</f>
        <v>0</v>
      </c>
      <c r="X1536" s="16">
        <f>_xlfn.XLOOKUP(CustomerCombinedCleaned[[#This Row],[ID]], Table2[ID],Table2[Pilot], "Not Found", 0 )</f>
        <v>1</v>
      </c>
      <c r="Y1536" s="16">
        <f>_xlfn.XLOOKUP(CustomerCombinedCleaned[[#This Row],[ID]], Table2[ID],Table2[MC1], "Not Found", 0 )</f>
        <v>0</v>
      </c>
      <c r="Z1536" s="16">
        <f>_xlfn.XLOOKUP(CustomerCombinedCleaned[[#This Row],[ID]], Table2[ID],Table2[MC2], "Not Found", 0 )</f>
        <v>0</v>
      </c>
      <c r="AA1536" s="16">
        <f>_xlfn.XLOOKUP(CustomerCombinedCleaned[[#This Row],[ID]], Table2[ID],Table2[MC3], "Not Found", 0 )</f>
        <v>0</v>
      </c>
      <c r="AB1536" s="16">
        <f>_xlfn.XLOOKUP(CustomerCombinedCleaned[[#This Row],[ID]], Table2[ID],Table2[MC4], "Not Found", 0 )</f>
        <v>0</v>
      </c>
      <c r="AC1536" s="16">
        <f>_xlfn.XLOOKUP(CustomerCombinedCleaned[[#This Row],[ID]], Table2[ID],Table2[MC5], "Not Found", 0 )</f>
        <v>0</v>
      </c>
    </row>
    <row r="1537" spans="1:29" x14ac:dyDescent="0.3">
      <c r="A1537" s="18">
        <v>1956</v>
      </c>
      <c r="B1537" s="16">
        <v>183715</v>
      </c>
      <c r="C1537" s="16">
        <v>0</v>
      </c>
      <c r="D1537" s="16">
        <v>0</v>
      </c>
      <c r="E1537" s="16">
        <v>58</v>
      </c>
      <c r="F1537" s="17" t="s">
        <v>6</v>
      </c>
      <c r="G1537" s="17" t="s">
        <v>11</v>
      </c>
      <c r="H1537" s="3" t="s">
        <v>573</v>
      </c>
      <c r="I1537" s="5" t="s">
        <v>436</v>
      </c>
      <c r="J1537" s="16">
        <f>_xlfn.XLOOKUP(CustomerCombinedCleaned[[#This Row],[ID]], Table4[ID], Table4[Recency], "Not Found", 0)</f>
        <v>2</v>
      </c>
      <c r="K1537" s="16">
        <f>_xlfn.XLOOKUP(CustomerCombinedCleaned[[#This Row],[ID]], Table4[ID], Table4[Teas], "Not Found", 0)</f>
        <v>698</v>
      </c>
      <c r="L1537" s="16">
        <f>_xlfn.XLOOKUP(CustomerCombinedCleaned[[#This Row],[ID]], Table4[ID], Table4[Fruits], "Not Found", 0)</f>
        <v>18</v>
      </c>
      <c r="M1537" s="16">
        <f>_xlfn.XLOOKUP(CustomerCombinedCleaned[[#This Row],[ID]], Table4[ID], Table4[Meats], "Not Found", 0)</f>
        <v>893</v>
      </c>
      <c r="N1537" s="16">
        <f>_xlfn.XLOOKUP(CustomerCombinedCleaned[[#This Row],[ID]], Table4[ID], Table4[Seafood], "Not Found", 0)</f>
        <v>329</v>
      </c>
      <c r="O1537" s="16">
        <f>_xlfn.XLOOKUP(CustomerCombinedCleaned[[#This Row],[ID]], Table4[ID], Table4[Sweets], "Not Found", 0)</f>
        <v>77</v>
      </c>
      <c r="P1537" s="16">
        <f>_xlfn.XLOOKUP(CustomerCombinedCleaned[[#This Row],[ID]], Table4[ID], Table4[Premium], "Not Found", 0)</f>
        <v>18</v>
      </c>
      <c r="Q1537" s="16">
        <f>_xlfn.XLOOKUP(CustomerCombinedCleaned[[#This Row],[ID]], Table4[ID], Table4[Regular], "Not Found", 0)</f>
        <v>1997</v>
      </c>
      <c r="R1537" s="16">
        <f>_xlfn.XLOOKUP(CustomerCombinedCleaned[[#This Row],[ID]], Table4[ID], Table4[Deals], "Not Found", 0)</f>
        <v>1</v>
      </c>
      <c r="S1537" s="16">
        <f>_xlfn.XLOOKUP(CustomerCombinedCleaned[[#This Row],[ID]], Table4[ID], Table4[Website], "Not Found", 0)</f>
        <v>2</v>
      </c>
      <c r="T1537" s="16">
        <f>_xlfn.XLOOKUP(CustomerCombinedCleaned[[#This Row],[ID]], Table4[ID], Table4[Catalog], "Not Found", 0)</f>
        <v>8</v>
      </c>
      <c r="U1537" s="16">
        <f>_xlfn.XLOOKUP(CustomerCombinedCleaned[[#This Row],[ID]], Table4[ID], Table4[Store], "Not Found", 0)</f>
        <v>13</v>
      </c>
      <c r="V1537" s="16">
        <f>_xlfn.XLOOKUP(CustomerCombinedCleaned[[#This Row],[ID]], Table4[ID], Table4[Visits], "Not Found", 0)</f>
        <v>0</v>
      </c>
      <c r="W1537" s="16">
        <f>_xlfn.XLOOKUP(CustomerCombinedCleaned[[#This Row],[ID]], Table2[ID],Table2[Complaint], "Not Found", 0 )</f>
        <v>0</v>
      </c>
      <c r="X1537" s="16">
        <f>_xlfn.XLOOKUP(CustomerCombinedCleaned[[#This Row],[ID]], Table2[ID],Table2[Pilot], "Not Found", 0 )</f>
        <v>0</v>
      </c>
      <c r="Y1537" s="16">
        <f>_xlfn.XLOOKUP(CustomerCombinedCleaned[[#This Row],[ID]], Table2[ID],Table2[MC1], "Not Found", 0 )</f>
        <v>0</v>
      </c>
      <c r="Z1537" s="16">
        <f>_xlfn.XLOOKUP(CustomerCombinedCleaned[[#This Row],[ID]], Table2[ID],Table2[MC2], "Not Found", 0 )</f>
        <v>0</v>
      </c>
      <c r="AA1537" s="16">
        <f>_xlfn.XLOOKUP(CustomerCombinedCleaned[[#This Row],[ID]], Table2[ID],Table2[MC3], "Not Found", 0 )</f>
        <v>0</v>
      </c>
      <c r="AB1537" s="16">
        <f>_xlfn.XLOOKUP(CustomerCombinedCleaned[[#This Row],[ID]], Table2[ID],Table2[MC4], "Not Found", 0 )</f>
        <v>0</v>
      </c>
      <c r="AC1537" s="16">
        <f>_xlfn.XLOOKUP(CustomerCombinedCleaned[[#This Row],[ID]], Table2[ID],Table2[MC5], "Not Found", 0 )</f>
        <v>0</v>
      </c>
    </row>
    <row r="1538" spans="1:29" x14ac:dyDescent="0.3">
      <c r="A1538" s="18">
        <v>2698</v>
      </c>
      <c r="B1538" s="16">
        <v>182571</v>
      </c>
      <c r="C1538" s="16">
        <v>0</v>
      </c>
      <c r="D1538" s="16">
        <v>0</v>
      </c>
      <c r="E1538" s="16">
        <v>58</v>
      </c>
      <c r="F1538" s="17" t="s">
        <v>9</v>
      </c>
      <c r="G1538" s="17" t="s">
        <v>13</v>
      </c>
      <c r="H1538" s="3" t="s">
        <v>583</v>
      </c>
      <c r="I1538" s="5" t="s">
        <v>439</v>
      </c>
      <c r="J1538" s="16">
        <f>_xlfn.XLOOKUP(CustomerCombinedCleaned[[#This Row],[ID]], Table4[ID], Table4[Recency], "Not Found", 0)</f>
        <v>28</v>
      </c>
      <c r="K1538" s="16">
        <f>_xlfn.XLOOKUP(CustomerCombinedCleaned[[#This Row],[ID]], Table4[ID], Table4[Teas], "Not Found", 0)</f>
        <v>1904</v>
      </c>
      <c r="L1538" s="16">
        <f>_xlfn.XLOOKUP(CustomerCombinedCleaned[[#This Row],[ID]], Table4[ID], Table4[Fruits], "Not Found", 0)</f>
        <v>69</v>
      </c>
      <c r="M1538" s="16">
        <f>_xlfn.XLOOKUP(CustomerCombinedCleaned[[#This Row],[ID]], Table4[ID], Table4[Meats], "Not Found", 0)</f>
        <v>1234</v>
      </c>
      <c r="N1538" s="16">
        <f>_xlfn.XLOOKUP(CustomerCombinedCleaned[[#This Row],[ID]], Table4[ID], Table4[Seafood], "Not Found", 0)</f>
        <v>137</v>
      </c>
      <c r="O1538" s="16">
        <f>_xlfn.XLOOKUP(CustomerCombinedCleaned[[#This Row],[ID]], Table4[ID], Table4[Sweets], "Not Found", 0)</f>
        <v>210</v>
      </c>
      <c r="P1538" s="16">
        <f>_xlfn.XLOOKUP(CustomerCombinedCleaned[[#This Row],[ID]], Table4[ID], Table4[Premium], "Not Found", 0)</f>
        <v>175</v>
      </c>
      <c r="Q1538" s="16">
        <f>_xlfn.XLOOKUP(CustomerCombinedCleaned[[#This Row],[ID]], Table4[ID], Table4[Regular], "Not Found", 0)</f>
        <v>3379</v>
      </c>
      <c r="R1538" s="16">
        <f>_xlfn.XLOOKUP(CustomerCombinedCleaned[[#This Row],[ID]], Table4[ID], Table4[Deals], "Not Found", 0)</f>
        <v>0</v>
      </c>
      <c r="S1538" s="16">
        <f>_xlfn.XLOOKUP(CustomerCombinedCleaned[[#This Row],[ID]], Table4[ID], Table4[Website], "Not Found", 0)</f>
        <v>6</v>
      </c>
      <c r="T1538" s="16">
        <f>_xlfn.XLOOKUP(CustomerCombinedCleaned[[#This Row],[ID]], Table4[ID], Table4[Catalog], "Not Found", 0)</f>
        <v>5</v>
      </c>
      <c r="U1538" s="16">
        <f>_xlfn.XLOOKUP(CustomerCombinedCleaned[[#This Row],[ID]], Table4[ID], Table4[Store], "Not Found", 0)</f>
        <v>13</v>
      </c>
      <c r="V1538" s="16">
        <f>_xlfn.XLOOKUP(CustomerCombinedCleaned[[#This Row],[ID]], Table4[ID], Table4[Visits], "Not Found", 0)</f>
        <v>2</v>
      </c>
      <c r="W1538" s="16">
        <f>_xlfn.XLOOKUP(CustomerCombinedCleaned[[#This Row],[ID]], Table2[ID],Table2[Complaint], "Not Found", 0 )</f>
        <v>0</v>
      </c>
      <c r="X1538" s="16">
        <f>_xlfn.XLOOKUP(CustomerCombinedCleaned[[#This Row],[ID]], Table2[ID],Table2[Pilot], "Not Found", 0 )</f>
        <v>0</v>
      </c>
      <c r="Y1538" s="16">
        <f>_xlfn.XLOOKUP(CustomerCombinedCleaned[[#This Row],[ID]], Table2[ID],Table2[MC1], "Not Found", 0 )</f>
        <v>0</v>
      </c>
      <c r="Z1538" s="16">
        <f>_xlfn.XLOOKUP(CustomerCombinedCleaned[[#This Row],[ID]], Table2[ID],Table2[MC2], "Not Found", 0 )</f>
        <v>0</v>
      </c>
      <c r="AA1538" s="16">
        <f>_xlfn.XLOOKUP(CustomerCombinedCleaned[[#This Row],[ID]], Table2[ID],Table2[MC3], "Not Found", 0 )</f>
        <v>0</v>
      </c>
      <c r="AB1538" s="16">
        <f>_xlfn.XLOOKUP(CustomerCombinedCleaned[[#This Row],[ID]], Table2[ID],Table2[MC4], "Not Found", 0 )</f>
        <v>0</v>
      </c>
      <c r="AC1538" s="16">
        <f>_xlfn.XLOOKUP(CustomerCombinedCleaned[[#This Row],[ID]], Table2[ID],Table2[MC5], "Not Found", 0 )</f>
        <v>1</v>
      </c>
    </row>
    <row r="1539" spans="1:29" x14ac:dyDescent="0.3">
      <c r="A1539" s="18">
        <v>2767</v>
      </c>
      <c r="B1539" s="16">
        <v>182122</v>
      </c>
      <c r="C1539" s="16">
        <v>0</v>
      </c>
      <c r="D1539" s="16">
        <v>0</v>
      </c>
      <c r="E1539" s="16">
        <v>58</v>
      </c>
      <c r="F1539" s="17" t="s">
        <v>8</v>
      </c>
      <c r="G1539" s="17" t="s">
        <v>11</v>
      </c>
      <c r="H1539" s="3" t="s">
        <v>202</v>
      </c>
      <c r="I1539" s="5" t="s">
        <v>437</v>
      </c>
      <c r="J1539" s="16">
        <f>_xlfn.XLOOKUP(CustomerCombinedCleaned[[#This Row],[ID]], Table4[ID], Table4[Recency], "Not Found", 0)</f>
        <v>89</v>
      </c>
      <c r="K1539" s="16">
        <f>_xlfn.XLOOKUP(CustomerCombinedCleaned[[#This Row],[ID]], Table4[ID], Table4[Teas], "Not Found", 0)</f>
        <v>1628</v>
      </c>
      <c r="L1539" s="16">
        <f>_xlfn.XLOOKUP(CustomerCombinedCleaned[[#This Row],[ID]], Table4[ID], Table4[Fruits], "Not Found", 0)</f>
        <v>49</v>
      </c>
      <c r="M1539" s="16">
        <f>_xlfn.XLOOKUP(CustomerCombinedCleaned[[#This Row],[ID]], Table4[ID], Table4[Meats], "Not Found", 0)</f>
        <v>776</v>
      </c>
      <c r="N1539" s="16">
        <f>_xlfn.XLOOKUP(CustomerCombinedCleaned[[#This Row],[ID]], Table4[ID], Table4[Seafood], "Not Found", 0)</f>
        <v>335</v>
      </c>
      <c r="O1539" s="16">
        <f>_xlfn.XLOOKUP(CustomerCombinedCleaned[[#This Row],[ID]], Table4[ID], Table4[Sweets], "Not Found", 0)</f>
        <v>55</v>
      </c>
      <c r="P1539" s="16">
        <f>_xlfn.XLOOKUP(CustomerCombinedCleaned[[#This Row],[ID]], Table4[ID], Table4[Premium], "Not Found", 0)</f>
        <v>222</v>
      </c>
      <c r="Q1539" s="16">
        <f>_xlfn.XLOOKUP(CustomerCombinedCleaned[[#This Row],[ID]], Table4[ID], Table4[Regular], "Not Found", 0)</f>
        <v>2621</v>
      </c>
      <c r="R1539" s="16">
        <f>_xlfn.XLOOKUP(CustomerCombinedCleaned[[#This Row],[ID]], Table4[ID], Table4[Deals], "Not Found", 0)</f>
        <v>1</v>
      </c>
      <c r="S1539" s="16">
        <f>_xlfn.XLOOKUP(CustomerCombinedCleaned[[#This Row],[ID]], Table4[ID], Table4[Website], "Not Found", 0)</f>
        <v>3</v>
      </c>
      <c r="T1539" s="16">
        <f>_xlfn.XLOOKUP(CustomerCombinedCleaned[[#This Row],[ID]], Table4[ID], Table4[Catalog], "Not Found", 0)</f>
        <v>9</v>
      </c>
      <c r="U1539" s="16">
        <f>_xlfn.XLOOKUP(CustomerCombinedCleaned[[#This Row],[ID]], Table4[ID], Table4[Store], "Not Found", 0)</f>
        <v>13</v>
      </c>
      <c r="V1539" s="16">
        <f>_xlfn.XLOOKUP(CustomerCombinedCleaned[[#This Row],[ID]], Table4[ID], Table4[Visits], "Not Found", 0)</f>
        <v>1</v>
      </c>
      <c r="W1539" s="16">
        <f>_xlfn.XLOOKUP(CustomerCombinedCleaned[[#This Row],[ID]], Table2[ID],Table2[Complaint], "Not Found", 0 )</f>
        <v>0</v>
      </c>
      <c r="X1539" s="16">
        <f>_xlfn.XLOOKUP(CustomerCombinedCleaned[[#This Row],[ID]], Table2[ID],Table2[Pilot], "Not Found", 0 )</f>
        <v>0</v>
      </c>
      <c r="Y1539" s="16">
        <f>_xlfn.XLOOKUP(CustomerCombinedCleaned[[#This Row],[ID]], Table2[ID],Table2[MC1], "Not Found", 0 )</f>
        <v>0</v>
      </c>
      <c r="Z1539" s="16">
        <f>_xlfn.XLOOKUP(CustomerCombinedCleaned[[#This Row],[ID]], Table2[ID],Table2[MC2], "Not Found", 0 )</f>
        <v>0</v>
      </c>
      <c r="AA1539" s="16">
        <f>_xlfn.XLOOKUP(CustomerCombinedCleaned[[#This Row],[ID]], Table2[ID],Table2[MC3], "Not Found", 0 )</f>
        <v>0</v>
      </c>
      <c r="AB1539" s="16">
        <f>_xlfn.XLOOKUP(CustomerCombinedCleaned[[#This Row],[ID]], Table2[ID],Table2[MC4], "Not Found", 0 )</f>
        <v>0</v>
      </c>
      <c r="AC1539" s="16">
        <f>_xlfn.XLOOKUP(CustomerCombinedCleaned[[#This Row],[ID]], Table2[ID],Table2[MC5], "Not Found", 0 )</f>
        <v>1</v>
      </c>
    </row>
    <row r="1540" spans="1:29" x14ac:dyDescent="0.3">
      <c r="A1540" s="18">
        <v>1219</v>
      </c>
      <c r="B1540" s="16">
        <v>181975</v>
      </c>
      <c r="C1540" s="16">
        <v>0</v>
      </c>
      <c r="D1540" s="16">
        <v>1</v>
      </c>
      <c r="E1540" s="16">
        <v>58</v>
      </c>
      <c r="F1540" s="17" t="s">
        <v>5</v>
      </c>
      <c r="G1540" s="17" t="s">
        <v>11</v>
      </c>
      <c r="H1540" s="3" t="s">
        <v>591</v>
      </c>
      <c r="I1540" s="5" t="s">
        <v>437</v>
      </c>
      <c r="J1540" s="16">
        <f>_xlfn.XLOOKUP(CustomerCombinedCleaned[[#This Row],[ID]], Table4[ID], Table4[Recency], "Not Found", 0)</f>
        <v>2</v>
      </c>
      <c r="K1540" s="16">
        <f>_xlfn.XLOOKUP(CustomerCombinedCleaned[[#This Row],[ID]], Table4[ID], Table4[Teas], "Not Found", 0)</f>
        <v>2182</v>
      </c>
      <c r="L1540" s="16">
        <f>_xlfn.XLOOKUP(CustomerCombinedCleaned[[#This Row],[ID]], Table4[ID], Table4[Fruits], "Not Found", 0)</f>
        <v>169</v>
      </c>
      <c r="M1540" s="16">
        <f>_xlfn.XLOOKUP(CustomerCombinedCleaned[[#This Row],[ID]], Table4[ID], Table4[Meats], "Not Found", 0)</f>
        <v>408</v>
      </c>
      <c r="N1540" s="16">
        <f>_xlfn.XLOOKUP(CustomerCombinedCleaned[[#This Row],[ID]], Table4[ID], Table4[Seafood], "Not Found", 0)</f>
        <v>400</v>
      </c>
      <c r="O1540" s="16">
        <f>_xlfn.XLOOKUP(CustomerCombinedCleaned[[#This Row],[ID]], Table4[ID], Table4[Sweets], "Not Found", 0)</f>
        <v>306</v>
      </c>
      <c r="P1540" s="16">
        <f>_xlfn.XLOOKUP(CustomerCombinedCleaned[[#This Row],[ID]], Table4[ID], Table4[Premium], "Not Found", 0)</f>
        <v>60</v>
      </c>
      <c r="Q1540" s="16">
        <f>_xlfn.XLOOKUP(CustomerCombinedCleaned[[#This Row],[ID]], Table4[ID], Table4[Regular], "Not Found", 0)</f>
        <v>3405</v>
      </c>
      <c r="R1540" s="16">
        <f>_xlfn.XLOOKUP(CustomerCombinedCleaned[[#This Row],[ID]], Table4[ID], Table4[Deals], "Not Found", 0)</f>
        <v>1</v>
      </c>
      <c r="S1540" s="16">
        <f>_xlfn.XLOOKUP(CustomerCombinedCleaned[[#This Row],[ID]], Table4[ID], Table4[Website], "Not Found", 0)</f>
        <v>6</v>
      </c>
      <c r="T1540" s="16">
        <f>_xlfn.XLOOKUP(CustomerCombinedCleaned[[#This Row],[ID]], Table4[ID], Table4[Catalog], "Not Found", 0)</f>
        <v>3</v>
      </c>
      <c r="U1540" s="16">
        <f>_xlfn.XLOOKUP(CustomerCombinedCleaned[[#This Row],[ID]], Table4[ID], Table4[Store], "Not Found", 0)</f>
        <v>4</v>
      </c>
      <c r="V1540" s="16">
        <f>_xlfn.XLOOKUP(CustomerCombinedCleaned[[#This Row],[ID]], Table4[ID], Table4[Visits], "Not Found", 0)</f>
        <v>7</v>
      </c>
      <c r="W1540" s="16">
        <f>_xlfn.XLOOKUP(CustomerCombinedCleaned[[#This Row],[ID]], Table2[ID],Table2[Complaint], "Not Found", 0 )</f>
        <v>0</v>
      </c>
      <c r="X1540" s="16">
        <f>_xlfn.XLOOKUP(CustomerCombinedCleaned[[#This Row],[ID]], Table2[ID],Table2[Pilot], "Not Found", 0 )</f>
        <v>0</v>
      </c>
      <c r="Y1540" s="16">
        <f>_xlfn.XLOOKUP(CustomerCombinedCleaned[[#This Row],[ID]], Table2[ID],Table2[MC1], "Not Found", 0 )</f>
        <v>0</v>
      </c>
      <c r="Z1540" s="16">
        <f>_xlfn.XLOOKUP(CustomerCombinedCleaned[[#This Row],[ID]], Table2[ID],Table2[MC2], "Not Found", 0 )</f>
        <v>0</v>
      </c>
      <c r="AA1540" s="16">
        <f>_xlfn.XLOOKUP(CustomerCombinedCleaned[[#This Row],[ID]], Table2[ID],Table2[MC3], "Not Found", 0 )</f>
        <v>0</v>
      </c>
      <c r="AB1540" s="16">
        <f>_xlfn.XLOOKUP(CustomerCombinedCleaned[[#This Row],[ID]], Table2[ID],Table2[MC4], "Not Found", 0 )</f>
        <v>0</v>
      </c>
      <c r="AC1540" s="16">
        <f>_xlfn.XLOOKUP(CustomerCombinedCleaned[[#This Row],[ID]], Table2[ID],Table2[MC5], "Not Found", 0 )</f>
        <v>1</v>
      </c>
    </row>
    <row r="1541" spans="1:29" x14ac:dyDescent="0.3">
      <c r="A1541" s="18">
        <v>2223</v>
      </c>
      <c r="B1541" s="16">
        <v>176624</v>
      </c>
      <c r="C1541" s="16">
        <v>0</v>
      </c>
      <c r="D1541" s="16">
        <v>1</v>
      </c>
      <c r="E1541" s="16">
        <v>58</v>
      </c>
      <c r="F1541" s="17" t="s">
        <v>7</v>
      </c>
      <c r="G1541" s="17" t="s">
        <v>11</v>
      </c>
      <c r="H1541" s="3" t="s">
        <v>43</v>
      </c>
      <c r="I1541" s="5" t="s">
        <v>435</v>
      </c>
      <c r="J1541" s="16">
        <f>_xlfn.XLOOKUP(CustomerCombinedCleaned[[#This Row],[ID]], Table4[ID], Table4[Recency], "Not Found", 0)</f>
        <v>68</v>
      </c>
      <c r="K1541" s="16">
        <f>_xlfn.XLOOKUP(CustomerCombinedCleaned[[#This Row],[ID]], Table4[ID], Table4[Teas], "Not Found", 0)</f>
        <v>947</v>
      </c>
      <c r="L1541" s="16">
        <f>_xlfn.XLOOKUP(CustomerCombinedCleaned[[#This Row],[ID]], Table4[ID], Table4[Fruits], "Not Found", 0)</f>
        <v>244</v>
      </c>
      <c r="M1541" s="16">
        <f>_xlfn.XLOOKUP(CustomerCombinedCleaned[[#This Row],[ID]], Table4[ID], Table4[Meats], "Not Found", 0)</f>
        <v>339</v>
      </c>
      <c r="N1541" s="16">
        <f>_xlfn.XLOOKUP(CustomerCombinedCleaned[[#This Row],[ID]], Table4[ID], Table4[Seafood], "Not Found", 0)</f>
        <v>124</v>
      </c>
      <c r="O1541" s="16">
        <f>_xlfn.XLOOKUP(CustomerCombinedCleaned[[#This Row],[ID]], Table4[ID], Table4[Sweets], "Not Found", 0)</f>
        <v>265</v>
      </c>
      <c r="P1541" s="16">
        <f>_xlfn.XLOOKUP(CustomerCombinedCleaned[[#This Row],[ID]], Table4[ID], Table4[Premium], "Not Found", 0)</f>
        <v>152</v>
      </c>
      <c r="Q1541" s="16">
        <f>_xlfn.XLOOKUP(CustomerCombinedCleaned[[#This Row],[ID]], Table4[ID], Table4[Regular], "Not Found", 0)</f>
        <v>1768</v>
      </c>
      <c r="R1541" s="16">
        <f>_xlfn.XLOOKUP(CustomerCombinedCleaned[[#This Row],[ID]], Table4[ID], Table4[Deals], "Not Found", 0)</f>
        <v>1</v>
      </c>
      <c r="S1541" s="16">
        <f>_xlfn.XLOOKUP(CustomerCombinedCleaned[[#This Row],[ID]], Table4[ID], Table4[Website], "Not Found", 0)</f>
        <v>5</v>
      </c>
      <c r="T1541" s="16">
        <f>_xlfn.XLOOKUP(CustomerCombinedCleaned[[#This Row],[ID]], Table4[ID], Table4[Catalog], "Not Found", 0)</f>
        <v>10</v>
      </c>
      <c r="U1541" s="16">
        <f>_xlfn.XLOOKUP(CustomerCombinedCleaned[[#This Row],[ID]], Table4[ID], Table4[Store], "Not Found", 0)</f>
        <v>7</v>
      </c>
      <c r="V1541" s="16">
        <f>_xlfn.XLOOKUP(CustomerCombinedCleaned[[#This Row],[ID]], Table4[ID], Table4[Visits], "Not Found", 0)</f>
        <v>1</v>
      </c>
      <c r="W1541" s="16">
        <f>_xlfn.XLOOKUP(CustomerCombinedCleaned[[#This Row],[ID]], Table2[ID],Table2[Complaint], "Not Found", 0 )</f>
        <v>0</v>
      </c>
      <c r="X1541" s="16">
        <f>_xlfn.XLOOKUP(CustomerCombinedCleaned[[#This Row],[ID]], Table2[ID],Table2[Pilot], "Not Found", 0 )</f>
        <v>0</v>
      </c>
      <c r="Y1541" s="16">
        <f>_xlfn.XLOOKUP(CustomerCombinedCleaned[[#This Row],[ID]], Table2[ID],Table2[MC1], "Not Found", 0 )</f>
        <v>0</v>
      </c>
      <c r="Z1541" s="16">
        <f>_xlfn.XLOOKUP(CustomerCombinedCleaned[[#This Row],[ID]], Table2[ID],Table2[MC2], "Not Found", 0 )</f>
        <v>0</v>
      </c>
      <c r="AA1541" s="16">
        <f>_xlfn.XLOOKUP(CustomerCombinedCleaned[[#This Row],[ID]], Table2[ID],Table2[MC3], "Not Found", 0 )</f>
        <v>1</v>
      </c>
      <c r="AB1541" s="16">
        <f>_xlfn.XLOOKUP(CustomerCombinedCleaned[[#This Row],[ID]], Table2[ID],Table2[MC4], "Not Found", 0 )</f>
        <v>0</v>
      </c>
      <c r="AC1541" s="16">
        <f>_xlfn.XLOOKUP(CustomerCombinedCleaned[[#This Row],[ID]], Table2[ID],Table2[MC5], "Not Found", 0 )</f>
        <v>0</v>
      </c>
    </row>
    <row r="1542" spans="1:29" x14ac:dyDescent="0.3">
      <c r="A1542" s="18">
        <v>2024</v>
      </c>
      <c r="B1542" s="16">
        <v>176081</v>
      </c>
      <c r="C1542" s="16">
        <v>0</v>
      </c>
      <c r="D1542" s="16">
        <v>0</v>
      </c>
      <c r="E1542" s="16">
        <v>58</v>
      </c>
      <c r="F1542" s="17" t="s">
        <v>8</v>
      </c>
      <c r="G1542" s="17" t="s">
        <v>11</v>
      </c>
      <c r="H1542" s="3" t="s">
        <v>44</v>
      </c>
      <c r="I1542" s="5" t="s">
        <v>438</v>
      </c>
      <c r="J1542" s="16">
        <f>_xlfn.XLOOKUP(CustomerCombinedCleaned[[#This Row],[ID]], Table4[ID], Table4[Recency], "Not Found", 0)</f>
        <v>85</v>
      </c>
      <c r="K1542" s="16">
        <f>_xlfn.XLOOKUP(CustomerCombinedCleaned[[#This Row],[ID]], Table4[ID], Table4[Teas], "Not Found", 0)</f>
        <v>676</v>
      </c>
      <c r="L1542" s="16">
        <f>_xlfn.XLOOKUP(CustomerCombinedCleaned[[#This Row],[ID]], Table4[ID], Table4[Fruits], "Not Found", 0)</f>
        <v>69</v>
      </c>
      <c r="M1542" s="16">
        <f>_xlfn.XLOOKUP(CustomerCombinedCleaned[[#This Row],[ID]], Table4[ID], Table4[Meats], "Not Found", 0)</f>
        <v>960</v>
      </c>
      <c r="N1542" s="16">
        <f>_xlfn.XLOOKUP(CustomerCombinedCleaned[[#This Row],[ID]], Table4[ID], Table4[Seafood], "Not Found", 0)</f>
        <v>146</v>
      </c>
      <c r="O1542" s="16">
        <f>_xlfn.XLOOKUP(CustomerCombinedCleaned[[#This Row],[ID]], Table4[ID], Table4[Sweets], "Not Found", 0)</f>
        <v>76</v>
      </c>
      <c r="P1542" s="16">
        <f>_xlfn.XLOOKUP(CustomerCombinedCleaned[[#This Row],[ID]], Table4[ID], Table4[Premium], "Not Found", 0)</f>
        <v>463</v>
      </c>
      <c r="Q1542" s="16">
        <f>_xlfn.XLOOKUP(CustomerCombinedCleaned[[#This Row],[ID]], Table4[ID], Table4[Regular], "Not Found", 0)</f>
        <v>1465</v>
      </c>
      <c r="R1542" s="16">
        <f>_xlfn.XLOOKUP(CustomerCombinedCleaned[[#This Row],[ID]], Table4[ID], Table4[Deals], "Not Found", 0)</f>
        <v>1</v>
      </c>
      <c r="S1542" s="16">
        <f>_xlfn.XLOOKUP(CustomerCombinedCleaned[[#This Row],[ID]], Table4[ID], Table4[Website], "Not Found", 0)</f>
        <v>4</v>
      </c>
      <c r="T1542" s="16">
        <f>_xlfn.XLOOKUP(CustomerCombinedCleaned[[#This Row],[ID]], Table4[ID], Table4[Catalog], "Not Found", 0)</f>
        <v>5</v>
      </c>
      <c r="U1542" s="16">
        <f>_xlfn.XLOOKUP(CustomerCombinedCleaned[[#This Row],[ID]], Table4[ID], Table4[Store], "Not Found", 0)</f>
        <v>4</v>
      </c>
      <c r="V1542" s="16">
        <f>_xlfn.XLOOKUP(CustomerCombinedCleaned[[#This Row],[ID]], Table4[ID], Table4[Visits], "Not Found", 0)</f>
        <v>2</v>
      </c>
      <c r="W1542" s="16">
        <f>_xlfn.XLOOKUP(CustomerCombinedCleaned[[#This Row],[ID]], Table2[ID],Table2[Complaint], "Not Found", 0 )</f>
        <v>0</v>
      </c>
      <c r="X1542" s="16">
        <f>_xlfn.XLOOKUP(CustomerCombinedCleaned[[#This Row],[ID]], Table2[ID],Table2[Pilot], "Not Found", 0 )</f>
        <v>0</v>
      </c>
      <c r="Y1542" s="16">
        <f>_xlfn.XLOOKUP(CustomerCombinedCleaned[[#This Row],[ID]], Table2[ID],Table2[MC1], "Not Found", 0 )</f>
        <v>1</v>
      </c>
      <c r="Z1542" s="16">
        <f>_xlfn.XLOOKUP(CustomerCombinedCleaned[[#This Row],[ID]], Table2[ID],Table2[MC2], "Not Found", 0 )</f>
        <v>0</v>
      </c>
      <c r="AA1542" s="16">
        <f>_xlfn.XLOOKUP(CustomerCombinedCleaned[[#This Row],[ID]], Table2[ID],Table2[MC3], "Not Found", 0 )</f>
        <v>0</v>
      </c>
      <c r="AB1542" s="16">
        <f>_xlfn.XLOOKUP(CustomerCombinedCleaned[[#This Row],[ID]], Table2[ID],Table2[MC4], "Not Found", 0 )</f>
        <v>0</v>
      </c>
      <c r="AC1542" s="16">
        <f>_xlfn.XLOOKUP(CustomerCombinedCleaned[[#This Row],[ID]], Table2[ID],Table2[MC5], "Not Found", 0 )</f>
        <v>0</v>
      </c>
    </row>
    <row r="1543" spans="1:29" x14ac:dyDescent="0.3">
      <c r="A1543" s="18">
        <v>2529</v>
      </c>
      <c r="B1543" s="16">
        <v>176081</v>
      </c>
      <c r="C1543" s="16">
        <v>0</v>
      </c>
      <c r="D1543" s="16">
        <v>0</v>
      </c>
      <c r="E1543" s="16">
        <v>58</v>
      </c>
      <c r="F1543" s="17" t="s">
        <v>8</v>
      </c>
      <c r="G1543" s="17" t="s">
        <v>11</v>
      </c>
      <c r="H1543" s="3" t="s">
        <v>44</v>
      </c>
      <c r="I1543" s="5" t="s">
        <v>435</v>
      </c>
      <c r="J1543" s="16">
        <f>_xlfn.XLOOKUP(CustomerCombinedCleaned[[#This Row],[ID]], Table4[ID], Table4[Recency], "Not Found", 0)</f>
        <v>85</v>
      </c>
      <c r="K1543" s="16">
        <f>_xlfn.XLOOKUP(CustomerCombinedCleaned[[#This Row],[ID]], Table4[ID], Table4[Teas], "Not Found", 0)</f>
        <v>676</v>
      </c>
      <c r="L1543" s="16">
        <f>_xlfn.XLOOKUP(CustomerCombinedCleaned[[#This Row],[ID]], Table4[ID], Table4[Fruits], "Not Found", 0)</f>
        <v>69</v>
      </c>
      <c r="M1543" s="16">
        <f>_xlfn.XLOOKUP(CustomerCombinedCleaned[[#This Row],[ID]], Table4[ID], Table4[Meats], "Not Found", 0)</f>
        <v>960</v>
      </c>
      <c r="N1543" s="16">
        <f>_xlfn.XLOOKUP(CustomerCombinedCleaned[[#This Row],[ID]], Table4[ID], Table4[Seafood], "Not Found", 0)</f>
        <v>146</v>
      </c>
      <c r="O1543" s="16">
        <f>_xlfn.XLOOKUP(CustomerCombinedCleaned[[#This Row],[ID]], Table4[ID], Table4[Sweets], "Not Found", 0)</f>
        <v>76</v>
      </c>
      <c r="P1543" s="16">
        <f>_xlfn.XLOOKUP(CustomerCombinedCleaned[[#This Row],[ID]], Table4[ID], Table4[Premium], "Not Found", 0)</f>
        <v>463</v>
      </c>
      <c r="Q1543" s="16">
        <f>_xlfn.XLOOKUP(CustomerCombinedCleaned[[#This Row],[ID]], Table4[ID], Table4[Regular], "Not Found", 0)</f>
        <v>1465</v>
      </c>
      <c r="R1543" s="16">
        <f>_xlfn.XLOOKUP(CustomerCombinedCleaned[[#This Row],[ID]], Table4[ID], Table4[Deals], "Not Found", 0)</f>
        <v>1</v>
      </c>
      <c r="S1543" s="16">
        <f>_xlfn.XLOOKUP(CustomerCombinedCleaned[[#This Row],[ID]], Table4[ID], Table4[Website], "Not Found", 0)</f>
        <v>4</v>
      </c>
      <c r="T1543" s="16">
        <f>_xlfn.XLOOKUP(CustomerCombinedCleaned[[#This Row],[ID]], Table4[ID], Table4[Catalog], "Not Found", 0)</f>
        <v>5</v>
      </c>
      <c r="U1543" s="16">
        <f>_xlfn.XLOOKUP(CustomerCombinedCleaned[[#This Row],[ID]], Table4[ID], Table4[Store], "Not Found", 0)</f>
        <v>4</v>
      </c>
      <c r="V1543" s="16">
        <f>_xlfn.XLOOKUP(CustomerCombinedCleaned[[#This Row],[ID]], Table4[ID], Table4[Visits], "Not Found", 0)</f>
        <v>2</v>
      </c>
      <c r="W1543" s="16">
        <f>_xlfn.XLOOKUP(CustomerCombinedCleaned[[#This Row],[ID]], Table2[ID],Table2[Complaint], "Not Found", 0 )</f>
        <v>0</v>
      </c>
      <c r="X1543" s="16">
        <f>_xlfn.XLOOKUP(CustomerCombinedCleaned[[#This Row],[ID]], Table2[ID],Table2[Pilot], "Not Found", 0 )</f>
        <v>0</v>
      </c>
      <c r="Y1543" s="16">
        <f>_xlfn.XLOOKUP(CustomerCombinedCleaned[[#This Row],[ID]], Table2[ID],Table2[MC1], "Not Found", 0 )</f>
        <v>1</v>
      </c>
      <c r="Z1543" s="16">
        <f>_xlfn.XLOOKUP(CustomerCombinedCleaned[[#This Row],[ID]], Table2[ID],Table2[MC2], "Not Found", 0 )</f>
        <v>0</v>
      </c>
      <c r="AA1543" s="16">
        <f>_xlfn.XLOOKUP(CustomerCombinedCleaned[[#This Row],[ID]], Table2[ID],Table2[MC3], "Not Found", 0 )</f>
        <v>0</v>
      </c>
      <c r="AB1543" s="16">
        <f>_xlfn.XLOOKUP(CustomerCombinedCleaned[[#This Row],[ID]], Table2[ID],Table2[MC4], "Not Found", 0 )</f>
        <v>0</v>
      </c>
      <c r="AC1543" s="16">
        <f>_xlfn.XLOOKUP(CustomerCombinedCleaned[[#This Row],[ID]], Table2[ID],Table2[MC5], "Not Found", 0 )</f>
        <v>0</v>
      </c>
    </row>
    <row r="1544" spans="1:29" x14ac:dyDescent="0.3">
      <c r="A1544" s="18">
        <v>1398</v>
      </c>
      <c r="B1544" s="16">
        <v>175072</v>
      </c>
      <c r="C1544" s="16">
        <v>0</v>
      </c>
      <c r="D1544" s="16">
        <v>1</v>
      </c>
      <c r="E1544" s="16">
        <v>58</v>
      </c>
      <c r="F1544" s="17" t="s">
        <v>8</v>
      </c>
      <c r="G1544" s="17" t="s">
        <v>11</v>
      </c>
      <c r="H1544" s="3" t="s">
        <v>318</v>
      </c>
      <c r="I1544" s="5" t="s">
        <v>436</v>
      </c>
      <c r="J1544" s="16">
        <f>_xlfn.XLOOKUP(CustomerCombinedCleaned[[#This Row],[ID]], Table4[ID], Table4[Recency], "Not Found", 0)</f>
        <v>83</v>
      </c>
      <c r="K1544" s="16">
        <f>_xlfn.XLOOKUP(CustomerCombinedCleaned[[#This Row],[ID]], Table4[ID], Table4[Teas], "Not Found", 0)</f>
        <v>1360</v>
      </c>
      <c r="L1544" s="16">
        <f>_xlfn.XLOOKUP(CustomerCombinedCleaned[[#This Row],[ID]], Table4[ID], Table4[Fruits], "Not Found", 0)</f>
        <v>79</v>
      </c>
      <c r="M1544" s="16">
        <f>_xlfn.XLOOKUP(CustomerCombinedCleaned[[#This Row],[ID]], Table4[ID], Table4[Meats], "Not Found", 0)</f>
        <v>721</v>
      </c>
      <c r="N1544" s="16">
        <f>_xlfn.XLOOKUP(CustomerCombinedCleaned[[#This Row],[ID]], Table4[ID], Table4[Seafood], "Not Found", 0)</f>
        <v>0</v>
      </c>
      <c r="O1544" s="16">
        <f>_xlfn.XLOOKUP(CustomerCombinedCleaned[[#This Row],[ID]], Table4[ID], Table4[Sweets], "Not Found", 0)</f>
        <v>51</v>
      </c>
      <c r="P1544" s="16">
        <f>_xlfn.XLOOKUP(CustomerCombinedCleaned[[#This Row],[ID]], Table4[ID], Table4[Premium], "Not Found", 0)</f>
        <v>292</v>
      </c>
      <c r="Q1544" s="16">
        <f>_xlfn.XLOOKUP(CustomerCombinedCleaned[[#This Row],[ID]], Table4[ID], Table4[Regular], "Not Found", 0)</f>
        <v>1919</v>
      </c>
      <c r="R1544" s="16">
        <f>_xlfn.XLOOKUP(CustomerCombinedCleaned[[#This Row],[ID]], Table4[ID], Table4[Deals], "Not Found", 0)</f>
        <v>2</v>
      </c>
      <c r="S1544" s="16">
        <f>_xlfn.XLOOKUP(CustomerCombinedCleaned[[#This Row],[ID]], Table4[ID], Table4[Website], "Not Found", 0)</f>
        <v>5</v>
      </c>
      <c r="T1544" s="16">
        <f>_xlfn.XLOOKUP(CustomerCombinedCleaned[[#This Row],[ID]], Table4[ID], Table4[Catalog], "Not Found", 0)</f>
        <v>4</v>
      </c>
      <c r="U1544" s="16">
        <f>_xlfn.XLOOKUP(CustomerCombinedCleaned[[#This Row],[ID]], Table4[ID], Table4[Store], "Not Found", 0)</f>
        <v>8</v>
      </c>
      <c r="V1544" s="16">
        <f>_xlfn.XLOOKUP(CustomerCombinedCleaned[[#This Row],[ID]], Table4[ID], Table4[Visits], "Not Found", 0)</f>
        <v>3</v>
      </c>
      <c r="W1544" s="16">
        <f>_xlfn.XLOOKUP(CustomerCombinedCleaned[[#This Row],[ID]], Table2[ID],Table2[Complaint], "Not Found", 0 )</f>
        <v>0</v>
      </c>
      <c r="X1544" s="16">
        <f>_xlfn.XLOOKUP(CustomerCombinedCleaned[[#This Row],[ID]], Table2[ID],Table2[Pilot], "Not Found", 0 )</f>
        <v>0</v>
      </c>
      <c r="Y1544" s="16">
        <f>_xlfn.XLOOKUP(CustomerCombinedCleaned[[#This Row],[ID]], Table2[ID],Table2[MC1], "Not Found", 0 )</f>
        <v>0</v>
      </c>
      <c r="Z1544" s="16">
        <f>_xlfn.XLOOKUP(CustomerCombinedCleaned[[#This Row],[ID]], Table2[ID],Table2[MC2], "Not Found", 0 )</f>
        <v>0</v>
      </c>
      <c r="AA1544" s="16">
        <f>_xlfn.XLOOKUP(CustomerCombinedCleaned[[#This Row],[ID]], Table2[ID],Table2[MC3], "Not Found", 0 )</f>
        <v>0</v>
      </c>
      <c r="AB1544" s="16">
        <f>_xlfn.XLOOKUP(CustomerCombinedCleaned[[#This Row],[ID]], Table2[ID],Table2[MC4], "Not Found", 0 )</f>
        <v>0</v>
      </c>
      <c r="AC1544" s="16">
        <f>_xlfn.XLOOKUP(CustomerCombinedCleaned[[#This Row],[ID]], Table2[ID],Table2[MC5], "Not Found", 0 )</f>
        <v>0</v>
      </c>
    </row>
    <row r="1545" spans="1:29" x14ac:dyDescent="0.3">
      <c r="A1545" s="18">
        <v>2305</v>
      </c>
      <c r="B1545" s="16">
        <v>172828</v>
      </c>
      <c r="C1545" s="16">
        <v>0</v>
      </c>
      <c r="D1545" s="16">
        <v>1</v>
      </c>
      <c r="E1545" s="16">
        <v>58</v>
      </c>
      <c r="F1545" s="17" t="s">
        <v>6</v>
      </c>
      <c r="G1545" s="17" t="s">
        <v>12</v>
      </c>
      <c r="H1545" s="3" t="s">
        <v>309</v>
      </c>
      <c r="I1545" s="5" t="s">
        <v>437</v>
      </c>
      <c r="J1545" s="16">
        <f>_xlfn.XLOOKUP(CustomerCombinedCleaned[[#This Row],[ID]], Table4[ID], Table4[Recency], "Not Found", 0)</f>
        <v>17</v>
      </c>
      <c r="K1545" s="16">
        <f>_xlfn.XLOOKUP(CustomerCombinedCleaned[[#This Row],[ID]], Table4[ID], Table4[Teas], "Not Found", 0)</f>
        <v>2860</v>
      </c>
      <c r="L1545" s="16">
        <f>_xlfn.XLOOKUP(CustomerCombinedCleaned[[#This Row],[ID]], Table4[ID], Table4[Fruits], "Not Found", 0)</f>
        <v>0</v>
      </c>
      <c r="M1545" s="16">
        <f>_xlfn.XLOOKUP(CustomerCombinedCleaned[[#This Row],[ID]], Table4[ID], Table4[Meats], "Not Found", 0)</f>
        <v>558</v>
      </c>
      <c r="N1545" s="16">
        <f>_xlfn.XLOOKUP(CustomerCombinedCleaned[[#This Row],[ID]], Table4[ID], Table4[Seafood], "Not Found", 0)</f>
        <v>45</v>
      </c>
      <c r="O1545" s="16">
        <f>_xlfn.XLOOKUP(CustomerCombinedCleaned[[#This Row],[ID]], Table4[ID], Table4[Sweets], "Not Found", 0)</f>
        <v>33</v>
      </c>
      <c r="P1545" s="16">
        <f>_xlfn.XLOOKUP(CustomerCombinedCleaned[[#This Row],[ID]], Table4[ID], Table4[Premium], "Not Found", 0)</f>
        <v>486</v>
      </c>
      <c r="Q1545" s="16">
        <f>_xlfn.XLOOKUP(CustomerCombinedCleaned[[#This Row],[ID]], Table4[ID], Table4[Regular], "Not Found", 0)</f>
        <v>3009</v>
      </c>
      <c r="R1545" s="16">
        <f>_xlfn.XLOOKUP(CustomerCombinedCleaned[[#This Row],[ID]], Table4[ID], Table4[Deals], "Not Found", 0)</f>
        <v>6</v>
      </c>
      <c r="S1545" s="16">
        <f>_xlfn.XLOOKUP(CustomerCombinedCleaned[[#This Row],[ID]], Table4[ID], Table4[Website], "Not Found", 0)</f>
        <v>6</v>
      </c>
      <c r="T1545" s="16">
        <f>_xlfn.XLOOKUP(CustomerCombinedCleaned[[#This Row],[ID]], Table4[ID], Table4[Catalog], "Not Found", 0)</f>
        <v>3</v>
      </c>
      <c r="U1545" s="16">
        <f>_xlfn.XLOOKUP(CustomerCombinedCleaned[[#This Row],[ID]], Table4[ID], Table4[Store], "Not Found", 0)</f>
        <v>13</v>
      </c>
      <c r="V1545" s="16">
        <f>_xlfn.XLOOKUP(CustomerCombinedCleaned[[#This Row],[ID]], Table4[ID], Table4[Visits], "Not Found", 0)</f>
        <v>7</v>
      </c>
      <c r="W1545" s="16">
        <f>_xlfn.XLOOKUP(CustomerCombinedCleaned[[#This Row],[ID]], Table2[ID],Table2[Complaint], "Not Found", 0 )</f>
        <v>0</v>
      </c>
      <c r="X1545" s="16">
        <f>_xlfn.XLOOKUP(CustomerCombinedCleaned[[#This Row],[ID]], Table2[ID],Table2[Pilot], "Not Found", 0 )</f>
        <v>0</v>
      </c>
      <c r="Y1545" s="16">
        <f>_xlfn.XLOOKUP(CustomerCombinedCleaned[[#This Row],[ID]], Table2[ID],Table2[MC1], "Not Found", 0 )</f>
        <v>0</v>
      </c>
      <c r="Z1545" s="16">
        <f>_xlfn.XLOOKUP(CustomerCombinedCleaned[[#This Row],[ID]], Table2[ID],Table2[MC2], "Not Found", 0 )</f>
        <v>0</v>
      </c>
      <c r="AA1545" s="16">
        <f>_xlfn.XLOOKUP(CustomerCombinedCleaned[[#This Row],[ID]], Table2[ID],Table2[MC3], "Not Found", 0 )</f>
        <v>0</v>
      </c>
      <c r="AB1545" s="16">
        <f>_xlfn.XLOOKUP(CustomerCombinedCleaned[[#This Row],[ID]], Table2[ID],Table2[MC4], "Not Found", 0 )</f>
        <v>0</v>
      </c>
      <c r="AC1545" s="16">
        <f>_xlfn.XLOOKUP(CustomerCombinedCleaned[[#This Row],[ID]], Table2[ID],Table2[MC5], "Not Found", 0 )</f>
        <v>0</v>
      </c>
    </row>
    <row r="1546" spans="1:29" x14ac:dyDescent="0.3">
      <c r="A1546" s="18">
        <v>3087</v>
      </c>
      <c r="B1546" s="16">
        <v>172217</v>
      </c>
      <c r="C1546" s="16">
        <v>0</v>
      </c>
      <c r="D1546" s="16">
        <v>0</v>
      </c>
      <c r="E1546" s="16">
        <v>58</v>
      </c>
      <c r="F1546" s="17" t="s">
        <v>7</v>
      </c>
      <c r="G1546" s="17" t="s">
        <v>12</v>
      </c>
      <c r="H1546" s="3" t="s">
        <v>279</v>
      </c>
      <c r="I1546" s="5" t="s">
        <v>435</v>
      </c>
      <c r="J1546" s="16">
        <f>_xlfn.XLOOKUP(CustomerCombinedCleaned[[#This Row],[ID]], Table4[ID], Table4[Recency], "Not Found", 0)</f>
        <v>93</v>
      </c>
      <c r="K1546" s="16">
        <f>_xlfn.XLOOKUP(CustomerCombinedCleaned[[#This Row],[ID]], Table4[ID], Table4[Teas], "Not Found", 0)</f>
        <v>1946</v>
      </c>
      <c r="L1546" s="16">
        <f>_xlfn.XLOOKUP(CustomerCombinedCleaned[[#This Row],[ID]], Table4[ID], Table4[Fruits], "Not Found", 0)</f>
        <v>100</v>
      </c>
      <c r="M1546" s="16">
        <f>_xlfn.XLOOKUP(CustomerCombinedCleaned[[#This Row],[ID]], Table4[ID], Table4[Meats], "Not Found", 0)</f>
        <v>1073</v>
      </c>
      <c r="N1546" s="16">
        <f>_xlfn.XLOOKUP(CustomerCombinedCleaned[[#This Row],[ID]], Table4[ID], Table4[Seafood], "Not Found", 0)</f>
        <v>131</v>
      </c>
      <c r="O1546" s="16">
        <f>_xlfn.XLOOKUP(CustomerCombinedCleaned[[#This Row],[ID]], Table4[ID], Table4[Sweets], "Not Found", 0)</f>
        <v>134</v>
      </c>
      <c r="P1546" s="16">
        <f>_xlfn.XLOOKUP(CustomerCombinedCleaned[[#This Row],[ID]], Table4[ID], Table4[Premium], "Not Found", 0)</f>
        <v>367</v>
      </c>
      <c r="Q1546" s="16">
        <f>_xlfn.XLOOKUP(CustomerCombinedCleaned[[#This Row],[ID]], Table4[ID], Table4[Regular], "Not Found", 0)</f>
        <v>3017</v>
      </c>
      <c r="R1546" s="16">
        <f>_xlfn.XLOOKUP(CustomerCombinedCleaned[[#This Row],[ID]], Table4[ID], Table4[Deals], "Not Found", 0)</f>
        <v>1</v>
      </c>
      <c r="S1546" s="16">
        <f>_xlfn.XLOOKUP(CustomerCombinedCleaned[[#This Row],[ID]], Table4[ID], Table4[Website], "Not Found", 0)</f>
        <v>3</v>
      </c>
      <c r="T1546" s="16">
        <f>_xlfn.XLOOKUP(CustomerCombinedCleaned[[#This Row],[ID]], Table4[ID], Table4[Catalog], "Not Found", 0)</f>
        <v>10</v>
      </c>
      <c r="U1546" s="16">
        <f>_xlfn.XLOOKUP(CustomerCombinedCleaned[[#This Row],[ID]], Table4[ID], Table4[Store], "Not Found", 0)</f>
        <v>8</v>
      </c>
      <c r="V1546" s="16">
        <f>_xlfn.XLOOKUP(CustomerCombinedCleaned[[#This Row],[ID]], Table4[ID], Table4[Visits], "Not Found", 0)</f>
        <v>2</v>
      </c>
      <c r="W1546" s="16">
        <f>_xlfn.XLOOKUP(CustomerCombinedCleaned[[#This Row],[ID]], Table2[ID],Table2[Complaint], "Not Found", 0 )</f>
        <v>0</v>
      </c>
      <c r="X1546" s="16">
        <f>_xlfn.XLOOKUP(CustomerCombinedCleaned[[#This Row],[ID]], Table2[ID],Table2[Pilot], "Not Found", 0 )</f>
        <v>0</v>
      </c>
      <c r="Y1546" s="16">
        <f>_xlfn.XLOOKUP(CustomerCombinedCleaned[[#This Row],[ID]], Table2[ID],Table2[MC1], "Not Found", 0 )</f>
        <v>0</v>
      </c>
      <c r="Z1546" s="16">
        <f>_xlfn.XLOOKUP(CustomerCombinedCleaned[[#This Row],[ID]], Table2[ID],Table2[MC2], "Not Found", 0 )</f>
        <v>0</v>
      </c>
      <c r="AA1546" s="16">
        <f>_xlfn.XLOOKUP(CustomerCombinedCleaned[[#This Row],[ID]], Table2[ID],Table2[MC3], "Not Found", 0 )</f>
        <v>0</v>
      </c>
      <c r="AB1546" s="16">
        <f>_xlfn.XLOOKUP(CustomerCombinedCleaned[[#This Row],[ID]], Table2[ID],Table2[MC4], "Not Found", 0 )</f>
        <v>0</v>
      </c>
      <c r="AC1546" s="16">
        <f>_xlfn.XLOOKUP(CustomerCombinedCleaned[[#This Row],[ID]], Table2[ID],Table2[MC5], "Not Found", 0 )</f>
        <v>0</v>
      </c>
    </row>
    <row r="1547" spans="1:29" x14ac:dyDescent="0.3">
      <c r="A1547" s="18">
        <v>1352</v>
      </c>
      <c r="B1547" s="16">
        <v>172025</v>
      </c>
      <c r="C1547" s="16">
        <v>0</v>
      </c>
      <c r="D1547" s="16">
        <v>0</v>
      </c>
      <c r="E1547" s="16">
        <v>58</v>
      </c>
      <c r="F1547" s="17" t="s">
        <v>8</v>
      </c>
      <c r="G1547" s="17" t="s">
        <v>11</v>
      </c>
      <c r="H1547" s="3" t="s">
        <v>359</v>
      </c>
      <c r="I1547" s="5" t="s">
        <v>438</v>
      </c>
      <c r="J1547" s="16">
        <f>_xlfn.XLOOKUP(CustomerCombinedCleaned[[#This Row],[ID]], Table4[ID], Table4[Recency], "Not Found", 0)</f>
        <v>27</v>
      </c>
      <c r="K1547" s="16">
        <f>_xlfn.XLOOKUP(CustomerCombinedCleaned[[#This Row],[ID]], Table4[ID], Table4[Teas], "Not Found", 0)</f>
        <v>1990</v>
      </c>
      <c r="L1547" s="16">
        <f>_xlfn.XLOOKUP(CustomerCombinedCleaned[[#This Row],[ID]], Table4[ID], Table4[Fruits], "Not Found", 0)</f>
        <v>79</v>
      </c>
      <c r="M1547" s="16">
        <f>_xlfn.XLOOKUP(CustomerCombinedCleaned[[#This Row],[ID]], Table4[ID], Table4[Meats], "Not Found", 0)</f>
        <v>1311</v>
      </c>
      <c r="N1547" s="16">
        <f>_xlfn.XLOOKUP(CustomerCombinedCleaned[[#This Row],[ID]], Table4[ID], Table4[Seafood], "Not Found", 0)</f>
        <v>361</v>
      </c>
      <c r="O1547" s="16">
        <f>_xlfn.XLOOKUP(CustomerCombinedCleaned[[#This Row],[ID]], Table4[ID], Table4[Sweets], "Not Found", 0)</f>
        <v>318</v>
      </c>
      <c r="P1547" s="16">
        <f>_xlfn.XLOOKUP(CustomerCombinedCleaned[[#This Row],[ID]], Table4[ID], Table4[Premium], "Not Found", 0)</f>
        <v>556</v>
      </c>
      <c r="Q1547" s="16">
        <f>_xlfn.XLOOKUP(CustomerCombinedCleaned[[#This Row],[ID]], Table4[ID], Table4[Regular], "Not Found", 0)</f>
        <v>3501</v>
      </c>
      <c r="R1547" s="16">
        <f>_xlfn.XLOOKUP(CustomerCombinedCleaned[[#This Row],[ID]], Table4[ID], Table4[Deals], "Not Found", 0)</f>
        <v>1</v>
      </c>
      <c r="S1547" s="16">
        <f>_xlfn.XLOOKUP(CustomerCombinedCleaned[[#This Row],[ID]], Table4[ID], Table4[Website], "Not Found", 0)</f>
        <v>4</v>
      </c>
      <c r="T1547" s="16">
        <f>_xlfn.XLOOKUP(CustomerCombinedCleaned[[#This Row],[ID]], Table4[ID], Table4[Catalog], "Not Found", 0)</f>
        <v>3</v>
      </c>
      <c r="U1547" s="16">
        <f>_xlfn.XLOOKUP(CustomerCombinedCleaned[[#This Row],[ID]], Table4[ID], Table4[Store], "Not Found", 0)</f>
        <v>8</v>
      </c>
      <c r="V1547" s="16">
        <f>_xlfn.XLOOKUP(CustomerCombinedCleaned[[#This Row],[ID]], Table4[ID], Table4[Visits], "Not Found", 0)</f>
        <v>3</v>
      </c>
      <c r="W1547" s="16">
        <f>_xlfn.XLOOKUP(CustomerCombinedCleaned[[#This Row],[ID]], Table2[ID],Table2[Complaint], "Not Found", 0 )</f>
        <v>0</v>
      </c>
      <c r="X1547" s="16">
        <f>_xlfn.XLOOKUP(CustomerCombinedCleaned[[#This Row],[ID]], Table2[ID],Table2[Pilot], "Not Found", 0 )</f>
        <v>0</v>
      </c>
      <c r="Y1547" s="16">
        <f>_xlfn.XLOOKUP(CustomerCombinedCleaned[[#This Row],[ID]], Table2[ID],Table2[MC1], "Not Found", 0 )</f>
        <v>0</v>
      </c>
      <c r="Z1547" s="16">
        <f>_xlfn.XLOOKUP(CustomerCombinedCleaned[[#This Row],[ID]], Table2[ID],Table2[MC2], "Not Found", 0 )</f>
        <v>0</v>
      </c>
      <c r="AA1547" s="16">
        <f>_xlfn.XLOOKUP(CustomerCombinedCleaned[[#This Row],[ID]], Table2[ID],Table2[MC3], "Not Found", 0 )</f>
        <v>0</v>
      </c>
      <c r="AB1547" s="16">
        <f>_xlfn.XLOOKUP(CustomerCombinedCleaned[[#This Row],[ID]], Table2[ID],Table2[MC4], "Not Found", 0 )</f>
        <v>0</v>
      </c>
      <c r="AC1547" s="16">
        <f>_xlfn.XLOOKUP(CustomerCombinedCleaned[[#This Row],[ID]], Table2[ID],Table2[MC5], "Not Found", 0 )</f>
        <v>0</v>
      </c>
    </row>
    <row r="1548" spans="1:29" x14ac:dyDescent="0.3">
      <c r="A1548" s="18">
        <v>2936</v>
      </c>
      <c r="B1548" s="16">
        <v>171670</v>
      </c>
      <c r="C1548" s="16">
        <v>0</v>
      </c>
      <c r="D1548" s="16">
        <v>0</v>
      </c>
      <c r="E1548" s="16">
        <v>58</v>
      </c>
      <c r="F1548" s="17" t="s">
        <v>9</v>
      </c>
      <c r="G1548" s="17" t="s">
        <v>13</v>
      </c>
      <c r="H1548" s="3" t="s">
        <v>226</v>
      </c>
      <c r="I1548" s="5" t="s">
        <v>438</v>
      </c>
      <c r="J1548" s="16">
        <f>_xlfn.XLOOKUP(CustomerCombinedCleaned[[#This Row],[ID]], Table4[ID], Table4[Recency], "Not Found", 0)</f>
        <v>8</v>
      </c>
      <c r="K1548" s="16">
        <f>_xlfn.XLOOKUP(CustomerCombinedCleaned[[#This Row],[ID]], Table4[ID], Table4[Teas], "Not Found", 0)</f>
        <v>3502</v>
      </c>
      <c r="L1548" s="16">
        <f>_xlfn.XLOOKUP(CustomerCombinedCleaned[[#This Row],[ID]], Table4[ID], Table4[Fruits], "Not Found", 0)</f>
        <v>38</v>
      </c>
      <c r="M1548" s="16">
        <f>_xlfn.XLOOKUP(CustomerCombinedCleaned[[#This Row],[ID]], Table4[ID], Table4[Meats], "Not Found", 0)</f>
        <v>307</v>
      </c>
      <c r="N1548" s="16">
        <f>_xlfn.XLOOKUP(CustomerCombinedCleaned[[#This Row],[ID]], Table4[ID], Table4[Seafood], "Not Found", 0)</f>
        <v>0</v>
      </c>
      <c r="O1548" s="16">
        <f>_xlfn.XLOOKUP(CustomerCombinedCleaned[[#This Row],[ID]], Table4[ID], Table4[Sweets], "Not Found", 0)</f>
        <v>0</v>
      </c>
      <c r="P1548" s="16">
        <f>_xlfn.XLOOKUP(CustomerCombinedCleaned[[#This Row],[ID]], Table4[ID], Table4[Premium], "Not Found", 0)</f>
        <v>383</v>
      </c>
      <c r="Q1548" s="16">
        <f>_xlfn.XLOOKUP(CustomerCombinedCleaned[[#This Row],[ID]], Table4[ID], Table4[Regular], "Not Found", 0)</f>
        <v>3464</v>
      </c>
      <c r="R1548" s="16">
        <f>_xlfn.XLOOKUP(CustomerCombinedCleaned[[#This Row],[ID]], Table4[ID], Table4[Deals], "Not Found", 0)</f>
        <v>1</v>
      </c>
      <c r="S1548" s="16">
        <f>_xlfn.XLOOKUP(CustomerCombinedCleaned[[#This Row],[ID]], Table4[ID], Table4[Website], "Not Found", 0)</f>
        <v>5</v>
      </c>
      <c r="T1548" s="16">
        <f>_xlfn.XLOOKUP(CustomerCombinedCleaned[[#This Row],[ID]], Table4[ID], Table4[Catalog], "Not Found", 0)</f>
        <v>3</v>
      </c>
      <c r="U1548" s="16">
        <f>_xlfn.XLOOKUP(CustomerCombinedCleaned[[#This Row],[ID]], Table4[ID], Table4[Store], "Not Found", 0)</f>
        <v>6</v>
      </c>
      <c r="V1548" s="16">
        <f>_xlfn.XLOOKUP(CustomerCombinedCleaned[[#This Row],[ID]], Table4[ID], Table4[Visits], "Not Found", 0)</f>
        <v>6</v>
      </c>
      <c r="W1548" s="16">
        <f>_xlfn.XLOOKUP(CustomerCombinedCleaned[[#This Row],[ID]], Table2[ID],Table2[Complaint], "Not Found", 0 )</f>
        <v>0</v>
      </c>
      <c r="X1548" s="16">
        <f>_xlfn.XLOOKUP(CustomerCombinedCleaned[[#This Row],[ID]], Table2[ID],Table2[Pilot], "Not Found", 0 )</f>
        <v>1</v>
      </c>
      <c r="Y1548" s="16">
        <f>_xlfn.XLOOKUP(CustomerCombinedCleaned[[#This Row],[ID]], Table2[ID],Table2[MC1], "Not Found", 0 )</f>
        <v>0</v>
      </c>
      <c r="Z1548" s="16">
        <f>_xlfn.XLOOKUP(CustomerCombinedCleaned[[#This Row],[ID]], Table2[ID],Table2[MC2], "Not Found", 0 )</f>
        <v>1</v>
      </c>
      <c r="AA1548" s="16">
        <f>_xlfn.XLOOKUP(CustomerCombinedCleaned[[#This Row],[ID]], Table2[ID],Table2[MC3], "Not Found", 0 )</f>
        <v>0</v>
      </c>
      <c r="AB1548" s="16">
        <f>_xlfn.XLOOKUP(CustomerCombinedCleaned[[#This Row],[ID]], Table2[ID],Table2[MC4], "Not Found", 0 )</f>
        <v>1</v>
      </c>
      <c r="AC1548" s="16">
        <f>_xlfn.XLOOKUP(CustomerCombinedCleaned[[#This Row],[ID]], Table2[ID],Table2[MC5], "Not Found", 0 )</f>
        <v>1</v>
      </c>
    </row>
    <row r="1549" spans="1:29" x14ac:dyDescent="0.3">
      <c r="A1549" s="18">
        <v>2312</v>
      </c>
      <c r="B1549" s="16">
        <v>171434</v>
      </c>
      <c r="C1549" s="16">
        <v>0</v>
      </c>
      <c r="D1549" s="16">
        <v>1</v>
      </c>
      <c r="E1549" s="16">
        <v>58</v>
      </c>
      <c r="F1549" s="17" t="s">
        <v>6</v>
      </c>
      <c r="G1549" s="17" t="s">
        <v>11</v>
      </c>
      <c r="H1549" s="3" t="s">
        <v>181</v>
      </c>
      <c r="I1549" s="5" t="s">
        <v>438</v>
      </c>
      <c r="J1549" s="16">
        <f>_xlfn.XLOOKUP(CustomerCombinedCleaned[[#This Row],[ID]], Table4[ID], Table4[Recency], "Not Found", 0)</f>
        <v>4</v>
      </c>
      <c r="K1549" s="16">
        <f>_xlfn.XLOOKUP(CustomerCombinedCleaned[[#This Row],[ID]], Table4[ID], Table4[Teas], "Not Found", 0)</f>
        <v>1706</v>
      </c>
      <c r="L1549" s="16">
        <f>_xlfn.XLOOKUP(CustomerCombinedCleaned[[#This Row],[ID]], Table4[ID], Table4[Fruits], "Not Found", 0)</f>
        <v>86</v>
      </c>
      <c r="M1549" s="16">
        <f>_xlfn.XLOOKUP(CustomerCombinedCleaned[[#This Row],[ID]], Table4[ID], Table4[Meats], "Not Found", 0)</f>
        <v>521</v>
      </c>
      <c r="N1549" s="16">
        <f>_xlfn.XLOOKUP(CustomerCombinedCleaned[[#This Row],[ID]], Table4[ID], Table4[Seafood], "Not Found", 0)</f>
        <v>413</v>
      </c>
      <c r="O1549" s="16">
        <f>_xlfn.XLOOKUP(CustomerCombinedCleaned[[#This Row],[ID]], Table4[ID], Table4[Sweets], "Not Found", 0)</f>
        <v>230</v>
      </c>
      <c r="P1549" s="16">
        <f>_xlfn.XLOOKUP(CustomerCombinedCleaned[[#This Row],[ID]], Table4[ID], Table4[Premium], "Not Found", 0)</f>
        <v>403</v>
      </c>
      <c r="Q1549" s="16">
        <f>_xlfn.XLOOKUP(CustomerCombinedCleaned[[#This Row],[ID]], Table4[ID], Table4[Regular], "Not Found", 0)</f>
        <v>2553</v>
      </c>
      <c r="R1549" s="16">
        <f>_xlfn.XLOOKUP(CustomerCombinedCleaned[[#This Row],[ID]], Table4[ID], Table4[Deals], "Not Found", 0)</f>
        <v>3</v>
      </c>
      <c r="S1549" s="16">
        <f>_xlfn.XLOOKUP(CustomerCombinedCleaned[[#This Row],[ID]], Table4[ID], Table4[Website], "Not Found", 0)</f>
        <v>7</v>
      </c>
      <c r="T1549" s="16">
        <f>_xlfn.XLOOKUP(CustomerCombinedCleaned[[#This Row],[ID]], Table4[ID], Table4[Catalog], "Not Found", 0)</f>
        <v>4</v>
      </c>
      <c r="U1549" s="16">
        <f>_xlfn.XLOOKUP(CustomerCombinedCleaned[[#This Row],[ID]], Table4[ID], Table4[Store], "Not Found", 0)</f>
        <v>7</v>
      </c>
      <c r="V1549" s="16">
        <f>_xlfn.XLOOKUP(CustomerCombinedCleaned[[#This Row],[ID]], Table4[ID], Table4[Visits], "Not Found", 0)</f>
        <v>4</v>
      </c>
      <c r="W1549" s="16">
        <f>_xlfn.XLOOKUP(CustomerCombinedCleaned[[#This Row],[ID]], Table2[ID],Table2[Complaint], "Not Found", 0 )</f>
        <v>0</v>
      </c>
      <c r="X1549" s="16">
        <f>_xlfn.XLOOKUP(CustomerCombinedCleaned[[#This Row],[ID]], Table2[ID],Table2[Pilot], "Not Found", 0 )</f>
        <v>0</v>
      </c>
      <c r="Y1549" s="16">
        <f>_xlfn.XLOOKUP(CustomerCombinedCleaned[[#This Row],[ID]], Table2[ID],Table2[MC1], "Not Found", 0 )</f>
        <v>1</v>
      </c>
      <c r="Z1549" s="16">
        <f>_xlfn.XLOOKUP(CustomerCombinedCleaned[[#This Row],[ID]], Table2[ID],Table2[MC2], "Not Found", 0 )</f>
        <v>0</v>
      </c>
      <c r="AA1549" s="16">
        <f>_xlfn.XLOOKUP(CustomerCombinedCleaned[[#This Row],[ID]], Table2[ID],Table2[MC3], "Not Found", 0 )</f>
        <v>0</v>
      </c>
      <c r="AB1549" s="16">
        <f>_xlfn.XLOOKUP(CustomerCombinedCleaned[[#This Row],[ID]], Table2[ID],Table2[MC4], "Not Found", 0 )</f>
        <v>1</v>
      </c>
      <c r="AC1549" s="16">
        <f>_xlfn.XLOOKUP(CustomerCombinedCleaned[[#This Row],[ID]], Table2[ID],Table2[MC5], "Not Found", 0 )</f>
        <v>0</v>
      </c>
    </row>
    <row r="1550" spans="1:29" x14ac:dyDescent="0.3">
      <c r="A1550" s="18">
        <v>2335</v>
      </c>
      <c r="B1550" s="16">
        <v>169627</v>
      </c>
      <c r="C1550" s="16">
        <v>0</v>
      </c>
      <c r="D1550" s="16">
        <v>1</v>
      </c>
      <c r="E1550" s="16">
        <v>58</v>
      </c>
      <c r="F1550" s="17" t="s">
        <v>7</v>
      </c>
      <c r="G1550" s="17" t="s">
        <v>11</v>
      </c>
      <c r="H1550" s="3" t="s">
        <v>291</v>
      </c>
      <c r="I1550" s="5" t="s">
        <v>437</v>
      </c>
      <c r="J1550" s="16">
        <f>_xlfn.XLOOKUP(CustomerCombinedCleaned[[#This Row],[ID]], Table4[ID], Table4[Recency], "Not Found", 0)</f>
        <v>35</v>
      </c>
      <c r="K1550" s="16">
        <f>_xlfn.XLOOKUP(CustomerCombinedCleaned[[#This Row],[ID]], Table4[ID], Table4[Teas], "Not Found", 0)</f>
        <v>563</v>
      </c>
      <c r="L1550" s="16">
        <f>_xlfn.XLOOKUP(CustomerCombinedCleaned[[#This Row],[ID]], Table4[ID], Table4[Fruits], "Not Found", 0)</f>
        <v>392</v>
      </c>
      <c r="M1550" s="16">
        <f>_xlfn.XLOOKUP(CustomerCombinedCleaned[[#This Row],[ID]], Table4[ID], Table4[Meats], "Not Found", 0)</f>
        <v>524</v>
      </c>
      <c r="N1550" s="16">
        <f>_xlfn.XLOOKUP(CustomerCombinedCleaned[[#This Row],[ID]], Table4[ID], Table4[Seafood], "Not Found", 0)</f>
        <v>417</v>
      </c>
      <c r="O1550" s="16">
        <f>_xlfn.XLOOKUP(CustomerCombinedCleaned[[#This Row],[ID]], Table4[ID], Table4[Sweets], "Not Found", 0)</f>
        <v>73</v>
      </c>
      <c r="P1550" s="16">
        <f>_xlfn.XLOOKUP(CustomerCombinedCleaned[[#This Row],[ID]], Table4[ID], Table4[Premium], "Not Found", 0)</f>
        <v>129</v>
      </c>
      <c r="Q1550" s="16">
        <f>_xlfn.XLOOKUP(CustomerCombinedCleaned[[#This Row],[ID]], Table4[ID], Table4[Regular], "Not Found", 0)</f>
        <v>1839</v>
      </c>
      <c r="R1550" s="16">
        <f>_xlfn.XLOOKUP(CustomerCombinedCleaned[[#This Row],[ID]], Table4[ID], Table4[Deals], "Not Found", 0)</f>
        <v>2</v>
      </c>
      <c r="S1550" s="16">
        <f>_xlfn.XLOOKUP(CustomerCombinedCleaned[[#This Row],[ID]], Table4[ID], Table4[Website], "Not Found", 0)</f>
        <v>8</v>
      </c>
      <c r="T1550" s="16">
        <f>_xlfn.XLOOKUP(CustomerCombinedCleaned[[#This Row],[ID]], Table4[ID], Table4[Catalog], "Not Found", 0)</f>
        <v>2</v>
      </c>
      <c r="U1550" s="16">
        <f>_xlfn.XLOOKUP(CustomerCombinedCleaned[[#This Row],[ID]], Table4[ID], Table4[Store], "Not Found", 0)</f>
        <v>11</v>
      </c>
      <c r="V1550" s="16">
        <f>_xlfn.XLOOKUP(CustomerCombinedCleaned[[#This Row],[ID]], Table4[ID], Table4[Visits], "Not Found", 0)</f>
        <v>5</v>
      </c>
      <c r="W1550" s="16">
        <f>_xlfn.XLOOKUP(CustomerCombinedCleaned[[#This Row],[ID]], Table2[ID],Table2[Complaint], "Not Found", 0 )</f>
        <v>0</v>
      </c>
      <c r="X1550" s="16">
        <f>_xlfn.XLOOKUP(CustomerCombinedCleaned[[#This Row],[ID]], Table2[ID],Table2[Pilot], "Not Found", 0 )</f>
        <v>0</v>
      </c>
      <c r="Y1550" s="16">
        <f>_xlfn.XLOOKUP(CustomerCombinedCleaned[[#This Row],[ID]], Table2[ID],Table2[MC1], "Not Found", 0 )</f>
        <v>0</v>
      </c>
      <c r="Z1550" s="16">
        <f>_xlfn.XLOOKUP(CustomerCombinedCleaned[[#This Row],[ID]], Table2[ID],Table2[MC2], "Not Found", 0 )</f>
        <v>0</v>
      </c>
      <c r="AA1550" s="16">
        <f>_xlfn.XLOOKUP(CustomerCombinedCleaned[[#This Row],[ID]], Table2[ID],Table2[MC3], "Not Found", 0 )</f>
        <v>0</v>
      </c>
      <c r="AB1550" s="16">
        <f>_xlfn.XLOOKUP(CustomerCombinedCleaned[[#This Row],[ID]], Table2[ID],Table2[MC4], "Not Found", 0 )</f>
        <v>0</v>
      </c>
      <c r="AC1550" s="16">
        <f>_xlfn.XLOOKUP(CustomerCombinedCleaned[[#This Row],[ID]], Table2[ID],Table2[MC5], "Not Found", 0 )</f>
        <v>0</v>
      </c>
    </row>
    <row r="1551" spans="1:29" x14ac:dyDescent="0.3">
      <c r="A1551" s="18">
        <v>1550</v>
      </c>
      <c r="B1551" s="16">
        <v>166565</v>
      </c>
      <c r="C1551" s="16">
        <v>0</v>
      </c>
      <c r="D1551" s="16">
        <v>1</v>
      </c>
      <c r="E1551" s="16">
        <v>58</v>
      </c>
      <c r="F1551" s="17" t="s">
        <v>7</v>
      </c>
      <c r="G1551" s="17" t="s">
        <v>11</v>
      </c>
      <c r="H1551" s="3" t="s">
        <v>686</v>
      </c>
      <c r="I1551" s="5" t="s">
        <v>438</v>
      </c>
      <c r="J1551" s="16">
        <f>_xlfn.XLOOKUP(CustomerCombinedCleaned[[#This Row],[ID]], Table4[ID], Table4[Recency], "Not Found", 0)</f>
        <v>80</v>
      </c>
      <c r="K1551" s="16">
        <f>_xlfn.XLOOKUP(CustomerCombinedCleaned[[#This Row],[ID]], Table4[ID], Table4[Teas], "Not Found", 0)</f>
        <v>1869</v>
      </c>
      <c r="L1551" s="16">
        <f>_xlfn.XLOOKUP(CustomerCombinedCleaned[[#This Row],[ID]], Table4[ID], Table4[Fruits], "Not Found", 0)</f>
        <v>25</v>
      </c>
      <c r="M1551" s="16">
        <f>_xlfn.XLOOKUP(CustomerCombinedCleaned[[#This Row],[ID]], Table4[ID], Table4[Meats], "Not Found", 0)</f>
        <v>403</v>
      </c>
      <c r="N1551" s="16">
        <f>_xlfn.XLOOKUP(CustomerCombinedCleaned[[#This Row],[ID]], Table4[ID], Table4[Seafood], "Not Found", 0)</f>
        <v>163</v>
      </c>
      <c r="O1551" s="16">
        <f>_xlfn.XLOOKUP(CustomerCombinedCleaned[[#This Row],[ID]], Table4[ID], Table4[Sweets], "Not Found", 0)</f>
        <v>100</v>
      </c>
      <c r="P1551" s="16">
        <f>_xlfn.XLOOKUP(CustomerCombinedCleaned[[#This Row],[ID]], Table4[ID], Table4[Premium], "Not Found", 0)</f>
        <v>105</v>
      </c>
      <c r="Q1551" s="16">
        <f>_xlfn.XLOOKUP(CustomerCombinedCleaned[[#This Row],[ID]], Table4[ID], Table4[Regular], "Not Found", 0)</f>
        <v>2455</v>
      </c>
      <c r="R1551" s="16">
        <f>_xlfn.XLOOKUP(CustomerCombinedCleaned[[#This Row],[ID]], Table4[ID], Table4[Deals], "Not Found", 0)</f>
        <v>4</v>
      </c>
      <c r="S1551" s="16">
        <f>_xlfn.XLOOKUP(CustomerCombinedCleaned[[#This Row],[ID]], Table4[ID], Table4[Website], "Not Found", 0)</f>
        <v>4</v>
      </c>
      <c r="T1551" s="16">
        <f>_xlfn.XLOOKUP(CustomerCombinedCleaned[[#This Row],[ID]], Table4[ID], Table4[Catalog], "Not Found", 0)</f>
        <v>2</v>
      </c>
      <c r="U1551" s="16">
        <f>_xlfn.XLOOKUP(CustomerCombinedCleaned[[#This Row],[ID]], Table4[ID], Table4[Store], "Not Found", 0)</f>
        <v>9</v>
      </c>
      <c r="V1551" s="16">
        <f>_xlfn.XLOOKUP(CustomerCombinedCleaned[[#This Row],[ID]], Table4[ID], Table4[Visits], "Not Found", 0)</f>
        <v>8</v>
      </c>
      <c r="W1551" s="16">
        <f>_xlfn.XLOOKUP(CustomerCombinedCleaned[[#This Row],[ID]], Table2[ID],Table2[Complaint], "Not Found", 0 )</f>
        <v>0</v>
      </c>
      <c r="X1551" s="16">
        <f>_xlfn.XLOOKUP(CustomerCombinedCleaned[[#This Row],[ID]], Table2[ID],Table2[Pilot], "Not Found", 0 )</f>
        <v>0</v>
      </c>
      <c r="Y1551" s="16">
        <f>_xlfn.XLOOKUP(CustomerCombinedCleaned[[#This Row],[ID]], Table2[ID],Table2[MC1], "Not Found", 0 )</f>
        <v>0</v>
      </c>
      <c r="Z1551" s="16">
        <f>_xlfn.XLOOKUP(CustomerCombinedCleaned[[#This Row],[ID]], Table2[ID],Table2[MC2], "Not Found", 0 )</f>
        <v>0</v>
      </c>
      <c r="AA1551" s="16">
        <f>_xlfn.XLOOKUP(CustomerCombinedCleaned[[#This Row],[ID]], Table2[ID],Table2[MC3], "Not Found", 0 )</f>
        <v>0</v>
      </c>
      <c r="AB1551" s="16">
        <f>_xlfn.XLOOKUP(CustomerCombinedCleaned[[#This Row],[ID]], Table2[ID],Table2[MC4], "Not Found", 0 )</f>
        <v>0</v>
      </c>
      <c r="AC1551" s="16">
        <f>_xlfn.XLOOKUP(CustomerCombinedCleaned[[#This Row],[ID]], Table2[ID],Table2[MC5], "Not Found", 0 )</f>
        <v>0</v>
      </c>
    </row>
    <row r="1552" spans="1:29" x14ac:dyDescent="0.3">
      <c r="A1552" s="18">
        <v>1517</v>
      </c>
      <c r="B1552" s="16">
        <v>165316</v>
      </c>
      <c r="C1552" s="16">
        <v>1</v>
      </c>
      <c r="D1552" s="16">
        <v>1</v>
      </c>
      <c r="E1552" s="16">
        <v>58</v>
      </c>
      <c r="F1552" s="17" t="s">
        <v>6</v>
      </c>
      <c r="G1552" s="17" t="s">
        <v>11</v>
      </c>
      <c r="H1552" s="3" t="s">
        <v>265</v>
      </c>
      <c r="I1552" s="5" t="s">
        <v>434</v>
      </c>
      <c r="J1552" s="16">
        <f>_xlfn.XLOOKUP(CustomerCombinedCleaned[[#This Row],[ID]], Table4[ID], Table4[Recency], "Not Found", 0)</f>
        <v>65</v>
      </c>
      <c r="K1552" s="16">
        <f>_xlfn.XLOOKUP(CustomerCombinedCleaned[[#This Row],[ID]], Table4[ID], Table4[Teas], "Not Found", 0)</f>
        <v>283</v>
      </c>
      <c r="L1552" s="16">
        <f>_xlfn.XLOOKUP(CustomerCombinedCleaned[[#This Row],[ID]], Table4[ID], Table4[Fruits], "Not Found", 0)</f>
        <v>15</v>
      </c>
      <c r="M1552" s="16">
        <f>_xlfn.XLOOKUP(CustomerCombinedCleaned[[#This Row],[ID]], Table4[ID], Table4[Meats], "Not Found", 0)</f>
        <v>233</v>
      </c>
      <c r="N1552" s="16">
        <f>_xlfn.XLOOKUP(CustomerCombinedCleaned[[#This Row],[ID]], Table4[ID], Table4[Seafood], "Not Found", 0)</f>
        <v>8</v>
      </c>
      <c r="O1552" s="16">
        <f>_xlfn.XLOOKUP(CustomerCombinedCleaned[[#This Row],[ID]], Table4[ID], Table4[Sweets], "Not Found", 0)</f>
        <v>23</v>
      </c>
      <c r="P1552" s="16">
        <f>_xlfn.XLOOKUP(CustomerCombinedCleaned[[#This Row],[ID]], Table4[ID], Table4[Premium], "Not Found", 0)</f>
        <v>96</v>
      </c>
      <c r="Q1552" s="16">
        <f>_xlfn.XLOOKUP(CustomerCombinedCleaned[[#This Row],[ID]], Table4[ID], Table4[Regular], "Not Found", 0)</f>
        <v>466</v>
      </c>
      <c r="R1552" s="16">
        <f>_xlfn.XLOOKUP(CustomerCombinedCleaned[[#This Row],[ID]], Table4[ID], Table4[Deals], "Not Found", 0)</f>
        <v>2</v>
      </c>
      <c r="S1552" s="16">
        <f>_xlfn.XLOOKUP(CustomerCombinedCleaned[[#This Row],[ID]], Table4[ID], Table4[Website], "Not Found", 0)</f>
        <v>3</v>
      </c>
      <c r="T1552" s="16">
        <f>_xlfn.XLOOKUP(CustomerCombinedCleaned[[#This Row],[ID]], Table4[ID], Table4[Catalog], "Not Found", 0)</f>
        <v>2</v>
      </c>
      <c r="U1552" s="16">
        <f>_xlfn.XLOOKUP(CustomerCombinedCleaned[[#This Row],[ID]], Table4[ID], Table4[Store], "Not Found", 0)</f>
        <v>5</v>
      </c>
      <c r="V1552" s="16">
        <f>_xlfn.XLOOKUP(CustomerCombinedCleaned[[#This Row],[ID]], Table4[ID], Table4[Visits], "Not Found", 0)</f>
        <v>4</v>
      </c>
      <c r="W1552" s="16">
        <f>_xlfn.XLOOKUP(CustomerCombinedCleaned[[#This Row],[ID]], Table2[ID],Table2[Complaint], "Not Found", 0 )</f>
        <v>0</v>
      </c>
      <c r="X1552" s="16">
        <f>_xlfn.XLOOKUP(CustomerCombinedCleaned[[#This Row],[ID]], Table2[ID],Table2[Pilot], "Not Found", 0 )</f>
        <v>0</v>
      </c>
      <c r="Y1552" s="16">
        <f>_xlfn.XLOOKUP(CustomerCombinedCleaned[[#This Row],[ID]], Table2[ID],Table2[MC1], "Not Found", 0 )</f>
        <v>0</v>
      </c>
      <c r="Z1552" s="16">
        <f>_xlfn.XLOOKUP(CustomerCombinedCleaned[[#This Row],[ID]], Table2[ID],Table2[MC2], "Not Found", 0 )</f>
        <v>0</v>
      </c>
      <c r="AA1552" s="16">
        <f>_xlfn.XLOOKUP(CustomerCombinedCleaned[[#This Row],[ID]], Table2[ID],Table2[MC3], "Not Found", 0 )</f>
        <v>0</v>
      </c>
      <c r="AB1552" s="16">
        <f>_xlfn.XLOOKUP(CustomerCombinedCleaned[[#This Row],[ID]], Table2[ID],Table2[MC4], "Not Found", 0 )</f>
        <v>0</v>
      </c>
      <c r="AC1552" s="16">
        <f>_xlfn.XLOOKUP(CustomerCombinedCleaned[[#This Row],[ID]], Table2[ID],Table2[MC5], "Not Found", 0 )</f>
        <v>0</v>
      </c>
    </row>
    <row r="1553" spans="1:29" x14ac:dyDescent="0.3">
      <c r="A1553" s="18">
        <v>1212</v>
      </c>
      <c r="B1553" s="16">
        <v>163887</v>
      </c>
      <c r="C1553" s="16">
        <v>0</v>
      </c>
      <c r="D1553" s="16">
        <v>1</v>
      </c>
      <c r="E1553" s="16">
        <v>58</v>
      </c>
      <c r="F1553" s="17" t="s">
        <v>5</v>
      </c>
      <c r="G1553" s="17" t="s">
        <v>11</v>
      </c>
      <c r="H1553" s="3" t="s">
        <v>401</v>
      </c>
      <c r="I1553" s="5" t="s">
        <v>436</v>
      </c>
      <c r="J1553" s="16">
        <f>_xlfn.XLOOKUP(CustomerCombinedCleaned[[#This Row],[ID]], Table4[ID], Table4[Recency], "Not Found", 0)</f>
        <v>38</v>
      </c>
      <c r="K1553" s="16">
        <f>_xlfn.XLOOKUP(CustomerCombinedCleaned[[#This Row],[ID]], Table4[ID], Table4[Teas], "Not Found", 0)</f>
        <v>2301</v>
      </c>
      <c r="L1553" s="16">
        <f>_xlfn.XLOOKUP(CustomerCombinedCleaned[[#This Row],[ID]], Table4[ID], Table4[Fruits], "Not Found", 0)</f>
        <v>59</v>
      </c>
      <c r="M1553" s="16">
        <f>_xlfn.XLOOKUP(CustomerCombinedCleaned[[#This Row],[ID]], Table4[ID], Table4[Meats], "Not Found", 0)</f>
        <v>531</v>
      </c>
      <c r="N1553" s="16">
        <f>_xlfn.XLOOKUP(CustomerCombinedCleaned[[#This Row],[ID]], Table4[ID], Table4[Seafood], "Not Found", 0)</f>
        <v>38</v>
      </c>
      <c r="O1553" s="16">
        <f>_xlfn.XLOOKUP(CustomerCombinedCleaned[[#This Row],[ID]], Table4[ID], Table4[Sweets], "Not Found", 0)</f>
        <v>28</v>
      </c>
      <c r="P1553" s="16">
        <f>_xlfn.XLOOKUP(CustomerCombinedCleaned[[#This Row],[ID]], Table4[ID], Table4[Premium], "Not Found", 0)</f>
        <v>236</v>
      </c>
      <c r="Q1553" s="16">
        <f>_xlfn.XLOOKUP(CustomerCombinedCleaned[[#This Row],[ID]], Table4[ID], Table4[Regular], "Not Found", 0)</f>
        <v>2722</v>
      </c>
      <c r="R1553" s="16">
        <f>_xlfn.XLOOKUP(CustomerCombinedCleaned[[#This Row],[ID]], Table4[ID], Table4[Deals], "Not Found", 0)</f>
        <v>5</v>
      </c>
      <c r="S1553" s="16">
        <f>_xlfn.XLOOKUP(CustomerCombinedCleaned[[#This Row],[ID]], Table4[ID], Table4[Website], "Not Found", 0)</f>
        <v>9</v>
      </c>
      <c r="T1553" s="16">
        <f>_xlfn.XLOOKUP(CustomerCombinedCleaned[[#This Row],[ID]], Table4[ID], Table4[Catalog], "Not Found", 0)</f>
        <v>6</v>
      </c>
      <c r="U1553" s="16">
        <f>_xlfn.XLOOKUP(CustomerCombinedCleaned[[#This Row],[ID]], Table4[ID], Table4[Store], "Not Found", 0)</f>
        <v>12</v>
      </c>
      <c r="V1553" s="16">
        <f>_xlfn.XLOOKUP(CustomerCombinedCleaned[[#This Row],[ID]], Table4[ID], Table4[Visits], "Not Found", 0)</f>
        <v>6</v>
      </c>
      <c r="W1553" s="16">
        <f>_xlfn.XLOOKUP(CustomerCombinedCleaned[[#This Row],[ID]], Table2[ID],Table2[Complaint], "Not Found", 0 )</f>
        <v>0</v>
      </c>
      <c r="X1553" s="16">
        <f>_xlfn.XLOOKUP(CustomerCombinedCleaned[[#This Row],[ID]], Table2[ID],Table2[Pilot], "Not Found", 0 )</f>
        <v>0</v>
      </c>
      <c r="Y1553" s="16">
        <f>_xlfn.XLOOKUP(CustomerCombinedCleaned[[#This Row],[ID]], Table2[ID],Table2[MC1], "Not Found", 0 )</f>
        <v>0</v>
      </c>
      <c r="Z1553" s="16">
        <f>_xlfn.XLOOKUP(CustomerCombinedCleaned[[#This Row],[ID]], Table2[ID],Table2[MC2], "Not Found", 0 )</f>
        <v>0</v>
      </c>
      <c r="AA1553" s="16">
        <f>_xlfn.XLOOKUP(CustomerCombinedCleaned[[#This Row],[ID]], Table2[ID],Table2[MC3], "Not Found", 0 )</f>
        <v>0</v>
      </c>
      <c r="AB1553" s="16">
        <f>_xlfn.XLOOKUP(CustomerCombinedCleaned[[#This Row],[ID]], Table2[ID],Table2[MC4], "Not Found", 0 )</f>
        <v>0</v>
      </c>
      <c r="AC1553" s="16">
        <f>_xlfn.XLOOKUP(CustomerCombinedCleaned[[#This Row],[ID]], Table2[ID],Table2[MC5], "Not Found", 0 )</f>
        <v>0</v>
      </c>
    </row>
    <row r="1554" spans="1:29" x14ac:dyDescent="0.3">
      <c r="A1554" s="18">
        <v>2795</v>
      </c>
      <c r="B1554" s="16">
        <v>162568</v>
      </c>
      <c r="C1554" s="16">
        <v>0</v>
      </c>
      <c r="D1554" s="16">
        <v>1</v>
      </c>
      <c r="E1554" s="16">
        <v>58</v>
      </c>
      <c r="F1554" s="17" t="s">
        <v>8</v>
      </c>
      <c r="G1554" s="17" t="s">
        <v>11</v>
      </c>
      <c r="H1554" s="3" t="s">
        <v>659</v>
      </c>
      <c r="I1554" s="5" t="s">
        <v>434</v>
      </c>
      <c r="J1554" s="16">
        <f>_xlfn.XLOOKUP(CustomerCombinedCleaned[[#This Row],[ID]], Table4[ID], Table4[Recency], "Not Found", 0)</f>
        <v>99</v>
      </c>
      <c r="K1554" s="16">
        <f>_xlfn.XLOOKUP(CustomerCombinedCleaned[[#This Row],[ID]], Table4[ID], Table4[Teas], "Not Found", 0)</f>
        <v>941</v>
      </c>
      <c r="L1554" s="16">
        <f>_xlfn.XLOOKUP(CustomerCombinedCleaned[[#This Row],[ID]], Table4[ID], Table4[Fruits], "Not Found", 0)</f>
        <v>44</v>
      </c>
      <c r="M1554" s="16">
        <f>_xlfn.XLOOKUP(CustomerCombinedCleaned[[#This Row],[ID]], Table4[ID], Table4[Meats], "Not Found", 0)</f>
        <v>1034</v>
      </c>
      <c r="N1554" s="16">
        <f>_xlfn.XLOOKUP(CustomerCombinedCleaned[[#This Row],[ID]], Table4[ID], Table4[Seafood], "Not Found", 0)</f>
        <v>208</v>
      </c>
      <c r="O1554" s="16">
        <f>_xlfn.XLOOKUP(CustomerCombinedCleaned[[#This Row],[ID]], Table4[ID], Table4[Sweets], "Not Found", 0)</f>
        <v>91</v>
      </c>
      <c r="P1554" s="16">
        <f>_xlfn.XLOOKUP(CustomerCombinedCleaned[[#This Row],[ID]], Table4[ID], Table4[Premium], "Not Found", 0)</f>
        <v>158</v>
      </c>
      <c r="Q1554" s="16">
        <f>_xlfn.XLOOKUP(CustomerCombinedCleaned[[#This Row],[ID]], Table4[ID], Table4[Regular], "Not Found", 0)</f>
        <v>2159</v>
      </c>
      <c r="R1554" s="16">
        <f>_xlfn.XLOOKUP(CustomerCombinedCleaned[[#This Row],[ID]], Table4[ID], Table4[Deals], "Not Found", 0)</f>
        <v>3</v>
      </c>
      <c r="S1554" s="16">
        <f>_xlfn.XLOOKUP(CustomerCombinedCleaned[[#This Row],[ID]], Table4[ID], Table4[Website], "Not Found", 0)</f>
        <v>5</v>
      </c>
      <c r="T1554" s="16">
        <f>_xlfn.XLOOKUP(CustomerCombinedCleaned[[#This Row],[ID]], Table4[ID], Table4[Catalog], "Not Found", 0)</f>
        <v>3</v>
      </c>
      <c r="U1554" s="16">
        <f>_xlfn.XLOOKUP(CustomerCombinedCleaned[[#This Row],[ID]], Table4[ID], Table4[Store], "Not Found", 0)</f>
        <v>5</v>
      </c>
      <c r="V1554" s="16">
        <f>_xlfn.XLOOKUP(CustomerCombinedCleaned[[#This Row],[ID]], Table4[ID], Table4[Visits], "Not Found", 0)</f>
        <v>4</v>
      </c>
      <c r="W1554" s="16">
        <f>_xlfn.XLOOKUP(CustomerCombinedCleaned[[#This Row],[ID]], Table2[ID],Table2[Complaint], "Not Found", 0 )</f>
        <v>0</v>
      </c>
      <c r="X1554" s="16">
        <f>_xlfn.XLOOKUP(CustomerCombinedCleaned[[#This Row],[ID]], Table2[ID],Table2[Pilot], "Not Found", 0 )</f>
        <v>0</v>
      </c>
      <c r="Y1554" s="16">
        <f>_xlfn.XLOOKUP(CustomerCombinedCleaned[[#This Row],[ID]], Table2[ID],Table2[MC1], "Not Found", 0 )</f>
        <v>1</v>
      </c>
      <c r="Z1554" s="16">
        <f>_xlfn.XLOOKUP(CustomerCombinedCleaned[[#This Row],[ID]], Table2[ID],Table2[MC2], "Not Found", 0 )</f>
        <v>0</v>
      </c>
      <c r="AA1554" s="16">
        <f>_xlfn.XLOOKUP(CustomerCombinedCleaned[[#This Row],[ID]], Table2[ID],Table2[MC3], "Not Found", 0 )</f>
        <v>0</v>
      </c>
      <c r="AB1554" s="16">
        <f>_xlfn.XLOOKUP(CustomerCombinedCleaned[[#This Row],[ID]], Table2[ID],Table2[MC4], "Not Found", 0 )</f>
        <v>0</v>
      </c>
      <c r="AC1554" s="16">
        <f>_xlfn.XLOOKUP(CustomerCombinedCleaned[[#This Row],[ID]], Table2[ID],Table2[MC5], "Not Found", 0 )</f>
        <v>0</v>
      </c>
    </row>
    <row r="1555" spans="1:29" x14ac:dyDescent="0.3">
      <c r="A1555" s="18">
        <v>1479</v>
      </c>
      <c r="B1555" s="16">
        <v>159432</v>
      </c>
      <c r="C1555" s="16">
        <v>0</v>
      </c>
      <c r="D1555" s="16">
        <v>1</v>
      </c>
      <c r="E1555" s="16">
        <v>58</v>
      </c>
      <c r="F1555" s="17" t="s">
        <v>5</v>
      </c>
      <c r="G1555" s="17" t="s">
        <v>12</v>
      </c>
      <c r="H1555" s="3" t="s">
        <v>276</v>
      </c>
      <c r="I1555" s="5" t="s">
        <v>435</v>
      </c>
      <c r="J1555" s="16">
        <f>_xlfn.XLOOKUP(CustomerCombinedCleaned[[#This Row],[ID]], Table4[ID], Table4[Recency], "Not Found", 0)</f>
        <v>88</v>
      </c>
      <c r="K1555" s="16">
        <f>_xlfn.XLOOKUP(CustomerCombinedCleaned[[#This Row],[ID]], Table4[ID], Table4[Teas], "Not Found", 0)</f>
        <v>850</v>
      </c>
      <c r="L1555" s="16">
        <f>_xlfn.XLOOKUP(CustomerCombinedCleaned[[#This Row],[ID]], Table4[ID], Table4[Fruits], "Not Found", 0)</f>
        <v>67</v>
      </c>
      <c r="M1555" s="16">
        <f>_xlfn.XLOOKUP(CustomerCombinedCleaned[[#This Row],[ID]], Table4[ID], Table4[Meats], "Not Found", 0)</f>
        <v>711</v>
      </c>
      <c r="N1555" s="16">
        <f>_xlfn.XLOOKUP(CustomerCombinedCleaned[[#This Row],[ID]], Table4[ID], Table4[Seafood], "Not Found", 0)</f>
        <v>67</v>
      </c>
      <c r="O1555" s="16">
        <f>_xlfn.XLOOKUP(CustomerCombinedCleaned[[#This Row],[ID]], Table4[ID], Table4[Sweets], "Not Found", 0)</f>
        <v>51</v>
      </c>
      <c r="P1555" s="16">
        <f>_xlfn.XLOOKUP(CustomerCombinedCleaned[[#This Row],[ID]], Table4[ID], Table4[Premium], "Not Found", 0)</f>
        <v>32</v>
      </c>
      <c r="Q1555" s="16">
        <f>_xlfn.XLOOKUP(CustomerCombinedCleaned[[#This Row],[ID]], Table4[ID], Table4[Regular], "Not Found", 0)</f>
        <v>1714</v>
      </c>
      <c r="R1555" s="16">
        <f>_xlfn.XLOOKUP(CustomerCombinedCleaned[[#This Row],[ID]], Table4[ID], Table4[Deals], "Not Found", 0)</f>
        <v>3</v>
      </c>
      <c r="S1555" s="16">
        <f>_xlfn.XLOOKUP(CustomerCombinedCleaned[[#This Row],[ID]], Table4[ID], Table4[Website], "Not Found", 0)</f>
        <v>5</v>
      </c>
      <c r="T1555" s="16">
        <f>_xlfn.XLOOKUP(CustomerCombinedCleaned[[#This Row],[ID]], Table4[ID], Table4[Catalog], "Not Found", 0)</f>
        <v>3</v>
      </c>
      <c r="U1555" s="16">
        <f>_xlfn.XLOOKUP(CustomerCombinedCleaned[[#This Row],[ID]], Table4[ID], Table4[Store], "Not Found", 0)</f>
        <v>11</v>
      </c>
      <c r="V1555" s="16">
        <f>_xlfn.XLOOKUP(CustomerCombinedCleaned[[#This Row],[ID]], Table4[ID], Table4[Visits], "Not Found", 0)</f>
        <v>5</v>
      </c>
      <c r="W1555" s="16">
        <f>_xlfn.XLOOKUP(CustomerCombinedCleaned[[#This Row],[ID]], Table2[ID],Table2[Complaint], "Not Found", 0 )</f>
        <v>0</v>
      </c>
      <c r="X1555" s="16">
        <f>_xlfn.XLOOKUP(CustomerCombinedCleaned[[#This Row],[ID]], Table2[ID],Table2[Pilot], "Not Found", 0 )</f>
        <v>0</v>
      </c>
      <c r="Y1555" s="16">
        <f>_xlfn.XLOOKUP(CustomerCombinedCleaned[[#This Row],[ID]], Table2[ID],Table2[MC1], "Not Found", 0 )</f>
        <v>0</v>
      </c>
      <c r="Z1555" s="16">
        <f>_xlfn.XLOOKUP(CustomerCombinedCleaned[[#This Row],[ID]], Table2[ID],Table2[MC2], "Not Found", 0 )</f>
        <v>0</v>
      </c>
      <c r="AA1555" s="16">
        <f>_xlfn.XLOOKUP(CustomerCombinedCleaned[[#This Row],[ID]], Table2[ID],Table2[MC3], "Not Found", 0 )</f>
        <v>0</v>
      </c>
      <c r="AB1555" s="16">
        <f>_xlfn.XLOOKUP(CustomerCombinedCleaned[[#This Row],[ID]], Table2[ID],Table2[MC4], "Not Found", 0 )</f>
        <v>0</v>
      </c>
      <c r="AC1555" s="16">
        <f>_xlfn.XLOOKUP(CustomerCombinedCleaned[[#This Row],[ID]], Table2[ID],Table2[MC5], "Not Found", 0 )</f>
        <v>0</v>
      </c>
    </row>
    <row r="1556" spans="1:29" x14ac:dyDescent="0.3">
      <c r="A1556" s="18">
        <v>1653</v>
      </c>
      <c r="B1556" s="16">
        <v>159247</v>
      </c>
      <c r="C1556" s="16">
        <v>0</v>
      </c>
      <c r="D1556" s="16">
        <v>2</v>
      </c>
      <c r="E1556" s="16">
        <v>58</v>
      </c>
      <c r="F1556" s="17" t="s">
        <v>7</v>
      </c>
      <c r="G1556" s="17" t="s">
        <v>12</v>
      </c>
      <c r="H1556" s="3" t="s">
        <v>155</v>
      </c>
      <c r="I1556" s="5" t="s">
        <v>435</v>
      </c>
      <c r="J1556" s="16">
        <f>_xlfn.XLOOKUP(CustomerCombinedCleaned[[#This Row],[ID]], Table4[ID], Table4[Recency], "Not Found", 0)</f>
        <v>87</v>
      </c>
      <c r="K1556" s="16">
        <f>_xlfn.XLOOKUP(CustomerCombinedCleaned[[#This Row],[ID]], Table4[ID], Table4[Teas], "Not Found", 0)</f>
        <v>879</v>
      </c>
      <c r="L1556" s="16">
        <f>_xlfn.XLOOKUP(CustomerCombinedCleaned[[#This Row],[ID]], Table4[ID], Table4[Fruits], "Not Found", 0)</f>
        <v>24</v>
      </c>
      <c r="M1556" s="16">
        <f>_xlfn.XLOOKUP(CustomerCombinedCleaned[[#This Row],[ID]], Table4[ID], Table4[Meats], "Not Found", 0)</f>
        <v>328</v>
      </c>
      <c r="N1556" s="16">
        <f>_xlfn.XLOOKUP(CustomerCombinedCleaned[[#This Row],[ID]], Table4[ID], Table4[Seafood], "Not Found", 0)</f>
        <v>51</v>
      </c>
      <c r="O1556" s="16">
        <f>_xlfn.XLOOKUP(CustomerCombinedCleaned[[#This Row],[ID]], Table4[ID], Table4[Sweets], "Not Found", 0)</f>
        <v>38</v>
      </c>
      <c r="P1556" s="16">
        <f>_xlfn.XLOOKUP(CustomerCombinedCleaned[[#This Row],[ID]], Table4[ID], Table4[Premium], "Not Found", 0)</f>
        <v>223</v>
      </c>
      <c r="Q1556" s="16">
        <f>_xlfn.XLOOKUP(CustomerCombinedCleaned[[#This Row],[ID]], Table4[ID], Table4[Regular], "Not Found", 0)</f>
        <v>1097</v>
      </c>
      <c r="R1556" s="16">
        <f>_xlfn.XLOOKUP(CustomerCombinedCleaned[[#This Row],[ID]], Table4[ID], Table4[Deals], "Not Found", 0)</f>
        <v>5</v>
      </c>
      <c r="S1556" s="16">
        <f>_xlfn.XLOOKUP(CustomerCombinedCleaned[[#This Row],[ID]], Table4[ID], Table4[Website], "Not Found", 0)</f>
        <v>5</v>
      </c>
      <c r="T1556" s="16">
        <f>_xlfn.XLOOKUP(CustomerCombinedCleaned[[#This Row],[ID]], Table4[ID], Table4[Catalog], "Not Found", 0)</f>
        <v>2</v>
      </c>
      <c r="U1556" s="16">
        <f>_xlfn.XLOOKUP(CustomerCombinedCleaned[[#This Row],[ID]], Table4[ID], Table4[Store], "Not Found", 0)</f>
        <v>9</v>
      </c>
      <c r="V1556" s="16">
        <f>_xlfn.XLOOKUP(CustomerCombinedCleaned[[#This Row],[ID]], Table4[ID], Table4[Visits], "Not Found", 0)</f>
        <v>6</v>
      </c>
      <c r="W1556" s="16">
        <f>_xlfn.XLOOKUP(CustomerCombinedCleaned[[#This Row],[ID]], Table2[ID],Table2[Complaint], "Not Found", 0 )</f>
        <v>0</v>
      </c>
      <c r="X1556" s="16">
        <f>_xlfn.XLOOKUP(CustomerCombinedCleaned[[#This Row],[ID]], Table2[ID],Table2[Pilot], "Not Found", 0 )</f>
        <v>0</v>
      </c>
      <c r="Y1556" s="16">
        <f>_xlfn.XLOOKUP(CustomerCombinedCleaned[[#This Row],[ID]], Table2[ID],Table2[MC1], "Not Found", 0 )</f>
        <v>0</v>
      </c>
      <c r="Z1556" s="16">
        <f>_xlfn.XLOOKUP(CustomerCombinedCleaned[[#This Row],[ID]], Table2[ID],Table2[MC2], "Not Found", 0 )</f>
        <v>0</v>
      </c>
      <c r="AA1556" s="16">
        <f>_xlfn.XLOOKUP(CustomerCombinedCleaned[[#This Row],[ID]], Table2[ID],Table2[MC3], "Not Found", 0 )</f>
        <v>0</v>
      </c>
      <c r="AB1556" s="16">
        <f>_xlfn.XLOOKUP(CustomerCombinedCleaned[[#This Row],[ID]], Table2[ID],Table2[MC4], "Not Found", 0 )</f>
        <v>0</v>
      </c>
      <c r="AC1556" s="16">
        <f>_xlfn.XLOOKUP(CustomerCombinedCleaned[[#This Row],[ID]], Table2[ID],Table2[MC5], "Not Found", 0 )</f>
        <v>0</v>
      </c>
    </row>
    <row r="1557" spans="1:29" x14ac:dyDescent="0.3">
      <c r="A1557" s="18">
        <v>2958</v>
      </c>
      <c r="B1557" s="16">
        <v>158646</v>
      </c>
      <c r="C1557" s="16">
        <v>0</v>
      </c>
      <c r="D1557" s="16">
        <v>1</v>
      </c>
      <c r="E1557" s="16">
        <v>58</v>
      </c>
      <c r="F1557" s="17" t="s">
        <v>6</v>
      </c>
      <c r="G1557" s="17" t="s">
        <v>12</v>
      </c>
      <c r="H1557" s="3" t="s">
        <v>242</v>
      </c>
      <c r="I1557" s="5" t="s">
        <v>436</v>
      </c>
      <c r="J1557" s="16">
        <f>_xlfn.XLOOKUP(CustomerCombinedCleaned[[#This Row],[ID]], Table4[ID], Table4[Recency], "Not Found", 0)</f>
        <v>3</v>
      </c>
      <c r="K1557" s="16">
        <f>_xlfn.XLOOKUP(CustomerCombinedCleaned[[#This Row],[ID]], Table4[ID], Table4[Teas], "Not Found", 0)</f>
        <v>168</v>
      </c>
      <c r="L1557" s="16">
        <f>_xlfn.XLOOKUP(CustomerCombinedCleaned[[#This Row],[ID]], Table4[ID], Table4[Fruits], "Not Found", 0)</f>
        <v>3</v>
      </c>
      <c r="M1557" s="16">
        <f>_xlfn.XLOOKUP(CustomerCombinedCleaned[[#This Row],[ID]], Table4[ID], Table4[Meats], "Not Found", 0)</f>
        <v>119</v>
      </c>
      <c r="N1557" s="16">
        <f>_xlfn.XLOOKUP(CustomerCombinedCleaned[[#This Row],[ID]], Table4[ID], Table4[Seafood], "Not Found", 0)</f>
        <v>16</v>
      </c>
      <c r="O1557" s="16">
        <f>_xlfn.XLOOKUP(CustomerCombinedCleaned[[#This Row],[ID]], Table4[ID], Table4[Sweets], "Not Found", 0)</f>
        <v>14</v>
      </c>
      <c r="P1557" s="16">
        <f>_xlfn.XLOOKUP(CustomerCombinedCleaned[[#This Row],[ID]], Table4[ID], Table4[Premium], "Not Found", 0)</f>
        <v>60</v>
      </c>
      <c r="Q1557" s="16">
        <f>_xlfn.XLOOKUP(CustomerCombinedCleaned[[#This Row],[ID]], Table4[ID], Table4[Regular], "Not Found", 0)</f>
        <v>260</v>
      </c>
      <c r="R1557" s="16">
        <f>_xlfn.XLOOKUP(CustomerCombinedCleaned[[#This Row],[ID]], Table4[ID], Table4[Deals], "Not Found", 0)</f>
        <v>1</v>
      </c>
      <c r="S1557" s="16">
        <f>_xlfn.XLOOKUP(CustomerCombinedCleaned[[#This Row],[ID]], Table4[ID], Table4[Website], "Not Found", 0)</f>
        <v>2</v>
      </c>
      <c r="T1557" s="16">
        <f>_xlfn.XLOOKUP(CustomerCombinedCleaned[[#This Row],[ID]], Table4[ID], Table4[Catalog], "Not Found", 0)</f>
        <v>1</v>
      </c>
      <c r="U1557" s="16">
        <f>_xlfn.XLOOKUP(CustomerCombinedCleaned[[#This Row],[ID]], Table4[ID], Table4[Store], "Not Found", 0)</f>
        <v>4</v>
      </c>
      <c r="V1557" s="16">
        <f>_xlfn.XLOOKUP(CustomerCombinedCleaned[[#This Row],[ID]], Table4[ID], Table4[Visits], "Not Found", 0)</f>
        <v>4</v>
      </c>
      <c r="W1557" s="16">
        <f>_xlfn.XLOOKUP(CustomerCombinedCleaned[[#This Row],[ID]], Table2[ID],Table2[Complaint], "Not Found", 0 )</f>
        <v>0</v>
      </c>
      <c r="X1557" s="16">
        <f>_xlfn.XLOOKUP(CustomerCombinedCleaned[[#This Row],[ID]], Table2[ID],Table2[Pilot], "Not Found", 0 )</f>
        <v>0</v>
      </c>
      <c r="Y1557" s="16">
        <f>_xlfn.XLOOKUP(CustomerCombinedCleaned[[#This Row],[ID]], Table2[ID],Table2[MC1], "Not Found", 0 )</f>
        <v>0</v>
      </c>
      <c r="Z1557" s="16">
        <f>_xlfn.XLOOKUP(CustomerCombinedCleaned[[#This Row],[ID]], Table2[ID],Table2[MC2], "Not Found", 0 )</f>
        <v>0</v>
      </c>
      <c r="AA1557" s="16">
        <f>_xlfn.XLOOKUP(CustomerCombinedCleaned[[#This Row],[ID]], Table2[ID],Table2[MC3], "Not Found", 0 )</f>
        <v>0</v>
      </c>
      <c r="AB1557" s="16">
        <f>_xlfn.XLOOKUP(CustomerCombinedCleaned[[#This Row],[ID]], Table2[ID],Table2[MC4], "Not Found", 0 )</f>
        <v>0</v>
      </c>
      <c r="AC1557" s="16">
        <f>_xlfn.XLOOKUP(CustomerCombinedCleaned[[#This Row],[ID]], Table2[ID],Table2[MC5], "Not Found", 0 )</f>
        <v>0</v>
      </c>
    </row>
    <row r="1558" spans="1:29" x14ac:dyDescent="0.3">
      <c r="A1558" s="18">
        <v>3075</v>
      </c>
      <c r="B1558" s="16">
        <v>158646</v>
      </c>
      <c r="C1558" s="16">
        <v>0</v>
      </c>
      <c r="D1558" s="16">
        <v>1</v>
      </c>
      <c r="E1558" s="16">
        <v>58</v>
      </c>
      <c r="F1558" s="17" t="s">
        <v>6</v>
      </c>
      <c r="G1558" s="17" t="s">
        <v>12</v>
      </c>
      <c r="H1558" s="3" t="s">
        <v>242</v>
      </c>
      <c r="I1558" s="5" t="s">
        <v>435</v>
      </c>
      <c r="J1558" s="16">
        <f>_xlfn.XLOOKUP(CustomerCombinedCleaned[[#This Row],[ID]], Table4[ID], Table4[Recency], "Not Found", 0)</f>
        <v>3</v>
      </c>
      <c r="K1558" s="16">
        <f>_xlfn.XLOOKUP(CustomerCombinedCleaned[[#This Row],[ID]], Table4[ID], Table4[Teas], "Not Found", 0)</f>
        <v>168</v>
      </c>
      <c r="L1558" s="16">
        <f>_xlfn.XLOOKUP(CustomerCombinedCleaned[[#This Row],[ID]], Table4[ID], Table4[Fruits], "Not Found", 0)</f>
        <v>3</v>
      </c>
      <c r="M1558" s="16">
        <f>_xlfn.XLOOKUP(CustomerCombinedCleaned[[#This Row],[ID]], Table4[ID], Table4[Meats], "Not Found", 0)</f>
        <v>119</v>
      </c>
      <c r="N1558" s="16">
        <f>_xlfn.XLOOKUP(CustomerCombinedCleaned[[#This Row],[ID]], Table4[ID], Table4[Seafood], "Not Found", 0)</f>
        <v>16</v>
      </c>
      <c r="O1558" s="16">
        <f>_xlfn.XLOOKUP(CustomerCombinedCleaned[[#This Row],[ID]], Table4[ID], Table4[Sweets], "Not Found", 0)</f>
        <v>14</v>
      </c>
      <c r="P1558" s="16">
        <f>_xlfn.XLOOKUP(CustomerCombinedCleaned[[#This Row],[ID]], Table4[ID], Table4[Premium], "Not Found", 0)</f>
        <v>60</v>
      </c>
      <c r="Q1558" s="16">
        <f>_xlfn.XLOOKUP(CustomerCombinedCleaned[[#This Row],[ID]], Table4[ID], Table4[Regular], "Not Found", 0)</f>
        <v>260</v>
      </c>
      <c r="R1558" s="16">
        <f>_xlfn.XLOOKUP(CustomerCombinedCleaned[[#This Row],[ID]], Table4[ID], Table4[Deals], "Not Found", 0)</f>
        <v>1</v>
      </c>
      <c r="S1558" s="16">
        <f>_xlfn.XLOOKUP(CustomerCombinedCleaned[[#This Row],[ID]], Table4[ID], Table4[Website], "Not Found", 0)</f>
        <v>2</v>
      </c>
      <c r="T1558" s="16">
        <f>_xlfn.XLOOKUP(CustomerCombinedCleaned[[#This Row],[ID]], Table4[ID], Table4[Catalog], "Not Found", 0)</f>
        <v>1</v>
      </c>
      <c r="U1558" s="16">
        <f>_xlfn.XLOOKUP(CustomerCombinedCleaned[[#This Row],[ID]], Table4[ID], Table4[Store], "Not Found", 0)</f>
        <v>4</v>
      </c>
      <c r="V1558" s="16">
        <f>_xlfn.XLOOKUP(CustomerCombinedCleaned[[#This Row],[ID]], Table4[ID], Table4[Visits], "Not Found", 0)</f>
        <v>4</v>
      </c>
      <c r="W1558" s="16">
        <f>_xlfn.XLOOKUP(CustomerCombinedCleaned[[#This Row],[ID]], Table2[ID],Table2[Complaint], "Not Found", 0 )</f>
        <v>0</v>
      </c>
      <c r="X1558" s="16">
        <f>_xlfn.XLOOKUP(CustomerCombinedCleaned[[#This Row],[ID]], Table2[ID],Table2[Pilot], "Not Found", 0 )</f>
        <v>0</v>
      </c>
      <c r="Y1558" s="16">
        <f>_xlfn.XLOOKUP(CustomerCombinedCleaned[[#This Row],[ID]], Table2[ID],Table2[MC1], "Not Found", 0 )</f>
        <v>0</v>
      </c>
      <c r="Z1558" s="16">
        <f>_xlfn.XLOOKUP(CustomerCombinedCleaned[[#This Row],[ID]], Table2[ID],Table2[MC2], "Not Found", 0 )</f>
        <v>0</v>
      </c>
      <c r="AA1558" s="16">
        <f>_xlfn.XLOOKUP(CustomerCombinedCleaned[[#This Row],[ID]], Table2[ID],Table2[MC3], "Not Found", 0 )</f>
        <v>0</v>
      </c>
      <c r="AB1558" s="16">
        <f>_xlfn.XLOOKUP(CustomerCombinedCleaned[[#This Row],[ID]], Table2[ID],Table2[MC4], "Not Found", 0 )</f>
        <v>0</v>
      </c>
      <c r="AC1558" s="16">
        <f>_xlfn.XLOOKUP(CustomerCombinedCleaned[[#This Row],[ID]], Table2[ID],Table2[MC5], "Not Found", 0 )</f>
        <v>0</v>
      </c>
    </row>
    <row r="1559" spans="1:29" x14ac:dyDescent="0.3">
      <c r="A1559" s="18">
        <v>3210</v>
      </c>
      <c r="B1559" s="16">
        <v>158424</v>
      </c>
      <c r="C1559" s="16">
        <v>0</v>
      </c>
      <c r="D1559" s="16">
        <v>1</v>
      </c>
      <c r="E1559" s="16">
        <v>58</v>
      </c>
      <c r="F1559" s="17" t="s">
        <v>7</v>
      </c>
      <c r="G1559" s="17" t="s">
        <v>11</v>
      </c>
      <c r="H1559" s="3" t="s">
        <v>577</v>
      </c>
      <c r="I1559" s="5" t="s">
        <v>436</v>
      </c>
      <c r="J1559" s="16">
        <f>_xlfn.XLOOKUP(CustomerCombinedCleaned[[#This Row],[ID]], Table4[ID], Table4[Recency], "Not Found", 0)</f>
        <v>39</v>
      </c>
      <c r="K1559" s="16">
        <v>621</v>
      </c>
      <c r="L1559" s="16">
        <f>_xlfn.XLOOKUP(CustomerCombinedCleaned[[#This Row],[ID]], Table4[ID], Table4[Fruits], "Not Found", 0)</f>
        <v>19</v>
      </c>
      <c r="M1559" s="16">
        <f>_xlfn.XLOOKUP(CustomerCombinedCleaned[[#This Row],[ID]], Table4[ID], Table4[Meats], "Not Found", 0)</f>
        <v>371</v>
      </c>
      <c r="N1559" s="16">
        <f>_xlfn.XLOOKUP(CustomerCombinedCleaned[[#This Row],[ID]], Table4[ID], Table4[Seafood], "Not Found", 0)</f>
        <v>11</v>
      </c>
      <c r="O1559" s="16">
        <f>_xlfn.XLOOKUP(CustomerCombinedCleaned[[#This Row],[ID]], Table4[ID], Table4[Sweets], "Not Found", 0)</f>
        <v>0</v>
      </c>
      <c r="P1559" s="16">
        <f>_xlfn.XLOOKUP(CustomerCombinedCleaned[[#This Row],[ID]], Table4[ID], Table4[Premium], "Not Found", 0)</f>
        <v>247</v>
      </c>
      <c r="Q1559" s="16">
        <f>_xlfn.XLOOKUP(CustomerCombinedCleaned[[#This Row],[ID]], Table4[ID], Table4[Regular], "Not Found", 0)</f>
        <v>776</v>
      </c>
      <c r="R1559" s="16">
        <f>_xlfn.XLOOKUP(CustomerCombinedCleaned[[#This Row],[ID]], Table4[ID], Table4[Deals], "Not Found", 0)</f>
        <v>5</v>
      </c>
      <c r="S1559" s="16">
        <f>_xlfn.XLOOKUP(CustomerCombinedCleaned[[#This Row],[ID]], Table4[ID], Table4[Website], "Not Found", 0)</f>
        <v>4</v>
      </c>
      <c r="T1559" s="16">
        <f>_xlfn.XLOOKUP(CustomerCombinedCleaned[[#This Row],[ID]], Table4[ID], Table4[Catalog], "Not Found", 0)</f>
        <v>2</v>
      </c>
      <c r="U1559" s="16">
        <f>_xlfn.XLOOKUP(CustomerCombinedCleaned[[#This Row],[ID]], Table4[ID], Table4[Store], "Not Found", 0)</f>
        <v>8</v>
      </c>
      <c r="V1559" s="16">
        <f>_xlfn.XLOOKUP(CustomerCombinedCleaned[[#This Row],[ID]], Table4[ID], Table4[Visits], "Not Found", 0)</f>
        <v>5</v>
      </c>
      <c r="W1559" s="16">
        <f>_xlfn.XLOOKUP(CustomerCombinedCleaned[[#This Row],[ID]], Table2[ID],Table2[Complaint], "Not Found", 0 )</f>
        <v>0</v>
      </c>
      <c r="X1559" s="16">
        <f>_xlfn.XLOOKUP(CustomerCombinedCleaned[[#This Row],[ID]], Table2[ID],Table2[Pilot], "Not Found", 0 )</f>
        <v>0</v>
      </c>
      <c r="Y1559" s="16">
        <f>_xlfn.XLOOKUP(CustomerCombinedCleaned[[#This Row],[ID]], Table2[ID],Table2[MC1], "Not Found", 0 )</f>
        <v>0</v>
      </c>
      <c r="Z1559" s="16">
        <f>_xlfn.XLOOKUP(CustomerCombinedCleaned[[#This Row],[ID]], Table2[ID],Table2[MC2], "Not Found", 0 )</f>
        <v>0</v>
      </c>
      <c r="AA1559" s="16">
        <f>_xlfn.XLOOKUP(CustomerCombinedCleaned[[#This Row],[ID]], Table2[ID],Table2[MC3], "Not Found", 0 )</f>
        <v>0</v>
      </c>
      <c r="AB1559" s="16">
        <f>_xlfn.XLOOKUP(CustomerCombinedCleaned[[#This Row],[ID]], Table2[ID],Table2[MC4], "Not Found", 0 )</f>
        <v>0</v>
      </c>
      <c r="AC1559" s="16">
        <f>_xlfn.XLOOKUP(CustomerCombinedCleaned[[#This Row],[ID]], Table2[ID],Table2[MC5], "Not Found", 0 )</f>
        <v>0</v>
      </c>
    </row>
    <row r="1560" spans="1:29" x14ac:dyDescent="0.3">
      <c r="A1560" s="18">
        <v>3195</v>
      </c>
      <c r="B1560" s="16">
        <v>157967</v>
      </c>
      <c r="C1560" s="16">
        <v>0</v>
      </c>
      <c r="D1560" s="16">
        <v>1</v>
      </c>
      <c r="E1560" s="16">
        <v>58</v>
      </c>
      <c r="F1560" s="17" t="s">
        <v>7</v>
      </c>
      <c r="G1560" s="17" t="s">
        <v>11</v>
      </c>
      <c r="H1560" s="3" t="s">
        <v>577</v>
      </c>
      <c r="I1560" s="5" t="s">
        <v>435</v>
      </c>
      <c r="J1560" s="16">
        <f>_xlfn.XLOOKUP(CustomerCombinedCleaned[[#This Row],[ID]], Table4[ID], Table4[Recency], "Not Found", 0)</f>
        <v>39</v>
      </c>
      <c r="K1560" s="16">
        <f>_xlfn.XLOOKUP(CustomerCombinedCleaned[[#This Row],[ID]], Table4[ID], Table4[Teas], "Not Found", 0)</f>
        <v>624</v>
      </c>
      <c r="L1560" s="16">
        <f>_xlfn.XLOOKUP(CustomerCombinedCleaned[[#This Row],[ID]], Table4[ID], Table4[Fruits], "Not Found", 0)</f>
        <v>19</v>
      </c>
      <c r="M1560" s="16">
        <f>_xlfn.XLOOKUP(CustomerCombinedCleaned[[#This Row],[ID]], Table4[ID], Table4[Meats], "Not Found", 0)</f>
        <v>373</v>
      </c>
      <c r="N1560" s="16">
        <f>_xlfn.XLOOKUP(CustomerCombinedCleaned[[#This Row],[ID]], Table4[ID], Table4[Seafood], "Not Found", 0)</f>
        <v>11</v>
      </c>
      <c r="O1560" s="16">
        <f>_xlfn.XLOOKUP(CustomerCombinedCleaned[[#This Row],[ID]], Table4[ID], Table4[Sweets], "Not Found", 0)</f>
        <v>0</v>
      </c>
      <c r="P1560" s="16">
        <f>_xlfn.XLOOKUP(CustomerCombinedCleaned[[#This Row],[ID]], Table4[ID], Table4[Premium], "Not Found", 0)</f>
        <v>248</v>
      </c>
      <c r="Q1560" s="16">
        <f>_xlfn.XLOOKUP(CustomerCombinedCleaned[[#This Row],[ID]], Table4[ID], Table4[Regular], "Not Found", 0)</f>
        <v>779</v>
      </c>
      <c r="R1560" s="16">
        <f>_xlfn.XLOOKUP(CustomerCombinedCleaned[[#This Row],[ID]], Table4[ID], Table4[Deals], "Not Found", 0)</f>
        <v>5</v>
      </c>
      <c r="S1560" s="16">
        <f>_xlfn.XLOOKUP(CustomerCombinedCleaned[[#This Row],[ID]], Table4[ID], Table4[Website], "Not Found", 0)</f>
        <v>4</v>
      </c>
      <c r="T1560" s="16">
        <f>_xlfn.XLOOKUP(CustomerCombinedCleaned[[#This Row],[ID]], Table4[ID], Table4[Catalog], "Not Found", 0)</f>
        <v>2</v>
      </c>
      <c r="U1560" s="16">
        <f>_xlfn.XLOOKUP(CustomerCombinedCleaned[[#This Row],[ID]], Table4[ID], Table4[Store], "Not Found", 0)</f>
        <v>8</v>
      </c>
      <c r="V1560" s="16">
        <f>_xlfn.XLOOKUP(CustomerCombinedCleaned[[#This Row],[ID]], Table4[ID], Table4[Visits], "Not Found", 0)</f>
        <v>5</v>
      </c>
      <c r="W1560" s="16">
        <f>_xlfn.XLOOKUP(CustomerCombinedCleaned[[#This Row],[ID]], Table2[ID],Table2[Complaint], "Not Found", 0 )</f>
        <v>0</v>
      </c>
      <c r="X1560" s="16">
        <f>_xlfn.XLOOKUP(CustomerCombinedCleaned[[#This Row],[ID]], Table2[ID],Table2[Pilot], "Not Found", 0 )</f>
        <v>0</v>
      </c>
      <c r="Y1560" s="16">
        <f>_xlfn.XLOOKUP(CustomerCombinedCleaned[[#This Row],[ID]], Table2[ID],Table2[MC1], "Not Found", 0 )</f>
        <v>0</v>
      </c>
      <c r="Z1560" s="16">
        <f>_xlfn.XLOOKUP(CustomerCombinedCleaned[[#This Row],[ID]], Table2[ID],Table2[MC2], "Not Found", 0 )</f>
        <v>0</v>
      </c>
      <c r="AA1560" s="16">
        <f>_xlfn.XLOOKUP(CustomerCombinedCleaned[[#This Row],[ID]], Table2[ID],Table2[MC3], "Not Found", 0 )</f>
        <v>0</v>
      </c>
      <c r="AB1560" s="16">
        <f>_xlfn.XLOOKUP(CustomerCombinedCleaned[[#This Row],[ID]], Table2[ID],Table2[MC4], "Not Found", 0 )</f>
        <v>0</v>
      </c>
      <c r="AC1560" s="16">
        <f>_xlfn.XLOOKUP(CustomerCombinedCleaned[[#This Row],[ID]], Table2[ID],Table2[MC5], "Not Found", 0 )</f>
        <v>0</v>
      </c>
    </row>
    <row r="1561" spans="1:29" x14ac:dyDescent="0.3">
      <c r="A1561" s="18">
        <v>1620</v>
      </c>
      <c r="B1561" s="16">
        <v>156181</v>
      </c>
      <c r="C1561" s="16">
        <v>0</v>
      </c>
      <c r="D1561" s="16">
        <v>1</v>
      </c>
      <c r="E1561" s="16">
        <v>58</v>
      </c>
      <c r="F1561" s="17" t="s">
        <v>6</v>
      </c>
      <c r="G1561" s="17" t="s">
        <v>11</v>
      </c>
      <c r="H1561" s="3" t="s">
        <v>332</v>
      </c>
      <c r="I1561" s="5" t="s">
        <v>436</v>
      </c>
      <c r="J1561" s="16">
        <f>_xlfn.XLOOKUP(CustomerCombinedCleaned[[#This Row],[ID]], Table4[ID], Table4[Recency], "Not Found", 0)</f>
        <v>6</v>
      </c>
      <c r="K1561" s="16">
        <f>_xlfn.XLOOKUP(CustomerCombinedCleaned[[#This Row],[ID]], Table4[ID], Table4[Teas], "Not Found", 0)</f>
        <v>336</v>
      </c>
      <c r="L1561" s="16">
        <f>_xlfn.XLOOKUP(CustomerCombinedCleaned[[#This Row],[ID]], Table4[ID], Table4[Fruits], "Not Found", 0)</f>
        <v>286</v>
      </c>
      <c r="M1561" s="16">
        <f>_xlfn.XLOOKUP(CustomerCombinedCleaned[[#This Row],[ID]], Table4[ID], Table4[Meats], "Not Found", 0)</f>
        <v>192</v>
      </c>
      <c r="N1561" s="16">
        <f>_xlfn.XLOOKUP(CustomerCombinedCleaned[[#This Row],[ID]], Table4[ID], Table4[Seafood], "Not Found", 0)</f>
        <v>22</v>
      </c>
      <c r="O1561" s="16">
        <f>_xlfn.XLOOKUP(CustomerCombinedCleaned[[#This Row],[ID]], Table4[ID], Table4[Sweets], "Not Found", 0)</f>
        <v>122</v>
      </c>
      <c r="P1561" s="16">
        <f>_xlfn.XLOOKUP(CustomerCombinedCleaned[[#This Row],[ID]], Table4[ID], Table4[Premium], "Not Found", 0)</f>
        <v>133</v>
      </c>
      <c r="Q1561" s="16">
        <f>_xlfn.XLOOKUP(CustomerCombinedCleaned[[#This Row],[ID]], Table4[ID], Table4[Regular], "Not Found", 0)</f>
        <v>826</v>
      </c>
      <c r="R1561" s="16">
        <f>_xlfn.XLOOKUP(CustomerCombinedCleaned[[#This Row],[ID]], Table4[ID], Table4[Deals], "Not Found", 0)</f>
        <v>1</v>
      </c>
      <c r="S1561" s="16">
        <f>_xlfn.XLOOKUP(CustomerCombinedCleaned[[#This Row],[ID]], Table4[ID], Table4[Website], "Not Found", 0)</f>
        <v>4</v>
      </c>
      <c r="T1561" s="16">
        <f>_xlfn.XLOOKUP(CustomerCombinedCleaned[[#This Row],[ID]], Table4[ID], Table4[Catalog], "Not Found", 0)</f>
        <v>2</v>
      </c>
      <c r="U1561" s="16">
        <f>_xlfn.XLOOKUP(CustomerCombinedCleaned[[#This Row],[ID]], Table4[ID], Table4[Store], "Not Found", 0)</f>
        <v>7</v>
      </c>
      <c r="V1561" s="16">
        <f>_xlfn.XLOOKUP(CustomerCombinedCleaned[[#This Row],[ID]], Table4[ID], Table4[Visits], "Not Found", 0)</f>
        <v>4</v>
      </c>
      <c r="W1561" s="16">
        <f>_xlfn.XLOOKUP(CustomerCombinedCleaned[[#This Row],[ID]], Table2[ID],Table2[Complaint], "Not Found", 0 )</f>
        <v>0</v>
      </c>
      <c r="X1561" s="16">
        <f>_xlfn.XLOOKUP(CustomerCombinedCleaned[[#This Row],[ID]], Table2[ID],Table2[Pilot], "Not Found", 0 )</f>
        <v>0</v>
      </c>
      <c r="Y1561" s="16">
        <f>_xlfn.XLOOKUP(CustomerCombinedCleaned[[#This Row],[ID]], Table2[ID],Table2[MC1], "Not Found", 0 )</f>
        <v>0</v>
      </c>
      <c r="Z1561" s="16">
        <f>_xlfn.XLOOKUP(CustomerCombinedCleaned[[#This Row],[ID]], Table2[ID],Table2[MC2], "Not Found", 0 )</f>
        <v>0</v>
      </c>
      <c r="AA1561" s="16">
        <f>_xlfn.XLOOKUP(CustomerCombinedCleaned[[#This Row],[ID]], Table2[ID],Table2[MC3], "Not Found", 0 )</f>
        <v>0</v>
      </c>
      <c r="AB1561" s="16">
        <f>_xlfn.XLOOKUP(CustomerCombinedCleaned[[#This Row],[ID]], Table2[ID],Table2[MC4], "Not Found", 0 )</f>
        <v>0</v>
      </c>
      <c r="AC1561" s="16">
        <f>_xlfn.XLOOKUP(CustomerCombinedCleaned[[#This Row],[ID]], Table2[ID],Table2[MC5], "Not Found", 0 )</f>
        <v>0</v>
      </c>
    </row>
    <row r="1562" spans="1:29" x14ac:dyDescent="0.3">
      <c r="A1562" s="18">
        <v>1922</v>
      </c>
      <c r="B1562" s="16">
        <v>156067</v>
      </c>
      <c r="C1562" s="16">
        <v>0</v>
      </c>
      <c r="D1562" s="16">
        <v>1</v>
      </c>
      <c r="E1562" s="16">
        <v>58</v>
      </c>
      <c r="F1562" s="17" t="s">
        <v>8</v>
      </c>
      <c r="G1562" s="17" t="s">
        <v>13</v>
      </c>
      <c r="H1562" s="3" t="s">
        <v>216</v>
      </c>
      <c r="I1562" s="5" t="s">
        <v>438</v>
      </c>
      <c r="J1562" s="16">
        <f>_xlfn.XLOOKUP(CustomerCombinedCleaned[[#This Row],[ID]], Table4[ID], Table4[Recency], "Not Found", 0)</f>
        <v>51</v>
      </c>
      <c r="K1562" s="16">
        <f>_xlfn.XLOOKUP(CustomerCombinedCleaned[[#This Row],[ID]], Table4[ID], Table4[Teas], "Not Found", 0)</f>
        <v>1439</v>
      </c>
      <c r="L1562" s="16">
        <f>_xlfn.XLOOKUP(CustomerCombinedCleaned[[#This Row],[ID]], Table4[ID], Table4[Fruits], "Not Found", 0)</f>
        <v>33</v>
      </c>
      <c r="M1562" s="16">
        <f>_xlfn.XLOOKUP(CustomerCombinedCleaned[[#This Row],[ID]], Table4[ID], Table4[Meats], "Not Found", 0)</f>
        <v>150</v>
      </c>
      <c r="N1562" s="16">
        <f>_xlfn.XLOOKUP(CustomerCombinedCleaned[[#This Row],[ID]], Table4[ID], Table4[Seafood], "Not Found", 0)</f>
        <v>45</v>
      </c>
      <c r="O1562" s="16">
        <f>_xlfn.XLOOKUP(CustomerCombinedCleaned[[#This Row],[ID]], Table4[ID], Table4[Sweets], "Not Found", 0)</f>
        <v>17</v>
      </c>
      <c r="P1562" s="16">
        <f>_xlfn.XLOOKUP(CustomerCombinedCleaned[[#This Row],[ID]], Table4[ID], Table4[Premium], "Not Found", 0)</f>
        <v>334</v>
      </c>
      <c r="Q1562" s="16">
        <f>_xlfn.XLOOKUP(CustomerCombinedCleaned[[#This Row],[ID]], Table4[ID], Table4[Regular], "Not Found", 0)</f>
        <v>1350</v>
      </c>
      <c r="R1562" s="16">
        <f>_xlfn.XLOOKUP(CustomerCombinedCleaned[[#This Row],[ID]], Table4[ID], Table4[Deals], "Not Found", 0)</f>
        <v>2</v>
      </c>
      <c r="S1562" s="16">
        <f>_xlfn.XLOOKUP(CustomerCombinedCleaned[[#This Row],[ID]], Table4[ID], Table4[Website], "Not Found", 0)</f>
        <v>7</v>
      </c>
      <c r="T1562" s="16">
        <f>_xlfn.XLOOKUP(CustomerCombinedCleaned[[#This Row],[ID]], Table4[ID], Table4[Catalog], "Not Found", 0)</f>
        <v>4</v>
      </c>
      <c r="U1562" s="16">
        <f>_xlfn.XLOOKUP(CustomerCombinedCleaned[[#This Row],[ID]], Table4[ID], Table4[Store], "Not Found", 0)</f>
        <v>7</v>
      </c>
      <c r="V1562" s="16">
        <f>_xlfn.XLOOKUP(CustomerCombinedCleaned[[#This Row],[ID]], Table4[ID], Table4[Visits], "Not Found", 0)</f>
        <v>5</v>
      </c>
      <c r="W1562" s="16">
        <f>_xlfn.XLOOKUP(CustomerCombinedCleaned[[#This Row],[ID]], Table2[ID],Table2[Complaint], "Not Found", 0 )</f>
        <v>0</v>
      </c>
      <c r="X1562" s="16">
        <f>_xlfn.XLOOKUP(CustomerCombinedCleaned[[#This Row],[ID]], Table2[ID],Table2[Pilot], "Not Found", 0 )</f>
        <v>0</v>
      </c>
      <c r="Y1562" s="16">
        <f>_xlfn.XLOOKUP(CustomerCombinedCleaned[[#This Row],[ID]], Table2[ID],Table2[MC1], "Not Found", 0 )</f>
        <v>0</v>
      </c>
      <c r="Z1562" s="16">
        <f>_xlfn.XLOOKUP(CustomerCombinedCleaned[[#This Row],[ID]], Table2[ID],Table2[MC2], "Not Found", 0 )</f>
        <v>0</v>
      </c>
      <c r="AA1562" s="16">
        <f>_xlfn.XLOOKUP(CustomerCombinedCleaned[[#This Row],[ID]], Table2[ID],Table2[MC3], "Not Found", 0 )</f>
        <v>0</v>
      </c>
      <c r="AB1562" s="16">
        <f>_xlfn.XLOOKUP(CustomerCombinedCleaned[[#This Row],[ID]], Table2[ID],Table2[MC4], "Not Found", 0 )</f>
        <v>0</v>
      </c>
      <c r="AC1562" s="16">
        <f>_xlfn.XLOOKUP(CustomerCombinedCleaned[[#This Row],[ID]], Table2[ID],Table2[MC5], "Not Found", 0 )</f>
        <v>0</v>
      </c>
    </row>
    <row r="1563" spans="1:29" x14ac:dyDescent="0.3">
      <c r="A1563" s="18">
        <v>2492</v>
      </c>
      <c r="B1563" s="16">
        <v>155759</v>
      </c>
      <c r="C1563" s="16">
        <v>0</v>
      </c>
      <c r="D1563" s="16">
        <v>1</v>
      </c>
      <c r="E1563" s="16">
        <v>58</v>
      </c>
      <c r="F1563" s="17" t="s">
        <v>6</v>
      </c>
      <c r="G1563" s="17" t="s">
        <v>11</v>
      </c>
      <c r="H1563" s="3" t="s">
        <v>730</v>
      </c>
      <c r="I1563" s="5" t="s">
        <v>438</v>
      </c>
      <c r="J1563" s="16">
        <f>_xlfn.XLOOKUP(CustomerCombinedCleaned[[#This Row],[ID]], Table4[ID], Table4[Recency], "Not Found", 0)</f>
        <v>84</v>
      </c>
      <c r="K1563" s="16">
        <f>_xlfn.XLOOKUP(CustomerCombinedCleaned[[#This Row],[ID]], Table4[ID], Table4[Teas], "Not Found", 0)</f>
        <v>1886</v>
      </c>
      <c r="L1563" s="16">
        <f>_xlfn.XLOOKUP(CustomerCombinedCleaned[[#This Row],[ID]], Table4[ID], Table4[Fruits], "Not Found", 0)</f>
        <v>0</v>
      </c>
      <c r="M1563" s="16">
        <f>_xlfn.XLOOKUP(CustomerCombinedCleaned[[#This Row],[ID]], Table4[ID], Table4[Meats], "Not Found", 0)</f>
        <v>237</v>
      </c>
      <c r="N1563" s="16">
        <f>_xlfn.XLOOKUP(CustomerCombinedCleaned[[#This Row],[ID]], Table4[ID], Table4[Seafood], "Not Found", 0)</f>
        <v>28</v>
      </c>
      <c r="O1563" s="16">
        <f>_xlfn.XLOOKUP(CustomerCombinedCleaned[[#This Row],[ID]], Table4[ID], Table4[Sweets], "Not Found", 0)</f>
        <v>20</v>
      </c>
      <c r="P1563" s="16">
        <f>_xlfn.XLOOKUP(CustomerCombinedCleaned[[#This Row],[ID]], Table4[ID], Table4[Premium], "Not Found", 0)</f>
        <v>215</v>
      </c>
      <c r="Q1563" s="16">
        <f>_xlfn.XLOOKUP(CustomerCombinedCleaned[[#This Row],[ID]], Table4[ID], Table4[Regular], "Not Found", 0)</f>
        <v>1955</v>
      </c>
      <c r="R1563" s="16">
        <f>_xlfn.XLOOKUP(CustomerCombinedCleaned[[#This Row],[ID]], Table4[ID], Table4[Deals], "Not Found", 0)</f>
        <v>5</v>
      </c>
      <c r="S1563" s="16">
        <f>_xlfn.XLOOKUP(CustomerCombinedCleaned[[#This Row],[ID]], Table4[ID], Table4[Website], "Not Found", 0)</f>
        <v>10</v>
      </c>
      <c r="T1563" s="16">
        <f>_xlfn.XLOOKUP(CustomerCombinedCleaned[[#This Row],[ID]], Table4[ID], Table4[Catalog], "Not Found", 0)</f>
        <v>3</v>
      </c>
      <c r="U1563" s="16">
        <f>_xlfn.XLOOKUP(CustomerCombinedCleaned[[#This Row],[ID]], Table4[ID], Table4[Store], "Not Found", 0)</f>
        <v>8</v>
      </c>
      <c r="V1563" s="16">
        <f>_xlfn.XLOOKUP(CustomerCombinedCleaned[[#This Row],[ID]], Table4[ID], Table4[Visits], "Not Found", 0)</f>
        <v>8</v>
      </c>
      <c r="W1563" s="16">
        <f>_xlfn.XLOOKUP(CustomerCombinedCleaned[[#This Row],[ID]], Table2[ID],Table2[Complaint], "Not Found", 0 )</f>
        <v>0</v>
      </c>
      <c r="X1563" s="16">
        <f>_xlfn.XLOOKUP(CustomerCombinedCleaned[[#This Row],[ID]], Table2[ID],Table2[Pilot], "Not Found", 0 )</f>
        <v>0</v>
      </c>
      <c r="Y1563" s="16">
        <f>_xlfn.XLOOKUP(CustomerCombinedCleaned[[#This Row],[ID]], Table2[ID],Table2[MC1], "Not Found", 0 )</f>
        <v>0</v>
      </c>
      <c r="Z1563" s="16">
        <f>_xlfn.XLOOKUP(CustomerCombinedCleaned[[#This Row],[ID]], Table2[ID],Table2[MC2], "Not Found", 0 )</f>
        <v>0</v>
      </c>
      <c r="AA1563" s="16">
        <f>_xlfn.XLOOKUP(CustomerCombinedCleaned[[#This Row],[ID]], Table2[ID],Table2[MC3], "Not Found", 0 )</f>
        <v>0</v>
      </c>
      <c r="AB1563" s="16">
        <f>_xlfn.XLOOKUP(CustomerCombinedCleaned[[#This Row],[ID]], Table2[ID],Table2[MC4], "Not Found", 0 )</f>
        <v>0</v>
      </c>
      <c r="AC1563" s="16">
        <f>_xlfn.XLOOKUP(CustomerCombinedCleaned[[#This Row],[ID]], Table2[ID],Table2[MC5], "Not Found", 0 )</f>
        <v>0</v>
      </c>
    </row>
    <row r="1564" spans="1:29" x14ac:dyDescent="0.3">
      <c r="A1564" s="18">
        <v>2807</v>
      </c>
      <c r="B1564" s="16">
        <v>154693</v>
      </c>
      <c r="C1564" s="16">
        <v>0</v>
      </c>
      <c r="D1564" s="16">
        <v>1</v>
      </c>
      <c r="E1564" s="16">
        <v>58</v>
      </c>
      <c r="F1564" s="17" t="s">
        <v>6</v>
      </c>
      <c r="G1564" s="17" t="s">
        <v>13</v>
      </c>
      <c r="H1564" s="3" t="s">
        <v>306</v>
      </c>
      <c r="I1564" s="5" t="s">
        <v>434</v>
      </c>
      <c r="J1564" s="16">
        <f>_xlfn.XLOOKUP(CustomerCombinedCleaned[[#This Row],[ID]], Table4[ID], Table4[Recency], "Not Found", 0)</f>
        <v>72</v>
      </c>
      <c r="K1564" s="16">
        <f>_xlfn.XLOOKUP(CustomerCombinedCleaned[[#This Row],[ID]], Table4[ID], Table4[Teas], "Not Found", 0)</f>
        <v>1940</v>
      </c>
      <c r="L1564" s="16">
        <f>_xlfn.XLOOKUP(CustomerCombinedCleaned[[#This Row],[ID]], Table4[ID], Table4[Fruits], "Not Found", 0)</f>
        <v>48</v>
      </c>
      <c r="M1564" s="16">
        <f>_xlfn.XLOOKUP(CustomerCombinedCleaned[[#This Row],[ID]], Table4[ID], Table4[Meats], "Not Found", 0)</f>
        <v>402</v>
      </c>
      <c r="N1564" s="16">
        <f>_xlfn.XLOOKUP(CustomerCombinedCleaned[[#This Row],[ID]], Table4[ID], Table4[Seafood], "Not Found", 0)</f>
        <v>65</v>
      </c>
      <c r="O1564" s="16">
        <f>_xlfn.XLOOKUP(CustomerCombinedCleaned[[#This Row],[ID]], Table4[ID], Table4[Sweets], "Not Found", 0)</f>
        <v>74</v>
      </c>
      <c r="P1564" s="16">
        <f>_xlfn.XLOOKUP(CustomerCombinedCleaned[[#This Row],[ID]], Table4[ID], Table4[Premium], "Not Found", 0)</f>
        <v>99</v>
      </c>
      <c r="Q1564" s="16">
        <f>_xlfn.XLOOKUP(CustomerCombinedCleaned[[#This Row],[ID]], Table4[ID], Table4[Regular], "Not Found", 0)</f>
        <v>2430</v>
      </c>
      <c r="R1564" s="16">
        <f>_xlfn.XLOOKUP(CustomerCombinedCleaned[[#This Row],[ID]], Table4[ID], Table4[Deals], "Not Found", 0)</f>
        <v>8</v>
      </c>
      <c r="S1564" s="16">
        <f>_xlfn.XLOOKUP(CustomerCombinedCleaned[[#This Row],[ID]], Table4[ID], Table4[Website], "Not Found", 0)</f>
        <v>6</v>
      </c>
      <c r="T1564" s="16">
        <f>_xlfn.XLOOKUP(CustomerCombinedCleaned[[#This Row],[ID]], Table4[ID], Table4[Catalog], "Not Found", 0)</f>
        <v>4</v>
      </c>
      <c r="U1564" s="16">
        <f>_xlfn.XLOOKUP(CustomerCombinedCleaned[[#This Row],[ID]], Table4[ID], Table4[Store], "Not Found", 0)</f>
        <v>13</v>
      </c>
      <c r="V1564" s="16">
        <f>_xlfn.XLOOKUP(CustomerCombinedCleaned[[#This Row],[ID]], Table4[ID], Table4[Visits], "Not Found", 0)</f>
        <v>6</v>
      </c>
      <c r="W1564" s="16">
        <f>_xlfn.XLOOKUP(CustomerCombinedCleaned[[#This Row],[ID]], Table2[ID],Table2[Complaint], "Not Found", 0 )</f>
        <v>0</v>
      </c>
      <c r="X1564" s="16">
        <f>_xlfn.XLOOKUP(CustomerCombinedCleaned[[#This Row],[ID]], Table2[ID],Table2[Pilot], "Not Found", 0 )</f>
        <v>0</v>
      </c>
      <c r="Y1564" s="16">
        <f>_xlfn.XLOOKUP(CustomerCombinedCleaned[[#This Row],[ID]], Table2[ID],Table2[MC1], "Not Found", 0 )</f>
        <v>0</v>
      </c>
      <c r="Z1564" s="16">
        <f>_xlfn.XLOOKUP(CustomerCombinedCleaned[[#This Row],[ID]], Table2[ID],Table2[MC2], "Not Found", 0 )</f>
        <v>0</v>
      </c>
      <c r="AA1564" s="16">
        <f>_xlfn.XLOOKUP(CustomerCombinedCleaned[[#This Row],[ID]], Table2[ID],Table2[MC3], "Not Found", 0 )</f>
        <v>0</v>
      </c>
      <c r="AB1564" s="16">
        <f>_xlfn.XLOOKUP(CustomerCombinedCleaned[[#This Row],[ID]], Table2[ID],Table2[MC4], "Not Found", 0 )</f>
        <v>0</v>
      </c>
      <c r="AC1564" s="16">
        <f>_xlfn.XLOOKUP(CustomerCombinedCleaned[[#This Row],[ID]], Table2[ID],Table2[MC5], "Not Found", 0 )</f>
        <v>0</v>
      </c>
    </row>
    <row r="1565" spans="1:29" x14ac:dyDescent="0.3">
      <c r="A1565" s="18">
        <v>1942</v>
      </c>
      <c r="B1565" s="16">
        <v>152597</v>
      </c>
      <c r="C1565" s="16">
        <v>0</v>
      </c>
      <c r="D1565" s="16">
        <v>1</v>
      </c>
      <c r="E1565" s="16">
        <v>58</v>
      </c>
      <c r="F1565" s="17" t="s">
        <v>7</v>
      </c>
      <c r="G1565" s="17" t="s">
        <v>13</v>
      </c>
      <c r="H1565" s="3" t="s">
        <v>599</v>
      </c>
      <c r="I1565" s="5" t="s">
        <v>439</v>
      </c>
      <c r="J1565" s="16">
        <f>_xlfn.XLOOKUP(CustomerCombinedCleaned[[#This Row],[ID]], Table4[ID], Table4[Recency], "Not Found", 0)</f>
        <v>69</v>
      </c>
      <c r="K1565" s="16">
        <f>_xlfn.XLOOKUP(CustomerCombinedCleaned[[#This Row],[ID]], Table4[ID], Table4[Teas], "Not Found", 0)</f>
        <v>1427</v>
      </c>
      <c r="L1565" s="16">
        <f>_xlfn.XLOOKUP(CustomerCombinedCleaned[[#This Row],[ID]], Table4[ID], Table4[Fruits], "Not Found", 0)</f>
        <v>0</v>
      </c>
      <c r="M1565" s="16">
        <f>_xlfn.XLOOKUP(CustomerCombinedCleaned[[#This Row],[ID]], Table4[ID], Table4[Meats], "Not Found", 0)</f>
        <v>107</v>
      </c>
      <c r="N1565" s="16">
        <f>_xlfn.XLOOKUP(CustomerCombinedCleaned[[#This Row],[ID]], Table4[ID], Table4[Seafood], "Not Found", 0)</f>
        <v>20</v>
      </c>
      <c r="O1565" s="16">
        <f>_xlfn.XLOOKUP(CustomerCombinedCleaned[[#This Row],[ID]], Table4[ID], Table4[Sweets], "Not Found", 0)</f>
        <v>0</v>
      </c>
      <c r="P1565" s="16">
        <f>_xlfn.XLOOKUP(CustomerCombinedCleaned[[#This Row],[ID]], Table4[ID], Table4[Premium], "Not Found", 0)</f>
        <v>122</v>
      </c>
      <c r="Q1565" s="16">
        <f>_xlfn.XLOOKUP(CustomerCombinedCleaned[[#This Row],[ID]], Table4[ID], Table4[Regular], "Not Found", 0)</f>
        <v>1433</v>
      </c>
      <c r="R1565" s="16">
        <f>_xlfn.XLOOKUP(CustomerCombinedCleaned[[#This Row],[ID]], Table4[ID], Table4[Deals], "Not Found", 0)</f>
        <v>3</v>
      </c>
      <c r="S1565" s="16">
        <f>_xlfn.XLOOKUP(CustomerCombinedCleaned[[#This Row],[ID]], Table4[ID], Table4[Website], "Not Found", 0)</f>
        <v>6</v>
      </c>
      <c r="T1565" s="16">
        <f>_xlfn.XLOOKUP(CustomerCombinedCleaned[[#This Row],[ID]], Table4[ID], Table4[Catalog], "Not Found", 0)</f>
        <v>3</v>
      </c>
      <c r="U1565" s="16">
        <f>_xlfn.XLOOKUP(CustomerCombinedCleaned[[#This Row],[ID]], Table4[ID], Table4[Store], "Not Found", 0)</f>
        <v>8</v>
      </c>
      <c r="V1565" s="16">
        <f>_xlfn.XLOOKUP(CustomerCombinedCleaned[[#This Row],[ID]], Table4[ID], Table4[Visits], "Not Found", 0)</f>
        <v>5</v>
      </c>
      <c r="W1565" s="16">
        <f>_xlfn.XLOOKUP(CustomerCombinedCleaned[[#This Row],[ID]], Table2[ID],Table2[Complaint], "Not Found", 0 )</f>
        <v>0</v>
      </c>
      <c r="X1565" s="16">
        <f>_xlfn.XLOOKUP(CustomerCombinedCleaned[[#This Row],[ID]], Table2[ID],Table2[Pilot], "Not Found", 0 )</f>
        <v>0</v>
      </c>
      <c r="Y1565" s="16">
        <f>_xlfn.XLOOKUP(CustomerCombinedCleaned[[#This Row],[ID]], Table2[ID],Table2[MC1], "Not Found", 0 )</f>
        <v>0</v>
      </c>
      <c r="Z1565" s="16">
        <f>_xlfn.XLOOKUP(CustomerCombinedCleaned[[#This Row],[ID]], Table2[ID],Table2[MC2], "Not Found", 0 )</f>
        <v>0</v>
      </c>
      <c r="AA1565" s="16">
        <f>_xlfn.XLOOKUP(CustomerCombinedCleaned[[#This Row],[ID]], Table2[ID],Table2[MC3], "Not Found", 0 )</f>
        <v>0</v>
      </c>
      <c r="AB1565" s="16">
        <f>_xlfn.XLOOKUP(CustomerCombinedCleaned[[#This Row],[ID]], Table2[ID],Table2[MC4], "Not Found", 0 )</f>
        <v>0</v>
      </c>
      <c r="AC1565" s="16">
        <f>_xlfn.XLOOKUP(CustomerCombinedCleaned[[#This Row],[ID]], Table2[ID],Table2[MC5], "Not Found", 0 )</f>
        <v>0</v>
      </c>
    </row>
    <row r="1566" spans="1:29" x14ac:dyDescent="0.3">
      <c r="A1566" s="18">
        <v>1869</v>
      </c>
      <c r="B1566" s="16">
        <v>151195</v>
      </c>
      <c r="C1566" s="16">
        <v>1</v>
      </c>
      <c r="D1566" s="16">
        <v>1</v>
      </c>
      <c r="E1566" s="16">
        <v>58</v>
      </c>
      <c r="F1566" s="17" t="s">
        <v>8</v>
      </c>
      <c r="G1566" s="17" t="s">
        <v>11</v>
      </c>
      <c r="H1566" s="3" t="s">
        <v>720</v>
      </c>
      <c r="I1566" s="5" t="s">
        <v>435</v>
      </c>
      <c r="J1566" s="16">
        <f>_xlfn.XLOOKUP(CustomerCombinedCleaned[[#This Row],[ID]], Table4[ID], Table4[Recency], "Not Found", 0)</f>
        <v>46</v>
      </c>
      <c r="K1566" s="16">
        <f>_xlfn.XLOOKUP(CustomerCombinedCleaned[[#This Row],[ID]], Table4[ID], Table4[Teas], "Not Found", 0)</f>
        <v>679</v>
      </c>
      <c r="L1566" s="16">
        <f>_xlfn.XLOOKUP(CustomerCombinedCleaned[[#This Row],[ID]], Table4[ID], Table4[Fruits], "Not Found", 0)</f>
        <v>41</v>
      </c>
      <c r="M1566" s="16">
        <f>_xlfn.XLOOKUP(CustomerCombinedCleaned[[#This Row],[ID]], Table4[ID], Table4[Meats], "Not Found", 0)</f>
        <v>461</v>
      </c>
      <c r="N1566" s="16">
        <f>_xlfn.XLOOKUP(CustomerCombinedCleaned[[#This Row],[ID]], Table4[ID], Table4[Seafood], "Not Found", 0)</f>
        <v>242</v>
      </c>
      <c r="O1566" s="16">
        <f>_xlfn.XLOOKUP(CustomerCombinedCleaned[[#This Row],[ID]], Table4[ID], Table4[Sweets], "Not Found", 0)</f>
        <v>71</v>
      </c>
      <c r="P1566" s="16">
        <f>_xlfn.XLOOKUP(CustomerCombinedCleaned[[#This Row],[ID]], Table4[ID], Table4[Premium], "Not Found", 0)</f>
        <v>171</v>
      </c>
      <c r="Q1566" s="16">
        <f>_xlfn.XLOOKUP(CustomerCombinedCleaned[[#This Row],[ID]], Table4[ID], Table4[Regular], "Not Found", 0)</f>
        <v>1323</v>
      </c>
      <c r="R1566" s="16">
        <f>_xlfn.XLOOKUP(CustomerCombinedCleaned[[#This Row],[ID]], Table4[ID], Table4[Deals], "Not Found", 0)</f>
        <v>8</v>
      </c>
      <c r="S1566" s="16">
        <f>_xlfn.XLOOKUP(CustomerCombinedCleaned[[#This Row],[ID]], Table4[ID], Table4[Website], "Not Found", 0)</f>
        <v>9</v>
      </c>
      <c r="T1566" s="16">
        <f>_xlfn.XLOOKUP(CustomerCombinedCleaned[[#This Row],[ID]], Table4[ID], Table4[Catalog], "Not Found", 0)</f>
        <v>2</v>
      </c>
      <c r="U1566" s="16">
        <f>_xlfn.XLOOKUP(CustomerCombinedCleaned[[#This Row],[ID]], Table4[ID], Table4[Store], "Not Found", 0)</f>
        <v>5</v>
      </c>
      <c r="V1566" s="16">
        <f>_xlfn.XLOOKUP(CustomerCombinedCleaned[[#This Row],[ID]], Table4[ID], Table4[Visits], "Not Found", 0)</f>
        <v>8</v>
      </c>
      <c r="W1566" s="16">
        <f>_xlfn.XLOOKUP(CustomerCombinedCleaned[[#This Row],[ID]], Table2[ID],Table2[Complaint], "Not Found", 0 )</f>
        <v>0</v>
      </c>
      <c r="X1566" s="16">
        <f>_xlfn.XLOOKUP(CustomerCombinedCleaned[[#This Row],[ID]], Table2[ID],Table2[Pilot], "Not Found", 0 )</f>
        <v>0</v>
      </c>
      <c r="Y1566" s="16">
        <f>_xlfn.XLOOKUP(CustomerCombinedCleaned[[#This Row],[ID]], Table2[ID],Table2[MC1], "Not Found", 0 )</f>
        <v>0</v>
      </c>
      <c r="Z1566" s="16">
        <f>_xlfn.XLOOKUP(CustomerCombinedCleaned[[#This Row],[ID]], Table2[ID],Table2[MC2], "Not Found", 0 )</f>
        <v>0</v>
      </c>
      <c r="AA1566" s="16">
        <f>_xlfn.XLOOKUP(CustomerCombinedCleaned[[#This Row],[ID]], Table2[ID],Table2[MC3], "Not Found", 0 )</f>
        <v>0</v>
      </c>
      <c r="AB1566" s="16">
        <f>_xlfn.XLOOKUP(CustomerCombinedCleaned[[#This Row],[ID]], Table2[ID],Table2[MC4], "Not Found", 0 )</f>
        <v>0</v>
      </c>
      <c r="AC1566" s="16">
        <f>_xlfn.XLOOKUP(CustomerCombinedCleaned[[#This Row],[ID]], Table2[ID],Table2[MC5], "Not Found", 0 )</f>
        <v>0</v>
      </c>
    </row>
    <row r="1567" spans="1:29" x14ac:dyDescent="0.3">
      <c r="A1567" s="18">
        <v>1107</v>
      </c>
      <c r="B1567" s="16">
        <v>150785</v>
      </c>
      <c r="C1567" s="16">
        <v>1</v>
      </c>
      <c r="D1567" s="16">
        <v>1</v>
      </c>
      <c r="E1567" s="16">
        <v>58</v>
      </c>
      <c r="F1567" s="17" t="s">
        <v>7</v>
      </c>
      <c r="G1567" s="17" t="s">
        <v>11</v>
      </c>
      <c r="H1567" s="3" t="s">
        <v>189</v>
      </c>
      <c r="I1567" s="5" t="s">
        <v>435</v>
      </c>
      <c r="J1567" s="16">
        <f>_xlfn.XLOOKUP(CustomerCombinedCleaned[[#This Row],[ID]], Table4[ID], Table4[Recency], "Not Found", 0)</f>
        <v>27</v>
      </c>
      <c r="K1567" s="16">
        <f>_xlfn.XLOOKUP(CustomerCombinedCleaned[[#This Row],[ID]], Table4[ID], Table4[Teas], "Not Found", 0)</f>
        <v>190</v>
      </c>
      <c r="L1567" s="16">
        <f>_xlfn.XLOOKUP(CustomerCombinedCleaned[[#This Row],[ID]], Table4[ID], Table4[Fruits], "Not Found", 0)</f>
        <v>3</v>
      </c>
      <c r="M1567" s="16">
        <f>_xlfn.XLOOKUP(CustomerCombinedCleaned[[#This Row],[ID]], Table4[ID], Table4[Meats], "Not Found", 0)</f>
        <v>62</v>
      </c>
      <c r="N1567" s="16">
        <f>_xlfn.XLOOKUP(CustomerCombinedCleaned[[#This Row],[ID]], Table4[ID], Table4[Seafood], "Not Found", 0)</f>
        <v>0</v>
      </c>
      <c r="O1567" s="16">
        <f>_xlfn.XLOOKUP(CustomerCombinedCleaned[[#This Row],[ID]], Table4[ID], Table4[Sweets], "Not Found", 0)</f>
        <v>3</v>
      </c>
      <c r="P1567" s="16">
        <f>_xlfn.XLOOKUP(CustomerCombinedCleaned[[#This Row],[ID]], Table4[ID], Table4[Premium], "Not Found", 0)</f>
        <v>80</v>
      </c>
      <c r="Q1567" s="16">
        <f>_xlfn.XLOOKUP(CustomerCombinedCleaned[[#This Row],[ID]], Table4[ID], Table4[Regular], "Not Found", 0)</f>
        <v>178</v>
      </c>
      <c r="R1567" s="16">
        <f>_xlfn.XLOOKUP(CustomerCombinedCleaned[[#This Row],[ID]], Table4[ID], Table4[Deals], "Not Found", 0)</f>
        <v>2</v>
      </c>
      <c r="S1567" s="16">
        <f>_xlfn.XLOOKUP(CustomerCombinedCleaned[[#This Row],[ID]], Table4[ID], Table4[Website], "Not Found", 0)</f>
        <v>2</v>
      </c>
      <c r="T1567" s="16">
        <f>_xlfn.XLOOKUP(CustomerCombinedCleaned[[#This Row],[ID]], Table4[ID], Table4[Catalog], "Not Found", 0)</f>
        <v>1</v>
      </c>
      <c r="U1567" s="16">
        <f>_xlfn.XLOOKUP(CustomerCombinedCleaned[[#This Row],[ID]], Table4[ID], Table4[Store], "Not Found", 0)</f>
        <v>3</v>
      </c>
      <c r="V1567" s="16">
        <f>_xlfn.XLOOKUP(CustomerCombinedCleaned[[#This Row],[ID]], Table4[ID], Table4[Visits], "Not Found", 0)</f>
        <v>6</v>
      </c>
      <c r="W1567" s="16">
        <f>_xlfn.XLOOKUP(CustomerCombinedCleaned[[#This Row],[ID]], Table2[ID],Table2[Complaint], "Not Found", 0 )</f>
        <v>0</v>
      </c>
      <c r="X1567" s="16">
        <f>_xlfn.XLOOKUP(CustomerCombinedCleaned[[#This Row],[ID]], Table2[ID],Table2[Pilot], "Not Found", 0 )</f>
        <v>0</v>
      </c>
      <c r="Y1567" s="16">
        <f>_xlfn.XLOOKUP(CustomerCombinedCleaned[[#This Row],[ID]], Table2[ID],Table2[MC1], "Not Found", 0 )</f>
        <v>0</v>
      </c>
      <c r="Z1567" s="16">
        <f>_xlfn.XLOOKUP(CustomerCombinedCleaned[[#This Row],[ID]], Table2[ID],Table2[MC2], "Not Found", 0 )</f>
        <v>0</v>
      </c>
      <c r="AA1567" s="16">
        <f>_xlfn.XLOOKUP(CustomerCombinedCleaned[[#This Row],[ID]], Table2[ID],Table2[MC3], "Not Found", 0 )</f>
        <v>0</v>
      </c>
      <c r="AB1567" s="16">
        <f>_xlfn.XLOOKUP(CustomerCombinedCleaned[[#This Row],[ID]], Table2[ID],Table2[MC4], "Not Found", 0 )</f>
        <v>0</v>
      </c>
      <c r="AC1567" s="16">
        <f>_xlfn.XLOOKUP(CustomerCombinedCleaned[[#This Row],[ID]], Table2[ID],Table2[MC5], "Not Found", 0 )</f>
        <v>0</v>
      </c>
    </row>
    <row r="1568" spans="1:29" x14ac:dyDescent="0.3">
      <c r="A1568" s="18">
        <v>2320</v>
      </c>
      <c r="B1568" s="16">
        <v>150127</v>
      </c>
      <c r="C1568" s="16">
        <v>0</v>
      </c>
      <c r="D1568" s="16">
        <v>1</v>
      </c>
      <c r="E1568" s="16">
        <v>58</v>
      </c>
      <c r="F1568" s="17" t="s">
        <v>8</v>
      </c>
      <c r="G1568" s="17" t="s">
        <v>11</v>
      </c>
      <c r="H1568" s="3" t="s">
        <v>565</v>
      </c>
      <c r="I1568" s="5" t="s">
        <v>439</v>
      </c>
      <c r="J1568" s="16">
        <f>_xlfn.XLOOKUP(CustomerCombinedCleaned[[#This Row],[ID]], Table4[ID], Table4[Recency], "Not Found", 0)</f>
        <v>88</v>
      </c>
      <c r="K1568" s="16">
        <f>_xlfn.XLOOKUP(CustomerCombinedCleaned[[#This Row],[ID]], Table4[ID], Table4[Teas], "Not Found", 0)</f>
        <v>821</v>
      </c>
      <c r="L1568" s="16">
        <f>_xlfn.XLOOKUP(CustomerCombinedCleaned[[#This Row],[ID]], Table4[ID], Table4[Fruits], "Not Found", 0)</f>
        <v>0</v>
      </c>
      <c r="M1568" s="16">
        <f>_xlfn.XLOOKUP(CustomerCombinedCleaned[[#This Row],[ID]], Table4[ID], Table4[Meats], "Not Found", 0)</f>
        <v>63</v>
      </c>
      <c r="N1568" s="16">
        <f>_xlfn.XLOOKUP(CustomerCombinedCleaned[[#This Row],[ID]], Table4[ID], Table4[Seafood], "Not Found", 0)</f>
        <v>12</v>
      </c>
      <c r="O1568" s="16">
        <f>_xlfn.XLOOKUP(CustomerCombinedCleaned[[#This Row],[ID]], Table4[ID], Table4[Sweets], "Not Found", 0)</f>
        <v>18</v>
      </c>
      <c r="P1568" s="16">
        <f>_xlfn.XLOOKUP(CustomerCombinedCleaned[[#This Row],[ID]], Table4[ID], Table4[Premium], "Not Found", 0)</f>
        <v>45</v>
      </c>
      <c r="Q1568" s="16">
        <f>_xlfn.XLOOKUP(CustomerCombinedCleaned[[#This Row],[ID]], Table4[ID], Table4[Regular], "Not Found", 0)</f>
        <v>869</v>
      </c>
      <c r="R1568" s="16">
        <f>_xlfn.XLOOKUP(CustomerCombinedCleaned[[#This Row],[ID]], Table4[ID], Table4[Deals], "Not Found", 0)</f>
        <v>1</v>
      </c>
      <c r="S1568" s="16">
        <f>_xlfn.XLOOKUP(CustomerCombinedCleaned[[#This Row],[ID]], Table4[ID], Table4[Website], "Not Found", 0)</f>
        <v>5</v>
      </c>
      <c r="T1568" s="16">
        <f>_xlfn.XLOOKUP(CustomerCombinedCleaned[[#This Row],[ID]], Table4[ID], Table4[Catalog], "Not Found", 0)</f>
        <v>1</v>
      </c>
      <c r="U1568" s="16">
        <f>_xlfn.XLOOKUP(CustomerCombinedCleaned[[#This Row],[ID]], Table4[ID], Table4[Store], "Not Found", 0)</f>
        <v>6</v>
      </c>
      <c r="V1568" s="16">
        <f>_xlfn.XLOOKUP(CustomerCombinedCleaned[[#This Row],[ID]], Table4[ID], Table4[Visits], "Not Found", 0)</f>
        <v>6</v>
      </c>
      <c r="W1568" s="16">
        <f>_xlfn.XLOOKUP(CustomerCombinedCleaned[[#This Row],[ID]], Table2[ID],Table2[Complaint], "Not Found", 0 )</f>
        <v>0</v>
      </c>
      <c r="X1568" s="16">
        <f>_xlfn.XLOOKUP(CustomerCombinedCleaned[[#This Row],[ID]], Table2[ID],Table2[Pilot], "Not Found", 0 )</f>
        <v>0</v>
      </c>
      <c r="Y1568" s="16">
        <f>_xlfn.XLOOKUP(CustomerCombinedCleaned[[#This Row],[ID]], Table2[ID],Table2[MC1], "Not Found", 0 )</f>
        <v>0</v>
      </c>
      <c r="Z1568" s="16">
        <f>_xlfn.XLOOKUP(CustomerCombinedCleaned[[#This Row],[ID]], Table2[ID],Table2[MC2], "Not Found", 0 )</f>
        <v>0</v>
      </c>
      <c r="AA1568" s="16">
        <f>_xlfn.XLOOKUP(CustomerCombinedCleaned[[#This Row],[ID]], Table2[ID],Table2[MC3], "Not Found", 0 )</f>
        <v>0</v>
      </c>
      <c r="AB1568" s="16">
        <f>_xlfn.XLOOKUP(CustomerCombinedCleaned[[#This Row],[ID]], Table2[ID],Table2[MC4], "Not Found", 0 )</f>
        <v>1</v>
      </c>
      <c r="AC1568" s="16">
        <f>_xlfn.XLOOKUP(CustomerCombinedCleaned[[#This Row],[ID]], Table2[ID],Table2[MC5], "Not Found", 0 )</f>
        <v>0</v>
      </c>
    </row>
    <row r="1569" spans="1:29" x14ac:dyDescent="0.3">
      <c r="A1569" s="18">
        <v>2532</v>
      </c>
      <c r="B1569" s="16">
        <v>147175</v>
      </c>
      <c r="C1569" s="16">
        <v>1</v>
      </c>
      <c r="D1569" s="16">
        <v>1</v>
      </c>
      <c r="E1569" s="16">
        <v>58</v>
      </c>
      <c r="F1569" s="17" t="s">
        <v>8</v>
      </c>
      <c r="G1569" s="17" t="s">
        <v>12</v>
      </c>
      <c r="H1569" s="3" t="s">
        <v>756</v>
      </c>
      <c r="I1569" s="5" t="s">
        <v>436</v>
      </c>
      <c r="J1569" s="16">
        <f>_xlfn.XLOOKUP(CustomerCombinedCleaned[[#This Row],[ID]], Table4[ID], Table4[Recency], "Not Found", 0)</f>
        <v>81</v>
      </c>
      <c r="K1569" s="16">
        <f>_xlfn.XLOOKUP(CustomerCombinedCleaned[[#This Row],[ID]], Table4[ID], Table4[Teas], "Not Found", 0)</f>
        <v>521</v>
      </c>
      <c r="L1569" s="16">
        <f>_xlfn.XLOOKUP(CustomerCombinedCleaned[[#This Row],[ID]], Table4[ID], Table4[Fruits], "Not Found", 0)</f>
        <v>6</v>
      </c>
      <c r="M1569" s="16">
        <f>_xlfn.XLOOKUP(CustomerCombinedCleaned[[#This Row],[ID]], Table4[ID], Table4[Meats], "Not Found", 0)</f>
        <v>137</v>
      </c>
      <c r="N1569" s="16">
        <f>_xlfn.XLOOKUP(CustomerCombinedCleaned[[#This Row],[ID]], Table4[ID], Table4[Seafood], "Not Found", 0)</f>
        <v>19</v>
      </c>
      <c r="O1569" s="16">
        <f>_xlfn.XLOOKUP(CustomerCombinedCleaned[[#This Row],[ID]], Table4[ID], Table4[Sweets], "Not Found", 0)</f>
        <v>6</v>
      </c>
      <c r="P1569" s="16">
        <f>_xlfn.XLOOKUP(CustomerCombinedCleaned[[#This Row],[ID]], Table4[ID], Table4[Premium], "Not Found", 0)</f>
        <v>59</v>
      </c>
      <c r="Q1569" s="16">
        <f>_xlfn.XLOOKUP(CustomerCombinedCleaned[[#This Row],[ID]], Table4[ID], Table4[Regular], "Not Found", 0)</f>
        <v>630</v>
      </c>
      <c r="R1569" s="16">
        <f>_xlfn.XLOOKUP(CustomerCombinedCleaned[[#This Row],[ID]], Table4[ID], Table4[Deals], "Not Found", 0)</f>
        <v>7</v>
      </c>
      <c r="S1569" s="16">
        <f>_xlfn.XLOOKUP(CustomerCombinedCleaned[[#This Row],[ID]], Table4[ID], Table4[Website], "Not Found", 0)</f>
        <v>4</v>
      </c>
      <c r="T1569" s="16">
        <f>_xlfn.XLOOKUP(CustomerCombinedCleaned[[#This Row],[ID]], Table4[ID], Table4[Catalog], "Not Found", 0)</f>
        <v>2</v>
      </c>
      <c r="U1569" s="16">
        <f>_xlfn.XLOOKUP(CustomerCombinedCleaned[[#This Row],[ID]], Table4[ID], Table4[Store], "Not Found", 0)</f>
        <v>4</v>
      </c>
      <c r="V1569" s="16">
        <f>_xlfn.XLOOKUP(CustomerCombinedCleaned[[#This Row],[ID]], Table4[ID], Table4[Visits], "Not Found", 0)</f>
        <v>8</v>
      </c>
      <c r="W1569" s="16">
        <f>_xlfn.XLOOKUP(CustomerCombinedCleaned[[#This Row],[ID]], Table2[ID],Table2[Complaint], "Not Found", 0 )</f>
        <v>0</v>
      </c>
      <c r="X1569" s="16">
        <f>_xlfn.XLOOKUP(CustomerCombinedCleaned[[#This Row],[ID]], Table2[ID],Table2[Pilot], "Not Found", 0 )</f>
        <v>1</v>
      </c>
      <c r="Y1569" s="16">
        <f>_xlfn.XLOOKUP(CustomerCombinedCleaned[[#This Row],[ID]], Table2[ID],Table2[MC1], "Not Found", 0 )</f>
        <v>0</v>
      </c>
      <c r="Z1569" s="16">
        <f>_xlfn.XLOOKUP(CustomerCombinedCleaned[[#This Row],[ID]], Table2[ID],Table2[MC2], "Not Found", 0 )</f>
        <v>0</v>
      </c>
      <c r="AA1569" s="16">
        <f>_xlfn.XLOOKUP(CustomerCombinedCleaned[[#This Row],[ID]], Table2[ID],Table2[MC3], "Not Found", 0 )</f>
        <v>1</v>
      </c>
      <c r="AB1569" s="16">
        <f>_xlfn.XLOOKUP(CustomerCombinedCleaned[[#This Row],[ID]], Table2[ID],Table2[MC4], "Not Found", 0 )</f>
        <v>0</v>
      </c>
      <c r="AC1569" s="16">
        <f>_xlfn.XLOOKUP(CustomerCombinedCleaned[[#This Row],[ID]], Table2[ID],Table2[MC5], "Not Found", 0 )</f>
        <v>0</v>
      </c>
    </row>
    <row r="1570" spans="1:29" x14ac:dyDescent="0.3">
      <c r="A1570" s="18">
        <v>1618</v>
      </c>
      <c r="B1570" s="16">
        <v>146102</v>
      </c>
      <c r="C1570" s="16">
        <v>2</v>
      </c>
      <c r="D1570" s="16">
        <v>1</v>
      </c>
      <c r="E1570" s="16">
        <v>58</v>
      </c>
      <c r="F1570" s="17" t="s">
        <v>5</v>
      </c>
      <c r="G1570" s="17" t="s">
        <v>11</v>
      </c>
      <c r="H1570" s="3" t="s">
        <v>89</v>
      </c>
      <c r="I1570" s="5" t="s">
        <v>439</v>
      </c>
      <c r="J1570" s="16">
        <f>_xlfn.XLOOKUP(CustomerCombinedCleaned[[#This Row],[ID]], Table4[ID], Table4[Recency], "Not Found", 0)</f>
        <v>3</v>
      </c>
      <c r="K1570" s="16">
        <f>_xlfn.XLOOKUP(CustomerCombinedCleaned[[#This Row],[ID]], Table4[ID], Table4[Teas], "Not Found", 0)</f>
        <v>44</v>
      </c>
      <c r="L1570" s="16">
        <f>_xlfn.XLOOKUP(CustomerCombinedCleaned[[#This Row],[ID]], Table4[ID], Table4[Fruits], "Not Found", 0)</f>
        <v>0</v>
      </c>
      <c r="M1570" s="16">
        <f>_xlfn.XLOOKUP(CustomerCombinedCleaned[[#This Row],[ID]], Table4[ID], Table4[Meats], "Not Found", 0)</f>
        <v>3</v>
      </c>
      <c r="N1570" s="16">
        <f>_xlfn.XLOOKUP(CustomerCombinedCleaned[[#This Row],[ID]], Table4[ID], Table4[Seafood], "Not Found", 0)</f>
        <v>0</v>
      </c>
      <c r="O1570" s="16">
        <f>_xlfn.XLOOKUP(CustomerCombinedCleaned[[#This Row],[ID]], Table4[ID], Table4[Sweets], "Not Found", 0)</f>
        <v>0</v>
      </c>
      <c r="P1570" s="16">
        <f>_xlfn.XLOOKUP(CustomerCombinedCleaned[[#This Row],[ID]], Table4[ID], Table4[Premium], "Not Found", 0)</f>
        <v>3</v>
      </c>
      <c r="Q1570" s="16">
        <f>_xlfn.XLOOKUP(CustomerCombinedCleaned[[#This Row],[ID]], Table4[ID], Table4[Regular], "Not Found", 0)</f>
        <v>44</v>
      </c>
      <c r="R1570" s="16">
        <f>_xlfn.XLOOKUP(CustomerCombinedCleaned[[#This Row],[ID]], Table4[ID], Table4[Deals], "Not Found", 0)</f>
        <v>1</v>
      </c>
      <c r="S1570" s="16">
        <f>_xlfn.XLOOKUP(CustomerCombinedCleaned[[#This Row],[ID]], Table4[ID], Table4[Website], "Not Found", 0)</f>
        <v>1</v>
      </c>
      <c r="T1570" s="16">
        <f>_xlfn.XLOOKUP(CustomerCombinedCleaned[[#This Row],[ID]], Table4[ID], Table4[Catalog], "Not Found", 0)</f>
        <v>0</v>
      </c>
      <c r="U1570" s="16">
        <f>_xlfn.XLOOKUP(CustomerCombinedCleaned[[#This Row],[ID]], Table4[ID], Table4[Store], "Not Found", 0)</f>
        <v>2</v>
      </c>
      <c r="V1570" s="16">
        <f>_xlfn.XLOOKUP(CustomerCombinedCleaned[[#This Row],[ID]], Table4[ID], Table4[Visits], "Not Found", 0)</f>
        <v>7</v>
      </c>
      <c r="W1570" s="16">
        <f>_xlfn.XLOOKUP(CustomerCombinedCleaned[[#This Row],[ID]], Table2[ID],Table2[Complaint], "Not Found", 0 )</f>
        <v>0</v>
      </c>
      <c r="X1570" s="16">
        <f>_xlfn.XLOOKUP(CustomerCombinedCleaned[[#This Row],[ID]], Table2[ID],Table2[Pilot], "Not Found", 0 )</f>
        <v>0</v>
      </c>
      <c r="Y1570" s="16">
        <f>_xlfn.XLOOKUP(CustomerCombinedCleaned[[#This Row],[ID]], Table2[ID],Table2[MC1], "Not Found", 0 )</f>
        <v>0</v>
      </c>
      <c r="Z1570" s="16">
        <f>_xlfn.XLOOKUP(CustomerCombinedCleaned[[#This Row],[ID]], Table2[ID],Table2[MC2], "Not Found", 0 )</f>
        <v>0</v>
      </c>
      <c r="AA1570" s="16">
        <f>_xlfn.XLOOKUP(CustomerCombinedCleaned[[#This Row],[ID]], Table2[ID],Table2[MC3], "Not Found", 0 )</f>
        <v>0</v>
      </c>
      <c r="AB1570" s="16">
        <f>_xlfn.XLOOKUP(CustomerCombinedCleaned[[#This Row],[ID]], Table2[ID],Table2[MC4], "Not Found", 0 )</f>
        <v>0</v>
      </c>
      <c r="AC1570" s="16">
        <f>_xlfn.XLOOKUP(CustomerCombinedCleaned[[#This Row],[ID]], Table2[ID],Table2[MC5], "Not Found", 0 )</f>
        <v>0</v>
      </c>
    </row>
    <row r="1571" spans="1:29" x14ac:dyDescent="0.3">
      <c r="A1571" s="18">
        <v>1776</v>
      </c>
      <c r="B1571" s="16">
        <v>145183</v>
      </c>
      <c r="C1571" s="16">
        <v>0</v>
      </c>
      <c r="D1571" s="16">
        <v>0</v>
      </c>
      <c r="E1571" s="16">
        <v>58</v>
      </c>
      <c r="F1571" s="17" t="s">
        <v>7</v>
      </c>
      <c r="G1571" s="17" t="s">
        <v>12</v>
      </c>
      <c r="H1571" s="3" t="s">
        <v>321</v>
      </c>
      <c r="I1571" s="5" t="s">
        <v>436</v>
      </c>
      <c r="J1571" s="16">
        <f>_xlfn.XLOOKUP(CustomerCombinedCleaned[[#This Row],[ID]], Table4[ID], Table4[Recency], "Not Found", 0)</f>
        <v>33</v>
      </c>
      <c r="K1571" s="16">
        <f>_xlfn.XLOOKUP(CustomerCombinedCleaned[[#This Row],[ID]], Table4[ID], Table4[Teas], "Not Found", 0)</f>
        <v>704</v>
      </c>
      <c r="L1571" s="16">
        <f>_xlfn.XLOOKUP(CustomerCombinedCleaned[[#This Row],[ID]], Table4[ID], Table4[Fruits], "Not Found", 0)</f>
        <v>10</v>
      </c>
      <c r="M1571" s="16">
        <f>_xlfn.XLOOKUP(CustomerCombinedCleaned[[#This Row],[ID]], Table4[ID], Table4[Meats], "Not Found", 0)</f>
        <v>193</v>
      </c>
      <c r="N1571" s="16">
        <f>_xlfn.XLOOKUP(CustomerCombinedCleaned[[#This Row],[ID]], Table4[ID], Table4[Seafood], "Not Found", 0)</f>
        <v>39</v>
      </c>
      <c r="O1571" s="16">
        <f>_xlfn.XLOOKUP(CustomerCombinedCleaned[[#This Row],[ID]], Table4[ID], Table4[Sweets], "Not Found", 0)</f>
        <v>29</v>
      </c>
      <c r="P1571" s="16">
        <f>_xlfn.XLOOKUP(CustomerCombinedCleaned[[#This Row],[ID]], Table4[ID], Table4[Premium], "Not Found", 0)</f>
        <v>39</v>
      </c>
      <c r="Q1571" s="16">
        <f>_xlfn.XLOOKUP(CustomerCombinedCleaned[[#This Row],[ID]], Table4[ID], Table4[Regular], "Not Found", 0)</f>
        <v>935</v>
      </c>
      <c r="R1571" s="16">
        <f>_xlfn.XLOOKUP(CustomerCombinedCleaned[[#This Row],[ID]], Table4[ID], Table4[Deals], "Not Found", 0)</f>
        <v>1</v>
      </c>
      <c r="S1571" s="16">
        <f>_xlfn.XLOOKUP(CustomerCombinedCleaned[[#This Row],[ID]], Table4[ID], Table4[Website], "Not Found", 0)</f>
        <v>4</v>
      </c>
      <c r="T1571" s="16">
        <f>_xlfn.XLOOKUP(CustomerCombinedCleaned[[#This Row],[ID]], Table4[ID], Table4[Catalog], "Not Found", 0)</f>
        <v>1</v>
      </c>
      <c r="U1571" s="16">
        <f>_xlfn.XLOOKUP(CustomerCombinedCleaned[[#This Row],[ID]], Table4[ID], Table4[Store], "Not Found", 0)</f>
        <v>7</v>
      </c>
      <c r="V1571" s="16">
        <f>_xlfn.XLOOKUP(CustomerCombinedCleaned[[#This Row],[ID]], Table4[ID], Table4[Visits], "Not Found", 0)</f>
        <v>7</v>
      </c>
      <c r="W1571" s="16">
        <f>_xlfn.XLOOKUP(CustomerCombinedCleaned[[#This Row],[ID]], Table2[ID],Table2[Complaint], "Not Found", 0 )</f>
        <v>0</v>
      </c>
      <c r="X1571" s="16">
        <f>_xlfn.XLOOKUP(CustomerCombinedCleaned[[#This Row],[ID]], Table2[ID],Table2[Pilot], "Not Found", 0 )</f>
        <v>0</v>
      </c>
      <c r="Y1571" s="16">
        <f>_xlfn.XLOOKUP(CustomerCombinedCleaned[[#This Row],[ID]], Table2[ID],Table2[MC1], "Not Found", 0 )</f>
        <v>0</v>
      </c>
      <c r="Z1571" s="16">
        <f>_xlfn.XLOOKUP(CustomerCombinedCleaned[[#This Row],[ID]], Table2[ID],Table2[MC2], "Not Found", 0 )</f>
        <v>0</v>
      </c>
      <c r="AA1571" s="16">
        <f>_xlfn.XLOOKUP(CustomerCombinedCleaned[[#This Row],[ID]], Table2[ID],Table2[MC3], "Not Found", 0 )</f>
        <v>0</v>
      </c>
      <c r="AB1571" s="16">
        <f>_xlfn.XLOOKUP(CustomerCombinedCleaned[[#This Row],[ID]], Table2[ID],Table2[MC4], "Not Found", 0 )</f>
        <v>1</v>
      </c>
      <c r="AC1571" s="16">
        <f>_xlfn.XLOOKUP(CustomerCombinedCleaned[[#This Row],[ID]], Table2[ID],Table2[MC5], "Not Found", 0 )</f>
        <v>0</v>
      </c>
    </row>
    <row r="1572" spans="1:29" x14ac:dyDescent="0.3">
      <c r="A1572" s="18">
        <v>3117</v>
      </c>
      <c r="B1572" s="16">
        <v>142769</v>
      </c>
      <c r="C1572" s="16">
        <v>0</v>
      </c>
      <c r="D1572" s="16">
        <v>1</v>
      </c>
      <c r="E1572" s="16">
        <v>58</v>
      </c>
      <c r="F1572" s="17" t="s">
        <v>6</v>
      </c>
      <c r="G1572" s="17" t="s">
        <v>13</v>
      </c>
      <c r="H1572" s="3" t="s">
        <v>170</v>
      </c>
      <c r="I1572" s="5" t="s">
        <v>435</v>
      </c>
      <c r="J1572" s="16">
        <f>_xlfn.XLOOKUP(CustomerCombinedCleaned[[#This Row],[ID]], Table4[ID], Table4[Recency], "Not Found", 0)</f>
        <v>15</v>
      </c>
      <c r="K1572" s="16">
        <f>_xlfn.XLOOKUP(CustomerCombinedCleaned[[#This Row],[ID]], Table4[ID], Table4[Teas], "Not Found", 0)</f>
        <v>237</v>
      </c>
      <c r="L1572" s="16">
        <f>_xlfn.XLOOKUP(CustomerCombinedCleaned[[#This Row],[ID]], Table4[ID], Table4[Fruits], "Not Found", 0)</f>
        <v>0</v>
      </c>
      <c r="M1572" s="16">
        <f>_xlfn.XLOOKUP(CustomerCombinedCleaned[[#This Row],[ID]], Table4[ID], Table4[Meats], "Not Found", 0)</f>
        <v>43</v>
      </c>
      <c r="N1572" s="16">
        <f>_xlfn.XLOOKUP(CustomerCombinedCleaned[[#This Row],[ID]], Table4[ID], Table4[Seafood], "Not Found", 0)</f>
        <v>10</v>
      </c>
      <c r="O1572" s="16">
        <f>_xlfn.XLOOKUP(CustomerCombinedCleaned[[#This Row],[ID]], Table4[ID], Table4[Sweets], "Not Found", 0)</f>
        <v>3</v>
      </c>
      <c r="P1572" s="16">
        <f>_xlfn.XLOOKUP(CustomerCombinedCleaned[[#This Row],[ID]], Table4[ID], Table4[Premium], "Not Found", 0)</f>
        <v>0</v>
      </c>
      <c r="Q1572" s="16">
        <f>_xlfn.XLOOKUP(CustomerCombinedCleaned[[#This Row],[ID]], Table4[ID], Table4[Regular], "Not Found", 0)</f>
        <v>294</v>
      </c>
      <c r="R1572" s="16">
        <f>_xlfn.XLOOKUP(CustomerCombinedCleaned[[#This Row],[ID]], Table4[ID], Table4[Deals], "Not Found", 0)</f>
        <v>2</v>
      </c>
      <c r="S1572" s="16">
        <f>_xlfn.XLOOKUP(CustomerCombinedCleaned[[#This Row],[ID]], Table4[ID], Table4[Website], "Not Found", 0)</f>
        <v>1</v>
      </c>
      <c r="T1572" s="16">
        <f>_xlfn.XLOOKUP(CustomerCombinedCleaned[[#This Row],[ID]], Table4[ID], Table4[Catalog], "Not Found", 0)</f>
        <v>1</v>
      </c>
      <c r="U1572" s="16">
        <f>_xlfn.XLOOKUP(CustomerCombinedCleaned[[#This Row],[ID]], Table4[ID], Table4[Store], "Not Found", 0)</f>
        <v>4</v>
      </c>
      <c r="V1572" s="16">
        <f>_xlfn.XLOOKUP(CustomerCombinedCleaned[[#This Row],[ID]], Table4[ID], Table4[Visits], "Not Found", 0)</f>
        <v>4</v>
      </c>
      <c r="W1572" s="16">
        <f>_xlfn.XLOOKUP(CustomerCombinedCleaned[[#This Row],[ID]], Table2[ID],Table2[Complaint], "Not Found", 0 )</f>
        <v>0</v>
      </c>
      <c r="X1572" s="16">
        <f>_xlfn.XLOOKUP(CustomerCombinedCleaned[[#This Row],[ID]], Table2[ID],Table2[Pilot], "Not Found", 0 )</f>
        <v>0</v>
      </c>
      <c r="Y1572" s="16">
        <f>_xlfn.XLOOKUP(CustomerCombinedCleaned[[#This Row],[ID]], Table2[ID],Table2[MC1], "Not Found", 0 )</f>
        <v>0</v>
      </c>
      <c r="Z1572" s="16">
        <f>_xlfn.XLOOKUP(CustomerCombinedCleaned[[#This Row],[ID]], Table2[ID],Table2[MC2], "Not Found", 0 )</f>
        <v>0</v>
      </c>
      <c r="AA1572" s="16">
        <f>_xlfn.XLOOKUP(CustomerCombinedCleaned[[#This Row],[ID]], Table2[ID],Table2[MC3], "Not Found", 0 )</f>
        <v>0</v>
      </c>
      <c r="AB1572" s="16">
        <f>_xlfn.XLOOKUP(CustomerCombinedCleaned[[#This Row],[ID]], Table2[ID],Table2[MC4], "Not Found", 0 )</f>
        <v>0</v>
      </c>
      <c r="AC1572" s="16">
        <f>_xlfn.XLOOKUP(CustomerCombinedCleaned[[#This Row],[ID]], Table2[ID],Table2[MC5], "Not Found", 0 )</f>
        <v>0</v>
      </c>
    </row>
    <row r="1573" spans="1:29" x14ac:dyDescent="0.3">
      <c r="A1573" s="18">
        <v>2106</v>
      </c>
      <c r="B1573" s="16">
        <v>139552</v>
      </c>
      <c r="C1573" s="16">
        <v>1</v>
      </c>
      <c r="D1573" s="16">
        <v>1</v>
      </c>
      <c r="E1573" s="16">
        <v>58</v>
      </c>
      <c r="F1573" s="17" t="s">
        <v>5</v>
      </c>
      <c r="G1573" s="17" t="s">
        <v>11</v>
      </c>
      <c r="H1573" s="3" t="s">
        <v>341</v>
      </c>
      <c r="I1573" s="5" t="s">
        <v>436</v>
      </c>
      <c r="J1573" s="16">
        <f>_xlfn.XLOOKUP(CustomerCombinedCleaned[[#This Row],[ID]], Table4[ID], Table4[Recency], "Not Found", 0)</f>
        <v>54</v>
      </c>
      <c r="K1573" s="16">
        <f>_xlfn.XLOOKUP(CustomerCombinedCleaned[[#This Row],[ID]], Table4[ID], Table4[Teas], "Not Found", 0)</f>
        <v>582</v>
      </c>
      <c r="L1573" s="16">
        <f>_xlfn.XLOOKUP(CustomerCombinedCleaned[[#This Row],[ID]], Table4[ID], Table4[Fruits], "Not Found", 0)</f>
        <v>11</v>
      </c>
      <c r="M1573" s="16">
        <f>_xlfn.XLOOKUP(CustomerCombinedCleaned[[#This Row],[ID]], Table4[ID], Table4[Meats], "Not Found", 0)</f>
        <v>519</v>
      </c>
      <c r="N1573" s="16">
        <f>_xlfn.XLOOKUP(CustomerCombinedCleaned[[#This Row],[ID]], Table4[ID], Table4[Seafood], "Not Found", 0)</f>
        <v>14</v>
      </c>
      <c r="O1573" s="16">
        <f>_xlfn.XLOOKUP(CustomerCombinedCleaned[[#This Row],[ID]], Table4[ID], Table4[Sweets], "Not Found", 0)</f>
        <v>85</v>
      </c>
      <c r="P1573" s="16">
        <f>_xlfn.XLOOKUP(CustomerCombinedCleaned[[#This Row],[ID]], Table4[ID], Table4[Premium], "Not Found", 0)</f>
        <v>145</v>
      </c>
      <c r="Q1573" s="16">
        <f>_xlfn.XLOOKUP(CustomerCombinedCleaned[[#This Row],[ID]], Table4[ID], Table4[Regular], "Not Found", 0)</f>
        <v>1066</v>
      </c>
      <c r="R1573" s="16">
        <f>_xlfn.XLOOKUP(CustomerCombinedCleaned[[#This Row],[ID]], Table4[ID], Table4[Deals], "Not Found", 0)</f>
        <v>7</v>
      </c>
      <c r="S1573" s="16">
        <f>_xlfn.XLOOKUP(CustomerCombinedCleaned[[#This Row],[ID]], Table4[ID], Table4[Website], "Not Found", 0)</f>
        <v>6</v>
      </c>
      <c r="T1573" s="16">
        <f>_xlfn.XLOOKUP(CustomerCombinedCleaned[[#This Row],[ID]], Table4[ID], Table4[Catalog], "Not Found", 0)</f>
        <v>2</v>
      </c>
      <c r="U1573" s="16">
        <f>_xlfn.XLOOKUP(CustomerCombinedCleaned[[#This Row],[ID]], Table4[ID], Table4[Store], "Not Found", 0)</f>
        <v>5</v>
      </c>
      <c r="V1573" s="16">
        <f>_xlfn.XLOOKUP(CustomerCombinedCleaned[[#This Row],[ID]], Table4[ID], Table4[Visits], "Not Found", 0)</f>
        <v>8</v>
      </c>
      <c r="W1573" s="16">
        <f>_xlfn.XLOOKUP(CustomerCombinedCleaned[[#This Row],[ID]], Table2[ID],Table2[Complaint], "Not Found", 0 )</f>
        <v>0</v>
      </c>
      <c r="X1573" s="16">
        <f>_xlfn.XLOOKUP(CustomerCombinedCleaned[[#This Row],[ID]], Table2[ID],Table2[Pilot], "Not Found", 0 )</f>
        <v>1</v>
      </c>
      <c r="Y1573" s="16">
        <f>_xlfn.XLOOKUP(CustomerCombinedCleaned[[#This Row],[ID]], Table2[ID],Table2[MC1], "Not Found", 0 )</f>
        <v>0</v>
      </c>
      <c r="Z1573" s="16">
        <f>_xlfn.XLOOKUP(CustomerCombinedCleaned[[#This Row],[ID]], Table2[ID],Table2[MC2], "Not Found", 0 )</f>
        <v>0</v>
      </c>
      <c r="AA1573" s="16">
        <f>_xlfn.XLOOKUP(CustomerCombinedCleaned[[#This Row],[ID]], Table2[ID],Table2[MC3], "Not Found", 0 )</f>
        <v>0</v>
      </c>
      <c r="AB1573" s="16">
        <f>_xlfn.XLOOKUP(CustomerCombinedCleaned[[#This Row],[ID]], Table2[ID],Table2[MC4], "Not Found", 0 )</f>
        <v>0</v>
      </c>
      <c r="AC1573" s="16">
        <f>_xlfn.XLOOKUP(CustomerCombinedCleaned[[#This Row],[ID]], Table2[ID],Table2[MC5], "Not Found", 0 )</f>
        <v>0</v>
      </c>
    </row>
    <row r="1574" spans="1:29" x14ac:dyDescent="0.3">
      <c r="A1574" s="18">
        <v>1808</v>
      </c>
      <c r="B1574" s="16">
        <v>137859</v>
      </c>
      <c r="C1574" s="16">
        <v>1</v>
      </c>
      <c r="D1574" s="16">
        <v>2</v>
      </c>
      <c r="E1574" s="16">
        <v>58</v>
      </c>
      <c r="F1574" s="17" t="s">
        <v>5</v>
      </c>
      <c r="G1574" s="17" t="s">
        <v>11</v>
      </c>
      <c r="H1574" s="3" t="s">
        <v>328</v>
      </c>
      <c r="I1574" s="5" t="s">
        <v>438</v>
      </c>
      <c r="J1574" s="16">
        <f>_xlfn.XLOOKUP(CustomerCombinedCleaned[[#This Row],[ID]], Table4[ID], Table4[Recency], "Not Found", 0)</f>
        <v>75</v>
      </c>
      <c r="K1574" s="16">
        <f>_xlfn.XLOOKUP(CustomerCombinedCleaned[[#This Row],[ID]], Table4[ID], Table4[Teas], "Not Found", 0)</f>
        <v>80</v>
      </c>
      <c r="L1574" s="16">
        <f>_xlfn.XLOOKUP(CustomerCombinedCleaned[[#This Row],[ID]], Table4[ID], Table4[Fruits], "Not Found", 0)</f>
        <v>4</v>
      </c>
      <c r="M1574" s="16">
        <f>_xlfn.XLOOKUP(CustomerCombinedCleaned[[#This Row],[ID]], Table4[ID], Table4[Meats], "Not Found", 0)</f>
        <v>29</v>
      </c>
      <c r="N1574" s="16">
        <f>_xlfn.XLOOKUP(CustomerCombinedCleaned[[#This Row],[ID]], Table4[ID], Table4[Seafood], "Not Found", 0)</f>
        <v>7</v>
      </c>
      <c r="O1574" s="16">
        <f>_xlfn.XLOOKUP(CustomerCombinedCleaned[[#This Row],[ID]], Table4[ID], Table4[Sweets], "Not Found", 0)</f>
        <v>4</v>
      </c>
      <c r="P1574" s="16">
        <f>_xlfn.XLOOKUP(CustomerCombinedCleaned[[#This Row],[ID]], Table4[ID], Table4[Premium], "Not Found", 0)</f>
        <v>7</v>
      </c>
      <c r="Q1574" s="16">
        <f>_xlfn.XLOOKUP(CustomerCombinedCleaned[[#This Row],[ID]], Table4[ID], Table4[Regular], "Not Found", 0)</f>
        <v>117</v>
      </c>
      <c r="R1574" s="16">
        <f>_xlfn.XLOOKUP(CustomerCombinedCleaned[[#This Row],[ID]], Table4[ID], Table4[Deals], "Not Found", 0)</f>
        <v>2</v>
      </c>
      <c r="S1574" s="16">
        <f>_xlfn.XLOOKUP(CustomerCombinedCleaned[[#This Row],[ID]], Table4[ID], Table4[Website], "Not Found", 0)</f>
        <v>1</v>
      </c>
      <c r="T1574" s="16">
        <f>_xlfn.XLOOKUP(CustomerCombinedCleaned[[#This Row],[ID]], Table4[ID], Table4[Catalog], "Not Found", 0)</f>
        <v>0</v>
      </c>
      <c r="U1574" s="16">
        <f>_xlfn.XLOOKUP(CustomerCombinedCleaned[[#This Row],[ID]], Table4[ID], Table4[Store], "Not Found", 0)</f>
        <v>3</v>
      </c>
      <c r="V1574" s="16">
        <f>_xlfn.XLOOKUP(CustomerCombinedCleaned[[#This Row],[ID]], Table4[ID], Table4[Visits], "Not Found", 0)</f>
        <v>8</v>
      </c>
      <c r="W1574" s="16">
        <f>_xlfn.XLOOKUP(CustomerCombinedCleaned[[#This Row],[ID]], Table2[ID],Table2[Complaint], "Not Found", 0 )</f>
        <v>0</v>
      </c>
      <c r="X1574" s="16">
        <f>_xlfn.XLOOKUP(CustomerCombinedCleaned[[#This Row],[ID]], Table2[ID],Table2[Pilot], "Not Found", 0 )</f>
        <v>0</v>
      </c>
      <c r="Y1574" s="16">
        <f>_xlfn.XLOOKUP(CustomerCombinedCleaned[[#This Row],[ID]], Table2[ID],Table2[MC1], "Not Found", 0 )</f>
        <v>0</v>
      </c>
      <c r="Z1574" s="16">
        <f>_xlfn.XLOOKUP(CustomerCombinedCleaned[[#This Row],[ID]], Table2[ID],Table2[MC2], "Not Found", 0 )</f>
        <v>0</v>
      </c>
      <c r="AA1574" s="16">
        <f>_xlfn.XLOOKUP(CustomerCombinedCleaned[[#This Row],[ID]], Table2[ID],Table2[MC3], "Not Found", 0 )</f>
        <v>0</v>
      </c>
      <c r="AB1574" s="16">
        <f>_xlfn.XLOOKUP(CustomerCombinedCleaned[[#This Row],[ID]], Table2[ID],Table2[MC4], "Not Found", 0 )</f>
        <v>0</v>
      </c>
      <c r="AC1574" s="16">
        <f>_xlfn.XLOOKUP(CustomerCombinedCleaned[[#This Row],[ID]], Table2[ID],Table2[MC5], "Not Found", 0 )</f>
        <v>0</v>
      </c>
    </row>
    <row r="1575" spans="1:29" x14ac:dyDescent="0.3">
      <c r="A1575" s="18">
        <v>2124</v>
      </c>
      <c r="B1575" s="16">
        <v>133419</v>
      </c>
      <c r="C1575" s="16">
        <v>0</v>
      </c>
      <c r="D1575" s="16">
        <v>1</v>
      </c>
      <c r="E1575" s="16">
        <v>58</v>
      </c>
      <c r="F1575" s="17" t="s">
        <v>7</v>
      </c>
      <c r="G1575" s="17" t="s">
        <v>13</v>
      </c>
      <c r="H1575" s="3" t="s">
        <v>200</v>
      </c>
      <c r="I1575" s="5" t="s">
        <v>436</v>
      </c>
      <c r="J1575" s="16">
        <f>_xlfn.XLOOKUP(CustomerCombinedCleaned[[#This Row],[ID]], Table4[ID], Table4[Recency], "Not Found", 0)</f>
        <v>76</v>
      </c>
      <c r="K1575" s="16">
        <f>_xlfn.XLOOKUP(CustomerCombinedCleaned[[#This Row],[ID]], Table4[ID], Table4[Teas], "Not Found", 0)</f>
        <v>224</v>
      </c>
      <c r="L1575" s="16">
        <f>_xlfn.XLOOKUP(CustomerCombinedCleaned[[#This Row],[ID]], Table4[ID], Table4[Fruits], "Not Found", 0)</f>
        <v>0</v>
      </c>
      <c r="M1575" s="16">
        <f>_xlfn.XLOOKUP(CustomerCombinedCleaned[[#This Row],[ID]], Table4[ID], Table4[Meats], "Not Found", 0)</f>
        <v>48</v>
      </c>
      <c r="N1575" s="16">
        <f>_xlfn.XLOOKUP(CustomerCombinedCleaned[[#This Row],[ID]], Table4[ID], Table4[Seafood], "Not Found", 0)</f>
        <v>0</v>
      </c>
      <c r="O1575" s="16">
        <f>_xlfn.XLOOKUP(CustomerCombinedCleaned[[#This Row],[ID]], Table4[ID], Table4[Sweets], "Not Found", 0)</f>
        <v>0</v>
      </c>
      <c r="P1575" s="16">
        <f>_xlfn.XLOOKUP(CustomerCombinedCleaned[[#This Row],[ID]], Table4[ID], Table4[Premium], "Not Found", 0)</f>
        <v>72</v>
      </c>
      <c r="Q1575" s="16">
        <f>_xlfn.XLOOKUP(CustomerCombinedCleaned[[#This Row],[ID]], Table4[ID], Table4[Regular], "Not Found", 0)</f>
        <v>200</v>
      </c>
      <c r="R1575" s="16">
        <f>_xlfn.XLOOKUP(CustomerCombinedCleaned[[#This Row],[ID]], Table4[ID], Table4[Deals], "Not Found", 0)</f>
        <v>2</v>
      </c>
      <c r="S1575" s="16">
        <f>_xlfn.XLOOKUP(CustomerCombinedCleaned[[#This Row],[ID]], Table4[ID], Table4[Website], "Not Found", 0)</f>
        <v>2</v>
      </c>
      <c r="T1575" s="16">
        <f>_xlfn.XLOOKUP(CustomerCombinedCleaned[[#This Row],[ID]], Table4[ID], Table4[Catalog], "Not Found", 0)</f>
        <v>0</v>
      </c>
      <c r="U1575" s="16">
        <f>_xlfn.XLOOKUP(CustomerCombinedCleaned[[#This Row],[ID]], Table4[ID], Table4[Store], "Not Found", 0)</f>
        <v>4</v>
      </c>
      <c r="V1575" s="16">
        <f>_xlfn.XLOOKUP(CustomerCombinedCleaned[[#This Row],[ID]], Table4[ID], Table4[Visits], "Not Found", 0)</f>
        <v>7</v>
      </c>
      <c r="W1575" s="16">
        <f>_xlfn.XLOOKUP(CustomerCombinedCleaned[[#This Row],[ID]], Table2[ID],Table2[Complaint], "Not Found", 0 )</f>
        <v>0</v>
      </c>
      <c r="X1575" s="16">
        <f>_xlfn.XLOOKUP(CustomerCombinedCleaned[[#This Row],[ID]], Table2[ID],Table2[Pilot], "Not Found", 0 )</f>
        <v>0</v>
      </c>
      <c r="Y1575" s="16">
        <f>_xlfn.XLOOKUP(CustomerCombinedCleaned[[#This Row],[ID]], Table2[ID],Table2[MC1], "Not Found", 0 )</f>
        <v>0</v>
      </c>
      <c r="Z1575" s="16">
        <f>_xlfn.XLOOKUP(CustomerCombinedCleaned[[#This Row],[ID]], Table2[ID],Table2[MC2], "Not Found", 0 )</f>
        <v>0</v>
      </c>
      <c r="AA1575" s="16">
        <f>_xlfn.XLOOKUP(CustomerCombinedCleaned[[#This Row],[ID]], Table2[ID],Table2[MC3], "Not Found", 0 )</f>
        <v>0</v>
      </c>
      <c r="AB1575" s="16">
        <f>_xlfn.XLOOKUP(CustomerCombinedCleaned[[#This Row],[ID]], Table2[ID],Table2[MC4], "Not Found", 0 )</f>
        <v>0</v>
      </c>
      <c r="AC1575" s="16">
        <f>_xlfn.XLOOKUP(CustomerCombinedCleaned[[#This Row],[ID]], Table2[ID],Table2[MC5], "Not Found", 0 )</f>
        <v>0</v>
      </c>
    </row>
    <row r="1576" spans="1:29" x14ac:dyDescent="0.3">
      <c r="A1576" s="18">
        <v>2169</v>
      </c>
      <c r="B1576" s="16">
        <v>131497</v>
      </c>
      <c r="C1576" s="16">
        <v>0</v>
      </c>
      <c r="D1576" s="16">
        <v>1</v>
      </c>
      <c r="E1576" s="16">
        <v>58</v>
      </c>
      <c r="F1576" s="17" t="s">
        <v>8</v>
      </c>
      <c r="G1576" s="17" t="s">
        <v>13</v>
      </c>
      <c r="H1576" s="3" t="s">
        <v>352</v>
      </c>
      <c r="I1576" s="5" t="s">
        <v>435</v>
      </c>
      <c r="J1576" s="16">
        <f>_xlfn.XLOOKUP(CustomerCombinedCleaned[[#This Row],[ID]], Table4[ID], Table4[Recency], "Not Found", 0)</f>
        <v>22</v>
      </c>
      <c r="K1576" s="16">
        <f>_xlfn.XLOOKUP(CustomerCombinedCleaned[[#This Row],[ID]], Table4[ID], Table4[Teas], "Not Found", 0)</f>
        <v>451</v>
      </c>
      <c r="L1576" s="16">
        <f>_xlfn.XLOOKUP(CustomerCombinedCleaned[[#This Row],[ID]], Table4[ID], Table4[Fruits], "Not Found", 0)</f>
        <v>4</v>
      </c>
      <c r="M1576" s="16">
        <f>_xlfn.XLOOKUP(CustomerCombinedCleaned[[#This Row],[ID]], Table4[ID], Table4[Meats], "Not Found", 0)</f>
        <v>117</v>
      </c>
      <c r="N1576" s="16">
        <f>_xlfn.XLOOKUP(CustomerCombinedCleaned[[#This Row],[ID]], Table4[ID], Table4[Seafood], "Not Found", 0)</f>
        <v>54</v>
      </c>
      <c r="O1576" s="16">
        <f>_xlfn.XLOOKUP(CustomerCombinedCleaned[[#This Row],[ID]], Table4[ID], Table4[Sweets], "Not Found", 0)</f>
        <v>4</v>
      </c>
      <c r="P1576" s="16">
        <f>_xlfn.XLOOKUP(CustomerCombinedCleaned[[#This Row],[ID]], Table4[ID], Table4[Premium], "Not Found", 0)</f>
        <v>17</v>
      </c>
      <c r="Q1576" s="16">
        <f>_xlfn.XLOOKUP(CustomerCombinedCleaned[[#This Row],[ID]], Table4[ID], Table4[Regular], "Not Found", 0)</f>
        <v>614</v>
      </c>
      <c r="R1576" s="16">
        <f>_xlfn.XLOOKUP(CustomerCombinedCleaned[[#This Row],[ID]], Table4[ID], Table4[Deals], "Not Found", 0)</f>
        <v>2</v>
      </c>
      <c r="S1576" s="16">
        <f>_xlfn.XLOOKUP(CustomerCombinedCleaned[[#This Row],[ID]], Table4[ID], Table4[Website], "Not Found", 0)</f>
        <v>3</v>
      </c>
      <c r="T1576" s="16">
        <f>_xlfn.XLOOKUP(CustomerCombinedCleaned[[#This Row],[ID]], Table4[ID], Table4[Catalog], "Not Found", 0)</f>
        <v>1</v>
      </c>
      <c r="U1576" s="16">
        <f>_xlfn.XLOOKUP(CustomerCombinedCleaned[[#This Row],[ID]], Table4[ID], Table4[Store], "Not Found", 0)</f>
        <v>4</v>
      </c>
      <c r="V1576" s="16">
        <f>_xlfn.XLOOKUP(CustomerCombinedCleaned[[#This Row],[ID]], Table4[ID], Table4[Visits], "Not Found", 0)</f>
        <v>8</v>
      </c>
      <c r="W1576" s="16">
        <f>_xlfn.XLOOKUP(CustomerCombinedCleaned[[#This Row],[ID]], Table2[ID],Table2[Complaint], "Not Found", 0 )</f>
        <v>0</v>
      </c>
      <c r="X1576" s="16">
        <f>_xlfn.XLOOKUP(CustomerCombinedCleaned[[#This Row],[ID]], Table2[ID],Table2[Pilot], "Not Found", 0 )</f>
        <v>0</v>
      </c>
      <c r="Y1576" s="16">
        <f>_xlfn.XLOOKUP(CustomerCombinedCleaned[[#This Row],[ID]], Table2[ID],Table2[MC1], "Not Found", 0 )</f>
        <v>0</v>
      </c>
      <c r="Z1576" s="16">
        <f>_xlfn.XLOOKUP(CustomerCombinedCleaned[[#This Row],[ID]], Table2[ID],Table2[MC2], "Not Found", 0 )</f>
        <v>0</v>
      </c>
      <c r="AA1576" s="16">
        <f>_xlfn.XLOOKUP(CustomerCombinedCleaned[[#This Row],[ID]], Table2[ID],Table2[MC3], "Not Found", 0 )</f>
        <v>0</v>
      </c>
      <c r="AB1576" s="16">
        <f>_xlfn.XLOOKUP(CustomerCombinedCleaned[[#This Row],[ID]], Table2[ID],Table2[MC4], "Not Found", 0 )</f>
        <v>0</v>
      </c>
      <c r="AC1576" s="16">
        <f>_xlfn.XLOOKUP(CustomerCombinedCleaned[[#This Row],[ID]], Table2[ID],Table2[MC5], "Not Found", 0 )</f>
        <v>0</v>
      </c>
    </row>
    <row r="1577" spans="1:29" x14ac:dyDescent="0.3">
      <c r="A1577" s="18">
        <v>2566</v>
      </c>
      <c r="B1577" s="16">
        <v>131497</v>
      </c>
      <c r="C1577" s="16">
        <v>0</v>
      </c>
      <c r="D1577" s="16">
        <v>1</v>
      </c>
      <c r="E1577" s="16">
        <v>58</v>
      </c>
      <c r="F1577" s="17" t="s">
        <v>8</v>
      </c>
      <c r="G1577" s="17" t="s">
        <v>13</v>
      </c>
      <c r="H1577" s="3" t="s">
        <v>352</v>
      </c>
      <c r="I1577" s="5" t="s">
        <v>439</v>
      </c>
      <c r="J1577" s="16">
        <f>_xlfn.XLOOKUP(CustomerCombinedCleaned[[#This Row],[ID]], Table4[ID], Table4[Recency], "Not Found", 0)</f>
        <v>22</v>
      </c>
      <c r="K1577" s="16">
        <f>_xlfn.XLOOKUP(CustomerCombinedCleaned[[#This Row],[ID]], Table4[ID], Table4[Teas], "Not Found", 0)</f>
        <v>451</v>
      </c>
      <c r="L1577" s="16">
        <f>_xlfn.XLOOKUP(CustomerCombinedCleaned[[#This Row],[ID]], Table4[ID], Table4[Fruits], "Not Found", 0)</f>
        <v>4</v>
      </c>
      <c r="M1577" s="16">
        <f>_xlfn.XLOOKUP(CustomerCombinedCleaned[[#This Row],[ID]], Table4[ID], Table4[Meats], "Not Found", 0)</f>
        <v>117</v>
      </c>
      <c r="N1577" s="16">
        <f>_xlfn.XLOOKUP(CustomerCombinedCleaned[[#This Row],[ID]], Table4[ID], Table4[Seafood], "Not Found", 0)</f>
        <v>54</v>
      </c>
      <c r="O1577" s="16">
        <f>_xlfn.XLOOKUP(CustomerCombinedCleaned[[#This Row],[ID]], Table4[ID], Table4[Sweets], "Not Found", 0)</f>
        <v>4</v>
      </c>
      <c r="P1577" s="16">
        <f>_xlfn.XLOOKUP(CustomerCombinedCleaned[[#This Row],[ID]], Table4[ID], Table4[Premium], "Not Found", 0)</f>
        <v>17</v>
      </c>
      <c r="Q1577" s="16">
        <f>_xlfn.XLOOKUP(CustomerCombinedCleaned[[#This Row],[ID]], Table4[ID], Table4[Regular], "Not Found", 0)</f>
        <v>614</v>
      </c>
      <c r="R1577" s="16">
        <f>_xlfn.XLOOKUP(CustomerCombinedCleaned[[#This Row],[ID]], Table4[ID], Table4[Deals], "Not Found", 0)</f>
        <v>2</v>
      </c>
      <c r="S1577" s="16">
        <f>_xlfn.XLOOKUP(CustomerCombinedCleaned[[#This Row],[ID]], Table4[ID], Table4[Website], "Not Found", 0)</f>
        <v>3</v>
      </c>
      <c r="T1577" s="16">
        <f>_xlfn.XLOOKUP(CustomerCombinedCleaned[[#This Row],[ID]], Table4[ID], Table4[Catalog], "Not Found", 0)</f>
        <v>1</v>
      </c>
      <c r="U1577" s="16">
        <f>_xlfn.XLOOKUP(CustomerCombinedCleaned[[#This Row],[ID]], Table4[ID], Table4[Store], "Not Found", 0)</f>
        <v>4</v>
      </c>
      <c r="V1577" s="16">
        <f>_xlfn.XLOOKUP(CustomerCombinedCleaned[[#This Row],[ID]], Table4[ID], Table4[Visits], "Not Found", 0)</f>
        <v>8</v>
      </c>
      <c r="W1577" s="16">
        <f>_xlfn.XLOOKUP(CustomerCombinedCleaned[[#This Row],[ID]], Table2[ID],Table2[Complaint], "Not Found", 0 )</f>
        <v>0</v>
      </c>
      <c r="X1577" s="16">
        <f>_xlfn.XLOOKUP(CustomerCombinedCleaned[[#This Row],[ID]], Table2[ID],Table2[Pilot], "Not Found", 0 )</f>
        <v>0</v>
      </c>
      <c r="Y1577" s="16">
        <f>_xlfn.XLOOKUP(CustomerCombinedCleaned[[#This Row],[ID]], Table2[ID],Table2[MC1], "Not Found", 0 )</f>
        <v>0</v>
      </c>
      <c r="Z1577" s="16">
        <f>_xlfn.XLOOKUP(CustomerCombinedCleaned[[#This Row],[ID]], Table2[ID],Table2[MC2], "Not Found", 0 )</f>
        <v>0</v>
      </c>
      <c r="AA1577" s="16">
        <f>_xlfn.XLOOKUP(CustomerCombinedCleaned[[#This Row],[ID]], Table2[ID],Table2[MC3], "Not Found", 0 )</f>
        <v>0</v>
      </c>
      <c r="AB1577" s="16">
        <f>_xlfn.XLOOKUP(CustomerCombinedCleaned[[#This Row],[ID]], Table2[ID],Table2[MC4], "Not Found", 0 )</f>
        <v>0</v>
      </c>
      <c r="AC1577" s="16">
        <f>_xlfn.XLOOKUP(CustomerCombinedCleaned[[#This Row],[ID]], Table2[ID],Table2[MC5], "Not Found", 0 )</f>
        <v>0</v>
      </c>
    </row>
    <row r="1578" spans="1:29" x14ac:dyDescent="0.3">
      <c r="A1578" s="18">
        <v>2295</v>
      </c>
      <c r="B1578" s="16">
        <v>127238</v>
      </c>
      <c r="C1578" s="16">
        <v>1</v>
      </c>
      <c r="D1578" s="16">
        <v>1</v>
      </c>
      <c r="E1578" s="16">
        <v>58</v>
      </c>
      <c r="F1578" s="17" t="s">
        <v>7</v>
      </c>
      <c r="G1578" s="17" t="s">
        <v>13</v>
      </c>
      <c r="H1578" s="3" t="s">
        <v>269</v>
      </c>
      <c r="I1578" s="5" t="s">
        <v>435</v>
      </c>
      <c r="J1578" s="16">
        <f>_xlfn.XLOOKUP(CustomerCombinedCleaned[[#This Row],[ID]], Table4[ID], Table4[Recency], "Not Found", 0)</f>
        <v>39</v>
      </c>
      <c r="K1578" s="16">
        <f>_xlfn.XLOOKUP(CustomerCombinedCleaned[[#This Row],[ID]], Table4[ID], Table4[Teas], "Not Found", 0)</f>
        <v>173</v>
      </c>
      <c r="L1578" s="16">
        <f>_xlfn.XLOOKUP(CustomerCombinedCleaned[[#This Row],[ID]], Table4[ID], Table4[Fruits], "Not Found", 0)</f>
        <v>0</v>
      </c>
      <c r="M1578" s="16">
        <f>_xlfn.XLOOKUP(CustomerCombinedCleaned[[#This Row],[ID]], Table4[ID], Table4[Meats], "Not Found", 0)</f>
        <v>79</v>
      </c>
      <c r="N1578" s="16">
        <f>_xlfn.XLOOKUP(CustomerCombinedCleaned[[#This Row],[ID]], Table4[ID], Table4[Seafood], "Not Found", 0)</f>
        <v>0</v>
      </c>
      <c r="O1578" s="16">
        <f>_xlfn.XLOOKUP(CustomerCombinedCleaned[[#This Row],[ID]], Table4[ID], Table4[Sweets], "Not Found", 0)</f>
        <v>0</v>
      </c>
      <c r="P1578" s="16">
        <f>_xlfn.XLOOKUP(CustomerCombinedCleaned[[#This Row],[ID]], Table4[ID], Table4[Premium], "Not Found", 0)</f>
        <v>14</v>
      </c>
      <c r="Q1578" s="16">
        <f>_xlfn.XLOOKUP(CustomerCombinedCleaned[[#This Row],[ID]], Table4[ID], Table4[Regular], "Not Found", 0)</f>
        <v>238</v>
      </c>
      <c r="R1578" s="16">
        <f>_xlfn.XLOOKUP(CustomerCombinedCleaned[[#This Row],[ID]], Table4[ID], Table4[Deals], "Not Found", 0)</f>
        <v>3</v>
      </c>
      <c r="S1578" s="16">
        <f>_xlfn.XLOOKUP(CustomerCombinedCleaned[[#This Row],[ID]], Table4[ID], Table4[Website], "Not Found", 0)</f>
        <v>3</v>
      </c>
      <c r="T1578" s="16">
        <f>_xlfn.XLOOKUP(CustomerCombinedCleaned[[#This Row],[ID]], Table4[ID], Table4[Catalog], "Not Found", 0)</f>
        <v>0</v>
      </c>
      <c r="U1578" s="16">
        <f>_xlfn.XLOOKUP(CustomerCombinedCleaned[[#This Row],[ID]], Table4[ID], Table4[Store], "Not Found", 0)</f>
        <v>3</v>
      </c>
      <c r="V1578" s="16">
        <f>_xlfn.XLOOKUP(CustomerCombinedCleaned[[#This Row],[ID]], Table4[ID], Table4[Visits], "Not Found", 0)</f>
        <v>9</v>
      </c>
      <c r="W1578" s="16">
        <f>_xlfn.XLOOKUP(CustomerCombinedCleaned[[#This Row],[ID]], Table2[ID],Table2[Complaint], "Not Found", 0 )</f>
        <v>0</v>
      </c>
      <c r="X1578" s="16">
        <f>_xlfn.XLOOKUP(CustomerCombinedCleaned[[#This Row],[ID]], Table2[ID],Table2[Pilot], "Not Found", 0 )</f>
        <v>0</v>
      </c>
      <c r="Y1578" s="16">
        <f>_xlfn.XLOOKUP(CustomerCombinedCleaned[[#This Row],[ID]], Table2[ID],Table2[MC1], "Not Found", 0 )</f>
        <v>0</v>
      </c>
      <c r="Z1578" s="16">
        <f>_xlfn.XLOOKUP(CustomerCombinedCleaned[[#This Row],[ID]], Table2[ID],Table2[MC2], "Not Found", 0 )</f>
        <v>0</v>
      </c>
      <c r="AA1578" s="16">
        <f>_xlfn.XLOOKUP(CustomerCombinedCleaned[[#This Row],[ID]], Table2[ID],Table2[MC3], "Not Found", 0 )</f>
        <v>0</v>
      </c>
      <c r="AB1578" s="16">
        <f>_xlfn.XLOOKUP(CustomerCombinedCleaned[[#This Row],[ID]], Table2[ID],Table2[MC4], "Not Found", 0 )</f>
        <v>0</v>
      </c>
      <c r="AC1578" s="16">
        <f>_xlfn.XLOOKUP(CustomerCombinedCleaned[[#This Row],[ID]], Table2[ID],Table2[MC5], "Not Found", 0 )</f>
        <v>0</v>
      </c>
    </row>
    <row r="1579" spans="1:29" x14ac:dyDescent="0.3">
      <c r="A1579" s="18">
        <v>2056</v>
      </c>
      <c r="B1579" s="16">
        <v>188347</v>
      </c>
      <c r="C1579" s="16">
        <v>0</v>
      </c>
      <c r="D1579" s="16">
        <v>0</v>
      </c>
      <c r="E1579" s="16">
        <v>59</v>
      </c>
      <c r="F1579" s="17" t="s">
        <v>8</v>
      </c>
      <c r="G1579" s="17" t="s">
        <v>11</v>
      </c>
      <c r="H1579" s="3" t="s">
        <v>556</v>
      </c>
      <c r="I1579" s="5" t="s">
        <v>439</v>
      </c>
      <c r="J1579" s="16">
        <f>_xlfn.XLOOKUP(CustomerCombinedCleaned[[#This Row],[ID]], Table4[ID], Table4[Recency], "Not Found", 0)</f>
        <v>32</v>
      </c>
      <c r="K1579" s="16">
        <f>_xlfn.XLOOKUP(CustomerCombinedCleaned[[#This Row],[ID]], Table4[ID], Table4[Teas], "Not Found", 0)</f>
        <v>2238</v>
      </c>
      <c r="L1579" s="16">
        <f>_xlfn.XLOOKUP(CustomerCombinedCleaned[[#This Row],[ID]], Table4[ID], Table4[Fruits], "Not Found", 0)</f>
        <v>379</v>
      </c>
      <c r="M1579" s="16">
        <f>_xlfn.XLOOKUP(CustomerCombinedCleaned[[#This Row],[ID]], Table4[ID], Table4[Meats], "Not Found", 0)</f>
        <v>1183</v>
      </c>
      <c r="N1579" s="16">
        <f>_xlfn.XLOOKUP(CustomerCombinedCleaned[[#This Row],[ID]], Table4[ID], Table4[Seafood], "Not Found", 0)</f>
        <v>164</v>
      </c>
      <c r="O1579" s="16">
        <f>_xlfn.XLOOKUP(CustomerCombinedCleaned[[#This Row],[ID]], Table4[ID], Table4[Sweets], "Not Found", 0)</f>
        <v>294</v>
      </c>
      <c r="P1579" s="16">
        <f>_xlfn.XLOOKUP(CustomerCombinedCleaned[[#This Row],[ID]], Table4[ID], Table4[Premium], "Not Found", 0)</f>
        <v>252</v>
      </c>
      <c r="Q1579" s="16">
        <f>_xlfn.XLOOKUP(CustomerCombinedCleaned[[#This Row],[ID]], Table4[ID], Table4[Regular], "Not Found", 0)</f>
        <v>4008</v>
      </c>
      <c r="R1579" s="16">
        <f>_xlfn.XLOOKUP(CustomerCombinedCleaned[[#This Row],[ID]], Table4[ID], Table4[Deals], "Not Found", 0)</f>
        <v>1</v>
      </c>
      <c r="S1579" s="16">
        <f>_xlfn.XLOOKUP(CustomerCombinedCleaned[[#This Row],[ID]], Table4[ID], Table4[Website], "Not Found", 0)</f>
        <v>4</v>
      </c>
      <c r="T1579" s="16">
        <f>_xlfn.XLOOKUP(CustomerCombinedCleaned[[#This Row],[ID]], Table4[ID], Table4[Catalog], "Not Found", 0)</f>
        <v>7</v>
      </c>
      <c r="U1579" s="16">
        <f>_xlfn.XLOOKUP(CustomerCombinedCleaned[[#This Row],[ID]], Table4[ID], Table4[Store], "Not Found", 0)</f>
        <v>9</v>
      </c>
      <c r="V1579" s="16">
        <f>_xlfn.XLOOKUP(CustomerCombinedCleaned[[#This Row],[ID]], Table4[ID], Table4[Visits], "Not Found", 0)</f>
        <v>1</v>
      </c>
      <c r="W1579" s="16">
        <f>_xlfn.XLOOKUP(CustomerCombinedCleaned[[#This Row],[ID]], Table2[ID],Table2[Complaint], "Not Found", 0 )</f>
        <v>0</v>
      </c>
      <c r="X1579" s="16">
        <f>_xlfn.XLOOKUP(CustomerCombinedCleaned[[#This Row],[ID]], Table2[ID],Table2[Pilot], "Not Found", 0 )</f>
        <v>0</v>
      </c>
      <c r="Y1579" s="16">
        <f>_xlfn.XLOOKUP(CustomerCombinedCleaned[[#This Row],[ID]], Table2[ID],Table2[MC1], "Not Found", 0 )</f>
        <v>1</v>
      </c>
      <c r="Z1579" s="16">
        <f>_xlfn.XLOOKUP(CustomerCombinedCleaned[[#This Row],[ID]], Table2[ID],Table2[MC2], "Not Found", 0 )</f>
        <v>0</v>
      </c>
      <c r="AA1579" s="16">
        <f>_xlfn.XLOOKUP(CustomerCombinedCleaned[[#This Row],[ID]], Table2[ID],Table2[MC3], "Not Found", 0 )</f>
        <v>0</v>
      </c>
      <c r="AB1579" s="16">
        <f>_xlfn.XLOOKUP(CustomerCombinedCleaned[[#This Row],[ID]], Table2[ID],Table2[MC4], "Not Found", 0 )</f>
        <v>0</v>
      </c>
      <c r="AC1579" s="16">
        <f>_xlfn.XLOOKUP(CustomerCombinedCleaned[[#This Row],[ID]], Table2[ID],Table2[MC5], "Not Found", 0 )</f>
        <v>0</v>
      </c>
    </row>
    <row r="1580" spans="1:29" x14ac:dyDescent="0.3">
      <c r="A1580" s="18">
        <v>1887</v>
      </c>
      <c r="B1580" s="16">
        <v>186429</v>
      </c>
      <c r="C1580" s="16">
        <v>0</v>
      </c>
      <c r="D1580" s="16">
        <v>0</v>
      </c>
      <c r="E1580" s="16">
        <v>59</v>
      </c>
      <c r="F1580" s="17" t="s">
        <v>7</v>
      </c>
      <c r="G1580" s="17" t="s">
        <v>11</v>
      </c>
      <c r="H1580" s="3" t="s">
        <v>144</v>
      </c>
      <c r="I1580" s="5" t="s">
        <v>435</v>
      </c>
      <c r="J1580" s="16">
        <f>_xlfn.XLOOKUP(CustomerCombinedCleaned[[#This Row],[ID]], Table4[ID], Table4[Recency], "Not Found", 0)</f>
        <v>10</v>
      </c>
      <c r="K1580" s="16">
        <f>_xlfn.XLOOKUP(CustomerCombinedCleaned[[#This Row],[ID]], Table4[ID], Table4[Teas], "Not Found", 0)</f>
        <v>1001</v>
      </c>
      <c r="L1580" s="16">
        <f>_xlfn.XLOOKUP(CustomerCombinedCleaned[[#This Row],[ID]], Table4[ID], Table4[Fruits], "Not Found", 0)</f>
        <v>60</v>
      </c>
      <c r="M1580" s="16">
        <f>_xlfn.XLOOKUP(CustomerCombinedCleaned[[#This Row],[ID]], Table4[ID], Table4[Meats], "Not Found", 0)</f>
        <v>1883</v>
      </c>
      <c r="N1580" s="16">
        <f>_xlfn.XLOOKUP(CustomerCombinedCleaned[[#This Row],[ID]], Table4[ID], Table4[Seafood], "Not Found", 0)</f>
        <v>63</v>
      </c>
      <c r="O1580" s="16">
        <f>_xlfn.XLOOKUP(CustomerCombinedCleaned[[#This Row],[ID]], Table4[ID], Table4[Sweets], "Not Found", 0)</f>
        <v>39</v>
      </c>
      <c r="P1580" s="16">
        <f>_xlfn.XLOOKUP(CustomerCombinedCleaned[[#This Row],[ID]], Table4[ID], Table4[Premium], "Not Found", 0)</f>
        <v>80</v>
      </c>
      <c r="Q1580" s="16">
        <f>_xlfn.XLOOKUP(CustomerCombinedCleaned[[#This Row],[ID]], Table4[ID], Table4[Regular], "Not Found", 0)</f>
        <v>2966</v>
      </c>
      <c r="R1580" s="16">
        <f>_xlfn.XLOOKUP(CustomerCombinedCleaned[[#This Row],[ID]], Table4[ID], Table4[Deals], "Not Found", 0)</f>
        <v>0</v>
      </c>
      <c r="S1580" s="16">
        <f>_xlfn.XLOOKUP(CustomerCombinedCleaned[[#This Row],[ID]], Table4[ID], Table4[Website], "Not Found", 0)</f>
        <v>7</v>
      </c>
      <c r="T1580" s="16">
        <f>_xlfn.XLOOKUP(CustomerCombinedCleaned[[#This Row],[ID]], Table4[ID], Table4[Catalog], "Not Found", 0)</f>
        <v>4</v>
      </c>
      <c r="U1580" s="16">
        <f>_xlfn.XLOOKUP(CustomerCombinedCleaned[[#This Row],[ID]], Table4[ID], Table4[Store], "Not Found", 0)</f>
        <v>7</v>
      </c>
      <c r="V1580" s="16">
        <f>_xlfn.XLOOKUP(CustomerCombinedCleaned[[#This Row],[ID]], Table4[ID], Table4[Visits], "Not Found", 0)</f>
        <v>2</v>
      </c>
      <c r="W1580" s="16">
        <f>_xlfn.XLOOKUP(CustomerCombinedCleaned[[#This Row],[ID]], Table2[ID],Table2[Complaint], "Not Found", 0 )</f>
        <v>0</v>
      </c>
      <c r="X1580" s="16">
        <f>_xlfn.XLOOKUP(CustomerCombinedCleaned[[#This Row],[ID]], Table2[ID],Table2[Pilot], "Not Found", 0 )</f>
        <v>1</v>
      </c>
      <c r="Y1580" s="16">
        <f>_xlfn.XLOOKUP(CustomerCombinedCleaned[[#This Row],[ID]], Table2[ID],Table2[MC1], "Not Found", 0 )</f>
        <v>1</v>
      </c>
      <c r="Z1580" s="16">
        <f>_xlfn.XLOOKUP(CustomerCombinedCleaned[[#This Row],[ID]], Table2[ID],Table2[MC2], "Not Found", 0 )</f>
        <v>0</v>
      </c>
      <c r="AA1580" s="16">
        <f>_xlfn.XLOOKUP(CustomerCombinedCleaned[[#This Row],[ID]], Table2[ID],Table2[MC3], "Not Found", 0 )</f>
        <v>0</v>
      </c>
      <c r="AB1580" s="16">
        <f>_xlfn.XLOOKUP(CustomerCombinedCleaned[[#This Row],[ID]], Table2[ID],Table2[MC4], "Not Found", 0 )</f>
        <v>0</v>
      </c>
      <c r="AC1580" s="16">
        <f>_xlfn.XLOOKUP(CustomerCombinedCleaned[[#This Row],[ID]], Table2[ID],Table2[MC5], "Not Found", 0 )</f>
        <v>0</v>
      </c>
    </row>
    <row r="1581" spans="1:29" x14ac:dyDescent="0.3">
      <c r="A1581" s="18">
        <v>1414</v>
      </c>
      <c r="B1581" s="16">
        <v>184865</v>
      </c>
      <c r="C1581" s="16">
        <v>0</v>
      </c>
      <c r="D1581" s="16">
        <v>0</v>
      </c>
      <c r="E1581" s="16">
        <v>59</v>
      </c>
      <c r="F1581" s="17" t="s">
        <v>7</v>
      </c>
      <c r="G1581" s="17" t="s">
        <v>13</v>
      </c>
      <c r="H1581" s="3" t="s">
        <v>262</v>
      </c>
      <c r="I1581" s="5" t="s">
        <v>439</v>
      </c>
      <c r="J1581" s="16">
        <f>_xlfn.XLOOKUP(CustomerCombinedCleaned[[#This Row],[ID]], Table4[ID], Table4[Recency], "Not Found", 0)</f>
        <v>1</v>
      </c>
      <c r="K1581" s="16">
        <f>_xlfn.XLOOKUP(CustomerCombinedCleaned[[#This Row],[ID]], Table4[ID], Table4[Teas], "Not Found", 0)</f>
        <v>2719</v>
      </c>
      <c r="L1581" s="16">
        <f>_xlfn.XLOOKUP(CustomerCombinedCleaned[[#This Row],[ID]], Table4[ID], Table4[Fruits], "Not Found", 0)</f>
        <v>35</v>
      </c>
      <c r="M1581" s="16">
        <f>_xlfn.XLOOKUP(CustomerCombinedCleaned[[#This Row],[ID]], Table4[ID], Table4[Meats], "Not Found", 0)</f>
        <v>760</v>
      </c>
      <c r="N1581" s="16">
        <f>_xlfn.XLOOKUP(CustomerCombinedCleaned[[#This Row],[ID]], Table4[ID], Table4[Seafood], "Not Found", 0)</f>
        <v>94</v>
      </c>
      <c r="O1581" s="16">
        <f>_xlfn.XLOOKUP(CustomerCombinedCleaned[[#This Row],[ID]], Table4[ID], Table4[Sweets], "Not Found", 0)</f>
        <v>35</v>
      </c>
      <c r="P1581" s="16">
        <f>_xlfn.XLOOKUP(CustomerCombinedCleaned[[#This Row],[ID]], Table4[ID], Table4[Premium], "Not Found", 0)</f>
        <v>35</v>
      </c>
      <c r="Q1581" s="16">
        <f>_xlfn.XLOOKUP(CustomerCombinedCleaned[[#This Row],[ID]], Table4[ID], Table4[Regular], "Not Found", 0)</f>
        <v>3607</v>
      </c>
      <c r="R1581" s="16">
        <f>_xlfn.XLOOKUP(CustomerCombinedCleaned[[#This Row],[ID]], Table4[ID], Table4[Deals], "Not Found", 0)</f>
        <v>1</v>
      </c>
      <c r="S1581" s="16">
        <f>_xlfn.XLOOKUP(CustomerCombinedCleaned[[#This Row],[ID]], Table4[ID], Table4[Website], "Not Found", 0)</f>
        <v>2</v>
      </c>
      <c r="T1581" s="16">
        <f>_xlfn.XLOOKUP(CustomerCombinedCleaned[[#This Row],[ID]], Table4[ID], Table4[Catalog], "Not Found", 0)</f>
        <v>4</v>
      </c>
      <c r="U1581" s="16">
        <f>_xlfn.XLOOKUP(CustomerCombinedCleaned[[#This Row],[ID]], Table4[ID], Table4[Store], "Not Found", 0)</f>
        <v>9</v>
      </c>
      <c r="V1581" s="16">
        <f>_xlfn.XLOOKUP(CustomerCombinedCleaned[[#This Row],[ID]], Table4[ID], Table4[Visits], "Not Found", 0)</f>
        <v>4</v>
      </c>
      <c r="W1581" s="16">
        <f>_xlfn.XLOOKUP(CustomerCombinedCleaned[[#This Row],[ID]], Table2[ID],Table2[Complaint], "Not Found", 0 )</f>
        <v>0</v>
      </c>
      <c r="X1581" s="16">
        <f>_xlfn.XLOOKUP(CustomerCombinedCleaned[[#This Row],[ID]], Table2[ID],Table2[Pilot], "Not Found", 0 )</f>
        <v>1</v>
      </c>
      <c r="Y1581" s="16">
        <f>_xlfn.XLOOKUP(CustomerCombinedCleaned[[#This Row],[ID]], Table2[ID],Table2[MC1], "Not Found", 0 )</f>
        <v>1</v>
      </c>
      <c r="Z1581" s="16">
        <f>_xlfn.XLOOKUP(CustomerCombinedCleaned[[#This Row],[ID]], Table2[ID],Table2[MC2], "Not Found", 0 )</f>
        <v>1</v>
      </c>
      <c r="AA1581" s="16">
        <f>_xlfn.XLOOKUP(CustomerCombinedCleaned[[#This Row],[ID]], Table2[ID],Table2[MC3], "Not Found", 0 )</f>
        <v>0</v>
      </c>
      <c r="AB1581" s="16">
        <f>_xlfn.XLOOKUP(CustomerCombinedCleaned[[#This Row],[ID]], Table2[ID],Table2[MC4], "Not Found", 0 )</f>
        <v>1</v>
      </c>
      <c r="AC1581" s="16">
        <f>_xlfn.XLOOKUP(CustomerCombinedCleaned[[#This Row],[ID]], Table2[ID],Table2[MC5], "Not Found", 0 )</f>
        <v>1</v>
      </c>
    </row>
    <row r="1582" spans="1:29" x14ac:dyDescent="0.3">
      <c r="A1582" s="18">
        <v>3078</v>
      </c>
      <c r="B1582" s="16">
        <v>182332</v>
      </c>
      <c r="C1582" s="16">
        <v>0</v>
      </c>
      <c r="D1582" s="16">
        <v>0</v>
      </c>
      <c r="E1582" s="16">
        <v>59</v>
      </c>
      <c r="F1582" s="17" t="s">
        <v>7</v>
      </c>
      <c r="G1582" s="17" t="s">
        <v>11</v>
      </c>
      <c r="H1582" s="3" t="s">
        <v>394</v>
      </c>
      <c r="I1582" s="5" t="s">
        <v>436</v>
      </c>
      <c r="J1582" s="16">
        <f>_xlfn.XLOOKUP(CustomerCombinedCleaned[[#This Row],[ID]], Table4[ID], Table4[Recency], "Not Found", 0)</f>
        <v>89</v>
      </c>
      <c r="K1582" s="16">
        <f>_xlfn.XLOOKUP(CustomerCombinedCleaned[[#This Row],[ID]], Table4[ID], Table4[Teas], "Not Found", 0)</f>
        <v>1838</v>
      </c>
      <c r="L1582" s="16">
        <f>_xlfn.XLOOKUP(CustomerCombinedCleaned[[#This Row],[ID]], Table4[ID], Table4[Fruits], "Not Found", 0)</f>
        <v>131</v>
      </c>
      <c r="M1582" s="16">
        <f>_xlfn.XLOOKUP(CustomerCombinedCleaned[[#This Row],[ID]], Table4[ID], Table4[Meats], "Not Found", 0)</f>
        <v>2144</v>
      </c>
      <c r="N1582" s="16">
        <f>_xlfn.XLOOKUP(CustomerCombinedCleaned[[#This Row],[ID]], Table4[ID], Table4[Seafood], "Not Found", 0)</f>
        <v>113</v>
      </c>
      <c r="O1582" s="16">
        <f>_xlfn.XLOOKUP(CustomerCombinedCleaned[[#This Row],[ID]], Table4[ID], Table4[Sweets], "Not Found", 0)</f>
        <v>175</v>
      </c>
      <c r="P1582" s="16">
        <f>_xlfn.XLOOKUP(CustomerCombinedCleaned[[#This Row],[ID]], Table4[ID], Table4[Premium], "Not Found", 0)</f>
        <v>42</v>
      </c>
      <c r="Q1582" s="16">
        <f>_xlfn.XLOOKUP(CustomerCombinedCleaned[[#This Row],[ID]], Table4[ID], Table4[Regular], "Not Found", 0)</f>
        <v>4358</v>
      </c>
      <c r="R1582" s="16">
        <f>_xlfn.XLOOKUP(CustomerCombinedCleaned[[#This Row],[ID]], Table4[ID], Table4[Deals], "Not Found", 0)</f>
        <v>1</v>
      </c>
      <c r="S1582" s="16">
        <f>_xlfn.XLOOKUP(CustomerCombinedCleaned[[#This Row],[ID]], Table4[ID], Table4[Website], "Not Found", 0)</f>
        <v>5</v>
      </c>
      <c r="T1582" s="16">
        <f>_xlfn.XLOOKUP(CustomerCombinedCleaned[[#This Row],[ID]], Table4[ID], Table4[Catalog], "Not Found", 0)</f>
        <v>3</v>
      </c>
      <c r="U1582" s="16">
        <f>_xlfn.XLOOKUP(CustomerCombinedCleaned[[#This Row],[ID]], Table4[ID], Table4[Store], "Not Found", 0)</f>
        <v>12</v>
      </c>
      <c r="V1582" s="16">
        <f>_xlfn.XLOOKUP(CustomerCombinedCleaned[[#This Row],[ID]], Table4[ID], Table4[Visits], "Not Found", 0)</f>
        <v>2</v>
      </c>
      <c r="W1582" s="16">
        <f>_xlfn.XLOOKUP(CustomerCombinedCleaned[[#This Row],[ID]], Table2[ID],Table2[Complaint], "Not Found", 0 )</f>
        <v>0</v>
      </c>
      <c r="X1582" s="16">
        <f>_xlfn.XLOOKUP(CustomerCombinedCleaned[[#This Row],[ID]], Table2[ID],Table2[Pilot], "Not Found", 0 )</f>
        <v>1</v>
      </c>
      <c r="Y1582" s="16">
        <f>_xlfn.XLOOKUP(CustomerCombinedCleaned[[#This Row],[ID]], Table2[ID],Table2[MC1], "Not Found", 0 )</f>
        <v>0</v>
      </c>
      <c r="Z1582" s="16">
        <f>_xlfn.XLOOKUP(CustomerCombinedCleaned[[#This Row],[ID]], Table2[ID],Table2[MC2], "Not Found", 0 )</f>
        <v>0</v>
      </c>
      <c r="AA1582" s="16">
        <f>_xlfn.XLOOKUP(CustomerCombinedCleaned[[#This Row],[ID]], Table2[ID],Table2[MC3], "Not Found", 0 )</f>
        <v>0</v>
      </c>
      <c r="AB1582" s="16">
        <f>_xlfn.XLOOKUP(CustomerCombinedCleaned[[#This Row],[ID]], Table2[ID],Table2[MC4], "Not Found", 0 )</f>
        <v>0</v>
      </c>
      <c r="AC1582" s="16">
        <f>_xlfn.XLOOKUP(CustomerCombinedCleaned[[#This Row],[ID]], Table2[ID],Table2[MC5], "Not Found", 0 )</f>
        <v>1</v>
      </c>
    </row>
    <row r="1583" spans="1:29" x14ac:dyDescent="0.3">
      <c r="A1583" s="18">
        <v>2627</v>
      </c>
      <c r="B1583" s="16">
        <v>182014</v>
      </c>
      <c r="C1583" s="16">
        <v>0</v>
      </c>
      <c r="D1583" s="16">
        <v>0</v>
      </c>
      <c r="E1583" s="16">
        <v>59</v>
      </c>
      <c r="F1583" s="17" t="s">
        <v>7</v>
      </c>
      <c r="G1583" s="17" t="s">
        <v>11</v>
      </c>
      <c r="H1583" s="3" t="s">
        <v>408</v>
      </c>
      <c r="I1583" s="5" t="s">
        <v>434</v>
      </c>
      <c r="J1583" s="16">
        <f>_xlfn.XLOOKUP(CustomerCombinedCleaned[[#This Row],[ID]], Table4[ID], Table4[Recency], "Not Found", 0)</f>
        <v>48</v>
      </c>
      <c r="K1583" s="16">
        <f>_xlfn.XLOOKUP(CustomerCombinedCleaned[[#This Row],[ID]], Table4[ID], Table4[Teas], "Not Found", 0)</f>
        <v>2175</v>
      </c>
      <c r="L1583" s="16">
        <f>_xlfn.XLOOKUP(CustomerCombinedCleaned[[#This Row],[ID]], Table4[ID], Table4[Fruits], "Not Found", 0)</f>
        <v>82</v>
      </c>
      <c r="M1583" s="16">
        <f>_xlfn.XLOOKUP(CustomerCombinedCleaned[[#This Row],[ID]], Table4[ID], Table4[Meats], "Not Found", 0)</f>
        <v>588</v>
      </c>
      <c r="N1583" s="16">
        <f>_xlfn.XLOOKUP(CustomerCombinedCleaned[[#This Row],[ID]], Table4[ID], Table4[Seafood], "Not Found", 0)</f>
        <v>78</v>
      </c>
      <c r="O1583" s="16">
        <f>_xlfn.XLOOKUP(CustomerCombinedCleaned[[#This Row],[ID]], Table4[ID], Table4[Sweets], "Not Found", 0)</f>
        <v>362</v>
      </c>
      <c r="P1583" s="16">
        <f>_xlfn.XLOOKUP(CustomerCombinedCleaned[[#This Row],[ID]], Table4[ID], Table4[Premium], "Not Found", 0)</f>
        <v>69</v>
      </c>
      <c r="Q1583" s="16">
        <f>_xlfn.XLOOKUP(CustomerCombinedCleaned[[#This Row],[ID]], Table4[ID], Table4[Regular], "Not Found", 0)</f>
        <v>3216</v>
      </c>
      <c r="R1583" s="16">
        <f>_xlfn.XLOOKUP(CustomerCombinedCleaned[[#This Row],[ID]], Table4[ID], Table4[Deals], "Not Found", 0)</f>
        <v>1</v>
      </c>
      <c r="S1583" s="16">
        <f>_xlfn.XLOOKUP(CustomerCombinedCleaned[[#This Row],[ID]], Table4[ID], Table4[Website], "Not Found", 0)</f>
        <v>3</v>
      </c>
      <c r="T1583" s="16">
        <f>_xlfn.XLOOKUP(CustomerCombinedCleaned[[#This Row],[ID]], Table4[ID], Table4[Catalog], "Not Found", 0)</f>
        <v>6</v>
      </c>
      <c r="U1583" s="16">
        <f>_xlfn.XLOOKUP(CustomerCombinedCleaned[[#This Row],[ID]], Table4[ID], Table4[Store], "Not Found", 0)</f>
        <v>12</v>
      </c>
      <c r="V1583" s="16">
        <f>_xlfn.XLOOKUP(CustomerCombinedCleaned[[#This Row],[ID]], Table4[ID], Table4[Visits], "Not Found", 0)</f>
        <v>6</v>
      </c>
      <c r="W1583" s="16">
        <f>_xlfn.XLOOKUP(CustomerCombinedCleaned[[#This Row],[ID]], Table2[ID],Table2[Complaint], "Not Found", 0 )</f>
        <v>0</v>
      </c>
      <c r="X1583" s="16">
        <f>_xlfn.XLOOKUP(CustomerCombinedCleaned[[#This Row],[ID]], Table2[ID],Table2[Pilot], "Not Found", 0 )</f>
        <v>1</v>
      </c>
      <c r="Y1583" s="16">
        <f>_xlfn.XLOOKUP(CustomerCombinedCleaned[[#This Row],[ID]], Table2[ID],Table2[MC1], "Not Found", 0 )</f>
        <v>0</v>
      </c>
      <c r="Z1583" s="16">
        <f>_xlfn.XLOOKUP(CustomerCombinedCleaned[[#This Row],[ID]], Table2[ID],Table2[MC2], "Not Found", 0 )</f>
        <v>0</v>
      </c>
      <c r="AA1583" s="16">
        <f>_xlfn.XLOOKUP(CustomerCombinedCleaned[[#This Row],[ID]], Table2[ID],Table2[MC3], "Not Found", 0 )</f>
        <v>0</v>
      </c>
      <c r="AB1583" s="16">
        <f>_xlfn.XLOOKUP(CustomerCombinedCleaned[[#This Row],[ID]], Table2[ID],Table2[MC4], "Not Found", 0 )</f>
        <v>0</v>
      </c>
      <c r="AC1583" s="16">
        <f>_xlfn.XLOOKUP(CustomerCombinedCleaned[[#This Row],[ID]], Table2[ID],Table2[MC5], "Not Found", 0 )</f>
        <v>0</v>
      </c>
    </row>
    <row r="1584" spans="1:29" x14ac:dyDescent="0.3">
      <c r="A1584" s="18">
        <v>1292</v>
      </c>
      <c r="B1584" s="16">
        <v>180950</v>
      </c>
      <c r="C1584" s="16">
        <v>0</v>
      </c>
      <c r="D1584" s="16">
        <v>0</v>
      </c>
      <c r="E1584" s="16">
        <v>59</v>
      </c>
      <c r="F1584" s="17" t="s">
        <v>6</v>
      </c>
      <c r="G1584" s="17" t="s">
        <v>12</v>
      </c>
      <c r="H1584" s="3" t="s">
        <v>602</v>
      </c>
      <c r="I1584" s="5" t="s">
        <v>438</v>
      </c>
      <c r="J1584" s="16">
        <f>_xlfn.XLOOKUP(CustomerCombinedCleaned[[#This Row],[ID]], Table4[ID], Table4[Recency], "Not Found", 0)</f>
        <v>44</v>
      </c>
      <c r="K1584" s="16">
        <f>_xlfn.XLOOKUP(CustomerCombinedCleaned[[#This Row],[ID]], Table4[ID], Table4[Teas], "Not Found", 0)</f>
        <v>1174</v>
      </c>
      <c r="L1584" s="16">
        <f>_xlfn.XLOOKUP(CustomerCombinedCleaned[[#This Row],[ID]], Table4[ID], Table4[Fruits], "Not Found", 0)</f>
        <v>329</v>
      </c>
      <c r="M1584" s="16">
        <f>_xlfn.XLOOKUP(CustomerCombinedCleaned[[#This Row],[ID]], Table4[ID], Table4[Meats], "Not Found", 0)</f>
        <v>250</v>
      </c>
      <c r="N1584" s="16">
        <f>_xlfn.XLOOKUP(CustomerCombinedCleaned[[#This Row],[ID]], Table4[ID], Table4[Seafood], "Not Found", 0)</f>
        <v>490</v>
      </c>
      <c r="O1584" s="16">
        <f>_xlfn.XLOOKUP(CustomerCombinedCleaned[[#This Row],[ID]], Table4[ID], Table4[Sweets], "Not Found", 0)</f>
        <v>329</v>
      </c>
      <c r="P1584" s="16">
        <f>_xlfn.XLOOKUP(CustomerCombinedCleaned[[#This Row],[ID]], Table4[ID], Table4[Premium], "Not Found", 0)</f>
        <v>141</v>
      </c>
      <c r="Q1584" s="16">
        <f>_xlfn.XLOOKUP(CustomerCombinedCleaned[[#This Row],[ID]], Table4[ID], Table4[Regular], "Not Found", 0)</f>
        <v>2430</v>
      </c>
      <c r="R1584" s="16">
        <f>_xlfn.XLOOKUP(CustomerCombinedCleaned[[#This Row],[ID]], Table4[ID], Table4[Deals], "Not Found", 0)</f>
        <v>1</v>
      </c>
      <c r="S1584" s="16">
        <f>_xlfn.XLOOKUP(CustomerCombinedCleaned[[#This Row],[ID]], Table4[ID], Table4[Website], "Not Found", 0)</f>
        <v>6</v>
      </c>
      <c r="T1584" s="16">
        <f>_xlfn.XLOOKUP(CustomerCombinedCleaned[[#This Row],[ID]], Table4[ID], Table4[Catalog], "Not Found", 0)</f>
        <v>7</v>
      </c>
      <c r="U1584" s="16">
        <f>_xlfn.XLOOKUP(CustomerCombinedCleaned[[#This Row],[ID]], Table4[ID], Table4[Store], "Not Found", 0)</f>
        <v>9</v>
      </c>
      <c r="V1584" s="16">
        <f>_xlfn.XLOOKUP(CustomerCombinedCleaned[[#This Row],[ID]], Table4[ID], Table4[Visits], "Not Found", 0)</f>
        <v>2</v>
      </c>
      <c r="W1584" s="16">
        <f>_xlfn.XLOOKUP(CustomerCombinedCleaned[[#This Row],[ID]], Table2[ID],Table2[Complaint], "Not Found", 0 )</f>
        <v>0</v>
      </c>
      <c r="X1584" s="16">
        <f>_xlfn.XLOOKUP(CustomerCombinedCleaned[[#This Row],[ID]], Table2[ID],Table2[Pilot], "Not Found", 0 )</f>
        <v>0</v>
      </c>
      <c r="Y1584" s="16">
        <f>_xlfn.XLOOKUP(CustomerCombinedCleaned[[#This Row],[ID]], Table2[ID],Table2[MC1], "Not Found", 0 )</f>
        <v>1</v>
      </c>
      <c r="Z1584" s="16">
        <f>_xlfn.XLOOKUP(CustomerCombinedCleaned[[#This Row],[ID]], Table2[ID],Table2[MC2], "Not Found", 0 )</f>
        <v>0</v>
      </c>
      <c r="AA1584" s="16">
        <f>_xlfn.XLOOKUP(CustomerCombinedCleaned[[#This Row],[ID]], Table2[ID],Table2[MC3], "Not Found", 0 )</f>
        <v>0</v>
      </c>
      <c r="AB1584" s="16">
        <f>_xlfn.XLOOKUP(CustomerCombinedCleaned[[#This Row],[ID]], Table2[ID],Table2[MC4], "Not Found", 0 )</f>
        <v>0</v>
      </c>
      <c r="AC1584" s="16">
        <f>_xlfn.XLOOKUP(CustomerCombinedCleaned[[#This Row],[ID]], Table2[ID],Table2[MC5], "Not Found", 0 )</f>
        <v>0</v>
      </c>
    </row>
    <row r="1585" spans="1:29" x14ac:dyDescent="0.3">
      <c r="A1585" s="18">
        <v>2139</v>
      </c>
      <c r="B1585" s="16">
        <v>179410</v>
      </c>
      <c r="C1585" s="16">
        <v>0</v>
      </c>
      <c r="D1585" s="16">
        <v>0</v>
      </c>
      <c r="E1585" s="16">
        <v>59</v>
      </c>
      <c r="F1585" s="17" t="s">
        <v>6</v>
      </c>
      <c r="G1585" s="17" t="s">
        <v>11</v>
      </c>
      <c r="H1585" s="3" t="s">
        <v>565</v>
      </c>
      <c r="I1585" s="5" t="s">
        <v>435</v>
      </c>
      <c r="J1585" s="16">
        <f>_xlfn.XLOOKUP(CustomerCombinedCleaned[[#This Row],[ID]], Table4[ID], Table4[Recency], "Not Found", 0)</f>
        <v>19</v>
      </c>
      <c r="K1585" s="16">
        <f>_xlfn.XLOOKUP(CustomerCombinedCleaned[[#This Row],[ID]], Table4[ID], Table4[Teas], "Not Found", 0)</f>
        <v>1487</v>
      </c>
      <c r="L1585" s="16">
        <f>_xlfn.XLOOKUP(CustomerCombinedCleaned[[#This Row],[ID]], Table4[ID], Table4[Fruits], "Not Found", 0)</f>
        <v>181</v>
      </c>
      <c r="M1585" s="16">
        <f>_xlfn.XLOOKUP(CustomerCombinedCleaned[[#This Row],[ID]], Table4[ID], Table4[Meats], "Not Found", 0)</f>
        <v>1091</v>
      </c>
      <c r="N1585" s="16">
        <f>_xlfn.XLOOKUP(CustomerCombinedCleaned[[#This Row],[ID]], Table4[ID], Table4[Seafood], "Not Found", 0)</f>
        <v>278</v>
      </c>
      <c r="O1585" s="16">
        <f>_xlfn.XLOOKUP(CustomerCombinedCleaned[[#This Row],[ID]], Table4[ID], Table4[Sweets], "Not Found", 0)</f>
        <v>29</v>
      </c>
      <c r="P1585" s="16">
        <f>_xlfn.XLOOKUP(CustomerCombinedCleaned[[#This Row],[ID]], Table4[ID], Table4[Premium], "Not Found", 0)</f>
        <v>29</v>
      </c>
      <c r="Q1585" s="16">
        <f>_xlfn.XLOOKUP(CustomerCombinedCleaned[[#This Row],[ID]], Table4[ID], Table4[Regular], "Not Found", 0)</f>
        <v>3036</v>
      </c>
      <c r="R1585" s="16">
        <f>_xlfn.XLOOKUP(CustomerCombinedCleaned[[#This Row],[ID]], Table4[ID], Table4[Deals], "Not Found", 0)</f>
        <v>1</v>
      </c>
      <c r="S1585" s="16">
        <f>_xlfn.XLOOKUP(CustomerCombinedCleaned[[#This Row],[ID]], Table4[ID], Table4[Website], "Not Found", 0)</f>
        <v>3</v>
      </c>
      <c r="T1585" s="16">
        <f>_xlfn.XLOOKUP(CustomerCombinedCleaned[[#This Row],[ID]], Table4[ID], Table4[Catalog], "Not Found", 0)</f>
        <v>2</v>
      </c>
      <c r="U1585" s="16">
        <f>_xlfn.XLOOKUP(CustomerCombinedCleaned[[#This Row],[ID]], Table4[ID], Table4[Store], "Not Found", 0)</f>
        <v>5</v>
      </c>
      <c r="V1585" s="16">
        <f>_xlfn.XLOOKUP(CustomerCombinedCleaned[[#This Row],[ID]], Table4[ID], Table4[Visits], "Not Found", 0)</f>
        <v>1</v>
      </c>
      <c r="W1585" s="16">
        <f>_xlfn.XLOOKUP(CustomerCombinedCleaned[[#This Row],[ID]], Table2[ID],Table2[Complaint], "Not Found", 0 )</f>
        <v>0</v>
      </c>
      <c r="X1585" s="16">
        <f>_xlfn.XLOOKUP(CustomerCombinedCleaned[[#This Row],[ID]], Table2[ID],Table2[Pilot], "Not Found", 0 )</f>
        <v>0</v>
      </c>
      <c r="Y1585" s="16">
        <f>_xlfn.XLOOKUP(CustomerCombinedCleaned[[#This Row],[ID]], Table2[ID],Table2[MC1], "Not Found", 0 )</f>
        <v>0</v>
      </c>
      <c r="Z1585" s="16">
        <f>_xlfn.XLOOKUP(CustomerCombinedCleaned[[#This Row],[ID]], Table2[ID],Table2[MC2], "Not Found", 0 )</f>
        <v>0</v>
      </c>
      <c r="AA1585" s="16">
        <f>_xlfn.XLOOKUP(CustomerCombinedCleaned[[#This Row],[ID]], Table2[ID],Table2[MC3], "Not Found", 0 )</f>
        <v>0</v>
      </c>
      <c r="AB1585" s="16">
        <f>_xlfn.XLOOKUP(CustomerCombinedCleaned[[#This Row],[ID]], Table2[ID],Table2[MC4], "Not Found", 0 )</f>
        <v>0</v>
      </c>
      <c r="AC1585" s="16">
        <f>_xlfn.XLOOKUP(CustomerCombinedCleaned[[#This Row],[ID]], Table2[ID],Table2[MC5], "Not Found", 0 )</f>
        <v>0</v>
      </c>
    </row>
    <row r="1586" spans="1:29" x14ac:dyDescent="0.3">
      <c r="A1586" s="18">
        <v>2517</v>
      </c>
      <c r="B1586" s="16">
        <v>174881</v>
      </c>
      <c r="C1586" s="16">
        <v>1</v>
      </c>
      <c r="D1586" s="16">
        <v>1</v>
      </c>
      <c r="E1586" s="16">
        <v>59</v>
      </c>
      <c r="F1586" s="17" t="s">
        <v>8</v>
      </c>
      <c r="G1586" s="17" t="s">
        <v>12</v>
      </c>
      <c r="H1586" s="3" t="s">
        <v>299</v>
      </c>
      <c r="I1586" s="5" t="s">
        <v>435</v>
      </c>
      <c r="J1586" s="16">
        <f>_xlfn.XLOOKUP(CustomerCombinedCleaned[[#This Row],[ID]], Table4[ID], Table4[Recency], "Not Found", 0)</f>
        <v>48</v>
      </c>
      <c r="K1586" s="16">
        <f>_xlfn.XLOOKUP(CustomerCombinedCleaned[[#This Row],[ID]], Table4[ID], Table4[Teas], "Not Found", 0)</f>
        <v>1179</v>
      </c>
      <c r="L1586" s="16">
        <f>_xlfn.XLOOKUP(CustomerCombinedCleaned[[#This Row],[ID]], Table4[ID], Table4[Fruits], "Not Found", 0)</f>
        <v>168</v>
      </c>
      <c r="M1586" s="16">
        <f>_xlfn.XLOOKUP(CustomerCombinedCleaned[[#This Row],[ID]], Table4[ID], Table4[Meats], "Not Found", 0)</f>
        <v>631</v>
      </c>
      <c r="N1586" s="16">
        <f>_xlfn.XLOOKUP(CustomerCombinedCleaned[[#This Row],[ID]], Table4[ID], Table4[Seafood], "Not Found", 0)</f>
        <v>84</v>
      </c>
      <c r="O1586" s="16">
        <f>_xlfn.XLOOKUP(CustomerCombinedCleaned[[#This Row],[ID]], Table4[ID], Table4[Sweets], "Not Found", 0)</f>
        <v>63</v>
      </c>
      <c r="P1586" s="16">
        <f>_xlfn.XLOOKUP(CustomerCombinedCleaned[[#This Row],[ID]], Table4[ID], Table4[Premium], "Not Found", 0)</f>
        <v>126</v>
      </c>
      <c r="Q1586" s="16">
        <f>_xlfn.XLOOKUP(CustomerCombinedCleaned[[#This Row],[ID]], Table4[ID], Table4[Regular], "Not Found", 0)</f>
        <v>1999</v>
      </c>
      <c r="R1586" s="16">
        <f>_xlfn.XLOOKUP(CustomerCombinedCleaned[[#This Row],[ID]], Table4[ID], Table4[Deals], "Not Found", 0)</f>
        <v>4</v>
      </c>
      <c r="S1586" s="16">
        <f>_xlfn.XLOOKUP(CustomerCombinedCleaned[[#This Row],[ID]], Table4[ID], Table4[Website], "Not Found", 0)</f>
        <v>9</v>
      </c>
      <c r="T1586" s="16">
        <f>_xlfn.XLOOKUP(CustomerCombinedCleaned[[#This Row],[ID]], Table4[ID], Table4[Catalog], "Not Found", 0)</f>
        <v>2</v>
      </c>
      <c r="U1586" s="16">
        <f>_xlfn.XLOOKUP(CustomerCombinedCleaned[[#This Row],[ID]], Table4[ID], Table4[Store], "Not Found", 0)</f>
        <v>12</v>
      </c>
      <c r="V1586" s="16">
        <f>_xlfn.XLOOKUP(CustomerCombinedCleaned[[#This Row],[ID]], Table4[ID], Table4[Visits], "Not Found", 0)</f>
        <v>5</v>
      </c>
      <c r="W1586" s="16">
        <f>_xlfn.XLOOKUP(CustomerCombinedCleaned[[#This Row],[ID]], Table2[ID],Table2[Complaint], "Not Found", 0 )</f>
        <v>0</v>
      </c>
      <c r="X1586" s="16">
        <f>_xlfn.XLOOKUP(CustomerCombinedCleaned[[#This Row],[ID]], Table2[ID],Table2[Pilot], "Not Found", 0 )</f>
        <v>0</v>
      </c>
      <c r="Y1586" s="16">
        <f>_xlfn.XLOOKUP(CustomerCombinedCleaned[[#This Row],[ID]], Table2[ID],Table2[MC1], "Not Found", 0 )</f>
        <v>0</v>
      </c>
      <c r="Z1586" s="16">
        <f>_xlfn.XLOOKUP(CustomerCombinedCleaned[[#This Row],[ID]], Table2[ID],Table2[MC2], "Not Found", 0 )</f>
        <v>0</v>
      </c>
      <c r="AA1586" s="16">
        <f>_xlfn.XLOOKUP(CustomerCombinedCleaned[[#This Row],[ID]], Table2[ID],Table2[MC3], "Not Found", 0 )</f>
        <v>0</v>
      </c>
      <c r="AB1586" s="16">
        <f>_xlfn.XLOOKUP(CustomerCombinedCleaned[[#This Row],[ID]], Table2[ID],Table2[MC4], "Not Found", 0 )</f>
        <v>0</v>
      </c>
      <c r="AC1586" s="16">
        <f>_xlfn.XLOOKUP(CustomerCombinedCleaned[[#This Row],[ID]], Table2[ID],Table2[MC5], "Not Found", 0 )</f>
        <v>0</v>
      </c>
    </row>
    <row r="1587" spans="1:29" x14ac:dyDescent="0.3">
      <c r="A1587" s="18">
        <v>2703</v>
      </c>
      <c r="B1587" s="16">
        <v>174881</v>
      </c>
      <c r="C1587" s="16">
        <v>1</v>
      </c>
      <c r="D1587" s="16">
        <v>1</v>
      </c>
      <c r="E1587" s="16">
        <v>59</v>
      </c>
      <c r="F1587" s="17" t="s">
        <v>8</v>
      </c>
      <c r="G1587" s="17" t="s">
        <v>12</v>
      </c>
      <c r="H1587" s="3" t="s">
        <v>299</v>
      </c>
      <c r="I1587" s="5" t="s">
        <v>435</v>
      </c>
      <c r="J1587" s="16">
        <f>_xlfn.XLOOKUP(CustomerCombinedCleaned[[#This Row],[ID]], Table4[ID], Table4[Recency], "Not Found", 0)</f>
        <v>48</v>
      </c>
      <c r="K1587" s="16">
        <f>_xlfn.XLOOKUP(CustomerCombinedCleaned[[#This Row],[ID]], Table4[ID], Table4[Teas], "Not Found", 0)</f>
        <v>1179</v>
      </c>
      <c r="L1587" s="16">
        <f>_xlfn.XLOOKUP(CustomerCombinedCleaned[[#This Row],[ID]], Table4[ID], Table4[Fruits], "Not Found", 0)</f>
        <v>168</v>
      </c>
      <c r="M1587" s="16">
        <f>_xlfn.XLOOKUP(CustomerCombinedCleaned[[#This Row],[ID]], Table4[ID], Table4[Meats], "Not Found", 0)</f>
        <v>631</v>
      </c>
      <c r="N1587" s="16">
        <f>_xlfn.XLOOKUP(CustomerCombinedCleaned[[#This Row],[ID]], Table4[ID], Table4[Seafood], "Not Found", 0)</f>
        <v>84</v>
      </c>
      <c r="O1587" s="16">
        <f>_xlfn.XLOOKUP(CustomerCombinedCleaned[[#This Row],[ID]], Table4[ID], Table4[Sweets], "Not Found", 0)</f>
        <v>63</v>
      </c>
      <c r="P1587" s="16">
        <f>_xlfn.XLOOKUP(CustomerCombinedCleaned[[#This Row],[ID]], Table4[ID], Table4[Premium], "Not Found", 0)</f>
        <v>126</v>
      </c>
      <c r="Q1587" s="16">
        <f>_xlfn.XLOOKUP(CustomerCombinedCleaned[[#This Row],[ID]], Table4[ID], Table4[Regular], "Not Found", 0)</f>
        <v>1999</v>
      </c>
      <c r="R1587" s="16">
        <f>_xlfn.XLOOKUP(CustomerCombinedCleaned[[#This Row],[ID]], Table4[ID], Table4[Deals], "Not Found", 0)</f>
        <v>4</v>
      </c>
      <c r="S1587" s="16">
        <f>_xlfn.XLOOKUP(CustomerCombinedCleaned[[#This Row],[ID]], Table4[ID], Table4[Website], "Not Found", 0)</f>
        <v>9</v>
      </c>
      <c r="T1587" s="16">
        <f>_xlfn.XLOOKUP(CustomerCombinedCleaned[[#This Row],[ID]], Table4[ID], Table4[Catalog], "Not Found", 0)</f>
        <v>2</v>
      </c>
      <c r="U1587" s="16">
        <f>_xlfn.XLOOKUP(CustomerCombinedCleaned[[#This Row],[ID]], Table4[ID], Table4[Store], "Not Found", 0)</f>
        <v>12</v>
      </c>
      <c r="V1587" s="16">
        <f>_xlfn.XLOOKUP(CustomerCombinedCleaned[[#This Row],[ID]], Table4[ID], Table4[Visits], "Not Found", 0)</f>
        <v>5</v>
      </c>
      <c r="W1587" s="16">
        <f>_xlfn.XLOOKUP(CustomerCombinedCleaned[[#This Row],[ID]], Table2[ID],Table2[Complaint], "Not Found", 0 )</f>
        <v>0</v>
      </c>
      <c r="X1587" s="16">
        <f>_xlfn.XLOOKUP(CustomerCombinedCleaned[[#This Row],[ID]], Table2[ID],Table2[Pilot], "Not Found", 0 )</f>
        <v>0</v>
      </c>
      <c r="Y1587" s="16">
        <f>_xlfn.XLOOKUP(CustomerCombinedCleaned[[#This Row],[ID]], Table2[ID],Table2[MC1], "Not Found", 0 )</f>
        <v>0</v>
      </c>
      <c r="Z1587" s="16">
        <f>_xlfn.XLOOKUP(CustomerCombinedCleaned[[#This Row],[ID]], Table2[ID],Table2[MC2], "Not Found", 0 )</f>
        <v>0</v>
      </c>
      <c r="AA1587" s="16">
        <f>_xlfn.XLOOKUP(CustomerCombinedCleaned[[#This Row],[ID]], Table2[ID],Table2[MC3], "Not Found", 0 )</f>
        <v>0</v>
      </c>
      <c r="AB1587" s="16">
        <f>_xlfn.XLOOKUP(CustomerCombinedCleaned[[#This Row],[ID]], Table2[ID],Table2[MC4], "Not Found", 0 )</f>
        <v>0</v>
      </c>
      <c r="AC1587" s="16">
        <f>_xlfn.XLOOKUP(CustomerCombinedCleaned[[#This Row],[ID]], Table2[ID],Table2[MC5], "Not Found", 0 )</f>
        <v>0</v>
      </c>
    </row>
    <row r="1588" spans="1:29" x14ac:dyDescent="0.3">
      <c r="A1588" s="18">
        <v>1362</v>
      </c>
      <c r="B1588" s="16">
        <v>166426</v>
      </c>
      <c r="C1588" s="16">
        <v>0</v>
      </c>
      <c r="D1588" s="16">
        <v>1</v>
      </c>
      <c r="E1588" s="16">
        <v>59</v>
      </c>
      <c r="F1588" s="17" t="s">
        <v>8</v>
      </c>
      <c r="G1588" s="17" t="s">
        <v>13</v>
      </c>
      <c r="H1588" s="3" t="s">
        <v>673</v>
      </c>
      <c r="I1588" s="5" t="s">
        <v>436</v>
      </c>
      <c r="J1588" s="16">
        <f>_xlfn.XLOOKUP(CustomerCombinedCleaned[[#This Row],[ID]], Table4[ID], Table4[Recency], "Not Found", 0)</f>
        <v>14</v>
      </c>
      <c r="K1588" s="16">
        <f>_xlfn.XLOOKUP(CustomerCombinedCleaned[[#This Row],[ID]], Table4[ID], Table4[Teas], "Not Found", 0)</f>
        <v>2613</v>
      </c>
      <c r="L1588" s="16">
        <f>_xlfn.XLOOKUP(CustomerCombinedCleaned[[#This Row],[ID]], Table4[ID], Table4[Fruits], "Not Found", 0)</f>
        <v>60</v>
      </c>
      <c r="M1588" s="16">
        <f>_xlfn.XLOOKUP(CustomerCombinedCleaned[[#This Row],[ID]], Table4[ID], Table4[Meats], "Not Found", 0)</f>
        <v>243</v>
      </c>
      <c r="N1588" s="16">
        <f>_xlfn.XLOOKUP(CustomerCombinedCleaned[[#This Row],[ID]], Table4[ID], Table4[Seafood], "Not Found", 0)</f>
        <v>80</v>
      </c>
      <c r="O1588" s="16">
        <f>_xlfn.XLOOKUP(CustomerCombinedCleaned[[#This Row],[ID]], Table4[ID], Table4[Sweets], "Not Found", 0)</f>
        <v>60</v>
      </c>
      <c r="P1588" s="16">
        <f>_xlfn.XLOOKUP(CustomerCombinedCleaned[[#This Row],[ID]], Table4[ID], Table4[Premium], "Not Found", 0)</f>
        <v>393</v>
      </c>
      <c r="Q1588" s="16">
        <f>_xlfn.XLOOKUP(CustomerCombinedCleaned[[#This Row],[ID]], Table4[ID], Table4[Regular], "Not Found", 0)</f>
        <v>2663</v>
      </c>
      <c r="R1588" s="16">
        <f>_xlfn.XLOOKUP(CustomerCombinedCleaned[[#This Row],[ID]], Table4[ID], Table4[Deals], "Not Found", 0)</f>
        <v>2</v>
      </c>
      <c r="S1588" s="16">
        <f>_xlfn.XLOOKUP(CustomerCombinedCleaned[[#This Row],[ID]], Table4[ID], Table4[Website], "Not Found", 0)</f>
        <v>3</v>
      </c>
      <c r="T1588" s="16">
        <f>_xlfn.XLOOKUP(CustomerCombinedCleaned[[#This Row],[ID]], Table4[ID], Table4[Catalog], "Not Found", 0)</f>
        <v>5</v>
      </c>
      <c r="U1588" s="16">
        <f>_xlfn.XLOOKUP(CustomerCombinedCleaned[[#This Row],[ID]], Table4[ID], Table4[Store], "Not Found", 0)</f>
        <v>10</v>
      </c>
      <c r="V1588" s="16">
        <f>_xlfn.XLOOKUP(CustomerCombinedCleaned[[#This Row],[ID]], Table4[ID], Table4[Visits], "Not Found", 0)</f>
        <v>6</v>
      </c>
      <c r="W1588" s="16">
        <f>_xlfn.XLOOKUP(CustomerCombinedCleaned[[#This Row],[ID]], Table2[ID],Table2[Complaint], "Not Found", 0 )</f>
        <v>0</v>
      </c>
      <c r="X1588" s="16">
        <f>_xlfn.XLOOKUP(CustomerCombinedCleaned[[#This Row],[ID]], Table2[ID],Table2[Pilot], "Not Found", 0 )</f>
        <v>0</v>
      </c>
      <c r="Y1588" s="16">
        <f>_xlfn.XLOOKUP(CustomerCombinedCleaned[[#This Row],[ID]], Table2[ID],Table2[MC1], "Not Found", 0 )</f>
        <v>0</v>
      </c>
      <c r="Z1588" s="16">
        <f>_xlfn.XLOOKUP(CustomerCombinedCleaned[[#This Row],[ID]], Table2[ID],Table2[MC2], "Not Found", 0 )</f>
        <v>0</v>
      </c>
      <c r="AA1588" s="16">
        <f>_xlfn.XLOOKUP(CustomerCombinedCleaned[[#This Row],[ID]], Table2[ID],Table2[MC3], "Not Found", 0 )</f>
        <v>0</v>
      </c>
      <c r="AB1588" s="16">
        <f>_xlfn.XLOOKUP(CustomerCombinedCleaned[[#This Row],[ID]], Table2[ID],Table2[MC4], "Not Found", 0 )</f>
        <v>0</v>
      </c>
      <c r="AC1588" s="16">
        <f>_xlfn.XLOOKUP(CustomerCombinedCleaned[[#This Row],[ID]], Table2[ID],Table2[MC5], "Not Found", 0 )</f>
        <v>0</v>
      </c>
    </row>
    <row r="1589" spans="1:29" x14ac:dyDescent="0.3">
      <c r="A1589" s="18">
        <v>1308</v>
      </c>
      <c r="B1589" s="16">
        <v>164325</v>
      </c>
      <c r="C1589" s="16">
        <v>0</v>
      </c>
      <c r="D1589" s="16">
        <v>1</v>
      </c>
      <c r="E1589" s="16">
        <v>59</v>
      </c>
      <c r="F1589" s="17" t="s">
        <v>5</v>
      </c>
      <c r="G1589" s="17" t="s">
        <v>13</v>
      </c>
      <c r="H1589" s="3" t="s">
        <v>316</v>
      </c>
      <c r="I1589" s="5" t="s">
        <v>436</v>
      </c>
      <c r="J1589" s="16">
        <f>_xlfn.XLOOKUP(CustomerCombinedCleaned[[#This Row],[ID]], Table4[ID], Table4[Recency], "Not Found", 0)</f>
        <v>41</v>
      </c>
      <c r="K1589" s="16">
        <f>_xlfn.XLOOKUP(CustomerCombinedCleaned[[#This Row],[ID]], Table4[ID], Table4[Teas], "Not Found", 0)</f>
        <v>1867</v>
      </c>
      <c r="L1589" s="16">
        <f>_xlfn.XLOOKUP(CustomerCombinedCleaned[[#This Row],[ID]], Table4[ID], Table4[Fruits], "Not Found", 0)</f>
        <v>153</v>
      </c>
      <c r="M1589" s="16">
        <f>_xlfn.XLOOKUP(CustomerCombinedCleaned[[#This Row],[ID]], Table4[ID], Table4[Meats], "Not Found", 0)</f>
        <v>902</v>
      </c>
      <c r="N1589" s="16">
        <f>_xlfn.XLOOKUP(CustomerCombinedCleaned[[#This Row],[ID]], Table4[ID], Table4[Seafood], "Not Found", 0)</f>
        <v>199</v>
      </c>
      <c r="O1589" s="16">
        <f>_xlfn.XLOOKUP(CustomerCombinedCleaned[[#This Row],[ID]], Table4[ID], Table4[Sweets], "Not Found", 0)</f>
        <v>31</v>
      </c>
      <c r="P1589" s="16">
        <f>_xlfn.XLOOKUP(CustomerCombinedCleaned[[#This Row],[ID]], Table4[ID], Table4[Premium], "Not Found", 0)</f>
        <v>186</v>
      </c>
      <c r="Q1589" s="16">
        <f>_xlfn.XLOOKUP(CustomerCombinedCleaned[[#This Row],[ID]], Table4[ID], Table4[Regular], "Not Found", 0)</f>
        <v>2966</v>
      </c>
      <c r="R1589" s="16">
        <f>_xlfn.XLOOKUP(CustomerCombinedCleaned[[#This Row],[ID]], Table4[ID], Table4[Deals], "Not Found", 0)</f>
        <v>5</v>
      </c>
      <c r="S1589" s="16">
        <f>_xlfn.XLOOKUP(CustomerCombinedCleaned[[#This Row],[ID]], Table4[ID], Table4[Website], "Not Found", 0)</f>
        <v>10</v>
      </c>
      <c r="T1589" s="16">
        <f>_xlfn.XLOOKUP(CustomerCombinedCleaned[[#This Row],[ID]], Table4[ID], Table4[Catalog], "Not Found", 0)</f>
        <v>3</v>
      </c>
      <c r="U1589" s="16">
        <f>_xlfn.XLOOKUP(CustomerCombinedCleaned[[#This Row],[ID]], Table4[ID], Table4[Store], "Not Found", 0)</f>
        <v>5</v>
      </c>
      <c r="V1589" s="16">
        <f>_xlfn.XLOOKUP(CustomerCombinedCleaned[[#This Row],[ID]], Table4[ID], Table4[Visits], "Not Found", 0)</f>
        <v>7</v>
      </c>
      <c r="W1589" s="16">
        <f>_xlfn.XLOOKUP(CustomerCombinedCleaned[[#This Row],[ID]], Table2[ID],Table2[Complaint], "Not Found", 0 )</f>
        <v>0</v>
      </c>
      <c r="X1589" s="16">
        <f>_xlfn.XLOOKUP(CustomerCombinedCleaned[[#This Row],[ID]], Table2[ID],Table2[Pilot], "Not Found", 0 )</f>
        <v>0</v>
      </c>
      <c r="Y1589" s="16">
        <f>_xlfn.XLOOKUP(CustomerCombinedCleaned[[#This Row],[ID]], Table2[ID],Table2[MC1], "Not Found", 0 )</f>
        <v>0</v>
      </c>
      <c r="Z1589" s="16">
        <f>_xlfn.XLOOKUP(CustomerCombinedCleaned[[#This Row],[ID]], Table2[ID],Table2[MC2], "Not Found", 0 )</f>
        <v>0</v>
      </c>
      <c r="AA1589" s="16">
        <f>_xlfn.XLOOKUP(CustomerCombinedCleaned[[#This Row],[ID]], Table2[ID],Table2[MC3], "Not Found", 0 )</f>
        <v>0</v>
      </c>
      <c r="AB1589" s="16">
        <f>_xlfn.XLOOKUP(CustomerCombinedCleaned[[#This Row],[ID]], Table2[ID],Table2[MC4], "Not Found", 0 )</f>
        <v>0</v>
      </c>
      <c r="AC1589" s="16">
        <f>_xlfn.XLOOKUP(CustomerCombinedCleaned[[#This Row],[ID]], Table2[ID],Table2[MC5], "Not Found", 0 )</f>
        <v>0</v>
      </c>
    </row>
    <row r="1590" spans="1:29" x14ac:dyDescent="0.3">
      <c r="A1590" s="18">
        <v>2828</v>
      </c>
      <c r="B1590" s="16">
        <v>164260</v>
      </c>
      <c r="C1590" s="16">
        <v>0</v>
      </c>
      <c r="D1590" s="16">
        <v>0</v>
      </c>
      <c r="E1590" s="16">
        <v>59</v>
      </c>
      <c r="F1590" s="17" t="s">
        <v>8</v>
      </c>
      <c r="G1590" s="17" t="s">
        <v>11</v>
      </c>
      <c r="H1590" s="3" t="s">
        <v>329</v>
      </c>
      <c r="I1590" s="5" t="s">
        <v>438</v>
      </c>
      <c r="J1590" s="16">
        <f>_xlfn.XLOOKUP(CustomerCombinedCleaned[[#This Row],[ID]], Table4[ID], Table4[Recency], "Not Found", 0)</f>
        <v>1</v>
      </c>
      <c r="K1590" s="16">
        <f>_xlfn.XLOOKUP(CustomerCombinedCleaned[[#This Row],[ID]], Table4[ID], Table4[Teas], "Not Found", 0)</f>
        <v>1378</v>
      </c>
      <c r="L1590" s="16">
        <f>_xlfn.XLOOKUP(CustomerCombinedCleaned[[#This Row],[ID]], Table4[ID], Table4[Fruits], "Not Found", 0)</f>
        <v>432</v>
      </c>
      <c r="M1590" s="16">
        <f>_xlfn.XLOOKUP(CustomerCombinedCleaned[[#This Row],[ID]], Table4[ID], Table4[Meats], "Not Found", 0)</f>
        <v>2086</v>
      </c>
      <c r="N1590" s="16">
        <f>_xlfn.XLOOKUP(CustomerCombinedCleaned[[#This Row],[ID]], Table4[ID], Table4[Seafood], "Not Found", 0)</f>
        <v>51</v>
      </c>
      <c r="O1590" s="16">
        <f>_xlfn.XLOOKUP(CustomerCombinedCleaned[[#This Row],[ID]], Table4[ID], Table4[Sweets], "Not Found", 0)</f>
        <v>0</v>
      </c>
      <c r="P1590" s="16">
        <f>_xlfn.XLOOKUP(CustomerCombinedCleaned[[#This Row],[ID]], Table4[ID], Table4[Premium], "Not Found", 0)</f>
        <v>77</v>
      </c>
      <c r="Q1590" s="16">
        <f>_xlfn.XLOOKUP(CustomerCombinedCleaned[[#This Row],[ID]], Table4[ID], Table4[Regular], "Not Found", 0)</f>
        <v>3870</v>
      </c>
      <c r="R1590" s="16">
        <f>_xlfn.XLOOKUP(CustomerCombinedCleaned[[#This Row],[ID]], Table4[ID], Table4[Deals], "Not Found", 0)</f>
        <v>1</v>
      </c>
      <c r="S1590" s="16">
        <f>_xlfn.XLOOKUP(CustomerCombinedCleaned[[#This Row],[ID]], Table4[ID], Table4[Website], "Not Found", 0)</f>
        <v>4</v>
      </c>
      <c r="T1590" s="16">
        <f>_xlfn.XLOOKUP(CustomerCombinedCleaned[[#This Row],[ID]], Table4[ID], Table4[Catalog], "Not Found", 0)</f>
        <v>5</v>
      </c>
      <c r="U1590" s="16">
        <f>_xlfn.XLOOKUP(CustomerCombinedCleaned[[#This Row],[ID]], Table4[ID], Table4[Store], "Not Found", 0)</f>
        <v>4</v>
      </c>
      <c r="V1590" s="16">
        <f>_xlfn.XLOOKUP(CustomerCombinedCleaned[[#This Row],[ID]], Table4[ID], Table4[Visits], "Not Found", 0)</f>
        <v>3</v>
      </c>
      <c r="W1590" s="16">
        <f>_xlfn.XLOOKUP(CustomerCombinedCleaned[[#This Row],[ID]], Table2[ID],Table2[Complaint], "Not Found", 0 )</f>
        <v>0</v>
      </c>
      <c r="X1590" s="16">
        <f>_xlfn.XLOOKUP(CustomerCombinedCleaned[[#This Row],[ID]], Table2[ID],Table2[Pilot], "Not Found", 0 )</f>
        <v>1</v>
      </c>
      <c r="Y1590" s="16">
        <f>_xlfn.XLOOKUP(CustomerCombinedCleaned[[#This Row],[ID]], Table2[ID],Table2[MC1], "Not Found", 0 )</f>
        <v>0</v>
      </c>
      <c r="Z1590" s="16">
        <f>_xlfn.XLOOKUP(CustomerCombinedCleaned[[#This Row],[ID]], Table2[ID],Table2[MC2], "Not Found", 0 )</f>
        <v>0</v>
      </c>
      <c r="AA1590" s="16">
        <f>_xlfn.XLOOKUP(CustomerCombinedCleaned[[#This Row],[ID]], Table2[ID],Table2[MC3], "Not Found", 0 )</f>
        <v>0</v>
      </c>
      <c r="AB1590" s="16">
        <f>_xlfn.XLOOKUP(CustomerCombinedCleaned[[#This Row],[ID]], Table2[ID],Table2[MC4], "Not Found", 0 )</f>
        <v>0</v>
      </c>
      <c r="AC1590" s="16">
        <f>_xlfn.XLOOKUP(CustomerCombinedCleaned[[#This Row],[ID]], Table2[ID],Table2[MC5], "Not Found", 0 )</f>
        <v>0</v>
      </c>
    </row>
    <row r="1591" spans="1:29" x14ac:dyDescent="0.3">
      <c r="A1591" s="18">
        <v>1243</v>
      </c>
      <c r="B1591" s="16">
        <v>163342</v>
      </c>
      <c r="C1591" s="16">
        <v>0</v>
      </c>
      <c r="D1591" s="16">
        <v>1</v>
      </c>
      <c r="E1591" s="16">
        <v>59</v>
      </c>
      <c r="F1591" s="17" t="s">
        <v>8</v>
      </c>
      <c r="G1591" s="17" t="s">
        <v>13</v>
      </c>
      <c r="H1591" s="3" t="s">
        <v>378</v>
      </c>
      <c r="I1591" s="5" t="s">
        <v>437</v>
      </c>
      <c r="J1591" s="16">
        <f>_xlfn.XLOOKUP(CustomerCombinedCleaned[[#This Row],[ID]], Table4[ID], Table4[Recency], "Not Found", 0)</f>
        <v>48</v>
      </c>
      <c r="K1591" s="16">
        <f>_xlfn.XLOOKUP(CustomerCombinedCleaned[[#This Row],[ID]], Table4[ID], Table4[Teas], "Not Found", 0)</f>
        <v>2367</v>
      </c>
      <c r="L1591" s="16">
        <f>_xlfn.XLOOKUP(CustomerCombinedCleaned[[#This Row],[ID]], Table4[ID], Table4[Fruits], "Not Found", 0)</f>
        <v>54</v>
      </c>
      <c r="M1591" s="16">
        <f>_xlfn.XLOOKUP(CustomerCombinedCleaned[[#This Row],[ID]], Table4[ID], Table4[Meats], "Not Found", 0)</f>
        <v>304</v>
      </c>
      <c r="N1591" s="16">
        <f>_xlfn.XLOOKUP(CustomerCombinedCleaned[[#This Row],[ID]], Table4[ID], Table4[Seafood], "Not Found", 0)</f>
        <v>34</v>
      </c>
      <c r="O1591" s="16">
        <f>_xlfn.XLOOKUP(CustomerCombinedCleaned[[#This Row],[ID]], Table4[ID], Table4[Sweets], "Not Found", 0)</f>
        <v>26</v>
      </c>
      <c r="P1591" s="16">
        <f>_xlfn.XLOOKUP(CustomerCombinedCleaned[[#This Row],[ID]], Table4[ID], Table4[Premium], "Not Found", 0)</f>
        <v>54</v>
      </c>
      <c r="Q1591" s="16">
        <f>_xlfn.XLOOKUP(CustomerCombinedCleaned[[#This Row],[ID]], Table4[ID], Table4[Regular], "Not Found", 0)</f>
        <v>2731</v>
      </c>
      <c r="R1591" s="16">
        <f>_xlfn.XLOOKUP(CustomerCombinedCleaned[[#This Row],[ID]], Table4[ID], Table4[Deals], "Not Found", 0)</f>
        <v>3</v>
      </c>
      <c r="S1591" s="16">
        <f>_xlfn.XLOOKUP(CustomerCombinedCleaned[[#This Row],[ID]], Table4[ID], Table4[Website], "Not Found", 0)</f>
        <v>8</v>
      </c>
      <c r="T1591" s="16">
        <f>_xlfn.XLOOKUP(CustomerCombinedCleaned[[#This Row],[ID]], Table4[ID], Table4[Catalog], "Not Found", 0)</f>
        <v>3</v>
      </c>
      <c r="U1591" s="16">
        <f>_xlfn.XLOOKUP(CustomerCombinedCleaned[[#This Row],[ID]], Table4[ID], Table4[Store], "Not Found", 0)</f>
        <v>5</v>
      </c>
      <c r="V1591" s="16">
        <f>_xlfn.XLOOKUP(CustomerCombinedCleaned[[#This Row],[ID]], Table4[ID], Table4[Visits], "Not Found", 0)</f>
        <v>6</v>
      </c>
      <c r="W1591" s="16">
        <f>_xlfn.XLOOKUP(CustomerCombinedCleaned[[#This Row],[ID]], Table2[ID],Table2[Complaint], "Not Found", 0 )</f>
        <v>0</v>
      </c>
      <c r="X1591" s="16">
        <f>_xlfn.XLOOKUP(CustomerCombinedCleaned[[#This Row],[ID]], Table2[ID],Table2[Pilot], "Not Found", 0 )</f>
        <v>0</v>
      </c>
      <c r="Y1591" s="16">
        <f>_xlfn.XLOOKUP(CustomerCombinedCleaned[[#This Row],[ID]], Table2[ID],Table2[MC1], "Not Found", 0 )</f>
        <v>0</v>
      </c>
      <c r="Z1591" s="16">
        <f>_xlfn.XLOOKUP(CustomerCombinedCleaned[[#This Row],[ID]], Table2[ID],Table2[MC2], "Not Found", 0 )</f>
        <v>0</v>
      </c>
      <c r="AA1591" s="16">
        <f>_xlfn.XLOOKUP(CustomerCombinedCleaned[[#This Row],[ID]], Table2[ID],Table2[MC3], "Not Found", 0 )</f>
        <v>0</v>
      </c>
      <c r="AB1591" s="16">
        <f>_xlfn.XLOOKUP(CustomerCombinedCleaned[[#This Row],[ID]], Table2[ID],Table2[MC4], "Not Found", 0 )</f>
        <v>1</v>
      </c>
      <c r="AC1591" s="16">
        <f>_xlfn.XLOOKUP(CustomerCombinedCleaned[[#This Row],[ID]], Table2[ID],Table2[MC5], "Not Found", 0 )</f>
        <v>0</v>
      </c>
    </row>
    <row r="1592" spans="1:29" x14ac:dyDescent="0.3">
      <c r="A1592" s="18">
        <v>2725</v>
      </c>
      <c r="B1592" s="16">
        <v>163342</v>
      </c>
      <c r="C1592" s="16">
        <v>0</v>
      </c>
      <c r="D1592" s="16">
        <v>1</v>
      </c>
      <c r="E1592" s="16">
        <v>59</v>
      </c>
      <c r="F1592" s="17" t="s">
        <v>8</v>
      </c>
      <c r="G1592" s="17" t="s">
        <v>13</v>
      </c>
      <c r="H1592" s="3" t="s">
        <v>378</v>
      </c>
      <c r="I1592" s="5" t="s">
        <v>437</v>
      </c>
      <c r="J1592" s="16">
        <f>_xlfn.XLOOKUP(CustomerCombinedCleaned[[#This Row],[ID]], Table4[ID], Table4[Recency], "Not Found", 0)</f>
        <v>48</v>
      </c>
      <c r="K1592" s="16">
        <f>_xlfn.XLOOKUP(CustomerCombinedCleaned[[#This Row],[ID]], Table4[ID], Table4[Teas], "Not Found", 0)</f>
        <v>2367</v>
      </c>
      <c r="L1592" s="16">
        <f>_xlfn.XLOOKUP(CustomerCombinedCleaned[[#This Row],[ID]], Table4[ID], Table4[Fruits], "Not Found", 0)</f>
        <v>54</v>
      </c>
      <c r="M1592" s="16">
        <f>_xlfn.XLOOKUP(CustomerCombinedCleaned[[#This Row],[ID]], Table4[ID], Table4[Meats], "Not Found", 0)</f>
        <v>304</v>
      </c>
      <c r="N1592" s="16">
        <f>_xlfn.XLOOKUP(CustomerCombinedCleaned[[#This Row],[ID]], Table4[ID], Table4[Seafood], "Not Found", 0)</f>
        <v>34</v>
      </c>
      <c r="O1592" s="16">
        <f>_xlfn.XLOOKUP(CustomerCombinedCleaned[[#This Row],[ID]], Table4[ID], Table4[Sweets], "Not Found", 0)</f>
        <v>26</v>
      </c>
      <c r="P1592" s="16">
        <f>_xlfn.XLOOKUP(CustomerCombinedCleaned[[#This Row],[ID]], Table4[ID], Table4[Premium], "Not Found", 0)</f>
        <v>54</v>
      </c>
      <c r="Q1592" s="16">
        <f>_xlfn.XLOOKUP(CustomerCombinedCleaned[[#This Row],[ID]], Table4[ID], Table4[Regular], "Not Found", 0)</f>
        <v>2731</v>
      </c>
      <c r="R1592" s="16">
        <f>_xlfn.XLOOKUP(CustomerCombinedCleaned[[#This Row],[ID]], Table4[ID], Table4[Deals], "Not Found", 0)</f>
        <v>3</v>
      </c>
      <c r="S1592" s="16">
        <f>_xlfn.XLOOKUP(CustomerCombinedCleaned[[#This Row],[ID]], Table4[ID], Table4[Website], "Not Found", 0)</f>
        <v>8</v>
      </c>
      <c r="T1592" s="16">
        <f>_xlfn.XLOOKUP(CustomerCombinedCleaned[[#This Row],[ID]], Table4[ID], Table4[Catalog], "Not Found", 0)</f>
        <v>3</v>
      </c>
      <c r="U1592" s="16">
        <f>_xlfn.XLOOKUP(CustomerCombinedCleaned[[#This Row],[ID]], Table4[ID], Table4[Store], "Not Found", 0)</f>
        <v>5</v>
      </c>
      <c r="V1592" s="16">
        <f>_xlfn.XLOOKUP(CustomerCombinedCleaned[[#This Row],[ID]], Table4[ID], Table4[Visits], "Not Found", 0)</f>
        <v>6</v>
      </c>
      <c r="W1592" s="16">
        <f>_xlfn.XLOOKUP(CustomerCombinedCleaned[[#This Row],[ID]], Table2[ID],Table2[Complaint], "Not Found", 0 )</f>
        <v>0</v>
      </c>
      <c r="X1592" s="16">
        <f>_xlfn.XLOOKUP(CustomerCombinedCleaned[[#This Row],[ID]], Table2[ID],Table2[Pilot], "Not Found", 0 )</f>
        <v>1</v>
      </c>
      <c r="Y1592" s="16">
        <f>_xlfn.XLOOKUP(CustomerCombinedCleaned[[#This Row],[ID]], Table2[ID],Table2[MC1], "Not Found", 0 )</f>
        <v>0</v>
      </c>
      <c r="Z1592" s="16">
        <f>_xlfn.XLOOKUP(CustomerCombinedCleaned[[#This Row],[ID]], Table2[ID],Table2[MC2], "Not Found", 0 )</f>
        <v>0</v>
      </c>
      <c r="AA1592" s="16">
        <f>_xlfn.XLOOKUP(CustomerCombinedCleaned[[#This Row],[ID]], Table2[ID],Table2[MC3], "Not Found", 0 )</f>
        <v>0</v>
      </c>
      <c r="AB1592" s="16">
        <f>_xlfn.XLOOKUP(CustomerCombinedCleaned[[#This Row],[ID]], Table2[ID],Table2[MC4], "Not Found", 0 )</f>
        <v>1</v>
      </c>
      <c r="AC1592" s="16">
        <f>_xlfn.XLOOKUP(CustomerCombinedCleaned[[#This Row],[ID]], Table2[ID],Table2[MC5], "Not Found", 0 )</f>
        <v>0</v>
      </c>
    </row>
    <row r="1593" spans="1:29" x14ac:dyDescent="0.3">
      <c r="A1593" s="18">
        <v>1676</v>
      </c>
      <c r="B1593" s="16">
        <v>161923</v>
      </c>
      <c r="C1593" s="16">
        <v>0</v>
      </c>
      <c r="D1593" s="16">
        <v>2</v>
      </c>
      <c r="E1593" s="16">
        <v>59</v>
      </c>
      <c r="F1593" s="17" t="s">
        <v>6</v>
      </c>
      <c r="G1593" s="17" t="s">
        <v>12</v>
      </c>
      <c r="H1593" s="3" t="s">
        <v>210</v>
      </c>
      <c r="I1593" s="5" t="s">
        <v>438</v>
      </c>
      <c r="J1593" s="16">
        <f>_xlfn.XLOOKUP(CustomerCombinedCleaned[[#This Row],[ID]], Table4[ID], Table4[Recency], "Not Found", 0)</f>
        <v>94</v>
      </c>
      <c r="K1593" s="16">
        <f>_xlfn.XLOOKUP(CustomerCombinedCleaned[[#This Row],[ID]], Table4[ID], Table4[Teas], "Not Found", 0)</f>
        <v>241</v>
      </c>
      <c r="L1593" s="16">
        <f>_xlfn.XLOOKUP(CustomerCombinedCleaned[[#This Row],[ID]], Table4[ID], Table4[Fruits], "Not Found", 0)</f>
        <v>10</v>
      </c>
      <c r="M1593" s="16">
        <f>_xlfn.XLOOKUP(CustomerCombinedCleaned[[#This Row],[ID]], Table4[ID], Table4[Meats], "Not Found", 0)</f>
        <v>47</v>
      </c>
      <c r="N1593" s="16">
        <f>_xlfn.XLOOKUP(CustomerCombinedCleaned[[#This Row],[ID]], Table4[ID], Table4[Seafood], "Not Found", 0)</f>
        <v>8</v>
      </c>
      <c r="O1593" s="16">
        <f>_xlfn.XLOOKUP(CustomerCombinedCleaned[[#This Row],[ID]], Table4[ID], Table4[Sweets], "Not Found", 0)</f>
        <v>8</v>
      </c>
      <c r="P1593" s="16">
        <f>_xlfn.XLOOKUP(CustomerCombinedCleaned[[#This Row],[ID]], Table4[ID], Table4[Premium], "Not Found", 0)</f>
        <v>16</v>
      </c>
      <c r="Q1593" s="16">
        <f>_xlfn.XLOOKUP(CustomerCombinedCleaned[[#This Row],[ID]], Table4[ID], Table4[Regular], "Not Found", 0)</f>
        <v>298</v>
      </c>
      <c r="R1593" s="16">
        <f>_xlfn.XLOOKUP(CustomerCombinedCleaned[[#This Row],[ID]], Table4[ID], Table4[Deals], "Not Found", 0)</f>
        <v>1</v>
      </c>
      <c r="S1593" s="16">
        <f>_xlfn.XLOOKUP(CustomerCombinedCleaned[[#This Row],[ID]], Table4[ID], Table4[Website], "Not Found", 0)</f>
        <v>2</v>
      </c>
      <c r="T1593" s="16">
        <f>_xlfn.XLOOKUP(CustomerCombinedCleaned[[#This Row],[ID]], Table4[ID], Table4[Catalog], "Not Found", 0)</f>
        <v>1</v>
      </c>
      <c r="U1593" s="16">
        <f>_xlfn.XLOOKUP(CustomerCombinedCleaned[[#This Row],[ID]], Table4[ID], Table4[Store], "Not Found", 0)</f>
        <v>4</v>
      </c>
      <c r="V1593" s="16">
        <f>_xlfn.XLOOKUP(CustomerCombinedCleaned[[#This Row],[ID]], Table4[ID], Table4[Visits], "Not Found", 0)</f>
        <v>3</v>
      </c>
      <c r="W1593" s="16">
        <f>_xlfn.XLOOKUP(CustomerCombinedCleaned[[#This Row],[ID]], Table2[ID],Table2[Complaint], "Not Found", 0 )</f>
        <v>0</v>
      </c>
      <c r="X1593" s="16">
        <f>_xlfn.XLOOKUP(CustomerCombinedCleaned[[#This Row],[ID]], Table2[ID],Table2[Pilot], "Not Found", 0 )</f>
        <v>0</v>
      </c>
      <c r="Y1593" s="16">
        <f>_xlfn.XLOOKUP(CustomerCombinedCleaned[[#This Row],[ID]], Table2[ID],Table2[MC1], "Not Found", 0 )</f>
        <v>0</v>
      </c>
      <c r="Z1593" s="16">
        <f>_xlfn.XLOOKUP(CustomerCombinedCleaned[[#This Row],[ID]], Table2[ID],Table2[MC2], "Not Found", 0 )</f>
        <v>0</v>
      </c>
      <c r="AA1593" s="16">
        <f>_xlfn.XLOOKUP(CustomerCombinedCleaned[[#This Row],[ID]], Table2[ID],Table2[MC3], "Not Found", 0 )</f>
        <v>0</v>
      </c>
      <c r="AB1593" s="16">
        <f>_xlfn.XLOOKUP(CustomerCombinedCleaned[[#This Row],[ID]], Table2[ID],Table2[MC4], "Not Found", 0 )</f>
        <v>0</v>
      </c>
      <c r="AC1593" s="16">
        <f>_xlfn.XLOOKUP(CustomerCombinedCleaned[[#This Row],[ID]], Table2[ID],Table2[MC5], "Not Found", 0 )</f>
        <v>0</v>
      </c>
    </row>
    <row r="1594" spans="1:29" x14ac:dyDescent="0.3">
      <c r="A1594" s="18">
        <v>1571</v>
      </c>
      <c r="B1594" s="16">
        <v>161794</v>
      </c>
      <c r="C1594" s="16">
        <v>0</v>
      </c>
      <c r="D1594" s="16">
        <v>1</v>
      </c>
      <c r="E1594" s="16">
        <v>59</v>
      </c>
      <c r="F1594" s="17" t="s">
        <v>6</v>
      </c>
      <c r="G1594" s="17" t="s">
        <v>12</v>
      </c>
      <c r="H1594" s="3" t="s">
        <v>185</v>
      </c>
      <c r="I1594" s="5" t="s">
        <v>434</v>
      </c>
      <c r="J1594" s="16">
        <f>_xlfn.XLOOKUP(CustomerCombinedCleaned[[#This Row],[ID]], Table4[ID], Table4[Recency], "Not Found", 0)</f>
        <v>74</v>
      </c>
      <c r="K1594" s="16">
        <f>_xlfn.XLOOKUP(CustomerCombinedCleaned[[#This Row],[ID]], Table4[ID], Table4[Teas], "Not Found", 0)</f>
        <v>691</v>
      </c>
      <c r="L1594" s="16">
        <f>_xlfn.XLOOKUP(CustomerCombinedCleaned[[#This Row],[ID]], Table4[ID], Table4[Fruits], "Not Found", 0)</f>
        <v>123</v>
      </c>
      <c r="M1594" s="16">
        <f>_xlfn.XLOOKUP(CustomerCombinedCleaned[[#This Row],[ID]], Table4[ID], Table4[Meats], "Not Found", 0)</f>
        <v>492</v>
      </c>
      <c r="N1594" s="16">
        <f>_xlfn.XLOOKUP(CustomerCombinedCleaned[[#This Row],[ID]], Table4[ID], Table4[Seafood], "Not Found", 0)</f>
        <v>141</v>
      </c>
      <c r="O1594" s="16">
        <f>_xlfn.XLOOKUP(CustomerCombinedCleaned[[#This Row],[ID]], Table4[ID], Table4[Sweets], "Not Found", 0)</f>
        <v>123</v>
      </c>
      <c r="P1594" s="16">
        <f>_xlfn.XLOOKUP(CustomerCombinedCleaned[[#This Row],[ID]], Table4[ID], Table4[Premium], "Not Found", 0)</f>
        <v>29</v>
      </c>
      <c r="Q1594" s="16">
        <f>_xlfn.XLOOKUP(CustomerCombinedCleaned[[#This Row],[ID]], Table4[ID], Table4[Regular], "Not Found", 0)</f>
        <v>1542</v>
      </c>
      <c r="R1594" s="16">
        <f>_xlfn.XLOOKUP(CustomerCombinedCleaned[[#This Row],[ID]], Table4[ID], Table4[Deals], "Not Found", 0)</f>
        <v>2</v>
      </c>
      <c r="S1594" s="16">
        <f>_xlfn.XLOOKUP(CustomerCombinedCleaned[[#This Row],[ID]], Table4[ID], Table4[Website], "Not Found", 0)</f>
        <v>4</v>
      </c>
      <c r="T1594" s="16">
        <f>_xlfn.XLOOKUP(CustomerCombinedCleaned[[#This Row],[ID]], Table4[ID], Table4[Catalog], "Not Found", 0)</f>
        <v>4</v>
      </c>
      <c r="U1594" s="16">
        <f>_xlfn.XLOOKUP(CustomerCombinedCleaned[[#This Row],[ID]], Table4[ID], Table4[Store], "Not Found", 0)</f>
        <v>10</v>
      </c>
      <c r="V1594" s="16">
        <f>_xlfn.XLOOKUP(CustomerCombinedCleaned[[#This Row],[ID]], Table4[ID], Table4[Visits], "Not Found", 0)</f>
        <v>2</v>
      </c>
      <c r="W1594" s="16">
        <f>_xlfn.XLOOKUP(CustomerCombinedCleaned[[#This Row],[ID]], Table2[ID],Table2[Complaint], "Not Found", 0 )</f>
        <v>0</v>
      </c>
      <c r="X1594" s="16">
        <f>_xlfn.XLOOKUP(CustomerCombinedCleaned[[#This Row],[ID]], Table2[ID],Table2[Pilot], "Not Found", 0 )</f>
        <v>0</v>
      </c>
      <c r="Y1594" s="16">
        <f>_xlfn.XLOOKUP(CustomerCombinedCleaned[[#This Row],[ID]], Table2[ID],Table2[MC1], "Not Found", 0 )</f>
        <v>0</v>
      </c>
      <c r="Z1594" s="16">
        <f>_xlfn.XLOOKUP(CustomerCombinedCleaned[[#This Row],[ID]], Table2[ID],Table2[MC2], "Not Found", 0 )</f>
        <v>0</v>
      </c>
      <c r="AA1594" s="16">
        <f>_xlfn.XLOOKUP(CustomerCombinedCleaned[[#This Row],[ID]], Table2[ID],Table2[MC3], "Not Found", 0 )</f>
        <v>0</v>
      </c>
      <c r="AB1594" s="16">
        <f>_xlfn.XLOOKUP(CustomerCombinedCleaned[[#This Row],[ID]], Table2[ID],Table2[MC4], "Not Found", 0 )</f>
        <v>0</v>
      </c>
      <c r="AC1594" s="16">
        <f>_xlfn.XLOOKUP(CustomerCombinedCleaned[[#This Row],[ID]], Table2[ID],Table2[MC5], "Not Found", 0 )</f>
        <v>0</v>
      </c>
    </row>
    <row r="1595" spans="1:29" x14ac:dyDescent="0.3">
      <c r="A1595" s="18">
        <v>2376</v>
      </c>
      <c r="B1595" s="16">
        <v>160544</v>
      </c>
      <c r="C1595" s="16">
        <v>1</v>
      </c>
      <c r="D1595" s="16">
        <v>1</v>
      </c>
      <c r="E1595" s="16">
        <v>59</v>
      </c>
      <c r="F1595" s="17" t="s">
        <v>6</v>
      </c>
      <c r="G1595" s="17" t="s">
        <v>11</v>
      </c>
      <c r="H1595" s="3" t="s">
        <v>403</v>
      </c>
      <c r="I1595" s="5" t="s">
        <v>436</v>
      </c>
      <c r="J1595" s="16">
        <f>_xlfn.XLOOKUP(CustomerCombinedCleaned[[#This Row],[ID]], Table4[ID], Table4[Recency], "Not Found", 0)</f>
        <v>92</v>
      </c>
      <c r="K1595" s="16">
        <f>_xlfn.XLOOKUP(CustomerCombinedCleaned[[#This Row],[ID]], Table4[ID], Table4[Teas], "Not Found", 0)</f>
        <v>533</v>
      </c>
      <c r="L1595" s="16">
        <f>_xlfn.XLOOKUP(CustomerCombinedCleaned[[#This Row],[ID]], Table4[ID], Table4[Fruits], "Not Found", 0)</f>
        <v>5</v>
      </c>
      <c r="M1595" s="16">
        <f>_xlfn.XLOOKUP(CustomerCombinedCleaned[[#This Row],[ID]], Table4[ID], Table4[Meats], "Not Found", 0)</f>
        <v>114</v>
      </c>
      <c r="N1595" s="16">
        <f>_xlfn.XLOOKUP(CustomerCombinedCleaned[[#This Row],[ID]], Table4[ID], Table4[Seafood], "Not Found", 0)</f>
        <v>8</v>
      </c>
      <c r="O1595" s="16">
        <f>_xlfn.XLOOKUP(CustomerCombinedCleaned[[#This Row],[ID]], Table4[ID], Table4[Sweets], "Not Found", 0)</f>
        <v>13</v>
      </c>
      <c r="P1595" s="16">
        <f>_xlfn.XLOOKUP(CustomerCombinedCleaned[[#This Row],[ID]], Table4[ID], Table4[Premium], "Not Found", 0)</f>
        <v>93</v>
      </c>
      <c r="Q1595" s="16">
        <f>_xlfn.XLOOKUP(CustomerCombinedCleaned[[#This Row],[ID]], Table4[ID], Table4[Regular], "Not Found", 0)</f>
        <v>581</v>
      </c>
      <c r="R1595" s="16">
        <f>_xlfn.XLOOKUP(CustomerCombinedCleaned[[#This Row],[ID]], Table4[ID], Table4[Deals], "Not Found", 0)</f>
        <v>4</v>
      </c>
      <c r="S1595" s="16">
        <f>_xlfn.XLOOKUP(CustomerCombinedCleaned[[#This Row],[ID]], Table4[ID], Table4[Website], "Not Found", 0)</f>
        <v>5</v>
      </c>
      <c r="T1595" s="16">
        <f>_xlfn.XLOOKUP(CustomerCombinedCleaned[[#This Row],[ID]], Table4[ID], Table4[Catalog], "Not Found", 0)</f>
        <v>1</v>
      </c>
      <c r="U1595" s="16">
        <f>_xlfn.XLOOKUP(CustomerCombinedCleaned[[#This Row],[ID]], Table4[ID], Table4[Store], "Not Found", 0)</f>
        <v>5</v>
      </c>
      <c r="V1595" s="16">
        <f>_xlfn.XLOOKUP(CustomerCombinedCleaned[[#This Row],[ID]], Table4[ID], Table4[Visits], "Not Found", 0)</f>
        <v>6</v>
      </c>
      <c r="W1595" s="16">
        <f>_xlfn.XLOOKUP(CustomerCombinedCleaned[[#This Row],[ID]], Table2[ID],Table2[Complaint], "Not Found", 0 )</f>
        <v>0</v>
      </c>
      <c r="X1595" s="16">
        <f>_xlfn.XLOOKUP(CustomerCombinedCleaned[[#This Row],[ID]], Table2[ID],Table2[Pilot], "Not Found", 0 )</f>
        <v>0</v>
      </c>
      <c r="Y1595" s="16">
        <f>_xlfn.XLOOKUP(CustomerCombinedCleaned[[#This Row],[ID]], Table2[ID],Table2[MC1], "Not Found", 0 )</f>
        <v>0</v>
      </c>
      <c r="Z1595" s="16">
        <f>_xlfn.XLOOKUP(CustomerCombinedCleaned[[#This Row],[ID]], Table2[ID],Table2[MC2], "Not Found", 0 )</f>
        <v>0</v>
      </c>
      <c r="AA1595" s="16">
        <f>_xlfn.XLOOKUP(CustomerCombinedCleaned[[#This Row],[ID]], Table2[ID],Table2[MC3], "Not Found", 0 )</f>
        <v>0</v>
      </c>
      <c r="AB1595" s="16">
        <f>_xlfn.XLOOKUP(CustomerCombinedCleaned[[#This Row],[ID]], Table2[ID],Table2[MC4], "Not Found", 0 )</f>
        <v>0</v>
      </c>
      <c r="AC1595" s="16">
        <f>_xlfn.XLOOKUP(CustomerCombinedCleaned[[#This Row],[ID]], Table2[ID],Table2[MC5], "Not Found", 0 )</f>
        <v>0</v>
      </c>
    </row>
    <row r="1596" spans="1:29" x14ac:dyDescent="0.3">
      <c r="A1596" s="18">
        <v>2412</v>
      </c>
      <c r="B1596" s="16">
        <v>160544</v>
      </c>
      <c r="C1596" s="16">
        <v>1</v>
      </c>
      <c r="D1596" s="16">
        <v>1</v>
      </c>
      <c r="E1596" s="16">
        <v>59</v>
      </c>
      <c r="F1596" s="17" t="s">
        <v>6</v>
      </c>
      <c r="G1596" s="17" t="s">
        <v>11</v>
      </c>
      <c r="H1596" s="3" t="s">
        <v>403</v>
      </c>
      <c r="I1596" s="5" t="s">
        <v>436</v>
      </c>
      <c r="J1596" s="16">
        <f>_xlfn.XLOOKUP(CustomerCombinedCleaned[[#This Row],[ID]], Table4[ID], Table4[Recency], "Not Found", 0)</f>
        <v>92</v>
      </c>
      <c r="K1596" s="16">
        <f>_xlfn.XLOOKUP(CustomerCombinedCleaned[[#This Row],[ID]], Table4[ID], Table4[Teas], "Not Found", 0)</f>
        <v>533</v>
      </c>
      <c r="L1596" s="16">
        <f>_xlfn.XLOOKUP(CustomerCombinedCleaned[[#This Row],[ID]], Table4[ID], Table4[Fruits], "Not Found", 0)</f>
        <v>5</v>
      </c>
      <c r="M1596" s="16">
        <f>_xlfn.XLOOKUP(CustomerCombinedCleaned[[#This Row],[ID]], Table4[ID], Table4[Meats], "Not Found", 0)</f>
        <v>114</v>
      </c>
      <c r="N1596" s="16">
        <f>_xlfn.XLOOKUP(CustomerCombinedCleaned[[#This Row],[ID]], Table4[ID], Table4[Seafood], "Not Found", 0)</f>
        <v>8</v>
      </c>
      <c r="O1596" s="16">
        <f>_xlfn.XLOOKUP(CustomerCombinedCleaned[[#This Row],[ID]], Table4[ID], Table4[Sweets], "Not Found", 0)</f>
        <v>13</v>
      </c>
      <c r="P1596" s="16">
        <f>_xlfn.XLOOKUP(CustomerCombinedCleaned[[#This Row],[ID]], Table4[ID], Table4[Premium], "Not Found", 0)</f>
        <v>93</v>
      </c>
      <c r="Q1596" s="16">
        <f>_xlfn.XLOOKUP(CustomerCombinedCleaned[[#This Row],[ID]], Table4[ID], Table4[Regular], "Not Found", 0)</f>
        <v>581</v>
      </c>
      <c r="R1596" s="16">
        <f>_xlfn.XLOOKUP(CustomerCombinedCleaned[[#This Row],[ID]], Table4[ID], Table4[Deals], "Not Found", 0)</f>
        <v>4</v>
      </c>
      <c r="S1596" s="16">
        <f>_xlfn.XLOOKUP(CustomerCombinedCleaned[[#This Row],[ID]], Table4[ID], Table4[Website], "Not Found", 0)</f>
        <v>5</v>
      </c>
      <c r="T1596" s="16">
        <f>_xlfn.XLOOKUP(CustomerCombinedCleaned[[#This Row],[ID]], Table4[ID], Table4[Catalog], "Not Found", 0)</f>
        <v>1</v>
      </c>
      <c r="U1596" s="16">
        <f>_xlfn.XLOOKUP(CustomerCombinedCleaned[[#This Row],[ID]], Table4[ID], Table4[Store], "Not Found", 0)</f>
        <v>5</v>
      </c>
      <c r="V1596" s="16">
        <f>_xlfn.XLOOKUP(CustomerCombinedCleaned[[#This Row],[ID]], Table4[ID], Table4[Visits], "Not Found", 0)</f>
        <v>6</v>
      </c>
      <c r="W1596" s="16">
        <f>_xlfn.XLOOKUP(CustomerCombinedCleaned[[#This Row],[ID]], Table2[ID],Table2[Complaint], "Not Found", 0 )</f>
        <v>0</v>
      </c>
      <c r="X1596" s="16">
        <f>_xlfn.XLOOKUP(CustomerCombinedCleaned[[#This Row],[ID]], Table2[ID],Table2[Pilot], "Not Found", 0 )</f>
        <v>0</v>
      </c>
      <c r="Y1596" s="16">
        <f>_xlfn.XLOOKUP(CustomerCombinedCleaned[[#This Row],[ID]], Table2[ID],Table2[MC1], "Not Found", 0 )</f>
        <v>0</v>
      </c>
      <c r="Z1596" s="16">
        <f>_xlfn.XLOOKUP(CustomerCombinedCleaned[[#This Row],[ID]], Table2[ID],Table2[MC2], "Not Found", 0 )</f>
        <v>0</v>
      </c>
      <c r="AA1596" s="16">
        <f>_xlfn.XLOOKUP(CustomerCombinedCleaned[[#This Row],[ID]], Table2[ID],Table2[MC3], "Not Found", 0 )</f>
        <v>0</v>
      </c>
      <c r="AB1596" s="16">
        <f>_xlfn.XLOOKUP(CustomerCombinedCleaned[[#This Row],[ID]], Table2[ID],Table2[MC4], "Not Found", 0 )</f>
        <v>0</v>
      </c>
      <c r="AC1596" s="16">
        <f>_xlfn.XLOOKUP(CustomerCombinedCleaned[[#This Row],[ID]], Table2[ID],Table2[MC5], "Not Found", 0 )</f>
        <v>0</v>
      </c>
    </row>
    <row r="1597" spans="1:29" x14ac:dyDescent="0.3">
      <c r="A1597" s="18">
        <v>2180</v>
      </c>
      <c r="B1597" s="16">
        <v>159184</v>
      </c>
      <c r="C1597" s="16">
        <v>0</v>
      </c>
      <c r="D1597" s="16">
        <v>1</v>
      </c>
      <c r="E1597" s="16">
        <v>59</v>
      </c>
      <c r="F1597" s="17" t="s">
        <v>9</v>
      </c>
      <c r="G1597" s="17" t="s">
        <v>11</v>
      </c>
      <c r="H1597" s="3" t="s">
        <v>400</v>
      </c>
      <c r="I1597" s="5" t="s">
        <v>438</v>
      </c>
      <c r="J1597" s="16">
        <f>_xlfn.XLOOKUP(CustomerCombinedCleaned[[#This Row],[ID]], Table4[ID], Table4[Recency], "Not Found", 0)</f>
        <v>6</v>
      </c>
      <c r="K1597" s="16">
        <f>_xlfn.XLOOKUP(CustomerCombinedCleaned[[#This Row],[ID]], Table4[ID], Table4[Teas], "Not Found", 0)</f>
        <v>917</v>
      </c>
      <c r="L1597" s="16">
        <f>_xlfn.XLOOKUP(CustomerCombinedCleaned[[#This Row],[ID]], Table4[ID], Table4[Fruits], "Not Found", 0)</f>
        <v>382</v>
      </c>
      <c r="M1597" s="16">
        <f>_xlfn.XLOOKUP(CustomerCombinedCleaned[[#This Row],[ID]], Table4[ID], Table4[Meats], "Not Found", 0)</f>
        <v>304</v>
      </c>
      <c r="N1597" s="16">
        <f>_xlfn.XLOOKUP(CustomerCombinedCleaned[[#This Row],[ID]], Table4[ID], Table4[Seafood], "Not Found", 0)</f>
        <v>697</v>
      </c>
      <c r="O1597" s="16">
        <f>_xlfn.XLOOKUP(CustomerCombinedCleaned[[#This Row],[ID]], Table4[ID], Table4[Sweets], "Not Found", 0)</f>
        <v>406</v>
      </c>
      <c r="P1597" s="16">
        <f>_xlfn.XLOOKUP(CustomerCombinedCleaned[[#This Row],[ID]], Table4[ID], Table4[Premium], "Not Found", 0)</f>
        <v>178</v>
      </c>
      <c r="Q1597" s="16">
        <f>_xlfn.XLOOKUP(CustomerCombinedCleaned[[#This Row],[ID]], Table4[ID], Table4[Regular], "Not Found", 0)</f>
        <v>2528</v>
      </c>
      <c r="R1597" s="16">
        <f>_xlfn.XLOOKUP(CustomerCombinedCleaned[[#This Row],[ID]], Table4[ID], Table4[Deals], "Not Found", 0)</f>
        <v>3</v>
      </c>
      <c r="S1597" s="16">
        <f>_xlfn.XLOOKUP(CustomerCombinedCleaned[[#This Row],[ID]], Table4[ID], Table4[Website], "Not Found", 0)</f>
        <v>6</v>
      </c>
      <c r="T1597" s="16">
        <f>_xlfn.XLOOKUP(CustomerCombinedCleaned[[#This Row],[ID]], Table4[ID], Table4[Catalog], "Not Found", 0)</f>
        <v>6</v>
      </c>
      <c r="U1597" s="16">
        <f>_xlfn.XLOOKUP(CustomerCombinedCleaned[[#This Row],[ID]], Table4[ID], Table4[Store], "Not Found", 0)</f>
        <v>12</v>
      </c>
      <c r="V1597" s="16">
        <f>_xlfn.XLOOKUP(CustomerCombinedCleaned[[#This Row],[ID]], Table4[ID], Table4[Visits], "Not Found", 0)</f>
        <v>5</v>
      </c>
      <c r="W1597" s="16">
        <f>_xlfn.XLOOKUP(CustomerCombinedCleaned[[#This Row],[ID]], Table2[ID],Table2[Complaint], "Not Found", 0 )</f>
        <v>0</v>
      </c>
      <c r="X1597" s="16">
        <f>_xlfn.XLOOKUP(CustomerCombinedCleaned[[#This Row],[ID]], Table2[ID],Table2[Pilot], "Not Found", 0 )</f>
        <v>0</v>
      </c>
      <c r="Y1597" s="16">
        <f>_xlfn.XLOOKUP(CustomerCombinedCleaned[[#This Row],[ID]], Table2[ID],Table2[MC1], "Not Found", 0 )</f>
        <v>0</v>
      </c>
      <c r="Z1597" s="16">
        <f>_xlfn.XLOOKUP(CustomerCombinedCleaned[[#This Row],[ID]], Table2[ID],Table2[MC2], "Not Found", 0 )</f>
        <v>0</v>
      </c>
      <c r="AA1597" s="16">
        <f>_xlfn.XLOOKUP(CustomerCombinedCleaned[[#This Row],[ID]], Table2[ID],Table2[MC3], "Not Found", 0 )</f>
        <v>0</v>
      </c>
      <c r="AB1597" s="16">
        <f>_xlfn.XLOOKUP(CustomerCombinedCleaned[[#This Row],[ID]], Table2[ID],Table2[MC4], "Not Found", 0 )</f>
        <v>0</v>
      </c>
      <c r="AC1597" s="16">
        <f>_xlfn.XLOOKUP(CustomerCombinedCleaned[[#This Row],[ID]], Table2[ID],Table2[MC5], "Not Found", 0 )</f>
        <v>0</v>
      </c>
    </row>
    <row r="1598" spans="1:29" x14ac:dyDescent="0.3">
      <c r="A1598" s="18">
        <v>1803</v>
      </c>
      <c r="B1598" s="16">
        <v>157091</v>
      </c>
      <c r="C1598" s="16">
        <v>0</v>
      </c>
      <c r="D1598" s="16">
        <v>0</v>
      </c>
      <c r="E1598" s="16">
        <v>59</v>
      </c>
      <c r="F1598" s="17" t="s">
        <v>7</v>
      </c>
      <c r="G1598" s="17" t="s">
        <v>11</v>
      </c>
      <c r="H1598" s="3" t="s">
        <v>34</v>
      </c>
      <c r="I1598" s="5" t="s">
        <v>435</v>
      </c>
      <c r="J1598" s="16">
        <f>_xlfn.XLOOKUP(CustomerCombinedCleaned[[#This Row],[ID]], Table4[ID], Table4[Recency], "Not Found", 0)</f>
        <v>0</v>
      </c>
      <c r="K1598" s="16">
        <f>_xlfn.XLOOKUP(CustomerCombinedCleaned[[#This Row],[ID]], Table4[ID], Table4[Teas], "Not Found", 0)</f>
        <v>1277</v>
      </c>
      <c r="L1598" s="16">
        <f>_xlfn.XLOOKUP(CustomerCombinedCleaned[[#This Row],[ID]], Table4[ID], Table4[Fruits], "Not Found", 0)</f>
        <v>14</v>
      </c>
      <c r="M1598" s="16">
        <f>_xlfn.XLOOKUP(CustomerCombinedCleaned[[#This Row],[ID]], Table4[ID], Table4[Meats], "Not Found", 0)</f>
        <v>176</v>
      </c>
      <c r="N1598" s="16">
        <f>_xlfn.XLOOKUP(CustomerCombinedCleaned[[#This Row],[ID]], Table4[ID], Table4[Seafood], "Not Found", 0)</f>
        <v>19</v>
      </c>
      <c r="O1598" s="16">
        <f>_xlfn.XLOOKUP(CustomerCombinedCleaned[[#This Row],[ID]], Table4[ID], Table4[Sweets], "Not Found", 0)</f>
        <v>0</v>
      </c>
      <c r="P1598" s="16">
        <f>_xlfn.XLOOKUP(CustomerCombinedCleaned[[#This Row],[ID]], Table4[ID], Table4[Premium], "Not Found", 0)</f>
        <v>102</v>
      </c>
      <c r="Q1598" s="16">
        <f>_xlfn.XLOOKUP(CustomerCombinedCleaned[[#This Row],[ID]], Table4[ID], Table4[Regular], "Not Found", 0)</f>
        <v>1384</v>
      </c>
      <c r="R1598" s="16">
        <f>_xlfn.XLOOKUP(CustomerCombinedCleaned[[#This Row],[ID]], Table4[ID], Table4[Deals], "Not Found", 0)</f>
        <v>1</v>
      </c>
      <c r="S1598" s="16">
        <f>_xlfn.XLOOKUP(CustomerCombinedCleaned[[#This Row],[ID]], Table4[ID], Table4[Website], "Not Found", 0)</f>
        <v>7</v>
      </c>
      <c r="T1598" s="16">
        <f>_xlfn.XLOOKUP(CustomerCombinedCleaned[[#This Row],[ID]], Table4[ID], Table4[Catalog], "Not Found", 0)</f>
        <v>3</v>
      </c>
      <c r="U1598" s="16">
        <f>_xlfn.XLOOKUP(CustomerCombinedCleaned[[#This Row],[ID]], Table4[ID], Table4[Store], "Not Found", 0)</f>
        <v>7</v>
      </c>
      <c r="V1598" s="16">
        <f>_xlfn.XLOOKUP(CustomerCombinedCleaned[[#This Row],[ID]], Table4[ID], Table4[Visits], "Not Found", 0)</f>
        <v>5</v>
      </c>
      <c r="W1598" s="16">
        <f>_xlfn.XLOOKUP(CustomerCombinedCleaned[[#This Row],[ID]], Table2[ID],Table2[Complaint], "Not Found", 0 )</f>
        <v>0</v>
      </c>
      <c r="X1598" s="16">
        <f>_xlfn.XLOOKUP(CustomerCombinedCleaned[[#This Row],[ID]], Table2[ID],Table2[Pilot], "Not Found", 0 )</f>
        <v>1</v>
      </c>
      <c r="Y1598" s="16">
        <f>_xlfn.XLOOKUP(CustomerCombinedCleaned[[#This Row],[ID]], Table2[ID],Table2[MC1], "Not Found", 0 )</f>
        <v>0</v>
      </c>
      <c r="Z1598" s="16">
        <f>_xlfn.XLOOKUP(CustomerCombinedCleaned[[#This Row],[ID]], Table2[ID],Table2[MC2], "Not Found", 0 )</f>
        <v>1</v>
      </c>
      <c r="AA1598" s="16">
        <f>_xlfn.XLOOKUP(CustomerCombinedCleaned[[#This Row],[ID]], Table2[ID],Table2[MC3], "Not Found", 0 )</f>
        <v>0</v>
      </c>
      <c r="AB1598" s="16">
        <f>_xlfn.XLOOKUP(CustomerCombinedCleaned[[#This Row],[ID]], Table2[ID],Table2[MC4], "Not Found", 0 )</f>
        <v>0</v>
      </c>
      <c r="AC1598" s="16">
        <f>_xlfn.XLOOKUP(CustomerCombinedCleaned[[#This Row],[ID]], Table2[ID],Table2[MC5], "Not Found", 0 )</f>
        <v>0</v>
      </c>
    </row>
    <row r="1599" spans="1:29" x14ac:dyDescent="0.3">
      <c r="A1599" s="18">
        <v>2455</v>
      </c>
      <c r="B1599" s="16">
        <v>157072</v>
      </c>
      <c r="C1599" s="16">
        <v>0</v>
      </c>
      <c r="D1599" s="16">
        <v>1</v>
      </c>
      <c r="E1599" s="16">
        <v>59</v>
      </c>
      <c r="F1599" s="17" t="s">
        <v>6</v>
      </c>
      <c r="G1599" s="17" t="s">
        <v>13</v>
      </c>
      <c r="H1599" s="3" t="s">
        <v>108</v>
      </c>
      <c r="I1599" s="5" t="s">
        <v>437</v>
      </c>
      <c r="J1599" s="16">
        <f>_xlfn.XLOOKUP(CustomerCombinedCleaned[[#This Row],[ID]], Table4[ID], Table4[Recency], "Not Found", 0)</f>
        <v>79</v>
      </c>
      <c r="K1599" s="16">
        <f>_xlfn.XLOOKUP(CustomerCombinedCleaned[[#This Row],[ID]], Table4[ID], Table4[Teas], "Not Found", 0)</f>
        <v>2598</v>
      </c>
      <c r="L1599" s="16">
        <f>_xlfn.XLOOKUP(CustomerCombinedCleaned[[#This Row],[ID]], Table4[ID], Table4[Fruits], "Not Found", 0)</f>
        <v>0</v>
      </c>
      <c r="M1599" s="16">
        <f>_xlfn.XLOOKUP(CustomerCombinedCleaned[[#This Row],[ID]], Table4[ID], Table4[Meats], "Not Found", 0)</f>
        <v>165</v>
      </c>
      <c r="N1599" s="16">
        <f>_xlfn.XLOOKUP(CustomerCombinedCleaned[[#This Row],[ID]], Table4[ID], Table4[Seafood], "Not Found", 0)</f>
        <v>0</v>
      </c>
      <c r="O1599" s="16">
        <f>_xlfn.XLOOKUP(CustomerCombinedCleaned[[#This Row],[ID]], Table4[ID], Table4[Sweets], "Not Found", 0)</f>
        <v>0</v>
      </c>
      <c r="P1599" s="16">
        <f>_xlfn.XLOOKUP(CustomerCombinedCleaned[[#This Row],[ID]], Table4[ID], Table4[Premium], "Not Found", 0)</f>
        <v>83</v>
      </c>
      <c r="Q1599" s="16">
        <f>_xlfn.XLOOKUP(CustomerCombinedCleaned[[#This Row],[ID]], Table4[ID], Table4[Regular], "Not Found", 0)</f>
        <v>2681</v>
      </c>
      <c r="R1599" s="16">
        <f>_xlfn.XLOOKUP(CustomerCombinedCleaned[[#This Row],[ID]], Table4[ID], Table4[Deals], "Not Found", 0)</f>
        <v>2</v>
      </c>
      <c r="S1599" s="16">
        <f>_xlfn.XLOOKUP(CustomerCombinedCleaned[[#This Row],[ID]], Table4[ID], Table4[Website], "Not Found", 0)</f>
        <v>7</v>
      </c>
      <c r="T1599" s="16">
        <f>_xlfn.XLOOKUP(CustomerCombinedCleaned[[#This Row],[ID]], Table4[ID], Table4[Catalog], "Not Found", 0)</f>
        <v>5</v>
      </c>
      <c r="U1599" s="16">
        <f>_xlfn.XLOOKUP(CustomerCombinedCleaned[[#This Row],[ID]], Table4[ID], Table4[Store], "Not Found", 0)</f>
        <v>13</v>
      </c>
      <c r="V1599" s="16">
        <f>_xlfn.XLOOKUP(CustomerCombinedCleaned[[#This Row],[ID]], Table4[ID], Table4[Visits], "Not Found", 0)</f>
        <v>5</v>
      </c>
      <c r="W1599" s="16">
        <f>_xlfn.XLOOKUP(CustomerCombinedCleaned[[#This Row],[ID]], Table2[ID],Table2[Complaint], "Not Found", 0 )</f>
        <v>0</v>
      </c>
      <c r="X1599" s="16">
        <f>_xlfn.XLOOKUP(CustomerCombinedCleaned[[#This Row],[ID]], Table2[ID],Table2[Pilot], "Not Found", 0 )</f>
        <v>0</v>
      </c>
      <c r="Y1599" s="16">
        <f>_xlfn.XLOOKUP(CustomerCombinedCleaned[[#This Row],[ID]], Table2[ID],Table2[MC1], "Not Found", 0 )</f>
        <v>0</v>
      </c>
      <c r="Z1599" s="16">
        <f>_xlfn.XLOOKUP(CustomerCombinedCleaned[[#This Row],[ID]], Table2[ID],Table2[MC2], "Not Found", 0 )</f>
        <v>0</v>
      </c>
      <c r="AA1599" s="16">
        <f>_xlfn.XLOOKUP(CustomerCombinedCleaned[[#This Row],[ID]], Table2[ID],Table2[MC3], "Not Found", 0 )</f>
        <v>1</v>
      </c>
      <c r="AB1599" s="16">
        <f>_xlfn.XLOOKUP(CustomerCombinedCleaned[[#This Row],[ID]], Table2[ID],Table2[MC4], "Not Found", 0 )</f>
        <v>0</v>
      </c>
      <c r="AC1599" s="16">
        <f>_xlfn.XLOOKUP(CustomerCombinedCleaned[[#This Row],[ID]], Table2[ID],Table2[MC5], "Not Found", 0 )</f>
        <v>0</v>
      </c>
    </row>
    <row r="1600" spans="1:29" x14ac:dyDescent="0.3">
      <c r="A1600" s="18">
        <v>2163</v>
      </c>
      <c r="B1600" s="16">
        <v>154959</v>
      </c>
      <c r="C1600" s="16">
        <v>0</v>
      </c>
      <c r="D1600" s="16">
        <v>1</v>
      </c>
      <c r="E1600" s="16">
        <v>59</v>
      </c>
      <c r="F1600" s="17" t="s">
        <v>5</v>
      </c>
      <c r="G1600" s="17" t="s">
        <v>13</v>
      </c>
      <c r="H1600" s="3" t="s">
        <v>322</v>
      </c>
      <c r="I1600" s="5" t="s">
        <v>435</v>
      </c>
      <c r="J1600" s="16">
        <f>_xlfn.XLOOKUP(CustomerCombinedCleaned[[#This Row],[ID]], Table4[ID], Table4[Recency], "Not Found", 0)</f>
        <v>55</v>
      </c>
      <c r="K1600" s="16">
        <f>_xlfn.XLOOKUP(CustomerCombinedCleaned[[#This Row],[ID]], Table4[ID], Table4[Teas], "Not Found", 0)</f>
        <v>3237</v>
      </c>
      <c r="L1600" s="16">
        <f>_xlfn.XLOOKUP(CustomerCombinedCleaned[[#This Row],[ID]], Table4[ID], Table4[Fruits], "Not Found", 0)</f>
        <v>0</v>
      </c>
      <c r="M1600" s="16">
        <f>_xlfn.XLOOKUP(CustomerCombinedCleaned[[#This Row],[ID]], Table4[ID], Table4[Meats], "Not Found", 0)</f>
        <v>169</v>
      </c>
      <c r="N1600" s="16">
        <f>_xlfn.XLOOKUP(CustomerCombinedCleaned[[#This Row],[ID]], Table4[ID], Table4[Seafood], "Not Found", 0)</f>
        <v>0</v>
      </c>
      <c r="O1600" s="16">
        <f>_xlfn.XLOOKUP(CustomerCombinedCleaned[[#This Row],[ID]], Table4[ID], Table4[Sweets], "Not Found", 0)</f>
        <v>0</v>
      </c>
      <c r="P1600" s="16">
        <f>_xlfn.XLOOKUP(CustomerCombinedCleaned[[#This Row],[ID]], Table4[ID], Table4[Premium], "Not Found", 0)</f>
        <v>68</v>
      </c>
      <c r="Q1600" s="16">
        <f>_xlfn.XLOOKUP(CustomerCombinedCleaned[[#This Row],[ID]], Table4[ID], Table4[Regular], "Not Found", 0)</f>
        <v>3338</v>
      </c>
      <c r="R1600" s="16">
        <f>_xlfn.XLOOKUP(CustomerCombinedCleaned[[#This Row],[ID]], Table4[ID], Table4[Deals], "Not Found", 0)</f>
        <v>3</v>
      </c>
      <c r="S1600" s="16">
        <f>_xlfn.XLOOKUP(CustomerCombinedCleaned[[#This Row],[ID]], Table4[ID], Table4[Website], "Not Found", 0)</f>
        <v>9</v>
      </c>
      <c r="T1600" s="16">
        <f>_xlfn.XLOOKUP(CustomerCombinedCleaned[[#This Row],[ID]], Table4[ID], Table4[Catalog], "Not Found", 0)</f>
        <v>5</v>
      </c>
      <c r="U1600" s="16">
        <f>_xlfn.XLOOKUP(CustomerCombinedCleaned[[#This Row],[ID]], Table4[ID], Table4[Store], "Not Found", 0)</f>
        <v>4</v>
      </c>
      <c r="V1600" s="16">
        <f>_xlfn.XLOOKUP(CustomerCombinedCleaned[[#This Row],[ID]], Table4[ID], Table4[Visits], "Not Found", 0)</f>
        <v>7</v>
      </c>
      <c r="W1600" s="16">
        <f>_xlfn.XLOOKUP(CustomerCombinedCleaned[[#This Row],[ID]], Table2[ID],Table2[Complaint], "Not Found", 0 )</f>
        <v>0</v>
      </c>
      <c r="X1600" s="16">
        <f>_xlfn.XLOOKUP(CustomerCombinedCleaned[[#This Row],[ID]], Table2[ID],Table2[Pilot], "Not Found", 0 )</f>
        <v>1</v>
      </c>
      <c r="Y1600" s="16">
        <f>_xlfn.XLOOKUP(CustomerCombinedCleaned[[#This Row],[ID]], Table2[ID],Table2[MC1], "Not Found", 0 )</f>
        <v>0</v>
      </c>
      <c r="Z1600" s="16">
        <f>_xlfn.XLOOKUP(CustomerCombinedCleaned[[#This Row],[ID]], Table2[ID],Table2[MC2], "Not Found", 0 )</f>
        <v>0</v>
      </c>
      <c r="AA1600" s="16">
        <f>_xlfn.XLOOKUP(CustomerCombinedCleaned[[#This Row],[ID]], Table2[ID],Table2[MC3], "Not Found", 0 )</f>
        <v>0</v>
      </c>
      <c r="AB1600" s="16">
        <f>_xlfn.XLOOKUP(CustomerCombinedCleaned[[#This Row],[ID]], Table2[ID],Table2[MC4], "Not Found", 0 )</f>
        <v>1</v>
      </c>
      <c r="AC1600" s="16">
        <f>_xlfn.XLOOKUP(CustomerCombinedCleaned[[#This Row],[ID]], Table2[ID],Table2[MC5], "Not Found", 0 )</f>
        <v>0</v>
      </c>
    </row>
    <row r="1601" spans="1:29" x14ac:dyDescent="0.3">
      <c r="A1601" s="18">
        <v>1603</v>
      </c>
      <c r="B1601" s="16">
        <v>154456</v>
      </c>
      <c r="C1601" s="16">
        <v>0</v>
      </c>
      <c r="D1601" s="16">
        <v>1</v>
      </c>
      <c r="E1601" s="16">
        <v>59</v>
      </c>
      <c r="F1601" s="17" t="s">
        <v>6</v>
      </c>
      <c r="G1601" s="17" t="s">
        <v>13</v>
      </c>
      <c r="H1601" s="3" t="s">
        <v>225</v>
      </c>
      <c r="I1601" s="5" t="s">
        <v>437</v>
      </c>
      <c r="J1601" s="16">
        <f>_xlfn.XLOOKUP(CustomerCombinedCleaned[[#This Row],[ID]], Table4[ID], Table4[Recency], "Not Found", 0)</f>
        <v>23</v>
      </c>
      <c r="K1601" s="16">
        <f>_xlfn.XLOOKUP(CustomerCombinedCleaned[[#This Row],[ID]], Table4[ID], Table4[Teas], "Not Found", 0)</f>
        <v>998</v>
      </c>
      <c r="L1601" s="16">
        <f>_xlfn.XLOOKUP(CustomerCombinedCleaned[[#This Row],[ID]], Table4[ID], Table4[Fruits], "Not Found", 0)</f>
        <v>0</v>
      </c>
      <c r="M1601" s="16">
        <f>_xlfn.XLOOKUP(CustomerCombinedCleaned[[#This Row],[ID]], Table4[ID], Table4[Meats], "Not Found", 0)</f>
        <v>77</v>
      </c>
      <c r="N1601" s="16">
        <f>_xlfn.XLOOKUP(CustomerCombinedCleaned[[#This Row],[ID]], Table4[ID], Table4[Seafood], "Not Found", 0)</f>
        <v>28</v>
      </c>
      <c r="O1601" s="16">
        <f>_xlfn.XLOOKUP(CustomerCombinedCleaned[[#This Row],[ID]], Table4[ID], Table4[Sweets], "Not Found", 0)</f>
        <v>0</v>
      </c>
      <c r="P1601" s="16">
        <f>_xlfn.XLOOKUP(CustomerCombinedCleaned[[#This Row],[ID]], Table4[ID], Table4[Premium], "Not Found", 0)</f>
        <v>43</v>
      </c>
      <c r="Q1601" s="16">
        <f>_xlfn.XLOOKUP(CustomerCombinedCleaned[[#This Row],[ID]], Table4[ID], Table4[Regular], "Not Found", 0)</f>
        <v>1061</v>
      </c>
      <c r="R1601" s="16">
        <f>_xlfn.XLOOKUP(CustomerCombinedCleaned[[#This Row],[ID]], Table4[ID], Table4[Deals], "Not Found", 0)</f>
        <v>3</v>
      </c>
      <c r="S1601" s="16">
        <f>_xlfn.XLOOKUP(CustomerCombinedCleaned[[#This Row],[ID]], Table4[ID], Table4[Website], "Not Found", 0)</f>
        <v>6</v>
      </c>
      <c r="T1601" s="16">
        <f>_xlfn.XLOOKUP(CustomerCombinedCleaned[[#This Row],[ID]], Table4[ID], Table4[Catalog], "Not Found", 0)</f>
        <v>1</v>
      </c>
      <c r="U1601" s="16">
        <f>_xlfn.XLOOKUP(CustomerCombinedCleaned[[#This Row],[ID]], Table4[ID], Table4[Store], "Not Found", 0)</f>
        <v>7</v>
      </c>
      <c r="V1601" s="16">
        <f>_xlfn.XLOOKUP(CustomerCombinedCleaned[[#This Row],[ID]], Table4[ID], Table4[Visits], "Not Found", 0)</f>
        <v>6</v>
      </c>
      <c r="W1601" s="16">
        <f>_xlfn.XLOOKUP(CustomerCombinedCleaned[[#This Row],[ID]], Table2[ID],Table2[Complaint], "Not Found", 0 )</f>
        <v>0</v>
      </c>
      <c r="X1601" s="16">
        <f>_xlfn.XLOOKUP(CustomerCombinedCleaned[[#This Row],[ID]], Table2[ID],Table2[Pilot], "Not Found", 0 )</f>
        <v>0</v>
      </c>
      <c r="Y1601" s="16">
        <f>_xlfn.XLOOKUP(CustomerCombinedCleaned[[#This Row],[ID]], Table2[ID],Table2[MC1], "Not Found", 0 )</f>
        <v>0</v>
      </c>
      <c r="Z1601" s="16">
        <f>_xlfn.XLOOKUP(CustomerCombinedCleaned[[#This Row],[ID]], Table2[ID],Table2[MC2], "Not Found", 0 )</f>
        <v>0</v>
      </c>
      <c r="AA1601" s="16">
        <f>_xlfn.XLOOKUP(CustomerCombinedCleaned[[#This Row],[ID]], Table2[ID],Table2[MC3], "Not Found", 0 )</f>
        <v>0</v>
      </c>
      <c r="AB1601" s="16">
        <f>_xlfn.XLOOKUP(CustomerCombinedCleaned[[#This Row],[ID]], Table2[ID],Table2[MC4], "Not Found", 0 )</f>
        <v>0</v>
      </c>
      <c r="AC1601" s="16">
        <f>_xlfn.XLOOKUP(CustomerCombinedCleaned[[#This Row],[ID]], Table2[ID],Table2[MC5], "Not Found", 0 )</f>
        <v>0</v>
      </c>
    </row>
    <row r="1602" spans="1:29" x14ac:dyDescent="0.3">
      <c r="A1602" s="18">
        <v>2120</v>
      </c>
      <c r="B1602" s="16">
        <v>149678</v>
      </c>
      <c r="C1602" s="16">
        <v>0</v>
      </c>
      <c r="D1602" s="16">
        <v>1</v>
      </c>
      <c r="E1602" s="16">
        <v>59</v>
      </c>
      <c r="F1602" s="17" t="s">
        <v>6</v>
      </c>
      <c r="G1602" s="17" t="s">
        <v>11</v>
      </c>
      <c r="H1602" s="3" t="s">
        <v>634</v>
      </c>
      <c r="I1602" s="5" t="s">
        <v>438</v>
      </c>
      <c r="J1602" s="16">
        <f>_xlfn.XLOOKUP(CustomerCombinedCleaned[[#This Row],[ID]], Table4[ID], Table4[Recency], "Not Found", 0)</f>
        <v>81</v>
      </c>
      <c r="K1602" s="16">
        <f>_xlfn.XLOOKUP(CustomerCombinedCleaned[[#This Row],[ID]], Table4[ID], Table4[Teas], "Not Found", 0)</f>
        <v>690</v>
      </c>
      <c r="L1602" s="16">
        <f>_xlfn.XLOOKUP(CustomerCombinedCleaned[[#This Row],[ID]], Table4[ID], Table4[Fruits], "Not Found", 0)</f>
        <v>15</v>
      </c>
      <c r="M1602" s="16">
        <f>_xlfn.XLOOKUP(CustomerCombinedCleaned[[#This Row],[ID]], Table4[ID], Table4[Meats], "Not Found", 0)</f>
        <v>169</v>
      </c>
      <c r="N1602" s="16">
        <f>_xlfn.XLOOKUP(CustomerCombinedCleaned[[#This Row],[ID]], Table4[ID], Table4[Seafood], "Not Found", 0)</f>
        <v>9</v>
      </c>
      <c r="O1602" s="16">
        <f>_xlfn.XLOOKUP(CustomerCombinedCleaned[[#This Row],[ID]], Table4[ID], Table4[Sweets], "Not Found", 0)</f>
        <v>6</v>
      </c>
      <c r="P1602" s="16">
        <f>_xlfn.XLOOKUP(CustomerCombinedCleaned[[#This Row],[ID]], Table4[ID], Table4[Premium], "Not Found", 0)</f>
        <v>60</v>
      </c>
      <c r="Q1602" s="16">
        <f>_xlfn.XLOOKUP(CustomerCombinedCleaned[[#This Row],[ID]], Table4[ID], Table4[Regular], "Not Found", 0)</f>
        <v>829</v>
      </c>
      <c r="R1602" s="16">
        <f>_xlfn.XLOOKUP(CustomerCombinedCleaned[[#This Row],[ID]], Table4[ID], Table4[Deals], "Not Found", 0)</f>
        <v>2</v>
      </c>
      <c r="S1602" s="16">
        <f>_xlfn.XLOOKUP(CustomerCombinedCleaned[[#This Row],[ID]], Table4[ID], Table4[Website], "Not Found", 0)</f>
        <v>6</v>
      </c>
      <c r="T1602" s="16">
        <f>_xlfn.XLOOKUP(CustomerCombinedCleaned[[#This Row],[ID]], Table4[ID], Table4[Catalog], "Not Found", 0)</f>
        <v>2</v>
      </c>
      <c r="U1602" s="16">
        <f>_xlfn.XLOOKUP(CustomerCombinedCleaned[[#This Row],[ID]], Table4[ID], Table4[Store], "Not Found", 0)</f>
        <v>4</v>
      </c>
      <c r="V1602" s="16">
        <f>_xlfn.XLOOKUP(CustomerCombinedCleaned[[#This Row],[ID]], Table4[ID], Table4[Visits], "Not Found", 0)</f>
        <v>7</v>
      </c>
      <c r="W1602" s="16">
        <f>_xlfn.XLOOKUP(CustomerCombinedCleaned[[#This Row],[ID]], Table2[ID],Table2[Complaint], "Not Found", 0 )</f>
        <v>0</v>
      </c>
      <c r="X1602" s="16">
        <f>_xlfn.XLOOKUP(CustomerCombinedCleaned[[#This Row],[ID]], Table2[ID],Table2[Pilot], "Not Found", 0 )</f>
        <v>0</v>
      </c>
      <c r="Y1602" s="16">
        <f>_xlfn.XLOOKUP(CustomerCombinedCleaned[[#This Row],[ID]], Table2[ID],Table2[MC1], "Not Found", 0 )</f>
        <v>0</v>
      </c>
      <c r="Z1602" s="16">
        <f>_xlfn.XLOOKUP(CustomerCombinedCleaned[[#This Row],[ID]], Table2[ID],Table2[MC2], "Not Found", 0 )</f>
        <v>0</v>
      </c>
      <c r="AA1602" s="16">
        <f>_xlfn.XLOOKUP(CustomerCombinedCleaned[[#This Row],[ID]], Table2[ID],Table2[MC3], "Not Found", 0 )</f>
        <v>0</v>
      </c>
      <c r="AB1602" s="16">
        <f>_xlfn.XLOOKUP(CustomerCombinedCleaned[[#This Row],[ID]], Table2[ID],Table2[MC4], "Not Found", 0 )</f>
        <v>0</v>
      </c>
      <c r="AC1602" s="16">
        <f>_xlfn.XLOOKUP(CustomerCombinedCleaned[[#This Row],[ID]], Table2[ID],Table2[MC5], "Not Found", 0 )</f>
        <v>0</v>
      </c>
    </row>
    <row r="1603" spans="1:29" x14ac:dyDescent="0.3">
      <c r="A1603" s="18">
        <v>1485</v>
      </c>
      <c r="B1603" s="16">
        <v>148330</v>
      </c>
      <c r="C1603" s="16">
        <v>0</v>
      </c>
      <c r="D1603" s="16">
        <v>1</v>
      </c>
      <c r="E1603" s="16">
        <v>59</v>
      </c>
      <c r="F1603" s="17" t="s">
        <v>8</v>
      </c>
      <c r="G1603" s="17" t="s">
        <v>12</v>
      </c>
      <c r="H1603" s="3" t="s">
        <v>149</v>
      </c>
      <c r="I1603" s="5" t="s">
        <v>435</v>
      </c>
      <c r="J1603" s="16">
        <f>_xlfn.XLOOKUP(CustomerCombinedCleaned[[#This Row],[ID]], Table4[ID], Table4[Recency], "Not Found", 0)</f>
        <v>2</v>
      </c>
      <c r="K1603" s="16">
        <f>_xlfn.XLOOKUP(CustomerCombinedCleaned[[#This Row],[ID]], Table4[ID], Table4[Teas], "Not Found", 0)</f>
        <v>86</v>
      </c>
      <c r="L1603" s="16">
        <f>_xlfn.XLOOKUP(CustomerCombinedCleaned[[#This Row],[ID]], Table4[ID], Table4[Fruits], "Not Found", 0)</f>
        <v>0</v>
      </c>
      <c r="M1603" s="16">
        <f>_xlfn.XLOOKUP(CustomerCombinedCleaned[[#This Row],[ID]], Table4[ID], Table4[Meats], "Not Found", 0)</f>
        <v>12</v>
      </c>
      <c r="N1603" s="16">
        <f>_xlfn.XLOOKUP(CustomerCombinedCleaned[[#This Row],[ID]], Table4[ID], Table4[Seafood], "Not Found", 0)</f>
        <v>0</v>
      </c>
      <c r="O1603" s="16">
        <f>_xlfn.XLOOKUP(CustomerCombinedCleaned[[#This Row],[ID]], Table4[ID], Table4[Sweets], "Not Found", 0)</f>
        <v>0</v>
      </c>
      <c r="P1603" s="16">
        <f>_xlfn.XLOOKUP(CustomerCombinedCleaned[[#This Row],[ID]], Table4[ID], Table4[Premium], "Not Found", 0)</f>
        <v>0</v>
      </c>
      <c r="Q1603" s="16">
        <f>_xlfn.XLOOKUP(CustomerCombinedCleaned[[#This Row],[ID]], Table4[ID], Table4[Regular], "Not Found", 0)</f>
        <v>98</v>
      </c>
      <c r="R1603" s="16">
        <f>_xlfn.XLOOKUP(CustomerCombinedCleaned[[#This Row],[ID]], Table4[ID], Table4[Deals], "Not Found", 0)</f>
        <v>1</v>
      </c>
      <c r="S1603" s="16">
        <f>_xlfn.XLOOKUP(CustomerCombinedCleaned[[#This Row],[ID]], Table4[ID], Table4[Website], "Not Found", 0)</f>
        <v>1</v>
      </c>
      <c r="T1603" s="16">
        <f>_xlfn.XLOOKUP(CustomerCombinedCleaned[[#This Row],[ID]], Table4[ID], Table4[Catalog], "Not Found", 0)</f>
        <v>0</v>
      </c>
      <c r="U1603" s="16">
        <f>_xlfn.XLOOKUP(CustomerCombinedCleaned[[#This Row],[ID]], Table4[ID], Table4[Store], "Not Found", 0)</f>
        <v>3</v>
      </c>
      <c r="V1603" s="16">
        <f>_xlfn.XLOOKUP(CustomerCombinedCleaned[[#This Row],[ID]], Table4[ID], Table4[Visits], "Not Found", 0)</f>
        <v>5</v>
      </c>
      <c r="W1603" s="16">
        <f>_xlfn.XLOOKUP(CustomerCombinedCleaned[[#This Row],[ID]], Table2[ID],Table2[Complaint], "Not Found", 0 )</f>
        <v>0</v>
      </c>
      <c r="X1603" s="16">
        <f>_xlfn.XLOOKUP(CustomerCombinedCleaned[[#This Row],[ID]], Table2[ID],Table2[Pilot], "Not Found", 0 )</f>
        <v>0</v>
      </c>
      <c r="Y1603" s="16">
        <f>_xlfn.XLOOKUP(CustomerCombinedCleaned[[#This Row],[ID]], Table2[ID],Table2[MC1], "Not Found", 0 )</f>
        <v>0</v>
      </c>
      <c r="Z1603" s="16">
        <f>_xlfn.XLOOKUP(CustomerCombinedCleaned[[#This Row],[ID]], Table2[ID],Table2[MC2], "Not Found", 0 )</f>
        <v>0</v>
      </c>
      <c r="AA1603" s="16">
        <f>_xlfn.XLOOKUP(CustomerCombinedCleaned[[#This Row],[ID]], Table2[ID],Table2[MC3], "Not Found", 0 )</f>
        <v>0</v>
      </c>
      <c r="AB1603" s="16">
        <f>_xlfn.XLOOKUP(CustomerCombinedCleaned[[#This Row],[ID]], Table2[ID],Table2[MC4], "Not Found", 0 )</f>
        <v>0</v>
      </c>
      <c r="AC1603" s="16">
        <f>_xlfn.XLOOKUP(CustomerCombinedCleaned[[#This Row],[ID]], Table2[ID],Table2[MC5], "Not Found", 0 )</f>
        <v>0</v>
      </c>
    </row>
    <row r="1604" spans="1:29" x14ac:dyDescent="0.3">
      <c r="A1604" s="18">
        <v>1775</v>
      </c>
      <c r="B1604" s="16">
        <v>146524</v>
      </c>
      <c r="C1604" s="16">
        <v>0</v>
      </c>
      <c r="D1604" s="16">
        <v>1</v>
      </c>
      <c r="E1604" s="16">
        <v>59</v>
      </c>
      <c r="F1604" s="17" t="s">
        <v>7</v>
      </c>
      <c r="G1604" s="17" t="s">
        <v>11</v>
      </c>
      <c r="H1604" s="3" t="s">
        <v>538</v>
      </c>
      <c r="I1604" s="5" t="s">
        <v>434</v>
      </c>
      <c r="J1604" s="16">
        <f>_xlfn.XLOOKUP(CustomerCombinedCleaned[[#This Row],[ID]], Table4[ID], Table4[Recency], "Not Found", 0)</f>
        <v>70</v>
      </c>
      <c r="K1604" s="16">
        <f>_xlfn.XLOOKUP(CustomerCombinedCleaned[[#This Row],[ID]], Table4[ID], Table4[Teas], "Not Found", 0)</f>
        <v>98</v>
      </c>
      <c r="L1604" s="16">
        <f>_xlfn.XLOOKUP(CustomerCombinedCleaned[[#This Row],[ID]], Table4[ID], Table4[Fruits], "Not Found", 0)</f>
        <v>60</v>
      </c>
      <c r="M1604" s="16">
        <f>_xlfn.XLOOKUP(CustomerCombinedCleaned[[#This Row],[ID]], Table4[ID], Table4[Meats], "Not Found", 0)</f>
        <v>110</v>
      </c>
      <c r="N1604" s="16">
        <f>_xlfn.XLOOKUP(CustomerCombinedCleaned[[#This Row],[ID]], Table4[ID], Table4[Seafood], "Not Found", 0)</f>
        <v>82</v>
      </c>
      <c r="O1604" s="16">
        <f>_xlfn.XLOOKUP(CustomerCombinedCleaned[[#This Row],[ID]], Table4[ID], Table4[Sweets], "Not Found", 0)</f>
        <v>44</v>
      </c>
      <c r="P1604" s="16">
        <f>_xlfn.XLOOKUP(CustomerCombinedCleaned[[#This Row],[ID]], Table4[ID], Table4[Premium], "Not Found", 0)</f>
        <v>164</v>
      </c>
      <c r="Q1604" s="16">
        <f>_xlfn.XLOOKUP(CustomerCombinedCleaned[[#This Row],[ID]], Table4[ID], Table4[Regular], "Not Found", 0)</f>
        <v>230</v>
      </c>
      <c r="R1604" s="16">
        <f>_xlfn.XLOOKUP(CustomerCombinedCleaned[[#This Row],[ID]], Table4[ID], Table4[Deals], "Not Found", 0)</f>
        <v>2</v>
      </c>
      <c r="S1604" s="16">
        <f>_xlfn.XLOOKUP(CustomerCombinedCleaned[[#This Row],[ID]], Table4[ID], Table4[Website], "Not Found", 0)</f>
        <v>1</v>
      </c>
      <c r="T1604" s="16">
        <f>_xlfn.XLOOKUP(CustomerCombinedCleaned[[#This Row],[ID]], Table4[ID], Table4[Catalog], "Not Found", 0)</f>
        <v>1</v>
      </c>
      <c r="U1604" s="16">
        <f>_xlfn.XLOOKUP(CustomerCombinedCleaned[[#This Row],[ID]], Table4[ID], Table4[Store], "Not Found", 0)</f>
        <v>5</v>
      </c>
      <c r="V1604" s="16">
        <f>_xlfn.XLOOKUP(CustomerCombinedCleaned[[#This Row],[ID]], Table4[ID], Table4[Visits], "Not Found", 0)</f>
        <v>3</v>
      </c>
      <c r="W1604" s="16">
        <f>_xlfn.XLOOKUP(CustomerCombinedCleaned[[#This Row],[ID]], Table2[ID],Table2[Complaint], "Not Found", 0 )</f>
        <v>0</v>
      </c>
      <c r="X1604" s="16">
        <f>_xlfn.XLOOKUP(CustomerCombinedCleaned[[#This Row],[ID]], Table2[ID],Table2[Pilot], "Not Found", 0 )</f>
        <v>0</v>
      </c>
      <c r="Y1604" s="16">
        <f>_xlfn.XLOOKUP(CustomerCombinedCleaned[[#This Row],[ID]], Table2[ID],Table2[MC1], "Not Found", 0 )</f>
        <v>0</v>
      </c>
      <c r="Z1604" s="16">
        <f>_xlfn.XLOOKUP(CustomerCombinedCleaned[[#This Row],[ID]], Table2[ID],Table2[MC2], "Not Found", 0 )</f>
        <v>0</v>
      </c>
      <c r="AA1604" s="16">
        <f>_xlfn.XLOOKUP(CustomerCombinedCleaned[[#This Row],[ID]], Table2[ID],Table2[MC3], "Not Found", 0 )</f>
        <v>0</v>
      </c>
      <c r="AB1604" s="16">
        <f>_xlfn.XLOOKUP(CustomerCombinedCleaned[[#This Row],[ID]], Table2[ID],Table2[MC4], "Not Found", 0 )</f>
        <v>0</v>
      </c>
      <c r="AC1604" s="16">
        <f>_xlfn.XLOOKUP(CustomerCombinedCleaned[[#This Row],[ID]], Table2[ID],Table2[MC5], "Not Found", 0 )</f>
        <v>0</v>
      </c>
    </row>
    <row r="1605" spans="1:29" x14ac:dyDescent="0.3">
      <c r="A1605" s="18">
        <v>1679</v>
      </c>
      <c r="B1605" s="16">
        <v>145938</v>
      </c>
      <c r="C1605" s="16">
        <v>0</v>
      </c>
      <c r="D1605" s="16">
        <v>0</v>
      </c>
      <c r="E1605" s="16">
        <v>59</v>
      </c>
      <c r="F1605" s="17" t="s">
        <v>7</v>
      </c>
      <c r="G1605" s="17" t="s">
        <v>11</v>
      </c>
      <c r="H1605" s="3" t="s">
        <v>753</v>
      </c>
      <c r="I1605" s="5" t="s">
        <v>434</v>
      </c>
      <c r="J1605" s="16">
        <f>_xlfn.XLOOKUP(CustomerCombinedCleaned[[#This Row],[ID]], Table4[ID], Table4[Recency], "Not Found", 0)</f>
        <v>46</v>
      </c>
      <c r="K1605" s="16">
        <f>_xlfn.XLOOKUP(CustomerCombinedCleaned[[#This Row],[ID]], Table4[ID], Table4[Teas], "Not Found", 0)</f>
        <v>867</v>
      </c>
      <c r="L1605" s="16">
        <f>_xlfn.XLOOKUP(CustomerCombinedCleaned[[#This Row],[ID]], Table4[ID], Table4[Fruits], "Not Found", 0)</f>
        <v>35</v>
      </c>
      <c r="M1605" s="16">
        <f>_xlfn.XLOOKUP(CustomerCombinedCleaned[[#This Row],[ID]], Table4[ID], Table4[Meats], "Not Found", 0)</f>
        <v>565</v>
      </c>
      <c r="N1605" s="16">
        <f>_xlfn.XLOOKUP(CustomerCombinedCleaned[[#This Row],[ID]], Table4[ID], Table4[Seafood], "Not Found", 0)</f>
        <v>197</v>
      </c>
      <c r="O1605" s="16">
        <f>_xlfn.XLOOKUP(CustomerCombinedCleaned[[#This Row],[ID]], Table4[ID], Table4[Sweets], "Not Found", 0)</f>
        <v>264</v>
      </c>
      <c r="P1605" s="16">
        <f>_xlfn.XLOOKUP(CustomerCombinedCleaned[[#This Row],[ID]], Table4[ID], Table4[Premium], "Not Found", 0)</f>
        <v>92</v>
      </c>
      <c r="Q1605" s="16">
        <f>_xlfn.XLOOKUP(CustomerCombinedCleaned[[#This Row],[ID]], Table4[ID], Table4[Regular], "Not Found", 0)</f>
        <v>1836</v>
      </c>
      <c r="R1605" s="16">
        <f>_xlfn.XLOOKUP(CustomerCombinedCleaned[[#This Row],[ID]], Table4[ID], Table4[Deals], "Not Found", 0)</f>
        <v>2</v>
      </c>
      <c r="S1605" s="16">
        <f>_xlfn.XLOOKUP(CustomerCombinedCleaned[[#This Row],[ID]], Table4[ID], Table4[Website], "Not Found", 0)</f>
        <v>8</v>
      </c>
      <c r="T1605" s="16">
        <f>_xlfn.XLOOKUP(CustomerCombinedCleaned[[#This Row],[ID]], Table4[ID], Table4[Catalog], "Not Found", 0)</f>
        <v>4</v>
      </c>
      <c r="U1605" s="16">
        <f>_xlfn.XLOOKUP(CustomerCombinedCleaned[[#This Row],[ID]], Table4[ID], Table4[Store], "Not Found", 0)</f>
        <v>6</v>
      </c>
      <c r="V1605" s="16">
        <f>_xlfn.XLOOKUP(CustomerCombinedCleaned[[#This Row],[ID]], Table4[ID], Table4[Visits], "Not Found", 0)</f>
        <v>6</v>
      </c>
      <c r="W1605" s="16">
        <f>_xlfn.XLOOKUP(CustomerCombinedCleaned[[#This Row],[ID]], Table2[ID],Table2[Complaint], "Not Found", 0 )</f>
        <v>0</v>
      </c>
      <c r="X1605" s="16">
        <f>_xlfn.XLOOKUP(CustomerCombinedCleaned[[#This Row],[ID]], Table2[ID],Table2[Pilot], "Not Found", 0 )</f>
        <v>0</v>
      </c>
      <c r="Y1605" s="16">
        <f>_xlfn.XLOOKUP(CustomerCombinedCleaned[[#This Row],[ID]], Table2[ID],Table2[MC1], "Not Found", 0 )</f>
        <v>0</v>
      </c>
      <c r="Z1605" s="16">
        <f>_xlfn.XLOOKUP(CustomerCombinedCleaned[[#This Row],[ID]], Table2[ID],Table2[MC2], "Not Found", 0 )</f>
        <v>0</v>
      </c>
      <c r="AA1605" s="16">
        <f>_xlfn.XLOOKUP(CustomerCombinedCleaned[[#This Row],[ID]], Table2[ID],Table2[MC3], "Not Found", 0 )</f>
        <v>0</v>
      </c>
      <c r="AB1605" s="16">
        <f>_xlfn.XLOOKUP(CustomerCombinedCleaned[[#This Row],[ID]], Table2[ID],Table2[MC4], "Not Found", 0 )</f>
        <v>0</v>
      </c>
      <c r="AC1605" s="16">
        <f>_xlfn.XLOOKUP(CustomerCombinedCleaned[[#This Row],[ID]], Table2[ID],Table2[MC5], "Not Found", 0 )</f>
        <v>0</v>
      </c>
    </row>
    <row r="1606" spans="1:29" x14ac:dyDescent="0.3">
      <c r="A1606" s="18">
        <v>1500</v>
      </c>
      <c r="B1606" s="16">
        <v>136443</v>
      </c>
      <c r="C1606" s="16">
        <v>1</v>
      </c>
      <c r="D1606" s="16">
        <v>1</v>
      </c>
      <c r="E1606" s="16">
        <v>59</v>
      </c>
      <c r="F1606" s="17" t="s">
        <v>6</v>
      </c>
      <c r="G1606" s="17" t="s">
        <v>11</v>
      </c>
      <c r="H1606" s="3" t="s">
        <v>765</v>
      </c>
      <c r="I1606" s="5" t="s">
        <v>436</v>
      </c>
      <c r="J1606" s="16">
        <f>_xlfn.XLOOKUP(CustomerCombinedCleaned[[#This Row],[ID]], Table4[ID], Table4[Recency], "Not Found", 0)</f>
        <v>9</v>
      </c>
      <c r="K1606" s="16">
        <f>_xlfn.XLOOKUP(CustomerCombinedCleaned[[#This Row],[ID]], Table4[ID], Table4[Teas], "Not Found", 0)</f>
        <v>243</v>
      </c>
      <c r="L1606" s="16">
        <f>_xlfn.XLOOKUP(CustomerCombinedCleaned[[#This Row],[ID]], Table4[ID], Table4[Fruits], "Not Found", 0)</f>
        <v>0</v>
      </c>
      <c r="M1606" s="16">
        <f>_xlfn.XLOOKUP(CustomerCombinedCleaned[[#This Row],[ID]], Table4[ID], Table4[Meats], "Not Found", 0)</f>
        <v>172</v>
      </c>
      <c r="N1606" s="16">
        <f>_xlfn.XLOOKUP(CustomerCombinedCleaned[[#This Row],[ID]], Table4[ID], Table4[Seafood], "Not Found", 0)</f>
        <v>15</v>
      </c>
      <c r="O1606" s="16">
        <f>_xlfn.XLOOKUP(CustomerCombinedCleaned[[#This Row],[ID]], Table4[ID], Table4[Sweets], "Not Found", 0)</f>
        <v>11</v>
      </c>
      <c r="P1606" s="16">
        <f>_xlfn.XLOOKUP(CustomerCombinedCleaned[[#This Row],[ID]], Table4[ID], Table4[Premium], "Not Found", 0)</f>
        <v>75</v>
      </c>
      <c r="Q1606" s="16">
        <f>_xlfn.XLOOKUP(CustomerCombinedCleaned[[#This Row],[ID]], Table4[ID], Table4[Regular], "Not Found", 0)</f>
        <v>367</v>
      </c>
      <c r="R1606" s="16">
        <f>_xlfn.XLOOKUP(CustomerCombinedCleaned[[#This Row],[ID]], Table4[ID], Table4[Deals], "Not Found", 0)</f>
        <v>4</v>
      </c>
      <c r="S1606" s="16">
        <f>_xlfn.XLOOKUP(CustomerCombinedCleaned[[#This Row],[ID]], Table4[ID], Table4[Website], "Not Found", 0)</f>
        <v>3</v>
      </c>
      <c r="T1606" s="16">
        <f>_xlfn.XLOOKUP(CustomerCombinedCleaned[[#This Row],[ID]], Table4[ID], Table4[Catalog], "Not Found", 0)</f>
        <v>1</v>
      </c>
      <c r="U1606" s="16">
        <f>_xlfn.XLOOKUP(CustomerCombinedCleaned[[#This Row],[ID]], Table4[ID], Table4[Store], "Not Found", 0)</f>
        <v>3</v>
      </c>
      <c r="V1606" s="16">
        <f>_xlfn.XLOOKUP(CustomerCombinedCleaned[[#This Row],[ID]], Table4[ID], Table4[Visits], "Not Found", 0)</f>
        <v>8</v>
      </c>
      <c r="W1606" s="16">
        <f>_xlfn.XLOOKUP(CustomerCombinedCleaned[[#This Row],[ID]], Table2[ID],Table2[Complaint], "Not Found", 0 )</f>
        <v>0</v>
      </c>
      <c r="X1606" s="16">
        <f>_xlfn.XLOOKUP(CustomerCombinedCleaned[[#This Row],[ID]], Table2[ID],Table2[Pilot], "Not Found", 0 )</f>
        <v>0</v>
      </c>
      <c r="Y1606" s="16">
        <f>_xlfn.XLOOKUP(CustomerCombinedCleaned[[#This Row],[ID]], Table2[ID],Table2[MC1], "Not Found", 0 )</f>
        <v>0</v>
      </c>
      <c r="Z1606" s="16">
        <f>_xlfn.XLOOKUP(CustomerCombinedCleaned[[#This Row],[ID]], Table2[ID],Table2[MC2], "Not Found", 0 )</f>
        <v>0</v>
      </c>
      <c r="AA1606" s="16">
        <f>_xlfn.XLOOKUP(CustomerCombinedCleaned[[#This Row],[ID]], Table2[ID],Table2[MC3], "Not Found", 0 )</f>
        <v>0</v>
      </c>
      <c r="AB1606" s="16">
        <f>_xlfn.XLOOKUP(CustomerCombinedCleaned[[#This Row],[ID]], Table2[ID],Table2[MC4], "Not Found", 0 )</f>
        <v>0</v>
      </c>
      <c r="AC1606" s="16">
        <f>_xlfn.XLOOKUP(CustomerCombinedCleaned[[#This Row],[ID]], Table2[ID],Table2[MC5], "Not Found", 0 )</f>
        <v>0</v>
      </c>
    </row>
    <row r="1607" spans="1:29" x14ac:dyDescent="0.3">
      <c r="A1607" s="18">
        <v>2794</v>
      </c>
      <c r="B1607" s="16">
        <v>132583</v>
      </c>
      <c r="C1607" s="16">
        <v>1</v>
      </c>
      <c r="D1607" s="16">
        <v>1</v>
      </c>
      <c r="E1607" s="16">
        <v>59</v>
      </c>
      <c r="F1607" s="17" t="s">
        <v>8</v>
      </c>
      <c r="G1607" s="17" t="s">
        <v>13</v>
      </c>
      <c r="H1607" s="3" t="s">
        <v>34</v>
      </c>
      <c r="I1607" s="5" t="s">
        <v>439</v>
      </c>
      <c r="J1607" s="16">
        <f>_xlfn.XLOOKUP(CustomerCombinedCleaned[[#This Row],[ID]], Table4[ID], Table4[Recency], "Not Found", 0)</f>
        <v>10</v>
      </c>
      <c r="K1607" s="16">
        <f>_xlfn.XLOOKUP(CustomerCombinedCleaned[[#This Row],[ID]], Table4[ID], Table4[Teas], "Not Found", 0)</f>
        <v>20</v>
      </c>
      <c r="L1607" s="16">
        <f>_xlfn.XLOOKUP(CustomerCombinedCleaned[[#This Row],[ID]], Table4[ID], Table4[Fruits], "Not Found", 0)</f>
        <v>0</v>
      </c>
      <c r="M1607" s="16">
        <f>_xlfn.XLOOKUP(CustomerCombinedCleaned[[#This Row],[ID]], Table4[ID], Table4[Meats], "Not Found", 0)</f>
        <v>12</v>
      </c>
      <c r="N1607" s="16">
        <f>_xlfn.XLOOKUP(CustomerCombinedCleaned[[#This Row],[ID]], Table4[ID], Table4[Seafood], "Not Found", 0)</f>
        <v>0</v>
      </c>
      <c r="O1607" s="16">
        <f>_xlfn.XLOOKUP(CustomerCombinedCleaned[[#This Row],[ID]], Table4[ID], Table4[Sweets], "Not Found", 0)</f>
        <v>0</v>
      </c>
      <c r="P1607" s="16">
        <f>_xlfn.XLOOKUP(CustomerCombinedCleaned[[#This Row],[ID]], Table4[ID], Table4[Premium], "Not Found", 0)</f>
        <v>4</v>
      </c>
      <c r="Q1607" s="16">
        <f>_xlfn.XLOOKUP(CustomerCombinedCleaned[[#This Row],[ID]], Table4[ID], Table4[Regular], "Not Found", 0)</f>
        <v>28</v>
      </c>
      <c r="R1607" s="16">
        <f>_xlfn.XLOOKUP(CustomerCombinedCleaned[[#This Row],[ID]], Table4[ID], Table4[Deals], "Not Found", 0)</f>
        <v>1</v>
      </c>
      <c r="S1607" s="16">
        <f>_xlfn.XLOOKUP(CustomerCombinedCleaned[[#This Row],[ID]], Table4[ID], Table4[Website], "Not Found", 0)</f>
        <v>1</v>
      </c>
      <c r="T1607" s="16">
        <f>_xlfn.XLOOKUP(CustomerCombinedCleaned[[#This Row],[ID]], Table4[ID], Table4[Catalog], "Not Found", 0)</f>
        <v>0</v>
      </c>
      <c r="U1607" s="16">
        <f>_xlfn.XLOOKUP(CustomerCombinedCleaned[[#This Row],[ID]], Table4[ID], Table4[Store], "Not Found", 0)</f>
        <v>2</v>
      </c>
      <c r="V1607" s="16">
        <f>_xlfn.XLOOKUP(CustomerCombinedCleaned[[#This Row],[ID]], Table4[ID], Table4[Visits], "Not Found", 0)</f>
        <v>7</v>
      </c>
      <c r="W1607" s="16">
        <f>_xlfn.XLOOKUP(CustomerCombinedCleaned[[#This Row],[ID]], Table2[ID],Table2[Complaint], "Not Found", 0 )</f>
        <v>0</v>
      </c>
      <c r="X1607" s="16">
        <f>_xlfn.XLOOKUP(CustomerCombinedCleaned[[#This Row],[ID]], Table2[ID],Table2[Pilot], "Not Found", 0 )</f>
        <v>0</v>
      </c>
      <c r="Y1607" s="16">
        <f>_xlfn.XLOOKUP(CustomerCombinedCleaned[[#This Row],[ID]], Table2[ID],Table2[MC1], "Not Found", 0 )</f>
        <v>0</v>
      </c>
      <c r="Z1607" s="16">
        <f>_xlfn.XLOOKUP(CustomerCombinedCleaned[[#This Row],[ID]], Table2[ID],Table2[MC2], "Not Found", 0 )</f>
        <v>0</v>
      </c>
      <c r="AA1607" s="16">
        <f>_xlfn.XLOOKUP(CustomerCombinedCleaned[[#This Row],[ID]], Table2[ID],Table2[MC3], "Not Found", 0 )</f>
        <v>0</v>
      </c>
      <c r="AB1607" s="16">
        <f>_xlfn.XLOOKUP(CustomerCombinedCleaned[[#This Row],[ID]], Table2[ID],Table2[MC4], "Not Found", 0 )</f>
        <v>0</v>
      </c>
      <c r="AC1607" s="16">
        <f>_xlfn.XLOOKUP(CustomerCombinedCleaned[[#This Row],[ID]], Table2[ID],Table2[MC5], "Not Found", 0 )</f>
        <v>0</v>
      </c>
    </row>
    <row r="1608" spans="1:29" x14ac:dyDescent="0.3">
      <c r="A1608" s="18">
        <v>1584</v>
      </c>
      <c r="B1608" s="16">
        <v>130081</v>
      </c>
      <c r="C1608" s="16">
        <v>0</v>
      </c>
      <c r="D1608" s="16">
        <v>1</v>
      </c>
      <c r="E1608" s="16">
        <v>59</v>
      </c>
      <c r="F1608" s="17" t="s">
        <v>7</v>
      </c>
      <c r="G1608" s="17" t="s">
        <v>11</v>
      </c>
      <c r="H1608" s="3" t="s">
        <v>302</v>
      </c>
      <c r="I1608" s="5" t="s">
        <v>436</v>
      </c>
      <c r="J1608" s="16">
        <f>_xlfn.XLOOKUP(CustomerCombinedCleaned[[#This Row],[ID]], Table4[ID], Table4[Recency], "Not Found", 0)</f>
        <v>27</v>
      </c>
      <c r="K1608" s="16">
        <f>_xlfn.XLOOKUP(CustomerCombinedCleaned[[#This Row],[ID]], Table4[ID], Table4[Teas], "Not Found", 0)</f>
        <v>156</v>
      </c>
      <c r="L1608" s="16">
        <f>_xlfn.XLOOKUP(CustomerCombinedCleaned[[#This Row],[ID]], Table4[ID], Table4[Fruits], "Not Found", 0)</f>
        <v>0</v>
      </c>
      <c r="M1608" s="16">
        <f>_xlfn.XLOOKUP(CustomerCombinedCleaned[[#This Row],[ID]], Table4[ID], Table4[Meats], "Not Found", 0)</f>
        <v>9</v>
      </c>
      <c r="N1608" s="16">
        <f>_xlfn.XLOOKUP(CustomerCombinedCleaned[[#This Row],[ID]], Table4[ID], Table4[Seafood], "Not Found", 0)</f>
        <v>0</v>
      </c>
      <c r="O1608" s="16">
        <f>_xlfn.XLOOKUP(CustomerCombinedCleaned[[#This Row],[ID]], Table4[ID], Table4[Sweets], "Not Found", 0)</f>
        <v>0</v>
      </c>
      <c r="P1608" s="16">
        <f>_xlfn.XLOOKUP(CustomerCombinedCleaned[[#This Row],[ID]], Table4[ID], Table4[Premium], "Not Found", 0)</f>
        <v>17</v>
      </c>
      <c r="Q1608" s="16">
        <f>_xlfn.XLOOKUP(CustomerCombinedCleaned[[#This Row],[ID]], Table4[ID], Table4[Regular], "Not Found", 0)</f>
        <v>147</v>
      </c>
      <c r="R1608" s="16">
        <f>_xlfn.XLOOKUP(CustomerCombinedCleaned[[#This Row],[ID]], Table4[ID], Table4[Deals], "Not Found", 0)</f>
        <v>1</v>
      </c>
      <c r="S1608" s="16">
        <f>_xlfn.XLOOKUP(CustomerCombinedCleaned[[#This Row],[ID]], Table4[ID], Table4[Website], "Not Found", 0)</f>
        <v>1</v>
      </c>
      <c r="T1608" s="16">
        <f>_xlfn.XLOOKUP(CustomerCombinedCleaned[[#This Row],[ID]], Table4[ID], Table4[Catalog], "Not Found", 0)</f>
        <v>0</v>
      </c>
      <c r="U1608" s="16">
        <f>_xlfn.XLOOKUP(CustomerCombinedCleaned[[#This Row],[ID]], Table4[ID], Table4[Store], "Not Found", 0)</f>
        <v>3</v>
      </c>
      <c r="V1608" s="16">
        <f>_xlfn.XLOOKUP(CustomerCombinedCleaned[[#This Row],[ID]], Table4[ID], Table4[Visits], "Not Found", 0)</f>
        <v>7</v>
      </c>
      <c r="W1608" s="16">
        <f>_xlfn.XLOOKUP(CustomerCombinedCleaned[[#This Row],[ID]], Table2[ID],Table2[Complaint], "Not Found", 0 )</f>
        <v>0</v>
      </c>
      <c r="X1608" s="16">
        <f>_xlfn.XLOOKUP(CustomerCombinedCleaned[[#This Row],[ID]], Table2[ID],Table2[Pilot], "Not Found", 0 )</f>
        <v>0</v>
      </c>
      <c r="Y1608" s="16">
        <f>_xlfn.XLOOKUP(CustomerCombinedCleaned[[#This Row],[ID]], Table2[ID],Table2[MC1], "Not Found", 0 )</f>
        <v>0</v>
      </c>
      <c r="Z1608" s="16">
        <f>_xlfn.XLOOKUP(CustomerCombinedCleaned[[#This Row],[ID]], Table2[ID],Table2[MC2], "Not Found", 0 )</f>
        <v>0</v>
      </c>
      <c r="AA1608" s="16">
        <f>_xlfn.XLOOKUP(CustomerCombinedCleaned[[#This Row],[ID]], Table2[ID],Table2[MC3], "Not Found", 0 )</f>
        <v>0</v>
      </c>
      <c r="AB1608" s="16">
        <f>_xlfn.XLOOKUP(CustomerCombinedCleaned[[#This Row],[ID]], Table2[ID],Table2[MC4], "Not Found", 0 )</f>
        <v>0</v>
      </c>
      <c r="AC1608" s="16">
        <f>_xlfn.XLOOKUP(CustomerCombinedCleaned[[#This Row],[ID]], Table2[ID],Table2[MC5], "Not Found", 0 )</f>
        <v>0</v>
      </c>
    </row>
    <row r="1609" spans="1:29" x14ac:dyDescent="0.3">
      <c r="A1609" s="18">
        <v>1173</v>
      </c>
      <c r="B1609" s="16">
        <v>128249</v>
      </c>
      <c r="C1609" s="16">
        <v>0</v>
      </c>
      <c r="D1609" s="16">
        <v>0</v>
      </c>
      <c r="E1609" s="16">
        <v>59</v>
      </c>
      <c r="F1609" s="17" t="s">
        <v>6</v>
      </c>
      <c r="G1609" s="17" t="s">
        <v>10</v>
      </c>
      <c r="H1609" s="3" t="s">
        <v>34</v>
      </c>
      <c r="I1609" s="5" t="s">
        <v>435</v>
      </c>
      <c r="J1609" s="16">
        <f>_xlfn.XLOOKUP(CustomerCombinedCleaned[[#This Row],[ID]], Table4[ID], Table4[Recency], "Not Found", 0)</f>
        <v>80</v>
      </c>
      <c r="K1609" s="16">
        <f>_xlfn.XLOOKUP(CustomerCombinedCleaned[[#This Row],[ID]], Table4[ID], Table4[Teas], "Not Found", 0)</f>
        <v>5</v>
      </c>
      <c r="L1609" s="16">
        <f>_xlfn.XLOOKUP(CustomerCombinedCleaned[[#This Row],[ID]], Table4[ID], Table4[Fruits], "Not Found", 0)</f>
        <v>41</v>
      </c>
      <c r="M1609" s="16">
        <f>_xlfn.XLOOKUP(CustomerCombinedCleaned[[#This Row],[ID]], Table4[ID], Table4[Meats], "Not Found", 0)</f>
        <v>32</v>
      </c>
      <c r="N1609" s="16">
        <f>_xlfn.XLOOKUP(CustomerCombinedCleaned[[#This Row],[ID]], Table4[ID], Table4[Seafood], "Not Found", 0)</f>
        <v>9</v>
      </c>
      <c r="O1609" s="16">
        <f>_xlfn.XLOOKUP(CustomerCombinedCleaned[[#This Row],[ID]], Table4[ID], Table4[Sweets], "Not Found", 0)</f>
        <v>64</v>
      </c>
      <c r="P1609" s="16">
        <f>_xlfn.XLOOKUP(CustomerCombinedCleaned[[#This Row],[ID]], Table4[ID], Table4[Premium], "Not Found", 0)</f>
        <v>45</v>
      </c>
      <c r="Q1609" s="16">
        <f>_xlfn.XLOOKUP(CustomerCombinedCleaned[[#This Row],[ID]], Table4[ID], Table4[Regular], "Not Found", 0)</f>
        <v>104</v>
      </c>
      <c r="R1609" s="16">
        <f>_xlfn.XLOOKUP(CustomerCombinedCleaned[[#This Row],[ID]], Table4[ID], Table4[Deals], "Not Found", 0)</f>
        <v>1</v>
      </c>
      <c r="S1609" s="16">
        <f>_xlfn.XLOOKUP(CustomerCombinedCleaned[[#This Row],[ID]], Table4[ID], Table4[Website], "Not Found", 0)</f>
        <v>2</v>
      </c>
      <c r="T1609" s="16">
        <f>_xlfn.XLOOKUP(CustomerCombinedCleaned[[#This Row],[ID]], Table4[ID], Table4[Catalog], "Not Found", 0)</f>
        <v>0</v>
      </c>
      <c r="U1609" s="16">
        <f>_xlfn.XLOOKUP(CustomerCombinedCleaned[[#This Row],[ID]], Table4[ID], Table4[Store], "Not Found", 0)</f>
        <v>3</v>
      </c>
      <c r="V1609" s="16">
        <f>_xlfn.XLOOKUP(CustomerCombinedCleaned[[#This Row],[ID]], Table4[ID], Table4[Visits], "Not Found", 0)</f>
        <v>6</v>
      </c>
      <c r="W1609" s="16">
        <f>_xlfn.XLOOKUP(CustomerCombinedCleaned[[#This Row],[ID]], Table2[ID],Table2[Complaint], "Not Found", 0 )</f>
        <v>0</v>
      </c>
      <c r="X1609" s="16">
        <f>_xlfn.XLOOKUP(CustomerCombinedCleaned[[#This Row],[ID]], Table2[ID],Table2[Pilot], "Not Found", 0 )</f>
        <v>0</v>
      </c>
      <c r="Y1609" s="16">
        <f>_xlfn.XLOOKUP(CustomerCombinedCleaned[[#This Row],[ID]], Table2[ID],Table2[MC1], "Not Found", 0 )</f>
        <v>0</v>
      </c>
      <c r="Z1609" s="16">
        <f>_xlfn.XLOOKUP(CustomerCombinedCleaned[[#This Row],[ID]], Table2[ID],Table2[MC2], "Not Found", 0 )</f>
        <v>0</v>
      </c>
      <c r="AA1609" s="16">
        <f>_xlfn.XLOOKUP(CustomerCombinedCleaned[[#This Row],[ID]], Table2[ID],Table2[MC3], "Not Found", 0 )</f>
        <v>0</v>
      </c>
      <c r="AB1609" s="16">
        <f>_xlfn.XLOOKUP(CustomerCombinedCleaned[[#This Row],[ID]], Table2[ID],Table2[MC4], "Not Found", 0 )</f>
        <v>0</v>
      </c>
      <c r="AC1609" s="16">
        <f>_xlfn.XLOOKUP(CustomerCombinedCleaned[[#This Row],[ID]], Table2[ID],Table2[MC5], "Not Found", 0 )</f>
        <v>0</v>
      </c>
    </row>
    <row r="1610" spans="1:29" x14ac:dyDescent="0.3">
      <c r="A1610" s="18">
        <v>2743</v>
      </c>
      <c r="B1610" s="16">
        <v>128249</v>
      </c>
      <c r="C1610" s="16">
        <v>0</v>
      </c>
      <c r="D1610" s="16">
        <v>0</v>
      </c>
      <c r="E1610" s="16">
        <v>59</v>
      </c>
      <c r="F1610" s="17" t="s">
        <v>6</v>
      </c>
      <c r="G1610" s="17" t="s">
        <v>10</v>
      </c>
      <c r="H1610" s="3" t="s">
        <v>34</v>
      </c>
      <c r="I1610" s="5" t="s">
        <v>437</v>
      </c>
      <c r="J1610" s="16">
        <f>_xlfn.XLOOKUP(CustomerCombinedCleaned[[#This Row],[ID]], Table4[ID], Table4[Recency], "Not Found", 0)</f>
        <v>80</v>
      </c>
      <c r="K1610" s="16">
        <f>_xlfn.XLOOKUP(CustomerCombinedCleaned[[#This Row],[ID]], Table4[ID], Table4[Teas], "Not Found", 0)</f>
        <v>5</v>
      </c>
      <c r="L1610" s="16">
        <f>_xlfn.XLOOKUP(CustomerCombinedCleaned[[#This Row],[ID]], Table4[ID], Table4[Fruits], "Not Found", 0)</f>
        <v>41</v>
      </c>
      <c r="M1610" s="16">
        <f>_xlfn.XLOOKUP(CustomerCombinedCleaned[[#This Row],[ID]], Table4[ID], Table4[Meats], "Not Found", 0)</f>
        <v>32</v>
      </c>
      <c r="N1610" s="16">
        <f>_xlfn.XLOOKUP(CustomerCombinedCleaned[[#This Row],[ID]], Table4[ID], Table4[Seafood], "Not Found", 0)</f>
        <v>9</v>
      </c>
      <c r="O1610" s="16">
        <f>_xlfn.XLOOKUP(CustomerCombinedCleaned[[#This Row],[ID]], Table4[ID], Table4[Sweets], "Not Found", 0)</f>
        <v>64</v>
      </c>
      <c r="P1610" s="16">
        <f>_xlfn.XLOOKUP(CustomerCombinedCleaned[[#This Row],[ID]], Table4[ID], Table4[Premium], "Not Found", 0)</f>
        <v>45</v>
      </c>
      <c r="Q1610" s="16">
        <f>_xlfn.XLOOKUP(CustomerCombinedCleaned[[#This Row],[ID]], Table4[ID], Table4[Regular], "Not Found", 0)</f>
        <v>104</v>
      </c>
      <c r="R1610" s="16">
        <f>_xlfn.XLOOKUP(CustomerCombinedCleaned[[#This Row],[ID]], Table4[ID], Table4[Deals], "Not Found", 0)</f>
        <v>1</v>
      </c>
      <c r="S1610" s="16">
        <f>_xlfn.XLOOKUP(CustomerCombinedCleaned[[#This Row],[ID]], Table4[ID], Table4[Website], "Not Found", 0)</f>
        <v>2</v>
      </c>
      <c r="T1610" s="16">
        <f>_xlfn.XLOOKUP(CustomerCombinedCleaned[[#This Row],[ID]], Table4[ID], Table4[Catalog], "Not Found", 0)</f>
        <v>0</v>
      </c>
      <c r="U1610" s="16">
        <f>_xlfn.XLOOKUP(CustomerCombinedCleaned[[#This Row],[ID]], Table4[ID], Table4[Store], "Not Found", 0)</f>
        <v>3</v>
      </c>
      <c r="V1610" s="16">
        <f>_xlfn.XLOOKUP(CustomerCombinedCleaned[[#This Row],[ID]], Table4[ID], Table4[Visits], "Not Found", 0)</f>
        <v>6</v>
      </c>
      <c r="W1610" s="16">
        <f>_xlfn.XLOOKUP(CustomerCombinedCleaned[[#This Row],[ID]], Table2[ID],Table2[Complaint], "Not Found", 0 )</f>
        <v>0</v>
      </c>
      <c r="X1610" s="16">
        <f>_xlfn.XLOOKUP(CustomerCombinedCleaned[[#This Row],[ID]], Table2[ID],Table2[Pilot], "Not Found", 0 )</f>
        <v>0</v>
      </c>
      <c r="Y1610" s="16">
        <f>_xlfn.XLOOKUP(CustomerCombinedCleaned[[#This Row],[ID]], Table2[ID],Table2[MC1], "Not Found", 0 )</f>
        <v>0</v>
      </c>
      <c r="Z1610" s="16">
        <f>_xlfn.XLOOKUP(CustomerCombinedCleaned[[#This Row],[ID]], Table2[ID],Table2[MC2], "Not Found", 0 )</f>
        <v>0</v>
      </c>
      <c r="AA1610" s="16">
        <f>_xlfn.XLOOKUP(CustomerCombinedCleaned[[#This Row],[ID]], Table2[ID],Table2[MC3], "Not Found", 0 )</f>
        <v>0</v>
      </c>
      <c r="AB1610" s="16">
        <f>_xlfn.XLOOKUP(CustomerCombinedCleaned[[#This Row],[ID]], Table2[ID],Table2[MC4], "Not Found", 0 )</f>
        <v>0</v>
      </c>
      <c r="AC1610" s="16">
        <f>_xlfn.XLOOKUP(CustomerCombinedCleaned[[#This Row],[ID]], Table2[ID],Table2[MC5], "Not Found", 0 )</f>
        <v>0</v>
      </c>
    </row>
    <row r="1611" spans="1:29" x14ac:dyDescent="0.3">
      <c r="A1611" s="18">
        <v>2534</v>
      </c>
      <c r="B1611" s="16">
        <v>127215</v>
      </c>
      <c r="C1611" s="16">
        <v>2</v>
      </c>
      <c r="D1611" s="16">
        <v>1</v>
      </c>
      <c r="E1611" s="16">
        <v>59</v>
      </c>
      <c r="F1611" s="17" t="s">
        <v>5</v>
      </c>
      <c r="G1611" s="17" t="s">
        <v>11</v>
      </c>
      <c r="H1611" s="3" t="s">
        <v>318</v>
      </c>
      <c r="I1611" s="5" t="s">
        <v>438</v>
      </c>
      <c r="J1611" s="16">
        <f>_xlfn.XLOOKUP(CustomerCombinedCleaned[[#This Row],[ID]], Table4[ID], Table4[Recency], "Not Found", 0)</f>
        <v>50</v>
      </c>
      <c r="K1611" s="16">
        <f>_xlfn.XLOOKUP(CustomerCombinedCleaned[[#This Row],[ID]], Table4[ID], Table4[Teas], "Not Found", 0)</f>
        <v>140</v>
      </c>
      <c r="L1611" s="16">
        <f>_xlfn.XLOOKUP(CustomerCombinedCleaned[[#This Row],[ID]], Table4[ID], Table4[Fruits], "Not Found", 0)</f>
        <v>23</v>
      </c>
      <c r="M1611" s="16">
        <f>_xlfn.XLOOKUP(CustomerCombinedCleaned[[#This Row],[ID]], Table4[ID], Table4[Meats], "Not Found", 0)</f>
        <v>103</v>
      </c>
      <c r="N1611" s="16">
        <f>_xlfn.XLOOKUP(CustomerCombinedCleaned[[#This Row],[ID]], Table4[ID], Table4[Seafood], "Not Found", 0)</f>
        <v>37</v>
      </c>
      <c r="O1611" s="16">
        <f>_xlfn.XLOOKUP(CustomerCombinedCleaned[[#This Row],[ID]], Table4[ID], Table4[Sweets], "Not Found", 0)</f>
        <v>42</v>
      </c>
      <c r="P1611" s="16">
        <f>_xlfn.XLOOKUP(CustomerCombinedCleaned[[#This Row],[ID]], Table4[ID], Table4[Premium], "Not Found", 0)</f>
        <v>131</v>
      </c>
      <c r="Q1611" s="16">
        <f>_xlfn.XLOOKUP(CustomerCombinedCleaned[[#This Row],[ID]], Table4[ID], Table4[Regular], "Not Found", 0)</f>
        <v>215</v>
      </c>
      <c r="R1611" s="16">
        <f>_xlfn.XLOOKUP(CustomerCombinedCleaned[[#This Row],[ID]], Table4[ID], Table4[Deals], "Not Found", 0)</f>
        <v>4</v>
      </c>
      <c r="S1611" s="16">
        <f>_xlfn.XLOOKUP(CustomerCombinedCleaned[[#This Row],[ID]], Table4[ID], Table4[Website], "Not Found", 0)</f>
        <v>2</v>
      </c>
      <c r="T1611" s="16">
        <f>_xlfn.XLOOKUP(CustomerCombinedCleaned[[#This Row],[ID]], Table4[ID], Table4[Catalog], "Not Found", 0)</f>
        <v>1</v>
      </c>
      <c r="U1611" s="16">
        <f>_xlfn.XLOOKUP(CustomerCombinedCleaned[[#This Row],[ID]], Table4[ID], Table4[Store], "Not Found", 0)</f>
        <v>4</v>
      </c>
      <c r="V1611" s="16">
        <f>_xlfn.XLOOKUP(CustomerCombinedCleaned[[#This Row],[ID]], Table4[ID], Table4[Visits], "Not Found", 0)</f>
        <v>6</v>
      </c>
      <c r="W1611" s="16">
        <f>_xlfn.XLOOKUP(CustomerCombinedCleaned[[#This Row],[ID]], Table2[ID],Table2[Complaint], "Not Found", 0 )</f>
        <v>0</v>
      </c>
      <c r="X1611" s="16">
        <f>_xlfn.XLOOKUP(CustomerCombinedCleaned[[#This Row],[ID]], Table2[ID],Table2[Pilot], "Not Found", 0 )</f>
        <v>0</v>
      </c>
      <c r="Y1611" s="16">
        <f>_xlfn.XLOOKUP(CustomerCombinedCleaned[[#This Row],[ID]], Table2[ID],Table2[MC1], "Not Found", 0 )</f>
        <v>0</v>
      </c>
      <c r="Z1611" s="16">
        <f>_xlfn.XLOOKUP(CustomerCombinedCleaned[[#This Row],[ID]], Table2[ID],Table2[MC2], "Not Found", 0 )</f>
        <v>0</v>
      </c>
      <c r="AA1611" s="16">
        <f>_xlfn.XLOOKUP(CustomerCombinedCleaned[[#This Row],[ID]], Table2[ID],Table2[MC3], "Not Found", 0 )</f>
        <v>0</v>
      </c>
      <c r="AB1611" s="16">
        <f>_xlfn.XLOOKUP(CustomerCombinedCleaned[[#This Row],[ID]], Table2[ID],Table2[MC4], "Not Found", 0 )</f>
        <v>0</v>
      </c>
      <c r="AC1611" s="16">
        <f>_xlfn.XLOOKUP(CustomerCombinedCleaned[[#This Row],[ID]], Table2[ID],Table2[MC5], "Not Found", 0 )</f>
        <v>0</v>
      </c>
    </row>
    <row r="1612" spans="1:29" x14ac:dyDescent="0.3">
      <c r="A1612" s="18">
        <v>2580</v>
      </c>
      <c r="B1612" s="16">
        <v>127116</v>
      </c>
      <c r="C1612" s="16">
        <v>1</v>
      </c>
      <c r="D1612" s="16">
        <v>1</v>
      </c>
      <c r="E1612" s="16">
        <v>59</v>
      </c>
      <c r="F1612" s="17" t="s">
        <v>6</v>
      </c>
      <c r="G1612" s="17" t="s">
        <v>11</v>
      </c>
      <c r="H1612" s="3" t="s">
        <v>691</v>
      </c>
      <c r="I1612" s="5" t="s">
        <v>436</v>
      </c>
      <c r="J1612" s="16">
        <f>_xlfn.XLOOKUP(CustomerCombinedCleaned[[#This Row],[ID]], Table4[ID], Table4[Recency], "Not Found", 0)</f>
        <v>78</v>
      </c>
      <c r="K1612" s="16">
        <f>_xlfn.XLOOKUP(CustomerCombinedCleaned[[#This Row],[ID]], Table4[ID], Table4[Teas], "Not Found", 0)</f>
        <v>56</v>
      </c>
      <c r="L1612" s="16">
        <f>_xlfn.XLOOKUP(CustomerCombinedCleaned[[#This Row],[ID]], Table4[ID], Table4[Fruits], "Not Found", 0)</f>
        <v>5</v>
      </c>
      <c r="M1612" s="16">
        <f>_xlfn.XLOOKUP(CustomerCombinedCleaned[[#This Row],[ID]], Table4[ID], Table4[Meats], "Not Found", 0)</f>
        <v>98</v>
      </c>
      <c r="N1612" s="16">
        <f>_xlfn.XLOOKUP(CustomerCombinedCleaned[[#This Row],[ID]], Table4[ID], Table4[Seafood], "Not Found", 0)</f>
        <v>9</v>
      </c>
      <c r="O1612" s="16">
        <f>_xlfn.XLOOKUP(CustomerCombinedCleaned[[#This Row],[ID]], Table4[ID], Table4[Sweets], "Not Found", 0)</f>
        <v>9</v>
      </c>
      <c r="P1612" s="16">
        <f>_xlfn.XLOOKUP(CustomerCombinedCleaned[[#This Row],[ID]], Table4[ID], Table4[Premium], "Not Found", 0)</f>
        <v>14</v>
      </c>
      <c r="Q1612" s="16">
        <f>_xlfn.XLOOKUP(CustomerCombinedCleaned[[#This Row],[ID]], Table4[ID], Table4[Regular], "Not Found", 0)</f>
        <v>164</v>
      </c>
      <c r="R1612" s="16">
        <f>_xlfn.XLOOKUP(CustomerCombinedCleaned[[#This Row],[ID]], Table4[ID], Table4[Deals], "Not Found", 0)</f>
        <v>2</v>
      </c>
      <c r="S1612" s="16">
        <f>_xlfn.XLOOKUP(CustomerCombinedCleaned[[#This Row],[ID]], Table4[ID], Table4[Website], "Not Found", 0)</f>
        <v>2</v>
      </c>
      <c r="T1612" s="16">
        <f>_xlfn.XLOOKUP(CustomerCombinedCleaned[[#This Row],[ID]], Table4[ID], Table4[Catalog], "Not Found", 0)</f>
        <v>0</v>
      </c>
      <c r="U1612" s="16">
        <f>_xlfn.XLOOKUP(CustomerCombinedCleaned[[#This Row],[ID]], Table4[ID], Table4[Store], "Not Found", 0)</f>
        <v>3</v>
      </c>
      <c r="V1612" s="16">
        <f>_xlfn.XLOOKUP(CustomerCombinedCleaned[[#This Row],[ID]], Table4[ID], Table4[Visits], "Not Found", 0)</f>
        <v>7</v>
      </c>
      <c r="W1612" s="16">
        <f>_xlfn.XLOOKUP(CustomerCombinedCleaned[[#This Row],[ID]], Table2[ID],Table2[Complaint], "Not Found", 0 )</f>
        <v>0</v>
      </c>
      <c r="X1612" s="16">
        <f>_xlfn.XLOOKUP(CustomerCombinedCleaned[[#This Row],[ID]], Table2[ID],Table2[Pilot], "Not Found", 0 )</f>
        <v>0</v>
      </c>
      <c r="Y1612" s="16">
        <f>_xlfn.XLOOKUP(CustomerCombinedCleaned[[#This Row],[ID]], Table2[ID],Table2[MC1], "Not Found", 0 )</f>
        <v>0</v>
      </c>
      <c r="Z1612" s="16">
        <f>_xlfn.XLOOKUP(CustomerCombinedCleaned[[#This Row],[ID]], Table2[ID],Table2[MC2], "Not Found", 0 )</f>
        <v>0</v>
      </c>
      <c r="AA1612" s="16">
        <f>_xlfn.XLOOKUP(CustomerCombinedCleaned[[#This Row],[ID]], Table2[ID],Table2[MC3], "Not Found", 0 )</f>
        <v>0</v>
      </c>
      <c r="AB1612" s="16">
        <f>_xlfn.XLOOKUP(CustomerCombinedCleaned[[#This Row],[ID]], Table2[ID],Table2[MC4], "Not Found", 0 )</f>
        <v>0</v>
      </c>
      <c r="AC1612" s="16">
        <f>_xlfn.XLOOKUP(CustomerCombinedCleaned[[#This Row],[ID]], Table2[ID],Table2[MC5], "Not Found", 0 )</f>
        <v>0</v>
      </c>
    </row>
    <row r="1613" spans="1:29" x14ac:dyDescent="0.3">
      <c r="A1613" s="18">
        <v>2046</v>
      </c>
      <c r="B1613" s="16">
        <v>116860</v>
      </c>
      <c r="C1613" s="16">
        <v>1</v>
      </c>
      <c r="D1613" s="16">
        <v>1</v>
      </c>
      <c r="E1613" s="16">
        <v>59</v>
      </c>
      <c r="F1613" s="17" t="s">
        <v>6</v>
      </c>
      <c r="G1613" s="17" t="s">
        <v>11</v>
      </c>
      <c r="H1613" s="3" t="s">
        <v>397</v>
      </c>
      <c r="I1613" s="5" t="s">
        <v>436</v>
      </c>
      <c r="J1613" s="16">
        <f>_xlfn.XLOOKUP(CustomerCombinedCleaned[[#This Row],[ID]], Table4[ID], Table4[Recency], "Not Found", 0)</f>
        <v>19</v>
      </c>
      <c r="K1613" s="16">
        <f>_xlfn.XLOOKUP(CustomerCombinedCleaned[[#This Row],[ID]], Table4[ID], Table4[Teas], "Not Found", 0)</f>
        <v>69</v>
      </c>
      <c r="L1613" s="16">
        <f>_xlfn.XLOOKUP(CustomerCombinedCleaned[[#This Row],[ID]], Table4[ID], Table4[Fruits], "Not Found", 0)</f>
        <v>28</v>
      </c>
      <c r="M1613" s="16">
        <f>_xlfn.XLOOKUP(CustomerCombinedCleaned[[#This Row],[ID]], Table4[ID], Table4[Meats], "Not Found", 0)</f>
        <v>28</v>
      </c>
      <c r="N1613" s="16">
        <f>_xlfn.XLOOKUP(CustomerCombinedCleaned[[#This Row],[ID]], Table4[ID], Table4[Seafood], "Not Found", 0)</f>
        <v>21</v>
      </c>
      <c r="O1613" s="16">
        <f>_xlfn.XLOOKUP(CustomerCombinedCleaned[[#This Row],[ID]], Table4[ID], Table4[Sweets], "Not Found", 0)</f>
        <v>21</v>
      </c>
      <c r="P1613" s="16">
        <f>_xlfn.XLOOKUP(CustomerCombinedCleaned[[#This Row],[ID]], Table4[ID], Table4[Premium], "Not Found", 0)</f>
        <v>97</v>
      </c>
      <c r="Q1613" s="16">
        <f>_xlfn.XLOOKUP(CustomerCombinedCleaned[[#This Row],[ID]], Table4[ID], Table4[Regular], "Not Found", 0)</f>
        <v>69</v>
      </c>
      <c r="R1613" s="16">
        <f>_xlfn.XLOOKUP(CustomerCombinedCleaned[[#This Row],[ID]], Table4[ID], Table4[Deals], "Not Found", 0)</f>
        <v>3</v>
      </c>
      <c r="S1613" s="16">
        <f>_xlfn.XLOOKUP(CustomerCombinedCleaned[[#This Row],[ID]], Table4[ID], Table4[Website], "Not Found", 0)</f>
        <v>1</v>
      </c>
      <c r="T1613" s="16">
        <f>_xlfn.XLOOKUP(CustomerCombinedCleaned[[#This Row],[ID]], Table4[ID], Table4[Catalog], "Not Found", 0)</f>
        <v>1</v>
      </c>
      <c r="U1613" s="16">
        <f>_xlfn.XLOOKUP(CustomerCombinedCleaned[[#This Row],[ID]], Table4[ID], Table4[Store], "Not Found", 0)</f>
        <v>3</v>
      </c>
      <c r="V1613" s="16">
        <f>_xlfn.XLOOKUP(CustomerCombinedCleaned[[#This Row],[ID]], Table4[ID], Table4[Visits], "Not Found", 0)</f>
        <v>7</v>
      </c>
      <c r="W1613" s="16">
        <f>_xlfn.XLOOKUP(CustomerCombinedCleaned[[#This Row],[ID]], Table2[ID],Table2[Complaint], "Not Found", 0 )</f>
        <v>0</v>
      </c>
      <c r="X1613" s="16">
        <f>_xlfn.XLOOKUP(CustomerCombinedCleaned[[#This Row],[ID]], Table2[ID],Table2[Pilot], "Not Found", 0 )</f>
        <v>0</v>
      </c>
      <c r="Y1613" s="16">
        <f>_xlfn.XLOOKUP(CustomerCombinedCleaned[[#This Row],[ID]], Table2[ID],Table2[MC1], "Not Found", 0 )</f>
        <v>0</v>
      </c>
      <c r="Z1613" s="16">
        <f>_xlfn.XLOOKUP(CustomerCombinedCleaned[[#This Row],[ID]], Table2[ID],Table2[MC2], "Not Found", 0 )</f>
        <v>0</v>
      </c>
      <c r="AA1613" s="16">
        <f>_xlfn.XLOOKUP(CustomerCombinedCleaned[[#This Row],[ID]], Table2[ID],Table2[MC3], "Not Found", 0 )</f>
        <v>0</v>
      </c>
      <c r="AB1613" s="16">
        <f>_xlfn.XLOOKUP(CustomerCombinedCleaned[[#This Row],[ID]], Table2[ID],Table2[MC4], "Not Found", 0 )</f>
        <v>0</v>
      </c>
      <c r="AC1613" s="16">
        <f>_xlfn.XLOOKUP(CustomerCombinedCleaned[[#This Row],[ID]], Table2[ID],Table2[MC5], "Not Found", 0 )</f>
        <v>0</v>
      </c>
    </row>
    <row r="1614" spans="1:29" x14ac:dyDescent="0.3">
      <c r="A1614" s="18">
        <v>1633</v>
      </c>
      <c r="B1614" s="16">
        <v>198777</v>
      </c>
      <c r="C1614" s="16">
        <v>0</v>
      </c>
      <c r="D1614" s="16">
        <v>0</v>
      </c>
      <c r="E1614" s="16">
        <v>60</v>
      </c>
      <c r="F1614" s="17" t="s">
        <v>7</v>
      </c>
      <c r="G1614" s="17" t="s">
        <v>12</v>
      </c>
      <c r="H1614" s="3" t="s">
        <v>96</v>
      </c>
      <c r="I1614" s="5" t="s">
        <v>437</v>
      </c>
      <c r="J1614" s="16">
        <f>_xlfn.XLOOKUP(CustomerCombinedCleaned[[#This Row],[ID]], Table4[ID], Table4[Recency], "Not Found", 0)</f>
        <v>23</v>
      </c>
      <c r="K1614" s="16">
        <f>_xlfn.XLOOKUP(CustomerCombinedCleaned[[#This Row],[ID]], Table4[ID], Table4[Teas], "Not Found", 0)</f>
        <v>2012</v>
      </c>
      <c r="L1614" s="16">
        <f>_xlfn.XLOOKUP(CustomerCombinedCleaned[[#This Row],[ID]], Table4[ID], Table4[Fruits], "Not Found", 0)</f>
        <v>38</v>
      </c>
      <c r="M1614" s="16">
        <f>_xlfn.XLOOKUP(CustomerCombinedCleaned[[#This Row],[ID]], Table4[ID], Table4[Meats], "Not Found", 0)</f>
        <v>1431</v>
      </c>
      <c r="N1614" s="16">
        <f>_xlfn.XLOOKUP(CustomerCombinedCleaned[[#This Row],[ID]], Table4[ID], Table4[Seafood], "Not Found", 0)</f>
        <v>252</v>
      </c>
      <c r="O1614" s="16">
        <f>_xlfn.XLOOKUP(CustomerCombinedCleaned[[#This Row],[ID]], Table4[ID], Table4[Sweets], "Not Found", 0)</f>
        <v>231</v>
      </c>
      <c r="P1614" s="16">
        <f>_xlfn.XLOOKUP(CustomerCombinedCleaned[[#This Row],[ID]], Table4[ID], Table4[Premium], "Not Found", 0)</f>
        <v>76</v>
      </c>
      <c r="Q1614" s="16">
        <f>_xlfn.XLOOKUP(CustomerCombinedCleaned[[#This Row],[ID]], Table4[ID], Table4[Regular], "Not Found", 0)</f>
        <v>3888</v>
      </c>
      <c r="R1614" s="16">
        <f>_xlfn.XLOOKUP(CustomerCombinedCleaned[[#This Row],[ID]], Table4[ID], Table4[Deals], "Not Found", 0)</f>
        <v>0</v>
      </c>
      <c r="S1614" s="16">
        <f>_xlfn.XLOOKUP(CustomerCombinedCleaned[[#This Row],[ID]], Table4[ID], Table4[Website], "Not Found", 0)</f>
        <v>4</v>
      </c>
      <c r="T1614" s="16">
        <f>_xlfn.XLOOKUP(CustomerCombinedCleaned[[#This Row],[ID]], Table4[ID], Table4[Catalog], "Not Found", 0)</f>
        <v>6</v>
      </c>
      <c r="U1614" s="16">
        <f>_xlfn.XLOOKUP(CustomerCombinedCleaned[[#This Row],[ID]], Table4[ID], Table4[Store], "Not Found", 0)</f>
        <v>9</v>
      </c>
      <c r="V1614" s="16">
        <f>_xlfn.XLOOKUP(CustomerCombinedCleaned[[#This Row],[ID]], Table4[ID], Table4[Visits], "Not Found", 0)</f>
        <v>1</v>
      </c>
      <c r="W1614" s="16">
        <f>_xlfn.XLOOKUP(CustomerCombinedCleaned[[#This Row],[ID]], Table2[ID],Table2[Complaint], "Not Found", 0 )</f>
        <v>0</v>
      </c>
      <c r="X1614" s="16">
        <f>_xlfn.XLOOKUP(CustomerCombinedCleaned[[#This Row],[ID]], Table2[ID],Table2[Pilot], "Not Found", 0 )</f>
        <v>0</v>
      </c>
      <c r="Y1614" s="16">
        <f>_xlfn.XLOOKUP(CustomerCombinedCleaned[[#This Row],[ID]], Table2[ID],Table2[MC1], "Not Found", 0 )</f>
        <v>0</v>
      </c>
      <c r="Z1614" s="16">
        <f>_xlfn.XLOOKUP(CustomerCombinedCleaned[[#This Row],[ID]], Table2[ID],Table2[MC2], "Not Found", 0 )</f>
        <v>0</v>
      </c>
      <c r="AA1614" s="16">
        <f>_xlfn.XLOOKUP(CustomerCombinedCleaned[[#This Row],[ID]], Table2[ID],Table2[MC3], "Not Found", 0 )</f>
        <v>0</v>
      </c>
      <c r="AB1614" s="16">
        <f>_xlfn.XLOOKUP(CustomerCombinedCleaned[[#This Row],[ID]], Table2[ID],Table2[MC4], "Not Found", 0 )</f>
        <v>1</v>
      </c>
      <c r="AC1614" s="16">
        <f>_xlfn.XLOOKUP(CustomerCombinedCleaned[[#This Row],[ID]], Table2[ID],Table2[MC5], "Not Found", 0 )</f>
        <v>0</v>
      </c>
    </row>
    <row r="1615" spans="1:29" x14ac:dyDescent="0.3">
      <c r="A1615" s="18">
        <v>2094</v>
      </c>
      <c r="B1615" s="16">
        <v>198777</v>
      </c>
      <c r="C1615" s="16">
        <v>0</v>
      </c>
      <c r="D1615" s="16">
        <v>0</v>
      </c>
      <c r="E1615" s="16">
        <v>60</v>
      </c>
      <c r="F1615" s="17" t="s">
        <v>7</v>
      </c>
      <c r="G1615" s="17" t="s">
        <v>12</v>
      </c>
      <c r="H1615" s="3" t="s">
        <v>96</v>
      </c>
      <c r="I1615" s="5" t="s">
        <v>436</v>
      </c>
      <c r="J1615" s="16">
        <f>_xlfn.XLOOKUP(CustomerCombinedCleaned[[#This Row],[ID]], Table4[ID], Table4[Recency], "Not Found", 0)</f>
        <v>23</v>
      </c>
      <c r="K1615" s="16">
        <f>_xlfn.XLOOKUP(CustomerCombinedCleaned[[#This Row],[ID]], Table4[ID], Table4[Teas], "Not Found", 0)</f>
        <v>2012</v>
      </c>
      <c r="L1615" s="16">
        <f>_xlfn.XLOOKUP(CustomerCombinedCleaned[[#This Row],[ID]], Table4[ID], Table4[Fruits], "Not Found", 0)</f>
        <v>38</v>
      </c>
      <c r="M1615" s="16">
        <f>_xlfn.XLOOKUP(CustomerCombinedCleaned[[#This Row],[ID]], Table4[ID], Table4[Meats], "Not Found", 0)</f>
        <v>1431</v>
      </c>
      <c r="N1615" s="16">
        <f>_xlfn.XLOOKUP(CustomerCombinedCleaned[[#This Row],[ID]], Table4[ID], Table4[Seafood], "Not Found", 0)</f>
        <v>252</v>
      </c>
      <c r="O1615" s="16">
        <f>_xlfn.XLOOKUP(CustomerCombinedCleaned[[#This Row],[ID]], Table4[ID], Table4[Sweets], "Not Found", 0)</f>
        <v>231</v>
      </c>
      <c r="P1615" s="16">
        <f>_xlfn.XLOOKUP(CustomerCombinedCleaned[[#This Row],[ID]], Table4[ID], Table4[Premium], "Not Found", 0)</f>
        <v>76</v>
      </c>
      <c r="Q1615" s="16">
        <f>_xlfn.XLOOKUP(CustomerCombinedCleaned[[#This Row],[ID]], Table4[ID], Table4[Regular], "Not Found", 0)</f>
        <v>3888</v>
      </c>
      <c r="R1615" s="16">
        <f>_xlfn.XLOOKUP(CustomerCombinedCleaned[[#This Row],[ID]], Table4[ID], Table4[Deals], "Not Found", 0)</f>
        <v>0</v>
      </c>
      <c r="S1615" s="16">
        <f>_xlfn.XLOOKUP(CustomerCombinedCleaned[[#This Row],[ID]], Table4[ID], Table4[Website], "Not Found", 0)</f>
        <v>4</v>
      </c>
      <c r="T1615" s="16">
        <f>_xlfn.XLOOKUP(CustomerCombinedCleaned[[#This Row],[ID]], Table4[ID], Table4[Catalog], "Not Found", 0)</f>
        <v>6</v>
      </c>
      <c r="U1615" s="16">
        <f>_xlfn.XLOOKUP(CustomerCombinedCleaned[[#This Row],[ID]], Table4[ID], Table4[Store], "Not Found", 0)</f>
        <v>9</v>
      </c>
      <c r="V1615" s="16">
        <f>_xlfn.XLOOKUP(CustomerCombinedCleaned[[#This Row],[ID]], Table4[ID], Table4[Visits], "Not Found", 0)</f>
        <v>1</v>
      </c>
      <c r="W1615" s="16">
        <f>_xlfn.XLOOKUP(CustomerCombinedCleaned[[#This Row],[ID]], Table2[ID],Table2[Complaint], "Not Found", 0 )</f>
        <v>0</v>
      </c>
      <c r="X1615" s="16">
        <f>_xlfn.XLOOKUP(CustomerCombinedCleaned[[#This Row],[ID]], Table2[ID],Table2[Pilot], "Not Found", 0 )</f>
        <v>0</v>
      </c>
      <c r="Y1615" s="16">
        <f>_xlfn.XLOOKUP(CustomerCombinedCleaned[[#This Row],[ID]], Table2[ID],Table2[MC1], "Not Found", 0 )</f>
        <v>0</v>
      </c>
      <c r="Z1615" s="16">
        <f>_xlfn.XLOOKUP(CustomerCombinedCleaned[[#This Row],[ID]], Table2[ID],Table2[MC2], "Not Found", 0 )</f>
        <v>0</v>
      </c>
      <c r="AA1615" s="16">
        <f>_xlfn.XLOOKUP(CustomerCombinedCleaned[[#This Row],[ID]], Table2[ID],Table2[MC3], "Not Found", 0 )</f>
        <v>0</v>
      </c>
      <c r="AB1615" s="16">
        <f>_xlfn.XLOOKUP(CustomerCombinedCleaned[[#This Row],[ID]], Table2[ID],Table2[MC4], "Not Found", 0 )</f>
        <v>1</v>
      </c>
      <c r="AC1615" s="16">
        <f>_xlfn.XLOOKUP(CustomerCombinedCleaned[[#This Row],[ID]], Table2[ID],Table2[MC5], "Not Found", 0 )</f>
        <v>0</v>
      </c>
    </row>
    <row r="1616" spans="1:29" x14ac:dyDescent="0.3">
      <c r="A1616" s="18">
        <v>2885</v>
      </c>
      <c r="B1616" s="16">
        <v>192556</v>
      </c>
      <c r="C1616" s="16">
        <v>0</v>
      </c>
      <c r="D1616" s="16">
        <v>0</v>
      </c>
      <c r="E1616" s="16">
        <v>60</v>
      </c>
      <c r="F1616" s="17" t="s">
        <v>8</v>
      </c>
      <c r="G1616" s="17" t="s">
        <v>11</v>
      </c>
      <c r="H1616" s="3" t="s">
        <v>62</v>
      </c>
      <c r="I1616" s="5" t="s">
        <v>434</v>
      </c>
      <c r="J1616" s="16">
        <f>_xlfn.XLOOKUP(CustomerCombinedCleaned[[#This Row],[ID]], Table4[ID], Table4[Recency], "Not Found", 0)</f>
        <v>32</v>
      </c>
      <c r="K1616" s="16">
        <f>_xlfn.XLOOKUP(CustomerCombinedCleaned[[#This Row],[ID]], Table4[ID], Table4[Teas], "Not Found", 0)</f>
        <v>1026</v>
      </c>
      <c r="L1616" s="16">
        <f>_xlfn.XLOOKUP(CustomerCombinedCleaned[[#This Row],[ID]], Table4[ID], Table4[Fruits], "Not Found", 0)</f>
        <v>381</v>
      </c>
      <c r="M1616" s="16">
        <f>_xlfn.XLOOKUP(CustomerCombinedCleaned[[#This Row],[ID]], Table4[ID], Table4[Meats], "Not Found", 0)</f>
        <v>732</v>
      </c>
      <c r="N1616" s="16">
        <f>_xlfn.XLOOKUP(CustomerCombinedCleaned[[#This Row],[ID]], Table4[ID], Table4[Seafood], "Not Found", 0)</f>
        <v>383</v>
      </c>
      <c r="O1616" s="16">
        <f>_xlfn.XLOOKUP(CustomerCombinedCleaned[[#This Row],[ID]], Table4[ID], Table4[Sweets], "Not Found", 0)</f>
        <v>48</v>
      </c>
      <c r="P1616" s="16">
        <f>_xlfn.XLOOKUP(CustomerCombinedCleaned[[#This Row],[ID]], Table4[ID], Table4[Premium], "Not Found", 0)</f>
        <v>58</v>
      </c>
      <c r="Q1616" s="16">
        <f>_xlfn.XLOOKUP(CustomerCombinedCleaned[[#This Row],[ID]], Table4[ID], Table4[Regular], "Not Found", 0)</f>
        <v>2511</v>
      </c>
      <c r="R1616" s="16">
        <f>_xlfn.XLOOKUP(CustomerCombinedCleaned[[#This Row],[ID]], Table4[ID], Table4[Deals], "Not Found", 0)</f>
        <v>0</v>
      </c>
      <c r="S1616" s="16">
        <f>_xlfn.XLOOKUP(CustomerCombinedCleaned[[#This Row],[ID]], Table4[ID], Table4[Website], "Not Found", 0)</f>
        <v>3</v>
      </c>
      <c r="T1616" s="16">
        <f>_xlfn.XLOOKUP(CustomerCombinedCleaned[[#This Row],[ID]], Table4[ID], Table4[Catalog], "Not Found", 0)</f>
        <v>5</v>
      </c>
      <c r="U1616" s="16">
        <f>_xlfn.XLOOKUP(CustomerCombinedCleaned[[#This Row],[ID]], Table4[ID], Table4[Store], "Not Found", 0)</f>
        <v>13</v>
      </c>
      <c r="V1616" s="16">
        <f>_xlfn.XLOOKUP(CustomerCombinedCleaned[[#This Row],[ID]], Table4[ID], Table4[Visits], "Not Found", 0)</f>
        <v>0</v>
      </c>
      <c r="W1616" s="16">
        <f>_xlfn.XLOOKUP(CustomerCombinedCleaned[[#This Row],[ID]], Table2[ID],Table2[Complaint], "Not Found", 0 )</f>
        <v>0</v>
      </c>
      <c r="X1616" s="16">
        <f>_xlfn.XLOOKUP(CustomerCombinedCleaned[[#This Row],[ID]], Table2[ID],Table2[Pilot], "Not Found", 0 )</f>
        <v>0</v>
      </c>
      <c r="Y1616" s="16">
        <f>_xlfn.XLOOKUP(CustomerCombinedCleaned[[#This Row],[ID]], Table2[ID],Table2[MC1], "Not Found", 0 )</f>
        <v>0</v>
      </c>
      <c r="Z1616" s="16">
        <f>_xlfn.XLOOKUP(CustomerCombinedCleaned[[#This Row],[ID]], Table2[ID],Table2[MC2], "Not Found", 0 )</f>
        <v>0</v>
      </c>
      <c r="AA1616" s="16">
        <f>_xlfn.XLOOKUP(CustomerCombinedCleaned[[#This Row],[ID]], Table2[ID],Table2[MC3], "Not Found", 0 )</f>
        <v>0</v>
      </c>
      <c r="AB1616" s="16">
        <f>_xlfn.XLOOKUP(CustomerCombinedCleaned[[#This Row],[ID]], Table2[ID],Table2[MC4], "Not Found", 0 )</f>
        <v>0</v>
      </c>
      <c r="AC1616" s="16">
        <f>_xlfn.XLOOKUP(CustomerCombinedCleaned[[#This Row],[ID]], Table2[ID],Table2[MC5], "Not Found", 0 )</f>
        <v>0</v>
      </c>
    </row>
    <row r="1617" spans="1:29" x14ac:dyDescent="0.3">
      <c r="A1617" s="18">
        <v>1101</v>
      </c>
      <c r="B1617" s="16">
        <v>189058</v>
      </c>
      <c r="C1617" s="16">
        <v>0</v>
      </c>
      <c r="D1617" s="16">
        <v>0</v>
      </c>
      <c r="E1617" s="16">
        <v>60</v>
      </c>
      <c r="F1617" s="17" t="s">
        <v>6</v>
      </c>
      <c r="G1617" s="17" t="s">
        <v>12</v>
      </c>
      <c r="H1617" s="3" t="s">
        <v>351</v>
      </c>
      <c r="I1617" s="5" t="s">
        <v>435</v>
      </c>
      <c r="J1617" s="16">
        <f>_xlfn.XLOOKUP(CustomerCombinedCleaned[[#This Row],[ID]], Table4[ID], Table4[Recency], "Not Found", 0)</f>
        <v>18</v>
      </c>
      <c r="K1617" s="16">
        <f>_xlfn.XLOOKUP(CustomerCombinedCleaned[[#This Row],[ID]], Table4[ID], Table4[Teas], "Not Found", 0)</f>
        <v>964</v>
      </c>
      <c r="L1617" s="16">
        <f>_xlfn.XLOOKUP(CustomerCombinedCleaned[[#This Row],[ID]], Table4[ID], Table4[Fruits], "Not Found", 0)</f>
        <v>412</v>
      </c>
      <c r="M1617" s="16">
        <f>_xlfn.XLOOKUP(CustomerCombinedCleaned[[#This Row],[ID]], Table4[ID], Table4[Meats], "Not Found", 0)</f>
        <v>225</v>
      </c>
      <c r="N1617" s="16">
        <f>_xlfn.XLOOKUP(CustomerCombinedCleaned[[#This Row],[ID]], Table4[ID], Table4[Seafood], "Not Found", 0)</f>
        <v>66</v>
      </c>
      <c r="O1617" s="16">
        <f>_xlfn.XLOOKUP(CustomerCombinedCleaned[[#This Row],[ID]], Table4[ID], Table4[Sweets], "Not Found", 0)</f>
        <v>47</v>
      </c>
      <c r="P1617" s="16">
        <f>_xlfn.XLOOKUP(CustomerCombinedCleaned[[#This Row],[ID]], Table4[ID], Table4[Premium], "Not Found", 0)</f>
        <v>91</v>
      </c>
      <c r="Q1617" s="16">
        <f>_xlfn.XLOOKUP(CustomerCombinedCleaned[[#This Row],[ID]], Table4[ID], Table4[Regular], "Not Found", 0)</f>
        <v>1622</v>
      </c>
      <c r="R1617" s="16">
        <f>_xlfn.XLOOKUP(CustomerCombinedCleaned[[#This Row],[ID]], Table4[ID], Table4[Deals], "Not Found", 0)</f>
        <v>1</v>
      </c>
      <c r="S1617" s="16">
        <f>_xlfn.XLOOKUP(CustomerCombinedCleaned[[#This Row],[ID]], Table4[ID], Table4[Website], "Not Found", 0)</f>
        <v>5</v>
      </c>
      <c r="T1617" s="16">
        <f>_xlfn.XLOOKUP(CustomerCombinedCleaned[[#This Row],[ID]], Table4[ID], Table4[Catalog], "Not Found", 0)</f>
        <v>4</v>
      </c>
      <c r="U1617" s="16">
        <f>_xlfn.XLOOKUP(CustomerCombinedCleaned[[#This Row],[ID]], Table4[ID], Table4[Store], "Not Found", 0)</f>
        <v>4</v>
      </c>
      <c r="V1617" s="16">
        <f>_xlfn.XLOOKUP(CustomerCombinedCleaned[[#This Row],[ID]], Table4[ID], Table4[Visits], "Not Found", 0)</f>
        <v>2</v>
      </c>
      <c r="W1617" s="16">
        <f>_xlfn.XLOOKUP(CustomerCombinedCleaned[[#This Row],[ID]], Table2[ID],Table2[Complaint], "Not Found", 0 )</f>
        <v>0</v>
      </c>
      <c r="X1617" s="16">
        <f>_xlfn.XLOOKUP(CustomerCombinedCleaned[[#This Row],[ID]], Table2[ID],Table2[Pilot], "Not Found", 0 )</f>
        <v>0</v>
      </c>
      <c r="Y1617" s="16">
        <f>_xlfn.XLOOKUP(CustomerCombinedCleaned[[#This Row],[ID]], Table2[ID],Table2[MC1], "Not Found", 0 )</f>
        <v>0</v>
      </c>
      <c r="Z1617" s="16">
        <f>_xlfn.XLOOKUP(CustomerCombinedCleaned[[#This Row],[ID]], Table2[ID],Table2[MC2], "Not Found", 0 )</f>
        <v>0</v>
      </c>
      <c r="AA1617" s="16">
        <f>_xlfn.XLOOKUP(CustomerCombinedCleaned[[#This Row],[ID]], Table2[ID],Table2[MC3], "Not Found", 0 )</f>
        <v>0</v>
      </c>
      <c r="AB1617" s="16">
        <f>_xlfn.XLOOKUP(CustomerCombinedCleaned[[#This Row],[ID]], Table2[ID],Table2[MC4], "Not Found", 0 )</f>
        <v>0</v>
      </c>
      <c r="AC1617" s="16">
        <f>_xlfn.XLOOKUP(CustomerCombinedCleaned[[#This Row],[ID]], Table2[ID],Table2[MC5], "Not Found", 0 )</f>
        <v>0</v>
      </c>
    </row>
    <row r="1618" spans="1:29" x14ac:dyDescent="0.3">
      <c r="A1618" s="18">
        <v>1697</v>
      </c>
      <c r="B1618" s="16">
        <v>187305</v>
      </c>
      <c r="C1618" s="16">
        <v>0</v>
      </c>
      <c r="D1618" s="16">
        <v>0</v>
      </c>
      <c r="E1618" s="16">
        <v>60</v>
      </c>
      <c r="F1618" s="17" t="s">
        <v>5</v>
      </c>
      <c r="G1618" s="17" t="s">
        <v>11</v>
      </c>
      <c r="H1618" s="3" t="s">
        <v>388</v>
      </c>
      <c r="I1618" s="5" t="s">
        <v>434</v>
      </c>
      <c r="J1618" s="16">
        <f>_xlfn.XLOOKUP(CustomerCombinedCleaned[[#This Row],[ID]], Table4[ID], Table4[Recency], "Not Found", 0)</f>
        <v>19</v>
      </c>
      <c r="K1618" s="16">
        <f>_xlfn.XLOOKUP(CustomerCombinedCleaned[[#This Row],[ID]], Table4[ID], Table4[Teas], "Not Found", 0)</f>
        <v>740</v>
      </c>
      <c r="L1618" s="16">
        <f>_xlfn.XLOOKUP(CustomerCombinedCleaned[[#This Row],[ID]], Table4[ID], Table4[Fruits], "Not Found", 0)</f>
        <v>54</v>
      </c>
      <c r="M1618" s="16">
        <f>_xlfn.XLOOKUP(CustomerCombinedCleaned[[#This Row],[ID]], Table4[ID], Table4[Meats], "Not Found", 0)</f>
        <v>1075</v>
      </c>
      <c r="N1618" s="16">
        <f>_xlfn.XLOOKUP(CustomerCombinedCleaned[[#This Row],[ID]], Table4[ID], Table4[Seafood], "Not Found", 0)</f>
        <v>135</v>
      </c>
      <c r="O1618" s="16">
        <f>_xlfn.XLOOKUP(CustomerCombinedCleaned[[#This Row],[ID]], Table4[ID], Table4[Sweets], "Not Found", 0)</f>
        <v>296</v>
      </c>
      <c r="P1618" s="16">
        <f>_xlfn.XLOOKUP(CustomerCombinedCleaned[[#This Row],[ID]], Table4[ID], Table4[Premium], "Not Found", 0)</f>
        <v>172</v>
      </c>
      <c r="Q1618" s="16">
        <f>_xlfn.XLOOKUP(CustomerCombinedCleaned[[#This Row],[ID]], Table4[ID], Table4[Regular], "Not Found", 0)</f>
        <v>2128</v>
      </c>
      <c r="R1618" s="16">
        <f>_xlfn.XLOOKUP(CustomerCombinedCleaned[[#This Row],[ID]], Table4[ID], Table4[Deals], "Not Found", 0)</f>
        <v>1</v>
      </c>
      <c r="S1618" s="16">
        <f>_xlfn.XLOOKUP(CustomerCombinedCleaned[[#This Row],[ID]], Table4[ID], Table4[Website], "Not Found", 0)</f>
        <v>5</v>
      </c>
      <c r="T1618" s="16">
        <f>_xlfn.XLOOKUP(CustomerCombinedCleaned[[#This Row],[ID]], Table4[ID], Table4[Catalog], "Not Found", 0)</f>
        <v>3</v>
      </c>
      <c r="U1618" s="16">
        <f>_xlfn.XLOOKUP(CustomerCombinedCleaned[[#This Row],[ID]], Table4[ID], Table4[Store], "Not Found", 0)</f>
        <v>8</v>
      </c>
      <c r="V1618" s="16">
        <f>_xlfn.XLOOKUP(CustomerCombinedCleaned[[#This Row],[ID]], Table4[ID], Table4[Visits], "Not Found", 0)</f>
        <v>2</v>
      </c>
      <c r="W1618" s="16">
        <f>_xlfn.XLOOKUP(CustomerCombinedCleaned[[#This Row],[ID]], Table2[ID],Table2[Complaint], "Not Found", 0 )</f>
        <v>0</v>
      </c>
      <c r="X1618" s="16">
        <f>_xlfn.XLOOKUP(CustomerCombinedCleaned[[#This Row],[ID]], Table2[ID],Table2[Pilot], "Not Found", 0 )</f>
        <v>1</v>
      </c>
      <c r="Y1618" s="16">
        <f>_xlfn.XLOOKUP(CustomerCombinedCleaned[[#This Row],[ID]], Table2[ID],Table2[MC1], "Not Found", 0 )</f>
        <v>0</v>
      </c>
      <c r="Z1618" s="16">
        <f>_xlfn.XLOOKUP(CustomerCombinedCleaned[[#This Row],[ID]], Table2[ID],Table2[MC2], "Not Found", 0 )</f>
        <v>0</v>
      </c>
      <c r="AA1618" s="16">
        <f>_xlfn.XLOOKUP(CustomerCombinedCleaned[[#This Row],[ID]], Table2[ID],Table2[MC3], "Not Found", 0 )</f>
        <v>0</v>
      </c>
      <c r="AB1618" s="16">
        <f>_xlfn.XLOOKUP(CustomerCombinedCleaned[[#This Row],[ID]], Table2[ID],Table2[MC4], "Not Found", 0 )</f>
        <v>0</v>
      </c>
      <c r="AC1618" s="16">
        <f>_xlfn.XLOOKUP(CustomerCombinedCleaned[[#This Row],[ID]], Table2[ID],Table2[MC5], "Not Found", 0 )</f>
        <v>1</v>
      </c>
    </row>
    <row r="1619" spans="1:29" x14ac:dyDescent="0.3">
      <c r="A1619" s="18">
        <v>1468</v>
      </c>
      <c r="B1619" s="16">
        <v>183151</v>
      </c>
      <c r="C1619" s="16">
        <v>0</v>
      </c>
      <c r="D1619" s="16">
        <v>0</v>
      </c>
      <c r="E1619" s="16">
        <v>60</v>
      </c>
      <c r="F1619" s="17" t="s">
        <v>8</v>
      </c>
      <c r="G1619" s="17" t="s">
        <v>12</v>
      </c>
      <c r="H1619" s="3" t="s">
        <v>384</v>
      </c>
      <c r="I1619" s="5" t="s">
        <v>439</v>
      </c>
      <c r="J1619" s="16">
        <f>_xlfn.XLOOKUP(CustomerCombinedCleaned[[#This Row],[ID]], Table4[ID], Table4[Recency], "Not Found", 0)</f>
        <v>93</v>
      </c>
      <c r="K1619" s="16">
        <f>_xlfn.XLOOKUP(CustomerCombinedCleaned[[#This Row],[ID]], Table4[ID], Table4[Teas], "Not Found", 0)</f>
        <v>896</v>
      </c>
      <c r="L1619" s="16">
        <f>_xlfn.XLOOKUP(CustomerCombinedCleaned[[#This Row],[ID]], Table4[ID], Table4[Fruits], "Not Found", 0)</f>
        <v>62</v>
      </c>
      <c r="M1619" s="16">
        <f>_xlfn.XLOOKUP(CustomerCombinedCleaned[[#This Row],[ID]], Table4[ID], Table4[Meats], "Not Found", 0)</f>
        <v>220</v>
      </c>
      <c r="N1619" s="16">
        <f>_xlfn.XLOOKUP(CustomerCombinedCleaned[[#This Row],[ID]], Table4[ID], Table4[Seafood], "Not Found", 0)</f>
        <v>264</v>
      </c>
      <c r="O1619" s="16">
        <f>_xlfn.XLOOKUP(CustomerCombinedCleaned[[#This Row],[ID]], Table4[ID], Table4[Sweets], "Not Found", 0)</f>
        <v>163</v>
      </c>
      <c r="P1619" s="16">
        <f>_xlfn.XLOOKUP(CustomerCombinedCleaned[[#This Row],[ID]], Table4[ID], Table4[Premium], "Not Found", 0)</f>
        <v>40</v>
      </c>
      <c r="Q1619" s="16">
        <f>_xlfn.XLOOKUP(CustomerCombinedCleaned[[#This Row],[ID]], Table4[ID], Table4[Regular], "Not Found", 0)</f>
        <v>1566</v>
      </c>
      <c r="R1619" s="16">
        <f>_xlfn.XLOOKUP(CustomerCombinedCleaned[[#This Row],[ID]], Table4[ID], Table4[Deals], "Not Found", 0)</f>
        <v>1</v>
      </c>
      <c r="S1619" s="16">
        <f>_xlfn.XLOOKUP(CustomerCombinedCleaned[[#This Row],[ID]], Table4[ID], Table4[Website], "Not Found", 0)</f>
        <v>5</v>
      </c>
      <c r="T1619" s="16">
        <f>_xlfn.XLOOKUP(CustomerCombinedCleaned[[#This Row],[ID]], Table4[ID], Table4[Catalog], "Not Found", 0)</f>
        <v>9</v>
      </c>
      <c r="U1619" s="16">
        <f>_xlfn.XLOOKUP(CustomerCombinedCleaned[[#This Row],[ID]], Table4[ID], Table4[Store], "Not Found", 0)</f>
        <v>4</v>
      </c>
      <c r="V1619" s="16">
        <f>_xlfn.XLOOKUP(CustomerCombinedCleaned[[#This Row],[ID]], Table4[ID], Table4[Visits], "Not Found", 0)</f>
        <v>3</v>
      </c>
      <c r="W1619" s="16">
        <f>_xlfn.XLOOKUP(CustomerCombinedCleaned[[#This Row],[ID]], Table2[ID],Table2[Complaint], "Not Found", 0 )</f>
        <v>0</v>
      </c>
      <c r="X1619" s="16">
        <f>_xlfn.XLOOKUP(CustomerCombinedCleaned[[#This Row],[ID]], Table2[ID],Table2[Pilot], "Not Found", 0 )</f>
        <v>0</v>
      </c>
      <c r="Y1619" s="16">
        <f>_xlfn.XLOOKUP(CustomerCombinedCleaned[[#This Row],[ID]], Table2[ID],Table2[MC1], "Not Found", 0 )</f>
        <v>0</v>
      </c>
      <c r="Z1619" s="16">
        <f>_xlfn.XLOOKUP(CustomerCombinedCleaned[[#This Row],[ID]], Table2[ID],Table2[MC2], "Not Found", 0 )</f>
        <v>0</v>
      </c>
      <c r="AA1619" s="16">
        <f>_xlfn.XLOOKUP(CustomerCombinedCleaned[[#This Row],[ID]], Table2[ID],Table2[MC3], "Not Found", 0 )</f>
        <v>0</v>
      </c>
      <c r="AB1619" s="16">
        <f>_xlfn.XLOOKUP(CustomerCombinedCleaned[[#This Row],[ID]], Table2[ID],Table2[MC4], "Not Found", 0 )</f>
        <v>0</v>
      </c>
      <c r="AC1619" s="16">
        <f>_xlfn.XLOOKUP(CustomerCombinedCleaned[[#This Row],[ID]], Table2[ID],Table2[MC5], "Not Found", 0 )</f>
        <v>0</v>
      </c>
    </row>
    <row r="1620" spans="1:29" x14ac:dyDescent="0.3">
      <c r="A1620" s="18">
        <v>1825</v>
      </c>
      <c r="B1620" s="16">
        <v>182504</v>
      </c>
      <c r="C1620" s="16">
        <v>0</v>
      </c>
      <c r="D1620" s="16">
        <v>0</v>
      </c>
      <c r="E1620" s="16">
        <v>60</v>
      </c>
      <c r="F1620" s="17" t="s">
        <v>6</v>
      </c>
      <c r="G1620" s="17" t="s">
        <v>11</v>
      </c>
      <c r="H1620" s="3" t="s">
        <v>558</v>
      </c>
      <c r="I1620" s="5" t="s">
        <v>437</v>
      </c>
      <c r="J1620" s="16">
        <f>_xlfn.XLOOKUP(CustomerCombinedCleaned[[#This Row],[ID]], Table4[ID], Table4[Recency], "Not Found", 0)</f>
        <v>2</v>
      </c>
      <c r="K1620" s="16">
        <f>_xlfn.XLOOKUP(CustomerCombinedCleaned[[#This Row],[ID]], Table4[ID], Table4[Teas], "Not Found", 0)</f>
        <v>801</v>
      </c>
      <c r="L1620" s="16">
        <f>_xlfn.XLOOKUP(CustomerCombinedCleaned[[#This Row],[ID]], Table4[ID], Table4[Fruits], "Not Found", 0)</f>
        <v>111</v>
      </c>
      <c r="M1620" s="16">
        <f>_xlfn.XLOOKUP(CustomerCombinedCleaned[[#This Row],[ID]], Table4[ID], Table4[Meats], "Not Found", 0)</f>
        <v>953</v>
      </c>
      <c r="N1620" s="16">
        <f>_xlfn.XLOOKUP(CustomerCombinedCleaned[[#This Row],[ID]], Table4[ID], Table4[Seafood], "Not Found", 0)</f>
        <v>296</v>
      </c>
      <c r="O1620" s="16">
        <f>_xlfn.XLOOKUP(CustomerCombinedCleaned[[#This Row],[ID]], Table4[ID], Table4[Sweets], "Not Found", 0)</f>
        <v>77</v>
      </c>
      <c r="P1620" s="16">
        <f>_xlfn.XLOOKUP(CustomerCombinedCleaned[[#This Row],[ID]], Table4[ID], Table4[Premium], "Not Found", 0)</f>
        <v>119</v>
      </c>
      <c r="Q1620" s="16">
        <f>_xlfn.XLOOKUP(CustomerCombinedCleaned[[#This Row],[ID]], Table4[ID], Table4[Regular], "Not Found", 0)</f>
        <v>2119</v>
      </c>
      <c r="R1620" s="16">
        <f>_xlfn.XLOOKUP(CustomerCombinedCleaned[[#This Row],[ID]], Table4[ID], Table4[Deals], "Not Found", 0)</f>
        <v>1</v>
      </c>
      <c r="S1620" s="16">
        <f>_xlfn.XLOOKUP(CustomerCombinedCleaned[[#This Row],[ID]], Table4[ID], Table4[Website], "Not Found", 0)</f>
        <v>3</v>
      </c>
      <c r="T1620" s="16">
        <f>_xlfn.XLOOKUP(CustomerCombinedCleaned[[#This Row],[ID]], Table4[ID], Table4[Catalog], "Not Found", 0)</f>
        <v>6</v>
      </c>
      <c r="U1620" s="16">
        <f>_xlfn.XLOOKUP(CustomerCombinedCleaned[[#This Row],[ID]], Table4[ID], Table4[Store], "Not Found", 0)</f>
        <v>7</v>
      </c>
      <c r="V1620" s="16">
        <f>_xlfn.XLOOKUP(CustomerCombinedCleaned[[#This Row],[ID]], Table4[ID], Table4[Visits], "Not Found", 0)</f>
        <v>1</v>
      </c>
      <c r="W1620" s="16">
        <f>_xlfn.XLOOKUP(CustomerCombinedCleaned[[#This Row],[ID]], Table2[ID],Table2[Complaint], "Not Found", 0 )</f>
        <v>0</v>
      </c>
      <c r="X1620" s="16">
        <f>_xlfn.XLOOKUP(CustomerCombinedCleaned[[#This Row],[ID]], Table2[ID],Table2[Pilot], "Not Found", 0 )</f>
        <v>0</v>
      </c>
      <c r="Y1620" s="16">
        <f>_xlfn.XLOOKUP(CustomerCombinedCleaned[[#This Row],[ID]], Table2[ID],Table2[MC1], "Not Found", 0 )</f>
        <v>0</v>
      </c>
      <c r="Z1620" s="16">
        <f>_xlfn.XLOOKUP(CustomerCombinedCleaned[[#This Row],[ID]], Table2[ID],Table2[MC2], "Not Found", 0 )</f>
        <v>0</v>
      </c>
      <c r="AA1620" s="16">
        <f>_xlfn.XLOOKUP(CustomerCombinedCleaned[[#This Row],[ID]], Table2[ID],Table2[MC3], "Not Found", 0 )</f>
        <v>0</v>
      </c>
      <c r="AB1620" s="16">
        <f>_xlfn.XLOOKUP(CustomerCombinedCleaned[[#This Row],[ID]], Table2[ID],Table2[MC4], "Not Found", 0 )</f>
        <v>0</v>
      </c>
      <c r="AC1620" s="16">
        <f>_xlfn.XLOOKUP(CustomerCombinedCleaned[[#This Row],[ID]], Table2[ID],Table2[MC5], "Not Found", 0 )</f>
        <v>0</v>
      </c>
    </row>
    <row r="1621" spans="1:29" x14ac:dyDescent="0.3">
      <c r="A1621" s="18">
        <v>2300</v>
      </c>
      <c r="B1621" s="16">
        <v>181843</v>
      </c>
      <c r="C1621" s="16">
        <v>0</v>
      </c>
      <c r="D1621" s="16">
        <v>0</v>
      </c>
      <c r="E1621" s="16">
        <v>60</v>
      </c>
      <c r="F1621" s="17" t="s">
        <v>6</v>
      </c>
      <c r="G1621" s="17" t="s">
        <v>12</v>
      </c>
      <c r="H1621" s="3" t="s">
        <v>267</v>
      </c>
      <c r="I1621" s="5" t="s">
        <v>438</v>
      </c>
      <c r="J1621" s="16">
        <f>_xlfn.XLOOKUP(CustomerCombinedCleaned[[#This Row],[ID]], Table4[ID], Table4[Recency], "Not Found", 0)</f>
        <v>13</v>
      </c>
      <c r="K1621" s="16">
        <f>_xlfn.XLOOKUP(CustomerCombinedCleaned[[#This Row],[ID]], Table4[ID], Table4[Teas], "Not Found", 0)</f>
        <v>1731</v>
      </c>
      <c r="L1621" s="16">
        <f>_xlfn.XLOOKUP(CustomerCombinedCleaned[[#This Row],[ID]], Table4[ID], Table4[Fruits], "Not Found", 0)</f>
        <v>191</v>
      </c>
      <c r="M1621" s="16">
        <f>_xlfn.XLOOKUP(CustomerCombinedCleaned[[#This Row],[ID]], Table4[ID], Table4[Meats], "Not Found", 0)</f>
        <v>1193</v>
      </c>
      <c r="N1621" s="16">
        <f>_xlfn.XLOOKUP(CustomerCombinedCleaned[[#This Row],[ID]], Table4[ID], Table4[Seafood], "Not Found", 0)</f>
        <v>76</v>
      </c>
      <c r="O1621" s="16">
        <f>_xlfn.XLOOKUP(CustomerCombinedCleaned[[#This Row],[ID]], Table4[ID], Table4[Sweets], "Not Found", 0)</f>
        <v>153</v>
      </c>
      <c r="P1621" s="16">
        <f>_xlfn.XLOOKUP(CustomerCombinedCleaned[[#This Row],[ID]], Table4[ID], Table4[Premium], "Not Found", 0)</f>
        <v>307</v>
      </c>
      <c r="Q1621" s="16">
        <f>_xlfn.XLOOKUP(CustomerCombinedCleaned[[#This Row],[ID]], Table4[ID], Table4[Regular], "Not Found", 0)</f>
        <v>3037</v>
      </c>
      <c r="R1621" s="16">
        <f>_xlfn.XLOOKUP(CustomerCombinedCleaned[[#This Row],[ID]], Table4[ID], Table4[Deals], "Not Found", 0)</f>
        <v>1</v>
      </c>
      <c r="S1621" s="16">
        <f>_xlfn.XLOOKUP(CustomerCombinedCleaned[[#This Row],[ID]], Table4[ID], Table4[Website], "Not Found", 0)</f>
        <v>5</v>
      </c>
      <c r="T1621" s="16">
        <f>_xlfn.XLOOKUP(CustomerCombinedCleaned[[#This Row],[ID]], Table4[ID], Table4[Catalog], "Not Found", 0)</f>
        <v>9</v>
      </c>
      <c r="U1621" s="16">
        <f>_xlfn.XLOOKUP(CustomerCombinedCleaned[[#This Row],[ID]], Table4[ID], Table4[Store], "Not Found", 0)</f>
        <v>12</v>
      </c>
      <c r="V1621" s="16">
        <f>_xlfn.XLOOKUP(CustomerCombinedCleaned[[#This Row],[ID]], Table4[ID], Table4[Visits], "Not Found", 0)</f>
        <v>3</v>
      </c>
      <c r="W1621" s="16">
        <f>_xlfn.XLOOKUP(CustomerCombinedCleaned[[#This Row],[ID]], Table2[ID],Table2[Complaint], "Not Found", 0 )</f>
        <v>0</v>
      </c>
      <c r="X1621" s="16">
        <f>_xlfn.XLOOKUP(CustomerCombinedCleaned[[#This Row],[ID]], Table2[ID],Table2[Pilot], "Not Found", 0 )</f>
        <v>0</v>
      </c>
      <c r="Y1621" s="16">
        <f>_xlfn.XLOOKUP(CustomerCombinedCleaned[[#This Row],[ID]], Table2[ID],Table2[MC1], "Not Found", 0 )</f>
        <v>0</v>
      </c>
      <c r="Z1621" s="16">
        <f>_xlfn.XLOOKUP(CustomerCombinedCleaned[[#This Row],[ID]], Table2[ID],Table2[MC2], "Not Found", 0 )</f>
        <v>0</v>
      </c>
      <c r="AA1621" s="16">
        <f>_xlfn.XLOOKUP(CustomerCombinedCleaned[[#This Row],[ID]], Table2[ID],Table2[MC3], "Not Found", 0 )</f>
        <v>0</v>
      </c>
      <c r="AB1621" s="16">
        <f>_xlfn.XLOOKUP(CustomerCombinedCleaned[[#This Row],[ID]], Table2[ID],Table2[MC4], "Not Found", 0 )</f>
        <v>0</v>
      </c>
      <c r="AC1621" s="16">
        <f>_xlfn.XLOOKUP(CustomerCombinedCleaned[[#This Row],[ID]], Table2[ID],Table2[MC5], "Not Found", 0 )</f>
        <v>0</v>
      </c>
    </row>
    <row r="1622" spans="1:29" x14ac:dyDescent="0.3">
      <c r="A1622" s="18">
        <v>1350</v>
      </c>
      <c r="B1622" s="16">
        <v>179530</v>
      </c>
      <c r="C1622" s="16">
        <v>0</v>
      </c>
      <c r="D1622" s="16">
        <v>0</v>
      </c>
      <c r="E1622" s="16">
        <v>60</v>
      </c>
      <c r="F1622" s="17" t="s">
        <v>6</v>
      </c>
      <c r="G1622" s="17" t="s">
        <v>11</v>
      </c>
      <c r="H1622" s="3" t="s">
        <v>254</v>
      </c>
      <c r="I1622" s="5" t="s">
        <v>436</v>
      </c>
      <c r="J1622" s="16">
        <f>_xlfn.XLOOKUP(CustomerCombinedCleaned[[#This Row],[ID]], Table4[ID], Table4[Recency], "Not Found", 0)</f>
        <v>64</v>
      </c>
      <c r="K1622" s="16">
        <f>_xlfn.XLOOKUP(CustomerCombinedCleaned[[#This Row],[ID]], Table4[ID], Table4[Teas], "Not Found", 0)</f>
        <v>752</v>
      </c>
      <c r="L1622" s="16">
        <f>_xlfn.XLOOKUP(CustomerCombinedCleaned[[#This Row],[ID]], Table4[ID], Table4[Fruits], "Not Found", 0)</f>
        <v>0</v>
      </c>
      <c r="M1622" s="16">
        <f>_xlfn.XLOOKUP(CustomerCombinedCleaned[[#This Row],[ID]], Table4[ID], Table4[Meats], "Not Found", 0)</f>
        <v>1840</v>
      </c>
      <c r="N1622" s="16">
        <f>_xlfn.XLOOKUP(CustomerCombinedCleaned[[#This Row],[ID]], Table4[ID], Table4[Seafood], "Not Found", 0)</f>
        <v>291</v>
      </c>
      <c r="O1622" s="16">
        <f>_xlfn.XLOOKUP(CustomerCombinedCleaned[[#This Row],[ID]], Table4[ID], Table4[Sweets], "Not Found", 0)</f>
        <v>95</v>
      </c>
      <c r="P1622" s="16">
        <f>_xlfn.XLOOKUP(CustomerCombinedCleaned[[#This Row],[ID]], Table4[ID], Table4[Premium], "Not Found", 0)</f>
        <v>65</v>
      </c>
      <c r="Q1622" s="16">
        <f>_xlfn.XLOOKUP(CustomerCombinedCleaned[[#This Row],[ID]], Table4[ID], Table4[Regular], "Not Found", 0)</f>
        <v>2912</v>
      </c>
      <c r="R1622" s="16">
        <f>_xlfn.XLOOKUP(CustomerCombinedCleaned[[#This Row],[ID]], Table4[ID], Table4[Deals], "Not Found", 0)</f>
        <v>1</v>
      </c>
      <c r="S1622" s="16">
        <f>_xlfn.XLOOKUP(CustomerCombinedCleaned[[#This Row],[ID]], Table4[ID], Table4[Website], "Not Found", 0)</f>
        <v>4</v>
      </c>
      <c r="T1622" s="16">
        <f>_xlfn.XLOOKUP(CustomerCombinedCleaned[[#This Row],[ID]], Table4[ID], Table4[Catalog], "Not Found", 0)</f>
        <v>10</v>
      </c>
      <c r="U1622" s="16">
        <f>_xlfn.XLOOKUP(CustomerCombinedCleaned[[#This Row],[ID]], Table4[ID], Table4[Store], "Not Found", 0)</f>
        <v>11</v>
      </c>
      <c r="V1622" s="16">
        <f>_xlfn.XLOOKUP(CustomerCombinedCleaned[[#This Row],[ID]], Table4[ID], Table4[Visits], "Not Found", 0)</f>
        <v>2</v>
      </c>
      <c r="W1622" s="16">
        <f>_xlfn.XLOOKUP(CustomerCombinedCleaned[[#This Row],[ID]], Table2[ID],Table2[Complaint], "Not Found", 0 )</f>
        <v>0</v>
      </c>
      <c r="X1622" s="16">
        <f>_xlfn.XLOOKUP(CustomerCombinedCleaned[[#This Row],[ID]], Table2[ID],Table2[Pilot], "Not Found", 0 )</f>
        <v>0</v>
      </c>
      <c r="Y1622" s="16">
        <f>_xlfn.XLOOKUP(CustomerCombinedCleaned[[#This Row],[ID]], Table2[ID],Table2[MC1], "Not Found", 0 )</f>
        <v>0</v>
      </c>
      <c r="Z1622" s="16">
        <f>_xlfn.XLOOKUP(CustomerCombinedCleaned[[#This Row],[ID]], Table2[ID],Table2[MC2], "Not Found", 0 )</f>
        <v>0</v>
      </c>
      <c r="AA1622" s="16">
        <f>_xlfn.XLOOKUP(CustomerCombinedCleaned[[#This Row],[ID]], Table2[ID],Table2[MC3], "Not Found", 0 )</f>
        <v>0</v>
      </c>
      <c r="AB1622" s="16">
        <f>_xlfn.XLOOKUP(CustomerCombinedCleaned[[#This Row],[ID]], Table2[ID],Table2[MC4], "Not Found", 0 )</f>
        <v>0</v>
      </c>
      <c r="AC1622" s="16">
        <f>_xlfn.XLOOKUP(CustomerCombinedCleaned[[#This Row],[ID]], Table2[ID],Table2[MC5], "Not Found", 0 )</f>
        <v>0</v>
      </c>
    </row>
    <row r="1623" spans="1:29" x14ac:dyDescent="0.3">
      <c r="A1623" s="18">
        <v>1680</v>
      </c>
      <c r="B1623" s="16">
        <v>178468</v>
      </c>
      <c r="C1623" s="16">
        <v>0</v>
      </c>
      <c r="D1623" s="16">
        <v>0</v>
      </c>
      <c r="E1623" s="16">
        <v>60</v>
      </c>
      <c r="F1623" s="17" t="s">
        <v>8</v>
      </c>
      <c r="G1623" s="17" t="s">
        <v>11</v>
      </c>
      <c r="H1623" s="3" t="s">
        <v>73</v>
      </c>
      <c r="I1623" s="5" t="s">
        <v>436</v>
      </c>
      <c r="J1623" s="16">
        <f>_xlfn.XLOOKUP(CustomerCombinedCleaned[[#This Row],[ID]], Table4[ID], Table4[Recency], "Not Found", 0)</f>
        <v>29</v>
      </c>
      <c r="K1623" s="16">
        <f>_xlfn.XLOOKUP(CustomerCombinedCleaned[[#This Row],[ID]], Table4[ID], Table4[Teas], "Not Found", 0)</f>
        <v>987</v>
      </c>
      <c r="L1623" s="16">
        <f>_xlfn.XLOOKUP(CustomerCombinedCleaned[[#This Row],[ID]], Table4[ID], Table4[Fruits], "Not Found", 0)</f>
        <v>50</v>
      </c>
      <c r="M1623" s="16">
        <f>_xlfn.XLOOKUP(CustomerCombinedCleaned[[#This Row],[ID]], Table4[ID], Table4[Meats], "Not Found", 0)</f>
        <v>882</v>
      </c>
      <c r="N1623" s="16">
        <f>_xlfn.XLOOKUP(CustomerCombinedCleaned[[#This Row],[ID]], Table4[ID], Table4[Seafood], "Not Found", 0)</f>
        <v>237</v>
      </c>
      <c r="O1623" s="16">
        <f>_xlfn.XLOOKUP(CustomerCombinedCleaned[[#This Row],[ID]], Table4[ID], Table4[Sweets], "Not Found", 0)</f>
        <v>50</v>
      </c>
      <c r="P1623" s="16">
        <f>_xlfn.XLOOKUP(CustomerCombinedCleaned[[#This Row],[ID]], Table4[ID], Table4[Premium], "Not Found", 0)</f>
        <v>77</v>
      </c>
      <c r="Q1623" s="16">
        <f>_xlfn.XLOOKUP(CustomerCombinedCleaned[[#This Row],[ID]], Table4[ID], Table4[Regular], "Not Found", 0)</f>
        <v>2129</v>
      </c>
      <c r="R1623" s="16">
        <f>_xlfn.XLOOKUP(CustomerCombinedCleaned[[#This Row],[ID]], Table4[ID], Table4[Deals], "Not Found", 0)</f>
        <v>1</v>
      </c>
      <c r="S1623" s="16">
        <f>_xlfn.XLOOKUP(CustomerCombinedCleaned[[#This Row],[ID]], Table4[ID], Table4[Website], "Not Found", 0)</f>
        <v>10</v>
      </c>
      <c r="T1623" s="16">
        <f>_xlfn.XLOOKUP(CustomerCombinedCleaned[[#This Row],[ID]], Table4[ID], Table4[Catalog], "Not Found", 0)</f>
        <v>7</v>
      </c>
      <c r="U1623" s="16">
        <f>_xlfn.XLOOKUP(CustomerCombinedCleaned[[#This Row],[ID]], Table4[ID], Table4[Store], "Not Found", 0)</f>
        <v>10</v>
      </c>
      <c r="V1623" s="16">
        <f>_xlfn.XLOOKUP(CustomerCombinedCleaned[[#This Row],[ID]], Table4[ID], Table4[Visits], "Not Found", 0)</f>
        <v>4</v>
      </c>
      <c r="W1623" s="16">
        <f>_xlfn.XLOOKUP(CustomerCombinedCleaned[[#This Row],[ID]], Table2[ID],Table2[Complaint], "Not Found", 0 )</f>
        <v>0</v>
      </c>
      <c r="X1623" s="16">
        <f>_xlfn.XLOOKUP(CustomerCombinedCleaned[[#This Row],[ID]], Table2[ID],Table2[Pilot], "Not Found", 0 )</f>
        <v>0</v>
      </c>
      <c r="Y1623" s="16">
        <f>_xlfn.XLOOKUP(CustomerCombinedCleaned[[#This Row],[ID]], Table2[ID],Table2[MC1], "Not Found", 0 )</f>
        <v>1</v>
      </c>
      <c r="Z1623" s="16">
        <f>_xlfn.XLOOKUP(CustomerCombinedCleaned[[#This Row],[ID]], Table2[ID],Table2[MC2], "Not Found", 0 )</f>
        <v>0</v>
      </c>
      <c r="AA1623" s="16">
        <f>_xlfn.XLOOKUP(CustomerCombinedCleaned[[#This Row],[ID]], Table2[ID],Table2[MC3], "Not Found", 0 )</f>
        <v>0</v>
      </c>
      <c r="AB1623" s="16">
        <f>_xlfn.XLOOKUP(CustomerCombinedCleaned[[#This Row],[ID]], Table2[ID],Table2[MC4], "Not Found", 0 )</f>
        <v>0</v>
      </c>
      <c r="AC1623" s="16">
        <f>_xlfn.XLOOKUP(CustomerCombinedCleaned[[#This Row],[ID]], Table2[ID],Table2[MC5], "Not Found", 0 )</f>
        <v>0</v>
      </c>
    </row>
    <row r="1624" spans="1:29" x14ac:dyDescent="0.3">
      <c r="A1624" s="18">
        <v>2028</v>
      </c>
      <c r="B1624" s="16">
        <v>177037</v>
      </c>
      <c r="C1624" s="16">
        <v>0</v>
      </c>
      <c r="D1624" s="16">
        <v>1</v>
      </c>
      <c r="E1624" s="16">
        <v>60</v>
      </c>
      <c r="F1624" s="17" t="s">
        <v>6</v>
      </c>
      <c r="G1624" s="17" t="s">
        <v>13</v>
      </c>
      <c r="H1624" s="3" t="s">
        <v>169</v>
      </c>
      <c r="I1624" s="5" t="s">
        <v>436</v>
      </c>
      <c r="J1624" s="16">
        <f>_xlfn.XLOOKUP(CustomerCombinedCleaned[[#This Row],[ID]], Table4[ID], Table4[Recency], "Not Found", 0)</f>
        <v>3</v>
      </c>
      <c r="K1624" s="16">
        <f>_xlfn.XLOOKUP(CustomerCombinedCleaned[[#This Row],[ID]], Table4[ID], Table4[Teas], "Not Found", 0)</f>
        <v>1064</v>
      </c>
      <c r="L1624" s="16">
        <f>_xlfn.XLOOKUP(CustomerCombinedCleaned[[#This Row],[ID]], Table4[ID], Table4[Fruits], "Not Found", 0)</f>
        <v>221</v>
      </c>
      <c r="M1624" s="16">
        <f>_xlfn.XLOOKUP(CustomerCombinedCleaned[[#This Row],[ID]], Table4[ID], Table4[Meats], "Not Found", 0)</f>
        <v>765</v>
      </c>
      <c r="N1624" s="16">
        <f>_xlfn.XLOOKUP(CustomerCombinedCleaned[[#This Row],[ID]], Table4[ID], Table4[Seafood], "Not Found", 0)</f>
        <v>386</v>
      </c>
      <c r="O1624" s="16">
        <f>_xlfn.XLOOKUP(CustomerCombinedCleaned[[#This Row],[ID]], Table4[ID], Table4[Sweets], "Not Found", 0)</f>
        <v>122</v>
      </c>
      <c r="P1624" s="16">
        <f>_xlfn.XLOOKUP(CustomerCombinedCleaned[[#This Row],[ID]], Table4[ID], Table4[Premium], "Not Found", 0)</f>
        <v>23</v>
      </c>
      <c r="Q1624" s="16">
        <f>_xlfn.XLOOKUP(CustomerCombinedCleaned[[#This Row],[ID]], Table4[ID], Table4[Regular], "Not Found", 0)</f>
        <v>2535</v>
      </c>
      <c r="R1624" s="16">
        <f>_xlfn.XLOOKUP(CustomerCombinedCleaned[[#This Row],[ID]], Table4[ID], Table4[Deals], "Not Found", 0)</f>
        <v>1</v>
      </c>
      <c r="S1624" s="16">
        <f>_xlfn.XLOOKUP(CustomerCombinedCleaned[[#This Row],[ID]], Table4[ID], Table4[Website], "Not Found", 0)</f>
        <v>7</v>
      </c>
      <c r="T1624" s="16">
        <f>_xlfn.XLOOKUP(CustomerCombinedCleaned[[#This Row],[ID]], Table4[ID], Table4[Catalog], "Not Found", 0)</f>
        <v>7</v>
      </c>
      <c r="U1624" s="16">
        <f>_xlfn.XLOOKUP(CustomerCombinedCleaned[[#This Row],[ID]], Table4[ID], Table4[Store], "Not Found", 0)</f>
        <v>12</v>
      </c>
      <c r="V1624" s="16">
        <f>_xlfn.XLOOKUP(CustomerCombinedCleaned[[#This Row],[ID]], Table4[ID], Table4[Visits], "Not Found", 0)</f>
        <v>3</v>
      </c>
      <c r="W1624" s="16">
        <f>_xlfn.XLOOKUP(CustomerCombinedCleaned[[#This Row],[ID]], Table2[ID],Table2[Complaint], "Not Found", 0 )</f>
        <v>0</v>
      </c>
      <c r="X1624" s="16">
        <f>_xlfn.XLOOKUP(CustomerCombinedCleaned[[#This Row],[ID]], Table2[ID],Table2[Pilot], "Not Found", 0 )</f>
        <v>0</v>
      </c>
      <c r="Y1624" s="16">
        <f>_xlfn.XLOOKUP(CustomerCombinedCleaned[[#This Row],[ID]], Table2[ID],Table2[MC1], "Not Found", 0 )</f>
        <v>0</v>
      </c>
      <c r="Z1624" s="16">
        <f>_xlfn.XLOOKUP(CustomerCombinedCleaned[[#This Row],[ID]], Table2[ID],Table2[MC2], "Not Found", 0 )</f>
        <v>0</v>
      </c>
      <c r="AA1624" s="16">
        <f>_xlfn.XLOOKUP(CustomerCombinedCleaned[[#This Row],[ID]], Table2[ID],Table2[MC3], "Not Found", 0 )</f>
        <v>0</v>
      </c>
      <c r="AB1624" s="16">
        <f>_xlfn.XLOOKUP(CustomerCombinedCleaned[[#This Row],[ID]], Table2[ID],Table2[MC4], "Not Found", 0 )</f>
        <v>0</v>
      </c>
      <c r="AC1624" s="16">
        <f>_xlfn.XLOOKUP(CustomerCombinedCleaned[[#This Row],[ID]], Table2[ID],Table2[MC5], "Not Found", 0 )</f>
        <v>0</v>
      </c>
    </row>
    <row r="1625" spans="1:29" x14ac:dyDescent="0.3">
      <c r="A1625" s="18">
        <v>2086</v>
      </c>
      <c r="B1625" s="16">
        <v>176045</v>
      </c>
      <c r="C1625" s="16">
        <v>0</v>
      </c>
      <c r="D1625" s="16">
        <v>0</v>
      </c>
      <c r="E1625" s="16">
        <v>60</v>
      </c>
      <c r="F1625" s="17" t="s">
        <v>7</v>
      </c>
      <c r="G1625" s="17" t="s">
        <v>13</v>
      </c>
      <c r="H1625" s="3" t="s">
        <v>149</v>
      </c>
      <c r="I1625" s="5" t="s">
        <v>439</v>
      </c>
      <c r="J1625" s="16">
        <f>_xlfn.XLOOKUP(CustomerCombinedCleaned[[#This Row],[ID]], Table4[ID], Table4[Recency], "Not Found", 0)</f>
        <v>78</v>
      </c>
      <c r="K1625" s="16">
        <f>_xlfn.XLOOKUP(CustomerCombinedCleaned[[#This Row],[ID]], Table4[ID], Table4[Teas], "Not Found", 0)</f>
        <v>1759</v>
      </c>
      <c r="L1625" s="16">
        <f>_xlfn.XLOOKUP(CustomerCombinedCleaned[[#This Row],[ID]], Table4[ID], Table4[Fruits], "Not Found", 0)</f>
        <v>123</v>
      </c>
      <c r="M1625" s="16">
        <f>_xlfn.XLOOKUP(CustomerCombinedCleaned[[#This Row],[ID]], Table4[ID], Table4[Meats], "Not Found", 0)</f>
        <v>926</v>
      </c>
      <c r="N1625" s="16">
        <f>_xlfn.XLOOKUP(CustomerCombinedCleaned[[#This Row],[ID]], Table4[ID], Table4[Seafood], "Not Found", 0)</f>
        <v>39</v>
      </c>
      <c r="O1625" s="16">
        <f>_xlfn.XLOOKUP(CustomerCombinedCleaned[[#This Row],[ID]], Table4[ID], Table4[Sweets], "Not Found", 0)</f>
        <v>215</v>
      </c>
      <c r="P1625" s="16">
        <f>_xlfn.XLOOKUP(CustomerCombinedCleaned[[#This Row],[ID]], Table4[ID], Table4[Premium], "Not Found", 0)</f>
        <v>0</v>
      </c>
      <c r="Q1625" s="16">
        <f>_xlfn.XLOOKUP(CustomerCombinedCleaned[[#This Row],[ID]], Table4[ID], Table4[Regular], "Not Found", 0)</f>
        <v>3063</v>
      </c>
      <c r="R1625" s="16">
        <f>_xlfn.XLOOKUP(CustomerCombinedCleaned[[#This Row],[ID]], Table4[ID], Table4[Deals], "Not Found", 0)</f>
        <v>1</v>
      </c>
      <c r="S1625" s="16">
        <f>_xlfn.XLOOKUP(CustomerCombinedCleaned[[#This Row],[ID]], Table4[ID], Table4[Website], "Not Found", 0)</f>
        <v>4</v>
      </c>
      <c r="T1625" s="16">
        <f>_xlfn.XLOOKUP(CustomerCombinedCleaned[[#This Row],[ID]], Table4[ID], Table4[Catalog], "Not Found", 0)</f>
        <v>5</v>
      </c>
      <c r="U1625" s="16">
        <f>_xlfn.XLOOKUP(CustomerCombinedCleaned[[#This Row],[ID]], Table4[ID], Table4[Store], "Not Found", 0)</f>
        <v>11</v>
      </c>
      <c r="V1625" s="16">
        <f>_xlfn.XLOOKUP(CustomerCombinedCleaned[[#This Row],[ID]], Table4[ID], Table4[Visits], "Not Found", 0)</f>
        <v>2</v>
      </c>
      <c r="W1625" s="16">
        <f>_xlfn.XLOOKUP(CustomerCombinedCleaned[[#This Row],[ID]], Table2[ID],Table2[Complaint], "Not Found", 0 )</f>
        <v>0</v>
      </c>
      <c r="X1625" s="16">
        <f>_xlfn.XLOOKUP(CustomerCombinedCleaned[[#This Row],[ID]], Table2[ID],Table2[Pilot], "Not Found", 0 )</f>
        <v>0</v>
      </c>
      <c r="Y1625" s="16">
        <f>_xlfn.XLOOKUP(CustomerCombinedCleaned[[#This Row],[ID]], Table2[ID],Table2[MC1], "Not Found", 0 )</f>
        <v>1</v>
      </c>
      <c r="Z1625" s="16">
        <f>_xlfn.XLOOKUP(CustomerCombinedCleaned[[#This Row],[ID]], Table2[ID],Table2[MC2], "Not Found", 0 )</f>
        <v>0</v>
      </c>
      <c r="AA1625" s="16">
        <f>_xlfn.XLOOKUP(CustomerCombinedCleaned[[#This Row],[ID]], Table2[ID],Table2[MC3], "Not Found", 0 )</f>
        <v>0</v>
      </c>
      <c r="AB1625" s="16">
        <f>_xlfn.XLOOKUP(CustomerCombinedCleaned[[#This Row],[ID]], Table2[ID],Table2[MC4], "Not Found", 0 )</f>
        <v>0</v>
      </c>
      <c r="AC1625" s="16">
        <f>_xlfn.XLOOKUP(CustomerCombinedCleaned[[#This Row],[ID]], Table2[ID],Table2[MC5], "Not Found", 0 )</f>
        <v>0</v>
      </c>
    </row>
    <row r="1626" spans="1:29" x14ac:dyDescent="0.3">
      <c r="A1626" s="18">
        <v>1897</v>
      </c>
      <c r="B1626" s="16">
        <v>173113</v>
      </c>
      <c r="C1626" s="16">
        <v>0</v>
      </c>
      <c r="D1626" s="16">
        <v>0</v>
      </c>
      <c r="E1626" s="16">
        <v>60</v>
      </c>
      <c r="F1626" s="17" t="s">
        <v>8</v>
      </c>
      <c r="G1626" s="17" t="s">
        <v>12</v>
      </c>
      <c r="H1626" s="3" t="s">
        <v>650</v>
      </c>
      <c r="I1626" s="5" t="s">
        <v>437</v>
      </c>
      <c r="J1626" s="16">
        <f>_xlfn.XLOOKUP(CustomerCombinedCleaned[[#This Row],[ID]], Table4[ID], Table4[Recency], "Not Found", 0)</f>
        <v>86</v>
      </c>
      <c r="K1626" s="16">
        <f>_xlfn.XLOOKUP(CustomerCombinedCleaned[[#This Row],[ID]], Table4[ID], Table4[Teas], "Not Found", 0)</f>
        <v>1754</v>
      </c>
      <c r="L1626" s="16">
        <f>_xlfn.XLOOKUP(CustomerCombinedCleaned[[#This Row],[ID]], Table4[ID], Table4[Fruits], "Not Found", 0)</f>
        <v>45</v>
      </c>
      <c r="M1626" s="16">
        <f>_xlfn.XLOOKUP(CustomerCombinedCleaned[[#This Row],[ID]], Table4[ID], Table4[Meats], "Not Found", 0)</f>
        <v>365</v>
      </c>
      <c r="N1626" s="16">
        <f>_xlfn.XLOOKUP(CustomerCombinedCleaned[[#This Row],[ID]], Table4[ID], Table4[Seafood], "Not Found", 0)</f>
        <v>118</v>
      </c>
      <c r="O1626" s="16">
        <f>_xlfn.XLOOKUP(CustomerCombinedCleaned[[#This Row],[ID]], Table4[ID], Table4[Sweets], "Not Found", 0)</f>
        <v>21</v>
      </c>
      <c r="P1626" s="16">
        <f>_xlfn.XLOOKUP(CustomerCombinedCleaned[[#This Row],[ID]], Table4[ID], Table4[Premium], "Not Found", 0)</f>
        <v>66</v>
      </c>
      <c r="Q1626" s="16">
        <f>_xlfn.XLOOKUP(CustomerCombinedCleaned[[#This Row],[ID]], Table4[ID], Table4[Regular], "Not Found", 0)</f>
        <v>2238</v>
      </c>
      <c r="R1626" s="16">
        <f>_xlfn.XLOOKUP(CustomerCombinedCleaned[[#This Row],[ID]], Table4[ID], Table4[Deals], "Not Found", 0)</f>
        <v>1</v>
      </c>
      <c r="S1626" s="16">
        <f>_xlfn.XLOOKUP(CustomerCombinedCleaned[[#This Row],[ID]], Table4[ID], Table4[Website], "Not Found", 0)</f>
        <v>3</v>
      </c>
      <c r="T1626" s="16">
        <f>_xlfn.XLOOKUP(CustomerCombinedCleaned[[#This Row],[ID]], Table4[ID], Table4[Catalog], "Not Found", 0)</f>
        <v>4</v>
      </c>
      <c r="U1626" s="16">
        <f>_xlfn.XLOOKUP(CustomerCombinedCleaned[[#This Row],[ID]], Table4[ID], Table4[Store], "Not Found", 0)</f>
        <v>7</v>
      </c>
      <c r="V1626" s="16">
        <f>_xlfn.XLOOKUP(CustomerCombinedCleaned[[#This Row],[ID]], Table4[ID], Table4[Visits], "Not Found", 0)</f>
        <v>2</v>
      </c>
      <c r="W1626" s="16">
        <f>_xlfn.XLOOKUP(CustomerCombinedCleaned[[#This Row],[ID]], Table2[ID],Table2[Complaint], "Not Found", 0 )</f>
        <v>0</v>
      </c>
      <c r="X1626" s="16">
        <f>_xlfn.XLOOKUP(CustomerCombinedCleaned[[#This Row],[ID]], Table2[ID],Table2[Pilot], "Not Found", 0 )</f>
        <v>0</v>
      </c>
      <c r="Y1626" s="16">
        <f>_xlfn.XLOOKUP(CustomerCombinedCleaned[[#This Row],[ID]], Table2[ID],Table2[MC1], "Not Found", 0 )</f>
        <v>0</v>
      </c>
      <c r="Z1626" s="16">
        <f>_xlfn.XLOOKUP(CustomerCombinedCleaned[[#This Row],[ID]], Table2[ID],Table2[MC2], "Not Found", 0 )</f>
        <v>0</v>
      </c>
      <c r="AA1626" s="16">
        <f>_xlfn.XLOOKUP(CustomerCombinedCleaned[[#This Row],[ID]], Table2[ID],Table2[MC3], "Not Found", 0 )</f>
        <v>0</v>
      </c>
      <c r="AB1626" s="16">
        <f>_xlfn.XLOOKUP(CustomerCombinedCleaned[[#This Row],[ID]], Table2[ID],Table2[MC4], "Not Found", 0 )</f>
        <v>0</v>
      </c>
      <c r="AC1626" s="16">
        <f>_xlfn.XLOOKUP(CustomerCombinedCleaned[[#This Row],[ID]], Table2[ID],Table2[MC5], "Not Found", 0 )</f>
        <v>0</v>
      </c>
    </row>
    <row r="1627" spans="1:29" x14ac:dyDescent="0.3">
      <c r="A1627" s="18">
        <v>1610</v>
      </c>
      <c r="B1627" s="16">
        <v>170971</v>
      </c>
      <c r="C1627" s="16">
        <v>0</v>
      </c>
      <c r="D1627" s="16">
        <v>1</v>
      </c>
      <c r="E1627" s="16">
        <v>60</v>
      </c>
      <c r="F1627" s="17" t="s">
        <v>8</v>
      </c>
      <c r="G1627" s="17" t="s">
        <v>11</v>
      </c>
      <c r="H1627" s="3" t="s">
        <v>390</v>
      </c>
      <c r="I1627" s="5" t="s">
        <v>438</v>
      </c>
      <c r="J1627" s="16">
        <f>_xlfn.XLOOKUP(CustomerCombinedCleaned[[#This Row],[ID]], Table4[ID], Table4[Recency], "Not Found", 0)</f>
        <v>28</v>
      </c>
      <c r="K1627" s="16">
        <f>_xlfn.XLOOKUP(CustomerCombinedCleaned[[#This Row],[ID]], Table4[ID], Table4[Teas], "Not Found", 0)</f>
        <v>2411</v>
      </c>
      <c r="L1627" s="16">
        <f>_xlfn.XLOOKUP(CustomerCombinedCleaned[[#This Row],[ID]], Table4[ID], Table4[Fruits], "Not Found", 0)</f>
        <v>41</v>
      </c>
      <c r="M1627" s="16">
        <f>_xlfn.XLOOKUP(CustomerCombinedCleaned[[#This Row],[ID]], Table4[ID], Table4[Meats], "Not Found", 0)</f>
        <v>1378</v>
      </c>
      <c r="N1627" s="16">
        <f>_xlfn.XLOOKUP(CustomerCombinedCleaned[[#This Row],[ID]], Table4[ID], Table4[Seafood], "Not Found", 0)</f>
        <v>224</v>
      </c>
      <c r="O1627" s="16">
        <f>_xlfn.XLOOKUP(CustomerCombinedCleaned[[#This Row],[ID]], Table4[ID], Table4[Sweets], "Not Found", 0)</f>
        <v>301</v>
      </c>
      <c r="P1627" s="16">
        <f>_xlfn.XLOOKUP(CustomerCombinedCleaned[[#This Row],[ID]], Table4[ID], Table4[Premium], "Not Found", 0)</f>
        <v>41</v>
      </c>
      <c r="Q1627" s="16">
        <f>_xlfn.XLOOKUP(CustomerCombinedCleaned[[#This Row],[ID]], Table4[ID], Table4[Regular], "Not Found", 0)</f>
        <v>4315</v>
      </c>
      <c r="R1627" s="16">
        <f>_xlfn.XLOOKUP(CustomerCombinedCleaned[[#This Row],[ID]], Table4[ID], Table4[Deals], "Not Found", 0)</f>
        <v>7</v>
      </c>
      <c r="S1627" s="16">
        <f>_xlfn.XLOOKUP(CustomerCombinedCleaned[[#This Row],[ID]], Table4[ID], Table4[Website], "Not Found", 0)</f>
        <v>11</v>
      </c>
      <c r="T1627" s="16">
        <f>_xlfn.XLOOKUP(CustomerCombinedCleaned[[#This Row],[ID]], Table4[ID], Table4[Catalog], "Not Found", 0)</f>
        <v>11</v>
      </c>
      <c r="U1627" s="16">
        <f>_xlfn.XLOOKUP(CustomerCombinedCleaned[[#This Row],[ID]], Table4[ID], Table4[Store], "Not Found", 0)</f>
        <v>5</v>
      </c>
      <c r="V1627" s="16">
        <f>_xlfn.XLOOKUP(CustomerCombinedCleaned[[#This Row],[ID]], Table4[ID], Table4[Visits], "Not Found", 0)</f>
        <v>7</v>
      </c>
      <c r="W1627" s="16">
        <f>_xlfn.XLOOKUP(CustomerCombinedCleaned[[#This Row],[ID]], Table2[ID],Table2[Complaint], "Not Found", 0 )</f>
        <v>0</v>
      </c>
      <c r="X1627" s="16">
        <f>_xlfn.XLOOKUP(CustomerCombinedCleaned[[#This Row],[ID]], Table2[ID],Table2[Pilot], "Not Found", 0 )</f>
        <v>1</v>
      </c>
      <c r="Y1627" s="16">
        <f>_xlfn.XLOOKUP(CustomerCombinedCleaned[[#This Row],[ID]], Table2[ID],Table2[MC1], "Not Found", 0 )</f>
        <v>0</v>
      </c>
      <c r="Z1627" s="16">
        <f>_xlfn.XLOOKUP(CustomerCombinedCleaned[[#This Row],[ID]], Table2[ID],Table2[MC2], "Not Found", 0 )</f>
        <v>0</v>
      </c>
      <c r="AA1627" s="16">
        <f>_xlfn.XLOOKUP(CustomerCombinedCleaned[[#This Row],[ID]], Table2[ID],Table2[MC3], "Not Found", 0 )</f>
        <v>0</v>
      </c>
      <c r="AB1627" s="16">
        <f>_xlfn.XLOOKUP(CustomerCombinedCleaned[[#This Row],[ID]], Table2[ID],Table2[MC4], "Not Found", 0 )</f>
        <v>0</v>
      </c>
      <c r="AC1627" s="16">
        <f>_xlfn.XLOOKUP(CustomerCombinedCleaned[[#This Row],[ID]], Table2[ID],Table2[MC5], "Not Found", 0 )</f>
        <v>0</v>
      </c>
    </row>
    <row r="1628" spans="1:29" x14ac:dyDescent="0.3">
      <c r="A1628" s="18">
        <v>3153</v>
      </c>
      <c r="B1628" s="16">
        <v>167716</v>
      </c>
      <c r="C1628" s="16">
        <v>0</v>
      </c>
      <c r="D1628" s="16">
        <v>1</v>
      </c>
      <c r="E1628" s="16">
        <v>60</v>
      </c>
      <c r="F1628" s="17" t="s">
        <v>6</v>
      </c>
      <c r="G1628" s="17" t="s">
        <v>11</v>
      </c>
      <c r="H1628" s="3" t="s">
        <v>330</v>
      </c>
      <c r="I1628" s="5" t="s">
        <v>435</v>
      </c>
      <c r="J1628" s="16">
        <f>_xlfn.XLOOKUP(CustomerCombinedCleaned[[#This Row],[ID]], Table4[ID], Table4[Recency], "Not Found", 0)</f>
        <v>8</v>
      </c>
      <c r="K1628" s="16">
        <f>_xlfn.XLOOKUP(CustomerCombinedCleaned[[#This Row],[ID]], Table4[ID], Table4[Teas], "Not Found", 0)</f>
        <v>1313</v>
      </c>
      <c r="L1628" s="16">
        <f>_xlfn.XLOOKUP(CustomerCombinedCleaned[[#This Row],[ID]], Table4[ID], Table4[Fruits], "Not Found", 0)</f>
        <v>352</v>
      </c>
      <c r="M1628" s="16">
        <f>_xlfn.XLOOKUP(CustomerCombinedCleaned[[#This Row],[ID]], Table4[ID], Table4[Meats], "Not Found", 0)</f>
        <v>537</v>
      </c>
      <c r="N1628" s="16">
        <f>_xlfn.XLOOKUP(CustomerCombinedCleaned[[#This Row],[ID]], Table4[ID], Table4[Seafood], "Not Found", 0)</f>
        <v>154</v>
      </c>
      <c r="O1628" s="16">
        <f>_xlfn.XLOOKUP(CustomerCombinedCleaned[[#This Row],[ID]], Table4[ID], Table4[Sweets], "Not Found", 0)</f>
        <v>22</v>
      </c>
      <c r="P1628" s="16">
        <f>_xlfn.XLOOKUP(CustomerCombinedCleaned[[#This Row],[ID]], Table4[ID], Table4[Premium], "Not Found", 0)</f>
        <v>139</v>
      </c>
      <c r="Q1628" s="16">
        <f>_xlfn.XLOOKUP(CustomerCombinedCleaned[[#This Row],[ID]], Table4[ID], Table4[Regular], "Not Found", 0)</f>
        <v>2239</v>
      </c>
      <c r="R1628" s="16">
        <f>_xlfn.XLOOKUP(CustomerCombinedCleaned[[#This Row],[ID]], Table4[ID], Table4[Deals], "Not Found", 0)</f>
        <v>4</v>
      </c>
      <c r="S1628" s="16">
        <f>_xlfn.XLOOKUP(CustomerCombinedCleaned[[#This Row],[ID]], Table4[ID], Table4[Website], "Not Found", 0)</f>
        <v>7</v>
      </c>
      <c r="T1628" s="16">
        <f>_xlfn.XLOOKUP(CustomerCombinedCleaned[[#This Row],[ID]], Table4[ID], Table4[Catalog], "Not Found", 0)</f>
        <v>4</v>
      </c>
      <c r="U1628" s="16">
        <f>_xlfn.XLOOKUP(CustomerCombinedCleaned[[#This Row],[ID]], Table4[ID], Table4[Store], "Not Found", 0)</f>
        <v>13</v>
      </c>
      <c r="V1628" s="16">
        <f>_xlfn.XLOOKUP(CustomerCombinedCleaned[[#This Row],[ID]], Table4[ID], Table4[Visits], "Not Found", 0)</f>
        <v>5</v>
      </c>
      <c r="W1628" s="16">
        <f>_xlfn.XLOOKUP(CustomerCombinedCleaned[[#This Row],[ID]], Table2[ID],Table2[Complaint], "Not Found", 0 )</f>
        <v>0</v>
      </c>
      <c r="X1628" s="16">
        <f>_xlfn.XLOOKUP(CustomerCombinedCleaned[[#This Row],[ID]], Table2[ID],Table2[Pilot], "Not Found", 0 )</f>
        <v>0</v>
      </c>
      <c r="Y1628" s="16">
        <f>_xlfn.XLOOKUP(CustomerCombinedCleaned[[#This Row],[ID]], Table2[ID],Table2[MC1], "Not Found", 0 )</f>
        <v>0</v>
      </c>
      <c r="Z1628" s="16">
        <f>_xlfn.XLOOKUP(CustomerCombinedCleaned[[#This Row],[ID]], Table2[ID],Table2[MC2], "Not Found", 0 )</f>
        <v>0</v>
      </c>
      <c r="AA1628" s="16">
        <f>_xlfn.XLOOKUP(CustomerCombinedCleaned[[#This Row],[ID]], Table2[ID],Table2[MC3], "Not Found", 0 )</f>
        <v>0</v>
      </c>
      <c r="AB1628" s="16">
        <f>_xlfn.XLOOKUP(CustomerCombinedCleaned[[#This Row],[ID]], Table2[ID],Table2[MC4], "Not Found", 0 )</f>
        <v>1</v>
      </c>
      <c r="AC1628" s="16">
        <f>_xlfn.XLOOKUP(CustomerCombinedCleaned[[#This Row],[ID]], Table2[ID],Table2[MC5], "Not Found", 0 )</f>
        <v>0</v>
      </c>
    </row>
    <row r="1629" spans="1:29" x14ac:dyDescent="0.3">
      <c r="A1629" s="18">
        <v>2290</v>
      </c>
      <c r="B1629" s="16">
        <v>165695</v>
      </c>
      <c r="C1629" s="16">
        <v>0</v>
      </c>
      <c r="D1629" s="16">
        <v>1</v>
      </c>
      <c r="E1629" s="16">
        <v>60</v>
      </c>
      <c r="F1629" s="17" t="s">
        <v>6</v>
      </c>
      <c r="G1629" s="17" t="s">
        <v>13</v>
      </c>
      <c r="H1629" s="3" t="s">
        <v>695</v>
      </c>
      <c r="I1629" s="5" t="s">
        <v>439</v>
      </c>
      <c r="J1629" s="16">
        <f>_xlfn.XLOOKUP(CustomerCombinedCleaned[[#This Row],[ID]], Table4[ID], Table4[Recency], "Not Found", 0)</f>
        <v>50</v>
      </c>
      <c r="K1629" s="16">
        <f>_xlfn.XLOOKUP(CustomerCombinedCleaned[[#This Row],[ID]], Table4[ID], Table4[Teas], "Not Found", 0)</f>
        <v>936</v>
      </c>
      <c r="L1629" s="16">
        <f>_xlfn.XLOOKUP(CustomerCombinedCleaned[[#This Row],[ID]], Table4[ID], Table4[Fruits], "Not Found", 0)</f>
        <v>81</v>
      </c>
      <c r="M1629" s="16">
        <f>_xlfn.XLOOKUP(CustomerCombinedCleaned[[#This Row],[ID]], Table4[ID], Table4[Meats], "Not Found", 0)</f>
        <v>477</v>
      </c>
      <c r="N1629" s="16">
        <f>_xlfn.XLOOKUP(CustomerCombinedCleaned[[#This Row],[ID]], Table4[ID], Table4[Seafood], "Not Found", 0)</f>
        <v>0</v>
      </c>
      <c r="O1629" s="16">
        <f>_xlfn.XLOOKUP(CustomerCombinedCleaned[[#This Row],[ID]], Table4[ID], Table4[Sweets], "Not Found", 0)</f>
        <v>146</v>
      </c>
      <c r="P1629" s="16">
        <f>_xlfn.XLOOKUP(CustomerCombinedCleaned[[#This Row],[ID]], Table4[ID], Table4[Premium], "Not Found", 0)</f>
        <v>15</v>
      </c>
      <c r="Q1629" s="16">
        <f>_xlfn.XLOOKUP(CustomerCombinedCleaned[[#This Row],[ID]], Table4[ID], Table4[Regular], "Not Found", 0)</f>
        <v>1624</v>
      </c>
      <c r="R1629" s="16">
        <f>_xlfn.XLOOKUP(CustomerCombinedCleaned[[#This Row],[ID]], Table4[ID], Table4[Deals], "Not Found", 0)</f>
        <v>2</v>
      </c>
      <c r="S1629" s="16">
        <f>_xlfn.XLOOKUP(CustomerCombinedCleaned[[#This Row],[ID]], Table4[ID], Table4[Website], "Not Found", 0)</f>
        <v>5</v>
      </c>
      <c r="T1629" s="16">
        <f>_xlfn.XLOOKUP(CustomerCombinedCleaned[[#This Row],[ID]], Table4[ID], Table4[Catalog], "Not Found", 0)</f>
        <v>4</v>
      </c>
      <c r="U1629" s="16">
        <f>_xlfn.XLOOKUP(CustomerCombinedCleaned[[#This Row],[ID]], Table4[ID], Table4[Store], "Not Found", 0)</f>
        <v>10</v>
      </c>
      <c r="V1629" s="16">
        <f>_xlfn.XLOOKUP(CustomerCombinedCleaned[[#This Row],[ID]], Table4[ID], Table4[Visits], "Not Found", 0)</f>
        <v>4</v>
      </c>
      <c r="W1629" s="16">
        <f>_xlfn.XLOOKUP(CustomerCombinedCleaned[[#This Row],[ID]], Table2[ID],Table2[Complaint], "Not Found", 0 )</f>
        <v>0</v>
      </c>
      <c r="X1629" s="16">
        <f>_xlfn.XLOOKUP(CustomerCombinedCleaned[[#This Row],[ID]], Table2[ID],Table2[Pilot], "Not Found", 0 )</f>
        <v>0</v>
      </c>
      <c r="Y1629" s="16">
        <f>_xlfn.XLOOKUP(CustomerCombinedCleaned[[#This Row],[ID]], Table2[ID],Table2[MC1], "Not Found", 0 )</f>
        <v>0</v>
      </c>
      <c r="Z1629" s="16">
        <f>_xlfn.XLOOKUP(CustomerCombinedCleaned[[#This Row],[ID]], Table2[ID],Table2[MC2], "Not Found", 0 )</f>
        <v>0</v>
      </c>
      <c r="AA1629" s="16">
        <f>_xlfn.XLOOKUP(CustomerCombinedCleaned[[#This Row],[ID]], Table2[ID],Table2[MC3], "Not Found", 0 )</f>
        <v>0</v>
      </c>
      <c r="AB1629" s="16">
        <f>_xlfn.XLOOKUP(CustomerCombinedCleaned[[#This Row],[ID]], Table2[ID],Table2[MC4], "Not Found", 0 )</f>
        <v>0</v>
      </c>
      <c r="AC1629" s="16">
        <f>_xlfn.XLOOKUP(CustomerCombinedCleaned[[#This Row],[ID]], Table2[ID],Table2[MC5], "Not Found", 0 )</f>
        <v>0</v>
      </c>
    </row>
    <row r="1630" spans="1:29" x14ac:dyDescent="0.3">
      <c r="A1630" s="18">
        <v>1371</v>
      </c>
      <c r="B1630" s="16">
        <v>163381</v>
      </c>
      <c r="C1630" s="16">
        <v>0</v>
      </c>
      <c r="D1630" s="16">
        <v>1</v>
      </c>
      <c r="E1630" s="16">
        <v>60</v>
      </c>
      <c r="F1630" s="17" t="s">
        <v>8</v>
      </c>
      <c r="G1630" s="17" t="s">
        <v>11</v>
      </c>
      <c r="H1630" s="3" t="s">
        <v>663</v>
      </c>
      <c r="I1630" s="5" t="s">
        <v>435</v>
      </c>
      <c r="J1630" s="16">
        <f>_xlfn.XLOOKUP(CustomerCombinedCleaned[[#This Row],[ID]], Table4[ID], Table4[Recency], "Not Found", 0)</f>
        <v>78</v>
      </c>
      <c r="K1630" s="16">
        <f>_xlfn.XLOOKUP(CustomerCombinedCleaned[[#This Row],[ID]], Table4[ID], Table4[Teas], "Not Found", 0)</f>
        <v>1472</v>
      </c>
      <c r="L1630" s="16">
        <f>_xlfn.XLOOKUP(CustomerCombinedCleaned[[#This Row],[ID]], Table4[ID], Table4[Fruits], "Not Found", 0)</f>
        <v>129</v>
      </c>
      <c r="M1630" s="16">
        <f>_xlfn.XLOOKUP(CustomerCombinedCleaned[[#This Row],[ID]], Table4[ID], Table4[Meats], "Not Found", 0)</f>
        <v>366</v>
      </c>
      <c r="N1630" s="16">
        <f>_xlfn.XLOOKUP(CustomerCombinedCleaned[[#This Row],[ID]], Table4[ID], Table4[Seafood], "Not Found", 0)</f>
        <v>85</v>
      </c>
      <c r="O1630" s="16">
        <f>_xlfn.XLOOKUP(CustomerCombinedCleaned[[#This Row],[ID]], Table4[ID], Table4[Sweets], "Not Found", 0)</f>
        <v>129</v>
      </c>
      <c r="P1630" s="16">
        <f>_xlfn.XLOOKUP(CustomerCombinedCleaned[[#This Row],[ID]], Table4[ID], Table4[Premium], "Not Found", 0)</f>
        <v>410</v>
      </c>
      <c r="Q1630" s="16">
        <f>_xlfn.XLOOKUP(CustomerCombinedCleaned[[#This Row],[ID]], Table4[ID], Table4[Regular], "Not Found", 0)</f>
        <v>1771</v>
      </c>
      <c r="R1630" s="16">
        <f>_xlfn.XLOOKUP(CustomerCombinedCleaned[[#This Row],[ID]], Table4[ID], Table4[Deals], "Not Found", 0)</f>
        <v>4</v>
      </c>
      <c r="S1630" s="16">
        <f>_xlfn.XLOOKUP(CustomerCombinedCleaned[[#This Row],[ID]], Table4[ID], Table4[Website], "Not Found", 0)</f>
        <v>4</v>
      </c>
      <c r="T1630" s="16">
        <f>_xlfn.XLOOKUP(CustomerCombinedCleaned[[#This Row],[ID]], Table4[ID], Table4[Catalog], "Not Found", 0)</f>
        <v>5</v>
      </c>
      <c r="U1630" s="16">
        <f>_xlfn.XLOOKUP(CustomerCombinedCleaned[[#This Row],[ID]], Table4[ID], Table4[Store], "Not Found", 0)</f>
        <v>13</v>
      </c>
      <c r="V1630" s="16">
        <f>_xlfn.XLOOKUP(CustomerCombinedCleaned[[#This Row],[ID]], Table4[ID], Table4[Visits], "Not Found", 0)</f>
        <v>2</v>
      </c>
      <c r="W1630" s="16">
        <f>_xlfn.XLOOKUP(CustomerCombinedCleaned[[#This Row],[ID]], Table2[ID],Table2[Complaint], "Not Found", 0 )</f>
        <v>0</v>
      </c>
      <c r="X1630" s="16">
        <f>_xlfn.XLOOKUP(CustomerCombinedCleaned[[#This Row],[ID]], Table2[ID],Table2[Pilot], "Not Found", 0 )</f>
        <v>0</v>
      </c>
      <c r="Y1630" s="16">
        <f>_xlfn.XLOOKUP(CustomerCombinedCleaned[[#This Row],[ID]], Table2[ID],Table2[MC1], "Not Found", 0 )</f>
        <v>0</v>
      </c>
      <c r="Z1630" s="16">
        <f>_xlfn.XLOOKUP(CustomerCombinedCleaned[[#This Row],[ID]], Table2[ID],Table2[MC2], "Not Found", 0 )</f>
        <v>0</v>
      </c>
      <c r="AA1630" s="16">
        <f>_xlfn.XLOOKUP(CustomerCombinedCleaned[[#This Row],[ID]], Table2[ID],Table2[MC3], "Not Found", 0 )</f>
        <v>0</v>
      </c>
      <c r="AB1630" s="16">
        <f>_xlfn.XLOOKUP(CustomerCombinedCleaned[[#This Row],[ID]], Table2[ID],Table2[MC4], "Not Found", 0 )</f>
        <v>0</v>
      </c>
      <c r="AC1630" s="16">
        <f>_xlfn.XLOOKUP(CustomerCombinedCleaned[[#This Row],[ID]], Table2[ID],Table2[MC5], "Not Found", 0 )</f>
        <v>0</v>
      </c>
    </row>
    <row r="1631" spans="1:29" x14ac:dyDescent="0.3">
      <c r="A1631" s="18">
        <v>1623</v>
      </c>
      <c r="B1631" s="16">
        <v>163381</v>
      </c>
      <c r="C1631" s="16">
        <v>0</v>
      </c>
      <c r="D1631" s="16">
        <v>1</v>
      </c>
      <c r="E1631" s="16">
        <v>60</v>
      </c>
      <c r="F1631" s="17" t="s">
        <v>8</v>
      </c>
      <c r="G1631" s="17" t="s">
        <v>11</v>
      </c>
      <c r="H1631" s="3" t="s">
        <v>663</v>
      </c>
      <c r="I1631" s="5" t="s">
        <v>435</v>
      </c>
      <c r="J1631" s="16">
        <f>_xlfn.XLOOKUP(CustomerCombinedCleaned[[#This Row],[ID]], Table4[ID], Table4[Recency], "Not Found", 0)</f>
        <v>78</v>
      </c>
      <c r="K1631" s="16">
        <f>_xlfn.XLOOKUP(CustomerCombinedCleaned[[#This Row],[ID]], Table4[ID], Table4[Teas], "Not Found", 0)</f>
        <v>1472</v>
      </c>
      <c r="L1631" s="16">
        <f>_xlfn.XLOOKUP(CustomerCombinedCleaned[[#This Row],[ID]], Table4[ID], Table4[Fruits], "Not Found", 0)</f>
        <v>129</v>
      </c>
      <c r="M1631" s="16">
        <f>_xlfn.XLOOKUP(CustomerCombinedCleaned[[#This Row],[ID]], Table4[ID], Table4[Meats], "Not Found", 0)</f>
        <v>366</v>
      </c>
      <c r="N1631" s="16">
        <f>_xlfn.XLOOKUP(CustomerCombinedCleaned[[#This Row],[ID]], Table4[ID], Table4[Seafood], "Not Found", 0)</f>
        <v>85</v>
      </c>
      <c r="O1631" s="16">
        <f>_xlfn.XLOOKUP(CustomerCombinedCleaned[[#This Row],[ID]], Table4[ID], Table4[Sweets], "Not Found", 0)</f>
        <v>129</v>
      </c>
      <c r="P1631" s="16">
        <f>_xlfn.XLOOKUP(CustomerCombinedCleaned[[#This Row],[ID]], Table4[ID], Table4[Premium], "Not Found", 0)</f>
        <v>410</v>
      </c>
      <c r="Q1631" s="16">
        <f>_xlfn.XLOOKUP(CustomerCombinedCleaned[[#This Row],[ID]], Table4[ID], Table4[Regular], "Not Found", 0)</f>
        <v>1771</v>
      </c>
      <c r="R1631" s="16">
        <f>_xlfn.XLOOKUP(CustomerCombinedCleaned[[#This Row],[ID]], Table4[ID], Table4[Deals], "Not Found", 0)</f>
        <v>4</v>
      </c>
      <c r="S1631" s="16">
        <f>_xlfn.XLOOKUP(CustomerCombinedCleaned[[#This Row],[ID]], Table4[ID], Table4[Website], "Not Found", 0)</f>
        <v>4</v>
      </c>
      <c r="T1631" s="16">
        <f>_xlfn.XLOOKUP(CustomerCombinedCleaned[[#This Row],[ID]], Table4[ID], Table4[Catalog], "Not Found", 0)</f>
        <v>5</v>
      </c>
      <c r="U1631" s="16">
        <f>_xlfn.XLOOKUP(CustomerCombinedCleaned[[#This Row],[ID]], Table4[ID], Table4[Store], "Not Found", 0)</f>
        <v>13</v>
      </c>
      <c r="V1631" s="16">
        <f>_xlfn.XLOOKUP(CustomerCombinedCleaned[[#This Row],[ID]], Table4[ID], Table4[Visits], "Not Found", 0)</f>
        <v>2</v>
      </c>
      <c r="W1631" s="16">
        <f>_xlfn.XLOOKUP(CustomerCombinedCleaned[[#This Row],[ID]], Table2[ID],Table2[Complaint], "Not Found", 0 )</f>
        <v>0</v>
      </c>
      <c r="X1631" s="16">
        <f>_xlfn.XLOOKUP(CustomerCombinedCleaned[[#This Row],[ID]], Table2[ID],Table2[Pilot], "Not Found", 0 )</f>
        <v>0</v>
      </c>
      <c r="Y1631" s="16">
        <f>_xlfn.XLOOKUP(CustomerCombinedCleaned[[#This Row],[ID]], Table2[ID],Table2[MC1], "Not Found", 0 )</f>
        <v>0</v>
      </c>
      <c r="Z1631" s="16">
        <f>_xlfn.XLOOKUP(CustomerCombinedCleaned[[#This Row],[ID]], Table2[ID],Table2[MC2], "Not Found", 0 )</f>
        <v>0</v>
      </c>
      <c r="AA1631" s="16">
        <f>_xlfn.XLOOKUP(CustomerCombinedCleaned[[#This Row],[ID]], Table2[ID],Table2[MC3], "Not Found", 0 )</f>
        <v>0</v>
      </c>
      <c r="AB1631" s="16">
        <f>_xlfn.XLOOKUP(CustomerCombinedCleaned[[#This Row],[ID]], Table2[ID],Table2[MC4], "Not Found", 0 )</f>
        <v>0</v>
      </c>
      <c r="AC1631" s="16">
        <f>_xlfn.XLOOKUP(CustomerCombinedCleaned[[#This Row],[ID]], Table2[ID],Table2[MC5], "Not Found", 0 )</f>
        <v>0</v>
      </c>
    </row>
    <row r="1632" spans="1:29" x14ac:dyDescent="0.3">
      <c r="A1632" s="18">
        <v>1585</v>
      </c>
      <c r="B1632" s="16">
        <v>162807</v>
      </c>
      <c r="C1632" s="16">
        <v>0</v>
      </c>
      <c r="D1632" s="16">
        <v>1</v>
      </c>
      <c r="E1632" s="16">
        <v>60</v>
      </c>
      <c r="F1632" s="17" t="s">
        <v>8</v>
      </c>
      <c r="G1632" s="17" t="s">
        <v>11</v>
      </c>
      <c r="H1632" s="3" t="s">
        <v>681</v>
      </c>
      <c r="I1632" s="5" t="s">
        <v>437</v>
      </c>
      <c r="J1632" s="16">
        <f>_xlfn.XLOOKUP(CustomerCombinedCleaned[[#This Row],[ID]], Table4[ID], Table4[Recency], "Not Found", 0)</f>
        <v>83</v>
      </c>
      <c r="K1632" s="16">
        <f>_xlfn.XLOOKUP(CustomerCombinedCleaned[[#This Row],[ID]], Table4[ID], Table4[Teas], "Not Found", 0)</f>
        <v>1363</v>
      </c>
      <c r="L1632" s="16">
        <f>_xlfn.XLOOKUP(CustomerCombinedCleaned[[#This Row],[ID]], Table4[ID], Table4[Fruits], "Not Found", 0)</f>
        <v>73</v>
      </c>
      <c r="M1632" s="16">
        <f>_xlfn.XLOOKUP(CustomerCombinedCleaned[[#This Row],[ID]], Table4[ID], Table4[Meats], "Not Found", 0)</f>
        <v>350</v>
      </c>
      <c r="N1632" s="16">
        <f>_xlfn.XLOOKUP(CustomerCombinedCleaned[[#This Row],[ID]], Table4[ID], Table4[Seafood], "Not Found", 0)</f>
        <v>26</v>
      </c>
      <c r="O1632" s="16">
        <f>_xlfn.XLOOKUP(CustomerCombinedCleaned[[#This Row],[ID]], Table4[ID], Table4[Sweets], "Not Found", 0)</f>
        <v>54</v>
      </c>
      <c r="P1632" s="16">
        <f>_xlfn.XLOOKUP(CustomerCombinedCleaned[[#This Row],[ID]], Table4[ID], Table4[Premium], "Not Found", 0)</f>
        <v>257</v>
      </c>
      <c r="Q1632" s="16">
        <f>_xlfn.XLOOKUP(CustomerCombinedCleaned[[#This Row],[ID]], Table4[ID], Table4[Regular], "Not Found", 0)</f>
        <v>1610</v>
      </c>
      <c r="R1632" s="16">
        <f>_xlfn.XLOOKUP(CustomerCombinedCleaned[[#This Row],[ID]], Table4[ID], Table4[Deals], "Not Found", 0)</f>
        <v>3</v>
      </c>
      <c r="S1632" s="16">
        <f>_xlfn.XLOOKUP(CustomerCombinedCleaned[[#This Row],[ID]], Table4[ID], Table4[Website], "Not Found", 0)</f>
        <v>5</v>
      </c>
      <c r="T1632" s="16">
        <f>_xlfn.XLOOKUP(CustomerCombinedCleaned[[#This Row],[ID]], Table4[ID], Table4[Catalog], "Not Found", 0)</f>
        <v>3</v>
      </c>
      <c r="U1632" s="16">
        <f>_xlfn.XLOOKUP(CustomerCombinedCleaned[[#This Row],[ID]], Table4[ID], Table4[Store], "Not Found", 0)</f>
        <v>12</v>
      </c>
      <c r="V1632" s="16">
        <f>_xlfn.XLOOKUP(CustomerCombinedCleaned[[#This Row],[ID]], Table4[ID], Table4[Visits], "Not Found", 0)</f>
        <v>5</v>
      </c>
      <c r="W1632" s="16">
        <f>_xlfn.XLOOKUP(CustomerCombinedCleaned[[#This Row],[ID]], Table2[ID],Table2[Complaint], "Not Found", 0 )</f>
        <v>0</v>
      </c>
      <c r="X1632" s="16">
        <f>_xlfn.XLOOKUP(CustomerCombinedCleaned[[#This Row],[ID]], Table2[ID],Table2[Pilot], "Not Found", 0 )</f>
        <v>0</v>
      </c>
      <c r="Y1632" s="16">
        <f>_xlfn.XLOOKUP(CustomerCombinedCleaned[[#This Row],[ID]], Table2[ID],Table2[MC1], "Not Found", 0 )</f>
        <v>0</v>
      </c>
      <c r="Z1632" s="16">
        <f>_xlfn.XLOOKUP(CustomerCombinedCleaned[[#This Row],[ID]], Table2[ID],Table2[MC2], "Not Found", 0 )</f>
        <v>0</v>
      </c>
      <c r="AA1632" s="16">
        <f>_xlfn.XLOOKUP(CustomerCombinedCleaned[[#This Row],[ID]], Table2[ID],Table2[MC3], "Not Found", 0 )</f>
        <v>0</v>
      </c>
      <c r="AB1632" s="16">
        <f>_xlfn.XLOOKUP(CustomerCombinedCleaned[[#This Row],[ID]], Table2[ID],Table2[MC4], "Not Found", 0 )</f>
        <v>0</v>
      </c>
      <c r="AC1632" s="16">
        <f>_xlfn.XLOOKUP(CustomerCombinedCleaned[[#This Row],[ID]], Table2[ID],Table2[MC5], "Not Found", 0 )</f>
        <v>0</v>
      </c>
    </row>
    <row r="1633" spans="1:29" x14ac:dyDescent="0.3">
      <c r="A1633" s="18">
        <v>2457</v>
      </c>
      <c r="B1633" s="16">
        <v>162807</v>
      </c>
      <c r="C1633" s="16">
        <v>0</v>
      </c>
      <c r="D1633" s="16">
        <v>1</v>
      </c>
      <c r="E1633" s="16">
        <v>60</v>
      </c>
      <c r="F1633" s="17" t="s">
        <v>8</v>
      </c>
      <c r="G1633" s="17" t="s">
        <v>11</v>
      </c>
      <c r="H1633" s="3" t="s">
        <v>681</v>
      </c>
      <c r="I1633" s="5" t="s">
        <v>435</v>
      </c>
      <c r="J1633" s="16">
        <f>_xlfn.XLOOKUP(CustomerCombinedCleaned[[#This Row],[ID]], Table4[ID], Table4[Recency], "Not Found", 0)</f>
        <v>83</v>
      </c>
      <c r="K1633" s="16">
        <f>_xlfn.XLOOKUP(CustomerCombinedCleaned[[#This Row],[ID]], Table4[ID], Table4[Teas], "Not Found", 0)</f>
        <v>1363</v>
      </c>
      <c r="L1633" s="16">
        <f>_xlfn.XLOOKUP(CustomerCombinedCleaned[[#This Row],[ID]], Table4[ID], Table4[Fruits], "Not Found", 0)</f>
        <v>73</v>
      </c>
      <c r="M1633" s="16">
        <f>_xlfn.XLOOKUP(CustomerCombinedCleaned[[#This Row],[ID]], Table4[ID], Table4[Meats], "Not Found", 0)</f>
        <v>350</v>
      </c>
      <c r="N1633" s="16">
        <f>_xlfn.XLOOKUP(CustomerCombinedCleaned[[#This Row],[ID]], Table4[ID], Table4[Seafood], "Not Found", 0)</f>
        <v>26</v>
      </c>
      <c r="O1633" s="16">
        <f>_xlfn.XLOOKUP(CustomerCombinedCleaned[[#This Row],[ID]], Table4[ID], Table4[Sweets], "Not Found", 0)</f>
        <v>54</v>
      </c>
      <c r="P1633" s="16">
        <f>_xlfn.XLOOKUP(CustomerCombinedCleaned[[#This Row],[ID]], Table4[ID], Table4[Premium], "Not Found", 0)</f>
        <v>257</v>
      </c>
      <c r="Q1633" s="16">
        <f>_xlfn.XLOOKUP(CustomerCombinedCleaned[[#This Row],[ID]], Table4[ID], Table4[Regular], "Not Found", 0)</f>
        <v>1610</v>
      </c>
      <c r="R1633" s="16">
        <f>_xlfn.XLOOKUP(CustomerCombinedCleaned[[#This Row],[ID]], Table4[ID], Table4[Deals], "Not Found", 0)</f>
        <v>3</v>
      </c>
      <c r="S1633" s="16">
        <f>_xlfn.XLOOKUP(CustomerCombinedCleaned[[#This Row],[ID]], Table4[ID], Table4[Website], "Not Found", 0)</f>
        <v>5</v>
      </c>
      <c r="T1633" s="16">
        <f>_xlfn.XLOOKUP(CustomerCombinedCleaned[[#This Row],[ID]], Table4[ID], Table4[Catalog], "Not Found", 0)</f>
        <v>3</v>
      </c>
      <c r="U1633" s="16">
        <f>_xlfn.XLOOKUP(CustomerCombinedCleaned[[#This Row],[ID]], Table4[ID], Table4[Store], "Not Found", 0)</f>
        <v>12</v>
      </c>
      <c r="V1633" s="16">
        <f>_xlfn.XLOOKUP(CustomerCombinedCleaned[[#This Row],[ID]], Table4[ID], Table4[Visits], "Not Found", 0)</f>
        <v>5</v>
      </c>
      <c r="W1633" s="16">
        <f>_xlfn.XLOOKUP(CustomerCombinedCleaned[[#This Row],[ID]], Table2[ID],Table2[Complaint], "Not Found", 0 )</f>
        <v>0</v>
      </c>
      <c r="X1633" s="16">
        <f>_xlfn.XLOOKUP(CustomerCombinedCleaned[[#This Row],[ID]], Table2[ID],Table2[Pilot], "Not Found", 0 )</f>
        <v>0</v>
      </c>
      <c r="Y1633" s="16">
        <f>_xlfn.XLOOKUP(CustomerCombinedCleaned[[#This Row],[ID]], Table2[ID],Table2[MC1], "Not Found", 0 )</f>
        <v>0</v>
      </c>
      <c r="Z1633" s="16">
        <f>_xlfn.XLOOKUP(CustomerCombinedCleaned[[#This Row],[ID]], Table2[ID],Table2[MC2], "Not Found", 0 )</f>
        <v>0</v>
      </c>
      <c r="AA1633" s="16">
        <f>_xlfn.XLOOKUP(CustomerCombinedCleaned[[#This Row],[ID]], Table2[ID],Table2[MC3], "Not Found", 0 )</f>
        <v>0</v>
      </c>
      <c r="AB1633" s="16">
        <f>_xlfn.XLOOKUP(CustomerCombinedCleaned[[#This Row],[ID]], Table2[ID],Table2[MC4], "Not Found", 0 )</f>
        <v>0</v>
      </c>
      <c r="AC1633" s="16">
        <f>_xlfn.XLOOKUP(CustomerCombinedCleaned[[#This Row],[ID]], Table2[ID],Table2[MC5], "Not Found", 0 )</f>
        <v>0</v>
      </c>
    </row>
    <row r="1634" spans="1:29" x14ac:dyDescent="0.3">
      <c r="A1634" s="18">
        <v>1320</v>
      </c>
      <c r="B1634" s="16">
        <v>162204</v>
      </c>
      <c r="C1634" s="16">
        <v>0</v>
      </c>
      <c r="D1634" s="16">
        <v>2</v>
      </c>
      <c r="E1634" s="16">
        <v>60</v>
      </c>
      <c r="F1634" s="17" t="s">
        <v>5</v>
      </c>
      <c r="G1634" s="17" t="s">
        <v>11</v>
      </c>
      <c r="H1634" s="3" t="s">
        <v>397</v>
      </c>
      <c r="I1634" s="5" t="s">
        <v>436</v>
      </c>
      <c r="J1634" s="16">
        <f>_xlfn.XLOOKUP(CustomerCombinedCleaned[[#This Row],[ID]], Table4[ID], Table4[Recency], "Not Found", 0)</f>
        <v>38</v>
      </c>
      <c r="K1634" s="16">
        <f>_xlfn.XLOOKUP(CustomerCombinedCleaned[[#This Row],[ID]], Table4[ID], Table4[Teas], "Not Found", 0)</f>
        <v>827</v>
      </c>
      <c r="L1634" s="16">
        <f>_xlfn.XLOOKUP(CustomerCombinedCleaned[[#This Row],[ID]], Table4[ID], Table4[Fruits], "Not Found", 0)</f>
        <v>120</v>
      </c>
      <c r="M1634" s="16">
        <f>_xlfn.XLOOKUP(CustomerCombinedCleaned[[#This Row],[ID]], Table4[ID], Table4[Meats], "Not Found", 0)</f>
        <v>644</v>
      </c>
      <c r="N1634" s="16">
        <f>_xlfn.XLOOKUP(CustomerCombinedCleaned[[#This Row],[ID]], Table4[ID], Table4[Seafood], "Not Found", 0)</f>
        <v>394</v>
      </c>
      <c r="O1634" s="16">
        <f>_xlfn.XLOOKUP(CustomerCombinedCleaned[[#This Row],[ID]], Table4[ID], Table4[Sweets], "Not Found", 0)</f>
        <v>120</v>
      </c>
      <c r="P1634" s="16">
        <f>_xlfn.XLOOKUP(CustomerCombinedCleaned[[#This Row],[ID]], Table4[ID], Table4[Premium], "Not Found", 0)</f>
        <v>362</v>
      </c>
      <c r="Q1634" s="16">
        <f>_xlfn.XLOOKUP(CustomerCombinedCleaned[[#This Row],[ID]], Table4[ID], Table4[Regular], "Not Found", 0)</f>
        <v>1742</v>
      </c>
      <c r="R1634" s="16">
        <f>_xlfn.XLOOKUP(CustomerCombinedCleaned[[#This Row],[ID]], Table4[ID], Table4[Deals], "Not Found", 0)</f>
        <v>1</v>
      </c>
      <c r="S1634" s="16">
        <f>_xlfn.XLOOKUP(CustomerCombinedCleaned[[#This Row],[ID]], Table4[ID], Table4[Website], "Not Found", 0)</f>
        <v>4</v>
      </c>
      <c r="T1634" s="16">
        <f>_xlfn.XLOOKUP(CustomerCombinedCleaned[[#This Row],[ID]], Table4[ID], Table4[Catalog], "Not Found", 0)</f>
        <v>5</v>
      </c>
      <c r="U1634" s="16">
        <f>_xlfn.XLOOKUP(CustomerCombinedCleaned[[#This Row],[ID]], Table4[ID], Table4[Store], "Not Found", 0)</f>
        <v>12</v>
      </c>
      <c r="V1634" s="16">
        <f>_xlfn.XLOOKUP(CustomerCombinedCleaned[[#This Row],[ID]], Table4[ID], Table4[Visits], "Not Found", 0)</f>
        <v>3</v>
      </c>
      <c r="W1634" s="16">
        <f>_xlfn.XLOOKUP(CustomerCombinedCleaned[[#This Row],[ID]], Table2[ID],Table2[Complaint], "Not Found", 0 )</f>
        <v>0</v>
      </c>
      <c r="X1634" s="16">
        <f>_xlfn.XLOOKUP(CustomerCombinedCleaned[[#This Row],[ID]], Table2[ID],Table2[Pilot], "Not Found", 0 )</f>
        <v>0</v>
      </c>
      <c r="Y1634" s="16">
        <f>_xlfn.XLOOKUP(CustomerCombinedCleaned[[#This Row],[ID]], Table2[ID],Table2[MC1], "Not Found", 0 )</f>
        <v>0</v>
      </c>
      <c r="Z1634" s="16">
        <f>_xlfn.XLOOKUP(CustomerCombinedCleaned[[#This Row],[ID]], Table2[ID],Table2[MC2], "Not Found", 0 )</f>
        <v>0</v>
      </c>
      <c r="AA1634" s="16">
        <f>_xlfn.XLOOKUP(CustomerCombinedCleaned[[#This Row],[ID]], Table2[ID],Table2[MC3], "Not Found", 0 )</f>
        <v>0</v>
      </c>
      <c r="AB1634" s="16">
        <f>_xlfn.XLOOKUP(CustomerCombinedCleaned[[#This Row],[ID]], Table2[ID],Table2[MC4], "Not Found", 0 )</f>
        <v>0</v>
      </c>
      <c r="AC1634" s="16">
        <f>_xlfn.XLOOKUP(CustomerCombinedCleaned[[#This Row],[ID]], Table2[ID],Table2[MC5], "Not Found", 0 )</f>
        <v>0</v>
      </c>
    </row>
    <row r="1635" spans="1:29" x14ac:dyDescent="0.3">
      <c r="A1635" s="18">
        <v>2173</v>
      </c>
      <c r="B1635" s="16">
        <v>158401</v>
      </c>
      <c r="C1635" s="16">
        <v>0</v>
      </c>
      <c r="D1635" s="16">
        <v>1</v>
      </c>
      <c r="E1635" s="16">
        <v>60</v>
      </c>
      <c r="F1635" s="17" t="s">
        <v>5</v>
      </c>
      <c r="G1635" s="17" t="s">
        <v>11</v>
      </c>
      <c r="H1635" s="3" t="s">
        <v>62</v>
      </c>
      <c r="I1635" s="5" t="s">
        <v>437</v>
      </c>
      <c r="J1635" s="16">
        <f>_xlfn.XLOOKUP(CustomerCombinedCleaned[[#This Row],[ID]], Table4[ID], Table4[Recency], "Not Found", 0)</f>
        <v>55</v>
      </c>
      <c r="K1635" s="16">
        <f>_xlfn.XLOOKUP(CustomerCombinedCleaned[[#This Row],[ID]], Table4[ID], Table4[Teas], "Not Found", 0)</f>
        <v>27</v>
      </c>
      <c r="L1635" s="16">
        <f>_xlfn.XLOOKUP(CustomerCombinedCleaned[[#This Row],[ID]], Table4[ID], Table4[Fruits], "Not Found", 0)</f>
        <v>0</v>
      </c>
      <c r="M1635" s="16">
        <f>_xlfn.XLOOKUP(CustomerCombinedCleaned[[#This Row],[ID]], Table4[ID], Table4[Meats], "Not Found", 0)</f>
        <v>30</v>
      </c>
      <c r="N1635" s="16">
        <f>_xlfn.XLOOKUP(CustomerCombinedCleaned[[#This Row],[ID]], Table4[ID], Table4[Seafood], "Not Found", 0)</f>
        <v>46</v>
      </c>
      <c r="O1635" s="16">
        <f>_xlfn.XLOOKUP(CustomerCombinedCleaned[[#This Row],[ID]], Table4[ID], Table4[Sweets], "Not Found", 0)</f>
        <v>79</v>
      </c>
      <c r="P1635" s="16">
        <f>_xlfn.XLOOKUP(CustomerCombinedCleaned[[#This Row],[ID]], Table4[ID], Table4[Premium], "Not Found", 0)</f>
        <v>79</v>
      </c>
      <c r="Q1635" s="16">
        <f>_xlfn.XLOOKUP(CustomerCombinedCleaned[[#This Row],[ID]], Table4[ID], Table4[Regular], "Not Found", 0)</f>
        <v>103</v>
      </c>
      <c r="R1635" s="16">
        <f>_xlfn.XLOOKUP(CustomerCombinedCleaned[[#This Row],[ID]], Table4[ID], Table4[Deals], "Not Found", 0)</f>
        <v>1</v>
      </c>
      <c r="S1635" s="16">
        <f>_xlfn.XLOOKUP(CustomerCombinedCleaned[[#This Row],[ID]], Table4[ID], Table4[Website], "Not Found", 0)</f>
        <v>1</v>
      </c>
      <c r="T1635" s="16">
        <f>_xlfn.XLOOKUP(CustomerCombinedCleaned[[#This Row],[ID]], Table4[ID], Table4[Catalog], "Not Found", 0)</f>
        <v>2</v>
      </c>
      <c r="U1635" s="16">
        <f>_xlfn.XLOOKUP(CustomerCombinedCleaned[[#This Row],[ID]], Table4[ID], Table4[Store], "Not Found", 0)</f>
        <v>2</v>
      </c>
      <c r="V1635" s="16">
        <f>_xlfn.XLOOKUP(CustomerCombinedCleaned[[#This Row],[ID]], Table4[ID], Table4[Visits], "Not Found", 0)</f>
        <v>4</v>
      </c>
      <c r="W1635" s="16">
        <f>_xlfn.XLOOKUP(CustomerCombinedCleaned[[#This Row],[ID]], Table2[ID],Table2[Complaint], "Not Found", 0 )</f>
        <v>0</v>
      </c>
      <c r="X1635" s="16">
        <f>_xlfn.XLOOKUP(CustomerCombinedCleaned[[#This Row],[ID]], Table2[ID],Table2[Pilot], "Not Found", 0 )</f>
        <v>0</v>
      </c>
      <c r="Y1635" s="16">
        <f>_xlfn.XLOOKUP(CustomerCombinedCleaned[[#This Row],[ID]], Table2[ID],Table2[MC1], "Not Found", 0 )</f>
        <v>0</v>
      </c>
      <c r="Z1635" s="16">
        <f>_xlfn.XLOOKUP(CustomerCombinedCleaned[[#This Row],[ID]], Table2[ID],Table2[MC2], "Not Found", 0 )</f>
        <v>0</v>
      </c>
      <c r="AA1635" s="16">
        <f>_xlfn.XLOOKUP(CustomerCombinedCleaned[[#This Row],[ID]], Table2[ID],Table2[MC3], "Not Found", 0 )</f>
        <v>0</v>
      </c>
      <c r="AB1635" s="16">
        <f>_xlfn.XLOOKUP(CustomerCombinedCleaned[[#This Row],[ID]], Table2[ID],Table2[MC4], "Not Found", 0 )</f>
        <v>0</v>
      </c>
      <c r="AC1635" s="16">
        <f>_xlfn.XLOOKUP(CustomerCombinedCleaned[[#This Row],[ID]], Table2[ID],Table2[MC5], "Not Found", 0 )</f>
        <v>0</v>
      </c>
    </row>
    <row r="1636" spans="1:29" x14ac:dyDescent="0.3">
      <c r="A1636" s="18">
        <v>2135</v>
      </c>
      <c r="B1636" s="16">
        <v>154197</v>
      </c>
      <c r="C1636" s="16">
        <v>0</v>
      </c>
      <c r="D1636" s="16">
        <v>1</v>
      </c>
      <c r="E1636" s="16">
        <v>60</v>
      </c>
      <c r="F1636" s="17" t="s">
        <v>6</v>
      </c>
      <c r="G1636" s="17" t="s">
        <v>12</v>
      </c>
      <c r="H1636" s="3" t="s">
        <v>543</v>
      </c>
      <c r="I1636" s="5" t="s">
        <v>434</v>
      </c>
      <c r="J1636" s="16">
        <f>_xlfn.XLOOKUP(CustomerCombinedCleaned[[#This Row],[ID]], Table4[ID], Table4[Recency], "Not Found", 0)</f>
        <v>16</v>
      </c>
      <c r="K1636" s="16">
        <f>_xlfn.XLOOKUP(CustomerCombinedCleaned[[#This Row],[ID]], Table4[ID], Table4[Teas], "Not Found", 0)</f>
        <v>461</v>
      </c>
      <c r="L1636" s="16">
        <f>_xlfn.XLOOKUP(CustomerCombinedCleaned[[#This Row],[ID]], Table4[ID], Table4[Fruits], "Not Found", 0)</f>
        <v>17</v>
      </c>
      <c r="M1636" s="16">
        <f>_xlfn.XLOOKUP(CustomerCombinedCleaned[[#This Row],[ID]], Table4[ID], Table4[Meats], "Not Found", 0)</f>
        <v>105</v>
      </c>
      <c r="N1636" s="16">
        <f>_xlfn.XLOOKUP(CustomerCombinedCleaned[[#This Row],[ID]], Table4[ID], Table4[Seafood], "Not Found", 0)</f>
        <v>17</v>
      </c>
      <c r="O1636" s="16">
        <f>_xlfn.XLOOKUP(CustomerCombinedCleaned[[#This Row],[ID]], Table4[ID], Table4[Sweets], "Not Found", 0)</f>
        <v>37</v>
      </c>
      <c r="P1636" s="16">
        <f>_xlfn.XLOOKUP(CustomerCombinedCleaned[[#This Row],[ID]], Table4[ID], Table4[Premium], "Not Found", 0)</f>
        <v>37</v>
      </c>
      <c r="Q1636" s="16">
        <f>_xlfn.XLOOKUP(CustomerCombinedCleaned[[#This Row],[ID]], Table4[ID], Table4[Regular], "Not Found", 0)</f>
        <v>600</v>
      </c>
      <c r="R1636" s="16">
        <f>_xlfn.XLOOKUP(CustomerCombinedCleaned[[#This Row],[ID]], Table4[ID], Table4[Deals], "Not Found", 0)</f>
        <v>2</v>
      </c>
      <c r="S1636" s="16">
        <f>_xlfn.XLOOKUP(CustomerCombinedCleaned[[#This Row],[ID]], Table4[ID], Table4[Website], "Not Found", 0)</f>
        <v>1</v>
      </c>
      <c r="T1636" s="16">
        <f>_xlfn.XLOOKUP(CustomerCombinedCleaned[[#This Row],[ID]], Table4[ID], Table4[Catalog], "Not Found", 0)</f>
        <v>3</v>
      </c>
      <c r="U1636" s="16">
        <f>_xlfn.XLOOKUP(CustomerCombinedCleaned[[#This Row],[ID]], Table4[ID], Table4[Store], "Not Found", 0)</f>
        <v>6</v>
      </c>
      <c r="V1636" s="16">
        <f>_xlfn.XLOOKUP(CustomerCombinedCleaned[[#This Row],[ID]], Table4[ID], Table4[Visits], "Not Found", 0)</f>
        <v>1</v>
      </c>
      <c r="W1636" s="16">
        <f>_xlfn.XLOOKUP(CustomerCombinedCleaned[[#This Row],[ID]], Table2[ID],Table2[Complaint], "Not Found", 0 )</f>
        <v>0</v>
      </c>
      <c r="X1636" s="16">
        <f>_xlfn.XLOOKUP(CustomerCombinedCleaned[[#This Row],[ID]], Table2[ID],Table2[Pilot], "Not Found", 0 )</f>
        <v>0</v>
      </c>
      <c r="Y1636" s="16">
        <f>_xlfn.XLOOKUP(CustomerCombinedCleaned[[#This Row],[ID]], Table2[ID],Table2[MC1], "Not Found", 0 )</f>
        <v>0</v>
      </c>
      <c r="Z1636" s="16">
        <f>_xlfn.XLOOKUP(CustomerCombinedCleaned[[#This Row],[ID]], Table2[ID],Table2[MC2], "Not Found", 0 )</f>
        <v>0</v>
      </c>
      <c r="AA1636" s="16">
        <f>_xlfn.XLOOKUP(CustomerCombinedCleaned[[#This Row],[ID]], Table2[ID],Table2[MC3], "Not Found", 0 )</f>
        <v>0</v>
      </c>
      <c r="AB1636" s="16">
        <f>_xlfn.XLOOKUP(CustomerCombinedCleaned[[#This Row],[ID]], Table2[ID],Table2[MC4], "Not Found", 0 )</f>
        <v>0</v>
      </c>
      <c r="AC1636" s="16">
        <f>_xlfn.XLOOKUP(CustomerCombinedCleaned[[#This Row],[ID]], Table2[ID],Table2[MC5], "Not Found", 0 )</f>
        <v>0</v>
      </c>
    </row>
    <row r="1637" spans="1:29" x14ac:dyDescent="0.3">
      <c r="A1637" s="18">
        <v>3052</v>
      </c>
      <c r="B1637" s="16">
        <v>151651</v>
      </c>
      <c r="C1637" s="16">
        <v>0</v>
      </c>
      <c r="D1637" s="16">
        <v>1</v>
      </c>
      <c r="E1637" s="16">
        <v>60</v>
      </c>
      <c r="F1637" s="17" t="s">
        <v>6</v>
      </c>
      <c r="G1637" s="17" t="s">
        <v>11</v>
      </c>
      <c r="H1637" s="3" t="s">
        <v>368</v>
      </c>
      <c r="I1637" s="5" t="s">
        <v>439</v>
      </c>
      <c r="J1637" s="16">
        <f>_xlfn.XLOOKUP(CustomerCombinedCleaned[[#This Row],[ID]], Table4[ID], Table4[Recency], "Not Found", 0)</f>
        <v>32</v>
      </c>
      <c r="K1637" s="16">
        <f>_xlfn.XLOOKUP(CustomerCombinedCleaned[[#This Row],[ID]], Table4[ID], Table4[Teas], "Not Found", 0)</f>
        <v>860</v>
      </c>
      <c r="L1637" s="16">
        <f>_xlfn.XLOOKUP(CustomerCombinedCleaned[[#This Row],[ID]], Table4[ID], Table4[Fruits], "Not Found", 0)</f>
        <v>18</v>
      </c>
      <c r="M1637" s="16">
        <f>_xlfn.XLOOKUP(CustomerCombinedCleaned[[#This Row],[ID]], Table4[ID], Table4[Meats], "Not Found", 0)</f>
        <v>68</v>
      </c>
      <c r="N1637" s="16">
        <f>_xlfn.XLOOKUP(CustomerCombinedCleaned[[#This Row],[ID]], Table4[ID], Table4[Seafood], "Not Found", 0)</f>
        <v>38</v>
      </c>
      <c r="O1637" s="16">
        <f>_xlfn.XLOOKUP(CustomerCombinedCleaned[[#This Row],[ID]], Table4[ID], Table4[Sweets], "Not Found", 0)</f>
        <v>18</v>
      </c>
      <c r="P1637" s="16">
        <f>_xlfn.XLOOKUP(CustomerCombinedCleaned[[#This Row],[ID]], Table4[ID], Table4[Premium], "Not Found", 0)</f>
        <v>270</v>
      </c>
      <c r="Q1637" s="16">
        <f>_xlfn.XLOOKUP(CustomerCombinedCleaned[[#This Row],[ID]], Table4[ID], Table4[Regular], "Not Found", 0)</f>
        <v>731</v>
      </c>
      <c r="R1637" s="16">
        <f>_xlfn.XLOOKUP(CustomerCombinedCleaned[[#This Row],[ID]], Table4[ID], Table4[Deals], "Not Found", 0)</f>
        <v>4</v>
      </c>
      <c r="S1637" s="16">
        <f>_xlfn.XLOOKUP(CustomerCombinedCleaned[[#This Row],[ID]], Table4[ID], Table4[Website], "Not Found", 0)</f>
        <v>6</v>
      </c>
      <c r="T1637" s="16">
        <f>_xlfn.XLOOKUP(CustomerCombinedCleaned[[#This Row],[ID]], Table4[ID], Table4[Catalog], "Not Found", 0)</f>
        <v>2</v>
      </c>
      <c r="U1637" s="16">
        <f>_xlfn.XLOOKUP(CustomerCombinedCleaned[[#This Row],[ID]], Table4[ID], Table4[Store], "Not Found", 0)</f>
        <v>5</v>
      </c>
      <c r="V1637" s="16">
        <f>_xlfn.XLOOKUP(CustomerCombinedCleaned[[#This Row],[ID]], Table4[ID], Table4[Visits], "Not Found", 0)</f>
        <v>8</v>
      </c>
      <c r="W1637" s="16">
        <f>_xlfn.XLOOKUP(CustomerCombinedCleaned[[#This Row],[ID]], Table2[ID],Table2[Complaint], "Not Found", 0 )</f>
        <v>0</v>
      </c>
      <c r="X1637" s="16">
        <f>_xlfn.XLOOKUP(CustomerCombinedCleaned[[#This Row],[ID]], Table2[ID],Table2[Pilot], "Not Found", 0 )</f>
        <v>0</v>
      </c>
      <c r="Y1637" s="16">
        <f>_xlfn.XLOOKUP(CustomerCombinedCleaned[[#This Row],[ID]], Table2[ID],Table2[MC1], "Not Found", 0 )</f>
        <v>0</v>
      </c>
      <c r="Z1637" s="16">
        <f>_xlfn.XLOOKUP(CustomerCombinedCleaned[[#This Row],[ID]], Table2[ID],Table2[MC2], "Not Found", 0 )</f>
        <v>0</v>
      </c>
      <c r="AA1637" s="16">
        <f>_xlfn.XLOOKUP(CustomerCombinedCleaned[[#This Row],[ID]], Table2[ID],Table2[MC3], "Not Found", 0 )</f>
        <v>0</v>
      </c>
      <c r="AB1637" s="16">
        <f>_xlfn.XLOOKUP(CustomerCombinedCleaned[[#This Row],[ID]], Table2[ID],Table2[MC4], "Not Found", 0 )</f>
        <v>0</v>
      </c>
      <c r="AC1637" s="16">
        <f>_xlfn.XLOOKUP(CustomerCombinedCleaned[[#This Row],[ID]], Table2[ID],Table2[MC5], "Not Found", 0 )</f>
        <v>0</v>
      </c>
    </row>
    <row r="1638" spans="1:29" x14ac:dyDescent="0.3">
      <c r="A1638" s="18">
        <v>1671</v>
      </c>
      <c r="B1638" s="16">
        <v>150611</v>
      </c>
      <c r="C1638" s="16">
        <v>0</v>
      </c>
      <c r="D1638" s="16">
        <v>1</v>
      </c>
      <c r="E1638" s="16">
        <v>60</v>
      </c>
      <c r="F1638" s="17" t="s">
        <v>5</v>
      </c>
      <c r="G1638" s="17" t="s">
        <v>13</v>
      </c>
      <c r="H1638" s="3" t="s">
        <v>636</v>
      </c>
      <c r="I1638" s="5" t="s">
        <v>435</v>
      </c>
      <c r="J1638" s="16">
        <f>_xlfn.XLOOKUP(CustomerCombinedCleaned[[#This Row],[ID]], Table4[ID], Table4[Recency], "Not Found", 0)</f>
        <v>98</v>
      </c>
      <c r="K1638" s="16">
        <f>_xlfn.XLOOKUP(CustomerCombinedCleaned[[#This Row],[ID]], Table4[ID], Table4[Teas], "Not Found", 0)</f>
        <v>1366</v>
      </c>
      <c r="L1638" s="16">
        <f>_xlfn.XLOOKUP(CustomerCombinedCleaned[[#This Row],[ID]], Table4[ID], Table4[Fruits], "Not Found", 0)</f>
        <v>0</v>
      </c>
      <c r="M1638" s="16">
        <f>_xlfn.XLOOKUP(CustomerCombinedCleaned[[#This Row],[ID]], Table4[ID], Table4[Meats], "Not Found", 0)</f>
        <v>71</v>
      </c>
      <c r="N1638" s="16">
        <f>_xlfn.XLOOKUP(CustomerCombinedCleaned[[#This Row],[ID]], Table4[ID], Table4[Seafood], "Not Found", 0)</f>
        <v>18</v>
      </c>
      <c r="O1638" s="16">
        <f>_xlfn.XLOOKUP(CustomerCombinedCleaned[[#This Row],[ID]], Table4[ID], Table4[Sweets], "Not Found", 0)</f>
        <v>0</v>
      </c>
      <c r="P1638" s="16">
        <f>_xlfn.XLOOKUP(CustomerCombinedCleaned[[#This Row],[ID]], Table4[ID], Table4[Premium], "Not Found", 0)</f>
        <v>12</v>
      </c>
      <c r="Q1638" s="16">
        <f>_xlfn.XLOOKUP(CustomerCombinedCleaned[[#This Row],[ID]], Table4[ID], Table4[Regular], "Not Found", 0)</f>
        <v>1443</v>
      </c>
      <c r="R1638" s="16">
        <f>_xlfn.XLOOKUP(CustomerCombinedCleaned[[#This Row],[ID]], Table4[ID], Table4[Deals], "Not Found", 0)</f>
        <v>6</v>
      </c>
      <c r="S1638" s="16">
        <f>_xlfn.XLOOKUP(CustomerCombinedCleaned[[#This Row],[ID]], Table4[ID], Table4[Website], "Not Found", 0)</f>
        <v>4</v>
      </c>
      <c r="T1638" s="16">
        <f>_xlfn.XLOOKUP(CustomerCombinedCleaned[[#This Row],[ID]], Table4[ID], Table4[Catalog], "Not Found", 0)</f>
        <v>5</v>
      </c>
      <c r="U1638" s="16">
        <f>_xlfn.XLOOKUP(CustomerCombinedCleaned[[#This Row],[ID]], Table4[ID], Table4[Store], "Not Found", 0)</f>
        <v>7</v>
      </c>
      <c r="V1638" s="16">
        <f>_xlfn.XLOOKUP(CustomerCombinedCleaned[[#This Row],[ID]], Table4[ID], Table4[Visits], "Not Found", 0)</f>
        <v>6</v>
      </c>
      <c r="W1638" s="16">
        <f>_xlfn.XLOOKUP(CustomerCombinedCleaned[[#This Row],[ID]], Table2[ID],Table2[Complaint], "Not Found", 0 )</f>
        <v>0</v>
      </c>
      <c r="X1638" s="16">
        <f>_xlfn.XLOOKUP(CustomerCombinedCleaned[[#This Row],[ID]], Table2[ID],Table2[Pilot], "Not Found", 0 )</f>
        <v>1</v>
      </c>
      <c r="Y1638" s="16">
        <f>_xlfn.XLOOKUP(CustomerCombinedCleaned[[#This Row],[ID]], Table2[ID],Table2[MC1], "Not Found", 0 )</f>
        <v>0</v>
      </c>
      <c r="Z1638" s="16">
        <f>_xlfn.XLOOKUP(CustomerCombinedCleaned[[#This Row],[ID]], Table2[ID],Table2[MC2], "Not Found", 0 )</f>
        <v>0</v>
      </c>
      <c r="AA1638" s="16">
        <f>_xlfn.XLOOKUP(CustomerCombinedCleaned[[#This Row],[ID]], Table2[ID],Table2[MC3], "Not Found", 0 )</f>
        <v>0</v>
      </c>
      <c r="AB1638" s="16">
        <f>_xlfn.XLOOKUP(CustomerCombinedCleaned[[#This Row],[ID]], Table2[ID],Table2[MC4], "Not Found", 0 )</f>
        <v>1</v>
      </c>
      <c r="AC1638" s="16">
        <f>_xlfn.XLOOKUP(CustomerCombinedCleaned[[#This Row],[ID]], Table2[ID],Table2[MC5], "Not Found", 0 )</f>
        <v>0</v>
      </c>
    </row>
    <row r="1639" spans="1:29" x14ac:dyDescent="0.3">
      <c r="A1639" s="18">
        <v>2353</v>
      </c>
      <c r="B1639" s="16">
        <v>150611</v>
      </c>
      <c r="C1639" s="16">
        <v>0</v>
      </c>
      <c r="D1639" s="16">
        <v>1</v>
      </c>
      <c r="E1639" s="16">
        <v>60</v>
      </c>
      <c r="F1639" s="17" t="s">
        <v>5</v>
      </c>
      <c r="G1639" s="17" t="s">
        <v>13</v>
      </c>
      <c r="H1639" s="3" t="s">
        <v>636</v>
      </c>
      <c r="I1639" s="5" t="s">
        <v>437</v>
      </c>
      <c r="J1639" s="16">
        <f>_xlfn.XLOOKUP(CustomerCombinedCleaned[[#This Row],[ID]], Table4[ID], Table4[Recency], "Not Found", 0)</f>
        <v>98</v>
      </c>
      <c r="K1639" s="16">
        <f>_xlfn.XLOOKUP(CustomerCombinedCleaned[[#This Row],[ID]], Table4[ID], Table4[Teas], "Not Found", 0)</f>
        <v>1366</v>
      </c>
      <c r="L1639" s="16">
        <f>_xlfn.XLOOKUP(CustomerCombinedCleaned[[#This Row],[ID]], Table4[ID], Table4[Fruits], "Not Found", 0)</f>
        <v>0</v>
      </c>
      <c r="M1639" s="16">
        <f>_xlfn.XLOOKUP(CustomerCombinedCleaned[[#This Row],[ID]], Table4[ID], Table4[Meats], "Not Found", 0)</f>
        <v>71</v>
      </c>
      <c r="N1639" s="16">
        <f>_xlfn.XLOOKUP(CustomerCombinedCleaned[[#This Row],[ID]], Table4[ID], Table4[Seafood], "Not Found", 0)</f>
        <v>18</v>
      </c>
      <c r="O1639" s="16">
        <f>_xlfn.XLOOKUP(CustomerCombinedCleaned[[#This Row],[ID]], Table4[ID], Table4[Sweets], "Not Found", 0)</f>
        <v>0</v>
      </c>
      <c r="P1639" s="16">
        <f>_xlfn.XLOOKUP(CustomerCombinedCleaned[[#This Row],[ID]], Table4[ID], Table4[Premium], "Not Found", 0)</f>
        <v>12</v>
      </c>
      <c r="Q1639" s="16">
        <f>_xlfn.XLOOKUP(CustomerCombinedCleaned[[#This Row],[ID]], Table4[ID], Table4[Regular], "Not Found", 0)</f>
        <v>1443</v>
      </c>
      <c r="R1639" s="16">
        <f>_xlfn.XLOOKUP(CustomerCombinedCleaned[[#This Row],[ID]], Table4[ID], Table4[Deals], "Not Found", 0)</f>
        <v>6</v>
      </c>
      <c r="S1639" s="16">
        <f>_xlfn.XLOOKUP(CustomerCombinedCleaned[[#This Row],[ID]], Table4[ID], Table4[Website], "Not Found", 0)</f>
        <v>4</v>
      </c>
      <c r="T1639" s="16">
        <f>_xlfn.XLOOKUP(CustomerCombinedCleaned[[#This Row],[ID]], Table4[ID], Table4[Catalog], "Not Found", 0)</f>
        <v>5</v>
      </c>
      <c r="U1639" s="16">
        <f>_xlfn.XLOOKUP(CustomerCombinedCleaned[[#This Row],[ID]], Table4[ID], Table4[Store], "Not Found", 0)</f>
        <v>7</v>
      </c>
      <c r="V1639" s="16">
        <f>_xlfn.XLOOKUP(CustomerCombinedCleaned[[#This Row],[ID]], Table4[ID], Table4[Visits], "Not Found", 0)</f>
        <v>6</v>
      </c>
      <c r="W1639" s="16">
        <f>_xlfn.XLOOKUP(CustomerCombinedCleaned[[#This Row],[ID]], Table2[ID],Table2[Complaint], "Not Found", 0 )</f>
        <v>0</v>
      </c>
      <c r="X1639" s="16">
        <f>_xlfn.XLOOKUP(CustomerCombinedCleaned[[#This Row],[ID]], Table2[ID],Table2[Pilot], "Not Found", 0 )</f>
        <v>0</v>
      </c>
      <c r="Y1639" s="16">
        <f>_xlfn.XLOOKUP(CustomerCombinedCleaned[[#This Row],[ID]], Table2[ID],Table2[MC1], "Not Found", 0 )</f>
        <v>0</v>
      </c>
      <c r="Z1639" s="16">
        <f>_xlfn.XLOOKUP(CustomerCombinedCleaned[[#This Row],[ID]], Table2[ID],Table2[MC2], "Not Found", 0 )</f>
        <v>0</v>
      </c>
      <c r="AA1639" s="16">
        <f>_xlfn.XLOOKUP(CustomerCombinedCleaned[[#This Row],[ID]], Table2[ID],Table2[MC3], "Not Found", 0 )</f>
        <v>0</v>
      </c>
      <c r="AB1639" s="16">
        <f>_xlfn.XLOOKUP(CustomerCombinedCleaned[[#This Row],[ID]], Table2[ID],Table2[MC4], "Not Found", 0 )</f>
        <v>1</v>
      </c>
      <c r="AC1639" s="16">
        <f>_xlfn.XLOOKUP(CustomerCombinedCleaned[[#This Row],[ID]], Table2[ID],Table2[MC5], "Not Found", 0 )</f>
        <v>0</v>
      </c>
    </row>
    <row r="1640" spans="1:29" x14ac:dyDescent="0.3">
      <c r="A1640" s="18">
        <v>2351</v>
      </c>
      <c r="B1640" s="16">
        <v>150523</v>
      </c>
      <c r="C1640" s="16">
        <v>1</v>
      </c>
      <c r="D1640" s="16">
        <v>1</v>
      </c>
      <c r="E1640" s="16">
        <v>60</v>
      </c>
      <c r="F1640" s="17" t="s">
        <v>8</v>
      </c>
      <c r="G1640" s="17" t="s">
        <v>11</v>
      </c>
      <c r="H1640" s="3" t="s">
        <v>123</v>
      </c>
      <c r="I1640" s="5" t="s">
        <v>434</v>
      </c>
      <c r="J1640" s="16">
        <f>_xlfn.XLOOKUP(CustomerCombinedCleaned[[#This Row],[ID]], Table4[ID], Table4[Recency], "Not Found", 0)</f>
        <v>89</v>
      </c>
      <c r="K1640" s="16">
        <f>_xlfn.XLOOKUP(CustomerCombinedCleaned[[#This Row],[ID]], Table4[ID], Table4[Teas], "Not Found", 0)</f>
        <v>152</v>
      </c>
      <c r="L1640" s="16">
        <f>_xlfn.XLOOKUP(CustomerCombinedCleaned[[#This Row],[ID]], Table4[ID], Table4[Fruits], "Not Found", 0)</f>
        <v>12</v>
      </c>
      <c r="M1640" s="16">
        <f>_xlfn.XLOOKUP(CustomerCombinedCleaned[[#This Row],[ID]], Table4[ID], Table4[Meats], "Not Found", 0)</f>
        <v>72</v>
      </c>
      <c r="N1640" s="16">
        <f>_xlfn.XLOOKUP(CustomerCombinedCleaned[[#This Row],[ID]], Table4[ID], Table4[Seafood], "Not Found", 0)</f>
        <v>12</v>
      </c>
      <c r="O1640" s="16">
        <f>_xlfn.XLOOKUP(CustomerCombinedCleaned[[#This Row],[ID]], Table4[ID], Table4[Sweets], "Not Found", 0)</f>
        <v>21</v>
      </c>
      <c r="P1640" s="16">
        <f>_xlfn.XLOOKUP(CustomerCombinedCleaned[[#This Row],[ID]], Table4[ID], Table4[Premium], "Not Found", 0)</f>
        <v>3</v>
      </c>
      <c r="Q1640" s="16">
        <f>_xlfn.XLOOKUP(CustomerCombinedCleaned[[#This Row],[ID]], Table4[ID], Table4[Regular], "Not Found", 0)</f>
        <v>265</v>
      </c>
      <c r="R1640" s="16">
        <f>_xlfn.XLOOKUP(CustomerCombinedCleaned[[#This Row],[ID]], Table4[ID], Table4[Deals], "Not Found", 0)</f>
        <v>2</v>
      </c>
      <c r="S1640" s="16">
        <f>_xlfn.XLOOKUP(CustomerCombinedCleaned[[#This Row],[ID]], Table4[ID], Table4[Website], "Not Found", 0)</f>
        <v>2</v>
      </c>
      <c r="T1640" s="16">
        <f>_xlfn.XLOOKUP(CustomerCombinedCleaned[[#This Row],[ID]], Table4[ID], Table4[Catalog], "Not Found", 0)</f>
        <v>0</v>
      </c>
      <c r="U1640" s="16">
        <f>_xlfn.XLOOKUP(CustomerCombinedCleaned[[#This Row],[ID]], Table4[ID], Table4[Store], "Not Found", 0)</f>
        <v>4</v>
      </c>
      <c r="V1640" s="16">
        <f>_xlfn.XLOOKUP(CustomerCombinedCleaned[[#This Row],[ID]], Table4[ID], Table4[Visits], "Not Found", 0)</f>
        <v>6</v>
      </c>
      <c r="W1640" s="16">
        <f>_xlfn.XLOOKUP(CustomerCombinedCleaned[[#This Row],[ID]], Table2[ID],Table2[Complaint], "Not Found", 0 )</f>
        <v>0</v>
      </c>
      <c r="X1640" s="16">
        <f>_xlfn.XLOOKUP(CustomerCombinedCleaned[[#This Row],[ID]], Table2[ID],Table2[Pilot], "Not Found", 0 )</f>
        <v>0</v>
      </c>
      <c r="Y1640" s="16">
        <f>_xlfn.XLOOKUP(CustomerCombinedCleaned[[#This Row],[ID]], Table2[ID],Table2[MC1], "Not Found", 0 )</f>
        <v>0</v>
      </c>
      <c r="Z1640" s="16">
        <f>_xlfn.XLOOKUP(CustomerCombinedCleaned[[#This Row],[ID]], Table2[ID],Table2[MC2], "Not Found", 0 )</f>
        <v>0</v>
      </c>
      <c r="AA1640" s="16">
        <f>_xlfn.XLOOKUP(CustomerCombinedCleaned[[#This Row],[ID]], Table2[ID],Table2[MC3], "Not Found", 0 )</f>
        <v>0</v>
      </c>
      <c r="AB1640" s="16">
        <f>_xlfn.XLOOKUP(CustomerCombinedCleaned[[#This Row],[ID]], Table2[ID],Table2[MC4], "Not Found", 0 )</f>
        <v>0</v>
      </c>
      <c r="AC1640" s="16">
        <f>_xlfn.XLOOKUP(CustomerCombinedCleaned[[#This Row],[ID]], Table2[ID],Table2[MC5], "Not Found", 0 )</f>
        <v>0</v>
      </c>
    </row>
    <row r="1641" spans="1:29" x14ac:dyDescent="0.3">
      <c r="A1641" s="18">
        <v>1513</v>
      </c>
      <c r="B1641" s="16">
        <v>149154</v>
      </c>
      <c r="C1641" s="16">
        <v>1</v>
      </c>
      <c r="D1641" s="16">
        <v>1</v>
      </c>
      <c r="E1641" s="16">
        <v>60</v>
      </c>
      <c r="F1641" s="17" t="s">
        <v>6</v>
      </c>
      <c r="G1641" s="17" t="s">
        <v>13</v>
      </c>
      <c r="H1641" s="3" t="s">
        <v>753</v>
      </c>
      <c r="I1641" s="5" t="s">
        <v>437</v>
      </c>
      <c r="J1641" s="16">
        <f>_xlfn.XLOOKUP(CustomerCombinedCleaned[[#This Row],[ID]], Table4[ID], Table4[Recency], "Not Found", 0)</f>
        <v>69</v>
      </c>
      <c r="K1641" s="16">
        <f>_xlfn.XLOOKUP(CustomerCombinedCleaned[[#This Row],[ID]], Table4[ID], Table4[Teas], "Not Found", 0)</f>
        <v>625</v>
      </c>
      <c r="L1641" s="16">
        <f>_xlfn.XLOOKUP(CustomerCombinedCleaned[[#This Row],[ID]], Table4[ID], Table4[Fruits], "Not Found", 0)</f>
        <v>30</v>
      </c>
      <c r="M1641" s="16">
        <f>_xlfn.XLOOKUP(CustomerCombinedCleaned[[#This Row],[ID]], Table4[ID], Table4[Meats], "Not Found", 0)</f>
        <v>203</v>
      </c>
      <c r="N1641" s="16">
        <f>_xlfn.XLOOKUP(CustomerCombinedCleaned[[#This Row],[ID]], Table4[ID], Table4[Seafood], "Not Found", 0)</f>
        <v>91</v>
      </c>
      <c r="O1641" s="16">
        <f>_xlfn.XLOOKUP(CustomerCombinedCleaned[[#This Row],[ID]], Table4[ID], Table4[Sweets], "Not Found", 0)</f>
        <v>82</v>
      </c>
      <c r="P1641" s="16">
        <f>_xlfn.XLOOKUP(CustomerCombinedCleaned[[#This Row],[ID]], Table4[ID], Table4[Premium], "Not Found", 0)</f>
        <v>215</v>
      </c>
      <c r="Q1641" s="16">
        <f>_xlfn.XLOOKUP(CustomerCombinedCleaned[[#This Row],[ID]], Table4[ID], Table4[Regular], "Not Found", 0)</f>
        <v>816</v>
      </c>
      <c r="R1641" s="16">
        <f>_xlfn.XLOOKUP(CustomerCombinedCleaned[[#This Row],[ID]], Table4[ID], Table4[Deals], "Not Found", 0)</f>
        <v>6</v>
      </c>
      <c r="S1641" s="16">
        <f>_xlfn.XLOOKUP(CustomerCombinedCleaned[[#This Row],[ID]], Table4[ID], Table4[Website], "Not Found", 0)</f>
        <v>4</v>
      </c>
      <c r="T1641" s="16">
        <f>_xlfn.XLOOKUP(CustomerCombinedCleaned[[#This Row],[ID]], Table4[ID], Table4[Catalog], "Not Found", 0)</f>
        <v>1</v>
      </c>
      <c r="U1641" s="16">
        <f>_xlfn.XLOOKUP(CustomerCombinedCleaned[[#This Row],[ID]], Table4[ID], Table4[Store], "Not Found", 0)</f>
        <v>8</v>
      </c>
      <c r="V1641" s="16">
        <f>_xlfn.XLOOKUP(CustomerCombinedCleaned[[#This Row],[ID]], Table4[ID], Table4[Visits], "Not Found", 0)</f>
        <v>6</v>
      </c>
      <c r="W1641" s="16">
        <f>_xlfn.XLOOKUP(CustomerCombinedCleaned[[#This Row],[ID]], Table2[ID],Table2[Complaint], "Not Found", 0 )</f>
        <v>0</v>
      </c>
      <c r="X1641" s="16">
        <f>_xlfn.XLOOKUP(CustomerCombinedCleaned[[#This Row],[ID]], Table2[ID],Table2[Pilot], "Not Found", 0 )</f>
        <v>0</v>
      </c>
      <c r="Y1641" s="16">
        <f>_xlfn.XLOOKUP(CustomerCombinedCleaned[[#This Row],[ID]], Table2[ID],Table2[MC1], "Not Found", 0 )</f>
        <v>0</v>
      </c>
      <c r="Z1641" s="16">
        <f>_xlfn.XLOOKUP(CustomerCombinedCleaned[[#This Row],[ID]], Table2[ID],Table2[MC2], "Not Found", 0 )</f>
        <v>0</v>
      </c>
      <c r="AA1641" s="16">
        <f>_xlfn.XLOOKUP(CustomerCombinedCleaned[[#This Row],[ID]], Table2[ID],Table2[MC3], "Not Found", 0 )</f>
        <v>0</v>
      </c>
      <c r="AB1641" s="16">
        <f>_xlfn.XLOOKUP(CustomerCombinedCleaned[[#This Row],[ID]], Table2[ID],Table2[MC4], "Not Found", 0 )</f>
        <v>0</v>
      </c>
      <c r="AC1641" s="16">
        <f>_xlfn.XLOOKUP(CustomerCombinedCleaned[[#This Row],[ID]], Table2[ID],Table2[MC5], "Not Found", 0 )</f>
        <v>0</v>
      </c>
    </row>
    <row r="1642" spans="1:29" x14ac:dyDescent="0.3">
      <c r="A1642" s="18">
        <v>2355</v>
      </c>
      <c r="B1642" s="16">
        <v>148904</v>
      </c>
      <c r="C1642" s="16">
        <v>0</v>
      </c>
      <c r="D1642" s="16">
        <v>1</v>
      </c>
      <c r="E1642" s="16">
        <v>60</v>
      </c>
      <c r="F1642" s="17" t="s">
        <v>7</v>
      </c>
      <c r="G1642" s="17" t="s">
        <v>11</v>
      </c>
      <c r="H1642" s="3" t="s">
        <v>702</v>
      </c>
      <c r="I1642" s="5" t="s">
        <v>435</v>
      </c>
      <c r="J1642" s="16">
        <f>_xlfn.XLOOKUP(CustomerCombinedCleaned[[#This Row],[ID]], Table4[ID], Table4[Recency], "Not Found", 0)</f>
        <v>1</v>
      </c>
      <c r="K1642" s="16">
        <f>_xlfn.XLOOKUP(CustomerCombinedCleaned[[#This Row],[ID]], Table4[ID], Table4[Teas], "Not Found", 0)</f>
        <v>862</v>
      </c>
      <c r="L1642" s="16">
        <f>_xlfn.XLOOKUP(CustomerCombinedCleaned[[#This Row],[ID]], Table4[ID], Table4[Fruits], "Not Found", 0)</f>
        <v>30</v>
      </c>
      <c r="M1642" s="16">
        <f>_xlfn.XLOOKUP(CustomerCombinedCleaned[[#This Row],[ID]], Table4[ID], Table4[Meats], "Not Found", 0)</f>
        <v>116</v>
      </c>
      <c r="N1642" s="16">
        <f>_xlfn.XLOOKUP(CustomerCombinedCleaned[[#This Row],[ID]], Table4[ID], Table4[Seafood], "Not Found", 0)</f>
        <v>0</v>
      </c>
      <c r="O1642" s="16">
        <f>_xlfn.XLOOKUP(CustomerCombinedCleaned[[#This Row],[ID]], Table4[ID], Table4[Sweets], "Not Found", 0)</f>
        <v>40</v>
      </c>
      <c r="P1642" s="16">
        <f>_xlfn.XLOOKUP(CustomerCombinedCleaned[[#This Row],[ID]], Table4[ID], Table4[Premium], "Not Found", 0)</f>
        <v>82</v>
      </c>
      <c r="Q1642" s="16">
        <f>_xlfn.XLOOKUP(CustomerCombinedCleaned[[#This Row],[ID]], Table4[ID], Table4[Regular], "Not Found", 0)</f>
        <v>965</v>
      </c>
      <c r="R1642" s="16">
        <f>_xlfn.XLOOKUP(CustomerCombinedCleaned[[#This Row],[ID]], Table4[ID], Table4[Deals], "Not Found", 0)</f>
        <v>4</v>
      </c>
      <c r="S1642" s="16">
        <f>_xlfn.XLOOKUP(CustomerCombinedCleaned[[#This Row],[ID]], Table4[ID], Table4[Website], "Not Found", 0)</f>
        <v>7</v>
      </c>
      <c r="T1642" s="16">
        <f>_xlfn.XLOOKUP(CustomerCombinedCleaned[[#This Row],[ID]], Table4[ID], Table4[Catalog], "Not Found", 0)</f>
        <v>2</v>
      </c>
      <c r="U1642" s="16">
        <f>_xlfn.XLOOKUP(CustomerCombinedCleaned[[#This Row],[ID]], Table4[ID], Table4[Store], "Not Found", 0)</f>
        <v>4</v>
      </c>
      <c r="V1642" s="16">
        <f>_xlfn.XLOOKUP(CustomerCombinedCleaned[[#This Row],[ID]], Table4[ID], Table4[Visits], "Not Found", 0)</f>
        <v>8</v>
      </c>
      <c r="W1642" s="16">
        <f>_xlfn.XLOOKUP(CustomerCombinedCleaned[[#This Row],[ID]], Table2[ID],Table2[Complaint], "Not Found", 0 )</f>
        <v>0</v>
      </c>
      <c r="X1642" s="16">
        <f>_xlfn.XLOOKUP(CustomerCombinedCleaned[[#This Row],[ID]], Table2[ID],Table2[Pilot], "Not Found", 0 )</f>
        <v>0</v>
      </c>
      <c r="Y1642" s="16">
        <f>_xlfn.XLOOKUP(CustomerCombinedCleaned[[#This Row],[ID]], Table2[ID],Table2[MC1], "Not Found", 0 )</f>
        <v>0</v>
      </c>
      <c r="Z1642" s="16">
        <f>_xlfn.XLOOKUP(CustomerCombinedCleaned[[#This Row],[ID]], Table2[ID],Table2[MC2], "Not Found", 0 )</f>
        <v>0</v>
      </c>
      <c r="AA1642" s="16">
        <f>_xlfn.XLOOKUP(CustomerCombinedCleaned[[#This Row],[ID]], Table2[ID],Table2[MC3], "Not Found", 0 )</f>
        <v>0</v>
      </c>
      <c r="AB1642" s="16">
        <f>_xlfn.XLOOKUP(CustomerCombinedCleaned[[#This Row],[ID]], Table2[ID],Table2[MC4], "Not Found", 0 )</f>
        <v>0</v>
      </c>
      <c r="AC1642" s="16">
        <f>_xlfn.XLOOKUP(CustomerCombinedCleaned[[#This Row],[ID]], Table2[ID],Table2[MC5], "Not Found", 0 )</f>
        <v>0</v>
      </c>
    </row>
    <row r="1643" spans="1:29" x14ac:dyDescent="0.3">
      <c r="A1643" s="18">
        <v>1088</v>
      </c>
      <c r="B1643" s="16">
        <v>147916</v>
      </c>
      <c r="C1643" s="16">
        <v>0</v>
      </c>
      <c r="D1643" s="16">
        <v>1</v>
      </c>
      <c r="E1643" s="16">
        <v>60</v>
      </c>
      <c r="F1643" s="17" t="s">
        <v>9</v>
      </c>
      <c r="G1643" s="17" t="s">
        <v>11</v>
      </c>
      <c r="H1643" s="3" t="s">
        <v>354</v>
      </c>
      <c r="I1643" s="5" t="s">
        <v>438</v>
      </c>
      <c r="J1643" s="16">
        <f>_xlfn.XLOOKUP(CustomerCombinedCleaned[[#This Row],[ID]], Table4[ID], Table4[Recency], "Not Found", 0)</f>
        <v>72</v>
      </c>
      <c r="K1643" s="16">
        <f>_xlfn.XLOOKUP(CustomerCombinedCleaned[[#This Row],[ID]], Table4[ID], Table4[Teas], "Not Found", 0)</f>
        <v>1559</v>
      </c>
      <c r="L1643" s="16">
        <f>_xlfn.XLOOKUP(CustomerCombinedCleaned[[#This Row],[ID]], Table4[ID], Table4[Fruits], "Not Found", 0)</f>
        <v>0</v>
      </c>
      <c r="M1643" s="16">
        <f>_xlfn.XLOOKUP(CustomerCombinedCleaned[[#This Row],[ID]], Table4[ID], Table4[Meats], "Not Found", 0)</f>
        <v>80</v>
      </c>
      <c r="N1643" s="16">
        <f>_xlfn.XLOOKUP(CustomerCombinedCleaned[[#This Row],[ID]], Table4[ID], Table4[Seafood], "Not Found", 0)</f>
        <v>0</v>
      </c>
      <c r="O1643" s="16">
        <f>_xlfn.XLOOKUP(CustomerCombinedCleaned[[#This Row],[ID]], Table4[ID], Table4[Sweets], "Not Found", 0)</f>
        <v>0</v>
      </c>
      <c r="P1643" s="16">
        <f>_xlfn.XLOOKUP(CustomerCombinedCleaned[[#This Row],[ID]], Table4[ID], Table4[Premium], "Not Found", 0)</f>
        <v>232</v>
      </c>
      <c r="Q1643" s="16">
        <f>_xlfn.XLOOKUP(CustomerCombinedCleaned[[#This Row],[ID]], Table4[ID], Table4[Regular], "Not Found", 0)</f>
        <v>1408</v>
      </c>
      <c r="R1643" s="16">
        <f>_xlfn.XLOOKUP(CustomerCombinedCleaned[[#This Row],[ID]], Table4[ID], Table4[Deals], "Not Found", 0)</f>
        <v>5</v>
      </c>
      <c r="S1643" s="16">
        <f>_xlfn.XLOOKUP(CustomerCombinedCleaned[[#This Row],[ID]], Table4[ID], Table4[Website], "Not Found", 0)</f>
        <v>7</v>
      </c>
      <c r="T1643" s="16">
        <f>_xlfn.XLOOKUP(CustomerCombinedCleaned[[#This Row],[ID]], Table4[ID], Table4[Catalog], "Not Found", 0)</f>
        <v>4</v>
      </c>
      <c r="U1643" s="16">
        <f>_xlfn.XLOOKUP(CustomerCombinedCleaned[[#This Row],[ID]], Table4[ID], Table4[Store], "Not Found", 0)</f>
        <v>6</v>
      </c>
      <c r="V1643" s="16">
        <f>_xlfn.XLOOKUP(CustomerCombinedCleaned[[#This Row],[ID]], Table4[ID], Table4[Visits], "Not Found", 0)</f>
        <v>6</v>
      </c>
      <c r="W1643" s="16">
        <f>_xlfn.XLOOKUP(CustomerCombinedCleaned[[#This Row],[ID]], Table2[ID],Table2[Complaint], "Not Found", 0 )</f>
        <v>0</v>
      </c>
      <c r="X1643" s="16">
        <f>_xlfn.XLOOKUP(CustomerCombinedCleaned[[#This Row],[ID]], Table2[ID],Table2[Pilot], "Not Found", 0 )</f>
        <v>0</v>
      </c>
      <c r="Y1643" s="16">
        <f>_xlfn.XLOOKUP(CustomerCombinedCleaned[[#This Row],[ID]], Table2[ID],Table2[MC1], "Not Found", 0 )</f>
        <v>0</v>
      </c>
      <c r="Z1643" s="16">
        <f>_xlfn.XLOOKUP(CustomerCombinedCleaned[[#This Row],[ID]], Table2[ID],Table2[MC2], "Not Found", 0 )</f>
        <v>0</v>
      </c>
      <c r="AA1643" s="16">
        <f>_xlfn.XLOOKUP(CustomerCombinedCleaned[[#This Row],[ID]], Table2[ID],Table2[MC3], "Not Found", 0 )</f>
        <v>0</v>
      </c>
      <c r="AB1643" s="16">
        <f>_xlfn.XLOOKUP(CustomerCombinedCleaned[[#This Row],[ID]], Table2[ID],Table2[MC4], "Not Found", 0 )</f>
        <v>1</v>
      </c>
      <c r="AC1643" s="16">
        <f>_xlfn.XLOOKUP(CustomerCombinedCleaned[[#This Row],[ID]], Table2[ID],Table2[MC5], "Not Found", 0 )</f>
        <v>0</v>
      </c>
    </row>
    <row r="1644" spans="1:29" x14ac:dyDescent="0.3">
      <c r="A1644" s="18">
        <v>1092</v>
      </c>
      <c r="B1644" s="16">
        <v>147823</v>
      </c>
      <c r="C1644" s="16">
        <v>0</v>
      </c>
      <c r="D1644" s="16">
        <v>1</v>
      </c>
      <c r="E1644" s="16">
        <v>60</v>
      </c>
      <c r="F1644" s="17" t="s">
        <v>7</v>
      </c>
      <c r="G1644" s="17" t="s">
        <v>11</v>
      </c>
      <c r="H1644" s="3" t="s">
        <v>213</v>
      </c>
      <c r="I1644" s="5" t="s">
        <v>436</v>
      </c>
      <c r="J1644" s="16">
        <f>_xlfn.XLOOKUP(CustomerCombinedCleaned[[#This Row],[ID]], Table4[ID], Table4[Recency], "Not Found", 0)</f>
        <v>0</v>
      </c>
      <c r="K1644" s="16">
        <f>_xlfn.XLOOKUP(CustomerCombinedCleaned[[#This Row],[ID]], Table4[ID], Table4[Teas], "Not Found", 0)</f>
        <v>164</v>
      </c>
      <c r="L1644" s="16">
        <f>_xlfn.XLOOKUP(CustomerCombinedCleaned[[#This Row],[ID]], Table4[ID], Table4[Fruits], "Not Found", 0)</f>
        <v>3</v>
      </c>
      <c r="M1644" s="16">
        <f>_xlfn.XLOOKUP(CustomerCombinedCleaned[[#This Row],[ID]], Table4[ID], Table4[Meats], "Not Found", 0)</f>
        <v>15</v>
      </c>
      <c r="N1644" s="16">
        <f>_xlfn.XLOOKUP(CustomerCombinedCleaned[[#This Row],[ID]], Table4[ID], Table4[Seafood], "Not Found", 0)</f>
        <v>6</v>
      </c>
      <c r="O1644" s="16">
        <f>_xlfn.XLOOKUP(CustomerCombinedCleaned[[#This Row],[ID]], Table4[ID], Table4[Sweets], "Not Found", 0)</f>
        <v>3</v>
      </c>
      <c r="P1644" s="16">
        <f>_xlfn.XLOOKUP(CustomerCombinedCleaned[[#This Row],[ID]], Table4[ID], Table4[Premium], "Not Found", 0)</f>
        <v>31</v>
      </c>
      <c r="Q1644" s="16">
        <f>_xlfn.XLOOKUP(CustomerCombinedCleaned[[#This Row],[ID]], Table4[ID], Table4[Regular], "Not Found", 0)</f>
        <v>161</v>
      </c>
      <c r="R1644" s="16">
        <f>_xlfn.XLOOKUP(CustomerCombinedCleaned[[#This Row],[ID]], Table4[ID], Table4[Deals], "Not Found", 0)</f>
        <v>2</v>
      </c>
      <c r="S1644" s="16">
        <f>_xlfn.XLOOKUP(CustomerCombinedCleaned[[#This Row],[ID]], Table4[ID], Table4[Website], "Not Found", 0)</f>
        <v>2</v>
      </c>
      <c r="T1644" s="16">
        <f>_xlfn.XLOOKUP(CustomerCombinedCleaned[[#This Row],[ID]], Table4[ID], Table4[Catalog], "Not Found", 0)</f>
        <v>0</v>
      </c>
      <c r="U1644" s="16">
        <f>_xlfn.XLOOKUP(CustomerCombinedCleaned[[#This Row],[ID]], Table4[ID], Table4[Store], "Not Found", 0)</f>
        <v>3</v>
      </c>
      <c r="V1644" s="16">
        <f>_xlfn.XLOOKUP(CustomerCombinedCleaned[[#This Row],[ID]], Table4[ID], Table4[Visits], "Not Found", 0)</f>
        <v>8</v>
      </c>
      <c r="W1644" s="16">
        <f>_xlfn.XLOOKUP(CustomerCombinedCleaned[[#This Row],[ID]], Table2[ID],Table2[Complaint], "Not Found", 0 )</f>
        <v>0</v>
      </c>
      <c r="X1644" s="16">
        <f>_xlfn.XLOOKUP(CustomerCombinedCleaned[[#This Row],[ID]], Table2[ID],Table2[Pilot], "Not Found", 0 )</f>
        <v>0</v>
      </c>
      <c r="Y1644" s="16">
        <f>_xlfn.XLOOKUP(CustomerCombinedCleaned[[#This Row],[ID]], Table2[ID],Table2[MC1], "Not Found", 0 )</f>
        <v>0</v>
      </c>
      <c r="Z1644" s="16">
        <f>_xlfn.XLOOKUP(CustomerCombinedCleaned[[#This Row],[ID]], Table2[ID],Table2[MC2], "Not Found", 0 )</f>
        <v>0</v>
      </c>
      <c r="AA1644" s="16">
        <f>_xlfn.XLOOKUP(CustomerCombinedCleaned[[#This Row],[ID]], Table2[ID],Table2[MC3], "Not Found", 0 )</f>
        <v>0</v>
      </c>
      <c r="AB1644" s="16">
        <f>_xlfn.XLOOKUP(CustomerCombinedCleaned[[#This Row],[ID]], Table2[ID],Table2[MC4], "Not Found", 0 )</f>
        <v>0</v>
      </c>
      <c r="AC1644" s="16">
        <f>_xlfn.XLOOKUP(CustomerCombinedCleaned[[#This Row],[ID]], Table2[ID],Table2[MC5], "Not Found", 0 )</f>
        <v>0</v>
      </c>
    </row>
    <row r="1645" spans="1:29" x14ac:dyDescent="0.3">
      <c r="A1645" s="18">
        <v>2156</v>
      </c>
      <c r="B1645" s="16">
        <v>147353</v>
      </c>
      <c r="C1645" s="16">
        <v>0</v>
      </c>
      <c r="D1645" s="16">
        <v>1</v>
      </c>
      <c r="E1645" s="16">
        <v>60</v>
      </c>
      <c r="F1645" s="17" t="s">
        <v>6</v>
      </c>
      <c r="G1645" s="17" t="s">
        <v>12</v>
      </c>
      <c r="H1645" s="3" t="s">
        <v>151</v>
      </c>
      <c r="I1645" s="5" t="s">
        <v>438</v>
      </c>
      <c r="J1645" s="16">
        <f>_xlfn.XLOOKUP(CustomerCombinedCleaned[[#This Row],[ID]], Table4[ID], Table4[Recency], "Not Found", 0)</f>
        <v>93</v>
      </c>
      <c r="K1645" s="16">
        <f>_xlfn.XLOOKUP(CustomerCombinedCleaned[[#This Row],[ID]], Table4[ID], Table4[Teas], "Not Found", 0)</f>
        <v>573</v>
      </c>
      <c r="L1645" s="16">
        <f>_xlfn.XLOOKUP(CustomerCombinedCleaned[[#This Row],[ID]], Table4[ID], Table4[Fruits], "Not Found", 0)</f>
        <v>6</v>
      </c>
      <c r="M1645" s="16">
        <f>_xlfn.XLOOKUP(CustomerCombinedCleaned[[#This Row],[ID]], Table4[ID], Table4[Meats], "Not Found", 0)</f>
        <v>59</v>
      </c>
      <c r="N1645" s="16">
        <f>_xlfn.XLOOKUP(CustomerCombinedCleaned[[#This Row],[ID]], Table4[ID], Table4[Seafood], "Not Found", 0)</f>
        <v>25</v>
      </c>
      <c r="O1645" s="16">
        <f>_xlfn.XLOOKUP(CustomerCombinedCleaned[[#This Row],[ID]], Table4[ID], Table4[Sweets], "Not Found", 0)</f>
        <v>25</v>
      </c>
      <c r="P1645" s="16">
        <f>_xlfn.XLOOKUP(CustomerCombinedCleaned[[#This Row],[ID]], Table4[ID], Table4[Premium], "Not Found", 0)</f>
        <v>12</v>
      </c>
      <c r="Q1645" s="16">
        <f>_xlfn.XLOOKUP(CustomerCombinedCleaned[[#This Row],[ID]], Table4[ID], Table4[Regular], "Not Found", 0)</f>
        <v>675</v>
      </c>
      <c r="R1645" s="16">
        <f>_xlfn.XLOOKUP(CustomerCombinedCleaned[[#This Row],[ID]], Table4[ID], Table4[Deals], "Not Found", 0)</f>
        <v>3</v>
      </c>
      <c r="S1645" s="16">
        <f>_xlfn.XLOOKUP(CustomerCombinedCleaned[[#This Row],[ID]], Table4[ID], Table4[Website], "Not Found", 0)</f>
        <v>2</v>
      </c>
      <c r="T1645" s="16">
        <f>_xlfn.XLOOKUP(CustomerCombinedCleaned[[#This Row],[ID]], Table4[ID], Table4[Catalog], "Not Found", 0)</f>
        <v>2</v>
      </c>
      <c r="U1645" s="16">
        <f>_xlfn.XLOOKUP(CustomerCombinedCleaned[[#This Row],[ID]], Table4[ID], Table4[Store], "Not Found", 0)</f>
        <v>6</v>
      </c>
      <c r="V1645" s="16">
        <f>_xlfn.XLOOKUP(CustomerCombinedCleaned[[#This Row],[ID]], Table4[ID], Table4[Visits], "Not Found", 0)</f>
        <v>5</v>
      </c>
      <c r="W1645" s="16">
        <f>_xlfn.XLOOKUP(CustomerCombinedCleaned[[#This Row],[ID]], Table2[ID],Table2[Complaint], "Not Found", 0 )</f>
        <v>0</v>
      </c>
      <c r="X1645" s="16">
        <f>_xlfn.XLOOKUP(CustomerCombinedCleaned[[#This Row],[ID]], Table2[ID],Table2[Pilot], "Not Found", 0 )</f>
        <v>0</v>
      </c>
      <c r="Y1645" s="16">
        <f>_xlfn.XLOOKUP(CustomerCombinedCleaned[[#This Row],[ID]], Table2[ID],Table2[MC1], "Not Found", 0 )</f>
        <v>0</v>
      </c>
      <c r="Z1645" s="16">
        <f>_xlfn.XLOOKUP(CustomerCombinedCleaned[[#This Row],[ID]], Table2[ID],Table2[MC2], "Not Found", 0 )</f>
        <v>0</v>
      </c>
      <c r="AA1645" s="16">
        <f>_xlfn.XLOOKUP(CustomerCombinedCleaned[[#This Row],[ID]], Table2[ID],Table2[MC3], "Not Found", 0 )</f>
        <v>0</v>
      </c>
      <c r="AB1645" s="16">
        <f>_xlfn.XLOOKUP(CustomerCombinedCleaned[[#This Row],[ID]], Table2[ID],Table2[MC4], "Not Found", 0 )</f>
        <v>0</v>
      </c>
      <c r="AC1645" s="16">
        <f>_xlfn.XLOOKUP(CustomerCombinedCleaned[[#This Row],[ID]], Table2[ID],Table2[MC5], "Not Found", 0 )</f>
        <v>0</v>
      </c>
    </row>
    <row r="1646" spans="1:29" x14ac:dyDescent="0.3">
      <c r="A1646" s="18">
        <v>1961</v>
      </c>
      <c r="B1646" s="16">
        <v>146779</v>
      </c>
      <c r="C1646" s="16">
        <v>1</v>
      </c>
      <c r="D1646" s="16">
        <v>1</v>
      </c>
      <c r="E1646" s="16">
        <v>60</v>
      </c>
      <c r="F1646" s="17" t="s">
        <v>9</v>
      </c>
      <c r="G1646" s="17" t="s">
        <v>11</v>
      </c>
      <c r="H1646" s="3" t="s">
        <v>224</v>
      </c>
      <c r="I1646" s="5" t="s">
        <v>434</v>
      </c>
      <c r="J1646" s="16">
        <f>_xlfn.XLOOKUP(CustomerCombinedCleaned[[#This Row],[ID]], Table4[ID], Table4[Recency], "Not Found", 0)</f>
        <v>55</v>
      </c>
      <c r="K1646" s="16">
        <f>_xlfn.XLOOKUP(CustomerCombinedCleaned[[#This Row],[ID]], Table4[ID], Table4[Teas], "Not Found", 0)</f>
        <v>38</v>
      </c>
      <c r="L1646" s="16">
        <f>_xlfn.XLOOKUP(CustomerCombinedCleaned[[#This Row],[ID]], Table4[ID], Table4[Fruits], "Not Found", 0)</f>
        <v>3</v>
      </c>
      <c r="M1646" s="16">
        <f>_xlfn.XLOOKUP(CustomerCombinedCleaned[[#This Row],[ID]], Table4[ID], Table4[Meats], "Not Found", 0)</f>
        <v>9</v>
      </c>
      <c r="N1646" s="16">
        <f>_xlfn.XLOOKUP(CustomerCombinedCleaned[[#This Row],[ID]], Table4[ID], Table4[Seafood], "Not Found", 0)</f>
        <v>0</v>
      </c>
      <c r="O1646" s="16">
        <f>_xlfn.XLOOKUP(CustomerCombinedCleaned[[#This Row],[ID]], Table4[ID], Table4[Sweets], "Not Found", 0)</f>
        <v>0</v>
      </c>
      <c r="P1646" s="16">
        <f>_xlfn.XLOOKUP(CustomerCombinedCleaned[[#This Row],[ID]], Table4[ID], Table4[Premium], "Not Found", 0)</f>
        <v>22</v>
      </c>
      <c r="Q1646" s="16">
        <f>_xlfn.XLOOKUP(CustomerCombinedCleaned[[#This Row],[ID]], Table4[ID], Table4[Regular], "Not Found", 0)</f>
        <v>28</v>
      </c>
      <c r="R1646" s="16">
        <f>_xlfn.XLOOKUP(CustomerCombinedCleaned[[#This Row],[ID]], Table4[ID], Table4[Deals], "Not Found", 0)</f>
        <v>1</v>
      </c>
      <c r="S1646" s="16">
        <f>_xlfn.XLOOKUP(CustomerCombinedCleaned[[#This Row],[ID]], Table4[ID], Table4[Website], "Not Found", 0)</f>
        <v>0</v>
      </c>
      <c r="T1646" s="16">
        <f>_xlfn.XLOOKUP(CustomerCombinedCleaned[[#This Row],[ID]], Table4[ID], Table4[Catalog], "Not Found", 0)</f>
        <v>1</v>
      </c>
      <c r="U1646" s="16">
        <f>_xlfn.XLOOKUP(CustomerCombinedCleaned[[#This Row],[ID]], Table4[ID], Table4[Store], "Not Found", 0)</f>
        <v>2</v>
      </c>
      <c r="V1646" s="16">
        <f>_xlfn.XLOOKUP(CustomerCombinedCleaned[[#This Row],[ID]], Table4[ID], Table4[Visits], "Not Found", 0)</f>
        <v>4</v>
      </c>
      <c r="W1646" s="16">
        <f>_xlfn.XLOOKUP(CustomerCombinedCleaned[[#This Row],[ID]], Table2[ID],Table2[Complaint], "Not Found", 0 )</f>
        <v>0</v>
      </c>
      <c r="X1646" s="16">
        <f>_xlfn.XLOOKUP(CustomerCombinedCleaned[[#This Row],[ID]], Table2[ID],Table2[Pilot], "Not Found", 0 )</f>
        <v>0</v>
      </c>
      <c r="Y1646" s="16">
        <f>_xlfn.XLOOKUP(CustomerCombinedCleaned[[#This Row],[ID]], Table2[ID],Table2[MC1], "Not Found", 0 )</f>
        <v>0</v>
      </c>
      <c r="Z1646" s="16">
        <f>_xlfn.XLOOKUP(CustomerCombinedCleaned[[#This Row],[ID]], Table2[ID],Table2[MC2], "Not Found", 0 )</f>
        <v>0</v>
      </c>
      <c r="AA1646" s="16">
        <f>_xlfn.XLOOKUP(CustomerCombinedCleaned[[#This Row],[ID]], Table2[ID],Table2[MC3], "Not Found", 0 )</f>
        <v>0</v>
      </c>
      <c r="AB1646" s="16">
        <f>_xlfn.XLOOKUP(CustomerCombinedCleaned[[#This Row],[ID]], Table2[ID],Table2[MC4], "Not Found", 0 )</f>
        <v>0</v>
      </c>
      <c r="AC1646" s="16">
        <f>_xlfn.XLOOKUP(CustomerCombinedCleaned[[#This Row],[ID]], Table2[ID],Table2[MC5], "Not Found", 0 )</f>
        <v>0</v>
      </c>
    </row>
    <row r="1647" spans="1:29" x14ac:dyDescent="0.3">
      <c r="A1647" s="18">
        <v>2579</v>
      </c>
      <c r="B1647" s="16">
        <v>144512</v>
      </c>
      <c r="C1647" s="16">
        <v>1</v>
      </c>
      <c r="D1647" s="16">
        <v>1</v>
      </c>
      <c r="E1647" s="16">
        <v>60</v>
      </c>
      <c r="F1647" s="17" t="s">
        <v>8</v>
      </c>
      <c r="G1647" s="17" t="s">
        <v>11</v>
      </c>
      <c r="H1647" s="3" t="s">
        <v>764</v>
      </c>
      <c r="I1647" s="5" t="s">
        <v>434</v>
      </c>
      <c r="J1647" s="16">
        <f>_xlfn.XLOOKUP(CustomerCombinedCleaned[[#This Row],[ID]], Table4[ID], Table4[Recency], "Not Found", 0)</f>
        <v>57</v>
      </c>
      <c r="K1647" s="16">
        <f>_xlfn.XLOOKUP(CustomerCombinedCleaned[[#This Row],[ID]], Table4[ID], Table4[Teas], "Not Found", 0)</f>
        <v>75</v>
      </c>
      <c r="L1647" s="16">
        <f>_xlfn.XLOOKUP(CustomerCombinedCleaned[[#This Row],[ID]], Table4[ID], Table4[Fruits], "Not Found", 0)</f>
        <v>3</v>
      </c>
      <c r="M1647" s="16">
        <f>_xlfn.XLOOKUP(CustomerCombinedCleaned[[#This Row],[ID]], Table4[ID], Table4[Meats], "Not Found", 0)</f>
        <v>19</v>
      </c>
      <c r="N1647" s="16">
        <f>_xlfn.XLOOKUP(CustomerCombinedCleaned[[#This Row],[ID]], Table4[ID], Table4[Seafood], "Not Found", 0)</f>
        <v>0</v>
      </c>
      <c r="O1647" s="16">
        <f>_xlfn.XLOOKUP(CustomerCombinedCleaned[[#This Row],[ID]], Table4[ID], Table4[Sweets], "Not Found", 0)</f>
        <v>0</v>
      </c>
      <c r="P1647" s="16">
        <f>_xlfn.XLOOKUP(CustomerCombinedCleaned[[#This Row],[ID]], Table4[ID], Table4[Premium], "Not Found", 0)</f>
        <v>6</v>
      </c>
      <c r="Q1647" s="16">
        <f>_xlfn.XLOOKUP(CustomerCombinedCleaned[[#This Row],[ID]], Table4[ID], Table4[Regular], "Not Found", 0)</f>
        <v>91</v>
      </c>
      <c r="R1647" s="16">
        <f>_xlfn.XLOOKUP(CustomerCombinedCleaned[[#This Row],[ID]], Table4[ID], Table4[Deals], "Not Found", 0)</f>
        <v>2</v>
      </c>
      <c r="S1647" s="16">
        <f>_xlfn.XLOOKUP(CustomerCombinedCleaned[[#This Row],[ID]], Table4[ID], Table4[Website], "Not Found", 0)</f>
        <v>1</v>
      </c>
      <c r="T1647" s="16">
        <f>_xlfn.XLOOKUP(CustomerCombinedCleaned[[#This Row],[ID]], Table4[ID], Table4[Catalog], "Not Found", 0)</f>
        <v>0</v>
      </c>
      <c r="U1647" s="16">
        <f>_xlfn.XLOOKUP(CustomerCombinedCleaned[[#This Row],[ID]], Table4[ID], Table4[Store], "Not Found", 0)</f>
        <v>3</v>
      </c>
      <c r="V1647" s="16">
        <f>_xlfn.XLOOKUP(CustomerCombinedCleaned[[#This Row],[ID]], Table4[ID], Table4[Visits], "Not Found", 0)</f>
        <v>4</v>
      </c>
      <c r="W1647" s="16">
        <f>_xlfn.XLOOKUP(CustomerCombinedCleaned[[#This Row],[ID]], Table2[ID],Table2[Complaint], "Not Found", 0 )</f>
        <v>0</v>
      </c>
      <c r="X1647" s="16">
        <f>_xlfn.XLOOKUP(CustomerCombinedCleaned[[#This Row],[ID]], Table2[ID],Table2[Pilot], "Not Found", 0 )</f>
        <v>0</v>
      </c>
      <c r="Y1647" s="16">
        <f>_xlfn.XLOOKUP(CustomerCombinedCleaned[[#This Row],[ID]], Table2[ID],Table2[MC1], "Not Found", 0 )</f>
        <v>0</v>
      </c>
      <c r="Z1647" s="16">
        <f>_xlfn.XLOOKUP(CustomerCombinedCleaned[[#This Row],[ID]], Table2[ID],Table2[MC2], "Not Found", 0 )</f>
        <v>0</v>
      </c>
      <c r="AA1647" s="16">
        <f>_xlfn.XLOOKUP(CustomerCombinedCleaned[[#This Row],[ID]], Table2[ID],Table2[MC3], "Not Found", 0 )</f>
        <v>0</v>
      </c>
      <c r="AB1647" s="16">
        <f>_xlfn.XLOOKUP(CustomerCombinedCleaned[[#This Row],[ID]], Table2[ID],Table2[MC4], "Not Found", 0 )</f>
        <v>0</v>
      </c>
      <c r="AC1647" s="16">
        <f>_xlfn.XLOOKUP(CustomerCombinedCleaned[[#This Row],[ID]], Table2[ID],Table2[MC5], "Not Found", 0 )</f>
        <v>0</v>
      </c>
    </row>
    <row r="1648" spans="1:29" x14ac:dyDescent="0.3">
      <c r="A1648" s="18">
        <v>3115</v>
      </c>
      <c r="B1648" s="16">
        <v>141275</v>
      </c>
      <c r="C1648" s="16">
        <v>1</v>
      </c>
      <c r="D1648" s="16">
        <v>2</v>
      </c>
      <c r="E1648" s="16">
        <v>60</v>
      </c>
      <c r="F1648" s="17" t="s">
        <v>8</v>
      </c>
      <c r="G1648" s="17" t="s">
        <v>12</v>
      </c>
      <c r="H1648" s="3" t="s">
        <v>77</v>
      </c>
      <c r="I1648" s="5" t="s">
        <v>437</v>
      </c>
      <c r="J1648" s="16">
        <f>_xlfn.XLOOKUP(CustomerCombinedCleaned[[#This Row],[ID]], Table4[ID], Table4[Recency], "Not Found", 0)</f>
        <v>33</v>
      </c>
      <c r="K1648" s="16">
        <f>_xlfn.XLOOKUP(CustomerCombinedCleaned[[#This Row],[ID]], Table4[ID], Table4[Teas], "Not Found", 0)</f>
        <v>82</v>
      </c>
      <c r="L1648" s="16">
        <f>_xlfn.XLOOKUP(CustomerCombinedCleaned[[#This Row],[ID]], Table4[ID], Table4[Fruits], "Not Found", 0)</f>
        <v>14</v>
      </c>
      <c r="M1648" s="16">
        <f>_xlfn.XLOOKUP(CustomerCombinedCleaned[[#This Row],[ID]], Table4[ID], Table4[Meats], "Not Found", 0)</f>
        <v>75</v>
      </c>
      <c r="N1648" s="16">
        <f>_xlfn.XLOOKUP(CustomerCombinedCleaned[[#This Row],[ID]], Table4[ID], Table4[Seafood], "Not Found", 0)</f>
        <v>0</v>
      </c>
      <c r="O1648" s="16">
        <f>_xlfn.XLOOKUP(CustomerCombinedCleaned[[#This Row],[ID]], Table4[ID], Table4[Sweets], "Not Found", 0)</f>
        <v>7</v>
      </c>
      <c r="P1648" s="16">
        <f>_xlfn.XLOOKUP(CustomerCombinedCleaned[[#This Row],[ID]], Table4[ID], Table4[Premium], "Not Found", 0)</f>
        <v>31</v>
      </c>
      <c r="Q1648" s="16">
        <f>_xlfn.XLOOKUP(CustomerCombinedCleaned[[#This Row],[ID]], Table4[ID], Table4[Regular], "Not Found", 0)</f>
        <v>147</v>
      </c>
      <c r="R1648" s="16">
        <f>_xlfn.XLOOKUP(CustomerCombinedCleaned[[#This Row],[ID]], Table4[ID], Table4[Deals], "Not Found", 0)</f>
        <v>4</v>
      </c>
      <c r="S1648" s="16">
        <f>_xlfn.XLOOKUP(CustomerCombinedCleaned[[#This Row],[ID]], Table4[ID], Table4[Website], "Not Found", 0)</f>
        <v>3</v>
      </c>
      <c r="T1648" s="16">
        <f>_xlfn.XLOOKUP(CustomerCombinedCleaned[[#This Row],[ID]], Table4[ID], Table4[Catalog], "Not Found", 0)</f>
        <v>1</v>
      </c>
      <c r="U1648" s="16">
        <f>_xlfn.XLOOKUP(CustomerCombinedCleaned[[#This Row],[ID]], Table4[ID], Table4[Store], "Not Found", 0)</f>
        <v>3</v>
      </c>
      <c r="V1648" s="16">
        <f>_xlfn.XLOOKUP(CustomerCombinedCleaned[[#This Row],[ID]], Table4[ID], Table4[Visits], "Not Found", 0)</f>
        <v>5</v>
      </c>
      <c r="W1648" s="16">
        <f>_xlfn.XLOOKUP(CustomerCombinedCleaned[[#This Row],[ID]], Table2[ID],Table2[Complaint], "Not Found", 0 )</f>
        <v>0</v>
      </c>
      <c r="X1648" s="16">
        <f>_xlfn.XLOOKUP(CustomerCombinedCleaned[[#This Row],[ID]], Table2[ID],Table2[Pilot], "Not Found", 0 )</f>
        <v>0</v>
      </c>
      <c r="Y1648" s="16">
        <f>_xlfn.XLOOKUP(CustomerCombinedCleaned[[#This Row],[ID]], Table2[ID],Table2[MC1], "Not Found", 0 )</f>
        <v>0</v>
      </c>
      <c r="Z1648" s="16">
        <f>_xlfn.XLOOKUP(CustomerCombinedCleaned[[#This Row],[ID]], Table2[ID],Table2[MC2], "Not Found", 0 )</f>
        <v>0</v>
      </c>
      <c r="AA1648" s="16">
        <f>_xlfn.XLOOKUP(CustomerCombinedCleaned[[#This Row],[ID]], Table2[ID],Table2[MC3], "Not Found", 0 )</f>
        <v>0</v>
      </c>
      <c r="AB1648" s="16">
        <f>_xlfn.XLOOKUP(CustomerCombinedCleaned[[#This Row],[ID]], Table2[ID],Table2[MC4], "Not Found", 0 )</f>
        <v>0</v>
      </c>
      <c r="AC1648" s="16">
        <f>_xlfn.XLOOKUP(CustomerCombinedCleaned[[#This Row],[ID]], Table2[ID],Table2[MC5], "Not Found", 0 )</f>
        <v>0</v>
      </c>
    </row>
    <row r="1649" spans="1:29" x14ac:dyDescent="0.3">
      <c r="A1649" s="18">
        <v>2621</v>
      </c>
      <c r="B1649" s="16">
        <v>139228</v>
      </c>
      <c r="C1649" s="16">
        <v>0</v>
      </c>
      <c r="D1649" s="16">
        <v>0</v>
      </c>
      <c r="E1649" s="16">
        <v>60</v>
      </c>
      <c r="F1649" s="17" t="s">
        <v>5</v>
      </c>
      <c r="G1649" s="17" t="s">
        <v>12</v>
      </c>
      <c r="H1649" s="3" t="s">
        <v>261</v>
      </c>
      <c r="I1649" s="5" t="s">
        <v>434</v>
      </c>
      <c r="J1649" s="16">
        <f>_xlfn.XLOOKUP(CustomerCombinedCleaned[[#This Row],[ID]], Table4[ID], Table4[Recency], "Not Found", 0)</f>
        <v>1</v>
      </c>
      <c r="K1649" s="16">
        <f>_xlfn.XLOOKUP(CustomerCombinedCleaned[[#This Row],[ID]], Table4[ID], Table4[Teas], "Not Found", 0)</f>
        <v>25</v>
      </c>
      <c r="L1649" s="16">
        <f>_xlfn.XLOOKUP(CustomerCombinedCleaned[[#This Row],[ID]], Table4[ID], Table4[Fruits], "Not Found", 0)</f>
        <v>4</v>
      </c>
      <c r="M1649" s="16">
        <f>_xlfn.XLOOKUP(CustomerCombinedCleaned[[#This Row],[ID]], Table4[ID], Table4[Meats], "Not Found", 0)</f>
        <v>21</v>
      </c>
      <c r="N1649" s="16">
        <f>_xlfn.XLOOKUP(CustomerCombinedCleaned[[#This Row],[ID]], Table4[ID], Table4[Seafood], "Not Found", 0)</f>
        <v>0</v>
      </c>
      <c r="O1649" s="16">
        <f>_xlfn.XLOOKUP(CustomerCombinedCleaned[[#This Row],[ID]], Table4[ID], Table4[Sweets], "Not Found", 0)</f>
        <v>11</v>
      </c>
      <c r="P1649" s="16">
        <f>_xlfn.XLOOKUP(CustomerCombinedCleaned[[#This Row],[ID]], Table4[ID], Table4[Premium], "Not Found", 0)</f>
        <v>11</v>
      </c>
      <c r="Q1649" s="16">
        <f>_xlfn.XLOOKUP(CustomerCombinedCleaned[[#This Row],[ID]], Table4[ID], Table4[Regular], "Not Found", 0)</f>
        <v>50</v>
      </c>
      <c r="R1649" s="16">
        <f>_xlfn.XLOOKUP(CustomerCombinedCleaned[[#This Row],[ID]], Table4[ID], Table4[Deals], "Not Found", 0)</f>
        <v>1</v>
      </c>
      <c r="S1649" s="16">
        <f>_xlfn.XLOOKUP(CustomerCombinedCleaned[[#This Row],[ID]], Table4[ID], Table4[Website], "Not Found", 0)</f>
        <v>0</v>
      </c>
      <c r="T1649" s="16">
        <f>_xlfn.XLOOKUP(CustomerCombinedCleaned[[#This Row],[ID]], Table4[ID], Table4[Catalog], "Not Found", 0)</f>
        <v>0</v>
      </c>
      <c r="U1649" s="16">
        <f>_xlfn.XLOOKUP(CustomerCombinedCleaned[[#This Row],[ID]], Table4[ID], Table4[Store], "Not Found", 0)</f>
        <v>3</v>
      </c>
      <c r="V1649" s="16">
        <f>_xlfn.XLOOKUP(CustomerCombinedCleaned[[#This Row],[ID]], Table4[ID], Table4[Visits], "Not Found", 0)</f>
        <v>4</v>
      </c>
      <c r="W1649" s="16">
        <f>_xlfn.XLOOKUP(CustomerCombinedCleaned[[#This Row],[ID]], Table2[ID],Table2[Complaint], "Not Found", 0 )</f>
        <v>0</v>
      </c>
      <c r="X1649" s="16">
        <f>_xlfn.XLOOKUP(CustomerCombinedCleaned[[#This Row],[ID]], Table2[ID],Table2[Pilot], "Not Found", 0 )</f>
        <v>0</v>
      </c>
      <c r="Y1649" s="16">
        <f>_xlfn.XLOOKUP(CustomerCombinedCleaned[[#This Row],[ID]], Table2[ID],Table2[MC1], "Not Found", 0 )</f>
        <v>0</v>
      </c>
      <c r="Z1649" s="16">
        <f>_xlfn.XLOOKUP(CustomerCombinedCleaned[[#This Row],[ID]], Table2[ID],Table2[MC2], "Not Found", 0 )</f>
        <v>0</v>
      </c>
      <c r="AA1649" s="16">
        <f>_xlfn.XLOOKUP(CustomerCombinedCleaned[[#This Row],[ID]], Table2[ID],Table2[MC3], "Not Found", 0 )</f>
        <v>0</v>
      </c>
      <c r="AB1649" s="16">
        <f>_xlfn.XLOOKUP(CustomerCombinedCleaned[[#This Row],[ID]], Table2[ID],Table2[MC4], "Not Found", 0 )</f>
        <v>0</v>
      </c>
      <c r="AC1649" s="16">
        <f>_xlfn.XLOOKUP(CustomerCombinedCleaned[[#This Row],[ID]], Table2[ID],Table2[MC5], "Not Found", 0 )</f>
        <v>0</v>
      </c>
    </row>
    <row r="1650" spans="1:29" x14ac:dyDescent="0.3">
      <c r="A1650" s="18">
        <v>2551</v>
      </c>
      <c r="B1650" s="16">
        <v>138201</v>
      </c>
      <c r="C1650" s="16">
        <v>0</v>
      </c>
      <c r="D1650" s="16">
        <v>1</v>
      </c>
      <c r="E1650" s="16">
        <v>60</v>
      </c>
      <c r="F1650" s="17" t="s">
        <v>8</v>
      </c>
      <c r="G1650" s="17" t="s">
        <v>13</v>
      </c>
      <c r="H1650" s="3" t="s">
        <v>657</v>
      </c>
      <c r="I1650" s="5" t="s">
        <v>437</v>
      </c>
      <c r="J1650" s="16">
        <f>_xlfn.XLOOKUP(CustomerCombinedCleaned[[#This Row],[ID]], Table4[ID], Table4[Recency], "Not Found", 0)</f>
        <v>19</v>
      </c>
      <c r="K1650" s="16">
        <f>_xlfn.XLOOKUP(CustomerCombinedCleaned[[#This Row],[ID]], Table4[ID], Table4[Teas], "Not Found", 0)</f>
        <v>843</v>
      </c>
      <c r="L1650" s="16">
        <f>_xlfn.XLOOKUP(CustomerCombinedCleaned[[#This Row],[ID]], Table4[ID], Table4[Fruits], "Not Found", 0)</f>
        <v>0</v>
      </c>
      <c r="M1650" s="16">
        <f>_xlfn.XLOOKUP(CustomerCombinedCleaned[[#This Row],[ID]], Table4[ID], Table4[Meats], "Not Found", 0)</f>
        <v>83</v>
      </c>
      <c r="N1650" s="16">
        <f>_xlfn.XLOOKUP(CustomerCombinedCleaned[[#This Row],[ID]], Table4[ID], Table4[Seafood], "Not Found", 0)</f>
        <v>0</v>
      </c>
      <c r="O1650" s="16">
        <f>_xlfn.XLOOKUP(CustomerCombinedCleaned[[#This Row],[ID]], Table4[ID], Table4[Sweets], "Not Found", 0)</f>
        <v>0</v>
      </c>
      <c r="P1650" s="16">
        <f>_xlfn.XLOOKUP(CustomerCombinedCleaned[[#This Row],[ID]], Table4[ID], Table4[Premium], "Not Found", 0)</f>
        <v>43</v>
      </c>
      <c r="Q1650" s="16">
        <f>_xlfn.XLOOKUP(CustomerCombinedCleaned[[#This Row],[ID]], Table4[ID], Table4[Regular], "Not Found", 0)</f>
        <v>883</v>
      </c>
      <c r="R1650" s="16">
        <f>_xlfn.XLOOKUP(CustomerCombinedCleaned[[#This Row],[ID]], Table4[ID], Table4[Deals], "Not Found", 0)</f>
        <v>4</v>
      </c>
      <c r="S1650" s="16">
        <f>_xlfn.XLOOKUP(CustomerCombinedCleaned[[#This Row],[ID]], Table4[ID], Table4[Website], "Not Found", 0)</f>
        <v>5</v>
      </c>
      <c r="T1650" s="16">
        <f>_xlfn.XLOOKUP(CustomerCombinedCleaned[[#This Row],[ID]], Table4[ID], Table4[Catalog], "Not Found", 0)</f>
        <v>1</v>
      </c>
      <c r="U1650" s="16">
        <f>_xlfn.XLOOKUP(CustomerCombinedCleaned[[#This Row],[ID]], Table4[ID], Table4[Store], "Not Found", 0)</f>
        <v>5</v>
      </c>
      <c r="V1650" s="16">
        <f>_xlfn.XLOOKUP(CustomerCombinedCleaned[[#This Row],[ID]], Table4[ID], Table4[Visits], "Not Found", 0)</f>
        <v>8</v>
      </c>
      <c r="W1650" s="16">
        <f>_xlfn.XLOOKUP(CustomerCombinedCleaned[[#This Row],[ID]], Table2[ID],Table2[Complaint], "Not Found", 0 )</f>
        <v>0</v>
      </c>
      <c r="X1650" s="16">
        <f>_xlfn.XLOOKUP(CustomerCombinedCleaned[[#This Row],[ID]], Table2[ID],Table2[Pilot], "Not Found", 0 )</f>
        <v>0</v>
      </c>
      <c r="Y1650" s="16">
        <f>_xlfn.XLOOKUP(CustomerCombinedCleaned[[#This Row],[ID]], Table2[ID],Table2[MC1], "Not Found", 0 )</f>
        <v>0</v>
      </c>
      <c r="Z1650" s="16">
        <f>_xlfn.XLOOKUP(CustomerCombinedCleaned[[#This Row],[ID]], Table2[ID],Table2[MC2], "Not Found", 0 )</f>
        <v>0</v>
      </c>
      <c r="AA1650" s="16">
        <f>_xlfn.XLOOKUP(CustomerCombinedCleaned[[#This Row],[ID]], Table2[ID],Table2[MC3], "Not Found", 0 )</f>
        <v>0</v>
      </c>
      <c r="AB1650" s="16">
        <f>_xlfn.XLOOKUP(CustomerCombinedCleaned[[#This Row],[ID]], Table2[ID],Table2[MC4], "Not Found", 0 )</f>
        <v>0</v>
      </c>
      <c r="AC1650" s="16">
        <f>_xlfn.XLOOKUP(CustomerCombinedCleaned[[#This Row],[ID]], Table2[ID],Table2[MC5], "Not Found", 0 )</f>
        <v>0</v>
      </c>
    </row>
    <row r="1651" spans="1:29" x14ac:dyDescent="0.3">
      <c r="A1651" s="18">
        <v>1616</v>
      </c>
      <c r="B1651" s="16">
        <v>132218</v>
      </c>
      <c r="C1651" s="16">
        <v>0</v>
      </c>
      <c r="D1651" s="16">
        <v>0</v>
      </c>
      <c r="E1651" s="16">
        <v>60</v>
      </c>
      <c r="F1651" s="17" t="s">
        <v>7</v>
      </c>
      <c r="G1651" s="17" t="s">
        <v>11</v>
      </c>
      <c r="H1651" s="3" t="s">
        <v>98</v>
      </c>
      <c r="I1651" s="5" t="s">
        <v>438</v>
      </c>
      <c r="J1651" s="16">
        <f>_xlfn.XLOOKUP(CustomerCombinedCleaned[[#This Row],[ID]], Table4[ID], Table4[Recency], "Not Found", 0)</f>
        <v>27</v>
      </c>
      <c r="K1651" s="16">
        <f>_xlfn.XLOOKUP(CustomerCombinedCleaned[[#This Row],[ID]], Table4[ID], Table4[Teas], "Not Found", 0)</f>
        <v>41</v>
      </c>
      <c r="L1651" s="16">
        <f>_xlfn.XLOOKUP(CustomerCombinedCleaned[[#This Row],[ID]], Table4[ID], Table4[Fruits], "Not Found", 0)</f>
        <v>98</v>
      </c>
      <c r="M1651" s="16">
        <f>_xlfn.XLOOKUP(CustomerCombinedCleaned[[#This Row],[ID]], Table4[ID], Table4[Meats], "Not Found", 0)</f>
        <v>62</v>
      </c>
      <c r="N1651" s="16">
        <f>_xlfn.XLOOKUP(CustomerCombinedCleaned[[#This Row],[ID]], Table4[ID], Table4[Seafood], "Not Found", 0)</f>
        <v>53</v>
      </c>
      <c r="O1651" s="16">
        <f>_xlfn.XLOOKUP(CustomerCombinedCleaned[[#This Row],[ID]], Table4[ID], Table4[Sweets], "Not Found", 0)</f>
        <v>4</v>
      </c>
      <c r="P1651" s="16">
        <f>_xlfn.XLOOKUP(CustomerCombinedCleaned[[#This Row],[ID]], Table4[ID], Table4[Premium], "Not Found", 0)</f>
        <v>123</v>
      </c>
      <c r="Q1651" s="16">
        <f>_xlfn.XLOOKUP(CustomerCombinedCleaned[[#This Row],[ID]], Table4[ID], Table4[Regular], "Not Found", 0)</f>
        <v>135</v>
      </c>
      <c r="R1651" s="16">
        <f>_xlfn.XLOOKUP(CustomerCombinedCleaned[[#This Row],[ID]], Table4[ID], Table4[Deals], "Not Found", 0)</f>
        <v>1</v>
      </c>
      <c r="S1651" s="16">
        <f>_xlfn.XLOOKUP(CustomerCombinedCleaned[[#This Row],[ID]], Table4[ID], Table4[Website], "Not Found", 0)</f>
        <v>2</v>
      </c>
      <c r="T1651" s="16">
        <f>_xlfn.XLOOKUP(CustomerCombinedCleaned[[#This Row],[ID]], Table4[ID], Table4[Catalog], "Not Found", 0)</f>
        <v>1</v>
      </c>
      <c r="U1651" s="16">
        <f>_xlfn.XLOOKUP(CustomerCombinedCleaned[[#This Row],[ID]], Table4[ID], Table4[Store], "Not Found", 0)</f>
        <v>3</v>
      </c>
      <c r="V1651" s="16">
        <f>_xlfn.XLOOKUP(CustomerCombinedCleaned[[#This Row],[ID]], Table4[ID], Table4[Visits], "Not Found", 0)</f>
        <v>7</v>
      </c>
      <c r="W1651" s="16">
        <f>_xlfn.XLOOKUP(CustomerCombinedCleaned[[#This Row],[ID]], Table2[ID],Table2[Complaint], "Not Found", 0 )</f>
        <v>0</v>
      </c>
      <c r="X1651" s="16">
        <f>_xlfn.XLOOKUP(CustomerCombinedCleaned[[#This Row],[ID]], Table2[ID],Table2[Pilot], "Not Found", 0 )</f>
        <v>1</v>
      </c>
      <c r="Y1651" s="16">
        <f>_xlfn.XLOOKUP(CustomerCombinedCleaned[[#This Row],[ID]], Table2[ID],Table2[MC1], "Not Found", 0 )</f>
        <v>0</v>
      </c>
      <c r="Z1651" s="16">
        <f>_xlfn.XLOOKUP(CustomerCombinedCleaned[[#This Row],[ID]], Table2[ID],Table2[MC2], "Not Found", 0 )</f>
        <v>0</v>
      </c>
      <c r="AA1651" s="16">
        <f>_xlfn.XLOOKUP(CustomerCombinedCleaned[[#This Row],[ID]], Table2[ID],Table2[MC3], "Not Found", 0 )</f>
        <v>1</v>
      </c>
      <c r="AB1651" s="16">
        <f>_xlfn.XLOOKUP(CustomerCombinedCleaned[[#This Row],[ID]], Table2[ID],Table2[MC4], "Not Found", 0 )</f>
        <v>0</v>
      </c>
      <c r="AC1651" s="16">
        <f>_xlfn.XLOOKUP(CustomerCombinedCleaned[[#This Row],[ID]], Table2[ID],Table2[MC5], "Not Found", 0 )</f>
        <v>0</v>
      </c>
    </row>
    <row r="1652" spans="1:29" x14ac:dyDescent="0.3">
      <c r="A1652" s="18">
        <v>2244</v>
      </c>
      <c r="B1652" s="16">
        <v>131454</v>
      </c>
      <c r="C1652" s="16">
        <v>1</v>
      </c>
      <c r="D1652" s="16">
        <v>1</v>
      </c>
      <c r="E1652" s="16">
        <v>60</v>
      </c>
      <c r="F1652" s="17" t="s">
        <v>6</v>
      </c>
      <c r="G1652" s="17" t="s">
        <v>11</v>
      </c>
      <c r="H1652" s="3" t="s">
        <v>707</v>
      </c>
      <c r="I1652" s="5" t="s">
        <v>436</v>
      </c>
      <c r="J1652" s="16">
        <f>_xlfn.XLOOKUP(CustomerCombinedCleaned[[#This Row],[ID]], Table4[ID], Table4[Recency], "Not Found", 0)</f>
        <v>40</v>
      </c>
      <c r="K1652" s="16">
        <f>_xlfn.XLOOKUP(CustomerCombinedCleaned[[#This Row],[ID]], Table4[ID], Table4[Teas], "Not Found", 0)</f>
        <v>117</v>
      </c>
      <c r="L1652" s="16">
        <f>_xlfn.XLOOKUP(CustomerCombinedCleaned[[#This Row],[ID]], Table4[ID], Table4[Fruits], "Not Found", 0)</f>
        <v>0</v>
      </c>
      <c r="M1652" s="16">
        <f>_xlfn.XLOOKUP(CustomerCombinedCleaned[[#This Row],[ID]], Table4[ID], Table4[Meats], "Not Found", 0)</f>
        <v>46</v>
      </c>
      <c r="N1652" s="16">
        <f>_xlfn.XLOOKUP(CustomerCombinedCleaned[[#This Row],[ID]], Table4[ID], Table4[Seafood], "Not Found", 0)</f>
        <v>0</v>
      </c>
      <c r="O1652" s="16">
        <f>_xlfn.XLOOKUP(CustomerCombinedCleaned[[#This Row],[ID]], Table4[ID], Table4[Sweets], "Not Found", 0)</f>
        <v>0</v>
      </c>
      <c r="P1652" s="16">
        <f>_xlfn.XLOOKUP(CustomerCombinedCleaned[[#This Row],[ID]], Table4[ID], Table4[Premium], "Not Found", 0)</f>
        <v>38</v>
      </c>
      <c r="Q1652" s="16">
        <f>_xlfn.XLOOKUP(CustomerCombinedCleaned[[#This Row],[ID]], Table4[ID], Table4[Regular], "Not Found", 0)</f>
        <v>125</v>
      </c>
      <c r="R1652" s="16">
        <f>_xlfn.XLOOKUP(CustomerCombinedCleaned[[#This Row],[ID]], Table4[ID], Table4[Deals], "Not Found", 0)</f>
        <v>3</v>
      </c>
      <c r="S1652" s="16">
        <f>_xlfn.XLOOKUP(CustomerCombinedCleaned[[#This Row],[ID]], Table4[ID], Table4[Website], "Not Found", 0)</f>
        <v>2</v>
      </c>
      <c r="T1652" s="16">
        <f>_xlfn.XLOOKUP(CustomerCombinedCleaned[[#This Row],[ID]], Table4[ID], Table4[Catalog], "Not Found", 0)</f>
        <v>0</v>
      </c>
      <c r="U1652" s="16">
        <f>_xlfn.XLOOKUP(CustomerCombinedCleaned[[#This Row],[ID]], Table4[ID], Table4[Store], "Not Found", 0)</f>
        <v>3</v>
      </c>
      <c r="V1652" s="16">
        <f>_xlfn.XLOOKUP(CustomerCombinedCleaned[[#This Row],[ID]], Table4[ID], Table4[Visits], "Not Found", 0)</f>
        <v>8</v>
      </c>
      <c r="W1652" s="16">
        <f>_xlfn.XLOOKUP(CustomerCombinedCleaned[[#This Row],[ID]], Table2[ID],Table2[Complaint], "Not Found", 0 )</f>
        <v>0</v>
      </c>
      <c r="X1652" s="16">
        <f>_xlfn.XLOOKUP(CustomerCombinedCleaned[[#This Row],[ID]], Table2[ID],Table2[Pilot], "Not Found", 0 )</f>
        <v>0</v>
      </c>
      <c r="Y1652" s="16">
        <f>_xlfn.XLOOKUP(CustomerCombinedCleaned[[#This Row],[ID]], Table2[ID],Table2[MC1], "Not Found", 0 )</f>
        <v>0</v>
      </c>
      <c r="Z1652" s="16">
        <f>_xlfn.XLOOKUP(CustomerCombinedCleaned[[#This Row],[ID]], Table2[ID],Table2[MC2], "Not Found", 0 )</f>
        <v>0</v>
      </c>
      <c r="AA1652" s="16">
        <f>_xlfn.XLOOKUP(CustomerCombinedCleaned[[#This Row],[ID]], Table2[ID],Table2[MC3], "Not Found", 0 )</f>
        <v>0</v>
      </c>
      <c r="AB1652" s="16">
        <f>_xlfn.XLOOKUP(CustomerCombinedCleaned[[#This Row],[ID]], Table2[ID],Table2[MC4], "Not Found", 0 )</f>
        <v>0</v>
      </c>
      <c r="AC1652" s="16">
        <f>_xlfn.XLOOKUP(CustomerCombinedCleaned[[#This Row],[ID]], Table2[ID],Table2[MC5], "Not Found", 0 )</f>
        <v>0</v>
      </c>
    </row>
    <row r="1653" spans="1:29" x14ac:dyDescent="0.3">
      <c r="A1653" s="18">
        <v>1602</v>
      </c>
      <c r="B1653" s="16">
        <v>130522</v>
      </c>
      <c r="C1653" s="16">
        <v>0</v>
      </c>
      <c r="D1653" s="16">
        <v>1</v>
      </c>
      <c r="E1653" s="16">
        <v>60</v>
      </c>
      <c r="F1653" s="17" t="s">
        <v>6</v>
      </c>
      <c r="G1653" s="17" t="s">
        <v>12</v>
      </c>
      <c r="H1653" s="3" t="s">
        <v>411</v>
      </c>
      <c r="I1653" s="5" t="s">
        <v>436</v>
      </c>
      <c r="J1653" s="16">
        <f>_xlfn.XLOOKUP(CustomerCombinedCleaned[[#This Row],[ID]], Table4[ID], Table4[Recency], "Not Found", 0)</f>
        <v>6</v>
      </c>
      <c r="K1653" s="16">
        <f>_xlfn.XLOOKUP(CustomerCombinedCleaned[[#This Row],[ID]], Table4[ID], Table4[Teas], "Not Found", 0)</f>
        <v>765</v>
      </c>
      <c r="L1653" s="16">
        <f>_xlfn.XLOOKUP(CustomerCombinedCleaned[[#This Row],[ID]], Table4[ID], Table4[Fruits], "Not Found", 0)</f>
        <v>34</v>
      </c>
      <c r="M1653" s="16">
        <f>_xlfn.XLOOKUP(CustomerCombinedCleaned[[#This Row],[ID]], Table4[ID], Table4[Meats], "Not Found", 0)</f>
        <v>355</v>
      </c>
      <c r="N1653" s="16">
        <f>_xlfn.XLOOKUP(CustomerCombinedCleaned[[#This Row],[ID]], Table4[ID], Table4[Seafood], "Not Found", 0)</f>
        <v>81</v>
      </c>
      <c r="O1653" s="16">
        <f>_xlfn.XLOOKUP(CustomerCombinedCleaned[[#This Row],[ID]], Table4[ID], Table4[Sweets], "Not Found", 0)</f>
        <v>47</v>
      </c>
      <c r="P1653" s="16">
        <f>_xlfn.XLOOKUP(CustomerCombinedCleaned[[#This Row],[ID]], Table4[ID], Table4[Premium], "Not Found", 0)</f>
        <v>111</v>
      </c>
      <c r="Q1653" s="16">
        <f>_xlfn.XLOOKUP(CustomerCombinedCleaned[[#This Row],[ID]], Table4[ID], Table4[Regular], "Not Found", 0)</f>
        <v>1172</v>
      </c>
      <c r="R1653" s="16">
        <f>_xlfn.XLOOKUP(CustomerCombinedCleaned[[#This Row],[ID]], Table4[ID], Table4[Deals], "Not Found", 0)</f>
        <v>5</v>
      </c>
      <c r="S1653" s="16">
        <f>_xlfn.XLOOKUP(CustomerCombinedCleaned[[#This Row],[ID]], Table4[ID], Table4[Website], "Not Found", 0)</f>
        <v>1</v>
      </c>
      <c r="T1653" s="16">
        <f>_xlfn.XLOOKUP(CustomerCombinedCleaned[[#This Row],[ID]], Table4[ID], Table4[Catalog], "Not Found", 0)</f>
        <v>2</v>
      </c>
      <c r="U1653" s="16">
        <f>_xlfn.XLOOKUP(CustomerCombinedCleaned[[#This Row],[ID]], Table4[ID], Table4[Store], "Not Found", 0)</f>
        <v>9</v>
      </c>
      <c r="V1653" s="16">
        <f>_xlfn.XLOOKUP(CustomerCombinedCleaned[[#This Row],[ID]], Table4[ID], Table4[Visits], "Not Found", 0)</f>
        <v>2</v>
      </c>
      <c r="W1653" s="16">
        <f>_xlfn.XLOOKUP(CustomerCombinedCleaned[[#This Row],[ID]], Table2[ID],Table2[Complaint], "Not Found", 0 )</f>
        <v>0</v>
      </c>
      <c r="X1653" s="16">
        <f>_xlfn.XLOOKUP(CustomerCombinedCleaned[[#This Row],[ID]], Table2[ID],Table2[Pilot], "Not Found", 0 )</f>
        <v>0</v>
      </c>
      <c r="Y1653" s="16">
        <f>_xlfn.XLOOKUP(CustomerCombinedCleaned[[#This Row],[ID]], Table2[ID],Table2[MC1], "Not Found", 0 )</f>
        <v>0</v>
      </c>
      <c r="Z1653" s="16">
        <f>_xlfn.XLOOKUP(CustomerCombinedCleaned[[#This Row],[ID]], Table2[ID],Table2[MC2], "Not Found", 0 )</f>
        <v>0</v>
      </c>
      <c r="AA1653" s="16">
        <f>_xlfn.XLOOKUP(CustomerCombinedCleaned[[#This Row],[ID]], Table2[ID],Table2[MC3], "Not Found", 0 )</f>
        <v>0</v>
      </c>
      <c r="AB1653" s="16">
        <f>_xlfn.XLOOKUP(CustomerCombinedCleaned[[#This Row],[ID]], Table2[ID],Table2[MC4], "Not Found", 0 )</f>
        <v>0</v>
      </c>
      <c r="AC1653" s="16">
        <f>_xlfn.XLOOKUP(CustomerCombinedCleaned[[#This Row],[ID]], Table2[ID],Table2[MC5], "Not Found", 0 )</f>
        <v>0</v>
      </c>
    </row>
    <row r="1654" spans="1:29" x14ac:dyDescent="0.3">
      <c r="A1654" s="18">
        <v>1387</v>
      </c>
      <c r="B1654" s="16">
        <v>130507</v>
      </c>
      <c r="C1654" s="16">
        <v>0</v>
      </c>
      <c r="D1654" s="16">
        <v>0</v>
      </c>
      <c r="E1654" s="16">
        <v>60</v>
      </c>
      <c r="F1654" s="17" t="s">
        <v>8</v>
      </c>
      <c r="G1654" s="17" t="s">
        <v>11</v>
      </c>
      <c r="H1654" s="3" t="s">
        <v>296</v>
      </c>
      <c r="I1654" s="5" t="s">
        <v>437</v>
      </c>
      <c r="J1654" s="16">
        <f>_xlfn.XLOOKUP(CustomerCombinedCleaned[[#This Row],[ID]], Table4[ID], Table4[Recency], "Not Found", 0)</f>
        <v>29</v>
      </c>
      <c r="K1654" s="16">
        <f>_xlfn.XLOOKUP(CustomerCombinedCleaned[[#This Row],[ID]], Table4[ID], Table4[Teas], "Not Found", 0)</f>
        <v>278</v>
      </c>
      <c r="L1654" s="16">
        <f>_xlfn.XLOOKUP(CustomerCombinedCleaned[[#This Row],[ID]], Table4[ID], Table4[Fruits], "Not Found", 0)</f>
        <v>154</v>
      </c>
      <c r="M1654" s="16">
        <f>_xlfn.XLOOKUP(CustomerCombinedCleaned[[#This Row],[ID]], Table4[ID], Table4[Meats], "Not Found", 0)</f>
        <v>317</v>
      </c>
      <c r="N1654" s="16">
        <f>_xlfn.XLOOKUP(CustomerCombinedCleaned[[#This Row],[ID]], Table4[ID], Table4[Seafood], "Not Found", 0)</f>
        <v>163</v>
      </c>
      <c r="O1654" s="16">
        <f>_xlfn.XLOOKUP(CustomerCombinedCleaned[[#This Row],[ID]], Table4[ID], Table4[Sweets], "Not Found", 0)</f>
        <v>86</v>
      </c>
      <c r="P1654" s="16">
        <f>_xlfn.XLOOKUP(CustomerCombinedCleaned[[#This Row],[ID]], Table4[ID], Table4[Premium], "Not Found", 0)</f>
        <v>471</v>
      </c>
      <c r="Q1654" s="16">
        <f>_xlfn.XLOOKUP(CustomerCombinedCleaned[[#This Row],[ID]], Table4[ID], Table4[Regular], "Not Found", 0)</f>
        <v>526</v>
      </c>
      <c r="R1654" s="16">
        <f>_xlfn.XLOOKUP(CustomerCombinedCleaned[[#This Row],[ID]], Table4[ID], Table4[Deals], "Not Found", 0)</f>
        <v>1</v>
      </c>
      <c r="S1654" s="16">
        <f>_xlfn.XLOOKUP(CustomerCombinedCleaned[[#This Row],[ID]], Table4[ID], Table4[Website], "Not Found", 0)</f>
        <v>5</v>
      </c>
      <c r="T1654" s="16">
        <f>_xlfn.XLOOKUP(CustomerCombinedCleaned[[#This Row],[ID]], Table4[ID], Table4[Catalog], "Not Found", 0)</f>
        <v>1</v>
      </c>
      <c r="U1654" s="16">
        <f>_xlfn.XLOOKUP(CustomerCombinedCleaned[[#This Row],[ID]], Table4[ID], Table4[Store], "Not Found", 0)</f>
        <v>4</v>
      </c>
      <c r="V1654" s="16">
        <f>_xlfn.XLOOKUP(CustomerCombinedCleaned[[#This Row],[ID]], Table4[ID], Table4[Visits], "Not Found", 0)</f>
        <v>7</v>
      </c>
      <c r="W1654" s="16">
        <f>_xlfn.XLOOKUP(CustomerCombinedCleaned[[#This Row],[ID]], Table2[ID],Table2[Complaint], "Not Found", 0 )</f>
        <v>0</v>
      </c>
      <c r="X1654" s="16">
        <f>_xlfn.XLOOKUP(CustomerCombinedCleaned[[#This Row],[ID]], Table2[ID],Table2[Pilot], "Not Found", 0 )</f>
        <v>0</v>
      </c>
      <c r="Y1654" s="16">
        <f>_xlfn.XLOOKUP(CustomerCombinedCleaned[[#This Row],[ID]], Table2[ID],Table2[MC1], "Not Found", 0 )</f>
        <v>0</v>
      </c>
      <c r="Z1654" s="16">
        <f>_xlfn.XLOOKUP(CustomerCombinedCleaned[[#This Row],[ID]], Table2[ID],Table2[MC2], "Not Found", 0 )</f>
        <v>0</v>
      </c>
      <c r="AA1654" s="16">
        <f>_xlfn.XLOOKUP(CustomerCombinedCleaned[[#This Row],[ID]], Table2[ID],Table2[MC3], "Not Found", 0 )</f>
        <v>0</v>
      </c>
      <c r="AB1654" s="16">
        <f>_xlfn.XLOOKUP(CustomerCombinedCleaned[[#This Row],[ID]], Table2[ID],Table2[MC4], "Not Found", 0 )</f>
        <v>0</v>
      </c>
      <c r="AC1654" s="16">
        <f>_xlfn.XLOOKUP(CustomerCombinedCleaned[[#This Row],[ID]], Table2[ID],Table2[MC5], "Not Found", 0 )</f>
        <v>0</v>
      </c>
    </row>
    <row r="1655" spans="1:29" x14ac:dyDescent="0.3">
      <c r="A1655" s="18">
        <v>1080</v>
      </c>
      <c r="B1655" s="16">
        <v>129440</v>
      </c>
      <c r="C1655" s="16">
        <v>1</v>
      </c>
      <c r="D1655" s="16">
        <v>1</v>
      </c>
      <c r="E1655" s="16">
        <v>60</v>
      </c>
      <c r="F1655" s="17" t="s">
        <v>6</v>
      </c>
      <c r="G1655" s="17" t="s">
        <v>11</v>
      </c>
      <c r="H1655" s="3" t="s">
        <v>206</v>
      </c>
      <c r="I1655" s="5" t="s">
        <v>436</v>
      </c>
      <c r="J1655" s="16">
        <f>_xlfn.XLOOKUP(CustomerCombinedCleaned[[#This Row],[ID]], Table4[ID], Table4[Recency], "Not Found", 0)</f>
        <v>95</v>
      </c>
      <c r="K1655" s="16">
        <f>_xlfn.XLOOKUP(CustomerCombinedCleaned[[#This Row],[ID]], Table4[ID], Table4[Teas], "Not Found", 0)</f>
        <v>75</v>
      </c>
      <c r="L1655" s="16">
        <f>_xlfn.XLOOKUP(CustomerCombinedCleaned[[#This Row],[ID]], Table4[ID], Table4[Fruits], "Not Found", 0)</f>
        <v>35</v>
      </c>
      <c r="M1655" s="16">
        <f>_xlfn.XLOOKUP(CustomerCombinedCleaned[[#This Row],[ID]], Table4[ID], Table4[Meats], "Not Found", 0)</f>
        <v>62</v>
      </c>
      <c r="N1655" s="16">
        <f>_xlfn.XLOOKUP(CustomerCombinedCleaned[[#This Row],[ID]], Table4[ID], Table4[Seafood], "Not Found", 0)</f>
        <v>44</v>
      </c>
      <c r="O1655" s="16">
        <f>_xlfn.XLOOKUP(CustomerCombinedCleaned[[#This Row],[ID]], Table4[ID], Table4[Sweets], "Not Found", 0)</f>
        <v>18</v>
      </c>
      <c r="P1655" s="16">
        <f>_xlfn.XLOOKUP(CustomerCombinedCleaned[[#This Row],[ID]], Table4[ID], Table4[Premium], "Not Found", 0)</f>
        <v>13</v>
      </c>
      <c r="Q1655" s="16">
        <f>_xlfn.XLOOKUP(CustomerCombinedCleaned[[#This Row],[ID]], Table4[ID], Table4[Regular], "Not Found", 0)</f>
        <v>220</v>
      </c>
      <c r="R1655" s="16">
        <f>_xlfn.XLOOKUP(CustomerCombinedCleaned[[#This Row],[ID]], Table4[ID], Table4[Deals], "Not Found", 0)</f>
        <v>2</v>
      </c>
      <c r="S1655" s="16">
        <f>_xlfn.XLOOKUP(CustomerCombinedCleaned[[#This Row],[ID]], Table4[ID], Table4[Website], "Not Found", 0)</f>
        <v>1</v>
      </c>
      <c r="T1655" s="16">
        <f>_xlfn.XLOOKUP(CustomerCombinedCleaned[[#This Row],[ID]], Table4[ID], Table4[Catalog], "Not Found", 0)</f>
        <v>0</v>
      </c>
      <c r="U1655" s="16">
        <f>_xlfn.XLOOKUP(CustomerCombinedCleaned[[#This Row],[ID]], Table4[ID], Table4[Store], "Not Found", 0)</f>
        <v>4</v>
      </c>
      <c r="V1655" s="16">
        <f>_xlfn.XLOOKUP(CustomerCombinedCleaned[[#This Row],[ID]], Table4[ID], Table4[Visits], "Not Found", 0)</f>
        <v>7</v>
      </c>
      <c r="W1655" s="16">
        <f>_xlfn.XLOOKUP(CustomerCombinedCleaned[[#This Row],[ID]], Table2[ID],Table2[Complaint], "Not Found", 0 )</f>
        <v>0</v>
      </c>
      <c r="X1655" s="16">
        <f>_xlfn.XLOOKUP(CustomerCombinedCleaned[[#This Row],[ID]], Table2[ID],Table2[Pilot], "Not Found", 0 )</f>
        <v>0</v>
      </c>
      <c r="Y1655" s="16">
        <f>_xlfn.XLOOKUP(CustomerCombinedCleaned[[#This Row],[ID]], Table2[ID],Table2[MC1], "Not Found", 0 )</f>
        <v>0</v>
      </c>
      <c r="Z1655" s="16">
        <f>_xlfn.XLOOKUP(CustomerCombinedCleaned[[#This Row],[ID]], Table2[ID],Table2[MC2], "Not Found", 0 )</f>
        <v>0</v>
      </c>
      <c r="AA1655" s="16">
        <f>_xlfn.XLOOKUP(CustomerCombinedCleaned[[#This Row],[ID]], Table2[ID],Table2[MC3], "Not Found", 0 )</f>
        <v>0</v>
      </c>
      <c r="AB1655" s="16">
        <f>_xlfn.XLOOKUP(CustomerCombinedCleaned[[#This Row],[ID]], Table2[ID],Table2[MC4], "Not Found", 0 )</f>
        <v>0</v>
      </c>
      <c r="AC1655" s="16">
        <f>_xlfn.XLOOKUP(CustomerCombinedCleaned[[#This Row],[ID]], Table2[ID],Table2[MC5], "Not Found", 0 )</f>
        <v>0</v>
      </c>
    </row>
    <row r="1656" spans="1:29" x14ac:dyDescent="0.3">
      <c r="A1656" s="18">
        <v>1260</v>
      </c>
      <c r="B1656" s="16">
        <v>129315</v>
      </c>
      <c r="C1656" s="16">
        <v>1</v>
      </c>
      <c r="D1656" s="16">
        <v>1</v>
      </c>
      <c r="E1656" s="16">
        <v>60</v>
      </c>
      <c r="F1656" s="17" t="s">
        <v>6</v>
      </c>
      <c r="G1656" s="17" t="s">
        <v>11</v>
      </c>
      <c r="H1656" s="3" t="s">
        <v>725</v>
      </c>
      <c r="I1656" s="5" t="s">
        <v>436</v>
      </c>
      <c r="J1656" s="16">
        <f>_xlfn.XLOOKUP(CustomerCombinedCleaned[[#This Row],[ID]], Table4[ID], Table4[Recency], "Not Found", 0)</f>
        <v>55</v>
      </c>
      <c r="K1656" s="16">
        <f>_xlfn.XLOOKUP(CustomerCombinedCleaned[[#This Row],[ID]], Table4[ID], Table4[Teas], "Not Found", 0)</f>
        <v>57</v>
      </c>
      <c r="L1656" s="16">
        <f>_xlfn.XLOOKUP(CustomerCombinedCleaned[[#This Row],[ID]], Table4[ID], Table4[Fruits], "Not Found", 0)</f>
        <v>9</v>
      </c>
      <c r="M1656" s="16">
        <f>_xlfn.XLOOKUP(CustomerCombinedCleaned[[#This Row],[ID]], Table4[ID], Table4[Meats], "Not Found", 0)</f>
        <v>62</v>
      </c>
      <c r="N1656" s="16">
        <f>_xlfn.XLOOKUP(CustomerCombinedCleaned[[#This Row],[ID]], Table4[ID], Table4[Seafood], "Not Found", 0)</f>
        <v>35</v>
      </c>
      <c r="O1656" s="16">
        <f>_xlfn.XLOOKUP(CustomerCombinedCleaned[[#This Row],[ID]], Table4[ID], Table4[Sweets], "Not Found", 0)</f>
        <v>31</v>
      </c>
      <c r="P1656" s="16">
        <f>_xlfn.XLOOKUP(CustomerCombinedCleaned[[#This Row],[ID]], Table4[ID], Table4[Premium], "Not Found", 0)</f>
        <v>18</v>
      </c>
      <c r="Q1656" s="16">
        <f>_xlfn.XLOOKUP(CustomerCombinedCleaned[[#This Row],[ID]], Table4[ID], Table4[Regular], "Not Found", 0)</f>
        <v>176</v>
      </c>
      <c r="R1656" s="16">
        <f>_xlfn.XLOOKUP(CustomerCombinedCleaned[[#This Row],[ID]], Table4[ID], Table4[Deals], "Not Found", 0)</f>
        <v>4</v>
      </c>
      <c r="S1656" s="16">
        <f>_xlfn.XLOOKUP(CustomerCombinedCleaned[[#This Row],[ID]], Table4[ID], Table4[Website], "Not Found", 0)</f>
        <v>2</v>
      </c>
      <c r="T1656" s="16">
        <f>_xlfn.XLOOKUP(CustomerCombinedCleaned[[#This Row],[ID]], Table4[ID], Table4[Catalog], "Not Found", 0)</f>
        <v>0</v>
      </c>
      <c r="U1656" s="16">
        <f>_xlfn.XLOOKUP(CustomerCombinedCleaned[[#This Row],[ID]], Table4[ID], Table4[Store], "Not Found", 0)</f>
        <v>4</v>
      </c>
      <c r="V1656" s="16">
        <f>_xlfn.XLOOKUP(CustomerCombinedCleaned[[#This Row],[ID]], Table4[ID], Table4[Visits], "Not Found", 0)</f>
        <v>6</v>
      </c>
      <c r="W1656" s="16">
        <f>_xlfn.XLOOKUP(CustomerCombinedCleaned[[#This Row],[ID]], Table2[ID],Table2[Complaint], "Not Found", 0 )</f>
        <v>0</v>
      </c>
      <c r="X1656" s="16">
        <f>_xlfn.XLOOKUP(CustomerCombinedCleaned[[#This Row],[ID]], Table2[ID],Table2[Pilot], "Not Found", 0 )</f>
        <v>0</v>
      </c>
      <c r="Y1656" s="16">
        <f>_xlfn.XLOOKUP(CustomerCombinedCleaned[[#This Row],[ID]], Table2[ID],Table2[MC1], "Not Found", 0 )</f>
        <v>0</v>
      </c>
      <c r="Z1656" s="16">
        <f>_xlfn.XLOOKUP(CustomerCombinedCleaned[[#This Row],[ID]], Table2[ID],Table2[MC2], "Not Found", 0 )</f>
        <v>0</v>
      </c>
      <c r="AA1656" s="16">
        <f>_xlfn.XLOOKUP(CustomerCombinedCleaned[[#This Row],[ID]], Table2[ID],Table2[MC3], "Not Found", 0 )</f>
        <v>0</v>
      </c>
      <c r="AB1656" s="16">
        <f>_xlfn.XLOOKUP(CustomerCombinedCleaned[[#This Row],[ID]], Table2[ID],Table2[MC4], "Not Found", 0 )</f>
        <v>0</v>
      </c>
      <c r="AC1656" s="16">
        <f>_xlfn.XLOOKUP(CustomerCombinedCleaned[[#This Row],[ID]], Table2[ID],Table2[MC5], "Not Found", 0 )</f>
        <v>0</v>
      </c>
    </row>
    <row r="1657" spans="1:29" x14ac:dyDescent="0.3">
      <c r="A1657" s="18">
        <v>2770</v>
      </c>
      <c r="B1657" s="16">
        <v>128520</v>
      </c>
      <c r="C1657" s="16">
        <v>1</v>
      </c>
      <c r="D1657" s="16">
        <v>1</v>
      </c>
      <c r="E1657" s="16">
        <v>60</v>
      </c>
      <c r="F1657" s="17" t="s">
        <v>6</v>
      </c>
      <c r="G1657" s="17" t="s">
        <v>12</v>
      </c>
      <c r="H1657" s="3" t="s">
        <v>238</v>
      </c>
      <c r="I1657" s="5" t="s">
        <v>439</v>
      </c>
      <c r="J1657" s="16">
        <f>_xlfn.XLOOKUP(CustomerCombinedCleaned[[#This Row],[ID]], Table4[ID], Table4[Recency], "Not Found", 0)</f>
        <v>55</v>
      </c>
      <c r="K1657" s="16">
        <f>_xlfn.XLOOKUP(CustomerCombinedCleaned[[#This Row],[ID]], Table4[ID], Table4[Teas], "Not Found", 0)</f>
        <v>50</v>
      </c>
      <c r="L1657" s="16">
        <f>_xlfn.XLOOKUP(CustomerCombinedCleaned[[#This Row],[ID]], Table4[ID], Table4[Fruits], "Not Found", 0)</f>
        <v>0</v>
      </c>
      <c r="M1657" s="16">
        <f>_xlfn.XLOOKUP(CustomerCombinedCleaned[[#This Row],[ID]], Table4[ID], Table4[Meats], "Not Found", 0)</f>
        <v>45</v>
      </c>
      <c r="N1657" s="16">
        <f>_xlfn.XLOOKUP(CustomerCombinedCleaned[[#This Row],[ID]], Table4[ID], Table4[Seafood], "Not Found", 0)</f>
        <v>0</v>
      </c>
      <c r="O1657" s="16">
        <f>_xlfn.XLOOKUP(CustomerCombinedCleaned[[#This Row],[ID]], Table4[ID], Table4[Sweets], "Not Found", 0)</f>
        <v>9</v>
      </c>
      <c r="P1657" s="16">
        <f>_xlfn.XLOOKUP(CustomerCombinedCleaned[[#This Row],[ID]], Table4[ID], Table4[Premium], "Not Found", 0)</f>
        <v>90</v>
      </c>
      <c r="Q1657" s="16">
        <f>_xlfn.XLOOKUP(CustomerCombinedCleaned[[#This Row],[ID]], Table4[ID], Table4[Regular], "Not Found", 0)</f>
        <v>14</v>
      </c>
      <c r="R1657" s="16">
        <f>_xlfn.XLOOKUP(CustomerCombinedCleaned[[#This Row],[ID]], Table4[ID], Table4[Deals], "Not Found", 0)</f>
        <v>1</v>
      </c>
      <c r="S1657" s="16">
        <f>_xlfn.XLOOKUP(CustomerCombinedCleaned[[#This Row],[ID]], Table4[ID], Table4[Website], "Not Found", 0)</f>
        <v>1</v>
      </c>
      <c r="T1657" s="16">
        <f>_xlfn.XLOOKUP(CustomerCombinedCleaned[[#This Row],[ID]], Table4[ID], Table4[Catalog], "Not Found", 0)</f>
        <v>1</v>
      </c>
      <c r="U1657" s="16">
        <f>_xlfn.XLOOKUP(CustomerCombinedCleaned[[#This Row],[ID]], Table4[ID], Table4[Store], "Not Found", 0)</f>
        <v>2</v>
      </c>
      <c r="V1657" s="16">
        <f>_xlfn.XLOOKUP(CustomerCombinedCleaned[[#This Row],[ID]], Table4[ID], Table4[Visits], "Not Found", 0)</f>
        <v>6</v>
      </c>
      <c r="W1657" s="16">
        <f>_xlfn.XLOOKUP(CustomerCombinedCleaned[[#This Row],[ID]], Table2[ID],Table2[Complaint], "Not Found", 0 )</f>
        <v>0</v>
      </c>
      <c r="X1657" s="16">
        <f>_xlfn.XLOOKUP(CustomerCombinedCleaned[[#This Row],[ID]], Table2[ID],Table2[Pilot], "Not Found", 0 )</f>
        <v>0</v>
      </c>
      <c r="Y1657" s="16">
        <f>_xlfn.XLOOKUP(CustomerCombinedCleaned[[#This Row],[ID]], Table2[ID],Table2[MC1], "Not Found", 0 )</f>
        <v>0</v>
      </c>
      <c r="Z1657" s="16">
        <f>_xlfn.XLOOKUP(CustomerCombinedCleaned[[#This Row],[ID]], Table2[ID],Table2[MC2], "Not Found", 0 )</f>
        <v>0</v>
      </c>
      <c r="AA1657" s="16">
        <f>_xlfn.XLOOKUP(CustomerCombinedCleaned[[#This Row],[ID]], Table2[ID],Table2[MC3], "Not Found", 0 )</f>
        <v>0</v>
      </c>
      <c r="AB1657" s="16">
        <f>_xlfn.XLOOKUP(CustomerCombinedCleaned[[#This Row],[ID]], Table2[ID],Table2[MC4], "Not Found", 0 )</f>
        <v>0</v>
      </c>
      <c r="AC1657" s="16">
        <f>_xlfn.XLOOKUP(CustomerCombinedCleaned[[#This Row],[ID]], Table2[ID],Table2[MC5], "Not Found", 0 )</f>
        <v>0</v>
      </c>
    </row>
    <row r="1658" spans="1:29" x14ac:dyDescent="0.3">
      <c r="A1658" s="18">
        <v>3050</v>
      </c>
      <c r="B1658" s="16">
        <v>122123</v>
      </c>
      <c r="C1658" s="16">
        <v>0</v>
      </c>
      <c r="D1658" s="16">
        <v>0</v>
      </c>
      <c r="E1658" s="16">
        <v>60</v>
      </c>
      <c r="F1658" s="17" t="s">
        <v>9</v>
      </c>
      <c r="G1658" s="17" t="s">
        <v>10</v>
      </c>
      <c r="H1658" s="3" t="s">
        <v>74</v>
      </c>
      <c r="I1658" s="5" t="s">
        <v>438</v>
      </c>
      <c r="J1658" s="16">
        <f>_xlfn.XLOOKUP(CustomerCombinedCleaned[[#This Row],[ID]], Table4[ID], Table4[Recency], "Not Found", 0)</f>
        <v>77</v>
      </c>
      <c r="K1658" s="16">
        <f>_xlfn.XLOOKUP(CustomerCombinedCleaned[[#This Row],[ID]], Table4[ID], Table4[Teas], "Not Found", 0)</f>
        <v>17</v>
      </c>
      <c r="L1658" s="16">
        <f>_xlfn.XLOOKUP(CustomerCombinedCleaned[[#This Row],[ID]], Table4[ID], Table4[Fruits], "Not Found", 0)</f>
        <v>17</v>
      </c>
      <c r="M1658" s="16">
        <f>_xlfn.XLOOKUP(CustomerCombinedCleaned[[#This Row],[ID]], Table4[ID], Table4[Meats], "Not Found", 0)</f>
        <v>132</v>
      </c>
      <c r="N1658" s="16">
        <f>_xlfn.XLOOKUP(CustomerCombinedCleaned[[#This Row],[ID]], Table4[ID], Table4[Seafood], "Not Found", 0)</f>
        <v>188</v>
      </c>
      <c r="O1658" s="16">
        <f>_xlfn.XLOOKUP(CustomerCombinedCleaned[[#This Row],[ID]], Table4[ID], Table4[Sweets], "Not Found", 0)</f>
        <v>39</v>
      </c>
      <c r="P1658" s="16">
        <f>_xlfn.XLOOKUP(CustomerCombinedCleaned[[#This Row],[ID]], Table4[ID], Table4[Premium], "Not Found", 0)</f>
        <v>171</v>
      </c>
      <c r="Q1658" s="16">
        <f>_xlfn.XLOOKUP(CustomerCombinedCleaned[[#This Row],[ID]], Table4[ID], Table4[Regular], "Not Found", 0)</f>
        <v>221</v>
      </c>
      <c r="R1658" s="16">
        <f>_xlfn.XLOOKUP(CustomerCombinedCleaned[[#This Row],[ID]], Table4[ID], Table4[Deals], "Not Found", 0)</f>
        <v>1</v>
      </c>
      <c r="S1658" s="16">
        <f>_xlfn.XLOOKUP(CustomerCombinedCleaned[[#This Row],[ID]], Table4[ID], Table4[Website], "Not Found", 0)</f>
        <v>2</v>
      </c>
      <c r="T1658" s="16">
        <f>_xlfn.XLOOKUP(CustomerCombinedCleaned[[#This Row],[ID]], Table4[ID], Table4[Catalog], "Not Found", 0)</f>
        <v>1</v>
      </c>
      <c r="U1658" s="16">
        <f>_xlfn.XLOOKUP(CustomerCombinedCleaned[[#This Row],[ID]], Table4[ID], Table4[Store], "Not Found", 0)</f>
        <v>3</v>
      </c>
      <c r="V1658" s="16">
        <f>_xlfn.XLOOKUP(CustomerCombinedCleaned[[#This Row],[ID]], Table4[ID], Table4[Visits], "Not Found", 0)</f>
        <v>5</v>
      </c>
      <c r="W1658" s="16">
        <f>_xlfn.XLOOKUP(CustomerCombinedCleaned[[#This Row],[ID]], Table2[ID],Table2[Complaint], "Not Found", 0 )</f>
        <v>0</v>
      </c>
      <c r="X1658" s="16">
        <f>_xlfn.XLOOKUP(CustomerCombinedCleaned[[#This Row],[ID]], Table2[ID],Table2[Pilot], "Not Found", 0 )</f>
        <v>0</v>
      </c>
      <c r="Y1658" s="16">
        <f>_xlfn.XLOOKUP(CustomerCombinedCleaned[[#This Row],[ID]], Table2[ID],Table2[MC1], "Not Found", 0 )</f>
        <v>0</v>
      </c>
      <c r="Z1658" s="16">
        <f>_xlfn.XLOOKUP(CustomerCombinedCleaned[[#This Row],[ID]], Table2[ID],Table2[MC2], "Not Found", 0 )</f>
        <v>0</v>
      </c>
      <c r="AA1658" s="16">
        <f>_xlfn.XLOOKUP(CustomerCombinedCleaned[[#This Row],[ID]], Table2[ID],Table2[MC3], "Not Found", 0 )</f>
        <v>0</v>
      </c>
      <c r="AB1658" s="16">
        <f>_xlfn.XLOOKUP(CustomerCombinedCleaned[[#This Row],[ID]], Table2[ID],Table2[MC4], "Not Found", 0 )</f>
        <v>0</v>
      </c>
      <c r="AC1658" s="16">
        <f>_xlfn.XLOOKUP(CustomerCombinedCleaned[[#This Row],[ID]], Table2[ID],Table2[MC5], "Not Found", 0 )</f>
        <v>0</v>
      </c>
    </row>
    <row r="1659" spans="1:29" x14ac:dyDescent="0.3">
      <c r="A1659" s="18">
        <v>2505</v>
      </c>
      <c r="B1659" s="16">
        <v>119740</v>
      </c>
      <c r="C1659" s="16">
        <v>0</v>
      </c>
      <c r="D1659" s="16">
        <v>1</v>
      </c>
      <c r="E1659" s="16">
        <v>60</v>
      </c>
      <c r="F1659" s="17" t="s">
        <v>8</v>
      </c>
      <c r="G1659" s="17" t="s">
        <v>11</v>
      </c>
      <c r="H1659" s="3" t="s">
        <v>284</v>
      </c>
      <c r="I1659" s="5" t="s">
        <v>435</v>
      </c>
      <c r="J1659" s="16">
        <f>_xlfn.XLOOKUP(CustomerCombinedCleaned[[#This Row],[ID]], Table4[ID], Table4[Recency], "Not Found", 0)</f>
        <v>65</v>
      </c>
      <c r="K1659" s="16">
        <f>_xlfn.XLOOKUP(CustomerCombinedCleaned[[#This Row],[ID]], Table4[ID], Table4[Teas], "Not Found", 0)</f>
        <v>42</v>
      </c>
      <c r="L1659" s="16">
        <f>_xlfn.XLOOKUP(CustomerCombinedCleaned[[#This Row],[ID]], Table4[ID], Table4[Fruits], "Not Found", 0)</f>
        <v>67</v>
      </c>
      <c r="M1659" s="16">
        <f>_xlfn.XLOOKUP(CustomerCombinedCleaned[[#This Row],[ID]], Table4[ID], Table4[Meats], "Not Found", 0)</f>
        <v>18</v>
      </c>
      <c r="N1659" s="16">
        <f>_xlfn.XLOOKUP(CustomerCombinedCleaned[[#This Row],[ID]], Table4[ID], Table4[Seafood], "Not Found", 0)</f>
        <v>61</v>
      </c>
      <c r="O1659" s="16">
        <f>_xlfn.XLOOKUP(CustomerCombinedCleaned[[#This Row],[ID]], Table4[ID], Table4[Sweets], "Not Found", 0)</f>
        <v>24</v>
      </c>
      <c r="P1659" s="16">
        <f>_xlfn.XLOOKUP(CustomerCombinedCleaned[[#This Row],[ID]], Table4[ID], Table4[Premium], "Not Found", 0)</f>
        <v>121</v>
      </c>
      <c r="Q1659" s="16">
        <f>_xlfn.XLOOKUP(CustomerCombinedCleaned[[#This Row],[ID]], Table4[ID], Table4[Regular], "Not Found", 0)</f>
        <v>91</v>
      </c>
      <c r="R1659" s="16">
        <f>_xlfn.XLOOKUP(CustomerCombinedCleaned[[#This Row],[ID]], Table4[ID], Table4[Deals], "Not Found", 0)</f>
        <v>2</v>
      </c>
      <c r="S1659" s="16">
        <f>_xlfn.XLOOKUP(CustomerCombinedCleaned[[#This Row],[ID]], Table4[ID], Table4[Website], "Not Found", 0)</f>
        <v>1</v>
      </c>
      <c r="T1659" s="16">
        <f>_xlfn.XLOOKUP(CustomerCombinedCleaned[[#This Row],[ID]], Table4[ID], Table4[Catalog], "Not Found", 0)</f>
        <v>1</v>
      </c>
      <c r="U1659" s="16">
        <f>_xlfn.XLOOKUP(CustomerCombinedCleaned[[#This Row],[ID]], Table4[ID], Table4[Store], "Not Found", 0)</f>
        <v>3</v>
      </c>
      <c r="V1659" s="16">
        <f>_xlfn.XLOOKUP(CustomerCombinedCleaned[[#This Row],[ID]], Table4[ID], Table4[Visits], "Not Found", 0)</f>
        <v>5</v>
      </c>
      <c r="W1659" s="16">
        <f>_xlfn.XLOOKUP(CustomerCombinedCleaned[[#This Row],[ID]], Table2[ID],Table2[Complaint], "Not Found", 0 )</f>
        <v>0</v>
      </c>
      <c r="X1659" s="16">
        <f>_xlfn.XLOOKUP(CustomerCombinedCleaned[[#This Row],[ID]], Table2[ID],Table2[Pilot], "Not Found", 0 )</f>
        <v>0</v>
      </c>
      <c r="Y1659" s="16">
        <f>_xlfn.XLOOKUP(CustomerCombinedCleaned[[#This Row],[ID]], Table2[ID],Table2[MC1], "Not Found", 0 )</f>
        <v>0</v>
      </c>
      <c r="Z1659" s="16">
        <f>_xlfn.XLOOKUP(CustomerCombinedCleaned[[#This Row],[ID]], Table2[ID],Table2[MC2], "Not Found", 0 )</f>
        <v>0</v>
      </c>
      <c r="AA1659" s="16">
        <f>_xlfn.XLOOKUP(CustomerCombinedCleaned[[#This Row],[ID]], Table2[ID],Table2[MC3], "Not Found", 0 )</f>
        <v>0</v>
      </c>
      <c r="AB1659" s="16">
        <f>_xlfn.XLOOKUP(CustomerCombinedCleaned[[#This Row],[ID]], Table2[ID],Table2[MC4], "Not Found", 0 )</f>
        <v>0</v>
      </c>
      <c r="AC1659" s="16">
        <f>_xlfn.XLOOKUP(CustomerCombinedCleaned[[#This Row],[ID]], Table2[ID],Table2[MC5], "Not Found", 0 )</f>
        <v>0</v>
      </c>
    </row>
    <row r="1660" spans="1:29" x14ac:dyDescent="0.3">
      <c r="A1660" s="18">
        <v>1767</v>
      </c>
      <c r="B1660" s="16">
        <v>117144</v>
      </c>
      <c r="C1660" s="16">
        <v>1</v>
      </c>
      <c r="D1660" s="16">
        <v>1</v>
      </c>
      <c r="E1660" s="16">
        <v>60</v>
      </c>
      <c r="F1660" s="17" t="s">
        <v>8</v>
      </c>
      <c r="G1660" s="17" t="s">
        <v>12</v>
      </c>
      <c r="H1660" s="3" t="s">
        <v>98</v>
      </c>
      <c r="I1660" s="5" t="s">
        <v>435</v>
      </c>
      <c r="J1660" s="16">
        <f>_xlfn.XLOOKUP(CustomerCombinedCleaned[[#This Row],[ID]], Table4[ID], Table4[Recency], "Not Found", 0)</f>
        <v>96</v>
      </c>
      <c r="K1660" s="16">
        <f>_xlfn.XLOOKUP(CustomerCombinedCleaned[[#This Row],[ID]], Table4[ID], Table4[Teas], "Not Found", 0)</f>
        <v>123</v>
      </c>
      <c r="L1660" s="16">
        <f>_xlfn.XLOOKUP(CustomerCombinedCleaned[[#This Row],[ID]], Table4[ID], Table4[Fruits], "Not Found", 0)</f>
        <v>14</v>
      </c>
      <c r="M1660" s="16">
        <f>_xlfn.XLOOKUP(CustomerCombinedCleaned[[#This Row],[ID]], Table4[ID], Table4[Meats], "Not Found", 0)</f>
        <v>130</v>
      </c>
      <c r="N1660" s="16">
        <f>_xlfn.XLOOKUP(CustomerCombinedCleaned[[#This Row],[ID]], Table4[ID], Table4[Seafood], "Not Found", 0)</f>
        <v>0</v>
      </c>
      <c r="O1660" s="16">
        <f>_xlfn.XLOOKUP(CustomerCombinedCleaned[[#This Row],[ID]], Table4[ID], Table4[Sweets], "Not Found", 0)</f>
        <v>14</v>
      </c>
      <c r="P1660" s="16">
        <f>_xlfn.XLOOKUP(CustomerCombinedCleaned[[#This Row],[ID]], Table4[ID], Table4[Premium], "Not Found", 0)</f>
        <v>41</v>
      </c>
      <c r="Q1660" s="16">
        <f>_xlfn.XLOOKUP(CustomerCombinedCleaned[[#This Row],[ID]], Table4[ID], Table4[Regular], "Not Found", 0)</f>
        <v>239</v>
      </c>
      <c r="R1660" s="16">
        <f>_xlfn.XLOOKUP(CustomerCombinedCleaned[[#This Row],[ID]], Table4[ID], Table4[Deals], "Not Found", 0)</f>
        <v>5</v>
      </c>
      <c r="S1660" s="16">
        <f>_xlfn.XLOOKUP(CustomerCombinedCleaned[[#This Row],[ID]], Table4[ID], Table4[Website], "Not Found", 0)</f>
        <v>3</v>
      </c>
      <c r="T1660" s="16">
        <f>_xlfn.XLOOKUP(CustomerCombinedCleaned[[#This Row],[ID]], Table4[ID], Table4[Catalog], "Not Found", 0)</f>
        <v>0</v>
      </c>
      <c r="U1660" s="16">
        <f>_xlfn.XLOOKUP(CustomerCombinedCleaned[[#This Row],[ID]], Table4[ID], Table4[Store], "Not Found", 0)</f>
        <v>4</v>
      </c>
      <c r="V1660" s="16">
        <f>_xlfn.XLOOKUP(CustomerCombinedCleaned[[#This Row],[ID]], Table4[ID], Table4[Visits], "Not Found", 0)</f>
        <v>7</v>
      </c>
      <c r="W1660" s="16">
        <f>_xlfn.XLOOKUP(CustomerCombinedCleaned[[#This Row],[ID]], Table2[ID],Table2[Complaint], "Not Found", 0 )</f>
        <v>0</v>
      </c>
      <c r="X1660" s="16">
        <f>_xlfn.XLOOKUP(CustomerCombinedCleaned[[#This Row],[ID]], Table2[ID],Table2[Pilot], "Not Found", 0 )</f>
        <v>0</v>
      </c>
      <c r="Y1660" s="16">
        <f>_xlfn.XLOOKUP(CustomerCombinedCleaned[[#This Row],[ID]], Table2[ID],Table2[MC1], "Not Found", 0 )</f>
        <v>0</v>
      </c>
      <c r="Z1660" s="16">
        <f>_xlfn.XLOOKUP(CustomerCombinedCleaned[[#This Row],[ID]], Table2[ID],Table2[MC2], "Not Found", 0 )</f>
        <v>0</v>
      </c>
      <c r="AA1660" s="16">
        <f>_xlfn.XLOOKUP(CustomerCombinedCleaned[[#This Row],[ID]], Table2[ID],Table2[MC3], "Not Found", 0 )</f>
        <v>0</v>
      </c>
      <c r="AB1660" s="16">
        <f>_xlfn.XLOOKUP(CustomerCombinedCleaned[[#This Row],[ID]], Table2[ID],Table2[MC4], "Not Found", 0 )</f>
        <v>0</v>
      </c>
      <c r="AC1660" s="16">
        <f>_xlfn.XLOOKUP(CustomerCombinedCleaned[[#This Row],[ID]], Table2[ID],Table2[MC5], "Not Found", 0 )</f>
        <v>0</v>
      </c>
    </row>
    <row r="1661" spans="1:29" x14ac:dyDescent="0.3">
      <c r="A1661" s="18">
        <v>2572</v>
      </c>
      <c r="B1661" s="16">
        <v>117144</v>
      </c>
      <c r="C1661" s="16">
        <v>1</v>
      </c>
      <c r="D1661" s="16">
        <v>1</v>
      </c>
      <c r="E1661" s="16">
        <v>60</v>
      </c>
      <c r="F1661" s="17" t="s">
        <v>8</v>
      </c>
      <c r="G1661" s="17" t="s">
        <v>12</v>
      </c>
      <c r="H1661" s="3" t="s">
        <v>98</v>
      </c>
      <c r="I1661" s="5" t="s">
        <v>439</v>
      </c>
      <c r="J1661" s="16">
        <f>_xlfn.XLOOKUP(CustomerCombinedCleaned[[#This Row],[ID]], Table4[ID], Table4[Recency], "Not Found", 0)</f>
        <v>96</v>
      </c>
      <c r="K1661" s="16">
        <f>_xlfn.XLOOKUP(CustomerCombinedCleaned[[#This Row],[ID]], Table4[ID], Table4[Teas], "Not Found", 0)</f>
        <v>123</v>
      </c>
      <c r="L1661" s="16">
        <f>_xlfn.XLOOKUP(CustomerCombinedCleaned[[#This Row],[ID]], Table4[ID], Table4[Fruits], "Not Found", 0)</f>
        <v>14</v>
      </c>
      <c r="M1661" s="16">
        <f>_xlfn.XLOOKUP(CustomerCombinedCleaned[[#This Row],[ID]], Table4[ID], Table4[Meats], "Not Found", 0)</f>
        <v>130</v>
      </c>
      <c r="N1661" s="16">
        <f>_xlfn.XLOOKUP(CustomerCombinedCleaned[[#This Row],[ID]], Table4[ID], Table4[Seafood], "Not Found", 0)</f>
        <v>0</v>
      </c>
      <c r="O1661" s="16">
        <f>_xlfn.XLOOKUP(CustomerCombinedCleaned[[#This Row],[ID]], Table4[ID], Table4[Sweets], "Not Found", 0)</f>
        <v>14</v>
      </c>
      <c r="P1661" s="16">
        <f>_xlfn.XLOOKUP(CustomerCombinedCleaned[[#This Row],[ID]], Table4[ID], Table4[Premium], "Not Found", 0)</f>
        <v>41</v>
      </c>
      <c r="Q1661" s="16">
        <f>_xlfn.XLOOKUP(CustomerCombinedCleaned[[#This Row],[ID]], Table4[ID], Table4[Regular], "Not Found", 0)</f>
        <v>239</v>
      </c>
      <c r="R1661" s="16">
        <f>_xlfn.XLOOKUP(CustomerCombinedCleaned[[#This Row],[ID]], Table4[ID], Table4[Deals], "Not Found", 0)</f>
        <v>5</v>
      </c>
      <c r="S1661" s="16">
        <f>_xlfn.XLOOKUP(CustomerCombinedCleaned[[#This Row],[ID]], Table4[ID], Table4[Website], "Not Found", 0)</f>
        <v>3</v>
      </c>
      <c r="T1661" s="16">
        <f>_xlfn.XLOOKUP(CustomerCombinedCleaned[[#This Row],[ID]], Table4[ID], Table4[Catalog], "Not Found", 0)</f>
        <v>0</v>
      </c>
      <c r="U1661" s="16">
        <f>_xlfn.XLOOKUP(CustomerCombinedCleaned[[#This Row],[ID]], Table4[ID], Table4[Store], "Not Found", 0)</f>
        <v>4</v>
      </c>
      <c r="V1661" s="16">
        <f>_xlfn.XLOOKUP(CustomerCombinedCleaned[[#This Row],[ID]], Table4[ID], Table4[Visits], "Not Found", 0)</f>
        <v>7</v>
      </c>
      <c r="W1661" s="16">
        <f>_xlfn.XLOOKUP(CustomerCombinedCleaned[[#This Row],[ID]], Table2[ID],Table2[Complaint], "Not Found", 0 )</f>
        <v>0</v>
      </c>
      <c r="X1661" s="16">
        <f>_xlfn.XLOOKUP(CustomerCombinedCleaned[[#This Row],[ID]], Table2[ID],Table2[Pilot], "Not Found", 0 )</f>
        <v>0</v>
      </c>
      <c r="Y1661" s="16">
        <f>_xlfn.XLOOKUP(CustomerCombinedCleaned[[#This Row],[ID]], Table2[ID],Table2[MC1], "Not Found", 0 )</f>
        <v>0</v>
      </c>
      <c r="Z1661" s="16">
        <f>_xlfn.XLOOKUP(CustomerCombinedCleaned[[#This Row],[ID]], Table2[ID],Table2[MC2], "Not Found", 0 )</f>
        <v>0</v>
      </c>
      <c r="AA1661" s="16">
        <f>_xlfn.XLOOKUP(CustomerCombinedCleaned[[#This Row],[ID]], Table2[ID],Table2[MC3], "Not Found", 0 )</f>
        <v>0</v>
      </c>
      <c r="AB1661" s="16">
        <f>_xlfn.XLOOKUP(CustomerCombinedCleaned[[#This Row],[ID]], Table2[ID],Table2[MC4], "Not Found", 0 )</f>
        <v>0</v>
      </c>
      <c r="AC1661" s="16">
        <f>_xlfn.XLOOKUP(CustomerCombinedCleaned[[#This Row],[ID]], Table2[ID],Table2[MC5], "Not Found", 0 )</f>
        <v>0</v>
      </c>
    </row>
    <row r="1662" spans="1:29" x14ac:dyDescent="0.3">
      <c r="A1662" s="18">
        <v>2969</v>
      </c>
      <c r="B1662" s="16">
        <v>113672</v>
      </c>
      <c r="C1662" s="16">
        <v>1</v>
      </c>
      <c r="D1662" s="16">
        <v>1</v>
      </c>
      <c r="E1662" s="16">
        <v>60</v>
      </c>
      <c r="F1662" s="17" t="s">
        <v>8</v>
      </c>
      <c r="G1662" s="17" t="s">
        <v>11</v>
      </c>
      <c r="H1662" s="3" t="s">
        <v>272</v>
      </c>
      <c r="I1662" s="5" t="s">
        <v>434</v>
      </c>
      <c r="J1662" s="16">
        <f>_xlfn.XLOOKUP(CustomerCombinedCleaned[[#This Row],[ID]], Table4[ID], Table4[Recency], "Not Found", 0)</f>
        <v>86</v>
      </c>
      <c r="K1662" s="16">
        <f>_xlfn.XLOOKUP(CustomerCombinedCleaned[[#This Row],[ID]], Table4[ID], Table4[Teas], "Not Found", 0)</f>
        <v>50</v>
      </c>
      <c r="L1662" s="16">
        <f>_xlfn.XLOOKUP(CustomerCombinedCleaned[[#This Row],[ID]], Table4[ID], Table4[Fruits], "Not Found", 0)</f>
        <v>17</v>
      </c>
      <c r="M1662" s="16">
        <f>_xlfn.XLOOKUP(CustomerCombinedCleaned[[#This Row],[ID]], Table4[ID], Table4[Meats], "Not Found", 0)</f>
        <v>75</v>
      </c>
      <c r="N1662" s="16">
        <f>_xlfn.XLOOKUP(CustomerCombinedCleaned[[#This Row],[ID]], Table4[ID], Table4[Seafood], "Not Found", 0)</f>
        <v>17</v>
      </c>
      <c r="O1662" s="16">
        <f>_xlfn.XLOOKUP(CustomerCombinedCleaned[[#This Row],[ID]], Table4[ID], Table4[Sweets], "Not Found", 0)</f>
        <v>8</v>
      </c>
      <c r="P1662" s="16">
        <f>_xlfn.XLOOKUP(CustomerCombinedCleaned[[#This Row],[ID]], Table4[ID], Table4[Premium], "Not Found", 0)</f>
        <v>42</v>
      </c>
      <c r="Q1662" s="16">
        <f>_xlfn.XLOOKUP(CustomerCombinedCleaned[[#This Row],[ID]], Table4[ID], Table4[Regular], "Not Found", 0)</f>
        <v>125</v>
      </c>
      <c r="R1662" s="16">
        <f>_xlfn.XLOOKUP(CustomerCombinedCleaned[[#This Row],[ID]], Table4[ID], Table4[Deals], "Not Found", 0)</f>
        <v>2</v>
      </c>
      <c r="S1662" s="16">
        <f>_xlfn.XLOOKUP(CustomerCombinedCleaned[[#This Row],[ID]], Table4[ID], Table4[Website], "Not Found", 0)</f>
        <v>1</v>
      </c>
      <c r="T1662" s="16">
        <f>_xlfn.XLOOKUP(CustomerCombinedCleaned[[#This Row],[ID]], Table4[ID], Table4[Catalog], "Not Found", 0)</f>
        <v>0</v>
      </c>
      <c r="U1662" s="16">
        <f>_xlfn.XLOOKUP(CustomerCombinedCleaned[[#This Row],[ID]], Table4[ID], Table4[Store], "Not Found", 0)</f>
        <v>3</v>
      </c>
      <c r="V1662" s="16">
        <f>_xlfn.XLOOKUP(CustomerCombinedCleaned[[#This Row],[ID]], Table4[ID], Table4[Visits], "Not Found", 0)</f>
        <v>8</v>
      </c>
      <c r="W1662" s="16">
        <f>_xlfn.XLOOKUP(CustomerCombinedCleaned[[#This Row],[ID]], Table2[ID],Table2[Complaint], "Not Found", 0 )</f>
        <v>0</v>
      </c>
      <c r="X1662" s="16">
        <f>_xlfn.XLOOKUP(CustomerCombinedCleaned[[#This Row],[ID]], Table2[ID],Table2[Pilot], "Not Found", 0 )</f>
        <v>0</v>
      </c>
      <c r="Y1662" s="16">
        <f>_xlfn.XLOOKUP(CustomerCombinedCleaned[[#This Row],[ID]], Table2[ID],Table2[MC1], "Not Found", 0 )</f>
        <v>0</v>
      </c>
      <c r="Z1662" s="16">
        <f>_xlfn.XLOOKUP(CustomerCombinedCleaned[[#This Row],[ID]], Table2[ID],Table2[MC2], "Not Found", 0 )</f>
        <v>0</v>
      </c>
      <c r="AA1662" s="16">
        <f>_xlfn.XLOOKUP(CustomerCombinedCleaned[[#This Row],[ID]], Table2[ID],Table2[MC3], "Not Found", 0 )</f>
        <v>0</v>
      </c>
      <c r="AB1662" s="16">
        <f>_xlfn.XLOOKUP(CustomerCombinedCleaned[[#This Row],[ID]], Table2[ID],Table2[MC4], "Not Found", 0 )</f>
        <v>0</v>
      </c>
      <c r="AC1662" s="16">
        <f>_xlfn.XLOOKUP(CustomerCombinedCleaned[[#This Row],[ID]], Table2[ID],Table2[MC5], "Not Found", 0 )</f>
        <v>0</v>
      </c>
    </row>
    <row r="1663" spans="1:29" x14ac:dyDescent="0.3">
      <c r="A1663" s="18">
        <v>1497</v>
      </c>
      <c r="B1663" s="16">
        <v>189120</v>
      </c>
      <c r="C1663" s="16">
        <v>0</v>
      </c>
      <c r="D1663" s="16">
        <v>0</v>
      </c>
      <c r="E1663" s="16">
        <v>61</v>
      </c>
      <c r="F1663" s="17" t="s">
        <v>8</v>
      </c>
      <c r="G1663" s="17" t="s">
        <v>12</v>
      </c>
      <c r="H1663" s="3" t="s">
        <v>84</v>
      </c>
      <c r="I1663" s="5" t="s">
        <v>435</v>
      </c>
      <c r="J1663" s="16">
        <f>_xlfn.XLOOKUP(CustomerCombinedCleaned[[#This Row],[ID]], Table4[ID], Table4[Recency], "Not Found", 0)</f>
        <v>78</v>
      </c>
      <c r="K1663" s="16">
        <f>_xlfn.XLOOKUP(CustomerCombinedCleaned[[#This Row],[ID]], Table4[ID], Table4[Teas], "Not Found", 0)</f>
        <v>2479</v>
      </c>
      <c r="L1663" s="16">
        <f>_xlfn.XLOOKUP(CustomerCombinedCleaned[[#This Row],[ID]], Table4[ID], Table4[Fruits], "Not Found", 0)</f>
        <v>195</v>
      </c>
      <c r="M1663" s="16">
        <f>_xlfn.XLOOKUP(CustomerCombinedCleaned[[#This Row],[ID]], Table4[ID], Table4[Meats], "Not Found", 0)</f>
        <v>866</v>
      </c>
      <c r="N1663" s="16">
        <f>_xlfn.XLOOKUP(CustomerCombinedCleaned[[#This Row],[ID]], Table4[ID], Table4[Seafood], "Not Found", 0)</f>
        <v>153</v>
      </c>
      <c r="O1663" s="16">
        <f>_xlfn.XLOOKUP(CustomerCombinedCleaned[[#This Row],[ID]], Table4[ID], Table4[Sweets], "Not Found", 0)</f>
        <v>274</v>
      </c>
      <c r="P1663" s="16">
        <f>_xlfn.XLOOKUP(CustomerCombinedCleaned[[#This Row],[ID]], Table4[ID], Table4[Premium], "Not Found", 0)</f>
        <v>117</v>
      </c>
      <c r="Q1663" s="16">
        <f>_xlfn.XLOOKUP(CustomerCombinedCleaned[[#This Row],[ID]], Table4[ID], Table4[Regular], "Not Found", 0)</f>
        <v>3849</v>
      </c>
      <c r="R1663" s="16">
        <f>_xlfn.XLOOKUP(CustomerCombinedCleaned[[#This Row],[ID]], Table4[ID], Table4[Deals], "Not Found", 0)</f>
        <v>1</v>
      </c>
      <c r="S1663" s="16">
        <f>_xlfn.XLOOKUP(CustomerCombinedCleaned[[#This Row],[ID]], Table4[ID], Table4[Website], "Not Found", 0)</f>
        <v>5</v>
      </c>
      <c r="T1663" s="16">
        <f>_xlfn.XLOOKUP(CustomerCombinedCleaned[[#This Row],[ID]], Table4[ID], Table4[Catalog], "Not Found", 0)</f>
        <v>6</v>
      </c>
      <c r="U1663" s="16">
        <f>_xlfn.XLOOKUP(CustomerCombinedCleaned[[#This Row],[ID]], Table4[ID], Table4[Store], "Not Found", 0)</f>
        <v>7</v>
      </c>
      <c r="V1663" s="16">
        <f>_xlfn.XLOOKUP(CustomerCombinedCleaned[[#This Row],[ID]], Table4[ID], Table4[Visits], "Not Found", 0)</f>
        <v>1</v>
      </c>
      <c r="W1663" s="16">
        <f>_xlfn.XLOOKUP(CustomerCombinedCleaned[[#This Row],[ID]], Table2[ID],Table2[Complaint], "Not Found", 0 )</f>
        <v>0</v>
      </c>
      <c r="X1663" s="16">
        <f>_xlfn.XLOOKUP(CustomerCombinedCleaned[[#This Row],[ID]], Table2[ID],Table2[Pilot], "Not Found", 0 )</f>
        <v>0</v>
      </c>
      <c r="Y1663" s="16">
        <f>_xlfn.XLOOKUP(CustomerCombinedCleaned[[#This Row],[ID]], Table2[ID],Table2[MC1], "Not Found", 0 )</f>
        <v>0</v>
      </c>
      <c r="Z1663" s="16">
        <f>_xlfn.XLOOKUP(CustomerCombinedCleaned[[#This Row],[ID]], Table2[ID],Table2[MC2], "Not Found", 0 )</f>
        <v>0</v>
      </c>
      <c r="AA1663" s="16">
        <f>_xlfn.XLOOKUP(CustomerCombinedCleaned[[#This Row],[ID]], Table2[ID],Table2[MC3], "Not Found", 0 )</f>
        <v>0</v>
      </c>
      <c r="AB1663" s="16">
        <f>_xlfn.XLOOKUP(CustomerCombinedCleaned[[#This Row],[ID]], Table2[ID],Table2[MC4], "Not Found", 0 )</f>
        <v>0</v>
      </c>
      <c r="AC1663" s="16">
        <f>_xlfn.XLOOKUP(CustomerCombinedCleaned[[#This Row],[ID]], Table2[ID],Table2[MC5], "Not Found", 0 )</f>
        <v>1</v>
      </c>
    </row>
    <row r="1664" spans="1:29" x14ac:dyDescent="0.3">
      <c r="A1664" s="18">
        <v>1543</v>
      </c>
      <c r="B1664" s="16">
        <v>187771</v>
      </c>
      <c r="C1664" s="16">
        <v>0</v>
      </c>
      <c r="D1664" s="16">
        <v>1</v>
      </c>
      <c r="E1664" s="16">
        <v>61</v>
      </c>
      <c r="F1664" s="17" t="s">
        <v>8</v>
      </c>
      <c r="G1664" s="17" t="s">
        <v>11</v>
      </c>
      <c r="H1664" s="3" t="s">
        <v>249</v>
      </c>
      <c r="I1664" s="5" t="s">
        <v>437</v>
      </c>
      <c r="J1664" s="16">
        <f>_xlfn.XLOOKUP(CustomerCombinedCleaned[[#This Row],[ID]], Table4[ID], Table4[Recency], "Not Found", 0)</f>
        <v>61</v>
      </c>
      <c r="K1664" s="16">
        <f>_xlfn.XLOOKUP(CustomerCombinedCleaned[[#This Row],[ID]], Table4[ID], Table4[Teas], "Not Found", 0)</f>
        <v>3192</v>
      </c>
      <c r="L1664" s="16">
        <f>_xlfn.XLOOKUP(CustomerCombinedCleaned[[#This Row],[ID]], Table4[ID], Table4[Fruits], "Not Found", 0)</f>
        <v>81</v>
      </c>
      <c r="M1664" s="16">
        <f>_xlfn.XLOOKUP(CustomerCombinedCleaned[[#This Row],[ID]], Table4[ID], Table4[Meats], "Not Found", 0)</f>
        <v>614</v>
      </c>
      <c r="N1664" s="16">
        <f>_xlfn.XLOOKUP(CustomerCombinedCleaned[[#This Row],[ID]], Table4[ID], Table4[Seafood], "Not Found", 0)</f>
        <v>107</v>
      </c>
      <c r="O1664" s="16">
        <f>_xlfn.XLOOKUP(CustomerCombinedCleaned[[#This Row],[ID]], Table4[ID], Table4[Sweets], "Not Found", 0)</f>
        <v>122</v>
      </c>
      <c r="P1664" s="16">
        <f>_xlfn.XLOOKUP(CustomerCombinedCleaned[[#This Row],[ID]], Table4[ID], Table4[Premium], "Not Found", 0)</f>
        <v>71</v>
      </c>
      <c r="Q1664" s="16">
        <f>_xlfn.XLOOKUP(CustomerCombinedCleaned[[#This Row],[ID]], Table4[ID], Table4[Regular], "Not Found", 0)</f>
        <v>4045</v>
      </c>
      <c r="R1664" s="16">
        <f>_xlfn.XLOOKUP(CustomerCombinedCleaned[[#This Row],[ID]], Table4[ID], Table4[Deals], "Not Found", 0)</f>
        <v>1</v>
      </c>
      <c r="S1664" s="16">
        <f>_xlfn.XLOOKUP(CustomerCombinedCleaned[[#This Row],[ID]], Table4[ID], Table4[Website], "Not Found", 0)</f>
        <v>5</v>
      </c>
      <c r="T1664" s="16">
        <f>_xlfn.XLOOKUP(CustomerCombinedCleaned[[#This Row],[ID]], Table4[ID], Table4[Catalog], "Not Found", 0)</f>
        <v>10</v>
      </c>
      <c r="U1664" s="16">
        <f>_xlfn.XLOOKUP(CustomerCombinedCleaned[[#This Row],[ID]], Table4[ID], Table4[Store], "Not Found", 0)</f>
        <v>4</v>
      </c>
      <c r="V1664" s="16">
        <f>_xlfn.XLOOKUP(CustomerCombinedCleaned[[#This Row],[ID]], Table4[ID], Table4[Visits], "Not Found", 0)</f>
        <v>6</v>
      </c>
      <c r="W1664" s="16">
        <f>_xlfn.XLOOKUP(CustomerCombinedCleaned[[#This Row],[ID]], Table2[ID],Table2[Complaint], "Not Found", 0 )</f>
        <v>0</v>
      </c>
      <c r="X1664" s="16">
        <f>_xlfn.XLOOKUP(CustomerCombinedCleaned[[#This Row],[ID]], Table2[ID],Table2[Pilot], "Not Found", 0 )</f>
        <v>1</v>
      </c>
      <c r="Y1664" s="16">
        <f>_xlfn.XLOOKUP(CustomerCombinedCleaned[[#This Row],[ID]], Table2[ID],Table2[MC1], "Not Found", 0 )</f>
        <v>1</v>
      </c>
      <c r="Z1664" s="16">
        <f>_xlfn.XLOOKUP(CustomerCombinedCleaned[[#This Row],[ID]], Table2[ID],Table2[MC2], "Not Found", 0 )</f>
        <v>1</v>
      </c>
      <c r="AA1664" s="16">
        <f>_xlfn.XLOOKUP(CustomerCombinedCleaned[[#This Row],[ID]], Table2[ID],Table2[MC3], "Not Found", 0 )</f>
        <v>0</v>
      </c>
      <c r="AB1664" s="16">
        <f>_xlfn.XLOOKUP(CustomerCombinedCleaned[[#This Row],[ID]], Table2[ID],Table2[MC4], "Not Found", 0 )</f>
        <v>1</v>
      </c>
      <c r="AC1664" s="16">
        <f>_xlfn.XLOOKUP(CustomerCombinedCleaned[[#This Row],[ID]], Table2[ID],Table2[MC5], "Not Found", 0 )</f>
        <v>1</v>
      </c>
    </row>
    <row r="1665" spans="1:29" x14ac:dyDescent="0.3">
      <c r="A1665" s="18">
        <v>1805</v>
      </c>
      <c r="B1665" s="16">
        <v>187771</v>
      </c>
      <c r="C1665" s="16">
        <v>0</v>
      </c>
      <c r="D1665" s="16">
        <v>1</v>
      </c>
      <c r="E1665" s="16">
        <v>61</v>
      </c>
      <c r="F1665" s="17" t="s">
        <v>8</v>
      </c>
      <c r="G1665" s="17" t="s">
        <v>11</v>
      </c>
      <c r="H1665" s="3" t="s">
        <v>249</v>
      </c>
      <c r="I1665" s="5" t="s">
        <v>434</v>
      </c>
      <c r="J1665" s="16">
        <f>_xlfn.XLOOKUP(CustomerCombinedCleaned[[#This Row],[ID]], Table4[ID], Table4[Recency], "Not Found", 0)</f>
        <v>61</v>
      </c>
      <c r="K1665" s="16">
        <f>_xlfn.XLOOKUP(CustomerCombinedCleaned[[#This Row],[ID]], Table4[ID], Table4[Teas], "Not Found", 0)</f>
        <v>3192</v>
      </c>
      <c r="L1665" s="16">
        <f>_xlfn.XLOOKUP(CustomerCombinedCleaned[[#This Row],[ID]], Table4[ID], Table4[Fruits], "Not Found", 0)</f>
        <v>81</v>
      </c>
      <c r="M1665" s="16">
        <f>_xlfn.XLOOKUP(CustomerCombinedCleaned[[#This Row],[ID]], Table4[ID], Table4[Meats], "Not Found", 0)</f>
        <v>614</v>
      </c>
      <c r="N1665" s="16">
        <f>_xlfn.XLOOKUP(CustomerCombinedCleaned[[#This Row],[ID]], Table4[ID], Table4[Seafood], "Not Found", 0)</f>
        <v>107</v>
      </c>
      <c r="O1665" s="16">
        <f>_xlfn.XLOOKUP(CustomerCombinedCleaned[[#This Row],[ID]], Table4[ID], Table4[Sweets], "Not Found", 0)</f>
        <v>122</v>
      </c>
      <c r="P1665" s="16">
        <f>_xlfn.XLOOKUP(CustomerCombinedCleaned[[#This Row],[ID]], Table4[ID], Table4[Premium], "Not Found", 0)</f>
        <v>71</v>
      </c>
      <c r="Q1665" s="16">
        <f>_xlfn.XLOOKUP(CustomerCombinedCleaned[[#This Row],[ID]], Table4[ID], Table4[Regular], "Not Found", 0)</f>
        <v>4045</v>
      </c>
      <c r="R1665" s="16">
        <f>_xlfn.XLOOKUP(CustomerCombinedCleaned[[#This Row],[ID]], Table4[ID], Table4[Deals], "Not Found", 0)</f>
        <v>1</v>
      </c>
      <c r="S1665" s="16">
        <f>_xlfn.XLOOKUP(CustomerCombinedCleaned[[#This Row],[ID]], Table4[ID], Table4[Website], "Not Found", 0)</f>
        <v>5</v>
      </c>
      <c r="T1665" s="16">
        <f>_xlfn.XLOOKUP(CustomerCombinedCleaned[[#This Row],[ID]], Table4[ID], Table4[Catalog], "Not Found", 0)</f>
        <v>10</v>
      </c>
      <c r="U1665" s="16">
        <f>_xlfn.XLOOKUP(CustomerCombinedCleaned[[#This Row],[ID]], Table4[ID], Table4[Store], "Not Found", 0)</f>
        <v>4</v>
      </c>
      <c r="V1665" s="16">
        <f>_xlfn.XLOOKUP(CustomerCombinedCleaned[[#This Row],[ID]], Table4[ID], Table4[Visits], "Not Found", 0)</f>
        <v>6</v>
      </c>
      <c r="W1665" s="16">
        <f>_xlfn.XLOOKUP(CustomerCombinedCleaned[[#This Row],[ID]], Table2[ID],Table2[Complaint], "Not Found", 0 )</f>
        <v>0</v>
      </c>
      <c r="X1665" s="16">
        <f>_xlfn.XLOOKUP(CustomerCombinedCleaned[[#This Row],[ID]], Table2[ID],Table2[Pilot], "Not Found", 0 )</f>
        <v>1</v>
      </c>
      <c r="Y1665" s="16">
        <f>_xlfn.XLOOKUP(CustomerCombinedCleaned[[#This Row],[ID]], Table2[ID],Table2[MC1], "Not Found", 0 )</f>
        <v>1</v>
      </c>
      <c r="Z1665" s="16">
        <f>_xlfn.XLOOKUP(CustomerCombinedCleaned[[#This Row],[ID]], Table2[ID],Table2[MC2], "Not Found", 0 )</f>
        <v>1</v>
      </c>
      <c r="AA1665" s="16">
        <f>_xlfn.XLOOKUP(CustomerCombinedCleaned[[#This Row],[ID]], Table2[ID],Table2[MC3], "Not Found", 0 )</f>
        <v>0</v>
      </c>
      <c r="AB1665" s="16">
        <f>_xlfn.XLOOKUP(CustomerCombinedCleaned[[#This Row],[ID]], Table2[ID],Table2[MC4], "Not Found", 0 )</f>
        <v>1</v>
      </c>
      <c r="AC1665" s="16">
        <f>_xlfn.XLOOKUP(CustomerCombinedCleaned[[#This Row],[ID]], Table2[ID],Table2[MC5], "Not Found", 0 )</f>
        <v>1</v>
      </c>
    </row>
    <row r="1666" spans="1:29" x14ac:dyDescent="0.3">
      <c r="A1666" s="18">
        <v>1096</v>
      </c>
      <c r="B1666" s="16">
        <v>187195</v>
      </c>
      <c r="C1666" s="16">
        <v>0</v>
      </c>
      <c r="D1666" s="16">
        <v>0</v>
      </c>
      <c r="E1666" s="16">
        <v>61</v>
      </c>
      <c r="F1666" s="17" t="s">
        <v>6</v>
      </c>
      <c r="G1666" s="17" t="s">
        <v>11</v>
      </c>
      <c r="H1666" s="3" t="s">
        <v>559</v>
      </c>
      <c r="I1666" s="5" t="s">
        <v>439</v>
      </c>
      <c r="J1666" s="16">
        <f>_xlfn.XLOOKUP(CustomerCombinedCleaned[[#This Row],[ID]], Table4[ID], Table4[Recency], "Not Found", 0)</f>
        <v>35</v>
      </c>
      <c r="K1666" s="16">
        <f>_xlfn.XLOOKUP(CustomerCombinedCleaned[[#This Row],[ID]], Table4[ID], Table4[Teas], "Not Found", 0)</f>
        <v>466</v>
      </c>
      <c r="L1666" s="16">
        <f>_xlfn.XLOOKUP(CustomerCombinedCleaned[[#This Row],[ID]], Table4[ID], Table4[Fruits], "Not Found", 0)</f>
        <v>163</v>
      </c>
      <c r="M1666" s="16">
        <f>_xlfn.XLOOKUP(CustomerCombinedCleaned[[#This Row],[ID]], Table4[ID], Table4[Meats], "Not Found", 0)</f>
        <v>1481</v>
      </c>
      <c r="N1666" s="16">
        <f>_xlfn.XLOOKUP(CustomerCombinedCleaned[[#This Row],[ID]], Table4[ID], Table4[Seafood], "Not Found", 0)</f>
        <v>107</v>
      </c>
      <c r="O1666" s="16">
        <f>_xlfn.XLOOKUP(CustomerCombinedCleaned[[#This Row],[ID]], Table4[ID], Table4[Sweets], "Not Found", 0)</f>
        <v>56</v>
      </c>
      <c r="P1666" s="16">
        <f>_xlfn.XLOOKUP(CustomerCombinedCleaned[[#This Row],[ID]], Table4[ID], Table4[Premium], "Not Found", 0)</f>
        <v>82</v>
      </c>
      <c r="Q1666" s="16">
        <f>_xlfn.XLOOKUP(CustomerCombinedCleaned[[#This Row],[ID]], Table4[ID], Table4[Regular], "Not Found", 0)</f>
        <v>2192</v>
      </c>
      <c r="R1666" s="16">
        <f>_xlfn.XLOOKUP(CustomerCombinedCleaned[[#This Row],[ID]], Table4[ID], Table4[Deals], "Not Found", 0)</f>
        <v>1</v>
      </c>
      <c r="S1666" s="16">
        <f>_xlfn.XLOOKUP(CustomerCombinedCleaned[[#This Row],[ID]], Table4[ID], Table4[Website], "Not Found", 0)</f>
        <v>3</v>
      </c>
      <c r="T1666" s="16">
        <f>_xlfn.XLOOKUP(CustomerCombinedCleaned[[#This Row],[ID]], Table4[ID], Table4[Catalog], "Not Found", 0)</f>
        <v>11</v>
      </c>
      <c r="U1666" s="16">
        <f>_xlfn.XLOOKUP(CustomerCombinedCleaned[[#This Row],[ID]], Table4[ID], Table4[Store], "Not Found", 0)</f>
        <v>5</v>
      </c>
      <c r="V1666" s="16">
        <f>_xlfn.XLOOKUP(CustomerCombinedCleaned[[#This Row],[ID]], Table4[ID], Table4[Visits], "Not Found", 0)</f>
        <v>1</v>
      </c>
      <c r="W1666" s="16">
        <f>_xlfn.XLOOKUP(CustomerCombinedCleaned[[#This Row],[ID]], Table2[ID],Table2[Complaint], "Not Found", 0 )</f>
        <v>0</v>
      </c>
      <c r="X1666" s="16">
        <f>_xlfn.XLOOKUP(CustomerCombinedCleaned[[#This Row],[ID]], Table2[ID],Table2[Pilot], "Not Found", 0 )</f>
        <v>1</v>
      </c>
      <c r="Y1666" s="16">
        <f>_xlfn.XLOOKUP(CustomerCombinedCleaned[[#This Row],[ID]], Table2[ID],Table2[MC1], "Not Found", 0 )</f>
        <v>0</v>
      </c>
      <c r="Z1666" s="16">
        <f>_xlfn.XLOOKUP(CustomerCombinedCleaned[[#This Row],[ID]], Table2[ID],Table2[MC2], "Not Found", 0 )</f>
        <v>0</v>
      </c>
      <c r="AA1666" s="16">
        <f>_xlfn.XLOOKUP(CustomerCombinedCleaned[[#This Row],[ID]], Table2[ID],Table2[MC3], "Not Found", 0 )</f>
        <v>0</v>
      </c>
      <c r="AB1666" s="16">
        <f>_xlfn.XLOOKUP(CustomerCombinedCleaned[[#This Row],[ID]], Table2[ID],Table2[MC4], "Not Found", 0 )</f>
        <v>0</v>
      </c>
      <c r="AC1666" s="16">
        <f>_xlfn.XLOOKUP(CustomerCombinedCleaned[[#This Row],[ID]], Table2[ID],Table2[MC5], "Not Found", 0 )</f>
        <v>0</v>
      </c>
    </row>
    <row r="1667" spans="1:29" x14ac:dyDescent="0.3">
      <c r="A1667" s="18">
        <v>1957</v>
      </c>
      <c r="B1667" s="16">
        <v>182576</v>
      </c>
      <c r="C1667" s="16">
        <v>0</v>
      </c>
      <c r="D1667" s="16">
        <v>0</v>
      </c>
      <c r="E1667" s="16">
        <v>61</v>
      </c>
      <c r="F1667" s="17" t="s">
        <v>8</v>
      </c>
      <c r="G1667" s="17" t="s">
        <v>12</v>
      </c>
      <c r="H1667" s="3" t="s">
        <v>582</v>
      </c>
      <c r="I1667" s="5" t="s">
        <v>437</v>
      </c>
      <c r="J1667" s="16">
        <f>_xlfn.XLOOKUP(CustomerCombinedCleaned[[#This Row],[ID]], Table4[ID], Table4[Recency], "Not Found", 0)</f>
        <v>66</v>
      </c>
      <c r="K1667" s="16">
        <f>_xlfn.XLOOKUP(CustomerCombinedCleaned[[#This Row],[ID]], Table4[ID], Table4[Teas], "Not Found", 0)</f>
        <v>2666</v>
      </c>
      <c r="L1667" s="16">
        <f>_xlfn.XLOOKUP(CustomerCombinedCleaned[[#This Row],[ID]], Table4[ID], Table4[Fruits], "Not Found", 0)</f>
        <v>122</v>
      </c>
      <c r="M1667" s="16">
        <f>_xlfn.XLOOKUP(CustomerCombinedCleaned[[#This Row],[ID]], Table4[ID], Table4[Meats], "Not Found", 0)</f>
        <v>984</v>
      </c>
      <c r="N1667" s="16">
        <f>_xlfn.XLOOKUP(CustomerCombinedCleaned[[#This Row],[ID]], Table4[ID], Table4[Seafood], "Not Found", 0)</f>
        <v>371</v>
      </c>
      <c r="O1667" s="16">
        <f>_xlfn.XLOOKUP(CustomerCombinedCleaned[[#This Row],[ID]], Table4[ID], Table4[Sweets], "Not Found", 0)</f>
        <v>40</v>
      </c>
      <c r="P1667" s="16">
        <f>_xlfn.XLOOKUP(CustomerCombinedCleaned[[#This Row],[ID]], Table4[ID], Table4[Premium], "Not Found", 0)</f>
        <v>40</v>
      </c>
      <c r="Q1667" s="16">
        <f>_xlfn.XLOOKUP(CustomerCombinedCleaned[[#This Row],[ID]], Table4[ID], Table4[Regular], "Not Found", 0)</f>
        <v>4143</v>
      </c>
      <c r="R1667" s="16">
        <f>_xlfn.XLOOKUP(CustomerCombinedCleaned[[#This Row],[ID]], Table4[ID], Table4[Deals], "Not Found", 0)</f>
        <v>1</v>
      </c>
      <c r="S1667" s="16">
        <f>_xlfn.XLOOKUP(CustomerCombinedCleaned[[#This Row],[ID]], Table4[ID], Table4[Website], "Not Found", 0)</f>
        <v>2</v>
      </c>
      <c r="T1667" s="16">
        <f>_xlfn.XLOOKUP(CustomerCombinedCleaned[[#This Row],[ID]], Table4[ID], Table4[Catalog], "Not Found", 0)</f>
        <v>4</v>
      </c>
      <c r="U1667" s="16">
        <f>_xlfn.XLOOKUP(CustomerCombinedCleaned[[#This Row],[ID]], Table4[ID], Table4[Store], "Not Found", 0)</f>
        <v>12</v>
      </c>
      <c r="V1667" s="16">
        <f>_xlfn.XLOOKUP(CustomerCombinedCleaned[[#This Row],[ID]], Table4[ID], Table4[Visits], "Not Found", 0)</f>
        <v>1</v>
      </c>
      <c r="W1667" s="16">
        <f>_xlfn.XLOOKUP(CustomerCombinedCleaned[[#This Row],[ID]], Table2[ID],Table2[Complaint], "Not Found", 0 )</f>
        <v>0</v>
      </c>
      <c r="X1667" s="16">
        <f>_xlfn.XLOOKUP(CustomerCombinedCleaned[[#This Row],[ID]], Table2[ID],Table2[Pilot], "Not Found", 0 )</f>
        <v>0</v>
      </c>
      <c r="Y1667" s="16">
        <f>_xlfn.XLOOKUP(CustomerCombinedCleaned[[#This Row],[ID]], Table2[ID],Table2[MC1], "Not Found", 0 )</f>
        <v>0</v>
      </c>
      <c r="Z1667" s="16">
        <f>_xlfn.XLOOKUP(CustomerCombinedCleaned[[#This Row],[ID]], Table2[ID],Table2[MC2], "Not Found", 0 )</f>
        <v>0</v>
      </c>
      <c r="AA1667" s="16">
        <f>_xlfn.XLOOKUP(CustomerCombinedCleaned[[#This Row],[ID]], Table2[ID],Table2[MC3], "Not Found", 0 )</f>
        <v>0</v>
      </c>
      <c r="AB1667" s="16">
        <f>_xlfn.XLOOKUP(CustomerCombinedCleaned[[#This Row],[ID]], Table2[ID],Table2[MC4], "Not Found", 0 )</f>
        <v>0</v>
      </c>
      <c r="AC1667" s="16">
        <f>_xlfn.XLOOKUP(CustomerCombinedCleaned[[#This Row],[ID]], Table2[ID],Table2[MC5], "Not Found", 0 )</f>
        <v>1</v>
      </c>
    </row>
    <row r="1668" spans="1:29" x14ac:dyDescent="0.3">
      <c r="A1668" s="18">
        <v>2899</v>
      </c>
      <c r="B1668" s="16">
        <v>180982</v>
      </c>
      <c r="C1668" s="16">
        <v>1</v>
      </c>
      <c r="D1668" s="16">
        <v>1</v>
      </c>
      <c r="E1668" s="16">
        <v>61</v>
      </c>
      <c r="F1668" s="17" t="s">
        <v>7</v>
      </c>
      <c r="G1668" s="17" t="s">
        <v>11</v>
      </c>
      <c r="H1668" s="3" t="s">
        <v>332</v>
      </c>
      <c r="I1668" s="5" t="s">
        <v>437</v>
      </c>
      <c r="J1668" s="16">
        <f>_xlfn.XLOOKUP(CustomerCombinedCleaned[[#This Row],[ID]], Table4[ID], Table4[Recency], "Not Found", 0)</f>
        <v>48</v>
      </c>
      <c r="K1668" s="16">
        <f>_xlfn.XLOOKUP(CustomerCombinedCleaned[[#This Row],[ID]], Table4[ID], Table4[Teas], "Not Found", 0)</f>
        <v>1129</v>
      </c>
      <c r="L1668" s="16">
        <f>_xlfn.XLOOKUP(CustomerCombinedCleaned[[#This Row],[ID]], Table4[ID], Table4[Fruits], "Not Found", 0)</f>
        <v>306</v>
      </c>
      <c r="M1668" s="16">
        <f>_xlfn.XLOOKUP(CustomerCombinedCleaned[[#This Row],[ID]], Table4[ID], Table4[Meats], "Not Found", 0)</f>
        <v>896</v>
      </c>
      <c r="N1668" s="16">
        <f>_xlfn.XLOOKUP(CustomerCombinedCleaned[[#This Row],[ID]], Table4[ID], Table4[Seafood], "Not Found", 0)</f>
        <v>232</v>
      </c>
      <c r="O1668" s="16">
        <f>_xlfn.XLOOKUP(CustomerCombinedCleaned[[#This Row],[ID]], Table4[ID], Table4[Sweets], "Not Found", 0)</f>
        <v>49</v>
      </c>
      <c r="P1668" s="16">
        <f>_xlfn.XLOOKUP(CustomerCombinedCleaned[[#This Row],[ID]], Table4[ID], Table4[Premium], "Not Found", 0)</f>
        <v>49</v>
      </c>
      <c r="Q1668" s="16">
        <f>_xlfn.XLOOKUP(CustomerCombinedCleaned[[#This Row],[ID]], Table4[ID], Table4[Regular], "Not Found", 0)</f>
        <v>2563</v>
      </c>
      <c r="R1668" s="16">
        <f>_xlfn.XLOOKUP(CustomerCombinedCleaned[[#This Row],[ID]], Table4[ID], Table4[Deals], "Not Found", 0)</f>
        <v>3</v>
      </c>
      <c r="S1668" s="16">
        <f>_xlfn.XLOOKUP(CustomerCombinedCleaned[[#This Row],[ID]], Table4[ID], Table4[Website], "Not Found", 0)</f>
        <v>11</v>
      </c>
      <c r="T1668" s="16">
        <f>_xlfn.XLOOKUP(CustomerCombinedCleaned[[#This Row],[ID]], Table4[ID], Table4[Catalog], "Not Found", 0)</f>
        <v>5</v>
      </c>
      <c r="U1668" s="16">
        <f>_xlfn.XLOOKUP(CustomerCombinedCleaned[[#This Row],[ID]], Table4[ID], Table4[Store], "Not Found", 0)</f>
        <v>11</v>
      </c>
      <c r="V1668" s="16">
        <f>_xlfn.XLOOKUP(CustomerCombinedCleaned[[#This Row],[ID]], Table4[ID], Table4[Visits], "Not Found", 0)</f>
        <v>5</v>
      </c>
      <c r="W1668" s="16">
        <f>_xlfn.XLOOKUP(CustomerCombinedCleaned[[#This Row],[ID]], Table2[ID],Table2[Complaint], "Not Found", 0 )</f>
        <v>1</v>
      </c>
      <c r="X1668" s="16">
        <f>_xlfn.XLOOKUP(CustomerCombinedCleaned[[#This Row],[ID]], Table2[ID],Table2[Pilot], "Not Found", 0 )</f>
        <v>0</v>
      </c>
      <c r="Y1668" s="16">
        <f>_xlfn.XLOOKUP(CustomerCombinedCleaned[[#This Row],[ID]], Table2[ID],Table2[MC1], "Not Found", 0 )</f>
        <v>0</v>
      </c>
      <c r="Z1668" s="16">
        <f>_xlfn.XLOOKUP(CustomerCombinedCleaned[[#This Row],[ID]], Table2[ID],Table2[MC2], "Not Found", 0 )</f>
        <v>0</v>
      </c>
      <c r="AA1668" s="16">
        <f>_xlfn.XLOOKUP(CustomerCombinedCleaned[[#This Row],[ID]], Table2[ID],Table2[MC3], "Not Found", 0 )</f>
        <v>0</v>
      </c>
      <c r="AB1668" s="16">
        <f>_xlfn.XLOOKUP(CustomerCombinedCleaned[[#This Row],[ID]], Table2[ID],Table2[MC4], "Not Found", 0 )</f>
        <v>0</v>
      </c>
      <c r="AC1668" s="16">
        <f>_xlfn.XLOOKUP(CustomerCombinedCleaned[[#This Row],[ID]], Table2[ID],Table2[MC5], "Not Found", 0 )</f>
        <v>0</v>
      </c>
    </row>
    <row r="1669" spans="1:29" x14ac:dyDescent="0.3">
      <c r="A1669" s="18">
        <v>3056</v>
      </c>
      <c r="B1669" s="16">
        <v>179823</v>
      </c>
      <c r="C1669" s="16">
        <v>0</v>
      </c>
      <c r="D1669" s="16">
        <v>1</v>
      </c>
      <c r="E1669" s="16">
        <v>61</v>
      </c>
      <c r="F1669" s="17" t="s">
        <v>6</v>
      </c>
      <c r="G1669" s="17" t="s">
        <v>11</v>
      </c>
      <c r="H1669" s="3" t="s">
        <v>548</v>
      </c>
      <c r="I1669" s="5" t="s">
        <v>438</v>
      </c>
      <c r="J1669" s="16">
        <f>_xlfn.XLOOKUP(CustomerCombinedCleaned[[#This Row],[ID]], Table4[ID], Table4[Recency], "Not Found", 0)</f>
        <v>6</v>
      </c>
      <c r="K1669" s="16">
        <f>_xlfn.XLOOKUP(CustomerCombinedCleaned[[#This Row],[ID]], Table4[ID], Table4[Teas], "Not Found", 0)</f>
        <v>1881</v>
      </c>
      <c r="L1669" s="16">
        <f>_xlfn.XLOOKUP(CustomerCombinedCleaned[[#This Row],[ID]], Table4[ID], Table4[Fruits], "Not Found", 0)</f>
        <v>164</v>
      </c>
      <c r="M1669" s="16">
        <f>_xlfn.XLOOKUP(CustomerCombinedCleaned[[#This Row],[ID]], Table4[ID], Table4[Meats], "Not Found", 0)</f>
        <v>856</v>
      </c>
      <c r="N1669" s="16">
        <f>_xlfn.XLOOKUP(CustomerCombinedCleaned[[#This Row],[ID]], Table4[ID], Table4[Seafood], "Not Found", 0)</f>
        <v>257</v>
      </c>
      <c r="O1669" s="16">
        <f>_xlfn.XLOOKUP(CustomerCombinedCleaned[[#This Row],[ID]], Table4[ID], Table4[Sweets], "Not Found", 0)</f>
        <v>164</v>
      </c>
      <c r="P1669" s="16">
        <f>_xlfn.XLOOKUP(CustomerCombinedCleaned[[#This Row],[ID]], Table4[ID], Table4[Premium], "Not Found", 0)</f>
        <v>97</v>
      </c>
      <c r="Q1669" s="16">
        <f>_xlfn.XLOOKUP(CustomerCombinedCleaned[[#This Row],[ID]], Table4[ID], Table4[Regular], "Not Found", 0)</f>
        <v>3226</v>
      </c>
      <c r="R1669" s="16">
        <f>_xlfn.XLOOKUP(CustomerCombinedCleaned[[#This Row],[ID]], Table4[ID], Table4[Deals], "Not Found", 0)</f>
        <v>1</v>
      </c>
      <c r="S1669" s="16">
        <f>_xlfn.XLOOKUP(CustomerCombinedCleaned[[#This Row],[ID]], Table4[ID], Table4[Website], "Not Found", 0)</f>
        <v>6</v>
      </c>
      <c r="T1669" s="16">
        <f>_xlfn.XLOOKUP(CustomerCombinedCleaned[[#This Row],[ID]], Table4[ID], Table4[Catalog], "Not Found", 0)</f>
        <v>9</v>
      </c>
      <c r="U1669" s="16">
        <f>_xlfn.XLOOKUP(CustomerCombinedCleaned[[#This Row],[ID]], Table4[ID], Table4[Store], "Not Found", 0)</f>
        <v>7</v>
      </c>
      <c r="V1669" s="16">
        <f>_xlfn.XLOOKUP(CustomerCombinedCleaned[[#This Row],[ID]], Table4[ID], Table4[Visits], "Not Found", 0)</f>
        <v>2</v>
      </c>
      <c r="W1669" s="16">
        <f>_xlfn.XLOOKUP(CustomerCombinedCleaned[[#This Row],[ID]], Table2[ID],Table2[Complaint], "Not Found", 0 )</f>
        <v>0</v>
      </c>
      <c r="X1669" s="16">
        <f>_xlfn.XLOOKUP(CustomerCombinedCleaned[[#This Row],[ID]], Table2[ID],Table2[Pilot], "Not Found", 0 )</f>
        <v>0</v>
      </c>
      <c r="Y1669" s="16">
        <f>_xlfn.XLOOKUP(CustomerCombinedCleaned[[#This Row],[ID]], Table2[ID],Table2[MC1], "Not Found", 0 )</f>
        <v>0</v>
      </c>
      <c r="Z1669" s="16">
        <f>_xlfn.XLOOKUP(CustomerCombinedCleaned[[#This Row],[ID]], Table2[ID],Table2[MC2], "Not Found", 0 )</f>
        <v>0</v>
      </c>
      <c r="AA1669" s="16">
        <f>_xlfn.XLOOKUP(CustomerCombinedCleaned[[#This Row],[ID]], Table2[ID],Table2[MC3], "Not Found", 0 )</f>
        <v>0</v>
      </c>
      <c r="AB1669" s="16">
        <f>_xlfn.XLOOKUP(CustomerCombinedCleaned[[#This Row],[ID]], Table2[ID],Table2[MC4], "Not Found", 0 )</f>
        <v>1</v>
      </c>
      <c r="AC1669" s="16">
        <f>_xlfn.XLOOKUP(CustomerCombinedCleaned[[#This Row],[ID]], Table2[ID],Table2[MC5], "Not Found", 0 )</f>
        <v>0</v>
      </c>
    </row>
    <row r="1670" spans="1:29" x14ac:dyDescent="0.3">
      <c r="A1670" s="18">
        <v>1806</v>
      </c>
      <c r="B1670" s="16">
        <v>178353</v>
      </c>
      <c r="C1670" s="16">
        <v>0</v>
      </c>
      <c r="D1670" s="16">
        <v>1</v>
      </c>
      <c r="E1670" s="16">
        <v>61</v>
      </c>
      <c r="F1670" s="17" t="s">
        <v>5</v>
      </c>
      <c r="G1670" s="17" t="s">
        <v>11</v>
      </c>
      <c r="H1670" s="3" t="s">
        <v>273</v>
      </c>
      <c r="I1670" s="5" t="s">
        <v>436</v>
      </c>
      <c r="J1670" s="16">
        <f>_xlfn.XLOOKUP(CustomerCombinedCleaned[[#This Row],[ID]], Table4[ID], Table4[Recency], "Not Found", 0)</f>
        <v>51</v>
      </c>
      <c r="K1670" s="16">
        <f>_xlfn.XLOOKUP(CustomerCombinedCleaned[[#This Row],[ID]], Table4[ID], Table4[Teas], "Not Found", 0)</f>
        <v>1712</v>
      </c>
      <c r="L1670" s="16">
        <f>_xlfn.XLOOKUP(CustomerCombinedCleaned[[#This Row],[ID]], Table4[ID], Table4[Fruits], "Not Found", 0)</f>
        <v>278</v>
      </c>
      <c r="M1670" s="16">
        <f>_xlfn.XLOOKUP(CustomerCombinedCleaned[[#This Row],[ID]], Table4[ID], Table4[Meats], "Not Found", 0)</f>
        <v>1084</v>
      </c>
      <c r="N1670" s="16">
        <f>_xlfn.XLOOKUP(CustomerCombinedCleaned[[#This Row],[ID]], Table4[ID], Table4[Seafood], "Not Found", 0)</f>
        <v>89</v>
      </c>
      <c r="O1670" s="16">
        <f>_xlfn.XLOOKUP(CustomerCombinedCleaned[[#This Row],[ID]], Table4[ID], Table4[Sweets], "Not Found", 0)</f>
        <v>348</v>
      </c>
      <c r="P1670" s="16">
        <f>_xlfn.XLOOKUP(CustomerCombinedCleaned[[#This Row],[ID]], Table4[ID], Table4[Premium], "Not Found", 0)</f>
        <v>77</v>
      </c>
      <c r="Q1670" s="16">
        <f>_xlfn.XLOOKUP(CustomerCombinedCleaned[[#This Row],[ID]], Table4[ID], Table4[Regular], "Not Found", 0)</f>
        <v>3433</v>
      </c>
      <c r="R1670" s="16">
        <f>_xlfn.XLOOKUP(CustomerCombinedCleaned[[#This Row],[ID]], Table4[ID], Table4[Deals], "Not Found", 0)</f>
        <v>1</v>
      </c>
      <c r="S1670" s="16">
        <f>_xlfn.XLOOKUP(CustomerCombinedCleaned[[#This Row],[ID]], Table4[ID], Table4[Website], "Not Found", 0)</f>
        <v>10</v>
      </c>
      <c r="T1670" s="16">
        <f>_xlfn.XLOOKUP(CustomerCombinedCleaned[[#This Row],[ID]], Table4[ID], Table4[Catalog], "Not Found", 0)</f>
        <v>2</v>
      </c>
      <c r="U1670" s="16">
        <f>_xlfn.XLOOKUP(CustomerCombinedCleaned[[#This Row],[ID]], Table4[ID], Table4[Store], "Not Found", 0)</f>
        <v>11</v>
      </c>
      <c r="V1670" s="16">
        <f>_xlfn.XLOOKUP(CustomerCombinedCleaned[[#This Row],[ID]], Table4[ID], Table4[Visits], "Not Found", 0)</f>
        <v>8</v>
      </c>
      <c r="W1670" s="16">
        <f>_xlfn.XLOOKUP(CustomerCombinedCleaned[[#This Row],[ID]], Table2[ID],Table2[Complaint], "Not Found", 0 )</f>
        <v>0</v>
      </c>
      <c r="X1670" s="16">
        <f>_xlfn.XLOOKUP(CustomerCombinedCleaned[[#This Row],[ID]], Table2[ID],Table2[Pilot], "Not Found", 0 )</f>
        <v>0</v>
      </c>
      <c r="Y1670" s="16">
        <f>_xlfn.XLOOKUP(CustomerCombinedCleaned[[#This Row],[ID]], Table2[ID],Table2[MC1], "Not Found", 0 )</f>
        <v>0</v>
      </c>
      <c r="Z1670" s="16">
        <f>_xlfn.XLOOKUP(CustomerCombinedCleaned[[#This Row],[ID]], Table2[ID],Table2[MC2], "Not Found", 0 )</f>
        <v>0</v>
      </c>
      <c r="AA1670" s="16">
        <f>_xlfn.XLOOKUP(CustomerCombinedCleaned[[#This Row],[ID]], Table2[ID],Table2[MC3], "Not Found", 0 )</f>
        <v>0</v>
      </c>
      <c r="AB1670" s="16">
        <f>_xlfn.XLOOKUP(CustomerCombinedCleaned[[#This Row],[ID]], Table2[ID],Table2[MC4], "Not Found", 0 )</f>
        <v>0</v>
      </c>
      <c r="AC1670" s="16">
        <f>_xlfn.XLOOKUP(CustomerCombinedCleaned[[#This Row],[ID]], Table2[ID],Table2[MC5], "Not Found", 0 )</f>
        <v>0</v>
      </c>
    </row>
    <row r="1671" spans="1:29" x14ac:dyDescent="0.3">
      <c r="A1671" s="18">
        <v>2686</v>
      </c>
      <c r="B1671" s="16">
        <v>177520</v>
      </c>
      <c r="C1671" s="16">
        <v>0</v>
      </c>
      <c r="D1671" s="16">
        <v>1</v>
      </c>
      <c r="E1671" s="16">
        <v>61</v>
      </c>
      <c r="F1671" s="17" t="s">
        <v>6</v>
      </c>
      <c r="G1671" s="17" t="s">
        <v>12</v>
      </c>
      <c r="H1671" s="3" t="s">
        <v>621</v>
      </c>
      <c r="I1671" s="5" t="s">
        <v>439</v>
      </c>
      <c r="J1671" s="16">
        <f>_xlfn.XLOOKUP(CustomerCombinedCleaned[[#This Row],[ID]], Table4[ID], Table4[Recency], "Not Found", 0)</f>
        <v>30</v>
      </c>
      <c r="K1671" s="16">
        <f>_xlfn.XLOOKUP(CustomerCombinedCleaned[[#This Row],[ID]], Table4[ID], Table4[Teas], "Not Found", 0)</f>
        <v>2153</v>
      </c>
      <c r="L1671" s="16">
        <f>_xlfn.XLOOKUP(CustomerCombinedCleaned[[#This Row],[ID]], Table4[ID], Table4[Fruits], "Not Found", 0)</f>
        <v>101</v>
      </c>
      <c r="M1671" s="16">
        <f>_xlfn.XLOOKUP(CustomerCombinedCleaned[[#This Row],[ID]], Table4[ID], Table4[Meats], "Not Found", 0)</f>
        <v>907</v>
      </c>
      <c r="N1671" s="16">
        <f>_xlfn.XLOOKUP(CustomerCombinedCleaned[[#This Row],[ID]], Table4[ID], Table4[Seafood], "Not Found", 0)</f>
        <v>0</v>
      </c>
      <c r="O1671" s="16">
        <f>_xlfn.XLOOKUP(CustomerCombinedCleaned[[#This Row],[ID]], Table4[ID], Table4[Sweets], "Not Found", 0)</f>
        <v>202</v>
      </c>
      <c r="P1671" s="16">
        <f>_xlfn.XLOOKUP(CustomerCombinedCleaned[[#This Row],[ID]], Table4[ID], Table4[Premium], "Not Found", 0)</f>
        <v>133</v>
      </c>
      <c r="Q1671" s="16">
        <f>_xlfn.XLOOKUP(CustomerCombinedCleaned[[#This Row],[ID]], Table4[ID], Table4[Regular], "Not Found", 0)</f>
        <v>3229</v>
      </c>
      <c r="R1671" s="16">
        <f>_xlfn.XLOOKUP(CustomerCombinedCleaned[[#This Row],[ID]], Table4[ID], Table4[Deals], "Not Found", 0)</f>
        <v>1</v>
      </c>
      <c r="S1671" s="16">
        <f>_xlfn.XLOOKUP(CustomerCombinedCleaned[[#This Row],[ID]], Table4[ID], Table4[Website], "Not Found", 0)</f>
        <v>8</v>
      </c>
      <c r="T1671" s="16">
        <f>_xlfn.XLOOKUP(CustomerCombinedCleaned[[#This Row],[ID]], Table4[ID], Table4[Catalog], "Not Found", 0)</f>
        <v>7</v>
      </c>
      <c r="U1671" s="16">
        <f>_xlfn.XLOOKUP(CustomerCombinedCleaned[[#This Row],[ID]], Table4[ID], Table4[Store], "Not Found", 0)</f>
        <v>7</v>
      </c>
      <c r="V1671" s="16">
        <f>_xlfn.XLOOKUP(CustomerCombinedCleaned[[#This Row],[ID]], Table4[ID], Table4[Visits], "Not Found", 0)</f>
        <v>4</v>
      </c>
      <c r="W1671" s="16">
        <f>_xlfn.XLOOKUP(CustomerCombinedCleaned[[#This Row],[ID]], Table2[ID],Table2[Complaint], "Not Found", 0 )</f>
        <v>0</v>
      </c>
      <c r="X1671" s="16">
        <f>_xlfn.XLOOKUP(CustomerCombinedCleaned[[#This Row],[ID]], Table2[ID],Table2[Pilot], "Not Found", 0 )</f>
        <v>1</v>
      </c>
      <c r="Y1671" s="16">
        <f>_xlfn.XLOOKUP(CustomerCombinedCleaned[[#This Row],[ID]], Table2[ID],Table2[MC1], "Not Found", 0 )</f>
        <v>1</v>
      </c>
      <c r="Z1671" s="16">
        <f>_xlfn.XLOOKUP(CustomerCombinedCleaned[[#This Row],[ID]], Table2[ID],Table2[MC2], "Not Found", 0 )</f>
        <v>0</v>
      </c>
      <c r="AA1671" s="16">
        <f>_xlfn.XLOOKUP(CustomerCombinedCleaned[[#This Row],[ID]], Table2[ID],Table2[MC3], "Not Found", 0 )</f>
        <v>1</v>
      </c>
      <c r="AB1671" s="16">
        <f>_xlfn.XLOOKUP(CustomerCombinedCleaned[[#This Row],[ID]], Table2[ID],Table2[MC4], "Not Found", 0 )</f>
        <v>0</v>
      </c>
      <c r="AC1671" s="16">
        <f>_xlfn.XLOOKUP(CustomerCombinedCleaned[[#This Row],[ID]], Table2[ID],Table2[MC5], "Not Found", 0 )</f>
        <v>1</v>
      </c>
    </row>
    <row r="1672" spans="1:29" x14ac:dyDescent="0.3">
      <c r="A1672" s="18">
        <v>3027</v>
      </c>
      <c r="B1672" s="16">
        <v>176320</v>
      </c>
      <c r="C1672" s="16">
        <v>0</v>
      </c>
      <c r="D1672" s="16">
        <v>1</v>
      </c>
      <c r="E1672" s="16">
        <v>61</v>
      </c>
      <c r="F1672" s="17" t="s">
        <v>9</v>
      </c>
      <c r="G1672" s="17" t="s">
        <v>11</v>
      </c>
      <c r="H1672" s="3" t="s">
        <v>27</v>
      </c>
      <c r="I1672" s="5" t="s">
        <v>435</v>
      </c>
      <c r="J1672" s="16">
        <f>_xlfn.XLOOKUP(CustomerCombinedCleaned[[#This Row],[ID]], Table4[ID], Table4[Recency], "Not Found", 0)</f>
        <v>49</v>
      </c>
      <c r="K1672" s="16">
        <f>_xlfn.XLOOKUP(CustomerCombinedCleaned[[#This Row],[ID]], Table4[ID], Table4[Teas], "Not Found", 0)</f>
        <v>1215</v>
      </c>
      <c r="L1672" s="16">
        <f>_xlfn.XLOOKUP(CustomerCombinedCleaned[[#This Row],[ID]], Table4[ID], Table4[Fruits], "Not Found", 0)</f>
        <v>81</v>
      </c>
      <c r="M1672" s="16">
        <f>_xlfn.XLOOKUP(CustomerCombinedCleaned[[#This Row],[ID]], Table4[ID], Table4[Meats], "Not Found", 0)</f>
        <v>494</v>
      </c>
      <c r="N1672" s="16">
        <f>_xlfn.XLOOKUP(CustomerCombinedCleaned[[#This Row],[ID]], Table4[ID], Table4[Seafood], "Not Found", 0)</f>
        <v>159</v>
      </c>
      <c r="O1672" s="16">
        <f>_xlfn.XLOOKUP(CustomerCombinedCleaned[[#This Row],[ID]], Table4[ID], Table4[Sweets], "Not Found", 0)</f>
        <v>122</v>
      </c>
      <c r="P1672" s="16">
        <f>_xlfn.XLOOKUP(CustomerCombinedCleaned[[#This Row],[ID]], Table4[ID], Table4[Premium], "Not Found", 0)</f>
        <v>81</v>
      </c>
      <c r="Q1672" s="16">
        <f>_xlfn.XLOOKUP(CustomerCombinedCleaned[[#This Row],[ID]], Table4[ID], Table4[Regular], "Not Found", 0)</f>
        <v>1991</v>
      </c>
      <c r="R1672" s="16">
        <f>_xlfn.XLOOKUP(CustomerCombinedCleaned[[#This Row],[ID]], Table4[ID], Table4[Deals], "Not Found", 0)</f>
        <v>2</v>
      </c>
      <c r="S1672" s="16">
        <f>_xlfn.XLOOKUP(CustomerCombinedCleaned[[#This Row],[ID]], Table4[ID], Table4[Website], "Not Found", 0)</f>
        <v>6</v>
      </c>
      <c r="T1672" s="16">
        <f>_xlfn.XLOOKUP(CustomerCombinedCleaned[[#This Row],[ID]], Table4[ID], Table4[Catalog], "Not Found", 0)</f>
        <v>3</v>
      </c>
      <c r="U1672" s="16">
        <f>_xlfn.XLOOKUP(CustomerCombinedCleaned[[#This Row],[ID]], Table4[ID], Table4[Store], "Not Found", 0)</f>
        <v>4</v>
      </c>
      <c r="V1672" s="16">
        <f>_xlfn.XLOOKUP(CustomerCombinedCleaned[[#This Row],[ID]], Table4[ID], Table4[Visits], "Not Found", 0)</f>
        <v>2</v>
      </c>
      <c r="W1672" s="16">
        <f>_xlfn.XLOOKUP(CustomerCombinedCleaned[[#This Row],[ID]], Table2[ID],Table2[Complaint], "Not Found", 0 )</f>
        <v>0</v>
      </c>
      <c r="X1672" s="16">
        <f>_xlfn.XLOOKUP(CustomerCombinedCleaned[[#This Row],[ID]], Table2[ID],Table2[Pilot], "Not Found", 0 )</f>
        <v>0</v>
      </c>
      <c r="Y1672" s="16">
        <f>_xlfn.XLOOKUP(CustomerCombinedCleaned[[#This Row],[ID]], Table2[ID],Table2[MC1], "Not Found", 0 )</f>
        <v>0</v>
      </c>
      <c r="Z1672" s="16">
        <f>_xlfn.XLOOKUP(CustomerCombinedCleaned[[#This Row],[ID]], Table2[ID],Table2[MC2], "Not Found", 0 )</f>
        <v>0</v>
      </c>
      <c r="AA1672" s="16">
        <f>_xlfn.XLOOKUP(CustomerCombinedCleaned[[#This Row],[ID]], Table2[ID],Table2[MC3], "Not Found", 0 )</f>
        <v>0</v>
      </c>
      <c r="AB1672" s="16">
        <f>_xlfn.XLOOKUP(CustomerCombinedCleaned[[#This Row],[ID]], Table2[ID],Table2[MC4], "Not Found", 0 )</f>
        <v>0</v>
      </c>
      <c r="AC1672" s="16">
        <f>_xlfn.XLOOKUP(CustomerCombinedCleaned[[#This Row],[ID]], Table2[ID],Table2[MC5], "Not Found", 0 )</f>
        <v>0</v>
      </c>
    </row>
    <row r="1673" spans="1:29" x14ac:dyDescent="0.3">
      <c r="A1673" s="18">
        <v>2206</v>
      </c>
      <c r="B1673" s="16">
        <v>175032</v>
      </c>
      <c r="C1673" s="16">
        <v>0</v>
      </c>
      <c r="D1673" s="16">
        <v>1</v>
      </c>
      <c r="E1673" s="16">
        <v>61</v>
      </c>
      <c r="F1673" s="17" t="s">
        <v>6</v>
      </c>
      <c r="G1673" s="17" t="s">
        <v>13</v>
      </c>
      <c r="H1673" s="3" t="s">
        <v>641</v>
      </c>
      <c r="I1673" s="5" t="s">
        <v>439</v>
      </c>
      <c r="J1673" s="16">
        <f>_xlfn.XLOOKUP(CustomerCombinedCleaned[[#This Row],[ID]], Table4[ID], Table4[Recency], "Not Found", 0)</f>
        <v>74</v>
      </c>
      <c r="K1673" s="16">
        <f>_xlfn.XLOOKUP(CustomerCombinedCleaned[[#This Row],[ID]], Table4[ID], Table4[Teas], "Not Found", 0)</f>
        <v>2221</v>
      </c>
      <c r="L1673" s="16">
        <f>_xlfn.XLOOKUP(CustomerCombinedCleaned[[#This Row],[ID]], Table4[ID], Table4[Fruits], "Not Found", 0)</f>
        <v>28</v>
      </c>
      <c r="M1673" s="16">
        <f>_xlfn.XLOOKUP(CustomerCombinedCleaned[[#This Row],[ID]], Table4[ID], Table4[Meats], "Not Found", 0)</f>
        <v>420</v>
      </c>
      <c r="N1673" s="16">
        <f>_xlfn.XLOOKUP(CustomerCombinedCleaned[[#This Row],[ID]], Table4[ID], Table4[Seafood], "Not Found", 0)</f>
        <v>110</v>
      </c>
      <c r="O1673" s="16">
        <f>_xlfn.XLOOKUP(CustomerCombinedCleaned[[#This Row],[ID]], Table4[ID], Table4[Sweets], "Not Found", 0)</f>
        <v>28</v>
      </c>
      <c r="P1673" s="16">
        <f>_xlfn.XLOOKUP(CustomerCombinedCleaned[[#This Row],[ID]], Table4[ID], Table4[Premium], "Not Found", 0)</f>
        <v>28</v>
      </c>
      <c r="Q1673" s="16">
        <f>_xlfn.XLOOKUP(CustomerCombinedCleaned[[#This Row],[ID]], Table4[ID], Table4[Regular], "Not Found", 0)</f>
        <v>2778</v>
      </c>
      <c r="R1673" s="16">
        <f>_xlfn.XLOOKUP(CustomerCombinedCleaned[[#This Row],[ID]], Table4[ID], Table4[Deals], "Not Found", 0)</f>
        <v>2</v>
      </c>
      <c r="S1673" s="16">
        <f>_xlfn.XLOOKUP(CustomerCombinedCleaned[[#This Row],[ID]], Table4[ID], Table4[Website], "Not Found", 0)</f>
        <v>5</v>
      </c>
      <c r="T1673" s="16">
        <f>_xlfn.XLOOKUP(CustomerCombinedCleaned[[#This Row],[ID]], Table4[ID], Table4[Catalog], "Not Found", 0)</f>
        <v>4</v>
      </c>
      <c r="U1673" s="16">
        <f>_xlfn.XLOOKUP(CustomerCombinedCleaned[[#This Row],[ID]], Table4[ID], Table4[Store], "Not Found", 0)</f>
        <v>9</v>
      </c>
      <c r="V1673" s="16">
        <f>_xlfn.XLOOKUP(CustomerCombinedCleaned[[#This Row],[ID]], Table4[ID], Table4[Visits], "Not Found", 0)</f>
        <v>3</v>
      </c>
      <c r="W1673" s="16">
        <f>_xlfn.XLOOKUP(CustomerCombinedCleaned[[#This Row],[ID]], Table2[ID],Table2[Complaint], "Not Found", 0 )</f>
        <v>0</v>
      </c>
      <c r="X1673" s="16">
        <f>_xlfn.XLOOKUP(CustomerCombinedCleaned[[#This Row],[ID]], Table2[ID],Table2[Pilot], "Not Found", 0 )</f>
        <v>0</v>
      </c>
      <c r="Y1673" s="16">
        <f>_xlfn.XLOOKUP(CustomerCombinedCleaned[[#This Row],[ID]], Table2[ID],Table2[MC1], "Not Found", 0 )</f>
        <v>0</v>
      </c>
      <c r="Z1673" s="16">
        <f>_xlfn.XLOOKUP(CustomerCombinedCleaned[[#This Row],[ID]], Table2[ID],Table2[MC2], "Not Found", 0 )</f>
        <v>0</v>
      </c>
      <c r="AA1673" s="16">
        <f>_xlfn.XLOOKUP(CustomerCombinedCleaned[[#This Row],[ID]], Table2[ID],Table2[MC3], "Not Found", 0 )</f>
        <v>0</v>
      </c>
      <c r="AB1673" s="16">
        <f>_xlfn.XLOOKUP(CustomerCombinedCleaned[[#This Row],[ID]], Table2[ID],Table2[MC4], "Not Found", 0 )</f>
        <v>0</v>
      </c>
      <c r="AC1673" s="16">
        <f>_xlfn.XLOOKUP(CustomerCombinedCleaned[[#This Row],[ID]], Table2[ID],Table2[MC5], "Not Found", 0 )</f>
        <v>0</v>
      </c>
    </row>
    <row r="1674" spans="1:29" x14ac:dyDescent="0.3">
      <c r="A1674" s="18">
        <v>2474</v>
      </c>
      <c r="B1674" s="16">
        <v>171706</v>
      </c>
      <c r="C1674" s="16">
        <v>0</v>
      </c>
      <c r="D1674" s="16">
        <v>1</v>
      </c>
      <c r="E1674" s="16">
        <v>61</v>
      </c>
      <c r="F1674" s="17" t="s">
        <v>8</v>
      </c>
      <c r="G1674" s="17" t="s">
        <v>11</v>
      </c>
      <c r="H1674" s="3" t="s">
        <v>362</v>
      </c>
      <c r="I1674" s="5" t="s">
        <v>438</v>
      </c>
      <c r="J1674" s="16">
        <f>_xlfn.XLOOKUP(CustomerCombinedCleaned[[#This Row],[ID]], Table4[ID], Table4[Recency], "Not Found", 0)</f>
        <v>16</v>
      </c>
      <c r="K1674" s="16">
        <f>_xlfn.XLOOKUP(CustomerCombinedCleaned[[#This Row],[ID]], Table4[ID], Table4[Teas], "Not Found", 0)</f>
        <v>2229</v>
      </c>
      <c r="L1674" s="16">
        <f>_xlfn.XLOOKUP(CustomerCombinedCleaned[[#This Row],[ID]], Table4[ID], Table4[Fruits], "Not Found", 0)</f>
        <v>134</v>
      </c>
      <c r="M1674" s="16">
        <f>_xlfn.XLOOKUP(CustomerCombinedCleaned[[#This Row],[ID]], Table4[ID], Table4[Meats], "Not Found", 0)</f>
        <v>606</v>
      </c>
      <c r="N1674" s="16">
        <f>_xlfn.XLOOKUP(CustomerCombinedCleaned[[#This Row],[ID]], Table4[ID], Table4[Seafood], "Not Found", 0)</f>
        <v>218</v>
      </c>
      <c r="O1674" s="16">
        <f>_xlfn.XLOOKUP(CustomerCombinedCleaned[[#This Row],[ID]], Table4[ID], Table4[Sweets], "Not Found", 0)</f>
        <v>235</v>
      </c>
      <c r="P1674" s="16">
        <f>_xlfn.XLOOKUP(CustomerCombinedCleaned[[#This Row],[ID]], Table4[ID], Table4[Premium], "Not Found", 0)</f>
        <v>34</v>
      </c>
      <c r="Q1674" s="16">
        <f>_xlfn.XLOOKUP(CustomerCombinedCleaned[[#This Row],[ID]], Table4[ID], Table4[Regular], "Not Found", 0)</f>
        <v>3388</v>
      </c>
      <c r="R1674" s="16">
        <f>_xlfn.XLOOKUP(CustomerCombinedCleaned[[#This Row],[ID]], Table4[ID], Table4[Deals], "Not Found", 0)</f>
        <v>4</v>
      </c>
      <c r="S1674" s="16">
        <f>_xlfn.XLOOKUP(CustomerCombinedCleaned[[#This Row],[ID]], Table4[ID], Table4[Website], "Not Found", 0)</f>
        <v>9</v>
      </c>
      <c r="T1674" s="16">
        <f>_xlfn.XLOOKUP(CustomerCombinedCleaned[[#This Row],[ID]], Table4[ID], Table4[Catalog], "Not Found", 0)</f>
        <v>5</v>
      </c>
      <c r="U1674" s="16">
        <f>_xlfn.XLOOKUP(CustomerCombinedCleaned[[#This Row],[ID]], Table4[ID], Table4[Store], "Not Found", 0)</f>
        <v>7</v>
      </c>
      <c r="V1674" s="16">
        <f>_xlfn.XLOOKUP(CustomerCombinedCleaned[[#This Row],[ID]], Table4[ID], Table4[Visits], "Not Found", 0)</f>
        <v>5</v>
      </c>
      <c r="W1674" s="16">
        <f>_xlfn.XLOOKUP(CustomerCombinedCleaned[[#This Row],[ID]], Table2[ID],Table2[Complaint], "Not Found", 0 )</f>
        <v>0</v>
      </c>
      <c r="X1674" s="16">
        <f>_xlfn.XLOOKUP(CustomerCombinedCleaned[[#This Row],[ID]], Table2[ID],Table2[Pilot], "Not Found", 0 )</f>
        <v>0</v>
      </c>
      <c r="Y1674" s="16">
        <f>_xlfn.XLOOKUP(CustomerCombinedCleaned[[#This Row],[ID]], Table2[ID],Table2[MC1], "Not Found", 0 )</f>
        <v>0</v>
      </c>
      <c r="Z1674" s="16">
        <f>_xlfn.XLOOKUP(CustomerCombinedCleaned[[#This Row],[ID]], Table2[ID],Table2[MC2], "Not Found", 0 )</f>
        <v>0</v>
      </c>
      <c r="AA1674" s="16">
        <f>_xlfn.XLOOKUP(CustomerCombinedCleaned[[#This Row],[ID]], Table2[ID],Table2[MC3], "Not Found", 0 )</f>
        <v>0</v>
      </c>
      <c r="AB1674" s="16">
        <f>_xlfn.XLOOKUP(CustomerCombinedCleaned[[#This Row],[ID]], Table2[ID],Table2[MC4], "Not Found", 0 )</f>
        <v>0</v>
      </c>
      <c r="AC1674" s="16">
        <f>_xlfn.XLOOKUP(CustomerCombinedCleaned[[#This Row],[ID]], Table2[ID],Table2[MC5], "Not Found", 0 )</f>
        <v>0</v>
      </c>
    </row>
    <row r="1675" spans="1:29" x14ac:dyDescent="0.3">
      <c r="A1675" s="18">
        <v>1502</v>
      </c>
      <c r="B1675" s="16">
        <v>171367</v>
      </c>
      <c r="C1675" s="16">
        <v>0</v>
      </c>
      <c r="D1675" s="16">
        <v>0</v>
      </c>
      <c r="E1675" s="16">
        <v>61</v>
      </c>
      <c r="F1675" s="17" t="s">
        <v>8</v>
      </c>
      <c r="G1675" s="17" t="s">
        <v>11</v>
      </c>
      <c r="H1675" s="3" t="s">
        <v>194</v>
      </c>
      <c r="I1675" s="5" t="s">
        <v>438</v>
      </c>
      <c r="J1675" s="16">
        <f>_xlfn.XLOOKUP(CustomerCombinedCleaned[[#This Row],[ID]], Table4[ID], Table4[Recency], "Not Found", 0)</f>
        <v>24</v>
      </c>
      <c r="K1675" s="16">
        <f>_xlfn.XLOOKUP(CustomerCombinedCleaned[[#This Row],[ID]], Table4[ID], Table4[Teas], "Not Found", 0)</f>
        <v>545</v>
      </c>
      <c r="L1675" s="16">
        <f>_xlfn.XLOOKUP(CustomerCombinedCleaned[[#This Row],[ID]], Table4[ID], Table4[Fruits], "Not Found", 0)</f>
        <v>55</v>
      </c>
      <c r="M1675" s="16">
        <f>_xlfn.XLOOKUP(CustomerCombinedCleaned[[#This Row],[ID]], Table4[ID], Table4[Meats], "Not Found", 0)</f>
        <v>934</v>
      </c>
      <c r="N1675" s="16">
        <f>_xlfn.XLOOKUP(CustomerCombinedCleaned[[#This Row],[ID]], Table4[ID], Table4[Seafood], "Not Found", 0)</f>
        <v>101</v>
      </c>
      <c r="O1675" s="16">
        <f>_xlfn.XLOOKUP(CustomerCombinedCleaned[[#This Row],[ID]], Table4[ID], Table4[Sweets], "Not Found", 0)</f>
        <v>50</v>
      </c>
      <c r="P1675" s="16">
        <f>_xlfn.XLOOKUP(CustomerCombinedCleaned[[#This Row],[ID]], Table4[ID], Table4[Premium], "Not Found", 0)</f>
        <v>180</v>
      </c>
      <c r="Q1675" s="16">
        <f>_xlfn.XLOOKUP(CustomerCombinedCleaned[[#This Row],[ID]], Table4[ID], Table4[Regular], "Not Found", 0)</f>
        <v>1506</v>
      </c>
      <c r="R1675" s="16">
        <f>_xlfn.XLOOKUP(CustomerCombinedCleaned[[#This Row],[ID]], Table4[ID], Table4[Deals], "Not Found", 0)</f>
        <v>1</v>
      </c>
      <c r="S1675" s="16">
        <f>_xlfn.XLOOKUP(CustomerCombinedCleaned[[#This Row],[ID]], Table4[ID], Table4[Website], "Not Found", 0)</f>
        <v>4</v>
      </c>
      <c r="T1675" s="16">
        <f>_xlfn.XLOOKUP(CustomerCombinedCleaned[[#This Row],[ID]], Table4[ID], Table4[Catalog], "Not Found", 0)</f>
        <v>5</v>
      </c>
      <c r="U1675" s="16">
        <f>_xlfn.XLOOKUP(CustomerCombinedCleaned[[#This Row],[ID]], Table4[ID], Table4[Store], "Not Found", 0)</f>
        <v>7</v>
      </c>
      <c r="V1675" s="16">
        <f>_xlfn.XLOOKUP(CustomerCombinedCleaned[[#This Row],[ID]], Table4[ID], Table4[Visits], "Not Found", 0)</f>
        <v>2</v>
      </c>
      <c r="W1675" s="16">
        <f>_xlfn.XLOOKUP(CustomerCombinedCleaned[[#This Row],[ID]], Table2[ID],Table2[Complaint], "Not Found", 0 )</f>
        <v>0</v>
      </c>
      <c r="X1675" s="16">
        <f>_xlfn.XLOOKUP(CustomerCombinedCleaned[[#This Row],[ID]], Table2[ID],Table2[Pilot], "Not Found", 0 )</f>
        <v>0</v>
      </c>
      <c r="Y1675" s="16">
        <f>_xlfn.XLOOKUP(CustomerCombinedCleaned[[#This Row],[ID]], Table2[ID],Table2[MC1], "Not Found", 0 )</f>
        <v>0</v>
      </c>
      <c r="Z1675" s="16">
        <f>_xlfn.XLOOKUP(CustomerCombinedCleaned[[#This Row],[ID]], Table2[ID],Table2[MC2], "Not Found", 0 )</f>
        <v>0</v>
      </c>
      <c r="AA1675" s="16">
        <f>_xlfn.XLOOKUP(CustomerCombinedCleaned[[#This Row],[ID]], Table2[ID],Table2[MC3], "Not Found", 0 )</f>
        <v>0</v>
      </c>
      <c r="AB1675" s="16">
        <f>_xlfn.XLOOKUP(CustomerCombinedCleaned[[#This Row],[ID]], Table2[ID],Table2[MC4], "Not Found", 0 )</f>
        <v>0</v>
      </c>
      <c r="AC1675" s="16">
        <f>_xlfn.XLOOKUP(CustomerCombinedCleaned[[#This Row],[ID]], Table2[ID],Table2[MC5], "Not Found", 0 )</f>
        <v>0</v>
      </c>
    </row>
    <row r="1676" spans="1:29" x14ac:dyDescent="0.3">
      <c r="A1676" s="18">
        <v>2073</v>
      </c>
      <c r="B1676" s="16">
        <v>171367</v>
      </c>
      <c r="C1676" s="16">
        <v>0</v>
      </c>
      <c r="D1676" s="16">
        <v>0</v>
      </c>
      <c r="E1676" s="16">
        <v>61</v>
      </c>
      <c r="F1676" s="17" t="s">
        <v>8</v>
      </c>
      <c r="G1676" s="17" t="s">
        <v>11</v>
      </c>
      <c r="H1676" s="3" t="s">
        <v>194</v>
      </c>
      <c r="I1676" s="5" t="s">
        <v>435</v>
      </c>
      <c r="J1676" s="16">
        <f>_xlfn.XLOOKUP(CustomerCombinedCleaned[[#This Row],[ID]], Table4[ID], Table4[Recency], "Not Found", 0)</f>
        <v>24</v>
      </c>
      <c r="K1676" s="16">
        <f>_xlfn.XLOOKUP(CustomerCombinedCleaned[[#This Row],[ID]], Table4[ID], Table4[Teas], "Not Found", 0)</f>
        <v>545</v>
      </c>
      <c r="L1676" s="16">
        <f>_xlfn.XLOOKUP(CustomerCombinedCleaned[[#This Row],[ID]], Table4[ID], Table4[Fruits], "Not Found", 0)</f>
        <v>55</v>
      </c>
      <c r="M1676" s="16">
        <f>_xlfn.XLOOKUP(CustomerCombinedCleaned[[#This Row],[ID]], Table4[ID], Table4[Meats], "Not Found", 0)</f>
        <v>934</v>
      </c>
      <c r="N1676" s="16">
        <f>_xlfn.XLOOKUP(CustomerCombinedCleaned[[#This Row],[ID]], Table4[ID], Table4[Seafood], "Not Found", 0)</f>
        <v>101</v>
      </c>
      <c r="O1676" s="16">
        <f>_xlfn.XLOOKUP(CustomerCombinedCleaned[[#This Row],[ID]], Table4[ID], Table4[Sweets], "Not Found", 0)</f>
        <v>50</v>
      </c>
      <c r="P1676" s="16">
        <f>_xlfn.XLOOKUP(CustomerCombinedCleaned[[#This Row],[ID]], Table4[ID], Table4[Premium], "Not Found", 0)</f>
        <v>180</v>
      </c>
      <c r="Q1676" s="16">
        <f>_xlfn.XLOOKUP(CustomerCombinedCleaned[[#This Row],[ID]], Table4[ID], Table4[Regular], "Not Found", 0)</f>
        <v>1506</v>
      </c>
      <c r="R1676" s="16">
        <f>_xlfn.XLOOKUP(CustomerCombinedCleaned[[#This Row],[ID]], Table4[ID], Table4[Deals], "Not Found", 0)</f>
        <v>1</v>
      </c>
      <c r="S1676" s="16">
        <f>_xlfn.XLOOKUP(CustomerCombinedCleaned[[#This Row],[ID]], Table4[ID], Table4[Website], "Not Found", 0)</f>
        <v>4</v>
      </c>
      <c r="T1676" s="16">
        <f>_xlfn.XLOOKUP(CustomerCombinedCleaned[[#This Row],[ID]], Table4[ID], Table4[Catalog], "Not Found", 0)</f>
        <v>5</v>
      </c>
      <c r="U1676" s="16">
        <f>_xlfn.XLOOKUP(CustomerCombinedCleaned[[#This Row],[ID]], Table4[ID], Table4[Store], "Not Found", 0)</f>
        <v>7</v>
      </c>
      <c r="V1676" s="16">
        <f>_xlfn.XLOOKUP(CustomerCombinedCleaned[[#This Row],[ID]], Table4[ID], Table4[Visits], "Not Found", 0)</f>
        <v>2</v>
      </c>
      <c r="W1676" s="16">
        <f>_xlfn.XLOOKUP(CustomerCombinedCleaned[[#This Row],[ID]], Table2[ID],Table2[Complaint], "Not Found", 0 )</f>
        <v>0</v>
      </c>
      <c r="X1676" s="16">
        <f>_xlfn.XLOOKUP(CustomerCombinedCleaned[[#This Row],[ID]], Table2[ID],Table2[Pilot], "Not Found", 0 )</f>
        <v>0</v>
      </c>
      <c r="Y1676" s="16">
        <f>_xlfn.XLOOKUP(CustomerCombinedCleaned[[#This Row],[ID]], Table2[ID],Table2[MC1], "Not Found", 0 )</f>
        <v>0</v>
      </c>
      <c r="Z1676" s="16">
        <f>_xlfn.XLOOKUP(CustomerCombinedCleaned[[#This Row],[ID]], Table2[ID],Table2[MC2], "Not Found", 0 )</f>
        <v>0</v>
      </c>
      <c r="AA1676" s="16">
        <f>_xlfn.XLOOKUP(CustomerCombinedCleaned[[#This Row],[ID]], Table2[ID],Table2[MC3], "Not Found", 0 )</f>
        <v>0</v>
      </c>
      <c r="AB1676" s="16">
        <f>_xlfn.XLOOKUP(CustomerCombinedCleaned[[#This Row],[ID]], Table2[ID],Table2[MC4], "Not Found", 0 )</f>
        <v>0</v>
      </c>
      <c r="AC1676" s="16">
        <f>_xlfn.XLOOKUP(CustomerCombinedCleaned[[#This Row],[ID]], Table2[ID],Table2[MC5], "Not Found", 0 )</f>
        <v>0</v>
      </c>
    </row>
    <row r="1677" spans="1:29" x14ac:dyDescent="0.3">
      <c r="A1677" s="18">
        <v>2758</v>
      </c>
      <c r="B1677" s="16">
        <v>171232</v>
      </c>
      <c r="C1677" s="16">
        <v>0</v>
      </c>
      <c r="D1677" s="16">
        <v>1</v>
      </c>
      <c r="E1677" s="16">
        <v>61</v>
      </c>
      <c r="F1677" s="17" t="s">
        <v>8</v>
      </c>
      <c r="G1677" s="17" t="s">
        <v>11</v>
      </c>
      <c r="H1677" s="3" t="s">
        <v>646</v>
      </c>
      <c r="I1677" s="5" t="s">
        <v>439</v>
      </c>
      <c r="J1677" s="16">
        <f>_xlfn.XLOOKUP(CustomerCombinedCleaned[[#This Row],[ID]], Table4[ID], Table4[Recency], "Not Found", 0)</f>
        <v>91</v>
      </c>
      <c r="K1677" s="16">
        <f>_xlfn.XLOOKUP(CustomerCombinedCleaned[[#This Row],[ID]], Table4[ID], Table4[Teas], "Not Found", 0)</f>
        <v>1570</v>
      </c>
      <c r="L1677" s="16">
        <f>_xlfn.XLOOKUP(CustomerCombinedCleaned[[#This Row],[ID]], Table4[ID], Table4[Fruits], "Not Found", 0)</f>
        <v>41</v>
      </c>
      <c r="M1677" s="16">
        <f>_xlfn.XLOOKUP(CustomerCombinedCleaned[[#This Row],[ID]], Table4[ID], Table4[Meats], "Not Found", 0)</f>
        <v>409</v>
      </c>
      <c r="N1677" s="16">
        <f>_xlfn.XLOOKUP(CustomerCombinedCleaned[[#This Row],[ID]], Table4[ID], Table4[Seafood], "Not Found", 0)</f>
        <v>82</v>
      </c>
      <c r="O1677" s="16">
        <f>_xlfn.XLOOKUP(CustomerCombinedCleaned[[#This Row],[ID]], Table4[ID], Table4[Sweets], "Not Found", 0)</f>
        <v>63</v>
      </c>
      <c r="P1677" s="16">
        <f>_xlfn.XLOOKUP(CustomerCombinedCleaned[[#This Row],[ID]], Table4[ID], Table4[Premium], "Not Found", 0)</f>
        <v>41</v>
      </c>
      <c r="Q1677" s="16">
        <f>_xlfn.XLOOKUP(CustomerCombinedCleaned[[#This Row],[ID]], Table4[ID], Table4[Regular], "Not Found", 0)</f>
        <v>2123</v>
      </c>
      <c r="R1677" s="16">
        <f>_xlfn.XLOOKUP(CustomerCombinedCleaned[[#This Row],[ID]], Table4[ID], Table4[Deals], "Not Found", 0)</f>
        <v>2</v>
      </c>
      <c r="S1677" s="16">
        <f>_xlfn.XLOOKUP(CustomerCombinedCleaned[[#This Row],[ID]], Table4[ID], Table4[Website], "Not Found", 0)</f>
        <v>11</v>
      </c>
      <c r="T1677" s="16">
        <f>_xlfn.XLOOKUP(CustomerCombinedCleaned[[#This Row],[ID]], Table4[ID], Table4[Catalog], "Not Found", 0)</f>
        <v>2</v>
      </c>
      <c r="U1677" s="16">
        <f>_xlfn.XLOOKUP(CustomerCombinedCleaned[[#This Row],[ID]], Table4[ID], Table4[Store], "Not Found", 0)</f>
        <v>10</v>
      </c>
      <c r="V1677" s="16">
        <f>_xlfn.XLOOKUP(CustomerCombinedCleaned[[#This Row],[ID]], Table4[ID], Table4[Visits], "Not Found", 0)</f>
        <v>7</v>
      </c>
      <c r="W1677" s="16">
        <f>_xlfn.XLOOKUP(CustomerCombinedCleaned[[#This Row],[ID]], Table2[ID],Table2[Complaint], "Not Found", 0 )</f>
        <v>0</v>
      </c>
      <c r="X1677" s="16">
        <f>_xlfn.XLOOKUP(CustomerCombinedCleaned[[#This Row],[ID]], Table2[ID],Table2[Pilot], "Not Found", 0 )</f>
        <v>0</v>
      </c>
      <c r="Y1677" s="16">
        <f>_xlfn.XLOOKUP(CustomerCombinedCleaned[[#This Row],[ID]], Table2[ID],Table2[MC1], "Not Found", 0 )</f>
        <v>0</v>
      </c>
      <c r="Z1677" s="16">
        <f>_xlfn.XLOOKUP(CustomerCombinedCleaned[[#This Row],[ID]], Table2[ID],Table2[MC2], "Not Found", 0 )</f>
        <v>0</v>
      </c>
      <c r="AA1677" s="16">
        <f>_xlfn.XLOOKUP(CustomerCombinedCleaned[[#This Row],[ID]], Table2[ID],Table2[MC3], "Not Found", 0 )</f>
        <v>0</v>
      </c>
      <c r="AB1677" s="16">
        <f>_xlfn.XLOOKUP(CustomerCombinedCleaned[[#This Row],[ID]], Table2[ID],Table2[MC4], "Not Found", 0 )</f>
        <v>0</v>
      </c>
      <c r="AC1677" s="16">
        <f>_xlfn.XLOOKUP(CustomerCombinedCleaned[[#This Row],[ID]], Table2[ID],Table2[MC5], "Not Found", 0 )</f>
        <v>0</v>
      </c>
    </row>
    <row r="1678" spans="1:29" x14ac:dyDescent="0.3">
      <c r="A1678" s="18">
        <v>2983</v>
      </c>
      <c r="B1678" s="16">
        <v>168805</v>
      </c>
      <c r="C1678" s="16">
        <v>0</v>
      </c>
      <c r="D1678" s="16">
        <v>1</v>
      </c>
      <c r="E1678" s="16">
        <v>61</v>
      </c>
      <c r="F1678" s="17" t="s">
        <v>5</v>
      </c>
      <c r="G1678" s="17" t="s">
        <v>13</v>
      </c>
      <c r="H1678" s="3" t="s">
        <v>182</v>
      </c>
      <c r="I1678" s="5" t="s">
        <v>437</v>
      </c>
      <c r="J1678" s="16">
        <f>_xlfn.XLOOKUP(CustomerCombinedCleaned[[#This Row],[ID]], Table4[ID], Table4[Recency], "Not Found", 0)</f>
        <v>73</v>
      </c>
      <c r="K1678" s="16">
        <f>_xlfn.XLOOKUP(CustomerCombinedCleaned[[#This Row],[ID]], Table4[ID], Table4[Teas], "Not Found", 0)</f>
        <v>447</v>
      </c>
      <c r="L1678" s="16">
        <f>_xlfn.XLOOKUP(CustomerCombinedCleaned[[#This Row],[ID]], Table4[ID], Table4[Fruits], "Not Found", 0)</f>
        <v>5</v>
      </c>
      <c r="M1678" s="16">
        <f>_xlfn.XLOOKUP(CustomerCombinedCleaned[[#This Row],[ID]], Table4[ID], Table4[Meats], "Not Found", 0)</f>
        <v>120</v>
      </c>
      <c r="N1678" s="16">
        <f>_xlfn.XLOOKUP(CustomerCombinedCleaned[[#This Row],[ID]], Table4[ID], Table4[Seafood], "Not Found", 0)</f>
        <v>42</v>
      </c>
      <c r="O1678" s="16">
        <f>_xlfn.XLOOKUP(CustomerCombinedCleaned[[#This Row],[ID]], Table4[ID], Table4[Sweets], "Not Found", 0)</f>
        <v>32</v>
      </c>
      <c r="P1678" s="16">
        <f>_xlfn.XLOOKUP(CustomerCombinedCleaned[[#This Row],[ID]], Table4[ID], Table4[Premium], "Not Found", 0)</f>
        <v>49</v>
      </c>
      <c r="Q1678" s="16">
        <f>_xlfn.XLOOKUP(CustomerCombinedCleaned[[#This Row],[ID]], Table4[ID], Table4[Regular], "Not Found", 0)</f>
        <v>596</v>
      </c>
      <c r="R1678" s="16">
        <f>_xlfn.XLOOKUP(CustomerCombinedCleaned[[#This Row],[ID]], Table4[ID], Table4[Deals], "Not Found", 0)</f>
        <v>1</v>
      </c>
      <c r="S1678" s="16">
        <f>_xlfn.XLOOKUP(CustomerCombinedCleaned[[#This Row],[ID]], Table4[ID], Table4[Website], "Not Found", 0)</f>
        <v>3</v>
      </c>
      <c r="T1678" s="16">
        <f>_xlfn.XLOOKUP(CustomerCombinedCleaned[[#This Row],[ID]], Table4[ID], Table4[Catalog], "Not Found", 0)</f>
        <v>1</v>
      </c>
      <c r="U1678" s="16">
        <f>_xlfn.XLOOKUP(CustomerCombinedCleaned[[#This Row],[ID]], Table4[ID], Table4[Store], "Not Found", 0)</f>
        <v>7</v>
      </c>
      <c r="V1678" s="16">
        <f>_xlfn.XLOOKUP(CustomerCombinedCleaned[[#This Row],[ID]], Table4[ID], Table4[Visits], "Not Found", 0)</f>
        <v>2</v>
      </c>
      <c r="W1678" s="16">
        <f>_xlfn.XLOOKUP(CustomerCombinedCleaned[[#This Row],[ID]], Table2[ID],Table2[Complaint], "Not Found", 0 )</f>
        <v>0</v>
      </c>
      <c r="X1678" s="16">
        <f>_xlfn.XLOOKUP(CustomerCombinedCleaned[[#This Row],[ID]], Table2[ID],Table2[Pilot], "Not Found", 0 )</f>
        <v>0</v>
      </c>
      <c r="Y1678" s="16">
        <f>_xlfn.XLOOKUP(CustomerCombinedCleaned[[#This Row],[ID]], Table2[ID],Table2[MC1], "Not Found", 0 )</f>
        <v>0</v>
      </c>
      <c r="Z1678" s="16">
        <f>_xlfn.XLOOKUP(CustomerCombinedCleaned[[#This Row],[ID]], Table2[ID],Table2[MC2], "Not Found", 0 )</f>
        <v>0</v>
      </c>
      <c r="AA1678" s="16">
        <f>_xlfn.XLOOKUP(CustomerCombinedCleaned[[#This Row],[ID]], Table2[ID],Table2[MC3], "Not Found", 0 )</f>
        <v>0</v>
      </c>
      <c r="AB1678" s="16">
        <f>_xlfn.XLOOKUP(CustomerCombinedCleaned[[#This Row],[ID]], Table2[ID],Table2[MC4], "Not Found", 0 )</f>
        <v>0</v>
      </c>
      <c r="AC1678" s="16">
        <f>_xlfn.XLOOKUP(CustomerCombinedCleaned[[#This Row],[ID]], Table2[ID],Table2[MC5], "Not Found", 0 )</f>
        <v>0</v>
      </c>
    </row>
    <row r="1679" spans="1:29" x14ac:dyDescent="0.3">
      <c r="A1679" s="18">
        <v>2513</v>
      </c>
      <c r="B1679" s="16">
        <v>167786</v>
      </c>
      <c r="C1679" s="16">
        <v>0</v>
      </c>
      <c r="D1679" s="16">
        <v>0</v>
      </c>
      <c r="E1679" s="16">
        <v>61</v>
      </c>
      <c r="F1679" s="17" t="s">
        <v>9</v>
      </c>
      <c r="G1679" s="17" t="s">
        <v>13</v>
      </c>
      <c r="H1679" s="3" t="s">
        <v>141</v>
      </c>
      <c r="I1679" s="5" t="s">
        <v>434</v>
      </c>
      <c r="J1679" s="16">
        <f>_xlfn.XLOOKUP(CustomerCombinedCleaned[[#This Row],[ID]], Table4[ID], Table4[Recency], "Not Found", 0)</f>
        <v>0</v>
      </c>
      <c r="K1679" s="16">
        <f>_xlfn.XLOOKUP(CustomerCombinedCleaned[[#This Row],[ID]], Table4[ID], Table4[Teas], "Not Found", 0)</f>
        <v>1067</v>
      </c>
      <c r="L1679" s="16">
        <f>_xlfn.XLOOKUP(CustomerCombinedCleaned[[#This Row],[ID]], Table4[ID], Table4[Fruits], "Not Found", 0)</f>
        <v>203</v>
      </c>
      <c r="M1679" s="16">
        <f>_xlfn.XLOOKUP(CustomerCombinedCleaned[[#This Row],[ID]], Table4[ID], Table4[Meats], "Not Found", 0)</f>
        <v>1092</v>
      </c>
      <c r="N1679" s="16">
        <f>_xlfn.XLOOKUP(CustomerCombinedCleaned[[#This Row],[ID]], Table4[ID], Table4[Seafood], "Not Found", 0)</f>
        <v>198</v>
      </c>
      <c r="O1679" s="16">
        <f>_xlfn.XLOOKUP(CustomerCombinedCleaned[[#This Row],[ID]], Table4[ID], Table4[Sweets], "Not Found", 0)</f>
        <v>50</v>
      </c>
      <c r="P1679" s="16">
        <f>_xlfn.XLOOKUP(CustomerCombinedCleaned[[#This Row],[ID]], Table4[ID], Table4[Premium], "Not Found", 0)</f>
        <v>252</v>
      </c>
      <c r="Q1679" s="16">
        <f>_xlfn.XLOOKUP(CustomerCombinedCleaned[[#This Row],[ID]], Table4[ID], Table4[Regular], "Not Found", 0)</f>
        <v>2356</v>
      </c>
      <c r="R1679" s="16">
        <f>_xlfn.XLOOKUP(CustomerCombinedCleaned[[#This Row],[ID]], Table4[ID], Table4[Deals], "Not Found", 0)</f>
        <v>1</v>
      </c>
      <c r="S1679" s="16">
        <f>_xlfn.XLOOKUP(CustomerCombinedCleaned[[#This Row],[ID]], Table4[ID], Table4[Website], "Not Found", 0)</f>
        <v>3</v>
      </c>
      <c r="T1679" s="16">
        <f>_xlfn.XLOOKUP(CustomerCombinedCleaned[[#This Row],[ID]], Table4[ID], Table4[Catalog], "Not Found", 0)</f>
        <v>6</v>
      </c>
      <c r="U1679" s="16">
        <f>_xlfn.XLOOKUP(CustomerCombinedCleaned[[#This Row],[ID]], Table4[ID], Table4[Store], "Not Found", 0)</f>
        <v>6</v>
      </c>
      <c r="V1679" s="16">
        <f>_xlfn.XLOOKUP(CustomerCombinedCleaned[[#This Row],[ID]], Table4[ID], Table4[Visits], "Not Found", 0)</f>
        <v>1</v>
      </c>
      <c r="W1679" s="16">
        <f>_xlfn.XLOOKUP(CustomerCombinedCleaned[[#This Row],[ID]], Table2[ID],Table2[Complaint], "Not Found", 0 )</f>
        <v>0</v>
      </c>
      <c r="X1679" s="16">
        <f>_xlfn.XLOOKUP(CustomerCombinedCleaned[[#This Row],[ID]], Table2[ID],Table2[Pilot], "Not Found", 0 )</f>
        <v>1</v>
      </c>
      <c r="Y1679" s="16">
        <f>_xlfn.XLOOKUP(CustomerCombinedCleaned[[#This Row],[ID]], Table2[ID],Table2[MC1], "Not Found", 0 )</f>
        <v>0</v>
      </c>
      <c r="Z1679" s="16">
        <f>_xlfn.XLOOKUP(CustomerCombinedCleaned[[#This Row],[ID]], Table2[ID],Table2[MC2], "Not Found", 0 )</f>
        <v>0</v>
      </c>
      <c r="AA1679" s="16">
        <f>_xlfn.XLOOKUP(CustomerCombinedCleaned[[#This Row],[ID]], Table2[ID],Table2[MC3], "Not Found", 0 )</f>
        <v>0</v>
      </c>
      <c r="AB1679" s="16">
        <f>_xlfn.XLOOKUP(CustomerCombinedCleaned[[#This Row],[ID]], Table2[ID],Table2[MC4], "Not Found", 0 )</f>
        <v>0</v>
      </c>
      <c r="AC1679" s="16">
        <f>_xlfn.XLOOKUP(CustomerCombinedCleaned[[#This Row],[ID]], Table2[ID],Table2[MC5], "Not Found", 0 )</f>
        <v>0</v>
      </c>
    </row>
    <row r="1680" spans="1:29" x14ac:dyDescent="0.3">
      <c r="A1680" s="18">
        <v>2471</v>
      </c>
      <c r="B1680" s="16">
        <v>165492</v>
      </c>
      <c r="C1680" s="16">
        <v>0</v>
      </c>
      <c r="D1680" s="16">
        <v>0</v>
      </c>
      <c r="E1680" s="16">
        <v>61</v>
      </c>
      <c r="F1680" s="17" t="s">
        <v>6</v>
      </c>
      <c r="G1680" s="17" t="s">
        <v>11</v>
      </c>
      <c r="H1680" s="3" t="s">
        <v>643</v>
      </c>
      <c r="I1680" s="5" t="s">
        <v>434</v>
      </c>
      <c r="J1680" s="16">
        <f>_xlfn.XLOOKUP(CustomerCombinedCleaned[[#This Row],[ID]], Table4[ID], Table4[Recency], "Not Found", 0)</f>
        <v>73</v>
      </c>
      <c r="K1680" s="16">
        <f>_xlfn.XLOOKUP(CustomerCombinedCleaned[[#This Row],[ID]], Table4[ID], Table4[Teas], "Not Found", 0)</f>
        <v>624</v>
      </c>
      <c r="L1680" s="16">
        <f>_xlfn.XLOOKUP(CustomerCombinedCleaned[[#This Row],[ID]], Table4[ID], Table4[Fruits], "Not Found", 0)</f>
        <v>407</v>
      </c>
      <c r="M1680" s="16">
        <f>_xlfn.XLOOKUP(CustomerCombinedCleaned[[#This Row],[ID]], Table4[ID], Table4[Meats], "Not Found", 0)</f>
        <v>745</v>
      </c>
      <c r="N1680" s="16">
        <f>_xlfn.XLOOKUP(CustomerCombinedCleaned[[#This Row],[ID]], Table4[ID], Table4[Seafood], "Not Found", 0)</f>
        <v>531</v>
      </c>
      <c r="O1680" s="16">
        <f>_xlfn.XLOOKUP(CustomerCombinedCleaned[[#This Row],[ID]], Table4[ID], Table4[Sweets], "Not Found", 0)</f>
        <v>215</v>
      </c>
      <c r="P1680" s="16">
        <f>_xlfn.XLOOKUP(CustomerCombinedCleaned[[#This Row],[ID]], Table4[ID], Table4[Premium], "Not Found", 0)</f>
        <v>119</v>
      </c>
      <c r="Q1680" s="16">
        <f>_xlfn.XLOOKUP(CustomerCombinedCleaned[[#This Row],[ID]], Table4[ID], Table4[Regular], "Not Found", 0)</f>
        <v>2403</v>
      </c>
      <c r="R1680" s="16">
        <f>_xlfn.XLOOKUP(CustomerCombinedCleaned[[#This Row],[ID]], Table4[ID], Table4[Deals], "Not Found", 0)</f>
        <v>2</v>
      </c>
      <c r="S1680" s="16">
        <f>_xlfn.XLOOKUP(CustomerCombinedCleaned[[#This Row],[ID]], Table4[ID], Table4[Website], "Not Found", 0)</f>
        <v>4</v>
      </c>
      <c r="T1680" s="16">
        <f>_xlfn.XLOOKUP(CustomerCombinedCleaned[[#This Row],[ID]], Table4[ID], Table4[Catalog], "Not Found", 0)</f>
        <v>7</v>
      </c>
      <c r="U1680" s="16">
        <f>_xlfn.XLOOKUP(CustomerCombinedCleaned[[#This Row],[ID]], Table4[ID], Table4[Store], "Not Found", 0)</f>
        <v>13</v>
      </c>
      <c r="V1680" s="16">
        <f>_xlfn.XLOOKUP(CustomerCombinedCleaned[[#This Row],[ID]], Table4[ID], Table4[Visits], "Not Found", 0)</f>
        <v>2</v>
      </c>
      <c r="W1680" s="16">
        <f>_xlfn.XLOOKUP(CustomerCombinedCleaned[[#This Row],[ID]], Table2[ID],Table2[Complaint], "Not Found", 0 )</f>
        <v>0</v>
      </c>
      <c r="X1680" s="16">
        <f>_xlfn.XLOOKUP(CustomerCombinedCleaned[[#This Row],[ID]], Table2[ID],Table2[Pilot], "Not Found", 0 )</f>
        <v>0</v>
      </c>
      <c r="Y1680" s="16">
        <f>_xlfn.XLOOKUP(CustomerCombinedCleaned[[#This Row],[ID]], Table2[ID],Table2[MC1], "Not Found", 0 )</f>
        <v>0</v>
      </c>
      <c r="Z1680" s="16">
        <f>_xlfn.XLOOKUP(CustomerCombinedCleaned[[#This Row],[ID]], Table2[ID],Table2[MC2], "Not Found", 0 )</f>
        <v>0</v>
      </c>
      <c r="AA1680" s="16">
        <f>_xlfn.XLOOKUP(CustomerCombinedCleaned[[#This Row],[ID]], Table2[ID],Table2[MC3], "Not Found", 0 )</f>
        <v>0</v>
      </c>
      <c r="AB1680" s="16">
        <f>_xlfn.XLOOKUP(CustomerCombinedCleaned[[#This Row],[ID]], Table2[ID],Table2[MC4], "Not Found", 0 )</f>
        <v>0</v>
      </c>
      <c r="AC1680" s="16">
        <f>_xlfn.XLOOKUP(CustomerCombinedCleaned[[#This Row],[ID]], Table2[ID],Table2[MC5], "Not Found", 0 )</f>
        <v>0</v>
      </c>
    </row>
    <row r="1681" spans="1:29" x14ac:dyDescent="0.3">
      <c r="A1681" s="18">
        <v>1067</v>
      </c>
      <c r="B1681" s="16">
        <v>165031</v>
      </c>
      <c r="C1681" s="16">
        <v>0</v>
      </c>
      <c r="D1681" s="16">
        <v>1</v>
      </c>
      <c r="E1681" s="16">
        <v>61</v>
      </c>
      <c r="F1681" s="17" t="s">
        <v>6</v>
      </c>
      <c r="G1681" s="17" t="s">
        <v>11</v>
      </c>
      <c r="H1681" s="3" t="s">
        <v>291</v>
      </c>
      <c r="I1681" s="5" t="s">
        <v>434</v>
      </c>
      <c r="J1681" s="16">
        <f>_xlfn.XLOOKUP(CustomerCombinedCleaned[[#This Row],[ID]], Table4[ID], Table4[Recency], "Not Found", 0)</f>
        <v>29</v>
      </c>
      <c r="K1681" s="16">
        <f>_xlfn.XLOOKUP(CustomerCombinedCleaned[[#This Row],[ID]], Table4[ID], Table4[Teas], "Not Found", 0)</f>
        <v>655</v>
      </c>
      <c r="L1681" s="16">
        <f>_xlfn.XLOOKUP(CustomerCombinedCleaned[[#This Row],[ID]], Table4[ID], Table4[Fruits], "Not Found", 0)</f>
        <v>272</v>
      </c>
      <c r="M1681" s="16">
        <f>_xlfn.XLOOKUP(CustomerCombinedCleaned[[#This Row],[ID]], Table4[ID], Table4[Meats], "Not Found", 0)</f>
        <v>738</v>
      </c>
      <c r="N1681" s="16">
        <f>_xlfn.XLOOKUP(CustomerCombinedCleaned[[#This Row],[ID]], Table4[ID], Table4[Seafood], "Not Found", 0)</f>
        <v>213</v>
      </c>
      <c r="O1681" s="16">
        <f>_xlfn.XLOOKUP(CustomerCombinedCleaned[[#This Row],[ID]], Table4[ID], Table4[Sweets], "Not Found", 0)</f>
        <v>94</v>
      </c>
      <c r="P1681" s="16">
        <f>_xlfn.XLOOKUP(CustomerCombinedCleaned[[#This Row],[ID]], Table4[ID], Table4[Premium], "Not Found", 0)</f>
        <v>218</v>
      </c>
      <c r="Q1681" s="16">
        <f>_xlfn.XLOOKUP(CustomerCombinedCleaned[[#This Row],[ID]], Table4[ID], Table4[Regular], "Not Found", 0)</f>
        <v>1754</v>
      </c>
      <c r="R1681" s="16">
        <f>_xlfn.XLOOKUP(CustomerCombinedCleaned[[#This Row],[ID]], Table4[ID], Table4[Deals], "Not Found", 0)</f>
        <v>4</v>
      </c>
      <c r="S1681" s="16">
        <f>_xlfn.XLOOKUP(CustomerCombinedCleaned[[#This Row],[ID]], Table4[ID], Table4[Website], "Not Found", 0)</f>
        <v>10</v>
      </c>
      <c r="T1681" s="16">
        <f>_xlfn.XLOOKUP(CustomerCombinedCleaned[[#This Row],[ID]], Table4[ID], Table4[Catalog], "Not Found", 0)</f>
        <v>3</v>
      </c>
      <c r="U1681" s="16">
        <f>_xlfn.XLOOKUP(CustomerCombinedCleaned[[#This Row],[ID]], Table4[ID], Table4[Store], "Not Found", 0)</f>
        <v>13</v>
      </c>
      <c r="V1681" s="16">
        <f>_xlfn.XLOOKUP(CustomerCombinedCleaned[[#This Row],[ID]], Table4[ID], Table4[Visits], "Not Found", 0)</f>
        <v>7</v>
      </c>
      <c r="W1681" s="16">
        <f>_xlfn.XLOOKUP(CustomerCombinedCleaned[[#This Row],[ID]], Table2[ID],Table2[Complaint], "Not Found", 0 )</f>
        <v>0</v>
      </c>
      <c r="X1681" s="16">
        <f>_xlfn.XLOOKUP(CustomerCombinedCleaned[[#This Row],[ID]], Table2[ID],Table2[Pilot], "Not Found", 0 )</f>
        <v>0</v>
      </c>
      <c r="Y1681" s="16">
        <f>_xlfn.XLOOKUP(CustomerCombinedCleaned[[#This Row],[ID]], Table2[ID],Table2[MC1], "Not Found", 0 )</f>
        <v>0</v>
      </c>
      <c r="Z1681" s="16">
        <f>_xlfn.XLOOKUP(CustomerCombinedCleaned[[#This Row],[ID]], Table2[ID],Table2[MC2], "Not Found", 0 )</f>
        <v>0</v>
      </c>
      <c r="AA1681" s="16">
        <f>_xlfn.XLOOKUP(CustomerCombinedCleaned[[#This Row],[ID]], Table2[ID],Table2[MC3], "Not Found", 0 )</f>
        <v>0</v>
      </c>
      <c r="AB1681" s="16">
        <f>_xlfn.XLOOKUP(CustomerCombinedCleaned[[#This Row],[ID]], Table2[ID],Table2[MC4], "Not Found", 0 )</f>
        <v>0</v>
      </c>
      <c r="AC1681" s="16">
        <f>_xlfn.XLOOKUP(CustomerCombinedCleaned[[#This Row],[ID]], Table2[ID],Table2[MC5], "Not Found", 0 )</f>
        <v>0</v>
      </c>
    </row>
    <row r="1682" spans="1:29" x14ac:dyDescent="0.3">
      <c r="A1682" s="18">
        <v>1012</v>
      </c>
      <c r="B1682" s="16">
        <v>163033</v>
      </c>
      <c r="C1682" s="16">
        <v>0</v>
      </c>
      <c r="D1682" s="16">
        <v>0</v>
      </c>
      <c r="E1682" s="16">
        <v>61</v>
      </c>
      <c r="F1682" s="17" t="s">
        <v>5</v>
      </c>
      <c r="G1682" s="17" t="s">
        <v>11</v>
      </c>
      <c r="H1682" s="3" t="s">
        <v>149</v>
      </c>
      <c r="I1682" s="5" t="s">
        <v>439</v>
      </c>
      <c r="J1682" s="16">
        <f>_xlfn.XLOOKUP(CustomerCombinedCleaned[[#This Row],[ID]], Table4[ID], Table4[Recency], "Not Found", 0)</f>
        <v>82</v>
      </c>
      <c r="K1682" s="16">
        <f>_xlfn.XLOOKUP(CustomerCombinedCleaned[[#This Row],[ID]], Table4[ID], Table4[Teas], "Not Found", 0)</f>
        <v>502</v>
      </c>
      <c r="L1682" s="16">
        <f>_xlfn.XLOOKUP(CustomerCombinedCleaned[[#This Row],[ID]], Table4[ID], Table4[Fruits], "Not Found", 0)</f>
        <v>158</v>
      </c>
      <c r="M1682" s="16">
        <f>_xlfn.XLOOKUP(CustomerCombinedCleaned[[#This Row],[ID]], Table4[ID], Table4[Meats], "Not Found", 0)</f>
        <v>1242</v>
      </c>
      <c r="N1682" s="16">
        <f>_xlfn.XLOOKUP(CustomerCombinedCleaned[[#This Row],[ID]], Table4[ID], Table4[Seafood], "Not Found", 0)</f>
        <v>582</v>
      </c>
      <c r="O1682" s="16">
        <f>_xlfn.XLOOKUP(CustomerCombinedCleaned[[#This Row],[ID]], Table4[ID], Table4[Sweets], "Not Found", 0)</f>
        <v>290</v>
      </c>
      <c r="P1682" s="16">
        <f>_xlfn.XLOOKUP(CustomerCombinedCleaned[[#This Row],[ID]], Table4[ID], Table4[Premium], "Not Found", 0)</f>
        <v>78</v>
      </c>
      <c r="Q1682" s="16">
        <f>_xlfn.XLOOKUP(CustomerCombinedCleaned[[#This Row],[ID]], Table4[ID], Table4[Regular], "Not Found", 0)</f>
        <v>2695</v>
      </c>
      <c r="R1682" s="16">
        <f>_xlfn.XLOOKUP(CustomerCombinedCleaned[[#This Row],[ID]], Table4[ID], Table4[Deals], "Not Found", 0)</f>
        <v>1</v>
      </c>
      <c r="S1682" s="16">
        <f>_xlfn.XLOOKUP(CustomerCombinedCleaned[[#This Row],[ID]], Table4[ID], Table4[Website], "Not Found", 0)</f>
        <v>3</v>
      </c>
      <c r="T1682" s="16">
        <f>_xlfn.XLOOKUP(CustomerCombinedCleaned[[#This Row],[ID]], Table4[ID], Table4[Catalog], "Not Found", 0)</f>
        <v>4</v>
      </c>
      <c r="U1682" s="16">
        <f>_xlfn.XLOOKUP(CustomerCombinedCleaned[[#This Row],[ID]], Table4[ID], Table4[Store], "Not Found", 0)</f>
        <v>8</v>
      </c>
      <c r="V1682" s="16">
        <f>_xlfn.XLOOKUP(CustomerCombinedCleaned[[#This Row],[ID]], Table4[ID], Table4[Visits], "Not Found", 0)</f>
        <v>2</v>
      </c>
      <c r="W1682" s="16">
        <f>_xlfn.XLOOKUP(CustomerCombinedCleaned[[#This Row],[ID]], Table2[ID],Table2[Complaint], "Not Found", 0 )</f>
        <v>0</v>
      </c>
      <c r="X1682" s="16">
        <f>_xlfn.XLOOKUP(CustomerCombinedCleaned[[#This Row],[ID]], Table2[ID],Table2[Pilot], "Not Found", 0 )</f>
        <v>0</v>
      </c>
      <c r="Y1682" s="16">
        <f>_xlfn.XLOOKUP(CustomerCombinedCleaned[[#This Row],[ID]], Table2[ID],Table2[MC1], "Not Found", 0 )</f>
        <v>0</v>
      </c>
      <c r="Z1682" s="16">
        <f>_xlfn.XLOOKUP(CustomerCombinedCleaned[[#This Row],[ID]], Table2[ID],Table2[MC2], "Not Found", 0 )</f>
        <v>0</v>
      </c>
      <c r="AA1682" s="16">
        <f>_xlfn.XLOOKUP(CustomerCombinedCleaned[[#This Row],[ID]], Table2[ID],Table2[MC3], "Not Found", 0 )</f>
        <v>0</v>
      </c>
      <c r="AB1682" s="16">
        <f>_xlfn.XLOOKUP(CustomerCombinedCleaned[[#This Row],[ID]], Table2[ID],Table2[MC4], "Not Found", 0 )</f>
        <v>0</v>
      </c>
      <c r="AC1682" s="16">
        <f>_xlfn.XLOOKUP(CustomerCombinedCleaned[[#This Row],[ID]], Table2[ID],Table2[MC5], "Not Found", 0 )</f>
        <v>0</v>
      </c>
    </row>
    <row r="1683" spans="1:29" x14ac:dyDescent="0.3">
      <c r="A1683" s="18">
        <v>1625</v>
      </c>
      <c r="B1683" s="16">
        <v>162859</v>
      </c>
      <c r="C1683" s="16">
        <v>0</v>
      </c>
      <c r="D1683" s="16">
        <v>1</v>
      </c>
      <c r="E1683" s="16">
        <v>61</v>
      </c>
      <c r="F1683" s="17" t="s">
        <v>5</v>
      </c>
      <c r="G1683" s="17" t="s">
        <v>13</v>
      </c>
      <c r="H1683" s="3" t="s">
        <v>709</v>
      </c>
      <c r="I1683" s="5" t="s">
        <v>434</v>
      </c>
      <c r="J1683" s="16">
        <f>_xlfn.XLOOKUP(CustomerCombinedCleaned[[#This Row],[ID]], Table4[ID], Table4[Recency], "Not Found", 0)</f>
        <v>37</v>
      </c>
      <c r="K1683" s="16">
        <f>_xlfn.XLOOKUP(CustomerCombinedCleaned[[#This Row],[ID]], Table4[ID], Table4[Teas], "Not Found", 0)</f>
        <v>2754</v>
      </c>
      <c r="L1683" s="16">
        <f>_xlfn.XLOOKUP(CustomerCombinedCleaned[[#This Row],[ID]], Table4[ID], Table4[Fruits], "Not Found", 0)</f>
        <v>231</v>
      </c>
      <c r="M1683" s="16">
        <f>_xlfn.XLOOKUP(CustomerCombinedCleaned[[#This Row],[ID]], Table4[ID], Table4[Meats], "Not Found", 0)</f>
        <v>264</v>
      </c>
      <c r="N1683" s="16">
        <f>_xlfn.XLOOKUP(CustomerCombinedCleaned[[#This Row],[ID]], Table4[ID], Table4[Seafood], "Not Found", 0)</f>
        <v>41</v>
      </c>
      <c r="O1683" s="16">
        <f>_xlfn.XLOOKUP(CustomerCombinedCleaned[[#This Row],[ID]], Table4[ID], Table4[Sweets], "Not Found", 0)</f>
        <v>31</v>
      </c>
      <c r="P1683" s="16">
        <f>_xlfn.XLOOKUP(CustomerCombinedCleaned[[#This Row],[ID]], Table4[ID], Table4[Premium], "Not Found", 0)</f>
        <v>65</v>
      </c>
      <c r="Q1683" s="16">
        <f>_xlfn.XLOOKUP(CustomerCombinedCleaned[[#This Row],[ID]], Table4[ID], Table4[Regular], "Not Found", 0)</f>
        <v>3257</v>
      </c>
      <c r="R1683" s="16">
        <f>_xlfn.XLOOKUP(CustomerCombinedCleaned[[#This Row],[ID]], Table4[ID], Table4[Deals], "Not Found", 0)</f>
        <v>4</v>
      </c>
      <c r="S1683" s="16">
        <f>_xlfn.XLOOKUP(CustomerCombinedCleaned[[#This Row],[ID]], Table4[ID], Table4[Website], "Not Found", 0)</f>
        <v>9</v>
      </c>
      <c r="T1683" s="16">
        <f>_xlfn.XLOOKUP(CustomerCombinedCleaned[[#This Row],[ID]], Table4[ID], Table4[Catalog], "Not Found", 0)</f>
        <v>4</v>
      </c>
      <c r="U1683" s="16">
        <f>_xlfn.XLOOKUP(CustomerCombinedCleaned[[#This Row],[ID]], Table4[ID], Table4[Store], "Not Found", 0)</f>
        <v>6</v>
      </c>
      <c r="V1683" s="16">
        <f>_xlfn.XLOOKUP(CustomerCombinedCleaned[[#This Row],[ID]], Table4[ID], Table4[Visits], "Not Found", 0)</f>
        <v>6</v>
      </c>
      <c r="W1683" s="16">
        <f>_xlfn.XLOOKUP(CustomerCombinedCleaned[[#This Row],[ID]], Table2[ID],Table2[Complaint], "Not Found", 0 )</f>
        <v>0</v>
      </c>
      <c r="X1683" s="16">
        <f>_xlfn.XLOOKUP(CustomerCombinedCleaned[[#This Row],[ID]], Table2[ID],Table2[Pilot], "Not Found", 0 )</f>
        <v>0</v>
      </c>
      <c r="Y1683" s="16">
        <f>_xlfn.XLOOKUP(CustomerCombinedCleaned[[#This Row],[ID]], Table2[ID],Table2[MC1], "Not Found", 0 )</f>
        <v>0</v>
      </c>
      <c r="Z1683" s="16">
        <f>_xlfn.XLOOKUP(CustomerCombinedCleaned[[#This Row],[ID]], Table2[ID],Table2[MC2], "Not Found", 0 )</f>
        <v>0</v>
      </c>
      <c r="AA1683" s="16">
        <f>_xlfn.XLOOKUP(CustomerCombinedCleaned[[#This Row],[ID]], Table2[ID],Table2[MC3], "Not Found", 0 )</f>
        <v>0</v>
      </c>
      <c r="AB1683" s="16">
        <f>_xlfn.XLOOKUP(CustomerCombinedCleaned[[#This Row],[ID]], Table2[ID],Table2[MC4], "Not Found", 0 )</f>
        <v>0</v>
      </c>
      <c r="AC1683" s="16">
        <f>_xlfn.XLOOKUP(CustomerCombinedCleaned[[#This Row],[ID]], Table2[ID],Table2[MC5], "Not Found", 0 )</f>
        <v>0</v>
      </c>
    </row>
    <row r="1684" spans="1:29" x14ac:dyDescent="0.3">
      <c r="A1684" s="18">
        <v>1852</v>
      </c>
      <c r="B1684" s="16">
        <v>162450</v>
      </c>
      <c r="C1684" s="16">
        <v>0</v>
      </c>
      <c r="D1684" s="16">
        <v>1</v>
      </c>
      <c r="E1684" s="16">
        <v>61</v>
      </c>
      <c r="F1684" s="17" t="s">
        <v>7</v>
      </c>
      <c r="G1684" s="17" t="s">
        <v>11</v>
      </c>
      <c r="H1684" s="3" t="s">
        <v>711</v>
      </c>
      <c r="I1684" s="5" t="s">
        <v>439</v>
      </c>
      <c r="J1684" s="16">
        <f>_xlfn.XLOOKUP(CustomerCombinedCleaned[[#This Row],[ID]], Table4[ID], Table4[Recency], "Not Found", 0)</f>
        <v>61</v>
      </c>
      <c r="K1684" s="16">
        <f>_xlfn.XLOOKUP(CustomerCombinedCleaned[[#This Row],[ID]], Table4[ID], Table4[Teas], "Not Found", 0)</f>
        <v>1340</v>
      </c>
      <c r="L1684" s="16">
        <f>_xlfn.XLOOKUP(CustomerCombinedCleaned[[#This Row],[ID]], Table4[ID], Table4[Fruits], "Not Found", 0)</f>
        <v>122</v>
      </c>
      <c r="M1684" s="16">
        <f>_xlfn.XLOOKUP(CustomerCombinedCleaned[[#This Row],[ID]], Table4[ID], Table4[Meats], "Not Found", 0)</f>
        <v>695</v>
      </c>
      <c r="N1684" s="16">
        <f>_xlfn.XLOOKUP(CustomerCombinedCleaned[[#This Row],[ID]], Table4[ID], Table4[Seafood], "Not Found", 0)</f>
        <v>161</v>
      </c>
      <c r="O1684" s="16">
        <f>_xlfn.XLOOKUP(CustomerCombinedCleaned[[#This Row],[ID]], Table4[ID], Table4[Sweets], "Not Found", 0)</f>
        <v>172</v>
      </c>
      <c r="P1684" s="16">
        <f>_xlfn.XLOOKUP(CustomerCombinedCleaned[[#This Row],[ID]], Table4[ID], Table4[Premium], "Not Found", 0)</f>
        <v>99</v>
      </c>
      <c r="Q1684" s="16">
        <f>_xlfn.XLOOKUP(CustomerCombinedCleaned[[#This Row],[ID]], Table4[ID], Table4[Regular], "Not Found", 0)</f>
        <v>2391</v>
      </c>
      <c r="R1684" s="16">
        <f>_xlfn.XLOOKUP(CustomerCombinedCleaned[[#This Row],[ID]], Table4[ID], Table4[Deals], "Not Found", 0)</f>
        <v>2</v>
      </c>
      <c r="S1684" s="16">
        <f>_xlfn.XLOOKUP(CustomerCombinedCleaned[[#This Row],[ID]], Table4[ID], Table4[Website], "Not Found", 0)</f>
        <v>5</v>
      </c>
      <c r="T1684" s="16">
        <f>_xlfn.XLOOKUP(CustomerCombinedCleaned[[#This Row],[ID]], Table4[ID], Table4[Catalog], "Not Found", 0)</f>
        <v>5</v>
      </c>
      <c r="U1684" s="16">
        <f>_xlfn.XLOOKUP(CustomerCombinedCleaned[[#This Row],[ID]], Table4[ID], Table4[Store], "Not Found", 0)</f>
        <v>4</v>
      </c>
      <c r="V1684" s="16">
        <f>_xlfn.XLOOKUP(CustomerCombinedCleaned[[#This Row],[ID]], Table4[ID], Table4[Visits], "Not Found", 0)</f>
        <v>3</v>
      </c>
      <c r="W1684" s="16">
        <f>_xlfn.XLOOKUP(CustomerCombinedCleaned[[#This Row],[ID]], Table2[ID],Table2[Complaint], "Not Found", 0 )</f>
        <v>0</v>
      </c>
      <c r="X1684" s="16">
        <f>_xlfn.XLOOKUP(CustomerCombinedCleaned[[#This Row],[ID]], Table2[ID],Table2[Pilot], "Not Found", 0 )</f>
        <v>0</v>
      </c>
      <c r="Y1684" s="16">
        <f>_xlfn.XLOOKUP(CustomerCombinedCleaned[[#This Row],[ID]], Table2[ID],Table2[MC1], "Not Found", 0 )</f>
        <v>0</v>
      </c>
      <c r="Z1684" s="16">
        <f>_xlfn.XLOOKUP(CustomerCombinedCleaned[[#This Row],[ID]], Table2[ID],Table2[MC2], "Not Found", 0 )</f>
        <v>0</v>
      </c>
      <c r="AA1684" s="16">
        <f>_xlfn.XLOOKUP(CustomerCombinedCleaned[[#This Row],[ID]], Table2[ID],Table2[MC3], "Not Found", 0 )</f>
        <v>0</v>
      </c>
      <c r="AB1684" s="16">
        <f>_xlfn.XLOOKUP(CustomerCombinedCleaned[[#This Row],[ID]], Table2[ID],Table2[MC4], "Not Found", 0 )</f>
        <v>1</v>
      </c>
      <c r="AC1684" s="16">
        <f>_xlfn.XLOOKUP(CustomerCombinedCleaned[[#This Row],[ID]], Table2[ID],Table2[MC5], "Not Found", 0 )</f>
        <v>0</v>
      </c>
    </row>
    <row r="1685" spans="1:29" x14ac:dyDescent="0.3">
      <c r="A1685" s="18">
        <v>1493</v>
      </c>
      <c r="B1685" s="16">
        <v>161250</v>
      </c>
      <c r="C1685" s="16">
        <v>0</v>
      </c>
      <c r="D1685" s="16">
        <v>1</v>
      </c>
      <c r="E1685" s="16">
        <v>61</v>
      </c>
      <c r="F1685" s="17" t="s">
        <v>5</v>
      </c>
      <c r="G1685" s="17" t="s">
        <v>11</v>
      </c>
      <c r="H1685" s="3" t="s">
        <v>343</v>
      </c>
      <c r="I1685" s="5" t="s">
        <v>434</v>
      </c>
      <c r="J1685" s="16">
        <f>_xlfn.XLOOKUP(CustomerCombinedCleaned[[#This Row],[ID]], Table4[ID], Table4[Recency], "Not Found", 0)</f>
        <v>49</v>
      </c>
      <c r="K1685" s="16">
        <f>_xlfn.XLOOKUP(CustomerCombinedCleaned[[#This Row],[ID]], Table4[ID], Table4[Teas], "Not Found", 0)</f>
        <v>1006</v>
      </c>
      <c r="L1685" s="16">
        <f>_xlfn.XLOOKUP(CustomerCombinedCleaned[[#This Row],[ID]], Table4[ID], Table4[Fruits], "Not Found", 0)</f>
        <v>363</v>
      </c>
      <c r="M1685" s="16">
        <f>_xlfn.XLOOKUP(CustomerCombinedCleaned[[#This Row],[ID]], Table4[ID], Table4[Meats], "Not Found", 0)</f>
        <v>171</v>
      </c>
      <c r="N1685" s="16">
        <f>_xlfn.XLOOKUP(CustomerCombinedCleaned[[#This Row],[ID]], Table4[ID], Table4[Seafood], "Not Found", 0)</f>
        <v>158</v>
      </c>
      <c r="O1685" s="16">
        <f>_xlfn.XLOOKUP(CustomerCombinedCleaned[[#This Row],[ID]], Table4[ID], Table4[Sweets], "Not Found", 0)</f>
        <v>68</v>
      </c>
      <c r="P1685" s="16">
        <f>_xlfn.XLOOKUP(CustomerCombinedCleaned[[#This Row],[ID]], Table4[ID], Table4[Premium], "Not Found", 0)</f>
        <v>155</v>
      </c>
      <c r="Q1685" s="16">
        <f>_xlfn.XLOOKUP(CustomerCombinedCleaned[[#This Row],[ID]], Table4[ID], Table4[Regular], "Not Found", 0)</f>
        <v>1611</v>
      </c>
      <c r="R1685" s="16">
        <f>_xlfn.XLOOKUP(CustomerCombinedCleaned[[#This Row],[ID]], Table4[ID], Table4[Deals], "Not Found", 0)</f>
        <v>6</v>
      </c>
      <c r="S1685" s="16">
        <f>_xlfn.XLOOKUP(CustomerCombinedCleaned[[#This Row],[ID]], Table4[ID], Table4[Website], "Not Found", 0)</f>
        <v>5</v>
      </c>
      <c r="T1685" s="16">
        <f>_xlfn.XLOOKUP(CustomerCombinedCleaned[[#This Row],[ID]], Table4[ID], Table4[Catalog], "Not Found", 0)</f>
        <v>2</v>
      </c>
      <c r="U1685" s="16">
        <f>_xlfn.XLOOKUP(CustomerCombinedCleaned[[#This Row],[ID]], Table4[ID], Table4[Store], "Not Found", 0)</f>
        <v>12</v>
      </c>
      <c r="V1685" s="16">
        <f>_xlfn.XLOOKUP(CustomerCombinedCleaned[[#This Row],[ID]], Table4[ID], Table4[Visits], "Not Found", 0)</f>
        <v>5</v>
      </c>
      <c r="W1685" s="16">
        <f>_xlfn.XLOOKUP(CustomerCombinedCleaned[[#This Row],[ID]], Table2[ID],Table2[Complaint], "Not Found", 0 )</f>
        <v>0</v>
      </c>
      <c r="X1685" s="16">
        <f>_xlfn.XLOOKUP(CustomerCombinedCleaned[[#This Row],[ID]], Table2[ID],Table2[Pilot], "Not Found", 0 )</f>
        <v>0</v>
      </c>
      <c r="Y1685" s="16">
        <f>_xlfn.XLOOKUP(CustomerCombinedCleaned[[#This Row],[ID]], Table2[ID],Table2[MC1], "Not Found", 0 )</f>
        <v>0</v>
      </c>
      <c r="Z1685" s="16">
        <f>_xlfn.XLOOKUP(CustomerCombinedCleaned[[#This Row],[ID]], Table2[ID],Table2[MC2], "Not Found", 0 )</f>
        <v>0</v>
      </c>
      <c r="AA1685" s="16">
        <f>_xlfn.XLOOKUP(CustomerCombinedCleaned[[#This Row],[ID]], Table2[ID],Table2[MC3], "Not Found", 0 )</f>
        <v>0</v>
      </c>
      <c r="AB1685" s="16">
        <f>_xlfn.XLOOKUP(CustomerCombinedCleaned[[#This Row],[ID]], Table2[ID],Table2[MC4], "Not Found", 0 )</f>
        <v>0</v>
      </c>
      <c r="AC1685" s="16">
        <f>_xlfn.XLOOKUP(CustomerCombinedCleaned[[#This Row],[ID]], Table2[ID],Table2[MC5], "Not Found", 0 )</f>
        <v>0</v>
      </c>
    </row>
    <row r="1686" spans="1:29" x14ac:dyDescent="0.3">
      <c r="A1686" s="18">
        <v>2021</v>
      </c>
      <c r="B1686" s="16">
        <v>161180</v>
      </c>
      <c r="C1686" s="16">
        <v>0</v>
      </c>
      <c r="D1686" s="16">
        <v>1</v>
      </c>
      <c r="E1686" s="16">
        <v>61</v>
      </c>
      <c r="F1686" s="17" t="s">
        <v>6</v>
      </c>
      <c r="G1686" s="17" t="s">
        <v>11</v>
      </c>
      <c r="H1686" s="3" t="s">
        <v>59</v>
      </c>
      <c r="I1686" s="5" t="s">
        <v>434</v>
      </c>
      <c r="J1686" s="16">
        <f>_xlfn.XLOOKUP(CustomerCombinedCleaned[[#This Row],[ID]], Table4[ID], Table4[Recency], "Not Found", 0)</f>
        <v>70</v>
      </c>
      <c r="K1686" s="16">
        <f>_xlfn.XLOOKUP(CustomerCombinedCleaned[[#This Row],[ID]], Table4[ID], Table4[Teas], "Not Found", 0)</f>
        <v>1062</v>
      </c>
      <c r="L1686" s="16">
        <f>_xlfn.XLOOKUP(CustomerCombinedCleaned[[#This Row],[ID]], Table4[ID], Table4[Fruits], "Not Found", 0)</f>
        <v>63</v>
      </c>
      <c r="M1686" s="16">
        <f>_xlfn.XLOOKUP(CustomerCombinedCleaned[[#This Row],[ID]], Table4[ID], Table4[Meats], "Not Found", 0)</f>
        <v>76</v>
      </c>
      <c r="N1686" s="16">
        <f>_xlfn.XLOOKUP(CustomerCombinedCleaned[[#This Row],[ID]], Table4[ID], Table4[Seafood], "Not Found", 0)</f>
        <v>16</v>
      </c>
      <c r="O1686" s="16">
        <f>_xlfn.XLOOKUP(CustomerCombinedCleaned[[#This Row],[ID]], Table4[ID], Table4[Sweets], "Not Found", 0)</f>
        <v>63</v>
      </c>
      <c r="P1686" s="16">
        <f>_xlfn.XLOOKUP(CustomerCombinedCleaned[[#This Row],[ID]], Table4[ID], Table4[Premium], "Not Found", 0)</f>
        <v>574</v>
      </c>
      <c r="Q1686" s="16">
        <f>_xlfn.XLOOKUP(CustomerCombinedCleaned[[#This Row],[ID]], Table4[ID], Table4[Regular], "Not Found", 0)</f>
        <v>706</v>
      </c>
      <c r="R1686" s="16">
        <f>_xlfn.XLOOKUP(CustomerCombinedCleaned[[#This Row],[ID]], Table4[ID], Table4[Deals], "Not Found", 0)</f>
        <v>2</v>
      </c>
      <c r="S1686" s="16">
        <f>_xlfn.XLOOKUP(CustomerCombinedCleaned[[#This Row],[ID]], Table4[ID], Table4[Website], "Not Found", 0)</f>
        <v>5</v>
      </c>
      <c r="T1686" s="16">
        <f>_xlfn.XLOOKUP(CustomerCombinedCleaned[[#This Row],[ID]], Table4[ID], Table4[Catalog], "Not Found", 0)</f>
        <v>5</v>
      </c>
      <c r="U1686" s="16">
        <f>_xlfn.XLOOKUP(CustomerCombinedCleaned[[#This Row],[ID]], Table4[ID], Table4[Store], "Not Found", 0)</f>
        <v>6</v>
      </c>
      <c r="V1686" s="16">
        <f>_xlfn.XLOOKUP(CustomerCombinedCleaned[[#This Row],[ID]], Table4[ID], Table4[Visits], "Not Found", 0)</f>
        <v>3</v>
      </c>
      <c r="W1686" s="16">
        <f>_xlfn.XLOOKUP(CustomerCombinedCleaned[[#This Row],[ID]], Table2[ID],Table2[Complaint], "Not Found", 0 )</f>
        <v>0</v>
      </c>
      <c r="X1686" s="16">
        <f>_xlfn.XLOOKUP(CustomerCombinedCleaned[[#This Row],[ID]], Table2[ID],Table2[Pilot], "Not Found", 0 )</f>
        <v>0</v>
      </c>
      <c r="Y1686" s="16">
        <f>_xlfn.XLOOKUP(CustomerCombinedCleaned[[#This Row],[ID]], Table2[ID],Table2[MC1], "Not Found", 0 )</f>
        <v>0</v>
      </c>
      <c r="Z1686" s="16">
        <f>_xlfn.XLOOKUP(CustomerCombinedCleaned[[#This Row],[ID]], Table2[ID],Table2[MC2], "Not Found", 0 )</f>
        <v>0</v>
      </c>
      <c r="AA1686" s="16">
        <f>_xlfn.XLOOKUP(CustomerCombinedCleaned[[#This Row],[ID]], Table2[ID],Table2[MC3], "Not Found", 0 )</f>
        <v>1</v>
      </c>
      <c r="AB1686" s="16">
        <f>_xlfn.XLOOKUP(CustomerCombinedCleaned[[#This Row],[ID]], Table2[ID],Table2[MC4], "Not Found", 0 )</f>
        <v>0</v>
      </c>
      <c r="AC1686" s="16">
        <f>_xlfn.XLOOKUP(CustomerCombinedCleaned[[#This Row],[ID]], Table2[ID],Table2[MC5], "Not Found", 0 )</f>
        <v>0</v>
      </c>
    </row>
    <row r="1687" spans="1:29" x14ac:dyDescent="0.3">
      <c r="A1687" s="18">
        <v>1954</v>
      </c>
      <c r="B1687" s="16">
        <v>159052</v>
      </c>
      <c r="C1687" s="16">
        <v>0</v>
      </c>
      <c r="D1687" s="16">
        <v>1</v>
      </c>
      <c r="E1687" s="16">
        <v>61</v>
      </c>
      <c r="F1687" s="17" t="s">
        <v>5</v>
      </c>
      <c r="G1687" s="17" t="s">
        <v>11</v>
      </c>
      <c r="H1687" s="3" t="s">
        <v>148</v>
      </c>
      <c r="I1687" s="5" t="s">
        <v>439</v>
      </c>
      <c r="J1687" s="16">
        <f>_xlfn.XLOOKUP(CustomerCombinedCleaned[[#This Row],[ID]], Table4[ID], Table4[Recency], "Not Found", 0)</f>
        <v>29</v>
      </c>
      <c r="K1687" s="16">
        <f>_xlfn.XLOOKUP(CustomerCombinedCleaned[[#This Row],[ID]], Table4[ID], Table4[Teas], "Not Found", 0)</f>
        <v>619</v>
      </c>
      <c r="L1687" s="16">
        <f>_xlfn.XLOOKUP(CustomerCombinedCleaned[[#This Row],[ID]], Table4[ID], Table4[Fruits], "Not Found", 0)</f>
        <v>94</v>
      </c>
      <c r="M1687" s="16">
        <f>_xlfn.XLOOKUP(CustomerCombinedCleaned[[#This Row],[ID]], Table4[ID], Table4[Meats], "Not Found", 0)</f>
        <v>202</v>
      </c>
      <c r="N1687" s="16">
        <f>_xlfn.XLOOKUP(CustomerCombinedCleaned[[#This Row],[ID]], Table4[ID], Table4[Seafood], "Not Found", 0)</f>
        <v>170</v>
      </c>
      <c r="O1687" s="16">
        <f>_xlfn.XLOOKUP(CustomerCombinedCleaned[[#This Row],[ID]], Table4[ID], Table4[Sweets], "Not Found", 0)</f>
        <v>154</v>
      </c>
      <c r="P1687" s="16">
        <f>_xlfn.XLOOKUP(CustomerCombinedCleaned[[#This Row],[ID]], Table4[ID], Table4[Premium], "Not Found", 0)</f>
        <v>83</v>
      </c>
      <c r="Q1687" s="16">
        <f>_xlfn.XLOOKUP(CustomerCombinedCleaned[[#This Row],[ID]], Table4[ID], Table4[Regular], "Not Found", 0)</f>
        <v>1155</v>
      </c>
      <c r="R1687" s="16">
        <f>_xlfn.XLOOKUP(CustomerCombinedCleaned[[#This Row],[ID]], Table4[ID], Table4[Deals], "Not Found", 0)</f>
        <v>3</v>
      </c>
      <c r="S1687" s="16">
        <f>_xlfn.XLOOKUP(CustomerCombinedCleaned[[#This Row],[ID]], Table4[ID], Table4[Website], "Not Found", 0)</f>
        <v>7</v>
      </c>
      <c r="T1687" s="16">
        <f>_xlfn.XLOOKUP(CustomerCombinedCleaned[[#This Row],[ID]], Table4[ID], Table4[Catalog], "Not Found", 0)</f>
        <v>1</v>
      </c>
      <c r="U1687" s="16">
        <f>_xlfn.XLOOKUP(CustomerCombinedCleaned[[#This Row],[ID]], Table4[ID], Table4[Store], "Not Found", 0)</f>
        <v>7</v>
      </c>
      <c r="V1687" s="16">
        <f>_xlfn.XLOOKUP(CustomerCombinedCleaned[[#This Row],[ID]], Table4[ID], Table4[Visits], "Not Found", 0)</f>
        <v>5</v>
      </c>
      <c r="W1687" s="16">
        <f>_xlfn.XLOOKUP(CustomerCombinedCleaned[[#This Row],[ID]], Table2[ID],Table2[Complaint], "Not Found", 0 )</f>
        <v>0</v>
      </c>
      <c r="X1687" s="16">
        <f>_xlfn.XLOOKUP(CustomerCombinedCleaned[[#This Row],[ID]], Table2[ID],Table2[Pilot], "Not Found", 0 )</f>
        <v>0</v>
      </c>
      <c r="Y1687" s="16">
        <f>_xlfn.XLOOKUP(CustomerCombinedCleaned[[#This Row],[ID]], Table2[ID],Table2[MC1], "Not Found", 0 )</f>
        <v>0</v>
      </c>
      <c r="Z1687" s="16">
        <f>_xlfn.XLOOKUP(CustomerCombinedCleaned[[#This Row],[ID]], Table2[ID],Table2[MC2], "Not Found", 0 )</f>
        <v>0</v>
      </c>
      <c r="AA1687" s="16">
        <f>_xlfn.XLOOKUP(CustomerCombinedCleaned[[#This Row],[ID]], Table2[ID],Table2[MC3], "Not Found", 0 )</f>
        <v>0</v>
      </c>
      <c r="AB1687" s="16">
        <f>_xlfn.XLOOKUP(CustomerCombinedCleaned[[#This Row],[ID]], Table2[ID],Table2[MC4], "Not Found", 0 )</f>
        <v>0</v>
      </c>
      <c r="AC1687" s="16">
        <f>_xlfn.XLOOKUP(CustomerCombinedCleaned[[#This Row],[ID]], Table2[ID],Table2[MC5], "Not Found", 0 )</f>
        <v>0</v>
      </c>
    </row>
    <row r="1688" spans="1:29" x14ac:dyDescent="0.3">
      <c r="A1688" s="18">
        <v>2182</v>
      </c>
      <c r="B1688" s="16">
        <v>158113</v>
      </c>
      <c r="C1688" s="16">
        <v>0</v>
      </c>
      <c r="D1688" s="16">
        <v>1</v>
      </c>
      <c r="E1688" s="16">
        <v>61</v>
      </c>
      <c r="F1688" s="17" t="s">
        <v>6</v>
      </c>
      <c r="G1688" s="17" t="s">
        <v>11</v>
      </c>
      <c r="H1688" s="3" t="s">
        <v>727</v>
      </c>
      <c r="I1688" s="5" t="s">
        <v>439</v>
      </c>
      <c r="J1688" s="16">
        <f>_xlfn.XLOOKUP(CustomerCombinedCleaned[[#This Row],[ID]], Table4[ID], Table4[Recency], "Not Found", 0)</f>
        <v>66</v>
      </c>
      <c r="K1688" s="16">
        <f>_xlfn.XLOOKUP(CustomerCombinedCleaned[[#This Row],[ID]], Table4[ID], Table4[Teas], "Not Found", 0)</f>
        <v>601</v>
      </c>
      <c r="L1688" s="16">
        <f>_xlfn.XLOOKUP(CustomerCombinedCleaned[[#This Row],[ID]], Table4[ID], Table4[Fruits], "Not Found", 0)</f>
        <v>283</v>
      </c>
      <c r="M1688" s="16">
        <f>_xlfn.XLOOKUP(CustomerCombinedCleaned[[#This Row],[ID]], Table4[ID], Table4[Meats], "Not Found", 0)</f>
        <v>460</v>
      </c>
      <c r="N1688" s="16">
        <f>_xlfn.XLOOKUP(CustomerCombinedCleaned[[#This Row],[ID]], Table4[ID], Table4[Seafood], "Not Found", 0)</f>
        <v>278</v>
      </c>
      <c r="O1688" s="16">
        <f>_xlfn.XLOOKUP(CustomerCombinedCleaned[[#This Row],[ID]], Table4[ID], Table4[Sweets], "Not Found", 0)</f>
        <v>212</v>
      </c>
      <c r="P1688" s="16">
        <f>_xlfn.XLOOKUP(CustomerCombinedCleaned[[#This Row],[ID]], Table4[ID], Table4[Premium], "Not Found", 0)</f>
        <v>229</v>
      </c>
      <c r="Q1688" s="16">
        <f>_xlfn.XLOOKUP(CustomerCombinedCleaned[[#This Row],[ID]], Table4[ID], Table4[Regular], "Not Found", 0)</f>
        <v>1605</v>
      </c>
      <c r="R1688" s="16">
        <f>_xlfn.XLOOKUP(CustomerCombinedCleaned[[#This Row],[ID]], Table4[ID], Table4[Deals], "Not Found", 0)</f>
        <v>3</v>
      </c>
      <c r="S1688" s="16">
        <f>_xlfn.XLOOKUP(CustomerCombinedCleaned[[#This Row],[ID]], Table4[ID], Table4[Website], "Not Found", 0)</f>
        <v>9</v>
      </c>
      <c r="T1688" s="16">
        <f>_xlfn.XLOOKUP(CustomerCombinedCleaned[[#This Row],[ID]], Table4[ID], Table4[Catalog], "Not Found", 0)</f>
        <v>2</v>
      </c>
      <c r="U1688" s="16">
        <f>_xlfn.XLOOKUP(CustomerCombinedCleaned[[#This Row],[ID]], Table4[ID], Table4[Store], "Not Found", 0)</f>
        <v>8</v>
      </c>
      <c r="V1688" s="16">
        <f>_xlfn.XLOOKUP(CustomerCombinedCleaned[[#This Row],[ID]], Table4[ID], Table4[Visits], "Not Found", 0)</f>
        <v>7</v>
      </c>
      <c r="W1688" s="16">
        <f>_xlfn.XLOOKUP(CustomerCombinedCleaned[[#This Row],[ID]], Table2[ID],Table2[Complaint], "Not Found", 0 )</f>
        <v>1</v>
      </c>
      <c r="X1688" s="16">
        <f>_xlfn.XLOOKUP(CustomerCombinedCleaned[[#This Row],[ID]], Table2[ID],Table2[Pilot], "Not Found", 0 )</f>
        <v>0</v>
      </c>
      <c r="Y1688" s="16">
        <f>_xlfn.XLOOKUP(CustomerCombinedCleaned[[#This Row],[ID]], Table2[ID],Table2[MC1], "Not Found", 0 )</f>
        <v>0</v>
      </c>
      <c r="Z1688" s="16">
        <f>_xlfn.XLOOKUP(CustomerCombinedCleaned[[#This Row],[ID]], Table2[ID],Table2[MC2], "Not Found", 0 )</f>
        <v>0</v>
      </c>
      <c r="AA1688" s="16">
        <f>_xlfn.XLOOKUP(CustomerCombinedCleaned[[#This Row],[ID]], Table2[ID],Table2[MC3], "Not Found", 0 )</f>
        <v>0</v>
      </c>
      <c r="AB1688" s="16">
        <f>_xlfn.XLOOKUP(CustomerCombinedCleaned[[#This Row],[ID]], Table2[ID],Table2[MC4], "Not Found", 0 )</f>
        <v>0</v>
      </c>
      <c r="AC1688" s="16">
        <f>_xlfn.XLOOKUP(CustomerCombinedCleaned[[#This Row],[ID]], Table2[ID],Table2[MC5], "Not Found", 0 )</f>
        <v>0</v>
      </c>
    </row>
    <row r="1689" spans="1:29" x14ac:dyDescent="0.3">
      <c r="A1689" s="18">
        <v>2437</v>
      </c>
      <c r="B1689" s="16">
        <v>157957</v>
      </c>
      <c r="C1689" s="16">
        <v>0</v>
      </c>
      <c r="D1689" s="16">
        <v>1</v>
      </c>
      <c r="E1689" s="16">
        <v>61</v>
      </c>
      <c r="F1689" s="17" t="s">
        <v>8</v>
      </c>
      <c r="G1689" s="17" t="s">
        <v>11</v>
      </c>
      <c r="H1689" s="3" t="s">
        <v>198</v>
      </c>
      <c r="I1689" s="5" t="s">
        <v>437</v>
      </c>
      <c r="J1689" s="16">
        <f>_xlfn.XLOOKUP(CustomerCombinedCleaned[[#This Row],[ID]], Table4[ID], Table4[Recency], "Not Found", 0)</f>
        <v>24</v>
      </c>
      <c r="K1689" s="16">
        <f>_xlfn.XLOOKUP(CustomerCombinedCleaned[[#This Row],[ID]], Table4[ID], Table4[Teas], "Not Found", 0)</f>
        <v>790</v>
      </c>
      <c r="L1689" s="16">
        <f>_xlfn.XLOOKUP(CustomerCombinedCleaned[[#This Row],[ID]], Table4[ID], Table4[Fruits], "Not Found", 0)</f>
        <v>161</v>
      </c>
      <c r="M1689" s="16">
        <f>_xlfn.XLOOKUP(CustomerCombinedCleaned[[#This Row],[ID]], Table4[ID], Table4[Meats], "Not Found", 0)</f>
        <v>482</v>
      </c>
      <c r="N1689" s="16">
        <f>_xlfn.XLOOKUP(CustomerCombinedCleaned[[#This Row],[ID]], Table4[ID], Table4[Seafood], "Not Found", 0)</f>
        <v>210</v>
      </c>
      <c r="O1689" s="16">
        <f>_xlfn.XLOOKUP(CustomerCombinedCleaned[[#This Row],[ID]], Table4[ID], Table4[Sweets], "Not Found", 0)</f>
        <v>14</v>
      </c>
      <c r="P1689" s="16">
        <f>_xlfn.XLOOKUP(CustomerCombinedCleaned[[#This Row],[ID]], Table4[ID], Table4[Premium], "Not Found", 0)</f>
        <v>79</v>
      </c>
      <c r="Q1689" s="16">
        <f>_xlfn.XLOOKUP(CustomerCombinedCleaned[[#This Row],[ID]], Table4[ID], Table4[Regular], "Not Found", 0)</f>
        <v>1578</v>
      </c>
      <c r="R1689" s="16">
        <f>_xlfn.XLOOKUP(CustomerCombinedCleaned[[#This Row],[ID]], Table4[ID], Table4[Deals], "Not Found", 0)</f>
        <v>7</v>
      </c>
      <c r="S1689" s="16">
        <f>_xlfn.XLOOKUP(CustomerCombinedCleaned[[#This Row],[ID]], Table4[ID], Table4[Website], "Not Found", 0)</f>
        <v>4</v>
      </c>
      <c r="T1689" s="16">
        <f>_xlfn.XLOOKUP(CustomerCombinedCleaned[[#This Row],[ID]], Table4[ID], Table4[Catalog], "Not Found", 0)</f>
        <v>6</v>
      </c>
      <c r="U1689" s="16">
        <f>_xlfn.XLOOKUP(CustomerCombinedCleaned[[#This Row],[ID]], Table4[ID], Table4[Store], "Not Found", 0)</f>
        <v>8</v>
      </c>
      <c r="V1689" s="16">
        <f>_xlfn.XLOOKUP(CustomerCombinedCleaned[[#This Row],[ID]], Table4[ID], Table4[Visits], "Not Found", 0)</f>
        <v>3</v>
      </c>
      <c r="W1689" s="16">
        <f>_xlfn.XLOOKUP(CustomerCombinedCleaned[[#This Row],[ID]], Table2[ID],Table2[Complaint], "Not Found", 0 )</f>
        <v>1</v>
      </c>
      <c r="X1689" s="16">
        <f>_xlfn.XLOOKUP(CustomerCombinedCleaned[[#This Row],[ID]], Table2[ID],Table2[Pilot], "Not Found", 0 )</f>
        <v>0</v>
      </c>
      <c r="Y1689" s="16">
        <f>_xlfn.XLOOKUP(CustomerCombinedCleaned[[#This Row],[ID]], Table2[ID],Table2[MC1], "Not Found", 0 )</f>
        <v>0</v>
      </c>
      <c r="Z1689" s="16">
        <f>_xlfn.XLOOKUP(CustomerCombinedCleaned[[#This Row],[ID]], Table2[ID],Table2[MC2], "Not Found", 0 )</f>
        <v>0</v>
      </c>
      <c r="AA1689" s="16">
        <f>_xlfn.XLOOKUP(CustomerCombinedCleaned[[#This Row],[ID]], Table2[ID],Table2[MC3], "Not Found", 0 )</f>
        <v>0</v>
      </c>
      <c r="AB1689" s="16">
        <f>_xlfn.XLOOKUP(CustomerCombinedCleaned[[#This Row],[ID]], Table2[ID],Table2[MC4], "Not Found", 0 )</f>
        <v>0</v>
      </c>
      <c r="AC1689" s="16">
        <f>_xlfn.XLOOKUP(CustomerCombinedCleaned[[#This Row],[ID]], Table2[ID],Table2[MC5], "Not Found", 0 )</f>
        <v>0</v>
      </c>
    </row>
    <row r="1690" spans="1:29" x14ac:dyDescent="0.3">
      <c r="A1690" s="18">
        <v>2713</v>
      </c>
      <c r="B1690" s="16">
        <v>154984</v>
      </c>
      <c r="C1690" s="16">
        <v>0</v>
      </c>
      <c r="D1690" s="16">
        <v>1</v>
      </c>
      <c r="E1690" s="16">
        <v>61</v>
      </c>
      <c r="F1690" s="17" t="s">
        <v>6</v>
      </c>
      <c r="G1690" s="17" t="s">
        <v>11</v>
      </c>
      <c r="H1690" s="3" t="s">
        <v>43</v>
      </c>
      <c r="I1690" s="5" t="s">
        <v>437</v>
      </c>
      <c r="J1690" s="16">
        <f>_xlfn.XLOOKUP(CustomerCombinedCleaned[[#This Row],[ID]], Table4[ID], Table4[Recency], "Not Found", 0)</f>
        <v>51</v>
      </c>
      <c r="K1690" s="16">
        <f>_xlfn.XLOOKUP(CustomerCombinedCleaned[[#This Row],[ID]], Table4[ID], Table4[Teas], "Not Found", 0)</f>
        <v>488</v>
      </c>
      <c r="L1690" s="16">
        <f>_xlfn.XLOOKUP(CustomerCombinedCleaned[[#This Row],[ID]], Table4[ID], Table4[Fruits], "Not Found", 0)</f>
        <v>37</v>
      </c>
      <c r="M1690" s="16">
        <f>_xlfn.XLOOKUP(CustomerCombinedCleaned[[#This Row],[ID]], Table4[ID], Table4[Meats], "Not Found", 0)</f>
        <v>369</v>
      </c>
      <c r="N1690" s="16">
        <f>_xlfn.XLOOKUP(CustomerCombinedCleaned[[#This Row],[ID]], Table4[ID], Table4[Seafood], "Not Found", 0)</f>
        <v>90</v>
      </c>
      <c r="O1690" s="16">
        <f>_xlfn.XLOOKUP(CustomerCombinedCleaned[[#This Row],[ID]], Table4[ID], Table4[Sweets], "Not Found", 0)</f>
        <v>8</v>
      </c>
      <c r="P1690" s="16">
        <f>_xlfn.XLOOKUP(CustomerCombinedCleaned[[#This Row],[ID]], Table4[ID], Table4[Premium], "Not Found", 0)</f>
        <v>17</v>
      </c>
      <c r="Q1690" s="16">
        <f>_xlfn.XLOOKUP(CustomerCombinedCleaned[[#This Row],[ID]], Table4[ID], Table4[Regular], "Not Found", 0)</f>
        <v>975</v>
      </c>
      <c r="R1690" s="16">
        <f>_xlfn.XLOOKUP(CustomerCombinedCleaned[[#This Row],[ID]], Table4[ID], Table4[Deals], "Not Found", 0)</f>
        <v>4</v>
      </c>
      <c r="S1690" s="16">
        <f>_xlfn.XLOOKUP(CustomerCombinedCleaned[[#This Row],[ID]], Table4[ID], Table4[Website], "Not Found", 0)</f>
        <v>6</v>
      </c>
      <c r="T1690" s="16">
        <f>_xlfn.XLOOKUP(CustomerCombinedCleaned[[#This Row],[ID]], Table4[ID], Table4[Catalog], "Not Found", 0)</f>
        <v>1</v>
      </c>
      <c r="U1690" s="16">
        <f>_xlfn.XLOOKUP(CustomerCombinedCleaned[[#This Row],[ID]], Table4[ID], Table4[Store], "Not Found", 0)</f>
        <v>6</v>
      </c>
      <c r="V1690" s="16">
        <f>_xlfn.XLOOKUP(CustomerCombinedCleaned[[#This Row],[ID]], Table4[ID], Table4[Visits], "Not Found", 0)</f>
        <v>7</v>
      </c>
      <c r="W1690" s="16">
        <f>_xlfn.XLOOKUP(CustomerCombinedCleaned[[#This Row],[ID]], Table2[ID],Table2[Complaint], "Not Found", 0 )</f>
        <v>0</v>
      </c>
      <c r="X1690" s="16">
        <f>_xlfn.XLOOKUP(CustomerCombinedCleaned[[#This Row],[ID]], Table2[ID],Table2[Pilot], "Not Found", 0 )</f>
        <v>0</v>
      </c>
      <c r="Y1690" s="16">
        <f>_xlfn.XLOOKUP(CustomerCombinedCleaned[[#This Row],[ID]], Table2[ID],Table2[MC1], "Not Found", 0 )</f>
        <v>1</v>
      </c>
      <c r="Z1690" s="16">
        <f>_xlfn.XLOOKUP(CustomerCombinedCleaned[[#This Row],[ID]], Table2[ID],Table2[MC2], "Not Found", 0 )</f>
        <v>0</v>
      </c>
      <c r="AA1690" s="16">
        <f>_xlfn.XLOOKUP(CustomerCombinedCleaned[[#This Row],[ID]], Table2[ID],Table2[MC3], "Not Found", 0 )</f>
        <v>0</v>
      </c>
      <c r="AB1690" s="16">
        <f>_xlfn.XLOOKUP(CustomerCombinedCleaned[[#This Row],[ID]], Table2[ID],Table2[MC4], "Not Found", 0 )</f>
        <v>0</v>
      </c>
      <c r="AC1690" s="16">
        <f>_xlfn.XLOOKUP(CustomerCombinedCleaned[[#This Row],[ID]], Table2[ID],Table2[MC5], "Not Found", 0 )</f>
        <v>0</v>
      </c>
    </row>
    <row r="1691" spans="1:29" x14ac:dyDescent="0.3">
      <c r="A1691" s="18">
        <v>1946</v>
      </c>
      <c r="B1691" s="16">
        <v>154753</v>
      </c>
      <c r="C1691" s="16">
        <v>0</v>
      </c>
      <c r="D1691" s="16">
        <v>1</v>
      </c>
      <c r="E1691" s="16">
        <v>61</v>
      </c>
      <c r="F1691" s="17" t="s">
        <v>8</v>
      </c>
      <c r="G1691" s="17" t="s">
        <v>11</v>
      </c>
      <c r="H1691" s="3" t="s">
        <v>187</v>
      </c>
      <c r="I1691" s="5" t="s">
        <v>438</v>
      </c>
      <c r="J1691" s="16">
        <f>_xlfn.XLOOKUP(CustomerCombinedCleaned[[#This Row],[ID]], Table4[ID], Table4[Recency], "Not Found", 0)</f>
        <v>87</v>
      </c>
      <c r="K1691" s="16">
        <f>_xlfn.XLOOKUP(CustomerCombinedCleaned[[#This Row],[ID]], Table4[ID], Table4[Teas], "Not Found", 0)</f>
        <v>557</v>
      </c>
      <c r="L1691" s="16">
        <f>_xlfn.XLOOKUP(CustomerCombinedCleaned[[#This Row],[ID]], Table4[ID], Table4[Fruits], "Not Found", 0)</f>
        <v>302</v>
      </c>
      <c r="M1691" s="16">
        <f>_xlfn.XLOOKUP(CustomerCombinedCleaned[[#This Row],[ID]], Table4[ID], Table4[Meats], "Not Found", 0)</f>
        <v>642</v>
      </c>
      <c r="N1691" s="16">
        <f>_xlfn.XLOOKUP(CustomerCombinedCleaned[[#This Row],[ID]], Table4[ID], Table4[Seafood], "Not Found", 0)</f>
        <v>20</v>
      </c>
      <c r="O1691" s="16">
        <f>_xlfn.XLOOKUP(CustomerCombinedCleaned[[#This Row],[ID]], Table4[ID], Table4[Sweets], "Not Found", 0)</f>
        <v>167</v>
      </c>
      <c r="P1691" s="16">
        <f>_xlfn.XLOOKUP(CustomerCombinedCleaned[[#This Row],[ID]], Table4[ID], Table4[Premium], "Not Found", 0)</f>
        <v>370</v>
      </c>
      <c r="Q1691" s="16">
        <f>_xlfn.XLOOKUP(CustomerCombinedCleaned[[#This Row],[ID]], Table4[ID], Table4[Regular], "Not Found", 0)</f>
        <v>1317</v>
      </c>
      <c r="R1691" s="16">
        <f>_xlfn.XLOOKUP(CustomerCombinedCleaned[[#This Row],[ID]], Table4[ID], Table4[Deals], "Not Found", 0)</f>
        <v>3</v>
      </c>
      <c r="S1691" s="16">
        <f>_xlfn.XLOOKUP(CustomerCombinedCleaned[[#This Row],[ID]], Table4[ID], Table4[Website], "Not Found", 0)</f>
        <v>5</v>
      </c>
      <c r="T1691" s="16">
        <f>_xlfn.XLOOKUP(CustomerCombinedCleaned[[#This Row],[ID]], Table4[ID], Table4[Catalog], "Not Found", 0)</f>
        <v>2</v>
      </c>
      <c r="U1691" s="16">
        <f>_xlfn.XLOOKUP(CustomerCombinedCleaned[[#This Row],[ID]], Table4[ID], Table4[Store], "Not Found", 0)</f>
        <v>11</v>
      </c>
      <c r="V1691" s="16">
        <f>_xlfn.XLOOKUP(CustomerCombinedCleaned[[#This Row],[ID]], Table4[ID], Table4[Visits], "Not Found", 0)</f>
        <v>4</v>
      </c>
      <c r="W1691" s="16">
        <f>_xlfn.XLOOKUP(CustomerCombinedCleaned[[#This Row],[ID]], Table2[ID],Table2[Complaint], "Not Found", 0 )</f>
        <v>0</v>
      </c>
      <c r="X1691" s="16">
        <f>_xlfn.XLOOKUP(CustomerCombinedCleaned[[#This Row],[ID]], Table2[ID],Table2[Pilot], "Not Found", 0 )</f>
        <v>0</v>
      </c>
      <c r="Y1691" s="16">
        <f>_xlfn.XLOOKUP(CustomerCombinedCleaned[[#This Row],[ID]], Table2[ID],Table2[MC1], "Not Found", 0 )</f>
        <v>0</v>
      </c>
      <c r="Z1691" s="16">
        <f>_xlfn.XLOOKUP(CustomerCombinedCleaned[[#This Row],[ID]], Table2[ID],Table2[MC2], "Not Found", 0 )</f>
        <v>0</v>
      </c>
      <c r="AA1691" s="16">
        <f>_xlfn.XLOOKUP(CustomerCombinedCleaned[[#This Row],[ID]], Table2[ID],Table2[MC3], "Not Found", 0 )</f>
        <v>0</v>
      </c>
      <c r="AB1691" s="16">
        <f>_xlfn.XLOOKUP(CustomerCombinedCleaned[[#This Row],[ID]], Table2[ID],Table2[MC4], "Not Found", 0 )</f>
        <v>0</v>
      </c>
      <c r="AC1691" s="16">
        <f>_xlfn.XLOOKUP(CustomerCombinedCleaned[[#This Row],[ID]], Table2[ID],Table2[MC5], "Not Found", 0 )</f>
        <v>0</v>
      </c>
    </row>
    <row r="1692" spans="1:29" x14ac:dyDescent="0.3">
      <c r="A1692" s="18">
        <v>1162</v>
      </c>
      <c r="B1692" s="16">
        <v>153537</v>
      </c>
      <c r="C1692" s="16">
        <v>1</v>
      </c>
      <c r="D1692" s="16">
        <v>1</v>
      </c>
      <c r="E1692" s="16">
        <v>61</v>
      </c>
      <c r="F1692" s="17" t="s">
        <v>8</v>
      </c>
      <c r="G1692" s="17" t="s">
        <v>13</v>
      </c>
      <c r="H1692" s="3" t="s">
        <v>697</v>
      </c>
      <c r="I1692" s="5" t="s">
        <v>439</v>
      </c>
      <c r="J1692" s="16">
        <f>_xlfn.XLOOKUP(CustomerCombinedCleaned[[#This Row],[ID]], Table4[ID], Table4[Recency], "Not Found", 0)</f>
        <v>17</v>
      </c>
      <c r="K1692" s="16">
        <f>_xlfn.XLOOKUP(CustomerCombinedCleaned[[#This Row],[ID]], Table4[ID], Table4[Teas], "Not Found", 0)</f>
        <v>232</v>
      </c>
      <c r="L1692" s="16">
        <f>_xlfn.XLOOKUP(CustomerCombinedCleaned[[#This Row],[ID]], Table4[ID], Table4[Fruits], "Not Found", 0)</f>
        <v>0</v>
      </c>
      <c r="M1692" s="16">
        <f>_xlfn.XLOOKUP(CustomerCombinedCleaned[[#This Row],[ID]], Table4[ID], Table4[Meats], "Not Found", 0)</f>
        <v>17</v>
      </c>
      <c r="N1692" s="16">
        <f>_xlfn.XLOOKUP(CustomerCombinedCleaned[[#This Row],[ID]], Table4[ID], Table4[Seafood], "Not Found", 0)</f>
        <v>0</v>
      </c>
      <c r="O1692" s="16">
        <f>_xlfn.XLOOKUP(CustomerCombinedCleaned[[#This Row],[ID]], Table4[ID], Table4[Sweets], "Not Found", 0)</f>
        <v>0</v>
      </c>
      <c r="P1692" s="16">
        <f>_xlfn.XLOOKUP(CustomerCombinedCleaned[[#This Row],[ID]], Table4[ID], Table4[Premium], "Not Found", 0)</f>
        <v>17</v>
      </c>
      <c r="Q1692" s="16">
        <f>_xlfn.XLOOKUP(CustomerCombinedCleaned[[#This Row],[ID]], Table4[ID], Table4[Regular], "Not Found", 0)</f>
        <v>232</v>
      </c>
      <c r="R1692" s="16">
        <f>_xlfn.XLOOKUP(CustomerCombinedCleaned[[#This Row],[ID]], Table4[ID], Table4[Deals], "Not Found", 0)</f>
        <v>2</v>
      </c>
      <c r="S1692" s="16">
        <f>_xlfn.XLOOKUP(CustomerCombinedCleaned[[#This Row],[ID]], Table4[ID], Table4[Website], "Not Found", 0)</f>
        <v>2</v>
      </c>
      <c r="T1692" s="16">
        <f>_xlfn.XLOOKUP(CustomerCombinedCleaned[[#This Row],[ID]], Table4[ID], Table4[Catalog], "Not Found", 0)</f>
        <v>1</v>
      </c>
      <c r="U1692" s="16">
        <f>_xlfn.XLOOKUP(CustomerCombinedCleaned[[#This Row],[ID]], Table4[ID], Table4[Store], "Not Found", 0)</f>
        <v>3</v>
      </c>
      <c r="V1692" s="16">
        <f>_xlfn.XLOOKUP(CustomerCombinedCleaned[[#This Row],[ID]], Table4[ID], Table4[Visits], "Not Found", 0)</f>
        <v>5</v>
      </c>
      <c r="W1692" s="16">
        <f>_xlfn.XLOOKUP(CustomerCombinedCleaned[[#This Row],[ID]], Table2[ID],Table2[Complaint], "Not Found", 0 )</f>
        <v>0</v>
      </c>
      <c r="X1692" s="16">
        <f>_xlfn.XLOOKUP(CustomerCombinedCleaned[[#This Row],[ID]], Table2[ID],Table2[Pilot], "Not Found", 0 )</f>
        <v>0</v>
      </c>
      <c r="Y1692" s="16">
        <f>_xlfn.XLOOKUP(CustomerCombinedCleaned[[#This Row],[ID]], Table2[ID],Table2[MC1], "Not Found", 0 )</f>
        <v>0</v>
      </c>
      <c r="Z1692" s="16">
        <f>_xlfn.XLOOKUP(CustomerCombinedCleaned[[#This Row],[ID]], Table2[ID],Table2[MC2], "Not Found", 0 )</f>
        <v>0</v>
      </c>
      <c r="AA1692" s="16">
        <f>_xlfn.XLOOKUP(CustomerCombinedCleaned[[#This Row],[ID]], Table2[ID],Table2[MC3], "Not Found", 0 )</f>
        <v>0</v>
      </c>
      <c r="AB1692" s="16">
        <f>_xlfn.XLOOKUP(CustomerCombinedCleaned[[#This Row],[ID]], Table2[ID],Table2[MC4], "Not Found", 0 )</f>
        <v>0</v>
      </c>
      <c r="AC1692" s="16">
        <f>_xlfn.XLOOKUP(CustomerCombinedCleaned[[#This Row],[ID]], Table2[ID],Table2[MC5], "Not Found", 0 )</f>
        <v>0</v>
      </c>
    </row>
    <row r="1693" spans="1:29" x14ac:dyDescent="0.3">
      <c r="A1693" s="18">
        <v>3021</v>
      </c>
      <c r="B1693" s="16">
        <v>153154</v>
      </c>
      <c r="C1693" s="16">
        <v>0</v>
      </c>
      <c r="D1693" s="16">
        <v>1</v>
      </c>
      <c r="E1693" s="16">
        <v>61</v>
      </c>
      <c r="F1693" s="17" t="s">
        <v>6</v>
      </c>
      <c r="G1693" s="17" t="s">
        <v>11</v>
      </c>
      <c r="H1693" s="3" t="s">
        <v>40</v>
      </c>
      <c r="I1693" s="5" t="s">
        <v>435</v>
      </c>
      <c r="J1693" s="16">
        <f>_xlfn.XLOOKUP(CustomerCombinedCleaned[[#This Row],[ID]], Table4[ID], Table4[Recency], "Not Found", 0)</f>
        <v>50</v>
      </c>
      <c r="K1693" s="16">
        <f>_xlfn.XLOOKUP(CustomerCombinedCleaned[[#This Row],[ID]], Table4[ID], Table4[Teas], "Not Found", 0)</f>
        <v>372</v>
      </c>
      <c r="L1693" s="16">
        <f>_xlfn.XLOOKUP(CustomerCombinedCleaned[[#This Row],[ID]], Table4[ID], Table4[Fruits], "Not Found", 0)</f>
        <v>0</v>
      </c>
      <c r="M1693" s="16">
        <f>_xlfn.XLOOKUP(CustomerCombinedCleaned[[#This Row],[ID]], Table4[ID], Table4[Meats], "Not Found", 0)</f>
        <v>61</v>
      </c>
      <c r="N1693" s="16">
        <f>_xlfn.XLOOKUP(CustomerCombinedCleaned[[#This Row],[ID]], Table4[ID], Table4[Seafood], "Not Found", 0)</f>
        <v>0</v>
      </c>
      <c r="O1693" s="16">
        <f>_xlfn.XLOOKUP(CustomerCombinedCleaned[[#This Row],[ID]], Table4[ID], Table4[Sweets], "Not Found", 0)</f>
        <v>3</v>
      </c>
      <c r="P1693" s="16">
        <f>_xlfn.XLOOKUP(CustomerCombinedCleaned[[#This Row],[ID]], Table4[ID], Table4[Premium], "Not Found", 0)</f>
        <v>20</v>
      </c>
      <c r="Q1693" s="16">
        <f>_xlfn.XLOOKUP(CustomerCombinedCleaned[[#This Row],[ID]], Table4[ID], Table4[Regular], "Not Found", 0)</f>
        <v>415</v>
      </c>
      <c r="R1693" s="16">
        <f>_xlfn.XLOOKUP(CustomerCombinedCleaned[[#This Row],[ID]], Table4[ID], Table4[Deals], "Not Found", 0)</f>
        <v>1</v>
      </c>
      <c r="S1693" s="16">
        <f>_xlfn.XLOOKUP(CustomerCombinedCleaned[[#This Row],[ID]], Table4[ID], Table4[Website], "Not Found", 0)</f>
        <v>3</v>
      </c>
      <c r="T1693" s="16">
        <f>_xlfn.XLOOKUP(CustomerCombinedCleaned[[#This Row],[ID]], Table4[ID], Table4[Catalog], "Not Found", 0)</f>
        <v>1</v>
      </c>
      <c r="U1693" s="16">
        <f>_xlfn.XLOOKUP(CustomerCombinedCleaned[[#This Row],[ID]], Table4[ID], Table4[Store], "Not Found", 0)</f>
        <v>4</v>
      </c>
      <c r="V1693" s="16">
        <f>_xlfn.XLOOKUP(CustomerCombinedCleaned[[#This Row],[ID]], Table4[ID], Table4[Visits], "Not Found", 0)</f>
        <v>4</v>
      </c>
      <c r="W1693" s="16">
        <f>_xlfn.XLOOKUP(CustomerCombinedCleaned[[#This Row],[ID]], Table2[ID],Table2[Complaint], "Not Found", 0 )</f>
        <v>0</v>
      </c>
      <c r="X1693" s="16">
        <f>_xlfn.XLOOKUP(CustomerCombinedCleaned[[#This Row],[ID]], Table2[ID],Table2[Pilot], "Not Found", 0 )</f>
        <v>0</v>
      </c>
      <c r="Y1693" s="16">
        <f>_xlfn.XLOOKUP(CustomerCombinedCleaned[[#This Row],[ID]], Table2[ID],Table2[MC1], "Not Found", 0 )</f>
        <v>0</v>
      </c>
      <c r="Z1693" s="16">
        <f>_xlfn.XLOOKUP(CustomerCombinedCleaned[[#This Row],[ID]], Table2[ID],Table2[MC2], "Not Found", 0 )</f>
        <v>0</v>
      </c>
      <c r="AA1693" s="16">
        <f>_xlfn.XLOOKUP(CustomerCombinedCleaned[[#This Row],[ID]], Table2[ID],Table2[MC3], "Not Found", 0 )</f>
        <v>0</v>
      </c>
      <c r="AB1693" s="16">
        <f>_xlfn.XLOOKUP(CustomerCombinedCleaned[[#This Row],[ID]], Table2[ID],Table2[MC4], "Not Found", 0 )</f>
        <v>0</v>
      </c>
      <c r="AC1693" s="16">
        <f>_xlfn.XLOOKUP(CustomerCombinedCleaned[[#This Row],[ID]], Table2[ID],Table2[MC5], "Not Found", 0 )</f>
        <v>0</v>
      </c>
    </row>
    <row r="1694" spans="1:29" x14ac:dyDescent="0.3">
      <c r="A1694" s="18">
        <v>2608</v>
      </c>
      <c r="B1694" s="16">
        <v>152854</v>
      </c>
      <c r="C1694" s="16">
        <v>1</v>
      </c>
      <c r="D1694" s="16">
        <v>1</v>
      </c>
      <c r="E1694" s="16">
        <v>61</v>
      </c>
      <c r="F1694" s="17" t="s">
        <v>6</v>
      </c>
      <c r="G1694" s="17" t="s">
        <v>13</v>
      </c>
      <c r="H1694" s="3" t="s">
        <v>77</v>
      </c>
      <c r="I1694" s="5" t="s">
        <v>439</v>
      </c>
      <c r="J1694" s="16">
        <f>_xlfn.XLOOKUP(CustomerCombinedCleaned[[#This Row],[ID]], Table4[ID], Table4[Recency], "Not Found", 0)</f>
        <v>43</v>
      </c>
      <c r="K1694" s="16">
        <f>_xlfn.XLOOKUP(CustomerCombinedCleaned[[#This Row],[ID]], Table4[ID], Table4[Teas], "Not Found", 0)</f>
        <v>304</v>
      </c>
      <c r="L1694" s="16">
        <f>_xlfn.XLOOKUP(CustomerCombinedCleaned[[#This Row],[ID]], Table4[ID], Table4[Fruits], "Not Found", 0)</f>
        <v>0</v>
      </c>
      <c r="M1694" s="16">
        <f>_xlfn.XLOOKUP(CustomerCombinedCleaned[[#This Row],[ID]], Table4[ID], Table4[Meats], "Not Found", 0)</f>
        <v>29</v>
      </c>
      <c r="N1694" s="16">
        <f>_xlfn.XLOOKUP(CustomerCombinedCleaned[[#This Row],[ID]], Table4[ID], Table4[Seafood], "Not Found", 0)</f>
        <v>0</v>
      </c>
      <c r="O1694" s="16">
        <f>_xlfn.XLOOKUP(CustomerCombinedCleaned[[#This Row],[ID]], Table4[ID], Table4[Sweets], "Not Found", 0)</f>
        <v>3</v>
      </c>
      <c r="P1694" s="16">
        <f>_xlfn.XLOOKUP(CustomerCombinedCleaned[[#This Row],[ID]], Table4[ID], Table4[Premium], "Not Found", 0)</f>
        <v>0</v>
      </c>
      <c r="Q1694" s="16">
        <f>_xlfn.XLOOKUP(CustomerCombinedCleaned[[#This Row],[ID]], Table4[ID], Table4[Regular], "Not Found", 0)</f>
        <v>335</v>
      </c>
      <c r="R1694" s="16">
        <f>_xlfn.XLOOKUP(CustomerCombinedCleaned[[#This Row],[ID]], Table4[ID], Table4[Deals], "Not Found", 0)</f>
        <v>2</v>
      </c>
      <c r="S1694" s="16">
        <f>_xlfn.XLOOKUP(CustomerCombinedCleaned[[#This Row],[ID]], Table4[ID], Table4[Website], "Not Found", 0)</f>
        <v>2</v>
      </c>
      <c r="T1694" s="16">
        <f>_xlfn.XLOOKUP(CustomerCombinedCleaned[[#This Row],[ID]], Table4[ID], Table4[Catalog], "Not Found", 0)</f>
        <v>1</v>
      </c>
      <c r="U1694" s="16">
        <f>_xlfn.XLOOKUP(CustomerCombinedCleaned[[#This Row],[ID]], Table4[ID], Table4[Store], "Not Found", 0)</f>
        <v>4</v>
      </c>
      <c r="V1694" s="16">
        <f>_xlfn.XLOOKUP(CustomerCombinedCleaned[[#This Row],[ID]], Table4[ID], Table4[Visits], "Not Found", 0)</f>
        <v>5</v>
      </c>
      <c r="W1694" s="16">
        <f>_xlfn.XLOOKUP(CustomerCombinedCleaned[[#This Row],[ID]], Table2[ID],Table2[Complaint], "Not Found", 0 )</f>
        <v>0</v>
      </c>
      <c r="X1694" s="16">
        <f>_xlfn.XLOOKUP(CustomerCombinedCleaned[[#This Row],[ID]], Table2[ID],Table2[Pilot], "Not Found", 0 )</f>
        <v>0</v>
      </c>
      <c r="Y1694" s="16">
        <f>_xlfn.XLOOKUP(CustomerCombinedCleaned[[#This Row],[ID]], Table2[ID],Table2[MC1], "Not Found", 0 )</f>
        <v>0</v>
      </c>
      <c r="Z1694" s="16">
        <f>_xlfn.XLOOKUP(CustomerCombinedCleaned[[#This Row],[ID]], Table2[ID],Table2[MC2], "Not Found", 0 )</f>
        <v>0</v>
      </c>
      <c r="AA1694" s="16">
        <f>_xlfn.XLOOKUP(CustomerCombinedCleaned[[#This Row],[ID]], Table2[ID],Table2[MC3], "Not Found", 0 )</f>
        <v>0</v>
      </c>
      <c r="AB1694" s="16">
        <f>_xlfn.XLOOKUP(CustomerCombinedCleaned[[#This Row],[ID]], Table2[ID],Table2[MC4], "Not Found", 0 )</f>
        <v>0</v>
      </c>
      <c r="AC1694" s="16">
        <f>_xlfn.XLOOKUP(CustomerCombinedCleaned[[#This Row],[ID]], Table2[ID],Table2[MC5], "Not Found", 0 )</f>
        <v>0</v>
      </c>
    </row>
    <row r="1695" spans="1:29" x14ac:dyDescent="0.3">
      <c r="A1695" s="18">
        <v>1156</v>
      </c>
      <c r="B1695" s="16">
        <v>152332</v>
      </c>
      <c r="C1695" s="16">
        <v>0</v>
      </c>
      <c r="D1695" s="16">
        <v>0</v>
      </c>
      <c r="E1695" s="16">
        <v>61</v>
      </c>
      <c r="F1695" s="17" t="s">
        <v>5</v>
      </c>
      <c r="G1695" s="17" t="s">
        <v>11</v>
      </c>
      <c r="H1695" s="3" t="s">
        <v>621</v>
      </c>
      <c r="I1695" s="5" t="s">
        <v>439</v>
      </c>
      <c r="J1695" s="16">
        <f>_xlfn.XLOOKUP(CustomerCombinedCleaned[[#This Row],[ID]], Table4[ID], Table4[Recency], "Not Found", 0)</f>
        <v>63</v>
      </c>
      <c r="K1695" s="16">
        <f>_xlfn.XLOOKUP(CustomerCombinedCleaned[[#This Row],[ID]], Table4[ID], Table4[Teas], "Not Found", 0)</f>
        <v>617</v>
      </c>
      <c r="L1695" s="16">
        <f>_xlfn.XLOOKUP(CustomerCombinedCleaned[[#This Row],[ID]], Table4[ID], Table4[Fruits], "Not Found", 0)</f>
        <v>15</v>
      </c>
      <c r="M1695" s="16">
        <f>_xlfn.XLOOKUP(CustomerCombinedCleaned[[#This Row],[ID]], Table4[ID], Table4[Meats], "Not Found", 0)</f>
        <v>96</v>
      </c>
      <c r="N1695" s="16">
        <f>_xlfn.XLOOKUP(CustomerCombinedCleaned[[#This Row],[ID]], Table4[ID], Table4[Seafood], "Not Found", 0)</f>
        <v>20</v>
      </c>
      <c r="O1695" s="16">
        <f>_xlfn.XLOOKUP(CustomerCombinedCleaned[[#This Row],[ID]], Table4[ID], Table4[Sweets], "Not Found", 0)</f>
        <v>0</v>
      </c>
      <c r="P1695" s="16">
        <f>_xlfn.XLOOKUP(CustomerCombinedCleaned[[#This Row],[ID]], Table4[ID], Table4[Premium], "Not Found", 0)</f>
        <v>6</v>
      </c>
      <c r="Q1695" s="16">
        <f>_xlfn.XLOOKUP(CustomerCombinedCleaned[[#This Row],[ID]], Table4[ID], Table4[Regular], "Not Found", 0)</f>
        <v>742</v>
      </c>
      <c r="R1695" s="16">
        <f>_xlfn.XLOOKUP(CustomerCombinedCleaned[[#This Row],[ID]], Table4[ID], Table4[Deals], "Not Found", 0)</f>
        <v>1</v>
      </c>
      <c r="S1695" s="16">
        <f>_xlfn.XLOOKUP(CustomerCombinedCleaned[[#This Row],[ID]], Table4[ID], Table4[Website], "Not Found", 0)</f>
        <v>3</v>
      </c>
      <c r="T1695" s="16">
        <f>_xlfn.XLOOKUP(CustomerCombinedCleaned[[#This Row],[ID]], Table4[ID], Table4[Catalog], "Not Found", 0)</f>
        <v>2</v>
      </c>
      <c r="U1695" s="16">
        <f>_xlfn.XLOOKUP(CustomerCombinedCleaned[[#This Row],[ID]], Table4[ID], Table4[Store], "Not Found", 0)</f>
        <v>6</v>
      </c>
      <c r="V1695" s="16">
        <f>_xlfn.XLOOKUP(CustomerCombinedCleaned[[#This Row],[ID]], Table4[ID], Table4[Visits], "Not Found", 0)</f>
        <v>4</v>
      </c>
      <c r="W1695" s="16">
        <f>_xlfn.XLOOKUP(CustomerCombinedCleaned[[#This Row],[ID]], Table2[ID],Table2[Complaint], "Not Found", 0 )</f>
        <v>0</v>
      </c>
      <c r="X1695" s="16">
        <f>_xlfn.XLOOKUP(CustomerCombinedCleaned[[#This Row],[ID]], Table2[ID],Table2[Pilot], "Not Found", 0 )</f>
        <v>0</v>
      </c>
      <c r="Y1695" s="16">
        <f>_xlfn.XLOOKUP(CustomerCombinedCleaned[[#This Row],[ID]], Table2[ID],Table2[MC1], "Not Found", 0 )</f>
        <v>0</v>
      </c>
      <c r="Z1695" s="16">
        <f>_xlfn.XLOOKUP(CustomerCombinedCleaned[[#This Row],[ID]], Table2[ID],Table2[MC2], "Not Found", 0 )</f>
        <v>0</v>
      </c>
      <c r="AA1695" s="16">
        <f>_xlfn.XLOOKUP(CustomerCombinedCleaned[[#This Row],[ID]], Table2[ID],Table2[MC3], "Not Found", 0 )</f>
        <v>0</v>
      </c>
      <c r="AB1695" s="16">
        <f>_xlfn.XLOOKUP(CustomerCombinedCleaned[[#This Row],[ID]], Table2[ID],Table2[MC4], "Not Found", 0 )</f>
        <v>1</v>
      </c>
      <c r="AC1695" s="16">
        <f>_xlfn.XLOOKUP(CustomerCombinedCleaned[[#This Row],[ID]], Table2[ID],Table2[MC5], "Not Found", 0 )</f>
        <v>0</v>
      </c>
    </row>
    <row r="1696" spans="1:29" x14ac:dyDescent="0.3">
      <c r="A1696" s="18">
        <v>2599</v>
      </c>
      <c r="B1696" s="16">
        <v>150664</v>
      </c>
      <c r="C1696" s="16">
        <v>1</v>
      </c>
      <c r="D1696" s="16">
        <v>1</v>
      </c>
      <c r="E1696" s="16">
        <v>61</v>
      </c>
      <c r="F1696" s="17" t="s">
        <v>7</v>
      </c>
      <c r="G1696" s="17" t="s">
        <v>11</v>
      </c>
      <c r="H1696" s="3" t="s">
        <v>324</v>
      </c>
      <c r="I1696" s="5" t="s">
        <v>437</v>
      </c>
      <c r="J1696" s="16">
        <f>_xlfn.XLOOKUP(CustomerCombinedCleaned[[#This Row],[ID]], Table4[ID], Table4[Recency], "Not Found", 0)</f>
        <v>64</v>
      </c>
      <c r="K1696" s="16">
        <f>_xlfn.XLOOKUP(CustomerCombinedCleaned[[#This Row],[ID]], Table4[ID], Table4[Teas], "Not Found", 0)</f>
        <v>931</v>
      </c>
      <c r="L1696" s="16">
        <f>_xlfn.XLOOKUP(CustomerCombinedCleaned[[#This Row],[ID]], Table4[ID], Table4[Fruits], "Not Found", 0)</f>
        <v>24</v>
      </c>
      <c r="M1696" s="16">
        <f>_xlfn.XLOOKUP(CustomerCombinedCleaned[[#This Row],[ID]], Table4[ID], Table4[Meats], "Not Found", 0)</f>
        <v>309</v>
      </c>
      <c r="N1696" s="16">
        <f>_xlfn.XLOOKUP(CustomerCombinedCleaned[[#This Row],[ID]], Table4[ID], Table4[Seafood], "Not Found", 0)</f>
        <v>18</v>
      </c>
      <c r="O1696" s="16">
        <f>_xlfn.XLOOKUP(CustomerCombinedCleaned[[#This Row],[ID]], Table4[ID], Table4[Sweets], "Not Found", 0)</f>
        <v>12</v>
      </c>
      <c r="P1696" s="16">
        <f>_xlfn.XLOOKUP(CustomerCombinedCleaned[[#This Row],[ID]], Table4[ID], Table4[Premium], "Not Found", 0)</f>
        <v>375</v>
      </c>
      <c r="Q1696" s="16">
        <f>_xlfn.XLOOKUP(CustomerCombinedCleaned[[#This Row],[ID]], Table4[ID], Table4[Regular], "Not Found", 0)</f>
        <v>919</v>
      </c>
      <c r="R1696" s="16">
        <f>_xlfn.XLOOKUP(CustomerCombinedCleaned[[#This Row],[ID]], Table4[ID], Table4[Deals], "Not Found", 0)</f>
        <v>9</v>
      </c>
      <c r="S1696" s="16">
        <f>_xlfn.XLOOKUP(CustomerCombinedCleaned[[#This Row],[ID]], Table4[ID], Table4[Website], "Not Found", 0)</f>
        <v>8</v>
      </c>
      <c r="T1696" s="16">
        <f>_xlfn.XLOOKUP(CustomerCombinedCleaned[[#This Row],[ID]], Table4[ID], Table4[Catalog], "Not Found", 0)</f>
        <v>1</v>
      </c>
      <c r="U1696" s="16">
        <f>_xlfn.XLOOKUP(CustomerCombinedCleaned[[#This Row],[ID]], Table4[ID], Table4[Store], "Not Found", 0)</f>
        <v>6</v>
      </c>
      <c r="V1696" s="16">
        <f>_xlfn.XLOOKUP(CustomerCombinedCleaned[[#This Row],[ID]], Table4[ID], Table4[Visits], "Not Found", 0)</f>
        <v>9</v>
      </c>
      <c r="W1696" s="16">
        <f>_xlfn.XLOOKUP(CustomerCombinedCleaned[[#This Row],[ID]], Table2[ID],Table2[Complaint], "Not Found", 0 )</f>
        <v>0</v>
      </c>
      <c r="X1696" s="16">
        <f>_xlfn.XLOOKUP(CustomerCombinedCleaned[[#This Row],[ID]], Table2[ID],Table2[Pilot], "Not Found", 0 )</f>
        <v>0</v>
      </c>
      <c r="Y1696" s="16">
        <f>_xlfn.XLOOKUP(CustomerCombinedCleaned[[#This Row],[ID]], Table2[ID],Table2[MC1], "Not Found", 0 )</f>
        <v>0</v>
      </c>
      <c r="Z1696" s="16">
        <f>_xlfn.XLOOKUP(CustomerCombinedCleaned[[#This Row],[ID]], Table2[ID],Table2[MC2], "Not Found", 0 )</f>
        <v>0</v>
      </c>
      <c r="AA1696" s="16">
        <f>_xlfn.XLOOKUP(CustomerCombinedCleaned[[#This Row],[ID]], Table2[ID],Table2[MC3], "Not Found", 0 )</f>
        <v>0</v>
      </c>
      <c r="AB1696" s="16">
        <f>_xlfn.XLOOKUP(CustomerCombinedCleaned[[#This Row],[ID]], Table2[ID],Table2[MC4], "Not Found", 0 )</f>
        <v>0</v>
      </c>
      <c r="AC1696" s="16">
        <f>_xlfn.XLOOKUP(CustomerCombinedCleaned[[#This Row],[ID]], Table2[ID],Table2[MC5], "Not Found", 0 )</f>
        <v>0</v>
      </c>
    </row>
    <row r="1697" spans="1:29" x14ac:dyDescent="0.3">
      <c r="A1697" s="18">
        <v>2806</v>
      </c>
      <c r="B1697" s="16">
        <v>144911</v>
      </c>
      <c r="C1697" s="16">
        <v>0</v>
      </c>
      <c r="D1697" s="16">
        <v>1</v>
      </c>
      <c r="E1697" s="16">
        <v>61</v>
      </c>
      <c r="F1697" s="17" t="s">
        <v>8</v>
      </c>
      <c r="G1697" s="17" t="s">
        <v>11</v>
      </c>
      <c r="H1697" s="3" t="s">
        <v>293</v>
      </c>
      <c r="I1697" s="5" t="s">
        <v>439</v>
      </c>
      <c r="J1697" s="16">
        <f>_xlfn.XLOOKUP(CustomerCombinedCleaned[[#This Row],[ID]], Table4[ID], Table4[Recency], "Not Found", 0)</f>
        <v>11</v>
      </c>
      <c r="K1697" s="16">
        <f>_xlfn.XLOOKUP(CustomerCombinedCleaned[[#This Row],[ID]], Table4[ID], Table4[Teas], "Not Found", 0)</f>
        <v>513</v>
      </c>
      <c r="L1697" s="16">
        <f>_xlfn.XLOOKUP(CustomerCombinedCleaned[[#This Row],[ID]], Table4[ID], Table4[Fruits], "Not Found", 0)</f>
        <v>0</v>
      </c>
      <c r="M1697" s="16">
        <f>_xlfn.XLOOKUP(CustomerCombinedCleaned[[#This Row],[ID]], Table4[ID], Table4[Meats], "Not Found", 0)</f>
        <v>71</v>
      </c>
      <c r="N1697" s="16">
        <f>_xlfn.XLOOKUP(CustomerCombinedCleaned[[#This Row],[ID]], Table4[ID], Table4[Seafood], "Not Found", 0)</f>
        <v>6</v>
      </c>
      <c r="O1697" s="16">
        <f>_xlfn.XLOOKUP(CustomerCombinedCleaned[[#This Row],[ID]], Table4[ID], Table4[Sweets], "Not Found", 0)</f>
        <v>3</v>
      </c>
      <c r="P1697" s="16">
        <f>_xlfn.XLOOKUP(CustomerCombinedCleaned[[#This Row],[ID]], Table4[ID], Table4[Premium], "Not Found", 0)</f>
        <v>100</v>
      </c>
      <c r="Q1697" s="16">
        <f>_xlfn.XLOOKUP(CustomerCombinedCleaned[[#This Row],[ID]], Table4[ID], Table4[Regular], "Not Found", 0)</f>
        <v>494</v>
      </c>
      <c r="R1697" s="16">
        <f>_xlfn.XLOOKUP(CustomerCombinedCleaned[[#This Row],[ID]], Table4[ID], Table4[Deals], "Not Found", 0)</f>
        <v>3</v>
      </c>
      <c r="S1697" s="16">
        <f>_xlfn.XLOOKUP(CustomerCombinedCleaned[[#This Row],[ID]], Table4[ID], Table4[Website], "Not Found", 0)</f>
        <v>4</v>
      </c>
      <c r="T1697" s="16">
        <f>_xlfn.XLOOKUP(CustomerCombinedCleaned[[#This Row],[ID]], Table4[ID], Table4[Catalog], "Not Found", 0)</f>
        <v>1</v>
      </c>
      <c r="U1697" s="16">
        <f>_xlfn.XLOOKUP(CustomerCombinedCleaned[[#This Row],[ID]], Table4[ID], Table4[Store], "Not Found", 0)</f>
        <v>4</v>
      </c>
      <c r="V1697" s="16">
        <f>_xlfn.XLOOKUP(CustomerCombinedCleaned[[#This Row],[ID]], Table4[ID], Table4[Visits], "Not Found", 0)</f>
        <v>7</v>
      </c>
      <c r="W1697" s="16">
        <f>_xlfn.XLOOKUP(CustomerCombinedCleaned[[#This Row],[ID]], Table2[ID],Table2[Complaint], "Not Found", 0 )</f>
        <v>0</v>
      </c>
      <c r="X1697" s="16">
        <f>_xlfn.XLOOKUP(CustomerCombinedCleaned[[#This Row],[ID]], Table2[ID],Table2[Pilot], "Not Found", 0 )</f>
        <v>0</v>
      </c>
      <c r="Y1697" s="16">
        <f>_xlfn.XLOOKUP(CustomerCombinedCleaned[[#This Row],[ID]], Table2[ID],Table2[MC1], "Not Found", 0 )</f>
        <v>0</v>
      </c>
      <c r="Z1697" s="16">
        <f>_xlfn.XLOOKUP(CustomerCombinedCleaned[[#This Row],[ID]], Table2[ID],Table2[MC2], "Not Found", 0 )</f>
        <v>0</v>
      </c>
      <c r="AA1697" s="16">
        <f>_xlfn.XLOOKUP(CustomerCombinedCleaned[[#This Row],[ID]], Table2[ID],Table2[MC3], "Not Found", 0 )</f>
        <v>0</v>
      </c>
      <c r="AB1697" s="16">
        <f>_xlfn.XLOOKUP(CustomerCombinedCleaned[[#This Row],[ID]], Table2[ID],Table2[MC4], "Not Found", 0 )</f>
        <v>0</v>
      </c>
      <c r="AC1697" s="16">
        <f>_xlfn.XLOOKUP(CustomerCombinedCleaned[[#This Row],[ID]], Table2[ID],Table2[MC5], "Not Found", 0 )</f>
        <v>0</v>
      </c>
    </row>
    <row r="1698" spans="1:29" x14ac:dyDescent="0.3">
      <c r="A1698" s="18">
        <v>1868</v>
      </c>
      <c r="B1698" s="16">
        <v>142243</v>
      </c>
      <c r="C1698" s="16">
        <v>1</v>
      </c>
      <c r="D1698" s="16">
        <v>1</v>
      </c>
      <c r="E1698" s="16">
        <v>61</v>
      </c>
      <c r="F1698" s="17" t="s">
        <v>6</v>
      </c>
      <c r="G1698" s="17" t="s">
        <v>11</v>
      </c>
      <c r="H1698" s="3" t="s">
        <v>137</v>
      </c>
      <c r="I1698" s="5" t="s">
        <v>438</v>
      </c>
      <c r="J1698" s="16">
        <f>_xlfn.XLOOKUP(CustomerCombinedCleaned[[#This Row],[ID]], Table4[ID], Table4[Recency], "Not Found", 0)</f>
        <v>34</v>
      </c>
      <c r="K1698" s="16">
        <f>_xlfn.XLOOKUP(CustomerCombinedCleaned[[#This Row],[ID]], Table4[ID], Table4[Teas], "Not Found", 0)</f>
        <v>162</v>
      </c>
      <c r="L1698" s="16">
        <f>_xlfn.XLOOKUP(CustomerCombinedCleaned[[#This Row],[ID]], Table4[ID], Table4[Fruits], "Not Found", 0)</f>
        <v>0</v>
      </c>
      <c r="M1698" s="16">
        <f>_xlfn.XLOOKUP(CustomerCombinedCleaned[[#This Row],[ID]], Table4[ID], Table4[Meats], "Not Found", 0)</f>
        <v>7</v>
      </c>
      <c r="N1698" s="16">
        <f>_xlfn.XLOOKUP(CustomerCombinedCleaned[[#This Row],[ID]], Table4[ID], Table4[Seafood], "Not Found", 0)</f>
        <v>0</v>
      </c>
      <c r="O1698" s="16">
        <f>_xlfn.XLOOKUP(CustomerCombinedCleaned[[#This Row],[ID]], Table4[ID], Table4[Sweets], "Not Found", 0)</f>
        <v>0</v>
      </c>
      <c r="P1698" s="16">
        <f>_xlfn.XLOOKUP(CustomerCombinedCleaned[[#This Row],[ID]], Table4[ID], Table4[Premium], "Not Found", 0)</f>
        <v>17</v>
      </c>
      <c r="Q1698" s="16">
        <f>_xlfn.XLOOKUP(CustomerCombinedCleaned[[#This Row],[ID]], Table4[ID], Table4[Regular], "Not Found", 0)</f>
        <v>152</v>
      </c>
      <c r="R1698" s="16">
        <f>_xlfn.XLOOKUP(CustomerCombinedCleaned[[#This Row],[ID]], Table4[ID], Table4[Deals], "Not Found", 0)</f>
        <v>2</v>
      </c>
      <c r="S1698" s="16">
        <f>_xlfn.XLOOKUP(CustomerCombinedCleaned[[#This Row],[ID]], Table4[ID], Table4[Website], "Not Found", 0)</f>
        <v>2</v>
      </c>
      <c r="T1698" s="16">
        <f>_xlfn.XLOOKUP(CustomerCombinedCleaned[[#This Row],[ID]], Table4[ID], Table4[Catalog], "Not Found", 0)</f>
        <v>0</v>
      </c>
      <c r="U1698" s="16">
        <f>_xlfn.XLOOKUP(CustomerCombinedCleaned[[#This Row],[ID]], Table4[ID], Table4[Store], "Not Found", 0)</f>
        <v>3</v>
      </c>
      <c r="V1698" s="16">
        <f>_xlfn.XLOOKUP(CustomerCombinedCleaned[[#This Row],[ID]], Table4[ID], Table4[Visits], "Not Found", 0)</f>
        <v>7</v>
      </c>
      <c r="W1698" s="16">
        <f>_xlfn.XLOOKUP(CustomerCombinedCleaned[[#This Row],[ID]], Table2[ID],Table2[Complaint], "Not Found", 0 )</f>
        <v>0</v>
      </c>
      <c r="X1698" s="16">
        <f>_xlfn.XLOOKUP(CustomerCombinedCleaned[[#This Row],[ID]], Table2[ID],Table2[Pilot], "Not Found", 0 )</f>
        <v>0</v>
      </c>
      <c r="Y1698" s="16">
        <f>_xlfn.XLOOKUP(CustomerCombinedCleaned[[#This Row],[ID]], Table2[ID],Table2[MC1], "Not Found", 0 )</f>
        <v>0</v>
      </c>
      <c r="Z1698" s="16">
        <f>_xlfn.XLOOKUP(CustomerCombinedCleaned[[#This Row],[ID]], Table2[ID],Table2[MC2], "Not Found", 0 )</f>
        <v>0</v>
      </c>
      <c r="AA1698" s="16">
        <f>_xlfn.XLOOKUP(CustomerCombinedCleaned[[#This Row],[ID]], Table2[ID],Table2[MC3], "Not Found", 0 )</f>
        <v>0</v>
      </c>
      <c r="AB1698" s="16">
        <f>_xlfn.XLOOKUP(CustomerCombinedCleaned[[#This Row],[ID]], Table2[ID],Table2[MC4], "Not Found", 0 )</f>
        <v>0</v>
      </c>
      <c r="AC1698" s="16">
        <f>_xlfn.XLOOKUP(CustomerCombinedCleaned[[#This Row],[ID]], Table2[ID],Table2[MC5], "Not Found", 0 )</f>
        <v>0</v>
      </c>
    </row>
    <row r="1699" spans="1:29" x14ac:dyDescent="0.3">
      <c r="A1699" s="18">
        <v>1740</v>
      </c>
      <c r="B1699" s="16">
        <v>138829</v>
      </c>
      <c r="C1699" s="16">
        <v>0</v>
      </c>
      <c r="D1699" s="16">
        <v>1</v>
      </c>
      <c r="E1699" s="16">
        <v>61</v>
      </c>
      <c r="F1699" s="17" t="s">
        <v>6</v>
      </c>
      <c r="G1699" s="17" t="s">
        <v>13</v>
      </c>
      <c r="H1699" s="3" t="s">
        <v>725</v>
      </c>
      <c r="I1699" s="5" t="s">
        <v>436</v>
      </c>
      <c r="J1699" s="16">
        <f>_xlfn.XLOOKUP(CustomerCombinedCleaned[[#This Row],[ID]], Table4[ID], Table4[Recency], "Not Found", 0)</f>
        <v>86</v>
      </c>
      <c r="K1699" s="16">
        <f>_xlfn.XLOOKUP(CustomerCombinedCleaned[[#This Row],[ID]], Table4[ID], Table4[Teas], "Not Found", 0)</f>
        <v>272</v>
      </c>
      <c r="L1699" s="16">
        <f>_xlfn.XLOOKUP(CustomerCombinedCleaned[[#This Row],[ID]], Table4[ID], Table4[Fruits], "Not Found", 0)</f>
        <v>0</v>
      </c>
      <c r="M1699" s="16">
        <f>_xlfn.XLOOKUP(CustomerCombinedCleaned[[#This Row],[ID]], Table4[ID], Table4[Meats], "Not Found", 0)</f>
        <v>25</v>
      </c>
      <c r="N1699" s="16">
        <f>_xlfn.XLOOKUP(CustomerCombinedCleaned[[#This Row],[ID]], Table4[ID], Table4[Seafood], "Not Found", 0)</f>
        <v>0</v>
      </c>
      <c r="O1699" s="16">
        <f>_xlfn.XLOOKUP(CustomerCombinedCleaned[[#This Row],[ID]], Table4[ID], Table4[Sweets], "Not Found", 0)</f>
        <v>0</v>
      </c>
      <c r="P1699" s="16">
        <f>_xlfn.XLOOKUP(CustomerCombinedCleaned[[#This Row],[ID]], Table4[ID], Table4[Premium], "Not Found", 0)</f>
        <v>57</v>
      </c>
      <c r="Q1699" s="16">
        <f>_xlfn.XLOOKUP(CustomerCombinedCleaned[[#This Row],[ID]], Table4[ID], Table4[Regular], "Not Found", 0)</f>
        <v>240</v>
      </c>
      <c r="R1699" s="16">
        <f>_xlfn.XLOOKUP(CustomerCombinedCleaned[[#This Row],[ID]], Table4[ID], Table4[Deals], "Not Found", 0)</f>
        <v>1</v>
      </c>
      <c r="S1699" s="16">
        <f>_xlfn.XLOOKUP(CustomerCombinedCleaned[[#This Row],[ID]], Table4[ID], Table4[Website], "Not Found", 0)</f>
        <v>3</v>
      </c>
      <c r="T1699" s="16">
        <f>_xlfn.XLOOKUP(CustomerCombinedCleaned[[#This Row],[ID]], Table4[ID], Table4[Catalog], "Not Found", 0)</f>
        <v>2</v>
      </c>
      <c r="U1699" s="16">
        <f>_xlfn.XLOOKUP(CustomerCombinedCleaned[[#This Row],[ID]], Table4[ID], Table4[Store], "Not Found", 0)</f>
        <v>2</v>
      </c>
      <c r="V1699" s="16">
        <f>_xlfn.XLOOKUP(CustomerCombinedCleaned[[#This Row],[ID]], Table4[ID], Table4[Visits], "Not Found", 0)</f>
        <v>5</v>
      </c>
      <c r="W1699" s="16">
        <f>_xlfn.XLOOKUP(CustomerCombinedCleaned[[#This Row],[ID]], Table2[ID],Table2[Complaint], "Not Found", 0 )</f>
        <v>0</v>
      </c>
      <c r="X1699" s="16">
        <f>_xlfn.XLOOKUP(CustomerCombinedCleaned[[#This Row],[ID]], Table2[ID],Table2[Pilot], "Not Found", 0 )</f>
        <v>0</v>
      </c>
      <c r="Y1699" s="16">
        <f>_xlfn.XLOOKUP(CustomerCombinedCleaned[[#This Row],[ID]], Table2[ID],Table2[MC1], "Not Found", 0 )</f>
        <v>0</v>
      </c>
      <c r="Z1699" s="16">
        <f>_xlfn.XLOOKUP(CustomerCombinedCleaned[[#This Row],[ID]], Table2[ID],Table2[MC2], "Not Found", 0 )</f>
        <v>0</v>
      </c>
      <c r="AA1699" s="16">
        <f>_xlfn.XLOOKUP(CustomerCombinedCleaned[[#This Row],[ID]], Table2[ID],Table2[MC3], "Not Found", 0 )</f>
        <v>0</v>
      </c>
      <c r="AB1699" s="16">
        <f>_xlfn.XLOOKUP(CustomerCombinedCleaned[[#This Row],[ID]], Table2[ID],Table2[MC4], "Not Found", 0 )</f>
        <v>0</v>
      </c>
      <c r="AC1699" s="16">
        <f>_xlfn.XLOOKUP(CustomerCombinedCleaned[[#This Row],[ID]], Table2[ID],Table2[MC5], "Not Found", 0 )</f>
        <v>0</v>
      </c>
    </row>
    <row r="1700" spans="1:29" x14ac:dyDescent="0.3">
      <c r="A1700" s="18">
        <v>1167</v>
      </c>
      <c r="B1700" s="16">
        <v>138285</v>
      </c>
      <c r="C1700" s="16">
        <v>2</v>
      </c>
      <c r="D1700" s="16">
        <v>1</v>
      </c>
      <c r="E1700" s="16">
        <v>61</v>
      </c>
      <c r="F1700" s="17" t="s">
        <v>8</v>
      </c>
      <c r="G1700" s="17" t="s">
        <v>11</v>
      </c>
      <c r="H1700" s="3" t="s">
        <v>25</v>
      </c>
      <c r="I1700" s="5" t="s">
        <v>435</v>
      </c>
      <c r="J1700" s="16">
        <f>_xlfn.XLOOKUP(CustomerCombinedCleaned[[#This Row],[ID]], Table4[ID], Table4[Recency], "Not Found", 0)</f>
        <v>96</v>
      </c>
      <c r="K1700" s="16">
        <f>_xlfn.XLOOKUP(CustomerCombinedCleaned[[#This Row],[ID]], Table4[ID], Table4[Teas], "Not Found", 0)</f>
        <v>7</v>
      </c>
      <c r="L1700" s="16">
        <f>_xlfn.XLOOKUP(CustomerCombinedCleaned[[#This Row],[ID]], Table4[ID], Table4[Fruits], "Not Found", 0)</f>
        <v>0</v>
      </c>
      <c r="M1700" s="16">
        <f>_xlfn.XLOOKUP(CustomerCombinedCleaned[[#This Row],[ID]], Table4[ID], Table4[Meats], "Not Found", 0)</f>
        <v>18</v>
      </c>
      <c r="N1700" s="16">
        <f>_xlfn.XLOOKUP(CustomerCombinedCleaned[[#This Row],[ID]], Table4[ID], Table4[Seafood], "Not Found", 0)</f>
        <v>7</v>
      </c>
      <c r="O1700" s="16">
        <f>_xlfn.XLOOKUP(CustomerCombinedCleaned[[#This Row],[ID]], Table4[ID], Table4[Sweets], "Not Found", 0)</f>
        <v>0</v>
      </c>
      <c r="P1700" s="16">
        <f>_xlfn.XLOOKUP(CustomerCombinedCleaned[[#This Row],[ID]], Table4[ID], Table4[Premium], "Not Found", 0)</f>
        <v>4</v>
      </c>
      <c r="Q1700" s="16">
        <f>_xlfn.XLOOKUP(CustomerCombinedCleaned[[#This Row],[ID]], Table4[ID], Table4[Regular], "Not Found", 0)</f>
        <v>29</v>
      </c>
      <c r="R1700" s="16">
        <f>_xlfn.XLOOKUP(CustomerCombinedCleaned[[#This Row],[ID]], Table4[ID], Table4[Deals], "Not Found", 0)</f>
        <v>1</v>
      </c>
      <c r="S1700" s="16">
        <f>_xlfn.XLOOKUP(CustomerCombinedCleaned[[#This Row],[ID]], Table4[ID], Table4[Website], "Not Found", 0)</f>
        <v>0</v>
      </c>
      <c r="T1700" s="16">
        <f>_xlfn.XLOOKUP(CustomerCombinedCleaned[[#This Row],[ID]], Table4[ID], Table4[Catalog], "Not Found", 0)</f>
        <v>0</v>
      </c>
      <c r="U1700" s="16">
        <f>_xlfn.XLOOKUP(CustomerCombinedCleaned[[#This Row],[ID]], Table4[ID], Table4[Store], "Not Found", 0)</f>
        <v>3</v>
      </c>
      <c r="V1700" s="16">
        <f>_xlfn.XLOOKUP(CustomerCombinedCleaned[[#This Row],[ID]], Table4[ID], Table4[Visits], "Not Found", 0)</f>
        <v>2</v>
      </c>
      <c r="W1700" s="16">
        <f>_xlfn.XLOOKUP(CustomerCombinedCleaned[[#This Row],[ID]], Table2[ID],Table2[Complaint], "Not Found", 0 )</f>
        <v>0</v>
      </c>
      <c r="X1700" s="16">
        <f>_xlfn.XLOOKUP(CustomerCombinedCleaned[[#This Row],[ID]], Table2[ID],Table2[Pilot], "Not Found", 0 )</f>
        <v>0</v>
      </c>
      <c r="Y1700" s="16">
        <f>_xlfn.XLOOKUP(CustomerCombinedCleaned[[#This Row],[ID]], Table2[ID],Table2[MC1], "Not Found", 0 )</f>
        <v>0</v>
      </c>
      <c r="Z1700" s="16">
        <f>_xlfn.XLOOKUP(CustomerCombinedCleaned[[#This Row],[ID]], Table2[ID],Table2[MC2], "Not Found", 0 )</f>
        <v>0</v>
      </c>
      <c r="AA1700" s="16">
        <f>_xlfn.XLOOKUP(CustomerCombinedCleaned[[#This Row],[ID]], Table2[ID],Table2[MC3], "Not Found", 0 )</f>
        <v>0</v>
      </c>
      <c r="AB1700" s="16">
        <f>_xlfn.XLOOKUP(CustomerCombinedCleaned[[#This Row],[ID]], Table2[ID],Table2[MC4], "Not Found", 0 )</f>
        <v>0</v>
      </c>
      <c r="AC1700" s="16">
        <f>_xlfn.XLOOKUP(CustomerCombinedCleaned[[#This Row],[ID]], Table2[ID],Table2[MC5], "Not Found", 0 )</f>
        <v>0</v>
      </c>
    </row>
    <row r="1701" spans="1:29" x14ac:dyDescent="0.3">
      <c r="A1701" s="18">
        <v>2642</v>
      </c>
      <c r="B1701" s="16">
        <v>136732</v>
      </c>
      <c r="C1701" s="16">
        <v>1</v>
      </c>
      <c r="D1701" s="16">
        <v>1</v>
      </c>
      <c r="E1701" s="16">
        <v>61</v>
      </c>
      <c r="F1701" s="17" t="s">
        <v>6</v>
      </c>
      <c r="G1701" s="17" t="s">
        <v>13</v>
      </c>
      <c r="H1701" s="3" t="s">
        <v>598</v>
      </c>
      <c r="I1701" s="5" t="s">
        <v>438</v>
      </c>
      <c r="J1701" s="16">
        <f>_xlfn.XLOOKUP(CustomerCombinedCleaned[[#This Row],[ID]], Table4[ID], Table4[Recency], "Not Found", 0)</f>
        <v>71</v>
      </c>
      <c r="K1701" s="16">
        <f>_xlfn.XLOOKUP(CustomerCombinedCleaned[[#This Row],[ID]], Table4[ID], Table4[Teas], "Not Found", 0)</f>
        <v>78</v>
      </c>
      <c r="L1701" s="16">
        <f>_xlfn.XLOOKUP(CustomerCombinedCleaned[[#This Row],[ID]], Table4[ID], Table4[Fruits], "Not Found", 0)</f>
        <v>19</v>
      </c>
      <c r="M1701" s="16">
        <f>_xlfn.XLOOKUP(CustomerCombinedCleaned[[#This Row],[ID]], Table4[ID], Table4[Meats], "Not Found", 0)</f>
        <v>11</v>
      </c>
      <c r="N1701" s="16">
        <f>_xlfn.XLOOKUP(CustomerCombinedCleaned[[#This Row],[ID]], Table4[ID], Table4[Seafood], "Not Found", 0)</f>
        <v>37</v>
      </c>
      <c r="O1701" s="16">
        <f>_xlfn.XLOOKUP(CustomerCombinedCleaned[[#This Row],[ID]], Table4[ID], Table4[Sweets], "Not Found", 0)</f>
        <v>4</v>
      </c>
      <c r="P1701" s="16">
        <f>_xlfn.XLOOKUP(CustomerCombinedCleaned[[#This Row],[ID]], Table4[ID], Table4[Premium], "Not Found", 0)</f>
        <v>26</v>
      </c>
      <c r="Q1701" s="16">
        <f>_xlfn.XLOOKUP(CustomerCombinedCleaned[[#This Row],[ID]], Table4[ID], Table4[Regular], "Not Found", 0)</f>
        <v>123</v>
      </c>
      <c r="R1701" s="16">
        <f>_xlfn.XLOOKUP(CustomerCombinedCleaned[[#This Row],[ID]], Table4[ID], Table4[Deals], "Not Found", 0)</f>
        <v>3</v>
      </c>
      <c r="S1701" s="16">
        <f>_xlfn.XLOOKUP(CustomerCombinedCleaned[[#This Row],[ID]], Table4[ID], Table4[Website], "Not Found", 0)</f>
        <v>1</v>
      </c>
      <c r="T1701" s="16">
        <f>_xlfn.XLOOKUP(CustomerCombinedCleaned[[#This Row],[ID]], Table4[ID], Table4[Catalog], "Not Found", 0)</f>
        <v>1</v>
      </c>
      <c r="U1701" s="16">
        <f>_xlfn.XLOOKUP(CustomerCombinedCleaned[[#This Row],[ID]], Table4[ID], Table4[Store], "Not Found", 0)</f>
        <v>4</v>
      </c>
      <c r="V1701" s="16">
        <f>_xlfn.XLOOKUP(CustomerCombinedCleaned[[#This Row],[ID]], Table4[ID], Table4[Visits], "Not Found", 0)</f>
        <v>2</v>
      </c>
      <c r="W1701" s="16">
        <f>_xlfn.XLOOKUP(CustomerCombinedCleaned[[#This Row],[ID]], Table2[ID],Table2[Complaint], "Not Found", 0 )</f>
        <v>0</v>
      </c>
      <c r="X1701" s="16">
        <f>_xlfn.XLOOKUP(CustomerCombinedCleaned[[#This Row],[ID]], Table2[ID],Table2[Pilot], "Not Found", 0 )</f>
        <v>0</v>
      </c>
      <c r="Y1701" s="16">
        <f>_xlfn.XLOOKUP(CustomerCombinedCleaned[[#This Row],[ID]], Table2[ID],Table2[MC1], "Not Found", 0 )</f>
        <v>0</v>
      </c>
      <c r="Z1701" s="16">
        <f>_xlfn.XLOOKUP(CustomerCombinedCleaned[[#This Row],[ID]], Table2[ID],Table2[MC2], "Not Found", 0 )</f>
        <v>0</v>
      </c>
      <c r="AA1701" s="16">
        <f>_xlfn.XLOOKUP(CustomerCombinedCleaned[[#This Row],[ID]], Table2[ID],Table2[MC3], "Not Found", 0 )</f>
        <v>0</v>
      </c>
      <c r="AB1701" s="16">
        <f>_xlfn.XLOOKUP(CustomerCombinedCleaned[[#This Row],[ID]], Table2[ID],Table2[MC4], "Not Found", 0 )</f>
        <v>0</v>
      </c>
      <c r="AC1701" s="16">
        <f>_xlfn.XLOOKUP(CustomerCombinedCleaned[[#This Row],[ID]], Table2[ID],Table2[MC5], "Not Found", 0 )</f>
        <v>0</v>
      </c>
    </row>
    <row r="1702" spans="1:29" x14ac:dyDescent="0.3">
      <c r="A1702" s="18">
        <v>2883</v>
      </c>
      <c r="B1702" s="16">
        <v>135701</v>
      </c>
      <c r="C1702" s="16">
        <v>0</v>
      </c>
      <c r="D1702" s="16">
        <v>0</v>
      </c>
      <c r="E1702" s="16">
        <v>61</v>
      </c>
      <c r="F1702" s="17" t="s">
        <v>6</v>
      </c>
      <c r="G1702" s="17" t="s">
        <v>11</v>
      </c>
      <c r="H1702" s="3" t="s">
        <v>289</v>
      </c>
      <c r="I1702" s="5" t="s">
        <v>435</v>
      </c>
      <c r="J1702" s="16">
        <f>_xlfn.XLOOKUP(CustomerCombinedCleaned[[#This Row],[ID]], Table4[ID], Table4[Recency], "Not Found", 0)</f>
        <v>36</v>
      </c>
      <c r="K1702" s="16">
        <f>_xlfn.XLOOKUP(CustomerCombinedCleaned[[#This Row],[ID]], Table4[ID], Table4[Teas], "Not Found", 0)</f>
        <v>80</v>
      </c>
      <c r="L1702" s="16">
        <f>_xlfn.XLOOKUP(CustomerCombinedCleaned[[#This Row],[ID]], Table4[ID], Table4[Fruits], "Not Found", 0)</f>
        <v>4</v>
      </c>
      <c r="M1702" s="16">
        <f>_xlfn.XLOOKUP(CustomerCombinedCleaned[[#This Row],[ID]], Table4[ID], Table4[Meats], "Not Found", 0)</f>
        <v>34</v>
      </c>
      <c r="N1702" s="16">
        <f>_xlfn.XLOOKUP(CustomerCombinedCleaned[[#This Row],[ID]], Table4[ID], Table4[Seafood], "Not Found", 0)</f>
        <v>27</v>
      </c>
      <c r="O1702" s="16">
        <f>_xlfn.XLOOKUP(CustomerCombinedCleaned[[#This Row],[ID]], Table4[ID], Table4[Sweets], "Not Found", 0)</f>
        <v>11</v>
      </c>
      <c r="P1702" s="16">
        <f>_xlfn.XLOOKUP(CustomerCombinedCleaned[[#This Row],[ID]], Table4[ID], Table4[Premium], "Not Found", 0)</f>
        <v>19</v>
      </c>
      <c r="Q1702" s="16">
        <f>_xlfn.XLOOKUP(CustomerCombinedCleaned[[#This Row],[ID]], Table4[ID], Table4[Regular], "Not Found", 0)</f>
        <v>137</v>
      </c>
      <c r="R1702" s="16">
        <f>_xlfn.XLOOKUP(CustomerCombinedCleaned[[#This Row],[ID]], Table4[ID], Table4[Deals], "Not Found", 0)</f>
        <v>1</v>
      </c>
      <c r="S1702" s="16">
        <f>_xlfn.XLOOKUP(CustomerCombinedCleaned[[#This Row],[ID]], Table4[ID], Table4[Website], "Not Found", 0)</f>
        <v>1</v>
      </c>
      <c r="T1702" s="16">
        <f>_xlfn.XLOOKUP(CustomerCombinedCleaned[[#This Row],[ID]], Table4[ID], Table4[Catalog], "Not Found", 0)</f>
        <v>0</v>
      </c>
      <c r="U1702" s="16">
        <f>_xlfn.XLOOKUP(CustomerCombinedCleaned[[#This Row],[ID]], Table4[ID], Table4[Store], "Not Found", 0)</f>
        <v>3</v>
      </c>
      <c r="V1702" s="16">
        <f>_xlfn.XLOOKUP(CustomerCombinedCleaned[[#This Row],[ID]], Table4[ID], Table4[Visits], "Not Found", 0)</f>
        <v>6</v>
      </c>
      <c r="W1702" s="16">
        <f>_xlfn.XLOOKUP(CustomerCombinedCleaned[[#This Row],[ID]], Table2[ID],Table2[Complaint], "Not Found", 0 )</f>
        <v>0</v>
      </c>
      <c r="X1702" s="16">
        <f>_xlfn.XLOOKUP(CustomerCombinedCleaned[[#This Row],[ID]], Table2[ID],Table2[Pilot], "Not Found", 0 )</f>
        <v>0</v>
      </c>
      <c r="Y1702" s="16">
        <f>_xlfn.XLOOKUP(CustomerCombinedCleaned[[#This Row],[ID]], Table2[ID],Table2[MC1], "Not Found", 0 )</f>
        <v>0</v>
      </c>
      <c r="Z1702" s="16">
        <f>_xlfn.XLOOKUP(CustomerCombinedCleaned[[#This Row],[ID]], Table2[ID],Table2[MC2], "Not Found", 0 )</f>
        <v>0</v>
      </c>
      <c r="AA1702" s="16">
        <f>_xlfn.XLOOKUP(CustomerCombinedCleaned[[#This Row],[ID]], Table2[ID],Table2[MC3], "Not Found", 0 )</f>
        <v>0</v>
      </c>
      <c r="AB1702" s="16">
        <f>_xlfn.XLOOKUP(CustomerCombinedCleaned[[#This Row],[ID]], Table2[ID],Table2[MC4], "Not Found", 0 )</f>
        <v>0</v>
      </c>
      <c r="AC1702" s="16">
        <f>_xlfn.XLOOKUP(CustomerCombinedCleaned[[#This Row],[ID]], Table2[ID],Table2[MC5], "Not Found", 0 )</f>
        <v>0</v>
      </c>
    </row>
    <row r="1703" spans="1:29" x14ac:dyDescent="0.3">
      <c r="A1703" s="18">
        <v>1093</v>
      </c>
      <c r="B1703" s="16">
        <v>134554</v>
      </c>
      <c r="C1703" s="16">
        <v>0</v>
      </c>
      <c r="D1703" s="16">
        <v>1</v>
      </c>
      <c r="E1703" s="16">
        <v>61</v>
      </c>
      <c r="F1703" s="17" t="s">
        <v>7</v>
      </c>
      <c r="G1703" s="17" t="s">
        <v>13</v>
      </c>
      <c r="H1703" s="3" t="s">
        <v>775</v>
      </c>
      <c r="I1703" s="5" t="s">
        <v>437</v>
      </c>
      <c r="J1703" s="16">
        <f>_xlfn.XLOOKUP(CustomerCombinedCleaned[[#This Row],[ID]], Table4[ID], Table4[Recency], "Not Found", 0)</f>
        <v>43</v>
      </c>
      <c r="K1703" s="16">
        <f>_xlfn.XLOOKUP(CustomerCombinedCleaned[[#This Row],[ID]], Table4[ID], Table4[Teas], "Not Found", 0)</f>
        <v>160</v>
      </c>
      <c r="L1703" s="16">
        <f>_xlfn.XLOOKUP(CustomerCombinedCleaned[[#This Row],[ID]], Table4[ID], Table4[Fruits], "Not Found", 0)</f>
        <v>4</v>
      </c>
      <c r="M1703" s="16">
        <f>_xlfn.XLOOKUP(CustomerCombinedCleaned[[#This Row],[ID]], Table4[ID], Table4[Meats], "Not Found", 0)</f>
        <v>23</v>
      </c>
      <c r="N1703" s="16">
        <f>_xlfn.XLOOKUP(CustomerCombinedCleaned[[#This Row],[ID]], Table4[ID], Table4[Seafood], "Not Found", 0)</f>
        <v>8</v>
      </c>
      <c r="O1703" s="16">
        <f>_xlfn.XLOOKUP(CustomerCombinedCleaned[[#This Row],[ID]], Table4[ID], Table4[Sweets], "Not Found", 0)</f>
        <v>0</v>
      </c>
      <c r="P1703" s="16">
        <f>_xlfn.XLOOKUP(CustomerCombinedCleaned[[#This Row],[ID]], Table4[ID], Table4[Premium], "Not Found", 0)</f>
        <v>19</v>
      </c>
      <c r="Q1703" s="16">
        <f>_xlfn.XLOOKUP(CustomerCombinedCleaned[[#This Row],[ID]], Table4[ID], Table4[Regular], "Not Found", 0)</f>
        <v>175</v>
      </c>
      <c r="R1703" s="16">
        <f>_xlfn.XLOOKUP(CustomerCombinedCleaned[[#This Row],[ID]], Table4[ID], Table4[Deals], "Not Found", 0)</f>
        <v>2</v>
      </c>
      <c r="S1703" s="16">
        <f>_xlfn.XLOOKUP(CustomerCombinedCleaned[[#This Row],[ID]], Table4[ID], Table4[Website], "Not Found", 0)</f>
        <v>2</v>
      </c>
      <c r="T1703" s="16">
        <f>_xlfn.XLOOKUP(CustomerCombinedCleaned[[#This Row],[ID]], Table4[ID], Table4[Catalog], "Not Found", 0)</f>
        <v>0</v>
      </c>
      <c r="U1703" s="16">
        <f>_xlfn.XLOOKUP(CustomerCombinedCleaned[[#This Row],[ID]], Table4[ID], Table4[Store], "Not Found", 0)</f>
        <v>3</v>
      </c>
      <c r="V1703" s="16">
        <f>_xlfn.XLOOKUP(CustomerCombinedCleaned[[#This Row],[ID]], Table4[ID], Table4[Visits], "Not Found", 0)</f>
        <v>6</v>
      </c>
      <c r="W1703" s="16">
        <f>_xlfn.XLOOKUP(CustomerCombinedCleaned[[#This Row],[ID]], Table2[ID],Table2[Complaint], "Not Found", 0 )</f>
        <v>0</v>
      </c>
      <c r="X1703" s="16">
        <f>_xlfn.XLOOKUP(CustomerCombinedCleaned[[#This Row],[ID]], Table2[ID],Table2[Pilot], "Not Found", 0 )</f>
        <v>0</v>
      </c>
      <c r="Y1703" s="16">
        <f>_xlfn.XLOOKUP(CustomerCombinedCleaned[[#This Row],[ID]], Table2[ID],Table2[MC1], "Not Found", 0 )</f>
        <v>0</v>
      </c>
      <c r="Z1703" s="16">
        <f>_xlfn.XLOOKUP(CustomerCombinedCleaned[[#This Row],[ID]], Table2[ID],Table2[MC2], "Not Found", 0 )</f>
        <v>0</v>
      </c>
      <c r="AA1703" s="16">
        <f>_xlfn.XLOOKUP(CustomerCombinedCleaned[[#This Row],[ID]], Table2[ID],Table2[MC3], "Not Found", 0 )</f>
        <v>0</v>
      </c>
      <c r="AB1703" s="16">
        <f>_xlfn.XLOOKUP(CustomerCombinedCleaned[[#This Row],[ID]], Table2[ID],Table2[MC4], "Not Found", 0 )</f>
        <v>0</v>
      </c>
      <c r="AC1703" s="16">
        <f>_xlfn.XLOOKUP(CustomerCombinedCleaned[[#This Row],[ID]], Table2[ID],Table2[MC5], "Not Found", 0 )</f>
        <v>0</v>
      </c>
    </row>
    <row r="1704" spans="1:29" x14ac:dyDescent="0.3">
      <c r="A1704" s="18">
        <v>2913</v>
      </c>
      <c r="B1704" s="16">
        <v>134242</v>
      </c>
      <c r="C1704" s="16">
        <v>0</v>
      </c>
      <c r="D1704" s="16">
        <v>1</v>
      </c>
      <c r="E1704" s="16">
        <v>61</v>
      </c>
      <c r="F1704" s="17" t="s">
        <v>6</v>
      </c>
      <c r="G1704" s="17" t="s">
        <v>12</v>
      </c>
      <c r="H1704" s="3" t="s">
        <v>78</v>
      </c>
      <c r="I1704" s="5" t="s">
        <v>435</v>
      </c>
      <c r="J1704" s="16">
        <f>_xlfn.XLOOKUP(CustomerCombinedCleaned[[#This Row],[ID]], Table4[ID], Table4[Recency], "Not Found", 0)</f>
        <v>25</v>
      </c>
      <c r="K1704" s="16">
        <f>_xlfn.XLOOKUP(CustomerCombinedCleaned[[#This Row],[ID]], Table4[ID], Table4[Teas], "Not Found", 0)</f>
        <v>31</v>
      </c>
      <c r="L1704" s="16">
        <f>_xlfn.XLOOKUP(CustomerCombinedCleaned[[#This Row],[ID]], Table4[ID], Table4[Fruits], "Not Found", 0)</f>
        <v>8</v>
      </c>
      <c r="M1704" s="16">
        <f>_xlfn.XLOOKUP(CustomerCombinedCleaned[[#This Row],[ID]], Table4[ID], Table4[Meats], "Not Found", 0)</f>
        <v>16</v>
      </c>
      <c r="N1704" s="16">
        <f>_xlfn.XLOOKUP(CustomerCombinedCleaned[[#This Row],[ID]], Table4[ID], Table4[Seafood], "Not Found", 0)</f>
        <v>0</v>
      </c>
      <c r="O1704" s="16">
        <f>_xlfn.XLOOKUP(CustomerCombinedCleaned[[#This Row],[ID]], Table4[ID], Table4[Sweets], "Not Found", 0)</f>
        <v>0</v>
      </c>
      <c r="P1704" s="16">
        <f>_xlfn.XLOOKUP(CustomerCombinedCleaned[[#This Row],[ID]], Table4[ID], Table4[Premium], "Not Found", 0)</f>
        <v>4</v>
      </c>
      <c r="Q1704" s="16">
        <f>_xlfn.XLOOKUP(CustomerCombinedCleaned[[#This Row],[ID]], Table4[ID], Table4[Regular], "Not Found", 0)</f>
        <v>51</v>
      </c>
      <c r="R1704" s="16">
        <f>_xlfn.XLOOKUP(CustomerCombinedCleaned[[#This Row],[ID]], Table4[ID], Table4[Deals], "Not Found", 0)</f>
        <v>1</v>
      </c>
      <c r="S1704" s="16">
        <f>_xlfn.XLOOKUP(CustomerCombinedCleaned[[#This Row],[ID]], Table4[ID], Table4[Website], "Not Found", 0)</f>
        <v>0</v>
      </c>
      <c r="T1704" s="16">
        <f>_xlfn.XLOOKUP(CustomerCombinedCleaned[[#This Row],[ID]], Table4[ID], Table4[Catalog], "Not Found", 0)</f>
        <v>0</v>
      </c>
      <c r="U1704" s="16">
        <f>_xlfn.XLOOKUP(CustomerCombinedCleaned[[#This Row],[ID]], Table4[ID], Table4[Store], "Not Found", 0)</f>
        <v>3</v>
      </c>
      <c r="V1704" s="16">
        <f>_xlfn.XLOOKUP(CustomerCombinedCleaned[[#This Row],[ID]], Table4[ID], Table4[Visits], "Not Found", 0)</f>
        <v>5</v>
      </c>
      <c r="W1704" s="16">
        <f>_xlfn.XLOOKUP(CustomerCombinedCleaned[[#This Row],[ID]], Table2[ID],Table2[Complaint], "Not Found", 0 )</f>
        <v>0</v>
      </c>
      <c r="X1704" s="16">
        <f>_xlfn.XLOOKUP(CustomerCombinedCleaned[[#This Row],[ID]], Table2[ID],Table2[Pilot], "Not Found", 0 )</f>
        <v>0</v>
      </c>
      <c r="Y1704" s="16">
        <f>_xlfn.XLOOKUP(CustomerCombinedCleaned[[#This Row],[ID]], Table2[ID],Table2[MC1], "Not Found", 0 )</f>
        <v>0</v>
      </c>
      <c r="Z1704" s="16">
        <f>_xlfn.XLOOKUP(CustomerCombinedCleaned[[#This Row],[ID]], Table2[ID],Table2[MC2], "Not Found", 0 )</f>
        <v>0</v>
      </c>
      <c r="AA1704" s="16">
        <f>_xlfn.XLOOKUP(CustomerCombinedCleaned[[#This Row],[ID]], Table2[ID],Table2[MC3], "Not Found", 0 )</f>
        <v>0</v>
      </c>
      <c r="AB1704" s="16">
        <f>_xlfn.XLOOKUP(CustomerCombinedCleaned[[#This Row],[ID]], Table2[ID],Table2[MC4], "Not Found", 0 )</f>
        <v>0</v>
      </c>
      <c r="AC1704" s="16">
        <f>_xlfn.XLOOKUP(CustomerCombinedCleaned[[#This Row],[ID]], Table2[ID],Table2[MC5], "Not Found", 0 )</f>
        <v>0</v>
      </c>
    </row>
    <row r="1705" spans="1:29" x14ac:dyDescent="0.3">
      <c r="A1705" s="18">
        <v>1127</v>
      </c>
      <c r="B1705" s="16">
        <v>133762</v>
      </c>
      <c r="C1705" s="16">
        <v>2</v>
      </c>
      <c r="D1705" s="16">
        <v>1</v>
      </c>
      <c r="E1705" s="16">
        <v>61</v>
      </c>
      <c r="F1705" s="17" t="s">
        <v>6</v>
      </c>
      <c r="G1705" s="17" t="s">
        <v>13</v>
      </c>
      <c r="H1705" s="3" t="s">
        <v>674</v>
      </c>
      <c r="I1705" s="5" t="s">
        <v>434</v>
      </c>
      <c r="J1705" s="16">
        <f>_xlfn.XLOOKUP(CustomerCombinedCleaned[[#This Row],[ID]], Table4[ID], Table4[Recency], "Not Found", 0)</f>
        <v>61</v>
      </c>
      <c r="K1705" s="16">
        <f>_xlfn.XLOOKUP(CustomerCombinedCleaned[[#This Row],[ID]], Table4[ID], Table4[Teas], "Not Found", 0)</f>
        <v>210</v>
      </c>
      <c r="L1705" s="16">
        <f>_xlfn.XLOOKUP(CustomerCombinedCleaned[[#This Row],[ID]], Table4[ID], Table4[Fruits], "Not Found", 0)</f>
        <v>4</v>
      </c>
      <c r="M1705" s="16">
        <f>_xlfn.XLOOKUP(CustomerCombinedCleaned[[#This Row],[ID]], Table4[ID], Table4[Meats], "Not Found", 0)</f>
        <v>135</v>
      </c>
      <c r="N1705" s="16">
        <f>_xlfn.XLOOKUP(CustomerCombinedCleaned[[#This Row],[ID]], Table4[ID], Table4[Seafood], "Not Found", 0)</f>
        <v>8</v>
      </c>
      <c r="O1705" s="16">
        <f>_xlfn.XLOOKUP(CustomerCombinedCleaned[[#This Row],[ID]], Table4[ID], Table4[Sweets], "Not Found", 0)</f>
        <v>0</v>
      </c>
      <c r="P1705" s="16">
        <f>_xlfn.XLOOKUP(CustomerCombinedCleaned[[#This Row],[ID]], Table4[ID], Table4[Premium], "Not Found", 0)</f>
        <v>63</v>
      </c>
      <c r="Q1705" s="16">
        <f>_xlfn.XLOOKUP(CustomerCombinedCleaned[[#This Row],[ID]], Table4[ID], Table4[Regular], "Not Found", 0)</f>
        <v>293</v>
      </c>
      <c r="R1705" s="16">
        <f>_xlfn.XLOOKUP(CustomerCombinedCleaned[[#This Row],[ID]], Table4[ID], Table4[Deals], "Not Found", 0)</f>
        <v>3</v>
      </c>
      <c r="S1705" s="16">
        <f>_xlfn.XLOOKUP(CustomerCombinedCleaned[[#This Row],[ID]], Table4[ID], Table4[Website], "Not Found", 0)</f>
        <v>2</v>
      </c>
      <c r="T1705" s="16">
        <f>_xlfn.XLOOKUP(CustomerCombinedCleaned[[#This Row],[ID]], Table4[ID], Table4[Catalog], "Not Found", 0)</f>
        <v>2</v>
      </c>
      <c r="U1705" s="16">
        <f>_xlfn.XLOOKUP(CustomerCombinedCleaned[[#This Row],[ID]], Table4[ID], Table4[Store], "Not Found", 0)</f>
        <v>2</v>
      </c>
      <c r="V1705" s="16">
        <f>_xlfn.XLOOKUP(CustomerCombinedCleaned[[#This Row],[ID]], Table4[ID], Table4[Visits], "Not Found", 0)</f>
        <v>8</v>
      </c>
      <c r="W1705" s="16">
        <f>_xlfn.XLOOKUP(CustomerCombinedCleaned[[#This Row],[ID]], Table2[ID],Table2[Complaint], "Not Found", 0 )</f>
        <v>0</v>
      </c>
      <c r="X1705" s="16">
        <f>_xlfn.XLOOKUP(CustomerCombinedCleaned[[#This Row],[ID]], Table2[ID],Table2[Pilot], "Not Found", 0 )</f>
        <v>0</v>
      </c>
      <c r="Y1705" s="16">
        <f>_xlfn.XLOOKUP(CustomerCombinedCleaned[[#This Row],[ID]], Table2[ID],Table2[MC1], "Not Found", 0 )</f>
        <v>0</v>
      </c>
      <c r="Z1705" s="16">
        <f>_xlfn.XLOOKUP(CustomerCombinedCleaned[[#This Row],[ID]], Table2[ID],Table2[MC2], "Not Found", 0 )</f>
        <v>0</v>
      </c>
      <c r="AA1705" s="16">
        <f>_xlfn.XLOOKUP(CustomerCombinedCleaned[[#This Row],[ID]], Table2[ID],Table2[MC3], "Not Found", 0 )</f>
        <v>0</v>
      </c>
      <c r="AB1705" s="16">
        <f>_xlfn.XLOOKUP(CustomerCombinedCleaned[[#This Row],[ID]], Table2[ID],Table2[MC4], "Not Found", 0 )</f>
        <v>0</v>
      </c>
      <c r="AC1705" s="16">
        <f>_xlfn.XLOOKUP(CustomerCombinedCleaned[[#This Row],[ID]], Table2[ID],Table2[MC5], "Not Found", 0 )</f>
        <v>0</v>
      </c>
    </row>
    <row r="1706" spans="1:29" x14ac:dyDescent="0.3">
      <c r="A1706" s="18">
        <v>2851</v>
      </c>
      <c r="B1706" s="16">
        <v>133051</v>
      </c>
      <c r="C1706" s="16">
        <v>0</v>
      </c>
      <c r="D1706" s="16">
        <v>0</v>
      </c>
      <c r="E1706" s="16">
        <v>61</v>
      </c>
      <c r="F1706" s="17" t="s">
        <v>9</v>
      </c>
      <c r="G1706" s="17" t="s">
        <v>12</v>
      </c>
      <c r="H1706" s="3" t="s">
        <v>412</v>
      </c>
      <c r="I1706" s="5" t="s">
        <v>437</v>
      </c>
      <c r="J1706" s="16">
        <f>_xlfn.XLOOKUP(CustomerCombinedCleaned[[#This Row],[ID]], Table4[ID], Table4[Recency], "Not Found", 0)</f>
        <v>15</v>
      </c>
      <c r="K1706" s="16">
        <f>_xlfn.XLOOKUP(CustomerCombinedCleaned[[#This Row],[ID]], Table4[ID], Table4[Teas], "Not Found", 0)</f>
        <v>403</v>
      </c>
      <c r="L1706" s="16">
        <f>_xlfn.XLOOKUP(CustomerCombinedCleaned[[#This Row],[ID]], Table4[ID], Table4[Fruits], "Not Found", 0)</f>
        <v>286</v>
      </c>
      <c r="M1706" s="16">
        <f>_xlfn.XLOOKUP(CustomerCombinedCleaned[[#This Row],[ID]], Table4[ID], Table4[Meats], "Not Found", 0)</f>
        <v>978</v>
      </c>
      <c r="N1706" s="16">
        <f>_xlfn.XLOOKUP(CustomerCombinedCleaned[[#This Row],[ID]], Table4[ID], Table4[Seafood], "Not Found", 0)</f>
        <v>435</v>
      </c>
      <c r="O1706" s="16">
        <f>_xlfn.XLOOKUP(CustomerCombinedCleaned[[#This Row],[ID]], Table4[ID], Table4[Sweets], "Not Found", 0)</f>
        <v>378</v>
      </c>
      <c r="P1706" s="16">
        <f>_xlfn.XLOOKUP(CustomerCombinedCleaned[[#This Row],[ID]], Table4[ID], Table4[Premium], "Not Found", 0)</f>
        <v>882</v>
      </c>
      <c r="Q1706" s="16">
        <f>_xlfn.XLOOKUP(CustomerCombinedCleaned[[#This Row],[ID]], Table4[ID], Table4[Regular], "Not Found", 0)</f>
        <v>1598</v>
      </c>
      <c r="R1706" s="16">
        <f>_xlfn.XLOOKUP(CustomerCombinedCleaned[[#This Row],[ID]], Table4[ID], Table4[Deals], "Not Found", 0)</f>
        <v>3</v>
      </c>
      <c r="S1706" s="16">
        <f>_xlfn.XLOOKUP(CustomerCombinedCleaned[[#This Row],[ID]], Table4[ID], Table4[Website], "Not Found", 0)</f>
        <v>9</v>
      </c>
      <c r="T1706" s="16">
        <f>_xlfn.XLOOKUP(CustomerCombinedCleaned[[#This Row],[ID]], Table4[ID], Table4[Catalog], "Not Found", 0)</f>
        <v>1</v>
      </c>
      <c r="U1706" s="16">
        <f>_xlfn.XLOOKUP(CustomerCombinedCleaned[[#This Row],[ID]], Table4[ID], Table4[Store], "Not Found", 0)</f>
        <v>8</v>
      </c>
      <c r="V1706" s="16">
        <f>_xlfn.XLOOKUP(CustomerCombinedCleaned[[#This Row],[ID]], Table4[ID], Table4[Visits], "Not Found", 0)</f>
        <v>9</v>
      </c>
      <c r="W1706" s="16">
        <f>_xlfn.XLOOKUP(CustomerCombinedCleaned[[#This Row],[ID]], Table2[ID],Table2[Complaint], "Not Found", 0 )</f>
        <v>0</v>
      </c>
      <c r="X1706" s="16">
        <f>_xlfn.XLOOKUP(CustomerCombinedCleaned[[#This Row],[ID]], Table2[ID],Table2[Pilot], "Not Found", 0 )</f>
        <v>1</v>
      </c>
      <c r="Y1706" s="16">
        <f>_xlfn.XLOOKUP(CustomerCombinedCleaned[[#This Row],[ID]], Table2[ID],Table2[MC1], "Not Found", 0 )</f>
        <v>0</v>
      </c>
      <c r="Z1706" s="16">
        <f>_xlfn.XLOOKUP(CustomerCombinedCleaned[[#This Row],[ID]], Table2[ID],Table2[MC2], "Not Found", 0 )</f>
        <v>0</v>
      </c>
      <c r="AA1706" s="16">
        <f>_xlfn.XLOOKUP(CustomerCombinedCleaned[[#This Row],[ID]], Table2[ID],Table2[MC3], "Not Found", 0 )</f>
        <v>0</v>
      </c>
      <c r="AB1706" s="16">
        <f>_xlfn.XLOOKUP(CustomerCombinedCleaned[[#This Row],[ID]], Table2[ID],Table2[MC4], "Not Found", 0 )</f>
        <v>0</v>
      </c>
      <c r="AC1706" s="16">
        <f>_xlfn.XLOOKUP(CustomerCombinedCleaned[[#This Row],[ID]], Table2[ID],Table2[MC5], "Not Found", 0 )</f>
        <v>0</v>
      </c>
    </row>
    <row r="1707" spans="1:29" x14ac:dyDescent="0.3">
      <c r="A1707" s="18">
        <v>2326</v>
      </c>
      <c r="B1707" s="16">
        <v>126887</v>
      </c>
      <c r="C1707" s="16">
        <v>0</v>
      </c>
      <c r="D1707" s="16">
        <v>1</v>
      </c>
      <c r="E1707" s="16">
        <v>61</v>
      </c>
      <c r="F1707" s="17" t="s">
        <v>6</v>
      </c>
      <c r="G1707" s="17" t="s">
        <v>11</v>
      </c>
      <c r="H1707" s="3" t="s">
        <v>313</v>
      </c>
      <c r="I1707" s="5" t="s">
        <v>439</v>
      </c>
      <c r="J1707" s="16">
        <f>_xlfn.XLOOKUP(CustomerCombinedCleaned[[#This Row],[ID]], Table4[ID], Table4[Recency], "Not Found", 0)</f>
        <v>27</v>
      </c>
      <c r="K1707" s="16">
        <f>_xlfn.XLOOKUP(CustomerCombinedCleaned[[#This Row],[ID]], Table4[ID], Table4[Teas], "Not Found", 0)</f>
        <v>28</v>
      </c>
      <c r="L1707" s="16">
        <f>_xlfn.XLOOKUP(CustomerCombinedCleaned[[#This Row],[ID]], Table4[ID], Table4[Fruits], "Not Found", 0)</f>
        <v>33</v>
      </c>
      <c r="M1707" s="16">
        <f>_xlfn.XLOOKUP(CustomerCombinedCleaned[[#This Row],[ID]], Table4[ID], Table4[Meats], "Not Found", 0)</f>
        <v>19</v>
      </c>
      <c r="N1707" s="16">
        <f>_xlfn.XLOOKUP(CustomerCombinedCleaned[[#This Row],[ID]], Table4[ID], Table4[Seafood], "Not Found", 0)</f>
        <v>14</v>
      </c>
      <c r="O1707" s="16">
        <f>_xlfn.XLOOKUP(CustomerCombinedCleaned[[#This Row],[ID]], Table4[ID], Table4[Sweets], "Not Found", 0)</f>
        <v>19</v>
      </c>
      <c r="P1707" s="16">
        <f>_xlfn.XLOOKUP(CustomerCombinedCleaned[[#This Row],[ID]], Table4[ID], Table4[Premium], "Not Found", 0)</f>
        <v>28</v>
      </c>
      <c r="Q1707" s="16">
        <f>_xlfn.XLOOKUP(CustomerCombinedCleaned[[#This Row],[ID]], Table4[ID], Table4[Regular], "Not Found", 0)</f>
        <v>85</v>
      </c>
      <c r="R1707" s="16">
        <f>_xlfn.XLOOKUP(CustomerCombinedCleaned[[#This Row],[ID]], Table4[ID], Table4[Deals], "Not Found", 0)</f>
        <v>1</v>
      </c>
      <c r="S1707" s="16">
        <f>_xlfn.XLOOKUP(CustomerCombinedCleaned[[#This Row],[ID]], Table4[ID], Table4[Website], "Not Found", 0)</f>
        <v>1</v>
      </c>
      <c r="T1707" s="16">
        <f>_xlfn.XLOOKUP(CustomerCombinedCleaned[[#This Row],[ID]], Table4[ID], Table4[Catalog], "Not Found", 0)</f>
        <v>0</v>
      </c>
      <c r="U1707" s="16">
        <f>_xlfn.XLOOKUP(CustomerCombinedCleaned[[#This Row],[ID]], Table4[ID], Table4[Store], "Not Found", 0)</f>
        <v>3</v>
      </c>
      <c r="V1707" s="16">
        <f>_xlfn.XLOOKUP(CustomerCombinedCleaned[[#This Row],[ID]], Table4[ID], Table4[Visits], "Not Found", 0)</f>
        <v>6</v>
      </c>
      <c r="W1707" s="16">
        <f>_xlfn.XLOOKUP(CustomerCombinedCleaned[[#This Row],[ID]], Table2[ID],Table2[Complaint], "Not Found", 0 )</f>
        <v>0</v>
      </c>
      <c r="X1707" s="16">
        <f>_xlfn.XLOOKUP(CustomerCombinedCleaned[[#This Row],[ID]], Table2[ID],Table2[Pilot], "Not Found", 0 )</f>
        <v>0</v>
      </c>
      <c r="Y1707" s="16">
        <f>_xlfn.XLOOKUP(CustomerCombinedCleaned[[#This Row],[ID]], Table2[ID],Table2[MC1], "Not Found", 0 )</f>
        <v>0</v>
      </c>
      <c r="Z1707" s="16">
        <f>_xlfn.XLOOKUP(CustomerCombinedCleaned[[#This Row],[ID]], Table2[ID],Table2[MC2], "Not Found", 0 )</f>
        <v>0</v>
      </c>
      <c r="AA1707" s="16">
        <f>_xlfn.XLOOKUP(CustomerCombinedCleaned[[#This Row],[ID]], Table2[ID],Table2[MC3], "Not Found", 0 )</f>
        <v>0</v>
      </c>
      <c r="AB1707" s="16">
        <f>_xlfn.XLOOKUP(CustomerCombinedCleaned[[#This Row],[ID]], Table2[ID],Table2[MC4], "Not Found", 0 )</f>
        <v>0</v>
      </c>
      <c r="AC1707" s="16">
        <f>_xlfn.XLOOKUP(CustomerCombinedCleaned[[#This Row],[ID]], Table2[ID],Table2[MC5], "Not Found", 0 )</f>
        <v>0</v>
      </c>
    </row>
    <row r="1708" spans="1:29" x14ac:dyDescent="0.3">
      <c r="A1708" s="18">
        <v>1573</v>
      </c>
      <c r="B1708" s="16">
        <v>124221</v>
      </c>
      <c r="C1708" s="16">
        <v>0</v>
      </c>
      <c r="D1708" s="16">
        <v>0</v>
      </c>
      <c r="E1708" s="16">
        <v>61</v>
      </c>
      <c r="F1708" s="17" t="s">
        <v>8</v>
      </c>
      <c r="G1708" s="17" t="s">
        <v>11</v>
      </c>
      <c r="H1708" s="3" t="s">
        <v>197</v>
      </c>
      <c r="I1708" s="5" t="s">
        <v>437</v>
      </c>
      <c r="J1708" s="16">
        <f>_xlfn.XLOOKUP(CustomerCombinedCleaned[[#This Row],[ID]], Table4[ID], Table4[Recency], "Not Found", 0)</f>
        <v>94</v>
      </c>
      <c r="K1708" s="16">
        <f>_xlfn.XLOOKUP(CustomerCombinedCleaned[[#This Row],[ID]], Table4[ID], Table4[Teas], "Not Found", 0)</f>
        <v>41</v>
      </c>
      <c r="L1708" s="16">
        <f>_xlfn.XLOOKUP(CustomerCombinedCleaned[[#This Row],[ID]], Table4[ID], Table4[Fruits], "Not Found", 0)</f>
        <v>46</v>
      </c>
      <c r="M1708" s="16">
        <f>_xlfn.XLOOKUP(CustomerCombinedCleaned[[#This Row],[ID]], Table4[ID], Table4[Meats], "Not Found", 0)</f>
        <v>46</v>
      </c>
      <c r="N1708" s="16">
        <f>_xlfn.XLOOKUP(CustomerCombinedCleaned[[#This Row],[ID]], Table4[ID], Table4[Seafood], "Not Found", 0)</f>
        <v>10</v>
      </c>
      <c r="O1708" s="16">
        <f>_xlfn.XLOOKUP(CustomerCombinedCleaned[[#This Row],[ID]], Table4[ID], Table4[Sweets], "Not Found", 0)</f>
        <v>26</v>
      </c>
      <c r="P1708" s="16">
        <f>_xlfn.XLOOKUP(CustomerCombinedCleaned[[#This Row],[ID]], Table4[ID], Table4[Premium], "Not Found", 0)</f>
        <v>113</v>
      </c>
      <c r="Q1708" s="16">
        <f>_xlfn.XLOOKUP(CustomerCombinedCleaned[[#This Row],[ID]], Table4[ID], Table4[Regular], "Not Found", 0)</f>
        <v>56</v>
      </c>
      <c r="R1708" s="16">
        <f>_xlfn.XLOOKUP(CustomerCombinedCleaned[[#This Row],[ID]], Table4[ID], Table4[Deals], "Not Found", 0)</f>
        <v>1</v>
      </c>
      <c r="S1708" s="16">
        <f>_xlfn.XLOOKUP(CustomerCombinedCleaned[[#This Row],[ID]], Table4[ID], Table4[Website], "Not Found", 0)</f>
        <v>1</v>
      </c>
      <c r="T1708" s="16">
        <f>_xlfn.XLOOKUP(CustomerCombinedCleaned[[#This Row],[ID]], Table4[ID], Table4[Catalog], "Not Found", 0)</f>
        <v>1</v>
      </c>
      <c r="U1708" s="16">
        <f>_xlfn.XLOOKUP(CustomerCombinedCleaned[[#This Row],[ID]], Table4[ID], Table4[Store], "Not Found", 0)</f>
        <v>3</v>
      </c>
      <c r="V1708" s="16">
        <f>_xlfn.XLOOKUP(CustomerCombinedCleaned[[#This Row],[ID]], Table4[ID], Table4[Visits], "Not Found", 0)</f>
        <v>4</v>
      </c>
      <c r="W1708" s="16">
        <f>_xlfn.XLOOKUP(CustomerCombinedCleaned[[#This Row],[ID]], Table2[ID],Table2[Complaint], "Not Found", 0 )</f>
        <v>0</v>
      </c>
      <c r="X1708" s="16">
        <f>_xlfn.XLOOKUP(CustomerCombinedCleaned[[#This Row],[ID]], Table2[ID],Table2[Pilot], "Not Found", 0 )</f>
        <v>0</v>
      </c>
      <c r="Y1708" s="16">
        <f>_xlfn.XLOOKUP(CustomerCombinedCleaned[[#This Row],[ID]], Table2[ID],Table2[MC1], "Not Found", 0 )</f>
        <v>0</v>
      </c>
      <c r="Z1708" s="16">
        <f>_xlfn.XLOOKUP(CustomerCombinedCleaned[[#This Row],[ID]], Table2[ID],Table2[MC2], "Not Found", 0 )</f>
        <v>0</v>
      </c>
      <c r="AA1708" s="16">
        <f>_xlfn.XLOOKUP(CustomerCombinedCleaned[[#This Row],[ID]], Table2[ID],Table2[MC3], "Not Found", 0 )</f>
        <v>0</v>
      </c>
      <c r="AB1708" s="16">
        <f>_xlfn.XLOOKUP(CustomerCombinedCleaned[[#This Row],[ID]], Table2[ID],Table2[MC4], "Not Found", 0 )</f>
        <v>0</v>
      </c>
      <c r="AC1708" s="16">
        <f>_xlfn.XLOOKUP(CustomerCombinedCleaned[[#This Row],[ID]], Table2[ID],Table2[MC5], "Not Found", 0 )</f>
        <v>0</v>
      </c>
    </row>
    <row r="1709" spans="1:29" x14ac:dyDescent="0.3">
      <c r="A1709" s="18">
        <v>1429</v>
      </c>
      <c r="B1709" s="16">
        <v>123295</v>
      </c>
      <c r="C1709" s="16">
        <v>0</v>
      </c>
      <c r="D1709" s="16">
        <v>0</v>
      </c>
      <c r="E1709" s="16">
        <v>61</v>
      </c>
      <c r="F1709" s="17" t="s">
        <v>5</v>
      </c>
      <c r="G1709" s="17" t="s">
        <v>11</v>
      </c>
      <c r="H1709" s="3" t="s">
        <v>223</v>
      </c>
      <c r="I1709" s="5" t="s">
        <v>437</v>
      </c>
      <c r="J1709" s="16">
        <f>_xlfn.XLOOKUP(CustomerCombinedCleaned[[#This Row],[ID]], Table4[ID], Table4[Recency], "Not Found", 0)</f>
        <v>72</v>
      </c>
      <c r="K1709" s="16">
        <f>_xlfn.XLOOKUP(CustomerCombinedCleaned[[#This Row],[ID]], Table4[ID], Table4[Teas], "Not Found", 0)</f>
        <v>0</v>
      </c>
      <c r="L1709" s="16">
        <f>_xlfn.XLOOKUP(CustomerCombinedCleaned[[#This Row],[ID]], Table4[ID], Table4[Fruits], "Not Found", 0)</f>
        <v>0</v>
      </c>
      <c r="M1709" s="16">
        <f>_xlfn.XLOOKUP(CustomerCombinedCleaned[[#This Row],[ID]], Table4[ID], Table4[Meats], "Not Found", 0)</f>
        <v>5</v>
      </c>
      <c r="N1709" s="16">
        <f>_xlfn.XLOOKUP(CustomerCombinedCleaned[[#This Row],[ID]], Table4[ID], Table4[Seafood], "Not Found", 0)</f>
        <v>11</v>
      </c>
      <c r="O1709" s="16">
        <f>_xlfn.XLOOKUP(CustomerCombinedCleaned[[#This Row],[ID]], Table4[ID], Table4[Sweets], "Not Found", 0)</f>
        <v>64</v>
      </c>
      <c r="P1709" s="16">
        <f>_xlfn.XLOOKUP(CustomerCombinedCleaned[[#This Row],[ID]], Table4[ID], Table4[Premium], "Not Found", 0)</f>
        <v>26</v>
      </c>
      <c r="Q1709" s="16">
        <f>_xlfn.XLOOKUP(CustomerCombinedCleaned[[#This Row],[ID]], Table4[ID], Table4[Regular], "Not Found", 0)</f>
        <v>53</v>
      </c>
      <c r="R1709" s="16">
        <f>_xlfn.XLOOKUP(CustomerCombinedCleaned[[#This Row],[ID]], Table4[ID], Table4[Deals], "Not Found", 0)</f>
        <v>1</v>
      </c>
      <c r="S1709" s="16">
        <f>_xlfn.XLOOKUP(CustomerCombinedCleaned[[#This Row],[ID]], Table4[ID], Table4[Website], "Not Found", 0)</f>
        <v>1</v>
      </c>
      <c r="T1709" s="16">
        <f>_xlfn.XLOOKUP(CustomerCombinedCleaned[[#This Row],[ID]], Table4[ID], Table4[Catalog], "Not Found", 0)</f>
        <v>0</v>
      </c>
      <c r="U1709" s="16">
        <f>_xlfn.XLOOKUP(CustomerCombinedCleaned[[#This Row],[ID]], Table4[ID], Table4[Store], "Not Found", 0)</f>
        <v>2</v>
      </c>
      <c r="V1709" s="16">
        <f>_xlfn.XLOOKUP(CustomerCombinedCleaned[[#This Row],[ID]], Table4[ID], Table4[Visits], "Not Found", 0)</f>
        <v>8</v>
      </c>
      <c r="W1709" s="16">
        <f>_xlfn.XLOOKUP(CustomerCombinedCleaned[[#This Row],[ID]], Table2[ID],Table2[Complaint], "Not Found", 0 )</f>
        <v>0</v>
      </c>
      <c r="X1709" s="16">
        <f>_xlfn.XLOOKUP(CustomerCombinedCleaned[[#This Row],[ID]], Table2[ID],Table2[Pilot], "Not Found", 0 )</f>
        <v>0</v>
      </c>
      <c r="Y1709" s="16">
        <f>_xlfn.XLOOKUP(CustomerCombinedCleaned[[#This Row],[ID]], Table2[ID],Table2[MC1], "Not Found", 0 )</f>
        <v>0</v>
      </c>
      <c r="Z1709" s="16">
        <f>_xlfn.XLOOKUP(CustomerCombinedCleaned[[#This Row],[ID]], Table2[ID],Table2[MC2], "Not Found", 0 )</f>
        <v>0</v>
      </c>
      <c r="AA1709" s="16">
        <f>_xlfn.XLOOKUP(CustomerCombinedCleaned[[#This Row],[ID]], Table2[ID],Table2[MC3], "Not Found", 0 )</f>
        <v>0</v>
      </c>
      <c r="AB1709" s="16">
        <f>_xlfn.XLOOKUP(CustomerCombinedCleaned[[#This Row],[ID]], Table2[ID],Table2[MC4], "Not Found", 0 )</f>
        <v>0</v>
      </c>
      <c r="AC1709" s="16">
        <f>_xlfn.XLOOKUP(CustomerCombinedCleaned[[#This Row],[ID]], Table2[ID],Table2[MC5], "Not Found", 0 )</f>
        <v>0</v>
      </c>
    </row>
    <row r="1710" spans="1:29" x14ac:dyDescent="0.3">
      <c r="A1710" s="18">
        <v>1647</v>
      </c>
      <c r="B1710" s="16">
        <v>118690</v>
      </c>
      <c r="C1710" s="16">
        <v>0</v>
      </c>
      <c r="D1710" s="16">
        <v>0</v>
      </c>
      <c r="E1710" s="16">
        <v>61</v>
      </c>
      <c r="F1710" s="17" t="s">
        <v>6</v>
      </c>
      <c r="G1710" s="17" t="s">
        <v>11</v>
      </c>
      <c r="H1710" s="3" t="s">
        <v>746</v>
      </c>
      <c r="I1710" s="5" t="s">
        <v>435</v>
      </c>
      <c r="J1710" s="16">
        <f>_xlfn.XLOOKUP(CustomerCombinedCleaned[[#This Row],[ID]], Table4[ID], Table4[Recency], "Not Found", 0)</f>
        <v>77</v>
      </c>
      <c r="K1710" s="16">
        <f>_xlfn.XLOOKUP(CustomerCombinedCleaned[[#This Row],[ID]], Table4[ID], Table4[Teas], "Not Found", 0)</f>
        <v>38</v>
      </c>
      <c r="L1710" s="16">
        <f>_xlfn.XLOOKUP(CustomerCombinedCleaned[[#This Row],[ID]], Table4[ID], Table4[Fruits], "Not Found", 0)</f>
        <v>6</v>
      </c>
      <c r="M1710" s="16">
        <f>_xlfn.XLOOKUP(CustomerCombinedCleaned[[#This Row],[ID]], Table4[ID], Table4[Meats], "Not Found", 0)</f>
        <v>44</v>
      </c>
      <c r="N1710" s="16">
        <f>_xlfn.XLOOKUP(CustomerCombinedCleaned[[#This Row],[ID]], Table4[ID], Table4[Seafood], "Not Found", 0)</f>
        <v>146</v>
      </c>
      <c r="O1710" s="16">
        <f>_xlfn.XLOOKUP(CustomerCombinedCleaned[[#This Row],[ID]], Table4[ID], Table4[Sweets], "Not Found", 0)</f>
        <v>25</v>
      </c>
      <c r="P1710" s="16">
        <f>_xlfn.XLOOKUP(CustomerCombinedCleaned[[#This Row],[ID]], Table4[ID], Table4[Premium], "Not Found", 0)</f>
        <v>121</v>
      </c>
      <c r="Q1710" s="16">
        <f>_xlfn.XLOOKUP(CustomerCombinedCleaned[[#This Row],[ID]], Table4[ID], Table4[Regular], "Not Found", 0)</f>
        <v>140</v>
      </c>
      <c r="R1710" s="16">
        <f>_xlfn.XLOOKUP(CustomerCombinedCleaned[[#This Row],[ID]], Table4[ID], Table4[Deals], "Not Found", 0)</f>
        <v>1</v>
      </c>
      <c r="S1710" s="16">
        <f>_xlfn.XLOOKUP(CustomerCombinedCleaned[[#This Row],[ID]], Table4[ID], Table4[Website], "Not Found", 0)</f>
        <v>1</v>
      </c>
      <c r="T1710" s="16">
        <f>_xlfn.XLOOKUP(CustomerCombinedCleaned[[#This Row],[ID]], Table4[ID], Table4[Catalog], "Not Found", 0)</f>
        <v>1</v>
      </c>
      <c r="U1710" s="16">
        <f>_xlfn.XLOOKUP(CustomerCombinedCleaned[[#This Row],[ID]], Table4[ID], Table4[Store], "Not Found", 0)</f>
        <v>2</v>
      </c>
      <c r="V1710" s="16">
        <f>_xlfn.XLOOKUP(CustomerCombinedCleaned[[#This Row],[ID]], Table4[ID], Table4[Visits], "Not Found", 0)</f>
        <v>8</v>
      </c>
      <c r="W1710" s="16">
        <f>_xlfn.XLOOKUP(CustomerCombinedCleaned[[#This Row],[ID]], Table2[ID],Table2[Complaint], "Not Found", 0 )</f>
        <v>0</v>
      </c>
      <c r="X1710" s="16">
        <f>_xlfn.XLOOKUP(CustomerCombinedCleaned[[#This Row],[ID]], Table2[ID],Table2[Pilot], "Not Found", 0 )</f>
        <v>0</v>
      </c>
      <c r="Y1710" s="16">
        <f>_xlfn.XLOOKUP(CustomerCombinedCleaned[[#This Row],[ID]], Table2[ID],Table2[MC1], "Not Found", 0 )</f>
        <v>0</v>
      </c>
      <c r="Z1710" s="16">
        <f>_xlfn.XLOOKUP(CustomerCombinedCleaned[[#This Row],[ID]], Table2[ID],Table2[MC2], "Not Found", 0 )</f>
        <v>0</v>
      </c>
      <c r="AA1710" s="16">
        <f>_xlfn.XLOOKUP(CustomerCombinedCleaned[[#This Row],[ID]], Table2[ID],Table2[MC3], "Not Found", 0 )</f>
        <v>0</v>
      </c>
      <c r="AB1710" s="16">
        <f>_xlfn.XLOOKUP(CustomerCombinedCleaned[[#This Row],[ID]], Table2[ID],Table2[MC4], "Not Found", 0 )</f>
        <v>0</v>
      </c>
      <c r="AC1710" s="16">
        <f>_xlfn.XLOOKUP(CustomerCombinedCleaned[[#This Row],[ID]], Table2[ID],Table2[MC5], "Not Found", 0 )</f>
        <v>0</v>
      </c>
    </row>
    <row r="1711" spans="1:29" x14ac:dyDescent="0.3">
      <c r="A1711" s="18">
        <v>2400</v>
      </c>
      <c r="B1711" s="16">
        <v>118690</v>
      </c>
      <c r="C1711" s="16">
        <v>0</v>
      </c>
      <c r="D1711" s="16">
        <v>0</v>
      </c>
      <c r="E1711" s="16">
        <v>61</v>
      </c>
      <c r="F1711" s="17" t="s">
        <v>6</v>
      </c>
      <c r="G1711" s="17" t="s">
        <v>11</v>
      </c>
      <c r="H1711" s="3" t="s">
        <v>746</v>
      </c>
      <c r="I1711" s="5" t="s">
        <v>436</v>
      </c>
      <c r="J1711" s="16">
        <f>_xlfn.XLOOKUP(CustomerCombinedCleaned[[#This Row],[ID]], Table4[ID], Table4[Recency], "Not Found", 0)</f>
        <v>77</v>
      </c>
      <c r="K1711" s="16">
        <f>_xlfn.XLOOKUP(CustomerCombinedCleaned[[#This Row],[ID]], Table4[ID], Table4[Teas], "Not Found", 0)</f>
        <v>38</v>
      </c>
      <c r="L1711" s="16">
        <f>_xlfn.XLOOKUP(CustomerCombinedCleaned[[#This Row],[ID]], Table4[ID], Table4[Fruits], "Not Found", 0)</f>
        <v>6</v>
      </c>
      <c r="M1711" s="16">
        <f>_xlfn.XLOOKUP(CustomerCombinedCleaned[[#This Row],[ID]], Table4[ID], Table4[Meats], "Not Found", 0)</f>
        <v>44</v>
      </c>
      <c r="N1711" s="16">
        <f>_xlfn.XLOOKUP(CustomerCombinedCleaned[[#This Row],[ID]], Table4[ID], Table4[Seafood], "Not Found", 0)</f>
        <v>146</v>
      </c>
      <c r="O1711" s="16">
        <f>_xlfn.XLOOKUP(CustomerCombinedCleaned[[#This Row],[ID]], Table4[ID], Table4[Sweets], "Not Found", 0)</f>
        <v>25</v>
      </c>
      <c r="P1711" s="16">
        <f>_xlfn.XLOOKUP(CustomerCombinedCleaned[[#This Row],[ID]], Table4[ID], Table4[Premium], "Not Found", 0)</f>
        <v>121</v>
      </c>
      <c r="Q1711" s="16">
        <f>_xlfn.XLOOKUP(CustomerCombinedCleaned[[#This Row],[ID]], Table4[ID], Table4[Regular], "Not Found", 0)</f>
        <v>140</v>
      </c>
      <c r="R1711" s="16">
        <f>_xlfn.XLOOKUP(CustomerCombinedCleaned[[#This Row],[ID]], Table4[ID], Table4[Deals], "Not Found", 0)</f>
        <v>1</v>
      </c>
      <c r="S1711" s="16">
        <f>_xlfn.XLOOKUP(CustomerCombinedCleaned[[#This Row],[ID]], Table4[ID], Table4[Website], "Not Found", 0)</f>
        <v>1</v>
      </c>
      <c r="T1711" s="16">
        <f>_xlfn.XLOOKUP(CustomerCombinedCleaned[[#This Row],[ID]], Table4[ID], Table4[Catalog], "Not Found", 0)</f>
        <v>1</v>
      </c>
      <c r="U1711" s="16">
        <f>_xlfn.XLOOKUP(CustomerCombinedCleaned[[#This Row],[ID]], Table4[ID], Table4[Store], "Not Found", 0)</f>
        <v>2</v>
      </c>
      <c r="V1711" s="16">
        <f>_xlfn.XLOOKUP(CustomerCombinedCleaned[[#This Row],[ID]], Table4[ID], Table4[Visits], "Not Found", 0)</f>
        <v>8</v>
      </c>
      <c r="W1711" s="16">
        <f>_xlfn.XLOOKUP(CustomerCombinedCleaned[[#This Row],[ID]], Table2[ID],Table2[Complaint], "Not Found", 0 )</f>
        <v>0</v>
      </c>
      <c r="X1711" s="16">
        <f>_xlfn.XLOOKUP(CustomerCombinedCleaned[[#This Row],[ID]], Table2[ID],Table2[Pilot], "Not Found", 0 )</f>
        <v>0</v>
      </c>
      <c r="Y1711" s="16">
        <f>_xlfn.XLOOKUP(CustomerCombinedCleaned[[#This Row],[ID]], Table2[ID],Table2[MC1], "Not Found", 0 )</f>
        <v>0</v>
      </c>
      <c r="Z1711" s="16">
        <f>_xlfn.XLOOKUP(CustomerCombinedCleaned[[#This Row],[ID]], Table2[ID],Table2[MC2], "Not Found", 0 )</f>
        <v>0</v>
      </c>
      <c r="AA1711" s="16">
        <f>_xlfn.XLOOKUP(CustomerCombinedCleaned[[#This Row],[ID]], Table2[ID],Table2[MC3], "Not Found", 0 )</f>
        <v>0</v>
      </c>
      <c r="AB1711" s="16">
        <f>_xlfn.XLOOKUP(CustomerCombinedCleaned[[#This Row],[ID]], Table2[ID],Table2[MC4], "Not Found", 0 )</f>
        <v>0</v>
      </c>
      <c r="AC1711" s="16">
        <f>_xlfn.XLOOKUP(CustomerCombinedCleaned[[#This Row],[ID]], Table2[ID],Table2[MC5], "Not Found", 0 )</f>
        <v>0</v>
      </c>
    </row>
    <row r="1712" spans="1:29" x14ac:dyDescent="0.3">
      <c r="A1712" s="18">
        <v>2706</v>
      </c>
      <c r="B1712" s="16">
        <v>118690</v>
      </c>
      <c r="C1712" s="16">
        <v>0</v>
      </c>
      <c r="D1712" s="16">
        <v>0</v>
      </c>
      <c r="E1712" s="16">
        <v>61</v>
      </c>
      <c r="F1712" s="17" t="s">
        <v>6</v>
      </c>
      <c r="G1712" s="17" t="s">
        <v>11</v>
      </c>
      <c r="H1712" s="3" t="s">
        <v>746</v>
      </c>
      <c r="I1712" s="5" t="s">
        <v>436</v>
      </c>
      <c r="J1712" s="16">
        <f>_xlfn.XLOOKUP(CustomerCombinedCleaned[[#This Row],[ID]], Table4[ID], Table4[Recency], "Not Found", 0)</f>
        <v>77</v>
      </c>
      <c r="K1712" s="16">
        <f>_xlfn.XLOOKUP(CustomerCombinedCleaned[[#This Row],[ID]], Table4[ID], Table4[Teas], "Not Found", 0)</f>
        <v>38</v>
      </c>
      <c r="L1712" s="16">
        <f>_xlfn.XLOOKUP(CustomerCombinedCleaned[[#This Row],[ID]], Table4[ID], Table4[Fruits], "Not Found", 0)</f>
        <v>6</v>
      </c>
      <c r="M1712" s="16">
        <f>_xlfn.XLOOKUP(CustomerCombinedCleaned[[#This Row],[ID]], Table4[ID], Table4[Meats], "Not Found", 0)</f>
        <v>44</v>
      </c>
      <c r="N1712" s="16">
        <f>_xlfn.XLOOKUP(CustomerCombinedCleaned[[#This Row],[ID]], Table4[ID], Table4[Seafood], "Not Found", 0)</f>
        <v>146</v>
      </c>
      <c r="O1712" s="16">
        <f>_xlfn.XLOOKUP(CustomerCombinedCleaned[[#This Row],[ID]], Table4[ID], Table4[Sweets], "Not Found", 0)</f>
        <v>25</v>
      </c>
      <c r="P1712" s="16">
        <f>_xlfn.XLOOKUP(CustomerCombinedCleaned[[#This Row],[ID]], Table4[ID], Table4[Premium], "Not Found", 0)</f>
        <v>121</v>
      </c>
      <c r="Q1712" s="16">
        <f>_xlfn.XLOOKUP(CustomerCombinedCleaned[[#This Row],[ID]], Table4[ID], Table4[Regular], "Not Found", 0)</f>
        <v>140</v>
      </c>
      <c r="R1712" s="16">
        <f>_xlfn.XLOOKUP(CustomerCombinedCleaned[[#This Row],[ID]], Table4[ID], Table4[Deals], "Not Found", 0)</f>
        <v>1</v>
      </c>
      <c r="S1712" s="16">
        <f>_xlfn.XLOOKUP(CustomerCombinedCleaned[[#This Row],[ID]], Table4[ID], Table4[Website], "Not Found", 0)</f>
        <v>1</v>
      </c>
      <c r="T1712" s="16">
        <f>_xlfn.XLOOKUP(CustomerCombinedCleaned[[#This Row],[ID]], Table4[ID], Table4[Catalog], "Not Found", 0)</f>
        <v>1</v>
      </c>
      <c r="U1712" s="16">
        <f>_xlfn.XLOOKUP(CustomerCombinedCleaned[[#This Row],[ID]], Table4[ID], Table4[Store], "Not Found", 0)</f>
        <v>2</v>
      </c>
      <c r="V1712" s="16">
        <f>_xlfn.XLOOKUP(CustomerCombinedCleaned[[#This Row],[ID]], Table4[ID], Table4[Visits], "Not Found", 0)</f>
        <v>8</v>
      </c>
      <c r="W1712" s="16">
        <f>_xlfn.XLOOKUP(CustomerCombinedCleaned[[#This Row],[ID]], Table2[ID],Table2[Complaint], "Not Found", 0 )</f>
        <v>0</v>
      </c>
      <c r="X1712" s="16">
        <f>_xlfn.XLOOKUP(CustomerCombinedCleaned[[#This Row],[ID]], Table2[ID],Table2[Pilot], "Not Found", 0 )</f>
        <v>0</v>
      </c>
      <c r="Y1712" s="16">
        <f>_xlfn.XLOOKUP(CustomerCombinedCleaned[[#This Row],[ID]], Table2[ID],Table2[MC1], "Not Found", 0 )</f>
        <v>0</v>
      </c>
      <c r="Z1712" s="16">
        <f>_xlfn.XLOOKUP(CustomerCombinedCleaned[[#This Row],[ID]], Table2[ID],Table2[MC2], "Not Found", 0 )</f>
        <v>0</v>
      </c>
      <c r="AA1712" s="16">
        <f>_xlfn.XLOOKUP(CustomerCombinedCleaned[[#This Row],[ID]], Table2[ID],Table2[MC3], "Not Found", 0 )</f>
        <v>0</v>
      </c>
      <c r="AB1712" s="16">
        <f>_xlfn.XLOOKUP(CustomerCombinedCleaned[[#This Row],[ID]], Table2[ID],Table2[MC4], "Not Found", 0 )</f>
        <v>0</v>
      </c>
      <c r="AC1712" s="16">
        <f>_xlfn.XLOOKUP(CustomerCombinedCleaned[[#This Row],[ID]], Table2[ID],Table2[MC5], "Not Found", 0 )</f>
        <v>0</v>
      </c>
    </row>
    <row r="1713" spans="1:29" x14ac:dyDescent="0.3">
      <c r="A1713" s="18">
        <v>2968</v>
      </c>
      <c r="B1713" s="16">
        <v>194472</v>
      </c>
      <c r="C1713" s="16">
        <v>0</v>
      </c>
      <c r="D1713" s="16">
        <v>1</v>
      </c>
      <c r="E1713" s="16">
        <v>62</v>
      </c>
      <c r="F1713" s="17" t="s">
        <v>7</v>
      </c>
      <c r="G1713" s="17" t="s">
        <v>11</v>
      </c>
      <c r="H1713" s="3" t="s">
        <v>543</v>
      </c>
      <c r="I1713" s="5" t="s">
        <v>439</v>
      </c>
      <c r="J1713" s="16">
        <f>_xlfn.XLOOKUP(CustomerCombinedCleaned[[#This Row],[ID]], Table4[ID], Table4[Recency], "Not Found", 0)</f>
        <v>75</v>
      </c>
      <c r="K1713" s="16">
        <f>_xlfn.XLOOKUP(CustomerCombinedCleaned[[#This Row],[ID]], Table4[ID], Table4[Teas], "Not Found", 0)</f>
        <v>2094</v>
      </c>
      <c r="L1713" s="16">
        <f>_xlfn.XLOOKUP(CustomerCombinedCleaned[[#This Row],[ID]], Table4[ID], Table4[Fruits], "Not Found", 0)</f>
        <v>68</v>
      </c>
      <c r="M1713" s="16">
        <f>_xlfn.XLOOKUP(CustomerCombinedCleaned[[#This Row],[ID]], Table4[ID], Table4[Meats], "Not Found", 0)</f>
        <v>858</v>
      </c>
      <c r="N1713" s="16">
        <f>_xlfn.XLOOKUP(CustomerCombinedCleaned[[#This Row],[ID]], Table4[ID], Table4[Seafood], "Not Found", 0)</f>
        <v>222</v>
      </c>
      <c r="O1713" s="16">
        <f>_xlfn.XLOOKUP(CustomerCombinedCleaned[[#This Row],[ID]], Table4[ID], Table4[Sweets], "Not Found", 0)</f>
        <v>206</v>
      </c>
      <c r="P1713" s="16">
        <f>_xlfn.XLOOKUP(CustomerCombinedCleaned[[#This Row],[ID]], Table4[ID], Table4[Premium], "Not Found", 0)</f>
        <v>33</v>
      </c>
      <c r="Q1713" s="16">
        <f>_xlfn.XLOOKUP(CustomerCombinedCleaned[[#This Row],[ID]], Table4[ID], Table4[Regular], "Not Found", 0)</f>
        <v>3415</v>
      </c>
      <c r="R1713" s="16">
        <f>_xlfn.XLOOKUP(CustomerCombinedCleaned[[#This Row],[ID]], Table4[ID], Table4[Deals], "Not Found", 0)</f>
        <v>1</v>
      </c>
      <c r="S1713" s="16">
        <f>_xlfn.XLOOKUP(CustomerCombinedCleaned[[#This Row],[ID]], Table4[ID], Table4[Website], "Not Found", 0)</f>
        <v>5</v>
      </c>
      <c r="T1713" s="16">
        <f>_xlfn.XLOOKUP(CustomerCombinedCleaned[[#This Row],[ID]], Table4[ID], Table4[Catalog], "Not Found", 0)</f>
        <v>5</v>
      </c>
      <c r="U1713" s="16">
        <f>_xlfn.XLOOKUP(CustomerCombinedCleaned[[#This Row],[ID]], Table4[ID], Table4[Store], "Not Found", 0)</f>
        <v>5</v>
      </c>
      <c r="V1713" s="16">
        <f>_xlfn.XLOOKUP(CustomerCombinedCleaned[[#This Row],[ID]], Table4[ID], Table4[Visits], "Not Found", 0)</f>
        <v>5</v>
      </c>
      <c r="W1713" s="16">
        <f>_xlfn.XLOOKUP(CustomerCombinedCleaned[[#This Row],[ID]], Table2[ID],Table2[Complaint], "Not Found", 0 )</f>
        <v>0</v>
      </c>
      <c r="X1713" s="16">
        <f>_xlfn.XLOOKUP(CustomerCombinedCleaned[[#This Row],[ID]], Table2[ID],Table2[Pilot], "Not Found", 0 )</f>
        <v>0</v>
      </c>
      <c r="Y1713" s="16">
        <f>_xlfn.XLOOKUP(CustomerCombinedCleaned[[#This Row],[ID]], Table2[ID],Table2[MC1], "Not Found", 0 )</f>
        <v>0</v>
      </c>
      <c r="Z1713" s="16">
        <f>_xlfn.XLOOKUP(CustomerCombinedCleaned[[#This Row],[ID]], Table2[ID],Table2[MC2], "Not Found", 0 )</f>
        <v>0</v>
      </c>
      <c r="AA1713" s="16">
        <f>_xlfn.XLOOKUP(CustomerCombinedCleaned[[#This Row],[ID]], Table2[ID],Table2[MC3], "Not Found", 0 )</f>
        <v>0</v>
      </c>
      <c r="AB1713" s="16">
        <f>_xlfn.XLOOKUP(CustomerCombinedCleaned[[#This Row],[ID]], Table2[ID],Table2[MC4], "Not Found", 0 )</f>
        <v>1</v>
      </c>
      <c r="AC1713" s="16">
        <f>_xlfn.XLOOKUP(CustomerCombinedCleaned[[#This Row],[ID]], Table2[ID],Table2[MC5], "Not Found", 0 )</f>
        <v>1</v>
      </c>
    </row>
    <row r="1714" spans="1:29" x14ac:dyDescent="0.3">
      <c r="A1714" s="18">
        <v>2250</v>
      </c>
      <c r="B1714" s="16">
        <v>185485</v>
      </c>
      <c r="C1714" s="16">
        <v>0</v>
      </c>
      <c r="D1714" s="16">
        <v>0</v>
      </c>
      <c r="E1714" s="16">
        <v>62</v>
      </c>
      <c r="F1714" s="17" t="s">
        <v>7</v>
      </c>
      <c r="G1714" s="17" t="s">
        <v>11</v>
      </c>
      <c r="H1714" s="3" t="s">
        <v>28</v>
      </c>
      <c r="I1714" s="5" t="s">
        <v>436</v>
      </c>
      <c r="J1714" s="16">
        <f>_xlfn.XLOOKUP(CustomerCombinedCleaned[[#This Row],[ID]], Table4[ID], Table4[Recency], "Not Found", 0)</f>
        <v>73</v>
      </c>
      <c r="K1714" s="16">
        <f>_xlfn.XLOOKUP(CustomerCombinedCleaned[[#This Row],[ID]], Table4[ID], Table4[Teas], "Not Found", 0)</f>
        <v>1367</v>
      </c>
      <c r="L1714" s="16">
        <f>_xlfn.XLOOKUP(CustomerCombinedCleaned[[#This Row],[ID]], Table4[ID], Table4[Fruits], "Not Found", 0)</f>
        <v>56</v>
      </c>
      <c r="M1714" s="16">
        <f>_xlfn.XLOOKUP(CustomerCombinedCleaned[[#This Row],[ID]], Table4[ID], Table4[Meats], "Not Found", 0)</f>
        <v>1326</v>
      </c>
      <c r="N1714" s="16">
        <f>_xlfn.XLOOKUP(CustomerCombinedCleaned[[#This Row],[ID]], Table4[ID], Table4[Seafood], "Not Found", 0)</f>
        <v>95</v>
      </c>
      <c r="O1714" s="16">
        <f>_xlfn.XLOOKUP(CustomerCombinedCleaned[[#This Row],[ID]], Table4[ID], Table4[Sweets], "Not Found", 0)</f>
        <v>39</v>
      </c>
      <c r="P1714" s="16">
        <f>_xlfn.XLOOKUP(CustomerCombinedCleaned[[#This Row],[ID]], Table4[ID], Table4[Premium], "Not Found", 0)</f>
        <v>117</v>
      </c>
      <c r="Q1714" s="16">
        <f>_xlfn.XLOOKUP(CustomerCombinedCleaned[[#This Row],[ID]], Table4[ID], Table4[Regular], "Not Found", 0)</f>
        <v>2766</v>
      </c>
      <c r="R1714" s="16">
        <f>_xlfn.XLOOKUP(CustomerCombinedCleaned[[#This Row],[ID]], Table4[ID], Table4[Deals], "Not Found", 0)</f>
        <v>1</v>
      </c>
      <c r="S1714" s="16">
        <f>_xlfn.XLOOKUP(CustomerCombinedCleaned[[#This Row],[ID]], Table4[ID], Table4[Website], "Not Found", 0)</f>
        <v>6</v>
      </c>
      <c r="T1714" s="16">
        <f>_xlfn.XLOOKUP(CustomerCombinedCleaned[[#This Row],[ID]], Table4[ID], Table4[Catalog], "Not Found", 0)</f>
        <v>6</v>
      </c>
      <c r="U1714" s="16">
        <f>_xlfn.XLOOKUP(CustomerCombinedCleaned[[#This Row],[ID]], Table4[ID], Table4[Store], "Not Found", 0)</f>
        <v>6</v>
      </c>
      <c r="V1714" s="16">
        <f>_xlfn.XLOOKUP(CustomerCombinedCleaned[[#This Row],[ID]], Table4[ID], Table4[Visits], "Not Found", 0)</f>
        <v>2</v>
      </c>
      <c r="W1714" s="16">
        <f>_xlfn.XLOOKUP(CustomerCombinedCleaned[[#This Row],[ID]], Table2[ID],Table2[Complaint], "Not Found", 0 )</f>
        <v>0</v>
      </c>
      <c r="X1714" s="16">
        <f>_xlfn.XLOOKUP(CustomerCombinedCleaned[[#This Row],[ID]], Table2[ID],Table2[Pilot], "Not Found", 0 )</f>
        <v>0</v>
      </c>
      <c r="Y1714" s="16">
        <f>_xlfn.XLOOKUP(CustomerCombinedCleaned[[#This Row],[ID]], Table2[ID],Table2[MC1], "Not Found", 0 )</f>
        <v>0</v>
      </c>
      <c r="Z1714" s="16">
        <f>_xlfn.XLOOKUP(CustomerCombinedCleaned[[#This Row],[ID]], Table2[ID],Table2[MC2], "Not Found", 0 )</f>
        <v>0</v>
      </c>
      <c r="AA1714" s="16">
        <f>_xlfn.XLOOKUP(CustomerCombinedCleaned[[#This Row],[ID]], Table2[ID],Table2[MC3], "Not Found", 0 )</f>
        <v>0</v>
      </c>
      <c r="AB1714" s="16">
        <f>_xlfn.XLOOKUP(CustomerCombinedCleaned[[#This Row],[ID]], Table2[ID],Table2[MC4], "Not Found", 0 )</f>
        <v>0</v>
      </c>
      <c r="AC1714" s="16">
        <f>_xlfn.XLOOKUP(CustomerCombinedCleaned[[#This Row],[ID]], Table2[ID],Table2[MC5], "Not Found", 0 )</f>
        <v>0</v>
      </c>
    </row>
    <row r="1715" spans="1:29" x14ac:dyDescent="0.3">
      <c r="A1715" s="18">
        <v>2068</v>
      </c>
      <c r="B1715" s="16">
        <v>184460</v>
      </c>
      <c r="C1715" s="16">
        <v>0</v>
      </c>
      <c r="D1715" s="16">
        <v>0</v>
      </c>
      <c r="E1715" s="16">
        <v>62</v>
      </c>
      <c r="F1715" s="17" t="s">
        <v>8</v>
      </c>
      <c r="G1715" s="17" t="s">
        <v>13</v>
      </c>
      <c r="H1715" s="3" t="s">
        <v>570</v>
      </c>
      <c r="I1715" s="5" t="s">
        <v>439</v>
      </c>
      <c r="J1715" s="16">
        <f>_xlfn.XLOOKUP(CustomerCombinedCleaned[[#This Row],[ID]], Table4[ID], Table4[Recency], "Not Found", 0)</f>
        <v>80</v>
      </c>
      <c r="K1715" s="16">
        <f>_xlfn.XLOOKUP(CustomerCombinedCleaned[[#This Row],[ID]], Table4[ID], Table4[Teas], "Not Found", 0)</f>
        <v>332</v>
      </c>
      <c r="L1715" s="16">
        <f>_xlfn.XLOOKUP(CustomerCombinedCleaned[[#This Row],[ID]], Table4[ID], Table4[Fruits], "Not Found", 0)</f>
        <v>59</v>
      </c>
      <c r="M1715" s="16">
        <f>_xlfn.XLOOKUP(CustomerCombinedCleaned[[#This Row],[ID]], Table4[ID], Table4[Meats], "Not Found", 0)</f>
        <v>225</v>
      </c>
      <c r="N1715" s="16">
        <f>_xlfn.XLOOKUP(CustomerCombinedCleaned[[#This Row],[ID]], Table4[ID], Table4[Seafood], "Not Found", 0)</f>
        <v>232</v>
      </c>
      <c r="O1715" s="16">
        <f>_xlfn.XLOOKUP(CustomerCombinedCleaned[[#This Row],[ID]], Table4[ID], Table4[Sweets], "Not Found", 0)</f>
        <v>118</v>
      </c>
      <c r="P1715" s="16">
        <f>_xlfn.XLOOKUP(CustomerCombinedCleaned[[#This Row],[ID]], Table4[ID], Table4[Premium], "Not Found", 0)</f>
        <v>177</v>
      </c>
      <c r="Q1715" s="16">
        <f>_xlfn.XLOOKUP(CustomerCombinedCleaned[[#This Row],[ID]], Table4[ID], Table4[Regular], "Not Found", 0)</f>
        <v>788</v>
      </c>
      <c r="R1715" s="16">
        <f>_xlfn.XLOOKUP(CustomerCombinedCleaned[[#This Row],[ID]], Table4[ID], Table4[Deals], "Not Found", 0)</f>
        <v>0</v>
      </c>
      <c r="S1715" s="16">
        <f>_xlfn.XLOOKUP(CustomerCombinedCleaned[[#This Row],[ID]], Table4[ID], Table4[Website], "Not Found", 0)</f>
        <v>9</v>
      </c>
      <c r="T1715" s="16">
        <f>_xlfn.XLOOKUP(CustomerCombinedCleaned[[#This Row],[ID]], Table4[ID], Table4[Catalog], "Not Found", 0)</f>
        <v>9</v>
      </c>
      <c r="U1715" s="16">
        <f>_xlfn.XLOOKUP(CustomerCombinedCleaned[[#This Row],[ID]], Table4[ID], Table4[Store], "Not Found", 0)</f>
        <v>4</v>
      </c>
      <c r="V1715" s="16">
        <f>_xlfn.XLOOKUP(CustomerCombinedCleaned[[#This Row],[ID]], Table4[ID], Table4[Visits], "Not Found", 0)</f>
        <v>5</v>
      </c>
      <c r="W1715" s="16">
        <f>_xlfn.XLOOKUP(CustomerCombinedCleaned[[#This Row],[ID]], Table2[ID],Table2[Complaint], "Not Found", 0 )</f>
        <v>0</v>
      </c>
      <c r="X1715" s="16">
        <f>_xlfn.XLOOKUP(CustomerCombinedCleaned[[#This Row],[ID]], Table2[ID],Table2[Pilot], "Not Found", 0 )</f>
        <v>1</v>
      </c>
      <c r="Y1715" s="16">
        <f>_xlfn.XLOOKUP(CustomerCombinedCleaned[[#This Row],[ID]], Table2[ID],Table2[MC1], "Not Found", 0 )</f>
        <v>1</v>
      </c>
      <c r="Z1715" s="16">
        <f>_xlfn.XLOOKUP(CustomerCombinedCleaned[[#This Row],[ID]], Table2[ID],Table2[MC2], "Not Found", 0 )</f>
        <v>1</v>
      </c>
      <c r="AA1715" s="16">
        <f>_xlfn.XLOOKUP(CustomerCombinedCleaned[[#This Row],[ID]], Table2[ID],Table2[MC3], "Not Found", 0 )</f>
        <v>0</v>
      </c>
      <c r="AB1715" s="16">
        <f>_xlfn.XLOOKUP(CustomerCombinedCleaned[[#This Row],[ID]], Table2[ID],Table2[MC4], "Not Found", 0 )</f>
        <v>1</v>
      </c>
      <c r="AC1715" s="16">
        <f>_xlfn.XLOOKUP(CustomerCombinedCleaned[[#This Row],[ID]], Table2[ID],Table2[MC5], "Not Found", 0 )</f>
        <v>1</v>
      </c>
    </row>
    <row r="1716" spans="1:29" x14ac:dyDescent="0.3">
      <c r="A1716" s="18">
        <v>1881</v>
      </c>
      <c r="B1716" s="16">
        <v>181320</v>
      </c>
      <c r="C1716" s="16">
        <v>0</v>
      </c>
      <c r="D1716" s="16">
        <v>0</v>
      </c>
      <c r="E1716" s="16">
        <v>62</v>
      </c>
      <c r="F1716" s="17" t="s">
        <v>6</v>
      </c>
      <c r="G1716" s="17" t="s">
        <v>11</v>
      </c>
      <c r="H1716" s="3" t="s">
        <v>317</v>
      </c>
      <c r="I1716" s="5" t="s">
        <v>435</v>
      </c>
      <c r="J1716" s="16">
        <f>_xlfn.XLOOKUP(CustomerCombinedCleaned[[#This Row],[ID]], Table4[ID], Table4[Recency], "Not Found", 0)</f>
        <v>61</v>
      </c>
      <c r="K1716" s="16">
        <f>_xlfn.XLOOKUP(CustomerCombinedCleaned[[#This Row],[ID]], Table4[ID], Table4[Teas], "Not Found", 0)</f>
        <v>408</v>
      </c>
      <c r="L1716" s="16">
        <f>_xlfn.XLOOKUP(CustomerCombinedCleaned[[#This Row],[ID]], Table4[ID], Table4[Fruits], "Not Found", 0)</f>
        <v>74</v>
      </c>
      <c r="M1716" s="16">
        <f>_xlfn.XLOOKUP(CustomerCombinedCleaned[[#This Row],[ID]], Table4[ID], Table4[Meats], "Not Found", 0)</f>
        <v>1099</v>
      </c>
      <c r="N1716" s="16">
        <f>_xlfn.XLOOKUP(CustomerCombinedCleaned[[#This Row],[ID]], Table4[ID], Table4[Seafood], "Not Found", 0)</f>
        <v>132</v>
      </c>
      <c r="O1716" s="16">
        <f>_xlfn.XLOOKUP(CustomerCombinedCleaned[[#This Row],[ID]], Table4[ID], Table4[Sweets], "Not Found", 0)</f>
        <v>230</v>
      </c>
      <c r="P1716" s="16">
        <f>_xlfn.XLOOKUP(CustomerCombinedCleaned[[#This Row],[ID]], Table4[ID], Table4[Premium], "Not Found", 0)</f>
        <v>127</v>
      </c>
      <c r="Q1716" s="16">
        <f>_xlfn.XLOOKUP(CustomerCombinedCleaned[[#This Row],[ID]], Table4[ID], Table4[Regular], "Not Found", 0)</f>
        <v>1815</v>
      </c>
      <c r="R1716" s="16">
        <f>_xlfn.XLOOKUP(CustomerCombinedCleaned[[#This Row],[ID]], Table4[ID], Table4[Deals], "Not Found", 0)</f>
        <v>1</v>
      </c>
      <c r="S1716" s="16">
        <f>_xlfn.XLOOKUP(CustomerCombinedCleaned[[#This Row],[ID]], Table4[ID], Table4[Website], "Not Found", 0)</f>
        <v>4</v>
      </c>
      <c r="T1716" s="16">
        <f>_xlfn.XLOOKUP(CustomerCombinedCleaned[[#This Row],[ID]], Table4[ID], Table4[Catalog], "Not Found", 0)</f>
        <v>3</v>
      </c>
      <c r="U1716" s="16">
        <f>_xlfn.XLOOKUP(CustomerCombinedCleaned[[#This Row],[ID]], Table4[ID], Table4[Store], "Not Found", 0)</f>
        <v>10</v>
      </c>
      <c r="V1716" s="16">
        <f>_xlfn.XLOOKUP(CustomerCombinedCleaned[[#This Row],[ID]], Table4[ID], Table4[Visits], "Not Found", 0)</f>
        <v>2</v>
      </c>
      <c r="W1716" s="16">
        <f>_xlfn.XLOOKUP(CustomerCombinedCleaned[[#This Row],[ID]], Table2[ID],Table2[Complaint], "Not Found", 0 )</f>
        <v>0</v>
      </c>
      <c r="X1716" s="16">
        <f>_xlfn.XLOOKUP(CustomerCombinedCleaned[[#This Row],[ID]], Table2[ID],Table2[Pilot], "Not Found", 0 )</f>
        <v>0</v>
      </c>
      <c r="Y1716" s="16">
        <f>_xlfn.XLOOKUP(CustomerCombinedCleaned[[#This Row],[ID]], Table2[ID],Table2[MC1], "Not Found", 0 )</f>
        <v>0</v>
      </c>
      <c r="Z1716" s="16">
        <f>_xlfn.XLOOKUP(CustomerCombinedCleaned[[#This Row],[ID]], Table2[ID],Table2[MC2], "Not Found", 0 )</f>
        <v>0</v>
      </c>
      <c r="AA1716" s="16">
        <f>_xlfn.XLOOKUP(CustomerCombinedCleaned[[#This Row],[ID]], Table2[ID],Table2[MC3], "Not Found", 0 )</f>
        <v>0</v>
      </c>
      <c r="AB1716" s="16">
        <f>_xlfn.XLOOKUP(CustomerCombinedCleaned[[#This Row],[ID]], Table2[ID],Table2[MC4], "Not Found", 0 )</f>
        <v>0</v>
      </c>
      <c r="AC1716" s="16">
        <f>_xlfn.XLOOKUP(CustomerCombinedCleaned[[#This Row],[ID]], Table2[ID],Table2[MC5], "Not Found", 0 )</f>
        <v>0</v>
      </c>
    </row>
    <row r="1717" spans="1:29" x14ac:dyDescent="0.3">
      <c r="A1717" s="18">
        <v>1809</v>
      </c>
      <c r="B1717" s="16">
        <v>180995</v>
      </c>
      <c r="C1717" s="16">
        <v>0</v>
      </c>
      <c r="D1717" s="16">
        <v>1</v>
      </c>
      <c r="E1717" s="16">
        <v>62</v>
      </c>
      <c r="F1717" s="17" t="s">
        <v>9</v>
      </c>
      <c r="G1717" s="17" t="s">
        <v>13</v>
      </c>
      <c r="H1717" s="3" t="s">
        <v>260</v>
      </c>
      <c r="I1717" s="5" t="s">
        <v>435</v>
      </c>
      <c r="J1717" s="16">
        <f>_xlfn.XLOOKUP(CustomerCombinedCleaned[[#This Row],[ID]], Table4[ID], Table4[Recency], "Not Found", 0)</f>
        <v>83</v>
      </c>
      <c r="K1717" s="16">
        <f>_xlfn.XLOOKUP(CustomerCombinedCleaned[[#This Row],[ID]], Table4[ID], Table4[Teas], "Not Found", 0)</f>
        <v>1922</v>
      </c>
      <c r="L1717" s="16">
        <f>_xlfn.XLOOKUP(CustomerCombinedCleaned[[#This Row],[ID]], Table4[ID], Table4[Fruits], "Not Found", 0)</f>
        <v>63</v>
      </c>
      <c r="M1717" s="16">
        <f>_xlfn.XLOOKUP(CustomerCombinedCleaned[[#This Row],[ID]], Table4[ID], Table4[Meats], "Not Found", 0)</f>
        <v>914</v>
      </c>
      <c r="N1717" s="16">
        <f>_xlfn.XLOOKUP(CustomerCombinedCleaned[[#This Row],[ID]], Table4[ID], Table4[Seafood], "Not Found", 0)</f>
        <v>163</v>
      </c>
      <c r="O1717" s="16">
        <f>_xlfn.XLOOKUP(CustomerCombinedCleaned[[#This Row],[ID]], Table4[ID], Table4[Sweets], "Not Found", 0)</f>
        <v>125</v>
      </c>
      <c r="P1717" s="16">
        <f>_xlfn.XLOOKUP(CustomerCombinedCleaned[[#This Row],[ID]], Table4[ID], Table4[Premium], "Not Found", 0)</f>
        <v>125</v>
      </c>
      <c r="Q1717" s="16">
        <f>_xlfn.XLOOKUP(CustomerCombinedCleaned[[#This Row],[ID]], Table4[ID], Table4[Regular], "Not Found", 0)</f>
        <v>3061</v>
      </c>
      <c r="R1717" s="16">
        <f>_xlfn.XLOOKUP(CustomerCombinedCleaned[[#This Row],[ID]], Table4[ID], Table4[Deals], "Not Found", 0)</f>
        <v>1</v>
      </c>
      <c r="S1717" s="16">
        <f>_xlfn.XLOOKUP(CustomerCombinedCleaned[[#This Row],[ID]], Table4[ID], Table4[Website], "Not Found", 0)</f>
        <v>8</v>
      </c>
      <c r="T1717" s="16">
        <f>_xlfn.XLOOKUP(CustomerCombinedCleaned[[#This Row],[ID]], Table4[ID], Table4[Catalog], "Not Found", 0)</f>
        <v>9</v>
      </c>
      <c r="U1717" s="16">
        <f>_xlfn.XLOOKUP(CustomerCombinedCleaned[[#This Row],[ID]], Table4[ID], Table4[Store], "Not Found", 0)</f>
        <v>4</v>
      </c>
      <c r="V1717" s="16">
        <f>_xlfn.XLOOKUP(CustomerCombinedCleaned[[#This Row],[ID]], Table4[ID], Table4[Visits], "Not Found", 0)</f>
        <v>4</v>
      </c>
      <c r="W1717" s="16">
        <f>_xlfn.XLOOKUP(CustomerCombinedCleaned[[#This Row],[ID]], Table2[ID],Table2[Complaint], "Not Found", 0 )</f>
        <v>0</v>
      </c>
      <c r="X1717" s="16">
        <f>_xlfn.XLOOKUP(CustomerCombinedCleaned[[#This Row],[ID]], Table2[ID],Table2[Pilot], "Not Found", 0 )</f>
        <v>0</v>
      </c>
      <c r="Y1717" s="16">
        <f>_xlfn.XLOOKUP(CustomerCombinedCleaned[[#This Row],[ID]], Table2[ID],Table2[MC1], "Not Found", 0 )</f>
        <v>0</v>
      </c>
      <c r="Z1717" s="16">
        <f>_xlfn.XLOOKUP(CustomerCombinedCleaned[[#This Row],[ID]], Table2[ID],Table2[MC2], "Not Found", 0 )</f>
        <v>0</v>
      </c>
      <c r="AA1717" s="16">
        <f>_xlfn.XLOOKUP(CustomerCombinedCleaned[[#This Row],[ID]], Table2[ID],Table2[MC3], "Not Found", 0 )</f>
        <v>0</v>
      </c>
      <c r="AB1717" s="16">
        <f>_xlfn.XLOOKUP(CustomerCombinedCleaned[[#This Row],[ID]], Table2[ID],Table2[MC4], "Not Found", 0 )</f>
        <v>0</v>
      </c>
      <c r="AC1717" s="16">
        <f>_xlfn.XLOOKUP(CustomerCombinedCleaned[[#This Row],[ID]], Table2[ID],Table2[MC5], "Not Found", 0 )</f>
        <v>0</v>
      </c>
    </row>
    <row r="1718" spans="1:29" x14ac:dyDescent="0.3">
      <c r="A1718" s="18">
        <v>2803</v>
      </c>
      <c r="B1718" s="16">
        <v>180739</v>
      </c>
      <c r="C1718" s="16">
        <v>0</v>
      </c>
      <c r="D1718" s="16">
        <v>0</v>
      </c>
      <c r="E1718" s="16">
        <v>62</v>
      </c>
      <c r="F1718" s="17" t="s">
        <v>6</v>
      </c>
      <c r="G1718" s="17" t="s">
        <v>12</v>
      </c>
      <c r="H1718" s="3" t="s">
        <v>248</v>
      </c>
      <c r="I1718" s="5" t="s">
        <v>437</v>
      </c>
      <c r="J1718" s="16">
        <f>_xlfn.XLOOKUP(CustomerCombinedCleaned[[#This Row],[ID]], Table4[ID], Table4[Recency], "Not Found", 0)</f>
        <v>92</v>
      </c>
      <c r="K1718" s="16">
        <f>_xlfn.XLOOKUP(CustomerCombinedCleaned[[#This Row],[ID]], Table4[ID], Table4[Teas], "Not Found", 0)</f>
        <v>1509</v>
      </c>
      <c r="L1718" s="16">
        <f>_xlfn.XLOOKUP(CustomerCombinedCleaned[[#This Row],[ID]], Table4[ID], Table4[Fruits], "Not Found", 0)</f>
        <v>206</v>
      </c>
      <c r="M1718" s="16">
        <f>_xlfn.XLOOKUP(CustomerCombinedCleaned[[#This Row],[ID]], Table4[ID], Table4[Meats], "Not Found", 0)</f>
        <v>1648</v>
      </c>
      <c r="N1718" s="16">
        <f>_xlfn.XLOOKUP(CustomerCombinedCleaned[[#This Row],[ID]], Table4[ID], Table4[Seafood], "Not Found", 0)</f>
        <v>87</v>
      </c>
      <c r="O1718" s="16">
        <f>_xlfn.XLOOKUP(CustomerCombinedCleaned[[#This Row],[ID]], Table4[ID], Table4[Sweets], "Not Found", 0)</f>
        <v>0</v>
      </c>
      <c r="P1718" s="16">
        <f>_xlfn.XLOOKUP(CustomerCombinedCleaned[[#This Row],[ID]], Table4[ID], Table4[Premium], "Not Found", 0)</f>
        <v>206</v>
      </c>
      <c r="Q1718" s="16">
        <f>_xlfn.XLOOKUP(CustomerCombinedCleaned[[#This Row],[ID]], Table4[ID], Table4[Regular], "Not Found", 0)</f>
        <v>3244</v>
      </c>
      <c r="R1718" s="16">
        <f>_xlfn.XLOOKUP(CustomerCombinedCleaned[[#This Row],[ID]], Table4[ID], Table4[Deals], "Not Found", 0)</f>
        <v>1</v>
      </c>
      <c r="S1718" s="16">
        <f>_xlfn.XLOOKUP(CustomerCombinedCleaned[[#This Row],[ID]], Table4[ID], Table4[Website], "Not Found", 0)</f>
        <v>3</v>
      </c>
      <c r="T1718" s="16">
        <f>_xlfn.XLOOKUP(CustomerCombinedCleaned[[#This Row],[ID]], Table4[ID], Table4[Catalog], "Not Found", 0)</f>
        <v>11</v>
      </c>
      <c r="U1718" s="16">
        <f>_xlfn.XLOOKUP(CustomerCombinedCleaned[[#This Row],[ID]], Table4[ID], Table4[Store], "Not Found", 0)</f>
        <v>9</v>
      </c>
      <c r="V1718" s="16">
        <f>_xlfn.XLOOKUP(CustomerCombinedCleaned[[#This Row],[ID]], Table4[ID], Table4[Visits], "Not Found", 0)</f>
        <v>1</v>
      </c>
      <c r="W1718" s="16">
        <f>_xlfn.XLOOKUP(CustomerCombinedCleaned[[#This Row],[ID]], Table2[ID],Table2[Complaint], "Not Found", 0 )</f>
        <v>0</v>
      </c>
      <c r="X1718" s="16">
        <f>_xlfn.XLOOKUP(CustomerCombinedCleaned[[#This Row],[ID]], Table2[ID],Table2[Pilot], "Not Found", 0 )</f>
        <v>0</v>
      </c>
      <c r="Y1718" s="16">
        <f>_xlfn.XLOOKUP(CustomerCombinedCleaned[[#This Row],[ID]], Table2[ID],Table2[MC1], "Not Found", 0 )</f>
        <v>0</v>
      </c>
      <c r="Z1718" s="16">
        <f>_xlfn.XLOOKUP(CustomerCombinedCleaned[[#This Row],[ID]], Table2[ID],Table2[MC2], "Not Found", 0 )</f>
        <v>0</v>
      </c>
      <c r="AA1718" s="16">
        <f>_xlfn.XLOOKUP(CustomerCombinedCleaned[[#This Row],[ID]], Table2[ID],Table2[MC3], "Not Found", 0 )</f>
        <v>0</v>
      </c>
      <c r="AB1718" s="16">
        <f>_xlfn.XLOOKUP(CustomerCombinedCleaned[[#This Row],[ID]], Table2[ID],Table2[MC4], "Not Found", 0 )</f>
        <v>0</v>
      </c>
      <c r="AC1718" s="16">
        <f>_xlfn.XLOOKUP(CustomerCombinedCleaned[[#This Row],[ID]], Table2[ID],Table2[MC5], "Not Found", 0 )</f>
        <v>0</v>
      </c>
    </row>
    <row r="1719" spans="1:29" x14ac:dyDescent="0.3">
      <c r="A1719" s="18">
        <v>2077</v>
      </c>
      <c r="B1719" s="16">
        <v>179803</v>
      </c>
      <c r="C1719" s="16">
        <v>0</v>
      </c>
      <c r="D1719" s="16">
        <v>1</v>
      </c>
      <c r="E1719" s="16">
        <v>62</v>
      </c>
      <c r="F1719" s="17" t="s">
        <v>5</v>
      </c>
      <c r="G1719" s="17" t="s">
        <v>11</v>
      </c>
      <c r="H1719" s="3" t="s">
        <v>607</v>
      </c>
      <c r="I1719" s="5" t="s">
        <v>437</v>
      </c>
      <c r="J1719" s="16">
        <f>_xlfn.XLOOKUP(CustomerCombinedCleaned[[#This Row],[ID]], Table4[ID], Table4[Recency], "Not Found", 0)</f>
        <v>54</v>
      </c>
      <c r="K1719" s="16">
        <f>_xlfn.XLOOKUP(CustomerCombinedCleaned[[#This Row],[ID]], Table4[ID], Table4[Teas], "Not Found", 0)</f>
        <v>1293</v>
      </c>
      <c r="L1719" s="16">
        <f>_xlfn.XLOOKUP(CustomerCombinedCleaned[[#This Row],[ID]], Table4[ID], Table4[Fruits], "Not Found", 0)</f>
        <v>18</v>
      </c>
      <c r="M1719" s="16">
        <f>_xlfn.XLOOKUP(CustomerCombinedCleaned[[#This Row],[ID]], Table4[ID], Table4[Meats], "Not Found", 0)</f>
        <v>487</v>
      </c>
      <c r="N1719" s="16">
        <f>_xlfn.XLOOKUP(CustomerCombinedCleaned[[#This Row],[ID]], Table4[ID], Table4[Seafood], "Not Found", 0)</f>
        <v>47</v>
      </c>
      <c r="O1719" s="16">
        <f>_xlfn.XLOOKUP(CustomerCombinedCleaned[[#This Row],[ID]], Table4[ID], Table4[Sweets], "Not Found", 0)</f>
        <v>36</v>
      </c>
      <c r="P1719" s="16">
        <f>_xlfn.XLOOKUP(CustomerCombinedCleaned[[#This Row],[ID]], Table4[ID], Table4[Premium], "Not Found", 0)</f>
        <v>74</v>
      </c>
      <c r="Q1719" s="16">
        <f>_xlfn.XLOOKUP(CustomerCombinedCleaned[[#This Row],[ID]], Table4[ID], Table4[Regular], "Not Found", 0)</f>
        <v>1807</v>
      </c>
      <c r="R1719" s="16">
        <f>_xlfn.XLOOKUP(CustomerCombinedCleaned[[#This Row],[ID]], Table4[ID], Table4[Deals], "Not Found", 0)</f>
        <v>1</v>
      </c>
      <c r="S1719" s="16">
        <f>_xlfn.XLOOKUP(CustomerCombinedCleaned[[#This Row],[ID]], Table4[ID], Table4[Website], "Not Found", 0)</f>
        <v>4</v>
      </c>
      <c r="T1719" s="16">
        <f>_xlfn.XLOOKUP(CustomerCombinedCleaned[[#This Row],[ID]], Table4[ID], Table4[Catalog], "Not Found", 0)</f>
        <v>3</v>
      </c>
      <c r="U1719" s="16">
        <f>_xlfn.XLOOKUP(CustomerCombinedCleaned[[#This Row],[ID]], Table4[ID], Table4[Store], "Not Found", 0)</f>
        <v>5</v>
      </c>
      <c r="V1719" s="16">
        <f>_xlfn.XLOOKUP(CustomerCombinedCleaned[[#This Row],[ID]], Table4[ID], Table4[Visits], "Not Found", 0)</f>
        <v>1</v>
      </c>
      <c r="W1719" s="16">
        <f>_xlfn.XLOOKUP(CustomerCombinedCleaned[[#This Row],[ID]], Table2[ID],Table2[Complaint], "Not Found", 0 )</f>
        <v>0</v>
      </c>
      <c r="X1719" s="16">
        <f>_xlfn.XLOOKUP(CustomerCombinedCleaned[[#This Row],[ID]], Table2[ID],Table2[Pilot], "Not Found", 0 )</f>
        <v>0</v>
      </c>
      <c r="Y1719" s="16">
        <f>_xlfn.XLOOKUP(CustomerCombinedCleaned[[#This Row],[ID]], Table2[ID],Table2[MC1], "Not Found", 0 )</f>
        <v>0</v>
      </c>
      <c r="Z1719" s="16">
        <f>_xlfn.XLOOKUP(CustomerCombinedCleaned[[#This Row],[ID]], Table2[ID],Table2[MC2], "Not Found", 0 )</f>
        <v>0</v>
      </c>
      <c r="AA1719" s="16">
        <f>_xlfn.XLOOKUP(CustomerCombinedCleaned[[#This Row],[ID]], Table2[ID],Table2[MC3], "Not Found", 0 )</f>
        <v>0</v>
      </c>
      <c r="AB1719" s="16">
        <f>_xlfn.XLOOKUP(CustomerCombinedCleaned[[#This Row],[ID]], Table2[ID],Table2[MC4], "Not Found", 0 )</f>
        <v>0</v>
      </c>
      <c r="AC1719" s="16">
        <f>_xlfn.XLOOKUP(CustomerCombinedCleaned[[#This Row],[ID]], Table2[ID],Table2[MC5], "Not Found", 0 )</f>
        <v>0</v>
      </c>
    </row>
    <row r="1720" spans="1:29" x14ac:dyDescent="0.3">
      <c r="A1720" s="18">
        <v>1225</v>
      </c>
      <c r="B1720" s="16">
        <v>179761</v>
      </c>
      <c r="C1720" s="16">
        <v>0</v>
      </c>
      <c r="D1720" s="16">
        <v>1</v>
      </c>
      <c r="E1720" s="16">
        <v>62</v>
      </c>
      <c r="F1720" s="17" t="s">
        <v>7</v>
      </c>
      <c r="G1720" s="17" t="s">
        <v>13</v>
      </c>
      <c r="H1720" s="3" t="s">
        <v>568</v>
      </c>
      <c r="I1720" s="5" t="s">
        <v>437</v>
      </c>
      <c r="J1720" s="16">
        <f>_xlfn.XLOOKUP(CustomerCombinedCleaned[[#This Row],[ID]], Table4[ID], Table4[Recency], "Not Found", 0)</f>
        <v>32</v>
      </c>
      <c r="K1720" s="16">
        <f>_xlfn.XLOOKUP(CustomerCombinedCleaned[[#This Row],[ID]], Table4[ID], Table4[Teas], "Not Found", 0)</f>
        <v>935</v>
      </c>
      <c r="L1720" s="16">
        <f>_xlfn.XLOOKUP(CustomerCombinedCleaned[[#This Row],[ID]], Table4[ID], Table4[Fruits], "Not Found", 0)</f>
        <v>11</v>
      </c>
      <c r="M1720" s="16">
        <f>_xlfn.XLOOKUP(CustomerCombinedCleaned[[#This Row],[ID]], Table4[ID], Table4[Meats], "Not Found", 0)</f>
        <v>279</v>
      </c>
      <c r="N1720" s="16">
        <f>_xlfn.XLOOKUP(CustomerCombinedCleaned[[#This Row],[ID]], Table4[ID], Table4[Seafood], "Not Found", 0)</f>
        <v>34</v>
      </c>
      <c r="O1720" s="16">
        <f>_xlfn.XLOOKUP(CustomerCombinedCleaned[[#This Row],[ID]], Table4[ID], Table4[Sweets], "Not Found", 0)</f>
        <v>79</v>
      </c>
      <c r="P1720" s="16">
        <f>_xlfn.XLOOKUP(CustomerCombinedCleaned[[#This Row],[ID]], Table4[ID], Table4[Premium], "Not Found", 0)</f>
        <v>25</v>
      </c>
      <c r="Q1720" s="16">
        <f>_xlfn.XLOOKUP(CustomerCombinedCleaned[[#This Row],[ID]], Table4[ID], Table4[Regular], "Not Found", 0)</f>
        <v>1314</v>
      </c>
      <c r="R1720" s="16">
        <f>_xlfn.XLOOKUP(CustomerCombinedCleaned[[#This Row],[ID]], Table4[ID], Table4[Deals], "Not Found", 0)</f>
        <v>1</v>
      </c>
      <c r="S1720" s="16">
        <f>_xlfn.XLOOKUP(CustomerCombinedCleaned[[#This Row],[ID]], Table4[ID], Table4[Website], "Not Found", 0)</f>
        <v>5</v>
      </c>
      <c r="T1720" s="16">
        <f>_xlfn.XLOOKUP(CustomerCombinedCleaned[[#This Row],[ID]], Table4[ID], Table4[Catalog], "Not Found", 0)</f>
        <v>2</v>
      </c>
      <c r="U1720" s="16">
        <f>_xlfn.XLOOKUP(CustomerCombinedCleaned[[#This Row],[ID]], Table4[ID], Table4[Store], "Not Found", 0)</f>
        <v>11</v>
      </c>
      <c r="V1720" s="16">
        <f>_xlfn.XLOOKUP(CustomerCombinedCleaned[[#This Row],[ID]], Table4[ID], Table4[Visits], "Not Found", 0)</f>
        <v>3</v>
      </c>
      <c r="W1720" s="16">
        <f>_xlfn.XLOOKUP(CustomerCombinedCleaned[[#This Row],[ID]], Table2[ID],Table2[Complaint], "Not Found", 0 )</f>
        <v>0</v>
      </c>
      <c r="X1720" s="16">
        <f>_xlfn.XLOOKUP(CustomerCombinedCleaned[[#This Row],[ID]], Table2[ID],Table2[Pilot], "Not Found", 0 )</f>
        <v>0</v>
      </c>
      <c r="Y1720" s="16">
        <f>_xlfn.XLOOKUP(CustomerCombinedCleaned[[#This Row],[ID]], Table2[ID],Table2[MC1], "Not Found", 0 )</f>
        <v>0</v>
      </c>
      <c r="Z1720" s="16">
        <f>_xlfn.XLOOKUP(CustomerCombinedCleaned[[#This Row],[ID]], Table2[ID],Table2[MC2], "Not Found", 0 )</f>
        <v>0</v>
      </c>
      <c r="AA1720" s="16">
        <f>_xlfn.XLOOKUP(CustomerCombinedCleaned[[#This Row],[ID]], Table2[ID],Table2[MC3], "Not Found", 0 )</f>
        <v>0</v>
      </c>
      <c r="AB1720" s="16">
        <f>_xlfn.XLOOKUP(CustomerCombinedCleaned[[#This Row],[ID]], Table2[ID],Table2[MC4], "Not Found", 0 )</f>
        <v>0</v>
      </c>
      <c r="AC1720" s="16">
        <f>_xlfn.XLOOKUP(CustomerCombinedCleaned[[#This Row],[ID]], Table2[ID],Table2[MC5], "Not Found", 0 )</f>
        <v>0</v>
      </c>
    </row>
    <row r="1721" spans="1:29" x14ac:dyDescent="0.3">
      <c r="A1721" s="18">
        <v>1474</v>
      </c>
      <c r="B1721" s="16">
        <v>178952</v>
      </c>
      <c r="C1721" s="16">
        <v>0</v>
      </c>
      <c r="D1721" s="16">
        <v>1</v>
      </c>
      <c r="E1721" s="16">
        <v>62</v>
      </c>
      <c r="F1721" s="17" t="s">
        <v>8</v>
      </c>
      <c r="G1721" s="17" t="s">
        <v>13</v>
      </c>
      <c r="H1721" s="3" t="s">
        <v>611</v>
      </c>
      <c r="I1721" s="5" t="s">
        <v>439</v>
      </c>
      <c r="J1721" s="16">
        <f>_xlfn.XLOOKUP(CustomerCombinedCleaned[[#This Row],[ID]], Table4[ID], Table4[Recency], "Not Found", 0)</f>
        <v>11</v>
      </c>
      <c r="K1721" s="16">
        <f>_xlfn.XLOOKUP(CustomerCombinedCleaned[[#This Row],[ID]], Table4[ID], Table4[Teas], "Not Found", 0)</f>
        <v>2652</v>
      </c>
      <c r="L1721" s="16">
        <f>_xlfn.XLOOKUP(CustomerCombinedCleaned[[#This Row],[ID]], Table4[ID], Table4[Fruits], "Not Found", 0)</f>
        <v>43</v>
      </c>
      <c r="M1721" s="16">
        <f>_xlfn.XLOOKUP(CustomerCombinedCleaned[[#This Row],[ID]], Table4[ID], Table4[Meats], "Not Found", 0)</f>
        <v>1346</v>
      </c>
      <c r="N1721" s="16">
        <f>_xlfn.XLOOKUP(CustomerCombinedCleaned[[#This Row],[ID]], Table4[ID], Table4[Seafood], "Not Found", 0)</f>
        <v>224</v>
      </c>
      <c r="O1721" s="16">
        <f>_xlfn.XLOOKUP(CustomerCombinedCleaned[[#This Row],[ID]], Table4[ID], Table4[Sweets], "Not Found", 0)</f>
        <v>172</v>
      </c>
      <c r="P1721" s="16">
        <f>_xlfn.XLOOKUP(CustomerCombinedCleaned[[#This Row],[ID]], Table4[ID], Table4[Premium], "Not Found", 0)</f>
        <v>304</v>
      </c>
      <c r="Q1721" s="16">
        <f>_xlfn.XLOOKUP(CustomerCombinedCleaned[[#This Row],[ID]], Table4[ID], Table4[Regular], "Not Found", 0)</f>
        <v>4134</v>
      </c>
      <c r="R1721" s="16">
        <f>_xlfn.XLOOKUP(CustomerCombinedCleaned[[#This Row],[ID]], Table4[ID], Table4[Deals], "Not Found", 0)</f>
        <v>2</v>
      </c>
      <c r="S1721" s="16">
        <f>_xlfn.XLOOKUP(CustomerCombinedCleaned[[#This Row],[ID]], Table4[ID], Table4[Website], "Not Found", 0)</f>
        <v>2</v>
      </c>
      <c r="T1721" s="16">
        <f>_xlfn.XLOOKUP(CustomerCombinedCleaned[[#This Row],[ID]], Table4[ID], Table4[Catalog], "Not Found", 0)</f>
        <v>5</v>
      </c>
      <c r="U1721" s="16">
        <f>_xlfn.XLOOKUP(CustomerCombinedCleaned[[#This Row],[ID]], Table4[ID], Table4[Store], "Not Found", 0)</f>
        <v>12</v>
      </c>
      <c r="V1721" s="16">
        <f>_xlfn.XLOOKUP(CustomerCombinedCleaned[[#This Row],[ID]], Table4[ID], Table4[Visits], "Not Found", 0)</f>
        <v>6</v>
      </c>
      <c r="W1721" s="16">
        <f>_xlfn.XLOOKUP(CustomerCombinedCleaned[[#This Row],[ID]], Table2[ID],Table2[Complaint], "Not Found", 0 )</f>
        <v>0</v>
      </c>
      <c r="X1721" s="16">
        <f>_xlfn.XLOOKUP(CustomerCombinedCleaned[[#This Row],[ID]], Table2[ID],Table2[Pilot], "Not Found", 0 )</f>
        <v>0</v>
      </c>
      <c r="Y1721" s="16">
        <f>_xlfn.XLOOKUP(CustomerCombinedCleaned[[#This Row],[ID]], Table2[ID],Table2[MC1], "Not Found", 0 )</f>
        <v>0</v>
      </c>
      <c r="Z1721" s="16">
        <f>_xlfn.XLOOKUP(CustomerCombinedCleaned[[#This Row],[ID]], Table2[ID],Table2[MC2], "Not Found", 0 )</f>
        <v>0</v>
      </c>
      <c r="AA1721" s="16">
        <f>_xlfn.XLOOKUP(CustomerCombinedCleaned[[#This Row],[ID]], Table2[ID],Table2[MC3], "Not Found", 0 )</f>
        <v>0</v>
      </c>
      <c r="AB1721" s="16">
        <f>_xlfn.XLOOKUP(CustomerCombinedCleaned[[#This Row],[ID]], Table2[ID],Table2[MC4], "Not Found", 0 )</f>
        <v>0</v>
      </c>
      <c r="AC1721" s="16">
        <f>_xlfn.XLOOKUP(CustomerCombinedCleaned[[#This Row],[ID]], Table2[ID],Table2[MC5], "Not Found", 0 )</f>
        <v>0</v>
      </c>
    </row>
    <row r="1722" spans="1:29" x14ac:dyDescent="0.3">
      <c r="A1722" s="18">
        <v>1878</v>
      </c>
      <c r="B1722" s="16">
        <v>178331</v>
      </c>
      <c r="C1722" s="16">
        <v>0</v>
      </c>
      <c r="D1722" s="16">
        <v>1</v>
      </c>
      <c r="E1722" s="16">
        <v>62</v>
      </c>
      <c r="F1722" s="17" t="s">
        <v>5</v>
      </c>
      <c r="G1722" s="17" t="s">
        <v>11</v>
      </c>
      <c r="H1722" s="3" t="s">
        <v>109</v>
      </c>
      <c r="I1722" s="5" t="s">
        <v>436</v>
      </c>
      <c r="J1722" s="16">
        <f>_xlfn.XLOOKUP(CustomerCombinedCleaned[[#This Row],[ID]], Table4[ID], Table4[Recency], "Not Found", 0)</f>
        <v>97</v>
      </c>
      <c r="K1722" s="16">
        <f>_xlfn.XLOOKUP(CustomerCombinedCleaned[[#This Row],[ID]], Table4[ID], Table4[Teas], "Not Found", 0)</f>
        <v>1721</v>
      </c>
      <c r="L1722" s="16">
        <f>_xlfn.XLOOKUP(CustomerCombinedCleaned[[#This Row],[ID]], Table4[ID], Table4[Fruits], "Not Found", 0)</f>
        <v>314</v>
      </c>
      <c r="M1722" s="16">
        <f>_xlfn.XLOOKUP(CustomerCombinedCleaned[[#This Row],[ID]], Table4[ID], Table4[Meats], "Not Found", 0)</f>
        <v>806</v>
      </c>
      <c r="N1722" s="16">
        <f>_xlfn.XLOOKUP(CustomerCombinedCleaned[[#This Row],[ID]], Table4[ID], Table4[Seafood], "Not Found", 0)</f>
        <v>364</v>
      </c>
      <c r="O1722" s="16">
        <f>_xlfn.XLOOKUP(CustomerCombinedCleaned[[#This Row],[ID]], Table4[ID], Table4[Sweets], "Not Found", 0)</f>
        <v>385</v>
      </c>
      <c r="P1722" s="16">
        <f>_xlfn.XLOOKUP(CustomerCombinedCleaned[[#This Row],[ID]], Table4[ID], Table4[Premium], "Not Found", 0)</f>
        <v>139</v>
      </c>
      <c r="Q1722" s="16">
        <f>_xlfn.XLOOKUP(CustomerCombinedCleaned[[#This Row],[ID]], Table4[ID], Table4[Regular], "Not Found", 0)</f>
        <v>3451</v>
      </c>
      <c r="R1722" s="16">
        <f>_xlfn.XLOOKUP(CustomerCombinedCleaned[[#This Row],[ID]], Table4[ID], Table4[Deals], "Not Found", 0)</f>
        <v>2</v>
      </c>
      <c r="S1722" s="16">
        <f>_xlfn.XLOOKUP(CustomerCombinedCleaned[[#This Row],[ID]], Table4[ID], Table4[Website], "Not Found", 0)</f>
        <v>10</v>
      </c>
      <c r="T1722" s="16">
        <f>_xlfn.XLOOKUP(CustomerCombinedCleaned[[#This Row],[ID]], Table4[ID], Table4[Catalog], "Not Found", 0)</f>
        <v>6</v>
      </c>
      <c r="U1722" s="16">
        <f>_xlfn.XLOOKUP(CustomerCombinedCleaned[[#This Row],[ID]], Table4[ID], Table4[Store], "Not Found", 0)</f>
        <v>7</v>
      </c>
      <c r="V1722" s="16">
        <f>_xlfn.XLOOKUP(CustomerCombinedCleaned[[#This Row],[ID]], Table4[ID], Table4[Visits], "Not Found", 0)</f>
        <v>4</v>
      </c>
      <c r="W1722" s="16">
        <f>_xlfn.XLOOKUP(CustomerCombinedCleaned[[#This Row],[ID]], Table2[ID],Table2[Complaint], "Not Found", 0 )</f>
        <v>0</v>
      </c>
      <c r="X1722" s="16">
        <f>_xlfn.XLOOKUP(CustomerCombinedCleaned[[#This Row],[ID]], Table2[ID],Table2[Pilot], "Not Found", 0 )</f>
        <v>0</v>
      </c>
      <c r="Y1722" s="16">
        <f>_xlfn.XLOOKUP(CustomerCombinedCleaned[[#This Row],[ID]], Table2[ID],Table2[MC1], "Not Found", 0 )</f>
        <v>0</v>
      </c>
      <c r="Z1722" s="16">
        <f>_xlfn.XLOOKUP(CustomerCombinedCleaned[[#This Row],[ID]], Table2[ID],Table2[MC2], "Not Found", 0 )</f>
        <v>0</v>
      </c>
      <c r="AA1722" s="16">
        <f>_xlfn.XLOOKUP(CustomerCombinedCleaned[[#This Row],[ID]], Table2[ID],Table2[MC3], "Not Found", 0 )</f>
        <v>0</v>
      </c>
      <c r="AB1722" s="16">
        <f>_xlfn.XLOOKUP(CustomerCombinedCleaned[[#This Row],[ID]], Table2[ID],Table2[MC4], "Not Found", 0 )</f>
        <v>0</v>
      </c>
      <c r="AC1722" s="16">
        <f>_xlfn.XLOOKUP(CustomerCombinedCleaned[[#This Row],[ID]], Table2[ID],Table2[MC5], "Not Found", 0 )</f>
        <v>0</v>
      </c>
    </row>
    <row r="1723" spans="1:29" x14ac:dyDescent="0.3">
      <c r="A1723" s="18">
        <v>1510</v>
      </c>
      <c r="B1723" s="16">
        <v>177863</v>
      </c>
      <c r="C1723" s="16">
        <v>0</v>
      </c>
      <c r="D1723" s="16">
        <v>0</v>
      </c>
      <c r="E1723" s="16">
        <v>62</v>
      </c>
      <c r="F1723" s="17" t="s">
        <v>8</v>
      </c>
      <c r="G1723" s="17" t="s">
        <v>13</v>
      </c>
      <c r="H1723" s="3" t="s">
        <v>618</v>
      </c>
      <c r="I1723" s="5" t="s">
        <v>439</v>
      </c>
      <c r="J1723" s="16">
        <f>_xlfn.XLOOKUP(CustomerCombinedCleaned[[#This Row],[ID]], Table4[ID], Table4[Recency], "Not Found", 0)</f>
        <v>20</v>
      </c>
      <c r="K1723" s="16">
        <f>_xlfn.XLOOKUP(CustomerCombinedCleaned[[#This Row],[ID]], Table4[ID], Table4[Teas], "Not Found", 0)</f>
        <v>2012</v>
      </c>
      <c r="L1723" s="16">
        <f>_xlfn.XLOOKUP(CustomerCombinedCleaned[[#This Row],[ID]], Table4[ID], Table4[Fruits], "Not Found", 0)</f>
        <v>87</v>
      </c>
      <c r="M1723" s="16">
        <f>_xlfn.XLOOKUP(CustomerCombinedCleaned[[#This Row],[ID]], Table4[ID], Table4[Meats], "Not Found", 0)</f>
        <v>729</v>
      </c>
      <c r="N1723" s="16">
        <f>_xlfn.XLOOKUP(CustomerCombinedCleaned[[#This Row],[ID]], Table4[ID], Table4[Seafood], "Not Found", 0)</f>
        <v>37</v>
      </c>
      <c r="O1723" s="16">
        <f>_xlfn.XLOOKUP(CustomerCombinedCleaned[[#This Row],[ID]], Table4[ID], Table4[Sweets], "Not Found", 0)</f>
        <v>57</v>
      </c>
      <c r="P1723" s="16">
        <f>_xlfn.XLOOKUP(CustomerCombinedCleaned[[#This Row],[ID]], Table4[ID], Table4[Premium], "Not Found", 0)</f>
        <v>27</v>
      </c>
      <c r="Q1723" s="16">
        <f>_xlfn.XLOOKUP(CustomerCombinedCleaned[[#This Row],[ID]], Table4[ID], Table4[Regular], "Not Found", 0)</f>
        <v>2894</v>
      </c>
      <c r="R1723" s="16">
        <f>_xlfn.XLOOKUP(CustomerCombinedCleaned[[#This Row],[ID]], Table4[ID], Table4[Deals], "Not Found", 0)</f>
        <v>1</v>
      </c>
      <c r="S1723" s="16">
        <f>_xlfn.XLOOKUP(CustomerCombinedCleaned[[#This Row],[ID]], Table4[ID], Table4[Website], "Not Found", 0)</f>
        <v>4</v>
      </c>
      <c r="T1723" s="16">
        <f>_xlfn.XLOOKUP(CustomerCombinedCleaned[[#This Row],[ID]], Table4[ID], Table4[Catalog], "Not Found", 0)</f>
        <v>5</v>
      </c>
      <c r="U1723" s="16">
        <f>_xlfn.XLOOKUP(CustomerCombinedCleaned[[#This Row],[ID]], Table4[ID], Table4[Store], "Not Found", 0)</f>
        <v>10</v>
      </c>
      <c r="V1723" s="16">
        <f>_xlfn.XLOOKUP(CustomerCombinedCleaned[[#This Row],[ID]], Table4[ID], Table4[Visits], "Not Found", 0)</f>
        <v>2</v>
      </c>
      <c r="W1723" s="16">
        <f>_xlfn.XLOOKUP(CustomerCombinedCleaned[[#This Row],[ID]], Table2[ID],Table2[Complaint], "Not Found", 0 )</f>
        <v>0</v>
      </c>
      <c r="X1723" s="16">
        <f>_xlfn.XLOOKUP(CustomerCombinedCleaned[[#This Row],[ID]], Table2[ID],Table2[Pilot], "Not Found", 0 )</f>
        <v>0</v>
      </c>
      <c r="Y1723" s="16">
        <f>_xlfn.XLOOKUP(CustomerCombinedCleaned[[#This Row],[ID]], Table2[ID],Table2[MC1], "Not Found", 0 )</f>
        <v>0</v>
      </c>
      <c r="Z1723" s="16">
        <f>_xlfn.XLOOKUP(CustomerCombinedCleaned[[#This Row],[ID]], Table2[ID],Table2[MC2], "Not Found", 0 )</f>
        <v>0</v>
      </c>
      <c r="AA1723" s="16">
        <f>_xlfn.XLOOKUP(CustomerCombinedCleaned[[#This Row],[ID]], Table2[ID],Table2[MC3], "Not Found", 0 )</f>
        <v>0</v>
      </c>
      <c r="AB1723" s="16">
        <f>_xlfn.XLOOKUP(CustomerCombinedCleaned[[#This Row],[ID]], Table2[ID],Table2[MC4], "Not Found", 0 )</f>
        <v>0</v>
      </c>
      <c r="AC1723" s="16">
        <f>_xlfn.XLOOKUP(CustomerCombinedCleaned[[#This Row],[ID]], Table2[ID],Table2[MC5], "Not Found", 0 )</f>
        <v>0</v>
      </c>
    </row>
    <row r="1724" spans="1:29" x14ac:dyDescent="0.3">
      <c r="A1724" s="18">
        <v>2709</v>
      </c>
      <c r="B1724" s="16">
        <v>175342</v>
      </c>
      <c r="C1724" s="16">
        <v>0</v>
      </c>
      <c r="D1724" s="16">
        <v>1</v>
      </c>
      <c r="E1724" s="16">
        <v>62</v>
      </c>
      <c r="F1724" s="17" t="s">
        <v>7</v>
      </c>
      <c r="G1724" s="17" t="s">
        <v>11</v>
      </c>
      <c r="H1724" s="3" t="s">
        <v>635</v>
      </c>
      <c r="I1724" s="5" t="s">
        <v>435</v>
      </c>
      <c r="J1724" s="16">
        <f>_xlfn.XLOOKUP(CustomerCombinedCleaned[[#This Row],[ID]], Table4[ID], Table4[Recency], "Not Found", 0)</f>
        <v>38</v>
      </c>
      <c r="K1724" s="16">
        <f>_xlfn.XLOOKUP(CustomerCombinedCleaned[[#This Row],[ID]], Table4[ID], Table4[Teas], "Not Found", 0)</f>
        <v>475</v>
      </c>
      <c r="L1724" s="16">
        <f>_xlfn.XLOOKUP(CustomerCombinedCleaned[[#This Row],[ID]], Table4[ID], Table4[Fruits], "Not Found", 0)</f>
        <v>226</v>
      </c>
      <c r="M1724" s="16">
        <f>_xlfn.XLOOKUP(CustomerCombinedCleaned[[#This Row],[ID]], Table4[ID], Table4[Meats], "Not Found", 0)</f>
        <v>226</v>
      </c>
      <c r="N1724" s="16">
        <f>_xlfn.XLOOKUP(CustomerCombinedCleaned[[#This Row],[ID]], Table4[ID], Table4[Seafood], "Not Found", 0)</f>
        <v>49</v>
      </c>
      <c r="O1724" s="16">
        <f>_xlfn.XLOOKUP(CustomerCombinedCleaned[[#This Row],[ID]], Table4[ID], Table4[Sweets], "Not Found", 0)</f>
        <v>275</v>
      </c>
      <c r="P1724" s="16">
        <f>_xlfn.XLOOKUP(CustomerCombinedCleaned[[#This Row],[ID]], Table4[ID], Table4[Premium], "Not Found", 0)</f>
        <v>61</v>
      </c>
      <c r="Q1724" s="16">
        <f>_xlfn.XLOOKUP(CustomerCombinedCleaned[[#This Row],[ID]], Table4[ID], Table4[Regular], "Not Found", 0)</f>
        <v>1189</v>
      </c>
      <c r="R1724" s="16">
        <f>_xlfn.XLOOKUP(CustomerCombinedCleaned[[#This Row],[ID]], Table4[ID], Table4[Deals], "Not Found", 0)</f>
        <v>1</v>
      </c>
      <c r="S1724" s="16">
        <f>_xlfn.XLOOKUP(CustomerCombinedCleaned[[#This Row],[ID]], Table4[ID], Table4[Website], "Not Found", 0)</f>
        <v>5</v>
      </c>
      <c r="T1724" s="16">
        <f>_xlfn.XLOOKUP(CustomerCombinedCleaned[[#This Row],[ID]], Table4[ID], Table4[Catalog], "Not Found", 0)</f>
        <v>2</v>
      </c>
      <c r="U1724" s="16">
        <f>_xlfn.XLOOKUP(CustomerCombinedCleaned[[#This Row],[ID]], Table4[ID], Table4[Store], "Not Found", 0)</f>
        <v>10</v>
      </c>
      <c r="V1724" s="16">
        <f>_xlfn.XLOOKUP(CustomerCombinedCleaned[[#This Row],[ID]], Table4[ID], Table4[Visits], "Not Found", 0)</f>
        <v>4</v>
      </c>
      <c r="W1724" s="16">
        <f>_xlfn.XLOOKUP(CustomerCombinedCleaned[[#This Row],[ID]], Table2[ID],Table2[Complaint], "Not Found", 0 )</f>
        <v>0</v>
      </c>
      <c r="X1724" s="16">
        <f>_xlfn.XLOOKUP(CustomerCombinedCleaned[[#This Row],[ID]], Table2[ID],Table2[Pilot], "Not Found", 0 )</f>
        <v>0</v>
      </c>
      <c r="Y1724" s="16">
        <f>_xlfn.XLOOKUP(CustomerCombinedCleaned[[#This Row],[ID]], Table2[ID],Table2[MC1], "Not Found", 0 )</f>
        <v>0</v>
      </c>
      <c r="Z1724" s="16">
        <f>_xlfn.XLOOKUP(CustomerCombinedCleaned[[#This Row],[ID]], Table2[ID],Table2[MC2], "Not Found", 0 )</f>
        <v>0</v>
      </c>
      <c r="AA1724" s="16">
        <f>_xlfn.XLOOKUP(CustomerCombinedCleaned[[#This Row],[ID]], Table2[ID],Table2[MC3], "Not Found", 0 )</f>
        <v>0</v>
      </c>
      <c r="AB1724" s="16">
        <f>_xlfn.XLOOKUP(CustomerCombinedCleaned[[#This Row],[ID]], Table2[ID],Table2[MC4], "Not Found", 0 )</f>
        <v>0</v>
      </c>
      <c r="AC1724" s="16">
        <f>_xlfn.XLOOKUP(CustomerCombinedCleaned[[#This Row],[ID]], Table2[ID],Table2[MC5], "Not Found", 0 )</f>
        <v>0</v>
      </c>
    </row>
    <row r="1725" spans="1:29" x14ac:dyDescent="0.3">
      <c r="A1725" s="18">
        <v>2345</v>
      </c>
      <c r="B1725" s="16">
        <v>175154</v>
      </c>
      <c r="C1725" s="16">
        <v>0</v>
      </c>
      <c r="D1725" s="16">
        <v>1</v>
      </c>
      <c r="E1725" s="16">
        <v>62</v>
      </c>
      <c r="F1725" s="17" t="s">
        <v>7</v>
      </c>
      <c r="G1725" s="17" t="s">
        <v>12</v>
      </c>
      <c r="H1725" s="3" t="s">
        <v>640</v>
      </c>
      <c r="I1725" s="5" t="s">
        <v>434</v>
      </c>
      <c r="J1725" s="16">
        <f>_xlfn.XLOOKUP(CustomerCombinedCleaned[[#This Row],[ID]], Table4[ID], Table4[Recency], "Not Found", 0)</f>
        <v>79</v>
      </c>
      <c r="K1725" s="16">
        <f>_xlfn.XLOOKUP(CustomerCombinedCleaned[[#This Row],[ID]], Table4[ID], Table4[Teas], "Not Found", 0)</f>
        <v>1266</v>
      </c>
      <c r="L1725" s="16">
        <f>_xlfn.XLOOKUP(CustomerCombinedCleaned[[#This Row],[ID]], Table4[ID], Table4[Fruits], "Not Found", 0)</f>
        <v>23</v>
      </c>
      <c r="M1725" s="16">
        <f>_xlfn.XLOOKUP(CustomerCombinedCleaned[[#This Row],[ID]], Table4[ID], Table4[Meats], "Not Found", 0)</f>
        <v>478</v>
      </c>
      <c r="N1725" s="16">
        <f>_xlfn.XLOOKUP(CustomerCombinedCleaned[[#This Row],[ID]], Table4[ID], Table4[Seafood], "Not Found", 0)</f>
        <v>373</v>
      </c>
      <c r="O1725" s="16">
        <f>_xlfn.XLOOKUP(CustomerCombinedCleaned[[#This Row],[ID]], Table4[ID], Table4[Sweets], "Not Found", 0)</f>
        <v>333</v>
      </c>
      <c r="P1725" s="16">
        <f>_xlfn.XLOOKUP(CustomerCombinedCleaned[[#This Row],[ID]], Table4[ID], Table4[Premium], "Not Found", 0)</f>
        <v>191</v>
      </c>
      <c r="Q1725" s="16">
        <f>_xlfn.XLOOKUP(CustomerCombinedCleaned[[#This Row],[ID]], Table4[ID], Table4[Regular], "Not Found", 0)</f>
        <v>2282</v>
      </c>
      <c r="R1725" s="16">
        <f>_xlfn.XLOOKUP(CustomerCombinedCleaned[[#This Row],[ID]], Table4[ID], Table4[Deals], "Not Found", 0)</f>
        <v>1</v>
      </c>
      <c r="S1725" s="16">
        <f>_xlfn.XLOOKUP(CustomerCombinedCleaned[[#This Row],[ID]], Table4[ID], Table4[Website], "Not Found", 0)</f>
        <v>6</v>
      </c>
      <c r="T1725" s="16">
        <f>_xlfn.XLOOKUP(CustomerCombinedCleaned[[#This Row],[ID]], Table4[ID], Table4[Catalog], "Not Found", 0)</f>
        <v>3</v>
      </c>
      <c r="U1725" s="16">
        <f>_xlfn.XLOOKUP(CustomerCombinedCleaned[[#This Row],[ID]], Table4[ID], Table4[Store], "Not Found", 0)</f>
        <v>6</v>
      </c>
      <c r="V1725" s="16">
        <f>_xlfn.XLOOKUP(CustomerCombinedCleaned[[#This Row],[ID]], Table4[ID], Table4[Visits], "Not Found", 0)</f>
        <v>3</v>
      </c>
      <c r="W1725" s="16">
        <f>_xlfn.XLOOKUP(CustomerCombinedCleaned[[#This Row],[ID]], Table2[ID],Table2[Complaint], "Not Found", 0 )</f>
        <v>0</v>
      </c>
      <c r="X1725" s="16">
        <f>_xlfn.XLOOKUP(CustomerCombinedCleaned[[#This Row],[ID]], Table2[ID],Table2[Pilot], "Not Found", 0 )</f>
        <v>1</v>
      </c>
      <c r="Y1725" s="16">
        <f>_xlfn.XLOOKUP(CustomerCombinedCleaned[[#This Row],[ID]], Table2[ID],Table2[MC1], "Not Found", 0 )</f>
        <v>0</v>
      </c>
      <c r="Z1725" s="16">
        <f>_xlfn.XLOOKUP(CustomerCombinedCleaned[[#This Row],[ID]], Table2[ID],Table2[MC2], "Not Found", 0 )</f>
        <v>0</v>
      </c>
      <c r="AA1725" s="16">
        <f>_xlfn.XLOOKUP(CustomerCombinedCleaned[[#This Row],[ID]], Table2[ID],Table2[MC3], "Not Found", 0 )</f>
        <v>0</v>
      </c>
      <c r="AB1725" s="16">
        <f>_xlfn.XLOOKUP(CustomerCombinedCleaned[[#This Row],[ID]], Table2[ID],Table2[MC4], "Not Found", 0 )</f>
        <v>0</v>
      </c>
      <c r="AC1725" s="16">
        <f>_xlfn.XLOOKUP(CustomerCombinedCleaned[[#This Row],[ID]], Table2[ID],Table2[MC5], "Not Found", 0 )</f>
        <v>0</v>
      </c>
    </row>
    <row r="1726" spans="1:29" x14ac:dyDescent="0.3">
      <c r="A1726" s="18">
        <v>1758</v>
      </c>
      <c r="B1726" s="16">
        <v>174250</v>
      </c>
      <c r="C1726" s="16">
        <v>0</v>
      </c>
      <c r="D1726" s="16">
        <v>0</v>
      </c>
      <c r="E1726" s="16">
        <v>62</v>
      </c>
      <c r="F1726" s="17" t="s">
        <v>8</v>
      </c>
      <c r="G1726" s="17" t="s">
        <v>13</v>
      </c>
      <c r="H1726" s="3" t="s">
        <v>643</v>
      </c>
      <c r="I1726" s="5" t="s">
        <v>436</v>
      </c>
      <c r="J1726" s="16">
        <f>_xlfn.XLOOKUP(CustomerCombinedCleaned[[#This Row],[ID]], Table4[ID], Table4[Recency], "Not Found", 0)</f>
        <v>90</v>
      </c>
      <c r="K1726" s="16">
        <f>_xlfn.XLOOKUP(CustomerCombinedCleaned[[#This Row],[ID]], Table4[ID], Table4[Teas], "Not Found", 0)</f>
        <v>1596</v>
      </c>
      <c r="L1726" s="16">
        <f>_xlfn.XLOOKUP(CustomerCombinedCleaned[[#This Row],[ID]], Table4[ID], Table4[Fruits], "Not Found", 0)</f>
        <v>26</v>
      </c>
      <c r="M1726" s="16">
        <f>_xlfn.XLOOKUP(CustomerCombinedCleaned[[#This Row],[ID]], Table4[ID], Table4[Meats], "Not Found", 0)</f>
        <v>920</v>
      </c>
      <c r="N1726" s="16">
        <f>_xlfn.XLOOKUP(CustomerCombinedCleaned[[#This Row],[ID]], Table4[ID], Table4[Seafood], "Not Found", 0)</f>
        <v>176</v>
      </c>
      <c r="O1726" s="16">
        <f>_xlfn.XLOOKUP(CustomerCombinedCleaned[[#This Row],[ID]], Table4[ID], Table4[Sweets], "Not Found", 0)</f>
        <v>0</v>
      </c>
      <c r="P1726" s="16">
        <f>_xlfn.XLOOKUP(CustomerCombinedCleaned[[#This Row],[ID]], Table4[ID], Table4[Premium], "Not Found", 0)</f>
        <v>0</v>
      </c>
      <c r="Q1726" s="16">
        <f>_xlfn.XLOOKUP(CustomerCombinedCleaned[[#This Row],[ID]], Table4[ID], Table4[Regular], "Not Found", 0)</f>
        <v>2718</v>
      </c>
      <c r="R1726" s="16">
        <f>_xlfn.XLOOKUP(CustomerCombinedCleaned[[#This Row],[ID]], Table4[ID], Table4[Deals], "Not Found", 0)</f>
        <v>1</v>
      </c>
      <c r="S1726" s="16">
        <f>_xlfn.XLOOKUP(CustomerCombinedCleaned[[#This Row],[ID]], Table4[ID], Table4[Website], "Not Found", 0)</f>
        <v>2</v>
      </c>
      <c r="T1726" s="16">
        <f>_xlfn.XLOOKUP(CustomerCombinedCleaned[[#This Row],[ID]], Table4[ID], Table4[Catalog], "Not Found", 0)</f>
        <v>11</v>
      </c>
      <c r="U1726" s="16">
        <f>_xlfn.XLOOKUP(CustomerCombinedCleaned[[#This Row],[ID]], Table4[ID], Table4[Store], "Not Found", 0)</f>
        <v>4</v>
      </c>
      <c r="V1726" s="16">
        <f>_xlfn.XLOOKUP(CustomerCombinedCleaned[[#This Row],[ID]], Table4[ID], Table4[Visits], "Not Found", 0)</f>
        <v>1</v>
      </c>
      <c r="W1726" s="16">
        <f>_xlfn.XLOOKUP(CustomerCombinedCleaned[[#This Row],[ID]], Table2[ID],Table2[Complaint], "Not Found", 0 )</f>
        <v>0</v>
      </c>
      <c r="X1726" s="16">
        <f>_xlfn.XLOOKUP(CustomerCombinedCleaned[[#This Row],[ID]], Table2[ID],Table2[Pilot], "Not Found", 0 )</f>
        <v>0</v>
      </c>
      <c r="Y1726" s="16">
        <f>_xlfn.XLOOKUP(CustomerCombinedCleaned[[#This Row],[ID]], Table2[ID],Table2[MC1], "Not Found", 0 )</f>
        <v>0</v>
      </c>
      <c r="Z1726" s="16">
        <f>_xlfn.XLOOKUP(CustomerCombinedCleaned[[#This Row],[ID]], Table2[ID],Table2[MC2], "Not Found", 0 )</f>
        <v>0</v>
      </c>
      <c r="AA1726" s="16">
        <f>_xlfn.XLOOKUP(CustomerCombinedCleaned[[#This Row],[ID]], Table2[ID],Table2[MC3], "Not Found", 0 )</f>
        <v>0</v>
      </c>
      <c r="AB1726" s="16">
        <f>_xlfn.XLOOKUP(CustomerCombinedCleaned[[#This Row],[ID]], Table2[ID],Table2[MC4], "Not Found", 0 )</f>
        <v>0</v>
      </c>
      <c r="AC1726" s="16">
        <f>_xlfn.XLOOKUP(CustomerCombinedCleaned[[#This Row],[ID]], Table2[ID],Table2[MC5], "Not Found", 0 )</f>
        <v>0</v>
      </c>
    </row>
    <row r="1727" spans="1:29" x14ac:dyDescent="0.3">
      <c r="A1727" s="18">
        <v>2852</v>
      </c>
      <c r="B1727" s="16">
        <v>172905</v>
      </c>
      <c r="C1727" s="16">
        <v>0</v>
      </c>
      <c r="D1727" s="16">
        <v>0</v>
      </c>
      <c r="E1727" s="16">
        <v>62</v>
      </c>
      <c r="F1727" s="17" t="s">
        <v>6</v>
      </c>
      <c r="G1727" s="17" t="s">
        <v>11</v>
      </c>
      <c r="H1727" s="3" t="s">
        <v>111</v>
      </c>
      <c r="I1727" s="5" t="s">
        <v>438</v>
      </c>
      <c r="J1727" s="16">
        <f>_xlfn.XLOOKUP(CustomerCombinedCleaned[[#This Row],[ID]], Table4[ID], Table4[Recency], "Not Found", 0)</f>
        <v>52</v>
      </c>
      <c r="K1727" s="16">
        <f>_xlfn.XLOOKUP(CustomerCombinedCleaned[[#This Row],[ID]], Table4[ID], Table4[Teas], "Not Found", 0)</f>
        <v>965</v>
      </c>
      <c r="L1727" s="16">
        <f>_xlfn.XLOOKUP(CustomerCombinedCleaned[[#This Row],[ID]], Table4[ID], Table4[Fruits], "Not Found", 0)</f>
        <v>270</v>
      </c>
      <c r="M1727" s="16">
        <f>_xlfn.XLOOKUP(CustomerCombinedCleaned[[#This Row],[ID]], Table4[ID], Table4[Meats], "Not Found", 0)</f>
        <v>1055</v>
      </c>
      <c r="N1727" s="16">
        <f>_xlfn.XLOOKUP(CustomerCombinedCleaned[[#This Row],[ID]], Table4[ID], Table4[Seafood], "Not Found", 0)</f>
        <v>429</v>
      </c>
      <c r="O1727" s="16">
        <f>_xlfn.XLOOKUP(CustomerCombinedCleaned[[#This Row],[ID]], Table4[ID], Table4[Sweets], "Not Found", 0)</f>
        <v>391</v>
      </c>
      <c r="P1727" s="16">
        <f>_xlfn.XLOOKUP(CustomerCombinedCleaned[[#This Row],[ID]], Table4[ID], Table4[Premium], "Not Found", 0)</f>
        <v>481</v>
      </c>
      <c r="Q1727" s="16">
        <f>_xlfn.XLOOKUP(CustomerCombinedCleaned[[#This Row],[ID]], Table4[ID], Table4[Regular], "Not Found", 0)</f>
        <v>2630</v>
      </c>
      <c r="R1727" s="16">
        <f>_xlfn.XLOOKUP(CustomerCombinedCleaned[[#This Row],[ID]], Table4[ID], Table4[Deals], "Not Found", 0)</f>
        <v>1</v>
      </c>
      <c r="S1727" s="16">
        <f>_xlfn.XLOOKUP(CustomerCombinedCleaned[[#This Row],[ID]], Table4[ID], Table4[Website], "Not Found", 0)</f>
        <v>3</v>
      </c>
      <c r="T1727" s="16">
        <f>_xlfn.XLOOKUP(CustomerCombinedCleaned[[#This Row],[ID]], Table4[ID], Table4[Catalog], "Not Found", 0)</f>
        <v>7</v>
      </c>
      <c r="U1727" s="16">
        <f>_xlfn.XLOOKUP(CustomerCombinedCleaned[[#This Row],[ID]], Table4[ID], Table4[Store], "Not Found", 0)</f>
        <v>9</v>
      </c>
      <c r="V1727" s="16">
        <f>_xlfn.XLOOKUP(CustomerCombinedCleaned[[#This Row],[ID]], Table4[ID], Table4[Visits], "Not Found", 0)</f>
        <v>1</v>
      </c>
      <c r="W1727" s="16">
        <f>_xlfn.XLOOKUP(CustomerCombinedCleaned[[#This Row],[ID]], Table2[ID],Table2[Complaint], "Not Found", 0 )</f>
        <v>0</v>
      </c>
      <c r="X1727" s="16">
        <f>_xlfn.XLOOKUP(CustomerCombinedCleaned[[#This Row],[ID]], Table2[ID],Table2[Pilot], "Not Found", 0 )</f>
        <v>0</v>
      </c>
      <c r="Y1727" s="16">
        <f>_xlfn.XLOOKUP(CustomerCombinedCleaned[[#This Row],[ID]], Table2[ID],Table2[MC1], "Not Found", 0 )</f>
        <v>1</v>
      </c>
      <c r="Z1727" s="16">
        <f>_xlfn.XLOOKUP(CustomerCombinedCleaned[[#This Row],[ID]], Table2[ID],Table2[MC2], "Not Found", 0 )</f>
        <v>0</v>
      </c>
      <c r="AA1727" s="16">
        <f>_xlfn.XLOOKUP(CustomerCombinedCleaned[[#This Row],[ID]], Table2[ID],Table2[MC3], "Not Found", 0 )</f>
        <v>0</v>
      </c>
      <c r="AB1727" s="16">
        <f>_xlfn.XLOOKUP(CustomerCombinedCleaned[[#This Row],[ID]], Table2[ID],Table2[MC4], "Not Found", 0 )</f>
        <v>0</v>
      </c>
      <c r="AC1727" s="16">
        <f>_xlfn.XLOOKUP(CustomerCombinedCleaned[[#This Row],[ID]], Table2[ID],Table2[MC5], "Not Found", 0 )</f>
        <v>0</v>
      </c>
    </row>
    <row r="1728" spans="1:29" x14ac:dyDescent="0.3">
      <c r="A1728" s="18">
        <v>2985</v>
      </c>
      <c r="B1728" s="16">
        <v>171964</v>
      </c>
      <c r="C1728" s="16">
        <v>0</v>
      </c>
      <c r="D1728" s="16">
        <v>0</v>
      </c>
      <c r="E1728" s="16">
        <v>62</v>
      </c>
      <c r="F1728" s="17" t="s">
        <v>5</v>
      </c>
      <c r="G1728" s="17" t="s">
        <v>11</v>
      </c>
      <c r="H1728" s="3" t="s">
        <v>251</v>
      </c>
      <c r="I1728" s="5" t="s">
        <v>435</v>
      </c>
      <c r="J1728" s="16">
        <f>_xlfn.XLOOKUP(CustomerCombinedCleaned[[#This Row],[ID]], Table4[ID], Table4[Recency], "Not Found", 0)</f>
        <v>81</v>
      </c>
      <c r="K1728" s="16">
        <f>_xlfn.XLOOKUP(CustomerCombinedCleaned[[#This Row],[ID]], Table4[ID], Table4[Teas], "Not Found", 0)</f>
        <v>1403</v>
      </c>
      <c r="L1728" s="16">
        <f>_xlfn.XLOOKUP(CustomerCombinedCleaned[[#This Row],[ID]], Table4[ID], Table4[Fruits], "Not Found", 0)</f>
        <v>122</v>
      </c>
      <c r="M1728" s="16">
        <f>_xlfn.XLOOKUP(CustomerCombinedCleaned[[#This Row],[ID]], Table4[ID], Table4[Meats], "Not Found", 0)</f>
        <v>2227</v>
      </c>
      <c r="N1728" s="16">
        <f>_xlfn.XLOOKUP(CustomerCombinedCleaned[[#This Row],[ID]], Table4[ID], Table4[Seafood], "Not Found", 0)</f>
        <v>430</v>
      </c>
      <c r="O1728" s="16">
        <f>_xlfn.XLOOKUP(CustomerCombinedCleaned[[#This Row],[ID]], Table4[ID], Table4[Sweets], "Not Found", 0)</f>
        <v>81</v>
      </c>
      <c r="P1728" s="16">
        <f>_xlfn.XLOOKUP(CustomerCombinedCleaned[[#This Row],[ID]], Table4[ID], Table4[Premium], "Not Found", 0)</f>
        <v>206</v>
      </c>
      <c r="Q1728" s="16">
        <f>_xlfn.XLOOKUP(CustomerCombinedCleaned[[#This Row],[ID]], Table4[ID], Table4[Regular], "Not Found", 0)</f>
        <v>4058</v>
      </c>
      <c r="R1728" s="16">
        <f>_xlfn.XLOOKUP(CustomerCombinedCleaned[[#This Row],[ID]], Table4[ID], Table4[Deals], "Not Found", 0)</f>
        <v>1</v>
      </c>
      <c r="S1728" s="16">
        <f>_xlfn.XLOOKUP(CustomerCombinedCleaned[[#This Row],[ID]], Table4[ID], Table4[Website], "Not Found", 0)</f>
        <v>5</v>
      </c>
      <c r="T1728" s="16">
        <f>_xlfn.XLOOKUP(CustomerCombinedCleaned[[#This Row],[ID]], Table4[ID], Table4[Catalog], "Not Found", 0)</f>
        <v>6</v>
      </c>
      <c r="U1728" s="16">
        <f>_xlfn.XLOOKUP(CustomerCombinedCleaned[[#This Row],[ID]], Table4[ID], Table4[Store], "Not Found", 0)</f>
        <v>5</v>
      </c>
      <c r="V1728" s="16">
        <f>_xlfn.XLOOKUP(CustomerCombinedCleaned[[#This Row],[ID]], Table4[ID], Table4[Visits], "Not Found", 0)</f>
        <v>3</v>
      </c>
      <c r="W1728" s="16">
        <f>_xlfn.XLOOKUP(CustomerCombinedCleaned[[#This Row],[ID]], Table2[ID],Table2[Complaint], "Not Found", 0 )</f>
        <v>0</v>
      </c>
      <c r="X1728" s="16">
        <f>_xlfn.XLOOKUP(CustomerCombinedCleaned[[#This Row],[ID]], Table2[ID],Table2[Pilot], "Not Found", 0 )</f>
        <v>0</v>
      </c>
      <c r="Y1728" s="16">
        <f>_xlfn.XLOOKUP(CustomerCombinedCleaned[[#This Row],[ID]], Table2[ID],Table2[MC1], "Not Found", 0 )</f>
        <v>0</v>
      </c>
      <c r="Z1728" s="16">
        <f>_xlfn.XLOOKUP(CustomerCombinedCleaned[[#This Row],[ID]], Table2[ID],Table2[MC2], "Not Found", 0 )</f>
        <v>0</v>
      </c>
      <c r="AA1728" s="16">
        <f>_xlfn.XLOOKUP(CustomerCombinedCleaned[[#This Row],[ID]], Table2[ID],Table2[MC3], "Not Found", 0 )</f>
        <v>0</v>
      </c>
      <c r="AB1728" s="16">
        <f>_xlfn.XLOOKUP(CustomerCombinedCleaned[[#This Row],[ID]], Table2[ID],Table2[MC4], "Not Found", 0 )</f>
        <v>0</v>
      </c>
      <c r="AC1728" s="16">
        <f>_xlfn.XLOOKUP(CustomerCombinedCleaned[[#This Row],[ID]], Table2[ID],Table2[MC5], "Not Found", 0 )</f>
        <v>0</v>
      </c>
    </row>
    <row r="1729" spans="1:29" x14ac:dyDescent="0.3">
      <c r="A1729" s="18">
        <v>2070</v>
      </c>
      <c r="B1729" s="16">
        <v>171691</v>
      </c>
      <c r="C1729" s="16">
        <v>0</v>
      </c>
      <c r="D1729" s="16">
        <v>0</v>
      </c>
      <c r="E1729" s="16">
        <v>62</v>
      </c>
      <c r="F1729" s="17" t="s">
        <v>7</v>
      </c>
      <c r="G1729" s="17" t="s">
        <v>13</v>
      </c>
      <c r="H1729" s="3" t="s">
        <v>84</v>
      </c>
      <c r="I1729" s="5" t="s">
        <v>436</v>
      </c>
      <c r="J1729" s="16">
        <f>_xlfn.XLOOKUP(CustomerCombinedCleaned[[#This Row],[ID]], Table4[ID], Table4[Recency], "Not Found", 0)</f>
        <v>0</v>
      </c>
      <c r="K1729" s="16">
        <f>_xlfn.XLOOKUP(CustomerCombinedCleaned[[#This Row],[ID]], Table4[ID], Table4[Teas], "Not Found", 0)</f>
        <v>805</v>
      </c>
      <c r="L1729" s="16">
        <f>_xlfn.XLOOKUP(CustomerCombinedCleaned[[#This Row],[ID]], Table4[ID], Table4[Fruits], "Not Found", 0)</f>
        <v>311</v>
      </c>
      <c r="M1729" s="16">
        <f>_xlfn.XLOOKUP(CustomerCombinedCleaned[[#This Row],[ID]], Table4[ID], Table4[Meats], "Not Found", 0)</f>
        <v>984</v>
      </c>
      <c r="N1729" s="16">
        <f>_xlfn.XLOOKUP(CustomerCombinedCleaned[[#This Row],[ID]], Table4[ID], Table4[Seafood], "Not Found", 0)</f>
        <v>575</v>
      </c>
      <c r="O1729" s="16">
        <f>_xlfn.XLOOKUP(CustomerCombinedCleaned[[#This Row],[ID]], Table4[ID], Table4[Sweets], "Not Found", 0)</f>
        <v>77</v>
      </c>
      <c r="P1729" s="16">
        <f>_xlfn.XLOOKUP(CustomerCombinedCleaned[[#This Row],[ID]], Table4[ID], Table4[Premium], "Not Found", 0)</f>
        <v>103</v>
      </c>
      <c r="Q1729" s="16">
        <f>_xlfn.XLOOKUP(CustomerCombinedCleaned[[#This Row],[ID]], Table4[ID], Table4[Regular], "Not Found", 0)</f>
        <v>2649</v>
      </c>
      <c r="R1729" s="16">
        <f>_xlfn.XLOOKUP(CustomerCombinedCleaned[[#This Row],[ID]], Table4[ID], Table4[Deals], "Not Found", 0)</f>
        <v>1</v>
      </c>
      <c r="S1729" s="16">
        <f>_xlfn.XLOOKUP(CustomerCombinedCleaned[[#This Row],[ID]], Table4[ID], Table4[Website], "Not Found", 0)</f>
        <v>4</v>
      </c>
      <c r="T1729" s="16">
        <f>_xlfn.XLOOKUP(CustomerCombinedCleaned[[#This Row],[ID]], Table4[ID], Table4[Catalog], "Not Found", 0)</f>
        <v>7</v>
      </c>
      <c r="U1729" s="16">
        <f>_xlfn.XLOOKUP(CustomerCombinedCleaned[[#This Row],[ID]], Table4[ID], Table4[Store], "Not Found", 0)</f>
        <v>5</v>
      </c>
      <c r="V1729" s="16">
        <f>_xlfn.XLOOKUP(CustomerCombinedCleaned[[#This Row],[ID]], Table4[ID], Table4[Visits], "Not Found", 0)</f>
        <v>2</v>
      </c>
      <c r="W1729" s="16">
        <f>_xlfn.XLOOKUP(CustomerCombinedCleaned[[#This Row],[ID]], Table2[ID],Table2[Complaint], "Not Found", 0 )</f>
        <v>0</v>
      </c>
      <c r="X1729" s="16">
        <f>_xlfn.XLOOKUP(CustomerCombinedCleaned[[#This Row],[ID]], Table2[ID],Table2[Pilot], "Not Found", 0 )</f>
        <v>1</v>
      </c>
      <c r="Y1729" s="16">
        <f>_xlfn.XLOOKUP(CustomerCombinedCleaned[[#This Row],[ID]], Table2[ID],Table2[MC1], "Not Found", 0 )</f>
        <v>0</v>
      </c>
      <c r="Z1729" s="16">
        <f>_xlfn.XLOOKUP(CustomerCombinedCleaned[[#This Row],[ID]], Table2[ID],Table2[MC2], "Not Found", 0 )</f>
        <v>0</v>
      </c>
      <c r="AA1729" s="16">
        <f>_xlfn.XLOOKUP(CustomerCombinedCleaned[[#This Row],[ID]], Table2[ID],Table2[MC3], "Not Found", 0 )</f>
        <v>0</v>
      </c>
      <c r="AB1729" s="16">
        <f>_xlfn.XLOOKUP(CustomerCombinedCleaned[[#This Row],[ID]], Table2[ID],Table2[MC4], "Not Found", 0 )</f>
        <v>0</v>
      </c>
      <c r="AC1729" s="16">
        <f>_xlfn.XLOOKUP(CustomerCombinedCleaned[[#This Row],[ID]], Table2[ID],Table2[MC5], "Not Found", 0 )</f>
        <v>0</v>
      </c>
    </row>
    <row r="1730" spans="1:29" x14ac:dyDescent="0.3">
      <c r="A1730" s="18">
        <v>1064</v>
      </c>
      <c r="B1730" s="16">
        <v>169096</v>
      </c>
      <c r="C1730" s="16">
        <v>0</v>
      </c>
      <c r="D1730" s="16">
        <v>1</v>
      </c>
      <c r="E1730" s="16">
        <v>62</v>
      </c>
      <c r="F1730" s="17" t="s">
        <v>8</v>
      </c>
      <c r="G1730" s="17" t="s">
        <v>11</v>
      </c>
      <c r="H1730" s="3" t="s">
        <v>580</v>
      </c>
      <c r="I1730" s="5" t="s">
        <v>438</v>
      </c>
      <c r="J1730" s="16">
        <f>_xlfn.XLOOKUP(CustomerCombinedCleaned[[#This Row],[ID]], Table4[ID], Table4[Recency], "Not Found", 0)</f>
        <v>4</v>
      </c>
      <c r="K1730" s="16">
        <f>_xlfn.XLOOKUP(CustomerCombinedCleaned[[#This Row],[ID]], Table4[ID], Table4[Teas], "Not Found", 0)</f>
        <v>604</v>
      </c>
      <c r="L1730" s="16">
        <f>_xlfn.XLOOKUP(CustomerCombinedCleaned[[#This Row],[ID]], Table4[ID], Table4[Fruits], "Not Found", 0)</f>
        <v>120</v>
      </c>
      <c r="M1730" s="16">
        <f>_xlfn.XLOOKUP(CustomerCombinedCleaned[[#This Row],[ID]], Table4[ID], Table4[Meats], "Not Found", 0)</f>
        <v>389</v>
      </c>
      <c r="N1730" s="16">
        <f>_xlfn.XLOOKUP(CustomerCombinedCleaned[[#This Row],[ID]], Table4[ID], Table4[Seafood], "Not Found", 0)</f>
        <v>17</v>
      </c>
      <c r="O1730" s="16">
        <f>_xlfn.XLOOKUP(CustomerCombinedCleaned[[#This Row],[ID]], Table4[ID], Table4[Sweets], "Not Found", 0)</f>
        <v>201</v>
      </c>
      <c r="P1730" s="16">
        <f>_xlfn.XLOOKUP(CustomerCombinedCleaned[[#This Row],[ID]], Table4[ID], Table4[Premium], "Not Found", 0)</f>
        <v>267</v>
      </c>
      <c r="Q1730" s="16">
        <f>_xlfn.XLOOKUP(CustomerCombinedCleaned[[#This Row],[ID]], Table4[ID], Table4[Regular], "Not Found", 0)</f>
        <v>1065</v>
      </c>
      <c r="R1730" s="16">
        <f>_xlfn.XLOOKUP(CustomerCombinedCleaned[[#This Row],[ID]], Table4[ID], Table4[Deals], "Not Found", 0)</f>
        <v>1</v>
      </c>
      <c r="S1730" s="16">
        <f>_xlfn.XLOOKUP(CustomerCombinedCleaned[[#This Row],[ID]], Table4[ID], Table4[Website], "Not Found", 0)</f>
        <v>5</v>
      </c>
      <c r="T1730" s="16">
        <f>_xlfn.XLOOKUP(CustomerCombinedCleaned[[#This Row],[ID]], Table4[ID], Table4[Catalog], "Not Found", 0)</f>
        <v>2</v>
      </c>
      <c r="U1730" s="16">
        <f>_xlfn.XLOOKUP(CustomerCombinedCleaned[[#This Row],[ID]], Table4[ID], Table4[Store], "Not Found", 0)</f>
        <v>10</v>
      </c>
      <c r="V1730" s="16">
        <f>_xlfn.XLOOKUP(CustomerCombinedCleaned[[#This Row],[ID]], Table4[ID], Table4[Visits], "Not Found", 0)</f>
        <v>4</v>
      </c>
      <c r="W1730" s="16">
        <f>_xlfn.XLOOKUP(CustomerCombinedCleaned[[#This Row],[ID]], Table2[ID],Table2[Complaint], "Not Found", 0 )</f>
        <v>0</v>
      </c>
      <c r="X1730" s="16">
        <f>_xlfn.XLOOKUP(CustomerCombinedCleaned[[#This Row],[ID]], Table2[ID],Table2[Pilot], "Not Found", 0 )</f>
        <v>0</v>
      </c>
      <c r="Y1730" s="16">
        <f>_xlfn.XLOOKUP(CustomerCombinedCleaned[[#This Row],[ID]], Table2[ID],Table2[MC1], "Not Found", 0 )</f>
        <v>0</v>
      </c>
      <c r="Z1730" s="16">
        <f>_xlfn.XLOOKUP(CustomerCombinedCleaned[[#This Row],[ID]], Table2[ID],Table2[MC2], "Not Found", 0 )</f>
        <v>0</v>
      </c>
      <c r="AA1730" s="16">
        <f>_xlfn.XLOOKUP(CustomerCombinedCleaned[[#This Row],[ID]], Table2[ID],Table2[MC3], "Not Found", 0 )</f>
        <v>0</v>
      </c>
      <c r="AB1730" s="16">
        <f>_xlfn.XLOOKUP(CustomerCombinedCleaned[[#This Row],[ID]], Table2[ID],Table2[MC4], "Not Found", 0 )</f>
        <v>0</v>
      </c>
      <c r="AC1730" s="16">
        <f>_xlfn.XLOOKUP(CustomerCombinedCleaned[[#This Row],[ID]], Table2[ID],Table2[MC5], "Not Found", 0 )</f>
        <v>0</v>
      </c>
    </row>
    <row r="1731" spans="1:29" x14ac:dyDescent="0.3">
      <c r="A1731" s="18">
        <v>2989</v>
      </c>
      <c r="B1731" s="16">
        <v>168281</v>
      </c>
      <c r="C1731" s="16">
        <v>0</v>
      </c>
      <c r="D1731" s="16">
        <v>0</v>
      </c>
      <c r="E1731" s="16">
        <v>62</v>
      </c>
      <c r="F1731" s="17" t="s">
        <v>7</v>
      </c>
      <c r="G1731" s="17" t="s">
        <v>11</v>
      </c>
      <c r="H1731" s="3" t="s">
        <v>679</v>
      </c>
      <c r="I1731" s="5" t="s">
        <v>437</v>
      </c>
      <c r="J1731" s="16">
        <f>_xlfn.XLOOKUP(CustomerCombinedCleaned[[#This Row],[ID]], Table4[ID], Table4[Recency], "Not Found", 0)</f>
        <v>31</v>
      </c>
      <c r="K1731" s="16">
        <f>_xlfn.XLOOKUP(CustomerCombinedCleaned[[#This Row],[ID]], Table4[ID], Table4[Teas], "Not Found", 0)</f>
        <v>2452</v>
      </c>
      <c r="L1731" s="16">
        <f>_xlfn.XLOOKUP(CustomerCombinedCleaned[[#This Row],[ID]], Table4[ID], Table4[Fruits], "Not Found", 0)</f>
        <v>276</v>
      </c>
      <c r="M1731" s="16">
        <f>_xlfn.XLOOKUP(CustomerCombinedCleaned[[#This Row],[ID]], Table4[ID], Table4[Meats], "Not Found", 0)</f>
        <v>1028</v>
      </c>
      <c r="N1731" s="16">
        <f>_xlfn.XLOOKUP(CustomerCombinedCleaned[[#This Row],[ID]], Table4[ID], Table4[Seafood], "Not Found", 0)</f>
        <v>104</v>
      </c>
      <c r="O1731" s="16">
        <f>_xlfn.XLOOKUP(CustomerCombinedCleaned[[#This Row],[ID]], Table4[ID], Table4[Sweets], "Not Found", 0)</f>
        <v>118</v>
      </c>
      <c r="P1731" s="16">
        <f>_xlfn.XLOOKUP(CustomerCombinedCleaned[[#This Row],[ID]], Table4[ID], Table4[Premium], "Not Found", 0)</f>
        <v>101</v>
      </c>
      <c r="Q1731" s="16">
        <f>_xlfn.XLOOKUP(CustomerCombinedCleaned[[#This Row],[ID]], Table4[ID], Table4[Regular], "Not Found", 0)</f>
        <v>3877</v>
      </c>
      <c r="R1731" s="16">
        <f>_xlfn.XLOOKUP(CustomerCombinedCleaned[[#This Row],[ID]], Table4[ID], Table4[Deals], "Not Found", 0)</f>
        <v>1</v>
      </c>
      <c r="S1731" s="16">
        <f>_xlfn.XLOOKUP(CustomerCombinedCleaned[[#This Row],[ID]], Table4[ID], Table4[Website], "Not Found", 0)</f>
        <v>2</v>
      </c>
      <c r="T1731" s="16">
        <f>_xlfn.XLOOKUP(CustomerCombinedCleaned[[#This Row],[ID]], Table4[ID], Table4[Catalog], "Not Found", 0)</f>
        <v>9</v>
      </c>
      <c r="U1731" s="16">
        <f>_xlfn.XLOOKUP(CustomerCombinedCleaned[[#This Row],[ID]], Table4[ID], Table4[Store], "Not Found", 0)</f>
        <v>13</v>
      </c>
      <c r="V1731" s="16">
        <f>_xlfn.XLOOKUP(CustomerCombinedCleaned[[#This Row],[ID]], Table4[ID], Table4[Visits], "Not Found", 0)</f>
        <v>5</v>
      </c>
      <c r="W1731" s="16">
        <f>_xlfn.XLOOKUP(CustomerCombinedCleaned[[#This Row],[ID]], Table2[ID],Table2[Complaint], "Not Found", 0 )</f>
        <v>0</v>
      </c>
      <c r="X1731" s="16">
        <f>_xlfn.XLOOKUP(CustomerCombinedCleaned[[#This Row],[ID]], Table2[ID],Table2[Pilot], "Not Found", 0 )</f>
        <v>1</v>
      </c>
      <c r="Y1731" s="16">
        <f>_xlfn.XLOOKUP(CustomerCombinedCleaned[[#This Row],[ID]], Table2[ID],Table2[MC1], "Not Found", 0 )</f>
        <v>0</v>
      </c>
      <c r="Z1731" s="16">
        <f>_xlfn.XLOOKUP(CustomerCombinedCleaned[[#This Row],[ID]], Table2[ID],Table2[MC2], "Not Found", 0 )</f>
        <v>0</v>
      </c>
      <c r="AA1731" s="16">
        <f>_xlfn.XLOOKUP(CustomerCombinedCleaned[[#This Row],[ID]], Table2[ID],Table2[MC3], "Not Found", 0 )</f>
        <v>0</v>
      </c>
      <c r="AB1731" s="16">
        <f>_xlfn.XLOOKUP(CustomerCombinedCleaned[[#This Row],[ID]], Table2[ID],Table2[MC4], "Not Found", 0 )</f>
        <v>0</v>
      </c>
      <c r="AC1731" s="16">
        <f>_xlfn.XLOOKUP(CustomerCombinedCleaned[[#This Row],[ID]], Table2[ID],Table2[MC5], "Not Found", 0 )</f>
        <v>0</v>
      </c>
    </row>
    <row r="1732" spans="1:29" x14ac:dyDescent="0.3">
      <c r="A1732" s="18">
        <v>2349</v>
      </c>
      <c r="B1732" s="16">
        <v>167267</v>
      </c>
      <c r="C1732" s="16">
        <v>0</v>
      </c>
      <c r="D1732" s="16">
        <v>1</v>
      </c>
      <c r="E1732" s="16">
        <v>62</v>
      </c>
      <c r="F1732" s="17" t="s">
        <v>6</v>
      </c>
      <c r="G1732" s="17" t="s">
        <v>11</v>
      </c>
      <c r="H1732" s="3" t="s">
        <v>51</v>
      </c>
      <c r="I1732" s="5" t="s">
        <v>435</v>
      </c>
      <c r="J1732" s="16">
        <f>_xlfn.XLOOKUP(CustomerCombinedCleaned[[#This Row],[ID]], Table4[ID], Table4[Recency], "Not Found", 0)</f>
        <v>0</v>
      </c>
      <c r="K1732" s="16">
        <f>_xlfn.XLOOKUP(CustomerCombinedCleaned[[#This Row],[ID]], Table4[ID], Table4[Teas], "Not Found", 0)</f>
        <v>333</v>
      </c>
      <c r="L1732" s="16">
        <f>_xlfn.XLOOKUP(CustomerCombinedCleaned[[#This Row],[ID]], Table4[ID], Table4[Fruits], "Not Found", 0)</f>
        <v>27</v>
      </c>
      <c r="M1732" s="16">
        <f>_xlfn.XLOOKUP(CustomerCombinedCleaned[[#This Row],[ID]], Table4[ID], Table4[Meats], "Not Found", 0)</f>
        <v>147</v>
      </c>
      <c r="N1732" s="16">
        <f>_xlfn.XLOOKUP(CustomerCombinedCleaned[[#This Row],[ID]], Table4[ID], Table4[Seafood], "Not Found", 0)</f>
        <v>37</v>
      </c>
      <c r="O1732" s="16">
        <f>_xlfn.XLOOKUP(CustomerCombinedCleaned[[#This Row],[ID]], Table4[ID], Table4[Sweets], "Not Found", 0)</f>
        <v>5</v>
      </c>
      <c r="P1732" s="16">
        <f>_xlfn.XLOOKUP(CustomerCombinedCleaned[[#This Row],[ID]], Table4[ID], Table4[Premium], "Not Found", 0)</f>
        <v>75</v>
      </c>
      <c r="Q1732" s="16">
        <f>_xlfn.XLOOKUP(CustomerCombinedCleaned[[#This Row],[ID]], Table4[ID], Table4[Regular], "Not Found", 0)</f>
        <v>475</v>
      </c>
      <c r="R1732" s="16">
        <f>_xlfn.XLOOKUP(CustomerCombinedCleaned[[#This Row],[ID]], Table4[ID], Table4[Deals], "Not Found", 0)</f>
        <v>1</v>
      </c>
      <c r="S1732" s="16">
        <f>_xlfn.XLOOKUP(CustomerCombinedCleaned[[#This Row],[ID]], Table4[ID], Table4[Website], "Not Found", 0)</f>
        <v>3</v>
      </c>
      <c r="T1732" s="16">
        <f>_xlfn.XLOOKUP(CustomerCombinedCleaned[[#This Row],[ID]], Table4[ID], Table4[Catalog], "Not Found", 0)</f>
        <v>2</v>
      </c>
      <c r="U1732" s="16">
        <f>_xlfn.XLOOKUP(CustomerCombinedCleaned[[#This Row],[ID]], Table4[ID], Table4[Store], "Not Found", 0)</f>
        <v>5</v>
      </c>
      <c r="V1732" s="16">
        <f>_xlfn.XLOOKUP(CustomerCombinedCleaned[[#This Row],[ID]], Table4[ID], Table4[Visits], "Not Found", 0)</f>
        <v>2</v>
      </c>
      <c r="W1732" s="16">
        <f>_xlfn.XLOOKUP(CustomerCombinedCleaned[[#This Row],[ID]], Table2[ID],Table2[Complaint], "Not Found", 0 )</f>
        <v>0</v>
      </c>
      <c r="X1732" s="16">
        <f>_xlfn.XLOOKUP(CustomerCombinedCleaned[[#This Row],[ID]], Table2[ID],Table2[Pilot], "Not Found", 0 )</f>
        <v>0</v>
      </c>
      <c r="Y1732" s="16">
        <f>_xlfn.XLOOKUP(CustomerCombinedCleaned[[#This Row],[ID]], Table2[ID],Table2[MC1], "Not Found", 0 )</f>
        <v>0</v>
      </c>
      <c r="Z1732" s="16">
        <f>_xlfn.XLOOKUP(CustomerCombinedCleaned[[#This Row],[ID]], Table2[ID],Table2[MC2], "Not Found", 0 )</f>
        <v>0</v>
      </c>
      <c r="AA1732" s="16">
        <f>_xlfn.XLOOKUP(CustomerCombinedCleaned[[#This Row],[ID]], Table2[ID],Table2[MC3], "Not Found", 0 )</f>
        <v>0</v>
      </c>
      <c r="AB1732" s="16">
        <f>_xlfn.XLOOKUP(CustomerCombinedCleaned[[#This Row],[ID]], Table2[ID],Table2[MC4], "Not Found", 0 )</f>
        <v>0</v>
      </c>
      <c r="AC1732" s="16">
        <f>_xlfn.XLOOKUP(CustomerCombinedCleaned[[#This Row],[ID]], Table2[ID],Table2[MC5], "Not Found", 0 )</f>
        <v>0</v>
      </c>
    </row>
    <row r="1733" spans="1:29" x14ac:dyDescent="0.3">
      <c r="A1733" s="18">
        <v>1632</v>
      </c>
      <c r="B1733" s="16">
        <v>166886</v>
      </c>
      <c r="C1733" s="16">
        <v>0</v>
      </c>
      <c r="D1733" s="16">
        <v>1</v>
      </c>
      <c r="E1733" s="16">
        <v>62</v>
      </c>
      <c r="F1733" s="17" t="s">
        <v>8</v>
      </c>
      <c r="G1733" s="17" t="s">
        <v>11</v>
      </c>
      <c r="H1733" s="3" t="s">
        <v>183</v>
      </c>
      <c r="I1733" s="5" t="s">
        <v>436</v>
      </c>
      <c r="J1733" s="16">
        <f>_xlfn.XLOOKUP(CustomerCombinedCleaned[[#This Row],[ID]], Table4[ID], Table4[Recency], "Not Found", 0)</f>
        <v>28</v>
      </c>
      <c r="K1733" s="16">
        <f>_xlfn.XLOOKUP(CustomerCombinedCleaned[[#This Row],[ID]], Table4[ID], Table4[Teas], "Not Found", 0)</f>
        <v>786</v>
      </c>
      <c r="L1733" s="16">
        <f>_xlfn.XLOOKUP(CustomerCombinedCleaned[[#This Row],[ID]], Table4[ID], Table4[Fruits], "Not Found", 0)</f>
        <v>10</v>
      </c>
      <c r="M1733" s="16">
        <f>_xlfn.XLOOKUP(CustomerCombinedCleaned[[#This Row],[ID]], Table4[ID], Table4[Meats], "Not Found", 0)</f>
        <v>155</v>
      </c>
      <c r="N1733" s="16">
        <f>_xlfn.XLOOKUP(CustomerCombinedCleaned[[#This Row],[ID]], Table4[ID], Table4[Seafood], "Not Found", 0)</f>
        <v>102</v>
      </c>
      <c r="O1733" s="16">
        <f>_xlfn.XLOOKUP(CustomerCombinedCleaned[[#This Row],[ID]], Table4[ID], Table4[Sweets], "Not Found", 0)</f>
        <v>77</v>
      </c>
      <c r="P1733" s="16">
        <f>_xlfn.XLOOKUP(CustomerCombinedCleaned[[#This Row],[ID]], Table4[ID], Table4[Premium], "Not Found", 0)</f>
        <v>364</v>
      </c>
      <c r="Q1733" s="16">
        <f>_xlfn.XLOOKUP(CustomerCombinedCleaned[[#This Row],[ID]], Table4[ID], Table4[Regular], "Not Found", 0)</f>
        <v>766</v>
      </c>
      <c r="R1733" s="16">
        <f>_xlfn.XLOOKUP(CustomerCombinedCleaned[[#This Row],[ID]], Table4[ID], Table4[Deals], "Not Found", 0)</f>
        <v>2</v>
      </c>
      <c r="S1733" s="16">
        <f>_xlfn.XLOOKUP(CustomerCombinedCleaned[[#This Row],[ID]], Table4[ID], Table4[Website], "Not Found", 0)</f>
        <v>7</v>
      </c>
      <c r="T1733" s="16">
        <f>_xlfn.XLOOKUP(CustomerCombinedCleaned[[#This Row],[ID]], Table4[ID], Table4[Catalog], "Not Found", 0)</f>
        <v>1</v>
      </c>
      <c r="U1733" s="16">
        <f>_xlfn.XLOOKUP(CustomerCombinedCleaned[[#This Row],[ID]], Table4[ID], Table4[Store], "Not Found", 0)</f>
        <v>7</v>
      </c>
      <c r="V1733" s="16">
        <f>_xlfn.XLOOKUP(CustomerCombinedCleaned[[#This Row],[ID]], Table4[ID], Table4[Visits], "Not Found", 0)</f>
        <v>5</v>
      </c>
      <c r="W1733" s="16">
        <f>_xlfn.XLOOKUP(CustomerCombinedCleaned[[#This Row],[ID]], Table2[ID],Table2[Complaint], "Not Found", 0 )</f>
        <v>0</v>
      </c>
      <c r="X1733" s="16">
        <f>_xlfn.XLOOKUP(CustomerCombinedCleaned[[#This Row],[ID]], Table2[ID],Table2[Pilot], "Not Found", 0 )</f>
        <v>0</v>
      </c>
      <c r="Y1733" s="16">
        <f>_xlfn.XLOOKUP(CustomerCombinedCleaned[[#This Row],[ID]], Table2[ID],Table2[MC1], "Not Found", 0 )</f>
        <v>0</v>
      </c>
      <c r="Z1733" s="16">
        <f>_xlfn.XLOOKUP(CustomerCombinedCleaned[[#This Row],[ID]], Table2[ID],Table2[MC2], "Not Found", 0 )</f>
        <v>0</v>
      </c>
      <c r="AA1733" s="16">
        <f>_xlfn.XLOOKUP(CustomerCombinedCleaned[[#This Row],[ID]], Table2[ID],Table2[MC3], "Not Found", 0 )</f>
        <v>0</v>
      </c>
      <c r="AB1733" s="16">
        <f>_xlfn.XLOOKUP(CustomerCombinedCleaned[[#This Row],[ID]], Table2[ID],Table2[MC4], "Not Found", 0 )</f>
        <v>0</v>
      </c>
      <c r="AC1733" s="16">
        <f>_xlfn.XLOOKUP(CustomerCombinedCleaned[[#This Row],[ID]], Table2[ID],Table2[MC5], "Not Found", 0 )</f>
        <v>0</v>
      </c>
    </row>
    <row r="1734" spans="1:29" x14ac:dyDescent="0.3">
      <c r="A1734" s="18">
        <v>1614</v>
      </c>
      <c r="B1734" s="16">
        <v>165488</v>
      </c>
      <c r="C1734" s="16">
        <v>0</v>
      </c>
      <c r="D1734" s="16">
        <v>0</v>
      </c>
      <c r="E1734" s="16">
        <v>62</v>
      </c>
      <c r="F1734" s="17" t="s">
        <v>8</v>
      </c>
      <c r="G1734" s="17" t="s">
        <v>13</v>
      </c>
      <c r="H1734" s="3" t="s">
        <v>36</v>
      </c>
      <c r="I1734" s="5" t="s">
        <v>436</v>
      </c>
      <c r="J1734" s="16">
        <f>_xlfn.XLOOKUP(CustomerCombinedCleaned[[#This Row],[ID]], Table4[ID], Table4[Recency], "Not Found", 0)</f>
        <v>46</v>
      </c>
      <c r="K1734" s="16">
        <f>_xlfn.XLOOKUP(CustomerCombinedCleaned[[#This Row],[ID]], Table4[ID], Table4[Teas], "Not Found", 0)</f>
        <v>1524</v>
      </c>
      <c r="L1734" s="16">
        <f>_xlfn.XLOOKUP(CustomerCombinedCleaned[[#This Row],[ID]], Table4[ID], Table4[Fruits], "Not Found", 0)</f>
        <v>114</v>
      </c>
      <c r="M1734" s="16">
        <f>_xlfn.XLOOKUP(CustomerCombinedCleaned[[#This Row],[ID]], Table4[ID], Table4[Meats], "Not Found", 0)</f>
        <v>523</v>
      </c>
      <c r="N1734" s="16">
        <f>_xlfn.XLOOKUP(CustomerCombinedCleaned[[#This Row],[ID]], Table4[ID], Table4[Seafood], "Not Found", 0)</f>
        <v>91</v>
      </c>
      <c r="O1734" s="16">
        <f>_xlfn.XLOOKUP(CustomerCombinedCleaned[[#This Row],[ID]], Table4[ID], Table4[Sweets], "Not Found", 0)</f>
        <v>45</v>
      </c>
      <c r="P1734" s="16">
        <f>_xlfn.XLOOKUP(CustomerCombinedCleaned[[#This Row],[ID]], Table4[ID], Table4[Premium], "Not Found", 0)</f>
        <v>136</v>
      </c>
      <c r="Q1734" s="16">
        <f>_xlfn.XLOOKUP(CustomerCombinedCleaned[[#This Row],[ID]], Table4[ID], Table4[Regular], "Not Found", 0)</f>
        <v>2161</v>
      </c>
      <c r="R1734" s="16">
        <f>_xlfn.XLOOKUP(CustomerCombinedCleaned[[#This Row],[ID]], Table4[ID], Table4[Deals], "Not Found", 0)</f>
        <v>1</v>
      </c>
      <c r="S1734" s="16">
        <f>_xlfn.XLOOKUP(CustomerCombinedCleaned[[#This Row],[ID]], Table4[ID], Table4[Website], "Not Found", 0)</f>
        <v>3</v>
      </c>
      <c r="T1734" s="16">
        <f>_xlfn.XLOOKUP(CustomerCombinedCleaned[[#This Row],[ID]], Table4[ID], Table4[Catalog], "Not Found", 0)</f>
        <v>4</v>
      </c>
      <c r="U1734" s="16">
        <f>_xlfn.XLOOKUP(CustomerCombinedCleaned[[#This Row],[ID]], Table4[ID], Table4[Store], "Not Found", 0)</f>
        <v>6</v>
      </c>
      <c r="V1734" s="16">
        <f>_xlfn.XLOOKUP(CustomerCombinedCleaned[[#This Row],[ID]], Table4[ID], Table4[Visits], "Not Found", 0)</f>
        <v>1</v>
      </c>
      <c r="W1734" s="16">
        <f>_xlfn.XLOOKUP(CustomerCombinedCleaned[[#This Row],[ID]], Table2[ID],Table2[Complaint], "Not Found", 0 )</f>
        <v>0</v>
      </c>
      <c r="X1734" s="16">
        <f>_xlfn.XLOOKUP(CustomerCombinedCleaned[[#This Row],[ID]], Table2[ID],Table2[Pilot], "Not Found", 0 )</f>
        <v>0</v>
      </c>
      <c r="Y1734" s="16">
        <f>_xlfn.XLOOKUP(CustomerCombinedCleaned[[#This Row],[ID]], Table2[ID],Table2[MC1], "Not Found", 0 )</f>
        <v>0</v>
      </c>
      <c r="Z1734" s="16">
        <f>_xlfn.XLOOKUP(CustomerCombinedCleaned[[#This Row],[ID]], Table2[ID],Table2[MC2], "Not Found", 0 )</f>
        <v>0</v>
      </c>
      <c r="AA1734" s="16">
        <f>_xlfn.XLOOKUP(CustomerCombinedCleaned[[#This Row],[ID]], Table2[ID],Table2[MC3], "Not Found", 0 )</f>
        <v>0</v>
      </c>
      <c r="AB1734" s="16">
        <f>_xlfn.XLOOKUP(CustomerCombinedCleaned[[#This Row],[ID]], Table2[ID],Table2[MC4], "Not Found", 0 )</f>
        <v>0</v>
      </c>
      <c r="AC1734" s="16">
        <f>_xlfn.XLOOKUP(CustomerCombinedCleaned[[#This Row],[ID]], Table2[ID],Table2[MC5], "Not Found", 0 )</f>
        <v>0</v>
      </c>
    </row>
    <row r="1735" spans="1:29" x14ac:dyDescent="0.3">
      <c r="A1735" s="18">
        <v>2042</v>
      </c>
      <c r="B1735" s="16">
        <v>165196</v>
      </c>
      <c r="C1735" s="16">
        <v>0</v>
      </c>
      <c r="D1735" s="16">
        <v>2</v>
      </c>
      <c r="E1735" s="16">
        <v>62</v>
      </c>
      <c r="F1735" s="17" t="s">
        <v>8</v>
      </c>
      <c r="G1735" s="17" t="s">
        <v>11</v>
      </c>
      <c r="H1735" s="3" t="s">
        <v>211</v>
      </c>
      <c r="I1735" s="5" t="s">
        <v>438</v>
      </c>
      <c r="J1735" s="16">
        <f>_xlfn.XLOOKUP(CustomerCombinedCleaned[[#This Row],[ID]], Table4[ID], Table4[Recency], "Not Found", 0)</f>
        <v>34</v>
      </c>
      <c r="K1735" s="16">
        <f>_xlfn.XLOOKUP(CustomerCombinedCleaned[[#This Row],[ID]], Table4[ID], Table4[Teas], "Not Found", 0)</f>
        <v>1883</v>
      </c>
      <c r="L1735" s="16">
        <f>_xlfn.XLOOKUP(CustomerCombinedCleaned[[#This Row],[ID]], Table4[ID], Table4[Fruits], "Not Found", 0)</f>
        <v>48</v>
      </c>
      <c r="M1735" s="16">
        <f>_xlfn.XLOOKUP(CustomerCombinedCleaned[[#This Row],[ID]], Table4[ID], Table4[Meats], "Not Found", 0)</f>
        <v>459</v>
      </c>
      <c r="N1735" s="16">
        <f>_xlfn.XLOOKUP(CustomerCombinedCleaned[[#This Row],[ID]], Table4[ID], Table4[Seafood], "Not Found", 0)</f>
        <v>30</v>
      </c>
      <c r="O1735" s="16">
        <f>_xlfn.XLOOKUP(CustomerCombinedCleaned[[#This Row],[ID]], Table4[ID], Table4[Sweets], "Not Found", 0)</f>
        <v>0</v>
      </c>
      <c r="P1735" s="16">
        <f>_xlfn.XLOOKUP(CustomerCombinedCleaned[[#This Row],[ID]], Table4[ID], Table4[Premium], "Not Found", 0)</f>
        <v>507</v>
      </c>
      <c r="Q1735" s="16">
        <f>_xlfn.XLOOKUP(CustomerCombinedCleaned[[#This Row],[ID]], Table4[ID], Table4[Regular], "Not Found", 0)</f>
        <v>1913</v>
      </c>
      <c r="R1735" s="16">
        <f>_xlfn.XLOOKUP(CustomerCombinedCleaned[[#This Row],[ID]], Table4[ID], Table4[Deals], "Not Found", 0)</f>
        <v>2</v>
      </c>
      <c r="S1735" s="16">
        <f>_xlfn.XLOOKUP(CustomerCombinedCleaned[[#This Row],[ID]], Table4[ID], Table4[Website], "Not Found", 0)</f>
        <v>7</v>
      </c>
      <c r="T1735" s="16">
        <f>_xlfn.XLOOKUP(CustomerCombinedCleaned[[#This Row],[ID]], Table4[ID], Table4[Catalog], "Not Found", 0)</f>
        <v>6</v>
      </c>
      <c r="U1735" s="16">
        <f>_xlfn.XLOOKUP(CustomerCombinedCleaned[[#This Row],[ID]], Table4[ID], Table4[Store], "Not Found", 0)</f>
        <v>11</v>
      </c>
      <c r="V1735" s="16">
        <f>_xlfn.XLOOKUP(CustomerCombinedCleaned[[#This Row],[ID]], Table4[ID], Table4[Visits], "Not Found", 0)</f>
        <v>5</v>
      </c>
      <c r="W1735" s="16">
        <f>_xlfn.XLOOKUP(CustomerCombinedCleaned[[#This Row],[ID]], Table2[ID],Table2[Complaint], "Not Found", 0 )</f>
        <v>0</v>
      </c>
      <c r="X1735" s="16">
        <f>_xlfn.XLOOKUP(CustomerCombinedCleaned[[#This Row],[ID]], Table2[ID],Table2[Pilot], "Not Found", 0 )</f>
        <v>0</v>
      </c>
      <c r="Y1735" s="16">
        <f>_xlfn.XLOOKUP(CustomerCombinedCleaned[[#This Row],[ID]], Table2[ID],Table2[MC1], "Not Found", 0 )</f>
        <v>0</v>
      </c>
      <c r="Z1735" s="16">
        <f>_xlfn.XLOOKUP(CustomerCombinedCleaned[[#This Row],[ID]], Table2[ID],Table2[MC2], "Not Found", 0 )</f>
        <v>0</v>
      </c>
      <c r="AA1735" s="16">
        <f>_xlfn.XLOOKUP(CustomerCombinedCleaned[[#This Row],[ID]], Table2[ID],Table2[MC3], "Not Found", 0 )</f>
        <v>1</v>
      </c>
      <c r="AB1735" s="16">
        <f>_xlfn.XLOOKUP(CustomerCombinedCleaned[[#This Row],[ID]], Table2[ID],Table2[MC4], "Not Found", 0 )</f>
        <v>0</v>
      </c>
      <c r="AC1735" s="16">
        <f>_xlfn.XLOOKUP(CustomerCombinedCleaned[[#This Row],[ID]], Table2[ID],Table2[MC5], "Not Found", 0 )</f>
        <v>0</v>
      </c>
    </row>
    <row r="1736" spans="1:29" x14ac:dyDescent="0.3">
      <c r="A1736" s="18">
        <v>2450</v>
      </c>
      <c r="B1736" s="16">
        <v>165148</v>
      </c>
      <c r="C1736" s="16">
        <v>0</v>
      </c>
      <c r="D1736" s="16">
        <v>1</v>
      </c>
      <c r="E1736" s="16">
        <v>62</v>
      </c>
      <c r="F1736" s="17" t="s">
        <v>6</v>
      </c>
      <c r="G1736" s="17" t="s">
        <v>11</v>
      </c>
      <c r="H1736" s="3" t="s">
        <v>360</v>
      </c>
      <c r="I1736" s="5" t="s">
        <v>438</v>
      </c>
      <c r="J1736" s="16">
        <f>_xlfn.XLOOKUP(CustomerCombinedCleaned[[#This Row],[ID]], Table4[ID], Table4[Recency], "Not Found", 0)</f>
        <v>9</v>
      </c>
      <c r="K1736" s="16">
        <f>_xlfn.XLOOKUP(CustomerCombinedCleaned[[#This Row],[ID]], Table4[ID], Table4[Teas], "Not Found", 0)</f>
        <v>1166</v>
      </c>
      <c r="L1736" s="16">
        <f>_xlfn.XLOOKUP(CustomerCombinedCleaned[[#This Row],[ID]], Table4[ID], Table4[Fruits], "Not Found", 0)</f>
        <v>89</v>
      </c>
      <c r="M1736" s="16">
        <f>_xlfn.XLOOKUP(CustomerCombinedCleaned[[#This Row],[ID]], Table4[ID], Table4[Meats], "Not Found", 0)</f>
        <v>1070</v>
      </c>
      <c r="N1736" s="16">
        <f>_xlfn.XLOOKUP(CustomerCombinedCleaned[[#This Row],[ID]], Table4[ID], Table4[Seafood], "Not Found", 0)</f>
        <v>84</v>
      </c>
      <c r="O1736" s="16">
        <f>_xlfn.XLOOKUP(CustomerCombinedCleaned[[#This Row],[ID]], Table4[ID], Table4[Sweets], "Not Found", 0)</f>
        <v>30</v>
      </c>
      <c r="P1736" s="16">
        <f>_xlfn.XLOOKUP(CustomerCombinedCleaned[[#This Row],[ID]], Table4[ID], Table4[Premium], "Not Found", 0)</f>
        <v>388</v>
      </c>
      <c r="Q1736" s="16">
        <f>_xlfn.XLOOKUP(CustomerCombinedCleaned[[#This Row],[ID]], Table4[ID], Table4[Regular], "Not Found", 0)</f>
        <v>2051</v>
      </c>
      <c r="R1736" s="16">
        <f>_xlfn.XLOOKUP(CustomerCombinedCleaned[[#This Row],[ID]], Table4[ID], Table4[Deals], "Not Found", 0)</f>
        <v>2</v>
      </c>
      <c r="S1736" s="16">
        <f>_xlfn.XLOOKUP(CustomerCombinedCleaned[[#This Row],[ID]], Table4[ID], Table4[Website], "Not Found", 0)</f>
        <v>6</v>
      </c>
      <c r="T1736" s="16">
        <f>_xlfn.XLOOKUP(CustomerCombinedCleaned[[#This Row],[ID]], Table4[ID], Table4[Catalog], "Not Found", 0)</f>
        <v>6</v>
      </c>
      <c r="U1736" s="16">
        <f>_xlfn.XLOOKUP(CustomerCombinedCleaned[[#This Row],[ID]], Table4[ID], Table4[Store], "Not Found", 0)</f>
        <v>7</v>
      </c>
      <c r="V1736" s="16">
        <f>_xlfn.XLOOKUP(CustomerCombinedCleaned[[#This Row],[ID]], Table4[ID], Table4[Visits], "Not Found", 0)</f>
        <v>4</v>
      </c>
      <c r="W1736" s="16">
        <f>_xlfn.XLOOKUP(CustomerCombinedCleaned[[#This Row],[ID]], Table2[ID],Table2[Complaint], "Not Found", 0 )</f>
        <v>0</v>
      </c>
      <c r="X1736" s="16">
        <f>_xlfn.XLOOKUP(CustomerCombinedCleaned[[#This Row],[ID]], Table2[ID],Table2[Pilot], "Not Found", 0 )</f>
        <v>0</v>
      </c>
      <c r="Y1736" s="16">
        <f>_xlfn.XLOOKUP(CustomerCombinedCleaned[[#This Row],[ID]], Table2[ID],Table2[MC1], "Not Found", 0 )</f>
        <v>0</v>
      </c>
      <c r="Z1736" s="16">
        <f>_xlfn.XLOOKUP(CustomerCombinedCleaned[[#This Row],[ID]], Table2[ID],Table2[MC2], "Not Found", 0 )</f>
        <v>0</v>
      </c>
      <c r="AA1736" s="16">
        <f>_xlfn.XLOOKUP(CustomerCombinedCleaned[[#This Row],[ID]], Table2[ID],Table2[MC3], "Not Found", 0 )</f>
        <v>0</v>
      </c>
      <c r="AB1736" s="16">
        <f>_xlfn.XLOOKUP(CustomerCombinedCleaned[[#This Row],[ID]], Table2[ID],Table2[MC4], "Not Found", 0 )</f>
        <v>0</v>
      </c>
      <c r="AC1736" s="16">
        <f>_xlfn.XLOOKUP(CustomerCombinedCleaned[[#This Row],[ID]], Table2[ID],Table2[MC5], "Not Found", 0 )</f>
        <v>0</v>
      </c>
    </row>
    <row r="1737" spans="1:29" x14ac:dyDescent="0.3">
      <c r="A1737" s="18">
        <v>1228</v>
      </c>
      <c r="B1737" s="16">
        <v>164961</v>
      </c>
      <c r="C1737" s="16">
        <v>0</v>
      </c>
      <c r="D1737" s="16">
        <v>1</v>
      </c>
      <c r="E1737" s="16">
        <v>62</v>
      </c>
      <c r="F1737" s="17" t="s">
        <v>8</v>
      </c>
      <c r="G1737" s="17" t="s">
        <v>11</v>
      </c>
      <c r="H1737" s="3" t="s">
        <v>336</v>
      </c>
      <c r="I1737" s="5" t="s">
        <v>439</v>
      </c>
      <c r="J1737" s="16">
        <f>_xlfn.XLOOKUP(CustomerCombinedCleaned[[#This Row],[ID]], Table4[ID], Table4[Recency], "Not Found", 0)</f>
        <v>97</v>
      </c>
      <c r="K1737" s="16">
        <f>_xlfn.XLOOKUP(CustomerCombinedCleaned[[#This Row],[ID]], Table4[ID], Table4[Teas], "Not Found", 0)</f>
        <v>970</v>
      </c>
      <c r="L1737" s="16">
        <f>_xlfn.XLOOKUP(CustomerCombinedCleaned[[#This Row],[ID]], Table4[ID], Table4[Fruits], "Not Found", 0)</f>
        <v>289</v>
      </c>
      <c r="M1737" s="16">
        <f>_xlfn.XLOOKUP(CustomerCombinedCleaned[[#This Row],[ID]], Table4[ID], Table4[Meats], "Not Found", 0)</f>
        <v>701</v>
      </c>
      <c r="N1737" s="16">
        <f>_xlfn.XLOOKUP(CustomerCombinedCleaned[[#This Row],[ID]], Table4[ID], Table4[Seafood], "Not Found", 0)</f>
        <v>190</v>
      </c>
      <c r="O1737" s="16">
        <f>_xlfn.XLOOKUP(CustomerCombinedCleaned[[#This Row],[ID]], Table4[ID], Table4[Sweets], "Not Found", 0)</f>
        <v>315</v>
      </c>
      <c r="P1737" s="16">
        <f>_xlfn.XLOOKUP(CustomerCombinedCleaned[[#This Row],[ID]], Table4[ID], Table4[Premium], "Not Found", 0)</f>
        <v>96</v>
      </c>
      <c r="Q1737" s="16">
        <f>_xlfn.XLOOKUP(CustomerCombinedCleaned[[#This Row],[ID]], Table4[ID], Table4[Regular], "Not Found", 0)</f>
        <v>2369</v>
      </c>
      <c r="R1737" s="16">
        <f>_xlfn.XLOOKUP(CustomerCombinedCleaned[[#This Row],[ID]], Table4[ID], Table4[Deals], "Not Found", 0)</f>
        <v>2</v>
      </c>
      <c r="S1737" s="16">
        <f>_xlfn.XLOOKUP(CustomerCombinedCleaned[[#This Row],[ID]], Table4[ID], Table4[Website], "Not Found", 0)</f>
        <v>6</v>
      </c>
      <c r="T1737" s="16">
        <f>_xlfn.XLOOKUP(CustomerCombinedCleaned[[#This Row],[ID]], Table4[ID], Table4[Catalog], "Not Found", 0)</f>
        <v>4</v>
      </c>
      <c r="U1737" s="16">
        <f>_xlfn.XLOOKUP(CustomerCombinedCleaned[[#This Row],[ID]], Table4[ID], Table4[Store], "Not Found", 0)</f>
        <v>4</v>
      </c>
      <c r="V1737" s="16">
        <f>_xlfn.XLOOKUP(CustomerCombinedCleaned[[#This Row],[ID]], Table4[ID], Table4[Visits], "Not Found", 0)</f>
        <v>3</v>
      </c>
      <c r="W1737" s="16">
        <f>_xlfn.XLOOKUP(CustomerCombinedCleaned[[#This Row],[ID]], Table2[ID],Table2[Complaint], "Not Found", 0 )</f>
        <v>0</v>
      </c>
      <c r="X1737" s="16">
        <f>_xlfn.XLOOKUP(CustomerCombinedCleaned[[#This Row],[ID]], Table2[ID],Table2[Pilot], "Not Found", 0 )</f>
        <v>0</v>
      </c>
      <c r="Y1737" s="16">
        <f>_xlfn.XLOOKUP(CustomerCombinedCleaned[[#This Row],[ID]], Table2[ID],Table2[MC1], "Not Found", 0 )</f>
        <v>0</v>
      </c>
      <c r="Z1737" s="16">
        <f>_xlfn.XLOOKUP(CustomerCombinedCleaned[[#This Row],[ID]], Table2[ID],Table2[MC2], "Not Found", 0 )</f>
        <v>0</v>
      </c>
      <c r="AA1737" s="16">
        <f>_xlfn.XLOOKUP(CustomerCombinedCleaned[[#This Row],[ID]], Table2[ID],Table2[MC3], "Not Found", 0 )</f>
        <v>0</v>
      </c>
      <c r="AB1737" s="16">
        <f>_xlfn.XLOOKUP(CustomerCombinedCleaned[[#This Row],[ID]], Table2[ID],Table2[MC4], "Not Found", 0 )</f>
        <v>0</v>
      </c>
      <c r="AC1737" s="16">
        <f>_xlfn.XLOOKUP(CustomerCombinedCleaned[[#This Row],[ID]], Table2[ID],Table2[MC5], "Not Found", 0 )</f>
        <v>0</v>
      </c>
    </row>
    <row r="1738" spans="1:29" x14ac:dyDescent="0.3">
      <c r="A1738" s="18">
        <v>1122</v>
      </c>
      <c r="B1738" s="16">
        <v>161331</v>
      </c>
      <c r="C1738" s="16">
        <v>1</v>
      </c>
      <c r="D1738" s="16">
        <v>1</v>
      </c>
      <c r="E1738" s="16">
        <v>62</v>
      </c>
      <c r="F1738" s="17" t="s">
        <v>7</v>
      </c>
      <c r="G1738" s="17" t="s">
        <v>12</v>
      </c>
      <c r="H1738" s="3" t="s">
        <v>297</v>
      </c>
      <c r="I1738" s="5" t="s">
        <v>436</v>
      </c>
      <c r="J1738" s="16">
        <f>_xlfn.XLOOKUP(CustomerCombinedCleaned[[#This Row],[ID]], Table4[ID], Table4[Recency], "Not Found", 0)</f>
        <v>42</v>
      </c>
      <c r="K1738" s="16">
        <f>_xlfn.XLOOKUP(CustomerCombinedCleaned[[#This Row],[ID]], Table4[ID], Table4[Teas], "Not Found", 0)</f>
        <v>1405</v>
      </c>
      <c r="L1738" s="16">
        <f>_xlfn.XLOOKUP(CustomerCombinedCleaned[[#This Row],[ID]], Table4[ID], Table4[Fruits], "Not Found", 0)</f>
        <v>13</v>
      </c>
      <c r="M1738" s="16">
        <f>_xlfn.XLOOKUP(CustomerCombinedCleaned[[#This Row],[ID]], Table4[ID], Table4[Meats], "Not Found", 0)</f>
        <v>124</v>
      </c>
      <c r="N1738" s="16">
        <f>_xlfn.XLOOKUP(CustomerCombinedCleaned[[#This Row],[ID]], Table4[ID], Table4[Seafood], "Not Found", 0)</f>
        <v>0</v>
      </c>
      <c r="O1738" s="16">
        <f>_xlfn.XLOOKUP(CustomerCombinedCleaned[[#This Row],[ID]], Table4[ID], Table4[Sweets], "Not Found", 0)</f>
        <v>13</v>
      </c>
      <c r="P1738" s="16">
        <f>_xlfn.XLOOKUP(CustomerCombinedCleaned[[#This Row],[ID]], Table4[ID], Table4[Premium], "Not Found", 0)</f>
        <v>108</v>
      </c>
      <c r="Q1738" s="16">
        <f>_xlfn.XLOOKUP(CustomerCombinedCleaned[[#This Row],[ID]], Table4[ID], Table4[Regular], "Not Found", 0)</f>
        <v>1447</v>
      </c>
      <c r="R1738" s="16">
        <f>_xlfn.XLOOKUP(CustomerCombinedCleaned[[#This Row],[ID]], Table4[ID], Table4[Deals], "Not Found", 0)</f>
        <v>5</v>
      </c>
      <c r="S1738" s="16">
        <f>_xlfn.XLOOKUP(CustomerCombinedCleaned[[#This Row],[ID]], Table4[ID], Table4[Website], "Not Found", 0)</f>
        <v>11</v>
      </c>
      <c r="T1738" s="16">
        <f>_xlfn.XLOOKUP(CustomerCombinedCleaned[[#This Row],[ID]], Table4[ID], Table4[Catalog], "Not Found", 0)</f>
        <v>1</v>
      </c>
      <c r="U1738" s="16">
        <f>_xlfn.XLOOKUP(CustomerCombinedCleaned[[#This Row],[ID]], Table4[ID], Table4[Store], "Not Found", 0)</f>
        <v>6</v>
      </c>
      <c r="V1738" s="16">
        <f>_xlfn.XLOOKUP(CustomerCombinedCleaned[[#This Row],[ID]], Table4[ID], Table4[Visits], "Not Found", 0)</f>
        <v>8</v>
      </c>
      <c r="W1738" s="16">
        <f>_xlfn.XLOOKUP(CustomerCombinedCleaned[[#This Row],[ID]], Table2[ID],Table2[Complaint], "Not Found", 0 )</f>
        <v>0</v>
      </c>
      <c r="X1738" s="16">
        <f>_xlfn.XLOOKUP(CustomerCombinedCleaned[[#This Row],[ID]], Table2[ID],Table2[Pilot], "Not Found", 0 )</f>
        <v>0</v>
      </c>
      <c r="Y1738" s="16">
        <f>_xlfn.XLOOKUP(CustomerCombinedCleaned[[#This Row],[ID]], Table2[ID],Table2[MC1], "Not Found", 0 )</f>
        <v>0</v>
      </c>
      <c r="Z1738" s="16">
        <f>_xlfn.XLOOKUP(CustomerCombinedCleaned[[#This Row],[ID]], Table2[ID],Table2[MC2], "Not Found", 0 )</f>
        <v>0</v>
      </c>
      <c r="AA1738" s="16">
        <f>_xlfn.XLOOKUP(CustomerCombinedCleaned[[#This Row],[ID]], Table2[ID],Table2[MC3], "Not Found", 0 )</f>
        <v>0</v>
      </c>
      <c r="AB1738" s="16">
        <f>_xlfn.XLOOKUP(CustomerCombinedCleaned[[#This Row],[ID]], Table2[ID],Table2[MC4], "Not Found", 0 )</f>
        <v>0</v>
      </c>
      <c r="AC1738" s="16">
        <f>_xlfn.XLOOKUP(CustomerCombinedCleaned[[#This Row],[ID]], Table2[ID],Table2[MC5], "Not Found", 0 )</f>
        <v>0</v>
      </c>
    </row>
    <row r="1739" spans="1:29" x14ac:dyDescent="0.3">
      <c r="A1739" s="18">
        <v>1231</v>
      </c>
      <c r="B1739" s="16">
        <v>161074</v>
      </c>
      <c r="C1739" s="16">
        <v>0</v>
      </c>
      <c r="D1739" s="16">
        <v>1</v>
      </c>
      <c r="E1739" s="16">
        <v>62</v>
      </c>
      <c r="F1739" s="17" t="s">
        <v>6</v>
      </c>
      <c r="G1739" s="17" t="s">
        <v>11</v>
      </c>
      <c r="H1739" s="3" t="s">
        <v>411</v>
      </c>
      <c r="I1739" s="5" t="s">
        <v>437</v>
      </c>
      <c r="J1739" s="16">
        <f>_xlfn.XLOOKUP(CustomerCombinedCleaned[[#This Row],[ID]], Table4[ID], Table4[Recency], "Not Found", 0)</f>
        <v>37</v>
      </c>
      <c r="K1739" s="16">
        <f>_xlfn.XLOOKUP(CustomerCombinedCleaned[[#This Row],[ID]], Table4[ID], Table4[Teas], "Not Found", 0)</f>
        <v>2081</v>
      </c>
      <c r="L1739" s="16">
        <f>_xlfn.XLOOKUP(CustomerCombinedCleaned[[#This Row],[ID]], Table4[ID], Table4[Fruits], "Not Found", 0)</f>
        <v>0</v>
      </c>
      <c r="M1739" s="16">
        <f>_xlfn.XLOOKUP(CustomerCombinedCleaned[[#This Row],[ID]], Table4[ID], Table4[Meats], "Not Found", 0)</f>
        <v>351</v>
      </c>
      <c r="N1739" s="16">
        <f>_xlfn.XLOOKUP(CustomerCombinedCleaned[[#This Row],[ID]], Table4[ID], Table4[Seafood], "Not Found", 0)</f>
        <v>0</v>
      </c>
      <c r="O1739" s="16">
        <f>_xlfn.XLOOKUP(CustomerCombinedCleaned[[#This Row],[ID]], Table4[ID], Table4[Sweets], "Not Found", 0)</f>
        <v>74</v>
      </c>
      <c r="P1739" s="16">
        <f>_xlfn.XLOOKUP(CustomerCombinedCleaned[[#This Row],[ID]], Table4[ID], Table4[Premium], "Not Found", 0)</f>
        <v>401</v>
      </c>
      <c r="Q1739" s="16">
        <f>_xlfn.XLOOKUP(CustomerCombinedCleaned[[#This Row],[ID]], Table4[ID], Table4[Regular], "Not Found", 0)</f>
        <v>2105</v>
      </c>
      <c r="R1739" s="16">
        <f>_xlfn.XLOOKUP(CustomerCombinedCleaned[[#This Row],[ID]], Table4[ID], Table4[Deals], "Not Found", 0)</f>
        <v>7</v>
      </c>
      <c r="S1739" s="16">
        <f>_xlfn.XLOOKUP(CustomerCombinedCleaned[[#This Row],[ID]], Table4[ID], Table4[Website], "Not Found", 0)</f>
        <v>11</v>
      </c>
      <c r="T1739" s="16">
        <f>_xlfn.XLOOKUP(CustomerCombinedCleaned[[#This Row],[ID]], Table4[ID], Table4[Catalog], "Not Found", 0)</f>
        <v>5</v>
      </c>
      <c r="U1739" s="16">
        <f>_xlfn.XLOOKUP(CustomerCombinedCleaned[[#This Row],[ID]], Table4[ID], Table4[Store], "Not Found", 0)</f>
        <v>8</v>
      </c>
      <c r="V1739" s="16">
        <f>_xlfn.XLOOKUP(CustomerCombinedCleaned[[#This Row],[ID]], Table4[ID], Table4[Visits], "Not Found", 0)</f>
        <v>7</v>
      </c>
      <c r="W1739" s="16">
        <f>_xlfn.XLOOKUP(CustomerCombinedCleaned[[#This Row],[ID]], Table2[ID],Table2[Complaint], "Not Found", 0 )</f>
        <v>0</v>
      </c>
      <c r="X1739" s="16">
        <f>_xlfn.XLOOKUP(CustomerCombinedCleaned[[#This Row],[ID]], Table2[ID],Table2[Pilot], "Not Found", 0 )</f>
        <v>0</v>
      </c>
      <c r="Y1739" s="16">
        <f>_xlfn.XLOOKUP(CustomerCombinedCleaned[[#This Row],[ID]], Table2[ID],Table2[MC1], "Not Found", 0 )</f>
        <v>0</v>
      </c>
      <c r="Z1739" s="16">
        <f>_xlfn.XLOOKUP(CustomerCombinedCleaned[[#This Row],[ID]], Table2[ID],Table2[MC2], "Not Found", 0 )</f>
        <v>0</v>
      </c>
      <c r="AA1739" s="16">
        <f>_xlfn.XLOOKUP(CustomerCombinedCleaned[[#This Row],[ID]], Table2[ID],Table2[MC3], "Not Found", 0 )</f>
        <v>0</v>
      </c>
      <c r="AB1739" s="16">
        <f>_xlfn.XLOOKUP(CustomerCombinedCleaned[[#This Row],[ID]], Table2[ID],Table2[MC4], "Not Found", 0 )</f>
        <v>0</v>
      </c>
      <c r="AC1739" s="16">
        <f>_xlfn.XLOOKUP(CustomerCombinedCleaned[[#This Row],[ID]], Table2[ID],Table2[MC5], "Not Found", 0 )</f>
        <v>0</v>
      </c>
    </row>
    <row r="1740" spans="1:29" x14ac:dyDescent="0.3">
      <c r="A1740" s="18">
        <v>2485</v>
      </c>
      <c r="B1740" s="16">
        <v>153977</v>
      </c>
      <c r="C1740" s="16">
        <v>0</v>
      </c>
      <c r="D1740" s="16">
        <v>1</v>
      </c>
      <c r="E1740" s="16">
        <v>62</v>
      </c>
      <c r="F1740" s="17" t="s">
        <v>8</v>
      </c>
      <c r="G1740" s="17" t="s">
        <v>11</v>
      </c>
      <c r="H1740" s="3" t="s">
        <v>244</v>
      </c>
      <c r="I1740" s="5" t="s">
        <v>437</v>
      </c>
      <c r="J1740" s="16">
        <f>_xlfn.XLOOKUP(CustomerCombinedCleaned[[#This Row],[ID]], Table4[ID], Table4[Recency], "Not Found", 0)</f>
        <v>21</v>
      </c>
      <c r="K1740" s="16">
        <f>_xlfn.XLOOKUP(CustomerCombinedCleaned[[#This Row],[ID]], Table4[ID], Table4[Teas], "Not Found", 0)</f>
        <v>1769</v>
      </c>
      <c r="L1740" s="16">
        <f>_xlfn.XLOOKUP(CustomerCombinedCleaned[[#This Row],[ID]], Table4[ID], Table4[Fruits], "Not Found", 0)</f>
        <v>46</v>
      </c>
      <c r="M1740" s="16">
        <f>_xlfn.XLOOKUP(CustomerCombinedCleaned[[#This Row],[ID]], Table4[ID], Table4[Meats], "Not Found", 0)</f>
        <v>471</v>
      </c>
      <c r="N1740" s="16">
        <f>_xlfn.XLOOKUP(CustomerCombinedCleaned[[#This Row],[ID]], Table4[ID], Table4[Seafood], "Not Found", 0)</f>
        <v>0</v>
      </c>
      <c r="O1740" s="16">
        <f>_xlfn.XLOOKUP(CustomerCombinedCleaned[[#This Row],[ID]], Table4[ID], Table4[Sweets], "Not Found", 0)</f>
        <v>68</v>
      </c>
      <c r="P1740" s="16">
        <f>_xlfn.XLOOKUP(CustomerCombinedCleaned[[#This Row],[ID]], Table4[ID], Table4[Premium], "Not Found", 0)</f>
        <v>234</v>
      </c>
      <c r="Q1740" s="16">
        <f>_xlfn.XLOOKUP(CustomerCombinedCleaned[[#This Row],[ID]], Table4[ID], Table4[Regular], "Not Found", 0)</f>
        <v>2120</v>
      </c>
      <c r="R1740" s="16">
        <f>_xlfn.XLOOKUP(CustomerCombinedCleaned[[#This Row],[ID]], Table4[ID], Table4[Deals], "Not Found", 0)</f>
        <v>5</v>
      </c>
      <c r="S1740" s="16">
        <f>_xlfn.XLOOKUP(CustomerCombinedCleaned[[#This Row],[ID]], Table4[ID], Table4[Website], "Not Found", 0)</f>
        <v>5</v>
      </c>
      <c r="T1740" s="16">
        <f>_xlfn.XLOOKUP(CustomerCombinedCleaned[[#This Row],[ID]], Table4[ID], Table4[Catalog], "Not Found", 0)</f>
        <v>5</v>
      </c>
      <c r="U1740" s="16">
        <f>_xlfn.XLOOKUP(CustomerCombinedCleaned[[#This Row],[ID]], Table4[ID], Table4[Store], "Not Found", 0)</f>
        <v>12</v>
      </c>
      <c r="V1740" s="16">
        <f>_xlfn.XLOOKUP(CustomerCombinedCleaned[[#This Row],[ID]], Table4[ID], Table4[Visits], "Not Found", 0)</f>
        <v>5</v>
      </c>
      <c r="W1740" s="16">
        <f>_xlfn.XLOOKUP(CustomerCombinedCleaned[[#This Row],[ID]], Table2[ID],Table2[Complaint], "Not Found", 0 )</f>
        <v>0</v>
      </c>
      <c r="X1740" s="16">
        <f>_xlfn.XLOOKUP(CustomerCombinedCleaned[[#This Row],[ID]], Table2[ID],Table2[Pilot], "Not Found", 0 )</f>
        <v>0</v>
      </c>
      <c r="Y1740" s="16">
        <f>_xlfn.XLOOKUP(CustomerCombinedCleaned[[#This Row],[ID]], Table2[ID],Table2[MC1], "Not Found", 0 )</f>
        <v>0</v>
      </c>
      <c r="Z1740" s="16">
        <f>_xlfn.XLOOKUP(CustomerCombinedCleaned[[#This Row],[ID]], Table2[ID],Table2[MC2], "Not Found", 0 )</f>
        <v>0</v>
      </c>
      <c r="AA1740" s="16">
        <f>_xlfn.XLOOKUP(CustomerCombinedCleaned[[#This Row],[ID]], Table2[ID],Table2[MC3], "Not Found", 0 )</f>
        <v>0</v>
      </c>
      <c r="AB1740" s="16">
        <f>_xlfn.XLOOKUP(CustomerCombinedCleaned[[#This Row],[ID]], Table2[ID],Table2[MC4], "Not Found", 0 )</f>
        <v>0</v>
      </c>
      <c r="AC1740" s="16">
        <f>_xlfn.XLOOKUP(CustomerCombinedCleaned[[#This Row],[ID]], Table2[ID],Table2[MC5], "Not Found", 0 )</f>
        <v>0</v>
      </c>
    </row>
    <row r="1741" spans="1:29" x14ac:dyDescent="0.3">
      <c r="A1741" s="18">
        <v>2780</v>
      </c>
      <c r="B1741" s="16">
        <v>153977</v>
      </c>
      <c r="C1741" s="16">
        <v>0</v>
      </c>
      <c r="D1741" s="16">
        <v>1</v>
      </c>
      <c r="E1741" s="16">
        <v>62</v>
      </c>
      <c r="F1741" s="17" t="s">
        <v>8</v>
      </c>
      <c r="G1741" s="17" t="s">
        <v>11</v>
      </c>
      <c r="H1741" s="3" t="s">
        <v>244</v>
      </c>
      <c r="I1741" s="5" t="s">
        <v>438</v>
      </c>
      <c r="J1741" s="16">
        <f>_xlfn.XLOOKUP(CustomerCombinedCleaned[[#This Row],[ID]], Table4[ID], Table4[Recency], "Not Found", 0)</f>
        <v>21</v>
      </c>
      <c r="K1741" s="16">
        <f>_xlfn.XLOOKUP(CustomerCombinedCleaned[[#This Row],[ID]], Table4[ID], Table4[Teas], "Not Found", 0)</f>
        <v>1769</v>
      </c>
      <c r="L1741" s="16">
        <f>_xlfn.XLOOKUP(CustomerCombinedCleaned[[#This Row],[ID]], Table4[ID], Table4[Fruits], "Not Found", 0)</f>
        <v>46</v>
      </c>
      <c r="M1741" s="16">
        <f>_xlfn.XLOOKUP(CustomerCombinedCleaned[[#This Row],[ID]], Table4[ID], Table4[Meats], "Not Found", 0)</f>
        <v>471</v>
      </c>
      <c r="N1741" s="16">
        <f>_xlfn.XLOOKUP(CustomerCombinedCleaned[[#This Row],[ID]], Table4[ID], Table4[Seafood], "Not Found", 0)</f>
        <v>0</v>
      </c>
      <c r="O1741" s="16">
        <f>_xlfn.XLOOKUP(CustomerCombinedCleaned[[#This Row],[ID]], Table4[ID], Table4[Sweets], "Not Found", 0)</f>
        <v>68</v>
      </c>
      <c r="P1741" s="16">
        <f>_xlfn.XLOOKUP(CustomerCombinedCleaned[[#This Row],[ID]], Table4[ID], Table4[Premium], "Not Found", 0)</f>
        <v>234</v>
      </c>
      <c r="Q1741" s="16">
        <f>_xlfn.XLOOKUP(CustomerCombinedCleaned[[#This Row],[ID]], Table4[ID], Table4[Regular], "Not Found", 0)</f>
        <v>2120</v>
      </c>
      <c r="R1741" s="16">
        <f>_xlfn.XLOOKUP(CustomerCombinedCleaned[[#This Row],[ID]], Table4[ID], Table4[Deals], "Not Found", 0)</f>
        <v>5</v>
      </c>
      <c r="S1741" s="16">
        <f>_xlfn.XLOOKUP(CustomerCombinedCleaned[[#This Row],[ID]], Table4[ID], Table4[Website], "Not Found", 0)</f>
        <v>5</v>
      </c>
      <c r="T1741" s="16">
        <f>_xlfn.XLOOKUP(CustomerCombinedCleaned[[#This Row],[ID]], Table4[ID], Table4[Catalog], "Not Found", 0)</f>
        <v>5</v>
      </c>
      <c r="U1741" s="16">
        <f>_xlfn.XLOOKUP(CustomerCombinedCleaned[[#This Row],[ID]], Table4[ID], Table4[Store], "Not Found", 0)</f>
        <v>12</v>
      </c>
      <c r="V1741" s="16">
        <f>_xlfn.XLOOKUP(CustomerCombinedCleaned[[#This Row],[ID]], Table4[ID], Table4[Visits], "Not Found", 0)</f>
        <v>5</v>
      </c>
      <c r="W1741" s="16">
        <f>_xlfn.XLOOKUP(CustomerCombinedCleaned[[#This Row],[ID]], Table2[ID],Table2[Complaint], "Not Found", 0 )</f>
        <v>0</v>
      </c>
      <c r="X1741" s="16">
        <f>_xlfn.XLOOKUP(CustomerCombinedCleaned[[#This Row],[ID]], Table2[ID],Table2[Pilot], "Not Found", 0 )</f>
        <v>0</v>
      </c>
      <c r="Y1741" s="16">
        <f>_xlfn.XLOOKUP(CustomerCombinedCleaned[[#This Row],[ID]], Table2[ID],Table2[MC1], "Not Found", 0 )</f>
        <v>0</v>
      </c>
      <c r="Z1741" s="16">
        <f>_xlfn.XLOOKUP(CustomerCombinedCleaned[[#This Row],[ID]], Table2[ID],Table2[MC2], "Not Found", 0 )</f>
        <v>0</v>
      </c>
      <c r="AA1741" s="16">
        <f>_xlfn.XLOOKUP(CustomerCombinedCleaned[[#This Row],[ID]], Table2[ID],Table2[MC3], "Not Found", 0 )</f>
        <v>0</v>
      </c>
      <c r="AB1741" s="16">
        <f>_xlfn.XLOOKUP(CustomerCombinedCleaned[[#This Row],[ID]], Table2[ID],Table2[MC4], "Not Found", 0 )</f>
        <v>0</v>
      </c>
      <c r="AC1741" s="16">
        <f>_xlfn.XLOOKUP(CustomerCombinedCleaned[[#This Row],[ID]], Table2[ID],Table2[MC5], "Not Found", 0 )</f>
        <v>0</v>
      </c>
    </row>
    <row r="1742" spans="1:29" x14ac:dyDescent="0.3">
      <c r="A1742" s="18">
        <v>2507</v>
      </c>
      <c r="B1742" s="16">
        <v>153083</v>
      </c>
      <c r="C1742" s="16">
        <v>1</v>
      </c>
      <c r="D1742" s="16">
        <v>1</v>
      </c>
      <c r="E1742" s="16">
        <v>62</v>
      </c>
      <c r="F1742" s="17" t="s">
        <v>8</v>
      </c>
      <c r="G1742" s="17" t="s">
        <v>11</v>
      </c>
      <c r="H1742" s="3" t="s">
        <v>256</v>
      </c>
      <c r="I1742" s="5" t="s">
        <v>434</v>
      </c>
      <c r="J1742" s="16">
        <f>_xlfn.XLOOKUP(CustomerCombinedCleaned[[#This Row],[ID]], Table4[ID], Table4[Recency], "Not Found", 0)</f>
        <v>65</v>
      </c>
      <c r="K1742" s="16">
        <f>_xlfn.XLOOKUP(CustomerCombinedCleaned[[#This Row],[ID]], Table4[ID], Table4[Teas], "Not Found", 0)</f>
        <v>620</v>
      </c>
      <c r="L1742" s="16">
        <f>_xlfn.XLOOKUP(CustomerCombinedCleaned[[#This Row],[ID]], Table4[ID], Table4[Fruits], "Not Found", 0)</f>
        <v>20</v>
      </c>
      <c r="M1742" s="16">
        <f>_xlfn.XLOOKUP(CustomerCombinedCleaned[[#This Row],[ID]], Table4[ID], Table4[Meats], "Not Found", 0)</f>
        <v>95</v>
      </c>
      <c r="N1742" s="16">
        <f>_xlfn.XLOOKUP(CustomerCombinedCleaned[[#This Row],[ID]], Table4[ID], Table4[Seafood], "Not Found", 0)</f>
        <v>9</v>
      </c>
      <c r="O1742" s="16">
        <f>_xlfn.XLOOKUP(CustomerCombinedCleaned[[#This Row],[ID]], Table4[ID], Table4[Sweets], "Not Found", 0)</f>
        <v>0</v>
      </c>
      <c r="P1742" s="16">
        <f>_xlfn.XLOOKUP(CustomerCombinedCleaned[[#This Row],[ID]], Table4[ID], Table4[Premium], "Not Found", 0)</f>
        <v>37</v>
      </c>
      <c r="Q1742" s="16">
        <f>_xlfn.XLOOKUP(CustomerCombinedCleaned[[#This Row],[ID]], Table4[ID], Table4[Regular], "Not Found", 0)</f>
        <v>707</v>
      </c>
      <c r="R1742" s="16">
        <f>_xlfn.XLOOKUP(CustomerCombinedCleaned[[#This Row],[ID]], Table4[ID], Table4[Deals], "Not Found", 0)</f>
        <v>6</v>
      </c>
      <c r="S1742" s="16">
        <f>_xlfn.XLOOKUP(CustomerCombinedCleaned[[#This Row],[ID]], Table4[ID], Table4[Website], "Not Found", 0)</f>
        <v>5</v>
      </c>
      <c r="T1742" s="16">
        <f>_xlfn.XLOOKUP(CustomerCombinedCleaned[[#This Row],[ID]], Table4[ID], Table4[Catalog], "Not Found", 0)</f>
        <v>1</v>
      </c>
      <c r="U1742" s="16">
        <f>_xlfn.XLOOKUP(CustomerCombinedCleaned[[#This Row],[ID]], Table4[ID], Table4[Store], "Not Found", 0)</f>
        <v>5</v>
      </c>
      <c r="V1742" s="16">
        <f>_xlfn.XLOOKUP(CustomerCombinedCleaned[[#This Row],[ID]], Table4[ID], Table4[Visits], "Not Found", 0)</f>
        <v>7</v>
      </c>
      <c r="W1742" s="16">
        <f>_xlfn.XLOOKUP(CustomerCombinedCleaned[[#This Row],[ID]], Table2[ID],Table2[Complaint], "Not Found", 0 )</f>
        <v>0</v>
      </c>
      <c r="X1742" s="16">
        <f>_xlfn.XLOOKUP(CustomerCombinedCleaned[[#This Row],[ID]], Table2[ID],Table2[Pilot], "Not Found", 0 )</f>
        <v>0</v>
      </c>
      <c r="Y1742" s="16">
        <f>_xlfn.XLOOKUP(CustomerCombinedCleaned[[#This Row],[ID]], Table2[ID],Table2[MC1], "Not Found", 0 )</f>
        <v>0</v>
      </c>
      <c r="Z1742" s="16">
        <f>_xlfn.XLOOKUP(CustomerCombinedCleaned[[#This Row],[ID]], Table2[ID],Table2[MC2], "Not Found", 0 )</f>
        <v>0</v>
      </c>
      <c r="AA1742" s="16">
        <f>_xlfn.XLOOKUP(CustomerCombinedCleaned[[#This Row],[ID]], Table2[ID],Table2[MC3], "Not Found", 0 )</f>
        <v>0</v>
      </c>
      <c r="AB1742" s="16">
        <f>_xlfn.XLOOKUP(CustomerCombinedCleaned[[#This Row],[ID]], Table2[ID],Table2[MC4], "Not Found", 0 )</f>
        <v>1</v>
      </c>
      <c r="AC1742" s="16">
        <f>_xlfn.XLOOKUP(CustomerCombinedCleaned[[#This Row],[ID]], Table2[ID],Table2[MC5], "Not Found", 0 )</f>
        <v>0</v>
      </c>
    </row>
    <row r="1743" spans="1:29" x14ac:dyDescent="0.3">
      <c r="A1743" s="18">
        <v>2421</v>
      </c>
      <c r="B1743" s="16">
        <v>151876</v>
      </c>
      <c r="C1743" s="16">
        <v>0</v>
      </c>
      <c r="D1743" s="16">
        <v>0</v>
      </c>
      <c r="E1743" s="16">
        <v>62</v>
      </c>
      <c r="F1743" s="17" t="s">
        <v>6</v>
      </c>
      <c r="G1743" s="17" t="s">
        <v>11</v>
      </c>
      <c r="H1743" s="3" t="s">
        <v>167</v>
      </c>
      <c r="I1743" s="5" t="s">
        <v>435</v>
      </c>
      <c r="J1743" s="16">
        <f>_xlfn.XLOOKUP(CustomerCombinedCleaned[[#This Row],[ID]], Table4[ID], Table4[Recency], "Not Found", 0)</f>
        <v>88</v>
      </c>
      <c r="K1743" s="16">
        <f>_xlfn.XLOOKUP(CustomerCombinedCleaned[[#This Row],[ID]], Table4[ID], Table4[Teas], "Not Found", 0)</f>
        <v>290</v>
      </c>
      <c r="L1743" s="16">
        <f>_xlfn.XLOOKUP(CustomerCombinedCleaned[[#This Row],[ID]], Table4[ID], Table4[Fruits], "Not Found", 0)</f>
        <v>79</v>
      </c>
      <c r="M1743" s="16">
        <f>_xlfn.XLOOKUP(CustomerCombinedCleaned[[#This Row],[ID]], Table4[ID], Table4[Meats], "Not Found", 0)</f>
        <v>299</v>
      </c>
      <c r="N1743" s="16">
        <f>_xlfn.XLOOKUP(CustomerCombinedCleaned[[#This Row],[ID]], Table4[ID], Table4[Seafood], "Not Found", 0)</f>
        <v>82</v>
      </c>
      <c r="O1743" s="16">
        <f>_xlfn.XLOOKUP(CustomerCombinedCleaned[[#This Row],[ID]], Table4[ID], Table4[Sweets], "Not Found", 0)</f>
        <v>141</v>
      </c>
      <c r="P1743" s="16">
        <f>_xlfn.XLOOKUP(CustomerCombinedCleaned[[#This Row],[ID]], Table4[ID], Table4[Premium], "Not Found", 0)</f>
        <v>18</v>
      </c>
      <c r="Q1743" s="16">
        <f>_xlfn.XLOOKUP(CustomerCombinedCleaned[[#This Row],[ID]], Table4[ID], Table4[Regular], "Not Found", 0)</f>
        <v>872</v>
      </c>
      <c r="R1743" s="16">
        <f>_xlfn.XLOOKUP(CustomerCombinedCleaned[[#This Row],[ID]], Table4[ID], Table4[Deals], "Not Found", 0)</f>
        <v>1</v>
      </c>
      <c r="S1743" s="16">
        <f>_xlfn.XLOOKUP(CustomerCombinedCleaned[[#This Row],[ID]], Table4[ID], Table4[Website], "Not Found", 0)</f>
        <v>2</v>
      </c>
      <c r="T1743" s="16">
        <f>_xlfn.XLOOKUP(CustomerCombinedCleaned[[#This Row],[ID]], Table4[ID], Table4[Catalog], "Not Found", 0)</f>
        <v>2</v>
      </c>
      <c r="U1743" s="16">
        <f>_xlfn.XLOOKUP(CustomerCombinedCleaned[[#This Row],[ID]], Table4[ID], Table4[Store], "Not Found", 0)</f>
        <v>8</v>
      </c>
      <c r="V1743" s="16">
        <f>_xlfn.XLOOKUP(CustomerCombinedCleaned[[#This Row],[ID]], Table4[ID], Table4[Visits], "Not Found", 0)</f>
        <v>1</v>
      </c>
      <c r="W1743" s="16">
        <f>_xlfn.XLOOKUP(CustomerCombinedCleaned[[#This Row],[ID]], Table2[ID],Table2[Complaint], "Not Found", 0 )</f>
        <v>0</v>
      </c>
      <c r="X1743" s="16">
        <f>_xlfn.XLOOKUP(CustomerCombinedCleaned[[#This Row],[ID]], Table2[ID],Table2[Pilot], "Not Found", 0 )</f>
        <v>0</v>
      </c>
      <c r="Y1743" s="16">
        <f>_xlfn.XLOOKUP(CustomerCombinedCleaned[[#This Row],[ID]], Table2[ID],Table2[MC1], "Not Found", 0 )</f>
        <v>0</v>
      </c>
      <c r="Z1743" s="16">
        <f>_xlfn.XLOOKUP(CustomerCombinedCleaned[[#This Row],[ID]], Table2[ID],Table2[MC2], "Not Found", 0 )</f>
        <v>0</v>
      </c>
      <c r="AA1743" s="16">
        <f>_xlfn.XLOOKUP(CustomerCombinedCleaned[[#This Row],[ID]], Table2[ID],Table2[MC3], "Not Found", 0 )</f>
        <v>0</v>
      </c>
      <c r="AB1743" s="16">
        <f>_xlfn.XLOOKUP(CustomerCombinedCleaned[[#This Row],[ID]], Table2[ID],Table2[MC4], "Not Found", 0 )</f>
        <v>0</v>
      </c>
      <c r="AC1743" s="16">
        <f>_xlfn.XLOOKUP(CustomerCombinedCleaned[[#This Row],[ID]], Table2[ID],Table2[MC5], "Not Found", 0 )</f>
        <v>0</v>
      </c>
    </row>
    <row r="1744" spans="1:29" x14ac:dyDescent="0.3">
      <c r="A1744" s="18">
        <v>1732</v>
      </c>
      <c r="B1744" s="16">
        <v>151518</v>
      </c>
      <c r="C1744" s="16">
        <v>0</v>
      </c>
      <c r="D1744" s="16">
        <v>1</v>
      </c>
      <c r="E1744" s="16">
        <v>62</v>
      </c>
      <c r="F1744" s="17" t="s">
        <v>8</v>
      </c>
      <c r="G1744" s="17" t="s">
        <v>13</v>
      </c>
      <c r="H1744" s="3" t="s">
        <v>710</v>
      </c>
      <c r="I1744" s="5" t="s">
        <v>439</v>
      </c>
      <c r="J1744" s="16">
        <f>_xlfn.XLOOKUP(CustomerCombinedCleaned[[#This Row],[ID]], Table4[ID], Table4[Recency], "Not Found", 0)</f>
        <v>92</v>
      </c>
      <c r="K1744" s="16">
        <f>_xlfn.XLOOKUP(CustomerCombinedCleaned[[#This Row],[ID]], Table4[ID], Table4[Teas], "Not Found", 0)</f>
        <v>1029</v>
      </c>
      <c r="L1744" s="16">
        <f>_xlfn.XLOOKUP(CustomerCombinedCleaned[[#This Row],[ID]], Table4[ID], Table4[Fruits], "Not Found", 0)</f>
        <v>24</v>
      </c>
      <c r="M1744" s="16">
        <f>_xlfn.XLOOKUP(CustomerCombinedCleaned[[#This Row],[ID]], Table4[ID], Table4[Meats], "Not Found", 0)</f>
        <v>194</v>
      </c>
      <c r="N1744" s="16">
        <f>_xlfn.XLOOKUP(CustomerCombinedCleaned[[#This Row],[ID]], Table4[ID], Table4[Seafood], "Not Found", 0)</f>
        <v>50</v>
      </c>
      <c r="O1744" s="16">
        <f>_xlfn.XLOOKUP(CustomerCombinedCleaned[[#This Row],[ID]], Table4[ID], Table4[Sweets], "Not Found", 0)</f>
        <v>12</v>
      </c>
      <c r="P1744" s="16">
        <f>_xlfn.XLOOKUP(CustomerCombinedCleaned[[#This Row],[ID]], Table4[ID], Table4[Premium], "Not Found", 0)</f>
        <v>12</v>
      </c>
      <c r="Q1744" s="16">
        <f>_xlfn.XLOOKUP(CustomerCombinedCleaned[[#This Row],[ID]], Table4[ID], Table4[Regular], "Not Found", 0)</f>
        <v>1297</v>
      </c>
      <c r="R1744" s="16">
        <f>_xlfn.XLOOKUP(CustomerCombinedCleaned[[#This Row],[ID]], Table4[ID], Table4[Deals], "Not Found", 0)</f>
        <v>2</v>
      </c>
      <c r="S1744" s="16">
        <f>_xlfn.XLOOKUP(CustomerCombinedCleaned[[#This Row],[ID]], Table4[ID], Table4[Website], "Not Found", 0)</f>
        <v>3</v>
      </c>
      <c r="T1744" s="16">
        <f>_xlfn.XLOOKUP(CustomerCombinedCleaned[[#This Row],[ID]], Table4[ID], Table4[Catalog], "Not Found", 0)</f>
        <v>2</v>
      </c>
      <c r="U1744" s="16">
        <f>_xlfn.XLOOKUP(CustomerCombinedCleaned[[#This Row],[ID]], Table4[ID], Table4[Store], "Not Found", 0)</f>
        <v>10</v>
      </c>
      <c r="V1744" s="16">
        <f>_xlfn.XLOOKUP(CustomerCombinedCleaned[[#This Row],[ID]], Table4[ID], Table4[Visits], "Not Found", 0)</f>
        <v>3</v>
      </c>
      <c r="W1744" s="16">
        <f>_xlfn.XLOOKUP(CustomerCombinedCleaned[[#This Row],[ID]], Table2[ID],Table2[Complaint], "Not Found", 0 )</f>
        <v>0</v>
      </c>
      <c r="X1744" s="16">
        <f>_xlfn.XLOOKUP(CustomerCombinedCleaned[[#This Row],[ID]], Table2[ID],Table2[Pilot], "Not Found", 0 )</f>
        <v>0</v>
      </c>
      <c r="Y1744" s="16">
        <f>_xlfn.XLOOKUP(CustomerCombinedCleaned[[#This Row],[ID]], Table2[ID],Table2[MC1], "Not Found", 0 )</f>
        <v>0</v>
      </c>
      <c r="Z1744" s="16">
        <f>_xlfn.XLOOKUP(CustomerCombinedCleaned[[#This Row],[ID]], Table2[ID],Table2[MC2], "Not Found", 0 )</f>
        <v>0</v>
      </c>
      <c r="AA1744" s="16">
        <f>_xlfn.XLOOKUP(CustomerCombinedCleaned[[#This Row],[ID]], Table2[ID],Table2[MC3], "Not Found", 0 )</f>
        <v>0</v>
      </c>
      <c r="AB1744" s="16">
        <f>_xlfn.XLOOKUP(CustomerCombinedCleaned[[#This Row],[ID]], Table2[ID],Table2[MC4], "Not Found", 0 )</f>
        <v>0</v>
      </c>
      <c r="AC1744" s="16">
        <f>_xlfn.XLOOKUP(CustomerCombinedCleaned[[#This Row],[ID]], Table2[ID],Table2[MC5], "Not Found", 0 )</f>
        <v>0</v>
      </c>
    </row>
    <row r="1745" spans="1:29" x14ac:dyDescent="0.3">
      <c r="A1745" s="18">
        <v>2183</v>
      </c>
      <c r="B1745" s="16">
        <v>151412</v>
      </c>
      <c r="C1745" s="16">
        <v>0</v>
      </c>
      <c r="D1745" s="16">
        <v>1</v>
      </c>
      <c r="E1745" s="16">
        <v>62</v>
      </c>
      <c r="F1745" s="17" t="s">
        <v>6</v>
      </c>
      <c r="G1745" s="17" t="s">
        <v>12</v>
      </c>
      <c r="H1745" s="3" t="s">
        <v>575</v>
      </c>
      <c r="I1745" s="5" t="s">
        <v>434</v>
      </c>
      <c r="J1745" s="16">
        <f>_xlfn.XLOOKUP(CustomerCombinedCleaned[[#This Row],[ID]], Table4[ID], Table4[Recency], "Not Found", 0)</f>
        <v>42</v>
      </c>
      <c r="K1745" s="16">
        <f>_xlfn.XLOOKUP(CustomerCombinedCleaned[[#This Row],[ID]], Table4[ID], Table4[Teas], "Not Found", 0)</f>
        <v>412</v>
      </c>
      <c r="L1745" s="16">
        <f>_xlfn.XLOOKUP(CustomerCombinedCleaned[[#This Row],[ID]], Table4[ID], Table4[Fruits], "Not Found", 0)</f>
        <v>9</v>
      </c>
      <c r="M1745" s="16">
        <f>_xlfn.XLOOKUP(CustomerCombinedCleaned[[#This Row],[ID]], Table4[ID], Table4[Meats], "Not Found", 0)</f>
        <v>85</v>
      </c>
      <c r="N1745" s="16">
        <f>_xlfn.XLOOKUP(CustomerCombinedCleaned[[#This Row],[ID]], Table4[ID], Table4[Seafood], "Not Found", 0)</f>
        <v>12</v>
      </c>
      <c r="O1745" s="16">
        <f>_xlfn.XLOOKUP(CustomerCombinedCleaned[[#This Row],[ID]], Table4[ID], Table4[Sweets], "Not Found", 0)</f>
        <v>15</v>
      </c>
      <c r="P1745" s="16">
        <f>_xlfn.XLOOKUP(CustomerCombinedCleaned[[#This Row],[ID]], Table4[ID], Table4[Premium], "Not Found", 0)</f>
        <v>41</v>
      </c>
      <c r="Q1745" s="16">
        <f>_xlfn.XLOOKUP(CustomerCombinedCleaned[[#This Row],[ID]], Table4[ID], Table4[Regular], "Not Found", 0)</f>
        <v>492</v>
      </c>
      <c r="R1745" s="16">
        <f>_xlfn.XLOOKUP(CustomerCombinedCleaned[[#This Row],[ID]], Table4[ID], Table4[Deals], "Not Found", 0)</f>
        <v>2</v>
      </c>
      <c r="S1745" s="16">
        <f>_xlfn.XLOOKUP(CustomerCombinedCleaned[[#This Row],[ID]], Table4[ID], Table4[Website], "Not Found", 0)</f>
        <v>3</v>
      </c>
      <c r="T1745" s="16">
        <f>_xlfn.XLOOKUP(CustomerCombinedCleaned[[#This Row],[ID]], Table4[ID], Table4[Catalog], "Not Found", 0)</f>
        <v>2</v>
      </c>
      <c r="U1745" s="16">
        <f>_xlfn.XLOOKUP(CustomerCombinedCleaned[[#This Row],[ID]], Table4[ID], Table4[Store], "Not Found", 0)</f>
        <v>4</v>
      </c>
      <c r="V1745" s="16">
        <f>_xlfn.XLOOKUP(CustomerCombinedCleaned[[#This Row],[ID]], Table4[ID], Table4[Visits], "Not Found", 0)</f>
        <v>4</v>
      </c>
      <c r="W1745" s="16">
        <f>_xlfn.XLOOKUP(CustomerCombinedCleaned[[#This Row],[ID]], Table2[ID],Table2[Complaint], "Not Found", 0 )</f>
        <v>0</v>
      </c>
      <c r="X1745" s="16">
        <f>_xlfn.XLOOKUP(CustomerCombinedCleaned[[#This Row],[ID]], Table2[ID],Table2[Pilot], "Not Found", 0 )</f>
        <v>0</v>
      </c>
      <c r="Y1745" s="16">
        <f>_xlfn.XLOOKUP(CustomerCombinedCleaned[[#This Row],[ID]], Table2[ID],Table2[MC1], "Not Found", 0 )</f>
        <v>0</v>
      </c>
      <c r="Z1745" s="16">
        <f>_xlfn.XLOOKUP(CustomerCombinedCleaned[[#This Row],[ID]], Table2[ID],Table2[MC2], "Not Found", 0 )</f>
        <v>0</v>
      </c>
      <c r="AA1745" s="16">
        <f>_xlfn.XLOOKUP(CustomerCombinedCleaned[[#This Row],[ID]], Table2[ID],Table2[MC3], "Not Found", 0 )</f>
        <v>0</v>
      </c>
      <c r="AB1745" s="16">
        <f>_xlfn.XLOOKUP(CustomerCombinedCleaned[[#This Row],[ID]], Table2[ID],Table2[MC4], "Not Found", 0 )</f>
        <v>0</v>
      </c>
      <c r="AC1745" s="16">
        <f>_xlfn.XLOOKUP(CustomerCombinedCleaned[[#This Row],[ID]], Table2[ID],Table2[MC5], "Not Found", 0 )</f>
        <v>0</v>
      </c>
    </row>
    <row r="1746" spans="1:29" x14ac:dyDescent="0.3">
      <c r="A1746" s="18">
        <v>2635</v>
      </c>
      <c r="B1746" s="16">
        <v>150729</v>
      </c>
      <c r="C1746" s="16">
        <v>1</v>
      </c>
      <c r="D1746" s="16">
        <v>1</v>
      </c>
      <c r="E1746" s="16">
        <v>62</v>
      </c>
      <c r="F1746" s="17" t="s">
        <v>7</v>
      </c>
      <c r="G1746" s="17" t="s">
        <v>13</v>
      </c>
      <c r="H1746" s="3" t="s">
        <v>724</v>
      </c>
      <c r="I1746" s="5" t="s">
        <v>437</v>
      </c>
      <c r="J1746" s="16">
        <f>_xlfn.XLOOKUP(CustomerCombinedCleaned[[#This Row],[ID]], Table4[ID], Table4[Recency], "Not Found", 0)</f>
        <v>62</v>
      </c>
      <c r="K1746" s="16">
        <f>_xlfn.XLOOKUP(CustomerCombinedCleaned[[#This Row],[ID]], Table4[ID], Table4[Teas], "Not Found", 0)</f>
        <v>710</v>
      </c>
      <c r="L1746" s="16">
        <f>_xlfn.XLOOKUP(CustomerCombinedCleaned[[#This Row],[ID]], Table4[ID], Table4[Fruits], "Not Found", 0)</f>
        <v>39</v>
      </c>
      <c r="M1746" s="16">
        <f>_xlfn.XLOOKUP(CustomerCombinedCleaned[[#This Row],[ID]], Table4[ID], Table4[Meats], "Not Found", 0)</f>
        <v>425</v>
      </c>
      <c r="N1746" s="16">
        <f>_xlfn.XLOOKUP(CustomerCombinedCleaned[[#This Row],[ID]], Table4[ID], Table4[Seafood], "Not Found", 0)</f>
        <v>134</v>
      </c>
      <c r="O1746" s="16">
        <f>_xlfn.XLOOKUP(CustomerCombinedCleaned[[#This Row],[ID]], Table4[ID], Table4[Sweets], "Not Found", 0)</f>
        <v>12</v>
      </c>
      <c r="P1746" s="16">
        <f>_xlfn.XLOOKUP(CustomerCombinedCleaned[[#This Row],[ID]], Table4[ID], Table4[Premium], "Not Found", 0)</f>
        <v>155</v>
      </c>
      <c r="Q1746" s="16">
        <f>_xlfn.XLOOKUP(CustomerCombinedCleaned[[#This Row],[ID]], Table4[ID], Table4[Regular], "Not Found", 0)</f>
        <v>1165</v>
      </c>
      <c r="R1746" s="16">
        <f>_xlfn.XLOOKUP(CustomerCombinedCleaned[[#This Row],[ID]], Table4[ID], Table4[Deals], "Not Found", 0)</f>
        <v>9</v>
      </c>
      <c r="S1746" s="16">
        <f>_xlfn.XLOOKUP(CustomerCombinedCleaned[[#This Row],[ID]], Table4[ID], Table4[Website], "Not Found", 0)</f>
        <v>6</v>
      </c>
      <c r="T1746" s="16">
        <f>_xlfn.XLOOKUP(CustomerCombinedCleaned[[#This Row],[ID]], Table4[ID], Table4[Catalog], "Not Found", 0)</f>
        <v>2</v>
      </c>
      <c r="U1746" s="16">
        <f>_xlfn.XLOOKUP(CustomerCombinedCleaned[[#This Row],[ID]], Table4[ID], Table4[Store], "Not Found", 0)</f>
        <v>7</v>
      </c>
      <c r="V1746" s="16">
        <f>_xlfn.XLOOKUP(CustomerCombinedCleaned[[#This Row],[ID]], Table4[ID], Table4[Visits], "Not Found", 0)</f>
        <v>6</v>
      </c>
      <c r="W1746" s="16">
        <f>_xlfn.XLOOKUP(CustomerCombinedCleaned[[#This Row],[ID]], Table2[ID],Table2[Complaint], "Not Found", 0 )</f>
        <v>0</v>
      </c>
      <c r="X1746" s="16">
        <f>_xlfn.XLOOKUP(CustomerCombinedCleaned[[#This Row],[ID]], Table2[ID],Table2[Pilot], "Not Found", 0 )</f>
        <v>0</v>
      </c>
      <c r="Y1746" s="16">
        <f>_xlfn.XLOOKUP(CustomerCombinedCleaned[[#This Row],[ID]], Table2[ID],Table2[MC1], "Not Found", 0 )</f>
        <v>0</v>
      </c>
      <c r="Z1746" s="16">
        <f>_xlfn.XLOOKUP(CustomerCombinedCleaned[[#This Row],[ID]], Table2[ID],Table2[MC2], "Not Found", 0 )</f>
        <v>0</v>
      </c>
      <c r="AA1746" s="16">
        <f>_xlfn.XLOOKUP(CustomerCombinedCleaned[[#This Row],[ID]], Table2[ID],Table2[MC3], "Not Found", 0 )</f>
        <v>0</v>
      </c>
      <c r="AB1746" s="16">
        <f>_xlfn.XLOOKUP(CustomerCombinedCleaned[[#This Row],[ID]], Table2[ID],Table2[MC4], "Not Found", 0 )</f>
        <v>0</v>
      </c>
      <c r="AC1746" s="16">
        <f>_xlfn.XLOOKUP(CustomerCombinedCleaned[[#This Row],[ID]], Table2[ID],Table2[MC5], "Not Found", 0 )</f>
        <v>0</v>
      </c>
    </row>
    <row r="1747" spans="1:29" x14ac:dyDescent="0.3">
      <c r="A1747" s="18">
        <v>1446</v>
      </c>
      <c r="B1747" s="16">
        <v>150520</v>
      </c>
      <c r="C1747" s="16">
        <v>0</v>
      </c>
      <c r="D1747" s="16">
        <v>1</v>
      </c>
      <c r="E1747" s="16">
        <v>62</v>
      </c>
      <c r="F1747" s="17" t="s">
        <v>9</v>
      </c>
      <c r="G1747" s="17" t="s">
        <v>13</v>
      </c>
      <c r="H1747" s="3" t="s">
        <v>749</v>
      </c>
      <c r="I1747" s="5" t="s">
        <v>436</v>
      </c>
      <c r="J1747" s="16">
        <f>_xlfn.XLOOKUP(CustomerCombinedCleaned[[#This Row],[ID]], Table4[ID], Table4[Recency], "Not Found", 0)</f>
        <v>25</v>
      </c>
      <c r="K1747" s="16">
        <f>_xlfn.XLOOKUP(CustomerCombinedCleaned[[#This Row],[ID]], Table4[ID], Table4[Teas], "Not Found", 0)</f>
        <v>334</v>
      </c>
      <c r="L1747" s="16">
        <f>_xlfn.XLOOKUP(CustomerCombinedCleaned[[#This Row],[ID]], Table4[ID], Table4[Fruits], "Not Found", 0)</f>
        <v>0</v>
      </c>
      <c r="M1747" s="16">
        <f>_xlfn.XLOOKUP(CustomerCombinedCleaned[[#This Row],[ID]], Table4[ID], Table4[Meats], "Not Found", 0)</f>
        <v>18</v>
      </c>
      <c r="N1747" s="16">
        <f>_xlfn.XLOOKUP(CustomerCombinedCleaned[[#This Row],[ID]], Table4[ID], Table4[Seafood], "Not Found", 0)</f>
        <v>6</v>
      </c>
      <c r="O1747" s="16">
        <f>_xlfn.XLOOKUP(CustomerCombinedCleaned[[#This Row],[ID]], Table4[ID], Table4[Sweets], "Not Found", 0)</f>
        <v>3</v>
      </c>
      <c r="P1747" s="16">
        <f>_xlfn.XLOOKUP(CustomerCombinedCleaned[[#This Row],[ID]], Table4[ID], Table4[Premium], "Not Found", 0)</f>
        <v>42</v>
      </c>
      <c r="Q1747" s="16">
        <f>_xlfn.XLOOKUP(CustomerCombinedCleaned[[#This Row],[ID]], Table4[ID], Table4[Regular], "Not Found", 0)</f>
        <v>319</v>
      </c>
      <c r="R1747" s="16">
        <f>_xlfn.XLOOKUP(CustomerCombinedCleaned[[#This Row],[ID]], Table4[ID], Table4[Deals], "Not Found", 0)</f>
        <v>2</v>
      </c>
      <c r="S1747" s="16">
        <f>_xlfn.XLOOKUP(CustomerCombinedCleaned[[#This Row],[ID]], Table4[ID], Table4[Website], "Not Found", 0)</f>
        <v>3</v>
      </c>
      <c r="T1747" s="16">
        <f>_xlfn.XLOOKUP(CustomerCombinedCleaned[[#This Row],[ID]], Table4[ID], Table4[Catalog], "Not Found", 0)</f>
        <v>1</v>
      </c>
      <c r="U1747" s="16">
        <f>_xlfn.XLOOKUP(CustomerCombinedCleaned[[#This Row],[ID]], Table4[ID], Table4[Store], "Not Found", 0)</f>
        <v>3</v>
      </c>
      <c r="V1747" s="16">
        <f>_xlfn.XLOOKUP(CustomerCombinedCleaned[[#This Row],[ID]], Table4[ID], Table4[Visits], "Not Found", 0)</f>
        <v>6</v>
      </c>
      <c r="W1747" s="16">
        <f>_xlfn.XLOOKUP(CustomerCombinedCleaned[[#This Row],[ID]], Table2[ID],Table2[Complaint], "Not Found", 0 )</f>
        <v>0</v>
      </c>
      <c r="X1747" s="16">
        <f>_xlfn.XLOOKUP(CustomerCombinedCleaned[[#This Row],[ID]], Table2[ID],Table2[Pilot], "Not Found", 0 )</f>
        <v>0</v>
      </c>
      <c r="Y1747" s="16">
        <f>_xlfn.XLOOKUP(CustomerCombinedCleaned[[#This Row],[ID]], Table2[ID],Table2[MC1], "Not Found", 0 )</f>
        <v>0</v>
      </c>
      <c r="Z1747" s="16">
        <f>_xlfn.XLOOKUP(CustomerCombinedCleaned[[#This Row],[ID]], Table2[ID],Table2[MC2], "Not Found", 0 )</f>
        <v>0</v>
      </c>
      <c r="AA1747" s="16">
        <f>_xlfn.XLOOKUP(CustomerCombinedCleaned[[#This Row],[ID]], Table2[ID],Table2[MC3], "Not Found", 0 )</f>
        <v>0</v>
      </c>
      <c r="AB1747" s="16">
        <f>_xlfn.XLOOKUP(CustomerCombinedCleaned[[#This Row],[ID]], Table2[ID],Table2[MC4], "Not Found", 0 )</f>
        <v>0</v>
      </c>
      <c r="AC1747" s="16">
        <f>_xlfn.XLOOKUP(CustomerCombinedCleaned[[#This Row],[ID]], Table2[ID],Table2[MC5], "Not Found", 0 )</f>
        <v>0</v>
      </c>
    </row>
    <row r="1748" spans="1:29" x14ac:dyDescent="0.3">
      <c r="A1748" s="18">
        <v>1146</v>
      </c>
      <c r="B1748" s="16">
        <v>149967</v>
      </c>
      <c r="C1748" s="16">
        <v>0</v>
      </c>
      <c r="D1748" s="16">
        <v>1</v>
      </c>
      <c r="E1748" s="16">
        <v>62</v>
      </c>
      <c r="F1748" s="17" t="s">
        <v>7</v>
      </c>
      <c r="G1748" s="17" t="s">
        <v>11</v>
      </c>
      <c r="H1748" s="3" t="s">
        <v>227</v>
      </c>
      <c r="I1748" s="5" t="s">
        <v>436</v>
      </c>
      <c r="J1748" s="16">
        <f>_xlfn.XLOOKUP(CustomerCombinedCleaned[[#This Row],[ID]], Table4[ID], Table4[Recency], "Not Found", 0)</f>
        <v>4</v>
      </c>
      <c r="K1748" s="16">
        <f>_xlfn.XLOOKUP(CustomerCombinedCleaned[[#This Row],[ID]], Table4[ID], Table4[Teas], "Not Found", 0)</f>
        <v>636</v>
      </c>
      <c r="L1748" s="16">
        <f>_xlfn.XLOOKUP(CustomerCombinedCleaned[[#This Row],[ID]], Table4[ID], Table4[Fruits], "Not Found", 0)</f>
        <v>18</v>
      </c>
      <c r="M1748" s="16">
        <f>_xlfn.XLOOKUP(CustomerCombinedCleaned[[#This Row],[ID]], Table4[ID], Table4[Meats], "Not Found", 0)</f>
        <v>207</v>
      </c>
      <c r="N1748" s="16">
        <f>_xlfn.XLOOKUP(CustomerCombinedCleaned[[#This Row],[ID]], Table4[ID], Table4[Seafood], "Not Found", 0)</f>
        <v>12</v>
      </c>
      <c r="O1748" s="16">
        <f>_xlfn.XLOOKUP(CustomerCombinedCleaned[[#This Row],[ID]], Table4[ID], Table4[Sweets], "Not Found", 0)</f>
        <v>36</v>
      </c>
      <c r="P1748" s="16">
        <f>_xlfn.XLOOKUP(CustomerCombinedCleaned[[#This Row],[ID]], Table4[ID], Table4[Premium], "Not Found", 0)</f>
        <v>9</v>
      </c>
      <c r="Q1748" s="16">
        <f>_xlfn.XLOOKUP(CustomerCombinedCleaned[[#This Row],[ID]], Table4[ID], Table4[Regular], "Not Found", 0)</f>
        <v>900</v>
      </c>
      <c r="R1748" s="16">
        <f>_xlfn.XLOOKUP(CustomerCombinedCleaned[[#This Row],[ID]], Table4[ID], Table4[Deals], "Not Found", 0)</f>
        <v>3</v>
      </c>
      <c r="S1748" s="16">
        <f>_xlfn.XLOOKUP(CustomerCombinedCleaned[[#This Row],[ID]], Table4[ID], Table4[Website], "Not Found", 0)</f>
        <v>6</v>
      </c>
      <c r="T1748" s="16">
        <f>_xlfn.XLOOKUP(CustomerCombinedCleaned[[#This Row],[ID]], Table4[ID], Table4[Catalog], "Not Found", 0)</f>
        <v>1</v>
      </c>
      <c r="U1748" s="16">
        <f>_xlfn.XLOOKUP(CustomerCombinedCleaned[[#This Row],[ID]], Table4[ID], Table4[Store], "Not Found", 0)</f>
        <v>5</v>
      </c>
      <c r="V1748" s="16">
        <f>_xlfn.XLOOKUP(CustomerCombinedCleaned[[#This Row],[ID]], Table4[ID], Table4[Visits], "Not Found", 0)</f>
        <v>7</v>
      </c>
      <c r="W1748" s="16">
        <f>_xlfn.XLOOKUP(CustomerCombinedCleaned[[#This Row],[ID]], Table2[ID],Table2[Complaint], "Not Found", 0 )</f>
        <v>0</v>
      </c>
      <c r="X1748" s="16">
        <f>_xlfn.XLOOKUP(CustomerCombinedCleaned[[#This Row],[ID]], Table2[ID],Table2[Pilot], "Not Found", 0 )</f>
        <v>0</v>
      </c>
      <c r="Y1748" s="16">
        <f>_xlfn.XLOOKUP(CustomerCombinedCleaned[[#This Row],[ID]], Table2[ID],Table2[MC1], "Not Found", 0 )</f>
        <v>0</v>
      </c>
      <c r="Z1748" s="16">
        <f>_xlfn.XLOOKUP(CustomerCombinedCleaned[[#This Row],[ID]], Table2[ID],Table2[MC2], "Not Found", 0 )</f>
        <v>0</v>
      </c>
      <c r="AA1748" s="16">
        <f>_xlfn.XLOOKUP(CustomerCombinedCleaned[[#This Row],[ID]], Table2[ID],Table2[MC3], "Not Found", 0 )</f>
        <v>0</v>
      </c>
      <c r="AB1748" s="16">
        <f>_xlfn.XLOOKUP(CustomerCombinedCleaned[[#This Row],[ID]], Table2[ID],Table2[MC4], "Not Found", 0 )</f>
        <v>0</v>
      </c>
      <c r="AC1748" s="16">
        <f>_xlfn.XLOOKUP(CustomerCombinedCleaned[[#This Row],[ID]], Table2[ID],Table2[MC5], "Not Found", 0 )</f>
        <v>0</v>
      </c>
    </row>
    <row r="1749" spans="1:29" x14ac:dyDescent="0.3">
      <c r="A1749" s="18">
        <v>3118</v>
      </c>
      <c r="B1749" s="16">
        <v>149572</v>
      </c>
      <c r="C1749" s="16">
        <v>1</v>
      </c>
      <c r="D1749" s="16">
        <v>1</v>
      </c>
      <c r="E1749" s="16">
        <v>62</v>
      </c>
      <c r="F1749" s="17" t="s">
        <v>6</v>
      </c>
      <c r="G1749" s="17" t="s">
        <v>12</v>
      </c>
      <c r="H1749" s="3" t="s">
        <v>133</v>
      </c>
      <c r="I1749" s="5" t="s">
        <v>439</v>
      </c>
      <c r="J1749" s="16">
        <f>_xlfn.XLOOKUP(CustomerCombinedCleaned[[#This Row],[ID]], Table4[ID], Table4[Recency], "Not Found", 0)</f>
        <v>25</v>
      </c>
      <c r="K1749" s="16">
        <f>_xlfn.XLOOKUP(CustomerCombinedCleaned[[#This Row],[ID]], Table4[ID], Table4[Teas], "Not Found", 0)</f>
        <v>106</v>
      </c>
      <c r="L1749" s="16">
        <f>_xlfn.XLOOKUP(CustomerCombinedCleaned[[#This Row],[ID]], Table4[ID], Table4[Fruits], "Not Found", 0)</f>
        <v>3</v>
      </c>
      <c r="M1749" s="16">
        <f>_xlfn.XLOOKUP(CustomerCombinedCleaned[[#This Row],[ID]], Table4[ID], Table4[Meats], "Not Found", 0)</f>
        <v>48</v>
      </c>
      <c r="N1749" s="16">
        <f>_xlfn.XLOOKUP(CustomerCombinedCleaned[[#This Row],[ID]], Table4[ID], Table4[Seafood], "Not Found", 0)</f>
        <v>0</v>
      </c>
      <c r="O1749" s="16">
        <f>_xlfn.XLOOKUP(CustomerCombinedCleaned[[#This Row],[ID]], Table4[ID], Table4[Sweets], "Not Found", 0)</f>
        <v>3</v>
      </c>
      <c r="P1749" s="16">
        <f>_xlfn.XLOOKUP(CustomerCombinedCleaned[[#This Row],[ID]], Table4[ID], Table4[Premium], "Not Found", 0)</f>
        <v>3</v>
      </c>
      <c r="Q1749" s="16">
        <f>_xlfn.XLOOKUP(CustomerCombinedCleaned[[#This Row],[ID]], Table4[ID], Table4[Regular], "Not Found", 0)</f>
        <v>157</v>
      </c>
      <c r="R1749" s="16">
        <f>_xlfn.XLOOKUP(CustomerCombinedCleaned[[#This Row],[ID]], Table4[ID], Table4[Deals], "Not Found", 0)</f>
        <v>2</v>
      </c>
      <c r="S1749" s="16">
        <f>_xlfn.XLOOKUP(CustomerCombinedCleaned[[#This Row],[ID]], Table4[ID], Table4[Website], "Not Found", 0)</f>
        <v>2</v>
      </c>
      <c r="T1749" s="16">
        <f>_xlfn.XLOOKUP(CustomerCombinedCleaned[[#This Row],[ID]], Table4[ID], Table4[Catalog], "Not Found", 0)</f>
        <v>0</v>
      </c>
      <c r="U1749" s="16">
        <f>_xlfn.XLOOKUP(CustomerCombinedCleaned[[#This Row],[ID]], Table4[ID], Table4[Store], "Not Found", 0)</f>
        <v>3</v>
      </c>
      <c r="V1749" s="16">
        <f>_xlfn.XLOOKUP(CustomerCombinedCleaned[[#This Row],[ID]], Table4[ID], Table4[Visits], "Not Found", 0)</f>
        <v>7</v>
      </c>
      <c r="W1749" s="16">
        <f>_xlfn.XLOOKUP(CustomerCombinedCleaned[[#This Row],[ID]], Table2[ID],Table2[Complaint], "Not Found", 0 )</f>
        <v>0</v>
      </c>
      <c r="X1749" s="16">
        <f>_xlfn.XLOOKUP(CustomerCombinedCleaned[[#This Row],[ID]], Table2[ID],Table2[Pilot], "Not Found", 0 )</f>
        <v>0</v>
      </c>
      <c r="Y1749" s="16">
        <f>_xlfn.XLOOKUP(CustomerCombinedCleaned[[#This Row],[ID]], Table2[ID],Table2[MC1], "Not Found", 0 )</f>
        <v>0</v>
      </c>
      <c r="Z1749" s="16">
        <f>_xlfn.XLOOKUP(CustomerCombinedCleaned[[#This Row],[ID]], Table2[ID],Table2[MC2], "Not Found", 0 )</f>
        <v>0</v>
      </c>
      <c r="AA1749" s="16">
        <f>_xlfn.XLOOKUP(CustomerCombinedCleaned[[#This Row],[ID]], Table2[ID],Table2[MC3], "Not Found", 0 )</f>
        <v>0</v>
      </c>
      <c r="AB1749" s="16">
        <f>_xlfn.XLOOKUP(CustomerCombinedCleaned[[#This Row],[ID]], Table2[ID],Table2[MC4], "Not Found", 0 )</f>
        <v>0</v>
      </c>
      <c r="AC1749" s="16">
        <f>_xlfn.XLOOKUP(CustomerCombinedCleaned[[#This Row],[ID]], Table2[ID],Table2[MC5], "Not Found", 0 )</f>
        <v>0</v>
      </c>
    </row>
    <row r="1750" spans="1:29" x14ac:dyDescent="0.3">
      <c r="A1750" s="18">
        <v>1785</v>
      </c>
      <c r="B1750" s="16">
        <v>148192</v>
      </c>
      <c r="C1750" s="16">
        <v>0</v>
      </c>
      <c r="D1750" s="16">
        <v>0</v>
      </c>
      <c r="E1750" s="16">
        <v>62</v>
      </c>
      <c r="F1750" s="17" t="s">
        <v>6</v>
      </c>
      <c r="G1750" s="17" t="s">
        <v>11</v>
      </c>
      <c r="H1750" s="3" t="s">
        <v>653</v>
      </c>
      <c r="I1750" s="5" t="s">
        <v>435</v>
      </c>
      <c r="J1750" s="16">
        <f>_xlfn.XLOOKUP(CustomerCombinedCleaned[[#This Row],[ID]], Table4[ID], Table4[Recency], "Not Found", 0)</f>
        <v>76</v>
      </c>
      <c r="K1750" s="16">
        <f>_xlfn.XLOOKUP(CustomerCombinedCleaned[[#This Row],[ID]], Table4[ID], Table4[Teas], "Not Found", 0)</f>
        <v>3195</v>
      </c>
      <c r="L1750" s="16">
        <f>_xlfn.XLOOKUP(CustomerCombinedCleaned[[#This Row],[ID]], Table4[ID], Table4[Fruits], "Not Found", 0)</f>
        <v>132</v>
      </c>
      <c r="M1750" s="16">
        <f>_xlfn.XLOOKUP(CustomerCombinedCleaned[[#This Row],[ID]], Table4[ID], Table4[Meats], "Not Found", 0)</f>
        <v>627</v>
      </c>
      <c r="N1750" s="16">
        <f>_xlfn.XLOOKUP(CustomerCombinedCleaned[[#This Row],[ID]], Table4[ID], Table4[Seafood], "Not Found", 0)</f>
        <v>470</v>
      </c>
      <c r="O1750" s="16">
        <f>_xlfn.XLOOKUP(CustomerCombinedCleaned[[#This Row],[ID]], Table4[ID], Table4[Sweets], "Not Found", 0)</f>
        <v>178</v>
      </c>
      <c r="P1750" s="16">
        <f>_xlfn.XLOOKUP(CustomerCombinedCleaned[[#This Row],[ID]], Table4[ID], Table4[Premium], "Not Found", 0)</f>
        <v>89</v>
      </c>
      <c r="Q1750" s="16">
        <f>_xlfn.XLOOKUP(CustomerCombinedCleaned[[#This Row],[ID]], Table4[ID], Table4[Regular], "Not Found", 0)</f>
        <v>4514</v>
      </c>
      <c r="R1750" s="16">
        <f>_xlfn.XLOOKUP(CustomerCombinedCleaned[[#This Row],[ID]], Table4[ID], Table4[Deals], "Not Found", 0)</f>
        <v>3</v>
      </c>
      <c r="S1750" s="16">
        <f>_xlfn.XLOOKUP(CustomerCombinedCleaned[[#This Row],[ID]], Table4[ID], Table4[Website], "Not Found", 0)</f>
        <v>2</v>
      </c>
      <c r="T1750" s="16">
        <f>_xlfn.XLOOKUP(CustomerCombinedCleaned[[#This Row],[ID]], Table4[ID], Table4[Catalog], "Not Found", 0)</f>
        <v>8</v>
      </c>
      <c r="U1750" s="16">
        <f>_xlfn.XLOOKUP(CustomerCombinedCleaned[[#This Row],[ID]], Table4[ID], Table4[Store], "Not Found", 0)</f>
        <v>12</v>
      </c>
      <c r="V1750" s="16">
        <f>_xlfn.XLOOKUP(CustomerCombinedCleaned[[#This Row],[ID]], Table4[ID], Table4[Visits], "Not Found", 0)</f>
        <v>8</v>
      </c>
      <c r="W1750" s="16">
        <f>_xlfn.XLOOKUP(CustomerCombinedCleaned[[#This Row],[ID]], Table2[ID],Table2[Complaint], "Not Found", 0 )</f>
        <v>0</v>
      </c>
      <c r="X1750" s="16">
        <f>_xlfn.XLOOKUP(CustomerCombinedCleaned[[#This Row],[ID]], Table2[ID],Table2[Pilot], "Not Found", 0 )</f>
        <v>1</v>
      </c>
      <c r="Y1750" s="16">
        <f>_xlfn.XLOOKUP(CustomerCombinedCleaned[[#This Row],[ID]], Table2[ID],Table2[MC1], "Not Found", 0 )</f>
        <v>1</v>
      </c>
      <c r="Z1750" s="16">
        <f>_xlfn.XLOOKUP(CustomerCombinedCleaned[[#This Row],[ID]], Table2[ID],Table2[MC2], "Not Found", 0 )</f>
        <v>1</v>
      </c>
      <c r="AA1750" s="16">
        <f>_xlfn.XLOOKUP(CustomerCombinedCleaned[[#This Row],[ID]], Table2[ID],Table2[MC3], "Not Found", 0 )</f>
        <v>0</v>
      </c>
      <c r="AB1750" s="16">
        <f>_xlfn.XLOOKUP(CustomerCombinedCleaned[[#This Row],[ID]], Table2[ID],Table2[MC4], "Not Found", 0 )</f>
        <v>1</v>
      </c>
      <c r="AC1750" s="16">
        <f>_xlfn.XLOOKUP(CustomerCombinedCleaned[[#This Row],[ID]], Table2[ID],Table2[MC5], "Not Found", 0 )</f>
        <v>0</v>
      </c>
    </row>
    <row r="1751" spans="1:29" x14ac:dyDescent="0.3">
      <c r="A1751" s="18">
        <v>2301</v>
      </c>
      <c r="B1751" s="16">
        <v>146692</v>
      </c>
      <c r="C1751" s="16">
        <v>0</v>
      </c>
      <c r="D1751" s="16">
        <v>1</v>
      </c>
      <c r="E1751" s="16">
        <v>62</v>
      </c>
      <c r="F1751" s="17" t="s">
        <v>8</v>
      </c>
      <c r="G1751" s="17" t="s">
        <v>12</v>
      </c>
      <c r="H1751" s="3" t="s">
        <v>759</v>
      </c>
      <c r="I1751" s="5" t="s">
        <v>435</v>
      </c>
      <c r="J1751" s="16">
        <f>_xlfn.XLOOKUP(CustomerCombinedCleaned[[#This Row],[ID]], Table4[ID], Table4[Recency], "Not Found", 0)</f>
        <v>37</v>
      </c>
      <c r="K1751" s="16">
        <f>_xlfn.XLOOKUP(CustomerCombinedCleaned[[#This Row],[ID]], Table4[ID], Table4[Teas], "Not Found", 0)</f>
        <v>534</v>
      </c>
      <c r="L1751" s="16">
        <f>_xlfn.XLOOKUP(CustomerCombinedCleaned[[#This Row],[ID]], Table4[ID], Table4[Fruits], "Not Found", 0)</f>
        <v>19</v>
      </c>
      <c r="M1751" s="16">
        <f>_xlfn.XLOOKUP(CustomerCombinedCleaned[[#This Row],[ID]], Table4[ID], Table4[Meats], "Not Found", 0)</f>
        <v>305</v>
      </c>
      <c r="N1751" s="16">
        <f>_xlfn.XLOOKUP(CustomerCombinedCleaned[[#This Row],[ID]], Table4[ID], Table4[Seafood], "Not Found", 0)</f>
        <v>75</v>
      </c>
      <c r="O1751" s="16">
        <f>_xlfn.XLOOKUP(CustomerCombinedCleaned[[#This Row],[ID]], Table4[ID], Table4[Sweets], "Not Found", 0)</f>
        <v>38</v>
      </c>
      <c r="P1751" s="16">
        <f>_xlfn.XLOOKUP(CustomerCombinedCleaned[[#This Row],[ID]], Table4[ID], Table4[Premium], "Not Found", 0)</f>
        <v>276</v>
      </c>
      <c r="Q1751" s="16">
        <f>_xlfn.XLOOKUP(CustomerCombinedCleaned[[#This Row],[ID]], Table4[ID], Table4[Regular], "Not Found", 0)</f>
        <v>694</v>
      </c>
      <c r="R1751" s="16">
        <f>_xlfn.XLOOKUP(CustomerCombinedCleaned[[#This Row],[ID]], Table4[ID], Table4[Deals], "Not Found", 0)</f>
        <v>3</v>
      </c>
      <c r="S1751" s="16">
        <f>_xlfn.XLOOKUP(CustomerCombinedCleaned[[#This Row],[ID]], Table4[ID], Table4[Website], "Not Found", 0)</f>
        <v>6</v>
      </c>
      <c r="T1751" s="16">
        <f>_xlfn.XLOOKUP(CustomerCombinedCleaned[[#This Row],[ID]], Table4[ID], Table4[Catalog], "Not Found", 0)</f>
        <v>1</v>
      </c>
      <c r="U1751" s="16">
        <f>_xlfn.XLOOKUP(CustomerCombinedCleaned[[#This Row],[ID]], Table4[ID], Table4[Store], "Not Found", 0)</f>
        <v>5</v>
      </c>
      <c r="V1751" s="16">
        <f>_xlfn.XLOOKUP(CustomerCombinedCleaned[[#This Row],[ID]], Table4[ID], Table4[Visits], "Not Found", 0)</f>
        <v>6</v>
      </c>
      <c r="W1751" s="16">
        <f>_xlfn.XLOOKUP(CustomerCombinedCleaned[[#This Row],[ID]], Table2[ID],Table2[Complaint], "Not Found", 0 )</f>
        <v>0</v>
      </c>
      <c r="X1751" s="16">
        <f>_xlfn.XLOOKUP(CustomerCombinedCleaned[[#This Row],[ID]], Table2[ID],Table2[Pilot], "Not Found", 0 )</f>
        <v>0</v>
      </c>
      <c r="Y1751" s="16">
        <f>_xlfn.XLOOKUP(CustomerCombinedCleaned[[#This Row],[ID]], Table2[ID],Table2[MC1], "Not Found", 0 )</f>
        <v>0</v>
      </c>
      <c r="Z1751" s="16">
        <f>_xlfn.XLOOKUP(CustomerCombinedCleaned[[#This Row],[ID]], Table2[ID],Table2[MC2], "Not Found", 0 )</f>
        <v>0</v>
      </c>
      <c r="AA1751" s="16">
        <f>_xlfn.XLOOKUP(CustomerCombinedCleaned[[#This Row],[ID]], Table2[ID],Table2[MC3], "Not Found", 0 )</f>
        <v>0</v>
      </c>
      <c r="AB1751" s="16">
        <f>_xlfn.XLOOKUP(CustomerCombinedCleaned[[#This Row],[ID]], Table2[ID],Table2[MC4], "Not Found", 0 )</f>
        <v>0</v>
      </c>
      <c r="AC1751" s="16">
        <f>_xlfn.XLOOKUP(CustomerCombinedCleaned[[#This Row],[ID]], Table2[ID],Table2[MC5], "Not Found", 0 )</f>
        <v>0</v>
      </c>
    </row>
    <row r="1752" spans="1:29" x14ac:dyDescent="0.3">
      <c r="A1752" s="18">
        <v>2055</v>
      </c>
      <c r="B1752" s="16">
        <v>146610</v>
      </c>
      <c r="C1752" s="16">
        <v>0</v>
      </c>
      <c r="D1752" s="16">
        <v>0</v>
      </c>
      <c r="E1752" s="16">
        <v>62</v>
      </c>
      <c r="F1752" s="17" t="s">
        <v>8</v>
      </c>
      <c r="G1752" s="17" t="s">
        <v>11</v>
      </c>
      <c r="H1752" s="3" t="s">
        <v>218</v>
      </c>
      <c r="I1752" s="5" t="s">
        <v>435</v>
      </c>
      <c r="J1752" s="16">
        <f>_xlfn.XLOOKUP(CustomerCombinedCleaned[[#This Row],[ID]], Table4[ID], Table4[Recency], "Not Found", 0)</f>
        <v>4</v>
      </c>
      <c r="K1752" s="16">
        <f>_xlfn.XLOOKUP(CustomerCombinedCleaned[[#This Row],[ID]], Table4[ID], Table4[Teas], "Not Found", 0)</f>
        <v>906</v>
      </c>
      <c r="L1752" s="16">
        <f>_xlfn.XLOOKUP(CustomerCombinedCleaned[[#This Row],[ID]], Table4[ID], Table4[Fruits], "Not Found", 0)</f>
        <v>31</v>
      </c>
      <c r="M1752" s="16">
        <f>_xlfn.XLOOKUP(CustomerCombinedCleaned[[#This Row],[ID]], Table4[ID], Table4[Meats], "Not Found", 0)</f>
        <v>94</v>
      </c>
      <c r="N1752" s="16">
        <f>_xlfn.XLOOKUP(CustomerCombinedCleaned[[#This Row],[ID]], Table4[ID], Table4[Seafood], "Not Found", 0)</f>
        <v>13</v>
      </c>
      <c r="O1752" s="16">
        <f>_xlfn.XLOOKUP(CustomerCombinedCleaned[[#This Row],[ID]], Table4[ID], Table4[Sweets], "Not Found", 0)</f>
        <v>31</v>
      </c>
      <c r="P1752" s="16">
        <f>_xlfn.XLOOKUP(CustomerCombinedCleaned[[#This Row],[ID]], Table4[ID], Table4[Premium], "Not Found", 0)</f>
        <v>393</v>
      </c>
      <c r="Q1752" s="16">
        <f>_xlfn.XLOOKUP(CustomerCombinedCleaned[[#This Row],[ID]], Table4[ID], Table4[Regular], "Not Found", 0)</f>
        <v>683</v>
      </c>
      <c r="R1752" s="16">
        <f>_xlfn.XLOOKUP(CustomerCombinedCleaned[[#This Row],[ID]], Table4[ID], Table4[Deals], "Not Found", 0)</f>
        <v>1</v>
      </c>
      <c r="S1752" s="16">
        <f>_xlfn.XLOOKUP(CustomerCombinedCleaned[[#This Row],[ID]], Table4[ID], Table4[Website], "Not Found", 0)</f>
        <v>6</v>
      </c>
      <c r="T1752" s="16">
        <f>_xlfn.XLOOKUP(CustomerCombinedCleaned[[#This Row],[ID]], Table4[ID], Table4[Catalog], "Not Found", 0)</f>
        <v>1</v>
      </c>
      <c r="U1752" s="16">
        <f>_xlfn.XLOOKUP(CustomerCombinedCleaned[[#This Row],[ID]], Table4[ID], Table4[Store], "Not Found", 0)</f>
        <v>6</v>
      </c>
      <c r="V1752" s="16">
        <f>_xlfn.XLOOKUP(CustomerCombinedCleaned[[#This Row],[ID]], Table4[ID], Table4[Visits], "Not Found", 0)</f>
        <v>6</v>
      </c>
      <c r="W1752" s="16">
        <f>_xlfn.XLOOKUP(CustomerCombinedCleaned[[#This Row],[ID]], Table2[ID],Table2[Complaint], "Not Found", 0 )</f>
        <v>0</v>
      </c>
      <c r="X1752" s="16">
        <f>_xlfn.XLOOKUP(CustomerCombinedCleaned[[#This Row],[ID]], Table2[ID],Table2[Pilot], "Not Found", 0 )</f>
        <v>0</v>
      </c>
      <c r="Y1752" s="16">
        <f>_xlfn.XLOOKUP(CustomerCombinedCleaned[[#This Row],[ID]], Table2[ID],Table2[MC1], "Not Found", 0 )</f>
        <v>0</v>
      </c>
      <c r="Z1752" s="16">
        <f>_xlfn.XLOOKUP(CustomerCombinedCleaned[[#This Row],[ID]], Table2[ID],Table2[MC2], "Not Found", 0 )</f>
        <v>0</v>
      </c>
      <c r="AA1752" s="16">
        <f>_xlfn.XLOOKUP(CustomerCombinedCleaned[[#This Row],[ID]], Table2[ID],Table2[MC3], "Not Found", 0 )</f>
        <v>0</v>
      </c>
      <c r="AB1752" s="16">
        <f>_xlfn.XLOOKUP(CustomerCombinedCleaned[[#This Row],[ID]], Table2[ID],Table2[MC4], "Not Found", 0 )</f>
        <v>0</v>
      </c>
      <c r="AC1752" s="16">
        <f>_xlfn.XLOOKUP(CustomerCombinedCleaned[[#This Row],[ID]], Table2[ID],Table2[MC5], "Not Found", 0 )</f>
        <v>0</v>
      </c>
    </row>
    <row r="1753" spans="1:29" x14ac:dyDescent="0.3">
      <c r="A1753" s="18">
        <v>1700</v>
      </c>
      <c r="B1753" s="16">
        <v>145160</v>
      </c>
      <c r="C1753" s="16">
        <v>1</v>
      </c>
      <c r="D1753" s="16">
        <v>1</v>
      </c>
      <c r="E1753" s="16">
        <v>62</v>
      </c>
      <c r="F1753" s="17" t="s">
        <v>7</v>
      </c>
      <c r="G1753" s="17" t="s">
        <v>11</v>
      </c>
      <c r="H1753" s="3" t="s">
        <v>696</v>
      </c>
      <c r="I1753" s="5" t="s">
        <v>438</v>
      </c>
      <c r="J1753" s="16">
        <f>_xlfn.XLOOKUP(CustomerCombinedCleaned[[#This Row],[ID]], Table4[ID], Table4[Recency], "Not Found", 0)</f>
        <v>9</v>
      </c>
      <c r="K1753" s="16">
        <f>_xlfn.XLOOKUP(CustomerCombinedCleaned[[#This Row],[ID]], Table4[ID], Table4[Teas], "Not Found", 0)</f>
        <v>26</v>
      </c>
      <c r="L1753" s="16">
        <f>_xlfn.XLOOKUP(CustomerCombinedCleaned[[#This Row],[ID]], Table4[ID], Table4[Fruits], "Not Found", 0)</f>
        <v>6</v>
      </c>
      <c r="M1753" s="16">
        <f>_xlfn.XLOOKUP(CustomerCombinedCleaned[[#This Row],[ID]], Table4[ID], Table4[Meats], "Not Found", 0)</f>
        <v>16</v>
      </c>
      <c r="N1753" s="16">
        <f>_xlfn.XLOOKUP(CustomerCombinedCleaned[[#This Row],[ID]], Table4[ID], Table4[Seafood], "Not Found", 0)</f>
        <v>10</v>
      </c>
      <c r="O1753" s="16">
        <f>_xlfn.XLOOKUP(CustomerCombinedCleaned[[#This Row],[ID]], Table4[ID], Table4[Sweets], "Not Found", 0)</f>
        <v>0</v>
      </c>
      <c r="P1753" s="16">
        <f>_xlfn.XLOOKUP(CustomerCombinedCleaned[[#This Row],[ID]], Table4[ID], Table4[Premium], "Not Found", 0)</f>
        <v>10</v>
      </c>
      <c r="Q1753" s="16">
        <f>_xlfn.XLOOKUP(CustomerCombinedCleaned[[#This Row],[ID]], Table4[ID], Table4[Regular], "Not Found", 0)</f>
        <v>48</v>
      </c>
      <c r="R1753" s="16">
        <f>_xlfn.XLOOKUP(CustomerCombinedCleaned[[#This Row],[ID]], Table4[ID], Table4[Deals], "Not Found", 0)</f>
        <v>1</v>
      </c>
      <c r="S1753" s="16">
        <f>_xlfn.XLOOKUP(CustomerCombinedCleaned[[#This Row],[ID]], Table4[ID], Table4[Website], "Not Found", 0)</f>
        <v>1</v>
      </c>
      <c r="T1753" s="16">
        <f>_xlfn.XLOOKUP(CustomerCombinedCleaned[[#This Row],[ID]], Table4[ID], Table4[Catalog], "Not Found", 0)</f>
        <v>0</v>
      </c>
      <c r="U1753" s="16">
        <f>_xlfn.XLOOKUP(CustomerCombinedCleaned[[#This Row],[ID]], Table4[ID], Table4[Store], "Not Found", 0)</f>
        <v>2</v>
      </c>
      <c r="V1753" s="16">
        <f>_xlfn.XLOOKUP(CustomerCombinedCleaned[[#This Row],[ID]], Table4[ID], Table4[Visits], "Not Found", 0)</f>
        <v>7</v>
      </c>
      <c r="W1753" s="16">
        <f>_xlfn.XLOOKUP(CustomerCombinedCleaned[[#This Row],[ID]], Table2[ID],Table2[Complaint], "Not Found", 0 )</f>
        <v>0</v>
      </c>
      <c r="X1753" s="16">
        <f>_xlfn.XLOOKUP(CustomerCombinedCleaned[[#This Row],[ID]], Table2[ID],Table2[Pilot], "Not Found", 0 )</f>
        <v>0</v>
      </c>
      <c r="Y1753" s="16">
        <f>_xlfn.XLOOKUP(CustomerCombinedCleaned[[#This Row],[ID]], Table2[ID],Table2[MC1], "Not Found", 0 )</f>
        <v>0</v>
      </c>
      <c r="Z1753" s="16">
        <f>_xlfn.XLOOKUP(CustomerCombinedCleaned[[#This Row],[ID]], Table2[ID],Table2[MC2], "Not Found", 0 )</f>
        <v>0</v>
      </c>
      <c r="AA1753" s="16">
        <f>_xlfn.XLOOKUP(CustomerCombinedCleaned[[#This Row],[ID]], Table2[ID],Table2[MC3], "Not Found", 0 )</f>
        <v>0</v>
      </c>
      <c r="AB1753" s="16">
        <f>_xlfn.XLOOKUP(CustomerCombinedCleaned[[#This Row],[ID]], Table2[ID],Table2[MC4], "Not Found", 0 )</f>
        <v>0</v>
      </c>
      <c r="AC1753" s="16">
        <f>_xlfn.XLOOKUP(CustomerCombinedCleaned[[#This Row],[ID]], Table2[ID],Table2[MC5], "Not Found", 0 )</f>
        <v>0</v>
      </c>
    </row>
    <row r="1754" spans="1:29" x14ac:dyDescent="0.3">
      <c r="A1754" s="18">
        <v>1673</v>
      </c>
      <c r="B1754" s="16">
        <v>142315</v>
      </c>
      <c r="C1754" s="16">
        <v>0</v>
      </c>
      <c r="D1754" s="16">
        <v>1</v>
      </c>
      <c r="E1754" s="16">
        <v>62</v>
      </c>
      <c r="F1754" s="17" t="s">
        <v>8</v>
      </c>
      <c r="G1754" s="17" t="s">
        <v>12</v>
      </c>
      <c r="H1754" s="3" t="s">
        <v>224</v>
      </c>
      <c r="I1754" s="5" t="s">
        <v>434</v>
      </c>
      <c r="J1754" s="16">
        <f>_xlfn.XLOOKUP(CustomerCombinedCleaned[[#This Row],[ID]], Table4[ID], Table4[Recency], "Not Found", 0)</f>
        <v>90</v>
      </c>
      <c r="K1754" s="16">
        <f>_xlfn.XLOOKUP(CustomerCombinedCleaned[[#This Row],[ID]], Table4[ID], Table4[Teas], "Not Found", 0)</f>
        <v>225</v>
      </c>
      <c r="L1754" s="16">
        <f>_xlfn.XLOOKUP(CustomerCombinedCleaned[[#This Row],[ID]], Table4[ID], Table4[Fruits], "Not Found", 0)</f>
        <v>50</v>
      </c>
      <c r="M1754" s="16">
        <f>_xlfn.XLOOKUP(CustomerCombinedCleaned[[#This Row],[ID]], Table4[ID], Table4[Meats], "Not Found", 0)</f>
        <v>269</v>
      </c>
      <c r="N1754" s="16">
        <f>_xlfn.XLOOKUP(CustomerCombinedCleaned[[#This Row],[ID]], Table4[ID], Table4[Seafood], "Not Found", 0)</f>
        <v>57</v>
      </c>
      <c r="O1754" s="16">
        <f>_xlfn.XLOOKUP(CustomerCombinedCleaned[[#This Row],[ID]], Table4[ID], Table4[Sweets], "Not Found", 0)</f>
        <v>37</v>
      </c>
      <c r="P1754" s="16">
        <f>_xlfn.XLOOKUP(CustomerCombinedCleaned[[#This Row],[ID]], Table4[ID], Table4[Premium], "Not Found", 0)</f>
        <v>269</v>
      </c>
      <c r="Q1754" s="16">
        <f>_xlfn.XLOOKUP(CustomerCombinedCleaned[[#This Row],[ID]], Table4[ID], Table4[Regular], "Not Found", 0)</f>
        <v>370</v>
      </c>
      <c r="R1754" s="16">
        <f>_xlfn.XLOOKUP(CustomerCombinedCleaned[[#This Row],[ID]], Table4[ID], Table4[Deals], "Not Found", 0)</f>
        <v>3</v>
      </c>
      <c r="S1754" s="16">
        <f>_xlfn.XLOOKUP(CustomerCombinedCleaned[[#This Row],[ID]], Table4[ID], Table4[Website], "Not Found", 0)</f>
        <v>1</v>
      </c>
      <c r="T1754" s="16">
        <f>_xlfn.XLOOKUP(CustomerCombinedCleaned[[#This Row],[ID]], Table4[ID], Table4[Catalog], "Not Found", 0)</f>
        <v>4</v>
      </c>
      <c r="U1754" s="16">
        <f>_xlfn.XLOOKUP(CustomerCombinedCleaned[[#This Row],[ID]], Table4[ID], Table4[Store], "Not Found", 0)</f>
        <v>4</v>
      </c>
      <c r="V1754" s="16">
        <f>_xlfn.XLOOKUP(CustomerCombinedCleaned[[#This Row],[ID]], Table4[ID], Table4[Visits], "Not Found", 0)</f>
        <v>3</v>
      </c>
      <c r="W1754" s="16">
        <f>_xlfn.XLOOKUP(CustomerCombinedCleaned[[#This Row],[ID]], Table2[ID],Table2[Complaint], "Not Found", 0 )</f>
        <v>0</v>
      </c>
      <c r="X1754" s="16">
        <f>_xlfn.XLOOKUP(CustomerCombinedCleaned[[#This Row],[ID]], Table2[ID],Table2[Pilot], "Not Found", 0 )</f>
        <v>0</v>
      </c>
      <c r="Y1754" s="16">
        <f>_xlfn.XLOOKUP(CustomerCombinedCleaned[[#This Row],[ID]], Table2[ID],Table2[MC1], "Not Found", 0 )</f>
        <v>0</v>
      </c>
      <c r="Z1754" s="16">
        <f>_xlfn.XLOOKUP(CustomerCombinedCleaned[[#This Row],[ID]], Table2[ID],Table2[MC2], "Not Found", 0 )</f>
        <v>0</v>
      </c>
      <c r="AA1754" s="16">
        <f>_xlfn.XLOOKUP(CustomerCombinedCleaned[[#This Row],[ID]], Table2[ID],Table2[MC3], "Not Found", 0 )</f>
        <v>0</v>
      </c>
      <c r="AB1754" s="16">
        <f>_xlfn.XLOOKUP(CustomerCombinedCleaned[[#This Row],[ID]], Table2[ID],Table2[MC4], "Not Found", 0 )</f>
        <v>0</v>
      </c>
      <c r="AC1754" s="16">
        <f>_xlfn.XLOOKUP(CustomerCombinedCleaned[[#This Row],[ID]], Table2[ID],Table2[MC5], "Not Found", 0 )</f>
        <v>0</v>
      </c>
    </row>
    <row r="1755" spans="1:29" x14ac:dyDescent="0.3">
      <c r="A1755" s="18">
        <v>2404</v>
      </c>
      <c r="B1755" s="16">
        <v>138741</v>
      </c>
      <c r="C1755" s="16">
        <v>1</v>
      </c>
      <c r="D1755" s="16">
        <v>1</v>
      </c>
      <c r="E1755" s="16">
        <v>62</v>
      </c>
      <c r="F1755" s="17" t="s">
        <v>7</v>
      </c>
      <c r="G1755" s="17" t="s">
        <v>11</v>
      </c>
      <c r="H1755" s="3" t="s">
        <v>775</v>
      </c>
      <c r="I1755" s="5" t="s">
        <v>439</v>
      </c>
      <c r="J1755" s="16">
        <f>_xlfn.XLOOKUP(CustomerCombinedCleaned[[#This Row],[ID]], Table4[ID], Table4[Recency], "Not Found", 0)</f>
        <v>60</v>
      </c>
      <c r="K1755" s="16">
        <f>_xlfn.XLOOKUP(CustomerCombinedCleaned[[#This Row],[ID]], Table4[ID], Table4[Teas], "Not Found", 0)</f>
        <v>25</v>
      </c>
      <c r="L1755" s="16">
        <f>_xlfn.XLOOKUP(CustomerCombinedCleaned[[#This Row],[ID]], Table4[ID], Table4[Fruits], "Not Found", 0)</f>
        <v>36</v>
      </c>
      <c r="M1755" s="16">
        <f>_xlfn.XLOOKUP(CustomerCombinedCleaned[[#This Row],[ID]], Table4[ID], Table4[Meats], "Not Found", 0)</f>
        <v>61</v>
      </c>
      <c r="N1755" s="16">
        <f>_xlfn.XLOOKUP(CustomerCombinedCleaned[[#This Row],[ID]], Table4[ID], Table4[Seafood], "Not Found", 0)</f>
        <v>29</v>
      </c>
      <c r="O1755" s="16">
        <f>_xlfn.XLOOKUP(CustomerCombinedCleaned[[#This Row],[ID]], Table4[ID], Table4[Sweets], "Not Found", 0)</f>
        <v>21</v>
      </c>
      <c r="P1755" s="16">
        <f>_xlfn.XLOOKUP(CustomerCombinedCleaned[[#This Row],[ID]], Table4[ID], Table4[Premium], "Not Found", 0)</f>
        <v>47</v>
      </c>
      <c r="Q1755" s="16">
        <f>_xlfn.XLOOKUP(CustomerCombinedCleaned[[#This Row],[ID]], Table4[ID], Table4[Regular], "Not Found", 0)</f>
        <v>125</v>
      </c>
      <c r="R1755" s="16">
        <f>_xlfn.XLOOKUP(CustomerCombinedCleaned[[#This Row],[ID]], Table4[ID], Table4[Deals], "Not Found", 0)</f>
        <v>2</v>
      </c>
      <c r="S1755" s="16">
        <f>_xlfn.XLOOKUP(CustomerCombinedCleaned[[#This Row],[ID]], Table4[ID], Table4[Website], "Not Found", 0)</f>
        <v>2</v>
      </c>
      <c r="T1755" s="16">
        <f>_xlfn.XLOOKUP(CustomerCombinedCleaned[[#This Row],[ID]], Table4[ID], Table4[Catalog], "Not Found", 0)</f>
        <v>0</v>
      </c>
      <c r="U1755" s="16">
        <f>_xlfn.XLOOKUP(CustomerCombinedCleaned[[#This Row],[ID]], Table4[ID], Table4[Store], "Not Found", 0)</f>
        <v>3</v>
      </c>
      <c r="V1755" s="16">
        <f>_xlfn.XLOOKUP(CustomerCombinedCleaned[[#This Row],[ID]], Table4[ID], Table4[Visits], "Not Found", 0)</f>
        <v>7</v>
      </c>
      <c r="W1755" s="16">
        <f>_xlfn.XLOOKUP(CustomerCombinedCleaned[[#This Row],[ID]], Table2[ID],Table2[Complaint], "Not Found", 0 )</f>
        <v>0</v>
      </c>
      <c r="X1755" s="16">
        <f>_xlfn.XLOOKUP(CustomerCombinedCleaned[[#This Row],[ID]], Table2[ID],Table2[Pilot], "Not Found", 0 )</f>
        <v>0</v>
      </c>
      <c r="Y1755" s="16">
        <f>_xlfn.XLOOKUP(CustomerCombinedCleaned[[#This Row],[ID]], Table2[ID],Table2[MC1], "Not Found", 0 )</f>
        <v>0</v>
      </c>
      <c r="Z1755" s="16">
        <f>_xlfn.XLOOKUP(CustomerCombinedCleaned[[#This Row],[ID]], Table2[ID],Table2[MC2], "Not Found", 0 )</f>
        <v>0</v>
      </c>
      <c r="AA1755" s="16">
        <f>_xlfn.XLOOKUP(CustomerCombinedCleaned[[#This Row],[ID]], Table2[ID],Table2[MC3], "Not Found", 0 )</f>
        <v>0</v>
      </c>
      <c r="AB1755" s="16">
        <f>_xlfn.XLOOKUP(CustomerCombinedCleaned[[#This Row],[ID]], Table2[ID],Table2[MC4], "Not Found", 0 )</f>
        <v>0</v>
      </c>
      <c r="AC1755" s="16">
        <f>_xlfn.XLOOKUP(CustomerCombinedCleaned[[#This Row],[ID]], Table2[ID],Table2[MC5], "Not Found", 0 )</f>
        <v>0</v>
      </c>
    </row>
    <row r="1756" spans="1:29" x14ac:dyDescent="0.3">
      <c r="A1756" s="18">
        <v>2017</v>
      </c>
      <c r="B1756" s="16">
        <v>137334</v>
      </c>
      <c r="C1756" s="16">
        <v>1</v>
      </c>
      <c r="D1756" s="16">
        <v>1</v>
      </c>
      <c r="E1756" s="16">
        <v>62</v>
      </c>
      <c r="F1756" s="17" t="s">
        <v>8</v>
      </c>
      <c r="G1756" s="17" t="s">
        <v>13</v>
      </c>
      <c r="H1756" s="3" t="s">
        <v>778</v>
      </c>
      <c r="I1756" s="5" t="s">
        <v>437</v>
      </c>
      <c r="J1756" s="16">
        <f>_xlfn.XLOOKUP(CustomerCombinedCleaned[[#This Row],[ID]], Table4[ID], Table4[Recency], "Not Found", 0)</f>
        <v>44</v>
      </c>
      <c r="K1756" s="16">
        <f>_xlfn.XLOOKUP(CustomerCombinedCleaned[[#This Row],[ID]], Table4[ID], Table4[Teas], "Not Found", 0)</f>
        <v>96</v>
      </c>
      <c r="L1756" s="16">
        <f>_xlfn.XLOOKUP(CustomerCombinedCleaned[[#This Row],[ID]], Table4[ID], Table4[Fruits], "Not Found", 0)</f>
        <v>4</v>
      </c>
      <c r="M1756" s="16">
        <f>_xlfn.XLOOKUP(CustomerCombinedCleaned[[#This Row],[ID]], Table4[ID], Table4[Meats], "Not Found", 0)</f>
        <v>59</v>
      </c>
      <c r="N1756" s="16">
        <f>_xlfn.XLOOKUP(CustomerCombinedCleaned[[#This Row],[ID]], Table4[ID], Table4[Seafood], "Not Found", 0)</f>
        <v>7</v>
      </c>
      <c r="O1756" s="16">
        <f>_xlfn.XLOOKUP(CustomerCombinedCleaned[[#This Row],[ID]], Table4[ID], Table4[Sweets], "Not Found", 0)</f>
        <v>7</v>
      </c>
      <c r="P1756" s="16">
        <f>_xlfn.XLOOKUP(CustomerCombinedCleaned[[#This Row],[ID]], Table4[ID], Table4[Premium], "Not Found", 0)</f>
        <v>55</v>
      </c>
      <c r="Q1756" s="16">
        <f>_xlfn.XLOOKUP(CustomerCombinedCleaned[[#This Row],[ID]], Table4[ID], Table4[Regular], "Not Found", 0)</f>
        <v>118</v>
      </c>
      <c r="R1756" s="16">
        <f>_xlfn.XLOOKUP(CustomerCombinedCleaned[[#This Row],[ID]], Table4[ID], Table4[Deals], "Not Found", 0)</f>
        <v>4</v>
      </c>
      <c r="S1756" s="16">
        <f>_xlfn.XLOOKUP(CustomerCombinedCleaned[[#This Row],[ID]], Table4[ID], Table4[Website], "Not Found", 0)</f>
        <v>3</v>
      </c>
      <c r="T1756" s="16">
        <f>_xlfn.XLOOKUP(CustomerCombinedCleaned[[#This Row],[ID]], Table4[ID], Table4[Catalog], "Not Found", 0)</f>
        <v>0</v>
      </c>
      <c r="U1756" s="16">
        <f>_xlfn.XLOOKUP(CustomerCombinedCleaned[[#This Row],[ID]], Table4[ID], Table4[Store], "Not Found", 0)</f>
        <v>4</v>
      </c>
      <c r="V1756" s="16">
        <f>_xlfn.XLOOKUP(CustomerCombinedCleaned[[#This Row],[ID]], Table4[ID], Table4[Visits], "Not Found", 0)</f>
        <v>4</v>
      </c>
      <c r="W1756" s="16">
        <f>_xlfn.XLOOKUP(CustomerCombinedCleaned[[#This Row],[ID]], Table2[ID],Table2[Complaint], "Not Found", 0 )</f>
        <v>0</v>
      </c>
      <c r="X1756" s="16">
        <f>_xlfn.XLOOKUP(CustomerCombinedCleaned[[#This Row],[ID]], Table2[ID],Table2[Pilot], "Not Found", 0 )</f>
        <v>0</v>
      </c>
      <c r="Y1756" s="16">
        <f>_xlfn.XLOOKUP(CustomerCombinedCleaned[[#This Row],[ID]], Table2[ID],Table2[MC1], "Not Found", 0 )</f>
        <v>0</v>
      </c>
      <c r="Z1756" s="16">
        <f>_xlfn.XLOOKUP(CustomerCombinedCleaned[[#This Row],[ID]], Table2[ID],Table2[MC2], "Not Found", 0 )</f>
        <v>0</v>
      </c>
      <c r="AA1756" s="16">
        <f>_xlfn.XLOOKUP(CustomerCombinedCleaned[[#This Row],[ID]], Table2[ID],Table2[MC3], "Not Found", 0 )</f>
        <v>0</v>
      </c>
      <c r="AB1756" s="16">
        <f>_xlfn.XLOOKUP(CustomerCombinedCleaned[[#This Row],[ID]], Table2[ID],Table2[MC4], "Not Found", 0 )</f>
        <v>0</v>
      </c>
      <c r="AC1756" s="16">
        <f>_xlfn.XLOOKUP(CustomerCombinedCleaned[[#This Row],[ID]], Table2[ID],Table2[MC5], "Not Found", 0 )</f>
        <v>0</v>
      </c>
    </row>
    <row r="1757" spans="1:29" x14ac:dyDescent="0.3">
      <c r="A1757" s="18">
        <v>1287</v>
      </c>
      <c r="B1757" s="16">
        <v>135246</v>
      </c>
      <c r="C1757" s="16">
        <v>1</v>
      </c>
      <c r="D1757" s="16">
        <v>1</v>
      </c>
      <c r="E1757" s="16">
        <v>62</v>
      </c>
      <c r="F1757" s="17" t="s">
        <v>5</v>
      </c>
      <c r="G1757" s="17" t="s">
        <v>11</v>
      </c>
      <c r="H1757" s="3" t="s">
        <v>66</v>
      </c>
      <c r="I1757" s="5" t="s">
        <v>435</v>
      </c>
      <c r="J1757" s="16">
        <f>_xlfn.XLOOKUP(CustomerCombinedCleaned[[#This Row],[ID]], Table4[ID], Table4[Recency], "Not Found", 0)</f>
        <v>53</v>
      </c>
      <c r="K1757" s="16">
        <f>_xlfn.XLOOKUP(CustomerCombinedCleaned[[#This Row],[ID]], Table4[ID], Table4[Teas], "Not Found", 0)</f>
        <v>138</v>
      </c>
      <c r="L1757" s="16">
        <f>_xlfn.XLOOKUP(CustomerCombinedCleaned[[#This Row],[ID]], Table4[ID], Table4[Fruits], "Not Found", 0)</f>
        <v>0</v>
      </c>
      <c r="M1757" s="16">
        <f>_xlfn.XLOOKUP(CustomerCombinedCleaned[[#This Row],[ID]], Table4[ID], Table4[Meats], "Not Found", 0)</f>
        <v>46</v>
      </c>
      <c r="N1757" s="16">
        <f>_xlfn.XLOOKUP(CustomerCombinedCleaned[[#This Row],[ID]], Table4[ID], Table4[Seafood], "Not Found", 0)</f>
        <v>8</v>
      </c>
      <c r="O1757" s="16">
        <f>_xlfn.XLOOKUP(CustomerCombinedCleaned[[#This Row],[ID]], Table4[ID], Table4[Sweets], "Not Found", 0)</f>
        <v>8</v>
      </c>
      <c r="P1757" s="16">
        <f>_xlfn.XLOOKUP(CustomerCombinedCleaned[[#This Row],[ID]], Table4[ID], Table4[Premium], "Not Found", 0)</f>
        <v>38</v>
      </c>
      <c r="Q1757" s="16">
        <f>_xlfn.XLOOKUP(CustomerCombinedCleaned[[#This Row],[ID]], Table4[ID], Table4[Regular], "Not Found", 0)</f>
        <v>161</v>
      </c>
      <c r="R1757" s="16">
        <f>_xlfn.XLOOKUP(CustomerCombinedCleaned[[#This Row],[ID]], Table4[ID], Table4[Deals], "Not Found", 0)</f>
        <v>4</v>
      </c>
      <c r="S1757" s="16">
        <f>_xlfn.XLOOKUP(CustomerCombinedCleaned[[#This Row],[ID]], Table4[ID], Table4[Website], "Not Found", 0)</f>
        <v>3</v>
      </c>
      <c r="T1757" s="16">
        <f>_xlfn.XLOOKUP(CustomerCombinedCleaned[[#This Row],[ID]], Table4[ID], Table4[Catalog], "Not Found", 0)</f>
        <v>1</v>
      </c>
      <c r="U1757" s="16">
        <f>_xlfn.XLOOKUP(CustomerCombinedCleaned[[#This Row],[ID]], Table4[ID], Table4[Store], "Not Found", 0)</f>
        <v>3</v>
      </c>
      <c r="V1757" s="16">
        <f>_xlfn.XLOOKUP(CustomerCombinedCleaned[[#This Row],[ID]], Table4[ID], Table4[Visits], "Not Found", 0)</f>
        <v>5</v>
      </c>
      <c r="W1757" s="16">
        <f>_xlfn.XLOOKUP(CustomerCombinedCleaned[[#This Row],[ID]], Table2[ID],Table2[Complaint], "Not Found", 0 )</f>
        <v>0</v>
      </c>
      <c r="X1757" s="16">
        <f>_xlfn.XLOOKUP(CustomerCombinedCleaned[[#This Row],[ID]], Table2[ID],Table2[Pilot], "Not Found", 0 )</f>
        <v>0</v>
      </c>
      <c r="Y1757" s="16">
        <f>_xlfn.XLOOKUP(CustomerCombinedCleaned[[#This Row],[ID]], Table2[ID],Table2[MC1], "Not Found", 0 )</f>
        <v>0</v>
      </c>
      <c r="Z1757" s="16">
        <f>_xlfn.XLOOKUP(CustomerCombinedCleaned[[#This Row],[ID]], Table2[ID],Table2[MC2], "Not Found", 0 )</f>
        <v>0</v>
      </c>
      <c r="AA1757" s="16">
        <f>_xlfn.XLOOKUP(CustomerCombinedCleaned[[#This Row],[ID]], Table2[ID],Table2[MC3], "Not Found", 0 )</f>
        <v>0</v>
      </c>
      <c r="AB1757" s="16">
        <f>_xlfn.XLOOKUP(CustomerCombinedCleaned[[#This Row],[ID]], Table2[ID],Table2[MC4], "Not Found", 0 )</f>
        <v>0</v>
      </c>
      <c r="AC1757" s="16">
        <f>_xlfn.XLOOKUP(CustomerCombinedCleaned[[#This Row],[ID]], Table2[ID],Table2[MC5], "Not Found", 0 )</f>
        <v>0</v>
      </c>
    </row>
    <row r="1758" spans="1:29" x14ac:dyDescent="0.3">
      <c r="A1758" s="18">
        <v>2205</v>
      </c>
      <c r="B1758" s="16">
        <v>133438</v>
      </c>
      <c r="C1758" s="16">
        <v>1</v>
      </c>
      <c r="D1758" s="16">
        <v>1</v>
      </c>
      <c r="E1758" s="16">
        <v>62</v>
      </c>
      <c r="F1758" s="17" t="s">
        <v>9</v>
      </c>
      <c r="G1758" s="17" t="s">
        <v>13</v>
      </c>
      <c r="H1758" s="3" t="s">
        <v>177</v>
      </c>
      <c r="I1758" s="5" t="s">
        <v>435</v>
      </c>
      <c r="J1758" s="16">
        <f>_xlfn.XLOOKUP(CustomerCombinedCleaned[[#This Row],[ID]], Table4[ID], Table4[Recency], "Not Found", 0)</f>
        <v>81</v>
      </c>
      <c r="K1758" s="16">
        <f>_xlfn.XLOOKUP(CustomerCombinedCleaned[[#This Row],[ID]], Table4[ID], Table4[Teas], "Not Found", 0)</f>
        <v>247</v>
      </c>
      <c r="L1758" s="16">
        <f>_xlfn.XLOOKUP(CustomerCombinedCleaned[[#This Row],[ID]], Table4[ID], Table4[Fruits], "Not Found", 0)</f>
        <v>4</v>
      </c>
      <c r="M1758" s="16">
        <f>_xlfn.XLOOKUP(CustomerCombinedCleaned[[#This Row],[ID]], Table4[ID], Table4[Meats], "Not Found", 0)</f>
        <v>64</v>
      </c>
      <c r="N1758" s="16">
        <f>_xlfn.XLOOKUP(CustomerCombinedCleaned[[#This Row],[ID]], Table4[ID], Table4[Seafood], "Not Found", 0)</f>
        <v>12</v>
      </c>
      <c r="O1758" s="16">
        <f>_xlfn.XLOOKUP(CustomerCombinedCleaned[[#This Row],[ID]], Table4[ID], Table4[Sweets], "Not Found", 0)</f>
        <v>8</v>
      </c>
      <c r="P1758" s="16">
        <f>_xlfn.XLOOKUP(CustomerCombinedCleaned[[#This Row],[ID]], Table4[ID], Table4[Premium], "Not Found", 0)</f>
        <v>24</v>
      </c>
      <c r="Q1758" s="16">
        <f>_xlfn.XLOOKUP(CustomerCombinedCleaned[[#This Row],[ID]], Table4[ID], Table4[Regular], "Not Found", 0)</f>
        <v>311</v>
      </c>
      <c r="R1758" s="16">
        <f>_xlfn.XLOOKUP(CustomerCombinedCleaned[[#This Row],[ID]], Table4[ID], Table4[Deals], "Not Found", 0)</f>
        <v>4</v>
      </c>
      <c r="S1758" s="16">
        <f>_xlfn.XLOOKUP(CustomerCombinedCleaned[[#This Row],[ID]], Table4[ID], Table4[Website], "Not Found", 0)</f>
        <v>2</v>
      </c>
      <c r="T1758" s="16">
        <f>_xlfn.XLOOKUP(CustomerCombinedCleaned[[#This Row],[ID]], Table4[ID], Table4[Catalog], "Not Found", 0)</f>
        <v>1</v>
      </c>
      <c r="U1758" s="16">
        <f>_xlfn.XLOOKUP(CustomerCombinedCleaned[[#This Row],[ID]], Table4[ID], Table4[Store], "Not Found", 0)</f>
        <v>4</v>
      </c>
      <c r="V1758" s="16">
        <f>_xlfn.XLOOKUP(CustomerCombinedCleaned[[#This Row],[ID]], Table4[ID], Table4[Visits], "Not Found", 0)</f>
        <v>5</v>
      </c>
      <c r="W1758" s="16">
        <f>_xlfn.XLOOKUP(CustomerCombinedCleaned[[#This Row],[ID]], Table2[ID],Table2[Complaint], "Not Found", 0 )</f>
        <v>0</v>
      </c>
      <c r="X1758" s="16">
        <f>_xlfn.XLOOKUP(CustomerCombinedCleaned[[#This Row],[ID]], Table2[ID],Table2[Pilot], "Not Found", 0 )</f>
        <v>0</v>
      </c>
      <c r="Y1758" s="16">
        <f>_xlfn.XLOOKUP(CustomerCombinedCleaned[[#This Row],[ID]], Table2[ID],Table2[MC1], "Not Found", 0 )</f>
        <v>0</v>
      </c>
      <c r="Z1758" s="16">
        <f>_xlfn.XLOOKUP(CustomerCombinedCleaned[[#This Row],[ID]], Table2[ID],Table2[MC2], "Not Found", 0 )</f>
        <v>0</v>
      </c>
      <c r="AA1758" s="16">
        <f>_xlfn.XLOOKUP(CustomerCombinedCleaned[[#This Row],[ID]], Table2[ID],Table2[MC3], "Not Found", 0 )</f>
        <v>0</v>
      </c>
      <c r="AB1758" s="16">
        <f>_xlfn.XLOOKUP(CustomerCombinedCleaned[[#This Row],[ID]], Table2[ID],Table2[MC4], "Not Found", 0 )</f>
        <v>0</v>
      </c>
      <c r="AC1758" s="16">
        <f>_xlfn.XLOOKUP(CustomerCombinedCleaned[[#This Row],[ID]], Table2[ID],Table2[MC5], "Not Found", 0 )</f>
        <v>0</v>
      </c>
    </row>
    <row r="1759" spans="1:29" x14ac:dyDescent="0.3">
      <c r="A1759" s="18">
        <v>2009</v>
      </c>
      <c r="B1759" s="16">
        <v>132173</v>
      </c>
      <c r="C1759" s="16">
        <v>0</v>
      </c>
      <c r="D1759" s="16">
        <v>1</v>
      </c>
      <c r="E1759" s="16">
        <v>62</v>
      </c>
      <c r="F1759" s="17" t="s">
        <v>5</v>
      </c>
      <c r="G1759" s="17" t="s">
        <v>13</v>
      </c>
      <c r="H1759" s="3" t="s">
        <v>698</v>
      </c>
      <c r="I1759" s="5" t="s">
        <v>434</v>
      </c>
      <c r="J1759" s="16">
        <f>_xlfn.XLOOKUP(CustomerCombinedCleaned[[#This Row],[ID]], Table4[ID], Table4[Recency], "Not Found", 0)</f>
        <v>0</v>
      </c>
      <c r="K1759" s="16">
        <f>_xlfn.XLOOKUP(CustomerCombinedCleaned[[#This Row],[ID]], Table4[ID], Table4[Teas], "Not Found", 0)</f>
        <v>74</v>
      </c>
      <c r="L1759" s="16">
        <f>_xlfn.XLOOKUP(CustomerCombinedCleaned[[#This Row],[ID]], Table4[ID], Table4[Fruits], "Not Found", 0)</f>
        <v>0</v>
      </c>
      <c r="M1759" s="16">
        <f>_xlfn.XLOOKUP(CustomerCombinedCleaned[[#This Row],[ID]], Table4[ID], Table4[Meats], "Not Found", 0)</f>
        <v>8</v>
      </c>
      <c r="N1759" s="16">
        <f>_xlfn.XLOOKUP(CustomerCombinedCleaned[[#This Row],[ID]], Table4[ID], Table4[Seafood], "Not Found", 0)</f>
        <v>0</v>
      </c>
      <c r="O1759" s="16">
        <f>_xlfn.XLOOKUP(CustomerCombinedCleaned[[#This Row],[ID]], Table4[ID], Table4[Sweets], "Not Found", 0)</f>
        <v>0</v>
      </c>
      <c r="P1759" s="16">
        <f>_xlfn.XLOOKUP(CustomerCombinedCleaned[[#This Row],[ID]], Table4[ID], Table4[Premium], "Not Found", 0)</f>
        <v>8</v>
      </c>
      <c r="Q1759" s="16">
        <f>_xlfn.XLOOKUP(CustomerCombinedCleaned[[#This Row],[ID]], Table4[ID], Table4[Regular], "Not Found", 0)</f>
        <v>74</v>
      </c>
      <c r="R1759" s="16">
        <f>_xlfn.XLOOKUP(CustomerCombinedCleaned[[#This Row],[ID]], Table4[ID], Table4[Deals], "Not Found", 0)</f>
        <v>1</v>
      </c>
      <c r="S1759" s="16">
        <f>_xlfn.XLOOKUP(CustomerCombinedCleaned[[#This Row],[ID]], Table4[ID], Table4[Website], "Not Found", 0)</f>
        <v>1</v>
      </c>
      <c r="T1759" s="16">
        <f>_xlfn.XLOOKUP(CustomerCombinedCleaned[[#This Row],[ID]], Table4[ID], Table4[Catalog], "Not Found", 0)</f>
        <v>0</v>
      </c>
      <c r="U1759" s="16">
        <f>_xlfn.XLOOKUP(CustomerCombinedCleaned[[#This Row],[ID]], Table4[ID], Table4[Store], "Not Found", 0)</f>
        <v>3</v>
      </c>
      <c r="V1759" s="16">
        <f>_xlfn.XLOOKUP(CustomerCombinedCleaned[[#This Row],[ID]], Table4[ID], Table4[Visits], "Not Found", 0)</f>
        <v>4</v>
      </c>
      <c r="W1759" s="16">
        <f>_xlfn.XLOOKUP(CustomerCombinedCleaned[[#This Row],[ID]], Table2[ID],Table2[Complaint], "Not Found", 0 )</f>
        <v>0</v>
      </c>
      <c r="X1759" s="16">
        <f>_xlfn.XLOOKUP(CustomerCombinedCleaned[[#This Row],[ID]], Table2[ID],Table2[Pilot], "Not Found", 0 )</f>
        <v>0</v>
      </c>
      <c r="Y1759" s="16">
        <f>_xlfn.XLOOKUP(CustomerCombinedCleaned[[#This Row],[ID]], Table2[ID],Table2[MC1], "Not Found", 0 )</f>
        <v>0</v>
      </c>
      <c r="Z1759" s="16">
        <f>_xlfn.XLOOKUP(CustomerCombinedCleaned[[#This Row],[ID]], Table2[ID],Table2[MC2], "Not Found", 0 )</f>
        <v>0</v>
      </c>
      <c r="AA1759" s="16">
        <f>_xlfn.XLOOKUP(CustomerCombinedCleaned[[#This Row],[ID]], Table2[ID],Table2[MC3], "Not Found", 0 )</f>
        <v>0</v>
      </c>
      <c r="AB1759" s="16">
        <f>_xlfn.XLOOKUP(CustomerCombinedCleaned[[#This Row],[ID]], Table2[ID],Table2[MC4], "Not Found", 0 )</f>
        <v>0</v>
      </c>
      <c r="AC1759" s="16">
        <f>_xlfn.XLOOKUP(CustomerCombinedCleaned[[#This Row],[ID]], Table2[ID],Table2[MC5], "Not Found", 0 )</f>
        <v>0</v>
      </c>
    </row>
    <row r="1760" spans="1:29" x14ac:dyDescent="0.3">
      <c r="A1760" s="18">
        <v>1150</v>
      </c>
      <c r="B1760" s="16">
        <v>130523</v>
      </c>
      <c r="C1760" s="16">
        <v>2</v>
      </c>
      <c r="D1760" s="16">
        <v>1</v>
      </c>
      <c r="E1760" s="16">
        <v>62</v>
      </c>
      <c r="F1760" s="17" t="s">
        <v>7</v>
      </c>
      <c r="G1760" s="17" t="s">
        <v>12</v>
      </c>
      <c r="H1760" s="3" t="s">
        <v>701</v>
      </c>
      <c r="I1760" s="5" t="s">
        <v>439</v>
      </c>
      <c r="J1760" s="16">
        <f>_xlfn.XLOOKUP(CustomerCombinedCleaned[[#This Row],[ID]], Table4[ID], Table4[Recency], "Not Found", 0)</f>
        <v>0</v>
      </c>
      <c r="K1760" s="16">
        <f>_xlfn.XLOOKUP(CustomerCombinedCleaned[[#This Row],[ID]], Table4[ID], Table4[Teas], "Not Found", 0)</f>
        <v>21</v>
      </c>
      <c r="L1760" s="16">
        <f>_xlfn.XLOOKUP(CustomerCombinedCleaned[[#This Row],[ID]], Table4[ID], Table4[Fruits], "Not Found", 0)</f>
        <v>0</v>
      </c>
      <c r="M1760" s="16">
        <f>_xlfn.XLOOKUP(CustomerCombinedCleaned[[#This Row],[ID]], Table4[ID], Table4[Meats], "Not Found", 0)</f>
        <v>13</v>
      </c>
      <c r="N1760" s="16">
        <f>_xlfn.XLOOKUP(CustomerCombinedCleaned[[#This Row],[ID]], Table4[ID], Table4[Seafood], "Not Found", 0)</f>
        <v>0</v>
      </c>
      <c r="O1760" s="16">
        <f>_xlfn.XLOOKUP(CustomerCombinedCleaned[[#This Row],[ID]], Table4[ID], Table4[Sweets], "Not Found", 0)</f>
        <v>0</v>
      </c>
      <c r="P1760" s="16">
        <f>_xlfn.XLOOKUP(CustomerCombinedCleaned[[#This Row],[ID]], Table4[ID], Table4[Premium], "Not Found", 0)</f>
        <v>21</v>
      </c>
      <c r="Q1760" s="16">
        <f>_xlfn.XLOOKUP(CustomerCombinedCleaned[[#This Row],[ID]], Table4[ID], Table4[Regular], "Not Found", 0)</f>
        <v>13</v>
      </c>
      <c r="R1760" s="16">
        <f>_xlfn.XLOOKUP(CustomerCombinedCleaned[[#This Row],[ID]], Table4[ID], Table4[Deals], "Not Found", 0)</f>
        <v>1</v>
      </c>
      <c r="S1760" s="16">
        <f>_xlfn.XLOOKUP(CustomerCombinedCleaned[[#This Row],[ID]], Table4[ID], Table4[Website], "Not Found", 0)</f>
        <v>1</v>
      </c>
      <c r="T1760" s="16">
        <f>_xlfn.XLOOKUP(CustomerCombinedCleaned[[#This Row],[ID]], Table4[ID], Table4[Catalog], "Not Found", 0)</f>
        <v>0</v>
      </c>
      <c r="U1760" s="16">
        <f>_xlfn.XLOOKUP(CustomerCombinedCleaned[[#This Row],[ID]], Table4[ID], Table4[Store], "Not Found", 0)</f>
        <v>2</v>
      </c>
      <c r="V1760" s="16">
        <f>_xlfn.XLOOKUP(CustomerCombinedCleaned[[#This Row],[ID]], Table4[ID], Table4[Visits], "Not Found", 0)</f>
        <v>7</v>
      </c>
      <c r="W1760" s="16">
        <f>_xlfn.XLOOKUP(CustomerCombinedCleaned[[#This Row],[ID]], Table2[ID],Table2[Complaint], "Not Found", 0 )</f>
        <v>0</v>
      </c>
      <c r="X1760" s="16">
        <f>_xlfn.XLOOKUP(CustomerCombinedCleaned[[#This Row],[ID]], Table2[ID],Table2[Pilot], "Not Found", 0 )</f>
        <v>0</v>
      </c>
      <c r="Y1760" s="16">
        <f>_xlfn.XLOOKUP(CustomerCombinedCleaned[[#This Row],[ID]], Table2[ID],Table2[MC1], "Not Found", 0 )</f>
        <v>0</v>
      </c>
      <c r="Z1760" s="16">
        <f>_xlfn.XLOOKUP(CustomerCombinedCleaned[[#This Row],[ID]], Table2[ID],Table2[MC2], "Not Found", 0 )</f>
        <v>0</v>
      </c>
      <c r="AA1760" s="16">
        <f>_xlfn.XLOOKUP(CustomerCombinedCleaned[[#This Row],[ID]], Table2[ID],Table2[MC3], "Not Found", 0 )</f>
        <v>0</v>
      </c>
      <c r="AB1760" s="16">
        <f>_xlfn.XLOOKUP(CustomerCombinedCleaned[[#This Row],[ID]], Table2[ID],Table2[MC4], "Not Found", 0 )</f>
        <v>0</v>
      </c>
      <c r="AC1760" s="16">
        <f>_xlfn.XLOOKUP(CustomerCombinedCleaned[[#This Row],[ID]], Table2[ID],Table2[MC5], "Not Found", 0 )</f>
        <v>0</v>
      </c>
    </row>
    <row r="1761" spans="1:29" x14ac:dyDescent="0.3">
      <c r="A1761" s="18">
        <v>2503</v>
      </c>
      <c r="B1761" s="16">
        <v>128087</v>
      </c>
      <c r="C1761" s="16">
        <v>1</v>
      </c>
      <c r="D1761" s="16">
        <v>1</v>
      </c>
      <c r="E1761" s="16">
        <v>62</v>
      </c>
      <c r="F1761" s="17" t="s">
        <v>8</v>
      </c>
      <c r="G1761" s="17" t="s">
        <v>11</v>
      </c>
      <c r="H1761" s="3" t="s">
        <v>347</v>
      </c>
      <c r="I1761" s="5" t="s">
        <v>437</v>
      </c>
      <c r="J1761" s="16">
        <f>_xlfn.XLOOKUP(CustomerCombinedCleaned[[#This Row],[ID]], Table4[ID], Table4[Recency], "Not Found", 0)</f>
        <v>77</v>
      </c>
      <c r="K1761" s="16">
        <f>_xlfn.XLOOKUP(CustomerCombinedCleaned[[#This Row],[ID]], Table4[ID], Table4[Teas], "Not Found", 0)</f>
        <v>242</v>
      </c>
      <c r="L1761" s="16">
        <f>_xlfn.XLOOKUP(CustomerCombinedCleaned[[#This Row],[ID]], Table4[ID], Table4[Fruits], "Not Found", 0)</f>
        <v>36</v>
      </c>
      <c r="M1761" s="16">
        <f>_xlfn.XLOOKUP(CustomerCombinedCleaned[[#This Row],[ID]], Table4[ID], Table4[Meats], "Not Found", 0)</f>
        <v>78</v>
      </c>
      <c r="N1761" s="16">
        <f>_xlfn.XLOOKUP(CustomerCombinedCleaned[[#This Row],[ID]], Table4[ID], Table4[Seafood], "Not Found", 0)</f>
        <v>59</v>
      </c>
      <c r="O1761" s="16">
        <f>_xlfn.XLOOKUP(CustomerCombinedCleaned[[#This Row],[ID]], Table4[ID], Table4[Sweets], "Not Found", 0)</f>
        <v>0</v>
      </c>
      <c r="P1761" s="16">
        <f>_xlfn.XLOOKUP(CustomerCombinedCleaned[[#This Row],[ID]], Table4[ID], Table4[Premium], "Not Found", 0)</f>
        <v>96</v>
      </c>
      <c r="Q1761" s="16">
        <f>_xlfn.XLOOKUP(CustomerCombinedCleaned[[#This Row],[ID]], Table4[ID], Table4[Regular], "Not Found", 0)</f>
        <v>319</v>
      </c>
      <c r="R1761" s="16">
        <f>_xlfn.XLOOKUP(CustomerCombinedCleaned[[#This Row],[ID]], Table4[ID], Table4[Deals], "Not Found", 0)</f>
        <v>3</v>
      </c>
      <c r="S1761" s="16">
        <f>_xlfn.XLOOKUP(CustomerCombinedCleaned[[#This Row],[ID]], Table4[ID], Table4[Website], "Not Found", 0)</f>
        <v>2</v>
      </c>
      <c r="T1761" s="16">
        <f>_xlfn.XLOOKUP(CustomerCombinedCleaned[[#This Row],[ID]], Table4[ID], Table4[Catalog], "Not Found", 0)</f>
        <v>2</v>
      </c>
      <c r="U1761" s="16">
        <f>_xlfn.XLOOKUP(CustomerCombinedCleaned[[#This Row],[ID]], Table4[ID], Table4[Store], "Not Found", 0)</f>
        <v>2</v>
      </c>
      <c r="V1761" s="16">
        <f>_xlfn.XLOOKUP(CustomerCombinedCleaned[[#This Row],[ID]], Table4[ID], Table4[Visits], "Not Found", 0)</f>
        <v>7</v>
      </c>
      <c r="W1761" s="16">
        <f>_xlfn.XLOOKUP(CustomerCombinedCleaned[[#This Row],[ID]], Table2[ID],Table2[Complaint], "Not Found", 0 )</f>
        <v>0</v>
      </c>
      <c r="X1761" s="16">
        <f>_xlfn.XLOOKUP(CustomerCombinedCleaned[[#This Row],[ID]], Table2[ID],Table2[Pilot], "Not Found", 0 )</f>
        <v>0</v>
      </c>
      <c r="Y1761" s="16">
        <f>_xlfn.XLOOKUP(CustomerCombinedCleaned[[#This Row],[ID]], Table2[ID],Table2[MC1], "Not Found", 0 )</f>
        <v>0</v>
      </c>
      <c r="Z1761" s="16">
        <f>_xlfn.XLOOKUP(CustomerCombinedCleaned[[#This Row],[ID]], Table2[ID],Table2[MC2], "Not Found", 0 )</f>
        <v>0</v>
      </c>
      <c r="AA1761" s="16">
        <f>_xlfn.XLOOKUP(CustomerCombinedCleaned[[#This Row],[ID]], Table2[ID],Table2[MC3], "Not Found", 0 )</f>
        <v>0</v>
      </c>
      <c r="AB1761" s="16">
        <f>_xlfn.XLOOKUP(CustomerCombinedCleaned[[#This Row],[ID]], Table2[ID],Table2[MC4], "Not Found", 0 )</f>
        <v>0</v>
      </c>
      <c r="AC1761" s="16">
        <f>_xlfn.XLOOKUP(CustomerCombinedCleaned[[#This Row],[ID]], Table2[ID],Table2[MC5], "Not Found", 0 )</f>
        <v>0</v>
      </c>
    </row>
    <row r="1762" spans="1:29" x14ac:dyDescent="0.3">
      <c r="A1762" s="18">
        <v>1240</v>
      </c>
      <c r="B1762" s="16">
        <v>126490</v>
      </c>
      <c r="C1762" s="16">
        <v>0</v>
      </c>
      <c r="D1762" s="16">
        <v>0</v>
      </c>
      <c r="E1762" s="16">
        <v>62</v>
      </c>
      <c r="F1762" s="17" t="s">
        <v>8</v>
      </c>
      <c r="G1762" s="17" t="s">
        <v>11</v>
      </c>
      <c r="H1762" s="3" t="s">
        <v>389</v>
      </c>
      <c r="I1762" s="5" t="s">
        <v>439</v>
      </c>
      <c r="J1762" s="16">
        <f>_xlfn.XLOOKUP(CustomerCombinedCleaned[[#This Row],[ID]], Table4[ID], Table4[Recency], "Not Found", 0)</f>
        <v>92</v>
      </c>
      <c r="K1762" s="16">
        <f>_xlfn.XLOOKUP(CustomerCombinedCleaned[[#This Row],[ID]], Table4[ID], Table4[Teas], "Not Found", 0)</f>
        <v>215</v>
      </c>
      <c r="L1762" s="16">
        <f>_xlfn.XLOOKUP(CustomerCombinedCleaned[[#This Row],[ID]], Table4[ID], Table4[Fruits], "Not Found", 0)</f>
        <v>224</v>
      </c>
      <c r="M1762" s="16">
        <f>_xlfn.XLOOKUP(CustomerCombinedCleaned[[#This Row],[ID]], Table4[ID], Table4[Meats], "Not Found", 0)</f>
        <v>248</v>
      </c>
      <c r="N1762" s="16">
        <f>_xlfn.XLOOKUP(CustomerCombinedCleaned[[#This Row],[ID]], Table4[ID], Table4[Seafood], "Not Found", 0)</f>
        <v>100</v>
      </c>
      <c r="O1762" s="16">
        <f>_xlfn.XLOOKUP(CustomerCombinedCleaned[[#This Row],[ID]], Table4[ID], Table4[Sweets], "Not Found", 0)</f>
        <v>96</v>
      </c>
      <c r="P1762" s="16">
        <f>_xlfn.XLOOKUP(CustomerCombinedCleaned[[#This Row],[ID]], Table4[ID], Table4[Premium], "Not Found", 0)</f>
        <v>119</v>
      </c>
      <c r="Q1762" s="16">
        <f>_xlfn.XLOOKUP(CustomerCombinedCleaned[[#This Row],[ID]], Table4[ID], Table4[Regular], "Not Found", 0)</f>
        <v>764</v>
      </c>
      <c r="R1762" s="16">
        <f>_xlfn.XLOOKUP(CustomerCombinedCleaned[[#This Row],[ID]], Table4[ID], Table4[Deals], "Not Found", 0)</f>
        <v>2</v>
      </c>
      <c r="S1762" s="16">
        <f>_xlfn.XLOOKUP(CustomerCombinedCleaned[[#This Row],[ID]], Table4[ID], Table4[Website], "Not Found", 0)</f>
        <v>3</v>
      </c>
      <c r="T1762" s="16">
        <f>_xlfn.XLOOKUP(CustomerCombinedCleaned[[#This Row],[ID]], Table4[ID], Table4[Catalog], "Not Found", 0)</f>
        <v>1</v>
      </c>
      <c r="U1762" s="16">
        <f>_xlfn.XLOOKUP(CustomerCombinedCleaned[[#This Row],[ID]], Table4[ID], Table4[Store], "Not Found", 0)</f>
        <v>5</v>
      </c>
      <c r="V1762" s="16">
        <f>_xlfn.XLOOKUP(CustomerCombinedCleaned[[#This Row],[ID]], Table4[ID], Table4[Visits], "Not Found", 0)</f>
        <v>6</v>
      </c>
      <c r="W1762" s="16">
        <f>_xlfn.XLOOKUP(CustomerCombinedCleaned[[#This Row],[ID]], Table2[ID],Table2[Complaint], "Not Found", 0 )</f>
        <v>0</v>
      </c>
      <c r="X1762" s="16">
        <f>_xlfn.XLOOKUP(CustomerCombinedCleaned[[#This Row],[ID]], Table2[ID],Table2[Pilot], "Not Found", 0 )</f>
        <v>0</v>
      </c>
      <c r="Y1762" s="16">
        <f>_xlfn.XLOOKUP(CustomerCombinedCleaned[[#This Row],[ID]], Table2[ID],Table2[MC1], "Not Found", 0 )</f>
        <v>0</v>
      </c>
      <c r="Z1762" s="16">
        <f>_xlfn.XLOOKUP(CustomerCombinedCleaned[[#This Row],[ID]], Table2[ID],Table2[MC2], "Not Found", 0 )</f>
        <v>0</v>
      </c>
      <c r="AA1762" s="16">
        <f>_xlfn.XLOOKUP(CustomerCombinedCleaned[[#This Row],[ID]], Table2[ID],Table2[MC3], "Not Found", 0 )</f>
        <v>0</v>
      </c>
      <c r="AB1762" s="16">
        <f>_xlfn.XLOOKUP(CustomerCombinedCleaned[[#This Row],[ID]], Table2[ID],Table2[MC4], "Not Found", 0 )</f>
        <v>0</v>
      </c>
      <c r="AC1762" s="16">
        <f>_xlfn.XLOOKUP(CustomerCombinedCleaned[[#This Row],[ID]], Table2[ID],Table2[MC5], "Not Found", 0 )</f>
        <v>0</v>
      </c>
    </row>
    <row r="1763" spans="1:29" x14ac:dyDescent="0.3">
      <c r="A1763" s="18">
        <v>1639</v>
      </c>
      <c r="B1763" s="16">
        <v>126490</v>
      </c>
      <c r="C1763" s="16">
        <v>0</v>
      </c>
      <c r="D1763" s="16">
        <v>0</v>
      </c>
      <c r="E1763" s="16">
        <v>62</v>
      </c>
      <c r="F1763" s="17" t="s">
        <v>8</v>
      </c>
      <c r="G1763" s="17" t="s">
        <v>11</v>
      </c>
      <c r="H1763" s="3" t="s">
        <v>389</v>
      </c>
      <c r="I1763" s="5" t="s">
        <v>437</v>
      </c>
      <c r="J1763" s="16">
        <f>_xlfn.XLOOKUP(CustomerCombinedCleaned[[#This Row],[ID]], Table4[ID], Table4[Recency], "Not Found", 0)</f>
        <v>92</v>
      </c>
      <c r="K1763" s="16">
        <f>_xlfn.XLOOKUP(CustomerCombinedCleaned[[#This Row],[ID]], Table4[ID], Table4[Teas], "Not Found", 0)</f>
        <v>215</v>
      </c>
      <c r="L1763" s="16">
        <f>_xlfn.XLOOKUP(CustomerCombinedCleaned[[#This Row],[ID]], Table4[ID], Table4[Fruits], "Not Found", 0)</f>
        <v>224</v>
      </c>
      <c r="M1763" s="16">
        <f>_xlfn.XLOOKUP(CustomerCombinedCleaned[[#This Row],[ID]], Table4[ID], Table4[Meats], "Not Found", 0)</f>
        <v>248</v>
      </c>
      <c r="N1763" s="16">
        <f>_xlfn.XLOOKUP(CustomerCombinedCleaned[[#This Row],[ID]], Table4[ID], Table4[Seafood], "Not Found", 0)</f>
        <v>100</v>
      </c>
      <c r="O1763" s="16">
        <f>_xlfn.XLOOKUP(CustomerCombinedCleaned[[#This Row],[ID]], Table4[ID], Table4[Sweets], "Not Found", 0)</f>
        <v>96</v>
      </c>
      <c r="P1763" s="16">
        <f>_xlfn.XLOOKUP(CustomerCombinedCleaned[[#This Row],[ID]], Table4[ID], Table4[Premium], "Not Found", 0)</f>
        <v>119</v>
      </c>
      <c r="Q1763" s="16">
        <f>_xlfn.XLOOKUP(CustomerCombinedCleaned[[#This Row],[ID]], Table4[ID], Table4[Regular], "Not Found", 0)</f>
        <v>764</v>
      </c>
      <c r="R1763" s="16">
        <f>_xlfn.XLOOKUP(CustomerCombinedCleaned[[#This Row],[ID]], Table4[ID], Table4[Deals], "Not Found", 0)</f>
        <v>2</v>
      </c>
      <c r="S1763" s="16">
        <f>_xlfn.XLOOKUP(CustomerCombinedCleaned[[#This Row],[ID]], Table4[ID], Table4[Website], "Not Found", 0)</f>
        <v>3</v>
      </c>
      <c r="T1763" s="16">
        <f>_xlfn.XLOOKUP(CustomerCombinedCleaned[[#This Row],[ID]], Table4[ID], Table4[Catalog], "Not Found", 0)</f>
        <v>1</v>
      </c>
      <c r="U1763" s="16">
        <f>_xlfn.XLOOKUP(CustomerCombinedCleaned[[#This Row],[ID]], Table4[ID], Table4[Store], "Not Found", 0)</f>
        <v>5</v>
      </c>
      <c r="V1763" s="16">
        <f>_xlfn.XLOOKUP(CustomerCombinedCleaned[[#This Row],[ID]], Table4[ID], Table4[Visits], "Not Found", 0)</f>
        <v>6</v>
      </c>
      <c r="W1763" s="16">
        <f>_xlfn.XLOOKUP(CustomerCombinedCleaned[[#This Row],[ID]], Table2[ID],Table2[Complaint], "Not Found", 0 )</f>
        <v>0</v>
      </c>
      <c r="X1763" s="16">
        <f>_xlfn.XLOOKUP(CustomerCombinedCleaned[[#This Row],[ID]], Table2[ID],Table2[Pilot], "Not Found", 0 )</f>
        <v>0</v>
      </c>
      <c r="Y1763" s="16">
        <f>_xlfn.XLOOKUP(CustomerCombinedCleaned[[#This Row],[ID]], Table2[ID],Table2[MC1], "Not Found", 0 )</f>
        <v>0</v>
      </c>
      <c r="Z1763" s="16">
        <f>_xlfn.XLOOKUP(CustomerCombinedCleaned[[#This Row],[ID]], Table2[ID],Table2[MC2], "Not Found", 0 )</f>
        <v>0</v>
      </c>
      <c r="AA1763" s="16">
        <f>_xlfn.XLOOKUP(CustomerCombinedCleaned[[#This Row],[ID]], Table2[ID],Table2[MC3], "Not Found", 0 )</f>
        <v>0</v>
      </c>
      <c r="AB1763" s="16">
        <f>_xlfn.XLOOKUP(CustomerCombinedCleaned[[#This Row],[ID]], Table2[ID],Table2[MC4], "Not Found", 0 )</f>
        <v>0</v>
      </c>
      <c r="AC1763" s="16">
        <f>_xlfn.XLOOKUP(CustomerCombinedCleaned[[#This Row],[ID]], Table2[ID],Table2[MC5], "Not Found", 0 )</f>
        <v>0</v>
      </c>
    </row>
    <row r="1764" spans="1:29" x14ac:dyDescent="0.3">
      <c r="A1764" s="18">
        <v>2164</v>
      </c>
      <c r="B1764" s="16">
        <v>115056</v>
      </c>
      <c r="C1764" s="16">
        <v>1</v>
      </c>
      <c r="D1764" s="16">
        <v>1</v>
      </c>
      <c r="E1764" s="16">
        <v>62</v>
      </c>
      <c r="F1764" s="17" t="s">
        <v>7</v>
      </c>
      <c r="G1764" s="17" t="s">
        <v>10</v>
      </c>
      <c r="H1764" s="3" t="s">
        <v>567</v>
      </c>
      <c r="I1764" s="5" t="s">
        <v>439</v>
      </c>
      <c r="J1764" s="16">
        <f>_xlfn.XLOOKUP(CustomerCombinedCleaned[[#This Row],[ID]], Table4[ID], Table4[Recency], "Not Found", 0)</f>
        <v>76</v>
      </c>
      <c r="K1764" s="16">
        <f>_xlfn.XLOOKUP(CustomerCombinedCleaned[[#This Row],[ID]], Table4[ID], Table4[Teas], "Not Found", 0)</f>
        <v>46</v>
      </c>
      <c r="L1764" s="16">
        <f>_xlfn.XLOOKUP(CustomerCombinedCleaned[[#This Row],[ID]], Table4[ID], Table4[Fruits], "Not Found", 0)</f>
        <v>92</v>
      </c>
      <c r="M1764" s="16">
        <f>_xlfn.XLOOKUP(CustomerCombinedCleaned[[#This Row],[ID]], Table4[ID], Table4[Meats], "Not Found", 0)</f>
        <v>23</v>
      </c>
      <c r="N1764" s="16">
        <f>_xlfn.XLOOKUP(CustomerCombinedCleaned[[#This Row],[ID]], Table4[ID], Table4[Seafood], "Not Found", 0)</f>
        <v>160</v>
      </c>
      <c r="O1764" s="16">
        <f>_xlfn.XLOOKUP(CustomerCombinedCleaned[[#This Row],[ID]], Table4[ID], Table4[Sweets], "Not Found", 0)</f>
        <v>46</v>
      </c>
      <c r="P1764" s="16">
        <f>_xlfn.XLOOKUP(CustomerCombinedCleaned[[#This Row],[ID]], Table4[ID], Table4[Premium], "Not Found", 0)</f>
        <v>306</v>
      </c>
      <c r="Q1764" s="16">
        <f>_xlfn.XLOOKUP(CustomerCombinedCleaned[[#This Row],[ID]], Table4[ID], Table4[Regular], "Not Found", 0)</f>
        <v>61</v>
      </c>
      <c r="R1764" s="16">
        <f>_xlfn.XLOOKUP(CustomerCombinedCleaned[[#This Row],[ID]], Table4[ID], Table4[Deals], "Not Found", 0)</f>
        <v>5</v>
      </c>
      <c r="S1764" s="16">
        <f>_xlfn.XLOOKUP(CustomerCombinedCleaned[[#This Row],[ID]], Table4[ID], Table4[Website], "Not Found", 0)</f>
        <v>2</v>
      </c>
      <c r="T1764" s="16">
        <f>_xlfn.XLOOKUP(CustomerCombinedCleaned[[#This Row],[ID]], Table4[ID], Table4[Catalog], "Not Found", 0)</f>
        <v>2</v>
      </c>
      <c r="U1764" s="16">
        <f>_xlfn.XLOOKUP(CustomerCombinedCleaned[[#This Row],[ID]], Table4[ID], Table4[Store], "Not Found", 0)</f>
        <v>3</v>
      </c>
      <c r="V1764" s="16">
        <f>_xlfn.XLOOKUP(CustomerCombinedCleaned[[#This Row],[ID]], Table4[ID], Table4[Visits], "Not Found", 0)</f>
        <v>5</v>
      </c>
      <c r="W1764" s="16">
        <f>_xlfn.XLOOKUP(CustomerCombinedCleaned[[#This Row],[ID]], Table2[ID],Table2[Complaint], "Not Found", 0 )</f>
        <v>0</v>
      </c>
      <c r="X1764" s="16">
        <f>_xlfn.XLOOKUP(CustomerCombinedCleaned[[#This Row],[ID]], Table2[ID],Table2[Pilot], "Not Found", 0 )</f>
        <v>0</v>
      </c>
      <c r="Y1764" s="16">
        <f>_xlfn.XLOOKUP(CustomerCombinedCleaned[[#This Row],[ID]], Table2[ID],Table2[MC1], "Not Found", 0 )</f>
        <v>0</v>
      </c>
      <c r="Z1764" s="16">
        <f>_xlfn.XLOOKUP(CustomerCombinedCleaned[[#This Row],[ID]], Table2[ID],Table2[MC2], "Not Found", 0 )</f>
        <v>0</v>
      </c>
      <c r="AA1764" s="16">
        <f>_xlfn.XLOOKUP(CustomerCombinedCleaned[[#This Row],[ID]], Table2[ID],Table2[MC3], "Not Found", 0 )</f>
        <v>0</v>
      </c>
      <c r="AB1764" s="16">
        <f>_xlfn.XLOOKUP(CustomerCombinedCleaned[[#This Row],[ID]], Table2[ID],Table2[MC4], "Not Found", 0 )</f>
        <v>0</v>
      </c>
      <c r="AC1764" s="16">
        <f>_xlfn.XLOOKUP(CustomerCombinedCleaned[[#This Row],[ID]], Table2[ID],Table2[MC5], "Not Found", 0 )</f>
        <v>0</v>
      </c>
    </row>
    <row r="1765" spans="1:29" x14ac:dyDescent="0.3">
      <c r="A1765" s="18">
        <v>1833</v>
      </c>
      <c r="B1765" s="16">
        <v>182347</v>
      </c>
      <c r="C1765" s="16">
        <v>0</v>
      </c>
      <c r="D1765" s="16">
        <v>0</v>
      </c>
      <c r="E1765" s="16">
        <v>63</v>
      </c>
      <c r="F1765" s="17" t="s">
        <v>6</v>
      </c>
      <c r="G1765" s="17" t="s">
        <v>11</v>
      </c>
      <c r="H1765" s="3" t="s">
        <v>369</v>
      </c>
      <c r="I1765" s="5" t="s">
        <v>435</v>
      </c>
      <c r="J1765" s="16">
        <f>_xlfn.XLOOKUP(CustomerCombinedCleaned[[#This Row],[ID]], Table4[ID], Table4[Recency], "Not Found", 0)</f>
        <v>38</v>
      </c>
      <c r="K1765" s="16">
        <f>_xlfn.XLOOKUP(CustomerCombinedCleaned[[#This Row],[ID]], Table4[ID], Table4[Teas], "Not Found", 0)</f>
        <v>1231</v>
      </c>
      <c r="L1765" s="16">
        <f>_xlfn.XLOOKUP(CustomerCombinedCleaned[[#This Row],[ID]], Table4[ID], Table4[Fruits], "Not Found", 0)</f>
        <v>120</v>
      </c>
      <c r="M1765" s="16">
        <f>_xlfn.XLOOKUP(CustomerCombinedCleaned[[#This Row],[ID]], Table4[ID], Table4[Meats], "Not Found", 0)</f>
        <v>1871</v>
      </c>
      <c r="N1765" s="16">
        <f>_xlfn.XLOOKUP(CustomerCombinedCleaned[[#This Row],[ID]], Table4[ID], Table4[Seafood], "Not Found", 0)</f>
        <v>447</v>
      </c>
      <c r="O1765" s="16">
        <f>_xlfn.XLOOKUP(CustomerCombinedCleaned[[#This Row],[ID]], Table4[ID], Table4[Sweets], "Not Found", 0)</f>
        <v>295</v>
      </c>
      <c r="P1765" s="16">
        <f>_xlfn.XLOOKUP(CustomerCombinedCleaned[[#This Row],[ID]], Table4[ID], Table4[Premium], "Not Found", 0)</f>
        <v>140</v>
      </c>
      <c r="Q1765" s="16">
        <f>_xlfn.XLOOKUP(CustomerCombinedCleaned[[#This Row],[ID]], Table4[ID], Table4[Regular], "Not Found", 0)</f>
        <v>3824</v>
      </c>
      <c r="R1765" s="16">
        <f>_xlfn.XLOOKUP(CustomerCombinedCleaned[[#This Row],[ID]], Table4[ID], Table4[Deals], "Not Found", 0)</f>
        <v>1</v>
      </c>
      <c r="S1765" s="16">
        <f>_xlfn.XLOOKUP(CustomerCombinedCleaned[[#This Row],[ID]], Table4[ID], Table4[Website], "Not Found", 0)</f>
        <v>7</v>
      </c>
      <c r="T1765" s="16">
        <f>_xlfn.XLOOKUP(CustomerCombinedCleaned[[#This Row],[ID]], Table4[ID], Table4[Catalog], "Not Found", 0)</f>
        <v>7</v>
      </c>
      <c r="U1765" s="16">
        <f>_xlfn.XLOOKUP(CustomerCombinedCleaned[[#This Row],[ID]], Table4[ID], Table4[Store], "Not Found", 0)</f>
        <v>10</v>
      </c>
      <c r="V1765" s="16">
        <f>_xlfn.XLOOKUP(CustomerCombinedCleaned[[#This Row],[ID]], Table4[ID], Table4[Visits], "Not Found", 0)</f>
        <v>3</v>
      </c>
      <c r="W1765" s="16">
        <f>_xlfn.XLOOKUP(CustomerCombinedCleaned[[#This Row],[ID]], Table2[ID],Table2[Complaint], "Not Found", 0 )</f>
        <v>0</v>
      </c>
      <c r="X1765" s="16">
        <f>_xlfn.XLOOKUP(CustomerCombinedCleaned[[#This Row],[ID]], Table2[ID],Table2[Pilot], "Not Found", 0 )</f>
        <v>0</v>
      </c>
      <c r="Y1765" s="16">
        <f>_xlfn.XLOOKUP(CustomerCombinedCleaned[[#This Row],[ID]], Table2[ID],Table2[MC1], "Not Found", 0 )</f>
        <v>1</v>
      </c>
      <c r="Z1765" s="16">
        <f>_xlfn.XLOOKUP(CustomerCombinedCleaned[[#This Row],[ID]], Table2[ID],Table2[MC2], "Not Found", 0 )</f>
        <v>0</v>
      </c>
      <c r="AA1765" s="16">
        <f>_xlfn.XLOOKUP(CustomerCombinedCleaned[[#This Row],[ID]], Table2[ID],Table2[MC3], "Not Found", 0 )</f>
        <v>1</v>
      </c>
      <c r="AB1765" s="16">
        <f>_xlfn.XLOOKUP(CustomerCombinedCleaned[[#This Row],[ID]], Table2[ID],Table2[MC4], "Not Found", 0 )</f>
        <v>0</v>
      </c>
      <c r="AC1765" s="16">
        <f>_xlfn.XLOOKUP(CustomerCombinedCleaned[[#This Row],[ID]], Table2[ID],Table2[MC5], "Not Found", 0 )</f>
        <v>0</v>
      </c>
    </row>
    <row r="1766" spans="1:29" x14ac:dyDescent="0.3">
      <c r="A1766" s="18">
        <v>3161</v>
      </c>
      <c r="B1766" s="16">
        <v>182347</v>
      </c>
      <c r="C1766" s="16">
        <v>0</v>
      </c>
      <c r="D1766" s="16">
        <v>0</v>
      </c>
      <c r="E1766" s="16">
        <v>63</v>
      </c>
      <c r="F1766" s="17" t="s">
        <v>6</v>
      </c>
      <c r="G1766" s="17" t="s">
        <v>11</v>
      </c>
      <c r="H1766" s="3" t="s">
        <v>369</v>
      </c>
      <c r="I1766" s="5" t="s">
        <v>434</v>
      </c>
      <c r="J1766" s="16">
        <f>_xlfn.XLOOKUP(CustomerCombinedCleaned[[#This Row],[ID]], Table4[ID], Table4[Recency], "Not Found", 0)</f>
        <v>38</v>
      </c>
      <c r="K1766" s="16">
        <f>_xlfn.XLOOKUP(CustomerCombinedCleaned[[#This Row],[ID]], Table4[ID], Table4[Teas], "Not Found", 0)</f>
        <v>1231</v>
      </c>
      <c r="L1766" s="16">
        <f>_xlfn.XLOOKUP(CustomerCombinedCleaned[[#This Row],[ID]], Table4[ID], Table4[Fruits], "Not Found", 0)</f>
        <v>120</v>
      </c>
      <c r="M1766" s="16">
        <f>_xlfn.XLOOKUP(CustomerCombinedCleaned[[#This Row],[ID]], Table4[ID], Table4[Meats], "Not Found", 0)</f>
        <v>1871</v>
      </c>
      <c r="N1766" s="16">
        <f>_xlfn.XLOOKUP(CustomerCombinedCleaned[[#This Row],[ID]], Table4[ID], Table4[Seafood], "Not Found", 0)</f>
        <v>447</v>
      </c>
      <c r="O1766" s="16">
        <f>_xlfn.XLOOKUP(CustomerCombinedCleaned[[#This Row],[ID]], Table4[ID], Table4[Sweets], "Not Found", 0)</f>
        <v>295</v>
      </c>
      <c r="P1766" s="16">
        <f>_xlfn.XLOOKUP(CustomerCombinedCleaned[[#This Row],[ID]], Table4[ID], Table4[Premium], "Not Found", 0)</f>
        <v>140</v>
      </c>
      <c r="Q1766" s="16">
        <f>_xlfn.XLOOKUP(CustomerCombinedCleaned[[#This Row],[ID]], Table4[ID], Table4[Regular], "Not Found", 0)</f>
        <v>3824</v>
      </c>
      <c r="R1766" s="16">
        <f>_xlfn.XLOOKUP(CustomerCombinedCleaned[[#This Row],[ID]], Table4[ID], Table4[Deals], "Not Found", 0)</f>
        <v>1</v>
      </c>
      <c r="S1766" s="16">
        <f>_xlfn.XLOOKUP(CustomerCombinedCleaned[[#This Row],[ID]], Table4[ID], Table4[Website], "Not Found", 0)</f>
        <v>7</v>
      </c>
      <c r="T1766" s="16">
        <f>_xlfn.XLOOKUP(CustomerCombinedCleaned[[#This Row],[ID]], Table4[ID], Table4[Catalog], "Not Found", 0)</f>
        <v>7</v>
      </c>
      <c r="U1766" s="16">
        <f>_xlfn.XLOOKUP(CustomerCombinedCleaned[[#This Row],[ID]], Table4[ID], Table4[Store], "Not Found", 0)</f>
        <v>10</v>
      </c>
      <c r="V1766" s="16">
        <f>_xlfn.XLOOKUP(CustomerCombinedCleaned[[#This Row],[ID]], Table4[ID], Table4[Visits], "Not Found", 0)</f>
        <v>3</v>
      </c>
      <c r="W1766" s="16">
        <f>_xlfn.XLOOKUP(CustomerCombinedCleaned[[#This Row],[ID]], Table2[ID],Table2[Complaint], "Not Found", 0 )</f>
        <v>0</v>
      </c>
      <c r="X1766" s="16">
        <f>_xlfn.XLOOKUP(CustomerCombinedCleaned[[#This Row],[ID]], Table2[ID],Table2[Pilot], "Not Found", 0 )</f>
        <v>1</v>
      </c>
      <c r="Y1766" s="16">
        <f>_xlfn.XLOOKUP(CustomerCombinedCleaned[[#This Row],[ID]], Table2[ID],Table2[MC1], "Not Found", 0 )</f>
        <v>1</v>
      </c>
      <c r="Z1766" s="16">
        <f>_xlfn.XLOOKUP(CustomerCombinedCleaned[[#This Row],[ID]], Table2[ID],Table2[MC2], "Not Found", 0 )</f>
        <v>0</v>
      </c>
      <c r="AA1766" s="16">
        <f>_xlfn.XLOOKUP(CustomerCombinedCleaned[[#This Row],[ID]], Table2[ID],Table2[MC3], "Not Found", 0 )</f>
        <v>1</v>
      </c>
      <c r="AB1766" s="16">
        <f>_xlfn.XLOOKUP(CustomerCombinedCleaned[[#This Row],[ID]], Table2[ID],Table2[MC4], "Not Found", 0 )</f>
        <v>0</v>
      </c>
      <c r="AC1766" s="16">
        <f>_xlfn.XLOOKUP(CustomerCombinedCleaned[[#This Row],[ID]], Table2[ID],Table2[MC5], "Not Found", 0 )</f>
        <v>0</v>
      </c>
    </row>
    <row r="1767" spans="1:29" x14ac:dyDescent="0.3">
      <c r="A1767" s="18">
        <v>1772</v>
      </c>
      <c r="B1767" s="16">
        <v>182017</v>
      </c>
      <c r="C1767" s="16">
        <v>0</v>
      </c>
      <c r="D1767" s="16">
        <v>0</v>
      </c>
      <c r="E1767" s="16">
        <v>63</v>
      </c>
      <c r="F1767" s="17" t="s">
        <v>6</v>
      </c>
      <c r="G1767" s="17" t="s">
        <v>13</v>
      </c>
      <c r="H1767" s="3" t="s">
        <v>368</v>
      </c>
      <c r="I1767" s="5" t="s">
        <v>438</v>
      </c>
      <c r="J1767" s="16">
        <f>_xlfn.XLOOKUP(CustomerCombinedCleaned[[#This Row],[ID]], Table4[ID], Table4[Recency], "Not Found", 0)</f>
        <v>58</v>
      </c>
      <c r="K1767" s="16">
        <f>_xlfn.XLOOKUP(CustomerCombinedCleaned[[#This Row],[ID]], Table4[ID], Table4[Teas], "Not Found", 0)</f>
        <v>408</v>
      </c>
      <c r="L1767" s="16">
        <f>_xlfn.XLOOKUP(CustomerCombinedCleaned[[#This Row],[ID]], Table4[ID], Table4[Fruits], "Not Found", 0)</f>
        <v>51</v>
      </c>
      <c r="M1767" s="16">
        <f>_xlfn.XLOOKUP(CustomerCombinedCleaned[[#This Row],[ID]], Table4[ID], Table4[Meats], "Not Found", 0)</f>
        <v>990</v>
      </c>
      <c r="N1767" s="16">
        <f>_xlfn.XLOOKUP(CustomerCombinedCleaned[[#This Row],[ID]], Table4[ID], Table4[Seafood], "Not Found", 0)</f>
        <v>67</v>
      </c>
      <c r="O1767" s="16">
        <f>_xlfn.XLOOKUP(CustomerCombinedCleaned[[#This Row],[ID]], Table4[ID], Table4[Sweets], "Not Found", 0)</f>
        <v>51</v>
      </c>
      <c r="P1767" s="16">
        <f>_xlfn.XLOOKUP(CustomerCombinedCleaned[[#This Row],[ID]], Table4[ID], Table4[Premium], "Not Found", 0)</f>
        <v>51</v>
      </c>
      <c r="Q1767" s="16">
        <f>_xlfn.XLOOKUP(CustomerCombinedCleaned[[#This Row],[ID]], Table4[ID], Table4[Regular], "Not Found", 0)</f>
        <v>1516</v>
      </c>
      <c r="R1767" s="16">
        <f>_xlfn.XLOOKUP(CustomerCombinedCleaned[[#This Row],[ID]], Table4[ID], Table4[Deals], "Not Found", 0)</f>
        <v>1</v>
      </c>
      <c r="S1767" s="16">
        <f>_xlfn.XLOOKUP(CustomerCombinedCleaned[[#This Row],[ID]], Table4[ID], Table4[Website], "Not Found", 0)</f>
        <v>5</v>
      </c>
      <c r="T1767" s="16">
        <f>_xlfn.XLOOKUP(CustomerCombinedCleaned[[#This Row],[ID]], Table4[ID], Table4[Catalog], "Not Found", 0)</f>
        <v>4</v>
      </c>
      <c r="U1767" s="16">
        <f>_xlfn.XLOOKUP(CustomerCombinedCleaned[[#This Row],[ID]], Table4[ID], Table4[Store], "Not Found", 0)</f>
        <v>7</v>
      </c>
      <c r="V1767" s="16">
        <f>_xlfn.XLOOKUP(CustomerCombinedCleaned[[#This Row],[ID]], Table4[ID], Table4[Visits], "Not Found", 0)</f>
        <v>2</v>
      </c>
      <c r="W1767" s="16">
        <f>_xlfn.XLOOKUP(CustomerCombinedCleaned[[#This Row],[ID]], Table2[ID],Table2[Complaint], "Not Found", 0 )</f>
        <v>0</v>
      </c>
      <c r="X1767" s="16">
        <f>_xlfn.XLOOKUP(CustomerCombinedCleaned[[#This Row],[ID]], Table2[ID],Table2[Pilot], "Not Found", 0 )</f>
        <v>1</v>
      </c>
      <c r="Y1767" s="16">
        <f>_xlfn.XLOOKUP(CustomerCombinedCleaned[[#This Row],[ID]], Table2[ID],Table2[MC1], "Not Found", 0 )</f>
        <v>1</v>
      </c>
      <c r="Z1767" s="16">
        <f>_xlfn.XLOOKUP(CustomerCombinedCleaned[[#This Row],[ID]], Table2[ID],Table2[MC2], "Not Found", 0 )</f>
        <v>0</v>
      </c>
      <c r="AA1767" s="16">
        <f>_xlfn.XLOOKUP(CustomerCombinedCleaned[[#This Row],[ID]], Table2[ID],Table2[MC3], "Not Found", 0 )</f>
        <v>0</v>
      </c>
      <c r="AB1767" s="16">
        <f>_xlfn.XLOOKUP(CustomerCombinedCleaned[[#This Row],[ID]], Table2[ID],Table2[MC4], "Not Found", 0 )</f>
        <v>1</v>
      </c>
      <c r="AC1767" s="16">
        <f>_xlfn.XLOOKUP(CustomerCombinedCleaned[[#This Row],[ID]], Table2[ID],Table2[MC5], "Not Found", 0 )</f>
        <v>1</v>
      </c>
    </row>
    <row r="1768" spans="1:29" x14ac:dyDescent="0.3">
      <c r="A1768" s="18">
        <v>1344</v>
      </c>
      <c r="B1768" s="16">
        <v>178618</v>
      </c>
      <c r="C1768" s="16">
        <v>0</v>
      </c>
      <c r="D1768" s="16">
        <v>0</v>
      </c>
      <c r="E1768" s="16">
        <v>63</v>
      </c>
      <c r="F1768" s="17" t="s">
        <v>6</v>
      </c>
      <c r="G1768" s="17" t="s">
        <v>11</v>
      </c>
      <c r="H1768" s="3" t="s">
        <v>612</v>
      </c>
      <c r="I1768" s="5" t="s">
        <v>436</v>
      </c>
      <c r="J1768" s="16">
        <f>_xlfn.XLOOKUP(CustomerCombinedCleaned[[#This Row],[ID]], Table4[ID], Table4[Recency], "Not Found", 0)</f>
        <v>87</v>
      </c>
      <c r="K1768" s="16">
        <f>_xlfn.XLOOKUP(CustomerCombinedCleaned[[#This Row],[ID]], Table4[ID], Table4[Teas], "Not Found", 0)</f>
        <v>1672</v>
      </c>
      <c r="L1768" s="16">
        <f>_xlfn.XLOOKUP(CustomerCombinedCleaned[[#This Row],[ID]], Table4[ID], Table4[Fruits], "Not Found", 0)</f>
        <v>370</v>
      </c>
      <c r="M1768" s="16">
        <f>_xlfn.XLOOKUP(CustomerCombinedCleaned[[#This Row],[ID]], Table4[ID], Table4[Meats], "Not Found", 0)</f>
        <v>1858</v>
      </c>
      <c r="N1768" s="16">
        <f>_xlfn.XLOOKUP(CustomerCombinedCleaned[[#This Row],[ID]], Table4[ID], Table4[Seafood], "Not Found", 0)</f>
        <v>482</v>
      </c>
      <c r="O1768" s="16">
        <f>_xlfn.XLOOKUP(CustomerCombinedCleaned[[#This Row],[ID]], Table4[ID], Table4[Sweets], "Not Found", 0)</f>
        <v>370</v>
      </c>
      <c r="P1768" s="16">
        <f>_xlfn.XLOOKUP(CustomerCombinedCleaned[[#This Row],[ID]], Table4[ID], Table4[Premium], "Not Found", 0)</f>
        <v>139</v>
      </c>
      <c r="Q1768" s="16">
        <f>_xlfn.XLOOKUP(CustomerCombinedCleaned[[#This Row],[ID]], Table4[ID], Table4[Regular], "Not Found", 0)</f>
        <v>4614</v>
      </c>
      <c r="R1768" s="16">
        <f>_xlfn.XLOOKUP(CustomerCombinedCleaned[[#This Row],[ID]], Table4[ID], Table4[Deals], "Not Found", 0)</f>
        <v>1</v>
      </c>
      <c r="S1768" s="16">
        <f>_xlfn.XLOOKUP(CustomerCombinedCleaned[[#This Row],[ID]], Table4[ID], Table4[Website], "Not Found", 0)</f>
        <v>4</v>
      </c>
      <c r="T1768" s="16">
        <f>_xlfn.XLOOKUP(CustomerCombinedCleaned[[#This Row],[ID]], Table4[ID], Table4[Catalog], "Not Found", 0)</f>
        <v>7</v>
      </c>
      <c r="U1768" s="16">
        <f>_xlfn.XLOOKUP(CustomerCombinedCleaned[[#This Row],[ID]], Table4[ID], Table4[Store], "Not Found", 0)</f>
        <v>10</v>
      </c>
      <c r="V1768" s="16">
        <f>_xlfn.XLOOKUP(CustomerCombinedCleaned[[#This Row],[ID]], Table4[ID], Table4[Visits], "Not Found", 0)</f>
        <v>2</v>
      </c>
      <c r="W1768" s="16">
        <f>_xlfn.XLOOKUP(CustomerCombinedCleaned[[#This Row],[ID]], Table2[ID],Table2[Complaint], "Not Found", 0 )</f>
        <v>0</v>
      </c>
      <c r="X1768" s="16">
        <f>_xlfn.XLOOKUP(CustomerCombinedCleaned[[#This Row],[ID]], Table2[ID],Table2[Pilot], "Not Found", 0 )</f>
        <v>0</v>
      </c>
      <c r="Y1768" s="16">
        <f>_xlfn.XLOOKUP(CustomerCombinedCleaned[[#This Row],[ID]], Table2[ID],Table2[MC1], "Not Found", 0 )</f>
        <v>0</v>
      </c>
      <c r="Z1768" s="16">
        <f>_xlfn.XLOOKUP(CustomerCombinedCleaned[[#This Row],[ID]], Table2[ID],Table2[MC2], "Not Found", 0 )</f>
        <v>0</v>
      </c>
      <c r="AA1768" s="16">
        <f>_xlfn.XLOOKUP(CustomerCombinedCleaned[[#This Row],[ID]], Table2[ID],Table2[MC3], "Not Found", 0 )</f>
        <v>0</v>
      </c>
      <c r="AB1768" s="16">
        <f>_xlfn.XLOOKUP(CustomerCombinedCleaned[[#This Row],[ID]], Table2[ID],Table2[MC4], "Not Found", 0 )</f>
        <v>1</v>
      </c>
      <c r="AC1768" s="16">
        <f>_xlfn.XLOOKUP(CustomerCombinedCleaned[[#This Row],[ID]], Table2[ID],Table2[MC5], "Not Found", 0 )</f>
        <v>0</v>
      </c>
    </row>
    <row r="1769" spans="1:29" x14ac:dyDescent="0.3">
      <c r="A1769" s="18">
        <v>3113</v>
      </c>
      <c r="B1769" s="16">
        <v>178499</v>
      </c>
      <c r="C1769" s="16">
        <v>0</v>
      </c>
      <c r="D1769" s="16">
        <v>0</v>
      </c>
      <c r="E1769" s="16">
        <v>63</v>
      </c>
      <c r="F1769" s="17" t="s">
        <v>7</v>
      </c>
      <c r="G1769" s="17" t="s">
        <v>11</v>
      </c>
      <c r="H1769" s="3" t="s">
        <v>142</v>
      </c>
      <c r="I1769" s="5" t="s">
        <v>434</v>
      </c>
      <c r="J1769" s="16">
        <f>_xlfn.XLOOKUP(CustomerCombinedCleaned[[#This Row],[ID]], Table4[ID], Table4[Recency], "Not Found", 0)</f>
        <v>12</v>
      </c>
      <c r="K1769" s="16">
        <f>_xlfn.XLOOKUP(CustomerCombinedCleaned[[#This Row],[ID]], Table4[ID], Table4[Teas], "Not Found", 0)</f>
        <v>2074</v>
      </c>
      <c r="L1769" s="16">
        <f>_xlfn.XLOOKUP(CustomerCombinedCleaned[[#This Row],[ID]], Table4[ID], Table4[Fruits], "Not Found", 0)</f>
        <v>164</v>
      </c>
      <c r="M1769" s="16">
        <f>_xlfn.XLOOKUP(CustomerCombinedCleaned[[#This Row],[ID]], Table4[ID], Table4[Meats], "Not Found", 0)</f>
        <v>387</v>
      </c>
      <c r="N1769" s="16">
        <f>_xlfn.XLOOKUP(CustomerCombinedCleaned[[#This Row],[ID]], Table4[ID], Table4[Seafood], "Not Found", 0)</f>
        <v>107</v>
      </c>
      <c r="O1769" s="16">
        <f>_xlfn.XLOOKUP(CustomerCombinedCleaned[[#This Row],[ID]], Table4[ID], Table4[Sweets], "Not Found", 0)</f>
        <v>82</v>
      </c>
      <c r="P1769" s="16">
        <f>_xlfn.XLOOKUP(CustomerCombinedCleaned[[#This Row],[ID]], Table4[ID], Table4[Premium], "Not Found", 0)</f>
        <v>221</v>
      </c>
      <c r="Q1769" s="16">
        <f>_xlfn.XLOOKUP(CustomerCombinedCleaned[[#This Row],[ID]], Table4[ID], Table4[Regular], "Not Found", 0)</f>
        <v>2592</v>
      </c>
      <c r="R1769" s="16">
        <f>_xlfn.XLOOKUP(CustomerCombinedCleaned[[#This Row],[ID]], Table4[ID], Table4[Deals], "Not Found", 0)</f>
        <v>1</v>
      </c>
      <c r="S1769" s="16">
        <f>_xlfn.XLOOKUP(CustomerCombinedCleaned[[#This Row],[ID]], Table4[ID], Table4[Website], "Not Found", 0)</f>
        <v>11</v>
      </c>
      <c r="T1769" s="16">
        <f>_xlfn.XLOOKUP(CustomerCombinedCleaned[[#This Row],[ID]], Table4[ID], Table4[Catalog], "Not Found", 0)</f>
        <v>3</v>
      </c>
      <c r="U1769" s="16">
        <f>_xlfn.XLOOKUP(CustomerCombinedCleaned[[#This Row],[ID]], Table4[ID], Table4[Store], "Not Found", 0)</f>
        <v>4</v>
      </c>
      <c r="V1769" s="16">
        <f>_xlfn.XLOOKUP(CustomerCombinedCleaned[[#This Row],[ID]], Table4[ID], Table4[Visits], "Not Found", 0)</f>
        <v>4</v>
      </c>
      <c r="W1769" s="16">
        <f>_xlfn.XLOOKUP(CustomerCombinedCleaned[[#This Row],[ID]], Table2[ID],Table2[Complaint], "Not Found", 0 )</f>
        <v>0</v>
      </c>
      <c r="X1769" s="16">
        <f>_xlfn.XLOOKUP(CustomerCombinedCleaned[[#This Row],[ID]], Table2[ID],Table2[Pilot], "Not Found", 0 )</f>
        <v>1</v>
      </c>
      <c r="Y1769" s="16">
        <f>_xlfn.XLOOKUP(CustomerCombinedCleaned[[#This Row],[ID]], Table2[ID],Table2[MC1], "Not Found", 0 )</f>
        <v>0</v>
      </c>
      <c r="Z1769" s="16">
        <f>_xlfn.XLOOKUP(CustomerCombinedCleaned[[#This Row],[ID]], Table2[ID],Table2[MC2], "Not Found", 0 )</f>
        <v>0</v>
      </c>
      <c r="AA1769" s="16">
        <f>_xlfn.XLOOKUP(CustomerCombinedCleaned[[#This Row],[ID]], Table2[ID],Table2[MC3], "Not Found", 0 )</f>
        <v>0</v>
      </c>
      <c r="AB1769" s="16">
        <f>_xlfn.XLOOKUP(CustomerCombinedCleaned[[#This Row],[ID]], Table2[ID],Table2[MC4], "Not Found", 0 )</f>
        <v>0</v>
      </c>
      <c r="AC1769" s="16">
        <f>_xlfn.XLOOKUP(CustomerCombinedCleaned[[#This Row],[ID]], Table2[ID],Table2[MC5], "Not Found", 0 )</f>
        <v>1</v>
      </c>
    </row>
    <row r="1770" spans="1:29" x14ac:dyDescent="0.3">
      <c r="A1770" s="18">
        <v>2203</v>
      </c>
      <c r="B1770" s="16">
        <v>177297</v>
      </c>
      <c r="C1770" s="16">
        <v>0</v>
      </c>
      <c r="D1770" s="16">
        <v>0</v>
      </c>
      <c r="E1770" s="16">
        <v>63</v>
      </c>
      <c r="F1770" s="17" t="s">
        <v>5</v>
      </c>
      <c r="G1770" s="17" t="s">
        <v>11</v>
      </c>
      <c r="H1770" s="3" t="s">
        <v>625</v>
      </c>
      <c r="I1770" s="5" t="s">
        <v>437</v>
      </c>
      <c r="J1770" s="16">
        <f>_xlfn.XLOOKUP(CustomerCombinedCleaned[[#This Row],[ID]], Table4[ID], Table4[Recency], "Not Found", 0)</f>
        <v>84</v>
      </c>
      <c r="K1770" s="16">
        <f>_xlfn.XLOOKUP(CustomerCombinedCleaned[[#This Row],[ID]], Table4[ID], Table4[Teas], "Not Found", 0)</f>
        <v>936</v>
      </c>
      <c r="L1770" s="16">
        <f>_xlfn.XLOOKUP(CustomerCombinedCleaned[[#This Row],[ID]], Table4[ID], Table4[Fruits], "Not Found", 0)</f>
        <v>140</v>
      </c>
      <c r="M1770" s="16">
        <f>_xlfn.XLOOKUP(CustomerCombinedCleaned[[#This Row],[ID]], Table4[ID], Table4[Meats], "Not Found", 0)</f>
        <v>250</v>
      </c>
      <c r="N1770" s="16">
        <f>_xlfn.XLOOKUP(CustomerCombinedCleaned[[#This Row],[ID]], Table4[ID], Table4[Seafood], "Not Found", 0)</f>
        <v>110</v>
      </c>
      <c r="O1770" s="16">
        <f>_xlfn.XLOOKUP(CustomerCombinedCleaned[[#This Row],[ID]], Table4[ID], Table4[Sweets], "Not Found", 0)</f>
        <v>280</v>
      </c>
      <c r="P1770" s="16">
        <f>_xlfn.XLOOKUP(CustomerCombinedCleaned[[#This Row],[ID]], Table4[ID], Table4[Premium], "Not Found", 0)</f>
        <v>94</v>
      </c>
      <c r="Q1770" s="16">
        <f>_xlfn.XLOOKUP(CustomerCombinedCleaned[[#This Row],[ID]], Table4[ID], Table4[Regular], "Not Found", 0)</f>
        <v>1622</v>
      </c>
      <c r="R1770" s="16">
        <f>_xlfn.XLOOKUP(CustomerCombinedCleaned[[#This Row],[ID]], Table4[ID], Table4[Deals], "Not Found", 0)</f>
        <v>1</v>
      </c>
      <c r="S1770" s="16">
        <f>_xlfn.XLOOKUP(CustomerCombinedCleaned[[#This Row],[ID]], Table4[ID], Table4[Website], "Not Found", 0)</f>
        <v>5</v>
      </c>
      <c r="T1770" s="16">
        <f>_xlfn.XLOOKUP(CustomerCombinedCleaned[[#This Row],[ID]], Table4[ID], Table4[Catalog], "Not Found", 0)</f>
        <v>7</v>
      </c>
      <c r="U1770" s="16">
        <f>_xlfn.XLOOKUP(CustomerCombinedCleaned[[#This Row],[ID]], Table4[ID], Table4[Store], "Not Found", 0)</f>
        <v>9</v>
      </c>
      <c r="V1770" s="16">
        <f>_xlfn.XLOOKUP(CustomerCombinedCleaned[[#This Row],[ID]], Table4[ID], Table4[Visits], "Not Found", 0)</f>
        <v>4</v>
      </c>
      <c r="W1770" s="16">
        <f>_xlfn.XLOOKUP(CustomerCombinedCleaned[[#This Row],[ID]], Table2[ID],Table2[Complaint], "Not Found", 0 )</f>
        <v>0</v>
      </c>
      <c r="X1770" s="16">
        <f>_xlfn.XLOOKUP(CustomerCombinedCleaned[[#This Row],[ID]], Table2[ID],Table2[Pilot], "Not Found", 0 )</f>
        <v>0</v>
      </c>
      <c r="Y1770" s="16">
        <f>_xlfn.XLOOKUP(CustomerCombinedCleaned[[#This Row],[ID]], Table2[ID],Table2[MC1], "Not Found", 0 )</f>
        <v>1</v>
      </c>
      <c r="Z1770" s="16">
        <f>_xlfn.XLOOKUP(CustomerCombinedCleaned[[#This Row],[ID]], Table2[ID],Table2[MC2], "Not Found", 0 )</f>
        <v>0</v>
      </c>
      <c r="AA1770" s="16">
        <f>_xlfn.XLOOKUP(CustomerCombinedCleaned[[#This Row],[ID]], Table2[ID],Table2[MC3], "Not Found", 0 )</f>
        <v>0</v>
      </c>
      <c r="AB1770" s="16">
        <f>_xlfn.XLOOKUP(CustomerCombinedCleaned[[#This Row],[ID]], Table2[ID],Table2[MC4], "Not Found", 0 )</f>
        <v>0</v>
      </c>
      <c r="AC1770" s="16">
        <f>_xlfn.XLOOKUP(CustomerCombinedCleaned[[#This Row],[ID]], Table2[ID],Table2[MC5], "Not Found", 0 )</f>
        <v>0</v>
      </c>
    </row>
    <row r="1771" spans="1:29" x14ac:dyDescent="0.3">
      <c r="A1771" s="18">
        <v>2545</v>
      </c>
      <c r="B1771" s="16">
        <v>175283</v>
      </c>
      <c r="C1771" s="16">
        <v>1</v>
      </c>
      <c r="D1771" s="16">
        <v>2</v>
      </c>
      <c r="E1771" s="16">
        <v>63</v>
      </c>
      <c r="F1771" s="17" t="s">
        <v>6</v>
      </c>
      <c r="G1771" s="17" t="s">
        <v>13</v>
      </c>
      <c r="H1771" s="3" t="s">
        <v>547</v>
      </c>
      <c r="I1771" s="5" t="s">
        <v>437</v>
      </c>
      <c r="J1771" s="16">
        <f>_xlfn.XLOOKUP(CustomerCombinedCleaned[[#This Row],[ID]], Table4[ID], Table4[Recency], "Not Found", 0)</f>
        <v>26</v>
      </c>
      <c r="K1771" s="16">
        <f>_xlfn.XLOOKUP(CustomerCombinedCleaned[[#This Row],[ID]], Table4[ID], Table4[Teas], "Not Found", 0)</f>
        <v>1707</v>
      </c>
      <c r="L1771" s="16">
        <f>_xlfn.XLOOKUP(CustomerCombinedCleaned[[#This Row],[ID]], Table4[ID], Table4[Fruits], "Not Found", 0)</f>
        <v>21</v>
      </c>
      <c r="M1771" s="16">
        <f>_xlfn.XLOOKUP(CustomerCombinedCleaned[[#This Row],[ID]], Table4[ID], Table4[Meats], "Not Found", 0)</f>
        <v>419</v>
      </c>
      <c r="N1771" s="16">
        <f>_xlfn.XLOOKUP(CustomerCombinedCleaned[[#This Row],[ID]], Table4[ID], Table4[Seafood], "Not Found", 0)</f>
        <v>28</v>
      </c>
      <c r="O1771" s="16">
        <f>_xlfn.XLOOKUP(CustomerCombinedCleaned[[#This Row],[ID]], Table4[ID], Table4[Sweets], "Not Found", 0)</f>
        <v>44</v>
      </c>
      <c r="P1771" s="16">
        <f>_xlfn.XLOOKUP(CustomerCombinedCleaned[[#This Row],[ID]], Table4[ID], Table4[Premium], "Not Found", 0)</f>
        <v>154</v>
      </c>
      <c r="Q1771" s="16">
        <f>_xlfn.XLOOKUP(CustomerCombinedCleaned[[#This Row],[ID]], Table4[ID], Table4[Regular], "Not Found", 0)</f>
        <v>2065</v>
      </c>
      <c r="R1771" s="16">
        <f>_xlfn.XLOOKUP(CustomerCombinedCleaned[[#This Row],[ID]], Table4[ID], Table4[Deals], "Not Found", 0)</f>
        <v>11</v>
      </c>
      <c r="S1771" s="16">
        <f>_xlfn.XLOOKUP(CustomerCombinedCleaned[[#This Row],[ID]], Table4[ID], Table4[Website], "Not Found", 0)</f>
        <v>6</v>
      </c>
      <c r="T1771" s="16">
        <f>_xlfn.XLOOKUP(CustomerCombinedCleaned[[#This Row],[ID]], Table4[ID], Table4[Catalog], "Not Found", 0)</f>
        <v>3</v>
      </c>
      <c r="U1771" s="16">
        <f>_xlfn.XLOOKUP(CustomerCombinedCleaned[[#This Row],[ID]], Table4[ID], Table4[Store], "Not Found", 0)</f>
        <v>5</v>
      </c>
      <c r="V1771" s="16">
        <f>_xlfn.XLOOKUP(CustomerCombinedCleaned[[#This Row],[ID]], Table4[ID], Table4[Visits], "Not Found", 0)</f>
        <v>4</v>
      </c>
      <c r="W1771" s="16">
        <f>_xlfn.XLOOKUP(CustomerCombinedCleaned[[#This Row],[ID]], Table2[ID],Table2[Complaint], "Not Found", 0 )</f>
        <v>0</v>
      </c>
      <c r="X1771" s="16">
        <f>_xlfn.XLOOKUP(CustomerCombinedCleaned[[#This Row],[ID]], Table2[ID],Table2[Pilot], "Not Found", 0 )</f>
        <v>0</v>
      </c>
      <c r="Y1771" s="16">
        <f>_xlfn.XLOOKUP(CustomerCombinedCleaned[[#This Row],[ID]], Table2[ID],Table2[MC1], "Not Found", 0 )</f>
        <v>0</v>
      </c>
      <c r="Z1771" s="16">
        <f>_xlfn.XLOOKUP(CustomerCombinedCleaned[[#This Row],[ID]], Table2[ID],Table2[MC2], "Not Found", 0 )</f>
        <v>0</v>
      </c>
      <c r="AA1771" s="16">
        <f>_xlfn.XLOOKUP(CustomerCombinedCleaned[[#This Row],[ID]], Table2[ID],Table2[MC3], "Not Found", 0 )</f>
        <v>0</v>
      </c>
      <c r="AB1771" s="16">
        <f>_xlfn.XLOOKUP(CustomerCombinedCleaned[[#This Row],[ID]], Table2[ID],Table2[MC4], "Not Found", 0 )</f>
        <v>0</v>
      </c>
      <c r="AC1771" s="16">
        <f>_xlfn.XLOOKUP(CustomerCombinedCleaned[[#This Row],[ID]], Table2[ID],Table2[MC5], "Not Found", 0 )</f>
        <v>0</v>
      </c>
    </row>
    <row r="1772" spans="1:29" x14ac:dyDescent="0.3">
      <c r="A1772" s="18">
        <v>3162</v>
      </c>
      <c r="B1772" s="16">
        <v>173803</v>
      </c>
      <c r="C1772" s="16">
        <v>0</v>
      </c>
      <c r="D1772" s="16">
        <v>1</v>
      </c>
      <c r="E1772" s="16">
        <v>63</v>
      </c>
      <c r="F1772" s="17" t="s">
        <v>6</v>
      </c>
      <c r="G1772" s="17" t="s">
        <v>11</v>
      </c>
      <c r="H1772" s="3" t="s">
        <v>582</v>
      </c>
      <c r="I1772" s="5" t="s">
        <v>436</v>
      </c>
      <c r="J1772" s="16">
        <f>_xlfn.XLOOKUP(CustomerCombinedCleaned[[#This Row],[ID]], Table4[ID], Table4[Recency], "Not Found", 0)</f>
        <v>61</v>
      </c>
      <c r="K1772" s="16">
        <f>_xlfn.XLOOKUP(CustomerCombinedCleaned[[#This Row],[ID]], Table4[ID], Table4[Teas], "Not Found", 0)</f>
        <v>1962</v>
      </c>
      <c r="L1772" s="16">
        <f>_xlfn.XLOOKUP(CustomerCombinedCleaned[[#This Row],[ID]], Table4[ID], Table4[Fruits], "Not Found", 0)</f>
        <v>188</v>
      </c>
      <c r="M1772" s="16">
        <f>_xlfn.XLOOKUP(CustomerCombinedCleaned[[#This Row],[ID]], Table4[ID], Table4[Meats], "Not Found", 0)</f>
        <v>855</v>
      </c>
      <c r="N1772" s="16">
        <f>_xlfn.XLOOKUP(CustomerCombinedCleaned[[#This Row],[ID]], Table4[ID], Table4[Seafood], "Not Found", 0)</f>
        <v>122</v>
      </c>
      <c r="O1772" s="16">
        <f>_xlfn.XLOOKUP(CustomerCombinedCleaned[[#This Row],[ID]], Table4[ID], Table4[Sweets], "Not Found", 0)</f>
        <v>61</v>
      </c>
      <c r="P1772" s="16">
        <f>_xlfn.XLOOKUP(CustomerCombinedCleaned[[#This Row],[ID]], Table4[ID], Table4[Premium], "Not Found", 0)</f>
        <v>410</v>
      </c>
      <c r="Q1772" s="16">
        <f>_xlfn.XLOOKUP(CustomerCombinedCleaned[[#This Row],[ID]], Table4[ID], Table4[Regular], "Not Found", 0)</f>
        <v>2779</v>
      </c>
      <c r="R1772" s="16">
        <f>_xlfn.XLOOKUP(CustomerCombinedCleaned[[#This Row],[ID]], Table4[ID], Table4[Deals], "Not Found", 0)</f>
        <v>2</v>
      </c>
      <c r="S1772" s="16">
        <f>_xlfn.XLOOKUP(CustomerCombinedCleaned[[#This Row],[ID]], Table4[ID], Table4[Website], "Not Found", 0)</f>
        <v>9</v>
      </c>
      <c r="T1772" s="16">
        <f>_xlfn.XLOOKUP(CustomerCombinedCleaned[[#This Row],[ID]], Table4[ID], Table4[Catalog], "Not Found", 0)</f>
        <v>5</v>
      </c>
      <c r="U1772" s="16">
        <f>_xlfn.XLOOKUP(CustomerCombinedCleaned[[#This Row],[ID]], Table4[ID], Table4[Store], "Not Found", 0)</f>
        <v>6</v>
      </c>
      <c r="V1772" s="16">
        <f>_xlfn.XLOOKUP(CustomerCombinedCleaned[[#This Row],[ID]], Table4[ID], Table4[Visits], "Not Found", 0)</f>
        <v>6</v>
      </c>
      <c r="W1772" s="16">
        <f>_xlfn.XLOOKUP(CustomerCombinedCleaned[[#This Row],[ID]], Table2[ID],Table2[Complaint], "Not Found", 0 )</f>
        <v>0</v>
      </c>
      <c r="X1772" s="16">
        <f>_xlfn.XLOOKUP(CustomerCombinedCleaned[[#This Row],[ID]], Table2[ID],Table2[Pilot], "Not Found", 0 )</f>
        <v>1</v>
      </c>
      <c r="Y1772" s="16">
        <f>_xlfn.XLOOKUP(CustomerCombinedCleaned[[#This Row],[ID]], Table2[ID],Table2[MC1], "Not Found", 0 )</f>
        <v>0</v>
      </c>
      <c r="Z1772" s="16">
        <f>_xlfn.XLOOKUP(CustomerCombinedCleaned[[#This Row],[ID]], Table2[ID],Table2[MC2], "Not Found", 0 )</f>
        <v>0</v>
      </c>
      <c r="AA1772" s="16">
        <f>_xlfn.XLOOKUP(CustomerCombinedCleaned[[#This Row],[ID]], Table2[ID],Table2[MC3], "Not Found", 0 )</f>
        <v>1</v>
      </c>
      <c r="AB1772" s="16">
        <f>_xlfn.XLOOKUP(CustomerCombinedCleaned[[#This Row],[ID]], Table2[ID],Table2[MC4], "Not Found", 0 )</f>
        <v>0</v>
      </c>
      <c r="AC1772" s="16">
        <f>_xlfn.XLOOKUP(CustomerCombinedCleaned[[#This Row],[ID]], Table2[ID],Table2[MC5], "Not Found", 0 )</f>
        <v>0</v>
      </c>
    </row>
    <row r="1773" spans="1:29" x14ac:dyDescent="0.3">
      <c r="A1773" s="18">
        <v>1334</v>
      </c>
      <c r="B1773" s="16">
        <v>171113</v>
      </c>
      <c r="C1773" s="16">
        <v>0</v>
      </c>
      <c r="D1773" s="16">
        <v>1</v>
      </c>
      <c r="E1773" s="16">
        <v>63</v>
      </c>
      <c r="F1773" s="17" t="s">
        <v>6</v>
      </c>
      <c r="G1773" s="17" t="s">
        <v>11</v>
      </c>
      <c r="H1773" s="3" t="s">
        <v>131</v>
      </c>
      <c r="I1773" s="5" t="s">
        <v>438</v>
      </c>
      <c r="J1773" s="16">
        <f>_xlfn.XLOOKUP(CustomerCombinedCleaned[[#This Row],[ID]], Table4[ID], Table4[Recency], "Not Found", 0)</f>
        <v>95</v>
      </c>
      <c r="K1773" s="16">
        <f>_xlfn.XLOOKUP(CustomerCombinedCleaned[[#This Row],[ID]], Table4[ID], Table4[Teas], "Not Found", 0)</f>
        <v>1191</v>
      </c>
      <c r="L1773" s="16">
        <f>_xlfn.XLOOKUP(CustomerCombinedCleaned[[#This Row],[ID]], Table4[ID], Table4[Fruits], "Not Found", 0)</f>
        <v>79</v>
      </c>
      <c r="M1773" s="16">
        <f>_xlfn.XLOOKUP(CustomerCombinedCleaned[[#This Row],[ID]], Table4[ID], Table4[Meats], "Not Found", 0)</f>
        <v>614</v>
      </c>
      <c r="N1773" s="16">
        <f>_xlfn.XLOOKUP(CustomerCombinedCleaned[[#This Row],[ID]], Table4[ID], Table4[Seafood], "Not Found", 0)</f>
        <v>26</v>
      </c>
      <c r="O1773" s="16">
        <f>_xlfn.XLOOKUP(CustomerCombinedCleaned[[#This Row],[ID]], Table4[ID], Table4[Sweets], "Not Found", 0)</f>
        <v>79</v>
      </c>
      <c r="P1773" s="16">
        <f>_xlfn.XLOOKUP(CustomerCombinedCleaned[[#This Row],[ID]], Table4[ID], Table4[Premium], "Not Found", 0)</f>
        <v>19</v>
      </c>
      <c r="Q1773" s="16">
        <f>_xlfn.XLOOKUP(CustomerCombinedCleaned[[#This Row],[ID]], Table4[ID], Table4[Regular], "Not Found", 0)</f>
        <v>1971</v>
      </c>
      <c r="R1773" s="16">
        <f>_xlfn.XLOOKUP(CustomerCombinedCleaned[[#This Row],[ID]], Table4[ID], Table4[Deals], "Not Found", 0)</f>
        <v>4</v>
      </c>
      <c r="S1773" s="16">
        <f>_xlfn.XLOOKUP(CustomerCombinedCleaned[[#This Row],[ID]], Table4[ID], Table4[Website], "Not Found", 0)</f>
        <v>6</v>
      </c>
      <c r="T1773" s="16">
        <f>_xlfn.XLOOKUP(CustomerCombinedCleaned[[#This Row],[ID]], Table4[ID], Table4[Catalog], "Not Found", 0)</f>
        <v>7</v>
      </c>
      <c r="U1773" s="16">
        <f>_xlfn.XLOOKUP(CustomerCombinedCleaned[[#This Row],[ID]], Table4[ID], Table4[Store], "Not Found", 0)</f>
        <v>9</v>
      </c>
      <c r="V1773" s="16">
        <f>_xlfn.XLOOKUP(CustomerCombinedCleaned[[#This Row],[ID]], Table4[ID], Table4[Visits], "Not Found", 0)</f>
        <v>4</v>
      </c>
      <c r="W1773" s="16">
        <f>_xlfn.XLOOKUP(CustomerCombinedCleaned[[#This Row],[ID]], Table2[ID],Table2[Complaint], "Not Found", 0 )</f>
        <v>0</v>
      </c>
      <c r="X1773" s="16">
        <f>_xlfn.XLOOKUP(CustomerCombinedCleaned[[#This Row],[ID]], Table2[ID],Table2[Pilot], "Not Found", 0 )</f>
        <v>0</v>
      </c>
      <c r="Y1773" s="16">
        <f>_xlfn.XLOOKUP(CustomerCombinedCleaned[[#This Row],[ID]], Table2[ID],Table2[MC1], "Not Found", 0 )</f>
        <v>0</v>
      </c>
      <c r="Z1773" s="16">
        <f>_xlfn.XLOOKUP(CustomerCombinedCleaned[[#This Row],[ID]], Table2[ID],Table2[MC2], "Not Found", 0 )</f>
        <v>0</v>
      </c>
      <c r="AA1773" s="16">
        <f>_xlfn.XLOOKUP(CustomerCombinedCleaned[[#This Row],[ID]], Table2[ID],Table2[MC3], "Not Found", 0 )</f>
        <v>0</v>
      </c>
      <c r="AB1773" s="16">
        <f>_xlfn.XLOOKUP(CustomerCombinedCleaned[[#This Row],[ID]], Table2[ID],Table2[MC4], "Not Found", 0 )</f>
        <v>0</v>
      </c>
      <c r="AC1773" s="16">
        <f>_xlfn.XLOOKUP(CustomerCombinedCleaned[[#This Row],[ID]], Table2[ID],Table2[MC5], "Not Found", 0 )</f>
        <v>0</v>
      </c>
    </row>
    <row r="1774" spans="1:29" x14ac:dyDescent="0.3">
      <c r="A1774" s="18">
        <v>2818</v>
      </c>
      <c r="B1774" s="16">
        <v>168148</v>
      </c>
      <c r="C1774" s="16">
        <v>0</v>
      </c>
      <c r="D1774" s="16">
        <v>0</v>
      </c>
      <c r="E1774" s="16">
        <v>63</v>
      </c>
      <c r="F1774" s="17" t="s">
        <v>8</v>
      </c>
      <c r="G1774" s="17" t="s">
        <v>12</v>
      </c>
      <c r="H1774" s="3" t="s">
        <v>651</v>
      </c>
      <c r="I1774" s="5" t="s">
        <v>439</v>
      </c>
      <c r="J1774" s="16">
        <f>_xlfn.XLOOKUP(CustomerCombinedCleaned[[#This Row],[ID]], Table4[ID], Table4[Recency], "Not Found", 0)</f>
        <v>86</v>
      </c>
      <c r="K1774" s="16">
        <f>_xlfn.XLOOKUP(CustomerCombinedCleaned[[#This Row],[ID]], Table4[ID], Table4[Teas], "Not Found", 0)</f>
        <v>960</v>
      </c>
      <c r="L1774" s="16">
        <f>_xlfn.XLOOKUP(CustomerCombinedCleaned[[#This Row],[ID]], Table4[ID], Table4[Fruits], "Not Found", 0)</f>
        <v>163</v>
      </c>
      <c r="M1774" s="16">
        <f>_xlfn.XLOOKUP(CustomerCombinedCleaned[[#This Row],[ID]], Table4[ID], Table4[Meats], "Not Found", 0)</f>
        <v>1007</v>
      </c>
      <c r="N1774" s="16">
        <f>_xlfn.XLOOKUP(CustomerCombinedCleaned[[#This Row],[ID]], Table4[ID], Table4[Seafood], "Not Found", 0)</f>
        <v>91</v>
      </c>
      <c r="O1774" s="16">
        <f>_xlfn.XLOOKUP(CustomerCombinedCleaned[[#This Row],[ID]], Table4[ID], Table4[Sweets], "Not Found", 0)</f>
        <v>141</v>
      </c>
      <c r="P1774" s="16">
        <f>_xlfn.XLOOKUP(CustomerCombinedCleaned[[#This Row],[ID]], Table4[ID], Table4[Premium], "Not Found", 0)</f>
        <v>210</v>
      </c>
      <c r="Q1774" s="16">
        <f>_xlfn.XLOOKUP(CustomerCombinedCleaned[[#This Row],[ID]], Table4[ID], Table4[Regular], "Not Found", 0)</f>
        <v>2152</v>
      </c>
      <c r="R1774" s="16">
        <f>_xlfn.XLOOKUP(CustomerCombinedCleaned[[#This Row],[ID]], Table4[ID], Table4[Deals], "Not Found", 0)</f>
        <v>1</v>
      </c>
      <c r="S1774" s="16">
        <f>_xlfn.XLOOKUP(CustomerCombinedCleaned[[#This Row],[ID]], Table4[ID], Table4[Website], "Not Found", 0)</f>
        <v>4</v>
      </c>
      <c r="T1774" s="16">
        <f>_xlfn.XLOOKUP(CustomerCombinedCleaned[[#This Row],[ID]], Table4[ID], Table4[Catalog], "Not Found", 0)</f>
        <v>4</v>
      </c>
      <c r="U1774" s="16">
        <f>_xlfn.XLOOKUP(CustomerCombinedCleaned[[#This Row],[ID]], Table4[ID], Table4[Store], "Not Found", 0)</f>
        <v>6</v>
      </c>
      <c r="V1774" s="16">
        <f>_xlfn.XLOOKUP(CustomerCombinedCleaned[[#This Row],[ID]], Table4[ID], Table4[Visits], "Not Found", 0)</f>
        <v>2</v>
      </c>
      <c r="W1774" s="16">
        <f>_xlfn.XLOOKUP(CustomerCombinedCleaned[[#This Row],[ID]], Table2[ID],Table2[Complaint], "Not Found", 0 )</f>
        <v>0</v>
      </c>
      <c r="X1774" s="16">
        <f>_xlfn.XLOOKUP(CustomerCombinedCleaned[[#This Row],[ID]], Table2[ID],Table2[Pilot], "Not Found", 0 )</f>
        <v>0</v>
      </c>
      <c r="Y1774" s="16">
        <f>_xlfn.XLOOKUP(CustomerCombinedCleaned[[#This Row],[ID]], Table2[ID],Table2[MC1], "Not Found", 0 )</f>
        <v>0</v>
      </c>
      <c r="Z1774" s="16">
        <f>_xlfn.XLOOKUP(CustomerCombinedCleaned[[#This Row],[ID]], Table2[ID],Table2[MC2], "Not Found", 0 )</f>
        <v>0</v>
      </c>
      <c r="AA1774" s="16">
        <f>_xlfn.XLOOKUP(CustomerCombinedCleaned[[#This Row],[ID]], Table2[ID],Table2[MC3], "Not Found", 0 )</f>
        <v>0</v>
      </c>
      <c r="AB1774" s="16">
        <f>_xlfn.XLOOKUP(CustomerCombinedCleaned[[#This Row],[ID]], Table2[ID],Table2[MC4], "Not Found", 0 )</f>
        <v>0</v>
      </c>
      <c r="AC1774" s="16">
        <f>_xlfn.XLOOKUP(CustomerCombinedCleaned[[#This Row],[ID]], Table2[ID],Table2[MC5], "Not Found", 0 )</f>
        <v>0</v>
      </c>
    </row>
    <row r="1775" spans="1:29" x14ac:dyDescent="0.3">
      <c r="A1775" s="18">
        <v>2154</v>
      </c>
      <c r="B1775" s="16">
        <v>166726</v>
      </c>
      <c r="C1775" s="16">
        <v>1</v>
      </c>
      <c r="D1775" s="16">
        <v>1</v>
      </c>
      <c r="E1775" s="16">
        <v>63</v>
      </c>
      <c r="F1775" s="17" t="s">
        <v>6</v>
      </c>
      <c r="G1775" s="17" t="s">
        <v>12</v>
      </c>
      <c r="H1775" s="3" t="s">
        <v>118</v>
      </c>
      <c r="I1775" s="5" t="s">
        <v>436</v>
      </c>
      <c r="J1775" s="16">
        <f>_xlfn.XLOOKUP(CustomerCombinedCleaned[[#This Row],[ID]], Table4[ID], Table4[Recency], "Not Found", 0)</f>
        <v>61</v>
      </c>
      <c r="K1775" s="16">
        <f>_xlfn.XLOOKUP(CustomerCombinedCleaned[[#This Row],[ID]], Table4[ID], Table4[Teas], "Not Found", 0)</f>
        <v>872</v>
      </c>
      <c r="L1775" s="16">
        <f>_xlfn.XLOOKUP(CustomerCombinedCleaned[[#This Row],[ID]], Table4[ID], Table4[Fruits], "Not Found", 0)</f>
        <v>17</v>
      </c>
      <c r="M1775" s="16">
        <f>_xlfn.XLOOKUP(CustomerCombinedCleaned[[#This Row],[ID]], Table4[ID], Table4[Meats], "Not Found", 0)</f>
        <v>87</v>
      </c>
      <c r="N1775" s="16">
        <f>_xlfn.XLOOKUP(CustomerCombinedCleaned[[#This Row],[ID]], Table4[ID], Table4[Seafood], "Not Found", 0)</f>
        <v>0</v>
      </c>
      <c r="O1775" s="16">
        <f>_xlfn.XLOOKUP(CustomerCombinedCleaned[[#This Row],[ID]], Table4[ID], Table4[Sweets], "Not Found", 0)</f>
        <v>0</v>
      </c>
      <c r="P1775" s="16">
        <f>_xlfn.XLOOKUP(CustomerCombinedCleaned[[#This Row],[ID]], Table4[ID], Table4[Premium], "Not Found", 0)</f>
        <v>117</v>
      </c>
      <c r="Q1775" s="16">
        <f>_xlfn.XLOOKUP(CustomerCombinedCleaned[[#This Row],[ID]], Table4[ID], Table4[Regular], "Not Found", 0)</f>
        <v>860</v>
      </c>
      <c r="R1775" s="16">
        <f>_xlfn.XLOOKUP(CustomerCombinedCleaned[[#This Row],[ID]], Table4[ID], Table4[Deals], "Not Found", 0)</f>
        <v>3</v>
      </c>
      <c r="S1775" s="16">
        <f>_xlfn.XLOOKUP(CustomerCombinedCleaned[[#This Row],[ID]], Table4[ID], Table4[Website], "Not Found", 0)</f>
        <v>8</v>
      </c>
      <c r="T1775" s="16">
        <f>_xlfn.XLOOKUP(CustomerCombinedCleaned[[#This Row],[ID]], Table4[ID], Table4[Catalog], "Not Found", 0)</f>
        <v>2</v>
      </c>
      <c r="U1775" s="16">
        <f>_xlfn.XLOOKUP(CustomerCombinedCleaned[[#This Row],[ID]], Table4[ID], Table4[Store], "Not Found", 0)</f>
        <v>4</v>
      </c>
      <c r="V1775" s="16">
        <f>_xlfn.XLOOKUP(CustomerCombinedCleaned[[#This Row],[ID]], Table4[ID], Table4[Visits], "Not Found", 0)</f>
        <v>7</v>
      </c>
      <c r="W1775" s="16">
        <f>_xlfn.XLOOKUP(CustomerCombinedCleaned[[#This Row],[ID]], Table2[ID],Table2[Complaint], "Not Found", 0 )</f>
        <v>0</v>
      </c>
      <c r="X1775" s="16">
        <f>_xlfn.XLOOKUP(CustomerCombinedCleaned[[#This Row],[ID]], Table2[ID],Table2[Pilot], "Not Found", 0 )</f>
        <v>0</v>
      </c>
      <c r="Y1775" s="16">
        <f>_xlfn.XLOOKUP(CustomerCombinedCleaned[[#This Row],[ID]], Table2[ID],Table2[MC1], "Not Found", 0 )</f>
        <v>0</v>
      </c>
      <c r="Z1775" s="16">
        <f>_xlfn.XLOOKUP(CustomerCombinedCleaned[[#This Row],[ID]], Table2[ID],Table2[MC2], "Not Found", 0 )</f>
        <v>0</v>
      </c>
      <c r="AA1775" s="16">
        <f>_xlfn.XLOOKUP(CustomerCombinedCleaned[[#This Row],[ID]], Table2[ID],Table2[MC3], "Not Found", 0 )</f>
        <v>0</v>
      </c>
      <c r="AB1775" s="16">
        <f>_xlfn.XLOOKUP(CustomerCombinedCleaned[[#This Row],[ID]], Table2[ID],Table2[MC4], "Not Found", 0 )</f>
        <v>1</v>
      </c>
      <c r="AC1775" s="16">
        <f>_xlfn.XLOOKUP(CustomerCombinedCleaned[[#This Row],[ID]], Table2[ID],Table2[MC5], "Not Found", 0 )</f>
        <v>0</v>
      </c>
    </row>
    <row r="1776" spans="1:29" x14ac:dyDescent="0.3">
      <c r="A1776" s="18">
        <v>2185</v>
      </c>
      <c r="B1776" s="16">
        <v>166636</v>
      </c>
      <c r="C1776" s="16">
        <v>0</v>
      </c>
      <c r="D1776" s="16">
        <v>0</v>
      </c>
      <c r="E1776" s="16">
        <v>63</v>
      </c>
      <c r="F1776" s="17" t="s">
        <v>8</v>
      </c>
      <c r="G1776" s="17" t="s">
        <v>12</v>
      </c>
      <c r="H1776" s="3" t="s">
        <v>200</v>
      </c>
      <c r="I1776" s="5" t="s">
        <v>437</v>
      </c>
      <c r="J1776" s="16">
        <f>_xlfn.XLOOKUP(CustomerCombinedCleaned[[#This Row],[ID]], Table4[ID], Table4[Recency], "Not Found", 0)</f>
        <v>64</v>
      </c>
      <c r="K1776" s="16">
        <f>_xlfn.XLOOKUP(CustomerCombinedCleaned[[#This Row],[ID]], Table4[ID], Table4[Teas], "Not Found", 0)</f>
        <v>728</v>
      </c>
      <c r="L1776" s="16">
        <f>_xlfn.XLOOKUP(CustomerCombinedCleaned[[#This Row],[ID]], Table4[ID], Table4[Fruits], "Not Found", 0)</f>
        <v>25</v>
      </c>
      <c r="M1776" s="16">
        <f>_xlfn.XLOOKUP(CustomerCombinedCleaned[[#This Row],[ID]], Table4[ID], Table4[Meats], "Not Found", 0)</f>
        <v>1723</v>
      </c>
      <c r="N1776" s="16">
        <f>_xlfn.XLOOKUP(CustomerCombinedCleaned[[#This Row],[ID]], Table4[ID], Table4[Seafood], "Not Found", 0)</f>
        <v>210</v>
      </c>
      <c r="O1776" s="16">
        <f>_xlfn.XLOOKUP(CustomerCombinedCleaned[[#This Row],[ID]], Table4[ID], Table4[Sweets], "Not Found", 0)</f>
        <v>25</v>
      </c>
      <c r="P1776" s="16">
        <f>_xlfn.XLOOKUP(CustomerCombinedCleaned[[#This Row],[ID]], Table4[ID], Table4[Premium], "Not Found", 0)</f>
        <v>0</v>
      </c>
      <c r="Q1776" s="16">
        <f>_xlfn.XLOOKUP(CustomerCombinedCleaned[[#This Row],[ID]], Table4[ID], Table4[Regular], "Not Found", 0)</f>
        <v>2711</v>
      </c>
      <c r="R1776" s="16">
        <f>_xlfn.XLOOKUP(CustomerCombinedCleaned[[#This Row],[ID]], Table4[ID], Table4[Deals], "Not Found", 0)</f>
        <v>1</v>
      </c>
      <c r="S1776" s="16">
        <f>_xlfn.XLOOKUP(CustomerCombinedCleaned[[#This Row],[ID]], Table4[ID], Table4[Website], "Not Found", 0)</f>
        <v>3</v>
      </c>
      <c r="T1776" s="16">
        <f>_xlfn.XLOOKUP(CustomerCombinedCleaned[[#This Row],[ID]], Table4[ID], Table4[Catalog], "Not Found", 0)</f>
        <v>4</v>
      </c>
      <c r="U1776" s="16">
        <f>_xlfn.XLOOKUP(CustomerCombinedCleaned[[#This Row],[ID]], Table4[ID], Table4[Store], "Not Found", 0)</f>
        <v>9</v>
      </c>
      <c r="V1776" s="16">
        <f>_xlfn.XLOOKUP(CustomerCombinedCleaned[[#This Row],[ID]], Table4[ID], Table4[Visits], "Not Found", 0)</f>
        <v>1</v>
      </c>
      <c r="W1776" s="16">
        <f>_xlfn.XLOOKUP(CustomerCombinedCleaned[[#This Row],[ID]], Table2[ID],Table2[Complaint], "Not Found", 0 )</f>
        <v>0</v>
      </c>
      <c r="X1776" s="16">
        <f>_xlfn.XLOOKUP(CustomerCombinedCleaned[[#This Row],[ID]], Table2[ID],Table2[Pilot], "Not Found", 0 )</f>
        <v>0</v>
      </c>
      <c r="Y1776" s="16">
        <f>_xlfn.XLOOKUP(CustomerCombinedCleaned[[#This Row],[ID]], Table2[ID],Table2[MC1], "Not Found", 0 )</f>
        <v>0</v>
      </c>
      <c r="Z1776" s="16">
        <f>_xlfn.XLOOKUP(CustomerCombinedCleaned[[#This Row],[ID]], Table2[ID],Table2[MC2], "Not Found", 0 )</f>
        <v>0</v>
      </c>
      <c r="AA1776" s="16">
        <f>_xlfn.XLOOKUP(CustomerCombinedCleaned[[#This Row],[ID]], Table2[ID],Table2[MC3], "Not Found", 0 )</f>
        <v>0</v>
      </c>
      <c r="AB1776" s="16">
        <f>_xlfn.XLOOKUP(CustomerCombinedCleaned[[#This Row],[ID]], Table2[ID],Table2[MC4], "Not Found", 0 )</f>
        <v>0</v>
      </c>
      <c r="AC1776" s="16">
        <f>_xlfn.XLOOKUP(CustomerCombinedCleaned[[#This Row],[ID]], Table2[ID],Table2[MC5], "Not Found", 0 )</f>
        <v>0</v>
      </c>
    </row>
    <row r="1777" spans="1:29" x14ac:dyDescent="0.3">
      <c r="A1777" s="18">
        <v>2524</v>
      </c>
      <c r="B1777" s="16">
        <v>166033</v>
      </c>
      <c r="C1777" s="16">
        <v>0</v>
      </c>
      <c r="D1777" s="16">
        <v>1</v>
      </c>
      <c r="E1777" s="16">
        <v>63</v>
      </c>
      <c r="F1777" s="17" t="s">
        <v>9</v>
      </c>
      <c r="G1777" s="17" t="s">
        <v>11</v>
      </c>
      <c r="H1777" s="3" t="s">
        <v>321</v>
      </c>
      <c r="I1777" s="5" t="s">
        <v>439</v>
      </c>
      <c r="J1777" s="16">
        <f>_xlfn.XLOOKUP(CustomerCombinedCleaned[[#This Row],[ID]], Table4[ID], Table4[Recency], "Not Found", 0)</f>
        <v>76</v>
      </c>
      <c r="K1777" s="16">
        <f>_xlfn.XLOOKUP(CustomerCombinedCleaned[[#This Row],[ID]], Table4[ID], Table4[Teas], "Not Found", 0)</f>
        <v>737</v>
      </c>
      <c r="L1777" s="16">
        <f>_xlfn.XLOOKUP(CustomerCombinedCleaned[[#This Row],[ID]], Table4[ID], Table4[Fruits], "Not Found", 0)</f>
        <v>88</v>
      </c>
      <c r="M1777" s="16">
        <f>_xlfn.XLOOKUP(CustomerCombinedCleaned[[#This Row],[ID]], Table4[ID], Table4[Meats], "Not Found", 0)</f>
        <v>450</v>
      </c>
      <c r="N1777" s="16">
        <f>_xlfn.XLOOKUP(CustomerCombinedCleaned[[#This Row],[ID]], Table4[ID], Table4[Seafood], "Not Found", 0)</f>
        <v>116</v>
      </c>
      <c r="O1777" s="16">
        <f>_xlfn.XLOOKUP(CustomerCombinedCleaned[[#This Row],[ID]], Table4[ID], Table4[Sweets], "Not Found", 0)</f>
        <v>148</v>
      </c>
      <c r="P1777" s="16">
        <f>_xlfn.XLOOKUP(CustomerCombinedCleaned[[#This Row],[ID]], Table4[ID], Table4[Premium], "Not Found", 0)</f>
        <v>163</v>
      </c>
      <c r="Q1777" s="16">
        <f>_xlfn.XLOOKUP(CustomerCombinedCleaned[[#This Row],[ID]], Table4[ID], Table4[Regular], "Not Found", 0)</f>
        <v>1375</v>
      </c>
      <c r="R1777" s="16">
        <f>_xlfn.XLOOKUP(CustomerCombinedCleaned[[#This Row],[ID]], Table4[ID], Table4[Deals], "Not Found", 0)</f>
        <v>2</v>
      </c>
      <c r="S1777" s="16">
        <f>_xlfn.XLOOKUP(CustomerCombinedCleaned[[#This Row],[ID]], Table4[ID], Table4[Website], "Not Found", 0)</f>
        <v>8</v>
      </c>
      <c r="T1777" s="16">
        <f>_xlfn.XLOOKUP(CustomerCombinedCleaned[[#This Row],[ID]], Table4[ID], Table4[Catalog], "Not Found", 0)</f>
        <v>3</v>
      </c>
      <c r="U1777" s="16">
        <f>_xlfn.XLOOKUP(CustomerCombinedCleaned[[#This Row],[ID]], Table4[ID], Table4[Store], "Not Found", 0)</f>
        <v>7</v>
      </c>
      <c r="V1777" s="16">
        <f>_xlfn.XLOOKUP(CustomerCombinedCleaned[[#This Row],[ID]], Table4[ID], Table4[Visits], "Not Found", 0)</f>
        <v>7</v>
      </c>
      <c r="W1777" s="16">
        <f>_xlfn.XLOOKUP(CustomerCombinedCleaned[[#This Row],[ID]], Table2[ID],Table2[Complaint], "Not Found", 0 )</f>
        <v>0</v>
      </c>
      <c r="X1777" s="16">
        <f>_xlfn.XLOOKUP(CustomerCombinedCleaned[[#This Row],[ID]], Table2[ID],Table2[Pilot], "Not Found", 0 )</f>
        <v>0</v>
      </c>
      <c r="Y1777" s="16">
        <f>_xlfn.XLOOKUP(CustomerCombinedCleaned[[#This Row],[ID]], Table2[ID],Table2[MC1], "Not Found", 0 )</f>
        <v>0</v>
      </c>
      <c r="Z1777" s="16">
        <f>_xlfn.XLOOKUP(CustomerCombinedCleaned[[#This Row],[ID]], Table2[ID],Table2[MC2], "Not Found", 0 )</f>
        <v>0</v>
      </c>
      <c r="AA1777" s="16">
        <f>_xlfn.XLOOKUP(CustomerCombinedCleaned[[#This Row],[ID]], Table2[ID],Table2[MC3], "Not Found", 0 )</f>
        <v>0</v>
      </c>
      <c r="AB1777" s="16">
        <f>_xlfn.XLOOKUP(CustomerCombinedCleaned[[#This Row],[ID]], Table2[ID],Table2[MC4], "Not Found", 0 )</f>
        <v>0</v>
      </c>
      <c r="AC1777" s="16">
        <f>_xlfn.XLOOKUP(CustomerCombinedCleaned[[#This Row],[ID]], Table2[ID],Table2[MC5], "Not Found", 0 )</f>
        <v>0</v>
      </c>
    </row>
    <row r="1778" spans="1:29" x14ac:dyDescent="0.3">
      <c r="A1778" s="18">
        <v>3102</v>
      </c>
      <c r="B1778" s="16">
        <v>165487</v>
      </c>
      <c r="C1778" s="16">
        <v>0</v>
      </c>
      <c r="D1778" s="16">
        <v>0</v>
      </c>
      <c r="E1778" s="16">
        <v>63</v>
      </c>
      <c r="F1778" s="17" t="s">
        <v>7</v>
      </c>
      <c r="G1778" s="17" t="s">
        <v>12</v>
      </c>
      <c r="H1778" s="3" t="s">
        <v>120</v>
      </c>
      <c r="I1778" s="5" t="s">
        <v>436</v>
      </c>
      <c r="J1778" s="16">
        <f>_xlfn.XLOOKUP(CustomerCombinedCleaned[[#This Row],[ID]], Table4[ID], Table4[Recency], "Not Found", 0)</f>
        <v>48</v>
      </c>
      <c r="K1778" s="16">
        <f>_xlfn.XLOOKUP(CustomerCombinedCleaned[[#This Row],[ID]], Table4[ID], Table4[Teas], "Not Found", 0)</f>
        <v>606</v>
      </c>
      <c r="L1778" s="16">
        <f>_xlfn.XLOOKUP(CustomerCombinedCleaned[[#This Row],[ID]], Table4[ID], Table4[Fruits], "Not Found", 0)</f>
        <v>169</v>
      </c>
      <c r="M1778" s="16">
        <f>_xlfn.XLOOKUP(CustomerCombinedCleaned[[#This Row],[ID]], Table4[ID], Table4[Meats], "Not Found", 0)</f>
        <v>1264</v>
      </c>
      <c r="N1778" s="16">
        <f>_xlfn.XLOOKUP(CustomerCombinedCleaned[[#This Row],[ID]], Table4[ID], Table4[Seafood], "Not Found", 0)</f>
        <v>503</v>
      </c>
      <c r="O1778" s="16">
        <f>_xlfn.XLOOKUP(CustomerCombinedCleaned[[#This Row],[ID]], Table4[ID], Table4[Sweets], "Not Found", 0)</f>
        <v>0</v>
      </c>
      <c r="P1778" s="16">
        <f>_xlfn.XLOOKUP(CustomerCombinedCleaned[[#This Row],[ID]], Table4[ID], Table4[Premium], "Not Found", 0)</f>
        <v>412</v>
      </c>
      <c r="Q1778" s="16">
        <f>_xlfn.XLOOKUP(CustomerCombinedCleaned[[#This Row],[ID]], Table4[ID], Table4[Regular], "Not Found", 0)</f>
        <v>2130</v>
      </c>
      <c r="R1778" s="16">
        <f>_xlfn.XLOOKUP(CustomerCombinedCleaned[[#This Row],[ID]], Table4[ID], Table4[Deals], "Not Found", 0)</f>
        <v>3</v>
      </c>
      <c r="S1778" s="16">
        <f>_xlfn.XLOOKUP(CustomerCombinedCleaned[[#This Row],[ID]], Table4[ID], Table4[Website], "Not Found", 0)</f>
        <v>3</v>
      </c>
      <c r="T1778" s="16">
        <f>_xlfn.XLOOKUP(CustomerCombinedCleaned[[#This Row],[ID]], Table4[ID], Table4[Catalog], "Not Found", 0)</f>
        <v>5</v>
      </c>
      <c r="U1778" s="16">
        <f>_xlfn.XLOOKUP(CustomerCombinedCleaned[[#This Row],[ID]], Table4[ID], Table4[Store], "Not Found", 0)</f>
        <v>6</v>
      </c>
      <c r="V1778" s="16">
        <f>_xlfn.XLOOKUP(CustomerCombinedCleaned[[#This Row],[ID]], Table4[ID], Table4[Visits], "Not Found", 0)</f>
        <v>2</v>
      </c>
      <c r="W1778" s="16">
        <f>_xlfn.XLOOKUP(CustomerCombinedCleaned[[#This Row],[ID]], Table2[ID],Table2[Complaint], "Not Found", 0 )</f>
        <v>0</v>
      </c>
      <c r="X1778" s="16">
        <f>_xlfn.XLOOKUP(CustomerCombinedCleaned[[#This Row],[ID]], Table2[ID],Table2[Pilot], "Not Found", 0 )</f>
        <v>0</v>
      </c>
      <c r="Y1778" s="16">
        <f>_xlfn.XLOOKUP(CustomerCombinedCleaned[[#This Row],[ID]], Table2[ID],Table2[MC1], "Not Found", 0 )</f>
        <v>0</v>
      </c>
      <c r="Z1778" s="16">
        <f>_xlfn.XLOOKUP(CustomerCombinedCleaned[[#This Row],[ID]], Table2[ID],Table2[MC2], "Not Found", 0 )</f>
        <v>0</v>
      </c>
      <c r="AA1778" s="16">
        <f>_xlfn.XLOOKUP(CustomerCombinedCleaned[[#This Row],[ID]], Table2[ID],Table2[MC3], "Not Found", 0 )</f>
        <v>0</v>
      </c>
      <c r="AB1778" s="16">
        <f>_xlfn.XLOOKUP(CustomerCombinedCleaned[[#This Row],[ID]], Table2[ID],Table2[MC4], "Not Found", 0 )</f>
        <v>0</v>
      </c>
      <c r="AC1778" s="16">
        <f>_xlfn.XLOOKUP(CustomerCombinedCleaned[[#This Row],[ID]], Table2[ID],Table2[MC5], "Not Found", 0 )</f>
        <v>0</v>
      </c>
    </row>
    <row r="1779" spans="1:29" x14ac:dyDescent="0.3">
      <c r="A1779" s="18">
        <v>3156</v>
      </c>
      <c r="B1779" s="16">
        <v>165487</v>
      </c>
      <c r="C1779" s="16">
        <v>0</v>
      </c>
      <c r="D1779" s="16">
        <v>0</v>
      </c>
      <c r="E1779" s="16">
        <v>63</v>
      </c>
      <c r="F1779" s="17" t="s">
        <v>8</v>
      </c>
      <c r="G1779" s="17" t="s">
        <v>12</v>
      </c>
      <c r="H1779" s="3" t="s">
        <v>120</v>
      </c>
      <c r="I1779" s="5" t="s">
        <v>436</v>
      </c>
      <c r="J1779" s="16">
        <f>_xlfn.XLOOKUP(CustomerCombinedCleaned[[#This Row],[ID]], Table4[ID], Table4[Recency], "Not Found", 0)</f>
        <v>48</v>
      </c>
      <c r="K1779" s="16">
        <f>_xlfn.XLOOKUP(CustomerCombinedCleaned[[#This Row],[ID]], Table4[ID], Table4[Teas], "Not Found", 0)</f>
        <v>606</v>
      </c>
      <c r="L1779" s="16">
        <f>_xlfn.XLOOKUP(CustomerCombinedCleaned[[#This Row],[ID]], Table4[ID], Table4[Fruits], "Not Found", 0)</f>
        <v>169</v>
      </c>
      <c r="M1779" s="16">
        <f>_xlfn.XLOOKUP(CustomerCombinedCleaned[[#This Row],[ID]], Table4[ID], Table4[Meats], "Not Found", 0)</f>
        <v>1264</v>
      </c>
      <c r="N1779" s="16">
        <f>_xlfn.XLOOKUP(CustomerCombinedCleaned[[#This Row],[ID]], Table4[ID], Table4[Seafood], "Not Found", 0)</f>
        <v>503</v>
      </c>
      <c r="O1779" s="16">
        <f>_xlfn.XLOOKUP(CustomerCombinedCleaned[[#This Row],[ID]], Table4[ID], Table4[Sweets], "Not Found", 0)</f>
        <v>0</v>
      </c>
      <c r="P1779" s="16">
        <f>_xlfn.XLOOKUP(CustomerCombinedCleaned[[#This Row],[ID]], Table4[ID], Table4[Premium], "Not Found", 0)</f>
        <v>412</v>
      </c>
      <c r="Q1779" s="16">
        <f>_xlfn.XLOOKUP(CustomerCombinedCleaned[[#This Row],[ID]], Table4[ID], Table4[Regular], "Not Found", 0)</f>
        <v>2130</v>
      </c>
      <c r="R1779" s="16">
        <f>_xlfn.XLOOKUP(CustomerCombinedCleaned[[#This Row],[ID]], Table4[ID], Table4[Deals], "Not Found", 0)</f>
        <v>3</v>
      </c>
      <c r="S1779" s="16">
        <f>_xlfn.XLOOKUP(CustomerCombinedCleaned[[#This Row],[ID]], Table4[ID], Table4[Website], "Not Found", 0)</f>
        <v>3</v>
      </c>
      <c r="T1779" s="16">
        <f>_xlfn.XLOOKUP(CustomerCombinedCleaned[[#This Row],[ID]], Table4[ID], Table4[Catalog], "Not Found", 0)</f>
        <v>5</v>
      </c>
      <c r="U1779" s="16">
        <f>_xlfn.XLOOKUP(CustomerCombinedCleaned[[#This Row],[ID]], Table4[ID], Table4[Store], "Not Found", 0)</f>
        <v>6</v>
      </c>
      <c r="V1779" s="16">
        <f>_xlfn.XLOOKUP(CustomerCombinedCleaned[[#This Row],[ID]], Table4[ID], Table4[Visits], "Not Found", 0)</f>
        <v>2</v>
      </c>
      <c r="W1779" s="16">
        <f>_xlfn.XLOOKUP(CustomerCombinedCleaned[[#This Row],[ID]], Table2[ID],Table2[Complaint], "Not Found", 0 )</f>
        <v>0</v>
      </c>
      <c r="X1779" s="16">
        <f>_xlfn.XLOOKUP(CustomerCombinedCleaned[[#This Row],[ID]], Table2[ID],Table2[Pilot], "Not Found", 0 )</f>
        <v>0</v>
      </c>
      <c r="Y1779" s="16">
        <f>_xlfn.XLOOKUP(CustomerCombinedCleaned[[#This Row],[ID]], Table2[ID],Table2[MC1], "Not Found", 0 )</f>
        <v>0</v>
      </c>
      <c r="Z1779" s="16">
        <f>_xlfn.XLOOKUP(CustomerCombinedCleaned[[#This Row],[ID]], Table2[ID],Table2[MC2], "Not Found", 0 )</f>
        <v>0</v>
      </c>
      <c r="AA1779" s="16">
        <f>_xlfn.XLOOKUP(CustomerCombinedCleaned[[#This Row],[ID]], Table2[ID],Table2[MC3], "Not Found", 0 )</f>
        <v>0</v>
      </c>
      <c r="AB1779" s="16">
        <f>_xlfn.XLOOKUP(CustomerCombinedCleaned[[#This Row],[ID]], Table2[ID],Table2[MC4], "Not Found", 0 )</f>
        <v>0</v>
      </c>
      <c r="AC1779" s="16">
        <f>_xlfn.XLOOKUP(CustomerCombinedCleaned[[#This Row],[ID]], Table2[ID],Table2[MC5], "Not Found", 0 )</f>
        <v>0</v>
      </c>
    </row>
    <row r="1780" spans="1:29" x14ac:dyDescent="0.3">
      <c r="A1780" s="18">
        <v>1047</v>
      </c>
      <c r="B1780" s="16">
        <v>165486</v>
      </c>
      <c r="C1780" s="16">
        <v>0</v>
      </c>
      <c r="D1780" s="16">
        <v>1</v>
      </c>
      <c r="E1780" s="16">
        <v>63</v>
      </c>
      <c r="F1780" s="17" t="s">
        <v>9</v>
      </c>
      <c r="G1780" s="17" t="s">
        <v>11</v>
      </c>
      <c r="H1780" s="3" t="s">
        <v>52</v>
      </c>
      <c r="I1780" s="5" t="s">
        <v>435</v>
      </c>
      <c r="J1780" s="16">
        <f>_xlfn.XLOOKUP(CustomerCombinedCleaned[[#This Row],[ID]], Table4[ID], Table4[Recency], "Not Found", 0)</f>
        <v>29</v>
      </c>
      <c r="K1780" s="16">
        <f>_xlfn.XLOOKUP(CustomerCombinedCleaned[[#This Row],[ID]], Table4[ID], Table4[Teas], "Not Found", 0)</f>
        <v>619</v>
      </c>
      <c r="L1780" s="16">
        <f>_xlfn.XLOOKUP(CustomerCombinedCleaned[[#This Row],[ID]], Table4[ID], Table4[Fruits], "Not Found", 0)</f>
        <v>48</v>
      </c>
      <c r="M1780" s="16">
        <f>_xlfn.XLOOKUP(CustomerCombinedCleaned[[#This Row],[ID]], Table4[ID], Table4[Meats], "Not Found", 0)</f>
        <v>316</v>
      </c>
      <c r="N1780" s="16">
        <f>_xlfn.XLOOKUP(CustomerCombinedCleaned[[#This Row],[ID]], Table4[ID], Table4[Seafood], "Not Found", 0)</f>
        <v>94</v>
      </c>
      <c r="O1780" s="16">
        <f>_xlfn.XLOOKUP(CustomerCombinedCleaned[[#This Row],[ID]], Table4[ID], Table4[Sweets], "Not Found", 0)</f>
        <v>169</v>
      </c>
      <c r="P1780" s="16">
        <f>_xlfn.XLOOKUP(CustomerCombinedCleaned[[#This Row],[ID]], Table4[ID], Table4[Premium], "Not Found", 0)</f>
        <v>35</v>
      </c>
      <c r="Q1780" s="16">
        <f>_xlfn.XLOOKUP(CustomerCombinedCleaned[[#This Row],[ID]], Table4[ID], Table4[Regular], "Not Found", 0)</f>
        <v>1210</v>
      </c>
      <c r="R1780" s="16">
        <f>_xlfn.XLOOKUP(CustomerCombinedCleaned[[#This Row],[ID]], Table4[ID], Table4[Deals], "Not Found", 0)</f>
        <v>1</v>
      </c>
      <c r="S1780" s="16">
        <f>_xlfn.XLOOKUP(CustomerCombinedCleaned[[#This Row],[ID]], Table4[ID], Table4[Website], "Not Found", 0)</f>
        <v>4</v>
      </c>
      <c r="T1780" s="16">
        <f>_xlfn.XLOOKUP(CustomerCombinedCleaned[[#This Row],[ID]], Table4[ID], Table4[Catalog], "Not Found", 0)</f>
        <v>2</v>
      </c>
      <c r="U1780" s="16">
        <f>_xlfn.XLOOKUP(CustomerCombinedCleaned[[#This Row],[ID]], Table4[ID], Table4[Store], "Not Found", 0)</f>
        <v>10</v>
      </c>
      <c r="V1780" s="16">
        <f>_xlfn.XLOOKUP(CustomerCombinedCleaned[[#This Row],[ID]], Table4[ID], Table4[Visits], "Not Found", 0)</f>
        <v>2</v>
      </c>
      <c r="W1780" s="16">
        <f>_xlfn.XLOOKUP(CustomerCombinedCleaned[[#This Row],[ID]], Table2[ID],Table2[Complaint], "Not Found", 0 )</f>
        <v>0</v>
      </c>
      <c r="X1780" s="16">
        <f>_xlfn.XLOOKUP(CustomerCombinedCleaned[[#This Row],[ID]], Table2[ID],Table2[Pilot], "Not Found", 0 )</f>
        <v>0</v>
      </c>
      <c r="Y1780" s="16">
        <f>_xlfn.XLOOKUP(CustomerCombinedCleaned[[#This Row],[ID]], Table2[ID],Table2[MC1], "Not Found", 0 )</f>
        <v>0</v>
      </c>
      <c r="Z1780" s="16">
        <f>_xlfn.XLOOKUP(CustomerCombinedCleaned[[#This Row],[ID]], Table2[ID],Table2[MC2], "Not Found", 0 )</f>
        <v>0</v>
      </c>
      <c r="AA1780" s="16">
        <f>_xlfn.XLOOKUP(CustomerCombinedCleaned[[#This Row],[ID]], Table2[ID],Table2[MC3], "Not Found", 0 )</f>
        <v>0</v>
      </c>
      <c r="AB1780" s="16">
        <f>_xlfn.XLOOKUP(CustomerCombinedCleaned[[#This Row],[ID]], Table2[ID],Table2[MC4], "Not Found", 0 )</f>
        <v>0</v>
      </c>
      <c r="AC1780" s="16">
        <f>_xlfn.XLOOKUP(CustomerCombinedCleaned[[#This Row],[ID]], Table2[ID],Table2[MC5], "Not Found", 0 )</f>
        <v>0</v>
      </c>
    </row>
    <row r="1781" spans="1:29" x14ac:dyDescent="0.3">
      <c r="A1781" s="18">
        <v>2903</v>
      </c>
      <c r="B1781" s="16">
        <v>164849</v>
      </c>
      <c r="C1781" s="16">
        <v>0</v>
      </c>
      <c r="D1781" s="16">
        <v>0</v>
      </c>
      <c r="E1781" s="16">
        <v>63</v>
      </c>
      <c r="F1781" s="17" t="s">
        <v>7</v>
      </c>
      <c r="G1781" s="17" t="s">
        <v>11</v>
      </c>
      <c r="H1781" s="3" t="s">
        <v>362</v>
      </c>
      <c r="I1781" s="5" t="s">
        <v>434</v>
      </c>
      <c r="J1781" s="16">
        <f>_xlfn.XLOOKUP(CustomerCombinedCleaned[[#This Row],[ID]], Table4[ID], Table4[Recency], "Not Found", 0)</f>
        <v>42</v>
      </c>
      <c r="K1781" s="16">
        <f>_xlfn.XLOOKUP(CustomerCombinedCleaned[[#This Row],[ID]], Table4[ID], Table4[Teas], "Not Found", 0)</f>
        <v>1657</v>
      </c>
      <c r="L1781" s="16">
        <f>_xlfn.XLOOKUP(CustomerCombinedCleaned[[#This Row],[ID]], Table4[ID], Table4[Fruits], "Not Found", 0)</f>
        <v>122</v>
      </c>
      <c r="M1781" s="16">
        <f>_xlfn.XLOOKUP(CustomerCombinedCleaned[[#This Row],[ID]], Table4[ID], Table4[Meats], "Not Found", 0)</f>
        <v>890</v>
      </c>
      <c r="N1781" s="16">
        <f>_xlfn.XLOOKUP(CustomerCombinedCleaned[[#This Row],[ID]], Table4[ID], Table4[Seafood], "Not Found", 0)</f>
        <v>239</v>
      </c>
      <c r="O1781" s="16">
        <f>_xlfn.XLOOKUP(CustomerCombinedCleaned[[#This Row],[ID]], Table4[ID], Table4[Sweets], "Not Found", 0)</f>
        <v>214</v>
      </c>
      <c r="P1781" s="16">
        <f>_xlfn.XLOOKUP(CustomerCombinedCleaned[[#This Row],[ID]], Table4[ID], Table4[Premium], "Not Found", 0)</f>
        <v>275</v>
      </c>
      <c r="Q1781" s="16">
        <f>_xlfn.XLOOKUP(CustomerCombinedCleaned[[#This Row],[ID]], Table4[ID], Table4[Regular], "Not Found", 0)</f>
        <v>2847</v>
      </c>
      <c r="R1781" s="16">
        <f>_xlfn.XLOOKUP(CustomerCombinedCleaned[[#This Row],[ID]], Table4[ID], Table4[Deals], "Not Found", 0)</f>
        <v>1</v>
      </c>
      <c r="S1781" s="16">
        <f>_xlfn.XLOOKUP(CustomerCombinedCleaned[[#This Row],[ID]], Table4[ID], Table4[Website], "Not Found", 0)</f>
        <v>9</v>
      </c>
      <c r="T1781" s="16">
        <f>_xlfn.XLOOKUP(CustomerCombinedCleaned[[#This Row],[ID]], Table4[ID], Table4[Catalog], "Not Found", 0)</f>
        <v>3</v>
      </c>
      <c r="U1781" s="16">
        <f>_xlfn.XLOOKUP(CustomerCombinedCleaned[[#This Row],[ID]], Table4[ID], Table4[Store], "Not Found", 0)</f>
        <v>6</v>
      </c>
      <c r="V1781" s="16">
        <f>_xlfn.XLOOKUP(CustomerCombinedCleaned[[#This Row],[ID]], Table4[ID], Table4[Visits], "Not Found", 0)</f>
        <v>5</v>
      </c>
      <c r="W1781" s="16">
        <f>_xlfn.XLOOKUP(CustomerCombinedCleaned[[#This Row],[ID]], Table2[ID],Table2[Complaint], "Not Found", 0 )</f>
        <v>0</v>
      </c>
      <c r="X1781" s="16">
        <f>_xlfn.XLOOKUP(CustomerCombinedCleaned[[#This Row],[ID]], Table2[ID],Table2[Pilot], "Not Found", 0 )</f>
        <v>1</v>
      </c>
      <c r="Y1781" s="16">
        <f>_xlfn.XLOOKUP(CustomerCombinedCleaned[[#This Row],[ID]], Table2[ID],Table2[MC1], "Not Found", 0 )</f>
        <v>0</v>
      </c>
      <c r="Z1781" s="16">
        <f>_xlfn.XLOOKUP(CustomerCombinedCleaned[[#This Row],[ID]], Table2[ID],Table2[MC2], "Not Found", 0 )</f>
        <v>0</v>
      </c>
      <c r="AA1781" s="16">
        <f>_xlfn.XLOOKUP(CustomerCombinedCleaned[[#This Row],[ID]], Table2[ID],Table2[MC3], "Not Found", 0 )</f>
        <v>0</v>
      </c>
      <c r="AB1781" s="16">
        <f>_xlfn.XLOOKUP(CustomerCombinedCleaned[[#This Row],[ID]], Table2[ID],Table2[MC4], "Not Found", 0 )</f>
        <v>0</v>
      </c>
      <c r="AC1781" s="16">
        <f>_xlfn.XLOOKUP(CustomerCombinedCleaned[[#This Row],[ID]], Table2[ID],Table2[MC5], "Not Found", 0 )</f>
        <v>0</v>
      </c>
    </row>
    <row r="1782" spans="1:29" x14ac:dyDescent="0.3">
      <c r="A1782" s="18">
        <v>1310</v>
      </c>
      <c r="B1782" s="16">
        <v>162187</v>
      </c>
      <c r="C1782" s="16">
        <v>0</v>
      </c>
      <c r="D1782" s="16">
        <v>0</v>
      </c>
      <c r="E1782" s="16">
        <v>63</v>
      </c>
      <c r="F1782" s="17" t="s">
        <v>6</v>
      </c>
      <c r="G1782" s="17" t="s">
        <v>11</v>
      </c>
      <c r="H1782" s="3" t="s">
        <v>712</v>
      </c>
      <c r="I1782" s="5" t="s">
        <v>438</v>
      </c>
      <c r="J1782" s="16">
        <f>_xlfn.XLOOKUP(CustomerCombinedCleaned[[#This Row],[ID]], Table4[ID], Table4[Recency], "Not Found", 0)</f>
        <v>49</v>
      </c>
      <c r="K1782" s="16">
        <f>_xlfn.XLOOKUP(CustomerCombinedCleaned[[#This Row],[ID]], Table4[ID], Table4[Teas], "Not Found", 0)</f>
        <v>2066</v>
      </c>
      <c r="L1782" s="16">
        <f>_xlfn.XLOOKUP(CustomerCombinedCleaned[[#This Row],[ID]], Table4[ID], Table4[Fruits], "Not Found", 0)</f>
        <v>0</v>
      </c>
      <c r="M1782" s="16">
        <f>_xlfn.XLOOKUP(CustomerCombinedCleaned[[#This Row],[ID]], Table4[ID], Table4[Meats], "Not Found", 0)</f>
        <v>717</v>
      </c>
      <c r="N1782" s="16">
        <f>_xlfn.XLOOKUP(CustomerCombinedCleaned[[#This Row],[ID]], Table4[ID], Table4[Seafood], "Not Found", 0)</f>
        <v>117</v>
      </c>
      <c r="O1782" s="16">
        <f>_xlfn.XLOOKUP(CustomerCombinedCleaned[[#This Row],[ID]], Table4[ID], Table4[Sweets], "Not Found", 0)</f>
        <v>117</v>
      </c>
      <c r="P1782" s="16">
        <f>_xlfn.XLOOKUP(CustomerCombinedCleaned[[#This Row],[ID]], Table4[ID], Table4[Premium], "Not Found", 0)</f>
        <v>329</v>
      </c>
      <c r="Q1782" s="16">
        <f>_xlfn.XLOOKUP(CustomerCombinedCleaned[[#This Row],[ID]], Table4[ID], Table4[Regular], "Not Found", 0)</f>
        <v>2689</v>
      </c>
      <c r="R1782" s="16">
        <f>_xlfn.XLOOKUP(CustomerCombinedCleaned[[#This Row],[ID]], Table4[ID], Table4[Deals], "Not Found", 0)</f>
        <v>1</v>
      </c>
      <c r="S1782" s="16">
        <f>_xlfn.XLOOKUP(CustomerCombinedCleaned[[#This Row],[ID]], Table4[ID], Table4[Website], "Not Found", 0)</f>
        <v>4</v>
      </c>
      <c r="T1782" s="16">
        <f>_xlfn.XLOOKUP(CustomerCombinedCleaned[[#This Row],[ID]], Table4[ID], Table4[Catalog], "Not Found", 0)</f>
        <v>8</v>
      </c>
      <c r="U1782" s="16">
        <f>_xlfn.XLOOKUP(CustomerCombinedCleaned[[#This Row],[ID]], Table4[ID], Table4[Store], "Not Found", 0)</f>
        <v>5</v>
      </c>
      <c r="V1782" s="16">
        <f>_xlfn.XLOOKUP(CustomerCombinedCleaned[[#This Row],[ID]], Table4[ID], Table4[Visits], "Not Found", 0)</f>
        <v>3</v>
      </c>
      <c r="W1782" s="16">
        <f>_xlfn.XLOOKUP(CustomerCombinedCleaned[[#This Row],[ID]], Table2[ID],Table2[Complaint], "Not Found", 0 )</f>
        <v>0</v>
      </c>
      <c r="X1782" s="16">
        <f>_xlfn.XLOOKUP(CustomerCombinedCleaned[[#This Row],[ID]], Table2[ID],Table2[Pilot], "Not Found", 0 )</f>
        <v>0</v>
      </c>
      <c r="Y1782" s="16">
        <f>_xlfn.XLOOKUP(CustomerCombinedCleaned[[#This Row],[ID]], Table2[ID],Table2[MC1], "Not Found", 0 )</f>
        <v>0</v>
      </c>
      <c r="Z1782" s="16">
        <f>_xlfn.XLOOKUP(CustomerCombinedCleaned[[#This Row],[ID]], Table2[ID],Table2[MC2], "Not Found", 0 )</f>
        <v>0</v>
      </c>
      <c r="AA1782" s="16">
        <f>_xlfn.XLOOKUP(CustomerCombinedCleaned[[#This Row],[ID]], Table2[ID],Table2[MC3], "Not Found", 0 )</f>
        <v>0</v>
      </c>
      <c r="AB1782" s="16">
        <f>_xlfn.XLOOKUP(CustomerCombinedCleaned[[#This Row],[ID]], Table2[ID],Table2[MC4], "Not Found", 0 )</f>
        <v>0</v>
      </c>
      <c r="AC1782" s="16">
        <f>_xlfn.XLOOKUP(CustomerCombinedCleaned[[#This Row],[ID]], Table2[ID],Table2[MC5], "Not Found", 0 )</f>
        <v>0</v>
      </c>
    </row>
    <row r="1783" spans="1:29" x14ac:dyDescent="0.3">
      <c r="A1783" s="18">
        <v>1001</v>
      </c>
      <c r="B1783" s="16">
        <v>158138</v>
      </c>
      <c r="C1783" s="16">
        <v>0</v>
      </c>
      <c r="D1783" s="16">
        <v>0</v>
      </c>
      <c r="E1783" s="16">
        <v>63</v>
      </c>
      <c r="F1783" s="17" t="s">
        <v>7</v>
      </c>
      <c r="G1783" s="17" t="s">
        <v>11</v>
      </c>
      <c r="H1783" s="3" t="s">
        <v>640</v>
      </c>
      <c r="I1783" s="5" t="s">
        <v>434</v>
      </c>
      <c r="J1783" s="16">
        <f>_xlfn.XLOOKUP(CustomerCombinedCleaned[[#This Row],[ID]], Table4[ID], Table4[Recency], "Not Found", 0)</f>
        <v>58</v>
      </c>
      <c r="K1783" s="16">
        <f>_xlfn.XLOOKUP(CustomerCombinedCleaned[[#This Row],[ID]], Table4[ID], Table4[Teas], "Not Found", 0)</f>
        <v>1727</v>
      </c>
      <c r="L1783" s="16">
        <f>_xlfn.XLOOKUP(CustomerCombinedCleaned[[#This Row],[ID]], Table4[ID], Table4[Fruits], "Not Found", 0)</f>
        <v>239</v>
      </c>
      <c r="M1783" s="16">
        <f>_xlfn.XLOOKUP(CustomerCombinedCleaned[[#This Row],[ID]], Table4[ID], Table4[Meats], "Not Found", 0)</f>
        <v>1485</v>
      </c>
      <c r="N1783" s="16">
        <f>_xlfn.XLOOKUP(CustomerCombinedCleaned[[#This Row],[ID]], Table4[ID], Table4[Seafood], "Not Found", 0)</f>
        <v>468</v>
      </c>
      <c r="O1783" s="16">
        <f>_xlfn.XLOOKUP(CustomerCombinedCleaned[[#This Row],[ID]], Table4[ID], Table4[Sweets], "Not Found", 0)</f>
        <v>239</v>
      </c>
      <c r="P1783" s="16">
        <f>_xlfn.XLOOKUP(CustomerCombinedCleaned[[#This Row],[ID]], Table4[ID], Table4[Premium], "Not Found", 0)</f>
        <v>239</v>
      </c>
      <c r="Q1783" s="16">
        <f>_xlfn.XLOOKUP(CustomerCombinedCleaned[[#This Row],[ID]], Table4[ID], Table4[Regular], "Not Found", 0)</f>
        <v>3920</v>
      </c>
      <c r="R1783" s="16">
        <f>_xlfn.XLOOKUP(CustomerCombinedCleaned[[#This Row],[ID]], Table4[ID], Table4[Deals], "Not Found", 0)</f>
        <v>3</v>
      </c>
      <c r="S1783" s="16">
        <f>_xlfn.XLOOKUP(CustomerCombinedCleaned[[#This Row],[ID]], Table4[ID], Table4[Website], "Not Found", 0)</f>
        <v>8</v>
      </c>
      <c r="T1783" s="16">
        <f>_xlfn.XLOOKUP(CustomerCombinedCleaned[[#This Row],[ID]], Table4[ID], Table4[Catalog], "Not Found", 0)</f>
        <v>10</v>
      </c>
      <c r="U1783" s="16">
        <f>_xlfn.XLOOKUP(CustomerCombinedCleaned[[#This Row],[ID]], Table4[ID], Table4[Store], "Not Found", 0)</f>
        <v>4</v>
      </c>
      <c r="V1783" s="16">
        <f>_xlfn.XLOOKUP(CustomerCombinedCleaned[[#This Row],[ID]], Table4[ID], Table4[Visits], "Not Found", 0)</f>
        <v>7</v>
      </c>
      <c r="W1783" s="16">
        <f>_xlfn.XLOOKUP(CustomerCombinedCleaned[[#This Row],[ID]], Table2[ID],Table2[Complaint], "Not Found", 0 )</f>
        <v>0</v>
      </c>
      <c r="X1783" s="16">
        <f>_xlfn.XLOOKUP(CustomerCombinedCleaned[[#This Row],[ID]], Table2[ID],Table2[Pilot], "Not Found", 0 )</f>
        <v>1</v>
      </c>
      <c r="Y1783" s="16">
        <f>_xlfn.XLOOKUP(CustomerCombinedCleaned[[#This Row],[ID]], Table2[ID],Table2[MC1], "Not Found", 0 )</f>
        <v>0</v>
      </c>
      <c r="Z1783" s="16">
        <f>_xlfn.XLOOKUP(CustomerCombinedCleaned[[#This Row],[ID]], Table2[ID],Table2[MC2], "Not Found", 0 )</f>
        <v>0</v>
      </c>
      <c r="AA1783" s="16">
        <f>_xlfn.XLOOKUP(CustomerCombinedCleaned[[#This Row],[ID]], Table2[ID],Table2[MC3], "Not Found", 0 )</f>
        <v>0</v>
      </c>
      <c r="AB1783" s="16">
        <f>_xlfn.XLOOKUP(CustomerCombinedCleaned[[#This Row],[ID]], Table2[ID],Table2[MC4], "Not Found", 0 )</f>
        <v>0</v>
      </c>
      <c r="AC1783" s="16">
        <f>_xlfn.XLOOKUP(CustomerCombinedCleaned[[#This Row],[ID]], Table2[ID],Table2[MC5], "Not Found", 0 )</f>
        <v>0</v>
      </c>
    </row>
    <row r="1784" spans="1:29" x14ac:dyDescent="0.3">
      <c r="A1784" s="18">
        <v>1788</v>
      </c>
      <c r="B1784" s="16">
        <v>155267</v>
      </c>
      <c r="C1784" s="16">
        <v>0</v>
      </c>
      <c r="D1784" s="16">
        <v>1</v>
      </c>
      <c r="E1784" s="16">
        <v>63</v>
      </c>
      <c r="F1784" s="17" t="s">
        <v>6</v>
      </c>
      <c r="G1784" s="17" t="s">
        <v>11</v>
      </c>
      <c r="H1784" s="3" t="s">
        <v>161</v>
      </c>
      <c r="I1784" s="5" t="s">
        <v>436</v>
      </c>
      <c r="J1784" s="16">
        <f>_xlfn.XLOOKUP(CustomerCombinedCleaned[[#This Row],[ID]], Table4[ID], Table4[Recency], "Not Found", 0)</f>
        <v>28</v>
      </c>
      <c r="K1784" s="16">
        <f>_xlfn.XLOOKUP(CustomerCombinedCleaned[[#This Row],[ID]], Table4[ID], Table4[Teas], "Not Found", 0)</f>
        <v>452</v>
      </c>
      <c r="L1784" s="16">
        <f>_xlfn.XLOOKUP(CustomerCombinedCleaned[[#This Row],[ID]], Table4[ID], Table4[Fruits], "Not Found", 0)</f>
        <v>79</v>
      </c>
      <c r="M1784" s="16">
        <f>_xlfn.XLOOKUP(CustomerCombinedCleaned[[#This Row],[ID]], Table4[ID], Table4[Meats], "Not Found", 0)</f>
        <v>382</v>
      </c>
      <c r="N1784" s="16">
        <f>_xlfn.XLOOKUP(CustomerCombinedCleaned[[#This Row],[ID]], Table4[ID], Table4[Seafood], "Not Found", 0)</f>
        <v>90</v>
      </c>
      <c r="O1784" s="16">
        <f>_xlfn.XLOOKUP(CustomerCombinedCleaned[[#This Row],[ID]], Table4[ID], Table4[Sweets], "Not Found", 0)</f>
        <v>8</v>
      </c>
      <c r="P1784" s="16">
        <f>_xlfn.XLOOKUP(CustomerCombinedCleaned[[#This Row],[ID]], Table4[ID], Table4[Premium], "Not Found", 0)</f>
        <v>126</v>
      </c>
      <c r="Q1784" s="16">
        <f>_xlfn.XLOOKUP(CustomerCombinedCleaned[[#This Row],[ID]], Table4[ID], Table4[Regular], "Not Found", 0)</f>
        <v>885</v>
      </c>
      <c r="R1784" s="16">
        <f>_xlfn.XLOOKUP(CustomerCombinedCleaned[[#This Row],[ID]], Table4[ID], Table4[Deals], "Not Found", 0)</f>
        <v>4</v>
      </c>
      <c r="S1784" s="16">
        <f>_xlfn.XLOOKUP(CustomerCombinedCleaned[[#This Row],[ID]], Table4[ID], Table4[Website], "Not Found", 0)</f>
        <v>3</v>
      </c>
      <c r="T1784" s="16">
        <f>_xlfn.XLOOKUP(CustomerCombinedCleaned[[#This Row],[ID]], Table4[ID], Table4[Catalog], "Not Found", 0)</f>
        <v>4</v>
      </c>
      <c r="U1784" s="16">
        <f>_xlfn.XLOOKUP(CustomerCombinedCleaned[[#This Row],[ID]], Table4[ID], Table4[Store], "Not Found", 0)</f>
        <v>6</v>
      </c>
      <c r="V1784" s="16">
        <f>_xlfn.XLOOKUP(CustomerCombinedCleaned[[#This Row],[ID]], Table4[ID], Table4[Visits], "Not Found", 0)</f>
        <v>3</v>
      </c>
      <c r="W1784" s="16">
        <f>_xlfn.XLOOKUP(CustomerCombinedCleaned[[#This Row],[ID]], Table2[ID],Table2[Complaint], "Not Found", 0 )</f>
        <v>0</v>
      </c>
      <c r="X1784" s="16">
        <f>_xlfn.XLOOKUP(CustomerCombinedCleaned[[#This Row],[ID]], Table2[ID],Table2[Pilot], "Not Found", 0 )</f>
        <v>0</v>
      </c>
      <c r="Y1784" s="16">
        <f>_xlfn.XLOOKUP(CustomerCombinedCleaned[[#This Row],[ID]], Table2[ID],Table2[MC1], "Not Found", 0 )</f>
        <v>0</v>
      </c>
      <c r="Z1784" s="16">
        <f>_xlfn.XLOOKUP(CustomerCombinedCleaned[[#This Row],[ID]], Table2[ID],Table2[MC2], "Not Found", 0 )</f>
        <v>0</v>
      </c>
      <c r="AA1784" s="16">
        <f>_xlfn.XLOOKUP(CustomerCombinedCleaned[[#This Row],[ID]], Table2[ID],Table2[MC3], "Not Found", 0 )</f>
        <v>0</v>
      </c>
      <c r="AB1784" s="16">
        <f>_xlfn.XLOOKUP(CustomerCombinedCleaned[[#This Row],[ID]], Table2[ID],Table2[MC4], "Not Found", 0 )</f>
        <v>0</v>
      </c>
      <c r="AC1784" s="16">
        <f>_xlfn.XLOOKUP(CustomerCombinedCleaned[[#This Row],[ID]], Table2[ID],Table2[MC5], "Not Found", 0 )</f>
        <v>0</v>
      </c>
    </row>
    <row r="1785" spans="1:29" x14ac:dyDescent="0.3">
      <c r="A1785" s="18">
        <v>1940</v>
      </c>
      <c r="B1785" s="16">
        <v>154237</v>
      </c>
      <c r="C1785" s="16">
        <v>0</v>
      </c>
      <c r="D1785" s="16">
        <v>1</v>
      </c>
      <c r="E1785" s="16">
        <v>63</v>
      </c>
      <c r="F1785" s="17" t="s">
        <v>5</v>
      </c>
      <c r="G1785" s="17" t="s">
        <v>13</v>
      </c>
      <c r="H1785" s="3" t="s">
        <v>735</v>
      </c>
      <c r="I1785" s="5" t="s">
        <v>438</v>
      </c>
      <c r="J1785" s="16">
        <f>_xlfn.XLOOKUP(CustomerCombinedCleaned[[#This Row],[ID]], Table4[ID], Table4[Recency], "Not Found", 0)</f>
        <v>48</v>
      </c>
      <c r="K1785" s="16">
        <f>_xlfn.XLOOKUP(CustomerCombinedCleaned[[#This Row],[ID]], Table4[ID], Table4[Teas], "Not Found", 0)</f>
        <v>759</v>
      </c>
      <c r="L1785" s="16">
        <f>_xlfn.XLOOKUP(CustomerCombinedCleaned[[#This Row],[ID]], Table4[ID], Table4[Fruits], "Not Found", 0)</f>
        <v>9</v>
      </c>
      <c r="M1785" s="16">
        <f>_xlfn.XLOOKUP(CustomerCombinedCleaned[[#This Row],[ID]], Table4[ID], Table4[Meats], "Not Found", 0)</f>
        <v>85</v>
      </c>
      <c r="N1785" s="16">
        <f>_xlfn.XLOOKUP(CustomerCombinedCleaned[[#This Row],[ID]], Table4[ID], Table4[Seafood], "Not Found", 0)</f>
        <v>11</v>
      </c>
      <c r="O1785" s="16">
        <f>_xlfn.XLOOKUP(CustomerCombinedCleaned[[#This Row],[ID]], Table4[ID], Table4[Sweets], "Not Found", 0)</f>
        <v>0</v>
      </c>
      <c r="P1785" s="16">
        <f>_xlfn.XLOOKUP(CustomerCombinedCleaned[[#This Row],[ID]], Table4[ID], Table4[Premium], "Not Found", 0)</f>
        <v>162</v>
      </c>
      <c r="Q1785" s="16">
        <f>_xlfn.XLOOKUP(CustomerCombinedCleaned[[#This Row],[ID]], Table4[ID], Table4[Regular], "Not Found", 0)</f>
        <v>702</v>
      </c>
      <c r="R1785" s="16">
        <f>_xlfn.XLOOKUP(CustomerCombinedCleaned[[#This Row],[ID]], Table4[ID], Table4[Deals], "Not Found", 0)</f>
        <v>4</v>
      </c>
      <c r="S1785" s="16">
        <f>_xlfn.XLOOKUP(CustomerCombinedCleaned[[#This Row],[ID]], Table4[ID], Table4[Website], "Not Found", 0)</f>
        <v>5</v>
      </c>
      <c r="T1785" s="16">
        <f>_xlfn.XLOOKUP(CustomerCombinedCleaned[[#This Row],[ID]], Table4[ID], Table4[Catalog], "Not Found", 0)</f>
        <v>2</v>
      </c>
      <c r="U1785" s="16">
        <f>_xlfn.XLOOKUP(CustomerCombinedCleaned[[#This Row],[ID]], Table4[ID], Table4[Store], "Not Found", 0)</f>
        <v>5</v>
      </c>
      <c r="V1785" s="16">
        <f>_xlfn.XLOOKUP(CustomerCombinedCleaned[[#This Row],[ID]], Table4[ID], Table4[Visits], "Not Found", 0)</f>
        <v>6</v>
      </c>
      <c r="W1785" s="16">
        <f>_xlfn.XLOOKUP(CustomerCombinedCleaned[[#This Row],[ID]], Table2[ID],Table2[Complaint], "Not Found", 0 )</f>
        <v>0</v>
      </c>
      <c r="X1785" s="16">
        <f>_xlfn.XLOOKUP(CustomerCombinedCleaned[[#This Row],[ID]], Table2[ID],Table2[Pilot], "Not Found", 0 )</f>
        <v>0</v>
      </c>
      <c r="Y1785" s="16">
        <f>_xlfn.XLOOKUP(CustomerCombinedCleaned[[#This Row],[ID]], Table2[ID],Table2[MC1], "Not Found", 0 )</f>
        <v>0</v>
      </c>
      <c r="Z1785" s="16">
        <f>_xlfn.XLOOKUP(CustomerCombinedCleaned[[#This Row],[ID]], Table2[ID],Table2[MC2], "Not Found", 0 )</f>
        <v>0</v>
      </c>
      <c r="AA1785" s="16">
        <f>_xlfn.XLOOKUP(CustomerCombinedCleaned[[#This Row],[ID]], Table2[ID],Table2[MC3], "Not Found", 0 )</f>
        <v>0</v>
      </c>
      <c r="AB1785" s="16">
        <f>_xlfn.XLOOKUP(CustomerCombinedCleaned[[#This Row],[ID]], Table2[ID],Table2[MC4], "Not Found", 0 )</f>
        <v>0</v>
      </c>
      <c r="AC1785" s="16">
        <f>_xlfn.XLOOKUP(CustomerCombinedCleaned[[#This Row],[ID]], Table2[ID],Table2[MC5], "Not Found", 0 )</f>
        <v>0</v>
      </c>
    </row>
    <row r="1786" spans="1:29" x14ac:dyDescent="0.3">
      <c r="A1786" s="18">
        <v>3152</v>
      </c>
      <c r="B1786" s="16">
        <v>153233</v>
      </c>
      <c r="C1786" s="16">
        <v>0</v>
      </c>
      <c r="D1786" s="16">
        <v>1</v>
      </c>
      <c r="E1786" s="16">
        <v>63</v>
      </c>
      <c r="F1786" s="17" t="s">
        <v>6</v>
      </c>
      <c r="G1786" s="17" t="s">
        <v>11</v>
      </c>
      <c r="H1786" s="3" t="s">
        <v>83</v>
      </c>
      <c r="I1786" s="5" t="s">
        <v>438</v>
      </c>
      <c r="J1786" s="16">
        <f>_xlfn.XLOOKUP(CustomerCombinedCleaned[[#This Row],[ID]], Table4[ID], Table4[Recency], "Not Found", 0)</f>
        <v>18</v>
      </c>
      <c r="K1786" s="16">
        <f>_xlfn.XLOOKUP(CustomerCombinedCleaned[[#This Row],[ID]], Table4[ID], Table4[Teas], "Not Found", 0)</f>
        <v>81</v>
      </c>
      <c r="L1786" s="16">
        <f>_xlfn.XLOOKUP(CustomerCombinedCleaned[[#This Row],[ID]], Table4[ID], Table4[Fruits], "Not Found", 0)</f>
        <v>0</v>
      </c>
      <c r="M1786" s="16">
        <f>_xlfn.XLOOKUP(CustomerCombinedCleaned[[#This Row],[ID]], Table4[ID], Table4[Meats], "Not Found", 0)</f>
        <v>26</v>
      </c>
      <c r="N1786" s="16">
        <f>_xlfn.XLOOKUP(CustomerCombinedCleaned[[#This Row],[ID]], Table4[ID], Table4[Seafood], "Not Found", 0)</f>
        <v>9</v>
      </c>
      <c r="O1786" s="16">
        <f>_xlfn.XLOOKUP(CustomerCombinedCleaned[[#This Row],[ID]], Table4[ID], Table4[Sweets], "Not Found", 0)</f>
        <v>0</v>
      </c>
      <c r="P1786" s="16">
        <f>_xlfn.XLOOKUP(CustomerCombinedCleaned[[#This Row],[ID]], Table4[ID], Table4[Premium], "Not Found", 0)</f>
        <v>0</v>
      </c>
      <c r="Q1786" s="16">
        <f>_xlfn.XLOOKUP(CustomerCombinedCleaned[[#This Row],[ID]], Table4[ID], Table4[Regular], "Not Found", 0)</f>
        <v>115</v>
      </c>
      <c r="R1786" s="16">
        <f>_xlfn.XLOOKUP(CustomerCombinedCleaned[[#This Row],[ID]], Table4[ID], Table4[Deals], "Not Found", 0)</f>
        <v>1</v>
      </c>
      <c r="S1786" s="16">
        <f>_xlfn.XLOOKUP(CustomerCombinedCleaned[[#This Row],[ID]], Table4[ID], Table4[Website], "Not Found", 0)</f>
        <v>1</v>
      </c>
      <c r="T1786" s="16">
        <f>_xlfn.XLOOKUP(CustomerCombinedCleaned[[#This Row],[ID]], Table4[ID], Table4[Catalog], "Not Found", 0)</f>
        <v>0</v>
      </c>
      <c r="U1786" s="16">
        <f>_xlfn.XLOOKUP(CustomerCombinedCleaned[[#This Row],[ID]], Table4[ID], Table4[Store], "Not Found", 0)</f>
        <v>3</v>
      </c>
      <c r="V1786" s="16">
        <f>_xlfn.XLOOKUP(CustomerCombinedCleaned[[#This Row],[ID]], Table4[ID], Table4[Visits], "Not Found", 0)</f>
        <v>4</v>
      </c>
      <c r="W1786" s="16">
        <f>_xlfn.XLOOKUP(CustomerCombinedCleaned[[#This Row],[ID]], Table2[ID],Table2[Complaint], "Not Found", 0 )</f>
        <v>0</v>
      </c>
      <c r="X1786" s="16">
        <f>_xlfn.XLOOKUP(CustomerCombinedCleaned[[#This Row],[ID]], Table2[ID],Table2[Pilot], "Not Found", 0 )</f>
        <v>0</v>
      </c>
      <c r="Y1786" s="16">
        <f>_xlfn.XLOOKUP(CustomerCombinedCleaned[[#This Row],[ID]], Table2[ID],Table2[MC1], "Not Found", 0 )</f>
        <v>0</v>
      </c>
      <c r="Z1786" s="16">
        <f>_xlfn.XLOOKUP(CustomerCombinedCleaned[[#This Row],[ID]], Table2[ID],Table2[MC2], "Not Found", 0 )</f>
        <v>0</v>
      </c>
      <c r="AA1786" s="16">
        <f>_xlfn.XLOOKUP(CustomerCombinedCleaned[[#This Row],[ID]], Table2[ID],Table2[MC3], "Not Found", 0 )</f>
        <v>0</v>
      </c>
      <c r="AB1786" s="16">
        <f>_xlfn.XLOOKUP(CustomerCombinedCleaned[[#This Row],[ID]], Table2[ID],Table2[MC4], "Not Found", 0 )</f>
        <v>0</v>
      </c>
      <c r="AC1786" s="16">
        <f>_xlfn.XLOOKUP(CustomerCombinedCleaned[[#This Row],[ID]], Table2[ID],Table2[MC5], "Not Found", 0 )</f>
        <v>0</v>
      </c>
    </row>
    <row r="1787" spans="1:29" x14ac:dyDescent="0.3">
      <c r="A1787" s="18">
        <v>2423</v>
      </c>
      <c r="B1787" s="16">
        <v>152852</v>
      </c>
      <c r="C1787" s="16">
        <v>0</v>
      </c>
      <c r="D1787" s="16">
        <v>1</v>
      </c>
      <c r="E1787" s="16">
        <v>63</v>
      </c>
      <c r="F1787" s="17" t="s">
        <v>6</v>
      </c>
      <c r="G1787" s="17" t="s">
        <v>11</v>
      </c>
      <c r="H1787" s="3" t="s">
        <v>723</v>
      </c>
      <c r="I1787" s="5" t="s">
        <v>434</v>
      </c>
      <c r="J1787" s="16">
        <f>_xlfn.XLOOKUP(CustomerCombinedCleaned[[#This Row],[ID]], Table4[ID], Table4[Recency], "Not Found", 0)</f>
        <v>93</v>
      </c>
      <c r="K1787" s="16">
        <f>_xlfn.XLOOKUP(CustomerCombinedCleaned[[#This Row],[ID]], Table4[ID], Table4[Teas], "Not Found", 0)</f>
        <v>2065</v>
      </c>
      <c r="L1787" s="16">
        <f>_xlfn.XLOOKUP(CustomerCombinedCleaned[[#This Row],[ID]], Table4[ID], Table4[Fruits], "Not Found", 0)</f>
        <v>23</v>
      </c>
      <c r="M1787" s="16">
        <f>_xlfn.XLOOKUP(CustomerCombinedCleaned[[#This Row],[ID]], Table4[ID], Table4[Meats], "Not Found", 0)</f>
        <v>286</v>
      </c>
      <c r="N1787" s="16">
        <f>_xlfn.XLOOKUP(CustomerCombinedCleaned[[#This Row],[ID]], Table4[ID], Table4[Seafood], "Not Found", 0)</f>
        <v>32</v>
      </c>
      <c r="O1787" s="16">
        <f>_xlfn.XLOOKUP(CustomerCombinedCleaned[[#This Row],[ID]], Table4[ID], Table4[Sweets], "Not Found", 0)</f>
        <v>0</v>
      </c>
      <c r="P1787" s="16">
        <f>_xlfn.XLOOKUP(CustomerCombinedCleaned[[#This Row],[ID]], Table4[ID], Table4[Premium], "Not Found", 0)</f>
        <v>136</v>
      </c>
      <c r="Q1787" s="16">
        <f>_xlfn.XLOOKUP(CustomerCombinedCleaned[[#This Row],[ID]], Table4[ID], Table4[Regular], "Not Found", 0)</f>
        <v>2270</v>
      </c>
      <c r="R1787" s="16">
        <f>_xlfn.XLOOKUP(CustomerCombinedCleaned[[#This Row],[ID]], Table4[ID], Table4[Deals], "Not Found", 0)</f>
        <v>4</v>
      </c>
      <c r="S1787" s="16">
        <f>_xlfn.XLOOKUP(CustomerCombinedCleaned[[#This Row],[ID]], Table4[ID], Table4[Website], "Not Found", 0)</f>
        <v>10</v>
      </c>
      <c r="T1787" s="16">
        <f>_xlfn.XLOOKUP(CustomerCombinedCleaned[[#This Row],[ID]], Table4[ID], Table4[Catalog], "Not Found", 0)</f>
        <v>7</v>
      </c>
      <c r="U1787" s="16">
        <f>_xlfn.XLOOKUP(CustomerCombinedCleaned[[#This Row],[ID]], Table4[ID], Table4[Store], "Not Found", 0)</f>
        <v>5</v>
      </c>
      <c r="V1787" s="16">
        <f>_xlfn.XLOOKUP(CustomerCombinedCleaned[[#This Row],[ID]], Table4[ID], Table4[Visits], "Not Found", 0)</f>
        <v>8</v>
      </c>
      <c r="W1787" s="16">
        <f>_xlfn.XLOOKUP(CustomerCombinedCleaned[[#This Row],[ID]], Table2[ID],Table2[Complaint], "Not Found", 0 )</f>
        <v>0</v>
      </c>
      <c r="X1787" s="16">
        <f>_xlfn.XLOOKUP(CustomerCombinedCleaned[[#This Row],[ID]], Table2[ID],Table2[Pilot], "Not Found", 0 )</f>
        <v>0</v>
      </c>
      <c r="Y1787" s="16">
        <f>_xlfn.XLOOKUP(CustomerCombinedCleaned[[#This Row],[ID]], Table2[ID],Table2[MC1], "Not Found", 0 )</f>
        <v>0</v>
      </c>
      <c r="Z1787" s="16">
        <f>_xlfn.XLOOKUP(CustomerCombinedCleaned[[#This Row],[ID]], Table2[ID],Table2[MC2], "Not Found", 0 )</f>
        <v>0</v>
      </c>
      <c r="AA1787" s="16">
        <f>_xlfn.XLOOKUP(CustomerCombinedCleaned[[#This Row],[ID]], Table2[ID],Table2[MC3], "Not Found", 0 )</f>
        <v>1</v>
      </c>
      <c r="AB1787" s="16">
        <f>_xlfn.XLOOKUP(CustomerCombinedCleaned[[#This Row],[ID]], Table2[ID],Table2[MC4], "Not Found", 0 )</f>
        <v>0</v>
      </c>
      <c r="AC1787" s="16">
        <f>_xlfn.XLOOKUP(CustomerCombinedCleaned[[#This Row],[ID]], Table2[ID],Table2[MC5], "Not Found", 0 )</f>
        <v>0</v>
      </c>
    </row>
    <row r="1788" spans="1:29" x14ac:dyDescent="0.3">
      <c r="A1788" s="18">
        <v>1082</v>
      </c>
      <c r="B1788" s="16">
        <v>150388</v>
      </c>
      <c r="C1788" s="16">
        <v>0</v>
      </c>
      <c r="D1788" s="16">
        <v>1</v>
      </c>
      <c r="E1788" s="16">
        <v>63</v>
      </c>
      <c r="F1788" s="17" t="s">
        <v>7</v>
      </c>
      <c r="G1788" s="17" t="s">
        <v>11</v>
      </c>
      <c r="H1788" s="3" t="s">
        <v>537</v>
      </c>
      <c r="I1788" s="5" t="s">
        <v>438</v>
      </c>
      <c r="J1788" s="16">
        <f>_xlfn.XLOOKUP(CustomerCombinedCleaned[[#This Row],[ID]], Table4[ID], Table4[Recency], "Not Found", 0)</f>
        <v>3</v>
      </c>
      <c r="K1788" s="16">
        <f>_xlfn.XLOOKUP(CustomerCombinedCleaned[[#This Row],[ID]], Table4[ID], Table4[Teas], "Not Found", 0)</f>
        <v>872</v>
      </c>
      <c r="L1788" s="16">
        <f>_xlfn.XLOOKUP(CustomerCombinedCleaned[[#This Row],[ID]], Table4[ID], Table4[Fruits], "Not Found", 0)</f>
        <v>18</v>
      </c>
      <c r="M1788" s="16">
        <f>_xlfn.XLOOKUP(CustomerCombinedCleaned[[#This Row],[ID]], Table4[ID], Table4[Meats], "Not Found", 0)</f>
        <v>110</v>
      </c>
      <c r="N1788" s="16">
        <f>_xlfn.XLOOKUP(CustomerCombinedCleaned[[#This Row],[ID]], Table4[ID], Table4[Seafood], "Not Found", 0)</f>
        <v>0</v>
      </c>
      <c r="O1788" s="16">
        <f>_xlfn.XLOOKUP(CustomerCombinedCleaned[[#This Row],[ID]], Table4[ID], Table4[Sweets], "Not Found", 0)</f>
        <v>9</v>
      </c>
      <c r="P1788" s="16">
        <f>_xlfn.XLOOKUP(CustomerCombinedCleaned[[#This Row],[ID]], Table4[ID], Table4[Premium], "Not Found", 0)</f>
        <v>101</v>
      </c>
      <c r="Q1788" s="16">
        <f>_xlfn.XLOOKUP(CustomerCombinedCleaned[[#This Row],[ID]], Table4[ID], Table4[Regular], "Not Found", 0)</f>
        <v>907</v>
      </c>
      <c r="R1788" s="16">
        <f>_xlfn.XLOOKUP(CustomerCombinedCleaned[[#This Row],[ID]], Table4[ID], Table4[Deals], "Not Found", 0)</f>
        <v>4</v>
      </c>
      <c r="S1788" s="16">
        <f>_xlfn.XLOOKUP(CustomerCombinedCleaned[[#This Row],[ID]], Table4[ID], Table4[Website], "Not Found", 0)</f>
        <v>6</v>
      </c>
      <c r="T1788" s="16">
        <f>_xlfn.XLOOKUP(CustomerCombinedCleaned[[#This Row],[ID]], Table4[ID], Table4[Catalog], "Not Found", 0)</f>
        <v>1</v>
      </c>
      <c r="U1788" s="16">
        <f>_xlfn.XLOOKUP(CustomerCombinedCleaned[[#This Row],[ID]], Table4[ID], Table4[Store], "Not Found", 0)</f>
        <v>6</v>
      </c>
      <c r="V1788" s="16">
        <f>_xlfn.XLOOKUP(CustomerCombinedCleaned[[#This Row],[ID]], Table4[ID], Table4[Visits], "Not Found", 0)</f>
        <v>7</v>
      </c>
      <c r="W1788" s="16">
        <f>_xlfn.XLOOKUP(CustomerCombinedCleaned[[#This Row],[ID]], Table2[ID],Table2[Complaint], "Not Found", 0 )</f>
        <v>0</v>
      </c>
      <c r="X1788" s="16">
        <f>_xlfn.XLOOKUP(CustomerCombinedCleaned[[#This Row],[ID]], Table2[ID],Table2[Pilot], "Not Found", 0 )</f>
        <v>1</v>
      </c>
      <c r="Y1788" s="16">
        <f>_xlfn.XLOOKUP(CustomerCombinedCleaned[[#This Row],[ID]], Table2[ID],Table2[MC1], "Not Found", 0 )</f>
        <v>1</v>
      </c>
      <c r="Z1788" s="16">
        <f>_xlfn.XLOOKUP(CustomerCombinedCleaned[[#This Row],[ID]], Table2[ID],Table2[MC2], "Not Found", 0 )</f>
        <v>0</v>
      </c>
      <c r="AA1788" s="16">
        <f>_xlfn.XLOOKUP(CustomerCombinedCleaned[[#This Row],[ID]], Table2[ID],Table2[MC3], "Not Found", 0 )</f>
        <v>0</v>
      </c>
      <c r="AB1788" s="16">
        <f>_xlfn.XLOOKUP(CustomerCombinedCleaned[[#This Row],[ID]], Table2[ID],Table2[MC4], "Not Found", 0 )</f>
        <v>1</v>
      </c>
      <c r="AC1788" s="16">
        <f>_xlfn.XLOOKUP(CustomerCombinedCleaned[[#This Row],[ID]], Table2[ID],Table2[MC5], "Not Found", 0 )</f>
        <v>0</v>
      </c>
    </row>
    <row r="1789" spans="1:29" x14ac:dyDescent="0.3">
      <c r="A1789" s="18">
        <v>3093</v>
      </c>
      <c r="B1789" s="16">
        <v>150116</v>
      </c>
      <c r="C1789" s="16">
        <v>1</v>
      </c>
      <c r="D1789" s="16">
        <v>1</v>
      </c>
      <c r="E1789" s="16">
        <v>63</v>
      </c>
      <c r="F1789" s="17" t="s">
        <v>8</v>
      </c>
      <c r="G1789" s="17" t="s">
        <v>11</v>
      </c>
      <c r="H1789" s="3" t="s">
        <v>29</v>
      </c>
      <c r="I1789" s="5" t="s">
        <v>435</v>
      </c>
      <c r="J1789" s="16">
        <f>_xlfn.XLOOKUP(CustomerCombinedCleaned[[#This Row],[ID]], Table4[ID], Table4[Recency], "Not Found", 0)</f>
        <v>68</v>
      </c>
      <c r="K1789" s="16">
        <f>_xlfn.XLOOKUP(CustomerCombinedCleaned[[#This Row],[ID]], Table4[ID], Table4[Teas], "Not Found", 0)</f>
        <v>162</v>
      </c>
      <c r="L1789" s="16">
        <f>_xlfn.XLOOKUP(CustomerCombinedCleaned[[#This Row],[ID]], Table4[ID], Table4[Fruits], "Not Found", 0)</f>
        <v>0</v>
      </c>
      <c r="M1789" s="16">
        <f>_xlfn.XLOOKUP(CustomerCombinedCleaned[[#This Row],[ID]], Table4[ID], Table4[Meats], "Not Found", 0)</f>
        <v>30</v>
      </c>
      <c r="N1789" s="16">
        <f>_xlfn.XLOOKUP(CustomerCombinedCleaned[[#This Row],[ID]], Table4[ID], Table4[Seafood], "Not Found", 0)</f>
        <v>0</v>
      </c>
      <c r="O1789" s="16">
        <f>_xlfn.XLOOKUP(CustomerCombinedCleaned[[#This Row],[ID]], Table4[ID], Table4[Sweets], "Not Found", 0)</f>
        <v>0</v>
      </c>
      <c r="P1789" s="16">
        <f>_xlfn.XLOOKUP(CustomerCombinedCleaned[[#This Row],[ID]], Table4[ID], Table4[Premium], "Not Found", 0)</f>
        <v>6</v>
      </c>
      <c r="Q1789" s="16">
        <f>_xlfn.XLOOKUP(CustomerCombinedCleaned[[#This Row],[ID]], Table4[ID], Table4[Regular], "Not Found", 0)</f>
        <v>186</v>
      </c>
      <c r="R1789" s="16">
        <f>_xlfn.XLOOKUP(CustomerCombinedCleaned[[#This Row],[ID]], Table4[ID], Table4[Deals], "Not Found", 0)</f>
        <v>2</v>
      </c>
      <c r="S1789" s="16">
        <f>_xlfn.XLOOKUP(CustomerCombinedCleaned[[#This Row],[ID]], Table4[ID], Table4[Website], "Not Found", 0)</f>
        <v>1</v>
      </c>
      <c r="T1789" s="16">
        <f>_xlfn.XLOOKUP(CustomerCombinedCleaned[[#This Row],[ID]], Table4[ID], Table4[Catalog], "Not Found", 0)</f>
        <v>0</v>
      </c>
      <c r="U1789" s="16">
        <f>_xlfn.XLOOKUP(CustomerCombinedCleaned[[#This Row],[ID]], Table4[ID], Table4[Store], "Not Found", 0)</f>
        <v>4</v>
      </c>
      <c r="V1789" s="16">
        <f>_xlfn.XLOOKUP(CustomerCombinedCleaned[[#This Row],[ID]], Table4[ID], Table4[Visits], "Not Found", 0)</f>
        <v>5</v>
      </c>
      <c r="W1789" s="16">
        <f>_xlfn.XLOOKUP(CustomerCombinedCleaned[[#This Row],[ID]], Table2[ID],Table2[Complaint], "Not Found", 0 )</f>
        <v>0</v>
      </c>
      <c r="X1789" s="16">
        <f>_xlfn.XLOOKUP(CustomerCombinedCleaned[[#This Row],[ID]], Table2[ID],Table2[Pilot], "Not Found", 0 )</f>
        <v>0</v>
      </c>
      <c r="Y1789" s="16">
        <f>_xlfn.XLOOKUP(CustomerCombinedCleaned[[#This Row],[ID]], Table2[ID],Table2[MC1], "Not Found", 0 )</f>
        <v>0</v>
      </c>
      <c r="Z1789" s="16">
        <f>_xlfn.XLOOKUP(CustomerCombinedCleaned[[#This Row],[ID]], Table2[ID],Table2[MC2], "Not Found", 0 )</f>
        <v>0</v>
      </c>
      <c r="AA1789" s="16">
        <f>_xlfn.XLOOKUP(CustomerCombinedCleaned[[#This Row],[ID]], Table2[ID],Table2[MC3], "Not Found", 0 )</f>
        <v>0</v>
      </c>
      <c r="AB1789" s="16">
        <f>_xlfn.XLOOKUP(CustomerCombinedCleaned[[#This Row],[ID]], Table2[ID],Table2[MC4], "Not Found", 0 )</f>
        <v>1</v>
      </c>
      <c r="AC1789" s="16">
        <f>_xlfn.XLOOKUP(CustomerCombinedCleaned[[#This Row],[ID]], Table2[ID],Table2[MC5], "Not Found", 0 )</f>
        <v>0</v>
      </c>
    </row>
    <row r="1790" spans="1:29" x14ac:dyDescent="0.3">
      <c r="A1790" s="18">
        <v>2812</v>
      </c>
      <c r="B1790" s="16">
        <v>147743</v>
      </c>
      <c r="C1790" s="16">
        <v>0</v>
      </c>
      <c r="D1790" s="16">
        <v>1</v>
      </c>
      <c r="E1790" s="16">
        <v>63</v>
      </c>
      <c r="F1790" s="17" t="s">
        <v>6</v>
      </c>
      <c r="G1790" s="17" t="s">
        <v>11</v>
      </c>
      <c r="H1790" s="3" t="s">
        <v>286</v>
      </c>
      <c r="I1790" s="5" t="s">
        <v>439</v>
      </c>
      <c r="J1790" s="16">
        <f>_xlfn.XLOOKUP(CustomerCombinedCleaned[[#This Row],[ID]], Table4[ID], Table4[Recency], "Not Found", 0)</f>
        <v>56</v>
      </c>
      <c r="K1790" s="16">
        <f>_xlfn.XLOOKUP(CustomerCombinedCleaned[[#This Row],[ID]], Table4[ID], Table4[Teas], "Not Found", 0)</f>
        <v>613</v>
      </c>
      <c r="L1790" s="16">
        <f>_xlfn.XLOOKUP(CustomerCombinedCleaned[[#This Row],[ID]], Table4[ID], Table4[Fruits], "Not Found", 0)</f>
        <v>6</v>
      </c>
      <c r="M1790" s="16">
        <f>_xlfn.XLOOKUP(CustomerCombinedCleaned[[#This Row],[ID]], Table4[ID], Table4[Meats], "Not Found", 0)</f>
        <v>133</v>
      </c>
      <c r="N1790" s="16">
        <f>_xlfn.XLOOKUP(CustomerCombinedCleaned[[#This Row],[ID]], Table4[ID], Table4[Seafood], "Not Found", 0)</f>
        <v>0</v>
      </c>
      <c r="O1790" s="16">
        <f>_xlfn.XLOOKUP(CustomerCombinedCleaned[[#This Row],[ID]], Table4[ID], Table4[Sweets], "Not Found", 0)</f>
        <v>37</v>
      </c>
      <c r="P1790" s="16">
        <f>_xlfn.XLOOKUP(CustomerCombinedCleaned[[#This Row],[ID]], Table4[ID], Table4[Premium], "Not Found", 0)</f>
        <v>62</v>
      </c>
      <c r="Q1790" s="16">
        <f>_xlfn.XLOOKUP(CustomerCombinedCleaned[[#This Row],[ID]], Table4[ID], Table4[Regular], "Not Found", 0)</f>
        <v>727</v>
      </c>
      <c r="R1790" s="16">
        <f>_xlfn.XLOOKUP(CustomerCombinedCleaned[[#This Row],[ID]], Table4[ID], Table4[Deals], "Not Found", 0)</f>
        <v>3</v>
      </c>
      <c r="S1790" s="16">
        <f>_xlfn.XLOOKUP(CustomerCombinedCleaned[[#This Row],[ID]], Table4[ID], Table4[Website], "Not Found", 0)</f>
        <v>4</v>
      </c>
      <c r="T1790" s="16">
        <f>_xlfn.XLOOKUP(CustomerCombinedCleaned[[#This Row],[ID]], Table4[ID], Table4[Catalog], "Not Found", 0)</f>
        <v>1</v>
      </c>
      <c r="U1790" s="16">
        <f>_xlfn.XLOOKUP(CustomerCombinedCleaned[[#This Row],[ID]], Table4[ID], Table4[Store], "Not Found", 0)</f>
        <v>6</v>
      </c>
      <c r="V1790" s="16">
        <f>_xlfn.XLOOKUP(CustomerCombinedCleaned[[#This Row],[ID]], Table4[ID], Table4[Visits], "Not Found", 0)</f>
        <v>6</v>
      </c>
      <c r="W1790" s="16">
        <f>_xlfn.XLOOKUP(CustomerCombinedCleaned[[#This Row],[ID]], Table2[ID],Table2[Complaint], "Not Found", 0 )</f>
        <v>0</v>
      </c>
      <c r="X1790" s="16">
        <f>_xlfn.XLOOKUP(CustomerCombinedCleaned[[#This Row],[ID]], Table2[ID],Table2[Pilot], "Not Found", 0 )</f>
        <v>0</v>
      </c>
      <c r="Y1790" s="16">
        <f>_xlfn.XLOOKUP(CustomerCombinedCleaned[[#This Row],[ID]], Table2[ID],Table2[MC1], "Not Found", 0 )</f>
        <v>0</v>
      </c>
      <c r="Z1790" s="16">
        <f>_xlfn.XLOOKUP(CustomerCombinedCleaned[[#This Row],[ID]], Table2[ID],Table2[MC2], "Not Found", 0 )</f>
        <v>0</v>
      </c>
      <c r="AA1790" s="16">
        <f>_xlfn.XLOOKUP(CustomerCombinedCleaned[[#This Row],[ID]], Table2[ID],Table2[MC3], "Not Found", 0 )</f>
        <v>0</v>
      </c>
      <c r="AB1790" s="16">
        <f>_xlfn.XLOOKUP(CustomerCombinedCleaned[[#This Row],[ID]], Table2[ID],Table2[MC4], "Not Found", 0 )</f>
        <v>1</v>
      </c>
      <c r="AC1790" s="16">
        <f>_xlfn.XLOOKUP(CustomerCombinedCleaned[[#This Row],[ID]], Table2[ID],Table2[MC5], "Not Found", 0 )</f>
        <v>0</v>
      </c>
    </row>
    <row r="1791" spans="1:29" x14ac:dyDescent="0.3">
      <c r="A1791" s="18">
        <v>3130</v>
      </c>
      <c r="B1791" s="16">
        <v>147320</v>
      </c>
      <c r="C1791" s="16">
        <v>0</v>
      </c>
      <c r="D1791" s="16">
        <v>1</v>
      </c>
      <c r="E1791" s="16">
        <v>63</v>
      </c>
      <c r="F1791" s="17" t="s">
        <v>8</v>
      </c>
      <c r="G1791" s="17" t="s">
        <v>11</v>
      </c>
      <c r="H1791" s="3" t="s">
        <v>698</v>
      </c>
      <c r="I1791" s="5" t="s">
        <v>439</v>
      </c>
      <c r="J1791" s="16">
        <f>_xlfn.XLOOKUP(CustomerCombinedCleaned[[#This Row],[ID]], Table4[ID], Table4[Recency], "Not Found", 0)</f>
        <v>10</v>
      </c>
      <c r="K1791" s="16">
        <f>_xlfn.XLOOKUP(CustomerCombinedCleaned[[#This Row],[ID]], Table4[ID], Table4[Teas], "Not Found", 0)</f>
        <v>623</v>
      </c>
      <c r="L1791" s="16">
        <f>_xlfn.XLOOKUP(CustomerCombinedCleaned[[#This Row],[ID]], Table4[ID], Table4[Fruits], "Not Found", 0)</f>
        <v>59</v>
      </c>
      <c r="M1791" s="16">
        <f>_xlfn.XLOOKUP(CustomerCombinedCleaned[[#This Row],[ID]], Table4[ID], Table4[Meats], "Not Found", 0)</f>
        <v>346</v>
      </c>
      <c r="N1791" s="16">
        <f>_xlfn.XLOOKUP(CustomerCombinedCleaned[[#This Row],[ID]], Table4[ID], Table4[Seafood], "Not Found", 0)</f>
        <v>156</v>
      </c>
      <c r="O1791" s="16">
        <f>_xlfn.XLOOKUP(CustomerCombinedCleaned[[#This Row],[ID]], Table4[ID], Table4[Sweets], "Not Found", 0)</f>
        <v>47</v>
      </c>
      <c r="P1791" s="16">
        <f>_xlfn.XLOOKUP(CustomerCombinedCleaned[[#This Row],[ID]], Table4[ID], Table4[Premium], "Not Found", 0)</f>
        <v>59</v>
      </c>
      <c r="Q1791" s="16">
        <f>_xlfn.XLOOKUP(CustomerCombinedCleaned[[#This Row],[ID]], Table4[ID], Table4[Regular], "Not Found", 0)</f>
        <v>1171</v>
      </c>
      <c r="R1791" s="16">
        <f>_xlfn.XLOOKUP(CustomerCombinedCleaned[[#This Row],[ID]], Table4[ID], Table4[Deals], "Not Found", 0)</f>
        <v>6</v>
      </c>
      <c r="S1791" s="16">
        <f>_xlfn.XLOOKUP(CustomerCombinedCleaned[[#This Row],[ID]], Table4[ID], Table4[Website], "Not Found", 0)</f>
        <v>5</v>
      </c>
      <c r="T1791" s="16">
        <f>_xlfn.XLOOKUP(CustomerCombinedCleaned[[#This Row],[ID]], Table4[ID], Table4[Catalog], "Not Found", 0)</f>
        <v>1</v>
      </c>
      <c r="U1791" s="16">
        <f>_xlfn.XLOOKUP(CustomerCombinedCleaned[[#This Row],[ID]], Table4[ID], Table4[Store], "Not Found", 0)</f>
        <v>8</v>
      </c>
      <c r="V1791" s="16">
        <f>_xlfn.XLOOKUP(CustomerCombinedCleaned[[#This Row],[ID]], Table4[ID], Table4[Visits], "Not Found", 0)</f>
        <v>6</v>
      </c>
      <c r="W1791" s="16">
        <f>_xlfn.XLOOKUP(CustomerCombinedCleaned[[#This Row],[ID]], Table2[ID],Table2[Complaint], "Not Found", 0 )</f>
        <v>0</v>
      </c>
      <c r="X1791" s="16">
        <f>_xlfn.XLOOKUP(CustomerCombinedCleaned[[#This Row],[ID]], Table2[ID],Table2[Pilot], "Not Found", 0 )</f>
        <v>0</v>
      </c>
      <c r="Y1791" s="16">
        <f>_xlfn.XLOOKUP(CustomerCombinedCleaned[[#This Row],[ID]], Table2[ID],Table2[MC1], "Not Found", 0 )</f>
        <v>0</v>
      </c>
      <c r="Z1791" s="16">
        <f>_xlfn.XLOOKUP(CustomerCombinedCleaned[[#This Row],[ID]], Table2[ID],Table2[MC2], "Not Found", 0 )</f>
        <v>0</v>
      </c>
      <c r="AA1791" s="16">
        <f>_xlfn.XLOOKUP(CustomerCombinedCleaned[[#This Row],[ID]], Table2[ID],Table2[MC3], "Not Found", 0 )</f>
        <v>0</v>
      </c>
      <c r="AB1791" s="16">
        <f>_xlfn.XLOOKUP(CustomerCombinedCleaned[[#This Row],[ID]], Table2[ID],Table2[MC4], "Not Found", 0 )</f>
        <v>0</v>
      </c>
      <c r="AC1791" s="16">
        <f>_xlfn.XLOOKUP(CustomerCombinedCleaned[[#This Row],[ID]], Table2[ID],Table2[MC5], "Not Found", 0 )</f>
        <v>0</v>
      </c>
    </row>
    <row r="1792" spans="1:29" x14ac:dyDescent="0.3">
      <c r="A1792" s="18">
        <v>2861</v>
      </c>
      <c r="B1792" s="16">
        <v>144155</v>
      </c>
      <c r="C1792" s="16">
        <v>1</v>
      </c>
      <c r="D1792" s="16">
        <v>1</v>
      </c>
      <c r="E1792" s="16">
        <v>63</v>
      </c>
      <c r="F1792" s="17" t="s">
        <v>6</v>
      </c>
      <c r="G1792" s="17" t="s">
        <v>13</v>
      </c>
      <c r="H1792" s="3" t="s">
        <v>112</v>
      </c>
      <c r="I1792" s="5" t="s">
        <v>434</v>
      </c>
      <c r="J1792" s="16">
        <f>_xlfn.XLOOKUP(CustomerCombinedCleaned[[#This Row],[ID]], Table4[ID], Table4[Recency], "Not Found", 0)</f>
        <v>24</v>
      </c>
      <c r="K1792" s="16">
        <f>_xlfn.XLOOKUP(CustomerCombinedCleaned[[#This Row],[ID]], Table4[ID], Table4[Teas], "Not Found", 0)</f>
        <v>72</v>
      </c>
      <c r="L1792" s="16">
        <f>_xlfn.XLOOKUP(CustomerCombinedCleaned[[#This Row],[ID]], Table4[ID], Table4[Fruits], "Not Found", 0)</f>
        <v>3</v>
      </c>
      <c r="M1792" s="16">
        <f>_xlfn.XLOOKUP(CustomerCombinedCleaned[[#This Row],[ID]], Table4[ID], Table4[Meats], "Not Found", 0)</f>
        <v>29</v>
      </c>
      <c r="N1792" s="16">
        <f>_xlfn.XLOOKUP(CustomerCombinedCleaned[[#This Row],[ID]], Table4[ID], Table4[Seafood], "Not Found", 0)</f>
        <v>0</v>
      </c>
      <c r="O1792" s="16">
        <f>_xlfn.XLOOKUP(CustomerCombinedCleaned[[#This Row],[ID]], Table4[ID], Table4[Sweets], "Not Found", 0)</f>
        <v>0</v>
      </c>
      <c r="P1792" s="16">
        <f>_xlfn.XLOOKUP(CustomerCombinedCleaned[[#This Row],[ID]], Table4[ID], Table4[Premium], "Not Found", 0)</f>
        <v>46</v>
      </c>
      <c r="Q1792" s="16">
        <f>_xlfn.XLOOKUP(CustomerCombinedCleaned[[#This Row],[ID]], Table4[ID], Table4[Regular], "Not Found", 0)</f>
        <v>59</v>
      </c>
      <c r="R1792" s="16">
        <f>_xlfn.XLOOKUP(CustomerCombinedCleaned[[#This Row],[ID]], Table4[ID], Table4[Deals], "Not Found", 0)</f>
        <v>1</v>
      </c>
      <c r="S1792" s="16">
        <f>_xlfn.XLOOKUP(CustomerCombinedCleaned[[#This Row],[ID]], Table4[ID], Table4[Website], "Not Found", 0)</f>
        <v>1</v>
      </c>
      <c r="T1792" s="16">
        <f>_xlfn.XLOOKUP(CustomerCombinedCleaned[[#This Row],[ID]], Table4[ID], Table4[Catalog], "Not Found", 0)</f>
        <v>1</v>
      </c>
      <c r="U1792" s="16">
        <f>_xlfn.XLOOKUP(CustomerCombinedCleaned[[#This Row],[ID]], Table4[ID], Table4[Store], "Not Found", 0)</f>
        <v>2</v>
      </c>
      <c r="V1792" s="16">
        <f>_xlfn.XLOOKUP(CustomerCombinedCleaned[[#This Row],[ID]], Table4[ID], Table4[Visits], "Not Found", 0)</f>
        <v>4</v>
      </c>
      <c r="W1792" s="16">
        <f>_xlfn.XLOOKUP(CustomerCombinedCleaned[[#This Row],[ID]], Table2[ID],Table2[Complaint], "Not Found", 0 )</f>
        <v>0</v>
      </c>
      <c r="X1792" s="16">
        <f>_xlfn.XLOOKUP(CustomerCombinedCleaned[[#This Row],[ID]], Table2[ID],Table2[Pilot], "Not Found", 0 )</f>
        <v>0</v>
      </c>
      <c r="Y1792" s="16">
        <f>_xlfn.XLOOKUP(CustomerCombinedCleaned[[#This Row],[ID]], Table2[ID],Table2[MC1], "Not Found", 0 )</f>
        <v>0</v>
      </c>
      <c r="Z1792" s="16">
        <f>_xlfn.XLOOKUP(CustomerCombinedCleaned[[#This Row],[ID]], Table2[ID],Table2[MC2], "Not Found", 0 )</f>
        <v>0</v>
      </c>
      <c r="AA1792" s="16">
        <f>_xlfn.XLOOKUP(CustomerCombinedCleaned[[#This Row],[ID]], Table2[ID],Table2[MC3], "Not Found", 0 )</f>
        <v>0</v>
      </c>
      <c r="AB1792" s="16">
        <f>_xlfn.XLOOKUP(CustomerCombinedCleaned[[#This Row],[ID]], Table2[ID],Table2[MC4], "Not Found", 0 )</f>
        <v>0</v>
      </c>
      <c r="AC1792" s="16">
        <f>_xlfn.XLOOKUP(CustomerCombinedCleaned[[#This Row],[ID]], Table2[ID],Table2[MC5], "Not Found", 0 )</f>
        <v>0</v>
      </c>
    </row>
    <row r="1793" spans="1:29" x14ac:dyDescent="0.3">
      <c r="A1793" s="18">
        <v>2162</v>
      </c>
      <c r="B1793" s="16">
        <v>143140</v>
      </c>
      <c r="C1793" s="16">
        <v>0</v>
      </c>
      <c r="D1793" s="16">
        <v>1</v>
      </c>
      <c r="E1793" s="16">
        <v>63</v>
      </c>
      <c r="F1793" s="17" t="s">
        <v>6</v>
      </c>
      <c r="G1793" s="17" t="s">
        <v>11</v>
      </c>
      <c r="H1793" s="3" t="s">
        <v>591</v>
      </c>
      <c r="I1793" s="5" t="s">
        <v>438</v>
      </c>
      <c r="J1793" s="16">
        <f>_xlfn.XLOOKUP(CustomerCombinedCleaned[[#This Row],[ID]], Table4[ID], Table4[Recency], "Not Found", 0)</f>
        <v>68</v>
      </c>
      <c r="K1793" s="16">
        <f>_xlfn.XLOOKUP(CustomerCombinedCleaned[[#This Row],[ID]], Table4[ID], Table4[Teas], "Not Found", 0)</f>
        <v>445</v>
      </c>
      <c r="L1793" s="16">
        <f>_xlfn.XLOOKUP(CustomerCombinedCleaned[[#This Row],[ID]], Table4[ID], Table4[Fruits], "Not Found", 0)</f>
        <v>27</v>
      </c>
      <c r="M1793" s="16">
        <f>_xlfn.XLOOKUP(CustomerCombinedCleaned[[#This Row],[ID]], Table4[ID], Table4[Meats], "Not Found", 0)</f>
        <v>252</v>
      </c>
      <c r="N1793" s="16">
        <f>_xlfn.XLOOKUP(CustomerCombinedCleaned[[#This Row],[ID]], Table4[ID], Table4[Seafood], "Not Found", 0)</f>
        <v>20</v>
      </c>
      <c r="O1793" s="16">
        <f>_xlfn.XLOOKUP(CustomerCombinedCleaned[[#This Row],[ID]], Table4[ID], Table4[Sweets], "Not Found", 0)</f>
        <v>0</v>
      </c>
      <c r="P1793" s="16">
        <f>_xlfn.XLOOKUP(CustomerCombinedCleaned[[#This Row],[ID]], Table4[ID], Table4[Premium], "Not Found", 0)</f>
        <v>36</v>
      </c>
      <c r="Q1793" s="16">
        <f>_xlfn.XLOOKUP(CustomerCombinedCleaned[[#This Row],[ID]], Table4[ID], Table4[Regular], "Not Found", 0)</f>
        <v>707</v>
      </c>
      <c r="R1793" s="16">
        <f>_xlfn.XLOOKUP(CustomerCombinedCleaned[[#This Row],[ID]], Table4[ID], Table4[Deals], "Not Found", 0)</f>
        <v>1</v>
      </c>
      <c r="S1793" s="16">
        <f>_xlfn.XLOOKUP(CustomerCombinedCleaned[[#This Row],[ID]], Table4[ID], Table4[Website], "Not Found", 0)</f>
        <v>4</v>
      </c>
      <c r="T1793" s="16">
        <f>_xlfn.XLOOKUP(CustomerCombinedCleaned[[#This Row],[ID]], Table4[ID], Table4[Catalog], "Not Found", 0)</f>
        <v>1</v>
      </c>
      <c r="U1793" s="16">
        <f>_xlfn.XLOOKUP(CustomerCombinedCleaned[[#This Row],[ID]], Table4[ID], Table4[Store], "Not Found", 0)</f>
        <v>5</v>
      </c>
      <c r="V1793" s="16">
        <f>_xlfn.XLOOKUP(CustomerCombinedCleaned[[#This Row],[ID]], Table4[ID], Table4[Visits], "Not Found", 0)</f>
        <v>6</v>
      </c>
      <c r="W1793" s="16">
        <f>_xlfn.XLOOKUP(CustomerCombinedCleaned[[#This Row],[ID]], Table2[ID],Table2[Complaint], "Not Found", 0 )</f>
        <v>0</v>
      </c>
      <c r="X1793" s="16">
        <f>_xlfn.XLOOKUP(CustomerCombinedCleaned[[#This Row],[ID]], Table2[ID],Table2[Pilot], "Not Found", 0 )</f>
        <v>0</v>
      </c>
      <c r="Y1793" s="16">
        <f>_xlfn.XLOOKUP(CustomerCombinedCleaned[[#This Row],[ID]], Table2[ID],Table2[MC1], "Not Found", 0 )</f>
        <v>0</v>
      </c>
      <c r="Z1793" s="16">
        <f>_xlfn.XLOOKUP(CustomerCombinedCleaned[[#This Row],[ID]], Table2[ID],Table2[MC2], "Not Found", 0 )</f>
        <v>0</v>
      </c>
      <c r="AA1793" s="16">
        <f>_xlfn.XLOOKUP(CustomerCombinedCleaned[[#This Row],[ID]], Table2[ID],Table2[MC3], "Not Found", 0 )</f>
        <v>0</v>
      </c>
      <c r="AB1793" s="16">
        <f>_xlfn.XLOOKUP(CustomerCombinedCleaned[[#This Row],[ID]], Table2[ID],Table2[MC4], "Not Found", 0 )</f>
        <v>0</v>
      </c>
      <c r="AC1793" s="16">
        <f>_xlfn.XLOOKUP(CustomerCombinedCleaned[[#This Row],[ID]], Table2[ID],Table2[MC5], "Not Found", 0 )</f>
        <v>0</v>
      </c>
    </row>
    <row r="1794" spans="1:29" x14ac:dyDescent="0.3">
      <c r="A1794" s="18">
        <v>2191</v>
      </c>
      <c r="B1794" s="16">
        <v>142213</v>
      </c>
      <c r="C1794" s="16">
        <v>0</v>
      </c>
      <c r="D1794" s="16">
        <v>1</v>
      </c>
      <c r="E1794" s="16">
        <v>63</v>
      </c>
      <c r="F1794" s="17" t="s">
        <v>8</v>
      </c>
      <c r="G1794" s="17" t="s">
        <v>11</v>
      </c>
      <c r="H1794" s="3" t="s">
        <v>170</v>
      </c>
      <c r="I1794" s="5" t="s">
        <v>437</v>
      </c>
      <c r="J1794" s="16">
        <f>_xlfn.XLOOKUP(CustomerCombinedCleaned[[#This Row],[ID]], Table4[ID], Table4[Recency], "Not Found", 0)</f>
        <v>96</v>
      </c>
      <c r="K1794" s="16">
        <f>_xlfn.XLOOKUP(CustomerCombinedCleaned[[#This Row],[ID]], Table4[ID], Table4[Teas], "Not Found", 0)</f>
        <v>1041</v>
      </c>
      <c r="L1794" s="16">
        <f>_xlfn.XLOOKUP(CustomerCombinedCleaned[[#This Row],[ID]], Table4[ID], Table4[Fruits], "Not Found", 0)</f>
        <v>10</v>
      </c>
      <c r="M1794" s="16">
        <f>_xlfn.XLOOKUP(CustomerCombinedCleaned[[#This Row],[ID]], Table4[ID], Table4[Meats], "Not Found", 0)</f>
        <v>81</v>
      </c>
      <c r="N1794" s="16">
        <f>_xlfn.XLOOKUP(CustomerCombinedCleaned[[#This Row],[ID]], Table4[ID], Table4[Seafood], "Not Found", 0)</f>
        <v>13</v>
      </c>
      <c r="O1794" s="16">
        <f>_xlfn.XLOOKUP(CustomerCombinedCleaned[[#This Row],[ID]], Table4[ID], Table4[Sweets], "Not Found", 0)</f>
        <v>10</v>
      </c>
      <c r="P1794" s="16">
        <f>_xlfn.XLOOKUP(CustomerCombinedCleaned[[#This Row],[ID]], Table4[ID], Table4[Premium], "Not Found", 0)</f>
        <v>67</v>
      </c>
      <c r="Q1794" s="16">
        <f>_xlfn.XLOOKUP(CustomerCombinedCleaned[[#This Row],[ID]], Table4[ID], Table4[Regular], "Not Found", 0)</f>
        <v>1088</v>
      </c>
      <c r="R1794" s="16">
        <f>_xlfn.XLOOKUP(CustomerCombinedCleaned[[#This Row],[ID]], Table4[ID], Table4[Deals], "Not Found", 0)</f>
        <v>2</v>
      </c>
      <c r="S1794" s="16">
        <f>_xlfn.XLOOKUP(CustomerCombinedCleaned[[#This Row],[ID]], Table4[ID], Table4[Website], "Not Found", 0)</f>
        <v>5</v>
      </c>
      <c r="T1794" s="16">
        <f>_xlfn.XLOOKUP(CustomerCombinedCleaned[[#This Row],[ID]], Table4[ID], Table4[Catalog], "Not Found", 0)</f>
        <v>1</v>
      </c>
      <c r="U1794" s="16">
        <f>_xlfn.XLOOKUP(CustomerCombinedCleaned[[#This Row],[ID]], Table4[ID], Table4[Store], "Not Found", 0)</f>
        <v>7</v>
      </c>
      <c r="V1794" s="16">
        <f>_xlfn.XLOOKUP(CustomerCombinedCleaned[[#This Row],[ID]], Table4[ID], Table4[Visits], "Not Found", 0)</f>
        <v>7</v>
      </c>
      <c r="W1794" s="16">
        <f>_xlfn.XLOOKUP(CustomerCombinedCleaned[[#This Row],[ID]], Table2[ID],Table2[Complaint], "Not Found", 0 )</f>
        <v>0</v>
      </c>
      <c r="X1794" s="16">
        <f>_xlfn.XLOOKUP(CustomerCombinedCleaned[[#This Row],[ID]], Table2[ID],Table2[Pilot], "Not Found", 0 )</f>
        <v>0</v>
      </c>
      <c r="Y1794" s="16">
        <f>_xlfn.XLOOKUP(CustomerCombinedCleaned[[#This Row],[ID]], Table2[ID],Table2[MC1], "Not Found", 0 )</f>
        <v>0</v>
      </c>
      <c r="Z1794" s="16">
        <f>_xlfn.XLOOKUP(CustomerCombinedCleaned[[#This Row],[ID]], Table2[ID],Table2[MC2], "Not Found", 0 )</f>
        <v>0</v>
      </c>
      <c r="AA1794" s="16">
        <f>_xlfn.XLOOKUP(CustomerCombinedCleaned[[#This Row],[ID]], Table2[ID],Table2[MC3], "Not Found", 0 )</f>
        <v>0</v>
      </c>
      <c r="AB1794" s="16">
        <f>_xlfn.XLOOKUP(CustomerCombinedCleaned[[#This Row],[ID]], Table2[ID],Table2[MC4], "Not Found", 0 )</f>
        <v>1</v>
      </c>
      <c r="AC1794" s="16">
        <f>_xlfn.XLOOKUP(CustomerCombinedCleaned[[#This Row],[ID]], Table2[ID],Table2[MC5], "Not Found", 0 )</f>
        <v>0</v>
      </c>
    </row>
    <row r="1795" spans="1:29" x14ac:dyDescent="0.3">
      <c r="A1795" s="18">
        <v>2673</v>
      </c>
      <c r="B1795" s="16">
        <v>141437</v>
      </c>
      <c r="C1795" s="16">
        <v>1</v>
      </c>
      <c r="D1795" s="16">
        <v>1</v>
      </c>
      <c r="E1795" s="16">
        <v>63</v>
      </c>
      <c r="F1795" s="17" t="s">
        <v>5</v>
      </c>
      <c r="G1795" s="17" t="s">
        <v>13</v>
      </c>
      <c r="H1795" s="3" t="s">
        <v>389</v>
      </c>
      <c r="I1795" s="5" t="s">
        <v>435</v>
      </c>
      <c r="J1795" s="16">
        <f>_xlfn.XLOOKUP(CustomerCombinedCleaned[[#This Row],[ID]], Table4[ID], Table4[Recency], "Not Found", 0)</f>
        <v>5</v>
      </c>
      <c r="K1795" s="16">
        <f>_xlfn.XLOOKUP(CustomerCombinedCleaned[[#This Row],[ID]], Table4[ID], Table4[Teas], "Not Found", 0)</f>
        <v>99</v>
      </c>
      <c r="L1795" s="16">
        <f>_xlfn.XLOOKUP(CustomerCombinedCleaned[[#This Row],[ID]], Table4[ID], Table4[Fruits], "Not Found", 0)</f>
        <v>0</v>
      </c>
      <c r="M1795" s="16">
        <f>_xlfn.XLOOKUP(CustomerCombinedCleaned[[#This Row],[ID]], Table4[ID], Table4[Meats], "Not Found", 0)</f>
        <v>7</v>
      </c>
      <c r="N1795" s="16">
        <f>_xlfn.XLOOKUP(CustomerCombinedCleaned[[#This Row],[ID]], Table4[ID], Table4[Seafood], "Not Found", 0)</f>
        <v>0</v>
      </c>
      <c r="O1795" s="16">
        <f>_xlfn.XLOOKUP(CustomerCombinedCleaned[[#This Row],[ID]], Table4[ID], Table4[Sweets], "Not Found", 0)</f>
        <v>0</v>
      </c>
      <c r="P1795" s="16">
        <f>_xlfn.XLOOKUP(CustomerCombinedCleaned[[#This Row],[ID]], Table4[ID], Table4[Premium], "Not Found", 0)</f>
        <v>3</v>
      </c>
      <c r="Q1795" s="16">
        <f>_xlfn.XLOOKUP(CustomerCombinedCleaned[[#This Row],[ID]], Table4[ID], Table4[Regular], "Not Found", 0)</f>
        <v>102</v>
      </c>
      <c r="R1795" s="16">
        <f>_xlfn.XLOOKUP(CustomerCombinedCleaned[[#This Row],[ID]], Table4[ID], Table4[Deals], "Not Found", 0)</f>
        <v>1</v>
      </c>
      <c r="S1795" s="16">
        <f>_xlfn.XLOOKUP(CustomerCombinedCleaned[[#This Row],[ID]], Table4[ID], Table4[Website], "Not Found", 0)</f>
        <v>1</v>
      </c>
      <c r="T1795" s="16">
        <f>_xlfn.XLOOKUP(CustomerCombinedCleaned[[#This Row],[ID]], Table4[ID], Table4[Catalog], "Not Found", 0)</f>
        <v>0</v>
      </c>
      <c r="U1795" s="16">
        <f>_xlfn.XLOOKUP(CustomerCombinedCleaned[[#This Row],[ID]], Table4[ID], Table4[Store], "Not Found", 0)</f>
        <v>3</v>
      </c>
      <c r="V1795" s="16">
        <f>_xlfn.XLOOKUP(CustomerCombinedCleaned[[#This Row],[ID]], Table4[ID], Table4[Visits], "Not Found", 0)</f>
        <v>7</v>
      </c>
      <c r="W1795" s="16">
        <f>_xlfn.XLOOKUP(CustomerCombinedCleaned[[#This Row],[ID]], Table2[ID],Table2[Complaint], "Not Found", 0 )</f>
        <v>0</v>
      </c>
      <c r="X1795" s="16">
        <f>_xlfn.XLOOKUP(CustomerCombinedCleaned[[#This Row],[ID]], Table2[ID],Table2[Pilot], "Not Found", 0 )</f>
        <v>0</v>
      </c>
      <c r="Y1795" s="16">
        <f>_xlfn.XLOOKUP(CustomerCombinedCleaned[[#This Row],[ID]], Table2[ID],Table2[MC1], "Not Found", 0 )</f>
        <v>0</v>
      </c>
      <c r="Z1795" s="16">
        <f>_xlfn.XLOOKUP(CustomerCombinedCleaned[[#This Row],[ID]], Table2[ID],Table2[MC2], "Not Found", 0 )</f>
        <v>0</v>
      </c>
      <c r="AA1795" s="16">
        <f>_xlfn.XLOOKUP(CustomerCombinedCleaned[[#This Row],[ID]], Table2[ID],Table2[MC3], "Not Found", 0 )</f>
        <v>0</v>
      </c>
      <c r="AB1795" s="16">
        <f>_xlfn.XLOOKUP(CustomerCombinedCleaned[[#This Row],[ID]], Table2[ID],Table2[MC4], "Not Found", 0 )</f>
        <v>0</v>
      </c>
      <c r="AC1795" s="16">
        <f>_xlfn.XLOOKUP(CustomerCombinedCleaned[[#This Row],[ID]], Table2[ID],Table2[MC5], "Not Found", 0 )</f>
        <v>0</v>
      </c>
    </row>
    <row r="1796" spans="1:29" x14ac:dyDescent="0.3">
      <c r="A1796" s="18">
        <v>1246</v>
      </c>
      <c r="B1796" s="16">
        <v>140737</v>
      </c>
      <c r="C1796" s="16">
        <v>2</v>
      </c>
      <c r="D1796" s="16">
        <v>1</v>
      </c>
      <c r="E1796" s="16">
        <v>63</v>
      </c>
      <c r="F1796" s="17" t="s">
        <v>7</v>
      </c>
      <c r="G1796" s="17" t="s">
        <v>13</v>
      </c>
      <c r="H1796" s="3" t="s">
        <v>140</v>
      </c>
      <c r="I1796" s="5" t="s">
        <v>439</v>
      </c>
      <c r="J1796" s="16">
        <f>_xlfn.XLOOKUP(CustomerCombinedCleaned[[#This Row],[ID]], Table4[ID], Table4[Recency], "Not Found", 0)</f>
        <v>24</v>
      </c>
      <c r="K1796" s="16">
        <f>_xlfn.XLOOKUP(CustomerCombinedCleaned[[#This Row],[ID]], Table4[ID], Table4[Teas], "Not Found", 0)</f>
        <v>38</v>
      </c>
      <c r="L1796" s="16">
        <f>_xlfn.XLOOKUP(CustomerCombinedCleaned[[#This Row],[ID]], Table4[ID], Table4[Fruits], "Not Found", 0)</f>
        <v>0</v>
      </c>
      <c r="M1796" s="16">
        <f>_xlfn.XLOOKUP(CustomerCombinedCleaned[[#This Row],[ID]], Table4[ID], Table4[Meats], "Not Found", 0)</f>
        <v>14</v>
      </c>
      <c r="N1796" s="16">
        <f>_xlfn.XLOOKUP(CustomerCombinedCleaned[[#This Row],[ID]], Table4[ID], Table4[Seafood], "Not Found", 0)</f>
        <v>0</v>
      </c>
      <c r="O1796" s="16">
        <f>_xlfn.XLOOKUP(CustomerCombinedCleaned[[#This Row],[ID]], Table4[ID], Table4[Sweets], "Not Found", 0)</f>
        <v>0</v>
      </c>
      <c r="P1796" s="16">
        <f>_xlfn.XLOOKUP(CustomerCombinedCleaned[[#This Row],[ID]], Table4[ID], Table4[Premium], "Not Found", 0)</f>
        <v>7</v>
      </c>
      <c r="Q1796" s="16">
        <f>_xlfn.XLOOKUP(CustomerCombinedCleaned[[#This Row],[ID]], Table4[ID], Table4[Regular], "Not Found", 0)</f>
        <v>45</v>
      </c>
      <c r="R1796" s="16">
        <f>_xlfn.XLOOKUP(CustomerCombinedCleaned[[#This Row],[ID]], Table4[ID], Table4[Deals], "Not Found", 0)</f>
        <v>1</v>
      </c>
      <c r="S1796" s="16">
        <f>_xlfn.XLOOKUP(CustomerCombinedCleaned[[#This Row],[ID]], Table4[ID], Table4[Website], "Not Found", 0)</f>
        <v>1</v>
      </c>
      <c r="T1796" s="16">
        <f>_xlfn.XLOOKUP(CustomerCombinedCleaned[[#This Row],[ID]], Table4[ID], Table4[Catalog], "Not Found", 0)</f>
        <v>0</v>
      </c>
      <c r="U1796" s="16">
        <f>_xlfn.XLOOKUP(CustomerCombinedCleaned[[#This Row],[ID]], Table4[ID], Table4[Store], "Not Found", 0)</f>
        <v>2</v>
      </c>
      <c r="V1796" s="16">
        <f>_xlfn.XLOOKUP(CustomerCombinedCleaned[[#This Row],[ID]], Table4[ID], Table4[Visits], "Not Found", 0)</f>
        <v>8</v>
      </c>
      <c r="W1796" s="16">
        <f>_xlfn.XLOOKUP(CustomerCombinedCleaned[[#This Row],[ID]], Table2[ID],Table2[Complaint], "Not Found", 0 )</f>
        <v>0</v>
      </c>
      <c r="X1796" s="16">
        <f>_xlfn.XLOOKUP(CustomerCombinedCleaned[[#This Row],[ID]], Table2[ID],Table2[Pilot], "Not Found", 0 )</f>
        <v>0</v>
      </c>
      <c r="Y1796" s="16">
        <f>_xlfn.XLOOKUP(CustomerCombinedCleaned[[#This Row],[ID]], Table2[ID],Table2[MC1], "Not Found", 0 )</f>
        <v>0</v>
      </c>
      <c r="Z1796" s="16">
        <f>_xlfn.XLOOKUP(CustomerCombinedCleaned[[#This Row],[ID]], Table2[ID],Table2[MC2], "Not Found", 0 )</f>
        <v>0</v>
      </c>
      <c r="AA1796" s="16">
        <f>_xlfn.XLOOKUP(CustomerCombinedCleaned[[#This Row],[ID]], Table2[ID],Table2[MC3], "Not Found", 0 )</f>
        <v>0</v>
      </c>
      <c r="AB1796" s="16">
        <f>_xlfn.XLOOKUP(CustomerCombinedCleaned[[#This Row],[ID]], Table2[ID],Table2[MC4], "Not Found", 0 )</f>
        <v>0</v>
      </c>
      <c r="AC1796" s="16">
        <f>_xlfn.XLOOKUP(CustomerCombinedCleaned[[#This Row],[ID]], Table2[ID],Table2[MC5], "Not Found", 0 )</f>
        <v>0</v>
      </c>
    </row>
    <row r="1797" spans="1:29" x14ac:dyDescent="0.3">
      <c r="A1797" s="18">
        <v>2189</v>
      </c>
      <c r="B1797" s="16">
        <v>140451</v>
      </c>
      <c r="C1797" s="16">
        <v>0</v>
      </c>
      <c r="D1797" s="16">
        <v>2</v>
      </c>
      <c r="E1797" s="16">
        <v>63</v>
      </c>
      <c r="F1797" s="17" t="s">
        <v>8</v>
      </c>
      <c r="G1797" s="17" t="s">
        <v>13</v>
      </c>
      <c r="H1797" s="3" t="s">
        <v>97</v>
      </c>
      <c r="I1797" s="5" t="s">
        <v>434</v>
      </c>
      <c r="J1797" s="16">
        <f>_xlfn.XLOOKUP(CustomerCombinedCleaned[[#This Row],[ID]], Table4[ID], Table4[Recency], "Not Found", 0)</f>
        <v>54</v>
      </c>
      <c r="K1797" s="16">
        <f>_xlfn.XLOOKUP(CustomerCombinedCleaned[[#This Row],[ID]], Table4[ID], Table4[Teas], "Not Found", 0)</f>
        <v>122</v>
      </c>
      <c r="L1797" s="16">
        <f>_xlfn.XLOOKUP(CustomerCombinedCleaned[[#This Row],[ID]], Table4[ID], Table4[Fruits], "Not Found", 0)</f>
        <v>0</v>
      </c>
      <c r="M1797" s="16">
        <f>_xlfn.XLOOKUP(CustomerCombinedCleaned[[#This Row],[ID]], Table4[ID], Table4[Meats], "Not Found", 0)</f>
        <v>14</v>
      </c>
      <c r="N1797" s="16">
        <f>_xlfn.XLOOKUP(CustomerCombinedCleaned[[#This Row],[ID]], Table4[ID], Table4[Seafood], "Not Found", 0)</f>
        <v>0</v>
      </c>
      <c r="O1797" s="16">
        <f>_xlfn.XLOOKUP(CustomerCombinedCleaned[[#This Row],[ID]], Table4[ID], Table4[Sweets], "Not Found", 0)</f>
        <v>0</v>
      </c>
      <c r="P1797" s="16">
        <f>_xlfn.XLOOKUP(CustomerCombinedCleaned[[#This Row],[ID]], Table4[ID], Table4[Premium], "Not Found", 0)</f>
        <v>35</v>
      </c>
      <c r="Q1797" s="16">
        <f>_xlfn.XLOOKUP(CustomerCombinedCleaned[[#This Row],[ID]], Table4[ID], Table4[Regular], "Not Found", 0)</f>
        <v>101</v>
      </c>
      <c r="R1797" s="16">
        <f>_xlfn.XLOOKUP(CustomerCombinedCleaned[[#This Row],[ID]], Table4[ID], Table4[Deals], "Not Found", 0)</f>
        <v>1</v>
      </c>
      <c r="S1797" s="16">
        <f>_xlfn.XLOOKUP(CustomerCombinedCleaned[[#This Row],[ID]], Table4[ID], Table4[Website], "Not Found", 0)</f>
        <v>1</v>
      </c>
      <c r="T1797" s="16">
        <f>_xlfn.XLOOKUP(CustomerCombinedCleaned[[#This Row],[ID]], Table4[ID], Table4[Catalog], "Not Found", 0)</f>
        <v>1</v>
      </c>
      <c r="U1797" s="16">
        <f>_xlfn.XLOOKUP(CustomerCombinedCleaned[[#This Row],[ID]], Table4[ID], Table4[Store], "Not Found", 0)</f>
        <v>2</v>
      </c>
      <c r="V1797" s="16">
        <f>_xlfn.XLOOKUP(CustomerCombinedCleaned[[#This Row],[ID]], Table4[ID], Table4[Visits], "Not Found", 0)</f>
        <v>5</v>
      </c>
      <c r="W1797" s="16">
        <f>_xlfn.XLOOKUP(CustomerCombinedCleaned[[#This Row],[ID]], Table2[ID],Table2[Complaint], "Not Found", 0 )</f>
        <v>0</v>
      </c>
      <c r="X1797" s="16">
        <f>_xlfn.XLOOKUP(CustomerCombinedCleaned[[#This Row],[ID]], Table2[ID],Table2[Pilot], "Not Found", 0 )</f>
        <v>0</v>
      </c>
      <c r="Y1797" s="16">
        <f>_xlfn.XLOOKUP(CustomerCombinedCleaned[[#This Row],[ID]], Table2[ID],Table2[MC1], "Not Found", 0 )</f>
        <v>0</v>
      </c>
      <c r="Z1797" s="16">
        <f>_xlfn.XLOOKUP(CustomerCombinedCleaned[[#This Row],[ID]], Table2[ID],Table2[MC2], "Not Found", 0 )</f>
        <v>0</v>
      </c>
      <c r="AA1797" s="16">
        <f>_xlfn.XLOOKUP(CustomerCombinedCleaned[[#This Row],[ID]], Table2[ID],Table2[MC3], "Not Found", 0 )</f>
        <v>1</v>
      </c>
      <c r="AB1797" s="16">
        <f>_xlfn.XLOOKUP(CustomerCombinedCleaned[[#This Row],[ID]], Table2[ID],Table2[MC4], "Not Found", 0 )</f>
        <v>0</v>
      </c>
      <c r="AC1797" s="16">
        <f>_xlfn.XLOOKUP(CustomerCombinedCleaned[[#This Row],[ID]], Table2[ID],Table2[MC5], "Not Found", 0 )</f>
        <v>0</v>
      </c>
    </row>
    <row r="1798" spans="1:29" x14ac:dyDescent="0.3">
      <c r="A1798" s="18">
        <v>2263</v>
      </c>
      <c r="B1798" s="16">
        <v>137633</v>
      </c>
      <c r="C1798" s="16">
        <v>1</v>
      </c>
      <c r="D1798" s="16">
        <v>1</v>
      </c>
      <c r="E1798" s="16">
        <v>63</v>
      </c>
      <c r="F1798" s="17" t="s">
        <v>6</v>
      </c>
      <c r="G1798" s="17" t="s">
        <v>13</v>
      </c>
      <c r="H1798" s="3" t="s">
        <v>391</v>
      </c>
      <c r="I1798" s="5" t="s">
        <v>437</v>
      </c>
      <c r="J1798" s="16">
        <f>_xlfn.XLOOKUP(CustomerCombinedCleaned[[#This Row],[ID]], Table4[ID], Table4[Recency], "Not Found", 0)</f>
        <v>49</v>
      </c>
      <c r="K1798" s="16">
        <f>_xlfn.XLOOKUP(CustomerCombinedCleaned[[#This Row],[ID]], Table4[ID], Table4[Teas], "Not Found", 0)</f>
        <v>48</v>
      </c>
      <c r="L1798" s="16">
        <f>_xlfn.XLOOKUP(CustomerCombinedCleaned[[#This Row],[ID]], Table4[ID], Table4[Fruits], "Not Found", 0)</f>
        <v>15</v>
      </c>
      <c r="M1798" s="16">
        <f>_xlfn.XLOOKUP(CustomerCombinedCleaned[[#This Row],[ID]], Table4[ID], Table4[Meats], "Not Found", 0)</f>
        <v>73</v>
      </c>
      <c r="N1798" s="16">
        <f>_xlfn.XLOOKUP(CustomerCombinedCleaned[[#This Row],[ID]], Table4[ID], Table4[Seafood], "Not Found", 0)</f>
        <v>0</v>
      </c>
      <c r="O1798" s="16">
        <f>_xlfn.XLOOKUP(CustomerCombinedCleaned[[#This Row],[ID]], Table4[ID], Table4[Sweets], "Not Found", 0)</f>
        <v>0</v>
      </c>
      <c r="P1798" s="16">
        <f>_xlfn.XLOOKUP(CustomerCombinedCleaned[[#This Row],[ID]], Table4[ID], Table4[Premium], "Not Found", 0)</f>
        <v>4</v>
      </c>
      <c r="Q1798" s="16">
        <f>_xlfn.XLOOKUP(CustomerCombinedCleaned[[#This Row],[ID]], Table4[ID], Table4[Regular], "Not Found", 0)</f>
        <v>132</v>
      </c>
      <c r="R1798" s="16">
        <f>_xlfn.XLOOKUP(CustomerCombinedCleaned[[#This Row],[ID]], Table4[ID], Table4[Deals], "Not Found", 0)</f>
        <v>2</v>
      </c>
      <c r="S1798" s="16">
        <f>_xlfn.XLOOKUP(CustomerCombinedCleaned[[#This Row],[ID]], Table4[ID], Table4[Website], "Not Found", 0)</f>
        <v>1</v>
      </c>
      <c r="T1798" s="16">
        <f>_xlfn.XLOOKUP(CustomerCombinedCleaned[[#This Row],[ID]], Table4[ID], Table4[Catalog], "Not Found", 0)</f>
        <v>0</v>
      </c>
      <c r="U1798" s="16">
        <f>_xlfn.XLOOKUP(CustomerCombinedCleaned[[#This Row],[ID]], Table4[ID], Table4[Store], "Not Found", 0)</f>
        <v>3</v>
      </c>
      <c r="V1798" s="16">
        <f>_xlfn.XLOOKUP(CustomerCombinedCleaned[[#This Row],[ID]], Table4[ID], Table4[Visits], "Not Found", 0)</f>
        <v>9</v>
      </c>
      <c r="W1798" s="16">
        <f>_xlfn.XLOOKUP(CustomerCombinedCleaned[[#This Row],[ID]], Table2[ID],Table2[Complaint], "Not Found", 0 )</f>
        <v>0</v>
      </c>
      <c r="X1798" s="16">
        <f>_xlfn.XLOOKUP(CustomerCombinedCleaned[[#This Row],[ID]], Table2[ID],Table2[Pilot], "Not Found", 0 )</f>
        <v>0</v>
      </c>
      <c r="Y1798" s="16">
        <f>_xlfn.XLOOKUP(CustomerCombinedCleaned[[#This Row],[ID]], Table2[ID],Table2[MC1], "Not Found", 0 )</f>
        <v>0</v>
      </c>
      <c r="Z1798" s="16">
        <f>_xlfn.XLOOKUP(CustomerCombinedCleaned[[#This Row],[ID]], Table2[ID],Table2[MC2], "Not Found", 0 )</f>
        <v>0</v>
      </c>
      <c r="AA1798" s="16">
        <f>_xlfn.XLOOKUP(CustomerCombinedCleaned[[#This Row],[ID]], Table2[ID],Table2[MC3], "Not Found", 0 )</f>
        <v>0</v>
      </c>
      <c r="AB1798" s="16">
        <f>_xlfn.XLOOKUP(CustomerCombinedCleaned[[#This Row],[ID]], Table2[ID],Table2[MC4], "Not Found", 0 )</f>
        <v>0</v>
      </c>
      <c r="AC1798" s="16">
        <f>_xlfn.XLOOKUP(CustomerCombinedCleaned[[#This Row],[ID]], Table2[ID],Table2[MC5], "Not Found", 0 )</f>
        <v>0</v>
      </c>
    </row>
    <row r="1799" spans="1:29" x14ac:dyDescent="0.3">
      <c r="A1799" s="18">
        <v>2379</v>
      </c>
      <c r="B1799" s="16">
        <v>136864</v>
      </c>
      <c r="C1799" s="16">
        <v>0</v>
      </c>
      <c r="D1799" s="16">
        <v>1</v>
      </c>
      <c r="E1799" s="16">
        <v>63</v>
      </c>
      <c r="F1799" s="17" t="s">
        <v>7</v>
      </c>
      <c r="G1799" s="17" t="s">
        <v>11</v>
      </c>
      <c r="H1799" s="3" t="s">
        <v>415</v>
      </c>
      <c r="I1799" s="5" t="s">
        <v>435</v>
      </c>
      <c r="J1799" s="16">
        <f>_xlfn.XLOOKUP(CustomerCombinedCleaned[[#This Row],[ID]], Table4[ID], Table4[Recency], "Not Found", 0)</f>
        <v>53</v>
      </c>
      <c r="K1799" s="16">
        <f>_xlfn.XLOOKUP(CustomerCombinedCleaned[[#This Row],[ID]], Table4[ID], Table4[Teas], "Not Found", 0)</f>
        <v>757</v>
      </c>
      <c r="L1799" s="16">
        <f>_xlfn.XLOOKUP(CustomerCombinedCleaned[[#This Row],[ID]], Table4[ID], Table4[Fruits], "Not Found", 0)</f>
        <v>19</v>
      </c>
      <c r="M1799" s="16">
        <f>_xlfn.XLOOKUP(CustomerCombinedCleaned[[#This Row],[ID]], Table4[ID], Table4[Meats], "Not Found", 0)</f>
        <v>145</v>
      </c>
      <c r="N1799" s="16">
        <f>_xlfn.XLOOKUP(CustomerCombinedCleaned[[#This Row],[ID]], Table4[ID], Table4[Seafood], "Not Found", 0)</f>
        <v>63</v>
      </c>
      <c r="O1799" s="16">
        <f>_xlfn.XLOOKUP(CustomerCombinedCleaned[[#This Row],[ID]], Table4[ID], Table4[Sweets], "Not Found", 0)</f>
        <v>0</v>
      </c>
      <c r="P1799" s="16">
        <f>_xlfn.XLOOKUP(CustomerCombinedCleaned[[#This Row],[ID]], Table4[ID], Table4[Premium], "Not Found", 0)</f>
        <v>330</v>
      </c>
      <c r="Q1799" s="16">
        <f>_xlfn.XLOOKUP(CustomerCombinedCleaned[[#This Row],[ID]], Table4[ID], Table4[Regular], "Not Found", 0)</f>
        <v>653</v>
      </c>
      <c r="R1799" s="16">
        <f>_xlfn.XLOOKUP(CustomerCombinedCleaned[[#This Row],[ID]], Table4[ID], Table4[Deals], "Not Found", 0)</f>
        <v>3</v>
      </c>
      <c r="S1799" s="16">
        <f>_xlfn.XLOOKUP(CustomerCombinedCleaned[[#This Row],[ID]], Table4[ID], Table4[Website], "Not Found", 0)</f>
        <v>5</v>
      </c>
      <c r="T1799" s="16">
        <f>_xlfn.XLOOKUP(CustomerCombinedCleaned[[#This Row],[ID]], Table4[ID], Table4[Catalog], "Not Found", 0)</f>
        <v>2</v>
      </c>
      <c r="U1799" s="16">
        <f>_xlfn.XLOOKUP(CustomerCombinedCleaned[[#This Row],[ID]], Table4[ID], Table4[Store], "Not Found", 0)</f>
        <v>4</v>
      </c>
      <c r="V1799" s="16">
        <f>_xlfn.XLOOKUP(CustomerCombinedCleaned[[#This Row],[ID]], Table4[ID], Table4[Visits], "Not Found", 0)</f>
        <v>8</v>
      </c>
      <c r="W1799" s="16">
        <f>_xlfn.XLOOKUP(CustomerCombinedCleaned[[#This Row],[ID]], Table2[ID],Table2[Complaint], "Not Found", 0 )</f>
        <v>0</v>
      </c>
      <c r="X1799" s="16">
        <f>_xlfn.XLOOKUP(CustomerCombinedCleaned[[#This Row],[ID]], Table2[ID],Table2[Pilot], "Not Found", 0 )</f>
        <v>1</v>
      </c>
      <c r="Y1799" s="16">
        <f>_xlfn.XLOOKUP(CustomerCombinedCleaned[[#This Row],[ID]], Table2[ID],Table2[MC1], "Not Found", 0 )</f>
        <v>0</v>
      </c>
      <c r="Z1799" s="16">
        <f>_xlfn.XLOOKUP(CustomerCombinedCleaned[[#This Row],[ID]], Table2[ID],Table2[MC2], "Not Found", 0 )</f>
        <v>0</v>
      </c>
      <c r="AA1799" s="16">
        <f>_xlfn.XLOOKUP(CustomerCombinedCleaned[[#This Row],[ID]], Table2[ID],Table2[MC3], "Not Found", 0 )</f>
        <v>0</v>
      </c>
      <c r="AB1799" s="16">
        <f>_xlfn.XLOOKUP(CustomerCombinedCleaned[[#This Row],[ID]], Table2[ID],Table2[MC4], "Not Found", 0 )</f>
        <v>0</v>
      </c>
      <c r="AC1799" s="16">
        <f>_xlfn.XLOOKUP(CustomerCombinedCleaned[[#This Row],[ID]], Table2[ID],Table2[MC5], "Not Found", 0 )</f>
        <v>0</v>
      </c>
    </row>
    <row r="1800" spans="1:29" x14ac:dyDescent="0.3">
      <c r="A1800" s="18">
        <v>1158</v>
      </c>
      <c r="B1800" s="16">
        <v>126091</v>
      </c>
      <c r="C1800" s="16">
        <v>1</v>
      </c>
      <c r="D1800" s="16">
        <v>1</v>
      </c>
      <c r="E1800" s="16">
        <v>63</v>
      </c>
      <c r="F1800" s="17" t="s">
        <v>8</v>
      </c>
      <c r="G1800" s="17" t="s">
        <v>11</v>
      </c>
      <c r="H1800" s="3" t="s">
        <v>596</v>
      </c>
      <c r="I1800" s="5" t="s">
        <v>436</v>
      </c>
      <c r="J1800" s="16">
        <f>_xlfn.XLOOKUP(CustomerCombinedCleaned[[#This Row],[ID]], Table4[ID], Table4[Recency], "Not Found", 0)</f>
        <v>84</v>
      </c>
      <c r="K1800" s="16">
        <f>_xlfn.XLOOKUP(CustomerCombinedCleaned[[#This Row],[ID]], Table4[ID], Table4[Teas], "Not Found", 0)</f>
        <v>72</v>
      </c>
      <c r="L1800" s="16">
        <f>_xlfn.XLOOKUP(CustomerCombinedCleaned[[#This Row],[ID]], Table4[ID], Table4[Fruits], "Not Found", 0)</f>
        <v>48</v>
      </c>
      <c r="M1800" s="16">
        <f>_xlfn.XLOOKUP(CustomerCombinedCleaned[[#This Row],[ID]], Table4[ID], Table4[Meats], "Not Found", 0)</f>
        <v>92</v>
      </c>
      <c r="N1800" s="16">
        <f>_xlfn.XLOOKUP(CustomerCombinedCleaned[[#This Row],[ID]], Table4[ID], Table4[Seafood], "Not Found", 0)</f>
        <v>39</v>
      </c>
      <c r="O1800" s="16">
        <f>_xlfn.XLOOKUP(CustomerCombinedCleaned[[#This Row],[ID]], Table4[ID], Table4[Sweets], "Not Found", 0)</f>
        <v>82</v>
      </c>
      <c r="P1800" s="16">
        <f>_xlfn.XLOOKUP(CustomerCombinedCleaned[[#This Row],[ID]], Table4[ID], Table4[Premium], "Not Found", 0)</f>
        <v>97</v>
      </c>
      <c r="Q1800" s="16">
        <f>_xlfn.XLOOKUP(CustomerCombinedCleaned[[#This Row],[ID]], Table4[ID], Table4[Regular], "Not Found", 0)</f>
        <v>237</v>
      </c>
      <c r="R1800" s="16">
        <f>_xlfn.XLOOKUP(CustomerCombinedCleaned[[#This Row],[ID]], Table4[ID], Table4[Deals], "Not Found", 0)</f>
        <v>3</v>
      </c>
      <c r="S1800" s="16">
        <f>_xlfn.XLOOKUP(CustomerCombinedCleaned[[#This Row],[ID]], Table4[ID], Table4[Website], "Not Found", 0)</f>
        <v>2</v>
      </c>
      <c r="T1800" s="16">
        <f>_xlfn.XLOOKUP(CustomerCombinedCleaned[[#This Row],[ID]], Table4[ID], Table4[Catalog], "Not Found", 0)</f>
        <v>1</v>
      </c>
      <c r="U1800" s="16">
        <f>_xlfn.XLOOKUP(CustomerCombinedCleaned[[#This Row],[ID]], Table4[ID], Table4[Store], "Not Found", 0)</f>
        <v>3</v>
      </c>
      <c r="V1800" s="16">
        <f>_xlfn.XLOOKUP(CustomerCombinedCleaned[[#This Row],[ID]], Table4[ID], Table4[Visits], "Not Found", 0)</f>
        <v>5</v>
      </c>
      <c r="W1800" s="16">
        <f>_xlfn.XLOOKUP(CustomerCombinedCleaned[[#This Row],[ID]], Table2[ID],Table2[Complaint], "Not Found", 0 )</f>
        <v>0</v>
      </c>
      <c r="X1800" s="16">
        <f>_xlfn.XLOOKUP(CustomerCombinedCleaned[[#This Row],[ID]], Table2[ID],Table2[Pilot], "Not Found", 0 )</f>
        <v>0</v>
      </c>
      <c r="Y1800" s="16">
        <f>_xlfn.XLOOKUP(CustomerCombinedCleaned[[#This Row],[ID]], Table2[ID],Table2[MC1], "Not Found", 0 )</f>
        <v>0</v>
      </c>
      <c r="Z1800" s="16">
        <f>_xlfn.XLOOKUP(CustomerCombinedCleaned[[#This Row],[ID]], Table2[ID],Table2[MC2], "Not Found", 0 )</f>
        <v>0</v>
      </c>
      <c r="AA1800" s="16">
        <f>_xlfn.XLOOKUP(CustomerCombinedCleaned[[#This Row],[ID]], Table2[ID],Table2[MC3], "Not Found", 0 )</f>
        <v>0</v>
      </c>
      <c r="AB1800" s="16">
        <f>_xlfn.XLOOKUP(CustomerCombinedCleaned[[#This Row],[ID]], Table2[ID],Table2[MC4], "Not Found", 0 )</f>
        <v>0</v>
      </c>
      <c r="AC1800" s="16">
        <f>_xlfn.XLOOKUP(CustomerCombinedCleaned[[#This Row],[ID]], Table2[ID],Table2[MC5], "Not Found", 0 )</f>
        <v>0</v>
      </c>
    </row>
    <row r="1801" spans="1:29" x14ac:dyDescent="0.3">
      <c r="A1801" s="18">
        <v>1978</v>
      </c>
      <c r="B1801" s="16">
        <v>126091</v>
      </c>
      <c r="C1801" s="16">
        <v>1</v>
      </c>
      <c r="D1801" s="16">
        <v>1</v>
      </c>
      <c r="E1801" s="16">
        <v>63</v>
      </c>
      <c r="F1801" s="17" t="s">
        <v>8</v>
      </c>
      <c r="G1801" s="17" t="s">
        <v>11</v>
      </c>
      <c r="H1801" s="3" t="s">
        <v>596</v>
      </c>
      <c r="I1801" s="5" t="s">
        <v>439</v>
      </c>
      <c r="J1801" s="16">
        <f>_xlfn.XLOOKUP(CustomerCombinedCleaned[[#This Row],[ID]], Table4[ID], Table4[Recency], "Not Found", 0)</f>
        <v>84</v>
      </c>
      <c r="K1801" s="16">
        <f>_xlfn.XLOOKUP(CustomerCombinedCleaned[[#This Row],[ID]], Table4[ID], Table4[Teas], "Not Found", 0)</f>
        <v>72</v>
      </c>
      <c r="L1801" s="16">
        <f>_xlfn.XLOOKUP(CustomerCombinedCleaned[[#This Row],[ID]], Table4[ID], Table4[Fruits], "Not Found", 0)</f>
        <v>48</v>
      </c>
      <c r="M1801" s="16">
        <f>_xlfn.XLOOKUP(CustomerCombinedCleaned[[#This Row],[ID]], Table4[ID], Table4[Meats], "Not Found", 0)</f>
        <v>92</v>
      </c>
      <c r="N1801" s="16">
        <f>_xlfn.XLOOKUP(CustomerCombinedCleaned[[#This Row],[ID]], Table4[ID], Table4[Seafood], "Not Found", 0)</f>
        <v>39</v>
      </c>
      <c r="O1801" s="16">
        <f>_xlfn.XLOOKUP(CustomerCombinedCleaned[[#This Row],[ID]], Table4[ID], Table4[Sweets], "Not Found", 0)</f>
        <v>82</v>
      </c>
      <c r="P1801" s="16">
        <f>_xlfn.XLOOKUP(CustomerCombinedCleaned[[#This Row],[ID]], Table4[ID], Table4[Premium], "Not Found", 0)</f>
        <v>97</v>
      </c>
      <c r="Q1801" s="16">
        <f>_xlfn.XLOOKUP(CustomerCombinedCleaned[[#This Row],[ID]], Table4[ID], Table4[Regular], "Not Found", 0)</f>
        <v>237</v>
      </c>
      <c r="R1801" s="16">
        <f>_xlfn.XLOOKUP(CustomerCombinedCleaned[[#This Row],[ID]], Table4[ID], Table4[Deals], "Not Found", 0)</f>
        <v>3</v>
      </c>
      <c r="S1801" s="16">
        <f>_xlfn.XLOOKUP(CustomerCombinedCleaned[[#This Row],[ID]], Table4[ID], Table4[Website], "Not Found", 0)</f>
        <v>2</v>
      </c>
      <c r="T1801" s="16">
        <f>_xlfn.XLOOKUP(CustomerCombinedCleaned[[#This Row],[ID]], Table4[ID], Table4[Catalog], "Not Found", 0)</f>
        <v>1</v>
      </c>
      <c r="U1801" s="16">
        <f>_xlfn.XLOOKUP(CustomerCombinedCleaned[[#This Row],[ID]], Table4[ID], Table4[Store], "Not Found", 0)</f>
        <v>3</v>
      </c>
      <c r="V1801" s="16">
        <f>_xlfn.XLOOKUP(CustomerCombinedCleaned[[#This Row],[ID]], Table4[ID], Table4[Visits], "Not Found", 0)</f>
        <v>5</v>
      </c>
      <c r="W1801" s="16">
        <f>_xlfn.XLOOKUP(CustomerCombinedCleaned[[#This Row],[ID]], Table2[ID],Table2[Complaint], "Not Found", 0 )</f>
        <v>0</v>
      </c>
      <c r="X1801" s="16">
        <f>_xlfn.XLOOKUP(CustomerCombinedCleaned[[#This Row],[ID]], Table2[ID],Table2[Pilot], "Not Found", 0 )</f>
        <v>0</v>
      </c>
      <c r="Y1801" s="16">
        <f>_xlfn.XLOOKUP(CustomerCombinedCleaned[[#This Row],[ID]], Table2[ID],Table2[MC1], "Not Found", 0 )</f>
        <v>0</v>
      </c>
      <c r="Z1801" s="16">
        <f>_xlfn.XLOOKUP(CustomerCombinedCleaned[[#This Row],[ID]], Table2[ID],Table2[MC2], "Not Found", 0 )</f>
        <v>0</v>
      </c>
      <c r="AA1801" s="16">
        <f>_xlfn.XLOOKUP(CustomerCombinedCleaned[[#This Row],[ID]], Table2[ID],Table2[MC3], "Not Found", 0 )</f>
        <v>0</v>
      </c>
      <c r="AB1801" s="16">
        <f>_xlfn.XLOOKUP(CustomerCombinedCleaned[[#This Row],[ID]], Table2[ID],Table2[MC4], "Not Found", 0 )</f>
        <v>0</v>
      </c>
      <c r="AC1801" s="16">
        <f>_xlfn.XLOOKUP(CustomerCombinedCleaned[[#This Row],[ID]], Table2[ID],Table2[MC5], "Not Found", 0 )</f>
        <v>0</v>
      </c>
    </row>
    <row r="1802" spans="1:29" x14ac:dyDescent="0.3">
      <c r="A1802" s="18">
        <v>3111</v>
      </c>
      <c r="B1802" s="16">
        <v>123539</v>
      </c>
      <c r="C1802" s="16">
        <v>0</v>
      </c>
      <c r="D1802" s="16">
        <v>0</v>
      </c>
      <c r="E1802" s="16">
        <v>63</v>
      </c>
      <c r="F1802" s="17" t="s">
        <v>6</v>
      </c>
      <c r="G1802" s="17" t="s">
        <v>11</v>
      </c>
      <c r="H1802" s="3" t="s">
        <v>626</v>
      </c>
      <c r="I1802" s="5" t="s">
        <v>435</v>
      </c>
      <c r="J1802" s="16">
        <f>_xlfn.XLOOKUP(CustomerCombinedCleaned[[#This Row],[ID]], Table4[ID], Table4[Recency], "Not Found", 0)</f>
        <v>13</v>
      </c>
      <c r="K1802" s="16">
        <f>_xlfn.XLOOKUP(CustomerCombinedCleaned[[#This Row],[ID]], Table4[ID], Table4[Teas], "Not Found", 0)</f>
        <v>21</v>
      </c>
      <c r="L1802" s="16">
        <f>_xlfn.XLOOKUP(CustomerCombinedCleaned[[#This Row],[ID]], Table4[ID], Table4[Fruits], "Not Found", 0)</f>
        <v>126</v>
      </c>
      <c r="M1802" s="16">
        <f>_xlfn.XLOOKUP(CustomerCombinedCleaned[[#This Row],[ID]], Table4[ID], Table4[Meats], "Not Found", 0)</f>
        <v>58</v>
      </c>
      <c r="N1802" s="16">
        <f>_xlfn.XLOOKUP(CustomerCombinedCleaned[[#This Row],[ID]], Table4[ID], Table4[Seafood], "Not Found", 0)</f>
        <v>84</v>
      </c>
      <c r="O1802" s="16">
        <f>_xlfn.XLOOKUP(CustomerCombinedCleaned[[#This Row],[ID]], Table4[ID], Table4[Sweets], "Not Found", 0)</f>
        <v>5</v>
      </c>
      <c r="P1802" s="16">
        <f>_xlfn.XLOOKUP(CustomerCombinedCleaned[[#This Row],[ID]], Table4[ID], Table4[Premium], "Not Found", 0)</f>
        <v>131</v>
      </c>
      <c r="Q1802" s="16">
        <f>_xlfn.XLOOKUP(CustomerCombinedCleaned[[#This Row],[ID]], Table4[ID], Table4[Regular], "Not Found", 0)</f>
        <v>163</v>
      </c>
      <c r="R1802" s="16">
        <f>_xlfn.XLOOKUP(CustomerCombinedCleaned[[#This Row],[ID]], Table4[ID], Table4[Deals], "Not Found", 0)</f>
        <v>1</v>
      </c>
      <c r="S1802" s="16">
        <f>_xlfn.XLOOKUP(CustomerCombinedCleaned[[#This Row],[ID]], Table4[ID], Table4[Website], "Not Found", 0)</f>
        <v>2</v>
      </c>
      <c r="T1802" s="16">
        <f>_xlfn.XLOOKUP(CustomerCombinedCleaned[[#This Row],[ID]], Table4[ID], Table4[Catalog], "Not Found", 0)</f>
        <v>0</v>
      </c>
      <c r="U1802" s="16">
        <f>_xlfn.XLOOKUP(CustomerCombinedCleaned[[#This Row],[ID]], Table4[ID], Table4[Store], "Not Found", 0)</f>
        <v>4</v>
      </c>
      <c r="V1802" s="16">
        <f>_xlfn.XLOOKUP(CustomerCombinedCleaned[[#This Row],[ID]], Table4[ID], Table4[Visits], "Not Found", 0)</f>
        <v>6</v>
      </c>
      <c r="W1802" s="16">
        <f>_xlfn.XLOOKUP(CustomerCombinedCleaned[[#This Row],[ID]], Table2[ID],Table2[Complaint], "Not Found", 0 )</f>
        <v>0</v>
      </c>
      <c r="X1802" s="16">
        <f>_xlfn.XLOOKUP(CustomerCombinedCleaned[[#This Row],[ID]], Table2[ID],Table2[Pilot], "Not Found", 0 )</f>
        <v>0</v>
      </c>
      <c r="Y1802" s="16">
        <f>_xlfn.XLOOKUP(CustomerCombinedCleaned[[#This Row],[ID]], Table2[ID],Table2[MC1], "Not Found", 0 )</f>
        <v>0</v>
      </c>
      <c r="Z1802" s="16">
        <f>_xlfn.XLOOKUP(CustomerCombinedCleaned[[#This Row],[ID]], Table2[ID],Table2[MC2], "Not Found", 0 )</f>
        <v>0</v>
      </c>
      <c r="AA1802" s="16">
        <f>_xlfn.XLOOKUP(CustomerCombinedCleaned[[#This Row],[ID]], Table2[ID],Table2[MC3], "Not Found", 0 )</f>
        <v>0</v>
      </c>
      <c r="AB1802" s="16">
        <f>_xlfn.XLOOKUP(CustomerCombinedCleaned[[#This Row],[ID]], Table2[ID],Table2[MC4], "Not Found", 0 )</f>
        <v>0</v>
      </c>
      <c r="AC1802" s="16">
        <f>_xlfn.XLOOKUP(CustomerCombinedCleaned[[#This Row],[ID]], Table2[ID],Table2[MC5], "Not Found", 0 )</f>
        <v>0</v>
      </c>
    </row>
    <row r="1803" spans="1:29" x14ac:dyDescent="0.3">
      <c r="A1803" s="18">
        <v>1041</v>
      </c>
      <c r="B1803" s="16">
        <v>121994</v>
      </c>
      <c r="C1803" s="16">
        <v>0</v>
      </c>
      <c r="D1803" s="16">
        <v>1</v>
      </c>
      <c r="E1803" s="16">
        <v>63</v>
      </c>
      <c r="F1803" s="17" t="s">
        <v>8</v>
      </c>
      <c r="G1803" s="17" t="s">
        <v>11</v>
      </c>
      <c r="H1803" s="3" t="s">
        <v>335</v>
      </c>
      <c r="I1803" s="5" t="s">
        <v>435</v>
      </c>
      <c r="J1803" s="16">
        <f>_xlfn.XLOOKUP(CustomerCombinedCleaned[[#This Row],[ID]], Table4[ID], Table4[Recency], "Not Found", 0)</f>
        <v>4</v>
      </c>
      <c r="K1803" s="16">
        <f>_xlfn.XLOOKUP(CustomerCombinedCleaned[[#This Row],[ID]], Table4[ID], Table4[Teas], "Not Found", 0)</f>
        <v>50</v>
      </c>
      <c r="L1803" s="16">
        <f>_xlfn.XLOOKUP(CustomerCombinedCleaned[[#This Row],[ID]], Table4[ID], Table4[Fruits], "Not Found", 0)</f>
        <v>0</v>
      </c>
      <c r="M1803" s="16">
        <f>_xlfn.XLOOKUP(CustomerCombinedCleaned[[#This Row],[ID]], Table4[ID], Table4[Meats], "Not Found", 0)</f>
        <v>33</v>
      </c>
      <c r="N1803" s="16">
        <f>_xlfn.XLOOKUP(CustomerCombinedCleaned[[#This Row],[ID]], Table4[ID], Table4[Seafood], "Not Found", 0)</f>
        <v>17</v>
      </c>
      <c r="O1803" s="16">
        <f>_xlfn.XLOOKUP(CustomerCombinedCleaned[[#This Row],[ID]], Table4[ID], Table4[Sweets], "Not Found", 0)</f>
        <v>6</v>
      </c>
      <c r="P1803" s="16">
        <f>_xlfn.XLOOKUP(CustomerCombinedCleaned[[#This Row],[ID]], Table4[ID], Table4[Premium], "Not Found", 0)</f>
        <v>17</v>
      </c>
      <c r="Q1803" s="16">
        <f>_xlfn.XLOOKUP(CustomerCombinedCleaned[[#This Row],[ID]], Table4[ID], Table4[Regular], "Not Found", 0)</f>
        <v>89</v>
      </c>
      <c r="R1803" s="16">
        <f>_xlfn.XLOOKUP(CustomerCombinedCleaned[[#This Row],[ID]], Table4[ID], Table4[Deals], "Not Found", 0)</f>
        <v>1</v>
      </c>
      <c r="S1803" s="16">
        <f>_xlfn.XLOOKUP(CustomerCombinedCleaned[[#This Row],[ID]], Table4[ID], Table4[Website], "Not Found", 0)</f>
        <v>0</v>
      </c>
      <c r="T1803" s="16">
        <f>_xlfn.XLOOKUP(CustomerCombinedCleaned[[#This Row],[ID]], Table4[ID], Table4[Catalog], "Not Found", 0)</f>
        <v>0</v>
      </c>
      <c r="U1803" s="16">
        <f>_xlfn.XLOOKUP(CustomerCombinedCleaned[[#This Row],[ID]], Table4[ID], Table4[Store], "Not Found", 0)</f>
        <v>3</v>
      </c>
      <c r="V1803" s="16">
        <f>_xlfn.XLOOKUP(CustomerCombinedCleaned[[#This Row],[ID]], Table4[ID], Table4[Visits], "Not Found", 0)</f>
        <v>5</v>
      </c>
      <c r="W1803" s="16">
        <f>_xlfn.XLOOKUP(CustomerCombinedCleaned[[#This Row],[ID]], Table2[ID],Table2[Complaint], "Not Found", 0 )</f>
        <v>0</v>
      </c>
      <c r="X1803" s="16">
        <f>_xlfn.XLOOKUP(CustomerCombinedCleaned[[#This Row],[ID]], Table2[ID],Table2[Pilot], "Not Found", 0 )</f>
        <v>0</v>
      </c>
      <c r="Y1803" s="16">
        <f>_xlfn.XLOOKUP(CustomerCombinedCleaned[[#This Row],[ID]], Table2[ID],Table2[MC1], "Not Found", 0 )</f>
        <v>0</v>
      </c>
      <c r="Z1803" s="16">
        <f>_xlfn.XLOOKUP(CustomerCombinedCleaned[[#This Row],[ID]], Table2[ID],Table2[MC2], "Not Found", 0 )</f>
        <v>0</v>
      </c>
      <c r="AA1803" s="16">
        <f>_xlfn.XLOOKUP(CustomerCombinedCleaned[[#This Row],[ID]], Table2[ID],Table2[MC3], "Not Found", 0 )</f>
        <v>0</v>
      </c>
      <c r="AB1803" s="16">
        <f>_xlfn.XLOOKUP(CustomerCombinedCleaned[[#This Row],[ID]], Table2[ID],Table2[MC4], "Not Found", 0 )</f>
        <v>0</v>
      </c>
      <c r="AC1803" s="16">
        <f>_xlfn.XLOOKUP(CustomerCombinedCleaned[[#This Row],[ID]], Table2[ID],Table2[MC5], "Not Found", 0 )</f>
        <v>0</v>
      </c>
    </row>
    <row r="1804" spans="1:29" x14ac:dyDescent="0.3">
      <c r="A1804" s="18">
        <v>2960</v>
      </c>
      <c r="B1804" s="16">
        <v>121994</v>
      </c>
      <c r="C1804" s="16">
        <v>0</v>
      </c>
      <c r="D1804" s="16">
        <v>1</v>
      </c>
      <c r="E1804" s="16">
        <v>63</v>
      </c>
      <c r="F1804" s="17" t="s">
        <v>8</v>
      </c>
      <c r="G1804" s="17" t="s">
        <v>11</v>
      </c>
      <c r="H1804" s="3" t="s">
        <v>335</v>
      </c>
      <c r="I1804" s="5" t="s">
        <v>438</v>
      </c>
      <c r="J1804" s="16">
        <f>_xlfn.XLOOKUP(CustomerCombinedCleaned[[#This Row],[ID]], Table4[ID], Table4[Recency], "Not Found", 0)</f>
        <v>4</v>
      </c>
      <c r="K1804" s="16">
        <f>_xlfn.XLOOKUP(CustomerCombinedCleaned[[#This Row],[ID]], Table4[ID], Table4[Teas], "Not Found", 0)</f>
        <v>50</v>
      </c>
      <c r="L1804" s="16">
        <f>_xlfn.XLOOKUP(CustomerCombinedCleaned[[#This Row],[ID]], Table4[ID], Table4[Fruits], "Not Found", 0)</f>
        <v>0</v>
      </c>
      <c r="M1804" s="16">
        <f>_xlfn.XLOOKUP(CustomerCombinedCleaned[[#This Row],[ID]], Table4[ID], Table4[Meats], "Not Found", 0)</f>
        <v>33</v>
      </c>
      <c r="N1804" s="16">
        <f>_xlfn.XLOOKUP(CustomerCombinedCleaned[[#This Row],[ID]], Table4[ID], Table4[Seafood], "Not Found", 0)</f>
        <v>17</v>
      </c>
      <c r="O1804" s="16">
        <f>_xlfn.XLOOKUP(CustomerCombinedCleaned[[#This Row],[ID]], Table4[ID], Table4[Sweets], "Not Found", 0)</f>
        <v>6</v>
      </c>
      <c r="P1804" s="16">
        <f>_xlfn.XLOOKUP(CustomerCombinedCleaned[[#This Row],[ID]], Table4[ID], Table4[Premium], "Not Found", 0)</f>
        <v>17</v>
      </c>
      <c r="Q1804" s="16">
        <f>_xlfn.XLOOKUP(CustomerCombinedCleaned[[#This Row],[ID]], Table4[ID], Table4[Regular], "Not Found", 0)</f>
        <v>89</v>
      </c>
      <c r="R1804" s="16">
        <f>_xlfn.XLOOKUP(CustomerCombinedCleaned[[#This Row],[ID]], Table4[ID], Table4[Deals], "Not Found", 0)</f>
        <v>1</v>
      </c>
      <c r="S1804" s="16">
        <f>_xlfn.XLOOKUP(CustomerCombinedCleaned[[#This Row],[ID]], Table4[ID], Table4[Website], "Not Found", 0)</f>
        <v>0</v>
      </c>
      <c r="T1804" s="16">
        <f>_xlfn.XLOOKUP(CustomerCombinedCleaned[[#This Row],[ID]], Table4[ID], Table4[Catalog], "Not Found", 0)</f>
        <v>0</v>
      </c>
      <c r="U1804" s="16">
        <f>_xlfn.XLOOKUP(CustomerCombinedCleaned[[#This Row],[ID]], Table4[ID], Table4[Store], "Not Found", 0)</f>
        <v>3</v>
      </c>
      <c r="V1804" s="16">
        <f>_xlfn.XLOOKUP(CustomerCombinedCleaned[[#This Row],[ID]], Table4[ID], Table4[Visits], "Not Found", 0)</f>
        <v>5</v>
      </c>
      <c r="W1804" s="16">
        <f>_xlfn.XLOOKUP(CustomerCombinedCleaned[[#This Row],[ID]], Table2[ID],Table2[Complaint], "Not Found", 0 )</f>
        <v>0</v>
      </c>
      <c r="X1804" s="16">
        <f>_xlfn.XLOOKUP(CustomerCombinedCleaned[[#This Row],[ID]], Table2[ID],Table2[Pilot], "Not Found", 0 )</f>
        <v>0</v>
      </c>
      <c r="Y1804" s="16">
        <f>_xlfn.XLOOKUP(CustomerCombinedCleaned[[#This Row],[ID]], Table2[ID],Table2[MC1], "Not Found", 0 )</f>
        <v>0</v>
      </c>
      <c r="Z1804" s="16">
        <f>_xlfn.XLOOKUP(CustomerCombinedCleaned[[#This Row],[ID]], Table2[ID],Table2[MC2], "Not Found", 0 )</f>
        <v>0</v>
      </c>
      <c r="AA1804" s="16">
        <f>_xlfn.XLOOKUP(CustomerCombinedCleaned[[#This Row],[ID]], Table2[ID],Table2[MC3], "Not Found", 0 )</f>
        <v>0</v>
      </c>
      <c r="AB1804" s="16">
        <f>_xlfn.XLOOKUP(CustomerCombinedCleaned[[#This Row],[ID]], Table2[ID],Table2[MC4], "Not Found", 0 )</f>
        <v>0</v>
      </c>
      <c r="AC1804" s="16">
        <f>_xlfn.XLOOKUP(CustomerCombinedCleaned[[#This Row],[ID]], Table2[ID],Table2[MC5], "Not Found", 0 )</f>
        <v>0</v>
      </c>
    </row>
    <row r="1805" spans="1:29" x14ac:dyDescent="0.3">
      <c r="A1805" s="18">
        <v>1755</v>
      </c>
      <c r="B1805" s="16">
        <v>106835</v>
      </c>
      <c r="C1805" s="16">
        <v>0</v>
      </c>
      <c r="D1805" s="16">
        <v>1</v>
      </c>
      <c r="E1805" s="16">
        <v>63</v>
      </c>
      <c r="F1805" s="17" t="s">
        <v>8</v>
      </c>
      <c r="G1805" s="17" t="s">
        <v>13</v>
      </c>
      <c r="H1805" s="3" t="s">
        <v>350</v>
      </c>
      <c r="I1805" s="5" t="s">
        <v>435</v>
      </c>
      <c r="J1805" s="16">
        <f>_xlfn.XLOOKUP(CustomerCombinedCleaned[[#This Row],[ID]], Table4[ID], Table4[Recency], "Not Found", 0)</f>
        <v>76</v>
      </c>
      <c r="K1805" s="16">
        <f>_xlfn.XLOOKUP(CustomerCombinedCleaned[[#This Row],[ID]], Table4[ID], Table4[Teas], "Not Found", 0)</f>
        <v>1672</v>
      </c>
      <c r="L1805" s="16">
        <f>_xlfn.XLOOKUP(CustomerCombinedCleaned[[#This Row],[ID]], Table4[ID], Table4[Fruits], "Not Found", 0)</f>
        <v>31</v>
      </c>
      <c r="M1805" s="16">
        <f>_xlfn.XLOOKUP(CustomerCombinedCleaned[[#This Row],[ID]], Table4[ID], Table4[Meats], "Not Found", 0)</f>
        <v>188</v>
      </c>
      <c r="N1805" s="16">
        <f>_xlfn.XLOOKUP(CustomerCombinedCleaned[[#This Row],[ID]], Table4[ID], Table4[Seafood], "Not Found", 0)</f>
        <v>31</v>
      </c>
      <c r="O1805" s="16">
        <f>_xlfn.XLOOKUP(CustomerCombinedCleaned[[#This Row],[ID]], Table4[ID], Table4[Sweets], "Not Found", 0)</f>
        <v>31</v>
      </c>
      <c r="P1805" s="16">
        <f>_xlfn.XLOOKUP(CustomerCombinedCleaned[[#This Row],[ID]], Table4[ID], Table4[Premium], "Not Found", 0)</f>
        <v>188</v>
      </c>
      <c r="Q1805" s="16">
        <f>_xlfn.XLOOKUP(CustomerCombinedCleaned[[#This Row],[ID]], Table4[ID], Table4[Regular], "Not Found", 0)</f>
        <v>1766</v>
      </c>
      <c r="R1805" s="16">
        <f>_xlfn.XLOOKUP(CustomerCombinedCleaned[[#This Row],[ID]], Table4[ID], Table4[Deals], "Not Found", 0)</f>
        <v>0</v>
      </c>
      <c r="S1805" s="16">
        <f>_xlfn.XLOOKUP(CustomerCombinedCleaned[[#This Row],[ID]], Table4[ID], Table4[Website], "Not Found", 0)</f>
        <v>0</v>
      </c>
      <c r="T1805" s="16">
        <f>_xlfn.XLOOKUP(CustomerCombinedCleaned[[#This Row],[ID]], Table4[ID], Table4[Catalog], "Not Found", 0)</f>
        <v>0</v>
      </c>
      <c r="U1805" s="16">
        <f>_xlfn.XLOOKUP(CustomerCombinedCleaned[[#This Row],[ID]], Table4[ID], Table4[Store], "Not Found", 0)</f>
        <v>1</v>
      </c>
      <c r="V1805" s="16">
        <f>_xlfn.XLOOKUP(CustomerCombinedCleaned[[#This Row],[ID]], Table4[ID], Table4[Visits], "Not Found", 0)</f>
        <v>20</v>
      </c>
      <c r="W1805" s="16">
        <f>_xlfn.XLOOKUP(CustomerCombinedCleaned[[#This Row],[ID]], Table2[ID],Table2[Complaint], "Not Found", 0 )</f>
        <v>0</v>
      </c>
      <c r="X1805" s="16">
        <f>_xlfn.XLOOKUP(CustomerCombinedCleaned[[#This Row],[ID]], Table2[ID],Table2[Pilot], "Not Found", 0 )</f>
        <v>0</v>
      </c>
      <c r="Y1805" s="16">
        <f>_xlfn.XLOOKUP(CustomerCombinedCleaned[[#This Row],[ID]], Table2[ID],Table2[MC1], "Not Found", 0 )</f>
        <v>0</v>
      </c>
      <c r="Z1805" s="16">
        <f>_xlfn.XLOOKUP(CustomerCombinedCleaned[[#This Row],[ID]], Table2[ID],Table2[MC2], "Not Found", 0 )</f>
        <v>0</v>
      </c>
      <c r="AA1805" s="16">
        <f>_xlfn.XLOOKUP(CustomerCombinedCleaned[[#This Row],[ID]], Table2[ID],Table2[MC3], "Not Found", 0 )</f>
        <v>0</v>
      </c>
      <c r="AB1805" s="16">
        <f>_xlfn.XLOOKUP(CustomerCombinedCleaned[[#This Row],[ID]], Table2[ID],Table2[MC4], "Not Found", 0 )</f>
        <v>0</v>
      </c>
      <c r="AC1805" s="16">
        <f>_xlfn.XLOOKUP(CustomerCombinedCleaned[[#This Row],[ID]], Table2[ID],Table2[MC5], "Not Found", 0 )</f>
        <v>0</v>
      </c>
    </row>
    <row r="1806" spans="1:29" x14ac:dyDescent="0.3">
      <c r="A1806" s="18">
        <v>2897</v>
      </c>
      <c r="B1806" s="16">
        <v>191249</v>
      </c>
      <c r="C1806" s="16">
        <v>0</v>
      </c>
      <c r="D1806" s="16">
        <v>0</v>
      </c>
      <c r="E1806" s="16">
        <v>64</v>
      </c>
      <c r="F1806" s="17" t="s">
        <v>7</v>
      </c>
      <c r="G1806" s="17" t="s">
        <v>11</v>
      </c>
      <c r="H1806" s="3" t="s">
        <v>374</v>
      </c>
      <c r="I1806" s="5" t="s">
        <v>434</v>
      </c>
      <c r="J1806" s="16">
        <f>_xlfn.XLOOKUP(CustomerCombinedCleaned[[#This Row],[ID]], Table4[ID], Table4[Recency], "Not Found", 0)</f>
        <v>84</v>
      </c>
      <c r="K1806" s="16">
        <f>_xlfn.XLOOKUP(CustomerCombinedCleaned[[#This Row],[ID]], Table4[ID], Table4[Teas], "Not Found", 0)</f>
        <v>2775</v>
      </c>
      <c r="L1806" s="16">
        <f>_xlfn.XLOOKUP(CustomerCombinedCleaned[[#This Row],[ID]], Table4[ID], Table4[Fruits], "Not Found", 0)</f>
        <v>57</v>
      </c>
      <c r="M1806" s="16">
        <f>_xlfn.XLOOKUP(CustomerCombinedCleaned[[#This Row],[ID]], Table4[ID], Table4[Meats], "Not Found", 0)</f>
        <v>249</v>
      </c>
      <c r="N1806" s="16">
        <f>_xlfn.XLOOKUP(CustomerCombinedCleaned[[#This Row],[ID]], Table4[ID], Table4[Seafood], "Not Found", 0)</f>
        <v>149</v>
      </c>
      <c r="O1806" s="16">
        <f>_xlfn.XLOOKUP(CustomerCombinedCleaned[[#This Row],[ID]], Table4[ID], Table4[Sweets], "Not Found", 0)</f>
        <v>226</v>
      </c>
      <c r="P1806" s="16">
        <f>_xlfn.XLOOKUP(CustomerCombinedCleaned[[#This Row],[ID]], Table4[ID], Table4[Premium], "Not Found", 0)</f>
        <v>57</v>
      </c>
      <c r="Q1806" s="16">
        <f>_xlfn.XLOOKUP(CustomerCombinedCleaned[[#This Row],[ID]], Table4[ID], Table4[Regular], "Not Found", 0)</f>
        <v>3400</v>
      </c>
      <c r="R1806" s="16">
        <f>_xlfn.XLOOKUP(CustomerCombinedCleaned[[#This Row],[ID]], Table4[ID], Table4[Deals], "Not Found", 0)</f>
        <v>0</v>
      </c>
      <c r="S1806" s="16">
        <f>_xlfn.XLOOKUP(CustomerCombinedCleaned[[#This Row],[ID]], Table4[ID], Table4[Website], "Not Found", 0)</f>
        <v>7</v>
      </c>
      <c r="T1806" s="16">
        <f>_xlfn.XLOOKUP(CustomerCombinedCleaned[[#This Row],[ID]], Table4[ID], Table4[Catalog], "Not Found", 0)</f>
        <v>9</v>
      </c>
      <c r="U1806" s="16">
        <f>_xlfn.XLOOKUP(CustomerCombinedCleaned[[#This Row],[ID]], Table4[ID], Table4[Store], "Not Found", 0)</f>
        <v>6</v>
      </c>
      <c r="V1806" s="16">
        <f>_xlfn.XLOOKUP(CustomerCombinedCleaned[[#This Row],[ID]], Table4[ID], Table4[Visits], "Not Found", 0)</f>
        <v>4</v>
      </c>
      <c r="W1806" s="16">
        <f>_xlfn.XLOOKUP(CustomerCombinedCleaned[[#This Row],[ID]], Table2[ID],Table2[Complaint], "Not Found", 0 )</f>
        <v>0</v>
      </c>
      <c r="X1806" s="16">
        <f>_xlfn.XLOOKUP(CustomerCombinedCleaned[[#This Row],[ID]], Table2[ID],Table2[Pilot], "Not Found", 0 )</f>
        <v>1</v>
      </c>
      <c r="Y1806" s="16">
        <f>_xlfn.XLOOKUP(CustomerCombinedCleaned[[#This Row],[ID]], Table2[ID],Table2[MC1], "Not Found", 0 )</f>
        <v>1</v>
      </c>
      <c r="Z1806" s="16">
        <f>_xlfn.XLOOKUP(CustomerCombinedCleaned[[#This Row],[ID]], Table2[ID],Table2[MC2], "Not Found", 0 )</f>
        <v>1</v>
      </c>
      <c r="AA1806" s="16">
        <f>_xlfn.XLOOKUP(CustomerCombinedCleaned[[#This Row],[ID]], Table2[ID],Table2[MC3], "Not Found", 0 )</f>
        <v>0</v>
      </c>
      <c r="AB1806" s="16">
        <f>_xlfn.XLOOKUP(CustomerCombinedCleaned[[#This Row],[ID]], Table2[ID],Table2[MC4], "Not Found", 0 )</f>
        <v>1</v>
      </c>
      <c r="AC1806" s="16">
        <f>_xlfn.XLOOKUP(CustomerCombinedCleaned[[#This Row],[ID]], Table2[ID],Table2[MC5], "Not Found", 0 )</f>
        <v>1</v>
      </c>
    </row>
    <row r="1807" spans="1:29" x14ac:dyDescent="0.3">
      <c r="A1807" s="18">
        <v>2783</v>
      </c>
      <c r="B1807" s="16">
        <v>190369</v>
      </c>
      <c r="C1807" s="16">
        <v>0</v>
      </c>
      <c r="D1807" s="16">
        <v>0</v>
      </c>
      <c r="E1807" s="16">
        <v>64</v>
      </c>
      <c r="F1807" s="17" t="s">
        <v>6</v>
      </c>
      <c r="G1807" s="17" t="s">
        <v>11</v>
      </c>
      <c r="H1807" s="3" t="s">
        <v>550</v>
      </c>
      <c r="I1807" s="5" t="s">
        <v>434</v>
      </c>
      <c r="J1807" s="16">
        <f>_xlfn.XLOOKUP(CustomerCombinedCleaned[[#This Row],[ID]], Table4[ID], Table4[Recency], "Not Found", 0)</f>
        <v>2</v>
      </c>
      <c r="K1807" s="16">
        <f>_xlfn.XLOOKUP(CustomerCombinedCleaned[[#This Row],[ID]], Table4[ID], Table4[Teas], "Not Found", 0)</f>
        <v>615</v>
      </c>
      <c r="L1807" s="16">
        <f>_xlfn.XLOOKUP(CustomerCombinedCleaned[[#This Row],[ID]], Table4[ID], Table4[Fruits], "Not Found", 0)</f>
        <v>107</v>
      </c>
      <c r="M1807" s="16">
        <f>_xlfn.XLOOKUP(CustomerCombinedCleaned[[#This Row],[ID]], Table4[ID], Table4[Meats], "Not Found", 0)</f>
        <v>2067</v>
      </c>
      <c r="N1807" s="16">
        <f>_xlfn.XLOOKUP(CustomerCombinedCleaned[[#This Row],[ID]], Table4[ID], Table4[Seafood], "Not Found", 0)</f>
        <v>472</v>
      </c>
      <c r="O1807" s="16">
        <f>_xlfn.XLOOKUP(CustomerCombinedCleaned[[#This Row],[ID]], Table4[ID], Table4[Sweets], "Not Found", 0)</f>
        <v>48</v>
      </c>
      <c r="P1807" s="16">
        <f>_xlfn.XLOOKUP(CustomerCombinedCleaned[[#This Row],[ID]], Table4[ID], Table4[Premium], "Not Found", 0)</f>
        <v>36</v>
      </c>
      <c r="Q1807" s="16">
        <f>_xlfn.XLOOKUP(CustomerCombinedCleaned[[#This Row],[ID]], Table4[ID], Table4[Regular], "Not Found", 0)</f>
        <v>3274</v>
      </c>
      <c r="R1807" s="16">
        <f>_xlfn.XLOOKUP(CustomerCombinedCleaned[[#This Row],[ID]], Table4[ID], Table4[Deals], "Not Found", 0)</f>
        <v>1</v>
      </c>
      <c r="S1807" s="16">
        <f>_xlfn.XLOOKUP(CustomerCombinedCleaned[[#This Row],[ID]], Table4[ID], Table4[Website], "Not Found", 0)</f>
        <v>4</v>
      </c>
      <c r="T1807" s="16">
        <f>_xlfn.XLOOKUP(CustomerCombinedCleaned[[#This Row],[ID]], Table4[ID], Table4[Catalog], "Not Found", 0)</f>
        <v>6</v>
      </c>
      <c r="U1807" s="16">
        <f>_xlfn.XLOOKUP(CustomerCombinedCleaned[[#This Row],[ID]], Table4[ID], Table4[Store], "Not Found", 0)</f>
        <v>6</v>
      </c>
      <c r="V1807" s="16">
        <f>_xlfn.XLOOKUP(CustomerCombinedCleaned[[#This Row],[ID]], Table4[ID], Table4[Visits], "Not Found", 0)</f>
        <v>1</v>
      </c>
      <c r="W1807" s="16">
        <f>_xlfn.XLOOKUP(CustomerCombinedCleaned[[#This Row],[ID]], Table2[ID],Table2[Complaint], "Not Found", 0 )</f>
        <v>0</v>
      </c>
      <c r="X1807" s="16">
        <f>_xlfn.XLOOKUP(CustomerCombinedCleaned[[#This Row],[ID]], Table2[ID],Table2[Pilot], "Not Found", 0 )</f>
        <v>1</v>
      </c>
      <c r="Y1807" s="16">
        <f>_xlfn.XLOOKUP(CustomerCombinedCleaned[[#This Row],[ID]], Table2[ID],Table2[MC1], "Not Found", 0 )</f>
        <v>0</v>
      </c>
      <c r="Z1807" s="16">
        <f>_xlfn.XLOOKUP(CustomerCombinedCleaned[[#This Row],[ID]], Table2[ID],Table2[MC2], "Not Found", 0 )</f>
        <v>0</v>
      </c>
      <c r="AA1807" s="16">
        <f>_xlfn.XLOOKUP(CustomerCombinedCleaned[[#This Row],[ID]], Table2[ID],Table2[MC3], "Not Found", 0 )</f>
        <v>0</v>
      </c>
      <c r="AB1807" s="16">
        <f>_xlfn.XLOOKUP(CustomerCombinedCleaned[[#This Row],[ID]], Table2[ID],Table2[MC4], "Not Found", 0 )</f>
        <v>0</v>
      </c>
      <c r="AC1807" s="16">
        <f>_xlfn.XLOOKUP(CustomerCombinedCleaned[[#This Row],[ID]], Table2[ID],Table2[MC5], "Not Found", 0 )</f>
        <v>0</v>
      </c>
    </row>
    <row r="1808" spans="1:29" x14ac:dyDescent="0.3">
      <c r="A1808" s="18">
        <v>2577</v>
      </c>
      <c r="B1808" s="16">
        <v>190226</v>
      </c>
      <c r="C1808" s="16">
        <v>0</v>
      </c>
      <c r="D1808" s="16">
        <v>0</v>
      </c>
      <c r="E1808" s="16">
        <v>64</v>
      </c>
      <c r="F1808" s="17" t="s">
        <v>6</v>
      </c>
      <c r="G1808" s="17" t="s">
        <v>12</v>
      </c>
      <c r="H1808" s="3" t="s">
        <v>553</v>
      </c>
      <c r="I1808" s="5" t="s">
        <v>435</v>
      </c>
      <c r="J1808" s="16">
        <f>_xlfn.XLOOKUP(CustomerCombinedCleaned[[#This Row],[ID]], Table4[ID], Table4[Recency], "Not Found", 0)</f>
        <v>26</v>
      </c>
      <c r="K1808" s="16">
        <f>_xlfn.XLOOKUP(CustomerCombinedCleaned[[#This Row],[ID]], Table4[ID], Table4[Teas], "Not Found", 0)</f>
        <v>2283</v>
      </c>
      <c r="L1808" s="16">
        <f>_xlfn.XLOOKUP(CustomerCombinedCleaned[[#This Row],[ID]], Table4[ID], Table4[Fruits], "Not Found", 0)</f>
        <v>228</v>
      </c>
      <c r="M1808" s="16">
        <f>_xlfn.XLOOKUP(CustomerCombinedCleaned[[#This Row],[ID]], Table4[ID], Table4[Meats], "Not Found", 0)</f>
        <v>1368</v>
      </c>
      <c r="N1808" s="16">
        <f>_xlfn.XLOOKUP(CustomerCombinedCleaned[[#This Row],[ID]], Table4[ID], Table4[Seafood], "Not Found", 0)</f>
        <v>533</v>
      </c>
      <c r="O1808" s="16">
        <f>_xlfn.XLOOKUP(CustomerCombinedCleaned[[#This Row],[ID]], Table4[ID], Table4[Sweets], "Not Found", 0)</f>
        <v>318</v>
      </c>
      <c r="P1808" s="16">
        <f>_xlfn.XLOOKUP(CustomerCombinedCleaned[[#This Row],[ID]], Table4[ID], Table4[Premium], "Not Found", 0)</f>
        <v>228</v>
      </c>
      <c r="Q1808" s="16">
        <f>_xlfn.XLOOKUP(CustomerCombinedCleaned[[#This Row],[ID]], Table4[ID], Table4[Regular], "Not Found", 0)</f>
        <v>4503</v>
      </c>
      <c r="R1808" s="16">
        <f>_xlfn.XLOOKUP(CustomerCombinedCleaned[[#This Row],[ID]], Table4[ID], Table4[Deals], "Not Found", 0)</f>
        <v>1</v>
      </c>
      <c r="S1808" s="16">
        <f>_xlfn.XLOOKUP(CustomerCombinedCleaned[[#This Row],[ID]], Table4[ID], Table4[Website], "Not Found", 0)</f>
        <v>4</v>
      </c>
      <c r="T1808" s="16">
        <f>_xlfn.XLOOKUP(CustomerCombinedCleaned[[#This Row],[ID]], Table4[ID], Table4[Catalog], "Not Found", 0)</f>
        <v>7</v>
      </c>
      <c r="U1808" s="16">
        <f>_xlfn.XLOOKUP(CustomerCombinedCleaned[[#This Row],[ID]], Table4[ID], Table4[Store], "Not Found", 0)</f>
        <v>12</v>
      </c>
      <c r="V1808" s="16">
        <f>_xlfn.XLOOKUP(CustomerCombinedCleaned[[#This Row],[ID]], Table4[ID], Table4[Visits], "Not Found", 0)</f>
        <v>2</v>
      </c>
      <c r="W1808" s="16">
        <f>_xlfn.XLOOKUP(CustomerCombinedCleaned[[#This Row],[ID]], Table2[ID],Table2[Complaint], "Not Found", 0 )</f>
        <v>0</v>
      </c>
      <c r="X1808" s="16">
        <f>_xlfn.XLOOKUP(CustomerCombinedCleaned[[#This Row],[ID]], Table2[ID],Table2[Pilot], "Not Found", 0 )</f>
        <v>0</v>
      </c>
      <c r="Y1808" s="16">
        <f>_xlfn.XLOOKUP(CustomerCombinedCleaned[[#This Row],[ID]], Table2[ID],Table2[MC1], "Not Found", 0 )</f>
        <v>1</v>
      </c>
      <c r="Z1808" s="16">
        <f>_xlfn.XLOOKUP(CustomerCombinedCleaned[[#This Row],[ID]], Table2[ID],Table2[MC2], "Not Found", 0 )</f>
        <v>0</v>
      </c>
      <c r="AA1808" s="16">
        <f>_xlfn.XLOOKUP(CustomerCombinedCleaned[[#This Row],[ID]], Table2[ID],Table2[MC3], "Not Found", 0 )</f>
        <v>0</v>
      </c>
      <c r="AB1808" s="16">
        <f>_xlfn.XLOOKUP(CustomerCombinedCleaned[[#This Row],[ID]], Table2[ID],Table2[MC4], "Not Found", 0 )</f>
        <v>0</v>
      </c>
      <c r="AC1808" s="16">
        <f>_xlfn.XLOOKUP(CustomerCombinedCleaned[[#This Row],[ID]], Table2[ID],Table2[MC5], "Not Found", 0 )</f>
        <v>0</v>
      </c>
    </row>
    <row r="1809" spans="1:29" x14ac:dyDescent="0.3">
      <c r="A1809" s="18">
        <v>1859</v>
      </c>
      <c r="B1809" s="16">
        <v>186424</v>
      </c>
      <c r="C1809" s="16">
        <v>0</v>
      </c>
      <c r="D1809" s="16">
        <v>0</v>
      </c>
      <c r="E1809" s="16">
        <v>64</v>
      </c>
      <c r="F1809" s="17" t="s">
        <v>7</v>
      </c>
      <c r="G1809" s="17" t="s">
        <v>12</v>
      </c>
      <c r="H1809" s="3" t="s">
        <v>563</v>
      </c>
      <c r="I1809" s="5" t="s">
        <v>434</v>
      </c>
      <c r="J1809" s="16">
        <f>_xlfn.XLOOKUP(CustomerCombinedCleaned[[#This Row],[ID]], Table4[ID], Table4[Recency], "Not Found", 0)</f>
        <v>12</v>
      </c>
      <c r="K1809" s="16">
        <f>_xlfn.XLOOKUP(CustomerCombinedCleaned[[#This Row],[ID]], Table4[ID], Table4[Teas], "Not Found", 0)</f>
        <v>835</v>
      </c>
      <c r="L1809" s="16">
        <f>_xlfn.XLOOKUP(CustomerCombinedCleaned[[#This Row],[ID]], Table4[ID], Table4[Fruits], "Not Found", 0)</f>
        <v>147</v>
      </c>
      <c r="M1809" s="16">
        <f>_xlfn.XLOOKUP(CustomerCombinedCleaned[[#This Row],[ID]], Table4[ID], Table4[Meats], "Not Found", 0)</f>
        <v>1227</v>
      </c>
      <c r="N1809" s="16">
        <f>_xlfn.XLOOKUP(CustomerCombinedCleaned[[#This Row],[ID]], Table4[ID], Table4[Seafood], "Not Found", 0)</f>
        <v>192</v>
      </c>
      <c r="O1809" s="16">
        <f>_xlfn.XLOOKUP(CustomerCombinedCleaned[[#This Row],[ID]], Table4[ID], Table4[Sweets], "Not Found", 0)</f>
        <v>97</v>
      </c>
      <c r="P1809" s="16">
        <f>_xlfn.XLOOKUP(CustomerCombinedCleaned[[#This Row],[ID]], Table4[ID], Table4[Premium], "Not Found", 0)</f>
        <v>147</v>
      </c>
      <c r="Q1809" s="16">
        <f>_xlfn.XLOOKUP(CustomerCombinedCleaned[[#This Row],[ID]], Table4[ID], Table4[Regular], "Not Found", 0)</f>
        <v>2351</v>
      </c>
      <c r="R1809" s="16">
        <f>_xlfn.XLOOKUP(CustomerCombinedCleaned[[#This Row],[ID]], Table4[ID], Table4[Deals], "Not Found", 0)</f>
        <v>1</v>
      </c>
      <c r="S1809" s="16">
        <f>_xlfn.XLOOKUP(CustomerCombinedCleaned[[#This Row],[ID]], Table4[ID], Table4[Website], "Not Found", 0)</f>
        <v>6</v>
      </c>
      <c r="T1809" s="16">
        <f>_xlfn.XLOOKUP(CustomerCombinedCleaned[[#This Row],[ID]], Table4[ID], Table4[Catalog], "Not Found", 0)</f>
        <v>9</v>
      </c>
      <c r="U1809" s="16">
        <f>_xlfn.XLOOKUP(CustomerCombinedCleaned[[#This Row],[ID]], Table4[ID], Table4[Store], "Not Found", 0)</f>
        <v>12</v>
      </c>
      <c r="V1809" s="16">
        <f>_xlfn.XLOOKUP(CustomerCombinedCleaned[[#This Row],[ID]], Table4[ID], Table4[Visits], "Not Found", 0)</f>
        <v>1</v>
      </c>
      <c r="W1809" s="16">
        <f>_xlfn.XLOOKUP(CustomerCombinedCleaned[[#This Row],[ID]], Table2[ID],Table2[Complaint], "Not Found", 0 )</f>
        <v>0</v>
      </c>
      <c r="X1809" s="16">
        <f>_xlfn.XLOOKUP(CustomerCombinedCleaned[[#This Row],[ID]], Table2[ID],Table2[Pilot], "Not Found", 0 )</f>
        <v>0</v>
      </c>
      <c r="Y1809" s="16">
        <f>_xlfn.XLOOKUP(CustomerCombinedCleaned[[#This Row],[ID]], Table2[ID],Table2[MC1], "Not Found", 0 )</f>
        <v>0</v>
      </c>
      <c r="Z1809" s="16">
        <f>_xlfn.XLOOKUP(CustomerCombinedCleaned[[#This Row],[ID]], Table2[ID],Table2[MC2], "Not Found", 0 )</f>
        <v>0</v>
      </c>
      <c r="AA1809" s="16">
        <f>_xlfn.XLOOKUP(CustomerCombinedCleaned[[#This Row],[ID]], Table2[ID],Table2[MC3], "Not Found", 0 )</f>
        <v>0</v>
      </c>
      <c r="AB1809" s="16">
        <f>_xlfn.XLOOKUP(CustomerCombinedCleaned[[#This Row],[ID]], Table2[ID],Table2[MC4], "Not Found", 0 )</f>
        <v>0</v>
      </c>
      <c r="AC1809" s="16">
        <f>_xlfn.XLOOKUP(CustomerCombinedCleaned[[#This Row],[ID]], Table2[ID],Table2[MC5], "Not Found", 0 )</f>
        <v>0</v>
      </c>
    </row>
    <row r="1810" spans="1:29" x14ac:dyDescent="0.3">
      <c r="A1810" s="18">
        <v>3155</v>
      </c>
      <c r="B1810" s="16">
        <v>184117</v>
      </c>
      <c r="C1810" s="16">
        <v>0</v>
      </c>
      <c r="D1810" s="16">
        <v>0</v>
      </c>
      <c r="E1810" s="16">
        <v>64</v>
      </c>
      <c r="F1810" s="17" t="s">
        <v>6</v>
      </c>
      <c r="G1810" s="17" t="s">
        <v>13</v>
      </c>
      <c r="H1810" s="3" t="s">
        <v>53</v>
      </c>
      <c r="I1810" s="5" t="s">
        <v>434</v>
      </c>
      <c r="J1810" s="16">
        <f>_xlfn.XLOOKUP(CustomerCombinedCleaned[[#This Row],[ID]], Table4[ID], Table4[Recency], "Not Found", 0)</f>
        <v>60</v>
      </c>
      <c r="K1810" s="16">
        <f>_xlfn.XLOOKUP(CustomerCombinedCleaned[[#This Row],[ID]], Table4[ID], Table4[Teas], "Not Found", 0)</f>
        <v>1337</v>
      </c>
      <c r="L1810" s="16">
        <f>_xlfn.XLOOKUP(CustomerCombinedCleaned[[#This Row],[ID]], Table4[ID], Table4[Fruits], "Not Found", 0)</f>
        <v>166</v>
      </c>
      <c r="M1810" s="16">
        <f>_xlfn.XLOOKUP(CustomerCombinedCleaned[[#This Row],[ID]], Table4[ID], Table4[Meats], "Not Found", 0)</f>
        <v>1639</v>
      </c>
      <c r="N1810" s="16">
        <f>_xlfn.XLOOKUP(CustomerCombinedCleaned[[#This Row],[ID]], Table4[ID], Table4[Seafood], "Not Found", 0)</f>
        <v>129</v>
      </c>
      <c r="O1810" s="16">
        <f>_xlfn.XLOOKUP(CustomerCombinedCleaned[[#This Row],[ID]], Table4[ID], Table4[Sweets], "Not Found", 0)</f>
        <v>98</v>
      </c>
      <c r="P1810" s="16">
        <f>_xlfn.XLOOKUP(CustomerCombinedCleaned[[#This Row],[ID]], Table4[ID], Table4[Premium], "Not Found", 0)</f>
        <v>57</v>
      </c>
      <c r="Q1810" s="16">
        <f>_xlfn.XLOOKUP(CustomerCombinedCleaned[[#This Row],[ID]], Table4[ID], Table4[Regular], "Not Found", 0)</f>
        <v>3314</v>
      </c>
      <c r="R1810" s="16">
        <f>_xlfn.XLOOKUP(CustomerCombinedCleaned[[#This Row],[ID]], Table4[ID], Table4[Deals], "Not Found", 0)</f>
        <v>1</v>
      </c>
      <c r="S1810" s="16">
        <f>_xlfn.XLOOKUP(CustomerCombinedCleaned[[#This Row],[ID]], Table4[ID], Table4[Website], "Not Found", 0)</f>
        <v>7</v>
      </c>
      <c r="T1810" s="16">
        <f>_xlfn.XLOOKUP(CustomerCombinedCleaned[[#This Row],[ID]], Table4[ID], Table4[Catalog], "Not Found", 0)</f>
        <v>10</v>
      </c>
      <c r="U1810" s="16">
        <f>_xlfn.XLOOKUP(CustomerCombinedCleaned[[#This Row],[ID]], Table4[ID], Table4[Store], "Not Found", 0)</f>
        <v>6</v>
      </c>
      <c r="V1810" s="16">
        <f>_xlfn.XLOOKUP(CustomerCombinedCleaned[[#This Row],[ID]], Table4[ID], Table4[Visits], "Not Found", 0)</f>
        <v>2</v>
      </c>
      <c r="W1810" s="16">
        <f>_xlfn.XLOOKUP(CustomerCombinedCleaned[[#This Row],[ID]], Table2[ID],Table2[Complaint], "Not Found", 0 )</f>
        <v>0</v>
      </c>
      <c r="X1810" s="16">
        <f>_xlfn.XLOOKUP(CustomerCombinedCleaned[[#This Row],[ID]], Table2[ID],Table2[Pilot], "Not Found", 0 )</f>
        <v>0</v>
      </c>
      <c r="Y1810" s="16">
        <f>_xlfn.XLOOKUP(CustomerCombinedCleaned[[#This Row],[ID]], Table2[ID],Table2[MC1], "Not Found", 0 )</f>
        <v>0</v>
      </c>
      <c r="Z1810" s="16">
        <f>_xlfn.XLOOKUP(CustomerCombinedCleaned[[#This Row],[ID]], Table2[ID],Table2[MC2], "Not Found", 0 )</f>
        <v>0</v>
      </c>
      <c r="AA1810" s="16">
        <f>_xlfn.XLOOKUP(CustomerCombinedCleaned[[#This Row],[ID]], Table2[ID],Table2[MC3], "Not Found", 0 )</f>
        <v>0</v>
      </c>
      <c r="AB1810" s="16">
        <f>_xlfn.XLOOKUP(CustomerCombinedCleaned[[#This Row],[ID]], Table2[ID],Table2[MC4], "Not Found", 0 )</f>
        <v>0</v>
      </c>
      <c r="AC1810" s="16">
        <f>_xlfn.XLOOKUP(CustomerCombinedCleaned[[#This Row],[ID]], Table2[ID],Table2[MC5], "Not Found", 0 )</f>
        <v>1</v>
      </c>
    </row>
    <row r="1811" spans="1:29" x14ac:dyDescent="0.3">
      <c r="A1811" s="18">
        <v>2063</v>
      </c>
      <c r="B1811" s="16">
        <v>179456</v>
      </c>
      <c r="C1811" s="16">
        <v>0</v>
      </c>
      <c r="D1811" s="16">
        <v>0</v>
      </c>
      <c r="E1811" s="16">
        <v>64</v>
      </c>
      <c r="F1811" s="17" t="s">
        <v>6</v>
      </c>
      <c r="G1811" s="17" t="s">
        <v>11</v>
      </c>
      <c r="H1811" s="3" t="s">
        <v>406</v>
      </c>
      <c r="I1811" s="5" t="s">
        <v>434</v>
      </c>
      <c r="J1811" s="16">
        <f>_xlfn.XLOOKUP(CustomerCombinedCleaned[[#This Row],[ID]], Table4[ID], Table4[Recency], "Not Found", 0)</f>
        <v>12</v>
      </c>
      <c r="K1811" s="16">
        <f>_xlfn.XLOOKUP(CustomerCombinedCleaned[[#This Row],[ID]], Table4[ID], Table4[Teas], "Not Found", 0)</f>
        <v>1276</v>
      </c>
      <c r="L1811" s="16">
        <f>_xlfn.XLOOKUP(CustomerCombinedCleaned[[#This Row],[ID]], Table4[ID], Table4[Fruits], "Not Found", 0)</f>
        <v>95</v>
      </c>
      <c r="M1811" s="16">
        <f>_xlfn.XLOOKUP(CustomerCombinedCleaned[[#This Row],[ID]], Table4[ID], Table4[Meats], "Not Found", 0)</f>
        <v>1238</v>
      </c>
      <c r="N1811" s="16">
        <f>_xlfn.XLOOKUP(CustomerCombinedCleaned[[#This Row],[ID]], Table4[ID], Table4[Seafood], "Not Found", 0)</f>
        <v>145</v>
      </c>
      <c r="O1811" s="16">
        <f>_xlfn.XLOOKUP(CustomerCombinedCleaned[[#This Row],[ID]], Table4[ID], Table4[Sweets], "Not Found", 0)</f>
        <v>187</v>
      </c>
      <c r="P1811" s="16">
        <f>_xlfn.XLOOKUP(CustomerCombinedCleaned[[#This Row],[ID]], Table4[ID], Table4[Premium], "Not Found", 0)</f>
        <v>224</v>
      </c>
      <c r="Q1811" s="16">
        <f>_xlfn.XLOOKUP(CustomerCombinedCleaned[[#This Row],[ID]], Table4[ID], Table4[Regular], "Not Found", 0)</f>
        <v>2717</v>
      </c>
      <c r="R1811" s="16">
        <f>_xlfn.XLOOKUP(CustomerCombinedCleaned[[#This Row],[ID]], Table4[ID], Table4[Deals], "Not Found", 0)</f>
        <v>1</v>
      </c>
      <c r="S1811" s="16">
        <f>_xlfn.XLOOKUP(CustomerCombinedCleaned[[#This Row],[ID]], Table4[ID], Table4[Website], "Not Found", 0)</f>
        <v>5</v>
      </c>
      <c r="T1811" s="16">
        <f>_xlfn.XLOOKUP(CustomerCombinedCleaned[[#This Row],[ID]], Table4[ID], Table4[Catalog], "Not Found", 0)</f>
        <v>6</v>
      </c>
      <c r="U1811" s="16">
        <f>_xlfn.XLOOKUP(CustomerCombinedCleaned[[#This Row],[ID]], Table4[ID], Table4[Store], "Not Found", 0)</f>
        <v>4</v>
      </c>
      <c r="V1811" s="16">
        <f>_xlfn.XLOOKUP(CustomerCombinedCleaned[[#This Row],[ID]], Table4[ID], Table4[Visits], "Not Found", 0)</f>
        <v>3</v>
      </c>
      <c r="W1811" s="16">
        <f>_xlfn.XLOOKUP(CustomerCombinedCleaned[[#This Row],[ID]], Table2[ID],Table2[Complaint], "Not Found", 0 )</f>
        <v>0</v>
      </c>
      <c r="X1811" s="16">
        <f>_xlfn.XLOOKUP(CustomerCombinedCleaned[[#This Row],[ID]], Table2[ID],Table2[Pilot], "Not Found", 0 )</f>
        <v>1</v>
      </c>
      <c r="Y1811" s="16">
        <f>_xlfn.XLOOKUP(CustomerCombinedCleaned[[#This Row],[ID]], Table2[ID],Table2[MC1], "Not Found", 0 )</f>
        <v>0</v>
      </c>
      <c r="Z1811" s="16">
        <f>_xlfn.XLOOKUP(CustomerCombinedCleaned[[#This Row],[ID]], Table2[ID],Table2[MC2], "Not Found", 0 )</f>
        <v>0</v>
      </c>
      <c r="AA1811" s="16">
        <f>_xlfn.XLOOKUP(CustomerCombinedCleaned[[#This Row],[ID]], Table2[ID],Table2[MC3], "Not Found", 0 )</f>
        <v>0</v>
      </c>
      <c r="AB1811" s="16">
        <f>_xlfn.XLOOKUP(CustomerCombinedCleaned[[#This Row],[ID]], Table2[ID],Table2[MC4], "Not Found", 0 )</f>
        <v>0</v>
      </c>
      <c r="AC1811" s="16">
        <f>_xlfn.XLOOKUP(CustomerCombinedCleaned[[#This Row],[ID]], Table2[ID],Table2[MC5], "Not Found", 0 )</f>
        <v>0</v>
      </c>
    </row>
    <row r="1812" spans="1:29" x14ac:dyDescent="0.3">
      <c r="A1812" s="18">
        <v>1981</v>
      </c>
      <c r="B1812" s="16">
        <v>178028</v>
      </c>
      <c r="C1812" s="16">
        <v>0</v>
      </c>
      <c r="D1812" s="16">
        <v>1</v>
      </c>
      <c r="E1812" s="16">
        <v>64</v>
      </c>
      <c r="F1812" s="17" t="s">
        <v>9</v>
      </c>
      <c r="G1812" s="17" t="s">
        <v>13</v>
      </c>
      <c r="H1812" s="3" t="s">
        <v>399</v>
      </c>
      <c r="I1812" s="5" t="s">
        <v>437</v>
      </c>
      <c r="J1812" s="16">
        <f>_xlfn.XLOOKUP(CustomerCombinedCleaned[[#This Row],[ID]], Table4[ID], Table4[Recency], "Not Found", 0)</f>
        <v>38</v>
      </c>
      <c r="K1812" s="16">
        <f>_xlfn.XLOOKUP(CustomerCombinedCleaned[[#This Row],[ID]], Table4[ID], Table4[Teas], "Not Found", 0)</f>
        <v>360</v>
      </c>
      <c r="L1812" s="16">
        <f>_xlfn.XLOOKUP(CustomerCombinedCleaned[[#This Row],[ID]], Table4[ID], Table4[Fruits], "Not Found", 0)</f>
        <v>43</v>
      </c>
      <c r="M1812" s="16">
        <f>_xlfn.XLOOKUP(CustomerCombinedCleaned[[#This Row],[ID]], Table4[ID], Table4[Meats], "Not Found", 0)</f>
        <v>657</v>
      </c>
      <c r="N1812" s="16">
        <f>_xlfn.XLOOKUP(CustomerCombinedCleaned[[#This Row],[ID]], Table4[ID], Table4[Seafood], "Not Found", 0)</f>
        <v>57</v>
      </c>
      <c r="O1812" s="16">
        <f>_xlfn.XLOOKUP(CustomerCombinedCleaned[[#This Row],[ID]], Table4[ID], Table4[Sweets], "Not Found", 0)</f>
        <v>0</v>
      </c>
      <c r="P1812" s="16">
        <f>_xlfn.XLOOKUP(CustomerCombinedCleaned[[#This Row],[ID]], Table4[ID], Table4[Premium], "Not Found", 0)</f>
        <v>87</v>
      </c>
      <c r="Q1812" s="16">
        <f>_xlfn.XLOOKUP(CustomerCombinedCleaned[[#This Row],[ID]], Table4[ID], Table4[Regular], "Not Found", 0)</f>
        <v>1031</v>
      </c>
      <c r="R1812" s="16">
        <f>_xlfn.XLOOKUP(CustomerCombinedCleaned[[#This Row],[ID]], Table4[ID], Table4[Deals], "Not Found", 0)</f>
        <v>1</v>
      </c>
      <c r="S1812" s="16">
        <f>_xlfn.XLOOKUP(CustomerCombinedCleaned[[#This Row],[ID]], Table4[ID], Table4[Website], "Not Found", 0)</f>
        <v>6</v>
      </c>
      <c r="T1812" s="16">
        <f>_xlfn.XLOOKUP(CustomerCombinedCleaned[[#This Row],[ID]], Table4[ID], Table4[Catalog], "Not Found", 0)</f>
        <v>4</v>
      </c>
      <c r="U1812" s="16">
        <f>_xlfn.XLOOKUP(CustomerCombinedCleaned[[#This Row],[ID]], Table4[ID], Table4[Store], "Not Found", 0)</f>
        <v>9</v>
      </c>
      <c r="V1812" s="16">
        <f>_xlfn.XLOOKUP(CustomerCombinedCleaned[[#This Row],[ID]], Table4[ID], Table4[Visits], "Not Found", 0)</f>
        <v>7</v>
      </c>
      <c r="W1812" s="16">
        <f>_xlfn.XLOOKUP(CustomerCombinedCleaned[[#This Row],[ID]], Table2[ID],Table2[Complaint], "Not Found", 0 )</f>
        <v>0</v>
      </c>
      <c r="X1812" s="16">
        <f>_xlfn.XLOOKUP(CustomerCombinedCleaned[[#This Row],[ID]], Table2[ID],Table2[Pilot], "Not Found", 0 )</f>
        <v>1</v>
      </c>
      <c r="Y1812" s="16">
        <f>_xlfn.XLOOKUP(CustomerCombinedCleaned[[#This Row],[ID]], Table2[ID],Table2[MC1], "Not Found", 0 )</f>
        <v>0</v>
      </c>
      <c r="Z1812" s="16">
        <f>_xlfn.XLOOKUP(CustomerCombinedCleaned[[#This Row],[ID]], Table2[ID],Table2[MC2], "Not Found", 0 )</f>
        <v>0</v>
      </c>
      <c r="AA1812" s="16">
        <f>_xlfn.XLOOKUP(CustomerCombinedCleaned[[#This Row],[ID]], Table2[ID],Table2[MC3], "Not Found", 0 )</f>
        <v>0</v>
      </c>
      <c r="AB1812" s="16">
        <f>_xlfn.XLOOKUP(CustomerCombinedCleaned[[#This Row],[ID]], Table2[ID],Table2[MC4], "Not Found", 0 )</f>
        <v>1</v>
      </c>
      <c r="AC1812" s="16">
        <f>_xlfn.XLOOKUP(CustomerCombinedCleaned[[#This Row],[ID]], Table2[ID],Table2[MC5], "Not Found", 0 )</f>
        <v>1</v>
      </c>
    </row>
    <row r="1813" spans="1:29" x14ac:dyDescent="0.3">
      <c r="A1813" s="18">
        <v>1120</v>
      </c>
      <c r="B1813" s="16">
        <v>177376</v>
      </c>
      <c r="C1813" s="16">
        <v>1</v>
      </c>
      <c r="D1813" s="16">
        <v>1</v>
      </c>
      <c r="E1813" s="16">
        <v>64</v>
      </c>
      <c r="F1813" s="17" t="s">
        <v>8</v>
      </c>
      <c r="G1813" s="17" t="s">
        <v>13</v>
      </c>
      <c r="H1813" s="3" t="s">
        <v>54</v>
      </c>
      <c r="I1813" s="5" t="s">
        <v>439</v>
      </c>
      <c r="J1813" s="16">
        <f>_xlfn.XLOOKUP(CustomerCombinedCleaned[[#This Row],[ID]], Table4[ID], Table4[Recency], "Not Found", 0)</f>
        <v>72</v>
      </c>
      <c r="K1813" s="16">
        <f>_xlfn.XLOOKUP(CustomerCombinedCleaned[[#This Row],[ID]], Table4[ID], Table4[Teas], "Not Found", 0)</f>
        <v>1128</v>
      </c>
      <c r="L1813" s="16">
        <f>_xlfn.XLOOKUP(CustomerCombinedCleaned[[#This Row],[ID]], Table4[ID], Table4[Fruits], "Not Found", 0)</f>
        <v>44</v>
      </c>
      <c r="M1813" s="16">
        <f>_xlfn.XLOOKUP(CustomerCombinedCleaned[[#This Row],[ID]], Table4[ID], Table4[Meats], "Not Found", 0)</f>
        <v>252</v>
      </c>
      <c r="N1813" s="16">
        <f>_xlfn.XLOOKUP(CustomerCombinedCleaned[[#This Row],[ID]], Table4[ID], Table4[Seafood], "Not Found", 0)</f>
        <v>37</v>
      </c>
      <c r="O1813" s="16">
        <f>_xlfn.XLOOKUP(CustomerCombinedCleaned[[#This Row],[ID]], Table4[ID], Table4[Sweets], "Not Found", 0)</f>
        <v>28</v>
      </c>
      <c r="P1813" s="16">
        <f>_xlfn.XLOOKUP(CustomerCombinedCleaned[[#This Row],[ID]], Table4[ID], Table4[Premium], "Not Found", 0)</f>
        <v>28</v>
      </c>
      <c r="Q1813" s="16">
        <f>_xlfn.XLOOKUP(CustomerCombinedCleaned[[#This Row],[ID]], Table4[ID], Table4[Regular], "Not Found", 0)</f>
        <v>1460</v>
      </c>
      <c r="R1813" s="16">
        <f>_xlfn.XLOOKUP(CustomerCombinedCleaned[[#This Row],[ID]], Table4[ID], Table4[Deals], "Not Found", 0)</f>
        <v>4</v>
      </c>
      <c r="S1813" s="16">
        <f>_xlfn.XLOOKUP(CustomerCombinedCleaned[[#This Row],[ID]], Table4[ID], Table4[Website], "Not Found", 0)</f>
        <v>6</v>
      </c>
      <c r="T1813" s="16">
        <f>_xlfn.XLOOKUP(CustomerCombinedCleaned[[#This Row],[ID]], Table4[ID], Table4[Catalog], "Not Found", 0)</f>
        <v>3</v>
      </c>
      <c r="U1813" s="16">
        <f>_xlfn.XLOOKUP(CustomerCombinedCleaned[[#This Row],[ID]], Table4[ID], Table4[Store], "Not Found", 0)</f>
        <v>10</v>
      </c>
      <c r="V1813" s="16">
        <f>_xlfn.XLOOKUP(CustomerCombinedCleaned[[#This Row],[ID]], Table4[ID], Table4[Visits], "Not Found", 0)</f>
        <v>4</v>
      </c>
      <c r="W1813" s="16">
        <f>_xlfn.XLOOKUP(CustomerCombinedCleaned[[#This Row],[ID]], Table2[ID],Table2[Complaint], "Not Found", 0 )</f>
        <v>0</v>
      </c>
      <c r="X1813" s="16">
        <f>_xlfn.XLOOKUP(CustomerCombinedCleaned[[#This Row],[ID]], Table2[ID],Table2[Pilot], "Not Found", 0 )</f>
        <v>0</v>
      </c>
      <c r="Y1813" s="16">
        <f>_xlfn.XLOOKUP(CustomerCombinedCleaned[[#This Row],[ID]], Table2[ID],Table2[MC1], "Not Found", 0 )</f>
        <v>0</v>
      </c>
      <c r="Z1813" s="16">
        <f>_xlfn.XLOOKUP(CustomerCombinedCleaned[[#This Row],[ID]], Table2[ID],Table2[MC2], "Not Found", 0 )</f>
        <v>0</v>
      </c>
      <c r="AA1813" s="16">
        <f>_xlfn.XLOOKUP(CustomerCombinedCleaned[[#This Row],[ID]], Table2[ID],Table2[MC3], "Not Found", 0 )</f>
        <v>0</v>
      </c>
      <c r="AB1813" s="16">
        <f>_xlfn.XLOOKUP(CustomerCombinedCleaned[[#This Row],[ID]], Table2[ID],Table2[MC4], "Not Found", 0 )</f>
        <v>0</v>
      </c>
      <c r="AC1813" s="16">
        <f>_xlfn.XLOOKUP(CustomerCombinedCleaned[[#This Row],[ID]], Table2[ID],Table2[MC5], "Not Found", 0 )</f>
        <v>0</v>
      </c>
    </row>
    <row r="1814" spans="1:29" x14ac:dyDescent="0.3">
      <c r="A1814" s="18">
        <v>2330</v>
      </c>
      <c r="B1814" s="16">
        <v>176542</v>
      </c>
      <c r="C1814" s="16">
        <v>0</v>
      </c>
      <c r="D1814" s="16">
        <v>0</v>
      </c>
      <c r="E1814" s="16">
        <v>64</v>
      </c>
      <c r="F1814" s="17" t="s">
        <v>8</v>
      </c>
      <c r="G1814" s="17" t="s">
        <v>13</v>
      </c>
      <c r="H1814" s="3" t="s">
        <v>586</v>
      </c>
      <c r="I1814" s="5" t="s">
        <v>438</v>
      </c>
      <c r="J1814" s="16">
        <f>_xlfn.XLOOKUP(CustomerCombinedCleaned[[#This Row],[ID]], Table4[ID], Table4[Recency], "Not Found", 0)</f>
        <v>91</v>
      </c>
      <c r="K1814" s="16">
        <f>_xlfn.XLOOKUP(CustomerCombinedCleaned[[#This Row],[ID]], Table4[ID], Table4[Teas], "Not Found", 0)</f>
        <v>1831</v>
      </c>
      <c r="L1814" s="16">
        <f>_xlfn.XLOOKUP(CustomerCombinedCleaned[[#This Row],[ID]], Table4[ID], Table4[Fruits], "Not Found", 0)</f>
        <v>168</v>
      </c>
      <c r="M1814" s="16">
        <f>_xlfn.XLOOKUP(CustomerCombinedCleaned[[#This Row],[ID]], Table4[ID], Table4[Meats], "Not Found", 0)</f>
        <v>1322</v>
      </c>
      <c r="N1814" s="16">
        <f>_xlfn.XLOOKUP(CustomerCombinedCleaned[[#This Row],[ID]], Table4[ID], Table4[Seafood], "Not Found", 0)</f>
        <v>0</v>
      </c>
      <c r="O1814" s="16">
        <f>_xlfn.XLOOKUP(CustomerCombinedCleaned[[#This Row],[ID]], Table4[ID], Table4[Sweets], "Not Found", 0)</f>
        <v>67</v>
      </c>
      <c r="P1814" s="16">
        <f>_xlfn.XLOOKUP(CustomerCombinedCleaned[[#This Row],[ID]], Table4[ID], Table4[Premium], "Not Found", 0)</f>
        <v>32</v>
      </c>
      <c r="Q1814" s="16">
        <f>_xlfn.XLOOKUP(CustomerCombinedCleaned[[#This Row],[ID]], Table4[ID], Table4[Regular], "Not Found", 0)</f>
        <v>3356</v>
      </c>
      <c r="R1814" s="16">
        <f>_xlfn.XLOOKUP(CustomerCombinedCleaned[[#This Row],[ID]], Table4[ID], Table4[Deals], "Not Found", 0)</f>
        <v>1</v>
      </c>
      <c r="S1814" s="16">
        <f>_xlfn.XLOOKUP(CustomerCombinedCleaned[[#This Row],[ID]], Table4[ID], Table4[Website], "Not Found", 0)</f>
        <v>4</v>
      </c>
      <c r="T1814" s="16">
        <f>_xlfn.XLOOKUP(CustomerCombinedCleaned[[#This Row],[ID]], Table4[ID], Table4[Catalog], "Not Found", 0)</f>
        <v>8</v>
      </c>
      <c r="U1814" s="16">
        <f>_xlfn.XLOOKUP(CustomerCombinedCleaned[[#This Row],[ID]], Table4[ID], Table4[Store], "Not Found", 0)</f>
        <v>10</v>
      </c>
      <c r="V1814" s="16">
        <f>_xlfn.XLOOKUP(CustomerCombinedCleaned[[#This Row],[ID]], Table4[ID], Table4[Visits], "Not Found", 0)</f>
        <v>2</v>
      </c>
      <c r="W1814" s="16">
        <f>_xlfn.XLOOKUP(CustomerCombinedCleaned[[#This Row],[ID]], Table2[ID],Table2[Complaint], "Not Found", 0 )</f>
        <v>0</v>
      </c>
      <c r="X1814" s="16">
        <f>_xlfn.XLOOKUP(CustomerCombinedCleaned[[#This Row],[ID]], Table2[ID],Table2[Pilot], "Not Found", 0 )</f>
        <v>0</v>
      </c>
      <c r="Y1814" s="16">
        <f>_xlfn.XLOOKUP(CustomerCombinedCleaned[[#This Row],[ID]], Table2[ID],Table2[MC1], "Not Found", 0 )</f>
        <v>0</v>
      </c>
      <c r="Z1814" s="16">
        <f>_xlfn.XLOOKUP(CustomerCombinedCleaned[[#This Row],[ID]], Table2[ID],Table2[MC2], "Not Found", 0 )</f>
        <v>0</v>
      </c>
      <c r="AA1814" s="16">
        <f>_xlfn.XLOOKUP(CustomerCombinedCleaned[[#This Row],[ID]], Table2[ID],Table2[MC3], "Not Found", 0 )</f>
        <v>0</v>
      </c>
      <c r="AB1814" s="16">
        <f>_xlfn.XLOOKUP(CustomerCombinedCleaned[[#This Row],[ID]], Table2[ID],Table2[MC4], "Not Found", 0 )</f>
        <v>0</v>
      </c>
      <c r="AC1814" s="16">
        <f>_xlfn.XLOOKUP(CustomerCombinedCleaned[[#This Row],[ID]], Table2[ID],Table2[MC5], "Not Found", 0 )</f>
        <v>0</v>
      </c>
    </row>
    <row r="1815" spans="1:29" x14ac:dyDescent="0.3">
      <c r="A1815" s="18">
        <v>3044</v>
      </c>
      <c r="B1815" s="16">
        <v>171866</v>
      </c>
      <c r="C1815" s="16">
        <v>0</v>
      </c>
      <c r="D1815" s="16">
        <v>1</v>
      </c>
      <c r="E1815" s="16">
        <v>64</v>
      </c>
      <c r="F1815" s="17" t="s">
        <v>6</v>
      </c>
      <c r="G1815" s="17" t="s">
        <v>11</v>
      </c>
      <c r="H1815" s="3" t="s">
        <v>123</v>
      </c>
      <c r="I1815" s="5" t="s">
        <v>438</v>
      </c>
      <c r="J1815" s="16">
        <f>_xlfn.XLOOKUP(CustomerCombinedCleaned[[#This Row],[ID]], Table4[ID], Table4[Recency], "Not Found", 0)</f>
        <v>85</v>
      </c>
      <c r="K1815" s="16">
        <f>_xlfn.XLOOKUP(CustomerCombinedCleaned[[#This Row],[ID]], Table4[ID], Table4[Teas], "Not Found", 0)</f>
        <v>440</v>
      </c>
      <c r="L1815" s="16">
        <f>_xlfn.XLOOKUP(CustomerCombinedCleaned[[#This Row],[ID]], Table4[ID], Table4[Fruits], "Not Found", 0)</f>
        <v>426</v>
      </c>
      <c r="M1815" s="16">
        <f>_xlfn.XLOOKUP(CustomerCombinedCleaned[[#This Row],[ID]], Table4[ID], Table4[Meats], "Not Found", 0)</f>
        <v>426</v>
      </c>
      <c r="N1815" s="16">
        <f>_xlfn.XLOOKUP(CustomerCombinedCleaned[[#This Row],[ID]], Table4[ID], Table4[Seafood], "Not Found", 0)</f>
        <v>246</v>
      </c>
      <c r="O1815" s="16">
        <f>_xlfn.XLOOKUP(CustomerCombinedCleaned[[#This Row],[ID]], Table4[ID], Table4[Sweets], "Not Found", 0)</f>
        <v>93</v>
      </c>
      <c r="P1815" s="16">
        <f>_xlfn.XLOOKUP(CustomerCombinedCleaned[[#This Row],[ID]], Table4[ID], Table4[Premium], "Not Found", 0)</f>
        <v>79</v>
      </c>
      <c r="Q1815" s="16">
        <f>_xlfn.XLOOKUP(CustomerCombinedCleaned[[#This Row],[ID]], Table4[ID], Table4[Regular], "Not Found", 0)</f>
        <v>1552</v>
      </c>
      <c r="R1815" s="16">
        <f>_xlfn.XLOOKUP(CustomerCombinedCleaned[[#This Row],[ID]], Table4[ID], Table4[Deals], "Not Found", 0)</f>
        <v>1</v>
      </c>
      <c r="S1815" s="16">
        <f>_xlfn.XLOOKUP(CustomerCombinedCleaned[[#This Row],[ID]], Table4[ID], Table4[Website], "Not Found", 0)</f>
        <v>6</v>
      </c>
      <c r="T1815" s="16">
        <f>_xlfn.XLOOKUP(CustomerCombinedCleaned[[#This Row],[ID]], Table4[ID], Table4[Catalog], "Not Found", 0)</f>
        <v>3</v>
      </c>
      <c r="U1815" s="16">
        <f>_xlfn.XLOOKUP(CustomerCombinedCleaned[[#This Row],[ID]], Table4[ID], Table4[Store], "Not Found", 0)</f>
        <v>10</v>
      </c>
      <c r="V1815" s="16">
        <f>_xlfn.XLOOKUP(CustomerCombinedCleaned[[#This Row],[ID]], Table4[ID], Table4[Visits], "Not Found", 0)</f>
        <v>3</v>
      </c>
      <c r="W1815" s="16">
        <f>_xlfn.XLOOKUP(CustomerCombinedCleaned[[#This Row],[ID]], Table2[ID],Table2[Complaint], "Not Found", 0 )</f>
        <v>0</v>
      </c>
      <c r="X1815" s="16">
        <f>_xlfn.XLOOKUP(CustomerCombinedCleaned[[#This Row],[ID]], Table2[ID],Table2[Pilot], "Not Found", 0 )</f>
        <v>0</v>
      </c>
      <c r="Y1815" s="16">
        <f>_xlfn.XLOOKUP(CustomerCombinedCleaned[[#This Row],[ID]], Table2[ID],Table2[MC1], "Not Found", 0 )</f>
        <v>0</v>
      </c>
      <c r="Z1815" s="16">
        <f>_xlfn.XLOOKUP(CustomerCombinedCleaned[[#This Row],[ID]], Table2[ID],Table2[MC2], "Not Found", 0 )</f>
        <v>0</v>
      </c>
      <c r="AA1815" s="16">
        <f>_xlfn.XLOOKUP(CustomerCombinedCleaned[[#This Row],[ID]], Table2[ID],Table2[MC3], "Not Found", 0 )</f>
        <v>0</v>
      </c>
      <c r="AB1815" s="16">
        <f>_xlfn.XLOOKUP(CustomerCombinedCleaned[[#This Row],[ID]], Table2[ID],Table2[MC4], "Not Found", 0 )</f>
        <v>0</v>
      </c>
      <c r="AC1815" s="16">
        <f>_xlfn.XLOOKUP(CustomerCombinedCleaned[[#This Row],[ID]], Table2[ID],Table2[MC5], "Not Found", 0 )</f>
        <v>0</v>
      </c>
    </row>
    <row r="1816" spans="1:29" x14ac:dyDescent="0.3">
      <c r="A1816" s="18">
        <v>1816</v>
      </c>
      <c r="B1816" s="16">
        <v>171391</v>
      </c>
      <c r="C1816" s="16">
        <v>0</v>
      </c>
      <c r="D1816" s="16">
        <v>1</v>
      </c>
      <c r="E1816" s="16">
        <v>64</v>
      </c>
      <c r="F1816" s="17" t="s">
        <v>6</v>
      </c>
      <c r="G1816" s="17" t="s">
        <v>11</v>
      </c>
      <c r="H1816" s="3" t="s">
        <v>657</v>
      </c>
      <c r="I1816" s="5" t="s">
        <v>439</v>
      </c>
      <c r="J1816" s="16">
        <f>_xlfn.XLOOKUP(CustomerCombinedCleaned[[#This Row],[ID]], Table4[ID], Table4[Recency], "Not Found", 0)</f>
        <v>50</v>
      </c>
      <c r="K1816" s="16">
        <f>_xlfn.XLOOKUP(CustomerCombinedCleaned[[#This Row],[ID]], Table4[ID], Table4[Teas], "Not Found", 0)</f>
        <v>807</v>
      </c>
      <c r="L1816" s="16">
        <f>_xlfn.XLOOKUP(CustomerCombinedCleaned[[#This Row],[ID]], Table4[ID], Table4[Fruits], "Not Found", 0)</f>
        <v>295</v>
      </c>
      <c r="M1816" s="16">
        <f>_xlfn.XLOOKUP(CustomerCombinedCleaned[[#This Row],[ID]], Table4[ID], Table4[Meats], "Not Found", 0)</f>
        <v>658</v>
      </c>
      <c r="N1816" s="16">
        <f>_xlfn.XLOOKUP(CustomerCombinedCleaned[[#This Row],[ID]], Table4[ID], Table4[Seafood], "Not Found", 0)</f>
        <v>110</v>
      </c>
      <c r="O1816" s="16">
        <f>_xlfn.XLOOKUP(CustomerCombinedCleaned[[#This Row],[ID]], Table4[ID], Table4[Sweets], "Not Found", 0)</f>
        <v>295</v>
      </c>
      <c r="P1816" s="16">
        <f>_xlfn.XLOOKUP(CustomerCombinedCleaned[[#This Row],[ID]], Table4[ID], Table4[Premium], "Not Found", 0)</f>
        <v>339</v>
      </c>
      <c r="Q1816" s="16">
        <f>_xlfn.XLOOKUP(CustomerCombinedCleaned[[#This Row],[ID]], Table4[ID], Table4[Regular], "Not Found", 0)</f>
        <v>1827</v>
      </c>
      <c r="R1816" s="16">
        <f>_xlfn.XLOOKUP(CustomerCombinedCleaned[[#This Row],[ID]], Table4[ID], Table4[Deals], "Not Found", 0)</f>
        <v>5</v>
      </c>
      <c r="S1816" s="16">
        <f>_xlfn.XLOOKUP(CustomerCombinedCleaned[[#This Row],[ID]], Table4[ID], Table4[Website], "Not Found", 0)</f>
        <v>6</v>
      </c>
      <c r="T1816" s="16">
        <f>_xlfn.XLOOKUP(CustomerCombinedCleaned[[#This Row],[ID]], Table4[ID], Table4[Catalog], "Not Found", 0)</f>
        <v>5</v>
      </c>
      <c r="U1816" s="16">
        <f>_xlfn.XLOOKUP(CustomerCombinedCleaned[[#This Row],[ID]], Table4[ID], Table4[Store], "Not Found", 0)</f>
        <v>12</v>
      </c>
      <c r="V1816" s="16">
        <f>_xlfn.XLOOKUP(CustomerCombinedCleaned[[#This Row],[ID]], Table4[ID], Table4[Visits], "Not Found", 0)</f>
        <v>3</v>
      </c>
      <c r="W1816" s="16">
        <f>_xlfn.XLOOKUP(CustomerCombinedCleaned[[#This Row],[ID]], Table2[ID],Table2[Complaint], "Not Found", 0 )</f>
        <v>0</v>
      </c>
      <c r="X1816" s="16">
        <f>_xlfn.XLOOKUP(CustomerCombinedCleaned[[#This Row],[ID]], Table2[ID],Table2[Pilot], "Not Found", 0 )</f>
        <v>0</v>
      </c>
      <c r="Y1816" s="16">
        <f>_xlfn.XLOOKUP(CustomerCombinedCleaned[[#This Row],[ID]], Table2[ID],Table2[MC1], "Not Found", 0 )</f>
        <v>0</v>
      </c>
      <c r="Z1816" s="16">
        <f>_xlfn.XLOOKUP(CustomerCombinedCleaned[[#This Row],[ID]], Table2[ID],Table2[MC2], "Not Found", 0 )</f>
        <v>0</v>
      </c>
      <c r="AA1816" s="16">
        <f>_xlfn.XLOOKUP(CustomerCombinedCleaned[[#This Row],[ID]], Table2[ID],Table2[MC3], "Not Found", 0 )</f>
        <v>0</v>
      </c>
      <c r="AB1816" s="16">
        <f>_xlfn.XLOOKUP(CustomerCombinedCleaned[[#This Row],[ID]], Table2[ID],Table2[MC4], "Not Found", 0 )</f>
        <v>0</v>
      </c>
      <c r="AC1816" s="16">
        <f>_xlfn.XLOOKUP(CustomerCombinedCleaned[[#This Row],[ID]], Table2[ID],Table2[MC5], "Not Found", 0 )</f>
        <v>0</v>
      </c>
    </row>
    <row r="1817" spans="1:29" x14ac:dyDescent="0.3">
      <c r="A1817" s="18">
        <v>3204</v>
      </c>
      <c r="B1817" s="16">
        <v>169245</v>
      </c>
      <c r="C1817" s="16">
        <v>0</v>
      </c>
      <c r="D1817" s="16">
        <v>1</v>
      </c>
      <c r="E1817" s="16">
        <v>64</v>
      </c>
      <c r="F1817" s="17" t="s">
        <v>8</v>
      </c>
      <c r="G1817" s="17" t="s">
        <v>12</v>
      </c>
      <c r="H1817" s="3" t="s">
        <v>108</v>
      </c>
      <c r="I1817" s="5" t="s">
        <v>436</v>
      </c>
      <c r="J1817" s="16">
        <f>_xlfn.XLOOKUP(CustomerCombinedCleaned[[#This Row],[ID]], Table4[ID], Table4[Recency], "Not Found", 0)</f>
        <v>8</v>
      </c>
      <c r="K1817" s="16">
        <f>_xlfn.XLOOKUP(CustomerCombinedCleaned[[#This Row],[ID]], Table4[ID], Table4[Teas], "Not Found", 0)</f>
        <v>1046</v>
      </c>
      <c r="L1817" s="16">
        <f>_xlfn.XLOOKUP(CustomerCombinedCleaned[[#This Row],[ID]], Table4[ID], Table4[Fruits], "Not Found", 0)</f>
        <v>73</v>
      </c>
      <c r="M1817" s="16">
        <f>_xlfn.XLOOKUP(CustomerCombinedCleaned[[#This Row],[ID]], Table4[ID], Table4[Meats], "Not Found", 0)</f>
        <v>523</v>
      </c>
      <c r="N1817" s="16">
        <f>_xlfn.XLOOKUP(CustomerCombinedCleaned[[#This Row],[ID]], Table4[ID], Table4[Seafood], "Not Found", 0)</f>
        <v>196</v>
      </c>
      <c r="O1817" s="16">
        <f>_xlfn.XLOOKUP(CustomerCombinedCleaned[[#This Row],[ID]], Table4[ID], Table4[Sweets], "Not Found", 0)</f>
        <v>73</v>
      </c>
      <c r="P1817" s="16">
        <f>_xlfn.XLOOKUP(CustomerCombinedCleaned[[#This Row],[ID]], Table4[ID], Table4[Premium], "Not Found", 0)</f>
        <v>149</v>
      </c>
      <c r="Q1817" s="16">
        <f>_xlfn.XLOOKUP(CustomerCombinedCleaned[[#This Row],[ID]], Table4[ID], Table4[Regular], "Not Found", 0)</f>
        <v>1762</v>
      </c>
      <c r="R1817" s="16">
        <f>_xlfn.XLOOKUP(CustomerCombinedCleaned[[#This Row],[ID]], Table4[ID], Table4[Deals], "Not Found", 0)</f>
        <v>2</v>
      </c>
      <c r="S1817" s="16">
        <f>_xlfn.XLOOKUP(CustomerCombinedCleaned[[#This Row],[ID]], Table4[ID], Table4[Website], "Not Found", 0)</f>
        <v>6</v>
      </c>
      <c r="T1817" s="16">
        <f>_xlfn.XLOOKUP(CustomerCombinedCleaned[[#This Row],[ID]], Table4[ID], Table4[Catalog], "Not Found", 0)</f>
        <v>5</v>
      </c>
      <c r="U1817" s="16">
        <f>_xlfn.XLOOKUP(CustomerCombinedCleaned[[#This Row],[ID]], Table4[ID], Table4[Store], "Not Found", 0)</f>
        <v>10</v>
      </c>
      <c r="V1817" s="16">
        <f>_xlfn.XLOOKUP(CustomerCombinedCleaned[[#This Row],[ID]], Table4[ID], Table4[Visits], "Not Found", 0)</f>
        <v>3</v>
      </c>
      <c r="W1817" s="16">
        <f>_xlfn.XLOOKUP(CustomerCombinedCleaned[[#This Row],[ID]], Table2[ID],Table2[Complaint], "Not Found", 0 )</f>
        <v>0</v>
      </c>
      <c r="X1817" s="16">
        <f>_xlfn.XLOOKUP(CustomerCombinedCleaned[[#This Row],[ID]], Table2[ID],Table2[Pilot], "Not Found", 0 )</f>
        <v>0</v>
      </c>
      <c r="Y1817" s="16">
        <f>_xlfn.XLOOKUP(CustomerCombinedCleaned[[#This Row],[ID]], Table2[ID],Table2[MC1], "Not Found", 0 )</f>
        <v>0</v>
      </c>
      <c r="Z1817" s="16">
        <f>_xlfn.XLOOKUP(CustomerCombinedCleaned[[#This Row],[ID]], Table2[ID],Table2[MC2], "Not Found", 0 )</f>
        <v>0</v>
      </c>
      <c r="AA1817" s="16">
        <f>_xlfn.XLOOKUP(CustomerCombinedCleaned[[#This Row],[ID]], Table2[ID],Table2[MC3], "Not Found", 0 )</f>
        <v>0</v>
      </c>
      <c r="AB1817" s="16">
        <f>_xlfn.XLOOKUP(CustomerCombinedCleaned[[#This Row],[ID]], Table2[ID],Table2[MC4], "Not Found", 0 )</f>
        <v>0</v>
      </c>
      <c r="AC1817" s="16">
        <f>_xlfn.XLOOKUP(CustomerCombinedCleaned[[#This Row],[ID]], Table2[ID],Table2[MC5], "Not Found", 0 )</f>
        <v>0</v>
      </c>
    </row>
    <row r="1818" spans="1:29" x14ac:dyDescent="0.3">
      <c r="A1818" s="18">
        <v>2740</v>
      </c>
      <c r="B1818" s="16">
        <v>167131</v>
      </c>
      <c r="C1818" s="16">
        <v>0</v>
      </c>
      <c r="D1818" s="16">
        <v>1</v>
      </c>
      <c r="E1818" s="16">
        <v>64</v>
      </c>
      <c r="F1818" s="17" t="s">
        <v>6</v>
      </c>
      <c r="G1818" s="17" t="s">
        <v>11</v>
      </c>
      <c r="H1818" s="3" t="s">
        <v>282</v>
      </c>
      <c r="I1818" s="5" t="s">
        <v>439</v>
      </c>
      <c r="J1818" s="16">
        <f>_xlfn.XLOOKUP(CustomerCombinedCleaned[[#This Row],[ID]], Table4[ID], Table4[Recency], "Not Found", 0)</f>
        <v>72</v>
      </c>
      <c r="K1818" s="16">
        <f>_xlfn.XLOOKUP(CustomerCombinedCleaned[[#This Row],[ID]], Table4[ID], Table4[Teas], "Not Found", 0)</f>
        <v>1158</v>
      </c>
      <c r="L1818" s="16">
        <f>_xlfn.XLOOKUP(CustomerCombinedCleaned[[#This Row],[ID]], Table4[ID], Table4[Fruits], "Not Found", 0)</f>
        <v>177</v>
      </c>
      <c r="M1818" s="16">
        <f>_xlfn.XLOOKUP(CustomerCombinedCleaned[[#This Row],[ID]], Table4[ID], Table4[Meats], "Not Found", 0)</f>
        <v>622</v>
      </c>
      <c r="N1818" s="16">
        <f>_xlfn.XLOOKUP(CustomerCombinedCleaned[[#This Row],[ID]], Table4[ID], Table4[Seafood], "Not Found", 0)</f>
        <v>232</v>
      </c>
      <c r="O1818" s="16">
        <f>_xlfn.XLOOKUP(CustomerCombinedCleaned[[#This Row],[ID]], Table4[ID], Table4[Sweets], "Not Found", 0)</f>
        <v>87</v>
      </c>
      <c r="P1818" s="16">
        <f>_xlfn.XLOOKUP(CustomerCombinedCleaned[[#This Row],[ID]], Table4[ID], Table4[Premium], "Not Found", 0)</f>
        <v>154</v>
      </c>
      <c r="Q1818" s="16">
        <f>_xlfn.XLOOKUP(CustomerCombinedCleaned[[#This Row],[ID]], Table4[ID], Table4[Regular], "Not Found", 0)</f>
        <v>2121</v>
      </c>
      <c r="R1818" s="16">
        <f>_xlfn.XLOOKUP(CustomerCombinedCleaned[[#This Row],[ID]], Table4[ID], Table4[Deals], "Not Found", 0)</f>
        <v>3</v>
      </c>
      <c r="S1818" s="16">
        <f>_xlfn.XLOOKUP(CustomerCombinedCleaned[[#This Row],[ID]], Table4[ID], Table4[Website], "Not Found", 0)</f>
        <v>9</v>
      </c>
      <c r="T1818" s="16">
        <f>_xlfn.XLOOKUP(CustomerCombinedCleaned[[#This Row],[ID]], Table4[ID], Table4[Catalog], "Not Found", 0)</f>
        <v>2</v>
      </c>
      <c r="U1818" s="16">
        <f>_xlfn.XLOOKUP(CustomerCombinedCleaned[[#This Row],[ID]], Table4[ID], Table4[Store], "Not Found", 0)</f>
        <v>12</v>
      </c>
      <c r="V1818" s="16">
        <f>_xlfn.XLOOKUP(CustomerCombinedCleaned[[#This Row],[ID]], Table4[ID], Table4[Visits], "Not Found", 0)</f>
        <v>6</v>
      </c>
      <c r="W1818" s="16">
        <f>_xlfn.XLOOKUP(CustomerCombinedCleaned[[#This Row],[ID]], Table2[ID],Table2[Complaint], "Not Found", 0 )</f>
        <v>0</v>
      </c>
      <c r="X1818" s="16">
        <f>_xlfn.XLOOKUP(CustomerCombinedCleaned[[#This Row],[ID]], Table2[ID],Table2[Pilot], "Not Found", 0 )</f>
        <v>0</v>
      </c>
      <c r="Y1818" s="16">
        <f>_xlfn.XLOOKUP(CustomerCombinedCleaned[[#This Row],[ID]], Table2[ID],Table2[MC1], "Not Found", 0 )</f>
        <v>0</v>
      </c>
      <c r="Z1818" s="16">
        <f>_xlfn.XLOOKUP(CustomerCombinedCleaned[[#This Row],[ID]], Table2[ID],Table2[MC2], "Not Found", 0 )</f>
        <v>0</v>
      </c>
      <c r="AA1818" s="16">
        <f>_xlfn.XLOOKUP(CustomerCombinedCleaned[[#This Row],[ID]], Table2[ID],Table2[MC3], "Not Found", 0 )</f>
        <v>0</v>
      </c>
      <c r="AB1818" s="16">
        <f>_xlfn.XLOOKUP(CustomerCombinedCleaned[[#This Row],[ID]], Table2[ID],Table2[MC4], "Not Found", 0 )</f>
        <v>0</v>
      </c>
      <c r="AC1818" s="16">
        <f>_xlfn.XLOOKUP(CustomerCombinedCleaned[[#This Row],[ID]], Table2[ID],Table2[MC5], "Not Found", 0 )</f>
        <v>0</v>
      </c>
    </row>
    <row r="1819" spans="1:29" x14ac:dyDescent="0.3">
      <c r="A1819" s="18">
        <v>1317</v>
      </c>
      <c r="B1819" s="16">
        <v>166334</v>
      </c>
      <c r="C1819" s="16">
        <v>0</v>
      </c>
      <c r="D1819" s="16">
        <v>1</v>
      </c>
      <c r="E1819" s="16">
        <v>64</v>
      </c>
      <c r="F1819" s="17" t="s">
        <v>6</v>
      </c>
      <c r="G1819" s="17" t="s">
        <v>13</v>
      </c>
      <c r="H1819" s="3" t="s">
        <v>689</v>
      </c>
      <c r="I1819" s="5" t="s">
        <v>435</v>
      </c>
      <c r="J1819" s="16">
        <f>_xlfn.XLOOKUP(CustomerCombinedCleaned[[#This Row],[ID]], Table4[ID], Table4[Recency], "Not Found", 0)</f>
        <v>82</v>
      </c>
      <c r="K1819" s="16">
        <f>_xlfn.XLOOKUP(CustomerCombinedCleaned[[#This Row],[ID]], Table4[ID], Table4[Teas], "Not Found", 0)</f>
        <v>2279</v>
      </c>
      <c r="L1819" s="16">
        <f>_xlfn.XLOOKUP(CustomerCombinedCleaned[[#This Row],[ID]], Table4[ID], Table4[Fruits], "Not Found", 0)</f>
        <v>28</v>
      </c>
      <c r="M1819" s="16">
        <f>_xlfn.XLOOKUP(CustomerCombinedCleaned[[#This Row],[ID]], Table4[ID], Table4[Meats], "Not Found", 0)</f>
        <v>547</v>
      </c>
      <c r="N1819" s="16">
        <f>_xlfn.XLOOKUP(CustomerCombinedCleaned[[#This Row],[ID]], Table4[ID], Table4[Seafood], "Not Found", 0)</f>
        <v>0</v>
      </c>
      <c r="O1819" s="16">
        <f>_xlfn.XLOOKUP(CustomerCombinedCleaned[[#This Row],[ID]], Table4[ID], Table4[Sweets], "Not Found", 0)</f>
        <v>0</v>
      </c>
      <c r="P1819" s="16">
        <f>_xlfn.XLOOKUP(CustomerCombinedCleaned[[#This Row],[ID]], Table4[ID], Table4[Premium], "Not Found", 0)</f>
        <v>58</v>
      </c>
      <c r="Q1819" s="16">
        <f>_xlfn.XLOOKUP(CustomerCombinedCleaned[[#This Row],[ID]], Table4[ID], Table4[Regular], "Not Found", 0)</f>
        <v>2796</v>
      </c>
      <c r="R1819" s="16">
        <f>_xlfn.XLOOKUP(CustomerCombinedCleaned[[#This Row],[ID]], Table4[ID], Table4[Deals], "Not Found", 0)</f>
        <v>2</v>
      </c>
      <c r="S1819" s="16">
        <f>_xlfn.XLOOKUP(CustomerCombinedCleaned[[#This Row],[ID]], Table4[ID], Table4[Website], "Not Found", 0)</f>
        <v>9</v>
      </c>
      <c r="T1819" s="16">
        <f>_xlfn.XLOOKUP(CustomerCombinedCleaned[[#This Row],[ID]], Table4[ID], Table4[Catalog], "Not Found", 0)</f>
        <v>3</v>
      </c>
      <c r="U1819" s="16">
        <f>_xlfn.XLOOKUP(CustomerCombinedCleaned[[#This Row],[ID]], Table4[ID], Table4[Store], "Not Found", 0)</f>
        <v>5</v>
      </c>
      <c r="V1819" s="16">
        <f>_xlfn.XLOOKUP(CustomerCombinedCleaned[[#This Row],[ID]], Table4[ID], Table4[Visits], "Not Found", 0)</f>
        <v>5</v>
      </c>
      <c r="W1819" s="16">
        <f>_xlfn.XLOOKUP(CustomerCombinedCleaned[[#This Row],[ID]], Table2[ID],Table2[Complaint], "Not Found", 0 )</f>
        <v>0</v>
      </c>
      <c r="X1819" s="16">
        <f>_xlfn.XLOOKUP(CustomerCombinedCleaned[[#This Row],[ID]], Table2[ID],Table2[Pilot], "Not Found", 0 )</f>
        <v>1</v>
      </c>
      <c r="Y1819" s="16">
        <f>_xlfn.XLOOKUP(CustomerCombinedCleaned[[#This Row],[ID]], Table2[ID],Table2[MC1], "Not Found", 0 )</f>
        <v>0</v>
      </c>
      <c r="Z1819" s="16">
        <f>_xlfn.XLOOKUP(CustomerCombinedCleaned[[#This Row],[ID]], Table2[ID],Table2[MC2], "Not Found", 0 )</f>
        <v>0</v>
      </c>
      <c r="AA1819" s="16">
        <f>_xlfn.XLOOKUP(CustomerCombinedCleaned[[#This Row],[ID]], Table2[ID],Table2[MC3], "Not Found", 0 )</f>
        <v>0</v>
      </c>
      <c r="AB1819" s="16">
        <f>_xlfn.XLOOKUP(CustomerCombinedCleaned[[#This Row],[ID]], Table2[ID],Table2[MC4], "Not Found", 0 )</f>
        <v>0</v>
      </c>
      <c r="AC1819" s="16">
        <f>_xlfn.XLOOKUP(CustomerCombinedCleaned[[#This Row],[ID]], Table2[ID],Table2[MC5], "Not Found", 0 )</f>
        <v>0</v>
      </c>
    </row>
    <row r="1820" spans="1:29" x14ac:dyDescent="0.3">
      <c r="A1820" s="18">
        <v>2291</v>
      </c>
      <c r="B1820" s="16">
        <v>164857</v>
      </c>
      <c r="C1820" s="16">
        <v>0</v>
      </c>
      <c r="D1820" s="16">
        <v>0</v>
      </c>
      <c r="E1820" s="16">
        <v>64</v>
      </c>
      <c r="F1820" s="17" t="s">
        <v>7</v>
      </c>
      <c r="G1820" s="17" t="s">
        <v>12</v>
      </c>
      <c r="H1820" s="3" t="s">
        <v>353</v>
      </c>
      <c r="I1820" s="5" t="s">
        <v>434</v>
      </c>
      <c r="J1820" s="16">
        <f>_xlfn.XLOOKUP(CustomerCombinedCleaned[[#This Row],[ID]], Table4[ID], Table4[Recency], "Not Found", 0)</f>
        <v>78</v>
      </c>
      <c r="K1820" s="16">
        <f>_xlfn.XLOOKUP(CustomerCombinedCleaned[[#This Row],[ID]], Table4[ID], Table4[Teas], "Not Found", 0)</f>
        <v>1413</v>
      </c>
      <c r="L1820" s="16">
        <f>_xlfn.XLOOKUP(CustomerCombinedCleaned[[#This Row],[ID]], Table4[ID], Table4[Fruits], "Not Found", 0)</f>
        <v>36</v>
      </c>
      <c r="M1820" s="16">
        <f>_xlfn.XLOOKUP(CustomerCombinedCleaned[[#This Row],[ID]], Table4[ID], Table4[Meats], "Not Found", 0)</f>
        <v>1823</v>
      </c>
      <c r="N1820" s="16">
        <f>_xlfn.XLOOKUP(CustomerCombinedCleaned[[#This Row],[ID]], Table4[ID], Table4[Seafood], "Not Found", 0)</f>
        <v>534</v>
      </c>
      <c r="O1820" s="16">
        <f>_xlfn.XLOOKUP(CustomerCombinedCleaned[[#This Row],[ID]], Table4[ID], Table4[Sweets], "Not Found", 0)</f>
        <v>0</v>
      </c>
      <c r="P1820" s="16">
        <f>_xlfn.XLOOKUP(CustomerCombinedCleaned[[#This Row],[ID]], Table4[ID], Table4[Premium], "Not Found", 0)</f>
        <v>109</v>
      </c>
      <c r="Q1820" s="16">
        <f>_xlfn.XLOOKUP(CustomerCombinedCleaned[[#This Row],[ID]], Table4[ID], Table4[Regular], "Not Found", 0)</f>
        <v>3696</v>
      </c>
      <c r="R1820" s="16">
        <f>_xlfn.XLOOKUP(CustomerCombinedCleaned[[#This Row],[ID]], Table4[ID], Table4[Deals], "Not Found", 0)</f>
        <v>1</v>
      </c>
      <c r="S1820" s="16">
        <f>_xlfn.XLOOKUP(CustomerCombinedCleaned[[#This Row],[ID]], Table4[ID], Table4[Website], "Not Found", 0)</f>
        <v>7</v>
      </c>
      <c r="T1820" s="16">
        <f>_xlfn.XLOOKUP(CustomerCombinedCleaned[[#This Row],[ID]], Table4[ID], Table4[Catalog], "Not Found", 0)</f>
        <v>5</v>
      </c>
      <c r="U1820" s="16">
        <f>_xlfn.XLOOKUP(CustomerCombinedCleaned[[#This Row],[ID]], Table4[ID], Table4[Store], "Not Found", 0)</f>
        <v>10</v>
      </c>
      <c r="V1820" s="16">
        <f>_xlfn.XLOOKUP(CustomerCombinedCleaned[[#This Row],[ID]], Table4[ID], Table4[Visits], "Not Found", 0)</f>
        <v>4</v>
      </c>
      <c r="W1820" s="16">
        <f>_xlfn.XLOOKUP(CustomerCombinedCleaned[[#This Row],[ID]], Table2[ID],Table2[Complaint], "Not Found", 0 )</f>
        <v>0</v>
      </c>
      <c r="X1820" s="16">
        <f>_xlfn.XLOOKUP(CustomerCombinedCleaned[[#This Row],[ID]], Table2[ID],Table2[Pilot], "Not Found", 0 )</f>
        <v>0</v>
      </c>
      <c r="Y1820" s="16">
        <f>_xlfn.XLOOKUP(CustomerCombinedCleaned[[#This Row],[ID]], Table2[ID],Table2[MC1], "Not Found", 0 )</f>
        <v>0</v>
      </c>
      <c r="Z1820" s="16">
        <f>_xlfn.XLOOKUP(CustomerCombinedCleaned[[#This Row],[ID]], Table2[ID],Table2[MC2], "Not Found", 0 )</f>
        <v>0</v>
      </c>
      <c r="AA1820" s="16">
        <f>_xlfn.XLOOKUP(CustomerCombinedCleaned[[#This Row],[ID]], Table2[ID],Table2[MC3], "Not Found", 0 )</f>
        <v>0</v>
      </c>
      <c r="AB1820" s="16">
        <f>_xlfn.XLOOKUP(CustomerCombinedCleaned[[#This Row],[ID]], Table2[ID],Table2[MC4], "Not Found", 0 )</f>
        <v>0</v>
      </c>
      <c r="AC1820" s="16">
        <f>_xlfn.XLOOKUP(CustomerCombinedCleaned[[#This Row],[ID]], Table2[ID],Table2[MC5], "Not Found", 0 )</f>
        <v>0</v>
      </c>
    </row>
    <row r="1821" spans="1:29" x14ac:dyDescent="0.3">
      <c r="A1821" s="18">
        <v>2452</v>
      </c>
      <c r="B1821" s="16">
        <v>164857</v>
      </c>
      <c r="C1821" s="16">
        <v>0</v>
      </c>
      <c r="D1821" s="16">
        <v>0</v>
      </c>
      <c r="E1821" s="16">
        <v>64</v>
      </c>
      <c r="F1821" s="17" t="s">
        <v>7</v>
      </c>
      <c r="G1821" s="17" t="s">
        <v>12</v>
      </c>
      <c r="H1821" s="3" t="s">
        <v>353</v>
      </c>
      <c r="I1821" s="5" t="s">
        <v>439</v>
      </c>
      <c r="J1821" s="16">
        <f>_xlfn.XLOOKUP(CustomerCombinedCleaned[[#This Row],[ID]], Table4[ID], Table4[Recency], "Not Found", 0)</f>
        <v>78</v>
      </c>
      <c r="K1821" s="16">
        <f>_xlfn.XLOOKUP(CustomerCombinedCleaned[[#This Row],[ID]], Table4[ID], Table4[Teas], "Not Found", 0)</f>
        <v>1413</v>
      </c>
      <c r="L1821" s="16">
        <f>_xlfn.XLOOKUP(CustomerCombinedCleaned[[#This Row],[ID]], Table4[ID], Table4[Fruits], "Not Found", 0)</f>
        <v>36</v>
      </c>
      <c r="M1821" s="16">
        <f>_xlfn.XLOOKUP(CustomerCombinedCleaned[[#This Row],[ID]], Table4[ID], Table4[Meats], "Not Found", 0)</f>
        <v>1823</v>
      </c>
      <c r="N1821" s="16">
        <f>_xlfn.XLOOKUP(CustomerCombinedCleaned[[#This Row],[ID]], Table4[ID], Table4[Seafood], "Not Found", 0)</f>
        <v>534</v>
      </c>
      <c r="O1821" s="16">
        <f>_xlfn.XLOOKUP(CustomerCombinedCleaned[[#This Row],[ID]], Table4[ID], Table4[Sweets], "Not Found", 0)</f>
        <v>0</v>
      </c>
      <c r="P1821" s="16">
        <f>_xlfn.XLOOKUP(CustomerCombinedCleaned[[#This Row],[ID]], Table4[ID], Table4[Premium], "Not Found", 0)</f>
        <v>109</v>
      </c>
      <c r="Q1821" s="16">
        <f>_xlfn.XLOOKUP(CustomerCombinedCleaned[[#This Row],[ID]], Table4[ID], Table4[Regular], "Not Found", 0)</f>
        <v>3696</v>
      </c>
      <c r="R1821" s="16">
        <f>_xlfn.XLOOKUP(CustomerCombinedCleaned[[#This Row],[ID]], Table4[ID], Table4[Deals], "Not Found", 0)</f>
        <v>1</v>
      </c>
      <c r="S1821" s="16">
        <f>_xlfn.XLOOKUP(CustomerCombinedCleaned[[#This Row],[ID]], Table4[ID], Table4[Website], "Not Found", 0)</f>
        <v>7</v>
      </c>
      <c r="T1821" s="16">
        <f>_xlfn.XLOOKUP(CustomerCombinedCleaned[[#This Row],[ID]], Table4[ID], Table4[Catalog], "Not Found", 0)</f>
        <v>5</v>
      </c>
      <c r="U1821" s="16">
        <f>_xlfn.XLOOKUP(CustomerCombinedCleaned[[#This Row],[ID]], Table4[ID], Table4[Store], "Not Found", 0)</f>
        <v>10</v>
      </c>
      <c r="V1821" s="16">
        <f>_xlfn.XLOOKUP(CustomerCombinedCleaned[[#This Row],[ID]], Table4[ID], Table4[Visits], "Not Found", 0)</f>
        <v>4</v>
      </c>
      <c r="W1821" s="16">
        <f>_xlfn.XLOOKUP(CustomerCombinedCleaned[[#This Row],[ID]], Table2[ID],Table2[Complaint], "Not Found", 0 )</f>
        <v>0</v>
      </c>
      <c r="X1821" s="16">
        <f>_xlfn.XLOOKUP(CustomerCombinedCleaned[[#This Row],[ID]], Table2[ID],Table2[Pilot], "Not Found", 0 )</f>
        <v>0</v>
      </c>
      <c r="Y1821" s="16">
        <f>_xlfn.XLOOKUP(CustomerCombinedCleaned[[#This Row],[ID]], Table2[ID],Table2[MC1], "Not Found", 0 )</f>
        <v>0</v>
      </c>
      <c r="Z1821" s="16">
        <f>_xlfn.XLOOKUP(CustomerCombinedCleaned[[#This Row],[ID]], Table2[ID],Table2[MC2], "Not Found", 0 )</f>
        <v>0</v>
      </c>
      <c r="AA1821" s="16">
        <f>_xlfn.XLOOKUP(CustomerCombinedCleaned[[#This Row],[ID]], Table2[ID],Table2[MC3], "Not Found", 0 )</f>
        <v>0</v>
      </c>
      <c r="AB1821" s="16">
        <f>_xlfn.XLOOKUP(CustomerCombinedCleaned[[#This Row],[ID]], Table2[ID],Table2[MC4], "Not Found", 0 )</f>
        <v>0</v>
      </c>
      <c r="AC1821" s="16">
        <f>_xlfn.XLOOKUP(CustomerCombinedCleaned[[#This Row],[ID]], Table2[ID],Table2[MC5], "Not Found", 0 )</f>
        <v>0</v>
      </c>
    </row>
    <row r="1822" spans="1:29" x14ac:dyDescent="0.3">
      <c r="A1822" s="18">
        <v>1877</v>
      </c>
      <c r="B1822" s="16">
        <v>164090</v>
      </c>
      <c r="C1822" s="16">
        <v>0</v>
      </c>
      <c r="D1822" s="16">
        <v>1</v>
      </c>
      <c r="E1822" s="16">
        <v>64</v>
      </c>
      <c r="F1822" s="17" t="s">
        <v>8</v>
      </c>
      <c r="G1822" s="17" t="s">
        <v>11</v>
      </c>
      <c r="H1822" s="3" t="s">
        <v>572</v>
      </c>
      <c r="I1822" s="5" t="s">
        <v>434</v>
      </c>
      <c r="J1822" s="16">
        <f>_xlfn.XLOOKUP(CustomerCombinedCleaned[[#This Row],[ID]], Table4[ID], Table4[Recency], "Not Found", 0)</f>
        <v>8</v>
      </c>
      <c r="K1822" s="16">
        <f>_xlfn.XLOOKUP(CustomerCombinedCleaned[[#This Row],[ID]], Table4[ID], Table4[Teas], "Not Found", 0)</f>
        <v>809</v>
      </c>
      <c r="L1822" s="16">
        <f>_xlfn.XLOOKUP(CustomerCombinedCleaned[[#This Row],[ID]], Table4[ID], Table4[Fruits], "Not Found", 0)</f>
        <v>148</v>
      </c>
      <c r="M1822" s="16">
        <f>_xlfn.XLOOKUP(CustomerCombinedCleaned[[#This Row],[ID]], Table4[ID], Table4[Meats], "Not Found", 0)</f>
        <v>412</v>
      </c>
      <c r="N1822" s="16">
        <f>_xlfn.XLOOKUP(CustomerCombinedCleaned[[#This Row],[ID]], Table4[ID], Table4[Seafood], "Not Found", 0)</f>
        <v>195</v>
      </c>
      <c r="O1822" s="16">
        <f>_xlfn.XLOOKUP(CustomerCombinedCleaned[[#This Row],[ID]], Table4[ID], Table4[Sweets], "Not Found", 0)</f>
        <v>131</v>
      </c>
      <c r="P1822" s="16">
        <f>_xlfn.XLOOKUP(CustomerCombinedCleaned[[#This Row],[ID]], Table4[ID], Table4[Premium], "Not Found", 0)</f>
        <v>346</v>
      </c>
      <c r="Q1822" s="16">
        <f>_xlfn.XLOOKUP(CustomerCombinedCleaned[[#This Row],[ID]], Table4[ID], Table4[Regular], "Not Found", 0)</f>
        <v>1349</v>
      </c>
      <c r="R1822" s="16">
        <f>_xlfn.XLOOKUP(CustomerCombinedCleaned[[#This Row],[ID]], Table4[ID], Table4[Deals], "Not Found", 0)</f>
        <v>1</v>
      </c>
      <c r="S1822" s="16">
        <f>_xlfn.XLOOKUP(CustomerCombinedCleaned[[#This Row],[ID]], Table4[ID], Table4[Website], "Not Found", 0)</f>
        <v>6</v>
      </c>
      <c r="T1822" s="16">
        <f>_xlfn.XLOOKUP(CustomerCombinedCleaned[[#This Row],[ID]], Table4[ID], Table4[Catalog], "Not Found", 0)</f>
        <v>9</v>
      </c>
      <c r="U1822" s="16">
        <f>_xlfn.XLOOKUP(CustomerCombinedCleaned[[#This Row],[ID]], Table4[ID], Table4[Store], "Not Found", 0)</f>
        <v>4</v>
      </c>
      <c r="V1822" s="16">
        <f>_xlfn.XLOOKUP(CustomerCombinedCleaned[[#This Row],[ID]], Table4[ID], Table4[Visits], "Not Found", 0)</f>
        <v>5</v>
      </c>
      <c r="W1822" s="16">
        <f>_xlfn.XLOOKUP(CustomerCombinedCleaned[[#This Row],[ID]], Table2[ID],Table2[Complaint], "Not Found", 0 )</f>
        <v>0</v>
      </c>
      <c r="X1822" s="16">
        <f>_xlfn.XLOOKUP(CustomerCombinedCleaned[[#This Row],[ID]], Table2[ID],Table2[Pilot], "Not Found", 0 )</f>
        <v>1</v>
      </c>
      <c r="Y1822" s="16">
        <f>_xlfn.XLOOKUP(CustomerCombinedCleaned[[#This Row],[ID]], Table2[ID],Table2[MC1], "Not Found", 0 )</f>
        <v>0</v>
      </c>
      <c r="Z1822" s="16">
        <f>_xlfn.XLOOKUP(CustomerCombinedCleaned[[#This Row],[ID]], Table2[ID],Table2[MC2], "Not Found", 0 )</f>
        <v>0</v>
      </c>
      <c r="AA1822" s="16">
        <f>_xlfn.XLOOKUP(CustomerCombinedCleaned[[#This Row],[ID]], Table2[ID],Table2[MC3], "Not Found", 0 )</f>
        <v>0</v>
      </c>
      <c r="AB1822" s="16">
        <f>_xlfn.XLOOKUP(CustomerCombinedCleaned[[#This Row],[ID]], Table2[ID],Table2[MC4], "Not Found", 0 )</f>
        <v>0</v>
      </c>
      <c r="AC1822" s="16">
        <f>_xlfn.XLOOKUP(CustomerCombinedCleaned[[#This Row],[ID]], Table2[ID],Table2[MC5], "Not Found", 0 )</f>
        <v>0</v>
      </c>
    </row>
    <row r="1823" spans="1:29" x14ac:dyDescent="0.3">
      <c r="A1823" s="18">
        <v>2528</v>
      </c>
      <c r="B1823" s="16">
        <v>163943</v>
      </c>
      <c r="C1823" s="16">
        <v>0</v>
      </c>
      <c r="D1823" s="16">
        <v>1</v>
      </c>
      <c r="E1823" s="16">
        <v>64</v>
      </c>
      <c r="F1823" s="17" t="s">
        <v>6</v>
      </c>
      <c r="G1823" s="17" t="s">
        <v>11</v>
      </c>
      <c r="H1823" s="3" t="s">
        <v>703</v>
      </c>
      <c r="I1823" s="5" t="s">
        <v>438</v>
      </c>
      <c r="J1823" s="16">
        <f>_xlfn.XLOOKUP(CustomerCombinedCleaned[[#This Row],[ID]], Table4[ID], Table4[Recency], "Not Found", 0)</f>
        <v>50</v>
      </c>
      <c r="K1823" s="16">
        <f>_xlfn.XLOOKUP(CustomerCombinedCleaned[[#This Row],[ID]], Table4[ID], Table4[Teas], "Not Found", 0)</f>
        <v>1085</v>
      </c>
      <c r="L1823" s="16">
        <f>_xlfn.XLOOKUP(CustomerCombinedCleaned[[#This Row],[ID]], Table4[ID], Table4[Fruits], "Not Found", 0)</f>
        <v>472</v>
      </c>
      <c r="M1823" s="16">
        <f>_xlfn.XLOOKUP(CustomerCombinedCleaned[[#This Row],[ID]], Table4[ID], Table4[Meats], "Not Found", 0)</f>
        <v>944</v>
      </c>
      <c r="N1823" s="16">
        <f>_xlfn.XLOOKUP(CustomerCombinedCleaned[[#This Row],[ID]], Table4[ID], Table4[Seafood], "Not Found", 0)</f>
        <v>33</v>
      </c>
      <c r="O1823" s="16">
        <f>_xlfn.XLOOKUP(CustomerCombinedCleaned[[#This Row],[ID]], Table4[ID], Table4[Sweets], "Not Found", 0)</f>
        <v>249</v>
      </c>
      <c r="P1823" s="16">
        <f>_xlfn.XLOOKUP(CustomerCombinedCleaned[[#This Row],[ID]], Table4[ID], Table4[Premium], "Not Found", 0)</f>
        <v>54</v>
      </c>
      <c r="Q1823" s="16">
        <f>_xlfn.XLOOKUP(CustomerCombinedCleaned[[#This Row],[ID]], Table4[ID], Table4[Regular], "Not Found", 0)</f>
        <v>2728</v>
      </c>
      <c r="R1823" s="16">
        <f>_xlfn.XLOOKUP(CustomerCombinedCleaned[[#This Row],[ID]], Table4[ID], Table4[Deals], "Not Found", 0)</f>
        <v>1</v>
      </c>
      <c r="S1823" s="16">
        <f>_xlfn.XLOOKUP(CustomerCombinedCleaned[[#This Row],[ID]], Table4[ID], Table4[Website], "Not Found", 0)</f>
        <v>6</v>
      </c>
      <c r="T1823" s="16">
        <f>_xlfn.XLOOKUP(CustomerCombinedCleaned[[#This Row],[ID]], Table4[ID], Table4[Catalog], "Not Found", 0)</f>
        <v>4</v>
      </c>
      <c r="U1823" s="16">
        <f>_xlfn.XLOOKUP(CustomerCombinedCleaned[[#This Row],[ID]], Table4[ID], Table4[Store], "Not Found", 0)</f>
        <v>6</v>
      </c>
      <c r="V1823" s="16">
        <f>_xlfn.XLOOKUP(CustomerCombinedCleaned[[#This Row],[ID]], Table4[ID], Table4[Visits], "Not Found", 0)</f>
        <v>5</v>
      </c>
      <c r="W1823" s="16">
        <f>_xlfn.XLOOKUP(CustomerCombinedCleaned[[#This Row],[ID]], Table2[ID],Table2[Complaint], "Not Found", 0 )</f>
        <v>0</v>
      </c>
      <c r="X1823" s="16">
        <f>_xlfn.XLOOKUP(CustomerCombinedCleaned[[#This Row],[ID]], Table2[ID],Table2[Pilot], "Not Found", 0 )</f>
        <v>0</v>
      </c>
      <c r="Y1823" s="16">
        <f>_xlfn.XLOOKUP(CustomerCombinedCleaned[[#This Row],[ID]], Table2[ID],Table2[MC1], "Not Found", 0 )</f>
        <v>0</v>
      </c>
      <c r="Z1823" s="16">
        <f>_xlfn.XLOOKUP(CustomerCombinedCleaned[[#This Row],[ID]], Table2[ID],Table2[MC2], "Not Found", 0 )</f>
        <v>0</v>
      </c>
      <c r="AA1823" s="16">
        <f>_xlfn.XLOOKUP(CustomerCombinedCleaned[[#This Row],[ID]], Table2[ID],Table2[MC3], "Not Found", 0 )</f>
        <v>0</v>
      </c>
      <c r="AB1823" s="16">
        <f>_xlfn.XLOOKUP(CustomerCombinedCleaned[[#This Row],[ID]], Table2[ID],Table2[MC4], "Not Found", 0 )</f>
        <v>0</v>
      </c>
      <c r="AC1823" s="16">
        <f>_xlfn.XLOOKUP(CustomerCombinedCleaned[[#This Row],[ID]], Table2[ID],Table2[MC5], "Not Found", 0 )</f>
        <v>0</v>
      </c>
    </row>
    <row r="1824" spans="1:29" x14ac:dyDescent="0.3">
      <c r="A1824" s="18">
        <v>2371</v>
      </c>
      <c r="B1824" s="16">
        <v>163915</v>
      </c>
      <c r="C1824" s="16">
        <v>0</v>
      </c>
      <c r="D1824" s="16">
        <v>2</v>
      </c>
      <c r="E1824" s="16">
        <v>64</v>
      </c>
      <c r="F1824" s="17" t="s">
        <v>6</v>
      </c>
      <c r="G1824" s="17" t="s">
        <v>12</v>
      </c>
      <c r="H1824" s="3" t="s">
        <v>704</v>
      </c>
      <c r="I1824" s="5" t="s">
        <v>437</v>
      </c>
      <c r="J1824" s="16">
        <f>_xlfn.XLOOKUP(CustomerCombinedCleaned[[#This Row],[ID]], Table4[ID], Table4[Recency], "Not Found", 0)</f>
        <v>2</v>
      </c>
      <c r="K1824" s="16">
        <f>_xlfn.XLOOKUP(CustomerCombinedCleaned[[#This Row],[ID]], Table4[ID], Table4[Teas], "Not Found", 0)</f>
        <v>1595</v>
      </c>
      <c r="L1824" s="16">
        <f>_xlfn.XLOOKUP(CustomerCombinedCleaned[[#This Row],[ID]], Table4[ID], Table4[Fruits], "Not Found", 0)</f>
        <v>18</v>
      </c>
      <c r="M1824" s="16">
        <f>_xlfn.XLOOKUP(CustomerCombinedCleaned[[#This Row],[ID]], Table4[ID], Table4[Meats], "Not Found", 0)</f>
        <v>295</v>
      </c>
      <c r="N1824" s="16">
        <f>_xlfn.XLOOKUP(CustomerCombinedCleaned[[#This Row],[ID]], Table4[ID], Table4[Seafood], "Not Found", 0)</f>
        <v>77</v>
      </c>
      <c r="O1824" s="16">
        <f>_xlfn.XLOOKUP(CustomerCombinedCleaned[[#This Row],[ID]], Table4[ID], Table4[Sweets], "Not Found", 0)</f>
        <v>0</v>
      </c>
      <c r="P1824" s="16">
        <f>_xlfn.XLOOKUP(CustomerCombinedCleaned[[#This Row],[ID]], Table4[ID], Table4[Premium], "Not Found", 0)</f>
        <v>38</v>
      </c>
      <c r="Q1824" s="16">
        <f>_xlfn.XLOOKUP(CustomerCombinedCleaned[[#This Row],[ID]], Table4[ID], Table4[Regular], "Not Found", 0)</f>
        <v>1947</v>
      </c>
      <c r="R1824" s="16">
        <f>_xlfn.XLOOKUP(CustomerCombinedCleaned[[#This Row],[ID]], Table4[ID], Table4[Deals], "Not Found", 0)</f>
        <v>2</v>
      </c>
      <c r="S1824" s="16">
        <f>_xlfn.XLOOKUP(CustomerCombinedCleaned[[#This Row],[ID]], Table4[ID], Table4[Website], "Not Found", 0)</f>
        <v>6</v>
      </c>
      <c r="T1824" s="16">
        <f>_xlfn.XLOOKUP(CustomerCombinedCleaned[[#This Row],[ID]], Table4[ID], Table4[Catalog], "Not Found", 0)</f>
        <v>3</v>
      </c>
      <c r="U1824" s="16">
        <f>_xlfn.XLOOKUP(CustomerCombinedCleaned[[#This Row],[ID]], Table4[ID], Table4[Store], "Not Found", 0)</f>
        <v>12</v>
      </c>
      <c r="V1824" s="16">
        <f>_xlfn.XLOOKUP(CustomerCombinedCleaned[[#This Row],[ID]], Table4[ID], Table4[Visits], "Not Found", 0)</f>
        <v>5</v>
      </c>
      <c r="W1824" s="16">
        <f>_xlfn.XLOOKUP(CustomerCombinedCleaned[[#This Row],[ID]], Table2[ID],Table2[Complaint], "Not Found", 0 )</f>
        <v>0</v>
      </c>
      <c r="X1824" s="16">
        <f>_xlfn.XLOOKUP(CustomerCombinedCleaned[[#This Row],[ID]], Table2[ID],Table2[Pilot], "Not Found", 0 )</f>
        <v>0</v>
      </c>
      <c r="Y1824" s="16">
        <f>_xlfn.XLOOKUP(CustomerCombinedCleaned[[#This Row],[ID]], Table2[ID],Table2[MC1], "Not Found", 0 )</f>
        <v>0</v>
      </c>
      <c r="Z1824" s="16">
        <f>_xlfn.XLOOKUP(CustomerCombinedCleaned[[#This Row],[ID]], Table2[ID],Table2[MC2], "Not Found", 0 )</f>
        <v>0</v>
      </c>
      <c r="AA1824" s="16">
        <f>_xlfn.XLOOKUP(CustomerCombinedCleaned[[#This Row],[ID]], Table2[ID],Table2[MC3], "Not Found", 0 )</f>
        <v>0</v>
      </c>
      <c r="AB1824" s="16">
        <f>_xlfn.XLOOKUP(CustomerCombinedCleaned[[#This Row],[ID]], Table2[ID],Table2[MC4], "Not Found", 0 )</f>
        <v>0</v>
      </c>
      <c r="AC1824" s="16">
        <f>_xlfn.XLOOKUP(CustomerCombinedCleaned[[#This Row],[ID]], Table2[ID],Table2[MC5], "Not Found", 0 )</f>
        <v>0</v>
      </c>
    </row>
    <row r="1825" spans="1:29" x14ac:dyDescent="0.3">
      <c r="A1825" s="18">
        <v>1459</v>
      </c>
      <c r="B1825" s="16">
        <v>162503</v>
      </c>
      <c r="C1825" s="16">
        <v>0</v>
      </c>
      <c r="D1825" s="16">
        <v>1</v>
      </c>
      <c r="E1825" s="16">
        <v>64</v>
      </c>
      <c r="F1825" s="17" t="s">
        <v>6</v>
      </c>
      <c r="G1825" s="17" t="s">
        <v>11</v>
      </c>
      <c r="H1825" s="3" t="s">
        <v>305</v>
      </c>
      <c r="I1825" s="5" t="s">
        <v>437</v>
      </c>
      <c r="J1825" s="16">
        <f>_xlfn.XLOOKUP(CustomerCombinedCleaned[[#This Row],[ID]], Table4[ID], Table4[Recency], "Not Found", 0)</f>
        <v>40</v>
      </c>
      <c r="K1825" s="16">
        <f>_xlfn.XLOOKUP(CustomerCombinedCleaned[[#This Row],[ID]], Table4[ID], Table4[Teas], "Not Found", 0)</f>
        <v>1243</v>
      </c>
      <c r="L1825" s="16">
        <f>_xlfn.XLOOKUP(CustomerCombinedCleaned[[#This Row],[ID]], Table4[ID], Table4[Fruits], "Not Found", 0)</f>
        <v>0</v>
      </c>
      <c r="M1825" s="16">
        <f>_xlfn.XLOOKUP(CustomerCombinedCleaned[[#This Row],[ID]], Table4[ID], Table4[Meats], "Not Found", 0)</f>
        <v>502</v>
      </c>
      <c r="N1825" s="16">
        <f>_xlfn.XLOOKUP(CustomerCombinedCleaned[[#This Row],[ID]], Table4[ID], Table4[Seafood], "Not Found", 0)</f>
        <v>286</v>
      </c>
      <c r="O1825" s="16">
        <f>_xlfn.XLOOKUP(CustomerCombinedCleaned[[#This Row],[ID]], Table4[ID], Table4[Sweets], "Not Found", 0)</f>
        <v>195</v>
      </c>
      <c r="P1825" s="16">
        <f>_xlfn.XLOOKUP(CustomerCombinedCleaned[[#This Row],[ID]], Table4[ID], Table4[Premium], "Not Found", 0)</f>
        <v>304</v>
      </c>
      <c r="Q1825" s="16">
        <f>_xlfn.XLOOKUP(CustomerCombinedCleaned[[#This Row],[ID]], Table4[ID], Table4[Regular], "Not Found", 0)</f>
        <v>1921</v>
      </c>
      <c r="R1825" s="16">
        <f>_xlfn.XLOOKUP(CustomerCombinedCleaned[[#This Row],[ID]], Table4[ID], Table4[Deals], "Not Found", 0)</f>
        <v>4</v>
      </c>
      <c r="S1825" s="16">
        <f>_xlfn.XLOOKUP(CustomerCombinedCleaned[[#This Row],[ID]], Table4[ID], Table4[Website], "Not Found", 0)</f>
        <v>8</v>
      </c>
      <c r="T1825" s="16">
        <f>_xlfn.XLOOKUP(CustomerCombinedCleaned[[#This Row],[ID]], Table4[ID], Table4[Catalog], "Not Found", 0)</f>
        <v>3</v>
      </c>
      <c r="U1825" s="16">
        <f>_xlfn.XLOOKUP(CustomerCombinedCleaned[[#This Row],[ID]], Table4[ID], Table4[Store], "Not Found", 0)</f>
        <v>11</v>
      </c>
      <c r="V1825" s="16">
        <f>_xlfn.XLOOKUP(CustomerCombinedCleaned[[#This Row],[ID]], Table4[ID], Table4[Visits], "Not Found", 0)</f>
        <v>5</v>
      </c>
      <c r="W1825" s="16">
        <f>_xlfn.XLOOKUP(CustomerCombinedCleaned[[#This Row],[ID]], Table2[ID],Table2[Complaint], "Not Found", 0 )</f>
        <v>0</v>
      </c>
      <c r="X1825" s="16">
        <f>_xlfn.XLOOKUP(CustomerCombinedCleaned[[#This Row],[ID]], Table2[ID],Table2[Pilot], "Not Found", 0 )</f>
        <v>0</v>
      </c>
      <c r="Y1825" s="16">
        <f>_xlfn.XLOOKUP(CustomerCombinedCleaned[[#This Row],[ID]], Table2[ID],Table2[MC1], "Not Found", 0 )</f>
        <v>0</v>
      </c>
      <c r="Z1825" s="16">
        <f>_xlfn.XLOOKUP(CustomerCombinedCleaned[[#This Row],[ID]], Table2[ID],Table2[MC2], "Not Found", 0 )</f>
        <v>0</v>
      </c>
      <c r="AA1825" s="16">
        <f>_xlfn.XLOOKUP(CustomerCombinedCleaned[[#This Row],[ID]], Table2[ID],Table2[MC3], "Not Found", 0 )</f>
        <v>0</v>
      </c>
      <c r="AB1825" s="16">
        <f>_xlfn.XLOOKUP(CustomerCombinedCleaned[[#This Row],[ID]], Table2[ID],Table2[MC4], "Not Found", 0 )</f>
        <v>0</v>
      </c>
      <c r="AC1825" s="16">
        <f>_xlfn.XLOOKUP(CustomerCombinedCleaned[[#This Row],[ID]], Table2[ID],Table2[MC5], "Not Found", 0 )</f>
        <v>0</v>
      </c>
    </row>
    <row r="1826" spans="1:29" x14ac:dyDescent="0.3">
      <c r="A1826" s="18">
        <v>1750</v>
      </c>
      <c r="B1826" s="16">
        <v>162058</v>
      </c>
      <c r="C1826" s="16">
        <v>0</v>
      </c>
      <c r="D1826" s="16">
        <v>1</v>
      </c>
      <c r="E1826" s="16">
        <v>64</v>
      </c>
      <c r="F1826" s="17" t="s">
        <v>6</v>
      </c>
      <c r="G1826" s="17" t="s">
        <v>12</v>
      </c>
      <c r="H1826" s="3" t="s">
        <v>245</v>
      </c>
      <c r="I1826" s="5" t="s">
        <v>439</v>
      </c>
      <c r="J1826" s="16">
        <f>_xlfn.XLOOKUP(CustomerCombinedCleaned[[#This Row],[ID]], Table4[ID], Table4[Recency], "Not Found", 0)</f>
        <v>52</v>
      </c>
      <c r="K1826" s="16">
        <f>_xlfn.XLOOKUP(CustomerCombinedCleaned[[#This Row],[ID]], Table4[ID], Table4[Teas], "Not Found", 0)</f>
        <v>786</v>
      </c>
      <c r="L1826" s="16">
        <f>_xlfn.XLOOKUP(CustomerCombinedCleaned[[#This Row],[ID]], Table4[ID], Table4[Fruits], "Not Found", 0)</f>
        <v>18</v>
      </c>
      <c r="M1826" s="16">
        <f>_xlfn.XLOOKUP(CustomerCombinedCleaned[[#This Row],[ID]], Table4[ID], Table4[Meats], "Not Found", 0)</f>
        <v>193</v>
      </c>
      <c r="N1826" s="16">
        <f>_xlfn.XLOOKUP(CustomerCombinedCleaned[[#This Row],[ID]], Table4[ID], Table4[Seafood], "Not Found", 0)</f>
        <v>26</v>
      </c>
      <c r="O1826" s="16">
        <f>_xlfn.XLOOKUP(CustomerCombinedCleaned[[#This Row],[ID]], Table4[ID], Table4[Sweets], "Not Found", 0)</f>
        <v>0</v>
      </c>
      <c r="P1826" s="16">
        <f>_xlfn.XLOOKUP(CustomerCombinedCleaned[[#This Row],[ID]], Table4[ID], Table4[Premium], "Not Found", 0)</f>
        <v>151</v>
      </c>
      <c r="Q1826" s="16">
        <f>_xlfn.XLOOKUP(CustomerCombinedCleaned[[#This Row],[ID]], Table4[ID], Table4[Regular], "Not Found", 0)</f>
        <v>872</v>
      </c>
      <c r="R1826" s="16">
        <f>_xlfn.XLOOKUP(CustomerCombinedCleaned[[#This Row],[ID]], Table4[ID], Table4[Deals], "Not Found", 0)</f>
        <v>4</v>
      </c>
      <c r="S1826" s="16">
        <f>_xlfn.XLOOKUP(CustomerCombinedCleaned[[#This Row],[ID]], Table4[ID], Table4[Website], "Not Found", 0)</f>
        <v>6</v>
      </c>
      <c r="T1826" s="16">
        <f>_xlfn.XLOOKUP(CustomerCombinedCleaned[[#This Row],[ID]], Table4[ID], Table4[Catalog], "Not Found", 0)</f>
        <v>1</v>
      </c>
      <c r="U1826" s="16">
        <f>_xlfn.XLOOKUP(CustomerCombinedCleaned[[#This Row],[ID]], Table4[ID], Table4[Store], "Not Found", 0)</f>
        <v>7</v>
      </c>
      <c r="V1826" s="16">
        <f>_xlfn.XLOOKUP(CustomerCombinedCleaned[[#This Row],[ID]], Table4[ID], Table4[Visits], "Not Found", 0)</f>
        <v>6</v>
      </c>
      <c r="W1826" s="16">
        <f>_xlfn.XLOOKUP(CustomerCombinedCleaned[[#This Row],[ID]], Table2[ID],Table2[Complaint], "Not Found", 0 )</f>
        <v>0</v>
      </c>
      <c r="X1826" s="16">
        <f>_xlfn.XLOOKUP(CustomerCombinedCleaned[[#This Row],[ID]], Table2[ID],Table2[Pilot], "Not Found", 0 )</f>
        <v>0</v>
      </c>
      <c r="Y1826" s="16">
        <f>_xlfn.XLOOKUP(CustomerCombinedCleaned[[#This Row],[ID]], Table2[ID],Table2[MC1], "Not Found", 0 )</f>
        <v>0</v>
      </c>
      <c r="Z1826" s="16">
        <f>_xlfn.XLOOKUP(CustomerCombinedCleaned[[#This Row],[ID]], Table2[ID],Table2[MC2], "Not Found", 0 )</f>
        <v>0</v>
      </c>
      <c r="AA1826" s="16">
        <f>_xlfn.XLOOKUP(CustomerCombinedCleaned[[#This Row],[ID]], Table2[ID],Table2[MC3], "Not Found", 0 )</f>
        <v>0</v>
      </c>
      <c r="AB1826" s="16">
        <f>_xlfn.XLOOKUP(CustomerCombinedCleaned[[#This Row],[ID]], Table2[ID],Table2[MC4], "Not Found", 0 )</f>
        <v>0</v>
      </c>
      <c r="AC1826" s="16">
        <f>_xlfn.XLOOKUP(CustomerCombinedCleaned[[#This Row],[ID]], Table2[ID],Table2[MC5], "Not Found", 0 )</f>
        <v>0</v>
      </c>
    </row>
    <row r="1827" spans="1:29" x14ac:dyDescent="0.3">
      <c r="A1827" s="18">
        <v>1263</v>
      </c>
      <c r="B1827" s="16">
        <v>160714</v>
      </c>
      <c r="C1827" s="16">
        <v>0</v>
      </c>
      <c r="D1827" s="16">
        <v>0</v>
      </c>
      <c r="E1827" s="16">
        <v>64</v>
      </c>
      <c r="F1827" s="17" t="s">
        <v>7</v>
      </c>
      <c r="G1827" s="17" t="s">
        <v>11</v>
      </c>
      <c r="H1827" s="3" t="s">
        <v>323</v>
      </c>
      <c r="I1827" s="5" t="s">
        <v>435</v>
      </c>
      <c r="J1827" s="16">
        <f>_xlfn.XLOOKUP(CustomerCombinedCleaned[[#This Row],[ID]], Table4[ID], Table4[Recency], "Not Found", 0)</f>
        <v>56</v>
      </c>
      <c r="K1827" s="16">
        <f>_xlfn.XLOOKUP(CustomerCombinedCleaned[[#This Row],[ID]], Table4[ID], Table4[Teas], "Not Found", 0)</f>
        <v>572</v>
      </c>
      <c r="L1827" s="16">
        <f>_xlfn.XLOOKUP(CustomerCombinedCleaned[[#This Row],[ID]], Table4[ID], Table4[Fruits], "Not Found", 0)</f>
        <v>429</v>
      </c>
      <c r="M1827" s="16">
        <f>_xlfn.XLOOKUP(CustomerCombinedCleaned[[#This Row],[ID]], Table4[ID], Table4[Meats], "Not Found", 0)</f>
        <v>593</v>
      </c>
      <c r="N1827" s="16">
        <f>_xlfn.XLOOKUP(CustomerCombinedCleaned[[#This Row],[ID]], Table4[ID], Table4[Seafood], "Not Found", 0)</f>
        <v>267</v>
      </c>
      <c r="O1827" s="16">
        <f>_xlfn.XLOOKUP(CustomerCombinedCleaned[[#This Row],[ID]], Table4[ID], Table4[Sweets], "Not Found", 0)</f>
        <v>244</v>
      </c>
      <c r="P1827" s="16">
        <f>_xlfn.XLOOKUP(CustomerCombinedCleaned[[#This Row],[ID]], Table4[ID], Table4[Premium], "Not Found", 0)</f>
        <v>429</v>
      </c>
      <c r="Q1827" s="16">
        <f>_xlfn.XLOOKUP(CustomerCombinedCleaned[[#This Row],[ID]], Table4[ID], Table4[Regular], "Not Found", 0)</f>
        <v>1676</v>
      </c>
      <c r="R1827" s="16">
        <f>_xlfn.XLOOKUP(CustomerCombinedCleaned[[#This Row],[ID]], Table4[ID], Table4[Deals], "Not Found", 0)</f>
        <v>2</v>
      </c>
      <c r="S1827" s="16">
        <f>_xlfn.XLOOKUP(CustomerCombinedCleaned[[#This Row],[ID]], Table4[ID], Table4[Website], "Not Found", 0)</f>
        <v>7</v>
      </c>
      <c r="T1827" s="16">
        <f>_xlfn.XLOOKUP(CustomerCombinedCleaned[[#This Row],[ID]], Table4[ID], Table4[Catalog], "Not Found", 0)</f>
        <v>4</v>
      </c>
      <c r="U1827" s="16">
        <f>_xlfn.XLOOKUP(CustomerCombinedCleaned[[#This Row],[ID]], Table4[ID], Table4[Store], "Not Found", 0)</f>
        <v>10</v>
      </c>
      <c r="V1827" s="16">
        <f>_xlfn.XLOOKUP(CustomerCombinedCleaned[[#This Row],[ID]], Table4[ID], Table4[Visits], "Not Found", 0)</f>
        <v>5</v>
      </c>
      <c r="W1827" s="16">
        <f>_xlfn.XLOOKUP(CustomerCombinedCleaned[[#This Row],[ID]], Table2[ID],Table2[Complaint], "Not Found", 0 )</f>
        <v>0</v>
      </c>
      <c r="X1827" s="16">
        <f>_xlfn.XLOOKUP(CustomerCombinedCleaned[[#This Row],[ID]], Table2[ID],Table2[Pilot], "Not Found", 0 )</f>
        <v>1</v>
      </c>
      <c r="Y1827" s="16">
        <f>_xlfn.XLOOKUP(CustomerCombinedCleaned[[#This Row],[ID]], Table2[ID],Table2[MC1], "Not Found", 0 )</f>
        <v>0</v>
      </c>
      <c r="Z1827" s="16">
        <f>_xlfn.XLOOKUP(CustomerCombinedCleaned[[#This Row],[ID]], Table2[ID],Table2[MC2], "Not Found", 0 )</f>
        <v>0</v>
      </c>
      <c r="AA1827" s="16">
        <f>_xlfn.XLOOKUP(CustomerCombinedCleaned[[#This Row],[ID]], Table2[ID],Table2[MC3], "Not Found", 0 )</f>
        <v>0</v>
      </c>
      <c r="AB1827" s="16">
        <f>_xlfn.XLOOKUP(CustomerCombinedCleaned[[#This Row],[ID]], Table2[ID],Table2[MC4], "Not Found", 0 )</f>
        <v>0</v>
      </c>
      <c r="AC1827" s="16">
        <f>_xlfn.XLOOKUP(CustomerCombinedCleaned[[#This Row],[ID]], Table2[ID],Table2[MC5], "Not Found", 0 )</f>
        <v>0</v>
      </c>
    </row>
    <row r="1828" spans="1:29" x14ac:dyDescent="0.3">
      <c r="A1828" s="18">
        <v>2691</v>
      </c>
      <c r="B1828" s="16">
        <v>160230</v>
      </c>
      <c r="C1828" s="16">
        <v>0</v>
      </c>
      <c r="D1828" s="16">
        <v>1</v>
      </c>
      <c r="E1828" s="16">
        <v>64</v>
      </c>
      <c r="F1828" s="17" t="s">
        <v>7</v>
      </c>
      <c r="G1828" s="17" t="s">
        <v>11</v>
      </c>
      <c r="H1828" s="3" t="s">
        <v>251</v>
      </c>
      <c r="I1828" s="5" t="s">
        <v>435</v>
      </c>
      <c r="J1828" s="16">
        <f>_xlfn.XLOOKUP(CustomerCombinedCleaned[[#This Row],[ID]], Table4[ID], Table4[Recency], "Not Found", 0)</f>
        <v>78</v>
      </c>
      <c r="K1828" s="16">
        <f>_xlfn.XLOOKUP(CustomerCombinedCleaned[[#This Row],[ID]], Table4[ID], Table4[Teas], "Not Found", 0)</f>
        <v>1383</v>
      </c>
      <c r="L1828" s="16">
        <f>_xlfn.XLOOKUP(CustomerCombinedCleaned[[#This Row],[ID]], Table4[ID], Table4[Fruits], "Not Found", 0)</f>
        <v>53</v>
      </c>
      <c r="M1828" s="16">
        <f>_xlfn.XLOOKUP(CustomerCombinedCleaned[[#This Row],[ID]], Table4[ID], Table4[Meats], "Not Found", 0)</f>
        <v>976</v>
      </c>
      <c r="N1828" s="16">
        <f>_xlfn.XLOOKUP(CustomerCombinedCleaned[[#This Row],[ID]], Table4[ID], Table4[Seafood], "Not Found", 0)</f>
        <v>104</v>
      </c>
      <c r="O1828" s="16">
        <f>_xlfn.XLOOKUP(CustomerCombinedCleaned[[#This Row],[ID]], Table4[ID], Table4[Sweets], "Not Found", 0)</f>
        <v>215</v>
      </c>
      <c r="P1828" s="16">
        <f>_xlfn.XLOOKUP(CustomerCombinedCleaned[[#This Row],[ID]], Table4[ID], Table4[Premium], "Not Found", 0)</f>
        <v>106</v>
      </c>
      <c r="Q1828" s="16">
        <f>_xlfn.XLOOKUP(CustomerCombinedCleaned[[#This Row],[ID]], Table4[ID], Table4[Regular], "Not Found", 0)</f>
        <v>2626</v>
      </c>
      <c r="R1828" s="16">
        <f>_xlfn.XLOOKUP(CustomerCombinedCleaned[[#This Row],[ID]], Table4[ID], Table4[Deals], "Not Found", 0)</f>
        <v>2</v>
      </c>
      <c r="S1828" s="16">
        <f>_xlfn.XLOOKUP(CustomerCombinedCleaned[[#This Row],[ID]], Table4[ID], Table4[Website], "Not Found", 0)</f>
        <v>6</v>
      </c>
      <c r="T1828" s="16">
        <f>_xlfn.XLOOKUP(CustomerCombinedCleaned[[#This Row],[ID]], Table4[ID], Table4[Catalog], "Not Found", 0)</f>
        <v>3</v>
      </c>
      <c r="U1828" s="16">
        <f>_xlfn.XLOOKUP(CustomerCombinedCleaned[[#This Row],[ID]], Table4[ID], Table4[Store], "Not Found", 0)</f>
        <v>6</v>
      </c>
      <c r="V1828" s="16">
        <f>_xlfn.XLOOKUP(CustomerCombinedCleaned[[#This Row],[ID]], Table4[ID], Table4[Visits], "Not Found", 0)</f>
        <v>5</v>
      </c>
      <c r="W1828" s="16">
        <f>_xlfn.XLOOKUP(CustomerCombinedCleaned[[#This Row],[ID]], Table2[ID],Table2[Complaint], "Not Found", 0 )</f>
        <v>0</v>
      </c>
      <c r="X1828" s="16">
        <f>_xlfn.XLOOKUP(CustomerCombinedCleaned[[#This Row],[ID]], Table2[ID],Table2[Pilot], "Not Found", 0 )</f>
        <v>0</v>
      </c>
      <c r="Y1828" s="16">
        <f>_xlfn.XLOOKUP(CustomerCombinedCleaned[[#This Row],[ID]], Table2[ID],Table2[MC1], "Not Found", 0 )</f>
        <v>0</v>
      </c>
      <c r="Z1828" s="16">
        <f>_xlfn.XLOOKUP(CustomerCombinedCleaned[[#This Row],[ID]], Table2[ID],Table2[MC2], "Not Found", 0 )</f>
        <v>0</v>
      </c>
      <c r="AA1828" s="16">
        <f>_xlfn.XLOOKUP(CustomerCombinedCleaned[[#This Row],[ID]], Table2[ID],Table2[MC3], "Not Found", 0 )</f>
        <v>0</v>
      </c>
      <c r="AB1828" s="16">
        <f>_xlfn.XLOOKUP(CustomerCombinedCleaned[[#This Row],[ID]], Table2[ID],Table2[MC4], "Not Found", 0 )</f>
        <v>0</v>
      </c>
      <c r="AC1828" s="16">
        <f>_xlfn.XLOOKUP(CustomerCombinedCleaned[[#This Row],[ID]], Table2[ID],Table2[MC5], "Not Found", 0 )</f>
        <v>0</v>
      </c>
    </row>
    <row r="1829" spans="1:29" x14ac:dyDescent="0.3">
      <c r="A1829" s="18">
        <v>1288</v>
      </c>
      <c r="B1829" s="16">
        <v>158821</v>
      </c>
      <c r="C1829" s="16">
        <v>0</v>
      </c>
      <c r="D1829" s="16">
        <v>1</v>
      </c>
      <c r="E1829" s="16">
        <v>64</v>
      </c>
      <c r="F1829" s="17" t="s">
        <v>8</v>
      </c>
      <c r="G1829" s="17" t="s">
        <v>11</v>
      </c>
      <c r="H1829" s="3" t="s">
        <v>170</v>
      </c>
      <c r="I1829" s="5" t="s">
        <v>439</v>
      </c>
      <c r="J1829" s="16">
        <f>_xlfn.XLOOKUP(CustomerCombinedCleaned[[#This Row],[ID]], Table4[ID], Table4[Recency], "Not Found", 0)</f>
        <v>44</v>
      </c>
      <c r="K1829" s="16">
        <f>_xlfn.XLOOKUP(CustomerCombinedCleaned[[#This Row],[ID]], Table4[ID], Table4[Teas], "Not Found", 0)</f>
        <v>1385</v>
      </c>
      <c r="L1829" s="16">
        <f>_xlfn.XLOOKUP(CustomerCombinedCleaned[[#This Row],[ID]], Table4[ID], Table4[Fruits], "Not Found", 0)</f>
        <v>38</v>
      </c>
      <c r="M1829" s="16">
        <f>_xlfn.XLOOKUP(CustomerCombinedCleaned[[#This Row],[ID]], Table4[ID], Table4[Meats], "Not Found", 0)</f>
        <v>416</v>
      </c>
      <c r="N1829" s="16">
        <f>_xlfn.XLOOKUP(CustomerCombinedCleaned[[#This Row],[ID]], Table4[ID], Table4[Seafood], "Not Found", 0)</f>
        <v>51</v>
      </c>
      <c r="O1829" s="16">
        <f>_xlfn.XLOOKUP(CustomerCombinedCleaned[[#This Row],[ID]], Table4[ID], Table4[Sweets], "Not Found", 0)</f>
        <v>0</v>
      </c>
      <c r="P1829" s="16">
        <f>_xlfn.XLOOKUP(CustomerCombinedCleaned[[#This Row],[ID]], Table4[ID], Table4[Premium], "Not Found", 0)</f>
        <v>76</v>
      </c>
      <c r="Q1829" s="16">
        <f>_xlfn.XLOOKUP(CustomerCombinedCleaned[[#This Row],[ID]], Table4[ID], Table4[Regular], "Not Found", 0)</f>
        <v>1814</v>
      </c>
      <c r="R1829" s="16">
        <f>_xlfn.XLOOKUP(CustomerCombinedCleaned[[#This Row],[ID]], Table4[ID], Table4[Deals], "Not Found", 0)</f>
        <v>1</v>
      </c>
      <c r="S1829" s="16">
        <f>_xlfn.XLOOKUP(CustomerCombinedCleaned[[#This Row],[ID]], Table4[ID], Table4[Website], "Not Found", 0)</f>
        <v>9</v>
      </c>
      <c r="T1829" s="16">
        <f>_xlfn.XLOOKUP(CustomerCombinedCleaned[[#This Row],[ID]], Table4[ID], Table4[Catalog], "Not Found", 0)</f>
        <v>2</v>
      </c>
      <c r="U1829" s="16">
        <f>_xlfn.XLOOKUP(CustomerCombinedCleaned[[#This Row],[ID]], Table4[ID], Table4[Store], "Not Found", 0)</f>
        <v>9</v>
      </c>
      <c r="V1829" s="16">
        <f>_xlfn.XLOOKUP(CustomerCombinedCleaned[[#This Row],[ID]], Table4[ID], Table4[Visits], "Not Found", 0)</f>
        <v>6</v>
      </c>
      <c r="W1829" s="16">
        <f>_xlfn.XLOOKUP(CustomerCombinedCleaned[[#This Row],[ID]], Table2[ID],Table2[Complaint], "Not Found", 0 )</f>
        <v>0</v>
      </c>
      <c r="X1829" s="16">
        <f>_xlfn.XLOOKUP(CustomerCombinedCleaned[[#This Row],[ID]], Table2[ID],Table2[Pilot], "Not Found", 0 )</f>
        <v>0</v>
      </c>
      <c r="Y1829" s="16">
        <f>_xlfn.XLOOKUP(CustomerCombinedCleaned[[#This Row],[ID]], Table2[ID],Table2[MC1], "Not Found", 0 )</f>
        <v>0</v>
      </c>
      <c r="Z1829" s="16">
        <f>_xlfn.XLOOKUP(CustomerCombinedCleaned[[#This Row],[ID]], Table2[ID],Table2[MC2], "Not Found", 0 )</f>
        <v>0</v>
      </c>
      <c r="AA1829" s="16">
        <f>_xlfn.XLOOKUP(CustomerCombinedCleaned[[#This Row],[ID]], Table2[ID],Table2[MC3], "Not Found", 0 )</f>
        <v>0</v>
      </c>
      <c r="AB1829" s="16">
        <f>_xlfn.XLOOKUP(CustomerCombinedCleaned[[#This Row],[ID]], Table2[ID],Table2[MC4], "Not Found", 0 )</f>
        <v>0</v>
      </c>
      <c r="AC1829" s="16">
        <f>_xlfn.XLOOKUP(CustomerCombinedCleaned[[#This Row],[ID]], Table2[ID],Table2[MC5], "Not Found", 0 )</f>
        <v>0</v>
      </c>
    </row>
    <row r="1830" spans="1:29" x14ac:dyDescent="0.3">
      <c r="A1830" s="18">
        <v>2681</v>
      </c>
      <c r="B1830" s="16">
        <v>158656</v>
      </c>
      <c r="C1830" s="16">
        <v>0</v>
      </c>
      <c r="D1830" s="16">
        <v>1</v>
      </c>
      <c r="E1830" s="16">
        <v>64</v>
      </c>
      <c r="F1830" s="17" t="s">
        <v>8</v>
      </c>
      <c r="G1830" s="17" t="s">
        <v>12</v>
      </c>
      <c r="H1830" s="3" t="s">
        <v>391</v>
      </c>
      <c r="I1830" s="5" t="s">
        <v>434</v>
      </c>
      <c r="J1830" s="16">
        <f>_xlfn.XLOOKUP(CustomerCombinedCleaned[[#This Row],[ID]], Table4[ID], Table4[Recency], "Not Found", 0)</f>
        <v>25</v>
      </c>
      <c r="K1830" s="16">
        <f>_xlfn.XLOOKUP(CustomerCombinedCleaned[[#This Row],[ID]], Table4[ID], Table4[Teas], "Not Found", 0)</f>
        <v>2602</v>
      </c>
      <c r="L1830" s="16">
        <f>_xlfn.XLOOKUP(CustomerCombinedCleaned[[#This Row],[ID]], Table4[ID], Table4[Fruits], "Not Found", 0)</f>
        <v>32</v>
      </c>
      <c r="M1830" s="16">
        <f>_xlfn.XLOOKUP(CustomerCombinedCleaned[[#This Row],[ID]], Table4[ID], Table4[Meats], "Not Found", 0)</f>
        <v>525</v>
      </c>
      <c r="N1830" s="16">
        <f>_xlfn.XLOOKUP(CustomerCombinedCleaned[[#This Row],[ID]], Table4[ID], Table4[Seafood], "Not Found", 0)</f>
        <v>43</v>
      </c>
      <c r="O1830" s="16">
        <f>_xlfn.XLOOKUP(CustomerCombinedCleaned[[#This Row],[ID]], Table4[ID], Table4[Sweets], "Not Found", 0)</f>
        <v>65</v>
      </c>
      <c r="P1830" s="16">
        <f>_xlfn.XLOOKUP(CustomerCombinedCleaned[[#This Row],[ID]], Table4[ID], Table4[Premium], "Not Found", 0)</f>
        <v>32</v>
      </c>
      <c r="Q1830" s="16">
        <f>_xlfn.XLOOKUP(CustomerCombinedCleaned[[#This Row],[ID]], Table4[ID], Table4[Regular], "Not Found", 0)</f>
        <v>3235</v>
      </c>
      <c r="R1830" s="16">
        <f>_xlfn.XLOOKUP(CustomerCombinedCleaned[[#This Row],[ID]], Table4[ID], Table4[Deals], "Not Found", 0)</f>
        <v>4</v>
      </c>
      <c r="S1830" s="16">
        <f>_xlfn.XLOOKUP(CustomerCombinedCleaned[[#This Row],[ID]], Table4[ID], Table4[Website], "Not Found", 0)</f>
        <v>7</v>
      </c>
      <c r="T1830" s="16">
        <f>_xlfn.XLOOKUP(CustomerCombinedCleaned[[#This Row],[ID]], Table4[ID], Table4[Catalog], "Not Found", 0)</f>
        <v>8</v>
      </c>
      <c r="U1830" s="16">
        <f>_xlfn.XLOOKUP(CustomerCombinedCleaned[[#This Row],[ID]], Table4[ID], Table4[Store], "Not Found", 0)</f>
        <v>13</v>
      </c>
      <c r="V1830" s="16">
        <f>_xlfn.XLOOKUP(CustomerCombinedCleaned[[#This Row],[ID]], Table4[ID], Table4[Visits], "Not Found", 0)</f>
        <v>6</v>
      </c>
      <c r="W1830" s="16">
        <f>_xlfn.XLOOKUP(CustomerCombinedCleaned[[#This Row],[ID]], Table2[ID],Table2[Complaint], "Not Found", 0 )</f>
        <v>0</v>
      </c>
      <c r="X1830" s="16">
        <f>_xlfn.XLOOKUP(CustomerCombinedCleaned[[#This Row],[ID]], Table2[ID],Table2[Pilot], "Not Found", 0 )</f>
        <v>0</v>
      </c>
      <c r="Y1830" s="16">
        <f>_xlfn.XLOOKUP(CustomerCombinedCleaned[[#This Row],[ID]], Table2[ID],Table2[MC1], "Not Found", 0 )</f>
        <v>0</v>
      </c>
      <c r="Z1830" s="16">
        <f>_xlfn.XLOOKUP(CustomerCombinedCleaned[[#This Row],[ID]], Table2[ID],Table2[MC2], "Not Found", 0 )</f>
        <v>0</v>
      </c>
      <c r="AA1830" s="16">
        <f>_xlfn.XLOOKUP(CustomerCombinedCleaned[[#This Row],[ID]], Table2[ID],Table2[MC3], "Not Found", 0 )</f>
        <v>0</v>
      </c>
      <c r="AB1830" s="16">
        <f>_xlfn.XLOOKUP(CustomerCombinedCleaned[[#This Row],[ID]], Table2[ID],Table2[MC4], "Not Found", 0 )</f>
        <v>0</v>
      </c>
      <c r="AC1830" s="16">
        <f>_xlfn.XLOOKUP(CustomerCombinedCleaned[[#This Row],[ID]], Table2[ID],Table2[MC5], "Not Found", 0 )</f>
        <v>1</v>
      </c>
    </row>
    <row r="1831" spans="1:29" x14ac:dyDescent="0.3">
      <c r="A1831" s="18">
        <v>2964</v>
      </c>
      <c r="B1831" s="16">
        <v>158116</v>
      </c>
      <c r="C1831" s="16">
        <v>0</v>
      </c>
      <c r="D1831" s="16">
        <v>1</v>
      </c>
      <c r="E1831" s="16">
        <v>64</v>
      </c>
      <c r="F1831" s="17" t="s">
        <v>6</v>
      </c>
      <c r="G1831" s="17" t="s">
        <v>11</v>
      </c>
      <c r="H1831" s="3" t="s">
        <v>69</v>
      </c>
      <c r="I1831" s="5" t="s">
        <v>436</v>
      </c>
      <c r="J1831" s="16">
        <f>_xlfn.XLOOKUP(CustomerCombinedCleaned[[#This Row],[ID]], Table4[ID], Table4[Recency], "Not Found", 0)</f>
        <v>38</v>
      </c>
      <c r="K1831" s="16">
        <f>_xlfn.XLOOKUP(CustomerCombinedCleaned[[#This Row],[ID]], Table4[ID], Table4[Teas], "Not Found", 0)</f>
        <v>620</v>
      </c>
      <c r="L1831" s="16">
        <f>_xlfn.XLOOKUP(CustomerCombinedCleaned[[#This Row],[ID]], Table4[ID], Table4[Fruits], "Not Found", 0)</f>
        <v>52</v>
      </c>
      <c r="M1831" s="16">
        <f>_xlfn.XLOOKUP(CustomerCombinedCleaned[[#This Row],[ID]], Table4[ID], Table4[Meats], "Not Found", 0)</f>
        <v>354</v>
      </c>
      <c r="N1831" s="16">
        <f>_xlfn.XLOOKUP(CustomerCombinedCleaned[[#This Row],[ID]], Table4[ID], Table4[Seafood], "Not Found", 0)</f>
        <v>11</v>
      </c>
      <c r="O1831" s="16">
        <f>_xlfn.XLOOKUP(CustomerCombinedCleaned[[#This Row],[ID]], Table4[ID], Table4[Sweets], "Not Found", 0)</f>
        <v>30</v>
      </c>
      <c r="P1831" s="16">
        <f>_xlfn.XLOOKUP(CustomerCombinedCleaned[[#This Row],[ID]], Table4[ID], Table4[Premium], "Not Found", 0)</f>
        <v>139</v>
      </c>
      <c r="Q1831" s="16">
        <f>_xlfn.XLOOKUP(CustomerCombinedCleaned[[#This Row],[ID]], Table4[ID], Table4[Regular], "Not Found", 0)</f>
        <v>928</v>
      </c>
      <c r="R1831" s="16">
        <f>_xlfn.XLOOKUP(CustomerCombinedCleaned[[#This Row],[ID]], Table4[ID], Table4[Deals], "Not Found", 0)</f>
        <v>2</v>
      </c>
      <c r="S1831" s="16">
        <f>_xlfn.XLOOKUP(CustomerCombinedCleaned[[#This Row],[ID]], Table4[ID], Table4[Website], "Not Found", 0)</f>
        <v>3</v>
      </c>
      <c r="T1831" s="16">
        <f>_xlfn.XLOOKUP(CustomerCombinedCleaned[[#This Row],[ID]], Table4[ID], Table4[Catalog], "Not Found", 0)</f>
        <v>3</v>
      </c>
      <c r="U1831" s="16">
        <f>_xlfn.XLOOKUP(CustomerCombinedCleaned[[#This Row],[ID]], Table4[ID], Table4[Store], "Not Found", 0)</f>
        <v>8</v>
      </c>
      <c r="V1831" s="16">
        <f>_xlfn.XLOOKUP(CustomerCombinedCleaned[[#This Row],[ID]], Table4[ID], Table4[Visits], "Not Found", 0)</f>
        <v>2</v>
      </c>
      <c r="W1831" s="16">
        <f>_xlfn.XLOOKUP(CustomerCombinedCleaned[[#This Row],[ID]], Table2[ID],Table2[Complaint], "Not Found", 0 )</f>
        <v>0</v>
      </c>
      <c r="X1831" s="16">
        <f>_xlfn.XLOOKUP(CustomerCombinedCleaned[[#This Row],[ID]], Table2[ID],Table2[Pilot], "Not Found", 0 )</f>
        <v>0</v>
      </c>
      <c r="Y1831" s="16">
        <f>_xlfn.XLOOKUP(CustomerCombinedCleaned[[#This Row],[ID]], Table2[ID],Table2[MC1], "Not Found", 0 )</f>
        <v>0</v>
      </c>
      <c r="Z1831" s="16">
        <f>_xlfn.XLOOKUP(CustomerCombinedCleaned[[#This Row],[ID]], Table2[ID],Table2[MC2], "Not Found", 0 )</f>
        <v>0</v>
      </c>
      <c r="AA1831" s="16">
        <f>_xlfn.XLOOKUP(CustomerCombinedCleaned[[#This Row],[ID]], Table2[ID],Table2[MC3], "Not Found", 0 )</f>
        <v>0</v>
      </c>
      <c r="AB1831" s="16">
        <f>_xlfn.XLOOKUP(CustomerCombinedCleaned[[#This Row],[ID]], Table2[ID],Table2[MC4], "Not Found", 0 )</f>
        <v>0</v>
      </c>
      <c r="AC1831" s="16">
        <f>_xlfn.XLOOKUP(CustomerCombinedCleaned[[#This Row],[ID]], Table2[ID],Table2[MC5], "Not Found", 0 )</f>
        <v>0</v>
      </c>
    </row>
    <row r="1832" spans="1:29" x14ac:dyDescent="0.3">
      <c r="A1832" s="18">
        <v>1828</v>
      </c>
      <c r="B1832" s="16">
        <v>155284</v>
      </c>
      <c r="C1832" s="16">
        <v>0</v>
      </c>
      <c r="D1832" s="16">
        <v>1</v>
      </c>
      <c r="E1832" s="16">
        <v>64</v>
      </c>
      <c r="F1832" s="17" t="s">
        <v>7</v>
      </c>
      <c r="G1832" s="17" t="s">
        <v>12</v>
      </c>
      <c r="H1832" s="3" t="s">
        <v>335</v>
      </c>
      <c r="I1832" s="5" t="s">
        <v>439</v>
      </c>
      <c r="J1832" s="16">
        <f>_xlfn.XLOOKUP(CustomerCombinedCleaned[[#This Row],[ID]], Table4[ID], Table4[Recency], "Not Found", 0)</f>
        <v>60</v>
      </c>
      <c r="K1832" s="16">
        <f>_xlfn.XLOOKUP(CustomerCombinedCleaned[[#This Row],[ID]], Table4[ID], Table4[Teas], "Not Found", 0)</f>
        <v>1536</v>
      </c>
      <c r="L1832" s="16">
        <f>_xlfn.XLOOKUP(CustomerCombinedCleaned[[#This Row],[ID]], Table4[ID], Table4[Fruits], "Not Found", 0)</f>
        <v>20</v>
      </c>
      <c r="M1832" s="16">
        <f>_xlfn.XLOOKUP(CustomerCombinedCleaned[[#This Row],[ID]], Table4[ID], Table4[Meats], "Not Found", 0)</f>
        <v>393</v>
      </c>
      <c r="N1832" s="16">
        <f>_xlfn.XLOOKUP(CustomerCombinedCleaned[[#This Row],[ID]], Table4[ID], Table4[Seafood], "Not Found", 0)</f>
        <v>0</v>
      </c>
      <c r="O1832" s="16">
        <f>_xlfn.XLOOKUP(CustomerCombinedCleaned[[#This Row],[ID]], Table4[ID], Table4[Sweets], "Not Found", 0)</f>
        <v>20</v>
      </c>
      <c r="P1832" s="16">
        <f>_xlfn.XLOOKUP(CustomerCombinedCleaned[[#This Row],[ID]], Table4[ID], Table4[Premium], "Not Found", 0)</f>
        <v>177</v>
      </c>
      <c r="Q1832" s="16">
        <f>_xlfn.XLOOKUP(CustomerCombinedCleaned[[#This Row],[ID]], Table4[ID], Table4[Regular], "Not Found", 0)</f>
        <v>1792</v>
      </c>
      <c r="R1832" s="16">
        <f>_xlfn.XLOOKUP(CustomerCombinedCleaned[[#This Row],[ID]], Table4[ID], Table4[Deals], "Not Found", 0)</f>
        <v>3</v>
      </c>
      <c r="S1832" s="16">
        <f>_xlfn.XLOOKUP(CustomerCombinedCleaned[[#This Row],[ID]], Table4[ID], Table4[Website], "Not Found", 0)</f>
        <v>7</v>
      </c>
      <c r="T1832" s="16">
        <f>_xlfn.XLOOKUP(CustomerCombinedCleaned[[#This Row],[ID]], Table4[ID], Table4[Catalog], "Not Found", 0)</f>
        <v>5</v>
      </c>
      <c r="U1832" s="16">
        <f>_xlfn.XLOOKUP(CustomerCombinedCleaned[[#This Row],[ID]], Table4[ID], Table4[Store], "Not Found", 0)</f>
        <v>8</v>
      </c>
      <c r="V1832" s="16">
        <f>_xlfn.XLOOKUP(CustomerCombinedCleaned[[#This Row],[ID]], Table4[ID], Table4[Visits], "Not Found", 0)</f>
        <v>5</v>
      </c>
      <c r="W1832" s="16">
        <f>_xlfn.XLOOKUP(CustomerCombinedCleaned[[#This Row],[ID]], Table2[ID],Table2[Complaint], "Not Found", 0 )</f>
        <v>0</v>
      </c>
      <c r="X1832" s="16">
        <f>_xlfn.XLOOKUP(CustomerCombinedCleaned[[#This Row],[ID]], Table2[ID],Table2[Pilot], "Not Found", 0 )</f>
        <v>0</v>
      </c>
      <c r="Y1832" s="16">
        <f>_xlfn.XLOOKUP(CustomerCombinedCleaned[[#This Row],[ID]], Table2[ID],Table2[MC1], "Not Found", 0 )</f>
        <v>0</v>
      </c>
      <c r="Z1832" s="16">
        <f>_xlfn.XLOOKUP(CustomerCombinedCleaned[[#This Row],[ID]], Table2[ID],Table2[MC2], "Not Found", 0 )</f>
        <v>0</v>
      </c>
      <c r="AA1832" s="16">
        <f>_xlfn.XLOOKUP(CustomerCombinedCleaned[[#This Row],[ID]], Table2[ID],Table2[MC3], "Not Found", 0 )</f>
        <v>0</v>
      </c>
      <c r="AB1832" s="16">
        <f>_xlfn.XLOOKUP(CustomerCombinedCleaned[[#This Row],[ID]], Table2[ID],Table2[MC4], "Not Found", 0 )</f>
        <v>0</v>
      </c>
      <c r="AC1832" s="16">
        <f>_xlfn.XLOOKUP(CustomerCombinedCleaned[[#This Row],[ID]], Table2[ID],Table2[MC5], "Not Found", 0 )</f>
        <v>0</v>
      </c>
    </row>
    <row r="1833" spans="1:29" x14ac:dyDescent="0.3">
      <c r="A1833" s="18">
        <v>2217</v>
      </c>
      <c r="B1833" s="16">
        <v>155249</v>
      </c>
      <c r="C1833" s="16">
        <v>0</v>
      </c>
      <c r="D1833" s="16">
        <v>1</v>
      </c>
      <c r="E1833" s="16">
        <v>64</v>
      </c>
      <c r="F1833" s="17" t="s">
        <v>8</v>
      </c>
      <c r="G1833" s="17" t="s">
        <v>12</v>
      </c>
      <c r="H1833" s="3" t="s">
        <v>65</v>
      </c>
      <c r="I1833" s="5" t="s">
        <v>435</v>
      </c>
      <c r="J1833" s="16">
        <f>_xlfn.XLOOKUP(CustomerCombinedCleaned[[#This Row],[ID]], Table4[ID], Table4[Recency], "Not Found", 0)</f>
        <v>81</v>
      </c>
      <c r="K1833" s="16">
        <f>_xlfn.XLOOKUP(CustomerCombinedCleaned[[#This Row],[ID]], Table4[ID], Table4[Teas], "Not Found", 0)</f>
        <v>273</v>
      </c>
      <c r="L1833" s="16">
        <f>_xlfn.XLOOKUP(CustomerCombinedCleaned[[#This Row],[ID]], Table4[ID], Table4[Fruits], "Not Found", 0)</f>
        <v>3</v>
      </c>
      <c r="M1833" s="16">
        <f>_xlfn.XLOOKUP(CustomerCombinedCleaned[[#This Row],[ID]], Table4[ID], Table4[Meats], "Not Found", 0)</f>
        <v>53</v>
      </c>
      <c r="N1833" s="16">
        <f>_xlfn.XLOOKUP(CustomerCombinedCleaned[[#This Row],[ID]], Table4[ID], Table4[Seafood], "Not Found", 0)</f>
        <v>6</v>
      </c>
      <c r="O1833" s="16">
        <f>_xlfn.XLOOKUP(CustomerCombinedCleaned[[#This Row],[ID]], Table4[ID], Table4[Sweets], "Not Found", 0)</f>
        <v>0</v>
      </c>
      <c r="P1833" s="16">
        <f>_xlfn.XLOOKUP(CustomerCombinedCleaned[[#This Row],[ID]], Table4[ID], Table4[Premium], "Not Found", 0)</f>
        <v>31</v>
      </c>
      <c r="Q1833" s="16">
        <f>_xlfn.XLOOKUP(CustomerCombinedCleaned[[#This Row],[ID]], Table4[ID], Table4[Regular], "Not Found", 0)</f>
        <v>303</v>
      </c>
      <c r="R1833" s="16">
        <f>_xlfn.XLOOKUP(CustomerCombinedCleaned[[#This Row],[ID]], Table4[ID], Table4[Deals], "Not Found", 0)</f>
        <v>1</v>
      </c>
      <c r="S1833" s="16">
        <f>_xlfn.XLOOKUP(CustomerCombinedCleaned[[#This Row],[ID]], Table4[ID], Table4[Website], "Not Found", 0)</f>
        <v>2</v>
      </c>
      <c r="T1833" s="16">
        <f>_xlfn.XLOOKUP(CustomerCombinedCleaned[[#This Row],[ID]], Table4[ID], Table4[Catalog], "Not Found", 0)</f>
        <v>1</v>
      </c>
      <c r="U1833" s="16">
        <f>_xlfn.XLOOKUP(CustomerCombinedCleaned[[#This Row],[ID]], Table4[ID], Table4[Store], "Not Found", 0)</f>
        <v>4</v>
      </c>
      <c r="V1833" s="16">
        <f>_xlfn.XLOOKUP(CustomerCombinedCleaned[[#This Row],[ID]], Table4[ID], Table4[Visits], "Not Found", 0)</f>
        <v>3</v>
      </c>
      <c r="W1833" s="16">
        <f>_xlfn.XLOOKUP(CustomerCombinedCleaned[[#This Row],[ID]], Table2[ID],Table2[Complaint], "Not Found", 0 )</f>
        <v>0</v>
      </c>
      <c r="X1833" s="16">
        <f>_xlfn.XLOOKUP(CustomerCombinedCleaned[[#This Row],[ID]], Table2[ID],Table2[Pilot], "Not Found", 0 )</f>
        <v>0</v>
      </c>
      <c r="Y1833" s="16">
        <f>_xlfn.XLOOKUP(CustomerCombinedCleaned[[#This Row],[ID]], Table2[ID],Table2[MC1], "Not Found", 0 )</f>
        <v>0</v>
      </c>
      <c r="Z1833" s="16">
        <f>_xlfn.XLOOKUP(CustomerCombinedCleaned[[#This Row],[ID]], Table2[ID],Table2[MC2], "Not Found", 0 )</f>
        <v>0</v>
      </c>
      <c r="AA1833" s="16">
        <f>_xlfn.XLOOKUP(CustomerCombinedCleaned[[#This Row],[ID]], Table2[ID],Table2[MC3], "Not Found", 0 )</f>
        <v>0</v>
      </c>
      <c r="AB1833" s="16">
        <f>_xlfn.XLOOKUP(CustomerCombinedCleaned[[#This Row],[ID]], Table2[ID],Table2[MC4], "Not Found", 0 )</f>
        <v>0</v>
      </c>
      <c r="AC1833" s="16">
        <f>_xlfn.XLOOKUP(CustomerCombinedCleaned[[#This Row],[ID]], Table2[ID],Table2[MC5], "Not Found", 0 )</f>
        <v>0</v>
      </c>
    </row>
    <row r="1834" spans="1:29" x14ac:dyDescent="0.3">
      <c r="A1834" s="18">
        <v>2911</v>
      </c>
      <c r="B1834" s="16">
        <v>154998</v>
      </c>
      <c r="C1834" s="16">
        <v>0</v>
      </c>
      <c r="D1834" s="16">
        <v>1</v>
      </c>
      <c r="E1834" s="16">
        <v>64</v>
      </c>
      <c r="F1834" s="17" t="s">
        <v>7</v>
      </c>
      <c r="G1834" s="17" t="s">
        <v>13</v>
      </c>
      <c r="H1834" s="3" t="s">
        <v>297</v>
      </c>
      <c r="I1834" s="5" t="s">
        <v>437</v>
      </c>
      <c r="J1834" s="16">
        <f>_xlfn.XLOOKUP(CustomerCombinedCleaned[[#This Row],[ID]], Table4[ID], Table4[Recency], "Not Found", 0)</f>
        <v>3</v>
      </c>
      <c r="K1834" s="16">
        <f>_xlfn.XLOOKUP(CustomerCombinedCleaned[[#This Row],[ID]], Table4[ID], Table4[Teas], "Not Found", 0)</f>
        <v>434</v>
      </c>
      <c r="L1834" s="16">
        <f>_xlfn.XLOOKUP(CustomerCombinedCleaned[[#This Row],[ID]], Table4[ID], Table4[Fruits], "Not Found", 0)</f>
        <v>62</v>
      </c>
      <c r="M1834" s="16">
        <f>_xlfn.XLOOKUP(CustomerCombinedCleaned[[#This Row],[ID]], Table4[ID], Table4[Meats], "Not Found", 0)</f>
        <v>569</v>
      </c>
      <c r="N1834" s="16">
        <f>_xlfn.XLOOKUP(CustomerCombinedCleaned[[#This Row],[ID]], Table4[ID], Table4[Seafood], "Not Found", 0)</f>
        <v>110</v>
      </c>
      <c r="O1834" s="16">
        <f>_xlfn.XLOOKUP(CustomerCombinedCleaned[[#This Row],[ID]], Table4[ID], Table4[Sweets], "Not Found", 0)</f>
        <v>85</v>
      </c>
      <c r="P1834" s="16">
        <f>_xlfn.XLOOKUP(CustomerCombinedCleaned[[#This Row],[ID]], Table4[ID], Table4[Premium], "Not Found", 0)</f>
        <v>23</v>
      </c>
      <c r="Q1834" s="16">
        <f>_xlfn.XLOOKUP(CustomerCombinedCleaned[[#This Row],[ID]], Table4[ID], Table4[Regular], "Not Found", 0)</f>
        <v>1237</v>
      </c>
      <c r="R1834" s="16">
        <f>_xlfn.XLOOKUP(CustomerCombinedCleaned[[#This Row],[ID]], Table4[ID], Table4[Deals], "Not Found", 0)</f>
        <v>5</v>
      </c>
      <c r="S1834" s="16">
        <f>_xlfn.XLOOKUP(CustomerCombinedCleaned[[#This Row],[ID]], Table4[ID], Table4[Website], "Not Found", 0)</f>
        <v>4</v>
      </c>
      <c r="T1834" s="16">
        <f>_xlfn.XLOOKUP(CustomerCombinedCleaned[[#This Row],[ID]], Table4[ID], Table4[Catalog], "Not Found", 0)</f>
        <v>2</v>
      </c>
      <c r="U1834" s="16">
        <f>_xlfn.XLOOKUP(CustomerCombinedCleaned[[#This Row],[ID]], Table4[ID], Table4[Store], "Not Found", 0)</f>
        <v>9</v>
      </c>
      <c r="V1834" s="16">
        <f>_xlfn.XLOOKUP(CustomerCombinedCleaned[[#This Row],[ID]], Table4[ID], Table4[Visits], "Not Found", 0)</f>
        <v>4</v>
      </c>
      <c r="W1834" s="16">
        <f>_xlfn.XLOOKUP(CustomerCombinedCleaned[[#This Row],[ID]], Table2[ID],Table2[Complaint], "Not Found", 0 )</f>
        <v>0</v>
      </c>
      <c r="X1834" s="16">
        <f>_xlfn.XLOOKUP(CustomerCombinedCleaned[[#This Row],[ID]], Table2[ID],Table2[Pilot], "Not Found", 0 )</f>
        <v>1</v>
      </c>
      <c r="Y1834" s="16">
        <f>_xlfn.XLOOKUP(CustomerCombinedCleaned[[#This Row],[ID]], Table2[ID],Table2[MC1], "Not Found", 0 )</f>
        <v>0</v>
      </c>
      <c r="Z1834" s="16">
        <f>_xlfn.XLOOKUP(CustomerCombinedCleaned[[#This Row],[ID]], Table2[ID],Table2[MC2], "Not Found", 0 )</f>
        <v>0</v>
      </c>
      <c r="AA1834" s="16">
        <f>_xlfn.XLOOKUP(CustomerCombinedCleaned[[#This Row],[ID]], Table2[ID],Table2[MC3], "Not Found", 0 )</f>
        <v>0</v>
      </c>
      <c r="AB1834" s="16">
        <f>_xlfn.XLOOKUP(CustomerCombinedCleaned[[#This Row],[ID]], Table2[ID],Table2[MC4], "Not Found", 0 )</f>
        <v>0</v>
      </c>
      <c r="AC1834" s="16">
        <f>_xlfn.XLOOKUP(CustomerCombinedCleaned[[#This Row],[ID]], Table2[ID],Table2[MC5], "Not Found", 0 )</f>
        <v>0</v>
      </c>
    </row>
    <row r="1835" spans="1:29" x14ac:dyDescent="0.3">
      <c r="A1835" s="18">
        <v>1563</v>
      </c>
      <c r="B1835" s="16">
        <v>154603</v>
      </c>
      <c r="C1835" s="16">
        <v>1</v>
      </c>
      <c r="D1835" s="16">
        <v>1</v>
      </c>
      <c r="E1835" s="16">
        <v>64</v>
      </c>
      <c r="F1835" s="17" t="s">
        <v>8</v>
      </c>
      <c r="G1835" s="17" t="s">
        <v>12</v>
      </c>
      <c r="H1835" s="3" t="s">
        <v>226</v>
      </c>
      <c r="I1835" s="5" t="s">
        <v>435</v>
      </c>
      <c r="J1835" s="16">
        <f>_xlfn.XLOOKUP(CustomerCombinedCleaned[[#This Row],[ID]], Table4[ID], Table4[Recency], "Not Found", 0)</f>
        <v>85</v>
      </c>
      <c r="K1835" s="16">
        <f>_xlfn.XLOOKUP(CustomerCombinedCleaned[[#This Row],[ID]], Table4[ID], Table4[Teas], "Not Found", 0)</f>
        <v>411</v>
      </c>
      <c r="L1835" s="16">
        <f>_xlfn.XLOOKUP(CustomerCombinedCleaned[[#This Row],[ID]], Table4[ID], Table4[Fruits], "Not Found", 0)</f>
        <v>37</v>
      </c>
      <c r="M1835" s="16">
        <f>_xlfn.XLOOKUP(CustomerCombinedCleaned[[#This Row],[ID]], Table4[ID], Table4[Meats], "Not Found", 0)</f>
        <v>130</v>
      </c>
      <c r="N1835" s="16">
        <f>_xlfn.XLOOKUP(CustomerCombinedCleaned[[#This Row],[ID]], Table4[ID], Table4[Seafood], "Not Found", 0)</f>
        <v>48</v>
      </c>
      <c r="O1835" s="16">
        <f>_xlfn.XLOOKUP(CustomerCombinedCleaned[[#This Row],[ID]], Table4[ID], Table4[Sweets], "Not Found", 0)</f>
        <v>6</v>
      </c>
      <c r="P1835" s="16">
        <f>_xlfn.XLOOKUP(CustomerCombinedCleaned[[#This Row],[ID]], Table4[ID], Table4[Premium], "Not Found", 0)</f>
        <v>11</v>
      </c>
      <c r="Q1835" s="16">
        <f>_xlfn.XLOOKUP(CustomerCombinedCleaned[[#This Row],[ID]], Table4[ID], Table4[Regular], "Not Found", 0)</f>
        <v>620</v>
      </c>
      <c r="R1835" s="16">
        <f>_xlfn.XLOOKUP(CustomerCombinedCleaned[[#This Row],[ID]], Table4[ID], Table4[Deals], "Not Found", 0)</f>
        <v>6</v>
      </c>
      <c r="S1835" s="16">
        <f>_xlfn.XLOOKUP(CustomerCombinedCleaned[[#This Row],[ID]], Table4[ID], Table4[Website], "Not Found", 0)</f>
        <v>4</v>
      </c>
      <c r="T1835" s="16">
        <f>_xlfn.XLOOKUP(CustomerCombinedCleaned[[#This Row],[ID]], Table4[ID], Table4[Catalog], "Not Found", 0)</f>
        <v>2</v>
      </c>
      <c r="U1835" s="16">
        <f>_xlfn.XLOOKUP(CustomerCombinedCleaned[[#This Row],[ID]], Table4[ID], Table4[Store], "Not Found", 0)</f>
        <v>4</v>
      </c>
      <c r="V1835" s="16">
        <f>_xlfn.XLOOKUP(CustomerCombinedCleaned[[#This Row],[ID]], Table4[ID], Table4[Visits], "Not Found", 0)</f>
        <v>7</v>
      </c>
      <c r="W1835" s="16">
        <f>_xlfn.XLOOKUP(CustomerCombinedCleaned[[#This Row],[ID]], Table2[ID],Table2[Complaint], "Not Found", 0 )</f>
        <v>0</v>
      </c>
      <c r="X1835" s="16">
        <f>_xlfn.XLOOKUP(CustomerCombinedCleaned[[#This Row],[ID]], Table2[ID],Table2[Pilot], "Not Found", 0 )</f>
        <v>0</v>
      </c>
      <c r="Y1835" s="16">
        <f>_xlfn.XLOOKUP(CustomerCombinedCleaned[[#This Row],[ID]], Table2[ID],Table2[MC1], "Not Found", 0 )</f>
        <v>0</v>
      </c>
      <c r="Z1835" s="16">
        <f>_xlfn.XLOOKUP(CustomerCombinedCleaned[[#This Row],[ID]], Table2[ID],Table2[MC2], "Not Found", 0 )</f>
        <v>0</v>
      </c>
      <c r="AA1835" s="16">
        <f>_xlfn.XLOOKUP(CustomerCombinedCleaned[[#This Row],[ID]], Table2[ID],Table2[MC3], "Not Found", 0 )</f>
        <v>0</v>
      </c>
      <c r="AB1835" s="16">
        <f>_xlfn.XLOOKUP(CustomerCombinedCleaned[[#This Row],[ID]], Table2[ID],Table2[MC4], "Not Found", 0 )</f>
        <v>0</v>
      </c>
      <c r="AC1835" s="16">
        <f>_xlfn.XLOOKUP(CustomerCombinedCleaned[[#This Row],[ID]], Table2[ID],Table2[MC5], "Not Found", 0 )</f>
        <v>0</v>
      </c>
    </row>
    <row r="1836" spans="1:29" x14ac:dyDescent="0.3">
      <c r="A1836" s="18">
        <v>2128</v>
      </c>
      <c r="B1836" s="16">
        <v>154450</v>
      </c>
      <c r="C1836" s="16">
        <v>1</v>
      </c>
      <c r="D1836" s="16">
        <v>1</v>
      </c>
      <c r="E1836" s="16">
        <v>64</v>
      </c>
      <c r="F1836" s="17" t="s">
        <v>8</v>
      </c>
      <c r="G1836" s="17" t="s">
        <v>11</v>
      </c>
      <c r="H1836" s="3" t="s">
        <v>396</v>
      </c>
      <c r="I1836" s="5" t="s">
        <v>439</v>
      </c>
      <c r="J1836" s="16">
        <f>_xlfn.XLOOKUP(CustomerCombinedCleaned[[#This Row],[ID]], Table4[ID], Table4[Recency], "Not Found", 0)</f>
        <v>0</v>
      </c>
      <c r="K1836" s="16">
        <f>_xlfn.XLOOKUP(CustomerCombinedCleaned[[#This Row],[ID]], Table4[ID], Table4[Teas], "Not Found", 0)</f>
        <v>1288</v>
      </c>
      <c r="L1836" s="16">
        <f>_xlfn.XLOOKUP(CustomerCombinedCleaned[[#This Row],[ID]], Table4[ID], Table4[Fruits], "Not Found", 0)</f>
        <v>0</v>
      </c>
      <c r="M1836" s="16">
        <f>_xlfn.XLOOKUP(CustomerCombinedCleaned[[#This Row],[ID]], Table4[ID], Table4[Meats], "Not Found", 0)</f>
        <v>485</v>
      </c>
      <c r="N1836" s="16">
        <f>_xlfn.XLOOKUP(CustomerCombinedCleaned[[#This Row],[ID]], Table4[ID], Table4[Seafood], "Not Found", 0)</f>
        <v>23</v>
      </c>
      <c r="O1836" s="16">
        <f>_xlfn.XLOOKUP(CustomerCombinedCleaned[[#This Row],[ID]], Table4[ID], Table4[Sweets], "Not Found", 0)</f>
        <v>54</v>
      </c>
      <c r="P1836" s="16">
        <f>_xlfn.XLOOKUP(CustomerCombinedCleaned[[#This Row],[ID]], Table4[ID], Table4[Premium], "Not Found", 0)</f>
        <v>91</v>
      </c>
      <c r="Q1836" s="16">
        <f>_xlfn.XLOOKUP(CustomerCombinedCleaned[[#This Row],[ID]], Table4[ID], Table4[Regular], "Not Found", 0)</f>
        <v>1759</v>
      </c>
      <c r="R1836" s="16">
        <f>_xlfn.XLOOKUP(CustomerCombinedCleaned[[#This Row],[ID]], Table4[ID], Table4[Deals], "Not Found", 0)</f>
        <v>12</v>
      </c>
      <c r="S1836" s="16">
        <f>_xlfn.XLOOKUP(CustomerCombinedCleaned[[#This Row],[ID]], Table4[ID], Table4[Website], "Not Found", 0)</f>
        <v>9</v>
      </c>
      <c r="T1836" s="16">
        <f>_xlfn.XLOOKUP(CustomerCombinedCleaned[[#This Row],[ID]], Table4[ID], Table4[Catalog], "Not Found", 0)</f>
        <v>2</v>
      </c>
      <c r="U1836" s="16">
        <f>_xlfn.XLOOKUP(CustomerCombinedCleaned[[#This Row],[ID]], Table4[ID], Table4[Store], "Not Found", 0)</f>
        <v>8</v>
      </c>
      <c r="V1836" s="16">
        <f>_xlfn.XLOOKUP(CustomerCombinedCleaned[[#This Row],[ID]], Table4[ID], Table4[Visits], "Not Found", 0)</f>
        <v>8</v>
      </c>
      <c r="W1836" s="16">
        <f>_xlfn.XLOOKUP(CustomerCombinedCleaned[[#This Row],[ID]], Table2[ID],Table2[Complaint], "Not Found", 0 )</f>
        <v>0</v>
      </c>
      <c r="X1836" s="16">
        <f>_xlfn.XLOOKUP(CustomerCombinedCleaned[[#This Row],[ID]], Table2[ID],Table2[Pilot], "Not Found", 0 )</f>
        <v>0</v>
      </c>
      <c r="Y1836" s="16">
        <f>_xlfn.XLOOKUP(CustomerCombinedCleaned[[#This Row],[ID]], Table2[ID],Table2[MC1], "Not Found", 0 )</f>
        <v>0</v>
      </c>
      <c r="Z1836" s="16">
        <f>_xlfn.XLOOKUP(CustomerCombinedCleaned[[#This Row],[ID]], Table2[ID],Table2[MC2], "Not Found", 0 )</f>
        <v>0</v>
      </c>
      <c r="AA1836" s="16">
        <f>_xlfn.XLOOKUP(CustomerCombinedCleaned[[#This Row],[ID]], Table2[ID],Table2[MC3], "Not Found", 0 )</f>
        <v>0</v>
      </c>
      <c r="AB1836" s="16">
        <f>_xlfn.XLOOKUP(CustomerCombinedCleaned[[#This Row],[ID]], Table2[ID],Table2[MC4], "Not Found", 0 )</f>
        <v>0</v>
      </c>
      <c r="AC1836" s="16">
        <f>_xlfn.XLOOKUP(CustomerCombinedCleaned[[#This Row],[ID]], Table2[ID],Table2[MC5], "Not Found", 0 )</f>
        <v>0</v>
      </c>
    </row>
    <row r="1837" spans="1:29" x14ac:dyDescent="0.3">
      <c r="A1837" s="18">
        <v>2142</v>
      </c>
      <c r="B1837" s="16">
        <v>154450</v>
      </c>
      <c r="C1837" s="16">
        <v>1</v>
      </c>
      <c r="D1837" s="16">
        <v>1</v>
      </c>
      <c r="E1837" s="16">
        <v>64</v>
      </c>
      <c r="F1837" s="17" t="s">
        <v>8</v>
      </c>
      <c r="G1837" s="17" t="s">
        <v>11</v>
      </c>
      <c r="H1837" s="3" t="s">
        <v>396</v>
      </c>
      <c r="I1837" s="5" t="s">
        <v>436</v>
      </c>
      <c r="J1837" s="16">
        <f>_xlfn.XLOOKUP(CustomerCombinedCleaned[[#This Row],[ID]], Table4[ID], Table4[Recency], "Not Found", 0)</f>
        <v>0</v>
      </c>
      <c r="K1837" s="16">
        <f>_xlfn.XLOOKUP(CustomerCombinedCleaned[[#This Row],[ID]], Table4[ID], Table4[Teas], "Not Found", 0)</f>
        <v>1288</v>
      </c>
      <c r="L1837" s="16">
        <f>_xlfn.XLOOKUP(CustomerCombinedCleaned[[#This Row],[ID]], Table4[ID], Table4[Fruits], "Not Found", 0)</f>
        <v>0</v>
      </c>
      <c r="M1837" s="16">
        <f>_xlfn.XLOOKUP(CustomerCombinedCleaned[[#This Row],[ID]], Table4[ID], Table4[Meats], "Not Found", 0)</f>
        <v>485</v>
      </c>
      <c r="N1837" s="16">
        <f>_xlfn.XLOOKUP(CustomerCombinedCleaned[[#This Row],[ID]], Table4[ID], Table4[Seafood], "Not Found", 0)</f>
        <v>23</v>
      </c>
      <c r="O1837" s="16">
        <f>_xlfn.XLOOKUP(CustomerCombinedCleaned[[#This Row],[ID]], Table4[ID], Table4[Sweets], "Not Found", 0)</f>
        <v>54</v>
      </c>
      <c r="P1837" s="16">
        <f>_xlfn.XLOOKUP(CustomerCombinedCleaned[[#This Row],[ID]], Table4[ID], Table4[Premium], "Not Found", 0)</f>
        <v>91</v>
      </c>
      <c r="Q1837" s="16">
        <f>_xlfn.XLOOKUP(CustomerCombinedCleaned[[#This Row],[ID]], Table4[ID], Table4[Regular], "Not Found", 0)</f>
        <v>1759</v>
      </c>
      <c r="R1837" s="16">
        <f>_xlfn.XLOOKUP(CustomerCombinedCleaned[[#This Row],[ID]], Table4[ID], Table4[Deals], "Not Found", 0)</f>
        <v>12</v>
      </c>
      <c r="S1837" s="16">
        <f>_xlfn.XLOOKUP(CustomerCombinedCleaned[[#This Row],[ID]], Table4[ID], Table4[Website], "Not Found", 0)</f>
        <v>9</v>
      </c>
      <c r="T1837" s="16">
        <f>_xlfn.XLOOKUP(CustomerCombinedCleaned[[#This Row],[ID]], Table4[ID], Table4[Catalog], "Not Found", 0)</f>
        <v>2</v>
      </c>
      <c r="U1837" s="16">
        <f>_xlfn.XLOOKUP(CustomerCombinedCleaned[[#This Row],[ID]], Table4[ID], Table4[Store], "Not Found", 0)</f>
        <v>8</v>
      </c>
      <c r="V1837" s="16">
        <f>_xlfn.XLOOKUP(CustomerCombinedCleaned[[#This Row],[ID]], Table4[ID], Table4[Visits], "Not Found", 0)</f>
        <v>8</v>
      </c>
      <c r="W1837" s="16">
        <f>_xlfn.XLOOKUP(CustomerCombinedCleaned[[#This Row],[ID]], Table2[ID],Table2[Complaint], "Not Found", 0 )</f>
        <v>0</v>
      </c>
      <c r="X1837" s="16">
        <f>_xlfn.XLOOKUP(CustomerCombinedCleaned[[#This Row],[ID]], Table2[ID],Table2[Pilot], "Not Found", 0 )</f>
        <v>0</v>
      </c>
      <c r="Y1837" s="16">
        <f>_xlfn.XLOOKUP(CustomerCombinedCleaned[[#This Row],[ID]], Table2[ID],Table2[MC1], "Not Found", 0 )</f>
        <v>0</v>
      </c>
      <c r="Z1837" s="16">
        <f>_xlfn.XLOOKUP(CustomerCombinedCleaned[[#This Row],[ID]], Table2[ID],Table2[MC2], "Not Found", 0 )</f>
        <v>0</v>
      </c>
      <c r="AA1837" s="16">
        <f>_xlfn.XLOOKUP(CustomerCombinedCleaned[[#This Row],[ID]], Table2[ID],Table2[MC3], "Not Found", 0 )</f>
        <v>0</v>
      </c>
      <c r="AB1837" s="16">
        <f>_xlfn.XLOOKUP(CustomerCombinedCleaned[[#This Row],[ID]], Table2[ID],Table2[MC4], "Not Found", 0 )</f>
        <v>0</v>
      </c>
      <c r="AC1837" s="16">
        <f>_xlfn.XLOOKUP(CustomerCombinedCleaned[[#This Row],[ID]], Table2[ID],Table2[MC5], "Not Found", 0 )</f>
        <v>0</v>
      </c>
    </row>
    <row r="1838" spans="1:29" x14ac:dyDescent="0.3">
      <c r="A1838" s="18">
        <v>2360</v>
      </c>
      <c r="B1838" s="16">
        <v>154342</v>
      </c>
      <c r="C1838" s="16">
        <v>1</v>
      </c>
      <c r="D1838" s="16">
        <v>1</v>
      </c>
      <c r="E1838" s="16">
        <v>64</v>
      </c>
      <c r="F1838" s="17" t="s">
        <v>8</v>
      </c>
      <c r="G1838" s="17" t="s">
        <v>11</v>
      </c>
      <c r="H1838" s="3" t="s">
        <v>556</v>
      </c>
      <c r="I1838" s="5" t="s">
        <v>438</v>
      </c>
      <c r="J1838" s="16">
        <f>_xlfn.XLOOKUP(CustomerCombinedCleaned[[#This Row],[ID]], Table4[ID], Table4[Recency], "Not Found", 0)</f>
        <v>74</v>
      </c>
      <c r="K1838" s="16">
        <f>_xlfn.XLOOKUP(CustomerCombinedCleaned[[#This Row],[ID]], Table4[ID], Table4[Teas], "Not Found", 0)</f>
        <v>239</v>
      </c>
      <c r="L1838" s="16">
        <f>_xlfn.XLOOKUP(CustomerCombinedCleaned[[#This Row],[ID]], Table4[ID], Table4[Fruits], "Not Found", 0)</f>
        <v>28</v>
      </c>
      <c r="M1838" s="16">
        <f>_xlfn.XLOOKUP(CustomerCombinedCleaned[[#This Row],[ID]], Table4[ID], Table4[Meats], "Not Found", 0)</f>
        <v>97</v>
      </c>
      <c r="N1838" s="16">
        <f>_xlfn.XLOOKUP(CustomerCombinedCleaned[[#This Row],[ID]], Table4[ID], Table4[Seafood], "Not Found", 0)</f>
        <v>31</v>
      </c>
      <c r="O1838" s="16">
        <f>_xlfn.XLOOKUP(CustomerCombinedCleaned[[#This Row],[ID]], Table4[ID], Table4[Sweets], "Not Found", 0)</f>
        <v>28</v>
      </c>
      <c r="P1838" s="16">
        <f>_xlfn.XLOOKUP(CustomerCombinedCleaned[[#This Row],[ID]], Table4[ID], Table4[Premium], "Not Found", 0)</f>
        <v>80</v>
      </c>
      <c r="Q1838" s="16">
        <f>_xlfn.XLOOKUP(CustomerCombinedCleaned[[#This Row],[ID]], Table4[ID], Table4[Regular], "Not Found", 0)</f>
        <v>344</v>
      </c>
      <c r="R1838" s="16">
        <f>_xlfn.XLOOKUP(CustomerCombinedCleaned[[#This Row],[ID]], Table4[ID], Table4[Deals], "Not Found", 0)</f>
        <v>4</v>
      </c>
      <c r="S1838" s="16">
        <f>_xlfn.XLOOKUP(CustomerCombinedCleaned[[#This Row],[ID]], Table4[ID], Table4[Website], "Not Found", 0)</f>
        <v>3</v>
      </c>
      <c r="T1838" s="16">
        <f>_xlfn.XLOOKUP(CustomerCombinedCleaned[[#This Row],[ID]], Table4[ID], Table4[Catalog], "Not Found", 0)</f>
        <v>1</v>
      </c>
      <c r="U1838" s="16">
        <f>_xlfn.XLOOKUP(CustomerCombinedCleaned[[#This Row],[ID]], Table4[ID], Table4[Store], "Not Found", 0)</f>
        <v>4</v>
      </c>
      <c r="V1838" s="16">
        <f>_xlfn.XLOOKUP(CustomerCombinedCleaned[[#This Row],[ID]], Table4[ID], Table4[Visits], "Not Found", 0)</f>
        <v>6</v>
      </c>
      <c r="W1838" s="16">
        <f>_xlfn.XLOOKUP(CustomerCombinedCleaned[[#This Row],[ID]], Table2[ID],Table2[Complaint], "Not Found", 0 )</f>
        <v>0</v>
      </c>
      <c r="X1838" s="16">
        <f>_xlfn.XLOOKUP(CustomerCombinedCleaned[[#This Row],[ID]], Table2[ID],Table2[Pilot], "Not Found", 0 )</f>
        <v>0</v>
      </c>
      <c r="Y1838" s="16">
        <f>_xlfn.XLOOKUP(CustomerCombinedCleaned[[#This Row],[ID]], Table2[ID],Table2[MC1], "Not Found", 0 )</f>
        <v>0</v>
      </c>
      <c r="Z1838" s="16">
        <f>_xlfn.XLOOKUP(CustomerCombinedCleaned[[#This Row],[ID]], Table2[ID],Table2[MC2], "Not Found", 0 )</f>
        <v>0</v>
      </c>
      <c r="AA1838" s="16">
        <f>_xlfn.XLOOKUP(CustomerCombinedCleaned[[#This Row],[ID]], Table2[ID],Table2[MC3], "Not Found", 0 )</f>
        <v>0</v>
      </c>
      <c r="AB1838" s="16">
        <f>_xlfn.XLOOKUP(CustomerCombinedCleaned[[#This Row],[ID]], Table2[ID],Table2[MC4], "Not Found", 0 )</f>
        <v>0</v>
      </c>
      <c r="AC1838" s="16">
        <f>_xlfn.XLOOKUP(CustomerCombinedCleaned[[#This Row],[ID]], Table2[ID],Table2[MC5], "Not Found", 0 )</f>
        <v>0</v>
      </c>
    </row>
    <row r="1839" spans="1:29" x14ac:dyDescent="0.3">
      <c r="A1839" s="18">
        <v>3066</v>
      </c>
      <c r="B1839" s="16">
        <v>154252</v>
      </c>
      <c r="C1839" s="16">
        <v>1</v>
      </c>
      <c r="D1839" s="16">
        <v>1</v>
      </c>
      <c r="E1839" s="16">
        <v>64</v>
      </c>
      <c r="F1839" s="17" t="s">
        <v>7</v>
      </c>
      <c r="G1839" s="17" t="s">
        <v>11</v>
      </c>
      <c r="H1839" s="3" t="s">
        <v>590</v>
      </c>
      <c r="I1839" s="5" t="s">
        <v>436</v>
      </c>
      <c r="J1839" s="16">
        <f>_xlfn.XLOOKUP(CustomerCombinedCleaned[[#This Row],[ID]], Table4[ID], Table4[Recency], "Not Found", 0)</f>
        <v>25</v>
      </c>
      <c r="K1839" s="16">
        <f>_xlfn.XLOOKUP(CustomerCombinedCleaned[[#This Row],[ID]], Table4[ID], Table4[Teas], "Not Found", 0)</f>
        <v>506</v>
      </c>
      <c r="L1839" s="16">
        <f>_xlfn.XLOOKUP(CustomerCombinedCleaned[[#This Row],[ID]], Table4[ID], Table4[Fruits], "Not Found", 0)</f>
        <v>11</v>
      </c>
      <c r="M1839" s="16">
        <f>_xlfn.XLOOKUP(CustomerCombinedCleaned[[#This Row],[ID]], Table4[ID], Table4[Meats], "Not Found", 0)</f>
        <v>74</v>
      </c>
      <c r="N1839" s="16">
        <f>_xlfn.XLOOKUP(CustomerCombinedCleaned[[#This Row],[ID]], Table4[ID], Table4[Seafood], "Not Found", 0)</f>
        <v>23</v>
      </c>
      <c r="O1839" s="16">
        <f>_xlfn.XLOOKUP(CustomerCombinedCleaned[[#This Row],[ID]], Table4[ID], Table4[Sweets], "Not Found", 0)</f>
        <v>11</v>
      </c>
      <c r="P1839" s="16">
        <f>_xlfn.XLOOKUP(CustomerCombinedCleaned[[#This Row],[ID]], Table4[ID], Table4[Premium], "Not Found", 0)</f>
        <v>125</v>
      </c>
      <c r="Q1839" s="16">
        <f>_xlfn.XLOOKUP(CustomerCombinedCleaned[[#This Row],[ID]], Table4[ID], Table4[Regular], "Not Found", 0)</f>
        <v>500</v>
      </c>
      <c r="R1839" s="16">
        <f>_xlfn.XLOOKUP(CustomerCombinedCleaned[[#This Row],[ID]], Table4[ID], Table4[Deals], "Not Found", 0)</f>
        <v>5</v>
      </c>
      <c r="S1839" s="16">
        <f>_xlfn.XLOOKUP(CustomerCombinedCleaned[[#This Row],[ID]], Table4[ID], Table4[Website], "Not Found", 0)</f>
        <v>4</v>
      </c>
      <c r="T1839" s="16">
        <f>_xlfn.XLOOKUP(CustomerCombinedCleaned[[#This Row],[ID]], Table4[ID], Table4[Catalog], "Not Found", 0)</f>
        <v>1</v>
      </c>
      <c r="U1839" s="16">
        <f>_xlfn.XLOOKUP(CustomerCombinedCleaned[[#This Row],[ID]], Table4[ID], Table4[Store], "Not Found", 0)</f>
        <v>5</v>
      </c>
      <c r="V1839" s="16">
        <f>_xlfn.XLOOKUP(CustomerCombinedCleaned[[#This Row],[ID]], Table4[ID], Table4[Visits], "Not Found", 0)</f>
        <v>6</v>
      </c>
      <c r="W1839" s="16">
        <f>_xlfn.XLOOKUP(CustomerCombinedCleaned[[#This Row],[ID]], Table2[ID],Table2[Complaint], "Not Found", 0 )</f>
        <v>0</v>
      </c>
      <c r="X1839" s="16">
        <f>_xlfn.XLOOKUP(CustomerCombinedCleaned[[#This Row],[ID]], Table2[ID],Table2[Pilot], "Not Found", 0 )</f>
        <v>0</v>
      </c>
      <c r="Y1839" s="16">
        <f>_xlfn.XLOOKUP(CustomerCombinedCleaned[[#This Row],[ID]], Table2[ID],Table2[MC1], "Not Found", 0 )</f>
        <v>0</v>
      </c>
      <c r="Z1839" s="16">
        <f>_xlfn.XLOOKUP(CustomerCombinedCleaned[[#This Row],[ID]], Table2[ID],Table2[MC2], "Not Found", 0 )</f>
        <v>0</v>
      </c>
      <c r="AA1839" s="16">
        <f>_xlfn.XLOOKUP(CustomerCombinedCleaned[[#This Row],[ID]], Table2[ID],Table2[MC3], "Not Found", 0 )</f>
        <v>0</v>
      </c>
      <c r="AB1839" s="16">
        <f>_xlfn.XLOOKUP(CustomerCombinedCleaned[[#This Row],[ID]], Table2[ID],Table2[MC4], "Not Found", 0 )</f>
        <v>0</v>
      </c>
      <c r="AC1839" s="16">
        <f>_xlfn.XLOOKUP(CustomerCombinedCleaned[[#This Row],[ID]], Table2[ID],Table2[MC5], "Not Found", 0 )</f>
        <v>0</v>
      </c>
    </row>
    <row r="1840" spans="1:29" x14ac:dyDescent="0.3">
      <c r="A1840" s="18">
        <v>3092</v>
      </c>
      <c r="B1840" s="16">
        <v>153230</v>
      </c>
      <c r="C1840" s="16">
        <v>0</v>
      </c>
      <c r="D1840" s="16">
        <v>1</v>
      </c>
      <c r="E1840" s="16">
        <v>64</v>
      </c>
      <c r="F1840" s="17" t="s">
        <v>6</v>
      </c>
      <c r="G1840" s="17" t="s">
        <v>11</v>
      </c>
      <c r="H1840" s="3" t="s">
        <v>700</v>
      </c>
      <c r="I1840" s="5" t="s">
        <v>438</v>
      </c>
      <c r="J1840" s="16">
        <f>_xlfn.XLOOKUP(CustomerCombinedCleaned[[#This Row],[ID]], Table4[ID], Table4[Recency], "Not Found", 0)</f>
        <v>86</v>
      </c>
      <c r="K1840" s="16">
        <f>_xlfn.XLOOKUP(CustomerCombinedCleaned[[#This Row],[ID]], Table4[ID], Table4[Teas], "Not Found", 0)</f>
        <v>507</v>
      </c>
      <c r="L1840" s="16">
        <f>_xlfn.XLOOKUP(CustomerCombinedCleaned[[#This Row],[ID]], Table4[ID], Table4[Fruits], "Not Found", 0)</f>
        <v>207</v>
      </c>
      <c r="M1840" s="16">
        <f>_xlfn.XLOOKUP(CustomerCombinedCleaned[[#This Row],[ID]], Table4[ID], Table4[Meats], "Not Found", 0)</f>
        <v>282</v>
      </c>
      <c r="N1840" s="16">
        <f>_xlfn.XLOOKUP(CustomerCombinedCleaned[[#This Row],[ID]], Table4[ID], Table4[Seafood], "Not Found", 0)</f>
        <v>391</v>
      </c>
      <c r="O1840" s="16">
        <f>_xlfn.XLOOKUP(CustomerCombinedCleaned[[#This Row],[ID]], Table4[ID], Table4[Sweets], "Not Found", 0)</f>
        <v>60</v>
      </c>
      <c r="P1840" s="16">
        <f>_xlfn.XLOOKUP(CustomerCombinedCleaned[[#This Row],[ID]], Table4[ID], Table4[Premium], "Not Found", 0)</f>
        <v>659</v>
      </c>
      <c r="Q1840" s="16">
        <f>_xlfn.XLOOKUP(CustomerCombinedCleaned[[#This Row],[ID]], Table4[ID], Table4[Regular], "Not Found", 0)</f>
        <v>789</v>
      </c>
      <c r="R1840" s="16">
        <f>_xlfn.XLOOKUP(CustomerCombinedCleaned[[#This Row],[ID]], Table4[ID], Table4[Deals], "Not Found", 0)</f>
        <v>4</v>
      </c>
      <c r="S1840" s="16">
        <f>_xlfn.XLOOKUP(CustomerCombinedCleaned[[#This Row],[ID]], Table4[ID], Table4[Website], "Not Found", 0)</f>
        <v>5</v>
      </c>
      <c r="T1840" s="16">
        <f>_xlfn.XLOOKUP(CustomerCombinedCleaned[[#This Row],[ID]], Table4[ID], Table4[Catalog], "Not Found", 0)</f>
        <v>2</v>
      </c>
      <c r="U1840" s="16">
        <f>_xlfn.XLOOKUP(CustomerCombinedCleaned[[#This Row],[ID]], Table4[ID], Table4[Store], "Not Found", 0)</f>
        <v>12</v>
      </c>
      <c r="V1840" s="16">
        <f>_xlfn.XLOOKUP(CustomerCombinedCleaned[[#This Row],[ID]], Table4[ID], Table4[Visits], "Not Found", 0)</f>
        <v>5</v>
      </c>
      <c r="W1840" s="16">
        <f>_xlfn.XLOOKUP(CustomerCombinedCleaned[[#This Row],[ID]], Table2[ID],Table2[Complaint], "Not Found", 0 )</f>
        <v>0</v>
      </c>
      <c r="X1840" s="16">
        <f>_xlfn.XLOOKUP(CustomerCombinedCleaned[[#This Row],[ID]], Table2[ID],Table2[Pilot], "Not Found", 0 )</f>
        <v>0</v>
      </c>
      <c r="Y1840" s="16">
        <f>_xlfn.XLOOKUP(CustomerCombinedCleaned[[#This Row],[ID]], Table2[ID],Table2[MC1], "Not Found", 0 )</f>
        <v>0</v>
      </c>
      <c r="Z1840" s="16">
        <f>_xlfn.XLOOKUP(CustomerCombinedCleaned[[#This Row],[ID]], Table2[ID],Table2[MC2], "Not Found", 0 )</f>
        <v>0</v>
      </c>
      <c r="AA1840" s="16">
        <f>_xlfn.XLOOKUP(CustomerCombinedCleaned[[#This Row],[ID]], Table2[ID],Table2[MC3], "Not Found", 0 )</f>
        <v>0</v>
      </c>
      <c r="AB1840" s="16">
        <f>_xlfn.XLOOKUP(CustomerCombinedCleaned[[#This Row],[ID]], Table2[ID],Table2[MC4], "Not Found", 0 )</f>
        <v>0</v>
      </c>
      <c r="AC1840" s="16">
        <f>_xlfn.XLOOKUP(CustomerCombinedCleaned[[#This Row],[ID]], Table2[ID],Table2[MC5], "Not Found", 0 )</f>
        <v>0</v>
      </c>
    </row>
    <row r="1841" spans="1:29" x14ac:dyDescent="0.3">
      <c r="A1841" s="18">
        <v>2595</v>
      </c>
      <c r="B1841" s="16">
        <v>152973</v>
      </c>
      <c r="C1841" s="16">
        <v>0</v>
      </c>
      <c r="D1841" s="16">
        <v>1</v>
      </c>
      <c r="E1841" s="16">
        <v>64</v>
      </c>
      <c r="F1841" s="17" t="s">
        <v>6</v>
      </c>
      <c r="G1841" s="17" t="s">
        <v>12</v>
      </c>
      <c r="H1841" s="3" t="s">
        <v>367</v>
      </c>
      <c r="I1841" s="5" t="s">
        <v>435</v>
      </c>
      <c r="J1841" s="16">
        <f>_xlfn.XLOOKUP(CustomerCombinedCleaned[[#This Row],[ID]], Table4[ID], Table4[Recency], "Not Found", 0)</f>
        <v>92</v>
      </c>
      <c r="K1841" s="16">
        <f>_xlfn.XLOOKUP(CustomerCombinedCleaned[[#This Row],[ID]], Table4[ID], Table4[Teas], "Not Found", 0)</f>
        <v>2472</v>
      </c>
      <c r="L1841" s="16">
        <f>_xlfn.XLOOKUP(CustomerCombinedCleaned[[#This Row],[ID]], Table4[ID], Table4[Fruits], "Not Found", 0)</f>
        <v>0</v>
      </c>
      <c r="M1841" s="16">
        <f>_xlfn.XLOOKUP(CustomerCombinedCleaned[[#This Row],[ID]], Table4[ID], Table4[Meats], "Not Found", 0)</f>
        <v>219</v>
      </c>
      <c r="N1841" s="16">
        <f>_xlfn.XLOOKUP(CustomerCombinedCleaned[[#This Row],[ID]], Table4[ID], Table4[Seafood], "Not Found", 0)</f>
        <v>35</v>
      </c>
      <c r="O1841" s="16">
        <f>_xlfn.XLOOKUP(CustomerCombinedCleaned[[#This Row],[ID]], Table4[ID], Table4[Sweets], "Not Found", 0)</f>
        <v>26</v>
      </c>
      <c r="P1841" s="16">
        <f>_xlfn.XLOOKUP(CustomerCombinedCleaned[[#This Row],[ID]], Table4[ID], Table4[Premium], "Not Found", 0)</f>
        <v>575</v>
      </c>
      <c r="Q1841" s="16">
        <f>_xlfn.XLOOKUP(CustomerCombinedCleaned[[#This Row],[ID]], Table4[ID], Table4[Regular], "Not Found", 0)</f>
        <v>2177</v>
      </c>
      <c r="R1841" s="16">
        <f>_xlfn.XLOOKUP(CustomerCombinedCleaned[[#This Row],[ID]], Table4[ID], Table4[Deals], "Not Found", 0)</f>
        <v>7</v>
      </c>
      <c r="S1841" s="16">
        <f>_xlfn.XLOOKUP(CustomerCombinedCleaned[[#This Row],[ID]], Table4[ID], Table4[Website], "Not Found", 0)</f>
        <v>9</v>
      </c>
      <c r="T1841" s="16">
        <f>_xlfn.XLOOKUP(CustomerCombinedCleaned[[#This Row],[ID]], Table4[ID], Table4[Catalog], "Not Found", 0)</f>
        <v>6</v>
      </c>
      <c r="U1841" s="16">
        <f>_xlfn.XLOOKUP(CustomerCombinedCleaned[[#This Row],[ID]], Table4[ID], Table4[Store], "Not Found", 0)</f>
        <v>9</v>
      </c>
      <c r="V1841" s="16">
        <f>_xlfn.XLOOKUP(CustomerCombinedCleaned[[#This Row],[ID]], Table4[ID], Table4[Visits], "Not Found", 0)</f>
        <v>8</v>
      </c>
      <c r="W1841" s="16">
        <f>_xlfn.XLOOKUP(CustomerCombinedCleaned[[#This Row],[ID]], Table2[ID],Table2[Complaint], "Not Found", 0 )</f>
        <v>0</v>
      </c>
      <c r="X1841" s="16">
        <f>_xlfn.XLOOKUP(CustomerCombinedCleaned[[#This Row],[ID]], Table2[ID],Table2[Pilot], "Not Found", 0 )</f>
        <v>0</v>
      </c>
      <c r="Y1841" s="16">
        <f>_xlfn.XLOOKUP(CustomerCombinedCleaned[[#This Row],[ID]], Table2[ID],Table2[MC1], "Not Found", 0 )</f>
        <v>0</v>
      </c>
      <c r="Z1841" s="16">
        <f>_xlfn.XLOOKUP(CustomerCombinedCleaned[[#This Row],[ID]], Table2[ID],Table2[MC2], "Not Found", 0 )</f>
        <v>0</v>
      </c>
      <c r="AA1841" s="16">
        <f>_xlfn.XLOOKUP(CustomerCombinedCleaned[[#This Row],[ID]], Table2[ID],Table2[MC3], "Not Found", 0 )</f>
        <v>0</v>
      </c>
      <c r="AB1841" s="16">
        <f>_xlfn.XLOOKUP(CustomerCombinedCleaned[[#This Row],[ID]], Table2[ID],Table2[MC4], "Not Found", 0 )</f>
        <v>0</v>
      </c>
      <c r="AC1841" s="16">
        <f>_xlfn.XLOOKUP(CustomerCombinedCleaned[[#This Row],[ID]], Table2[ID],Table2[MC5], "Not Found", 0 )</f>
        <v>0</v>
      </c>
    </row>
    <row r="1842" spans="1:29" x14ac:dyDescent="0.3">
      <c r="A1842" s="18">
        <v>2186</v>
      </c>
      <c r="B1842" s="16">
        <v>150965</v>
      </c>
      <c r="C1842" s="16">
        <v>0</v>
      </c>
      <c r="D1842" s="16">
        <v>1</v>
      </c>
      <c r="E1842" s="16">
        <v>64</v>
      </c>
      <c r="F1842" s="17" t="s">
        <v>6</v>
      </c>
      <c r="G1842" s="17" t="s">
        <v>12</v>
      </c>
      <c r="H1842" s="3" t="s">
        <v>303</v>
      </c>
      <c r="I1842" s="5" t="s">
        <v>438</v>
      </c>
      <c r="J1842" s="16">
        <f>_xlfn.XLOOKUP(CustomerCombinedCleaned[[#This Row],[ID]], Table4[ID], Table4[Recency], "Not Found", 0)</f>
        <v>87</v>
      </c>
      <c r="K1842" s="16">
        <f>_xlfn.XLOOKUP(CustomerCombinedCleaned[[#This Row],[ID]], Table4[ID], Table4[Teas], "Not Found", 0)</f>
        <v>1611</v>
      </c>
      <c r="L1842" s="16">
        <f>_xlfn.XLOOKUP(CustomerCombinedCleaned[[#This Row],[ID]], Table4[ID], Table4[Fruits], "Not Found", 0)</f>
        <v>39</v>
      </c>
      <c r="M1842" s="16">
        <f>_xlfn.XLOOKUP(CustomerCombinedCleaned[[#This Row],[ID]], Table4[ID], Table4[Meats], "Not Found", 0)</f>
        <v>252</v>
      </c>
      <c r="N1842" s="16">
        <f>_xlfn.XLOOKUP(CustomerCombinedCleaned[[#This Row],[ID]], Table4[ID], Table4[Seafood], "Not Found", 0)</f>
        <v>24</v>
      </c>
      <c r="O1842" s="16">
        <f>_xlfn.XLOOKUP(CustomerCombinedCleaned[[#This Row],[ID]], Table4[ID], Table4[Sweets], "Not Found", 0)</f>
        <v>18</v>
      </c>
      <c r="P1842" s="16">
        <f>_xlfn.XLOOKUP(CustomerCombinedCleaned[[#This Row],[ID]], Table4[ID], Table4[Premium], "Not Found", 0)</f>
        <v>86</v>
      </c>
      <c r="Q1842" s="16">
        <f>_xlfn.XLOOKUP(CustomerCombinedCleaned[[#This Row],[ID]], Table4[ID], Table4[Regular], "Not Found", 0)</f>
        <v>1857</v>
      </c>
      <c r="R1842" s="16">
        <f>_xlfn.XLOOKUP(CustomerCombinedCleaned[[#This Row],[ID]], Table4[ID], Table4[Deals], "Not Found", 0)</f>
        <v>3</v>
      </c>
      <c r="S1842" s="16">
        <f>_xlfn.XLOOKUP(CustomerCombinedCleaned[[#This Row],[ID]], Table4[ID], Table4[Website], "Not Found", 0)</f>
        <v>10</v>
      </c>
      <c r="T1842" s="16">
        <f>_xlfn.XLOOKUP(CustomerCombinedCleaned[[#This Row],[ID]], Table4[ID], Table4[Catalog], "Not Found", 0)</f>
        <v>4</v>
      </c>
      <c r="U1842" s="16">
        <f>_xlfn.XLOOKUP(CustomerCombinedCleaned[[#This Row],[ID]], Table4[ID], Table4[Store], "Not Found", 0)</f>
        <v>5</v>
      </c>
      <c r="V1842" s="16">
        <f>_xlfn.XLOOKUP(CustomerCombinedCleaned[[#This Row],[ID]], Table4[ID], Table4[Visits], "Not Found", 0)</f>
        <v>8</v>
      </c>
      <c r="W1842" s="16">
        <f>_xlfn.XLOOKUP(CustomerCombinedCleaned[[#This Row],[ID]], Table2[ID],Table2[Complaint], "Not Found", 0 )</f>
        <v>0</v>
      </c>
      <c r="X1842" s="16">
        <f>_xlfn.XLOOKUP(CustomerCombinedCleaned[[#This Row],[ID]], Table2[ID],Table2[Pilot], "Not Found", 0 )</f>
        <v>0</v>
      </c>
      <c r="Y1842" s="16">
        <f>_xlfn.XLOOKUP(CustomerCombinedCleaned[[#This Row],[ID]], Table2[ID],Table2[MC1], "Not Found", 0 )</f>
        <v>0</v>
      </c>
      <c r="Z1842" s="16">
        <f>_xlfn.XLOOKUP(CustomerCombinedCleaned[[#This Row],[ID]], Table2[ID],Table2[MC2], "Not Found", 0 )</f>
        <v>0</v>
      </c>
      <c r="AA1842" s="16">
        <f>_xlfn.XLOOKUP(CustomerCombinedCleaned[[#This Row],[ID]], Table2[ID],Table2[MC3], "Not Found", 0 )</f>
        <v>1</v>
      </c>
      <c r="AB1842" s="16">
        <f>_xlfn.XLOOKUP(CustomerCombinedCleaned[[#This Row],[ID]], Table2[ID],Table2[MC4], "Not Found", 0 )</f>
        <v>0</v>
      </c>
      <c r="AC1842" s="16">
        <f>_xlfn.XLOOKUP(CustomerCombinedCleaned[[#This Row],[ID]], Table2[ID],Table2[MC5], "Not Found", 0 )</f>
        <v>0</v>
      </c>
    </row>
    <row r="1843" spans="1:29" x14ac:dyDescent="0.3">
      <c r="A1843" s="18">
        <v>1419</v>
      </c>
      <c r="B1843" s="16">
        <v>150943</v>
      </c>
      <c r="C1843" s="16">
        <v>0</v>
      </c>
      <c r="D1843" s="16">
        <v>1</v>
      </c>
      <c r="E1843" s="16">
        <v>64</v>
      </c>
      <c r="F1843" s="17" t="s">
        <v>8</v>
      </c>
      <c r="G1843" s="17" t="s">
        <v>12</v>
      </c>
      <c r="H1843" s="3" t="s">
        <v>232</v>
      </c>
      <c r="I1843" s="5" t="s">
        <v>435</v>
      </c>
      <c r="J1843" s="16">
        <f>_xlfn.XLOOKUP(CustomerCombinedCleaned[[#This Row],[ID]], Table4[ID], Table4[Recency], "Not Found", 0)</f>
        <v>49</v>
      </c>
      <c r="K1843" s="16">
        <f>_xlfn.XLOOKUP(CustomerCombinedCleaned[[#This Row],[ID]], Table4[ID], Table4[Teas], "Not Found", 0)</f>
        <v>92</v>
      </c>
      <c r="L1843" s="16">
        <f>_xlfn.XLOOKUP(CustomerCombinedCleaned[[#This Row],[ID]], Table4[ID], Table4[Fruits], "Not Found", 0)</f>
        <v>0</v>
      </c>
      <c r="M1843" s="16">
        <f>_xlfn.XLOOKUP(CustomerCombinedCleaned[[#This Row],[ID]], Table4[ID], Table4[Meats], "Not Found", 0)</f>
        <v>21</v>
      </c>
      <c r="N1843" s="16">
        <f>_xlfn.XLOOKUP(CustomerCombinedCleaned[[#This Row],[ID]], Table4[ID], Table4[Seafood], "Not Found", 0)</f>
        <v>6</v>
      </c>
      <c r="O1843" s="16">
        <f>_xlfn.XLOOKUP(CustomerCombinedCleaned[[#This Row],[ID]], Table4[ID], Table4[Sweets], "Not Found", 0)</f>
        <v>0</v>
      </c>
      <c r="P1843" s="16">
        <f>_xlfn.XLOOKUP(CustomerCombinedCleaned[[#This Row],[ID]], Table4[ID], Table4[Premium], "Not Found", 0)</f>
        <v>18</v>
      </c>
      <c r="Q1843" s="16">
        <f>_xlfn.XLOOKUP(CustomerCombinedCleaned[[#This Row],[ID]], Table4[ID], Table4[Regular], "Not Found", 0)</f>
        <v>101</v>
      </c>
      <c r="R1843" s="16">
        <f>_xlfn.XLOOKUP(CustomerCombinedCleaned[[#This Row],[ID]], Table4[ID], Table4[Deals], "Not Found", 0)</f>
        <v>1</v>
      </c>
      <c r="S1843" s="16">
        <f>_xlfn.XLOOKUP(CustomerCombinedCleaned[[#This Row],[ID]], Table4[ID], Table4[Website], "Not Found", 0)</f>
        <v>1</v>
      </c>
      <c r="T1843" s="16">
        <f>_xlfn.XLOOKUP(CustomerCombinedCleaned[[#This Row],[ID]], Table4[ID], Table4[Catalog], "Not Found", 0)</f>
        <v>0</v>
      </c>
      <c r="U1843" s="16">
        <f>_xlfn.XLOOKUP(CustomerCombinedCleaned[[#This Row],[ID]], Table4[ID], Table4[Store], "Not Found", 0)</f>
        <v>3</v>
      </c>
      <c r="V1843" s="16">
        <f>_xlfn.XLOOKUP(CustomerCombinedCleaned[[#This Row],[ID]], Table4[ID], Table4[Visits], "Not Found", 0)</f>
        <v>5</v>
      </c>
      <c r="W1843" s="16">
        <f>_xlfn.XLOOKUP(CustomerCombinedCleaned[[#This Row],[ID]], Table2[ID],Table2[Complaint], "Not Found", 0 )</f>
        <v>0</v>
      </c>
      <c r="X1843" s="16">
        <f>_xlfn.XLOOKUP(CustomerCombinedCleaned[[#This Row],[ID]], Table2[ID],Table2[Pilot], "Not Found", 0 )</f>
        <v>0</v>
      </c>
      <c r="Y1843" s="16">
        <f>_xlfn.XLOOKUP(CustomerCombinedCleaned[[#This Row],[ID]], Table2[ID],Table2[MC1], "Not Found", 0 )</f>
        <v>0</v>
      </c>
      <c r="Z1843" s="16">
        <f>_xlfn.XLOOKUP(CustomerCombinedCleaned[[#This Row],[ID]], Table2[ID],Table2[MC2], "Not Found", 0 )</f>
        <v>0</v>
      </c>
      <c r="AA1843" s="16">
        <f>_xlfn.XLOOKUP(CustomerCombinedCleaned[[#This Row],[ID]], Table2[ID],Table2[MC3], "Not Found", 0 )</f>
        <v>0</v>
      </c>
      <c r="AB1843" s="16">
        <f>_xlfn.XLOOKUP(CustomerCombinedCleaned[[#This Row],[ID]], Table2[ID],Table2[MC4], "Not Found", 0 )</f>
        <v>0</v>
      </c>
      <c r="AC1843" s="16">
        <f>_xlfn.XLOOKUP(CustomerCombinedCleaned[[#This Row],[ID]], Table2[ID],Table2[MC5], "Not Found", 0 )</f>
        <v>0</v>
      </c>
    </row>
    <row r="1844" spans="1:29" x14ac:dyDescent="0.3">
      <c r="A1844" s="18">
        <v>1488</v>
      </c>
      <c r="B1844" s="16">
        <v>150943</v>
      </c>
      <c r="C1844" s="16">
        <v>0</v>
      </c>
      <c r="D1844" s="16">
        <v>1</v>
      </c>
      <c r="E1844" s="16">
        <v>64</v>
      </c>
      <c r="F1844" s="17" t="s">
        <v>8</v>
      </c>
      <c r="G1844" s="17" t="s">
        <v>12</v>
      </c>
      <c r="H1844" s="3" t="s">
        <v>232</v>
      </c>
      <c r="I1844" s="5" t="s">
        <v>436</v>
      </c>
      <c r="J1844" s="16">
        <f>_xlfn.XLOOKUP(CustomerCombinedCleaned[[#This Row],[ID]], Table4[ID], Table4[Recency], "Not Found", 0)</f>
        <v>49</v>
      </c>
      <c r="K1844" s="16">
        <f>_xlfn.XLOOKUP(CustomerCombinedCleaned[[#This Row],[ID]], Table4[ID], Table4[Teas], "Not Found", 0)</f>
        <v>92</v>
      </c>
      <c r="L1844" s="16">
        <f>_xlfn.XLOOKUP(CustomerCombinedCleaned[[#This Row],[ID]], Table4[ID], Table4[Fruits], "Not Found", 0)</f>
        <v>0</v>
      </c>
      <c r="M1844" s="16">
        <f>_xlfn.XLOOKUP(CustomerCombinedCleaned[[#This Row],[ID]], Table4[ID], Table4[Meats], "Not Found", 0)</f>
        <v>21</v>
      </c>
      <c r="N1844" s="16">
        <f>_xlfn.XLOOKUP(CustomerCombinedCleaned[[#This Row],[ID]], Table4[ID], Table4[Seafood], "Not Found", 0)</f>
        <v>6</v>
      </c>
      <c r="O1844" s="16">
        <f>_xlfn.XLOOKUP(CustomerCombinedCleaned[[#This Row],[ID]], Table4[ID], Table4[Sweets], "Not Found", 0)</f>
        <v>0</v>
      </c>
      <c r="P1844" s="16">
        <f>_xlfn.XLOOKUP(CustomerCombinedCleaned[[#This Row],[ID]], Table4[ID], Table4[Premium], "Not Found", 0)</f>
        <v>18</v>
      </c>
      <c r="Q1844" s="16">
        <f>_xlfn.XLOOKUP(CustomerCombinedCleaned[[#This Row],[ID]], Table4[ID], Table4[Regular], "Not Found", 0)</f>
        <v>101</v>
      </c>
      <c r="R1844" s="16">
        <f>_xlfn.XLOOKUP(CustomerCombinedCleaned[[#This Row],[ID]], Table4[ID], Table4[Deals], "Not Found", 0)</f>
        <v>1</v>
      </c>
      <c r="S1844" s="16">
        <f>_xlfn.XLOOKUP(CustomerCombinedCleaned[[#This Row],[ID]], Table4[ID], Table4[Website], "Not Found", 0)</f>
        <v>1</v>
      </c>
      <c r="T1844" s="16">
        <f>_xlfn.XLOOKUP(CustomerCombinedCleaned[[#This Row],[ID]], Table4[ID], Table4[Catalog], "Not Found", 0)</f>
        <v>0</v>
      </c>
      <c r="U1844" s="16">
        <f>_xlfn.XLOOKUP(CustomerCombinedCleaned[[#This Row],[ID]], Table4[ID], Table4[Store], "Not Found", 0)</f>
        <v>3</v>
      </c>
      <c r="V1844" s="16">
        <f>_xlfn.XLOOKUP(CustomerCombinedCleaned[[#This Row],[ID]], Table4[ID], Table4[Visits], "Not Found", 0)</f>
        <v>5</v>
      </c>
      <c r="W1844" s="16">
        <f>_xlfn.XLOOKUP(CustomerCombinedCleaned[[#This Row],[ID]], Table2[ID],Table2[Complaint], "Not Found", 0 )</f>
        <v>0</v>
      </c>
      <c r="X1844" s="16">
        <f>_xlfn.XLOOKUP(CustomerCombinedCleaned[[#This Row],[ID]], Table2[ID],Table2[Pilot], "Not Found", 0 )</f>
        <v>0</v>
      </c>
      <c r="Y1844" s="16">
        <f>_xlfn.XLOOKUP(CustomerCombinedCleaned[[#This Row],[ID]], Table2[ID],Table2[MC1], "Not Found", 0 )</f>
        <v>0</v>
      </c>
      <c r="Z1844" s="16">
        <f>_xlfn.XLOOKUP(CustomerCombinedCleaned[[#This Row],[ID]], Table2[ID],Table2[MC2], "Not Found", 0 )</f>
        <v>0</v>
      </c>
      <c r="AA1844" s="16">
        <f>_xlfn.XLOOKUP(CustomerCombinedCleaned[[#This Row],[ID]], Table2[ID],Table2[MC3], "Not Found", 0 )</f>
        <v>0</v>
      </c>
      <c r="AB1844" s="16">
        <f>_xlfn.XLOOKUP(CustomerCombinedCleaned[[#This Row],[ID]], Table2[ID],Table2[MC4], "Not Found", 0 )</f>
        <v>0</v>
      </c>
      <c r="AC1844" s="16">
        <f>_xlfn.XLOOKUP(CustomerCombinedCleaned[[#This Row],[ID]], Table2[ID],Table2[MC5], "Not Found", 0 )</f>
        <v>0</v>
      </c>
    </row>
    <row r="1845" spans="1:29" x14ac:dyDescent="0.3">
      <c r="A1845" s="18">
        <v>1274</v>
      </c>
      <c r="B1845" s="16">
        <v>150898</v>
      </c>
      <c r="C1845" s="16">
        <v>1</v>
      </c>
      <c r="D1845" s="16">
        <v>1</v>
      </c>
      <c r="E1845" s="16">
        <v>64</v>
      </c>
      <c r="F1845" s="17" t="s">
        <v>8</v>
      </c>
      <c r="G1845" s="17" t="s">
        <v>12</v>
      </c>
      <c r="H1845" s="3" t="s">
        <v>332</v>
      </c>
      <c r="I1845" s="5" t="s">
        <v>438</v>
      </c>
      <c r="J1845" s="16">
        <f>_xlfn.XLOOKUP(CustomerCombinedCleaned[[#This Row],[ID]], Table4[ID], Table4[Recency], "Not Found", 0)</f>
        <v>88</v>
      </c>
      <c r="K1845" s="16">
        <f>_xlfn.XLOOKUP(CustomerCombinedCleaned[[#This Row],[ID]], Table4[ID], Table4[Teas], "Not Found", 0)</f>
        <v>845</v>
      </c>
      <c r="L1845" s="16">
        <f>_xlfn.XLOOKUP(CustomerCombinedCleaned[[#This Row],[ID]], Table4[ID], Table4[Fruits], "Not Found", 0)</f>
        <v>83</v>
      </c>
      <c r="M1845" s="16">
        <f>_xlfn.XLOOKUP(CustomerCombinedCleaned[[#This Row],[ID]], Table4[ID], Table4[Meats], "Not Found", 0)</f>
        <v>717</v>
      </c>
      <c r="N1845" s="16">
        <f>_xlfn.XLOOKUP(CustomerCombinedCleaned[[#This Row],[ID]], Table4[ID], Table4[Seafood], "Not Found", 0)</f>
        <v>163</v>
      </c>
      <c r="O1845" s="16">
        <f>_xlfn.XLOOKUP(CustomerCombinedCleaned[[#This Row],[ID]], Table4[ID], Table4[Sweets], "Not Found", 0)</f>
        <v>338</v>
      </c>
      <c r="P1845" s="16">
        <f>_xlfn.XLOOKUP(CustomerCombinedCleaned[[#This Row],[ID]], Table4[ID], Table4[Premium], "Not Found", 0)</f>
        <v>400</v>
      </c>
      <c r="Q1845" s="16">
        <f>_xlfn.XLOOKUP(CustomerCombinedCleaned[[#This Row],[ID]], Table4[ID], Table4[Regular], "Not Found", 0)</f>
        <v>1746</v>
      </c>
      <c r="R1845" s="16">
        <f>_xlfn.XLOOKUP(CustomerCombinedCleaned[[#This Row],[ID]], Table4[ID], Table4[Deals], "Not Found", 0)</f>
        <v>13</v>
      </c>
      <c r="S1845" s="16">
        <f>_xlfn.XLOOKUP(CustomerCombinedCleaned[[#This Row],[ID]], Table4[ID], Table4[Website], "Not Found", 0)</f>
        <v>6</v>
      </c>
      <c r="T1845" s="16">
        <f>_xlfn.XLOOKUP(CustomerCombinedCleaned[[#This Row],[ID]], Table4[ID], Table4[Catalog], "Not Found", 0)</f>
        <v>2</v>
      </c>
      <c r="U1845" s="16">
        <f>_xlfn.XLOOKUP(CustomerCombinedCleaned[[#This Row],[ID]], Table4[ID], Table4[Store], "Not Found", 0)</f>
        <v>12</v>
      </c>
      <c r="V1845" s="16">
        <f>_xlfn.XLOOKUP(CustomerCombinedCleaned[[#This Row],[ID]], Table4[ID], Table4[Visits], "Not Found", 0)</f>
        <v>5</v>
      </c>
      <c r="W1845" s="16">
        <f>_xlfn.XLOOKUP(CustomerCombinedCleaned[[#This Row],[ID]], Table2[ID],Table2[Complaint], "Not Found", 0 )</f>
        <v>0</v>
      </c>
      <c r="X1845" s="16">
        <f>_xlfn.XLOOKUP(CustomerCombinedCleaned[[#This Row],[ID]], Table2[ID],Table2[Pilot], "Not Found", 0 )</f>
        <v>0</v>
      </c>
      <c r="Y1845" s="16">
        <f>_xlfn.XLOOKUP(CustomerCombinedCleaned[[#This Row],[ID]], Table2[ID],Table2[MC1], "Not Found", 0 )</f>
        <v>0</v>
      </c>
      <c r="Z1845" s="16">
        <f>_xlfn.XLOOKUP(CustomerCombinedCleaned[[#This Row],[ID]], Table2[ID],Table2[MC2], "Not Found", 0 )</f>
        <v>0</v>
      </c>
      <c r="AA1845" s="16">
        <f>_xlfn.XLOOKUP(CustomerCombinedCleaned[[#This Row],[ID]], Table2[ID],Table2[MC3], "Not Found", 0 )</f>
        <v>0</v>
      </c>
      <c r="AB1845" s="16">
        <f>_xlfn.XLOOKUP(CustomerCombinedCleaned[[#This Row],[ID]], Table2[ID],Table2[MC4], "Not Found", 0 )</f>
        <v>0</v>
      </c>
      <c r="AC1845" s="16">
        <f>_xlfn.XLOOKUP(CustomerCombinedCleaned[[#This Row],[ID]], Table2[ID],Table2[MC5], "Not Found", 0 )</f>
        <v>0</v>
      </c>
    </row>
    <row r="1846" spans="1:29" x14ac:dyDescent="0.3">
      <c r="A1846" s="18">
        <v>2793</v>
      </c>
      <c r="B1846" s="16">
        <v>150387</v>
      </c>
      <c r="C1846" s="16">
        <v>0</v>
      </c>
      <c r="D1846" s="16">
        <v>2</v>
      </c>
      <c r="E1846" s="16">
        <v>64</v>
      </c>
      <c r="F1846" s="17" t="s">
        <v>6</v>
      </c>
      <c r="G1846" s="17" t="s">
        <v>11</v>
      </c>
      <c r="H1846" s="3" t="s">
        <v>651</v>
      </c>
      <c r="I1846" s="5" t="s">
        <v>435</v>
      </c>
      <c r="J1846" s="16">
        <f>_xlfn.XLOOKUP(CustomerCombinedCleaned[[#This Row],[ID]], Table4[ID], Table4[Recency], "Not Found", 0)</f>
        <v>91</v>
      </c>
      <c r="K1846" s="16">
        <f>_xlfn.XLOOKUP(CustomerCombinedCleaned[[#This Row],[ID]], Table4[ID], Table4[Teas], "Not Found", 0)</f>
        <v>1101</v>
      </c>
      <c r="L1846" s="16">
        <f>_xlfn.XLOOKUP(CustomerCombinedCleaned[[#This Row],[ID]], Table4[ID], Table4[Fruits], "Not Found", 0)</f>
        <v>27</v>
      </c>
      <c r="M1846" s="16">
        <f>_xlfn.XLOOKUP(CustomerCombinedCleaned[[#This Row],[ID]], Table4[ID], Table4[Meats], "Not Found", 0)</f>
        <v>260</v>
      </c>
      <c r="N1846" s="16">
        <f>_xlfn.XLOOKUP(CustomerCombinedCleaned[[#This Row],[ID]], Table4[ID], Table4[Seafood], "Not Found", 0)</f>
        <v>36</v>
      </c>
      <c r="O1846" s="16">
        <f>_xlfn.XLOOKUP(CustomerCombinedCleaned[[#This Row],[ID]], Table4[ID], Table4[Sweets], "Not Found", 0)</f>
        <v>42</v>
      </c>
      <c r="P1846" s="16">
        <f>_xlfn.XLOOKUP(CustomerCombinedCleaned[[#This Row],[ID]], Table4[ID], Table4[Premium], "Not Found", 0)</f>
        <v>101</v>
      </c>
      <c r="Q1846" s="16">
        <f>_xlfn.XLOOKUP(CustomerCombinedCleaned[[#This Row],[ID]], Table4[ID], Table4[Regular], "Not Found", 0)</f>
        <v>1364</v>
      </c>
      <c r="R1846" s="16">
        <f>_xlfn.XLOOKUP(CustomerCombinedCleaned[[#This Row],[ID]], Table4[ID], Table4[Deals], "Not Found", 0)</f>
        <v>3</v>
      </c>
      <c r="S1846" s="16">
        <f>_xlfn.XLOOKUP(CustomerCombinedCleaned[[#This Row],[ID]], Table4[ID], Table4[Website], "Not Found", 0)</f>
        <v>6</v>
      </c>
      <c r="T1846" s="16">
        <f>_xlfn.XLOOKUP(CustomerCombinedCleaned[[#This Row],[ID]], Table4[ID], Table4[Catalog], "Not Found", 0)</f>
        <v>2</v>
      </c>
      <c r="U1846" s="16">
        <f>_xlfn.XLOOKUP(CustomerCombinedCleaned[[#This Row],[ID]], Table4[ID], Table4[Store], "Not Found", 0)</f>
        <v>8</v>
      </c>
      <c r="V1846" s="16">
        <f>_xlfn.XLOOKUP(CustomerCombinedCleaned[[#This Row],[ID]], Table4[ID], Table4[Visits], "Not Found", 0)</f>
        <v>5</v>
      </c>
      <c r="W1846" s="16">
        <f>_xlfn.XLOOKUP(CustomerCombinedCleaned[[#This Row],[ID]], Table2[ID],Table2[Complaint], "Not Found", 0 )</f>
        <v>0</v>
      </c>
      <c r="X1846" s="16">
        <f>_xlfn.XLOOKUP(CustomerCombinedCleaned[[#This Row],[ID]], Table2[ID],Table2[Pilot], "Not Found", 0 )</f>
        <v>0</v>
      </c>
      <c r="Y1846" s="16">
        <f>_xlfn.XLOOKUP(CustomerCombinedCleaned[[#This Row],[ID]], Table2[ID],Table2[MC1], "Not Found", 0 )</f>
        <v>0</v>
      </c>
      <c r="Z1846" s="16">
        <f>_xlfn.XLOOKUP(CustomerCombinedCleaned[[#This Row],[ID]], Table2[ID],Table2[MC2], "Not Found", 0 )</f>
        <v>0</v>
      </c>
      <c r="AA1846" s="16">
        <f>_xlfn.XLOOKUP(CustomerCombinedCleaned[[#This Row],[ID]], Table2[ID],Table2[MC3], "Not Found", 0 )</f>
        <v>0</v>
      </c>
      <c r="AB1846" s="16">
        <f>_xlfn.XLOOKUP(CustomerCombinedCleaned[[#This Row],[ID]], Table2[ID],Table2[MC4], "Not Found", 0 )</f>
        <v>0</v>
      </c>
      <c r="AC1846" s="16">
        <f>_xlfn.XLOOKUP(CustomerCombinedCleaned[[#This Row],[ID]], Table2[ID],Table2[MC5], "Not Found", 0 )</f>
        <v>0</v>
      </c>
    </row>
    <row r="1847" spans="1:29" x14ac:dyDescent="0.3">
      <c r="A1847" s="18">
        <v>2997</v>
      </c>
      <c r="B1847" s="16">
        <v>148195</v>
      </c>
      <c r="C1847" s="16">
        <v>1</v>
      </c>
      <c r="D1847" s="16">
        <v>1</v>
      </c>
      <c r="E1847" s="16">
        <v>64</v>
      </c>
      <c r="F1847" s="17" t="s">
        <v>6</v>
      </c>
      <c r="G1847" s="17" t="s">
        <v>11</v>
      </c>
      <c r="H1847" s="3" t="s">
        <v>111</v>
      </c>
      <c r="I1847" s="5" t="s">
        <v>435</v>
      </c>
      <c r="J1847" s="16">
        <f>_xlfn.XLOOKUP(CustomerCombinedCleaned[[#This Row],[ID]], Table4[ID], Table4[Recency], "Not Found", 0)</f>
        <v>53</v>
      </c>
      <c r="K1847" s="16">
        <f>_xlfn.XLOOKUP(CustomerCombinedCleaned[[#This Row],[ID]], Table4[ID], Table4[Teas], "Not Found", 0)</f>
        <v>326</v>
      </c>
      <c r="L1847" s="16">
        <f>_xlfn.XLOOKUP(CustomerCombinedCleaned[[#This Row],[ID]], Table4[ID], Table4[Fruits], "Not Found", 0)</f>
        <v>83</v>
      </c>
      <c r="M1847" s="16">
        <f>_xlfn.XLOOKUP(CustomerCombinedCleaned[[#This Row],[ID]], Table4[ID], Table4[Meats], "Not Found", 0)</f>
        <v>209</v>
      </c>
      <c r="N1847" s="16">
        <f>_xlfn.XLOOKUP(CustomerCombinedCleaned[[#This Row],[ID]], Table4[ID], Table4[Seafood], "Not Found", 0)</f>
        <v>160</v>
      </c>
      <c r="O1847" s="16">
        <f>_xlfn.XLOOKUP(CustomerCombinedCleaned[[#This Row],[ID]], Table4[ID], Table4[Sweets], "Not Found", 0)</f>
        <v>22</v>
      </c>
      <c r="P1847" s="16">
        <f>_xlfn.XLOOKUP(CustomerCombinedCleaned[[#This Row],[ID]], Table4[ID], Table4[Premium], "Not Found", 0)</f>
        <v>15</v>
      </c>
      <c r="Q1847" s="16">
        <f>_xlfn.XLOOKUP(CustomerCombinedCleaned[[#This Row],[ID]], Table4[ID], Table4[Regular], "Not Found", 0)</f>
        <v>784</v>
      </c>
      <c r="R1847" s="16">
        <f>_xlfn.XLOOKUP(CustomerCombinedCleaned[[#This Row],[ID]], Table4[ID], Table4[Deals], "Not Found", 0)</f>
        <v>6</v>
      </c>
      <c r="S1847" s="16">
        <f>_xlfn.XLOOKUP(CustomerCombinedCleaned[[#This Row],[ID]], Table4[ID], Table4[Website], "Not Found", 0)</f>
        <v>4</v>
      </c>
      <c r="T1847" s="16">
        <f>_xlfn.XLOOKUP(CustomerCombinedCleaned[[#This Row],[ID]], Table4[ID], Table4[Catalog], "Not Found", 0)</f>
        <v>2</v>
      </c>
      <c r="U1847" s="16">
        <f>_xlfn.XLOOKUP(CustomerCombinedCleaned[[#This Row],[ID]], Table4[ID], Table4[Store], "Not Found", 0)</f>
        <v>5</v>
      </c>
      <c r="V1847" s="16">
        <f>_xlfn.XLOOKUP(CustomerCombinedCleaned[[#This Row],[ID]], Table4[ID], Table4[Visits], "Not Found", 0)</f>
        <v>6</v>
      </c>
      <c r="W1847" s="16">
        <f>_xlfn.XLOOKUP(CustomerCombinedCleaned[[#This Row],[ID]], Table2[ID],Table2[Complaint], "Not Found", 0 )</f>
        <v>0</v>
      </c>
      <c r="X1847" s="16">
        <f>_xlfn.XLOOKUP(CustomerCombinedCleaned[[#This Row],[ID]], Table2[ID],Table2[Pilot], "Not Found", 0 )</f>
        <v>0</v>
      </c>
      <c r="Y1847" s="16">
        <f>_xlfn.XLOOKUP(CustomerCombinedCleaned[[#This Row],[ID]], Table2[ID],Table2[MC1], "Not Found", 0 )</f>
        <v>0</v>
      </c>
      <c r="Z1847" s="16">
        <f>_xlfn.XLOOKUP(CustomerCombinedCleaned[[#This Row],[ID]], Table2[ID],Table2[MC2], "Not Found", 0 )</f>
        <v>0</v>
      </c>
      <c r="AA1847" s="16">
        <f>_xlfn.XLOOKUP(CustomerCombinedCleaned[[#This Row],[ID]], Table2[ID],Table2[MC3], "Not Found", 0 )</f>
        <v>0</v>
      </c>
      <c r="AB1847" s="16">
        <f>_xlfn.XLOOKUP(CustomerCombinedCleaned[[#This Row],[ID]], Table2[ID],Table2[MC4], "Not Found", 0 )</f>
        <v>0</v>
      </c>
      <c r="AC1847" s="16">
        <f>_xlfn.XLOOKUP(CustomerCombinedCleaned[[#This Row],[ID]], Table2[ID],Table2[MC5], "Not Found", 0 )</f>
        <v>0</v>
      </c>
    </row>
    <row r="1848" spans="1:29" x14ac:dyDescent="0.3">
      <c r="A1848" s="18">
        <v>2932</v>
      </c>
      <c r="B1848" s="16">
        <v>146998</v>
      </c>
      <c r="C1848" s="16">
        <v>0</v>
      </c>
      <c r="D1848" s="16">
        <v>1</v>
      </c>
      <c r="E1848" s="16">
        <v>64</v>
      </c>
      <c r="F1848" s="17" t="s">
        <v>7</v>
      </c>
      <c r="G1848" s="17" t="s">
        <v>11</v>
      </c>
      <c r="H1848" s="3" t="s">
        <v>372</v>
      </c>
      <c r="I1848" s="5" t="s">
        <v>439</v>
      </c>
      <c r="J1848" s="16">
        <f>_xlfn.XLOOKUP(CustomerCombinedCleaned[[#This Row],[ID]], Table4[ID], Table4[Recency], "Not Found", 0)</f>
        <v>55</v>
      </c>
      <c r="K1848" s="16">
        <f>_xlfn.XLOOKUP(CustomerCombinedCleaned[[#This Row],[ID]], Table4[ID], Table4[Teas], "Not Found", 0)</f>
        <v>538</v>
      </c>
      <c r="L1848" s="16">
        <f>_xlfn.XLOOKUP(CustomerCombinedCleaned[[#This Row],[ID]], Table4[ID], Table4[Fruits], "Not Found", 0)</f>
        <v>128</v>
      </c>
      <c r="M1848" s="16">
        <f>_xlfn.XLOOKUP(CustomerCombinedCleaned[[#This Row],[ID]], Table4[ID], Table4[Meats], "Not Found", 0)</f>
        <v>269</v>
      </c>
      <c r="N1848" s="16">
        <f>_xlfn.XLOOKUP(CustomerCombinedCleaned[[#This Row],[ID]], Table4[ID], Table4[Seafood], "Not Found", 0)</f>
        <v>141</v>
      </c>
      <c r="O1848" s="16">
        <f>_xlfn.XLOOKUP(CustomerCombinedCleaned[[#This Row],[ID]], Table4[ID], Table4[Sweets], "Not Found", 0)</f>
        <v>19</v>
      </c>
      <c r="P1848" s="16">
        <f>_xlfn.XLOOKUP(CustomerCombinedCleaned[[#This Row],[ID]], Table4[ID], Table4[Premium], "Not Found", 0)</f>
        <v>84</v>
      </c>
      <c r="Q1848" s="16">
        <f>_xlfn.XLOOKUP(CustomerCombinedCleaned[[#This Row],[ID]], Table4[ID], Table4[Regular], "Not Found", 0)</f>
        <v>1010</v>
      </c>
      <c r="R1848" s="16">
        <f>_xlfn.XLOOKUP(CustomerCombinedCleaned[[#This Row],[ID]], Table4[ID], Table4[Deals], "Not Found", 0)</f>
        <v>5</v>
      </c>
      <c r="S1848" s="16">
        <f>_xlfn.XLOOKUP(CustomerCombinedCleaned[[#This Row],[ID]], Table4[ID], Table4[Website], "Not Found", 0)</f>
        <v>5</v>
      </c>
      <c r="T1848" s="16">
        <f>_xlfn.XLOOKUP(CustomerCombinedCleaned[[#This Row],[ID]], Table4[ID], Table4[Catalog], "Not Found", 0)</f>
        <v>3</v>
      </c>
      <c r="U1848" s="16">
        <f>_xlfn.XLOOKUP(CustomerCombinedCleaned[[#This Row],[ID]], Table4[ID], Table4[Store], "Not Found", 0)</f>
        <v>5</v>
      </c>
      <c r="V1848" s="16">
        <f>_xlfn.XLOOKUP(CustomerCombinedCleaned[[#This Row],[ID]], Table4[ID], Table4[Visits], "Not Found", 0)</f>
        <v>7</v>
      </c>
      <c r="W1848" s="16">
        <f>_xlfn.XLOOKUP(CustomerCombinedCleaned[[#This Row],[ID]], Table2[ID],Table2[Complaint], "Not Found", 0 )</f>
        <v>0</v>
      </c>
      <c r="X1848" s="16">
        <f>_xlfn.XLOOKUP(CustomerCombinedCleaned[[#This Row],[ID]], Table2[ID],Table2[Pilot], "Not Found", 0 )</f>
        <v>0</v>
      </c>
      <c r="Y1848" s="16">
        <f>_xlfn.XLOOKUP(CustomerCombinedCleaned[[#This Row],[ID]], Table2[ID],Table2[MC1], "Not Found", 0 )</f>
        <v>0</v>
      </c>
      <c r="Z1848" s="16">
        <f>_xlfn.XLOOKUP(CustomerCombinedCleaned[[#This Row],[ID]], Table2[ID],Table2[MC2], "Not Found", 0 )</f>
        <v>0</v>
      </c>
      <c r="AA1848" s="16">
        <f>_xlfn.XLOOKUP(CustomerCombinedCleaned[[#This Row],[ID]], Table2[ID],Table2[MC3], "Not Found", 0 )</f>
        <v>1</v>
      </c>
      <c r="AB1848" s="16">
        <f>_xlfn.XLOOKUP(CustomerCombinedCleaned[[#This Row],[ID]], Table2[ID],Table2[MC4], "Not Found", 0 )</f>
        <v>0</v>
      </c>
      <c r="AC1848" s="16">
        <f>_xlfn.XLOOKUP(CustomerCombinedCleaned[[#This Row],[ID]], Table2[ID],Table2[MC5], "Not Found", 0 )</f>
        <v>0</v>
      </c>
    </row>
    <row r="1849" spans="1:29" x14ac:dyDescent="0.3">
      <c r="A1849" s="18">
        <v>1782</v>
      </c>
      <c r="B1849" s="16">
        <v>146984</v>
      </c>
      <c r="C1849" s="16">
        <v>1</v>
      </c>
      <c r="D1849" s="16">
        <v>1</v>
      </c>
      <c r="E1849" s="16">
        <v>64</v>
      </c>
      <c r="F1849" s="17" t="s">
        <v>9</v>
      </c>
      <c r="G1849" s="17" t="s">
        <v>11</v>
      </c>
      <c r="H1849" s="3" t="s">
        <v>282</v>
      </c>
      <c r="I1849" s="5" t="s">
        <v>436</v>
      </c>
      <c r="J1849" s="16">
        <f>_xlfn.XLOOKUP(CustomerCombinedCleaned[[#This Row],[ID]], Table4[ID], Table4[Recency], "Not Found", 0)</f>
        <v>71</v>
      </c>
      <c r="K1849" s="16">
        <f>_xlfn.XLOOKUP(CustomerCombinedCleaned[[#This Row],[ID]], Table4[ID], Table4[Teas], "Not Found", 0)</f>
        <v>59</v>
      </c>
      <c r="L1849" s="16">
        <f>_xlfn.XLOOKUP(CustomerCombinedCleaned[[#This Row],[ID]], Table4[ID], Table4[Fruits], "Not Found", 0)</f>
        <v>3</v>
      </c>
      <c r="M1849" s="16">
        <f>_xlfn.XLOOKUP(CustomerCombinedCleaned[[#This Row],[ID]], Table4[ID], Table4[Meats], "Not Found", 0)</f>
        <v>31</v>
      </c>
      <c r="N1849" s="16">
        <f>_xlfn.XLOOKUP(CustomerCombinedCleaned[[#This Row],[ID]], Table4[ID], Table4[Seafood], "Not Found", 0)</f>
        <v>6</v>
      </c>
      <c r="O1849" s="16">
        <f>_xlfn.XLOOKUP(CustomerCombinedCleaned[[#This Row],[ID]], Table4[ID], Table4[Sweets], "Not Found", 0)</f>
        <v>3</v>
      </c>
      <c r="P1849" s="16">
        <f>_xlfn.XLOOKUP(CustomerCombinedCleaned[[#This Row],[ID]], Table4[ID], Table4[Premium], "Not Found", 0)</f>
        <v>25</v>
      </c>
      <c r="Q1849" s="16">
        <f>_xlfn.XLOOKUP(CustomerCombinedCleaned[[#This Row],[ID]], Table4[ID], Table4[Regular], "Not Found", 0)</f>
        <v>78</v>
      </c>
      <c r="R1849" s="16">
        <f>_xlfn.XLOOKUP(CustomerCombinedCleaned[[#This Row],[ID]], Table4[ID], Table4[Deals], "Not Found", 0)</f>
        <v>1</v>
      </c>
      <c r="S1849" s="16">
        <f>_xlfn.XLOOKUP(CustomerCombinedCleaned[[#This Row],[ID]], Table4[ID], Table4[Website], "Not Found", 0)</f>
        <v>1</v>
      </c>
      <c r="T1849" s="16">
        <f>_xlfn.XLOOKUP(CustomerCombinedCleaned[[#This Row],[ID]], Table4[ID], Table4[Catalog], "Not Found", 0)</f>
        <v>0</v>
      </c>
      <c r="U1849" s="16">
        <f>_xlfn.XLOOKUP(CustomerCombinedCleaned[[#This Row],[ID]], Table4[ID], Table4[Store], "Not Found", 0)</f>
        <v>3</v>
      </c>
      <c r="V1849" s="16">
        <f>_xlfn.XLOOKUP(CustomerCombinedCleaned[[#This Row],[ID]], Table4[ID], Table4[Visits], "Not Found", 0)</f>
        <v>5</v>
      </c>
      <c r="W1849" s="16">
        <f>_xlfn.XLOOKUP(CustomerCombinedCleaned[[#This Row],[ID]], Table2[ID],Table2[Complaint], "Not Found", 0 )</f>
        <v>0</v>
      </c>
      <c r="X1849" s="16">
        <f>_xlfn.XLOOKUP(CustomerCombinedCleaned[[#This Row],[ID]], Table2[ID],Table2[Pilot], "Not Found", 0 )</f>
        <v>0</v>
      </c>
      <c r="Y1849" s="16">
        <f>_xlfn.XLOOKUP(CustomerCombinedCleaned[[#This Row],[ID]], Table2[ID],Table2[MC1], "Not Found", 0 )</f>
        <v>0</v>
      </c>
      <c r="Z1849" s="16">
        <f>_xlfn.XLOOKUP(CustomerCombinedCleaned[[#This Row],[ID]], Table2[ID],Table2[MC2], "Not Found", 0 )</f>
        <v>0</v>
      </c>
      <c r="AA1849" s="16">
        <f>_xlfn.XLOOKUP(CustomerCombinedCleaned[[#This Row],[ID]], Table2[ID],Table2[MC3], "Not Found", 0 )</f>
        <v>0</v>
      </c>
      <c r="AB1849" s="16">
        <f>_xlfn.XLOOKUP(CustomerCombinedCleaned[[#This Row],[ID]], Table2[ID],Table2[MC4], "Not Found", 0 )</f>
        <v>0</v>
      </c>
      <c r="AC1849" s="16">
        <f>_xlfn.XLOOKUP(CustomerCombinedCleaned[[#This Row],[ID]], Table2[ID],Table2[MC5], "Not Found", 0 )</f>
        <v>0</v>
      </c>
    </row>
    <row r="1850" spans="1:29" x14ac:dyDescent="0.3">
      <c r="A1850" s="18">
        <v>1198</v>
      </c>
      <c r="B1850" s="16">
        <v>146097</v>
      </c>
      <c r="C1850" s="16">
        <v>0</v>
      </c>
      <c r="D1850" s="16">
        <v>1</v>
      </c>
      <c r="E1850" s="16">
        <v>64</v>
      </c>
      <c r="F1850" s="17" t="s">
        <v>8</v>
      </c>
      <c r="G1850" s="17" t="s">
        <v>11</v>
      </c>
      <c r="H1850" s="3" t="s">
        <v>671</v>
      </c>
      <c r="I1850" s="5" t="s">
        <v>439</v>
      </c>
      <c r="J1850" s="16">
        <f>_xlfn.XLOOKUP(CustomerCombinedCleaned[[#This Row],[ID]], Table4[ID], Table4[Recency], "Not Found", 0)</f>
        <v>11</v>
      </c>
      <c r="K1850" s="16">
        <f>_xlfn.XLOOKUP(CustomerCombinedCleaned[[#This Row],[ID]], Table4[ID], Table4[Teas], "Not Found", 0)</f>
        <v>228</v>
      </c>
      <c r="L1850" s="16">
        <f>_xlfn.XLOOKUP(CustomerCombinedCleaned[[#This Row],[ID]], Table4[ID], Table4[Fruits], "Not Found", 0)</f>
        <v>76</v>
      </c>
      <c r="M1850" s="16">
        <f>_xlfn.XLOOKUP(CustomerCombinedCleaned[[#This Row],[ID]], Table4[ID], Table4[Meats], "Not Found", 0)</f>
        <v>216</v>
      </c>
      <c r="N1850" s="16">
        <f>_xlfn.XLOOKUP(CustomerCombinedCleaned[[#This Row],[ID]], Table4[ID], Table4[Seafood], "Not Found", 0)</f>
        <v>206</v>
      </c>
      <c r="O1850" s="16">
        <f>_xlfn.XLOOKUP(CustomerCombinedCleaned[[#This Row],[ID]], Table4[ID], Table4[Sweets], "Not Found", 0)</f>
        <v>13</v>
      </c>
      <c r="P1850" s="16">
        <f>_xlfn.XLOOKUP(CustomerCombinedCleaned[[#This Row],[ID]], Table4[ID], Table4[Premium], "Not Found", 0)</f>
        <v>25</v>
      </c>
      <c r="Q1850" s="16">
        <f>_xlfn.XLOOKUP(CustomerCombinedCleaned[[#This Row],[ID]], Table4[ID], Table4[Regular], "Not Found", 0)</f>
        <v>713</v>
      </c>
      <c r="R1850" s="16">
        <f>_xlfn.XLOOKUP(CustomerCombinedCleaned[[#This Row],[ID]], Table4[ID], Table4[Deals], "Not Found", 0)</f>
        <v>5</v>
      </c>
      <c r="S1850" s="16">
        <f>_xlfn.XLOOKUP(CustomerCombinedCleaned[[#This Row],[ID]], Table4[ID], Table4[Website], "Not Found", 0)</f>
        <v>3</v>
      </c>
      <c r="T1850" s="16">
        <f>_xlfn.XLOOKUP(CustomerCombinedCleaned[[#This Row],[ID]], Table4[ID], Table4[Catalog], "Not Found", 0)</f>
        <v>1</v>
      </c>
      <c r="U1850" s="16">
        <f>_xlfn.XLOOKUP(CustomerCombinedCleaned[[#This Row],[ID]], Table4[ID], Table4[Store], "Not Found", 0)</f>
        <v>6</v>
      </c>
      <c r="V1850" s="16">
        <f>_xlfn.XLOOKUP(CustomerCombinedCleaned[[#This Row],[ID]], Table4[ID], Table4[Visits], "Not Found", 0)</f>
        <v>4</v>
      </c>
      <c r="W1850" s="16">
        <f>_xlfn.XLOOKUP(CustomerCombinedCleaned[[#This Row],[ID]], Table2[ID],Table2[Complaint], "Not Found", 0 )</f>
        <v>0</v>
      </c>
      <c r="X1850" s="16">
        <f>_xlfn.XLOOKUP(CustomerCombinedCleaned[[#This Row],[ID]], Table2[ID],Table2[Pilot], "Not Found", 0 )</f>
        <v>0</v>
      </c>
      <c r="Y1850" s="16">
        <f>_xlfn.XLOOKUP(CustomerCombinedCleaned[[#This Row],[ID]], Table2[ID],Table2[MC1], "Not Found", 0 )</f>
        <v>0</v>
      </c>
      <c r="Z1850" s="16">
        <f>_xlfn.XLOOKUP(CustomerCombinedCleaned[[#This Row],[ID]], Table2[ID],Table2[MC2], "Not Found", 0 )</f>
        <v>0</v>
      </c>
      <c r="AA1850" s="16">
        <f>_xlfn.XLOOKUP(CustomerCombinedCleaned[[#This Row],[ID]], Table2[ID],Table2[MC3], "Not Found", 0 )</f>
        <v>0</v>
      </c>
      <c r="AB1850" s="16">
        <f>_xlfn.XLOOKUP(CustomerCombinedCleaned[[#This Row],[ID]], Table2[ID],Table2[MC4], "Not Found", 0 )</f>
        <v>0</v>
      </c>
      <c r="AC1850" s="16">
        <f>_xlfn.XLOOKUP(CustomerCombinedCleaned[[#This Row],[ID]], Table2[ID],Table2[MC5], "Not Found", 0 )</f>
        <v>0</v>
      </c>
    </row>
    <row r="1851" spans="1:29" x14ac:dyDescent="0.3">
      <c r="A1851" s="18">
        <v>1980</v>
      </c>
      <c r="B1851" s="16">
        <v>146086</v>
      </c>
      <c r="C1851" s="16">
        <v>0</v>
      </c>
      <c r="D1851" s="16">
        <v>1</v>
      </c>
      <c r="E1851" s="16">
        <v>64</v>
      </c>
      <c r="F1851" s="17" t="s">
        <v>5</v>
      </c>
      <c r="G1851" s="17" t="s">
        <v>11</v>
      </c>
      <c r="H1851" s="3" t="s">
        <v>753</v>
      </c>
      <c r="I1851" s="5" t="s">
        <v>436</v>
      </c>
      <c r="J1851" s="16">
        <f>_xlfn.XLOOKUP(CustomerCombinedCleaned[[#This Row],[ID]], Table4[ID], Table4[Recency], "Not Found", 0)</f>
        <v>34</v>
      </c>
      <c r="K1851" s="16">
        <f>_xlfn.XLOOKUP(CustomerCombinedCleaned[[#This Row],[ID]], Table4[ID], Table4[Teas], "Not Found", 0)</f>
        <v>773</v>
      </c>
      <c r="L1851" s="16">
        <f>_xlfn.XLOOKUP(CustomerCombinedCleaned[[#This Row],[ID]], Table4[ID], Table4[Fruits], "Not Found", 0)</f>
        <v>25</v>
      </c>
      <c r="M1851" s="16">
        <f>_xlfn.XLOOKUP(CustomerCombinedCleaned[[#This Row],[ID]], Table4[ID], Table4[Meats], "Not Found", 0)</f>
        <v>101</v>
      </c>
      <c r="N1851" s="16">
        <f>_xlfn.XLOOKUP(CustomerCombinedCleaned[[#This Row],[ID]], Table4[ID], Table4[Seafood], "Not Found", 0)</f>
        <v>22</v>
      </c>
      <c r="O1851" s="16">
        <f>_xlfn.XLOOKUP(CustomerCombinedCleaned[[#This Row],[ID]], Table4[ID], Table4[Sweets], "Not Found", 0)</f>
        <v>6</v>
      </c>
      <c r="P1851" s="16">
        <f>_xlfn.XLOOKUP(CustomerCombinedCleaned[[#This Row],[ID]], Table4[ID], Table4[Premium], "Not Found", 0)</f>
        <v>158</v>
      </c>
      <c r="Q1851" s="16">
        <f>_xlfn.XLOOKUP(CustomerCombinedCleaned[[#This Row],[ID]], Table4[ID], Table4[Regular], "Not Found", 0)</f>
        <v>770</v>
      </c>
      <c r="R1851" s="16">
        <f>_xlfn.XLOOKUP(CustomerCombinedCleaned[[#This Row],[ID]], Table4[ID], Table4[Deals], "Not Found", 0)</f>
        <v>4</v>
      </c>
      <c r="S1851" s="16">
        <f>_xlfn.XLOOKUP(CustomerCombinedCleaned[[#This Row],[ID]], Table4[ID], Table4[Website], "Not Found", 0)</f>
        <v>3</v>
      </c>
      <c r="T1851" s="16">
        <f>_xlfn.XLOOKUP(CustomerCombinedCleaned[[#This Row],[ID]], Table4[ID], Table4[Catalog], "Not Found", 0)</f>
        <v>1</v>
      </c>
      <c r="U1851" s="16">
        <f>_xlfn.XLOOKUP(CustomerCombinedCleaned[[#This Row],[ID]], Table4[ID], Table4[Store], "Not Found", 0)</f>
        <v>8</v>
      </c>
      <c r="V1851" s="16">
        <f>_xlfn.XLOOKUP(CustomerCombinedCleaned[[#This Row],[ID]], Table4[ID], Table4[Visits], "Not Found", 0)</f>
        <v>4</v>
      </c>
      <c r="W1851" s="16">
        <f>_xlfn.XLOOKUP(CustomerCombinedCleaned[[#This Row],[ID]], Table2[ID],Table2[Complaint], "Not Found", 0 )</f>
        <v>0</v>
      </c>
      <c r="X1851" s="16">
        <f>_xlfn.XLOOKUP(CustomerCombinedCleaned[[#This Row],[ID]], Table2[ID],Table2[Pilot], "Not Found", 0 )</f>
        <v>0</v>
      </c>
      <c r="Y1851" s="16">
        <f>_xlfn.XLOOKUP(CustomerCombinedCleaned[[#This Row],[ID]], Table2[ID],Table2[MC1], "Not Found", 0 )</f>
        <v>0</v>
      </c>
      <c r="Z1851" s="16">
        <f>_xlfn.XLOOKUP(CustomerCombinedCleaned[[#This Row],[ID]], Table2[ID],Table2[MC2], "Not Found", 0 )</f>
        <v>0</v>
      </c>
      <c r="AA1851" s="16">
        <f>_xlfn.XLOOKUP(CustomerCombinedCleaned[[#This Row],[ID]], Table2[ID],Table2[MC3], "Not Found", 0 )</f>
        <v>0</v>
      </c>
      <c r="AB1851" s="16">
        <f>_xlfn.XLOOKUP(CustomerCombinedCleaned[[#This Row],[ID]], Table2[ID],Table2[MC4], "Not Found", 0 )</f>
        <v>0</v>
      </c>
      <c r="AC1851" s="16">
        <f>_xlfn.XLOOKUP(CustomerCombinedCleaned[[#This Row],[ID]], Table2[ID],Table2[MC5], "Not Found", 0 )</f>
        <v>0</v>
      </c>
    </row>
    <row r="1852" spans="1:29" x14ac:dyDescent="0.3">
      <c r="A1852" s="18">
        <v>1970</v>
      </c>
      <c r="B1852" s="16">
        <v>135340</v>
      </c>
      <c r="C1852" s="16">
        <v>1</v>
      </c>
      <c r="D1852" s="16">
        <v>1</v>
      </c>
      <c r="E1852" s="16">
        <v>64</v>
      </c>
      <c r="F1852" s="17" t="s">
        <v>9</v>
      </c>
      <c r="G1852" s="17" t="s">
        <v>13</v>
      </c>
      <c r="H1852" s="3" t="s">
        <v>675</v>
      </c>
      <c r="I1852" s="5" t="s">
        <v>438</v>
      </c>
      <c r="J1852" s="16">
        <f>_xlfn.XLOOKUP(CustomerCombinedCleaned[[#This Row],[ID]], Table4[ID], Table4[Recency], "Not Found", 0)</f>
        <v>1</v>
      </c>
      <c r="K1852" s="16">
        <f>_xlfn.XLOOKUP(CustomerCombinedCleaned[[#This Row],[ID]], Table4[ID], Table4[Teas], "Not Found", 0)</f>
        <v>103</v>
      </c>
      <c r="L1852" s="16">
        <f>_xlfn.XLOOKUP(CustomerCombinedCleaned[[#This Row],[ID]], Table4[ID], Table4[Fruits], "Not Found", 0)</f>
        <v>0</v>
      </c>
      <c r="M1852" s="16">
        <f>_xlfn.XLOOKUP(CustomerCombinedCleaned[[#This Row],[ID]], Table4[ID], Table4[Meats], "Not Found", 0)</f>
        <v>46</v>
      </c>
      <c r="N1852" s="16">
        <f>_xlfn.XLOOKUP(CustomerCombinedCleaned[[#This Row],[ID]], Table4[ID], Table4[Seafood], "Not Found", 0)</f>
        <v>0</v>
      </c>
      <c r="O1852" s="16">
        <f>_xlfn.XLOOKUP(CustomerCombinedCleaned[[#This Row],[ID]], Table4[ID], Table4[Sweets], "Not Found", 0)</f>
        <v>4</v>
      </c>
      <c r="P1852" s="16">
        <f>_xlfn.XLOOKUP(CustomerCombinedCleaned[[#This Row],[ID]], Table4[ID], Table4[Premium], "Not Found", 0)</f>
        <v>19</v>
      </c>
      <c r="Q1852" s="16">
        <f>_xlfn.XLOOKUP(CustomerCombinedCleaned[[#This Row],[ID]], Table4[ID], Table4[Regular], "Not Found", 0)</f>
        <v>134</v>
      </c>
      <c r="R1852" s="16">
        <f>_xlfn.XLOOKUP(CustomerCombinedCleaned[[#This Row],[ID]], Table4[ID], Table4[Deals], "Not Found", 0)</f>
        <v>2</v>
      </c>
      <c r="S1852" s="16">
        <f>_xlfn.XLOOKUP(CustomerCombinedCleaned[[#This Row],[ID]], Table4[ID], Table4[Website], "Not Found", 0)</f>
        <v>2</v>
      </c>
      <c r="T1852" s="16">
        <f>_xlfn.XLOOKUP(CustomerCombinedCleaned[[#This Row],[ID]], Table4[ID], Table4[Catalog], "Not Found", 0)</f>
        <v>0</v>
      </c>
      <c r="U1852" s="16">
        <f>_xlfn.XLOOKUP(CustomerCombinedCleaned[[#This Row],[ID]], Table4[ID], Table4[Store], "Not Found", 0)</f>
        <v>3</v>
      </c>
      <c r="V1852" s="16">
        <f>_xlfn.XLOOKUP(CustomerCombinedCleaned[[#This Row],[ID]], Table4[ID], Table4[Visits], "Not Found", 0)</f>
        <v>5</v>
      </c>
      <c r="W1852" s="16">
        <f>_xlfn.XLOOKUP(CustomerCombinedCleaned[[#This Row],[ID]], Table2[ID],Table2[Complaint], "Not Found", 0 )</f>
        <v>0</v>
      </c>
      <c r="X1852" s="16">
        <f>_xlfn.XLOOKUP(CustomerCombinedCleaned[[#This Row],[ID]], Table2[ID],Table2[Pilot], "Not Found", 0 )</f>
        <v>0</v>
      </c>
      <c r="Y1852" s="16">
        <f>_xlfn.XLOOKUP(CustomerCombinedCleaned[[#This Row],[ID]], Table2[ID],Table2[MC1], "Not Found", 0 )</f>
        <v>0</v>
      </c>
      <c r="Z1852" s="16">
        <f>_xlfn.XLOOKUP(CustomerCombinedCleaned[[#This Row],[ID]], Table2[ID],Table2[MC2], "Not Found", 0 )</f>
        <v>0</v>
      </c>
      <c r="AA1852" s="16">
        <f>_xlfn.XLOOKUP(CustomerCombinedCleaned[[#This Row],[ID]], Table2[ID],Table2[MC3], "Not Found", 0 )</f>
        <v>0</v>
      </c>
      <c r="AB1852" s="16">
        <f>_xlfn.XLOOKUP(CustomerCombinedCleaned[[#This Row],[ID]], Table2[ID],Table2[MC4], "Not Found", 0 )</f>
        <v>0</v>
      </c>
      <c r="AC1852" s="16">
        <f>_xlfn.XLOOKUP(CustomerCombinedCleaned[[#This Row],[ID]], Table2[ID],Table2[MC5], "Not Found", 0 )</f>
        <v>0</v>
      </c>
    </row>
    <row r="1853" spans="1:29" x14ac:dyDescent="0.3">
      <c r="A1853" s="18">
        <v>1722</v>
      </c>
      <c r="B1853" s="16">
        <v>134941</v>
      </c>
      <c r="C1853" s="16">
        <v>1</v>
      </c>
      <c r="D1853" s="16">
        <v>1</v>
      </c>
      <c r="E1853" s="16">
        <v>64</v>
      </c>
      <c r="F1853" s="17" t="s">
        <v>8</v>
      </c>
      <c r="G1853" s="17" t="s">
        <v>12</v>
      </c>
      <c r="H1853" s="3" t="s">
        <v>770</v>
      </c>
      <c r="I1853" s="5" t="s">
        <v>436</v>
      </c>
      <c r="J1853" s="16">
        <f>_xlfn.XLOOKUP(CustomerCombinedCleaned[[#This Row],[ID]], Table4[ID], Table4[Recency], "Not Found", 0)</f>
        <v>26</v>
      </c>
      <c r="K1853" s="16">
        <f>_xlfn.XLOOKUP(CustomerCombinedCleaned[[#This Row],[ID]], Table4[ID], Table4[Teas], "Not Found", 0)</f>
        <v>151</v>
      </c>
      <c r="L1853" s="16">
        <f>_xlfn.XLOOKUP(CustomerCombinedCleaned[[#This Row],[ID]], Table4[ID], Table4[Fruits], "Not Found", 0)</f>
        <v>8</v>
      </c>
      <c r="M1853" s="16">
        <f>_xlfn.XLOOKUP(CustomerCombinedCleaned[[#This Row],[ID]], Table4[ID], Table4[Meats], "Not Found", 0)</f>
        <v>97</v>
      </c>
      <c r="N1853" s="16">
        <f>_xlfn.XLOOKUP(CustomerCombinedCleaned[[#This Row],[ID]], Table4[ID], Table4[Seafood], "Not Found", 0)</f>
        <v>15</v>
      </c>
      <c r="O1853" s="16">
        <f>_xlfn.XLOOKUP(CustomerCombinedCleaned[[#This Row],[ID]], Table4[ID], Table4[Sweets], "Not Found", 0)</f>
        <v>12</v>
      </c>
      <c r="P1853" s="16">
        <f>_xlfn.XLOOKUP(CustomerCombinedCleaned[[#This Row],[ID]], Table4[ID], Table4[Premium], "Not Found", 0)</f>
        <v>93</v>
      </c>
      <c r="Q1853" s="16">
        <f>_xlfn.XLOOKUP(CustomerCombinedCleaned[[#This Row],[ID]], Table4[ID], Table4[Regular], "Not Found", 0)</f>
        <v>189</v>
      </c>
      <c r="R1853" s="16">
        <f>_xlfn.XLOOKUP(CustomerCombinedCleaned[[#This Row],[ID]], Table4[ID], Table4[Deals], "Not Found", 0)</f>
        <v>2</v>
      </c>
      <c r="S1853" s="16">
        <f>_xlfn.XLOOKUP(CustomerCombinedCleaned[[#This Row],[ID]], Table4[ID], Table4[Website], "Not Found", 0)</f>
        <v>3</v>
      </c>
      <c r="T1853" s="16">
        <f>_xlfn.XLOOKUP(CustomerCombinedCleaned[[#This Row],[ID]], Table4[ID], Table4[Catalog], "Not Found", 0)</f>
        <v>0</v>
      </c>
      <c r="U1853" s="16">
        <f>_xlfn.XLOOKUP(CustomerCombinedCleaned[[#This Row],[ID]], Table4[ID], Table4[Store], "Not Found", 0)</f>
        <v>3</v>
      </c>
      <c r="V1853" s="16">
        <f>_xlfn.XLOOKUP(CustomerCombinedCleaned[[#This Row],[ID]], Table4[ID], Table4[Visits], "Not Found", 0)</f>
        <v>8</v>
      </c>
      <c r="W1853" s="16">
        <f>_xlfn.XLOOKUP(CustomerCombinedCleaned[[#This Row],[ID]], Table2[ID],Table2[Complaint], "Not Found", 0 )</f>
        <v>0</v>
      </c>
      <c r="X1853" s="16">
        <f>_xlfn.XLOOKUP(CustomerCombinedCleaned[[#This Row],[ID]], Table2[ID],Table2[Pilot], "Not Found", 0 )</f>
        <v>0</v>
      </c>
      <c r="Y1853" s="16">
        <f>_xlfn.XLOOKUP(CustomerCombinedCleaned[[#This Row],[ID]], Table2[ID],Table2[MC1], "Not Found", 0 )</f>
        <v>0</v>
      </c>
      <c r="Z1853" s="16">
        <f>_xlfn.XLOOKUP(CustomerCombinedCleaned[[#This Row],[ID]], Table2[ID],Table2[MC2], "Not Found", 0 )</f>
        <v>0</v>
      </c>
      <c r="AA1853" s="16">
        <f>_xlfn.XLOOKUP(CustomerCombinedCleaned[[#This Row],[ID]], Table2[ID],Table2[MC3], "Not Found", 0 )</f>
        <v>0</v>
      </c>
      <c r="AB1853" s="16">
        <f>_xlfn.XLOOKUP(CustomerCombinedCleaned[[#This Row],[ID]], Table2[ID],Table2[MC4], "Not Found", 0 )</f>
        <v>0</v>
      </c>
      <c r="AC1853" s="16">
        <f>_xlfn.XLOOKUP(CustomerCombinedCleaned[[#This Row],[ID]], Table2[ID],Table2[MC5], "Not Found", 0 )</f>
        <v>0</v>
      </c>
    </row>
    <row r="1854" spans="1:29" x14ac:dyDescent="0.3">
      <c r="A1854" s="18">
        <v>2556</v>
      </c>
      <c r="B1854" s="16">
        <v>134633</v>
      </c>
      <c r="C1854" s="16">
        <v>2</v>
      </c>
      <c r="D1854" s="16">
        <v>1</v>
      </c>
      <c r="E1854" s="16">
        <v>64</v>
      </c>
      <c r="F1854" s="17" t="s">
        <v>8</v>
      </c>
      <c r="G1854" s="17" t="s">
        <v>11</v>
      </c>
      <c r="H1854" s="3" t="s">
        <v>109</v>
      </c>
      <c r="I1854" s="5" t="s">
        <v>436</v>
      </c>
      <c r="J1854" s="16">
        <f>_xlfn.XLOOKUP(CustomerCombinedCleaned[[#This Row],[ID]], Table4[ID], Table4[Recency], "Not Found", 0)</f>
        <v>31</v>
      </c>
      <c r="K1854" s="16">
        <f>_xlfn.XLOOKUP(CustomerCombinedCleaned[[#This Row],[ID]], Table4[ID], Table4[Teas], "Not Found", 0)</f>
        <v>31</v>
      </c>
      <c r="L1854" s="16">
        <f>_xlfn.XLOOKUP(CustomerCombinedCleaned[[#This Row],[ID]], Table4[ID], Table4[Fruits], "Not Found", 0)</f>
        <v>4</v>
      </c>
      <c r="M1854" s="16">
        <f>_xlfn.XLOOKUP(CustomerCombinedCleaned[[#This Row],[ID]], Table4[ID], Table4[Meats], "Not Found", 0)</f>
        <v>19</v>
      </c>
      <c r="N1854" s="16">
        <f>_xlfn.XLOOKUP(CustomerCombinedCleaned[[#This Row],[ID]], Table4[ID], Table4[Seafood], "Not Found", 0)</f>
        <v>0</v>
      </c>
      <c r="O1854" s="16">
        <f>_xlfn.XLOOKUP(CustomerCombinedCleaned[[#This Row],[ID]], Table4[ID], Table4[Sweets], "Not Found", 0)</f>
        <v>0</v>
      </c>
      <c r="P1854" s="16">
        <f>_xlfn.XLOOKUP(CustomerCombinedCleaned[[#This Row],[ID]], Table4[ID], Table4[Premium], "Not Found", 0)</f>
        <v>4</v>
      </c>
      <c r="Q1854" s="16">
        <f>_xlfn.XLOOKUP(CustomerCombinedCleaned[[#This Row],[ID]], Table4[ID], Table4[Regular], "Not Found", 0)</f>
        <v>51</v>
      </c>
      <c r="R1854" s="16">
        <f>_xlfn.XLOOKUP(CustomerCombinedCleaned[[#This Row],[ID]], Table4[ID], Table4[Deals], "Not Found", 0)</f>
        <v>1</v>
      </c>
      <c r="S1854" s="16">
        <f>_xlfn.XLOOKUP(CustomerCombinedCleaned[[#This Row],[ID]], Table4[ID], Table4[Website], "Not Found", 0)</f>
        <v>1</v>
      </c>
      <c r="T1854" s="16">
        <f>_xlfn.XLOOKUP(CustomerCombinedCleaned[[#This Row],[ID]], Table4[ID], Table4[Catalog], "Not Found", 0)</f>
        <v>0</v>
      </c>
      <c r="U1854" s="16">
        <f>_xlfn.XLOOKUP(CustomerCombinedCleaned[[#This Row],[ID]], Table4[ID], Table4[Store], "Not Found", 0)</f>
        <v>2</v>
      </c>
      <c r="V1854" s="16">
        <f>_xlfn.XLOOKUP(CustomerCombinedCleaned[[#This Row],[ID]], Table4[ID], Table4[Visits], "Not Found", 0)</f>
        <v>6</v>
      </c>
      <c r="W1854" s="16">
        <f>_xlfn.XLOOKUP(CustomerCombinedCleaned[[#This Row],[ID]], Table2[ID],Table2[Complaint], "Not Found", 0 )</f>
        <v>0</v>
      </c>
      <c r="X1854" s="16">
        <f>_xlfn.XLOOKUP(CustomerCombinedCleaned[[#This Row],[ID]], Table2[ID],Table2[Pilot], "Not Found", 0 )</f>
        <v>0</v>
      </c>
      <c r="Y1854" s="16">
        <f>_xlfn.XLOOKUP(CustomerCombinedCleaned[[#This Row],[ID]], Table2[ID],Table2[MC1], "Not Found", 0 )</f>
        <v>0</v>
      </c>
      <c r="Z1854" s="16">
        <f>_xlfn.XLOOKUP(CustomerCombinedCleaned[[#This Row],[ID]], Table2[ID],Table2[MC2], "Not Found", 0 )</f>
        <v>0</v>
      </c>
      <c r="AA1854" s="16">
        <f>_xlfn.XLOOKUP(CustomerCombinedCleaned[[#This Row],[ID]], Table2[ID],Table2[MC3], "Not Found", 0 )</f>
        <v>0</v>
      </c>
      <c r="AB1854" s="16">
        <f>_xlfn.XLOOKUP(CustomerCombinedCleaned[[#This Row],[ID]], Table2[ID],Table2[MC4], "Not Found", 0 )</f>
        <v>0</v>
      </c>
      <c r="AC1854" s="16">
        <f>_xlfn.XLOOKUP(CustomerCombinedCleaned[[#This Row],[ID]], Table2[ID],Table2[MC5], "Not Found", 0 )</f>
        <v>0</v>
      </c>
    </row>
    <row r="1855" spans="1:29" x14ac:dyDescent="0.3">
      <c r="A1855" s="18">
        <v>1384</v>
      </c>
      <c r="B1855" s="16">
        <v>131395</v>
      </c>
      <c r="C1855" s="16">
        <v>1</v>
      </c>
      <c r="D1855" s="16">
        <v>1</v>
      </c>
      <c r="E1855" s="16">
        <v>64</v>
      </c>
      <c r="F1855" s="17" t="s">
        <v>5</v>
      </c>
      <c r="G1855" s="17" t="s">
        <v>11</v>
      </c>
      <c r="H1855" s="3" t="s">
        <v>285</v>
      </c>
      <c r="I1855" s="5" t="s">
        <v>439</v>
      </c>
      <c r="J1855" s="16">
        <f>_xlfn.XLOOKUP(CustomerCombinedCleaned[[#This Row],[ID]], Table4[ID], Table4[Recency], "Not Found", 0)</f>
        <v>80</v>
      </c>
      <c r="K1855" s="16">
        <f>_xlfn.XLOOKUP(CustomerCombinedCleaned[[#This Row],[ID]], Table4[ID], Table4[Teas], "Not Found", 0)</f>
        <v>96</v>
      </c>
      <c r="L1855" s="16">
        <f>_xlfn.XLOOKUP(CustomerCombinedCleaned[[#This Row],[ID]], Table4[ID], Table4[Fruits], "Not Found", 0)</f>
        <v>4</v>
      </c>
      <c r="M1855" s="16">
        <f>_xlfn.XLOOKUP(CustomerCombinedCleaned[[#This Row],[ID]], Table4[ID], Table4[Meats], "Not Found", 0)</f>
        <v>105</v>
      </c>
      <c r="N1855" s="16">
        <f>_xlfn.XLOOKUP(CustomerCombinedCleaned[[#This Row],[ID]], Table4[ID], Table4[Seafood], "Not Found", 0)</f>
        <v>0</v>
      </c>
      <c r="O1855" s="16">
        <f>_xlfn.XLOOKUP(CustomerCombinedCleaned[[#This Row],[ID]], Table4[ID], Table4[Sweets], "Not Found", 0)</f>
        <v>33</v>
      </c>
      <c r="P1855" s="16">
        <f>_xlfn.XLOOKUP(CustomerCombinedCleaned[[#This Row],[ID]], Table4[ID], Table4[Premium], "Not Found", 0)</f>
        <v>29</v>
      </c>
      <c r="Q1855" s="16">
        <f>_xlfn.XLOOKUP(CustomerCombinedCleaned[[#This Row],[ID]], Table4[ID], Table4[Regular], "Not Found", 0)</f>
        <v>209</v>
      </c>
      <c r="R1855" s="16">
        <f>_xlfn.XLOOKUP(CustomerCombinedCleaned[[#This Row],[ID]], Table4[ID], Table4[Deals], "Not Found", 0)</f>
        <v>4</v>
      </c>
      <c r="S1855" s="16">
        <f>_xlfn.XLOOKUP(CustomerCombinedCleaned[[#This Row],[ID]], Table4[ID], Table4[Website], "Not Found", 0)</f>
        <v>2</v>
      </c>
      <c r="T1855" s="16">
        <f>_xlfn.XLOOKUP(CustomerCombinedCleaned[[#This Row],[ID]], Table4[ID], Table4[Catalog], "Not Found", 0)</f>
        <v>1</v>
      </c>
      <c r="U1855" s="16">
        <f>_xlfn.XLOOKUP(CustomerCombinedCleaned[[#This Row],[ID]], Table4[ID], Table4[Store], "Not Found", 0)</f>
        <v>3</v>
      </c>
      <c r="V1855" s="16">
        <f>_xlfn.XLOOKUP(CustomerCombinedCleaned[[#This Row],[ID]], Table4[ID], Table4[Visits], "Not Found", 0)</f>
        <v>6</v>
      </c>
      <c r="W1855" s="16">
        <f>_xlfn.XLOOKUP(CustomerCombinedCleaned[[#This Row],[ID]], Table2[ID],Table2[Complaint], "Not Found", 0 )</f>
        <v>0</v>
      </c>
      <c r="X1855" s="16">
        <f>_xlfn.XLOOKUP(CustomerCombinedCleaned[[#This Row],[ID]], Table2[ID],Table2[Pilot], "Not Found", 0 )</f>
        <v>0</v>
      </c>
      <c r="Y1855" s="16">
        <f>_xlfn.XLOOKUP(CustomerCombinedCleaned[[#This Row],[ID]], Table2[ID],Table2[MC1], "Not Found", 0 )</f>
        <v>0</v>
      </c>
      <c r="Z1855" s="16">
        <f>_xlfn.XLOOKUP(CustomerCombinedCleaned[[#This Row],[ID]], Table2[ID],Table2[MC2], "Not Found", 0 )</f>
        <v>0</v>
      </c>
      <c r="AA1855" s="16">
        <f>_xlfn.XLOOKUP(CustomerCombinedCleaned[[#This Row],[ID]], Table2[ID],Table2[MC3], "Not Found", 0 )</f>
        <v>0</v>
      </c>
      <c r="AB1855" s="16">
        <f>_xlfn.XLOOKUP(CustomerCombinedCleaned[[#This Row],[ID]], Table2[ID],Table2[MC4], "Not Found", 0 )</f>
        <v>0</v>
      </c>
      <c r="AC1855" s="16">
        <f>_xlfn.XLOOKUP(CustomerCombinedCleaned[[#This Row],[ID]], Table2[ID],Table2[MC5], "Not Found", 0 )</f>
        <v>0</v>
      </c>
    </row>
    <row r="1856" spans="1:29" x14ac:dyDescent="0.3">
      <c r="A1856" s="18">
        <v>1301</v>
      </c>
      <c r="B1856" s="16">
        <v>128839</v>
      </c>
      <c r="C1856" s="16">
        <v>1</v>
      </c>
      <c r="D1856" s="16">
        <v>1</v>
      </c>
      <c r="E1856" s="16">
        <v>64</v>
      </c>
      <c r="F1856" s="17" t="s">
        <v>8</v>
      </c>
      <c r="G1856" s="17" t="s">
        <v>12</v>
      </c>
      <c r="H1856" s="3" t="s">
        <v>88</v>
      </c>
      <c r="I1856" s="5" t="s">
        <v>434</v>
      </c>
      <c r="J1856" s="16">
        <f>_xlfn.XLOOKUP(CustomerCombinedCleaned[[#This Row],[ID]], Table4[ID], Table4[Recency], "Not Found", 0)</f>
        <v>86</v>
      </c>
      <c r="K1856" s="16">
        <f>_xlfn.XLOOKUP(CustomerCombinedCleaned[[#This Row],[ID]], Table4[ID], Table4[Teas], "Not Found", 0)</f>
        <v>107</v>
      </c>
      <c r="L1856" s="16">
        <f>_xlfn.XLOOKUP(CustomerCombinedCleaned[[#This Row],[ID]], Table4[ID], Table4[Fruits], "Not Found", 0)</f>
        <v>0</v>
      </c>
      <c r="M1856" s="16">
        <f>_xlfn.XLOOKUP(CustomerCombinedCleaned[[#This Row],[ID]], Table4[ID], Table4[Meats], "Not Found", 0)</f>
        <v>31</v>
      </c>
      <c r="N1856" s="16">
        <f>_xlfn.XLOOKUP(CustomerCombinedCleaned[[#This Row],[ID]], Table4[ID], Table4[Seafood], "Not Found", 0)</f>
        <v>0</v>
      </c>
      <c r="O1856" s="16">
        <f>_xlfn.XLOOKUP(CustomerCombinedCleaned[[#This Row],[ID]], Table4[ID], Table4[Sweets], "Not Found", 0)</f>
        <v>0</v>
      </c>
      <c r="P1856" s="16">
        <f>_xlfn.XLOOKUP(CustomerCombinedCleaned[[#This Row],[ID]], Table4[ID], Table4[Premium], "Not Found", 0)</f>
        <v>4</v>
      </c>
      <c r="Q1856" s="16">
        <f>_xlfn.XLOOKUP(CustomerCombinedCleaned[[#This Row],[ID]], Table4[ID], Table4[Regular], "Not Found", 0)</f>
        <v>134</v>
      </c>
      <c r="R1856" s="16">
        <f>_xlfn.XLOOKUP(CustomerCombinedCleaned[[#This Row],[ID]], Table4[ID], Table4[Deals], "Not Found", 0)</f>
        <v>2</v>
      </c>
      <c r="S1856" s="16">
        <f>_xlfn.XLOOKUP(CustomerCombinedCleaned[[#This Row],[ID]], Table4[ID], Table4[Website], "Not Found", 0)</f>
        <v>2</v>
      </c>
      <c r="T1856" s="16">
        <f>_xlfn.XLOOKUP(CustomerCombinedCleaned[[#This Row],[ID]], Table4[ID], Table4[Catalog], "Not Found", 0)</f>
        <v>0</v>
      </c>
      <c r="U1856" s="16">
        <f>_xlfn.XLOOKUP(CustomerCombinedCleaned[[#This Row],[ID]], Table4[ID], Table4[Store], "Not Found", 0)</f>
        <v>3</v>
      </c>
      <c r="V1856" s="16">
        <f>_xlfn.XLOOKUP(CustomerCombinedCleaned[[#This Row],[ID]], Table4[ID], Table4[Visits], "Not Found", 0)</f>
        <v>5</v>
      </c>
      <c r="W1856" s="16">
        <f>_xlfn.XLOOKUP(CustomerCombinedCleaned[[#This Row],[ID]], Table2[ID],Table2[Complaint], "Not Found", 0 )</f>
        <v>0</v>
      </c>
      <c r="X1856" s="16">
        <f>_xlfn.XLOOKUP(CustomerCombinedCleaned[[#This Row],[ID]], Table2[ID],Table2[Pilot], "Not Found", 0 )</f>
        <v>0</v>
      </c>
      <c r="Y1856" s="16">
        <f>_xlfn.XLOOKUP(CustomerCombinedCleaned[[#This Row],[ID]], Table2[ID],Table2[MC1], "Not Found", 0 )</f>
        <v>0</v>
      </c>
      <c r="Z1856" s="16">
        <f>_xlfn.XLOOKUP(CustomerCombinedCleaned[[#This Row],[ID]], Table2[ID],Table2[MC2], "Not Found", 0 )</f>
        <v>0</v>
      </c>
      <c r="AA1856" s="16">
        <f>_xlfn.XLOOKUP(CustomerCombinedCleaned[[#This Row],[ID]], Table2[ID],Table2[MC3], "Not Found", 0 )</f>
        <v>0</v>
      </c>
      <c r="AB1856" s="16">
        <f>_xlfn.XLOOKUP(CustomerCombinedCleaned[[#This Row],[ID]], Table2[ID],Table2[MC4], "Not Found", 0 )</f>
        <v>0</v>
      </c>
      <c r="AC1856" s="16">
        <f>_xlfn.XLOOKUP(CustomerCombinedCleaned[[#This Row],[ID]], Table2[ID],Table2[MC5], "Not Found", 0 )</f>
        <v>0</v>
      </c>
    </row>
    <row r="1857" spans="1:29" x14ac:dyDescent="0.3">
      <c r="A1857" s="18">
        <v>1591</v>
      </c>
      <c r="B1857" s="16">
        <v>126150</v>
      </c>
      <c r="C1857" s="16">
        <v>2</v>
      </c>
      <c r="D1857" s="16">
        <v>1</v>
      </c>
      <c r="E1857" s="16">
        <v>64</v>
      </c>
      <c r="F1857" s="17" t="s">
        <v>5</v>
      </c>
      <c r="G1857" s="17" t="s">
        <v>11</v>
      </c>
      <c r="H1857" s="3" t="s">
        <v>296</v>
      </c>
      <c r="I1857" s="5" t="s">
        <v>437</v>
      </c>
      <c r="J1857" s="16">
        <f>_xlfn.XLOOKUP(CustomerCombinedCleaned[[#This Row],[ID]], Table4[ID], Table4[Recency], "Not Found", 0)</f>
        <v>61</v>
      </c>
      <c r="K1857" s="16">
        <f>_xlfn.XLOOKUP(CustomerCombinedCleaned[[#This Row],[ID]], Table4[ID], Table4[Teas], "Not Found", 0)</f>
        <v>24</v>
      </c>
      <c r="L1857" s="16">
        <f>_xlfn.XLOOKUP(CustomerCombinedCleaned[[#This Row],[ID]], Table4[ID], Table4[Fruits], "Not Found", 0)</f>
        <v>5</v>
      </c>
      <c r="M1857" s="16">
        <f>_xlfn.XLOOKUP(CustomerCombinedCleaned[[#This Row],[ID]], Table4[ID], Table4[Meats], "Not Found", 0)</f>
        <v>63</v>
      </c>
      <c r="N1857" s="16">
        <f>_xlfn.XLOOKUP(CustomerCombinedCleaned[[#This Row],[ID]], Table4[ID], Table4[Seafood], "Not Found", 0)</f>
        <v>14</v>
      </c>
      <c r="O1857" s="16">
        <f>_xlfn.XLOOKUP(CustomerCombinedCleaned[[#This Row],[ID]], Table4[ID], Table4[Sweets], "Not Found", 0)</f>
        <v>24</v>
      </c>
      <c r="P1857" s="16">
        <f>_xlfn.XLOOKUP(CustomerCombinedCleaned[[#This Row],[ID]], Table4[ID], Table4[Premium], "Not Found", 0)</f>
        <v>5</v>
      </c>
      <c r="Q1857" s="16">
        <f>_xlfn.XLOOKUP(CustomerCombinedCleaned[[#This Row],[ID]], Table4[ID], Table4[Regular], "Not Found", 0)</f>
        <v>125</v>
      </c>
      <c r="R1857" s="16">
        <f>_xlfn.XLOOKUP(CustomerCombinedCleaned[[#This Row],[ID]], Table4[ID], Table4[Deals], "Not Found", 0)</f>
        <v>1</v>
      </c>
      <c r="S1857" s="16">
        <f>_xlfn.XLOOKUP(CustomerCombinedCleaned[[#This Row],[ID]], Table4[ID], Table4[Website], "Not Found", 0)</f>
        <v>1</v>
      </c>
      <c r="T1857" s="16">
        <f>_xlfn.XLOOKUP(CustomerCombinedCleaned[[#This Row],[ID]], Table4[ID], Table4[Catalog], "Not Found", 0)</f>
        <v>0</v>
      </c>
      <c r="U1857" s="16">
        <f>_xlfn.XLOOKUP(CustomerCombinedCleaned[[#This Row],[ID]], Table4[ID], Table4[Store], "Not Found", 0)</f>
        <v>3</v>
      </c>
      <c r="V1857" s="16">
        <f>_xlfn.XLOOKUP(CustomerCombinedCleaned[[#This Row],[ID]], Table4[ID], Table4[Visits], "Not Found", 0)</f>
        <v>7</v>
      </c>
      <c r="W1857" s="16">
        <f>_xlfn.XLOOKUP(CustomerCombinedCleaned[[#This Row],[ID]], Table2[ID],Table2[Complaint], "Not Found", 0 )</f>
        <v>0</v>
      </c>
      <c r="X1857" s="16">
        <f>_xlfn.XLOOKUP(CustomerCombinedCleaned[[#This Row],[ID]], Table2[ID],Table2[Pilot], "Not Found", 0 )</f>
        <v>0</v>
      </c>
      <c r="Y1857" s="16">
        <f>_xlfn.XLOOKUP(CustomerCombinedCleaned[[#This Row],[ID]], Table2[ID],Table2[MC1], "Not Found", 0 )</f>
        <v>0</v>
      </c>
      <c r="Z1857" s="16">
        <f>_xlfn.XLOOKUP(CustomerCombinedCleaned[[#This Row],[ID]], Table2[ID],Table2[MC2], "Not Found", 0 )</f>
        <v>0</v>
      </c>
      <c r="AA1857" s="16">
        <f>_xlfn.XLOOKUP(CustomerCombinedCleaned[[#This Row],[ID]], Table2[ID],Table2[MC3], "Not Found", 0 )</f>
        <v>0</v>
      </c>
      <c r="AB1857" s="16">
        <f>_xlfn.XLOOKUP(CustomerCombinedCleaned[[#This Row],[ID]], Table2[ID],Table2[MC4], "Not Found", 0 )</f>
        <v>0</v>
      </c>
      <c r="AC1857" s="16">
        <f>_xlfn.XLOOKUP(CustomerCombinedCleaned[[#This Row],[ID]], Table2[ID],Table2[MC5], "Not Found", 0 )</f>
        <v>0</v>
      </c>
    </row>
    <row r="1858" spans="1:29" x14ac:dyDescent="0.3">
      <c r="A1858" s="18">
        <v>2049</v>
      </c>
      <c r="B1858" s="16">
        <v>122304</v>
      </c>
      <c r="C1858" s="16">
        <v>0</v>
      </c>
      <c r="D1858" s="16">
        <v>0</v>
      </c>
      <c r="E1858" s="16">
        <v>64</v>
      </c>
      <c r="F1858" s="17" t="s">
        <v>5</v>
      </c>
      <c r="G1858" s="17" t="s">
        <v>11</v>
      </c>
      <c r="H1858" s="3" t="s">
        <v>728</v>
      </c>
      <c r="I1858" s="5" t="s">
        <v>435</v>
      </c>
      <c r="J1858" s="16">
        <f>_xlfn.XLOOKUP(CustomerCombinedCleaned[[#This Row],[ID]], Table4[ID], Table4[Recency], "Not Found", 0)</f>
        <v>91</v>
      </c>
      <c r="K1858" s="16">
        <f>_xlfn.XLOOKUP(CustomerCombinedCleaned[[#This Row],[ID]], Table4[ID], Table4[Teas], "Not Found", 0)</f>
        <v>16</v>
      </c>
      <c r="L1858" s="16">
        <f>_xlfn.XLOOKUP(CustomerCombinedCleaned[[#This Row],[ID]], Table4[ID], Table4[Fruits], "Not Found", 0)</f>
        <v>11</v>
      </c>
      <c r="M1858" s="16">
        <f>_xlfn.XLOOKUP(CustomerCombinedCleaned[[#This Row],[ID]], Table4[ID], Table4[Meats], "Not Found", 0)</f>
        <v>38</v>
      </c>
      <c r="N1858" s="16">
        <f>_xlfn.XLOOKUP(CustomerCombinedCleaned[[#This Row],[ID]], Table4[ID], Table4[Seafood], "Not Found", 0)</f>
        <v>0</v>
      </c>
      <c r="O1858" s="16">
        <f>_xlfn.XLOOKUP(CustomerCombinedCleaned[[#This Row],[ID]], Table4[ID], Table4[Sweets], "Not Found", 0)</f>
        <v>22</v>
      </c>
      <c r="P1858" s="16">
        <f>_xlfn.XLOOKUP(CustomerCombinedCleaned[[#This Row],[ID]], Table4[ID], Table4[Premium], "Not Found", 0)</f>
        <v>11</v>
      </c>
      <c r="Q1858" s="16">
        <f>_xlfn.XLOOKUP(CustomerCombinedCleaned[[#This Row],[ID]], Table4[ID], Table4[Regular], "Not Found", 0)</f>
        <v>77</v>
      </c>
      <c r="R1858" s="16">
        <f>_xlfn.XLOOKUP(CustomerCombinedCleaned[[#This Row],[ID]], Table4[ID], Table4[Deals], "Not Found", 0)</f>
        <v>1</v>
      </c>
      <c r="S1858" s="16">
        <f>_xlfn.XLOOKUP(CustomerCombinedCleaned[[#This Row],[ID]], Table4[ID], Table4[Website], "Not Found", 0)</f>
        <v>1</v>
      </c>
      <c r="T1858" s="16">
        <f>_xlfn.XLOOKUP(CustomerCombinedCleaned[[#This Row],[ID]], Table4[ID], Table4[Catalog], "Not Found", 0)</f>
        <v>0</v>
      </c>
      <c r="U1858" s="16">
        <f>_xlfn.XLOOKUP(CustomerCombinedCleaned[[#This Row],[ID]], Table4[ID], Table4[Store], "Not Found", 0)</f>
        <v>2</v>
      </c>
      <c r="V1858" s="16">
        <f>_xlfn.XLOOKUP(CustomerCombinedCleaned[[#This Row],[ID]], Table4[ID], Table4[Visits], "Not Found", 0)</f>
        <v>8</v>
      </c>
      <c r="W1858" s="16">
        <f>_xlfn.XLOOKUP(CustomerCombinedCleaned[[#This Row],[ID]], Table2[ID],Table2[Complaint], "Not Found", 0 )</f>
        <v>0</v>
      </c>
      <c r="X1858" s="16">
        <f>_xlfn.XLOOKUP(CustomerCombinedCleaned[[#This Row],[ID]], Table2[ID],Table2[Pilot], "Not Found", 0 )</f>
        <v>0</v>
      </c>
      <c r="Y1858" s="16">
        <f>_xlfn.XLOOKUP(CustomerCombinedCleaned[[#This Row],[ID]], Table2[ID],Table2[MC1], "Not Found", 0 )</f>
        <v>0</v>
      </c>
      <c r="Z1858" s="16">
        <f>_xlfn.XLOOKUP(CustomerCombinedCleaned[[#This Row],[ID]], Table2[ID],Table2[MC2], "Not Found", 0 )</f>
        <v>0</v>
      </c>
      <c r="AA1858" s="16">
        <f>_xlfn.XLOOKUP(CustomerCombinedCleaned[[#This Row],[ID]], Table2[ID],Table2[MC3], "Not Found", 0 )</f>
        <v>0</v>
      </c>
      <c r="AB1858" s="16">
        <f>_xlfn.XLOOKUP(CustomerCombinedCleaned[[#This Row],[ID]], Table2[ID],Table2[MC4], "Not Found", 0 )</f>
        <v>0</v>
      </c>
      <c r="AC1858" s="16">
        <f>_xlfn.XLOOKUP(CustomerCombinedCleaned[[#This Row],[ID]], Table2[ID],Table2[MC5], "Not Found", 0 )</f>
        <v>0</v>
      </c>
    </row>
    <row r="1859" spans="1:29" x14ac:dyDescent="0.3">
      <c r="A1859" s="18">
        <v>2271</v>
      </c>
      <c r="B1859" s="16">
        <v>115759</v>
      </c>
      <c r="C1859" s="16">
        <v>0</v>
      </c>
      <c r="D1859" s="16">
        <v>0</v>
      </c>
      <c r="E1859" s="16">
        <v>64</v>
      </c>
      <c r="F1859" s="17" t="s">
        <v>6</v>
      </c>
      <c r="G1859" s="17" t="s">
        <v>11</v>
      </c>
      <c r="H1859" s="3" t="s">
        <v>561</v>
      </c>
      <c r="I1859" s="5" t="s">
        <v>435</v>
      </c>
      <c r="J1859" s="16">
        <f>_xlfn.XLOOKUP(CustomerCombinedCleaned[[#This Row],[ID]], Table4[ID], Table4[Recency], "Not Found", 0)</f>
        <v>12</v>
      </c>
      <c r="K1859" s="16">
        <f>_xlfn.XLOOKUP(CustomerCombinedCleaned[[#This Row],[ID]], Table4[ID], Table4[Teas], "Not Found", 0)</f>
        <v>7</v>
      </c>
      <c r="L1859" s="16">
        <f>_xlfn.XLOOKUP(CustomerCombinedCleaned[[#This Row],[ID]], Table4[ID], Table4[Fruits], "Not Found", 0)</f>
        <v>15</v>
      </c>
      <c r="M1859" s="16">
        <f>_xlfn.XLOOKUP(CustomerCombinedCleaned[[#This Row],[ID]], Table4[ID], Table4[Meats], "Not Found", 0)</f>
        <v>37</v>
      </c>
      <c r="N1859" s="16">
        <f>_xlfn.XLOOKUP(CustomerCombinedCleaned[[#This Row],[ID]], Table4[ID], Table4[Seafood], "Not Found", 0)</f>
        <v>44</v>
      </c>
      <c r="O1859" s="16">
        <f>_xlfn.XLOOKUP(CustomerCombinedCleaned[[#This Row],[ID]], Table4[ID], Table4[Sweets], "Not Found", 0)</f>
        <v>0</v>
      </c>
      <c r="P1859" s="16">
        <f>_xlfn.XLOOKUP(CustomerCombinedCleaned[[#This Row],[ID]], Table4[ID], Table4[Premium], "Not Found", 0)</f>
        <v>22</v>
      </c>
      <c r="Q1859" s="16">
        <f>_xlfn.XLOOKUP(CustomerCombinedCleaned[[#This Row],[ID]], Table4[ID], Table4[Regular], "Not Found", 0)</f>
        <v>81</v>
      </c>
      <c r="R1859" s="16">
        <f>_xlfn.XLOOKUP(CustomerCombinedCleaned[[#This Row],[ID]], Table4[ID], Table4[Deals], "Not Found", 0)</f>
        <v>1</v>
      </c>
      <c r="S1859" s="16">
        <f>_xlfn.XLOOKUP(CustomerCombinedCleaned[[#This Row],[ID]], Table4[ID], Table4[Website], "Not Found", 0)</f>
        <v>1</v>
      </c>
      <c r="T1859" s="16">
        <f>_xlfn.XLOOKUP(CustomerCombinedCleaned[[#This Row],[ID]], Table4[ID], Table4[Catalog], "Not Found", 0)</f>
        <v>0</v>
      </c>
      <c r="U1859" s="16">
        <f>_xlfn.XLOOKUP(CustomerCombinedCleaned[[#This Row],[ID]], Table4[ID], Table4[Store], "Not Found", 0)</f>
        <v>2</v>
      </c>
      <c r="V1859" s="16">
        <f>_xlfn.XLOOKUP(CustomerCombinedCleaned[[#This Row],[ID]], Table4[ID], Table4[Visits], "Not Found", 0)</f>
        <v>7</v>
      </c>
      <c r="W1859" s="16">
        <f>_xlfn.XLOOKUP(CustomerCombinedCleaned[[#This Row],[ID]], Table2[ID],Table2[Complaint], "Not Found", 0 )</f>
        <v>0</v>
      </c>
      <c r="X1859" s="16">
        <f>_xlfn.XLOOKUP(CustomerCombinedCleaned[[#This Row],[ID]], Table2[ID],Table2[Pilot], "Not Found", 0 )</f>
        <v>0</v>
      </c>
      <c r="Y1859" s="16">
        <f>_xlfn.XLOOKUP(CustomerCombinedCleaned[[#This Row],[ID]], Table2[ID],Table2[MC1], "Not Found", 0 )</f>
        <v>0</v>
      </c>
      <c r="Z1859" s="16">
        <f>_xlfn.XLOOKUP(CustomerCombinedCleaned[[#This Row],[ID]], Table2[ID],Table2[MC2], "Not Found", 0 )</f>
        <v>0</v>
      </c>
      <c r="AA1859" s="16">
        <f>_xlfn.XLOOKUP(CustomerCombinedCleaned[[#This Row],[ID]], Table2[ID],Table2[MC3], "Not Found", 0 )</f>
        <v>0</v>
      </c>
      <c r="AB1859" s="16">
        <f>_xlfn.XLOOKUP(CustomerCombinedCleaned[[#This Row],[ID]], Table2[ID],Table2[MC4], "Not Found", 0 )</f>
        <v>0</v>
      </c>
      <c r="AC1859" s="16">
        <f>_xlfn.XLOOKUP(CustomerCombinedCleaned[[#This Row],[ID]], Table2[ID],Table2[MC5], "Not Found", 0 )</f>
        <v>0</v>
      </c>
    </row>
    <row r="1860" spans="1:29" x14ac:dyDescent="0.3">
      <c r="A1860" s="18">
        <v>1646</v>
      </c>
      <c r="B1860" s="16">
        <v>114661</v>
      </c>
      <c r="C1860" s="16">
        <v>0</v>
      </c>
      <c r="D1860" s="16">
        <v>0</v>
      </c>
      <c r="E1860" s="16">
        <v>64</v>
      </c>
      <c r="F1860" s="17" t="s">
        <v>8</v>
      </c>
      <c r="G1860" s="17" t="s">
        <v>12</v>
      </c>
      <c r="H1860" s="3" t="s">
        <v>771</v>
      </c>
      <c r="I1860" s="5" t="s">
        <v>438</v>
      </c>
      <c r="J1860" s="16">
        <f>_xlfn.XLOOKUP(CustomerCombinedCleaned[[#This Row],[ID]], Table4[ID], Table4[Recency], "Not Found", 0)</f>
        <v>88</v>
      </c>
      <c r="K1860" s="16">
        <f>_xlfn.XLOOKUP(CustomerCombinedCleaned[[#This Row],[ID]], Table4[ID], Table4[Teas], "Not Found", 0)</f>
        <v>31</v>
      </c>
      <c r="L1860" s="16">
        <f>_xlfn.XLOOKUP(CustomerCombinedCleaned[[#This Row],[ID]], Table4[ID], Table4[Fruits], "Not Found", 0)</f>
        <v>8</v>
      </c>
      <c r="M1860" s="16">
        <f>_xlfn.XLOOKUP(CustomerCombinedCleaned[[#This Row],[ID]], Table4[ID], Table4[Meats], "Not Found", 0)</f>
        <v>86</v>
      </c>
      <c r="N1860" s="16">
        <f>_xlfn.XLOOKUP(CustomerCombinedCleaned[[#This Row],[ID]], Table4[ID], Table4[Seafood], "Not Found", 0)</f>
        <v>47</v>
      </c>
      <c r="O1860" s="16">
        <f>_xlfn.XLOOKUP(CustomerCombinedCleaned[[#This Row],[ID]], Table4[ID], Table4[Sweets], "Not Found", 0)</f>
        <v>16</v>
      </c>
      <c r="P1860" s="16">
        <f>_xlfn.XLOOKUP(CustomerCombinedCleaned[[#This Row],[ID]], Table4[ID], Table4[Premium], "Not Found", 0)</f>
        <v>16</v>
      </c>
      <c r="Q1860" s="16">
        <f>_xlfn.XLOOKUP(CustomerCombinedCleaned[[#This Row],[ID]], Table4[ID], Table4[Regular], "Not Found", 0)</f>
        <v>172</v>
      </c>
      <c r="R1860" s="16">
        <f>_xlfn.XLOOKUP(CustomerCombinedCleaned[[#This Row],[ID]], Table4[ID], Table4[Deals], "Not Found", 0)</f>
        <v>1</v>
      </c>
      <c r="S1860" s="16">
        <f>_xlfn.XLOOKUP(CustomerCombinedCleaned[[#This Row],[ID]], Table4[ID], Table4[Website], "Not Found", 0)</f>
        <v>1</v>
      </c>
      <c r="T1860" s="16">
        <f>_xlfn.XLOOKUP(CustomerCombinedCleaned[[#This Row],[ID]], Table4[ID], Table4[Catalog], "Not Found", 0)</f>
        <v>0</v>
      </c>
      <c r="U1860" s="16">
        <f>_xlfn.XLOOKUP(CustomerCombinedCleaned[[#This Row],[ID]], Table4[ID], Table4[Store], "Not Found", 0)</f>
        <v>3</v>
      </c>
      <c r="V1860" s="16">
        <f>_xlfn.XLOOKUP(CustomerCombinedCleaned[[#This Row],[ID]], Table4[ID], Table4[Visits], "Not Found", 0)</f>
        <v>6</v>
      </c>
      <c r="W1860" s="16">
        <f>_xlfn.XLOOKUP(CustomerCombinedCleaned[[#This Row],[ID]], Table2[ID],Table2[Complaint], "Not Found", 0 )</f>
        <v>0</v>
      </c>
      <c r="X1860" s="16">
        <f>_xlfn.XLOOKUP(CustomerCombinedCleaned[[#This Row],[ID]], Table2[ID],Table2[Pilot], "Not Found", 0 )</f>
        <v>0</v>
      </c>
      <c r="Y1860" s="16">
        <f>_xlfn.XLOOKUP(CustomerCombinedCleaned[[#This Row],[ID]], Table2[ID],Table2[MC1], "Not Found", 0 )</f>
        <v>0</v>
      </c>
      <c r="Z1860" s="16">
        <f>_xlfn.XLOOKUP(CustomerCombinedCleaned[[#This Row],[ID]], Table2[ID],Table2[MC2], "Not Found", 0 )</f>
        <v>0</v>
      </c>
      <c r="AA1860" s="16">
        <f>_xlfn.XLOOKUP(CustomerCombinedCleaned[[#This Row],[ID]], Table2[ID],Table2[MC3], "Not Found", 0 )</f>
        <v>0</v>
      </c>
      <c r="AB1860" s="16">
        <f>_xlfn.XLOOKUP(CustomerCombinedCleaned[[#This Row],[ID]], Table2[ID],Table2[MC4], "Not Found", 0 )</f>
        <v>0</v>
      </c>
      <c r="AC1860" s="16">
        <f>_xlfn.XLOOKUP(CustomerCombinedCleaned[[#This Row],[ID]], Table2[ID],Table2[MC5], "Not Found", 0 )</f>
        <v>0</v>
      </c>
    </row>
    <row r="1861" spans="1:29" x14ac:dyDescent="0.3">
      <c r="A1861" s="18">
        <v>3219</v>
      </c>
      <c r="B1861" s="16">
        <v>168423</v>
      </c>
      <c r="C1861" s="16">
        <v>0</v>
      </c>
      <c r="D1861" s="16">
        <v>1</v>
      </c>
      <c r="E1861" s="16">
        <v>64</v>
      </c>
      <c r="F1861" s="17" t="s">
        <v>8</v>
      </c>
      <c r="G1861" s="17" t="s">
        <v>12</v>
      </c>
      <c r="H1861" s="3" t="s">
        <v>108</v>
      </c>
      <c r="I1861" s="5" t="s">
        <v>435</v>
      </c>
      <c r="J1861" s="21">
        <v>8</v>
      </c>
      <c r="K1861" s="21">
        <v>1054</v>
      </c>
      <c r="L1861" s="21">
        <v>74</v>
      </c>
      <c r="M1861" s="21">
        <v>527</v>
      </c>
      <c r="N1861" s="21">
        <v>197</v>
      </c>
      <c r="O1861" s="21">
        <v>74</v>
      </c>
      <c r="P1861" s="21">
        <v>150</v>
      </c>
      <c r="Q1861" s="21">
        <v>1775</v>
      </c>
      <c r="R1861" s="21">
        <v>2</v>
      </c>
      <c r="S1861" s="21">
        <v>6</v>
      </c>
      <c r="T1861" s="21">
        <v>5</v>
      </c>
      <c r="U1861" s="21">
        <v>10</v>
      </c>
      <c r="V1861" s="21">
        <v>3</v>
      </c>
      <c r="W1861" s="21">
        <v>0</v>
      </c>
      <c r="X1861" s="21">
        <v>0</v>
      </c>
      <c r="Y1861" s="21">
        <v>0</v>
      </c>
      <c r="Z1861" s="21">
        <v>0</v>
      </c>
      <c r="AA1861" s="21">
        <v>0</v>
      </c>
      <c r="AB1861" s="21">
        <v>0</v>
      </c>
      <c r="AC1861" s="21">
        <v>0</v>
      </c>
    </row>
    <row r="1862" spans="1:29" x14ac:dyDescent="0.3">
      <c r="A1862" s="18">
        <v>1052</v>
      </c>
      <c r="B1862" s="16">
        <v>182384</v>
      </c>
      <c r="C1862" s="16">
        <v>0</v>
      </c>
      <c r="D1862" s="16">
        <v>0</v>
      </c>
      <c r="E1862" s="16">
        <v>65</v>
      </c>
      <c r="F1862" s="17" t="s">
        <v>8</v>
      </c>
      <c r="G1862" s="17" t="s">
        <v>12</v>
      </c>
      <c r="H1862" s="3" t="s">
        <v>357</v>
      </c>
      <c r="I1862" s="5" t="s">
        <v>438</v>
      </c>
      <c r="J1862" s="16">
        <f>_xlfn.XLOOKUP(CustomerCombinedCleaned[[#This Row],[ID]], Table4[ID], Table4[Recency], "Not Found", 0)</f>
        <v>55</v>
      </c>
      <c r="K1862" s="16">
        <f>_xlfn.XLOOKUP(CustomerCombinedCleaned[[#This Row],[ID]], Table4[ID], Table4[Teas], "Not Found", 0)</f>
        <v>2178</v>
      </c>
      <c r="L1862" s="16">
        <f>_xlfn.XLOOKUP(CustomerCombinedCleaned[[#This Row],[ID]], Table4[ID], Table4[Fruits], "Not Found", 0)</f>
        <v>113</v>
      </c>
      <c r="M1862" s="16">
        <f>_xlfn.XLOOKUP(CustomerCombinedCleaned[[#This Row],[ID]], Table4[ID], Table4[Meats], "Not Found", 0)</f>
        <v>956</v>
      </c>
      <c r="N1862" s="16">
        <f>_xlfn.XLOOKUP(CustomerCombinedCleaned[[#This Row],[ID]], Table4[ID], Table4[Seafood], "Not Found", 0)</f>
        <v>398</v>
      </c>
      <c r="O1862" s="16">
        <f>_xlfn.XLOOKUP(CustomerCombinedCleaned[[#This Row],[ID]], Table4[ID], Table4[Sweets], "Not Found", 0)</f>
        <v>266</v>
      </c>
      <c r="P1862" s="16">
        <f>_xlfn.XLOOKUP(CustomerCombinedCleaned[[#This Row],[ID]], Table4[ID], Table4[Premium], "Not Found", 0)</f>
        <v>421</v>
      </c>
      <c r="Q1862" s="16">
        <f>_xlfn.XLOOKUP(CustomerCombinedCleaned[[#This Row],[ID]], Table4[ID], Table4[Regular], "Not Found", 0)</f>
        <v>3491</v>
      </c>
      <c r="R1862" s="16">
        <f>_xlfn.XLOOKUP(CustomerCombinedCleaned[[#This Row],[ID]], Table4[ID], Table4[Deals], "Not Found", 0)</f>
        <v>1</v>
      </c>
      <c r="S1862" s="16">
        <f>_xlfn.XLOOKUP(CustomerCombinedCleaned[[#This Row],[ID]], Table4[ID], Table4[Website], "Not Found", 0)</f>
        <v>3</v>
      </c>
      <c r="T1862" s="16">
        <f>_xlfn.XLOOKUP(CustomerCombinedCleaned[[#This Row],[ID]], Table4[ID], Table4[Catalog], "Not Found", 0)</f>
        <v>10</v>
      </c>
      <c r="U1862" s="16">
        <f>_xlfn.XLOOKUP(CustomerCombinedCleaned[[#This Row],[ID]], Table4[ID], Table4[Store], "Not Found", 0)</f>
        <v>13</v>
      </c>
      <c r="V1862" s="16">
        <f>_xlfn.XLOOKUP(CustomerCombinedCleaned[[#This Row],[ID]], Table4[ID], Table4[Visits], "Not Found", 0)</f>
        <v>1</v>
      </c>
      <c r="W1862" s="16">
        <f>_xlfn.XLOOKUP(CustomerCombinedCleaned[[#This Row],[ID]], Table2[ID],Table2[Complaint], "Not Found", 0 )</f>
        <v>0</v>
      </c>
      <c r="X1862" s="16">
        <f>_xlfn.XLOOKUP(CustomerCombinedCleaned[[#This Row],[ID]], Table2[ID],Table2[Pilot], "Not Found", 0 )</f>
        <v>1</v>
      </c>
      <c r="Y1862" s="16">
        <f>_xlfn.XLOOKUP(CustomerCombinedCleaned[[#This Row],[ID]], Table2[ID],Table2[MC1], "Not Found", 0 )</f>
        <v>0</v>
      </c>
      <c r="Z1862" s="16">
        <f>_xlfn.XLOOKUP(CustomerCombinedCleaned[[#This Row],[ID]], Table2[ID],Table2[MC2], "Not Found", 0 )</f>
        <v>0</v>
      </c>
      <c r="AA1862" s="16">
        <f>_xlfn.XLOOKUP(CustomerCombinedCleaned[[#This Row],[ID]], Table2[ID],Table2[MC3], "Not Found", 0 )</f>
        <v>0</v>
      </c>
      <c r="AB1862" s="16">
        <f>_xlfn.XLOOKUP(CustomerCombinedCleaned[[#This Row],[ID]], Table2[ID],Table2[MC4], "Not Found", 0 )</f>
        <v>0</v>
      </c>
      <c r="AC1862" s="16">
        <f>_xlfn.XLOOKUP(CustomerCombinedCleaned[[#This Row],[ID]], Table2[ID],Table2[MC5], "Not Found", 0 )</f>
        <v>1</v>
      </c>
    </row>
    <row r="1863" spans="1:29" x14ac:dyDescent="0.3">
      <c r="A1863" s="18">
        <v>1707</v>
      </c>
      <c r="B1863" s="16">
        <v>180395</v>
      </c>
      <c r="C1863" s="16">
        <v>0</v>
      </c>
      <c r="D1863" s="16">
        <v>0</v>
      </c>
      <c r="E1863" s="16">
        <v>65</v>
      </c>
      <c r="F1863" s="17" t="s">
        <v>6</v>
      </c>
      <c r="G1863" s="17" t="s">
        <v>11</v>
      </c>
      <c r="H1863" s="3" t="s">
        <v>142</v>
      </c>
      <c r="I1863" s="5" t="s">
        <v>435</v>
      </c>
      <c r="J1863" s="16">
        <f>_xlfn.XLOOKUP(CustomerCombinedCleaned[[#This Row],[ID]], Table4[ID], Table4[Recency], "Not Found", 0)</f>
        <v>62</v>
      </c>
      <c r="K1863" s="16">
        <f>_xlfn.XLOOKUP(CustomerCombinedCleaned[[#This Row],[ID]], Table4[ID], Table4[Teas], "Not Found", 0)</f>
        <v>999</v>
      </c>
      <c r="L1863" s="16">
        <f>_xlfn.XLOOKUP(CustomerCombinedCleaned[[#This Row],[ID]], Table4[ID], Table4[Fruits], "Not Found", 0)</f>
        <v>56</v>
      </c>
      <c r="M1863" s="16">
        <f>_xlfn.XLOOKUP(CustomerCombinedCleaned[[#This Row],[ID]], Table4[ID], Table4[Meats], "Not Found", 0)</f>
        <v>1584</v>
      </c>
      <c r="N1863" s="16">
        <f>_xlfn.XLOOKUP(CustomerCombinedCleaned[[#This Row],[ID]], Table4[ID], Table4[Seafood], "Not Found", 0)</f>
        <v>180</v>
      </c>
      <c r="O1863" s="16">
        <f>_xlfn.XLOOKUP(CustomerCombinedCleaned[[#This Row],[ID]], Table4[ID], Table4[Sweets], "Not Found", 0)</f>
        <v>171</v>
      </c>
      <c r="P1863" s="16">
        <f>_xlfn.XLOOKUP(CustomerCombinedCleaned[[#This Row],[ID]], Table4[ID], Table4[Premium], "Not Found", 0)</f>
        <v>108</v>
      </c>
      <c r="Q1863" s="16">
        <f>_xlfn.XLOOKUP(CustomerCombinedCleaned[[#This Row],[ID]], Table4[ID], Table4[Regular], "Not Found", 0)</f>
        <v>2881</v>
      </c>
      <c r="R1863" s="16">
        <f>_xlfn.XLOOKUP(CustomerCombinedCleaned[[#This Row],[ID]], Table4[ID], Table4[Deals], "Not Found", 0)</f>
        <v>1</v>
      </c>
      <c r="S1863" s="16">
        <f>_xlfn.XLOOKUP(CustomerCombinedCleaned[[#This Row],[ID]], Table4[ID], Table4[Website], "Not Found", 0)</f>
        <v>6</v>
      </c>
      <c r="T1863" s="16">
        <f>_xlfn.XLOOKUP(CustomerCombinedCleaned[[#This Row],[ID]], Table4[ID], Table4[Catalog], "Not Found", 0)</f>
        <v>5</v>
      </c>
      <c r="U1863" s="16">
        <f>_xlfn.XLOOKUP(CustomerCombinedCleaned[[#This Row],[ID]], Table4[ID], Table4[Store], "Not Found", 0)</f>
        <v>12</v>
      </c>
      <c r="V1863" s="16">
        <f>_xlfn.XLOOKUP(CustomerCombinedCleaned[[#This Row],[ID]], Table4[ID], Table4[Visits], "Not Found", 0)</f>
        <v>2</v>
      </c>
      <c r="W1863" s="16">
        <f>_xlfn.XLOOKUP(CustomerCombinedCleaned[[#This Row],[ID]], Table2[ID],Table2[Complaint], "Not Found", 0 )</f>
        <v>0</v>
      </c>
      <c r="X1863" s="16">
        <f>_xlfn.XLOOKUP(CustomerCombinedCleaned[[#This Row],[ID]], Table2[ID],Table2[Pilot], "Not Found", 0 )</f>
        <v>0</v>
      </c>
      <c r="Y1863" s="16">
        <f>_xlfn.XLOOKUP(CustomerCombinedCleaned[[#This Row],[ID]], Table2[ID],Table2[MC1], "Not Found", 0 )</f>
        <v>1</v>
      </c>
      <c r="Z1863" s="16">
        <f>_xlfn.XLOOKUP(CustomerCombinedCleaned[[#This Row],[ID]], Table2[ID],Table2[MC2], "Not Found", 0 )</f>
        <v>0</v>
      </c>
      <c r="AA1863" s="16">
        <f>_xlfn.XLOOKUP(CustomerCombinedCleaned[[#This Row],[ID]], Table2[ID],Table2[MC3], "Not Found", 0 )</f>
        <v>0</v>
      </c>
      <c r="AB1863" s="16">
        <f>_xlfn.XLOOKUP(CustomerCombinedCleaned[[#This Row],[ID]], Table2[ID],Table2[MC4], "Not Found", 0 )</f>
        <v>0</v>
      </c>
      <c r="AC1863" s="16">
        <f>_xlfn.XLOOKUP(CustomerCombinedCleaned[[#This Row],[ID]], Table2[ID],Table2[MC5], "Not Found", 0 )</f>
        <v>0</v>
      </c>
    </row>
    <row r="1864" spans="1:29" x14ac:dyDescent="0.3">
      <c r="A1864" s="18">
        <v>1149</v>
      </c>
      <c r="B1864" s="16">
        <v>180317</v>
      </c>
      <c r="C1864" s="16">
        <v>0</v>
      </c>
      <c r="D1864" s="16">
        <v>0</v>
      </c>
      <c r="E1864" s="16">
        <v>65</v>
      </c>
      <c r="F1864" s="17" t="s">
        <v>7</v>
      </c>
      <c r="G1864" s="17" t="s">
        <v>11</v>
      </c>
      <c r="H1864" s="3" t="s">
        <v>197</v>
      </c>
      <c r="I1864" s="5" t="s">
        <v>435</v>
      </c>
      <c r="J1864" s="16">
        <f>_xlfn.XLOOKUP(CustomerCombinedCleaned[[#This Row],[ID]], Table4[ID], Table4[Recency], "Not Found", 0)</f>
        <v>64</v>
      </c>
      <c r="K1864" s="16">
        <f>_xlfn.XLOOKUP(CustomerCombinedCleaned[[#This Row],[ID]], Table4[ID], Table4[Teas], "Not Found", 0)</f>
        <v>1203</v>
      </c>
      <c r="L1864" s="16">
        <f>_xlfn.XLOOKUP(CustomerCombinedCleaned[[#This Row],[ID]], Table4[ID], Table4[Fruits], "Not Found", 0)</f>
        <v>25</v>
      </c>
      <c r="M1864" s="16">
        <f>_xlfn.XLOOKUP(CustomerCombinedCleaned[[#This Row],[ID]], Table4[ID], Table4[Meats], "Not Found", 0)</f>
        <v>869</v>
      </c>
      <c r="N1864" s="16">
        <f>_xlfn.XLOOKUP(CustomerCombinedCleaned[[#This Row],[ID]], Table4[ID], Table4[Seafood], "Not Found", 0)</f>
        <v>335</v>
      </c>
      <c r="O1864" s="16">
        <f>_xlfn.XLOOKUP(CustomerCombinedCleaned[[#This Row],[ID]], Table4[ID], Table4[Sweets], "Not Found", 0)</f>
        <v>204</v>
      </c>
      <c r="P1864" s="16">
        <f>_xlfn.XLOOKUP(CustomerCombinedCleaned[[#This Row],[ID]], Table4[ID], Table4[Premium], "Not Found", 0)</f>
        <v>128</v>
      </c>
      <c r="Q1864" s="16">
        <f>_xlfn.XLOOKUP(CustomerCombinedCleaned[[#This Row],[ID]], Table4[ID], Table4[Regular], "Not Found", 0)</f>
        <v>2508</v>
      </c>
      <c r="R1864" s="16">
        <f>_xlfn.XLOOKUP(CustomerCombinedCleaned[[#This Row],[ID]], Table4[ID], Table4[Deals], "Not Found", 0)</f>
        <v>1</v>
      </c>
      <c r="S1864" s="16">
        <f>_xlfn.XLOOKUP(CustomerCombinedCleaned[[#This Row],[ID]], Table4[ID], Table4[Website], "Not Found", 0)</f>
        <v>3</v>
      </c>
      <c r="T1864" s="16">
        <f>_xlfn.XLOOKUP(CustomerCombinedCleaned[[#This Row],[ID]], Table4[ID], Table4[Catalog], "Not Found", 0)</f>
        <v>4</v>
      </c>
      <c r="U1864" s="16">
        <f>_xlfn.XLOOKUP(CustomerCombinedCleaned[[#This Row],[ID]], Table4[ID], Table4[Store], "Not Found", 0)</f>
        <v>10</v>
      </c>
      <c r="V1864" s="16">
        <f>_xlfn.XLOOKUP(CustomerCombinedCleaned[[#This Row],[ID]], Table4[ID], Table4[Visits], "Not Found", 0)</f>
        <v>1</v>
      </c>
      <c r="W1864" s="16">
        <f>_xlfn.XLOOKUP(CustomerCombinedCleaned[[#This Row],[ID]], Table2[ID],Table2[Complaint], "Not Found", 0 )</f>
        <v>0</v>
      </c>
      <c r="X1864" s="16">
        <f>_xlfn.XLOOKUP(CustomerCombinedCleaned[[#This Row],[ID]], Table2[ID],Table2[Pilot], "Not Found", 0 )</f>
        <v>0</v>
      </c>
      <c r="Y1864" s="16">
        <f>_xlfn.XLOOKUP(CustomerCombinedCleaned[[#This Row],[ID]], Table2[ID],Table2[MC1], "Not Found", 0 )</f>
        <v>0</v>
      </c>
      <c r="Z1864" s="16">
        <f>_xlfn.XLOOKUP(CustomerCombinedCleaned[[#This Row],[ID]], Table2[ID],Table2[MC2], "Not Found", 0 )</f>
        <v>0</v>
      </c>
      <c r="AA1864" s="16">
        <f>_xlfn.XLOOKUP(CustomerCombinedCleaned[[#This Row],[ID]], Table2[ID],Table2[MC3], "Not Found", 0 )</f>
        <v>0</v>
      </c>
      <c r="AB1864" s="16">
        <f>_xlfn.XLOOKUP(CustomerCombinedCleaned[[#This Row],[ID]], Table2[ID],Table2[MC4], "Not Found", 0 )</f>
        <v>0</v>
      </c>
      <c r="AC1864" s="16">
        <f>_xlfn.XLOOKUP(CustomerCombinedCleaned[[#This Row],[ID]], Table2[ID],Table2[MC5], "Not Found", 0 )</f>
        <v>0</v>
      </c>
    </row>
    <row r="1865" spans="1:29" x14ac:dyDescent="0.3">
      <c r="A1865" s="18">
        <v>1570</v>
      </c>
      <c r="B1865" s="16">
        <v>179800</v>
      </c>
      <c r="C1865" s="16">
        <v>0</v>
      </c>
      <c r="D1865" s="16">
        <v>0</v>
      </c>
      <c r="E1865" s="16">
        <v>65</v>
      </c>
      <c r="F1865" s="17" t="s">
        <v>9</v>
      </c>
      <c r="G1865" s="17" t="s">
        <v>11</v>
      </c>
      <c r="H1865" s="3" t="s">
        <v>388</v>
      </c>
      <c r="I1865" s="5" t="s">
        <v>439</v>
      </c>
      <c r="J1865" s="16">
        <f>_xlfn.XLOOKUP(CustomerCombinedCleaned[[#This Row],[ID]], Table4[ID], Table4[Recency], "Not Found", 0)</f>
        <v>65</v>
      </c>
      <c r="K1865" s="16">
        <f>_xlfn.XLOOKUP(CustomerCombinedCleaned[[#This Row],[ID]], Table4[ID], Table4[Teas], "Not Found", 0)</f>
        <v>2388</v>
      </c>
      <c r="L1865" s="16">
        <f>_xlfn.XLOOKUP(CustomerCombinedCleaned[[#This Row],[ID]], Table4[ID], Table4[Fruits], "Not Found", 0)</f>
        <v>47</v>
      </c>
      <c r="M1865" s="16">
        <f>_xlfn.XLOOKUP(CustomerCombinedCleaned[[#This Row],[ID]], Table4[ID], Table4[Meats], "Not Found", 0)</f>
        <v>1194</v>
      </c>
      <c r="N1865" s="16">
        <f>_xlfn.XLOOKUP(CustomerCombinedCleaned[[#This Row],[ID]], Table4[ID], Table4[Seafood], "Not Found", 0)</f>
        <v>72</v>
      </c>
      <c r="O1865" s="16">
        <f>_xlfn.XLOOKUP(CustomerCombinedCleaned[[#This Row],[ID]], Table4[ID], Table4[Sweets], "Not Found", 0)</f>
        <v>0</v>
      </c>
      <c r="P1865" s="16">
        <f>_xlfn.XLOOKUP(CustomerCombinedCleaned[[#This Row],[ID]], Table4[ID], Table4[Premium], "Not Found", 0)</f>
        <v>505</v>
      </c>
      <c r="Q1865" s="16">
        <f>_xlfn.XLOOKUP(CustomerCombinedCleaned[[#This Row],[ID]], Table4[ID], Table4[Regular], "Not Found", 0)</f>
        <v>3197</v>
      </c>
      <c r="R1865" s="16">
        <f>_xlfn.XLOOKUP(CustomerCombinedCleaned[[#This Row],[ID]], Table4[ID], Table4[Deals], "Not Found", 0)</f>
        <v>1</v>
      </c>
      <c r="S1865" s="16">
        <f>_xlfn.XLOOKUP(CustomerCombinedCleaned[[#This Row],[ID]], Table4[ID], Table4[Website], "Not Found", 0)</f>
        <v>5</v>
      </c>
      <c r="T1865" s="16">
        <f>_xlfn.XLOOKUP(CustomerCombinedCleaned[[#This Row],[ID]], Table4[ID], Table4[Catalog], "Not Found", 0)</f>
        <v>11</v>
      </c>
      <c r="U1865" s="16">
        <f>_xlfn.XLOOKUP(CustomerCombinedCleaned[[#This Row],[ID]], Table4[ID], Table4[Store], "Not Found", 0)</f>
        <v>5</v>
      </c>
      <c r="V1865" s="16">
        <f>_xlfn.XLOOKUP(CustomerCombinedCleaned[[#This Row],[ID]], Table4[ID], Table4[Visits], "Not Found", 0)</f>
        <v>3</v>
      </c>
      <c r="W1865" s="16">
        <f>_xlfn.XLOOKUP(CustomerCombinedCleaned[[#This Row],[ID]], Table2[ID],Table2[Complaint], "Not Found", 0 )</f>
        <v>0</v>
      </c>
      <c r="X1865" s="16">
        <f>_xlfn.XLOOKUP(CustomerCombinedCleaned[[#This Row],[ID]], Table2[ID],Table2[Pilot], "Not Found", 0 )</f>
        <v>1</v>
      </c>
      <c r="Y1865" s="16">
        <f>_xlfn.XLOOKUP(CustomerCombinedCleaned[[#This Row],[ID]], Table2[ID],Table2[MC1], "Not Found", 0 )</f>
        <v>1</v>
      </c>
      <c r="Z1865" s="16">
        <f>_xlfn.XLOOKUP(CustomerCombinedCleaned[[#This Row],[ID]], Table2[ID],Table2[MC2], "Not Found", 0 )</f>
        <v>0</v>
      </c>
      <c r="AA1865" s="16">
        <f>_xlfn.XLOOKUP(CustomerCombinedCleaned[[#This Row],[ID]], Table2[ID],Table2[MC3], "Not Found", 0 )</f>
        <v>1</v>
      </c>
      <c r="AB1865" s="16">
        <f>_xlfn.XLOOKUP(CustomerCombinedCleaned[[#This Row],[ID]], Table2[ID],Table2[MC4], "Not Found", 0 )</f>
        <v>0</v>
      </c>
      <c r="AC1865" s="16">
        <f>_xlfn.XLOOKUP(CustomerCombinedCleaned[[#This Row],[ID]], Table2[ID],Table2[MC5], "Not Found", 0 )</f>
        <v>1</v>
      </c>
    </row>
    <row r="1866" spans="1:29" x14ac:dyDescent="0.3">
      <c r="A1866" s="18">
        <v>2464</v>
      </c>
      <c r="B1866" s="16">
        <v>176998</v>
      </c>
      <c r="C1866" s="16">
        <v>0</v>
      </c>
      <c r="D1866" s="16">
        <v>1</v>
      </c>
      <c r="E1866" s="16">
        <v>65</v>
      </c>
      <c r="F1866" s="17" t="s">
        <v>6</v>
      </c>
      <c r="G1866" s="17" t="s">
        <v>11</v>
      </c>
      <c r="H1866" s="3" t="s">
        <v>329</v>
      </c>
      <c r="I1866" s="5" t="s">
        <v>439</v>
      </c>
      <c r="J1866" s="16">
        <f>_xlfn.XLOOKUP(CustomerCombinedCleaned[[#This Row],[ID]], Table4[ID], Table4[Recency], "Not Found", 0)</f>
        <v>85</v>
      </c>
      <c r="K1866" s="16">
        <f>_xlfn.XLOOKUP(CustomerCombinedCleaned[[#This Row],[ID]], Table4[ID], Table4[Teas], "Not Found", 0)</f>
        <v>3331</v>
      </c>
      <c r="L1866" s="16">
        <f>_xlfn.XLOOKUP(CustomerCombinedCleaned[[#This Row],[ID]], Table4[ID], Table4[Fruits], "Not Found", 0)</f>
        <v>205</v>
      </c>
      <c r="M1866" s="16">
        <f>_xlfn.XLOOKUP(CustomerCombinedCleaned[[#This Row],[ID]], Table4[ID], Table4[Meats], "Not Found", 0)</f>
        <v>370</v>
      </c>
      <c r="N1866" s="16">
        <f>_xlfn.XLOOKUP(CustomerCombinedCleaned[[#This Row],[ID]], Table4[ID], Table4[Seafood], "Not Found", 0)</f>
        <v>159</v>
      </c>
      <c r="O1866" s="16">
        <f>_xlfn.XLOOKUP(CustomerCombinedCleaned[[#This Row],[ID]], Table4[ID], Table4[Sweets], "Not Found", 0)</f>
        <v>80</v>
      </c>
      <c r="P1866" s="16">
        <f>_xlfn.XLOOKUP(CustomerCombinedCleaned[[#This Row],[ID]], Table4[ID], Table4[Premium], "Not Found", 0)</f>
        <v>246</v>
      </c>
      <c r="Q1866" s="16">
        <f>_xlfn.XLOOKUP(CustomerCombinedCleaned[[#This Row],[ID]], Table4[ID], Table4[Regular], "Not Found", 0)</f>
        <v>3899</v>
      </c>
      <c r="R1866" s="16">
        <f>_xlfn.XLOOKUP(CustomerCombinedCleaned[[#This Row],[ID]], Table4[ID], Table4[Deals], "Not Found", 0)</f>
        <v>2</v>
      </c>
      <c r="S1866" s="16">
        <f>_xlfn.XLOOKUP(CustomerCombinedCleaned[[#This Row],[ID]], Table4[ID], Table4[Website], "Not Found", 0)</f>
        <v>11</v>
      </c>
      <c r="T1866" s="16">
        <f>_xlfn.XLOOKUP(CustomerCombinedCleaned[[#This Row],[ID]], Table4[ID], Table4[Catalog], "Not Found", 0)</f>
        <v>8</v>
      </c>
      <c r="U1866" s="16">
        <f>_xlfn.XLOOKUP(CustomerCombinedCleaned[[#This Row],[ID]], Table4[ID], Table4[Store], "Not Found", 0)</f>
        <v>8</v>
      </c>
      <c r="V1866" s="16">
        <f>_xlfn.XLOOKUP(CustomerCombinedCleaned[[#This Row],[ID]], Table4[ID], Table4[Visits], "Not Found", 0)</f>
        <v>6</v>
      </c>
      <c r="W1866" s="16">
        <f>_xlfn.XLOOKUP(CustomerCombinedCleaned[[#This Row],[ID]], Table2[ID],Table2[Complaint], "Not Found", 0 )</f>
        <v>0</v>
      </c>
      <c r="X1866" s="16">
        <f>_xlfn.XLOOKUP(CustomerCombinedCleaned[[#This Row],[ID]], Table2[ID],Table2[Pilot], "Not Found", 0 )</f>
        <v>0</v>
      </c>
      <c r="Y1866" s="16">
        <f>_xlfn.XLOOKUP(CustomerCombinedCleaned[[#This Row],[ID]], Table2[ID],Table2[MC1], "Not Found", 0 )</f>
        <v>0</v>
      </c>
      <c r="Z1866" s="16">
        <f>_xlfn.XLOOKUP(CustomerCombinedCleaned[[#This Row],[ID]], Table2[ID],Table2[MC2], "Not Found", 0 )</f>
        <v>0</v>
      </c>
      <c r="AA1866" s="16">
        <f>_xlfn.XLOOKUP(CustomerCombinedCleaned[[#This Row],[ID]], Table2[ID],Table2[MC3], "Not Found", 0 )</f>
        <v>0</v>
      </c>
      <c r="AB1866" s="16">
        <f>_xlfn.XLOOKUP(CustomerCombinedCleaned[[#This Row],[ID]], Table2[ID],Table2[MC4], "Not Found", 0 )</f>
        <v>0</v>
      </c>
      <c r="AC1866" s="16">
        <f>_xlfn.XLOOKUP(CustomerCombinedCleaned[[#This Row],[ID]], Table2[ID],Table2[MC5], "Not Found", 0 )</f>
        <v>1</v>
      </c>
    </row>
    <row r="1867" spans="1:29" x14ac:dyDescent="0.3">
      <c r="A1867" s="18">
        <v>1476</v>
      </c>
      <c r="B1867" s="16">
        <v>176005</v>
      </c>
      <c r="C1867" s="16">
        <v>0</v>
      </c>
      <c r="D1867" s="16">
        <v>0</v>
      </c>
      <c r="E1867" s="16">
        <v>65</v>
      </c>
      <c r="F1867" s="17" t="s">
        <v>8</v>
      </c>
      <c r="G1867" s="17" t="s">
        <v>11</v>
      </c>
      <c r="H1867" s="3" t="s">
        <v>301</v>
      </c>
      <c r="I1867" s="5" t="s">
        <v>436</v>
      </c>
      <c r="J1867" s="16">
        <f>_xlfn.XLOOKUP(CustomerCombinedCleaned[[#This Row],[ID]], Table4[ID], Table4[Recency], "Not Found", 0)</f>
        <v>72</v>
      </c>
      <c r="K1867" s="16">
        <f>_xlfn.XLOOKUP(CustomerCombinedCleaned[[#This Row],[ID]], Table4[ID], Table4[Teas], "Not Found", 0)</f>
        <v>2276</v>
      </c>
      <c r="L1867" s="16">
        <f>_xlfn.XLOOKUP(CustomerCombinedCleaned[[#This Row],[ID]], Table4[ID], Table4[Fruits], "Not Found", 0)</f>
        <v>46</v>
      </c>
      <c r="M1867" s="16">
        <f>_xlfn.XLOOKUP(CustomerCombinedCleaned[[#This Row],[ID]], Table4[ID], Table4[Meats], "Not Found", 0)</f>
        <v>901</v>
      </c>
      <c r="N1867" s="16">
        <f>_xlfn.XLOOKUP(CustomerCombinedCleaned[[#This Row],[ID]], Table4[ID], Table4[Seafood], "Not Found", 0)</f>
        <v>556</v>
      </c>
      <c r="O1867" s="16">
        <f>_xlfn.XLOOKUP(CustomerCombinedCleaned[[#This Row],[ID]], Table4[ID], Table4[Sweets], "Not Found", 0)</f>
        <v>116</v>
      </c>
      <c r="P1867" s="16">
        <f>_xlfn.XLOOKUP(CustomerCombinedCleaned[[#This Row],[ID]], Table4[ID], Table4[Premium], "Not Found", 0)</f>
        <v>93</v>
      </c>
      <c r="Q1867" s="16">
        <f>_xlfn.XLOOKUP(CustomerCombinedCleaned[[#This Row],[ID]], Table4[ID], Table4[Regular], "Not Found", 0)</f>
        <v>3802</v>
      </c>
      <c r="R1867" s="16">
        <f>_xlfn.XLOOKUP(CustomerCombinedCleaned[[#This Row],[ID]], Table4[ID], Table4[Deals], "Not Found", 0)</f>
        <v>1</v>
      </c>
      <c r="S1867" s="16">
        <f>_xlfn.XLOOKUP(CustomerCombinedCleaned[[#This Row],[ID]], Table4[ID], Table4[Website], "Not Found", 0)</f>
        <v>3</v>
      </c>
      <c r="T1867" s="16">
        <f>_xlfn.XLOOKUP(CustomerCombinedCleaned[[#This Row],[ID]], Table4[ID], Table4[Catalog], "Not Found", 0)</f>
        <v>5</v>
      </c>
      <c r="U1867" s="16">
        <f>_xlfn.XLOOKUP(CustomerCombinedCleaned[[#This Row],[ID]], Table4[ID], Table4[Store], "Not Found", 0)</f>
        <v>13</v>
      </c>
      <c r="V1867" s="16">
        <f>_xlfn.XLOOKUP(CustomerCombinedCleaned[[#This Row],[ID]], Table4[ID], Table4[Visits], "Not Found", 0)</f>
        <v>6</v>
      </c>
      <c r="W1867" s="16">
        <f>_xlfn.XLOOKUP(CustomerCombinedCleaned[[#This Row],[ID]], Table2[ID],Table2[Complaint], "Not Found", 0 )</f>
        <v>0</v>
      </c>
      <c r="X1867" s="16">
        <f>_xlfn.XLOOKUP(CustomerCombinedCleaned[[#This Row],[ID]], Table2[ID],Table2[Pilot], "Not Found", 0 )</f>
        <v>0</v>
      </c>
      <c r="Y1867" s="16">
        <f>_xlfn.XLOOKUP(CustomerCombinedCleaned[[#This Row],[ID]], Table2[ID],Table2[MC1], "Not Found", 0 )</f>
        <v>1</v>
      </c>
      <c r="Z1867" s="16">
        <f>_xlfn.XLOOKUP(CustomerCombinedCleaned[[#This Row],[ID]], Table2[ID],Table2[MC2], "Not Found", 0 )</f>
        <v>0</v>
      </c>
      <c r="AA1867" s="16">
        <f>_xlfn.XLOOKUP(CustomerCombinedCleaned[[#This Row],[ID]], Table2[ID],Table2[MC3], "Not Found", 0 )</f>
        <v>0</v>
      </c>
      <c r="AB1867" s="16">
        <f>_xlfn.XLOOKUP(CustomerCombinedCleaned[[#This Row],[ID]], Table2[ID],Table2[MC4], "Not Found", 0 )</f>
        <v>0</v>
      </c>
      <c r="AC1867" s="16">
        <f>_xlfn.XLOOKUP(CustomerCombinedCleaned[[#This Row],[ID]], Table2[ID],Table2[MC5], "Not Found", 0 )</f>
        <v>0</v>
      </c>
    </row>
    <row r="1868" spans="1:29" x14ac:dyDescent="0.3">
      <c r="A1868" s="18">
        <v>1450</v>
      </c>
      <c r="B1868" s="16">
        <v>175261</v>
      </c>
      <c r="C1868" s="16">
        <v>0</v>
      </c>
      <c r="D1868" s="16">
        <v>0</v>
      </c>
      <c r="E1868" s="16">
        <v>65</v>
      </c>
      <c r="F1868" s="17" t="s">
        <v>8</v>
      </c>
      <c r="G1868" s="17" t="s">
        <v>13</v>
      </c>
      <c r="H1868" s="3" t="s">
        <v>266</v>
      </c>
      <c r="I1868" s="5" t="s">
        <v>439</v>
      </c>
      <c r="J1868" s="16">
        <f>_xlfn.XLOOKUP(CustomerCombinedCleaned[[#This Row],[ID]], Table4[ID], Table4[Recency], "Not Found", 0)</f>
        <v>17</v>
      </c>
      <c r="K1868" s="16">
        <f>_xlfn.XLOOKUP(CustomerCombinedCleaned[[#This Row],[ID]], Table4[ID], Table4[Teas], "Not Found", 0)</f>
        <v>2885</v>
      </c>
      <c r="L1868" s="16">
        <f>_xlfn.XLOOKUP(CustomerCombinedCleaned[[#This Row],[ID]], Table4[ID], Table4[Fruits], "Not Found", 0)</f>
        <v>40</v>
      </c>
      <c r="M1868" s="16">
        <f>_xlfn.XLOOKUP(CustomerCombinedCleaned[[#This Row],[ID]], Table4[ID], Table4[Meats], "Not Found", 0)</f>
        <v>962</v>
      </c>
      <c r="N1868" s="16">
        <f>_xlfn.XLOOKUP(CustomerCombinedCleaned[[#This Row],[ID]], Table4[ID], Table4[Seafood], "Not Found", 0)</f>
        <v>54</v>
      </c>
      <c r="O1868" s="16">
        <f>_xlfn.XLOOKUP(CustomerCombinedCleaned[[#This Row],[ID]], Table4[ID], Table4[Sweets], "Not Found", 0)</f>
        <v>79</v>
      </c>
      <c r="P1868" s="16">
        <f>_xlfn.XLOOKUP(CustomerCombinedCleaned[[#This Row],[ID]], Table4[ID], Table4[Premium], "Not Found", 0)</f>
        <v>40</v>
      </c>
      <c r="Q1868" s="16">
        <f>_xlfn.XLOOKUP(CustomerCombinedCleaned[[#This Row],[ID]], Table4[ID], Table4[Regular], "Not Found", 0)</f>
        <v>3980</v>
      </c>
      <c r="R1868" s="16">
        <f>_xlfn.XLOOKUP(CustomerCombinedCleaned[[#This Row],[ID]], Table4[ID], Table4[Deals], "Not Found", 0)</f>
        <v>1</v>
      </c>
      <c r="S1868" s="16">
        <f>_xlfn.XLOOKUP(CustomerCombinedCleaned[[#This Row],[ID]], Table4[ID], Table4[Website], "Not Found", 0)</f>
        <v>5</v>
      </c>
      <c r="T1868" s="16">
        <f>_xlfn.XLOOKUP(CustomerCombinedCleaned[[#This Row],[ID]], Table4[ID], Table4[Catalog], "Not Found", 0)</f>
        <v>6</v>
      </c>
      <c r="U1868" s="16">
        <f>_xlfn.XLOOKUP(CustomerCombinedCleaned[[#This Row],[ID]], Table4[ID], Table4[Store], "Not Found", 0)</f>
        <v>5</v>
      </c>
      <c r="V1868" s="16">
        <f>_xlfn.XLOOKUP(CustomerCombinedCleaned[[#This Row],[ID]], Table4[ID], Table4[Visits], "Not Found", 0)</f>
        <v>2</v>
      </c>
      <c r="W1868" s="16">
        <f>_xlfn.XLOOKUP(CustomerCombinedCleaned[[#This Row],[ID]], Table2[ID],Table2[Complaint], "Not Found", 0 )</f>
        <v>0</v>
      </c>
      <c r="X1868" s="16">
        <f>_xlfn.XLOOKUP(CustomerCombinedCleaned[[#This Row],[ID]], Table2[ID],Table2[Pilot], "Not Found", 0 )</f>
        <v>1</v>
      </c>
      <c r="Y1868" s="16">
        <f>_xlfn.XLOOKUP(CustomerCombinedCleaned[[#This Row],[ID]], Table2[ID],Table2[MC1], "Not Found", 0 )</f>
        <v>0</v>
      </c>
      <c r="Z1868" s="16">
        <f>_xlfn.XLOOKUP(CustomerCombinedCleaned[[#This Row],[ID]], Table2[ID],Table2[MC2], "Not Found", 0 )</f>
        <v>0</v>
      </c>
      <c r="AA1868" s="16">
        <f>_xlfn.XLOOKUP(CustomerCombinedCleaned[[#This Row],[ID]], Table2[ID],Table2[MC3], "Not Found", 0 )</f>
        <v>0</v>
      </c>
      <c r="AB1868" s="16">
        <f>_xlfn.XLOOKUP(CustomerCombinedCleaned[[#This Row],[ID]], Table2[ID],Table2[MC4], "Not Found", 0 )</f>
        <v>1</v>
      </c>
      <c r="AC1868" s="16">
        <f>_xlfn.XLOOKUP(CustomerCombinedCleaned[[#This Row],[ID]], Table2[ID],Table2[MC5], "Not Found", 0 )</f>
        <v>1</v>
      </c>
    </row>
    <row r="1869" spans="1:29" x14ac:dyDescent="0.3">
      <c r="A1869" s="18">
        <v>2293</v>
      </c>
      <c r="B1869" s="16">
        <v>174805</v>
      </c>
      <c r="C1869" s="16">
        <v>0</v>
      </c>
      <c r="D1869" s="16">
        <v>1</v>
      </c>
      <c r="E1869" s="16">
        <v>65</v>
      </c>
      <c r="F1869" s="17" t="s">
        <v>8</v>
      </c>
      <c r="G1869" s="17" t="s">
        <v>11</v>
      </c>
      <c r="H1869" s="3" t="s">
        <v>594</v>
      </c>
      <c r="I1869" s="5" t="s">
        <v>437</v>
      </c>
      <c r="J1869" s="16">
        <f>_xlfn.XLOOKUP(CustomerCombinedCleaned[[#This Row],[ID]], Table4[ID], Table4[Recency], "Not Found", 0)</f>
        <v>14</v>
      </c>
      <c r="K1869" s="16">
        <f>_xlfn.XLOOKUP(CustomerCombinedCleaned[[#This Row],[ID]], Table4[ID], Table4[Teas], "Not Found", 0)</f>
        <v>488</v>
      </c>
      <c r="L1869" s="16">
        <f>_xlfn.XLOOKUP(CustomerCombinedCleaned[[#This Row],[ID]], Table4[ID], Table4[Fruits], "Not Found", 0)</f>
        <v>379</v>
      </c>
      <c r="M1869" s="16">
        <f>_xlfn.XLOOKUP(CustomerCombinedCleaned[[#This Row],[ID]], Table4[ID], Table4[Meats], "Not Found", 0)</f>
        <v>488</v>
      </c>
      <c r="N1869" s="16">
        <f>_xlfn.XLOOKUP(CustomerCombinedCleaned[[#This Row],[ID]], Table4[ID], Table4[Seafood], "Not Found", 0)</f>
        <v>96</v>
      </c>
      <c r="O1869" s="16">
        <f>_xlfn.XLOOKUP(CustomerCombinedCleaned[[#This Row],[ID]], Table4[ID], Table4[Sweets], "Not Found", 0)</f>
        <v>379</v>
      </c>
      <c r="P1869" s="16">
        <f>_xlfn.XLOOKUP(CustomerCombinedCleaned[[#This Row],[ID]], Table4[ID], Table4[Premium], "Not Found", 0)</f>
        <v>86</v>
      </c>
      <c r="Q1869" s="16">
        <f>_xlfn.XLOOKUP(CustomerCombinedCleaned[[#This Row],[ID]], Table4[ID], Table4[Regular], "Not Found", 0)</f>
        <v>1743</v>
      </c>
      <c r="R1869" s="16">
        <f>_xlfn.XLOOKUP(CustomerCombinedCleaned[[#This Row],[ID]], Table4[ID], Table4[Deals], "Not Found", 0)</f>
        <v>5</v>
      </c>
      <c r="S1869" s="16">
        <f>_xlfn.XLOOKUP(CustomerCombinedCleaned[[#This Row],[ID]], Table4[ID], Table4[Website], "Not Found", 0)</f>
        <v>4</v>
      </c>
      <c r="T1869" s="16">
        <f>_xlfn.XLOOKUP(CustomerCombinedCleaned[[#This Row],[ID]], Table4[ID], Table4[Catalog], "Not Found", 0)</f>
        <v>7</v>
      </c>
      <c r="U1869" s="16">
        <f>_xlfn.XLOOKUP(CustomerCombinedCleaned[[#This Row],[ID]], Table4[ID], Table4[Store], "Not Found", 0)</f>
        <v>10</v>
      </c>
      <c r="V1869" s="16">
        <f>_xlfn.XLOOKUP(CustomerCombinedCleaned[[#This Row],[ID]], Table4[ID], Table4[Visits], "Not Found", 0)</f>
        <v>2</v>
      </c>
      <c r="W1869" s="16">
        <f>_xlfn.XLOOKUP(CustomerCombinedCleaned[[#This Row],[ID]], Table2[ID],Table2[Complaint], "Not Found", 0 )</f>
        <v>0</v>
      </c>
      <c r="X1869" s="16">
        <f>_xlfn.XLOOKUP(CustomerCombinedCleaned[[#This Row],[ID]], Table2[ID],Table2[Pilot], "Not Found", 0 )</f>
        <v>0</v>
      </c>
      <c r="Y1869" s="16">
        <f>_xlfn.XLOOKUP(CustomerCombinedCleaned[[#This Row],[ID]], Table2[ID],Table2[MC1], "Not Found", 0 )</f>
        <v>0</v>
      </c>
      <c r="Z1869" s="16">
        <f>_xlfn.XLOOKUP(CustomerCombinedCleaned[[#This Row],[ID]], Table2[ID],Table2[MC2], "Not Found", 0 )</f>
        <v>0</v>
      </c>
      <c r="AA1869" s="16">
        <f>_xlfn.XLOOKUP(CustomerCombinedCleaned[[#This Row],[ID]], Table2[ID],Table2[MC3], "Not Found", 0 )</f>
        <v>0</v>
      </c>
      <c r="AB1869" s="16">
        <f>_xlfn.XLOOKUP(CustomerCombinedCleaned[[#This Row],[ID]], Table2[ID],Table2[MC4], "Not Found", 0 )</f>
        <v>0</v>
      </c>
      <c r="AC1869" s="16">
        <f>_xlfn.XLOOKUP(CustomerCombinedCleaned[[#This Row],[ID]], Table2[ID],Table2[MC5], "Not Found", 0 )</f>
        <v>0</v>
      </c>
    </row>
    <row r="1870" spans="1:29" x14ac:dyDescent="0.3">
      <c r="A1870" s="18">
        <v>2567</v>
      </c>
      <c r="B1870" s="16">
        <v>174268</v>
      </c>
      <c r="C1870" s="16">
        <v>0</v>
      </c>
      <c r="D1870" s="16">
        <v>0</v>
      </c>
      <c r="E1870" s="16">
        <v>65</v>
      </c>
      <c r="F1870" s="17" t="s">
        <v>6</v>
      </c>
      <c r="G1870" s="17" t="s">
        <v>11</v>
      </c>
      <c r="H1870" s="3" t="s">
        <v>309</v>
      </c>
      <c r="I1870" s="5" t="s">
        <v>434</v>
      </c>
      <c r="J1870" s="16">
        <f>_xlfn.XLOOKUP(CustomerCombinedCleaned[[#This Row],[ID]], Table4[ID], Table4[Recency], "Not Found", 0)</f>
        <v>83</v>
      </c>
      <c r="K1870" s="16">
        <f>_xlfn.XLOOKUP(CustomerCombinedCleaned[[#This Row],[ID]], Table4[ID], Table4[Teas], "Not Found", 0)</f>
        <v>467</v>
      </c>
      <c r="L1870" s="16">
        <f>_xlfn.XLOOKUP(CustomerCombinedCleaned[[#This Row],[ID]], Table4[ID], Table4[Fruits], "Not Found", 0)</f>
        <v>155</v>
      </c>
      <c r="M1870" s="16">
        <f>_xlfn.XLOOKUP(CustomerCombinedCleaned[[#This Row],[ID]], Table4[ID], Table4[Meats], "Not Found", 0)</f>
        <v>739</v>
      </c>
      <c r="N1870" s="16">
        <f>_xlfn.XLOOKUP(CustomerCombinedCleaned[[#This Row],[ID]], Table4[ID], Table4[Seafood], "Not Found", 0)</f>
        <v>228</v>
      </c>
      <c r="O1870" s="16">
        <f>_xlfn.XLOOKUP(CustomerCombinedCleaned[[#This Row],[ID]], Table4[ID], Table4[Sweets], "Not Found", 0)</f>
        <v>408</v>
      </c>
      <c r="P1870" s="16">
        <f>_xlfn.XLOOKUP(CustomerCombinedCleaned[[#This Row],[ID]], Table4[ID], Table4[Premium], "Not Found", 0)</f>
        <v>96</v>
      </c>
      <c r="Q1870" s="16">
        <f>_xlfn.XLOOKUP(CustomerCombinedCleaned[[#This Row],[ID]], Table4[ID], Table4[Regular], "Not Found", 0)</f>
        <v>1901</v>
      </c>
      <c r="R1870" s="16">
        <f>_xlfn.XLOOKUP(CustomerCombinedCleaned[[#This Row],[ID]], Table4[ID], Table4[Deals], "Not Found", 0)</f>
        <v>1</v>
      </c>
      <c r="S1870" s="16">
        <f>_xlfn.XLOOKUP(CustomerCombinedCleaned[[#This Row],[ID]], Table4[ID], Table4[Website], "Not Found", 0)</f>
        <v>4</v>
      </c>
      <c r="T1870" s="16">
        <f>_xlfn.XLOOKUP(CustomerCombinedCleaned[[#This Row],[ID]], Table4[ID], Table4[Catalog], "Not Found", 0)</f>
        <v>3</v>
      </c>
      <c r="U1870" s="16">
        <f>_xlfn.XLOOKUP(CustomerCombinedCleaned[[#This Row],[ID]], Table4[ID], Table4[Store], "Not Found", 0)</f>
        <v>5</v>
      </c>
      <c r="V1870" s="16">
        <f>_xlfn.XLOOKUP(CustomerCombinedCleaned[[#This Row],[ID]], Table4[ID], Table4[Visits], "Not Found", 0)</f>
        <v>2</v>
      </c>
      <c r="W1870" s="16">
        <f>_xlfn.XLOOKUP(CustomerCombinedCleaned[[#This Row],[ID]], Table2[ID],Table2[Complaint], "Not Found", 0 )</f>
        <v>0</v>
      </c>
      <c r="X1870" s="16">
        <f>_xlfn.XLOOKUP(CustomerCombinedCleaned[[#This Row],[ID]], Table2[ID],Table2[Pilot], "Not Found", 0 )</f>
        <v>0</v>
      </c>
      <c r="Y1870" s="16">
        <f>_xlfn.XLOOKUP(CustomerCombinedCleaned[[#This Row],[ID]], Table2[ID],Table2[MC1], "Not Found", 0 )</f>
        <v>0</v>
      </c>
      <c r="Z1870" s="16">
        <f>_xlfn.XLOOKUP(CustomerCombinedCleaned[[#This Row],[ID]], Table2[ID],Table2[MC2], "Not Found", 0 )</f>
        <v>0</v>
      </c>
      <c r="AA1870" s="16">
        <f>_xlfn.XLOOKUP(CustomerCombinedCleaned[[#This Row],[ID]], Table2[ID],Table2[MC3], "Not Found", 0 )</f>
        <v>0</v>
      </c>
      <c r="AB1870" s="16">
        <f>_xlfn.XLOOKUP(CustomerCombinedCleaned[[#This Row],[ID]], Table2[ID],Table2[MC4], "Not Found", 0 )</f>
        <v>0</v>
      </c>
      <c r="AC1870" s="16">
        <f>_xlfn.XLOOKUP(CustomerCombinedCleaned[[#This Row],[ID]], Table2[ID],Table2[MC5], "Not Found", 0 )</f>
        <v>0</v>
      </c>
    </row>
    <row r="1871" spans="1:29" x14ac:dyDescent="0.3">
      <c r="A1871" s="18">
        <v>1586</v>
      </c>
      <c r="B1871" s="16">
        <v>172906</v>
      </c>
      <c r="C1871" s="16">
        <v>0</v>
      </c>
      <c r="D1871" s="16">
        <v>0</v>
      </c>
      <c r="E1871" s="16">
        <v>65</v>
      </c>
      <c r="F1871" s="17" t="s">
        <v>7</v>
      </c>
      <c r="G1871" s="17" t="s">
        <v>11</v>
      </c>
      <c r="H1871" s="3" t="s">
        <v>182</v>
      </c>
      <c r="I1871" s="5" t="s">
        <v>438</v>
      </c>
      <c r="J1871" s="16">
        <f>_xlfn.XLOOKUP(CustomerCombinedCleaned[[#This Row],[ID]], Table4[ID], Table4[Recency], "Not Found", 0)</f>
        <v>79</v>
      </c>
      <c r="K1871" s="16">
        <f>_xlfn.XLOOKUP(CustomerCombinedCleaned[[#This Row],[ID]], Table4[ID], Table4[Teas], "Not Found", 0)</f>
        <v>949</v>
      </c>
      <c r="L1871" s="16">
        <f>_xlfn.XLOOKUP(CustomerCombinedCleaned[[#This Row],[ID]], Table4[ID], Table4[Fruits], "Not Found", 0)</f>
        <v>76</v>
      </c>
      <c r="M1871" s="16">
        <f>_xlfn.XLOOKUP(CustomerCombinedCleaned[[#This Row],[ID]], Table4[ID], Table4[Meats], "Not Found", 0)</f>
        <v>1231</v>
      </c>
      <c r="N1871" s="16">
        <f>_xlfn.XLOOKUP(CustomerCombinedCleaned[[#This Row],[ID]], Table4[ID], Table4[Seafood], "Not Found", 0)</f>
        <v>168</v>
      </c>
      <c r="O1871" s="16">
        <f>_xlfn.XLOOKUP(CustomerCombinedCleaned[[#This Row],[ID]], Table4[ID], Table4[Sweets], "Not Found", 0)</f>
        <v>178</v>
      </c>
      <c r="P1871" s="16">
        <f>_xlfn.XLOOKUP(CustomerCombinedCleaned[[#This Row],[ID]], Table4[ID], Table4[Premium], "Not Found", 0)</f>
        <v>128</v>
      </c>
      <c r="Q1871" s="16">
        <f>_xlfn.XLOOKUP(CustomerCombinedCleaned[[#This Row],[ID]], Table4[ID], Table4[Regular], "Not Found", 0)</f>
        <v>2474</v>
      </c>
      <c r="R1871" s="16">
        <f>_xlfn.XLOOKUP(CustomerCombinedCleaned[[#This Row],[ID]], Table4[ID], Table4[Deals], "Not Found", 0)</f>
        <v>1</v>
      </c>
      <c r="S1871" s="16">
        <f>_xlfn.XLOOKUP(CustomerCombinedCleaned[[#This Row],[ID]], Table4[ID], Table4[Website], "Not Found", 0)</f>
        <v>3</v>
      </c>
      <c r="T1871" s="16">
        <f>_xlfn.XLOOKUP(CustomerCombinedCleaned[[#This Row],[ID]], Table4[ID], Table4[Catalog], "Not Found", 0)</f>
        <v>4</v>
      </c>
      <c r="U1871" s="16">
        <f>_xlfn.XLOOKUP(CustomerCombinedCleaned[[#This Row],[ID]], Table4[ID], Table4[Store], "Not Found", 0)</f>
        <v>9</v>
      </c>
      <c r="V1871" s="16">
        <f>_xlfn.XLOOKUP(CustomerCombinedCleaned[[#This Row],[ID]], Table4[ID], Table4[Visits], "Not Found", 0)</f>
        <v>1</v>
      </c>
      <c r="W1871" s="16">
        <f>_xlfn.XLOOKUP(CustomerCombinedCleaned[[#This Row],[ID]], Table2[ID],Table2[Complaint], "Not Found", 0 )</f>
        <v>0</v>
      </c>
      <c r="X1871" s="16">
        <f>_xlfn.XLOOKUP(CustomerCombinedCleaned[[#This Row],[ID]], Table2[ID],Table2[Pilot], "Not Found", 0 )</f>
        <v>0</v>
      </c>
      <c r="Y1871" s="16">
        <f>_xlfn.XLOOKUP(CustomerCombinedCleaned[[#This Row],[ID]], Table2[ID],Table2[MC1], "Not Found", 0 )</f>
        <v>0</v>
      </c>
      <c r="Z1871" s="16">
        <f>_xlfn.XLOOKUP(CustomerCombinedCleaned[[#This Row],[ID]], Table2[ID],Table2[MC2], "Not Found", 0 )</f>
        <v>0</v>
      </c>
      <c r="AA1871" s="16">
        <f>_xlfn.XLOOKUP(CustomerCombinedCleaned[[#This Row],[ID]], Table2[ID],Table2[MC3], "Not Found", 0 )</f>
        <v>0</v>
      </c>
      <c r="AB1871" s="16">
        <f>_xlfn.XLOOKUP(CustomerCombinedCleaned[[#This Row],[ID]], Table2[ID],Table2[MC4], "Not Found", 0 )</f>
        <v>0</v>
      </c>
      <c r="AC1871" s="16">
        <f>_xlfn.XLOOKUP(CustomerCombinedCleaned[[#This Row],[ID]], Table2[ID],Table2[MC5], "Not Found", 0 )</f>
        <v>0</v>
      </c>
    </row>
    <row r="1872" spans="1:29" x14ac:dyDescent="0.3">
      <c r="A1872" s="18">
        <v>1607</v>
      </c>
      <c r="B1872" s="16">
        <v>172635</v>
      </c>
      <c r="C1872" s="16">
        <v>0</v>
      </c>
      <c r="D1872" s="16">
        <v>0</v>
      </c>
      <c r="E1872" s="16">
        <v>65</v>
      </c>
      <c r="F1872" s="17" t="s">
        <v>6</v>
      </c>
      <c r="G1872" s="17" t="s">
        <v>11</v>
      </c>
      <c r="H1872" s="3" t="s">
        <v>560</v>
      </c>
      <c r="I1872" s="5" t="s">
        <v>434</v>
      </c>
      <c r="J1872" s="16">
        <f>_xlfn.XLOOKUP(CustomerCombinedCleaned[[#This Row],[ID]], Table4[ID], Table4[Recency], "Not Found", 0)</f>
        <v>54</v>
      </c>
      <c r="K1872" s="16">
        <f>_xlfn.XLOOKUP(CustomerCombinedCleaned[[#This Row],[ID]], Table4[ID], Table4[Teas], "Not Found", 0)</f>
        <v>927</v>
      </c>
      <c r="L1872" s="16">
        <f>_xlfn.XLOOKUP(CustomerCombinedCleaned[[#This Row],[ID]], Table4[ID], Table4[Fruits], "Not Found", 0)</f>
        <v>52</v>
      </c>
      <c r="M1872" s="16">
        <f>_xlfn.XLOOKUP(CustomerCombinedCleaned[[#This Row],[ID]], Table4[ID], Table4[Meats], "Not Found", 0)</f>
        <v>768</v>
      </c>
      <c r="N1872" s="16">
        <f>_xlfn.XLOOKUP(CustomerCombinedCleaned[[#This Row],[ID]], Table4[ID], Table4[Seafood], "Not Found", 0)</f>
        <v>247</v>
      </c>
      <c r="O1872" s="16">
        <f>_xlfn.XLOOKUP(CustomerCombinedCleaned[[#This Row],[ID]], Table4[ID], Table4[Sweets], "Not Found", 0)</f>
        <v>83</v>
      </c>
      <c r="P1872" s="16">
        <f>_xlfn.XLOOKUP(CustomerCombinedCleaned[[#This Row],[ID]], Table4[ID], Table4[Premium], "Not Found", 0)</f>
        <v>254</v>
      </c>
      <c r="Q1872" s="16">
        <f>_xlfn.XLOOKUP(CustomerCombinedCleaned[[#This Row],[ID]], Table4[ID], Table4[Regular], "Not Found", 0)</f>
        <v>1823</v>
      </c>
      <c r="R1872" s="16">
        <f>_xlfn.XLOOKUP(CustomerCombinedCleaned[[#This Row],[ID]], Table4[ID], Table4[Deals], "Not Found", 0)</f>
        <v>1</v>
      </c>
      <c r="S1872" s="16">
        <f>_xlfn.XLOOKUP(CustomerCombinedCleaned[[#This Row],[ID]], Table4[ID], Table4[Website], "Not Found", 0)</f>
        <v>6</v>
      </c>
      <c r="T1872" s="16">
        <f>_xlfn.XLOOKUP(CustomerCombinedCleaned[[#This Row],[ID]], Table4[ID], Table4[Catalog], "Not Found", 0)</f>
        <v>8</v>
      </c>
      <c r="U1872" s="16">
        <f>_xlfn.XLOOKUP(CustomerCombinedCleaned[[#This Row],[ID]], Table4[ID], Table4[Store], "Not Found", 0)</f>
        <v>6</v>
      </c>
      <c r="V1872" s="16">
        <f>_xlfn.XLOOKUP(CustomerCombinedCleaned[[#This Row],[ID]], Table4[ID], Table4[Visits], "Not Found", 0)</f>
        <v>3</v>
      </c>
      <c r="W1872" s="16">
        <f>_xlfn.XLOOKUP(CustomerCombinedCleaned[[#This Row],[ID]], Table2[ID],Table2[Complaint], "Not Found", 0 )</f>
        <v>0</v>
      </c>
      <c r="X1872" s="16">
        <f>_xlfn.XLOOKUP(CustomerCombinedCleaned[[#This Row],[ID]], Table2[ID],Table2[Pilot], "Not Found", 0 )</f>
        <v>0</v>
      </c>
      <c r="Y1872" s="16">
        <f>_xlfn.XLOOKUP(CustomerCombinedCleaned[[#This Row],[ID]], Table2[ID],Table2[MC1], "Not Found", 0 )</f>
        <v>1</v>
      </c>
      <c r="Z1872" s="16">
        <f>_xlfn.XLOOKUP(CustomerCombinedCleaned[[#This Row],[ID]], Table2[ID],Table2[MC2], "Not Found", 0 )</f>
        <v>0</v>
      </c>
      <c r="AA1872" s="16">
        <f>_xlfn.XLOOKUP(CustomerCombinedCleaned[[#This Row],[ID]], Table2[ID],Table2[MC3], "Not Found", 0 )</f>
        <v>0</v>
      </c>
      <c r="AB1872" s="16">
        <f>_xlfn.XLOOKUP(CustomerCombinedCleaned[[#This Row],[ID]], Table2[ID],Table2[MC4], "Not Found", 0 )</f>
        <v>0</v>
      </c>
      <c r="AC1872" s="16">
        <f>_xlfn.XLOOKUP(CustomerCombinedCleaned[[#This Row],[ID]], Table2[ID],Table2[MC5], "Not Found", 0 )</f>
        <v>0</v>
      </c>
    </row>
    <row r="1873" spans="1:29" x14ac:dyDescent="0.3">
      <c r="A1873" s="18">
        <v>2648</v>
      </c>
      <c r="B1873" s="16">
        <v>172635</v>
      </c>
      <c r="C1873" s="16">
        <v>0</v>
      </c>
      <c r="D1873" s="16">
        <v>0</v>
      </c>
      <c r="E1873" s="16">
        <v>65</v>
      </c>
      <c r="F1873" s="17" t="s">
        <v>6</v>
      </c>
      <c r="G1873" s="17" t="s">
        <v>11</v>
      </c>
      <c r="H1873" s="3" t="s">
        <v>560</v>
      </c>
      <c r="I1873" s="5" t="s">
        <v>438</v>
      </c>
      <c r="J1873" s="16">
        <f>_xlfn.XLOOKUP(CustomerCombinedCleaned[[#This Row],[ID]], Table4[ID], Table4[Recency], "Not Found", 0)</f>
        <v>54</v>
      </c>
      <c r="K1873" s="16">
        <f>_xlfn.XLOOKUP(CustomerCombinedCleaned[[#This Row],[ID]], Table4[ID], Table4[Teas], "Not Found", 0)</f>
        <v>927</v>
      </c>
      <c r="L1873" s="16">
        <f>_xlfn.XLOOKUP(CustomerCombinedCleaned[[#This Row],[ID]], Table4[ID], Table4[Fruits], "Not Found", 0)</f>
        <v>52</v>
      </c>
      <c r="M1873" s="16">
        <f>_xlfn.XLOOKUP(CustomerCombinedCleaned[[#This Row],[ID]], Table4[ID], Table4[Meats], "Not Found", 0)</f>
        <v>768</v>
      </c>
      <c r="N1873" s="16">
        <f>_xlfn.XLOOKUP(CustomerCombinedCleaned[[#This Row],[ID]], Table4[ID], Table4[Seafood], "Not Found", 0)</f>
        <v>247</v>
      </c>
      <c r="O1873" s="16">
        <f>_xlfn.XLOOKUP(CustomerCombinedCleaned[[#This Row],[ID]], Table4[ID], Table4[Sweets], "Not Found", 0)</f>
        <v>83</v>
      </c>
      <c r="P1873" s="16">
        <f>_xlfn.XLOOKUP(CustomerCombinedCleaned[[#This Row],[ID]], Table4[ID], Table4[Premium], "Not Found", 0)</f>
        <v>254</v>
      </c>
      <c r="Q1873" s="16">
        <f>_xlfn.XLOOKUP(CustomerCombinedCleaned[[#This Row],[ID]], Table4[ID], Table4[Regular], "Not Found", 0)</f>
        <v>1823</v>
      </c>
      <c r="R1873" s="16">
        <f>_xlfn.XLOOKUP(CustomerCombinedCleaned[[#This Row],[ID]], Table4[ID], Table4[Deals], "Not Found", 0)</f>
        <v>1</v>
      </c>
      <c r="S1873" s="16">
        <f>_xlfn.XLOOKUP(CustomerCombinedCleaned[[#This Row],[ID]], Table4[ID], Table4[Website], "Not Found", 0)</f>
        <v>6</v>
      </c>
      <c r="T1873" s="16">
        <f>_xlfn.XLOOKUP(CustomerCombinedCleaned[[#This Row],[ID]], Table4[ID], Table4[Catalog], "Not Found", 0)</f>
        <v>8</v>
      </c>
      <c r="U1873" s="16">
        <f>_xlfn.XLOOKUP(CustomerCombinedCleaned[[#This Row],[ID]], Table4[ID], Table4[Store], "Not Found", 0)</f>
        <v>6</v>
      </c>
      <c r="V1873" s="16">
        <f>_xlfn.XLOOKUP(CustomerCombinedCleaned[[#This Row],[ID]], Table4[ID], Table4[Visits], "Not Found", 0)</f>
        <v>3</v>
      </c>
      <c r="W1873" s="16">
        <f>_xlfn.XLOOKUP(CustomerCombinedCleaned[[#This Row],[ID]], Table2[ID],Table2[Complaint], "Not Found", 0 )</f>
        <v>0</v>
      </c>
      <c r="X1873" s="16">
        <f>_xlfn.XLOOKUP(CustomerCombinedCleaned[[#This Row],[ID]], Table2[ID],Table2[Pilot], "Not Found", 0 )</f>
        <v>0</v>
      </c>
      <c r="Y1873" s="16">
        <f>_xlfn.XLOOKUP(CustomerCombinedCleaned[[#This Row],[ID]], Table2[ID],Table2[MC1], "Not Found", 0 )</f>
        <v>1</v>
      </c>
      <c r="Z1873" s="16">
        <f>_xlfn.XLOOKUP(CustomerCombinedCleaned[[#This Row],[ID]], Table2[ID],Table2[MC2], "Not Found", 0 )</f>
        <v>0</v>
      </c>
      <c r="AA1873" s="16">
        <f>_xlfn.XLOOKUP(CustomerCombinedCleaned[[#This Row],[ID]], Table2[ID],Table2[MC3], "Not Found", 0 )</f>
        <v>0</v>
      </c>
      <c r="AB1873" s="16">
        <f>_xlfn.XLOOKUP(CustomerCombinedCleaned[[#This Row],[ID]], Table2[ID],Table2[MC4], "Not Found", 0 )</f>
        <v>0</v>
      </c>
      <c r="AC1873" s="16">
        <f>_xlfn.XLOOKUP(CustomerCombinedCleaned[[#This Row],[ID]], Table2[ID],Table2[MC5], "Not Found", 0 )</f>
        <v>0</v>
      </c>
    </row>
    <row r="1874" spans="1:29" x14ac:dyDescent="0.3">
      <c r="A1874" s="18">
        <v>2578</v>
      </c>
      <c r="B1874" s="16">
        <v>170638</v>
      </c>
      <c r="C1874" s="16">
        <v>0</v>
      </c>
      <c r="D1874" s="16">
        <v>0</v>
      </c>
      <c r="E1874" s="16">
        <v>65</v>
      </c>
      <c r="F1874" s="17" t="s">
        <v>5</v>
      </c>
      <c r="G1874" s="17" t="s">
        <v>12</v>
      </c>
      <c r="H1874" s="3" t="s">
        <v>662</v>
      </c>
      <c r="I1874" s="5" t="s">
        <v>439</v>
      </c>
      <c r="J1874" s="16">
        <f>_xlfn.XLOOKUP(CustomerCombinedCleaned[[#This Row],[ID]], Table4[ID], Table4[Recency], "Not Found", 0)</f>
        <v>69</v>
      </c>
      <c r="K1874" s="16">
        <f>_xlfn.XLOOKUP(CustomerCombinedCleaned[[#This Row],[ID]], Table4[ID], Table4[Teas], "Not Found", 0)</f>
        <v>2454</v>
      </c>
      <c r="L1874" s="16">
        <f>_xlfn.XLOOKUP(CustomerCombinedCleaned[[#This Row],[ID]], Table4[ID], Table4[Fruits], "Not Found", 0)</f>
        <v>29</v>
      </c>
      <c r="M1874" s="16">
        <f>_xlfn.XLOOKUP(CustomerCombinedCleaned[[#This Row],[ID]], Table4[ID], Table4[Meats], "Not Found", 0)</f>
        <v>519</v>
      </c>
      <c r="N1874" s="16">
        <f>_xlfn.XLOOKUP(CustomerCombinedCleaned[[#This Row],[ID]], Table4[ID], Table4[Seafood], "Not Found", 0)</f>
        <v>39</v>
      </c>
      <c r="O1874" s="16">
        <f>_xlfn.XLOOKUP(CustomerCombinedCleaned[[#This Row],[ID]], Table4[ID], Table4[Sweets], "Not Found", 0)</f>
        <v>29</v>
      </c>
      <c r="P1874" s="16">
        <f>_xlfn.XLOOKUP(CustomerCombinedCleaned[[#This Row],[ID]], Table4[ID], Table4[Premium], "Not Found", 0)</f>
        <v>152</v>
      </c>
      <c r="Q1874" s="16">
        <f>_xlfn.XLOOKUP(CustomerCombinedCleaned[[#This Row],[ID]], Table4[ID], Table4[Regular], "Not Found", 0)</f>
        <v>2918</v>
      </c>
      <c r="R1874" s="16">
        <f>_xlfn.XLOOKUP(CustomerCombinedCleaned[[#This Row],[ID]], Table4[ID], Table4[Deals], "Not Found", 0)</f>
        <v>1</v>
      </c>
      <c r="S1874" s="16">
        <f>_xlfn.XLOOKUP(CustomerCombinedCleaned[[#This Row],[ID]], Table4[ID], Table4[Website], "Not Found", 0)</f>
        <v>4</v>
      </c>
      <c r="T1874" s="16">
        <f>_xlfn.XLOOKUP(CustomerCombinedCleaned[[#This Row],[ID]], Table4[ID], Table4[Catalog], "Not Found", 0)</f>
        <v>5</v>
      </c>
      <c r="U1874" s="16">
        <f>_xlfn.XLOOKUP(CustomerCombinedCleaned[[#This Row],[ID]], Table4[ID], Table4[Store], "Not Found", 0)</f>
        <v>10</v>
      </c>
      <c r="V1874" s="16">
        <f>_xlfn.XLOOKUP(CustomerCombinedCleaned[[#This Row],[ID]], Table4[ID], Table4[Visits], "Not Found", 0)</f>
        <v>3</v>
      </c>
      <c r="W1874" s="16">
        <f>_xlfn.XLOOKUP(CustomerCombinedCleaned[[#This Row],[ID]], Table2[ID],Table2[Complaint], "Not Found", 0 )</f>
        <v>0</v>
      </c>
      <c r="X1874" s="16">
        <f>_xlfn.XLOOKUP(CustomerCombinedCleaned[[#This Row],[ID]], Table2[ID],Table2[Pilot], "Not Found", 0 )</f>
        <v>0</v>
      </c>
      <c r="Y1874" s="16">
        <f>_xlfn.XLOOKUP(CustomerCombinedCleaned[[#This Row],[ID]], Table2[ID],Table2[MC1], "Not Found", 0 )</f>
        <v>0</v>
      </c>
      <c r="Z1874" s="16">
        <f>_xlfn.XLOOKUP(CustomerCombinedCleaned[[#This Row],[ID]], Table2[ID],Table2[MC2], "Not Found", 0 )</f>
        <v>0</v>
      </c>
      <c r="AA1874" s="16">
        <f>_xlfn.XLOOKUP(CustomerCombinedCleaned[[#This Row],[ID]], Table2[ID],Table2[MC3], "Not Found", 0 )</f>
        <v>0</v>
      </c>
      <c r="AB1874" s="16">
        <f>_xlfn.XLOOKUP(CustomerCombinedCleaned[[#This Row],[ID]], Table2[ID],Table2[MC4], "Not Found", 0 )</f>
        <v>1</v>
      </c>
      <c r="AC1874" s="16">
        <f>_xlfn.XLOOKUP(CustomerCombinedCleaned[[#This Row],[ID]], Table2[ID],Table2[MC5], "Not Found", 0 )</f>
        <v>0</v>
      </c>
    </row>
    <row r="1875" spans="1:29" x14ac:dyDescent="0.3">
      <c r="A1875" s="18">
        <v>3006</v>
      </c>
      <c r="B1875" s="16">
        <v>167225</v>
      </c>
      <c r="C1875" s="16">
        <v>0</v>
      </c>
      <c r="D1875" s="16">
        <v>1</v>
      </c>
      <c r="E1875" s="16">
        <v>65</v>
      </c>
      <c r="F1875" s="17" t="s">
        <v>6</v>
      </c>
      <c r="G1875" s="17" t="s">
        <v>11</v>
      </c>
      <c r="H1875" s="3" t="s">
        <v>623</v>
      </c>
      <c r="I1875" s="5" t="s">
        <v>436</v>
      </c>
      <c r="J1875" s="16">
        <f>_xlfn.XLOOKUP(CustomerCombinedCleaned[[#This Row],[ID]], Table4[ID], Table4[Recency], "Not Found", 0)</f>
        <v>4</v>
      </c>
      <c r="K1875" s="16">
        <f>_xlfn.XLOOKUP(CustomerCombinedCleaned[[#This Row],[ID]], Table4[ID], Table4[Teas], "Not Found", 0)</f>
        <v>784</v>
      </c>
      <c r="L1875" s="16">
        <f>_xlfn.XLOOKUP(CustomerCombinedCleaned[[#This Row],[ID]], Table4[ID], Table4[Fruits], "Not Found", 0)</f>
        <v>87</v>
      </c>
      <c r="M1875" s="16">
        <f>_xlfn.XLOOKUP(CustomerCombinedCleaned[[#This Row],[ID]], Table4[ID], Table4[Meats], "Not Found", 0)</f>
        <v>801</v>
      </c>
      <c r="N1875" s="16">
        <f>_xlfn.XLOOKUP(CustomerCombinedCleaned[[#This Row],[ID]], Table4[ID], Table4[Seafood], "Not Found", 0)</f>
        <v>114</v>
      </c>
      <c r="O1875" s="16">
        <f>_xlfn.XLOOKUP(CustomerCombinedCleaned[[#This Row],[ID]], Table4[ID], Table4[Sweets], "Not Found", 0)</f>
        <v>17</v>
      </c>
      <c r="P1875" s="16">
        <f>_xlfn.XLOOKUP(CustomerCombinedCleaned[[#This Row],[ID]], Table4[ID], Table4[Premium], "Not Found", 0)</f>
        <v>356</v>
      </c>
      <c r="Q1875" s="16">
        <f>_xlfn.XLOOKUP(CustomerCombinedCleaned[[#This Row],[ID]], Table4[ID], Table4[Regular], "Not Found", 0)</f>
        <v>1448</v>
      </c>
      <c r="R1875" s="16">
        <f>_xlfn.XLOOKUP(CustomerCombinedCleaned[[#This Row],[ID]], Table4[ID], Table4[Deals], "Not Found", 0)</f>
        <v>3</v>
      </c>
      <c r="S1875" s="16">
        <f>_xlfn.XLOOKUP(CustomerCombinedCleaned[[#This Row],[ID]], Table4[ID], Table4[Website], "Not Found", 0)</f>
        <v>7</v>
      </c>
      <c r="T1875" s="16">
        <f>_xlfn.XLOOKUP(CustomerCombinedCleaned[[#This Row],[ID]], Table4[ID], Table4[Catalog], "Not Found", 0)</f>
        <v>2</v>
      </c>
      <c r="U1875" s="16">
        <f>_xlfn.XLOOKUP(CustomerCombinedCleaned[[#This Row],[ID]], Table4[ID], Table4[Store], "Not Found", 0)</f>
        <v>11</v>
      </c>
      <c r="V1875" s="16">
        <f>_xlfn.XLOOKUP(CustomerCombinedCleaned[[#This Row],[ID]], Table4[ID], Table4[Visits], "Not Found", 0)</f>
        <v>5</v>
      </c>
      <c r="W1875" s="16">
        <f>_xlfn.XLOOKUP(CustomerCombinedCleaned[[#This Row],[ID]], Table2[ID],Table2[Complaint], "Not Found", 0 )</f>
        <v>0</v>
      </c>
      <c r="X1875" s="16">
        <f>_xlfn.XLOOKUP(CustomerCombinedCleaned[[#This Row],[ID]], Table2[ID],Table2[Pilot], "Not Found", 0 )</f>
        <v>0</v>
      </c>
      <c r="Y1875" s="16">
        <f>_xlfn.XLOOKUP(CustomerCombinedCleaned[[#This Row],[ID]], Table2[ID],Table2[MC1], "Not Found", 0 )</f>
        <v>0</v>
      </c>
      <c r="Z1875" s="16">
        <f>_xlfn.XLOOKUP(CustomerCombinedCleaned[[#This Row],[ID]], Table2[ID],Table2[MC2], "Not Found", 0 )</f>
        <v>0</v>
      </c>
      <c r="AA1875" s="16">
        <f>_xlfn.XLOOKUP(CustomerCombinedCleaned[[#This Row],[ID]], Table2[ID],Table2[MC3], "Not Found", 0 )</f>
        <v>0</v>
      </c>
      <c r="AB1875" s="16">
        <f>_xlfn.XLOOKUP(CustomerCombinedCleaned[[#This Row],[ID]], Table2[ID],Table2[MC4], "Not Found", 0 )</f>
        <v>0</v>
      </c>
      <c r="AC1875" s="16">
        <f>_xlfn.XLOOKUP(CustomerCombinedCleaned[[#This Row],[ID]], Table2[ID],Table2[MC5], "Not Found", 0 )</f>
        <v>0</v>
      </c>
    </row>
    <row r="1876" spans="1:29" x14ac:dyDescent="0.3">
      <c r="A1876" s="18">
        <v>1396</v>
      </c>
      <c r="B1876" s="16">
        <v>166465</v>
      </c>
      <c r="C1876" s="16">
        <v>0</v>
      </c>
      <c r="D1876" s="16">
        <v>1</v>
      </c>
      <c r="E1876" s="16">
        <v>65</v>
      </c>
      <c r="F1876" s="17" t="s">
        <v>6</v>
      </c>
      <c r="G1876" s="17" t="s">
        <v>13</v>
      </c>
      <c r="H1876" s="3" t="s">
        <v>586</v>
      </c>
      <c r="I1876" s="5" t="s">
        <v>439</v>
      </c>
      <c r="J1876" s="16">
        <f>_xlfn.XLOOKUP(CustomerCombinedCleaned[[#This Row],[ID]], Table4[ID], Table4[Recency], "Not Found", 0)</f>
        <v>1</v>
      </c>
      <c r="K1876" s="16">
        <f>_xlfn.XLOOKUP(CustomerCombinedCleaned[[#This Row],[ID]], Table4[ID], Table4[Teas], "Not Found", 0)</f>
        <v>3005</v>
      </c>
      <c r="L1876" s="16">
        <f>_xlfn.XLOOKUP(CustomerCombinedCleaned[[#This Row],[ID]], Table4[ID], Table4[Fruits], "Not Found", 0)</f>
        <v>0</v>
      </c>
      <c r="M1876" s="16">
        <f>_xlfn.XLOOKUP(CustomerCombinedCleaned[[#This Row],[ID]], Table4[ID], Table4[Meats], "Not Found", 0)</f>
        <v>511</v>
      </c>
      <c r="N1876" s="16">
        <f>_xlfn.XLOOKUP(CustomerCombinedCleaned[[#This Row],[ID]], Table4[ID], Table4[Seafood], "Not Found", 0)</f>
        <v>95</v>
      </c>
      <c r="O1876" s="16">
        <f>_xlfn.XLOOKUP(CustomerCombinedCleaned[[#This Row],[ID]], Table4[ID], Table4[Sweets], "Not Found", 0)</f>
        <v>73</v>
      </c>
      <c r="P1876" s="16">
        <f>_xlfn.XLOOKUP(CustomerCombinedCleaned[[#This Row],[ID]], Table4[ID], Table4[Premium], "Not Found", 0)</f>
        <v>35</v>
      </c>
      <c r="Q1876" s="16">
        <f>_xlfn.XLOOKUP(CustomerCombinedCleaned[[#This Row],[ID]], Table4[ID], Table4[Regular], "Not Found", 0)</f>
        <v>3649</v>
      </c>
      <c r="R1876" s="16">
        <f>_xlfn.XLOOKUP(CustomerCombinedCleaned[[#This Row],[ID]], Table4[ID], Table4[Deals], "Not Found", 0)</f>
        <v>3</v>
      </c>
      <c r="S1876" s="16">
        <f>_xlfn.XLOOKUP(CustomerCombinedCleaned[[#This Row],[ID]], Table4[ID], Table4[Website], "Not Found", 0)</f>
        <v>11</v>
      </c>
      <c r="T1876" s="16">
        <f>_xlfn.XLOOKUP(CustomerCombinedCleaned[[#This Row],[ID]], Table4[ID], Table4[Catalog], "Not Found", 0)</f>
        <v>9</v>
      </c>
      <c r="U1876" s="16">
        <f>_xlfn.XLOOKUP(CustomerCombinedCleaned[[#This Row],[ID]], Table4[ID], Table4[Store], "Not Found", 0)</f>
        <v>12</v>
      </c>
      <c r="V1876" s="16">
        <f>_xlfn.XLOOKUP(CustomerCombinedCleaned[[#This Row],[ID]], Table4[ID], Table4[Visits], "Not Found", 0)</f>
        <v>6</v>
      </c>
      <c r="W1876" s="16">
        <f>_xlfn.XLOOKUP(CustomerCombinedCleaned[[#This Row],[ID]], Table2[ID],Table2[Complaint], "Not Found", 0 )</f>
        <v>0</v>
      </c>
      <c r="X1876" s="16">
        <f>_xlfn.XLOOKUP(CustomerCombinedCleaned[[#This Row],[ID]], Table2[ID],Table2[Pilot], "Not Found", 0 )</f>
        <v>0</v>
      </c>
      <c r="Y1876" s="16">
        <f>_xlfn.XLOOKUP(CustomerCombinedCleaned[[#This Row],[ID]], Table2[ID],Table2[MC1], "Not Found", 0 )</f>
        <v>1</v>
      </c>
      <c r="Z1876" s="16">
        <f>_xlfn.XLOOKUP(CustomerCombinedCleaned[[#This Row],[ID]], Table2[ID],Table2[MC2], "Not Found", 0 )</f>
        <v>0</v>
      </c>
      <c r="AA1876" s="16">
        <f>_xlfn.XLOOKUP(CustomerCombinedCleaned[[#This Row],[ID]], Table2[ID],Table2[MC3], "Not Found", 0 )</f>
        <v>0</v>
      </c>
      <c r="AB1876" s="16">
        <f>_xlfn.XLOOKUP(CustomerCombinedCleaned[[#This Row],[ID]], Table2[ID],Table2[MC4], "Not Found", 0 )</f>
        <v>0</v>
      </c>
      <c r="AC1876" s="16">
        <f>_xlfn.XLOOKUP(CustomerCombinedCleaned[[#This Row],[ID]], Table2[ID],Table2[MC5], "Not Found", 0 )</f>
        <v>0</v>
      </c>
    </row>
    <row r="1877" spans="1:29" x14ac:dyDescent="0.3">
      <c r="A1877" s="18">
        <v>2192</v>
      </c>
      <c r="B1877" s="16">
        <v>165748</v>
      </c>
      <c r="C1877" s="16">
        <v>0</v>
      </c>
      <c r="D1877" s="16">
        <v>1</v>
      </c>
      <c r="E1877" s="16">
        <v>65</v>
      </c>
      <c r="F1877" s="17" t="s">
        <v>8</v>
      </c>
      <c r="G1877" s="17" t="s">
        <v>11</v>
      </c>
      <c r="H1877" s="3" t="s">
        <v>274</v>
      </c>
      <c r="I1877" s="5" t="s">
        <v>438</v>
      </c>
      <c r="J1877" s="16">
        <f>_xlfn.XLOOKUP(CustomerCombinedCleaned[[#This Row],[ID]], Table4[ID], Table4[Recency], "Not Found", 0)</f>
        <v>58</v>
      </c>
      <c r="K1877" s="16">
        <f>_xlfn.XLOOKUP(CustomerCombinedCleaned[[#This Row],[ID]], Table4[ID], Table4[Teas], "Not Found", 0)</f>
        <v>434</v>
      </c>
      <c r="L1877" s="16">
        <f>_xlfn.XLOOKUP(CustomerCombinedCleaned[[#This Row],[ID]], Table4[ID], Table4[Fruits], "Not Found", 0)</f>
        <v>184</v>
      </c>
      <c r="M1877" s="16">
        <f>_xlfn.XLOOKUP(CustomerCombinedCleaned[[#This Row],[ID]], Table4[ID], Table4[Meats], "Not Found", 0)</f>
        <v>234</v>
      </c>
      <c r="N1877" s="16">
        <f>_xlfn.XLOOKUP(CustomerCombinedCleaned[[#This Row],[ID]], Table4[ID], Table4[Seafood], "Not Found", 0)</f>
        <v>239</v>
      </c>
      <c r="O1877" s="16">
        <f>_xlfn.XLOOKUP(CustomerCombinedCleaned[[#This Row],[ID]], Table4[ID], Table4[Sweets], "Not Found", 0)</f>
        <v>197</v>
      </c>
      <c r="P1877" s="16">
        <f>_xlfn.XLOOKUP(CustomerCombinedCleaned[[#This Row],[ID]], Table4[ID], Table4[Premium], "Not Found", 0)</f>
        <v>86</v>
      </c>
      <c r="Q1877" s="16">
        <f>_xlfn.XLOOKUP(CustomerCombinedCleaned[[#This Row],[ID]], Table4[ID], Table4[Regular], "Not Found", 0)</f>
        <v>1202</v>
      </c>
      <c r="R1877" s="16">
        <f>_xlfn.XLOOKUP(CustomerCombinedCleaned[[#This Row],[ID]], Table4[ID], Table4[Deals], "Not Found", 0)</f>
        <v>2</v>
      </c>
      <c r="S1877" s="16">
        <f>_xlfn.XLOOKUP(CustomerCombinedCleaned[[#This Row],[ID]], Table4[ID], Table4[Website], "Not Found", 0)</f>
        <v>2</v>
      </c>
      <c r="T1877" s="16">
        <f>_xlfn.XLOOKUP(CustomerCombinedCleaned[[#This Row],[ID]], Table4[ID], Table4[Catalog], "Not Found", 0)</f>
        <v>4</v>
      </c>
      <c r="U1877" s="16">
        <f>_xlfn.XLOOKUP(CustomerCombinedCleaned[[#This Row],[ID]], Table4[ID], Table4[Store], "Not Found", 0)</f>
        <v>10</v>
      </c>
      <c r="V1877" s="16">
        <f>_xlfn.XLOOKUP(CustomerCombinedCleaned[[#This Row],[ID]], Table4[ID], Table4[Visits], "Not Found", 0)</f>
        <v>1</v>
      </c>
      <c r="W1877" s="16">
        <f>_xlfn.XLOOKUP(CustomerCombinedCleaned[[#This Row],[ID]], Table2[ID],Table2[Complaint], "Not Found", 0 )</f>
        <v>1</v>
      </c>
      <c r="X1877" s="16">
        <f>_xlfn.XLOOKUP(CustomerCombinedCleaned[[#This Row],[ID]], Table2[ID],Table2[Pilot], "Not Found", 0 )</f>
        <v>0</v>
      </c>
      <c r="Y1877" s="16">
        <f>_xlfn.XLOOKUP(CustomerCombinedCleaned[[#This Row],[ID]], Table2[ID],Table2[MC1], "Not Found", 0 )</f>
        <v>0</v>
      </c>
      <c r="Z1877" s="16">
        <f>_xlfn.XLOOKUP(CustomerCombinedCleaned[[#This Row],[ID]], Table2[ID],Table2[MC2], "Not Found", 0 )</f>
        <v>0</v>
      </c>
      <c r="AA1877" s="16">
        <f>_xlfn.XLOOKUP(CustomerCombinedCleaned[[#This Row],[ID]], Table2[ID],Table2[MC3], "Not Found", 0 )</f>
        <v>0</v>
      </c>
      <c r="AB1877" s="16">
        <f>_xlfn.XLOOKUP(CustomerCombinedCleaned[[#This Row],[ID]], Table2[ID],Table2[MC4], "Not Found", 0 )</f>
        <v>0</v>
      </c>
      <c r="AC1877" s="16">
        <f>_xlfn.XLOOKUP(CustomerCombinedCleaned[[#This Row],[ID]], Table2[ID],Table2[MC5], "Not Found", 0 )</f>
        <v>0</v>
      </c>
    </row>
    <row r="1878" spans="1:29" x14ac:dyDescent="0.3">
      <c r="A1878" s="18">
        <v>3142</v>
      </c>
      <c r="B1878" s="16">
        <v>165210</v>
      </c>
      <c r="C1878" s="16">
        <v>0</v>
      </c>
      <c r="D1878" s="16">
        <v>1</v>
      </c>
      <c r="E1878" s="16">
        <v>65</v>
      </c>
      <c r="F1878" s="17" t="s">
        <v>6</v>
      </c>
      <c r="G1878" s="17" t="s">
        <v>11</v>
      </c>
      <c r="H1878" s="3" t="s">
        <v>89</v>
      </c>
      <c r="I1878" s="5" t="s">
        <v>439</v>
      </c>
      <c r="J1878" s="16">
        <f>_xlfn.XLOOKUP(CustomerCombinedCleaned[[#This Row],[ID]], Table4[ID], Table4[Recency], "Not Found", 0)</f>
        <v>25</v>
      </c>
      <c r="K1878" s="16">
        <f>_xlfn.XLOOKUP(CustomerCombinedCleaned[[#This Row],[ID]], Table4[ID], Table4[Teas], "Not Found", 0)</f>
        <v>1586</v>
      </c>
      <c r="L1878" s="16">
        <f>_xlfn.XLOOKUP(CustomerCombinedCleaned[[#This Row],[ID]], Table4[ID], Table4[Fruits], "Not Found", 0)</f>
        <v>0</v>
      </c>
      <c r="M1878" s="16">
        <f>_xlfn.XLOOKUP(CustomerCombinedCleaned[[#This Row],[ID]], Table4[ID], Table4[Meats], "Not Found", 0)</f>
        <v>177</v>
      </c>
      <c r="N1878" s="16">
        <f>_xlfn.XLOOKUP(CustomerCombinedCleaned[[#This Row],[ID]], Table4[ID], Table4[Seafood], "Not Found", 0)</f>
        <v>0</v>
      </c>
      <c r="O1878" s="16">
        <f>_xlfn.XLOOKUP(CustomerCombinedCleaned[[#This Row],[ID]], Table4[ID], Table4[Sweets], "Not Found", 0)</f>
        <v>18</v>
      </c>
      <c r="P1878" s="16">
        <f>_xlfn.XLOOKUP(CustomerCombinedCleaned[[#This Row],[ID]], Table4[ID], Table4[Premium], "Not Found", 0)</f>
        <v>71</v>
      </c>
      <c r="Q1878" s="16">
        <f>_xlfn.XLOOKUP(CustomerCombinedCleaned[[#This Row],[ID]], Table4[ID], Table4[Regular], "Not Found", 0)</f>
        <v>1710</v>
      </c>
      <c r="R1878" s="16">
        <f>_xlfn.XLOOKUP(CustomerCombinedCleaned[[#This Row],[ID]], Table4[ID], Table4[Deals], "Not Found", 0)</f>
        <v>2</v>
      </c>
      <c r="S1878" s="16">
        <f>_xlfn.XLOOKUP(CustomerCombinedCleaned[[#This Row],[ID]], Table4[ID], Table4[Website], "Not Found", 0)</f>
        <v>9</v>
      </c>
      <c r="T1878" s="16">
        <f>_xlfn.XLOOKUP(CustomerCombinedCleaned[[#This Row],[ID]], Table4[ID], Table4[Catalog], "Not Found", 0)</f>
        <v>3</v>
      </c>
      <c r="U1878" s="16">
        <f>_xlfn.XLOOKUP(CustomerCombinedCleaned[[#This Row],[ID]], Table4[ID], Table4[Store], "Not Found", 0)</f>
        <v>8</v>
      </c>
      <c r="V1878" s="16">
        <f>_xlfn.XLOOKUP(CustomerCombinedCleaned[[#This Row],[ID]], Table4[ID], Table4[Visits], "Not Found", 0)</f>
        <v>6</v>
      </c>
      <c r="W1878" s="16">
        <f>_xlfn.XLOOKUP(CustomerCombinedCleaned[[#This Row],[ID]], Table2[ID],Table2[Complaint], "Not Found", 0 )</f>
        <v>0</v>
      </c>
      <c r="X1878" s="16">
        <f>_xlfn.XLOOKUP(CustomerCombinedCleaned[[#This Row],[ID]], Table2[ID],Table2[Pilot], "Not Found", 0 )</f>
        <v>0</v>
      </c>
      <c r="Y1878" s="16">
        <f>_xlfn.XLOOKUP(CustomerCombinedCleaned[[#This Row],[ID]], Table2[ID],Table2[MC1], "Not Found", 0 )</f>
        <v>1</v>
      </c>
      <c r="Z1878" s="16">
        <f>_xlfn.XLOOKUP(CustomerCombinedCleaned[[#This Row],[ID]], Table2[ID],Table2[MC2], "Not Found", 0 )</f>
        <v>0</v>
      </c>
      <c r="AA1878" s="16">
        <f>_xlfn.XLOOKUP(CustomerCombinedCleaned[[#This Row],[ID]], Table2[ID],Table2[MC3], "Not Found", 0 )</f>
        <v>0</v>
      </c>
      <c r="AB1878" s="16">
        <f>_xlfn.XLOOKUP(CustomerCombinedCleaned[[#This Row],[ID]], Table2[ID],Table2[MC4], "Not Found", 0 )</f>
        <v>1</v>
      </c>
      <c r="AC1878" s="16">
        <f>_xlfn.XLOOKUP(CustomerCombinedCleaned[[#This Row],[ID]], Table2[ID],Table2[MC5], "Not Found", 0 )</f>
        <v>0</v>
      </c>
    </row>
    <row r="1879" spans="1:29" x14ac:dyDescent="0.3">
      <c r="A1879" s="18">
        <v>2237</v>
      </c>
      <c r="B1879" s="16">
        <v>162972</v>
      </c>
      <c r="C1879" s="16">
        <v>0</v>
      </c>
      <c r="D1879" s="16">
        <v>1</v>
      </c>
      <c r="E1879" s="16">
        <v>65</v>
      </c>
      <c r="F1879" s="17" t="s">
        <v>6</v>
      </c>
      <c r="G1879" s="17" t="s">
        <v>11</v>
      </c>
      <c r="H1879" s="3" t="s">
        <v>700</v>
      </c>
      <c r="I1879" s="5" t="s">
        <v>434</v>
      </c>
      <c r="J1879" s="16">
        <f>_xlfn.XLOOKUP(CustomerCombinedCleaned[[#This Row],[ID]], Table4[ID], Table4[Recency], "Not Found", 0)</f>
        <v>39</v>
      </c>
      <c r="K1879" s="16">
        <f>_xlfn.XLOOKUP(CustomerCombinedCleaned[[#This Row],[ID]], Table4[ID], Table4[Teas], "Not Found", 0)</f>
        <v>810</v>
      </c>
      <c r="L1879" s="16">
        <f>_xlfn.XLOOKUP(CustomerCombinedCleaned[[#This Row],[ID]], Table4[ID], Table4[Fruits], "Not Found", 0)</f>
        <v>39</v>
      </c>
      <c r="M1879" s="16">
        <f>_xlfn.XLOOKUP(CustomerCombinedCleaned[[#This Row],[ID]], Table4[ID], Table4[Meats], "Not Found", 0)</f>
        <v>122</v>
      </c>
      <c r="N1879" s="16">
        <f>_xlfn.XLOOKUP(CustomerCombinedCleaned[[#This Row],[ID]], Table4[ID], Table4[Seafood], "Not Found", 0)</f>
        <v>52</v>
      </c>
      <c r="O1879" s="16">
        <f>_xlfn.XLOOKUP(CustomerCombinedCleaned[[#This Row],[ID]], Table4[ID], Table4[Sweets], "Not Found", 0)</f>
        <v>0</v>
      </c>
      <c r="P1879" s="16">
        <f>_xlfn.XLOOKUP(CustomerCombinedCleaned[[#This Row],[ID]], Table4[ID], Table4[Premium], "Not Found", 0)</f>
        <v>497</v>
      </c>
      <c r="Q1879" s="16">
        <f>_xlfn.XLOOKUP(CustomerCombinedCleaned[[#This Row],[ID]], Table4[ID], Table4[Regular], "Not Found", 0)</f>
        <v>525</v>
      </c>
      <c r="R1879" s="16">
        <f>_xlfn.XLOOKUP(CustomerCombinedCleaned[[#This Row],[ID]], Table4[ID], Table4[Deals], "Not Found", 0)</f>
        <v>2</v>
      </c>
      <c r="S1879" s="16">
        <f>_xlfn.XLOOKUP(CustomerCombinedCleaned[[#This Row],[ID]], Table4[ID], Table4[Website], "Not Found", 0)</f>
        <v>7</v>
      </c>
      <c r="T1879" s="16">
        <f>_xlfn.XLOOKUP(CustomerCombinedCleaned[[#This Row],[ID]], Table4[ID], Table4[Catalog], "Not Found", 0)</f>
        <v>4</v>
      </c>
      <c r="U1879" s="16">
        <f>_xlfn.XLOOKUP(CustomerCombinedCleaned[[#This Row],[ID]], Table4[ID], Table4[Store], "Not Found", 0)</f>
        <v>3</v>
      </c>
      <c r="V1879" s="16">
        <f>_xlfn.XLOOKUP(CustomerCombinedCleaned[[#This Row],[ID]], Table4[ID], Table4[Visits], "Not Found", 0)</f>
        <v>6</v>
      </c>
      <c r="W1879" s="16">
        <f>_xlfn.XLOOKUP(CustomerCombinedCleaned[[#This Row],[ID]], Table2[ID],Table2[Complaint], "Not Found", 0 )</f>
        <v>0</v>
      </c>
      <c r="X1879" s="16">
        <f>_xlfn.XLOOKUP(CustomerCombinedCleaned[[#This Row],[ID]], Table2[ID],Table2[Pilot], "Not Found", 0 )</f>
        <v>1</v>
      </c>
      <c r="Y1879" s="16">
        <f>_xlfn.XLOOKUP(CustomerCombinedCleaned[[#This Row],[ID]], Table2[ID],Table2[MC1], "Not Found", 0 )</f>
        <v>0</v>
      </c>
      <c r="Z1879" s="16">
        <f>_xlfn.XLOOKUP(CustomerCombinedCleaned[[#This Row],[ID]], Table2[ID],Table2[MC2], "Not Found", 0 )</f>
        <v>0</v>
      </c>
      <c r="AA1879" s="16">
        <f>_xlfn.XLOOKUP(CustomerCombinedCleaned[[#This Row],[ID]], Table2[ID],Table2[MC3], "Not Found", 0 )</f>
        <v>0</v>
      </c>
      <c r="AB1879" s="16">
        <f>_xlfn.XLOOKUP(CustomerCombinedCleaned[[#This Row],[ID]], Table2[ID],Table2[MC4], "Not Found", 0 )</f>
        <v>0</v>
      </c>
      <c r="AC1879" s="16">
        <f>_xlfn.XLOOKUP(CustomerCombinedCleaned[[#This Row],[ID]], Table2[ID],Table2[MC5], "Not Found", 0 )</f>
        <v>0</v>
      </c>
    </row>
    <row r="1880" spans="1:29" x14ac:dyDescent="0.3">
      <c r="A1880" s="18">
        <v>2813</v>
      </c>
      <c r="B1880" s="16">
        <v>162972</v>
      </c>
      <c r="C1880" s="16">
        <v>0</v>
      </c>
      <c r="D1880" s="16">
        <v>1</v>
      </c>
      <c r="E1880" s="16">
        <v>65</v>
      </c>
      <c r="F1880" s="17" t="s">
        <v>6</v>
      </c>
      <c r="G1880" s="17" t="s">
        <v>11</v>
      </c>
      <c r="H1880" s="3" t="s">
        <v>700</v>
      </c>
      <c r="I1880" s="5" t="s">
        <v>434</v>
      </c>
      <c r="J1880" s="16">
        <f>_xlfn.XLOOKUP(CustomerCombinedCleaned[[#This Row],[ID]], Table4[ID], Table4[Recency], "Not Found", 0)</f>
        <v>39</v>
      </c>
      <c r="K1880" s="16">
        <f>_xlfn.XLOOKUP(CustomerCombinedCleaned[[#This Row],[ID]], Table4[ID], Table4[Teas], "Not Found", 0)</f>
        <v>810</v>
      </c>
      <c r="L1880" s="16">
        <f>_xlfn.XLOOKUP(CustomerCombinedCleaned[[#This Row],[ID]], Table4[ID], Table4[Fruits], "Not Found", 0)</f>
        <v>39</v>
      </c>
      <c r="M1880" s="16">
        <f>_xlfn.XLOOKUP(CustomerCombinedCleaned[[#This Row],[ID]], Table4[ID], Table4[Meats], "Not Found", 0)</f>
        <v>122</v>
      </c>
      <c r="N1880" s="16">
        <f>_xlfn.XLOOKUP(CustomerCombinedCleaned[[#This Row],[ID]], Table4[ID], Table4[Seafood], "Not Found", 0)</f>
        <v>52</v>
      </c>
      <c r="O1880" s="16">
        <f>_xlfn.XLOOKUP(CustomerCombinedCleaned[[#This Row],[ID]], Table4[ID], Table4[Sweets], "Not Found", 0)</f>
        <v>0</v>
      </c>
      <c r="P1880" s="16">
        <f>_xlfn.XLOOKUP(CustomerCombinedCleaned[[#This Row],[ID]], Table4[ID], Table4[Premium], "Not Found", 0)</f>
        <v>497</v>
      </c>
      <c r="Q1880" s="16">
        <f>_xlfn.XLOOKUP(CustomerCombinedCleaned[[#This Row],[ID]], Table4[ID], Table4[Regular], "Not Found", 0)</f>
        <v>525</v>
      </c>
      <c r="R1880" s="16">
        <f>_xlfn.XLOOKUP(CustomerCombinedCleaned[[#This Row],[ID]], Table4[ID], Table4[Deals], "Not Found", 0)</f>
        <v>2</v>
      </c>
      <c r="S1880" s="16">
        <f>_xlfn.XLOOKUP(CustomerCombinedCleaned[[#This Row],[ID]], Table4[ID], Table4[Website], "Not Found", 0)</f>
        <v>7</v>
      </c>
      <c r="T1880" s="16">
        <f>_xlfn.XLOOKUP(CustomerCombinedCleaned[[#This Row],[ID]], Table4[ID], Table4[Catalog], "Not Found", 0)</f>
        <v>4</v>
      </c>
      <c r="U1880" s="16">
        <f>_xlfn.XLOOKUP(CustomerCombinedCleaned[[#This Row],[ID]], Table4[ID], Table4[Store], "Not Found", 0)</f>
        <v>3</v>
      </c>
      <c r="V1880" s="16">
        <f>_xlfn.XLOOKUP(CustomerCombinedCleaned[[#This Row],[ID]], Table4[ID], Table4[Visits], "Not Found", 0)</f>
        <v>6</v>
      </c>
      <c r="W1880" s="16">
        <f>_xlfn.XLOOKUP(CustomerCombinedCleaned[[#This Row],[ID]], Table2[ID],Table2[Complaint], "Not Found", 0 )</f>
        <v>0</v>
      </c>
      <c r="X1880" s="16">
        <f>_xlfn.XLOOKUP(CustomerCombinedCleaned[[#This Row],[ID]], Table2[ID],Table2[Pilot], "Not Found", 0 )</f>
        <v>0</v>
      </c>
      <c r="Y1880" s="16">
        <f>_xlfn.XLOOKUP(CustomerCombinedCleaned[[#This Row],[ID]], Table2[ID],Table2[MC1], "Not Found", 0 )</f>
        <v>0</v>
      </c>
      <c r="Z1880" s="16">
        <f>_xlfn.XLOOKUP(CustomerCombinedCleaned[[#This Row],[ID]], Table2[ID],Table2[MC2], "Not Found", 0 )</f>
        <v>0</v>
      </c>
      <c r="AA1880" s="16">
        <f>_xlfn.XLOOKUP(CustomerCombinedCleaned[[#This Row],[ID]], Table2[ID],Table2[MC3], "Not Found", 0 )</f>
        <v>0</v>
      </c>
      <c r="AB1880" s="16">
        <f>_xlfn.XLOOKUP(CustomerCombinedCleaned[[#This Row],[ID]], Table2[ID],Table2[MC4], "Not Found", 0 )</f>
        <v>0</v>
      </c>
      <c r="AC1880" s="16">
        <f>_xlfn.XLOOKUP(CustomerCombinedCleaned[[#This Row],[ID]], Table2[ID],Table2[MC5], "Not Found", 0 )</f>
        <v>0</v>
      </c>
    </row>
    <row r="1881" spans="1:29" x14ac:dyDescent="0.3">
      <c r="A1881" s="18">
        <v>2771</v>
      </c>
      <c r="B1881" s="16">
        <v>162535</v>
      </c>
      <c r="C1881" s="16">
        <v>0</v>
      </c>
      <c r="D1881" s="16">
        <v>1</v>
      </c>
      <c r="E1881" s="16">
        <v>65</v>
      </c>
      <c r="F1881" s="17" t="s">
        <v>7</v>
      </c>
      <c r="G1881" s="17" t="s">
        <v>11</v>
      </c>
      <c r="H1881" s="3" t="s">
        <v>710</v>
      </c>
      <c r="I1881" s="5" t="s">
        <v>434</v>
      </c>
      <c r="J1881" s="16">
        <f>_xlfn.XLOOKUP(CustomerCombinedCleaned[[#This Row],[ID]], Table4[ID], Table4[Recency], "Not Found", 0)</f>
        <v>13</v>
      </c>
      <c r="K1881" s="16">
        <f>_xlfn.XLOOKUP(CustomerCombinedCleaned[[#This Row],[ID]], Table4[ID], Table4[Teas], "Not Found", 0)</f>
        <v>424</v>
      </c>
      <c r="L1881" s="16">
        <f>_xlfn.XLOOKUP(CustomerCombinedCleaned[[#This Row],[ID]], Table4[ID], Table4[Fruits], "Not Found", 0)</f>
        <v>125</v>
      </c>
      <c r="M1881" s="16">
        <f>_xlfn.XLOOKUP(CustomerCombinedCleaned[[#This Row],[ID]], Table4[ID], Table4[Meats], "Not Found", 0)</f>
        <v>234</v>
      </c>
      <c r="N1881" s="16">
        <f>_xlfn.XLOOKUP(CustomerCombinedCleaned[[#This Row],[ID]], Table4[ID], Table4[Seafood], "Not Found", 0)</f>
        <v>0</v>
      </c>
      <c r="O1881" s="16">
        <f>_xlfn.XLOOKUP(CustomerCombinedCleaned[[#This Row],[ID]], Table4[ID], Table4[Sweets], "Not Found", 0)</f>
        <v>117</v>
      </c>
      <c r="P1881" s="16">
        <f>_xlfn.XLOOKUP(CustomerCombinedCleaned[[#This Row],[ID]], Table4[ID], Table4[Premium], "Not Found", 0)</f>
        <v>135</v>
      </c>
      <c r="Q1881" s="16">
        <f>_xlfn.XLOOKUP(CustomerCombinedCleaned[[#This Row],[ID]], Table4[ID], Table4[Regular], "Not Found", 0)</f>
        <v>764</v>
      </c>
      <c r="R1881" s="16">
        <f>_xlfn.XLOOKUP(CustomerCombinedCleaned[[#This Row],[ID]], Table4[ID], Table4[Deals], "Not Found", 0)</f>
        <v>1</v>
      </c>
      <c r="S1881" s="16">
        <f>_xlfn.XLOOKUP(CustomerCombinedCleaned[[#This Row],[ID]], Table4[ID], Table4[Website], "Not Found", 0)</f>
        <v>3</v>
      </c>
      <c r="T1881" s="16">
        <f>_xlfn.XLOOKUP(CustomerCombinedCleaned[[#This Row],[ID]], Table4[ID], Table4[Catalog], "Not Found", 0)</f>
        <v>2</v>
      </c>
      <c r="U1881" s="16">
        <f>_xlfn.XLOOKUP(CustomerCombinedCleaned[[#This Row],[ID]], Table4[ID], Table4[Store], "Not Found", 0)</f>
        <v>8</v>
      </c>
      <c r="V1881" s="16">
        <f>_xlfn.XLOOKUP(CustomerCombinedCleaned[[#This Row],[ID]], Table4[ID], Table4[Visits], "Not Found", 0)</f>
        <v>3</v>
      </c>
      <c r="W1881" s="16">
        <f>_xlfn.XLOOKUP(CustomerCombinedCleaned[[#This Row],[ID]], Table2[ID],Table2[Complaint], "Not Found", 0 )</f>
        <v>0</v>
      </c>
      <c r="X1881" s="16">
        <f>_xlfn.XLOOKUP(CustomerCombinedCleaned[[#This Row],[ID]], Table2[ID],Table2[Pilot], "Not Found", 0 )</f>
        <v>0</v>
      </c>
      <c r="Y1881" s="16">
        <f>_xlfn.XLOOKUP(CustomerCombinedCleaned[[#This Row],[ID]], Table2[ID],Table2[MC1], "Not Found", 0 )</f>
        <v>0</v>
      </c>
      <c r="Z1881" s="16">
        <f>_xlfn.XLOOKUP(CustomerCombinedCleaned[[#This Row],[ID]], Table2[ID],Table2[MC2], "Not Found", 0 )</f>
        <v>0</v>
      </c>
      <c r="AA1881" s="16">
        <f>_xlfn.XLOOKUP(CustomerCombinedCleaned[[#This Row],[ID]], Table2[ID],Table2[MC3], "Not Found", 0 )</f>
        <v>0</v>
      </c>
      <c r="AB1881" s="16">
        <f>_xlfn.XLOOKUP(CustomerCombinedCleaned[[#This Row],[ID]], Table2[ID],Table2[MC4], "Not Found", 0 )</f>
        <v>0</v>
      </c>
      <c r="AC1881" s="16">
        <f>_xlfn.XLOOKUP(CustomerCombinedCleaned[[#This Row],[ID]], Table2[ID],Table2[MC5], "Not Found", 0 )</f>
        <v>0</v>
      </c>
    </row>
    <row r="1882" spans="1:29" x14ac:dyDescent="0.3">
      <c r="A1882" s="18">
        <v>2207</v>
      </c>
      <c r="B1882" s="16">
        <v>161284</v>
      </c>
      <c r="C1882" s="16">
        <v>0</v>
      </c>
      <c r="D1882" s="16">
        <v>0</v>
      </c>
      <c r="E1882" s="16">
        <v>65</v>
      </c>
      <c r="F1882" s="17" t="s">
        <v>7</v>
      </c>
      <c r="G1882" s="17" t="s">
        <v>13</v>
      </c>
      <c r="H1882" s="3" t="s">
        <v>170</v>
      </c>
      <c r="I1882" s="5" t="s">
        <v>434</v>
      </c>
      <c r="J1882" s="16">
        <f>_xlfn.XLOOKUP(CustomerCombinedCleaned[[#This Row],[ID]], Table4[ID], Table4[Recency], "Not Found", 0)</f>
        <v>76</v>
      </c>
      <c r="K1882" s="16">
        <f>_xlfn.XLOOKUP(CustomerCombinedCleaned[[#This Row],[ID]], Table4[ID], Table4[Teas], "Not Found", 0)</f>
        <v>1626</v>
      </c>
      <c r="L1882" s="16">
        <f>_xlfn.XLOOKUP(CustomerCombinedCleaned[[#This Row],[ID]], Table4[ID], Table4[Fruits], "Not Found", 0)</f>
        <v>39</v>
      </c>
      <c r="M1882" s="16">
        <f>_xlfn.XLOOKUP(CustomerCombinedCleaned[[#This Row],[ID]], Table4[ID], Table4[Meats], "Not Found", 0)</f>
        <v>279</v>
      </c>
      <c r="N1882" s="16">
        <f>_xlfn.XLOOKUP(CustomerCombinedCleaned[[#This Row],[ID]], Table4[ID], Table4[Seafood], "Not Found", 0)</f>
        <v>53</v>
      </c>
      <c r="O1882" s="16">
        <f>_xlfn.XLOOKUP(CustomerCombinedCleaned[[#This Row],[ID]], Table4[ID], Table4[Sweets], "Not Found", 0)</f>
        <v>18</v>
      </c>
      <c r="P1882" s="16">
        <f>_xlfn.XLOOKUP(CustomerCombinedCleaned[[#This Row],[ID]], Table4[ID], Table4[Premium], "Not Found", 0)</f>
        <v>118</v>
      </c>
      <c r="Q1882" s="16">
        <f>_xlfn.XLOOKUP(CustomerCombinedCleaned[[#This Row],[ID]], Table4[ID], Table4[Regular], "Not Found", 0)</f>
        <v>1897</v>
      </c>
      <c r="R1882" s="16">
        <f>_xlfn.XLOOKUP(CustomerCombinedCleaned[[#This Row],[ID]], Table4[ID], Table4[Deals], "Not Found", 0)</f>
        <v>1</v>
      </c>
      <c r="S1882" s="16">
        <f>_xlfn.XLOOKUP(CustomerCombinedCleaned[[#This Row],[ID]], Table4[ID], Table4[Website], "Not Found", 0)</f>
        <v>11</v>
      </c>
      <c r="T1882" s="16">
        <f>_xlfn.XLOOKUP(CustomerCombinedCleaned[[#This Row],[ID]], Table4[ID], Table4[Catalog], "Not Found", 0)</f>
        <v>2</v>
      </c>
      <c r="U1882" s="16">
        <f>_xlfn.XLOOKUP(CustomerCombinedCleaned[[#This Row],[ID]], Table4[ID], Table4[Store], "Not Found", 0)</f>
        <v>8</v>
      </c>
      <c r="V1882" s="16">
        <f>_xlfn.XLOOKUP(CustomerCombinedCleaned[[#This Row],[ID]], Table4[ID], Table4[Visits], "Not Found", 0)</f>
        <v>6</v>
      </c>
      <c r="W1882" s="16">
        <f>_xlfn.XLOOKUP(CustomerCombinedCleaned[[#This Row],[ID]], Table2[ID],Table2[Complaint], "Not Found", 0 )</f>
        <v>0</v>
      </c>
      <c r="X1882" s="16">
        <f>_xlfn.XLOOKUP(CustomerCombinedCleaned[[#This Row],[ID]], Table2[ID],Table2[Pilot], "Not Found", 0 )</f>
        <v>0</v>
      </c>
      <c r="Y1882" s="16">
        <f>_xlfn.XLOOKUP(CustomerCombinedCleaned[[#This Row],[ID]], Table2[ID],Table2[MC1], "Not Found", 0 )</f>
        <v>0</v>
      </c>
      <c r="Z1882" s="16">
        <f>_xlfn.XLOOKUP(CustomerCombinedCleaned[[#This Row],[ID]], Table2[ID],Table2[MC2], "Not Found", 0 )</f>
        <v>0</v>
      </c>
      <c r="AA1882" s="16">
        <f>_xlfn.XLOOKUP(CustomerCombinedCleaned[[#This Row],[ID]], Table2[ID],Table2[MC3], "Not Found", 0 )</f>
        <v>0</v>
      </c>
      <c r="AB1882" s="16">
        <f>_xlfn.XLOOKUP(CustomerCombinedCleaned[[#This Row],[ID]], Table2[ID],Table2[MC4], "Not Found", 0 )</f>
        <v>1</v>
      </c>
      <c r="AC1882" s="16">
        <f>_xlfn.XLOOKUP(CustomerCombinedCleaned[[#This Row],[ID]], Table2[ID],Table2[MC5], "Not Found", 0 )</f>
        <v>0</v>
      </c>
    </row>
    <row r="1883" spans="1:29" x14ac:dyDescent="0.3">
      <c r="A1883" s="18">
        <v>2053</v>
      </c>
      <c r="B1883" s="16">
        <v>159925</v>
      </c>
      <c r="C1883" s="16">
        <v>0</v>
      </c>
      <c r="D1883" s="16">
        <v>1</v>
      </c>
      <c r="E1883" s="16">
        <v>65</v>
      </c>
      <c r="F1883" s="17" t="s">
        <v>8</v>
      </c>
      <c r="G1883" s="17" t="s">
        <v>11</v>
      </c>
      <c r="H1883" s="3" t="s">
        <v>722</v>
      </c>
      <c r="I1883" s="5" t="s">
        <v>437</v>
      </c>
      <c r="J1883" s="16">
        <f>_xlfn.XLOOKUP(CustomerCombinedCleaned[[#This Row],[ID]], Table4[ID], Table4[Recency], "Not Found", 0)</f>
        <v>83</v>
      </c>
      <c r="K1883" s="16">
        <f>_xlfn.XLOOKUP(CustomerCombinedCleaned[[#This Row],[ID]], Table4[ID], Table4[Teas], "Not Found", 0)</f>
        <v>1262</v>
      </c>
      <c r="L1883" s="16">
        <f>_xlfn.XLOOKUP(CustomerCombinedCleaned[[#This Row],[ID]], Table4[ID], Table4[Fruits], "Not Found", 0)</f>
        <v>56</v>
      </c>
      <c r="M1883" s="16">
        <f>_xlfn.XLOOKUP(CustomerCombinedCleaned[[#This Row],[ID]], Table4[ID], Table4[Meats], "Not Found", 0)</f>
        <v>470</v>
      </c>
      <c r="N1883" s="16">
        <f>_xlfn.XLOOKUP(CustomerCombinedCleaned[[#This Row],[ID]], Table4[ID], Table4[Seafood], "Not Found", 0)</f>
        <v>51</v>
      </c>
      <c r="O1883" s="16">
        <f>_xlfn.XLOOKUP(CustomerCombinedCleaned[[#This Row],[ID]], Table4[ID], Table4[Sweets], "Not Found", 0)</f>
        <v>56</v>
      </c>
      <c r="P1883" s="16">
        <f>_xlfn.XLOOKUP(CustomerCombinedCleaned[[#This Row],[ID]], Table4[ID], Table4[Premium], "Not Found", 0)</f>
        <v>149</v>
      </c>
      <c r="Q1883" s="16">
        <f>_xlfn.XLOOKUP(CustomerCombinedCleaned[[#This Row],[ID]], Table4[ID], Table4[Regular], "Not Found", 0)</f>
        <v>1745</v>
      </c>
      <c r="R1883" s="16">
        <f>_xlfn.XLOOKUP(CustomerCombinedCleaned[[#This Row],[ID]], Table4[ID], Table4[Deals], "Not Found", 0)</f>
        <v>3</v>
      </c>
      <c r="S1883" s="16">
        <f>_xlfn.XLOOKUP(CustomerCombinedCleaned[[#This Row],[ID]], Table4[ID], Table4[Website], "Not Found", 0)</f>
        <v>9</v>
      </c>
      <c r="T1883" s="16">
        <f>_xlfn.XLOOKUP(CustomerCombinedCleaned[[#This Row],[ID]], Table4[ID], Table4[Catalog], "Not Found", 0)</f>
        <v>2</v>
      </c>
      <c r="U1883" s="16">
        <f>_xlfn.XLOOKUP(CustomerCombinedCleaned[[#This Row],[ID]], Table4[ID], Table4[Store], "Not Found", 0)</f>
        <v>9</v>
      </c>
      <c r="V1883" s="16">
        <f>_xlfn.XLOOKUP(CustomerCombinedCleaned[[#This Row],[ID]], Table4[ID], Table4[Visits], "Not Found", 0)</f>
        <v>6</v>
      </c>
      <c r="W1883" s="16">
        <f>_xlfn.XLOOKUP(CustomerCombinedCleaned[[#This Row],[ID]], Table2[ID],Table2[Complaint], "Not Found", 0 )</f>
        <v>0</v>
      </c>
      <c r="X1883" s="16">
        <f>_xlfn.XLOOKUP(CustomerCombinedCleaned[[#This Row],[ID]], Table2[ID],Table2[Pilot], "Not Found", 0 )</f>
        <v>0</v>
      </c>
      <c r="Y1883" s="16">
        <f>_xlfn.XLOOKUP(CustomerCombinedCleaned[[#This Row],[ID]], Table2[ID],Table2[MC1], "Not Found", 0 )</f>
        <v>0</v>
      </c>
      <c r="Z1883" s="16">
        <f>_xlfn.XLOOKUP(CustomerCombinedCleaned[[#This Row],[ID]], Table2[ID],Table2[MC2], "Not Found", 0 )</f>
        <v>0</v>
      </c>
      <c r="AA1883" s="16">
        <f>_xlfn.XLOOKUP(CustomerCombinedCleaned[[#This Row],[ID]], Table2[ID],Table2[MC3], "Not Found", 0 )</f>
        <v>0</v>
      </c>
      <c r="AB1883" s="16">
        <f>_xlfn.XLOOKUP(CustomerCombinedCleaned[[#This Row],[ID]], Table2[ID],Table2[MC4], "Not Found", 0 )</f>
        <v>0</v>
      </c>
      <c r="AC1883" s="16">
        <f>_xlfn.XLOOKUP(CustomerCombinedCleaned[[#This Row],[ID]], Table2[ID],Table2[MC5], "Not Found", 0 )</f>
        <v>0</v>
      </c>
    </row>
    <row r="1884" spans="1:29" x14ac:dyDescent="0.3">
      <c r="A1884" s="18">
        <v>2611</v>
      </c>
      <c r="B1884" s="16">
        <v>159821</v>
      </c>
      <c r="C1884" s="16">
        <v>0</v>
      </c>
      <c r="D1884" s="16">
        <v>1</v>
      </c>
      <c r="E1884" s="16">
        <v>65</v>
      </c>
      <c r="F1884" s="17" t="s">
        <v>6</v>
      </c>
      <c r="G1884" s="17" t="s">
        <v>13</v>
      </c>
      <c r="H1884" s="3" t="s">
        <v>277</v>
      </c>
      <c r="I1884" s="5" t="s">
        <v>437</v>
      </c>
      <c r="J1884" s="16">
        <f>_xlfn.XLOOKUP(CustomerCombinedCleaned[[#This Row],[ID]], Table4[ID], Table4[Recency], "Not Found", 0)</f>
        <v>11</v>
      </c>
      <c r="K1884" s="16">
        <f>_xlfn.XLOOKUP(CustomerCombinedCleaned[[#This Row],[ID]], Table4[ID], Table4[Teas], "Not Found", 0)</f>
        <v>1680</v>
      </c>
      <c r="L1884" s="16">
        <f>_xlfn.XLOOKUP(CustomerCombinedCleaned[[#This Row],[ID]], Table4[ID], Table4[Fruits], "Not Found", 0)</f>
        <v>0</v>
      </c>
      <c r="M1884" s="16">
        <f>_xlfn.XLOOKUP(CustomerCombinedCleaned[[#This Row],[ID]], Table4[ID], Table4[Meats], "Not Found", 0)</f>
        <v>187</v>
      </c>
      <c r="N1884" s="16">
        <f>_xlfn.XLOOKUP(CustomerCombinedCleaned[[#This Row],[ID]], Table4[ID], Table4[Seafood], "Not Found", 0)</f>
        <v>0</v>
      </c>
      <c r="O1884" s="16">
        <f>_xlfn.XLOOKUP(CustomerCombinedCleaned[[#This Row],[ID]], Table4[ID], Table4[Sweets], "Not Found", 0)</f>
        <v>0</v>
      </c>
      <c r="P1884" s="16">
        <f>_xlfn.XLOOKUP(CustomerCombinedCleaned[[#This Row],[ID]], Table4[ID], Table4[Premium], "Not Found", 0)</f>
        <v>94</v>
      </c>
      <c r="Q1884" s="16">
        <f>_xlfn.XLOOKUP(CustomerCombinedCleaned[[#This Row],[ID]], Table4[ID], Table4[Regular], "Not Found", 0)</f>
        <v>1774</v>
      </c>
      <c r="R1884" s="16">
        <f>_xlfn.XLOOKUP(CustomerCombinedCleaned[[#This Row],[ID]], Table4[ID], Table4[Deals], "Not Found", 0)</f>
        <v>6</v>
      </c>
      <c r="S1884" s="16">
        <f>_xlfn.XLOOKUP(CustomerCombinedCleaned[[#This Row],[ID]], Table4[ID], Table4[Website], "Not Found", 0)</f>
        <v>11</v>
      </c>
      <c r="T1884" s="16">
        <f>_xlfn.XLOOKUP(CustomerCombinedCleaned[[#This Row],[ID]], Table4[ID], Table4[Catalog], "Not Found", 0)</f>
        <v>2</v>
      </c>
      <c r="U1884" s="16">
        <f>_xlfn.XLOOKUP(CustomerCombinedCleaned[[#This Row],[ID]], Table4[ID], Table4[Store], "Not Found", 0)</f>
        <v>7</v>
      </c>
      <c r="V1884" s="16">
        <f>_xlfn.XLOOKUP(CustomerCombinedCleaned[[#This Row],[ID]], Table4[ID], Table4[Visits], "Not Found", 0)</f>
        <v>8</v>
      </c>
      <c r="W1884" s="16">
        <f>_xlfn.XLOOKUP(CustomerCombinedCleaned[[#This Row],[ID]], Table2[ID],Table2[Complaint], "Not Found", 0 )</f>
        <v>0</v>
      </c>
      <c r="X1884" s="16">
        <f>_xlfn.XLOOKUP(CustomerCombinedCleaned[[#This Row],[ID]], Table2[ID],Table2[Pilot], "Not Found", 0 )</f>
        <v>0</v>
      </c>
      <c r="Y1884" s="16">
        <f>_xlfn.XLOOKUP(CustomerCombinedCleaned[[#This Row],[ID]], Table2[ID],Table2[MC1], "Not Found", 0 )</f>
        <v>0</v>
      </c>
      <c r="Z1884" s="16">
        <f>_xlfn.XLOOKUP(CustomerCombinedCleaned[[#This Row],[ID]], Table2[ID],Table2[MC2], "Not Found", 0 )</f>
        <v>0</v>
      </c>
      <c r="AA1884" s="16">
        <f>_xlfn.XLOOKUP(CustomerCombinedCleaned[[#This Row],[ID]], Table2[ID],Table2[MC3], "Not Found", 0 )</f>
        <v>0</v>
      </c>
      <c r="AB1884" s="16">
        <f>_xlfn.XLOOKUP(CustomerCombinedCleaned[[#This Row],[ID]], Table2[ID],Table2[MC4], "Not Found", 0 )</f>
        <v>0</v>
      </c>
      <c r="AC1884" s="16">
        <f>_xlfn.XLOOKUP(CustomerCombinedCleaned[[#This Row],[ID]], Table2[ID],Table2[MC5], "Not Found", 0 )</f>
        <v>0</v>
      </c>
    </row>
    <row r="1885" spans="1:29" x14ac:dyDescent="0.3">
      <c r="A1885" s="18">
        <v>3126</v>
      </c>
      <c r="B1885" s="16">
        <v>158482</v>
      </c>
      <c r="C1885" s="16">
        <v>0</v>
      </c>
      <c r="D1885" s="16">
        <v>1</v>
      </c>
      <c r="E1885" s="16">
        <v>65</v>
      </c>
      <c r="F1885" s="17" t="s">
        <v>6</v>
      </c>
      <c r="G1885" s="17" t="s">
        <v>13</v>
      </c>
      <c r="H1885" s="3" t="s">
        <v>87</v>
      </c>
      <c r="I1885" s="5" t="s">
        <v>436</v>
      </c>
      <c r="J1885" s="16">
        <f>_xlfn.XLOOKUP(CustomerCombinedCleaned[[#This Row],[ID]], Table4[ID], Table4[Recency], "Not Found", 0)</f>
        <v>59</v>
      </c>
      <c r="K1885" s="16">
        <f>_xlfn.XLOOKUP(CustomerCombinedCleaned[[#This Row],[ID]], Table4[ID], Table4[Teas], "Not Found", 0)</f>
        <v>1561</v>
      </c>
      <c r="L1885" s="16">
        <f>_xlfn.XLOOKUP(CustomerCombinedCleaned[[#This Row],[ID]], Table4[ID], Table4[Fruits], "Not Found", 0)</f>
        <v>19</v>
      </c>
      <c r="M1885" s="16">
        <f>_xlfn.XLOOKUP(CustomerCombinedCleaned[[#This Row],[ID]], Table4[ID], Table4[Meats], "Not Found", 0)</f>
        <v>312</v>
      </c>
      <c r="N1885" s="16">
        <f>_xlfn.XLOOKUP(CustomerCombinedCleaned[[#This Row],[ID]], Table4[ID], Table4[Seafood], "Not Found", 0)</f>
        <v>51</v>
      </c>
      <c r="O1885" s="16">
        <f>_xlfn.XLOOKUP(CustomerCombinedCleaned[[#This Row],[ID]], Table4[ID], Table4[Sweets], "Not Found", 0)</f>
        <v>19</v>
      </c>
      <c r="P1885" s="16">
        <f>_xlfn.XLOOKUP(CustomerCombinedCleaned[[#This Row],[ID]], Table4[ID], Table4[Premium], "Not Found", 0)</f>
        <v>19</v>
      </c>
      <c r="Q1885" s="16">
        <f>_xlfn.XLOOKUP(CustomerCombinedCleaned[[#This Row],[ID]], Table4[ID], Table4[Regular], "Not Found", 0)</f>
        <v>1943</v>
      </c>
      <c r="R1885" s="16">
        <f>_xlfn.XLOOKUP(CustomerCombinedCleaned[[#This Row],[ID]], Table4[ID], Table4[Deals], "Not Found", 0)</f>
        <v>2</v>
      </c>
      <c r="S1885" s="16">
        <f>_xlfn.XLOOKUP(CustomerCombinedCleaned[[#This Row],[ID]], Table4[ID], Table4[Website], "Not Found", 0)</f>
        <v>7</v>
      </c>
      <c r="T1885" s="16">
        <f>_xlfn.XLOOKUP(CustomerCombinedCleaned[[#This Row],[ID]], Table4[ID], Table4[Catalog], "Not Found", 0)</f>
        <v>4</v>
      </c>
      <c r="U1885" s="16">
        <f>_xlfn.XLOOKUP(CustomerCombinedCleaned[[#This Row],[ID]], Table4[ID], Table4[Store], "Not Found", 0)</f>
        <v>9</v>
      </c>
      <c r="V1885" s="16">
        <f>_xlfn.XLOOKUP(CustomerCombinedCleaned[[#This Row],[ID]], Table4[ID], Table4[Visits], "Not Found", 0)</f>
        <v>6</v>
      </c>
      <c r="W1885" s="16">
        <f>_xlfn.XLOOKUP(CustomerCombinedCleaned[[#This Row],[ID]], Table2[ID],Table2[Complaint], "Not Found", 0 )</f>
        <v>0</v>
      </c>
      <c r="X1885" s="16">
        <f>_xlfn.XLOOKUP(CustomerCombinedCleaned[[#This Row],[ID]], Table2[ID],Table2[Pilot], "Not Found", 0 )</f>
        <v>0</v>
      </c>
      <c r="Y1885" s="16">
        <f>_xlfn.XLOOKUP(CustomerCombinedCleaned[[#This Row],[ID]], Table2[ID],Table2[MC1], "Not Found", 0 )</f>
        <v>0</v>
      </c>
      <c r="Z1885" s="16">
        <f>_xlfn.XLOOKUP(CustomerCombinedCleaned[[#This Row],[ID]], Table2[ID],Table2[MC2], "Not Found", 0 )</f>
        <v>0</v>
      </c>
      <c r="AA1885" s="16">
        <f>_xlfn.XLOOKUP(CustomerCombinedCleaned[[#This Row],[ID]], Table2[ID],Table2[MC3], "Not Found", 0 )</f>
        <v>0</v>
      </c>
      <c r="AB1885" s="16">
        <f>_xlfn.XLOOKUP(CustomerCombinedCleaned[[#This Row],[ID]], Table2[ID],Table2[MC4], "Not Found", 0 )</f>
        <v>1</v>
      </c>
      <c r="AC1885" s="16">
        <f>_xlfn.XLOOKUP(CustomerCombinedCleaned[[#This Row],[ID]], Table2[ID],Table2[MC5], "Not Found", 0 )</f>
        <v>0</v>
      </c>
    </row>
    <row r="1886" spans="1:29" x14ac:dyDescent="0.3">
      <c r="A1886" s="18">
        <v>3079</v>
      </c>
      <c r="B1886" s="16">
        <v>158275</v>
      </c>
      <c r="C1886" s="16">
        <v>1</v>
      </c>
      <c r="D1886" s="16">
        <v>1</v>
      </c>
      <c r="E1886" s="16">
        <v>65</v>
      </c>
      <c r="F1886" s="17" t="s">
        <v>9</v>
      </c>
      <c r="G1886" s="17" t="s">
        <v>11</v>
      </c>
      <c r="H1886" s="3" t="s">
        <v>726</v>
      </c>
      <c r="I1886" s="5" t="s">
        <v>437</v>
      </c>
      <c r="J1886" s="16">
        <f>_xlfn.XLOOKUP(CustomerCombinedCleaned[[#This Row],[ID]], Table4[ID], Table4[Recency], "Not Found", 0)</f>
        <v>48</v>
      </c>
      <c r="K1886" s="16">
        <f>_xlfn.XLOOKUP(CustomerCombinedCleaned[[#This Row],[ID]], Table4[ID], Table4[Teas], "Not Found", 0)</f>
        <v>513</v>
      </c>
      <c r="L1886" s="16">
        <f>_xlfn.XLOOKUP(CustomerCombinedCleaned[[#This Row],[ID]], Table4[ID], Table4[Fruits], "Not Found", 0)</f>
        <v>27</v>
      </c>
      <c r="M1886" s="16">
        <f>_xlfn.XLOOKUP(CustomerCombinedCleaned[[#This Row],[ID]], Table4[ID], Table4[Meats], "Not Found", 0)</f>
        <v>687</v>
      </c>
      <c r="N1886" s="16">
        <f>_xlfn.XLOOKUP(CustomerCombinedCleaned[[#This Row],[ID]], Table4[ID], Table4[Seafood], "Not Found", 0)</f>
        <v>152</v>
      </c>
      <c r="O1886" s="16">
        <f>_xlfn.XLOOKUP(CustomerCombinedCleaned[[#This Row],[ID]], Table4[ID], Table4[Sweets], "Not Found", 0)</f>
        <v>117</v>
      </c>
      <c r="P1886" s="16">
        <f>_xlfn.XLOOKUP(CustomerCombinedCleaned[[#This Row],[ID]], Table4[ID], Table4[Premium], "Not Found", 0)</f>
        <v>174</v>
      </c>
      <c r="Q1886" s="16">
        <f>_xlfn.XLOOKUP(CustomerCombinedCleaned[[#This Row],[ID]], Table4[ID], Table4[Regular], "Not Found", 0)</f>
        <v>1323</v>
      </c>
      <c r="R1886" s="16">
        <f>_xlfn.XLOOKUP(CustomerCombinedCleaned[[#This Row],[ID]], Table4[ID], Table4[Deals], "Not Found", 0)</f>
        <v>6</v>
      </c>
      <c r="S1886" s="16">
        <f>_xlfn.XLOOKUP(CustomerCombinedCleaned[[#This Row],[ID]], Table4[ID], Table4[Website], "Not Found", 0)</f>
        <v>8</v>
      </c>
      <c r="T1886" s="16">
        <f>_xlfn.XLOOKUP(CustomerCombinedCleaned[[#This Row],[ID]], Table4[ID], Table4[Catalog], "Not Found", 0)</f>
        <v>2</v>
      </c>
      <c r="U1886" s="16">
        <f>_xlfn.XLOOKUP(CustomerCombinedCleaned[[#This Row],[ID]], Table4[ID], Table4[Store], "Not Found", 0)</f>
        <v>7</v>
      </c>
      <c r="V1886" s="16">
        <f>_xlfn.XLOOKUP(CustomerCombinedCleaned[[#This Row],[ID]], Table4[ID], Table4[Visits], "Not Found", 0)</f>
        <v>7</v>
      </c>
      <c r="W1886" s="16">
        <f>_xlfn.XLOOKUP(CustomerCombinedCleaned[[#This Row],[ID]], Table2[ID],Table2[Complaint], "Not Found", 0 )</f>
        <v>0</v>
      </c>
      <c r="X1886" s="16">
        <f>_xlfn.XLOOKUP(CustomerCombinedCleaned[[#This Row],[ID]], Table2[ID],Table2[Pilot], "Not Found", 0 )</f>
        <v>0</v>
      </c>
      <c r="Y1886" s="16">
        <f>_xlfn.XLOOKUP(CustomerCombinedCleaned[[#This Row],[ID]], Table2[ID],Table2[MC1], "Not Found", 0 )</f>
        <v>0</v>
      </c>
      <c r="Z1886" s="16">
        <f>_xlfn.XLOOKUP(CustomerCombinedCleaned[[#This Row],[ID]], Table2[ID],Table2[MC2], "Not Found", 0 )</f>
        <v>0</v>
      </c>
      <c r="AA1886" s="16">
        <f>_xlfn.XLOOKUP(CustomerCombinedCleaned[[#This Row],[ID]], Table2[ID],Table2[MC3], "Not Found", 0 )</f>
        <v>0</v>
      </c>
      <c r="AB1886" s="16">
        <f>_xlfn.XLOOKUP(CustomerCombinedCleaned[[#This Row],[ID]], Table2[ID],Table2[MC4], "Not Found", 0 )</f>
        <v>0</v>
      </c>
      <c r="AC1886" s="16">
        <f>_xlfn.XLOOKUP(CustomerCombinedCleaned[[#This Row],[ID]], Table2[ID],Table2[MC5], "Not Found", 0 )</f>
        <v>0</v>
      </c>
    </row>
    <row r="1887" spans="1:29" x14ac:dyDescent="0.3">
      <c r="A1887" s="18">
        <v>1434</v>
      </c>
      <c r="B1887" s="16">
        <v>157959</v>
      </c>
      <c r="C1887" s="16">
        <v>0</v>
      </c>
      <c r="D1887" s="16">
        <v>1</v>
      </c>
      <c r="E1887" s="16">
        <v>65</v>
      </c>
      <c r="F1887" s="17" t="s">
        <v>7</v>
      </c>
      <c r="G1887" s="17" t="s">
        <v>11</v>
      </c>
      <c r="H1887" s="3" t="s">
        <v>724</v>
      </c>
      <c r="I1887" s="5" t="s">
        <v>436</v>
      </c>
      <c r="J1887" s="16">
        <f>_xlfn.XLOOKUP(CustomerCombinedCleaned[[#This Row],[ID]], Table4[ID], Table4[Recency], "Not Found", 0)</f>
        <v>71</v>
      </c>
      <c r="K1887" s="16">
        <f>_xlfn.XLOOKUP(CustomerCombinedCleaned[[#This Row],[ID]], Table4[ID], Table4[Teas], "Not Found", 0)</f>
        <v>1172</v>
      </c>
      <c r="L1887" s="16">
        <f>_xlfn.XLOOKUP(CustomerCombinedCleaned[[#This Row],[ID]], Table4[ID], Table4[Fruits], "Not Found", 0)</f>
        <v>44</v>
      </c>
      <c r="M1887" s="16">
        <f>_xlfn.XLOOKUP(CustomerCombinedCleaned[[#This Row],[ID]], Table4[ID], Table4[Meats], "Not Found", 0)</f>
        <v>878</v>
      </c>
      <c r="N1887" s="16">
        <f>_xlfn.XLOOKUP(CustomerCombinedCleaned[[#This Row],[ID]], Table4[ID], Table4[Seafood], "Not Found", 0)</f>
        <v>117</v>
      </c>
      <c r="O1887" s="16">
        <f>_xlfn.XLOOKUP(CustomerCombinedCleaned[[#This Row],[ID]], Table4[ID], Table4[Sweets], "Not Found", 0)</f>
        <v>65</v>
      </c>
      <c r="P1887" s="16">
        <f>_xlfn.XLOOKUP(CustomerCombinedCleaned[[#This Row],[ID]], Table4[ID], Table4[Premium], "Not Found", 0)</f>
        <v>90</v>
      </c>
      <c r="Q1887" s="16">
        <f>_xlfn.XLOOKUP(CustomerCombinedCleaned[[#This Row],[ID]], Table4[ID], Table4[Regular], "Not Found", 0)</f>
        <v>2186</v>
      </c>
      <c r="R1887" s="16">
        <f>_xlfn.XLOOKUP(CustomerCombinedCleaned[[#This Row],[ID]], Table4[ID], Table4[Deals], "Not Found", 0)</f>
        <v>5</v>
      </c>
      <c r="S1887" s="16">
        <f>_xlfn.XLOOKUP(CustomerCombinedCleaned[[#This Row],[ID]], Table4[ID], Table4[Website], "Not Found", 0)</f>
        <v>4</v>
      </c>
      <c r="T1887" s="16">
        <f>_xlfn.XLOOKUP(CustomerCombinedCleaned[[#This Row],[ID]], Table4[ID], Table4[Catalog], "Not Found", 0)</f>
        <v>7</v>
      </c>
      <c r="U1887" s="16">
        <f>_xlfn.XLOOKUP(CustomerCombinedCleaned[[#This Row],[ID]], Table4[ID], Table4[Store], "Not Found", 0)</f>
        <v>11</v>
      </c>
      <c r="V1887" s="16">
        <f>_xlfn.XLOOKUP(CustomerCombinedCleaned[[#This Row],[ID]], Table4[ID], Table4[Visits], "Not Found", 0)</f>
        <v>3</v>
      </c>
      <c r="W1887" s="16">
        <f>_xlfn.XLOOKUP(CustomerCombinedCleaned[[#This Row],[ID]], Table2[ID],Table2[Complaint], "Not Found", 0 )</f>
        <v>0</v>
      </c>
      <c r="X1887" s="16">
        <f>_xlfn.XLOOKUP(CustomerCombinedCleaned[[#This Row],[ID]], Table2[ID],Table2[Pilot], "Not Found", 0 )</f>
        <v>0</v>
      </c>
      <c r="Y1887" s="16">
        <f>_xlfn.XLOOKUP(CustomerCombinedCleaned[[#This Row],[ID]], Table2[ID],Table2[MC1], "Not Found", 0 )</f>
        <v>0</v>
      </c>
      <c r="Z1887" s="16">
        <f>_xlfn.XLOOKUP(CustomerCombinedCleaned[[#This Row],[ID]], Table2[ID],Table2[MC2], "Not Found", 0 )</f>
        <v>0</v>
      </c>
      <c r="AA1887" s="16">
        <f>_xlfn.XLOOKUP(CustomerCombinedCleaned[[#This Row],[ID]], Table2[ID],Table2[MC3], "Not Found", 0 )</f>
        <v>0</v>
      </c>
      <c r="AB1887" s="16">
        <f>_xlfn.XLOOKUP(CustomerCombinedCleaned[[#This Row],[ID]], Table2[ID],Table2[MC4], "Not Found", 0 )</f>
        <v>0</v>
      </c>
      <c r="AC1887" s="16">
        <f>_xlfn.XLOOKUP(CustomerCombinedCleaned[[#This Row],[ID]], Table2[ID],Table2[MC5], "Not Found", 0 )</f>
        <v>0</v>
      </c>
    </row>
    <row r="1888" spans="1:29" x14ac:dyDescent="0.3">
      <c r="A1888" s="18">
        <v>1388</v>
      </c>
      <c r="B1888" s="16">
        <v>155521</v>
      </c>
      <c r="C1888" s="16">
        <v>1</v>
      </c>
      <c r="D1888" s="16">
        <v>2</v>
      </c>
      <c r="E1888" s="16">
        <v>65</v>
      </c>
      <c r="F1888" s="17" t="s">
        <v>7</v>
      </c>
      <c r="G1888" s="17" t="s">
        <v>13</v>
      </c>
      <c r="H1888" s="3" t="s">
        <v>160</v>
      </c>
      <c r="I1888" s="5" t="s">
        <v>438</v>
      </c>
      <c r="J1888" s="16">
        <f>_xlfn.XLOOKUP(CustomerCombinedCleaned[[#This Row],[ID]], Table4[ID], Table4[Recency], "Not Found", 0)</f>
        <v>11</v>
      </c>
      <c r="K1888" s="16">
        <f>_xlfn.XLOOKUP(CustomerCombinedCleaned[[#This Row],[ID]], Table4[ID], Table4[Teas], "Not Found", 0)</f>
        <v>1165</v>
      </c>
      <c r="L1888" s="16">
        <f>_xlfn.XLOOKUP(CustomerCombinedCleaned[[#This Row],[ID]], Table4[ID], Table4[Fruits], "Not Found", 0)</f>
        <v>0</v>
      </c>
      <c r="M1888" s="16">
        <f>_xlfn.XLOOKUP(CustomerCombinedCleaned[[#This Row],[ID]], Table4[ID], Table4[Meats], "Not Found", 0)</f>
        <v>73</v>
      </c>
      <c r="N1888" s="16">
        <f>_xlfn.XLOOKUP(CustomerCombinedCleaned[[#This Row],[ID]], Table4[ID], Table4[Seafood], "Not Found", 0)</f>
        <v>0</v>
      </c>
      <c r="O1888" s="16">
        <f>_xlfn.XLOOKUP(CustomerCombinedCleaned[[#This Row],[ID]], Table4[ID], Table4[Sweets], "Not Found", 0)</f>
        <v>0</v>
      </c>
      <c r="P1888" s="16">
        <f>_xlfn.XLOOKUP(CustomerCombinedCleaned[[#This Row],[ID]], Table4[ID], Table4[Premium], "Not Found", 0)</f>
        <v>11</v>
      </c>
      <c r="Q1888" s="16">
        <f>_xlfn.XLOOKUP(CustomerCombinedCleaned[[#This Row],[ID]], Table4[ID], Table4[Regular], "Not Found", 0)</f>
        <v>1227</v>
      </c>
      <c r="R1888" s="16">
        <f>_xlfn.XLOOKUP(CustomerCombinedCleaned[[#This Row],[ID]], Table4[ID], Table4[Deals], "Not Found", 0)</f>
        <v>9</v>
      </c>
      <c r="S1888" s="16">
        <f>_xlfn.XLOOKUP(CustomerCombinedCleaned[[#This Row],[ID]], Table4[ID], Table4[Website], "Not Found", 0)</f>
        <v>6</v>
      </c>
      <c r="T1888" s="16">
        <f>_xlfn.XLOOKUP(CustomerCombinedCleaned[[#This Row],[ID]], Table4[ID], Table4[Catalog], "Not Found", 0)</f>
        <v>3</v>
      </c>
      <c r="U1888" s="16">
        <f>_xlfn.XLOOKUP(CustomerCombinedCleaned[[#This Row],[ID]], Table4[ID], Table4[Store], "Not Found", 0)</f>
        <v>6</v>
      </c>
      <c r="V1888" s="16">
        <f>_xlfn.XLOOKUP(CustomerCombinedCleaned[[#This Row],[ID]], Table4[ID], Table4[Visits], "Not Found", 0)</f>
        <v>7</v>
      </c>
      <c r="W1888" s="16">
        <f>_xlfn.XLOOKUP(CustomerCombinedCleaned[[#This Row],[ID]], Table2[ID],Table2[Complaint], "Not Found", 0 )</f>
        <v>0</v>
      </c>
      <c r="X1888" s="16">
        <f>_xlfn.XLOOKUP(CustomerCombinedCleaned[[#This Row],[ID]], Table2[ID],Table2[Pilot], "Not Found", 0 )</f>
        <v>1</v>
      </c>
      <c r="Y1888" s="16">
        <f>_xlfn.XLOOKUP(CustomerCombinedCleaned[[#This Row],[ID]], Table2[ID],Table2[MC1], "Not Found", 0 )</f>
        <v>0</v>
      </c>
      <c r="Z1888" s="16">
        <f>_xlfn.XLOOKUP(CustomerCombinedCleaned[[#This Row],[ID]], Table2[ID],Table2[MC2], "Not Found", 0 )</f>
        <v>0</v>
      </c>
      <c r="AA1888" s="16">
        <f>_xlfn.XLOOKUP(CustomerCombinedCleaned[[#This Row],[ID]], Table2[ID],Table2[MC3], "Not Found", 0 )</f>
        <v>0</v>
      </c>
      <c r="AB1888" s="16">
        <f>_xlfn.XLOOKUP(CustomerCombinedCleaned[[#This Row],[ID]], Table2[ID],Table2[MC4], "Not Found", 0 )</f>
        <v>1</v>
      </c>
      <c r="AC1888" s="16">
        <f>_xlfn.XLOOKUP(CustomerCombinedCleaned[[#This Row],[ID]], Table2[ID],Table2[MC5], "Not Found", 0 )</f>
        <v>0</v>
      </c>
    </row>
    <row r="1889" spans="1:29" x14ac:dyDescent="0.3">
      <c r="A1889" s="18">
        <v>1572</v>
      </c>
      <c r="B1889" s="16">
        <v>153863</v>
      </c>
      <c r="C1889" s="16">
        <v>0</v>
      </c>
      <c r="D1889" s="16">
        <v>1</v>
      </c>
      <c r="E1889" s="16">
        <v>65</v>
      </c>
      <c r="F1889" s="17" t="s">
        <v>8</v>
      </c>
      <c r="G1889" s="17" t="s">
        <v>11</v>
      </c>
      <c r="H1889" s="3" t="s">
        <v>48</v>
      </c>
      <c r="I1889" s="5" t="s">
        <v>436</v>
      </c>
      <c r="J1889" s="16">
        <f>_xlfn.XLOOKUP(CustomerCombinedCleaned[[#This Row],[ID]], Table4[ID], Table4[Recency], "Not Found", 0)</f>
        <v>4</v>
      </c>
      <c r="K1889" s="16">
        <f>_xlfn.XLOOKUP(CustomerCombinedCleaned[[#This Row],[ID]], Table4[ID], Table4[Teas], "Not Found", 0)</f>
        <v>1140</v>
      </c>
      <c r="L1889" s="16">
        <f>_xlfn.XLOOKUP(CustomerCombinedCleaned[[#This Row],[ID]], Table4[ID], Table4[Fruits], "Not Found", 0)</f>
        <v>11</v>
      </c>
      <c r="M1889" s="16">
        <f>_xlfn.XLOOKUP(CustomerCombinedCleaned[[#This Row],[ID]], Table4[ID], Table4[Meats], "Not Found", 0)</f>
        <v>86</v>
      </c>
      <c r="N1889" s="16">
        <f>_xlfn.XLOOKUP(CustomerCombinedCleaned[[#This Row],[ID]], Table4[ID], Table4[Seafood], "Not Found", 0)</f>
        <v>17</v>
      </c>
      <c r="O1889" s="16">
        <f>_xlfn.XLOOKUP(CustomerCombinedCleaned[[#This Row],[ID]], Table4[ID], Table4[Sweets], "Not Found", 0)</f>
        <v>11</v>
      </c>
      <c r="P1889" s="16">
        <f>_xlfn.XLOOKUP(CustomerCombinedCleaned[[#This Row],[ID]], Table4[ID], Table4[Premium], "Not Found", 0)</f>
        <v>86</v>
      </c>
      <c r="Q1889" s="16">
        <f>_xlfn.XLOOKUP(CustomerCombinedCleaned[[#This Row],[ID]], Table4[ID], Table4[Regular], "Not Found", 0)</f>
        <v>1180</v>
      </c>
      <c r="R1889" s="16">
        <f>_xlfn.XLOOKUP(CustomerCombinedCleaned[[#This Row],[ID]], Table4[ID], Table4[Deals], "Not Found", 0)</f>
        <v>3</v>
      </c>
      <c r="S1889" s="16">
        <f>_xlfn.XLOOKUP(CustomerCombinedCleaned[[#This Row],[ID]], Table4[ID], Table4[Website], "Not Found", 0)</f>
        <v>7</v>
      </c>
      <c r="T1889" s="16">
        <f>_xlfn.XLOOKUP(CustomerCombinedCleaned[[#This Row],[ID]], Table4[ID], Table4[Catalog], "Not Found", 0)</f>
        <v>1</v>
      </c>
      <c r="U1889" s="16">
        <f>_xlfn.XLOOKUP(CustomerCombinedCleaned[[#This Row],[ID]], Table4[ID], Table4[Store], "Not Found", 0)</f>
        <v>7</v>
      </c>
      <c r="V1889" s="16">
        <f>_xlfn.XLOOKUP(CustomerCombinedCleaned[[#This Row],[ID]], Table4[ID], Table4[Visits], "Not Found", 0)</f>
        <v>7</v>
      </c>
      <c r="W1889" s="16">
        <f>_xlfn.XLOOKUP(CustomerCombinedCleaned[[#This Row],[ID]], Table2[ID],Table2[Complaint], "Not Found", 0 )</f>
        <v>0</v>
      </c>
      <c r="X1889" s="16">
        <f>_xlfn.XLOOKUP(CustomerCombinedCleaned[[#This Row],[ID]], Table2[ID],Table2[Pilot], "Not Found", 0 )</f>
        <v>0</v>
      </c>
      <c r="Y1889" s="16">
        <f>_xlfn.XLOOKUP(CustomerCombinedCleaned[[#This Row],[ID]], Table2[ID],Table2[MC1], "Not Found", 0 )</f>
        <v>0</v>
      </c>
      <c r="Z1889" s="16">
        <f>_xlfn.XLOOKUP(CustomerCombinedCleaned[[#This Row],[ID]], Table2[ID],Table2[MC2], "Not Found", 0 )</f>
        <v>0</v>
      </c>
      <c r="AA1889" s="16">
        <f>_xlfn.XLOOKUP(CustomerCombinedCleaned[[#This Row],[ID]], Table2[ID],Table2[MC3], "Not Found", 0 )</f>
        <v>0</v>
      </c>
      <c r="AB1889" s="16">
        <f>_xlfn.XLOOKUP(CustomerCombinedCleaned[[#This Row],[ID]], Table2[ID],Table2[MC4], "Not Found", 0 )</f>
        <v>1</v>
      </c>
      <c r="AC1889" s="16">
        <f>_xlfn.XLOOKUP(CustomerCombinedCleaned[[#This Row],[ID]], Table2[ID],Table2[MC5], "Not Found", 0 )</f>
        <v>0</v>
      </c>
    </row>
    <row r="1890" spans="1:29" x14ac:dyDescent="0.3">
      <c r="A1890" s="18">
        <v>1794</v>
      </c>
      <c r="B1890" s="16">
        <v>152750</v>
      </c>
      <c r="C1890" s="16">
        <v>0</v>
      </c>
      <c r="D1890" s="16">
        <v>1</v>
      </c>
      <c r="E1890" s="16">
        <v>65</v>
      </c>
      <c r="F1890" s="17" t="s">
        <v>6</v>
      </c>
      <c r="G1890" s="17" t="s">
        <v>12</v>
      </c>
      <c r="H1890" s="3" t="s">
        <v>736</v>
      </c>
      <c r="I1890" s="5" t="s">
        <v>436</v>
      </c>
      <c r="J1890" s="16">
        <f>_xlfn.XLOOKUP(CustomerCombinedCleaned[[#This Row],[ID]], Table4[ID], Table4[Recency], "Not Found", 0)</f>
        <v>72</v>
      </c>
      <c r="K1890" s="16">
        <f>_xlfn.XLOOKUP(CustomerCombinedCleaned[[#This Row],[ID]], Table4[ID], Table4[Teas], "Not Found", 0)</f>
        <v>1138</v>
      </c>
      <c r="L1890" s="16">
        <f>_xlfn.XLOOKUP(CustomerCombinedCleaned[[#This Row],[ID]], Table4[ID], Table4[Fruits], "Not Found", 0)</f>
        <v>0</v>
      </c>
      <c r="M1890" s="16">
        <f>_xlfn.XLOOKUP(CustomerCombinedCleaned[[#This Row],[ID]], Table4[ID], Table4[Meats], "Not Found", 0)</f>
        <v>692</v>
      </c>
      <c r="N1890" s="16">
        <f>_xlfn.XLOOKUP(CustomerCombinedCleaned[[#This Row],[ID]], Table4[ID], Table4[Seafood], "Not Found", 0)</f>
        <v>261</v>
      </c>
      <c r="O1890" s="16">
        <f>_xlfn.XLOOKUP(CustomerCombinedCleaned[[#This Row],[ID]], Table4[ID], Table4[Sweets], "Not Found", 0)</f>
        <v>200</v>
      </c>
      <c r="P1890" s="16">
        <f>_xlfn.XLOOKUP(CustomerCombinedCleaned[[#This Row],[ID]], Table4[ID], Table4[Premium], "Not Found", 0)</f>
        <v>200</v>
      </c>
      <c r="Q1890" s="16">
        <f>_xlfn.XLOOKUP(CustomerCombinedCleaned[[#This Row],[ID]], Table4[ID], Table4[Regular], "Not Found", 0)</f>
        <v>2091</v>
      </c>
      <c r="R1890" s="16">
        <f>_xlfn.XLOOKUP(CustomerCombinedCleaned[[#This Row],[ID]], Table4[ID], Table4[Deals], "Not Found", 0)</f>
        <v>6</v>
      </c>
      <c r="S1890" s="16">
        <f>_xlfn.XLOOKUP(CustomerCombinedCleaned[[#This Row],[ID]], Table4[ID], Table4[Website], "Not Found", 0)</f>
        <v>5</v>
      </c>
      <c r="T1890" s="16">
        <f>_xlfn.XLOOKUP(CustomerCombinedCleaned[[#This Row],[ID]], Table4[ID], Table4[Catalog], "Not Found", 0)</f>
        <v>7</v>
      </c>
      <c r="U1890" s="16">
        <f>_xlfn.XLOOKUP(CustomerCombinedCleaned[[#This Row],[ID]], Table4[ID], Table4[Store], "Not Found", 0)</f>
        <v>9</v>
      </c>
      <c r="V1890" s="16">
        <f>_xlfn.XLOOKUP(CustomerCombinedCleaned[[#This Row],[ID]], Table4[ID], Table4[Visits], "Not Found", 0)</f>
        <v>4</v>
      </c>
      <c r="W1890" s="16">
        <f>_xlfn.XLOOKUP(CustomerCombinedCleaned[[#This Row],[ID]], Table2[ID],Table2[Complaint], "Not Found", 0 )</f>
        <v>0</v>
      </c>
      <c r="X1890" s="16">
        <f>_xlfn.XLOOKUP(CustomerCombinedCleaned[[#This Row],[ID]], Table2[ID],Table2[Pilot], "Not Found", 0 )</f>
        <v>0</v>
      </c>
      <c r="Y1890" s="16">
        <f>_xlfn.XLOOKUP(CustomerCombinedCleaned[[#This Row],[ID]], Table2[ID],Table2[MC1], "Not Found", 0 )</f>
        <v>0</v>
      </c>
      <c r="Z1890" s="16">
        <f>_xlfn.XLOOKUP(CustomerCombinedCleaned[[#This Row],[ID]], Table2[ID],Table2[MC2], "Not Found", 0 )</f>
        <v>0</v>
      </c>
      <c r="AA1890" s="16">
        <f>_xlfn.XLOOKUP(CustomerCombinedCleaned[[#This Row],[ID]], Table2[ID],Table2[MC3], "Not Found", 0 )</f>
        <v>0</v>
      </c>
      <c r="AB1890" s="16">
        <f>_xlfn.XLOOKUP(CustomerCombinedCleaned[[#This Row],[ID]], Table2[ID],Table2[MC4], "Not Found", 0 )</f>
        <v>0</v>
      </c>
      <c r="AC1890" s="16">
        <f>_xlfn.XLOOKUP(CustomerCombinedCleaned[[#This Row],[ID]], Table2[ID],Table2[MC5], "Not Found", 0 )</f>
        <v>0</v>
      </c>
    </row>
    <row r="1891" spans="1:29" x14ac:dyDescent="0.3">
      <c r="A1891" s="18">
        <v>1759</v>
      </c>
      <c r="B1891" s="16">
        <v>151124</v>
      </c>
      <c r="C1891" s="16">
        <v>1</v>
      </c>
      <c r="D1891" s="16">
        <v>1</v>
      </c>
      <c r="E1891" s="16">
        <v>65</v>
      </c>
      <c r="F1891" s="17" t="s">
        <v>7</v>
      </c>
      <c r="G1891" s="17" t="s">
        <v>12</v>
      </c>
      <c r="H1891" s="3" t="s">
        <v>130</v>
      </c>
      <c r="I1891" s="5" t="s">
        <v>437</v>
      </c>
      <c r="J1891" s="16">
        <f>_xlfn.XLOOKUP(CustomerCombinedCleaned[[#This Row],[ID]], Table4[ID], Table4[Recency], "Not Found", 0)</f>
        <v>79</v>
      </c>
      <c r="K1891" s="16">
        <f>_xlfn.XLOOKUP(CustomerCombinedCleaned[[#This Row],[ID]], Table4[ID], Table4[Teas], "Not Found", 0)</f>
        <v>77</v>
      </c>
      <c r="L1891" s="16">
        <f>_xlfn.XLOOKUP(CustomerCombinedCleaned[[#This Row],[ID]], Table4[ID], Table4[Fruits], "Not Found", 0)</f>
        <v>3</v>
      </c>
      <c r="M1891" s="16">
        <f>_xlfn.XLOOKUP(CustomerCombinedCleaned[[#This Row],[ID]], Table4[ID], Table4[Meats], "Not Found", 0)</f>
        <v>33</v>
      </c>
      <c r="N1891" s="16">
        <f>_xlfn.XLOOKUP(CustomerCombinedCleaned[[#This Row],[ID]], Table4[ID], Table4[Seafood], "Not Found", 0)</f>
        <v>0</v>
      </c>
      <c r="O1891" s="16">
        <f>_xlfn.XLOOKUP(CustomerCombinedCleaned[[#This Row],[ID]], Table4[ID], Table4[Sweets], "Not Found", 0)</f>
        <v>3</v>
      </c>
      <c r="P1891" s="16">
        <f>_xlfn.XLOOKUP(CustomerCombinedCleaned[[#This Row],[ID]], Table4[ID], Table4[Premium], "Not Found", 0)</f>
        <v>12</v>
      </c>
      <c r="Q1891" s="16">
        <f>_xlfn.XLOOKUP(CustomerCombinedCleaned[[#This Row],[ID]], Table4[ID], Table4[Regular], "Not Found", 0)</f>
        <v>103</v>
      </c>
      <c r="R1891" s="16">
        <f>_xlfn.XLOOKUP(CustomerCombinedCleaned[[#This Row],[ID]], Table4[ID], Table4[Deals], "Not Found", 0)</f>
        <v>2</v>
      </c>
      <c r="S1891" s="16">
        <f>_xlfn.XLOOKUP(CustomerCombinedCleaned[[#This Row],[ID]], Table4[ID], Table4[Website], "Not Found", 0)</f>
        <v>1</v>
      </c>
      <c r="T1891" s="16">
        <f>_xlfn.XLOOKUP(CustomerCombinedCleaned[[#This Row],[ID]], Table4[ID], Table4[Catalog], "Not Found", 0)</f>
        <v>0</v>
      </c>
      <c r="U1891" s="16">
        <f>_xlfn.XLOOKUP(CustomerCombinedCleaned[[#This Row],[ID]], Table4[ID], Table4[Store], "Not Found", 0)</f>
        <v>3</v>
      </c>
      <c r="V1891" s="16">
        <f>_xlfn.XLOOKUP(CustomerCombinedCleaned[[#This Row],[ID]], Table4[ID], Table4[Visits], "Not Found", 0)</f>
        <v>3</v>
      </c>
      <c r="W1891" s="16">
        <f>_xlfn.XLOOKUP(CustomerCombinedCleaned[[#This Row],[ID]], Table2[ID],Table2[Complaint], "Not Found", 0 )</f>
        <v>0</v>
      </c>
      <c r="X1891" s="16">
        <f>_xlfn.XLOOKUP(CustomerCombinedCleaned[[#This Row],[ID]], Table2[ID],Table2[Pilot], "Not Found", 0 )</f>
        <v>0</v>
      </c>
      <c r="Y1891" s="16">
        <f>_xlfn.XLOOKUP(CustomerCombinedCleaned[[#This Row],[ID]], Table2[ID],Table2[MC1], "Not Found", 0 )</f>
        <v>0</v>
      </c>
      <c r="Z1891" s="16">
        <f>_xlfn.XLOOKUP(CustomerCombinedCleaned[[#This Row],[ID]], Table2[ID],Table2[MC2], "Not Found", 0 )</f>
        <v>0</v>
      </c>
      <c r="AA1891" s="16">
        <f>_xlfn.XLOOKUP(CustomerCombinedCleaned[[#This Row],[ID]], Table2[ID],Table2[MC3], "Not Found", 0 )</f>
        <v>0</v>
      </c>
      <c r="AB1891" s="16">
        <f>_xlfn.XLOOKUP(CustomerCombinedCleaned[[#This Row],[ID]], Table2[ID],Table2[MC4], "Not Found", 0 )</f>
        <v>0</v>
      </c>
      <c r="AC1891" s="16">
        <f>_xlfn.XLOOKUP(CustomerCombinedCleaned[[#This Row],[ID]], Table2[ID],Table2[MC5], "Not Found", 0 )</f>
        <v>0</v>
      </c>
    </row>
    <row r="1892" spans="1:29" x14ac:dyDescent="0.3">
      <c r="A1892" s="18">
        <v>1340</v>
      </c>
      <c r="B1892" s="16">
        <v>150737</v>
      </c>
      <c r="C1892" s="16">
        <v>0</v>
      </c>
      <c r="D1892" s="16">
        <v>1</v>
      </c>
      <c r="E1892" s="16">
        <v>65</v>
      </c>
      <c r="F1892" s="17" t="s">
        <v>6</v>
      </c>
      <c r="G1892" s="17" t="s">
        <v>11</v>
      </c>
      <c r="H1892" s="3" t="s">
        <v>260</v>
      </c>
      <c r="I1892" s="5" t="s">
        <v>438</v>
      </c>
      <c r="J1892" s="16">
        <f>_xlfn.XLOOKUP(CustomerCombinedCleaned[[#This Row],[ID]], Table4[ID], Table4[Recency], "Not Found", 0)</f>
        <v>61</v>
      </c>
      <c r="K1892" s="16">
        <f>_xlfn.XLOOKUP(CustomerCombinedCleaned[[#This Row],[ID]], Table4[ID], Table4[Teas], "Not Found", 0)</f>
        <v>232</v>
      </c>
      <c r="L1892" s="16">
        <f>_xlfn.XLOOKUP(CustomerCombinedCleaned[[#This Row],[ID]], Table4[ID], Table4[Fruits], "Not Found", 0)</f>
        <v>0</v>
      </c>
      <c r="M1892" s="16">
        <f>_xlfn.XLOOKUP(CustomerCombinedCleaned[[#This Row],[ID]], Table4[ID], Table4[Meats], "Not Found", 0)</f>
        <v>33</v>
      </c>
      <c r="N1892" s="16">
        <f>_xlfn.XLOOKUP(CustomerCombinedCleaned[[#This Row],[ID]], Table4[ID], Table4[Seafood], "Not Found", 0)</f>
        <v>0</v>
      </c>
      <c r="O1892" s="16">
        <f>_xlfn.XLOOKUP(CustomerCombinedCleaned[[#This Row],[ID]], Table4[ID], Table4[Sweets], "Not Found", 0)</f>
        <v>0</v>
      </c>
      <c r="P1892" s="16">
        <f>_xlfn.XLOOKUP(CustomerCombinedCleaned[[#This Row],[ID]], Table4[ID], Table4[Premium], "Not Found", 0)</f>
        <v>30</v>
      </c>
      <c r="Q1892" s="16">
        <f>_xlfn.XLOOKUP(CustomerCombinedCleaned[[#This Row],[ID]], Table4[ID], Table4[Regular], "Not Found", 0)</f>
        <v>235</v>
      </c>
      <c r="R1892" s="16">
        <f>_xlfn.XLOOKUP(CustomerCombinedCleaned[[#This Row],[ID]], Table4[ID], Table4[Deals], "Not Found", 0)</f>
        <v>1</v>
      </c>
      <c r="S1892" s="16">
        <f>_xlfn.XLOOKUP(CustomerCombinedCleaned[[#This Row],[ID]], Table4[ID], Table4[Website], "Not Found", 0)</f>
        <v>2</v>
      </c>
      <c r="T1892" s="16">
        <f>_xlfn.XLOOKUP(CustomerCombinedCleaned[[#This Row],[ID]], Table4[ID], Table4[Catalog], "Not Found", 0)</f>
        <v>0</v>
      </c>
      <c r="U1892" s="16">
        <f>_xlfn.XLOOKUP(CustomerCombinedCleaned[[#This Row],[ID]], Table4[ID], Table4[Store], "Not Found", 0)</f>
        <v>4</v>
      </c>
      <c r="V1892" s="16">
        <f>_xlfn.XLOOKUP(CustomerCombinedCleaned[[#This Row],[ID]], Table4[ID], Table4[Visits], "Not Found", 0)</f>
        <v>6</v>
      </c>
      <c r="W1892" s="16">
        <f>_xlfn.XLOOKUP(CustomerCombinedCleaned[[#This Row],[ID]], Table2[ID],Table2[Complaint], "Not Found", 0 )</f>
        <v>0</v>
      </c>
      <c r="X1892" s="16">
        <f>_xlfn.XLOOKUP(CustomerCombinedCleaned[[#This Row],[ID]], Table2[ID],Table2[Pilot], "Not Found", 0 )</f>
        <v>0</v>
      </c>
      <c r="Y1892" s="16">
        <f>_xlfn.XLOOKUP(CustomerCombinedCleaned[[#This Row],[ID]], Table2[ID],Table2[MC1], "Not Found", 0 )</f>
        <v>0</v>
      </c>
      <c r="Z1892" s="16">
        <f>_xlfn.XLOOKUP(CustomerCombinedCleaned[[#This Row],[ID]], Table2[ID],Table2[MC2], "Not Found", 0 )</f>
        <v>0</v>
      </c>
      <c r="AA1892" s="16">
        <f>_xlfn.XLOOKUP(CustomerCombinedCleaned[[#This Row],[ID]], Table2[ID],Table2[MC3], "Not Found", 0 )</f>
        <v>0</v>
      </c>
      <c r="AB1892" s="16">
        <f>_xlfn.XLOOKUP(CustomerCombinedCleaned[[#This Row],[ID]], Table2[ID],Table2[MC4], "Not Found", 0 )</f>
        <v>1</v>
      </c>
      <c r="AC1892" s="16">
        <f>_xlfn.XLOOKUP(CustomerCombinedCleaned[[#This Row],[ID]], Table2[ID],Table2[MC5], "Not Found", 0 )</f>
        <v>0</v>
      </c>
    </row>
    <row r="1893" spans="1:29" x14ac:dyDescent="0.3">
      <c r="A1893" s="18">
        <v>2480</v>
      </c>
      <c r="B1893" s="16">
        <v>149667</v>
      </c>
      <c r="C1893" s="16">
        <v>0</v>
      </c>
      <c r="D1893" s="16">
        <v>0</v>
      </c>
      <c r="E1893" s="16">
        <v>65</v>
      </c>
      <c r="F1893" s="17" t="s">
        <v>7</v>
      </c>
      <c r="G1893" s="17" t="s">
        <v>13</v>
      </c>
      <c r="H1893" s="3" t="s">
        <v>408</v>
      </c>
      <c r="I1893" s="5" t="s">
        <v>438</v>
      </c>
      <c r="J1893" s="16">
        <f>_xlfn.XLOOKUP(CustomerCombinedCleaned[[#This Row],[ID]], Table4[ID], Table4[Recency], "Not Found", 0)</f>
        <v>35</v>
      </c>
      <c r="K1893" s="16">
        <f>_xlfn.XLOOKUP(CustomerCombinedCleaned[[#This Row],[ID]], Table4[ID], Table4[Teas], "Not Found", 0)</f>
        <v>3559</v>
      </c>
      <c r="L1893" s="16">
        <f>_xlfn.XLOOKUP(CustomerCombinedCleaned[[#This Row],[ID]], Table4[ID], Table4[Fruits], "Not Found", 0)</f>
        <v>78</v>
      </c>
      <c r="M1893" s="16">
        <f>_xlfn.XLOOKUP(CustomerCombinedCleaned[[#This Row],[ID]], Table4[ID], Table4[Meats], "Not Found", 0)</f>
        <v>362</v>
      </c>
      <c r="N1893" s="16">
        <f>_xlfn.XLOOKUP(CustomerCombinedCleaned[[#This Row],[ID]], Table4[ID], Table4[Seafood], "Not Found", 0)</f>
        <v>51</v>
      </c>
      <c r="O1893" s="16">
        <f>_xlfn.XLOOKUP(CustomerCombinedCleaned[[#This Row],[ID]], Table4[ID], Table4[Sweets], "Not Found", 0)</f>
        <v>39</v>
      </c>
      <c r="P1893" s="16">
        <f>_xlfn.XLOOKUP(CustomerCombinedCleaned[[#This Row],[ID]], Table4[ID], Table4[Premium], "Not Found", 0)</f>
        <v>118</v>
      </c>
      <c r="Q1893" s="16">
        <f>_xlfn.XLOOKUP(CustomerCombinedCleaned[[#This Row],[ID]], Table4[ID], Table4[Regular], "Not Found", 0)</f>
        <v>3972</v>
      </c>
      <c r="R1893" s="16">
        <f>_xlfn.XLOOKUP(CustomerCombinedCleaned[[#This Row],[ID]], Table4[ID], Table4[Deals], "Not Found", 0)</f>
        <v>2</v>
      </c>
      <c r="S1893" s="16">
        <f>_xlfn.XLOOKUP(CustomerCombinedCleaned[[#This Row],[ID]], Table4[ID], Table4[Website], "Not Found", 0)</f>
        <v>5</v>
      </c>
      <c r="T1893" s="16">
        <f>_xlfn.XLOOKUP(CustomerCombinedCleaned[[#This Row],[ID]], Table4[ID], Table4[Catalog], "Not Found", 0)</f>
        <v>10</v>
      </c>
      <c r="U1893" s="16">
        <f>_xlfn.XLOOKUP(CustomerCombinedCleaned[[#This Row],[ID]], Table4[ID], Table4[Store], "Not Found", 0)</f>
        <v>5</v>
      </c>
      <c r="V1893" s="16">
        <f>_xlfn.XLOOKUP(CustomerCombinedCleaned[[#This Row],[ID]], Table4[ID], Table4[Visits], "Not Found", 0)</f>
        <v>8</v>
      </c>
      <c r="W1893" s="16">
        <f>_xlfn.XLOOKUP(CustomerCombinedCleaned[[#This Row],[ID]], Table2[ID],Table2[Complaint], "Not Found", 0 )</f>
        <v>0</v>
      </c>
      <c r="X1893" s="16">
        <f>_xlfn.XLOOKUP(CustomerCombinedCleaned[[#This Row],[ID]], Table2[ID],Table2[Pilot], "Not Found", 0 )</f>
        <v>1</v>
      </c>
      <c r="Y1893" s="16">
        <f>_xlfn.XLOOKUP(CustomerCombinedCleaned[[#This Row],[ID]], Table2[ID],Table2[MC1], "Not Found", 0 )</f>
        <v>0</v>
      </c>
      <c r="Z1893" s="16">
        <f>_xlfn.XLOOKUP(CustomerCombinedCleaned[[#This Row],[ID]], Table2[ID],Table2[MC2], "Not Found", 0 )</f>
        <v>0</v>
      </c>
      <c r="AA1893" s="16">
        <f>_xlfn.XLOOKUP(CustomerCombinedCleaned[[#This Row],[ID]], Table2[ID],Table2[MC3], "Not Found", 0 )</f>
        <v>1</v>
      </c>
      <c r="AB1893" s="16">
        <f>_xlfn.XLOOKUP(CustomerCombinedCleaned[[#This Row],[ID]], Table2[ID],Table2[MC4], "Not Found", 0 )</f>
        <v>0</v>
      </c>
      <c r="AC1893" s="16">
        <f>_xlfn.XLOOKUP(CustomerCombinedCleaned[[#This Row],[ID]], Table2[ID],Table2[MC5], "Not Found", 0 )</f>
        <v>0</v>
      </c>
    </row>
    <row r="1894" spans="1:29" x14ac:dyDescent="0.3">
      <c r="A1894" s="18">
        <v>1637</v>
      </c>
      <c r="B1894" s="16">
        <v>149431</v>
      </c>
      <c r="C1894" s="16">
        <v>0</v>
      </c>
      <c r="D1894" s="16">
        <v>1</v>
      </c>
      <c r="E1894" s="16">
        <v>65</v>
      </c>
      <c r="F1894" s="17" t="s">
        <v>5</v>
      </c>
      <c r="G1894" s="17" t="s">
        <v>11</v>
      </c>
      <c r="H1894" s="3" t="s">
        <v>700</v>
      </c>
      <c r="I1894" s="5" t="s">
        <v>434</v>
      </c>
      <c r="J1894" s="16">
        <f>_xlfn.XLOOKUP(CustomerCombinedCleaned[[#This Row],[ID]], Table4[ID], Table4[Recency], "Not Found", 0)</f>
        <v>9</v>
      </c>
      <c r="K1894" s="16">
        <f>_xlfn.XLOOKUP(CustomerCombinedCleaned[[#This Row],[ID]], Table4[ID], Table4[Teas], "Not Found", 0)</f>
        <v>662</v>
      </c>
      <c r="L1894" s="16">
        <f>_xlfn.XLOOKUP(CustomerCombinedCleaned[[#This Row],[ID]], Table4[ID], Table4[Fruits], "Not Found", 0)</f>
        <v>9</v>
      </c>
      <c r="M1894" s="16">
        <f>_xlfn.XLOOKUP(CustomerCombinedCleaned[[#This Row],[ID]], Table4[ID], Table4[Meats], "Not Found", 0)</f>
        <v>302</v>
      </c>
      <c r="N1894" s="16">
        <f>_xlfn.XLOOKUP(CustomerCombinedCleaned[[#This Row],[ID]], Table4[ID], Table4[Seafood], "Not Found", 0)</f>
        <v>79</v>
      </c>
      <c r="O1894" s="16">
        <f>_xlfn.XLOOKUP(CustomerCombinedCleaned[[#This Row],[ID]], Table4[ID], Table4[Sweets], "Not Found", 0)</f>
        <v>0</v>
      </c>
      <c r="P1894" s="16">
        <f>_xlfn.XLOOKUP(CustomerCombinedCleaned[[#This Row],[ID]], Table4[ID], Table4[Premium], "Not Found", 0)</f>
        <v>51</v>
      </c>
      <c r="Q1894" s="16">
        <f>_xlfn.XLOOKUP(CustomerCombinedCleaned[[#This Row],[ID]], Table4[ID], Table4[Regular], "Not Found", 0)</f>
        <v>1001</v>
      </c>
      <c r="R1894" s="16">
        <f>_xlfn.XLOOKUP(CustomerCombinedCleaned[[#This Row],[ID]], Table4[ID], Table4[Deals], "Not Found", 0)</f>
        <v>2</v>
      </c>
      <c r="S1894" s="16">
        <f>_xlfn.XLOOKUP(CustomerCombinedCleaned[[#This Row],[ID]], Table4[ID], Table4[Website], "Not Found", 0)</f>
        <v>7</v>
      </c>
      <c r="T1894" s="16">
        <f>_xlfn.XLOOKUP(CustomerCombinedCleaned[[#This Row],[ID]], Table4[ID], Table4[Catalog], "Not Found", 0)</f>
        <v>1</v>
      </c>
      <c r="U1894" s="16">
        <f>_xlfn.XLOOKUP(CustomerCombinedCleaned[[#This Row],[ID]], Table4[ID], Table4[Store], "Not Found", 0)</f>
        <v>5</v>
      </c>
      <c r="V1894" s="16">
        <f>_xlfn.XLOOKUP(CustomerCombinedCleaned[[#This Row],[ID]], Table4[ID], Table4[Visits], "Not Found", 0)</f>
        <v>8</v>
      </c>
      <c r="W1894" s="16">
        <f>_xlfn.XLOOKUP(CustomerCombinedCleaned[[#This Row],[ID]], Table2[ID],Table2[Complaint], "Not Found", 0 )</f>
        <v>0</v>
      </c>
      <c r="X1894" s="16">
        <f>_xlfn.XLOOKUP(CustomerCombinedCleaned[[#This Row],[ID]], Table2[ID],Table2[Pilot], "Not Found", 0 )</f>
        <v>0</v>
      </c>
      <c r="Y1894" s="16">
        <f>_xlfn.XLOOKUP(CustomerCombinedCleaned[[#This Row],[ID]], Table2[ID],Table2[MC1], "Not Found", 0 )</f>
        <v>0</v>
      </c>
      <c r="Z1894" s="16">
        <f>_xlfn.XLOOKUP(CustomerCombinedCleaned[[#This Row],[ID]], Table2[ID],Table2[MC2], "Not Found", 0 )</f>
        <v>0</v>
      </c>
      <c r="AA1894" s="16">
        <f>_xlfn.XLOOKUP(CustomerCombinedCleaned[[#This Row],[ID]], Table2[ID],Table2[MC3], "Not Found", 0 )</f>
        <v>0</v>
      </c>
      <c r="AB1894" s="16">
        <f>_xlfn.XLOOKUP(CustomerCombinedCleaned[[#This Row],[ID]], Table2[ID],Table2[MC4], "Not Found", 0 )</f>
        <v>0</v>
      </c>
      <c r="AC1894" s="16">
        <f>_xlfn.XLOOKUP(CustomerCombinedCleaned[[#This Row],[ID]], Table2[ID],Table2[MC5], "Not Found", 0 )</f>
        <v>0</v>
      </c>
    </row>
    <row r="1895" spans="1:29" x14ac:dyDescent="0.3">
      <c r="A1895" s="18">
        <v>1746</v>
      </c>
      <c r="B1895" s="16">
        <v>148726</v>
      </c>
      <c r="C1895" s="16">
        <v>0</v>
      </c>
      <c r="D1895" s="16">
        <v>1</v>
      </c>
      <c r="E1895" s="16">
        <v>65</v>
      </c>
      <c r="F1895" s="17" t="s">
        <v>6</v>
      </c>
      <c r="G1895" s="17" t="s">
        <v>11</v>
      </c>
      <c r="H1895" s="3" t="s">
        <v>735</v>
      </c>
      <c r="I1895" s="5" t="s">
        <v>436</v>
      </c>
      <c r="J1895" s="16">
        <f>_xlfn.XLOOKUP(CustomerCombinedCleaned[[#This Row],[ID]], Table4[ID], Table4[Recency], "Not Found", 0)</f>
        <v>90</v>
      </c>
      <c r="K1895" s="16">
        <f>_xlfn.XLOOKUP(CustomerCombinedCleaned[[#This Row],[ID]], Table4[ID], Table4[Teas], "Not Found", 0)</f>
        <v>421</v>
      </c>
      <c r="L1895" s="16">
        <f>_xlfn.XLOOKUP(CustomerCombinedCleaned[[#This Row],[ID]], Table4[ID], Table4[Fruits], "Not Found", 0)</f>
        <v>9</v>
      </c>
      <c r="M1895" s="16">
        <f>_xlfn.XLOOKUP(CustomerCombinedCleaned[[#This Row],[ID]], Table4[ID], Table4[Meats], "Not Found", 0)</f>
        <v>116</v>
      </c>
      <c r="N1895" s="16">
        <f>_xlfn.XLOOKUP(CustomerCombinedCleaned[[#This Row],[ID]], Table4[ID], Table4[Seafood], "Not Found", 0)</f>
        <v>12</v>
      </c>
      <c r="O1895" s="16">
        <f>_xlfn.XLOOKUP(CustomerCombinedCleaned[[#This Row],[ID]], Table4[ID], Table4[Sweets], "Not Found", 0)</f>
        <v>0</v>
      </c>
      <c r="P1895" s="16">
        <f>_xlfn.XLOOKUP(CustomerCombinedCleaned[[#This Row],[ID]], Table4[ID], Table4[Premium], "Not Found", 0)</f>
        <v>180</v>
      </c>
      <c r="Q1895" s="16">
        <f>_xlfn.XLOOKUP(CustomerCombinedCleaned[[#This Row],[ID]], Table4[ID], Table4[Regular], "Not Found", 0)</f>
        <v>378</v>
      </c>
      <c r="R1895" s="16">
        <f>_xlfn.XLOOKUP(CustomerCombinedCleaned[[#This Row],[ID]], Table4[ID], Table4[Deals], "Not Found", 0)</f>
        <v>3</v>
      </c>
      <c r="S1895" s="16">
        <f>_xlfn.XLOOKUP(CustomerCombinedCleaned[[#This Row],[ID]], Table4[ID], Table4[Website], "Not Found", 0)</f>
        <v>3</v>
      </c>
      <c r="T1895" s="16">
        <f>_xlfn.XLOOKUP(CustomerCombinedCleaned[[#This Row],[ID]], Table4[ID], Table4[Catalog], "Not Found", 0)</f>
        <v>2</v>
      </c>
      <c r="U1895" s="16">
        <f>_xlfn.XLOOKUP(CustomerCombinedCleaned[[#This Row],[ID]], Table4[ID], Table4[Store], "Not Found", 0)</f>
        <v>4</v>
      </c>
      <c r="V1895" s="16">
        <f>_xlfn.XLOOKUP(CustomerCombinedCleaned[[#This Row],[ID]], Table4[ID], Table4[Visits], "Not Found", 0)</f>
        <v>6</v>
      </c>
      <c r="W1895" s="16">
        <f>_xlfn.XLOOKUP(CustomerCombinedCleaned[[#This Row],[ID]], Table2[ID],Table2[Complaint], "Not Found", 0 )</f>
        <v>0</v>
      </c>
      <c r="X1895" s="16">
        <f>_xlfn.XLOOKUP(CustomerCombinedCleaned[[#This Row],[ID]], Table2[ID],Table2[Pilot], "Not Found", 0 )</f>
        <v>0</v>
      </c>
      <c r="Y1895" s="16">
        <f>_xlfn.XLOOKUP(CustomerCombinedCleaned[[#This Row],[ID]], Table2[ID],Table2[MC1], "Not Found", 0 )</f>
        <v>0</v>
      </c>
      <c r="Z1895" s="16">
        <f>_xlfn.XLOOKUP(CustomerCombinedCleaned[[#This Row],[ID]], Table2[ID],Table2[MC2], "Not Found", 0 )</f>
        <v>0</v>
      </c>
      <c r="AA1895" s="16">
        <f>_xlfn.XLOOKUP(CustomerCombinedCleaned[[#This Row],[ID]], Table2[ID],Table2[MC3], "Not Found", 0 )</f>
        <v>0</v>
      </c>
      <c r="AB1895" s="16">
        <f>_xlfn.XLOOKUP(CustomerCombinedCleaned[[#This Row],[ID]], Table2[ID],Table2[MC4], "Not Found", 0 )</f>
        <v>0</v>
      </c>
      <c r="AC1895" s="16">
        <f>_xlfn.XLOOKUP(CustomerCombinedCleaned[[#This Row],[ID]], Table2[ID],Table2[MC5], "Not Found", 0 )</f>
        <v>0</v>
      </c>
    </row>
    <row r="1896" spans="1:29" x14ac:dyDescent="0.3">
      <c r="A1896" s="18">
        <v>2359</v>
      </c>
      <c r="B1896" s="16">
        <v>146390</v>
      </c>
      <c r="C1896" s="16">
        <v>0</v>
      </c>
      <c r="D1896" s="16">
        <v>1</v>
      </c>
      <c r="E1896" s="16">
        <v>65</v>
      </c>
      <c r="F1896" s="17" t="s">
        <v>5</v>
      </c>
      <c r="G1896" s="17" t="s">
        <v>12</v>
      </c>
      <c r="H1896" s="3" t="s">
        <v>760</v>
      </c>
      <c r="I1896" s="5" t="s">
        <v>437</v>
      </c>
      <c r="J1896" s="16">
        <f>_xlfn.XLOOKUP(CustomerCombinedCleaned[[#This Row],[ID]], Table4[ID], Table4[Recency], "Not Found", 0)</f>
        <v>56</v>
      </c>
      <c r="K1896" s="16">
        <f>_xlfn.XLOOKUP(CustomerCombinedCleaned[[#This Row],[ID]], Table4[ID], Table4[Teas], "Not Found", 0)</f>
        <v>300</v>
      </c>
      <c r="L1896" s="16">
        <f>_xlfn.XLOOKUP(CustomerCombinedCleaned[[#This Row],[ID]], Table4[ID], Table4[Fruits], "Not Found", 0)</f>
        <v>44</v>
      </c>
      <c r="M1896" s="16">
        <f>_xlfn.XLOOKUP(CustomerCombinedCleaned[[#This Row],[ID]], Table4[ID], Table4[Meats], "Not Found", 0)</f>
        <v>202</v>
      </c>
      <c r="N1896" s="16">
        <f>_xlfn.XLOOKUP(CustomerCombinedCleaned[[#This Row],[ID]], Table4[ID], Table4[Seafood], "Not Found", 0)</f>
        <v>6</v>
      </c>
      <c r="O1896" s="16">
        <f>_xlfn.XLOOKUP(CustomerCombinedCleaned[[#This Row],[ID]], Table4[ID], Table4[Sweets], "Not Found", 0)</f>
        <v>28</v>
      </c>
      <c r="P1896" s="16">
        <f>_xlfn.XLOOKUP(CustomerCombinedCleaned[[#This Row],[ID]], Table4[ID], Table4[Premium], "Not Found", 0)</f>
        <v>120</v>
      </c>
      <c r="Q1896" s="16">
        <f>_xlfn.XLOOKUP(CustomerCombinedCleaned[[#This Row],[ID]], Table4[ID], Table4[Regular], "Not Found", 0)</f>
        <v>461</v>
      </c>
      <c r="R1896" s="16">
        <f>_xlfn.XLOOKUP(CustomerCombinedCleaned[[#This Row],[ID]], Table4[ID], Table4[Deals], "Not Found", 0)</f>
        <v>1</v>
      </c>
      <c r="S1896" s="16">
        <f>_xlfn.XLOOKUP(CustomerCombinedCleaned[[#This Row],[ID]], Table4[ID], Table4[Website], "Not Found", 0)</f>
        <v>4</v>
      </c>
      <c r="T1896" s="16">
        <f>_xlfn.XLOOKUP(CustomerCombinedCleaned[[#This Row],[ID]], Table4[ID], Table4[Catalog], "Not Found", 0)</f>
        <v>2</v>
      </c>
      <c r="U1896" s="16">
        <f>_xlfn.XLOOKUP(CustomerCombinedCleaned[[#This Row],[ID]], Table4[ID], Table4[Store], "Not Found", 0)</f>
        <v>3</v>
      </c>
      <c r="V1896" s="16">
        <f>_xlfn.XLOOKUP(CustomerCombinedCleaned[[#This Row],[ID]], Table4[ID], Table4[Visits], "Not Found", 0)</f>
        <v>7</v>
      </c>
      <c r="W1896" s="16">
        <f>_xlfn.XLOOKUP(CustomerCombinedCleaned[[#This Row],[ID]], Table2[ID],Table2[Complaint], "Not Found", 0 )</f>
        <v>0</v>
      </c>
      <c r="X1896" s="16">
        <f>_xlfn.XLOOKUP(CustomerCombinedCleaned[[#This Row],[ID]], Table2[ID],Table2[Pilot], "Not Found", 0 )</f>
        <v>0</v>
      </c>
      <c r="Y1896" s="16">
        <f>_xlfn.XLOOKUP(CustomerCombinedCleaned[[#This Row],[ID]], Table2[ID],Table2[MC1], "Not Found", 0 )</f>
        <v>0</v>
      </c>
      <c r="Z1896" s="16">
        <f>_xlfn.XLOOKUP(CustomerCombinedCleaned[[#This Row],[ID]], Table2[ID],Table2[MC2], "Not Found", 0 )</f>
        <v>0</v>
      </c>
      <c r="AA1896" s="16">
        <f>_xlfn.XLOOKUP(CustomerCombinedCleaned[[#This Row],[ID]], Table2[ID],Table2[MC3], "Not Found", 0 )</f>
        <v>0</v>
      </c>
      <c r="AB1896" s="16">
        <f>_xlfn.XLOOKUP(CustomerCombinedCleaned[[#This Row],[ID]], Table2[ID],Table2[MC4], "Not Found", 0 )</f>
        <v>0</v>
      </c>
      <c r="AC1896" s="16">
        <f>_xlfn.XLOOKUP(CustomerCombinedCleaned[[#This Row],[ID]], Table2[ID],Table2[MC5], "Not Found", 0 )</f>
        <v>0</v>
      </c>
    </row>
    <row r="1897" spans="1:29" x14ac:dyDescent="0.3">
      <c r="A1897" s="18">
        <v>1901</v>
      </c>
      <c r="B1897" s="16">
        <v>146015</v>
      </c>
      <c r="C1897" s="16">
        <v>1</v>
      </c>
      <c r="D1897" s="16">
        <v>1</v>
      </c>
      <c r="E1897" s="16">
        <v>65</v>
      </c>
      <c r="F1897" s="17" t="s">
        <v>8</v>
      </c>
      <c r="G1897" s="17" t="s">
        <v>13</v>
      </c>
      <c r="H1897" s="3" t="s">
        <v>69</v>
      </c>
      <c r="I1897" s="5" t="s">
        <v>434</v>
      </c>
      <c r="J1897" s="16">
        <f>_xlfn.XLOOKUP(CustomerCombinedCleaned[[#This Row],[ID]], Table4[ID], Table4[Recency], "Not Found", 0)</f>
        <v>25</v>
      </c>
      <c r="K1897" s="16">
        <f>_xlfn.XLOOKUP(CustomerCombinedCleaned[[#This Row],[ID]], Table4[ID], Table4[Teas], "Not Found", 0)</f>
        <v>121</v>
      </c>
      <c r="L1897" s="16">
        <f>_xlfn.XLOOKUP(CustomerCombinedCleaned[[#This Row],[ID]], Table4[ID], Table4[Fruits], "Not Found", 0)</f>
        <v>0</v>
      </c>
      <c r="M1897" s="16">
        <f>_xlfn.XLOOKUP(CustomerCombinedCleaned[[#This Row],[ID]], Table4[ID], Table4[Meats], "Not Found", 0)</f>
        <v>6</v>
      </c>
      <c r="N1897" s="16">
        <f>_xlfn.XLOOKUP(CustomerCombinedCleaned[[#This Row],[ID]], Table4[ID], Table4[Seafood], "Not Found", 0)</f>
        <v>0</v>
      </c>
      <c r="O1897" s="16">
        <f>_xlfn.XLOOKUP(CustomerCombinedCleaned[[#This Row],[ID]], Table4[ID], Table4[Sweets], "Not Found", 0)</f>
        <v>0</v>
      </c>
      <c r="P1897" s="16">
        <f>_xlfn.XLOOKUP(CustomerCombinedCleaned[[#This Row],[ID]], Table4[ID], Table4[Premium], "Not Found", 0)</f>
        <v>19</v>
      </c>
      <c r="Q1897" s="16">
        <f>_xlfn.XLOOKUP(CustomerCombinedCleaned[[#This Row],[ID]], Table4[ID], Table4[Regular], "Not Found", 0)</f>
        <v>108</v>
      </c>
      <c r="R1897" s="16">
        <f>_xlfn.XLOOKUP(CustomerCombinedCleaned[[#This Row],[ID]], Table4[ID], Table4[Deals], "Not Found", 0)</f>
        <v>1</v>
      </c>
      <c r="S1897" s="16">
        <f>_xlfn.XLOOKUP(CustomerCombinedCleaned[[#This Row],[ID]], Table4[ID], Table4[Website], "Not Found", 0)</f>
        <v>1</v>
      </c>
      <c r="T1897" s="16">
        <f>_xlfn.XLOOKUP(CustomerCombinedCleaned[[#This Row],[ID]], Table4[ID], Table4[Catalog], "Not Found", 0)</f>
        <v>0</v>
      </c>
      <c r="U1897" s="16">
        <f>_xlfn.XLOOKUP(CustomerCombinedCleaned[[#This Row],[ID]], Table4[ID], Table4[Store], "Not Found", 0)</f>
        <v>3</v>
      </c>
      <c r="V1897" s="16">
        <f>_xlfn.XLOOKUP(CustomerCombinedCleaned[[#This Row],[ID]], Table4[ID], Table4[Visits], "Not Found", 0)</f>
        <v>7</v>
      </c>
      <c r="W1897" s="16">
        <f>_xlfn.XLOOKUP(CustomerCombinedCleaned[[#This Row],[ID]], Table2[ID],Table2[Complaint], "Not Found", 0 )</f>
        <v>0</v>
      </c>
      <c r="X1897" s="16">
        <f>_xlfn.XLOOKUP(CustomerCombinedCleaned[[#This Row],[ID]], Table2[ID],Table2[Pilot], "Not Found", 0 )</f>
        <v>0</v>
      </c>
      <c r="Y1897" s="16">
        <f>_xlfn.XLOOKUP(CustomerCombinedCleaned[[#This Row],[ID]], Table2[ID],Table2[MC1], "Not Found", 0 )</f>
        <v>0</v>
      </c>
      <c r="Z1897" s="16">
        <f>_xlfn.XLOOKUP(CustomerCombinedCleaned[[#This Row],[ID]], Table2[ID],Table2[MC2], "Not Found", 0 )</f>
        <v>1</v>
      </c>
      <c r="AA1897" s="16">
        <f>_xlfn.XLOOKUP(CustomerCombinedCleaned[[#This Row],[ID]], Table2[ID],Table2[MC3], "Not Found", 0 )</f>
        <v>1</v>
      </c>
      <c r="AB1897" s="16">
        <f>_xlfn.XLOOKUP(CustomerCombinedCleaned[[#This Row],[ID]], Table2[ID],Table2[MC4], "Not Found", 0 )</f>
        <v>0</v>
      </c>
      <c r="AC1897" s="16">
        <f>_xlfn.XLOOKUP(CustomerCombinedCleaned[[#This Row],[ID]], Table2[ID],Table2[MC5], "Not Found", 0 )</f>
        <v>0</v>
      </c>
    </row>
    <row r="1898" spans="1:29" x14ac:dyDescent="0.3">
      <c r="A1898" s="18">
        <v>2438</v>
      </c>
      <c r="B1898" s="16">
        <v>146015</v>
      </c>
      <c r="C1898" s="16">
        <v>1</v>
      </c>
      <c r="D1898" s="16">
        <v>1</v>
      </c>
      <c r="E1898" s="16">
        <v>65</v>
      </c>
      <c r="F1898" s="17" t="s">
        <v>8</v>
      </c>
      <c r="G1898" s="17" t="s">
        <v>13</v>
      </c>
      <c r="H1898" s="3" t="s">
        <v>69</v>
      </c>
      <c r="I1898" s="5" t="s">
        <v>438</v>
      </c>
      <c r="J1898" s="16">
        <f>_xlfn.XLOOKUP(CustomerCombinedCleaned[[#This Row],[ID]], Table4[ID], Table4[Recency], "Not Found", 0)</f>
        <v>25</v>
      </c>
      <c r="K1898" s="16">
        <f>_xlfn.XLOOKUP(CustomerCombinedCleaned[[#This Row],[ID]], Table4[ID], Table4[Teas], "Not Found", 0)</f>
        <v>121</v>
      </c>
      <c r="L1898" s="16">
        <f>_xlfn.XLOOKUP(CustomerCombinedCleaned[[#This Row],[ID]], Table4[ID], Table4[Fruits], "Not Found", 0)</f>
        <v>0</v>
      </c>
      <c r="M1898" s="16">
        <f>_xlfn.XLOOKUP(CustomerCombinedCleaned[[#This Row],[ID]], Table4[ID], Table4[Meats], "Not Found", 0)</f>
        <v>6</v>
      </c>
      <c r="N1898" s="16">
        <f>_xlfn.XLOOKUP(CustomerCombinedCleaned[[#This Row],[ID]], Table4[ID], Table4[Seafood], "Not Found", 0)</f>
        <v>0</v>
      </c>
      <c r="O1898" s="16">
        <f>_xlfn.XLOOKUP(CustomerCombinedCleaned[[#This Row],[ID]], Table4[ID], Table4[Sweets], "Not Found", 0)</f>
        <v>0</v>
      </c>
      <c r="P1898" s="16">
        <f>_xlfn.XLOOKUP(CustomerCombinedCleaned[[#This Row],[ID]], Table4[ID], Table4[Premium], "Not Found", 0)</f>
        <v>19</v>
      </c>
      <c r="Q1898" s="16">
        <f>_xlfn.XLOOKUP(CustomerCombinedCleaned[[#This Row],[ID]], Table4[ID], Table4[Regular], "Not Found", 0)</f>
        <v>108</v>
      </c>
      <c r="R1898" s="16">
        <f>_xlfn.XLOOKUP(CustomerCombinedCleaned[[#This Row],[ID]], Table4[ID], Table4[Deals], "Not Found", 0)</f>
        <v>1</v>
      </c>
      <c r="S1898" s="16">
        <f>_xlfn.XLOOKUP(CustomerCombinedCleaned[[#This Row],[ID]], Table4[ID], Table4[Website], "Not Found", 0)</f>
        <v>1</v>
      </c>
      <c r="T1898" s="16">
        <f>_xlfn.XLOOKUP(CustomerCombinedCleaned[[#This Row],[ID]], Table4[ID], Table4[Catalog], "Not Found", 0)</f>
        <v>0</v>
      </c>
      <c r="U1898" s="16">
        <f>_xlfn.XLOOKUP(CustomerCombinedCleaned[[#This Row],[ID]], Table4[ID], Table4[Store], "Not Found", 0)</f>
        <v>3</v>
      </c>
      <c r="V1898" s="16">
        <f>_xlfn.XLOOKUP(CustomerCombinedCleaned[[#This Row],[ID]], Table4[ID], Table4[Visits], "Not Found", 0)</f>
        <v>7</v>
      </c>
      <c r="W1898" s="16">
        <f>_xlfn.XLOOKUP(CustomerCombinedCleaned[[#This Row],[ID]], Table2[ID],Table2[Complaint], "Not Found", 0 )</f>
        <v>0</v>
      </c>
      <c r="X1898" s="16">
        <f>_xlfn.XLOOKUP(CustomerCombinedCleaned[[#This Row],[ID]], Table2[ID],Table2[Pilot], "Not Found", 0 )</f>
        <v>0</v>
      </c>
      <c r="Y1898" s="16">
        <f>_xlfn.XLOOKUP(CustomerCombinedCleaned[[#This Row],[ID]], Table2[ID],Table2[MC1], "Not Found", 0 )</f>
        <v>0</v>
      </c>
      <c r="Z1898" s="16">
        <f>_xlfn.XLOOKUP(CustomerCombinedCleaned[[#This Row],[ID]], Table2[ID],Table2[MC2], "Not Found", 0 )</f>
        <v>1</v>
      </c>
      <c r="AA1898" s="16">
        <f>_xlfn.XLOOKUP(CustomerCombinedCleaned[[#This Row],[ID]], Table2[ID],Table2[MC3], "Not Found", 0 )</f>
        <v>1</v>
      </c>
      <c r="AB1898" s="16">
        <f>_xlfn.XLOOKUP(CustomerCombinedCleaned[[#This Row],[ID]], Table2[ID],Table2[MC4], "Not Found", 0 )</f>
        <v>0</v>
      </c>
      <c r="AC1898" s="16">
        <f>_xlfn.XLOOKUP(CustomerCombinedCleaned[[#This Row],[ID]], Table2[ID],Table2[MC5], "Not Found", 0 )</f>
        <v>0</v>
      </c>
    </row>
    <row r="1899" spans="1:29" x14ac:dyDescent="0.3">
      <c r="A1899" s="18">
        <v>2701</v>
      </c>
      <c r="B1899" s="16">
        <v>142586</v>
      </c>
      <c r="C1899" s="16">
        <v>1</v>
      </c>
      <c r="D1899" s="16">
        <v>1</v>
      </c>
      <c r="E1899" s="16">
        <v>65</v>
      </c>
      <c r="F1899" s="17" t="s">
        <v>8</v>
      </c>
      <c r="G1899" s="17" t="s">
        <v>11</v>
      </c>
      <c r="H1899" s="3" t="s">
        <v>619</v>
      </c>
      <c r="I1899" s="5" t="s">
        <v>437</v>
      </c>
      <c r="J1899" s="16">
        <f>_xlfn.XLOOKUP(CustomerCombinedCleaned[[#This Row],[ID]], Table4[ID], Table4[Recency], "Not Found", 0)</f>
        <v>7</v>
      </c>
      <c r="K1899" s="16">
        <f>_xlfn.XLOOKUP(CustomerCombinedCleaned[[#This Row],[ID]], Table4[ID], Table4[Teas], "Not Found", 0)</f>
        <v>650</v>
      </c>
      <c r="L1899" s="16">
        <f>_xlfn.XLOOKUP(CustomerCombinedCleaned[[#This Row],[ID]], Table4[ID], Table4[Fruits], "Not Found", 0)</f>
        <v>7</v>
      </c>
      <c r="M1899" s="16">
        <f>_xlfn.XLOOKUP(CustomerCombinedCleaned[[#This Row],[ID]], Table4[ID], Table4[Meats], "Not Found", 0)</f>
        <v>187</v>
      </c>
      <c r="N1899" s="16">
        <f>_xlfn.XLOOKUP(CustomerCombinedCleaned[[#This Row],[ID]], Table4[ID], Table4[Seafood], "Not Found", 0)</f>
        <v>0</v>
      </c>
      <c r="O1899" s="16">
        <f>_xlfn.XLOOKUP(CustomerCombinedCleaned[[#This Row],[ID]], Table4[ID], Table4[Sweets], "Not Found", 0)</f>
        <v>0</v>
      </c>
      <c r="P1899" s="16">
        <f>_xlfn.XLOOKUP(CustomerCombinedCleaned[[#This Row],[ID]], Table4[ID], Table4[Premium], "Not Found", 0)</f>
        <v>0</v>
      </c>
      <c r="Q1899" s="16">
        <f>_xlfn.XLOOKUP(CustomerCombinedCleaned[[#This Row],[ID]], Table4[ID], Table4[Regular], "Not Found", 0)</f>
        <v>844</v>
      </c>
      <c r="R1899" s="16">
        <f>_xlfn.XLOOKUP(CustomerCombinedCleaned[[#This Row],[ID]], Table4[ID], Table4[Deals], "Not Found", 0)</f>
        <v>5</v>
      </c>
      <c r="S1899" s="16">
        <f>_xlfn.XLOOKUP(CustomerCombinedCleaned[[#This Row],[ID]], Table4[ID], Table4[Website], "Not Found", 0)</f>
        <v>4</v>
      </c>
      <c r="T1899" s="16">
        <f>_xlfn.XLOOKUP(CustomerCombinedCleaned[[#This Row],[ID]], Table4[ID], Table4[Catalog], "Not Found", 0)</f>
        <v>1</v>
      </c>
      <c r="U1899" s="16">
        <f>_xlfn.XLOOKUP(CustomerCombinedCleaned[[#This Row],[ID]], Table4[ID], Table4[Store], "Not Found", 0)</f>
        <v>6</v>
      </c>
      <c r="V1899" s="16">
        <f>_xlfn.XLOOKUP(CustomerCombinedCleaned[[#This Row],[ID]], Table4[ID], Table4[Visits], "Not Found", 0)</f>
        <v>8</v>
      </c>
      <c r="W1899" s="16">
        <f>_xlfn.XLOOKUP(CustomerCombinedCleaned[[#This Row],[ID]], Table2[ID],Table2[Complaint], "Not Found", 0 )</f>
        <v>0</v>
      </c>
      <c r="X1899" s="16">
        <f>_xlfn.XLOOKUP(CustomerCombinedCleaned[[#This Row],[ID]], Table2[ID],Table2[Pilot], "Not Found", 0 )</f>
        <v>1</v>
      </c>
      <c r="Y1899" s="16">
        <f>_xlfn.XLOOKUP(CustomerCombinedCleaned[[#This Row],[ID]], Table2[ID],Table2[MC1], "Not Found", 0 )</f>
        <v>0</v>
      </c>
      <c r="Z1899" s="16">
        <f>_xlfn.XLOOKUP(CustomerCombinedCleaned[[#This Row],[ID]], Table2[ID],Table2[MC2], "Not Found", 0 )</f>
        <v>0</v>
      </c>
      <c r="AA1899" s="16">
        <f>_xlfn.XLOOKUP(CustomerCombinedCleaned[[#This Row],[ID]], Table2[ID],Table2[MC3], "Not Found", 0 )</f>
        <v>0</v>
      </c>
      <c r="AB1899" s="16">
        <f>_xlfn.XLOOKUP(CustomerCombinedCleaned[[#This Row],[ID]], Table2[ID],Table2[MC4], "Not Found", 0 )</f>
        <v>0</v>
      </c>
      <c r="AC1899" s="16">
        <f>_xlfn.XLOOKUP(CustomerCombinedCleaned[[#This Row],[ID]], Table2[ID],Table2[MC5], "Not Found", 0 )</f>
        <v>0</v>
      </c>
    </row>
    <row r="1900" spans="1:29" x14ac:dyDescent="0.3">
      <c r="A1900" s="18">
        <v>2750</v>
      </c>
      <c r="B1900" s="16">
        <v>142586</v>
      </c>
      <c r="C1900" s="16">
        <v>1</v>
      </c>
      <c r="D1900" s="16">
        <v>1</v>
      </c>
      <c r="E1900" s="16">
        <v>65</v>
      </c>
      <c r="F1900" s="17" t="s">
        <v>8</v>
      </c>
      <c r="G1900" s="17" t="s">
        <v>11</v>
      </c>
      <c r="H1900" s="3" t="s">
        <v>619</v>
      </c>
      <c r="I1900" s="5" t="s">
        <v>438</v>
      </c>
      <c r="J1900" s="16">
        <f>_xlfn.XLOOKUP(CustomerCombinedCleaned[[#This Row],[ID]], Table4[ID], Table4[Recency], "Not Found", 0)</f>
        <v>7</v>
      </c>
      <c r="K1900" s="16">
        <f>_xlfn.XLOOKUP(CustomerCombinedCleaned[[#This Row],[ID]], Table4[ID], Table4[Teas], "Not Found", 0)</f>
        <v>650</v>
      </c>
      <c r="L1900" s="16">
        <f>_xlfn.XLOOKUP(CustomerCombinedCleaned[[#This Row],[ID]], Table4[ID], Table4[Fruits], "Not Found", 0)</f>
        <v>7</v>
      </c>
      <c r="M1900" s="16">
        <f>_xlfn.XLOOKUP(CustomerCombinedCleaned[[#This Row],[ID]], Table4[ID], Table4[Meats], "Not Found", 0)</f>
        <v>187</v>
      </c>
      <c r="N1900" s="16">
        <f>_xlfn.XLOOKUP(CustomerCombinedCleaned[[#This Row],[ID]], Table4[ID], Table4[Seafood], "Not Found", 0)</f>
        <v>0</v>
      </c>
      <c r="O1900" s="16">
        <f>_xlfn.XLOOKUP(CustomerCombinedCleaned[[#This Row],[ID]], Table4[ID], Table4[Sweets], "Not Found", 0)</f>
        <v>0</v>
      </c>
      <c r="P1900" s="16">
        <f>_xlfn.XLOOKUP(CustomerCombinedCleaned[[#This Row],[ID]], Table4[ID], Table4[Premium], "Not Found", 0)</f>
        <v>0</v>
      </c>
      <c r="Q1900" s="16">
        <f>_xlfn.XLOOKUP(CustomerCombinedCleaned[[#This Row],[ID]], Table4[ID], Table4[Regular], "Not Found", 0)</f>
        <v>844</v>
      </c>
      <c r="R1900" s="16">
        <f>_xlfn.XLOOKUP(CustomerCombinedCleaned[[#This Row],[ID]], Table4[ID], Table4[Deals], "Not Found", 0)</f>
        <v>5</v>
      </c>
      <c r="S1900" s="16">
        <f>_xlfn.XLOOKUP(CustomerCombinedCleaned[[#This Row],[ID]], Table4[ID], Table4[Website], "Not Found", 0)</f>
        <v>4</v>
      </c>
      <c r="T1900" s="16">
        <f>_xlfn.XLOOKUP(CustomerCombinedCleaned[[#This Row],[ID]], Table4[ID], Table4[Catalog], "Not Found", 0)</f>
        <v>1</v>
      </c>
      <c r="U1900" s="16">
        <f>_xlfn.XLOOKUP(CustomerCombinedCleaned[[#This Row],[ID]], Table4[ID], Table4[Store], "Not Found", 0)</f>
        <v>6</v>
      </c>
      <c r="V1900" s="16">
        <f>_xlfn.XLOOKUP(CustomerCombinedCleaned[[#This Row],[ID]], Table4[ID], Table4[Visits], "Not Found", 0)</f>
        <v>8</v>
      </c>
      <c r="W1900" s="16">
        <f>_xlfn.XLOOKUP(CustomerCombinedCleaned[[#This Row],[ID]], Table2[ID],Table2[Complaint], "Not Found", 0 )</f>
        <v>0</v>
      </c>
      <c r="X1900" s="16">
        <f>_xlfn.XLOOKUP(CustomerCombinedCleaned[[#This Row],[ID]], Table2[ID],Table2[Pilot], "Not Found", 0 )</f>
        <v>1</v>
      </c>
      <c r="Y1900" s="16">
        <f>_xlfn.XLOOKUP(CustomerCombinedCleaned[[#This Row],[ID]], Table2[ID],Table2[MC1], "Not Found", 0 )</f>
        <v>0</v>
      </c>
      <c r="Z1900" s="16">
        <f>_xlfn.XLOOKUP(CustomerCombinedCleaned[[#This Row],[ID]], Table2[ID],Table2[MC2], "Not Found", 0 )</f>
        <v>0</v>
      </c>
      <c r="AA1900" s="16">
        <f>_xlfn.XLOOKUP(CustomerCombinedCleaned[[#This Row],[ID]], Table2[ID],Table2[MC3], "Not Found", 0 )</f>
        <v>0</v>
      </c>
      <c r="AB1900" s="16">
        <f>_xlfn.XLOOKUP(CustomerCombinedCleaned[[#This Row],[ID]], Table2[ID],Table2[MC4], "Not Found", 0 )</f>
        <v>0</v>
      </c>
      <c r="AC1900" s="16">
        <f>_xlfn.XLOOKUP(CustomerCombinedCleaned[[#This Row],[ID]], Table2[ID],Table2[MC5], "Not Found", 0 )</f>
        <v>0</v>
      </c>
    </row>
    <row r="1901" spans="1:29" x14ac:dyDescent="0.3">
      <c r="A1901" s="18">
        <v>3178</v>
      </c>
      <c r="B1901" s="16">
        <v>141769</v>
      </c>
      <c r="C1901" s="16">
        <v>0</v>
      </c>
      <c r="D1901" s="16">
        <v>1</v>
      </c>
      <c r="E1901" s="16">
        <v>65</v>
      </c>
      <c r="F1901" s="17" t="s">
        <v>5</v>
      </c>
      <c r="G1901" s="17" t="s">
        <v>11</v>
      </c>
      <c r="H1901" s="3" t="s">
        <v>310</v>
      </c>
      <c r="I1901" s="5" t="s">
        <v>439</v>
      </c>
      <c r="J1901" s="16">
        <f>_xlfn.XLOOKUP(CustomerCombinedCleaned[[#This Row],[ID]], Table4[ID], Table4[Recency], "Not Found", 0)</f>
        <v>31</v>
      </c>
      <c r="K1901" s="16">
        <f>_xlfn.XLOOKUP(CustomerCombinedCleaned[[#This Row],[ID]], Table4[ID], Table4[Teas], "Not Found", 0)</f>
        <v>1025</v>
      </c>
      <c r="L1901" s="16">
        <f>_xlfn.XLOOKUP(CustomerCombinedCleaned[[#This Row],[ID]], Table4[ID], Table4[Fruits], "Not Found", 0)</f>
        <v>98</v>
      </c>
      <c r="M1901" s="16">
        <f>_xlfn.XLOOKUP(CustomerCombinedCleaned[[#This Row],[ID]], Table4[ID], Table4[Meats], "Not Found", 0)</f>
        <v>445</v>
      </c>
      <c r="N1901" s="16">
        <f>_xlfn.XLOOKUP(CustomerCombinedCleaned[[#This Row],[ID]], Table4[ID], Table4[Seafood], "Not Found", 0)</f>
        <v>109</v>
      </c>
      <c r="O1901" s="16">
        <f>_xlfn.XLOOKUP(CustomerCombinedCleaned[[#This Row],[ID]], Table4[ID], Table4[Sweets], "Not Found", 0)</f>
        <v>0</v>
      </c>
      <c r="P1901" s="16">
        <f>_xlfn.XLOOKUP(CustomerCombinedCleaned[[#This Row],[ID]], Table4[ID], Table4[Premium], "Not Found", 0)</f>
        <v>92</v>
      </c>
      <c r="Q1901" s="16">
        <f>_xlfn.XLOOKUP(CustomerCombinedCleaned[[#This Row],[ID]], Table4[ID], Table4[Regular], "Not Found", 0)</f>
        <v>1585</v>
      </c>
      <c r="R1901" s="16">
        <f>_xlfn.XLOOKUP(CustomerCombinedCleaned[[#This Row],[ID]], Table4[ID], Table4[Deals], "Not Found", 0)</f>
        <v>6</v>
      </c>
      <c r="S1901" s="16">
        <f>_xlfn.XLOOKUP(CustomerCombinedCleaned[[#This Row],[ID]], Table4[ID], Table4[Website], "Not Found", 0)</f>
        <v>8</v>
      </c>
      <c r="T1901" s="16">
        <f>_xlfn.XLOOKUP(CustomerCombinedCleaned[[#This Row],[ID]], Table4[ID], Table4[Catalog], "Not Found", 0)</f>
        <v>1</v>
      </c>
      <c r="U1901" s="16">
        <f>_xlfn.XLOOKUP(CustomerCombinedCleaned[[#This Row],[ID]], Table4[ID], Table4[Store], "Not Found", 0)</f>
        <v>7</v>
      </c>
      <c r="V1901" s="16">
        <f>_xlfn.XLOOKUP(CustomerCombinedCleaned[[#This Row],[ID]], Table4[ID], Table4[Visits], "Not Found", 0)</f>
        <v>8</v>
      </c>
      <c r="W1901" s="16">
        <f>_xlfn.XLOOKUP(CustomerCombinedCleaned[[#This Row],[ID]], Table2[ID],Table2[Complaint], "Not Found", 0 )</f>
        <v>0</v>
      </c>
      <c r="X1901" s="16">
        <f>_xlfn.XLOOKUP(CustomerCombinedCleaned[[#This Row],[ID]], Table2[ID],Table2[Pilot], "Not Found", 0 )</f>
        <v>0</v>
      </c>
      <c r="Y1901" s="16">
        <f>_xlfn.XLOOKUP(CustomerCombinedCleaned[[#This Row],[ID]], Table2[ID],Table2[MC1], "Not Found", 0 )</f>
        <v>0</v>
      </c>
      <c r="Z1901" s="16">
        <f>_xlfn.XLOOKUP(CustomerCombinedCleaned[[#This Row],[ID]], Table2[ID],Table2[MC2], "Not Found", 0 )</f>
        <v>0</v>
      </c>
      <c r="AA1901" s="16">
        <f>_xlfn.XLOOKUP(CustomerCombinedCleaned[[#This Row],[ID]], Table2[ID],Table2[MC3], "Not Found", 0 )</f>
        <v>0</v>
      </c>
      <c r="AB1901" s="16">
        <f>_xlfn.XLOOKUP(CustomerCombinedCleaned[[#This Row],[ID]], Table2[ID],Table2[MC4], "Not Found", 0 )</f>
        <v>0</v>
      </c>
      <c r="AC1901" s="16">
        <f>_xlfn.XLOOKUP(CustomerCombinedCleaned[[#This Row],[ID]], Table2[ID],Table2[MC5], "Not Found", 0 )</f>
        <v>0</v>
      </c>
    </row>
    <row r="1902" spans="1:29" x14ac:dyDescent="0.3">
      <c r="A1902" s="18">
        <v>1665</v>
      </c>
      <c r="B1902" s="16">
        <v>138946</v>
      </c>
      <c r="C1902" s="16">
        <v>0</v>
      </c>
      <c r="D1902" s="16">
        <v>1</v>
      </c>
      <c r="E1902" s="16">
        <v>65</v>
      </c>
      <c r="F1902" s="17" t="s">
        <v>8</v>
      </c>
      <c r="G1902" s="17" t="s">
        <v>11</v>
      </c>
      <c r="H1902" s="3" t="s">
        <v>158</v>
      </c>
      <c r="I1902" s="5" t="s">
        <v>435</v>
      </c>
      <c r="J1902" s="16">
        <f>_xlfn.XLOOKUP(CustomerCombinedCleaned[[#This Row],[ID]], Table4[ID], Table4[Recency], "Not Found", 0)</f>
        <v>84</v>
      </c>
      <c r="K1902" s="16">
        <f>_xlfn.XLOOKUP(CustomerCombinedCleaned[[#This Row],[ID]], Table4[ID], Table4[Teas], "Not Found", 0)</f>
        <v>414</v>
      </c>
      <c r="L1902" s="16">
        <f>_xlfn.XLOOKUP(CustomerCombinedCleaned[[#This Row],[ID]], Table4[ID], Table4[Fruits], "Not Found", 0)</f>
        <v>21</v>
      </c>
      <c r="M1902" s="16">
        <f>_xlfn.XLOOKUP(CustomerCombinedCleaned[[#This Row],[ID]], Table4[ID], Table4[Meats], "Not Found", 0)</f>
        <v>293</v>
      </c>
      <c r="N1902" s="16">
        <f>_xlfn.XLOOKUP(CustomerCombinedCleaned[[#This Row],[ID]], Table4[ID], Table4[Seafood], "Not Found", 0)</f>
        <v>21</v>
      </c>
      <c r="O1902" s="16">
        <f>_xlfn.XLOOKUP(CustomerCombinedCleaned[[#This Row],[ID]], Table4[ID], Table4[Sweets], "Not Found", 0)</f>
        <v>21</v>
      </c>
      <c r="P1902" s="16">
        <f>_xlfn.XLOOKUP(CustomerCombinedCleaned[[#This Row],[ID]], Table4[ID], Table4[Premium], "Not Found", 0)</f>
        <v>146</v>
      </c>
      <c r="Q1902" s="16">
        <f>_xlfn.XLOOKUP(CustomerCombinedCleaned[[#This Row],[ID]], Table4[ID], Table4[Regular], "Not Found", 0)</f>
        <v>624</v>
      </c>
      <c r="R1902" s="16">
        <f>_xlfn.XLOOKUP(CustomerCombinedCleaned[[#This Row],[ID]], Table4[ID], Table4[Deals], "Not Found", 0)</f>
        <v>2</v>
      </c>
      <c r="S1902" s="16">
        <f>_xlfn.XLOOKUP(CustomerCombinedCleaned[[#This Row],[ID]], Table4[ID], Table4[Website], "Not Found", 0)</f>
        <v>3</v>
      </c>
      <c r="T1902" s="16">
        <f>_xlfn.XLOOKUP(CustomerCombinedCleaned[[#This Row],[ID]], Table4[ID], Table4[Catalog], "Not Found", 0)</f>
        <v>1</v>
      </c>
      <c r="U1902" s="16">
        <f>_xlfn.XLOOKUP(CustomerCombinedCleaned[[#This Row],[ID]], Table4[ID], Table4[Store], "Not Found", 0)</f>
        <v>6</v>
      </c>
      <c r="V1902" s="16">
        <f>_xlfn.XLOOKUP(CustomerCombinedCleaned[[#This Row],[ID]], Table4[ID], Table4[Visits], "Not Found", 0)</f>
        <v>5</v>
      </c>
      <c r="W1902" s="16">
        <f>_xlfn.XLOOKUP(CustomerCombinedCleaned[[#This Row],[ID]], Table2[ID],Table2[Complaint], "Not Found", 0 )</f>
        <v>0</v>
      </c>
      <c r="X1902" s="16">
        <f>_xlfn.XLOOKUP(CustomerCombinedCleaned[[#This Row],[ID]], Table2[ID],Table2[Pilot], "Not Found", 0 )</f>
        <v>0</v>
      </c>
      <c r="Y1902" s="16">
        <f>_xlfn.XLOOKUP(CustomerCombinedCleaned[[#This Row],[ID]], Table2[ID],Table2[MC1], "Not Found", 0 )</f>
        <v>0</v>
      </c>
      <c r="Z1902" s="16">
        <f>_xlfn.XLOOKUP(CustomerCombinedCleaned[[#This Row],[ID]], Table2[ID],Table2[MC2], "Not Found", 0 )</f>
        <v>0</v>
      </c>
      <c r="AA1902" s="16">
        <f>_xlfn.XLOOKUP(CustomerCombinedCleaned[[#This Row],[ID]], Table2[ID],Table2[MC3], "Not Found", 0 )</f>
        <v>0</v>
      </c>
      <c r="AB1902" s="16">
        <f>_xlfn.XLOOKUP(CustomerCombinedCleaned[[#This Row],[ID]], Table2[ID],Table2[MC4], "Not Found", 0 )</f>
        <v>0</v>
      </c>
      <c r="AC1902" s="16">
        <f>_xlfn.XLOOKUP(CustomerCombinedCleaned[[#This Row],[ID]], Table2[ID],Table2[MC5], "Not Found", 0 )</f>
        <v>0</v>
      </c>
    </row>
    <row r="1903" spans="1:29" x14ac:dyDescent="0.3">
      <c r="A1903" s="18">
        <v>3147</v>
      </c>
      <c r="B1903" s="16">
        <v>138946</v>
      </c>
      <c r="C1903" s="16">
        <v>0</v>
      </c>
      <c r="D1903" s="16">
        <v>1</v>
      </c>
      <c r="E1903" s="16">
        <v>65</v>
      </c>
      <c r="F1903" s="17" t="s">
        <v>8</v>
      </c>
      <c r="G1903" s="17" t="s">
        <v>11</v>
      </c>
      <c r="H1903" s="3" t="s">
        <v>158</v>
      </c>
      <c r="I1903" s="5" t="s">
        <v>435</v>
      </c>
      <c r="J1903" s="16">
        <f>_xlfn.XLOOKUP(CustomerCombinedCleaned[[#This Row],[ID]], Table4[ID], Table4[Recency], "Not Found", 0)</f>
        <v>84</v>
      </c>
      <c r="K1903" s="16">
        <f>_xlfn.XLOOKUP(CustomerCombinedCleaned[[#This Row],[ID]], Table4[ID], Table4[Teas], "Not Found", 0)</f>
        <v>414</v>
      </c>
      <c r="L1903" s="16">
        <f>_xlfn.XLOOKUP(CustomerCombinedCleaned[[#This Row],[ID]], Table4[ID], Table4[Fruits], "Not Found", 0)</f>
        <v>21</v>
      </c>
      <c r="M1903" s="16">
        <f>_xlfn.XLOOKUP(CustomerCombinedCleaned[[#This Row],[ID]], Table4[ID], Table4[Meats], "Not Found", 0)</f>
        <v>293</v>
      </c>
      <c r="N1903" s="16">
        <f>_xlfn.XLOOKUP(CustomerCombinedCleaned[[#This Row],[ID]], Table4[ID], Table4[Seafood], "Not Found", 0)</f>
        <v>21</v>
      </c>
      <c r="O1903" s="16">
        <f>_xlfn.XLOOKUP(CustomerCombinedCleaned[[#This Row],[ID]], Table4[ID], Table4[Sweets], "Not Found", 0)</f>
        <v>21</v>
      </c>
      <c r="P1903" s="16">
        <f>_xlfn.XLOOKUP(CustomerCombinedCleaned[[#This Row],[ID]], Table4[ID], Table4[Premium], "Not Found", 0)</f>
        <v>146</v>
      </c>
      <c r="Q1903" s="16">
        <f>_xlfn.XLOOKUP(CustomerCombinedCleaned[[#This Row],[ID]], Table4[ID], Table4[Regular], "Not Found", 0)</f>
        <v>624</v>
      </c>
      <c r="R1903" s="16">
        <f>_xlfn.XLOOKUP(CustomerCombinedCleaned[[#This Row],[ID]], Table4[ID], Table4[Deals], "Not Found", 0)</f>
        <v>2</v>
      </c>
      <c r="S1903" s="16">
        <f>_xlfn.XLOOKUP(CustomerCombinedCleaned[[#This Row],[ID]], Table4[ID], Table4[Website], "Not Found", 0)</f>
        <v>3</v>
      </c>
      <c r="T1903" s="16">
        <f>_xlfn.XLOOKUP(CustomerCombinedCleaned[[#This Row],[ID]], Table4[ID], Table4[Catalog], "Not Found", 0)</f>
        <v>1</v>
      </c>
      <c r="U1903" s="16">
        <f>_xlfn.XLOOKUP(CustomerCombinedCleaned[[#This Row],[ID]], Table4[ID], Table4[Store], "Not Found", 0)</f>
        <v>6</v>
      </c>
      <c r="V1903" s="16">
        <f>_xlfn.XLOOKUP(CustomerCombinedCleaned[[#This Row],[ID]], Table4[ID], Table4[Visits], "Not Found", 0)</f>
        <v>5</v>
      </c>
      <c r="W1903" s="16">
        <f>_xlfn.XLOOKUP(CustomerCombinedCleaned[[#This Row],[ID]], Table2[ID],Table2[Complaint], "Not Found", 0 )</f>
        <v>0</v>
      </c>
      <c r="X1903" s="16">
        <f>_xlfn.XLOOKUP(CustomerCombinedCleaned[[#This Row],[ID]], Table2[ID],Table2[Pilot], "Not Found", 0 )</f>
        <v>0</v>
      </c>
      <c r="Y1903" s="16">
        <f>_xlfn.XLOOKUP(CustomerCombinedCleaned[[#This Row],[ID]], Table2[ID],Table2[MC1], "Not Found", 0 )</f>
        <v>0</v>
      </c>
      <c r="Z1903" s="16">
        <f>_xlfn.XLOOKUP(CustomerCombinedCleaned[[#This Row],[ID]], Table2[ID],Table2[MC2], "Not Found", 0 )</f>
        <v>0</v>
      </c>
      <c r="AA1903" s="16">
        <f>_xlfn.XLOOKUP(CustomerCombinedCleaned[[#This Row],[ID]], Table2[ID],Table2[MC3], "Not Found", 0 )</f>
        <v>0</v>
      </c>
      <c r="AB1903" s="16">
        <f>_xlfn.XLOOKUP(CustomerCombinedCleaned[[#This Row],[ID]], Table2[ID],Table2[MC4], "Not Found", 0 )</f>
        <v>0</v>
      </c>
      <c r="AC1903" s="16">
        <f>_xlfn.XLOOKUP(CustomerCombinedCleaned[[#This Row],[ID]], Table2[ID],Table2[MC5], "Not Found", 0 )</f>
        <v>0</v>
      </c>
    </row>
    <row r="1904" spans="1:29" x14ac:dyDescent="0.3">
      <c r="A1904" s="18">
        <v>2733</v>
      </c>
      <c r="B1904" s="16">
        <v>138725</v>
      </c>
      <c r="C1904" s="16">
        <v>1</v>
      </c>
      <c r="D1904" s="16">
        <v>1</v>
      </c>
      <c r="E1904" s="16">
        <v>65</v>
      </c>
      <c r="F1904" s="17" t="s">
        <v>6</v>
      </c>
      <c r="G1904" s="17" t="s">
        <v>13</v>
      </c>
      <c r="H1904" s="3" t="s">
        <v>54</v>
      </c>
      <c r="I1904" s="5" t="s">
        <v>435</v>
      </c>
      <c r="J1904" s="16">
        <f>_xlfn.XLOOKUP(CustomerCombinedCleaned[[#This Row],[ID]], Table4[ID], Table4[Recency], "Not Found", 0)</f>
        <v>52</v>
      </c>
      <c r="K1904" s="16">
        <f>_xlfn.XLOOKUP(CustomerCombinedCleaned[[#This Row],[ID]], Table4[ID], Table4[Teas], "Not Found", 0)</f>
        <v>111</v>
      </c>
      <c r="L1904" s="16">
        <f>_xlfn.XLOOKUP(CustomerCombinedCleaned[[#This Row],[ID]], Table4[ID], Table4[Fruits], "Not Found", 0)</f>
        <v>0</v>
      </c>
      <c r="M1904" s="16">
        <f>_xlfn.XLOOKUP(CustomerCombinedCleaned[[#This Row],[ID]], Table4[ID], Table4[Meats], "Not Found", 0)</f>
        <v>21</v>
      </c>
      <c r="N1904" s="16">
        <f>_xlfn.XLOOKUP(CustomerCombinedCleaned[[#This Row],[ID]], Table4[ID], Table4[Seafood], "Not Found", 0)</f>
        <v>7</v>
      </c>
      <c r="O1904" s="16">
        <f>_xlfn.XLOOKUP(CustomerCombinedCleaned[[#This Row],[ID]], Table4[ID], Table4[Sweets], "Not Found", 0)</f>
        <v>4</v>
      </c>
      <c r="P1904" s="16">
        <f>_xlfn.XLOOKUP(CustomerCombinedCleaned[[#This Row],[ID]], Table4[ID], Table4[Premium], "Not Found", 0)</f>
        <v>18</v>
      </c>
      <c r="Q1904" s="16">
        <f>_xlfn.XLOOKUP(CustomerCombinedCleaned[[#This Row],[ID]], Table4[ID], Table4[Regular], "Not Found", 0)</f>
        <v>125</v>
      </c>
      <c r="R1904" s="16">
        <f>_xlfn.XLOOKUP(CustomerCombinedCleaned[[#This Row],[ID]], Table4[ID], Table4[Deals], "Not Found", 0)</f>
        <v>2</v>
      </c>
      <c r="S1904" s="16">
        <f>_xlfn.XLOOKUP(CustomerCombinedCleaned[[#This Row],[ID]], Table4[ID], Table4[Website], "Not Found", 0)</f>
        <v>1</v>
      </c>
      <c r="T1904" s="16">
        <f>_xlfn.XLOOKUP(CustomerCombinedCleaned[[#This Row],[ID]], Table4[ID], Table4[Catalog], "Not Found", 0)</f>
        <v>0</v>
      </c>
      <c r="U1904" s="16">
        <f>_xlfn.XLOOKUP(CustomerCombinedCleaned[[#This Row],[ID]], Table4[ID], Table4[Store], "Not Found", 0)</f>
        <v>4</v>
      </c>
      <c r="V1904" s="16">
        <f>_xlfn.XLOOKUP(CustomerCombinedCleaned[[#This Row],[ID]], Table4[ID], Table4[Visits], "Not Found", 0)</f>
        <v>4</v>
      </c>
      <c r="W1904" s="16">
        <f>_xlfn.XLOOKUP(CustomerCombinedCleaned[[#This Row],[ID]], Table2[ID],Table2[Complaint], "Not Found", 0 )</f>
        <v>0</v>
      </c>
      <c r="X1904" s="16">
        <f>_xlfn.XLOOKUP(CustomerCombinedCleaned[[#This Row],[ID]], Table2[ID],Table2[Pilot], "Not Found", 0 )</f>
        <v>0</v>
      </c>
      <c r="Y1904" s="16">
        <f>_xlfn.XLOOKUP(CustomerCombinedCleaned[[#This Row],[ID]], Table2[ID],Table2[MC1], "Not Found", 0 )</f>
        <v>0</v>
      </c>
      <c r="Z1904" s="16">
        <f>_xlfn.XLOOKUP(CustomerCombinedCleaned[[#This Row],[ID]], Table2[ID],Table2[MC2], "Not Found", 0 )</f>
        <v>0</v>
      </c>
      <c r="AA1904" s="16">
        <f>_xlfn.XLOOKUP(CustomerCombinedCleaned[[#This Row],[ID]], Table2[ID],Table2[MC3], "Not Found", 0 )</f>
        <v>0</v>
      </c>
      <c r="AB1904" s="16">
        <f>_xlfn.XLOOKUP(CustomerCombinedCleaned[[#This Row],[ID]], Table2[ID],Table2[MC4], "Not Found", 0 )</f>
        <v>0</v>
      </c>
      <c r="AC1904" s="16">
        <f>_xlfn.XLOOKUP(CustomerCombinedCleaned[[#This Row],[ID]], Table2[ID],Table2[MC5], "Not Found", 0 )</f>
        <v>0</v>
      </c>
    </row>
    <row r="1905" spans="1:29" x14ac:dyDescent="0.3">
      <c r="A1905" s="18">
        <v>2210</v>
      </c>
      <c r="B1905" s="16">
        <v>138452</v>
      </c>
      <c r="C1905" s="16">
        <v>1</v>
      </c>
      <c r="D1905" s="16">
        <v>1</v>
      </c>
      <c r="E1905" s="16">
        <v>65</v>
      </c>
      <c r="F1905" s="17" t="s">
        <v>6</v>
      </c>
      <c r="G1905" s="17" t="s">
        <v>12</v>
      </c>
      <c r="H1905" s="3" t="s">
        <v>775</v>
      </c>
      <c r="I1905" s="5" t="s">
        <v>438</v>
      </c>
      <c r="J1905" s="16">
        <f>_xlfn.XLOOKUP(CustomerCombinedCleaned[[#This Row],[ID]], Table4[ID], Table4[Recency], "Not Found", 0)</f>
        <v>62</v>
      </c>
      <c r="K1905" s="16">
        <f>_xlfn.XLOOKUP(CustomerCombinedCleaned[[#This Row],[ID]], Table4[ID], Table4[Teas], "Not Found", 0)</f>
        <v>202</v>
      </c>
      <c r="L1905" s="16">
        <f>_xlfn.XLOOKUP(CustomerCombinedCleaned[[#This Row],[ID]], Table4[ID], Table4[Fruits], "Not Found", 0)</f>
        <v>0</v>
      </c>
      <c r="M1905" s="16">
        <f>_xlfn.XLOOKUP(CustomerCombinedCleaned[[#This Row],[ID]], Table4[ID], Table4[Meats], "Not Found", 0)</f>
        <v>50</v>
      </c>
      <c r="N1905" s="16">
        <f>_xlfn.XLOOKUP(CustomerCombinedCleaned[[#This Row],[ID]], Table4[ID], Table4[Seafood], "Not Found", 0)</f>
        <v>0</v>
      </c>
      <c r="O1905" s="16">
        <f>_xlfn.XLOOKUP(CustomerCombinedCleaned[[#This Row],[ID]], Table4[ID], Table4[Sweets], "Not Found", 0)</f>
        <v>0</v>
      </c>
      <c r="P1905" s="16">
        <f>_xlfn.XLOOKUP(CustomerCombinedCleaned[[#This Row],[ID]], Table4[ID], Table4[Premium], "Not Found", 0)</f>
        <v>7</v>
      </c>
      <c r="Q1905" s="16">
        <f>_xlfn.XLOOKUP(CustomerCombinedCleaned[[#This Row],[ID]], Table4[ID], Table4[Regular], "Not Found", 0)</f>
        <v>245</v>
      </c>
      <c r="R1905" s="16">
        <f>_xlfn.XLOOKUP(CustomerCombinedCleaned[[#This Row],[ID]], Table4[ID], Table4[Deals], "Not Found", 0)</f>
        <v>3</v>
      </c>
      <c r="S1905" s="16">
        <f>_xlfn.XLOOKUP(CustomerCombinedCleaned[[#This Row],[ID]], Table4[ID], Table4[Website], "Not Found", 0)</f>
        <v>3</v>
      </c>
      <c r="T1905" s="16">
        <f>_xlfn.XLOOKUP(CustomerCombinedCleaned[[#This Row],[ID]], Table4[ID], Table4[Catalog], "Not Found", 0)</f>
        <v>0</v>
      </c>
      <c r="U1905" s="16">
        <f>_xlfn.XLOOKUP(CustomerCombinedCleaned[[#This Row],[ID]], Table4[ID], Table4[Store], "Not Found", 0)</f>
        <v>3</v>
      </c>
      <c r="V1905" s="16">
        <f>_xlfn.XLOOKUP(CustomerCombinedCleaned[[#This Row],[ID]], Table4[ID], Table4[Visits], "Not Found", 0)</f>
        <v>7</v>
      </c>
      <c r="W1905" s="16">
        <f>_xlfn.XLOOKUP(CustomerCombinedCleaned[[#This Row],[ID]], Table2[ID],Table2[Complaint], "Not Found", 0 )</f>
        <v>0</v>
      </c>
      <c r="X1905" s="16">
        <f>_xlfn.XLOOKUP(CustomerCombinedCleaned[[#This Row],[ID]], Table2[ID],Table2[Pilot], "Not Found", 0 )</f>
        <v>0</v>
      </c>
      <c r="Y1905" s="16">
        <f>_xlfn.XLOOKUP(CustomerCombinedCleaned[[#This Row],[ID]], Table2[ID],Table2[MC1], "Not Found", 0 )</f>
        <v>0</v>
      </c>
      <c r="Z1905" s="16">
        <f>_xlfn.XLOOKUP(CustomerCombinedCleaned[[#This Row],[ID]], Table2[ID],Table2[MC2], "Not Found", 0 )</f>
        <v>0</v>
      </c>
      <c r="AA1905" s="16">
        <f>_xlfn.XLOOKUP(CustomerCombinedCleaned[[#This Row],[ID]], Table2[ID],Table2[MC3], "Not Found", 0 )</f>
        <v>0</v>
      </c>
      <c r="AB1905" s="16">
        <f>_xlfn.XLOOKUP(CustomerCombinedCleaned[[#This Row],[ID]], Table2[ID],Table2[MC4], "Not Found", 0 )</f>
        <v>0</v>
      </c>
      <c r="AC1905" s="16">
        <f>_xlfn.XLOOKUP(CustomerCombinedCleaned[[#This Row],[ID]], Table2[ID],Table2[MC5], "Not Found", 0 )</f>
        <v>0</v>
      </c>
    </row>
    <row r="1906" spans="1:29" x14ac:dyDescent="0.3">
      <c r="A1906" s="18">
        <v>2676</v>
      </c>
      <c r="B1906" s="16">
        <v>138452</v>
      </c>
      <c r="C1906" s="16">
        <v>1</v>
      </c>
      <c r="D1906" s="16">
        <v>1</v>
      </c>
      <c r="E1906" s="16">
        <v>65</v>
      </c>
      <c r="F1906" s="17" t="s">
        <v>6</v>
      </c>
      <c r="G1906" s="17" t="s">
        <v>12</v>
      </c>
      <c r="H1906" s="3" t="s">
        <v>775</v>
      </c>
      <c r="I1906" s="5" t="s">
        <v>436</v>
      </c>
      <c r="J1906" s="16">
        <f>_xlfn.XLOOKUP(CustomerCombinedCleaned[[#This Row],[ID]], Table4[ID], Table4[Recency], "Not Found", 0)</f>
        <v>62</v>
      </c>
      <c r="K1906" s="16">
        <f>_xlfn.XLOOKUP(CustomerCombinedCleaned[[#This Row],[ID]], Table4[ID], Table4[Teas], "Not Found", 0)</f>
        <v>202</v>
      </c>
      <c r="L1906" s="16">
        <f>_xlfn.XLOOKUP(CustomerCombinedCleaned[[#This Row],[ID]], Table4[ID], Table4[Fruits], "Not Found", 0)</f>
        <v>0</v>
      </c>
      <c r="M1906" s="16">
        <f>_xlfn.XLOOKUP(CustomerCombinedCleaned[[#This Row],[ID]], Table4[ID], Table4[Meats], "Not Found", 0)</f>
        <v>50</v>
      </c>
      <c r="N1906" s="16">
        <f>_xlfn.XLOOKUP(CustomerCombinedCleaned[[#This Row],[ID]], Table4[ID], Table4[Seafood], "Not Found", 0)</f>
        <v>0</v>
      </c>
      <c r="O1906" s="16">
        <f>_xlfn.XLOOKUP(CustomerCombinedCleaned[[#This Row],[ID]], Table4[ID], Table4[Sweets], "Not Found", 0)</f>
        <v>0</v>
      </c>
      <c r="P1906" s="16">
        <f>_xlfn.XLOOKUP(CustomerCombinedCleaned[[#This Row],[ID]], Table4[ID], Table4[Premium], "Not Found", 0)</f>
        <v>7</v>
      </c>
      <c r="Q1906" s="16">
        <f>_xlfn.XLOOKUP(CustomerCombinedCleaned[[#This Row],[ID]], Table4[ID], Table4[Regular], "Not Found", 0)</f>
        <v>245</v>
      </c>
      <c r="R1906" s="16">
        <f>_xlfn.XLOOKUP(CustomerCombinedCleaned[[#This Row],[ID]], Table4[ID], Table4[Deals], "Not Found", 0)</f>
        <v>3</v>
      </c>
      <c r="S1906" s="16">
        <f>_xlfn.XLOOKUP(CustomerCombinedCleaned[[#This Row],[ID]], Table4[ID], Table4[Website], "Not Found", 0)</f>
        <v>3</v>
      </c>
      <c r="T1906" s="16">
        <f>_xlfn.XLOOKUP(CustomerCombinedCleaned[[#This Row],[ID]], Table4[ID], Table4[Catalog], "Not Found", 0)</f>
        <v>0</v>
      </c>
      <c r="U1906" s="16">
        <f>_xlfn.XLOOKUP(CustomerCombinedCleaned[[#This Row],[ID]], Table4[ID], Table4[Store], "Not Found", 0)</f>
        <v>3</v>
      </c>
      <c r="V1906" s="16">
        <f>_xlfn.XLOOKUP(CustomerCombinedCleaned[[#This Row],[ID]], Table4[ID], Table4[Visits], "Not Found", 0)</f>
        <v>7</v>
      </c>
      <c r="W1906" s="16">
        <f>_xlfn.XLOOKUP(CustomerCombinedCleaned[[#This Row],[ID]], Table2[ID],Table2[Complaint], "Not Found", 0 )</f>
        <v>0</v>
      </c>
      <c r="X1906" s="16">
        <f>_xlfn.XLOOKUP(CustomerCombinedCleaned[[#This Row],[ID]], Table2[ID],Table2[Pilot], "Not Found", 0 )</f>
        <v>0</v>
      </c>
      <c r="Y1906" s="16">
        <f>_xlfn.XLOOKUP(CustomerCombinedCleaned[[#This Row],[ID]], Table2[ID],Table2[MC1], "Not Found", 0 )</f>
        <v>0</v>
      </c>
      <c r="Z1906" s="16">
        <f>_xlfn.XLOOKUP(CustomerCombinedCleaned[[#This Row],[ID]], Table2[ID],Table2[MC2], "Not Found", 0 )</f>
        <v>0</v>
      </c>
      <c r="AA1906" s="16">
        <f>_xlfn.XLOOKUP(CustomerCombinedCleaned[[#This Row],[ID]], Table2[ID],Table2[MC3], "Not Found", 0 )</f>
        <v>0</v>
      </c>
      <c r="AB1906" s="16">
        <f>_xlfn.XLOOKUP(CustomerCombinedCleaned[[#This Row],[ID]], Table2[ID],Table2[MC4], "Not Found", 0 )</f>
        <v>0</v>
      </c>
      <c r="AC1906" s="16">
        <f>_xlfn.XLOOKUP(CustomerCombinedCleaned[[#This Row],[ID]], Table2[ID],Table2[MC5], "Not Found", 0 )</f>
        <v>0</v>
      </c>
    </row>
    <row r="1907" spans="1:29" x14ac:dyDescent="0.3">
      <c r="A1907" s="18">
        <v>2707</v>
      </c>
      <c r="B1907" s="16">
        <v>137244</v>
      </c>
      <c r="C1907" s="16">
        <v>1</v>
      </c>
      <c r="D1907" s="16">
        <v>1</v>
      </c>
      <c r="E1907" s="16">
        <v>65</v>
      </c>
      <c r="F1907" s="17" t="s">
        <v>5</v>
      </c>
      <c r="G1907" s="17" t="s">
        <v>11</v>
      </c>
      <c r="H1907" s="3" t="s">
        <v>735</v>
      </c>
      <c r="I1907" s="5" t="s">
        <v>437</v>
      </c>
      <c r="J1907" s="16">
        <f>_xlfn.XLOOKUP(CustomerCombinedCleaned[[#This Row],[ID]], Table4[ID], Table4[Recency], "Not Found", 0)</f>
        <v>90</v>
      </c>
      <c r="K1907" s="16">
        <f>_xlfn.XLOOKUP(CustomerCombinedCleaned[[#This Row],[ID]], Table4[ID], Table4[Teas], "Not Found", 0)</f>
        <v>66</v>
      </c>
      <c r="L1907" s="16">
        <f>_xlfn.XLOOKUP(CustomerCombinedCleaned[[#This Row],[ID]], Table4[ID], Table4[Fruits], "Not Found", 0)</f>
        <v>7</v>
      </c>
      <c r="M1907" s="16">
        <f>_xlfn.XLOOKUP(CustomerCombinedCleaned[[#This Row],[ID]], Table4[ID], Table4[Meats], "Not Found", 0)</f>
        <v>37</v>
      </c>
      <c r="N1907" s="16">
        <f>_xlfn.XLOOKUP(CustomerCombinedCleaned[[#This Row],[ID]], Table4[ID], Table4[Seafood], "Not Found", 0)</f>
        <v>0</v>
      </c>
      <c r="O1907" s="16">
        <f>_xlfn.XLOOKUP(CustomerCombinedCleaned[[#This Row],[ID]], Table4[ID], Table4[Sweets], "Not Found", 0)</f>
        <v>0</v>
      </c>
      <c r="P1907" s="16">
        <f>_xlfn.XLOOKUP(CustomerCombinedCleaned[[#This Row],[ID]], Table4[ID], Table4[Premium], "Not Found", 0)</f>
        <v>92</v>
      </c>
      <c r="Q1907" s="16">
        <f>_xlfn.XLOOKUP(CustomerCombinedCleaned[[#This Row],[ID]], Table4[ID], Table4[Regular], "Not Found", 0)</f>
        <v>18</v>
      </c>
      <c r="R1907" s="16">
        <f>_xlfn.XLOOKUP(CustomerCombinedCleaned[[#This Row],[ID]], Table4[ID], Table4[Deals], "Not Found", 0)</f>
        <v>1</v>
      </c>
      <c r="S1907" s="16">
        <f>_xlfn.XLOOKUP(CustomerCombinedCleaned[[#This Row],[ID]], Table4[ID], Table4[Website], "Not Found", 0)</f>
        <v>1</v>
      </c>
      <c r="T1907" s="16">
        <f>_xlfn.XLOOKUP(CustomerCombinedCleaned[[#This Row],[ID]], Table4[ID], Table4[Catalog], "Not Found", 0)</f>
        <v>1</v>
      </c>
      <c r="U1907" s="16">
        <f>_xlfn.XLOOKUP(CustomerCombinedCleaned[[#This Row],[ID]], Table4[ID], Table4[Store], "Not Found", 0)</f>
        <v>2</v>
      </c>
      <c r="V1907" s="16">
        <f>_xlfn.XLOOKUP(CustomerCombinedCleaned[[#This Row],[ID]], Table4[ID], Table4[Visits], "Not Found", 0)</f>
        <v>7</v>
      </c>
      <c r="W1907" s="16">
        <f>_xlfn.XLOOKUP(CustomerCombinedCleaned[[#This Row],[ID]], Table2[ID],Table2[Complaint], "Not Found", 0 )</f>
        <v>0</v>
      </c>
      <c r="X1907" s="16">
        <f>_xlfn.XLOOKUP(CustomerCombinedCleaned[[#This Row],[ID]], Table2[ID],Table2[Pilot], "Not Found", 0 )</f>
        <v>0</v>
      </c>
      <c r="Y1907" s="16">
        <f>_xlfn.XLOOKUP(CustomerCombinedCleaned[[#This Row],[ID]], Table2[ID],Table2[MC1], "Not Found", 0 )</f>
        <v>0</v>
      </c>
      <c r="Z1907" s="16">
        <f>_xlfn.XLOOKUP(CustomerCombinedCleaned[[#This Row],[ID]], Table2[ID],Table2[MC2], "Not Found", 0 )</f>
        <v>0</v>
      </c>
      <c r="AA1907" s="16">
        <f>_xlfn.XLOOKUP(CustomerCombinedCleaned[[#This Row],[ID]], Table2[ID],Table2[MC3], "Not Found", 0 )</f>
        <v>1</v>
      </c>
      <c r="AB1907" s="16">
        <f>_xlfn.XLOOKUP(CustomerCombinedCleaned[[#This Row],[ID]], Table2[ID],Table2[MC4], "Not Found", 0 )</f>
        <v>0</v>
      </c>
      <c r="AC1907" s="16">
        <f>_xlfn.XLOOKUP(CustomerCombinedCleaned[[#This Row],[ID]], Table2[ID],Table2[MC5], "Not Found", 0 )</f>
        <v>0</v>
      </c>
    </row>
    <row r="1908" spans="1:29" x14ac:dyDescent="0.3">
      <c r="A1908" s="18">
        <v>3028</v>
      </c>
      <c r="B1908" s="16">
        <v>136927</v>
      </c>
      <c r="C1908" s="16">
        <v>1</v>
      </c>
      <c r="D1908" s="16">
        <v>1</v>
      </c>
      <c r="E1908" s="16">
        <v>65</v>
      </c>
      <c r="F1908" s="17" t="s">
        <v>7</v>
      </c>
      <c r="G1908" s="17" t="s">
        <v>12</v>
      </c>
      <c r="H1908" s="3" t="s">
        <v>607</v>
      </c>
      <c r="I1908" s="5" t="s">
        <v>439</v>
      </c>
      <c r="J1908" s="16">
        <f>_xlfn.XLOOKUP(CustomerCombinedCleaned[[#This Row],[ID]], Table4[ID], Table4[Recency], "Not Found", 0)</f>
        <v>46</v>
      </c>
      <c r="K1908" s="16">
        <f>_xlfn.XLOOKUP(CustomerCombinedCleaned[[#This Row],[ID]], Table4[ID], Table4[Teas], "Not Found", 0)</f>
        <v>189</v>
      </c>
      <c r="L1908" s="16">
        <f>_xlfn.XLOOKUP(CustomerCombinedCleaned[[#This Row],[ID]], Table4[ID], Table4[Fruits], "Not Found", 0)</f>
        <v>0</v>
      </c>
      <c r="M1908" s="16">
        <f>_xlfn.XLOOKUP(CustomerCombinedCleaned[[#This Row],[ID]], Table4[ID], Table4[Meats], "Not Found", 0)</f>
        <v>59</v>
      </c>
      <c r="N1908" s="16">
        <f>_xlfn.XLOOKUP(CustomerCombinedCleaned[[#This Row],[ID]], Table4[ID], Table4[Seafood], "Not Found", 0)</f>
        <v>0</v>
      </c>
      <c r="O1908" s="16">
        <f>_xlfn.XLOOKUP(CustomerCombinedCleaned[[#This Row],[ID]], Table4[ID], Table4[Sweets], "Not Found", 0)</f>
        <v>0</v>
      </c>
      <c r="P1908" s="16">
        <f>_xlfn.XLOOKUP(CustomerCombinedCleaned[[#This Row],[ID]], Table4[ID], Table4[Premium], "Not Found", 0)</f>
        <v>15</v>
      </c>
      <c r="Q1908" s="16">
        <f>_xlfn.XLOOKUP(CustomerCombinedCleaned[[#This Row],[ID]], Table4[ID], Table4[Regular], "Not Found", 0)</f>
        <v>234</v>
      </c>
      <c r="R1908" s="16">
        <f>_xlfn.XLOOKUP(CustomerCombinedCleaned[[#This Row],[ID]], Table4[ID], Table4[Deals], "Not Found", 0)</f>
        <v>2</v>
      </c>
      <c r="S1908" s="16">
        <f>_xlfn.XLOOKUP(CustomerCombinedCleaned[[#This Row],[ID]], Table4[ID], Table4[Website], "Not Found", 0)</f>
        <v>3</v>
      </c>
      <c r="T1908" s="16">
        <f>_xlfn.XLOOKUP(CustomerCombinedCleaned[[#This Row],[ID]], Table4[ID], Table4[Catalog], "Not Found", 0)</f>
        <v>0</v>
      </c>
      <c r="U1908" s="16">
        <f>_xlfn.XLOOKUP(CustomerCombinedCleaned[[#This Row],[ID]], Table4[ID], Table4[Store], "Not Found", 0)</f>
        <v>3</v>
      </c>
      <c r="V1908" s="16">
        <f>_xlfn.XLOOKUP(CustomerCombinedCleaned[[#This Row],[ID]], Table4[ID], Table4[Visits], "Not Found", 0)</f>
        <v>8</v>
      </c>
      <c r="W1908" s="16">
        <f>_xlfn.XLOOKUP(CustomerCombinedCleaned[[#This Row],[ID]], Table2[ID],Table2[Complaint], "Not Found", 0 )</f>
        <v>0</v>
      </c>
      <c r="X1908" s="16">
        <f>_xlfn.XLOOKUP(CustomerCombinedCleaned[[#This Row],[ID]], Table2[ID],Table2[Pilot], "Not Found", 0 )</f>
        <v>0</v>
      </c>
      <c r="Y1908" s="16">
        <f>_xlfn.XLOOKUP(CustomerCombinedCleaned[[#This Row],[ID]], Table2[ID],Table2[MC1], "Not Found", 0 )</f>
        <v>0</v>
      </c>
      <c r="Z1908" s="16">
        <f>_xlfn.XLOOKUP(CustomerCombinedCleaned[[#This Row],[ID]], Table2[ID],Table2[MC2], "Not Found", 0 )</f>
        <v>0</v>
      </c>
      <c r="AA1908" s="16">
        <f>_xlfn.XLOOKUP(CustomerCombinedCleaned[[#This Row],[ID]], Table2[ID],Table2[MC3], "Not Found", 0 )</f>
        <v>0</v>
      </c>
      <c r="AB1908" s="16">
        <f>_xlfn.XLOOKUP(CustomerCombinedCleaned[[#This Row],[ID]], Table2[ID],Table2[MC4], "Not Found", 0 )</f>
        <v>0</v>
      </c>
      <c r="AC1908" s="16">
        <f>_xlfn.XLOOKUP(CustomerCombinedCleaned[[#This Row],[ID]], Table2[ID],Table2[MC5], "Not Found", 0 )</f>
        <v>0</v>
      </c>
    </row>
    <row r="1909" spans="1:29" x14ac:dyDescent="0.3">
      <c r="A1909" s="18">
        <v>2657</v>
      </c>
      <c r="B1909" s="16">
        <v>122554</v>
      </c>
      <c r="C1909" s="16">
        <v>1</v>
      </c>
      <c r="D1909" s="16">
        <v>1</v>
      </c>
      <c r="E1909" s="16">
        <v>65</v>
      </c>
      <c r="F1909" s="17" t="s">
        <v>6</v>
      </c>
      <c r="G1909" s="17" t="s">
        <v>13</v>
      </c>
      <c r="H1909" s="3" t="s">
        <v>742</v>
      </c>
      <c r="I1909" s="5" t="s">
        <v>434</v>
      </c>
      <c r="J1909" s="16">
        <f>_xlfn.XLOOKUP(CustomerCombinedCleaned[[#This Row],[ID]], Table4[ID], Table4[Recency], "Not Found", 0)</f>
        <v>38</v>
      </c>
      <c r="K1909" s="16">
        <f>_xlfn.XLOOKUP(CustomerCombinedCleaned[[#This Row],[ID]], Table4[ID], Table4[Teas], "Not Found", 0)</f>
        <v>147</v>
      </c>
      <c r="L1909" s="16">
        <f>_xlfn.XLOOKUP(CustomerCombinedCleaned[[#This Row],[ID]], Table4[ID], Table4[Fruits], "Not Found", 0)</f>
        <v>0</v>
      </c>
      <c r="M1909" s="16">
        <f>_xlfn.XLOOKUP(CustomerCombinedCleaned[[#This Row],[ID]], Table4[ID], Table4[Meats], "Not Found", 0)</f>
        <v>54</v>
      </c>
      <c r="N1909" s="16">
        <f>_xlfn.XLOOKUP(CustomerCombinedCleaned[[#This Row],[ID]], Table4[ID], Table4[Seafood], "Not Found", 0)</f>
        <v>0</v>
      </c>
      <c r="O1909" s="16">
        <f>_xlfn.XLOOKUP(CustomerCombinedCleaned[[#This Row],[ID]], Table4[ID], Table4[Sweets], "Not Found", 0)</f>
        <v>0</v>
      </c>
      <c r="P1909" s="16">
        <f>_xlfn.XLOOKUP(CustomerCombinedCleaned[[#This Row],[ID]], Table4[ID], Table4[Premium], "Not Found", 0)</f>
        <v>22</v>
      </c>
      <c r="Q1909" s="16">
        <f>_xlfn.XLOOKUP(CustomerCombinedCleaned[[#This Row],[ID]], Table4[ID], Table4[Regular], "Not Found", 0)</f>
        <v>179</v>
      </c>
      <c r="R1909" s="16">
        <f>_xlfn.XLOOKUP(CustomerCombinedCleaned[[#This Row],[ID]], Table4[ID], Table4[Deals], "Not Found", 0)</f>
        <v>4</v>
      </c>
      <c r="S1909" s="16">
        <f>_xlfn.XLOOKUP(CustomerCombinedCleaned[[#This Row],[ID]], Table4[ID], Table4[Website], "Not Found", 0)</f>
        <v>2</v>
      </c>
      <c r="T1909" s="16">
        <f>_xlfn.XLOOKUP(CustomerCombinedCleaned[[#This Row],[ID]], Table4[ID], Table4[Catalog], "Not Found", 0)</f>
        <v>0</v>
      </c>
      <c r="U1909" s="16">
        <f>_xlfn.XLOOKUP(CustomerCombinedCleaned[[#This Row],[ID]], Table4[ID], Table4[Store], "Not Found", 0)</f>
        <v>4</v>
      </c>
      <c r="V1909" s="16">
        <f>_xlfn.XLOOKUP(CustomerCombinedCleaned[[#This Row],[ID]], Table4[ID], Table4[Visits], "Not Found", 0)</f>
        <v>5</v>
      </c>
      <c r="W1909" s="16">
        <f>_xlfn.XLOOKUP(CustomerCombinedCleaned[[#This Row],[ID]], Table2[ID],Table2[Complaint], "Not Found", 0 )</f>
        <v>0</v>
      </c>
      <c r="X1909" s="16">
        <f>_xlfn.XLOOKUP(CustomerCombinedCleaned[[#This Row],[ID]], Table2[ID],Table2[Pilot], "Not Found", 0 )</f>
        <v>0</v>
      </c>
      <c r="Y1909" s="16">
        <f>_xlfn.XLOOKUP(CustomerCombinedCleaned[[#This Row],[ID]], Table2[ID],Table2[MC1], "Not Found", 0 )</f>
        <v>0</v>
      </c>
      <c r="Z1909" s="16">
        <f>_xlfn.XLOOKUP(CustomerCombinedCleaned[[#This Row],[ID]], Table2[ID],Table2[MC2], "Not Found", 0 )</f>
        <v>0</v>
      </c>
      <c r="AA1909" s="16">
        <f>_xlfn.XLOOKUP(CustomerCombinedCleaned[[#This Row],[ID]], Table2[ID],Table2[MC3], "Not Found", 0 )</f>
        <v>0</v>
      </c>
      <c r="AB1909" s="16">
        <f>_xlfn.XLOOKUP(CustomerCombinedCleaned[[#This Row],[ID]], Table2[ID],Table2[MC4], "Not Found", 0 )</f>
        <v>0</v>
      </c>
      <c r="AC1909" s="16">
        <f>_xlfn.XLOOKUP(CustomerCombinedCleaned[[#This Row],[ID]], Table2[ID],Table2[MC5], "Not Found", 0 )</f>
        <v>0</v>
      </c>
    </row>
    <row r="1910" spans="1:29" x14ac:dyDescent="0.3">
      <c r="A1910" s="18">
        <v>1807</v>
      </c>
      <c r="B1910" s="16">
        <v>193404</v>
      </c>
      <c r="C1910" s="16">
        <v>1</v>
      </c>
      <c r="D1910" s="16">
        <v>2</v>
      </c>
      <c r="E1910" s="16">
        <v>66</v>
      </c>
      <c r="F1910" s="17" t="s">
        <v>6</v>
      </c>
      <c r="G1910" s="17" t="s">
        <v>11</v>
      </c>
      <c r="H1910" s="3" t="s">
        <v>545</v>
      </c>
      <c r="I1910" s="5" t="s">
        <v>437</v>
      </c>
      <c r="J1910" s="16">
        <f>_xlfn.XLOOKUP(CustomerCombinedCleaned[[#This Row],[ID]], Table4[ID], Table4[Recency], "Not Found", 0)</f>
        <v>97</v>
      </c>
      <c r="K1910" s="16">
        <f>_xlfn.XLOOKUP(CustomerCombinedCleaned[[#This Row],[ID]], Table4[ID], Table4[Teas], "Not Found", 0)</f>
        <v>2648</v>
      </c>
      <c r="L1910" s="16">
        <f>_xlfn.XLOOKUP(CustomerCombinedCleaned[[#This Row],[ID]], Table4[ID], Table4[Fruits], "Not Found", 0)</f>
        <v>31</v>
      </c>
      <c r="M1910" s="16">
        <f>_xlfn.XLOOKUP(CustomerCombinedCleaned[[#This Row],[ID]], Table4[ID], Table4[Meats], "Not Found", 0)</f>
        <v>594</v>
      </c>
      <c r="N1910" s="16">
        <f>_xlfn.XLOOKUP(CustomerCombinedCleaned[[#This Row],[ID]], Table4[ID], Table4[Seafood], "Not Found", 0)</f>
        <v>41</v>
      </c>
      <c r="O1910" s="16">
        <f>_xlfn.XLOOKUP(CustomerCombinedCleaned[[#This Row],[ID]], Table4[ID], Table4[Sweets], "Not Found", 0)</f>
        <v>0</v>
      </c>
      <c r="P1910" s="16">
        <f>_xlfn.XLOOKUP(CustomerCombinedCleaned[[#This Row],[ID]], Table4[ID], Table4[Premium], "Not Found", 0)</f>
        <v>31</v>
      </c>
      <c r="Q1910" s="16">
        <f>_xlfn.XLOOKUP(CustomerCombinedCleaned[[#This Row],[ID]], Table4[ID], Table4[Regular], "Not Found", 0)</f>
        <v>3284</v>
      </c>
      <c r="R1910" s="16">
        <f>_xlfn.XLOOKUP(CustomerCombinedCleaned[[#This Row],[ID]], Table4[ID], Table4[Deals], "Not Found", 0)</f>
        <v>3</v>
      </c>
      <c r="S1910" s="16">
        <f>_xlfn.XLOOKUP(CustomerCombinedCleaned[[#This Row],[ID]], Table4[ID], Table4[Website], "Not Found", 0)</f>
        <v>3</v>
      </c>
      <c r="T1910" s="16">
        <f>_xlfn.XLOOKUP(CustomerCombinedCleaned[[#This Row],[ID]], Table4[ID], Table4[Catalog], "Not Found", 0)</f>
        <v>4</v>
      </c>
      <c r="U1910" s="16">
        <f>_xlfn.XLOOKUP(CustomerCombinedCleaned[[#This Row],[ID]], Table4[ID], Table4[Store], "Not Found", 0)</f>
        <v>7</v>
      </c>
      <c r="V1910" s="16">
        <f>_xlfn.XLOOKUP(CustomerCombinedCleaned[[#This Row],[ID]], Table4[ID], Table4[Visits], "Not Found", 0)</f>
        <v>5</v>
      </c>
      <c r="W1910" s="16">
        <f>_xlfn.XLOOKUP(CustomerCombinedCleaned[[#This Row],[ID]], Table2[ID],Table2[Complaint], "Not Found", 0 )</f>
        <v>0</v>
      </c>
      <c r="X1910" s="16">
        <f>_xlfn.XLOOKUP(CustomerCombinedCleaned[[#This Row],[ID]], Table2[ID],Table2[Pilot], "Not Found", 0 )</f>
        <v>0</v>
      </c>
      <c r="Y1910" s="16">
        <f>_xlfn.XLOOKUP(CustomerCombinedCleaned[[#This Row],[ID]], Table2[ID],Table2[MC1], "Not Found", 0 )</f>
        <v>0</v>
      </c>
      <c r="Z1910" s="16">
        <f>_xlfn.XLOOKUP(CustomerCombinedCleaned[[#This Row],[ID]], Table2[ID],Table2[MC2], "Not Found", 0 )</f>
        <v>0</v>
      </c>
      <c r="AA1910" s="16">
        <f>_xlfn.XLOOKUP(CustomerCombinedCleaned[[#This Row],[ID]], Table2[ID],Table2[MC3], "Not Found", 0 )</f>
        <v>0</v>
      </c>
      <c r="AB1910" s="16">
        <f>_xlfn.XLOOKUP(CustomerCombinedCleaned[[#This Row],[ID]], Table2[ID],Table2[MC4], "Not Found", 0 )</f>
        <v>1</v>
      </c>
      <c r="AC1910" s="16">
        <f>_xlfn.XLOOKUP(CustomerCombinedCleaned[[#This Row],[ID]], Table2[ID],Table2[MC5], "Not Found", 0 )</f>
        <v>1</v>
      </c>
    </row>
    <row r="1911" spans="1:29" x14ac:dyDescent="0.3">
      <c r="A1911" s="18">
        <v>2872</v>
      </c>
      <c r="B1911" s="16">
        <v>190933</v>
      </c>
      <c r="C1911" s="16">
        <v>0</v>
      </c>
      <c r="D1911" s="16">
        <v>0</v>
      </c>
      <c r="E1911" s="16">
        <v>66</v>
      </c>
      <c r="F1911" s="17" t="s">
        <v>7</v>
      </c>
      <c r="G1911" s="17" t="s">
        <v>13</v>
      </c>
      <c r="H1911" s="3" t="s">
        <v>548</v>
      </c>
      <c r="I1911" s="5" t="s">
        <v>439</v>
      </c>
      <c r="J1911" s="16">
        <f>_xlfn.XLOOKUP(CustomerCombinedCleaned[[#This Row],[ID]], Table4[ID], Table4[Recency], "Not Found", 0)</f>
        <v>90</v>
      </c>
      <c r="K1911" s="16">
        <f>_xlfn.XLOOKUP(CustomerCombinedCleaned[[#This Row],[ID]], Table4[ID], Table4[Teas], "Not Found", 0)</f>
        <v>2142</v>
      </c>
      <c r="L1911" s="16">
        <f>_xlfn.XLOOKUP(CustomerCombinedCleaned[[#This Row],[ID]], Table4[ID], Table4[Fruits], "Not Found", 0)</f>
        <v>65</v>
      </c>
      <c r="M1911" s="16">
        <f>_xlfn.XLOOKUP(CustomerCombinedCleaned[[#This Row],[ID]], Table4[ID], Table4[Meats], "Not Found", 0)</f>
        <v>903</v>
      </c>
      <c r="N1911" s="16">
        <f>_xlfn.XLOOKUP(CustomerCombinedCleaned[[#This Row],[ID]], Table4[ID], Table4[Seafood], "Not Found", 0)</f>
        <v>130</v>
      </c>
      <c r="O1911" s="16">
        <f>_xlfn.XLOOKUP(CustomerCombinedCleaned[[#This Row],[ID]], Table4[ID], Table4[Sweets], "Not Found", 0)</f>
        <v>132</v>
      </c>
      <c r="P1911" s="16">
        <f>_xlfn.XLOOKUP(CustomerCombinedCleaned[[#This Row],[ID]], Table4[ID], Table4[Premium], "Not Found", 0)</f>
        <v>166</v>
      </c>
      <c r="Q1911" s="16">
        <f>_xlfn.XLOOKUP(CustomerCombinedCleaned[[#This Row],[ID]], Table4[ID], Table4[Regular], "Not Found", 0)</f>
        <v>3206</v>
      </c>
      <c r="R1911" s="16">
        <f>_xlfn.XLOOKUP(CustomerCombinedCleaned[[#This Row],[ID]], Table4[ID], Table4[Deals], "Not Found", 0)</f>
        <v>1</v>
      </c>
      <c r="S1911" s="16">
        <f>_xlfn.XLOOKUP(CustomerCombinedCleaned[[#This Row],[ID]], Table4[ID], Table4[Website], "Not Found", 0)</f>
        <v>4</v>
      </c>
      <c r="T1911" s="16">
        <f>_xlfn.XLOOKUP(CustomerCombinedCleaned[[#This Row],[ID]], Table4[ID], Table4[Catalog], "Not Found", 0)</f>
        <v>6</v>
      </c>
      <c r="U1911" s="16">
        <f>_xlfn.XLOOKUP(CustomerCombinedCleaned[[#This Row],[ID]], Table4[ID], Table4[Store], "Not Found", 0)</f>
        <v>4</v>
      </c>
      <c r="V1911" s="16">
        <f>_xlfn.XLOOKUP(CustomerCombinedCleaned[[#This Row],[ID]], Table4[ID], Table4[Visits], "Not Found", 0)</f>
        <v>1</v>
      </c>
      <c r="W1911" s="16">
        <f>_xlfn.XLOOKUP(CustomerCombinedCleaned[[#This Row],[ID]], Table2[ID],Table2[Complaint], "Not Found", 0 )</f>
        <v>0</v>
      </c>
      <c r="X1911" s="16">
        <f>_xlfn.XLOOKUP(CustomerCombinedCleaned[[#This Row],[ID]], Table2[ID],Table2[Pilot], "Not Found", 0 )</f>
        <v>0</v>
      </c>
      <c r="Y1911" s="16">
        <f>_xlfn.XLOOKUP(CustomerCombinedCleaned[[#This Row],[ID]], Table2[ID],Table2[MC1], "Not Found", 0 )</f>
        <v>0</v>
      </c>
      <c r="Z1911" s="16">
        <f>_xlfn.XLOOKUP(CustomerCombinedCleaned[[#This Row],[ID]], Table2[ID],Table2[MC2], "Not Found", 0 )</f>
        <v>0</v>
      </c>
      <c r="AA1911" s="16">
        <f>_xlfn.XLOOKUP(CustomerCombinedCleaned[[#This Row],[ID]], Table2[ID],Table2[MC3], "Not Found", 0 )</f>
        <v>0</v>
      </c>
      <c r="AB1911" s="16">
        <f>_xlfn.XLOOKUP(CustomerCombinedCleaned[[#This Row],[ID]], Table2[ID],Table2[MC4], "Not Found", 0 )</f>
        <v>0</v>
      </c>
      <c r="AC1911" s="16">
        <f>_xlfn.XLOOKUP(CustomerCombinedCleaned[[#This Row],[ID]], Table2[ID],Table2[MC5], "Not Found", 0 )</f>
        <v>1</v>
      </c>
    </row>
    <row r="1912" spans="1:29" x14ac:dyDescent="0.3">
      <c r="A1912" s="18">
        <v>1186</v>
      </c>
      <c r="B1912" s="16">
        <v>186718</v>
      </c>
      <c r="C1912" s="16">
        <v>0</v>
      </c>
      <c r="D1912" s="16">
        <v>0</v>
      </c>
      <c r="E1912" s="16">
        <v>66</v>
      </c>
      <c r="F1912" s="17" t="s">
        <v>6</v>
      </c>
      <c r="G1912" s="17" t="s">
        <v>11</v>
      </c>
      <c r="H1912" s="3" t="s">
        <v>323</v>
      </c>
      <c r="I1912" s="5" t="s">
        <v>439</v>
      </c>
      <c r="J1912" s="16">
        <f>_xlfn.XLOOKUP(CustomerCombinedCleaned[[#This Row],[ID]], Table4[ID], Table4[Recency], "Not Found", 0)</f>
        <v>20</v>
      </c>
      <c r="K1912" s="16">
        <f>_xlfn.XLOOKUP(CustomerCombinedCleaned[[#This Row],[ID]], Table4[ID], Table4[Teas], "Not Found", 0)</f>
        <v>741</v>
      </c>
      <c r="L1912" s="16">
        <f>_xlfn.XLOOKUP(CustomerCombinedCleaned[[#This Row],[ID]], Table4[ID], Table4[Fruits], "Not Found", 0)</f>
        <v>407</v>
      </c>
      <c r="M1912" s="16">
        <f>_xlfn.XLOOKUP(CustomerCombinedCleaned[[#This Row],[ID]], Table4[ID], Table4[Meats], "Not Found", 0)</f>
        <v>1038</v>
      </c>
      <c r="N1912" s="16">
        <f>_xlfn.XLOOKUP(CustomerCombinedCleaned[[#This Row],[ID]], Table4[ID], Table4[Seafood], "Not Found", 0)</f>
        <v>108</v>
      </c>
      <c r="O1912" s="16">
        <f>_xlfn.XLOOKUP(CustomerCombinedCleaned[[#This Row],[ID]], Table4[ID], Table4[Sweets], "Not Found", 0)</f>
        <v>71</v>
      </c>
      <c r="P1912" s="16">
        <f>_xlfn.XLOOKUP(CustomerCombinedCleaned[[#This Row],[ID]], Table4[ID], Table4[Premium], "Not Found", 0)</f>
        <v>370</v>
      </c>
      <c r="Q1912" s="16">
        <f>_xlfn.XLOOKUP(CustomerCombinedCleaned[[#This Row],[ID]], Table4[ID], Table4[Regular], "Not Found", 0)</f>
        <v>1994</v>
      </c>
      <c r="R1912" s="16">
        <f>_xlfn.XLOOKUP(CustomerCombinedCleaned[[#This Row],[ID]], Table4[ID], Table4[Deals], "Not Found", 0)</f>
        <v>1</v>
      </c>
      <c r="S1912" s="16">
        <f>_xlfn.XLOOKUP(CustomerCombinedCleaned[[#This Row],[ID]], Table4[ID], Table4[Website], "Not Found", 0)</f>
        <v>5</v>
      </c>
      <c r="T1912" s="16">
        <f>_xlfn.XLOOKUP(CustomerCombinedCleaned[[#This Row],[ID]], Table4[ID], Table4[Catalog], "Not Found", 0)</f>
        <v>6</v>
      </c>
      <c r="U1912" s="16">
        <f>_xlfn.XLOOKUP(CustomerCombinedCleaned[[#This Row],[ID]], Table4[ID], Table4[Store], "Not Found", 0)</f>
        <v>5</v>
      </c>
      <c r="V1912" s="16">
        <f>_xlfn.XLOOKUP(CustomerCombinedCleaned[[#This Row],[ID]], Table4[ID], Table4[Visits], "Not Found", 0)</f>
        <v>2</v>
      </c>
      <c r="W1912" s="16">
        <f>_xlfn.XLOOKUP(CustomerCombinedCleaned[[#This Row],[ID]], Table2[ID],Table2[Complaint], "Not Found", 0 )</f>
        <v>0</v>
      </c>
      <c r="X1912" s="16">
        <f>_xlfn.XLOOKUP(CustomerCombinedCleaned[[#This Row],[ID]], Table2[ID],Table2[Pilot], "Not Found", 0 )</f>
        <v>0</v>
      </c>
      <c r="Y1912" s="16">
        <f>_xlfn.XLOOKUP(CustomerCombinedCleaned[[#This Row],[ID]], Table2[ID],Table2[MC1], "Not Found", 0 )</f>
        <v>0</v>
      </c>
      <c r="Z1912" s="16">
        <f>_xlfn.XLOOKUP(CustomerCombinedCleaned[[#This Row],[ID]], Table2[ID],Table2[MC2], "Not Found", 0 )</f>
        <v>0</v>
      </c>
      <c r="AA1912" s="16">
        <f>_xlfn.XLOOKUP(CustomerCombinedCleaned[[#This Row],[ID]], Table2[ID],Table2[MC3], "Not Found", 0 )</f>
        <v>0</v>
      </c>
      <c r="AB1912" s="16">
        <f>_xlfn.XLOOKUP(CustomerCombinedCleaned[[#This Row],[ID]], Table2[ID],Table2[MC4], "Not Found", 0 )</f>
        <v>0</v>
      </c>
      <c r="AC1912" s="16">
        <f>_xlfn.XLOOKUP(CustomerCombinedCleaned[[#This Row],[ID]], Table2[ID],Table2[MC5], "Not Found", 0 )</f>
        <v>0</v>
      </c>
    </row>
    <row r="1913" spans="1:29" x14ac:dyDescent="0.3">
      <c r="A1913" s="18">
        <v>1971</v>
      </c>
      <c r="B1913" s="16">
        <v>185683</v>
      </c>
      <c r="C1913" s="16">
        <v>0</v>
      </c>
      <c r="D1913" s="16">
        <v>0</v>
      </c>
      <c r="E1913" s="16">
        <v>66</v>
      </c>
      <c r="F1913" s="17" t="s">
        <v>5</v>
      </c>
      <c r="G1913" s="17" t="s">
        <v>11</v>
      </c>
      <c r="H1913" s="3" t="s">
        <v>80</v>
      </c>
      <c r="I1913" s="5" t="s">
        <v>435</v>
      </c>
      <c r="J1913" s="16">
        <f>_xlfn.XLOOKUP(CustomerCombinedCleaned[[#This Row],[ID]], Table4[ID], Table4[Recency], "Not Found", 0)</f>
        <v>6</v>
      </c>
      <c r="K1913" s="16">
        <f>_xlfn.XLOOKUP(CustomerCombinedCleaned[[#This Row],[ID]], Table4[ID], Table4[Teas], "Not Found", 0)</f>
        <v>2809</v>
      </c>
      <c r="L1913" s="16">
        <f>_xlfn.XLOOKUP(CustomerCombinedCleaned[[#This Row],[ID]], Table4[ID], Table4[Fruits], "Not Found", 0)</f>
        <v>37</v>
      </c>
      <c r="M1913" s="16">
        <f>_xlfn.XLOOKUP(CustomerCombinedCleaned[[#This Row],[ID]], Table4[ID], Table4[Meats], "Not Found", 0)</f>
        <v>674</v>
      </c>
      <c r="N1913" s="16">
        <f>_xlfn.XLOOKUP(CustomerCombinedCleaned[[#This Row],[ID]], Table4[ID], Table4[Seafood], "Not Found", 0)</f>
        <v>98</v>
      </c>
      <c r="O1913" s="16">
        <f>_xlfn.XLOOKUP(CustomerCombinedCleaned[[#This Row],[ID]], Table4[ID], Table4[Sweets], "Not Found", 0)</f>
        <v>150</v>
      </c>
      <c r="P1913" s="16">
        <f>_xlfn.XLOOKUP(CustomerCombinedCleaned[[#This Row],[ID]], Table4[ID], Table4[Premium], "Not Found", 0)</f>
        <v>111</v>
      </c>
      <c r="Q1913" s="16">
        <f>_xlfn.XLOOKUP(CustomerCombinedCleaned[[#This Row],[ID]], Table4[ID], Table4[Regular], "Not Found", 0)</f>
        <v>3656</v>
      </c>
      <c r="R1913" s="16">
        <f>_xlfn.XLOOKUP(CustomerCombinedCleaned[[#This Row],[ID]], Table4[ID], Table4[Deals], "Not Found", 0)</f>
        <v>1</v>
      </c>
      <c r="S1913" s="16">
        <f>_xlfn.XLOOKUP(CustomerCombinedCleaned[[#This Row],[ID]], Table4[ID], Table4[Website], "Not Found", 0)</f>
        <v>2</v>
      </c>
      <c r="T1913" s="16">
        <f>_xlfn.XLOOKUP(CustomerCombinedCleaned[[#This Row],[ID]], Table4[ID], Table4[Catalog], "Not Found", 0)</f>
        <v>4</v>
      </c>
      <c r="U1913" s="16">
        <f>_xlfn.XLOOKUP(CustomerCombinedCleaned[[#This Row],[ID]], Table4[ID], Table4[Store], "Not Found", 0)</f>
        <v>10</v>
      </c>
      <c r="V1913" s="16">
        <f>_xlfn.XLOOKUP(CustomerCombinedCleaned[[#This Row],[ID]], Table4[ID], Table4[Visits], "Not Found", 0)</f>
        <v>1</v>
      </c>
      <c r="W1913" s="16">
        <f>_xlfn.XLOOKUP(CustomerCombinedCleaned[[#This Row],[ID]], Table2[ID],Table2[Complaint], "Not Found", 0 )</f>
        <v>0</v>
      </c>
      <c r="X1913" s="16">
        <f>_xlfn.XLOOKUP(CustomerCombinedCleaned[[#This Row],[ID]], Table2[ID],Table2[Pilot], "Not Found", 0 )</f>
        <v>1</v>
      </c>
      <c r="Y1913" s="16">
        <f>_xlfn.XLOOKUP(CustomerCombinedCleaned[[#This Row],[ID]], Table2[ID],Table2[MC1], "Not Found", 0 )</f>
        <v>1</v>
      </c>
      <c r="Z1913" s="16">
        <f>_xlfn.XLOOKUP(CustomerCombinedCleaned[[#This Row],[ID]], Table2[ID],Table2[MC2], "Not Found", 0 )</f>
        <v>1</v>
      </c>
      <c r="AA1913" s="16">
        <f>_xlfn.XLOOKUP(CustomerCombinedCleaned[[#This Row],[ID]], Table2[ID],Table2[MC3], "Not Found", 0 )</f>
        <v>0</v>
      </c>
      <c r="AB1913" s="16">
        <f>_xlfn.XLOOKUP(CustomerCombinedCleaned[[#This Row],[ID]], Table2[ID],Table2[MC4], "Not Found", 0 )</f>
        <v>1</v>
      </c>
      <c r="AC1913" s="16">
        <f>_xlfn.XLOOKUP(CustomerCombinedCleaned[[#This Row],[ID]], Table2[ID],Table2[MC5], "Not Found", 0 )</f>
        <v>1</v>
      </c>
    </row>
    <row r="1914" spans="1:29" x14ac:dyDescent="0.3">
      <c r="A1914" s="18">
        <v>1185</v>
      </c>
      <c r="B1914" s="16">
        <v>180067</v>
      </c>
      <c r="C1914" s="16">
        <v>0</v>
      </c>
      <c r="D1914" s="16">
        <v>0</v>
      </c>
      <c r="E1914" s="16">
        <v>66</v>
      </c>
      <c r="F1914" s="17" t="s">
        <v>6</v>
      </c>
      <c r="G1914" s="17" t="s">
        <v>11</v>
      </c>
      <c r="H1914" s="3" t="s">
        <v>180</v>
      </c>
      <c r="I1914" s="5" t="s">
        <v>435</v>
      </c>
      <c r="J1914" s="16">
        <f>_xlfn.XLOOKUP(CustomerCombinedCleaned[[#This Row],[ID]], Table4[ID], Table4[Recency], "Not Found", 0)</f>
        <v>82</v>
      </c>
      <c r="K1914" s="16">
        <f>_xlfn.XLOOKUP(CustomerCombinedCleaned[[#This Row],[ID]], Table4[ID], Table4[Teas], "Not Found", 0)</f>
        <v>1167</v>
      </c>
      <c r="L1914" s="16">
        <f>_xlfn.XLOOKUP(CustomerCombinedCleaned[[#This Row],[ID]], Table4[ID], Table4[Fruits], "Not Found", 0)</f>
        <v>38</v>
      </c>
      <c r="M1914" s="16">
        <f>_xlfn.XLOOKUP(CustomerCombinedCleaned[[#This Row],[ID]], Table4[ID], Table4[Meats], "Not Found", 0)</f>
        <v>1828</v>
      </c>
      <c r="N1914" s="16">
        <f>_xlfn.XLOOKUP(CustomerCombinedCleaned[[#This Row],[ID]], Table4[ID], Table4[Seafood], "Not Found", 0)</f>
        <v>61</v>
      </c>
      <c r="O1914" s="16">
        <f>_xlfn.XLOOKUP(CustomerCombinedCleaned[[#This Row],[ID]], Table4[ID], Table4[Sweets], "Not Found", 0)</f>
        <v>389</v>
      </c>
      <c r="P1914" s="16">
        <f>_xlfn.XLOOKUP(CustomerCombinedCleaned[[#This Row],[ID]], Table4[ID], Table4[Premium], "Not Found", 0)</f>
        <v>115</v>
      </c>
      <c r="Q1914" s="16">
        <f>_xlfn.XLOOKUP(CustomerCombinedCleaned[[#This Row],[ID]], Table4[ID], Table4[Regular], "Not Found", 0)</f>
        <v>3369</v>
      </c>
      <c r="R1914" s="16">
        <f>_xlfn.XLOOKUP(CustomerCombinedCleaned[[#This Row],[ID]], Table4[ID], Table4[Deals], "Not Found", 0)</f>
        <v>1</v>
      </c>
      <c r="S1914" s="16">
        <f>_xlfn.XLOOKUP(CustomerCombinedCleaned[[#This Row],[ID]], Table4[ID], Table4[Website], "Not Found", 0)</f>
        <v>4</v>
      </c>
      <c r="T1914" s="16">
        <f>_xlfn.XLOOKUP(CustomerCombinedCleaned[[#This Row],[ID]], Table4[ID], Table4[Catalog], "Not Found", 0)</f>
        <v>6</v>
      </c>
      <c r="U1914" s="16">
        <f>_xlfn.XLOOKUP(CustomerCombinedCleaned[[#This Row],[ID]], Table4[ID], Table4[Store], "Not Found", 0)</f>
        <v>6</v>
      </c>
      <c r="V1914" s="16">
        <f>_xlfn.XLOOKUP(CustomerCombinedCleaned[[#This Row],[ID]], Table4[ID], Table4[Visits], "Not Found", 0)</f>
        <v>2</v>
      </c>
      <c r="W1914" s="16">
        <f>_xlfn.XLOOKUP(CustomerCombinedCleaned[[#This Row],[ID]], Table2[ID],Table2[Complaint], "Not Found", 0 )</f>
        <v>0</v>
      </c>
      <c r="X1914" s="16">
        <f>_xlfn.XLOOKUP(CustomerCombinedCleaned[[#This Row],[ID]], Table2[ID],Table2[Pilot], "Not Found", 0 )</f>
        <v>0</v>
      </c>
      <c r="Y1914" s="16">
        <f>_xlfn.XLOOKUP(CustomerCombinedCleaned[[#This Row],[ID]], Table2[ID],Table2[MC1], "Not Found", 0 )</f>
        <v>0</v>
      </c>
      <c r="Z1914" s="16">
        <f>_xlfn.XLOOKUP(CustomerCombinedCleaned[[#This Row],[ID]], Table2[ID],Table2[MC2], "Not Found", 0 )</f>
        <v>0</v>
      </c>
      <c r="AA1914" s="16">
        <f>_xlfn.XLOOKUP(CustomerCombinedCleaned[[#This Row],[ID]], Table2[ID],Table2[MC3], "Not Found", 0 )</f>
        <v>0</v>
      </c>
      <c r="AB1914" s="16">
        <f>_xlfn.XLOOKUP(CustomerCombinedCleaned[[#This Row],[ID]], Table2[ID],Table2[MC4], "Not Found", 0 )</f>
        <v>0</v>
      </c>
      <c r="AC1914" s="16">
        <f>_xlfn.XLOOKUP(CustomerCombinedCleaned[[#This Row],[ID]], Table2[ID],Table2[MC5], "Not Found", 0 )</f>
        <v>1</v>
      </c>
    </row>
    <row r="1915" spans="1:29" x14ac:dyDescent="0.3">
      <c r="A1915" s="18">
        <v>2539</v>
      </c>
      <c r="B1915" s="16">
        <v>179865</v>
      </c>
      <c r="C1915" s="16">
        <v>0</v>
      </c>
      <c r="D1915" s="16">
        <v>1</v>
      </c>
      <c r="E1915" s="16">
        <v>66</v>
      </c>
      <c r="F1915" s="17" t="s">
        <v>5</v>
      </c>
      <c r="G1915" s="17" t="s">
        <v>11</v>
      </c>
      <c r="H1915" s="3" t="s">
        <v>31</v>
      </c>
      <c r="I1915" s="5" t="s">
        <v>437</v>
      </c>
      <c r="J1915" s="16">
        <f>_xlfn.XLOOKUP(CustomerCombinedCleaned[[#This Row],[ID]], Table4[ID], Table4[Recency], "Not Found", 0)</f>
        <v>12</v>
      </c>
      <c r="K1915" s="16">
        <f>_xlfn.XLOOKUP(CustomerCombinedCleaned[[#This Row],[ID]], Table4[ID], Table4[Teas], "Not Found", 0)</f>
        <v>160</v>
      </c>
      <c r="L1915" s="16">
        <f>_xlfn.XLOOKUP(CustomerCombinedCleaned[[#This Row],[ID]], Table4[ID], Table4[Fruits], "Not Found", 0)</f>
        <v>223</v>
      </c>
      <c r="M1915" s="16">
        <f>_xlfn.XLOOKUP(CustomerCombinedCleaned[[#This Row],[ID]], Table4[ID], Table4[Meats], "Not Found", 0)</f>
        <v>626</v>
      </c>
      <c r="N1915" s="16">
        <f>_xlfn.XLOOKUP(CustomerCombinedCleaned[[#This Row],[ID]], Table4[ID], Table4[Seafood], "Not Found", 0)</f>
        <v>417</v>
      </c>
      <c r="O1915" s="16">
        <f>_xlfn.XLOOKUP(CustomerCombinedCleaned[[#This Row],[ID]], Table4[ID], Table4[Sweets], "Not Found", 0)</f>
        <v>273</v>
      </c>
      <c r="P1915" s="16">
        <f>_xlfn.XLOOKUP(CustomerCombinedCleaned[[#This Row],[ID]], Table4[ID], Table4[Premium], "Not Found", 0)</f>
        <v>86</v>
      </c>
      <c r="Q1915" s="16">
        <f>_xlfn.XLOOKUP(CustomerCombinedCleaned[[#This Row],[ID]], Table4[ID], Table4[Regular], "Not Found", 0)</f>
        <v>1613</v>
      </c>
      <c r="R1915" s="16">
        <f>_xlfn.XLOOKUP(CustomerCombinedCleaned[[#This Row],[ID]], Table4[ID], Table4[Deals], "Not Found", 0)</f>
        <v>1</v>
      </c>
      <c r="S1915" s="16">
        <f>_xlfn.XLOOKUP(CustomerCombinedCleaned[[#This Row],[ID]], Table4[ID], Table4[Website], "Not Found", 0)</f>
        <v>5</v>
      </c>
      <c r="T1915" s="16">
        <f>_xlfn.XLOOKUP(CustomerCombinedCleaned[[#This Row],[ID]], Table4[ID], Table4[Catalog], "Not Found", 0)</f>
        <v>10</v>
      </c>
      <c r="U1915" s="16">
        <f>_xlfn.XLOOKUP(CustomerCombinedCleaned[[#This Row],[ID]], Table4[ID], Table4[Store], "Not Found", 0)</f>
        <v>5</v>
      </c>
      <c r="V1915" s="16">
        <f>_xlfn.XLOOKUP(CustomerCombinedCleaned[[#This Row],[ID]], Table4[ID], Table4[Visits], "Not Found", 0)</f>
        <v>1</v>
      </c>
      <c r="W1915" s="16">
        <f>_xlfn.XLOOKUP(CustomerCombinedCleaned[[#This Row],[ID]], Table2[ID],Table2[Complaint], "Not Found", 0 )</f>
        <v>0</v>
      </c>
      <c r="X1915" s="16">
        <f>_xlfn.XLOOKUP(CustomerCombinedCleaned[[#This Row],[ID]], Table2[ID],Table2[Pilot], "Not Found", 0 )</f>
        <v>0</v>
      </c>
      <c r="Y1915" s="16">
        <f>_xlfn.XLOOKUP(CustomerCombinedCleaned[[#This Row],[ID]], Table2[ID],Table2[MC1], "Not Found", 0 )</f>
        <v>0</v>
      </c>
      <c r="Z1915" s="16">
        <f>_xlfn.XLOOKUP(CustomerCombinedCleaned[[#This Row],[ID]], Table2[ID],Table2[MC2], "Not Found", 0 )</f>
        <v>0</v>
      </c>
      <c r="AA1915" s="16">
        <f>_xlfn.XLOOKUP(CustomerCombinedCleaned[[#This Row],[ID]], Table2[ID],Table2[MC3], "Not Found", 0 )</f>
        <v>0</v>
      </c>
      <c r="AB1915" s="16">
        <f>_xlfn.XLOOKUP(CustomerCombinedCleaned[[#This Row],[ID]], Table2[ID],Table2[MC4], "Not Found", 0 )</f>
        <v>0</v>
      </c>
      <c r="AC1915" s="16">
        <f>_xlfn.XLOOKUP(CustomerCombinedCleaned[[#This Row],[ID]], Table2[ID],Table2[MC5], "Not Found", 0 )</f>
        <v>0</v>
      </c>
    </row>
    <row r="1916" spans="1:29" x14ac:dyDescent="0.3">
      <c r="A1916" s="18">
        <v>1199</v>
      </c>
      <c r="B1916" s="16">
        <v>177972</v>
      </c>
      <c r="C1916" s="16">
        <v>0</v>
      </c>
      <c r="D1916" s="16">
        <v>0</v>
      </c>
      <c r="E1916" s="16">
        <v>66</v>
      </c>
      <c r="F1916" s="17" t="s">
        <v>8</v>
      </c>
      <c r="G1916" s="17" t="s">
        <v>11</v>
      </c>
      <c r="H1916" s="3" t="s">
        <v>83</v>
      </c>
      <c r="I1916" s="5" t="s">
        <v>434</v>
      </c>
      <c r="J1916" s="16">
        <f>_xlfn.XLOOKUP(CustomerCombinedCleaned[[#This Row],[ID]], Table4[ID], Table4[Recency], "Not Found", 0)</f>
        <v>18</v>
      </c>
      <c r="K1916" s="16">
        <f>_xlfn.XLOOKUP(CustomerCombinedCleaned[[#This Row],[ID]], Table4[ID], Table4[Teas], "Not Found", 0)</f>
        <v>1399</v>
      </c>
      <c r="L1916" s="16">
        <f>_xlfn.XLOOKUP(CustomerCombinedCleaned[[#This Row],[ID]], Table4[ID], Table4[Fruits], "Not Found", 0)</f>
        <v>50</v>
      </c>
      <c r="M1916" s="16">
        <f>_xlfn.XLOOKUP(CustomerCombinedCleaned[[#This Row],[ID]], Table4[ID], Table4[Meats], "Not Found", 0)</f>
        <v>728</v>
      </c>
      <c r="N1916" s="16">
        <f>_xlfn.XLOOKUP(CustomerCombinedCleaned[[#This Row],[ID]], Table4[ID], Table4[Seafood], "Not Found", 0)</f>
        <v>75</v>
      </c>
      <c r="O1916" s="16">
        <f>_xlfn.XLOOKUP(CustomerCombinedCleaned[[#This Row],[ID]], Table4[ID], Table4[Sweets], "Not Found", 0)</f>
        <v>233</v>
      </c>
      <c r="P1916" s="16">
        <f>_xlfn.XLOOKUP(CustomerCombinedCleaned[[#This Row],[ID]], Table4[ID], Table4[Premium], "Not Found", 0)</f>
        <v>27</v>
      </c>
      <c r="Q1916" s="16">
        <f>_xlfn.XLOOKUP(CustomerCombinedCleaned[[#This Row],[ID]], Table4[ID], Table4[Regular], "Not Found", 0)</f>
        <v>2458</v>
      </c>
      <c r="R1916" s="16">
        <f>_xlfn.XLOOKUP(CustomerCombinedCleaned[[#This Row],[ID]], Table4[ID], Table4[Deals], "Not Found", 0)</f>
        <v>1</v>
      </c>
      <c r="S1916" s="16">
        <f>_xlfn.XLOOKUP(CustomerCombinedCleaned[[#This Row],[ID]], Table4[ID], Table4[Website], "Not Found", 0)</f>
        <v>4</v>
      </c>
      <c r="T1916" s="16">
        <f>_xlfn.XLOOKUP(CustomerCombinedCleaned[[#This Row],[ID]], Table4[ID], Table4[Catalog], "Not Found", 0)</f>
        <v>6</v>
      </c>
      <c r="U1916" s="16">
        <f>_xlfn.XLOOKUP(CustomerCombinedCleaned[[#This Row],[ID]], Table4[ID], Table4[Store], "Not Found", 0)</f>
        <v>9</v>
      </c>
      <c r="V1916" s="16">
        <f>_xlfn.XLOOKUP(CustomerCombinedCleaned[[#This Row],[ID]], Table4[ID], Table4[Visits], "Not Found", 0)</f>
        <v>1</v>
      </c>
      <c r="W1916" s="16">
        <f>_xlfn.XLOOKUP(CustomerCombinedCleaned[[#This Row],[ID]], Table2[ID],Table2[Complaint], "Not Found", 0 )</f>
        <v>0</v>
      </c>
      <c r="X1916" s="16">
        <f>_xlfn.XLOOKUP(CustomerCombinedCleaned[[#This Row],[ID]], Table2[ID],Table2[Pilot], "Not Found", 0 )</f>
        <v>0</v>
      </c>
      <c r="Y1916" s="16">
        <f>_xlfn.XLOOKUP(CustomerCombinedCleaned[[#This Row],[ID]], Table2[ID],Table2[MC1], "Not Found", 0 )</f>
        <v>0</v>
      </c>
      <c r="Z1916" s="16">
        <f>_xlfn.XLOOKUP(CustomerCombinedCleaned[[#This Row],[ID]], Table2[ID],Table2[MC2], "Not Found", 0 )</f>
        <v>0</v>
      </c>
      <c r="AA1916" s="16">
        <f>_xlfn.XLOOKUP(CustomerCombinedCleaned[[#This Row],[ID]], Table2[ID],Table2[MC3], "Not Found", 0 )</f>
        <v>0</v>
      </c>
      <c r="AB1916" s="16">
        <f>_xlfn.XLOOKUP(CustomerCombinedCleaned[[#This Row],[ID]], Table2[ID],Table2[MC4], "Not Found", 0 )</f>
        <v>0</v>
      </c>
      <c r="AC1916" s="16">
        <f>_xlfn.XLOOKUP(CustomerCombinedCleaned[[#This Row],[ID]], Table2[ID],Table2[MC5], "Not Found", 0 )</f>
        <v>0</v>
      </c>
    </row>
    <row r="1917" spans="1:29" x14ac:dyDescent="0.3">
      <c r="A1917" s="18">
        <v>2091</v>
      </c>
      <c r="B1917" s="16">
        <v>176773</v>
      </c>
      <c r="C1917" s="16">
        <v>0</v>
      </c>
      <c r="D1917" s="16">
        <v>0</v>
      </c>
      <c r="E1917" s="16">
        <v>66</v>
      </c>
      <c r="F1917" s="17" t="s">
        <v>5</v>
      </c>
      <c r="G1917" s="17" t="s">
        <v>11</v>
      </c>
      <c r="H1917" s="3" t="s">
        <v>554</v>
      </c>
      <c r="I1917" s="5" t="s">
        <v>435</v>
      </c>
      <c r="J1917" s="16">
        <f>_xlfn.XLOOKUP(CustomerCombinedCleaned[[#This Row],[ID]], Table4[ID], Table4[Recency], "Not Found", 0)</f>
        <v>79</v>
      </c>
      <c r="K1917" s="16">
        <f>_xlfn.XLOOKUP(CustomerCombinedCleaned[[#This Row],[ID]], Table4[ID], Table4[Teas], "Not Found", 0)</f>
        <v>1188</v>
      </c>
      <c r="L1917" s="16">
        <f>_xlfn.XLOOKUP(CustomerCombinedCleaned[[#This Row],[ID]], Table4[ID], Table4[Fruits], "Not Found", 0)</f>
        <v>129</v>
      </c>
      <c r="M1917" s="16">
        <f>_xlfn.XLOOKUP(CustomerCombinedCleaned[[#This Row],[ID]], Table4[ID], Table4[Meats], "Not Found", 0)</f>
        <v>1034</v>
      </c>
      <c r="N1917" s="16">
        <f>_xlfn.XLOOKUP(CustomerCombinedCleaned[[#This Row],[ID]], Table4[ID], Table4[Seafood], "Not Found", 0)</f>
        <v>198</v>
      </c>
      <c r="O1917" s="16">
        <f>_xlfn.XLOOKUP(CustomerCombinedCleaned[[#This Row],[ID]], Table4[ID], Table4[Sweets], "Not Found", 0)</f>
        <v>76</v>
      </c>
      <c r="P1917" s="16">
        <f>_xlfn.XLOOKUP(CustomerCombinedCleaned[[#This Row],[ID]], Table4[ID], Table4[Premium], "Not Found", 0)</f>
        <v>37</v>
      </c>
      <c r="Q1917" s="16">
        <f>_xlfn.XLOOKUP(CustomerCombinedCleaned[[#This Row],[ID]], Table4[ID], Table4[Regular], "Not Found", 0)</f>
        <v>2588</v>
      </c>
      <c r="R1917" s="16">
        <f>_xlfn.XLOOKUP(CustomerCombinedCleaned[[#This Row],[ID]], Table4[ID], Table4[Deals], "Not Found", 0)</f>
        <v>1</v>
      </c>
      <c r="S1917" s="16">
        <f>_xlfn.XLOOKUP(CustomerCombinedCleaned[[#This Row],[ID]], Table4[ID], Table4[Website], "Not Found", 0)</f>
        <v>2</v>
      </c>
      <c r="T1917" s="16">
        <f>_xlfn.XLOOKUP(CustomerCombinedCleaned[[#This Row],[ID]], Table4[ID], Table4[Catalog], "Not Found", 0)</f>
        <v>2</v>
      </c>
      <c r="U1917" s="16">
        <f>_xlfn.XLOOKUP(CustomerCombinedCleaned[[#This Row],[ID]], Table4[ID], Table4[Store], "Not Found", 0)</f>
        <v>11</v>
      </c>
      <c r="V1917" s="16">
        <f>_xlfn.XLOOKUP(CustomerCombinedCleaned[[#This Row],[ID]], Table4[ID], Table4[Visits], "Not Found", 0)</f>
        <v>1</v>
      </c>
      <c r="W1917" s="16">
        <f>_xlfn.XLOOKUP(CustomerCombinedCleaned[[#This Row],[ID]], Table2[ID],Table2[Complaint], "Not Found", 0 )</f>
        <v>0</v>
      </c>
      <c r="X1917" s="16">
        <f>_xlfn.XLOOKUP(CustomerCombinedCleaned[[#This Row],[ID]], Table2[ID],Table2[Pilot], "Not Found", 0 )</f>
        <v>0</v>
      </c>
      <c r="Y1917" s="16">
        <f>_xlfn.XLOOKUP(CustomerCombinedCleaned[[#This Row],[ID]], Table2[ID],Table2[MC1], "Not Found", 0 )</f>
        <v>0</v>
      </c>
      <c r="Z1917" s="16">
        <f>_xlfn.XLOOKUP(CustomerCombinedCleaned[[#This Row],[ID]], Table2[ID],Table2[MC2], "Not Found", 0 )</f>
        <v>0</v>
      </c>
      <c r="AA1917" s="16">
        <f>_xlfn.XLOOKUP(CustomerCombinedCleaned[[#This Row],[ID]], Table2[ID],Table2[MC3], "Not Found", 0 )</f>
        <v>0</v>
      </c>
      <c r="AB1917" s="16">
        <f>_xlfn.XLOOKUP(CustomerCombinedCleaned[[#This Row],[ID]], Table2[ID],Table2[MC4], "Not Found", 0 )</f>
        <v>0</v>
      </c>
      <c r="AC1917" s="16">
        <f>_xlfn.XLOOKUP(CustomerCombinedCleaned[[#This Row],[ID]], Table2[ID],Table2[MC5], "Not Found", 0 )</f>
        <v>0</v>
      </c>
    </row>
    <row r="1918" spans="1:29" x14ac:dyDescent="0.3">
      <c r="A1918" s="18">
        <v>2543</v>
      </c>
      <c r="B1918" s="16">
        <v>175315</v>
      </c>
      <c r="C1918" s="16">
        <v>0</v>
      </c>
      <c r="D1918" s="16">
        <v>1</v>
      </c>
      <c r="E1918" s="16">
        <v>66</v>
      </c>
      <c r="F1918" s="17" t="s">
        <v>8</v>
      </c>
      <c r="G1918" s="17" t="s">
        <v>11</v>
      </c>
      <c r="H1918" s="3" t="s">
        <v>67</v>
      </c>
      <c r="I1918" s="5" t="s">
        <v>434</v>
      </c>
      <c r="J1918" s="16">
        <f>_xlfn.XLOOKUP(CustomerCombinedCleaned[[#This Row],[ID]], Table4[ID], Table4[Recency], "Not Found", 0)</f>
        <v>14</v>
      </c>
      <c r="K1918" s="16">
        <f>_xlfn.XLOOKUP(CustomerCombinedCleaned[[#This Row],[ID]], Table4[ID], Table4[Teas], "Not Found", 0)</f>
        <v>1068</v>
      </c>
      <c r="L1918" s="16">
        <f>_xlfn.XLOOKUP(CustomerCombinedCleaned[[#This Row],[ID]], Table4[ID], Table4[Fruits], "Not Found", 0)</f>
        <v>35</v>
      </c>
      <c r="M1918" s="16">
        <f>_xlfn.XLOOKUP(CustomerCombinedCleaned[[#This Row],[ID]], Table4[ID], Table4[Meats], "Not Found", 0)</f>
        <v>398</v>
      </c>
      <c r="N1918" s="16">
        <f>_xlfn.XLOOKUP(CustomerCombinedCleaned[[#This Row],[ID]], Table4[ID], Table4[Seafood], "Not Found", 0)</f>
        <v>331</v>
      </c>
      <c r="O1918" s="16">
        <f>_xlfn.XLOOKUP(CustomerCombinedCleaned[[#This Row],[ID]], Table4[ID], Table4[Sweets], "Not Found", 0)</f>
        <v>54</v>
      </c>
      <c r="P1918" s="16">
        <f>_xlfn.XLOOKUP(CustomerCombinedCleaned[[#This Row],[ID]], Table4[ID], Table4[Premium], "Not Found", 0)</f>
        <v>72</v>
      </c>
      <c r="Q1918" s="16">
        <f>_xlfn.XLOOKUP(CustomerCombinedCleaned[[#This Row],[ID]], Table4[ID], Table4[Regular], "Not Found", 0)</f>
        <v>1813</v>
      </c>
      <c r="R1918" s="16">
        <f>_xlfn.XLOOKUP(CustomerCombinedCleaned[[#This Row],[ID]], Table4[ID], Table4[Deals], "Not Found", 0)</f>
        <v>2</v>
      </c>
      <c r="S1918" s="16">
        <f>_xlfn.XLOOKUP(CustomerCombinedCleaned[[#This Row],[ID]], Table4[ID], Table4[Website], "Not Found", 0)</f>
        <v>5</v>
      </c>
      <c r="T1918" s="16">
        <f>_xlfn.XLOOKUP(CustomerCombinedCleaned[[#This Row],[ID]], Table4[ID], Table4[Catalog], "Not Found", 0)</f>
        <v>4</v>
      </c>
      <c r="U1918" s="16">
        <f>_xlfn.XLOOKUP(CustomerCombinedCleaned[[#This Row],[ID]], Table4[ID], Table4[Store], "Not Found", 0)</f>
        <v>12</v>
      </c>
      <c r="V1918" s="16">
        <f>_xlfn.XLOOKUP(CustomerCombinedCleaned[[#This Row],[ID]], Table4[ID], Table4[Visits], "Not Found", 0)</f>
        <v>2</v>
      </c>
      <c r="W1918" s="16">
        <f>_xlfn.XLOOKUP(CustomerCombinedCleaned[[#This Row],[ID]], Table2[ID],Table2[Complaint], "Not Found", 0 )</f>
        <v>0</v>
      </c>
      <c r="X1918" s="16">
        <f>_xlfn.XLOOKUP(CustomerCombinedCleaned[[#This Row],[ID]], Table2[ID],Table2[Pilot], "Not Found", 0 )</f>
        <v>0</v>
      </c>
      <c r="Y1918" s="16">
        <f>_xlfn.XLOOKUP(CustomerCombinedCleaned[[#This Row],[ID]], Table2[ID],Table2[MC1], "Not Found", 0 )</f>
        <v>0</v>
      </c>
      <c r="Z1918" s="16">
        <f>_xlfn.XLOOKUP(CustomerCombinedCleaned[[#This Row],[ID]], Table2[ID],Table2[MC2], "Not Found", 0 )</f>
        <v>0</v>
      </c>
      <c r="AA1918" s="16">
        <f>_xlfn.XLOOKUP(CustomerCombinedCleaned[[#This Row],[ID]], Table2[ID],Table2[MC3], "Not Found", 0 )</f>
        <v>0</v>
      </c>
      <c r="AB1918" s="16">
        <f>_xlfn.XLOOKUP(CustomerCombinedCleaned[[#This Row],[ID]], Table2[ID],Table2[MC4], "Not Found", 0 )</f>
        <v>0</v>
      </c>
      <c r="AC1918" s="16">
        <f>_xlfn.XLOOKUP(CustomerCombinedCleaned[[#This Row],[ID]], Table2[ID],Table2[MC5], "Not Found", 0 )</f>
        <v>0</v>
      </c>
    </row>
    <row r="1919" spans="1:29" x14ac:dyDescent="0.3">
      <c r="A1919" s="18">
        <v>1900</v>
      </c>
      <c r="B1919" s="16">
        <v>174637</v>
      </c>
      <c r="C1919" s="16">
        <v>0</v>
      </c>
      <c r="D1919" s="16">
        <v>0</v>
      </c>
      <c r="E1919" s="16">
        <v>66</v>
      </c>
      <c r="F1919" s="17" t="s">
        <v>7</v>
      </c>
      <c r="G1919" s="17" t="s">
        <v>13</v>
      </c>
      <c r="H1919" s="3" t="s">
        <v>253</v>
      </c>
      <c r="I1919" s="5" t="s">
        <v>439</v>
      </c>
      <c r="J1919" s="16">
        <f>_xlfn.XLOOKUP(CustomerCombinedCleaned[[#This Row],[ID]], Table4[ID], Table4[Recency], "Not Found", 0)</f>
        <v>73</v>
      </c>
      <c r="K1919" s="16">
        <f>_xlfn.XLOOKUP(CustomerCombinedCleaned[[#This Row],[ID]], Table4[ID], Table4[Teas], "Not Found", 0)</f>
        <v>2246</v>
      </c>
      <c r="L1919" s="16">
        <f>_xlfn.XLOOKUP(CustomerCombinedCleaned[[#This Row],[ID]], Table4[ID], Table4[Fruits], "Not Found", 0)</f>
        <v>150</v>
      </c>
      <c r="M1919" s="16">
        <f>_xlfn.XLOOKUP(CustomerCombinedCleaned[[#This Row],[ID]], Table4[ID], Table4[Meats], "Not Found", 0)</f>
        <v>1086</v>
      </c>
      <c r="N1919" s="16">
        <f>_xlfn.XLOOKUP(CustomerCombinedCleaned[[#This Row],[ID]], Table4[ID], Table4[Seafood], "Not Found", 0)</f>
        <v>342</v>
      </c>
      <c r="O1919" s="16">
        <f>_xlfn.XLOOKUP(CustomerCombinedCleaned[[#This Row],[ID]], Table4[ID], Table4[Sweets], "Not Found", 0)</f>
        <v>0</v>
      </c>
      <c r="P1919" s="16">
        <f>_xlfn.XLOOKUP(CustomerCombinedCleaned[[#This Row],[ID]], Table4[ID], Table4[Premium], "Not Found", 0)</f>
        <v>37</v>
      </c>
      <c r="Q1919" s="16">
        <f>_xlfn.XLOOKUP(CustomerCombinedCleaned[[#This Row],[ID]], Table4[ID], Table4[Regular], "Not Found", 0)</f>
        <v>3786</v>
      </c>
      <c r="R1919" s="16">
        <f>_xlfn.XLOOKUP(CustomerCombinedCleaned[[#This Row],[ID]], Table4[ID], Table4[Deals], "Not Found", 0)</f>
        <v>1</v>
      </c>
      <c r="S1919" s="16">
        <f>_xlfn.XLOOKUP(CustomerCombinedCleaned[[#This Row],[ID]], Table4[ID], Table4[Website], "Not Found", 0)</f>
        <v>6</v>
      </c>
      <c r="T1919" s="16">
        <f>_xlfn.XLOOKUP(CustomerCombinedCleaned[[#This Row],[ID]], Table4[ID], Table4[Catalog], "Not Found", 0)</f>
        <v>9</v>
      </c>
      <c r="U1919" s="16">
        <f>_xlfn.XLOOKUP(CustomerCombinedCleaned[[#This Row],[ID]], Table4[ID], Table4[Store], "Not Found", 0)</f>
        <v>9</v>
      </c>
      <c r="V1919" s="16">
        <f>_xlfn.XLOOKUP(CustomerCombinedCleaned[[#This Row],[ID]], Table4[ID], Table4[Visits], "Not Found", 0)</f>
        <v>3</v>
      </c>
      <c r="W1919" s="16">
        <f>_xlfn.XLOOKUP(CustomerCombinedCleaned[[#This Row],[ID]], Table2[ID],Table2[Complaint], "Not Found", 0 )</f>
        <v>0</v>
      </c>
      <c r="X1919" s="16">
        <f>_xlfn.XLOOKUP(CustomerCombinedCleaned[[#This Row],[ID]], Table2[ID],Table2[Pilot], "Not Found", 0 )</f>
        <v>0</v>
      </c>
      <c r="Y1919" s="16">
        <f>_xlfn.XLOOKUP(CustomerCombinedCleaned[[#This Row],[ID]], Table2[ID],Table2[MC1], "Not Found", 0 )</f>
        <v>1</v>
      </c>
      <c r="Z1919" s="16">
        <f>_xlfn.XLOOKUP(CustomerCombinedCleaned[[#This Row],[ID]], Table2[ID],Table2[MC2], "Not Found", 0 )</f>
        <v>0</v>
      </c>
      <c r="AA1919" s="16">
        <f>_xlfn.XLOOKUP(CustomerCombinedCleaned[[#This Row],[ID]], Table2[ID],Table2[MC3], "Not Found", 0 )</f>
        <v>0</v>
      </c>
      <c r="AB1919" s="16">
        <f>_xlfn.XLOOKUP(CustomerCombinedCleaned[[#This Row],[ID]], Table2[ID],Table2[MC4], "Not Found", 0 )</f>
        <v>0</v>
      </c>
      <c r="AC1919" s="16">
        <f>_xlfn.XLOOKUP(CustomerCombinedCleaned[[#This Row],[ID]], Table2[ID],Table2[MC5], "Not Found", 0 )</f>
        <v>0</v>
      </c>
    </row>
    <row r="1920" spans="1:29" x14ac:dyDescent="0.3">
      <c r="A1920" s="18">
        <v>1046</v>
      </c>
      <c r="B1920" s="16">
        <v>172550</v>
      </c>
      <c r="C1920" s="16">
        <v>1</v>
      </c>
      <c r="D1920" s="16">
        <v>1</v>
      </c>
      <c r="E1920" s="16">
        <v>66</v>
      </c>
      <c r="F1920" s="17" t="s">
        <v>6</v>
      </c>
      <c r="G1920" s="17" t="s">
        <v>13</v>
      </c>
      <c r="H1920" s="3" t="s">
        <v>367</v>
      </c>
      <c r="I1920" s="5" t="s">
        <v>438</v>
      </c>
      <c r="J1920" s="16">
        <f>_xlfn.XLOOKUP(CustomerCombinedCleaned[[#This Row],[ID]], Table4[ID], Table4[Recency], "Not Found", 0)</f>
        <v>39</v>
      </c>
      <c r="K1920" s="16">
        <f>_xlfn.XLOOKUP(CustomerCombinedCleaned[[#This Row],[ID]], Table4[ID], Table4[Teas], "Not Found", 0)</f>
        <v>1965</v>
      </c>
      <c r="L1920" s="16">
        <f>_xlfn.XLOOKUP(CustomerCombinedCleaned[[#This Row],[ID]], Table4[ID], Table4[Fruits], "Not Found", 0)</f>
        <v>119</v>
      </c>
      <c r="M1920" s="16">
        <f>_xlfn.XLOOKUP(CustomerCombinedCleaned[[#This Row],[ID]], Table4[ID], Table4[Meats], "Not Found", 0)</f>
        <v>754</v>
      </c>
      <c r="N1920" s="16">
        <f>_xlfn.XLOOKUP(CustomerCombinedCleaned[[#This Row],[ID]], Table4[ID], Table4[Seafood], "Not Found", 0)</f>
        <v>119</v>
      </c>
      <c r="O1920" s="16">
        <f>_xlfn.XLOOKUP(CustomerCombinedCleaned[[#This Row],[ID]], Table4[ID], Table4[Sweets], "Not Found", 0)</f>
        <v>90</v>
      </c>
      <c r="P1920" s="16">
        <f>_xlfn.XLOOKUP(CustomerCombinedCleaned[[#This Row],[ID]], Table4[ID], Table4[Premium], "Not Found", 0)</f>
        <v>90</v>
      </c>
      <c r="Q1920" s="16">
        <f>_xlfn.XLOOKUP(CustomerCombinedCleaned[[#This Row],[ID]], Table4[ID], Table4[Regular], "Not Found", 0)</f>
        <v>2956</v>
      </c>
      <c r="R1920" s="16">
        <f>_xlfn.XLOOKUP(CustomerCombinedCleaned[[#This Row],[ID]], Table4[ID], Table4[Deals], "Not Found", 0)</f>
        <v>9</v>
      </c>
      <c r="S1920" s="16">
        <f>_xlfn.XLOOKUP(CustomerCombinedCleaned[[#This Row],[ID]], Table4[ID], Table4[Website], "Not Found", 0)</f>
        <v>5</v>
      </c>
      <c r="T1920" s="16">
        <f>_xlfn.XLOOKUP(CustomerCombinedCleaned[[#This Row],[ID]], Table4[ID], Table4[Catalog], "Not Found", 0)</f>
        <v>2</v>
      </c>
      <c r="U1920" s="16">
        <f>_xlfn.XLOOKUP(CustomerCombinedCleaned[[#This Row],[ID]], Table4[ID], Table4[Store], "Not Found", 0)</f>
        <v>12</v>
      </c>
      <c r="V1920" s="16">
        <f>_xlfn.XLOOKUP(CustomerCombinedCleaned[[#This Row],[ID]], Table4[ID], Table4[Visits], "Not Found", 0)</f>
        <v>8</v>
      </c>
      <c r="W1920" s="16">
        <f>_xlfn.XLOOKUP(CustomerCombinedCleaned[[#This Row],[ID]], Table2[ID],Table2[Complaint], "Not Found", 0 )</f>
        <v>0</v>
      </c>
      <c r="X1920" s="16">
        <f>_xlfn.XLOOKUP(CustomerCombinedCleaned[[#This Row],[ID]], Table2[ID],Table2[Pilot], "Not Found", 0 )</f>
        <v>0</v>
      </c>
      <c r="Y1920" s="16">
        <f>_xlfn.XLOOKUP(CustomerCombinedCleaned[[#This Row],[ID]], Table2[ID],Table2[MC1], "Not Found", 0 )</f>
        <v>0</v>
      </c>
      <c r="Z1920" s="16">
        <f>_xlfn.XLOOKUP(CustomerCombinedCleaned[[#This Row],[ID]], Table2[ID],Table2[MC2], "Not Found", 0 )</f>
        <v>0</v>
      </c>
      <c r="AA1920" s="16">
        <f>_xlfn.XLOOKUP(CustomerCombinedCleaned[[#This Row],[ID]], Table2[ID],Table2[MC3], "Not Found", 0 )</f>
        <v>0</v>
      </c>
      <c r="AB1920" s="16">
        <f>_xlfn.XLOOKUP(CustomerCombinedCleaned[[#This Row],[ID]], Table2[ID],Table2[MC4], "Not Found", 0 )</f>
        <v>0</v>
      </c>
      <c r="AC1920" s="16">
        <f>_xlfn.XLOOKUP(CustomerCombinedCleaned[[#This Row],[ID]], Table2[ID],Table2[MC5], "Not Found", 0 )</f>
        <v>0</v>
      </c>
    </row>
    <row r="1921" spans="1:29" x14ac:dyDescent="0.3">
      <c r="A1921" s="18">
        <v>2789</v>
      </c>
      <c r="B1921" s="16">
        <v>172071</v>
      </c>
      <c r="C1921" s="16">
        <v>0</v>
      </c>
      <c r="D1921" s="16">
        <v>1</v>
      </c>
      <c r="E1921" s="16">
        <v>66</v>
      </c>
      <c r="F1921" s="17" t="s">
        <v>5</v>
      </c>
      <c r="G1921" s="17" t="s">
        <v>11</v>
      </c>
      <c r="H1921" s="3" t="s">
        <v>309</v>
      </c>
      <c r="I1921" s="5" t="s">
        <v>434</v>
      </c>
      <c r="J1921" s="16">
        <f>_xlfn.XLOOKUP(CustomerCombinedCleaned[[#This Row],[ID]], Table4[ID], Table4[Recency], "Not Found", 0)</f>
        <v>4</v>
      </c>
      <c r="K1921" s="16">
        <f>_xlfn.XLOOKUP(CustomerCombinedCleaned[[#This Row],[ID]], Table4[ID], Table4[Teas], "Not Found", 0)</f>
        <v>1268</v>
      </c>
      <c r="L1921" s="16">
        <f>_xlfn.XLOOKUP(CustomerCombinedCleaned[[#This Row],[ID]], Table4[ID], Table4[Fruits], "Not Found", 0)</f>
        <v>165</v>
      </c>
      <c r="M1921" s="16">
        <f>_xlfn.XLOOKUP(CustomerCombinedCleaned[[#This Row],[ID]], Table4[ID], Table4[Meats], "Not Found", 0)</f>
        <v>716</v>
      </c>
      <c r="N1921" s="16">
        <f>_xlfn.XLOOKUP(CustomerCombinedCleaned[[#This Row],[ID]], Table4[ID], Table4[Seafood], "Not Found", 0)</f>
        <v>358</v>
      </c>
      <c r="O1921" s="16">
        <f>_xlfn.XLOOKUP(CustomerCombinedCleaned[[#This Row],[ID]], Table4[ID], Table4[Sweets], "Not Found", 0)</f>
        <v>329</v>
      </c>
      <c r="P1921" s="16">
        <f>_xlfn.XLOOKUP(CustomerCombinedCleaned[[#This Row],[ID]], Table4[ID], Table4[Premium], "Not Found", 0)</f>
        <v>358</v>
      </c>
      <c r="Q1921" s="16">
        <f>_xlfn.XLOOKUP(CustomerCombinedCleaned[[#This Row],[ID]], Table4[ID], Table4[Regular], "Not Found", 0)</f>
        <v>2478</v>
      </c>
      <c r="R1921" s="16">
        <f>_xlfn.XLOOKUP(CustomerCombinedCleaned[[#This Row],[ID]], Table4[ID], Table4[Deals], "Not Found", 0)</f>
        <v>3</v>
      </c>
      <c r="S1921" s="16">
        <f>_xlfn.XLOOKUP(CustomerCombinedCleaned[[#This Row],[ID]], Table4[ID], Table4[Website], "Not Found", 0)</f>
        <v>5</v>
      </c>
      <c r="T1921" s="16">
        <f>_xlfn.XLOOKUP(CustomerCombinedCleaned[[#This Row],[ID]], Table4[ID], Table4[Catalog], "Not Found", 0)</f>
        <v>4</v>
      </c>
      <c r="U1921" s="16">
        <f>_xlfn.XLOOKUP(CustomerCombinedCleaned[[#This Row],[ID]], Table4[ID], Table4[Store], "Not Found", 0)</f>
        <v>8</v>
      </c>
      <c r="V1921" s="16">
        <f>_xlfn.XLOOKUP(CustomerCombinedCleaned[[#This Row],[ID]], Table4[ID], Table4[Visits], "Not Found", 0)</f>
        <v>2</v>
      </c>
      <c r="W1921" s="16">
        <f>_xlfn.XLOOKUP(CustomerCombinedCleaned[[#This Row],[ID]], Table2[ID],Table2[Complaint], "Not Found", 0 )</f>
        <v>0</v>
      </c>
      <c r="X1921" s="16">
        <f>_xlfn.XLOOKUP(CustomerCombinedCleaned[[#This Row],[ID]], Table2[ID],Table2[Pilot], "Not Found", 0 )</f>
        <v>0</v>
      </c>
      <c r="Y1921" s="16">
        <f>_xlfn.XLOOKUP(CustomerCombinedCleaned[[#This Row],[ID]], Table2[ID],Table2[MC1], "Not Found", 0 )</f>
        <v>0</v>
      </c>
      <c r="Z1921" s="16">
        <f>_xlfn.XLOOKUP(CustomerCombinedCleaned[[#This Row],[ID]], Table2[ID],Table2[MC2], "Not Found", 0 )</f>
        <v>0</v>
      </c>
      <c r="AA1921" s="16">
        <f>_xlfn.XLOOKUP(CustomerCombinedCleaned[[#This Row],[ID]], Table2[ID],Table2[MC3], "Not Found", 0 )</f>
        <v>0</v>
      </c>
      <c r="AB1921" s="16">
        <f>_xlfn.XLOOKUP(CustomerCombinedCleaned[[#This Row],[ID]], Table2[ID],Table2[MC4], "Not Found", 0 )</f>
        <v>0</v>
      </c>
      <c r="AC1921" s="16">
        <f>_xlfn.XLOOKUP(CustomerCombinedCleaned[[#This Row],[ID]], Table2[ID],Table2[MC5], "Not Found", 0 )</f>
        <v>0</v>
      </c>
    </row>
    <row r="1922" spans="1:29" x14ac:dyDescent="0.3">
      <c r="A1922" s="18">
        <v>3134</v>
      </c>
      <c r="B1922" s="16">
        <v>172071</v>
      </c>
      <c r="C1922" s="16">
        <v>0</v>
      </c>
      <c r="D1922" s="16">
        <v>1</v>
      </c>
      <c r="E1922" s="16">
        <v>66</v>
      </c>
      <c r="F1922" s="17" t="s">
        <v>5</v>
      </c>
      <c r="G1922" s="17" t="s">
        <v>11</v>
      </c>
      <c r="H1922" s="3" t="s">
        <v>309</v>
      </c>
      <c r="I1922" s="5" t="s">
        <v>438</v>
      </c>
      <c r="J1922" s="16">
        <f>_xlfn.XLOOKUP(CustomerCombinedCleaned[[#This Row],[ID]], Table4[ID], Table4[Recency], "Not Found", 0)</f>
        <v>4</v>
      </c>
      <c r="K1922" s="16">
        <f>_xlfn.XLOOKUP(CustomerCombinedCleaned[[#This Row],[ID]], Table4[ID], Table4[Teas], "Not Found", 0)</f>
        <v>1268</v>
      </c>
      <c r="L1922" s="16">
        <f>_xlfn.XLOOKUP(CustomerCombinedCleaned[[#This Row],[ID]], Table4[ID], Table4[Fruits], "Not Found", 0)</f>
        <v>165</v>
      </c>
      <c r="M1922" s="16">
        <f>_xlfn.XLOOKUP(CustomerCombinedCleaned[[#This Row],[ID]], Table4[ID], Table4[Meats], "Not Found", 0)</f>
        <v>716</v>
      </c>
      <c r="N1922" s="16">
        <f>_xlfn.XLOOKUP(CustomerCombinedCleaned[[#This Row],[ID]], Table4[ID], Table4[Seafood], "Not Found", 0)</f>
        <v>358</v>
      </c>
      <c r="O1922" s="16">
        <f>_xlfn.XLOOKUP(CustomerCombinedCleaned[[#This Row],[ID]], Table4[ID], Table4[Sweets], "Not Found", 0)</f>
        <v>329</v>
      </c>
      <c r="P1922" s="16">
        <f>_xlfn.XLOOKUP(CustomerCombinedCleaned[[#This Row],[ID]], Table4[ID], Table4[Premium], "Not Found", 0)</f>
        <v>358</v>
      </c>
      <c r="Q1922" s="16">
        <f>_xlfn.XLOOKUP(CustomerCombinedCleaned[[#This Row],[ID]], Table4[ID], Table4[Regular], "Not Found", 0)</f>
        <v>2478</v>
      </c>
      <c r="R1922" s="16">
        <f>_xlfn.XLOOKUP(CustomerCombinedCleaned[[#This Row],[ID]], Table4[ID], Table4[Deals], "Not Found", 0)</f>
        <v>3</v>
      </c>
      <c r="S1922" s="16">
        <f>_xlfn.XLOOKUP(CustomerCombinedCleaned[[#This Row],[ID]], Table4[ID], Table4[Website], "Not Found", 0)</f>
        <v>5</v>
      </c>
      <c r="T1922" s="16">
        <f>_xlfn.XLOOKUP(CustomerCombinedCleaned[[#This Row],[ID]], Table4[ID], Table4[Catalog], "Not Found", 0)</f>
        <v>4</v>
      </c>
      <c r="U1922" s="16">
        <f>_xlfn.XLOOKUP(CustomerCombinedCleaned[[#This Row],[ID]], Table4[ID], Table4[Store], "Not Found", 0)</f>
        <v>8</v>
      </c>
      <c r="V1922" s="16">
        <f>_xlfn.XLOOKUP(CustomerCombinedCleaned[[#This Row],[ID]], Table4[ID], Table4[Visits], "Not Found", 0)</f>
        <v>2</v>
      </c>
      <c r="W1922" s="16">
        <f>_xlfn.XLOOKUP(CustomerCombinedCleaned[[#This Row],[ID]], Table2[ID],Table2[Complaint], "Not Found", 0 )</f>
        <v>0</v>
      </c>
      <c r="X1922" s="16">
        <f>_xlfn.XLOOKUP(CustomerCombinedCleaned[[#This Row],[ID]], Table2[ID],Table2[Pilot], "Not Found", 0 )</f>
        <v>0</v>
      </c>
      <c r="Y1922" s="16">
        <f>_xlfn.XLOOKUP(CustomerCombinedCleaned[[#This Row],[ID]], Table2[ID],Table2[MC1], "Not Found", 0 )</f>
        <v>0</v>
      </c>
      <c r="Z1922" s="16">
        <f>_xlfn.XLOOKUP(CustomerCombinedCleaned[[#This Row],[ID]], Table2[ID],Table2[MC2], "Not Found", 0 )</f>
        <v>0</v>
      </c>
      <c r="AA1922" s="16">
        <f>_xlfn.XLOOKUP(CustomerCombinedCleaned[[#This Row],[ID]], Table2[ID],Table2[MC3], "Not Found", 0 )</f>
        <v>0</v>
      </c>
      <c r="AB1922" s="16">
        <f>_xlfn.XLOOKUP(CustomerCombinedCleaned[[#This Row],[ID]], Table2[ID],Table2[MC4], "Not Found", 0 )</f>
        <v>0</v>
      </c>
      <c r="AC1922" s="16">
        <f>_xlfn.XLOOKUP(CustomerCombinedCleaned[[#This Row],[ID]], Table2[ID],Table2[MC5], "Not Found", 0 )</f>
        <v>0</v>
      </c>
    </row>
    <row r="1923" spans="1:29" x14ac:dyDescent="0.3">
      <c r="A1923" s="18">
        <v>1777</v>
      </c>
      <c r="B1923" s="16">
        <v>170421</v>
      </c>
      <c r="C1923" s="16">
        <v>0</v>
      </c>
      <c r="D1923" s="16">
        <v>1</v>
      </c>
      <c r="E1923" s="16">
        <v>66</v>
      </c>
      <c r="F1923" s="17" t="s">
        <v>6</v>
      </c>
      <c r="G1923" s="17" t="s">
        <v>13</v>
      </c>
      <c r="H1923" s="3" t="s">
        <v>606</v>
      </c>
      <c r="I1923" s="5" t="s">
        <v>437</v>
      </c>
      <c r="J1923" s="16">
        <f>_xlfn.XLOOKUP(CustomerCombinedCleaned[[#This Row],[ID]], Table4[ID], Table4[Recency], "Not Found", 0)</f>
        <v>98</v>
      </c>
      <c r="K1923" s="16">
        <f>_xlfn.XLOOKUP(CustomerCombinedCleaned[[#This Row],[ID]], Table4[ID], Table4[Teas], "Not Found", 0)</f>
        <v>1159</v>
      </c>
      <c r="L1923" s="16">
        <f>_xlfn.XLOOKUP(CustomerCombinedCleaned[[#This Row],[ID]], Table4[ID], Table4[Fruits], "Not Found", 0)</f>
        <v>68</v>
      </c>
      <c r="M1923" s="16">
        <f>_xlfn.XLOOKUP(CustomerCombinedCleaned[[#This Row],[ID]], Table4[ID], Table4[Meats], "Not Found", 0)</f>
        <v>329</v>
      </c>
      <c r="N1923" s="16">
        <f>_xlfn.XLOOKUP(CustomerCombinedCleaned[[#This Row],[ID]], Table4[ID], Table4[Seafood], "Not Found", 0)</f>
        <v>182</v>
      </c>
      <c r="O1923" s="16">
        <f>_xlfn.XLOOKUP(CustomerCombinedCleaned[[#This Row],[ID]], Table4[ID], Table4[Sweets], "Not Found", 0)</f>
        <v>34</v>
      </c>
      <c r="P1923" s="16">
        <f>_xlfn.XLOOKUP(CustomerCombinedCleaned[[#This Row],[ID]], Table4[ID], Table4[Premium], "Not Found", 0)</f>
        <v>85</v>
      </c>
      <c r="Q1923" s="16">
        <f>_xlfn.XLOOKUP(CustomerCombinedCleaned[[#This Row],[ID]], Table4[ID], Table4[Regular], "Not Found", 0)</f>
        <v>1687</v>
      </c>
      <c r="R1923" s="16">
        <f>_xlfn.XLOOKUP(CustomerCombinedCleaned[[#This Row],[ID]], Table4[ID], Table4[Deals], "Not Found", 0)</f>
        <v>3</v>
      </c>
      <c r="S1923" s="16">
        <f>_xlfn.XLOOKUP(CustomerCombinedCleaned[[#This Row],[ID]], Table4[ID], Table4[Website], "Not Found", 0)</f>
        <v>10</v>
      </c>
      <c r="T1923" s="16">
        <f>_xlfn.XLOOKUP(CustomerCombinedCleaned[[#This Row],[ID]], Table4[ID], Table4[Catalog], "Not Found", 0)</f>
        <v>3</v>
      </c>
      <c r="U1923" s="16">
        <f>_xlfn.XLOOKUP(CustomerCombinedCleaned[[#This Row],[ID]], Table4[ID], Table4[Store], "Not Found", 0)</f>
        <v>7</v>
      </c>
      <c r="V1923" s="16">
        <f>_xlfn.XLOOKUP(CustomerCombinedCleaned[[#This Row],[ID]], Table4[ID], Table4[Visits], "Not Found", 0)</f>
        <v>6</v>
      </c>
      <c r="W1923" s="16">
        <f>_xlfn.XLOOKUP(CustomerCombinedCleaned[[#This Row],[ID]], Table2[ID],Table2[Complaint], "Not Found", 0 )</f>
        <v>0</v>
      </c>
      <c r="X1923" s="16">
        <f>_xlfn.XLOOKUP(CustomerCombinedCleaned[[#This Row],[ID]], Table2[ID],Table2[Pilot], "Not Found", 0 )</f>
        <v>0</v>
      </c>
      <c r="Y1923" s="16">
        <f>_xlfn.XLOOKUP(CustomerCombinedCleaned[[#This Row],[ID]], Table2[ID],Table2[MC1], "Not Found", 0 )</f>
        <v>0</v>
      </c>
      <c r="Z1923" s="16">
        <f>_xlfn.XLOOKUP(CustomerCombinedCleaned[[#This Row],[ID]], Table2[ID],Table2[MC2], "Not Found", 0 )</f>
        <v>0</v>
      </c>
      <c r="AA1923" s="16">
        <f>_xlfn.XLOOKUP(CustomerCombinedCleaned[[#This Row],[ID]], Table2[ID],Table2[MC3], "Not Found", 0 )</f>
        <v>0</v>
      </c>
      <c r="AB1923" s="16">
        <f>_xlfn.XLOOKUP(CustomerCombinedCleaned[[#This Row],[ID]], Table2[ID],Table2[MC4], "Not Found", 0 )</f>
        <v>0</v>
      </c>
      <c r="AC1923" s="16">
        <f>_xlfn.XLOOKUP(CustomerCombinedCleaned[[#This Row],[ID]], Table2[ID],Table2[MC5], "Not Found", 0 )</f>
        <v>0</v>
      </c>
    </row>
    <row r="1924" spans="1:29" x14ac:dyDescent="0.3">
      <c r="A1924" s="18">
        <v>2710</v>
      </c>
      <c r="B1924" s="16">
        <v>170044</v>
      </c>
      <c r="C1924" s="16">
        <v>0</v>
      </c>
      <c r="D1924" s="16">
        <v>1</v>
      </c>
      <c r="E1924" s="16">
        <v>66</v>
      </c>
      <c r="F1924" s="17" t="s">
        <v>5</v>
      </c>
      <c r="G1924" s="17" t="s">
        <v>11</v>
      </c>
      <c r="H1924" s="3" t="s">
        <v>305</v>
      </c>
      <c r="I1924" s="5" t="s">
        <v>439</v>
      </c>
      <c r="J1924" s="16">
        <f>_xlfn.XLOOKUP(CustomerCombinedCleaned[[#This Row],[ID]], Table4[ID], Table4[Recency], "Not Found", 0)</f>
        <v>46</v>
      </c>
      <c r="K1924" s="16">
        <f>_xlfn.XLOOKUP(CustomerCombinedCleaned[[#This Row],[ID]], Table4[ID], Table4[Teas], "Not Found", 0)</f>
        <v>2605</v>
      </c>
      <c r="L1924" s="16">
        <f>_xlfn.XLOOKUP(CustomerCombinedCleaned[[#This Row],[ID]], Table4[ID], Table4[Fruits], "Not Found", 0)</f>
        <v>0</v>
      </c>
      <c r="M1924" s="16">
        <f>_xlfn.XLOOKUP(CustomerCombinedCleaned[[#This Row],[ID]], Table4[ID], Table4[Meats], "Not Found", 0)</f>
        <v>607</v>
      </c>
      <c r="N1924" s="16">
        <f>_xlfn.XLOOKUP(CustomerCombinedCleaned[[#This Row],[ID]], Table4[ID], Table4[Seafood], "Not Found", 0)</f>
        <v>371</v>
      </c>
      <c r="O1924" s="16">
        <f>_xlfn.XLOOKUP(CustomerCombinedCleaned[[#This Row],[ID]], Table4[ID], Table4[Sweets], "Not Found", 0)</f>
        <v>34</v>
      </c>
      <c r="P1924" s="16">
        <f>_xlfn.XLOOKUP(CustomerCombinedCleaned[[#This Row],[ID]], Table4[ID], Table4[Premium], "Not Found", 0)</f>
        <v>34</v>
      </c>
      <c r="Q1924" s="16">
        <f>_xlfn.XLOOKUP(CustomerCombinedCleaned[[#This Row],[ID]], Table4[ID], Table4[Regular], "Not Found", 0)</f>
        <v>3583</v>
      </c>
      <c r="R1924" s="16">
        <f>_xlfn.XLOOKUP(CustomerCombinedCleaned[[#This Row],[ID]], Table4[ID], Table4[Deals], "Not Found", 0)</f>
        <v>4</v>
      </c>
      <c r="S1924" s="16">
        <f>_xlfn.XLOOKUP(CustomerCombinedCleaned[[#This Row],[ID]], Table4[ID], Table4[Website], "Not Found", 0)</f>
        <v>7</v>
      </c>
      <c r="T1924" s="16">
        <f>_xlfn.XLOOKUP(CustomerCombinedCleaned[[#This Row],[ID]], Table4[ID], Table4[Catalog], "Not Found", 0)</f>
        <v>10</v>
      </c>
      <c r="U1924" s="16">
        <f>_xlfn.XLOOKUP(CustomerCombinedCleaned[[#This Row],[ID]], Table4[ID], Table4[Store], "Not Found", 0)</f>
        <v>5</v>
      </c>
      <c r="V1924" s="16">
        <f>_xlfn.XLOOKUP(CustomerCombinedCleaned[[#This Row],[ID]], Table4[ID], Table4[Visits], "Not Found", 0)</f>
        <v>5</v>
      </c>
      <c r="W1924" s="16">
        <f>_xlfn.XLOOKUP(CustomerCombinedCleaned[[#This Row],[ID]], Table2[ID],Table2[Complaint], "Not Found", 0 )</f>
        <v>0</v>
      </c>
      <c r="X1924" s="16">
        <f>_xlfn.XLOOKUP(CustomerCombinedCleaned[[#This Row],[ID]], Table2[ID],Table2[Pilot], "Not Found", 0 )</f>
        <v>0</v>
      </c>
      <c r="Y1924" s="16">
        <f>_xlfn.XLOOKUP(CustomerCombinedCleaned[[#This Row],[ID]], Table2[ID],Table2[MC1], "Not Found", 0 )</f>
        <v>0</v>
      </c>
      <c r="Z1924" s="16">
        <f>_xlfn.XLOOKUP(CustomerCombinedCleaned[[#This Row],[ID]], Table2[ID],Table2[MC2], "Not Found", 0 )</f>
        <v>0</v>
      </c>
      <c r="AA1924" s="16">
        <f>_xlfn.XLOOKUP(CustomerCombinedCleaned[[#This Row],[ID]], Table2[ID],Table2[MC3], "Not Found", 0 )</f>
        <v>0</v>
      </c>
      <c r="AB1924" s="16">
        <f>_xlfn.XLOOKUP(CustomerCombinedCleaned[[#This Row],[ID]], Table2[ID],Table2[MC4], "Not Found", 0 )</f>
        <v>0</v>
      </c>
      <c r="AC1924" s="16">
        <f>_xlfn.XLOOKUP(CustomerCombinedCleaned[[#This Row],[ID]], Table2[ID],Table2[MC5], "Not Found", 0 )</f>
        <v>0</v>
      </c>
    </row>
    <row r="1925" spans="1:29" x14ac:dyDescent="0.3">
      <c r="A1925" s="18">
        <v>1066</v>
      </c>
      <c r="B1925" s="16">
        <v>166991</v>
      </c>
      <c r="C1925" s="16">
        <v>0</v>
      </c>
      <c r="D1925" s="16">
        <v>0</v>
      </c>
      <c r="E1925" s="16">
        <v>66</v>
      </c>
      <c r="F1925" s="17" t="s">
        <v>6</v>
      </c>
      <c r="G1925" s="17" t="s">
        <v>12</v>
      </c>
      <c r="H1925" s="3" t="s">
        <v>398</v>
      </c>
      <c r="I1925" s="5" t="s">
        <v>439</v>
      </c>
      <c r="J1925" s="16">
        <f>_xlfn.XLOOKUP(CustomerCombinedCleaned[[#This Row],[ID]], Table4[ID], Table4[Recency], "Not Found", 0)</f>
        <v>1</v>
      </c>
      <c r="K1925" s="16">
        <f>_xlfn.XLOOKUP(CustomerCombinedCleaned[[#This Row],[ID]], Table4[ID], Table4[Teas], "Not Found", 0)</f>
        <v>1236</v>
      </c>
      <c r="L1925" s="16">
        <f>_xlfn.XLOOKUP(CustomerCombinedCleaned[[#This Row],[ID]], Table4[ID], Table4[Fruits], "Not Found", 0)</f>
        <v>90</v>
      </c>
      <c r="M1925" s="16">
        <f>_xlfn.XLOOKUP(CustomerCombinedCleaned[[#This Row],[ID]], Table4[ID], Table4[Meats], "Not Found", 0)</f>
        <v>1147</v>
      </c>
      <c r="N1925" s="16">
        <f>_xlfn.XLOOKUP(CustomerCombinedCleaned[[#This Row],[ID]], Table4[ID], Table4[Seafood], "Not Found", 0)</f>
        <v>471</v>
      </c>
      <c r="O1925" s="16">
        <f>_xlfn.XLOOKUP(CustomerCombinedCleaned[[#This Row],[ID]], Table4[ID], Table4[Sweets], "Not Found", 0)</f>
        <v>150</v>
      </c>
      <c r="P1925" s="16">
        <f>_xlfn.XLOOKUP(CustomerCombinedCleaned[[#This Row],[ID]], Table4[ID], Table4[Premium], "Not Found", 0)</f>
        <v>30</v>
      </c>
      <c r="Q1925" s="16">
        <f>_xlfn.XLOOKUP(CustomerCombinedCleaned[[#This Row],[ID]], Table4[ID], Table4[Regular], "Not Found", 0)</f>
        <v>3064</v>
      </c>
      <c r="R1925" s="16">
        <f>_xlfn.XLOOKUP(CustomerCombinedCleaned[[#This Row],[ID]], Table4[ID], Table4[Deals], "Not Found", 0)</f>
        <v>3</v>
      </c>
      <c r="S1925" s="16">
        <f>_xlfn.XLOOKUP(CustomerCombinedCleaned[[#This Row],[ID]], Table4[ID], Table4[Website], "Not Found", 0)</f>
        <v>4</v>
      </c>
      <c r="T1925" s="16">
        <f>_xlfn.XLOOKUP(CustomerCombinedCleaned[[#This Row],[ID]], Table4[ID], Table4[Catalog], "Not Found", 0)</f>
        <v>8</v>
      </c>
      <c r="U1925" s="16">
        <f>_xlfn.XLOOKUP(CustomerCombinedCleaned[[#This Row],[ID]], Table4[ID], Table4[Store], "Not Found", 0)</f>
        <v>6</v>
      </c>
      <c r="V1925" s="16">
        <f>_xlfn.XLOOKUP(CustomerCombinedCleaned[[#This Row],[ID]], Table4[ID], Table4[Visits], "Not Found", 0)</f>
        <v>3</v>
      </c>
      <c r="W1925" s="16">
        <f>_xlfn.XLOOKUP(CustomerCombinedCleaned[[#This Row],[ID]], Table2[ID],Table2[Complaint], "Not Found", 0 )</f>
        <v>0</v>
      </c>
      <c r="X1925" s="16">
        <f>_xlfn.XLOOKUP(CustomerCombinedCleaned[[#This Row],[ID]], Table2[ID],Table2[Pilot], "Not Found", 0 )</f>
        <v>0</v>
      </c>
      <c r="Y1925" s="16">
        <f>_xlfn.XLOOKUP(CustomerCombinedCleaned[[#This Row],[ID]], Table2[ID],Table2[MC1], "Not Found", 0 )</f>
        <v>0</v>
      </c>
      <c r="Z1925" s="16">
        <f>_xlfn.XLOOKUP(CustomerCombinedCleaned[[#This Row],[ID]], Table2[ID],Table2[MC2], "Not Found", 0 )</f>
        <v>0</v>
      </c>
      <c r="AA1925" s="16">
        <f>_xlfn.XLOOKUP(CustomerCombinedCleaned[[#This Row],[ID]], Table2[ID],Table2[MC3], "Not Found", 0 )</f>
        <v>0</v>
      </c>
      <c r="AB1925" s="16">
        <f>_xlfn.XLOOKUP(CustomerCombinedCleaned[[#This Row],[ID]], Table2[ID],Table2[MC4], "Not Found", 0 )</f>
        <v>0</v>
      </c>
      <c r="AC1925" s="16">
        <f>_xlfn.XLOOKUP(CustomerCombinedCleaned[[#This Row],[ID]], Table2[ID],Table2[MC5], "Not Found", 0 )</f>
        <v>0</v>
      </c>
    </row>
    <row r="1926" spans="1:29" x14ac:dyDescent="0.3">
      <c r="A1926" s="18">
        <v>1023</v>
      </c>
      <c r="B1926" s="16">
        <v>165324</v>
      </c>
      <c r="C1926" s="16">
        <v>0</v>
      </c>
      <c r="D1926" s="16">
        <v>1</v>
      </c>
      <c r="E1926" s="16">
        <v>66</v>
      </c>
      <c r="F1926" s="17" t="s">
        <v>6</v>
      </c>
      <c r="G1926" s="17" t="s">
        <v>13</v>
      </c>
      <c r="H1926" s="3" t="s">
        <v>119</v>
      </c>
      <c r="I1926" s="5" t="s">
        <v>435</v>
      </c>
      <c r="J1926" s="16">
        <f>_xlfn.XLOOKUP(CustomerCombinedCleaned[[#This Row],[ID]], Table4[ID], Table4[Recency], "Not Found", 0)</f>
        <v>0</v>
      </c>
      <c r="K1926" s="16">
        <f>_xlfn.XLOOKUP(CustomerCombinedCleaned[[#This Row],[ID]], Table4[ID], Table4[Teas], "Not Found", 0)</f>
        <v>972</v>
      </c>
      <c r="L1926" s="16">
        <f>_xlfn.XLOOKUP(CustomerCombinedCleaned[[#This Row],[ID]], Table4[ID], Table4[Fruits], "Not Found", 0)</f>
        <v>0</v>
      </c>
      <c r="M1926" s="16">
        <f>_xlfn.XLOOKUP(CustomerCombinedCleaned[[#This Row],[ID]], Table4[ID], Table4[Meats], "Not Found", 0)</f>
        <v>258</v>
      </c>
      <c r="N1926" s="16">
        <f>_xlfn.XLOOKUP(CustomerCombinedCleaned[[#This Row],[ID]], Table4[ID], Table4[Seafood], "Not Found", 0)</f>
        <v>53</v>
      </c>
      <c r="O1926" s="16">
        <f>_xlfn.XLOOKUP(CustomerCombinedCleaned[[#This Row],[ID]], Table4[ID], Table4[Sweets], "Not Found", 0)</f>
        <v>81</v>
      </c>
      <c r="P1926" s="16">
        <f>_xlfn.XLOOKUP(CustomerCombinedCleaned[[#This Row],[ID]], Table4[ID], Table4[Premium], "Not Found", 0)</f>
        <v>13</v>
      </c>
      <c r="Q1926" s="16">
        <f>_xlfn.XLOOKUP(CustomerCombinedCleaned[[#This Row],[ID]], Table4[ID], Table4[Regular], "Not Found", 0)</f>
        <v>1351</v>
      </c>
      <c r="R1926" s="16">
        <f>_xlfn.XLOOKUP(CustomerCombinedCleaned[[#This Row],[ID]], Table4[ID], Table4[Deals], "Not Found", 0)</f>
        <v>3</v>
      </c>
      <c r="S1926" s="16">
        <f>_xlfn.XLOOKUP(CustomerCombinedCleaned[[#This Row],[ID]], Table4[ID], Table4[Website], "Not Found", 0)</f>
        <v>6</v>
      </c>
      <c r="T1926" s="16">
        <f>_xlfn.XLOOKUP(CustomerCombinedCleaned[[#This Row],[ID]], Table4[ID], Table4[Catalog], "Not Found", 0)</f>
        <v>2</v>
      </c>
      <c r="U1926" s="16">
        <f>_xlfn.XLOOKUP(CustomerCombinedCleaned[[#This Row],[ID]], Table4[ID], Table4[Store], "Not Found", 0)</f>
        <v>9</v>
      </c>
      <c r="V1926" s="16">
        <f>_xlfn.XLOOKUP(CustomerCombinedCleaned[[#This Row],[ID]], Table4[ID], Table4[Visits], "Not Found", 0)</f>
        <v>4</v>
      </c>
      <c r="W1926" s="16">
        <f>_xlfn.XLOOKUP(CustomerCombinedCleaned[[#This Row],[ID]], Table2[ID],Table2[Complaint], "Not Found", 0 )</f>
        <v>0</v>
      </c>
      <c r="X1926" s="16">
        <f>_xlfn.XLOOKUP(CustomerCombinedCleaned[[#This Row],[ID]], Table2[ID],Table2[Pilot], "Not Found", 0 )</f>
        <v>0</v>
      </c>
      <c r="Y1926" s="16">
        <f>_xlfn.XLOOKUP(CustomerCombinedCleaned[[#This Row],[ID]], Table2[ID],Table2[MC1], "Not Found", 0 )</f>
        <v>0</v>
      </c>
      <c r="Z1926" s="16">
        <f>_xlfn.XLOOKUP(CustomerCombinedCleaned[[#This Row],[ID]], Table2[ID],Table2[MC2], "Not Found", 0 )</f>
        <v>0</v>
      </c>
      <c r="AA1926" s="16">
        <f>_xlfn.XLOOKUP(CustomerCombinedCleaned[[#This Row],[ID]], Table2[ID],Table2[MC3], "Not Found", 0 )</f>
        <v>0</v>
      </c>
      <c r="AB1926" s="16">
        <f>_xlfn.XLOOKUP(CustomerCombinedCleaned[[#This Row],[ID]], Table2[ID],Table2[MC4], "Not Found", 0 )</f>
        <v>0</v>
      </c>
      <c r="AC1926" s="16">
        <f>_xlfn.XLOOKUP(CustomerCombinedCleaned[[#This Row],[ID]], Table2[ID],Table2[MC5], "Not Found", 0 )</f>
        <v>0</v>
      </c>
    </row>
    <row r="1927" spans="1:29" x14ac:dyDescent="0.3">
      <c r="A1927" s="18">
        <v>1832</v>
      </c>
      <c r="B1927" s="16">
        <v>165324</v>
      </c>
      <c r="C1927" s="16">
        <v>0</v>
      </c>
      <c r="D1927" s="16">
        <v>1</v>
      </c>
      <c r="E1927" s="16">
        <v>66</v>
      </c>
      <c r="F1927" s="17" t="s">
        <v>6</v>
      </c>
      <c r="G1927" s="17" t="s">
        <v>13</v>
      </c>
      <c r="H1927" s="3" t="s">
        <v>119</v>
      </c>
      <c r="I1927" s="5" t="s">
        <v>438</v>
      </c>
      <c r="J1927" s="16">
        <f>_xlfn.XLOOKUP(CustomerCombinedCleaned[[#This Row],[ID]], Table4[ID], Table4[Recency], "Not Found", 0)</f>
        <v>0</v>
      </c>
      <c r="K1927" s="16">
        <f>_xlfn.XLOOKUP(CustomerCombinedCleaned[[#This Row],[ID]], Table4[ID], Table4[Teas], "Not Found", 0)</f>
        <v>972</v>
      </c>
      <c r="L1927" s="16">
        <f>_xlfn.XLOOKUP(CustomerCombinedCleaned[[#This Row],[ID]], Table4[ID], Table4[Fruits], "Not Found", 0)</f>
        <v>0</v>
      </c>
      <c r="M1927" s="16">
        <f>_xlfn.XLOOKUP(CustomerCombinedCleaned[[#This Row],[ID]], Table4[ID], Table4[Meats], "Not Found", 0)</f>
        <v>258</v>
      </c>
      <c r="N1927" s="16">
        <f>_xlfn.XLOOKUP(CustomerCombinedCleaned[[#This Row],[ID]], Table4[ID], Table4[Seafood], "Not Found", 0)</f>
        <v>53</v>
      </c>
      <c r="O1927" s="16">
        <f>_xlfn.XLOOKUP(CustomerCombinedCleaned[[#This Row],[ID]], Table4[ID], Table4[Sweets], "Not Found", 0)</f>
        <v>81</v>
      </c>
      <c r="P1927" s="16">
        <f>_xlfn.XLOOKUP(CustomerCombinedCleaned[[#This Row],[ID]], Table4[ID], Table4[Premium], "Not Found", 0)</f>
        <v>13</v>
      </c>
      <c r="Q1927" s="16">
        <f>_xlfn.XLOOKUP(CustomerCombinedCleaned[[#This Row],[ID]], Table4[ID], Table4[Regular], "Not Found", 0)</f>
        <v>1351</v>
      </c>
      <c r="R1927" s="16">
        <f>_xlfn.XLOOKUP(CustomerCombinedCleaned[[#This Row],[ID]], Table4[ID], Table4[Deals], "Not Found", 0)</f>
        <v>3</v>
      </c>
      <c r="S1927" s="16">
        <f>_xlfn.XLOOKUP(CustomerCombinedCleaned[[#This Row],[ID]], Table4[ID], Table4[Website], "Not Found", 0)</f>
        <v>6</v>
      </c>
      <c r="T1927" s="16">
        <f>_xlfn.XLOOKUP(CustomerCombinedCleaned[[#This Row],[ID]], Table4[ID], Table4[Catalog], "Not Found", 0)</f>
        <v>2</v>
      </c>
      <c r="U1927" s="16">
        <f>_xlfn.XLOOKUP(CustomerCombinedCleaned[[#This Row],[ID]], Table4[ID], Table4[Store], "Not Found", 0)</f>
        <v>9</v>
      </c>
      <c r="V1927" s="16">
        <f>_xlfn.XLOOKUP(CustomerCombinedCleaned[[#This Row],[ID]], Table4[ID], Table4[Visits], "Not Found", 0)</f>
        <v>4</v>
      </c>
      <c r="W1927" s="16">
        <f>_xlfn.XLOOKUP(CustomerCombinedCleaned[[#This Row],[ID]], Table2[ID],Table2[Complaint], "Not Found", 0 )</f>
        <v>0</v>
      </c>
      <c r="X1927" s="16">
        <f>_xlfn.XLOOKUP(CustomerCombinedCleaned[[#This Row],[ID]], Table2[ID],Table2[Pilot], "Not Found", 0 )</f>
        <v>0</v>
      </c>
      <c r="Y1927" s="16">
        <f>_xlfn.XLOOKUP(CustomerCombinedCleaned[[#This Row],[ID]], Table2[ID],Table2[MC1], "Not Found", 0 )</f>
        <v>0</v>
      </c>
      <c r="Z1927" s="16">
        <f>_xlfn.XLOOKUP(CustomerCombinedCleaned[[#This Row],[ID]], Table2[ID],Table2[MC2], "Not Found", 0 )</f>
        <v>0</v>
      </c>
      <c r="AA1927" s="16">
        <f>_xlfn.XLOOKUP(CustomerCombinedCleaned[[#This Row],[ID]], Table2[ID],Table2[MC3], "Not Found", 0 )</f>
        <v>0</v>
      </c>
      <c r="AB1927" s="16">
        <f>_xlfn.XLOOKUP(CustomerCombinedCleaned[[#This Row],[ID]], Table2[ID],Table2[MC4], "Not Found", 0 )</f>
        <v>0</v>
      </c>
      <c r="AC1927" s="16">
        <f>_xlfn.XLOOKUP(CustomerCombinedCleaned[[#This Row],[ID]], Table2[ID],Table2[MC5], "Not Found", 0 )</f>
        <v>0</v>
      </c>
    </row>
    <row r="1928" spans="1:29" x14ac:dyDescent="0.3">
      <c r="A1928" s="18">
        <v>1975</v>
      </c>
      <c r="B1928" s="16">
        <v>164587</v>
      </c>
      <c r="C1928" s="16">
        <v>1</v>
      </c>
      <c r="D1928" s="16">
        <v>1</v>
      </c>
      <c r="E1928" s="16">
        <v>66</v>
      </c>
      <c r="F1928" s="17" t="s">
        <v>5</v>
      </c>
      <c r="G1928" s="17" t="s">
        <v>11</v>
      </c>
      <c r="H1928" s="3" t="s">
        <v>27</v>
      </c>
      <c r="I1928" s="5" t="s">
        <v>437</v>
      </c>
      <c r="J1928" s="16">
        <f>_xlfn.XLOOKUP(CustomerCombinedCleaned[[#This Row],[ID]], Table4[ID], Table4[Recency], "Not Found", 0)</f>
        <v>49</v>
      </c>
      <c r="K1928" s="16">
        <f>_xlfn.XLOOKUP(CustomerCombinedCleaned[[#This Row],[ID]], Table4[ID], Table4[Teas], "Not Found", 0)</f>
        <v>168</v>
      </c>
      <c r="L1928" s="16">
        <f>_xlfn.XLOOKUP(CustomerCombinedCleaned[[#This Row],[ID]], Table4[ID], Table4[Fruits], "Not Found", 0)</f>
        <v>0</v>
      </c>
      <c r="M1928" s="16">
        <f>_xlfn.XLOOKUP(CustomerCombinedCleaned[[#This Row],[ID]], Table4[ID], Table4[Meats], "Not Found", 0)</f>
        <v>41</v>
      </c>
      <c r="N1928" s="16">
        <f>_xlfn.XLOOKUP(CustomerCombinedCleaned[[#This Row],[ID]], Table4[ID], Table4[Seafood], "Not Found", 0)</f>
        <v>0</v>
      </c>
      <c r="O1928" s="16">
        <f>_xlfn.XLOOKUP(CustomerCombinedCleaned[[#This Row],[ID]], Table4[ID], Table4[Sweets], "Not Found", 0)</f>
        <v>15</v>
      </c>
      <c r="P1928" s="16">
        <f>_xlfn.XLOOKUP(CustomerCombinedCleaned[[#This Row],[ID]], Table4[ID], Table4[Premium], "Not Found", 0)</f>
        <v>51</v>
      </c>
      <c r="Q1928" s="16">
        <f>_xlfn.XLOOKUP(CustomerCombinedCleaned[[#This Row],[ID]], Table4[ID], Table4[Regular], "Not Found", 0)</f>
        <v>173</v>
      </c>
      <c r="R1928" s="16">
        <f>_xlfn.XLOOKUP(CustomerCombinedCleaned[[#This Row],[ID]], Table4[ID], Table4[Deals], "Not Found", 0)</f>
        <v>2</v>
      </c>
      <c r="S1928" s="16">
        <f>_xlfn.XLOOKUP(CustomerCombinedCleaned[[#This Row],[ID]], Table4[ID], Table4[Website], "Not Found", 0)</f>
        <v>1</v>
      </c>
      <c r="T1928" s="16">
        <f>_xlfn.XLOOKUP(CustomerCombinedCleaned[[#This Row],[ID]], Table4[ID], Table4[Catalog], "Not Found", 0)</f>
        <v>1</v>
      </c>
      <c r="U1928" s="16">
        <f>_xlfn.XLOOKUP(CustomerCombinedCleaned[[#This Row],[ID]], Table4[ID], Table4[Store], "Not Found", 0)</f>
        <v>4</v>
      </c>
      <c r="V1928" s="16">
        <f>_xlfn.XLOOKUP(CustomerCombinedCleaned[[#This Row],[ID]], Table4[ID], Table4[Visits], "Not Found", 0)</f>
        <v>3</v>
      </c>
      <c r="W1928" s="16">
        <f>_xlfn.XLOOKUP(CustomerCombinedCleaned[[#This Row],[ID]], Table2[ID],Table2[Complaint], "Not Found", 0 )</f>
        <v>0</v>
      </c>
      <c r="X1928" s="16">
        <f>_xlfn.XLOOKUP(CustomerCombinedCleaned[[#This Row],[ID]], Table2[ID],Table2[Pilot], "Not Found", 0 )</f>
        <v>0</v>
      </c>
      <c r="Y1928" s="16">
        <f>_xlfn.XLOOKUP(CustomerCombinedCleaned[[#This Row],[ID]], Table2[ID],Table2[MC1], "Not Found", 0 )</f>
        <v>0</v>
      </c>
      <c r="Z1928" s="16">
        <f>_xlfn.XLOOKUP(CustomerCombinedCleaned[[#This Row],[ID]], Table2[ID],Table2[MC2], "Not Found", 0 )</f>
        <v>0</v>
      </c>
      <c r="AA1928" s="16">
        <f>_xlfn.XLOOKUP(CustomerCombinedCleaned[[#This Row],[ID]], Table2[ID],Table2[MC3], "Not Found", 0 )</f>
        <v>0</v>
      </c>
      <c r="AB1928" s="16">
        <f>_xlfn.XLOOKUP(CustomerCombinedCleaned[[#This Row],[ID]], Table2[ID],Table2[MC4], "Not Found", 0 )</f>
        <v>0</v>
      </c>
      <c r="AC1928" s="16">
        <f>_xlfn.XLOOKUP(CustomerCombinedCleaned[[#This Row],[ID]], Table2[ID],Table2[MC5], "Not Found", 0 )</f>
        <v>0</v>
      </c>
    </row>
    <row r="1929" spans="1:29" x14ac:dyDescent="0.3">
      <c r="A1929" s="18">
        <v>1197</v>
      </c>
      <c r="B1929" s="16">
        <v>164497</v>
      </c>
      <c r="C1929" s="16">
        <v>0</v>
      </c>
      <c r="D1929" s="16">
        <v>1</v>
      </c>
      <c r="E1929" s="16">
        <v>66</v>
      </c>
      <c r="F1929" s="17" t="s">
        <v>5</v>
      </c>
      <c r="G1929" s="17" t="s">
        <v>11</v>
      </c>
      <c r="H1929" s="3" t="s">
        <v>399</v>
      </c>
      <c r="I1929" s="5" t="s">
        <v>435</v>
      </c>
      <c r="J1929" s="16">
        <f>_xlfn.XLOOKUP(CustomerCombinedCleaned[[#This Row],[ID]], Table4[ID], Table4[Recency], "Not Found", 0)</f>
        <v>17</v>
      </c>
      <c r="K1929" s="16">
        <f>_xlfn.XLOOKUP(CustomerCombinedCleaned[[#This Row],[ID]], Table4[ID], Table4[Teas], "Not Found", 0)</f>
        <v>2984</v>
      </c>
      <c r="L1929" s="16">
        <f>_xlfn.XLOOKUP(CustomerCombinedCleaned[[#This Row],[ID]], Table4[ID], Table4[Fruits], "Not Found", 0)</f>
        <v>122</v>
      </c>
      <c r="M1929" s="16">
        <f>_xlfn.XLOOKUP(CustomerCombinedCleaned[[#This Row],[ID]], Table4[ID], Table4[Meats], "Not Found", 0)</f>
        <v>816</v>
      </c>
      <c r="N1929" s="16">
        <f>_xlfn.XLOOKUP(CustomerCombinedCleaned[[#This Row],[ID]], Table4[ID], Table4[Seafood], "Not Found", 0)</f>
        <v>107</v>
      </c>
      <c r="O1929" s="16">
        <f>_xlfn.XLOOKUP(CustomerCombinedCleaned[[#This Row],[ID]], Table4[ID], Table4[Sweets], "Not Found", 0)</f>
        <v>82</v>
      </c>
      <c r="P1929" s="16">
        <f>_xlfn.XLOOKUP(CustomerCombinedCleaned[[#This Row],[ID]], Table4[ID], Table4[Premium], "Not Found", 0)</f>
        <v>490</v>
      </c>
      <c r="Q1929" s="16">
        <f>_xlfn.XLOOKUP(CustomerCombinedCleaned[[#This Row],[ID]], Table4[ID], Table4[Regular], "Not Found", 0)</f>
        <v>3622</v>
      </c>
      <c r="R1929" s="16">
        <f>_xlfn.XLOOKUP(CustomerCombinedCleaned[[#This Row],[ID]], Table4[ID], Table4[Deals], "Not Found", 0)</f>
        <v>5</v>
      </c>
      <c r="S1929" s="16">
        <f>_xlfn.XLOOKUP(CustomerCombinedCleaned[[#This Row],[ID]], Table4[ID], Table4[Website], "Not Found", 0)</f>
        <v>11</v>
      </c>
      <c r="T1929" s="16">
        <f>_xlfn.XLOOKUP(CustomerCombinedCleaned[[#This Row],[ID]], Table4[ID], Table4[Catalog], "Not Found", 0)</f>
        <v>4</v>
      </c>
      <c r="U1929" s="16">
        <f>_xlfn.XLOOKUP(CustomerCombinedCleaned[[#This Row],[ID]], Table4[ID], Table4[Store], "Not Found", 0)</f>
        <v>9</v>
      </c>
      <c r="V1929" s="16">
        <f>_xlfn.XLOOKUP(CustomerCombinedCleaned[[#This Row],[ID]], Table4[ID], Table4[Visits], "Not Found", 0)</f>
        <v>8</v>
      </c>
      <c r="W1929" s="16">
        <f>_xlfn.XLOOKUP(CustomerCombinedCleaned[[#This Row],[ID]], Table2[ID],Table2[Complaint], "Not Found", 0 )</f>
        <v>0</v>
      </c>
      <c r="X1929" s="16">
        <f>_xlfn.XLOOKUP(CustomerCombinedCleaned[[#This Row],[ID]], Table2[ID],Table2[Pilot], "Not Found", 0 )</f>
        <v>1</v>
      </c>
      <c r="Y1929" s="16">
        <f>_xlfn.XLOOKUP(CustomerCombinedCleaned[[#This Row],[ID]], Table2[ID],Table2[MC1], "Not Found", 0 )</f>
        <v>0</v>
      </c>
      <c r="Z1929" s="16">
        <f>_xlfn.XLOOKUP(CustomerCombinedCleaned[[#This Row],[ID]], Table2[ID],Table2[MC2], "Not Found", 0 )</f>
        <v>0</v>
      </c>
      <c r="AA1929" s="16">
        <f>_xlfn.XLOOKUP(CustomerCombinedCleaned[[#This Row],[ID]], Table2[ID],Table2[MC3], "Not Found", 0 )</f>
        <v>1</v>
      </c>
      <c r="AB1929" s="16">
        <f>_xlfn.XLOOKUP(CustomerCombinedCleaned[[#This Row],[ID]], Table2[ID],Table2[MC4], "Not Found", 0 )</f>
        <v>0</v>
      </c>
      <c r="AC1929" s="16">
        <f>_xlfn.XLOOKUP(CustomerCombinedCleaned[[#This Row],[ID]], Table2[ID],Table2[MC5], "Not Found", 0 )</f>
        <v>0</v>
      </c>
    </row>
    <row r="1930" spans="1:29" x14ac:dyDescent="0.3">
      <c r="A1930" s="18">
        <v>1730</v>
      </c>
      <c r="B1930" s="16">
        <v>163564</v>
      </c>
      <c r="C1930" s="16">
        <v>0</v>
      </c>
      <c r="D1930" s="16">
        <v>0</v>
      </c>
      <c r="E1930" s="16">
        <v>66</v>
      </c>
      <c r="F1930" s="17" t="s">
        <v>6</v>
      </c>
      <c r="G1930" s="17" t="s">
        <v>11</v>
      </c>
      <c r="H1930" s="3" t="s">
        <v>706</v>
      </c>
      <c r="I1930" s="5" t="s">
        <v>438</v>
      </c>
      <c r="J1930" s="16">
        <f>_xlfn.XLOOKUP(CustomerCombinedCleaned[[#This Row],[ID]], Table4[ID], Table4[Recency], "Not Found", 0)</f>
        <v>0</v>
      </c>
      <c r="K1930" s="16">
        <f>_xlfn.XLOOKUP(CustomerCombinedCleaned[[#This Row],[ID]], Table4[ID], Table4[Teas], "Not Found", 0)</f>
        <v>1979</v>
      </c>
      <c r="L1930" s="16">
        <f>_xlfn.XLOOKUP(CustomerCombinedCleaned[[#This Row],[ID]], Table4[ID], Table4[Fruits], "Not Found", 0)</f>
        <v>206</v>
      </c>
      <c r="M1930" s="16">
        <f>_xlfn.XLOOKUP(CustomerCombinedCleaned[[#This Row],[ID]], Table4[ID], Table4[Meats], "Not Found", 0)</f>
        <v>648</v>
      </c>
      <c r="N1930" s="16">
        <f>_xlfn.XLOOKUP(CustomerCombinedCleaned[[#This Row],[ID]], Table4[ID], Table4[Seafood], "Not Found", 0)</f>
        <v>39</v>
      </c>
      <c r="O1930" s="16">
        <f>_xlfn.XLOOKUP(CustomerCombinedCleaned[[#This Row],[ID]], Table4[ID], Table4[Sweets], "Not Found", 0)</f>
        <v>87</v>
      </c>
      <c r="P1930" s="16">
        <f>_xlfn.XLOOKUP(CustomerCombinedCleaned[[#This Row],[ID]], Table4[ID], Table4[Premium], "Not Found", 0)</f>
        <v>167</v>
      </c>
      <c r="Q1930" s="16">
        <f>_xlfn.XLOOKUP(CustomerCombinedCleaned[[#This Row],[ID]], Table4[ID], Table4[Regular], "Not Found", 0)</f>
        <v>2792</v>
      </c>
      <c r="R1930" s="16">
        <f>_xlfn.XLOOKUP(CustomerCombinedCleaned[[#This Row],[ID]], Table4[ID], Table4[Deals], "Not Found", 0)</f>
        <v>1</v>
      </c>
      <c r="S1930" s="16">
        <f>_xlfn.XLOOKUP(CustomerCombinedCleaned[[#This Row],[ID]], Table4[ID], Table4[Website], "Not Found", 0)</f>
        <v>10</v>
      </c>
      <c r="T1930" s="16">
        <f>_xlfn.XLOOKUP(CustomerCombinedCleaned[[#This Row],[ID]], Table4[ID], Table4[Catalog], "Not Found", 0)</f>
        <v>10</v>
      </c>
      <c r="U1930" s="16">
        <f>_xlfn.XLOOKUP(CustomerCombinedCleaned[[#This Row],[ID]], Table4[ID], Table4[Store], "Not Found", 0)</f>
        <v>7</v>
      </c>
      <c r="V1930" s="16">
        <f>_xlfn.XLOOKUP(CustomerCombinedCleaned[[#This Row],[ID]], Table4[ID], Table4[Visits], "Not Found", 0)</f>
        <v>6</v>
      </c>
      <c r="W1930" s="16">
        <f>_xlfn.XLOOKUP(CustomerCombinedCleaned[[#This Row],[ID]], Table2[ID],Table2[Complaint], "Not Found", 0 )</f>
        <v>0</v>
      </c>
      <c r="X1930" s="16">
        <f>_xlfn.XLOOKUP(CustomerCombinedCleaned[[#This Row],[ID]], Table2[ID],Table2[Pilot], "Not Found", 0 )</f>
        <v>1</v>
      </c>
      <c r="Y1930" s="16">
        <f>_xlfn.XLOOKUP(CustomerCombinedCleaned[[#This Row],[ID]], Table2[ID],Table2[MC1], "Not Found", 0 )</f>
        <v>0</v>
      </c>
      <c r="Z1930" s="16">
        <f>_xlfn.XLOOKUP(CustomerCombinedCleaned[[#This Row],[ID]], Table2[ID],Table2[MC2], "Not Found", 0 )</f>
        <v>0</v>
      </c>
      <c r="AA1930" s="16">
        <f>_xlfn.XLOOKUP(CustomerCombinedCleaned[[#This Row],[ID]], Table2[ID],Table2[MC3], "Not Found", 0 )</f>
        <v>1</v>
      </c>
      <c r="AB1930" s="16">
        <f>_xlfn.XLOOKUP(CustomerCombinedCleaned[[#This Row],[ID]], Table2[ID],Table2[MC4], "Not Found", 0 )</f>
        <v>0</v>
      </c>
      <c r="AC1930" s="16">
        <f>_xlfn.XLOOKUP(CustomerCombinedCleaned[[#This Row],[ID]], Table2[ID],Table2[MC5], "Not Found", 0 )</f>
        <v>0</v>
      </c>
    </row>
    <row r="1931" spans="1:29" x14ac:dyDescent="0.3">
      <c r="A1931" s="18">
        <v>1896</v>
      </c>
      <c r="B1931" s="16">
        <v>162820</v>
      </c>
      <c r="C1931" s="16">
        <v>0</v>
      </c>
      <c r="D1931" s="16">
        <v>0</v>
      </c>
      <c r="E1931" s="16">
        <v>66</v>
      </c>
      <c r="F1931" s="17" t="s">
        <v>6</v>
      </c>
      <c r="G1931" s="17" t="s">
        <v>11</v>
      </c>
      <c r="H1931" s="3" t="s">
        <v>260</v>
      </c>
      <c r="I1931" s="5" t="s">
        <v>436</v>
      </c>
      <c r="J1931" s="16">
        <f>_xlfn.XLOOKUP(CustomerCombinedCleaned[[#This Row],[ID]], Table4[ID], Table4[Recency], "Not Found", 0)</f>
        <v>51</v>
      </c>
      <c r="K1931" s="16">
        <f>_xlfn.XLOOKUP(CustomerCombinedCleaned[[#This Row],[ID]], Table4[ID], Table4[Teas], "Not Found", 0)</f>
        <v>1032</v>
      </c>
      <c r="L1931" s="16">
        <f>_xlfn.XLOOKUP(CustomerCombinedCleaned[[#This Row],[ID]], Table4[ID], Table4[Fruits], "Not Found", 0)</f>
        <v>158</v>
      </c>
      <c r="M1931" s="16">
        <f>_xlfn.XLOOKUP(CustomerCombinedCleaned[[#This Row],[ID]], Table4[ID], Table4[Meats], "Not Found", 0)</f>
        <v>687</v>
      </c>
      <c r="N1931" s="16">
        <f>_xlfn.XLOOKUP(CustomerCombinedCleaned[[#This Row],[ID]], Table4[ID], Table4[Seafood], "Not Found", 0)</f>
        <v>358</v>
      </c>
      <c r="O1931" s="16">
        <f>_xlfn.XLOOKUP(CustomerCombinedCleaned[[#This Row],[ID]], Table4[ID], Table4[Sweets], "Not Found", 0)</f>
        <v>158</v>
      </c>
      <c r="P1931" s="16">
        <f>_xlfn.XLOOKUP(CustomerCombinedCleaned[[#This Row],[ID]], Table4[ID], Table4[Premium], "Not Found", 0)</f>
        <v>137</v>
      </c>
      <c r="Q1931" s="16">
        <f>_xlfn.XLOOKUP(CustomerCombinedCleaned[[#This Row],[ID]], Table4[ID], Table4[Regular], "Not Found", 0)</f>
        <v>2255</v>
      </c>
      <c r="R1931" s="16">
        <f>_xlfn.XLOOKUP(CustomerCombinedCleaned[[#This Row],[ID]], Table4[ID], Table4[Deals], "Not Found", 0)</f>
        <v>1</v>
      </c>
      <c r="S1931" s="16">
        <f>_xlfn.XLOOKUP(CustomerCombinedCleaned[[#This Row],[ID]], Table4[ID], Table4[Website], "Not Found", 0)</f>
        <v>3</v>
      </c>
      <c r="T1931" s="16">
        <f>_xlfn.XLOOKUP(CustomerCombinedCleaned[[#This Row],[ID]], Table4[ID], Table4[Catalog], "Not Found", 0)</f>
        <v>4</v>
      </c>
      <c r="U1931" s="16">
        <f>_xlfn.XLOOKUP(CustomerCombinedCleaned[[#This Row],[ID]], Table4[ID], Table4[Store], "Not Found", 0)</f>
        <v>6</v>
      </c>
      <c r="V1931" s="16">
        <f>_xlfn.XLOOKUP(CustomerCombinedCleaned[[#This Row],[ID]], Table4[ID], Table4[Visits], "Not Found", 0)</f>
        <v>1</v>
      </c>
      <c r="W1931" s="16">
        <f>_xlfn.XLOOKUP(CustomerCombinedCleaned[[#This Row],[ID]], Table2[ID],Table2[Complaint], "Not Found", 0 )</f>
        <v>0</v>
      </c>
      <c r="X1931" s="16">
        <f>_xlfn.XLOOKUP(CustomerCombinedCleaned[[#This Row],[ID]], Table2[ID],Table2[Pilot], "Not Found", 0 )</f>
        <v>0</v>
      </c>
      <c r="Y1931" s="16">
        <f>_xlfn.XLOOKUP(CustomerCombinedCleaned[[#This Row],[ID]], Table2[ID],Table2[MC1], "Not Found", 0 )</f>
        <v>0</v>
      </c>
      <c r="Z1931" s="16">
        <f>_xlfn.XLOOKUP(CustomerCombinedCleaned[[#This Row],[ID]], Table2[ID],Table2[MC2], "Not Found", 0 )</f>
        <v>0</v>
      </c>
      <c r="AA1931" s="16">
        <f>_xlfn.XLOOKUP(CustomerCombinedCleaned[[#This Row],[ID]], Table2[ID],Table2[MC3], "Not Found", 0 )</f>
        <v>0</v>
      </c>
      <c r="AB1931" s="16">
        <f>_xlfn.XLOOKUP(CustomerCombinedCleaned[[#This Row],[ID]], Table2[ID],Table2[MC4], "Not Found", 0 )</f>
        <v>0</v>
      </c>
      <c r="AC1931" s="16">
        <f>_xlfn.XLOOKUP(CustomerCombinedCleaned[[#This Row],[ID]], Table2[ID],Table2[MC5], "Not Found", 0 )</f>
        <v>0</v>
      </c>
    </row>
    <row r="1932" spans="1:29" x14ac:dyDescent="0.3">
      <c r="A1932" s="18">
        <v>2880</v>
      </c>
      <c r="B1932" s="16">
        <v>162820</v>
      </c>
      <c r="C1932" s="16">
        <v>0</v>
      </c>
      <c r="D1932" s="16">
        <v>0</v>
      </c>
      <c r="E1932" s="16">
        <v>66</v>
      </c>
      <c r="F1932" s="17" t="s">
        <v>6</v>
      </c>
      <c r="G1932" s="17" t="s">
        <v>11</v>
      </c>
      <c r="H1932" s="3" t="s">
        <v>260</v>
      </c>
      <c r="I1932" s="5" t="s">
        <v>436</v>
      </c>
      <c r="J1932" s="16">
        <f>_xlfn.XLOOKUP(CustomerCombinedCleaned[[#This Row],[ID]], Table4[ID], Table4[Recency], "Not Found", 0)</f>
        <v>51</v>
      </c>
      <c r="K1932" s="16">
        <f>_xlfn.XLOOKUP(CustomerCombinedCleaned[[#This Row],[ID]], Table4[ID], Table4[Teas], "Not Found", 0)</f>
        <v>1032</v>
      </c>
      <c r="L1932" s="16">
        <f>_xlfn.XLOOKUP(CustomerCombinedCleaned[[#This Row],[ID]], Table4[ID], Table4[Fruits], "Not Found", 0)</f>
        <v>158</v>
      </c>
      <c r="M1932" s="16">
        <f>_xlfn.XLOOKUP(CustomerCombinedCleaned[[#This Row],[ID]], Table4[ID], Table4[Meats], "Not Found", 0)</f>
        <v>687</v>
      </c>
      <c r="N1932" s="16">
        <f>_xlfn.XLOOKUP(CustomerCombinedCleaned[[#This Row],[ID]], Table4[ID], Table4[Seafood], "Not Found", 0)</f>
        <v>358</v>
      </c>
      <c r="O1932" s="16">
        <f>_xlfn.XLOOKUP(CustomerCombinedCleaned[[#This Row],[ID]], Table4[ID], Table4[Sweets], "Not Found", 0)</f>
        <v>158</v>
      </c>
      <c r="P1932" s="16">
        <f>_xlfn.XLOOKUP(CustomerCombinedCleaned[[#This Row],[ID]], Table4[ID], Table4[Premium], "Not Found", 0)</f>
        <v>137</v>
      </c>
      <c r="Q1932" s="16">
        <f>_xlfn.XLOOKUP(CustomerCombinedCleaned[[#This Row],[ID]], Table4[ID], Table4[Regular], "Not Found", 0)</f>
        <v>2255</v>
      </c>
      <c r="R1932" s="16">
        <f>_xlfn.XLOOKUP(CustomerCombinedCleaned[[#This Row],[ID]], Table4[ID], Table4[Deals], "Not Found", 0)</f>
        <v>1</v>
      </c>
      <c r="S1932" s="16">
        <f>_xlfn.XLOOKUP(CustomerCombinedCleaned[[#This Row],[ID]], Table4[ID], Table4[Website], "Not Found", 0)</f>
        <v>3</v>
      </c>
      <c r="T1932" s="16">
        <f>_xlfn.XLOOKUP(CustomerCombinedCleaned[[#This Row],[ID]], Table4[ID], Table4[Catalog], "Not Found", 0)</f>
        <v>4</v>
      </c>
      <c r="U1932" s="16">
        <f>_xlfn.XLOOKUP(CustomerCombinedCleaned[[#This Row],[ID]], Table4[ID], Table4[Store], "Not Found", 0)</f>
        <v>6</v>
      </c>
      <c r="V1932" s="16">
        <f>_xlfn.XLOOKUP(CustomerCombinedCleaned[[#This Row],[ID]], Table4[ID], Table4[Visits], "Not Found", 0)</f>
        <v>1</v>
      </c>
      <c r="W1932" s="16">
        <f>_xlfn.XLOOKUP(CustomerCombinedCleaned[[#This Row],[ID]], Table2[ID],Table2[Complaint], "Not Found", 0 )</f>
        <v>0</v>
      </c>
      <c r="X1932" s="16">
        <f>_xlfn.XLOOKUP(CustomerCombinedCleaned[[#This Row],[ID]], Table2[ID],Table2[Pilot], "Not Found", 0 )</f>
        <v>0</v>
      </c>
      <c r="Y1932" s="16">
        <f>_xlfn.XLOOKUP(CustomerCombinedCleaned[[#This Row],[ID]], Table2[ID],Table2[MC1], "Not Found", 0 )</f>
        <v>0</v>
      </c>
      <c r="Z1932" s="16">
        <f>_xlfn.XLOOKUP(CustomerCombinedCleaned[[#This Row],[ID]], Table2[ID],Table2[MC2], "Not Found", 0 )</f>
        <v>0</v>
      </c>
      <c r="AA1932" s="16">
        <f>_xlfn.XLOOKUP(CustomerCombinedCleaned[[#This Row],[ID]], Table2[ID],Table2[MC3], "Not Found", 0 )</f>
        <v>0</v>
      </c>
      <c r="AB1932" s="16">
        <f>_xlfn.XLOOKUP(CustomerCombinedCleaned[[#This Row],[ID]], Table2[ID],Table2[MC4], "Not Found", 0 )</f>
        <v>0</v>
      </c>
      <c r="AC1932" s="16">
        <f>_xlfn.XLOOKUP(CustomerCombinedCleaned[[#This Row],[ID]], Table2[ID],Table2[MC5], "Not Found", 0 )</f>
        <v>0</v>
      </c>
    </row>
    <row r="1933" spans="1:29" x14ac:dyDescent="0.3">
      <c r="A1933" s="18">
        <v>2632</v>
      </c>
      <c r="B1933" s="16">
        <v>162670</v>
      </c>
      <c r="C1933" s="16">
        <v>0</v>
      </c>
      <c r="D1933" s="16">
        <v>1</v>
      </c>
      <c r="E1933" s="16">
        <v>66</v>
      </c>
      <c r="F1933" s="17" t="s">
        <v>6</v>
      </c>
      <c r="G1933" s="17" t="s">
        <v>13</v>
      </c>
      <c r="H1933" s="3" t="s">
        <v>571</v>
      </c>
      <c r="I1933" s="5" t="s">
        <v>439</v>
      </c>
      <c r="J1933" s="16">
        <f>_xlfn.XLOOKUP(CustomerCombinedCleaned[[#This Row],[ID]], Table4[ID], Table4[Recency], "Not Found", 0)</f>
        <v>57</v>
      </c>
      <c r="K1933" s="16">
        <f>_xlfn.XLOOKUP(CustomerCombinedCleaned[[#This Row],[ID]], Table4[ID], Table4[Teas], "Not Found", 0)</f>
        <v>1399</v>
      </c>
      <c r="L1933" s="16">
        <f>_xlfn.XLOOKUP(CustomerCombinedCleaned[[#This Row],[ID]], Table4[ID], Table4[Fruits], "Not Found", 0)</f>
        <v>78</v>
      </c>
      <c r="M1933" s="16">
        <f>_xlfn.XLOOKUP(CustomerCombinedCleaned[[#This Row],[ID]], Table4[ID], Table4[Meats], "Not Found", 0)</f>
        <v>239</v>
      </c>
      <c r="N1933" s="16">
        <f>_xlfn.XLOOKUP(CustomerCombinedCleaned[[#This Row],[ID]], Table4[ID], Table4[Seafood], "Not Found", 0)</f>
        <v>208</v>
      </c>
      <c r="O1933" s="16">
        <f>_xlfn.XLOOKUP(CustomerCombinedCleaned[[#This Row],[ID]], Table4[ID], Table4[Sweets], "Not Found", 0)</f>
        <v>119</v>
      </c>
      <c r="P1933" s="16">
        <f>_xlfn.XLOOKUP(CustomerCombinedCleaned[[#This Row],[ID]], Table4[ID], Table4[Premium], "Not Found", 0)</f>
        <v>99</v>
      </c>
      <c r="Q1933" s="16">
        <f>_xlfn.XLOOKUP(CustomerCombinedCleaned[[#This Row],[ID]], Table4[ID], Table4[Regular], "Not Found", 0)</f>
        <v>1944</v>
      </c>
      <c r="R1933" s="16">
        <f>_xlfn.XLOOKUP(CustomerCombinedCleaned[[#This Row],[ID]], Table4[ID], Table4[Deals], "Not Found", 0)</f>
        <v>1</v>
      </c>
      <c r="S1933" s="16">
        <f>_xlfn.XLOOKUP(CustomerCombinedCleaned[[#This Row],[ID]], Table4[ID], Table4[Website], "Not Found", 0)</f>
        <v>5</v>
      </c>
      <c r="T1933" s="16">
        <f>_xlfn.XLOOKUP(CustomerCombinedCleaned[[#This Row],[ID]], Table4[ID], Table4[Catalog], "Not Found", 0)</f>
        <v>3</v>
      </c>
      <c r="U1933" s="16">
        <f>_xlfn.XLOOKUP(CustomerCombinedCleaned[[#This Row],[ID]], Table4[ID], Table4[Store], "Not Found", 0)</f>
        <v>13</v>
      </c>
      <c r="V1933" s="16">
        <f>_xlfn.XLOOKUP(CustomerCombinedCleaned[[#This Row],[ID]], Table4[ID], Table4[Visits], "Not Found", 0)</f>
        <v>3</v>
      </c>
      <c r="W1933" s="16">
        <f>_xlfn.XLOOKUP(CustomerCombinedCleaned[[#This Row],[ID]], Table2[ID],Table2[Complaint], "Not Found", 0 )</f>
        <v>0</v>
      </c>
      <c r="X1933" s="16">
        <f>_xlfn.XLOOKUP(CustomerCombinedCleaned[[#This Row],[ID]], Table2[ID],Table2[Pilot], "Not Found", 0 )</f>
        <v>0</v>
      </c>
      <c r="Y1933" s="16">
        <f>_xlfn.XLOOKUP(CustomerCombinedCleaned[[#This Row],[ID]], Table2[ID],Table2[MC1], "Not Found", 0 )</f>
        <v>0</v>
      </c>
      <c r="Z1933" s="16">
        <f>_xlfn.XLOOKUP(CustomerCombinedCleaned[[#This Row],[ID]], Table2[ID],Table2[MC2], "Not Found", 0 )</f>
        <v>0</v>
      </c>
      <c r="AA1933" s="16">
        <f>_xlfn.XLOOKUP(CustomerCombinedCleaned[[#This Row],[ID]], Table2[ID],Table2[MC3], "Not Found", 0 )</f>
        <v>0</v>
      </c>
      <c r="AB1933" s="16">
        <f>_xlfn.XLOOKUP(CustomerCombinedCleaned[[#This Row],[ID]], Table2[ID],Table2[MC4], "Not Found", 0 )</f>
        <v>0</v>
      </c>
      <c r="AC1933" s="16">
        <f>_xlfn.XLOOKUP(CustomerCombinedCleaned[[#This Row],[ID]], Table2[ID],Table2[MC5], "Not Found", 0 )</f>
        <v>0</v>
      </c>
    </row>
    <row r="1934" spans="1:29" x14ac:dyDescent="0.3">
      <c r="A1934" s="18">
        <v>3106</v>
      </c>
      <c r="B1934" s="16">
        <v>162637</v>
      </c>
      <c r="C1934" s="16">
        <v>0</v>
      </c>
      <c r="D1934" s="16">
        <v>1</v>
      </c>
      <c r="E1934" s="16">
        <v>66</v>
      </c>
      <c r="F1934" s="17" t="s">
        <v>5</v>
      </c>
      <c r="G1934" s="17" t="s">
        <v>12</v>
      </c>
      <c r="H1934" s="3" t="s">
        <v>603</v>
      </c>
      <c r="I1934" s="5" t="s">
        <v>439</v>
      </c>
      <c r="J1934" s="16">
        <f>_xlfn.XLOOKUP(CustomerCombinedCleaned[[#This Row],[ID]], Table4[ID], Table4[Recency], "Not Found", 0)</f>
        <v>76</v>
      </c>
      <c r="K1934" s="16">
        <f>_xlfn.XLOOKUP(CustomerCombinedCleaned[[#This Row],[ID]], Table4[ID], Table4[Teas], "Not Found", 0)</f>
        <v>270</v>
      </c>
      <c r="L1934" s="16">
        <f>_xlfn.XLOOKUP(CustomerCombinedCleaned[[#This Row],[ID]], Table4[ID], Table4[Fruits], "Not Found", 0)</f>
        <v>31</v>
      </c>
      <c r="M1934" s="16">
        <f>_xlfn.XLOOKUP(CustomerCombinedCleaned[[#This Row],[ID]], Table4[ID], Table4[Meats], "Not Found", 0)</f>
        <v>125</v>
      </c>
      <c r="N1934" s="16">
        <f>_xlfn.XLOOKUP(CustomerCombinedCleaned[[#This Row],[ID]], Table4[ID], Table4[Seafood], "Not Found", 0)</f>
        <v>10</v>
      </c>
      <c r="O1934" s="16">
        <f>_xlfn.XLOOKUP(CustomerCombinedCleaned[[#This Row],[ID]], Table4[ID], Table4[Sweets], "Not Found", 0)</f>
        <v>31</v>
      </c>
      <c r="P1934" s="16">
        <f>_xlfn.XLOOKUP(CustomerCombinedCleaned[[#This Row],[ID]], Table4[ID], Table4[Premium], "Not Found", 0)</f>
        <v>13</v>
      </c>
      <c r="Q1934" s="16">
        <f>_xlfn.XLOOKUP(CustomerCombinedCleaned[[#This Row],[ID]], Table4[ID], Table4[Regular], "Not Found", 0)</f>
        <v>454</v>
      </c>
      <c r="R1934" s="16">
        <f>_xlfn.XLOOKUP(CustomerCombinedCleaned[[#This Row],[ID]], Table4[ID], Table4[Deals], "Not Found", 0)</f>
        <v>1</v>
      </c>
      <c r="S1934" s="16">
        <f>_xlfn.XLOOKUP(CustomerCombinedCleaned[[#This Row],[ID]], Table4[ID], Table4[Website], "Not Found", 0)</f>
        <v>2</v>
      </c>
      <c r="T1934" s="16">
        <f>_xlfn.XLOOKUP(CustomerCombinedCleaned[[#This Row],[ID]], Table4[ID], Table4[Catalog], "Not Found", 0)</f>
        <v>2</v>
      </c>
      <c r="U1934" s="16">
        <f>_xlfn.XLOOKUP(CustomerCombinedCleaned[[#This Row],[ID]], Table4[ID], Table4[Store], "Not Found", 0)</f>
        <v>5</v>
      </c>
      <c r="V1934" s="16">
        <f>_xlfn.XLOOKUP(CustomerCombinedCleaned[[#This Row],[ID]], Table4[ID], Table4[Visits], "Not Found", 0)</f>
        <v>2</v>
      </c>
      <c r="W1934" s="16">
        <f>_xlfn.XLOOKUP(CustomerCombinedCleaned[[#This Row],[ID]], Table2[ID],Table2[Complaint], "Not Found", 0 )</f>
        <v>0</v>
      </c>
      <c r="X1934" s="16">
        <f>_xlfn.XLOOKUP(CustomerCombinedCleaned[[#This Row],[ID]], Table2[ID],Table2[Pilot], "Not Found", 0 )</f>
        <v>0</v>
      </c>
      <c r="Y1934" s="16">
        <f>_xlfn.XLOOKUP(CustomerCombinedCleaned[[#This Row],[ID]], Table2[ID],Table2[MC1], "Not Found", 0 )</f>
        <v>0</v>
      </c>
      <c r="Z1934" s="16">
        <f>_xlfn.XLOOKUP(CustomerCombinedCleaned[[#This Row],[ID]], Table2[ID],Table2[MC2], "Not Found", 0 )</f>
        <v>0</v>
      </c>
      <c r="AA1934" s="16">
        <f>_xlfn.XLOOKUP(CustomerCombinedCleaned[[#This Row],[ID]], Table2[ID],Table2[MC3], "Not Found", 0 )</f>
        <v>0</v>
      </c>
      <c r="AB1934" s="16">
        <f>_xlfn.XLOOKUP(CustomerCombinedCleaned[[#This Row],[ID]], Table2[ID],Table2[MC4], "Not Found", 0 )</f>
        <v>0</v>
      </c>
      <c r="AC1934" s="16">
        <f>_xlfn.XLOOKUP(CustomerCombinedCleaned[[#This Row],[ID]], Table2[ID],Table2[MC5], "Not Found", 0 )</f>
        <v>0</v>
      </c>
    </row>
    <row r="1935" spans="1:29" x14ac:dyDescent="0.3">
      <c r="A1935" s="18">
        <v>2276</v>
      </c>
      <c r="B1935" s="16">
        <v>160033</v>
      </c>
      <c r="C1935" s="16">
        <v>0</v>
      </c>
      <c r="D1935" s="16">
        <v>1</v>
      </c>
      <c r="E1935" s="16">
        <v>66</v>
      </c>
      <c r="F1935" s="17" t="s">
        <v>8</v>
      </c>
      <c r="G1935" s="17" t="s">
        <v>12</v>
      </c>
      <c r="H1935" s="3" t="s">
        <v>696</v>
      </c>
      <c r="I1935" s="5" t="s">
        <v>438</v>
      </c>
      <c r="J1935" s="16">
        <f>_xlfn.XLOOKUP(CustomerCombinedCleaned[[#This Row],[ID]], Table4[ID], Table4[Recency], "Not Found", 0)</f>
        <v>28</v>
      </c>
      <c r="K1935" s="16">
        <f>_xlfn.XLOOKUP(CustomerCombinedCleaned[[#This Row],[ID]], Table4[ID], Table4[Teas], "Not Found", 0)</f>
        <v>165</v>
      </c>
      <c r="L1935" s="16">
        <f>_xlfn.XLOOKUP(CustomerCombinedCleaned[[#This Row],[ID]], Table4[ID], Table4[Fruits], "Not Found", 0)</f>
        <v>3</v>
      </c>
      <c r="M1935" s="16">
        <f>_xlfn.XLOOKUP(CustomerCombinedCleaned[[#This Row],[ID]], Table4[ID], Table4[Meats], "Not Found", 0)</f>
        <v>152</v>
      </c>
      <c r="N1935" s="16">
        <f>_xlfn.XLOOKUP(CustomerCombinedCleaned[[#This Row],[ID]], Table4[ID], Table4[Seafood], "Not Found", 0)</f>
        <v>51</v>
      </c>
      <c r="O1935" s="16">
        <f>_xlfn.XLOOKUP(CustomerCombinedCleaned[[#This Row],[ID]], Table4[ID], Table4[Sweets], "Not Found", 0)</f>
        <v>29</v>
      </c>
      <c r="P1935" s="16">
        <f>_xlfn.XLOOKUP(CustomerCombinedCleaned[[#This Row],[ID]], Table4[ID], Table4[Premium], "Not Found", 0)</f>
        <v>128</v>
      </c>
      <c r="Q1935" s="16">
        <f>_xlfn.XLOOKUP(CustomerCombinedCleaned[[#This Row],[ID]], Table4[ID], Table4[Regular], "Not Found", 0)</f>
        <v>272</v>
      </c>
      <c r="R1935" s="16">
        <f>_xlfn.XLOOKUP(CustomerCombinedCleaned[[#This Row],[ID]], Table4[ID], Table4[Deals], "Not Found", 0)</f>
        <v>2</v>
      </c>
      <c r="S1935" s="16">
        <f>_xlfn.XLOOKUP(CustomerCombinedCleaned[[#This Row],[ID]], Table4[ID], Table4[Website], "Not Found", 0)</f>
        <v>2</v>
      </c>
      <c r="T1935" s="16">
        <f>_xlfn.XLOOKUP(CustomerCombinedCleaned[[#This Row],[ID]], Table4[ID], Table4[Catalog], "Not Found", 0)</f>
        <v>1</v>
      </c>
      <c r="U1935" s="16">
        <f>_xlfn.XLOOKUP(CustomerCombinedCleaned[[#This Row],[ID]], Table4[ID], Table4[Store], "Not Found", 0)</f>
        <v>5</v>
      </c>
      <c r="V1935" s="16">
        <f>_xlfn.XLOOKUP(CustomerCombinedCleaned[[#This Row],[ID]], Table4[ID], Table4[Visits], "Not Found", 0)</f>
        <v>2</v>
      </c>
      <c r="W1935" s="16">
        <f>_xlfn.XLOOKUP(CustomerCombinedCleaned[[#This Row],[ID]], Table2[ID],Table2[Complaint], "Not Found", 0 )</f>
        <v>0</v>
      </c>
      <c r="X1935" s="16">
        <f>_xlfn.XLOOKUP(CustomerCombinedCleaned[[#This Row],[ID]], Table2[ID],Table2[Pilot], "Not Found", 0 )</f>
        <v>0</v>
      </c>
      <c r="Y1935" s="16">
        <f>_xlfn.XLOOKUP(CustomerCombinedCleaned[[#This Row],[ID]], Table2[ID],Table2[MC1], "Not Found", 0 )</f>
        <v>0</v>
      </c>
      <c r="Z1935" s="16">
        <f>_xlfn.XLOOKUP(CustomerCombinedCleaned[[#This Row],[ID]], Table2[ID],Table2[MC2], "Not Found", 0 )</f>
        <v>0</v>
      </c>
      <c r="AA1935" s="16">
        <f>_xlfn.XLOOKUP(CustomerCombinedCleaned[[#This Row],[ID]], Table2[ID],Table2[MC3], "Not Found", 0 )</f>
        <v>0</v>
      </c>
      <c r="AB1935" s="16">
        <f>_xlfn.XLOOKUP(CustomerCombinedCleaned[[#This Row],[ID]], Table2[ID],Table2[MC4], "Not Found", 0 )</f>
        <v>0</v>
      </c>
      <c r="AC1935" s="16">
        <f>_xlfn.XLOOKUP(CustomerCombinedCleaned[[#This Row],[ID]], Table2[ID],Table2[MC5], "Not Found", 0 )</f>
        <v>0</v>
      </c>
    </row>
    <row r="1936" spans="1:29" x14ac:dyDescent="0.3">
      <c r="A1936" s="18">
        <v>1702</v>
      </c>
      <c r="B1936" s="16">
        <v>159111</v>
      </c>
      <c r="C1936" s="16">
        <v>0</v>
      </c>
      <c r="D1936" s="16">
        <v>0</v>
      </c>
      <c r="E1936" s="16">
        <v>66</v>
      </c>
      <c r="F1936" s="17" t="s">
        <v>6</v>
      </c>
      <c r="G1936" s="17" t="s">
        <v>11</v>
      </c>
      <c r="H1936" s="3" t="s">
        <v>724</v>
      </c>
      <c r="I1936" s="5" t="s">
        <v>439</v>
      </c>
      <c r="J1936" s="16">
        <f>_xlfn.XLOOKUP(CustomerCombinedCleaned[[#This Row],[ID]], Table4[ID], Table4[Recency], "Not Found", 0)</f>
        <v>90</v>
      </c>
      <c r="K1936" s="16">
        <f>_xlfn.XLOOKUP(CustomerCombinedCleaned[[#This Row],[ID]], Table4[ID], Table4[Teas], "Not Found", 0)</f>
        <v>1410</v>
      </c>
      <c r="L1936" s="16">
        <f>_xlfn.XLOOKUP(CustomerCombinedCleaned[[#This Row],[ID]], Table4[ID], Table4[Fruits], "Not Found", 0)</f>
        <v>0</v>
      </c>
      <c r="M1936" s="16">
        <f>_xlfn.XLOOKUP(CustomerCombinedCleaned[[#This Row],[ID]], Table4[ID], Table4[Meats], "Not Found", 0)</f>
        <v>361</v>
      </c>
      <c r="N1936" s="16">
        <f>_xlfn.XLOOKUP(CustomerCombinedCleaned[[#This Row],[ID]], Table4[ID], Table4[Seafood], "Not Found", 0)</f>
        <v>75</v>
      </c>
      <c r="O1936" s="16">
        <f>_xlfn.XLOOKUP(CustomerCombinedCleaned[[#This Row],[ID]], Table4[ID], Table4[Sweets], "Not Found", 0)</f>
        <v>75</v>
      </c>
      <c r="P1936" s="16">
        <f>_xlfn.XLOOKUP(CustomerCombinedCleaned[[#This Row],[ID]], Table4[ID], Table4[Premium], "Not Found", 0)</f>
        <v>417</v>
      </c>
      <c r="Q1936" s="16">
        <f>_xlfn.XLOOKUP(CustomerCombinedCleaned[[#This Row],[ID]], Table4[ID], Table4[Regular], "Not Found", 0)</f>
        <v>1505</v>
      </c>
      <c r="R1936" s="16">
        <f>_xlfn.XLOOKUP(CustomerCombinedCleaned[[#This Row],[ID]], Table4[ID], Table4[Deals], "Not Found", 0)</f>
        <v>1</v>
      </c>
      <c r="S1936" s="16">
        <f>_xlfn.XLOOKUP(CustomerCombinedCleaned[[#This Row],[ID]], Table4[ID], Table4[Website], "Not Found", 0)</f>
        <v>11</v>
      </c>
      <c r="T1936" s="16">
        <f>_xlfn.XLOOKUP(CustomerCombinedCleaned[[#This Row],[ID]], Table4[ID], Table4[Catalog], "Not Found", 0)</f>
        <v>1</v>
      </c>
      <c r="U1936" s="16">
        <f>_xlfn.XLOOKUP(CustomerCombinedCleaned[[#This Row],[ID]], Table4[ID], Table4[Store], "Not Found", 0)</f>
        <v>8</v>
      </c>
      <c r="V1936" s="16">
        <f>_xlfn.XLOOKUP(CustomerCombinedCleaned[[#This Row],[ID]], Table4[ID], Table4[Visits], "Not Found", 0)</f>
        <v>7</v>
      </c>
      <c r="W1936" s="16">
        <f>_xlfn.XLOOKUP(CustomerCombinedCleaned[[#This Row],[ID]], Table2[ID],Table2[Complaint], "Not Found", 0 )</f>
        <v>0</v>
      </c>
      <c r="X1936" s="16">
        <f>_xlfn.XLOOKUP(CustomerCombinedCleaned[[#This Row],[ID]], Table2[ID],Table2[Pilot], "Not Found", 0 )</f>
        <v>0</v>
      </c>
      <c r="Y1936" s="16">
        <f>_xlfn.XLOOKUP(CustomerCombinedCleaned[[#This Row],[ID]], Table2[ID],Table2[MC1], "Not Found", 0 )</f>
        <v>0</v>
      </c>
      <c r="Z1936" s="16">
        <f>_xlfn.XLOOKUP(CustomerCombinedCleaned[[#This Row],[ID]], Table2[ID],Table2[MC2], "Not Found", 0 )</f>
        <v>0</v>
      </c>
      <c r="AA1936" s="16">
        <f>_xlfn.XLOOKUP(CustomerCombinedCleaned[[#This Row],[ID]], Table2[ID],Table2[MC3], "Not Found", 0 )</f>
        <v>0</v>
      </c>
      <c r="AB1936" s="16">
        <f>_xlfn.XLOOKUP(CustomerCombinedCleaned[[#This Row],[ID]], Table2[ID],Table2[MC4], "Not Found", 0 )</f>
        <v>0</v>
      </c>
      <c r="AC1936" s="16">
        <f>_xlfn.XLOOKUP(CustomerCombinedCleaned[[#This Row],[ID]], Table2[ID],Table2[MC5], "Not Found", 0 )</f>
        <v>0</v>
      </c>
    </row>
    <row r="1937" spans="1:29" x14ac:dyDescent="0.3">
      <c r="A1937" s="18">
        <v>2129</v>
      </c>
      <c r="B1937" s="16">
        <v>157744</v>
      </c>
      <c r="C1937" s="16">
        <v>0</v>
      </c>
      <c r="D1937" s="16">
        <v>1</v>
      </c>
      <c r="E1937" s="16">
        <v>66</v>
      </c>
      <c r="F1937" s="17" t="s">
        <v>6</v>
      </c>
      <c r="G1937" s="17" t="s">
        <v>13</v>
      </c>
      <c r="H1937" s="3" t="s">
        <v>152</v>
      </c>
      <c r="I1937" s="5" t="s">
        <v>434</v>
      </c>
      <c r="J1937" s="16">
        <f>_xlfn.XLOOKUP(CustomerCombinedCleaned[[#This Row],[ID]], Table4[ID], Table4[Recency], "Not Found", 0)</f>
        <v>91</v>
      </c>
      <c r="K1937" s="16">
        <f>_xlfn.XLOOKUP(CustomerCombinedCleaned[[#This Row],[ID]], Table4[ID], Table4[Teas], "Not Found", 0)</f>
        <v>956</v>
      </c>
      <c r="L1937" s="16">
        <f>_xlfn.XLOOKUP(CustomerCombinedCleaned[[#This Row],[ID]], Table4[ID], Table4[Fruits], "Not Found", 0)</f>
        <v>8</v>
      </c>
      <c r="M1937" s="16">
        <f>_xlfn.XLOOKUP(CustomerCombinedCleaned[[#This Row],[ID]], Table4[ID], Table4[Meats], "Not Found", 0)</f>
        <v>107</v>
      </c>
      <c r="N1937" s="16">
        <f>_xlfn.XLOOKUP(CustomerCombinedCleaned[[#This Row],[ID]], Table4[ID], Table4[Seafood], "Not Found", 0)</f>
        <v>0</v>
      </c>
      <c r="O1937" s="16">
        <f>_xlfn.XLOOKUP(CustomerCombinedCleaned[[#This Row],[ID]], Table4[ID], Table4[Sweets], "Not Found", 0)</f>
        <v>0</v>
      </c>
      <c r="P1937" s="16">
        <f>_xlfn.XLOOKUP(CustomerCombinedCleaned[[#This Row],[ID]], Table4[ID], Table4[Premium], "Not Found", 0)</f>
        <v>52</v>
      </c>
      <c r="Q1937" s="16">
        <f>_xlfn.XLOOKUP(CustomerCombinedCleaned[[#This Row],[ID]], Table4[ID], Table4[Regular], "Not Found", 0)</f>
        <v>1019</v>
      </c>
      <c r="R1937" s="16">
        <f>_xlfn.XLOOKUP(CustomerCombinedCleaned[[#This Row],[ID]], Table4[ID], Table4[Deals], "Not Found", 0)</f>
        <v>2</v>
      </c>
      <c r="S1937" s="16">
        <f>_xlfn.XLOOKUP(CustomerCombinedCleaned[[#This Row],[ID]], Table4[ID], Table4[Website], "Not Found", 0)</f>
        <v>9</v>
      </c>
      <c r="T1937" s="16">
        <f>_xlfn.XLOOKUP(CustomerCombinedCleaned[[#This Row],[ID]], Table4[ID], Table4[Catalog], "Not Found", 0)</f>
        <v>1</v>
      </c>
      <c r="U1937" s="16">
        <f>_xlfn.XLOOKUP(CustomerCombinedCleaned[[#This Row],[ID]], Table4[ID], Table4[Store], "Not Found", 0)</f>
        <v>4</v>
      </c>
      <c r="V1937" s="16">
        <f>_xlfn.XLOOKUP(CustomerCombinedCleaned[[#This Row],[ID]], Table4[ID], Table4[Visits], "Not Found", 0)</f>
        <v>8</v>
      </c>
      <c r="W1937" s="16">
        <f>_xlfn.XLOOKUP(CustomerCombinedCleaned[[#This Row],[ID]], Table2[ID],Table2[Complaint], "Not Found", 0 )</f>
        <v>0</v>
      </c>
      <c r="X1937" s="16">
        <f>_xlfn.XLOOKUP(CustomerCombinedCleaned[[#This Row],[ID]], Table2[ID],Table2[Pilot], "Not Found", 0 )</f>
        <v>0</v>
      </c>
      <c r="Y1937" s="16">
        <f>_xlfn.XLOOKUP(CustomerCombinedCleaned[[#This Row],[ID]], Table2[ID],Table2[MC1], "Not Found", 0 )</f>
        <v>0</v>
      </c>
      <c r="Z1937" s="16">
        <f>_xlfn.XLOOKUP(CustomerCombinedCleaned[[#This Row],[ID]], Table2[ID],Table2[MC2], "Not Found", 0 )</f>
        <v>0</v>
      </c>
      <c r="AA1937" s="16">
        <f>_xlfn.XLOOKUP(CustomerCombinedCleaned[[#This Row],[ID]], Table2[ID],Table2[MC3], "Not Found", 0 )</f>
        <v>0</v>
      </c>
      <c r="AB1937" s="16">
        <f>_xlfn.XLOOKUP(CustomerCombinedCleaned[[#This Row],[ID]], Table2[ID],Table2[MC4], "Not Found", 0 )</f>
        <v>0</v>
      </c>
      <c r="AC1937" s="16">
        <f>_xlfn.XLOOKUP(CustomerCombinedCleaned[[#This Row],[ID]], Table2[ID],Table2[MC5], "Not Found", 0 )</f>
        <v>0</v>
      </c>
    </row>
    <row r="1938" spans="1:29" x14ac:dyDescent="0.3">
      <c r="A1938" s="18">
        <v>2814</v>
      </c>
      <c r="B1938" s="16">
        <v>157333</v>
      </c>
      <c r="C1938" s="16">
        <v>0</v>
      </c>
      <c r="D1938" s="16">
        <v>1</v>
      </c>
      <c r="E1938" s="16">
        <v>66</v>
      </c>
      <c r="F1938" s="17" t="s">
        <v>5</v>
      </c>
      <c r="G1938" s="17" t="s">
        <v>13</v>
      </c>
      <c r="H1938" s="3" t="s">
        <v>389</v>
      </c>
      <c r="I1938" s="5" t="s">
        <v>436</v>
      </c>
      <c r="J1938" s="16">
        <f>_xlfn.XLOOKUP(CustomerCombinedCleaned[[#This Row],[ID]], Table4[ID], Table4[Recency], "Not Found", 0)</f>
        <v>55</v>
      </c>
      <c r="K1938" s="16">
        <f>_xlfn.XLOOKUP(CustomerCombinedCleaned[[#This Row],[ID]], Table4[ID], Table4[Teas], "Not Found", 0)</f>
        <v>2582</v>
      </c>
      <c r="L1938" s="16">
        <f>_xlfn.XLOOKUP(CustomerCombinedCleaned[[#This Row],[ID]], Table4[ID], Table4[Fruits], "Not Found", 0)</f>
        <v>38</v>
      </c>
      <c r="M1938" s="16">
        <f>_xlfn.XLOOKUP(CustomerCombinedCleaned[[#This Row],[ID]], Table4[ID], Table4[Meats], "Not Found", 0)</f>
        <v>1089</v>
      </c>
      <c r="N1938" s="16">
        <f>_xlfn.XLOOKUP(CustomerCombinedCleaned[[#This Row],[ID]], Table4[ID], Table4[Seafood], "Not Found", 0)</f>
        <v>209</v>
      </c>
      <c r="O1938" s="16">
        <f>_xlfn.XLOOKUP(CustomerCombinedCleaned[[#This Row],[ID]], Table4[ID], Table4[Sweets], "Not Found", 0)</f>
        <v>159</v>
      </c>
      <c r="P1938" s="16">
        <f>_xlfn.XLOOKUP(CustomerCombinedCleaned[[#This Row],[ID]], Table4[ID], Table4[Premium], "Not Found", 0)</f>
        <v>483</v>
      </c>
      <c r="Q1938" s="16">
        <f>_xlfn.XLOOKUP(CustomerCombinedCleaned[[#This Row],[ID]], Table4[ID], Table4[Regular], "Not Found", 0)</f>
        <v>3595</v>
      </c>
      <c r="R1938" s="16">
        <f>_xlfn.XLOOKUP(CustomerCombinedCleaned[[#This Row],[ID]], Table4[ID], Table4[Deals], "Not Found", 0)</f>
        <v>11</v>
      </c>
      <c r="S1938" s="16">
        <f>_xlfn.XLOOKUP(CustomerCombinedCleaned[[#This Row],[ID]], Table4[ID], Table4[Website], "Not Found", 0)</f>
        <v>8</v>
      </c>
      <c r="T1938" s="16">
        <f>_xlfn.XLOOKUP(CustomerCombinedCleaned[[#This Row],[ID]], Table4[ID], Table4[Catalog], "Not Found", 0)</f>
        <v>5</v>
      </c>
      <c r="U1938" s="16">
        <f>_xlfn.XLOOKUP(CustomerCombinedCleaned[[#This Row],[ID]], Table4[ID], Table4[Store], "Not Found", 0)</f>
        <v>9</v>
      </c>
      <c r="V1938" s="16">
        <f>_xlfn.XLOOKUP(CustomerCombinedCleaned[[#This Row],[ID]], Table4[ID], Table4[Visits], "Not Found", 0)</f>
        <v>6</v>
      </c>
      <c r="W1938" s="16">
        <f>_xlfn.XLOOKUP(CustomerCombinedCleaned[[#This Row],[ID]], Table2[ID],Table2[Complaint], "Not Found", 0 )</f>
        <v>0</v>
      </c>
      <c r="X1938" s="16">
        <f>_xlfn.XLOOKUP(CustomerCombinedCleaned[[#This Row],[ID]], Table2[ID],Table2[Pilot], "Not Found", 0 )</f>
        <v>1</v>
      </c>
      <c r="Y1938" s="16">
        <f>_xlfn.XLOOKUP(CustomerCombinedCleaned[[#This Row],[ID]], Table2[ID],Table2[MC1], "Not Found", 0 )</f>
        <v>0</v>
      </c>
      <c r="Z1938" s="16">
        <f>_xlfn.XLOOKUP(CustomerCombinedCleaned[[#This Row],[ID]], Table2[ID],Table2[MC2], "Not Found", 0 )</f>
        <v>0</v>
      </c>
      <c r="AA1938" s="16">
        <f>_xlfn.XLOOKUP(CustomerCombinedCleaned[[#This Row],[ID]], Table2[ID],Table2[MC3], "Not Found", 0 )</f>
        <v>0</v>
      </c>
      <c r="AB1938" s="16">
        <f>_xlfn.XLOOKUP(CustomerCombinedCleaned[[#This Row],[ID]], Table2[ID],Table2[MC4], "Not Found", 0 )</f>
        <v>0</v>
      </c>
      <c r="AC1938" s="16">
        <f>_xlfn.XLOOKUP(CustomerCombinedCleaned[[#This Row],[ID]], Table2[ID],Table2[MC5], "Not Found", 0 )</f>
        <v>0</v>
      </c>
    </row>
    <row r="1939" spans="1:29" x14ac:dyDescent="0.3">
      <c r="A1939" s="18">
        <v>1960</v>
      </c>
      <c r="B1939" s="16">
        <v>153103</v>
      </c>
      <c r="C1939" s="16">
        <v>0</v>
      </c>
      <c r="D1939" s="16">
        <v>1</v>
      </c>
      <c r="E1939" s="16">
        <v>66</v>
      </c>
      <c r="F1939" s="17" t="s">
        <v>8</v>
      </c>
      <c r="G1939" s="17" t="s">
        <v>11</v>
      </c>
      <c r="H1939" s="3" t="s">
        <v>187</v>
      </c>
      <c r="I1939" s="5" t="s">
        <v>439</v>
      </c>
      <c r="J1939" s="16">
        <f>_xlfn.XLOOKUP(CustomerCombinedCleaned[[#This Row],[ID]], Table4[ID], Table4[Recency], "Not Found", 0)</f>
        <v>70</v>
      </c>
      <c r="K1939" s="16">
        <f>_xlfn.XLOOKUP(CustomerCombinedCleaned[[#This Row],[ID]], Table4[ID], Table4[Teas], "Not Found", 0)</f>
        <v>2102</v>
      </c>
      <c r="L1939" s="16">
        <f>_xlfn.XLOOKUP(CustomerCombinedCleaned[[#This Row],[ID]], Table4[ID], Table4[Fruits], "Not Found", 0)</f>
        <v>49</v>
      </c>
      <c r="M1939" s="16">
        <f>_xlfn.XLOOKUP(CustomerCombinedCleaned[[#This Row],[ID]], Table4[ID], Table4[Meats], "Not Found", 0)</f>
        <v>383</v>
      </c>
      <c r="N1939" s="16">
        <f>_xlfn.XLOOKUP(CustomerCombinedCleaned[[#This Row],[ID]], Table4[ID], Table4[Seafood], "Not Found", 0)</f>
        <v>32</v>
      </c>
      <c r="O1939" s="16">
        <f>_xlfn.XLOOKUP(CustomerCombinedCleaned[[#This Row],[ID]], Table4[ID], Table4[Sweets], "Not Found", 0)</f>
        <v>0</v>
      </c>
      <c r="P1939" s="16">
        <f>_xlfn.XLOOKUP(CustomerCombinedCleaned[[#This Row],[ID]], Table4[ID], Table4[Premium], "Not Found", 0)</f>
        <v>562</v>
      </c>
      <c r="Q1939" s="16">
        <f>_xlfn.XLOOKUP(CustomerCombinedCleaned[[#This Row],[ID]], Table4[ID], Table4[Regular], "Not Found", 0)</f>
        <v>2004</v>
      </c>
      <c r="R1939" s="16">
        <f>_xlfn.XLOOKUP(CustomerCombinedCleaned[[#This Row],[ID]], Table4[ID], Table4[Deals], "Not Found", 0)</f>
        <v>5</v>
      </c>
      <c r="S1939" s="16">
        <f>_xlfn.XLOOKUP(CustomerCombinedCleaned[[#This Row],[ID]], Table4[ID], Table4[Website], "Not Found", 0)</f>
        <v>10</v>
      </c>
      <c r="T1939" s="16">
        <f>_xlfn.XLOOKUP(CustomerCombinedCleaned[[#This Row],[ID]], Table4[ID], Table4[Catalog], "Not Found", 0)</f>
        <v>6</v>
      </c>
      <c r="U1939" s="16">
        <f>_xlfn.XLOOKUP(CustomerCombinedCleaned[[#This Row],[ID]], Table4[ID], Table4[Store], "Not Found", 0)</f>
        <v>7</v>
      </c>
      <c r="V1939" s="16">
        <f>_xlfn.XLOOKUP(CustomerCombinedCleaned[[#This Row],[ID]], Table4[ID], Table4[Visits], "Not Found", 0)</f>
        <v>7</v>
      </c>
      <c r="W1939" s="16">
        <f>_xlfn.XLOOKUP(CustomerCombinedCleaned[[#This Row],[ID]], Table2[ID],Table2[Complaint], "Not Found", 0 )</f>
        <v>0</v>
      </c>
      <c r="X1939" s="16">
        <f>_xlfn.XLOOKUP(CustomerCombinedCleaned[[#This Row],[ID]], Table2[ID],Table2[Pilot], "Not Found", 0 )</f>
        <v>0</v>
      </c>
      <c r="Y1939" s="16">
        <f>_xlfn.XLOOKUP(CustomerCombinedCleaned[[#This Row],[ID]], Table2[ID],Table2[MC1], "Not Found", 0 )</f>
        <v>0</v>
      </c>
      <c r="Z1939" s="16">
        <f>_xlfn.XLOOKUP(CustomerCombinedCleaned[[#This Row],[ID]], Table2[ID],Table2[MC2], "Not Found", 0 )</f>
        <v>0</v>
      </c>
      <c r="AA1939" s="16">
        <f>_xlfn.XLOOKUP(CustomerCombinedCleaned[[#This Row],[ID]], Table2[ID],Table2[MC3], "Not Found", 0 )</f>
        <v>1</v>
      </c>
      <c r="AB1939" s="16">
        <f>_xlfn.XLOOKUP(CustomerCombinedCleaned[[#This Row],[ID]], Table2[ID],Table2[MC4], "Not Found", 0 )</f>
        <v>0</v>
      </c>
      <c r="AC1939" s="16">
        <f>_xlfn.XLOOKUP(CustomerCombinedCleaned[[#This Row],[ID]], Table2[ID],Table2[MC5], "Not Found", 0 )</f>
        <v>0</v>
      </c>
    </row>
    <row r="1940" spans="1:29" x14ac:dyDescent="0.3">
      <c r="A1940" s="18">
        <v>3205</v>
      </c>
      <c r="B1940" s="16">
        <v>152869</v>
      </c>
      <c r="C1940" s="16">
        <v>1</v>
      </c>
      <c r="D1940" s="16">
        <v>1</v>
      </c>
      <c r="E1940" s="16">
        <v>66</v>
      </c>
      <c r="F1940" s="17" t="s">
        <v>6</v>
      </c>
      <c r="G1940" s="17" t="s">
        <v>13</v>
      </c>
      <c r="H1940" s="3" t="s">
        <v>379</v>
      </c>
      <c r="I1940" s="5" t="s">
        <v>437</v>
      </c>
      <c r="J1940" s="16">
        <f>_xlfn.XLOOKUP(CustomerCombinedCleaned[[#This Row],[ID]], Table4[ID], Table4[Recency], "Not Found", 0)</f>
        <v>40</v>
      </c>
      <c r="K1940" s="16">
        <f>_xlfn.XLOOKUP(CustomerCombinedCleaned[[#This Row],[ID]], Table4[ID], Table4[Teas], "Not Found", 0)</f>
        <v>243</v>
      </c>
      <c r="L1940" s="16">
        <f>_xlfn.XLOOKUP(CustomerCombinedCleaned[[#This Row],[ID]], Table4[ID], Table4[Fruits], "Not Found", 0)</f>
        <v>9</v>
      </c>
      <c r="M1940" s="16">
        <f>_xlfn.XLOOKUP(CustomerCombinedCleaned[[#This Row],[ID]], Table4[ID], Table4[Meats], "Not Found", 0)</f>
        <v>176</v>
      </c>
      <c r="N1940" s="16">
        <f>_xlfn.XLOOKUP(CustomerCombinedCleaned[[#This Row],[ID]], Table4[ID], Table4[Seafood], "Not Found", 0)</f>
        <v>6</v>
      </c>
      <c r="O1940" s="16">
        <f>_xlfn.XLOOKUP(CustomerCombinedCleaned[[#This Row],[ID]], Table4[ID], Table4[Sweets], "Not Found", 0)</f>
        <v>3</v>
      </c>
      <c r="P1940" s="16">
        <f>_xlfn.XLOOKUP(CustomerCombinedCleaned[[#This Row],[ID]], Table4[ID], Table4[Premium], "Not Found", 0)</f>
        <v>61</v>
      </c>
      <c r="Q1940" s="16">
        <f>_xlfn.XLOOKUP(CustomerCombinedCleaned[[#This Row],[ID]], Table4[ID], Table4[Regular], "Not Found", 0)</f>
        <v>376</v>
      </c>
      <c r="R1940" s="16">
        <f>_xlfn.XLOOKUP(CustomerCombinedCleaned[[#This Row],[ID]], Table4[ID], Table4[Deals], "Not Found", 0)</f>
        <v>3</v>
      </c>
      <c r="S1940" s="16">
        <f>_xlfn.XLOOKUP(CustomerCombinedCleaned[[#This Row],[ID]], Table4[ID], Table4[Website], "Not Found", 0)</f>
        <v>3</v>
      </c>
      <c r="T1940" s="16">
        <f>_xlfn.XLOOKUP(CustomerCombinedCleaned[[#This Row],[ID]], Table4[ID], Table4[Catalog], "Not Found", 0)</f>
        <v>1</v>
      </c>
      <c r="U1940" s="16">
        <f>_xlfn.XLOOKUP(CustomerCombinedCleaned[[#This Row],[ID]], Table4[ID], Table4[Store], "Not Found", 0)</f>
        <v>4</v>
      </c>
      <c r="V1940" s="16">
        <f>_xlfn.XLOOKUP(CustomerCombinedCleaned[[#This Row],[ID]], Table4[ID], Table4[Visits], "Not Found", 0)</f>
        <v>7</v>
      </c>
      <c r="W1940" s="16">
        <f>_xlfn.XLOOKUP(CustomerCombinedCleaned[[#This Row],[ID]], Table2[ID],Table2[Complaint], "Not Found", 0 )</f>
        <v>0</v>
      </c>
      <c r="X1940" s="16">
        <f>_xlfn.XLOOKUP(CustomerCombinedCleaned[[#This Row],[ID]], Table2[ID],Table2[Pilot], "Not Found", 0 )</f>
        <v>1</v>
      </c>
      <c r="Y1940" s="16">
        <f>_xlfn.XLOOKUP(CustomerCombinedCleaned[[#This Row],[ID]], Table2[ID],Table2[MC1], "Not Found", 0 )</f>
        <v>0</v>
      </c>
      <c r="Z1940" s="16">
        <f>_xlfn.XLOOKUP(CustomerCombinedCleaned[[#This Row],[ID]], Table2[ID],Table2[MC2], "Not Found", 0 )</f>
        <v>0</v>
      </c>
      <c r="AA1940" s="16">
        <f>_xlfn.XLOOKUP(CustomerCombinedCleaned[[#This Row],[ID]], Table2[ID],Table2[MC3], "Not Found", 0 )</f>
        <v>0</v>
      </c>
      <c r="AB1940" s="16">
        <f>_xlfn.XLOOKUP(CustomerCombinedCleaned[[#This Row],[ID]], Table2[ID],Table2[MC4], "Not Found", 0 )</f>
        <v>0</v>
      </c>
      <c r="AC1940" s="16">
        <f>_xlfn.XLOOKUP(CustomerCombinedCleaned[[#This Row],[ID]], Table2[ID],Table2[MC5], "Not Found", 0 )</f>
        <v>0</v>
      </c>
    </row>
    <row r="1941" spans="1:29" x14ac:dyDescent="0.3">
      <c r="A1941" s="18">
        <v>3166</v>
      </c>
      <c r="B1941" s="16">
        <v>150501</v>
      </c>
      <c r="C1941" s="16">
        <v>1</v>
      </c>
      <c r="D1941" s="16">
        <v>1</v>
      </c>
      <c r="E1941" s="16">
        <v>66</v>
      </c>
      <c r="F1941" s="17" t="s">
        <v>6</v>
      </c>
      <c r="G1941" s="17" t="s">
        <v>11</v>
      </c>
      <c r="H1941" s="3" t="s">
        <v>235</v>
      </c>
      <c r="I1941" s="5" t="s">
        <v>439</v>
      </c>
      <c r="J1941" s="16">
        <f>_xlfn.XLOOKUP(CustomerCombinedCleaned[[#This Row],[ID]], Table4[ID], Table4[Recency], "Not Found", 0)</f>
        <v>10</v>
      </c>
      <c r="K1941" s="16">
        <f>_xlfn.XLOOKUP(CustomerCombinedCleaned[[#This Row],[ID]], Table4[ID], Table4[Teas], "Not Found", 0)</f>
        <v>885</v>
      </c>
      <c r="L1941" s="16">
        <f>_xlfn.XLOOKUP(CustomerCombinedCleaned[[#This Row],[ID]], Table4[ID], Table4[Fruits], "Not Found", 0)</f>
        <v>0</v>
      </c>
      <c r="M1941" s="16">
        <f>_xlfn.XLOOKUP(CustomerCombinedCleaned[[#This Row],[ID]], Table4[ID], Table4[Meats], "Not Found", 0)</f>
        <v>113</v>
      </c>
      <c r="N1941" s="16">
        <f>_xlfn.XLOOKUP(CustomerCombinedCleaned[[#This Row],[ID]], Table4[ID], Table4[Seafood], "Not Found", 0)</f>
        <v>39</v>
      </c>
      <c r="O1941" s="16">
        <f>_xlfn.XLOOKUP(CustomerCombinedCleaned[[#This Row],[ID]], Table4[ID], Table4[Sweets], "Not Found", 0)</f>
        <v>0</v>
      </c>
      <c r="P1941" s="16">
        <f>_xlfn.XLOOKUP(CustomerCombinedCleaned[[#This Row],[ID]], Table4[ID], Table4[Premium], "Not Found", 0)</f>
        <v>453</v>
      </c>
      <c r="Q1941" s="16">
        <f>_xlfn.XLOOKUP(CustomerCombinedCleaned[[#This Row],[ID]], Table4[ID], Table4[Regular], "Not Found", 0)</f>
        <v>584</v>
      </c>
      <c r="R1941" s="16">
        <f>_xlfn.XLOOKUP(CustomerCombinedCleaned[[#This Row],[ID]], Table4[ID], Table4[Deals], "Not Found", 0)</f>
        <v>7</v>
      </c>
      <c r="S1941" s="16">
        <f>_xlfn.XLOOKUP(CustomerCombinedCleaned[[#This Row],[ID]], Table4[ID], Table4[Website], "Not Found", 0)</f>
        <v>5</v>
      </c>
      <c r="T1941" s="16">
        <f>_xlfn.XLOOKUP(CustomerCombinedCleaned[[#This Row],[ID]], Table4[ID], Table4[Catalog], "Not Found", 0)</f>
        <v>4</v>
      </c>
      <c r="U1941" s="16">
        <f>_xlfn.XLOOKUP(CustomerCombinedCleaned[[#This Row],[ID]], Table4[ID], Table4[Store], "Not Found", 0)</f>
        <v>4</v>
      </c>
      <c r="V1941" s="16">
        <f>_xlfn.XLOOKUP(CustomerCombinedCleaned[[#This Row],[ID]], Table4[ID], Table4[Visits], "Not Found", 0)</f>
        <v>6</v>
      </c>
      <c r="W1941" s="16">
        <f>_xlfn.XLOOKUP(CustomerCombinedCleaned[[#This Row],[ID]], Table2[ID],Table2[Complaint], "Not Found", 0 )</f>
        <v>0</v>
      </c>
      <c r="X1941" s="16">
        <f>_xlfn.XLOOKUP(CustomerCombinedCleaned[[#This Row],[ID]], Table2[ID],Table2[Pilot], "Not Found", 0 )</f>
        <v>1</v>
      </c>
      <c r="Y1941" s="16">
        <f>_xlfn.XLOOKUP(CustomerCombinedCleaned[[#This Row],[ID]], Table2[ID],Table2[MC1], "Not Found", 0 )</f>
        <v>0</v>
      </c>
      <c r="Z1941" s="16">
        <f>_xlfn.XLOOKUP(CustomerCombinedCleaned[[#This Row],[ID]], Table2[ID],Table2[MC2], "Not Found", 0 )</f>
        <v>0</v>
      </c>
      <c r="AA1941" s="16">
        <f>_xlfn.XLOOKUP(CustomerCombinedCleaned[[#This Row],[ID]], Table2[ID],Table2[MC3], "Not Found", 0 )</f>
        <v>1</v>
      </c>
      <c r="AB1941" s="16">
        <f>_xlfn.XLOOKUP(CustomerCombinedCleaned[[#This Row],[ID]], Table2[ID],Table2[MC4], "Not Found", 0 )</f>
        <v>0</v>
      </c>
      <c r="AC1941" s="16">
        <f>_xlfn.XLOOKUP(CustomerCombinedCleaned[[#This Row],[ID]], Table2[ID],Table2[MC5], "Not Found", 0 )</f>
        <v>0</v>
      </c>
    </row>
    <row r="1942" spans="1:29" x14ac:dyDescent="0.3">
      <c r="A1942" s="18">
        <v>2612</v>
      </c>
      <c r="B1942" s="16">
        <v>150002</v>
      </c>
      <c r="C1942" s="16">
        <v>0</v>
      </c>
      <c r="D1942" s="16">
        <v>1</v>
      </c>
      <c r="E1942" s="16">
        <v>66</v>
      </c>
      <c r="F1942" s="17" t="s">
        <v>5</v>
      </c>
      <c r="G1942" s="17" t="s">
        <v>11</v>
      </c>
      <c r="H1942" s="3" t="s">
        <v>236</v>
      </c>
      <c r="I1942" s="5" t="s">
        <v>438</v>
      </c>
      <c r="J1942" s="16">
        <f>_xlfn.XLOOKUP(CustomerCombinedCleaned[[#This Row],[ID]], Table4[ID], Table4[Recency], "Not Found", 0)</f>
        <v>21</v>
      </c>
      <c r="K1942" s="16">
        <f>_xlfn.XLOOKUP(CustomerCombinedCleaned[[#This Row],[ID]], Table4[ID], Table4[Teas], "Not Found", 0)</f>
        <v>1329</v>
      </c>
      <c r="L1942" s="16">
        <f>_xlfn.XLOOKUP(CustomerCombinedCleaned[[#This Row],[ID]], Table4[ID], Table4[Fruits], "Not Found", 0)</f>
        <v>15</v>
      </c>
      <c r="M1942" s="16">
        <f>_xlfn.XLOOKUP(CustomerCombinedCleaned[[#This Row],[ID]], Table4[ID], Table4[Meats], "Not Found", 0)</f>
        <v>213</v>
      </c>
      <c r="N1942" s="16">
        <f>_xlfn.XLOOKUP(CustomerCombinedCleaned[[#This Row],[ID]], Table4[ID], Table4[Seafood], "Not Found", 0)</f>
        <v>63</v>
      </c>
      <c r="O1942" s="16">
        <f>_xlfn.XLOOKUP(CustomerCombinedCleaned[[#This Row],[ID]], Table4[ID], Table4[Sweets], "Not Found", 0)</f>
        <v>48</v>
      </c>
      <c r="P1942" s="16">
        <f>_xlfn.XLOOKUP(CustomerCombinedCleaned[[#This Row],[ID]], Table4[ID], Table4[Premium], "Not Found", 0)</f>
        <v>246</v>
      </c>
      <c r="Q1942" s="16">
        <f>_xlfn.XLOOKUP(CustomerCombinedCleaned[[#This Row],[ID]], Table4[ID], Table4[Regular], "Not Found", 0)</f>
        <v>1422</v>
      </c>
      <c r="R1942" s="16">
        <f>_xlfn.XLOOKUP(CustomerCombinedCleaned[[#This Row],[ID]], Table4[ID], Table4[Deals], "Not Found", 0)</f>
        <v>2</v>
      </c>
      <c r="S1942" s="16">
        <f>_xlfn.XLOOKUP(CustomerCombinedCleaned[[#This Row],[ID]], Table4[ID], Table4[Website], "Not Found", 0)</f>
        <v>8</v>
      </c>
      <c r="T1942" s="16">
        <f>_xlfn.XLOOKUP(CustomerCombinedCleaned[[#This Row],[ID]], Table4[ID], Table4[Catalog], "Not Found", 0)</f>
        <v>2</v>
      </c>
      <c r="U1942" s="16">
        <f>_xlfn.XLOOKUP(CustomerCombinedCleaned[[#This Row],[ID]], Table4[ID], Table4[Store], "Not Found", 0)</f>
        <v>7</v>
      </c>
      <c r="V1942" s="16">
        <f>_xlfn.XLOOKUP(CustomerCombinedCleaned[[#This Row],[ID]], Table4[ID], Table4[Visits], "Not Found", 0)</f>
        <v>7</v>
      </c>
      <c r="W1942" s="16">
        <f>_xlfn.XLOOKUP(CustomerCombinedCleaned[[#This Row],[ID]], Table2[ID],Table2[Complaint], "Not Found", 0 )</f>
        <v>0</v>
      </c>
      <c r="X1942" s="16">
        <f>_xlfn.XLOOKUP(CustomerCombinedCleaned[[#This Row],[ID]], Table2[ID],Table2[Pilot], "Not Found", 0 )</f>
        <v>0</v>
      </c>
      <c r="Y1942" s="16">
        <f>_xlfn.XLOOKUP(CustomerCombinedCleaned[[#This Row],[ID]], Table2[ID],Table2[MC1], "Not Found", 0 )</f>
        <v>0</v>
      </c>
      <c r="Z1942" s="16">
        <f>_xlfn.XLOOKUP(CustomerCombinedCleaned[[#This Row],[ID]], Table2[ID],Table2[MC2], "Not Found", 0 )</f>
        <v>0</v>
      </c>
      <c r="AA1942" s="16">
        <f>_xlfn.XLOOKUP(CustomerCombinedCleaned[[#This Row],[ID]], Table2[ID],Table2[MC3], "Not Found", 0 )</f>
        <v>0</v>
      </c>
      <c r="AB1942" s="16">
        <f>_xlfn.XLOOKUP(CustomerCombinedCleaned[[#This Row],[ID]], Table2[ID],Table2[MC4], "Not Found", 0 )</f>
        <v>0</v>
      </c>
      <c r="AC1942" s="16">
        <f>_xlfn.XLOOKUP(CustomerCombinedCleaned[[#This Row],[ID]], Table2[ID],Table2[MC5], "Not Found", 0 )</f>
        <v>0</v>
      </c>
    </row>
    <row r="1943" spans="1:29" x14ac:dyDescent="0.3">
      <c r="A1943" s="18">
        <v>2105</v>
      </c>
      <c r="B1943" s="16">
        <v>146734</v>
      </c>
      <c r="C1943" s="16">
        <v>0</v>
      </c>
      <c r="D1943" s="16">
        <v>1</v>
      </c>
      <c r="E1943" s="16">
        <v>66</v>
      </c>
      <c r="F1943" s="17" t="s">
        <v>6</v>
      </c>
      <c r="G1943" s="17" t="s">
        <v>11</v>
      </c>
      <c r="H1943" s="3" t="s">
        <v>358</v>
      </c>
      <c r="I1943" s="5" t="s">
        <v>434</v>
      </c>
      <c r="J1943" s="16">
        <f>_xlfn.XLOOKUP(CustomerCombinedCleaned[[#This Row],[ID]], Table4[ID], Table4[Recency], "Not Found", 0)</f>
        <v>40</v>
      </c>
      <c r="K1943" s="16">
        <f>_xlfn.XLOOKUP(CustomerCombinedCleaned[[#This Row],[ID]], Table4[ID], Table4[Teas], "Not Found", 0)</f>
        <v>345</v>
      </c>
      <c r="L1943" s="16">
        <f>_xlfn.XLOOKUP(CustomerCombinedCleaned[[#This Row],[ID]], Table4[ID], Table4[Fruits], "Not Found", 0)</f>
        <v>16</v>
      </c>
      <c r="M1943" s="16">
        <f>_xlfn.XLOOKUP(CustomerCombinedCleaned[[#This Row],[ID]], Table4[ID], Table4[Meats], "Not Found", 0)</f>
        <v>430</v>
      </c>
      <c r="N1943" s="16">
        <f>_xlfn.XLOOKUP(CustomerCombinedCleaned[[#This Row],[ID]], Table4[ID], Table4[Seafood], "Not Found", 0)</f>
        <v>82</v>
      </c>
      <c r="O1943" s="16">
        <f>_xlfn.XLOOKUP(CustomerCombinedCleaned[[#This Row],[ID]], Table4[ID], Table4[Sweets], "Not Found", 0)</f>
        <v>72</v>
      </c>
      <c r="P1943" s="16">
        <f>_xlfn.XLOOKUP(CustomerCombinedCleaned[[#This Row],[ID]], Table4[ID], Table4[Premium], "Not Found", 0)</f>
        <v>91</v>
      </c>
      <c r="Q1943" s="16">
        <f>_xlfn.XLOOKUP(CustomerCombinedCleaned[[#This Row],[ID]], Table4[ID], Table4[Regular], "Not Found", 0)</f>
        <v>854</v>
      </c>
      <c r="R1943" s="16">
        <f>_xlfn.XLOOKUP(CustomerCombinedCleaned[[#This Row],[ID]], Table4[ID], Table4[Deals], "Not Found", 0)</f>
        <v>2</v>
      </c>
      <c r="S1943" s="16">
        <f>_xlfn.XLOOKUP(CustomerCombinedCleaned[[#This Row],[ID]], Table4[ID], Table4[Website], "Not Found", 0)</f>
        <v>6</v>
      </c>
      <c r="T1943" s="16">
        <f>_xlfn.XLOOKUP(CustomerCombinedCleaned[[#This Row],[ID]], Table4[ID], Table4[Catalog], "Not Found", 0)</f>
        <v>1</v>
      </c>
      <c r="U1943" s="16">
        <f>_xlfn.XLOOKUP(CustomerCombinedCleaned[[#This Row],[ID]], Table4[ID], Table4[Store], "Not Found", 0)</f>
        <v>5</v>
      </c>
      <c r="V1943" s="16">
        <f>_xlfn.XLOOKUP(CustomerCombinedCleaned[[#This Row],[ID]], Table4[ID], Table4[Visits], "Not Found", 0)</f>
        <v>7</v>
      </c>
      <c r="W1943" s="16">
        <f>_xlfn.XLOOKUP(CustomerCombinedCleaned[[#This Row],[ID]], Table2[ID],Table2[Complaint], "Not Found", 0 )</f>
        <v>0</v>
      </c>
      <c r="X1943" s="16">
        <f>_xlfn.XLOOKUP(CustomerCombinedCleaned[[#This Row],[ID]], Table2[ID],Table2[Pilot], "Not Found", 0 )</f>
        <v>0</v>
      </c>
      <c r="Y1943" s="16">
        <f>_xlfn.XLOOKUP(CustomerCombinedCleaned[[#This Row],[ID]], Table2[ID],Table2[MC1], "Not Found", 0 )</f>
        <v>0</v>
      </c>
      <c r="Z1943" s="16">
        <f>_xlfn.XLOOKUP(CustomerCombinedCleaned[[#This Row],[ID]], Table2[ID],Table2[MC2], "Not Found", 0 )</f>
        <v>0</v>
      </c>
      <c r="AA1943" s="16">
        <f>_xlfn.XLOOKUP(CustomerCombinedCleaned[[#This Row],[ID]], Table2[ID],Table2[MC3], "Not Found", 0 )</f>
        <v>0</v>
      </c>
      <c r="AB1943" s="16">
        <f>_xlfn.XLOOKUP(CustomerCombinedCleaned[[#This Row],[ID]], Table2[ID],Table2[MC4], "Not Found", 0 )</f>
        <v>0</v>
      </c>
      <c r="AC1943" s="16">
        <f>_xlfn.XLOOKUP(CustomerCombinedCleaned[[#This Row],[ID]], Table2[ID],Table2[MC5], "Not Found", 0 )</f>
        <v>0</v>
      </c>
    </row>
    <row r="1944" spans="1:29" x14ac:dyDescent="0.3">
      <c r="A1944" s="18">
        <v>1002</v>
      </c>
      <c r="B1944" s="16">
        <v>146344</v>
      </c>
      <c r="C1944" s="16">
        <v>1</v>
      </c>
      <c r="D1944" s="16">
        <v>1</v>
      </c>
      <c r="E1944" s="16">
        <v>66</v>
      </c>
      <c r="F1944" s="17" t="s">
        <v>7</v>
      </c>
      <c r="G1944" s="17" t="s">
        <v>11</v>
      </c>
      <c r="H1944" s="3" t="s">
        <v>630</v>
      </c>
      <c r="I1944" s="5" t="s">
        <v>436</v>
      </c>
      <c r="J1944" s="16">
        <f>_xlfn.XLOOKUP(CustomerCombinedCleaned[[#This Row],[ID]], Table4[ID], Table4[Recency], "Not Found", 0)</f>
        <v>38</v>
      </c>
      <c r="K1944" s="16">
        <f>_xlfn.XLOOKUP(CustomerCombinedCleaned[[#This Row],[ID]], Table4[ID], Table4[Teas], "Not Found", 0)</f>
        <v>35</v>
      </c>
      <c r="L1944" s="16">
        <f>_xlfn.XLOOKUP(CustomerCombinedCleaned[[#This Row],[ID]], Table4[ID], Table4[Fruits], "Not Found", 0)</f>
        <v>3</v>
      </c>
      <c r="M1944" s="16">
        <f>_xlfn.XLOOKUP(CustomerCombinedCleaned[[#This Row],[ID]], Table4[ID], Table4[Meats], "Not Found", 0)</f>
        <v>19</v>
      </c>
      <c r="N1944" s="16">
        <f>_xlfn.XLOOKUP(CustomerCombinedCleaned[[#This Row],[ID]], Table4[ID], Table4[Seafood], "Not Found", 0)</f>
        <v>6</v>
      </c>
      <c r="O1944" s="16">
        <f>_xlfn.XLOOKUP(CustomerCombinedCleaned[[#This Row],[ID]], Table4[ID], Table4[Sweets], "Not Found", 0)</f>
        <v>3</v>
      </c>
      <c r="P1944" s="16">
        <f>_xlfn.XLOOKUP(CustomerCombinedCleaned[[#This Row],[ID]], Table4[ID], Table4[Premium], "Not Found", 0)</f>
        <v>19</v>
      </c>
      <c r="Q1944" s="16">
        <f>_xlfn.XLOOKUP(CustomerCombinedCleaned[[#This Row],[ID]], Table4[ID], Table4[Regular], "Not Found", 0)</f>
        <v>47</v>
      </c>
      <c r="R1944" s="16">
        <f>_xlfn.XLOOKUP(CustomerCombinedCleaned[[#This Row],[ID]], Table4[ID], Table4[Deals], "Not Found", 0)</f>
        <v>2</v>
      </c>
      <c r="S1944" s="16">
        <f>_xlfn.XLOOKUP(CustomerCombinedCleaned[[#This Row],[ID]], Table4[ID], Table4[Website], "Not Found", 0)</f>
        <v>1</v>
      </c>
      <c r="T1944" s="16">
        <f>_xlfn.XLOOKUP(CustomerCombinedCleaned[[#This Row],[ID]], Table4[ID], Table4[Catalog], "Not Found", 0)</f>
        <v>1</v>
      </c>
      <c r="U1944" s="16">
        <f>_xlfn.XLOOKUP(CustomerCombinedCleaned[[#This Row],[ID]], Table4[ID], Table4[Store], "Not Found", 0)</f>
        <v>2</v>
      </c>
      <c r="V1944" s="16">
        <f>_xlfn.XLOOKUP(CustomerCombinedCleaned[[#This Row],[ID]], Table4[ID], Table4[Visits], "Not Found", 0)</f>
        <v>5</v>
      </c>
      <c r="W1944" s="16">
        <f>_xlfn.XLOOKUP(CustomerCombinedCleaned[[#This Row],[ID]], Table2[ID],Table2[Complaint], "Not Found", 0 )</f>
        <v>0</v>
      </c>
      <c r="X1944" s="16">
        <f>_xlfn.XLOOKUP(CustomerCombinedCleaned[[#This Row],[ID]], Table2[ID],Table2[Pilot], "Not Found", 0 )</f>
        <v>0</v>
      </c>
      <c r="Y1944" s="16">
        <f>_xlfn.XLOOKUP(CustomerCombinedCleaned[[#This Row],[ID]], Table2[ID],Table2[MC1], "Not Found", 0 )</f>
        <v>0</v>
      </c>
      <c r="Z1944" s="16">
        <f>_xlfn.XLOOKUP(CustomerCombinedCleaned[[#This Row],[ID]], Table2[ID],Table2[MC2], "Not Found", 0 )</f>
        <v>0</v>
      </c>
      <c r="AA1944" s="16">
        <f>_xlfn.XLOOKUP(CustomerCombinedCleaned[[#This Row],[ID]], Table2[ID],Table2[MC3], "Not Found", 0 )</f>
        <v>0</v>
      </c>
      <c r="AB1944" s="16">
        <f>_xlfn.XLOOKUP(CustomerCombinedCleaned[[#This Row],[ID]], Table2[ID],Table2[MC4], "Not Found", 0 )</f>
        <v>0</v>
      </c>
      <c r="AC1944" s="16">
        <f>_xlfn.XLOOKUP(CustomerCombinedCleaned[[#This Row],[ID]], Table2[ID],Table2[MC5], "Not Found", 0 )</f>
        <v>0</v>
      </c>
    </row>
    <row r="1945" spans="1:29" x14ac:dyDescent="0.3">
      <c r="A1945" s="18">
        <v>3083</v>
      </c>
      <c r="B1945" s="16">
        <v>145736</v>
      </c>
      <c r="C1945" s="16">
        <v>0</v>
      </c>
      <c r="D1945" s="16">
        <v>1</v>
      </c>
      <c r="E1945" s="16">
        <v>66</v>
      </c>
      <c r="F1945" s="17" t="s">
        <v>6</v>
      </c>
      <c r="G1945" s="17" t="s">
        <v>12</v>
      </c>
      <c r="H1945" s="3" t="s">
        <v>212</v>
      </c>
      <c r="I1945" s="5" t="s">
        <v>434</v>
      </c>
      <c r="J1945" s="16">
        <f>_xlfn.XLOOKUP(CustomerCombinedCleaned[[#This Row],[ID]], Table4[ID], Table4[Recency], "Not Found", 0)</f>
        <v>92</v>
      </c>
      <c r="K1945" s="16">
        <f>_xlfn.XLOOKUP(CustomerCombinedCleaned[[#This Row],[ID]], Table4[ID], Table4[Teas], "Not Found", 0)</f>
        <v>599</v>
      </c>
      <c r="L1945" s="16">
        <f>_xlfn.XLOOKUP(CustomerCombinedCleaned[[#This Row],[ID]], Table4[ID], Table4[Fruits], "Not Found", 0)</f>
        <v>10</v>
      </c>
      <c r="M1945" s="16">
        <f>_xlfn.XLOOKUP(CustomerCombinedCleaned[[#This Row],[ID]], Table4[ID], Table4[Meats], "Not Found", 0)</f>
        <v>574</v>
      </c>
      <c r="N1945" s="16">
        <f>_xlfn.XLOOKUP(CustomerCombinedCleaned[[#This Row],[ID]], Table4[ID], Table4[Seafood], "Not Found", 0)</f>
        <v>64</v>
      </c>
      <c r="O1945" s="16">
        <f>_xlfn.XLOOKUP(CustomerCombinedCleaned[[#This Row],[ID]], Table4[ID], Table4[Sweets], "Not Found", 0)</f>
        <v>10</v>
      </c>
      <c r="P1945" s="16">
        <f>_xlfn.XLOOKUP(CustomerCombinedCleaned[[#This Row],[ID]], Table4[ID], Table4[Premium], "Not Found", 0)</f>
        <v>137</v>
      </c>
      <c r="Q1945" s="16">
        <f>_xlfn.XLOOKUP(CustomerCombinedCleaned[[#This Row],[ID]], Table4[ID], Table4[Regular], "Not Found", 0)</f>
        <v>1118</v>
      </c>
      <c r="R1945" s="16">
        <f>_xlfn.XLOOKUP(CustomerCombinedCleaned[[#This Row],[ID]], Table4[ID], Table4[Deals], "Not Found", 0)</f>
        <v>5</v>
      </c>
      <c r="S1945" s="16">
        <f>_xlfn.XLOOKUP(CustomerCombinedCleaned[[#This Row],[ID]], Table4[ID], Table4[Website], "Not Found", 0)</f>
        <v>7</v>
      </c>
      <c r="T1945" s="16">
        <f>_xlfn.XLOOKUP(CustomerCombinedCleaned[[#This Row],[ID]], Table4[ID], Table4[Catalog], "Not Found", 0)</f>
        <v>1</v>
      </c>
      <c r="U1945" s="16">
        <f>_xlfn.XLOOKUP(CustomerCombinedCleaned[[#This Row],[ID]], Table4[ID], Table4[Store], "Not Found", 0)</f>
        <v>6</v>
      </c>
      <c r="V1945" s="16">
        <f>_xlfn.XLOOKUP(CustomerCombinedCleaned[[#This Row],[ID]], Table4[ID], Table4[Visits], "Not Found", 0)</f>
        <v>7</v>
      </c>
      <c r="W1945" s="16">
        <f>_xlfn.XLOOKUP(CustomerCombinedCleaned[[#This Row],[ID]], Table2[ID],Table2[Complaint], "Not Found", 0 )</f>
        <v>0</v>
      </c>
      <c r="X1945" s="16">
        <f>_xlfn.XLOOKUP(CustomerCombinedCleaned[[#This Row],[ID]], Table2[ID],Table2[Pilot], "Not Found", 0 )</f>
        <v>0</v>
      </c>
      <c r="Y1945" s="16">
        <f>_xlfn.XLOOKUP(CustomerCombinedCleaned[[#This Row],[ID]], Table2[ID],Table2[MC1], "Not Found", 0 )</f>
        <v>0</v>
      </c>
      <c r="Z1945" s="16">
        <f>_xlfn.XLOOKUP(CustomerCombinedCleaned[[#This Row],[ID]], Table2[ID],Table2[MC2], "Not Found", 0 )</f>
        <v>0</v>
      </c>
      <c r="AA1945" s="16">
        <f>_xlfn.XLOOKUP(CustomerCombinedCleaned[[#This Row],[ID]], Table2[ID],Table2[MC3], "Not Found", 0 )</f>
        <v>0</v>
      </c>
      <c r="AB1945" s="16">
        <f>_xlfn.XLOOKUP(CustomerCombinedCleaned[[#This Row],[ID]], Table2[ID],Table2[MC4], "Not Found", 0 )</f>
        <v>0</v>
      </c>
      <c r="AC1945" s="16">
        <f>_xlfn.XLOOKUP(CustomerCombinedCleaned[[#This Row],[ID]], Table2[ID],Table2[MC5], "Not Found", 0 )</f>
        <v>0</v>
      </c>
    </row>
    <row r="1946" spans="1:29" x14ac:dyDescent="0.3">
      <c r="A1946" s="18">
        <v>1206</v>
      </c>
      <c r="B1946" s="16">
        <v>144551</v>
      </c>
      <c r="C1946" s="16">
        <v>0</v>
      </c>
      <c r="D1946" s="16">
        <v>1</v>
      </c>
      <c r="E1946" s="16">
        <v>66</v>
      </c>
      <c r="F1946" s="17" t="s">
        <v>9</v>
      </c>
      <c r="G1946" s="17" t="s">
        <v>12</v>
      </c>
      <c r="H1946" s="3" t="s">
        <v>651</v>
      </c>
      <c r="I1946" s="5" t="s">
        <v>436</v>
      </c>
      <c r="J1946" s="16">
        <f>_xlfn.XLOOKUP(CustomerCombinedCleaned[[#This Row],[ID]], Table4[ID], Table4[Recency], "Not Found", 0)</f>
        <v>24</v>
      </c>
      <c r="K1946" s="16">
        <f>_xlfn.XLOOKUP(CustomerCombinedCleaned[[#This Row],[ID]], Table4[ID], Table4[Teas], "Not Found", 0)</f>
        <v>591</v>
      </c>
      <c r="L1946" s="16">
        <f>_xlfn.XLOOKUP(CustomerCombinedCleaned[[#This Row],[ID]], Table4[ID], Table4[Fruits], "Not Found", 0)</f>
        <v>13</v>
      </c>
      <c r="M1946" s="16">
        <f>_xlfn.XLOOKUP(CustomerCombinedCleaned[[#This Row],[ID]], Table4[ID], Table4[Meats], "Not Found", 0)</f>
        <v>107</v>
      </c>
      <c r="N1946" s="16">
        <f>_xlfn.XLOOKUP(CustomerCombinedCleaned[[#This Row],[ID]], Table4[ID], Table4[Seafood], "Not Found", 0)</f>
        <v>0</v>
      </c>
      <c r="O1946" s="16">
        <f>_xlfn.XLOOKUP(CustomerCombinedCleaned[[#This Row],[ID]], Table4[ID], Table4[Sweets], "Not Found", 0)</f>
        <v>0</v>
      </c>
      <c r="P1946" s="16">
        <f>_xlfn.XLOOKUP(CustomerCombinedCleaned[[#This Row],[ID]], Table4[ID], Table4[Premium], "Not Found", 0)</f>
        <v>214</v>
      </c>
      <c r="Q1946" s="16">
        <f>_xlfn.XLOOKUP(CustomerCombinedCleaned[[#This Row],[ID]], Table4[ID], Table4[Regular], "Not Found", 0)</f>
        <v>496</v>
      </c>
      <c r="R1946" s="16">
        <f>_xlfn.XLOOKUP(CustomerCombinedCleaned[[#This Row],[ID]], Table4[ID], Table4[Deals], "Not Found", 0)</f>
        <v>2</v>
      </c>
      <c r="S1946" s="16">
        <f>_xlfn.XLOOKUP(CustomerCombinedCleaned[[#This Row],[ID]], Table4[ID], Table4[Website], "Not Found", 0)</f>
        <v>4</v>
      </c>
      <c r="T1946" s="16">
        <f>_xlfn.XLOOKUP(CustomerCombinedCleaned[[#This Row],[ID]], Table4[ID], Table4[Catalog], "Not Found", 0)</f>
        <v>1</v>
      </c>
      <c r="U1946" s="16">
        <f>_xlfn.XLOOKUP(CustomerCombinedCleaned[[#This Row],[ID]], Table4[ID], Table4[Store], "Not Found", 0)</f>
        <v>5</v>
      </c>
      <c r="V1946" s="16">
        <f>_xlfn.XLOOKUP(CustomerCombinedCleaned[[#This Row],[ID]], Table4[ID], Table4[Visits], "Not Found", 0)</f>
        <v>7</v>
      </c>
      <c r="W1946" s="16">
        <f>_xlfn.XLOOKUP(CustomerCombinedCleaned[[#This Row],[ID]], Table2[ID],Table2[Complaint], "Not Found", 0 )</f>
        <v>0</v>
      </c>
      <c r="X1946" s="16">
        <f>_xlfn.XLOOKUP(CustomerCombinedCleaned[[#This Row],[ID]], Table2[ID],Table2[Pilot], "Not Found", 0 )</f>
        <v>0</v>
      </c>
      <c r="Y1946" s="16">
        <f>_xlfn.XLOOKUP(CustomerCombinedCleaned[[#This Row],[ID]], Table2[ID],Table2[MC1], "Not Found", 0 )</f>
        <v>0</v>
      </c>
      <c r="Z1946" s="16">
        <f>_xlfn.XLOOKUP(CustomerCombinedCleaned[[#This Row],[ID]], Table2[ID],Table2[MC2], "Not Found", 0 )</f>
        <v>0</v>
      </c>
      <c r="AA1946" s="16">
        <f>_xlfn.XLOOKUP(CustomerCombinedCleaned[[#This Row],[ID]], Table2[ID],Table2[MC3], "Not Found", 0 )</f>
        <v>0</v>
      </c>
      <c r="AB1946" s="16">
        <f>_xlfn.XLOOKUP(CustomerCombinedCleaned[[#This Row],[ID]], Table2[ID],Table2[MC4], "Not Found", 0 )</f>
        <v>0</v>
      </c>
      <c r="AC1946" s="16">
        <f>_xlfn.XLOOKUP(CustomerCombinedCleaned[[#This Row],[ID]], Table2[ID],Table2[MC5], "Not Found", 0 )</f>
        <v>0</v>
      </c>
    </row>
    <row r="1947" spans="1:29" x14ac:dyDescent="0.3">
      <c r="A1947" s="18">
        <v>1899</v>
      </c>
      <c r="B1947" s="16">
        <v>142607</v>
      </c>
      <c r="C1947" s="16">
        <v>0</v>
      </c>
      <c r="D1947" s="16">
        <v>1</v>
      </c>
      <c r="E1947" s="16">
        <v>66</v>
      </c>
      <c r="F1947" s="17" t="s">
        <v>7</v>
      </c>
      <c r="G1947" s="17" t="s">
        <v>11</v>
      </c>
      <c r="H1947" s="3" t="s">
        <v>148</v>
      </c>
      <c r="I1947" s="5" t="s">
        <v>435</v>
      </c>
      <c r="J1947" s="16">
        <f>_xlfn.XLOOKUP(CustomerCombinedCleaned[[#This Row],[ID]], Table4[ID], Table4[Recency], "Not Found", 0)</f>
        <v>30</v>
      </c>
      <c r="K1947" s="16">
        <f>_xlfn.XLOOKUP(CustomerCombinedCleaned[[#This Row],[ID]], Table4[ID], Table4[Teas], "Not Found", 0)</f>
        <v>522</v>
      </c>
      <c r="L1947" s="16">
        <f>_xlfn.XLOOKUP(CustomerCombinedCleaned[[#This Row],[ID]], Table4[ID], Table4[Fruits], "Not Found", 0)</f>
        <v>97</v>
      </c>
      <c r="M1947" s="16">
        <f>_xlfn.XLOOKUP(CustomerCombinedCleaned[[#This Row],[ID]], Table4[ID], Table4[Meats], "Not Found", 0)</f>
        <v>187</v>
      </c>
      <c r="N1947" s="16">
        <f>_xlfn.XLOOKUP(CustomerCombinedCleaned[[#This Row],[ID]], Table4[ID], Table4[Seafood], "Not Found", 0)</f>
        <v>100</v>
      </c>
      <c r="O1947" s="16">
        <f>_xlfn.XLOOKUP(CustomerCombinedCleaned[[#This Row],[ID]], Table4[ID], Table4[Sweets], "Not Found", 0)</f>
        <v>107</v>
      </c>
      <c r="P1947" s="16">
        <f>_xlfn.XLOOKUP(CustomerCombinedCleaned[[#This Row],[ID]], Table4[ID], Table4[Premium], "Not Found", 0)</f>
        <v>157</v>
      </c>
      <c r="Q1947" s="16">
        <f>_xlfn.XLOOKUP(CustomerCombinedCleaned[[#This Row],[ID]], Table4[ID], Table4[Regular], "Not Found", 0)</f>
        <v>857</v>
      </c>
      <c r="R1947" s="16">
        <f>_xlfn.XLOOKUP(CustomerCombinedCleaned[[#This Row],[ID]], Table4[ID], Table4[Deals], "Not Found", 0)</f>
        <v>2</v>
      </c>
      <c r="S1947" s="16">
        <f>_xlfn.XLOOKUP(CustomerCombinedCleaned[[#This Row],[ID]], Table4[ID], Table4[Website], "Not Found", 0)</f>
        <v>3</v>
      </c>
      <c r="T1947" s="16">
        <f>_xlfn.XLOOKUP(CustomerCombinedCleaned[[#This Row],[ID]], Table4[ID], Table4[Catalog], "Not Found", 0)</f>
        <v>2</v>
      </c>
      <c r="U1947" s="16">
        <f>_xlfn.XLOOKUP(CustomerCombinedCleaned[[#This Row],[ID]], Table4[ID], Table4[Store], "Not Found", 0)</f>
        <v>7</v>
      </c>
      <c r="V1947" s="16">
        <f>_xlfn.XLOOKUP(CustomerCombinedCleaned[[#This Row],[ID]], Table4[ID], Table4[Visits], "Not Found", 0)</f>
        <v>3</v>
      </c>
      <c r="W1947" s="16">
        <f>_xlfn.XLOOKUP(CustomerCombinedCleaned[[#This Row],[ID]], Table2[ID],Table2[Complaint], "Not Found", 0 )</f>
        <v>0</v>
      </c>
      <c r="X1947" s="16">
        <f>_xlfn.XLOOKUP(CustomerCombinedCleaned[[#This Row],[ID]], Table2[ID],Table2[Pilot], "Not Found", 0 )</f>
        <v>0</v>
      </c>
      <c r="Y1947" s="16">
        <f>_xlfn.XLOOKUP(CustomerCombinedCleaned[[#This Row],[ID]], Table2[ID],Table2[MC1], "Not Found", 0 )</f>
        <v>0</v>
      </c>
      <c r="Z1947" s="16">
        <f>_xlfn.XLOOKUP(CustomerCombinedCleaned[[#This Row],[ID]], Table2[ID],Table2[MC2], "Not Found", 0 )</f>
        <v>0</v>
      </c>
      <c r="AA1947" s="16">
        <f>_xlfn.XLOOKUP(CustomerCombinedCleaned[[#This Row],[ID]], Table2[ID],Table2[MC3], "Not Found", 0 )</f>
        <v>0</v>
      </c>
      <c r="AB1947" s="16">
        <f>_xlfn.XLOOKUP(CustomerCombinedCleaned[[#This Row],[ID]], Table2[ID],Table2[MC4], "Not Found", 0 )</f>
        <v>0</v>
      </c>
      <c r="AC1947" s="16">
        <f>_xlfn.XLOOKUP(CustomerCombinedCleaned[[#This Row],[ID]], Table2[ID],Table2[MC5], "Not Found", 0 )</f>
        <v>0</v>
      </c>
    </row>
    <row r="1948" spans="1:29" x14ac:dyDescent="0.3">
      <c r="A1948" s="18">
        <v>2451</v>
      </c>
      <c r="B1948" s="16">
        <v>139898</v>
      </c>
      <c r="C1948" s="16">
        <v>0</v>
      </c>
      <c r="D1948" s="16">
        <v>1</v>
      </c>
      <c r="E1948" s="16">
        <v>66</v>
      </c>
      <c r="F1948" s="17" t="s">
        <v>8</v>
      </c>
      <c r="G1948" s="17" t="s">
        <v>11</v>
      </c>
      <c r="H1948" s="3" t="s">
        <v>311</v>
      </c>
      <c r="I1948" s="5" t="s">
        <v>435</v>
      </c>
      <c r="J1948" s="16">
        <f>_xlfn.XLOOKUP(CustomerCombinedCleaned[[#This Row],[ID]], Table4[ID], Table4[Recency], "Not Found", 0)</f>
        <v>20</v>
      </c>
      <c r="K1948" s="16">
        <f>_xlfn.XLOOKUP(CustomerCombinedCleaned[[#This Row],[ID]], Table4[ID], Table4[Teas], "Not Found", 0)</f>
        <v>242</v>
      </c>
      <c r="L1948" s="16">
        <f>_xlfn.XLOOKUP(CustomerCombinedCleaned[[#This Row],[ID]], Table4[ID], Table4[Fruits], "Not Found", 0)</f>
        <v>28</v>
      </c>
      <c r="M1948" s="16">
        <f>_xlfn.XLOOKUP(CustomerCombinedCleaned[[#This Row],[ID]], Table4[ID], Table4[Meats], "Not Found", 0)</f>
        <v>91</v>
      </c>
      <c r="N1948" s="16">
        <f>_xlfn.XLOOKUP(CustomerCombinedCleaned[[#This Row],[ID]], Table4[ID], Table4[Seafood], "Not Found", 0)</f>
        <v>42</v>
      </c>
      <c r="O1948" s="16">
        <f>_xlfn.XLOOKUP(CustomerCombinedCleaned[[#This Row],[ID]], Table4[ID], Table4[Sweets], "Not Found", 0)</f>
        <v>25</v>
      </c>
      <c r="P1948" s="16">
        <f>_xlfn.XLOOKUP(CustomerCombinedCleaned[[#This Row],[ID]], Table4[ID], Table4[Premium], "Not Found", 0)</f>
        <v>42</v>
      </c>
      <c r="Q1948" s="16">
        <f>_xlfn.XLOOKUP(CustomerCombinedCleaned[[#This Row],[ID]], Table4[ID], Table4[Regular], "Not Found", 0)</f>
        <v>386</v>
      </c>
      <c r="R1948" s="16">
        <f>_xlfn.XLOOKUP(CustomerCombinedCleaned[[#This Row],[ID]], Table4[ID], Table4[Deals], "Not Found", 0)</f>
        <v>2</v>
      </c>
      <c r="S1948" s="16">
        <f>_xlfn.XLOOKUP(CustomerCombinedCleaned[[#This Row],[ID]], Table4[ID], Table4[Website], "Not Found", 0)</f>
        <v>3</v>
      </c>
      <c r="T1948" s="16">
        <f>_xlfn.XLOOKUP(CustomerCombinedCleaned[[#This Row],[ID]], Table4[ID], Table4[Catalog], "Not Found", 0)</f>
        <v>0</v>
      </c>
      <c r="U1948" s="16">
        <f>_xlfn.XLOOKUP(CustomerCombinedCleaned[[#This Row],[ID]], Table4[ID], Table4[Store], "Not Found", 0)</f>
        <v>4</v>
      </c>
      <c r="V1948" s="16">
        <f>_xlfn.XLOOKUP(CustomerCombinedCleaned[[#This Row],[ID]], Table4[ID], Table4[Visits], "Not Found", 0)</f>
        <v>7</v>
      </c>
      <c r="W1948" s="16">
        <f>_xlfn.XLOOKUP(CustomerCombinedCleaned[[#This Row],[ID]], Table2[ID],Table2[Complaint], "Not Found", 0 )</f>
        <v>0</v>
      </c>
      <c r="X1948" s="16">
        <f>_xlfn.XLOOKUP(CustomerCombinedCleaned[[#This Row],[ID]], Table2[ID],Table2[Pilot], "Not Found", 0 )</f>
        <v>0</v>
      </c>
      <c r="Y1948" s="16">
        <f>_xlfn.XLOOKUP(CustomerCombinedCleaned[[#This Row],[ID]], Table2[ID],Table2[MC1], "Not Found", 0 )</f>
        <v>0</v>
      </c>
      <c r="Z1948" s="16">
        <f>_xlfn.XLOOKUP(CustomerCombinedCleaned[[#This Row],[ID]], Table2[ID],Table2[MC2], "Not Found", 0 )</f>
        <v>0</v>
      </c>
      <c r="AA1948" s="16">
        <f>_xlfn.XLOOKUP(CustomerCombinedCleaned[[#This Row],[ID]], Table2[ID],Table2[MC3], "Not Found", 0 )</f>
        <v>0</v>
      </c>
      <c r="AB1948" s="16">
        <f>_xlfn.XLOOKUP(CustomerCombinedCleaned[[#This Row],[ID]], Table2[ID],Table2[MC4], "Not Found", 0 )</f>
        <v>0</v>
      </c>
      <c r="AC1948" s="16">
        <f>_xlfn.XLOOKUP(CustomerCombinedCleaned[[#This Row],[ID]], Table2[ID],Table2[MC5], "Not Found", 0 )</f>
        <v>0</v>
      </c>
    </row>
    <row r="1949" spans="1:29" x14ac:dyDescent="0.3">
      <c r="A1949" s="18">
        <v>2924</v>
      </c>
      <c r="B1949" s="16">
        <v>139898</v>
      </c>
      <c r="C1949" s="16">
        <v>0</v>
      </c>
      <c r="D1949" s="16">
        <v>1</v>
      </c>
      <c r="E1949" s="16">
        <v>66</v>
      </c>
      <c r="F1949" s="17" t="s">
        <v>8</v>
      </c>
      <c r="G1949" s="17" t="s">
        <v>11</v>
      </c>
      <c r="H1949" s="3" t="s">
        <v>311</v>
      </c>
      <c r="I1949" s="5" t="s">
        <v>438</v>
      </c>
      <c r="J1949" s="16">
        <f>_xlfn.XLOOKUP(CustomerCombinedCleaned[[#This Row],[ID]], Table4[ID], Table4[Recency], "Not Found", 0)</f>
        <v>20</v>
      </c>
      <c r="K1949" s="16">
        <f>_xlfn.XLOOKUP(CustomerCombinedCleaned[[#This Row],[ID]], Table4[ID], Table4[Teas], "Not Found", 0)</f>
        <v>242</v>
      </c>
      <c r="L1949" s="16">
        <f>_xlfn.XLOOKUP(CustomerCombinedCleaned[[#This Row],[ID]], Table4[ID], Table4[Fruits], "Not Found", 0)</f>
        <v>28</v>
      </c>
      <c r="M1949" s="16">
        <f>_xlfn.XLOOKUP(CustomerCombinedCleaned[[#This Row],[ID]], Table4[ID], Table4[Meats], "Not Found", 0)</f>
        <v>91</v>
      </c>
      <c r="N1949" s="16">
        <f>_xlfn.XLOOKUP(CustomerCombinedCleaned[[#This Row],[ID]], Table4[ID], Table4[Seafood], "Not Found", 0)</f>
        <v>42</v>
      </c>
      <c r="O1949" s="16">
        <f>_xlfn.XLOOKUP(CustomerCombinedCleaned[[#This Row],[ID]], Table4[ID], Table4[Sweets], "Not Found", 0)</f>
        <v>25</v>
      </c>
      <c r="P1949" s="16">
        <f>_xlfn.XLOOKUP(CustomerCombinedCleaned[[#This Row],[ID]], Table4[ID], Table4[Premium], "Not Found", 0)</f>
        <v>42</v>
      </c>
      <c r="Q1949" s="16">
        <f>_xlfn.XLOOKUP(CustomerCombinedCleaned[[#This Row],[ID]], Table4[ID], Table4[Regular], "Not Found", 0)</f>
        <v>386</v>
      </c>
      <c r="R1949" s="16">
        <f>_xlfn.XLOOKUP(CustomerCombinedCleaned[[#This Row],[ID]], Table4[ID], Table4[Deals], "Not Found", 0)</f>
        <v>2</v>
      </c>
      <c r="S1949" s="16">
        <f>_xlfn.XLOOKUP(CustomerCombinedCleaned[[#This Row],[ID]], Table4[ID], Table4[Website], "Not Found", 0)</f>
        <v>3</v>
      </c>
      <c r="T1949" s="16">
        <f>_xlfn.XLOOKUP(CustomerCombinedCleaned[[#This Row],[ID]], Table4[ID], Table4[Catalog], "Not Found", 0)</f>
        <v>0</v>
      </c>
      <c r="U1949" s="16">
        <f>_xlfn.XLOOKUP(CustomerCombinedCleaned[[#This Row],[ID]], Table4[ID], Table4[Store], "Not Found", 0)</f>
        <v>4</v>
      </c>
      <c r="V1949" s="16">
        <f>_xlfn.XLOOKUP(CustomerCombinedCleaned[[#This Row],[ID]], Table4[ID], Table4[Visits], "Not Found", 0)</f>
        <v>7</v>
      </c>
      <c r="W1949" s="16">
        <f>_xlfn.XLOOKUP(CustomerCombinedCleaned[[#This Row],[ID]], Table2[ID],Table2[Complaint], "Not Found", 0 )</f>
        <v>0</v>
      </c>
      <c r="X1949" s="16">
        <f>_xlfn.XLOOKUP(CustomerCombinedCleaned[[#This Row],[ID]], Table2[ID],Table2[Pilot], "Not Found", 0 )</f>
        <v>0</v>
      </c>
      <c r="Y1949" s="16">
        <f>_xlfn.XLOOKUP(CustomerCombinedCleaned[[#This Row],[ID]], Table2[ID],Table2[MC1], "Not Found", 0 )</f>
        <v>0</v>
      </c>
      <c r="Z1949" s="16">
        <f>_xlfn.XLOOKUP(CustomerCombinedCleaned[[#This Row],[ID]], Table2[ID],Table2[MC2], "Not Found", 0 )</f>
        <v>0</v>
      </c>
      <c r="AA1949" s="16">
        <f>_xlfn.XLOOKUP(CustomerCombinedCleaned[[#This Row],[ID]], Table2[ID],Table2[MC3], "Not Found", 0 )</f>
        <v>0</v>
      </c>
      <c r="AB1949" s="16">
        <f>_xlfn.XLOOKUP(CustomerCombinedCleaned[[#This Row],[ID]], Table2[ID],Table2[MC4], "Not Found", 0 )</f>
        <v>0</v>
      </c>
      <c r="AC1949" s="16">
        <f>_xlfn.XLOOKUP(CustomerCombinedCleaned[[#This Row],[ID]], Table2[ID],Table2[MC5], "Not Found", 0 )</f>
        <v>0</v>
      </c>
    </row>
    <row r="1950" spans="1:29" x14ac:dyDescent="0.3">
      <c r="A1950" s="18">
        <v>2022</v>
      </c>
      <c r="B1950" s="16">
        <v>138998</v>
      </c>
      <c r="C1950" s="16">
        <v>1</v>
      </c>
      <c r="D1950" s="16">
        <v>1</v>
      </c>
      <c r="E1950" s="16">
        <v>66</v>
      </c>
      <c r="F1950" s="17" t="s">
        <v>6</v>
      </c>
      <c r="G1950" s="17" t="s">
        <v>11</v>
      </c>
      <c r="H1950" s="3" t="s">
        <v>742</v>
      </c>
      <c r="I1950" s="5" t="s">
        <v>436</v>
      </c>
      <c r="J1950" s="16">
        <f>_xlfn.XLOOKUP(CustomerCombinedCleaned[[#This Row],[ID]], Table4[ID], Table4[Recency], "Not Found", 0)</f>
        <v>92</v>
      </c>
      <c r="K1950" s="16">
        <f>_xlfn.XLOOKUP(CustomerCombinedCleaned[[#This Row],[ID]], Table4[ID], Table4[Teas], "Not Found", 0)</f>
        <v>121</v>
      </c>
      <c r="L1950" s="16">
        <f>_xlfn.XLOOKUP(CustomerCombinedCleaned[[#This Row],[ID]], Table4[ID], Table4[Fruits], "Not Found", 0)</f>
        <v>4</v>
      </c>
      <c r="M1950" s="16">
        <f>_xlfn.XLOOKUP(CustomerCombinedCleaned[[#This Row],[ID]], Table4[ID], Table4[Meats], "Not Found", 0)</f>
        <v>50</v>
      </c>
      <c r="N1950" s="16">
        <f>_xlfn.XLOOKUP(CustomerCombinedCleaned[[#This Row],[ID]], Table4[ID], Table4[Seafood], "Not Found", 0)</f>
        <v>0</v>
      </c>
      <c r="O1950" s="16">
        <f>_xlfn.XLOOKUP(CustomerCombinedCleaned[[#This Row],[ID]], Table4[ID], Table4[Sweets], "Not Found", 0)</f>
        <v>0</v>
      </c>
      <c r="P1950" s="16">
        <f>_xlfn.XLOOKUP(CustomerCombinedCleaned[[#This Row],[ID]], Table4[ID], Table4[Premium], "Not Found", 0)</f>
        <v>18</v>
      </c>
      <c r="Q1950" s="16">
        <f>_xlfn.XLOOKUP(CustomerCombinedCleaned[[#This Row],[ID]], Table4[ID], Table4[Regular], "Not Found", 0)</f>
        <v>157</v>
      </c>
      <c r="R1950" s="16">
        <f>_xlfn.XLOOKUP(CustomerCombinedCleaned[[#This Row],[ID]], Table4[ID], Table4[Deals], "Not Found", 0)</f>
        <v>3</v>
      </c>
      <c r="S1950" s="16">
        <f>_xlfn.XLOOKUP(CustomerCombinedCleaned[[#This Row],[ID]], Table4[ID], Table4[Website], "Not Found", 0)</f>
        <v>2</v>
      </c>
      <c r="T1950" s="16">
        <f>_xlfn.XLOOKUP(CustomerCombinedCleaned[[#This Row],[ID]], Table4[ID], Table4[Catalog], "Not Found", 0)</f>
        <v>0</v>
      </c>
      <c r="U1950" s="16">
        <f>_xlfn.XLOOKUP(CustomerCombinedCleaned[[#This Row],[ID]], Table4[ID], Table4[Store], "Not Found", 0)</f>
        <v>3</v>
      </c>
      <c r="V1950" s="16">
        <f>_xlfn.XLOOKUP(CustomerCombinedCleaned[[#This Row],[ID]], Table4[ID], Table4[Visits], "Not Found", 0)</f>
        <v>8</v>
      </c>
      <c r="W1950" s="16">
        <f>_xlfn.XLOOKUP(CustomerCombinedCleaned[[#This Row],[ID]], Table2[ID],Table2[Complaint], "Not Found", 0 )</f>
        <v>1</v>
      </c>
      <c r="X1950" s="16">
        <f>_xlfn.XLOOKUP(CustomerCombinedCleaned[[#This Row],[ID]], Table2[ID],Table2[Pilot], "Not Found", 0 )</f>
        <v>0</v>
      </c>
      <c r="Y1950" s="16">
        <f>_xlfn.XLOOKUP(CustomerCombinedCleaned[[#This Row],[ID]], Table2[ID],Table2[MC1], "Not Found", 0 )</f>
        <v>0</v>
      </c>
      <c r="Z1950" s="16">
        <f>_xlfn.XLOOKUP(CustomerCombinedCleaned[[#This Row],[ID]], Table2[ID],Table2[MC2], "Not Found", 0 )</f>
        <v>0</v>
      </c>
      <c r="AA1950" s="16">
        <f>_xlfn.XLOOKUP(CustomerCombinedCleaned[[#This Row],[ID]], Table2[ID],Table2[MC3], "Not Found", 0 )</f>
        <v>0</v>
      </c>
      <c r="AB1950" s="16">
        <f>_xlfn.XLOOKUP(CustomerCombinedCleaned[[#This Row],[ID]], Table2[ID],Table2[MC4], "Not Found", 0 )</f>
        <v>0</v>
      </c>
      <c r="AC1950" s="16">
        <f>_xlfn.XLOOKUP(CustomerCombinedCleaned[[#This Row],[ID]], Table2[ID],Table2[MC5], "Not Found", 0 )</f>
        <v>0</v>
      </c>
    </row>
    <row r="1951" spans="1:29" x14ac:dyDescent="0.3">
      <c r="A1951" s="18">
        <v>2547</v>
      </c>
      <c r="B1951" s="16">
        <v>138998</v>
      </c>
      <c r="C1951" s="16">
        <v>1</v>
      </c>
      <c r="D1951" s="16">
        <v>1</v>
      </c>
      <c r="E1951" s="16">
        <v>66</v>
      </c>
      <c r="F1951" s="17" t="s">
        <v>6</v>
      </c>
      <c r="G1951" s="17" t="s">
        <v>11</v>
      </c>
      <c r="H1951" s="3" t="s">
        <v>742</v>
      </c>
      <c r="I1951" s="5" t="s">
        <v>435</v>
      </c>
      <c r="J1951" s="16">
        <f>_xlfn.XLOOKUP(CustomerCombinedCleaned[[#This Row],[ID]], Table4[ID], Table4[Recency], "Not Found", 0)</f>
        <v>92</v>
      </c>
      <c r="K1951" s="16">
        <f>_xlfn.XLOOKUP(CustomerCombinedCleaned[[#This Row],[ID]], Table4[ID], Table4[Teas], "Not Found", 0)</f>
        <v>121</v>
      </c>
      <c r="L1951" s="16">
        <f>_xlfn.XLOOKUP(CustomerCombinedCleaned[[#This Row],[ID]], Table4[ID], Table4[Fruits], "Not Found", 0)</f>
        <v>4</v>
      </c>
      <c r="M1951" s="16">
        <f>_xlfn.XLOOKUP(CustomerCombinedCleaned[[#This Row],[ID]], Table4[ID], Table4[Meats], "Not Found", 0)</f>
        <v>50</v>
      </c>
      <c r="N1951" s="16">
        <f>_xlfn.XLOOKUP(CustomerCombinedCleaned[[#This Row],[ID]], Table4[ID], Table4[Seafood], "Not Found", 0)</f>
        <v>0</v>
      </c>
      <c r="O1951" s="16">
        <f>_xlfn.XLOOKUP(CustomerCombinedCleaned[[#This Row],[ID]], Table4[ID], Table4[Sweets], "Not Found", 0)</f>
        <v>0</v>
      </c>
      <c r="P1951" s="16">
        <f>_xlfn.XLOOKUP(CustomerCombinedCleaned[[#This Row],[ID]], Table4[ID], Table4[Premium], "Not Found", 0)</f>
        <v>18</v>
      </c>
      <c r="Q1951" s="16">
        <f>_xlfn.XLOOKUP(CustomerCombinedCleaned[[#This Row],[ID]], Table4[ID], Table4[Regular], "Not Found", 0)</f>
        <v>157</v>
      </c>
      <c r="R1951" s="16">
        <f>_xlfn.XLOOKUP(CustomerCombinedCleaned[[#This Row],[ID]], Table4[ID], Table4[Deals], "Not Found", 0)</f>
        <v>3</v>
      </c>
      <c r="S1951" s="16">
        <f>_xlfn.XLOOKUP(CustomerCombinedCleaned[[#This Row],[ID]], Table4[ID], Table4[Website], "Not Found", 0)</f>
        <v>2</v>
      </c>
      <c r="T1951" s="16">
        <f>_xlfn.XLOOKUP(CustomerCombinedCleaned[[#This Row],[ID]], Table4[ID], Table4[Catalog], "Not Found", 0)</f>
        <v>0</v>
      </c>
      <c r="U1951" s="16">
        <f>_xlfn.XLOOKUP(CustomerCombinedCleaned[[#This Row],[ID]], Table4[ID], Table4[Store], "Not Found", 0)</f>
        <v>3</v>
      </c>
      <c r="V1951" s="16">
        <f>_xlfn.XLOOKUP(CustomerCombinedCleaned[[#This Row],[ID]], Table4[ID], Table4[Visits], "Not Found", 0)</f>
        <v>8</v>
      </c>
      <c r="W1951" s="16">
        <f>_xlfn.XLOOKUP(CustomerCombinedCleaned[[#This Row],[ID]], Table2[ID],Table2[Complaint], "Not Found", 0 )</f>
        <v>1</v>
      </c>
      <c r="X1951" s="16">
        <f>_xlfn.XLOOKUP(CustomerCombinedCleaned[[#This Row],[ID]], Table2[ID],Table2[Pilot], "Not Found", 0 )</f>
        <v>0</v>
      </c>
      <c r="Y1951" s="16">
        <f>_xlfn.XLOOKUP(CustomerCombinedCleaned[[#This Row],[ID]], Table2[ID],Table2[MC1], "Not Found", 0 )</f>
        <v>0</v>
      </c>
      <c r="Z1951" s="16">
        <f>_xlfn.XLOOKUP(CustomerCombinedCleaned[[#This Row],[ID]], Table2[ID],Table2[MC2], "Not Found", 0 )</f>
        <v>0</v>
      </c>
      <c r="AA1951" s="16">
        <f>_xlfn.XLOOKUP(CustomerCombinedCleaned[[#This Row],[ID]], Table2[ID],Table2[MC3], "Not Found", 0 )</f>
        <v>0</v>
      </c>
      <c r="AB1951" s="16">
        <f>_xlfn.XLOOKUP(CustomerCombinedCleaned[[#This Row],[ID]], Table2[ID],Table2[MC4], "Not Found", 0 )</f>
        <v>0</v>
      </c>
      <c r="AC1951" s="16">
        <f>_xlfn.XLOOKUP(CustomerCombinedCleaned[[#This Row],[ID]], Table2[ID],Table2[MC5], "Not Found", 0 )</f>
        <v>0</v>
      </c>
    </row>
    <row r="1952" spans="1:29" x14ac:dyDescent="0.3">
      <c r="A1952" s="18">
        <v>1985</v>
      </c>
      <c r="B1952" s="16">
        <v>136930</v>
      </c>
      <c r="C1952" s="16">
        <v>0</v>
      </c>
      <c r="D1952" s="16">
        <v>1</v>
      </c>
      <c r="E1952" s="16">
        <v>66</v>
      </c>
      <c r="F1952" s="17" t="s">
        <v>6</v>
      </c>
      <c r="G1952" s="17" t="s">
        <v>13</v>
      </c>
      <c r="H1952" s="3" t="s">
        <v>254</v>
      </c>
      <c r="I1952" s="5" t="s">
        <v>434</v>
      </c>
      <c r="J1952" s="16">
        <f>_xlfn.XLOOKUP(CustomerCombinedCleaned[[#This Row],[ID]], Table4[ID], Table4[Recency], "Not Found", 0)</f>
        <v>50</v>
      </c>
      <c r="K1952" s="16">
        <f>_xlfn.XLOOKUP(CustomerCombinedCleaned[[#This Row],[ID]], Table4[ID], Table4[Teas], "Not Found", 0)</f>
        <v>827</v>
      </c>
      <c r="L1952" s="16">
        <f>_xlfn.XLOOKUP(CustomerCombinedCleaned[[#This Row],[ID]], Table4[ID], Table4[Fruits], "Not Found", 0)</f>
        <v>7</v>
      </c>
      <c r="M1952" s="16">
        <f>_xlfn.XLOOKUP(CustomerCombinedCleaned[[#This Row],[ID]], Table4[ID], Table4[Meats], "Not Found", 0)</f>
        <v>115</v>
      </c>
      <c r="N1952" s="16">
        <f>_xlfn.XLOOKUP(CustomerCombinedCleaned[[#This Row],[ID]], Table4[ID], Table4[Seafood], "Not Found", 0)</f>
        <v>0</v>
      </c>
      <c r="O1952" s="16">
        <f>_xlfn.XLOOKUP(CustomerCombinedCleaned[[#This Row],[ID]], Table4[ID], Table4[Sweets], "Not Found", 0)</f>
        <v>7</v>
      </c>
      <c r="P1952" s="16">
        <f>_xlfn.XLOOKUP(CustomerCombinedCleaned[[#This Row],[ID]], Table4[ID], Table4[Premium], "Not Found", 0)</f>
        <v>145</v>
      </c>
      <c r="Q1952" s="16">
        <f>_xlfn.XLOOKUP(CustomerCombinedCleaned[[#This Row],[ID]], Table4[ID], Table4[Regular], "Not Found", 0)</f>
        <v>812</v>
      </c>
      <c r="R1952" s="16">
        <f>_xlfn.XLOOKUP(CustomerCombinedCleaned[[#This Row],[ID]], Table4[ID], Table4[Deals], "Not Found", 0)</f>
        <v>5</v>
      </c>
      <c r="S1952" s="16">
        <f>_xlfn.XLOOKUP(CustomerCombinedCleaned[[#This Row],[ID]], Table4[ID], Table4[Website], "Not Found", 0)</f>
        <v>5</v>
      </c>
      <c r="T1952" s="16">
        <f>_xlfn.XLOOKUP(CustomerCombinedCleaned[[#This Row],[ID]], Table4[ID], Table4[Catalog], "Not Found", 0)</f>
        <v>2</v>
      </c>
      <c r="U1952" s="16">
        <f>_xlfn.XLOOKUP(CustomerCombinedCleaned[[#This Row],[ID]], Table4[ID], Table4[Store], "Not Found", 0)</f>
        <v>4</v>
      </c>
      <c r="V1952" s="16">
        <f>_xlfn.XLOOKUP(CustomerCombinedCleaned[[#This Row],[ID]], Table4[ID], Table4[Visits], "Not Found", 0)</f>
        <v>8</v>
      </c>
      <c r="W1952" s="16">
        <f>_xlfn.XLOOKUP(CustomerCombinedCleaned[[#This Row],[ID]], Table2[ID],Table2[Complaint], "Not Found", 0 )</f>
        <v>0</v>
      </c>
      <c r="X1952" s="16">
        <f>_xlfn.XLOOKUP(CustomerCombinedCleaned[[#This Row],[ID]], Table2[ID],Table2[Pilot], "Not Found", 0 )</f>
        <v>0</v>
      </c>
      <c r="Y1952" s="16">
        <f>_xlfn.XLOOKUP(CustomerCombinedCleaned[[#This Row],[ID]], Table2[ID],Table2[MC1], "Not Found", 0 )</f>
        <v>0</v>
      </c>
      <c r="Z1952" s="16">
        <f>_xlfn.XLOOKUP(CustomerCombinedCleaned[[#This Row],[ID]], Table2[ID],Table2[MC2], "Not Found", 0 )</f>
        <v>0</v>
      </c>
      <c r="AA1952" s="16">
        <f>_xlfn.XLOOKUP(CustomerCombinedCleaned[[#This Row],[ID]], Table2[ID],Table2[MC3], "Not Found", 0 )</f>
        <v>0</v>
      </c>
      <c r="AB1952" s="16">
        <f>_xlfn.XLOOKUP(CustomerCombinedCleaned[[#This Row],[ID]], Table2[ID],Table2[MC4], "Not Found", 0 )</f>
        <v>0</v>
      </c>
      <c r="AC1952" s="16">
        <f>_xlfn.XLOOKUP(CustomerCombinedCleaned[[#This Row],[ID]], Table2[ID],Table2[MC5], "Not Found", 0 )</f>
        <v>0</v>
      </c>
    </row>
    <row r="1953" spans="1:29" x14ac:dyDescent="0.3">
      <c r="A1953" s="18">
        <v>3183</v>
      </c>
      <c r="B1953" s="16">
        <v>136807</v>
      </c>
      <c r="C1953" s="16">
        <v>1</v>
      </c>
      <c r="D1953" s="16">
        <v>1</v>
      </c>
      <c r="E1953" s="16">
        <v>66</v>
      </c>
      <c r="F1953" s="17" t="s">
        <v>8</v>
      </c>
      <c r="G1953" s="17" t="s">
        <v>11</v>
      </c>
      <c r="H1953" s="3" t="s">
        <v>339</v>
      </c>
      <c r="I1953" s="5" t="s">
        <v>435</v>
      </c>
      <c r="J1953" s="16">
        <f>_xlfn.XLOOKUP(CustomerCombinedCleaned[[#This Row],[ID]], Table4[ID], Table4[Recency], "Not Found", 0)</f>
        <v>88</v>
      </c>
      <c r="K1953" s="16">
        <f>_xlfn.XLOOKUP(CustomerCombinedCleaned[[#This Row],[ID]], Table4[ID], Table4[Teas], "Not Found", 0)</f>
        <v>15</v>
      </c>
      <c r="L1953" s="16">
        <f>_xlfn.XLOOKUP(CustomerCombinedCleaned[[#This Row],[ID]], Table4[ID], Table4[Fruits], "Not Found", 0)</f>
        <v>7</v>
      </c>
      <c r="M1953" s="16">
        <f>_xlfn.XLOOKUP(CustomerCombinedCleaned[[#This Row],[ID]], Table4[ID], Table4[Meats], "Not Found", 0)</f>
        <v>19</v>
      </c>
      <c r="N1953" s="16">
        <f>_xlfn.XLOOKUP(CustomerCombinedCleaned[[#This Row],[ID]], Table4[ID], Table4[Seafood], "Not Found", 0)</f>
        <v>0</v>
      </c>
      <c r="O1953" s="16">
        <f>_xlfn.XLOOKUP(CustomerCombinedCleaned[[#This Row],[ID]], Table4[ID], Table4[Sweets], "Not Found", 0)</f>
        <v>0</v>
      </c>
      <c r="P1953" s="16">
        <f>_xlfn.XLOOKUP(CustomerCombinedCleaned[[#This Row],[ID]], Table4[ID], Table4[Premium], "Not Found", 0)</f>
        <v>19</v>
      </c>
      <c r="Q1953" s="16">
        <f>_xlfn.XLOOKUP(CustomerCombinedCleaned[[#This Row],[ID]], Table4[ID], Table4[Regular], "Not Found", 0)</f>
        <v>22</v>
      </c>
      <c r="R1953" s="16">
        <f>_xlfn.XLOOKUP(CustomerCombinedCleaned[[#This Row],[ID]], Table4[ID], Table4[Deals], "Not Found", 0)</f>
        <v>1</v>
      </c>
      <c r="S1953" s="16">
        <f>_xlfn.XLOOKUP(CustomerCombinedCleaned[[#This Row],[ID]], Table4[ID], Table4[Website], "Not Found", 0)</f>
        <v>1</v>
      </c>
      <c r="T1953" s="16">
        <f>_xlfn.XLOOKUP(CustomerCombinedCleaned[[#This Row],[ID]], Table4[ID], Table4[Catalog], "Not Found", 0)</f>
        <v>0</v>
      </c>
      <c r="U1953" s="16">
        <f>_xlfn.XLOOKUP(CustomerCombinedCleaned[[#This Row],[ID]], Table4[ID], Table4[Store], "Not Found", 0)</f>
        <v>2</v>
      </c>
      <c r="V1953" s="16">
        <f>_xlfn.XLOOKUP(CustomerCombinedCleaned[[#This Row],[ID]], Table4[ID], Table4[Visits], "Not Found", 0)</f>
        <v>6</v>
      </c>
      <c r="W1953" s="16">
        <f>_xlfn.XLOOKUP(CustomerCombinedCleaned[[#This Row],[ID]], Table2[ID],Table2[Complaint], "Not Found", 0 )</f>
        <v>0</v>
      </c>
      <c r="X1953" s="16">
        <f>_xlfn.XLOOKUP(CustomerCombinedCleaned[[#This Row],[ID]], Table2[ID],Table2[Pilot], "Not Found", 0 )</f>
        <v>0</v>
      </c>
      <c r="Y1953" s="16">
        <f>_xlfn.XLOOKUP(CustomerCombinedCleaned[[#This Row],[ID]], Table2[ID],Table2[MC1], "Not Found", 0 )</f>
        <v>0</v>
      </c>
      <c r="Z1953" s="16">
        <f>_xlfn.XLOOKUP(CustomerCombinedCleaned[[#This Row],[ID]], Table2[ID],Table2[MC2], "Not Found", 0 )</f>
        <v>0</v>
      </c>
      <c r="AA1953" s="16">
        <f>_xlfn.XLOOKUP(CustomerCombinedCleaned[[#This Row],[ID]], Table2[ID],Table2[MC3], "Not Found", 0 )</f>
        <v>0</v>
      </c>
      <c r="AB1953" s="16">
        <f>_xlfn.XLOOKUP(CustomerCombinedCleaned[[#This Row],[ID]], Table2[ID],Table2[MC4], "Not Found", 0 )</f>
        <v>0</v>
      </c>
      <c r="AC1953" s="16">
        <f>_xlfn.XLOOKUP(CustomerCombinedCleaned[[#This Row],[ID]], Table2[ID],Table2[MC5], "Not Found", 0 )</f>
        <v>0</v>
      </c>
    </row>
    <row r="1954" spans="1:29" x14ac:dyDescent="0.3">
      <c r="A1954" s="18">
        <v>2631</v>
      </c>
      <c r="B1954" s="16">
        <v>136634</v>
      </c>
      <c r="C1954" s="16">
        <v>0</v>
      </c>
      <c r="D1954" s="16">
        <v>1</v>
      </c>
      <c r="E1954" s="16">
        <v>66</v>
      </c>
      <c r="F1954" s="17" t="s">
        <v>8</v>
      </c>
      <c r="G1954" s="17" t="s">
        <v>12</v>
      </c>
      <c r="H1954" s="3" t="s">
        <v>590</v>
      </c>
      <c r="I1954" s="5" t="s">
        <v>435</v>
      </c>
      <c r="J1954" s="16">
        <f>_xlfn.XLOOKUP(CustomerCombinedCleaned[[#This Row],[ID]], Table4[ID], Table4[Recency], "Not Found", 0)</f>
        <v>0</v>
      </c>
      <c r="K1954" s="16">
        <f>_xlfn.XLOOKUP(CustomerCombinedCleaned[[#This Row],[ID]], Table4[ID], Table4[Teas], "Not Found", 0)</f>
        <v>794</v>
      </c>
      <c r="L1954" s="16">
        <f>_xlfn.XLOOKUP(CustomerCombinedCleaned[[#This Row],[ID]], Table4[ID], Table4[Fruits], "Not Found", 0)</f>
        <v>34</v>
      </c>
      <c r="M1954" s="16">
        <f>_xlfn.XLOOKUP(CustomerCombinedCleaned[[#This Row],[ID]], Table4[ID], Table4[Meats], "Not Found", 0)</f>
        <v>283</v>
      </c>
      <c r="N1954" s="16">
        <f>_xlfn.XLOOKUP(CustomerCombinedCleaned[[#This Row],[ID]], Table4[ID], Table4[Seafood], "Not Found", 0)</f>
        <v>15</v>
      </c>
      <c r="O1954" s="16">
        <f>_xlfn.XLOOKUP(CustomerCombinedCleaned[[#This Row],[ID]], Table4[ID], Table4[Sweets], "Not Found", 0)</f>
        <v>11</v>
      </c>
      <c r="P1954" s="16">
        <f>_xlfn.XLOOKUP(CustomerCombinedCleaned[[#This Row],[ID]], Table4[ID], Table4[Premium], "Not Found", 0)</f>
        <v>112</v>
      </c>
      <c r="Q1954" s="16">
        <f>_xlfn.XLOOKUP(CustomerCombinedCleaned[[#This Row],[ID]], Table4[ID], Table4[Regular], "Not Found", 0)</f>
        <v>1026</v>
      </c>
      <c r="R1954" s="16">
        <f>_xlfn.XLOOKUP(CustomerCombinedCleaned[[#This Row],[ID]], Table4[ID], Table4[Deals], "Not Found", 0)</f>
        <v>3</v>
      </c>
      <c r="S1954" s="16">
        <f>_xlfn.XLOOKUP(CustomerCombinedCleaned[[#This Row],[ID]], Table4[ID], Table4[Website], "Not Found", 0)</f>
        <v>5</v>
      </c>
      <c r="T1954" s="16">
        <f>_xlfn.XLOOKUP(CustomerCombinedCleaned[[#This Row],[ID]], Table4[ID], Table4[Catalog], "Not Found", 0)</f>
        <v>2</v>
      </c>
      <c r="U1954" s="16">
        <f>_xlfn.XLOOKUP(CustomerCombinedCleaned[[#This Row],[ID]], Table4[ID], Table4[Store], "Not Found", 0)</f>
        <v>5</v>
      </c>
      <c r="V1954" s="16">
        <f>_xlfn.XLOOKUP(CustomerCombinedCleaned[[#This Row],[ID]], Table4[ID], Table4[Visits], "Not Found", 0)</f>
        <v>7</v>
      </c>
      <c r="W1954" s="16">
        <f>_xlfn.XLOOKUP(CustomerCombinedCleaned[[#This Row],[ID]], Table2[ID],Table2[Complaint], "Not Found", 0 )</f>
        <v>0</v>
      </c>
      <c r="X1954" s="16">
        <f>_xlfn.XLOOKUP(CustomerCombinedCleaned[[#This Row],[ID]], Table2[ID],Table2[Pilot], "Not Found", 0 )</f>
        <v>0</v>
      </c>
      <c r="Y1954" s="16">
        <f>_xlfn.XLOOKUP(CustomerCombinedCleaned[[#This Row],[ID]], Table2[ID],Table2[MC1], "Not Found", 0 )</f>
        <v>0</v>
      </c>
      <c r="Z1954" s="16">
        <f>_xlfn.XLOOKUP(CustomerCombinedCleaned[[#This Row],[ID]], Table2[ID],Table2[MC2], "Not Found", 0 )</f>
        <v>0</v>
      </c>
      <c r="AA1954" s="16">
        <f>_xlfn.XLOOKUP(CustomerCombinedCleaned[[#This Row],[ID]], Table2[ID],Table2[MC3], "Not Found", 0 )</f>
        <v>0</v>
      </c>
      <c r="AB1954" s="16">
        <f>_xlfn.XLOOKUP(CustomerCombinedCleaned[[#This Row],[ID]], Table2[ID],Table2[MC4], "Not Found", 0 )</f>
        <v>0</v>
      </c>
      <c r="AC1954" s="16">
        <f>_xlfn.XLOOKUP(CustomerCombinedCleaned[[#This Row],[ID]], Table2[ID],Table2[MC5], "Not Found", 0 )</f>
        <v>0</v>
      </c>
    </row>
    <row r="1955" spans="1:29" x14ac:dyDescent="0.3">
      <c r="A1955" s="18">
        <v>1986</v>
      </c>
      <c r="B1955" s="16">
        <v>136130</v>
      </c>
      <c r="C1955" s="16">
        <v>0</v>
      </c>
      <c r="D1955" s="16">
        <v>1</v>
      </c>
      <c r="E1955" s="16">
        <v>66</v>
      </c>
      <c r="F1955" s="17" t="s">
        <v>7</v>
      </c>
      <c r="G1955" s="17" t="s">
        <v>11</v>
      </c>
      <c r="H1955" s="3" t="s">
        <v>634</v>
      </c>
      <c r="I1955" s="5" t="s">
        <v>436</v>
      </c>
      <c r="J1955" s="16">
        <f>_xlfn.XLOOKUP(CustomerCombinedCleaned[[#This Row],[ID]], Table4[ID], Table4[Recency], "Not Found", 0)</f>
        <v>46</v>
      </c>
      <c r="K1955" s="16">
        <f>_xlfn.XLOOKUP(CustomerCombinedCleaned[[#This Row],[ID]], Table4[ID], Table4[Teas], "Not Found", 0)</f>
        <v>592</v>
      </c>
      <c r="L1955" s="16">
        <f>_xlfn.XLOOKUP(CustomerCombinedCleaned[[#This Row],[ID]], Table4[ID], Table4[Fruits], "Not Found", 0)</f>
        <v>162</v>
      </c>
      <c r="M1955" s="16">
        <f>_xlfn.XLOOKUP(CustomerCombinedCleaned[[#This Row],[ID]], Table4[ID], Table4[Meats], "Not Found", 0)</f>
        <v>479</v>
      </c>
      <c r="N1955" s="16">
        <f>_xlfn.XLOOKUP(CustomerCombinedCleaned[[#This Row],[ID]], Table4[ID], Table4[Seafood], "Not Found", 0)</f>
        <v>256</v>
      </c>
      <c r="O1955" s="16">
        <f>_xlfn.XLOOKUP(CustomerCombinedCleaned[[#This Row],[ID]], Table4[ID], Table4[Sweets], "Not Found", 0)</f>
        <v>211</v>
      </c>
      <c r="P1955" s="16">
        <f>_xlfn.XLOOKUP(CustomerCombinedCleaned[[#This Row],[ID]], Table4[ID], Table4[Premium], "Not Found", 0)</f>
        <v>139</v>
      </c>
      <c r="Q1955" s="16">
        <f>_xlfn.XLOOKUP(CustomerCombinedCleaned[[#This Row],[ID]], Table4[ID], Table4[Regular], "Not Found", 0)</f>
        <v>1560</v>
      </c>
      <c r="R1955" s="16">
        <f>_xlfn.XLOOKUP(CustomerCombinedCleaned[[#This Row],[ID]], Table4[ID], Table4[Deals], "Not Found", 0)</f>
        <v>6</v>
      </c>
      <c r="S1955" s="16">
        <f>_xlfn.XLOOKUP(CustomerCombinedCleaned[[#This Row],[ID]], Table4[ID], Table4[Website], "Not Found", 0)</f>
        <v>3</v>
      </c>
      <c r="T1955" s="16">
        <f>_xlfn.XLOOKUP(CustomerCombinedCleaned[[#This Row],[ID]], Table4[ID], Table4[Catalog], "Not Found", 0)</f>
        <v>8</v>
      </c>
      <c r="U1955" s="16">
        <f>_xlfn.XLOOKUP(CustomerCombinedCleaned[[#This Row],[ID]], Table4[ID], Table4[Store], "Not Found", 0)</f>
        <v>4</v>
      </c>
      <c r="V1955" s="16">
        <f>_xlfn.XLOOKUP(CustomerCombinedCleaned[[#This Row],[ID]], Table4[ID], Table4[Visits], "Not Found", 0)</f>
        <v>4</v>
      </c>
      <c r="W1955" s="16">
        <f>_xlfn.XLOOKUP(CustomerCombinedCleaned[[#This Row],[ID]], Table2[ID],Table2[Complaint], "Not Found", 0 )</f>
        <v>0</v>
      </c>
      <c r="X1955" s="16">
        <f>_xlfn.XLOOKUP(CustomerCombinedCleaned[[#This Row],[ID]], Table2[ID],Table2[Pilot], "Not Found", 0 )</f>
        <v>1</v>
      </c>
      <c r="Y1955" s="16">
        <f>_xlfn.XLOOKUP(CustomerCombinedCleaned[[#This Row],[ID]], Table2[ID],Table2[MC1], "Not Found", 0 )</f>
        <v>0</v>
      </c>
      <c r="Z1955" s="16">
        <f>_xlfn.XLOOKUP(CustomerCombinedCleaned[[#This Row],[ID]], Table2[ID],Table2[MC2], "Not Found", 0 )</f>
        <v>0</v>
      </c>
      <c r="AA1955" s="16">
        <f>_xlfn.XLOOKUP(CustomerCombinedCleaned[[#This Row],[ID]], Table2[ID],Table2[MC3], "Not Found", 0 )</f>
        <v>1</v>
      </c>
      <c r="AB1955" s="16">
        <f>_xlfn.XLOOKUP(CustomerCombinedCleaned[[#This Row],[ID]], Table2[ID],Table2[MC4], "Not Found", 0 )</f>
        <v>0</v>
      </c>
      <c r="AC1955" s="16">
        <f>_xlfn.XLOOKUP(CustomerCombinedCleaned[[#This Row],[ID]], Table2[ID],Table2[MC5], "Not Found", 0 )</f>
        <v>0</v>
      </c>
    </row>
    <row r="1956" spans="1:29" x14ac:dyDescent="0.3">
      <c r="A1956" s="18">
        <v>3175</v>
      </c>
      <c r="B1956" s="16">
        <v>132144</v>
      </c>
      <c r="C1956" s="16">
        <v>1</v>
      </c>
      <c r="D1956" s="16">
        <v>1</v>
      </c>
      <c r="E1956" s="16">
        <v>66</v>
      </c>
      <c r="F1956" s="17" t="s">
        <v>8</v>
      </c>
      <c r="G1956" s="17" t="s">
        <v>11</v>
      </c>
      <c r="H1956" s="3" t="s">
        <v>78</v>
      </c>
      <c r="I1956" s="5" t="s">
        <v>437</v>
      </c>
      <c r="J1956" s="16">
        <f>_xlfn.XLOOKUP(CustomerCombinedCleaned[[#This Row],[ID]], Table4[ID], Table4[Recency], "Not Found", 0)</f>
        <v>76</v>
      </c>
      <c r="K1956" s="16">
        <f>_xlfn.XLOOKUP(CustomerCombinedCleaned[[#This Row],[ID]], Table4[ID], Table4[Teas], "Not Found", 0)</f>
        <v>169</v>
      </c>
      <c r="L1956" s="16">
        <f>_xlfn.XLOOKUP(CustomerCombinedCleaned[[#This Row],[ID]], Table4[ID], Table4[Fruits], "Not Found", 0)</f>
        <v>0</v>
      </c>
      <c r="M1956" s="16">
        <f>_xlfn.XLOOKUP(CustomerCombinedCleaned[[#This Row],[ID]], Table4[ID], Table4[Meats], "Not Found", 0)</f>
        <v>41</v>
      </c>
      <c r="N1956" s="16">
        <f>_xlfn.XLOOKUP(CustomerCombinedCleaned[[#This Row],[ID]], Table4[ID], Table4[Seafood], "Not Found", 0)</f>
        <v>0</v>
      </c>
      <c r="O1956" s="16">
        <f>_xlfn.XLOOKUP(CustomerCombinedCleaned[[#This Row],[ID]], Table4[ID], Table4[Sweets], "Not Found", 0)</f>
        <v>0</v>
      </c>
      <c r="P1956" s="16">
        <f>_xlfn.XLOOKUP(CustomerCombinedCleaned[[#This Row],[ID]], Table4[ID], Table4[Premium], "Not Found", 0)</f>
        <v>12</v>
      </c>
      <c r="Q1956" s="16">
        <f>_xlfn.XLOOKUP(CustomerCombinedCleaned[[#This Row],[ID]], Table4[ID], Table4[Regular], "Not Found", 0)</f>
        <v>197</v>
      </c>
      <c r="R1956" s="16">
        <f>_xlfn.XLOOKUP(CustomerCombinedCleaned[[#This Row],[ID]], Table4[ID], Table4[Deals], "Not Found", 0)</f>
        <v>4</v>
      </c>
      <c r="S1956" s="16">
        <f>_xlfn.XLOOKUP(CustomerCombinedCleaned[[#This Row],[ID]], Table4[ID], Table4[Website], "Not Found", 0)</f>
        <v>2</v>
      </c>
      <c r="T1956" s="16">
        <f>_xlfn.XLOOKUP(CustomerCombinedCleaned[[#This Row],[ID]], Table4[ID], Table4[Catalog], "Not Found", 0)</f>
        <v>1</v>
      </c>
      <c r="U1956" s="16">
        <f>_xlfn.XLOOKUP(CustomerCombinedCleaned[[#This Row],[ID]], Table4[ID], Table4[Store], "Not Found", 0)</f>
        <v>3</v>
      </c>
      <c r="V1956" s="16">
        <f>_xlfn.XLOOKUP(CustomerCombinedCleaned[[#This Row],[ID]], Table4[ID], Table4[Visits], "Not Found", 0)</f>
        <v>7</v>
      </c>
      <c r="W1956" s="16">
        <f>_xlfn.XLOOKUP(CustomerCombinedCleaned[[#This Row],[ID]], Table2[ID],Table2[Complaint], "Not Found", 0 )</f>
        <v>0</v>
      </c>
      <c r="X1956" s="16">
        <f>_xlfn.XLOOKUP(CustomerCombinedCleaned[[#This Row],[ID]], Table2[ID],Table2[Pilot], "Not Found", 0 )</f>
        <v>0</v>
      </c>
      <c r="Y1956" s="16">
        <f>_xlfn.XLOOKUP(CustomerCombinedCleaned[[#This Row],[ID]], Table2[ID],Table2[MC1], "Not Found", 0 )</f>
        <v>0</v>
      </c>
      <c r="Z1956" s="16">
        <f>_xlfn.XLOOKUP(CustomerCombinedCleaned[[#This Row],[ID]], Table2[ID],Table2[MC2], "Not Found", 0 )</f>
        <v>0</v>
      </c>
      <c r="AA1956" s="16">
        <f>_xlfn.XLOOKUP(CustomerCombinedCleaned[[#This Row],[ID]], Table2[ID],Table2[MC3], "Not Found", 0 )</f>
        <v>0</v>
      </c>
      <c r="AB1956" s="16">
        <f>_xlfn.XLOOKUP(CustomerCombinedCleaned[[#This Row],[ID]], Table2[ID],Table2[MC4], "Not Found", 0 )</f>
        <v>1</v>
      </c>
      <c r="AC1956" s="16">
        <f>_xlfn.XLOOKUP(CustomerCombinedCleaned[[#This Row],[ID]], Table2[ID],Table2[MC5], "Not Found", 0 )</f>
        <v>0</v>
      </c>
    </row>
    <row r="1957" spans="1:29" x14ac:dyDescent="0.3">
      <c r="A1957" s="18">
        <v>1366</v>
      </c>
      <c r="B1957" s="16">
        <v>127421</v>
      </c>
      <c r="C1957" s="16">
        <v>0</v>
      </c>
      <c r="D1957" s="16">
        <v>0</v>
      </c>
      <c r="E1957" s="16">
        <v>66</v>
      </c>
      <c r="F1957" s="17" t="s">
        <v>9</v>
      </c>
      <c r="G1957" s="17" t="s">
        <v>11</v>
      </c>
      <c r="H1957" s="3" t="s">
        <v>346</v>
      </c>
      <c r="I1957" s="5" t="s">
        <v>439</v>
      </c>
      <c r="J1957" s="16">
        <f>_xlfn.XLOOKUP(CustomerCombinedCleaned[[#This Row],[ID]], Table4[ID], Table4[Recency], "Not Found", 0)</f>
        <v>14</v>
      </c>
      <c r="K1957" s="16">
        <f>_xlfn.XLOOKUP(CustomerCombinedCleaned[[#This Row],[ID]], Table4[ID], Table4[Teas], "Not Found", 0)</f>
        <v>200</v>
      </c>
      <c r="L1957" s="16">
        <f>_xlfn.XLOOKUP(CustomerCombinedCleaned[[#This Row],[ID]], Table4[ID], Table4[Fruits], "Not Found", 0)</f>
        <v>56</v>
      </c>
      <c r="M1957" s="16">
        <f>_xlfn.XLOOKUP(CustomerCombinedCleaned[[#This Row],[ID]], Table4[ID], Table4[Meats], "Not Found", 0)</f>
        <v>446</v>
      </c>
      <c r="N1957" s="16">
        <f>_xlfn.XLOOKUP(CustomerCombinedCleaned[[#This Row],[ID]], Table4[ID], Table4[Seafood], "Not Found", 0)</f>
        <v>362</v>
      </c>
      <c r="O1957" s="16">
        <f>_xlfn.XLOOKUP(CustomerCombinedCleaned[[#This Row],[ID]], Table4[ID], Table4[Sweets], "Not Found", 0)</f>
        <v>186</v>
      </c>
      <c r="P1957" s="16">
        <f>_xlfn.XLOOKUP(CustomerCombinedCleaned[[#This Row],[ID]], Table4[ID], Table4[Premium], "Not Found", 0)</f>
        <v>256</v>
      </c>
      <c r="Q1957" s="16">
        <f>_xlfn.XLOOKUP(CustomerCombinedCleaned[[#This Row],[ID]], Table4[ID], Table4[Regular], "Not Found", 0)</f>
        <v>994</v>
      </c>
      <c r="R1957" s="16">
        <f>_xlfn.XLOOKUP(CustomerCombinedCleaned[[#This Row],[ID]], Table4[ID], Table4[Deals], "Not Found", 0)</f>
        <v>3</v>
      </c>
      <c r="S1957" s="16">
        <f>_xlfn.XLOOKUP(CustomerCombinedCleaned[[#This Row],[ID]], Table4[ID], Table4[Website], "Not Found", 0)</f>
        <v>4</v>
      </c>
      <c r="T1957" s="16">
        <f>_xlfn.XLOOKUP(CustomerCombinedCleaned[[#This Row],[ID]], Table4[ID], Table4[Catalog], "Not Found", 0)</f>
        <v>1</v>
      </c>
      <c r="U1957" s="16">
        <f>_xlfn.XLOOKUP(CustomerCombinedCleaned[[#This Row],[ID]], Table4[ID], Table4[Store], "Not Found", 0)</f>
        <v>6</v>
      </c>
      <c r="V1957" s="16">
        <f>_xlfn.XLOOKUP(CustomerCombinedCleaned[[#This Row],[ID]], Table4[ID], Table4[Visits], "Not Found", 0)</f>
        <v>7</v>
      </c>
      <c r="W1957" s="16">
        <f>_xlfn.XLOOKUP(CustomerCombinedCleaned[[#This Row],[ID]], Table2[ID],Table2[Complaint], "Not Found", 0 )</f>
        <v>0</v>
      </c>
      <c r="X1957" s="16">
        <f>_xlfn.XLOOKUP(CustomerCombinedCleaned[[#This Row],[ID]], Table2[ID],Table2[Pilot], "Not Found", 0 )</f>
        <v>0</v>
      </c>
      <c r="Y1957" s="16">
        <f>_xlfn.XLOOKUP(CustomerCombinedCleaned[[#This Row],[ID]], Table2[ID],Table2[MC1], "Not Found", 0 )</f>
        <v>0</v>
      </c>
      <c r="Z1957" s="16">
        <f>_xlfn.XLOOKUP(CustomerCombinedCleaned[[#This Row],[ID]], Table2[ID],Table2[MC2], "Not Found", 0 )</f>
        <v>0</v>
      </c>
      <c r="AA1957" s="16">
        <f>_xlfn.XLOOKUP(CustomerCombinedCleaned[[#This Row],[ID]], Table2[ID],Table2[MC3], "Not Found", 0 )</f>
        <v>0</v>
      </c>
      <c r="AB1957" s="16">
        <f>_xlfn.XLOOKUP(CustomerCombinedCleaned[[#This Row],[ID]], Table2[ID],Table2[MC4], "Not Found", 0 )</f>
        <v>0</v>
      </c>
      <c r="AC1957" s="16">
        <f>_xlfn.XLOOKUP(CustomerCombinedCleaned[[#This Row],[ID]], Table2[ID],Table2[MC5], "Not Found", 0 )</f>
        <v>0</v>
      </c>
    </row>
    <row r="1958" spans="1:29" x14ac:dyDescent="0.3">
      <c r="A1958" s="18">
        <v>1798</v>
      </c>
      <c r="B1958" s="16">
        <v>122507</v>
      </c>
      <c r="C1958" s="16">
        <v>0</v>
      </c>
      <c r="D1958" s="16">
        <v>0</v>
      </c>
      <c r="E1958" s="16">
        <v>66</v>
      </c>
      <c r="F1958" s="17" t="s">
        <v>7</v>
      </c>
      <c r="G1958" s="17" t="s">
        <v>11</v>
      </c>
      <c r="H1958" s="3" t="s">
        <v>578</v>
      </c>
      <c r="I1958" s="5" t="s">
        <v>439</v>
      </c>
      <c r="J1958" s="16">
        <f>_xlfn.XLOOKUP(CustomerCombinedCleaned[[#This Row],[ID]], Table4[ID], Table4[Recency], "Not Found", 0)</f>
        <v>67</v>
      </c>
      <c r="K1958" s="16">
        <f>_xlfn.XLOOKUP(CustomerCombinedCleaned[[#This Row],[ID]], Table4[ID], Table4[Teas], "Not Found", 0)</f>
        <v>370</v>
      </c>
      <c r="L1958" s="16">
        <f>_xlfn.XLOOKUP(CustomerCombinedCleaned[[#This Row],[ID]], Table4[ID], Table4[Fruits], "Not Found", 0)</f>
        <v>0</v>
      </c>
      <c r="M1958" s="16">
        <f>_xlfn.XLOOKUP(CustomerCombinedCleaned[[#This Row],[ID]], Table4[ID], Table4[Meats], "Not Found", 0)</f>
        <v>1230</v>
      </c>
      <c r="N1958" s="16">
        <f>_xlfn.XLOOKUP(CustomerCombinedCleaned[[#This Row],[ID]], Table4[ID], Table4[Seafood], "Not Found", 0)</f>
        <v>278</v>
      </c>
      <c r="O1958" s="16">
        <f>_xlfn.XLOOKUP(CustomerCombinedCleaned[[#This Row],[ID]], Table4[ID], Table4[Sweets], "Not Found", 0)</f>
        <v>855</v>
      </c>
      <c r="P1958" s="16">
        <f>_xlfn.XLOOKUP(CustomerCombinedCleaned[[#This Row],[ID]], Table4[ID], Table4[Premium], "Not Found", 0)</f>
        <v>370</v>
      </c>
      <c r="Q1958" s="16">
        <f>_xlfn.XLOOKUP(CustomerCombinedCleaned[[#This Row],[ID]], Table4[ID], Table4[Regular], "Not Found", 0)</f>
        <v>2362</v>
      </c>
      <c r="R1958" s="16">
        <f>_xlfn.XLOOKUP(CustomerCombinedCleaned[[#This Row],[ID]], Table4[ID], Table4[Deals], "Not Found", 0)</f>
        <v>3</v>
      </c>
      <c r="S1958" s="16">
        <f>_xlfn.XLOOKUP(CustomerCombinedCleaned[[#This Row],[ID]], Table4[ID], Table4[Website], "Not Found", 0)</f>
        <v>10</v>
      </c>
      <c r="T1958" s="16">
        <f>_xlfn.XLOOKUP(CustomerCombinedCleaned[[#This Row],[ID]], Table4[ID], Table4[Catalog], "Not Found", 0)</f>
        <v>2</v>
      </c>
      <c r="U1958" s="16">
        <f>_xlfn.XLOOKUP(CustomerCombinedCleaned[[#This Row],[ID]], Table4[ID], Table4[Store], "Not Found", 0)</f>
        <v>4</v>
      </c>
      <c r="V1958" s="16">
        <f>_xlfn.XLOOKUP(CustomerCombinedCleaned[[#This Row],[ID]], Table4[ID], Table4[Visits], "Not Found", 0)</f>
        <v>9</v>
      </c>
      <c r="W1958" s="16">
        <f>_xlfn.XLOOKUP(CustomerCombinedCleaned[[#This Row],[ID]], Table2[ID],Table2[Complaint], "Not Found", 0 )</f>
        <v>0</v>
      </c>
      <c r="X1958" s="16">
        <f>_xlfn.XLOOKUP(CustomerCombinedCleaned[[#This Row],[ID]], Table2[ID],Table2[Pilot], "Not Found", 0 )</f>
        <v>0</v>
      </c>
      <c r="Y1958" s="16">
        <f>_xlfn.XLOOKUP(CustomerCombinedCleaned[[#This Row],[ID]], Table2[ID],Table2[MC1], "Not Found", 0 )</f>
        <v>0</v>
      </c>
      <c r="Z1958" s="16">
        <f>_xlfn.XLOOKUP(CustomerCombinedCleaned[[#This Row],[ID]], Table2[ID],Table2[MC2], "Not Found", 0 )</f>
        <v>0</v>
      </c>
      <c r="AA1958" s="16">
        <f>_xlfn.XLOOKUP(CustomerCombinedCleaned[[#This Row],[ID]], Table2[ID],Table2[MC3], "Not Found", 0 )</f>
        <v>0</v>
      </c>
      <c r="AB1958" s="16">
        <f>_xlfn.XLOOKUP(CustomerCombinedCleaned[[#This Row],[ID]], Table2[ID],Table2[MC4], "Not Found", 0 )</f>
        <v>0</v>
      </c>
      <c r="AC1958" s="16">
        <f>_xlfn.XLOOKUP(CustomerCombinedCleaned[[#This Row],[ID]], Table2[ID],Table2[MC5], "Not Found", 0 )</f>
        <v>0</v>
      </c>
    </row>
    <row r="1959" spans="1:29" x14ac:dyDescent="0.3">
      <c r="A1959" s="18">
        <v>1924</v>
      </c>
      <c r="B1959" s="16">
        <v>194384</v>
      </c>
      <c r="C1959" s="16">
        <v>0</v>
      </c>
      <c r="D1959" s="16">
        <v>0</v>
      </c>
      <c r="E1959" s="16">
        <v>67</v>
      </c>
      <c r="F1959" s="17" t="s">
        <v>8</v>
      </c>
      <c r="G1959" s="17" t="s">
        <v>11</v>
      </c>
      <c r="H1959" s="3" t="s">
        <v>544</v>
      </c>
      <c r="I1959" s="5" t="s">
        <v>439</v>
      </c>
      <c r="J1959" s="16">
        <f>_xlfn.XLOOKUP(CustomerCombinedCleaned[[#This Row],[ID]], Table4[ID], Table4[Recency], "Not Found", 0)</f>
        <v>62</v>
      </c>
      <c r="K1959" s="16">
        <f>_xlfn.XLOOKUP(CustomerCombinedCleaned[[#This Row],[ID]], Table4[ID], Table4[Teas], "Not Found", 0)</f>
        <v>2288</v>
      </c>
      <c r="L1959" s="16">
        <f>_xlfn.XLOOKUP(CustomerCombinedCleaned[[#This Row],[ID]], Table4[ID], Table4[Fruits], "Not Found", 0)</f>
        <v>49</v>
      </c>
      <c r="M1959" s="16">
        <f>_xlfn.XLOOKUP(CustomerCombinedCleaned[[#This Row],[ID]], Table4[ID], Table4[Meats], "Not Found", 0)</f>
        <v>1627</v>
      </c>
      <c r="N1959" s="16">
        <f>_xlfn.XLOOKUP(CustomerCombinedCleaned[[#This Row],[ID]], Table4[ID], Table4[Seafood], "Not Found", 0)</f>
        <v>330</v>
      </c>
      <c r="O1959" s="16">
        <f>_xlfn.XLOOKUP(CustomerCombinedCleaned[[#This Row],[ID]], Table4[ID], Table4[Sweets], "Not Found", 0)</f>
        <v>93</v>
      </c>
      <c r="P1959" s="16">
        <f>_xlfn.XLOOKUP(CustomerCombinedCleaned[[#This Row],[ID]], Table4[ID], Table4[Premium], "Not Found", 0)</f>
        <v>354</v>
      </c>
      <c r="Q1959" s="16">
        <f>_xlfn.XLOOKUP(CustomerCombinedCleaned[[#This Row],[ID]], Table4[ID], Table4[Regular], "Not Found", 0)</f>
        <v>4033</v>
      </c>
      <c r="R1959" s="16">
        <f>_xlfn.XLOOKUP(CustomerCombinedCleaned[[#This Row],[ID]], Table4[ID], Table4[Deals], "Not Found", 0)</f>
        <v>0</v>
      </c>
      <c r="S1959" s="16">
        <f>_xlfn.XLOOKUP(CustomerCombinedCleaned[[#This Row],[ID]], Table4[ID], Table4[Website], "Not Found", 0)</f>
        <v>5</v>
      </c>
      <c r="T1959" s="16">
        <f>_xlfn.XLOOKUP(CustomerCombinedCleaned[[#This Row],[ID]], Table4[ID], Table4[Catalog], "Not Found", 0)</f>
        <v>8</v>
      </c>
      <c r="U1959" s="16">
        <f>_xlfn.XLOOKUP(CustomerCombinedCleaned[[#This Row],[ID]], Table4[ID], Table4[Store], "Not Found", 0)</f>
        <v>5</v>
      </c>
      <c r="V1959" s="16">
        <f>_xlfn.XLOOKUP(CustomerCombinedCleaned[[#This Row],[ID]], Table4[ID], Table4[Visits], "Not Found", 0)</f>
        <v>2</v>
      </c>
      <c r="W1959" s="16">
        <f>_xlfn.XLOOKUP(CustomerCombinedCleaned[[#This Row],[ID]], Table2[ID],Table2[Complaint], "Not Found", 0 )</f>
        <v>0</v>
      </c>
      <c r="X1959" s="16">
        <f>_xlfn.XLOOKUP(CustomerCombinedCleaned[[#This Row],[ID]], Table2[ID],Table2[Pilot], "Not Found", 0 )</f>
        <v>1</v>
      </c>
      <c r="Y1959" s="16">
        <f>_xlfn.XLOOKUP(CustomerCombinedCleaned[[#This Row],[ID]], Table2[ID],Table2[MC1], "Not Found", 0 )</f>
        <v>1</v>
      </c>
      <c r="Z1959" s="16">
        <f>_xlfn.XLOOKUP(CustomerCombinedCleaned[[#This Row],[ID]], Table2[ID],Table2[MC2], "Not Found", 0 )</f>
        <v>0</v>
      </c>
      <c r="AA1959" s="16">
        <f>_xlfn.XLOOKUP(CustomerCombinedCleaned[[#This Row],[ID]], Table2[ID],Table2[MC3], "Not Found", 0 )</f>
        <v>0</v>
      </c>
      <c r="AB1959" s="16">
        <f>_xlfn.XLOOKUP(CustomerCombinedCleaned[[#This Row],[ID]], Table2[ID],Table2[MC4], "Not Found", 0 )</f>
        <v>1</v>
      </c>
      <c r="AC1959" s="16">
        <f>_xlfn.XLOOKUP(CustomerCombinedCleaned[[#This Row],[ID]], Table2[ID],Table2[MC5], "Not Found", 0 )</f>
        <v>1</v>
      </c>
    </row>
    <row r="1960" spans="1:29" x14ac:dyDescent="0.3">
      <c r="A1960" s="18">
        <v>2281</v>
      </c>
      <c r="B1960" s="16">
        <v>194384</v>
      </c>
      <c r="C1960" s="16">
        <v>0</v>
      </c>
      <c r="D1960" s="16">
        <v>0</v>
      </c>
      <c r="E1960" s="16">
        <v>67</v>
      </c>
      <c r="F1960" s="17" t="s">
        <v>8</v>
      </c>
      <c r="G1960" s="17" t="s">
        <v>11</v>
      </c>
      <c r="H1960" s="3" t="s">
        <v>544</v>
      </c>
      <c r="I1960" s="5" t="s">
        <v>437</v>
      </c>
      <c r="J1960" s="16">
        <f>_xlfn.XLOOKUP(CustomerCombinedCleaned[[#This Row],[ID]], Table4[ID], Table4[Recency], "Not Found", 0)</f>
        <v>62</v>
      </c>
      <c r="K1960" s="16">
        <f>_xlfn.XLOOKUP(CustomerCombinedCleaned[[#This Row],[ID]], Table4[ID], Table4[Teas], "Not Found", 0)</f>
        <v>2288</v>
      </c>
      <c r="L1960" s="16">
        <f>_xlfn.XLOOKUP(CustomerCombinedCleaned[[#This Row],[ID]], Table4[ID], Table4[Fruits], "Not Found", 0)</f>
        <v>49</v>
      </c>
      <c r="M1960" s="16">
        <f>_xlfn.XLOOKUP(CustomerCombinedCleaned[[#This Row],[ID]], Table4[ID], Table4[Meats], "Not Found", 0)</f>
        <v>1627</v>
      </c>
      <c r="N1960" s="16">
        <f>_xlfn.XLOOKUP(CustomerCombinedCleaned[[#This Row],[ID]], Table4[ID], Table4[Seafood], "Not Found", 0)</f>
        <v>330</v>
      </c>
      <c r="O1960" s="16">
        <f>_xlfn.XLOOKUP(CustomerCombinedCleaned[[#This Row],[ID]], Table4[ID], Table4[Sweets], "Not Found", 0)</f>
        <v>93</v>
      </c>
      <c r="P1960" s="16">
        <f>_xlfn.XLOOKUP(CustomerCombinedCleaned[[#This Row],[ID]], Table4[ID], Table4[Premium], "Not Found", 0)</f>
        <v>354</v>
      </c>
      <c r="Q1960" s="16">
        <f>_xlfn.XLOOKUP(CustomerCombinedCleaned[[#This Row],[ID]], Table4[ID], Table4[Regular], "Not Found", 0)</f>
        <v>4033</v>
      </c>
      <c r="R1960" s="16">
        <f>_xlfn.XLOOKUP(CustomerCombinedCleaned[[#This Row],[ID]], Table4[ID], Table4[Deals], "Not Found", 0)</f>
        <v>0</v>
      </c>
      <c r="S1960" s="16">
        <f>_xlfn.XLOOKUP(CustomerCombinedCleaned[[#This Row],[ID]], Table4[ID], Table4[Website], "Not Found", 0)</f>
        <v>5</v>
      </c>
      <c r="T1960" s="16">
        <f>_xlfn.XLOOKUP(CustomerCombinedCleaned[[#This Row],[ID]], Table4[ID], Table4[Catalog], "Not Found", 0)</f>
        <v>8</v>
      </c>
      <c r="U1960" s="16">
        <f>_xlfn.XLOOKUP(CustomerCombinedCleaned[[#This Row],[ID]], Table4[ID], Table4[Store], "Not Found", 0)</f>
        <v>5</v>
      </c>
      <c r="V1960" s="16">
        <f>_xlfn.XLOOKUP(CustomerCombinedCleaned[[#This Row],[ID]], Table4[ID], Table4[Visits], "Not Found", 0)</f>
        <v>2</v>
      </c>
      <c r="W1960" s="16">
        <f>_xlfn.XLOOKUP(CustomerCombinedCleaned[[#This Row],[ID]], Table2[ID],Table2[Complaint], "Not Found", 0 )</f>
        <v>0</v>
      </c>
      <c r="X1960" s="16">
        <f>_xlfn.XLOOKUP(CustomerCombinedCleaned[[#This Row],[ID]], Table2[ID],Table2[Pilot], "Not Found", 0 )</f>
        <v>1</v>
      </c>
      <c r="Y1960" s="16">
        <f>_xlfn.XLOOKUP(CustomerCombinedCleaned[[#This Row],[ID]], Table2[ID],Table2[MC1], "Not Found", 0 )</f>
        <v>1</v>
      </c>
      <c r="Z1960" s="16">
        <f>_xlfn.XLOOKUP(CustomerCombinedCleaned[[#This Row],[ID]], Table2[ID],Table2[MC2], "Not Found", 0 )</f>
        <v>0</v>
      </c>
      <c r="AA1960" s="16">
        <f>_xlfn.XLOOKUP(CustomerCombinedCleaned[[#This Row],[ID]], Table2[ID],Table2[MC3], "Not Found", 0 )</f>
        <v>0</v>
      </c>
      <c r="AB1960" s="16">
        <f>_xlfn.XLOOKUP(CustomerCombinedCleaned[[#This Row],[ID]], Table2[ID],Table2[MC4], "Not Found", 0 )</f>
        <v>1</v>
      </c>
      <c r="AC1960" s="16">
        <f>_xlfn.XLOOKUP(CustomerCombinedCleaned[[#This Row],[ID]], Table2[ID],Table2[MC5], "Not Found", 0 )</f>
        <v>1</v>
      </c>
    </row>
    <row r="1961" spans="1:29" x14ac:dyDescent="0.3">
      <c r="A1961" s="18">
        <v>2816</v>
      </c>
      <c r="B1961" s="16">
        <v>184953</v>
      </c>
      <c r="C1961" s="16">
        <v>0</v>
      </c>
      <c r="D1961" s="16">
        <v>0</v>
      </c>
      <c r="E1961" s="16">
        <v>67</v>
      </c>
      <c r="F1961" s="17" t="s">
        <v>9</v>
      </c>
      <c r="G1961" s="17" t="s">
        <v>12</v>
      </c>
      <c r="H1961" s="3" t="s">
        <v>560</v>
      </c>
      <c r="I1961" s="5" t="s">
        <v>438</v>
      </c>
      <c r="J1961" s="16">
        <f>_xlfn.XLOOKUP(CustomerCombinedCleaned[[#This Row],[ID]], Table4[ID], Table4[Recency], "Not Found", 0)</f>
        <v>73</v>
      </c>
      <c r="K1961" s="16">
        <f>_xlfn.XLOOKUP(CustomerCombinedCleaned[[#This Row],[ID]], Table4[ID], Table4[Teas], "Not Found", 0)</f>
        <v>364</v>
      </c>
      <c r="L1961" s="16">
        <f>_xlfn.XLOOKUP(CustomerCombinedCleaned[[#This Row],[ID]], Table4[ID], Table4[Fruits], "Not Found", 0)</f>
        <v>105</v>
      </c>
      <c r="M1961" s="16">
        <f>_xlfn.XLOOKUP(CustomerCombinedCleaned[[#This Row],[ID]], Table4[ID], Table4[Meats], "Not Found", 0)</f>
        <v>1311</v>
      </c>
      <c r="N1961" s="16">
        <f>_xlfn.XLOOKUP(CustomerCombinedCleaned[[#This Row],[ID]], Table4[ID], Table4[Seafood], "Not Found", 0)</f>
        <v>137</v>
      </c>
      <c r="O1961" s="16">
        <f>_xlfn.XLOOKUP(CustomerCombinedCleaned[[#This Row],[ID]], Table4[ID], Table4[Sweets], "Not Found", 0)</f>
        <v>157</v>
      </c>
      <c r="P1961" s="16">
        <f>_xlfn.XLOOKUP(CustomerCombinedCleaned[[#This Row],[ID]], Table4[ID], Table4[Premium], "Not Found", 0)</f>
        <v>157</v>
      </c>
      <c r="Q1961" s="16">
        <f>_xlfn.XLOOKUP(CustomerCombinedCleaned[[#This Row],[ID]], Table4[ID], Table4[Regular], "Not Found", 0)</f>
        <v>1916</v>
      </c>
      <c r="R1961" s="16">
        <f>_xlfn.XLOOKUP(CustomerCombinedCleaned[[#This Row],[ID]], Table4[ID], Table4[Deals], "Not Found", 0)</f>
        <v>1</v>
      </c>
      <c r="S1961" s="16">
        <f>_xlfn.XLOOKUP(CustomerCombinedCleaned[[#This Row],[ID]], Table4[ID], Table4[Website], "Not Found", 0)</f>
        <v>3</v>
      </c>
      <c r="T1961" s="16">
        <f>_xlfn.XLOOKUP(CustomerCombinedCleaned[[#This Row],[ID]], Table4[ID], Table4[Catalog], "Not Found", 0)</f>
        <v>10</v>
      </c>
      <c r="U1961" s="16">
        <f>_xlfn.XLOOKUP(CustomerCombinedCleaned[[#This Row],[ID]], Table4[ID], Table4[Store], "Not Found", 0)</f>
        <v>4</v>
      </c>
      <c r="V1961" s="16">
        <f>_xlfn.XLOOKUP(CustomerCombinedCleaned[[#This Row],[ID]], Table4[ID], Table4[Visits], "Not Found", 0)</f>
        <v>2</v>
      </c>
      <c r="W1961" s="16">
        <f>_xlfn.XLOOKUP(CustomerCombinedCleaned[[#This Row],[ID]], Table2[ID],Table2[Complaint], "Not Found", 0 )</f>
        <v>0</v>
      </c>
      <c r="X1961" s="16">
        <f>_xlfn.XLOOKUP(CustomerCombinedCleaned[[#This Row],[ID]], Table2[ID],Table2[Pilot], "Not Found", 0 )</f>
        <v>1</v>
      </c>
      <c r="Y1961" s="16">
        <f>_xlfn.XLOOKUP(CustomerCombinedCleaned[[#This Row],[ID]], Table2[ID],Table2[MC1], "Not Found", 0 )</f>
        <v>1</v>
      </c>
      <c r="Z1961" s="16">
        <f>_xlfn.XLOOKUP(CustomerCombinedCleaned[[#This Row],[ID]], Table2[ID],Table2[MC2], "Not Found", 0 )</f>
        <v>0</v>
      </c>
      <c r="AA1961" s="16">
        <f>_xlfn.XLOOKUP(CustomerCombinedCleaned[[#This Row],[ID]], Table2[ID],Table2[MC3], "Not Found", 0 )</f>
        <v>0</v>
      </c>
      <c r="AB1961" s="16">
        <f>_xlfn.XLOOKUP(CustomerCombinedCleaned[[#This Row],[ID]], Table2[ID],Table2[MC4], "Not Found", 0 )</f>
        <v>1</v>
      </c>
      <c r="AC1961" s="16">
        <f>_xlfn.XLOOKUP(CustomerCombinedCleaned[[#This Row],[ID]], Table2[ID],Table2[MC5], "Not Found", 0 )</f>
        <v>1</v>
      </c>
    </row>
    <row r="1962" spans="1:29" x14ac:dyDescent="0.3">
      <c r="A1962" s="18">
        <v>1856</v>
      </c>
      <c r="B1962" s="16">
        <v>180812</v>
      </c>
      <c r="C1962" s="16">
        <v>0</v>
      </c>
      <c r="D1962" s="16">
        <v>0</v>
      </c>
      <c r="E1962" s="16">
        <v>67</v>
      </c>
      <c r="F1962" s="17" t="s">
        <v>8</v>
      </c>
      <c r="G1962" s="17" t="s">
        <v>11</v>
      </c>
      <c r="H1962" s="3" t="s">
        <v>182</v>
      </c>
      <c r="I1962" s="5" t="s">
        <v>438</v>
      </c>
      <c r="J1962" s="16">
        <f>_xlfn.XLOOKUP(CustomerCombinedCleaned[[#This Row],[ID]], Table4[ID], Table4[Recency], "Not Found", 0)</f>
        <v>95</v>
      </c>
      <c r="K1962" s="16">
        <f>_xlfn.XLOOKUP(CustomerCombinedCleaned[[#This Row],[ID]], Table4[ID], Table4[Teas], "Not Found", 0)</f>
        <v>1721</v>
      </c>
      <c r="L1962" s="16">
        <f>_xlfn.XLOOKUP(CustomerCombinedCleaned[[#This Row],[ID]], Table4[ID], Table4[Fruits], "Not Found", 0)</f>
        <v>49</v>
      </c>
      <c r="M1962" s="16">
        <f>_xlfn.XLOOKUP(CustomerCombinedCleaned[[#This Row],[ID]], Table4[ID], Table4[Meats], "Not Found", 0)</f>
        <v>1119</v>
      </c>
      <c r="N1962" s="16">
        <f>_xlfn.XLOOKUP(CustomerCombinedCleaned[[#This Row],[ID]], Table4[ID], Table4[Seafood], "Not Found", 0)</f>
        <v>470</v>
      </c>
      <c r="O1962" s="16">
        <f>_xlfn.XLOOKUP(CustomerCombinedCleaned[[#This Row],[ID]], Table4[ID], Table4[Sweets], "Not Found", 0)</f>
        <v>320</v>
      </c>
      <c r="P1962" s="16">
        <f>_xlfn.XLOOKUP(CustomerCombinedCleaned[[#This Row],[ID]], Table4[ID], Table4[Premium], "Not Found", 0)</f>
        <v>74</v>
      </c>
      <c r="Q1962" s="16">
        <f>_xlfn.XLOOKUP(CustomerCombinedCleaned[[#This Row],[ID]], Table4[ID], Table4[Regular], "Not Found", 0)</f>
        <v>3605</v>
      </c>
      <c r="R1962" s="16">
        <f>_xlfn.XLOOKUP(CustomerCombinedCleaned[[#This Row],[ID]], Table4[ID], Table4[Deals], "Not Found", 0)</f>
        <v>1</v>
      </c>
      <c r="S1962" s="16">
        <f>_xlfn.XLOOKUP(CustomerCombinedCleaned[[#This Row],[ID]], Table4[ID], Table4[Website], "Not Found", 0)</f>
        <v>4</v>
      </c>
      <c r="T1962" s="16">
        <f>_xlfn.XLOOKUP(CustomerCombinedCleaned[[#This Row],[ID]], Table4[ID], Table4[Catalog], "Not Found", 0)</f>
        <v>8</v>
      </c>
      <c r="U1962" s="16">
        <f>_xlfn.XLOOKUP(CustomerCombinedCleaned[[#This Row],[ID]], Table4[ID], Table4[Store], "Not Found", 0)</f>
        <v>5</v>
      </c>
      <c r="V1962" s="16">
        <f>_xlfn.XLOOKUP(CustomerCombinedCleaned[[#This Row],[ID]], Table4[ID], Table4[Visits], "Not Found", 0)</f>
        <v>2</v>
      </c>
      <c r="W1962" s="16">
        <f>_xlfn.XLOOKUP(CustomerCombinedCleaned[[#This Row],[ID]], Table2[ID],Table2[Complaint], "Not Found", 0 )</f>
        <v>0</v>
      </c>
      <c r="X1962" s="16">
        <f>_xlfn.XLOOKUP(CustomerCombinedCleaned[[#This Row],[ID]], Table2[ID],Table2[Pilot], "Not Found", 0 )</f>
        <v>0</v>
      </c>
      <c r="Y1962" s="16">
        <f>_xlfn.XLOOKUP(CustomerCombinedCleaned[[#This Row],[ID]], Table2[ID],Table2[MC1], "Not Found", 0 )</f>
        <v>1</v>
      </c>
      <c r="Z1962" s="16">
        <f>_xlfn.XLOOKUP(CustomerCombinedCleaned[[#This Row],[ID]], Table2[ID],Table2[MC2], "Not Found", 0 )</f>
        <v>0</v>
      </c>
      <c r="AA1962" s="16">
        <f>_xlfn.XLOOKUP(CustomerCombinedCleaned[[#This Row],[ID]], Table2[ID],Table2[MC3], "Not Found", 0 )</f>
        <v>1</v>
      </c>
      <c r="AB1962" s="16">
        <f>_xlfn.XLOOKUP(CustomerCombinedCleaned[[#This Row],[ID]], Table2[ID],Table2[MC4], "Not Found", 0 )</f>
        <v>0</v>
      </c>
      <c r="AC1962" s="16">
        <f>_xlfn.XLOOKUP(CustomerCombinedCleaned[[#This Row],[ID]], Table2[ID],Table2[MC5], "Not Found", 0 )</f>
        <v>1</v>
      </c>
    </row>
    <row r="1963" spans="1:29" x14ac:dyDescent="0.3">
      <c r="A1963" s="18">
        <v>1234</v>
      </c>
      <c r="B1963" s="16">
        <v>175027</v>
      </c>
      <c r="C1963" s="16">
        <v>0</v>
      </c>
      <c r="D1963" s="16">
        <v>1</v>
      </c>
      <c r="E1963" s="16">
        <v>67</v>
      </c>
      <c r="F1963" s="17" t="s">
        <v>6</v>
      </c>
      <c r="G1963" s="17" t="s">
        <v>11</v>
      </c>
      <c r="H1963" s="3" t="s">
        <v>331</v>
      </c>
      <c r="I1963" s="5" t="s">
        <v>439</v>
      </c>
      <c r="J1963" s="16">
        <f>_xlfn.XLOOKUP(CustomerCombinedCleaned[[#This Row],[ID]], Table4[ID], Table4[Recency], "Not Found", 0)</f>
        <v>74</v>
      </c>
      <c r="K1963" s="16">
        <f>_xlfn.XLOOKUP(CustomerCombinedCleaned[[#This Row],[ID]], Table4[ID], Table4[Teas], "Not Found", 0)</f>
        <v>2158</v>
      </c>
      <c r="L1963" s="16">
        <f>_xlfn.XLOOKUP(CustomerCombinedCleaned[[#This Row],[ID]], Table4[ID], Table4[Fruits], "Not Found", 0)</f>
        <v>149</v>
      </c>
      <c r="M1963" s="16">
        <f>_xlfn.XLOOKUP(CustomerCombinedCleaned[[#This Row],[ID]], Table4[ID], Table4[Meats], "Not Found", 0)</f>
        <v>418</v>
      </c>
      <c r="N1963" s="16">
        <f>_xlfn.XLOOKUP(CustomerCombinedCleaned[[#This Row],[ID]], Table4[ID], Table4[Seafood], "Not Found", 0)</f>
        <v>310</v>
      </c>
      <c r="O1963" s="16">
        <f>_xlfn.XLOOKUP(CustomerCombinedCleaned[[#This Row],[ID]], Table4[ID], Table4[Sweets], "Not Found", 0)</f>
        <v>28</v>
      </c>
      <c r="P1963" s="16">
        <f>_xlfn.XLOOKUP(CustomerCombinedCleaned[[#This Row],[ID]], Table4[ID], Table4[Premium], "Not Found", 0)</f>
        <v>180</v>
      </c>
      <c r="Q1963" s="16">
        <f>_xlfn.XLOOKUP(CustomerCombinedCleaned[[#This Row],[ID]], Table4[ID], Table4[Regular], "Not Found", 0)</f>
        <v>2883</v>
      </c>
      <c r="R1963" s="16">
        <f>_xlfn.XLOOKUP(CustomerCombinedCleaned[[#This Row],[ID]], Table4[ID], Table4[Deals], "Not Found", 0)</f>
        <v>2</v>
      </c>
      <c r="S1963" s="16">
        <f>_xlfn.XLOOKUP(CustomerCombinedCleaned[[#This Row],[ID]], Table4[ID], Table4[Website], "Not Found", 0)</f>
        <v>9</v>
      </c>
      <c r="T1963" s="16">
        <f>_xlfn.XLOOKUP(CustomerCombinedCleaned[[#This Row],[ID]], Table4[ID], Table4[Catalog], "Not Found", 0)</f>
        <v>4</v>
      </c>
      <c r="U1963" s="16">
        <f>_xlfn.XLOOKUP(CustomerCombinedCleaned[[#This Row],[ID]], Table4[ID], Table4[Store], "Not Found", 0)</f>
        <v>6</v>
      </c>
      <c r="V1963" s="16">
        <f>_xlfn.XLOOKUP(CustomerCombinedCleaned[[#This Row],[ID]], Table4[ID], Table4[Visits], "Not Found", 0)</f>
        <v>5</v>
      </c>
      <c r="W1963" s="16">
        <f>_xlfn.XLOOKUP(CustomerCombinedCleaned[[#This Row],[ID]], Table2[ID],Table2[Complaint], "Not Found", 0 )</f>
        <v>0</v>
      </c>
      <c r="X1963" s="16">
        <f>_xlfn.XLOOKUP(CustomerCombinedCleaned[[#This Row],[ID]], Table2[ID],Table2[Pilot], "Not Found", 0 )</f>
        <v>0</v>
      </c>
      <c r="Y1963" s="16">
        <f>_xlfn.XLOOKUP(CustomerCombinedCleaned[[#This Row],[ID]], Table2[ID],Table2[MC1], "Not Found", 0 )</f>
        <v>0</v>
      </c>
      <c r="Z1963" s="16">
        <f>_xlfn.XLOOKUP(CustomerCombinedCleaned[[#This Row],[ID]], Table2[ID],Table2[MC2], "Not Found", 0 )</f>
        <v>0</v>
      </c>
      <c r="AA1963" s="16">
        <f>_xlfn.XLOOKUP(CustomerCombinedCleaned[[#This Row],[ID]], Table2[ID],Table2[MC3], "Not Found", 0 )</f>
        <v>0</v>
      </c>
      <c r="AB1963" s="16">
        <f>_xlfn.XLOOKUP(CustomerCombinedCleaned[[#This Row],[ID]], Table2[ID],Table2[MC4], "Not Found", 0 )</f>
        <v>0</v>
      </c>
      <c r="AC1963" s="16">
        <f>_xlfn.XLOOKUP(CustomerCombinedCleaned[[#This Row],[ID]], Table2[ID],Table2[MC5], "Not Found", 0 )</f>
        <v>0</v>
      </c>
    </row>
    <row r="1964" spans="1:29" x14ac:dyDescent="0.3">
      <c r="A1964" s="18">
        <v>2428</v>
      </c>
      <c r="B1964" s="16">
        <v>173892</v>
      </c>
      <c r="C1964" s="16">
        <v>0</v>
      </c>
      <c r="D1964" s="16">
        <v>0</v>
      </c>
      <c r="E1964" s="16">
        <v>67</v>
      </c>
      <c r="F1964" s="17" t="s">
        <v>7</v>
      </c>
      <c r="G1964" s="17" t="s">
        <v>11</v>
      </c>
      <c r="H1964" s="3" t="s">
        <v>151</v>
      </c>
      <c r="I1964" s="5" t="s">
        <v>439</v>
      </c>
      <c r="J1964" s="16">
        <f>_xlfn.XLOOKUP(CustomerCombinedCleaned[[#This Row],[ID]], Table4[ID], Table4[Recency], "Not Found", 0)</f>
        <v>40</v>
      </c>
      <c r="K1964" s="16">
        <f>_xlfn.XLOOKUP(CustomerCombinedCleaned[[#This Row],[ID]], Table4[ID], Table4[Teas], "Not Found", 0)</f>
        <v>1654</v>
      </c>
      <c r="L1964" s="16">
        <f>_xlfn.XLOOKUP(CustomerCombinedCleaned[[#This Row],[ID]], Table4[ID], Table4[Fruits], "Not Found", 0)</f>
        <v>240</v>
      </c>
      <c r="M1964" s="16">
        <f>_xlfn.XLOOKUP(CustomerCombinedCleaned[[#This Row],[ID]], Table4[ID], Table4[Meats], "Not Found", 0)</f>
        <v>1414</v>
      </c>
      <c r="N1964" s="16">
        <f>_xlfn.XLOOKUP(CustomerCombinedCleaned[[#This Row],[ID]], Table4[ID], Table4[Seafood], "Not Found", 0)</f>
        <v>0</v>
      </c>
      <c r="O1964" s="16">
        <f>_xlfn.XLOOKUP(CustomerCombinedCleaned[[#This Row],[ID]], Table4[ID], Table4[Sweets], "Not Found", 0)</f>
        <v>136</v>
      </c>
      <c r="P1964" s="16">
        <f>_xlfn.XLOOKUP(CustomerCombinedCleaned[[#This Row],[ID]], Table4[ID], Table4[Premium], "Not Found", 0)</f>
        <v>101</v>
      </c>
      <c r="Q1964" s="16">
        <f>_xlfn.XLOOKUP(CustomerCombinedCleaned[[#This Row],[ID]], Table4[ID], Table4[Regular], "Not Found", 0)</f>
        <v>3344</v>
      </c>
      <c r="R1964" s="16">
        <f>_xlfn.XLOOKUP(CustomerCombinedCleaned[[#This Row],[ID]], Table4[ID], Table4[Deals], "Not Found", 0)</f>
        <v>1</v>
      </c>
      <c r="S1964" s="16">
        <f>_xlfn.XLOOKUP(CustomerCombinedCleaned[[#This Row],[ID]], Table4[ID], Table4[Website], "Not Found", 0)</f>
        <v>3</v>
      </c>
      <c r="T1964" s="16">
        <f>_xlfn.XLOOKUP(CustomerCombinedCleaned[[#This Row],[ID]], Table4[ID], Table4[Catalog], "Not Found", 0)</f>
        <v>11</v>
      </c>
      <c r="U1964" s="16">
        <f>_xlfn.XLOOKUP(CustomerCombinedCleaned[[#This Row],[ID]], Table4[ID], Table4[Store], "Not Found", 0)</f>
        <v>8</v>
      </c>
      <c r="V1964" s="16">
        <f>_xlfn.XLOOKUP(CustomerCombinedCleaned[[#This Row],[ID]], Table4[ID], Table4[Visits], "Not Found", 0)</f>
        <v>1</v>
      </c>
      <c r="W1964" s="16">
        <f>_xlfn.XLOOKUP(CustomerCombinedCleaned[[#This Row],[ID]], Table2[ID],Table2[Complaint], "Not Found", 0 )</f>
        <v>0</v>
      </c>
      <c r="X1964" s="16">
        <f>_xlfn.XLOOKUP(CustomerCombinedCleaned[[#This Row],[ID]], Table2[ID],Table2[Pilot], "Not Found", 0 )</f>
        <v>1</v>
      </c>
      <c r="Y1964" s="16">
        <f>_xlfn.XLOOKUP(CustomerCombinedCleaned[[#This Row],[ID]], Table2[ID],Table2[MC1], "Not Found", 0 )</f>
        <v>0</v>
      </c>
      <c r="Z1964" s="16">
        <f>_xlfn.XLOOKUP(CustomerCombinedCleaned[[#This Row],[ID]], Table2[ID],Table2[MC2], "Not Found", 0 )</f>
        <v>0</v>
      </c>
      <c r="AA1964" s="16">
        <f>_xlfn.XLOOKUP(CustomerCombinedCleaned[[#This Row],[ID]], Table2[ID],Table2[MC3], "Not Found", 0 )</f>
        <v>0</v>
      </c>
      <c r="AB1964" s="16">
        <f>_xlfn.XLOOKUP(CustomerCombinedCleaned[[#This Row],[ID]], Table2[ID],Table2[MC4], "Not Found", 0 )</f>
        <v>0</v>
      </c>
      <c r="AC1964" s="16">
        <f>_xlfn.XLOOKUP(CustomerCombinedCleaned[[#This Row],[ID]], Table2[ID],Table2[MC5], "Not Found", 0 )</f>
        <v>0</v>
      </c>
    </row>
    <row r="1965" spans="1:29" x14ac:dyDescent="0.3">
      <c r="A1965" s="18">
        <v>1507</v>
      </c>
      <c r="B1965" s="16">
        <v>170503</v>
      </c>
      <c r="C1965" s="16">
        <v>0</v>
      </c>
      <c r="D1965" s="16">
        <v>0</v>
      </c>
      <c r="E1965" s="16">
        <v>67</v>
      </c>
      <c r="F1965" s="17" t="s">
        <v>6</v>
      </c>
      <c r="G1965" s="17" t="s">
        <v>11</v>
      </c>
      <c r="H1965" s="3" t="s">
        <v>666</v>
      </c>
      <c r="I1965" s="5" t="s">
        <v>437</v>
      </c>
      <c r="J1965" s="16">
        <f>_xlfn.XLOOKUP(CustomerCombinedCleaned[[#This Row],[ID]], Table4[ID], Table4[Recency], "Not Found", 0)</f>
        <v>73</v>
      </c>
      <c r="K1965" s="16">
        <f>_xlfn.XLOOKUP(CustomerCombinedCleaned[[#This Row],[ID]], Table4[ID], Table4[Teas], "Not Found", 0)</f>
        <v>3335</v>
      </c>
      <c r="L1965" s="16">
        <f>_xlfn.XLOOKUP(CustomerCombinedCleaned[[#This Row],[ID]], Table4[ID], Table4[Fruits], "Not Found", 0)</f>
        <v>80</v>
      </c>
      <c r="M1965" s="16">
        <f>_xlfn.XLOOKUP(CustomerCombinedCleaned[[#This Row],[ID]], Table4[ID], Table4[Meats], "Not Found", 0)</f>
        <v>522</v>
      </c>
      <c r="N1965" s="16">
        <f>_xlfn.XLOOKUP(CustomerCombinedCleaned[[#This Row],[ID]], Table4[ID], Table4[Seafood], "Not Found", 0)</f>
        <v>0</v>
      </c>
      <c r="O1965" s="16">
        <f>_xlfn.XLOOKUP(CustomerCombinedCleaned[[#This Row],[ID]], Table4[ID], Table4[Sweets], "Not Found", 0)</f>
        <v>80</v>
      </c>
      <c r="P1965" s="16">
        <f>_xlfn.XLOOKUP(CustomerCombinedCleaned[[#This Row],[ID]], Table4[ID], Table4[Premium], "Not Found", 0)</f>
        <v>160</v>
      </c>
      <c r="Q1965" s="16">
        <f>_xlfn.XLOOKUP(CustomerCombinedCleaned[[#This Row],[ID]], Table4[ID], Table4[Regular], "Not Found", 0)</f>
        <v>3857</v>
      </c>
      <c r="R1965" s="16">
        <f>_xlfn.XLOOKUP(CustomerCombinedCleaned[[#This Row],[ID]], Table4[ID], Table4[Deals], "Not Found", 0)</f>
        <v>1</v>
      </c>
      <c r="S1965" s="16">
        <f>_xlfn.XLOOKUP(CustomerCombinedCleaned[[#This Row],[ID]], Table4[ID], Table4[Website], "Not Found", 0)</f>
        <v>2</v>
      </c>
      <c r="T1965" s="16">
        <f>_xlfn.XLOOKUP(CustomerCombinedCleaned[[#This Row],[ID]], Table4[ID], Table4[Catalog], "Not Found", 0)</f>
        <v>4</v>
      </c>
      <c r="U1965" s="16">
        <f>_xlfn.XLOOKUP(CustomerCombinedCleaned[[#This Row],[ID]], Table4[ID], Table4[Store], "Not Found", 0)</f>
        <v>9</v>
      </c>
      <c r="V1965" s="16">
        <f>_xlfn.XLOOKUP(CustomerCombinedCleaned[[#This Row],[ID]], Table4[ID], Table4[Visits], "Not Found", 0)</f>
        <v>6</v>
      </c>
      <c r="W1965" s="16">
        <f>_xlfn.XLOOKUP(CustomerCombinedCleaned[[#This Row],[ID]], Table2[ID],Table2[Complaint], "Not Found", 0 )</f>
        <v>0</v>
      </c>
      <c r="X1965" s="16">
        <f>_xlfn.XLOOKUP(CustomerCombinedCleaned[[#This Row],[ID]], Table2[ID],Table2[Pilot], "Not Found", 0 )</f>
        <v>0</v>
      </c>
      <c r="Y1965" s="16">
        <f>_xlfn.XLOOKUP(CustomerCombinedCleaned[[#This Row],[ID]], Table2[ID],Table2[MC1], "Not Found", 0 )</f>
        <v>0</v>
      </c>
      <c r="Z1965" s="16">
        <f>_xlfn.XLOOKUP(CustomerCombinedCleaned[[#This Row],[ID]], Table2[ID],Table2[MC2], "Not Found", 0 )</f>
        <v>0</v>
      </c>
      <c r="AA1965" s="16">
        <f>_xlfn.XLOOKUP(CustomerCombinedCleaned[[#This Row],[ID]], Table2[ID],Table2[MC3], "Not Found", 0 )</f>
        <v>0</v>
      </c>
      <c r="AB1965" s="16">
        <f>_xlfn.XLOOKUP(CustomerCombinedCleaned[[#This Row],[ID]], Table2[ID],Table2[MC4], "Not Found", 0 )</f>
        <v>1</v>
      </c>
      <c r="AC1965" s="16">
        <f>_xlfn.XLOOKUP(CustomerCombinedCleaned[[#This Row],[ID]], Table2[ID],Table2[MC5], "Not Found", 0 )</f>
        <v>1</v>
      </c>
    </row>
    <row r="1966" spans="1:29" x14ac:dyDescent="0.3">
      <c r="A1966" s="18">
        <v>1257</v>
      </c>
      <c r="B1966" s="16">
        <v>169267</v>
      </c>
      <c r="C1966" s="16">
        <v>0</v>
      </c>
      <c r="D1966" s="16">
        <v>0</v>
      </c>
      <c r="E1966" s="16">
        <v>67</v>
      </c>
      <c r="F1966" s="17" t="s">
        <v>7</v>
      </c>
      <c r="G1966" s="17" t="s">
        <v>11</v>
      </c>
      <c r="H1966" s="3" t="s">
        <v>389</v>
      </c>
      <c r="I1966" s="5" t="s">
        <v>435</v>
      </c>
      <c r="J1966" s="16">
        <f>_xlfn.XLOOKUP(CustomerCombinedCleaned[[#This Row],[ID]], Table4[ID], Table4[Recency], "Not Found", 0)</f>
        <v>31</v>
      </c>
      <c r="K1966" s="16">
        <f>_xlfn.XLOOKUP(CustomerCombinedCleaned[[#This Row],[ID]], Table4[ID], Table4[Teas], "Not Found", 0)</f>
        <v>1901</v>
      </c>
      <c r="L1966" s="16">
        <f>_xlfn.XLOOKUP(CustomerCombinedCleaned[[#This Row],[ID]], Table4[ID], Table4[Fruits], "Not Found", 0)</f>
        <v>108</v>
      </c>
      <c r="M1966" s="16">
        <f>_xlfn.XLOOKUP(CustomerCombinedCleaned[[#This Row],[ID]], Table4[ID], Table4[Meats], "Not Found", 0)</f>
        <v>1219</v>
      </c>
      <c r="N1966" s="16">
        <f>_xlfn.XLOOKUP(CustomerCombinedCleaned[[#This Row],[ID]], Table4[ID], Table4[Seafood], "Not Found", 0)</f>
        <v>232</v>
      </c>
      <c r="O1966" s="16">
        <f>_xlfn.XLOOKUP(CustomerCombinedCleaned[[#This Row],[ID]], Table4[ID], Table4[Sweets], "Not Found", 0)</f>
        <v>178</v>
      </c>
      <c r="P1966" s="16">
        <f>_xlfn.XLOOKUP(CustomerCombinedCleaned[[#This Row],[ID]], Table4[ID], Table4[Premium], "Not Found", 0)</f>
        <v>357</v>
      </c>
      <c r="Q1966" s="16">
        <f>_xlfn.XLOOKUP(CustomerCombinedCleaned[[#This Row],[ID]], Table4[ID], Table4[Regular], "Not Found", 0)</f>
        <v>3282</v>
      </c>
      <c r="R1966" s="16">
        <f>_xlfn.XLOOKUP(CustomerCombinedCleaned[[#This Row],[ID]], Table4[ID], Table4[Deals], "Not Found", 0)</f>
        <v>2</v>
      </c>
      <c r="S1966" s="16">
        <f>_xlfn.XLOOKUP(CustomerCombinedCleaned[[#This Row],[ID]], Table4[ID], Table4[Website], "Not Found", 0)</f>
        <v>3</v>
      </c>
      <c r="T1966" s="16">
        <f>_xlfn.XLOOKUP(CustomerCombinedCleaned[[#This Row],[ID]], Table4[ID], Table4[Catalog], "Not Found", 0)</f>
        <v>4</v>
      </c>
      <c r="U1966" s="16">
        <f>_xlfn.XLOOKUP(CustomerCombinedCleaned[[#This Row],[ID]], Table4[ID], Table4[Store], "Not Found", 0)</f>
        <v>5</v>
      </c>
      <c r="V1966" s="16">
        <f>_xlfn.XLOOKUP(CustomerCombinedCleaned[[#This Row],[ID]], Table4[ID], Table4[Visits], "Not Found", 0)</f>
        <v>7</v>
      </c>
      <c r="W1966" s="16">
        <f>_xlfn.XLOOKUP(CustomerCombinedCleaned[[#This Row],[ID]], Table2[ID],Table2[Complaint], "Not Found", 0 )</f>
        <v>0</v>
      </c>
      <c r="X1966" s="16">
        <f>_xlfn.XLOOKUP(CustomerCombinedCleaned[[#This Row],[ID]], Table2[ID],Table2[Pilot], "Not Found", 0 )</f>
        <v>1</v>
      </c>
      <c r="Y1966" s="16">
        <f>_xlfn.XLOOKUP(CustomerCombinedCleaned[[#This Row],[ID]], Table2[ID],Table2[MC1], "Not Found", 0 )</f>
        <v>0</v>
      </c>
      <c r="Z1966" s="16">
        <f>_xlfn.XLOOKUP(CustomerCombinedCleaned[[#This Row],[ID]], Table2[ID],Table2[MC2], "Not Found", 0 )</f>
        <v>0</v>
      </c>
      <c r="AA1966" s="16">
        <f>_xlfn.XLOOKUP(CustomerCombinedCleaned[[#This Row],[ID]], Table2[ID],Table2[MC3], "Not Found", 0 )</f>
        <v>0</v>
      </c>
      <c r="AB1966" s="16">
        <f>_xlfn.XLOOKUP(CustomerCombinedCleaned[[#This Row],[ID]], Table2[ID],Table2[MC4], "Not Found", 0 )</f>
        <v>0</v>
      </c>
      <c r="AC1966" s="16">
        <f>_xlfn.XLOOKUP(CustomerCombinedCleaned[[#This Row],[ID]], Table2[ID],Table2[MC5], "Not Found", 0 )</f>
        <v>0</v>
      </c>
    </row>
    <row r="1967" spans="1:29" x14ac:dyDescent="0.3">
      <c r="A1967" s="18">
        <v>2383</v>
      </c>
      <c r="B1967" s="16">
        <v>167087</v>
      </c>
      <c r="C1967" s="16">
        <v>0</v>
      </c>
      <c r="D1967" s="16">
        <v>1</v>
      </c>
      <c r="E1967" s="16">
        <v>67</v>
      </c>
      <c r="F1967" s="17" t="s">
        <v>6</v>
      </c>
      <c r="G1967" s="17" t="s">
        <v>12</v>
      </c>
      <c r="H1967" s="3" t="s">
        <v>131</v>
      </c>
      <c r="I1967" s="5" t="s">
        <v>437</v>
      </c>
      <c r="J1967" s="16">
        <f>_xlfn.XLOOKUP(CustomerCombinedCleaned[[#This Row],[ID]], Table4[ID], Table4[Recency], "Not Found", 0)</f>
        <v>40</v>
      </c>
      <c r="K1967" s="16">
        <f>_xlfn.XLOOKUP(CustomerCombinedCleaned[[#This Row],[ID]], Table4[ID], Table4[Teas], "Not Found", 0)</f>
        <v>819</v>
      </c>
      <c r="L1967" s="16">
        <f>_xlfn.XLOOKUP(CustomerCombinedCleaned[[#This Row],[ID]], Table4[ID], Table4[Fruits], "Not Found", 0)</f>
        <v>87</v>
      </c>
      <c r="M1967" s="16">
        <f>_xlfn.XLOOKUP(CustomerCombinedCleaned[[#This Row],[ID]], Table4[ID], Table4[Meats], "Not Found", 0)</f>
        <v>553</v>
      </c>
      <c r="N1967" s="16">
        <f>_xlfn.XLOOKUP(CustomerCombinedCleaned[[#This Row],[ID]], Table4[ID], Table4[Seafood], "Not Found", 0)</f>
        <v>324</v>
      </c>
      <c r="O1967" s="16">
        <f>_xlfn.XLOOKUP(CustomerCombinedCleaned[[#This Row],[ID]], Table4[ID], Table4[Sweets], "Not Found", 0)</f>
        <v>87</v>
      </c>
      <c r="P1967" s="16">
        <f>_xlfn.XLOOKUP(CustomerCombinedCleaned[[#This Row],[ID]], Table4[ID], Table4[Premium], "Not Found", 0)</f>
        <v>107</v>
      </c>
      <c r="Q1967" s="16">
        <f>_xlfn.XLOOKUP(CustomerCombinedCleaned[[#This Row],[ID]], Table4[ID], Table4[Regular], "Not Found", 0)</f>
        <v>1763</v>
      </c>
      <c r="R1967" s="16">
        <f>_xlfn.XLOOKUP(CustomerCombinedCleaned[[#This Row],[ID]], Table4[ID], Table4[Deals], "Not Found", 0)</f>
        <v>2</v>
      </c>
      <c r="S1967" s="16">
        <f>_xlfn.XLOOKUP(CustomerCombinedCleaned[[#This Row],[ID]], Table4[ID], Table4[Website], "Not Found", 0)</f>
        <v>7</v>
      </c>
      <c r="T1967" s="16">
        <f>_xlfn.XLOOKUP(CustomerCombinedCleaned[[#This Row],[ID]], Table4[ID], Table4[Catalog], "Not Found", 0)</f>
        <v>5</v>
      </c>
      <c r="U1967" s="16">
        <f>_xlfn.XLOOKUP(CustomerCombinedCleaned[[#This Row],[ID]], Table4[ID], Table4[Store], "Not Found", 0)</f>
        <v>8</v>
      </c>
      <c r="V1967" s="16">
        <f>_xlfn.XLOOKUP(CustomerCombinedCleaned[[#This Row],[ID]], Table4[ID], Table4[Visits], "Not Found", 0)</f>
        <v>4</v>
      </c>
      <c r="W1967" s="16">
        <f>_xlfn.XLOOKUP(CustomerCombinedCleaned[[#This Row],[ID]], Table2[ID],Table2[Complaint], "Not Found", 0 )</f>
        <v>0</v>
      </c>
      <c r="X1967" s="16">
        <f>_xlfn.XLOOKUP(CustomerCombinedCleaned[[#This Row],[ID]], Table2[ID],Table2[Pilot], "Not Found", 0 )</f>
        <v>0</v>
      </c>
      <c r="Y1967" s="16">
        <f>_xlfn.XLOOKUP(CustomerCombinedCleaned[[#This Row],[ID]], Table2[ID],Table2[MC1], "Not Found", 0 )</f>
        <v>0</v>
      </c>
      <c r="Z1967" s="16">
        <f>_xlfn.XLOOKUP(CustomerCombinedCleaned[[#This Row],[ID]], Table2[ID],Table2[MC2], "Not Found", 0 )</f>
        <v>0</v>
      </c>
      <c r="AA1967" s="16">
        <f>_xlfn.XLOOKUP(CustomerCombinedCleaned[[#This Row],[ID]], Table2[ID],Table2[MC3], "Not Found", 0 )</f>
        <v>0</v>
      </c>
      <c r="AB1967" s="16">
        <f>_xlfn.XLOOKUP(CustomerCombinedCleaned[[#This Row],[ID]], Table2[ID],Table2[MC4], "Not Found", 0 )</f>
        <v>0</v>
      </c>
      <c r="AC1967" s="16">
        <f>_xlfn.XLOOKUP(CustomerCombinedCleaned[[#This Row],[ID]], Table2[ID],Table2[MC5], "Not Found", 0 )</f>
        <v>0</v>
      </c>
    </row>
    <row r="1968" spans="1:29" x14ac:dyDescent="0.3">
      <c r="A1968" s="18">
        <v>1987</v>
      </c>
      <c r="B1968" s="16">
        <v>165569</v>
      </c>
      <c r="C1968" s="16">
        <v>0</v>
      </c>
      <c r="D1968" s="16">
        <v>1</v>
      </c>
      <c r="E1968" s="16">
        <v>67</v>
      </c>
      <c r="F1968" s="17" t="s">
        <v>6</v>
      </c>
      <c r="G1968" s="17" t="s">
        <v>12</v>
      </c>
      <c r="H1968" s="3" t="s">
        <v>667</v>
      </c>
      <c r="I1968" s="5" t="s">
        <v>437</v>
      </c>
      <c r="J1968" s="16">
        <f>_xlfn.XLOOKUP(CustomerCombinedCleaned[[#This Row],[ID]], Table4[ID], Table4[Recency], "Not Found", 0)</f>
        <v>96</v>
      </c>
      <c r="K1968" s="16">
        <f>_xlfn.XLOOKUP(CustomerCombinedCleaned[[#This Row],[ID]], Table4[ID], Table4[Teas], "Not Found", 0)</f>
        <v>1002</v>
      </c>
      <c r="L1968" s="16">
        <f>_xlfn.XLOOKUP(CustomerCombinedCleaned[[#This Row],[ID]], Table4[ID], Table4[Fruits], "Not Found", 0)</f>
        <v>116</v>
      </c>
      <c r="M1968" s="16">
        <f>_xlfn.XLOOKUP(CustomerCombinedCleaned[[#This Row],[ID]], Table4[ID], Table4[Meats], "Not Found", 0)</f>
        <v>727</v>
      </c>
      <c r="N1968" s="16">
        <f>_xlfn.XLOOKUP(CustomerCombinedCleaned[[#This Row],[ID]], Table4[ID], Table4[Seafood], "Not Found", 0)</f>
        <v>51</v>
      </c>
      <c r="O1968" s="16">
        <f>_xlfn.XLOOKUP(CustomerCombinedCleaned[[#This Row],[ID]], Table4[ID], Table4[Sweets], "Not Found", 0)</f>
        <v>96</v>
      </c>
      <c r="P1968" s="16">
        <f>_xlfn.XLOOKUP(CustomerCombinedCleaned[[#This Row],[ID]], Table4[ID], Table4[Premium], "Not Found", 0)</f>
        <v>177</v>
      </c>
      <c r="Q1968" s="16">
        <f>_xlfn.XLOOKUP(CustomerCombinedCleaned[[#This Row],[ID]], Table4[ID], Table4[Regular], "Not Found", 0)</f>
        <v>1816</v>
      </c>
      <c r="R1968" s="16">
        <f>_xlfn.XLOOKUP(CustomerCombinedCleaned[[#This Row],[ID]], Table4[ID], Table4[Deals], "Not Found", 0)</f>
        <v>2</v>
      </c>
      <c r="S1968" s="16">
        <f>_xlfn.XLOOKUP(CustomerCombinedCleaned[[#This Row],[ID]], Table4[ID], Table4[Website], "Not Found", 0)</f>
        <v>6</v>
      </c>
      <c r="T1968" s="16">
        <f>_xlfn.XLOOKUP(CustomerCombinedCleaned[[#This Row],[ID]], Table4[ID], Table4[Catalog], "Not Found", 0)</f>
        <v>5</v>
      </c>
      <c r="U1968" s="16">
        <f>_xlfn.XLOOKUP(CustomerCombinedCleaned[[#This Row],[ID]], Table4[ID], Table4[Store], "Not Found", 0)</f>
        <v>10</v>
      </c>
      <c r="V1968" s="16">
        <f>_xlfn.XLOOKUP(CustomerCombinedCleaned[[#This Row],[ID]], Table4[ID], Table4[Visits], "Not Found", 0)</f>
        <v>3</v>
      </c>
      <c r="W1968" s="16">
        <f>_xlfn.XLOOKUP(CustomerCombinedCleaned[[#This Row],[ID]], Table2[ID],Table2[Complaint], "Not Found", 0 )</f>
        <v>0</v>
      </c>
      <c r="X1968" s="16">
        <f>_xlfn.XLOOKUP(CustomerCombinedCleaned[[#This Row],[ID]], Table2[ID],Table2[Pilot], "Not Found", 0 )</f>
        <v>0</v>
      </c>
      <c r="Y1968" s="16">
        <f>_xlfn.XLOOKUP(CustomerCombinedCleaned[[#This Row],[ID]], Table2[ID],Table2[MC1], "Not Found", 0 )</f>
        <v>0</v>
      </c>
      <c r="Z1968" s="16">
        <f>_xlfn.XLOOKUP(CustomerCombinedCleaned[[#This Row],[ID]], Table2[ID],Table2[MC2], "Not Found", 0 )</f>
        <v>0</v>
      </c>
      <c r="AA1968" s="16">
        <f>_xlfn.XLOOKUP(CustomerCombinedCleaned[[#This Row],[ID]], Table2[ID],Table2[MC3], "Not Found", 0 )</f>
        <v>0</v>
      </c>
      <c r="AB1968" s="16">
        <f>_xlfn.XLOOKUP(CustomerCombinedCleaned[[#This Row],[ID]], Table2[ID],Table2[MC4], "Not Found", 0 )</f>
        <v>0</v>
      </c>
      <c r="AC1968" s="16">
        <f>_xlfn.XLOOKUP(CustomerCombinedCleaned[[#This Row],[ID]], Table2[ID],Table2[MC5], "Not Found", 0 )</f>
        <v>0</v>
      </c>
    </row>
    <row r="1969" spans="1:29" x14ac:dyDescent="0.3">
      <c r="A1969" s="18">
        <v>2003</v>
      </c>
      <c r="B1969" s="16">
        <v>164504</v>
      </c>
      <c r="C1969" s="16">
        <v>1</v>
      </c>
      <c r="D1969" s="16">
        <v>2</v>
      </c>
      <c r="E1969" s="16">
        <v>67</v>
      </c>
      <c r="F1969" s="17" t="s">
        <v>8</v>
      </c>
      <c r="G1969" s="17" t="s">
        <v>13</v>
      </c>
      <c r="H1969" s="3" t="s">
        <v>544</v>
      </c>
      <c r="I1969" s="5" t="s">
        <v>434</v>
      </c>
      <c r="J1969" s="16">
        <f>_xlfn.XLOOKUP(CustomerCombinedCleaned[[#This Row],[ID]], Table4[ID], Table4[Recency], "Not Found", 0)</f>
        <v>81</v>
      </c>
      <c r="K1969" s="16">
        <f>_xlfn.XLOOKUP(CustomerCombinedCleaned[[#This Row],[ID]], Table4[ID], Table4[Teas], "Not Found", 0)</f>
        <v>2515</v>
      </c>
      <c r="L1969" s="16">
        <f>_xlfn.XLOOKUP(CustomerCombinedCleaned[[#This Row],[ID]], Table4[ID], Table4[Fruits], "Not Found", 0)</f>
        <v>92</v>
      </c>
      <c r="M1969" s="16">
        <f>_xlfn.XLOOKUP(CustomerCombinedCleaned[[#This Row],[ID]], Table4[ID], Table4[Meats], "Not Found", 0)</f>
        <v>428</v>
      </c>
      <c r="N1969" s="16">
        <f>_xlfn.XLOOKUP(CustomerCombinedCleaned[[#This Row],[ID]], Table4[ID], Table4[Seafood], "Not Found", 0)</f>
        <v>41</v>
      </c>
      <c r="O1969" s="16">
        <f>_xlfn.XLOOKUP(CustomerCombinedCleaned[[#This Row],[ID]], Table4[ID], Table4[Sweets], "Not Found", 0)</f>
        <v>0</v>
      </c>
      <c r="P1969" s="16">
        <f>_xlfn.XLOOKUP(CustomerCombinedCleaned[[#This Row],[ID]], Table4[ID], Table4[Premium], "Not Found", 0)</f>
        <v>275</v>
      </c>
      <c r="Q1969" s="16">
        <f>_xlfn.XLOOKUP(CustomerCombinedCleaned[[#This Row],[ID]], Table4[ID], Table4[Regular], "Not Found", 0)</f>
        <v>2800</v>
      </c>
      <c r="R1969" s="16">
        <f>_xlfn.XLOOKUP(CustomerCombinedCleaned[[#This Row],[ID]], Table4[ID], Table4[Deals], "Not Found", 0)</f>
        <v>7</v>
      </c>
      <c r="S1969" s="16">
        <f>_xlfn.XLOOKUP(CustomerCombinedCleaned[[#This Row],[ID]], Table4[ID], Table4[Website], "Not Found", 0)</f>
        <v>11</v>
      </c>
      <c r="T1969" s="16">
        <f>_xlfn.XLOOKUP(CustomerCombinedCleaned[[#This Row],[ID]], Table4[ID], Table4[Catalog], "Not Found", 0)</f>
        <v>3</v>
      </c>
      <c r="U1969" s="16">
        <f>_xlfn.XLOOKUP(CustomerCombinedCleaned[[#This Row],[ID]], Table4[ID], Table4[Store], "Not Found", 0)</f>
        <v>4</v>
      </c>
      <c r="V1969" s="16">
        <f>_xlfn.XLOOKUP(CustomerCombinedCleaned[[#This Row],[ID]], Table4[ID], Table4[Visits], "Not Found", 0)</f>
        <v>7</v>
      </c>
      <c r="W1969" s="16">
        <f>_xlfn.XLOOKUP(CustomerCombinedCleaned[[#This Row],[ID]], Table2[ID],Table2[Complaint], "Not Found", 0 )</f>
        <v>0</v>
      </c>
      <c r="X1969" s="16">
        <f>_xlfn.XLOOKUP(CustomerCombinedCleaned[[#This Row],[ID]], Table2[ID],Table2[Pilot], "Not Found", 0 )</f>
        <v>1</v>
      </c>
      <c r="Y1969" s="16">
        <f>_xlfn.XLOOKUP(CustomerCombinedCleaned[[#This Row],[ID]], Table2[ID],Table2[MC1], "Not Found", 0 )</f>
        <v>0</v>
      </c>
      <c r="Z1969" s="16">
        <f>_xlfn.XLOOKUP(CustomerCombinedCleaned[[#This Row],[ID]], Table2[ID],Table2[MC2], "Not Found", 0 )</f>
        <v>0</v>
      </c>
      <c r="AA1969" s="16">
        <f>_xlfn.XLOOKUP(CustomerCombinedCleaned[[#This Row],[ID]], Table2[ID],Table2[MC3], "Not Found", 0 )</f>
        <v>0</v>
      </c>
      <c r="AB1969" s="16">
        <f>_xlfn.XLOOKUP(CustomerCombinedCleaned[[#This Row],[ID]], Table2[ID],Table2[MC4], "Not Found", 0 )</f>
        <v>0</v>
      </c>
      <c r="AC1969" s="16">
        <f>_xlfn.XLOOKUP(CustomerCombinedCleaned[[#This Row],[ID]], Table2[ID],Table2[MC5], "Not Found", 0 )</f>
        <v>0</v>
      </c>
    </row>
    <row r="1970" spans="1:29" x14ac:dyDescent="0.3">
      <c r="A1970" s="18">
        <v>1721</v>
      </c>
      <c r="B1970" s="16">
        <v>164108</v>
      </c>
      <c r="C1970" s="16">
        <v>0</v>
      </c>
      <c r="D1970" s="16">
        <v>1</v>
      </c>
      <c r="E1970" s="16">
        <v>67</v>
      </c>
      <c r="F1970" s="17" t="s">
        <v>7</v>
      </c>
      <c r="G1970" s="17" t="s">
        <v>13</v>
      </c>
      <c r="H1970" s="3" t="s">
        <v>285</v>
      </c>
      <c r="I1970" s="5" t="s">
        <v>434</v>
      </c>
      <c r="J1970" s="16">
        <f>_xlfn.XLOOKUP(CustomerCombinedCleaned[[#This Row],[ID]], Table4[ID], Table4[Recency], "Not Found", 0)</f>
        <v>8</v>
      </c>
      <c r="K1970" s="16">
        <f>_xlfn.XLOOKUP(CustomerCombinedCleaned[[#This Row],[ID]], Table4[ID], Table4[Teas], "Not Found", 0)</f>
        <v>2427</v>
      </c>
      <c r="L1970" s="16">
        <f>_xlfn.XLOOKUP(CustomerCombinedCleaned[[#This Row],[ID]], Table4[ID], Table4[Fruits], "Not Found", 0)</f>
        <v>26</v>
      </c>
      <c r="M1970" s="16">
        <f>_xlfn.XLOOKUP(CustomerCombinedCleaned[[#This Row],[ID]], Table4[ID], Table4[Meats], "Not Found", 0)</f>
        <v>220</v>
      </c>
      <c r="N1970" s="16">
        <f>_xlfn.XLOOKUP(CustomerCombinedCleaned[[#This Row],[ID]], Table4[ID], Table4[Seafood], "Not Found", 0)</f>
        <v>33</v>
      </c>
      <c r="O1970" s="16">
        <f>_xlfn.XLOOKUP(CustomerCombinedCleaned[[#This Row],[ID]], Table4[ID], Table4[Sweets], "Not Found", 0)</f>
        <v>54</v>
      </c>
      <c r="P1970" s="16">
        <f>_xlfn.XLOOKUP(CustomerCombinedCleaned[[#This Row],[ID]], Table4[ID], Table4[Premium], "Not Found", 0)</f>
        <v>54</v>
      </c>
      <c r="Q1970" s="16">
        <f>_xlfn.XLOOKUP(CustomerCombinedCleaned[[#This Row],[ID]], Table4[ID], Table4[Regular], "Not Found", 0)</f>
        <v>2706</v>
      </c>
      <c r="R1970" s="16">
        <f>_xlfn.XLOOKUP(CustomerCombinedCleaned[[#This Row],[ID]], Table4[ID], Table4[Deals], "Not Found", 0)</f>
        <v>4</v>
      </c>
      <c r="S1970" s="16">
        <f>_xlfn.XLOOKUP(CustomerCombinedCleaned[[#This Row],[ID]], Table4[ID], Table4[Website], "Not Found", 0)</f>
        <v>6</v>
      </c>
      <c r="T1970" s="16">
        <f>_xlfn.XLOOKUP(CustomerCombinedCleaned[[#This Row],[ID]], Table4[ID], Table4[Catalog], "Not Found", 0)</f>
        <v>9</v>
      </c>
      <c r="U1970" s="16">
        <f>_xlfn.XLOOKUP(CustomerCombinedCleaned[[#This Row],[ID]], Table4[ID], Table4[Store], "Not Found", 0)</f>
        <v>11</v>
      </c>
      <c r="V1970" s="16">
        <f>_xlfn.XLOOKUP(CustomerCombinedCleaned[[#This Row],[ID]], Table4[ID], Table4[Visits], "Not Found", 0)</f>
        <v>5</v>
      </c>
      <c r="W1970" s="16">
        <f>_xlfn.XLOOKUP(CustomerCombinedCleaned[[#This Row],[ID]], Table2[ID],Table2[Complaint], "Not Found", 0 )</f>
        <v>0</v>
      </c>
      <c r="X1970" s="16">
        <f>_xlfn.XLOOKUP(CustomerCombinedCleaned[[#This Row],[ID]], Table2[ID],Table2[Pilot], "Not Found", 0 )</f>
        <v>0</v>
      </c>
      <c r="Y1970" s="16">
        <f>_xlfn.XLOOKUP(CustomerCombinedCleaned[[#This Row],[ID]], Table2[ID],Table2[MC1], "Not Found", 0 )</f>
        <v>0</v>
      </c>
      <c r="Z1970" s="16">
        <f>_xlfn.XLOOKUP(CustomerCombinedCleaned[[#This Row],[ID]], Table2[ID],Table2[MC2], "Not Found", 0 )</f>
        <v>0</v>
      </c>
      <c r="AA1970" s="16">
        <f>_xlfn.XLOOKUP(CustomerCombinedCleaned[[#This Row],[ID]], Table2[ID],Table2[MC3], "Not Found", 0 )</f>
        <v>0</v>
      </c>
      <c r="AB1970" s="16">
        <f>_xlfn.XLOOKUP(CustomerCombinedCleaned[[#This Row],[ID]], Table2[ID],Table2[MC4], "Not Found", 0 )</f>
        <v>0</v>
      </c>
      <c r="AC1970" s="16">
        <f>_xlfn.XLOOKUP(CustomerCombinedCleaned[[#This Row],[ID]], Table2[ID],Table2[MC5], "Not Found", 0 )</f>
        <v>0</v>
      </c>
    </row>
    <row r="1971" spans="1:29" x14ac:dyDescent="0.3">
      <c r="A1971" s="18">
        <v>1155</v>
      </c>
      <c r="B1971" s="16">
        <v>162551</v>
      </c>
      <c r="C1971" s="16">
        <v>0</v>
      </c>
      <c r="D1971" s="16">
        <v>0</v>
      </c>
      <c r="E1971" s="16">
        <v>67</v>
      </c>
      <c r="F1971" s="17" t="s">
        <v>5</v>
      </c>
      <c r="G1971" s="17" t="s">
        <v>11</v>
      </c>
      <c r="H1971" s="3" t="s">
        <v>147</v>
      </c>
      <c r="I1971" s="5" t="s">
        <v>435</v>
      </c>
      <c r="J1971" s="16">
        <f>_xlfn.XLOOKUP(CustomerCombinedCleaned[[#This Row],[ID]], Table4[ID], Table4[Recency], "Not Found", 0)</f>
        <v>27</v>
      </c>
      <c r="K1971" s="16">
        <f>_xlfn.XLOOKUP(CustomerCombinedCleaned[[#This Row],[ID]], Table4[ID], Table4[Teas], "Not Found", 0)</f>
        <v>325</v>
      </c>
      <c r="L1971" s="16">
        <f>_xlfn.XLOOKUP(CustomerCombinedCleaned[[#This Row],[ID]], Table4[ID], Table4[Fruits], "Not Found", 0)</f>
        <v>42</v>
      </c>
      <c r="M1971" s="16">
        <f>_xlfn.XLOOKUP(CustomerCombinedCleaned[[#This Row],[ID]], Table4[ID], Table4[Meats], "Not Found", 0)</f>
        <v>255</v>
      </c>
      <c r="N1971" s="16">
        <f>_xlfn.XLOOKUP(CustomerCombinedCleaned[[#This Row],[ID]], Table4[ID], Table4[Seafood], "Not Found", 0)</f>
        <v>348</v>
      </c>
      <c r="O1971" s="16">
        <f>_xlfn.XLOOKUP(CustomerCombinedCleaned[[#This Row],[ID]], Table4[ID], Table4[Sweets], "Not Found", 0)</f>
        <v>55</v>
      </c>
      <c r="P1971" s="16">
        <f>_xlfn.XLOOKUP(CustomerCombinedCleaned[[#This Row],[ID]], Table4[ID], Table4[Premium], "Not Found", 0)</f>
        <v>70</v>
      </c>
      <c r="Q1971" s="16">
        <f>_xlfn.XLOOKUP(CustomerCombinedCleaned[[#This Row],[ID]], Table4[ID], Table4[Regular], "Not Found", 0)</f>
        <v>954</v>
      </c>
      <c r="R1971" s="16">
        <f>_xlfn.XLOOKUP(CustomerCombinedCleaned[[#This Row],[ID]], Table4[ID], Table4[Deals], "Not Found", 0)</f>
        <v>1</v>
      </c>
      <c r="S1971" s="16">
        <f>_xlfn.XLOOKUP(CustomerCombinedCleaned[[#This Row],[ID]], Table4[ID], Table4[Website], "Not Found", 0)</f>
        <v>6</v>
      </c>
      <c r="T1971" s="16">
        <f>_xlfn.XLOOKUP(CustomerCombinedCleaned[[#This Row],[ID]], Table4[ID], Table4[Catalog], "Not Found", 0)</f>
        <v>7</v>
      </c>
      <c r="U1971" s="16">
        <f>_xlfn.XLOOKUP(CustomerCombinedCleaned[[#This Row],[ID]], Table4[ID], Table4[Store], "Not Found", 0)</f>
        <v>4</v>
      </c>
      <c r="V1971" s="16">
        <f>_xlfn.XLOOKUP(CustomerCombinedCleaned[[#This Row],[ID]], Table4[ID], Table4[Visits], "Not Found", 0)</f>
        <v>3</v>
      </c>
      <c r="W1971" s="16">
        <f>_xlfn.XLOOKUP(CustomerCombinedCleaned[[#This Row],[ID]], Table2[ID],Table2[Complaint], "Not Found", 0 )</f>
        <v>0</v>
      </c>
      <c r="X1971" s="16">
        <f>_xlfn.XLOOKUP(CustomerCombinedCleaned[[#This Row],[ID]], Table2[ID],Table2[Pilot], "Not Found", 0 )</f>
        <v>0</v>
      </c>
      <c r="Y1971" s="16">
        <f>_xlfn.XLOOKUP(CustomerCombinedCleaned[[#This Row],[ID]], Table2[ID],Table2[MC1], "Not Found", 0 )</f>
        <v>0</v>
      </c>
      <c r="Z1971" s="16">
        <f>_xlfn.XLOOKUP(CustomerCombinedCleaned[[#This Row],[ID]], Table2[ID],Table2[MC2], "Not Found", 0 )</f>
        <v>0</v>
      </c>
      <c r="AA1971" s="16">
        <f>_xlfn.XLOOKUP(CustomerCombinedCleaned[[#This Row],[ID]], Table2[ID],Table2[MC3], "Not Found", 0 )</f>
        <v>1</v>
      </c>
      <c r="AB1971" s="16">
        <f>_xlfn.XLOOKUP(CustomerCombinedCleaned[[#This Row],[ID]], Table2[ID],Table2[MC4], "Not Found", 0 )</f>
        <v>0</v>
      </c>
      <c r="AC1971" s="16">
        <f>_xlfn.XLOOKUP(CustomerCombinedCleaned[[#This Row],[ID]], Table2[ID],Table2[MC5], "Not Found", 0 )</f>
        <v>0</v>
      </c>
    </row>
    <row r="1972" spans="1:29" x14ac:dyDescent="0.3">
      <c r="A1972" s="18">
        <v>1638</v>
      </c>
      <c r="B1972" s="16">
        <v>161278</v>
      </c>
      <c r="C1972" s="16">
        <v>0</v>
      </c>
      <c r="D1972" s="16">
        <v>1</v>
      </c>
      <c r="E1972" s="16">
        <v>67</v>
      </c>
      <c r="F1972" s="17" t="s">
        <v>8</v>
      </c>
      <c r="G1972" s="17" t="s">
        <v>11</v>
      </c>
      <c r="H1972" s="3" t="s">
        <v>716</v>
      </c>
      <c r="I1972" s="5" t="s">
        <v>436</v>
      </c>
      <c r="J1972" s="16">
        <f>_xlfn.XLOOKUP(CustomerCombinedCleaned[[#This Row],[ID]], Table4[ID], Table4[Recency], "Not Found", 0)</f>
        <v>87</v>
      </c>
      <c r="K1972" s="16">
        <f>_xlfn.XLOOKUP(CustomerCombinedCleaned[[#This Row],[ID]], Table4[ID], Table4[Teas], "Not Found", 0)</f>
        <v>292</v>
      </c>
      <c r="L1972" s="16">
        <f>_xlfn.XLOOKUP(CustomerCombinedCleaned[[#This Row],[ID]], Table4[ID], Table4[Fruits], "Not Found", 0)</f>
        <v>8</v>
      </c>
      <c r="M1972" s="16">
        <f>_xlfn.XLOOKUP(CustomerCombinedCleaned[[#This Row],[ID]], Table4[ID], Table4[Meats], "Not Found", 0)</f>
        <v>74</v>
      </c>
      <c r="N1972" s="16">
        <f>_xlfn.XLOOKUP(CustomerCombinedCleaned[[#This Row],[ID]], Table4[ID], Table4[Seafood], "Not Found", 0)</f>
        <v>5</v>
      </c>
      <c r="O1972" s="16">
        <f>_xlfn.XLOOKUP(CustomerCombinedCleaned[[#This Row],[ID]], Table4[ID], Table4[Sweets], "Not Found", 0)</f>
        <v>16</v>
      </c>
      <c r="P1972" s="16">
        <f>_xlfn.XLOOKUP(CustomerCombinedCleaned[[#This Row],[ID]], Table4[ID], Table4[Premium], "Not Found", 0)</f>
        <v>39</v>
      </c>
      <c r="Q1972" s="16">
        <f>_xlfn.XLOOKUP(CustomerCombinedCleaned[[#This Row],[ID]], Table4[ID], Table4[Regular], "Not Found", 0)</f>
        <v>355</v>
      </c>
      <c r="R1972" s="16">
        <f>_xlfn.XLOOKUP(CustomerCombinedCleaned[[#This Row],[ID]], Table4[ID], Table4[Deals], "Not Found", 0)</f>
        <v>2</v>
      </c>
      <c r="S1972" s="16">
        <f>_xlfn.XLOOKUP(CustomerCombinedCleaned[[#This Row],[ID]], Table4[ID], Table4[Website], "Not Found", 0)</f>
        <v>3</v>
      </c>
      <c r="T1972" s="16">
        <f>_xlfn.XLOOKUP(CustomerCombinedCleaned[[#This Row],[ID]], Table4[ID], Table4[Catalog], "Not Found", 0)</f>
        <v>1</v>
      </c>
      <c r="U1972" s="16">
        <f>_xlfn.XLOOKUP(CustomerCombinedCleaned[[#This Row],[ID]], Table4[ID], Table4[Store], "Not Found", 0)</f>
        <v>4</v>
      </c>
      <c r="V1972" s="16">
        <f>_xlfn.XLOOKUP(CustomerCombinedCleaned[[#This Row],[ID]], Table4[ID], Table4[Visits], "Not Found", 0)</f>
        <v>6</v>
      </c>
      <c r="W1972" s="16">
        <f>_xlfn.XLOOKUP(CustomerCombinedCleaned[[#This Row],[ID]], Table2[ID],Table2[Complaint], "Not Found", 0 )</f>
        <v>0</v>
      </c>
      <c r="X1972" s="16">
        <f>_xlfn.XLOOKUP(CustomerCombinedCleaned[[#This Row],[ID]], Table2[ID],Table2[Pilot], "Not Found", 0 )</f>
        <v>0</v>
      </c>
      <c r="Y1972" s="16">
        <f>_xlfn.XLOOKUP(CustomerCombinedCleaned[[#This Row],[ID]], Table2[ID],Table2[MC1], "Not Found", 0 )</f>
        <v>0</v>
      </c>
      <c r="Z1972" s="16">
        <f>_xlfn.XLOOKUP(CustomerCombinedCleaned[[#This Row],[ID]], Table2[ID],Table2[MC2], "Not Found", 0 )</f>
        <v>0</v>
      </c>
      <c r="AA1972" s="16">
        <f>_xlfn.XLOOKUP(CustomerCombinedCleaned[[#This Row],[ID]], Table2[ID],Table2[MC3], "Not Found", 0 )</f>
        <v>0</v>
      </c>
      <c r="AB1972" s="16">
        <f>_xlfn.XLOOKUP(CustomerCombinedCleaned[[#This Row],[ID]], Table2[ID],Table2[MC4], "Not Found", 0 )</f>
        <v>0</v>
      </c>
      <c r="AC1972" s="16">
        <f>_xlfn.XLOOKUP(CustomerCombinedCleaned[[#This Row],[ID]], Table2[ID],Table2[MC5], "Not Found", 0 )</f>
        <v>0</v>
      </c>
    </row>
    <row r="1973" spans="1:29" x14ac:dyDescent="0.3">
      <c r="A1973" s="18">
        <v>1140</v>
      </c>
      <c r="B1973" s="16">
        <v>159354</v>
      </c>
      <c r="C1973" s="16">
        <v>0</v>
      </c>
      <c r="D1973" s="16">
        <v>2</v>
      </c>
      <c r="E1973" s="16">
        <v>67</v>
      </c>
      <c r="F1973" s="17" t="s">
        <v>6</v>
      </c>
      <c r="G1973" s="17" t="s">
        <v>12</v>
      </c>
      <c r="H1973" s="3" t="s">
        <v>58</v>
      </c>
      <c r="I1973" s="5" t="s">
        <v>436</v>
      </c>
      <c r="J1973" s="16">
        <f>_xlfn.XLOOKUP(CustomerCombinedCleaned[[#This Row],[ID]], Table4[ID], Table4[Recency], "Not Found", 0)</f>
        <v>59</v>
      </c>
      <c r="K1973" s="16">
        <f>_xlfn.XLOOKUP(CustomerCombinedCleaned[[#This Row],[ID]], Table4[ID], Table4[Teas], "Not Found", 0)</f>
        <v>792</v>
      </c>
      <c r="L1973" s="16">
        <f>_xlfn.XLOOKUP(CustomerCombinedCleaned[[#This Row],[ID]], Table4[ID], Table4[Fruits], "Not Found", 0)</f>
        <v>56</v>
      </c>
      <c r="M1973" s="16">
        <f>_xlfn.XLOOKUP(CustomerCombinedCleaned[[#This Row],[ID]], Table4[ID], Table4[Meats], "Not Found", 0)</f>
        <v>209</v>
      </c>
      <c r="N1973" s="16">
        <f>_xlfn.XLOOKUP(CustomerCombinedCleaned[[#This Row],[ID]], Table4[ID], Table4[Seafood], "Not Found", 0)</f>
        <v>105</v>
      </c>
      <c r="O1973" s="16">
        <f>_xlfn.XLOOKUP(CustomerCombinedCleaned[[#This Row],[ID]], Table4[ID], Table4[Sweets], "Not Found", 0)</f>
        <v>35</v>
      </c>
      <c r="P1973" s="16">
        <f>_xlfn.XLOOKUP(CustomerCombinedCleaned[[#This Row],[ID]], Table4[ID], Table4[Premium], "Not Found", 0)</f>
        <v>35</v>
      </c>
      <c r="Q1973" s="16">
        <f>_xlfn.XLOOKUP(CustomerCombinedCleaned[[#This Row],[ID]], Table4[ID], Table4[Regular], "Not Found", 0)</f>
        <v>1163</v>
      </c>
      <c r="R1973" s="16">
        <f>_xlfn.XLOOKUP(CustomerCombinedCleaned[[#This Row],[ID]], Table4[ID], Table4[Deals], "Not Found", 0)</f>
        <v>1</v>
      </c>
      <c r="S1973" s="16">
        <f>_xlfn.XLOOKUP(CustomerCombinedCleaned[[#This Row],[ID]], Table4[ID], Table4[Website], "Not Found", 0)</f>
        <v>4</v>
      </c>
      <c r="T1973" s="16">
        <f>_xlfn.XLOOKUP(CustomerCombinedCleaned[[#This Row],[ID]], Table4[ID], Table4[Catalog], "Not Found", 0)</f>
        <v>4</v>
      </c>
      <c r="U1973" s="16">
        <f>_xlfn.XLOOKUP(CustomerCombinedCleaned[[#This Row],[ID]], Table4[ID], Table4[Store], "Not Found", 0)</f>
        <v>7</v>
      </c>
      <c r="V1973" s="16">
        <f>_xlfn.XLOOKUP(CustomerCombinedCleaned[[#This Row],[ID]], Table4[ID], Table4[Visits], "Not Found", 0)</f>
        <v>3</v>
      </c>
      <c r="W1973" s="16">
        <f>_xlfn.XLOOKUP(CustomerCombinedCleaned[[#This Row],[ID]], Table2[ID],Table2[Complaint], "Not Found", 0 )</f>
        <v>0</v>
      </c>
      <c r="X1973" s="16">
        <f>_xlfn.XLOOKUP(CustomerCombinedCleaned[[#This Row],[ID]], Table2[ID],Table2[Pilot], "Not Found", 0 )</f>
        <v>0</v>
      </c>
      <c r="Y1973" s="16">
        <f>_xlfn.XLOOKUP(CustomerCombinedCleaned[[#This Row],[ID]], Table2[ID],Table2[MC1], "Not Found", 0 )</f>
        <v>0</v>
      </c>
      <c r="Z1973" s="16">
        <f>_xlfn.XLOOKUP(CustomerCombinedCleaned[[#This Row],[ID]], Table2[ID],Table2[MC2], "Not Found", 0 )</f>
        <v>0</v>
      </c>
      <c r="AA1973" s="16">
        <f>_xlfn.XLOOKUP(CustomerCombinedCleaned[[#This Row],[ID]], Table2[ID],Table2[MC3], "Not Found", 0 )</f>
        <v>0</v>
      </c>
      <c r="AB1973" s="16">
        <f>_xlfn.XLOOKUP(CustomerCombinedCleaned[[#This Row],[ID]], Table2[ID],Table2[MC4], "Not Found", 0 )</f>
        <v>0</v>
      </c>
      <c r="AC1973" s="16">
        <f>_xlfn.XLOOKUP(CustomerCombinedCleaned[[#This Row],[ID]], Table2[ID],Table2[MC5], "Not Found", 0 )</f>
        <v>0</v>
      </c>
    </row>
    <row r="1974" spans="1:29" x14ac:dyDescent="0.3">
      <c r="A1974" s="18">
        <v>1694</v>
      </c>
      <c r="B1974" s="16">
        <v>158398</v>
      </c>
      <c r="C1974" s="16">
        <v>0</v>
      </c>
      <c r="D1974" s="16">
        <v>0</v>
      </c>
      <c r="E1974" s="16">
        <v>67</v>
      </c>
      <c r="F1974" s="17" t="s">
        <v>8</v>
      </c>
      <c r="G1974" s="17" t="s">
        <v>11</v>
      </c>
      <c r="H1974" s="3" t="s">
        <v>257</v>
      </c>
      <c r="I1974" s="5" t="s">
        <v>438</v>
      </c>
      <c r="J1974" s="16">
        <f>_xlfn.XLOOKUP(CustomerCombinedCleaned[[#This Row],[ID]], Table4[ID], Table4[Recency], "Not Found", 0)</f>
        <v>44</v>
      </c>
      <c r="K1974" s="16">
        <f>_xlfn.XLOOKUP(CustomerCombinedCleaned[[#This Row],[ID]], Table4[ID], Table4[Teas], "Not Found", 0)</f>
        <v>811</v>
      </c>
      <c r="L1974" s="16">
        <f>_xlfn.XLOOKUP(CustomerCombinedCleaned[[#This Row],[ID]], Table4[ID], Table4[Fruits], "Not Found", 0)</f>
        <v>14</v>
      </c>
      <c r="M1974" s="16">
        <f>_xlfn.XLOOKUP(CustomerCombinedCleaned[[#This Row],[ID]], Table4[ID], Table4[Meats], "Not Found", 0)</f>
        <v>545</v>
      </c>
      <c r="N1974" s="16">
        <f>_xlfn.XLOOKUP(CustomerCombinedCleaned[[#This Row],[ID]], Table4[ID], Table4[Seafood], "Not Found", 0)</f>
        <v>57</v>
      </c>
      <c r="O1974" s="16">
        <f>_xlfn.XLOOKUP(CustomerCombinedCleaned[[#This Row],[ID]], Table4[ID], Table4[Sweets], "Not Found", 0)</f>
        <v>57</v>
      </c>
      <c r="P1974" s="16">
        <f>_xlfn.XLOOKUP(CustomerCombinedCleaned[[#This Row],[ID]], Table4[ID], Table4[Premium], "Not Found", 0)</f>
        <v>133</v>
      </c>
      <c r="Q1974" s="16">
        <f>_xlfn.XLOOKUP(CustomerCombinedCleaned[[#This Row],[ID]], Table4[ID], Table4[Regular], "Not Found", 0)</f>
        <v>1351</v>
      </c>
      <c r="R1974" s="16">
        <f>_xlfn.XLOOKUP(CustomerCombinedCleaned[[#This Row],[ID]], Table4[ID], Table4[Deals], "Not Found", 0)</f>
        <v>3</v>
      </c>
      <c r="S1974" s="16">
        <f>_xlfn.XLOOKUP(CustomerCombinedCleaned[[#This Row],[ID]], Table4[ID], Table4[Website], "Not Found", 0)</f>
        <v>5</v>
      </c>
      <c r="T1974" s="16">
        <f>_xlfn.XLOOKUP(CustomerCombinedCleaned[[#This Row],[ID]], Table4[ID], Table4[Catalog], "Not Found", 0)</f>
        <v>4</v>
      </c>
      <c r="U1974" s="16">
        <f>_xlfn.XLOOKUP(CustomerCombinedCleaned[[#This Row],[ID]], Table4[ID], Table4[Store], "Not Found", 0)</f>
        <v>8</v>
      </c>
      <c r="V1974" s="16">
        <f>_xlfn.XLOOKUP(CustomerCombinedCleaned[[#This Row],[ID]], Table4[ID], Table4[Visits], "Not Found", 0)</f>
        <v>4</v>
      </c>
      <c r="W1974" s="16">
        <f>_xlfn.XLOOKUP(CustomerCombinedCleaned[[#This Row],[ID]], Table2[ID],Table2[Complaint], "Not Found", 0 )</f>
        <v>0</v>
      </c>
      <c r="X1974" s="16">
        <f>_xlfn.XLOOKUP(CustomerCombinedCleaned[[#This Row],[ID]], Table2[ID],Table2[Pilot], "Not Found", 0 )</f>
        <v>0</v>
      </c>
      <c r="Y1974" s="16">
        <f>_xlfn.XLOOKUP(CustomerCombinedCleaned[[#This Row],[ID]], Table2[ID],Table2[MC1], "Not Found", 0 )</f>
        <v>0</v>
      </c>
      <c r="Z1974" s="16">
        <f>_xlfn.XLOOKUP(CustomerCombinedCleaned[[#This Row],[ID]], Table2[ID],Table2[MC2], "Not Found", 0 )</f>
        <v>0</v>
      </c>
      <c r="AA1974" s="16">
        <f>_xlfn.XLOOKUP(CustomerCombinedCleaned[[#This Row],[ID]], Table2[ID],Table2[MC3], "Not Found", 0 )</f>
        <v>0</v>
      </c>
      <c r="AB1974" s="16">
        <f>_xlfn.XLOOKUP(CustomerCombinedCleaned[[#This Row],[ID]], Table2[ID],Table2[MC4], "Not Found", 0 )</f>
        <v>0</v>
      </c>
      <c r="AC1974" s="16">
        <f>_xlfn.XLOOKUP(CustomerCombinedCleaned[[#This Row],[ID]], Table2[ID],Table2[MC5], "Not Found", 0 )</f>
        <v>0</v>
      </c>
    </row>
    <row r="1975" spans="1:29" x14ac:dyDescent="0.3">
      <c r="A1975" s="18">
        <v>1112</v>
      </c>
      <c r="B1975" s="16">
        <v>156129</v>
      </c>
      <c r="C1975" s="16">
        <v>0</v>
      </c>
      <c r="D1975" s="16">
        <v>1</v>
      </c>
      <c r="E1975" s="16">
        <v>67</v>
      </c>
      <c r="F1975" s="17" t="s">
        <v>8</v>
      </c>
      <c r="G1975" s="17" t="s">
        <v>12</v>
      </c>
      <c r="H1975" s="3" t="s">
        <v>233</v>
      </c>
      <c r="I1975" s="5" t="s">
        <v>438</v>
      </c>
      <c r="J1975" s="16">
        <f>_xlfn.XLOOKUP(CustomerCombinedCleaned[[#This Row],[ID]], Table4[ID], Table4[Recency], "Not Found", 0)</f>
        <v>65</v>
      </c>
      <c r="K1975" s="16">
        <f>_xlfn.XLOOKUP(CustomerCombinedCleaned[[#This Row],[ID]], Table4[ID], Table4[Teas], "Not Found", 0)</f>
        <v>890</v>
      </c>
      <c r="L1975" s="16">
        <f>_xlfn.XLOOKUP(CustomerCombinedCleaned[[#This Row],[ID]], Table4[ID], Table4[Fruits], "Not Found", 0)</f>
        <v>134</v>
      </c>
      <c r="M1975" s="16">
        <f>_xlfn.XLOOKUP(CustomerCombinedCleaned[[#This Row],[ID]], Table4[ID], Table4[Meats], "Not Found", 0)</f>
        <v>370</v>
      </c>
      <c r="N1975" s="16">
        <f>_xlfn.XLOOKUP(CustomerCombinedCleaned[[#This Row],[ID]], Table4[ID], Table4[Seafood], "Not Found", 0)</f>
        <v>108</v>
      </c>
      <c r="O1975" s="16">
        <f>_xlfn.XLOOKUP(CustomerCombinedCleaned[[#This Row],[ID]], Table4[ID], Table4[Sweets], "Not Found", 0)</f>
        <v>200</v>
      </c>
      <c r="P1975" s="16">
        <f>_xlfn.XLOOKUP(CustomerCombinedCleaned[[#This Row],[ID]], Table4[ID], Table4[Premium], "Not Found", 0)</f>
        <v>134</v>
      </c>
      <c r="Q1975" s="16">
        <f>_xlfn.XLOOKUP(CustomerCombinedCleaned[[#This Row],[ID]], Table4[ID], Table4[Regular], "Not Found", 0)</f>
        <v>1569</v>
      </c>
      <c r="R1975" s="16">
        <f>_xlfn.XLOOKUP(CustomerCombinedCleaned[[#This Row],[ID]], Table4[ID], Table4[Deals], "Not Found", 0)</f>
        <v>4</v>
      </c>
      <c r="S1975" s="16">
        <f>_xlfn.XLOOKUP(CustomerCombinedCleaned[[#This Row],[ID]], Table4[ID], Table4[Website], "Not Found", 0)</f>
        <v>6</v>
      </c>
      <c r="T1975" s="16">
        <f>_xlfn.XLOOKUP(CustomerCombinedCleaned[[#This Row],[ID]], Table4[ID], Table4[Catalog], "Not Found", 0)</f>
        <v>2</v>
      </c>
      <c r="U1975" s="16">
        <f>_xlfn.XLOOKUP(CustomerCombinedCleaned[[#This Row],[ID]], Table4[ID], Table4[Store], "Not Found", 0)</f>
        <v>10</v>
      </c>
      <c r="V1975" s="16">
        <f>_xlfn.XLOOKUP(CustomerCombinedCleaned[[#This Row],[ID]], Table4[ID], Table4[Visits], "Not Found", 0)</f>
        <v>4</v>
      </c>
      <c r="W1975" s="16">
        <f>_xlfn.XLOOKUP(CustomerCombinedCleaned[[#This Row],[ID]], Table2[ID],Table2[Complaint], "Not Found", 0 )</f>
        <v>0</v>
      </c>
      <c r="X1975" s="16">
        <f>_xlfn.XLOOKUP(CustomerCombinedCleaned[[#This Row],[ID]], Table2[ID],Table2[Pilot], "Not Found", 0 )</f>
        <v>0</v>
      </c>
      <c r="Y1975" s="16">
        <f>_xlfn.XLOOKUP(CustomerCombinedCleaned[[#This Row],[ID]], Table2[ID],Table2[MC1], "Not Found", 0 )</f>
        <v>0</v>
      </c>
      <c r="Z1975" s="16">
        <f>_xlfn.XLOOKUP(CustomerCombinedCleaned[[#This Row],[ID]], Table2[ID],Table2[MC2], "Not Found", 0 )</f>
        <v>0</v>
      </c>
      <c r="AA1975" s="16">
        <f>_xlfn.XLOOKUP(CustomerCombinedCleaned[[#This Row],[ID]], Table2[ID],Table2[MC3], "Not Found", 0 )</f>
        <v>0</v>
      </c>
      <c r="AB1975" s="16">
        <f>_xlfn.XLOOKUP(CustomerCombinedCleaned[[#This Row],[ID]], Table2[ID],Table2[MC4], "Not Found", 0 )</f>
        <v>0</v>
      </c>
      <c r="AC1975" s="16">
        <f>_xlfn.XLOOKUP(CustomerCombinedCleaned[[#This Row],[ID]], Table2[ID],Table2[MC5], "Not Found", 0 )</f>
        <v>0</v>
      </c>
    </row>
    <row r="1976" spans="1:29" x14ac:dyDescent="0.3">
      <c r="A1976" s="18">
        <v>2121</v>
      </c>
      <c r="B1976" s="16">
        <v>156129</v>
      </c>
      <c r="C1976" s="16">
        <v>0</v>
      </c>
      <c r="D1976" s="16">
        <v>1</v>
      </c>
      <c r="E1976" s="16">
        <v>67</v>
      </c>
      <c r="F1976" s="17" t="s">
        <v>8</v>
      </c>
      <c r="G1976" s="17" t="s">
        <v>12</v>
      </c>
      <c r="H1976" s="3" t="s">
        <v>233</v>
      </c>
      <c r="I1976" s="5" t="s">
        <v>435</v>
      </c>
      <c r="J1976" s="16">
        <f>_xlfn.XLOOKUP(CustomerCombinedCleaned[[#This Row],[ID]], Table4[ID], Table4[Recency], "Not Found", 0)</f>
        <v>65</v>
      </c>
      <c r="K1976" s="16">
        <f>_xlfn.XLOOKUP(CustomerCombinedCleaned[[#This Row],[ID]], Table4[ID], Table4[Teas], "Not Found", 0)</f>
        <v>890</v>
      </c>
      <c r="L1976" s="16">
        <f>_xlfn.XLOOKUP(CustomerCombinedCleaned[[#This Row],[ID]], Table4[ID], Table4[Fruits], "Not Found", 0)</f>
        <v>134</v>
      </c>
      <c r="M1976" s="16">
        <f>_xlfn.XLOOKUP(CustomerCombinedCleaned[[#This Row],[ID]], Table4[ID], Table4[Meats], "Not Found", 0)</f>
        <v>370</v>
      </c>
      <c r="N1976" s="16">
        <f>_xlfn.XLOOKUP(CustomerCombinedCleaned[[#This Row],[ID]], Table4[ID], Table4[Seafood], "Not Found", 0)</f>
        <v>108</v>
      </c>
      <c r="O1976" s="16">
        <f>_xlfn.XLOOKUP(CustomerCombinedCleaned[[#This Row],[ID]], Table4[ID], Table4[Sweets], "Not Found", 0)</f>
        <v>200</v>
      </c>
      <c r="P1976" s="16">
        <f>_xlfn.XLOOKUP(CustomerCombinedCleaned[[#This Row],[ID]], Table4[ID], Table4[Premium], "Not Found", 0)</f>
        <v>134</v>
      </c>
      <c r="Q1976" s="16">
        <f>_xlfn.XLOOKUP(CustomerCombinedCleaned[[#This Row],[ID]], Table4[ID], Table4[Regular], "Not Found", 0)</f>
        <v>1569</v>
      </c>
      <c r="R1976" s="16">
        <f>_xlfn.XLOOKUP(CustomerCombinedCleaned[[#This Row],[ID]], Table4[ID], Table4[Deals], "Not Found", 0)</f>
        <v>4</v>
      </c>
      <c r="S1976" s="16">
        <f>_xlfn.XLOOKUP(CustomerCombinedCleaned[[#This Row],[ID]], Table4[ID], Table4[Website], "Not Found", 0)</f>
        <v>6</v>
      </c>
      <c r="T1976" s="16">
        <f>_xlfn.XLOOKUP(CustomerCombinedCleaned[[#This Row],[ID]], Table4[ID], Table4[Catalog], "Not Found", 0)</f>
        <v>2</v>
      </c>
      <c r="U1976" s="16">
        <f>_xlfn.XLOOKUP(CustomerCombinedCleaned[[#This Row],[ID]], Table4[ID], Table4[Store], "Not Found", 0)</f>
        <v>10</v>
      </c>
      <c r="V1976" s="16">
        <f>_xlfn.XLOOKUP(CustomerCombinedCleaned[[#This Row],[ID]], Table4[ID], Table4[Visits], "Not Found", 0)</f>
        <v>4</v>
      </c>
      <c r="W1976" s="16">
        <f>_xlfn.XLOOKUP(CustomerCombinedCleaned[[#This Row],[ID]], Table2[ID],Table2[Complaint], "Not Found", 0 )</f>
        <v>0</v>
      </c>
      <c r="X1976" s="16">
        <f>_xlfn.XLOOKUP(CustomerCombinedCleaned[[#This Row],[ID]], Table2[ID],Table2[Pilot], "Not Found", 0 )</f>
        <v>0</v>
      </c>
      <c r="Y1976" s="16">
        <f>_xlfn.XLOOKUP(CustomerCombinedCleaned[[#This Row],[ID]], Table2[ID],Table2[MC1], "Not Found", 0 )</f>
        <v>0</v>
      </c>
      <c r="Z1976" s="16">
        <f>_xlfn.XLOOKUP(CustomerCombinedCleaned[[#This Row],[ID]], Table2[ID],Table2[MC2], "Not Found", 0 )</f>
        <v>0</v>
      </c>
      <c r="AA1976" s="16">
        <f>_xlfn.XLOOKUP(CustomerCombinedCleaned[[#This Row],[ID]], Table2[ID],Table2[MC3], "Not Found", 0 )</f>
        <v>0</v>
      </c>
      <c r="AB1976" s="16">
        <f>_xlfn.XLOOKUP(CustomerCombinedCleaned[[#This Row],[ID]], Table2[ID],Table2[MC4], "Not Found", 0 )</f>
        <v>0</v>
      </c>
      <c r="AC1976" s="16">
        <f>_xlfn.XLOOKUP(CustomerCombinedCleaned[[#This Row],[ID]], Table2[ID],Table2[MC5], "Not Found", 0 )</f>
        <v>0</v>
      </c>
    </row>
    <row r="1977" spans="1:29" x14ac:dyDescent="0.3">
      <c r="A1977" s="18">
        <v>1433</v>
      </c>
      <c r="B1977" s="16">
        <v>155707</v>
      </c>
      <c r="C1977" s="16">
        <v>0</v>
      </c>
      <c r="D1977" s="16">
        <v>1</v>
      </c>
      <c r="E1977" s="16">
        <v>67</v>
      </c>
      <c r="F1977" s="17" t="s">
        <v>6</v>
      </c>
      <c r="G1977" s="17" t="s">
        <v>13</v>
      </c>
      <c r="H1977" s="3" t="s">
        <v>126</v>
      </c>
      <c r="I1977" s="5" t="s">
        <v>434</v>
      </c>
      <c r="J1977" s="16">
        <f>_xlfn.XLOOKUP(CustomerCombinedCleaned[[#This Row],[ID]], Table4[ID], Table4[Recency], "Not Found", 0)</f>
        <v>91</v>
      </c>
      <c r="K1977" s="16">
        <f>_xlfn.XLOOKUP(CustomerCombinedCleaned[[#This Row],[ID]], Table4[ID], Table4[Teas], "Not Found", 0)</f>
        <v>581</v>
      </c>
      <c r="L1977" s="16">
        <f>_xlfn.XLOOKUP(CustomerCombinedCleaned[[#This Row],[ID]], Table4[ID], Table4[Fruits], "Not Found", 0)</f>
        <v>20</v>
      </c>
      <c r="M1977" s="16">
        <f>_xlfn.XLOOKUP(CustomerCombinedCleaned[[#This Row],[ID]], Table4[ID], Table4[Meats], "Not Found", 0)</f>
        <v>229</v>
      </c>
      <c r="N1977" s="16">
        <f>_xlfn.XLOOKUP(CustomerCombinedCleaned[[#This Row],[ID]], Table4[ID], Table4[Seafood], "Not Found", 0)</f>
        <v>84</v>
      </c>
      <c r="O1977" s="16">
        <f>_xlfn.XLOOKUP(CustomerCombinedCleaned[[#This Row],[ID]], Table4[ID], Table4[Sweets], "Not Found", 0)</f>
        <v>184</v>
      </c>
      <c r="P1977" s="16">
        <f>_xlfn.XLOOKUP(CustomerCombinedCleaned[[#This Row],[ID]], Table4[ID], Table4[Premium], "Not Found", 0)</f>
        <v>98</v>
      </c>
      <c r="Q1977" s="16">
        <f>_xlfn.XLOOKUP(CustomerCombinedCleaned[[#This Row],[ID]], Table4[ID], Table4[Regular], "Not Found", 0)</f>
        <v>1001</v>
      </c>
      <c r="R1977" s="16">
        <f>_xlfn.XLOOKUP(CustomerCombinedCleaned[[#This Row],[ID]], Table4[ID], Table4[Deals], "Not Found", 0)</f>
        <v>2</v>
      </c>
      <c r="S1977" s="16">
        <f>_xlfn.XLOOKUP(CustomerCombinedCleaned[[#This Row],[ID]], Table4[ID], Table4[Website], "Not Found", 0)</f>
        <v>3</v>
      </c>
      <c r="T1977" s="16">
        <f>_xlfn.XLOOKUP(CustomerCombinedCleaned[[#This Row],[ID]], Table4[ID], Table4[Catalog], "Not Found", 0)</f>
        <v>2</v>
      </c>
      <c r="U1977" s="16">
        <f>_xlfn.XLOOKUP(CustomerCombinedCleaned[[#This Row],[ID]], Table4[ID], Table4[Store], "Not Found", 0)</f>
        <v>9</v>
      </c>
      <c r="V1977" s="16">
        <f>_xlfn.XLOOKUP(CustomerCombinedCleaned[[#This Row],[ID]], Table4[ID], Table4[Visits], "Not Found", 0)</f>
        <v>3</v>
      </c>
      <c r="W1977" s="16">
        <f>_xlfn.XLOOKUP(CustomerCombinedCleaned[[#This Row],[ID]], Table2[ID],Table2[Complaint], "Not Found", 0 )</f>
        <v>0</v>
      </c>
      <c r="X1977" s="16">
        <f>_xlfn.XLOOKUP(CustomerCombinedCleaned[[#This Row],[ID]], Table2[ID],Table2[Pilot], "Not Found", 0 )</f>
        <v>0</v>
      </c>
      <c r="Y1977" s="16">
        <f>_xlfn.XLOOKUP(CustomerCombinedCleaned[[#This Row],[ID]], Table2[ID],Table2[MC1], "Not Found", 0 )</f>
        <v>0</v>
      </c>
      <c r="Z1977" s="16">
        <f>_xlfn.XLOOKUP(CustomerCombinedCleaned[[#This Row],[ID]], Table2[ID],Table2[MC2], "Not Found", 0 )</f>
        <v>0</v>
      </c>
      <c r="AA1977" s="16">
        <f>_xlfn.XLOOKUP(CustomerCombinedCleaned[[#This Row],[ID]], Table2[ID],Table2[MC3], "Not Found", 0 )</f>
        <v>0</v>
      </c>
      <c r="AB1977" s="16">
        <f>_xlfn.XLOOKUP(CustomerCombinedCleaned[[#This Row],[ID]], Table2[ID],Table2[MC4], "Not Found", 0 )</f>
        <v>0</v>
      </c>
      <c r="AC1977" s="16">
        <f>_xlfn.XLOOKUP(CustomerCombinedCleaned[[#This Row],[ID]], Table2[ID],Table2[MC5], "Not Found", 0 )</f>
        <v>0</v>
      </c>
    </row>
    <row r="1978" spans="1:29" x14ac:dyDescent="0.3">
      <c r="A1978" s="18">
        <v>1119</v>
      </c>
      <c r="B1978" s="16">
        <v>154348</v>
      </c>
      <c r="C1978" s="16">
        <v>1</v>
      </c>
      <c r="D1978" s="16">
        <v>1</v>
      </c>
      <c r="E1978" s="16">
        <v>67</v>
      </c>
      <c r="F1978" s="17" t="s">
        <v>6</v>
      </c>
      <c r="G1978" s="17" t="s">
        <v>12</v>
      </c>
      <c r="H1978" s="3" t="s">
        <v>734</v>
      </c>
      <c r="I1978" s="5" t="s">
        <v>435</v>
      </c>
      <c r="J1978" s="16">
        <f>_xlfn.XLOOKUP(CustomerCombinedCleaned[[#This Row],[ID]], Table4[ID], Table4[Recency], "Not Found", 0)</f>
        <v>51</v>
      </c>
      <c r="K1978" s="16">
        <f>_xlfn.XLOOKUP(CustomerCombinedCleaned[[#This Row],[ID]], Table4[ID], Table4[Teas], "Not Found", 0)</f>
        <v>199</v>
      </c>
      <c r="L1978" s="16">
        <f>_xlfn.XLOOKUP(CustomerCombinedCleaned[[#This Row],[ID]], Table4[ID], Table4[Fruits], "Not Found", 0)</f>
        <v>0</v>
      </c>
      <c r="M1978" s="16">
        <f>_xlfn.XLOOKUP(CustomerCombinedCleaned[[#This Row],[ID]], Table4[ID], Table4[Meats], "Not Found", 0)</f>
        <v>45</v>
      </c>
      <c r="N1978" s="16">
        <f>_xlfn.XLOOKUP(CustomerCombinedCleaned[[#This Row],[ID]], Table4[ID], Table4[Seafood], "Not Found", 0)</f>
        <v>0</v>
      </c>
      <c r="O1978" s="16">
        <f>_xlfn.XLOOKUP(CustomerCombinedCleaned[[#This Row],[ID]], Table4[ID], Table4[Sweets], "Not Found", 0)</f>
        <v>0</v>
      </c>
      <c r="P1978" s="16">
        <f>_xlfn.XLOOKUP(CustomerCombinedCleaned[[#This Row],[ID]], Table4[ID], Table4[Premium], "Not Found", 0)</f>
        <v>11</v>
      </c>
      <c r="Q1978" s="16">
        <f>_xlfn.XLOOKUP(CustomerCombinedCleaned[[#This Row],[ID]], Table4[ID], Table4[Regular], "Not Found", 0)</f>
        <v>233</v>
      </c>
      <c r="R1978" s="16">
        <f>_xlfn.XLOOKUP(CustomerCombinedCleaned[[#This Row],[ID]], Table4[ID], Table4[Deals], "Not Found", 0)</f>
        <v>2</v>
      </c>
      <c r="S1978" s="16">
        <f>_xlfn.XLOOKUP(CustomerCombinedCleaned[[#This Row],[ID]], Table4[ID], Table4[Website], "Not Found", 0)</f>
        <v>2</v>
      </c>
      <c r="T1978" s="16">
        <f>_xlfn.XLOOKUP(CustomerCombinedCleaned[[#This Row],[ID]], Table4[ID], Table4[Catalog], "Not Found", 0)</f>
        <v>0</v>
      </c>
      <c r="U1978" s="16">
        <f>_xlfn.XLOOKUP(CustomerCombinedCleaned[[#This Row],[ID]], Table4[ID], Table4[Store], "Not Found", 0)</f>
        <v>4</v>
      </c>
      <c r="V1978" s="16">
        <f>_xlfn.XLOOKUP(CustomerCombinedCleaned[[#This Row],[ID]], Table4[ID], Table4[Visits], "Not Found", 0)</f>
        <v>6</v>
      </c>
      <c r="W1978" s="16">
        <f>_xlfn.XLOOKUP(CustomerCombinedCleaned[[#This Row],[ID]], Table2[ID],Table2[Complaint], "Not Found", 0 )</f>
        <v>0</v>
      </c>
      <c r="X1978" s="16">
        <f>_xlfn.XLOOKUP(CustomerCombinedCleaned[[#This Row],[ID]], Table2[ID],Table2[Pilot], "Not Found", 0 )</f>
        <v>0</v>
      </c>
      <c r="Y1978" s="16">
        <f>_xlfn.XLOOKUP(CustomerCombinedCleaned[[#This Row],[ID]], Table2[ID],Table2[MC1], "Not Found", 0 )</f>
        <v>0</v>
      </c>
      <c r="Z1978" s="16">
        <f>_xlfn.XLOOKUP(CustomerCombinedCleaned[[#This Row],[ID]], Table2[ID],Table2[MC2], "Not Found", 0 )</f>
        <v>0</v>
      </c>
      <c r="AA1978" s="16">
        <f>_xlfn.XLOOKUP(CustomerCombinedCleaned[[#This Row],[ID]], Table2[ID],Table2[MC3], "Not Found", 0 )</f>
        <v>0</v>
      </c>
      <c r="AB1978" s="16">
        <f>_xlfn.XLOOKUP(CustomerCombinedCleaned[[#This Row],[ID]], Table2[ID],Table2[MC4], "Not Found", 0 )</f>
        <v>0</v>
      </c>
      <c r="AC1978" s="16">
        <f>_xlfn.XLOOKUP(CustomerCombinedCleaned[[#This Row],[ID]], Table2[ID],Table2[MC5], "Not Found", 0 )</f>
        <v>0</v>
      </c>
    </row>
    <row r="1979" spans="1:29" x14ac:dyDescent="0.3">
      <c r="A1979" s="18">
        <v>1489</v>
      </c>
      <c r="B1979" s="16">
        <v>153653</v>
      </c>
      <c r="C1979" s="16">
        <v>0</v>
      </c>
      <c r="D1979" s="16">
        <v>0</v>
      </c>
      <c r="E1979" s="16">
        <v>67</v>
      </c>
      <c r="F1979" s="17" t="s">
        <v>9</v>
      </c>
      <c r="G1979" s="17" t="s">
        <v>11</v>
      </c>
      <c r="H1979" s="3" t="s">
        <v>368</v>
      </c>
      <c r="I1979" s="5" t="s">
        <v>437</v>
      </c>
      <c r="J1979" s="16">
        <f>_xlfn.XLOOKUP(CustomerCombinedCleaned[[#This Row],[ID]], Table4[ID], Table4[Recency], "Not Found", 0)</f>
        <v>29</v>
      </c>
      <c r="K1979" s="16">
        <f>_xlfn.XLOOKUP(CustomerCombinedCleaned[[#This Row],[ID]], Table4[ID], Table4[Teas], "Not Found", 0)</f>
        <v>2334</v>
      </c>
      <c r="L1979" s="16">
        <f>_xlfn.XLOOKUP(CustomerCombinedCleaned[[#This Row],[ID]], Table4[ID], Table4[Fruits], "Not Found", 0)</f>
        <v>29</v>
      </c>
      <c r="M1979" s="16">
        <f>_xlfn.XLOOKUP(CustomerCombinedCleaned[[#This Row],[ID]], Table4[ID], Table4[Meats], "Not Found", 0)</f>
        <v>684</v>
      </c>
      <c r="N1979" s="16">
        <f>_xlfn.XLOOKUP(CustomerCombinedCleaned[[#This Row],[ID]], Table4[ID], Table4[Seafood], "Not Found", 0)</f>
        <v>80</v>
      </c>
      <c r="O1979" s="16">
        <f>_xlfn.XLOOKUP(CustomerCombinedCleaned[[#This Row],[ID]], Table4[ID], Table4[Sweets], "Not Found", 0)</f>
        <v>29</v>
      </c>
      <c r="P1979" s="16">
        <f>_xlfn.XLOOKUP(CustomerCombinedCleaned[[#This Row],[ID]], Table4[ID], Table4[Premium], "Not Found", 0)</f>
        <v>309</v>
      </c>
      <c r="Q1979" s="16">
        <f>_xlfn.XLOOKUP(CustomerCombinedCleaned[[#This Row],[ID]], Table4[ID], Table4[Regular], "Not Found", 0)</f>
        <v>2847</v>
      </c>
      <c r="R1979" s="16">
        <f>_xlfn.XLOOKUP(CustomerCombinedCleaned[[#This Row],[ID]], Table4[ID], Table4[Deals], "Not Found", 0)</f>
        <v>2</v>
      </c>
      <c r="S1979" s="16">
        <f>_xlfn.XLOOKUP(CustomerCombinedCleaned[[#This Row],[ID]], Table4[ID], Table4[Website], "Not Found", 0)</f>
        <v>10</v>
      </c>
      <c r="T1979" s="16">
        <f>_xlfn.XLOOKUP(CustomerCombinedCleaned[[#This Row],[ID]], Table4[ID], Table4[Catalog], "Not Found", 0)</f>
        <v>4</v>
      </c>
      <c r="U1979" s="16">
        <f>_xlfn.XLOOKUP(CustomerCombinedCleaned[[#This Row],[ID]], Table4[ID], Table4[Store], "Not Found", 0)</f>
        <v>12</v>
      </c>
      <c r="V1979" s="16">
        <f>_xlfn.XLOOKUP(CustomerCombinedCleaned[[#This Row],[ID]], Table4[ID], Table4[Visits], "Not Found", 0)</f>
        <v>6</v>
      </c>
      <c r="W1979" s="16">
        <f>_xlfn.XLOOKUP(CustomerCombinedCleaned[[#This Row],[ID]], Table2[ID],Table2[Complaint], "Not Found", 0 )</f>
        <v>0</v>
      </c>
      <c r="X1979" s="16">
        <f>_xlfn.XLOOKUP(CustomerCombinedCleaned[[#This Row],[ID]], Table2[ID],Table2[Pilot], "Not Found", 0 )</f>
        <v>0</v>
      </c>
      <c r="Y1979" s="16">
        <f>_xlfn.XLOOKUP(CustomerCombinedCleaned[[#This Row],[ID]], Table2[ID],Table2[MC1], "Not Found", 0 )</f>
        <v>0</v>
      </c>
      <c r="Z1979" s="16">
        <f>_xlfn.XLOOKUP(CustomerCombinedCleaned[[#This Row],[ID]], Table2[ID],Table2[MC2], "Not Found", 0 )</f>
        <v>0</v>
      </c>
      <c r="AA1979" s="16">
        <f>_xlfn.XLOOKUP(CustomerCombinedCleaned[[#This Row],[ID]], Table2[ID],Table2[MC3], "Not Found", 0 )</f>
        <v>0</v>
      </c>
      <c r="AB1979" s="16">
        <f>_xlfn.XLOOKUP(CustomerCombinedCleaned[[#This Row],[ID]], Table2[ID],Table2[MC4], "Not Found", 0 )</f>
        <v>0</v>
      </c>
      <c r="AC1979" s="16">
        <f>_xlfn.XLOOKUP(CustomerCombinedCleaned[[#This Row],[ID]], Table2[ID],Table2[MC5], "Not Found", 0 )</f>
        <v>0</v>
      </c>
    </row>
    <row r="1980" spans="1:29" x14ac:dyDescent="0.3">
      <c r="A1980" s="18">
        <v>1712</v>
      </c>
      <c r="B1980" s="16">
        <v>153593</v>
      </c>
      <c r="C1980" s="16">
        <v>1</v>
      </c>
      <c r="D1980" s="16">
        <v>1</v>
      </c>
      <c r="E1980" s="16">
        <v>67</v>
      </c>
      <c r="F1980" s="17" t="s">
        <v>8</v>
      </c>
      <c r="G1980" s="17" t="s">
        <v>13</v>
      </c>
      <c r="H1980" s="3" t="s">
        <v>679</v>
      </c>
      <c r="I1980" s="5" t="s">
        <v>438</v>
      </c>
      <c r="J1980" s="16">
        <f>_xlfn.XLOOKUP(CustomerCombinedCleaned[[#This Row],[ID]], Table4[ID], Table4[Recency], "Not Found", 0)</f>
        <v>60</v>
      </c>
      <c r="K1980" s="16">
        <f>_xlfn.XLOOKUP(CustomerCombinedCleaned[[#This Row],[ID]], Table4[ID], Table4[Teas], "Not Found", 0)</f>
        <v>1000</v>
      </c>
      <c r="L1980" s="16">
        <f>_xlfn.XLOOKUP(CustomerCombinedCleaned[[#This Row],[ID]], Table4[ID], Table4[Fruits], "Not Found", 0)</f>
        <v>11</v>
      </c>
      <c r="M1980" s="16">
        <f>_xlfn.XLOOKUP(CustomerCombinedCleaned[[#This Row],[ID]], Table4[ID], Table4[Meats], "Not Found", 0)</f>
        <v>224</v>
      </c>
      <c r="N1980" s="16">
        <f>_xlfn.XLOOKUP(CustomerCombinedCleaned[[#This Row],[ID]], Table4[ID], Table4[Seafood], "Not Found", 0)</f>
        <v>17</v>
      </c>
      <c r="O1980" s="16">
        <f>_xlfn.XLOOKUP(CustomerCombinedCleaned[[#This Row],[ID]], Table4[ID], Table4[Sweets], "Not Found", 0)</f>
        <v>0</v>
      </c>
      <c r="P1980" s="16">
        <f>_xlfn.XLOOKUP(CustomerCombinedCleaned[[#This Row],[ID]], Table4[ID], Table4[Premium], "Not Found", 0)</f>
        <v>123</v>
      </c>
      <c r="Q1980" s="16">
        <f>_xlfn.XLOOKUP(CustomerCombinedCleaned[[#This Row],[ID]], Table4[ID], Table4[Regular], "Not Found", 0)</f>
        <v>1129</v>
      </c>
      <c r="R1980" s="16">
        <f>_xlfn.XLOOKUP(CustomerCombinedCleaned[[#This Row],[ID]], Table4[ID], Table4[Deals], "Not Found", 0)</f>
        <v>8</v>
      </c>
      <c r="S1980" s="16">
        <f>_xlfn.XLOOKUP(CustomerCombinedCleaned[[#This Row],[ID]], Table4[ID], Table4[Website], "Not Found", 0)</f>
        <v>7</v>
      </c>
      <c r="T1980" s="16">
        <f>_xlfn.XLOOKUP(CustomerCombinedCleaned[[#This Row],[ID]], Table4[ID], Table4[Catalog], "Not Found", 0)</f>
        <v>2</v>
      </c>
      <c r="U1980" s="16">
        <f>_xlfn.XLOOKUP(CustomerCombinedCleaned[[#This Row],[ID]], Table4[ID], Table4[Store], "Not Found", 0)</f>
        <v>6</v>
      </c>
      <c r="V1980" s="16">
        <f>_xlfn.XLOOKUP(CustomerCombinedCleaned[[#This Row],[ID]], Table4[ID], Table4[Visits], "Not Found", 0)</f>
        <v>8</v>
      </c>
      <c r="W1980" s="16">
        <f>_xlfn.XLOOKUP(CustomerCombinedCleaned[[#This Row],[ID]], Table2[ID],Table2[Complaint], "Not Found", 0 )</f>
        <v>0</v>
      </c>
      <c r="X1980" s="16">
        <f>_xlfn.XLOOKUP(CustomerCombinedCleaned[[#This Row],[ID]], Table2[ID],Table2[Pilot], "Not Found", 0 )</f>
        <v>0</v>
      </c>
      <c r="Y1980" s="16">
        <f>_xlfn.XLOOKUP(CustomerCombinedCleaned[[#This Row],[ID]], Table2[ID],Table2[MC1], "Not Found", 0 )</f>
        <v>0</v>
      </c>
      <c r="Z1980" s="16">
        <f>_xlfn.XLOOKUP(CustomerCombinedCleaned[[#This Row],[ID]], Table2[ID],Table2[MC2], "Not Found", 0 )</f>
        <v>0</v>
      </c>
      <c r="AA1980" s="16">
        <f>_xlfn.XLOOKUP(CustomerCombinedCleaned[[#This Row],[ID]], Table2[ID],Table2[MC3], "Not Found", 0 )</f>
        <v>0</v>
      </c>
      <c r="AB1980" s="16">
        <f>_xlfn.XLOOKUP(CustomerCombinedCleaned[[#This Row],[ID]], Table2[ID],Table2[MC4], "Not Found", 0 )</f>
        <v>0</v>
      </c>
      <c r="AC1980" s="16">
        <f>_xlfn.XLOOKUP(CustomerCombinedCleaned[[#This Row],[ID]], Table2[ID],Table2[MC5], "Not Found", 0 )</f>
        <v>0</v>
      </c>
    </row>
    <row r="1981" spans="1:29" x14ac:dyDescent="0.3">
      <c r="A1981" s="18">
        <v>2519</v>
      </c>
      <c r="B1981" s="16">
        <v>151411</v>
      </c>
      <c r="C1981" s="16">
        <v>1</v>
      </c>
      <c r="D1981" s="16">
        <v>2</v>
      </c>
      <c r="E1981" s="16">
        <v>67</v>
      </c>
      <c r="F1981" s="17" t="s">
        <v>7</v>
      </c>
      <c r="G1981" s="17" t="s">
        <v>13</v>
      </c>
      <c r="H1981" s="3" t="s">
        <v>245</v>
      </c>
      <c r="I1981" s="5" t="s">
        <v>434</v>
      </c>
      <c r="J1981" s="16">
        <f>_xlfn.XLOOKUP(CustomerCombinedCleaned[[#This Row],[ID]], Table4[ID], Table4[Recency], "Not Found", 0)</f>
        <v>81</v>
      </c>
      <c r="K1981" s="16">
        <f>_xlfn.XLOOKUP(CustomerCombinedCleaned[[#This Row],[ID]], Table4[ID], Table4[Teas], "Not Found", 0)</f>
        <v>41</v>
      </c>
      <c r="L1981" s="16">
        <f>_xlfn.XLOOKUP(CustomerCombinedCleaned[[#This Row],[ID]], Table4[ID], Table4[Fruits], "Not Found", 0)</f>
        <v>0</v>
      </c>
      <c r="M1981" s="16">
        <f>_xlfn.XLOOKUP(CustomerCombinedCleaned[[#This Row],[ID]], Table4[ID], Table4[Meats], "Not Found", 0)</f>
        <v>9</v>
      </c>
      <c r="N1981" s="16">
        <f>_xlfn.XLOOKUP(CustomerCombinedCleaned[[#This Row],[ID]], Table4[ID], Table4[Seafood], "Not Found", 0)</f>
        <v>0</v>
      </c>
      <c r="O1981" s="16">
        <f>_xlfn.XLOOKUP(CustomerCombinedCleaned[[#This Row],[ID]], Table4[ID], Table4[Sweets], "Not Found", 0)</f>
        <v>0</v>
      </c>
      <c r="P1981" s="16">
        <f>_xlfn.XLOOKUP(CustomerCombinedCleaned[[#This Row],[ID]], Table4[ID], Table4[Premium], "Not Found", 0)</f>
        <v>3</v>
      </c>
      <c r="Q1981" s="16">
        <f>_xlfn.XLOOKUP(CustomerCombinedCleaned[[#This Row],[ID]], Table4[ID], Table4[Regular], "Not Found", 0)</f>
        <v>47</v>
      </c>
      <c r="R1981" s="16">
        <f>_xlfn.XLOOKUP(CustomerCombinedCleaned[[#This Row],[ID]], Table4[ID], Table4[Deals], "Not Found", 0)</f>
        <v>1</v>
      </c>
      <c r="S1981" s="16">
        <f>_xlfn.XLOOKUP(CustomerCombinedCleaned[[#This Row],[ID]], Table4[ID], Table4[Website], "Not Found", 0)</f>
        <v>0</v>
      </c>
      <c r="T1981" s="16">
        <f>_xlfn.XLOOKUP(CustomerCombinedCleaned[[#This Row],[ID]], Table4[ID], Table4[Catalog], "Not Found", 0)</f>
        <v>0</v>
      </c>
      <c r="U1981" s="16">
        <f>_xlfn.XLOOKUP(CustomerCombinedCleaned[[#This Row],[ID]], Table4[ID], Table4[Store], "Not Found", 0)</f>
        <v>3</v>
      </c>
      <c r="V1981" s="16">
        <f>_xlfn.XLOOKUP(CustomerCombinedCleaned[[#This Row],[ID]], Table4[ID], Table4[Visits], "Not Found", 0)</f>
        <v>5</v>
      </c>
      <c r="W1981" s="16">
        <f>_xlfn.XLOOKUP(CustomerCombinedCleaned[[#This Row],[ID]], Table2[ID],Table2[Complaint], "Not Found", 0 )</f>
        <v>0</v>
      </c>
      <c r="X1981" s="16">
        <f>_xlfn.XLOOKUP(CustomerCombinedCleaned[[#This Row],[ID]], Table2[ID],Table2[Pilot], "Not Found", 0 )</f>
        <v>0</v>
      </c>
      <c r="Y1981" s="16">
        <f>_xlfn.XLOOKUP(CustomerCombinedCleaned[[#This Row],[ID]], Table2[ID],Table2[MC1], "Not Found", 0 )</f>
        <v>0</v>
      </c>
      <c r="Z1981" s="16">
        <f>_xlfn.XLOOKUP(CustomerCombinedCleaned[[#This Row],[ID]], Table2[ID],Table2[MC2], "Not Found", 0 )</f>
        <v>0</v>
      </c>
      <c r="AA1981" s="16">
        <f>_xlfn.XLOOKUP(CustomerCombinedCleaned[[#This Row],[ID]], Table2[ID],Table2[MC3], "Not Found", 0 )</f>
        <v>0</v>
      </c>
      <c r="AB1981" s="16">
        <f>_xlfn.XLOOKUP(CustomerCombinedCleaned[[#This Row],[ID]], Table2[ID],Table2[MC4], "Not Found", 0 )</f>
        <v>0</v>
      </c>
      <c r="AC1981" s="16">
        <f>_xlfn.XLOOKUP(CustomerCombinedCleaned[[#This Row],[ID]], Table2[ID],Table2[MC5], "Not Found", 0 )</f>
        <v>0</v>
      </c>
    </row>
    <row r="1982" spans="1:29" x14ac:dyDescent="0.3">
      <c r="A1982" s="18">
        <v>2442</v>
      </c>
      <c r="B1982" s="16">
        <v>150725</v>
      </c>
      <c r="C1982" s="16">
        <v>0</v>
      </c>
      <c r="D1982" s="16">
        <v>1</v>
      </c>
      <c r="E1982" s="16">
        <v>67</v>
      </c>
      <c r="F1982" s="17" t="s">
        <v>6</v>
      </c>
      <c r="G1982" s="17" t="s">
        <v>11</v>
      </c>
      <c r="H1982" s="3" t="s">
        <v>310</v>
      </c>
      <c r="I1982" s="5" t="s">
        <v>436</v>
      </c>
      <c r="J1982" s="16">
        <f>_xlfn.XLOOKUP(CustomerCombinedCleaned[[#This Row],[ID]], Table4[ID], Table4[Recency], "Not Found", 0)</f>
        <v>45</v>
      </c>
      <c r="K1982" s="16">
        <f>_xlfn.XLOOKUP(CustomerCombinedCleaned[[#This Row],[ID]], Table4[ID], Table4[Teas], "Not Found", 0)</f>
        <v>1316</v>
      </c>
      <c r="L1982" s="16">
        <f>_xlfn.XLOOKUP(CustomerCombinedCleaned[[#This Row],[ID]], Table4[ID], Table4[Fruits], "Not Found", 0)</f>
        <v>30</v>
      </c>
      <c r="M1982" s="16">
        <f>_xlfn.XLOOKUP(CustomerCombinedCleaned[[#This Row],[ID]], Table4[ID], Table4[Meats], "Not Found", 0)</f>
        <v>223</v>
      </c>
      <c r="N1982" s="16">
        <f>_xlfn.XLOOKUP(CustomerCombinedCleaned[[#This Row],[ID]], Table4[ID], Table4[Seafood], "Not Found", 0)</f>
        <v>0</v>
      </c>
      <c r="O1982" s="16">
        <f>_xlfn.XLOOKUP(CustomerCombinedCleaned[[#This Row],[ID]], Table4[ID], Table4[Sweets], "Not Found", 0)</f>
        <v>30</v>
      </c>
      <c r="P1982" s="16">
        <f>_xlfn.XLOOKUP(CustomerCombinedCleaned[[#This Row],[ID]], Table4[ID], Table4[Premium], "Not Found", 0)</f>
        <v>143</v>
      </c>
      <c r="Q1982" s="16">
        <f>_xlfn.XLOOKUP(CustomerCombinedCleaned[[#This Row],[ID]], Table4[ID], Table4[Regular], "Not Found", 0)</f>
        <v>1456</v>
      </c>
      <c r="R1982" s="16">
        <f>_xlfn.XLOOKUP(CustomerCombinedCleaned[[#This Row],[ID]], Table4[ID], Table4[Deals], "Not Found", 0)</f>
        <v>4</v>
      </c>
      <c r="S1982" s="16">
        <f>_xlfn.XLOOKUP(CustomerCombinedCleaned[[#This Row],[ID]], Table4[ID], Table4[Website], "Not Found", 0)</f>
        <v>8</v>
      </c>
      <c r="T1982" s="16">
        <f>_xlfn.XLOOKUP(CustomerCombinedCleaned[[#This Row],[ID]], Table4[ID], Table4[Catalog], "Not Found", 0)</f>
        <v>1</v>
      </c>
      <c r="U1982" s="16">
        <f>_xlfn.XLOOKUP(CustomerCombinedCleaned[[#This Row],[ID]], Table4[ID], Table4[Store], "Not Found", 0)</f>
        <v>8</v>
      </c>
      <c r="V1982" s="16">
        <f>_xlfn.XLOOKUP(CustomerCombinedCleaned[[#This Row],[ID]], Table4[ID], Table4[Visits], "Not Found", 0)</f>
        <v>8</v>
      </c>
      <c r="W1982" s="16">
        <f>_xlfn.XLOOKUP(CustomerCombinedCleaned[[#This Row],[ID]], Table2[ID],Table2[Complaint], "Not Found", 0 )</f>
        <v>0</v>
      </c>
      <c r="X1982" s="16">
        <f>_xlfn.XLOOKUP(CustomerCombinedCleaned[[#This Row],[ID]], Table2[ID],Table2[Pilot], "Not Found", 0 )</f>
        <v>0</v>
      </c>
      <c r="Y1982" s="16">
        <f>_xlfn.XLOOKUP(CustomerCombinedCleaned[[#This Row],[ID]], Table2[ID],Table2[MC1], "Not Found", 0 )</f>
        <v>0</v>
      </c>
      <c r="Z1982" s="16">
        <f>_xlfn.XLOOKUP(CustomerCombinedCleaned[[#This Row],[ID]], Table2[ID],Table2[MC2], "Not Found", 0 )</f>
        <v>0</v>
      </c>
      <c r="AA1982" s="16">
        <f>_xlfn.XLOOKUP(CustomerCombinedCleaned[[#This Row],[ID]], Table2[ID],Table2[MC3], "Not Found", 0 )</f>
        <v>0</v>
      </c>
      <c r="AB1982" s="16">
        <f>_xlfn.XLOOKUP(CustomerCombinedCleaned[[#This Row],[ID]], Table2[ID],Table2[MC4], "Not Found", 0 )</f>
        <v>0</v>
      </c>
      <c r="AC1982" s="16">
        <f>_xlfn.XLOOKUP(CustomerCombinedCleaned[[#This Row],[ID]], Table2[ID],Table2[MC5], "Not Found", 0 )</f>
        <v>0</v>
      </c>
    </row>
    <row r="1983" spans="1:29" x14ac:dyDescent="0.3">
      <c r="A1983" s="18">
        <v>3029</v>
      </c>
      <c r="B1983" s="16">
        <v>148794</v>
      </c>
      <c r="C1983" s="16">
        <v>1</v>
      </c>
      <c r="D1983" s="16">
        <v>1</v>
      </c>
      <c r="E1983" s="16">
        <v>67</v>
      </c>
      <c r="F1983" s="17" t="s">
        <v>8</v>
      </c>
      <c r="G1983" s="17" t="s">
        <v>11</v>
      </c>
      <c r="H1983" s="3" t="s">
        <v>23</v>
      </c>
      <c r="I1983" s="5" t="s">
        <v>434</v>
      </c>
      <c r="J1983" s="16">
        <f>_xlfn.XLOOKUP(CustomerCombinedCleaned[[#This Row],[ID]], Table4[ID], Table4[Recency], "Not Found", 0)</f>
        <v>97</v>
      </c>
      <c r="K1983" s="16">
        <f>_xlfn.XLOOKUP(CustomerCombinedCleaned[[#This Row],[ID]], Table4[ID], Table4[Teas], "Not Found", 0)</f>
        <v>76</v>
      </c>
      <c r="L1983" s="16">
        <f>_xlfn.XLOOKUP(CustomerCombinedCleaned[[#This Row],[ID]], Table4[ID], Table4[Fruits], "Not Found", 0)</f>
        <v>0</v>
      </c>
      <c r="M1983" s="16">
        <f>_xlfn.XLOOKUP(CustomerCombinedCleaned[[#This Row],[ID]], Table4[ID], Table4[Meats], "Not Found", 0)</f>
        <v>34</v>
      </c>
      <c r="N1983" s="16">
        <f>_xlfn.XLOOKUP(CustomerCombinedCleaned[[#This Row],[ID]], Table4[ID], Table4[Seafood], "Not Found", 0)</f>
        <v>9</v>
      </c>
      <c r="O1983" s="16">
        <f>_xlfn.XLOOKUP(CustomerCombinedCleaned[[#This Row],[ID]], Table4[ID], Table4[Sweets], "Not Found", 0)</f>
        <v>0</v>
      </c>
      <c r="P1983" s="16">
        <f>_xlfn.XLOOKUP(CustomerCombinedCleaned[[#This Row],[ID]], Table4[ID], Table4[Premium], "Not Found", 0)</f>
        <v>46</v>
      </c>
      <c r="Q1983" s="16">
        <f>_xlfn.XLOOKUP(CustomerCombinedCleaned[[#This Row],[ID]], Table4[ID], Table4[Regular], "Not Found", 0)</f>
        <v>73</v>
      </c>
      <c r="R1983" s="16">
        <f>_xlfn.XLOOKUP(CustomerCombinedCleaned[[#This Row],[ID]], Table4[ID], Table4[Deals], "Not Found", 0)</f>
        <v>1</v>
      </c>
      <c r="S1983" s="16">
        <f>_xlfn.XLOOKUP(CustomerCombinedCleaned[[#This Row],[ID]], Table4[ID], Table4[Website], "Not Found", 0)</f>
        <v>1</v>
      </c>
      <c r="T1983" s="16">
        <f>_xlfn.XLOOKUP(CustomerCombinedCleaned[[#This Row],[ID]], Table4[ID], Table4[Catalog], "Not Found", 0)</f>
        <v>0</v>
      </c>
      <c r="U1983" s="16">
        <f>_xlfn.XLOOKUP(CustomerCombinedCleaned[[#This Row],[ID]], Table4[ID], Table4[Store], "Not Found", 0)</f>
        <v>3</v>
      </c>
      <c r="V1983" s="16">
        <f>_xlfn.XLOOKUP(CustomerCombinedCleaned[[#This Row],[ID]], Table4[ID], Table4[Visits], "Not Found", 0)</f>
        <v>4</v>
      </c>
      <c r="W1983" s="16">
        <f>_xlfn.XLOOKUP(CustomerCombinedCleaned[[#This Row],[ID]], Table2[ID],Table2[Complaint], "Not Found", 0 )</f>
        <v>0</v>
      </c>
      <c r="X1983" s="16">
        <f>_xlfn.XLOOKUP(CustomerCombinedCleaned[[#This Row],[ID]], Table2[ID],Table2[Pilot], "Not Found", 0 )</f>
        <v>0</v>
      </c>
      <c r="Y1983" s="16">
        <f>_xlfn.XLOOKUP(CustomerCombinedCleaned[[#This Row],[ID]], Table2[ID],Table2[MC1], "Not Found", 0 )</f>
        <v>0</v>
      </c>
      <c r="Z1983" s="16">
        <f>_xlfn.XLOOKUP(CustomerCombinedCleaned[[#This Row],[ID]], Table2[ID],Table2[MC2], "Not Found", 0 )</f>
        <v>0</v>
      </c>
      <c r="AA1983" s="16">
        <f>_xlfn.XLOOKUP(CustomerCombinedCleaned[[#This Row],[ID]], Table2[ID],Table2[MC3], "Not Found", 0 )</f>
        <v>0</v>
      </c>
      <c r="AB1983" s="16">
        <f>_xlfn.XLOOKUP(CustomerCombinedCleaned[[#This Row],[ID]], Table2[ID],Table2[MC4], "Not Found", 0 )</f>
        <v>0</v>
      </c>
      <c r="AC1983" s="16">
        <f>_xlfn.XLOOKUP(CustomerCombinedCleaned[[#This Row],[ID]], Table2[ID],Table2[MC5], "Not Found", 0 )</f>
        <v>0</v>
      </c>
    </row>
    <row r="1984" spans="1:29" x14ac:dyDescent="0.3">
      <c r="A1984" s="18">
        <v>1409</v>
      </c>
      <c r="B1984" s="16">
        <v>148686</v>
      </c>
      <c r="C1984" s="16">
        <v>1</v>
      </c>
      <c r="D1984" s="16">
        <v>2</v>
      </c>
      <c r="E1984" s="16">
        <v>67</v>
      </c>
      <c r="F1984" s="17" t="s">
        <v>6</v>
      </c>
      <c r="G1984" s="17" t="s">
        <v>11</v>
      </c>
      <c r="H1984" s="3" t="s">
        <v>687</v>
      </c>
      <c r="I1984" s="5" t="s">
        <v>434</v>
      </c>
      <c r="J1984" s="16">
        <f>_xlfn.XLOOKUP(CustomerCombinedCleaned[[#This Row],[ID]], Table4[ID], Table4[Recency], "Not Found", 0)</f>
        <v>8</v>
      </c>
      <c r="K1984" s="16">
        <f>_xlfn.XLOOKUP(CustomerCombinedCleaned[[#This Row],[ID]], Table4[ID], Table4[Teas], "Not Found", 0)</f>
        <v>31</v>
      </c>
      <c r="L1984" s="16">
        <f>_xlfn.XLOOKUP(CustomerCombinedCleaned[[#This Row],[ID]], Table4[ID], Table4[Fruits], "Not Found", 0)</f>
        <v>0</v>
      </c>
      <c r="M1984" s="16">
        <f>_xlfn.XLOOKUP(CustomerCombinedCleaned[[#This Row],[ID]], Table4[ID], Table4[Meats], "Not Found", 0)</f>
        <v>21</v>
      </c>
      <c r="N1984" s="16">
        <f>_xlfn.XLOOKUP(CustomerCombinedCleaned[[#This Row],[ID]], Table4[ID], Table4[Seafood], "Not Found", 0)</f>
        <v>6</v>
      </c>
      <c r="O1984" s="16">
        <f>_xlfn.XLOOKUP(CustomerCombinedCleaned[[#This Row],[ID]], Table4[ID], Table4[Sweets], "Not Found", 0)</f>
        <v>0</v>
      </c>
      <c r="P1984" s="16">
        <f>_xlfn.XLOOKUP(CustomerCombinedCleaned[[#This Row],[ID]], Table4[ID], Table4[Premium], "Not Found", 0)</f>
        <v>3</v>
      </c>
      <c r="Q1984" s="16">
        <f>_xlfn.XLOOKUP(CustomerCombinedCleaned[[#This Row],[ID]], Table4[ID], Table4[Regular], "Not Found", 0)</f>
        <v>55</v>
      </c>
      <c r="R1984" s="16">
        <f>_xlfn.XLOOKUP(CustomerCombinedCleaned[[#This Row],[ID]], Table4[ID], Table4[Deals], "Not Found", 0)</f>
        <v>1</v>
      </c>
      <c r="S1984" s="16">
        <f>_xlfn.XLOOKUP(CustomerCombinedCleaned[[#This Row],[ID]], Table4[ID], Table4[Website], "Not Found", 0)</f>
        <v>1</v>
      </c>
      <c r="T1984" s="16">
        <f>_xlfn.XLOOKUP(CustomerCombinedCleaned[[#This Row],[ID]], Table4[ID], Table4[Catalog], "Not Found", 0)</f>
        <v>0</v>
      </c>
      <c r="U1984" s="16">
        <f>_xlfn.XLOOKUP(CustomerCombinedCleaned[[#This Row],[ID]], Table4[ID], Table4[Store], "Not Found", 0)</f>
        <v>2</v>
      </c>
      <c r="V1984" s="16">
        <f>_xlfn.XLOOKUP(CustomerCombinedCleaned[[#This Row],[ID]], Table4[ID], Table4[Visits], "Not Found", 0)</f>
        <v>8</v>
      </c>
      <c r="W1984" s="16">
        <f>_xlfn.XLOOKUP(CustomerCombinedCleaned[[#This Row],[ID]], Table2[ID],Table2[Complaint], "Not Found", 0 )</f>
        <v>0</v>
      </c>
      <c r="X1984" s="16">
        <f>_xlfn.XLOOKUP(CustomerCombinedCleaned[[#This Row],[ID]], Table2[ID],Table2[Pilot], "Not Found", 0 )</f>
        <v>0</v>
      </c>
      <c r="Y1984" s="16">
        <f>_xlfn.XLOOKUP(CustomerCombinedCleaned[[#This Row],[ID]], Table2[ID],Table2[MC1], "Not Found", 0 )</f>
        <v>0</v>
      </c>
      <c r="Z1984" s="16">
        <f>_xlfn.XLOOKUP(CustomerCombinedCleaned[[#This Row],[ID]], Table2[ID],Table2[MC2], "Not Found", 0 )</f>
        <v>0</v>
      </c>
      <c r="AA1984" s="16">
        <f>_xlfn.XLOOKUP(CustomerCombinedCleaned[[#This Row],[ID]], Table2[ID],Table2[MC3], "Not Found", 0 )</f>
        <v>0</v>
      </c>
      <c r="AB1984" s="16">
        <f>_xlfn.XLOOKUP(CustomerCombinedCleaned[[#This Row],[ID]], Table2[ID],Table2[MC4], "Not Found", 0 )</f>
        <v>0</v>
      </c>
      <c r="AC1984" s="16">
        <f>_xlfn.XLOOKUP(CustomerCombinedCleaned[[#This Row],[ID]], Table2[ID],Table2[MC5], "Not Found", 0 )</f>
        <v>0</v>
      </c>
    </row>
    <row r="1985" spans="1:29" x14ac:dyDescent="0.3">
      <c r="A1985" s="18">
        <v>2020</v>
      </c>
      <c r="B1985" s="16">
        <v>147703</v>
      </c>
      <c r="C1985" s="16">
        <v>0</v>
      </c>
      <c r="D1985" s="16">
        <v>1</v>
      </c>
      <c r="E1985" s="16">
        <v>67</v>
      </c>
      <c r="F1985" s="17" t="s">
        <v>6</v>
      </c>
      <c r="G1985" s="17" t="s">
        <v>11</v>
      </c>
      <c r="H1985" s="3" t="s">
        <v>627</v>
      </c>
      <c r="I1985" s="5" t="s">
        <v>439</v>
      </c>
      <c r="J1985" s="16">
        <f>_xlfn.XLOOKUP(CustomerCombinedCleaned[[#This Row],[ID]], Table4[ID], Table4[Recency], "Not Found", 0)</f>
        <v>95</v>
      </c>
      <c r="K1985" s="16">
        <f>_xlfn.XLOOKUP(CustomerCombinedCleaned[[#This Row],[ID]], Table4[ID], Table4[Teas], "Not Found", 0)</f>
        <v>1112</v>
      </c>
      <c r="L1985" s="16">
        <f>_xlfn.XLOOKUP(CustomerCombinedCleaned[[#This Row],[ID]], Table4[ID], Table4[Fruits], "Not Found", 0)</f>
        <v>0</v>
      </c>
      <c r="M1985" s="16">
        <f>_xlfn.XLOOKUP(CustomerCombinedCleaned[[#This Row],[ID]], Table4[ID], Table4[Meats], "Not Found", 0)</f>
        <v>415</v>
      </c>
      <c r="N1985" s="16">
        <f>_xlfn.XLOOKUP(CustomerCombinedCleaned[[#This Row],[ID]], Table4[ID], Table4[Seafood], "Not Found", 0)</f>
        <v>40</v>
      </c>
      <c r="O1985" s="16">
        <f>_xlfn.XLOOKUP(CustomerCombinedCleaned[[#This Row],[ID]], Table4[ID], Table4[Sweets], "Not Found", 0)</f>
        <v>81</v>
      </c>
      <c r="P1985" s="16">
        <f>_xlfn.XLOOKUP(CustomerCombinedCleaned[[#This Row],[ID]], Table4[ID], Table4[Premium], "Not Found", 0)</f>
        <v>381</v>
      </c>
      <c r="Q1985" s="16">
        <f>_xlfn.XLOOKUP(CustomerCombinedCleaned[[#This Row],[ID]], Table4[ID], Table4[Regular], "Not Found", 0)</f>
        <v>1266</v>
      </c>
      <c r="R1985" s="16">
        <f>_xlfn.XLOOKUP(CustomerCombinedCleaned[[#This Row],[ID]], Table4[ID], Table4[Deals], "Not Found", 0)</f>
        <v>4</v>
      </c>
      <c r="S1985" s="16">
        <f>_xlfn.XLOOKUP(CustomerCombinedCleaned[[#This Row],[ID]], Table4[ID], Table4[Website], "Not Found", 0)</f>
        <v>6</v>
      </c>
      <c r="T1985" s="16">
        <f>_xlfn.XLOOKUP(CustomerCombinedCleaned[[#This Row],[ID]], Table4[ID], Table4[Catalog], "Not Found", 0)</f>
        <v>3</v>
      </c>
      <c r="U1985" s="16">
        <f>_xlfn.XLOOKUP(CustomerCombinedCleaned[[#This Row],[ID]], Table4[ID], Table4[Store], "Not Found", 0)</f>
        <v>8</v>
      </c>
      <c r="V1985" s="16">
        <f>_xlfn.XLOOKUP(CustomerCombinedCleaned[[#This Row],[ID]], Table4[ID], Table4[Visits], "Not Found", 0)</f>
        <v>5</v>
      </c>
      <c r="W1985" s="16">
        <f>_xlfn.XLOOKUP(CustomerCombinedCleaned[[#This Row],[ID]], Table2[ID],Table2[Complaint], "Not Found", 0 )</f>
        <v>0</v>
      </c>
      <c r="X1985" s="16">
        <f>_xlfn.XLOOKUP(CustomerCombinedCleaned[[#This Row],[ID]], Table2[ID],Table2[Pilot], "Not Found", 0 )</f>
        <v>0</v>
      </c>
      <c r="Y1985" s="16">
        <f>_xlfn.XLOOKUP(CustomerCombinedCleaned[[#This Row],[ID]], Table2[ID],Table2[MC1], "Not Found", 0 )</f>
        <v>0</v>
      </c>
      <c r="Z1985" s="16">
        <f>_xlfn.XLOOKUP(CustomerCombinedCleaned[[#This Row],[ID]], Table2[ID],Table2[MC2], "Not Found", 0 )</f>
        <v>0</v>
      </c>
      <c r="AA1985" s="16">
        <f>_xlfn.XLOOKUP(CustomerCombinedCleaned[[#This Row],[ID]], Table2[ID],Table2[MC3], "Not Found", 0 )</f>
        <v>0</v>
      </c>
      <c r="AB1985" s="16">
        <f>_xlfn.XLOOKUP(CustomerCombinedCleaned[[#This Row],[ID]], Table2[ID],Table2[MC4], "Not Found", 0 )</f>
        <v>0</v>
      </c>
      <c r="AC1985" s="16">
        <f>_xlfn.XLOOKUP(CustomerCombinedCleaned[[#This Row],[ID]], Table2[ID],Table2[MC5], "Not Found", 0 )</f>
        <v>0</v>
      </c>
    </row>
    <row r="1986" spans="1:29" x14ac:dyDescent="0.3">
      <c r="A1986" s="18">
        <v>1867</v>
      </c>
      <c r="B1986" s="16">
        <v>146231</v>
      </c>
      <c r="C1986" s="16">
        <v>2</v>
      </c>
      <c r="D1986" s="16">
        <v>1</v>
      </c>
      <c r="E1986" s="16">
        <v>67</v>
      </c>
      <c r="F1986" s="17" t="s">
        <v>7</v>
      </c>
      <c r="G1986" s="17" t="s">
        <v>13</v>
      </c>
      <c r="H1986" s="3" t="s">
        <v>705</v>
      </c>
      <c r="I1986" s="5" t="s">
        <v>437</v>
      </c>
      <c r="J1986" s="16">
        <f>_xlfn.XLOOKUP(CustomerCombinedCleaned[[#This Row],[ID]], Table4[ID], Table4[Recency], "Not Found", 0)</f>
        <v>87</v>
      </c>
      <c r="K1986" s="16">
        <f>_xlfn.XLOOKUP(CustomerCombinedCleaned[[#This Row],[ID]], Table4[ID], Table4[Teas], "Not Found", 0)</f>
        <v>598</v>
      </c>
      <c r="L1986" s="16">
        <f>_xlfn.XLOOKUP(CustomerCombinedCleaned[[#This Row],[ID]], Table4[ID], Table4[Fruits], "Not Found", 0)</f>
        <v>6</v>
      </c>
      <c r="M1986" s="16">
        <f>_xlfn.XLOOKUP(CustomerCombinedCleaned[[#This Row],[ID]], Table4[ID], Table4[Meats], "Not Found", 0)</f>
        <v>174</v>
      </c>
      <c r="N1986" s="16">
        <f>_xlfn.XLOOKUP(CustomerCombinedCleaned[[#This Row],[ID]], Table4[ID], Table4[Seafood], "Not Found", 0)</f>
        <v>0</v>
      </c>
      <c r="O1986" s="16">
        <f>_xlfn.XLOOKUP(CustomerCombinedCleaned[[#This Row],[ID]], Table4[ID], Table4[Sweets], "Not Found", 0)</f>
        <v>16</v>
      </c>
      <c r="P1986" s="16">
        <f>_xlfn.XLOOKUP(CustomerCombinedCleaned[[#This Row],[ID]], Table4[ID], Table4[Premium], "Not Found", 0)</f>
        <v>38</v>
      </c>
      <c r="Q1986" s="16">
        <f>_xlfn.XLOOKUP(CustomerCombinedCleaned[[#This Row],[ID]], Table4[ID], Table4[Regular], "Not Found", 0)</f>
        <v>756</v>
      </c>
      <c r="R1986" s="16">
        <f>_xlfn.XLOOKUP(CustomerCombinedCleaned[[#This Row],[ID]], Table4[ID], Table4[Deals], "Not Found", 0)</f>
        <v>4</v>
      </c>
      <c r="S1986" s="16">
        <f>_xlfn.XLOOKUP(CustomerCombinedCleaned[[#This Row],[ID]], Table4[ID], Table4[Website], "Not Found", 0)</f>
        <v>6</v>
      </c>
      <c r="T1986" s="16">
        <f>_xlfn.XLOOKUP(CustomerCombinedCleaned[[#This Row],[ID]], Table4[ID], Table4[Catalog], "Not Found", 0)</f>
        <v>1</v>
      </c>
      <c r="U1986" s="16">
        <f>_xlfn.XLOOKUP(CustomerCombinedCleaned[[#This Row],[ID]], Table4[ID], Table4[Store], "Not Found", 0)</f>
        <v>4</v>
      </c>
      <c r="V1986" s="16">
        <f>_xlfn.XLOOKUP(CustomerCombinedCleaned[[#This Row],[ID]], Table4[ID], Table4[Visits], "Not Found", 0)</f>
        <v>9</v>
      </c>
      <c r="W1986" s="16">
        <f>_xlfn.XLOOKUP(CustomerCombinedCleaned[[#This Row],[ID]], Table2[ID],Table2[Complaint], "Not Found", 0 )</f>
        <v>0</v>
      </c>
      <c r="X1986" s="16">
        <f>_xlfn.XLOOKUP(CustomerCombinedCleaned[[#This Row],[ID]], Table2[ID],Table2[Pilot], "Not Found", 0 )</f>
        <v>0</v>
      </c>
      <c r="Y1986" s="16">
        <f>_xlfn.XLOOKUP(CustomerCombinedCleaned[[#This Row],[ID]], Table2[ID],Table2[MC1], "Not Found", 0 )</f>
        <v>0</v>
      </c>
      <c r="Z1986" s="16">
        <f>_xlfn.XLOOKUP(CustomerCombinedCleaned[[#This Row],[ID]], Table2[ID],Table2[MC2], "Not Found", 0 )</f>
        <v>0</v>
      </c>
      <c r="AA1986" s="16">
        <f>_xlfn.XLOOKUP(CustomerCombinedCleaned[[#This Row],[ID]], Table2[ID],Table2[MC3], "Not Found", 0 )</f>
        <v>0</v>
      </c>
      <c r="AB1986" s="16">
        <f>_xlfn.XLOOKUP(CustomerCombinedCleaned[[#This Row],[ID]], Table2[ID],Table2[MC4], "Not Found", 0 )</f>
        <v>0</v>
      </c>
      <c r="AC1986" s="16">
        <f>_xlfn.XLOOKUP(CustomerCombinedCleaned[[#This Row],[ID]], Table2[ID],Table2[MC5], "Not Found", 0 )</f>
        <v>0</v>
      </c>
    </row>
    <row r="1987" spans="1:29" x14ac:dyDescent="0.3">
      <c r="A1987" s="18">
        <v>1756</v>
      </c>
      <c r="B1987" s="16">
        <v>141452</v>
      </c>
      <c r="C1987" s="16">
        <v>1</v>
      </c>
      <c r="D1987" s="16">
        <v>1</v>
      </c>
      <c r="E1987" s="16">
        <v>67</v>
      </c>
      <c r="F1987" s="17" t="s">
        <v>8</v>
      </c>
      <c r="G1987" s="17" t="s">
        <v>11</v>
      </c>
      <c r="H1987" s="3" t="s">
        <v>770</v>
      </c>
      <c r="I1987" s="5" t="s">
        <v>439</v>
      </c>
      <c r="J1987" s="16">
        <f>_xlfn.XLOOKUP(CustomerCombinedCleaned[[#This Row],[ID]], Table4[ID], Table4[Recency], "Not Found", 0)</f>
        <v>86</v>
      </c>
      <c r="K1987" s="16">
        <f>_xlfn.XLOOKUP(CustomerCombinedCleaned[[#This Row],[ID]], Table4[ID], Table4[Teas], "Not Found", 0)</f>
        <v>44</v>
      </c>
      <c r="L1987" s="16">
        <f>_xlfn.XLOOKUP(CustomerCombinedCleaned[[#This Row],[ID]], Table4[ID], Table4[Fruits], "Not Found", 0)</f>
        <v>0</v>
      </c>
      <c r="M1987" s="16">
        <f>_xlfn.XLOOKUP(CustomerCombinedCleaned[[#This Row],[ID]], Table4[ID], Table4[Meats], "Not Found", 0)</f>
        <v>10</v>
      </c>
      <c r="N1987" s="16">
        <f>_xlfn.XLOOKUP(CustomerCombinedCleaned[[#This Row],[ID]], Table4[ID], Table4[Seafood], "Not Found", 0)</f>
        <v>0</v>
      </c>
      <c r="O1987" s="16">
        <f>_xlfn.XLOOKUP(CustomerCombinedCleaned[[#This Row],[ID]], Table4[ID], Table4[Sweets], "Not Found", 0)</f>
        <v>0</v>
      </c>
      <c r="P1987" s="16">
        <f>_xlfn.XLOOKUP(CustomerCombinedCleaned[[#This Row],[ID]], Table4[ID], Table4[Premium], "Not Found", 0)</f>
        <v>0</v>
      </c>
      <c r="Q1987" s="16">
        <f>_xlfn.XLOOKUP(CustomerCombinedCleaned[[#This Row],[ID]], Table4[ID], Table4[Regular], "Not Found", 0)</f>
        <v>55</v>
      </c>
      <c r="R1987" s="16">
        <f>_xlfn.XLOOKUP(CustomerCombinedCleaned[[#This Row],[ID]], Table4[ID], Table4[Deals], "Not Found", 0)</f>
        <v>1</v>
      </c>
      <c r="S1987" s="16">
        <f>_xlfn.XLOOKUP(CustomerCombinedCleaned[[#This Row],[ID]], Table4[ID], Table4[Website], "Not Found", 0)</f>
        <v>1</v>
      </c>
      <c r="T1987" s="16">
        <f>_xlfn.XLOOKUP(CustomerCombinedCleaned[[#This Row],[ID]], Table4[ID], Table4[Catalog], "Not Found", 0)</f>
        <v>0</v>
      </c>
      <c r="U1987" s="16">
        <f>_xlfn.XLOOKUP(CustomerCombinedCleaned[[#This Row],[ID]], Table4[ID], Table4[Store], "Not Found", 0)</f>
        <v>2</v>
      </c>
      <c r="V1987" s="16">
        <f>_xlfn.XLOOKUP(CustomerCombinedCleaned[[#This Row],[ID]], Table4[ID], Table4[Visits], "Not Found", 0)</f>
        <v>7</v>
      </c>
      <c r="W1987" s="16">
        <f>_xlfn.XLOOKUP(CustomerCombinedCleaned[[#This Row],[ID]], Table2[ID],Table2[Complaint], "Not Found", 0 )</f>
        <v>0</v>
      </c>
      <c r="X1987" s="16">
        <f>_xlfn.XLOOKUP(CustomerCombinedCleaned[[#This Row],[ID]], Table2[ID],Table2[Pilot], "Not Found", 0 )</f>
        <v>0</v>
      </c>
      <c r="Y1987" s="16">
        <f>_xlfn.XLOOKUP(CustomerCombinedCleaned[[#This Row],[ID]], Table2[ID],Table2[MC1], "Not Found", 0 )</f>
        <v>0</v>
      </c>
      <c r="Z1987" s="16">
        <f>_xlfn.XLOOKUP(CustomerCombinedCleaned[[#This Row],[ID]], Table2[ID],Table2[MC2], "Not Found", 0 )</f>
        <v>0</v>
      </c>
      <c r="AA1987" s="16">
        <f>_xlfn.XLOOKUP(CustomerCombinedCleaned[[#This Row],[ID]], Table2[ID],Table2[MC3], "Not Found", 0 )</f>
        <v>0</v>
      </c>
      <c r="AB1987" s="16">
        <f>_xlfn.XLOOKUP(CustomerCombinedCleaned[[#This Row],[ID]], Table2[ID],Table2[MC4], "Not Found", 0 )</f>
        <v>0</v>
      </c>
      <c r="AC1987" s="16">
        <f>_xlfn.XLOOKUP(CustomerCombinedCleaned[[#This Row],[ID]], Table2[ID],Table2[MC5], "Not Found", 0 )</f>
        <v>0</v>
      </c>
    </row>
    <row r="1988" spans="1:29" x14ac:dyDescent="0.3">
      <c r="A1988" s="18">
        <v>1309</v>
      </c>
      <c r="B1988" s="16">
        <v>140464</v>
      </c>
      <c r="C1988" s="16">
        <v>0</v>
      </c>
      <c r="D1988" s="16">
        <v>1</v>
      </c>
      <c r="E1988" s="16">
        <v>67</v>
      </c>
      <c r="F1988" s="17" t="s">
        <v>7</v>
      </c>
      <c r="G1988" s="17" t="s">
        <v>11</v>
      </c>
      <c r="H1988" s="3" t="s">
        <v>329</v>
      </c>
      <c r="I1988" s="5" t="s">
        <v>437</v>
      </c>
      <c r="J1988" s="16">
        <f>_xlfn.XLOOKUP(CustomerCombinedCleaned[[#This Row],[ID]], Table4[ID], Table4[Recency], "Not Found", 0)</f>
        <v>78</v>
      </c>
      <c r="K1988" s="16">
        <f>_xlfn.XLOOKUP(CustomerCombinedCleaned[[#This Row],[ID]], Table4[ID], Table4[Teas], "Not Found", 0)</f>
        <v>1472</v>
      </c>
      <c r="L1988" s="16">
        <f>_xlfn.XLOOKUP(CustomerCombinedCleaned[[#This Row],[ID]], Table4[ID], Table4[Fruits], "Not Found", 0)</f>
        <v>59</v>
      </c>
      <c r="M1988" s="16">
        <f>_xlfn.XLOOKUP(CustomerCombinedCleaned[[#This Row],[ID]], Table4[ID], Table4[Meats], "Not Found", 0)</f>
        <v>410</v>
      </c>
      <c r="N1988" s="16">
        <f>_xlfn.XLOOKUP(CustomerCombinedCleaned[[#This Row],[ID]], Table4[ID], Table4[Seafood], "Not Found", 0)</f>
        <v>24</v>
      </c>
      <c r="O1988" s="16">
        <f>_xlfn.XLOOKUP(CustomerCombinedCleaned[[#This Row],[ID]], Table4[ID], Table4[Sweets], "Not Found", 0)</f>
        <v>80</v>
      </c>
      <c r="P1988" s="16">
        <f>_xlfn.XLOOKUP(CustomerCombinedCleaned[[#This Row],[ID]], Table4[ID], Table4[Premium], "Not Found", 0)</f>
        <v>142</v>
      </c>
      <c r="Q1988" s="16">
        <f>_xlfn.XLOOKUP(CustomerCombinedCleaned[[#This Row],[ID]], Table4[ID], Table4[Regular], "Not Found", 0)</f>
        <v>1902</v>
      </c>
      <c r="R1988" s="16">
        <f>_xlfn.XLOOKUP(CustomerCombinedCleaned[[#This Row],[ID]], Table4[ID], Table4[Deals], "Not Found", 0)</f>
        <v>6</v>
      </c>
      <c r="S1988" s="16">
        <f>_xlfn.XLOOKUP(CustomerCombinedCleaned[[#This Row],[ID]], Table4[ID], Table4[Website], "Not Found", 0)</f>
        <v>8</v>
      </c>
      <c r="T1988" s="16">
        <f>_xlfn.XLOOKUP(CustomerCombinedCleaned[[#This Row],[ID]], Table4[ID], Table4[Catalog], "Not Found", 0)</f>
        <v>2</v>
      </c>
      <c r="U1988" s="16">
        <f>_xlfn.XLOOKUP(CustomerCombinedCleaned[[#This Row],[ID]], Table4[ID], Table4[Store], "Not Found", 0)</f>
        <v>8</v>
      </c>
      <c r="V1988" s="16">
        <f>_xlfn.XLOOKUP(CustomerCombinedCleaned[[#This Row],[ID]], Table4[ID], Table4[Visits], "Not Found", 0)</f>
        <v>8</v>
      </c>
      <c r="W1988" s="16">
        <f>_xlfn.XLOOKUP(CustomerCombinedCleaned[[#This Row],[ID]], Table2[ID],Table2[Complaint], "Not Found", 0 )</f>
        <v>0</v>
      </c>
      <c r="X1988" s="16">
        <f>_xlfn.XLOOKUP(CustomerCombinedCleaned[[#This Row],[ID]], Table2[ID],Table2[Pilot], "Not Found", 0 )</f>
        <v>0</v>
      </c>
      <c r="Y1988" s="16">
        <f>_xlfn.XLOOKUP(CustomerCombinedCleaned[[#This Row],[ID]], Table2[ID],Table2[MC1], "Not Found", 0 )</f>
        <v>0</v>
      </c>
      <c r="Z1988" s="16">
        <f>_xlfn.XLOOKUP(CustomerCombinedCleaned[[#This Row],[ID]], Table2[ID],Table2[MC2], "Not Found", 0 )</f>
        <v>0</v>
      </c>
      <c r="AA1988" s="16">
        <f>_xlfn.XLOOKUP(CustomerCombinedCleaned[[#This Row],[ID]], Table2[ID],Table2[MC3], "Not Found", 0 )</f>
        <v>0</v>
      </c>
      <c r="AB1988" s="16">
        <f>_xlfn.XLOOKUP(CustomerCombinedCleaned[[#This Row],[ID]], Table2[ID],Table2[MC4], "Not Found", 0 )</f>
        <v>0</v>
      </c>
      <c r="AC1988" s="16">
        <f>_xlfn.XLOOKUP(CustomerCombinedCleaned[[#This Row],[ID]], Table2[ID],Table2[MC5], "Not Found", 0 )</f>
        <v>0</v>
      </c>
    </row>
    <row r="1989" spans="1:29" x14ac:dyDescent="0.3">
      <c r="A1989" s="18">
        <v>2054</v>
      </c>
      <c r="B1989" s="16">
        <v>139722</v>
      </c>
      <c r="C1989" s="16">
        <v>0</v>
      </c>
      <c r="D1989" s="16">
        <v>1</v>
      </c>
      <c r="E1989" s="16">
        <v>67</v>
      </c>
      <c r="F1989" s="17" t="s">
        <v>6</v>
      </c>
      <c r="G1989" s="17" t="s">
        <v>11</v>
      </c>
      <c r="H1989" s="3" t="s">
        <v>91</v>
      </c>
      <c r="I1989" s="5" t="s">
        <v>438</v>
      </c>
      <c r="J1989" s="16">
        <f>_xlfn.XLOOKUP(CustomerCombinedCleaned[[#This Row],[ID]], Table4[ID], Table4[Recency], "Not Found", 0)</f>
        <v>92</v>
      </c>
      <c r="K1989" s="16">
        <f>_xlfn.XLOOKUP(CustomerCombinedCleaned[[#This Row],[ID]], Table4[ID], Table4[Teas], "Not Found", 0)</f>
        <v>113</v>
      </c>
      <c r="L1989" s="16">
        <f>_xlfn.XLOOKUP(CustomerCombinedCleaned[[#This Row],[ID]], Table4[ID], Table4[Fruits], "Not Found", 0)</f>
        <v>0</v>
      </c>
      <c r="M1989" s="16">
        <f>_xlfn.XLOOKUP(CustomerCombinedCleaned[[#This Row],[ID]], Table4[ID], Table4[Meats], "Not Found", 0)</f>
        <v>18</v>
      </c>
      <c r="N1989" s="16">
        <f>_xlfn.XLOOKUP(CustomerCombinedCleaned[[#This Row],[ID]], Table4[ID], Table4[Seafood], "Not Found", 0)</f>
        <v>7</v>
      </c>
      <c r="O1989" s="16">
        <f>_xlfn.XLOOKUP(CustomerCombinedCleaned[[#This Row],[ID]], Table4[ID], Table4[Sweets], "Not Found", 0)</f>
        <v>0</v>
      </c>
      <c r="P1989" s="16">
        <f>_xlfn.XLOOKUP(CustomerCombinedCleaned[[#This Row],[ID]], Table4[ID], Table4[Premium], "Not Found", 0)</f>
        <v>28</v>
      </c>
      <c r="Q1989" s="16">
        <f>_xlfn.XLOOKUP(CustomerCombinedCleaned[[#This Row],[ID]], Table4[ID], Table4[Regular], "Not Found", 0)</f>
        <v>109</v>
      </c>
      <c r="R1989" s="16">
        <f>_xlfn.XLOOKUP(CustomerCombinedCleaned[[#This Row],[ID]], Table4[ID], Table4[Deals], "Not Found", 0)</f>
        <v>2</v>
      </c>
      <c r="S1989" s="16">
        <f>_xlfn.XLOOKUP(CustomerCombinedCleaned[[#This Row],[ID]], Table4[ID], Table4[Website], "Not Found", 0)</f>
        <v>2</v>
      </c>
      <c r="T1989" s="16">
        <f>_xlfn.XLOOKUP(CustomerCombinedCleaned[[#This Row],[ID]], Table4[ID], Table4[Catalog], "Not Found", 0)</f>
        <v>0</v>
      </c>
      <c r="U1989" s="16">
        <f>_xlfn.XLOOKUP(CustomerCombinedCleaned[[#This Row],[ID]], Table4[ID], Table4[Store], "Not Found", 0)</f>
        <v>3</v>
      </c>
      <c r="V1989" s="16">
        <f>_xlfn.XLOOKUP(CustomerCombinedCleaned[[#This Row],[ID]], Table4[ID], Table4[Visits], "Not Found", 0)</f>
        <v>5</v>
      </c>
      <c r="W1989" s="16">
        <f>_xlfn.XLOOKUP(CustomerCombinedCleaned[[#This Row],[ID]], Table2[ID],Table2[Complaint], "Not Found", 0 )</f>
        <v>0</v>
      </c>
      <c r="X1989" s="16">
        <f>_xlfn.XLOOKUP(CustomerCombinedCleaned[[#This Row],[ID]], Table2[ID],Table2[Pilot], "Not Found", 0 )</f>
        <v>0</v>
      </c>
      <c r="Y1989" s="16">
        <f>_xlfn.XLOOKUP(CustomerCombinedCleaned[[#This Row],[ID]], Table2[ID],Table2[MC1], "Not Found", 0 )</f>
        <v>0</v>
      </c>
      <c r="Z1989" s="16">
        <f>_xlfn.XLOOKUP(CustomerCombinedCleaned[[#This Row],[ID]], Table2[ID],Table2[MC2], "Not Found", 0 )</f>
        <v>0</v>
      </c>
      <c r="AA1989" s="16">
        <f>_xlfn.XLOOKUP(CustomerCombinedCleaned[[#This Row],[ID]], Table2[ID],Table2[MC3], "Not Found", 0 )</f>
        <v>0</v>
      </c>
      <c r="AB1989" s="16">
        <f>_xlfn.XLOOKUP(CustomerCombinedCleaned[[#This Row],[ID]], Table2[ID],Table2[MC4], "Not Found", 0 )</f>
        <v>0</v>
      </c>
      <c r="AC1989" s="16">
        <f>_xlfn.XLOOKUP(CustomerCombinedCleaned[[#This Row],[ID]], Table2[ID],Table2[MC5], "Not Found", 0 )</f>
        <v>0</v>
      </c>
    </row>
    <row r="1990" spans="1:29" x14ac:dyDescent="0.3">
      <c r="A1990" s="18">
        <v>2378</v>
      </c>
      <c r="B1990" s="16">
        <v>137716</v>
      </c>
      <c r="C1990" s="16">
        <v>0</v>
      </c>
      <c r="D1990" s="16">
        <v>1</v>
      </c>
      <c r="E1990" s="16">
        <v>67</v>
      </c>
      <c r="F1990" s="17" t="s">
        <v>6</v>
      </c>
      <c r="G1990" s="17" t="s">
        <v>11</v>
      </c>
      <c r="H1990" s="3" t="s">
        <v>61</v>
      </c>
      <c r="I1990" s="5" t="s">
        <v>438</v>
      </c>
      <c r="J1990" s="16">
        <f>_xlfn.XLOOKUP(CustomerCombinedCleaned[[#This Row],[ID]], Table4[ID], Table4[Recency], "Not Found", 0)</f>
        <v>4</v>
      </c>
      <c r="K1990" s="16">
        <f>_xlfn.XLOOKUP(CustomerCombinedCleaned[[#This Row],[ID]], Table4[ID], Table4[Teas], "Not Found", 0)</f>
        <v>354</v>
      </c>
      <c r="L1990" s="16">
        <f>_xlfn.XLOOKUP(CustomerCombinedCleaned[[#This Row],[ID]], Table4[ID], Table4[Fruits], "Not Found", 0)</f>
        <v>4</v>
      </c>
      <c r="M1990" s="16">
        <f>_xlfn.XLOOKUP(CustomerCombinedCleaned[[#This Row],[ID]], Table4[ID], Table4[Meats], "Not Found", 0)</f>
        <v>150</v>
      </c>
      <c r="N1990" s="16">
        <f>_xlfn.XLOOKUP(CustomerCombinedCleaned[[#This Row],[ID]], Table4[ID], Table4[Seafood], "Not Found", 0)</f>
        <v>22</v>
      </c>
      <c r="O1990" s="16">
        <f>_xlfn.XLOOKUP(CustomerCombinedCleaned[[#This Row],[ID]], Table4[ID], Table4[Sweets], "Not Found", 0)</f>
        <v>7</v>
      </c>
      <c r="P1990" s="16">
        <f>_xlfn.XLOOKUP(CustomerCombinedCleaned[[#This Row],[ID]], Table4[ID], Table4[Premium], "Not Found", 0)</f>
        <v>150</v>
      </c>
      <c r="Q1990" s="16">
        <f>_xlfn.XLOOKUP(CustomerCombinedCleaned[[#This Row],[ID]], Table4[ID], Table4[Regular], "Not Found", 0)</f>
        <v>387</v>
      </c>
      <c r="R1990" s="16">
        <f>_xlfn.XLOOKUP(CustomerCombinedCleaned[[#This Row],[ID]], Table4[ID], Table4[Deals], "Not Found", 0)</f>
        <v>2</v>
      </c>
      <c r="S1990" s="16">
        <f>_xlfn.XLOOKUP(CustomerCombinedCleaned[[#This Row],[ID]], Table4[ID], Table4[Website], "Not Found", 0)</f>
        <v>4</v>
      </c>
      <c r="T1990" s="16">
        <f>_xlfn.XLOOKUP(CustomerCombinedCleaned[[#This Row],[ID]], Table4[ID], Table4[Catalog], "Not Found", 0)</f>
        <v>1</v>
      </c>
      <c r="U1990" s="16">
        <f>_xlfn.XLOOKUP(CustomerCombinedCleaned[[#This Row],[ID]], Table4[ID], Table4[Store], "Not Found", 0)</f>
        <v>3</v>
      </c>
      <c r="V1990" s="16">
        <f>_xlfn.XLOOKUP(CustomerCombinedCleaned[[#This Row],[ID]], Table4[ID], Table4[Visits], "Not Found", 0)</f>
        <v>7</v>
      </c>
      <c r="W1990" s="16">
        <f>_xlfn.XLOOKUP(CustomerCombinedCleaned[[#This Row],[ID]], Table2[ID],Table2[Complaint], "Not Found", 0 )</f>
        <v>0</v>
      </c>
      <c r="X1990" s="16">
        <f>_xlfn.XLOOKUP(CustomerCombinedCleaned[[#This Row],[ID]], Table2[ID],Table2[Pilot], "Not Found", 0 )</f>
        <v>0</v>
      </c>
      <c r="Y1990" s="16">
        <f>_xlfn.XLOOKUP(CustomerCombinedCleaned[[#This Row],[ID]], Table2[ID],Table2[MC1], "Not Found", 0 )</f>
        <v>0</v>
      </c>
      <c r="Z1990" s="16">
        <f>_xlfn.XLOOKUP(CustomerCombinedCleaned[[#This Row],[ID]], Table2[ID],Table2[MC2], "Not Found", 0 )</f>
        <v>0</v>
      </c>
      <c r="AA1990" s="16">
        <f>_xlfn.XLOOKUP(CustomerCombinedCleaned[[#This Row],[ID]], Table2[ID],Table2[MC3], "Not Found", 0 )</f>
        <v>0</v>
      </c>
      <c r="AB1990" s="16">
        <f>_xlfn.XLOOKUP(CustomerCombinedCleaned[[#This Row],[ID]], Table2[ID],Table2[MC4], "Not Found", 0 )</f>
        <v>0</v>
      </c>
      <c r="AC1990" s="16">
        <f>_xlfn.XLOOKUP(CustomerCombinedCleaned[[#This Row],[ID]], Table2[ID],Table2[MC5], "Not Found", 0 )</f>
        <v>0</v>
      </c>
    </row>
    <row r="1991" spans="1:29" x14ac:dyDescent="0.3">
      <c r="A1991" s="18">
        <v>2385</v>
      </c>
      <c r="B1991" s="16">
        <v>136957</v>
      </c>
      <c r="C1991" s="16">
        <v>1</v>
      </c>
      <c r="D1991" s="16">
        <v>1</v>
      </c>
      <c r="E1991" s="16">
        <v>67</v>
      </c>
      <c r="F1991" s="17" t="s">
        <v>5</v>
      </c>
      <c r="G1991" s="17" t="s">
        <v>13</v>
      </c>
      <c r="H1991" s="3" t="s">
        <v>781</v>
      </c>
      <c r="I1991" s="5" t="s">
        <v>435</v>
      </c>
      <c r="J1991" s="16">
        <f>_xlfn.XLOOKUP(CustomerCombinedCleaned[[#This Row],[ID]], Table4[ID], Table4[Recency], "Not Found", 0)</f>
        <v>43</v>
      </c>
      <c r="K1991" s="16">
        <f>_xlfn.XLOOKUP(CustomerCombinedCleaned[[#This Row],[ID]], Table4[ID], Table4[Teas], "Not Found", 0)</f>
        <v>371</v>
      </c>
      <c r="L1991" s="16">
        <f>_xlfn.XLOOKUP(CustomerCombinedCleaned[[#This Row],[ID]], Table4[ID], Table4[Fruits], "Not Found", 0)</f>
        <v>7</v>
      </c>
      <c r="M1991" s="16">
        <f>_xlfn.XLOOKUP(CustomerCombinedCleaned[[#This Row],[ID]], Table4[ID], Table4[Meats], "Not Found", 0)</f>
        <v>59</v>
      </c>
      <c r="N1991" s="16">
        <f>_xlfn.XLOOKUP(CustomerCombinedCleaned[[#This Row],[ID]], Table4[ID], Table4[Seafood], "Not Found", 0)</f>
        <v>7</v>
      </c>
      <c r="O1991" s="16">
        <f>_xlfn.XLOOKUP(CustomerCombinedCleaned[[#This Row],[ID]], Table4[ID], Table4[Sweets], "Not Found", 0)</f>
        <v>4</v>
      </c>
      <c r="P1991" s="16">
        <f>_xlfn.XLOOKUP(CustomerCombinedCleaned[[#This Row],[ID]], Table4[ID], Table4[Premium], "Not Found", 0)</f>
        <v>115</v>
      </c>
      <c r="Q1991" s="16">
        <f>_xlfn.XLOOKUP(CustomerCombinedCleaned[[#This Row],[ID]], Table4[ID], Table4[Regular], "Not Found", 0)</f>
        <v>334</v>
      </c>
      <c r="R1991" s="16">
        <f>_xlfn.XLOOKUP(CustomerCombinedCleaned[[#This Row],[ID]], Table4[ID], Table4[Deals], "Not Found", 0)</f>
        <v>4</v>
      </c>
      <c r="S1991" s="16">
        <f>_xlfn.XLOOKUP(CustomerCombinedCleaned[[#This Row],[ID]], Table4[ID], Table4[Website], "Not Found", 0)</f>
        <v>3</v>
      </c>
      <c r="T1991" s="16">
        <f>_xlfn.XLOOKUP(CustomerCombinedCleaned[[#This Row],[ID]], Table4[ID], Table4[Catalog], "Not Found", 0)</f>
        <v>2</v>
      </c>
      <c r="U1991" s="16">
        <f>_xlfn.XLOOKUP(CustomerCombinedCleaned[[#This Row],[ID]], Table4[ID], Table4[Store], "Not Found", 0)</f>
        <v>2</v>
      </c>
      <c r="V1991" s="16">
        <f>_xlfn.XLOOKUP(CustomerCombinedCleaned[[#This Row],[ID]], Table4[ID], Table4[Visits], "Not Found", 0)</f>
        <v>9</v>
      </c>
      <c r="W1991" s="16">
        <f>_xlfn.XLOOKUP(CustomerCombinedCleaned[[#This Row],[ID]], Table2[ID],Table2[Complaint], "Not Found", 0 )</f>
        <v>0</v>
      </c>
      <c r="X1991" s="16">
        <f>_xlfn.XLOOKUP(CustomerCombinedCleaned[[#This Row],[ID]], Table2[ID],Table2[Pilot], "Not Found", 0 )</f>
        <v>1</v>
      </c>
      <c r="Y1991" s="16">
        <f>_xlfn.XLOOKUP(CustomerCombinedCleaned[[#This Row],[ID]], Table2[ID],Table2[MC1], "Not Found", 0 )</f>
        <v>0</v>
      </c>
      <c r="Z1991" s="16">
        <f>_xlfn.XLOOKUP(CustomerCombinedCleaned[[#This Row],[ID]], Table2[ID],Table2[MC2], "Not Found", 0 )</f>
        <v>0</v>
      </c>
      <c r="AA1991" s="16">
        <f>_xlfn.XLOOKUP(CustomerCombinedCleaned[[#This Row],[ID]], Table2[ID],Table2[MC3], "Not Found", 0 )</f>
        <v>0</v>
      </c>
      <c r="AB1991" s="16">
        <f>_xlfn.XLOOKUP(CustomerCombinedCleaned[[#This Row],[ID]], Table2[ID],Table2[MC4], "Not Found", 0 )</f>
        <v>0</v>
      </c>
      <c r="AC1991" s="16">
        <f>_xlfn.XLOOKUP(CustomerCombinedCleaned[[#This Row],[ID]], Table2[ID],Table2[MC5], "Not Found", 0 )</f>
        <v>0</v>
      </c>
    </row>
    <row r="1992" spans="1:29" x14ac:dyDescent="0.3">
      <c r="A1992" s="18">
        <v>3081</v>
      </c>
      <c r="B1992" s="16">
        <v>134587</v>
      </c>
      <c r="C1992" s="16">
        <v>1</v>
      </c>
      <c r="D1992" s="16">
        <v>1</v>
      </c>
      <c r="E1992" s="16">
        <v>67</v>
      </c>
      <c r="F1992" s="17" t="s">
        <v>8</v>
      </c>
      <c r="G1992" s="17" t="s">
        <v>11</v>
      </c>
      <c r="H1992" s="3" t="s">
        <v>49</v>
      </c>
      <c r="I1992" s="5" t="s">
        <v>435</v>
      </c>
      <c r="J1992" s="16">
        <f>_xlfn.XLOOKUP(CustomerCombinedCleaned[[#This Row],[ID]], Table4[ID], Table4[Recency], "Not Found", 0)</f>
        <v>68</v>
      </c>
      <c r="K1992" s="16">
        <f>_xlfn.XLOOKUP(CustomerCombinedCleaned[[#This Row],[ID]], Table4[ID], Table4[Teas], "Not Found", 0)</f>
        <v>27</v>
      </c>
      <c r="L1992" s="16">
        <f>_xlfn.XLOOKUP(CustomerCombinedCleaned[[#This Row],[ID]], Table4[ID], Table4[Fruits], "Not Found", 0)</f>
        <v>8</v>
      </c>
      <c r="M1992" s="16">
        <f>_xlfn.XLOOKUP(CustomerCombinedCleaned[[#This Row],[ID]], Table4[ID], Table4[Meats], "Not Found", 0)</f>
        <v>35</v>
      </c>
      <c r="N1992" s="16">
        <f>_xlfn.XLOOKUP(CustomerCombinedCleaned[[#This Row],[ID]], Table4[ID], Table4[Seafood], "Not Found", 0)</f>
        <v>8</v>
      </c>
      <c r="O1992" s="16">
        <f>_xlfn.XLOOKUP(CustomerCombinedCleaned[[#This Row],[ID]], Table4[ID], Table4[Sweets], "Not Found", 0)</f>
        <v>0</v>
      </c>
      <c r="P1992" s="16">
        <f>_xlfn.XLOOKUP(CustomerCombinedCleaned[[#This Row],[ID]], Table4[ID], Table4[Premium], "Not Found", 0)</f>
        <v>8</v>
      </c>
      <c r="Q1992" s="16">
        <f>_xlfn.XLOOKUP(CustomerCombinedCleaned[[#This Row],[ID]], Table4[ID], Table4[Regular], "Not Found", 0)</f>
        <v>70</v>
      </c>
      <c r="R1992" s="16">
        <f>_xlfn.XLOOKUP(CustomerCombinedCleaned[[#This Row],[ID]], Table4[ID], Table4[Deals], "Not Found", 0)</f>
        <v>2</v>
      </c>
      <c r="S1992" s="16">
        <f>_xlfn.XLOOKUP(CustomerCombinedCleaned[[#This Row],[ID]], Table4[ID], Table4[Website], "Not Found", 0)</f>
        <v>1</v>
      </c>
      <c r="T1992" s="16">
        <f>_xlfn.XLOOKUP(CustomerCombinedCleaned[[#This Row],[ID]], Table4[ID], Table4[Catalog], "Not Found", 0)</f>
        <v>0</v>
      </c>
      <c r="U1992" s="16">
        <f>_xlfn.XLOOKUP(CustomerCombinedCleaned[[#This Row],[ID]], Table4[ID], Table4[Store], "Not Found", 0)</f>
        <v>3</v>
      </c>
      <c r="V1992" s="16">
        <f>_xlfn.XLOOKUP(CustomerCombinedCleaned[[#This Row],[ID]], Table4[ID], Table4[Visits], "Not Found", 0)</f>
        <v>4</v>
      </c>
      <c r="W1992" s="16">
        <f>_xlfn.XLOOKUP(CustomerCombinedCleaned[[#This Row],[ID]], Table2[ID],Table2[Complaint], "Not Found", 0 )</f>
        <v>0</v>
      </c>
      <c r="X1992" s="16">
        <f>_xlfn.XLOOKUP(CustomerCombinedCleaned[[#This Row],[ID]], Table2[ID],Table2[Pilot], "Not Found", 0 )</f>
        <v>0</v>
      </c>
      <c r="Y1992" s="16">
        <f>_xlfn.XLOOKUP(CustomerCombinedCleaned[[#This Row],[ID]], Table2[ID],Table2[MC1], "Not Found", 0 )</f>
        <v>0</v>
      </c>
      <c r="Z1992" s="16">
        <f>_xlfn.XLOOKUP(CustomerCombinedCleaned[[#This Row],[ID]], Table2[ID],Table2[MC2], "Not Found", 0 )</f>
        <v>0</v>
      </c>
      <c r="AA1992" s="16">
        <f>_xlfn.XLOOKUP(CustomerCombinedCleaned[[#This Row],[ID]], Table2[ID],Table2[MC3], "Not Found", 0 )</f>
        <v>0</v>
      </c>
      <c r="AB1992" s="16">
        <f>_xlfn.XLOOKUP(CustomerCombinedCleaned[[#This Row],[ID]], Table2[ID],Table2[MC4], "Not Found", 0 )</f>
        <v>0</v>
      </c>
      <c r="AC1992" s="16">
        <f>_xlfn.XLOOKUP(CustomerCombinedCleaned[[#This Row],[ID]], Table2[ID],Table2[MC5], "Not Found", 0 )</f>
        <v>0</v>
      </c>
    </row>
    <row r="1993" spans="1:29" x14ac:dyDescent="0.3">
      <c r="A1993" s="18">
        <v>3002</v>
      </c>
      <c r="B1993" s="16">
        <v>123272</v>
      </c>
      <c r="C1993" s="16">
        <v>0</v>
      </c>
      <c r="D1993" s="16">
        <v>0</v>
      </c>
      <c r="E1993" s="16">
        <v>67</v>
      </c>
      <c r="F1993" s="17" t="s">
        <v>5</v>
      </c>
      <c r="G1993" s="17" t="s">
        <v>11</v>
      </c>
      <c r="H1993" s="3" t="s">
        <v>165</v>
      </c>
      <c r="I1993" s="5" t="s">
        <v>438</v>
      </c>
      <c r="J1993" s="16">
        <f>_xlfn.XLOOKUP(CustomerCombinedCleaned[[#This Row],[ID]], Table4[ID], Table4[Recency], "Not Found", 0)</f>
        <v>29</v>
      </c>
      <c r="K1993" s="16">
        <f>_xlfn.XLOOKUP(CustomerCombinedCleaned[[#This Row],[ID]], Table4[ID], Table4[Teas], "Not Found", 0)</f>
        <v>101</v>
      </c>
      <c r="L1993" s="16">
        <f>_xlfn.XLOOKUP(CustomerCombinedCleaned[[#This Row],[ID]], Table4[ID], Table4[Fruits], "Not Found", 0)</f>
        <v>16</v>
      </c>
      <c r="M1993" s="16">
        <f>_xlfn.XLOOKUP(CustomerCombinedCleaned[[#This Row],[ID]], Table4[ID], Table4[Meats], "Not Found", 0)</f>
        <v>32</v>
      </c>
      <c r="N1993" s="16">
        <f>_xlfn.XLOOKUP(CustomerCombinedCleaned[[#This Row],[ID]], Table4[ID], Table4[Seafood], "Not Found", 0)</f>
        <v>21</v>
      </c>
      <c r="O1993" s="16">
        <f>_xlfn.XLOOKUP(CustomerCombinedCleaned[[#This Row],[ID]], Table4[ID], Table4[Sweets], "Not Found", 0)</f>
        <v>11</v>
      </c>
      <c r="P1993" s="16">
        <f>_xlfn.XLOOKUP(CustomerCombinedCleaned[[#This Row],[ID]], Table4[ID], Table4[Premium], "Not Found", 0)</f>
        <v>64</v>
      </c>
      <c r="Q1993" s="16">
        <f>_xlfn.XLOOKUP(CustomerCombinedCleaned[[#This Row],[ID]], Table4[ID], Table4[Regular], "Not Found", 0)</f>
        <v>117</v>
      </c>
      <c r="R1993" s="16">
        <f>_xlfn.XLOOKUP(CustomerCombinedCleaned[[#This Row],[ID]], Table4[ID], Table4[Deals], "Not Found", 0)</f>
        <v>1</v>
      </c>
      <c r="S1993" s="16">
        <f>_xlfn.XLOOKUP(CustomerCombinedCleaned[[#This Row],[ID]], Table4[ID], Table4[Website], "Not Found", 0)</f>
        <v>1</v>
      </c>
      <c r="T1993" s="16">
        <f>_xlfn.XLOOKUP(CustomerCombinedCleaned[[#This Row],[ID]], Table4[ID], Table4[Catalog], "Not Found", 0)</f>
        <v>0</v>
      </c>
      <c r="U1993" s="16">
        <f>_xlfn.XLOOKUP(CustomerCombinedCleaned[[#This Row],[ID]], Table4[ID], Table4[Store], "Not Found", 0)</f>
        <v>3</v>
      </c>
      <c r="V1993" s="16">
        <f>_xlfn.XLOOKUP(CustomerCombinedCleaned[[#This Row],[ID]], Table4[ID], Table4[Visits], "Not Found", 0)</f>
        <v>4</v>
      </c>
      <c r="W1993" s="16">
        <f>_xlfn.XLOOKUP(CustomerCombinedCleaned[[#This Row],[ID]], Table2[ID],Table2[Complaint], "Not Found", 0 )</f>
        <v>0</v>
      </c>
      <c r="X1993" s="16">
        <f>_xlfn.XLOOKUP(CustomerCombinedCleaned[[#This Row],[ID]], Table2[ID],Table2[Pilot], "Not Found", 0 )</f>
        <v>0</v>
      </c>
      <c r="Y1993" s="16">
        <f>_xlfn.XLOOKUP(CustomerCombinedCleaned[[#This Row],[ID]], Table2[ID],Table2[MC1], "Not Found", 0 )</f>
        <v>0</v>
      </c>
      <c r="Z1993" s="16">
        <f>_xlfn.XLOOKUP(CustomerCombinedCleaned[[#This Row],[ID]], Table2[ID],Table2[MC2], "Not Found", 0 )</f>
        <v>0</v>
      </c>
      <c r="AA1993" s="16">
        <f>_xlfn.XLOOKUP(CustomerCombinedCleaned[[#This Row],[ID]], Table2[ID],Table2[MC3], "Not Found", 0 )</f>
        <v>0</v>
      </c>
      <c r="AB1993" s="16">
        <f>_xlfn.XLOOKUP(CustomerCombinedCleaned[[#This Row],[ID]], Table2[ID],Table2[MC4], "Not Found", 0 )</f>
        <v>0</v>
      </c>
      <c r="AC1993" s="16">
        <f>_xlfn.XLOOKUP(CustomerCombinedCleaned[[#This Row],[ID]], Table2[ID],Table2[MC5], "Not Found", 0 )</f>
        <v>0</v>
      </c>
    </row>
    <row r="1994" spans="1:29" x14ac:dyDescent="0.3">
      <c r="A1994" s="18">
        <v>2748</v>
      </c>
      <c r="B1994" s="16">
        <v>185431</v>
      </c>
      <c r="C1994" s="16">
        <v>0</v>
      </c>
      <c r="D1994" s="16">
        <v>0</v>
      </c>
      <c r="E1994" s="16">
        <v>68</v>
      </c>
      <c r="F1994" s="17" t="s">
        <v>8</v>
      </c>
      <c r="G1994" s="17" t="s">
        <v>13</v>
      </c>
      <c r="H1994" s="3" t="s">
        <v>244</v>
      </c>
      <c r="I1994" s="5" t="s">
        <v>436</v>
      </c>
      <c r="J1994" s="16">
        <f>_xlfn.XLOOKUP(CustomerCombinedCleaned[[#This Row],[ID]], Table4[ID], Table4[Recency], "Not Found", 0)</f>
        <v>54</v>
      </c>
      <c r="K1994" s="16">
        <f>_xlfn.XLOOKUP(CustomerCombinedCleaned[[#This Row],[ID]], Table4[ID], Table4[Teas], "Not Found", 0)</f>
        <v>816</v>
      </c>
      <c r="L1994" s="16">
        <f>_xlfn.XLOOKUP(CustomerCombinedCleaned[[#This Row],[ID]], Table4[ID], Table4[Fruits], "Not Found", 0)</f>
        <v>115</v>
      </c>
      <c r="M1994" s="16">
        <f>_xlfn.XLOOKUP(CustomerCombinedCleaned[[#This Row],[ID]], Table4[ID], Table4[Meats], "Not Found", 0)</f>
        <v>1003</v>
      </c>
      <c r="N1994" s="16">
        <f>_xlfn.XLOOKUP(CustomerCombinedCleaned[[#This Row],[ID]], Table4[ID], Table4[Seafood], "Not Found", 0)</f>
        <v>365</v>
      </c>
      <c r="O1994" s="16">
        <f>_xlfn.XLOOKUP(CustomerCombinedCleaned[[#This Row],[ID]], Table4[ID], Table4[Sweets], "Not Found", 0)</f>
        <v>115</v>
      </c>
      <c r="P1994" s="16">
        <f>_xlfn.XLOOKUP(CustomerCombinedCleaned[[#This Row],[ID]], Table4[ID], Table4[Premium], "Not Found", 0)</f>
        <v>115</v>
      </c>
      <c r="Q1994" s="16">
        <f>_xlfn.XLOOKUP(CustomerCombinedCleaned[[#This Row],[ID]], Table4[ID], Table4[Regular], "Not Found", 0)</f>
        <v>2299</v>
      </c>
      <c r="R1994" s="16">
        <f>_xlfn.XLOOKUP(CustomerCombinedCleaned[[#This Row],[ID]], Table4[ID], Table4[Deals], "Not Found", 0)</f>
        <v>1</v>
      </c>
      <c r="S1994" s="16">
        <f>_xlfn.XLOOKUP(CustomerCombinedCleaned[[#This Row],[ID]], Table4[ID], Table4[Website], "Not Found", 0)</f>
        <v>2</v>
      </c>
      <c r="T1994" s="16">
        <f>_xlfn.XLOOKUP(CustomerCombinedCleaned[[#This Row],[ID]], Table4[ID], Table4[Catalog], "Not Found", 0)</f>
        <v>7</v>
      </c>
      <c r="U1994" s="16">
        <f>_xlfn.XLOOKUP(CustomerCombinedCleaned[[#This Row],[ID]], Table4[ID], Table4[Store], "Not Found", 0)</f>
        <v>7</v>
      </c>
      <c r="V1994" s="16">
        <f>_xlfn.XLOOKUP(CustomerCombinedCleaned[[#This Row],[ID]], Table4[ID], Table4[Visits], "Not Found", 0)</f>
        <v>0</v>
      </c>
      <c r="W1994" s="16">
        <f>_xlfn.XLOOKUP(CustomerCombinedCleaned[[#This Row],[ID]], Table2[ID],Table2[Complaint], "Not Found", 0 )</f>
        <v>0</v>
      </c>
      <c r="X1994" s="16">
        <f>_xlfn.XLOOKUP(CustomerCombinedCleaned[[#This Row],[ID]], Table2[ID],Table2[Pilot], "Not Found", 0 )</f>
        <v>0</v>
      </c>
      <c r="Y1994" s="16">
        <f>_xlfn.XLOOKUP(CustomerCombinedCleaned[[#This Row],[ID]], Table2[ID],Table2[MC1], "Not Found", 0 )</f>
        <v>0</v>
      </c>
      <c r="Z1994" s="16">
        <f>_xlfn.XLOOKUP(CustomerCombinedCleaned[[#This Row],[ID]], Table2[ID],Table2[MC2], "Not Found", 0 )</f>
        <v>0</v>
      </c>
      <c r="AA1994" s="16">
        <f>_xlfn.XLOOKUP(CustomerCombinedCleaned[[#This Row],[ID]], Table2[ID],Table2[MC3], "Not Found", 0 )</f>
        <v>0</v>
      </c>
      <c r="AB1994" s="16">
        <f>_xlfn.XLOOKUP(CustomerCombinedCleaned[[#This Row],[ID]], Table2[ID],Table2[MC4], "Not Found", 0 )</f>
        <v>0</v>
      </c>
      <c r="AC1994" s="16">
        <f>_xlfn.XLOOKUP(CustomerCombinedCleaned[[#This Row],[ID]], Table2[ID],Table2[MC5], "Not Found", 0 )</f>
        <v>0</v>
      </c>
    </row>
    <row r="1995" spans="1:29" x14ac:dyDescent="0.3">
      <c r="A1995" s="18">
        <v>1619</v>
      </c>
      <c r="B1995" s="16">
        <v>184574</v>
      </c>
      <c r="C1995" s="16">
        <v>0</v>
      </c>
      <c r="D1995" s="16">
        <v>0</v>
      </c>
      <c r="E1995" s="16">
        <v>68</v>
      </c>
      <c r="F1995" s="17" t="s">
        <v>7</v>
      </c>
      <c r="G1995" s="17" t="s">
        <v>11</v>
      </c>
      <c r="H1995" s="3" t="s">
        <v>569</v>
      </c>
      <c r="I1995" s="5" t="s">
        <v>434</v>
      </c>
      <c r="J1995" s="16">
        <f>_xlfn.XLOOKUP(CustomerCombinedCleaned[[#This Row],[ID]], Table4[ID], Table4[Recency], "Not Found", 0)</f>
        <v>72</v>
      </c>
      <c r="K1995" s="16">
        <f>_xlfn.XLOOKUP(CustomerCombinedCleaned[[#This Row],[ID]], Table4[ID], Table4[Teas], "Not Found", 0)</f>
        <v>845</v>
      </c>
      <c r="L1995" s="16">
        <f>_xlfn.XLOOKUP(CustomerCombinedCleaned[[#This Row],[ID]], Table4[ID], Table4[Fruits], "Not Found", 0)</f>
        <v>44</v>
      </c>
      <c r="M1995" s="16">
        <f>_xlfn.XLOOKUP(CustomerCombinedCleaned[[#This Row],[ID]], Table4[ID], Table4[Meats], "Not Found", 0)</f>
        <v>1556</v>
      </c>
      <c r="N1995" s="16">
        <f>_xlfn.XLOOKUP(CustomerCombinedCleaned[[#This Row],[ID]], Table4[ID], Table4[Seafood], "Not Found", 0)</f>
        <v>83</v>
      </c>
      <c r="O1995" s="16">
        <f>_xlfn.XLOOKUP(CustomerCombinedCleaned[[#This Row],[ID]], Table4[ID], Table4[Sweets], "Not Found", 0)</f>
        <v>118</v>
      </c>
      <c r="P1995" s="16">
        <f>_xlfn.XLOOKUP(CustomerCombinedCleaned[[#This Row],[ID]], Table4[ID], Table4[Premium], "Not Found", 0)</f>
        <v>356</v>
      </c>
      <c r="Q1995" s="16">
        <f>_xlfn.XLOOKUP(CustomerCombinedCleaned[[#This Row],[ID]], Table4[ID], Table4[Regular], "Not Found", 0)</f>
        <v>2289</v>
      </c>
      <c r="R1995" s="16">
        <f>_xlfn.XLOOKUP(CustomerCombinedCleaned[[#This Row],[ID]], Table4[ID], Table4[Deals], "Not Found", 0)</f>
        <v>1</v>
      </c>
      <c r="S1995" s="16">
        <f>_xlfn.XLOOKUP(CustomerCombinedCleaned[[#This Row],[ID]], Table4[ID], Table4[Website], "Not Found", 0)</f>
        <v>9</v>
      </c>
      <c r="T1995" s="16">
        <f>_xlfn.XLOOKUP(CustomerCombinedCleaned[[#This Row],[ID]], Table4[ID], Table4[Catalog], "Not Found", 0)</f>
        <v>11</v>
      </c>
      <c r="U1995" s="16">
        <f>_xlfn.XLOOKUP(CustomerCombinedCleaned[[#This Row],[ID]], Table4[ID], Table4[Store], "Not Found", 0)</f>
        <v>11</v>
      </c>
      <c r="V1995" s="16">
        <f>_xlfn.XLOOKUP(CustomerCombinedCleaned[[#This Row],[ID]], Table4[ID], Table4[Visits], "Not Found", 0)</f>
        <v>5</v>
      </c>
      <c r="W1995" s="16">
        <f>_xlfn.XLOOKUP(CustomerCombinedCleaned[[#This Row],[ID]], Table2[ID],Table2[Complaint], "Not Found", 0 )</f>
        <v>0</v>
      </c>
      <c r="X1995" s="16">
        <f>_xlfn.XLOOKUP(CustomerCombinedCleaned[[#This Row],[ID]], Table2[ID],Table2[Pilot], "Not Found", 0 )</f>
        <v>0</v>
      </c>
      <c r="Y1995" s="16">
        <f>_xlfn.XLOOKUP(CustomerCombinedCleaned[[#This Row],[ID]], Table2[ID],Table2[MC1], "Not Found", 0 )</f>
        <v>0</v>
      </c>
      <c r="Z1995" s="16">
        <f>_xlfn.XLOOKUP(CustomerCombinedCleaned[[#This Row],[ID]], Table2[ID],Table2[MC2], "Not Found", 0 )</f>
        <v>0</v>
      </c>
      <c r="AA1995" s="16">
        <f>_xlfn.XLOOKUP(CustomerCombinedCleaned[[#This Row],[ID]], Table2[ID],Table2[MC3], "Not Found", 0 )</f>
        <v>0</v>
      </c>
      <c r="AB1995" s="16">
        <f>_xlfn.XLOOKUP(CustomerCombinedCleaned[[#This Row],[ID]], Table2[ID],Table2[MC4], "Not Found", 0 )</f>
        <v>0</v>
      </c>
      <c r="AC1995" s="16">
        <f>_xlfn.XLOOKUP(CustomerCombinedCleaned[[#This Row],[ID]], Table2[ID],Table2[MC5], "Not Found", 0 )</f>
        <v>0</v>
      </c>
    </row>
    <row r="1996" spans="1:29" x14ac:dyDescent="0.3">
      <c r="A1996" s="18">
        <v>1726</v>
      </c>
      <c r="B1996" s="16">
        <v>183844</v>
      </c>
      <c r="C1996" s="16">
        <v>0</v>
      </c>
      <c r="D1996" s="16">
        <v>0</v>
      </c>
      <c r="E1996" s="16">
        <v>68</v>
      </c>
      <c r="F1996" s="17" t="s">
        <v>8</v>
      </c>
      <c r="G1996" s="17" t="s">
        <v>11</v>
      </c>
      <c r="H1996" s="3" t="s">
        <v>259</v>
      </c>
      <c r="I1996" s="5" t="s">
        <v>439</v>
      </c>
      <c r="J1996" s="16">
        <f>_xlfn.XLOOKUP(CustomerCombinedCleaned[[#This Row],[ID]], Table4[ID], Table4[Recency], "Not Found", 0)</f>
        <v>57</v>
      </c>
      <c r="K1996" s="16">
        <f>_xlfn.XLOOKUP(CustomerCombinedCleaned[[#This Row],[ID]], Table4[ID], Table4[Teas], "Not Found", 0)</f>
        <v>1976</v>
      </c>
      <c r="L1996" s="16">
        <f>_xlfn.XLOOKUP(CustomerCombinedCleaned[[#This Row],[ID]], Table4[ID], Table4[Fruits], "Not Found", 0)</f>
        <v>68</v>
      </c>
      <c r="M1996" s="16">
        <f>_xlfn.XLOOKUP(CustomerCombinedCleaned[[#This Row],[ID]], Table4[ID], Table4[Meats], "Not Found", 0)</f>
        <v>756</v>
      </c>
      <c r="N1996" s="16">
        <f>_xlfn.XLOOKUP(CustomerCombinedCleaned[[#This Row],[ID]], Table4[ID], Table4[Seafood], "Not Found", 0)</f>
        <v>164</v>
      </c>
      <c r="O1996" s="16">
        <f>_xlfn.XLOOKUP(CustomerCombinedCleaned[[#This Row],[ID]], Table4[ID], Table4[Sweets], "Not Found", 0)</f>
        <v>68</v>
      </c>
      <c r="P1996" s="16">
        <f>_xlfn.XLOOKUP(CustomerCombinedCleaned[[#This Row],[ID]], Table4[ID], Table4[Premium], "Not Found", 0)</f>
        <v>419</v>
      </c>
      <c r="Q1996" s="16">
        <f>_xlfn.XLOOKUP(CustomerCombinedCleaned[[#This Row],[ID]], Table4[ID], Table4[Regular], "Not Found", 0)</f>
        <v>2614</v>
      </c>
      <c r="R1996" s="16">
        <f>_xlfn.XLOOKUP(CustomerCombinedCleaned[[#This Row],[ID]], Table4[ID], Table4[Deals], "Not Found", 0)</f>
        <v>1</v>
      </c>
      <c r="S1996" s="16">
        <f>_xlfn.XLOOKUP(CustomerCombinedCleaned[[#This Row],[ID]], Table4[ID], Table4[Website], "Not Found", 0)</f>
        <v>4</v>
      </c>
      <c r="T1996" s="16">
        <f>_xlfn.XLOOKUP(CustomerCombinedCleaned[[#This Row],[ID]], Table4[ID], Table4[Catalog], "Not Found", 0)</f>
        <v>4</v>
      </c>
      <c r="U1996" s="16">
        <f>_xlfn.XLOOKUP(CustomerCombinedCleaned[[#This Row],[ID]], Table4[ID], Table4[Store], "Not Found", 0)</f>
        <v>11</v>
      </c>
      <c r="V1996" s="16">
        <f>_xlfn.XLOOKUP(CustomerCombinedCleaned[[#This Row],[ID]], Table4[ID], Table4[Visits], "Not Found", 0)</f>
        <v>1</v>
      </c>
      <c r="W1996" s="16">
        <f>_xlfn.XLOOKUP(CustomerCombinedCleaned[[#This Row],[ID]], Table2[ID],Table2[Complaint], "Not Found", 0 )</f>
        <v>0</v>
      </c>
      <c r="X1996" s="16">
        <f>_xlfn.XLOOKUP(CustomerCombinedCleaned[[#This Row],[ID]], Table2[ID],Table2[Pilot], "Not Found", 0 )</f>
        <v>0</v>
      </c>
      <c r="Y1996" s="16">
        <f>_xlfn.XLOOKUP(CustomerCombinedCleaned[[#This Row],[ID]], Table2[ID],Table2[MC1], "Not Found", 0 )</f>
        <v>0</v>
      </c>
      <c r="Z1996" s="16">
        <f>_xlfn.XLOOKUP(CustomerCombinedCleaned[[#This Row],[ID]], Table2[ID],Table2[MC2], "Not Found", 0 )</f>
        <v>0</v>
      </c>
      <c r="AA1996" s="16">
        <f>_xlfn.XLOOKUP(CustomerCombinedCleaned[[#This Row],[ID]], Table2[ID],Table2[MC3], "Not Found", 0 )</f>
        <v>0</v>
      </c>
      <c r="AB1996" s="16">
        <f>_xlfn.XLOOKUP(CustomerCombinedCleaned[[#This Row],[ID]], Table2[ID],Table2[MC4], "Not Found", 0 )</f>
        <v>0</v>
      </c>
      <c r="AC1996" s="16">
        <f>_xlfn.XLOOKUP(CustomerCombinedCleaned[[#This Row],[ID]], Table2[ID],Table2[MC5], "Not Found", 0 )</f>
        <v>1</v>
      </c>
    </row>
    <row r="1997" spans="1:29" x14ac:dyDescent="0.3">
      <c r="A1997" s="18">
        <v>1988</v>
      </c>
      <c r="B1997" s="16">
        <v>183844</v>
      </c>
      <c r="C1997" s="16">
        <v>0</v>
      </c>
      <c r="D1997" s="16">
        <v>0</v>
      </c>
      <c r="E1997" s="16">
        <v>68</v>
      </c>
      <c r="F1997" s="17" t="s">
        <v>8</v>
      </c>
      <c r="G1997" s="17" t="s">
        <v>11</v>
      </c>
      <c r="H1997" s="3" t="s">
        <v>259</v>
      </c>
      <c r="I1997" s="5" t="s">
        <v>438</v>
      </c>
      <c r="J1997" s="16">
        <f>_xlfn.XLOOKUP(CustomerCombinedCleaned[[#This Row],[ID]], Table4[ID], Table4[Recency], "Not Found", 0)</f>
        <v>57</v>
      </c>
      <c r="K1997" s="16">
        <f>_xlfn.XLOOKUP(CustomerCombinedCleaned[[#This Row],[ID]], Table4[ID], Table4[Teas], "Not Found", 0)</f>
        <v>1976</v>
      </c>
      <c r="L1997" s="16">
        <f>_xlfn.XLOOKUP(CustomerCombinedCleaned[[#This Row],[ID]], Table4[ID], Table4[Fruits], "Not Found", 0)</f>
        <v>68</v>
      </c>
      <c r="M1997" s="16">
        <f>_xlfn.XLOOKUP(CustomerCombinedCleaned[[#This Row],[ID]], Table4[ID], Table4[Meats], "Not Found", 0)</f>
        <v>756</v>
      </c>
      <c r="N1997" s="16">
        <f>_xlfn.XLOOKUP(CustomerCombinedCleaned[[#This Row],[ID]], Table4[ID], Table4[Seafood], "Not Found", 0)</f>
        <v>164</v>
      </c>
      <c r="O1997" s="16">
        <f>_xlfn.XLOOKUP(CustomerCombinedCleaned[[#This Row],[ID]], Table4[ID], Table4[Sweets], "Not Found", 0)</f>
        <v>68</v>
      </c>
      <c r="P1997" s="16">
        <f>_xlfn.XLOOKUP(CustomerCombinedCleaned[[#This Row],[ID]], Table4[ID], Table4[Premium], "Not Found", 0)</f>
        <v>419</v>
      </c>
      <c r="Q1997" s="16">
        <f>_xlfn.XLOOKUP(CustomerCombinedCleaned[[#This Row],[ID]], Table4[ID], Table4[Regular], "Not Found", 0)</f>
        <v>2614</v>
      </c>
      <c r="R1997" s="16">
        <f>_xlfn.XLOOKUP(CustomerCombinedCleaned[[#This Row],[ID]], Table4[ID], Table4[Deals], "Not Found", 0)</f>
        <v>1</v>
      </c>
      <c r="S1997" s="16">
        <f>_xlfn.XLOOKUP(CustomerCombinedCleaned[[#This Row],[ID]], Table4[ID], Table4[Website], "Not Found", 0)</f>
        <v>4</v>
      </c>
      <c r="T1997" s="16">
        <f>_xlfn.XLOOKUP(CustomerCombinedCleaned[[#This Row],[ID]], Table4[ID], Table4[Catalog], "Not Found", 0)</f>
        <v>4</v>
      </c>
      <c r="U1997" s="16">
        <f>_xlfn.XLOOKUP(CustomerCombinedCleaned[[#This Row],[ID]], Table4[ID], Table4[Store], "Not Found", 0)</f>
        <v>11</v>
      </c>
      <c r="V1997" s="16">
        <f>_xlfn.XLOOKUP(CustomerCombinedCleaned[[#This Row],[ID]], Table4[ID], Table4[Visits], "Not Found", 0)</f>
        <v>1</v>
      </c>
      <c r="W1997" s="16">
        <f>_xlfn.XLOOKUP(CustomerCombinedCleaned[[#This Row],[ID]], Table2[ID],Table2[Complaint], "Not Found", 0 )</f>
        <v>0</v>
      </c>
      <c r="X1997" s="16">
        <f>_xlfn.XLOOKUP(CustomerCombinedCleaned[[#This Row],[ID]], Table2[ID],Table2[Pilot], "Not Found", 0 )</f>
        <v>0</v>
      </c>
      <c r="Y1997" s="16">
        <f>_xlfn.XLOOKUP(CustomerCombinedCleaned[[#This Row],[ID]], Table2[ID],Table2[MC1], "Not Found", 0 )</f>
        <v>0</v>
      </c>
      <c r="Z1997" s="16">
        <f>_xlfn.XLOOKUP(CustomerCombinedCleaned[[#This Row],[ID]], Table2[ID],Table2[MC2], "Not Found", 0 )</f>
        <v>0</v>
      </c>
      <c r="AA1997" s="16">
        <f>_xlfn.XLOOKUP(CustomerCombinedCleaned[[#This Row],[ID]], Table2[ID],Table2[MC3], "Not Found", 0 )</f>
        <v>0</v>
      </c>
      <c r="AB1997" s="16">
        <f>_xlfn.XLOOKUP(CustomerCombinedCleaned[[#This Row],[ID]], Table2[ID],Table2[MC4], "Not Found", 0 )</f>
        <v>0</v>
      </c>
      <c r="AC1997" s="16">
        <f>_xlfn.XLOOKUP(CustomerCombinedCleaned[[#This Row],[ID]], Table2[ID],Table2[MC5], "Not Found", 0 )</f>
        <v>1</v>
      </c>
    </row>
    <row r="1998" spans="1:29" x14ac:dyDescent="0.3">
      <c r="A1998" s="18">
        <v>2443</v>
      </c>
      <c r="B1998" s="16">
        <v>183844</v>
      </c>
      <c r="C1998" s="16">
        <v>0</v>
      </c>
      <c r="D1998" s="16">
        <v>0</v>
      </c>
      <c r="E1998" s="16">
        <v>68</v>
      </c>
      <c r="F1998" s="17" t="s">
        <v>8</v>
      </c>
      <c r="G1998" s="17" t="s">
        <v>11</v>
      </c>
      <c r="H1998" s="3" t="s">
        <v>259</v>
      </c>
      <c r="I1998" s="5" t="s">
        <v>437</v>
      </c>
      <c r="J1998" s="16">
        <f>_xlfn.XLOOKUP(CustomerCombinedCleaned[[#This Row],[ID]], Table4[ID], Table4[Recency], "Not Found", 0)</f>
        <v>57</v>
      </c>
      <c r="K1998" s="16">
        <f>_xlfn.XLOOKUP(CustomerCombinedCleaned[[#This Row],[ID]], Table4[ID], Table4[Teas], "Not Found", 0)</f>
        <v>1976</v>
      </c>
      <c r="L1998" s="16">
        <f>_xlfn.XLOOKUP(CustomerCombinedCleaned[[#This Row],[ID]], Table4[ID], Table4[Fruits], "Not Found", 0)</f>
        <v>68</v>
      </c>
      <c r="M1998" s="16">
        <f>_xlfn.XLOOKUP(CustomerCombinedCleaned[[#This Row],[ID]], Table4[ID], Table4[Meats], "Not Found", 0)</f>
        <v>756</v>
      </c>
      <c r="N1998" s="16">
        <f>_xlfn.XLOOKUP(CustomerCombinedCleaned[[#This Row],[ID]], Table4[ID], Table4[Seafood], "Not Found", 0)</f>
        <v>164</v>
      </c>
      <c r="O1998" s="16">
        <f>_xlfn.XLOOKUP(CustomerCombinedCleaned[[#This Row],[ID]], Table4[ID], Table4[Sweets], "Not Found", 0)</f>
        <v>68</v>
      </c>
      <c r="P1998" s="16">
        <f>_xlfn.XLOOKUP(CustomerCombinedCleaned[[#This Row],[ID]], Table4[ID], Table4[Premium], "Not Found", 0)</f>
        <v>419</v>
      </c>
      <c r="Q1998" s="16">
        <f>_xlfn.XLOOKUP(CustomerCombinedCleaned[[#This Row],[ID]], Table4[ID], Table4[Regular], "Not Found", 0)</f>
        <v>2614</v>
      </c>
      <c r="R1998" s="16">
        <f>_xlfn.XLOOKUP(CustomerCombinedCleaned[[#This Row],[ID]], Table4[ID], Table4[Deals], "Not Found", 0)</f>
        <v>1</v>
      </c>
      <c r="S1998" s="16">
        <f>_xlfn.XLOOKUP(CustomerCombinedCleaned[[#This Row],[ID]], Table4[ID], Table4[Website], "Not Found", 0)</f>
        <v>4</v>
      </c>
      <c r="T1998" s="16">
        <f>_xlfn.XLOOKUP(CustomerCombinedCleaned[[#This Row],[ID]], Table4[ID], Table4[Catalog], "Not Found", 0)</f>
        <v>4</v>
      </c>
      <c r="U1998" s="16">
        <f>_xlfn.XLOOKUP(CustomerCombinedCleaned[[#This Row],[ID]], Table4[ID], Table4[Store], "Not Found", 0)</f>
        <v>11</v>
      </c>
      <c r="V1998" s="16">
        <f>_xlfn.XLOOKUP(CustomerCombinedCleaned[[#This Row],[ID]], Table4[ID], Table4[Visits], "Not Found", 0)</f>
        <v>1</v>
      </c>
      <c r="W1998" s="16">
        <f>_xlfn.XLOOKUP(CustomerCombinedCleaned[[#This Row],[ID]], Table2[ID],Table2[Complaint], "Not Found", 0 )</f>
        <v>0</v>
      </c>
      <c r="X1998" s="16">
        <f>_xlfn.XLOOKUP(CustomerCombinedCleaned[[#This Row],[ID]], Table2[ID],Table2[Pilot], "Not Found", 0 )</f>
        <v>0</v>
      </c>
      <c r="Y1998" s="16">
        <f>_xlfn.XLOOKUP(CustomerCombinedCleaned[[#This Row],[ID]], Table2[ID],Table2[MC1], "Not Found", 0 )</f>
        <v>0</v>
      </c>
      <c r="Z1998" s="16">
        <f>_xlfn.XLOOKUP(CustomerCombinedCleaned[[#This Row],[ID]], Table2[ID],Table2[MC2], "Not Found", 0 )</f>
        <v>0</v>
      </c>
      <c r="AA1998" s="16">
        <f>_xlfn.XLOOKUP(CustomerCombinedCleaned[[#This Row],[ID]], Table2[ID],Table2[MC3], "Not Found", 0 )</f>
        <v>0</v>
      </c>
      <c r="AB1998" s="16">
        <f>_xlfn.XLOOKUP(CustomerCombinedCleaned[[#This Row],[ID]], Table2[ID],Table2[MC4], "Not Found", 0 )</f>
        <v>0</v>
      </c>
      <c r="AC1998" s="16">
        <f>_xlfn.XLOOKUP(CustomerCombinedCleaned[[#This Row],[ID]], Table2[ID],Table2[MC5], "Not Found", 0 )</f>
        <v>1</v>
      </c>
    </row>
    <row r="1999" spans="1:29" x14ac:dyDescent="0.3">
      <c r="A1999" s="18">
        <v>1329</v>
      </c>
      <c r="B1999" s="16">
        <v>182623</v>
      </c>
      <c r="C1999" s="16">
        <v>0</v>
      </c>
      <c r="D1999" s="16">
        <v>0</v>
      </c>
      <c r="E1999" s="16">
        <v>68</v>
      </c>
      <c r="F1999" s="17" t="s">
        <v>5</v>
      </c>
      <c r="G1999" s="17" t="s">
        <v>11</v>
      </c>
      <c r="H1999" s="3" t="s">
        <v>153</v>
      </c>
      <c r="I1999" s="5" t="s">
        <v>435</v>
      </c>
      <c r="J1999" s="16">
        <f>_xlfn.XLOOKUP(CustomerCombinedCleaned[[#This Row],[ID]], Table4[ID], Table4[Recency], "Not Found", 0)</f>
        <v>58</v>
      </c>
      <c r="K1999" s="16">
        <f>_xlfn.XLOOKUP(CustomerCombinedCleaned[[#This Row],[ID]], Table4[ID], Table4[Teas], "Not Found", 0)</f>
        <v>451</v>
      </c>
      <c r="L1999" s="16">
        <f>_xlfn.XLOOKUP(CustomerCombinedCleaned[[#This Row],[ID]], Table4[ID], Table4[Fruits], "Not Found", 0)</f>
        <v>75</v>
      </c>
      <c r="M1999" s="16">
        <f>_xlfn.XLOOKUP(CustomerCombinedCleaned[[#This Row],[ID]], Table4[ID], Table4[Meats], "Not Found", 0)</f>
        <v>451</v>
      </c>
      <c r="N1999" s="16">
        <f>_xlfn.XLOOKUP(CustomerCombinedCleaned[[#This Row],[ID]], Table4[ID], Table4[Seafood], "Not Found", 0)</f>
        <v>380</v>
      </c>
      <c r="O1999" s="16">
        <f>_xlfn.XLOOKUP(CustomerCombinedCleaned[[#This Row],[ID]], Table4[ID], Table4[Sweets], "Not Found", 0)</f>
        <v>338</v>
      </c>
      <c r="P1999" s="16">
        <f>_xlfn.XLOOKUP(CustomerCombinedCleaned[[#This Row],[ID]], Table4[ID], Table4[Premium], "Not Found", 0)</f>
        <v>382</v>
      </c>
      <c r="Q1999" s="16">
        <f>_xlfn.XLOOKUP(CustomerCombinedCleaned[[#This Row],[ID]], Table4[ID], Table4[Regular], "Not Found", 0)</f>
        <v>1313</v>
      </c>
      <c r="R1999" s="16">
        <f>_xlfn.XLOOKUP(CustomerCombinedCleaned[[#This Row],[ID]], Table4[ID], Table4[Deals], "Not Found", 0)</f>
        <v>1</v>
      </c>
      <c r="S1999" s="16">
        <f>_xlfn.XLOOKUP(CustomerCombinedCleaned[[#This Row],[ID]], Table4[ID], Table4[Website], "Not Found", 0)</f>
        <v>2</v>
      </c>
      <c r="T1999" s="16">
        <f>_xlfn.XLOOKUP(CustomerCombinedCleaned[[#This Row],[ID]], Table4[ID], Table4[Catalog], "Not Found", 0)</f>
        <v>9</v>
      </c>
      <c r="U1999" s="16">
        <f>_xlfn.XLOOKUP(CustomerCombinedCleaned[[#This Row],[ID]], Table4[ID], Table4[Store], "Not Found", 0)</f>
        <v>4</v>
      </c>
      <c r="V1999" s="16">
        <f>_xlfn.XLOOKUP(CustomerCombinedCleaned[[#This Row],[ID]], Table4[ID], Table4[Visits], "Not Found", 0)</f>
        <v>1</v>
      </c>
      <c r="W1999" s="16">
        <f>_xlfn.XLOOKUP(CustomerCombinedCleaned[[#This Row],[ID]], Table2[ID],Table2[Complaint], "Not Found", 0 )</f>
        <v>0</v>
      </c>
      <c r="X1999" s="16">
        <f>_xlfn.XLOOKUP(CustomerCombinedCleaned[[#This Row],[ID]], Table2[ID],Table2[Pilot], "Not Found", 0 )</f>
        <v>0</v>
      </c>
      <c r="Y1999" s="16">
        <f>_xlfn.XLOOKUP(CustomerCombinedCleaned[[#This Row],[ID]], Table2[ID],Table2[MC1], "Not Found", 0 )</f>
        <v>0</v>
      </c>
      <c r="Z1999" s="16">
        <f>_xlfn.XLOOKUP(CustomerCombinedCleaned[[#This Row],[ID]], Table2[ID],Table2[MC2], "Not Found", 0 )</f>
        <v>0</v>
      </c>
      <c r="AA1999" s="16">
        <f>_xlfn.XLOOKUP(CustomerCombinedCleaned[[#This Row],[ID]], Table2[ID],Table2[MC3], "Not Found", 0 )</f>
        <v>0</v>
      </c>
      <c r="AB1999" s="16">
        <f>_xlfn.XLOOKUP(CustomerCombinedCleaned[[#This Row],[ID]], Table2[ID],Table2[MC4], "Not Found", 0 )</f>
        <v>0</v>
      </c>
      <c r="AC1999" s="16">
        <f>_xlfn.XLOOKUP(CustomerCombinedCleaned[[#This Row],[ID]], Table2[ID],Table2[MC5], "Not Found", 0 )</f>
        <v>0</v>
      </c>
    </row>
    <row r="2000" spans="1:29" x14ac:dyDescent="0.3">
      <c r="A2000" s="18">
        <v>2720</v>
      </c>
      <c r="B2000" s="16">
        <v>181795</v>
      </c>
      <c r="C2000" s="16">
        <v>0</v>
      </c>
      <c r="D2000" s="16">
        <v>0</v>
      </c>
      <c r="E2000" s="16">
        <v>68</v>
      </c>
      <c r="F2000" s="17" t="s">
        <v>6</v>
      </c>
      <c r="G2000" s="17" t="s">
        <v>11</v>
      </c>
      <c r="H2000" s="3" t="s">
        <v>593</v>
      </c>
      <c r="I2000" s="5" t="s">
        <v>438</v>
      </c>
      <c r="J2000" s="16">
        <f>_xlfn.XLOOKUP(CustomerCombinedCleaned[[#This Row],[ID]], Table4[ID], Table4[Recency], "Not Found", 0)</f>
        <v>74</v>
      </c>
      <c r="K2000" s="16">
        <f>_xlfn.XLOOKUP(CustomerCombinedCleaned[[#This Row],[ID]], Table4[ID], Table4[Teas], "Not Found", 0)</f>
        <v>720</v>
      </c>
      <c r="L2000" s="16">
        <f>_xlfn.XLOOKUP(CustomerCombinedCleaned[[#This Row],[ID]], Table4[ID], Table4[Fruits], "Not Found", 0)</f>
        <v>293</v>
      </c>
      <c r="M2000" s="16">
        <f>_xlfn.XLOOKUP(CustomerCombinedCleaned[[#This Row],[ID]], Table4[ID], Table4[Meats], "Not Found", 0)</f>
        <v>1540</v>
      </c>
      <c r="N2000" s="16">
        <f>_xlfn.XLOOKUP(CustomerCombinedCleaned[[#This Row],[ID]], Table4[ID], Table4[Seafood], "Not Found", 0)</f>
        <v>60</v>
      </c>
      <c r="O2000" s="16">
        <f>_xlfn.XLOOKUP(CustomerCombinedCleaned[[#This Row],[ID]], Table4[ID], Table4[Sweets], "Not Found", 0)</f>
        <v>262</v>
      </c>
      <c r="P2000" s="16">
        <f>_xlfn.XLOOKUP(CustomerCombinedCleaned[[#This Row],[ID]], Table4[ID], Table4[Premium], "Not Found", 0)</f>
        <v>196</v>
      </c>
      <c r="Q2000" s="16">
        <f>_xlfn.XLOOKUP(CustomerCombinedCleaned[[#This Row],[ID]], Table4[ID], Table4[Regular], "Not Found", 0)</f>
        <v>2680</v>
      </c>
      <c r="R2000" s="16">
        <f>_xlfn.XLOOKUP(CustomerCombinedCleaned[[#This Row],[ID]], Table4[ID], Table4[Deals], "Not Found", 0)</f>
        <v>1</v>
      </c>
      <c r="S2000" s="16">
        <f>_xlfn.XLOOKUP(CustomerCombinedCleaned[[#This Row],[ID]], Table4[ID], Table4[Website], "Not Found", 0)</f>
        <v>4</v>
      </c>
      <c r="T2000" s="16">
        <f>_xlfn.XLOOKUP(CustomerCombinedCleaned[[#This Row],[ID]], Table4[ID], Table4[Catalog], "Not Found", 0)</f>
        <v>11</v>
      </c>
      <c r="U2000" s="16">
        <f>_xlfn.XLOOKUP(CustomerCombinedCleaned[[#This Row],[ID]], Table4[ID], Table4[Store], "Not Found", 0)</f>
        <v>7</v>
      </c>
      <c r="V2000" s="16">
        <f>_xlfn.XLOOKUP(CustomerCombinedCleaned[[#This Row],[ID]], Table4[ID], Table4[Visits], "Not Found", 0)</f>
        <v>2</v>
      </c>
      <c r="W2000" s="16">
        <f>_xlfn.XLOOKUP(CustomerCombinedCleaned[[#This Row],[ID]], Table2[ID],Table2[Complaint], "Not Found", 0 )</f>
        <v>0</v>
      </c>
      <c r="X2000" s="16">
        <f>_xlfn.XLOOKUP(CustomerCombinedCleaned[[#This Row],[ID]], Table2[ID],Table2[Pilot], "Not Found", 0 )</f>
        <v>0</v>
      </c>
      <c r="Y2000" s="16">
        <f>_xlfn.XLOOKUP(CustomerCombinedCleaned[[#This Row],[ID]], Table2[ID],Table2[MC1], "Not Found", 0 )</f>
        <v>0</v>
      </c>
      <c r="Z2000" s="16">
        <f>_xlfn.XLOOKUP(CustomerCombinedCleaned[[#This Row],[ID]], Table2[ID],Table2[MC2], "Not Found", 0 )</f>
        <v>0</v>
      </c>
      <c r="AA2000" s="16">
        <f>_xlfn.XLOOKUP(CustomerCombinedCleaned[[#This Row],[ID]], Table2[ID],Table2[MC3], "Not Found", 0 )</f>
        <v>0</v>
      </c>
      <c r="AB2000" s="16">
        <f>_xlfn.XLOOKUP(CustomerCombinedCleaned[[#This Row],[ID]], Table2[ID],Table2[MC4], "Not Found", 0 )</f>
        <v>0</v>
      </c>
      <c r="AC2000" s="16">
        <f>_xlfn.XLOOKUP(CustomerCombinedCleaned[[#This Row],[ID]], Table2[ID],Table2[MC5], "Not Found", 0 )</f>
        <v>0</v>
      </c>
    </row>
    <row r="2001" spans="1:29" x14ac:dyDescent="0.3">
      <c r="A2001" s="18">
        <v>3040</v>
      </c>
      <c r="B2001" s="16">
        <v>177610</v>
      </c>
      <c r="C2001" s="16">
        <v>0</v>
      </c>
      <c r="D2001" s="16">
        <v>1</v>
      </c>
      <c r="E2001" s="16">
        <v>68</v>
      </c>
      <c r="F2001" s="17" t="s">
        <v>6</v>
      </c>
      <c r="G2001" s="17" t="s">
        <v>13</v>
      </c>
      <c r="H2001" s="3" t="s">
        <v>619</v>
      </c>
      <c r="I2001" s="5" t="s">
        <v>439</v>
      </c>
      <c r="J2001" s="16">
        <f>_xlfn.XLOOKUP(CustomerCombinedCleaned[[#This Row],[ID]], Table4[ID], Table4[Recency], "Not Found", 0)</f>
        <v>70</v>
      </c>
      <c r="K2001" s="16">
        <f>_xlfn.XLOOKUP(CustomerCombinedCleaned[[#This Row],[ID]], Table4[ID], Table4[Teas], "Not Found", 0)</f>
        <v>2849</v>
      </c>
      <c r="L2001" s="16">
        <f>_xlfn.XLOOKUP(CustomerCombinedCleaned[[#This Row],[ID]], Table4[ID], Table4[Fruits], "Not Found", 0)</f>
        <v>76</v>
      </c>
      <c r="M2001" s="16">
        <f>_xlfn.XLOOKUP(CustomerCombinedCleaned[[#This Row],[ID]], Table4[ID], Table4[Meats], "Not Found", 0)</f>
        <v>760</v>
      </c>
      <c r="N2001" s="16">
        <f>_xlfn.XLOOKUP(CustomerCombinedCleaned[[#This Row],[ID]], Table4[ID], Table4[Seafood], "Not Found", 0)</f>
        <v>48</v>
      </c>
      <c r="O2001" s="16">
        <f>_xlfn.XLOOKUP(CustomerCombinedCleaned[[#This Row],[ID]], Table4[ID], Table4[Sweets], "Not Found", 0)</f>
        <v>76</v>
      </c>
      <c r="P2001" s="16">
        <f>_xlfn.XLOOKUP(CustomerCombinedCleaned[[#This Row],[ID]], Table4[ID], Table4[Premium], "Not Found", 0)</f>
        <v>37</v>
      </c>
      <c r="Q2001" s="16">
        <f>_xlfn.XLOOKUP(CustomerCombinedCleaned[[#This Row],[ID]], Table4[ID], Table4[Regular], "Not Found", 0)</f>
        <v>3771</v>
      </c>
      <c r="R2001" s="16">
        <f>_xlfn.XLOOKUP(CustomerCombinedCleaned[[#This Row],[ID]], Table4[ID], Table4[Deals], "Not Found", 0)</f>
        <v>2</v>
      </c>
      <c r="S2001" s="16">
        <f>_xlfn.XLOOKUP(CustomerCombinedCleaned[[#This Row],[ID]], Table4[ID], Table4[Website], "Not Found", 0)</f>
        <v>4</v>
      </c>
      <c r="T2001" s="16">
        <f>_xlfn.XLOOKUP(CustomerCombinedCleaned[[#This Row],[ID]], Table4[ID], Table4[Catalog], "Not Found", 0)</f>
        <v>7</v>
      </c>
      <c r="U2001" s="16">
        <f>_xlfn.XLOOKUP(CustomerCombinedCleaned[[#This Row],[ID]], Table4[ID], Table4[Store], "Not Found", 0)</f>
        <v>4</v>
      </c>
      <c r="V2001" s="16">
        <f>_xlfn.XLOOKUP(CustomerCombinedCleaned[[#This Row],[ID]], Table4[ID], Table4[Visits], "Not Found", 0)</f>
        <v>7</v>
      </c>
      <c r="W2001" s="16">
        <f>_xlfn.XLOOKUP(CustomerCombinedCleaned[[#This Row],[ID]], Table2[ID],Table2[Complaint], "Not Found", 0 )</f>
        <v>0</v>
      </c>
      <c r="X2001" s="16">
        <f>_xlfn.XLOOKUP(CustomerCombinedCleaned[[#This Row],[ID]], Table2[ID],Table2[Pilot], "Not Found", 0 )</f>
        <v>0</v>
      </c>
      <c r="Y2001" s="16">
        <f>_xlfn.XLOOKUP(CustomerCombinedCleaned[[#This Row],[ID]], Table2[ID],Table2[MC1], "Not Found", 0 )</f>
        <v>0</v>
      </c>
      <c r="Z2001" s="16">
        <f>_xlfn.XLOOKUP(CustomerCombinedCleaned[[#This Row],[ID]], Table2[ID],Table2[MC2], "Not Found", 0 )</f>
        <v>0</v>
      </c>
      <c r="AA2001" s="16">
        <f>_xlfn.XLOOKUP(CustomerCombinedCleaned[[#This Row],[ID]], Table2[ID],Table2[MC3], "Not Found", 0 )</f>
        <v>0</v>
      </c>
      <c r="AB2001" s="16">
        <f>_xlfn.XLOOKUP(CustomerCombinedCleaned[[#This Row],[ID]], Table2[ID],Table2[MC4], "Not Found", 0 )</f>
        <v>0</v>
      </c>
      <c r="AC2001" s="16">
        <f>_xlfn.XLOOKUP(CustomerCombinedCleaned[[#This Row],[ID]], Table2[ID],Table2[MC5], "Not Found", 0 )</f>
        <v>0</v>
      </c>
    </row>
    <row r="2002" spans="1:29" x14ac:dyDescent="0.3">
      <c r="A2002" s="18">
        <v>2998</v>
      </c>
      <c r="B2002" s="16">
        <v>177027</v>
      </c>
      <c r="C2002" s="16">
        <v>0</v>
      </c>
      <c r="D2002" s="16">
        <v>1</v>
      </c>
      <c r="E2002" s="16">
        <v>68</v>
      </c>
      <c r="F2002" s="17" t="s">
        <v>6</v>
      </c>
      <c r="G2002" s="17" t="s">
        <v>12</v>
      </c>
      <c r="H2002" s="3" t="s">
        <v>557</v>
      </c>
      <c r="I2002" s="5" t="s">
        <v>439</v>
      </c>
      <c r="J2002" s="16">
        <f>_xlfn.XLOOKUP(CustomerCombinedCleaned[[#This Row],[ID]], Table4[ID], Table4[Recency], "Not Found", 0)</f>
        <v>23</v>
      </c>
      <c r="K2002" s="16">
        <f>_xlfn.XLOOKUP(CustomerCombinedCleaned[[#This Row],[ID]], Table4[ID], Table4[Teas], "Not Found", 0)</f>
        <v>1885</v>
      </c>
      <c r="L2002" s="16">
        <f>_xlfn.XLOOKUP(CustomerCombinedCleaned[[#This Row],[ID]], Table4[ID], Table4[Fruits], "Not Found", 0)</f>
        <v>131</v>
      </c>
      <c r="M2002" s="16">
        <f>_xlfn.XLOOKUP(CustomerCombinedCleaned[[#This Row],[ID]], Table4[ID], Table4[Meats], "Not Found", 0)</f>
        <v>556</v>
      </c>
      <c r="N2002" s="16">
        <f>_xlfn.XLOOKUP(CustomerCombinedCleaned[[#This Row],[ID]], Table4[ID], Table4[Seafood], "Not Found", 0)</f>
        <v>103</v>
      </c>
      <c r="O2002" s="16">
        <f>_xlfn.XLOOKUP(CustomerCombinedCleaned[[#This Row],[ID]], Table4[ID], Table4[Sweets], "Not Found", 0)</f>
        <v>0</v>
      </c>
      <c r="P2002" s="16">
        <f>_xlfn.XLOOKUP(CustomerCombinedCleaned[[#This Row],[ID]], Table4[ID], Table4[Premium], "Not Found", 0)</f>
        <v>25</v>
      </c>
      <c r="Q2002" s="16">
        <f>_xlfn.XLOOKUP(CustomerCombinedCleaned[[#This Row],[ID]], Table4[ID], Table4[Regular], "Not Found", 0)</f>
        <v>2650</v>
      </c>
      <c r="R2002" s="16">
        <f>_xlfn.XLOOKUP(CustomerCombinedCleaned[[#This Row],[ID]], Table4[ID], Table4[Deals], "Not Found", 0)</f>
        <v>2</v>
      </c>
      <c r="S2002" s="16">
        <f>_xlfn.XLOOKUP(CustomerCombinedCleaned[[#This Row],[ID]], Table4[ID], Table4[Website], "Not Found", 0)</f>
        <v>8</v>
      </c>
      <c r="T2002" s="16">
        <f>_xlfn.XLOOKUP(CustomerCombinedCleaned[[#This Row],[ID]], Table4[ID], Table4[Catalog], "Not Found", 0)</f>
        <v>3</v>
      </c>
      <c r="U2002" s="16">
        <f>_xlfn.XLOOKUP(CustomerCombinedCleaned[[#This Row],[ID]], Table4[ID], Table4[Store], "Not Found", 0)</f>
        <v>6</v>
      </c>
      <c r="V2002" s="16">
        <f>_xlfn.XLOOKUP(CustomerCombinedCleaned[[#This Row],[ID]], Table4[ID], Table4[Visits], "Not Found", 0)</f>
        <v>4</v>
      </c>
      <c r="W2002" s="16">
        <f>_xlfn.XLOOKUP(CustomerCombinedCleaned[[#This Row],[ID]], Table2[ID],Table2[Complaint], "Not Found", 0 )</f>
        <v>0</v>
      </c>
      <c r="X2002" s="16">
        <f>_xlfn.XLOOKUP(CustomerCombinedCleaned[[#This Row],[ID]], Table2[ID],Table2[Pilot], "Not Found", 0 )</f>
        <v>0</v>
      </c>
      <c r="Y2002" s="16">
        <f>_xlfn.XLOOKUP(CustomerCombinedCleaned[[#This Row],[ID]], Table2[ID],Table2[MC1], "Not Found", 0 )</f>
        <v>0</v>
      </c>
      <c r="Z2002" s="16">
        <f>_xlfn.XLOOKUP(CustomerCombinedCleaned[[#This Row],[ID]], Table2[ID],Table2[MC2], "Not Found", 0 )</f>
        <v>0</v>
      </c>
      <c r="AA2002" s="16">
        <f>_xlfn.XLOOKUP(CustomerCombinedCleaned[[#This Row],[ID]], Table2[ID],Table2[MC3], "Not Found", 0 )</f>
        <v>0</v>
      </c>
      <c r="AB2002" s="16">
        <f>_xlfn.XLOOKUP(CustomerCombinedCleaned[[#This Row],[ID]], Table2[ID],Table2[MC4], "Not Found", 0 )</f>
        <v>0</v>
      </c>
      <c r="AC2002" s="16">
        <f>_xlfn.XLOOKUP(CustomerCombinedCleaned[[#This Row],[ID]], Table2[ID],Table2[MC5], "Not Found", 0 )</f>
        <v>0</v>
      </c>
    </row>
    <row r="2003" spans="1:29" x14ac:dyDescent="0.3">
      <c r="A2003" s="18">
        <v>1273</v>
      </c>
      <c r="B2003" s="16">
        <v>175278</v>
      </c>
      <c r="C2003" s="16">
        <v>0</v>
      </c>
      <c r="D2003" s="16">
        <v>0</v>
      </c>
      <c r="E2003" s="16">
        <v>68</v>
      </c>
      <c r="F2003" s="17" t="s">
        <v>8</v>
      </c>
      <c r="G2003" s="17" t="s">
        <v>11</v>
      </c>
      <c r="H2003" s="3" t="s">
        <v>637</v>
      </c>
      <c r="I2003" s="5" t="s">
        <v>437</v>
      </c>
      <c r="J2003" s="16">
        <f>_xlfn.XLOOKUP(CustomerCombinedCleaned[[#This Row],[ID]], Table4[ID], Table4[Recency], "Not Found", 0)</f>
        <v>17</v>
      </c>
      <c r="K2003" s="16">
        <f>_xlfn.XLOOKUP(CustomerCombinedCleaned[[#This Row],[ID]], Table4[ID], Table4[Teas], "Not Found", 0)</f>
        <v>708</v>
      </c>
      <c r="L2003" s="16">
        <f>_xlfn.XLOOKUP(CustomerCombinedCleaned[[#This Row],[ID]], Table4[ID], Table4[Fruits], "Not Found", 0)</f>
        <v>228</v>
      </c>
      <c r="M2003" s="16">
        <f>_xlfn.XLOOKUP(CustomerCombinedCleaned[[#This Row],[ID]], Table4[ID], Table4[Meats], "Not Found", 0)</f>
        <v>536</v>
      </c>
      <c r="N2003" s="16">
        <f>_xlfn.XLOOKUP(CustomerCombinedCleaned[[#This Row],[ID]], Table4[ID], Table4[Seafood], "Not Found", 0)</f>
        <v>349</v>
      </c>
      <c r="O2003" s="16">
        <f>_xlfn.XLOOKUP(CustomerCombinedCleaned[[#This Row],[ID]], Table4[ID], Table4[Sweets], "Not Found", 0)</f>
        <v>172</v>
      </c>
      <c r="P2003" s="16">
        <f>_xlfn.XLOOKUP(CustomerCombinedCleaned[[#This Row],[ID]], Table4[ID], Table4[Premium], "Not Found", 0)</f>
        <v>172</v>
      </c>
      <c r="Q2003" s="16">
        <f>_xlfn.XLOOKUP(CustomerCombinedCleaned[[#This Row],[ID]], Table4[ID], Table4[Regular], "Not Found", 0)</f>
        <v>1821</v>
      </c>
      <c r="R2003" s="16">
        <f>_xlfn.XLOOKUP(CustomerCombinedCleaned[[#This Row],[ID]], Table4[ID], Table4[Deals], "Not Found", 0)</f>
        <v>1</v>
      </c>
      <c r="S2003" s="16">
        <f>_xlfn.XLOOKUP(CustomerCombinedCleaned[[#This Row],[ID]], Table4[ID], Table4[Website], "Not Found", 0)</f>
        <v>6</v>
      </c>
      <c r="T2003" s="16">
        <f>_xlfn.XLOOKUP(CustomerCombinedCleaned[[#This Row],[ID]], Table4[ID], Table4[Catalog], "Not Found", 0)</f>
        <v>3</v>
      </c>
      <c r="U2003" s="16">
        <f>_xlfn.XLOOKUP(CustomerCombinedCleaned[[#This Row],[ID]], Table4[ID], Table4[Store], "Not Found", 0)</f>
        <v>13</v>
      </c>
      <c r="V2003" s="16">
        <f>_xlfn.XLOOKUP(CustomerCombinedCleaned[[#This Row],[ID]], Table4[ID], Table4[Visits], "Not Found", 0)</f>
        <v>3</v>
      </c>
      <c r="W2003" s="16">
        <f>_xlfn.XLOOKUP(CustomerCombinedCleaned[[#This Row],[ID]], Table2[ID],Table2[Complaint], "Not Found", 0 )</f>
        <v>0</v>
      </c>
      <c r="X2003" s="16">
        <f>_xlfn.XLOOKUP(CustomerCombinedCleaned[[#This Row],[ID]], Table2[ID],Table2[Pilot], "Not Found", 0 )</f>
        <v>0</v>
      </c>
      <c r="Y2003" s="16">
        <f>_xlfn.XLOOKUP(CustomerCombinedCleaned[[#This Row],[ID]], Table2[ID],Table2[MC1], "Not Found", 0 )</f>
        <v>0</v>
      </c>
      <c r="Z2003" s="16">
        <f>_xlfn.XLOOKUP(CustomerCombinedCleaned[[#This Row],[ID]], Table2[ID],Table2[MC2], "Not Found", 0 )</f>
        <v>0</v>
      </c>
      <c r="AA2003" s="16">
        <f>_xlfn.XLOOKUP(CustomerCombinedCleaned[[#This Row],[ID]], Table2[ID],Table2[MC3], "Not Found", 0 )</f>
        <v>0</v>
      </c>
      <c r="AB2003" s="16">
        <f>_xlfn.XLOOKUP(CustomerCombinedCleaned[[#This Row],[ID]], Table2[ID],Table2[MC4], "Not Found", 0 )</f>
        <v>0</v>
      </c>
      <c r="AC2003" s="16">
        <f>_xlfn.XLOOKUP(CustomerCombinedCleaned[[#This Row],[ID]], Table2[ID],Table2[MC5], "Not Found", 0 )</f>
        <v>0</v>
      </c>
    </row>
    <row r="2004" spans="1:29" x14ac:dyDescent="0.3">
      <c r="A2004" s="18">
        <v>1745</v>
      </c>
      <c r="B2004" s="16">
        <v>175127</v>
      </c>
      <c r="C2004" s="16">
        <v>0</v>
      </c>
      <c r="D2004" s="16">
        <v>0</v>
      </c>
      <c r="E2004" s="16">
        <v>68</v>
      </c>
      <c r="F2004" s="17" t="s">
        <v>7</v>
      </c>
      <c r="G2004" s="17" t="s">
        <v>11</v>
      </c>
      <c r="H2004" s="3" t="s">
        <v>45</v>
      </c>
      <c r="I2004" s="5" t="s">
        <v>434</v>
      </c>
      <c r="J2004" s="16">
        <f>_xlfn.XLOOKUP(CustomerCombinedCleaned[[#This Row],[ID]], Table4[ID], Table4[Recency], "Not Found", 0)</f>
        <v>92</v>
      </c>
      <c r="K2004" s="16">
        <f>_xlfn.XLOOKUP(CustomerCombinedCleaned[[#This Row],[ID]], Table4[ID], Table4[Teas], "Not Found", 0)</f>
        <v>473</v>
      </c>
      <c r="L2004" s="16">
        <f>_xlfn.XLOOKUP(CustomerCombinedCleaned[[#This Row],[ID]], Table4[ID], Table4[Fruits], "Not Found", 0)</f>
        <v>82</v>
      </c>
      <c r="M2004" s="16">
        <f>_xlfn.XLOOKUP(CustomerCombinedCleaned[[#This Row],[ID]], Table4[ID], Table4[Meats], "Not Found", 0)</f>
        <v>711</v>
      </c>
      <c r="N2004" s="16">
        <f>_xlfn.XLOOKUP(CustomerCombinedCleaned[[#This Row],[ID]], Table4[ID], Table4[Seafood], "Not Found", 0)</f>
        <v>107</v>
      </c>
      <c r="O2004" s="16">
        <f>_xlfn.XLOOKUP(CustomerCombinedCleaned[[#This Row],[ID]], Table4[ID], Table4[Sweets], "Not Found", 0)</f>
        <v>40</v>
      </c>
      <c r="P2004" s="16">
        <f>_xlfn.XLOOKUP(CustomerCombinedCleaned[[#This Row],[ID]], Table4[ID], Table4[Premium], "Not Found", 0)</f>
        <v>529</v>
      </c>
      <c r="Q2004" s="16">
        <f>_xlfn.XLOOKUP(CustomerCombinedCleaned[[#This Row],[ID]], Table4[ID], Table4[Regular], "Not Found", 0)</f>
        <v>883</v>
      </c>
      <c r="R2004" s="16">
        <f>_xlfn.XLOOKUP(CustomerCombinedCleaned[[#This Row],[ID]], Table4[ID], Table4[Deals], "Not Found", 0)</f>
        <v>1</v>
      </c>
      <c r="S2004" s="16">
        <f>_xlfn.XLOOKUP(CustomerCombinedCleaned[[#This Row],[ID]], Table4[ID], Table4[Website], "Not Found", 0)</f>
        <v>2</v>
      </c>
      <c r="T2004" s="16">
        <f>_xlfn.XLOOKUP(CustomerCombinedCleaned[[#This Row],[ID]], Table4[ID], Table4[Catalog], "Not Found", 0)</f>
        <v>11</v>
      </c>
      <c r="U2004" s="16">
        <f>_xlfn.XLOOKUP(CustomerCombinedCleaned[[#This Row],[ID]], Table4[ID], Table4[Store], "Not Found", 0)</f>
        <v>5</v>
      </c>
      <c r="V2004" s="16">
        <f>_xlfn.XLOOKUP(CustomerCombinedCleaned[[#This Row],[ID]], Table4[ID], Table4[Visits], "Not Found", 0)</f>
        <v>1</v>
      </c>
      <c r="W2004" s="16">
        <f>_xlfn.XLOOKUP(CustomerCombinedCleaned[[#This Row],[ID]], Table2[ID],Table2[Complaint], "Not Found", 0 )</f>
        <v>0</v>
      </c>
      <c r="X2004" s="16">
        <f>_xlfn.XLOOKUP(CustomerCombinedCleaned[[#This Row],[ID]], Table2[ID],Table2[Pilot], "Not Found", 0 )</f>
        <v>0</v>
      </c>
      <c r="Y2004" s="16">
        <f>_xlfn.XLOOKUP(CustomerCombinedCleaned[[#This Row],[ID]], Table2[ID],Table2[MC1], "Not Found", 0 )</f>
        <v>0</v>
      </c>
      <c r="Z2004" s="16">
        <f>_xlfn.XLOOKUP(CustomerCombinedCleaned[[#This Row],[ID]], Table2[ID],Table2[MC2], "Not Found", 0 )</f>
        <v>0</v>
      </c>
      <c r="AA2004" s="16">
        <f>_xlfn.XLOOKUP(CustomerCombinedCleaned[[#This Row],[ID]], Table2[ID],Table2[MC3], "Not Found", 0 )</f>
        <v>0</v>
      </c>
      <c r="AB2004" s="16">
        <f>_xlfn.XLOOKUP(CustomerCombinedCleaned[[#This Row],[ID]], Table2[ID],Table2[MC4], "Not Found", 0 )</f>
        <v>0</v>
      </c>
      <c r="AC2004" s="16">
        <f>_xlfn.XLOOKUP(CustomerCombinedCleaned[[#This Row],[ID]], Table2[ID],Table2[MC5], "Not Found", 0 )</f>
        <v>0</v>
      </c>
    </row>
    <row r="2005" spans="1:29" x14ac:dyDescent="0.3">
      <c r="A2005" s="18">
        <v>1915</v>
      </c>
      <c r="B2005" s="16">
        <v>175127</v>
      </c>
      <c r="C2005" s="16">
        <v>0</v>
      </c>
      <c r="D2005" s="16">
        <v>0</v>
      </c>
      <c r="E2005" s="16">
        <v>68</v>
      </c>
      <c r="F2005" s="17" t="s">
        <v>7</v>
      </c>
      <c r="G2005" s="17" t="s">
        <v>11</v>
      </c>
      <c r="H2005" s="3" t="s">
        <v>45</v>
      </c>
      <c r="I2005" s="5" t="s">
        <v>437</v>
      </c>
      <c r="J2005" s="16">
        <f>_xlfn.XLOOKUP(CustomerCombinedCleaned[[#This Row],[ID]], Table4[ID], Table4[Recency], "Not Found", 0)</f>
        <v>92</v>
      </c>
      <c r="K2005" s="16">
        <f>_xlfn.XLOOKUP(CustomerCombinedCleaned[[#This Row],[ID]], Table4[ID], Table4[Teas], "Not Found", 0)</f>
        <v>473</v>
      </c>
      <c r="L2005" s="16">
        <f>_xlfn.XLOOKUP(CustomerCombinedCleaned[[#This Row],[ID]], Table4[ID], Table4[Fruits], "Not Found", 0)</f>
        <v>82</v>
      </c>
      <c r="M2005" s="16">
        <f>_xlfn.XLOOKUP(CustomerCombinedCleaned[[#This Row],[ID]], Table4[ID], Table4[Meats], "Not Found", 0)</f>
        <v>711</v>
      </c>
      <c r="N2005" s="16">
        <f>_xlfn.XLOOKUP(CustomerCombinedCleaned[[#This Row],[ID]], Table4[ID], Table4[Seafood], "Not Found", 0)</f>
        <v>107</v>
      </c>
      <c r="O2005" s="16">
        <f>_xlfn.XLOOKUP(CustomerCombinedCleaned[[#This Row],[ID]], Table4[ID], Table4[Sweets], "Not Found", 0)</f>
        <v>40</v>
      </c>
      <c r="P2005" s="16">
        <f>_xlfn.XLOOKUP(CustomerCombinedCleaned[[#This Row],[ID]], Table4[ID], Table4[Premium], "Not Found", 0)</f>
        <v>529</v>
      </c>
      <c r="Q2005" s="16">
        <f>_xlfn.XLOOKUP(CustomerCombinedCleaned[[#This Row],[ID]], Table4[ID], Table4[Regular], "Not Found", 0)</f>
        <v>883</v>
      </c>
      <c r="R2005" s="16">
        <f>_xlfn.XLOOKUP(CustomerCombinedCleaned[[#This Row],[ID]], Table4[ID], Table4[Deals], "Not Found", 0)</f>
        <v>1</v>
      </c>
      <c r="S2005" s="16">
        <f>_xlfn.XLOOKUP(CustomerCombinedCleaned[[#This Row],[ID]], Table4[ID], Table4[Website], "Not Found", 0)</f>
        <v>2</v>
      </c>
      <c r="T2005" s="16">
        <f>_xlfn.XLOOKUP(CustomerCombinedCleaned[[#This Row],[ID]], Table4[ID], Table4[Catalog], "Not Found", 0)</f>
        <v>11</v>
      </c>
      <c r="U2005" s="16">
        <f>_xlfn.XLOOKUP(CustomerCombinedCleaned[[#This Row],[ID]], Table4[ID], Table4[Store], "Not Found", 0)</f>
        <v>5</v>
      </c>
      <c r="V2005" s="16">
        <f>_xlfn.XLOOKUP(CustomerCombinedCleaned[[#This Row],[ID]], Table4[ID], Table4[Visits], "Not Found", 0)</f>
        <v>1</v>
      </c>
      <c r="W2005" s="16">
        <f>_xlfn.XLOOKUP(CustomerCombinedCleaned[[#This Row],[ID]], Table2[ID],Table2[Complaint], "Not Found", 0 )</f>
        <v>0</v>
      </c>
      <c r="X2005" s="16">
        <f>_xlfn.XLOOKUP(CustomerCombinedCleaned[[#This Row],[ID]], Table2[ID],Table2[Pilot], "Not Found", 0 )</f>
        <v>0</v>
      </c>
      <c r="Y2005" s="16">
        <f>_xlfn.XLOOKUP(CustomerCombinedCleaned[[#This Row],[ID]], Table2[ID],Table2[MC1], "Not Found", 0 )</f>
        <v>0</v>
      </c>
      <c r="Z2005" s="16">
        <f>_xlfn.XLOOKUP(CustomerCombinedCleaned[[#This Row],[ID]], Table2[ID],Table2[MC2], "Not Found", 0 )</f>
        <v>0</v>
      </c>
      <c r="AA2005" s="16">
        <f>_xlfn.XLOOKUP(CustomerCombinedCleaned[[#This Row],[ID]], Table2[ID],Table2[MC3], "Not Found", 0 )</f>
        <v>0</v>
      </c>
      <c r="AB2005" s="16">
        <f>_xlfn.XLOOKUP(CustomerCombinedCleaned[[#This Row],[ID]], Table2[ID],Table2[MC4], "Not Found", 0 )</f>
        <v>0</v>
      </c>
      <c r="AC2005" s="16">
        <f>_xlfn.XLOOKUP(CustomerCombinedCleaned[[#This Row],[ID]], Table2[ID],Table2[MC5], "Not Found", 0 )</f>
        <v>0</v>
      </c>
    </row>
    <row r="2006" spans="1:29" x14ac:dyDescent="0.3">
      <c r="A2006" s="18">
        <v>2039</v>
      </c>
      <c r="B2006" s="16">
        <v>172228</v>
      </c>
      <c r="C2006" s="16">
        <v>0</v>
      </c>
      <c r="D2006" s="16">
        <v>0</v>
      </c>
      <c r="E2006" s="16">
        <v>68</v>
      </c>
      <c r="F2006" s="17" t="s">
        <v>7</v>
      </c>
      <c r="G2006" s="17" t="s">
        <v>11</v>
      </c>
      <c r="H2006" s="3" t="s">
        <v>654</v>
      </c>
      <c r="I2006" s="5" t="s">
        <v>434</v>
      </c>
      <c r="J2006" s="16">
        <f>_xlfn.XLOOKUP(CustomerCombinedCleaned[[#This Row],[ID]], Table4[ID], Table4[Recency], "Not Found", 0)</f>
        <v>87</v>
      </c>
      <c r="K2006" s="16">
        <f>_xlfn.XLOOKUP(CustomerCombinedCleaned[[#This Row],[ID]], Table4[ID], Table4[Teas], "Not Found", 0)</f>
        <v>1505</v>
      </c>
      <c r="L2006" s="16">
        <f>_xlfn.XLOOKUP(CustomerCombinedCleaned[[#This Row],[ID]], Table4[ID], Table4[Fruits], "Not Found", 0)</f>
        <v>67</v>
      </c>
      <c r="M2006" s="16">
        <f>_xlfn.XLOOKUP(CustomerCombinedCleaned[[#This Row],[ID]], Table4[ID], Table4[Meats], "Not Found", 0)</f>
        <v>1171</v>
      </c>
      <c r="N2006" s="16">
        <f>_xlfn.XLOOKUP(CustomerCombinedCleaned[[#This Row],[ID]], Table4[ID], Table4[Seafood], "Not Found", 0)</f>
        <v>72</v>
      </c>
      <c r="O2006" s="16">
        <f>_xlfn.XLOOKUP(CustomerCombinedCleaned[[#This Row],[ID]], Table4[ID], Table4[Sweets], "Not Found", 0)</f>
        <v>33</v>
      </c>
      <c r="P2006" s="16">
        <f>_xlfn.XLOOKUP(CustomerCombinedCleaned[[#This Row],[ID]], Table4[ID], Table4[Premium], "Not Found", 0)</f>
        <v>134</v>
      </c>
      <c r="Q2006" s="16">
        <f>_xlfn.XLOOKUP(CustomerCombinedCleaned[[#This Row],[ID]], Table4[ID], Table4[Regular], "Not Found", 0)</f>
        <v>2714</v>
      </c>
      <c r="R2006" s="16">
        <f>_xlfn.XLOOKUP(CustomerCombinedCleaned[[#This Row],[ID]], Table4[ID], Table4[Deals], "Not Found", 0)</f>
        <v>1</v>
      </c>
      <c r="S2006" s="16">
        <f>_xlfn.XLOOKUP(CustomerCombinedCleaned[[#This Row],[ID]], Table4[ID], Table4[Website], "Not Found", 0)</f>
        <v>6</v>
      </c>
      <c r="T2006" s="16">
        <f>_xlfn.XLOOKUP(CustomerCombinedCleaned[[#This Row],[ID]], Table4[ID], Table4[Catalog], "Not Found", 0)</f>
        <v>7</v>
      </c>
      <c r="U2006" s="16">
        <f>_xlfn.XLOOKUP(CustomerCombinedCleaned[[#This Row],[ID]], Table4[ID], Table4[Store], "Not Found", 0)</f>
        <v>8</v>
      </c>
      <c r="V2006" s="16">
        <f>_xlfn.XLOOKUP(CustomerCombinedCleaned[[#This Row],[ID]], Table4[ID], Table4[Visits], "Not Found", 0)</f>
        <v>3</v>
      </c>
      <c r="W2006" s="16">
        <f>_xlfn.XLOOKUP(CustomerCombinedCleaned[[#This Row],[ID]], Table2[ID],Table2[Complaint], "Not Found", 0 )</f>
        <v>0</v>
      </c>
      <c r="X2006" s="16">
        <f>_xlfn.XLOOKUP(CustomerCombinedCleaned[[#This Row],[ID]], Table2[ID],Table2[Pilot], "Not Found", 0 )</f>
        <v>0</v>
      </c>
      <c r="Y2006" s="16">
        <f>_xlfn.XLOOKUP(CustomerCombinedCleaned[[#This Row],[ID]], Table2[ID],Table2[MC1], "Not Found", 0 )</f>
        <v>0</v>
      </c>
      <c r="Z2006" s="16">
        <f>_xlfn.XLOOKUP(CustomerCombinedCleaned[[#This Row],[ID]], Table2[ID],Table2[MC2], "Not Found", 0 )</f>
        <v>0</v>
      </c>
      <c r="AA2006" s="16">
        <f>_xlfn.XLOOKUP(CustomerCombinedCleaned[[#This Row],[ID]], Table2[ID],Table2[MC3], "Not Found", 0 )</f>
        <v>0</v>
      </c>
      <c r="AB2006" s="16">
        <f>_xlfn.XLOOKUP(CustomerCombinedCleaned[[#This Row],[ID]], Table2[ID],Table2[MC4], "Not Found", 0 )</f>
        <v>0</v>
      </c>
      <c r="AC2006" s="16">
        <f>_xlfn.XLOOKUP(CustomerCombinedCleaned[[#This Row],[ID]], Table2[ID],Table2[MC5], "Not Found", 0 )</f>
        <v>0</v>
      </c>
    </row>
    <row r="2007" spans="1:29" x14ac:dyDescent="0.3">
      <c r="A2007" s="18">
        <v>1718</v>
      </c>
      <c r="B2007" s="16">
        <v>170545</v>
      </c>
      <c r="C2007" s="16">
        <v>0</v>
      </c>
      <c r="D2007" s="16">
        <v>1</v>
      </c>
      <c r="E2007" s="16">
        <v>68</v>
      </c>
      <c r="F2007" s="17" t="s">
        <v>8</v>
      </c>
      <c r="G2007" s="17" t="s">
        <v>12</v>
      </c>
      <c r="H2007" s="3" t="s">
        <v>665</v>
      </c>
      <c r="I2007" s="5" t="s">
        <v>438</v>
      </c>
      <c r="J2007" s="16">
        <f>_xlfn.XLOOKUP(CustomerCombinedCleaned[[#This Row],[ID]], Table4[ID], Table4[Recency], "Not Found", 0)</f>
        <v>29</v>
      </c>
      <c r="K2007" s="16">
        <f>_xlfn.XLOOKUP(CustomerCombinedCleaned[[#This Row],[ID]], Table4[ID], Table4[Teas], "Not Found", 0)</f>
        <v>334</v>
      </c>
      <c r="L2007" s="16">
        <f>_xlfn.XLOOKUP(CustomerCombinedCleaned[[#This Row],[ID]], Table4[ID], Table4[Fruits], "Not Found", 0)</f>
        <v>94</v>
      </c>
      <c r="M2007" s="16">
        <f>_xlfn.XLOOKUP(CustomerCombinedCleaned[[#This Row],[ID]], Table4[ID], Table4[Meats], "Not Found", 0)</f>
        <v>152</v>
      </c>
      <c r="N2007" s="16">
        <f>_xlfn.XLOOKUP(CustomerCombinedCleaned[[#This Row],[ID]], Table4[ID], Table4[Seafood], "Not Found", 0)</f>
        <v>133</v>
      </c>
      <c r="O2007" s="16">
        <f>_xlfn.XLOOKUP(CustomerCombinedCleaned[[#This Row],[ID]], Table4[ID], Table4[Sweets], "Not Found", 0)</f>
        <v>44</v>
      </c>
      <c r="P2007" s="16">
        <f>_xlfn.XLOOKUP(CustomerCombinedCleaned[[#This Row],[ID]], Table4[ID], Table4[Premium], "Not Found", 0)</f>
        <v>51</v>
      </c>
      <c r="Q2007" s="16">
        <f>_xlfn.XLOOKUP(CustomerCombinedCleaned[[#This Row],[ID]], Table4[ID], Table4[Regular], "Not Found", 0)</f>
        <v>706</v>
      </c>
      <c r="R2007" s="16">
        <f>_xlfn.XLOOKUP(CustomerCombinedCleaned[[#This Row],[ID]], Table4[ID], Table4[Deals], "Not Found", 0)</f>
        <v>1</v>
      </c>
      <c r="S2007" s="16">
        <f>_xlfn.XLOOKUP(CustomerCombinedCleaned[[#This Row],[ID]], Table4[ID], Table4[Website], "Not Found", 0)</f>
        <v>4</v>
      </c>
      <c r="T2007" s="16">
        <f>_xlfn.XLOOKUP(CustomerCombinedCleaned[[#This Row],[ID]], Table4[ID], Table4[Catalog], "Not Found", 0)</f>
        <v>1</v>
      </c>
      <c r="U2007" s="16">
        <f>_xlfn.XLOOKUP(CustomerCombinedCleaned[[#This Row],[ID]], Table4[ID], Table4[Store], "Not Found", 0)</f>
        <v>7</v>
      </c>
      <c r="V2007" s="16">
        <f>_xlfn.XLOOKUP(CustomerCombinedCleaned[[#This Row],[ID]], Table4[ID], Table4[Visits], "Not Found", 0)</f>
        <v>2</v>
      </c>
      <c r="W2007" s="16">
        <f>_xlfn.XLOOKUP(CustomerCombinedCleaned[[#This Row],[ID]], Table2[ID],Table2[Complaint], "Not Found", 0 )</f>
        <v>0</v>
      </c>
      <c r="X2007" s="16">
        <f>_xlfn.XLOOKUP(CustomerCombinedCleaned[[#This Row],[ID]], Table2[ID],Table2[Pilot], "Not Found", 0 )</f>
        <v>0</v>
      </c>
      <c r="Y2007" s="16">
        <f>_xlfn.XLOOKUP(CustomerCombinedCleaned[[#This Row],[ID]], Table2[ID],Table2[MC1], "Not Found", 0 )</f>
        <v>0</v>
      </c>
      <c r="Z2007" s="16">
        <f>_xlfn.XLOOKUP(CustomerCombinedCleaned[[#This Row],[ID]], Table2[ID],Table2[MC2], "Not Found", 0 )</f>
        <v>0</v>
      </c>
      <c r="AA2007" s="16">
        <f>_xlfn.XLOOKUP(CustomerCombinedCleaned[[#This Row],[ID]], Table2[ID],Table2[MC3], "Not Found", 0 )</f>
        <v>0</v>
      </c>
      <c r="AB2007" s="16">
        <f>_xlfn.XLOOKUP(CustomerCombinedCleaned[[#This Row],[ID]], Table2[ID],Table2[MC4], "Not Found", 0 )</f>
        <v>0</v>
      </c>
      <c r="AC2007" s="16">
        <f>_xlfn.XLOOKUP(CustomerCombinedCleaned[[#This Row],[ID]], Table2[ID],Table2[MC5], "Not Found", 0 )</f>
        <v>0</v>
      </c>
    </row>
    <row r="2008" spans="1:29" x14ac:dyDescent="0.3">
      <c r="A2008" s="18">
        <v>3086</v>
      </c>
      <c r="B2008" s="16">
        <v>169805</v>
      </c>
      <c r="C2008" s="16">
        <v>0</v>
      </c>
      <c r="D2008" s="16">
        <v>1</v>
      </c>
      <c r="E2008" s="16">
        <v>68</v>
      </c>
      <c r="F2008" s="17" t="s">
        <v>8</v>
      </c>
      <c r="G2008" s="17" t="s">
        <v>13</v>
      </c>
      <c r="H2008" s="3" t="s">
        <v>111</v>
      </c>
      <c r="I2008" s="5" t="s">
        <v>438</v>
      </c>
      <c r="J2008" s="16">
        <f>_xlfn.XLOOKUP(CustomerCombinedCleaned[[#This Row],[ID]], Table4[ID], Table4[Recency], "Not Found", 0)</f>
        <v>50</v>
      </c>
      <c r="K2008" s="16">
        <f>_xlfn.XLOOKUP(CustomerCombinedCleaned[[#This Row],[ID]], Table4[ID], Table4[Teas], "Not Found", 0)</f>
        <v>1824</v>
      </c>
      <c r="L2008" s="16">
        <f>_xlfn.XLOOKUP(CustomerCombinedCleaned[[#This Row],[ID]], Table4[ID], Table4[Fruits], "Not Found", 0)</f>
        <v>173</v>
      </c>
      <c r="M2008" s="16">
        <f>_xlfn.XLOOKUP(CustomerCombinedCleaned[[#This Row],[ID]], Table4[ID], Table4[Meats], "Not Found", 0)</f>
        <v>423</v>
      </c>
      <c r="N2008" s="16">
        <f>_xlfn.XLOOKUP(CustomerCombinedCleaned[[#This Row],[ID]], Table4[ID], Table4[Seafood], "Not Found", 0)</f>
        <v>32</v>
      </c>
      <c r="O2008" s="16">
        <f>_xlfn.XLOOKUP(CustomerCombinedCleaned[[#This Row],[ID]], Table4[ID], Table4[Sweets], "Not Found", 0)</f>
        <v>24</v>
      </c>
      <c r="P2008" s="16">
        <f>_xlfn.XLOOKUP(CustomerCombinedCleaned[[#This Row],[ID]], Table4[ID], Table4[Premium], "Not Found", 0)</f>
        <v>49</v>
      </c>
      <c r="Q2008" s="16">
        <f>_xlfn.XLOOKUP(CustomerCombinedCleaned[[#This Row],[ID]], Table4[ID], Table4[Regular], "Not Found", 0)</f>
        <v>2428</v>
      </c>
      <c r="R2008" s="16">
        <f>_xlfn.XLOOKUP(CustomerCombinedCleaned[[#This Row],[ID]], Table4[ID], Table4[Deals], "Not Found", 0)</f>
        <v>2</v>
      </c>
      <c r="S2008" s="16">
        <f>_xlfn.XLOOKUP(CustomerCombinedCleaned[[#This Row],[ID]], Table4[ID], Table4[Website], "Not Found", 0)</f>
        <v>6</v>
      </c>
      <c r="T2008" s="16">
        <f>_xlfn.XLOOKUP(CustomerCombinedCleaned[[#This Row],[ID]], Table4[ID], Table4[Catalog], "Not Found", 0)</f>
        <v>8</v>
      </c>
      <c r="U2008" s="16">
        <f>_xlfn.XLOOKUP(CustomerCombinedCleaned[[#This Row],[ID]], Table4[ID], Table4[Store], "Not Found", 0)</f>
        <v>11</v>
      </c>
      <c r="V2008" s="16">
        <f>_xlfn.XLOOKUP(CustomerCombinedCleaned[[#This Row],[ID]], Table4[ID], Table4[Visits], "Not Found", 0)</f>
        <v>2</v>
      </c>
      <c r="W2008" s="16">
        <f>_xlfn.XLOOKUP(CustomerCombinedCleaned[[#This Row],[ID]], Table2[ID],Table2[Complaint], "Not Found", 0 )</f>
        <v>0</v>
      </c>
      <c r="X2008" s="16">
        <f>_xlfn.XLOOKUP(CustomerCombinedCleaned[[#This Row],[ID]], Table2[ID],Table2[Pilot], "Not Found", 0 )</f>
        <v>0</v>
      </c>
      <c r="Y2008" s="16">
        <f>_xlfn.XLOOKUP(CustomerCombinedCleaned[[#This Row],[ID]], Table2[ID],Table2[MC1], "Not Found", 0 )</f>
        <v>0</v>
      </c>
      <c r="Z2008" s="16">
        <f>_xlfn.XLOOKUP(CustomerCombinedCleaned[[#This Row],[ID]], Table2[ID],Table2[MC2], "Not Found", 0 )</f>
        <v>0</v>
      </c>
      <c r="AA2008" s="16">
        <f>_xlfn.XLOOKUP(CustomerCombinedCleaned[[#This Row],[ID]], Table2[ID],Table2[MC3], "Not Found", 0 )</f>
        <v>0</v>
      </c>
      <c r="AB2008" s="16">
        <f>_xlfn.XLOOKUP(CustomerCombinedCleaned[[#This Row],[ID]], Table2[ID],Table2[MC4], "Not Found", 0 )</f>
        <v>0</v>
      </c>
      <c r="AC2008" s="16">
        <f>_xlfn.XLOOKUP(CustomerCombinedCleaned[[#This Row],[ID]], Table2[ID],Table2[MC5], "Not Found", 0 )</f>
        <v>0</v>
      </c>
    </row>
    <row r="2009" spans="1:29" x14ac:dyDescent="0.3">
      <c r="A2009" s="18">
        <v>1188</v>
      </c>
      <c r="B2009" s="16">
        <v>169142</v>
      </c>
      <c r="C2009" s="16">
        <v>0</v>
      </c>
      <c r="D2009" s="16">
        <v>1</v>
      </c>
      <c r="E2009" s="16">
        <v>68</v>
      </c>
      <c r="F2009" s="17" t="s">
        <v>5</v>
      </c>
      <c r="G2009" s="17" t="s">
        <v>11</v>
      </c>
      <c r="H2009" s="3" t="s">
        <v>675</v>
      </c>
      <c r="I2009" s="5" t="s">
        <v>436</v>
      </c>
      <c r="J2009" s="16">
        <f>_xlfn.XLOOKUP(CustomerCombinedCleaned[[#This Row],[ID]], Table4[ID], Table4[Recency], "Not Found", 0)</f>
        <v>50</v>
      </c>
      <c r="K2009" s="16">
        <f>_xlfn.XLOOKUP(CustomerCombinedCleaned[[#This Row],[ID]], Table4[ID], Table4[Teas], "Not Found", 0)</f>
        <v>1096</v>
      </c>
      <c r="L2009" s="16">
        <f>_xlfn.XLOOKUP(CustomerCombinedCleaned[[#This Row],[ID]], Table4[ID], Table4[Fruits], "Not Found", 0)</f>
        <v>10</v>
      </c>
      <c r="M2009" s="16">
        <f>_xlfn.XLOOKUP(CustomerCombinedCleaned[[#This Row],[ID]], Table4[ID], Table4[Meats], "Not Found", 0)</f>
        <v>83</v>
      </c>
      <c r="N2009" s="16">
        <f>_xlfn.XLOOKUP(CustomerCombinedCleaned[[#This Row],[ID]], Table4[ID], Table4[Seafood], "Not Found", 0)</f>
        <v>15</v>
      </c>
      <c r="O2009" s="16">
        <f>_xlfn.XLOOKUP(CustomerCombinedCleaned[[#This Row],[ID]], Table4[ID], Table4[Sweets], "Not Found", 0)</f>
        <v>10</v>
      </c>
      <c r="P2009" s="16">
        <f>_xlfn.XLOOKUP(CustomerCombinedCleaned[[#This Row],[ID]], Table4[ID], Table4[Premium], "Not Found", 0)</f>
        <v>95</v>
      </c>
      <c r="Q2009" s="16">
        <f>_xlfn.XLOOKUP(CustomerCombinedCleaned[[#This Row],[ID]], Table4[ID], Table4[Regular], "Not Found", 0)</f>
        <v>1118</v>
      </c>
      <c r="R2009" s="16">
        <f>_xlfn.XLOOKUP(CustomerCombinedCleaned[[#This Row],[ID]], Table4[ID], Table4[Deals], "Not Found", 0)</f>
        <v>3</v>
      </c>
      <c r="S2009" s="16">
        <f>_xlfn.XLOOKUP(CustomerCombinedCleaned[[#This Row],[ID]], Table4[ID], Table4[Website], "Not Found", 0)</f>
        <v>8</v>
      </c>
      <c r="T2009" s="16">
        <f>_xlfn.XLOOKUP(CustomerCombinedCleaned[[#This Row],[ID]], Table4[ID], Table4[Catalog], "Not Found", 0)</f>
        <v>1</v>
      </c>
      <c r="U2009" s="16">
        <f>_xlfn.XLOOKUP(CustomerCombinedCleaned[[#This Row],[ID]], Table4[ID], Table4[Store], "Not Found", 0)</f>
        <v>7</v>
      </c>
      <c r="V2009" s="16">
        <f>_xlfn.XLOOKUP(CustomerCombinedCleaned[[#This Row],[ID]], Table4[ID], Table4[Visits], "Not Found", 0)</f>
        <v>5</v>
      </c>
      <c r="W2009" s="16">
        <f>_xlfn.XLOOKUP(CustomerCombinedCleaned[[#This Row],[ID]], Table2[ID],Table2[Complaint], "Not Found", 0 )</f>
        <v>0</v>
      </c>
      <c r="X2009" s="16">
        <f>_xlfn.XLOOKUP(CustomerCombinedCleaned[[#This Row],[ID]], Table2[ID],Table2[Pilot], "Not Found", 0 )</f>
        <v>0</v>
      </c>
      <c r="Y2009" s="16">
        <f>_xlfn.XLOOKUP(CustomerCombinedCleaned[[#This Row],[ID]], Table2[ID],Table2[MC1], "Not Found", 0 )</f>
        <v>0</v>
      </c>
      <c r="Z2009" s="16">
        <f>_xlfn.XLOOKUP(CustomerCombinedCleaned[[#This Row],[ID]], Table2[ID],Table2[MC2], "Not Found", 0 )</f>
        <v>0</v>
      </c>
      <c r="AA2009" s="16">
        <f>_xlfn.XLOOKUP(CustomerCombinedCleaned[[#This Row],[ID]], Table2[ID],Table2[MC3], "Not Found", 0 )</f>
        <v>0</v>
      </c>
      <c r="AB2009" s="16">
        <f>_xlfn.XLOOKUP(CustomerCombinedCleaned[[#This Row],[ID]], Table2[ID],Table2[MC4], "Not Found", 0 )</f>
        <v>1</v>
      </c>
      <c r="AC2009" s="16">
        <f>_xlfn.XLOOKUP(CustomerCombinedCleaned[[#This Row],[ID]], Table2[ID],Table2[MC5], "Not Found", 0 )</f>
        <v>0</v>
      </c>
    </row>
    <row r="2010" spans="1:29" x14ac:dyDescent="0.3">
      <c r="A2010" s="18">
        <v>2232</v>
      </c>
      <c r="B2010" s="16">
        <v>167433</v>
      </c>
      <c r="C2010" s="16">
        <v>0</v>
      </c>
      <c r="D2010" s="16">
        <v>2</v>
      </c>
      <c r="E2010" s="16">
        <v>68</v>
      </c>
      <c r="F2010" s="17" t="s">
        <v>6</v>
      </c>
      <c r="G2010" s="17" t="s">
        <v>11</v>
      </c>
      <c r="H2010" s="3" t="s">
        <v>220</v>
      </c>
      <c r="I2010" s="5" t="s">
        <v>436</v>
      </c>
      <c r="J2010" s="16">
        <f>_xlfn.XLOOKUP(CustomerCombinedCleaned[[#This Row],[ID]], Table4[ID], Table4[Recency], "Not Found", 0)</f>
        <v>51</v>
      </c>
      <c r="K2010" s="16">
        <f>_xlfn.XLOOKUP(CustomerCombinedCleaned[[#This Row],[ID]], Table4[ID], Table4[Teas], "Not Found", 0)</f>
        <v>1527</v>
      </c>
      <c r="L2010" s="16">
        <f>_xlfn.XLOOKUP(CustomerCombinedCleaned[[#This Row],[ID]], Table4[ID], Table4[Fruits], "Not Found", 0)</f>
        <v>70</v>
      </c>
      <c r="M2010" s="16">
        <f>_xlfn.XLOOKUP(CustomerCombinedCleaned[[#This Row],[ID]], Table4[ID], Table4[Meats], "Not Found", 0)</f>
        <v>643</v>
      </c>
      <c r="N2010" s="16">
        <f>_xlfn.XLOOKUP(CustomerCombinedCleaned[[#This Row],[ID]], Table4[ID], Table4[Seafood], "Not Found", 0)</f>
        <v>30</v>
      </c>
      <c r="O2010" s="16">
        <f>_xlfn.XLOOKUP(CustomerCombinedCleaned[[#This Row],[ID]], Table4[ID], Table4[Sweets], "Not Found", 0)</f>
        <v>119</v>
      </c>
      <c r="P2010" s="16">
        <f>_xlfn.XLOOKUP(CustomerCombinedCleaned[[#This Row],[ID]], Table4[ID], Table4[Premium], "Not Found", 0)</f>
        <v>74</v>
      </c>
      <c r="Q2010" s="16">
        <f>_xlfn.XLOOKUP(CustomerCombinedCleaned[[#This Row],[ID]], Table4[ID], Table4[Regular], "Not Found", 0)</f>
        <v>2314</v>
      </c>
      <c r="R2010" s="16">
        <f>_xlfn.XLOOKUP(CustomerCombinedCleaned[[#This Row],[ID]], Table4[ID], Table4[Deals], "Not Found", 0)</f>
        <v>4</v>
      </c>
      <c r="S2010" s="16">
        <f>_xlfn.XLOOKUP(CustomerCombinedCleaned[[#This Row],[ID]], Table4[ID], Table4[Website], "Not Found", 0)</f>
        <v>6</v>
      </c>
      <c r="T2010" s="16">
        <f>_xlfn.XLOOKUP(CustomerCombinedCleaned[[#This Row],[ID]], Table4[ID], Table4[Catalog], "Not Found", 0)</f>
        <v>5</v>
      </c>
      <c r="U2010" s="16">
        <f>_xlfn.XLOOKUP(CustomerCombinedCleaned[[#This Row],[ID]], Table4[ID], Table4[Store], "Not Found", 0)</f>
        <v>13</v>
      </c>
      <c r="V2010" s="16">
        <f>_xlfn.XLOOKUP(CustomerCombinedCleaned[[#This Row],[ID]], Table4[ID], Table4[Visits], "Not Found", 0)</f>
        <v>4</v>
      </c>
      <c r="W2010" s="16">
        <f>_xlfn.XLOOKUP(CustomerCombinedCleaned[[#This Row],[ID]], Table2[ID],Table2[Complaint], "Not Found", 0 )</f>
        <v>0</v>
      </c>
      <c r="X2010" s="16">
        <f>_xlfn.XLOOKUP(CustomerCombinedCleaned[[#This Row],[ID]], Table2[ID],Table2[Pilot], "Not Found", 0 )</f>
        <v>0</v>
      </c>
      <c r="Y2010" s="16">
        <f>_xlfn.XLOOKUP(CustomerCombinedCleaned[[#This Row],[ID]], Table2[ID],Table2[MC1], "Not Found", 0 )</f>
        <v>0</v>
      </c>
      <c r="Z2010" s="16">
        <f>_xlfn.XLOOKUP(CustomerCombinedCleaned[[#This Row],[ID]], Table2[ID],Table2[MC2], "Not Found", 0 )</f>
        <v>0</v>
      </c>
      <c r="AA2010" s="16">
        <f>_xlfn.XLOOKUP(CustomerCombinedCleaned[[#This Row],[ID]], Table2[ID],Table2[MC3], "Not Found", 0 )</f>
        <v>0</v>
      </c>
      <c r="AB2010" s="16">
        <f>_xlfn.XLOOKUP(CustomerCombinedCleaned[[#This Row],[ID]], Table2[ID],Table2[MC4], "Not Found", 0 )</f>
        <v>1</v>
      </c>
      <c r="AC2010" s="16">
        <f>_xlfn.XLOOKUP(CustomerCombinedCleaned[[#This Row],[ID]], Table2[ID],Table2[MC5], "Not Found", 0 )</f>
        <v>0</v>
      </c>
    </row>
    <row r="2011" spans="1:29" x14ac:dyDescent="0.3">
      <c r="A2011" s="18">
        <v>1921</v>
      </c>
      <c r="B2011" s="16">
        <v>164831</v>
      </c>
      <c r="C2011" s="16">
        <v>1</v>
      </c>
      <c r="D2011" s="16">
        <v>1</v>
      </c>
      <c r="E2011" s="16">
        <v>68</v>
      </c>
      <c r="F2011" s="17" t="s">
        <v>7</v>
      </c>
      <c r="G2011" s="17" t="s">
        <v>11</v>
      </c>
      <c r="H2011" s="3" t="s">
        <v>242</v>
      </c>
      <c r="I2011" s="5" t="s">
        <v>437</v>
      </c>
      <c r="J2011" s="16">
        <f>_xlfn.XLOOKUP(CustomerCombinedCleaned[[#This Row],[ID]], Table4[ID], Table4[Recency], "Not Found", 0)</f>
        <v>51</v>
      </c>
      <c r="K2011" s="16">
        <f>_xlfn.XLOOKUP(CustomerCombinedCleaned[[#This Row],[ID]], Table4[ID], Table4[Teas], "Not Found", 0)</f>
        <v>1220</v>
      </c>
      <c r="L2011" s="16">
        <f>_xlfn.XLOOKUP(CustomerCombinedCleaned[[#This Row],[ID]], Table4[ID], Table4[Fruits], "Not Found", 0)</f>
        <v>219</v>
      </c>
      <c r="M2011" s="16">
        <f>_xlfn.XLOOKUP(CustomerCombinedCleaned[[#This Row],[ID]], Table4[ID], Table4[Meats], "Not Found", 0)</f>
        <v>633</v>
      </c>
      <c r="N2011" s="16">
        <f>_xlfn.XLOOKUP(CustomerCombinedCleaned[[#This Row],[ID]], Table4[ID], Table4[Seafood], "Not Found", 0)</f>
        <v>191</v>
      </c>
      <c r="O2011" s="16">
        <f>_xlfn.XLOOKUP(CustomerCombinedCleaned[[#This Row],[ID]], Table4[ID], Table4[Sweets], "Not Found", 0)</f>
        <v>219</v>
      </c>
      <c r="P2011" s="16">
        <f>_xlfn.XLOOKUP(CustomerCombinedCleaned[[#This Row],[ID]], Table4[ID], Table4[Premium], "Not Found", 0)</f>
        <v>366</v>
      </c>
      <c r="Q2011" s="16">
        <f>_xlfn.XLOOKUP(CustomerCombinedCleaned[[#This Row],[ID]], Table4[ID], Table4[Regular], "Not Found", 0)</f>
        <v>2115</v>
      </c>
      <c r="R2011" s="16">
        <f>_xlfn.XLOOKUP(CustomerCombinedCleaned[[#This Row],[ID]], Table4[ID], Table4[Deals], "Not Found", 0)</f>
        <v>8</v>
      </c>
      <c r="S2011" s="16">
        <f>_xlfn.XLOOKUP(CustomerCombinedCleaned[[#This Row],[ID]], Table4[ID], Table4[Website], "Not Found", 0)</f>
        <v>6</v>
      </c>
      <c r="T2011" s="16">
        <f>_xlfn.XLOOKUP(CustomerCombinedCleaned[[#This Row],[ID]], Table4[ID], Table4[Catalog], "Not Found", 0)</f>
        <v>3</v>
      </c>
      <c r="U2011" s="16">
        <f>_xlfn.XLOOKUP(CustomerCombinedCleaned[[#This Row],[ID]], Table4[ID], Table4[Store], "Not Found", 0)</f>
        <v>5</v>
      </c>
      <c r="V2011" s="16">
        <f>_xlfn.XLOOKUP(CustomerCombinedCleaned[[#This Row],[ID]], Table4[ID], Table4[Visits], "Not Found", 0)</f>
        <v>6</v>
      </c>
      <c r="W2011" s="16">
        <f>_xlfn.XLOOKUP(CustomerCombinedCleaned[[#This Row],[ID]], Table2[ID],Table2[Complaint], "Not Found", 0 )</f>
        <v>0</v>
      </c>
      <c r="X2011" s="16">
        <f>_xlfn.XLOOKUP(CustomerCombinedCleaned[[#This Row],[ID]], Table2[ID],Table2[Pilot], "Not Found", 0 )</f>
        <v>0</v>
      </c>
      <c r="Y2011" s="16">
        <f>_xlfn.XLOOKUP(CustomerCombinedCleaned[[#This Row],[ID]], Table2[ID],Table2[MC1], "Not Found", 0 )</f>
        <v>0</v>
      </c>
      <c r="Z2011" s="16">
        <f>_xlfn.XLOOKUP(CustomerCombinedCleaned[[#This Row],[ID]], Table2[ID],Table2[MC2], "Not Found", 0 )</f>
        <v>0</v>
      </c>
      <c r="AA2011" s="16">
        <f>_xlfn.XLOOKUP(CustomerCombinedCleaned[[#This Row],[ID]], Table2[ID],Table2[MC3], "Not Found", 0 )</f>
        <v>0</v>
      </c>
      <c r="AB2011" s="16">
        <f>_xlfn.XLOOKUP(CustomerCombinedCleaned[[#This Row],[ID]], Table2[ID],Table2[MC4], "Not Found", 0 )</f>
        <v>0</v>
      </c>
      <c r="AC2011" s="16">
        <f>_xlfn.XLOOKUP(CustomerCombinedCleaned[[#This Row],[ID]], Table2[ID],Table2[MC5], "Not Found", 0 )</f>
        <v>0</v>
      </c>
    </row>
    <row r="2012" spans="1:29" x14ac:dyDescent="0.3">
      <c r="A2012" s="18">
        <v>2110</v>
      </c>
      <c r="B2012" s="16">
        <v>163998</v>
      </c>
      <c r="C2012" s="16">
        <v>0</v>
      </c>
      <c r="D2012" s="16">
        <v>0</v>
      </c>
      <c r="E2012" s="16">
        <v>68</v>
      </c>
      <c r="F2012" s="17" t="s">
        <v>5</v>
      </c>
      <c r="G2012" s="17" t="s">
        <v>11</v>
      </c>
      <c r="H2012" s="3" t="s">
        <v>128</v>
      </c>
      <c r="I2012" s="5" t="s">
        <v>439</v>
      </c>
      <c r="J2012" s="16">
        <f>_xlfn.XLOOKUP(CustomerCombinedCleaned[[#This Row],[ID]], Table4[ID], Table4[Recency], "Not Found", 0)</f>
        <v>42</v>
      </c>
      <c r="K2012" s="16">
        <f>_xlfn.XLOOKUP(CustomerCombinedCleaned[[#This Row],[ID]], Table4[ID], Table4[Teas], "Not Found", 0)</f>
        <v>451</v>
      </c>
      <c r="L2012" s="16">
        <f>_xlfn.XLOOKUP(CustomerCombinedCleaned[[#This Row],[ID]], Table4[ID], Table4[Fruits], "Not Found", 0)</f>
        <v>74</v>
      </c>
      <c r="M2012" s="16">
        <f>_xlfn.XLOOKUP(CustomerCombinedCleaned[[#This Row],[ID]], Table4[ID], Table4[Meats], "Not Found", 0)</f>
        <v>2096</v>
      </c>
      <c r="N2012" s="16">
        <f>_xlfn.XLOOKUP(CustomerCombinedCleaned[[#This Row],[ID]], Table4[ID], Table4[Seafood], "Not Found", 0)</f>
        <v>0</v>
      </c>
      <c r="O2012" s="16">
        <f>_xlfn.XLOOKUP(CustomerCombinedCleaned[[#This Row],[ID]], Table4[ID], Table4[Sweets], "Not Found", 0)</f>
        <v>85</v>
      </c>
      <c r="P2012" s="16">
        <f>_xlfn.XLOOKUP(CustomerCombinedCleaned[[#This Row],[ID]], Table4[ID], Table4[Premium], "Not Found", 0)</f>
        <v>287</v>
      </c>
      <c r="Q2012" s="16">
        <f>_xlfn.XLOOKUP(CustomerCombinedCleaned[[#This Row],[ID]], Table4[ID], Table4[Regular], "Not Found", 0)</f>
        <v>2419</v>
      </c>
      <c r="R2012" s="16">
        <f>_xlfn.XLOOKUP(CustomerCombinedCleaned[[#This Row],[ID]], Table4[ID], Table4[Deals], "Not Found", 0)</f>
        <v>1</v>
      </c>
      <c r="S2012" s="16">
        <f>_xlfn.XLOOKUP(CustomerCombinedCleaned[[#This Row],[ID]], Table4[ID], Table4[Website], "Not Found", 0)</f>
        <v>7</v>
      </c>
      <c r="T2012" s="16">
        <f>_xlfn.XLOOKUP(CustomerCombinedCleaned[[#This Row],[ID]], Table4[ID], Table4[Catalog], "Not Found", 0)</f>
        <v>6</v>
      </c>
      <c r="U2012" s="16">
        <f>_xlfn.XLOOKUP(CustomerCombinedCleaned[[#This Row],[ID]], Table4[ID], Table4[Store], "Not Found", 0)</f>
        <v>11</v>
      </c>
      <c r="V2012" s="16">
        <f>_xlfn.XLOOKUP(CustomerCombinedCleaned[[#This Row],[ID]], Table4[ID], Table4[Visits], "Not Found", 0)</f>
        <v>4</v>
      </c>
      <c r="W2012" s="16">
        <f>_xlfn.XLOOKUP(CustomerCombinedCleaned[[#This Row],[ID]], Table2[ID],Table2[Complaint], "Not Found", 0 )</f>
        <v>0</v>
      </c>
      <c r="X2012" s="16">
        <f>_xlfn.XLOOKUP(CustomerCombinedCleaned[[#This Row],[ID]], Table2[ID],Table2[Pilot], "Not Found", 0 )</f>
        <v>1</v>
      </c>
      <c r="Y2012" s="16">
        <f>_xlfn.XLOOKUP(CustomerCombinedCleaned[[#This Row],[ID]], Table2[ID],Table2[MC1], "Not Found", 0 )</f>
        <v>0</v>
      </c>
      <c r="Z2012" s="16">
        <f>_xlfn.XLOOKUP(CustomerCombinedCleaned[[#This Row],[ID]], Table2[ID],Table2[MC2], "Not Found", 0 )</f>
        <v>0</v>
      </c>
      <c r="AA2012" s="16">
        <f>_xlfn.XLOOKUP(CustomerCombinedCleaned[[#This Row],[ID]], Table2[ID],Table2[MC3], "Not Found", 0 )</f>
        <v>0</v>
      </c>
      <c r="AB2012" s="16">
        <f>_xlfn.XLOOKUP(CustomerCombinedCleaned[[#This Row],[ID]], Table2[ID],Table2[MC4], "Not Found", 0 )</f>
        <v>0</v>
      </c>
      <c r="AC2012" s="16">
        <f>_xlfn.XLOOKUP(CustomerCombinedCleaned[[#This Row],[ID]], Table2[ID],Table2[MC5], "Not Found", 0 )</f>
        <v>0</v>
      </c>
    </row>
    <row r="2013" spans="1:29" x14ac:dyDescent="0.3">
      <c r="A2013" s="18">
        <v>1121</v>
      </c>
      <c r="B2013" s="16">
        <v>162998</v>
      </c>
      <c r="C2013" s="16">
        <v>0</v>
      </c>
      <c r="D2013" s="16">
        <v>1</v>
      </c>
      <c r="E2013" s="16">
        <v>68</v>
      </c>
      <c r="F2013" s="17" t="s">
        <v>6</v>
      </c>
      <c r="G2013" s="17" t="s">
        <v>11</v>
      </c>
      <c r="H2013" s="3" t="s">
        <v>604</v>
      </c>
      <c r="I2013" s="5" t="s">
        <v>434</v>
      </c>
      <c r="J2013" s="16">
        <f>_xlfn.XLOOKUP(CustomerCombinedCleaned[[#This Row],[ID]], Table4[ID], Table4[Recency], "Not Found", 0)</f>
        <v>10</v>
      </c>
      <c r="K2013" s="16">
        <f>_xlfn.XLOOKUP(CustomerCombinedCleaned[[#This Row],[ID]], Table4[ID], Table4[Teas], "Not Found", 0)</f>
        <v>310</v>
      </c>
      <c r="L2013" s="16">
        <f>_xlfn.XLOOKUP(CustomerCombinedCleaned[[#This Row],[ID]], Table4[ID], Table4[Fruits], "Not Found", 0)</f>
        <v>150</v>
      </c>
      <c r="M2013" s="16">
        <f>_xlfn.XLOOKUP(CustomerCombinedCleaned[[#This Row],[ID]], Table4[ID], Table4[Meats], "Not Found", 0)</f>
        <v>189</v>
      </c>
      <c r="N2013" s="16">
        <f>_xlfn.XLOOKUP(CustomerCombinedCleaned[[#This Row],[ID]], Table4[ID], Table4[Seafood], "Not Found", 0)</f>
        <v>168</v>
      </c>
      <c r="O2013" s="16">
        <f>_xlfn.XLOOKUP(CustomerCombinedCleaned[[#This Row],[ID]], Table4[ID], Table4[Sweets], "Not Found", 0)</f>
        <v>230</v>
      </c>
      <c r="P2013" s="16">
        <f>_xlfn.XLOOKUP(CustomerCombinedCleaned[[#This Row],[ID]], Table4[ID], Table4[Premium], "Not Found", 0)</f>
        <v>150</v>
      </c>
      <c r="Q2013" s="16">
        <f>_xlfn.XLOOKUP(CustomerCombinedCleaned[[#This Row],[ID]], Table4[ID], Table4[Regular], "Not Found", 0)</f>
        <v>898</v>
      </c>
      <c r="R2013" s="16">
        <f>_xlfn.XLOOKUP(CustomerCombinedCleaned[[#This Row],[ID]], Table4[ID], Table4[Deals], "Not Found", 0)</f>
        <v>5</v>
      </c>
      <c r="S2013" s="16">
        <f>_xlfn.XLOOKUP(CustomerCombinedCleaned[[#This Row],[ID]], Table4[ID], Table4[Website], "Not Found", 0)</f>
        <v>5</v>
      </c>
      <c r="T2013" s="16">
        <f>_xlfn.XLOOKUP(CustomerCombinedCleaned[[#This Row],[ID]], Table4[ID], Table4[Catalog], "Not Found", 0)</f>
        <v>4</v>
      </c>
      <c r="U2013" s="16">
        <f>_xlfn.XLOOKUP(CustomerCombinedCleaned[[#This Row],[ID]], Table4[ID], Table4[Store], "Not Found", 0)</f>
        <v>5</v>
      </c>
      <c r="V2013" s="16">
        <f>_xlfn.XLOOKUP(CustomerCombinedCleaned[[#This Row],[ID]], Table4[ID], Table4[Visits], "Not Found", 0)</f>
        <v>5</v>
      </c>
      <c r="W2013" s="16">
        <f>_xlfn.XLOOKUP(CustomerCombinedCleaned[[#This Row],[ID]], Table2[ID],Table2[Complaint], "Not Found", 0 )</f>
        <v>0</v>
      </c>
      <c r="X2013" s="16">
        <f>_xlfn.XLOOKUP(CustomerCombinedCleaned[[#This Row],[ID]], Table2[ID],Table2[Pilot], "Not Found", 0 )</f>
        <v>0</v>
      </c>
      <c r="Y2013" s="16">
        <f>_xlfn.XLOOKUP(CustomerCombinedCleaned[[#This Row],[ID]], Table2[ID],Table2[MC1], "Not Found", 0 )</f>
        <v>0</v>
      </c>
      <c r="Z2013" s="16">
        <f>_xlfn.XLOOKUP(CustomerCombinedCleaned[[#This Row],[ID]], Table2[ID],Table2[MC2], "Not Found", 0 )</f>
        <v>0</v>
      </c>
      <c r="AA2013" s="16">
        <f>_xlfn.XLOOKUP(CustomerCombinedCleaned[[#This Row],[ID]], Table2[ID],Table2[MC3], "Not Found", 0 )</f>
        <v>0</v>
      </c>
      <c r="AB2013" s="16">
        <f>_xlfn.XLOOKUP(CustomerCombinedCleaned[[#This Row],[ID]], Table2[ID],Table2[MC4], "Not Found", 0 )</f>
        <v>0</v>
      </c>
      <c r="AC2013" s="16">
        <f>_xlfn.XLOOKUP(CustomerCombinedCleaned[[#This Row],[ID]], Table2[ID],Table2[MC5], "Not Found", 0 )</f>
        <v>0</v>
      </c>
    </row>
    <row r="2014" spans="1:29" x14ac:dyDescent="0.3">
      <c r="A2014" s="18">
        <v>2670</v>
      </c>
      <c r="B2014" s="16">
        <v>162335</v>
      </c>
      <c r="C2014" s="16">
        <v>0</v>
      </c>
      <c r="D2014" s="16">
        <v>1</v>
      </c>
      <c r="E2014" s="16">
        <v>68</v>
      </c>
      <c r="F2014" s="17" t="s">
        <v>5</v>
      </c>
      <c r="G2014" s="17" t="s">
        <v>11</v>
      </c>
      <c r="H2014" s="3" t="s">
        <v>248</v>
      </c>
      <c r="I2014" s="5" t="s">
        <v>436</v>
      </c>
      <c r="J2014" s="16">
        <f>_xlfn.XLOOKUP(CustomerCombinedCleaned[[#This Row],[ID]], Table4[ID], Table4[Recency], "Not Found", 0)</f>
        <v>87</v>
      </c>
      <c r="K2014" s="16">
        <f>_xlfn.XLOOKUP(CustomerCombinedCleaned[[#This Row],[ID]], Table4[ID], Table4[Teas], "Not Found", 0)</f>
        <v>633</v>
      </c>
      <c r="L2014" s="16">
        <f>_xlfn.XLOOKUP(CustomerCombinedCleaned[[#This Row],[ID]], Table4[ID], Table4[Fruits], "Not Found", 0)</f>
        <v>341</v>
      </c>
      <c r="M2014" s="16">
        <f>_xlfn.XLOOKUP(CustomerCombinedCleaned[[#This Row],[ID]], Table4[ID], Table4[Meats], "Not Found", 0)</f>
        <v>565</v>
      </c>
      <c r="N2014" s="16">
        <f>_xlfn.XLOOKUP(CustomerCombinedCleaned[[#This Row],[ID]], Table4[ID], Table4[Seafood], "Not Found", 0)</f>
        <v>221</v>
      </c>
      <c r="O2014" s="16">
        <f>_xlfn.XLOOKUP(CustomerCombinedCleaned[[#This Row],[ID]], Table4[ID], Table4[Sweets], "Not Found", 0)</f>
        <v>16</v>
      </c>
      <c r="P2014" s="16">
        <f>_xlfn.XLOOKUP(CustomerCombinedCleaned[[#This Row],[ID]], Table4[ID], Table4[Premium], "Not Found", 0)</f>
        <v>68</v>
      </c>
      <c r="Q2014" s="16">
        <f>_xlfn.XLOOKUP(CustomerCombinedCleaned[[#This Row],[ID]], Table4[ID], Table4[Regular], "Not Found", 0)</f>
        <v>1708</v>
      </c>
      <c r="R2014" s="16">
        <f>_xlfn.XLOOKUP(CustomerCombinedCleaned[[#This Row],[ID]], Table4[ID], Table4[Deals], "Not Found", 0)</f>
        <v>2</v>
      </c>
      <c r="S2014" s="16">
        <f>_xlfn.XLOOKUP(CustomerCombinedCleaned[[#This Row],[ID]], Table4[ID], Table4[Website], "Not Found", 0)</f>
        <v>3</v>
      </c>
      <c r="T2014" s="16">
        <f>_xlfn.XLOOKUP(CustomerCombinedCleaned[[#This Row],[ID]], Table4[ID], Table4[Catalog], "Not Found", 0)</f>
        <v>3</v>
      </c>
      <c r="U2014" s="16">
        <f>_xlfn.XLOOKUP(CustomerCombinedCleaned[[#This Row],[ID]], Table4[ID], Table4[Store], "Not Found", 0)</f>
        <v>13</v>
      </c>
      <c r="V2014" s="16">
        <f>_xlfn.XLOOKUP(CustomerCombinedCleaned[[#This Row],[ID]], Table4[ID], Table4[Visits], "Not Found", 0)</f>
        <v>2</v>
      </c>
      <c r="W2014" s="16">
        <f>_xlfn.XLOOKUP(CustomerCombinedCleaned[[#This Row],[ID]], Table2[ID],Table2[Complaint], "Not Found", 0 )</f>
        <v>0</v>
      </c>
      <c r="X2014" s="16">
        <f>_xlfn.XLOOKUP(CustomerCombinedCleaned[[#This Row],[ID]], Table2[ID],Table2[Pilot], "Not Found", 0 )</f>
        <v>0</v>
      </c>
      <c r="Y2014" s="16">
        <f>_xlfn.XLOOKUP(CustomerCombinedCleaned[[#This Row],[ID]], Table2[ID],Table2[MC1], "Not Found", 0 )</f>
        <v>0</v>
      </c>
      <c r="Z2014" s="16">
        <f>_xlfn.XLOOKUP(CustomerCombinedCleaned[[#This Row],[ID]], Table2[ID],Table2[MC2], "Not Found", 0 )</f>
        <v>0</v>
      </c>
      <c r="AA2014" s="16">
        <f>_xlfn.XLOOKUP(CustomerCombinedCleaned[[#This Row],[ID]], Table2[ID],Table2[MC3], "Not Found", 0 )</f>
        <v>0</v>
      </c>
      <c r="AB2014" s="16">
        <f>_xlfn.XLOOKUP(CustomerCombinedCleaned[[#This Row],[ID]], Table2[ID],Table2[MC4], "Not Found", 0 )</f>
        <v>0</v>
      </c>
      <c r="AC2014" s="16">
        <f>_xlfn.XLOOKUP(CustomerCombinedCleaned[[#This Row],[ID]], Table2[ID],Table2[MC5], "Not Found", 0 )</f>
        <v>0</v>
      </c>
    </row>
    <row r="2015" spans="1:29" x14ac:dyDescent="0.3">
      <c r="A2015" s="18">
        <v>2174</v>
      </c>
      <c r="B2015" s="16">
        <v>162307</v>
      </c>
      <c r="C2015" s="16">
        <v>0</v>
      </c>
      <c r="D2015" s="16">
        <v>1</v>
      </c>
      <c r="E2015" s="16">
        <v>68</v>
      </c>
      <c r="F2015" s="17" t="s">
        <v>7</v>
      </c>
      <c r="G2015" s="17" t="s">
        <v>11</v>
      </c>
      <c r="H2015" s="3" t="s">
        <v>96</v>
      </c>
      <c r="I2015" s="5" t="s">
        <v>438</v>
      </c>
      <c r="J2015" s="16">
        <f>_xlfn.XLOOKUP(CustomerCombinedCleaned[[#This Row],[ID]], Table4[ID], Table4[Recency], "Not Found", 0)</f>
        <v>94</v>
      </c>
      <c r="K2015" s="16">
        <f>_xlfn.XLOOKUP(CustomerCombinedCleaned[[#This Row],[ID]], Table4[ID], Table4[Teas], "Not Found", 0)</f>
        <v>227</v>
      </c>
      <c r="L2015" s="16">
        <f>_xlfn.XLOOKUP(CustomerCombinedCleaned[[#This Row],[ID]], Table4[ID], Table4[Fruits], "Not Found", 0)</f>
        <v>34</v>
      </c>
      <c r="M2015" s="16">
        <f>_xlfn.XLOOKUP(CustomerCombinedCleaned[[#This Row],[ID]], Table4[ID], Table4[Meats], "Not Found", 0)</f>
        <v>89</v>
      </c>
      <c r="N2015" s="16">
        <f>_xlfn.XLOOKUP(CustomerCombinedCleaned[[#This Row],[ID]], Table4[ID], Table4[Seafood], "Not Found", 0)</f>
        <v>26</v>
      </c>
      <c r="O2015" s="16">
        <f>_xlfn.XLOOKUP(CustomerCombinedCleaned[[#This Row],[ID]], Table4[ID], Table4[Sweets], "Not Found", 0)</f>
        <v>16</v>
      </c>
      <c r="P2015" s="16">
        <f>_xlfn.XLOOKUP(CustomerCombinedCleaned[[#This Row],[ID]], Table4[ID], Table4[Premium], "Not Found", 0)</f>
        <v>26</v>
      </c>
      <c r="Q2015" s="16">
        <f>_xlfn.XLOOKUP(CustomerCombinedCleaned[[#This Row],[ID]], Table4[ID], Table4[Regular], "Not Found", 0)</f>
        <v>365</v>
      </c>
      <c r="R2015" s="16">
        <f>_xlfn.XLOOKUP(CustomerCombinedCleaned[[#This Row],[ID]], Table4[ID], Table4[Deals], "Not Found", 0)</f>
        <v>1</v>
      </c>
      <c r="S2015" s="16">
        <f>_xlfn.XLOOKUP(CustomerCombinedCleaned[[#This Row],[ID]], Table4[ID], Table4[Website], "Not Found", 0)</f>
        <v>4</v>
      </c>
      <c r="T2015" s="16">
        <f>_xlfn.XLOOKUP(CustomerCombinedCleaned[[#This Row],[ID]], Table4[ID], Table4[Catalog], "Not Found", 0)</f>
        <v>0</v>
      </c>
      <c r="U2015" s="16">
        <f>_xlfn.XLOOKUP(CustomerCombinedCleaned[[#This Row],[ID]], Table4[ID], Table4[Store], "Not Found", 0)</f>
        <v>4</v>
      </c>
      <c r="V2015" s="16">
        <f>_xlfn.XLOOKUP(CustomerCombinedCleaned[[#This Row],[ID]], Table4[ID], Table4[Visits], "Not Found", 0)</f>
        <v>5</v>
      </c>
      <c r="W2015" s="16">
        <f>_xlfn.XLOOKUP(CustomerCombinedCleaned[[#This Row],[ID]], Table2[ID],Table2[Complaint], "Not Found", 0 )</f>
        <v>0</v>
      </c>
      <c r="X2015" s="16">
        <f>_xlfn.XLOOKUP(CustomerCombinedCleaned[[#This Row],[ID]], Table2[ID],Table2[Pilot], "Not Found", 0 )</f>
        <v>0</v>
      </c>
      <c r="Y2015" s="16">
        <f>_xlfn.XLOOKUP(CustomerCombinedCleaned[[#This Row],[ID]], Table2[ID],Table2[MC1], "Not Found", 0 )</f>
        <v>0</v>
      </c>
      <c r="Z2015" s="16">
        <f>_xlfn.XLOOKUP(CustomerCombinedCleaned[[#This Row],[ID]], Table2[ID],Table2[MC2], "Not Found", 0 )</f>
        <v>0</v>
      </c>
      <c r="AA2015" s="16">
        <f>_xlfn.XLOOKUP(CustomerCombinedCleaned[[#This Row],[ID]], Table2[ID],Table2[MC3], "Not Found", 0 )</f>
        <v>0</v>
      </c>
      <c r="AB2015" s="16">
        <f>_xlfn.XLOOKUP(CustomerCombinedCleaned[[#This Row],[ID]], Table2[ID],Table2[MC4], "Not Found", 0 )</f>
        <v>0</v>
      </c>
      <c r="AC2015" s="16">
        <f>_xlfn.XLOOKUP(CustomerCombinedCleaned[[#This Row],[ID]], Table2[ID],Table2[MC5], "Not Found", 0 )</f>
        <v>0</v>
      </c>
    </row>
    <row r="2016" spans="1:29" x14ac:dyDescent="0.3">
      <c r="A2016" s="18">
        <v>2168</v>
      </c>
      <c r="B2016" s="16">
        <v>162000</v>
      </c>
      <c r="C2016" s="16">
        <v>0</v>
      </c>
      <c r="D2016" s="16">
        <v>1</v>
      </c>
      <c r="E2016" s="16">
        <v>68</v>
      </c>
      <c r="F2016" s="17" t="s">
        <v>7</v>
      </c>
      <c r="G2016" s="17" t="s">
        <v>13</v>
      </c>
      <c r="H2016" s="3" t="s">
        <v>192</v>
      </c>
      <c r="I2016" s="5" t="s">
        <v>438</v>
      </c>
      <c r="J2016" s="16">
        <f>_xlfn.XLOOKUP(CustomerCombinedCleaned[[#This Row],[ID]], Table4[ID], Table4[Recency], "Not Found", 0)</f>
        <v>25</v>
      </c>
      <c r="K2016" s="16">
        <f>_xlfn.XLOOKUP(CustomerCombinedCleaned[[#This Row],[ID]], Table4[ID], Table4[Teas], "Not Found", 0)</f>
        <v>2349</v>
      </c>
      <c r="L2016" s="16">
        <f>_xlfn.XLOOKUP(CustomerCombinedCleaned[[#This Row],[ID]], Table4[ID], Table4[Fruits], "Not Found", 0)</f>
        <v>0</v>
      </c>
      <c r="M2016" s="16">
        <f>_xlfn.XLOOKUP(CustomerCombinedCleaned[[#This Row],[ID]], Table4[ID], Table4[Meats], "Not Found", 0)</f>
        <v>264</v>
      </c>
      <c r="N2016" s="16">
        <f>_xlfn.XLOOKUP(CustomerCombinedCleaned[[#This Row],[ID]], Table4[ID], Table4[Seafood], "Not Found", 0)</f>
        <v>0</v>
      </c>
      <c r="O2016" s="16">
        <f>_xlfn.XLOOKUP(CustomerCombinedCleaned[[#This Row],[ID]], Table4[ID], Table4[Sweets], "Not Found", 0)</f>
        <v>0</v>
      </c>
      <c r="P2016" s="16">
        <f>_xlfn.XLOOKUP(CustomerCombinedCleaned[[#This Row],[ID]], Table4[ID], Table4[Premium], "Not Found", 0)</f>
        <v>52</v>
      </c>
      <c r="Q2016" s="16">
        <f>_xlfn.XLOOKUP(CustomerCombinedCleaned[[#This Row],[ID]], Table4[ID], Table4[Regular], "Not Found", 0)</f>
        <v>2561</v>
      </c>
      <c r="R2016" s="16">
        <f>_xlfn.XLOOKUP(CustomerCombinedCleaned[[#This Row],[ID]], Table4[ID], Table4[Deals], "Not Found", 0)</f>
        <v>1</v>
      </c>
      <c r="S2016" s="16">
        <f>_xlfn.XLOOKUP(CustomerCombinedCleaned[[#This Row],[ID]], Table4[ID], Table4[Website], "Not Found", 0)</f>
        <v>6</v>
      </c>
      <c r="T2016" s="16">
        <f>_xlfn.XLOOKUP(CustomerCombinedCleaned[[#This Row],[ID]], Table4[ID], Table4[Catalog], "Not Found", 0)</f>
        <v>6</v>
      </c>
      <c r="U2016" s="16">
        <f>_xlfn.XLOOKUP(CustomerCombinedCleaned[[#This Row],[ID]], Table4[ID], Table4[Store], "Not Found", 0)</f>
        <v>13</v>
      </c>
      <c r="V2016" s="16">
        <f>_xlfn.XLOOKUP(CustomerCombinedCleaned[[#This Row],[ID]], Table4[ID], Table4[Visits], "Not Found", 0)</f>
        <v>4</v>
      </c>
      <c r="W2016" s="16">
        <f>_xlfn.XLOOKUP(CustomerCombinedCleaned[[#This Row],[ID]], Table2[ID],Table2[Complaint], "Not Found", 0 )</f>
        <v>0</v>
      </c>
      <c r="X2016" s="16">
        <f>_xlfn.XLOOKUP(CustomerCombinedCleaned[[#This Row],[ID]], Table2[ID],Table2[Pilot], "Not Found", 0 )</f>
        <v>0</v>
      </c>
      <c r="Y2016" s="16">
        <f>_xlfn.XLOOKUP(CustomerCombinedCleaned[[#This Row],[ID]], Table2[ID],Table2[MC1], "Not Found", 0 )</f>
        <v>1</v>
      </c>
      <c r="Z2016" s="16">
        <f>_xlfn.XLOOKUP(CustomerCombinedCleaned[[#This Row],[ID]], Table2[ID],Table2[MC2], "Not Found", 0 )</f>
        <v>0</v>
      </c>
      <c r="AA2016" s="16">
        <f>_xlfn.XLOOKUP(CustomerCombinedCleaned[[#This Row],[ID]], Table2[ID],Table2[MC3], "Not Found", 0 )</f>
        <v>0</v>
      </c>
      <c r="AB2016" s="16">
        <f>_xlfn.XLOOKUP(CustomerCombinedCleaned[[#This Row],[ID]], Table2[ID],Table2[MC4], "Not Found", 0 )</f>
        <v>0</v>
      </c>
      <c r="AC2016" s="16">
        <f>_xlfn.XLOOKUP(CustomerCombinedCleaned[[#This Row],[ID]], Table2[ID],Table2[MC5], "Not Found", 0 )</f>
        <v>0</v>
      </c>
    </row>
    <row r="2017" spans="1:29" x14ac:dyDescent="0.3">
      <c r="A2017" s="18">
        <v>1058</v>
      </c>
      <c r="B2017" s="16">
        <v>161823</v>
      </c>
      <c r="C2017" s="16">
        <v>0</v>
      </c>
      <c r="D2017" s="16">
        <v>1</v>
      </c>
      <c r="E2017" s="16">
        <v>68</v>
      </c>
      <c r="F2017" s="17" t="s">
        <v>7</v>
      </c>
      <c r="G2017" s="17" t="s">
        <v>11</v>
      </c>
      <c r="H2017" s="3" t="s">
        <v>305</v>
      </c>
      <c r="I2017" s="5" t="s">
        <v>438</v>
      </c>
      <c r="J2017" s="16">
        <f>_xlfn.XLOOKUP(CustomerCombinedCleaned[[#This Row],[ID]], Table4[ID], Table4[Recency], "Not Found", 0)</f>
        <v>26</v>
      </c>
      <c r="K2017" s="16">
        <f>_xlfn.XLOOKUP(CustomerCombinedCleaned[[#This Row],[ID]], Table4[ID], Table4[Teas], "Not Found", 0)</f>
        <v>1369</v>
      </c>
      <c r="L2017" s="16">
        <f>_xlfn.XLOOKUP(CustomerCombinedCleaned[[#This Row],[ID]], Table4[ID], Table4[Fruits], "Not Found", 0)</f>
        <v>18</v>
      </c>
      <c r="M2017" s="16">
        <f>_xlfn.XLOOKUP(CustomerCombinedCleaned[[#This Row],[ID]], Table4[ID], Table4[Meats], "Not Found", 0)</f>
        <v>351</v>
      </c>
      <c r="N2017" s="16">
        <f>_xlfn.XLOOKUP(CustomerCombinedCleaned[[#This Row],[ID]], Table4[ID], Table4[Seafood], "Not Found", 0)</f>
        <v>97</v>
      </c>
      <c r="O2017" s="16">
        <f>_xlfn.XLOOKUP(CustomerCombinedCleaned[[#This Row],[ID]], Table4[ID], Table4[Sweets], "Not Found", 0)</f>
        <v>37</v>
      </c>
      <c r="P2017" s="16">
        <f>_xlfn.XLOOKUP(CustomerCombinedCleaned[[#This Row],[ID]], Table4[ID], Table4[Premium], "Not Found", 0)</f>
        <v>442</v>
      </c>
      <c r="Q2017" s="16">
        <f>_xlfn.XLOOKUP(CustomerCombinedCleaned[[#This Row],[ID]], Table4[ID], Table4[Regular], "Not Found", 0)</f>
        <v>1429</v>
      </c>
      <c r="R2017" s="16">
        <f>_xlfn.XLOOKUP(CustomerCombinedCleaned[[#This Row],[ID]], Table4[ID], Table4[Deals], "Not Found", 0)</f>
        <v>4</v>
      </c>
      <c r="S2017" s="16">
        <f>_xlfn.XLOOKUP(CustomerCombinedCleaned[[#This Row],[ID]], Table4[ID], Table4[Website], "Not Found", 0)</f>
        <v>8</v>
      </c>
      <c r="T2017" s="16">
        <f>_xlfn.XLOOKUP(CustomerCombinedCleaned[[#This Row],[ID]], Table4[ID], Table4[Catalog], "Not Found", 0)</f>
        <v>2</v>
      </c>
      <c r="U2017" s="16">
        <f>_xlfn.XLOOKUP(CustomerCombinedCleaned[[#This Row],[ID]], Table4[ID], Table4[Store], "Not Found", 0)</f>
        <v>10</v>
      </c>
      <c r="V2017" s="16">
        <f>_xlfn.XLOOKUP(CustomerCombinedCleaned[[#This Row],[ID]], Table4[ID], Table4[Visits], "Not Found", 0)</f>
        <v>7</v>
      </c>
      <c r="W2017" s="16">
        <f>_xlfn.XLOOKUP(CustomerCombinedCleaned[[#This Row],[ID]], Table2[ID],Table2[Complaint], "Not Found", 0 )</f>
        <v>0</v>
      </c>
      <c r="X2017" s="16">
        <f>_xlfn.XLOOKUP(CustomerCombinedCleaned[[#This Row],[ID]], Table2[ID],Table2[Pilot], "Not Found", 0 )</f>
        <v>0</v>
      </c>
      <c r="Y2017" s="16">
        <f>_xlfn.XLOOKUP(CustomerCombinedCleaned[[#This Row],[ID]], Table2[ID],Table2[MC1], "Not Found", 0 )</f>
        <v>0</v>
      </c>
      <c r="Z2017" s="16">
        <f>_xlfn.XLOOKUP(CustomerCombinedCleaned[[#This Row],[ID]], Table2[ID],Table2[MC2], "Not Found", 0 )</f>
        <v>0</v>
      </c>
      <c r="AA2017" s="16">
        <f>_xlfn.XLOOKUP(CustomerCombinedCleaned[[#This Row],[ID]], Table2[ID],Table2[MC3], "Not Found", 0 )</f>
        <v>0</v>
      </c>
      <c r="AB2017" s="16">
        <f>_xlfn.XLOOKUP(CustomerCombinedCleaned[[#This Row],[ID]], Table2[ID],Table2[MC4], "Not Found", 0 )</f>
        <v>0</v>
      </c>
      <c r="AC2017" s="16">
        <f>_xlfn.XLOOKUP(CustomerCombinedCleaned[[#This Row],[ID]], Table2[ID],Table2[MC5], "Not Found", 0 )</f>
        <v>0</v>
      </c>
    </row>
    <row r="2018" spans="1:29" x14ac:dyDescent="0.3">
      <c r="A2018" s="18">
        <v>1144</v>
      </c>
      <c r="B2018" s="16">
        <v>161010</v>
      </c>
      <c r="C2018" s="16">
        <v>0</v>
      </c>
      <c r="D2018" s="16">
        <v>1</v>
      </c>
      <c r="E2018" s="16">
        <v>68</v>
      </c>
      <c r="F2018" s="17" t="s">
        <v>8</v>
      </c>
      <c r="G2018" s="17" t="s">
        <v>13</v>
      </c>
      <c r="H2018" s="3" t="s">
        <v>385</v>
      </c>
      <c r="I2018" s="5" t="s">
        <v>439</v>
      </c>
      <c r="J2018" s="16">
        <f>_xlfn.XLOOKUP(CustomerCombinedCleaned[[#This Row],[ID]], Table4[ID], Table4[Recency], "Not Found", 0)</f>
        <v>57</v>
      </c>
      <c r="K2018" s="16">
        <f>_xlfn.XLOOKUP(CustomerCombinedCleaned[[#This Row],[ID]], Table4[ID], Table4[Teas], "Not Found", 0)</f>
        <v>2343</v>
      </c>
      <c r="L2018" s="16">
        <f>_xlfn.XLOOKUP(CustomerCombinedCleaned[[#This Row],[ID]], Table4[ID], Table4[Fruits], "Not Found", 0)</f>
        <v>0</v>
      </c>
      <c r="M2018" s="16">
        <f>_xlfn.XLOOKUP(CustomerCombinedCleaned[[#This Row],[ID]], Table4[ID], Table4[Meats], "Not Found", 0)</f>
        <v>150</v>
      </c>
      <c r="N2018" s="16">
        <f>_xlfn.XLOOKUP(CustomerCombinedCleaned[[#This Row],[ID]], Table4[ID], Table4[Seafood], "Not Found", 0)</f>
        <v>0</v>
      </c>
      <c r="O2018" s="16">
        <f>_xlfn.XLOOKUP(CustomerCombinedCleaned[[#This Row],[ID]], Table4[ID], Table4[Sweets], "Not Found", 0)</f>
        <v>0</v>
      </c>
      <c r="P2018" s="16">
        <f>_xlfn.XLOOKUP(CustomerCombinedCleaned[[#This Row],[ID]], Table4[ID], Table4[Premium], "Not Found", 0)</f>
        <v>201</v>
      </c>
      <c r="Q2018" s="16">
        <f>_xlfn.XLOOKUP(CustomerCombinedCleaned[[#This Row],[ID]], Table4[ID], Table4[Regular], "Not Found", 0)</f>
        <v>2293</v>
      </c>
      <c r="R2018" s="16">
        <f>_xlfn.XLOOKUP(CustomerCombinedCleaned[[#This Row],[ID]], Table4[ID], Table4[Deals], "Not Found", 0)</f>
        <v>2</v>
      </c>
      <c r="S2018" s="16">
        <f>_xlfn.XLOOKUP(CustomerCombinedCleaned[[#This Row],[ID]], Table4[ID], Table4[Website], "Not Found", 0)</f>
        <v>8</v>
      </c>
      <c r="T2018" s="16">
        <f>_xlfn.XLOOKUP(CustomerCombinedCleaned[[#This Row],[ID]], Table4[ID], Table4[Catalog], "Not Found", 0)</f>
        <v>5</v>
      </c>
      <c r="U2018" s="16">
        <f>_xlfn.XLOOKUP(CustomerCombinedCleaned[[#This Row],[ID]], Table4[ID], Table4[Store], "Not Found", 0)</f>
        <v>11</v>
      </c>
      <c r="V2018" s="16">
        <f>_xlfn.XLOOKUP(CustomerCombinedCleaned[[#This Row],[ID]], Table4[ID], Table4[Visits], "Not Found", 0)</f>
        <v>5</v>
      </c>
      <c r="W2018" s="16">
        <f>_xlfn.XLOOKUP(CustomerCombinedCleaned[[#This Row],[ID]], Table2[ID],Table2[Complaint], "Not Found", 0 )</f>
        <v>0</v>
      </c>
      <c r="X2018" s="16">
        <f>_xlfn.XLOOKUP(CustomerCombinedCleaned[[#This Row],[ID]], Table2[ID],Table2[Pilot], "Not Found", 0 )</f>
        <v>0</v>
      </c>
      <c r="Y2018" s="16">
        <f>_xlfn.XLOOKUP(CustomerCombinedCleaned[[#This Row],[ID]], Table2[ID],Table2[MC1], "Not Found", 0 )</f>
        <v>0</v>
      </c>
      <c r="Z2018" s="16">
        <f>_xlfn.XLOOKUP(CustomerCombinedCleaned[[#This Row],[ID]], Table2[ID],Table2[MC2], "Not Found", 0 )</f>
        <v>0</v>
      </c>
      <c r="AA2018" s="16">
        <f>_xlfn.XLOOKUP(CustomerCombinedCleaned[[#This Row],[ID]], Table2[ID],Table2[MC3], "Not Found", 0 )</f>
        <v>0</v>
      </c>
      <c r="AB2018" s="16">
        <f>_xlfn.XLOOKUP(CustomerCombinedCleaned[[#This Row],[ID]], Table2[ID],Table2[MC4], "Not Found", 0 )</f>
        <v>0</v>
      </c>
      <c r="AC2018" s="16">
        <f>_xlfn.XLOOKUP(CustomerCombinedCleaned[[#This Row],[ID]], Table2[ID],Table2[MC5], "Not Found", 0 )</f>
        <v>0</v>
      </c>
    </row>
    <row r="2019" spans="1:29" x14ac:dyDescent="0.3">
      <c r="A2019" s="18">
        <v>1013</v>
      </c>
      <c r="B2019" s="16">
        <v>159354</v>
      </c>
      <c r="C2019" s="16">
        <v>1</v>
      </c>
      <c r="D2019" s="16">
        <v>1</v>
      </c>
      <c r="E2019" s="16">
        <v>68</v>
      </c>
      <c r="F2019" s="17" t="s">
        <v>5</v>
      </c>
      <c r="G2019" s="17" t="s">
        <v>12</v>
      </c>
      <c r="H2019" s="3" t="s">
        <v>149</v>
      </c>
      <c r="I2019" s="5" t="s">
        <v>434</v>
      </c>
      <c r="J2019" s="16">
        <f>_xlfn.XLOOKUP(CustomerCombinedCleaned[[#This Row],[ID]], Table4[ID], Table4[Recency], "Not Found", 0)</f>
        <v>53</v>
      </c>
      <c r="K2019" s="16">
        <f>_xlfn.XLOOKUP(CustomerCombinedCleaned[[#This Row],[ID]], Table4[ID], Table4[Teas], "Not Found", 0)</f>
        <v>626</v>
      </c>
      <c r="L2019" s="16">
        <f>_xlfn.XLOOKUP(CustomerCombinedCleaned[[#This Row],[ID]], Table4[ID], Table4[Fruits], "Not Found", 0)</f>
        <v>5</v>
      </c>
      <c r="M2019" s="16">
        <f>_xlfn.XLOOKUP(CustomerCombinedCleaned[[#This Row],[ID]], Table4[ID], Table4[Meats], "Not Found", 0)</f>
        <v>142</v>
      </c>
      <c r="N2019" s="16">
        <f>_xlfn.XLOOKUP(CustomerCombinedCleaned[[#This Row],[ID]], Table4[ID], Table4[Seafood], "Not Found", 0)</f>
        <v>8</v>
      </c>
      <c r="O2019" s="16">
        <f>_xlfn.XLOOKUP(CustomerCombinedCleaned[[#This Row],[ID]], Table4[ID], Table4[Sweets], "Not Found", 0)</f>
        <v>13</v>
      </c>
      <c r="P2019" s="16">
        <f>_xlfn.XLOOKUP(CustomerCombinedCleaned[[#This Row],[ID]], Table4[ID], Table4[Premium], "Not Found", 0)</f>
        <v>38</v>
      </c>
      <c r="Q2019" s="16">
        <f>_xlfn.XLOOKUP(CustomerCombinedCleaned[[#This Row],[ID]], Table4[ID], Table4[Regular], "Not Found", 0)</f>
        <v>757</v>
      </c>
      <c r="R2019" s="16">
        <f>_xlfn.XLOOKUP(CustomerCombinedCleaned[[#This Row],[ID]], Table4[ID], Table4[Deals], "Not Found", 0)</f>
        <v>3</v>
      </c>
      <c r="S2019" s="16">
        <f>_xlfn.XLOOKUP(CustomerCombinedCleaned[[#This Row],[ID]], Table4[ID], Table4[Website], "Not Found", 0)</f>
        <v>6</v>
      </c>
      <c r="T2019" s="16">
        <f>_xlfn.XLOOKUP(CustomerCombinedCleaned[[#This Row],[ID]], Table4[ID], Table4[Catalog], "Not Found", 0)</f>
        <v>1</v>
      </c>
      <c r="U2019" s="16">
        <f>_xlfn.XLOOKUP(CustomerCombinedCleaned[[#This Row],[ID]], Table4[ID], Table4[Store], "Not Found", 0)</f>
        <v>5</v>
      </c>
      <c r="V2019" s="16">
        <f>_xlfn.XLOOKUP(CustomerCombinedCleaned[[#This Row],[ID]], Table4[ID], Table4[Visits], "Not Found", 0)</f>
        <v>6</v>
      </c>
      <c r="W2019" s="16">
        <f>_xlfn.XLOOKUP(CustomerCombinedCleaned[[#This Row],[ID]], Table2[ID],Table2[Complaint], "Not Found", 0 )</f>
        <v>0</v>
      </c>
      <c r="X2019" s="16">
        <f>_xlfn.XLOOKUP(CustomerCombinedCleaned[[#This Row],[ID]], Table2[ID],Table2[Pilot], "Not Found", 0 )</f>
        <v>0</v>
      </c>
      <c r="Y2019" s="16">
        <f>_xlfn.XLOOKUP(CustomerCombinedCleaned[[#This Row],[ID]], Table2[ID],Table2[MC1], "Not Found", 0 )</f>
        <v>0</v>
      </c>
      <c r="Z2019" s="16">
        <f>_xlfn.XLOOKUP(CustomerCombinedCleaned[[#This Row],[ID]], Table2[ID],Table2[MC2], "Not Found", 0 )</f>
        <v>0</v>
      </c>
      <c r="AA2019" s="16">
        <f>_xlfn.XLOOKUP(CustomerCombinedCleaned[[#This Row],[ID]], Table2[ID],Table2[MC3], "Not Found", 0 )</f>
        <v>0</v>
      </c>
      <c r="AB2019" s="16">
        <f>_xlfn.XLOOKUP(CustomerCombinedCleaned[[#This Row],[ID]], Table2[ID],Table2[MC4], "Not Found", 0 )</f>
        <v>0</v>
      </c>
      <c r="AC2019" s="16">
        <f>_xlfn.XLOOKUP(CustomerCombinedCleaned[[#This Row],[ID]], Table2[ID],Table2[MC5], "Not Found", 0 )</f>
        <v>0</v>
      </c>
    </row>
    <row r="2020" spans="1:29" x14ac:dyDescent="0.3">
      <c r="A2020" s="18">
        <v>1522</v>
      </c>
      <c r="B2020" s="16">
        <v>157247</v>
      </c>
      <c r="C2020" s="16">
        <v>0</v>
      </c>
      <c r="D2020" s="16">
        <v>1</v>
      </c>
      <c r="E2020" s="16">
        <v>68</v>
      </c>
      <c r="F2020" s="17" t="s">
        <v>8</v>
      </c>
      <c r="G2020" s="17" t="s">
        <v>11</v>
      </c>
      <c r="H2020" s="3" t="s">
        <v>209</v>
      </c>
      <c r="I2020" s="5" t="s">
        <v>439</v>
      </c>
      <c r="J2020" s="16">
        <f>_xlfn.XLOOKUP(CustomerCombinedCleaned[[#This Row],[ID]], Table4[ID], Table4[Recency], "Not Found", 0)</f>
        <v>50</v>
      </c>
      <c r="K2020" s="16">
        <f>_xlfn.XLOOKUP(CustomerCombinedCleaned[[#This Row],[ID]], Table4[ID], Table4[Teas], "Not Found", 0)</f>
        <v>272</v>
      </c>
      <c r="L2020" s="16">
        <f>_xlfn.XLOOKUP(CustomerCombinedCleaned[[#This Row],[ID]], Table4[ID], Table4[Fruits], "Not Found", 0)</f>
        <v>11</v>
      </c>
      <c r="M2020" s="16">
        <f>_xlfn.XLOOKUP(CustomerCombinedCleaned[[#This Row],[ID]], Table4[ID], Table4[Meats], "Not Found", 0)</f>
        <v>88</v>
      </c>
      <c r="N2020" s="16">
        <f>_xlfn.XLOOKUP(CustomerCombinedCleaned[[#This Row],[ID]], Table4[ID], Table4[Seafood], "Not Found", 0)</f>
        <v>102</v>
      </c>
      <c r="O2020" s="16">
        <f>_xlfn.XLOOKUP(CustomerCombinedCleaned[[#This Row],[ID]], Table4[ID], Table4[Sweets], "Not Found", 0)</f>
        <v>148</v>
      </c>
      <c r="P2020" s="16">
        <f>_xlfn.XLOOKUP(CustomerCombinedCleaned[[#This Row],[ID]], Table4[ID], Table4[Premium], "Not Found", 0)</f>
        <v>16</v>
      </c>
      <c r="Q2020" s="16">
        <f>_xlfn.XLOOKUP(CustomerCombinedCleaned[[#This Row],[ID]], Table4[ID], Table4[Regular], "Not Found", 0)</f>
        <v>604</v>
      </c>
      <c r="R2020" s="16">
        <f>_xlfn.XLOOKUP(CustomerCombinedCleaned[[#This Row],[ID]], Table4[ID], Table4[Deals], "Not Found", 0)</f>
        <v>2</v>
      </c>
      <c r="S2020" s="16">
        <f>_xlfn.XLOOKUP(CustomerCombinedCleaned[[#This Row],[ID]], Table4[ID], Table4[Website], "Not Found", 0)</f>
        <v>2</v>
      </c>
      <c r="T2020" s="16">
        <f>_xlfn.XLOOKUP(CustomerCombinedCleaned[[#This Row],[ID]], Table4[ID], Table4[Catalog], "Not Found", 0)</f>
        <v>1</v>
      </c>
      <c r="U2020" s="16">
        <f>_xlfn.XLOOKUP(CustomerCombinedCleaned[[#This Row],[ID]], Table4[ID], Table4[Store], "Not Found", 0)</f>
        <v>7</v>
      </c>
      <c r="V2020" s="16">
        <f>_xlfn.XLOOKUP(CustomerCombinedCleaned[[#This Row],[ID]], Table4[ID], Table4[Visits], "Not Found", 0)</f>
        <v>2</v>
      </c>
      <c r="W2020" s="16">
        <f>_xlfn.XLOOKUP(CustomerCombinedCleaned[[#This Row],[ID]], Table2[ID],Table2[Complaint], "Not Found", 0 )</f>
        <v>0</v>
      </c>
      <c r="X2020" s="16">
        <f>_xlfn.XLOOKUP(CustomerCombinedCleaned[[#This Row],[ID]], Table2[ID],Table2[Pilot], "Not Found", 0 )</f>
        <v>0</v>
      </c>
      <c r="Y2020" s="16">
        <f>_xlfn.XLOOKUP(CustomerCombinedCleaned[[#This Row],[ID]], Table2[ID],Table2[MC1], "Not Found", 0 )</f>
        <v>0</v>
      </c>
      <c r="Z2020" s="16">
        <f>_xlfn.XLOOKUP(CustomerCombinedCleaned[[#This Row],[ID]], Table2[ID],Table2[MC2], "Not Found", 0 )</f>
        <v>0</v>
      </c>
      <c r="AA2020" s="16">
        <f>_xlfn.XLOOKUP(CustomerCombinedCleaned[[#This Row],[ID]], Table2[ID],Table2[MC3], "Not Found", 0 )</f>
        <v>0</v>
      </c>
      <c r="AB2020" s="16">
        <f>_xlfn.XLOOKUP(CustomerCombinedCleaned[[#This Row],[ID]], Table2[ID],Table2[MC4], "Not Found", 0 )</f>
        <v>0</v>
      </c>
      <c r="AC2020" s="16">
        <f>_xlfn.XLOOKUP(CustomerCombinedCleaned[[#This Row],[ID]], Table2[ID],Table2[MC5], "Not Found", 0 )</f>
        <v>0</v>
      </c>
    </row>
    <row r="2021" spans="1:29" x14ac:dyDescent="0.3">
      <c r="A2021" s="18">
        <v>1282</v>
      </c>
      <c r="B2021" s="16">
        <v>155951</v>
      </c>
      <c r="C2021" s="16">
        <v>0</v>
      </c>
      <c r="D2021" s="16">
        <v>1</v>
      </c>
      <c r="E2021" s="16">
        <v>68</v>
      </c>
      <c r="F2021" s="17" t="s">
        <v>8</v>
      </c>
      <c r="G2021" s="17" t="s">
        <v>12</v>
      </c>
      <c r="H2021" s="3" t="s">
        <v>405</v>
      </c>
      <c r="I2021" s="5" t="s">
        <v>439</v>
      </c>
      <c r="J2021" s="16">
        <f>_xlfn.XLOOKUP(CustomerCombinedCleaned[[#This Row],[ID]], Table4[ID], Table4[Recency], "Not Found", 0)</f>
        <v>62</v>
      </c>
      <c r="K2021" s="16">
        <f>_xlfn.XLOOKUP(CustomerCombinedCleaned[[#This Row],[ID]], Table4[ID], Table4[Teas], "Not Found", 0)</f>
        <v>3459</v>
      </c>
      <c r="L2021" s="16">
        <f>_xlfn.XLOOKUP(CustomerCombinedCleaned[[#This Row],[ID]], Table4[ID], Table4[Fruits], "Not Found", 0)</f>
        <v>0</v>
      </c>
      <c r="M2021" s="16">
        <f>_xlfn.XLOOKUP(CustomerCombinedCleaned[[#This Row],[ID]], Table4[ID], Table4[Meats], "Not Found", 0)</f>
        <v>223</v>
      </c>
      <c r="N2021" s="16">
        <f>_xlfn.XLOOKUP(CustomerCombinedCleaned[[#This Row],[ID]], Table4[ID], Table4[Seafood], "Not Found", 0)</f>
        <v>0</v>
      </c>
      <c r="O2021" s="16">
        <f>_xlfn.XLOOKUP(CustomerCombinedCleaned[[#This Row],[ID]], Table4[ID], Table4[Sweets], "Not Found", 0)</f>
        <v>36</v>
      </c>
      <c r="P2021" s="16">
        <f>_xlfn.XLOOKUP(CustomerCombinedCleaned[[#This Row],[ID]], Table4[ID], Table4[Premium], "Not Found", 0)</f>
        <v>111</v>
      </c>
      <c r="Q2021" s="16">
        <f>_xlfn.XLOOKUP(CustomerCombinedCleaned[[#This Row],[ID]], Table4[ID], Table4[Regular], "Not Found", 0)</f>
        <v>3607</v>
      </c>
      <c r="R2021" s="16">
        <f>_xlfn.XLOOKUP(CustomerCombinedCleaned[[#This Row],[ID]], Table4[ID], Table4[Deals], "Not Found", 0)</f>
        <v>3</v>
      </c>
      <c r="S2021" s="16">
        <f>_xlfn.XLOOKUP(CustomerCombinedCleaned[[#This Row],[ID]], Table4[ID], Table4[Website], "Not Found", 0)</f>
        <v>3</v>
      </c>
      <c r="T2021" s="16">
        <f>_xlfn.XLOOKUP(CustomerCombinedCleaned[[#This Row],[ID]], Table4[ID], Table4[Catalog], "Not Found", 0)</f>
        <v>6</v>
      </c>
      <c r="U2021" s="16">
        <f>_xlfn.XLOOKUP(CustomerCombinedCleaned[[#This Row],[ID]], Table4[ID], Table4[Store], "Not Found", 0)</f>
        <v>11</v>
      </c>
      <c r="V2021" s="16">
        <f>_xlfn.XLOOKUP(CustomerCombinedCleaned[[#This Row],[ID]], Table4[ID], Table4[Visits], "Not Found", 0)</f>
        <v>8</v>
      </c>
      <c r="W2021" s="16">
        <f>_xlfn.XLOOKUP(CustomerCombinedCleaned[[#This Row],[ID]], Table2[ID],Table2[Complaint], "Not Found", 0 )</f>
        <v>0</v>
      </c>
      <c r="X2021" s="16">
        <f>_xlfn.XLOOKUP(CustomerCombinedCleaned[[#This Row],[ID]], Table2[ID],Table2[Pilot], "Not Found", 0 )</f>
        <v>0</v>
      </c>
      <c r="Y2021" s="16">
        <f>_xlfn.XLOOKUP(CustomerCombinedCleaned[[#This Row],[ID]], Table2[ID],Table2[MC1], "Not Found", 0 )</f>
        <v>0</v>
      </c>
      <c r="Z2021" s="16">
        <f>_xlfn.XLOOKUP(CustomerCombinedCleaned[[#This Row],[ID]], Table2[ID],Table2[MC2], "Not Found", 0 )</f>
        <v>1</v>
      </c>
      <c r="AA2021" s="16">
        <f>_xlfn.XLOOKUP(CustomerCombinedCleaned[[#This Row],[ID]], Table2[ID],Table2[MC3], "Not Found", 0 )</f>
        <v>0</v>
      </c>
      <c r="AB2021" s="16">
        <f>_xlfn.XLOOKUP(CustomerCombinedCleaned[[#This Row],[ID]], Table2[ID],Table2[MC4], "Not Found", 0 )</f>
        <v>1</v>
      </c>
      <c r="AC2021" s="16">
        <f>_xlfn.XLOOKUP(CustomerCombinedCleaned[[#This Row],[ID]], Table2[ID],Table2[MC5], "Not Found", 0 )</f>
        <v>0</v>
      </c>
    </row>
    <row r="2022" spans="1:29" x14ac:dyDescent="0.3">
      <c r="A2022" s="18">
        <v>2601</v>
      </c>
      <c r="B2022" s="16">
        <v>154549</v>
      </c>
      <c r="C2022" s="16">
        <v>0</v>
      </c>
      <c r="D2022" s="16">
        <v>1</v>
      </c>
      <c r="E2022" s="16">
        <v>68</v>
      </c>
      <c r="F2022" s="17" t="s">
        <v>6</v>
      </c>
      <c r="G2022" s="17" t="s">
        <v>13</v>
      </c>
      <c r="H2022" s="3" t="s">
        <v>685</v>
      </c>
      <c r="I2022" s="5" t="s">
        <v>435</v>
      </c>
      <c r="J2022" s="16">
        <f>_xlfn.XLOOKUP(CustomerCombinedCleaned[[#This Row],[ID]], Table4[ID], Table4[Recency], "Not Found", 0)</f>
        <v>8</v>
      </c>
      <c r="K2022" s="16">
        <f>_xlfn.XLOOKUP(CustomerCombinedCleaned[[#This Row],[ID]], Table4[ID], Table4[Teas], "Not Found", 0)</f>
        <v>612</v>
      </c>
      <c r="L2022" s="16">
        <f>_xlfn.XLOOKUP(CustomerCombinedCleaned[[#This Row],[ID]], Table4[ID], Table4[Fruits], "Not Found", 0)</f>
        <v>6</v>
      </c>
      <c r="M2022" s="16">
        <f>_xlfn.XLOOKUP(CustomerCombinedCleaned[[#This Row],[ID]], Table4[ID], Table4[Meats], "Not Found", 0)</f>
        <v>17</v>
      </c>
      <c r="N2022" s="16">
        <f>_xlfn.XLOOKUP(CustomerCombinedCleaned[[#This Row],[ID]], Table4[ID], Table4[Seafood], "Not Found", 0)</f>
        <v>0</v>
      </c>
      <c r="O2022" s="16">
        <f>_xlfn.XLOOKUP(CustomerCombinedCleaned[[#This Row],[ID]], Table4[ID], Table4[Sweets], "Not Found", 0)</f>
        <v>0</v>
      </c>
      <c r="P2022" s="16">
        <f>_xlfn.XLOOKUP(CustomerCombinedCleaned[[#This Row],[ID]], Table4[ID], Table4[Premium], "Not Found", 0)</f>
        <v>25</v>
      </c>
      <c r="Q2022" s="16">
        <f>_xlfn.XLOOKUP(CustomerCombinedCleaned[[#This Row],[ID]], Table4[ID], Table4[Regular], "Not Found", 0)</f>
        <v>609</v>
      </c>
      <c r="R2022" s="16">
        <f>_xlfn.XLOOKUP(CustomerCombinedCleaned[[#This Row],[ID]], Table4[ID], Table4[Deals], "Not Found", 0)</f>
        <v>2</v>
      </c>
      <c r="S2022" s="16">
        <f>_xlfn.XLOOKUP(CustomerCombinedCleaned[[#This Row],[ID]], Table4[ID], Table4[Website], "Not Found", 0)</f>
        <v>5</v>
      </c>
      <c r="T2022" s="16">
        <f>_xlfn.XLOOKUP(CustomerCombinedCleaned[[#This Row],[ID]], Table4[ID], Table4[Catalog], "Not Found", 0)</f>
        <v>1</v>
      </c>
      <c r="U2022" s="16">
        <f>_xlfn.XLOOKUP(CustomerCombinedCleaned[[#This Row],[ID]], Table4[ID], Table4[Store], "Not Found", 0)</f>
        <v>4</v>
      </c>
      <c r="V2022" s="16">
        <f>_xlfn.XLOOKUP(CustomerCombinedCleaned[[#This Row],[ID]], Table4[ID], Table4[Visits], "Not Found", 0)</f>
        <v>7</v>
      </c>
      <c r="W2022" s="16">
        <f>_xlfn.XLOOKUP(CustomerCombinedCleaned[[#This Row],[ID]], Table2[ID],Table2[Complaint], "Not Found", 0 )</f>
        <v>0</v>
      </c>
      <c r="X2022" s="16">
        <f>_xlfn.XLOOKUP(CustomerCombinedCleaned[[#This Row],[ID]], Table2[ID],Table2[Pilot], "Not Found", 0 )</f>
        <v>0</v>
      </c>
      <c r="Y2022" s="16">
        <f>_xlfn.XLOOKUP(CustomerCombinedCleaned[[#This Row],[ID]], Table2[ID],Table2[MC1], "Not Found", 0 )</f>
        <v>0</v>
      </c>
      <c r="Z2022" s="16">
        <f>_xlfn.XLOOKUP(CustomerCombinedCleaned[[#This Row],[ID]], Table2[ID],Table2[MC2], "Not Found", 0 )</f>
        <v>0</v>
      </c>
      <c r="AA2022" s="16">
        <f>_xlfn.XLOOKUP(CustomerCombinedCleaned[[#This Row],[ID]], Table2[ID],Table2[MC3], "Not Found", 0 )</f>
        <v>0</v>
      </c>
      <c r="AB2022" s="16">
        <f>_xlfn.XLOOKUP(CustomerCombinedCleaned[[#This Row],[ID]], Table2[ID],Table2[MC4], "Not Found", 0 )</f>
        <v>0</v>
      </c>
      <c r="AC2022" s="16">
        <f>_xlfn.XLOOKUP(CustomerCombinedCleaned[[#This Row],[ID]], Table2[ID],Table2[MC5], "Not Found", 0 )</f>
        <v>0</v>
      </c>
    </row>
    <row r="2023" spans="1:29" x14ac:dyDescent="0.3">
      <c r="A2023" s="18">
        <v>1938</v>
      </c>
      <c r="B2023" s="16">
        <v>153700</v>
      </c>
      <c r="C2023" s="16">
        <v>0</v>
      </c>
      <c r="D2023" s="16">
        <v>1</v>
      </c>
      <c r="E2023" s="16">
        <v>68</v>
      </c>
      <c r="F2023" s="17" t="s">
        <v>7</v>
      </c>
      <c r="G2023" s="17" t="s">
        <v>11</v>
      </c>
      <c r="H2023" s="3" t="s">
        <v>411</v>
      </c>
      <c r="I2023" s="5" t="s">
        <v>436</v>
      </c>
      <c r="J2023" s="16">
        <f>_xlfn.XLOOKUP(CustomerCombinedCleaned[[#This Row],[ID]], Table4[ID], Table4[Recency], "Not Found", 0)</f>
        <v>94</v>
      </c>
      <c r="K2023" s="16">
        <f>_xlfn.XLOOKUP(CustomerCombinedCleaned[[#This Row],[ID]], Table4[ID], Table4[Teas], "Not Found", 0)</f>
        <v>753</v>
      </c>
      <c r="L2023" s="16">
        <f>_xlfn.XLOOKUP(CustomerCombinedCleaned[[#This Row],[ID]], Table4[ID], Table4[Fruits], "Not Found", 0)</f>
        <v>14</v>
      </c>
      <c r="M2023" s="16">
        <f>_xlfn.XLOOKUP(CustomerCombinedCleaned[[#This Row],[ID]], Table4[ID], Table4[Meats], "Not Found", 0)</f>
        <v>667</v>
      </c>
      <c r="N2023" s="16">
        <f>_xlfn.XLOOKUP(CustomerCombinedCleaned[[#This Row],[ID]], Table4[ID], Table4[Seafood], "Not Found", 0)</f>
        <v>197</v>
      </c>
      <c r="O2023" s="16">
        <f>_xlfn.XLOOKUP(CustomerCombinedCleaned[[#This Row],[ID]], Table4[ID], Table4[Sweets], "Not Found", 0)</f>
        <v>117</v>
      </c>
      <c r="P2023" s="16">
        <f>_xlfn.XLOOKUP(CustomerCombinedCleaned[[#This Row],[ID]], Table4[ID], Table4[Premium], "Not Found", 0)</f>
        <v>238</v>
      </c>
      <c r="Q2023" s="16">
        <f>_xlfn.XLOOKUP(CustomerCombinedCleaned[[#This Row],[ID]], Table4[ID], Table4[Regular], "Not Found", 0)</f>
        <v>1511</v>
      </c>
      <c r="R2023" s="16">
        <f>_xlfn.XLOOKUP(CustomerCombinedCleaned[[#This Row],[ID]], Table4[ID], Table4[Deals], "Not Found", 0)</f>
        <v>4</v>
      </c>
      <c r="S2023" s="16">
        <f>_xlfn.XLOOKUP(CustomerCombinedCleaned[[#This Row],[ID]], Table4[ID], Table4[Website], "Not Found", 0)</f>
        <v>5</v>
      </c>
      <c r="T2023" s="16">
        <f>_xlfn.XLOOKUP(CustomerCombinedCleaned[[#This Row],[ID]], Table4[ID], Table4[Catalog], "Not Found", 0)</f>
        <v>5</v>
      </c>
      <c r="U2023" s="16">
        <f>_xlfn.XLOOKUP(CustomerCombinedCleaned[[#This Row],[ID]], Table4[ID], Table4[Store], "Not Found", 0)</f>
        <v>8</v>
      </c>
      <c r="V2023" s="16">
        <f>_xlfn.XLOOKUP(CustomerCombinedCleaned[[#This Row],[ID]], Table4[ID], Table4[Visits], "Not Found", 0)</f>
        <v>5</v>
      </c>
      <c r="W2023" s="16">
        <f>_xlfn.XLOOKUP(CustomerCombinedCleaned[[#This Row],[ID]], Table2[ID],Table2[Complaint], "Not Found", 0 )</f>
        <v>0</v>
      </c>
      <c r="X2023" s="16">
        <f>_xlfn.XLOOKUP(CustomerCombinedCleaned[[#This Row],[ID]], Table2[ID],Table2[Pilot], "Not Found", 0 )</f>
        <v>0</v>
      </c>
      <c r="Y2023" s="16">
        <f>_xlfn.XLOOKUP(CustomerCombinedCleaned[[#This Row],[ID]], Table2[ID],Table2[MC1], "Not Found", 0 )</f>
        <v>0</v>
      </c>
      <c r="Z2023" s="16">
        <f>_xlfn.XLOOKUP(CustomerCombinedCleaned[[#This Row],[ID]], Table2[ID],Table2[MC2], "Not Found", 0 )</f>
        <v>0</v>
      </c>
      <c r="AA2023" s="16">
        <f>_xlfn.XLOOKUP(CustomerCombinedCleaned[[#This Row],[ID]], Table2[ID],Table2[MC3], "Not Found", 0 )</f>
        <v>0</v>
      </c>
      <c r="AB2023" s="16">
        <f>_xlfn.XLOOKUP(CustomerCombinedCleaned[[#This Row],[ID]], Table2[ID],Table2[MC4], "Not Found", 0 )</f>
        <v>0</v>
      </c>
      <c r="AC2023" s="16">
        <f>_xlfn.XLOOKUP(CustomerCombinedCleaned[[#This Row],[ID]], Table2[ID],Table2[MC5], "Not Found", 0 )</f>
        <v>0</v>
      </c>
    </row>
    <row r="2024" spans="1:29" x14ac:dyDescent="0.3">
      <c r="A2024" s="18">
        <v>1215</v>
      </c>
      <c r="B2024" s="16">
        <v>151537</v>
      </c>
      <c r="C2024" s="16">
        <v>0</v>
      </c>
      <c r="D2024" s="16">
        <v>1</v>
      </c>
      <c r="E2024" s="16">
        <v>68</v>
      </c>
      <c r="F2024" s="17" t="s">
        <v>5</v>
      </c>
      <c r="G2024" s="17" t="s">
        <v>11</v>
      </c>
      <c r="H2024" s="3" t="s">
        <v>349</v>
      </c>
      <c r="I2024" s="5" t="s">
        <v>435</v>
      </c>
      <c r="J2024" s="16">
        <f>_xlfn.XLOOKUP(CustomerCombinedCleaned[[#This Row],[ID]], Table4[ID], Table4[Recency], "Not Found", 0)</f>
        <v>27</v>
      </c>
      <c r="K2024" s="16">
        <f>_xlfn.XLOOKUP(CustomerCombinedCleaned[[#This Row],[ID]], Table4[ID], Table4[Teas], "Not Found", 0)</f>
        <v>2314</v>
      </c>
      <c r="L2024" s="16">
        <f>_xlfn.XLOOKUP(CustomerCombinedCleaned[[#This Row],[ID]], Table4[ID], Table4[Fruits], "Not Found", 0)</f>
        <v>59</v>
      </c>
      <c r="M2024" s="16">
        <f>_xlfn.XLOOKUP(CustomerCombinedCleaned[[#This Row],[ID]], Table4[ID], Table4[Meats], "Not Found", 0)</f>
        <v>600</v>
      </c>
      <c r="N2024" s="16">
        <f>_xlfn.XLOOKUP(CustomerCombinedCleaned[[#This Row],[ID]], Table4[ID], Table4[Seafood], "Not Found", 0)</f>
        <v>0</v>
      </c>
      <c r="O2024" s="16">
        <f>_xlfn.XLOOKUP(CustomerCombinedCleaned[[#This Row],[ID]], Table4[ID], Table4[Sweets], "Not Found", 0)</f>
        <v>0</v>
      </c>
      <c r="P2024" s="16">
        <f>_xlfn.XLOOKUP(CustomerCombinedCleaned[[#This Row],[ID]], Table4[ID], Table4[Premium], "Not Found", 0)</f>
        <v>271</v>
      </c>
      <c r="Q2024" s="16">
        <f>_xlfn.XLOOKUP(CustomerCombinedCleaned[[#This Row],[ID]], Table4[ID], Table4[Regular], "Not Found", 0)</f>
        <v>2702</v>
      </c>
      <c r="R2024" s="16">
        <f>_xlfn.XLOOKUP(CustomerCombinedCleaned[[#This Row],[ID]], Table4[ID], Table4[Deals], "Not Found", 0)</f>
        <v>3</v>
      </c>
      <c r="S2024" s="16">
        <f>_xlfn.XLOOKUP(CustomerCombinedCleaned[[#This Row],[ID]], Table4[ID], Table4[Website], "Not Found", 0)</f>
        <v>2</v>
      </c>
      <c r="T2024" s="16">
        <f>_xlfn.XLOOKUP(CustomerCombinedCleaned[[#This Row],[ID]], Table4[ID], Table4[Catalog], "Not Found", 0)</f>
        <v>2</v>
      </c>
      <c r="U2024" s="16">
        <f>_xlfn.XLOOKUP(CustomerCombinedCleaned[[#This Row],[ID]], Table4[ID], Table4[Store], "Not Found", 0)</f>
        <v>11</v>
      </c>
      <c r="V2024" s="16">
        <f>_xlfn.XLOOKUP(CustomerCombinedCleaned[[#This Row],[ID]], Table4[ID], Table4[Visits], "Not Found", 0)</f>
        <v>8</v>
      </c>
      <c r="W2024" s="16">
        <f>_xlfn.XLOOKUP(CustomerCombinedCleaned[[#This Row],[ID]], Table2[ID],Table2[Complaint], "Not Found", 0 )</f>
        <v>0</v>
      </c>
      <c r="X2024" s="16">
        <f>_xlfn.XLOOKUP(CustomerCombinedCleaned[[#This Row],[ID]], Table2[ID],Table2[Pilot], "Not Found", 0 )</f>
        <v>0</v>
      </c>
      <c r="Y2024" s="16">
        <f>_xlfn.XLOOKUP(CustomerCombinedCleaned[[#This Row],[ID]], Table2[ID],Table2[MC1], "Not Found", 0 )</f>
        <v>0</v>
      </c>
      <c r="Z2024" s="16">
        <f>_xlfn.XLOOKUP(CustomerCombinedCleaned[[#This Row],[ID]], Table2[ID],Table2[MC2], "Not Found", 0 )</f>
        <v>0</v>
      </c>
      <c r="AA2024" s="16">
        <f>_xlfn.XLOOKUP(CustomerCombinedCleaned[[#This Row],[ID]], Table2[ID],Table2[MC3], "Not Found", 0 )</f>
        <v>0</v>
      </c>
      <c r="AB2024" s="16">
        <f>_xlfn.XLOOKUP(CustomerCombinedCleaned[[#This Row],[ID]], Table2[ID],Table2[MC4], "Not Found", 0 )</f>
        <v>0</v>
      </c>
      <c r="AC2024" s="16">
        <f>_xlfn.XLOOKUP(CustomerCombinedCleaned[[#This Row],[ID]], Table2[ID],Table2[MC5], "Not Found", 0 )</f>
        <v>0</v>
      </c>
    </row>
    <row r="2025" spans="1:29" x14ac:dyDescent="0.3">
      <c r="A2025" s="18">
        <v>2087</v>
      </c>
      <c r="B2025" s="16">
        <v>150870</v>
      </c>
      <c r="C2025" s="16">
        <v>0</v>
      </c>
      <c r="D2025" s="16">
        <v>1</v>
      </c>
      <c r="E2025" s="16">
        <v>68</v>
      </c>
      <c r="F2025" s="17" t="s">
        <v>6</v>
      </c>
      <c r="G2025" s="17" t="s">
        <v>13</v>
      </c>
      <c r="H2025" s="3" t="s">
        <v>30</v>
      </c>
      <c r="I2025" s="5" t="s">
        <v>434</v>
      </c>
      <c r="J2025" s="16">
        <f>_xlfn.XLOOKUP(CustomerCombinedCleaned[[#This Row],[ID]], Table4[ID], Table4[Recency], "Not Found", 0)</f>
        <v>13</v>
      </c>
      <c r="K2025" s="16">
        <f>_xlfn.XLOOKUP(CustomerCombinedCleaned[[#This Row],[ID]], Table4[ID], Table4[Teas], "Not Found", 0)</f>
        <v>157</v>
      </c>
      <c r="L2025" s="16">
        <f>_xlfn.XLOOKUP(CustomerCombinedCleaned[[#This Row],[ID]], Table4[ID], Table4[Fruits], "Not Found", 0)</f>
        <v>0</v>
      </c>
      <c r="M2025" s="16">
        <f>_xlfn.XLOOKUP(CustomerCombinedCleaned[[#This Row],[ID]], Table4[ID], Table4[Meats], "Not Found", 0)</f>
        <v>24</v>
      </c>
      <c r="N2025" s="16">
        <f>_xlfn.XLOOKUP(CustomerCombinedCleaned[[#This Row],[ID]], Table4[ID], Table4[Seafood], "Not Found", 0)</f>
        <v>0</v>
      </c>
      <c r="O2025" s="16">
        <f>_xlfn.XLOOKUP(CustomerCombinedCleaned[[#This Row],[ID]], Table4[ID], Table4[Sweets], "Not Found", 0)</f>
        <v>0</v>
      </c>
      <c r="P2025" s="16">
        <f>_xlfn.XLOOKUP(CustomerCombinedCleaned[[#This Row],[ID]], Table4[ID], Table4[Premium], "Not Found", 0)</f>
        <v>6</v>
      </c>
      <c r="Q2025" s="16">
        <f>_xlfn.XLOOKUP(CustomerCombinedCleaned[[#This Row],[ID]], Table4[ID], Table4[Regular], "Not Found", 0)</f>
        <v>175</v>
      </c>
      <c r="R2025" s="16">
        <f>_xlfn.XLOOKUP(CustomerCombinedCleaned[[#This Row],[ID]], Table4[ID], Table4[Deals], "Not Found", 0)</f>
        <v>1</v>
      </c>
      <c r="S2025" s="16">
        <f>_xlfn.XLOOKUP(CustomerCombinedCleaned[[#This Row],[ID]], Table4[ID], Table4[Website], "Not Found", 0)</f>
        <v>2</v>
      </c>
      <c r="T2025" s="16">
        <f>_xlfn.XLOOKUP(CustomerCombinedCleaned[[#This Row],[ID]], Table4[ID], Table4[Catalog], "Not Found", 0)</f>
        <v>0</v>
      </c>
      <c r="U2025" s="16">
        <f>_xlfn.XLOOKUP(CustomerCombinedCleaned[[#This Row],[ID]], Table4[ID], Table4[Store], "Not Found", 0)</f>
        <v>3</v>
      </c>
      <c r="V2025" s="16">
        <f>_xlfn.XLOOKUP(CustomerCombinedCleaned[[#This Row],[ID]], Table4[ID], Table4[Visits], "Not Found", 0)</f>
        <v>5</v>
      </c>
      <c r="W2025" s="16">
        <f>_xlfn.XLOOKUP(CustomerCombinedCleaned[[#This Row],[ID]], Table2[ID],Table2[Complaint], "Not Found", 0 )</f>
        <v>0</v>
      </c>
      <c r="X2025" s="16">
        <f>_xlfn.XLOOKUP(CustomerCombinedCleaned[[#This Row],[ID]], Table2[ID],Table2[Pilot], "Not Found", 0 )</f>
        <v>0</v>
      </c>
      <c r="Y2025" s="16">
        <f>_xlfn.XLOOKUP(CustomerCombinedCleaned[[#This Row],[ID]], Table2[ID],Table2[MC1], "Not Found", 0 )</f>
        <v>0</v>
      </c>
      <c r="Z2025" s="16">
        <f>_xlfn.XLOOKUP(CustomerCombinedCleaned[[#This Row],[ID]], Table2[ID],Table2[MC2], "Not Found", 0 )</f>
        <v>0</v>
      </c>
      <c r="AA2025" s="16">
        <f>_xlfn.XLOOKUP(CustomerCombinedCleaned[[#This Row],[ID]], Table2[ID],Table2[MC3], "Not Found", 0 )</f>
        <v>0</v>
      </c>
      <c r="AB2025" s="16">
        <f>_xlfn.XLOOKUP(CustomerCombinedCleaned[[#This Row],[ID]], Table2[ID],Table2[MC4], "Not Found", 0 )</f>
        <v>0</v>
      </c>
      <c r="AC2025" s="16">
        <f>_xlfn.XLOOKUP(CustomerCombinedCleaned[[#This Row],[ID]], Table2[ID],Table2[MC5], "Not Found", 0 )</f>
        <v>0</v>
      </c>
    </row>
    <row r="2026" spans="1:29" x14ac:dyDescent="0.3">
      <c r="A2026" s="18">
        <v>1442</v>
      </c>
      <c r="B2026" s="16">
        <v>150300</v>
      </c>
      <c r="C2026" s="16">
        <v>0</v>
      </c>
      <c r="D2026" s="16">
        <v>1</v>
      </c>
      <c r="E2026" s="16">
        <v>68</v>
      </c>
      <c r="F2026" s="17" t="s">
        <v>6</v>
      </c>
      <c r="G2026" s="17" t="s">
        <v>11</v>
      </c>
      <c r="H2026" s="3" t="s">
        <v>42</v>
      </c>
      <c r="I2026" s="5" t="s">
        <v>438</v>
      </c>
      <c r="J2026" s="16">
        <f>_xlfn.XLOOKUP(CustomerCombinedCleaned[[#This Row],[ID]], Table4[ID], Table4[Recency], "Not Found", 0)</f>
        <v>52</v>
      </c>
      <c r="K2026" s="16">
        <f>_xlfn.XLOOKUP(CustomerCombinedCleaned[[#This Row],[ID]], Table4[ID], Table4[Teas], "Not Found", 0)</f>
        <v>427</v>
      </c>
      <c r="L2026" s="16">
        <f>_xlfn.XLOOKUP(CustomerCombinedCleaned[[#This Row],[ID]], Table4[ID], Table4[Fruits], "Not Found", 0)</f>
        <v>45</v>
      </c>
      <c r="M2026" s="16">
        <f>_xlfn.XLOOKUP(CustomerCombinedCleaned[[#This Row],[ID]], Table4[ID], Table4[Meats], "Not Found", 0)</f>
        <v>179</v>
      </c>
      <c r="N2026" s="16">
        <f>_xlfn.XLOOKUP(CustomerCombinedCleaned[[#This Row],[ID]], Table4[ID], Table4[Seafood], "Not Found", 0)</f>
        <v>72</v>
      </c>
      <c r="O2026" s="16">
        <f>_xlfn.XLOOKUP(CustomerCombinedCleaned[[#This Row],[ID]], Table4[ID], Table4[Sweets], "Not Found", 0)</f>
        <v>69</v>
      </c>
      <c r="P2026" s="16">
        <f>_xlfn.XLOOKUP(CustomerCombinedCleaned[[#This Row],[ID]], Table4[ID], Table4[Premium], "Not Found", 0)</f>
        <v>15</v>
      </c>
      <c r="Q2026" s="16">
        <f>_xlfn.XLOOKUP(CustomerCombinedCleaned[[#This Row],[ID]], Table4[ID], Table4[Regular], "Not Found", 0)</f>
        <v>777</v>
      </c>
      <c r="R2026" s="16">
        <f>_xlfn.XLOOKUP(CustomerCombinedCleaned[[#This Row],[ID]], Table4[ID], Table4[Deals], "Not Found", 0)</f>
        <v>2</v>
      </c>
      <c r="S2026" s="16">
        <f>_xlfn.XLOOKUP(CustomerCombinedCleaned[[#This Row],[ID]], Table4[ID], Table4[Website], "Not Found", 0)</f>
        <v>2</v>
      </c>
      <c r="T2026" s="16">
        <f>_xlfn.XLOOKUP(CustomerCombinedCleaned[[#This Row],[ID]], Table4[ID], Table4[Catalog], "Not Found", 0)</f>
        <v>1</v>
      </c>
      <c r="U2026" s="16">
        <f>_xlfn.XLOOKUP(CustomerCombinedCleaned[[#This Row],[ID]], Table4[ID], Table4[Store], "Not Found", 0)</f>
        <v>8</v>
      </c>
      <c r="V2026" s="16">
        <f>_xlfn.XLOOKUP(CustomerCombinedCleaned[[#This Row],[ID]], Table4[ID], Table4[Visits], "Not Found", 0)</f>
        <v>2</v>
      </c>
      <c r="W2026" s="16">
        <f>_xlfn.XLOOKUP(CustomerCombinedCleaned[[#This Row],[ID]], Table2[ID],Table2[Complaint], "Not Found", 0 )</f>
        <v>0</v>
      </c>
      <c r="X2026" s="16">
        <f>_xlfn.XLOOKUP(CustomerCombinedCleaned[[#This Row],[ID]], Table2[ID],Table2[Pilot], "Not Found", 0 )</f>
        <v>0</v>
      </c>
      <c r="Y2026" s="16">
        <f>_xlfn.XLOOKUP(CustomerCombinedCleaned[[#This Row],[ID]], Table2[ID],Table2[MC1], "Not Found", 0 )</f>
        <v>0</v>
      </c>
      <c r="Z2026" s="16">
        <f>_xlfn.XLOOKUP(CustomerCombinedCleaned[[#This Row],[ID]], Table2[ID],Table2[MC2], "Not Found", 0 )</f>
        <v>0</v>
      </c>
      <c r="AA2026" s="16">
        <f>_xlfn.XLOOKUP(CustomerCombinedCleaned[[#This Row],[ID]], Table2[ID],Table2[MC3], "Not Found", 0 )</f>
        <v>0</v>
      </c>
      <c r="AB2026" s="16">
        <f>_xlfn.XLOOKUP(CustomerCombinedCleaned[[#This Row],[ID]], Table2[ID],Table2[MC4], "Not Found", 0 )</f>
        <v>0</v>
      </c>
      <c r="AC2026" s="16">
        <f>_xlfn.XLOOKUP(CustomerCombinedCleaned[[#This Row],[ID]], Table2[ID],Table2[MC5], "Not Found", 0 )</f>
        <v>0</v>
      </c>
    </row>
    <row r="2027" spans="1:29" x14ac:dyDescent="0.3">
      <c r="A2027" s="18">
        <v>2849</v>
      </c>
      <c r="B2027" s="16">
        <v>149638</v>
      </c>
      <c r="C2027" s="16">
        <v>0</v>
      </c>
      <c r="D2027" s="16">
        <v>1</v>
      </c>
      <c r="E2027" s="16">
        <v>68</v>
      </c>
      <c r="F2027" s="17" t="s">
        <v>5</v>
      </c>
      <c r="G2027" s="17" t="s">
        <v>11</v>
      </c>
      <c r="H2027" s="3" t="s">
        <v>63</v>
      </c>
      <c r="I2027" s="5" t="s">
        <v>434</v>
      </c>
      <c r="J2027" s="16">
        <f>_xlfn.XLOOKUP(CustomerCombinedCleaned[[#This Row],[ID]], Table4[ID], Table4[Recency], "Not Found", 0)</f>
        <v>71</v>
      </c>
      <c r="K2027" s="16">
        <f>_xlfn.XLOOKUP(CustomerCombinedCleaned[[#This Row],[ID]], Table4[ID], Table4[Teas], "Not Found", 0)</f>
        <v>54</v>
      </c>
      <c r="L2027" s="16">
        <f>_xlfn.XLOOKUP(CustomerCombinedCleaned[[#This Row],[ID]], Table4[ID], Table4[Fruits], "Not Found", 0)</f>
        <v>30</v>
      </c>
      <c r="M2027" s="16">
        <f>_xlfn.XLOOKUP(CustomerCombinedCleaned[[#This Row],[ID]], Table4[ID], Table4[Meats], "Not Found", 0)</f>
        <v>9</v>
      </c>
      <c r="N2027" s="16">
        <f>_xlfn.XLOOKUP(CustomerCombinedCleaned[[#This Row],[ID]], Table4[ID], Table4[Seafood], "Not Found", 0)</f>
        <v>9</v>
      </c>
      <c r="O2027" s="16">
        <f>_xlfn.XLOOKUP(CustomerCombinedCleaned[[#This Row],[ID]], Table4[ID], Table4[Sweets], "Not Found", 0)</f>
        <v>15</v>
      </c>
      <c r="P2027" s="16">
        <f>_xlfn.XLOOKUP(CustomerCombinedCleaned[[#This Row],[ID]], Table4[ID], Table4[Premium], "Not Found", 0)</f>
        <v>0</v>
      </c>
      <c r="Q2027" s="16">
        <f>_xlfn.XLOOKUP(CustomerCombinedCleaned[[#This Row],[ID]], Table4[ID], Table4[Regular], "Not Found", 0)</f>
        <v>118</v>
      </c>
      <c r="R2027" s="16">
        <f>_xlfn.XLOOKUP(CustomerCombinedCleaned[[#This Row],[ID]], Table4[ID], Table4[Deals], "Not Found", 0)</f>
        <v>1</v>
      </c>
      <c r="S2027" s="16">
        <f>_xlfn.XLOOKUP(CustomerCombinedCleaned[[#This Row],[ID]], Table4[ID], Table4[Website], "Not Found", 0)</f>
        <v>1</v>
      </c>
      <c r="T2027" s="16">
        <f>_xlfn.XLOOKUP(CustomerCombinedCleaned[[#This Row],[ID]], Table4[ID], Table4[Catalog], "Not Found", 0)</f>
        <v>0</v>
      </c>
      <c r="U2027" s="16">
        <f>_xlfn.XLOOKUP(CustomerCombinedCleaned[[#This Row],[ID]], Table4[ID], Table4[Store], "Not Found", 0)</f>
        <v>3</v>
      </c>
      <c r="V2027" s="16">
        <f>_xlfn.XLOOKUP(CustomerCombinedCleaned[[#This Row],[ID]], Table4[ID], Table4[Visits], "Not Found", 0)</f>
        <v>2</v>
      </c>
      <c r="W2027" s="16">
        <f>_xlfn.XLOOKUP(CustomerCombinedCleaned[[#This Row],[ID]], Table2[ID],Table2[Complaint], "Not Found", 0 )</f>
        <v>0</v>
      </c>
      <c r="X2027" s="16">
        <f>_xlfn.XLOOKUP(CustomerCombinedCleaned[[#This Row],[ID]], Table2[ID],Table2[Pilot], "Not Found", 0 )</f>
        <v>0</v>
      </c>
      <c r="Y2027" s="16">
        <f>_xlfn.XLOOKUP(CustomerCombinedCleaned[[#This Row],[ID]], Table2[ID],Table2[MC1], "Not Found", 0 )</f>
        <v>0</v>
      </c>
      <c r="Z2027" s="16">
        <f>_xlfn.XLOOKUP(CustomerCombinedCleaned[[#This Row],[ID]], Table2[ID],Table2[MC2], "Not Found", 0 )</f>
        <v>0</v>
      </c>
      <c r="AA2027" s="16">
        <f>_xlfn.XLOOKUP(CustomerCombinedCleaned[[#This Row],[ID]], Table2[ID],Table2[MC3], "Not Found", 0 )</f>
        <v>0</v>
      </c>
      <c r="AB2027" s="16">
        <f>_xlfn.XLOOKUP(CustomerCombinedCleaned[[#This Row],[ID]], Table2[ID],Table2[MC4], "Not Found", 0 )</f>
        <v>0</v>
      </c>
      <c r="AC2027" s="16">
        <f>_xlfn.XLOOKUP(CustomerCombinedCleaned[[#This Row],[ID]], Table2[ID],Table2[MC5], "Not Found", 0 )</f>
        <v>0</v>
      </c>
    </row>
    <row r="2028" spans="1:29" x14ac:dyDescent="0.3">
      <c r="A2028" s="18">
        <v>2659</v>
      </c>
      <c r="B2028" s="16">
        <v>149413</v>
      </c>
      <c r="C2028" s="16">
        <v>0</v>
      </c>
      <c r="D2028" s="16">
        <v>1</v>
      </c>
      <c r="E2028" s="16">
        <v>68</v>
      </c>
      <c r="F2028" s="17" t="s">
        <v>6</v>
      </c>
      <c r="G2028" s="17" t="s">
        <v>11</v>
      </c>
      <c r="H2028" s="3" t="s">
        <v>157</v>
      </c>
      <c r="I2028" s="5" t="s">
        <v>437</v>
      </c>
      <c r="J2028" s="16">
        <f>_xlfn.XLOOKUP(CustomerCombinedCleaned[[#This Row],[ID]], Table4[ID], Table4[Recency], "Not Found", 0)</f>
        <v>88</v>
      </c>
      <c r="K2028" s="16">
        <f>_xlfn.XLOOKUP(CustomerCombinedCleaned[[#This Row],[ID]], Table4[ID], Table4[Teas], "Not Found", 0)</f>
        <v>620</v>
      </c>
      <c r="L2028" s="16">
        <f>_xlfn.XLOOKUP(CustomerCombinedCleaned[[#This Row],[ID]], Table4[ID], Table4[Fruits], "Not Found", 0)</f>
        <v>21</v>
      </c>
      <c r="M2028" s="16">
        <f>_xlfn.XLOOKUP(CustomerCombinedCleaned[[#This Row],[ID]], Table4[ID], Table4[Meats], "Not Found", 0)</f>
        <v>124</v>
      </c>
      <c r="N2028" s="16">
        <f>_xlfn.XLOOKUP(CustomerCombinedCleaned[[#This Row],[ID]], Table4[ID], Table4[Seafood], "Not Found", 0)</f>
        <v>9</v>
      </c>
      <c r="O2028" s="16">
        <f>_xlfn.XLOOKUP(CustomerCombinedCleaned[[#This Row],[ID]], Table4[ID], Table4[Sweets], "Not Found", 0)</f>
        <v>6</v>
      </c>
      <c r="P2028" s="16">
        <f>_xlfn.XLOOKUP(CustomerCombinedCleaned[[#This Row],[ID]], Table4[ID], Table4[Premium], "Not Found", 0)</f>
        <v>139</v>
      </c>
      <c r="Q2028" s="16">
        <f>_xlfn.XLOOKUP(CustomerCombinedCleaned[[#This Row],[ID]], Table4[ID], Table4[Regular], "Not Found", 0)</f>
        <v>641</v>
      </c>
      <c r="R2028" s="16">
        <f>_xlfn.XLOOKUP(CustomerCombinedCleaned[[#This Row],[ID]], Table4[ID], Table4[Deals], "Not Found", 0)</f>
        <v>2</v>
      </c>
      <c r="S2028" s="16">
        <f>_xlfn.XLOOKUP(CustomerCombinedCleaned[[#This Row],[ID]], Table4[ID], Table4[Website], "Not Found", 0)</f>
        <v>4</v>
      </c>
      <c r="T2028" s="16">
        <f>_xlfn.XLOOKUP(CustomerCombinedCleaned[[#This Row],[ID]], Table4[ID], Table4[Catalog], "Not Found", 0)</f>
        <v>2</v>
      </c>
      <c r="U2028" s="16">
        <f>_xlfn.XLOOKUP(CustomerCombinedCleaned[[#This Row],[ID]], Table4[ID], Table4[Store], "Not Found", 0)</f>
        <v>5</v>
      </c>
      <c r="V2028" s="16">
        <f>_xlfn.XLOOKUP(CustomerCombinedCleaned[[#This Row],[ID]], Table4[ID], Table4[Visits], "Not Found", 0)</f>
        <v>5</v>
      </c>
      <c r="W2028" s="16">
        <f>_xlfn.XLOOKUP(CustomerCombinedCleaned[[#This Row],[ID]], Table2[ID],Table2[Complaint], "Not Found", 0 )</f>
        <v>0</v>
      </c>
      <c r="X2028" s="16">
        <f>_xlfn.XLOOKUP(CustomerCombinedCleaned[[#This Row],[ID]], Table2[ID],Table2[Pilot], "Not Found", 0 )</f>
        <v>0</v>
      </c>
      <c r="Y2028" s="16">
        <f>_xlfn.XLOOKUP(CustomerCombinedCleaned[[#This Row],[ID]], Table2[ID],Table2[MC1], "Not Found", 0 )</f>
        <v>0</v>
      </c>
      <c r="Z2028" s="16">
        <f>_xlfn.XLOOKUP(CustomerCombinedCleaned[[#This Row],[ID]], Table2[ID],Table2[MC2], "Not Found", 0 )</f>
        <v>0</v>
      </c>
      <c r="AA2028" s="16">
        <f>_xlfn.XLOOKUP(CustomerCombinedCleaned[[#This Row],[ID]], Table2[ID],Table2[MC3], "Not Found", 0 )</f>
        <v>0</v>
      </c>
      <c r="AB2028" s="16">
        <f>_xlfn.XLOOKUP(CustomerCombinedCleaned[[#This Row],[ID]], Table2[ID],Table2[MC4], "Not Found", 0 )</f>
        <v>0</v>
      </c>
      <c r="AC2028" s="16">
        <f>_xlfn.XLOOKUP(CustomerCombinedCleaned[[#This Row],[ID]], Table2[ID],Table2[MC5], "Not Found", 0 )</f>
        <v>0</v>
      </c>
    </row>
    <row r="2029" spans="1:29" x14ac:dyDescent="0.3">
      <c r="A2029" s="18">
        <v>2541</v>
      </c>
      <c r="B2029" s="16">
        <v>147958</v>
      </c>
      <c r="C2029" s="16">
        <v>0</v>
      </c>
      <c r="D2029" s="16">
        <v>1</v>
      </c>
      <c r="E2029" s="16">
        <v>68</v>
      </c>
      <c r="F2029" s="17" t="s">
        <v>7</v>
      </c>
      <c r="G2029" s="17" t="s">
        <v>11</v>
      </c>
      <c r="H2029" s="3" t="s">
        <v>322</v>
      </c>
      <c r="I2029" s="5" t="s">
        <v>435</v>
      </c>
      <c r="J2029" s="16">
        <f>_xlfn.XLOOKUP(CustomerCombinedCleaned[[#This Row],[ID]], Table4[ID], Table4[Recency], "Not Found", 0)</f>
        <v>8</v>
      </c>
      <c r="K2029" s="16">
        <f>_xlfn.XLOOKUP(CustomerCombinedCleaned[[#This Row],[ID]], Table4[ID], Table4[Teas], "Not Found", 0)</f>
        <v>827</v>
      </c>
      <c r="L2029" s="16">
        <f>_xlfn.XLOOKUP(CustomerCombinedCleaned[[#This Row],[ID]], Table4[ID], Table4[Fruits], "Not Found", 0)</f>
        <v>34</v>
      </c>
      <c r="M2029" s="16">
        <f>_xlfn.XLOOKUP(CustomerCombinedCleaned[[#This Row],[ID]], Table4[ID], Table4[Meats], "Not Found", 0)</f>
        <v>271</v>
      </c>
      <c r="N2029" s="16">
        <f>_xlfn.XLOOKUP(CustomerCombinedCleaned[[#This Row],[ID]], Table4[ID], Table4[Seafood], "Not Found", 0)</f>
        <v>46</v>
      </c>
      <c r="O2029" s="16">
        <f>_xlfn.XLOOKUP(CustomerCombinedCleaned[[#This Row],[ID]], Table4[ID], Table4[Sweets], "Not Found", 0)</f>
        <v>9</v>
      </c>
      <c r="P2029" s="16">
        <f>_xlfn.XLOOKUP(CustomerCombinedCleaned[[#This Row],[ID]], Table4[ID], Table4[Premium], "Not Found", 0)</f>
        <v>68</v>
      </c>
      <c r="Q2029" s="16">
        <f>_xlfn.XLOOKUP(CustomerCombinedCleaned[[#This Row],[ID]], Table4[ID], Table4[Regular], "Not Found", 0)</f>
        <v>1120</v>
      </c>
      <c r="R2029" s="16">
        <f>_xlfn.XLOOKUP(CustomerCombinedCleaned[[#This Row],[ID]], Table4[ID], Table4[Deals], "Not Found", 0)</f>
        <v>2</v>
      </c>
      <c r="S2029" s="16">
        <f>_xlfn.XLOOKUP(CustomerCombinedCleaned[[#This Row],[ID]], Table4[ID], Table4[Website], "Not Found", 0)</f>
        <v>6</v>
      </c>
      <c r="T2029" s="16">
        <f>_xlfn.XLOOKUP(CustomerCombinedCleaned[[#This Row],[ID]], Table4[ID], Table4[Catalog], "Not Found", 0)</f>
        <v>3</v>
      </c>
      <c r="U2029" s="16">
        <f>_xlfn.XLOOKUP(CustomerCombinedCleaned[[#This Row],[ID]], Table4[ID], Table4[Store], "Not Found", 0)</f>
        <v>5</v>
      </c>
      <c r="V2029" s="16">
        <f>_xlfn.XLOOKUP(CustomerCombinedCleaned[[#This Row],[ID]], Table4[ID], Table4[Visits], "Not Found", 0)</f>
        <v>5</v>
      </c>
      <c r="W2029" s="16">
        <f>_xlfn.XLOOKUP(CustomerCombinedCleaned[[#This Row],[ID]], Table2[ID],Table2[Complaint], "Not Found", 0 )</f>
        <v>0</v>
      </c>
      <c r="X2029" s="16">
        <f>_xlfn.XLOOKUP(CustomerCombinedCleaned[[#This Row],[ID]], Table2[ID],Table2[Pilot], "Not Found", 0 )</f>
        <v>0</v>
      </c>
      <c r="Y2029" s="16">
        <f>_xlfn.XLOOKUP(CustomerCombinedCleaned[[#This Row],[ID]], Table2[ID],Table2[MC1], "Not Found", 0 )</f>
        <v>0</v>
      </c>
      <c r="Z2029" s="16">
        <f>_xlfn.XLOOKUP(CustomerCombinedCleaned[[#This Row],[ID]], Table2[ID],Table2[MC2], "Not Found", 0 )</f>
        <v>0</v>
      </c>
      <c r="AA2029" s="16">
        <f>_xlfn.XLOOKUP(CustomerCombinedCleaned[[#This Row],[ID]], Table2[ID],Table2[MC3], "Not Found", 0 )</f>
        <v>0</v>
      </c>
      <c r="AB2029" s="16">
        <f>_xlfn.XLOOKUP(CustomerCombinedCleaned[[#This Row],[ID]], Table2[ID],Table2[MC4], "Not Found", 0 )</f>
        <v>0</v>
      </c>
      <c r="AC2029" s="16">
        <f>_xlfn.XLOOKUP(CustomerCombinedCleaned[[#This Row],[ID]], Table2[ID],Table2[MC5], "Not Found", 0 )</f>
        <v>0</v>
      </c>
    </row>
    <row r="2030" spans="1:29" x14ac:dyDescent="0.3">
      <c r="A2030" s="18">
        <v>2245</v>
      </c>
      <c r="B2030" s="16">
        <v>147139</v>
      </c>
      <c r="C2030" s="16">
        <v>1</v>
      </c>
      <c r="D2030" s="16">
        <v>1</v>
      </c>
      <c r="E2030" s="16">
        <v>68</v>
      </c>
      <c r="F2030" s="17" t="s">
        <v>7</v>
      </c>
      <c r="G2030" s="17" t="s">
        <v>11</v>
      </c>
      <c r="H2030" s="3" t="s">
        <v>738</v>
      </c>
      <c r="I2030" s="5" t="s">
        <v>437</v>
      </c>
      <c r="J2030" s="16">
        <f>_xlfn.XLOOKUP(CustomerCombinedCleaned[[#This Row],[ID]], Table4[ID], Table4[Recency], "Not Found", 0)</f>
        <v>2</v>
      </c>
      <c r="K2030" s="16">
        <f>_xlfn.XLOOKUP(CustomerCombinedCleaned[[#This Row],[ID]], Table4[ID], Table4[Teas], "Not Found", 0)</f>
        <v>144</v>
      </c>
      <c r="L2030" s="16">
        <f>_xlfn.XLOOKUP(CustomerCombinedCleaned[[#This Row],[ID]], Table4[ID], Table4[Fruits], "Not Found", 0)</f>
        <v>0</v>
      </c>
      <c r="M2030" s="16">
        <f>_xlfn.XLOOKUP(CustomerCombinedCleaned[[#This Row],[ID]], Table4[ID], Table4[Meats], "Not Found", 0)</f>
        <v>37</v>
      </c>
      <c r="N2030" s="16">
        <f>_xlfn.XLOOKUP(CustomerCombinedCleaned[[#This Row],[ID]], Table4[ID], Table4[Seafood], "Not Found", 0)</f>
        <v>0</v>
      </c>
      <c r="O2030" s="16">
        <f>_xlfn.XLOOKUP(CustomerCombinedCleaned[[#This Row],[ID]], Table4[ID], Table4[Sweets], "Not Found", 0)</f>
        <v>6</v>
      </c>
      <c r="P2030" s="16">
        <f>_xlfn.XLOOKUP(CustomerCombinedCleaned[[#This Row],[ID]], Table4[ID], Table4[Premium], "Not Found", 0)</f>
        <v>72</v>
      </c>
      <c r="Q2030" s="16">
        <f>_xlfn.XLOOKUP(CustomerCombinedCleaned[[#This Row],[ID]], Table4[ID], Table4[Regular], "Not Found", 0)</f>
        <v>115</v>
      </c>
      <c r="R2030" s="16">
        <f>_xlfn.XLOOKUP(CustomerCombinedCleaned[[#This Row],[ID]], Table4[ID], Table4[Deals], "Not Found", 0)</f>
        <v>2</v>
      </c>
      <c r="S2030" s="16">
        <f>_xlfn.XLOOKUP(CustomerCombinedCleaned[[#This Row],[ID]], Table4[ID], Table4[Website], "Not Found", 0)</f>
        <v>2</v>
      </c>
      <c r="T2030" s="16">
        <f>_xlfn.XLOOKUP(CustomerCombinedCleaned[[#This Row],[ID]], Table4[ID], Table4[Catalog], "Not Found", 0)</f>
        <v>1</v>
      </c>
      <c r="U2030" s="16">
        <f>_xlfn.XLOOKUP(CustomerCombinedCleaned[[#This Row],[ID]], Table4[ID], Table4[Store], "Not Found", 0)</f>
        <v>2</v>
      </c>
      <c r="V2030" s="16">
        <f>_xlfn.XLOOKUP(CustomerCombinedCleaned[[#This Row],[ID]], Table4[ID], Table4[Visits], "Not Found", 0)</f>
        <v>7</v>
      </c>
      <c r="W2030" s="16">
        <f>_xlfn.XLOOKUP(CustomerCombinedCleaned[[#This Row],[ID]], Table2[ID],Table2[Complaint], "Not Found", 0 )</f>
        <v>0</v>
      </c>
      <c r="X2030" s="16">
        <f>_xlfn.XLOOKUP(CustomerCombinedCleaned[[#This Row],[ID]], Table2[ID],Table2[Pilot], "Not Found", 0 )</f>
        <v>1</v>
      </c>
      <c r="Y2030" s="16">
        <f>_xlfn.XLOOKUP(CustomerCombinedCleaned[[#This Row],[ID]], Table2[ID],Table2[MC1], "Not Found", 0 )</f>
        <v>0</v>
      </c>
      <c r="Z2030" s="16">
        <f>_xlfn.XLOOKUP(CustomerCombinedCleaned[[#This Row],[ID]], Table2[ID],Table2[MC2], "Not Found", 0 )</f>
        <v>0</v>
      </c>
      <c r="AA2030" s="16">
        <f>_xlfn.XLOOKUP(CustomerCombinedCleaned[[#This Row],[ID]], Table2[ID],Table2[MC3], "Not Found", 0 )</f>
        <v>0</v>
      </c>
      <c r="AB2030" s="16">
        <f>_xlfn.XLOOKUP(CustomerCombinedCleaned[[#This Row],[ID]], Table2[ID],Table2[MC4], "Not Found", 0 )</f>
        <v>0</v>
      </c>
      <c r="AC2030" s="16">
        <f>_xlfn.XLOOKUP(CustomerCombinedCleaned[[#This Row],[ID]], Table2[ID],Table2[MC5], "Not Found", 0 )</f>
        <v>0</v>
      </c>
    </row>
    <row r="2031" spans="1:29" x14ac:dyDescent="0.3">
      <c r="A2031" s="18">
        <v>1032</v>
      </c>
      <c r="B2031" s="16">
        <v>146610</v>
      </c>
      <c r="C2031" s="16">
        <v>0</v>
      </c>
      <c r="D2031" s="16">
        <v>2</v>
      </c>
      <c r="E2031" s="16">
        <v>68</v>
      </c>
      <c r="F2031" s="17" t="s">
        <v>5</v>
      </c>
      <c r="G2031" s="17" t="s">
        <v>13</v>
      </c>
      <c r="H2031" s="3" t="s">
        <v>619</v>
      </c>
      <c r="I2031" s="5" t="s">
        <v>436</v>
      </c>
      <c r="J2031" s="16">
        <f>_xlfn.XLOOKUP(CustomerCombinedCleaned[[#This Row],[ID]], Table4[ID], Table4[Recency], "Not Found", 0)</f>
        <v>8</v>
      </c>
      <c r="K2031" s="16">
        <f>_xlfn.XLOOKUP(CustomerCombinedCleaned[[#This Row],[ID]], Table4[ID], Table4[Teas], "Not Found", 0)</f>
        <v>302</v>
      </c>
      <c r="L2031" s="16">
        <f>_xlfn.XLOOKUP(CustomerCombinedCleaned[[#This Row],[ID]], Table4[ID], Table4[Fruits], "Not Found", 0)</f>
        <v>38</v>
      </c>
      <c r="M2031" s="16">
        <f>_xlfn.XLOOKUP(CustomerCombinedCleaned[[#This Row],[ID]], Table4[ID], Table4[Meats], "Not Found", 0)</f>
        <v>302</v>
      </c>
      <c r="N2031" s="16">
        <f>_xlfn.XLOOKUP(CustomerCombinedCleaned[[#This Row],[ID]], Table4[ID], Table4[Seafood], "Not Found", 0)</f>
        <v>104</v>
      </c>
      <c r="O2031" s="16">
        <f>_xlfn.XLOOKUP(CustomerCombinedCleaned[[#This Row],[ID]], Table4[ID], Table4[Sweets], "Not Found", 0)</f>
        <v>69</v>
      </c>
      <c r="P2031" s="16">
        <f>_xlfn.XLOOKUP(CustomerCombinedCleaned[[#This Row],[ID]], Table4[ID], Table4[Premium], "Not Found", 0)</f>
        <v>135</v>
      </c>
      <c r="Q2031" s="16">
        <f>_xlfn.XLOOKUP(CustomerCombinedCleaned[[#This Row],[ID]], Table4[ID], Table4[Regular], "Not Found", 0)</f>
        <v>679</v>
      </c>
      <c r="R2031" s="16">
        <f>_xlfn.XLOOKUP(CustomerCombinedCleaned[[#This Row],[ID]], Table4[ID], Table4[Deals], "Not Found", 0)</f>
        <v>6</v>
      </c>
      <c r="S2031" s="16">
        <f>_xlfn.XLOOKUP(CustomerCombinedCleaned[[#This Row],[ID]], Table4[ID], Table4[Website], "Not Found", 0)</f>
        <v>4</v>
      </c>
      <c r="T2031" s="16">
        <f>_xlfn.XLOOKUP(CustomerCombinedCleaned[[#This Row],[ID]], Table4[ID], Table4[Catalog], "Not Found", 0)</f>
        <v>1</v>
      </c>
      <c r="U2031" s="16">
        <f>_xlfn.XLOOKUP(CustomerCombinedCleaned[[#This Row],[ID]], Table4[ID], Table4[Store], "Not Found", 0)</f>
        <v>6</v>
      </c>
      <c r="V2031" s="16">
        <f>_xlfn.XLOOKUP(CustomerCombinedCleaned[[#This Row],[ID]], Table4[ID], Table4[Visits], "Not Found", 0)</f>
        <v>6</v>
      </c>
      <c r="W2031" s="16">
        <f>_xlfn.XLOOKUP(CustomerCombinedCleaned[[#This Row],[ID]], Table2[ID],Table2[Complaint], "Not Found", 0 )</f>
        <v>0</v>
      </c>
      <c r="X2031" s="16">
        <f>_xlfn.XLOOKUP(CustomerCombinedCleaned[[#This Row],[ID]], Table2[ID],Table2[Pilot], "Not Found", 0 )</f>
        <v>1</v>
      </c>
      <c r="Y2031" s="16">
        <f>_xlfn.XLOOKUP(CustomerCombinedCleaned[[#This Row],[ID]], Table2[ID],Table2[MC1], "Not Found", 0 )</f>
        <v>0</v>
      </c>
      <c r="Z2031" s="16">
        <f>_xlfn.XLOOKUP(CustomerCombinedCleaned[[#This Row],[ID]], Table2[ID],Table2[MC2], "Not Found", 0 )</f>
        <v>0</v>
      </c>
      <c r="AA2031" s="16">
        <f>_xlfn.XLOOKUP(CustomerCombinedCleaned[[#This Row],[ID]], Table2[ID],Table2[MC3], "Not Found", 0 )</f>
        <v>0</v>
      </c>
      <c r="AB2031" s="16">
        <f>_xlfn.XLOOKUP(CustomerCombinedCleaned[[#This Row],[ID]], Table2[ID],Table2[MC4], "Not Found", 0 )</f>
        <v>0</v>
      </c>
      <c r="AC2031" s="16">
        <f>_xlfn.XLOOKUP(CustomerCombinedCleaned[[#This Row],[ID]], Table2[ID],Table2[MC5], "Not Found", 0 )</f>
        <v>0</v>
      </c>
    </row>
    <row r="2032" spans="1:29" x14ac:dyDescent="0.3">
      <c r="A2032" s="18">
        <v>2220</v>
      </c>
      <c r="B2032" s="16">
        <v>144213</v>
      </c>
      <c r="C2032" s="16">
        <v>1</v>
      </c>
      <c r="D2032" s="16">
        <v>1</v>
      </c>
      <c r="E2032" s="16">
        <v>68</v>
      </c>
      <c r="F2032" s="17" t="s">
        <v>7</v>
      </c>
      <c r="G2032" s="17" t="s">
        <v>11</v>
      </c>
      <c r="H2032" s="3" t="s">
        <v>761</v>
      </c>
      <c r="I2032" s="5" t="s">
        <v>436</v>
      </c>
      <c r="J2032" s="16">
        <f>_xlfn.XLOOKUP(CustomerCombinedCleaned[[#This Row],[ID]], Table4[ID], Table4[Recency], "Not Found", 0)</f>
        <v>48</v>
      </c>
      <c r="K2032" s="16">
        <f>_xlfn.XLOOKUP(CustomerCombinedCleaned[[#This Row],[ID]], Table4[ID], Table4[Teas], "Not Found", 0)</f>
        <v>310</v>
      </c>
      <c r="L2032" s="16">
        <f>_xlfn.XLOOKUP(CustomerCombinedCleaned[[#This Row],[ID]], Table4[ID], Table4[Fruits], "Not Found", 0)</f>
        <v>36</v>
      </c>
      <c r="M2032" s="16">
        <f>_xlfn.XLOOKUP(CustomerCombinedCleaned[[#This Row],[ID]], Table4[ID], Table4[Meats], "Not Found", 0)</f>
        <v>114</v>
      </c>
      <c r="N2032" s="16">
        <f>_xlfn.XLOOKUP(CustomerCombinedCleaned[[#This Row],[ID]], Table4[ID], Table4[Seafood], "Not Found", 0)</f>
        <v>0</v>
      </c>
      <c r="O2032" s="16">
        <f>_xlfn.XLOOKUP(CustomerCombinedCleaned[[#This Row],[ID]], Table4[ID], Table4[Sweets], "Not Found", 0)</f>
        <v>13</v>
      </c>
      <c r="P2032" s="16">
        <f>_xlfn.XLOOKUP(CustomerCombinedCleaned[[#This Row],[ID]], Table4[ID], Table4[Premium], "Not Found", 0)</f>
        <v>23</v>
      </c>
      <c r="Q2032" s="16">
        <f>_xlfn.XLOOKUP(CustomerCombinedCleaned[[#This Row],[ID]], Table4[ID], Table4[Regular], "Not Found", 0)</f>
        <v>450</v>
      </c>
      <c r="R2032" s="16">
        <f>_xlfn.XLOOKUP(CustomerCombinedCleaned[[#This Row],[ID]], Table4[ID], Table4[Deals], "Not Found", 0)</f>
        <v>4</v>
      </c>
      <c r="S2032" s="16">
        <f>_xlfn.XLOOKUP(CustomerCombinedCleaned[[#This Row],[ID]], Table4[ID], Table4[Website], "Not Found", 0)</f>
        <v>2</v>
      </c>
      <c r="T2032" s="16">
        <f>_xlfn.XLOOKUP(CustomerCombinedCleaned[[#This Row],[ID]], Table4[ID], Table4[Catalog], "Not Found", 0)</f>
        <v>1</v>
      </c>
      <c r="U2032" s="16">
        <f>_xlfn.XLOOKUP(CustomerCombinedCleaned[[#This Row],[ID]], Table4[ID], Table4[Store], "Not Found", 0)</f>
        <v>5</v>
      </c>
      <c r="V2032" s="16">
        <f>_xlfn.XLOOKUP(CustomerCombinedCleaned[[#This Row],[ID]], Table4[ID], Table4[Visits], "Not Found", 0)</f>
        <v>6</v>
      </c>
      <c r="W2032" s="16">
        <f>_xlfn.XLOOKUP(CustomerCombinedCleaned[[#This Row],[ID]], Table2[ID],Table2[Complaint], "Not Found", 0 )</f>
        <v>0</v>
      </c>
      <c r="X2032" s="16">
        <f>_xlfn.XLOOKUP(CustomerCombinedCleaned[[#This Row],[ID]], Table2[ID],Table2[Pilot], "Not Found", 0 )</f>
        <v>0</v>
      </c>
      <c r="Y2032" s="16">
        <f>_xlfn.XLOOKUP(CustomerCombinedCleaned[[#This Row],[ID]], Table2[ID],Table2[MC1], "Not Found", 0 )</f>
        <v>0</v>
      </c>
      <c r="Z2032" s="16">
        <f>_xlfn.XLOOKUP(CustomerCombinedCleaned[[#This Row],[ID]], Table2[ID],Table2[MC2], "Not Found", 0 )</f>
        <v>0</v>
      </c>
      <c r="AA2032" s="16">
        <f>_xlfn.XLOOKUP(CustomerCombinedCleaned[[#This Row],[ID]], Table2[ID],Table2[MC3], "Not Found", 0 )</f>
        <v>0</v>
      </c>
      <c r="AB2032" s="16">
        <f>_xlfn.XLOOKUP(CustomerCombinedCleaned[[#This Row],[ID]], Table2[ID],Table2[MC4], "Not Found", 0 )</f>
        <v>0</v>
      </c>
      <c r="AC2032" s="16">
        <f>_xlfn.XLOOKUP(CustomerCombinedCleaned[[#This Row],[ID]], Table2[ID],Table2[MC5], "Not Found", 0 )</f>
        <v>0</v>
      </c>
    </row>
    <row r="2033" spans="1:29" x14ac:dyDescent="0.3">
      <c r="A2033" s="18">
        <v>1251</v>
      </c>
      <c r="B2033" s="16">
        <v>143776</v>
      </c>
      <c r="C2033" s="16">
        <v>1</v>
      </c>
      <c r="D2033" s="16">
        <v>1</v>
      </c>
      <c r="E2033" s="16">
        <v>68</v>
      </c>
      <c r="F2033" s="17" t="s">
        <v>8</v>
      </c>
      <c r="G2033" s="17" t="s">
        <v>12</v>
      </c>
      <c r="H2033" s="3" t="s">
        <v>765</v>
      </c>
      <c r="I2033" s="5" t="s">
        <v>435</v>
      </c>
      <c r="J2033" s="16">
        <f>_xlfn.XLOOKUP(CustomerCombinedCleaned[[#This Row],[ID]], Table4[ID], Table4[Recency], "Not Found", 0)</f>
        <v>9</v>
      </c>
      <c r="K2033" s="16">
        <f>_xlfn.XLOOKUP(CustomerCombinedCleaned[[#This Row],[ID]], Table4[ID], Table4[Teas], "Not Found", 0)</f>
        <v>581</v>
      </c>
      <c r="L2033" s="16">
        <f>_xlfn.XLOOKUP(CustomerCombinedCleaned[[#This Row],[ID]], Table4[ID], Table4[Fruits], "Not Found", 0)</f>
        <v>7</v>
      </c>
      <c r="M2033" s="16">
        <f>_xlfn.XLOOKUP(CustomerCombinedCleaned[[#This Row],[ID]], Table4[ID], Table4[Meats], "Not Found", 0)</f>
        <v>233</v>
      </c>
      <c r="N2033" s="16">
        <f>_xlfn.XLOOKUP(CustomerCombinedCleaned[[#This Row],[ID]], Table4[ID], Table4[Seafood], "Not Found", 0)</f>
        <v>10</v>
      </c>
      <c r="O2033" s="16">
        <f>_xlfn.XLOOKUP(CustomerCombinedCleaned[[#This Row],[ID]], Table4[ID], Table4[Sweets], "Not Found", 0)</f>
        <v>7</v>
      </c>
      <c r="P2033" s="16">
        <f>_xlfn.XLOOKUP(CustomerCombinedCleaned[[#This Row],[ID]], Table4[ID], Table4[Premium], "Not Found", 0)</f>
        <v>66</v>
      </c>
      <c r="Q2033" s="16">
        <f>_xlfn.XLOOKUP(CustomerCombinedCleaned[[#This Row],[ID]], Table4[ID], Table4[Regular], "Not Found", 0)</f>
        <v>772</v>
      </c>
      <c r="R2033" s="16">
        <f>_xlfn.XLOOKUP(CustomerCombinedCleaned[[#This Row],[ID]], Table4[ID], Table4[Deals], "Not Found", 0)</f>
        <v>6</v>
      </c>
      <c r="S2033" s="16">
        <f>_xlfn.XLOOKUP(CustomerCombinedCleaned[[#This Row],[ID]], Table4[ID], Table4[Website], "Not Found", 0)</f>
        <v>5</v>
      </c>
      <c r="T2033" s="16">
        <f>_xlfn.XLOOKUP(CustomerCombinedCleaned[[#This Row],[ID]], Table4[ID], Table4[Catalog], "Not Found", 0)</f>
        <v>2</v>
      </c>
      <c r="U2033" s="16">
        <f>_xlfn.XLOOKUP(CustomerCombinedCleaned[[#This Row],[ID]], Table4[ID], Table4[Store], "Not Found", 0)</f>
        <v>4</v>
      </c>
      <c r="V2033" s="16">
        <f>_xlfn.XLOOKUP(CustomerCombinedCleaned[[#This Row],[ID]], Table4[ID], Table4[Visits], "Not Found", 0)</f>
        <v>8</v>
      </c>
      <c r="W2033" s="16">
        <f>_xlfn.XLOOKUP(CustomerCombinedCleaned[[#This Row],[ID]], Table2[ID],Table2[Complaint], "Not Found", 0 )</f>
        <v>0</v>
      </c>
      <c r="X2033" s="16">
        <f>_xlfn.XLOOKUP(CustomerCombinedCleaned[[#This Row],[ID]], Table2[ID],Table2[Pilot], "Not Found", 0 )</f>
        <v>1</v>
      </c>
      <c r="Y2033" s="16">
        <f>_xlfn.XLOOKUP(CustomerCombinedCleaned[[#This Row],[ID]], Table2[ID],Table2[MC1], "Not Found", 0 )</f>
        <v>0</v>
      </c>
      <c r="Z2033" s="16">
        <f>_xlfn.XLOOKUP(CustomerCombinedCleaned[[#This Row],[ID]], Table2[ID],Table2[MC2], "Not Found", 0 )</f>
        <v>0</v>
      </c>
      <c r="AA2033" s="16">
        <f>_xlfn.XLOOKUP(CustomerCombinedCleaned[[#This Row],[ID]], Table2[ID],Table2[MC3], "Not Found", 0 )</f>
        <v>0</v>
      </c>
      <c r="AB2033" s="16">
        <f>_xlfn.XLOOKUP(CustomerCombinedCleaned[[#This Row],[ID]], Table2[ID],Table2[MC4], "Not Found", 0 )</f>
        <v>0</v>
      </c>
      <c r="AC2033" s="16">
        <f>_xlfn.XLOOKUP(CustomerCombinedCleaned[[#This Row],[ID]], Table2[ID],Table2[MC5], "Not Found", 0 )</f>
        <v>0</v>
      </c>
    </row>
    <row r="2034" spans="1:29" x14ac:dyDescent="0.3">
      <c r="A2034" s="18">
        <v>1539</v>
      </c>
      <c r="B2034" s="16">
        <v>143462</v>
      </c>
      <c r="C2034" s="16">
        <v>1</v>
      </c>
      <c r="D2034" s="16">
        <v>1</v>
      </c>
      <c r="E2034" s="16">
        <v>68</v>
      </c>
      <c r="F2034" s="17" t="s">
        <v>8</v>
      </c>
      <c r="G2034" s="17" t="s">
        <v>11</v>
      </c>
      <c r="H2034" s="3" t="s">
        <v>397</v>
      </c>
      <c r="I2034" s="5" t="s">
        <v>435</v>
      </c>
      <c r="J2034" s="16">
        <f>_xlfn.XLOOKUP(CustomerCombinedCleaned[[#This Row],[ID]], Table4[ID], Table4[Recency], "Not Found", 0)</f>
        <v>50</v>
      </c>
      <c r="K2034" s="16">
        <f>_xlfn.XLOOKUP(CustomerCombinedCleaned[[#This Row],[ID]], Table4[ID], Table4[Teas], "Not Found", 0)</f>
        <v>297</v>
      </c>
      <c r="L2034" s="16">
        <f>_xlfn.XLOOKUP(CustomerCombinedCleaned[[#This Row],[ID]], Table4[ID], Table4[Fruits], "Not Found", 0)</f>
        <v>56</v>
      </c>
      <c r="M2034" s="16">
        <f>_xlfn.XLOOKUP(CustomerCombinedCleaned[[#This Row],[ID]], Table4[ID], Table4[Meats], "Not Found", 0)</f>
        <v>320</v>
      </c>
      <c r="N2034" s="16">
        <f>_xlfn.XLOOKUP(CustomerCombinedCleaned[[#This Row],[ID]], Table4[ID], Table4[Seafood], "Not Found", 0)</f>
        <v>50</v>
      </c>
      <c r="O2034" s="16">
        <f>_xlfn.XLOOKUP(CustomerCombinedCleaned[[#This Row],[ID]], Table4[ID], Table4[Sweets], "Not Found", 0)</f>
        <v>20</v>
      </c>
      <c r="P2034" s="16">
        <f>_xlfn.XLOOKUP(CustomerCombinedCleaned[[#This Row],[ID]], Table4[ID], Table4[Premium], "Not Found", 0)</f>
        <v>50</v>
      </c>
      <c r="Q2034" s="16">
        <f>_xlfn.XLOOKUP(CustomerCombinedCleaned[[#This Row],[ID]], Table4[ID], Table4[Regular], "Not Found", 0)</f>
        <v>693</v>
      </c>
      <c r="R2034" s="16">
        <f>_xlfn.XLOOKUP(CustomerCombinedCleaned[[#This Row],[ID]], Table4[ID], Table4[Deals], "Not Found", 0)</f>
        <v>6</v>
      </c>
      <c r="S2034" s="16">
        <f>_xlfn.XLOOKUP(CustomerCombinedCleaned[[#This Row],[ID]], Table4[ID], Table4[Website], "Not Found", 0)</f>
        <v>4</v>
      </c>
      <c r="T2034" s="16">
        <f>_xlfn.XLOOKUP(CustomerCombinedCleaned[[#This Row],[ID]], Table4[ID], Table4[Catalog], "Not Found", 0)</f>
        <v>1</v>
      </c>
      <c r="U2034" s="16">
        <f>_xlfn.XLOOKUP(CustomerCombinedCleaned[[#This Row],[ID]], Table4[ID], Table4[Store], "Not Found", 0)</f>
        <v>5</v>
      </c>
      <c r="V2034" s="16">
        <f>_xlfn.XLOOKUP(CustomerCombinedCleaned[[#This Row],[ID]], Table4[ID], Table4[Visits], "Not Found", 0)</f>
        <v>8</v>
      </c>
      <c r="W2034" s="16">
        <f>_xlfn.XLOOKUP(CustomerCombinedCleaned[[#This Row],[ID]], Table2[ID],Table2[Complaint], "Not Found", 0 )</f>
        <v>0</v>
      </c>
      <c r="X2034" s="16">
        <f>_xlfn.XLOOKUP(CustomerCombinedCleaned[[#This Row],[ID]], Table2[ID],Table2[Pilot], "Not Found", 0 )</f>
        <v>0</v>
      </c>
      <c r="Y2034" s="16">
        <f>_xlfn.XLOOKUP(CustomerCombinedCleaned[[#This Row],[ID]], Table2[ID],Table2[MC1], "Not Found", 0 )</f>
        <v>0</v>
      </c>
      <c r="Z2034" s="16">
        <f>_xlfn.XLOOKUP(CustomerCombinedCleaned[[#This Row],[ID]], Table2[ID],Table2[MC2], "Not Found", 0 )</f>
        <v>0</v>
      </c>
      <c r="AA2034" s="16">
        <f>_xlfn.XLOOKUP(CustomerCombinedCleaned[[#This Row],[ID]], Table2[ID],Table2[MC3], "Not Found", 0 )</f>
        <v>0</v>
      </c>
      <c r="AB2034" s="16">
        <f>_xlfn.XLOOKUP(CustomerCombinedCleaned[[#This Row],[ID]], Table2[ID],Table2[MC4], "Not Found", 0 )</f>
        <v>0</v>
      </c>
      <c r="AC2034" s="16">
        <f>_xlfn.XLOOKUP(CustomerCombinedCleaned[[#This Row],[ID]], Table2[ID],Table2[MC5], "Not Found", 0 )</f>
        <v>0</v>
      </c>
    </row>
    <row r="2035" spans="1:29" x14ac:dyDescent="0.3">
      <c r="A2035" s="18">
        <v>2938</v>
      </c>
      <c r="B2035" s="16">
        <v>140887</v>
      </c>
      <c r="C2035" s="16">
        <v>1</v>
      </c>
      <c r="D2035" s="16">
        <v>1</v>
      </c>
      <c r="E2035" s="16">
        <v>68</v>
      </c>
      <c r="F2035" s="17" t="s">
        <v>7</v>
      </c>
      <c r="G2035" s="17" t="s">
        <v>11</v>
      </c>
      <c r="H2035" s="3" t="s">
        <v>635</v>
      </c>
      <c r="I2035" s="5" t="s">
        <v>439</v>
      </c>
      <c r="J2035" s="16">
        <f>_xlfn.XLOOKUP(CustomerCombinedCleaned[[#This Row],[ID]], Table4[ID], Table4[Recency], "Not Found", 0)</f>
        <v>32</v>
      </c>
      <c r="K2035" s="16">
        <f>_xlfn.XLOOKUP(CustomerCombinedCleaned[[#This Row],[ID]], Table4[ID], Table4[Teas], "Not Found", 0)</f>
        <v>172</v>
      </c>
      <c r="L2035" s="16">
        <f>_xlfn.XLOOKUP(CustomerCombinedCleaned[[#This Row],[ID]], Table4[ID], Table4[Fruits], "Not Found", 0)</f>
        <v>14</v>
      </c>
      <c r="M2035" s="16">
        <f>_xlfn.XLOOKUP(CustomerCombinedCleaned[[#This Row],[ID]], Table4[ID], Table4[Meats], "Not Found", 0)</f>
        <v>152</v>
      </c>
      <c r="N2035" s="16">
        <f>_xlfn.XLOOKUP(CustomerCombinedCleaned[[#This Row],[ID]], Table4[ID], Table4[Seafood], "Not Found", 0)</f>
        <v>34</v>
      </c>
      <c r="O2035" s="16">
        <f>_xlfn.XLOOKUP(CustomerCombinedCleaned[[#This Row],[ID]], Table4[ID], Table4[Sweets], "Not Found", 0)</f>
        <v>34</v>
      </c>
      <c r="P2035" s="16">
        <f>_xlfn.XLOOKUP(CustomerCombinedCleaned[[#This Row],[ID]], Table4[ID], Table4[Premium], "Not Found", 0)</f>
        <v>148</v>
      </c>
      <c r="Q2035" s="16">
        <f>_xlfn.XLOOKUP(CustomerCombinedCleaned[[#This Row],[ID]], Table4[ID], Table4[Regular], "Not Found", 0)</f>
        <v>258</v>
      </c>
      <c r="R2035" s="16">
        <f>_xlfn.XLOOKUP(CustomerCombinedCleaned[[#This Row],[ID]], Table4[ID], Table4[Deals], "Not Found", 0)</f>
        <v>3</v>
      </c>
      <c r="S2035" s="16">
        <f>_xlfn.XLOOKUP(CustomerCombinedCleaned[[#This Row],[ID]], Table4[ID], Table4[Website], "Not Found", 0)</f>
        <v>3</v>
      </c>
      <c r="T2035" s="16">
        <f>_xlfn.XLOOKUP(CustomerCombinedCleaned[[#This Row],[ID]], Table4[ID], Table4[Catalog], "Not Found", 0)</f>
        <v>1</v>
      </c>
      <c r="U2035" s="16">
        <f>_xlfn.XLOOKUP(CustomerCombinedCleaned[[#This Row],[ID]], Table4[ID], Table4[Store], "Not Found", 0)</f>
        <v>3</v>
      </c>
      <c r="V2035" s="16">
        <f>_xlfn.XLOOKUP(CustomerCombinedCleaned[[#This Row],[ID]], Table4[ID], Table4[Visits], "Not Found", 0)</f>
        <v>9</v>
      </c>
      <c r="W2035" s="16">
        <f>_xlfn.XLOOKUP(CustomerCombinedCleaned[[#This Row],[ID]], Table2[ID],Table2[Complaint], "Not Found", 0 )</f>
        <v>0</v>
      </c>
      <c r="X2035" s="16">
        <f>_xlfn.XLOOKUP(CustomerCombinedCleaned[[#This Row],[ID]], Table2[ID],Table2[Pilot], "Not Found", 0 )</f>
        <v>1</v>
      </c>
      <c r="Y2035" s="16">
        <f>_xlfn.XLOOKUP(CustomerCombinedCleaned[[#This Row],[ID]], Table2[ID],Table2[MC1], "Not Found", 0 )</f>
        <v>0</v>
      </c>
      <c r="Z2035" s="16">
        <f>_xlfn.XLOOKUP(CustomerCombinedCleaned[[#This Row],[ID]], Table2[ID],Table2[MC2], "Not Found", 0 )</f>
        <v>0</v>
      </c>
      <c r="AA2035" s="16">
        <f>_xlfn.XLOOKUP(CustomerCombinedCleaned[[#This Row],[ID]], Table2[ID],Table2[MC3], "Not Found", 0 )</f>
        <v>0</v>
      </c>
      <c r="AB2035" s="16">
        <f>_xlfn.XLOOKUP(CustomerCombinedCleaned[[#This Row],[ID]], Table2[ID],Table2[MC4], "Not Found", 0 )</f>
        <v>0</v>
      </c>
      <c r="AC2035" s="16">
        <f>_xlfn.XLOOKUP(CustomerCombinedCleaned[[#This Row],[ID]], Table2[ID],Table2[MC5], "Not Found", 0 )</f>
        <v>0</v>
      </c>
    </row>
    <row r="2036" spans="1:29" x14ac:dyDescent="0.3">
      <c r="A2036" s="18">
        <v>2562</v>
      </c>
      <c r="B2036" s="16">
        <v>140442</v>
      </c>
      <c r="C2036" s="16">
        <v>1</v>
      </c>
      <c r="D2036" s="16">
        <v>1</v>
      </c>
      <c r="E2036" s="16">
        <v>68</v>
      </c>
      <c r="F2036" s="17" t="s">
        <v>8</v>
      </c>
      <c r="G2036" s="17" t="s">
        <v>12</v>
      </c>
      <c r="H2036" s="3" t="s">
        <v>409</v>
      </c>
      <c r="I2036" s="5" t="s">
        <v>436</v>
      </c>
      <c r="J2036" s="16">
        <f>_xlfn.XLOOKUP(CustomerCombinedCleaned[[#This Row],[ID]], Table4[ID], Table4[Recency], "Not Found", 0)</f>
        <v>52</v>
      </c>
      <c r="K2036" s="16">
        <f>_xlfn.XLOOKUP(CustomerCombinedCleaned[[#This Row],[ID]], Table4[ID], Table4[Teas], "Not Found", 0)</f>
        <v>156</v>
      </c>
      <c r="L2036" s="16">
        <f>_xlfn.XLOOKUP(CustomerCombinedCleaned[[#This Row],[ID]], Table4[ID], Table4[Fruits], "Not Found", 0)</f>
        <v>42</v>
      </c>
      <c r="M2036" s="16">
        <f>_xlfn.XLOOKUP(CustomerCombinedCleaned[[#This Row],[ID]], Table4[ID], Table4[Meats], "Not Found", 0)</f>
        <v>181</v>
      </c>
      <c r="N2036" s="16">
        <f>_xlfn.XLOOKUP(CustomerCombinedCleaned[[#This Row],[ID]], Table4[ID], Table4[Seafood], "Not Found", 0)</f>
        <v>87</v>
      </c>
      <c r="O2036" s="16">
        <f>_xlfn.XLOOKUP(CustomerCombinedCleaned[[#This Row],[ID]], Table4[ID], Table4[Sweets], "Not Found", 0)</f>
        <v>76</v>
      </c>
      <c r="P2036" s="16">
        <f>_xlfn.XLOOKUP(CustomerCombinedCleaned[[#This Row],[ID]], Table4[ID], Table4[Premium], "Not Found", 0)</f>
        <v>45</v>
      </c>
      <c r="Q2036" s="16">
        <f>_xlfn.XLOOKUP(CustomerCombinedCleaned[[#This Row],[ID]], Table4[ID], Table4[Regular], "Not Found", 0)</f>
        <v>497</v>
      </c>
      <c r="R2036" s="16">
        <f>_xlfn.XLOOKUP(CustomerCombinedCleaned[[#This Row],[ID]], Table4[ID], Table4[Deals], "Not Found", 0)</f>
        <v>4</v>
      </c>
      <c r="S2036" s="16">
        <f>_xlfn.XLOOKUP(CustomerCombinedCleaned[[#This Row],[ID]], Table4[ID], Table4[Website], "Not Found", 0)</f>
        <v>3</v>
      </c>
      <c r="T2036" s="16">
        <f>_xlfn.XLOOKUP(CustomerCombinedCleaned[[#This Row],[ID]], Table4[ID], Table4[Catalog], "Not Found", 0)</f>
        <v>1</v>
      </c>
      <c r="U2036" s="16">
        <f>_xlfn.XLOOKUP(CustomerCombinedCleaned[[#This Row],[ID]], Table4[ID], Table4[Store], "Not Found", 0)</f>
        <v>4</v>
      </c>
      <c r="V2036" s="16">
        <f>_xlfn.XLOOKUP(CustomerCombinedCleaned[[#This Row],[ID]], Table4[ID], Table4[Visits], "Not Found", 0)</f>
        <v>7</v>
      </c>
      <c r="W2036" s="16">
        <f>_xlfn.XLOOKUP(CustomerCombinedCleaned[[#This Row],[ID]], Table2[ID],Table2[Complaint], "Not Found", 0 )</f>
        <v>0</v>
      </c>
      <c r="X2036" s="16">
        <f>_xlfn.XLOOKUP(CustomerCombinedCleaned[[#This Row],[ID]], Table2[ID],Table2[Pilot], "Not Found", 0 )</f>
        <v>1</v>
      </c>
      <c r="Y2036" s="16">
        <f>_xlfn.XLOOKUP(CustomerCombinedCleaned[[#This Row],[ID]], Table2[ID],Table2[MC1], "Not Found", 0 )</f>
        <v>0</v>
      </c>
      <c r="Z2036" s="16">
        <f>_xlfn.XLOOKUP(CustomerCombinedCleaned[[#This Row],[ID]], Table2[ID],Table2[MC2], "Not Found", 0 )</f>
        <v>0</v>
      </c>
      <c r="AA2036" s="16">
        <f>_xlfn.XLOOKUP(CustomerCombinedCleaned[[#This Row],[ID]], Table2[ID],Table2[MC3], "Not Found", 0 )</f>
        <v>0</v>
      </c>
      <c r="AB2036" s="16">
        <f>_xlfn.XLOOKUP(CustomerCombinedCleaned[[#This Row],[ID]], Table2[ID],Table2[MC4], "Not Found", 0 )</f>
        <v>0</v>
      </c>
      <c r="AC2036" s="16">
        <f>_xlfn.XLOOKUP(CustomerCombinedCleaned[[#This Row],[ID]], Table2[ID],Table2[MC5], "Not Found", 0 )</f>
        <v>0</v>
      </c>
    </row>
    <row r="2037" spans="1:29" x14ac:dyDescent="0.3">
      <c r="A2037" s="18">
        <v>2318</v>
      </c>
      <c r="B2037" s="16">
        <v>140049</v>
      </c>
      <c r="C2037" s="16">
        <v>0</v>
      </c>
      <c r="D2037" s="16">
        <v>1</v>
      </c>
      <c r="E2037" s="16">
        <v>68</v>
      </c>
      <c r="F2037" s="17" t="s">
        <v>9</v>
      </c>
      <c r="G2037" s="17" t="s">
        <v>11</v>
      </c>
      <c r="H2037" s="3" t="s">
        <v>166</v>
      </c>
      <c r="I2037" s="5" t="s">
        <v>438</v>
      </c>
      <c r="J2037" s="16">
        <f>_xlfn.XLOOKUP(CustomerCombinedCleaned[[#This Row],[ID]], Table4[ID], Table4[Recency], "Not Found", 0)</f>
        <v>23</v>
      </c>
      <c r="K2037" s="16">
        <f>_xlfn.XLOOKUP(CustomerCombinedCleaned[[#This Row],[ID]], Table4[ID], Table4[Teas], "Not Found", 0)</f>
        <v>45</v>
      </c>
      <c r="L2037" s="16">
        <f>_xlfn.XLOOKUP(CustomerCombinedCleaned[[#This Row],[ID]], Table4[ID], Table4[Fruits], "Not Found", 0)</f>
        <v>21</v>
      </c>
      <c r="M2037" s="16">
        <f>_xlfn.XLOOKUP(CustomerCombinedCleaned[[#This Row],[ID]], Table4[ID], Table4[Meats], "Not Found", 0)</f>
        <v>24</v>
      </c>
      <c r="N2037" s="16">
        <f>_xlfn.XLOOKUP(CustomerCombinedCleaned[[#This Row],[ID]], Table4[ID], Table4[Seafood], "Not Found", 0)</f>
        <v>0</v>
      </c>
      <c r="O2037" s="16">
        <f>_xlfn.XLOOKUP(CustomerCombinedCleaned[[#This Row],[ID]], Table4[ID], Table4[Sweets], "Not Found", 0)</f>
        <v>10</v>
      </c>
      <c r="P2037" s="16">
        <f>_xlfn.XLOOKUP(CustomerCombinedCleaned[[#This Row],[ID]], Table4[ID], Table4[Premium], "Not Found", 0)</f>
        <v>10</v>
      </c>
      <c r="Q2037" s="16">
        <f>_xlfn.XLOOKUP(CustomerCombinedCleaned[[#This Row],[ID]], Table4[ID], Table4[Regular], "Not Found", 0)</f>
        <v>91</v>
      </c>
      <c r="R2037" s="16">
        <f>_xlfn.XLOOKUP(CustomerCombinedCleaned[[#This Row],[ID]], Table4[ID], Table4[Deals], "Not Found", 0)</f>
        <v>1</v>
      </c>
      <c r="S2037" s="16">
        <f>_xlfn.XLOOKUP(CustomerCombinedCleaned[[#This Row],[ID]], Table4[ID], Table4[Website], "Not Found", 0)</f>
        <v>1</v>
      </c>
      <c r="T2037" s="16">
        <f>_xlfn.XLOOKUP(CustomerCombinedCleaned[[#This Row],[ID]], Table4[ID], Table4[Catalog], "Not Found", 0)</f>
        <v>0</v>
      </c>
      <c r="U2037" s="16">
        <f>_xlfn.XLOOKUP(CustomerCombinedCleaned[[#This Row],[ID]], Table4[ID], Table4[Store], "Not Found", 0)</f>
        <v>3</v>
      </c>
      <c r="V2037" s="16">
        <f>_xlfn.XLOOKUP(CustomerCombinedCleaned[[#This Row],[ID]], Table4[ID], Table4[Visits], "Not Found", 0)</f>
        <v>6</v>
      </c>
      <c r="W2037" s="16">
        <f>_xlfn.XLOOKUP(CustomerCombinedCleaned[[#This Row],[ID]], Table2[ID],Table2[Complaint], "Not Found", 0 )</f>
        <v>0</v>
      </c>
      <c r="X2037" s="16">
        <f>_xlfn.XLOOKUP(CustomerCombinedCleaned[[#This Row],[ID]], Table2[ID],Table2[Pilot], "Not Found", 0 )</f>
        <v>0</v>
      </c>
      <c r="Y2037" s="16">
        <f>_xlfn.XLOOKUP(CustomerCombinedCleaned[[#This Row],[ID]], Table2[ID],Table2[MC1], "Not Found", 0 )</f>
        <v>0</v>
      </c>
      <c r="Z2037" s="16">
        <f>_xlfn.XLOOKUP(CustomerCombinedCleaned[[#This Row],[ID]], Table2[ID],Table2[MC2], "Not Found", 0 )</f>
        <v>0</v>
      </c>
      <c r="AA2037" s="16">
        <f>_xlfn.XLOOKUP(CustomerCombinedCleaned[[#This Row],[ID]], Table2[ID],Table2[MC3], "Not Found", 0 )</f>
        <v>0</v>
      </c>
      <c r="AB2037" s="16">
        <f>_xlfn.XLOOKUP(CustomerCombinedCleaned[[#This Row],[ID]], Table2[ID],Table2[MC4], "Not Found", 0 )</f>
        <v>0</v>
      </c>
      <c r="AC2037" s="16">
        <f>_xlfn.XLOOKUP(CustomerCombinedCleaned[[#This Row],[ID]], Table2[ID],Table2[MC5], "Not Found", 0 )</f>
        <v>0</v>
      </c>
    </row>
    <row r="2038" spans="1:29" x14ac:dyDescent="0.3">
      <c r="A2038" s="18">
        <v>1959</v>
      </c>
      <c r="B2038" s="16">
        <v>135704</v>
      </c>
      <c r="C2038" s="16">
        <v>1</v>
      </c>
      <c r="D2038" s="16">
        <v>1</v>
      </c>
      <c r="E2038" s="16">
        <v>68</v>
      </c>
      <c r="F2038" s="17" t="s">
        <v>6</v>
      </c>
      <c r="G2038" s="17" t="s">
        <v>11</v>
      </c>
      <c r="H2038" s="3" t="s">
        <v>551</v>
      </c>
      <c r="I2038" s="5" t="s">
        <v>435</v>
      </c>
      <c r="J2038" s="16">
        <f>_xlfn.XLOOKUP(CustomerCombinedCleaned[[#This Row],[ID]], Table4[ID], Table4[Recency], "Not Found", 0)</f>
        <v>54</v>
      </c>
      <c r="K2038" s="16">
        <f>_xlfn.XLOOKUP(CustomerCombinedCleaned[[#This Row],[ID]], Table4[ID], Table4[Teas], "Not Found", 0)</f>
        <v>114</v>
      </c>
      <c r="L2038" s="16">
        <f>_xlfn.XLOOKUP(CustomerCombinedCleaned[[#This Row],[ID]], Table4[ID], Table4[Fruits], "Not Found", 0)</f>
        <v>34</v>
      </c>
      <c r="M2038" s="16">
        <f>_xlfn.XLOOKUP(CustomerCombinedCleaned[[#This Row],[ID]], Table4[ID], Table4[Meats], "Not Found", 0)</f>
        <v>46</v>
      </c>
      <c r="N2038" s="16">
        <f>_xlfn.XLOOKUP(CustomerCombinedCleaned[[#This Row],[ID]], Table4[ID], Table4[Seafood], "Not Found", 0)</f>
        <v>8</v>
      </c>
      <c r="O2038" s="16">
        <f>_xlfn.XLOOKUP(CustomerCombinedCleaned[[#This Row],[ID]], Table4[ID], Table4[Sweets], "Not Found", 0)</f>
        <v>42</v>
      </c>
      <c r="P2038" s="16">
        <f>_xlfn.XLOOKUP(CustomerCombinedCleaned[[#This Row],[ID]], Table4[ID], Table4[Premium], "Not Found", 0)</f>
        <v>114</v>
      </c>
      <c r="Q2038" s="16">
        <f>_xlfn.XLOOKUP(CustomerCombinedCleaned[[#This Row],[ID]], Table4[ID], Table4[Regular], "Not Found", 0)</f>
        <v>129</v>
      </c>
      <c r="R2038" s="16">
        <f>_xlfn.XLOOKUP(CustomerCombinedCleaned[[#This Row],[ID]], Table4[ID], Table4[Deals], "Not Found", 0)</f>
        <v>3</v>
      </c>
      <c r="S2038" s="16">
        <f>_xlfn.XLOOKUP(CustomerCombinedCleaned[[#This Row],[ID]], Table4[ID], Table4[Website], "Not Found", 0)</f>
        <v>2</v>
      </c>
      <c r="T2038" s="16">
        <f>_xlfn.XLOOKUP(CustomerCombinedCleaned[[#This Row],[ID]], Table4[ID], Table4[Catalog], "Not Found", 0)</f>
        <v>0</v>
      </c>
      <c r="U2038" s="16">
        <f>_xlfn.XLOOKUP(CustomerCombinedCleaned[[#This Row],[ID]], Table4[ID], Table4[Store], "Not Found", 0)</f>
        <v>4</v>
      </c>
      <c r="V2038" s="16">
        <f>_xlfn.XLOOKUP(CustomerCombinedCleaned[[#This Row],[ID]], Table4[ID], Table4[Visits], "Not Found", 0)</f>
        <v>4</v>
      </c>
      <c r="W2038" s="16">
        <f>_xlfn.XLOOKUP(CustomerCombinedCleaned[[#This Row],[ID]], Table2[ID],Table2[Complaint], "Not Found", 0 )</f>
        <v>0</v>
      </c>
      <c r="X2038" s="16">
        <f>_xlfn.XLOOKUP(CustomerCombinedCleaned[[#This Row],[ID]], Table2[ID],Table2[Pilot], "Not Found", 0 )</f>
        <v>0</v>
      </c>
      <c r="Y2038" s="16">
        <f>_xlfn.XLOOKUP(CustomerCombinedCleaned[[#This Row],[ID]], Table2[ID],Table2[MC1], "Not Found", 0 )</f>
        <v>0</v>
      </c>
      <c r="Z2038" s="16">
        <f>_xlfn.XLOOKUP(CustomerCombinedCleaned[[#This Row],[ID]], Table2[ID],Table2[MC2], "Not Found", 0 )</f>
        <v>0</v>
      </c>
      <c r="AA2038" s="16">
        <f>_xlfn.XLOOKUP(CustomerCombinedCleaned[[#This Row],[ID]], Table2[ID],Table2[MC3], "Not Found", 0 )</f>
        <v>0</v>
      </c>
      <c r="AB2038" s="16">
        <f>_xlfn.XLOOKUP(CustomerCombinedCleaned[[#This Row],[ID]], Table2[ID],Table2[MC4], "Not Found", 0 )</f>
        <v>0</v>
      </c>
      <c r="AC2038" s="16">
        <f>_xlfn.XLOOKUP(CustomerCombinedCleaned[[#This Row],[ID]], Table2[ID],Table2[MC5], "Not Found", 0 )</f>
        <v>0</v>
      </c>
    </row>
    <row r="2039" spans="1:29" x14ac:dyDescent="0.3">
      <c r="A2039" s="18">
        <v>2769</v>
      </c>
      <c r="B2039" s="16">
        <v>134074</v>
      </c>
      <c r="C2039" s="16">
        <v>1</v>
      </c>
      <c r="D2039" s="16">
        <v>1</v>
      </c>
      <c r="E2039" s="16">
        <v>68</v>
      </c>
      <c r="F2039" s="17" t="s">
        <v>8</v>
      </c>
      <c r="G2039" s="17" t="s">
        <v>11</v>
      </c>
      <c r="H2039" s="3" t="s">
        <v>223</v>
      </c>
      <c r="I2039" s="5" t="s">
        <v>435</v>
      </c>
      <c r="J2039" s="16">
        <f>_xlfn.XLOOKUP(CustomerCombinedCleaned[[#This Row],[ID]], Table4[ID], Table4[Recency], "Not Found", 0)</f>
        <v>69</v>
      </c>
      <c r="K2039" s="16">
        <f>_xlfn.XLOOKUP(CustomerCombinedCleaned[[#This Row],[ID]], Table4[ID], Table4[Teas], "Not Found", 0)</f>
        <v>531</v>
      </c>
      <c r="L2039" s="16">
        <f>_xlfn.XLOOKUP(CustomerCombinedCleaned[[#This Row],[ID]], Table4[ID], Table4[Fruits], "Not Found", 0)</f>
        <v>4</v>
      </c>
      <c r="M2039" s="16">
        <f>_xlfn.XLOOKUP(CustomerCombinedCleaned[[#This Row],[ID]], Table4[ID], Table4[Meats], "Not Found", 0)</f>
        <v>161</v>
      </c>
      <c r="N2039" s="16">
        <f>_xlfn.XLOOKUP(CustomerCombinedCleaned[[#This Row],[ID]], Table4[ID], Table4[Seafood], "Not Found", 0)</f>
        <v>39</v>
      </c>
      <c r="O2039" s="16">
        <f>_xlfn.XLOOKUP(CustomerCombinedCleaned[[#This Row],[ID]], Table4[ID], Table4[Sweets], "Not Found", 0)</f>
        <v>4</v>
      </c>
      <c r="P2039" s="16">
        <f>_xlfn.XLOOKUP(CustomerCombinedCleaned[[#This Row],[ID]], Table4[ID], Table4[Premium], "Not Found", 0)</f>
        <v>264</v>
      </c>
      <c r="Q2039" s="16">
        <f>_xlfn.XLOOKUP(CustomerCombinedCleaned[[#This Row],[ID]], Table4[ID], Table4[Regular], "Not Found", 0)</f>
        <v>476</v>
      </c>
      <c r="R2039" s="16">
        <f>_xlfn.XLOOKUP(CustomerCombinedCleaned[[#This Row],[ID]], Table4[ID], Table4[Deals], "Not Found", 0)</f>
        <v>5</v>
      </c>
      <c r="S2039" s="16">
        <f>_xlfn.XLOOKUP(CustomerCombinedCleaned[[#This Row],[ID]], Table4[ID], Table4[Website], "Not Found", 0)</f>
        <v>3</v>
      </c>
      <c r="T2039" s="16">
        <f>_xlfn.XLOOKUP(CustomerCombinedCleaned[[#This Row],[ID]], Table4[ID], Table4[Catalog], "Not Found", 0)</f>
        <v>3</v>
      </c>
      <c r="U2039" s="16">
        <f>_xlfn.XLOOKUP(CustomerCombinedCleaned[[#This Row],[ID]], Table4[ID], Table4[Store], "Not Found", 0)</f>
        <v>3</v>
      </c>
      <c r="V2039" s="16">
        <f>_xlfn.XLOOKUP(CustomerCombinedCleaned[[#This Row],[ID]], Table4[ID], Table4[Visits], "Not Found", 0)</f>
        <v>6</v>
      </c>
      <c r="W2039" s="16">
        <f>_xlfn.XLOOKUP(CustomerCombinedCleaned[[#This Row],[ID]], Table2[ID],Table2[Complaint], "Not Found", 0 )</f>
        <v>0</v>
      </c>
      <c r="X2039" s="16">
        <f>_xlfn.XLOOKUP(CustomerCombinedCleaned[[#This Row],[ID]], Table2[ID],Table2[Pilot], "Not Found", 0 )</f>
        <v>0</v>
      </c>
      <c r="Y2039" s="16">
        <f>_xlfn.XLOOKUP(CustomerCombinedCleaned[[#This Row],[ID]], Table2[ID],Table2[MC1], "Not Found", 0 )</f>
        <v>0</v>
      </c>
      <c r="Z2039" s="16">
        <f>_xlfn.XLOOKUP(CustomerCombinedCleaned[[#This Row],[ID]], Table2[ID],Table2[MC2], "Not Found", 0 )</f>
        <v>0</v>
      </c>
      <c r="AA2039" s="16">
        <f>_xlfn.XLOOKUP(CustomerCombinedCleaned[[#This Row],[ID]], Table2[ID],Table2[MC3], "Not Found", 0 )</f>
        <v>1</v>
      </c>
      <c r="AB2039" s="16">
        <f>_xlfn.XLOOKUP(CustomerCombinedCleaned[[#This Row],[ID]], Table2[ID],Table2[MC4], "Not Found", 0 )</f>
        <v>0</v>
      </c>
      <c r="AC2039" s="16">
        <f>_xlfn.XLOOKUP(CustomerCombinedCleaned[[#This Row],[ID]], Table2[ID],Table2[MC5], "Not Found", 0 )</f>
        <v>0</v>
      </c>
    </row>
    <row r="2040" spans="1:29" x14ac:dyDescent="0.3">
      <c r="A2040" s="18">
        <v>2157</v>
      </c>
      <c r="B2040" s="16">
        <v>133444</v>
      </c>
      <c r="C2040" s="16">
        <v>1</v>
      </c>
      <c r="D2040" s="16">
        <v>1</v>
      </c>
      <c r="E2040" s="16">
        <v>68</v>
      </c>
      <c r="F2040" s="17" t="s">
        <v>6</v>
      </c>
      <c r="G2040" s="17" t="s">
        <v>12</v>
      </c>
      <c r="H2040" s="3" t="s">
        <v>742</v>
      </c>
      <c r="I2040" s="5" t="s">
        <v>435</v>
      </c>
      <c r="J2040" s="16">
        <f>_xlfn.XLOOKUP(CustomerCombinedCleaned[[#This Row],[ID]], Table4[ID], Table4[Recency], "Not Found", 0)</f>
        <v>24</v>
      </c>
      <c r="K2040" s="16">
        <f>_xlfn.XLOOKUP(CustomerCombinedCleaned[[#This Row],[ID]], Table4[ID], Table4[Teas], "Not Found", 0)</f>
        <v>32</v>
      </c>
      <c r="L2040" s="16">
        <f>_xlfn.XLOOKUP(CustomerCombinedCleaned[[#This Row],[ID]], Table4[ID], Table4[Fruits], "Not Found", 0)</f>
        <v>0</v>
      </c>
      <c r="M2040" s="16">
        <f>_xlfn.XLOOKUP(CustomerCombinedCleaned[[#This Row],[ID]], Table4[ID], Table4[Meats], "Not Found", 0)</f>
        <v>32</v>
      </c>
      <c r="N2040" s="16">
        <f>_xlfn.XLOOKUP(CustomerCombinedCleaned[[#This Row],[ID]], Table4[ID], Table4[Seafood], "Not Found", 0)</f>
        <v>0</v>
      </c>
      <c r="O2040" s="16">
        <f>_xlfn.XLOOKUP(CustomerCombinedCleaned[[#This Row],[ID]], Table4[ID], Table4[Sweets], "Not Found", 0)</f>
        <v>0</v>
      </c>
      <c r="P2040" s="16">
        <f>_xlfn.XLOOKUP(CustomerCombinedCleaned[[#This Row],[ID]], Table4[ID], Table4[Premium], "Not Found", 0)</f>
        <v>8</v>
      </c>
      <c r="Q2040" s="16">
        <f>_xlfn.XLOOKUP(CustomerCombinedCleaned[[#This Row],[ID]], Table4[ID], Table4[Regular], "Not Found", 0)</f>
        <v>56</v>
      </c>
      <c r="R2040" s="16">
        <f>_xlfn.XLOOKUP(CustomerCombinedCleaned[[#This Row],[ID]], Table4[ID], Table4[Deals], "Not Found", 0)</f>
        <v>1</v>
      </c>
      <c r="S2040" s="16">
        <f>_xlfn.XLOOKUP(CustomerCombinedCleaned[[#This Row],[ID]], Table4[ID], Table4[Website], "Not Found", 0)</f>
        <v>1</v>
      </c>
      <c r="T2040" s="16">
        <f>_xlfn.XLOOKUP(CustomerCombinedCleaned[[#This Row],[ID]], Table4[ID], Table4[Catalog], "Not Found", 0)</f>
        <v>0</v>
      </c>
      <c r="U2040" s="16">
        <f>_xlfn.XLOOKUP(CustomerCombinedCleaned[[#This Row],[ID]], Table4[ID], Table4[Store], "Not Found", 0)</f>
        <v>2</v>
      </c>
      <c r="V2040" s="16">
        <f>_xlfn.XLOOKUP(CustomerCombinedCleaned[[#This Row],[ID]], Table4[ID], Table4[Visits], "Not Found", 0)</f>
        <v>8</v>
      </c>
      <c r="W2040" s="16">
        <f>_xlfn.XLOOKUP(CustomerCombinedCleaned[[#This Row],[ID]], Table2[ID],Table2[Complaint], "Not Found", 0 )</f>
        <v>0</v>
      </c>
      <c r="X2040" s="16">
        <f>_xlfn.XLOOKUP(CustomerCombinedCleaned[[#This Row],[ID]], Table2[ID],Table2[Pilot], "Not Found", 0 )</f>
        <v>0</v>
      </c>
      <c r="Y2040" s="16">
        <f>_xlfn.XLOOKUP(CustomerCombinedCleaned[[#This Row],[ID]], Table2[ID],Table2[MC1], "Not Found", 0 )</f>
        <v>0</v>
      </c>
      <c r="Z2040" s="16">
        <f>_xlfn.XLOOKUP(CustomerCombinedCleaned[[#This Row],[ID]], Table2[ID],Table2[MC2], "Not Found", 0 )</f>
        <v>0</v>
      </c>
      <c r="AA2040" s="16">
        <f>_xlfn.XLOOKUP(CustomerCombinedCleaned[[#This Row],[ID]], Table2[ID],Table2[MC3], "Not Found", 0 )</f>
        <v>0</v>
      </c>
      <c r="AB2040" s="16">
        <f>_xlfn.XLOOKUP(CustomerCombinedCleaned[[#This Row],[ID]], Table2[ID],Table2[MC4], "Not Found", 0 )</f>
        <v>0</v>
      </c>
      <c r="AC2040" s="16">
        <f>_xlfn.XLOOKUP(CustomerCombinedCleaned[[#This Row],[ID]], Table2[ID],Table2[MC5], "Not Found", 0 )</f>
        <v>0</v>
      </c>
    </row>
    <row r="2041" spans="1:29" x14ac:dyDescent="0.3">
      <c r="A2041" s="18">
        <v>2416</v>
      </c>
      <c r="B2041" s="16">
        <v>133402</v>
      </c>
      <c r="C2041" s="16">
        <v>1</v>
      </c>
      <c r="D2041" s="16">
        <v>1</v>
      </c>
      <c r="E2041" s="16">
        <v>68</v>
      </c>
      <c r="F2041" s="17" t="s">
        <v>8</v>
      </c>
      <c r="G2041" s="17" t="s">
        <v>11</v>
      </c>
      <c r="H2041" s="3" t="s">
        <v>218</v>
      </c>
      <c r="I2041" s="5" t="s">
        <v>439</v>
      </c>
      <c r="J2041" s="16">
        <f>_xlfn.XLOOKUP(CustomerCombinedCleaned[[#This Row],[ID]], Table4[ID], Table4[Recency], "Not Found", 0)</f>
        <v>60</v>
      </c>
      <c r="K2041" s="16">
        <f>_xlfn.XLOOKUP(CustomerCombinedCleaned[[#This Row],[ID]], Table4[ID], Table4[Teas], "Not Found", 0)</f>
        <v>104</v>
      </c>
      <c r="L2041" s="16">
        <f>_xlfn.XLOOKUP(CustomerCombinedCleaned[[#This Row],[ID]], Table4[ID], Table4[Fruits], "Not Found", 0)</f>
        <v>8</v>
      </c>
      <c r="M2041" s="16">
        <f>_xlfn.XLOOKUP(CustomerCombinedCleaned[[#This Row],[ID]], Table4[ID], Table4[Meats], "Not Found", 0)</f>
        <v>76</v>
      </c>
      <c r="N2041" s="16">
        <f>_xlfn.XLOOKUP(CustomerCombinedCleaned[[#This Row],[ID]], Table4[ID], Table4[Seafood], "Not Found", 0)</f>
        <v>40</v>
      </c>
      <c r="O2041" s="16">
        <f>_xlfn.XLOOKUP(CustomerCombinedCleaned[[#This Row],[ID]], Table4[ID], Table4[Sweets], "Not Found", 0)</f>
        <v>20</v>
      </c>
      <c r="P2041" s="16">
        <f>_xlfn.XLOOKUP(CustomerCombinedCleaned[[#This Row],[ID]], Table4[ID], Table4[Premium], "Not Found", 0)</f>
        <v>32</v>
      </c>
      <c r="Q2041" s="16">
        <f>_xlfn.XLOOKUP(CustomerCombinedCleaned[[#This Row],[ID]], Table4[ID], Table4[Regular], "Not Found", 0)</f>
        <v>216</v>
      </c>
      <c r="R2041" s="16">
        <f>_xlfn.XLOOKUP(CustomerCombinedCleaned[[#This Row],[ID]], Table4[ID], Table4[Deals], "Not Found", 0)</f>
        <v>3</v>
      </c>
      <c r="S2041" s="16">
        <f>_xlfn.XLOOKUP(CustomerCombinedCleaned[[#This Row],[ID]], Table4[ID], Table4[Website], "Not Found", 0)</f>
        <v>2</v>
      </c>
      <c r="T2041" s="16">
        <f>_xlfn.XLOOKUP(CustomerCombinedCleaned[[#This Row],[ID]], Table4[ID], Table4[Catalog], "Not Found", 0)</f>
        <v>1</v>
      </c>
      <c r="U2041" s="16">
        <f>_xlfn.XLOOKUP(CustomerCombinedCleaned[[#This Row],[ID]], Table4[ID], Table4[Store], "Not Found", 0)</f>
        <v>3</v>
      </c>
      <c r="V2041" s="16">
        <f>_xlfn.XLOOKUP(CustomerCombinedCleaned[[#This Row],[ID]], Table4[ID], Table4[Visits], "Not Found", 0)</f>
        <v>8</v>
      </c>
      <c r="W2041" s="16">
        <f>_xlfn.XLOOKUP(CustomerCombinedCleaned[[#This Row],[ID]], Table2[ID],Table2[Complaint], "Not Found", 0 )</f>
        <v>0</v>
      </c>
      <c r="X2041" s="16">
        <f>_xlfn.XLOOKUP(CustomerCombinedCleaned[[#This Row],[ID]], Table2[ID],Table2[Pilot], "Not Found", 0 )</f>
        <v>0</v>
      </c>
      <c r="Y2041" s="16">
        <f>_xlfn.XLOOKUP(CustomerCombinedCleaned[[#This Row],[ID]], Table2[ID],Table2[MC1], "Not Found", 0 )</f>
        <v>0</v>
      </c>
      <c r="Z2041" s="16">
        <f>_xlfn.XLOOKUP(CustomerCombinedCleaned[[#This Row],[ID]], Table2[ID],Table2[MC2], "Not Found", 0 )</f>
        <v>0</v>
      </c>
      <c r="AA2041" s="16">
        <f>_xlfn.XLOOKUP(CustomerCombinedCleaned[[#This Row],[ID]], Table2[ID],Table2[MC3], "Not Found", 0 )</f>
        <v>0</v>
      </c>
      <c r="AB2041" s="16">
        <f>_xlfn.XLOOKUP(CustomerCombinedCleaned[[#This Row],[ID]], Table2[ID],Table2[MC4], "Not Found", 0 )</f>
        <v>0</v>
      </c>
      <c r="AC2041" s="16">
        <f>_xlfn.XLOOKUP(CustomerCombinedCleaned[[#This Row],[ID]], Table2[ID],Table2[MC5], "Not Found", 0 )</f>
        <v>0</v>
      </c>
    </row>
    <row r="2042" spans="1:29" x14ac:dyDescent="0.3">
      <c r="A2042" s="18">
        <v>1473</v>
      </c>
      <c r="B2042" s="16">
        <v>128457</v>
      </c>
      <c r="C2042" s="16">
        <v>0</v>
      </c>
      <c r="D2042" s="16">
        <v>0</v>
      </c>
      <c r="E2042" s="16">
        <v>68</v>
      </c>
      <c r="F2042" s="17" t="s">
        <v>9</v>
      </c>
      <c r="G2042" s="17" t="s">
        <v>11</v>
      </c>
      <c r="H2042" s="3" t="s">
        <v>756</v>
      </c>
      <c r="I2042" s="5" t="s">
        <v>435</v>
      </c>
      <c r="J2042" s="16">
        <f>_xlfn.XLOOKUP(CustomerCombinedCleaned[[#This Row],[ID]], Table4[ID], Table4[Recency], "Not Found", 0)</f>
        <v>96</v>
      </c>
      <c r="K2042" s="16">
        <f>_xlfn.XLOOKUP(CustomerCombinedCleaned[[#This Row],[ID]], Table4[ID], Table4[Teas], "Not Found", 0)</f>
        <v>108</v>
      </c>
      <c r="L2042" s="16">
        <f>_xlfn.XLOOKUP(CustomerCombinedCleaned[[#This Row],[ID]], Table4[ID], Table4[Fruits], "Not Found", 0)</f>
        <v>5</v>
      </c>
      <c r="M2042" s="16">
        <f>_xlfn.XLOOKUP(CustomerCombinedCleaned[[#This Row],[ID]], Table4[ID], Table4[Meats], "Not Found", 0)</f>
        <v>488</v>
      </c>
      <c r="N2042" s="16">
        <f>_xlfn.XLOOKUP(CustomerCombinedCleaned[[#This Row],[ID]], Table4[ID], Table4[Seafood], "Not Found", 0)</f>
        <v>131</v>
      </c>
      <c r="O2042" s="16">
        <f>_xlfn.XLOOKUP(CustomerCombinedCleaned[[#This Row],[ID]], Table4[ID], Table4[Sweets], "Not Found", 0)</f>
        <v>131</v>
      </c>
      <c r="P2042" s="16">
        <f>_xlfn.XLOOKUP(CustomerCombinedCleaned[[#This Row],[ID]], Table4[ID], Table4[Premium], "Not Found", 0)</f>
        <v>63</v>
      </c>
      <c r="Q2042" s="16">
        <f>_xlfn.XLOOKUP(CustomerCombinedCleaned[[#This Row],[ID]], Table4[ID], Table4[Regular], "Not Found", 0)</f>
        <v>799</v>
      </c>
      <c r="R2042" s="16">
        <f>_xlfn.XLOOKUP(CustomerCombinedCleaned[[#This Row],[ID]], Table4[ID], Table4[Deals], "Not Found", 0)</f>
        <v>1</v>
      </c>
      <c r="S2042" s="16">
        <f>_xlfn.XLOOKUP(CustomerCombinedCleaned[[#This Row],[ID]], Table4[ID], Table4[Website], "Not Found", 0)</f>
        <v>4</v>
      </c>
      <c r="T2042" s="16">
        <f>_xlfn.XLOOKUP(CustomerCombinedCleaned[[#This Row],[ID]], Table4[ID], Table4[Catalog], "Not Found", 0)</f>
        <v>1</v>
      </c>
      <c r="U2042" s="16">
        <f>_xlfn.XLOOKUP(CustomerCombinedCleaned[[#This Row],[ID]], Table4[ID], Table4[Store], "Not Found", 0)</f>
        <v>4</v>
      </c>
      <c r="V2042" s="16">
        <f>_xlfn.XLOOKUP(CustomerCombinedCleaned[[#This Row],[ID]], Table4[ID], Table4[Visits], "Not Found", 0)</f>
        <v>8</v>
      </c>
      <c r="W2042" s="16">
        <f>_xlfn.XLOOKUP(CustomerCombinedCleaned[[#This Row],[ID]], Table2[ID],Table2[Complaint], "Not Found", 0 )</f>
        <v>0</v>
      </c>
      <c r="X2042" s="16">
        <f>_xlfn.XLOOKUP(CustomerCombinedCleaned[[#This Row],[ID]], Table2[ID],Table2[Pilot], "Not Found", 0 )</f>
        <v>0</v>
      </c>
      <c r="Y2042" s="16">
        <f>_xlfn.XLOOKUP(CustomerCombinedCleaned[[#This Row],[ID]], Table2[ID],Table2[MC1], "Not Found", 0 )</f>
        <v>0</v>
      </c>
      <c r="Z2042" s="16">
        <f>_xlfn.XLOOKUP(CustomerCombinedCleaned[[#This Row],[ID]], Table2[ID],Table2[MC2], "Not Found", 0 )</f>
        <v>0</v>
      </c>
      <c r="AA2042" s="16">
        <f>_xlfn.XLOOKUP(CustomerCombinedCleaned[[#This Row],[ID]], Table2[ID],Table2[MC3], "Not Found", 0 )</f>
        <v>0</v>
      </c>
      <c r="AB2042" s="16">
        <f>_xlfn.XLOOKUP(CustomerCombinedCleaned[[#This Row],[ID]], Table2[ID],Table2[MC4], "Not Found", 0 )</f>
        <v>0</v>
      </c>
      <c r="AC2042" s="16">
        <f>_xlfn.XLOOKUP(CustomerCombinedCleaned[[#This Row],[ID]], Table2[ID],Table2[MC5], "Not Found", 0 )</f>
        <v>0</v>
      </c>
    </row>
    <row r="2043" spans="1:29" x14ac:dyDescent="0.3">
      <c r="A2043" s="18">
        <v>1069</v>
      </c>
      <c r="B2043" s="16">
        <v>128332</v>
      </c>
      <c r="C2043" s="16">
        <v>0</v>
      </c>
      <c r="D2043" s="16">
        <v>0</v>
      </c>
      <c r="E2043" s="16">
        <v>68</v>
      </c>
      <c r="F2043" s="17" t="s">
        <v>6</v>
      </c>
      <c r="G2043" s="17" t="s">
        <v>11</v>
      </c>
      <c r="H2043" s="3" t="s">
        <v>617</v>
      </c>
      <c r="I2043" s="5" t="s">
        <v>437</v>
      </c>
      <c r="J2043" s="16">
        <f>_xlfn.XLOOKUP(CustomerCombinedCleaned[[#This Row],[ID]], Table4[ID], Table4[Recency], "Not Found", 0)</f>
        <v>58</v>
      </c>
      <c r="K2043" s="16">
        <f>_xlfn.XLOOKUP(CustomerCombinedCleaned[[#This Row],[ID]], Table4[ID], Table4[Teas], "Not Found", 0)</f>
        <v>63</v>
      </c>
      <c r="L2043" s="16">
        <f>_xlfn.XLOOKUP(CustomerCombinedCleaned[[#This Row],[ID]], Table4[ID], Table4[Fruits], "Not Found", 0)</f>
        <v>45</v>
      </c>
      <c r="M2043" s="16">
        <f>_xlfn.XLOOKUP(CustomerCombinedCleaned[[#This Row],[ID]], Table4[ID], Table4[Meats], "Not Found", 0)</f>
        <v>59</v>
      </c>
      <c r="N2043" s="16">
        <f>_xlfn.XLOOKUP(CustomerCombinedCleaned[[#This Row],[ID]], Table4[ID], Table4[Seafood], "Not Found", 0)</f>
        <v>18</v>
      </c>
      <c r="O2043" s="16">
        <f>_xlfn.XLOOKUP(CustomerCombinedCleaned[[#This Row],[ID]], Table4[ID], Table4[Sweets], "Not Found", 0)</f>
        <v>68</v>
      </c>
      <c r="P2043" s="16">
        <f>_xlfn.XLOOKUP(CustomerCombinedCleaned[[#This Row],[ID]], Table4[ID], Table4[Premium], "Not Found", 0)</f>
        <v>41</v>
      </c>
      <c r="Q2043" s="16">
        <f>_xlfn.XLOOKUP(CustomerCombinedCleaned[[#This Row],[ID]], Table4[ID], Table4[Regular], "Not Found", 0)</f>
        <v>213</v>
      </c>
      <c r="R2043" s="16">
        <f>_xlfn.XLOOKUP(CustomerCombinedCleaned[[#This Row],[ID]], Table4[ID], Table4[Deals], "Not Found", 0)</f>
        <v>1</v>
      </c>
      <c r="S2043" s="16">
        <f>_xlfn.XLOOKUP(CustomerCombinedCleaned[[#This Row],[ID]], Table4[ID], Table4[Website], "Not Found", 0)</f>
        <v>2</v>
      </c>
      <c r="T2043" s="16">
        <f>_xlfn.XLOOKUP(CustomerCombinedCleaned[[#This Row],[ID]], Table4[ID], Table4[Catalog], "Not Found", 0)</f>
        <v>1</v>
      </c>
      <c r="U2043" s="16">
        <f>_xlfn.XLOOKUP(CustomerCombinedCleaned[[#This Row],[ID]], Table4[ID], Table4[Store], "Not Found", 0)</f>
        <v>4</v>
      </c>
      <c r="V2043" s="16">
        <f>_xlfn.XLOOKUP(CustomerCombinedCleaned[[#This Row],[ID]], Table4[ID], Table4[Visits], "Not Found", 0)</f>
        <v>2</v>
      </c>
      <c r="W2043" s="16">
        <f>_xlfn.XLOOKUP(CustomerCombinedCleaned[[#This Row],[ID]], Table2[ID],Table2[Complaint], "Not Found", 0 )</f>
        <v>0</v>
      </c>
      <c r="X2043" s="16">
        <f>_xlfn.XLOOKUP(CustomerCombinedCleaned[[#This Row],[ID]], Table2[ID],Table2[Pilot], "Not Found", 0 )</f>
        <v>0</v>
      </c>
      <c r="Y2043" s="16">
        <f>_xlfn.XLOOKUP(CustomerCombinedCleaned[[#This Row],[ID]], Table2[ID],Table2[MC1], "Not Found", 0 )</f>
        <v>0</v>
      </c>
      <c r="Z2043" s="16">
        <f>_xlfn.XLOOKUP(CustomerCombinedCleaned[[#This Row],[ID]], Table2[ID],Table2[MC2], "Not Found", 0 )</f>
        <v>0</v>
      </c>
      <c r="AA2043" s="16">
        <f>_xlfn.XLOOKUP(CustomerCombinedCleaned[[#This Row],[ID]], Table2[ID],Table2[MC3], "Not Found", 0 )</f>
        <v>0</v>
      </c>
      <c r="AB2043" s="16">
        <f>_xlfn.XLOOKUP(CustomerCombinedCleaned[[#This Row],[ID]], Table2[ID],Table2[MC4], "Not Found", 0 )</f>
        <v>0</v>
      </c>
      <c r="AC2043" s="16">
        <f>_xlfn.XLOOKUP(CustomerCombinedCleaned[[#This Row],[ID]], Table2[ID],Table2[MC5], "Not Found", 0 )</f>
        <v>0</v>
      </c>
    </row>
    <row r="2044" spans="1:29" x14ac:dyDescent="0.3">
      <c r="A2044" s="18">
        <v>1674</v>
      </c>
      <c r="B2044" s="16">
        <v>113084</v>
      </c>
      <c r="C2044" s="16">
        <v>0</v>
      </c>
      <c r="D2044" s="16">
        <v>0</v>
      </c>
      <c r="E2044" s="16">
        <v>68</v>
      </c>
      <c r="F2044" s="17" t="s">
        <v>8</v>
      </c>
      <c r="G2044" s="17" t="s">
        <v>10</v>
      </c>
      <c r="H2044" s="3" t="s">
        <v>624</v>
      </c>
      <c r="I2044" s="5" t="s">
        <v>436</v>
      </c>
      <c r="J2044" s="16">
        <f>_xlfn.XLOOKUP(CustomerCombinedCleaned[[#This Row],[ID]], Table4[ID], Table4[Recency], "Not Found", 0)</f>
        <v>29</v>
      </c>
      <c r="K2044" s="16">
        <f>_xlfn.XLOOKUP(CustomerCombinedCleaned[[#This Row],[ID]], Table4[ID], Table4[Teas], "Not Found", 0)</f>
        <v>17</v>
      </c>
      <c r="L2044" s="16">
        <f>_xlfn.XLOOKUP(CustomerCombinedCleaned[[#This Row],[ID]], Table4[ID], Table4[Fruits], "Not Found", 0)</f>
        <v>0</v>
      </c>
      <c r="M2044" s="16">
        <f>_xlfn.XLOOKUP(CustomerCombinedCleaned[[#This Row],[ID]], Table4[ID], Table4[Meats], "Not Found", 0)</f>
        <v>61</v>
      </c>
      <c r="N2044" s="16">
        <f>_xlfn.XLOOKUP(CustomerCombinedCleaned[[#This Row],[ID]], Table4[ID], Table4[Seafood], "Not Found", 0)</f>
        <v>26</v>
      </c>
      <c r="O2044" s="16">
        <f>_xlfn.XLOOKUP(CustomerCombinedCleaned[[#This Row],[ID]], Table4[ID], Table4[Sweets], "Not Found", 0)</f>
        <v>61</v>
      </c>
      <c r="P2044" s="16">
        <f>_xlfn.XLOOKUP(CustomerCombinedCleaned[[#This Row],[ID]], Table4[ID], Table4[Premium], "Not Found", 0)</f>
        <v>86</v>
      </c>
      <c r="Q2044" s="16">
        <f>_xlfn.XLOOKUP(CustomerCombinedCleaned[[#This Row],[ID]], Table4[ID], Table4[Regular], "Not Found", 0)</f>
        <v>78</v>
      </c>
      <c r="R2044" s="16">
        <f>_xlfn.XLOOKUP(CustomerCombinedCleaned[[#This Row],[ID]], Table4[ID], Table4[Deals], "Not Found", 0)</f>
        <v>1</v>
      </c>
      <c r="S2044" s="16">
        <f>_xlfn.XLOOKUP(CustomerCombinedCleaned[[#This Row],[ID]], Table4[ID], Table4[Website], "Not Found", 0)</f>
        <v>1</v>
      </c>
      <c r="T2044" s="16">
        <f>_xlfn.XLOOKUP(CustomerCombinedCleaned[[#This Row],[ID]], Table4[ID], Table4[Catalog], "Not Found", 0)</f>
        <v>0</v>
      </c>
      <c r="U2044" s="16">
        <f>_xlfn.XLOOKUP(CustomerCombinedCleaned[[#This Row],[ID]], Table4[ID], Table4[Store], "Not Found", 0)</f>
        <v>3</v>
      </c>
      <c r="V2044" s="16">
        <f>_xlfn.XLOOKUP(CustomerCombinedCleaned[[#This Row],[ID]], Table4[ID], Table4[Visits], "Not Found", 0)</f>
        <v>6</v>
      </c>
      <c r="W2044" s="16">
        <f>_xlfn.XLOOKUP(CustomerCombinedCleaned[[#This Row],[ID]], Table2[ID],Table2[Complaint], "Not Found", 0 )</f>
        <v>0</v>
      </c>
      <c r="X2044" s="16">
        <f>_xlfn.XLOOKUP(CustomerCombinedCleaned[[#This Row],[ID]], Table2[ID],Table2[Pilot], "Not Found", 0 )</f>
        <v>0</v>
      </c>
      <c r="Y2044" s="16">
        <f>_xlfn.XLOOKUP(CustomerCombinedCleaned[[#This Row],[ID]], Table2[ID],Table2[MC1], "Not Found", 0 )</f>
        <v>0</v>
      </c>
      <c r="Z2044" s="16">
        <f>_xlfn.XLOOKUP(CustomerCombinedCleaned[[#This Row],[ID]], Table2[ID],Table2[MC2], "Not Found", 0 )</f>
        <v>0</v>
      </c>
      <c r="AA2044" s="16">
        <f>_xlfn.XLOOKUP(CustomerCombinedCleaned[[#This Row],[ID]], Table2[ID],Table2[MC3], "Not Found", 0 )</f>
        <v>0</v>
      </c>
      <c r="AB2044" s="16">
        <f>_xlfn.XLOOKUP(CustomerCombinedCleaned[[#This Row],[ID]], Table2[ID],Table2[MC4], "Not Found", 0 )</f>
        <v>0</v>
      </c>
      <c r="AC2044" s="16">
        <f>_xlfn.XLOOKUP(CustomerCombinedCleaned[[#This Row],[ID]], Table2[ID],Table2[MC5], "Not Found", 0 )</f>
        <v>0</v>
      </c>
    </row>
    <row r="2045" spans="1:29" x14ac:dyDescent="0.3">
      <c r="A2045" s="18">
        <v>3163</v>
      </c>
      <c r="B2045" s="16">
        <v>108820</v>
      </c>
      <c r="C2045" s="16">
        <v>1</v>
      </c>
      <c r="D2045" s="16">
        <v>1</v>
      </c>
      <c r="E2045" s="16">
        <v>68</v>
      </c>
      <c r="F2045" s="17" t="s">
        <v>7</v>
      </c>
      <c r="G2045" s="17" t="s">
        <v>12</v>
      </c>
      <c r="H2045" s="3" t="s">
        <v>286</v>
      </c>
      <c r="I2045" s="5" t="s">
        <v>437</v>
      </c>
      <c r="J2045" s="16">
        <f>_xlfn.XLOOKUP(CustomerCombinedCleaned[[#This Row],[ID]], Table4[ID], Table4[Recency], "Not Found", 0)</f>
        <v>52</v>
      </c>
      <c r="K2045" s="16">
        <f>_xlfn.XLOOKUP(CustomerCombinedCleaned[[#This Row],[ID]], Table4[ID], Table4[Teas], "Not Found", 0)</f>
        <v>148</v>
      </c>
      <c r="L2045" s="16">
        <f>_xlfn.XLOOKUP(CustomerCombinedCleaned[[#This Row],[ID]], Table4[ID], Table4[Fruits], "Not Found", 0)</f>
        <v>0</v>
      </c>
      <c r="M2045" s="16">
        <f>_xlfn.XLOOKUP(CustomerCombinedCleaned[[#This Row],[ID]], Table4[ID], Table4[Meats], "Not Found", 0)</f>
        <v>160</v>
      </c>
      <c r="N2045" s="16">
        <f>_xlfn.XLOOKUP(CustomerCombinedCleaned[[#This Row],[ID]], Table4[ID], Table4[Seafood], "Not Found", 0)</f>
        <v>49</v>
      </c>
      <c r="O2045" s="16">
        <f>_xlfn.XLOOKUP(CustomerCombinedCleaned[[#This Row],[ID]], Table4[ID], Table4[Sweets], "Not Found", 0)</f>
        <v>25</v>
      </c>
      <c r="P2045" s="16">
        <f>_xlfn.XLOOKUP(CustomerCombinedCleaned[[#This Row],[ID]], Table4[ID], Table4[Premium], "Not Found", 0)</f>
        <v>49</v>
      </c>
      <c r="Q2045" s="16">
        <f>_xlfn.XLOOKUP(CustomerCombinedCleaned[[#This Row],[ID]], Table4[ID], Table4[Regular], "Not Found", 0)</f>
        <v>333</v>
      </c>
      <c r="R2045" s="16">
        <f>_xlfn.XLOOKUP(CustomerCombinedCleaned[[#This Row],[ID]], Table4[ID], Table4[Deals], "Not Found", 0)</f>
        <v>4</v>
      </c>
      <c r="S2045" s="16">
        <f>_xlfn.XLOOKUP(CustomerCombinedCleaned[[#This Row],[ID]], Table4[ID], Table4[Website], "Not Found", 0)</f>
        <v>3</v>
      </c>
      <c r="T2045" s="16">
        <f>_xlfn.XLOOKUP(CustomerCombinedCleaned[[#This Row],[ID]], Table4[ID], Table4[Catalog], "Not Found", 0)</f>
        <v>0</v>
      </c>
      <c r="U2045" s="16">
        <f>_xlfn.XLOOKUP(CustomerCombinedCleaned[[#This Row],[ID]], Table4[ID], Table4[Store], "Not Found", 0)</f>
        <v>3</v>
      </c>
      <c r="V2045" s="16">
        <f>_xlfn.XLOOKUP(CustomerCombinedCleaned[[#This Row],[ID]], Table4[ID], Table4[Visits], "Not Found", 0)</f>
        <v>8</v>
      </c>
      <c r="W2045" s="16">
        <f>_xlfn.XLOOKUP(CustomerCombinedCleaned[[#This Row],[ID]], Table2[ID],Table2[Complaint], "Not Found", 0 )</f>
        <v>0</v>
      </c>
      <c r="X2045" s="16">
        <f>_xlfn.XLOOKUP(CustomerCombinedCleaned[[#This Row],[ID]], Table2[ID],Table2[Pilot], "Not Found", 0 )</f>
        <v>0</v>
      </c>
      <c r="Y2045" s="16">
        <f>_xlfn.XLOOKUP(CustomerCombinedCleaned[[#This Row],[ID]], Table2[ID],Table2[MC1], "Not Found", 0 )</f>
        <v>0</v>
      </c>
      <c r="Z2045" s="16">
        <f>_xlfn.XLOOKUP(CustomerCombinedCleaned[[#This Row],[ID]], Table2[ID],Table2[MC2], "Not Found", 0 )</f>
        <v>0</v>
      </c>
      <c r="AA2045" s="16">
        <f>_xlfn.XLOOKUP(CustomerCombinedCleaned[[#This Row],[ID]], Table2[ID],Table2[MC3], "Not Found", 0 )</f>
        <v>0</v>
      </c>
      <c r="AB2045" s="16">
        <f>_xlfn.XLOOKUP(CustomerCombinedCleaned[[#This Row],[ID]], Table2[ID],Table2[MC4], "Not Found", 0 )</f>
        <v>0</v>
      </c>
      <c r="AC2045" s="16">
        <f>_xlfn.XLOOKUP(CustomerCombinedCleaned[[#This Row],[ID]], Table2[ID],Table2[MC5], "Not Found", 0 )</f>
        <v>0</v>
      </c>
    </row>
    <row r="2046" spans="1:29" x14ac:dyDescent="0.3">
      <c r="A2046" s="18">
        <v>2957</v>
      </c>
      <c r="B2046" s="16">
        <v>194642</v>
      </c>
      <c r="C2046" s="16">
        <v>0</v>
      </c>
      <c r="D2046" s="16">
        <v>0</v>
      </c>
      <c r="E2046" s="16">
        <v>69</v>
      </c>
      <c r="F2046" s="17" t="s">
        <v>6</v>
      </c>
      <c r="G2046" s="17" t="s">
        <v>11</v>
      </c>
      <c r="H2046" s="3" t="s">
        <v>101</v>
      </c>
      <c r="I2046" s="5" t="s">
        <v>434</v>
      </c>
      <c r="J2046" s="16">
        <f>_xlfn.XLOOKUP(CustomerCombinedCleaned[[#This Row],[ID]], Table4[ID], Table4[Recency], "Not Found", 0)</f>
        <v>35</v>
      </c>
      <c r="K2046" s="16">
        <f>_xlfn.XLOOKUP(CustomerCombinedCleaned[[#This Row],[ID]], Table4[ID], Table4[Teas], "Not Found", 0)</f>
        <v>1808</v>
      </c>
      <c r="L2046" s="16">
        <f>_xlfn.XLOOKUP(CustomerCombinedCleaned[[#This Row],[ID]], Table4[ID], Table4[Fruits], "Not Found", 0)</f>
        <v>294</v>
      </c>
      <c r="M2046" s="16">
        <f>_xlfn.XLOOKUP(CustomerCombinedCleaned[[#This Row],[ID]], Table4[ID], Table4[Meats], "Not Found", 0)</f>
        <v>1639</v>
      </c>
      <c r="N2046" s="16">
        <f>_xlfn.XLOOKUP(CustomerCombinedCleaned[[#This Row],[ID]], Table4[ID], Table4[Seafood], "Not Found", 0)</f>
        <v>218</v>
      </c>
      <c r="O2046" s="16">
        <f>_xlfn.XLOOKUP(CustomerCombinedCleaned[[#This Row],[ID]], Table4[ID], Table4[Sweets], "Not Found", 0)</f>
        <v>294</v>
      </c>
      <c r="P2046" s="16">
        <f>_xlfn.XLOOKUP(CustomerCombinedCleaned[[#This Row],[ID]], Table4[ID], Table4[Premium], "Not Found", 0)</f>
        <v>294</v>
      </c>
      <c r="Q2046" s="16">
        <f>_xlfn.XLOOKUP(CustomerCombinedCleaned[[#This Row],[ID]], Table4[ID], Table4[Regular], "Not Found", 0)</f>
        <v>3959</v>
      </c>
      <c r="R2046" s="16">
        <f>_xlfn.XLOOKUP(CustomerCombinedCleaned[[#This Row],[ID]], Table4[ID], Table4[Deals], "Not Found", 0)</f>
        <v>0</v>
      </c>
      <c r="S2046" s="16">
        <f>_xlfn.XLOOKUP(CustomerCombinedCleaned[[#This Row],[ID]], Table4[ID], Table4[Website], "Not Found", 0)</f>
        <v>5</v>
      </c>
      <c r="T2046" s="16">
        <f>_xlfn.XLOOKUP(CustomerCombinedCleaned[[#This Row],[ID]], Table4[ID], Table4[Catalog], "Not Found", 0)</f>
        <v>7</v>
      </c>
      <c r="U2046" s="16">
        <f>_xlfn.XLOOKUP(CustomerCombinedCleaned[[#This Row],[ID]], Table4[ID], Table4[Store], "Not Found", 0)</f>
        <v>9</v>
      </c>
      <c r="V2046" s="16">
        <f>_xlfn.XLOOKUP(CustomerCombinedCleaned[[#This Row],[ID]], Table4[ID], Table4[Visits], "Not Found", 0)</f>
        <v>1</v>
      </c>
      <c r="W2046" s="16">
        <f>_xlfn.XLOOKUP(CustomerCombinedCleaned[[#This Row],[ID]], Table2[ID],Table2[Complaint], "Not Found", 0 )</f>
        <v>0</v>
      </c>
      <c r="X2046" s="16">
        <f>_xlfn.XLOOKUP(CustomerCombinedCleaned[[#This Row],[ID]], Table2[ID],Table2[Pilot], "Not Found", 0 )</f>
        <v>0</v>
      </c>
      <c r="Y2046" s="16">
        <f>_xlfn.XLOOKUP(CustomerCombinedCleaned[[#This Row],[ID]], Table2[ID],Table2[MC1], "Not Found", 0 )</f>
        <v>1</v>
      </c>
      <c r="Z2046" s="16">
        <f>_xlfn.XLOOKUP(CustomerCombinedCleaned[[#This Row],[ID]], Table2[ID],Table2[MC2], "Not Found", 0 )</f>
        <v>0</v>
      </c>
      <c r="AA2046" s="16">
        <f>_xlfn.XLOOKUP(CustomerCombinedCleaned[[#This Row],[ID]], Table2[ID],Table2[MC3], "Not Found", 0 )</f>
        <v>0</v>
      </c>
      <c r="AB2046" s="16">
        <f>_xlfn.XLOOKUP(CustomerCombinedCleaned[[#This Row],[ID]], Table2[ID],Table2[MC4], "Not Found", 0 )</f>
        <v>0</v>
      </c>
      <c r="AC2046" s="16">
        <f>_xlfn.XLOOKUP(CustomerCombinedCleaned[[#This Row],[ID]], Table2[ID],Table2[MC5], "Not Found", 0 )</f>
        <v>1</v>
      </c>
    </row>
    <row r="2047" spans="1:29" x14ac:dyDescent="0.3">
      <c r="A2047" s="18">
        <v>2646</v>
      </c>
      <c r="B2047" s="16">
        <v>186610</v>
      </c>
      <c r="C2047" s="16">
        <v>0</v>
      </c>
      <c r="D2047" s="16">
        <v>0</v>
      </c>
      <c r="E2047" s="16">
        <v>69</v>
      </c>
      <c r="F2047" s="17" t="s">
        <v>8</v>
      </c>
      <c r="G2047" s="17" t="s">
        <v>11</v>
      </c>
      <c r="H2047" s="3" t="s">
        <v>561</v>
      </c>
      <c r="I2047" s="5" t="s">
        <v>436</v>
      </c>
      <c r="J2047" s="16">
        <f>_xlfn.XLOOKUP(CustomerCombinedCleaned[[#This Row],[ID]], Table4[ID], Table4[Recency], "Not Found", 0)</f>
        <v>66</v>
      </c>
      <c r="K2047" s="16">
        <f>_xlfn.XLOOKUP(CustomerCombinedCleaned[[#This Row],[ID]], Table4[ID], Table4[Teas], "Not Found", 0)</f>
        <v>961</v>
      </c>
      <c r="L2047" s="16">
        <f>_xlfn.XLOOKUP(CustomerCombinedCleaned[[#This Row],[ID]], Table4[ID], Table4[Fruits], "Not Found", 0)</f>
        <v>231</v>
      </c>
      <c r="M2047" s="16">
        <f>_xlfn.XLOOKUP(CustomerCombinedCleaned[[#This Row],[ID]], Table4[ID], Table4[Meats], "Not Found", 0)</f>
        <v>1655</v>
      </c>
      <c r="N2047" s="16">
        <f>_xlfn.XLOOKUP(CustomerCombinedCleaned[[#This Row],[ID]], Table4[ID], Table4[Seafood], "Not Found", 0)</f>
        <v>71</v>
      </c>
      <c r="O2047" s="16">
        <f>_xlfn.XLOOKUP(CustomerCombinedCleaned[[#This Row],[ID]], Table4[ID], Table4[Sweets], "Not Found", 0)</f>
        <v>422</v>
      </c>
      <c r="P2047" s="16">
        <f>_xlfn.XLOOKUP(CustomerCombinedCleaned[[#This Row],[ID]], Table4[ID], Table4[Premium], "Not Found", 0)</f>
        <v>114</v>
      </c>
      <c r="Q2047" s="16">
        <f>_xlfn.XLOOKUP(CustomerCombinedCleaned[[#This Row],[ID]], Table4[ID], Table4[Regular], "Not Found", 0)</f>
        <v>3225</v>
      </c>
      <c r="R2047" s="16">
        <f>_xlfn.XLOOKUP(CustomerCombinedCleaned[[#This Row],[ID]], Table4[ID], Table4[Deals], "Not Found", 0)</f>
        <v>1</v>
      </c>
      <c r="S2047" s="16">
        <f>_xlfn.XLOOKUP(CustomerCombinedCleaned[[#This Row],[ID]], Table4[ID], Table4[Website], "Not Found", 0)</f>
        <v>5</v>
      </c>
      <c r="T2047" s="16">
        <f>_xlfn.XLOOKUP(CustomerCombinedCleaned[[#This Row],[ID]], Table4[ID], Table4[Catalog], "Not Found", 0)</f>
        <v>6</v>
      </c>
      <c r="U2047" s="16">
        <f>_xlfn.XLOOKUP(CustomerCombinedCleaned[[#This Row],[ID]], Table4[ID], Table4[Store], "Not Found", 0)</f>
        <v>6</v>
      </c>
      <c r="V2047" s="16">
        <f>_xlfn.XLOOKUP(CustomerCombinedCleaned[[#This Row],[ID]], Table4[ID], Table4[Visits], "Not Found", 0)</f>
        <v>2</v>
      </c>
      <c r="W2047" s="16">
        <f>_xlfn.XLOOKUP(CustomerCombinedCleaned[[#This Row],[ID]], Table2[ID],Table2[Complaint], "Not Found", 0 )</f>
        <v>0</v>
      </c>
      <c r="X2047" s="16">
        <f>_xlfn.XLOOKUP(CustomerCombinedCleaned[[#This Row],[ID]], Table2[ID],Table2[Pilot], "Not Found", 0 )</f>
        <v>0</v>
      </c>
      <c r="Y2047" s="16">
        <f>_xlfn.XLOOKUP(CustomerCombinedCleaned[[#This Row],[ID]], Table2[ID],Table2[MC1], "Not Found", 0 )</f>
        <v>0</v>
      </c>
      <c r="Z2047" s="16">
        <f>_xlfn.XLOOKUP(CustomerCombinedCleaned[[#This Row],[ID]], Table2[ID],Table2[MC2], "Not Found", 0 )</f>
        <v>0</v>
      </c>
      <c r="AA2047" s="16">
        <f>_xlfn.XLOOKUP(CustomerCombinedCleaned[[#This Row],[ID]], Table2[ID],Table2[MC3], "Not Found", 0 )</f>
        <v>0</v>
      </c>
      <c r="AB2047" s="16">
        <f>_xlfn.XLOOKUP(CustomerCombinedCleaned[[#This Row],[ID]], Table2[ID],Table2[MC4], "Not Found", 0 )</f>
        <v>0</v>
      </c>
      <c r="AC2047" s="16">
        <f>_xlfn.XLOOKUP(CustomerCombinedCleaned[[#This Row],[ID]], Table2[ID],Table2[MC5], "Not Found", 0 )</f>
        <v>0</v>
      </c>
    </row>
    <row r="2048" spans="1:29" x14ac:dyDescent="0.3">
      <c r="A2048" s="18">
        <v>2927</v>
      </c>
      <c r="B2048" s="16">
        <v>180872</v>
      </c>
      <c r="C2048" s="16">
        <v>0</v>
      </c>
      <c r="D2048" s="16">
        <v>0</v>
      </c>
      <c r="E2048" s="16">
        <v>69</v>
      </c>
      <c r="F2048" s="17" t="s">
        <v>7</v>
      </c>
      <c r="G2048" s="17" t="s">
        <v>11</v>
      </c>
      <c r="H2048" s="3" t="s">
        <v>52</v>
      </c>
      <c r="I2048" s="5" t="s">
        <v>434</v>
      </c>
      <c r="J2048" s="16">
        <f>_xlfn.XLOOKUP(CustomerCombinedCleaned[[#This Row],[ID]], Table4[ID], Table4[Recency], "Not Found", 0)</f>
        <v>60</v>
      </c>
      <c r="K2048" s="16">
        <f>_xlfn.XLOOKUP(CustomerCombinedCleaned[[#This Row],[ID]], Table4[ID], Table4[Teas], "Not Found", 0)</f>
        <v>1080</v>
      </c>
      <c r="L2048" s="16">
        <f>_xlfn.XLOOKUP(CustomerCombinedCleaned[[#This Row],[ID]], Table4[ID], Table4[Fruits], "Not Found", 0)</f>
        <v>161</v>
      </c>
      <c r="M2048" s="16">
        <f>_xlfn.XLOOKUP(CustomerCombinedCleaned[[#This Row],[ID]], Table4[ID], Table4[Meats], "Not Found", 0)</f>
        <v>1268</v>
      </c>
      <c r="N2048" s="16">
        <f>_xlfn.XLOOKUP(CustomerCombinedCleaned[[#This Row],[ID]], Table4[ID], Table4[Seafood], "Not Found", 0)</f>
        <v>210</v>
      </c>
      <c r="O2048" s="16">
        <f>_xlfn.XLOOKUP(CustomerCombinedCleaned[[#This Row],[ID]], Table4[ID], Table4[Sweets], "Not Found", 0)</f>
        <v>27</v>
      </c>
      <c r="P2048" s="16">
        <f>_xlfn.XLOOKUP(CustomerCombinedCleaned[[#This Row],[ID]], Table4[ID], Table4[Premium], "Not Found", 0)</f>
        <v>242</v>
      </c>
      <c r="Q2048" s="16">
        <f>_xlfn.XLOOKUP(CustomerCombinedCleaned[[#This Row],[ID]], Table4[ID], Table4[Regular], "Not Found", 0)</f>
        <v>2505</v>
      </c>
      <c r="R2048" s="16">
        <f>_xlfn.XLOOKUP(CustomerCombinedCleaned[[#This Row],[ID]], Table4[ID], Table4[Deals], "Not Found", 0)</f>
        <v>1</v>
      </c>
      <c r="S2048" s="16">
        <f>_xlfn.XLOOKUP(CustomerCombinedCleaned[[#This Row],[ID]], Table4[ID], Table4[Website], "Not Found", 0)</f>
        <v>4</v>
      </c>
      <c r="T2048" s="16">
        <f>_xlfn.XLOOKUP(CustomerCombinedCleaned[[#This Row],[ID]], Table4[ID], Table4[Catalog], "Not Found", 0)</f>
        <v>4</v>
      </c>
      <c r="U2048" s="16">
        <f>_xlfn.XLOOKUP(CustomerCombinedCleaned[[#This Row],[ID]], Table4[ID], Table4[Store], "Not Found", 0)</f>
        <v>10</v>
      </c>
      <c r="V2048" s="16">
        <f>_xlfn.XLOOKUP(CustomerCombinedCleaned[[#This Row],[ID]], Table4[ID], Table4[Visits], "Not Found", 0)</f>
        <v>1</v>
      </c>
      <c r="W2048" s="16">
        <f>_xlfn.XLOOKUP(CustomerCombinedCleaned[[#This Row],[ID]], Table2[ID],Table2[Complaint], "Not Found", 0 )</f>
        <v>0</v>
      </c>
      <c r="X2048" s="16">
        <f>_xlfn.XLOOKUP(CustomerCombinedCleaned[[#This Row],[ID]], Table2[ID],Table2[Pilot], "Not Found", 0 )</f>
        <v>0</v>
      </c>
      <c r="Y2048" s="16">
        <f>_xlfn.XLOOKUP(CustomerCombinedCleaned[[#This Row],[ID]], Table2[ID],Table2[MC1], "Not Found", 0 )</f>
        <v>0</v>
      </c>
      <c r="Z2048" s="16">
        <f>_xlfn.XLOOKUP(CustomerCombinedCleaned[[#This Row],[ID]], Table2[ID],Table2[MC2], "Not Found", 0 )</f>
        <v>0</v>
      </c>
      <c r="AA2048" s="16">
        <f>_xlfn.XLOOKUP(CustomerCombinedCleaned[[#This Row],[ID]], Table2[ID],Table2[MC3], "Not Found", 0 )</f>
        <v>0</v>
      </c>
      <c r="AB2048" s="16">
        <f>_xlfn.XLOOKUP(CustomerCombinedCleaned[[#This Row],[ID]], Table2[ID],Table2[MC4], "Not Found", 0 )</f>
        <v>0</v>
      </c>
      <c r="AC2048" s="16">
        <f>_xlfn.XLOOKUP(CustomerCombinedCleaned[[#This Row],[ID]], Table2[ID],Table2[MC5], "Not Found", 0 )</f>
        <v>0</v>
      </c>
    </row>
    <row r="2049" spans="1:29" x14ac:dyDescent="0.3">
      <c r="A2049" s="18">
        <v>1752</v>
      </c>
      <c r="B2049" s="16">
        <v>178939</v>
      </c>
      <c r="C2049" s="16">
        <v>0</v>
      </c>
      <c r="D2049" s="16">
        <v>0</v>
      </c>
      <c r="E2049" s="16">
        <v>69</v>
      </c>
      <c r="F2049" s="17" t="s">
        <v>6</v>
      </c>
      <c r="G2049" s="17" t="s">
        <v>13</v>
      </c>
      <c r="H2049" s="3" t="s">
        <v>136</v>
      </c>
      <c r="I2049" s="5" t="s">
        <v>436</v>
      </c>
      <c r="J2049" s="16">
        <f>_xlfn.XLOOKUP(CustomerCombinedCleaned[[#This Row],[ID]], Table4[ID], Table4[Recency], "Not Found", 0)</f>
        <v>57</v>
      </c>
      <c r="K2049" s="16">
        <f>_xlfn.XLOOKUP(CustomerCombinedCleaned[[#This Row],[ID]], Table4[ID], Table4[Teas], "Not Found", 0)</f>
        <v>1800</v>
      </c>
      <c r="L2049" s="16">
        <f>_xlfn.XLOOKUP(CustomerCombinedCleaned[[#This Row],[ID]], Table4[ID], Table4[Fruits], "Not Found", 0)</f>
        <v>261</v>
      </c>
      <c r="M2049" s="16">
        <f>_xlfn.XLOOKUP(CustomerCombinedCleaned[[#This Row],[ID]], Table4[ID], Table4[Meats], "Not Found", 0)</f>
        <v>551</v>
      </c>
      <c r="N2049" s="16">
        <f>_xlfn.XLOOKUP(CustomerCombinedCleaned[[#This Row],[ID]], Table4[ID], Table4[Seafood], "Not Found", 0)</f>
        <v>340</v>
      </c>
      <c r="O2049" s="16">
        <f>_xlfn.XLOOKUP(CustomerCombinedCleaned[[#This Row],[ID]], Table4[ID], Table4[Sweets], "Not Found", 0)</f>
        <v>0</v>
      </c>
      <c r="P2049" s="16">
        <f>_xlfn.XLOOKUP(CustomerCombinedCleaned[[#This Row],[ID]], Table4[ID], Table4[Premium], "Not Found", 0)</f>
        <v>465</v>
      </c>
      <c r="Q2049" s="16">
        <f>_xlfn.XLOOKUP(CustomerCombinedCleaned[[#This Row],[ID]], Table4[ID], Table4[Regular], "Not Found", 0)</f>
        <v>2487</v>
      </c>
      <c r="R2049" s="16">
        <f>_xlfn.XLOOKUP(CustomerCombinedCleaned[[#This Row],[ID]], Table4[ID], Table4[Deals], "Not Found", 0)</f>
        <v>1</v>
      </c>
      <c r="S2049" s="16">
        <f>_xlfn.XLOOKUP(CustomerCombinedCleaned[[#This Row],[ID]], Table4[ID], Table4[Website], "Not Found", 0)</f>
        <v>8</v>
      </c>
      <c r="T2049" s="16">
        <f>_xlfn.XLOOKUP(CustomerCombinedCleaned[[#This Row],[ID]], Table4[ID], Table4[Catalog], "Not Found", 0)</f>
        <v>5</v>
      </c>
      <c r="U2049" s="16">
        <f>_xlfn.XLOOKUP(CustomerCombinedCleaned[[#This Row],[ID]], Table4[ID], Table4[Store], "Not Found", 0)</f>
        <v>6</v>
      </c>
      <c r="V2049" s="16">
        <f>_xlfn.XLOOKUP(CustomerCombinedCleaned[[#This Row],[ID]], Table4[ID], Table4[Visits], "Not Found", 0)</f>
        <v>3</v>
      </c>
      <c r="W2049" s="16">
        <f>_xlfn.XLOOKUP(CustomerCombinedCleaned[[#This Row],[ID]], Table2[ID],Table2[Complaint], "Not Found", 0 )</f>
        <v>0</v>
      </c>
      <c r="X2049" s="16">
        <f>_xlfn.XLOOKUP(CustomerCombinedCleaned[[#This Row],[ID]], Table2[ID],Table2[Pilot], "Not Found", 0 )</f>
        <v>0</v>
      </c>
      <c r="Y2049" s="16">
        <f>_xlfn.XLOOKUP(CustomerCombinedCleaned[[#This Row],[ID]], Table2[ID],Table2[MC1], "Not Found", 0 )</f>
        <v>0</v>
      </c>
      <c r="Z2049" s="16">
        <f>_xlfn.XLOOKUP(CustomerCombinedCleaned[[#This Row],[ID]], Table2[ID],Table2[MC2], "Not Found", 0 )</f>
        <v>0</v>
      </c>
      <c r="AA2049" s="16">
        <f>_xlfn.XLOOKUP(CustomerCombinedCleaned[[#This Row],[ID]], Table2[ID],Table2[MC3], "Not Found", 0 )</f>
        <v>0</v>
      </c>
      <c r="AB2049" s="16">
        <f>_xlfn.XLOOKUP(CustomerCombinedCleaned[[#This Row],[ID]], Table2[ID],Table2[MC4], "Not Found", 0 )</f>
        <v>0</v>
      </c>
      <c r="AC2049" s="16">
        <f>_xlfn.XLOOKUP(CustomerCombinedCleaned[[#This Row],[ID]], Table2[ID],Table2[MC5], "Not Found", 0 )</f>
        <v>0</v>
      </c>
    </row>
    <row r="2050" spans="1:29" x14ac:dyDescent="0.3">
      <c r="A2050" s="18">
        <v>1090</v>
      </c>
      <c r="B2050" s="16">
        <v>178497</v>
      </c>
      <c r="C2050" s="16">
        <v>0</v>
      </c>
      <c r="D2050" s="16">
        <v>0</v>
      </c>
      <c r="E2050" s="16">
        <v>69</v>
      </c>
      <c r="F2050" s="17" t="s">
        <v>6</v>
      </c>
      <c r="G2050" s="17" t="s">
        <v>11</v>
      </c>
      <c r="H2050" s="3" t="s">
        <v>613</v>
      </c>
      <c r="I2050" s="5" t="s">
        <v>439</v>
      </c>
      <c r="J2050" s="16">
        <f>_xlfn.XLOOKUP(CustomerCombinedCleaned[[#This Row],[ID]], Table4[ID], Table4[Recency], "Not Found", 0)</f>
        <v>44</v>
      </c>
      <c r="K2050" s="16">
        <f>_xlfn.XLOOKUP(CustomerCombinedCleaned[[#This Row],[ID]], Table4[ID], Table4[Teas], "Not Found", 0)</f>
        <v>471</v>
      </c>
      <c r="L2050" s="16">
        <f>_xlfn.XLOOKUP(CustomerCombinedCleaned[[#This Row],[ID]], Table4[ID], Table4[Fruits], "Not Found", 0)</f>
        <v>59</v>
      </c>
      <c r="M2050" s="16">
        <f>_xlfn.XLOOKUP(CustomerCombinedCleaned[[#This Row],[ID]], Table4[ID], Table4[Meats], "Not Found", 0)</f>
        <v>1016</v>
      </c>
      <c r="N2050" s="16">
        <f>_xlfn.XLOOKUP(CustomerCombinedCleaned[[#This Row],[ID]], Table4[ID], Table4[Seafood], "Not Found", 0)</f>
        <v>171</v>
      </c>
      <c r="O2050" s="16">
        <f>_xlfn.XLOOKUP(CustomerCombinedCleaned[[#This Row],[ID]], Table4[ID], Table4[Sweets], "Not Found", 0)</f>
        <v>0</v>
      </c>
      <c r="P2050" s="16">
        <f>_xlfn.XLOOKUP(CustomerCombinedCleaned[[#This Row],[ID]], Table4[ID], Table4[Premium], "Not Found", 0)</f>
        <v>507</v>
      </c>
      <c r="Q2050" s="16">
        <f>_xlfn.XLOOKUP(CustomerCombinedCleaned[[#This Row],[ID]], Table4[ID], Table4[Regular], "Not Found", 0)</f>
        <v>1210</v>
      </c>
      <c r="R2050" s="16">
        <f>_xlfn.XLOOKUP(CustomerCombinedCleaned[[#This Row],[ID]], Table4[ID], Table4[Deals], "Not Found", 0)</f>
        <v>1</v>
      </c>
      <c r="S2050" s="16">
        <f>_xlfn.XLOOKUP(CustomerCombinedCleaned[[#This Row],[ID]], Table4[ID], Table4[Website], "Not Found", 0)</f>
        <v>5</v>
      </c>
      <c r="T2050" s="16">
        <f>_xlfn.XLOOKUP(CustomerCombinedCleaned[[#This Row],[ID]], Table4[ID], Table4[Catalog], "Not Found", 0)</f>
        <v>7</v>
      </c>
      <c r="U2050" s="16">
        <f>_xlfn.XLOOKUP(CustomerCombinedCleaned[[#This Row],[ID]], Table4[ID], Table4[Store], "Not Found", 0)</f>
        <v>12</v>
      </c>
      <c r="V2050" s="16">
        <f>_xlfn.XLOOKUP(CustomerCombinedCleaned[[#This Row],[ID]], Table4[ID], Table4[Visits], "Not Found", 0)</f>
        <v>2</v>
      </c>
      <c r="W2050" s="16">
        <f>_xlfn.XLOOKUP(CustomerCombinedCleaned[[#This Row],[ID]], Table2[ID],Table2[Complaint], "Not Found", 0 )</f>
        <v>0</v>
      </c>
      <c r="X2050" s="16">
        <f>_xlfn.XLOOKUP(CustomerCombinedCleaned[[#This Row],[ID]], Table2[ID],Table2[Pilot], "Not Found", 0 )</f>
        <v>0</v>
      </c>
      <c r="Y2050" s="16">
        <f>_xlfn.XLOOKUP(CustomerCombinedCleaned[[#This Row],[ID]], Table2[ID],Table2[MC1], "Not Found", 0 )</f>
        <v>1</v>
      </c>
      <c r="Z2050" s="16">
        <f>_xlfn.XLOOKUP(CustomerCombinedCleaned[[#This Row],[ID]], Table2[ID],Table2[MC2], "Not Found", 0 )</f>
        <v>0</v>
      </c>
      <c r="AA2050" s="16">
        <f>_xlfn.XLOOKUP(CustomerCombinedCleaned[[#This Row],[ID]], Table2[ID],Table2[MC3], "Not Found", 0 )</f>
        <v>0</v>
      </c>
      <c r="AB2050" s="16">
        <f>_xlfn.XLOOKUP(CustomerCombinedCleaned[[#This Row],[ID]], Table2[ID],Table2[MC4], "Not Found", 0 )</f>
        <v>0</v>
      </c>
      <c r="AC2050" s="16">
        <f>_xlfn.XLOOKUP(CustomerCombinedCleaned[[#This Row],[ID]], Table2[ID],Table2[MC5], "Not Found", 0 )</f>
        <v>0</v>
      </c>
    </row>
    <row r="2051" spans="1:29" x14ac:dyDescent="0.3">
      <c r="A2051" s="18">
        <v>1168</v>
      </c>
      <c r="B2051" s="16">
        <v>178497</v>
      </c>
      <c r="C2051" s="16">
        <v>0</v>
      </c>
      <c r="D2051" s="16">
        <v>0</v>
      </c>
      <c r="E2051" s="16">
        <v>69</v>
      </c>
      <c r="F2051" s="17" t="s">
        <v>6</v>
      </c>
      <c r="G2051" s="17" t="s">
        <v>11</v>
      </c>
      <c r="H2051" s="3" t="s">
        <v>613</v>
      </c>
      <c r="I2051" s="5" t="s">
        <v>439</v>
      </c>
      <c r="J2051" s="16">
        <f>_xlfn.XLOOKUP(CustomerCombinedCleaned[[#This Row],[ID]], Table4[ID], Table4[Recency], "Not Found", 0)</f>
        <v>44</v>
      </c>
      <c r="K2051" s="16">
        <f>_xlfn.XLOOKUP(CustomerCombinedCleaned[[#This Row],[ID]], Table4[ID], Table4[Teas], "Not Found", 0)</f>
        <v>471</v>
      </c>
      <c r="L2051" s="16">
        <f>_xlfn.XLOOKUP(CustomerCombinedCleaned[[#This Row],[ID]], Table4[ID], Table4[Fruits], "Not Found", 0)</f>
        <v>59</v>
      </c>
      <c r="M2051" s="16">
        <f>_xlfn.XLOOKUP(CustomerCombinedCleaned[[#This Row],[ID]], Table4[ID], Table4[Meats], "Not Found", 0)</f>
        <v>1016</v>
      </c>
      <c r="N2051" s="16">
        <f>_xlfn.XLOOKUP(CustomerCombinedCleaned[[#This Row],[ID]], Table4[ID], Table4[Seafood], "Not Found", 0)</f>
        <v>171</v>
      </c>
      <c r="O2051" s="16">
        <f>_xlfn.XLOOKUP(CustomerCombinedCleaned[[#This Row],[ID]], Table4[ID], Table4[Sweets], "Not Found", 0)</f>
        <v>0</v>
      </c>
      <c r="P2051" s="16">
        <f>_xlfn.XLOOKUP(CustomerCombinedCleaned[[#This Row],[ID]], Table4[ID], Table4[Premium], "Not Found", 0)</f>
        <v>507</v>
      </c>
      <c r="Q2051" s="16">
        <f>_xlfn.XLOOKUP(CustomerCombinedCleaned[[#This Row],[ID]], Table4[ID], Table4[Regular], "Not Found", 0)</f>
        <v>1210</v>
      </c>
      <c r="R2051" s="16">
        <f>_xlfn.XLOOKUP(CustomerCombinedCleaned[[#This Row],[ID]], Table4[ID], Table4[Deals], "Not Found", 0)</f>
        <v>1</v>
      </c>
      <c r="S2051" s="16">
        <f>_xlfn.XLOOKUP(CustomerCombinedCleaned[[#This Row],[ID]], Table4[ID], Table4[Website], "Not Found", 0)</f>
        <v>5</v>
      </c>
      <c r="T2051" s="16">
        <f>_xlfn.XLOOKUP(CustomerCombinedCleaned[[#This Row],[ID]], Table4[ID], Table4[Catalog], "Not Found", 0)</f>
        <v>7</v>
      </c>
      <c r="U2051" s="16">
        <f>_xlfn.XLOOKUP(CustomerCombinedCleaned[[#This Row],[ID]], Table4[ID], Table4[Store], "Not Found", 0)</f>
        <v>12</v>
      </c>
      <c r="V2051" s="16">
        <f>_xlfn.XLOOKUP(CustomerCombinedCleaned[[#This Row],[ID]], Table4[ID], Table4[Visits], "Not Found", 0)</f>
        <v>2</v>
      </c>
      <c r="W2051" s="16">
        <f>_xlfn.XLOOKUP(CustomerCombinedCleaned[[#This Row],[ID]], Table2[ID],Table2[Complaint], "Not Found", 0 )</f>
        <v>0</v>
      </c>
      <c r="X2051" s="16">
        <f>_xlfn.XLOOKUP(CustomerCombinedCleaned[[#This Row],[ID]], Table2[ID],Table2[Pilot], "Not Found", 0 )</f>
        <v>0</v>
      </c>
      <c r="Y2051" s="16">
        <f>_xlfn.XLOOKUP(CustomerCombinedCleaned[[#This Row],[ID]], Table2[ID],Table2[MC1], "Not Found", 0 )</f>
        <v>1</v>
      </c>
      <c r="Z2051" s="16">
        <f>_xlfn.XLOOKUP(CustomerCombinedCleaned[[#This Row],[ID]], Table2[ID],Table2[MC2], "Not Found", 0 )</f>
        <v>0</v>
      </c>
      <c r="AA2051" s="16">
        <f>_xlfn.XLOOKUP(CustomerCombinedCleaned[[#This Row],[ID]], Table2[ID],Table2[MC3], "Not Found", 0 )</f>
        <v>0</v>
      </c>
      <c r="AB2051" s="16">
        <f>_xlfn.XLOOKUP(CustomerCombinedCleaned[[#This Row],[ID]], Table2[ID],Table2[MC4], "Not Found", 0 )</f>
        <v>0</v>
      </c>
      <c r="AC2051" s="16">
        <f>_xlfn.XLOOKUP(CustomerCombinedCleaned[[#This Row],[ID]], Table2[ID],Table2[MC5], "Not Found", 0 )</f>
        <v>0</v>
      </c>
    </row>
    <row r="2052" spans="1:29" x14ac:dyDescent="0.3">
      <c r="A2052" s="18">
        <v>2909</v>
      </c>
      <c r="B2052" s="16">
        <v>175903</v>
      </c>
      <c r="C2052" s="16">
        <v>0</v>
      </c>
      <c r="D2052" s="16">
        <v>1</v>
      </c>
      <c r="E2052" s="16">
        <v>69</v>
      </c>
      <c r="F2052" s="17" t="s">
        <v>6</v>
      </c>
      <c r="G2052" s="17" t="s">
        <v>11</v>
      </c>
      <c r="H2052" s="3" t="s">
        <v>281</v>
      </c>
      <c r="I2052" s="5" t="s">
        <v>434</v>
      </c>
      <c r="J2052" s="16">
        <f>_xlfn.XLOOKUP(CustomerCombinedCleaned[[#This Row],[ID]], Table4[ID], Table4[Recency], "Not Found", 0)</f>
        <v>50</v>
      </c>
      <c r="K2052" s="16">
        <f>_xlfn.XLOOKUP(CustomerCombinedCleaned[[#This Row],[ID]], Table4[ID], Table4[Teas], "Not Found", 0)</f>
        <v>788</v>
      </c>
      <c r="L2052" s="16">
        <f>_xlfn.XLOOKUP(CustomerCombinedCleaned[[#This Row],[ID]], Table4[ID], Table4[Fruits], "Not Found", 0)</f>
        <v>250</v>
      </c>
      <c r="M2052" s="16">
        <f>_xlfn.XLOOKUP(CustomerCombinedCleaned[[#This Row],[ID]], Table4[ID], Table4[Meats], "Not Found", 0)</f>
        <v>429</v>
      </c>
      <c r="N2052" s="16">
        <f>_xlfn.XLOOKUP(CustomerCombinedCleaned[[#This Row],[ID]], Table4[ID], Table4[Seafood], "Not Found", 0)</f>
        <v>301</v>
      </c>
      <c r="O2052" s="16">
        <f>_xlfn.XLOOKUP(CustomerCombinedCleaned[[#This Row],[ID]], Table4[ID], Table4[Sweets], "Not Found", 0)</f>
        <v>88</v>
      </c>
      <c r="P2052" s="16">
        <f>_xlfn.XLOOKUP(CustomerCombinedCleaned[[#This Row],[ID]], Table4[ID], Table4[Premium], "Not Found", 0)</f>
        <v>232</v>
      </c>
      <c r="Q2052" s="16">
        <f>_xlfn.XLOOKUP(CustomerCombinedCleaned[[#This Row],[ID]], Table4[ID], Table4[Regular], "Not Found", 0)</f>
        <v>1625</v>
      </c>
      <c r="R2052" s="16">
        <f>_xlfn.XLOOKUP(CustomerCombinedCleaned[[#This Row],[ID]], Table4[ID], Table4[Deals], "Not Found", 0)</f>
        <v>2</v>
      </c>
      <c r="S2052" s="16">
        <f>_xlfn.XLOOKUP(CustomerCombinedCleaned[[#This Row],[ID]], Table4[ID], Table4[Website], "Not Found", 0)</f>
        <v>6</v>
      </c>
      <c r="T2052" s="16">
        <f>_xlfn.XLOOKUP(CustomerCombinedCleaned[[#This Row],[ID]], Table4[ID], Table4[Catalog], "Not Found", 0)</f>
        <v>6</v>
      </c>
      <c r="U2052" s="16">
        <f>_xlfn.XLOOKUP(CustomerCombinedCleaned[[#This Row],[ID]], Table4[ID], Table4[Store], "Not Found", 0)</f>
        <v>9</v>
      </c>
      <c r="V2052" s="16">
        <f>_xlfn.XLOOKUP(CustomerCombinedCleaned[[#This Row],[ID]], Table4[ID], Table4[Visits], "Not Found", 0)</f>
        <v>3</v>
      </c>
      <c r="W2052" s="16">
        <f>_xlfn.XLOOKUP(CustomerCombinedCleaned[[#This Row],[ID]], Table2[ID],Table2[Complaint], "Not Found", 0 )</f>
        <v>0</v>
      </c>
      <c r="X2052" s="16">
        <f>_xlfn.XLOOKUP(CustomerCombinedCleaned[[#This Row],[ID]], Table2[ID],Table2[Pilot], "Not Found", 0 )</f>
        <v>0</v>
      </c>
      <c r="Y2052" s="16">
        <f>_xlfn.XLOOKUP(CustomerCombinedCleaned[[#This Row],[ID]], Table2[ID],Table2[MC1], "Not Found", 0 )</f>
        <v>0</v>
      </c>
      <c r="Z2052" s="16">
        <f>_xlfn.XLOOKUP(CustomerCombinedCleaned[[#This Row],[ID]], Table2[ID],Table2[MC2], "Not Found", 0 )</f>
        <v>0</v>
      </c>
      <c r="AA2052" s="16">
        <f>_xlfn.XLOOKUP(CustomerCombinedCleaned[[#This Row],[ID]], Table2[ID],Table2[MC3], "Not Found", 0 )</f>
        <v>0</v>
      </c>
      <c r="AB2052" s="16">
        <f>_xlfn.XLOOKUP(CustomerCombinedCleaned[[#This Row],[ID]], Table2[ID],Table2[MC4], "Not Found", 0 )</f>
        <v>0</v>
      </c>
      <c r="AC2052" s="16">
        <f>_xlfn.XLOOKUP(CustomerCombinedCleaned[[#This Row],[ID]], Table2[ID],Table2[MC5], "Not Found", 0 )</f>
        <v>0</v>
      </c>
    </row>
    <row r="2053" spans="1:29" x14ac:dyDescent="0.3">
      <c r="A2053" s="18">
        <v>2674</v>
      </c>
      <c r="B2053" s="16">
        <v>173705</v>
      </c>
      <c r="C2053" s="16">
        <v>0</v>
      </c>
      <c r="D2053" s="16">
        <v>2</v>
      </c>
      <c r="E2053" s="16">
        <v>69</v>
      </c>
      <c r="F2053" s="17" t="s">
        <v>9</v>
      </c>
      <c r="G2053" s="17" t="s">
        <v>12</v>
      </c>
      <c r="H2053" s="3" t="s">
        <v>622</v>
      </c>
      <c r="I2053" s="5" t="s">
        <v>439</v>
      </c>
      <c r="J2053" s="16">
        <f>_xlfn.XLOOKUP(CustomerCombinedCleaned[[#This Row],[ID]], Table4[ID], Table4[Recency], "Not Found", 0)</f>
        <v>86</v>
      </c>
      <c r="K2053" s="16">
        <f>_xlfn.XLOOKUP(CustomerCombinedCleaned[[#This Row],[ID]], Table4[ID], Table4[Teas], "Not Found", 0)</f>
        <v>1442</v>
      </c>
      <c r="L2053" s="16">
        <f>_xlfn.XLOOKUP(CustomerCombinedCleaned[[#This Row],[ID]], Table4[ID], Table4[Fruits], "Not Found", 0)</f>
        <v>214</v>
      </c>
      <c r="M2053" s="16">
        <f>_xlfn.XLOOKUP(CustomerCombinedCleaned[[#This Row],[ID]], Table4[ID], Table4[Meats], "Not Found", 0)</f>
        <v>1226</v>
      </c>
      <c r="N2053" s="16">
        <f>_xlfn.XLOOKUP(CustomerCombinedCleaned[[#This Row],[ID]], Table4[ID], Table4[Seafood], "Not Found", 0)</f>
        <v>608</v>
      </c>
      <c r="O2053" s="16">
        <f>_xlfn.XLOOKUP(CustomerCombinedCleaned[[#This Row],[ID]], Table4[ID], Table4[Sweets], "Not Found", 0)</f>
        <v>252</v>
      </c>
      <c r="P2053" s="16">
        <f>_xlfn.XLOOKUP(CustomerCombinedCleaned[[#This Row],[ID]], Table4[ID], Table4[Premium], "Not Found", 0)</f>
        <v>252</v>
      </c>
      <c r="Q2053" s="16">
        <f>_xlfn.XLOOKUP(CustomerCombinedCleaned[[#This Row],[ID]], Table4[ID], Table4[Regular], "Not Found", 0)</f>
        <v>3490</v>
      </c>
      <c r="R2053" s="16">
        <f>_xlfn.XLOOKUP(CustomerCombinedCleaned[[#This Row],[ID]], Table4[ID], Table4[Deals], "Not Found", 0)</f>
        <v>2</v>
      </c>
      <c r="S2053" s="16">
        <f>_xlfn.XLOOKUP(CustomerCombinedCleaned[[#This Row],[ID]], Table4[ID], Table4[Website], "Not Found", 0)</f>
        <v>9</v>
      </c>
      <c r="T2053" s="16">
        <f>_xlfn.XLOOKUP(CustomerCombinedCleaned[[#This Row],[ID]], Table4[ID], Table4[Catalog], "Not Found", 0)</f>
        <v>6</v>
      </c>
      <c r="U2053" s="16">
        <f>_xlfn.XLOOKUP(CustomerCombinedCleaned[[#This Row],[ID]], Table4[ID], Table4[Store], "Not Found", 0)</f>
        <v>8</v>
      </c>
      <c r="V2053" s="16">
        <f>_xlfn.XLOOKUP(CustomerCombinedCleaned[[#This Row],[ID]], Table4[ID], Table4[Visits], "Not Found", 0)</f>
        <v>5</v>
      </c>
      <c r="W2053" s="16">
        <f>_xlfn.XLOOKUP(CustomerCombinedCleaned[[#This Row],[ID]], Table2[ID],Table2[Complaint], "Not Found", 0 )</f>
        <v>0</v>
      </c>
      <c r="X2053" s="16">
        <f>_xlfn.XLOOKUP(CustomerCombinedCleaned[[#This Row],[ID]], Table2[ID],Table2[Pilot], "Not Found", 0 )</f>
        <v>0</v>
      </c>
      <c r="Y2053" s="16">
        <f>_xlfn.XLOOKUP(CustomerCombinedCleaned[[#This Row],[ID]], Table2[ID],Table2[MC1], "Not Found", 0 )</f>
        <v>0</v>
      </c>
      <c r="Z2053" s="16">
        <f>_xlfn.XLOOKUP(CustomerCombinedCleaned[[#This Row],[ID]], Table2[ID],Table2[MC2], "Not Found", 0 )</f>
        <v>0</v>
      </c>
      <c r="AA2053" s="16">
        <f>_xlfn.XLOOKUP(CustomerCombinedCleaned[[#This Row],[ID]], Table2[ID],Table2[MC3], "Not Found", 0 )</f>
        <v>0</v>
      </c>
      <c r="AB2053" s="16">
        <f>_xlfn.XLOOKUP(CustomerCombinedCleaned[[#This Row],[ID]], Table2[ID],Table2[MC4], "Not Found", 0 )</f>
        <v>0</v>
      </c>
      <c r="AC2053" s="16">
        <f>_xlfn.XLOOKUP(CustomerCombinedCleaned[[#This Row],[ID]], Table2[ID],Table2[MC5], "Not Found", 0 )</f>
        <v>0</v>
      </c>
    </row>
    <row r="2054" spans="1:29" x14ac:dyDescent="0.3">
      <c r="A2054" s="18">
        <v>2792</v>
      </c>
      <c r="B2054" s="16">
        <v>172282</v>
      </c>
      <c r="C2054" s="16">
        <v>0</v>
      </c>
      <c r="D2054" s="16">
        <v>0</v>
      </c>
      <c r="E2054" s="16">
        <v>69</v>
      </c>
      <c r="F2054" s="17" t="s">
        <v>7</v>
      </c>
      <c r="G2054" s="17" t="s">
        <v>11</v>
      </c>
      <c r="H2054" s="3" t="s">
        <v>217</v>
      </c>
      <c r="I2054" s="5" t="s">
        <v>438</v>
      </c>
      <c r="J2054" s="16">
        <f>_xlfn.XLOOKUP(CustomerCombinedCleaned[[#This Row],[ID]], Table4[ID], Table4[Recency], "Not Found", 0)</f>
        <v>70</v>
      </c>
      <c r="K2054" s="16">
        <f>_xlfn.XLOOKUP(CustomerCombinedCleaned[[#This Row],[ID]], Table4[ID], Table4[Teas], "Not Found", 0)</f>
        <v>1199</v>
      </c>
      <c r="L2054" s="16">
        <f>_xlfn.XLOOKUP(CustomerCombinedCleaned[[#This Row],[ID]], Table4[ID], Table4[Fruits], "Not Found", 0)</f>
        <v>64</v>
      </c>
      <c r="M2054" s="16">
        <f>_xlfn.XLOOKUP(CustomerCombinedCleaned[[#This Row],[ID]], Table4[ID], Table4[Meats], "Not Found", 0)</f>
        <v>999</v>
      </c>
      <c r="N2054" s="16">
        <f>_xlfn.XLOOKUP(CustomerCombinedCleaned[[#This Row],[ID]], Table4[ID], Table4[Seafood], "Not Found", 0)</f>
        <v>215</v>
      </c>
      <c r="O2054" s="16">
        <f>_xlfn.XLOOKUP(CustomerCombinedCleaned[[#This Row],[ID]], Table4[ID], Table4[Sweets], "Not Found", 0)</f>
        <v>331</v>
      </c>
      <c r="P2054" s="16">
        <f>_xlfn.XLOOKUP(CustomerCombinedCleaned[[#This Row],[ID]], Table4[ID], Table4[Premium], "Not Found", 0)</f>
        <v>365</v>
      </c>
      <c r="Q2054" s="16">
        <f>_xlfn.XLOOKUP(CustomerCombinedCleaned[[#This Row],[ID]], Table4[ID], Table4[Regular], "Not Found", 0)</f>
        <v>2443</v>
      </c>
      <c r="R2054" s="16">
        <f>_xlfn.XLOOKUP(CustomerCombinedCleaned[[#This Row],[ID]], Table4[ID], Table4[Deals], "Not Found", 0)</f>
        <v>1</v>
      </c>
      <c r="S2054" s="16">
        <f>_xlfn.XLOOKUP(CustomerCombinedCleaned[[#This Row],[ID]], Table4[ID], Table4[Website], "Not Found", 0)</f>
        <v>5</v>
      </c>
      <c r="T2054" s="16">
        <f>_xlfn.XLOOKUP(CustomerCombinedCleaned[[#This Row],[ID]], Table4[ID], Table4[Catalog], "Not Found", 0)</f>
        <v>7</v>
      </c>
      <c r="U2054" s="16">
        <f>_xlfn.XLOOKUP(CustomerCombinedCleaned[[#This Row],[ID]], Table4[ID], Table4[Store], "Not Found", 0)</f>
        <v>9</v>
      </c>
      <c r="V2054" s="16">
        <f>_xlfn.XLOOKUP(CustomerCombinedCleaned[[#This Row],[ID]], Table4[ID], Table4[Visits], "Not Found", 0)</f>
        <v>7</v>
      </c>
      <c r="W2054" s="16">
        <f>_xlfn.XLOOKUP(CustomerCombinedCleaned[[#This Row],[ID]], Table2[ID],Table2[Complaint], "Not Found", 0 )</f>
        <v>0</v>
      </c>
      <c r="X2054" s="16">
        <f>_xlfn.XLOOKUP(CustomerCombinedCleaned[[#This Row],[ID]], Table2[ID],Table2[Pilot], "Not Found", 0 )</f>
        <v>1</v>
      </c>
      <c r="Y2054" s="16">
        <f>_xlfn.XLOOKUP(CustomerCombinedCleaned[[#This Row],[ID]], Table2[ID],Table2[MC1], "Not Found", 0 )</f>
        <v>0</v>
      </c>
      <c r="Z2054" s="16">
        <f>_xlfn.XLOOKUP(CustomerCombinedCleaned[[#This Row],[ID]], Table2[ID],Table2[MC2], "Not Found", 0 )</f>
        <v>0</v>
      </c>
      <c r="AA2054" s="16">
        <f>_xlfn.XLOOKUP(CustomerCombinedCleaned[[#This Row],[ID]], Table2[ID],Table2[MC3], "Not Found", 0 )</f>
        <v>0</v>
      </c>
      <c r="AB2054" s="16">
        <f>_xlfn.XLOOKUP(CustomerCombinedCleaned[[#This Row],[ID]], Table2[ID],Table2[MC4], "Not Found", 0 )</f>
        <v>0</v>
      </c>
      <c r="AC2054" s="16">
        <f>_xlfn.XLOOKUP(CustomerCombinedCleaned[[#This Row],[ID]], Table2[ID],Table2[MC5], "Not Found", 0 )</f>
        <v>0</v>
      </c>
    </row>
    <row r="2055" spans="1:29" x14ac:dyDescent="0.3">
      <c r="A2055" s="18">
        <v>3141</v>
      </c>
      <c r="B2055" s="16">
        <v>171965</v>
      </c>
      <c r="C2055" s="16">
        <v>0</v>
      </c>
      <c r="D2055" s="16">
        <v>1</v>
      </c>
      <c r="E2055" s="16">
        <v>69</v>
      </c>
      <c r="F2055" s="17" t="s">
        <v>6</v>
      </c>
      <c r="G2055" s="17" t="s">
        <v>11</v>
      </c>
      <c r="H2055" s="3" t="s">
        <v>549</v>
      </c>
      <c r="I2055" s="5" t="s">
        <v>435</v>
      </c>
      <c r="J2055" s="16">
        <f>_xlfn.XLOOKUP(CustomerCombinedCleaned[[#This Row],[ID]], Table4[ID], Table4[Recency], "Not Found", 0)</f>
        <v>21</v>
      </c>
      <c r="K2055" s="16">
        <f>_xlfn.XLOOKUP(CustomerCombinedCleaned[[#This Row],[ID]], Table4[ID], Table4[Teas], "Not Found", 0)</f>
        <v>1367</v>
      </c>
      <c r="L2055" s="16">
        <f>_xlfn.XLOOKUP(CustomerCombinedCleaned[[#This Row],[ID]], Table4[ID], Table4[Fruits], "Not Found", 0)</f>
        <v>45</v>
      </c>
      <c r="M2055" s="16">
        <f>_xlfn.XLOOKUP(CustomerCombinedCleaned[[#This Row],[ID]], Table4[ID], Table4[Meats], "Not Found", 0)</f>
        <v>683</v>
      </c>
      <c r="N2055" s="16">
        <f>_xlfn.XLOOKUP(CustomerCombinedCleaned[[#This Row],[ID]], Table4[ID], Table4[Seafood], "Not Found", 0)</f>
        <v>119</v>
      </c>
      <c r="O2055" s="16">
        <f>_xlfn.XLOOKUP(CustomerCombinedCleaned[[#This Row],[ID]], Table4[ID], Table4[Sweets], "Not Found", 0)</f>
        <v>91</v>
      </c>
      <c r="P2055" s="16">
        <f>_xlfn.XLOOKUP(CustomerCombinedCleaned[[#This Row],[ID]], Table4[ID], Table4[Premium], "Not Found", 0)</f>
        <v>593</v>
      </c>
      <c r="Q2055" s="16">
        <f>_xlfn.XLOOKUP(CustomerCombinedCleaned[[#This Row],[ID]], Table4[ID], Table4[Regular], "Not Found", 0)</f>
        <v>1713</v>
      </c>
      <c r="R2055" s="16">
        <f>_xlfn.XLOOKUP(CustomerCombinedCleaned[[#This Row],[ID]], Table4[ID], Table4[Deals], "Not Found", 0)</f>
        <v>3</v>
      </c>
      <c r="S2055" s="16">
        <f>_xlfn.XLOOKUP(CustomerCombinedCleaned[[#This Row],[ID]], Table4[ID], Table4[Website], "Not Found", 0)</f>
        <v>6</v>
      </c>
      <c r="T2055" s="16">
        <f>_xlfn.XLOOKUP(CustomerCombinedCleaned[[#This Row],[ID]], Table4[ID], Table4[Catalog], "Not Found", 0)</f>
        <v>3</v>
      </c>
      <c r="U2055" s="16">
        <f>_xlfn.XLOOKUP(CustomerCombinedCleaned[[#This Row],[ID]], Table4[ID], Table4[Store], "Not Found", 0)</f>
        <v>5</v>
      </c>
      <c r="V2055" s="16">
        <f>_xlfn.XLOOKUP(CustomerCombinedCleaned[[#This Row],[ID]], Table4[ID], Table4[Visits], "Not Found", 0)</f>
        <v>3</v>
      </c>
      <c r="W2055" s="16">
        <f>_xlfn.XLOOKUP(CustomerCombinedCleaned[[#This Row],[ID]], Table2[ID],Table2[Complaint], "Not Found", 0 )</f>
        <v>0</v>
      </c>
      <c r="X2055" s="16">
        <f>_xlfn.XLOOKUP(CustomerCombinedCleaned[[#This Row],[ID]], Table2[ID],Table2[Pilot], "Not Found", 0 )</f>
        <v>0</v>
      </c>
      <c r="Y2055" s="16">
        <f>_xlfn.XLOOKUP(CustomerCombinedCleaned[[#This Row],[ID]], Table2[ID],Table2[MC1], "Not Found", 0 )</f>
        <v>0</v>
      </c>
      <c r="Z2055" s="16">
        <f>_xlfn.XLOOKUP(CustomerCombinedCleaned[[#This Row],[ID]], Table2[ID],Table2[MC2], "Not Found", 0 )</f>
        <v>0</v>
      </c>
      <c r="AA2055" s="16">
        <f>_xlfn.XLOOKUP(CustomerCombinedCleaned[[#This Row],[ID]], Table2[ID],Table2[MC3], "Not Found", 0 )</f>
        <v>0</v>
      </c>
      <c r="AB2055" s="16">
        <f>_xlfn.XLOOKUP(CustomerCombinedCleaned[[#This Row],[ID]], Table2[ID],Table2[MC4], "Not Found", 0 )</f>
        <v>0</v>
      </c>
      <c r="AC2055" s="16">
        <f>_xlfn.XLOOKUP(CustomerCombinedCleaned[[#This Row],[ID]], Table2[ID],Table2[MC5], "Not Found", 0 )</f>
        <v>0</v>
      </c>
    </row>
    <row r="2056" spans="1:29" x14ac:dyDescent="0.3">
      <c r="A2056" s="18">
        <v>2704</v>
      </c>
      <c r="B2056" s="16">
        <v>171107</v>
      </c>
      <c r="C2056" s="16">
        <v>0</v>
      </c>
      <c r="D2056" s="16">
        <v>1</v>
      </c>
      <c r="E2056" s="16">
        <v>69</v>
      </c>
      <c r="F2056" s="17" t="s">
        <v>6</v>
      </c>
      <c r="G2056" s="17" t="s">
        <v>11</v>
      </c>
      <c r="H2056" s="3" t="s">
        <v>306</v>
      </c>
      <c r="I2056" s="5" t="s">
        <v>439</v>
      </c>
      <c r="J2056" s="16">
        <f>_xlfn.XLOOKUP(CustomerCombinedCleaned[[#This Row],[ID]], Table4[ID], Table4[Recency], "Not Found", 0)</f>
        <v>61</v>
      </c>
      <c r="K2056" s="16">
        <f>_xlfn.XLOOKUP(CustomerCombinedCleaned[[#This Row],[ID]], Table4[ID], Table4[Teas], "Not Found", 0)</f>
        <v>1283</v>
      </c>
      <c r="L2056" s="16">
        <f>_xlfn.XLOOKUP(CustomerCombinedCleaned[[#This Row],[ID]], Table4[ID], Table4[Fruits], "Not Found", 0)</f>
        <v>24</v>
      </c>
      <c r="M2056" s="16">
        <f>_xlfn.XLOOKUP(CustomerCombinedCleaned[[#This Row],[ID]], Table4[ID], Table4[Meats], "Not Found", 0)</f>
        <v>522</v>
      </c>
      <c r="N2056" s="16">
        <f>_xlfn.XLOOKUP(CustomerCombinedCleaned[[#This Row],[ID]], Table4[ID], Table4[Seafood], "Not Found", 0)</f>
        <v>476</v>
      </c>
      <c r="O2056" s="16">
        <f>_xlfn.XLOOKUP(CustomerCombinedCleaned[[#This Row],[ID]], Table4[ID], Table4[Sweets], "Not Found", 0)</f>
        <v>419</v>
      </c>
      <c r="P2056" s="16">
        <f>_xlfn.XLOOKUP(CustomerCombinedCleaned[[#This Row],[ID]], Table4[ID], Table4[Premium], "Not Found", 0)</f>
        <v>469</v>
      </c>
      <c r="Q2056" s="16">
        <f>_xlfn.XLOOKUP(CustomerCombinedCleaned[[#This Row],[ID]], Table4[ID], Table4[Regular], "Not Found", 0)</f>
        <v>2255</v>
      </c>
      <c r="R2056" s="16">
        <f>_xlfn.XLOOKUP(CustomerCombinedCleaned[[#This Row],[ID]], Table4[ID], Table4[Deals], "Not Found", 0)</f>
        <v>2</v>
      </c>
      <c r="S2056" s="16">
        <f>_xlfn.XLOOKUP(CustomerCombinedCleaned[[#This Row],[ID]], Table4[ID], Table4[Website], "Not Found", 0)</f>
        <v>7</v>
      </c>
      <c r="T2056" s="16">
        <f>_xlfn.XLOOKUP(CustomerCombinedCleaned[[#This Row],[ID]], Table4[ID], Table4[Catalog], "Not Found", 0)</f>
        <v>6</v>
      </c>
      <c r="U2056" s="16">
        <f>_xlfn.XLOOKUP(CustomerCombinedCleaned[[#This Row],[ID]], Table4[ID], Table4[Store], "Not Found", 0)</f>
        <v>13</v>
      </c>
      <c r="V2056" s="16">
        <f>_xlfn.XLOOKUP(CustomerCombinedCleaned[[#This Row],[ID]], Table4[ID], Table4[Visits], "Not Found", 0)</f>
        <v>4</v>
      </c>
      <c r="W2056" s="16">
        <f>_xlfn.XLOOKUP(CustomerCombinedCleaned[[#This Row],[ID]], Table2[ID],Table2[Complaint], "Not Found", 0 )</f>
        <v>0</v>
      </c>
      <c r="X2056" s="16">
        <f>_xlfn.XLOOKUP(CustomerCombinedCleaned[[#This Row],[ID]], Table2[ID],Table2[Pilot], "Not Found", 0 )</f>
        <v>0</v>
      </c>
      <c r="Y2056" s="16">
        <f>_xlfn.XLOOKUP(CustomerCombinedCleaned[[#This Row],[ID]], Table2[ID],Table2[MC1], "Not Found", 0 )</f>
        <v>0</v>
      </c>
      <c r="Z2056" s="16">
        <f>_xlfn.XLOOKUP(CustomerCombinedCleaned[[#This Row],[ID]], Table2[ID],Table2[MC2], "Not Found", 0 )</f>
        <v>0</v>
      </c>
      <c r="AA2056" s="16">
        <f>_xlfn.XLOOKUP(CustomerCombinedCleaned[[#This Row],[ID]], Table2[ID],Table2[MC3], "Not Found", 0 )</f>
        <v>0</v>
      </c>
      <c r="AB2056" s="16">
        <f>_xlfn.XLOOKUP(CustomerCombinedCleaned[[#This Row],[ID]], Table2[ID],Table2[MC4], "Not Found", 0 )</f>
        <v>0</v>
      </c>
      <c r="AC2056" s="16">
        <f>_xlfn.XLOOKUP(CustomerCombinedCleaned[[#This Row],[ID]], Table2[ID],Table2[MC5], "Not Found", 0 )</f>
        <v>0</v>
      </c>
    </row>
    <row r="2057" spans="1:29" x14ac:dyDescent="0.3">
      <c r="A2057" s="18">
        <v>2920</v>
      </c>
      <c r="B2057" s="16">
        <v>170792</v>
      </c>
      <c r="C2057" s="16">
        <v>0</v>
      </c>
      <c r="D2057" s="16">
        <v>0</v>
      </c>
      <c r="E2057" s="16">
        <v>69</v>
      </c>
      <c r="F2057" s="17" t="s">
        <v>9</v>
      </c>
      <c r="G2057" s="17" t="s">
        <v>11</v>
      </c>
      <c r="H2057" s="3" t="s">
        <v>317</v>
      </c>
      <c r="I2057" s="5" t="s">
        <v>439</v>
      </c>
      <c r="J2057" s="16">
        <f>_xlfn.XLOOKUP(CustomerCombinedCleaned[[#This Row],[ID]], Table4[ID], Table4[Recency], "Not Found", 0)</f>
        <v>82</v>
      </c>
      <c r="K2057" s="16">
        <f>_xlfn.XLOOKUP(CustomerCombinedCleaned[[#This Row],[ID]], Table4[ID], Table4[Teas], "Not Found", 0)</f>
        <v>830</v>
      </c>
      <c r="L2057" s="16">
        <f>_xlfn.XLOOKUP(CustomerCombinedCleaned[[#This Row],[ID]], Table4[ID], Table4[Fruits], "Not Found", 0)</f>
        <v>109</v>
      </c>
      <c r="M2057" s="16">
        <f>_xlfn.XLOOKUP(CustomerCombinedCleaned[[#This Row],[ID]], Table4[ID], Table4[Meats], "Not Found", 0)</f>
        <v>1578</v>
      </c>
      <c r="N2057" s="16">
        <f>_xlfn.XLOOKUP(CustomerCombinedCleaned[[#This Row],[ID]], Table4[ID], Table4[Seafood], "Not Found", 0)</f>
        <v>251</v>
      </c>
      <c r="O2057" s="16">
        <f>_xlfn.XLOOKUP(CustomerCombinedCleaned[[#This Row],[ID]], Table4[ID], Table4[Sweets], "Not Found", 0)</f>
        <v>27</v>
      </c>
      <c r="P2057" s="16">
        <f>_xlfn.XLOOKUP(CustomerCombinedCleaned[[#This Row],[ID]], Table4[ID], Table4[Premium], "Not Found", 0)</f>
        <v>275</v>
      </c>
      <c r="Q2057" s="16">
        <f>_xlfn.XLOOKUP(CustomerCombinedCleaned[[#This Row],[ID]], Table4[ID], Table4[Regular], "Not Found", 0)</f>
        <v>2519</v>
      </c>
      <c r="R2057" s="16">
        <f>_xlfn.XLOOKUP(CustomerCombinedCleaned[[#This Row],[ID]], Table4[ID], Table4[Deals], "Not Found", 0)</f>
        <v>2</v>
      </c>
      <c r="S2057" s="16">
        <f>_xlfn.XLOOKUP(CustomerCombinedCleaned[[#This Row],[ID]], Table4[ID], Table4[Website], "Not Found", 0)</f>
        <v>3</v>
      </c>
      <c r="T2057" s="16">
        <f>_xlfn.XLOOKUP(CustomerCombinedCleaned[[#This Row],[ID]], Table4[ID], Table4[Catalog], "Not Found", 0)</f>
        <v>4</v>
      </c>
      <c r="U2057" s="16">
        <f>_xlfn.XLOOKUP(CustomerCombinedCleaned[[#This Row],[ID]], Table4[ID], Table4[Store], "Not Found", 0)</f>
        <v>10</v>
      </c>
      <c r="V2057" s="16">
        <f>_xlfn.XLOOKUP(CustomerCombinedCleaned[[#This Row],[ID]], Table4[ID], Table4[Visits], "Not Found", 0)</f>
        <v>3</v>
      </c>
      <c r="W2057" s="16">
        <f>_xlfn.XLOOKUP(CustomerCombinedCleaned[[#This Row],[ID]], Table2[ID],Table2[Complaint], "Not Found", 0 )</f>
        <v>0</v>
      </c>
      <c r="X2057" s="16">
        <f>_xlfn.XLOOKUP(CustomerCombinedCleaned[[#This Row],[ID]], Table2[ID],Table2[Pilot], "Not Found", 0 )</f>
        <v>0</v>
      </c>
      <c r="Y2057" s="16">
        <f>_xlfn.XLOOKUP(CustomerCombinedCleaned[[#This Row],[ID]], Table2[ID],Table2[MC1], "Not Found", 0 )</f>
        <v>0</v>
      </c>
      <c r="Z2057" s="16">
        <f>_xlfn.XLOOKUP(CustomerCombinedCleaned[[#This Row],[ID]], Table2[ID],Table2[MC2], "Not Found", 0 )</f>
        <v>0</v>
      </c>
      <c r="AA2057" s="16">
        <f>_xlfn.XLOOKUP(CustomerCombinedCleaned[[#This Row],[ID]], Table2[ID],Table2[MC3], "Not Found", 0 )</f>
        <v>0</v>
      </c>
      <c r="AB2057" s="16">
        <f>_xlfn.XLOOKUP(CustomerCombinedCleaned[[#This Row],[ID]], Table2[ID],Table2[MC4], "Not Found", 0 )</f>
        <v>0</v>
      </c>
      <c r="AC2057" s="16">
        <f>_xlfn.XLOOKUP(CustomerCombinedCleaned[[#This Row],[ID]], Table2[ID],Table2[MC5], "Not Found", 0 )</f>
        <v>0</v>
      </c>
    </row>
    <row r="2058" spans="1:29" x14ac:dyDescent="0.3">
      <c r="A2058" s="18">
        <v>2853</v>
      </c>
      <c r="B2058" s="16">
        <v>169702</v>
      </c>
      <c r="C2058" s="16">
        <v>0</v>
      </c>
      <c r="D2058" s="16">
        <v>1</v>
      </c>
      <c r="E2058" s="16">
        <v>69</v>
      </c>
      <c r="F2058" s="17" t="s">
        <v>8</v>
      </c>
      <c r="G2058" s="17" t="s">
        <v>13</v>
      </c>
      <c r="H2058" s="3" t="s">
        <v>304</v>
      </c>
      <c r="I2058" s="5" t="s">
        <v>435</v>
      </c>
      <c r="J2058" s="16">
        <f>_xlfn.XLOOKUP(CustomerCombinedCleaned[[#This Row],[ID]], Table4[ID], Table4[Recency], "Not Found", 0)</f>
        <v>8</v>
      </c>
      <c r="K2058" s="16">
        <f>_xlfn.XLOOKUP(CustomerCombinedCleaned[[#This Row],[ID]], Table4[ID], Table4[Teas], "Not Found", 0)</f>
        <v>1617</v>
      </c>
      <c r="L2058" s="16">
        <f>_xlfn.XLOOKUP(CustomerCombinedCleaned[[#This Row],[ID]], Table4[ID], Table4[Fruits], "Not Found", 0)</f>
        <v>22</v>
      </c>
      <c r="M2058" s="16">
        <f>_xlfn.XLOOKUP(CustomerCombinedCleaned[[#This Row],[ID]], Table4[ID], Table4[Meats], "Not Found", 0)</f>
        <v>584</v>
      </c>
      <c r="N2058" s="16">
        <f>_xlfn.XLOOKUP(CustomerCombinedCleaned[[#This Row],[ID]], Table4[ID], Table4[Seafood], "Not Found", 0)</f>
        <v>122</v>
      </c>
      <c r="O2058" s="16">
        <f>_xlfn.XLOOKUP(CustomerCombinedCleaned[[#This Row],[ID]], Table4[ID], Table4[Sweets], "Not Found", 0)</f>
        <v>46</v>
      </c>
      <c r="P2058" s="16">
        <f>_xlfn.XLOOKUP(CustomerCombinedCleaned[[#This Row],[ID]], Table4[ID], Table4[Premium], "Not Found", 0)</f>
        <v>139</v>
      </c>
      <c r="Q2058" s="16">
        <f>_xlfn.XLOOKUP(CustomerCombinedCleaned[[#This Row],[ID]], Table4[ID], Table4[Regular], "Not Found", 0)</f>
        <v>2252</v>
      </c>
      <c r="R2058" s="16">
        <f>_xlfn.XLOOKUP(CustomerCombinedCleaned[[#This Row],[ID]], Table4[ID], Table4[Deals], "Not Found", 0)</f>
        <v>2</v>
      </c>
      <c r="S2058" s="16">
        <f>_xlfn.XLOOKUP(CustomerCombinedCleaned[[#This Row],[ID]], Table4[ID], Table4[Website], "Not Found", 0)</f>
        <v>7</v>
      </c>
      <c r="T2058" s="16">
        <f>_xlfn.XLOOKUP(CustomerCombinedCleaned[[#This Row],[ID]], Table4[ID], Table4[Catalog], "Not Found", 0)</f>
        <v>7</v>
      </c>
      <c r="U2058" s="16">
        <f>_xlfn.XLOOKUP(CustomerCombinedCleaned[[#This Row],[ID]], Table4[ID], Table4[Store], "Not Found", 0)</f>
        <v>10</v>
      </c>
      <c r="V2058" s="16">
        <f>_xlfn.XLOOKUP(CustomerCombinedCleaned[[#This Row],[ID]], Table4[ID], Table4[Visits], "Not Found", 0)</f>
        <v>4</v>
      </c>
      <c r="W2058" s="16">
        <f>_xlfn.XLOOKUP(CustomerCombinedCleaned[[#This Row],[ID]], Table2[ID],Table2[Complaint], "Not Found", 0 )</f>
        <v>0</v>
      </c>
      <c r="X2058" s="16">
        <f>_xlfn.XLOOKUP(CustomerCombinedCleaned[[#This Row],[ID]], Table2[ID],Table2[Pilot], "Not Found", 0 )</f>
        <v>0</v>
      </c>
      <c r="Y2058" s="16">
        <f>_xlfn.XLOOKUP(CustomerCombinedCleaned[[#This Row],[ID]], Table2[ID],Table2[MC1], "Not Found", 0 )</f>
        <v>0</v>
      </c>
      <c r="Z2058" s="16">
        <f>_xlfn.XLOOKUP(CustomerCombinedCleaned[[#This Row],[ID]], Table2[ID],Table2[MC2], "Not Found", 0 )</f>
        <v>0</v>
      </c>
      <c r="AA2058" s="16">
        <f>_xlfn.XLOOKUP(CustomerCombinedCleaned[[#This Row],[ID]], Table2[ID],Table2[MC3], "Not Found", 0 )</f>
        <v>0</v>
      </c>
      <c r="AB2058" s="16">
        <f>_xlfn.XLOOKUP(CustomerCombinedCleaned[[#This Row],[ID]], Table2[ID],Table2[MC4], "Not Found", 0 )</f>
        <v>0</v>
      </c>
      <c r="AC2058" s="16">
        <f>_xlfn.XLOOKUP(CustomerCombinedCleaned[[#This Row],[ID]], Table2[ID],Table2[MC5], "Not Found", 0 )</f>
        <v>0</v>
      </c>
    </row>
    <row r="2059" spans="1:29" x14ac:dyDescent="0.3">
      <c r="A2059" s="18">
        <v>1059</v>
      </c>
      <c r="B2059" s="16">
        <v>167680</v>
      </c>
      <c r="C2059" s="16">
        <v>0</v>
      </c>
      <c r="D2059" s="16">
        <v>1</v>
      </c>
      <c r="E2059" s="16">
        <v>69</v>
      </c>
      <c r="F2059" s="17" t="s">
        <v>9</v>
      </c>
      <c r="G2059" s="17" t="s">
        <v>13</v>
      </c>
      <c r="H2059" s="3" t="s">
        <v>241</v>
      </c>
      <c r="I2059" s="5" t="s">
        <v>435</v>
      </c>
      <c r="J2059" s="16">
        <f>_xlfn.XLOOKUP(CustomerCombinedCleaned[[#This Row],[ID]], Table4[ID], Table4[Recency], "Not Found", 0)</f>
        <v>8</v>
      </c>
      <c r="K2059" s="16">
        <f>_xlfn.XLOOKUP(CustomerCombinedCleaned[[#This Row],[ID]], Table4[ID], Table4[Teas], "Not Found", 0)</f>
        <v>1353</v>
      </c>
      <c r="L2059" s="16">
        <f>_xlfn.XLOOKUP(CustomerCombinedCleaned[[#This Row],[ID]], Table4[ID], Table4[Fruits], "Not Found", 0)</f>
        <v>0</v>
      </c>
      <c r="M2059" s="16">
        <f>_xlfn.XLOOKUP(CustomerCombinedCleaned[[#This Row],[ID]], Table4[ID], Table4[Meats], "Not Found", 0)</f>
        <v>119</v>
      </c>
      <c r="N2059" s="16">
        <f>_xlfn.XLOOKUP(CustomerCombinedCleaned[[#This Row],[ID]], Table4[ID], Table4[Seafood], "Not Found", 0)</f>
        <v>0</v>
      </c>
      <c r="O2059" s="16">
        <f>_xlfn.XLOOKUP(CustomerCombinedCleaned[[#This Row],[ID]], Table4[ID], Table4[Sweets], "Not Found", 0)</f>
        <v>15</v>
      </c>
      <c r="P2059" s="16">
        <f>_xlfn.XLOOKUP(CustomerCombinedCleaned[[#This Row],[ID]], Table4[ID], Table4[Premium], "Not Found", 0)</f>
        <v>15</v>
      </c>
      <c r="Q2059" s="16">
        <f>_xlfn.XLOOKUP(CustomerCombinedCleaned[[#This Row],[ID]], Table4[ID], Table4[Regular], "Not Found", 0)</f>
        <v>1472</v>
      </c>
      <c r="R2059" s="16">
        <f>_xlfn.XLOOKUP(CustomerCombinedCleaned[[#This Row],[ID]], Table4[ID], Table4[Deals], "Not Found", 0)</f>
        <v>1</v>
      </c>
      <c r="S2059" s="16">
        <f>_xlfn.XLOOKUP(CustomerCombinedCleaned[[#This Row],[ID]], Table4[ID], Table4[Website], "Not Found", 0)</f>
        <v>7</v>
      </c>
      <c r="T2059" s="16">
        <f>_xlfn.XLOOKUP(CustomerCombinedCleaned[[#This Row],[ID]], Table4[ID], Table4[Catalog], "Not Found", 0)</f>
        <v>3</v>
      </c>
      <c r="U2059" s="16">
        <f>_xlfn.XLOOKUP(CustomerCombinedCleaned[[#This Row],[ID]], Table4[ID], Table4[Store], "Not Found", 0)</f>
        <v>8</v>
      </c>
      <c r="V2059" s="16">
        <f>_xlfn.XLOOKUP(CustomerCombinedCleaned[[#This Row],[ID]], Table4[ID], Table4[Visits], "Not Found", 0)</f>
        <v>5</v>
      </c>
      <c r="W2059" s="16">
        <f>_xlfn.XLOOKUP(CustomerCombinedCleaned[[#This Row],[ID]], Table2[ID],Table2[Complaint], "Not Found", 0 )</f>
        <v>0</v>
      </c>
      <c r="X2059" s="16">
        <f>_xlfn.XLOOKUP(CustomerCombinedCleaned[[#This Row],[ID]], Table2[ID],Table2[Pilot], "Not Found", 0 )</f>
        <v>0</v>
      </c>
      <c r="Y2059" s="16">
        <f>_xlfn.XLOOKUP(CustomerCombinedCleaned[[#This Row],[ID]], Table2[ID],Table2[MC1], "Not Found", 0 )</f>
        <v>0</v>
      </c>
      <c r="Z2059" s="16">
        <f>_xlfn.XLOOKUP(CustomerCombinedCleaned[[#This Row],[ID]], Table2[ID],Table2[MC2], "Not Found", 0 )</f>
        <v>0</v>
      </c>
      <c r="AA2059" s="16">
        <f>_xlfn.XLOOKUP(CustomerCombinedCleaned[[#This Row],[ID]], Table2[ID],Table2[MC3], "Not Found", 0 )</f>
        <v>0</v>
      </c>
      <c r="AB2059" s="16">
        <f>_xlfn.XLOOKUP(CustomerCombinedCleaned[[#This Row],[ID]], Table2[ID],Table2[MC4], "Not Found", 0 )</f>
        <v>0</v>
      </c>
      <c r="AC2059" s="16">
        <f>_xlfn.XLOOKUP(CustomerCombinedCleaned[[#This Row],[ID]], Table2[ID],Table2[MC5], "Not Found", 0 )</f>
        <v>0</v>
      </c>
    </row>
    <row r="2060" spans="1:29" x14ac:dyDescent="0.3">
      <c r="A2060" s="18">
        <v>2111</v>
      </c>
      <c r="B2060" s="16">
        <v>167381</v>
      </c>
      <c r="C2060" s="16">
        <v>0</v>
      </c>
      <c r="D2060" s="16">
        <v>1</v>
      </c>
      <c r="E2060" s="16">
        <v>69</v>
      </c>
      <c r="F2060" s="17" t="s">
        <v>6</v>
      </c>
      <c r="G2060" s="17" t="s">
        <v>12</v>
      </c>
      <c r="H2060" s="3" t="s">
        <v>325</v>
      </c>
      <c r="I2060" s="5" t="s">
        <v>434</v>
      </c>
      <c r="J2060" s="16">
        <f>_xlfn.XLOOKUP(CustomerCombinedCleaned[[#This Row],[ID]], Table4[ID], Table4[Recency], "Not Found", 0)</f>
        <v>67</v>
      </c>
      <c r="K2060" s="16">
        <f>_xlfn.XLOOKUP(CustomerCombinedCleaned[[#This Row],[ID]], Table4[ID], Table4[Teas], "Not Found", 0)</f>
        <v>2025</v>
      </c>
      <c r="L2060" s="16">
        <f>_xlfn.XLOOKUP(CustomerCombinedCleaned[[#This Row],[ID]], Table4[ID], Table4[Fruits], "Not Found", 0)</f>
        <v>20</v>
      </c>
      <c r="M2060" s="16">
        <f>_xlfn.XLOOKUP(CustomerCombinedCleaned[[#This Row],[ID]], Table4[ID], Table4[Meats], "Not Found", 0)</f>
        <v>132</v>
      </c>
      <c r="N2060" s="16">
        <f>_xlfn.XLOOKUP(CustomerCombinedCleaned[[#This Row],[ID]], Table4[ID], Table4[Seafood], "Not Found", 0)</f>
        <v>27</v>
      </c>
      <c r="O2060" s="16">
        <f>_xlfn.XLOOKUP(CustomerCombinedCleaned[[#This Row],[ID]], Table4[ID], Table4[Sweets], "Not Found", 0)</f>
        <v>0</v>
      </c>
      <c r="P2060" s="16">
        <f>_xlfn.XLOOKUP(CustomerCombinedCleaned[[#This Row],[ID]], Table4[ID], Table4[Premium], "Not Found", 0)</f>
        <v>174</v>
      </c>
      <c r="Q2060" s="16">
        <f>_xlfn.XLOOKUP(CustomerCombinedCleaned[[#This Row],[ID]], Table4[ID], Table4[Regular], "Not Found", 0)</f>
        <v>2030</v>
      </c>
      <c r="R2060" s="16">
        <f>_xlfn.XLOOKUP(CustomerCombinedCleaned[[#This Row],[ID]], Table4[ID], Table4[Deals], "Not Found", 0)</f>
        <v>4</v>
      </c>
      <c r="S2060" s="16">
        <f>_xlfn.XLOOKUP(CustomerCombinedCleaned[[#This Row],[ID]], Table4[ID], Table4[Website], "Not Found", 0)</f>
        <v>2</v>
      </c>
      <c r="T2060" s="16">
        <f>_xlfn.XLOOKUP(CustomerCombinedCleaned[[#This Row],[ID]], Table4[ID], Table4[Catalog], "Not Found", 0)</f>
        <v>2</v>
      </c>
      <c r="U2060" s="16">
        <f>_xlfn.XLOOKUP(CustomerCombinedCleaned[[#This Row],[ID]], Table4[ID], Table4[Store], "Not Found", 0)</f>
        <v>9</v>
      </c>
      <c r="V2060" s="16">
        <f>_xlfn.XLOOKUP(CustomerCombinedCleaned[[#This Row],[ID]], Table4[ID], Table4[Visits], "Not Found", 0)</f>
        <v>7</v>
      </c>
      <c r="W2060" s="16">
        <f>_xlfn.XLOOKUP(CustomerCombinedCleaned[[#This Row],[ID]], Table2[ID],Table2[Complaint], "Not Found", 0 )</f>
        <v>0</v>
      </c>
      <c r="X2060" s="16">
        <f>_xlfn.XLOOKUP(CustomerCombinedCleaned[[#This Row],[ID]], Table2[ID],Table2[Pilot], "Not Found", 0 )</f>
        <v>0</v>
      </c>
      <c r="Y2060" s="16">
        <f>_xlfn.XLOOKUP(CustomerCombinedCleaned[[#This Row],[ID]], Table2[ID],Table2[MC1], "Not Found", 0 )</f>
        <v>0</v>
      </c>
      <c r="Z2060" s="16">
        <f>_xlfn.XLOOKUP(CustomerCombinedCleaned[[#This Row],[ID]], Table2[ID],Table2[MC2], "Not Found", 0 )</f>
        <v>0</v>
      </c>
      <c r="AA2060" s="16">
        <f>_xlfn.XLOOKUP(CustomerCombinedCleaned[[#This Row],[ID]], Table2[ID],Table2[MC3], "Not Found", 0 )</f>
        <v>0</v>
      </c>
      <c r="AB2060" s="16">
        <f>_xlfn.XLOOKUP(CustomerCombinedCleaned[[#This Row],[ID]], Table2[ID],Table2[MC4], "Not Found", 0 )</f>
        <v>1</v>
      </c>
      <c r="AC2060" s="16">
        <f>_xlfn.XLOOKUP(CustomerCombinedCleaned[[#This Row],[ID]], Table2[ID],Table2[MC5], "Not Found", 0 )</f>
        <v>0</v>
      </c>
    </row>
    <row r="2061" spans="1:29" x14ac:dyDescent="0.3">
      <c r="A2061" s="18">
        <v>3038</v>
      </c>
      <c r="B2061" s="16">
        <v>167046</v>
      </c>
      <c r="C2061" s="16">
        <v>0</v>
      </c>
      <c r="D2061" s="16">
        <v>1</v>
      </c>
      <c r="E2061" s="16">
        <v>69</v>
      </c>
      <c r="F2061" s="17" t="s">
        <v>9</v>
      </c>
      <c r="G2061" s="17" t="s">
        <v>11</v>
      </c>
      <c r="H2061" s="3" t="s">
        <v>334</v>
      </c>
      <c r="I2061" s="5" t="s">
        <v>438</v>
      </c>
      <c r="J2061" s="16">
        <f>_xlfn.XLOOKUP(CustomerCombinedCleaned[[#This Row],[ID]], Table4[ID], Table4[Recency], "Not Found", 0)</f>
        <v>92</v>
      </c>
      <c r="K2061" s="16">
        <f>_xlfn.XLOOKUP(CustomerCombinedCleaned[[#This Row],[ID]], Table4[ID], Table4[Teas], "Not Found", 0)</f>
        <v>1355</v>
      </c>
      <c r="L2061" s="16">
        <f>_xlfn.XLOOKUP(CustomerCombinedCleaned[[#This Row],[ID]], Table4[ID], Table4[Fruits], "Not Found", 0)</f>
        <v>87</v>
      </c>
      <c r="M2061" s="16">
        <f>_xlfn.XLOOKUP(CustomerCombinedCleaned[[#This Row],[ID]], Table4[ID], Table4[Meats], "Not Found", 0)</f>
        <v>331</v>
      </c>
      <c r="N2061" s="16">
        <f>_xlfn.XLOOKUP(CustomerCombinedCleaned[[#This Row],[ID]], Table4[ID], Table4[Seafood], "Not Found", 0)</f>
        <v>57</v>
      </c>
      <c r="O2061" s="16">
        <f>_xlfn.XLOOKUP(CustomerCombinedCleaned[[#This Row],[ID]], Table4[ID], Table4[Sweets], "Not Found", 0)</f>
        <v>376</v>
      </c>
      <c r="P2061" s="16">
        <f>_xlfn.XLOOKUP(CustomerCombinedCleaned[[#This Row],[ID]], Table4[ID], Table4[Premium], "Not Found", 0)</f>
        <v>267</v>
      </c>
      <c r="Q2061" s="16">
        <f>_xlfn.XLOOKUP(CustomerCombinedCleaned[[#This Row],[ID]], Table4[ID], Table4[Regular], "Not Found", 0)</f>
        <v>1941</v>
      </c>
      <c r="R2061" s="16">
        <f>_xlfn.XLOOKUP(CustomerCombinedCleaned[[#This Row],[ID]], Table4[ID], Table4[Deals], "Not Found", 0)</f>
        <v>2</v>
      </c>
      <c r="S2061" s="16">
        <f>_xlfn.XLOOKUP(CustomerCombinedCleaned[[#This Row],[ID]], Table4[ID], Table4[Website], "Not Found", 0)</f>
        <v>4</v>
      </c>
      <c r="T2061" s="16">
        <f>_xlfn.XLOOKUP(CustomerCombinedCleaned[[#This Row],[ID]], Table4[ID], Table4[Catalog], "Not Found", 0)</f>
        <v>5</v>
      </c>
      <c r="U2061" s="16">
        <f>_xlfn.XLOOKUP(CustomerCombinedCleaned[[#This Row],[ID]], Table4[ID], Table4[Store], "Not Found", 0)</f>
        <v>4</v>
      </c>
      <c r="V2061" s="16">
        <f>_xlfn.XLOOKUP(CustomerCombinedCleaned[[#This Row],[ID]], Table4[ID], Table4[Visits], "Not Found", 0)</f>
        <v>2</v>
      </c>
      <c r="W2061" s="16">
        <f>_xlfn.XLOOKUP(CustomerCombinedCleaned[[#This Row],[ID]], Table2[ID],Table2[Complaint], "Not Found", 0 )</f>
        <v>0</v>
      </c>
      <c r="X2061" s="16">
        <f>_xlfn.XLOOKUP(CustomerCombinedCleaned[[#This Row],[ID]], Table2[ID],Table2[Pilot], "Not Found", 0 )</f>
        <v>0</v>
      </c>
      <c r="Y2061" s="16">
        <f>_xlfn.XLOOKUP(CustomerCombinedCleaned[[#This Row],[ID]], Table2[ID],Table2[MC1], "Not Found", 0 )</f>
        <v>0</v>
      </c>
      <c r="Z2061" s="16">
        <f>_xlfn.XLOOKUP(CustomerCombinedCleaned[[#This Row],[ID]], Table2[ID],Table2[MC2], "Not Found", 0 )</f>
        <v>0</v>
      </c>
      <c r="AA2061" s="16">
        <f>_xlfn.XLOOKUP(CustomerCombinedCleaned[[#This Row],[ID]], Table2[ID],Table2[MC3], "Not Found", 0 )</f>
        <v>0</v>
      </c>
      <c r="AB2061" s="16">
        <f>_xlfn.XLOOKUP(CustomerCombinedCleaned[[#This Row],[ID]], Table2[ID],Table2[MC4], "Not Found", 0 )</f>
        <v>0</v>
      </c>
      <c r="AC2061" s="16">
        <f>_xlfn.XLOOKUP(CustomerCombinedCleaned[[#This Row],[ID]], Table2[ID],Table2[MC5], "Not Found", 0 )</f>
        <v>0</v>
      </c>
    </row>
    <row r="2062" spans="1:29" x14ac:dyDescent="0.3">
      <c r="A2062" s="18">
        <v>1913</v>
      </c>
      <c r="B2062" s="16">
        <v>164950</v>
      </c>
      <c r="C2062" s="16">
        <v>0</v>
      </c>
      <c r="D2062" s="16">
        <v>1</v>
      </c>
      <c r="E2062" s="16">
        <v>69</v>
      </c>
      <c r="F2062" s="17" t="s">
        <v>7</v>
      </c>
      <c r="G2062" s="17" t="s">
        <v>13</v>
      </c>
      <c r="H2062" s="3" t="s">
        <v>416</v>
      </c>
      <c r="I2062" s="5" t="s">
        <v>434</v>
      </c>
      <c r="J2062" s="16">
        <f>_xlfn.XLOOKUP(CustomerCombinedCleaned[[#This Row],[ID]], Table4[ID], Table4[Recency], "Not Found", 0)</f>
        <v>29</v>
      </c>
      <c r="K2062" s="16">
        <f>_xlfn.XLOOKUP(CustomerCombinedCleaned[[#This Row],[ID]], Table4[ID], Table4[Teas], "Not Found", 0)</f>
        <v>2080</v>
      </c>
      <c r="L2062" s="16">
        <f>_xlfn.XLOOKUP(CustomerCombinedCleaned[[#This Row],[ID]], Table4[ID], Table4[Fruits], "Not Found", 0)</f>
        <v>0</v>
      </c>
      <c r="M2062" s="16">
        <f>_xlfn.XLOOKUP(CustomerCombinedCleaned[[#This Row],[ID]], Table4[ID], Table4[Meats], "Not Found", 0)</f>
        <v>183</v>
      </c>
      <c r="N2062" s="16">
        <f>_xlfn.XLOOKUP(CustomerCombinedCleaned[[#This Row],[ID]], Table4[ID], Table4[Seafood], "Not Found", 0)</f>
        <v>30</v>
      </c>
      <c r="O2062" s="16">
        <f>_xlfn.XLOOKUP(CustomerCombinedCleaned[[#This Row],[ID]], Table4[ID], Table4[Sweets], "Not Found", 0)</f>
        <v>0</v>
      </c>
      <c r="P2062" s="16">
        <f>_xlfn.XLOOKUP(CustomerCombinedCleaned[[#This Row],[ID]], Table4[ID], Table4[Premium], "Not Found", 0)</f>
        <v>160</v>
      </c>
      <c r="Q2062" s="16">
        <f>_xlfn.XLOOKUP(CustomerCombinedCleaned[[#This Row],[ID]], Table4[ID], Table4[Regular], "Not Found", 0)</f>
        <v>2133</v>
      </c>
      <c r="R2062" s="16">
        <f>_xlfn.XLOOKUP(CustomerCombinedCleaned[[#This Row],[ID]], Table4[ID], Table4[Deals], "Not Found", 0)</f>
        <v>2</v>
      </c>
      <c r="S2062" s="16">
        <f>_xlfn.XLOOKUP(CustomerCombinedCleaned[[#This Row],[ID]], Table4[ID], Table4[Website], "Not Found", 0)</f>
        <v>11</v>
      </c>
      <c r="T2062" s="16">
        <f>_xlfn.XLOOKUP(CustomerCombinedCleaned[[#This Row],[ID]], Table4[ID], Table4[Catalog], "Not Found", 0)</f>
        <v>2</v>
      </c>
      <c r="U2062" s="16">
        <f>_xlfn.XLOOKUP(CustomerCombinedCleaned[[#This Row],[ID]], Table4[ID], Table4[Store], "Not Found", 0)</f>
        <v>10</v>
      </c>
      <c r="V2062" s="16">
        <f>_xlfn.XLOOKUP(CustomerCombinedCleaned[[#This Row],[ID]], Table4[ID], Table4[Visits], "Not Found", 0)</f>
        <v>7</v>
      </c>
      <c r="W2062" s="16">
        <f>_xlfn.XLOOKUP(CustomerCombinedCleaned[[#This Row],[ID]], Table2[ID],Table2[Complaint], "Not Found", 0 )</f>
        <v>0</v>
      </c>
      <c r="X2062" s="16">
        <f>_xlfn.XLOOKUP(CustomerCombinedCleaned[[#This Row],[ID]], Table2[ID],Table2[Pilot], "Not Found", 0 )</f>
        <v>0</v>
      </c>
      <c r="Y2062" s="16">
        <f>_xlfn.XLOOKUP(CustomerCombinedCleaned[[#This Row],[ID]], Table2[ID],Table2[MC1], "Not Found", 0 )</f>
        <v>0</v>
      </c>
      <c r="Z2062" s="16">
        <f>_xlfn.XLOOKUP(CustomerCombinedCleaned[[#This Row],[ID]], Table2[ID],Table2[MC2], "Not Found", 0 )</f>
        <v>0</v>
      </c>
      <c r="AA2062" s="16">
        <f>_xlfn.XLOOKUP(CustomerCombinedCleaned[[#This Row],[ID]], Table2[ID],Table2[MC3], "Not Found", 0 )</f>
        <v>0</v>
      </c>
      <c r="AB2062" s="16">
        <f>_xlfn.XLOOKUP(CustomerCombinedCleaned[[#This Row],[ID]], Table2[ID],Table2[MC4], "Not Found", 0 )</f>
        <v>1</v>
      </c>
      <c r="AC2062" s="16">
        <f>_xlfn.XLOOKUP(CustomerCombinedCleaned[[#This Row],[ID]], Table2[ID],Table2[MC5], "Not Found", 0 )</f>
        <v>0</v>
      </c>
    </row>
    <row r="2063" spans="1:29" x14ac:dyDescent="0.3">
      <c r="A2063" s="18">
        <v>3012</v>
      </c>
      <c r="B2063" s="16">
        <v>160689</v>
      </c>
      <c r="C2063" s="16">
        <v>0</v>
      </c>
      <c r="D2063" s="16">
        <v>1</v>
      </c>
      <c r="E2063" s="16">
        <v>69</v>
      </c>
      <c r="F2063" s="17" t="s">
        <v>7</v>
      </c>
      <c r="G2063" s="17" t="s">
        <v>11</v>
      </c>
      <c r="H2063" s="3" t="s">
        <v>662</v>
      </c>
      <c r="I2063" s="5" t="s">
        <v>436</v>
      </c>
      <c r="J2063" s="16">
        <f>_xlfn.XLOOKUP(CustomerCombinedCleaned[[#This Row],[ID]], Table4[ID], Table4[Recency], "Not Found", 0)</f>
        <v>23</v>
      </c>
      <c r="K2063" s="16">
        <f>_xlfn.XLOOKUP(CustomerCombinedCleaned[[#This Row],[ID]], Table4[ID], Table4[Teas], "Not Found", 0)</f>
        <v>635</v>
      </c>
      <c r="L2063" s="16">
        <f>_xlfn.XLOOKUP(CustomerCombinedCleaned[[#This Row],[ID]], Table4[ID], Table4[Fruits], "Not Found", 0)</f>
        <v>238</v>
      </c>
      <c r="M2063" s="16">
        <f>_xlfn.XLOOKUP(CustomerCombinedCleaned[[#This Row],[ID]], Table4[ID], Table4[Meats], "Not Found", 0)</f>
        <v>572</v>
      </c>
      <c r="N2063" s="16">
        <f>_xlfn.XLOOKUP(CustomerCombinedCleaned[[#This Row],[ID]], Table4[ID], Table4[Seafood], "Not Found", 0)</f>
        <v>167</v>
      </c>
      <c r="O2063" s="16">
        <f>_xlfn.XLOOKUP(CustomerCombinedCleaned[[#This Row],[ID]], Table4[ID], Table4[Sweets], "Not Found", 0)</f>
        <v>16</v>
      </c>
      <c r="P2063" s="16">
        <f>_xlfn.XLOOKUP(CustomerCombinedCleaned[[#This Row],[ID]], Table4[ID], Table4[Premium], "Not Found", 0)</f>
        <v>64</v>
      </c>
      <c r="Q2063" s="16">
        <f>_xlfn.XLOOKUP(CustomerCombinedCleaned[[#This Row],[ID]], Table4[ID], Table4[Regular], "Not Found", 0)</f>
        <v>1565</v>
      </c>
      <c r="R2063" s="16">
        <f>_xlfn.XLOOKUP(CustomerCombinedCleaned[[#This Row],[ID]], Table4[ID], Table4[Deals], "Not Found", 0)</f>
        <v>4</v>
      </c>
      <c r="S2063" s="16">
        <f>_xlfn.XLOOKUP(CustomerCombinedCleaned[[#This Row],[ID]], Table4[ID], Table4[Website], "Not Found", 0)</f>
        <v>4</v>
      </c>
      <c r="T2063" s="16">
        <f>_xlfn.XLOOKUP(CustomerCombinedCleaned[[#This Row],[ID]], Table4[ID], Table4[Catalog], "Not Found", 0)</f>
        <v>4</v>
      </c>
      <c r="U2063" s="16">
        <f>_xlfn.XLOOKUP(CustomerCombinedCleaned[[#This Row],[ID]], Table4[ID], Table4[Store], "Not Found", 0)</f>
        <v>10</v>
      </c>
      <c r="V2063" s="16">
        <f>_xlfn.XLOOKUP(CustomerCombinedCleaned[[#This Row],[ID]], Table4[ID], Table4[Visits], "Not Found", 0)</f>
        <v>3</v>
      </c>
      <c r="W2063" s="16">
        <f>_xlfn.XLOOKUP(CustomerCombinedCleaned[[#This Row],[ID]], Table2[ID],Table2[Complaint], "Not Found", 0 )</f>
        <v>0</v>
      </c>
      <c r="X2063" s="16">
        <f>_xlfn.XLOOKUP(CustomerCombinedCleaned[[#This Row],[ID]], Table2[ID],Table2[Pilot], "Not Found", 0 )</f>
        <v>0</v>
      </c>
      <c r="Y2063" s="16">
        <f>_xlfn.XLOOKUP(CustomerCombinedCleaned[[#This Row],[ID]], Table2[ID],Table2[MC1], "Not Found", 0 )</f>
        <v>0</v>
      </c>
      <c r="Z2063" s="16">
        <f>_xlfn.XLOOKUP(CustomerCombinedCleaned[[#This Row],[ID]], Table2[ID],Table2[MC2], "Not Found", 0 )</f>
        <v>0</v>
      </c>
      <c r="AA2063" s="16">
        <f>_xlfn.XLOOKUP(CustomerCombinedCleaned[[#This Row],[ID]], Table2[ID],Table2[MC3], "Not Found", 0 )</f>
        <v>0</v>
      </c>
      <c r="AB2063" s="16">
        <f>_xlfn.XLOOKUP(CustomerCombinedCleaned[[#This Row],[ID]], Table2[ID],Table2[MC4], "Not Found", 0 )</f>
        <v>0</v>
      </c>
      <c r="AC2063" s="16">
        <f>_xlfn.XLOOKUP(CustomerCombinedCleaned[[#This Row],[ID]], Table2[ID],Table2[MC5], "Not Found", 0 )</f>
        <v>0</v>
      </c>
    </row>
    <row r="2064" spans="1:29" x14ac:dyDescent="0.3">
      <c r="A2064" s="18">
        <v>1996</v>
      </c>
      <c r="B2064" s="16">
        <v>159412</v>
      </c>
      <c r="C2064" s="16">
        <v>0</v>
      </c>
      <c r="D2064" s="16">
        <v>0</v>
      </c>
      <c r="E2064" s="16">
        <v>69</v>
      </c>
      <c r="F2064" s="17" t="s">
        <v>6</v>
      </c>
      <c r="G2064" s="17" t="s">
        <v>12</v>
      </c>
      <c r="H2064" s="3" t="s">
        <v>63</v>
      </c>
      <c r="I2064" s="5" t="s">
        <v>439</v>
      </c>
      <c r="J2064" s="16">
        <f>_xlfn.XLOOKUP(CustomerCombinedCleaned[[#This Row],[ID]], Table4[ID], Table4[Recency], "Not Found", 0)</f>
        <v>56</v>
      </c>
      <c r="K2064" s="16">
        <f>_xlfn.XLOOKUP(CustomerCombinedCleaned[[#This Row],[ID]], Table4[ID], Table4[Teas], "Not Found", 0)</f>
        <v>241</v>
      </c>
      <c r="L2064" s="16">
        <f>_xlfn.XLOOKUP(CustomerCombinedCleaned[[#This Row],[ID]], Table4[ID], Table4[Fruits], "Not Found", 0)</f>
        <v>180</v>
      </c>
      <c r="M2064" s="16">
        <f>_xlfn.XLOOKUP(CustomerCombinedCleaned[[#This Row],[ID]], Table4[ID], Table4[Meats], "Not Found", 0)</f>
        <v>443</v>
      </c>
      <c r="N2064" s="16">
        <f>_xlfn.XLOOKUP(CustomerCombinedCleaned[[#This Row],[ID]], Table4[ID], Table4[Seafood], "Not Found", 0)</f>
        <v>80</v>
      </c>
      <c r="O2064" s="16">
        <f>_xlfn.XLOOKUP(CustomerCombinedCleaned[[#This Row],[ID]], Table4[ID], Table4[Sweets], "Not Found", 0)</f>
        <v>115</v>
      </c>
      <c r="P2064" s="16">
        <f>_xlfn.XLOOKUP(CustomerCombinedCleaned[[#This Row],[ID]], Table4[ID], Table4[Premium], "Not Found", 0)</f>
        <v>30</v>
      </c>
      <c r="Q2064" s="16">
        <f>_xlfn.XLOOKUP(CustomerCombinedCleaned[[#This Row],[ID]], Table4[ID], Table4[Regular], "Not Found", 0)</f>
        <v>1030</v>
      </c>
      <c r="R2064" s="16">
        <f>_xlfn.XLOOKUP(CustomerCombinedCleaned[[#This Row],[ID]], Table4[ID], Table4[Deals], "Not Found", 0)</f>
        <v>1</v>
      </c>
      <c r="S2064" s="16">
        <f>_xlfn.XLOOKUP(CustomerCombinedCleaned[[#This Row],[ID]], Table4[ID], Table4[Website], "Not Found", 0)</f>
        <v>4</v>
      </c>
      <c r="T2064" s="16">
        <f>_xlfn.XLOOKUP(CustomerCombinedCleaned[[#This Row],[ID]], Table4[ID], Table4[Catalog], "Not Found", 0)</f>
        <v>2</v>
      </c>
      <c r="U2064" s="16">
        <f>_xlfn.XLOOKUP(CustomerCombinedCleaned[[#This Row],[ID]], Table4[ID], Table4[Store], "Not Found", 0)</f>
        <v>8</v>
      </c>
      <c r="V2064" s="16">
        <f>_xlfn.XLOOKUP(CustomerCombinedCleaned[[#This Row],[ID]], Table4[ID], Table4[Visits], "Not Found", 0)</f>
        <v>3</v>
      </c>
      <c r="W2064" s="16">
        <f>_xlfn.XLOOKUP(CustomerCombinedCleaned[[#This Row],[ID]], Table2[ID],Table2[Complaint], "Not Found", 0 )</f>
        <v>0</v>
      </c>
      <c r="X2064" s="16">
        <f>_xlfn.XLOOKUP(CustomerCombinedCleaned[[#This Row],[ID]], Table2[ID],Table2[Pilot], "Not Found", 0 )</f>
        <v>0</v>
      </c>
      <c r="Y2064" s="16">
        <f>_xlfn.XLOOKUP(CustomerCombinedCleaned[[#This Row],[ID]], Table2[ID],Table2[MC1], "Not Found", 0 )</f>
        <v>0</v>
      </c>
      <c r="Z2064" s="16">
        <f>_xlfn.XLOOKUP(CustomerCombinedCleaned[[#This Row],[ID]], Table2[ID],Table2[MC2], "Not Found", 0 )</f>
        <v>0</v>
      </c>
      <c r="AA2064" s="16">
        <f>_xlfn.XLOOKUP(CustomerCombinedCleaned[[#This Row],[ID]], Table2[ID],Table2[MC3], "Not Found", 0 )</f>
        <v>0</v>
      </c>
      <c r="AB2064" s="16">
        <f>_xlfn.XLOOKUP(CustomerCombinedCleaned[[#This Row],[ID]], Table2[ID],Table2[MC4], "Not Found", 0 )</f>
        <v>0</v>
      </c>
      <c r="AC2064" s="16">
        <f>_xlfn.XLOOKUP(CustomerCombinedCleaned[[#This Row],[ID]], Table2[ID],Table2[MC5], "Not Found", 0 )</f>
        <v>0</v>
      </c>
    </row>
    <row r="2065" spans="1:29" x14ac:dyDescent="0.3">
      <c r="A2065" s="18">
        <v>2777</v>
      </c>
      <c r="B2065" s="16">
        <v>159385</v>
      </c>
      <c r="C2065" s="16">
        <v>1</v>
      </c>
      <c r="D2065" s="16">
        <v>1</v>
      </c>
      <c r="E2065" s="16">
        <v>69</v>
      </c>
      <c r="F2065" s="17" t="s">
        <v>8</v>
      </c>
      <c r="G2065" s="17" t="s">
        <v>12</v>
      </c>
      <c r="H2065" s="3" t="s">
        <v>641</v>
      </c>
      <c r="I2065" s="5" t="s">
        <v>434</v>
      </c>
      <c r="J2065" s="16">
        <f>_xlfn.XLOOKUP(CustomerCombinedCleaned[[#This Row],[ID]], Table4[ID], Table4[Recency], "Not Found", 0)</f>
        <v>85</v>
      </c>
      <c r="K2065" s="16">
        <f>_xlfn.XLOOKUP(CustomerCombinedCleaned[[#This Row],[ID]], Table4[ID], Table4[Teas], "Not Found", 0)</f>
        <v>362</v>
      </c>
      <c r="L2065" s="16">
        <f>_xlfn.XLOOKUP(CustomerCombinedCleaned[[#This Row],[ID]], Table4[ID], Table4[Fruits], "Not Found", 0)</f>
        <v>0</v>
      </c>
      <c r="M2065" s="16">
        <f>_xlfn.XLOOKUP(CustomerCombinedCleaned[[#This Row],[ID]], Table4[ID], Table4[Meats], "Not Found", 0)</f>
        <v>27</v>
      </c>
      <c r="N2065" s="16">
        <f>_xlfn.XLOOKUP(CustomerCombinedCleaned[[#This Row],[ID]], Table4[ID], Table4[Seafood], "Not Found", 0)</f>
        <v>0</v>
      </c>
      <c r="O2065" s="16">
        <f>_xlfn.XLOOKUP(CustomerCombinedCleaned[[#This Row],[ID]], Table4[ID], Table4[Sweets], "Not Found", 0)</f>
        <v>11</v>
      </c>
      <c r="P2065" s="16">
        <f>_xlfn.XLOOKUP(CustomerCombinedCleaned[[#This Row],[ID]], Table4[ID], Table4[Premium], "Not Found", 0)</f>
        <v>97</v>
      </c>
      <c r="Q2065" s="16">
        <f>_xlfn.XLOOKUP(CustomerCombinedCleaned[[#This Row],[ID]], Table4[ID], Table4[Regular], "Not Found", 0)</f>
        <v>303</v>
      </c>
      <c r="R2065" s="16">
        <f>_xlfn.XLOOKUP(CustomerCombinedCleaned[[#This Row],[ID]], Table4[ID], Table4[Deals], "Not Found", 0)</f>
        <v>2</v>
      </c>
      <c r="S2065" s="16">
        <f>_xlfn.XLOOKUP(CustomerCombinedCleaned[[#This Row],[ID]], Table4[ID], Table4[Website], "Not Found", 0)</f>
        <v>3</v>
      </c>
      <c r="T2065" s="16">
        <f>_xlfn.XLOOKUP(CustomerCombinedCleaned[[#This Row],[ID]], Table4[ID], Table4[Catalog], "Not Found", 0)</f>
        <v>1</v>
      </c>
      <c r="U2065" s="16">
        <f>_xlfn.XLOOKUP(CustomerCombinedCleaned[[#This Row],[ID]], Table4[ID], Table4[Store], "Not Found", 0)</f>
        <v>4</v>
      </c>
      <c r="V2065" s="16">
        <f>_xlfn.XLOOKUP(CustomerCombinedCleaned[[#This Row],[ID]], Table4[ID], Table4[Visits], "Not Found", 0)</f>
        <v>5</v>
      </c>
      <c r="W2065" s="16">
        <f>_xlfn.XLOOKUP(CustomerCombinedCleaned[[#This Row],[ID]], Table2[ID],Table2[Complaint], "Not Found", 0 )</f>
        <v>0</v>
      </c>
      <c r="X2065" s="16">
        <f>_xlfn.XLOOKUP(CustomerCombinedCleaned[[#This Row],[ID]], Table2[ID],Table2[Pilot], "Not Found", 0 )</f>
        <v>0</v>
      </c>
      <c r="Y2065" s="16">
        <f>_xlfn.XLOOKUP(CustomerCombinedCleaned[[#This Row],[ID]], Table2[ID],Table2[MC1], "Not Found", 0 )</f>
        <v>0</v>
      </c>
      <c r="Z2065" s="16">
        <f>_xlfn.XLOOKUP(CustomerCombinedCleaned[[#This Row],[ID]], Table2[ID],Table2[MC2], "Not Found", 0 )</f>
        <v>0</v>
      </c>
      <c r="AA2065" s="16">
        <f>_xlfn.XLOOKUP(CustomerCombinedCleaned[[#This Row],[ID]], Table2[ID],Table2[MC3], "Not Found", 0 )</f>
        <v>0</v>
      </c>
      <c r="AB2065" s="16">
        <f>_xlfn.XLOOKUP(CustomerCombinedCleaned[[#This Row],[ID]], Table2[ID],Table2[MC4], "Not Found", 0 )</f>
        <v>0</v>
      </c>
      <c r="AC2065" s="16">
        <f>_xlfn.XLOOKUP(CustomerCombinedCleaned[[#This Row],[ID]], Table2[ID],Table2[MC5], "Not Found", 0 )</f>
        <v>0</v>
      </c>
    </row>
    <row r="2066" spans="1:29" x14ac:dyDescent="0.3">
      <c r="A2066" s="18">
        <v>2831</v>
      </c>
      <c r="B2066" s="16">
        <v>158217</v>
      </c>
      <c r="C2066" s="16">
        <v>2</v>
      </c>
      <c r="D2066" s="16">
        <v>1</v>
      </c>
      <c r="E2066" s="16">
        <v>69</v>
      </c>
      <c r="F2066" s="17" t="s">
        <v>7</v>
      </c>
      <c r="G2066" s="17" t="s">
        <v>12</v>
      </c>
      <c r="H2066" s="3" t="s">
        <v>359</v>
      </c>
      <c r="I2066" s="5" t="s">
        <v>434</v>
      </c>
      <c r="J2066" s="16">
        <f>_xlfn.XLOOKUP(CustomerCombinedCleaned[[#This Row],[ID]], Table4[ID], Table4[Recency], "Not Found", 0)</f>
        <v>84</v>
      </c>
      <c r="K2066" s="16">
        <f>_xlfn.XLOOKUP(CustomerCombinedCleaned[[#This Row],[ID]], Table4[ID], Table4[Teas], "Not Found", 0)</f>
        <v>185</v>
      </c>
      <c r="L2066" s="16">
        <f>_xlfn.XLOOKUP(CustomerCombinedCleaned[[#This Row],[ID]], Table4[ID], Table4[Fruits], "Not Found", 0)</f>
        <v>3</v>
      </c>
      <c r="M2066" s="16">
        <f>_xlfn.XLOOKUP(CustomerCombinedCleaned[[#This Row],[ID]], Table4[ID], Table4[Meats], "Not Found", 0)</f>
        <v>35</v>
      </c>
      <c r="N2066" s="16">
        <f>_xlfn.XLOOKUP(CustomerCombinedCleaned[[#This Row],[ID]], Table4[ID], Table4[Seafood], "Not Found", 0)</f>
        <v>8</v>
      </c>
      <c r="O2066" s="16">
        <f>_xlfn.XLOOKUP(CustomerCombinedCleaned[[#This Row],[ID]], Table4[ID], Table4[Sweets], "Not Found", 0)</f>
        <v>14</v>
      </c>
      <c r="P2066" s="16">
        <f>_xlfn.XLOOKUP(CustomerCombinedCleaned[[#This Row],[ID]], Table4[ID], Table4[Premium], "Not Found", 0)</f>
        <v>35</v>
      </c>
      <c r="Q2066" s="16">
        <f>_xlfn.XLOOKUP(CustomerCombinedCleaned[[#This Row],[ID]], Table4[ID], Table4[Regular], "Not Found", 0)</f>
        <v>209</v>
      </c>
      <c r="R2066" s="16">
        <f>_xlfn.XLOOKUP(CustomerCombinedCleaned[[#This Row],[ID]], Table4[ID], Table4[Deals], "Not Found", 0)</f>
        <v>1</v>
      </c>
      <c r="S2066" s="16">
        <f>_xlfn.XLOOKUP(CustomerCombinedCleaned[[#This Row],[ID]], Table4[ID], Table4[Website], "Not Found", 0)</f>
        <v>2</v>
      </c>
      <c r="T2066" s="16">
        <f>_xlfn.XLOOKUP(CustomerCombinedCleaned[[#This Row],[ID]], Table4[ID], Table4[Catalog], "Not Found", 0)</f>
        <v>0</v>
      </c>
      <c r="U2066" s="16">
        <f>_xlfn.XLOOKUP(CustomerCombinedCleaned[[#This Row],[ID]], Table4[ID], Table4[Store], "Not Found", 0)</f>
        <v>4</v>
      </c>
      <c r="V2066" s="16">
        <f>_xlfn.XLOOKUP(CustomerCombinedCleaned[[#This Row],[ID]], Table4[ID], Table4[Visits], "Not Found", 0)</f>
        <v>6</v>
      </c>
      <c r="W2066" s="16">
        <f>_xlfn.XLOOKUP(CustomerCombinedCleaned[[#This Row],[ID]], Table2[ID],Table2[Complaint], "Not Found", 0 )</f>
        <v>0</v>
      </c>
      <c r="X2066" s="16">
        <f>_xlfn.XLOOKUP(CustomerCombinedCleaned[[#This Row],[ID]], Table2[ID],Table2[Pilot], "Not Found", 0 )</f>
        <v>0</v>
      </c>
      <c r="Y2066" s="16">
        <f>_xlfn.XLOOKUP(CustomerCombinedCleaned[[#This Row],[ID]], Table2[ID],Table2[MC1], "Not Found", 0 )</f>
        <v>0</v>
      </c>
      <c r="Z2066" s="16">
        <f>_xlfn.XLOOKUP(CustomerCombinedCleaned[[#This Row],[ID]], Table2[ID],Table2[MC2], "Not Found", 0 )</f>
        <v>0</v>
      </c>
      <c r="AA2066" s="16">
        <f>_xlfn.XLOOKUP(CustomerCombinedCleaned[[#This Row],[ID]], Table2[ID],Table2[MC3], "Not Found", 0 )</f>
        <v>0</v>
      </c>
      <c r="AB2066" s="16">
        <f>_xlfn.XLOOKUP(CustomerCombinedCleaned[[#This Row],[ID]], Table2[ID],Table2[MC4], "Not Found", 0 )</f>
        <v>0</v>
      </c>
      <c r="AC2066" s="16">
        <f>_xlfn.XLOOKUP(CustomerCombinedCleaned[[#This Row],[ID]], Table2[ID],Table2[MC5], "Not Found", 0 )</f>
        <v>0</v>
      </c>
    </row>
    <row r="2067" spans="1:29" x14ac:dyDescent="0.3">
      <c r="A2067" s="18">
        <v>2526</v>
      </c>
      <c r="B2067" s="16">
        <v>157530</v>
      </c>
      <c r="C2067" s="16">
        <v>0</v>
      </c>
      <c r="D2067" s="16">
        <v>1</v>
      </c>
      <c r="E2067" s="16">
        <v>69</v>
      </c>
      <c r="F2067" s="17" t="s">
        <v>5</v>
      </c>
      <c r="G2067" s="17" t="s">
        <v>12</v>
      </c>
      <c r="H2067" s="3" t="s">
        <v>170</v>
      </c>
      <c r="I2067" s="5" t="s">
        <v>436</v>
      </c>
      <c r="J2067" s="16">
        <f>_xlfn.XLOOKUP(CustomerCombinedCleaned[[#This Row],[ID]], Table4[ID], Table4[Recency], "Not Found", 0)</f>
        <v>68</v>
      </c>
      <c r="K2067" s="16">
        <f>_xlfn.XLOOKUP(CustomerCombinedCleaned[[#This Row],[ID]], Table4[ID], Table4[Teas], "Not Found", 0)</f>
        <v>137</v>
      </c>
      <c r="L2067" s="16">
        <f>_xlfn.XLOOKUP(CustomerCombinedCleaned[[#This Row],[ID]], Table4[ID], Table4[Fruits], "Not Found", 0)</f>
        <v>3</v>
      </c>
      <c r="M2067" s="16">
        <f>_xlfn.XLOOKUP(CustomerCombinedCleaned[[#This Row],[ID]], Table4[ID], Table4[Meats], "Not Found", 0)</f>
        <v>74</v>
      </c>
      <c r="N2067" s="16">
        <f>_xlfn.XLOOKUP(CustomerCombinedCleaned[[#This Row],[ID]], Table4[ID], Table4[Seafood], "Not Found", 0)</f>
        <v>16</v>
      </c>
      <c r="O2067" s="16">
        <f>_xlfn.XLOOKUP(CustomerCombinedCleaned[[#This Row],[ID]], Table4[ID], Table4[Sweets], "Not Found", 0)</f>
        <v>19</v>
      </c>
      <c r="P2067" s="16">
        <f>_xlfn.XLOOKUP(CustomerCombinedCleaned[[#This Row],[ID]], Table4[ID], Table4[Premium], "Not Found", 0)</f>
        <v>3</v>
      </c>
      <c r="Q2067" s="16">
        <f>_xlfn.XLOOKUP(CustomerCombinedCleaned[[#This Row],[ID]], Table4[ID], Table4[Regular], "Not Found", 0)</f>
        <v>246</v>
      </c>
      <c r="R2067" s="16">
        <f>_xlfn.XLOOKUP(CustomerCombinedCleaned[[#This Row],[ID]], Table4[ID], Table4[Deals], "Not Found", 0)</f>
        <v>1</v>
      </c>
      <c r="S2067" s="16">
        <f>_xlfn.XLOOKUP(CustomerCombinedCleaned[[#This Row],[ID]], Table4[ID], Table4[Website], "Not Found", 0)</f>
        <v>1</v>
      </c>
      <c r="T2067" s="16">
        <f>_xlfn.XLOOKUP(CustomerCombinedCleaned[[#This Row],[ID]], Table4[ID], Table4[Catalog], "Not Found", 0)</f>
        <v>1</v>
      </c>
      <c r="U2067" s="16">
        <f>_xlfn.XLOOKUP(CustomerCombinedCleaned[[#This Row],[ID]], Table4[ID], Table4[Store], "Not Found", 0)</f>
        <v>4</v>
      </c>
      <c r="V2067" s="16">
        <f>_xlfn.XLOOKUP(CustomerCombinedCleaned[[#This Row],[ID]], Table4[ID], Table4[Visits], "Not Found", 0)</f>
        <v>1</v>
      </c>
      <c r="W2067" s="16">
        <f>_xlfn.XLOOKUP(CustomerCombinedCleaned[[#This Row],[ID]], Table2[ID],Table2[Complaint], "Not Found", 0 )</f>
        <v>0</v>
      </c>
      <c r="X2067" s="16">
        <f>_xlfn.XLOOKUP(CustomerCombinedCleaned[[#This Row],[ID]], Table2[ID],Table2[Pilot], "Not Found", 0 )</f>
        <v>0</v>
      </c>
      <c r="Y2067" s="16">
        <f>_xlfn.XLOOKUP(CustomerCombinedCleaned[[#This Row],[ID]], Table2[ID],Table2[MC1], "Not Found", 0 )</f>
        <v>0</v>
      </c>
      <c r="Z2067" s="16">
        <f>_xlfn.XLOOKUP(CustomerCombinedCleaned[[#This Row],[ID]], Table2[ID],Table2[MC2], "Not Found", 0 )</f>
        <v>0</v>
      </c>
      <c r="AA2067" s="16">
        <f>_xlfn.XLOOKUP(CustomerCombinedCleaned[[#This Row],[ID]], Table2[ID],Table2[MC3], "Not Found", 0 )</f>
        <v>0</v>
      </c>
      <c r="AB2067" s="16">
        <f>_xlfn.XLOOKUP(CustomerCombinedCleaned[[#This Row],[ID]], Table2[ID],Table2[MC4], "Not Found", 0 )</f>
        <v>0</v>
      </c>
      <c r="AC2067" s="16">
        <f>_xlfn.XLOOKUP(CustomerCombinedCleaned[[#This Row],[ID]], Table2[ID],Table2[MC5], "Not Found", 0 )</f>
        <v>0</v>
      </c>
    </row>
    <row r="2068" spans="1:29" x14ac:dyDescent="0.3">
      <c r="A2068" s="18">
        <v>2140</v>
      </c>
      <c r="B2068" s="16">
        <v>157304</v>
      </c>
      <c r="C2068" s="16">
        <v>0</v>
      </c>
      <c r="D2068" s="16">
        <v>1</v>
      </c>
      <c r="E2068" s="16">
        <v>69</v>
      </c>
      <c r="F2068" s="17" t="s">
        <v>6</v>
      </c>
      <c r="G2068" s="17" t="s">
        <v>11</v>
      </c>
      <c r="H2068" s="3" t="s">
        <v>296</v>
      </c>
      <c r="I2068" s="5" t="s">
        <v>439</v>
      </c>
      <c r="J2068" s="16">
        <f>_xlfn.XLOOKUP(CustomerCombinedCleaned[[#This Row],[ID]], Table4[ID], Table4[Recency], "Not Found", 0)</f>
        <v>61</v>
      </c>
      <c r="K2068" s="16">
        <f>_xlfn.XLOOKUP(CustomerCombinedCleaned[[#This Row],[ID]], Table4[ID], Table4[Teas], "Not Found", 0)</f>
        <v>977</v>
      </c>
      <c r="L2068" s="16">
        <f>_xlfn.XLOOKUP(CustomerCombinedCleaned[[#This Row],[ID]], Table4[ID], Table4[Fruits], "Not Found", 0)</f>
        <v>220</v>
      </c>
      <c r="M2068" s="16">
        <f>_xlfn.XLOOKUP(CustomerCombinedCleaned[[#This Row],[ID]], Table4[ID], Table4[Meats], "Not Found", 0)</f>
        <v>903</v>
      </c>
      <c r="N2068" s="16">
        <f>_xlfn.XLOOKUP(CustomerCombinedCleaned[[#This Row],[ID]], Table4[ID], Table4[Seafood], "Not Found", 0)</f>
        <v>379</v>
      </c>
      <c r="O2068" s="16">
        <f>_xlfn.XLOOKUP(CustomerCombinedCleaned[[#This Row],[ID]], Table4[ID], Table4[Sweets], "Not Found", 0)</f>
        <v>47</v>
      </c>
      <c r="P2068" s="16">
        <f>_xlfn.XLOOKUP(CustomerCombinedCleaned[[#This Row],[ID]], Table4[ID], Table4[Premium], "Not Found", 0)</f>
        <v>291</v>
      </c>
      <c r="Q2068" s="16">
        <f>_xlfn.XLOOKUP(CustomerCombinedCleaned[[#This Row],[ID]], Table4[ID], Table4[Regular], "Not Found", 0)</f>
        <v>2234</v>
      </c>
      <c r="R2068" s="16">
        <f>_xlfn.XLOOKUP(CustomerCombinedCleaned[[#This Row],[ID]], Table4[ID], Table4[Deals], "Not Found", 0)</f>
        <v>2</v>
      </c>
      <c r="S2068" s="16">
        <f>_xlfn.XLOOKUP(CustomerCombinedCleaned[[#This Row],[ID]], Table4[ID], Table4[Website], "Not Found", 0)</f>
        <v>7</v>
      </c>
      <c r="T2068" s="16">
        <f>_xlfn.XLOOKUP(CustomerCombinedCleaned[[#This Row],[ID]], Table4[ID], Table4[Catalog], "Not Found", 0)</f>
        <v>6</v>
      </c>
      <c r="U2068" s="16">
        <f>_xlfn.XLOOKUP(CustomerCombinedCleaned[[#This Row],[ID]], Table4[ID], Table4[Store], "Not Found", 0)</f>
        <v>10</v>
      </c>
      <c r="V2068" s="16">
        <f>_xlfn.XLOOKUP(CustomerCombinedCleaned[[#This Row],[ID]], Table4[ID], Table4[Visits], "Not Found", 0)</f>
        <v>5</v>
      </c>
      <c r="W2068" s="16">
        <f>_xlfn.XLOOKUP(CustomerCombinedCleaned[[#This Row],[ID]], Table2[ID],Table2[Complaint], "Not Found", 0 )</f>
        <v>0</v>
      </c>
      <c r="X2068" s="16">
        <f>_xlfn.XLOOKUP(CustomerCombinedCleaned[[#This Row],[ID]], Table2[ID],Table2[Pilot], "Not Found", 0 )</f>
        <v>0</v>
      </c>
      <c r="Y2068" s="16">
        <f>_xlfn.XLOOKUP(CustomerCombinedCleaned[[#This Row],[ID]], Table2[ID],Table2[MC1], "Not Found", 0 )</f>
        <v>0</v>
      </c>
      <c r="Z2068" s="16">
        <f>_xlfn.XLOOKUP(CustomerCombinedCleaned[[#This Row],[ID]], Table2[ID],Table2[MC2], "Not Found", 0 )</f>
        <v>0</v>
      </c>
      <c r="AA2068" s="16">
        <f>_xlfn.XLOOKUP(CustomerCombinedCleaned[[#This Row],[ID]], Table2[ID],Table2[MC3], "Not Found", 0 )</f>
        <v>0</v>
      </c>
      <c r="AB2068" s="16">
        <f>_xlfn.XLOOKUP(CustomerCombinedCleaned[[#This Row],[ID]], Table2[ID],Table2[MC4], "Not Found", 0 )</f>
        <v>0</v>
      </c>
      <c r="AC2068" s="16">
        <f>_xlfn.XLOOKUP(CustomerCombinedCleaned[[#This Row],[ID]], Table2[ID],Table2[MC5], "Not Found", 0 )</f>
        <v>0</v>
      </c>
    </row>
    <row r="2069" spans="1:29" x14ac:dyDescent="0.3">
      <c r="A2069" s="18">
        <v>1452</v>
      </c>
      <c r="B2069" s="16">
        <v>153790</v>
      </c>
      <c r="C2069" s="16">
        <v>0</v>
      </c>
      <c r="D2069" s="16">
        <v>2</v>
      </c>
      <c r="E2069" s="16">
        <v>69</v>
      </c>
      <c r="F2069" s="17" t="s">
        <v>6</v>
      </c>
      <c r="G2069" s="17" t="s">
        <v>11</v>
      </c>
      <c r="H2069" s="3" t="s">
        <v>738</v>
      </c>
      <c r="I2069" s="5" t="s">
        <v>436</v>
      </c>
      <c r="J2069" s="16">
        <f>_xlfn.XLOOKUP(CustomerCombinedCleaned[[#This Row],[ID]], Table4[ID], Table4[Recency], "Not Found", 0)</f>
        <v>86</v>
      </c>
      <c r="K2069" s="16">
        <f>_xlfn.XLOOKUP(CustomerCombinedCleaned[[#This Row],[ID]], Table4[ID], Table4[Teas], "Not Found", 0)</f>
        <v>958</v>
      </c>
      <c r="L2069" s="16">
        <f>_xlfn.XLOOKUP(CustomerCombinedCleaned[[#This Row],[ID]], Table4[ID], Table4[Fruits], "Not Found", 0)</f>
        <v>120</v>
      </c>
      <c r="M2069" s="16">
        <f>_xlfn.XLOOKUP(CustomerCombinedCleaned[[#This Row],[ID]], Table4[ID], Table4[Meats], "Not Found", 0)</f>
        <v>363</v>
      </c>
      <c r="N2069" s="16">
        <f>_xlfn.XLOOKUP(CustomerCombinedCleaned[[#This Row],[ID]], Table4[ID], Table4[Seafood], "Not Found", 0)</f>
        <v>80</v>
      </c>
      <c r="O2069" s="16">
        <f>_xlfn.XLOOKUP(CustomerCombinedCleaned[[#This Row],[ID]], Table4[ID], Table4[Sweets], "Not Found", 0)</f>
        <v>14</v>
      </c>
      <c r="P2069" s="16">
        <f>_xlfn.XLOOKUP(CustomerCombinedCleaned[[#This Row],[ID]], Table4[ID], Table4[Premium], "Not Found", 0)</f>
        <v>14</v>
      </c>
      <c r="Q2069" s="16">
        <f>_xlfn.XLOOKUP(CustomerCombinedCleaned[[#This Row],[ID]], Table4[ID], Table4[Regular], "Not Found", 0)</f>
        <v>1521</v>
      </c>
      <c r="R2069" s="16">
        <f>_xlfn.XLOOKUP(CustomerCombinedCleaned[[#This Row],[ID]], Table4[ID], Table4[Deals], "Not Found", 0)</f>
        <v>3</v>
      </c>
      <c r="S2069" s="16">
        <f>_xlfn.XLOOKUP(CustomerCombinedCleaned[[#This Row],[ID]], Table4[ID], Table4[Website], "Not Found", 0)</f>
        <v>7</v>
      </c>
      <c r="T2069" s="16">
        <f>_xlfn.XLOOKUP(CustomerCombinedCleaned[[#This Row],[ID]], Table4[ID], Table4[Catalog], "Not Found", 0)</f>
        <v>2</v>
      </c>
      <c r="U2069" s="16">
        <f>_xlfn.XLOOKUP(CustomerCombinedCleaned[[#This Row],[ID]], Table4[ID], Table4[Store], "Not Found", 0)</f>
        <v>8</v>
      </c>
      <c r="V2069" s="16">
        <f>_xlfn.XLOOKUP(CustomerCombinedCleaned[[#This Row],[ID]], Table4[ID], Table4[Visits], "Not Found", 0)</f>
        <v>6</v>
      </c>
      <c r="W2069" s="16">
        <f>_xlfn.XLOOKUP(CustomerCombinedCleaned[[#This Row],[ID]], Table2[ID],Table2[Complaint], "Not Found", 0 )</f>
        <v>0</v>
      </c>
      <c r="X2069" s="16">
        <f>_xlfn.XLOOKUP(CustomerCombinedCleaned[[#This Row],[ID]], Table2[ID],Table2[Pilot], "Not Found", 0 )</f>
        <v>0</v>
      </c>
      <c r="Y2069" s="16">
        <f>_xlfn.XLOOKUP(CustomerCombinedCleaned[[#This Row],[ID]], Table2[ID],Table2[MC1], "Not Found", 0 )</f>
        <v>0</v>
      </c>
      <c r="Z2069" s="16">
        <f>_xlfn.XLOOKUP(CustomerCombinedCleaned[[#This Row],[ID]], Table2[ID],Table2[MC2], "Not Found", 0 )</f>
        <v>0</v>
      </c>
      <c r="AA2069" s="16">
        <f>_xlfn.XLOOKUP(CustomerCombinedCleaned[[#This Row],[ID]], Table2[ID],Table2[MC3], "Not Found", 0 )</f>
        <v>0</v>
      </c>
      <c r="AB2069" s="16">
        <f>_xlfn.XLOOKUP(CustomerCombinedCleaned[[#This Row],[ID]], Table2[ID],Table2[MC4], "Not Found", 0 )</f>
        <v>0</v>
      </c>
      <c r="AC2069" s="16">
        <f>_xlfn.XLOOKUP(CustomerCombinedCleaned[[#This Row],[ID]], Table2[ID],Table2[MC5], "Not Found", 0 )</f>
        <v>0</v>
      </c>
    </row>
    <row r="2070" spans="1:29" x14ac:dyDescent="0.3">
      <c r="A2070" s="18">
        <v>2038</v>
      </c>
      <c r="B2070" s="16">
        <v>153312</v>
      </c>
      <c r="C2070" s="16">
        <v>0</v>
      </c>
      <c r="D2070" s="16">
        <v>0</v>
      </c>
      <c r="E2070" s="16">
        <v>69</v>
      </c>
      <c r="F2070" s="17" t="s">
        <v>6</v>
      </c>
      <c r="G2070" s="17" t="s">
        <v>13</v>
      </c>
      <c r="H2070" s="3" t="s">
        <v>208</v>
      </c>
      <c r="I2070" s="5" t="s">
        <v>439</v>
      </c>
      <c r="J2070" s="16">
        <f>_xlfn.XLOOKUP(CustomerCombinedCleaned[[#This Row],[ID]], Table4[ID], Table4[Recency], "Not Found", 0)</f>
        <v>32</v>
      </c>
      <c r="K2070" s="16">
        <f>_xlfn.XLOOKUP(CustomerCombinedCleaned[[#This Row],[ID]], Table4[ID], Table4[Teas], "Not Found", 0)</f>
        <v>693</v>
      </c>
      <c r="L2070" s="16">
        <f>_xlfn.XLOOKUP(CustomerCombinedCleaned[[#This Row],[ID]], Table4[ID], Table4[Fruits], "Not Found", 0)</f>
        <v>0</v>
      </c>
      <c r="M2070" s="16">
        <f>_xlfn.XLOOKUP(CustomerCombinedCleaned[[#This Row],[ID]], Table4[ID], Table4[Meats], "Not Found", 0)</f>
        <v>35</v>
      </c>
      <c r="N2070" s="16">
        <f>_xlfn.XLOOKUP(CustomerCombinedCleaned[[#This Row],[ID]], Table4[ID], Table4[Seafood], "Not Found", 0)</f>
        <v>0</v>
      </c>
      <c r="O2070" s="16">
        <f>_xlfn.XLOOKUP(CustomerCombinedCleaned[[#This Row],[ID]], Table4[ID], Table4[Sweets], "Not Found", 0)</f>
        <v>0</v>
      </c>
      <c r="P2070" s="16">
        <f>_xlfn.XLOOKUP(CustomerCombinedCleaned[[#This Row],[ID]], Table4[ID], Table4[Premium], "Not Found", 0)</f>
        <v>72</v>
      </c>
      <c r="Q2070" s="16">
        <f>_xlfn.XLOOKUP(CustomerCombinedCleaned[[#This Row],[ID]], Table4[ID], Table4[Regular], "Not Found", 0)</f>
        <v>656</v>
      </c>
      <c r="R2070" s="16">
        <f>_xlfn.XLOOKUP(CustomerCombinedCleaned[[#This Row],[ID]], Table4[ID], Table4[Deals], "Not Found", 0)</f>
        <v>1</v>
      </c>
      <c r="S2070" s="16">
        <f>_xlfn.XLOOKUP(CustomerCombinedCleaned[[#This Row],[ID]], Table4[ID], Table4[Website], "Not Found", 0)</f>
        <v>5</v>
      </c>
      <c r="T2070" s="16">
        <f>_xlfn.XLOOKUP(CustomerCombinedCleaned[[#This Row],[ID]], Table4[ID], Table4[Catalog], "Not Found", 0)</f>
        <v>1</v>
      </c>
      <c r="U2070" s="16">
        <f>_xlfn.XLOOKUP(CustomerCombinedCleaned[[#This Row],[ID]], Table4[ID], Table4[Store], "Not Found", 0)</f>
        <v>5</v>
      </c>
      <c r="V2070" s="16">
        <f>_xlfn.XLOOKUP(CustomerCombinedCleaned[[#This Row],[ID]], Table4[ID], Table4[Visits], "Not Found", 0)</f>
        <v>7</v>
      </c>
      <c r="W2070" s="16">
        <f>_xlfn.XLOOKUP(CustomerCombinedCleaned[[#This Row],[ID]], Table2[ID],Table2[Complaint], "Not Found", 0 )</f>
        <v>0</v>
      </c>
      <c r="X2070" s="16">
        <f>_xlfn.XLOOKUP(CustomerCombinedCleaned[[#This Row],[ID]], Table2[ID],Table2[Pilot], "Not Found", 0 )</f>
        <v>0</v>
      </c>
      <c r="Y2070" s="16">
        <f>_xlfn.XLOOKUP(CustomerCombinedCleaned[[#This Row],[ID]], Table2[ID],Table2[MC1], "Not Found", 0 )</f>
        <v>0</v>
      </c>
      <c r="Z2070" s="16">
        <f>_xlfn.XLOOKUP(CustomerCombinedCleaned[[#This Row],[ID]], Table2[ID],Table2[MC2], "Not Found", 0 )</f>
        <v>0</v>
      </c>
      <c r="AA2070" s="16">
        <f>_xlfn.XLOOKUP(CustomerCombinedCleaned[[#This Row],[ID]], Table2[ID],Table2[MC3], "Not Found", 0 )</f>
        <v>0</v>
      </c>
      <c r="AB2070" s="16">
        <f>_xlfn.XLOOKUP(CustomerCombinedCleaned[[#This Row],[ID]], Table2[ID],Table2[MC4], "Not Found", 0 )</f>
        <v>0</v>
      </c>
      <c r="AC2070" s="16">
        <f>_xlfn.XLOOKUP(CustomerCombinedCleaned[[#This Row],[ID]], Table2[ID],Table2[MC5], "Not Found", 0 )</f>
        <v>0</v>
      </c>
    </row>
    <row r="2071" spans="1:29" x14ac:dyDescent="0.3">
      <c r="A2071" s="18">
        <v>1034</v>
      </c>
      <c r="B2071" s="16">
        <v>149389</v>
      </c>
      <c r="C2071" s="16">
        <v>1</v>
      </c>
      <c r="D2071" s="16">
        <v>1</v>
      </c>
      <c r="E2071" s="16">
        <v>69</v>
      </c>
      <c r="F2071" s="17" t="s">
        <v>7</v>
      </c>
      <c r="G2071" s="17" t="s">
        <v>12</v>
      </c>
      <c r="H2071" s="3" t="s">
        <v>752</v>
      </c>
      <c r="I2071" s="5" t="s">
        <v>438</v>
      </c>
      <c r="J2071" s="16">
        <f>_xlfn.XLOOKUP(CustomerCombinedCleaned[[#This Row],[ID]], Table4[ID], Table4[Recency], "Not Found", 0)</f>
        <v>55</v>
      </c>
      <c r="K2071" s="16">
        <f>_xlfn.XLOOKUP(CustomerCombinedCleaned[[#This Row],[ID]], Table4[ID], Table4[Teas], "Not Found", 0)</f>
        <v>121</v>
      </c>
      <c r="L2071" s="16">
        <f>_xlfn.XLOOKUP(CustomerCombinedCleaned[[#This Row],[ID]], Table4[ID], Table4[Fruits], "Not Found", 0)</f>
        <v>0</v>
      </c>
      <c r="M2071" s="16">
        <f>_xlfn.XLOOKUP(CustomerCombinedCleaned[[#This Row],[ID]], Table4[ID], Table4[Meats], "Not Found", 0)</f>
        <v>57</v>
      </c>
      <c r="N2071" s="16">
        <f>_xlfn.XLOOKUP(CustomerCombinedCleaned[[#This Row],[ID]], Table4[ID], Table4[Seafood], "Not Found", 0)</f>
        <v>6</v>
      </c>
      <c r="O2071" s="16">
        <f>_xlfn.XLOOKUP(CustomerCombinedCleaned[[#This Row],[ID]], Table4[ID], Table4[Sweets], "Not Found", 0)</f>
        <v>3</v>
      </c>
      <c r="P2071" s="16">
        <f>_xlfn.XLOOKUP(CustomerCombinedCleaned[[#This Row],[ID]], Table4[ID], Table4[Premium], "Not Found", 0)</f>
        <v>9</v>
      </c>
      <c r="Q2071" s="16">
        <f>_xlfn.XLOOKUP(CustomerCombinedCleaned[[#This Row],[ID]], Table4[ID], Table4[Regular], "Not Found", 0)</f>
        <v>178</v>
      </c>
      <c r="R2071" s="16">
        <f>_xlfn.XLOOKUP(CustomerCombinedCleaned[[#This Row],[ID]], Table4[ID], Table4[Deals], "Not Found", 0)</f>
        <v>1</v>
      </c>
      <c r="S2071" s="16">
        <f>_xlfn.XLOOKUP(CustomerCombinedCleaned[[#This Row],[ID]], Table4[ID], Table4[Website], "Not Found", 0)</f>
        <v>2</v>
      </c>
      <c r="T2071" s="16">
        <f>_xlfn.XLOOKUP(CustomerCombinedCleaned[[#This Row],[ID]], Table4[ID], Table4[Catalog], "Not Found", 0)</f>
        <v>0</v>
      </c>
      <c r="U2071" s="16">
        <f>_xlfn.XLOOKUP(CustomerCombinedCleaned[[#This Row],[ID]], Table4[ID], Table4[Store], "Not Found", 0)</f>
        <v>3</v>
      </c>
      <c r="V2071" s="16">
        <f>_xlfn.XLOOKUP(CustomerCombinedCleaned[[#This Row],[ID]], Table4[ID], Table4[Visits], "Not Found", 0)</f>
        <v>7</v>
      </c>
      <c r="W2071" s="16">
        <f>_xlfn.XLOOKUP(CustomerCombinedCleaned[[#This Row],[ID]], Table2[ID],Table2[Complaint], "Not Found", 0 )</f>
        <v>0</v>
      </c>
      <c r="X2071" s="16">
        <f>_xlfn.XLOOKUP(CustomerCombinedCleaned[[#This Row],[ID]], Table2[ID],Table2[Pilot], "Not Found", 0 )</f>
        <v>0</v>
      </c>
      <c r="Y2071" s="16">
        <f>_xlfn.XLOOKUP(CustomerCombinedCleaned[[#This Row],[ID]], Table2[ID],Table2[MC1], "Not Found", 0 )</f>
        <v>0</v>
      </c>
      <c r="Z2071" s="16">
        <f>_xlfn.XLOOKUP(CustomerCombinedCleaned[[#This Row],[ID]], Table2[ID],Table2[MC2], "Not Found", 0 )</f>
        <v>0</v>
      </c>
      <c r="AA2071" s="16">
        <f>_xlfn.XLOOKUP(CustomerCombinedCleaned[[#This Row],[ID]], Table2[ID],Table2[MC3], "Not Found", 0 )</f>
        <v>0</v>
      </c>
      <c r="AB2071" s="16">
        <f>_xlfn.XLOOKUP(CustomerCombinedCleaned[[#This Row],[ID]], Table2[ID],Table2[MC4], "Not Found", 0 )</f>
        <v>0</v>
      </c>
      <c r="AC2071" s="16">
        <f>_xlfn.XLOOKUP(CustomerCombinedCleaned[[#This Row],[ID]], Table2[ID],Table2[MC5], "Not Found", 0 )</f>
        <v>0</v>
      </c>
    </row>
    <row r="2072" spans="1:29" x14ac:dyDescent="0.3">
      <c r="A2072" s="18">
        <v>2665</v>
      </c>
      <c r="B2072" s="16">
        <v>149090</v>
      </c>
      <c r="C2072" s="16">
        <v>0</v>
      </c>
      <c r="D2072" s="16">
        <v>1</v>
      </c>
      <c r="E2072" s="16">
        <v>69</v>
      </c>
      <c r="F2072" s="17" t="s">
        <v>7</v>
      </c>
      <c r="G2072" s="17" t="s">
        <v>11</v>
      </c>
      <c r="H2072" s="3" t="s">
        <v>217</v>
      </c>
      <c r="I2072" s="5" t="s">
        <v>437</v>
      </c>
      <c r="J2072" s="16">
        <f>_xlfn.XLOOKUP(CustomerCombinedCleaned[[#This Row],[ID]], Table4[ID], Table4[Recency], "Not Found", 0)</f>
        <v>45</v>
      </c>
      <c r="K2072" s="16">
        <f>_xlfn.XLOOKUP(CustomerCombinedCleaned[[#This Row],[ID]], Table4[ID], Table4[Teas], "Not Found", 0)</f>
        <v>1500</v>
      </c>
      <c r="L2072" s="16">
        <f>_xlfn.XLOOKUP(CustomerCombinedCleaned[[#This Row],[ID]], Table4[ID], Table4[Fruits], "Not Found", 0)</f>
        <v>15</v>
      </c>
      <c r="M2072" s="16">
        <f>_xlfn.XLOOKUP(CustomerCombinedCleaned[[#This Row],[ID]], Table4[ID], Table4[Meats], "Not Found", 0)</f>
        <v>249</v>
      </c>
      <c r="N2072" s="16">
        <f>_xlfn.XLOOKUP(CustomerCombinedCleaned[[#This Row],[ID]], Table4[ID], Table4[Seafood], "Not Found", 0)</f>
        <v>21</v>
      </c>
      <c r="O2072" s="16">
        <f>_xlfn.XLOOKUP(CustomerCombinedCleaned[[#This Row],[ID]], Table4[ID], Table4[Sweets], "Not Found", 0)</f>
        <v>0</v>
      </c>
      <c r="P2072" s="16">
        <f>_xlfn.XLOOKUP(CustomerCombinedCleaned[[#This Row],[ID]], Table4[ID], Table4[Premium], "Not Found", 0)</f>
        <v>304</v>
      </c>
      <c r="Q2072" s="16">
        <f>_xlfn.XLOOKUP(CustomerCombinedCleaned[[#This Row],[ID]], Table4[ID], Table4[Regular], "Not Found", 0)</f>
        <v>1482</v>
      </c>
      <c r="R2072" s="16">
        <f>_xlfn.XLOOKUP(CustomerCombinedCleaned[[#This Row],[ID]], Table4[ID], Table4[Deals], "Not Found", 0)</f>
        <v>3</v>
      </c>
      <c r="S2072" s="16">
        <f>_xlfn.XLOOKUP(CustomerCombinedCleaned[[#This Row],[ID]], Table4[ID], Table4[Website], "Not Found", 0)</f>
        <v>7</v>
      </c>
      <c r="T2072" s="16">
        <f>_xlfn.XLOOKUP(CustomerCombinedCleaned[[#This Row],[ID]], Table4[ID], Table4[Catalog], "Not Found", 0)</f>
        <v>2</v>
      </c>
      <c r="U2072" s="16">
        <f>_xlfn.XLOOKUP(CustomerCombinedCleaned[[#This Row],[ID]], Table4[ID], Table4[Store], "Not Found", 0)</f>
        <v>9</v>
      </c>
      <c r="V2072" s="16">
        <f>_xlfn.XLOOKUP(CustomerCombinedCleaned[[#This Row],[ID]], Table4[ID], Table4[Visits], "Not Found", 0)</f>
        <v>7</v>
      </c>
      <c r="W2072" s="16">
        <f>_xlfn.XLOOKUP(CustomerCombinedCleaned[[#This Row],[ID]], Table2[ID],Table2[Complaint], "Not Found", 0 )</f>
        <v>0</v>
      </c>
      <c r="X2072" s="16">
        <f>_xlfn.XLOOKUP(CustomerCombinedCleaned[[#This Row],[ID]], Table2[ID],Table2[Pilot], "Not Found", 0 )</f>
        <v>0</v>
      </c>
      <c r="Y2072" s="16">
        <f>_xlfn.XLOOKUP(CustomerCombinedCleaned[[#This Row],[ID]], Table2[ID],Table2[MC1], "Not Found", 0 )</f>
        <v>0</v>
      </c>
      <c r="Z2072" s="16">
        <f>_xlfn.XLOOKUP(CustomerCombinedCleaned[[#This Row],[ID]], Table2[ID],Table2[MC2], "Not Found", 0 )</f>
        <v>0</v>
      </c>
      <c r="AA2072" s="16">
        <f>_xlfn.XLOOKUP(CustomerCombinedCleaned[[#This Row],[ID]], Table2[ID],Table2[MC3], "Not Found", 0 )</f>
        <v>0</v>
      </c>
      <c r="AB2072" s="16">
        <f>_xlfn.XLOOKUP(CustomerCombinedCleaned[[#This Row],[ID]], Table2[ID],Table2[MC4], "Not Found", 0 )</f>
        <v>0</v>
      </c>
      <c r="AC2072" s="16">
        <f>_xlfn.XLOOKUP(CustomerCombinedCleaned[[#This Row],[ID]], Table2[ID],Table2[MC5], "Not Found", 0 )</f>
        <v>0</v>
      </c>
    </row>
    <row r="2073" spans="1:29" x14ac:dyDescent="0.3">
      <c r="A2073" s="18">
        <v>1519</v>
      </c>
      <c r="B2073" s="16">
        <v>147352</v>
      </c>
      <c r="C2073" s="16">
        <v>0</v>
      </c>
      <c r="D2073" s="16">
        <v>1</v>
      </c>
      <c r="E2073" s="16">
        <v>69</v>
      </c>
      <c r="F2073" s="17" t="s">
        <v>8</v>
      </c>
      <c r="G2073" s="17" t="s">
        <v>12</v>
      </c>
      <c r="H2073" s="3" t="s">
        <v>278</v>
      </c>
      <c r="I2073" s="5" t="s">
        <v>437</v>
      </c>
      <c r="J2073" s="16">
        <f>_xlfn.XLOOKUP(CustomerCombinedCleaned[[#This Row],[ID]], Table4[ID], Table4[Recency], "Not Found", 0)</f>
        <v>70</v>
      </c>
      <c r="K2073" s="16">
        <f>_xlfn.XLOOKUP(CustomerCombinedCleaned[[#This Row],[ID]], Table4[ID], Table4[Teas], "Not Found", 0)</f>
        <v>535</v>
      </c>
      <c r="L2073" s="16">
        <f>_xlfn.XLOOKUP(CustomerCombinedCleaned[[#This Row],[ID]], Table4[ID], Table4[Fruits], "Not Found", 0)</f>
        <v>37</v>
      </c>
      <c r="M2073" s="16">
        <f>_xlfn.XLOOKUP(CustomerCombinedCleaned[[#This Row],[ID]], Table4[ID], Table4[Meats], "Not Found", 0)</f>
        <v>349</v>
      </c>
      <c r="N2073" s="16">
        <f>_xlfn.XLOOKUP(CustomerCombinedCleaned[[#This Row],[ID]], Table4[ID], Table4[Seafood], "Not Found", 0)</f>
        <v>25</v>
      </c>
      <c r="O2073" s="16">
        <f>_xlfn.XLOOKUP(CustomerCombinedCleaned[[#This Row],[ID]], Table4[ID], Table4[Sweets], "Not Found", 0)</f>
        <v>0</v>
      </c>
      <c r="P2073" s="16">
        <f>_xlfn.XLOOKUP(CustomerCombinedCleaned[[#This Row],[ID]], Table4[ID], Table4[Premium], "Not Found", 0)</f>
        <v>47</v>
      </c>
      <c r="Q2073" s="16">
        <f>_xlfn.XLOOKUP(CustomerCombinedCleaned[[#This Row],[ID]], Table4[ID], Table4[Regular], "Not Found", 0)</f>
        <v>899</v>
      </c>
      <c r="R2073" s="16">
        <f>_xlfn.XLOOKUP(CustomerCombinedCleaned[[#This Row],[ID]], Table4[ID], Table4[Deals], "Not Found", 0)</f>
        <v>4</v>
      </c>
      <c r="S2073" s="16">
        <f>_xlfn.XLOOKUP(CustomerCombinedCleaned[[#This Row],[ID]], Table4[ID], Table4[Website], "Not Found", 0)</f>
        <v>6</v>
      </c>
      <c r="T2073" s="16">
        <f>_xlfn.XLOOKUP(CustomerCombinedCleaned[[#This Row],[ID]], Table4[ID], Table4[Catalog], "Not Found", 0)</f>
        <v>1</v>
      </c>
      <c r="U2073" s="16">
        <f>_xlfn.XLOOKUP(CustomerCombinedCleaned[[#This Row],[ID]], Table4[ID], Table4[Store], "Not Found", 0)</f>
        <v>5</v>
      </c>
      <c r="V2073" s="16">
        <f>_xlfn.XLOOKUP(CustomerCombinedCleaned[[#This Row],[ID]], Table4[ID], Table4[Visits], "Not Found", 0)</f>
        <v>7</v>
      </c>
      <c r="W2073" s="16">
        <f>_xlfn.XLOOKUP(CustomerCombinedCleaned[[#This Row],[ID]], Table2[ID],Table2[Complaint], "Not Found", 0 )</f>
        <v>0</v>
      </c>
      <c r="X2073" s="16">
        <f>_xlfn.XLOOKUP(CustomerCombinedCleaned[[#This Row],[ID]], Table2[ID],Table2[Pilot], "Not Found", 0 )</f>
        <v>0</v>
      </c>
      <c r="Y2073" s="16">
        <f>_xlfn.XLOOKUP(CustomerCombinedCleaned[[#This Row],[ID]], Table2[ID],Table2[MC1], "Not Found", 0 )</f>
        <v>0</v>
      </c>
      <c r="Z2073" s="16">
        <f>_xlfn.XLOOKUP(CustomerCombinedCleaned[[#This Row],[ID]], Table2[ID],Table2[MC2], "Not Found", 0 )</f>
        <v>0</v>
      </c>
      <c r="AA2073" s="16">
        <f>_xlfn.XLOOKUP(CustomerCombinedCleaned[[#This Row],[ID]], Table2[ID],Table2[MC3], "Not Found", 0 )</f>
        <v>0</v>
      </c>
      <c r="AB2073" s="16">
        <f>_xlfn.XLOOKUP(CustomerCombinedCleaned[[#This Row],[ID]], Table2[ID],Table2[MC4], "Not Found", 0 )</f>
        <v>0</v>
      </c>
      <c r="AC2073" s="16">
        <f>_xlfn.XLOOKUP(CustomerCombinedCleaned[[#This Row],[ID]], Table2[ID],Table2[MC5], "Not Found", 0 )</f>
        <v>0</v>
      </c>
    </row>
    <row r="2074" spans="1:29" x14ac:dyDescent="0.3">
      <c r="A2074" s="18">
        <v>2382</v>
      </c>
      <c r="B2074" s="16">
        <v>147352</v>
      </c>
      <c r="C2074" s="16">
        <v>0</v>
      </c>
      <c r="D2074" s="16">
        <v>1</v>
      </c>
      <c r="E2074" s="16">
        <v>69</v>
      </c>
      <c r="F2074" s="17" t="s">
        <v>8</v>
      </c>
      <c r="G2074" s="17" t="s">
        <v>12</v>
      </c>
      <c r="H2074" s="3" t="s">
        <v>278</v>
      </c>
      <c r="I2074" s="5" t="s">
        <v>436</v>
      </c>
      <c r="J2074" s="16">
        <f>_xlfn.XLOOKUP(CustomerCombinedCleaned[[#This Row],[ID]], Table4[ID], Table4[Recency], "Not Found", 0)</f>
        <v>70</v>
      </c>
      <c r="K2074" s="16">
        <f>_xlfn.XLOOKUP(CustomerCombinedCleaned[[#This Row],[ID]], Table4[ID], Table4[Teas], "Not Found", 0)</f>
        <v>535</v>
      </c>
      <c r="L2074" s="16">
        <f>_xlfn.XLOOKUP(CustomerCombinedCleaned[[#This Row],[ID]], Table4[ID], Table4[Fruits], "Not Found", 0)</f>
        <v>37</v>
      </c>
      <c r="M2074" s="16">
        <f>_xlfn.XLOOKUP(CustomerCombinedCleaned[[#This Row],[ID]], Table4[ID], Table4[Meats], "Not Found", 0)</f>
        <v>349</v>
      </c>
      <c r="N2074" s="16">
        <f>_xlfn.XLOOKUP(CustomerCombinedCleaned[[#This Row],[ID]], Table4[ID], Table4[Seafood], "Not Found", 0)</f>
        <v>25</v>
      </c>
      <c r="O2074" s="16">
        <f>_xlfn.XLOOKUP(CustomerCombinedCleaned[[#This Row],[ID]], Table4[ID], Table4[Sweets], "Not Found", 0)</f>
        <v>0</v>
      </c>
      <c r="P2074" s="16">
        <f>_xlfn.XLOOKUP(CustomerCombinedCleaned[[#This Row],[ID]], Table4[ID], Table4[Premium], "Not Found", 0)</f>
        <v>47</v>
      </c>
      <c r="Q2074" s="16">
        <f>_xlfn.XLOOKUP(CustomerCombinedCleaned[[#This Row],[ID]], Table4[ID], Table4[Regular], "Not Found", 0)</f>
        <v>899</v>
      </c>
      <c r="R2074" s="16">
        <f>_xlfn.XLOOKUP(CustomerCombinedCleaned[[#This Row],[ID]], Table4[ID], Table4[Deals], "Not Found", 0)</f>
        <v>4</v>
      </c>
      <c r="S2074" s="16">
        <f>_xlfn.XLOOKUP(CustomerCombinedCleaned[[#This Row],[ID]], Table4[ID], Table4[Website], "Not Found", 0)</f>
        <v>6</v>
      </c>
      <c r="T2074" s="16">
        <f>_xlfn.XLOOKUP(CustomerCombinedCleaned[[#This Row],[ID]], Table4[ID], Table4[Catalog], "Not Found", 0)</f>
        <v>1</v>
      </c>
      <c r="U2074" s="16">
        <f>_xlfn.XLOOKUP(CustomerCombinedCleaned[[#This Row],[ID]], Table4[ID], Table4[Store], "Not Found", 0)</f>
        <v>5</v>
      </c>
      <c r="V2074" s="16">
        <f>_xlfn.XLOOKUP(CustomerCombinedCleaned[[#This Row],[ID]], Table4[ID], Table4[Visits], "Not Found", 0)</f>
        <v>7</v>
      </c>
      <c r="W2074" s="16">
        <f>_xlfn.XLOOKUP(CustomerCombinedCleaned[[#This Row],[ID]], Table2[ID],Table2[Complaint], "Not Found", 0 )</f>
        <v>0</v>
      </c>
      <c r="X2074" s="16">
        <f>_xlfn.XLOOKUP(CustomerCombinedCleaned[[#This Row],[ID]], Table2[ID],Table2[Pilot], "Not Found", 0 )</f>
        <v>0</v>
      </c>
      <c r="Y2074" s="16">
        <f>_xlfn.XLOOKUP(CustomerCombinedCleaned[[#This Row],[ID]], Table2[ID],Table2[MC1], "Not Found", 0 )</f>
        <v>0</v>
      </c>
      <c r="Z2074" s="16">
        <f>_xlfn.XLOOKUP(CustomerCombinedCleaned[[#This Row],[ID]], Table2[ID],Table2[MC2], "Not Found", 0 )</f>
        <v>0</v>
      </c>
      <c r="AA2074" s="16">
        <f>_xlfn.XLOOKUP(CustomerCombinedCleaned[[#This Row],[ID]], Table2[ID],Table2[MC3], "Not Found", 0 )</f>
        <v>0</v>
      </c>
      <c r="AB2074" s="16">
        <f>_xlfn.XLOOKUP(CustomerCombinedCleaned[[#This Row],[ID]], Table2[ID],Table2[MC4], "Not Found", 0 )</f>
        <v>0</v>
      </c>
      <c r="AC2074" s="16">
        <f>_xlfn.XLOOKUP(CustomerCombinedCleaned[[#This Row],[ID]], Table2[ID],Table2[MC5], "Not Found", 0 )</f>
        <v>0</v>
      </c>
    </row>
    <row r="2075" spans="1:29" x14ac:dyDescent="0.3">
      <c r="A2075" s="18">
        <v>2779</v>
      </c>
      <c r="B2075" s="16">
        <v>144689</v>
      </c>
      <c r="C2075" s="16">
        <v>1</v>
      </c>
      <c r="D2075" s="16">
        <v>1</v>
      </c>
      <c r="E2075" s="16">
        <v>69</v>
      </c>
      <c r="F2075" s="17" t="s">
        <v>6</v>
      </c>
      <c r="G2075" s="17" t="s">
        <v>11</v>
      </c>
      <c r="H2075" s="3" t="s">
        <v>120</v>
      </c>
      <c r="I2075" s="5" t="s">
        <v>437</v>
      </c>
      <c r="J2075" s="16">
        <f>_xlfn.XLOOKUP(CustomerCombinedCleaned[[#This Row],[ID]], Table4[ID], Table4[Recency], "Not Found", 0)</f>
        <v>82</v>
      </c>
      <c r="K2075" s="16">
        <f>_xlfn.XLOOKUP(CustomerCombinedCleaned[[#This Row],[ID]], Table4[ID], Table4[Teas], "Not Found", 0)</f>
        <v>58</v>
      </c>
      <c r="L2075" s="16">
        <f>_xlfn.XLOOKUP(CustomerCombinedCleaned[[#This Row],[ID]], Table4[ID], Table4[Fruits], "Not Found", 0)</f>
        <v>0</v>
      </c>
      <c r="M2075" s="16">
        <f>_xlfn.XLOOKUP(CustomerCombinedCleaned[[#This Row],[ID]], Table4[ID], Table4[Meats], "Not Found", 0)</f>
        <v>16</v>
      </c>
      <c r="N2075" s="16">
        <f>_xlfn.XLOOKUP(CustomerCombinedCleaned[[#This Row],[ID]], Table4[ID], Table4[Seafood], "Not Found", 0)</f>
        <v>0</v>
      </c>
      <c r="O2075" s="16">
        <f>_xlfn.XLOOKUP(CustomerCombinedCleaned[[#This Row],[ID]], Table4[ID], Table4[Sweets], "Not Found", 0)</f>
        <v>0</v>
      </c>
      <c r="P2075" s="16">
        <f>_xlfn.XLOOKUP(CustomerCombinedCleaned[[#This Row],[ID]], Table4[ID], Table4[Premium], "Not Found", 0)</f>
        <v>36</v>
      </c>
      <c r="Q2075" s="16">
        <f>_xlfn.XLOOKUP(CustomerCombinedCleaned[[#This Row],[ID]], Table4[ID], Table4[Regular], "Not Found", 0)</f>
        <v>39</v>
      </c>
      <c r="R2075" s="16">
        <f>_xlfn.XLOOKUP(CustomerCombinedCleaned[[#This Row],[ID]], Table4[ID], Table4[Deals], "Not Found", 0)</f>
        <v>2</v>
      </c>
      <c r="S2075" s="16">
        <f>_xlfn.XLOOKUP(CustomerCombinedCleaned[[#This Row],[ID]], Table4[ID], Table4[Website], "Not Found", 0)</f>
        <v>1</v>
      </c>
      <c r="T2075" s="16">
        <f>_xlfn.XLOOKUP(CustomerCombinedCleaned[[#This Row],[ID]], Table4[ID], Table4[Catalog], "Not Found", 0)</f>
        <v>1</v>
      </c>
      <c r="U2075" s="16">
        <f>_xlfn.XLOOKUP(CustomerCombinedCleaned[[#This Row],[ID]], Table4[ID], Table4[Store], "Not Found", 0)</f>
        <v>2</v>
      </c>
      <c r="V2075" s="16">
        <f>_xlfn.XLOOKUP(CustomerCombinedCleaned[[#This Row],[ID]], Table4[ID], Table4[Visits], "Not Found", 0)</f>
        <v>7</v>
      </c>
      <c r="W2075" s="16">
        <f>_xlfn.XLOOKUP(CustomerCombinedCleaned[[#This Row],[ID]], Table2[ID],Table2[Complaint], "Not Found", 0 )</f>
        <v>0</v>
      </c>
      <c r="X2075" s="16">
        <f>_xlfn.XLOOKUP(CustomerCombinedCleaned[[#This Row],[ID]], Table2[ID],Table2[Pilot], "Not Found", 0 )</f>
        <v>0</v>
      </c>
      <c r="Y2075" s="16">
        <f>_xlfn.XLOOKUP(CustomerCombinedCleaned[[#This Row],[ID]], Table2[ID],Table2[MC1], "Not Found", 0 )</f>
        <v>0</v>
      </c>
      <c r="Z2075" s="16">
        <f>_xlfn.XLOOKUP(CustomerCombinedCleaned[[#This Row],[ID]], Table2[ID],Table2[MC2], "Not Found", 0 )</f>
        <v>0</v>
      </c>
      <c r="AA2075" s="16">
        <f>_xlfn.XLOOKUP(CustomerCombinedCleaned[[#This Row],[ID]], Table2[ID],Table2[MC3], "Not Found", 0 )</f>
        <v>1</v>
      </c>
      <c r="AB2075" s="16">
        <f>_xlfn.XLOOKUP(CustomerCombinedCleaned[[#This Row],[ID]], Table2[ID],Table2[MC4], "Not Found", 0 )</f>
        <v>0</v>
      </c>
      <c r="AC2075" s="16">
        <f>_xlfn.XLOOKUP(CustomerCombinedCleaned[[#This Row],[ID]], Table2[ID],Table2[MC5], "Not Found", 0 )</f>
        <v>0</v>
      </c>
    </row>
    <row r="2076" spans="1:29" x14ac:dyDescent="0.3">
      <c r="A2076" s="18">
        <v>1688</v>
      </c>
      <c r="B2076" s="16">
        <v>143185</v>
      </c>
      <c r="C2076" s="16">
        <v>0</v>
      </c>
      <c r="D2076" s="16">
        <v>1</v>
      </c>
      <c r="E2076" s="16">
        <v>69</v>
      </c>
      <c r="F2076" s="17" t="s">
        <v>5</v>
      </c>
      <c r="G2076" s="17" t="s">
        <v>11</v>
      </c>
      <c r="H2076" s="3" t="s">
        <v>279</v>
      </c>
      <c r="I2076" s="5" t="s">
        <v>438</v>
      </c>
      <c r="J2076" s="16">
        <f>_xlfn.XLOOKUP(CustomerCombinedCleaned[[#This Row],[ID]], Table4[ID], Table4[Recency], "Not Found", 0)</f>
        <v>88</v>
      </c>
      <c r="K2076" s="16">
        <f>_xlfn.XLOOKUP(CustomerCombinedCleaned[[#This Row],[ID]], Table4[ID], Table4[Teas], "Not Found", 0)</f>
        <v>1780</v>
      </c>
      <c r="L2076" s="16">
        <f>_xlfn.XLOOKUP(CustomerCombinedCleaned[[#This Row],[ID]], Table4[ID], Table4[Fruits], "Not Found", 0)</f>
        <v>20</v>
      </c>
      <c r="M2076" s="16">
        <f>_xlfn.XLOOKUP(CustomerCombinedCleaned[[#This Row],[ID]], Table4[ID], Table4[Meats], "Not Found", 0)</f>
        <v>139</v>
      </c>
      <c r="N2076" s="16">
        <f>_xlfn.XLOOKUP(CustomerCombinedCleaned[[#This Row],[ID]], Table4[ID], Table4[Seafood], "Not Found", 0)</f>
        <v>53</v>
      </c>
      <c r="O2076" s="16">
        <f>_xlfn.XLOOKUP(CustomerCombinedCleaned[[#This Row],[ID]], Table4[ID], Table4[Sweets], "Not Found", 0)</f>
        <v>20</v>
      </c>
      <c r="P2076" s="16">
        <f>_xlfn.XLOOKUP(CustomerCombinedCleaned[[#This Row],[ID]], Table4[ID], Table4[Premium], "Not Found", 0)</f>
        <v>99</v>
      </c>
      <c r="Q2076" s="16">
        <f>_xlfn.XLOOKUP(CustomerCombinedCleaned[[#This Row],[ID]], Table4[ID], Table4[Regular], "Not Found", 0)</f>
        <v>1913</v>
      </c>
      <c r="R2076" s="16">
        <f>_xlfn.XLOOKUP(CustomerCombinedCleaned[[#This Row],[ID]], Table4[ID], Table4[Deals], "Not Found", 0)</f>
        <v>2</v>
      </c>
      <c r="S2076" s="16">
        <f>_xlfn.XLOOKUP(CustomerCombinedCleaned[[#This Row],[ID]], Table4[ID], Table4[Website], "Not Found", 0)</f>
        <v>9</v>
      </c>
      <c r="T2076" s="16">
        <f>_xlfn.XLOOKUP(CustomerCombinedCleaned[[#This Row],[ID]], Table4[ID], Table4[Catalog], "Not Found", 0)</f>
        <v>3</v>
      </c>
      <c r="U2076" s="16">
        <f>_xlfn.XLOOKUP(CustomerCombinedCleaned[[#This Row],[ID]], Table4[ID], Table4[Store], "Not Found", 0)</f>
        <v>6</v>
      </c>
      <c r="V2076" s="16">
        <f>_xlfn.XLOOKUP(CustomerCombinedCleaned[[#This Row],[ID]], Table4[ID], Table4[Visits], "Not Found", 0)</f>
        <v>8</v>
      </c>
      <c r="W2076" s="16">
        <f>_xlfn.XLOOKUP(CustomerCombinedCleaned[[#This Row],[ID]], Table2[ID],Table2[Complaint], "Not Found", 0 )</f>
        <v>0</v>
      </c>
      <c r="X2076" s="16">
        <f>_xlfn.XLOOKUP(CustomerCombinedCleaned[[#This Row],[ID]], Table2[ID],Table2[Pilot], "Not Found", 0 )</f>
        <v>0</v>
      </c>
      <c r="Y2076" s="16">
        <f>_xlfn.XLOOKUP(CustomerCombinedCleaned[[#This Row],[ID]], Table2[ID],Table2[MC1], "Not Found", 0 )</f>
        <v>0</v>
      </c>
      <c r="Z2076" s="16">
        <f>_xlfn.XLOOKUP(CustomerCombinedCleaned[[#This Row],[ID]], Table2[ID],Table2[MC2], "Not Found", 0 )</f>
        <v>0</v>
      </c>
      <c r="AA2076" s="16">
        <f>_xlfn.XLOOKUP(CustomerCombinedCleaned[[#This Row],[ID]], Table2[ID],Table2[MC3], "Not Found", 0 )</f>
        <v>0</v>
      </c>
      <c r="AB2076" s="16">
        <f>_xlfn.XLOOKUP(CustomerCombinedCleaned[[#This Row],[ID]], Table2[ID],Table2[MC4], "Not Found", 0 )</f>
        <v>0</v>
      </c>
      <c r="AC2076" s="16">
        <f>_xlfn.XLOOKUP(CustomerCombinedCleaned[[#This Row],[ID]], Table2[ID],Table2[MC5], "Not Found", 0 )</f>
        <v>0</v>
      </c>
    </row>
    <row r="2077" spans="1:29" x14ac:dyDescent="0.3">
      <c r="A2077" s="18">
        <v>1024</v>
      </c>
      <c r="B2077" s="16">
        <v>140689</v>
      </c>
      <c r="C2077" s="16">
        <v>0</v>
      </c>
      <c r="D2077" s="16">
        <v>1</v>
      </c>
      <c r="E2077" s="16">
        <v>69</v>
      </c>
      <c r="F2077" s="17" t="s">
        <v>8</v>
      </c>
      <c r="G2077" s="17" t="s">
        <v>11</v>
      </c>
      <c r="H2077" s="3" t="s">
        <v>290</v>
      </c>
      <c r="I2077" s="5" t="s">
        <v>439</v>
      </c>
      <c r="J2077" s="16">
        <f>_xlfn.XLOOKUP(CustomerCombinedCleaned[[#This Row],[ID]], Table4[ID], Table4[Recency], "Not Found", 0)</f>
        <v>69</v>
      </c>
      <c r="K2077" s="16">
        <f>_xlfn.XLOOKUP(CustomerCombinedCleaned[[#This Row],[ID]], Table4[ID], Table4[Teas], "Not Found", 0)</f>
        <v>934</v>
      </c>
      <c r="L2077" s="16">
        <f>_xlfn.XLOOKUP(CustomerCombinedCleaned[[#This Row],[ID]], Table4[ID], Table4[Fruits], "Not Found", 0)</f>
        <v>10</v>
      </c>
      <c r="M2077" s="16">
        <f>_xlfn.XLOOKUP(CustomerCombinedCleaned[[#This Row],[ID]], Table4[ID], Table4[Meats], "Not Found", 0)</f>
        <v>93</v>
      </c>
      <c r="N2077" s="16">
        <f>_xlfn.XLOOKUP(CustomerCombinedCleaned[[#This Row],[ID]], Table4[ID], Table4[Seafood], "Not Found", 0)</f>
        <v>135</v>
      </c>
      <c r="O2077" s="16">
        <f>_xlfn.XLOOKUP(CustomerCombinedCleaned[[#This Row],[ID]], Table4[ID], Table4[Sweets], "Not Found", 0)</f>
        <v>21</v>
      </c>
      <c r="P2077" s="16">
        <f>_xlfn.XLOOKUP(CustomerCombinedCleaned[[#This Row],[ID]], Table4[ID], Table4[Premium], "Not Found", 0)</f>
        <v>342</v>
      </c>
      <c r="Q2077" s="16">
        <f>_xlfn.XLOOKUP(CustomerCombinedCleaned[[#This Row],[ID]], Table4[ID], Table4[Regular], "Not Found", 0)</f>
        <v>851</v>
      </c>
      <c r="R2077" s="16">
        <f>_xlfn.XLOOKUP(CustomerCombinedCleaned[[#This Row],[ID]], Table4[ID], Table4[Deals], "Not Found", 0)</f>
        <v>7</v>
      </c>
      <c r="S2077" s="16">
        <f>_xlfn.XLOOKUP(CustomerCombinedCleaned[[#This Row],[ID]], Table4[ID], Table4[Website], "Not Found", 0)</f>
        <v>7</v>
      </c>
      <c r="T2077" s="16">
        <f>_xlfn.XLOOKUP(CustomerCombinedCleaned[[#This Row],[ID]], Table4[ID], Table4[Catalog], "Not Found", 0)</f>
        <v>1</v>
      </c>
      <c r="U2077" s="16">
        <f>_xlfn.XLOOKUP(CustomerCombinedCleaned[[#This Row],[ID]], Table4[ID], Table4[Store], "Not Found", 0)</f>
        <v>5</v>
      </c>
      <c r="V2077" s="16">
        <f>_xlfn.XLOOKUP(CustomerCombinedCleaned[[#This Row],[ID]], Table4[ID], Table4[Visits], "Not Found", 0)</f>
        <v>8</v>
      </c>
      <c r="W2077" s="16">
        <f>_xlfn.XLOOKUP(CustomerCombinedCleaned[[#This Row],[ID]], Table2[ID],Table2[Complaint], "Not Found", 0 )</f>
        <v>0</v>
      </c>
      <c r="X2077" s="16">
        <f>_xlfn.XLOOKUP(CustomerCombinedCleaned[[#This Row],[ID]], Table2[ID],Table2[Pilot], "Not Found", 0 )</f>
        <v>0</v>
      </c>
      <c r="Y2077" s="16">
        <f>_xlfn.XLOOKUP(CustomerCombinedCleaned[[#This Row],[ID]], Table2[ID],Table2[MC1], "Not Found", 0 )</f>
        <v>0</v>
      </c>
      <c r="Z2077" s="16">
        <f>_xlfn.XLOOKUP(CustomerCombinedCleaned[[#This Row],[ID]], Table2[ID],Table2[MC2], "Not Found", 0 )</f>
        <v>0</v>
      </c>
      <c r="AA2077" s="16">
        <f>_xlfn.XLOOKUP(CustomerCombinedCleaned[[#This Row],[ID]], Table2[ID],Table2[MC3], "Not Found", 0 )</f>
        <v>0</v>
      </c>
      <c r="AB2077" s="16">
        <f>_xlfn.XLOOKUP(CustomerCombinedCleaned[[#This Row],[ID]], Table2[ID],Table2[MC4], "Not Found", 0 )</f>
        <v>0</v>
      </c>
      <c r="AC2077" s="16">
        <f>_xlfn.XLOOKUP(CustomerCombinedCleaned[[#This Row],[ID]], Table2[ID],Table2[MC5], "Not Found", 0 )</f>
        <v>0</v>
      </c>
    </row>
    <row r="2078" spans="1:29" x14ac:dyDescent="0.3">
      <c r="A2078" s="18">
        <v>1565</v>
      </c>
      <c r="B2078" s="16">
        <v>140689</v>
      </c>
      <c r="C2078" s="16">
        <v>0</v>
      </c>
      <c r="D2078" s="16">
        <v>1</v>
      </c>
      <c r="E2078" s="16">
        <v>69</v>
      </c>
      <c r="F2078" s="17" t="s">
        <v>8</v>
      </c>
      <c r="G2078" s="17" t="s">
        <v>11</v>
      </c>
      <c r="H2078" s="3" t="s">
        <v>290</v>
      </c>
      <c r="I2078" s="5" t="s">
        <v>434</v>
      </c>
      <c r="J2078" s="16">
        <f>_xlfn.XLOOKUP(CustomerCombinedCleaned[[#This Row],[ID]], Table4[ID], Table4[Recency], "Not Found", 0)</f>
        <v>69</v>
      </c>
      <c r="K2078" s="16">
        <f>_xlfn.XLOOKUP(CustomerCombinedCleaned[[#This Row],[ID]], Table4[ID], Table4[Teas], "Not Found", 0)</f>
        <v>934</v>
      </c>
      <c r="L2078" s="16">
        <f>_xlfn.XLOOKUP(CustomerCombinedCleaned[[#This Row],[ID]], Table4[ID], Table4[Fruits], "Not Found", 0)</f>
        <v>10</v>
      </c>
      <c r="M2078" s="16">
        <f>_xlfn.XLOOKUP(CustomerCombinedCleaned[[#This Row],[ID]], Table4[ID], Table4[Meats], "Not Found", 0)</f>
        <v>93</v>
      </c>
      <c r="N2078" s="16">
        <f>_xlfn.XLOOKUP(CustomerCombinedCleaned[[#This Row],[ID]], Table4[ID], Table4[Seafood], "Not Found", 0)</f>
        <v>135</v>
      </c>
      <c r="O2078" s="16">
        <f>_xlfn.XLOOKUP(CustomerCombinedCleaned[[#This Row],[ID]], Table4[ID], Table4[Sweets], "Not Found", 0)</f>
        <v>21</v>
      </c>
      <c r="P2078" s="16">
        <f>_xlfn.XLOOKUP(CustomerCombinedCleaned[[#This Row],[ID]], Table4[ID], Table4[Premium], "Not Found", 0)</f>
        <v>342</v>
      </c>
      <c r="Q2078" s="16">
        <f>_xlfn.XLOOKUP(CustomerCombinedCleaned[[#This Row],[ID]], Table4[ID], Table4[Regular], "Not Found", 0)</f>
        <v>851</v>
      </c>
      <c r="R2078" s="16">
        <f>_xlfn.XLOOKUP(CustomerCombinedCleaned[[#This Row],[ID]], Table4[ID], Table4[Deals], "Not Found", 0)</f>
        <v>7</v>
      </c>
      <c r="S2078" s="16">
        <f>_xlfn.XLOOKUP(CustomerCombinedCleaned[[#This Row],[ID]], Table4[ID], Table4[Website], "Not Found", 0)</f>
        <v>7</v>
      </c>
      <c r="T2078" s="16">
        <f>_xlfn.XLOOKUP(CustomerCombinedCleaned[[#This Row],[ID]], Table4[ID], Table4[Catalog], "Not Found", 0)</f>
        <v>1</v>
      </c>
      <c r="U2078" s="16">
        <f>_xlfn.XLOOKUP(CustomerCombinedCleaned[[#This Row],[ID]], Table4[ID], Table4[Store], "Not Found", 0)</f>
        <v>5</v>
      </c>
      <c r="V2078" s="16">
        <f>_xlfn.XLOOKUP(CustomerCombinedCleaned[[#This Row],[ID]], Table4[ID], Table4[Visits], "Not Found", 0)</f>
        <v>8</v>
      </c>
      <c r="W2078" s="16">
        <f>_xlfn.XLOOKUP(CustomerCombinedCleaned[[#This Row],[ID]], Table2[ID],Table2[Complaint], "Not Found", 0 )</f>
        <v>0</v>
      </c>
      <c r="X2078" s="16">
        <f>_xlfn.XLOOKUP(CustomerCombinedCleaned[[#This Row],[ID]], Table2[ID],Table2[Pilot], "Not Found", 0 )</f>
        <v>0</v>
      </c>
      <c r="Y2078" s="16">
        <f>_xlfn.XLOOKUP(CustomerCombinedCleaned[[#This Row],[ID]], Table2[ID],Table2[MC1], "Not Found", 0 )</f>
        <v>0</v>
      </c>
      <c r="Z2078" s="16">
        <f>_xlfn.XLOOKUP(CustomerCombinedCleaned[[#This Row],[ID]], Table2[ID],Table2[MC2], "Not Found", 0 )</f>
        <v>0</v>
      </c>
      <c r="AA2078" s="16">
        <f>_xlfn.XLOOKUP(CustomerCombinedCleaned[[#This Row],[ID]], Table2[ID],Table2[MC3], "Not Found", 0 )</f>
        <v>0</v>
      </c>
      <c r="AB2078" s="16">
        <f>_xlfn.XLOOKUP(CustomerCombinedCleaned[[#This Row],[ID]], Table2[ID],Table2[MC4], "Not Found", 0 )</f>
        <v>0</v>
      </c>
      <c r="AC2078" s="16">
        <f>_xlfn.XLOOKUP(CustomerCombinedCleaned[[#This Row],[ID]], Table2[ID],Table2[MC5], "Not Found", 0 )</f>
        <v>0</v>
      </c>
    </row>
    <row r="2079" spans="1:29" x14ac:dyDescent="0.3">
      <c r="A2079" s="18">
        <v>2264</v>
      </c>
      <c r="B2079" s="16">
        <v>139767</v>
      </c>
      <c r="C2079" s="16">
        <v>0</v>
      </c>
      <c r="D2079" s="16">
        <v>0</v>
      </c>
      <c r="E2079" s="16">
        <v>69</v>
      </c>
      <c r="F2079" s="17" t="s">
        <v>8</v>
      </c>
      <c r="G2079" s="17" t="s">
        <v>12</v>
      </c>
      <c r="H2079" s="3" t="s">
        <v>215</v>
      </c>
      <c r="I2079" s="5" t="s">
        <v>438</v>
      </c>
      <c r="J2079" s="16">
        <f>_xlfn.XLOOKUP(CustomerCombinedCleaned[[#This Row],[ID]], Table4[ID], Table4[Recency], "Not Found", 0)</f>
        <v>18</v>
      </c>
      <c r="K2079" s="16">
        <f>_xlfn.XLOOKUP(CustomerCombinedCleaned[[#This Row],[ID]], Table4[ID], Table4[Teas], "Not Found", 0)</f>
        <v>397</v>
      </c>
      <c r="L2079" s="16">
        <f>_xlfn.XLOOKUP(CustomerCombinedCleaned[[#This Row],[ID]], Table4[ID], Table4[Fruits], "Not Found", 0)</f>
        <v>214</v>
      </c>
      <c r="M2079" s="16">
        <f>_xlfn.XLOOKUP(CustomerCombinedCleaned[[#This Row],[ID]], Table4[ID], Table4[Meats], "Not Found", 0)</f>
        <v>717</v>
      </c>
      <c r="N2079" s="16">
        <f>_xlfn.XLOOKUP(CustomerCombinedCleaned[[#This Row],[ID]], Table4[ID], Table4[Seafood], "Not Found", 0)</f>
        <v>119</v>
      </c>
      <c r="O2079" s="16">
        <f>_xlfn.XLOOKUP(CustomerCombinedCleaned[[#This Row],[ID]], Table4[ID], Table4[Sweets], "Not Found", 0)</f>
        <v>91</v>
      </c>
      <c r="P2079" s="16">
        <f>_xlfn.XLOOKUP(CustomerCombinedCleaned[[#This Row],[ID]], Table4[ID], Table4[Premium], "Not Found", 0)</f>
        <v>165</v>
      </c>
      <c r="Q2079" s="16">
        <f>_xlfn.XLOOKUP(CustomerCombinedCleaned[[#This Row],[ID]], Table4[ID], Table4[Regular], "Not Found", 0)</f>
        <v>1374</v>
      </c>
      <c r="R2079" s="16">
        <f>_xlfn.XLOOKUP(CustomerCombinedCleaned[[#This Row],[ID]], Table4[ID], Table4[Deals], "Not Found", 0)</f>
        <v>2</v>
      </c>
      <c r="S2079" s="16">
        <f>_xlfn.XLOOKUP(CustomerCombinedCleaned[[#This Row],[ID]], Table4[ID], Table4[Website], "Not Found", 0)</f>
        <v>7</v>
      </c>
      <c r="T2079" s="16">
        <f>_xlfn.XLOOKUP(CustomerCombinedCleaned[[#This Row],[ID]], Table4[ID], Table4[Catalog], "Not Found", 0)</f>
        <v>1</v>
      </c>
      <c r="U2079" s="16">
        <f>_xlfn.XLOOKUP(CustomerCombinedCleaned[[#This Row],[ID]], Table4[ID], Table4[Store], "Not Found", 0)</f>
        <v>7</v>
      </c>
      <c r="V2079" s="16">
        <f>_xlfn.XLOOKUP(CustomerCombinedCleaned[[#This Row],[ID]], Table4[ID], Table4[Visits], "Not Found", 0)</f>
        <v>8</v>
      </c>
      <c r="W2079" s="16">
        <f>_xlfn.XLOOKUP(CustomerCombinedCleaned[[#This Row],[ID]], Table2[ID],Table2[Complaint], "Not Found", 0 )</f>
        <v>0</v>
      </c>
      <c r="X2079" s="16">
        <f>_xlfn.XLOOKUP(CustomerCombinedCleaned[[#This Row],[ID]], Table2[ID],Table2[Pilot], "Not Found", 0 )</f>
        <v>0</v>
      </c>
      <c r="Y2079" s="16">
        <f>_xlfn.XLOOKUP(CustomerCombinedCleaned[[#This Row],[ID]], Table2[ID],Table2[MC1], "Not Found", 0 )</f>
        <v>0</v>
      </c>
      <c r="Z2079" s="16">
        <f>_xlfn.XLOOKUP(CustomerCombinedCleaned[[#This Row],[ID]], Table2[ID],Table2[MC2], "Not Found", 0 )</f>
        <v>0</v>
      </c>
      <c r="AA2079" s="16">
        <f>_xlfn.XLOOKUP(CustomerCombinedCleaned[[#This Row],[ID]], Table2[ID],Table2[MC3], "Not Found", 0 )</f>
        <v>0</v>
      </c>
      <c r="AB2079" s="16">
        <f>_xlfn.XLOOKUP(CustomerCombinedCleaned[[#This Row],[ID]], Table2[ID],Table2[MC4], "Not Found", 0 )</f>
        <v>0</v>
      </c>
      <c r="AC2079" s="16">
        <f>_xlfn.XLOOKUP(CustomerCombinedCleaned[[#This Row],[ID]], Table2[ID],Table2[MC5], "Not Found", 0 )</f>
        <v>0</v>
      </c>
    </row>
    <row r="2080" spans="1:29" x14ac:dyDescent="0.3">
      <c r="A2080" s="18">
        <v>1783</v>
      </c>
      <c r="B2080" s="16">
        <v>134838</v>
      </c>
      <c r="C2080" s="16">
        <v>1</v>
      </c>
      <c r="D2080" s="16">
        <v>1</v>
      </c>
      <c r="E2080" s="16">
        <v>69</v>
      </c>
      <c r="F2080" s="17" t="s">
        <v>6</v>
      </c>
      <c r="G2080" s="17" t="s">
        <v>11</v>
      </c>
      <c r="H2080" s="3" t="s">
        <v>322</v>
      </c>
      <c r="I2080" s="5" t="s">
        <v>437</v>
      </c>
      <c r="J2080" s="16">
        <f>_xlfn.XLOOKUP(CustomerCombinedCleaned[[#This Row],[ID]], Table4[ID], Table4[Recency], "Not Found", 0)</f>
        <v>62</v>
      </c>
      <c r="K2080" s="16">
        <f>_xlfn.XLOOKUP(CustomerCombinedCleaned[[#This Row],[ID]], Table4[ID], Table4[Teas], "Not Found", 0)</f>
        <v>108</v>
      </c>
      <c r="L2080" s="16">
        <f>_xlfn.XLOOKUP(CustomerCombinedCleaned[[#This Row],[ID]], Table4[ID], Table4[Fruits], "Not Found", 0)</f>
        <v>89</v>
      </c>
      <c r="M2080" s="16">
        <f>_xlfn.XLOOKUP(CustomerCombinedCleaned[[#This Row],[ID]], Table4[ID], Table4[Meats], "Not Found", 0)</f>
        <v>112</v>
      </c>
      <c r="N2080" s="16">
        <f>_xlfn.XLOOKUP(CustomerCombinedCleaned[[#This Row],[ID]], Table4[ID], Table4[Seafood], "Not Found", 0)</f>
        <v>112</v>
      </c>
      <c r="O2080" s="16">
        <f>_xlfn.XLOOKUP(CustomerCombinedCleaned[[#This Row],[ID]], Table4[ID], Table4[Sweets], "Not Found", 0)</f>
        <v>54</v>
      </c>
      <c r="P2080" s="16">
        <f>_xlfn.XLOOKUP(CustomerCombinedCleaned[[#This Row],[ID]], Table4[ID], Table4[Premium], "Not Found", 0)</f>
        <v>182</v>
      </c>
      <c r="Q2080" s="16">
        <f>_xlfn.XLOOKUP(CustomerCombinedCleaned[[#This Row],[ID]], Table4[ID], Table4[Regular], "Not Found", 0)</f>
        <v>294</v>
      </c>
      <c r="R2080" s="16">
        <f>_xlfn.XLOOKUP(CustomerCombinedCleaned[[#This Row],[ID]], Table4[ID], Table4[Deals], "Not Found", 0)</f>
        <v>3</v>
      </c>
      <c r="S2080" s="16">
        <f>_xlfn.XLOOKUP(CustomerCombinedCleaned[[#This Row],[ID]], Table4[ID], Table4[Website], "Not Found", 0)</f>
        <v>2</v>
      </c>
      <c r="T2080" s="16">
        <f>_xlfn.XLOOKUP(CustomerCombinedCleaned[[#This Row],[ID]], Table4[ID], Table4[Catalog], "Not Found", 0)</f>
        <v>1</v>
      </c>
      <c r="U2080" s="16">
        <f>_xlfn.XLOOKUP(CustomerCombinedCleaned[[#This Row],[ID]], Table4[ID], Table4[Store], "Not Found", 0)</f>
        <v>4</v>
      </c>
      <c r="V2080" s="16">
        <f>_xlfn.XLOOKUP(CustomerCombinedCleaned[[#This Row],[ID]], Table4[ID], Table4[Visits], "Not Found", 0)</f>
        <v>6</v>
      </c>
      <c r="W2080" s="16">
        <f>_xlfn.XLOOKUP(CustomerCombinedCleaned[[#This Row],[ID]], Table2[ID],Table2[Complaint], "Not Found", 0 )</f>
        <v>0</v>
      </c>
      <c r="X2080" s="16">
        <f>_xlfn.XLOOKUP(CustomerCombinedCleaned[[#This Row],[ID]], Table2[ID],Table2[Pilot], "Not Found", 0 )</f>
        <v>0</v>
      </c>
      <c r="Y2080" s="16">
        <f>_xlfn.XLOOKUP(CustomerCombinedCleaned[[#This Row],[ID]], Table2[ID],Table2[MC1], "Not Found", 0 )</f>
        <v>0</v>
      </c>
      <c r="Z2080" s="16">
        <f>_xlfn.XLOOKUP(CustomerCombinedCleaned[[#This Row],[ID]], Table2[ID],Table2[MC2], "Not Found", 0 )</f>
        <v>0</v>
      </c>
      <c r="AA2080" s="16">
        <f>_xlfn.XLOOKUP(CustomerCombinedCleaned[[#This Row],[ID]], Table2[ID],Table2[MC3], "Not Found", 0 )</f>
        <v>0</v>
      </c>
      <c r="AB2080" s="16">
        <f>_xlfn.XLOOKUP(CustomerCombinedCleaned[[#This Row],[ID]], Table2[ID],Table2[MC4], "Not Found", 0 )</f>
        <v>0</v>
      </c>
      <c r="AC2080" s="16">
        <f>_xlfn.XLOOKUP(CustomerCombinedCleaned[[#This Row],[ID]], Table2[ID],Table2[MC5], "Not Found", 0 )</f>
        <v>0</v>
      </c>
    </row>
    <row r="2081" spans="1:29" x14ac:dyDescent="0.3">
      <c r="A2081" s="18">
        <v>3025</v>
      </c>
      <c r="B2081" s="16">
        <v>132871</v>
      </c>
      <c r="C2081" s="16">
        <v>1</v>
      </c>
      <c r="D2081" s="16">
        <v>1</v>
      </c>
      <c r="E2081" s="16">
        <v>69</v>
      </c>
      <c r="F2081" s="17" t="s">
        <v>6</v>
      </c>
      <c r="G2081" s="17" t="s">
        <v>11</v>
      </c>
      <c r="H2081" s="3" t="s">
        <v>298</v>
      </c>
      <c r="I2081" s="5" t="s">
        <v>437</v>
      </c>
      <c r="J2081" s="16">
        <f>_xlfn.XLOOKUP(CustomerCombinedCleaned[[#This Row],[ID]], Table4[ID], Table4[Recency], "Not Found", 0)</f>
        <v>28</v>
      </c>
      <c r="K2081" s="16">
        <f>_xlfn.XLOOKUP(CustomerCombinedCleaned[[#This Row],[ID]], Table4[ID], Table4[Teas], "Not Found", 0)</f>
        <v>89</v>
      </c>
      <c r="L2081" s="16">
        <f>_xlfn.XLOOKUP(CustomerCombinedCleaned[[#This Row],[ID]], Table4[ID], Table4[Fruits], "Not Found", 0)</f>
        <v>8</v>
      </c>
      <c r="M2081" s="16">
        <f>_xlfn.XLOOKUP(CustomerCombinedCleaned[[#This Row],[ID]], Table4[ID], Table4[Meats], "Not Found", 0)</f>
        <v>49</v>
      </c>
      <c r="N2081" s="16">
        <f>_xlfn.XLOOKUP(CustomerCombinedCleaned[[#This Row],[ID]], Table4[ID], Table4[Seafood], "Not Found", 0)</f>
        <v>0</v>
      </c>
      <c r="O2081" s="16">
        <f>_xlfn.XLOOKUP(CustomerCombinedCleaned[[#This Row],[ID]], Table4[ID], Table4[Sweets], "Not Found", 0)</f>
        <v>8</v>
      </c>
      <c r="P2081" s="16">
        <f>_xlfn.XLOOKUP(CustomerCombinedCleaned[[#This Row],[ID]], Table4[ID], Table4[Premium], "Not Found", 0)</f>
        <v>20</v>
      </c>
      <c r="Q2081" s="16">
        <f>_xlfn.XLOOKUP(CustomerCombinedCleaned[[#This Row],[ID]], Table4[ID], Table4[Regular], "Not Found", 0)</f>
        <v>133</v>
      </c>
      <c r="R2081" s="16">
        <f>_xlfn.XLOOKUP(CustomerCombinedCleaned[[#This Row],[ID]], Table4[ID], Table4[Deals], "Not Found", 0)</f>
        <v>1</v>
      </c>
      <c r="S2081" s="16">
        <f>_xlfn.XLOOKUP(CustomerCombinedCleaned[[#This Row],[ID]], Table4[ID], Table4[Website], "Not Found", 0)</f>
        <v>1</v>
      </c>
      <c r="T2081" s="16">
        <f>_xlfn.XLOOKUP(CustomerCombinedCleaned[[#This Row],[ID]], Table4[ID], Table4[Catalog], "Not Found", 0)</f>
        <v>0</v>
      </c>
      <c r="U2081" s="16">
        <f>_xlfn.XLOOKUP(CustomerCombinedCleaned[[#This Row],[ID]], Table4[ID], Table4[Store], "Not Found", 0)</f>
        <v>3</v>
      </c>
      <c r="V2081" s="16">
        <f>_xlfn.XLOOKUP(CustomerCombinedCleaned[[#This Row],[ID]], Table4[ID], Table4[Visits], "Not Found", 0)</f>
        <v>4</v>
      </c>
      <c r="W2081" s="16">
        <f>_xlfn.XLOOKUP(CustomerCombinedCleaned[[#This Row],[ID]], Table2[ID],Table2[Complaint], "Not Found", 0 )</f>
        <v>0</v>
      </c>
      <c r="X2081" s="16">
        <f>_xlfn.XLOOKUP(CustomerCombinedCleaned[[#This Row],[ID]], Table2[ID],Table2[Pilot], "Not Found", 0 )</f>
        <v>0</v>
      </c>
      <c r="Y2081" s="16">
        <f>_xlfn.XLOOKUP(CustomerCombinedCleaned[[#This Row],[ID]], Table2[ID],Table2[MC1], "Not Found", 0 )</f>
        <v>0</v>
      </c>
      <c r="Z2081" s="16">
        <f>_xlfn.XLOOKUP(CustomerCombinedCleaned[[#This Row],[ID]], Table2[ID],Table2[MC2], "Not Found", 0 )</f>
        <v>0</v>
      </c>
      <c r="AA2081" s="16">
        <f>_xlfn.XLOOKUP(CustomerCombinedCleaned[[#This Row],[ID]], Table2[ID],Table2[MC3], "Not Found", 0 )</f>
        <v>0</v>
      </c>
      <c r="AB2081" s="16">
        <f>_xlfn.XLOOKUP(CustomerCombinedCleaned[[#This Row],[ID]], Table2[ID],Table2[MC4], "Not Found", 0 )</f>
        <v>0</v>
      </c>
      <c r="AC2081" s="16">
        <f>_xlfn.XLOOKUP(CustomerCombinedCleaned[[#This Row],[ID]], Table2[ID],Table2[MC5], "Not Found", 0 )</f>
        <v>0</v>
      </c>
    </row>
    <row r="2082" spans="1:29" x14ac:dyDescent="0.3">
      <c r="A2082" s="18">
        <v>1304</v>
      </c>
      <c r="B2082" s="16">
        <v>130833</v>
      </c>
      <c r="C2082" s="16">
        <v>1</v>
      </c>
      <c r="D2082" s="16">
        <v>1</v>
      </c>
      <c r="E2082" s="16">
        <v>69</v>
      </c>
      <c r="F2082" s="17" t="s">
        <v>6</v>
      </c>
      <c r="G2082" s="17" t="s">
        <v>11</v>
      </c>
      <c r="H2082" s="3" t="s">
        <v>220</v>
      </c>
      <c r="I2082" s="5" t="s">
        <v>438</v>
      </c>
      <c r="J2082" s="16">
        <f>_xlfn.XLOOKUP(CustomerCombinedCleaned[[#This Row],[ID]], Table4[ID], Table4[Recency], "Not Found", 0)</f>
        <v>33</v>
      </c>
      <c r="K2082" s="16">
        <f>_xlfn.XLOOKUP(CustomerCombinedCleaned[[#This Row],[ID]], Table4[ID], Table4[Teas], "Not Found", 0)</f>
        <v>47</v>
      </c>
      <c r="L2082" s="16">
        <f>_xlfn.XLOOKUP(CustomerCombinedCleaned[[#This Row],[ID]], Table4[ID], Table4[Fruits], "Not Found", 0)</f>
        <v>0</v>
      </c>
      <c r="M2082" s="16">
        <f>_xlfn.XLOOKUP(CustomerCombinedCleaned[[#This Row],[ID]], Table4[ID], Table4[Meats], "Not Found", 0)</f>
        <v>30</v>
      </c>
      <c r="N2082" s="16">
        <f>_xlfn.XLOOKUP(CustomerCombinedCleaned[[#This Row],[ID]], Table4[ID], Table4[Seafood], "Not Found", 0)</f>
        <v>13</v>
      </c>
      <c r="O2082" s="16">
        <f>_xlfn.XLOOKUP(CustomerCombinedCleaned[[#This Row],[ID]], Table4[ID], Table4[Sweets], "Not Found", 0)</f>
        <v>4</v>
      </c>
      <c r="P2082" s="16">
        <f>_xlfn.XLOOKUP(CustomerCombinedCleaned[[#This Row],[ID]], Table4[ID], Table4[Premium], "Not Found", 0)</f>
        <v>25</v>
      </c>
      <c r="Q2082" s="16">
        <f>_xlfn.XLOOKUP(CustomerCombinedCleaned[[#This Row],[ID]], Table4[ID], Table4[Regular], "Not Found", 0)</f>
        <v>68</v>
      </c>
      <c r="R2082" s="16">
        <f>_xlfn.XLOOKUP(CustomerCombinedCleaned[[#This Row],[ID]], Table4[ID], Table4[Deals], "Not Found", 0)</f>
        <v>2</v>
      </c>
      <c r="S2082" s="16">
        <f>_xlfn.XLOOKUP(CustomerCombinedCleaned[[#This Row],[ID]], Table4[ID], Table4[Website], "Not Found", 0)</f>
        <v>1</v>
      </c>
      <c r="T2082" s="16">
        <f>_xlfn.XLOOKUP(CustomerCombinedCleaned[[#This Row],[ID]], Table4[ID], Table4[Catalog], "Not Found", 0)</f>
        <v>0</v>
      </c>
      <c r="U2082" s="16">
        <f>_xlfn.XLOOKUP(CustomerCombinedCleaned[[#This Row],[ID]], Table4[ID], Table4[Store], "Not Found", 0)</f>
        <v>3</v>
      </c>
      <c r="V2082" s="16">
        <f>_xlfn.XLOOKUP(CustomerCombinedCleaned[[#This Row],[ID]], Table4[ID], Table4[Visits], "Not Found", 0)</f>
        <v>5</v>
      </c>
      <c r="W2082" s="16">
        <f>_xlfn.XLOOKUP(CustomerCombinedCleaned[[#This Row],[ID]], Table2[ID],Table2[Complaint], "Not Found", 0 )</f>
        <v>0</v>
      </c>
      <c r="X2082" s="16">
        <f>_xlfn.XLOOKUP(CustomerCombinedCleaned[[#This Row],[ID]], Table2[ID],Table2[Pilot], "Not Found", 0 )</f>
        <v>0</v>
      </c>
      <c r="Y2082" s="16">
        <f>_xlfn.XLOOKUP(CustomerCombinedCleaned[[#This Row],[ID]], Table2[ID],Table2[MC1], "Not Found", 0 )</f>
        <v>0</v>
      </c>
      <c r="Z2082" s="16">
        <f>_xlfn.XLOOKUP(CustomerCombinedCleaned[[#This Row],[ID]], Table2[ID],Table2[MC2], "Not Found", 0 )</f>
        <v>0</v>
      </c>
      <c r="AA2082" s="16">
        <f>_xlfn.XLOOKUP(CustomerCombinedCleaned[[#This Row],[ID]], Table2[ID],Table2[MC3], "Not Found", 0 )</f>
        <v>0</v>
      </c>
      <c r="AB2082" s="16">
        <f>_xlfn.XLOOKUP(CustomerCombinedCleaned[[#This Row],[ID]], Table2[ID],Table2[MC4], "Not Found", 0 )</f>
        <v>0</v>
      </c>
      <c r="AC2082" s="16">
        <f>_xlfn.XLOOKUP(CustomerCombinedCleaned[[#This Row],[ID]], Table2[ID],Table2[MC5], "Not Found", 0 )</f>
        <v>0</v>
      </c>
    </row>
    <row r="2083" spans="1:29" x14ac:dyDescent="0.3">
      <c r="A2083" s="18">
        <v>1551</v>
      </c>
      <c r="B2083" s="16">
        <v>129298</v>
      </c>
      <c r="C2083" s="16">
        <v>1</v>
      </c>
      <c r="D2083" s="16">
        <v>1</v>
      </c>
      <c r="E2083" s="16">
        <v>69</v>
      </c>
      <c r="F2083" s="17" t="s">
        <v>8</v>
      </c>
      <c r="G2083" s="17" t="s">
        <v>12</v>
      </c>
      <c r="H2083" s="3" t="s">
        <v>745</v>
      </c>
      <c r="I2083" s="5" t="s">
        <v>435</v>
      </c>
      <c r="J2083" s="16">
        <f>_xlfn.XLOOKUP(CustomerCombinedCleaned[[#This Row],[ID]], Table4[ID], Table4[Recency], "Not Found", 0)</f>
        <v>60</v>
      </c>
      <c r="K2083" s="16">
        <f>_xlfn.XLOOKUP(CustomerCombinedCleaned[[#This Row],[ID]], Table4[ID], Table4[Teas], "Not Found", 0)</f>
        <v>26</v>
      </c>
      <c r="L2083" s="16">
        <f>_xlfn.XLOOKUP(CustomerCombinedCleaned[[#This Row],[ID]], Table4[ID], Table4[Fruits], "Not Found", 0)</f>
        <v>0</v>
      </c>
      <c r="M2083" s="16">
        <f>_xlfn.XLOOKUP(CustomerCombinedCleaned[[#This Row],[ID]], Table4[ID], Table4[Meats], "Not Found", 0)</f>
        <v>9</v>
      </c>
      <c r="N2083" s="16">
        <f>_xlfn.XLOOKUP(CustomerCombinedCleaned[[#This Row],[ID]], Table4[ID], Table4[Seafood], "Not Found", 0)</f>
        <v>9</v>
      </c>
      <c r="O2083" s="16">
        <f>_xlfn.XLOOKUP(CustomerCombinedCleaned[[#This Row],[ID]], Table4[ID], Table4[Sweets], "Not Found", 0)</f>
        <v>0</v>
      </c>
      <c r="P2083" s="16">
        <f>_xlfn.XLOOKUP(CustomerCombinedCleaned[[#This Row],[ID]], Table4[ID], Table4[Premium], "Not Found", 0)</f>
        <v>4</v>
      </c>
      <c r="Q2083" s="16">
        <f>_xlfn.XLOOKUP(CustomerCombinedCleaned[[#This Row],[ID]], Table4[ID], Table4[Regular], "Not Found", 0)</f>
        <v>40</v>
      </c>
      <c r="R2083" s="16">
        <f>_xlfn.XLOOKUP(CustomerCombinedCleaned[[#This Row],[ID]], Table4[ID], Table4[Deals], "Not Found", 0)</f>
        <v>1</v>
      </c>
      <c r="S2083" s="16">
        <f>_xlfn.XLOOKUP(CustomerCombinedCleaned[[#This Row],[ID]], Table4[ID], Table4[Website], "Not Found", 0)</f>
        <v>1</v>
      </c>
      <c r="T2083" s="16">
        <f>_xlfn.XLOOKUP(CustomerCombinedCleaned[[#This Row],[ID]], Table4[ID], Table4[Catalog], "Not Found", 0)</f>
        <v>0</v>
      </c>
      <c r="U2083" s="16">
        <f>_xlfn.XLOOKUP(CustomerCombinedCleaned[[#This Row],[ID]], Table4[ID], Table4[Store], "Not Found", 0)</f>
        <v>2</v>
      </c>
      <c r="V2083" s="16">
        <f>_xlfn.XLOOKUP(CustomerCombinedCleaned[[#This Row],[ID]], Table4[ID], Table4[Visits], "Not Found", 0)</f>
        <v>5</v>
      </c>
      <c r="W2083" s="16">
        <f>_xlfn.XLOOKUP(CustomerCombinedCleaned[[#This Row],[ID]], Table2[ID],Table2[Complaint], "Not Found", 0 )</f>
        <v>0</v>
      </c>
      <c r="X2083" s="16">
        <f>_xlfn.XLOOKUP(CustomerCombinedCleaned[[#This Row],[ID]], Table2[ID],Table2[Pilot], "Not Found", 0 )</f>
        <v>0</v>
      </c>
      <c r="Y2083" s="16">
        <f>_xlfn.XLOOKUP(CustomerCombinedCleaned[[#This Row],[ID]], Table2[ID],Table2[MC1], "Not Found", 0 )</f>
        <v>0</v>
      </c>
      <c r="Z2083" s="16">
        <f>_xlfn.XLOOKUP(CustomerCombinedCleaned[[#This Row],[ID]], Table2[ID],Table2[MC2], "Not Found", 0 )</f>
        <v>0</v>
      </c>
      <c r="AA2083" s="16">
        <f>_xlfn.XLOOKUP(CustomerCombinedCleaned[[#This Row],[ID]], Table2[ID],Table2[MC3], "Not Found", 0 )</f>
        <v>0</v>
      </c>
      <c r="AB2083" s="16">
        <f>_xlfn.XLOOKUP(CustomerCombinedCleaned[[#This Row],[ID]], Table2[ID],Table2[MC4], "Not Found", 0 )</f>
        <v>0</v>
      </c>
      <c r="AC2083" s="16">
        <f>_xlfn.XLOOKUP(CustomerCombinedCleaned[[#This Row],[ID]], Table2[ID],Table2[MC5], "Not Found", 0 )</f>
        <v>0</v>
      </c>
    </row>
    <row r="2084" spans="1:29" x14ac:dyDescent="0.3">
      <c r="A2084" s="18">
        <v>1567</v>
      </c>
      <c r="B2084" s="16">
        <v>127450</v>
      </c>
      <c r="C2084" s="16">
        <v>0</v>
      </c>
      <c r="D2084" s="16">
        <v>0</v>
      </c>
      <c r="E2084" s="16">
        <v>69</v>
      </c>
      <c r="F2084" s="17" t="s">
        <v>6</v>
      </c>
      <c r="G2084" s="17" t="s">
        <v>12</v>
      </c>
      <c r="H2084" s="3" t="s">
        <v>274</v>
      </c>
      <c r="I2084" s="5" t="s">
        <v>437</v>
      </c>
      <c r="J2084" s="16">
        <f>_xlfn.XLOOKUP(CustomerCombinedCleaned[[#This Row],[ID]], Table4[ID], Table4[Recency], "Not Found", 0)</f>
        <v>57</v>
      </c>
      <c r="K2084" s="16">
        <f>_xlfn.XLOOKUP(CustomerCombinedCleaned[[#This Row],[ID]], Table4[ID], Table4[Teas], "Not Found", 0)</f>
        <v>172</v>
      </c>
      <c r="L2084" s="16">
        <f>_xlfn.XLOOKUP(CustomerCombinedCleaned[[#This Row],[ID]], Table4[ID], Table4[Fruits], "Not Found", 0)</f>
        <v>56</v>
      </c>
      <c r="M2084" s="16">
        <f>_xlfn.XLOOKUP(CustomerCombinedCleaned[[#This Row],[ID]], Table4[ID], Table4[Meats], "Not Found", 0)</f>
        <v>107</v>
      </c>
      <c r="N2084" s="16">
        <f>_xlfn.XLOOKUP(CustomerCombinedCleaned[[#This Row],[ID]], Table4[ID], Table4[Seafood], "Not Found", 0)</f>
        <v>37</v>
      </c>
      <c r="O2084" s="16">
        <f>_xlfn.XLOOKUP(CustomerCombinedCleaned[[#This Row],[ID]], Table4[ID], Table4[Sweets], "Not Found", 0)</f>
        <v>51</v>
      </c>
      <c r="P2084" s="16">
        <f>_xlfn.XLOOKUP(CustomerCombinedCleaned[[#This Row],[ID]], Table4[ID], Table4[Premium], "Not Found", 0)</f>
        <v>241</v>
      </c>
      <c r="Q2084" s="16">
        <f>_xlfn.XLOOKUP(CustomerCombinedCleaned[[#This Row],[ID]], Table4[ID], Table4[Regular], "Not Found", 0)</f>
        <v>181</v>
      </c>
      <c r="R2084" s="16">
        <f>_xlfn.XLOOKUP(CustomerCombinedCleaned[[#This Row],[ID]], Table4[ID], Table4[Deals], "Not Found", 0)</f>
        <v>1</v>
      </c>
      <c r="S2084" s="16">
        <f>_xlfn.XLOOKUP(CustomerCombinedCleaned[[#This Row],[ID]], Table4[ID], Table4[Website], "Not Found", 0)</f>
        <v>2</v>
      </c>
      <c r="T2084" s="16">
        <f>_xlfn.XLOOKUP(CustomerCombinedCleaned[[#This Row],[ID]], Table4[ID], Table4[Catalog], "Not Found", 0)</f>
        <v>1</v>
      </c>
      <c r="U2084" s="16">
        <f>_xlfn.XLOOKUP(CustomerCombinedCleaned[[#This Row],[ID]], Table4[ID], Table4[Store], "Not Found", 0)</f>
        <v>3</v>
      </c>
      <c r="V2084" s="16">
        <f>_xlfn.XLOOKUP(CustomerCombinedCleaned[[#This Row],[ID]], Table4[ID], Table4[Visits], "Not Found", 0)</f>
        <v>7</v>
      </c>
      <c r="W2084" s="16">
        <f>_xlfn.XLOOKUP(CustomerCombinedCleaned[[#This Row],[ID]], Table2[ID],Table2[Complaint], "Not Found", 0 )</f>
        <v>0</v>
      </c>
      <c r="X2084" s="16">
        <f>_xlfn.XLOOKUP(CustomerCombinedCleaned[[#This Row],[ID]], Table2[ID],Table2[Pilot], "Not Found", 0 )</f>
        <v>0</v>
      </c>
      <c r="Y2084" s="16">
        <f>_xlfn.XLOOKUP(CustomerCombinedCleaned[[#This Row],[ID]], Table2[ID],Table2[MC1], "Not Found", 0 )</f>
        <v>0</v>
      </c>
      <c r="Z2084" s="16">
        <f>_xlfn.XLOOKUP(CustomerCombinedCleaned[[#This Row],[ID]], Table2[ID],Table2[MC2], "Not Found", 0 )</f>
        <v>0</v>
      </c>
      <c r="AA2084" s="16">
        <f>_xlfn.XLOOKUP(CustomerCombinedCleaned[[#This Row],[ID]], Table2[ID],Table2[MC3], "Not Found", 0 )</f>
        <v>0</v>
      </c>
      <c r="AB2084" s="16">
        <f>_xlfn.XLOOKUP(CustomerCombinedCleaned[[#This Row],[ID]], Table2[ID],Table2[MC4], "Not Found", 0 )</f>
        <v>0</v>
      </c>
      <c r="AC2084" s="16">
        <f>_xlfn.XLOOKUP(CustomerCombinedCleaned[[#This Row],[ID]], Table2[ID],Table2[MC5], "Not Found", 0 )</f>
        <v>0</v>
      </c>
    </row>
    <row r="2085" spans="1:29" x14ac:dyDescent="0.3">
      <c r="A2085" s="18">
        <v>2265</v>
      </c>
      <c r="B2085" s="16">
        <v>126997</v>
      </c>
      <c r="C2085" s="16">
        <v>0</v>
      </c>
      <c r="D2085" s="16">
        <v>0</v>
      </c>
      <c r="E2085" s="16">
        <v>69</v>
      </c>
      <c r="F2085" s="17" t="s">
        <v>6</v>
      </c>
      <c r="G2085" s="17" t="s">
        <v>10</v>
      </c>
      <c r="H2085" s="3" t="s">
        <v>667</v>
      </c>
      <c r="I2085" s="5" t="s">
        <v>435</v>
      </c>
      <c r="J2085" s="16">
        <f>_xlfn.XLOOKUP(CustomerCombinedCleaned[[#This Row],[ID]], Table4[ID], Table4[Recency], "Not Found", 0)</f>
        <v>89</v>
      </c>
      <c r="K2085" s="16">
        <f>_xlfn.XLOOKUP(CustomerCombinedCleaned[[#This Row],[ID]], Table4[ID], Table4[Teas], "Not Found", 0)</f>
        <v>33</v>
      </c>
      <c r="L2085" s="16">
        <f>_xlfn.XLOOKUP(CustomerCombinedCleaned[[#This Row],[ID]], Table4[ID], Table4[Fruits], "Not Found", 0)</f>
        <v>108</v>
      </c>
      <c r="M2085" s="16">
        <f>_xlfn.XLOOKUP(CustomerCombinedCleaned[[#This Row],[ID]], Table4[ID], Table4[Meats], "Not Found", 0)</f>
        <v>367</v>
      </c>
      <c r="N2085" s="16">
        <f>_xlfn.XLOOKUP(CustomerCombinedCleaned[[#This Row],[ID]], Table4[ID], Table4[Seafood], "Not Found", 0)</f>
        <v>626</v>
      </c>
      <c r="O2085" s="16">
        <f>_xlfn.XLOOKUP(CustomerCombinedCleaned[[#This Row],[ID]], Table4[ID], Table4[Sweets], "Not Found", 0)</f>
        <v>231</v>
      </c>
      <c r="P2085" s="16">
        <f>_xlfn.XLOOKUP(CustomerCombinedCleaned[[#This Row],[ID]], Table4[ID], Table4[Premium], "Not Found", 0)</f>
        <v>677</v>
      </c>
      <c r="Q2085" s="16">
        <f>_xlfn.XLOOKUP(CustomerCombinedCleaned[[#This Row],[ID]], Table4[ID], Table4[Regular], "Not Found", 0)</f>
        <v>687</v>
      </c>
      <c r="R2085" s="16">
        <f>_xlfn.XLOOKUP(CustomerCombinedCleaned[[#This Row],[ID]], Table4[ID], Table4[Deals], "Not Found", 0)</f>
        <v>2</v>
      </c>
      <c r="S2085" s="16">
        <f>_xlfn.XLOOKUP(CustomerCombinedCleaned[[#This Row],[ID]], Table4[ID], Table4[Website], "Not Found", 0)</f>
        <v>4</v>
      </c>
      <c r="T2085" s="16">
        <f>_xlfn.XLOOKUP(CustomerCombinedCleaned[[#This Row],[ID]], Table4[ID], Table4[Catalog], "Not Found", 0)</f>
        <v>2</v>
      </c>
      <c r="U2085" s="16">
        <f>_xlfn.XLOOKUP(CustomerCombinedCleaned[[#This Row],[ID]], Table4[ID], Table4[Store], "Not Found", 0)</f>
        <v>5</v>
      </c>
      <c r="V2085" s="16">
        <f>_xlfn.XLOOKUP(CustomerCombinedCleaned[[#This Row],[ID]], Table4[ID], Table4[Visits], "Not Found", 0)</f>
        <v>7</v>
      </c>
      <c r="W2085" s="16">
        <f>_xlfn.XLOOKUP(CustomerCombinedCleaned[[#This Row],[ID]], Table2[ID],Table2[Complaint], "Not Found", 0 )</f>
        <v>0</v>
      </c>
      <c r="X2085" s="16">
        <f>_xlfn.XLOOKUP(CustomerCombinedCleaned[[#This Row],[ID]], Table2[ID],Table2[Pilot], "Not Found", 0 )</f>
        <v>0</v>
      </c>
      <c r="Y2085" s="16">
        <f>_xlfn.XLOOKUP(CustomerCombinedCleaned[[#This Row],[ID]], Table2[ID],Table2[MC1], "Not Found", 0 )</f>
        <v>0</v>
      </c>
      <c r="Z2085" s="16">
        <f>_xlfn.XLOOKUP(CustomerCombinedCleaned[[#This Row],[ID]], Table2[ID],Table2[MC2], "Not Found", 0 )</f>
        <v>0</v>
      </c>
      <c r="AA2085" s="16">
        <f>_xlfn.XLOOKUP(CustomerCombinedCleaned[[#This Row],[ID]], Table2[ID],Table2[MC3], "Not Found", 0 )</f>
        <v>0</v>
      </c>
      <c r="AB2085" s="16">
        <f>_xlfn.XLOOKUP(CustomerCombinedCleaned[[#This Row],[ID]], Table2[ID],Table2[MC4], "Not Found", 0 )</f>
        <v>0</v>
      </c>
      <c r="AC2085" s="16">
        <f>_xlfn.XLOOKUP(CustomerCombinedCleaned[[#This Row],[ID]], Table2[ID],Table2[MC5], "Not Found", 0 )</f>
        <v>0</v>
      </c>
    </row>
    <row r="2086" spans="1:29" x14ac:dyDescent="0.3">
      <c r="A2086" s="18">
        <v>2993</v>
      </c>
      <c r="B2086" s="16">
        <v>122263</v>
      </c>
      <c r="C2086" s="16">
        <v>1</v>
      </c>
      <c r="D2086" s="16">
        <v>1</v>
      </c>
      <c r="E2086" s="16">
        <v>69</v>
      </c>
      <c r="F2086" s="17" t="s">
        <v>5</v>
      </c>
      <c r="G2086" s="17" t="s">
        <v>11</v>
      </c>
      <c r="H2086" s="3" t="s">
        <v>775</v>
      </c>
      <c r="I2086" s="5" t="s">
        <v>434</v>
      </c>
      <c r="J2086" s="16">
        <f>_xlfn.XLOOKUP(CustomerCombinedCleaned[[#This Row],[ID]], Table4[ID], Table4[Recency], "Not Found", 0)</f>
        <v>31</v>
      </c>
      <c r="K2086" s="16">
        <f>_xlfn.XLOOKUP(CustomerCombinedCleaned[[#This Row],[ID]], Table4[ID], Table4[Teas], "Not Found", 0)</f>
        <v>93</v>
      </c>
      <c r="L2086" s="16">
        <f>_xlfn.XLOOKUP(CustomerCombinedCleaned[[#This Row],[ID]], Table4[ID], Table4[Fruits], "Not Found", 0)</f>
        <v>0</v>
      </c>
      <c r="M2086" s="16">
        <f>_xlfn.XLOOKUP(CustomerCombinedCleaned[[#This Row],[ID]], Table4[ID], Table4[Meats], "Not Found", 0)</f>
        <v>11</v>
      </c>
      <c r="N2086" s="16">
        <f>_xlfn.XLOOKUP(CustomerCombinedCleaned[[#This Row],[ID]], Table4[ID], Table4[Seafood], "Not Found", 0)</f>
        <v>0</v>
      </c>
      <c r="O2086" s="16">
        <f>_xlfn.XLOOKUP(CustomerCombinedCleaned[[#This Row],[ID]], Table4[ID], Table4[Sweets], "Not Found", 0)</f>
        <v>0</v>
      </c>
      <c r="P2086" s="16">
        <f>_xlfn.XLOOKUP(CustomerCombinedCleaned[[#This Row],[ID]], Table4[ID], Table4[Premium], "Not Found", 0)</f>
        <v>11</v>
      </c>
      <c r="Q2086" s="16">
        <f>_xlfn.XLOOKUP(CustomerCombinedCleaned[[#This Row],[ID]], Table4[ID], Table4[Regular], "Not Found", 0)</f>
        <v>93</v>
      </c>
      <c r="R2086" s="16">
        <f>_xlfn.XLOOKUP(CustomerCombinedCleaned[[#This Row],[ID]], Table4[ID], Table4[Deals], "Not Found", 0)</f>
        <v>2</v>
      </c>
      <c r="S2086" s="16">
        <f>_xlfn.XLOOKUP(CustomerCombinedCleaned[[#This Row],[ID]], Table4[ID], Table4[Website], "Not Found", 0)</f>
        <v>1</v>
      </c>
      <c r="T2086" s="16">
        <f>_xlfn.XLOOKUP(CustomerCombinedCleaned[[#This Row],[ID]], Table4[ID], Table4[Catalog], "Not Found", 0)</f>
        <v>0</v>
      </c>
      <c r="U2086" s="16">
        <f>_xlfn.XLOOKUP(CustomerCombinedCleaned[[#This Row],[ID]], Table4[ID], Table4[Store], "Not Found", 0)</f>
        <v>3</v>
      </c>
      <c r="V2086" s="16">
        <f>_xlfn.XLOOKUP(CustomerCombinedCleaned[[#This Row],[ID]], Table4[ID], Table4[Visits], "Not Found", 0)</f>
        <v>6</v>
      </c>
      <c r="W2086" s="16">
        <f>_xlfn.XLOOKUP(CustomerCombinedCleaned[[#This Row],[ID]], Table2[ID],Table2[Complaint], "Not Found", 0 )</f>
        <v>1</v>
      </c>
      <c r="X2086" s="16">
        <f>_xlfn.XLOOKUP(CustomerCombinedCleaned[[#This Row],[ID]], Table2[ID],Table2[Pilot], "Not Found", 0 )</f>
        <v>0</v>
      </c>
      <c r="Y2086" s="16">
        <f>_xlfn.XLOOKUP(CustomerCombinedCleaned[[#This Row],[ID]], Table2[ID],Table2[MC1], "Not Found", 0 )</f>
        <v>0</v>
      </c>
      <c r="Z2086" s="16">
        <f>_xlfn.XLOOKUP(CustomerCombinedCleaned[[#This Row],[ID]], Table2[ID],Table2[MC2], "Not Found", 0 )</f>
        <v>0</v>
      </c>
      <c r="AA2086" s="16">
        <f>_xlfn.XLOOKUP(CustomerCombinedCleaned[[#This Row],[ID]], Table2[ID],Table2[MC3], "Not Found", 0 )</f>
        <v>0</v>
      </c>
      <c r="AB2086" s="16">
        <f>_xlfn.XLOOKUP(CustomerCombinedCleaned[[#This Row],[ID]], Table2[ID],Table2[MC4], "Not Found", 0 )</f>
        <v>0</v>
      </c>
      <c r="AC2086" s="16">
        <f>_xlfn.XLOOKUP(CustomerCombinedCleaned[[#This Row],[ID]], Table2[ID],Table2[MC5], "Not Found", 0 )</f>
        <v>0</v>
      </c>
    </row>
    <row r="2087" spans="1:29" x14ac:dyDescent="0.3">
      <c r="A2087" s="18">
        <v>1221</v>
      </c>
      <c r="B2087" s="16">
        <v>115033</v>
      </c>
      <c r="C2087" s="16">
        <v>0</v>
      </c>
      <c r="D2087" s="16">
        <v>0</v>
      </c>
      <c r="E2087" s="16">
        <v>69</v>
      </c>
      <c r="F2087" s="17" t="s">
        <v>7</v>
      </c>
      <c r="G2087" s="17" t="s">
        <v>11</v>
      </c>
      <c r="H2087" s="3" t="s">
        <v>66</v>
      </c>
      <c r="I2087" s="5" t="s">
        <v>435</v>
      </c>
      <c r="J2087" s="16">
        <f>_xlfn.XLOOKUP(CustomerCombinedCleaned[[#This Row],[ID]], Table4[ID], Table4[Recency], "Not Found", 0)</f>
        <v>37</v>
      </c>
      <c r="K2087" s="16">
        <f>_xlfn.XLOOKUP(CustomerCombinedCleaned[[#This Row],[ID]], Table4[ID], Table4[Teas], "Not Found", 0)</f>
        <v>0</v>
      </c>
      <c r="L2087" s="16">
        <f>_xlfn.XLOOKUP(CustomerCombinedCleaned[[#This Row],[ID]], Table4[ID], Table4[Fruits], "Not Found", 0)</f>
        <v>31</v>
      </c>
      <c r="M2087" s="16">
        <f>_xlfn.XLOOKUP(CustomerCombinedCleaned[[#This Row],[ID]], Table4[ID], Table4[Meats], "Not Found", 0)</f>
        <v>38</v>
      </c>
      <c r="N2087" s="16">
        <f>_xlfn.XLOOKUP(CustomerCombinedCleaned[[#This Row],[ID]], Table4[ID], Table4[Seafood], "Not Found", 0)</f>
        <v>46</v>
      </c>
      <c r="O2087" s="16">
        <f>_xlfn.XLOOKUP(CustomerCombinedCleaned[[#This Row],[ID]], Table4[ID], Table4[Sweets], "Not Found", 0)</f>
        <v>0</v>
      </c>
      <c r="P2087" s="16">
        <f>_xlfn.XLOOKUP(CustomerCombinedCleaned[[#This Row],[ID]], Table4[ID], Table4[Premium], "Not Found", 0)</f>
        <v>31</v>
      </c>
      <c r="Q2087" s="16">
        <f>_xlfn.XLOOKUP(CustomerCombinedCleaned[[#This Row],[ID]], Table4[ID], Table4[Regular], "Not Found", 0)</f>
        <v>84</v>
      </c>
      <c r="R2087" s="16">
        <f>_xlfn.XLOOKUP(CustomerCombinedCleaned[[#This Row],[ID]], Table4[ID], Table4[Deals], "Not Found", 0)</f>
        <v>1</v>
      </c>
      <c r="S2087" s="16">
        <f>_xlfn.XLOOKUP(CustomerCombinedCleaned[[#This Row],[ID]], Table4[ID], Table4[Website], "Not Found", 0)</f>
        <v>1</v>
      </c>
      <c r="T2087" s="16">
        <f>_xlfn.XLOOKUP(CustomerCombinedCleaned[[#This Row],[ID]], Table4[ID], Table4[Catalog], "Not Found", 0)</f>
        <v>0</v>
      </c>
      <c r="U2087" s="16">
        <f>_xlfn.XLOOKUP(CustomerCombinedCleaned[[#This Row],[ID]], Table4[ID], Table4[Store], "Not Found", 0)</f>
        <v>3</v>
      </c>
      <c r="V2087" s="16">
        <f>_xlfn.XLOOKUP(CustomerCombinedCleaned[[#This Row],[ID]], Table4[ID], Table4[Visits], "Not Found", 0)</f>
        <v>3</v>
      </c>
      <c r="W2087" s="16">
        <f>_xlfn.XLOOKUP(CustomerCombinedCleaned[[#This Row],[ID]], Table2[ID],Table2[Complaint], "Not Found", 0 )</f>
        <v>0</v>
      </c>
      <c r="X2087" s="16">
        <f>_xlfn.XLOOKUP(CustomerCombinedCleaned[[#This Row],[ID]], Table2[ID],Table2[Pilot], "Not Found", 0 )</f>
        <v>0</v>
      </c>
      <c r="Y2087" s="16">
        <f>_xlfn.XLOOKUP(CustomerCombinedCleaned[[#This Row],[ID]], Table2[ID],Table2[MC1], "Not Found", 0 )</f>
        <v>0</v>
      </c>
      <c r="Z2087" s="16">
        <f>_xlfn.XLOOKUP(CustomerCombinedCleaned[[#This Row],[ID]], Table2[ID],Table2[MC2], "Not Found", 0 )</f>
        <v>0</v>
      </c>
      <c r="AA2087" s="16">
        <f>_xlfn.XLOOKUP(CustomerCombinedCleaned[[#This Row],[ID]], Table2[ID],Table2[MC3], "Not Found", 0 )</f>
        <v>0</v>
      </c>
      <c r="AB2087" s="16">
        <f>_xlfn.XLOOKUP(CustomerCombinedCleaned[[#This Row],[ID]], Table2[ID],Table2[MC4], "Not Found", 0 )</f>
        <v>0</v>
      </c>
      <c r="AC2087" s="16">
        <f>_xlfn.XLOOKUP(CustomerCombinedCleaned[[#This Row],[ID]], Table2[ID],Table2[MC5], "Not Found", 0 )</f>
        <v>0</v>
      </c>
    </row>
    <row r="2088" spans="1:29" x14ac:dyDescent="0.3">
      <c r="A2088" s="18">
        <v>2558</v>
      </c>
      <c r="B2088" s="16">
        <v>182460</v>
      </c>
      <c r="C2088" s="16">
        <v>0</v>
      </c>
      <c r="D2088" s="16">
        <v>0</v>
      </c>
      <c r="E2088" s="16">
        <v>70</v>
      </c>
      <c r="F2088" s="17" t="s">
        <v>5</v>
      </c>
      <c r="G2088" s="17" t="s">
        <v>11</v>
      </c>
      <c r="H2088" s="3" t="s">
        <v>585</v>
      </c>
      <c r="I2088" s="5" t="s">
        <v>438</v>
      </c>
      <c r="J2088" s="16">
        <f>_xlfn.XLOOKUP(CustomerCombinedCleaned[[#This Row],[ID]], Table4[ID], Table4[Recency], "Not Found", 0)</f>
        <v>78</v>
      </c>
      <c r="K2088" s="16">
        <f>_xlfn.XLOOKUP(CustomerCombinedCleaned[[#This Row],[ID]], Table4[ID], Table4[Teas], "Not Found", 0)</f>
        <v>564</v>
      </c>
      <c r="L2088" s="16">
        <f>_xlfn.XLOOKUP(CustomerCombinedCleaned[[#This Row],[ID]], Table4[ID], Table4[Fruits], "Not Found", 0)</f>
        <v>104</v>
      </c>
      <c r="M2088" s="16">
        <f>_xlfn.XLOOKUP(CustomerCombinedCleaned[[#This Row],[ID]], Table4[ID], Table4[Meats], "Not Found", 0)</f>
        <v>1268</v>
      </c>
      <c r="N2088" s="16">
        <f>_xlfn.XLOOKUP(CustomerCombinedCleaned[[#This Row],[ID]], Table4[ID], Table4[Seafood], "Not Found", 0)</f>
        <v>115</v>
      </c>
      <c r="O2088" s="16">
        <f>_xlfn.XLOOKUP(CustomerCombinedCleaned[[#This Row],[ID]], Table4[ID], Table4[Sweets], "Not Found", 0)</f>
        <v>71</v>
      </c>
      <c r="P2088" s="16">
        <f>_xlfn.XLOOKUP(CustomerCombinedCleaned[[#This Row],[ID]], Table4[ID], Table4[Premium], "Not Found", 0)</f>
        <v>33</v>
      </c>
      <c r="Q2088" s="16">
        <f>_xlfn.XLOOKUP(CustomerCombinedCleaned[[#This Row],[ID]], Table4[ID], Table4[Regular], "Not Found", 0)</f>
        <v>2089</v>
      </c>
      <c r="R2088" s="16">
        <f>_xlfn.XLOOKUP(CustomerCombinedCleaned[[#This Row],[ID]], Table4[ID], Table4[Deals], "Not Found", 0)</f>
        <v>1</v>
      </c>
      <c r="S2088" s="16">
        <f>_xlfn.XLOOKUP(CustomerCombinedCleaned[[#This Row],[ID]], Table4[ID], Table4[Website], "Not Found", 0)</f>
        <v>5</v>
      </c>
      <c r="T2088" s="16">
        <f>_xlfn.XLOOKUP(CustomerCombinedCleaned[[#This Row],[ID]], Table4[ID], Table4[Catalog], "Not Found", 0)</f>
        <v>3</v>
      </c>
      <c r="U2088" s="16">
        <f>_xlfn.XLOOKUP(CustomerCombinedCleaned[[#This Row],[ID]], Table4[ID], Table4[Store], "Not Found", 0)</f>
        <v>6</v>
      </c>
      <c r="V2088" s="16">
        <f>_xlfn.XLOOKUP(CustomerCombinedCleaned[[#This Row],[ID]], Table4[ID], Table4[Visits], "Not Found", 0)</f>
        <v>1</v>
      </c>
      <c r="W2088" s="16">
        <f>_xlfn.XLOOKUP(CustomerCombinedCleaned[[#This Row],[ID]], Table2[ID],Table2[Complaint], "Not Found", 0 )</f>
        <v>0</v>
      </c>
      <c r="X2088" s="16">
        <f>_xlfn.XLOOKUP(CustomerCombinedCleaned[[#This Row],[ID]], Table2[ID],Table2[Pilot], "Not Found", 0 )</f>
        <v>0</v>
      </c>
      <c r="Y2088" s="16">
        <f>_xlfn.XLOOKUP(CustomerCombinedCleaned[[#This Row],[ID]], Table2[ID],Table2[MC1], "Not Found", 0 )</f>
        <v>0</v>
      </c>
      <c r="Z2088" s="16">
        <f>_xlfn.XLOOKUP(CustomerCombinedCleaned[[#This Row],[ID]], Table2[ID],Table2[MC2], "Not Found", 0 )</f>
        <v>0</v>
      </c>
      <c r="AA2088" s="16">
        <f>_xlfn.XLOOKUP(CustomerCombinedCleaned[[#This Row],[ID]], Table2[ID],Table2[MC3], "Not Found", 0 )</f>
        <v>0</v>
      </c>
      <c r="AB2088" s="16">
        <f>_xlfn.XLOOKUP(CustomerCombinedCleaned[[#This Row],[ID]], Table2[ID],Table2[MC4], "Not Found", 0 )</f>
        <v>0</v>
      </c>
      <c r="AC2088" s="16">
        <f>_xlfn.XLOOKUP(CustomerCombinedCleaned[[#This Row],[ID]], Table2[ID],Table2[MC5], "Not Found", 0 )</f>
        <v>0</v>
      </c>
    </row>
    <row r="2089" spans="1:29" x14ac:dyDescent="0.3">
      <c r="A2089" s="18">
        <v>1965</v>
      </c>
      <c r="B2089" s="16">
        <v>180763</v>
      </c>
      <c r="C2089" s="16">
        <v>0</v>
      </c>
      <c r="D2089" s="16">
        <v>0</v>
      </c>
      <c r="E2089" s="16">
        <v>70</v>
      </c>
      <c r="F2089" s="17" t="s">
        <v>6</v>
      </c>
      <c r="G2089" s="17" t="s">
        <v>11</v>
      </c>
      <c r="H2089" s="3" t="s">
        <v>202</v>
      </c>
      <c r="I2089" s="5" t="s">
        <v>435</v>
      </c>
      <c r="J2089" s="16">
        <f>_xlfn.XLOOKUP(CustomerCombinedCleaned[[#This Row],[ID]], Table4[ID], Table4[Recency], "Not Found", 0)</f>
        <v>17</v>
      </c>
      <c r="K2089" s="16">
        <f>_xlfn.XLOOKUP(CustomerCombinedCleaned[[#This Row],[ID]], Table4[ID], Table4[Teas], "Not Found", 0)</f>
        <v>1509</v>
      </c>
      <c r="L2089" s="16">
        <f>_xlfn.XLOOKUP(CustomerCombinedCleaned[[#This Row],[ID]], Table4[ID], Table4[Fruits], "Not Found", 0)</f>
        <v>376</v>
      </c>
      <c r="M2089" s="16">
        <f>_xlfn.XLOOKUP(CustomerCombinedCleaned[[#This Row],[ID]], Table4[ID], Table4[Meats], "Not Found", 0)</f>
        <v>242</v>
      </c>
      <c r="N2089" s="16">
        <f>_xlfn.XLOOKUP(CustomerCombinedCleaned[[#This Row],[ID]], Table4[ID], Table4[Seafood], "Not Found", 0)</f>
        <v>430</v>
      </c>
      <c r="O2089" s="16">
        <f>_xlfn.XLOOKUP(CustomerCombinedCleaned[[#This Row],[ID]], Table4[ID], Table4[Sweets], "Not Found", 0)</f>
        <v>94</v>
      </c>
      <c r="P2089" s="16">
        <f>_xlfn.XLOOKUP(CustomerCombinedCleaned[[#This Row],[ID]], Table4[ID], Table4[Premium], "Not Found", 0)</f>
        <v>517</v>
      </c>
      <c r="Q2089" s="16">
        <f>_xlfn.XLOOKUP(CustomerCombinedCleaned[[#This Row],[ID]], Table4[ID], Table4[Regular], "Not Found", 0)</f>
        <v>2133</v>
      </c>
      <c r="R2089" s="16">
        <f>_xlfn.XLOOKUP(CustomerCombinedCleaned[[#This Row],[ID]], Table4[ID], Table4[Deals], "Not Found", 0)</f>
        <v>1</v>
      </c>
      <c r="S2089" s="16">
        <f>_xlfn.XLOOKUP(CustomerCombinedCleaned[[#This Row],[ID]], Table4[ID], Table4[Website], "Not Found", 0)</f>
        <v>5</v>
      </c>
      <c r="T2089" s="16">
        <f>_xlfn.XLOOKUP(CustomerCombinedCleaned[[#This Row],[ID]], Table4[ID], Table4[Catalog], "Not Found", 0)</f>
        <v>11</v>
      </c>
      <c r="U2089" s="16">
        <f>_xlfn.XLOOKUP(CustomerCombinedCleaned[[#This Row],[ID]], Table4[ID], Table4[Store], "Not Found", 0)</f>
        <v>6</v>
      </c>
      <c r="V2089" s="16">
        <f>_xlfn.XLOOKUP(CustomerCombinedCleaned[[#This Row],[ID]], Table4[ID], Table4[Visits], "Not Found", 0)</f>
        <v>3</v>
      </c>
      <c r="W2089" s="16">
        <f>_xlfn.XLOOKUP(CustomerCombinedCleaned[[#This Row],[ID]], Table2[ID],Table2[Complaint], "Not Found", 0 )</f>
        <v>0</v>
      </c>
      <c r="X2089" s="16">
        <f>_xlfn.XLOOKUP(CustomerCombinedCleaned[[#This Row],[ID]], Table2[ID],Table2[Pilot], "Not Found", 0 )</f>
        <v>1</v>
      </c>
      <c r="Y2089" s="16">
        <f>_xlfn.XLOOKUP(CustomerCombinedCleaned[[#This Row],[ID]], Table2[ID],Table2[MC1], "Not Found", 0 )</f>
        <v>1</v>
      </c>
      <c r="Z2089" s="16">
        <f>_xlfn.XLOOKUP(CustomerCombinedCleaned[[#This Row],[ID]], Table2[ID],Table2[MC2], "Not Found", 0 )</f>
        <v>0</v>
      </c>
      <c r="AA2089" s="16">
        <f>_xlfn.XLOOKUP(CustomerCombinedCleaned[[#This Row],[ID]], Table2[ID],Table2[MC3], "Not Found", 0 )</f>
        <v>0</v>
      </c>
      <c r="AB2089" s="16">
        <f>_xlfn.XLOOKUP(CustomerCombinedCleaned[[#This Row],[ID]], Table2[ID],Table2[MC4], "Not Found", 0 )</f>
        <v>0</v>
      </c>
      <c r="AC2089" s="16">
        <f>_xlfn.XLOOKUP(CustomerCombinedCleaned[[#This Row],[ID]], Table2[ID],Table2[MC5], "Not Found", 0 )</f>
        <v>1</v>
      </c>
    </row>
    <row r="2090" spans="1:29" x14ac:dyDescent="0.3">
      <c r="A2090" s="18">
        <v>2930</v>
      </c>
      <c r="B2090" s="16">
        <v>176842</v>
      </c>
      <c r="C2090" s="16">
        <v>0</v>
      </c>
      <c r="D2090" s="16">
        <v>0</v>
      </c>
      <c r="E2090" s="16">
        <v>70</v>
      </c>
      <c r="F2090" s="17" t="s">
        <v>9</v>
      </c>
      <c r="G2090" s="17" t="s">
        <v>13</v>
      </c>
      <c r="H2090" s="3" t="s">
        <v>629</v>
      </c>
      <c r="I2090" s="5" t="s">
        <v>438</v>
      </c>
      <c r="J2090" s="16">
        <f>_xlfn.XLOOKUP(CustomerCombinedCleaned[[#This Row],[ID]], Table4[ID], Table4[Recency], "Not Found", 0)</f>
        <v>37</v>
      </c>
      <c r="K2090" s="16">
        <f>_xlfn.XLOOKUP(CustomerCombinedCleaned[[#This Row],[ID]], Table4[ID], Table4[Teas], "Not Found", 0)</f>
        <v>1392</v>
      </c>
      <c r="L2090" s="16">
        <f>_xlfn.XLOOKUP(CustomerCombinedCleaned[[#This Row],[ID]], Table4[ID], Table4[Fruits], "Not Found", 0)</f>
        <v>23</v>
      </c>
      <c r="M2090" s="16">
        <f>_xlfn.XLOOKUP(CustomerCombinedCleaned[[#This Row],[ID]], Table4[ID], Table4[Meats], "Not Found", 0)</f>
        <v>794</v>
      </c>
      <c r="N2090" s="16">
        <f>_xlfn.XLOOKUP(CustomerCombinedCleaned[[#This Row],[ID]], Table4[ID], Table4[Seafood], "Not Found", 0)</f>
        <v>193</v>
      </c>
      <c r="O2090" s="16">
        <f>_xlfn.XLOOKUP(CustomerCombinedCleaned[[#This Row],[ID]], Table4[ID], Table4[Sweets], "Not Found", 0)</f>
        <v>124</v>
      </c>
      <c r="P2090" s="16">
        <f>_xlfn.XLOOKUP(CustomerCombinedCleaned[[#This Row],[ID]], Table4[ID], Table4[Premium], "Not Found", 0)</f>
        <v>74</v>
      </c>
      <c r="Q2090" s="16">
        <f>_xlfn.XLOOKUP(CustomerCombinedCleaned[[#This Row],[ID]], Table4[ID], Table4[Regular], "Not Found", 0)</f>
        <v>2453</v>
      </c>
      <c r="R2090" s="16">
        <f>_xlfn.XLOOKUP(CustomerCombinedCleaned[[#This Row],[ID]], Table4[ID], Table4[Deals], "Not Found", 0)</f>
        <v>1</v>
      </c>
      <c r="S2090" s="16">
        <f>_xlfn.XLOOKUP(CustomerCombinedCleaned[[#This Row],[ID]], Table4[ID], Table4[Website], "Not Found", 0)</f>
        <v>1</v>
      </c>
      <c r="T2090" s="16">
        <f>_xlfn.XLOOKUP(CustomerCombinedCleaned[[#This Row],[ID]], Table4[ID], Table4[Catalog], "Not Found", 0)</f>
        <v>8</v>
      </c>
      <c r="U2090" s="16">
        <f>_xlfn.XLOOKUP(CustomerCombinedCleaned[[#This Row],[ID]], Table4[ID], Table4[Store], "Not Found", 0)</f>
        <v>7</v>
      </c>
      <c r="V2090" s="16">
        <f>_xlfn.XLOOKUP(CustomerCombinedCleaned[[#This Row],[ID]], Table4[ID], Table4[Visits], "Not Found", 0)</f>
        <v>0</v>
      </c>
      <c r="W2090" s="16">
        <f>_xlfn.XLOOKUP(CustomerCombinedCleaned[[#This Row],[ID]], Table2[ID],Table2[Complaint], "Not Found", 0 )</f>
        <v>0</v>
      </c>
      <c r="X2090" s="16">
        <f>_xlfn.XLOOKUP(CustomerCombinedCleaned[[#This Row],[ID]], Table2[ID],Table2[Pilot], "Not Found", 0 )</f>
        <v>0</v>
      </c>
      <c r="Y2090" s="16">
        <f>_xlfn.XLOOKUP(CustomerCombinedCleaned[[#This Row],[ID]], Table2[ID],Table2[MC1], "Not Found", 0 )</f>
        <v>0</v>
      </c>
      <c r="Z2090" s="16">
        <f>_xlfn.XLOOKUP(CustomerCombinedCleaned[[#This Row],[ID]], Table2[ID],Table2[MC2], "Not Found", 0 )</f>
        <v>0</v>
      </c>
      <c r="AA2090" s="16">
        <f>_xlfn.XLOOKUP(CustomerCombinedCleaned[[#This Row],[ID]], Table2[ID],Table2[MC3], "Not Found", 0 )</f>
        <v>0</v>
      </c>
      <c r="AB2090" s="16">
        <f>_xlfn.XLOOKUP(CustomerCombinedCleaned[[#This Row],[ID]], Table2[ID],Table2[MC4], "Not Found", 0 )</f>
        <v>0</v>
      </c>
      <c r="AC2090" s="16">
        <f>_xlfn.XLOOKUP(CustomerCombinedCleaned[[#This Row],[ID]], Table2[ID],Table2[MC5], "Not Found", 0 )</f>
        <v>0</v>
      </c>
    </row>
    <row r="2091" spans="1:29" x14ac:dyDescent="0.3">
      <c r="A2091" s="18">
        <v>2436</v>
      </c>
      <c r="B2091" s="16">
        <v>164866</v>
      </c>
      <c r="C2091" s="16">
        <v>0</v>
      </c>
      <c r="D2091" s="16">
        <v>1</v>
      </c>
      <c r="E2091" s="16">
        <v>70</v>
      </c>
      <c r="F2091" s="17" t="s">
        <v>9</v>
      </c>
      <c r="G2091" s="17" t="s">
        <v>12</v>
      </c>
      <c r="H2091" s="3" t="s">
        <v>643</v>
      </c>
      <c r="I2091" s="5" t="s">
        <v>436</v>
      </c>
      <c r="J2091" s="16">
        <f>_xlfn.XLOOKUP(CustomerCombinedCleaned[[#This Row],[ID]], Table4[ID], Table4[Recency], "Not Found", 0)</f>
        <v>9</v>
      </c>
      <c r="K2091" s="16">
        <f>_xlfn.XLOOKUP(CustomerCombinedCleaned[[#This Row],[ID]], Table4[ID], Table4[Teas], "Not Found", 0)</f>
        <v>1291</v>
      </c>
      <c r="L2091" s="16">
        <f>_xlfn.XLOOKUP(CustomerCombinedCleaned[[#This Row],[ID]], Table4[ID], Table4[Fruits], "Not Found", 0)</f>
        <v>13</v>
      </c>
      <c r="M2091" s="16">
        <f>_xlfn.XLOOKUP(CustomerCombinedCleaned[[#This Row],[ID]], Table4[ID], Table4[Meats], "Not Found", 0)</f>
        <v>53</v>
      </c>
      <c r="N2091" s="16">
        <f>_xlfn.XLOOKUP(CustomerCombinedCleaned[[#This Row],[ID]], Table4[ID], Table4[Seafood], "Not Found", 0)</f>
        <v>18</v>
      </c>
      <c r="O2091" s="16">
        <f>_xlfn.XLOOKUP(CustomerCombinedCleaned[[#This Row],[ID]], Table4[ID], Table4[Sweets], "Not Found", 0)</f>
        <v>13</v>
      </c>
      <c r="P2091" s="16">
        <f>_xlfn.XLOOKUP(CustomerCombinedCleaned[[#This Row],[ID]], Table4[ID], Table4[Premium], "Not Found", 0)</f>
        <v>25</v>
      </c>
      <c r="Q2091" s="16">
        <f>_xlfn.XLOOKUP(CustomerCombinedCleaned[[#This Row],[ID]], Table4[ID], Table4[Regular], "Not Found", 0)</f>
        <v>1362</v>
      </c>
      <c r="R2091" s="16">
        <f>_xlfn.XLOOKUP(CustomerCombinedCleaned[[#This Row],[ID]], Table4[ID], Table4[Deals], "Not Found", 0)</f>
        <v>4</v>
      </c>
      <c r="S2091" s="16">
        <f>_xlfn.XLOOKUP(CustomerCombinedCleaned[[#This Row],[ID]], Table4[ID], Table4[Website], "Not Found", 0)</f>
        <v>7</v>
      </c>
      <c r="T2091" s="16">
        <f>_xlfn.XLOOKUP(CustomerCombinedCleaned[[#This Row],[ID]], Table4[ID], Table4[Catalog], "Not Found", 0)</f>
        <v>3</v>
      </c>
      <c r="U2091" s="16">
        <f>_xlfn.XLOOKUP(CustomerCombinedCleaned[[#This Row],[ID]], Table4[ID], Table4[Store], "Not Found", 0)</f>
        <v>7</v>
      </c>
      <c r="V2091" s="16">
        <f>_xlfn.XLOOKUP(CustomerCombinedCleaned[[#This Row],[ID]], Table4[ID], Table4[Visits], "Not Found", 0)</f>
        <v>5</v>
      </c>
      <c r="W2091" s="16">
        <f>_xlfn.XLOOKUP(CustomerCombinedCleaned[[#This Row],[ID]], Table2[ID],Table2[Complaint], "Not Found", 0 )</f>
        <v>0</v>
      </c>
      <c r="X2091" s="16">
        <f>_xlfn.XLOOKUP(CustomerCombinedCleaned[[#This Row],[ID]], Table2[ID],Table2[Pilot], "Not Found", 0 )</f>
        <v>0</v>
      </c>
      <c r="Y2091" s="16">
        <f>_xlfn.XLOOKUP(CustomerCombinedCleaned[[#This Row],[ID]], Table2[ID],Table2[MC1], "Not Found", 0 )</f>
        <v>0</v>
      </c>
      <c r="Z2091" s="16">
        <f>_xlfn.XLOOKUP(CustomerCombinedCleaned[[#This Row],[ID]], Table2[ID],Table2[MC2], "Not Found", 0 )</f>
        <v>0</v>
      </c>
      <c r="AA2091" s="16">
        <f>_xlfn.XLOOKUP(CustomerCombinedCleaned[[#This Row],[ID]], Table2[ID],Table2[MC3], "Not Found", 0 )</f>
        <v>0</v>
      </c>
      <c r="AB2091" s="16">
        <f>_xlfn.XLOOKUP(CustomerCombinedCleaned[[#This Row],[ID]], Table2[ID],Table2[MC4], "Not Found", 0 )</f>
        <v>1</v>
      </c>
      <c r="AC2091" s="16">
        <f>_xlfn.XLOOKUP(CustomerCombinedCleaned[[#This Row],[ID]], Table2[ID],Table2[MC5], "Not Found", 0 )</f>
        <v>0</v>
      </c>
    </row>
    <row r="2092" spans="1:29" x14ac:dyDescent="0.3">
      <c r="A2092" s="18">
        <v>1621</v>
      </c>
      <c r="B2092" s="16">
        <v>163120</v>
      </c>
      <c r="C2092" s="16">
        <v>0</v>
      </c>
      <c r="D2092" s="16">
        <v>1</v>
      </c>
      <c r="E2092" s="16">
        <v>70</v>
      </c>
      <c r="F2092" s="17" t="s">
        <v>5</v>
      </c>
      <c r="G2092" s="17" t="s">
        <v>12</v>
      </c>
      <c r="H2092" s="3" t="s">
        <v>612</v>
      </c>
      <c r="I2092" s="5" t="s">
        <v>437</v>
      </c>
      <c r="J2092" s="16">
        <f>_xlfn.XLOOKUP(CustomerCombinedCleaned[[#This Row],[ID]], Table4[ID], Table4[Recency], "Not Found", 0)</f>
        <v>53</v>
      </c>
      <c r="K2092" s="16">
        <f>_xlfn.XLOOKUP(CustomerCombinedCleaned[[#This Row],[ID]], Table4[ID], Table4[Teas], "Not Found", 0)</f>
        <v>2494</v>
      </c>
      <c r="L2092" s="16">
        <f>_xlfn.XLOOKUP(CustomerCombinedCleaned[[#This Row],[ID]], Table4[ID], Table4[Fruits], "Not Found", 0)</f>
        <v>178</v>
      </c>
      <c r="M2092" s="16">
        <f>_xlfn.XLOOKUP(CustomerCombinedCleaned[[#This Row],[ID]], Table4[ID], Table4[Meats], "Not Found", 0)</f>
        <v>721</v>
      </c>
      <c r="N2092" s="16">
        <f>_xlfn.XLOOKUP(CustomerCombinedCleaned[[#This Row],[ID]], Table4[ID], Table4[Seafood], "Not Found", 0)</f>
        <v>140</v>
      </c>
      <c r="O2092" s="16">
        <f>_xlfn.XLOOKUP(CustomerCombinedCleaned[[#This Row],[ID]], Table4[ID], Table4[Sweets], "Not Found", 0)</f>
        <v>106</v>
      </c>
      <c r="P2092" s="16">
        <f>_xlfn.XLOOKUP(CustomerCombinedCleaned[[#This Row],[ID]], Table4[ID], Table4[Premium], "Not Found", 0)</f>
        <v>178</v>
      </c>
      <c r="Q2092" s="16">
        <f>_xlfn.XLOOKUP(CustomerCombinedCleaned[[#This Row],[ID]], Table4[ID], Table4[Regular], "Not Found", 0)</f>
        <v>3460</v>
      </c>
      <c r="R2092" s="16">
        <f>_xlfn.XLOOKUP(CustomerCombinedCleaned[[#This Row],[ID]], Table4[ID], Table4[Deals], "Not Found", 0)</f>
        <v>5</v>
      </c>
      <c r="S2092" s="16">
        <f>_xlfn.XLOOKUP(CustomerCombinedCleaned[[#This Row],[ID]], Table4[ID], Table4[Website], "Not Found", 0)</f>
        <v>8</v>
      </c>
      <c r="T2092" s="16">
        <f>_xlfn.XLOOKUP(CustomerCombinedCleaned[[#This Row],[ID]], Table4[ID], Table4[Catalog], "Not Found", 0)</f>
        <v>4</v>
      </c>
      <c r="U2092" s="16">
        <f>_xlfn.XLOOKUP(CustomerCombinedCleaned[[#This Row],[ID]], Table4[ID], Table4[Store], "Not Found", 0)</f>
        <v>9</v>
      </c>
      <c r="V2092" s="16">
        <f>_xlfn.XLOOKUP(CustomerCombinedCleaned[[#This Row],[ID]], Table4[ID], Table4[Visits], "Not Found", 0)</f>
        <v>7</v>
      </c>
      <c r="W2092" s="16">
        <f>_xlfn.XLOOKUP(CustomerCombinedCleaned[[#This Row],[ID]], Table2[ID],Table2[Complaint], "Not Found", 0 )</f>
        <v>0</v>
      </c>
      <c r="X2092" s="16">
        <f>_xlfn.XLOOKUP(CustomerCombinedCleaned[[#This Row],[ID]], Table2[ID],Table2[Pilot], "Not Found", 0 )</f>
        <v>1</v>
      </c>
      <c r="Y2092" s="16">
        <f>_xlfn.XLOOKUP(CustomerCombinedCleaned[[#This Row],[ID]], Table2[ID],Table2[MC1], "Not Found", 0 )</f>
        <v>0</v>
      </c>
      <c r="Z2092" s="16">
        <f>_xlfn.XLOOKUP(CustomerCombinedCleaned[[#This Row],[ID]], Table2[ID],Table2[MC2], "Not Found", 0 )</f>
        <v>0</v>
      </c>
      <c r="AA2092" s="16">
        <f>_xlfn.XLOOKUP(CustomerCombinedCleaned[[#This Row],[ID]], Table2[ID],Table2[MC3], "Not Found", 0 )</f>
        <v>0</v>
      </c>
      <c r="AB2092" s="16">
        <f>_xlfn.XLOOKUP(CustomerCombinedCleaned[[#This Row],[ID]], Table2[ID],Table2[MC4], "Not Found", 0 )</f>
        <v>0</v>
      </c>
      <c r="AC2092" s="16">
        <f>_xlfn.XLOOKUP(CustomerCombinedCleaned[[#This Row],[ID]], Table2[ID],Table2[MC5], "Not Found", 0 )</f>
        <v>0</v>
      </c>
    </row>
    <row r="2093" spans="1:29" x14ac:dyDescent="0.3">
      <c r="A2093" s="18">
        <v>3010</v>
      </c>
      <c r="B2093" s="16">
        <v>160905</v>
      </c>
      <c r="C2093" s="16">
        <v>0</v>
      </c>
      <c r="D2093" s="16">
        <v>1</v>
      </c>
      <c r="E2093" s="16">
        <v>70</v>
      </c>
      <c r="F2093" s="17" t="s">
        <v>8</v>
      </c>
      <c r="G2093" s="17" t="s">
        <v>11</v>
      </c>
      <c r="H2093" s="3" t="s">
        <v>648</v>
      </c>
      <c r="I2093" s="5" t="s">
        <v>439</v>
      </c>
      <c r="J2093" s="16">
        <f>_xlfn.XLOOKUP(CustomerCombinedCleaned[[#This Row],[ID]], Table4[ID], Table4[Recency], "Not Found", 0)</f>
        <v>27</v>
      </c>
      <c r="K2093" s="16">
        <f>_xlfn.XLOOKUP(CustomerCombinedCleaned[[#This Row],[ID]], Table4[ID], Table4[Teas], "Not Found", 0)</f>
        <v>550</v>
      </c>
      <c r="L2093" s="16">
        <f>_xlfn.XLOOKUP(CustomerCombinedCleaned[[#This Row],[ID]], Table4[ID], Table4[Fruits], "Not Found", 0)</f>
        <v>45</v>
      </c>
      <c r="M2093" s="16">
        <f>_xlfn.XLOOKUP(CustomerCombinedCleaned[[#This Row],[ID]], Table4[ID], Table4[Meats], "Not Found", 0)</f>
        <v>201</v>
      </c>
      <c r="N2093" s="16">
        <f>_xlfn.XLOOKUP(CustomerCombinedCleaned[[#This Row],[ID]], Table4[ID], Table4[Seafood], "Not Found", 0)</f>
        <v>95</v>
      </c>
      <c r="O2093" s="16">
        <f>_xlfn.XLOOKUP(CustomerCombinedCleaned[[#This Row],[ID]], Table4[ID], Table4[Sweets], "Not Found", 0)</f>
        <v>45</v>
      </c>
      <c r="P2093" s="16">
        <f>_xlfn.XLOOKUP(CustomerCombinedCleaned[[#This Row],[ID]], Table4[ID], Table4[Premium], "Not Found", 0)</f>
        <v>100</v>
      </c>
      <c r="Q2093" s="16">
        <f>_xlfn.XLOOKUP(CustomerCombinedCleaned[[#This Row],[ID]], Table4[ID], Table4[Regular], "Not Found", 0)</f>
        <v>835</v>
      </c>
      <c r="R2093" s="16">
        <f>_xlfn.XLOOKUP(CustomerCombinedCleaned[[#This Row],[ID]], Table4[ID], Table4[Deals], "Not Found", 0)</f>
        <v>2</v>
      </c>
      <c r="S2093" s="16">
        <f>_xlfn.XLOOKUP(CustomerCombinedCleaned[[#This Row],[ID]], Table4[ID], Table4[Website], "Not Found", 0)</f>
        <v>3</v>
      </c>
      <c r="T2093" s="16">
        <f>_xlfn.XLOOKUP(CustomerCombinedCleaned[[#This Row],[ID]], Table4[ID], Table4[Catalog], "Not Found", 0)</f>
        <v>3</v>
      </c>
      <c r="U2093" s="16">
        <f>_xlfn.XLOOKUP(CustomerCombinedCleaned[[#This Row],[ID]], Table4[ID], Table4[Store], "Not Found", 0)</f>
        <v>7</v>
      </c>
      <c r="V2093" s="16">
        <f>_xlfn.XLOOKUP(CustomerCombinedCleaned[[#This Row],[ID]], Table4[ID], Table4[Visits], "Not Found", 0)</f>
        <v>2</v>
      </c>
      <c r="W2093" s="16">
        <f>_xlfn.XLOOKUP(CustomerCombinedCleaned[[#This Row],[ID]], Table2[ID],Table2[Complaint], "Not Found", 0 )</f>
        <v>0</v>
      </c>
      <c r="X2093" s="16">
        <f>_xlfn.XLOOKUP(CustomerCombinedCleaned[[#This Row],[ID]], Table2[ID],Table2[Pilot], "Not Found", 0 )</f>
        <v>0</v>
      </c>
      <c r="Y2093" s="16">
        <f>_xlfn.XLOOKUP(CustomerCombinedCleaned[[#This Row],[ID]], Table2[ID],Table2[MC1], "Not Found", 0 )</f>
        <v>0</v>
      </c>
      <c r="Z2093" s="16">
        <f>_xlfn.XLOOKUP(CustomerCombinedCleaned[[#This Row],[ID]], Table2[ID],Table2[MC2], "Not Found", 0 )</f>
        <v>0</v>
      </c>
      <c r="AA2093" s="16">
        <f>_xlfn.XLOOKUP(CustomerCombinedCleaned[[#This Row],[ID]], Table2[ID],Table2[MC3], "Not Found", 0 )</f>
        <v>0</v>
      </c>
      <c r="AB2093" s="16">
        <f>_xlfn.XLOOKUP(CustomerCombinedCleaned[[#This Row],[ID]], Table2[ID],Table2[MC4], "Not Found", 0 )</f>
        <v>0</v>
      </c>
      <c r="AC2093" s="16">
        <f>_xlfn.XLOOKUP(CustomerCombinedCleaned[[#This Row],[ID]], Table2[ID],Table2[MC5], "Not Found", 0 )</f>
        <v>0</v>
      </c>
    </row>
    <row r="2094" spans="1:29" x14ac:dyDescent="0.3">
      <c r="A2094" s="18">
        <v>3033</v>
      </c>
      <c r="B2094" s="16">
        <v>159462</v>
      </c>
      <c r="C2094" s="16">
        <v>0</v>
      </c>
      <c r="D2094" s="16">
        <v>1</v>
      </c>
      <c r="E2094" s="16">
        <v>70</v>
      </c>
      <c r="F2094" s="17" t="s">
        <v>6</v>
      </c>
      <c r="G2094" s="17" t="s">
        <v>11</v>
      </c>
      <c r="H2094" s="3" t="s">
        <v>591</v>
      </c>
      <c r="I2094" s="5" t="s">
        <v>435</v>
      </c>
      <c r="J2094" s="16">
        <f>_xlfn.XLOOKUP(CustomerCombinedCleaned[[#This Row],[ID]], Table4[ID], Table4[Recency], "Not Found", 0)</f>
        <v>29</v>
      </c>
      <c r="K2094" s="16">
        <f>_xlfn.XLOOKUP(CustomerCombinedCleaned[[#This Row],[ID]], Table4[ID], Table4[Teas], "Not Found", 0)</f>
        <v>1942</v>
      </c>
      <c r="L2094" s="16">
        <f>_xlfn.XLOOKUP(CustomerCombinedCleaned[[#This Row],[ID]], Table4[ID], Table4[Fruits], "Not Found", 0)</f>
        <v>46</v>
      </c>
      <c r="M2094" s="16">
        <f>_xlfn.XLOOKUP(CustomerCombinedCleaned[[#This Row],[ID]], Table4[ID], Table4[Meats], "Not Found", 0)</f>
        <v>383</v>
      </c>
      <c r="N2094" s="16">
        <f>_xlfn.XLOOKUP(CustomerCombinedCleaned[[#This Row],[ID]], Table4[ID], Table4[Seafood], "Not Found", 0)</f>
        <v>0</v>
      </c>
      <c r="O2094" s="16">
        <f>_xlfn.XLOOKUP(CustomerCombinedCleaned[[#This Row],[ID]], Table4[ID], Table4[Sweets], "Not Found", 0)</f>
        <v>21</v>
      </c>
      <c r="P2094" s="16">
        <f>_xlfn.XLOOKUP(CustomerCombinedCleaned[[#This Row],[ID]], Table4[ID], Table4[Premium], "Not Found", 0)</f>
        <v>526</v>
      </c>
      <c r="Q2094" s="16">
        <f>_xlfn.XLOOKUP(CustomerCombinedCleaned[[#This Row],[ID]], Table4[ID], Table4[Regular], "Not Found", 0)</f>
        <v>1866</v>
      </c>
      <c r="R2094" s="16">
        <f>_xlfn.XLOOKUP(CustomerCombinedCleaned[[#This Row],[ID]], Table4[ID], Table4[Deals], "Not Found", 0)</f>
        <v>2</v>
      </c>
      <c r="S2094" s="16">
        <f>_xlfn.XLOOKUP(CustomerCombinedCleaned[[#This Row],[ID]], Table4[ID], Table4[Website], "Not Found", 0)</f>
        <v>9</v>
      </c>
      <c r="T2094" s="16">
        <f>_xlfn.XLOOKUP(CustomerCombinedCleaned[[#This Row],[ID]], Table4[ID], Table4[Catalog], "Not Found", 0)</f>
        <v>2</v>
      </c>
      <c r="U2094" s="16">
        <f>_xlfn.XLOOKUP(CustomerCombinedCleaned[[#This Row],[ID]], Table4[ID], Table4[Store], "Not Found", 0)</f>
        <v>12</v>
      </c>
      <c r="V2094" s="16">
        <f>_xlfn.XLOOKUP(CustomerCombinedCleaned[[#This Row],[ID]], Table4[ID], Table4[Visits], "Not Found", 0)</f>
        <v>7</v>
      </c>
      <c r="W2094" s="16">
        <f>_xlfn.XLOOKUP(CustomerCombinedCleaned[[#This Row],[ID]], Table2[ID],Table2[Complaint], "Not Found", 0 )</f>
        <v>0</v>
      </c>
      <c r="X2094" s="16">
        <f>_xlfn.XLOOKUP(CustomerCombinedCleaned[[#This Row],[ID]], Table2[ID],Table2[Pilot], "Not Found", 0 )</f>
        <v>0</v>
      </c>
      <c r="Y2094" s="16">
        <f>_xlfn.XLOOKUP(CustomerCombinedCleaned[[#This Row],[ID]], Table2[ID],Table2[MC1], "Not Found", 0 )</f>
        <v>0</v>
      </c>
      <c r="Z2094" s="16">
        <f>_xlfn.XLOOKUP(CustomerCombinedCleaned[[#This Row],[ID]], Table2[ID],Table2[MC2], "Not Found", 0 )</f>
        <v>0</v>
      </c>
      <c r="AA2094" s="16">
        <f>_xlfn.XLOOKUP(CustomerCombinedCleaned[[#This Row],[ID]], Table2[ID],Table2[MC3], "Not Found", 0 )</f>
        <v>0</v>
      </c>
      <c r="AB2094" s="16">
        <f>_xlfn.XLOOKUP(CustomerCombinedCleaned[[#This Row],[ID]], Table2[ID],Table2[MC4], "Not Found", 0 )</f>
        <v>0</v>
      </c>
      <c r="AC2094" s="16">
        <f>_xlfn.XLOOKUP(CustomerCombinedCleaned[[#This Row],[ID]], Table2[ID],Table2[MC5], "Not Found", 0 )</f>
        <v>0</v>
      </c>
    </row>
    <row r="2095" spans="1:29" x14ac:dyDescent="0.3">
      <c r="A2095" s="18">
        <v>1327</v>
      </c>
      <c r="B2095" s="16">
        <v>159292</v>
      </c>
      <c r="C2095" s="16">
        <v>0</v>
      </c>
      <c r="D2095" s="16">
        <v>1</v>
      </c>
      <c r="E2095" s="16">
        <v>70</v>
      </c>
      <c r="F2095" s="17" t="s">
        <v>8</v>
      </c>
      <c r="G2095" s="17" t="s">
        <v>13</v>
      </c>
      <c r="H2095" s="3" t="s">
        <v>239</v>
      </c>
      <c r="I2095" s="5" t="s">
        <v>437</v>
      </c>
      <c r="J2095" s="16">
        <f>_xlfn.XLOOKUP(CustomerCombinedCleaned[[#This Row],[ID]], Table4[ID], Table4[Recency], "Not Found", 0)</f>
        <v>71</v>
      </c>
      <c r="K2095" s="16">
        <f>_xlfn.XLOOKUP(CustomerCombinedCleaned[[#This Row],[ID]], Table4[ID], Table4[Teas], "Not Found", 0)</f>
        <v>1016</v>
      </c>
      <c r="L2095" s="16">
        <f>_xlfn.XLOOKUP(CustomerCombinedCleaned[[#This Row],[ID]], Table4[ID], Table4[Fruits], "Not Found", 0)</f>
        <v>38</v>
      </c>
      <c r="M2095" s="16">
        <f>_xlfn.XLOOKUP(CustomerCombinedCleaned[[#This Row],[ID]], Table4[ID], Table4[Meats], "Not Found", 0)</f>
        <v>183</v>
      </c>
      <c r="N2095" s="16">
        <f>_xlfn.XLOOKUP(CustomerCombinedCleaned[[#This Row],[ID]], Table4[ID], Table4[Seafood], "Not Found", 0)</f>
        <v>51</v>
      </c>
      <c r="O2095" s="16">
        <f>_xlfn.XLOOKUP(CustomerCombinedCleaned[[#This Row],[ID]], Table4[ID], Table4[Sweets], "Not Found", 0)</f>
        <v>38</v>
      </c>
      <c r="P2095" s="16">
        <f>_xlfn.XLOOKUP(CustomerCombinedCleaned[[#This Row],[ID]], Table4[ID], Table4[Premium], "Not Found", 0)</f>
        <v>38</v>
      </c>
      <c r="Q2095" s="16">
        <f>_xlfn.XLOOKUP(CustomerCombinedCleaned[[#This Row],[ID]], Table4[ID], Table4[Regular], "Not Found", 0)</f>
        <v>1287</v>
      </c>
      <c r="R2095" s="16">
        <f>_xlfn.XLOOKUP(CustomerCombinedCleaned[[#This Row],[ID]], Table4[ID], Table4[Deals], "Not Found", 0)</f>
        <v>2</v>
      </c>
      <c r="S2095" s="16">
        <f>_xlfn.XLOOKUP(CustomerCombinedCleaned[[#This Row],[ID]], Table4[ID], Table4[Website], "Not Found", 0)</f>
        <v>3</v>
      </c>
      <c r="T2095" s="16">
        <f>_xlfn.XLOOKUP(CustomerCombinedCleaned[[#This Row],[ID]], Table4[ID], Table4[Catalog], "Not Found", 0)</f>
        <v>5</v>
      </c>
      <c r="U2095" s="16">
        <f>_xlfn.XLOOKUP(CustomerCombinedCleaned[[#This Row],[ID]], Table4[ID], Table4[Store], "Not Found", 0)</f>
        <v>8</v>
      </c>
      <c r="V2095" s="16">
        <f>_xlfn.XLOOKUP(CustomerCombinedCleaned[[#This Row],[ID]], Table4[ID], Table4[Visits], "Not Found", 0)</f>
        <v>3</v>
      </c>
      <c r="W2095" s="16">
        <f>_xlfn.XLOOKUP(CustomerCombinedCleaned[[#This Row],[ID]], Table2[ID],Table2[Complaint], "Not Found", 0 )</f>
        <v>0</v>
      </c>
      <c r="X2095" s="16">
        <f>_xlfn.XLOOKUP(CustomerCombinedCleaned[[#This Row],[ID]], Table2[ID],Table2[Pilot], "Not Found", 0 )</f>
        <v>0</v>
      </c>
      <c r="Y2095" s="16">
        <f>_xlfn.XLOOKUP(CustomerCombinedCleaned[[#This Row],[ID]], Table2[ID],Table2[MC1], "Not Found", 0 )</f>
        <v>0</v>
      </c>
      <c r="Z2095" s="16">
        <f>_xlfn.XLOOKUP(CustomerCombinedCleaned[[#This Row],[ID]], Table2[ID],Table2[MC2], "Not Found", 0 )</f>
        <v>0</v>
      </c>
      <c r="AA2095" s="16">
        <f>_xlfn.XLOOKUP(CustomerCombinedCleaned[[#This Row],[ID]], Table2[ID],Table2[MC3], "Not Found", 0 )</f>
        <v>0</v>
      </c>
      <c r="AB2095" s="16">
        <f>_xlfn.XLOOKUP(CustomerCombinedCleaned[[#This Row],[ID]], Table2[ID],Table2[MC4], "Not Found", 0 )</f>
        <v>0</v>
      </c>
      <c r="AC2095" s="16">
        <f>_xlfn.XLOOKUP(CustomerCombinedCleaned[[#This Row],[ID]], Table2[ID],Table2[MC5], "Not Found", 0 )</f>
        <v>0</v>
      </c>
    </row>
    <row r="2096" spans="1:29" x14ac:dyDescent="0.3">
      <c r="A2096" s="18">
        <v>2874</v>
      </c>
      <c r="B2096" s="16">
        <v>159292</v>
      </c>
      <c r="C2096" s="16">
        <v>0</v>
      </c>
      <c r="D2096" s="16">
        <v>1</v>
      </c>
      <c r="E2096" s="16">
        <v>70</v>
      </c>
      <c r="F2096" s="17" t="s">
        <v>8</v>
      </c>
      <c r="G2096" s="17" t="s">
        <v>13</v>
      </c>
      <c r="H2096" s="3" t="s">
        <v>239</v>
      </c>
      <c r="I2096" s="5" t="s">
        <v>436</v>
      </c>
      <c r="J2096" s="16">
        <f>_xlfn.XLOOKUP(CustomerCombinedCleaned[[#This Row],[ID]], Table4[ID], Table4[Recency], "Not Found", 0)</f>
        <v>71</v>
      </c>
      <c r="K2096" s="16">
        <f>_xlfn.XLOOKUP(CustomerCombinedCleaned[[#This Row],[ID]], Table4[ID], Table4[Teas], "Not Found", 0)</f>
        <v>1016</v>
      </c>
      <c r="L2096" s="16">
        <f>_xlfn.XLOOKUP(CustomerCombinedCleaned[[#This Row],[ID]], Table4[ID], Table4[Fruits], "Not Found", 0)</f>
        <v>38</v>
      </c>
      <c r="M2096" s="16">
        <f>_xlfn.XLOOKUP(CustomerCombinedCleaned[[#This Row],[ID]], Table4[ID], Table4[Meats], "Not Found", 0)</f>
        <v>183</v>
      </c>
      <c r="N2096" s="16">
        <f>_xlfn.XLOOKUP(CustomerCombinedCleaned[[#This Row],[ID]], Table4[ID], Table4[Seafood], "Not Found", 0)</f>
        <v>51</v>
      </c>
      <c r="O2096" s="16">
        <f>_xlfn.XLOOKUP(CustomerCombinedCleaned[[#This Row],[ID]], Table4[ID], Table4[Sweets], "Not Found", 0)</f>
        <v>38</v>
      </c>
      <c r="P2096" s="16">
        <f>_xlfn.XLOOKUP(CustomerCombinedCleaned[[#This Row],[ID]], Table4[ID], Table4[Premium], "Not Found", 0)</f>
        <v>38</v>
      </c>
      <c r="Q2096" s="16">
        <f>_xlfn.XLOOKUP(CustomerCombinedCleaned[[#This Row],[ID]], Table4[ID], Table4[Regular], "Not Found", 0)</f>
        <v>1287</v>
      </c>
      <c r="R2096" s="16">
        <f>_xlfn.XLOOKUP(CustomerCombinedCleaned[[#This Row],[ID]], Table4[ID], Table4[Deals], "Not Found", 0)</f>
        <v>2</v>
      </c>
      <c r="S2096" s="16">
        <f>_xlfn.XLOOKUP(CustomerCombinedCleaned[[#This Row],[ID]], Table4[ID], Table4[Website], "Not Found", 0)</f>
        <v>3</v>
      </c>
      <c r="T2096" s="16">
        <f>_xlfn.XLOOKUP(CustomerCombinedCleaned[[#This Row],[ID]], Table4[ID], Table4[Catalog], "Not Found", 0)</f>
        <v>5</v>
      </c>
      <c r="U2096" s="16">
        <f>_xlfn.XLOOKUP(CustomerCombinedCleaned[[#This Row],[ID]], Table4[ID], Table4[Store], "Not Found", 0)</f>
        <v>8</v>
      </c>
      <c r="V2096" s="16">
        <f>_xlfn.XLOOKUP(CustomerCombinedCleaned[[#This Row],[ID]], Table4[ID], Table4[Visits], "Not Found", 0)</f>
        <v>3</v>
      </c>
      <c r="W2096" s="16">
        <f>_xlfn.XLOOKUP(CustomerCombinedCleaned[[#This Row],[ID]], Table2[ID],Table2[Complaint], "Not Found", 0 )</f>
        <v>0</v>
      </c>
      <c r="X2096" s="16">
        <f>_xlfn.XLOOKUP(CustomerCombinedCleaned[[#This Row],[ID]], Table2[ID],Table2[Pilot], "Not Found", 0 )</f>
        <v>0</v>
      </c>
      <c r="Y2096" s="16">
        <f>_xlfn.XLOOKUP(CustomerCombinedCleaned[[#This Row],[ID]], Table2[ID],Table2[MC1], "Not Found", 0 )</f>
        <v>0</v>
      </c>
      <c r="Z2096" s="16">
        <f>_xlfn.XLOOKUP(CustomerCombinedCleaned[[#This Row],[ID]], Table2[ID],Table2[MC2], "Not Found", 0 )</f>
        <v>0</v>
      </c>
      <c r="AA2096" s="16">
        <f>_xlfn.XLOOKUP(CustomerCombinedCleaned[[#This Row],[ID]], Table2[ID],Table2[MC3], "Not Found", 0 )</f>
        <v>0</v>
      </c>
      <c r="AB2096" s="16">
        <f>_xlfn.XLOOKUP(CustomerCombinedCleaned[[#This Row],[ID]], Table2[ID],Table2[MC4], "Not Found", 0 )</f>
        <v>0</v>
      </c>
      <c r="AC2096" s="16">
        <f>_xlfn.XLOOKUP(CustomerCombinedCleaned[[#This Row],[ID]], Table2[ID],Table2[MC5], "Not Found", 0 )</f>
        <v>0</v>
      </c>
    </row>
    <row r="2097" spans="1:29" x14ac:dyDescent="0.3">
      <c r="A2097" s="18">
        <v>2384</v>
      </c>
      <c r="B2097" s="16">
        <v>157045</v>
      </c>
      <c r="C2097" s="16">
        <v>0</v>
      </c>
      <c r="D2097" s="16">
        <v>1</v>
      </c>
      <c r="E2097" s="16">
        <v>70</v>
      </c>
      <c r="F2097" s="17" t="s">
        <v>6</v>
      </c>
      <c r="G2097" s="17" t="s">
        <v>11</v>
      </c>
      <c r="H2097" s="3" t="s">
        <v>401</v>
      </c>
      <c r="I2097" s="5" t="s">
        <v>438</v>
      </c>
      <c r="J2097" s="16">
        <f>_xlfn.XLOOKUP(CustomerCombinedCleaned[[#This Row],[ID]], Table4[ID], Table4[Recency], "Not Found", 0)</f>
        <v>40</v>
      </c>
      <c r="K2097" s="16">
        <f>_xlfn.XLOOKUP(CustomerCombinedCleaned[[#This Row],[ID]], Table4[ID], Table4[Teas], "Not Found", 0)</f>
        <v>815</v>
      </c>
      <c r="L2097" s="16">
        <f>_xlfn.XLOOKUP(CustomerCombinedCleaned[[#This Row],[ID]], Table4[ID], Table4[Fruits], "Not Found", 0)</f>
        <v>36</v>
      </c>
      <c r="M2097" s="16">
        <f>_xlfn.XLOOKUP(CustomerCombinedCleaned[[#This Row],[ID]], Table4[ID], Table4[Meats], "Not Found", 0)</f>
        <v>286</v>
      </c>
      <c r="N2097" s="16">
        <f>_xlfn.XLOOKUP(CustomerCombinedCleaned[[#This Row],[ID]], Table4[ID], Table4[Seafood], "Not Found", 0)</f>
        <v>30</v>
      </c>
      <c r="O2097" s="16">
        <f>_xlfn.XLOOKUP(CustomerCombinedCleaned[[#This Row],[ID]], Table4[ID], Table4[Sweets], "Not Found", 0)</f>
        <v>36</v>
      </c>
      <c r="P2097" s="16">
        <f>_xlfn.XLOOKUP(CustomerCombinedCleaned[[#This Row],[ID]], Table4[ID], Table4[Premium], "Not Found", 0)</f>
        <v>47</v>
      </c>
      <c r="Q2097" s="16">
        <f>_xlfn.XLOOKUP(CustomerCombinedCleaned[[#This Row],[ID]], Table4[ID], Table4[Regular], "Not Found", 0)</f>
        <v>1156</v>
      </c>
      <c r="R2097" s="16">
        <f>_xlfn.XLOOKUP(CustomerCombinedCleaned[[#This Row],[ID]], Table4[ID], Table4[Deals], "Not Found", 0)</f>
        <v>3</v>
      </c>
      <c r="S2097" s="16">
        <f>_xlfn.XLOOKUP(CustomerCombinedCleaned[[#This Row],[ID]], Table4[ID], Table4[Website], "Not Found", 0)</f>
        <v>4</v>
      </c>
      <c r="T2097" s="16">
        <f>_xlfn.XLOOKUP(CustomerCombinedCleaned[[#This Row],[ID]], Table4[ID], Table4[Catalog], "Not Found", 0)</f>
        <v>2</v>
      </c>
      <c r="U2097" s="16">
        <f>_xlfn.XLOOKUP(CustomerCombinedCleaned[[#This Row],[ID]], Table4[ID], Table4[Store], "Not Found", 0)</f>
        <v>9</v>
      </c>
      <c r="V2097" s="16">
        <f>_xlfn.XLOOKUP(CustomerCombinedCleaned[[#This Row],[ID]], Table4[ID], Table4[Visits], "Not Found", 0)</f>
        <v>3</v>
      </c>
      <c r="W2097" s="16">
        <f>_xlfn.XLOOKUP(CustomerCombinedCleaned[[#This Row],[ID]], Table2[ID],Table2[Complaint], "Not Found", 0 )</f>
        <v>0</v>
      </c>
      <c r="X2097" s="16">
        <f>_xlfn.XLOOKUP(CustomerCombinedCleaned[[#This Row],[ID]], Table2[ID],Table2[Pilot], "Not Found", 0 )</f>
        <v>0</v>
      </c>
      <c r="Y2097" s="16">
        <f>_xlfn.XLOOKUP(CustomerCombinedCleaned[[#This Row],[ID]], Table2[ID],Table2[MC1], "Not Found", 0 )</f>
        <v>0</v>
      </c>
      <c r="Z2097" s="16">
        <f>_xlfn.XLOOKUP(CustomerCombinedCleaned[[#This Row],[ID]], Table2[ID],Table2[MC2], "Not Found", 0 )</f>
        <v>0</v>
      </c>
      <c r="AA2097" s="16">
        <f>_xlfn.XLOOKUP(CustomerCombinedCleaned[[#This Row],[ID]], Table2[ID],Table2[MC3], "Not Found", 0 )</f>
        <v>0</v>
      </c>
      <c r="AB2097" s="16">
        <f>_xlfn.XLOOKUP(CustomerCombinedCleaned[[#This Row],[ID]], Table2[ID],Table2[MC4], "Not Found", 0 )</f>
        <v>0</v>
      </c>
      <c r="AC2097" s="16">
        <f>_xlfn.XLOOKUP(CustomerCombinedCleaned[[#This Row],[ID]], Table2[ID],Table2[MC5], "Not Found", 0 )</f>
        <v>0</v>
      </c>
    </row>
    <row r="2098" spans="1:29" x14ac:dyDescent="0.3">
      <c r="A2098" s="18">
        <v>2625</v>
      </c>
      <c r="B2098" s="16">
        <v>156551</v>
      </c>
      <c r="C2098" s="16">
        <v>1</v>
      </c>
      <c r="D2098" s="16">
        <v>1</v>
      </c>
      <c r="E2098" s="16">
        <v>70</v>
      </c>
      <c r="F2098" s="17" t="s">
        <v>9</v>
      </c>
      <c r="G2098" s="17" t="s">
        <v>13</v>
      </c>
      <c r="H2098" s="3" t="s">
        <v>599</v>
      </c>
      <c r="I2098" s="5" t="s">
        <v>435</v>
      </c>
      <c r="J2098" s="16">
        <f>_xlfn.XLOOKUP(CustomerCombinedCleaned[[#This Row],[ID]], Table4[ID], Table4[Recency], "Not Found", 0)</f>
        <v>48</v>
      </c>
      <c r="K2098" s="16">
        <f>_xlfn.XLOOKUP(CustomerCombinedCleaned[[#This Row],[ID]], Table4[ID], Table4[Teas], "Not Found", 0)</f>
        <v>185</v>
      </c>
      <c r="L2098" s="16">
        <f>_xlfn.XLOOKUP(CustomerCombinedCleaned[[#This Row],[ID]], Table4[ID], Table4[Fruits], "Not Found", 0)</f>
        <v>11</v>
      </c>
      <c r="M2098" s="16">
        <f>_xlfn.XLOOKUP(CustomerCombinedCleaned[[#This Row],[ID]], Table4[ID], Table4[Meats], "Not Found", 0)</f>
        <v>89</v>
      </c>
      <c r="N2098" s="16">
        <f>_xlfn.XLOOKUP(CustomerCombinedCleaned[[#This Row],[ID]], Table4[ID], Table4[Seafood], "Not Found", 0)</f>
        <v>47</v>
      </c>
      <c r="O2098" s="16">
        <f>_xlfn.XLOOKUP(CustomerCombinedCleaned[[#This Row],[ID]], Table4[ID], Table4[Sweets], "Not Found", 0)</f>
        <v>6</v>
      </c>
      <c r="P2098" s="16">
        <f>_xlfn.XLOOKUP(CustomerCombinedCleaned[[#This Row],[ID]], Table4[ID], Table4[Premium], "Not Found", 0)</f>
        <v>44</v>
      </c>
      <c r="Q2098" s="16">
        <f>_xlfn.XLOOKUP(CustomerCombinedCleaned[[#This Row],[ID]], Table4[ID], Table4[Regular], "Not Found", 0)</f>
        <v>293</v>
      </c>
      <c r="R2098" s="16">
        <f>_xlfn.XLOOKUP(CustomerCombinedCleaned[[#This Row],[ID]], Table4[ID], Table4[Deals], "Not Found", 0)</f>
        <v>3</v>
      </c>
      <c r="S2098" s="16">
        <f>_xlfn.XLOOKUP(CustomerCombinedCleaned[[#This Row],[ID]], Table4[ID], Table4[Website], "Not Found", 0)</f>
        <v>2</v>
      </c>
      <c r="T2098" s="16">
        <f>_xlfn.XLOOKUP(CustomerCombinedCleaned[[#This Row],[ID]], Table4[ID], Table4[Catalog], "Not Found", 0)</f>
        <v>1</v>
      </c>
      <c r="U2098" s="16">
        <f>_xlfn.XLOOKUP(CustomerCombinedCleaned[[#This Row],[ID]], Table4[ID], Table4[Store], "Not Found", 0)</f>
        <v>4</v>
      </c>
      <c r="V2098" s="16">
        <f>_xlfn.XLOOKUP(CustomerCombinedCleaned[[#This Row],[ID]], Table4[ID], Table4[Visits], "Not Found", 0)</f>
        <v>4</v>
      </c>
      <c r="W2098" s="16">
        <f>_xlfn.XLOOKUP(CustomerCombinedCleaned[[#This Row],[ID]], Table2[ID],Table2[Complaint], "Not Found", 0 )</f>
        <v>0</v>
      </c>
      <c r="X2098" s="16">
        <f>_xlfn.XLOOKUP(CustomerCombinedCleaned[[#This Row],[ID]], Table2[ID],Table2[Pilot], "Not Found", 0 )</f>
        <v>0</v>
      </c>
      <c r="Y2098" s="16">
        <f>_xlfn.XLOOKUP(CustomerCombinedCleaned[[#This Row],[ID]], Table2[ID],Table2[MC1], "Not Found", 0 )</f>
        <v>0</v>
      </c>
      <c r="Z2098" s="16">
        <f>_xlfn.XLOOKUP(CustomerCombinedCleaned[[#This Row],[ID]], Table2[ID],Table2[MC2], "Not Found", 0 )</f>
        <v>0</v>
      </c>
      <c r="AA2098" s="16">
        <f>_xlfn.XLOOKUP(CustomerCombinedCleaned[[#This Row],[ID]], Table2[ID],Table2[MC3], "Not Found", 0 )</f>
        <v>0</v>
      </c>
      <c r="AB2098" s="16">
        <f>_xlfn.XLOOKUP(CustomerCombinedCleaned[[#This Row],[ID]], Table2[ID],Table2[MC4], "Not Found", 0 )</f>
        <v>0</v>
      </c>
      <c r="AC2098" s="16">
        <f>_xlfn.XLOOKUP(CustomerCombinedCleaned[[#This Row],[ID]], Table2[ID],Table2[MC5], "Not Found", 0 )</f>
        <v>0</v>
      </c>
    </row>
    <row r="2099" spans="1:29" x14ac:dyDescent="0.3">
      <c r="A2099" s="18">
        <v>2934</v>
      </c>
      <c r="B2099" s="16">
        <v>156551</v>
      </c>
      <c r="C2099" s="16">
        <v>1</v>
      </c>
      <c r="D2099" s="16">
        <v>1</v>
      </c>
      <c r="E2099" s="16">
        <v>70</v>
      </c>
      <c r="F2099" s="17" t="s">
        <v>9</v>
      </c>
      <c r="G2099" s="17" t="s">
        <v>13</v>
      </c>
      <c r="H2099" s="3" t="s">
        <v>599</v>
      </c>
      <c r="I2099" s="5" t="s">
        <v>436</v>
      </c>
      <c r="J2099" s="16">
        <f>_xlfn.XLOOKUP(CustomerCombinedCleaned[[#This Row],[ID]], Table4[ID], Table4[Recency], "Not Found", 0)</f>
        <v>48</v>
      </c>
      <c r="K2099" s="16">
        <f>_xlfn.XLOOKUP(CustomerCombinedCleaned[[#This Row],[ID]], Table4[ID], Table4[Teas], "Not Found", 0)</f>
        <v>185</v>
      </c>
      <c r="L2099" s="16">
        <f>_xlfn.XLOOKUP(CustomerCombinedCleaned[[#This Row],[ID]], Table4[ID], Table4[Fruits], "Not Found", 0)</f>
        <v>11</v>
      </c>
      <c r="M2099" s="16">
        <f>_xlfn.XLOOKUP(CustomerCombinedCleaned[[#This Row],[ID]], Table4[ID], Table4[Meats], "Not Found", 0)</f>
        <v>89</v>
      </c>
      <c r="N2099" s="16">
        <f>_xlfn.XLOOKUP(CustomerCombinedCleaned[[#This Row],[ID]], Table4[ID], Table4[Seafood], "Not Found", 0)</f>
        <v>47</v>
      </c>
      <c r="O2099" s="16">
        <f>_xlfn.XLOOKUP(CustomerCombinedCleaned[[#This Row],[ID]], Table4[ID], Table4[Sweets], "Not Found", 0)</f>
        <v>6</v>
      </c>
      <c r="P2099" s="16">
        <f>_xlfn.XLOOKUP(CustomerCombinedCleaned[[#This Row],[ID]], Table4[ID], Table4[Premium], "Not Found", 0)</f>
        <v>44</v>
      </c>
      <c r="Q2099" s="16">
        <f>_xlfn.XLOOKUP(CustomerCombinedCleaned[[#This Row],[ID]], Table4[ID], Table4[Regular], "Not Found", 0)</f>
        <v>293</v>
      </c>
      <c r="R2099" s="16">
        <f>_xlfn.XLOOKUP(CustomerCombinedCleaned[[#This Row],[ID]], Table4[ID], Table4[Deals], "Not Found", 0)</f>
        <v>3</v>
      </c>
      <c r="S2099" s="16">
        <f>_xlfn.XLOOKUP(CustomerCombinedCleaned[[#This Row],[ID]], Table4[ID], Table4[Website], "Not Found", 0)</f>
        <v>2</v>
      </c>
      <c r="T2099" s="16">
        <f>_xlfn.XLOOKUP(CustomerCombinedCleaned[[#This Row],[ID]], Table4[ID], Table4[Catalog], "Not Found", 0)</f>
        <v>1</v>
      </c>
      <c r="U2099" s="16">
        <f>_xlfn.XLOOKUP(CustomerCombinedCleaned[[#This Row],[ID]], Table4[ID], Table4[Store], "Not Found", 0)</f>
        <v>4</v>
      </c>
      <c r="V2099" s="16">
        <f>_xlfn.XLOOKUP(CustomerCombinedCleaned[[#This Row],[ID]], Table4[ID], Table4[Visits], "Not Found", 0)</f>
        <v>4</v>
      </c>
      <c r="W2099" s="16">
        <f>_xlfn.XLOOKUP(CustomerCombinedCleaned[[#This Row],[ID]], Table2[ID],Table2[Complaint], "Not Found", 0 )</f>
        <v>0</v>
      </c>
      <c r="X2099" s="16">
        <f>_xlfn.XLOOKUP(CustomerCombinedCleaned[[#This Row],[ID]], Table2[ID],Table2[Pilot], "Not Found", 0 )</f>
        <v>0</v>
      </c>
      <c r="Y2099" s="16">
        <f>_xlfn.XLOOKUP(CustomerCombinedCleaned[[#This Row],[ID]], Table2[ID],Table2[MC1], "Not Found", 0 )</f>
        <v>0</v>
      </c>
      <c r="Z2099" s="16">
        <f>_xlfn.XLOOKUP(CustomerCombinedCleaned[[#This Row],[ID]], Table2[ID],Table2[MC2], "Not Found", 0 )</f>
        <v>0</v>
      </c>
      <c r="AA2099" s="16">
        <f>_xlfn.XLOOKUP(CustomerCombinedCleaned[[#This Row],[ID]], Table2[ID],Table2[MC3], "Not Found", 0 )</f>
        <v>0</v>
      </c>
      <c r="AB2099" s="16">
        <f>_xlfn.XLOOKUP(CustomerCombinedCleaned[[#This Row],[ID]], Table2[ID],Table2[MC4], "Not Found", 0 )</f>
        <v>0</v>
      </c>
      <c r="AC2099" s="16">
        <f>_xlfn.XLOOKUP(CustomerCombinedCleaned[[#This Row],[ID]], Table2[ID],Table2[MC5], "Not Found", 0 )</f>
        <v>0</v>
      </c>
    </row>
    <row r="2100" spans="1:29" x14ac:dyDescent="0.3">
      <c r="A2100" s="18">
        <v>2544</v>
      </c>
      <c r="B2100" s="16">
        <v>155517</v>
      </c>
      <c r="C2100" s="16">
        <v>1</v>
      </c>
      <c r="D2100" s="16">
        <v>1</v>
      </c>
      <c r="E2100" s="16">
        <v>70</v>
      </c>
      <c r="F2100" s="17" t="s">
        <v>6</v>
      </c>
      <c r="G2100" s="17" t="s">
        <v>13</v>
      </c>
      <c r="H2100" s="3" t="s">
        <v>638</v>
      </c>
      <c r="I2100" s="5" t="s">
        <v>436</v>
      </c>
      <c r="J2100" s="16">
        <f>_xlfn.XLOOKUP(CustomerCombinedCleaned[[#This Row],[ID]], Table4[ID], Table4[Recency], "Not Found", 0)</f>
        <v>53</v>
      </c>
      <c r="K2100" s="16">
        <f>_xlfn.XLOOKUP(CustomerCombinedCleaned[[#This Row],[ID]], Table4[ID], Table4[Teas], "Not Found", 0)</f>
        <v>1353</v>
      </c>
      <c r="L2100" s="16">
        <f>_xlfn.XLOOKUP(CustomerCombinedCleaned[[#This Row],[ID]], Table4[ID], Table4[Fruits], "Not Found", 0)</f>
        <v>0</v>
      </c>
      <c r="M2100" s="16">
        <f>_xlfn.XLOOKUP(CustomerCombinedCleaned[[#This Row],[ID]], Table4[ID], Table4[Meats], "Not Found", 0)</f>
        <v>303</v>
      </c>
      <c r="N2100" s="16">
        <f>_xlfn.XLOOKUP(CustomerCombinedCleaned[[#This Row],[ID]], Table4[ID], Table4[Seafood], "Not Found", 0)</f>
        <v>0</v>
      </c>
      <c r="O2100" s="16">
        <f>_xlfn.XLOOKUP(CustomerCombinedCleaned[[#This Row],[ID]], Table4[ID], Table4[Sweets], "Not Found", 0)</f>
        <v>17</v>
      </c>
      <c r="P2100" s="16">
        <f>_xlfn.XLOOKUP(CustomerCombinedCleaned[[#This Row],[ID]], Table4[ID], Table4[Premium], "Not Found", 0)</f>
        <v>101</v>
      </c>
      <c r="Q2100" s="16">
        <f>_xlfn.XLOOKUP(CustomerCombinedCleaned[[#This Row],[ID]], Table4[ID], Table4[Regular], "Not Found", 0)</f>
        <v>1572</v>
      </c>
      <c r="R2100" s="16">
        <f>_xlfn.XLOOKUP(CustomerCombinedCleaned[[#This Row],[ID]], Table4[ID], Table4[Deals], "Not Found", 0)</f>
        <v>5</v>
      </c>
      <c r="S2100" s="16">
        <f>_xlfn.XLOOKUP(CustomerCombinedCleaned[[#This Row],[ID]], Table4[ID], Table4[Website], "Not Found", 0)</f>
        <v>11</v>
      </c>
      <c r="T2100" s="16">
        <f>_xlfn.XLOOKUP(CustomerCombinedCleaned[[#This Row],[ID]], Table4[ID], Table4[Catalog], "Not Found", 0)</f>
        <v>1</v>
      </c>
      <c r="U2100" s="16">
        <f>_xlfn.XLOOKUP(CustomerCombinedCleaned[[#This Row],[ID]], Table4[ID], Table4[Store], "Not Found", 0)</f>
        <v>6</v>
      </c>
      <c r="V2100" s="16">
        <f>_xlfn.XLOOKUP(CustomerCombinedCleaned[[#This Row],[ID]], Table4[ID], Table4[Visits], "Not Found", 0)</f>
        <v>9</v>
      </c>
      <c r="W2100" s="16">
        <f>_xlfn.XLOOKUP(CustomerCombinedCleaned[[#This Row],[ID]], Table2[ID],Table2[Complaint], "Not Found", 0 )</f>
        <v>0</v>
      </c>
      <c r="X2100" s="16">
        <f>_xlfn.XLOOKUP(CustomerCombinedCleaned[[#This Row],[ID]], Table2[ID],Table2[Pilot], "Not Found", 0 )</f>
        <v>1</v>
      </c>
      <c r="Y2100" s="16">
        <f>_xlfn.XLOOKUP(CustomerCombinedCleaned[[#This Row],[ID]], Table2[ID],Table2[MC1], "Not Found", 0 )</f>
        <v>0</v>
      </c>
      <c r="Z2100" s="16">
        <f>_xlfn.XLOOKUP(CustomerCombinedCleaned[[#This Row],[ID]], Table2[ID],Table2[MC2], "Not Found", 0 )</f>
        <v>0</v>
      </c>
      <c r="AA2100" s="16">
        <f>_xlfn.XLOOKUP(CustomerCombinedCleaned[[#This Row],[ID]], Table2[ID],Table2[MC3], "Not Found", 0 )</f>
        <v>0</v>
      </c>
      <c r="AB2100" s="16">
        <f>_xlfn.XLOOKUP(CustomerCombinedCleaned[[#This Row],[ID]], Table2[ID],Table2[MC4], "Not Found", 0 )</f>
        <v>0</v>
      </c>
      <c r="AC2100" s="16">
        <f>_xlfn.XLOOKUP(CustomerCombinedCleaned[[#This Row],[ID]], Table2[ID],Table2[MC5], "Not Found", 0 )</f>
        <v>0</v>
      </c>
    </row>
    <row r="2101" spans="1:29" x14ac:dyDescent="0.3">
      <c r="A2101" s="18">
        <v>1313</v>
      </c>
      <c r="B2101" s="16">
        <v>154432</v>
      </c>
      <c r="C2101" s="16">
        <v>2</v>
      </c>
      <c r="D2101" s="16">
        <v>1</v>
      </c>
      <c r="E2101" s="16">
        <v>70</v>
      </c>
      <c r="F2101" s="17" t="s">
        <v>6</v>
      </c>
      <c r="G2101" s="17" t="s">
        <v>13</v>
      </c>
      <c r="H2101" s="3" t="s">
        <v>262</v>
      </c>
      <c r="I2101" s="5" t="s">
        <v>434</v>
      </c>
      <c r="J2101" s="16">
        <f>_xlfn.XLOOKUP(CustomerCombinedCleaned[[#This Row],[ID]], Table4[ID], Table4[Recency], "Not Found", 0)</f>
        <v>37</v>
      </c>
      <c r="K2101" s="16">
        <f>_xlfn.XLOOKUP(CustomerCombinedCleaned[[#This Row],[ID]], Table4[ID], Table4[Teas], "Not Found", 0)</f>
        <v>94</v>
      </c>
      <c r="L2101" s="16">
        <f>_xlfn.XLOOKUP(CustomerCombinedCleaned[[#This Row],[ID]], Table4[ID], Table4[Fruits], "Not Found", 0)</f>
        <v>0</v>
      </c>
      <c r="M2101" s="16">
        <f>_xlfn.XLOOKUP(CustomerCombinedCleaned[[#This Row],[ID]], Table4[ID], Table4[Meats], "Not Found", 0)</f>
        <v>14</v>
      </c>
      <c r="N2101" s="16">
        <f>_xlfn.XLOOKUP(CustomerCombinedCleaned[[#This Row],[ID]], Table4[ID], Table4[Seafood], "Not Found", 0)</f>
        <v>0</v>
      </c>
      <c r="O2101" s="16">
        <f>_xlfn.XLOOKUP(CustomerCombinedCleaned[[#This Row],[ID]], Table4[ID], Table4[Sweets], "Not Found", 0)</f>
        <v>0</v>
      </c>
      <c r="P2101" s="16">
        <f>_xlfn.XLOOKUP(CustomerCombinedCleaned[[#This Row],[ID]], Table4[ID], Table4[Premium], "Not Found", 0)</f>
        <v>0</v>
      </c>
      <c r="Q2101" s="16">
        <f>_xlfn.XLOOKUP(CustomerCombinedCleaned[[#This Row],[ID]], Table4[ID], Table4[Regular], "Not Found", 0)</f>
        <v>108</v>
      </c>
      <c r="R2101" s="16">
        <f>_xlfn.XLOOKUP(CustomerCombinedCleaned[[#This Row],[ID]], Table4[ID], Table4[Deals], "Not Found", 0)</f>
        <v>1</v>
      </c>
      <c r="S2101" s="16">
        <f>_xlfn.XLOOKUP(CustomerCombinedCleaned[[#This Row],[ID]], Table4[ID], Table4[Website], "Not Found", 0)</f>
        <v>1</v>
      </c>
      <c r="T2101" s="16">
        <f>_xlfn.XLOOKUP(CustomerCombinedCleaned[[#This Row],[ID]], Table4[ID], Table4[Catalog], "Not Found", 0)</f>
        <v>0</v>
      </c>
      <c r="U2101" s="16">
        <f>_xlfn.XLOOKUP(CustomerCombinedCleaned[[#This Row],[ID]], Table4[ID], Table4[Store], "Not Found", 0)</f>
        <v>3</v>
      </c>
      <c r="V2101" s="16">
        <f>_xlfn.XLOOKUP(CustomerCombinedCleaned[[#This Row],[ID]], Table4[ID], Table4[Visits], "Not Found", 0)</f>
        <v>4</v>
      </c>
      <c r="W2101" s="16">
        <f>_xlfn.XLOOKUP(CustomerCombinedCleaned[[#This Row],[ID]], Table2[ID],Table2[Complaint], "Not Found", 0 )</f>
        <v>0</v>
      </c>
      <c r="X2101" s="16">
        <f>_xlfn.XLOOKUP(CustomerCombinedCleaned[[#This Row],[ID]], Table2[ID],Table2[Pilot], "Not Found", 0 )</f>
        <v>0</v>
      </c>
      <c r="Y2101" s="16">
        <f>_xlfn.XLOOKUP(CustomerCombinedCleaned[[#This Row],[ID]], Table2[ID],Table2[MC1], "Not Found", 0 )</f>
        <v>0</v>
      </c>
      <c r="Z2101" s="16">
        <f>_xlfn.XLOOKUP(CustomerCombinedCleaned[[#This Row],[ID]], Table2[ID],Table2[MC2], "Not Found", 0 )</f>
        <v>0</v>
      </c>
      <c r="AA2101" s="16">
        <f>_xlfn.XLOOKUP(CustomerCombinedCleaned[[#This Row],[ID]], Table2[ID],Table2[MC3], "Not Found", 0 )</f>
        <v>0</v>
      </c>
      <c r="AB2101" s="16">
        <f>_xlfn.XLOOKUP(CustomerCombinedCleaned[[#This Row],[ID]], Table2[ID],Table2[MC4], "Not Found", 0 )</f>
        <v>0</v>
      </c>
      <c r="AC2101" s="16">
        <f>_xlfn.XLOOKUP(CustomerCombinedCleaned[[#This Row],[ID]], Table2[ID],Table2[MC5], "Not Found", 0 )</f>
        <v>0</v>
      </c>
    </row>
    <row r="2102" spans="1:29" x14ac:dyDescent="0.3">
      <c r="A2102" s="18">
        <v>2343</v>
      </c>
      <c r="B2102" s="16">
        <v>152203</v>
      </c>
      <c r="C2102" s="16">
        <v>0</v>
      </c>
      <c r="D2102" s="16">
        <v>0</v>
      </c>
      <c r="E2102" s="16">
        <v>70</v>
      </c>
      <c r="F2102" s="17" t="s">
        <v>8</v>
      </c>
      <c r="G2102" s="17" t="s">
        <v>11</v>
      </c>
      <c r="H2102" s="3" t="s">
        <v>743</v>
      </c>
      <c r="I2102" s="5" t="s">
        <v>435</v>
      </c>
      <c r="J2102" s="16">
        <f>_xlfn.XLOOKUP(CustomerCombinedCleaned[[#This Row],[ID]], Table4[ID], Table4[Recency], "Not Found", 0)</f>
        <v>36</v>
      </c>
      <c r="K2102" s="16">
        <f>_xlfn.XLOOKUP(CustomerCombinedCleaned[[#This Row],[ID]], Table4[ID], Table4[Teas], "Not Found", 0)</f>
        <v>1423</v>
      </c>
      <c r="L2102" s="16">
        <f>_xlfn.XLOOKUP(CustomerCombinedCleaned[[#This Row],[ID]], Table4[ID], Table4[Fruits], "Not Found", 0)</f>
        <v>61</v>
      </c>
      <c r="M2102" s="16">
        <f>_xlfn.XLOOKUP(CustomerCombinedCleaned[[#This Row],[ID]], Table4[ID], Table4[Meats], "Not Found", 0)</f>
        <v>694</v>
      </c>
      <c r="N2102" s="16">
        <f>_xlfn.XLOOKUP(CustomerCombinedCleaned[[#This Row],[ID]], Table4[ID], Table4[Seafood], "Not Found", 0)</f>
        <v>163</v>
      </c>
      <c r="O2102" s="16">
        <f>_xlfn.XLOOKUP(CustomerCombinedCleaned[[#This Row],[ID]], Table4[ID], Table4[Sweets], "Not Found", 0)</f>
        <v>315</v>
      </c>
      <c r="P2102" s="16">
        <f>_xlfn.XLOOKUP(CustomerCombinedCleaned[[#This Row],[ID]], Table4[ID], Table4[Premium], "Not Found", 0)</f>
        <v>82</v>
      </c>
      <c r="Q2102" s="16">
        <f>_xlfn.XLOOKUP(CustomerCombinedCleaned[[#This Row],[ID]], Table4[ID], Table4[Regular], "Not Found", 0)</f>
        <v>2574</v>
      </c>
      <c r="R2102" s="16">
        <f>_xlfn.XLOOKUP(CustomerCombinedCleaned[[#This Row],[ID]], Table4[ID], Table4[Deals], "Not Found", 0)</f>
        <v>1</v>
      </c>
      <c r="S2102" s="16">
        <f>_xlfn.XLOOKUP(CustomerCombinedCleaned[[#This Row],[ID]], Table4[ID], Table4[Website], "Not Found", 0)</f>
        <v>8</v>
      </c>
      <c r="T2102" s="16">
        <f>_xlfn.XLOOKUP(CustomerCombinedCleaned[[#This Row],[ID]], Table4[ID], Table4[Catalog], "Not Found", 0)</f>
        <v>7</v>
      </c>
      <c r="U2102" s="16">
        <f>_xlfn.XLOOKUP(CustomerCombinedCleaned[[#This Row],[ID]], Table4[ID], Table4[Store], "Not Found", 0)</f>
        <v>11</v>
      </c>
      <c r="V2102" s="16">
        <f>_xlfn.XLOOKUP(CustomerCombinedCleaned[[#This Row],[ID]], Table4[ID], Table4[Visits], "Not Found", 0)</f>
        <v>6</v>
      </c>
      <c r="W2102" s="16">
        <f>_xlfn.XLOOKUP(CustomerCombinedCleaned[[#This Row],[ID]], Table2[ID],Table2[Complaint], "Not Found", 0 )</f>
        <v>0</v>
      </c>
      <c r="X2102" s="16">
        <f>_xlfn.XLOOKUP(CustomerCombinedCleaned[[#This Row],[ID]], Table2[ID],Table2[Pilot], "Not Found", 0 )</f>
        <v>0</v>
      </c>
      <c r="Y2102" s="16">
        <f>_xlfn.XLOOKUP(CustomerCombinedCleaned[[#This Row],[ID]], Table2[ID],Table2[MC1], "Not Found", 0 )</f>
        <v>0</v>
      </c>
      <c r="Z2102" s="16">
        <f>_xlfn.XLOOKUP(CustomerCombinedCleaned[[#This Row],[ID]], Table2[ID],Table2[MC2], "Not Found", 0 )</f>
        <v>0</v>
      </c>
      <c r="AA2102" s="16">
        <f>_xlfn.XLOOKUP(CustomerCombinedCleaned[[#This Row],[ID]], Table2[ID],Table2[MC3], "Not Found", 0 )</f>
        <v>0</v>
      </c>
      <c r="AB2102" s="16">
        <f>_xlfn.XLOOKUP(CustomerCombinedCleaned[[#This Row],[ID]], Table2[ID],Table2[MC4], "Not Found", 0 )</f>
        <v>0</v>
      </c>
      <c r="AC2102" s="16">
        <f>_xlfn.XLOOKUP(CustomerCombinedCleaned[[#This Row],[ID]], Table2[ID],Table2[MC5], "Not Found", 0 )</f>
        <v>0</v>
      </c>
    </row>
    <row r="2103" spans="1:29" x14ac:dyDescent="0.3">
      <c r="A2103" s="18">
        <v>1549</v>
      </c>
      <c r="B2103" s="16">
        <v>152157</v>
      </c>
      <c r="C2103" s="16">
        <v>0</v>
      </c>
      <c r="D2103" s="16">
        <v>1</v>
      </c>
      <c r="E2103" s="16">
        <v>70</v>
      </c>
      <c r="F2103" s="17" t="s">
        <v>8</v>
      </c>
      <c r="G2103" s="17" t="s">
        <v>13</v>
      </c>
      <c r="H2103" s="3" t="s">
        <v>581</v>
      </c>
      <c r="I2103" s="5" t="s">
        <v>437</v>
      </c>
      <c r="J2103" s="16">
        <f>_xlfn.XLOOKUP(CustomerCombinedCleaned[[#This Row],[ID]], Table4[ID], Table4[Recency], "Not Found", 0)</f>
        <v>48</v>
      </c>
      <c r="K2103" s="16">
        <f>_xlfn.XLOOKUP(CustomerCombinedCleaned[[#This Row],[ID]], Table4[ID], Table4[Teas], "Not Found", 0)</f>
        <v>551</v>
      </c>
      <c r="L2103" s="16">
        <f>_xlfn.XLOOKUP(CustomerCombinedCleaned[[#This Row],[ID]], Table4[ID], Table4[Fruits], "Not Found", 0)</f>
        <v>6</v>
      </c>
      <c r="M2103" s="16">
        <f>_xlfn.XLOOKUP(CustomerCombinedCleaned[[#This Row],[ID]], Table4[ID], Table4[Meats], "Not Found", 0)</f>
        <v>85</v>
      </c>
      <c r="N2103" s="16">
        <f>_xlfn.XLOOKUP(CustomerCombinedCleaned[[#This Row],[ID]], Table4[ID], Table4[Seafood], "Not Found", 0)</f>
        <v>9</v>
      </c>
      <c r="O2103" s="16">
        <f>_xlfn.XLOOKUP(CustomerCombinedCleaned[[#This Row],[ID]], Table4[ID], Table4[Sweets], "Not Found", 0)</f>
        <v>6</v>
      </c>
      <c r="P2103" s="16">
        <f>_xlfn.XLOOKUP(CustomerCombinedCleaned[[#This Row],[ID]], Table4[ID], Table4[Premium], "Not Found", 0)</f>
        <v>117</v>
      </c>
      <c r="Q2103" s="16">
        <f>_xlfn.XLOOKUP(CustomerCombinedCleaned[[#This Row],[ID]], Table4[ID], Table4[Regular], "Not Found", 0)</f>
        <v>540</v>
      </c>
      <c r="R2103" s="16">
        <f>_xlfn.XLOOKUP(CustomerCombinedCleaned[[#This Row],[ID]], Table4[ID], Table4[Deals], "Not Found", 0)</f>
        <v>2</v>
      </c>
      <c r="S2103" s="16">
        <f>_xlfn.XLOOKUP(CustomerCombinedCleaned[[#This Row],[ID]], Table4[ID], Table4[Website], "Not Found", 0)</f>
        <v>3</v>
      </c>
      <c r="T2103" s="16">
        <f>_xlfn.XLOOKUP(CustomerCombinedCleaned[[#This Row],[ID]], Table4[ID], Table4[Catalog], "Not Found", 0)</f>
        <v>2</v>
      </c>
      <c r="U2103" s="16">
        <f>_xlfn.XLOOKUP(CustomerCombinedCleaned[[#This Row],[ID]], Table4[ID], Table4[Store], "Not Found", 0)</f>
        <v>5</v>
      </c>
      <c r="V2103" s="16">
        <f>_xlfn.XLOOKUP(CustomerCombinedCleaned[[#This Row],[ID]], Table4[ID], Table4[Visits], "Not Found", 0)</f>
        <v>4</v>
      </c>
      <c r="W2103" s="16">
        <f>_xlfn.XLOOKUP(CustomerCombinedCleaned[[#This Row],[ID]], Table2[ID],Table2[Complaint], "Not Found", 0 )</f>
        <v>0</v>
      </c>
      <c r="X2103" s="16">
        <f>_xlfn.XLOOKUP(CustomerCombinedCleaned[[#This Row],[ID]], Table2[ID],Table2[Pilot], "Not Found", 0 )</f>
        <v>0</v>
      </c>
      <c r="Y2103" s="16">
        <f>_xlfn.XLOOKUP(CustomerCombinedCleaned[[#This Row],[ID]], Table2[ID],Table2[MC1], "Not Found", 0 )</f>
        <v>0</v>
      </c>
      <c r="Z2103" s="16">
        <f>_xlfn.XLOOKUP(CustomerCombinedCleaned[[#This Row],[ID]], Table2[ID],Table2[MC2], "Not Found", 0 )</f>
        <v>0</v>
      </c>
      <c r="AA2103" s="16">
        <f>_xlfn.XLOOKUP(CustomerCombinedCleaned[[#This Row],[ID]], Table2[ID],Table2[MC3], "Not Found", 0 )</f>
        <v>0</v>
      </c>
      <c r="AB2103" s="16">
        <f>_xlfn.XLOOKUP(CustomerCombinedCleaned[[#This Row],[ID]], Table2[ID],Table2[MC4], "Not Found", 0 )</f>
        <v>0</v>
      </c>
      <c r="AC2103" s="16">
        <f>_xlfn.XLOOKUP(CustomerCombinedCleaned[[#This Row],[ID]], Table2[ID],Table2[MC5], "Not Found", 0 )</f>
        <v>0</v>
      </c>
    </row>
    <row r="2104" spans="1:29" x14ac:dyDescent="0.3">
      <c r="A2104" s="18">
        <v>1636</v>
      </c>
      <c r="B2104" s="16">
        <v>150616</v>
      </c>
      <c r="C2104" s="16">
        <v>0</v>
      </c>
      <c r="D2104" s="16">
        <v>1</v>
      </c>
      <c r="E2104" s="16">
        <v>70</v>
      </c>
      <c r="F2104" s="17" t="s">
        <v>8</v>
      </c>
      <c r="G2104" s="17" t="s">
        <v>13</v>
      </c>
      <c r="H2104" s="3" t="s">
        <v>69</v>
      </c>
      <c r="I2104" s="5" t="s">
        <v>439</v>
      </c>
      <c r="J2104" s="16">
        <f>_xlfn.XLOOKUP(CustomerCombinedCleaned[[#This Row],[ID]], Table4[ID], Table4[Recency], "Not Found", 0)</f>
        <v>71</v>
      </c>
      <c r="K2104" s="16">
        <f>_xlfn.XLOOKUP(CustomerCombinedCleaned[[#This Row],[ID]], Table4[ID], Table4[Teas], "Not Found", 0)</f>
        <v>89</v>
      </c>
      <c r="L2104" s="16">
        <f>_xlfn.XLOOKUP(CustomerCombinedCleaned[[#This Row],[ID]], Table4[ID], Table4[Fruits], "Not Found", 0)</f>
        <v>6</v>
      </c>
      <c r="M2104" s="16">
        <f>_xlfn.XLOOKUP(CustomerCombinedCleaned[[#This Row],[ID]], Table4[ID], Table4[Meats], "Not Found", 0)</f>
        <v>74</v>
      </c>
      <c r="N2104" s="16">
        <f>_xlfn.XLOOKUP(CustomerCombinedCleaned[[#This Row],[ID]], Table4[ID], Table4[Seafood], "Not Found", 0)</f>
        <v>0</v>
      </c>
      <c r="O2104" s="16">
        <f>_xlfn.XLOOKUP(CustomerCombinedCleaned[[#This Row],[ID]], Table4[ID], Table4[Sweets], "Not Found", 0)</f>
        <v>3</v>
      </c>
      <c r="P2104" s="16">
        <f>_xlfn.XLOOKUP(CustomerCombinedCleaned[[#This Row],[ID]], Table4[ID], Table4[Premium], "Not Found", 0)</f>
        <v>27</v>
      </c>
      <c r="Q2104" s="16">
        <f>_xlfn.XLOOKUP(CustomerCombinedCleaned[[#This Row],[ID]], Table4[ID], Table4[Regular], "Not Found", 0)</f>
        <v>146</v>
      </c>
      <c r="R2104" s="16">
        <f>_xlfn.XLOOKUP(CustomerCombinedCleaned[[#This Row],[ID]], Table4[ID], Table4[Deals], "Not Found", 0)</f>
        <v>1</v>
      </c>
      <c r="S2104" s="16">
        <f>_xlfn.XLOOKUP(CustomerCombinedCleaned[[#This Row],[ID]], Table4[ID], Table4[Website], "Not Found", 0)</f>
        <v>1</v>
      </c>
      <c r="T2104" s="16">
        <f>_xlfn.XLOOKUP(CustomerCombinedCleaned[[#This Row],[ID]], Table4[ID], Table4[Catalog], "Not Found", 0)</f>
        <v>1</v>
      </c>
      <c r="U2104" s="16">
        <f>_xlfn.XLOOKUP(CustomerCombinedCleaned[[#This Row],[ID]], Table4[ID], Table4[Store], "Not Found", 0)</f>
        <v>4</v>
      </c>
      <c r="V2104" s="16">
        <f>_xlfn.XLOOKUP(CustomerCombinedCleaned[[#This Row],[ID]], Table4[ID], Table4[Visits], "Not Found", 0)</f>
        <v>2</v>
      </c>
      <c r="W2104" s="16">
        <f>_xlfn.XLOOKUP(CustomerCombinedCleaned[[#This Row],[ID]], Table2[ID],Table2[Complaint], "Not Found", 0 )</f>
        <v>0</v>
      </c>
      <c r="X2104" s="16">
        <f>_xlfn.XLOOKUP(CustomerCombinedCleaned[[#This Row],[ID]], Table2[ID],Table2[Pilot], "Not Found", 0 )</f>
        <v>0</v>
      </c>
      <c r="Y2104" s="16">
        <f>_xlfn.XLOOKUP(CustomerCombinedCleaned[[#This Row],[ID]], Table2[ID],Table2[MC1], "Not Found", 0 )</f>
        <v>0</v>
      </c>
      <c r="Z2104" s="16">
        <f>_xlfn.XLOOKUP(CustomerCombinedCleaned[[#This Row],[ID]], Table2[ID],Table2[MC2], "Not Found", 0 )</f>
        <v>0</v>
      </c>
      <c r="AA2104" s="16">
        <f>_xlfn.XLOOKUP(CustomerCombinedCleaned[[#This Row],[ID]], Table2[ID],Table2[MC3], "Not Found", 0 )</f>
        <v>0</v>
      </c>
      <c r="AB2104" s="16">
        <f>_xlfn.XLOOKUP(CustomerCombinedCleaned[[#This Row],[ID]], Table2[ID],Table2[MC4], "Not Found", 0 )</f>
        <v>0</v>
      </c>
      <c r="AC2104" s="16">
        <f>_xlfn.XLOOKUP(CustomerCombinedCleaned[[#This Row],[ID]], Table2[ID],Table2[MC5], "Not Found", 0 )</f>
        <v>0</v>
      </c>
    </row>
    <row r="2105" spans="1:29" x14ac:dyDescent="0.3">
      <c r="A2105" s="18">
        <v>1723</v>
      </c>
      <c r="B2105" s="16">
        <v>148767</v>
      </c>
      <c r="C2105" s="16">
        <v>1</v>
      </c>
      <c r="D2105" s="16">
        <v>2</v>
      </c>
      <c r="E2105" s="16">
        <v>70</v>
      </c>
      <c r="F2105" s="17" t="s">
        <v>7</v>
      </c>
      <c r="G2105" s="17" t="s">
        <v>13</v>
      </c>
      <c r="H2105" s="3" t="s">
        <v>718</v>
      </c>
      <c r="I2105" s="5" t="s">
        <v>437</v>
      </c>
      <c r="J2105" s="16">
        <f>_xlfn.XLOOKUP(CustomerCombinedCleaned[[#This Row],[ID]], Table4[ID], Table4[Recency], "Not Found", 0)</f>
        <v>79</v>
      </c>
      <c r="K2105" s="16">
        <f>_xlfn.XLOOKUP(CustomerCombinedCleaned[[#This Row],[ID]], Table4[ID], Table4[Teas], "Not Found", 0)</f>
        <v>85</v>
      </c>
      <c r="L2105" s="16">
        <f>_xlfn.XLOOKUP(CustomerCombinedCleaned[[#This Row],[ID]], Table4[ID], Table4[Fruits], "Not Found", 0)</f>
        <v>3</v>
      </c>
      <c r="M2105" s="16">
        <f>_xlfn.XLOOKUP(CustomerCombinedCleaned[[#This Row],[ID]], Table4[ID], Table4[Meats], "Not Found", 0)</f>
        <v>64</v>
      </c>
      <c r="N2105" s="16">
        <f>_xlfn.XLOOKUP(CustomerCombinedCleaned[[#This Row],[ID]], Table4[ID], Table4[Seafood], "Not Found", 0)</f>
        <v>9</v>
      </c>
      <c r="O2105" s="16">
        <f>_xlfn.XLOOKUP(CustomerCombinedCleaned[[#This Row],[ID]], Table4[ID], Table4[Sweets], "Not Found", 0)</f>
        <v>0</v>
      </c>
      <c r="P2105" s="16">
        <f>_xlfn.XLOOKUP(CustomerCombinedCleaned[[#This Row],[ID]], Table4[ID], Table4[Premium], "Not Found", 0)</f>
        <v>31</v>
      </c>
      <c r="Q2105" s="16">
        <f>_xlfn.XLOOKUP(CustomerCombinedCleaned[[#This Row],[ID]], Table4[ID], Table4[Regular], "Not Found", 0)</f>
        <v>131</v>
      </c>
      <c r="R2105" s="16">
        <f>_xlfn.XLOOKUP(CustomerCombinedCleaned[[#This Row],[ID]], Table4[ID], Table4[Deals], "Not Found", 0)</f>
        <v>3</v>
      </c>
      <c r="S2105" s="16">
        <f>_xlfn.XLOOKUP(CustomerCombinedCleaned[[#This Row],[ID]], Table4[ID], Table4[Website], "Not Found", 0)</f>
        <v>2</v>
      </c>
      <c r="T2105" s="16">
        <f>_xlfn.XLOOKUP(CustomerCombinedCleaned[[#This Row],[ID]], Table4[ID], Table4[Catalog], "Not Found", 0)</f>
        <v>1</v>
      </c>
      <c r="U2105" s="16">
        <f>_xlfn.XLOOKUP(CustomerCombinedCleaned[[#This Row],[ID]], Table4[ID], Table4[Store], "Not Found", 0)</f>
        <v>3</v>
      </c>
      <c r="V2105" s="16">
        <f>_xlfn.XLOOKUP(CustomerCombinedCleaned[[#This Row],[ID]], Table4[ID], Table4[Visits], "Not Found", 0)</f>
        <v>5</v>
      </c>
      <c r="W2105" s="16">
        <f>_xlfn.XLOOKUP(CustomerCombinedCleaned[[#This Row],[ID]], Table2[ID],Table2[Complaint], "Not Found", 0 )</f>
        <v>0</v>
      </c>
      <c r="X2105" s="16">
        <f>_xlfn.XLOOKUP(CustomerCombinedCleaned[[#This Row],[ID]], Table2[ID],Table2[Pilot], "Not Found", 0 )</f>
        <v>0</v>
      </c>
      <c r="Y2105" s="16">
        <f>_xlfn.XLOOKUP(CustomerCombinedCleaned[[#This Row],[ID]], Table2[ID],Table2[MC1], "Not Found", 0 )</f>
        <v>0</v>
      </c>
      <c r="Z2105" s="16">
        <f>_xlfn.XLOOKUP(CustomerCombinedCleaned[[#This Row],[ID]], Table2[ID],Table2[MC2], "Not Found", 0 )</f>
        <v>0</v>
      </c>
      <c r="AA2105" s="16">
        <f>_xlfn.XLOOKUP(CustomerCombinedCleaned[[#This Row],[ID]], Table2[ID],Table2[MC3], "Not Found", 0 )</f>
        <v>0</v>
      </c>
      <c r="AB2105" s="16">
        <f>_xlfn.XLOOKUP(CustomerCombinedCleaned[[#This Row],[ID]], Table2[ID],Table2[MC4], "Not Found", 0 )</f>
        <v>0</v>
      </c>
      <c r="AC2105" s="16">
        <f>_xlfn.XLOOKUP(CustomerCombinedCleaned[[#This Row],[ID]], Table2[ID],Table2[MC5], "Not Found", 0 )</f>
        <v>0</v>
      </c>
    </row>
    <row r="2106" spans="1:29" x14ac:dyDescent="0.3">
      <c r="A2106" s="18">
        <v>3064</v>
      </c>
      <c r="B2106" s="16">
        <v>148699</v>
      </c>
      <c r="C2106" s="16">
        <v>1</v>
      </c>
      <c r="D2106" s="16">
        <v>1</v>
      </c>
      <c r="E2106" s="16">
        <v>70</v>
      </c>
      <c r="F2106" s="17" t="s">
        <v>6</v>
      </c>
      <c r="G2106" s="17" t="s">
        <v>13</v>
      </c>
      <c r="H2106" s="3" t="s">
        <v>250</v>
      </c>
      <c r="I2106" s="5" t="s">
        <v>439</v>
      </c>
      <c r="J2106" s="16">
        <f>_xlfn.XLOOKUP(CustomerCombinedCleaned[[#This Row],[ID]], Table4[ID], Table4[Recency], "Not Found", 0)</f>
        <v>90</v>
      </c>
      <c r="K2106" s="16">
        <f>_xlfn.XLOOKUP(CustomerCombinedCleaned[[#This Row],[ID]], Table4[ID], Table4[Teas], "Not Found", 0)</f>
        <v>79</v>
      </c>
      <c r="L2106" s="16">
        <f>_xlfn.XLOOKUP(CustomerCombinedCleaned[[#This Row],[ID]], Table4[ID], Table4[Fruits], "Not Found", 0)</f>
        <v>3</v>
      </c>
      <c r="M2106" s="16">
        <f>_xlfn.XLOOKUP(CustomerCombinedCleaned[[#This Row],[ID]], Table4[ID], Table4[Meats], "Not Found", 0)</f>
        <v>31</v>
      </c>
      <c r="N2106" s="16">
        <f>_xlfn.XLOOKUP(CustomerCombinedCleaned[[#This Row],[ID]], Table4[ID], Table4[Seafood], "Not Found", 0)</f>
        <v>6</v>
      </c>
      <c r="O2106" s="16">
        <f>_xlfn.XLOOKUP(CustomerCombinedCleaned[[#This Row],[ID]], Table4[ID], Table4[Sweets], "Not Found", 0)</f>
        <v>0</v>
      </c>
      <c r="P2106" s="16">
        <f>_xlfn.XLOOKUP(CustomerCombinedCleaned[[#This Row],[ID]], Table4[ID], Table4[Premium], "Not Found", 0)</f>
        <v>3</v>
      </c>
      <c r="Q2106" s="16">
        <f>_xlfn.XLOOKUP(CustomerCombinedCleaned[[#This Row],[ID]], Table4[ID], Table4[Regular], "Not Found", 0)</f>
        <v>116</v>
      </c>
      <c r="R2106" s="16">
        <f>_xlfn.XLOOKUP(CustomerCombinedCleaned[[#This Row],[ID]], Table4[ID], Table4[Deals], "Not Found", 0)</f>
        <v>1</v>
      </c>
      <c r="S2106" s="16">
        <f>_xlfn.XLOOKUP(CustomerCombinedCleaned[[#This Row],[ID]], Table4[ID], Table4[Website], "Not Found", 0)</f>
        <v>1</v>
      </c>
      <c r="T2106" s="16">
        <f>_xlfn.XLOOKUP(CustomerCombinedCleaned[[#This Row],[ID]], Table4[ID], Table4[Catalog], "Not Found", 0)</f>
        <v>0</v>
      </c>
      <c r="U2106" s="16">
        <f>_xlfn.XLOOKUP(CustomerCombinedCleaned[[#This Row],[ID]], Table4[ID], Table4[Store], "Not Found", 0)</f>
        <v>3</v>
      </c>
      <c r="V2106" s="16">
        <f>_xlfn.XLOOKUP(CustomerCombinedCleaned[[#This Row],[ID]], Table4[ID], Table4[Visits], "Not Found", 0)</f>
        <v>5</v>
      </c>
      <c r="W2106" s="16">
        <f>_xlfn.XLOOKUP(CustomerCombinedCleaned[[#This Row],[ID]], Table2[ID],Table2[Complaint], "Not Found", 0 )</f>
        <v>0</v>
      </c>
      <c r="X2106" s="16">
        <f>_xlfn.XLOOKUP(CustomerCombinedCleaned[[#This Row],[ID]], Table2[ID],Table2[Pilot], "Not Found", 0 )</f>
        <v>0</v>
      </c>
      <c r="Y2106" s="16">
        <f>_xlfn.XLOOKUP(CustomerCombinedCleaned[[#This Row],[ID]], Table2[ID],Table2[MC1], "Not Found", 0 )</f>
        <v>0</v>
      </c>
      <c r="Z2106" s="16">
        <f>_xlfn.XLOOKUP(CustomerCombinedCleaned[[#This Row],[ID]], Table2[ID],Table2[MC2], "Not Found", 0 )</f>
        <v>0</v>
      </c>
      <c r="AA2106" s="16">
        <f>_xlfn.XLOOKUP(CustomerCombinedCleaned[[#This Row],[ID]], Table2[ID],Table2[MC3], "Not Found", 0 )</f>
        <v>0</v>
      </c>
      <c r="AB2106" s="16">
        <f>_xlfn.XLOOKUP(CustomerCombinedCleaned[[#This Row],[ID]], Table2[ID],Table2[MC4], "Not Found", 0 )</f>
        <v>0</v>
      </c>
      <c r="AC2106" s="16">
        <f>_xlfn.XLOOKUP(CustomerCombinedCleaned[[#This Row],[ID]], Table2[ID],Table2[MC5], "Not Found", 0 )</f>
        <v>0</v>
      </c>
    </row>
    <row r="2107" spans="1:29" x14ac:dyDescent="0.3">
      <c r="A2107" s="18">
        <v>2161</v>
      </c>
      <c r="B2107" s="16">
        <v>148070</v>
      </c>
      <c r="C2107" s="16">
        <v>0</v>
      </c>
      <c r="D2107" s="16">
        <v>1</v>
      </c>
      <c r="E2107" s="16">
        <v>70</v>
      </c>
      <c r="F2107" s="17" t="s">
        <v>8</v>
      </c>
      <c r="G2107" s="17" t="s">
        <v>11</v>
      </c>
      <c r="H2107" s="3" t="s">
        <v>327</v>
      </c>
      <c r="I2107" s="5" t="s">
        <v>437</v>
      </c>
      <c r="J2107" s="16">
        <f>_xlfn.XLOOKUP(CustomerCombinedCleaned[[#This Row],[ID]], Table4[ID], Table4[Recency], "Not Found", 0)</f>
        <v>33</v>
      </c>
      <c r="K2107" s="16">
        <f>_xlfn.XLOOKUP(CustomerCombinedCleaned[[#This Row],[ID]], Table4[ID], Table4[Teas], "Not Found", 0)</f>
        <v>1149</v>
      </c>
      <c r="L2107" s="16">
        <f>_xlfn.XLOOKUP(CustomerCombinedCleaned[[#This Row],[ID]], Table4[ID], Table4[Fruits], "Not Found", 0)</f>
        <v>43</v>
      </c>
      <c r="M2107" s="16">
        <f>_xlfn.XLOOKUP(CustomerCombinedCleaned[[#This Row],[ID]], Table4[ID], Table4[Meats], "Not Found", 0)</f>
        <v>256</v>
      </c>
      <c r="N2107" s="16">
        <f>_xlfn.XLOOKUP(CustomerCombinedCleaned[[#This Row],[ID]], Table4[ID], Table4[Seafood], "Not Found", 0)</f>
        <v>18</v>
      </c>
      <c r="O2107" s="16">
        <f>_xlfn.XLOOKUP(CustomerCombinedCleaned[[#This Row],[ID]], Table4[ID], Table4[Sweets], "Not Found", 0)</f>
        <v>28</v>
      </c>
      <c r="P2107" s="16">
        <f>_xlfn.XLOOKUP(CustomerCombinedCleaned[[#This Row],[ID]], Table4[ID], Table4[Premium], "Not Found", 0)</f>
        <v>59</v>
      </c>
      <c r="Q2107" s="16">
        <f>_xlfn.XLOOKUP(CustomerCombinedCleaned[[#This Row],[ID]], Table4[ID], Table4[Regular], "Not Found", 0)</f>
        <v>1435</v>
      </c>
      <c r="R2107" s="16">
        <f>_xlfn.XLOOKUP(CustomerCombinedCleaned[[#This Row],[ID]], Table4[ID], Table4[Deals], "Not Found", 0)</f>
        <v>3</v>
      </c>
      <c r="S2107" s="16">
        <f>_xlfn.XLOOKUP(CustomerCombinedCleaned[[#This Row],[ID]], Table4[ID], Table4[Website], "Not Found", 0)</f>
        <v>8</v>
      </c>
      <c r="T2107" s="16">
        <f>_xlfn.XLOOKUP(CustomerCombinedCleaned[[#This Row],[ID]], Table4[ID], Table4[Catalog], "Not Found", 0)</f>
        <v>2</v>
      </c>
      <c r="U2107" s="16">
        <f>_xlfn.XLOOKUP(CustomerCombinedCleaned[[#This Row],[ID]], Table4[ID], Table4[Store], "Not Found", 0)</f>
        <v>6</v>
      </c>
      <c r="V2107" s="16">
        <f>_xlfn.XLOOKUP(CustomerCombinedCleaned[[#This Row],[ID]], Table4[ID], Table4[Visits], "Not Found", 0)</f>
        <v>7</v>
      </c>
      <c r="W2107" s="16">
        <f>_xlfn.XLOOKUP(CustomerCombinedCleaned[[#This Row],[ID]], Table2[ID],Table2[Complaint], "Not Found", 0 )</f>
        <v>1</v>
      </c>
      <c r="X2107" s="16">
        <f>_xlfn.XLOOKUP(CustomerCombinedCleaned[[#This Row],[ID]], Table2[ID],Table2[Pilot], "Not Found", 0 )</f>
        <v>0</v>
      </c>
      <c r="Y2107" s="16">
        <f>_xlfn.XLOOKUP(CustomerCombinedCleaned[[#This Row],[ID]], Table2[ID],Table2[MC1], "Not Found", 0 )</f>
        <v>0</v>
      </c>
      <c r="Z2107" s="16">
        <f>_xlfn.XLOOKUP(CustomerCombinedCleaned[[#This Row],[ID]], Table2[ID],Table2[MC2], "Not Found", 0 )</f>
        <v>0</v>
      </c>
      <c r="AA2107" s="16">
        <f>_xlfn.XLOOKUP(CustomerCombinedCleaned[[#This Row],[ID]], Table2[ID],Table2[MC3], "Not Found", 0 )</f>
        <v>0</v>
      </c>
      <c r="AB2107" s="16">
        <f>_xlfn.XLOOKUP(CustomerCombinedCleaned[[#This Row],[ID]], Table2[ID],Table2[MC4], "Not Found", 0 )</f>
        <v>0</v>
      </c>
      <c r="AC2107" s="16">
        <f>_xlfn.XLOOKUP(CustomerCombinedCleaned[[#This Row],[ID]], Table2[ID],Table2[MC5], "Not Found", 0 )</f>
        <v>0</v>
      </c>
    </row>
    <row r="2108" spans="1:29" x14ac:dyDescent="0.3">
      <c r="A2108" s="18">
        <v>2467</v>
      </c>
      <c r="B2108" s="16">
        <v>142873</v>
      </c>
      <c r="C2108" s="16">
        <v>1</v>
      </c>
      <c r="D2108" s="16">
        <v>1</v>
      </c>
      <c r="E2108" s="16">
        <v>70</v>
      </c>
      <c r="F2108" s="17" t="s">
        <v>5</v>
      </c>
      <c r="G2108" s="17" t="s">
        <v>13</v>
      </c>
      <c r="H2108" s="3" t="s">
        <v>320</v>
      </c>
      <c r="I2108" s="5" t="s">
        <v>437</v>
      </c>
      <c r="J2108" s="16">
        <f>_xlfn.XLOOKUP(CustomerCombinedCleaned[[#This Row],[ID]], Table4[ID], Table4[Recency], "Not Found", 0)</f>
        <v>11</v>
      </c>
      <c r="K2108" s="16">
        <f>_xlfn.XLOOKUP(CustomerCombinedCleaned[[#This Row],[ID]], Table4[ID], Table4[Teas], "Not Found", 0)</f>
        <v>696</v>
      </c>
      <c r="L2108" s="16">
        <f>_xlfn.XLOOKUP(CustomerCombinedCleaned[[#This Row],[ID]], Table4[ID], Table4[Fruits], "Not Found", 0)</f>
        <v>0</v>
      </c>
      <c r="M2108" s="16">
        <f>_xlfn.XLOOKUP(CustomerCombinedCleaned[[#This Row],[ID]], Table4[ID], Table4[Meats], "Not Found", 0)</f>
        <v>133</v>
      </c>
      <c r="N2108" s="16">
        <f>_xlfn.XLOOKUP(CustomerCombinedCleaned[[#This Row],[ID]], Table4[ID], Table4[Seafood], "Not Found", 0)</f>
        <v>10</v>
      </c>
      <c r="O2108" s="16">
        <f>_xlfn.XLOOKUP(CustomerCombinedCleaned[[#This Row],[ID]], Table4[ID], Table4[Sweets], "Not Found", 0)</f>
        <v>7</v>
      </c>
      <c r="P2108" s="16">
        <f>_xlfn.XLOOKUP(CustomerCombinedCleaned[[#This Row],[ID]], Table4[ID], Table4[Premium], "Not Found", 0)</f>
        <v>50</v>
      </c>
      <c r="Q2108" s="16">
        <f>_xlfn.XLOOKUP(CustomerCombinedCleaned[[#This Row],[ID]], Table4[ID], Table4[Regular], "Not Found", 0)</f>
        <v>796</v>
      </c>
      <c r="R2108" s="16">
        <f>_xlfn.XLOOKUP(CustomerCombinedCleaned[[#This Row],[ID]], Table4[ID], Table4[Deals], "Not Found", 0)</f>
        <v>4</v>
      </c>
      <c r="S2108" s="16">
        <f>_xlfn.XLOOKUP(CustomerCombinedCleaned[[#This Row],[ID]], Table4[ID], Table4[Website], "Not Found", 0)</f>
        <v>6</v>
      </c>
      <c r="T2108" s="16">
        <f>_xlfn.XLOOKUP(CustomerCombinedCleaned[[#This Row],[ID]], Table4[ID], Table4[Catalog], "Not Found", 0)</f>
        <v>1</v>
      </c>
      <c r="U2108" s="16">
        <f>_xlfn.XLOOKUP(CustomerCombinedCleaned[[#This Row],[ID]], Table4[ID], Table4[Store], "Not Found", 0)</f>
        <v>4</v>
      </c>
      <c r="V2108" s="16">
        <f>_xlfn.XLOOKUP(CustomerCombinedCleaned[[#This Row],[ID]], Table4[ID], Table4[Visits], "Not Found", 0)</f>
        <v>8</v>
      </c>
      <c r="W2108" s="16">
        <f>_xlfn.XLOOKUP(CustomerCombinedCleaned[[#This Row],[ID]], Table2[ID],Table2[Complaint], "Not Found", 0 )</f>
        <v>0</v>
      </c>
      <c r="X2108" s="16">
        <f>_xlfn.XLOOKUP(CustomerCombinedCleaned[[#This Row],[ID]], Table2[ID],Table2[Pilot], "Not Found", 0 )</f>
        <v>0</v>
      </c>
      <c r="Y2108" s="16">
        <f>_xlfn.XLOOKUP(CustomerCombinedCleaned[[#This Row],[ID]], Table2[ID],Table2[MC1], "Not Found", 0 )</f>
        <v>0</v>
      </c>
      <c r="Z2108" s="16">
        <f>_xlfn.XLOOKUP(CustomerCombinedCleaned[[#This Row],[ID]], Table2[ID],Table2[MC2], "Not Found", 0 )</f>
        <v>0</v>
      </c>
      <c r="AA2108" s="16">
        <f>_xlfn.XLOOKUP(CustomerCombinedCleaned[[#This Row],[ID]], Table2[ID],Table2[MC3], "Not Found", 0 )</f>
        <v>0</v>
      </c>
      <c r="AB2108" s="16">
        <f>_xlfn.XLOOKUP(CustomerCombinedCleaned[[#This Row],[ID]], Table2[ID],Table2[MC4], "Not Found", 0 )</f>
        <v>0</v>
      </c>
      <c r="AC2108" s="16">
        <f>_xlfn.XLOOKUP(CustomerCombinedCleaned[[#This Row],[ID]], Table2[ID],Table2[MC5], "Not Found", 0 )</f>
        <v>0</v>
      </c>
    </row>
    <row r="2109" spans="1:29" x14ac:dyDescent="0.3">
      <c r="A2109" s="18">
        <v>2444</v>
      </c>
      <c r="B2109" s="16">
        <v>141145</v>
      </c>
      <c r="C2109" s="16">
        <v>1</v>
      </c>
      <c r="D2109" s="16">
        <v>1</v>
      </c>
      <c r="E2109" s="16">
        <v>70</v>
      </c>
      <c r="F2109" s="17" t="s">
        <v>6</v>
      </c>
      <c r="G2109" s="17" t="s">
        <v>13</v>
      </c>
      <c r="H2109" s="3" t="s">
        <v>105</v>
      </c>
      <c r="I2109" s="5" t="s">
        <v>438</v>
      </c>
      <c r="J2109" s="16">
        <f>_xlfn.XLOOKUP(CustomerCombinedCleaned[[#This Row],[ID]], Table4[ID], Table4[Recency], "Not Found", 0)</f>
        <v>20</v>
      </c>
      <c r="K2109" s="16">
        <f>_xlfn.XLOOKUP(CustomerCombinedCleaned[[#This Row],[ID]], Table4[ID], Table4[Teas], "Not Found", 0)</f>
        <v>31</v>
      </c>
      <c r="L2109" s="16">
        <f>_xlfn.XLOOKUP(CustomerCombinedCleaned[[#This Row],[ID]], Table4[ID], Table4[Fruits], "Not Found", 0)</f>
        <v>0</v>
      </c>
      <c r="M2109" s="16">
        <f>_xlfn.XLOOKUP(CustomerCombinedCleaned[[#This Row],[ID]], Table4[ID], Table4[Meats], "Not Found", 0)</f>
        <v>10</v>
      </c>
      <c r="N2109" s="16">
        <f>_xlfn.XLOOKUP(CustomerCombinedCleaned[[#This Row],[ID]], Table4[ID], Table4[Seafood], "Not Found", 0)</f>
        <v>0</v>
      </c>
      <c r="O2109" s="16">
        <f>_xlfn.XLOOKUP(CustomerCombinedCleaned[[#This Row],[ID]], Table4[ID], Table4[Sweets], "Not Found", 0)</f>
        <v>0</v>
      </c>
      <c r="P2109" s="16">
        <f>_xlfn.XLOOKUP(CustomerCombinedCleaned[[#This Row],[ID]], Table4[ID], Table4[Premium], "Not Found", 0)</f>
        <v>3</v>
      </c>
      <c r="Q2109" s="16">
        <f>_xlfn.XLOOKUP(CustomerCombinedCleaned[[#This Row],[ID]], Table4[ID], Table4[Regular], "Not Found", 0)</f>
        <v>38</v>
      </c>
      <c r="R2109" s="16">
        <f>_xlfn.XLOOKUP(CustomerCombinedCleaned[[#This Row],[ID]], Table4[ID], Table4[Deals], "Not Found", 0)</f>
        <v>1</v>
      </c>
      <c r="S2109" s="16">
        <f>_xlfn.XLOOKUP(CustomerCombinedCleaned[[#This Row],[ID]], Table4[ID], Table4[Website], "Not Found", 0)</f>
        <v>0</v>
      </c>
      <c r="T2109" s="16">
        <f>_xlfn.XLOOKUP(CustomerCombinedCleaned[[#This Row],[ID]], Table4[ID], Table4[Catalog], "Not Found", 0)</f>
        <v>0</v>
      </c>
      <c r="U2109" s="16">
        <f>_xlfn.XLOOKUP(CustomerCombinedCleaned[[#This Row],[ID]], Table4[ID], Table4[Store], "Not Found", 0)</f>
        <v>3</v>
      </c>
      <c r="V2109" s="16">
        <f>_xlfn.XLOOKUP(CustomerCombinedCleaned[[#This Row],[ID]], Table4[ID], Table4[Visits], "Not Found", 0)</f>
        <v>3</v>
      </c>
      <c r="W2109" s="16">
        <f>_xlfn.XLOOKUP(CustomerCombinedCleaned[[#This Row],[ID]], Table2[ID],Table2[Complaint], "Not Found", 0 )</f>
        <v>0</v>
      </c>
      <c r="X2109" s="16">
        <f>_xlfn.XLOOKUP(CustomerCombinedCleaned[[#This Row],[ID]], Table2[ID],Table2[Pilot], "Not Found", 0 )</f>
        <v>0</v>
      </c>
      <c r="Y2109" s="16">
        <f>_xlfn.XLOOKUP(CustomerCombinedCleaned[[#This Row],[ID]], Table2[ID],Table2[MC1], "Not Found", 0 )</f>
        <v>0</v>
      </c>
      <c r="Z2109" s="16">
        <f>_xlfn.XLOOKUP(CustomerCombinedCleaned[[#This Row],[ID]], Table2[ID],Table2[MC2], "Not Found", 0 )</f>
        <v>0</v>
      </c>
      <c r="AA2109" s="16">
        <f>_xlfn.XLOOKUP(CustomerCombinedCleaned[[#This Row],[ID]], Table2[ID],Table2[MC3], "Not Found", 0 )</f>
        <v>0</v>
      </c>
      <c r="AB2109" s="16">
        <f>_xlfn.XLOOKUP(CustomerCombinedCleaned[[#This Row],[ID]], Table2[ID],Table2[MC4], "Not Found", 0 )</f>
        <v>0</v>
      </c>
      <c r="AC2109" s="16">
        <f>_xlfn.XLOOKUP(CustomerCombinedCleaned[[#This Row],[ID]], Table2[ID],Table2[MC5], "Not Found", 0 )</f>
        <v>0</v>
      </c>
    </row>
    <row r="2110" spans="1:29" x14ac:dyDescent="0.3">
      <c r="A2110" s="18">
        <v>3180</v>
      </c>
      <c r="B2110" s="16">
        <v>138054</v>
      </c>
      <c r="C2110" s="16">
        <v>1</v>
      </c>
      <c r="D2110" s="16">
        <v>1</v>
      </c>
      <c r="E2110" s="16">
        <v>70</v>
      </c>
      <c r="F2110" s="17" t="s">
        <v>5</v>
      </c>
      <c r="G2110" s="17" t="s">
        <v>12</v>
      </c>
      <c r="H2110" s="3" t="s">
        <v>574</v>
      </c>
      <c r="I2110" s="5" t="s">
        <v>436</v>
      </c>
      <c r="J2110" s="16">
        <f>_xlfn.XLOOKUP(CustomerCombinedCleaned[[#This Row],[ID]], Table4[ID], Table4[Recency], "Not Found", 0)</f>
        <v>24</v>
      </c>
      <c r="K2110" s="16">
        <f>_xlfn.XLOOKUP(CustomerCombinedCleaned[[#This Row],[ID]], Table4[ID], Table4[Teas], "Not Found", 0)</f>
        <v>83</v>
      </c>
      <c r="L2110" s="16">
        <f>_xlfn.XLOOKUP(CustomerCombinedCleaned[[#This Row],[ID]], Table4[ID], Table4[Fruits], "Not Found", 0)</f>
        <v>7</v>
      </c>
      <c r="M2110" s="16">
        <f>_xlfn.XLOOKUP(CustomerCombinedCleaned[[#This Row],[ID]], Table4[ID], Table4[Meats], "Not Found", 0)</f>
        <v>62</v>
      </c>
      <c r="N2110" s="16">
        <f>_xlfn.XLOOKUP(CustomerCombinedCleaned[[#This Row],[ID]], Table4[ID], Table4[Seafood], "Not Found", 0)</f>
        <v>7</v>
      </c>
      <c r="O2110" s="16">
        <f>_xlfn.XLOOKUP(CustomerCombinedCleaned[[#This Row],[ID]], Table4[ID], Table4[Sweets], "Not Found", 0)</f>
        <v>4</v>
      </c>
      <c r="P2110" s="16">
        <f>_xlfn.XLOOKUP(CustomerCombinedCleaned[[#This Row],[ID]], Table4[ID], Table4[Premium], "Not Found", 0)</f>
        <v>0</v>
      </c>
      <c r="Q2110" s="16">
        <f>_xlfn.XLOOKUP(CustomerCombinedCleaned[[#This Row],[ID]], Table4[ID], Table4[Regular], "Not Found", 0)</f>
        <v>163</v>
      </c>
      <c r="R2110" s="16">
        <f>_xlfn.XLOOKUP(CustomerCombinedCleaned[[#This Row],[ID]], Table4[ID], Table4[Deals], "Not Found", 0)</f>
        <v>2</v>
      </c>
      <c r="S2110" s="16">
        <f>_xlfn.XLOOKUP(CustomerCombinedCleaned[[#This Row],[ID]], Table4[ID], Table4[Website], "Not Found", 0)</f>
        <v>2</v>
      </c>
      <c r="T2110" s="16">
        <f>_xlfn.XLOOKUP(CustomerCombinedCleaned[[#This Row],[ID]], Table4[ID], Table4[Catalog], "Not Found", 0)</f>
        <v>0</v>
      </c>
      <c r="U2110" s="16">
        <f>_xlfn.XLOOKUP(CustomerCombinedCleaned[[#This Row],[ID]], Table4[ID], Table4[Store], "Not Found", 0)</f>
        <v>3</v>
      </c>
      <c r="V2110" s="16">
        <f>_xlfn.XLOOKUP(CustomerCombinedCleaned[[#This Row],[ID]], Table4[ID], Table4[Visits], "Not Found", 0)</f>
        <v>7</v>
      </c>
      <c r="W2110" s="16">
        <f>_xlfn.XLOOKUP(CustomerCombinedCleaned[[#This Row],[ID]], Table2[ID],Table2[Complaint], "Not Found", 0 )</f>
        <v>0</v>
      </c>
      <c r="X2110" s="16">
        <f>_xlfn.XLOOKUP(CustomerCombinedCleaned[[#This Row],[ID]], Table2[ID],Table2[Pilot], "Not Found", 0 )</f>
        <v>0</v>
      </c>
      <c r="Y2110" s="16">
        <f>_xlfn.XLOOKUP(CustomerCombinedCleaned[[#This Row],[ID]], Table2[ID],Table2[MC1], "Not Found", 0 )</f>
        <v>0</v>
      </c>
      <c r="Z2110" s="16">
        <f>_xlfn.XLOOKUP(CustomerCombinedCleaned[[#This Row],[ID]], Table2[ID],Table2[MC2], "Not Found", 0 )</f>
        <v>0</v>
      </c>
      <c r="AA2110" s="16">
        <f>_xlfn.XLOOKUP(CustomerCombinedCleaned[[#This Row],[ID]], Table2[ID],Table2[MC3], "Not Found", 0 )</f>
        <v>0</v>
      </c>
      <c r="AB2110" s="16">
        <f>_xlfn.XLOOKUP(CustomerCombinedCleaned[[#This Row],[ID]], Table2[ID],Table2[MC4], "Not Found", 0 )</f>
        <v>0</v>
      </c>
      <c r="AC2110" s="16">
        <f>_xlfn.XLOOKUP(CustomerCombinedCleaned[[#This Row],[ID]], Table2[ID],Table2[MC5], "Not Found", 0 )</f>
        <v>0</v>
      </c>
    </row>
    <row r="2111" spans="1:29" x14ac:dyDescent="0.3">
      <c r="A2111" s="18">
        <v>1821</v>
      </c>
      <c r="B2111" s="16">
        <v>134026</v>
      </c>
      <c r="C2111" s="16">
        <v>1</v>
      </c>
      <c r="D2111" s="16">
        <v>1</v>
      </c>
      <c r="E2111" s="16">
        <v>70</v>
      </c>
      <c r="F2111" s="17" t="s">
        <v>8</v>
      </c>
      <c r="G2111" s="17" t="s">
        <v>11</v>
      </c>
      <c r="H2111" s="3" t="s">
        <v>733</v>
      </c>
      <c r="I2111" s="5" t="s">
        <v>435</v>
      </c>
      <c r="J2111" s="16">
        <f>_xlfn.XLOOKUP(CustomerCombinedCleaned[[#This Row],[ID]], Table4[ID], Table4[Recency], "Not Found", 0)</f>
        <v>11</v>
      </c>
      <c r="K2111" s="16">
        <f>_xlfn.XLOOKUP(CustomerCombinedCleaned[[#This Row],[ID]], Table4[ID], Table4[Teas], "Not Found", 0)</f>
        <v>71</v>
      </c>
      <c r="L2111" s="16">
        <f>_xlfn.XLOOKUP(CustomerCombinedCleaned[[#This Row],[ID]], Table4[ID], Table4[Fruits], "Not Found", 0)</f>
        <v>24</v>
      </c>
      <c r="M2111" s="16">
        <f>_xlfn.XLOOKUP(CustomerCombinedCleaned[[#This Row],[ID]], Table4[ID], Table4[Meats], "Not Found", 0)</f>
        <v>59</v>
      </c>
      <c r="N2111" s="16">
        <f>_xlfn.XLOOKUP(CustomerCombinedCleaned[[#This Row],[ID]], Table4[ID], Table4[Seafood], "Not Found", 0)</f>
        <v>47</v>
      </c>
      <c r="O2111" s="16">
        <f>_xlfn.XLOOKUP(CustomerCombinedCleaned[[#This Row],[ID]], Table4[ID], Table4[Sweets], "Not Found", 0)</f>
        <v>32</v>
      </c>
      <c r="P2111" s="16">
        <f>_xlfn.XLOOKUP(CustomerCombinedCleaned[[#This Row],[ID]], Table4[ID], Table4[Premium], "Not Found", 0)</f>
        <v>67</v>
      </c>
      <c r="Q2111" s="16">
        <f>_xlfn.XLOOKUP(CustomerCombinedCleaned[[#This Row],[ID]], Table4[ID], Table4[Regular], "Not Found", 0)</f>
        <v>165</v>
      </c>
      <c r="R2111" s="16">
        <f>_xlfn.XLOOKUP(CustomerCombinedCleaned[[#This Row],[ID]], Table4[ID], Table4[Deals], "Not Found", 0)</f>
        <v>3</v>
      </c>
      <c r="S2111" s="16">
        <f>_xlfn.XLOOKUP(CustomerCombinedCleaned[[#This Row],[ID]], Table4[ID], Table4[Website], "Not Found", 0)</f>
        <v>2</v>
      </c>
      <c r="T2111" s="16">
        <f>_xlfn.XLOOKUP(CustomerCombinedCleaned[[#This Row],[ID]], Table4[ID], Table4[Catalog], "Not Found", 0)</f>
        <v>1</v>
      </c>
      <c r="U2111" s="16">
        <f>_xlfn.XLOOKUP(CustomerCombinedCleaned[[#This Row],[ID]], Table4[ID], Table4[Store], "Not Found", 0)</f>
        <v>3</v>
      </c>
      <c r="V2111" s="16">
        <f>_xlfn.XLOOKUP(CustomerCombinedCleaned[[#This Row],[ID]], Table4[ID], Table4[Visits], "Not Found", 0)</f>
        <v>5</v>
      </c>
      <c r="W2111" s="16">
        <f>_xlfn.XLOOKUP(CustomerCombinedCleaned[[#This Row],[ID]], Table2[ID],Table2[Complaint], "Not Found", 0 )</f>
        <v>0</v>
      </c>
      <c r="X2111" s="16">
        <f>_xlfn.XLOOKUP(CustomerCombinedCleaned[[#This Row],[ID]], Table2[ID],Table2[Pilot], "Not Found", 0 )</f>
        <v>0</v>
      </c>
      <c r="Y2111" s="16">
        <f>_xlfn.XLOOKUP(CustomerCombinedCleaned[[#This Row],[ID]], Table2[ID],Table2[MC1], "Not Found", 0 )</f>
        <v>0</v>
      </c>
      <c r="Z2111" s="16">
        <f>_xlfn.XLOOKUP(CustomerCombinedCleaned[[#This Row],[ID]], Table2[ID],Table2[MC2], "Not Found", 0 )</f>
        <v>0</v>
      </c>
      <c r="AA2111" s="16">
        <f>_xlfn.XLOOKUP(CustomerCombinedCleaned[[#This Row],[ID]], Table2[ID],Table2[MC3], "Not Found", 0 )</f>
        <v>0</v>
      </c>
      <c r="AB2111" s="16">
        <f>_xlfn.XLOOKUP(CustomerCombinedCleaned[[#This Row],[ID]], Table2[ID],Table2[MC4], "Not Found", 0 )</f>
        <v>0</v>
      </c>
      <c r="AC2111" s="16">
        <f>_xlfn.XLOOKUP(CustomerCombinedCleaned[[#This Row],[ID]], Table2[ID],Table2[MC5], "Not Found", 0 )</f>
        <v>0</v>
      </c>
    </row>
    <row r="2112" spans="1:29" x14ac:dyDescent="0.3">
      <c r="A2112" s="18">
        <v>2765</v>
      </c>
      <c r="B2112" s="16">
        <v>134026</v>
      </c>
      <c r="C2112" s="16">
        <v>1</v>
      </c>
      <c r="D2112" s="16">
        <v>1</v>
      </c>
      <c r="E2112" s="16">
        <v>70</v>
      </c>
      <c r="F2112" s="17" t="s">
        <v>8</v>
      </c>
      <c r="G2112" s="17" t="s">
        <v>11</v>
      </c>
      <c r="H2112" s="3" t="s">
        <v>733</v>
      </c>
      <c r="I2112" s="5" t="s">
        <v>434</v>
      </c>
      <c r="J2112" s="16">
        <f>_xlfn.XLOOKUP(CustomerCombinedCleaned[[#This Row],[ID]], Table4[ID], Table4[Recency], "Not Found", 0)</f>
        <v>11</v>
      </c>
      <c r="K2112" s="16">
        <f>_xlfn.XLOOKUP(CustomerCombinedCleaned[[#This Row],[ID]], Table4[ID], Table4[Teas], "Not Found", 0)</f>
        <v>71</v>
      </c>
      <c r="L2112" s="16">
        <f>_xlfn.XLOOKUP(CustomerCombinedCleaned[[#This Row],[ID]], Table4[ID], Table4[Fruits], "Not Found", 0)</f>
        <v>24</v>
      </c>
      <c r="M2112" s="16">
        <f>_xlfn.XLOOKUP(CustomerCombinedCleaned[[#This Row],[ID]], Table4[ID], Table4[Meats], "Not Found", 0)</f>
        <v>59</v>
      </c>
      <c r="N2112" s="16">
        <f>_xlfn.XLOOKUP(CustomerCombinedCleaned[[#This Row],[ID]], Table4[ID], Table4[Seafood], "Not Found", 0)</f>
        <v>47</v>
      </c>
      <c r="O2112" s="16">
        <f>_xlfn.XLOOKUP(CustomerCombinedCleaned[[#This Row],[ID]], Table4[ID], Table4[Sweets], "Not Found", 0)</f>
        <v>32</v>
      </c>
      <c r="P2112" s="16">
        <f>_xlfn.XLOOKUP(CustomerCombinedCleaned[[#This Row],[ID]], Table4[ID], Table4[Premium], "Not Found", 0)</f>
        <v>67</v>
      </c>
      <c r="Q2112" s="16">
        <f>_xlfn.XLOOKUP(CustomerCombinedCleaned[[#This Row],[ID]], Table4[ID], Table4[Regular], "Not Found", 0)</f>
        <v>165</v>
      </c>
      <c r="R2112" s="16">
        <f>_xlfn.XLOOKUP(CustomerCombinedCleaned[[#This Row],[ID]], Table4[ID], Table4[Deals], "Not Found", 0)</f>
        <v>3</v>
      </c>
      <c r="S2112" s="16">
        <f>_xlfn.XLOOKUP(CustomerCombinedCleaned[[#This Row],[ID]], Table4[ID], Table4[Website], "Not Found", 0)</f>
        <v>2</v>
      </c>
      <c r="T2112" s="16">
        <f>_xlfn.XLOOKUP(CustomerCombinedCleaned[[#This Row],[ID]], Table4[ID], Table4[Catalog], "Not Found", 0)</f>
        <v>1</v>
      </c>
      <c r="U2112" s="16">
        <f>_xlfn.XLOOKUP(CustomerCombinedCleaned[[#This Row],[ID]], Table4[ID], Table4[Store], "Not Found", 0)</f>
        <v>3</v>
      </c>
      <c r="V2112" s="16">
        <f>_xlfn.XLOOKUP(CustomerCombinedCleaned[[#This Row],[ID]], Table4[ID], Table4[Visits], "Not Found", 0)</f>
        <v>5</v>
      </c>
      <c r="W2112" s="16">
        <f>_xlfn.XLOOKUP(CustomerCombinedCleaned[[#This Row],[ID]], Table2[ID],Table2[Complaint], "Not Found", 0 )</f>
        <v>0</v>
      </c>
      <c r="X2112" s="16">
        <f>_xlfn.XLOOKUP(CustomerCombinedCleaned[[#This Row],[ID]], Table2[ID],Table2[Pilot], "Not Found", 0 )</f>
        <v>0</v>
      </c>
      <c r="Y2112" s="16">
        <f>_xlfn.XLOOKUP(CustomerCombinedCleaned[[#This Row],[ID]], Table2[ID],Table2[MC1], "Not Found", 0 )</f>
        <v>0</v>
      </c>
      <c r="Z2112" s="16">
        <f>_xlfn.XLOOKUP(CustomerCombinedCleaned[[#This Row],[ID]], Table2[ID],Table2[MC2], "Not Found", 0 )</f>
        <v>0</v>
      </c>
      <c r="AA2112" s="16">
        <f>_xlfn.XLOOKUP(CustomerCombinedCleaned[[#This Row],[ID]], Table2[ID],Table2[MC3], "Not Found", 0 )</f>
        <v>0</v>
      </c>
      <c r="AB2112" s="16">
        <f>_xlfn.XLOOKUP(CustomerCombinedCleaned[[#This Row],[ID]], Table2[ID],Table2[MC4], "Not Found", 0 )</f>
        <v>0</v>
      </c>
      <c r="AC2112" s="16">
        <f>_xlfn.XLOOKUP(CustomerCombinedCleaned[[#This Row],[ID]], Table2[ID],Table2[MC5], "Not Found", 0 )</f>
        <v>0</v>
      </c>
    </row>
    <row r="2113" spans="1:29" x14ac:dyDescent="0.3">
      <c r="A2113" s="18">
        <v>2916</v>
      </c>
      <c r="B2113" s="16">
        <v>128320</v>
      </c>
      <c r="C2113" s="16">
        <v>0</v>
      </c>
      <c r="D2113" s="16">
        <v>1</v>
      </c>
      <c r="E2113" s="16">
        <v>70</v>
      </c>
      <c r="F2113" s="17" t="s">
        <v>8</v>
      </c>
      <c r="G2113" s="17" t="s">
        <v>11</v>
      </c>
      <c r="H2113" s="3" t="s">
        <v>326</v>
      </c>
      <c r="I2113" s="5" t="s">
        <v>436</v>
      </c>
      <c r="J2113" s="16">
        <f>_xlfn.XLOOKUP(CustomerCombinedCleaned[[#This Row],[ID]], Table4[ID], Table4[Recency], "Not Found", 0)</f>
        <v>68</v>
      </c>
      <c r="K2113" s="16">
        <f>_xlfn.XLOOKUP(CustomerCombinedCleaned[[#This Row],[ID]], Table4[ID], Table4[Teas], "Not Found", 0)</f>
        <v>86</v>
      </c>
      <c r="L2113" s="16">
        <f>_xlfn.XLOOKUP(CustomerCombinedCleaned[[#This Row],[ID]], Table4[ID], Table4[Fruits], "Not Found", 0)</f>
        <v>5</v>
      </c>
      <c r="M2113" s="16">
        <f>_xlfn.XLOOKUP(CustomerCombinedCleaned[[#This Row],[ID]], Table4[ID], Table4[Meats], "Not Found", 0)</f>
        <v>63</v>
      </c>
      <c r="N2113" s="16">
        <f>_xlfn.XLOOKUP(CustomerCombinedCleaned[[#This Row],[ID]], Table4[ID], Table4[Seafood], "Not Found", 0)</f>
        <v>14</v>
      </c>
      <c r="O2113" s="16">
        <f>_xlfn.XLOOKUP(CustomerCombinedCleaned[[#This Row],[ID]], Table4[ID], Table4[Sweets], "Not Found", 0)</f>
        <v>9</v>
      </c>
      <c r="P2113" s="16">
        <f>_xlfn.XLOOKUP(CustomerCombinedCleaned[[#This Row],[ID]], Table4[ID], Table4[Premium], "Not Found", 0)</f>
        <v>18</v>
      </c>
      <c r="Q2113" s="16">
        <f>_xlfn.XLOOKUP(CustomerCombinedCleaned[[#This Row],[ID]], Table4[ID], Table4[Regular], "Not Found", 0)</f>
        <v>159</v>
      </c>
      <c r="R2113" s="16">
        <f>_xlfn.XLOOKUP(CustomerCombinedCleaned[[#This Row],[ID]], Table4[ID], Table4[Deals], "Not Found", 0)</f>
        <v>1</v>
      </c>
      <c r="S2113" s="16">
        <f>_xlfn.XLOOKUP(CustomerCombinedCleaned[[#This Row],[ID]], Table4[ID], Table4[Website], "Not Found", 0)</f>
        <v>1</v>
      </c>
      <c r="T2113" s="16">
        <f>_xlfn.XLOOKUP(CustomerCombinedCleaned[[#This Row],[ID]], Table4[ID], Table4[Catalog], "Not Found", 0)</f>
        <v>0</v>
      </c>
      <c r="U2113" s="16">
        <f>_xlfn.XLOOKUP(CustomerCombinedCleaned[[#This Row],[ID]], Table4[ID], Table4[Store], "Not Found", 0)</f>
        <v>3</v>
      </c>
      <c r="V2113" s="16">
        <f>_xlfn.XLOOKUP(CustomerCombinedCleaned[[#This Row],[ID]], Table4[ID], Table4[Visits], "Not Found", 0)</f>
        <v>8</v>
      </c>
      <c r="W2113" s="16">
        <f>_xlfn.XLOOKUP(CustomerCombinedCleaned[[#This Row],[ID]], Table2[ID],Table2[Complaint], "Not Found", 0 )</f>
        <v>0</v>
      </c>
      <c r="X2113" s="16">
        <f>_xlfn.XLOOKUP(CustomerCombinedCleaned[[#This Row],[ID]], Table2[ID],Table2[Pilot], "Not Found", 0 )</f>
        <v>0</v>
      </c>
      <c r="Y2113" s="16">
        <f>_xlfn.XLOOKUP(CustomerCombinedCleaned[[#This Row],[ID]], Table2[ID],Table2[MC1], "Not Found", 0 )</f>
        <v>0</v>
      </c>
      <c r="Z2113" s="16">
        <f>_xlfn.XLOOKUP(CustomerCombinedCleaned[[#This Row],[ID]], Table2[ID],Table2[MC2], "Not Found", 0 )</f>
        <v>0</v>
      </c>
      <c r="AA2113" s="16">
        <f>_xlfn.XLOOKUP(CustomerCombinedCleaned[[#This Row],[ID]], Table2[ID],Table2[MC3], "Not Found", 0 )</f>
        <v>0</v>
      </c>
      <c r="AB2113" s="16">
        <f>_xlfn.XLOOKUP(CustomerCombinedCleaned[[#This Row],[ID]], Table2[ID],Table2[MC4], "Not Found", 0 )</f>
        <v>0</v>
      </c>
      <c r="AC2113" s="16">
        <f>_xlfn.XLOOKUP(CustomerCombinedCleaned[[#This Row],[ID]], Table2[ID],Table2[MC5], "Not Found", 0 )</f>
        <v>0</v>
      </c>
    </row>
    <row r="2114" spans="1:29" x14ac:dyDescent="0.3">
      <c r="A2114" s="18">
        <v>1484</v>
      </c>
      <c r="B2114" s="16">
        <v>127203</v>
      </c>
      <c r="C2114" s="16">
        <v>1</v>
      </c>
      <c r="D2114" s="16">
        <v>1</v>
      </c>
      <c r="E2114" s="16">
        <v>70</v>
      </c>
      <c r="F2114" s="17" t="s">
        <v>8</v>
      </c>
      <c r="G2114" s="17" t="s">
        <v>11</v>
      </c>
      <c r="H2114" s="3" t="s">
        <v>766</v>
      </c>
      <c r="I2114" s="5" t="s">
        <v>438</v>
      </c>
      <c r="J2114" s="16">
        <f>_xlfn.XLOOKUP(CustomerCombinedCleaned[[#This Row],[ID]], Table4[ID], Table4[Recency], "Not Found", 0)</f>
        <v>92</v>
      </c>
      <c r="K2114" s="16">
        <f>_xlfn.XLOOKUP(CustomerCombinedCleaned[[#This Row],[ID]], Table4[ID], Table4[Teas], "Not Found", 0)</f>
        <v>61</v>
      </c>
      <c r="L2114" s="16">
        <f>_xlfn.XLOOKUP(CustomerCombinedCleaned[[#This Row],[ID]], Table4[ID], Table4[Fruits], "Not Found", 0)</f>
        <v>9</v>
      </c>
      <c r="M2114" s="16">
        <f>_xlfn.XLOOKUP(CustomerCombinedCleaned[[#This Row],[ID]], Table4[ID], Table4[Meats], "Not Found", 0)</f>
        <v>98</v>
      </c>
      <c r="N2114" s="16">
        <f>_xlfn.XLOOKUP(CustomerCombinedCleaned[[#This Row],[ID]], Table4[ID], Table4[Seafood], "Not Found", 0)</f>
        <v>19</v>
      </c>
      <c r="O2114" s="16">
        <f>_xlfn.XLOOKUP(CustomerCombinedCleaned[[#This Row],[ID]], Table4[ID], Table4[Sweets], "Not Found", 0)</f>
        <v>0</v>
      </c>
      <c r="P2114" s="16">
        <f>_xlfn.XLOOKUP(CustomerCombinedCleaned[[#This Row],[ID]], Table4[ID], Table4[Premium], "Not Found", 0)</f>
        <v>112</v>
      </c>
      <c r="Q2114" s="16">
        <f>_xlfn.XLOOKUP(CustomerCombinedCleaned[[#This Row],[ID]], Table4[ID], Table4[Regular], "Not Found", 0)</f>
        <v>75</v>
      </c>
      <c r="R2114" s="16">
        <f>_xlfn.XLOOKUP(CustomerCombinedCleaned[[#This Row],[ID]], Table4[ID], Table4[Deals], "Not Found", 0)</f>
        <v>2</v>
      </c>
      <c r="S2114" s="16">
        <f>_xlfn.XLOOKUP(CustomerCombinedCleaned[[#This Row],[ID]], Table4[ID], Table4[Website], "Not Found", 0)</f>
        <v>1</v>
      </c>
      <c r="T2114" s="16">
        <f>_xlfn.XLOOKUP(CustomerCombinedCleaned[[#This Row],[ID]], Table4[ID], Table4[Catalog], "Not Found", 0)</f>
        <v>1</v>
      </c>
      <c r="U2114" s="16">
        <f>_xlfn.XLOOKUP(CustomerCombinedCleaned[[#This Row],[ID]], Table4[ID], Table4[Store], "Not Found", 0)</f>
        <v>2</v>
      </c>
      <c r="V2114" s="16">
        <f>_xlfn.XLOOKUP(CustomerCombinedCleaned[[#This Row],[ID]], Table4[ID], Table4[Visits], "Not Found", 0)</f>
        <v>8</v>
      </c>
      <c r="W2114" s="16">
        <f>_xlfn.XLOOKUP(CustomerCombinedCleaned[[#This Row],[ID]], Table2[ID],Table2[Complaint], "Not Found", 0 )</f>
        <v>0</v>
      </c>
      <c r="X2114" s="16">
        <f>_xlfn.XLOOKUP(CustomerCombinedCleaned[[#This Row],[ID]], Table2[ID],Table2[Pilot], "Not Found", 0 )</f>
        <v>0</v>
      </c>
      <c r="Y2114" s="16">
        <f>_xlfn.XLOOKUP(CustomerCombinedCleaned[[#This Row],[ID]], Table2[ID],Table2[MC1], "Not Found", 0 )</f>
        <v>0</v>
      </c>
      <c r="Z2114" s="16">
        <f>_xlfn.XLOOKUP(CustomerCombinedCleaned[[#This Row],[ID]], Table2[ID],Table2[MC2], "Not Found", 0 )</f>
        <v>0</v>
      </c>
      <c r="AA2114" s="16">
        <f>_xlfn.XLOOKUP(CustomerCombinedCleaned[[#This Row],[ID]], Table2[ID],Table2[MC3], "Not Found", 0 )</f>
        <v>0</v>
      </c>
      <c r="AB2114" s="16">
        <f>_xlfn.XLOOKUP(CustomerCombinedCleaned[[#This Row],[ID]], Table2[ID],Table2[MC4], "Not Found", 0 )</f>
        <v>0</v>
      </c>
      <c r="AC2114" s="16">
        <f>_xlfn.XLOOKUP(CustomerCombinedCleaned[[#This Row],[ID]], Table2[ID],Table2[MC5], "Not Found", 0 )</f>
        <v>0</v>
      </c>
    </row>
    <row r="2115" spans="1:29" x14ac:dyDescent="0.3">
      <c r="A2115" s="18">
        <v>1773</v>
      </c>
      <c r="B2115" s="16">
        <v>116813</v>
      </c>
      <c r="C2115" s="16">
        <v>0</v>
      </c>
      <c r="D2115" s="16">
        <v>0</v>
      </c>
      <c r="E2115" s="16">
        <v>70</v>
      </c>
      <c r="F2115" s="17" t="s">
        <v>7</v>
      </c>
      <c r="G2115" s="17" t="s">
        <v>11</v>
      </c>
      <c r="H2115" s="3" t="s">
        <v>217</v>
      </c>
      <c r="I2115" s="5" t="s">
        <v>435</v>
      </c>
      <c r="J2115" s="16">
        <f>_xlfn.XLOOKUP(CustomerCombinedCleaned[[#This Row],[ID]], Table4[ID], Table4[Recency], "Not Found", 0)</f>
        <v>49</v>
      </c>
      <c r="K2115" s="16">
        <f>_xlfn.XLOOKUP(CustomerCombinedCleaned[[#This Row],[ID]], Table4[ID], Table4[Teas], "Not Found", 0)</f>
        <v>28</v>
      </c>
      <c r="L2115" s="16">
        <f>_xlfn.XLOOKUP(CustomerCombinedCleaned[[#This Row],[ID]], Table4[ID], Table4[Fruits], "Not Found", 0)</f>
        <v>56</v>
      </c>
      <c r="M2115" s="16">
        <f>_xlfn.XLOOKUP(CustomerCombinedCleaned[[#This Row],[ID]], Table4[ID], Table4[Meats], "Not Found", 0)</f>
        <v>76</v>
      </c>
      <c r="N2115" s="16">
        <f>_xlfn.XLOOKUP(CustomerCombinedCleaned[[#This Row],[ID]], Table4[ID], Table4[Seafood], "Not Found", 0)</f>
        <v>83</v>
      </c>
      <c r="O2115" s="16">
        <f>_xlfn.XLOOKUP(CustomerCombinedCleaned[[#This Row],[ID]], Table4[ID], Table4[Sweets], "Not Found", 0)</f>
        <v>14</v>
      </c>
      <c r="P2115" s="16">
        <f>_xlfn.XLOOKUP(CustomerCombinedCleaned[[#This Row],[ID]], Table4[ID], Table4[Premium], "Not Found", 0)</f>
        <v>90</v>
      </c>
      <c r="Q2115" s="16">
        <f>_xlfn.XLOOKUP(CustomerCombinedCleaned[[#This Row],[ID]], Table4[ID], Table4[Regular], "Not Found", 0)</f>
        <v>167</v>
      </c>
      <c r="R2115" s="16">
        <f>_xlfn.XLOOKUP(CustomerCombinedCleaned[[#This Row],[ID]], Table4[ID], Table4[Deals], "Not Found", 0)</f>
        <v>1</v>
      </c>
      <c r="S2115" s="16">
        <f>_xlfn.XLOOKUP(CustomerCombinedCleaned[[#This Row],[ID]], Table4[ID], Table4[Website], "Not Found", 0)</f>
        <v>2</v>
      </c>
      <c r="T2115" s="16">
        <f>_xlfn.XLOOKUP(CustomerCombinedCleaned[[#This Row],[ID]], Table4[ID], Table4[Catalog], "Not Found", 0)</f>
        <v>0</v>
      </c>
      <c r="U2115" s="16">
        <f>_xlfn.XLOOKUP(CustomerCombinedCleaned[[#This Row],[ID]], Table4[ID], Table4[Store], "Not Found", 0)</f>
        <v>3</v>
      </c>
      <c r="V2115" s="16">
        <f>_xlfn.XLOOKUP(CustomerCombinedCleaned[[#This Row],[ID]], Table4[ID], Table4[Visits], "Not Found", 0)</f>
        <v>7</v>
      </c>
      <c r="W2115" s="16">
        <f>_xlfn.XLOOKUP(CustomerCombinedCleaned[[#This Row],[ID]], Table2[ID],Table2[Complaint], "Not Found", 0 )</f>
        <v>0</v>
      </c>
      <c r="X2115" s="16">
        <f>_xlfn.XLOOKUP(CustomerCombinedCleaned[[#This Row],[ID]], Table2[ID],Table2[Pilot], "Not Found", 0 )</f>
        <v>0</v>
      </c>
      <c r="Y2115" s="16">
        <f>_xlfn.XLOOKUP(CustomerCombinedCleaned[[#This Row],[ID]], Table2[ID],Table2[MC1], "Not Found", 0 )</f>
        <v>0</v>
      </c>
      <c r="Z2115" s="16">
        <f>_xlfn.XLOOKUP(CustomerCombinedCleaned[[#This Row],[ID]], Table2[ID],Table2[MC2], "Not Found", 0 )</f>
        <v>0</v>
      </c>
      <c r="AA2115" s="16">
        <f>_xlfn.XLOOKUP(CustomerCombinedCleaned[[#This Row],[ID]], Table2[ID],Table2[MC3], "Not Found", 0 )</f>
        <v>1</v>
      </c>
      <c r="AB2115" s="16">
        <f>_xlfn.XLOOKUP(CustomerCombinedCleaned[[#This Row],[ID]], Table2[ID],Table2[MC4], "Not Found", 0 )</f>
        <v>0</v>
      </c>
      <c r="AC2115" s="16">
        <f>_xlfn.XLOOKUP(CustomerCombinedCleaned[[#This Row],[ID]], Table2[ID],Table2[MC5], "Not Found", 0 )</f>
        <v>0</v>
      </c>
    </row>
    <row r="2116" spans="1:29" x14ac:dyDescent="0.3">
      <c r="A2116" s="18">
        <v>1010</v>
      </c>
      <c r="B2116" s="16">
        <v>105648</v>
      </c>
      <c r="C2116" s="16">
        <v>1</v>
      </c>
      <c r="D2116" s="16">
        <v>1</v>
      </c>
      <c r="E2116" s="16">
        <v>70</v>
      </c>
      <c r="F2116" s="17" t="s">
        <v>8</v>
      </c>
      <c r="G2116" s="17" t="s">
        <v>13</v>
      </c>
      <c r="H2116" s="3" t="s">
        <v>86</v>
      </c>
      <c r="I2116" s="5" t="s">
        <v>438</v>
      </c>
      <c r="J2116" s="16">
        <f>_xlfn.XLOOKUP(CustomerCombinedCleaned[[#This Row],[ID]], Table4[ID], Table4[Recency], "Not Found", 0)</f>
        <v>68</v>
      </c>
      <c r="K2116" s="16">
        <f>_xlfn.XLOOKUP(CustomerCombinedCleaned[[#This Row],[ID]], Table4[ID], Table4[Teas], "Not Found", 0)</f>
        <v>524</v>
      </c>
      <c r="L2116" s="16">
        <f>_xlfn.XLOOKUP(CustomerCombinedCleaned[[#This Row],[ID]], Table4[ID], Table4[Fruits], "Not Found", 0)</f>
        <v>0</v>
      </c>
      <c r="M2116" s="16">
        <f>_xlfn.XLOOKUP(CustomerCombinedCleaned[[#This Row],[ID]], Table4[ID], Table4[Meats], "Not Found", 0)</f>
        <v>112</v>
      </c>
      <c r="N2116" s="16">
        <f>_xlfn.XLOOKUP(CustomerCombinedCleaned[[#This Row],[ID]], Table4[ID], Table4[Seafood], "Not Found", 0)</f>
        <v>19</v>
      </c>
      <c r="O2116" s="16">
        <f>_xlfn.XLOOKUP(CustomerCombinedCleaned[[#This Row],[ID]], Table4[ID], Table4[Sweets], "Not Found", 0)</f>
        <v>19</v>
      </c>
      <c r="P2116" s="16">
        <f>_xlfn.XLOOKUP(CustomerCombinedCleaned[[#This Row],[ID]], Table4[ID], Table4[Premium], "Not Found", 0)</f>
        <v>243</v>
      </c>
      <c r="Q2116" s="16">
        <f>_xlfn.XLOOKUP(CustomerCombinedCleaned[[#This Row],[ID]], Table4[ID], Table4[Regular], "Not Found", 0)</f>
        <v>430</v>
      </c>
      <c r="R2116" s="16">
        <f>_xlfn.XLOOKUP(CustomerCombinedCleaned[[#This Row],[ID]], Table4[ID], Table4[Deals], "Not Found", 0)</f>
        <v>1</v>
      </c>
      <c r="S2116" s="16">
        <f>_xlfn.XLOOKUP(CustomerCombinedCleaned[[#This Row],[ID]], Table4[ID], Table4[Website], "Not Found", 0)</f>
        <v>1</v>
      </c>
      <c r="T2116" s="16">
        <f>_xlfn.XLOOKUP(CustomerCombinedCleaned[[#This Row],[ID]], Table4[ID], Table4[Catalog], "Not Found", 0)</f>
        <v>0</v>
      </c>
      <c r="U2116" s="16">
        <f>_xlfn.XLOOKUP(CustomerCombinedCleaned[[#This Row],[ID]], Table4[ID], Table4[Store], "Not Found", 0)</f>
        <v>0</v>
      </c>
      <c r="V2116" s="16">
        <f>_xlfn.XLOOKUP(CustomerCombinedCleaned[[#This Row],[ID]], Table4[ID], Table4[Visits], "Not Found", 0)</f>
        <v>20</v>
      </c>
      <c r="W2116" s="16">
        <f>_xlfn.XLOOKUP(CustomerCombinedCleaned[[#This Row],[ID]], Table2[ID],Table2[Complaint], "Not Found", 0 )</f>
        <v>0</v>
      </c>
      <c r="X2116" s="16">
        <f>_xlfn.XLOOKUP(CustomerCombinedCleaned[[#This Row],[ID]], Table2[ID],Table2[Pilot], "Not Found", 0 )</f>
        <v>0</v>
      </c>
      <c r="Y2116" s="16">
        <f>_xlfn.XLOOKUP(CustomerCombinedCleaned[[#This Row],[ID]], Table2[ID],Table2[MC1], "Not Found", 0 )</f>
        <v>0</v>
      </c>
      <c r="Z2116" s="16">
        <f>_xlfn.XLOOKUP(CustomerCombinedCleaned[[#This Row],[ID]], Table2[ID],Table2[MC2], "Not Found", 0 )</f>
        <v>0</v>
      </c>
      <c r="AA2116" s="16">
        <f>_xlfn.XLOOKUP(CustomerCombinedCleaned[[#This Row],[ID]], Table2[ID],Table2[MC3], "Not Found", 0 )</f>
        <v>1</v>
      </c>
      <c r="AB2116" s="16">
        <f>_xlfn.XLOOKUP(CustomerCombinedCleaned[[#This Row],[ID]], Table2[ID],Table2[MC4], "Not Found", 0 )</f>
        <v>0</v>
      </c>
      <c r="AC2116" s="16">
        <f>_xlfn.XLOOKUP(CustomerCombinedCleaned[[#This Row],[ID]], Table2[ID],Table2[MC5], "Not Found", 0 )</f>
        <v>0</v>
      </c>
    </row>
    <row r="2117" spans="1:29" x14ac:dyDescent="0.3">
      <c r="A2117" s="18">
        <v>1538</v>
      </c>
      <c r="B2117" s="16">
        <v>181698</v>
      </c>
      <c r="C2117" s="16">
        <v>0</v>
      </c>
      <c r="D2117" s="16">
        <v>0</v>
      </c>
      <c r="E2117" s="16">
        <v>71</v>
      </c>
      <c r="F2117" s="17" t="s">
        <v>6</v>
      </c>
      <c r="G2117" s="17" t="s">
        <v>12</v>
      </c>
      <c r="H2117" s="3" t="s">
        <v>594</v>
      </c>
      <c r="I2117" s="5" t="s">
        <v>438</v>
      </c>
      <c r="J2117" s="16">
        <f>_xlfn.XLOOKUP(CustomerCombinedCleaned[[#This Row],[ID]], Table4[ID], Table4[Recency], "Not Found", 0)</f>
        <v>4</v>
      </c>
      <c r="K2117" s="16">
        <f>_xlfn.XLOOKUP(CustomerCombinedCleaned[[#This Row],[ID]], Table4[ID], Table4[Teas], "Not Found", 0)</f>
        <v>398</v>
      </c>
      <c r="L2117" s="16">
        <f>_xlfn.XLOOKUP(CustomerCombinedCleaned[[#This Row],[ID]], Table4[ID], Table4[Fruits], "Not Found", 0)</f>
        <v>62</v>
      </c>
      <c r="M2117" s="16">
        <f>_xlfn.XLOOKUP(CustomerCombinedCleaned[[#This Row],[ID]], Table4[ID], Table4[Meats], "Not Found", 0)</f>
        <v>1156</v>
      </c>
      <c r="N2117" s="16">
        <f>_xlfn.XLOOKUP(CustomerCombinedCleaned[[#This Row],[ID]], Table4[ID], Table4[Seafood], "Not Found", 0)</f>
        <v>247</v>
      </c>
      <c r="O2117" s="16">
        <f>_xlfn.XLOOKUP(CustomerCombinedCleaned[[#This Row],[ID]], Table4[ID], Table4[Sweets], "Not Found", 0)</f>
        <v>274</v>
      </c>
      <c r="P2117" s="16">
        <f>_xlfn.XLOOKUP(CustomerCombinedCleaned[[#This Row],[ID]], Table4[ID], Table4[Premium], "Not Found", 0)</f>
        <v>105</v>
      </c>
      <c r="Q2117" s="16">
        <f>_xlfn.XLOOKUP(CustomerCombinedCleaned[[#This Row],[ID]], Table4[ID], Table4[Regular], "Not Found", 0)</f>
        <v>2033</v>
      </c>
      <c r="R2117" s="16">
        <f>_xlfn.XLOOKUP(CustomerCombinedCleaned[[#This Row],[ID]], Table4[ID], Table4[Deals], "Not Found", 0)</f>
        <v>1</v>
      </c>
      <c r="S2117" s="16">
        <f>_xlfn.XLOOKUP(CustomerCombinedCleaned[[#This Row],[ID]], Table4[ID], Table4[Website], "Not Found", 0)</f>
        <v>3</v>
      </c>
      <c r="T2117" s="16">
        <f>_xlfn.XLOOKUP(CustomerCombinedCleaned[[#This Row],[ID]], Table4[ID], Table4[Catalog], "Not Found", 0)</f>
        <v>8</v>
      </c>
      <c r="U2117" s="16">
        <f>_xlfn.XLOOKUP(CustomerCombinedCleaned[[#This Row],[ID]], Table4[ID], Table4[Store], "Not Found", 0)</f>
        <v>13</v>
      </c>
      <c r="V2117" s="16">
        <f>_xlfn.XLOOKUP(CustomerCombinedCleaned[[#This Row],[ID]], Table4[ID], Table4[Visits], "Not Found", 0)</f>
        <v>1</v>
      </c>
      <c r="W2117" s="16">
        <f>_xlfn.XLOOKUP(CustomerCombinedCleaned[[#This Row],[ID]], Table2[ID],Table2[Complaint], "Not Found", 0 )</f>
        <v>0</v>
      </c>
      <c r="X2117" s="16">
        <f>_xlfn.XLOOKUP(CustomerCombinedCleaned[[#This Row],[ID]], Table2[ID],Table2[Pilot], "Not Found", 0 )</f>
        <v>1</v>
      </c>
      <c r="Y2117" s="16">
        <f>_xlfn.XLOOKUP(CustomerCombinedCleaned[[#This Row],[ID]], Table2[ID],Table2[MC1], "Not Found", 0 )</f>
        <v>0</v>
      </c>
      <c r="Z2117" s="16">
        <f>_xlfn.XLOOKUP(CustomerCombinedCleaned[[#This Row],[ID]], Table2[ID],Table2[MC2], "Not Found", 0 )</f>
        <v>0</v>
      </c>
      <c r="AA2117" s="16">
        <f>_xlfn.XLOOKUP(CustomerCombinedCleaned[[#This Row],[ID]], Table2[ID],Table2[MC3], "Not Found", 0 )</f>
        <v>0</v>
      </c>
      <c r="AB2117" s="16">
        <f>_xlfn.XLOOKUP(CustomerCombinedCleaned[[#This Row],[ID]], Table2[ID],Table2[MC4], "Not Found", 0 )</f>
        <v>0</v>
      </c>
      <c r="AC2117" s="16">
        <f>_xlfn.XLOOKUP(CustomerCombinedCleaned[[#This Row],[ID]], Table2[ID],Table2[MC5], "Not Found", 0 )</f>
        <v>0</v>
      </c>
    </row>
    <row r="2118" spans="1:29" x14ac:dyDescent="0.3">
      <c r="A2118" s="18">
        <v>2724</v>
      </c>
      <c r="B2118" s="16">
        <v>180360</v>
      </c>
      <c r="C2118" s="16">
        <v>0</v>
      </c>
      <c r="D2118" s="16">
        <v>0</v>
      </c>
      <c r="E2118" s="16">
        <v>71</v>
      </c>
      <c r="F2118" s="17" t="s">
        <v>6</v>
      </c>
      <c r="G2118" s="17" t="s">
        <v>13</v>
      </c>
      <c r="H2118" s="3" t="s">
        <v>577</v>
      </c>
      <c r="I2118" s="5" t="s">
        <v>436</v>
      </c>
      <c r="J2118" s="16">
        <f>_xlfn.XLOOKUP(CustomerCombinedCleaned[[#This Row],[ID]], Table4[ID], Table4[Recency], "Not Found", 0)</f>
        <v>56</v>
      </c>
      <c r="K2118" s="16">
        <f>_xlfn.XLOOKUP(CustomerCombinedCleaned[[#This Row],[ID]], Table4[ID], Table4[Teas], "Not Found", 0)</f>
        <v>3351</v>
      </c>
      <c r="L2118" s="16">
        <f>_xlfn.XLOOKUP(CustomerCombinedCleaned[[#This Row],[ID]], Table4[ID], Table4[Fruits], "Not Found", 0)</f>
        <v>193</v>
      </c>
      <c r="M2118" s="16">
        <f>_xlfn.XLOOKUP(CustomerCombinedCleaned[[#This Row],[ID]], Table4[ID], Table4[Meats], "Not Found", 0)</f>
        <v>1019</v>
      </c>
      <c r="N2118" s="16">
        <f>_xlfn.XLOOKUP(CustomerCombinedCleaned[[#This Row],[ID]], Table4[ID], Table4[Seafood], "Not Found", 0)</f>
        <v>251</v>
      </c>
      <c r="O2118" s="16">
        <f>_xlfn.XLOOKUP(CustomerCombinedCleaned[[#This Row],[ID]], Table4[ID], Table4[Sweets], "Not Found", 0)</f>
        <v>97</v>
      </c>
      <c r="P2118" s="16">
        <f>_xlfn.XLOOKUP(CustomerCombinedCleaned[[#This Row],[ID]], Table4[ID], Table4[Premium], "Not Found", 0)</f>
        <v>97</v>
      </c>
      <c r="Q2118" s="16">
        <f>_xlfn.XLOOKUP(CustomerCombinedCleaned[[#This Row],[ID]], Table4[ID], Table4[Regular], "Not Found", 0)</f>
        <v>4814</v>
      </c>
      <c r="R2118" s="16">
        <f>_xlfn.XLOOKUP(CustomerCombinedCleaned[[#This Row],[ID]], Table4[ID], Table4[Deals], "Not Found", 0)</f>
        <v>2</v>
      </c>
      <c r="S2118" s="16">
        <f>_xlfn.XLOOKUP(CustomerCombinedCleaned[[#This Row],[ID]], Table4[ID], Table4[Website], "Not Found", 0)</f>
        <v>4</v>
      </c>
      <c r="T2118" s="16">
        <f>_xlfn.XLOOKUP(CustomerCombinedCleaned[[#This Row],[ID]], Table4[ID], Table4[Catalog], "Not Found", 0)</f>
        <v>4</v>
      </c>
      <c r="U2118" s="16">
        <f>_xlfn.XLOOKUP(CustomerCombinedCleaned[[#This Row],[ID]], Table4[ID], Table4[Store], "Not Found", 0)</f>
        <v>5</v>
      </c>
      <c r="V2118" s="16">
        <f>_xlfn.XLOOKUP(CustomerCombinedCleaned[[#This Row],[ID]], Table4[ID], Table4[Visits], "Not Found", 0)</f>
        <v>2</v>
      </c>
      <c r="W2118" s="16">
        <f>_xlfn.XLOOKUP(CustomerCombinedCleaned[[#This Row],[ID]], Table2[ID],Table2[Complaint], "Not Found", 0 )</f>
        <v>0</v>
      </c>
      <c r="X2118" s="16">
        <f>_xlfn.XLOOKUP(CustomerCombinedCleaned[[#This Row],[ID]], Table2[ID],Table2[Pilot], "Not Found", 0 )</f>
        <v>0</v>
      </c>
      <c r="Y2118" s="16">
        <f>_xlfn.XLOOKUP(CustomerCombinedCleaned[[#This Row],[ID]], Table2[ID],Table2[MC1], "Not Found", 0 )</f>
        <v>1</v>
      </c>
      <c r="Z2118" s="16">
        <f>_xlfn.XLOOKUP(CustomerCombinedCleaned[[#This Row],[ID]], Table2[ID],Table2[MC2], "Not Found", 0 )</f>
        <v>0</v>
      </c>
      <c r="AA2118" s="16">
        <f>_xlfn.XLOOKUP(CustomerCombinedCleaned[[#This Row],[ID]], Table2[ID],Table2[MC3], "Not Found", 0 )</f>
        <v>0</v>
      </c>
      <c r="AB2118" s="16">
        <f>_xlfn.XLOOKUP(CustomerCombinedCleaned[[#This Row],[ID]], Table2[ID],Table2[MC4], "Not Found", 0 )</f>
        <v>1</v>
      </c>
      <c r="AC2118" s="16">
        <f>_xlfn.XLOOKUP(CustomerCombinedCleaned[[#This Row],[ID]], Table2[ID],Table2[MC5], "Not Found", 0 )</f>
        <v>1</v>
      </c>
    </row>
    <row r="2119" spans="1:29" x14ac:dyDescent="0.3">
      <c r="A2119" s="18">
        <v>1018</v>
      </c>
      <c r="B2119" s="16">
        <v>176995</v>
      </c>
      <c r="C2119" s="16">
        <v>0</v>
      </c>
      <c r="D2119" s="16">
        <v>1</v>
      </c>
      <c r="E2119" s="16">
        <v>71</v>
      </c>
      <c r="F2119" s="17" t="s">
        <v>6</v>
      </c>
      <c r="G2119" s="17" t="s">
        <v>12</v>
      </c>
      <c r="H2119" s="3" t="s">
        <v>602</v>
      </c>
      <c r="I2119" s="5" t="s">
        <v>439</v>
      </c>
      <c r="J2119" s="16">
        <f>_xlfn.XLOOKUP(CustomerCombinedCleaned[[#This Row],[ID]], Table4[ID], Table4[Recency], "Not Found", 0)</f>
        <v>91</v>
      </c>
      <c r="K2119" s="16">
        <f>_xlfn.XLOOKUP(CustomerCombinedCleaned[[#This Row],[ID]], Table4[ID], Table4[Teas], "Not Found", 0)</f>
        <v>2326</v>
      </c>
      <c r="L2119" s="16">
        <f>_xlfn.XLOOKUP(CustomerCombinedCleaned[[#This Row],[ID]], Table4[ID], Table4[Fruits], "Not Found", 0)</f>
        <v>184</v>
      </c>
      <c r="M2119" s="16">
        <f>_xlfn.XLOOKUP(CustomerCombinedCleaned[[#This Row],[ID]], Table4[ID], Table4[Meats], "Not Found", 0)</f>
        <v>1145</v>
      </c>
      <c r="N2119" s="16">
        <f>_xlfn.XLOOKUP(CustomerCombinedCleaned[[#This Row],[ID]], Table4[ID], Table4[Seafood], "Not Found", 0)</f>
        <v>0</v>
      </c>
      <c r="O2119" s="16">
        <f>_xlfn.XLOOKUP(CustomerCombinedCleaned[[#This Row],[ID]], Table4[ID], Table4[Sweets], "Not Found", 0)</f>
        <v>37</v>
      </c>
      <c r="P2119" s="16">
        <f>_xlfn.XLOOKUP(CustomerCombinedCleaned[[#This Row],[ID]], Table4[ID], Table4[Premium], "Not Found", 0)</f>
        <v>405</v>
      </c>
      <c r="Q2119" s="16">
        <f>_xlfn.XLOOKUP(CustomerCombinedCleaned[[#This Row],[ID]], Table4[ID], Table4[Regular], "Not Found", 0)</f>
        <v>3287</v>
      </c>
      <c r="R2119" s="16">
        <f>_xlfn.XLOOKUP(CustomerCombinedCleaned[[#This Row],[ID]], Table4[ID], Table4[Deals], "Not Found", 0)</f>
        <v>2</v>
      </c>
      <c r="S2119" s="16">
        <f>_xlfn.XLOOKUP(CustomerCombinedCleaned[[#This Row],[ID]], Table4[ID], Table4[Website], "Not Found", 0)</f>
        <v>11</v>
      </c>
      <c r="T2119" s="16">
        <f>_xlfn.XLOOKUP(CustomerCombinedCleaned[[#This Row],[ID]], Table4[ID], Table4[Catalog], "Not Found", 0)</f>
        <v>4</v>
      </c>
      <c r="U2119" s="16">
        <f>_xlfn.XLOOKUP(CustomerCombinedCleaned[[#This Row],[ID]], Table4[ID], Table4[Store], "Not Found", 0)</f>
        <v>9</v>
      </c>
      <c r="V2119" s="16">
        <f>_xlfn.XLOOKUP(CustomerCombinedCleaned[[#This Row],[ID]], Table4[ID], Table4[Visits], "Not Found", 0)</f>
        <v>5</v>
      </c>
      <c r="W2119" s="16">
        <f>_xlfn.XLOOKUP(CustomerCombinedCleaned[[#This Row],[ID]], Table2[ID],Table2[Complaint], "Not Found", 0 )</f>
        <v>0</v>
      </c>
      <c r="X2119" s="16">
        <f>_xlfn.XLOOKUP(CustomerCombinedCleaned[[#This Row],[ID]], Table2[ID],Table2[Pilot], "Not Found", 0 )</f>
        <v>0</v>
      </c>
      <c r="Y2119" s="16">
        <f>_xlfn.XLOOKUP(CustomerCombinedCleaned[[#This Row],[ID]], Table2[ID],Table2[MC1], "Not Found", 0 )</f>
        <v>1</v>
      </c>
      <c r="Z2119" s="16">
        <f>_xlfn.XLOOKUP(CustomerCombinedCleaned[[#This Row],[ID]], Table2[ID],Table2[MC2], "Not Found", 0 )</f>
        <v>0</v>
      </c>
      <c r="AA2119" s="16">
        <f>_xlfn.XLOOKUP(CustomerCombinedCleaned[[#This Row],[ID]], Table2[ID],Table2[MC3], "Not Found", 0 )</f>
        <v>0</v>
      </c>
      <c r="AB2119" s="16">
        <f>_xlfn.XLOOKUP(CustomerCombinedCleaned[[#This Row],[ID]], Table2[ID],Table2[MC4], "Not Found", 0 )</f>
        <v>0</v>
      </c>
      <c r="AC2119" s="16">
        <f>_xlfn.XLOOKUP(CustomerCombinedCleaned[[#This Row],[ID]], Table2[ID],Table2[MC5], "Not Found", 0 )</f>
        <v>0</v>
      </c>
    </row>
    <row r="2120" spans="1:29" x14ac:dyDescent="0.3">
      <c r="A2120" s="18">
        <v>3131</v>
      </c>
      <c r="B2120" s="16">
        <v>174859</v>
      </c>
      <c r="C2120" s="16">
        <v>0</v>
      </c>
      <c r="D2120" s="16">
        <v>0</v>
      </c>
      <c r="E2120" s="16">
        <v>71</v>
      </c>
      <c r="F2120" s="17" t="s">
        <v>9</v>
      </c>
      <c r="G2120" s="17" t="s">
        <v>11</v>
      </c>
      <c r="H2120" s="3" t="s">
        <v>560</v>
      </c>
      <c r="I2120" s="5" t="s">
        <v>434</v>
      </c>
      <c r="J2120" s="16">
        <f>_xlfn.XLOOKUP(CustomerCombinedCleaned[[#This Row],[ID]], Table4[ID], Table4[Recency], "Not Found", 0)</f>
        <v>63</v>
      </c>
      <c r="K2120" s="16">
        <f>_xlfn.XLOOKUP(CustomerCombinedCleaned[[#This Row],[ID]], Table4[ID], Table4[Teas], "Not Found", 0)</f>
        <v>1331</v>
      </c>
      <c r="L2120" s="16">
        <f>_xlfn.XLOOKUP(CustomerCombinedCleaned[[#This Row],[ID]], Table4[ID], Table4[Fruits], "Not Found", 0)</f>
        <v>171</v>
      </c>
      <c r="M2120" s="16">
        <f>_xlfn.XLOOKUP(CustomerCombinedCleaned[[#This Row],[ID]], Table4[ID], Table4[Meats], "Not Found", 0)</f>
        <v>1434</v>
      </c>
      <c r="N2120" s="16">
        <f>_xlfn.XLOOKUP(CustomerCombinedCleaned[[#This Row],[ID]], Table4[ID], Table4[Seafood], "Not Found", 0)</f>
        <v>311</v>
      </c>
      <c r="O2120" s="16">
        <f>_xlfn.XLOOKUP(CustomerCombinedCleaned[[#This Row],[ID]], Table4[ID], Table4[Sweets], "Not Found", 0)</f>
        <v>238</v>
      </c>
      <c r="P2120" s="16">
        <f>_xlfn.XLOOKUP(CustomerCombinedCleaned[[#This Row],[ID]], Table4[ID], Table4[Premium], "Not Found", 0)</f>
        <v>171</v>
      </c>
      <c r="Q2120" s="16">
        <f>_xlfn.XLOOKUP(CustomerCombinedCleaned[[#This Row],[ID]], Table4[ID], Table4[Regular], "Not Found", 0)</f>
        <v>3315</v>
      </c>
      <c r="R2120" s="16">
        <f>_xlfn.XLOOKUP(CustomerCombinedCleaned[[#This Row],[ID]], Table4[ID], Table4[Deals], "Not Found", 0)</f>
        <v>1</v>
      </c>
      <c r="S2120" s="16">
        <f>_xlfn.XLOOKUP(CustomerCombinedCleaned[[#This Row],[ID]], Table4[ID], Table4[Website], "Not Found", 0)</f>
        <v>6</v>
      </c>
      <c r="T2120" s="16">
        <f>_xlfn.XLOOKUP(CustomerCombinedCleaned[[#This Row],[ID]], Table4[ID], Table4[Catalog], "Not Found", 0)</f>
        <v>5</v>
      </c>
      <c r="U2120" s="16">
        <f>_xlfn.XLOOKUP(CustomerCombinedCleaned[[#This Row],[ID]], Table4[ID], Table4[Store], "Not Found", 0)</f>
        <v>11</v>
      </c>
      <c r="V2120" s="16">
        <f>_xlfn.XLOOKUP(CustomerCombinedCleaned[[#This Row],[ID]], Table4[ID], Table4[Visits], "Not Found", 0)</f>
        <v>3</v>
      </c>
      <c r="W2120" s="16">
        <f>_xlfn.XLOOKUP(CustomerCombinedCleaned[[#This Row],[ID]], Table2[ID],Table2[Complaint], "Not Found", 0 )</f>
        <v>0</v>
      </c>
      <c r="X2120" s="16">
        <f>_xlfn.XLOOKUP(CustomerCombinedCleaned[[#This Row],[ID]], Table2[ID],Table2[Pilot], "Not Found", 0 )</f>
        <v>0</v>
      </c>
      <c r="Y2120" s="16">
        <f>_xlfn.XLOOKUP(CustomerCombinedCleaned[[#This Row],[ID]], Table2[ID],Table2[MC1], "Not Found", 0 )</f>
        <v>1</v>
      </c>
      <c r="Z2120" s="16">
        <f>_xlfn.XLOOKUP(CustomerCombinedCleaned[[#This Row],[ID]], Table2[ID],Table2[MC2], "Not Found", 0 )</f>
        <v>0</v>
      </c>
      <c r="AA2120" s="16">
        <f>_xlfn.XLOOKUP(CustomerCombinedCleaned[[#This Row],[ID]], Table2[ID],Table2[MC3], "Not Found", 0 )</f>
        <v>0</v>
      </c>
      <c r="AB2120" s="16">
        <f>_xlfn.XLOOKUP(CustomerCombinedCleaned[[#This Row],[ID]], Table2[ID],Table2[MC4], "Not Found", 0 )</f>
        <v>0</v>
      </c>
      <c r="AC2120" s="16">
        <f>_xlfn.XLOOKUP(CustomerCombinedCleaned[[#This Row],[ID]], Table2[ID],Table2[MC5], "Not Found", 0 )</f>
        <v>0</v>
      </c>
    </row>
    <row r="2121" spans="1:29" x14ac:dyDescent="0.3">
      <c r="A2121" s="18">
        <v>2943</v>
      </c>
      <c r="B2121" s="16">
        <v>172643</v>
      </c>
      <c r="C2121" s="16">
        <v>0</v>
      </c>
      <c r="D2121" s="16">
        <v>0</v>
      </c>
      <c r="E2121" s="16">
        <v>71</v>
      </c>
      <c r="F2121" s="17" t="s">
        <v>9</v>
      </c>
      <c r="G2121" s="17" t="s">
        <v>11</v>
      </c>
      <c r="H2121" s="3" t="s">
        <v>562</v>
      </c>
      <c r="I2121" s="5" t="s">
        <v>435</v>
      </c>
      <c r="J2121" s="16">
        <f>_xlfn.XLOOKUP(CustomerCombinedCleaned[[#This Row],[ID]], Table4[ID], Table4[Recency], "Not Found", 0)</f>
        <v>60</v>
      </c>
      <c r="K2121" s="16">
        <f>_xlfn.XLOOKUP(CustomerCombinedCleaned[[#This Row],[ID]], Table4[ID], Table4[Teas], "Not Found", 0)</f>
        <v>1250</v>
      </c>
      <c r="L2121" s="16">
        <f>_xlfn.XLOOKUP(CustomerCombinedCleaned[[#This Row],[ID]], Table4[ID], Table4[Fruits], "Not Found", 0)</f>
        <v>190</v>
      </c>
      <c r="M2121" s="16">
        <f>_xlfn.XLOOKUP(CustomerCombinedCleaned[[#This Row],[ID]], Table4[ID], Table4[Meats], "Not Found", 0)</f>
        <v>1314</v>
      </c>
      <c r="N2121" s="16">
        <f>_xlfn.XLOOKUP(CustomerCombinedCleaned[[#This Row],[ID]], Table4[ID], Table4[Seafood], "Not Found", 0)</f>
        <v>292</v>
      </c>
      <c r="O2121" s="16">
        <f>_xlfn.XLOOKUP(CustomerCombinedCleaned[[#This Row],[ID]], Table4[ID], Table4[Sweets], "Not Found", 0)</f>
        <v>223</v>
      </c>
      <c r="P2121" s="16">
        <f>_xlfn.XLOOKUP(CustomerCombinedCleaned[[#This Row],[ID]], Table4[ID], Table4[Premium], "Not Found", 0)</f>
        <v>126</v>
      </c>
      <c r="Q2121" s="16">
        <f>_xlfn.XLOOKUP(CustomerCombinedCleaned[[#This Row],[ID]], Table4[ID], Table4[Regular], "Not Found", 0)</f>
        <v>3144</v>
      </c>
      <c r="R2121" s="16">
        <f>_xlfn.XLOOKUP(CustomerCombinedCleaned[[#This Row],[ID]], Table4[ID], Table4[Deals], "Not Found", 0)</f>
        <v>1</v>
      </c>
      <c r="S2121" s="16">
        <f>_xlfn.XLOOKUP(CustomerCombinedCleaned[[#This Row],[ID]], Table4[ID], Table4[Website], "Not Found", 0)</f>
        <v>3</v>
      </c>
      <c r="T2121" s="16">
        <f>_xlfn.XLOOKUP(CustomerCombinedCleaned[[#This Row],[ID]], Table4[ID], Table4[Catalog], "Not Found", 0)</f>
        <v>10</v>
      </c>
      <c r="U2121" s="16">
        <f>_xlfn.XLOOKUP(CustomerCombinedCleaned[[#This Row],[ID]], Table4[ID], Table4[Store], "Not Found", 0)</f>
        <v>7</v>
      </c>
      <c r="V2121" s="16">
        <f>_xlfn.XLOOKUP(CustomerCombinedCleaned[[#This Row],[ID]], Table4[ID], Table4[Visits], "Not Found", 0)</f>
        <v>2</v>
      </c>
      <c r="W2121" s="16">
        <f>_xlfn.XLOOKUP(CustomerCombinedCleaned[[#This Row],[ID]], Table2[ID],Table2[Complaint], "Not Found", 0 )</f>
        <v>0</v>
      </c>
      <c r="X2121" s="16">
        <f>_xlfn.XLOOKUP(CustomerCombinedCleaned[[#This Row],[ID]], Table2[ID],Table2[Pilot], "Not Found", 0 )</f>
        <v>1</v>
      </c>
      <c r="Y2121" s="16">
        <f>_xlfn.XLOOKUP(CustomerCombinedCleaned[[#This Row],[ID]], Table2[ID],Table2[MC1], "Not Found", 0 )</f>
        <v>1</v>
      </c>
      <c r="Z2121" s="16">
        <f>_xlfn.XLOOKUP(CustomerCombinedCleaned[[#This Row],[ID]], Table2[ID],Table2[MC2], "Not Found", 0 )</f>
        <v>0</v>
      </c>
      <c r="AA2121" s="16">
        <f>_xlfn.XLOOKUP(CustomerCombinedCleaned[[#This Row],[ID]], Table2[ID],Table2[MC3], "Not Found", 0 )</f>
        <v>0</v>
      </c>
      <c r="AB2121" s="16">
        <f>_xlfn.XLOOKUP(CustomerCombinedCleaned[[#This Row],[ID]], Table2[ID],Table2[MC4], "Not Found", 0 )</f>
        <v>0</v>
      </c>
      <c r="AC2121" s="16">
        <f>_xlfn.XLOOKUP(CustomerCombinedCleaned[[#This Row],[ID]], Table2[ID],Table2[MC5], "Not Found", 0 )</f>
        <v>0</v>
      </c>
    </row>
    <row r="2122" spans="1:29" x14ac:dyDescent="0.3">
      <c r="A2122" s="18">
        <v>1605</v>
      </c>
      <c r="B2122" s="16">
        <v>172298</v>
      </c>
      <c r="C2122" s="16">
        <v>0</v>
      </c>
      <c r="D2122" s="16">
        <v>0</v>
      </c>
      <c r="E2122" s="16">
        <v>71</v>
      </c>
      <c r="F2122" s="17" t="s">
        <v>9</v>
      </c>
      <c r="G2122" s="17" t="s">
        <v>11</v>
      </c>
      <c r="H2122" s="3" t="s">
        <v>89</v>
      </c>
      <c r="I2122" s="5" t="s">
        <v>435</v>
      </c>
      <c r="J2122" s="16">
        <f>_xlfn.XLOOKUP(CustomerCombinedCleaned[[#This Row],[ID]], Table4[ID], Table4[Recency], "Not Found", 0)</f>
        <v>52</v>
      </c>
      <c r="K2122" s="16">
        <f>_xlfn.XLOOKUP(CustomerCombinedCleaned[[#This Row],[ID]], Table4[ID], Table4[Teas], "Not Found", 0)</f>
        <v>1489</v>
      </c>
      <c r="L2122" s="16">
        <f>_xlfn.XLOOKUP(CustomerCombinedCleaned[[#This Row],[ID]], Table4[ID], Table4[Fruits], "Not Found", 0)</f>
        <v>83</v>
      </c>
      <c r="M2122" s="16">
        <f>_xlfn.XLOOKUP(CustomerCombinedCleaned[[#This Row],[ID]], Table4[ID], Table4[Meats], "Not Found", 0)</f>
        <v>403</v>
      </c>
      <c r="N2122" s="16">
        <f>_xlfn.XLOOKUP(CustomerCombinedCleaned[[#This Row],[ID]], Table4[ID], Table4[Seafood], "Not Found", 0)</f>
        <v>138</v>
      </c>
      <c r="O2122" s="16">
        <f>_xlfn.XLOOKUP(CustomerCombinedCleaned[[#This Row],[ID]], Table4[ID], Table4[Sweets], "Not Found", 0)</f>
        <v>41</v>
      </c>
      <c r="P2122" s="16">
        <f>_xlfn.XLOOKUP(CustomerCombinedCleaned[[#This Row],[ID]], Table4[ID], Table4[Premium], "Not Found", 0)</f>
        <v>83</v>
      </c>
      <c r="Q2122" s="16">
        <f>_xlfn.XLOOKUP(CustomerCombinedCleaned[[#This Row],[ID]], Table4[ID], Table4[Regular], "Not Found", 0)</f>
        <v>2071</v>
      </c>
      <c r="R2122" s="16">
        <f>_xlfn.XLOOKUP(CustomerCombinedCleaned[[#This Row],[ID]], Table4[ID], Table4[Deals], "Not Found", 0)</f>
        <v>1</v>
      </c>
      <c r="S2122" s="16">
        <f>_xlfn.XLOOKUP(CustomerCombinedCleaned[[#This Row],[ID]], Table4[ID], Table4[Website], "Not Found", 0)</f>
        <v>4</v>
      </c>
      <c r="T2122" s="16">
        <f>_xlfn.XLOOKUP(CustomerCombinedCleaned[[#This Row],[ID]], Table4[ID], Table4[Catalog], "Not Found", 0)</f>
        <v>3</v>
      </c>
      <c r="U2122" s="16">
        <f>_xlfn.XLOOKUP(CustomerCombinedCleaned[[#This Row],[ID]], Table4[ID], Table4[Store], "Not Found", 0)</f>
        <v>6</v>
      </c>
      <c r="V2122" s="16">
        <f>_xlfn.XLOOKUP(CustomerCombinedCleaned[[#This Row],[ID]], Table4[ID], Table4[Visits], "Not Found", 0)</f>
        <v>1</v>
      </c>
      <c r="W2122" s="16">
        <f>_xlfn.XLOOKUP(CustomerCombinedCleaned[[#This Row],[ID]], Table2[ID],Table2[Complaint], "Not Found", 0 )</f>
        <v>0</v>
      </c>
      <c r="X2122" s="16">
        <f>_xlfn.XLOOKUP(CustomerCombinedCleaned[[#This Row],[ID]], Table2[ID],Table2[Pilot], "Not Found", 0 )</f>
        <v>0</v>
      </c>
      <c r="Y2122" s="16">
        <f>_xlfn.XLOOKUP(CustomerCombinedCleaned[[#This Row],[ID]], Table2[ID],Table2[MC1], "Not Found", 0 )</f>
        <v>0</v>
      </c>
      <c r="Z2122" s="16">
        <f>_xlfn.XLOOKUP(CustomerCombinedCleaned[[#This Row],[ID]], Table2[ID],Table2[MC2], "Not Found", 0 )</f>
        <v>0</v>
      </c>
      <c r="AA2122" s="16">
        <f>_xlfn.XLOOKUP(CustomerCombinedCleaned[[#This Row],[ID]], Table2[ID],Table2[MC3], "Not Found", 0 )</f>
        <v>0</v>
      </c>
      <c r="AB2122" s="16">
        <f>_xlfn.XLOOKUP(CustomerCombinedCleaned[[#This Row],[ID]], Table2[ID],Table2[MC4], "Not Found", 0 )</f>
        <v>1</v>
      </c>
      <c r="AC2122" s="16">
        <f>_xlfn.XLOOKUP(CustomerCombinedCleaned[[#This Row],[ID]], Table2[ID],Table2[MC5], "Not Found", 0 )</f>
        <v>1</v>
      </c>
    </row>
    <row r="2123" spans="1:29" x14ac:dyDescent="0.3">
      <c r="A2123" s="18">
        <v>1716</v>
      </c>
      <c r="B2123" s="16">
        <v>172025</v>
      </c>
      <c r="C2123" s="16">
        <v>0</v>
      </c>
      <c r="D2123" s="16">
        <v>0</v>
      </c>
      <c r="E2123" s="16">
        <v>71</v>
      </c>
      <c r="F2123" s="17" t="s">
        <v>6</v>
      </c>
      <c r="G2123" s="17" t="s">
        <v>11</v>
      </c>
      <c r="H2123" s="3" t="s">
        <v>552</v>
      </c>
      <c r="I2123" s="5" t="s">
        <v>436</v>
      </c>
      <c r="J2123" s="16">
        <f>_xlfn.XLOOKUP(CustomerCombinedCleaned[[#This Row],[ID]], Table4[ID], Table4[Recency], "Not Found", 0)</f>
        <v>46</v>
      </c>
      <c r="K2123" s="16">
        <f>_xlfn.XLOOKUP(CustomerCombinedCleaned[[#This Row],[ID]], Table4[ID], Table4[Teas], "Not Found", 0)</f>
        <v>2310</v>
      </c>
      <c r="L2123" s="16">
        <f>_xlfn.XLOOKUP(CustomerCombinedCleaned[[#This Row],[ID]], Table4[ID], Table4[Fruits], "Not Found", 0)</f>
        <v>0</v>
      </c>
      <c r="M2123" s="16">
        <f>_xlfn.XLOOKUP(CustomerCombinedCleaned[[#This Row],[ID]], Table4[ID], Table4[Meats], "Not Found", 0)</f>
        <v>1474</v>
      </c>
      <c r="N2123" s="16">
        <f>_xlfn.XLOOKUP(CustomerCombinedCleaned[[#This Row],[ID]], Table4[ID], Table4[Seafood], "Not Found", 0)</f>
        <v>103</v>
      </c>
      <c r="O2123" s="16">
        <f>_xlfn.XLOOKUP(CustomerCombinedCleaned[[#This Row],[ID]], Table4[ID], Table4[Sweets], "Not Found", 0)</f>
        <v>119</v>
      </c>
      <c r="P2123" s="16">
        <f>_xlfn.XLOOKUP(CustomerCombinedCleaned[[#This Row],[ID]], Table4[ID], Table4[Premium], "Not Found", 0)</f>
        <v>0</v>
      </c>
      <c r="Q2123" s="16">
        <f>_xlfn.XLOOKUP(CustomerCombinedCleaned[[#This Row],[ID]], Table4[ID], Table4[Regular], "Not Found", 0)</f>
        <v>4005</v>
      </c>
      <c r="R2123" s="16">
        <f>_xlfn.XLOOKUP(CustomerCombinedCleaned[[#This Row],[ID]], Table4[ID], Table4[Deals], "Not Found", 0)</f>
        <v>1</v>
      </c>
      <c r="S2123" s="16">
        <f>_xlfn.XLOOKUP(CustomerCombinedCleaned[[#This Row],[ID]], Table4[ID], Table4[Website], "Not Found", 0)</f>
        <v>4</v>
      </c>
      <c r="T2123" s="16">
        <f>_xlfn.XLOOKUP(CustomerCombinedCleaned[[#This Row],[ID]], Table4[ID], Table4[Catalog], "Not Found", 0)</f>
        <v>8</v>
      </c>
      <c r="U2123" s="16">
        <f>_xlfn.XLOOKUP(CustomerCombinedCleaned[[#This Row],[ID]], Table4[ID], Table4[Store], "Not Found", 0)</f>
        <v>13</v>
      </c>
      <c r="V2123" s="16">
        <f>_xlfn.XLOOKUP(CustomerCombinedCleaned[[#This Row],[ID]], Table4[ID], Table4[Visits], "Not Found", 0)</f>
        <v>2</v>
      </c>
      <c r="W2123" s="16">
        <f>_xlfn.XLOOKUP(CustomerCombinedCleaned[[#This Row],[ID]], Table2[ID],Table2[Complaint], "Not Found", 0 )</f>
        <v>0</v>
      </c>
      <c r="X2123" s="16">
        <f>_xlfn.XLOOKUP(CustomerCombinedCleaned[[#This Row],[ID]], Table2[ID],Table2[Pilot], "Not Found", 0 )</f>
        <v>1</v>
      </c>
      <c r="Y2123" s="16">
        <f>_xlfn.XLOOKUP(CustomerCombinedCleaned[[#This Row],[ID]], Table2[ID],Table2[MC1], "Not Found", 0 )</f>
        <v>1</v>
      </c>
      <c r="Z2123" s="16">
        <f>_xlfn.XLOOKUP(CustomerCombinedCleaned[[#This Row],[ID]], Table2[ID],Table2[MC2], "Not Found", 0 )</f>
        <v>0</v>
      </c>
      <c r="AA2123" s="16">
        <f>_xlfn.XLOOKUP(CustomerCombinedCleaned[[#This Row],[ID]], Table2[ID],Table2[MC3], "Not Found", 0 )</f>
        <v>0</v>
      </c>
      <c r="AB2123" s="16">
        <f>_xlfn.XLOOKUP(CustomerCombinedCleaned[[#This Row],[ID]], Table2[ID],Table2[MC4], "Not Found", 0 )</f>
        <v>1</v>
      </c>
      <c r="AC2123" s="16">
        <f>_xlfn.XLOOKUP(CustomerCombinedCleaned[[#This Row],[ID]], Table2[ID],Table2[MC5], "Not Found", 0 )</f>
        <v>1</v>
      </c>
    </row>
    <row r="2124" spans="1:29" x14ac:dyDescent="0.3">
      <c r="A2124" s="18">
        <v>1445</v>
      </c>
      <c r="B2124" s="16">
        <v>170165</v>
      </c>
      <c r="C2124" s="16">
        <v>0</v>
      </c>
      <c r="D2124" s="16">
        <v>0</v>
      </c>
      <c r="E2124" s="16">
        <v>71</v>
      </c>
      <c r="F2124" s="17" t="s">
        <v>9</v>
      </c>
      <c r="G2124" s="17" t="s">
        <v>11</v>
      </c>
      <c r="H2124" s="3" t="s">
        <v>177</v>
      </c>
      <c r="I2124" s="5" t="s">
        <v>434</v>
      </c>
      <c r="J2124" s="16">
        <f>_xlfn.XLOOKUP(CustomerCombinedCleaned[[#This Row],[ID]], Table4[ID], Table4[Recency], "Not Found", 0)</f>
        <v>60</v>
      </c>
      <c r="K2124" s="16">
        <f>_xlfn.XLOOKUP(CustomerCombinedCleaned[[#This Row],[ID]], Table4[ID], Table4[Teas], "Not Found", 0)</f>
        <v>390</v>
      </c>
      <c r="L2124" s="16">
        <f>_xlfn.XLOOKUP(CustomerCombinedCleaned[[#This Row],[ID]], Table4[ID], Table4[Fruits], "Not Found", 0)</f>
        <v>0</v>
      </c>
      <c r="M2124" s="16">
        <f>_xlfn.XLOOKUP(CustomerCombinedCleaned[[#This Row],[ID]], Table4[ID], Table4[Meats], "Not Found", 0)</f>
        <v>614</v>
      </c>
      <c r="N2124" s="16">
        <f>_xlfn.XLOOKUP(CustomerCombinedCleaned[[#This Row],[ID]], Table4[ID], Table4[Seafood], "Not Found", 0)</f>
        <v>483</v>
      </c>
      <c r="O2124" s="16">
        <f>_xlfn.XLOOKUP(CustomerCombinedCleaned[[#This Row],[ID]], Table4[ID], Table4[Sweets], "Not Found", 0)</f>
        <v>463</v>
      </c>
      <c r="P2124" s="16">
        <f>_xlfn.XLOOKUP(CustomerCombinedCleaned[[#This Row],[ID]], Table4[ID], Table4[Premium], "Not Found", 0)</f>
        <v>296</v>
      </c>
      <c r="Q2124" s="16">
        <f>_xlfn.XLOOKUP(CustomerCombinedCleaned[[#This Row],[ID]], Table4[ID], Table4[Regular], "Not Found", 0)</f>
        <v>1654</v>
      </c>
      <c r="R2124" s="16">
        <f>_xlfn.XLOOKUP(CustomerCombinedCleaned[[#This Row],[ID]], Table4[ID], Table4[Deals], "Not Found", 0)</f>
        <v>1</v>
      </c>
      <c r="S2124" s="16">
        <f>_xlfn.XLOOKUP(CustomerCombinedCleaned[[#This Row],[ID]], Table4[ID], Table4[Website], "Not Found", 0)</f>
        <v>3</v>
      </c>
      <c r="T2124" s="16">
        <f>_xlfn.XLOOKUP(CustomerCombinedCleaned[[#This Row],[ID]], Table4[ID], Table4[Catalog], "Not Found", 0)</f>
        <v>7</v>
      </c>
      <c r="U2124" s="16">
        <f>_xlfn.XLOOKUP(CustomerCombinedCleaned[[#This Row],[ID]], Table4[ID], Table4[Store], "Not Found", 0)</f>
        <v>11</v>
      </c>
      <c r="V2124" s="16">
        <f>_xlfn.XLOOKUP(CustomerCombinedCleaned[[#This Row],[ID]], Table4[ID], Table4[Visits], "Not Found", 0)</f>
        <v>1</v>
      </c>
      <c r="W2124" s="16">
        <f>_xlfn.XLOOKUP(CustomerCombinedCleaned[[#This Row],[ID]], Table2[ID],Table2[Complaint], "Not Found", 0 )</f>
        <v>0</v>
      </c>
      <c r="X2124" s="16">
        <f>_xlfn.XLOOKUP(CustomerCombinedCleaned[[#This Row],[ID]], Table2[ID],Table2[Pilot], "Not Found", 0 )</f>
        <v>0</v>
      </c>
      <c r="Y2124" s="16">
        <f>_xlfn.XLOOKUP(CustomerCombinedCleaned[[#This Row],[ID]], Table2[ID],Table2[MC1], "Not Found", 0 )</f>
        <v>0</v>
      </c>
      <c r="Z2124" s="16">
        <f>_xlfn.XLOOKUP(CustomerCombinedCleaned[[#This Row],[ID]], Table2[ID],Table2[MC2], "Not Found", 0 )</f>
        <v>0</v>
      </c>
      <c r="AA2124" s="16">
        <f>_xlfn.XLOOKUP(CustomerCombinedCleaned[[#This Row],[ID]], Table2[ID],Table2[MC3], "Not Found", 0 )</f>
        <v>0</v>
      </c>
      <c r="AB2124" s="16">
        <f>_xlfn.XLOOKUP(CustomerCombinedCleaned[[#This Row],[ID]], Table2[ID],Table2[MC4], "Not Found", 0 )</f>
        <v>0</v>
      </c>
      <c r="AC2124" s="16">
        <f>_xlfn.XLOOKUP(CustomerCombinedCleaned[[#This Row],[ID]], Table2[ID],Table2[MC5], "Not Found", 0 )</f>
        <v>0</v>
      </c>
    </row>
    <row r="2125" spans="1:29" x14ac:dyDescent="0.3">
      <c r="A2125" s="18">
        <v>1145</v>
      </c>
      <c r="B2125" s="16">
        <v>169372</v>
      </c>
      <c r="C2125" s="16">
        <v>0</v>
      </c>
      <c r="D2125" s="16">
        <v>0</v>
      </c>
      <c r="E2125" s="16">
        <v>71</v>
      </c>
      <c r="F2125" s="17" t="s">
        <v>8</v>
      </c>
      <c r="G2125" s="17" t="s">
        <v>11</v>
      </c>
      <c r="H2125" s="3" t="s">
        <v>304</v>
      </c>
      <c r="I2125" s="5" t="s">
        <v>434</v>
      </c>
      <c r="J2125" s="16">
        <f>_xlfn.XLOOKUP(CustomerCombinedCleaned[[#This Row],[ID]], Table4[ID], Table4[Recency], "Not Found", 0)</f>
        <v>10</v>
      </c>
      <c r="K2125" s="16">
        <f>_xlfn.XLOOKUP(CustomerCombinedCleaned[[#This Row],[ID]], Table4[ID], Table4[Teas], "Not Found", 0)</f>
        <v>2434</v>
      </c>
      <c r="L2125" s="16">
        <f>_xlfn.XLOOKUP(CustomerCombinedCleaned[[#This Row],[ID]], Table4[ID], Table4[Fruits], "Not Found", 0)</f>
        <v>63</v>
      </c>
      <c r="M2125" s="16">
        <f>_xlfn.XLOOKUP(CustomerCombinedCleaned[[#This Row],[ID]], Table4[ID], Table4[Meats], "Not Found", 0)</f>
        <v>657</v>
      </c>
      <c r="N2125" s="16">
        <f>_xlfn.XLOOKUP(CustomerCombinedCleaned[[#This Row],[ID]], Table4[ID], Table4[Seafood], "Not Found", 0)</f>
        <v>83</v>
      </c>
      <c r="O2125" s="16">
        <f>_xlfn.XLOOKUP(CustomerCombinedCleaned[[#This Row],[ID]], Table4[ID], Table4[Sweets], "Not Found", 0)</f>
        <v>32</v>
      </c>
      <c r="P2125" s="16">
        <f>_xlfn.XLOOKUP(CustomerCombinedCleaned[[#This Row],[ID]], Table4[ID], Table4[Premium], "Not Found", 0)</f>
        <v>103</v>
      </c>
      <c r="Q2125" s="16">
        <f>_xlfn.XLOOKUP(CustomerCombinedCleaned[[#This Row],[ID]], Table4[ID], Table4[Regular], "Not Found", 0)</f>
        <v>3167</v>
      </c>
      <c r="R2125" s="16">
        <f>_xlfn.XLOOKUP(CustomerCombinedCleaned[[#This Row],[ID]], Table4[ID], Table4[Deals], "Not Found", 0)</f>
        <v>1</v>
      </c>
      <c r="S2125" s="16">
        <f>_xlfn.XLOOKUP(CustomerCombinedCleaned[[#This Row],[ID]], Table4[ID], Table4[Website], "Not Found", 0)</f>
        <v>10</v>
      </c>
      <c r="T2125" s="16">
        <f>_xlfn.XLOOKUP(CustomerCombinedCleaned[[#This Row],[ID]], Table4[ID], Table4[Catalog], "Not Found", 0)</f>
        <v>4</v>
      </c>
      <c r="U2125" s="16">
        <f>_xlfn.XLOOKUP(CustomerCombinedCleaned[[#This Row],[ID]], Table4[ID], Table4[Store], "Not Found", 0)</f>
        <v>6</v>
      </c>
      <c r="V2125" s="16">
        <f>_xlfn.XLOOKUP(CustomerCombinedCleaned[[#This Row],[ID]], Table4[ID], Table4[Visits], "Not Found", 0)</f>
        <v>4</v>
      </c>
      <c r="W2125" s="16">
        <f>_xlfn.XLOOKUP(CustomerCombinedCleaned[[#This Row],[ID]], Table2[ID],Table2[Complaint], "Not Found", 0 )</f>
        <v>0</v>
      </c>
      <c r="X2125" s="16">
        <f>_xlfn.XLOOKUP(CustomerCombinedCleaned[[#This Row],[ID]], Table2[ID],Table2[Pilot], "Not Found", 0 )</f>
        <v>1</v>
      </c>
      <c r="Y2125" s="16">
        <f>_xlfn.XLOOKUP(CustomerCombinedCleaned[[#This Row],[ID]], Table2[ID],Table2[MC1], "Not Found", 0 )</f>
        <v>0</v>
      </c>
      <c r="Z2125" s="16">
        <f>_xlfn.XLOOKUP(CustomerCombinedCleaned[[#This Row],[ID]], Table2[ID],Table2[MC2], "Not Found", 0 )</f>
        <v>0</v>
      </c>
      <c r="AA2125" s="16">
        <f>_xlfn.XLOOKUP(CustomerCombinedCleaned[[#This Row],[ID]], Table2[ID],Table2[MC3], "Not Found", 0 )</f>
        <v>0</v>
      </c>
      <c r="AB2125" s="16">
        <f>_xlfn.XLOOKUP(CustomerCombinedCleaned[[#This Row],[ID]], Table2[ID],Table2[MC4], "Not Found", 0 )</f>
        <v>1</v>
      </c>
      <c r="AC2125" s="16">
        <f>_xlfn.XLOOKUP(CustomerCombinedCleaned[[#This Row],[ID]], Table2[ID],Table2[MC5], "Not Found", 0 )</f>
        <v>1</v>
      </c>
    </row>
    <row r="2126" spans="1:29" x14ac:dyDescent="0.3">
      <c r="A2126" s="18">
        <v>2033</v>
      </c>
      <c r="B2126" s="16">
        <v>169098</v>
      </c>
      <c r="C2126" s="16">
        <v>0</v>
      </c>
      <c r="D2126" s="16">
        <v>0</v>
      </c>
      <c r="E2126" s="16">
        <v>71</v>
      </c>
      <c r="F2126" s="17" t="s">
        <v>6</v>
      </c>
      <c r="G2126" s="17" t="s">
        <v>13</v>
      </c>
      <c r="H2126" s="3" t="s">
        <v>307</v>
      </c>
      <c r="I2126" s="5" t="s">
        <v>434</v>
      </c>
      <c r="J2126" s="16">
        <f>_xlfn.XLOOKUP(CustomerCombinedCleaned[[#This Row],[ID]], Table4[ID], Table4[Recency], "Not Found", 0)</f>
        <v>82</v>
      </c>
      <c r="K2126" s="16">
        <f>_xlfn.XLOOKUP(CustomerCombinedCleaned[[#This Row],[ID]], Table4[ID], Table4[Teas], "Not Found", 0)</f>
        <v>3218</v>
      </c>
      <c r="L2126" s="16">
        <f>_xlfn.XLOOKUP(CustomerCombinedCleaned[[#This Row],[ID]], Table4[ID], Table4[Fruits], "Not Found", 0)</f>
        <v>54</v>
      </c>
      <c r="M2126" s="16">
        <f>_xlfn.XLOOKUP(CustomerCombinedCleaned[[#This Row],[ID]], Table4[ID], Table4[Meats], "Not Found", 0)</f>
        <v>1909</v>
      </c>
      <c r="N2126" s="16">
        <f>_xlfn.XLOOKUP(CustomerCombinedCleaned[[#This Row],[ID]], Table4[ID], Table4[Seafood], "Not Found", 0)</f>
        <v>355</v>
      </c>
      <c r="O2126" s="16">
        <f>_xlfn.XLOOKUP(CustomerCombinedCleaned[[#This Row],[ID]], Table4[ID], Table4[Sweets], "Not Found", 0)</f>
        <v>0</v>
      </c>
      <c r="P2126" s="16">
        <f>_xlfn.XLOOKUP(CustomerCombinedCleaned[[#This Row],[ID]], Table4[ID], Table4[Premium], "Not Found", 0)</f>
        <v>436</v>
      </c>
      <c r="Q2126" s="16">
        <f>_xlfn.XLOOKUP(CustomerCombinedCleaned[[#This Row],[ID]], Table4[ID], Table4[Regular], "Not Found", 0)</f>
        <v>5100</v>
      </c>
      <c r="R2126" s="16">
        <f>_xlfn.XLOOKUP(CustomerCombinedCleaned[[#This Row],[ID]], Table4[ID], Table4[Deals], "Not Found", 0)</f>
        <v>1</v>
      </c>
      <c r="S2126" s="16">
        <f>_xlfn.XLOOKUP(CustomerCombinedCleaned[[#This Row],[ID]], Table4[ID], Table4[Website], "Not Found", 0)</f>
        <v>7</v>
      </c>
      <c r="T2126" s="16">
        <f>_xlfn.XLOOKUP(CustomerCombinedCleaned[[#This Row],[ID]], Table4[ID], Table4[Catalog], "Not Found", 0)</f>
        <v>8</v>
      </c>
      <c r="U2126" s="16">
        <f>_xlfn.XLOOKUP(CustomerCombinedCleaned[[#This Row],[ID]], Table4[ID], Table4[Store], "Not Found", 0)</f>
        <v>9</v>
      </c>
      <c r="V2126" s="16">
        <f>_xlfn.XLOOKUP(CustomerCombinedCleaned[[#This Row],[ID]], Table4[ID], Table4[Visits], "Not Found", 0)</f>
        <v>5</v>
      </c>
      <c r="W2126" s="16">
        <f>_xlfn.XLOOKUP(CustomerCombinedCleaned[[#This Row],[ID]], Table2[ID],Table2[Complaint], "Not Found", 0 )</f>
        <v>0</v>
      </c>
      <c r="X2126" s="16">
        <f>_xlfn.XLOOKUP(CustomerCombinedCleaned[[#This Row],[ID]], Table2[ID],Table2[Pilot], "Not Found", 0 )</f>
        <v>0</v>
      </c>
      <c r="Y2126" s="16">
        <f>_xlfn.XLOOKUP(CustomerCombinedCleaned[[#This Row],[ID]], Table2[ID],Table2[MC1], "Not Found", 0 )</f>
        <v>0</v>
      </c>
      <c r="Z2126" s="16">
        <f>_xlfn.XLOOKUP(CustomerCombinedCleaned[[#This Row],[ID]], Table2[ID],Table2[MC2], "Not Found", 0 )</f>
        <v>0</v>
      </c>
      <c r="AA2126" s="16">
        <f>_xlfn.XLOOKUP(CustomerCombinedCleaned[[#This Row],[ID]], Table2[ID],Table2[MC3], "Not Found", 0 )</f>
        <v>0</v>
      </c>
      <c r="AB2126" s="16">
        <f>_xlfn.XLOOKUP(CustomerCombinedCleaned[[#This Row],[ID]], Table2[ID],Table2[MC4], "Not Found", 0 )</f>
        <v>0</v>
      </c>
      <c r="AC2126" s="16">
        <f>_xlfn.XLOOKUP(CustomerCombinedCleaned[[#This Row],[ID]], Table2[ID],Table2[MC5], "Not Found", 0 )</f>
        <v>0</v>
      </c>
    </row>
    <row r="2127" spans="1:29" x14ac:dyDescent="0.3">
      <c r="A2127" s="18">
        <v>1482</v>
      </c>
      <c r="B2127" s="16">
        <v>167911</v>
      </c>
      <c r="C2127" s="16">
        <v>0</v>
      </c>
      <c r="D2127" s="16">
        <v>1</v>
      </c>
      <c r="E2127" s="16">
        <v>71</v>
      </c>
      <c r="F2127" s="17" t="s">
        <v>8</v>
      </c>
      <c r="G2127" s="17" t="s">
        <v>13</v>
      </c>
      <c r="H2127" s="3" t="s">
        <v>45</v>
      </c>
      <c r="I2127" s="5" t="s">
        <v>436</v>
      </c>
      <c r="J2127" s="16">
        <f>_xlfn.XLOOKUP(CustomerCombinedCleaned[[#This Row],[ID]], Table4[ID], Table4[Recency], "Not Found", 0)</f>
        <v>63</v>
      </c>
      <c r="K2127" s="16">
        <f>_xlfn.XLOOKUP(CustomerCombinedCleaned[[#This Row],[ID]], Table4[ID], Table4[Teas], "Not Found", 0)</f>
        <v>1308</v>
      </c>
      <c r="L2127" s="16">
        <f>_xlfn.XLOOKUP(CustomerCombinedCleaned[[#This Row],[ID]], Table4[ID], Table4[Fruits], "Not Found", 0)</f>
        <v>0</v>
      </c>
      <c r="M2127" s="16">
        <f>_xlfn.XLOOKUP(CustomerCombinedCleaned[[#This Row],[ID]], Table4[ID], Table4[Meats], "Not Found", 0)</f>
        <v>880</v>
      </c>
      <c r="N2127" s="16">
        <f>_xlfn.XLOOKUP(CustomerCombinedCleaned[[#This Row],[ID]], Table4[ID], Table4[Seafood], "Not Found", 0)</f>
        <v>156</v>
      </c>
      <c r="O2127" s="16">
        <f>_xlfn.XLOOKUP(CustomerCombinedCleaned[[#This Row],[ID]], Table4[ID], Table4[Sweets], "Not Found", 0)</f>
        <v>69</v>
      </c>
      <c r="P2127" s="16">
        <f>_xlfn.XLOOKUP(CustomerCombinedCleaned[[#This Row],[ID]], Table4[ID], Table4[Premium], "Not Found", 0)</f>
        <v>0</v>
      </c>
      <c r="Q2127" s="16">
        <f>_xlfn.XLOOKUP(CustomerCombinedCleaned[[#This Row],[ID]], Table4[ID], Table4[Regular], "Not Found", 0)</f>
        <v>2413</v>
      </c>
      <c r="R2127" s="16">
        <f>_xlfn.XLOOKUP(CustomerCombinedCleaned[[#This Row],[ID]], Table4[ID], Table4[Deals], "Not Found", 0)</f>
        <v>3</v>
      </c>
      <c r="S2127" s="16">
        <f>_xlfn.XLOOKUP(CustomerCombinedCleaned[[#This Row],[ID]], Table4[ID], Table4[Website], "Not Found", 0)</f>
        <v>6</v>
      </c>
      <c r="T2127" s="16">
        <f>_xlfn.XLOOKUP(CustomerCombinedCleaned[[#This Row],[ID]], Table4[ID], Table4[Catalog], "Not Found", 0)</f>
        <v>7</v>
      </c>
      <c r="U2127" s="16">
        <f>_xlfn.XLOOKUP(CustomerCombinedCleaned[[#This Row],[ID]], Table4[ID], Table4[Store], "Not Found", 0)</f>
        <v>11</v>
      </c>
      <c r="V2127" s="16">
        <f>_xlfn.XLOOKUP(CustomerCombinedCleaned[[#This Row],[ID]], Table4[ID], Table4[Visits], "Not Found", 0)</f>
        <v>3</v>
      </c>
      <c r="W2127" s="16">
        <f>_xlfn.XLOOKUP(CustomerCombinedCleaned[[#This Row],[ID]], Table2[ID],Table2[Complaint], "Not Found", 0 )</f>
        <v>0</v>
      </c>
      <c r="X2127" s="16">
        <f>_xlfn.XLOOKUP(CustomerCombinedCleaned[[#This Row],[ID]], Table2[ID],Table2[Pilot], "Not Found", 0 )</f>
        <v>0</v>
      </c>
      <c r="Y2127" s="16">
        <f>_xlfn.XLOOKUP(CustomerCombinedCleaned[[#This Row],[ID]], Table2[ID],Table2[MC1], "Not Found", 0 )</f>
        <v>0</v>
      </c>
      <c r="Z2127" s="16">
        <f>_xlfn.XLOOKUP(CustomerCombinedCleaned[[#This Row],[ID]], Table2[ID],Table2[MC2], "Not Found", 0 )</f>
        <v>0</v>
      </c>
      <c r="AA2127" s="16">
        <f>_xlfn.XLOOKUP(CustomerCombinedCleaned[[#This Row],[ID]], Table2[ID],Table2[MC3], "Not Found", 0 )</f>
        <v>0</v>
      </c>
      <c r="AB2127" s="16">
        <f>_xlfn.XLOOKUP(CustomerCombinedCleaned[[#This Row],[ID]], Table2[ID],Table2[MC4], "Not Found", 0 )</f>
        <v>0</v>
      </c>
      <c r="AC2127" s="16">
        <f>_xlfn.XLOOKUP(CustomerCombinedCleaned[[#This Row],[ID]], Table2[ID],Table2[MC5], "Not Found", 0 )</f>
        <v>0</v>
      </c>
    </row>
    <row r="2128" spans="1:29" x14ac:dyDescent="0.3">
      <c r="A2128" s="18">
        <v>3070</v>
      </c>
      <c r="B2128" s="16">
        <v>167911</v>
      </c>
      <c r="C2128" s="16">
        <v>0</v>
      </c>
      <c r="D2128" s="16">
        <v>1</v>
      </c>
      <c r="E2128" s="16">
        <v>71</v>
      </c>
      <c r="F2128" s="17" t="s">
        <v>8</v>
      </c>
      <c r="G2128" s="17" t="s">
        <v>13</v>
      </c>
      <c r="H2128" s="3" t="s">
        <v>45</v>
      </c>
      <c r="I2128" s="5" t="s">
        <v>439</v>
      </c>
      <c r="J2128" s="16">
        <f>_xlfn.XLOOKUP(CustomerCombinedCleaned[[#This Row],[ID]], Table4[ID], Table4[Recency], "Not Found", 0)</f>
        <v>63</v>
      </c>
      <c r="K2128" s="16">
        <f>_xlfn.XLOOKUP(CustomerCombinedCleaned[[#This Row],[ID]], Table4[ID], Table4[Teas], "Not Found", 0)</f>
        <v>1308</v>
      </c>
      <c r="L2128" s="16">
        <f>_xlfn.XLOOKUP(CustomerCombinedCleaned[[#This Row],[ID]], Table4[ID], Table4[Fruits], "Not Found", 0)</f>
        <v>0</v>
      </c>
      <c r="M2128" s="16">
        <f>_xlfn.XLOOKUP(CustomerCombinedCleaned[[#This Row],[ID]], Table4[ID], Table4[Meats], "Not Found", 0)</f>
        <v>880</v>
      </c>
      <c r="N2128" s="16">
        <f>_xlfn.XLOOKUP(CustomerCombinedCleaned[[#This Row],[ID]], Table4[ID], Table4[Seafood], "Not Found", 0)</f>
        <v>156</v>
      </c>
      <c r="O2128" s="16">
        <f>_xlfn.XLOOKUP(CustomerCombinedCleaned[[#This Row],[ID]], Table4[ID], Table4[Sweets], "Not Found", 0)</f>
        <v>69</v>
      </c>
      <c r="P2128" s="16">
        <f>_xlfn.XLOOKUP(CustomerCombinedCleaned[[#This Row],[ID]], Table4[ID], Table4[Premium], "Not Found", 0)</f>
        <v>0</v>
      </c>
      <c r="Q2128" s="16">
        <f>_xlfn.XLOOKUP(CustomerCombinedCleaned[[#This Row],[ID]], Table4[ID], Table4[Regular], "Not Found", 0)</f>
        <v>2413</v>
      </c>
      <c r="R2128" s="16">
        <f>_xlfn.XLOOKUP(CustomerCombinedCleaned[[#This Row],[ID]], Table4[ID], Table4[Deals], "Not Found", 0)</f>
        <v>3</v>
      </c>
      <c r="S2128" s="16">
        <f>_xlfn.XLOOKUP(CustomerCombinedCleaned[[#This Row],[ID]], Table4[ID], Table4[Website], "Not Found", 0)</f>
        <v>6</v>
      </c>
      <c r="T2128" s="16">
        <f>_xlfn.XLOOKUP(CustomerCombinedCleaned[[#This Row],[ID]], Table4[ID], Table4[Catalog], "Not Found", 0)</f>
        <v>7</v>
      </c>
      <c r="U2128" s="16">
        <f>_xlfn.XLOOKUP(CustomerCombinedCleaned[[#This Row],[ID]], Table4[ID], Table4[Store], "Not Found", 0)</f>
        <v>11</v>
      </c>
      <c r="V2128" s="16">
        <f>_xlfn.XLOOKUP(CustomerCombinedCleaned[[#This Row],[ID]], Table4[ID], Table4[Visits], "Not Found", 0)</f>
        <v>3</v>
      </c>
      <c r="W2128" s="16">
        <f>_xlfn.XLOOKUP(CustomerCombinedCleaned[[#This Row],[ID]], Table2[ID],Table2[Complaint], "Not Found", 0 )</f>
        <v>0</v>
      </c>
      <c r="X2128" s="16">
        <f>_xlfn.XLOOKUP(CustomerCombinedCleaned[[#This Row],[ID]], Table2[ID],Table2[Pilot], "Not Found", 0 )</f>
        <v>0</v>
      </c>
      <c r="Y2128" s="16">
        <f>_xlfn.XLOOKUP(CustomerCombinedCleaned[[#This Row],[ID]], Table2[ID],Table2[MC1], "Not Found", 0 )</f>
        <v>0</v>
      </c>
      <c r="Z2128" s="16">
        <f>_xlfn.XLOOKUP(CustomerCombinedCleaned[[#This Row],[ID]], Table2[ID],Table2[MC2], "Not Found", 0 )</f>
        <v>0</v>
      </c>
      <c r="AA2128" s="16">
        <f>_xlfn.XLOOKUP(CustomerCombinedCleaned[[#This Row],[ID]], Table2[ID],Table2[MC3], "Not Found", 0 )</f>
        <v>0</v>
      </c>
      <c r="AB2128" s="16">
        <f>_xlfn.XLOOKUP(CustomerCombinedCleaned[[#This Row],[ID]], Table2[ID],Table2[MC4], "Not Found", 0 )</f>
        <v>0</v>
      </c>
      <c r="AC2128" s="16">
        <f>_xlfn.XLOOKUP(CustomerCombinedCleaned[[#This Row],[ID]], Table2[ID],Table2[MC5], "Not Found", 0 )</f>
        <v>0</v>
      </c>
    </row>
    <row r="2129" spans="1:29" x14ac:dyDescent="0.3">
      <c r="A2129" s="18">
        <v>2041</v>
      </c>
      <c r="B2129" s="16">
        <v>162845</v>
      </c>
      <c r="C2129" s="16">
        <v>1</v>
      </c>
      <c r="D2129" s="16">
        <v>1</v>
      </c>
      <c r="E2129" s="16">
        <v>71</v>
      </c>
      <c r="F2129" s="17" t="s">
        <v>6</v>
      </c>
      <c r="G2129" s="17" t="s">
        <v>12</v>
      </c>
      <c r="H2129" s="3" t="s">
        <v>680</v>
      </c>
      <c r="I2129" s="5" t="s">
        <v>437</v>
      </c>
      <c r="J2129" s="16">
        <f>_xlfn.XLOOKUP(CustomerCombinedCleaned[[#This Row],[ID]], Table4[ID], Table4[Recency], "Not Found", 0)</f>
        <v>3</v>
      </c>
      <c r="K2129" s="16">
        <f>_xlfn.XLOOKUP(CustomerCombinedCleaned[[#This Row],[ID]], Table4[ID], Table4[Teas], "Not Found", 0)</f>
        <v>2848</v>
      </c>
      <c r="L2129" s="16">
        <f>_xlfn.XLOOKUP(CustomerCombinedCleaned[[#This Row],[ID]], Table4[ID], Table4[Fruits], "Not Found", 0)</f>
        <v>0</v>
      </c>
      <c r="M2129" s="16">
        <f>_xlfn.XLOOKUP(CustomerCombinedCleaned[[#This Row],[ID]], Table4[ID], Table4[Meats], "Not Found", 0)</f>
        <v>117</v>
      </c>
      <c r="N2129" s="16">
        <f>_xlfn.XLOOKUP(CustomerCombinedCleaned[[#This Row],[ID]], Table4[ID], Table4[Seafood], "Not Found", 0)</f>
        <v>0</v>
      </c>
      <c r="O2129" s="16">
        <f>_xlfn.XLOOKUP(CustomerCombinedCleaned[[#This Row],[ID]], Table4[ID], Table4[Sweets], "Not Found", 0)</f>
        <v>0</v>
      </c>
      <c r="P2129" s="16">
        <f>_xlfn.XLOOKUP(CustomerCombinedCleaned[[#This Row],[ID]], Table4[ID], Table4[Premium], "Not Found", 0)</f>
        <v>88</v>
      </c>
      <c r="Q2129" s="16">
        <f>_xlfn.XLOOKUP(CustomerCombinedCleaned[[#This Row],[ID]], Table4[ID], Table4[Regular], "Not Found", 0)</f>
        <v>2876</v>
      </c>
      <c r="R2129" s="16">
        <f>_xlfn.XLOOKUP(CustomerCombinedCleaned[[#This Row],[ID]], Table4[ID], Table4[Deals], "Not Found", 0)</f>
        <v>11</v>
      </c>
      <c r="S2129" s="16">
        <f>_xlfn.XLOOKUP(CustomerCombinedCleaned[[#This Row],[ID]], Table4[ID], Table4[Website], "Not Found", 0)</f>
        <v>3</v>
      </c>
      <c r="T2129" s="16">
        <f>_xlfn.XLOOKUP(CustomerCombinedCleaned[[#This Row],[ID]], Table4[ID], Table4[Catalog], "Not Found", 0)</f>
        <v>4</v>
      </c>
      <c r="U2129" s="16">
        <f>_xlfn.XLOOKUP(CustomerCombinedCleaned[[#This Row],[ID]], Table4[ID], Table4[Store], "Not Found", 0)</f>
        <v>10</v>
      </c>
      <c r="V2129" s="16">
        <f>_xlfn.XLOOKUP(CustomerCombinedCleaned[[#This Row],[ID]], Table4[ID], Table4[Visits], "Not Found", 0)</f>
        <v>8</v>
      </c>
      <c r="W2129" s="16">
        <f>_xlfn.XLOOKUP(CustomerCombinedCleaned[[#This Row],[ID]], Table2[ID],Table2[Complaint], "Not Found", 0 )</f>
        <v>0</v>
      </c>
      <c r="X2129" s="16">
        <f>_xlfn.XLOOKUP(CustomerCombinedCleaned[[#This Row],[ID]], Table2[ID],Table2[Pilot], "Not Found", 0 )</f>
        <v>0</v>
      </c>
      <c r="Y2129" s="16">
        <f>_xlfn.XLOOKUP(CustomerCombinedCleaned[[#This Row],[ID]], Table2[ID],Table2[MC1], "Not Found", 0 )</f>
        <v>0</v>
      </c>
      <c r="Z2129" s="16">
        <f>_xlfn.XLOOKUP(CustomerCombinedCleaned[[#This Row],[ID]], Table2[ID],Table2[MC2], "Not Found", 0 )</f>
        <v>0</v>
      </c>
      <c r="AA2129" s="16">
        <f>_xlfn.XLOOKUP(CustomerCombinedCleaned[[#This Row],[ID]], Table2[ID],Table2[MC3], "Not Found", 0 )</f>
        <v>0</v>
      </c>
      <c r="AB2129" s="16">
        <f>_xlfn.XLOOKUP(CustomerCombinedCleaned[[#This Row],[ID]], Table2[ID],Table2[MC4], "Not Found", 0 )</f>
        <v>1</v>
      </c>
      <c r="AC2129" s="16">
        <f>_xlfn.XLOOKUP(CustomerCombinedCleaned[[#This Row],[ID]], Table2[ID],Table2[MC5], "Not Found", 0 )</f>
        <v>0</v>
      </c>
    </row>
    <row r="2130" spans="1:29" x14ac:dyDescent="0.3">
      <c r="A2130" s="18">
        <v>2322</v>
      </c>
      <c r="B2130" s="16">
        <v>162845</v>
      </c>
      <c r="C2130" s="16">
        <v>1</v>
      </c>
      <c r="D2130" s="16">
        <v>1</v>
      </c>
      <c r="E2130" s="16">
        <v>71</v>
      </c>
      <c r="F2130" s="17" t="s">
        <v>6</v>
      </c>
      <c r="G2130" s="17" t="s">
        <v>12</v>
      </c>
      <c r="H2130" s="3" t="s">
        <v>680</v>
      </c>
      <c r="I2130" s="5" t="s">
        <v>436</v>
      </c>
      <c r="J2130" s="16">
        <f>_xlfn.XLOOKUP(CustomerCombinedCleaned[[#This Row],[ID]], Table4[ID], Table4[Recency], "Not Found", 0)</f>
        <v>3</v>
      </c>
      <c r="K2130" s="16">
        <f>_xlfn.XLOOKUP(CustomerCombinedCleaned[[#This Row],[ID]], Table4[ID], Table4[Teas], "Not Found", 0)</f>
        <v>2848</v>
      </c>
      <c r="L2130" s="16">
        <f>_xlfn.XLOOKUP(CustomerCombinedCleaned[[#This Row],[ID]], Table4[ID], Table4[Fruits], "Not Found", 0)</f>
        <v>0</v>
      </c>
      <c r="M2130" s="16">
        <f>_xlfn.XLOOKUP(CustomerCombinedCleaned[[#This Row],[ID]], Table4[ID], Table4[Meats], "Not Found", 0)</f>
        <v>117</v>
      </c>
      <c r="N2130" s="16">
        <f>_xlfn.XLOOKUP(CustomerCombinedCleaned[[#This Row],[ID]], Table4[ID], Table4[Seafood], "Not Found", 0)</f>
        <v>0</v>
      </c>
      <c r="O2130" s="16">
        <f>_xlfn.XLOOKUP(CustomerCombinedCleaned[[#This Row],[ID]], Table4[ID], Table4[Sweets], "Not Found", 0)</f>
        <v>0</v>
      </c>
      <c r="P2130" s="16">
        <f>_xlfn.XLOOKUP(CustomerCombinedCleaned[[#This Row],[ID]], Table4[ID], Table4[Premium], "Not Found", 0)</f>
        <v>88</v>
      </c>
      <c r="Q2130" s="16">
        <f>_xlfn.XLOOKUP(CustomerCombinedCleaned[[#This Row],[ID]], Table4[ID], Table4[Regular], "Not Found", 0)</f>
        <v>2876</v>
      </c>
      <c r="R2130" s="16">
        <f>_xlfn.XLOOKUP(CustomerCombinedCleaned[[#This Row],[ID]], Table4[ID], Table4[Deals], "Not Found", 0)</f>
        <v>11</v>
      </c>
      <c r="S2130" s="16">
        <f>_xlfn.XLOOKUP(CustomerCombinedCleaned[[#This Row],[ID]], Table4[ID], Table4[Website], "Not Found", 0)</f>
        <v>3</v>
      </c>
      <c r="T2130" s="16">
        <f>_xlfn.XLOOKUP(CustomerCombinedCleaned[[#This Row],[ID]], Table4[ID], Table4[Catalog], "Not Found", 0)</f>
        <v>4</v>
      </c>
      <c r="U2130" s="16">
        <f>_xlfn.XLOOKUP(CustomerCombinedCleaned[[#This Row],[ID]], Table4[ID], Table4[Store], "Not Found", 0)</f>
        <v>10</v>
      </c>
      <c r="V2130" s="16">
        <f>_xlfn.XLOOKUP(CustomerCombinedCleaned[[#This Row],[ID]], Table4[ID], Table4[Visits], "Not Found", 0)</f>
        <v>8</v>
      </c>
      <c r="W2130" s="16">
        <f>_xlfn.XLOOKUP(CustomerCombinedCleaned[[#This Row],[ID]], Table2[ID],Table2[Complaint], "Not Found", 0 )</f>
        <v>0</v>
      </c>
      <c r="X2130" s="16">
        <f>_xlfn.XLOOKUP(CustomerCombinedCleaned[[#This Row],[ID]], Table2[ID],Table2[Pilot], "Not Found", 0 )</f>
        <v>1</v>
      </c>
      <c r="Y2130" s="16">
        <f>_xlfn.XLOOKUP(CustomerCombinedCleaned[[#This Row],[ID]], Table2[ID],Table2[MC1], "Not Found", 0 )</f>
        <v>0</v>
      </c>
      <c r="Z2130" s="16">
        <f>_xlfn.XLOOKUP(CustomerCombinedCleaned[[#This Row],[ID]], Table2[ID],Table2[MC2], "Not Found", 0 )</f>
        <v>0</v>
      </c>
      <c r="AA2130" s="16">
        <f>_xlfn.XLOOKUP(CustomerCombinedCleaned[[#This Row],[ID]], Table2[ID],Table2[MC3], "Not Found", 0 )</f>
        <v>0</v>
      </c>
      <c r="AB2130" s="16">
        <f>_xlfn.XLOOKUP(CustomerCombinedCleaned[[#This Row],[ID]], Table2[ID],Table2[MC4], "Not Found", 0 )</f>
        <v>1</v>
      </c>
      <c r="AC2130" s="16">
        <f>_xlfn.XLOOKUP(CustomerCombinedCleaned[[#This Row],[ID]], Table2[ID],Table2[MC5], "Not Found", 0 )</f>
        <v>0</v>
      </c>
    </row>
    <row r="2131" spans="1:29" x14ac:dyDescent="0.3">
      <c r="A2131" s="18">
        <v>1022</v>
      </c>
      <c r="B2131" s="16">
        <v>158607</v>
      </c>
      <c r="C2131" s="16">
        <v>0</v>
      </c>
      <c r="D2131" s="16">
        <v>1</v>
      </c>
      <c r="E2131" s="16">
        <v>71</v>
      </c>
      <c r="F2131" s="17" t="s">
        <v>6</v>
      </c>
      <c r="G2131" s="17" t="s">
        <v>13</v>
      </c>
      <c r="H2131" s="3" t="s">
        <v>336</v>
      </c>
      <c r="I2131" s="5" t="s">
        <v>438</v>
      </c>
      <c r="J2131" s="16">
        <f>_xlfn.XLOOKUP(CustomerCombinedCleaned[[#This Row],[ID]], Table4[ID], Table4[Recency], "Not Found", 0)</f>
        <v>63</v>
      </c>
      <c r="K2131" s="16">
        <f>_xlfn.XLOOKUP(CustomerCombinedCleaned[[#This Row],[ID]], Table4[ID], Table4[Teas], "Not Found", 0)</f>
        <v>2346</v>
      </c>
      <c r="L2131" s="16">
        <f>_xlfn.XLOOKUP(CustomerCombinedCleaned[[#This Row],[ID]], Table4[ID], Table4[Fruits], "Not Found", 0)</f>
        <v>0</v>
      </c>
      <c r="M2131" s="16">
        <f>_xlfn.XLOOKUP(CustomerCombinedCleaned[[#This Row],[ID]], Table4[ID], Table4[Meats], "Not Found", 0)</f>
        <v>233</v>
      </c>
      <c r="N2131" s="16">
        <f>_xlfn.XLOOKUP(CustomerCombinedCleaned[[#This Row],[ID]], Table4[ID], Table4[Seafood], "Not Found", 0)</f>
        <v>0</v>
      </c>
      <c r="O2131" s="16">
        <f>_xlfn.XLOOKUP(CustomerCombinedCleaned[[#This Row],[ID]], Table4[ID], Table4[Sweets], "Not Found", 0)</f>
        <v>0</v>
      </c>
      <c r="P2131" s="16">
        <f>_xlfn.XLOOKUP(CustomerCombinedCleaned[[#This Row],[ID]], Table4[ID], Table4[Premium], "Not Found", 0)</f>
        <v>51</v>
      </c>
      <c r="Q2131" s="16">
        <f>_xlfn.XLOOKUP(CustomerCombinedCleaned[[#This Row],[ID]], Table4[ID], Table4[Regular], "Not Found", 0)</f>
        <v>2528</v>
      </c>
      <c r="R2131" s="16">
        <f>_xlfn.XLOOKUP(CustomerCombinedCleaned[[#This Row],[ID]], Table4[ID], Table4[Deals], "Not Found", 0)</f>
        <v>3</v>
      </c>
      <c r="S2131" s="16">
        <f>_xlfn.XLOOKUP(CustomerCombinedCleaned[[#This Row],[ID]], Table4[ID], Table4[Website], "Not Found", 0)</f>
        <v>2</v>
      </c>
      <c r="T2131" s="16">
        <f>_xlfn.XLOOKUP(CustomerCombinedCleaned[[#This Row],[ID]], Table4[ID], Table4[Catalog], "Not Found", 0)</f>
        <v>3</v>
      </c>
      <c r="U2131" s="16">
        <f>_xlfn.XLOOKUP(CustomerCombinedCleaned[[#This Row],[ID]], Table4[ID], Table4[Store], "Not Found", 0)</f>
        <v>9</v>
      </c>
      <c r="V2131" s="16">
        <f>_xlfn.XLOOKUP(CustomerCombinedCleaned[[#This Row],[ID]], Table4[ID], Table4[Visits], "Not Found", 0)</f>
        <v>8</v>
      </c>
      <c r="W2131" s="16">
        <f>_xlfn.XLOOKUP(CustomerCombinedCleaned[[#This Row],[ID]], Table2[ID],Table2[Complaint], "Not Found", 0 )</f>
        <v>0</v>
      </c>
      <c r="X2131" s="16">
        <f>_xlfn.XLOOKUP(CustomerCombinedCleaned[[#This Row],[ID]], Table2[ID],Table2[Pilot], "Not Found", 0 )</f>
        <v>0</v>
      </c>
      <c r="Y2131" s="16">
        <f>_xlfn.XLOOKUP(CustomerCombinedCleaned[[#This Row],[ID]], Table2[ID],Table2[MC1], "Not Found", 0 )</f>
        <v>0</v>
      </c>
      <c r="Z2131" s="16">
        <f>_xlfn.XLOOKUP(CustomerCombinedCleaned[[#This Row],[ID]], Table2[ID],Table2[MC2], "Not Found", 0 )</f>
        <v>0</v>
      </c>
      <c r="AA2131" s="16">
        <f>_xlfn.XLOOKUP(CustomerCombinedCleaned[[#This Row],[ID]], Table2[ID],Table2[MC3], "Not Found", 0 )</f>
        <v>0</v>
      </c>
      <c r="AB2131" s="16">
        <f>_xlfn.XLOOKUP(CustomerCombinedCleaned[[#This Row],[ID]], Table2[ID],Table2[MC4], "Not Found", 0 )</f>
        <v>1</v>
      </c>
      <c r="AC2131" s="16">
        <f>_xlfn.XLOOKUP(CustomerCombinedCleaned[[#This Row],[ID]], Table2[ID],Table2[MC5], "Not Found", 0 )</f>
        <v>0</v>
      </c>
    </row>
    <row r="2132" spans="1:29" x14ac:dyDescent="0.3">
      <c r="A2132" s="18">
        <v>3043</v>
      </c>
      <c r="B2132" s="16">
        <v>154591</v>
      </c>
      <c r="C2132" s="16">
        <v>0</v>
      </c>
      <c r="D2132" s="16">
        <v>1</v>
      </c>
      <c r="E2132" s="16">
        <v>71</v>
      </c>
      <c r="F2132" s="17" t="s">
        <v>8</v>
      </c>
      <c r="G2132" s="17" t="s">
        <v>11</v>
      </c>
      <c r="H2132" s="3" t="s">
        <v>733</v>
      </c>
      <c r="I2132" s="5" t="s">
        <v>437</v>
      </c>
      <c r="J2132" s="16">
        <f>_xlfn.XLOOKUP(CustomerCombinedCleaned[[#This Row],[ID]], Table4[ID], Table4[Recency], "Not Found", 0)</f>
        <v>63</v>
      </c>
      <c r="K2132" s="16">
        <f>_xlfn.XLOOKUP(CustomerCombinedCleaned[[#This Row],[ID]], Table4[ID], Table4[Teas], "Not Found", 0)</f>
        <v>1065</v>
      </c>
      <c r="L2132" s="16">
        <f>_xlfn.XLOOKUP(CustomerCombinedCleaned[[#This Row],[ID]], Table4[ID], Table4[Fruits], "Not Found", 0)</f>
        <v>11</v>
      </c>
      <c r="M2132" s="16">
        <f>_xlfn.XLOOKUP(CustomerCombinedCleaned[[#This Row],[ID]], Table4[ID], Table4[Meats], "Not Found", 0)</f>
        <v>266</v>
      </c>
      <c r="N2132" s="16">
        <f>_xlfn.XLOOKUP(CustomerCombinedCleaned[[#This Row],[ID]], Table4[ID], Table4[Seafood], "Not Found", 0)</f>
        <v>34</v>
      </c>
      <c r="O2132" s="16">
        <f>_xlfn.XLOOKUP(CustomerCombinedCleaned[[#This Row],[ID]], Table4[ID], Table4[Sweets], "Not Found", 0)</f>
        <v>25</v>
      </c>
      <c r="P2132" s="16">
        <f>_xlfn.XLOOKUP(CustomerCombinedCleaned[[#This Row],[ID]], Table4[ID], Table4[Premium], "Not Found", 0)</f>
        <v>68</v>
      </c>
      <c r="Q2132" s="16">
        <f>_xlfn.XLOOKUP(CustomerCombinedCleaned[[#This Row],[ID]], Table4[ID], Table4[Regular], "Not Found", 0)</f>
        <v>1334</v>
      </c>
      <c r="R2132" s="16">
        <f>_xlfn.XLOOKUP(CustomerCombinedCleaned[[#This Row],[ID]], Table4[ID], Table4[Deals], "Not Found", 0)</f>
        <v>3</v>
      </c>
      <c r="S2132" s="16">
        <f>_xlfn.XLOOKUP(CustomerCombinedCleaned[[#This Row],[ID]], Table4[ID], Table4[Website], "Not Found", 0)</f>
        <v>6</v>
      </c>
      <c r="T2132" s="16">
        <f>_xlfn.XLOOKUP(CustomerCombinedCleaned[[#This Row],[ID]], Table4[ID], Table4[Catalog], "Not Found", 0)</f>
        <v>2</v>
      </c>
      <c r="U2132" s="16">
        <f>_xlfn.XLOOKUP(CustomerCombinedCleaned[[#This Row],[ID]], Table4[ID], Table4[Store], "Not Found", 0)</f>
        <v>8</v>
      </c>
      <c r="V2132" s="16">
        <f>_xlfn.XLOOKUP(CustomerCombinedCleaned[[#This Row],[ID]], Table4[ID], Table4[Visits], "Not Found", 0)</f>
        <v>5</v>
      </c>
      <c r="W2132" s="16">
        <f>_xlfn.XLOOKUP(CustomerCombinedCleaned[[#This Row],[ID]], Table2[ID],Table2[Complaint], "Not Found", 0 )</f>
        <v>0</v>
      </c>
      <c r="X2132" s="16">
        <f>_xlfn.XLOOKUP(CustomerCombinedCleaned[[#This Row],[ID]], Table2[ID],Table2[Pilot], "Not Found", 0 )</f>
        <v>0</v>
      </c>
      <c r="Y2132" s="16">
        <f>_xlfn.XLOOKUP(CustomerCombinedCleaned[[#This Row],[ID]], Table2[ID],Table2[MC1], "Not Found", 0 )</f>
        <v>0</v>
      </c>
      <c r="Z2132" s="16">
        <f>_xlfn.XLOOKUP(CustomerCombinedCleaned[[#This Row],[ID]], Table2[ID],Table2[MC2], "Not Found", 0 )</f>
        <v>0</v>
      </c>
      <c r="AA2132" s="16">
        <f>_xlfn.XLOOKUP(CustomerCombinedCleaned[[#This Row],[ID]], Table2[ID],Table2[MC3], "Not Found", 0 )</f>
        <v>0</v>
      </c>
      <c r="AB2132" s="16">
        <f>_xlfn.XLOOKUP(CustomerCombinedCleaned[[#This Row],[ID]], Table2[ID],Table2[MC4], "Not Found", 0 )</f>
        <v>0</v>
      </c>
      <c r="AC2132" s="16">
        <f>_xlfn.XLOOKUP(CustomerCombinedCleaned[[#This Row],[ID]], Table2[ID],Table2[MC5], "Not Found", 0 )</f>
        <v>0</v>
      </c>
    </row>
    <row r="2133" spans="1:29" x14ac:dyDescent="0.3">
      <c r="A2133" s="18">
        <v>2912</v>
      </c>
      <c r="B2133" s="16">
        <v>154356</v>
      </c>
      <c r="C2133" s="16">
        <v>0</v>
      </c>
      <c r="D2133" s="16">
        <v>1</v>
      </c>
      <c r="E2133" s="16">
        <v>71</v>
      </c>
      <c r="F2133" s="17" t="s">
        <v>9</v>
      </c>
      <c r="G2133" s="17" t="s">
        <v>13</v>
      </c>
      <c r="H2133" s="3" t="s">
        <v>357</v>
      </c>
      <c r="I2133" s="5" t="s">
        <v>438</v>
      </c>
      <c r="J2133" s="16">
        <f>_xlfn.XLOOKUP(CustomerCombinedCleaned[[#This Row],[ID]], Table4[ID], Table4[Recency], "Not Found", 0)</f>
        <v>62</v>
      </c>
      <c r="K2133" s="16">
        <f>_xlfn.XLOOKUP(CustomerCombinedCleaned[[#This Row],[ID]], Table4[ID], Table4[Teas], "Not Found", 0)</f>
        <v>2016</v>
      </c>
      <c r="L2133" s="16">
        <f>_xlfn.XLOOKUP(CustomerCombinedCleaned[[#This Row],[ID]], Table4[ID], Table4[Fruits], "Not Found", 0)</f>
        <v>43</v>
      </c>
      <c r="M2133" s="16">
        <f>_xlfn.XLOOKUP(CustomerCombinedCleaned[[#This Row],[ID]], Table4[ID], Table4[Meats], "Not Found", 0)</f>
        <v>85</v>
      </c>
      <c r="N2133" s="16">
        <f>_xlfn.XLOOKUP(CustomerCombinedCleaned[[#This Row],[ID]], Table4[ID], Table4[Seafood], "Not Found", 0)</f>
        <v>57</v>
      </c>
      <c r="O2133" s="16">
        <f>_xlfn.XLOOKUP(CustomerCombinedCleaned[[#This Row],[ID]], Table4[ID], Table4[Sweets], "Not Found", 0)</f>
        <v>0</v>
      </c>
      <c r="P2133" s="16">
        <f>_xlfn.XLOOKUP(CustomerCombinedCleaned[[#This Row],[ID]], Table4[ID], Table4[Premium], "Not Found", 0)</f>
        <v>0</v>
      </c>
      <c r="Q2133" s="16">
        <f>_xlfn.XLOOKUP(CustomerCombinedCleaned[[#This Row],[ID]], Table4[ID], Table4[Regular], "Not Found", 0)</f>
        <v>2201</v>
      </c>
      <c r="R2133" s="16">
        <f>_xlfn.XLOOKUP(CustomerCombinedCleaned[[#This Row],[ID]], Table4[ID], Table4[Deals], "Not Found", 0)</f>
        <v>3</v>
      </c>
      <c r="S2133" s="16">
        <f>_xlfn.XLOOKUP(CustomerCombinedCleaned[[#This Row],[ID]], Table4[ID], Table4[Website], "Not Found", 0)</f>
        <v>11</v>
      </c>
      <c r="T2133" s="16">
        <f>_xlfn.XLOOKUP(CustomerCombinedCleaned[[#This Row],[ID]], Table4[ID], Table4[Catalog], "Not Found", 0)</f>
        <v>2</v>
      </c>
      <c r="U2133" s="16">
        <f>_xlfn.XLOOKUP(CustomerCombinedCleaned[[#This Row],[ID]], Table4[ID], Table4[Store], "Not Found", 0)</f>
        <v>8</v>
      </c>
      <c r="V2133" s="16">
        <f>_xlfn.XLOOKUP(CustomerCombinedCleaned[[#This Row],[ID]], Table4[ID], Table4[Visits], "Not Found", 0)</f>
        <v>8</v>
      </c>
      <c r="W2133" s="16">
        <f>_xlfn.XLOOKUP(CustomerCombinedCleaned[[#This Row],[ID]], Table2[ID],Table2[Complaint], "Not Found", 0 )</f>
        <v>0</v>
      </c>
      <c r="X2133" s="16">
        <f>_xlfn.XLOOKUP(CustomerCombinedCleaned[[#This Row],[ID]], Table2[ID],Table2[Pilot], "Not Found", 0 )</f>
        <v>1</v>
      </c>
      <c r="Y2133" s="16">
        <f>_xlfn.XLOOKUP(CustomerCombinedCleaned[[#This Row],[ID]], Table2[ID],Table2[MC1], "Not Found", 0 )</f>
        <v>0</v>
      </c>
      <c r="Z2133" s="16">
        <f>_xlfn.XLOOKUP(CustomerCombinedCleaned[[#This Row],[ID]], Table2[ID],Table2[MC2], "Not Found", 0 )</f>
        <v>0</v>
      </c>
      <c r="AA2133" s="16">
        <f>_xlfn.XLOOKUP(CustomerCombinedCleaned[[#This Row],[ID]], Table2[ID],Table2[MC3], "Not Found", 0 )</f>
        <v>0</v>
      </c>
      <c r="AB2133" s="16">
        <f>_xlfn.XLOOKUP(CustomerCombinedCleaned[[#This Row],[ID]], Table2[ID],Table2[MC4], "Not Found", 0 )</f>
        <v>0</v>
      </c>
      <c r="AC2133" s="16">
        <f>_xlfn.XLOOKUP(CustomerCombinedCleaned[[#This Row],[ID]], Table2[ID],Table2[MC5], "Not Found", 0 )</f>
        <v>0</v>
      </c>
    </row>
    <row r="2134" spans="1:29" x14ac:dyDescent="0.3">
      <c r="A2134" s="18">
        <v>2728</v>
      </c>
      <c r="B2134" s="16">
        <v>151569</v>
      </c>
      <c r="C2134" s="16">
        <v>0</v>
      </c>
      <c r="D2134" s="16">
        <v>1</v>
      </c>
      <c r="E2134" s="16">
        <v>71</v>
      </c>
      <c r="F2134" s="17" t="s">
        <v>9</v>
      </c>
      <c r="G2134" s="17" t="s">
        <v>13</v>
      </c>
      <c r="H2134" s="3" t="s">
        <v>311</v>
      </c>
      <c r="I2134" s="5" t="s">
        <v>439</v>
      </c>
      <c r="J2134" s="16">
        <f>_xlfn.XLOOKUP(CustomerCombinedCleaned[[#This Row],[ID]], Table4[ID], Table4[Recency], "Not Found", 0)</f>
        <v>39</v>
      </c>
      <c r="K2134" s="16">
        <f>_xlfn.XLOOKUP(CustomerCombinedCleaned[[#This Row],[ID]], Table4[ID], Table4[Teas], "Not Found", 0)</f>
        <v>1117</v>
      </c>
      <c r="L2134" s="16">
        <f>_xlfn.XLOOKUP(CustomerCombinedCleaned[[#This Row],[ID]], Table4[ID], Table4[Fruits], "Not Found", 0)</f>
        <v>0</v>
      </c>
      <c r="M2134" s="16">
        <f>_xlfn.XLOOKUP(CustomerCombinedCleaned[[#This Row],[ID]], Table4[ID], Table4[Meats], "Not Found", 0)</f>
        <v>138</v>
      </c>
      <c r="N2134" s="16">
        <f>_xlfn.XLOOKUP(CustomerCombinedCleaned[[#This Row],[ID]], Table4[ID], Table4[Seafood], "Not Found", 0)</f>
        <v>18</v>
      </c>
      <c r="O2134" s="16">
        <f>_xlfn.XLOOKUP(CustomerCombinedCleaned[[#This Row],[ID]], Table4[ID], Table4[Sweets], "Not Found", 0)</f>
        <v>0</v>
      </c>
      <c r="P2134" s="16">
        <f>_xlfn.XLOOKUP(CustomerCombinedCleaned[[#This Row],[ID]], Table4[ID], Table4[Premium], "Not Found", 0)</f>
        <v>100</v>
      </c>
      <c r="Q2134" s="16">
        <f>_xlfn.XLOOKUP(CustomerCombinedCleaned[[#This Row],[ID]], Table4[ID], Table4[Regular], "Not Found", 0)</f>
        <v>1173</v>
      </c>
      <c r="R2134" s="16">
        <f>_xlfn.XLOOKUP(CustomerCombinedCleaned[[#This Row],[ID]], Table4[ID], Table4[Deals], "Not Found", 0)</f>
        <v>4</v>
      </c>
      <c r="S2134" s="16">
        <f>_xlfn.XLOOKUP(CustomerCombinedCleaned[[#This Row],[ID]], Table4[ID], Table4[Website], "Not Found", 0)</f>
        <v>7</v>
      </c>
      <c r="T2134" s="16">
        <f>_xlfn.XLOOKUP(CustomerCombinedCleaned[[#This Row],[ID]], Table4[ID], Table4[Catalog], "Not Found", 0)</f>
        <v>1</v>
      </c>
      <c r="U2134" s="16">
        <f>_xlfn.XLOOKUP(CustomerCombinedCleaned[[#This Row],[ID]], Table4[ID], Table4[Store], "Not Found", 0)</f>
        <v>7</v>
      </c>
      <c r="V2134" s="16">
        <f>_xlfn.XLOOKUP(CustomerCombinedCleaned[[#This Row],[ID]], Table4[ID], Table4[Visits], "Not Found", 0)</f>
        <v>8</v>
      </c>
      <c r="W2134" s="16">
        <f>_xlfn.XLOOKUP(CustomerCombinedCleaned[[#This Row],[ID]], Table2[ID],Table2[Complaint], "Not Found", 0 )</f>
        <v>0</v>
      </c>
      <c r="X2134" s="16">
        <f>_xlfn.XLOOKUP(CustomerCombinedCleaned[[#This Row],[ID]], Table2[ID],Table2[Pilot], "Not Found", 0 )</f>
        <v>1</v>
      </c>
      <c r="Y2134" s="16">
        <f>_xlfn.XLOOKUP(CustomerCombinedCleaned[[#This Row],[ID]], Table2[ID],Table2[MC1], "Not Found", 0 )</f>
        <v>0</v>
      </c>
      <c r="Z2134" s="16">
        <f>_xlfn.XLOOKUP(CustomerCombinedCleaned[[#This Row],[ID]], Table2[ID],Table2[MC2], "Not Found", 0 )</f>
        <v>0</v>
      </c>
      <c r="AA2134" s="16">
        <f>_xlfn.XLOOKUP(CustomerCombinedCleaned[[#This Row],[ID]], Table2[ID],Table2[MC3], "Not Found", 0 )</f>
        <v>0</v>
      </c>
      <c r="AB2134" s="16">
        <f>_xlfn.XLOOKUP(CustomerCombinedCleaned[[#This Row],[ID]], Table2[ID],Table2[MC4], "Not Found", 0 )</f>
        <v>1</v>
      </c>
      <c r="AC2134" s="16">
        <f>_xlfn.XLOOKUP(CustomerCombinedCleaned[[#This Row],[ID]], Table2[ID],Table2[MC5], "Not Found", 0 )</f>
        <v>0</v>
      </c>
    </row>
    <row r="2135" spans="1:29" x14ac:dyDescent="0.3">
      <c r="A2135" s="18">
        <v>1421</v>
      </c>
      <c r="B2135" s="16">
        <v>151529</v>
      </c>
      <c r="C2135" s="16">
        <v>0</v>
      </c>
      <c r="D2135" s="16">
        <v>1</v>
      </c>
      <c r="E2135" s="16">
        <v>71</v>
      </c>
      <c r="F2135" s="17" t="s">
        <v>9</v>
      </c>
      <c r="G2135" s="17" t="s">
        <v>12</v>
      </c>
      <c r="H2135" s="3" t="s">
        <v>745</v>
      </c>
      <c r="I2135" s="5" t="s">
        <v>434</v>
      </c>
      <c r="J2135" s="16">
        <f>_xlfn.XLOOKUP(CustomerCombinedCleaned[[#This Row],[ID]], Table4[ID], Table4[Recency], "Not Found", 0)</f>
        <v>14</v>
      </c>
      <c r="K2135" s="16">
        <f>_xlfn.XLOOKUP(CustomerCombinedCleaned[[#This Row],[ID]], Table4[ID], Table4[Teas], "Not Found", 0)</f>
        <v>1176</v>
      </c>
      <c r="L2135" s="16">
        <f>_xlfn.XLOOKUP(CustomerCombinedCleaned[[#This Row],[ID]], Table4[ID], Table4[Fruits], "Not Found", 0)</f>
        <v>12</v>
      </c>
      <c r="M2135" s="16">
        <f>_xlfn.XLOOKUP(CustomerCombinedCleaned[[#This Row],[ID]], Table4[ID], Table4[Meats], "Not Found", 0)</f>
        <v>103</v>
      </c>
      <c r="N2135" s="16">
        <f>_xlfn.XLOOKUP(CustomerCombinedCleaned[[#This Row],[ID]], Table4[ID], Table4[Seafood], "Not Found", 0)</f>
        <v>18</v>
      </c>
      <c r="O2135" s="16">
        <f>_xlfn.XLOOKUP(CustomerCombinedCleaned[[#This Row],[ID]], Table4[ID], Table4[Sweets], "Not Found", 0)</f>
        <v>0</v>
      </c>
      <c r="P2135" s="16">
        <f>_xlfn.XLOOKUP(CustomerCombinedCleaned[[#This Row],[ID]], Table4[ID], Table4[Premium], "Not Found", 0)</f>
        <v>65</v>
      </c>
      <c r="Q2135" s="16">
        <f>_xlfn.XLOOKUP(CustomerCombinedCleaned[[#This Row],[ID]], Table4[ID], Table4[Regular], "Not Found", 0)</f>
        <v>1244</v>
      </c>
      <c r="R2135" s="16">
        <f>_xlfn.XLOOKUP(CustomerCombinedCleaned[[#This Row],[ID]], Table4[ID], Table4[Deals], "Not Found", 0)</f>
        <v>2</v>
      </c>
      <c r="S2135" s="16">
        <f>_xlfn.XLOOKUP(CustomerCombinedCleaned[[#This Row],[ID]], Table4[ID], Table4[Website], "Not Found", 0)</f>
        <v>9</v>
      </c>
      <c r="T2135" s="16">
        <f>_xlfn.XLOOKUP(CustomerCombinedCleaned[[#This Row],[ID]], Table4[ID], Table4[Catalog], "Not Found", 0)</f>
        <v>1</v>
      </c>
      <c r="U2135" s="16">
        <f>_xlfn.XLOOKUP(CustomerCombinedCleaned[[#This Row],[ID]], Table4[ID], Table4[Store], "Not Found", 0)</f>
        <v>5</v>
      </c>
      <c r="V2135" s="16">
        <f>_xlfn.XLOOKUP(CustomerCombinedCleaned[[#This Row],[ID]], Table4[ID], Table4[Visits], "Not Found", 0)</f>
        <v>8</v>
      </c>
      <c r="W2135" s="16">
        <f>_xlfn.XLOOKUP(CustomerCombinedCleaned[[#This Row],[ID]], Table2[ID],Table2[Complaint], "Not Found", 0 )</f>
        <v>0</v>
      </c>
      <c r="X2135" s="16">
        <f>_xlfn.XLOOKUP(CustomerCombinedCleaned[[#This Row],[ID]], Table2[ID],Table2[Pilot], "Not Found", 0 )</f>
        <v>0</v>
      </c>
      <c r="Y2135" s="16">
        <f>_xlfn.XLOOKUP(CustomerCombinedCleaned[[#This Row],[ID]], Table2[ID],Table2[MC1], "Not Found", 0 )</f>
        <v>0</v>
      </c>
      <c r="Z2135" s="16">
        <f>_xlfn.XLOOKUP(CustomerCombinedCleaned[[#This Row],[ID]], Table2[ID],Table2[MC2], "Not Found", 0 )</f>
        <v>0</v>
      </c>
      <c r="AA2135" s="16">
        <f>_xlfn.XLOOKUP(CustomerCombinedCleaned[[#This Row],[ID]], Table2[ID],Table2[MC3], "Not Found", 0 )</f>
        <v>0</v>
      </c>
      <c r="AB2135" s="16">
        <f>_xlfn.XLOOKUP(CustomerCombinedCleaned[[#This Row],[ID]], Table2[ID],Table2[MC4], "Not Found", 0 )</f>
        <v>0</v>
      </c>
      <c r="AC2135" s="16">
        <f>_xlfn.XLOOKUP(CustomerCombinedCleaned[[#This Row],[ID]], Table2[ID],Table2[MC5], "Not Found", 0 )</f>
        <v>0</v>
      </c>
    </row>
    <row r="2136" spans="1:29" x14ac:dyDescent="0.3">
      <c r="A2136" s="18">
        <v>3003</v>
      </c>
      <c r="B2136" s="16">
        <v>149912</v>
      </c>
      <c r="C2136" s="16">
        <v>0</v>
      </c>
      <c r="D2136" s="16">
        <v>1</v>
      </c>
      <c r="E2136" s="16">
        <v>71</v>
      </c>
      <c r="F2136" s="17" t="s">
        <v>8</v>
      </c>
      <c r="G2136" s="17" t="s">
        <v>12</v>
      </c>
      <c r="H2136" s="3" t="s">
        <v>684</v>
      </c>
      <c r="I2136" s="5" t="s">
        <v>435</v>
      </c>
      <c r="J2136" s="16">
        <f>_xlfn.XLOOKUP(CustomerCombinedCleaned[[#This Row],[ID]], Table4[ID], Table4[Recency], "Not Found", 0)</f>
        <v>5</v>
      </c>
      <c r="K2136" s="16">
        <f>_xlfn.XLOOKUP(CustomerCombinedCleaned[[#This Row],[ID]], Table4[ID], Table4[Teas], "Not Found", 0)</f>
        <v>1562</v>
      </c>
      <c r="L2136" s="16">
        <f>_xlfn.XLOOKUP(CustomerCombinedCleaned[[#This Row],[ID]], Table4[ID], Table4[Fruits], "Not Found", 0)</f>
        <v>24</v>
      </c>
      <c r="M2136" s="16">
        <f>_xlfn.XLOOKUP(CustomerCombinedCleaned[[#This Row],[ID]], Table4[ID], Table4[Meats], "Not Found", 0)</f>
        <v>670</v>
      </c>
      <c r="N2136" s="16">
        <f>_xlfn.XLOOKUP(CustomerCombinedCleaned[[#This Row],[ID]], Table4[ID], Table4[Seafood], "Not Found", 0)</f>
        <v>96</v>
      </c>
      <c r="O2136" s="16">
        <f>_xlfn.XLOOKUP(CustomerCombinedCleaned[[#This Row],[ID]], Table4[ID], Table4[Sweets], "Not Found", 0)</f>
        <v>147</v>
      </c>
      <c r="P2136" s="16">
        <f>_xlfn.XLOOKUP(CustomerCombinedCleaned[[#This Row],[ID]], Table4[ID], Table4[Premium], "Not Found", 0)</f>
        <v>126</v>
      </c>
      <c r="Q2136" s="16">
        <f>_xlfn.XLOOKUP(CustomerCombinedCleaned[[#This Row],[ID]], Table4[ID], Table4[Regular], "Not Found", 0)</f>
        <v>2373</v>
      </c>
      <c r="R2136" s="16">
        <f>_xlfn.XLOOKUP(CustomerCombinedCleaned[[#This Row],[ID]], Table4[ID], Table4[Deals], "Not Found", 0)</f>
        <v>4</v>
      </c>
      <c r="S2136" s="16">
        <f>_xlfn.XLOOKUP(CustomerCombinedCleaned[[#This Row],[ID]], Table4[ID], Table4[Website], "Not Found", 0)</f>
        <v>10</v>
      </c>
      <c r="T2136" s="16">
        <f>_xlfn.XLOOKUP(CustomerCombinedCleaned[[#This Row],[ID]], Table4[ID], Table4[Catalog], "Not Found", 0)</f>
        <v>5</v>
      </c>
      <c r="U2136" s="16">
        <f>_xlfn.XLOOKUP(CustomerCombinedCleaned[[#This Row],[ID]], Table4[ID], Table4[Store], "Not Found", 0)</f>
        <v>7</v>
      </c>
      <c r="V2136" s="16">
        <f>_xlfn.XLOOKUP(CustomerCombinedCleaned[[#This Row],[ID]], Table4[ID], Table4[Visits], "Not Found", 0)</f>
        <v>8</v>
      </c>
      <c r="W2136" s="16">
        <f>_xlfn.XLOOKUP(CustomerCombinedCleaned[[#This Row],[ID]], Table2[ID],Table2[Complaint], "Not Found", 0 )</f>
        <v>0</v>
      </c>
      <c r="X2136" s="16">
        <f>_xlfn.XLOOKUP(CustomerCombinedCleaned[[#This Row],[ID]], Table2[ID],Table2[Pilot], "Not Found", 0 )</f>
        <v>1</v>
      </c>
      <c r="Y2136" s="16">
        <f>_xlfn.XLOOKUP(CustomerCombinedCleaned[[#This Row],[ID]], Table2[ID],Table2[MC1], "Not Found", 0 )</f>
        <v>0</v>
      </c>
      <c r="Z2136" s="16">
        <f>_xlfn.XLOOKUP(CustomerCombinedCleaned[[#This Row],[ID]], Table2[ID],Table2[MC2], "Not Found", 0 )</f>
        <v>0</v>
      </c>
      <c r="AA2136" s="16">
        <f>_xlfn.XLOOKUP(CustomerCombinedCleaned[[#This Row],[ID]], Table2[ID],Table2[MC3], "Not Found", 0 )</f>
        <v>1</v>
      </c>
      <c r="AB2136" s="16">
        <f>_xlfn.XLOOKUP(CustomerCombinedCleaned[[#This Row],[ID]], Table2[ID],Table2[MC4], "Not Found", 0 )</f>
        <v>0</v>
      </c>
      <c r="AC2136" s="16">
        <f>_xlfn.XLOOKUP(CustomerCombinedCleaned[[#This Row],[ID]], Table2[ID],Table2[MC5], "Not Found", 0 )</f>
        <v>0</v>
      </c>
    </row>
    <row r="2137" spans="1:29" x14ac:dyDescent="0.3">
      <c r="A2137" s="18">
        <v>3063</v>
      </c>
      <c r="B2137" s="16">
        <v>149912</v>
      </c>
      <c r="C2137" s="16">
        <v>0</v>
      </c>
      <c r="D2137" s="16">
        <v>1</v>
      </c>
      <c r="E2137" s="16">
        <v>71</v>
      </c>
      <c r="F2137" s="17" t="s">
        <v>8</v>
      </c>
      <c r="G2137" s="17" t="s">
        <v>12</v>
      </c>
      <c r="H2137" s="3" t="s">
        <v>684</v>
      </c>
      <c r="I2137" s="5" t="s">
        <v>435</v>
      </c>
      <c r="J2137" s="16">
        <f>_xlfn.XLOOKUP(CustomerCombinedCleaned[[#This Row],[ID]], Table4[ID], Table4[Recency], "Not Found", 0)</f>
        <v>5</v>
      </c>
      <c r="K2137" s="16">
        <f>_xlfn.XLOOKUP(CustomerCombinedCleaned[[#This Row],[ID]], Table4[ID], Table4[Teas], "Not Found", 0)</f>
        <v>1562</v>
      </c>
      <c r="L2137" s="16">
        <f>_xlfn.XLOOKUP(CustomerCombinedCleaned[[#This Row],[ID]], Table4[ID], Table4[Fruits], "Not Found", 0)</f>
        <v>24</v>
      </c>
      <c r="M2137" s="16">
        <f>_xlfn.XLOOKUP(CustomerCombinedCleaned[[#This Row],[ID]], Table4[ID], Table4[Meats], "Not Found", 0)</f>
        <v>670</v>
      </c>
      <c r="N2137" s="16">
        <f>_xlfn.XLOOKUP(CustomerCombinedCleaned[[#This Row],[ID]], Table4[ID], Table4[Seafood], "Not Found", 0)</f>
        <v>96</v>
      </c>
      <c r="O2137" s="16">
        <f>_xlfn.XLOOKUP(CustomerCombinedCleaned[[#This Row],[ID]], Table4[ID], Table4[Sweets], "Not Found", 0)</f>
        <v>147</v>
      </c>
      <c r="P2137" s="16">
        <f>_xlfn.XLOOKUP(CustomerCombinedCleaned[[#This Row],[ID]], Table4[ID], Table4[Premium], "Not Found", 0)</f>
        <v>126</v>
      </c>
      <c r="Q2137" s="16">
        <f>_xlfn.XLOOKUP(CustomerCombinedCleaned[[#This Row],[ID]], Table4[ID], Table4[Regular], "Not Found", 0)</f>
        <v>2373</v>
      </c>
      <c r="R2137" s="16">
        <f>_xlfn.XLOOKUP(CustomerCombinedCleaned[[#This Row],[ID]], Table4[ID], Table4[Deals], "Not Found", 0)</f>
        <v>4</v>
      </c>
      <c r="S2137" s="16">
        <f>_xlfn.XLOOKUP(CustomerCombinedCleaned[[#This Row],[ID]], Table4[ID], Table4[Website], "Not Found", 0)</f>
        <v>10</v>
      </c>
      <c r="T2137" s="16">
        <f>_xlfn.XLOOKUP(CustomerCombinedCleaned[[#This Row],[ID]], Table4[ID], Table4[Catalog], "Not Found", 0)</f>
        <v>5</v>
      </c>
      <c r="U2137" s="16">
        <f>_xlfn.XLOOKUP(CustomerCombinedCleaned[[#This Row],[ID]], Table4[ID], Table4[Store], "Not Found", 0)</f>
        <v>7</v>
      </c>
      <c r="V2137" s="16">
        <f>_xlfn.XLOOKUP(CustomerCombinedCleaned[[#This Row],[ID]], Table4[ID], Table4[Visits], "Not Found", 0)</f>
        <v>8</v>
      </c>
      <c r="W2137" s="16">
        <f>_xlfn.XLOOKUP(CustomerCombinedCleaned[[#This Row],[ID]], Table2[ID],Table2[Complaint], "Not Found", 0 )</f>
        <v>0</v>
      </c>
      <c r="X2137" s="16">
        <f>_xlfn.XLOOKUP(CustomerCombinedCleaned[[#This Row],[ID]], Table2[ID],Table2[Pilot], "Not Found", 0 )</f>
        <v>1</v>
      </c>
      <c r="Y2137" s="16">
        <f>_xlfn.XLOOKUP(CustomerCombinedCleaned[[#This Row],[ID]], Table2[ID],Table2[MC1], "Not Found", 0 )</f>
        <v>0</v>
      </c>
      <c r="Z2137" s="16">
        <f>_xlfn.XLOOKUP(CustomerCombinedCleaned[[#This Row],[ID]], Table2[ID],Table2[MC2], "Not Found", 0 )</f>
        <v>0</v>
      </c>
      <c r="AA2137" s="16">
        <f>_xlfn.XLOOKUP(CustomerCombinedCleaned[[#This Row],[ID]], Table2[ID],Table2[MC3], "Not Found", 0 )</f>
        <v>1</v>
      </c>
      <c r="AB2137" s="16">
        <f>_xlfn.XLOOKUP(CustomerCombinedCleaned[[#This Row],[ID]], Table2[ID],Table2[MC4], "Not Found", 0 )</f>
        <v>0</v>
      </c>
      <c r="AC2137" s="16">
        <f>_xlfn.XLOOKUP(CustomerCombinedCleaned[[#This Row],[ID]], Table2[ID],Table2[MC5], "Not Found", 0 )</f>
        <v>0</v>
      </c>
    </row>
    <row r="2138" spans="1:29" x14ac:dyDescent="0.3">
      <c r="A2138" s="18">
        <v>2870</v>
      </c>
      <c r="B2138" s="16">
        <v>149160</v>
      </c>
      <c r="C2138" s="16">
        <v>0</v>
      </c>
      <c r="D2138" s="16">
        <v>1</v>
      </c>
      <c r="E2138" s="16">
        <v>71</v>
      </c>
      <c r="F2138" s="17" t="s">
        <v>5</v>
      </c>
      <c r="G2138" s="17" t="s">
        <v>11</v>
      </c>
      <c r="H2138" s="3" t="s">
        <v>162</v>
      </c>
      <c r="I2138" s="5" t="s">
        <v>438</v>
      </c>
      <c r="J2138" s="16">
        <f>_xlfn.XLOOKUP(CustomerCombinedCleaned[[#This Row],[ID]], Table4[ID], Table4[Recency], "Not Found", 0)</f>
        <v>29</v>
      </c>
      <c r="K2138" s="16">
        <f>_xlfn.XLOOKUP(CustomerCombinedCleaned[[#This Row],[ID]], Table4[ID], Table4[Teas], "Not Found", 0)</f>
        <v>370</v>
      </c>
      <c r="L2138" s="16">
        <f>_xlfn.XLOOKUP(CustomerCombinedCleaned[[#This Row],[ID]], Table4[ID], Table4[Fruits], "Not Found", 0)</f>
        <v>64</v>
      </c>
      <c r="M2138" s="16">
        <f>_xlfn.XLOOKUP(CustomerCombinedCleaned[[#This Row],[ID]], Table4[ID], Table4[Meats], "Not Found", 0)</f>
        <v>130</v>
      </c>
      <c r="N2138" s="16">
        <f>_xlfn.XLOOKUP(CustomerCombinedCleaned[[#This Row],[ID]], Table4[ID], Table4[Seafood], "Not Found", 0)</f>
        <v>76</v>
      </c>
      <c r="O2138" s="16">
        <f>_xlfn.XLOOKUP(CustomerCombinedCleaned[[#This Row],[ID]], Table4[ID], Table4[Sweets], "Not Found", 0)</f>
        <v>30</v>
      </c>
      <c r="P2138" s="16">
        <f>_xlfn.XLOOKUP(CustomerCombinedCleaned[[#This Row],[ID]], Table4[ID], Table4[Premium], "Not Found", 0)</f>
        <v>46</v>
      </c>
      <c r="Q2138" s="16">
        <f>_xlfn.XLOOKUP(CustomerCombinedCleaned[[#This Row],[ID]], Table4[ID], Table4[Regular], "Not Found", 0)</f>
        <v>625</v>
      </c>
      <c r="R2138" s="16">
        <f>_xlfn.XLOOKUP(CustomerCombinedCleaned[[#This Row],[ID]], Table4[ID], Table4[Deals], "Not Found", 0)</f>
        <v>2</v>
      </c>
      <c r="S2138" s="16">
        <f>_xlfn.XLOOKUP(CustomerCombinedCleaned[[#This Row],[ID]], Table4[ID], Table4[Website], "Not Found", 0)</f>
        <v>3</v>
      </c>
      <c r="T2138" s="16">
        <f>_xlfn.XLOOKUP(CustomerCombinedCleaned[[#This Row],[ID]], Table4[ID], Table4[Catalog], "Not Found", 0)</f>
        <v>1</v>
      </c>
      <c r="U2138" s="16">
        <f>_xlfn.XLOOKUP(CustomerCombinedCleaned[[#This Row],[ID]], Table4[ID], Table4[Store], "Not Found", 0)</f>
        <v>6</v>
      </c>
      <c r="V2138" s="16">
        <f>_xlfn.XLOOKUP(CustomerCombinedCleaned[[#This Row],[ID]], Table4[ID], Table4[Visits], "Not Found", 0)</f>
        <v>6</v>
      </c>
      <c r="W2138" s="16">
        <f>_xlfn.XLOOKUP(CustomerCombinedCleaned[[#This Row],[ID]], Table2[ID],Table2[Complaint], "Not Found", 0 )</f>
        <v>0</v>
      </c>
      <c r="X2138" s="16">
        <f>_xlfn.XLOOKUP(CustomerCombinedCleaned[[#This Row],[ID]], Table2[ID],Table2[Pilot], "Not Found", 0 )</f>
        <v>0</v>
      </c>
      <c r="Y2138" s="16">
        <f>_xlfn.XLOOKUP(CustomerCombinedCleaned[[#This Row],[ID]], Table2[ID],Table2[MC1], "Not Found", 0 )</f>
        <v>0</v>
      </c>
      <c r="Z2138" s="16">
        <f>_xlfn.XLOOKUP(CustomerCombinedCleaned[[#This Row],[ID]], Table2[ID],Table2[MC2], "Not Found", 0 )</f>
        <v>0</v>
      </c>
      <c r="AA2138" s="16">
        <f>_xlfn.XLOOKUP(CustomerCombinedCleaned[[#This Row],[ID]], Table2[ID],Table2[MC3], "Not Found", 0 )</f>
        <v>0</v>
      </c>
      <c r="AB2138" s="16">
        <f>_xlfn.XLOOKUP(CustomerCombinedCleaned[[#This Row],[ID]], Table2[ID],Table2[MC4], "Not Found", 0 )</f>
        <v>0</v>
      </c>
      <c r="AC2138" s="16">
        <f>_xlfn.XLOOKUP(CustomerCombinedCleaned[[#This Row],[ID]], Table2[ID],Table2[MC5], "Not Found", 0 )</f>
        <v>0</v>
      </c>
    </row>
    <row r="2139" spans="1:29" x14ac:dyDescent="0.3">
      <c r="A2139" s="18">
        <v>3077</v>
      </c>
      <c r="B2139" s="16">
        <v>148150</v>
      </c>
      <c r="C2139" s="16">
        <v>0</v>
      </c>
      <c r="D2139" s="16">
        <v>1</v>
      </c>
      <c r="E2139" s="16">
        <v>71</v>
      </c>
      <c r="F2139" s="17" t="s">
        <v>6</v>
      </c>
      <c r="G2139" s="17" t="s">
        <v>12</v>
      </c>
      <c r="H2139" s="3" t="s">
        <v>244</v>
      </c>
      <c r="I2139" s="5" t="s">
        <v>434</v>
      </c>
      <c r="J2139" s="16">
        <f>_xlfn.XLOOKUP(CustomerCombinedCleaned[[#This Row],[ID]], Table4[ID], Table4[Recency], "Not Found", 0)</f>
        <v>24</v>
      </c>
      <c r="K2139" s="16">
        <f>_xlfn.XLOOKUP(CustomerCombinedCleaned[[#This Row],[ID]], Table4[ID], Table4[Teas], "Not Found", 0)</f>
        <v>532</v>
      </c>
      <c r="L2139" s="16">
        <f>_xlfn.XLOOKUP(CustomerCombinedCleaned[[#This Row],[ID]], Table4[ID], Table4[Fruits], "Not Found", 0)</f>
        <v>6</v>
      </c>
      <c r="M2139" s="16">
        <f>_xlfn.XLOOKUP(CustomerCombinedCleaned[[#This Row],[ID]], Table4[ID], Table4[Meats], "Not Found", 0)</f>
        <v>120</v>
      </c>
      <c r="N2139" s="16">
        <f>_xlfn.XLOOKUP(CustomerCombinedCleaned[[#This Row],[ID]], Table4[ID], Table4[Seafood], "Not Found", 0)</f>
        <v>9</v>
      </c>
      <c r="O2139" s="16">
        <f>_xlfn.XLOOKUP(CustomerCombinedCleaned[[#This Row],[ID]], Table4[ID], Table4[Sweets], "Not Found", 0)</f>
        <v>6</v>
      </c>
      <c r="P2139" s="16">
        <f>_xlfn.XLOOKUP(CustomerCombinedCleaned[[#This Row],[ID]], Table4[ID], Table4[Premium], "Not Found", 0)</f>
        <v>145</v>
      </c>
      <c r="Q2139" s="16">
        <f>_xlfn.XLOOKUP(CustomerCombinedCleaned[[#This Row],[ID]], Table4[ID], Table4[Regular], "Not Found", 0)</f>
        <v>529</v>
      </c>
      <c r="R2139" s="16">
        <f>_xlfn.XLOOKUP(CustomerCombinedCleaned[[#This Row],[ID]], Table4[ID], Table4[Deals], "Not Found", 0)</f>
        <v>3</v>
      </c>
      <c r="S2139" s="16">
        <f>_xlfn.XLOOKUP(CustomerCombinedCleaned[[#This Row],[ID]], Table4[ID], Table4[Website], "Not Found", 0)</f>
        <v>5</v>
      </c>
      <c r="T2139" s="16">
        <f>_xlfn.XLOOKUP(CustomerCombinedCleaned[[#This Row],[ID]], Table4[ID], Table4[Catalog], "Not Found", 0)</f>
        <v>1</v>
      </c>
      <c r="U2139" s="16">
        <f>_xlfn.XLOOKUP(CustomerCombinedCleaned[[#This Row],[ID]], Table4[ID], Table4[Store], "Not Found", 0)</f>
        <v>4</v>
      </c>
      <c r="V2139" s="16">
        <f>_xlfn.XLOOKUP(CustomerCombinedCleaned[[#This Row],[ID]], Table4[ID], Table4[Visits], "Not Found", 0)</f>
        <v>7</v>
      </c>
      <c r="W2139" s="16">
        <f>_xlfn.XLOOKUP(CustomerCombinedCleaned[[#This Row],[ID]], Table2[ID],Table2[Complaint], "Not Found", 0 )</f>
        <v>0</v>
      </c>
      <c r="X2139" s="16">
        <f>_xlfn.XLOOKUP(CustomerCombinedCleaned[[#This Row],[ID]], Table2[ID],Table2[Pilot], "Not Found", 0 )</f>
        <v>0</v>
      </c>
      <c r="Y2139" s="16">
        <f>_xlfn.XLOOKUP(CustomerCombinedCleaned[[#This Row],[ID]], Table2[ID],Table2[MC1], "Not Found", 0 )</f>
        <v>0</v>
      </c>
      <c r="Z2139" s="16">
        <f>_xlfn.XLOOKUP(CustomerCombinedCleaned[[#This Row],[ID]], Table2[ID],Table2[MC2], "Not Found", 0 )</f>
        <v>0</v>
      </c>
      <c r="AA2139" s="16">
        <f>_xlfn.XLOOKUP(CustomerCombinedCleaned[[#This Row],[ID]], Table2[ID],Table2[MC3], "Not Found", 0 )</f>
        <v>0</v>
      </c>
      <c r="AB2139" s="16">
        <f>_xlfn.XLOOKUP(CustomerCombinedCleaned[[#This Row],[ID]], Table2[ID],Table2[MC4], "Not Found", 0 )</f>
        <v>0</v>
      </c>
      <c r="AC2139" s="16">
        <f>_xlfn.XLOOKUP(CustomerCombinedCleaned[[#This Row],[ID]], Table2[ID],Table2[MC5], "Not Found", 0 )</f>
        <v>0</v>
      </c>
    </row>
    <row r="2140" spans="1:29" x14ac:dyDescent="0.3">
      <c r="A2140" s="18">
        <v>1675</v>
      </c>
      <c r="B2140" s="16">
        <v>147570</v>
      </c>
      <c r="C2140" s="16">
        <v>1</v>
      </c>
      <c r="D2140" s="16">
        <v>1</v>
      </c>
      <c r="E2140" s="16">
        <v>71</v>
      </c>
      <c r="F2140" s="17" t="s">
        <v>9</v>
      </c>
      <c r="G2140" s="17" t="s">
        <v>12</v>
      </c>
      <c r="H2140" s="3" t="s">
        <v>627</v>
      </c>
      <c r="I2140" s="5" t="s">
        <v>437</v>
      </c>
      <c r="J2140" s="16">
        <f>_xlfn.XLOOKUP(CustomerCombinedCleaned[[#This Row],[ID]], Table4[ID], Table4[Recency], "Not Found", 0)</f>
        <v>3</v>
      </c>
      <c r="K2140" s="16">
        <f>_xlfn.XLOOKUP(CustomerCombinedCleaned[[#This Row],[ID]], Table4[ID], Table4[Teas], "Not Found", 0)</f>
        <v>208</v>
      </c>
      <c r="L2140" s="16">
        <f>_xlfn.XLOOKUP(CustomerCombinedCleaned[[#This Row],[ID]], Table4[ID], Table4[Fruits], "Not Found", 0)</f>
        <v>3</v>
      </c>
      <c r="M2140" s="16">
        <f>_xlfn.XLOOKUP(CustomerCombinedCleaned[[#This Row],[ID]], Table4[ID], Table4[Meats], "Not Found", 0)</f>
        <v>62</v>
      </c>
      <c r="N2140" s="16">
        <f>_xlfn.XLOOKUP(CustomerCombinedCleaned[[#This Row],[ID]], Table4[ID], Table4[Seafood], "Not Found", 0)</f>
        <v>0</v>
      </c>
      <c r="O2140" s="16">
        <f>_xlfn.XLOOKUP(CustomerCombinedCleaned[[#This Row],[ID]], Table4[ID], Table4[Sweets], "Not Found", 0)</f>
        <v>6</v>
      </c>
      <c r="P2140" s="16">
        <f>_xlfn.XLOOKUP(CustomerCombinedCleaned[[#This Row],[ID]], Table4[ID], Table4[Premium], "Not Found", 0)</f>
        <v>96</v>
      </c>
      <c r="Q2140" s="16">
        <f>_xlfn.XLOOKUP(CustomerCombinedCleaned[[#This Row],[ID]], Table4[ID], Table4[Regular], "Not Found", 0)</f>
        <v>183</v>
      </c>
      <c r="R2140" s="16">
        <f>_xlfn.XLOOKUP(CustomerCombinedCleaned[[#This Row],[ID]], Table4[ID], Table4[Deals], "Not Found", 0)</f>
        <v>3</v>
      </c>
      <c r="S2140" s="16">
        <f>_xlfn.XLOOKUP(CustomerCombinedCleaned[[#This Row],[ID]], Table4[ID], Table4[Website], "Not Found", 0)</f>
        <v>2</v>
      </c>
      <c r="T2140" s="16">
        <f>_xlfn.XLOOKUP(CustomerCombinedCleaned[[#This Row],[ID]], Table4[ID], Table4[Catalog], "Not Found", 0)</f>
        <v>2</v>
      </c>
      <c r="U2140" s="16">
        <f>_xlfn.XLOOKUP(CustomerCombinedCleaned[[#This Row],[ID]], Table4[ID], Table4[Store], "Not Found", 0)</f>
        <v>2</v>
      </c>
      <c r="V2140" s="16">
        <f>_xlfn.XLOOKUP(CustomerCombinedCleaned[[#This Row],[ID]], Table4[ID], Table4[Visits], "Not Found", 0)</f>
        <v>7</v>
      </c>
      <c r="W2140" s="16">
        <f>_xlfn.XLOOKUP(CustomerCombinedCleaned[[#This Row],[ID]], Table2[ID],Table2[Complaint], "Not Found", 0 )</f>
        <v>0</v>
      </c>
      <c r="X2140" s="16">
        <f>_xlfn.XLOOKUP(CustomerCombinedCleaned[[#This Row],[ID]], Table2[ID],Table2[Pilot], "Not Found", 0 )</f>
        <v>1</v>
      </c>
      <c r="Y2140" s="16">
        <f>_xlfn.XLOOKUP(CustomerCombinedCleaned[[#This Row],[ID]], Table2[ID],Table2[MC1], "Not Found", 0 )</f>
        <v>0</v>
      </c>
      <c r="Z2140" s="16">
        <f>_xlfn.XLOOKUP(CustomerCombinedCleaned[[#This Row],[ID]], Table2[ID],Table2[MC2], "Not Found", 0 )</f>
        <v>0</v>
      </c>
      <c r="AA2140" s="16">
        <f>_xlfn.XLOOKUP(CustomerCombinedCleaned[[#This Row],[ID]], Table2[ID],Table2[MC3], "Not Found", 0 )</f>
        <v>0</v>
      </c>
      <c r="AB2140" s="16">
        <f>_xlfn.XLOOKUP(CustomerCombinedCleaned[[#This Row],[ID]], Table2[ID],Table2[MC4], "Not Found", 0 )</f>
        <v>0</v>
      </c>
      <c r="AC2140" s="16">
        <f>_xlfn.XLOOKUP(CustomerCombinedCleaned[[#This Row],[ID]], Table2[ID],Table2[MC5], "Not Found", 0 )</f>
        <v>0</v>
      </c>
    </row>
    <row r="2141" spans="1:29" x14ac:dyDescent="0.3">
      <c r="A2141" s="18">
        <v>1372</v>
      </c>
      <c r="B2141" s="16">
        <v>138823</v>
      </c>
      <c r="C2141" s="16">
        <v>0</v>
      </c>
      <c r="D2141" s="16">
        <v>1</v>
      </c>
      <c r="E2141" s="16">
        <v>71</v>
      </c>
      <c r="F2141" s="17" t="s">
        <v>8</v>
      </c>
      <c r="G2141" s="17" t="s">
        <v>11</v>
      </c>
      <c r="H2141" s="3" t="s">
        <v>677</v>
      </c>
      <c r="I2141" s="5" t="s">
        <v>439</v>
      </c>
      <c r="J2141" s="16">
        <f>_xlfn.XLOOKUP(CustomerCombinedCleaned[[#This Row],[ID]], Table4[ID], Table4[Recency], "Not Found", 0)</f>
        <v>56</v>
      </c>
      <c r="K2141" s="16">
        <f>_xlfn.XLOOKUP(CustomerCombinedCleaned[[#This Row],[ID]], Table4[ID], Table4[Teas], "Not Found", 0)</f>
        <v>250</v>
      </c>
      <c r="L2141" s="16">
        <f>_xlfn.XLOOKUP(CustomerCombinedCleaned[[#This Row],[ID]], Table4[ID], Table4[Fruits], "Not Found", 0)</f>
        <v>0</v>
      </c>
      <c r="M2141" s="16">
        <f>_xlfn.XLOOKUP(CustomerCombinedCleaned[[#This Row],[ID]], Table4[ID], Table4[Meats], "Not Found", 0)</f>
        <v>39</v>
      </c>
      <c r="N2141" s="16">
        <f>_xlfn.XLOOKUP(CustomerCombinedCleaned[[#This Row],[ID]], Table4[ID], Table4[Seafood], "Not Found", 0)</f>
        <v>7</v>
      </c>
      <c r="O2141" s="16">
        <f>_xlfn.XLOOKUP(CustomerCombinedCleaned[[#This Row],[ID]], Table4[ID], Table4[Sweets], "Not Found", 0)</f>
        <v>29</v>
      </c>
      <c r="P2141" s="16">
        <f>_xlfn.XLOOKUP(CustomerCombinedCleaned[[#This Row],[ID]], Table4[ID], Table4[Premium], "Not Found", 0)</f>
        <v>82</v>
      </c>
      <c r="Q2141" s="16">
        <f>_xlfn.XLOOKUP(CustomerCombinedCleaned[[#This Row],[ID]], Table4[ID], Table4[Regular], "Not Found", 0)</f>
        <v>243</v>
      </c>
      <c r="R2141" s="16">
        <f>_xlfn.XLOOKUP(CustomerCombinedCleaned[[#This Row],[ID]], Table4[ID], Table4[Deals], "Not Found", 0)</f>
        <v>1</v>
      </c>
      <c r="S2141" s="16">
        <f>_xlfn.XLOOKUP(CustomerCombinedCleaned[[#This Row],[ID]], Table4[ID], Table4[Website], "Not Found", 0)</f>
        <v>2</v>
      </c>
      <c r="T2141" s="16">
        <f>_xlfn.XLOOKUP(CustomerCombinedCleaned[[#This Row],[ID]], Table4[ID], Table4[Catalog], "Not Found", 0)</f>
        <v>1</v>
      </c>
      <c r="U2141" s="16">
        <f>_xlfn.XLOOKUP(CustomerCombinedCleaned[[#This Row],[ID]], Table4[ID], Table4[Store], "Not Found", 0)</f>
        <v>3</v>
      </c>
      <c r="V2141" s="16">
        <f>_xlfn.XLOOKUP(CustomerCombinedCleaned[[#This Row],[ID]], Table4[ID], Table4[Visits], "Not Found", 0)</f>
        <v>6</v>
      </c>
      <c r="W2141" s="16">
        <f>_xlfn.XLOOKUP(CustomerCombinedCleaned[[#This Row],[ID]], Table2[ID],Table2[Complaint], "Not Found", 0 )</f>
        <v>0</v>
      </c>
      <c r="X2141" s="16">
        <f>_xlfn.XLOOKUP(CustomerCombinedCleaned[[#This Row],[ID]], Table2[ID],Table2[Pilot], "Not Found", 0 )</f>
        <v>0</v>
      </c>
      <c r="Y2141" s="16">
        <f>_xlfn.XLOOKUP(CustomerCombinedCleaned[[#This Row],[ID]], Table2[ID],Table2[MC1], "Not Found", 0 )</f>
        <v>0</v>
      </c>
      <c r="Z2141" s="16">
        <f>_xlfn.XLOOKUP(CustomerCombinedCleaned[[#This Row],[ID]], Table2[ID],Table2[MC2], "Not Found", 0 )</f>
        <v>0</v>
      </c>
      <c r="AA2141" s="16">
        <f>_xlfn.XLOOKUP(CustomerCombinedCleaned[[#This Row],[ID]], Table2[ID],Table2[MC3], "Not Found", 0 )</f>
        <v>0</v>
      </c>
      <c r="AB2141" s="16">
        <f>_xlfn.XLOOKUP(CustomerCombinedCleaned[[#This Row],[ID]], Table2[ID],Table2[MC4], "Not Found", 0 )</f>
        <v>0</v>
      </c>
      <c r="AC2141" s="16">
        <f>_xlfn.XLOOKUP(CustomerCombinedCleaned[[#This Row],[ID]], Table2[ID],Table2[MC5], "Not Found", 0 )</f>
        <v>0</v>
      </c>
    </row>
    <row r="2142" spans="1:29" x14ac:dyDescent="0.3">
      <c r="A2142" s="18">
        <v>2417</v>
      </c>
      <c r="B2142" s="16">
        <v>136408</v>
      </c>
      <c r="C2142" s="16">
        <v>1</v>
      </c>
      <c r="D2142" s="16">
        <v>1</v>
      </c>
      <c r="E2142" s="16">
        <v>71</v>
      </c>
      <c r="F2142" s="17" t="s">
        <v>6</v>
      </c>
      <c r="G2142" s="17" t="s">
        <v>12</v>
      </c>
      <c r="H2142" s="3" t="s">
        <v>178</v>
      </c>
      <c r="I2142" s="5" t="s">
        <v>434</v>
      </c>
      <c r="J2142" s="16">
        <f>_xlfn.XLOOKUP(CustomerCombinedCleaned[[#This Row],[ID]], Table4[ID], Table4[Recency], "Not Found", 0)</f>
        <v>11</v>
      </c>
      <c r="K2142" s="16">
        <f>_xlfn.XLOOKUP(CustomerCombinedCleaned[[#This Row],[ID]], Table4[ID], Table4[Teas], "Not Found", 0)</f>
        <v>34</v>
      </c>
      <c r="L2142" s="16">
        <f>_xlfn.XLOOKUP(CustomerCombinedCleaned[[#This Row],[ID]], Table4[ID], Table4[Fruits], "Not Found", 0)</f>
        <v>4</v>
      </c>
      <c r="M2142" s="16">
        <f>_xlfn.XLOOKUP(CustomerCombinedCleaned[[#This Row],[ID]], Table4[ID], Table4[Meats], "Not Found", 0)</f>
        <v>15</v>
      </c>
      <c r="N2142" s="16">
        <f>_xlfn.XLOOKUP(CustomerCombinedCleaned[[#This Row],[ID]], Table4[ID], Table4[Seafood], "Not Found", 0)</f>
        <v>11</v>
      </c>
      <c r="O2142" s="16">
        <f>_xlfn.XLOOKUP(CustomerCombinedCleaned[[#This Row],[ID]], Table4[ID], Table4[Sweets], "Not Found", 0)</f>
        <v>7</v>
      </c>
      <c r="P2142" s="16">
        <f>_xlfn.XLOOKUP(CustomerCombinedCleaned[[#This Row],[ID]], Table4[ID], Table4[Premium], "Not Found", 0)</f>
        <v>11</v>
      </c>
      <c r="Q2142" s="16">
        <f>_xlfn.XLOOKUP(CustomerCombinedCleaned[[#This Row],[ID]], Table4[ID], Table4[Regular], "Not Found", 0)</f>
        <v>60</v>
      </c>
      <c r="R2142" s="16">
        <f>_xlfn.XLOOKUP(CustomerCombinedCleaned[[#This Row],[ID]], Table4[ID], Table4[Deals], "Not Found", 0)</f>
        <v>1</v>
      </c>
      <c r="S2142" s="16">
        <f>_xlfn.XLOOKUP(CustomerCombinedCleaned[[#This Row],[ID]], Table4[ID], Table4[Website], "Not Found", 0)</f>
        <v>1</v>
      </c>
      <c r="T2142" s="16">
        <f>_xlfn.XLOOKUP(CustomerCombinedCleaned[[#This Row],[ID]], Table4[ID], Table4[Catalog], "Not Found", 0)</f>
        <v>0</v>
      </c>
      <c r="U2142" s="16">
        <f>_xlfn.XLOOKUP(CustomerCombinedCleaned[[#This Row],[ID]], Table4[ID], Table4[Store], "Not Found", 0)</f>
        <v>2</v>
      </c>
      <c r="V2142" s="16">
        <f>_xlfn.XLOOKUP(CustomerCombinedCleaned[[#This Row],[ID]], Table4[ID], Table4[Visits], "Not Found", 0)</f>
        <v>6</v>
      </c>
      <c r="W2142" s="16">
        <f>_xlfn.XLOOKUP(CustomerCombinedCleaned[[#This Row],[ID]], Table2[ID],Table2[Complaint], "Not Found", 0 )</f>
        <v>0</v>
      </c>
      <c r="X2142" s="16">
        <f>_xlfn.XLOOKUP(CustomerCombinedCleaned[[#This Row],[ID]], Table2[ID],Table2[Pilot], "Not Found", 0 )</f>
        <v>0</v>
      </c>
      <c r="Y2142" s="16">
        <f>_xlfn.XLOOKUP(CustomerCombinedCleaned[[#This Row],[ID]], Table2[ID],Table2[MC1], "Not Found", 0 )</f>
        <v>0</v>
      </c>
      <c r="Z2142" s="16">
        <f>_xlfn.XLOOKUP(CustomerCombinedCleaned[[#This Row],[ID]], Table2[ID],Table2[MC2], "Not Found", 0 )</f>
        <v>0</v>
      </c>
      <c r="AA2142" s="16">
        <f>_xlfn.XLOOKUP(CustomerCombinedCleaned[[#This Row],[ID]], Table2[ID],Table2[MC3], "Not Found", 0 )</f>
        <v>0</v>
      </c>
      <c r="AB2142" s="16">
        <f>_xlfn.XLOOKUP(CustomerCombinedCleaned[[#This Row],[ID]], Table2[ID],Table2[MC4], "Not Found", 0 )</f>
        <v>0</v>
      </c>
      <c r="AC2142" s="16">
        <f>_xlfn.XLOOKUP(CustomerCombinedCleaned[[#This Row],[ID]], Table2[ID],Table2[MC5], "Not Found", 0 )</f>
        <v>0</v>
      </c>
    </row>
    <row r="2143" spans="1:29" x14ac:dyDescent="0.3">
      <c r="A2143" s="18">
        <v>1711</v>
      </c>
      <c r="B2143" s="16">
        <v>135946</v>
      </c>
      <c r="C2143" s="16">
        <v>1</v>
      </c>
      <c r="D2143" s="16">
        <v>1</v>
      </c>
      <c r="E2143" s="16">
        <v>71</v>
      </c>
      <c r="F2143" s="17" t="s">
        <v>5</v>
      </c>
      <c r="G2143" s="17" t="s">
        <v>13</v>
      </c>
      <c r="H2143" s="3" t="s">
        <v>580</v>
      </c>
      <c r="I2143" s="5" t="s">
        <v>437</v>
      </c>
      <c r="J2143" s="16">
        <f>_xlfn.XLOOKUP(CustomerCombinedCleaned[[#This Row],[ID]], Table4[ID], Table4[Recency], "Not Found", 0)</f>
        <v>24</v>
      </c>
      <c r="K2143" s="16">
        <f>_xlfn.XLOOKUP(CustomerCombinedCleaned[[#This Row],[ID]], Table4[ID], Table4[Teas], "Not Found", 0)</f>
        <v>30</v>
      </c>
      <c r="L2143" s="16">
        <f>_xlfn.XLOOKUP(CustomerCombinedCleaned[[#This Row],[ID]], Table4[ID], Table4[Fruits], "Not Found", 0)</f>
        <v>0</v>
      </c>
      <c r="M2143" s="16">
        <f>_xlfn.XLOOKUP(CustomerCombinedCleaned[[#This Row],[ID]], Table4[ID], Table4[Meats], "Not Found", 0)</f>
        <v>11</v>
      </c>
      <c r="N2143" s="16">
        <f>_xlfn.XLOOKUP(CustomerCombinedCleaned[[#This Row],[ID]], Table4[ID], Table4[Seafood], "Not Found", 0)</f>
        <v>0</v>
      </c>
      <c r="O2143" s="16">
        <f>_xlfn.XLOOKUP(CustomerCombinedCleaned[[#This Row],[ID]], Table4[ID], Table4[Sweets], "Not Found", 0)</f>
        <v>0</v>
      </c>
      <c r="P2143" s="16">
        <f>_xlfn.XLOOKUP(CustomerCombinedCleaned[[#This Row],[ID]], Table4[ID], Table4[Premium], "Not Found", 0)</f>
        <v>0</v>
      </c>
      <c r="Q2143" s="16">
        <f>_xlfn.XLOOKUP(CustomerCombinedCleaned[[#This Row],[ID]], Table4[ID], Table4[Regular], "Not Found", 0)</f>
        <v>42</v>
      </c>
      <c r="R2143" s="16">
        <f>_xlfn.XLOOKUP(CustomerCombinedCleaned[[#This Row],[ID]], Table4[ID], Table4[Deals], "Not Found", 0)</f>
        <v>1</v>
      </c>
      <c r="S2143" s="16">
        <f>_xlfn.XLOOKUP(CustomerCombinedCleaned[[#This Row],[ID]], Table4[ID], Table4[Website], "Not Found", 0)</f>
        <v>0</v>
      </c>
      <c r="T2143" s="16">
        <f>_xlfn.XLOOKUP(CustomerCombinedCleaned[[#This Row],[ID]], Table4[ID], Table4[Catalog], "Not Found", 0)</f>
        <v>0</v>
      </c>
      <c r="U2143" s="16">
        <f>_xlfn.XLOOKUP(CustomerCombinedCleaned[[#This Row],[ID]], Table4[ID], Table4[Store], "Not Found", 0)</f>
        <v>3</v>
      </c>
      <c r="V2143" s="16">
        <f>_xlfn.XLOOKUP(CustomerCombinedCleaned[[#This Row],[ID]], Table4[ID], Table4[Visits], "Not Found", 0)</f>
        <v>5</v>
      </c>
      <c r="W2143" s="16">
        <f>_xlfn.XLOOKUP(CustomerCombinedCleaned[[#This Row],[ID]], Table2[ID],Table2[Complaint], "Not Found", 0 )</f>
        <v>0</v>
      </c>
      <c r="X2143" s="16">
        <f>_xlfn.XLOOKUP(CustomerCombinedCleaned[[#This Row],[ID]], Table2[ID],Table2[Pilot], "Not Found", 0 )</f>
        <v>0</v>
      </c>
      <c r="Y2143" s="16">
        <f>_xlfn.XLOOKUP(CustomerCombinedCleaned[[#This Row],[ID]], Table2[ID],Table2[MC1], "Not Found", 0 )</f>
        <v>0</v>
      </c>
      <c r="Z2143" s="16">
        <f>_xlfn.XLOOKUP(CustomerCombinedCleaned[[#This Row],[ID]], Table2[ID],Table2[MC2], "Not Found", 0 )</f>
        <v>0</v>
      </c>
      <c r="AA2143" s="16">
        <f>_xlfn.XLOOKUP(CustomerCombinedCleaned[[#This Row],[ID]], Table2[ID],Table2[MC3], "Not Found", 0 )</f>
        <v>0</v>
      </c>
      <c r="AB2143" s="16">
        <f>_xlfn.XLOOKUP(CustomerCombinedCleaned[[#This Row],[ID]], Table2[ID],Table2[MC4], "Not Found", 0 )</f>
        <v>0</v>
      </c>
      <c r="AC2143" s="16">
        <f>_xlfn.XLOOKUP(CustomerCombinedCleaned[[#This Row],[ID]], Table2[ID],Table2[MC5], "Not Found", 0 )</f>
        <v>0</v>
      </c>
    </row>
    <row r="2144" spans="1:29" x14ac:dyDescent="0.3">
      <c r="A2144" s="18">
        <v>1276</v>
      </c>
      <c r="B2144" s="16">
        <v>135416</v>
      </c>
      <c r="C2144" s="16">
        <v>0</v>
      </c>
      <c r="D2144" s="16">
        <v>0</v>
      </c>
      <c r="E2144" s="16">
        <v>71</v>
      </c>
      <c r="F2144" s="17" t="s">
        <v>5</v>
      </c>
      <c r="G2144" s="17" t="s">
        <v>12</v>
      </c>
      <c r="H2144" s="3" t="s">
        <v>239</v>
      </c>
      <c r="I2144" s="5" t="s">
        <v>439</v>
      </c>
      <c r="J2144" s="16">
        <f>_xlfn.XLOOKUP(CustomerCombinedCleaned[[#This Row],[ID]], Table4[ID], Table4[Recency], "Not Found", 0)</f>
        <v>62</v>
      </c>
      <c r="K2144" s="16">
        <f>_xlfn.XLOOKUP(CustomerCombinedCleaned[[#This Row],[ID]], Table4[ID], Table4[Teas], "Not Found", 0)</f>
        <v>948</v>
      </c>
      <c r="L2144" s="16">
        <f>_xlfn.XLOOKUP(CustomerCombinedCleaned[[#This Row],[ID]], Table4[ID], Table4[Fruits], "Not Found", 0)</f>
        <v>11</v>
      </c>
      <c r="M2144" s="16">
        <f>_xlfn.XLOOKUP(CustomerCombinedCleaned[[#This Row],[ID]], Table4[ID], Table4[Meats], "Not Found", 0)</f>
        <v>310</v>
      </c>
      <c r="N2144" s="16">
        <f>_xlfn.XLOOKUP(CustomerCombinedCleaned[[#This Row],[ID]], Table4[ID], Table4[Seafood], "Not Found", 0)</f>
        <v>15</v>
      </c>
      <c r="O2144" s="16">
        <f>_xlfn.XLOOKUP(CustomerCombinedCleaned[[#This Row],[ID]], Table4[ID], Table4[Sweets], "Not Found", 0)</f>
        <v>11</v>
      </c>
      <c r="P2144" s="16">
        <f>_xlfn.XLOOKUP(CustomerCombinedCleaned[[#This Row],[ID]], Table4[ID], Table4[Premium], "Not Found", 0)</f>
        <v>195</v>
      </c>
      <c r="Q2144" s="16">
        <f>_xlfn.XLOOKUP(CustomerCombinedCleaned[[#This Row],[ID]], Table4[ID], Table4[Regular], "Not Found", 0)</f>
        <v>1101</v>
      </c>
      <c r="R2144" s="16">
        <f>_xlfn.XLOOKUP(CustomerCombinedCleaned[[#This Row],[ID]], Table4[ID], Table4[Deals], "Not Found", 0)</f>
        <v>3</v>
      </c>
      <c r="S2144" s="16">
        <f>_xlfn.XLOOKUP(CustomerCombinedCleaned[[#This Row],[ID]], Table4[ID], Table4[Website], "Not Found", 0)</f>
        <v>7</v>
      </c>
      <c r="T2144" s="16">
        <f>_xlfn.XLOOKUP(CustomerCombinedCleaned[[#This Row],[ID]], Table4[ID], Table4[Catalog], "Not Found", 0)</f>
        <v>1</v>
      </c>
      <c r="U2144" s="16">
        <f>_xlfn.XLOOKUP(CustomerCombinedCleaned[[#This Row],[ID]], Table4[ID], Table4[Store], "Not Found", 0)</f>
        <v>5</v>
      </c>
      <c r="V2144" s="16">
        <f>_xlfn.XLOOKUP(CustomerCombinedCleaned[[#This Row],[ID]], Table4[ID], Table4[Visits], "Not Found", 0)</f>
        <v>8</v>
      </c>
      <c r="W2144" s="16">
        <f>_xlfn.XLOOKUP(CustomerCombinedCleaned[[#This Row],[ID]], Table2[ID],Table2[Complaint], "Not Found", 0 )</f>
        <v>0</v>
      </c>
      <c r="X2144" s="16">
        <f>_xlfn.XLOOKUP(CustomerCombinedCleaned[[#This Row],[ID]], Table2[ID],Table2[Pilot], "Not Found", 0 )</f>
        <v>0</v>
      </c>
      <c r="Y2144" s="16">
        <f>_xlfn.XLOOKUP(CustomerCombinedCleaned[[#This Row],[ID]], Table2[ID],Table2[MC1], "Not Found", 0 )</f>
        <v>0</v>
      </c>
      <c r="Z2144" s="16">
        <f>_xlfn.XLOOKUP(CustomerCombinedCleaned[[#This Row],[ID]], Table2[ID],Table2[MC2], "Not Found", 0 )</f>
        <v>0</v>
      </c>
      <c r="AA2144" s="16">
        <f>_xlfn.XLOOKUP(CustomerCombinedCleaned[[#This Row],[ID]], Table2[ID],Table2[MC3], "Not Found", 0 )</f>
        <v>0</v>
      </c>
      <c r="AB2144" s="16">
        <f>_xlfn.XLOOKUP(CustomerCombinedCleaned[[#This Row],[ID]], Table2[ID],Table2[MC4], "Not Found", 0 )</f>
        <v>0</v>
      </c>
      <c r="AC2144" s="16">
        <f>_xlfn.XLOOKUP(CustomerCombinedCleaned[[#This Row],[ID]], Table2[ID],Table2[MC5], "Not Found", 0 )</f>
        <v>0</v>
      </c>
    </row>
    <row r="2145" spans="1:29" x14ac:dyDescent="0.3">
      <c r="A2145" s="18">
        <v>1678</v>
      </c>
      <c r="B2145" s="16">
        <v>126518</v>
      </c>
      <c r="C2145" s="16">
        <v>1</v>
      </c>
      <c r="D2145" s="16">
        <v>1</v>
      </c>
      <c r="E2145" s="16">
        <v>71</v>
      </c>
      <c r="F2145" s="17" t="s">
        <v>7</v>
      </c>
      <c r="G2145" s="17" t="s">
        <v>13</v>
      </c>
      <c r="H2145" s="3" t="s">
        <v>281</v>
      </c>
      <c r="I2145" s="5" t="s">
        <v>439</v>
      </c>
      <c r="J2145" s="16">
        <f>_xlfn.XLOOKUP(CustomerCombinedCleaned[[#This Row],[ID]], Table4[ID], Table4[Recency], "Not Found", 0)</f>
        <v>33</v>
      </c>
      <c r="K2145" s="16">
        <f>_xlfn.XLOOKUP(CustomerCombinedCleaned[[#This Row],[ID]], Table4[ID], Table4[Teas], "Not Found", 0)</f>
        <v>95</v>
      </c>
      <c r="L2145" s="16">
        <f>_xlfn.XLOOKUP(CustomerCombinedCleaned[[#This Row],[ID]], Table4[ID], Table4[Fruits], "Not Found", 0)</f>
        <v>5</v>
      </c>
      <c r="M2145" s="16">
        <f>_xlfn.XLOOKUP(CustomerCombinedCleaned[[#This Row],[ID]], Table4[ID], Table4[Meats], "Not Found", 0)</f>
        <v>134</v>
      </c>
      <c r="N2145" s="16">
        <f>_xlfn.XLOOKUP(CustomerCombinedCleaned[[#This Row],[ID]], Table4[ID], Table4[Seafood], "Not Found", 0)</f>
        <v>14</v>
      </c>
      <c r="O2145" s="16">
        <f>_xlfn.XLOOKUP(CustomerCombinedCleaned[[#This Row],[ID]], Table4[ID], Table4[Sweets], "Not Found", 0)</f>
        <v>14</v>
      </c>
      <c r="P2145" s="16">
        <f>_xlfn.XLOOKUP(CustomerCombinedCleaned[[#This Row],[ID]], Table4[ID], Table4[Premium], "Not Found", 0)</f>
        <v>10</v>
      </c>
      <c r="Q2145" s="16">
        <f>_xlfn.XLOOKUP(CustomerCombinedCleaned[[#This Row],[ID]], Table4[ID], Table4[Regular], "Not Found", 0)</f>
        <v>253</v>
      </c>
      <c r="R2145" s="16">
        <f>_xlfn.XLOOKUP(CustomerCombinedCleaned[[#This Row],[ID]], Table4[ID], Table4[Deals], "Not Found", 0)</f>
        <v>3</v>
      </c>
      <c r="S2145" s="16">
        <f>_xlfn.XLOOKUP(CustomerCombinedCleaned[[#This Row],[ID]], Table4[ID], Table4[Website], "Not Found", 0)</f>
        <v>2</v>
      </c>
      <c r="T2145" s="16">
        <f>_xlfn.XLOOKUP(CustomerCombinedCleaned[[#This Row],[ID]], Table4[ID], Table4[Catalog], "Not Found", 0)</f>
        <v>0</v>
      </c>
      <c r="U2145" s="16">
        <f>_xlfn.XLOOKUP(CustomerCombinedCleaned[[#This Row],[ID]], Table4[ID], Table4[Store], "Not Found", 0)</f>
        <v>3</v>
      </c>
      <c r="V2145" s="16">
        <f>_xlfn.XLOOKUP(CustomerCombinedCleaned[[#This Row],[ID]], Table4[ID], Table4[Visits], "Not Found", 0)</f>
        <v>8</v>
      </c>
      <c r="W2145" s="16">
        <f>_xlfn.XLOOKUP(CustomerCombinedCleaned[[#This Row],[ID]], Table2[ID],Table2[Complaint], "Not Found", 0 )</f>
        <v>0</v>
      </c>
      <c r="X2145" s="16">
        <f>_xlfn.XLOOKUP(CustomerCombinedCleaned[[#This Row],[ID]], Table2[ID],Table2[Pilot], "Not Found", 0 )</f>
        <v>1</v>
      </c>
      <c r="Y2145" s="16">
        <f>_xlfn.XLOOKUP(CustomerCombinedCleaned[[#This Row],[ID]], Table2[ID],Table2[MC1], "Not Found", 0 )</f>
        <v>0</v>
      </c>
      <c r="Z2145" s="16">
        <f>_xlfn.XLOOKUP(CustomerCombinedCleaned[[#This Row],[ID]], Table2[ID],Table2[MC2], "Not Found", 0 )</f>
        <v>0</v>
      </c>
      <c r="AA2145" s="16">
        <f>_xlfn.XLOOKUP(CustomerCombinedCleaned[[#This Row],[ID]], Table2[ID],Table2[MC3], "Not Found", 0 )</f>
        <v>0</v>
      </c>
      <c r="AB2145" s="16">
        <f>_xlfn.XLOOKUP(CustomerCombinedCleaned[[#This Row],[ID]], Table2[ID],Table2[MC4], "Not Found", 0 )</f>
        <v>0</v>
      </c>
      <c r="AC2145" s="16">
        <f>_xlfn.XLOOKUP(CustomerCombinedCleaned[[#This Row],[ID]], Table2[ID],Table2[MC5], "Not Found", 0 )</f>
        <v>0</v>
      </c>
    </row>
    <row r="2146" spans="1:29" x14ac:dyDescent="0.3">
      <c r="A2146" s="18">
        <v>2362</v>
      </c>
      <c r="B2146" s="16">
        <v>192344</v>
      </c>
      <c r="C2146" s="16">
        <v>0</v>
      </c>
      <c r="D2146" s="16">
        <v>0</v>
      </c>
      <c r="E2146" s="16">
        <v>72</v>
      </c>
      <c r="F2146" s="17" t="s">
        <v>6</v>
      </c>
      <c r="G2146" s="17" t="s">
        <v>11</v>
      </c>
      <c r="H2146" s="3" t="s">
        <v>115</v>
      </c>
      <c r="I2146" s="5" t="s">
        <v>439</v>
      </c>
      <c r="J2146" s="16">
        <f>_xlfn.XLOOKUP(CustomerCombinedCleaned[[#This Row],[ID]], Table4[ID], Table4[Recency], "Not Found", 0)</f>
        <v>9</v>
      </c>
      <c r="K2146" s="16">
        <f>_xlfn.XLOOKUP(CustomerCombinedCleaned[[#This Row],[ID]], Table4[ID], Table4[Teas], "Not Found", 0)</f>
        <v>2066</v>
      </c>
      <c r="L2146" s="16">
        <f>_xlfn.XLOOKUP(CustomerCombinedCleaned[[#This Row],[ID]], Table4[ID], Table4[Fruits], "Not Found", 0)</f>
        <v>50</v>
      </c>
      <c r="M2146" s="16">
        <f>_xlfn.XLOOKUP(CustomerCombinedCleaned[[#This Row],[ID]], Table4[ID], Table4[Meats], "Not Found", 0)</f>
        <v>1446</v>
      </c>
      <c r="N2146" s="16">
        <f>_xlfn.XLOOKUP(CustomerCombinedCleaned[[#This Row],[ID]], Table4[ID], Table4[Seafood], "Not Found", 0)</f>
        <v>106</v>
      </c>
      <c r="O2146" s="16">
        <f>_xlfn.XLOOKUP(CustomerCombinedCleaned[[#This Row],[ID]], Table4[ID], Table4[Sweets], "Not Found", 0)</f>
        <v>40</v>
      </c>
      <c r="P2146" s="16">
        <f>_xlfn.XLOOKUP(CustomerCombinedCleaned[[#This Row],[ID]], Table4[ID], Table4[Premium], "Not Found", 0)</f>
        <v>248</v>
      </c>
      <c r="Q2146" s="16">
        <f>_xlfn.XLOOKUP(CustomerCombinedCleaned[[#This Row],[ID]], Table4[ID], Table4[Regular], "Not Found", 0)</f>
        <v>3460</v>
      </c>
      <c r="R2146" s="16">
        <f>_xlfn.XLOOKUP(CustomerCombinedCleaned[[#This Row],[ID]], Table4[ID], Table4[Deals], "Not Found", 0)</f>
        <v>0</v>
      </c>
      <c r="S2146" s="16">
        <f>_xlfn.XLOOKUP(CustomerCombinedCleaned[[#This Row],[ID]], Table4[ID], Table4[Website], "Not Found", 0)</f>
        <v>5</v>
      </c>
      <c r="T2146" s="16">
        <f>_xlfn.XLOOKUP(CustomerCombinedCleaned[[#This Row],[ID]], Table4[ID], Table4[Catalog], "Not Found", 0)</f>
        <v>10</v>
      </c>
      <c r="U2146" s="16">
        <f>_xlfn.XLOOKUP(CustomerCombinedCleaned[[#This Row],[ID]], Table4[ID], Table4[Store], "Not Found", 0)</f>
        <v>5</v>
      </c>
      <c r="V2146" s="16">
        <f>_xlfn.XLOOKUP(CustomerCombinedCleaned[[#This Row],[ID]], Table4[ID], Table4[Visits], "Not Found", 0)</f>
        <v>1</v>
      </c>
      <c r="W2146" s="16">
        <f>_xlfn.XLOOKUP(CustomerCombinedCleaned[[#This Row],[ID]], Table2[ID],Table2[Complaint], "Not Found", 0 )</f>
        <v>0</v>
      </c>
      <c r="X2146" s="16">
        <f>_xlfn.XLOOKUP(CustomerCombinedCleaned[[#This Row],[ID]], Table2[ID],Table2[Pilot], "Not Found", 0 )</f>
        <v>0</v>
      </c>
      <c r="Y2146" s="16">
        <f>_xlfn.XLOOKUP(CustomerCombinedCleaned[[#This Row],[ID]], Table2[ID],Table2[MC1], "Not Found", 0 )</f>
        <v>0</v>
      </c>
      <c r="Z2146" s="16">
        <f>_xlfn.XLOOKUP(CustomerCombinedCleaned[[#This Row],[ID]], Table2[ID],Table2[MC2], "Not Found", 0 )</f>
        <v>0</v>
      </c>
      <c r="AA2146" s="16">
        <f>_xlfn.XLOOKUP(CustomerCombinedCleaned[[#This Row],[ID]], Table2[ID],Table2[MC3], "Not Found", 0 )</f>
        <v>1</v>
      </c>
      <c r="AB2146" s="16">
        <f>_xlfn.XLOOKUP(CustomerCombinedCleaned[[#This Row],[ID]], Table2[ID],Table2[MC4], "Not Found", 0 )</f>
        <v>0</v>
      </c>
      <c r="AC2146" s="16">
        <f>_xlfn.XLOOKUP(CustomerCombinedCleaned[[#This Row],[ID]], Table2[ID],Table2[MC5], "Not Found", 0 )</f>
        <v>1</v>
      </c>
    </row>
    <row r="2147" spans="1:29" x14ac:dyDescent="0.3">
      <c r="A2147" s="18">
        <v>2313</v>
      </c>
      <c r="B2147" s="16">
        <v>190842</v>
      </c>
      <c r="C2147" s="16">
        <v>0</v>
      </c>
      <c r="D2147" s="16">
        <v>0</v>
      </c>
      <c r="E2147" s="16">
        <v>72</v>
      </c>
      <c r="F2147" s="17" t="s">
        <v>7</v>
      </c>
      <c r="G2147" s="17" t="s">
        <v>11</v>
      </c>
      <c r="H2147" s="3" t="s">
        <v>549</v>
      </c>
      <c r="I2147" s="5" t="s">
        <v>435</v>
      </c>
      <c r="J2147" s="16">
        <f>_xlfn.XLOOKUP(CustomerCombinedCleaned[[#This Row],[ID]], Table4[ID], Table4[Recency], "Not Found", 0)</f>
        <v>57</v>
      </c>
      <c r="K2147" s="16">
        <f>_xlfn.XLOOKUP(CustomerCombinedCleaned[[#This Row],[ID]], Table4[ID], Table4[Teas], "Not Found", 0)</f>
        <v>1626</v>
      </c>
      <c r="L2147" s="16">
        <f>_xlfn.XLOOKUP(CustomerCombinedCleaned[[#This Row],[ID]], Table4[ID], Table4[Fruits], "Not Found", 0)</f>
        <v>147</v>
      </c>
      <c r="M2147" s="16">
        <f>_xlfn.XLOOKUP(CustomerCombinedCleaned[[#This Row],[ID]], Table4[ID], Table4[Meats], "Not Found", 0)</f>
        <v>248</v>
      </c>
      <c r="N2147" s="16">
        <f>_xlfn.XLOOKUP(CustomerCombinedCleaned[[#This Row],[ID]], Table4[ID], Table4[Seafood], "Not Found", 0)</f>
        <v>382</v>
      </c>
      <c r="O2147" s="16">
        <f>_xlfn.XLOOKUP(CustomerCombinedCleaned[[#This Row],[ID]], Table4[ID], Table4[Sweets], "Not Found", 0)</f>
        <v>393</v>
      </c>
      <c r="P2147" s="16">
        <f>_xlfn.XLOOKUP(CustomerCombinedCleaned[[#This Row],[ID]], Table4[ID], Table4[Premium], "Not Found", 0)</f>
        <v>195</v>
      </c>
      <c r="Q2147" s="16">
        <f>_xlfn.XLOOKUP(CustomerCombinedCleaned[[#This Row],[ID]], Table4[ID], Table4[Regular], "Not Found", 0)</f>
        <v>2601</v>
      </c>
      <c r="R2147" s="16">
        <f>_xlfn.XLOOKUP(CustomerCombinedCleaned[[#This Row],[ID]], Table4[ID], Table4[Deals], "Not Found", 0)</f>
        <v>1</v>
      </c>
      <c r="S2147" s="16">
        <f>_xlfn.XLOOKUP(CustomerCombinedCleaned[[#This Row],[ID]], Table4[ID], Table4[Website], "Not Found", 0)</f>
        <v>4</v>
      </c>
      <c r="T2147" s="16">
        <f>_xlfn.XLOOKUP(CustomerCombinedCleaned[[#This Row],[ID]], Table4[ID], Table4[Catalog], "Not Found", 0)</f>
        <v>9</v>
      </c>
      <c r="U2147" s="16">
        <f>_xlfn.XLOOKUP(CustomerCombinedCleaned[[#This Row],[ID]], Table4[ID], Table4[Store], "Not Found", 0)</f>
        <v>13</v>
      </c>
      <c r="V2147" s="16">
        <f>_xlfn.XLOOKUP(CustomerCombinedCleaned[[#This Row],[ID]], Table4[ID], Table4[Visits], "Not Found", 0)</f>
        <v>1</v>
      </c>
      <c r="W2147" s="16">
        <f>_xlfn.XLOOKUP(CustomerCombinedCleaned[[#This Row],[ID]], Table2[ID],Table2[Complaint], "Not Found", 0 )</f>
        <v>0</v>
      </c>
      <c r="X2147" s="16">
        <f>_xlfn.XLOOKUP(CustomerCombinedCleaned[[#This Row],[ID]], Table2[ID],Table2[Pilot], "Not Found", 0 )</f>
        <v>0</v>
      </c>
      <c r="Y2147" s="16">
        <f>_xlfn.XLOOKUP(CustomerCombinedCleaned[[#This Row],[ID]], Table2[ID],Table2[MC1], "Not Found", 0 )</f>
        <v>0</v>
      </c>
      <c r="Z2147" s="16">
        <f>_xlfn.XLOOKUP(CustomerCombinedCleaned[[#This Row],[ID]], Table2[ID],Table2[MC2], "Not Found", 0 )</f>
        <v>0</v>
      </c>
      <c r="AA2147" s="16">
        <f>_xlfn.XLOOKUP(CustomerCombinedCleaned[[#This Row],[ID]], Table2[ID],Table2[MC3], "Not Found", 0 )</f>
        <v>0</v>
      </c>
      <c r="AB2147" s="16">
        <f>_xlfn.XLOOKUP(CustomerCombinedCleaned[[#This Row],[ID]], Table2[ID],Table2[MC4], "Not Found", 0 )</f>
        <v>0</v>
      </c>
      <c r="AC2147" s="16">
        <f>_xlfn.XLOOKUP(CustomerCombinedCleaned[[#This Row],[ID]], Table2[ID],Table2[MC5], "Not Found", 0 )</f>
        <v>0</v>
      </c>
    </row>
    <row r="2148" spans="1:29" x14ac:dyDescent="0.3">
      <c r="A2148" s="18">
        <v>1165</v>
      </c>
      <c r="B2148" s="16">
        <v>183837</v>
      </c>
      <c r="C2148" s="16">
        <v>0</v>
      </c>
      <c r="D2148" s="16">
        <v>0</v>
      </c>
      <c r="E2148" s="16">
        <v>72</v>
      </c>
      <c r="F2148" s="17" t="s">
        <v>6</v>
      </c>
      <c r="G2148" s="17" t="s">
        <v>13</v>
      </c>
      <c r="H2148" s="3" t="s">
        <v>343</v>
      </c>
      <c r="I2148" s="5" t="s">
        <v>437</v>
      </c>
      <c r="J2148" s="16">
        <f>_xlfn.XLOOKUP(CustomerCombinedCleaned[[#This Row],[ID]], Table4[ID], Table4[Recency], "Not Found", 0)</f>
        <v>79</v>
      </c>
      <c r="K2148" s="16">
        <f>_xlfn.XLOOKUP(CustomerCombinedCleaned[[#This Row],[ID]], Table4[ID], Table4[Teas], "Not Found", 0)</f>
        <v>1857</v>
      </c>
      <c r="L2148" s="16">
        <f>_xlfn.XLOOKUP(CustomerCombinedCleaned[[#This Row],[ID]], Table4[ID], Table4[Fruits], "Not Found", 0)</f>
        <v>145</v>
      </c>
      <c r="M2148" s="16">
        <f>_xlfn.XLOOKUP(CustomerCombinedCleaned[[#This Row],[ID]], Table4[ID], Table4[Meats], "Not Found", 0)</f>
        <v>261</v>
      </c>
      <c r="N2148" s="16">
        <f>_xlfn.XLOOKUP(CustomerCombinedCleaned[[#This Row],[ID]], Table4[ID], Table4[Seafood], "Not Found", 0)</f>
        <v>189</v>
      </c>
      <c r="O2148" s="16">
        <f>_xlfn.XLOOKUP(CustomerCombinedCleaned[[#This Row],[ID]], Table4[ID], Table4[Sweets], "Not Found", 0)</f>
        <v>195</v>
      </c>
      <c r="P2148" s="16">
        <f>_xlfn.XLOOKUP(CustomerCombinedCleaned[[#This Row],[ID]], Table4[ID], Table4[Premium], "Not Found", 0)</f>
        <v>243</v>
      </c>
      <c r="Q2148" s="16">
        <f>_xlfn.XLOOKUP(CustomerCombinedCleaned[[#This Row],[ID]], Table4[ID], Table4[Regular], "Not Found", 0)</f>
        <v>2403</v>
      </c>
      <c r="R2148" s="16">
        <f>_xlfn.XLOOKUP(CustomerCombinedCleaned[[#This Row],[ID]], Table4[ID], Table4[Deals], "Not Found", 0)</f>
        <v>1</v>
      </c>
      <c r="S2148" s="16">
        <f>_xlfn.XLOOKUP(CustomerCombinedCleaned[[#This Row],[ID]], Table4[ID], Table4[Website], "Not Found", 0)</f>
        <v>9</v>
      </c>
      <c r="T2148" s="16">
        <f>_xlfn.XLOOKUP(CustomerCombinedCleaned[[#This Row],[ID]], Table4[ID], Table4[Catalog], "Not Found", 0)</f>
        <v>10</v>
      </c>
      <c r="U2148" s="16">
        <f>_xlfn.XLOOKUP(CustomerCombinedCleaned[[#This Row],[ID]], Table4[ID], Table4[Store], "Not Found", 0)</f>
        <v>5</v>
      </c>
      <c r="V2148" s="16">
        <f>_xlfn.XLOOKUP(CustomerCombinedCleaned[[#This Row],[ID]], Table4[ID], Table4[Visits], "Not Found", 0)</f>
        <v>4</v>
      </c>
      <c r="W2148" s="16">
        <f>_xlfn.XLOOKUP(CustomerCombinedCleaned[[#This Row],[ID]], Table2[ID],Table2[Complaint], "Not Found", 0 )</f>
        <v>0</v>
      </c>
      <c r="X2148" s="16">
        <f>_xlfn.XLOOKUP(CustomerCombinedCleaned[[#This Row],[ID]], Table2[ID],Table2[Pilot], "Not Found", 0 )</f>
        <v>1</v>
      </c>
      <c r="Y2148" s="16">
        <f>_xlfn.XLOOKUP(CustomerCombinedCleaned[[#This Row],[ID]], Table2[ID],Table2[MC1], "Not Found", 0 )</f>
        <v>1</v>
      </c>
      <c r="Z2148" s="16">
        <f>_xlfn.XLOOKUP(CustomerCombinedCleaned[[#This Row],[ID]], Table2[ID],Table2[MC2], "Not Found", 0 )</f>
        <v>0</v>
      </c>
      <c r="AA2148" s="16">
        <f>_xlfn.XLOOKUP(CustomerCombinedCleaned[[#This Row],[ID]], Table2[ID],Table2[MC3], "Not Found", 0 )</f>
        <v>0</v>
      </c>
      <c r="AB2148" s="16">
        <f>_xlfn.XLOOKUP(CustomerCombinedCleaned[[#This Row],[ID]], Table2[ID],Table2[MC4], "Not Found", 0 )</f>
        <v>1</v>
      </c>
      <c r="AC2148" s="16">
        <f>_xlfn.XLOOKUP(CustomerCombinedCleaned[[#This Row],[ID]], Table2[ID],Table2[MC5], "Not Found", 0 )</f>
        <v>0</v>
      </c>
    </row>
    <row r="2149" spans="1:29" x14ac:dyDescent="0.3">
      <c r="A2149" s="18">
        <v>1205</v>
      </c>
      <c r="B2149" s="16">
        <v>183790</v>
      </c>
      <c r="C2149" s="16">
        <v>0</v>
      </c>
      <c r="D2149" s="16">
        <v>0</v>
      </c>
      <c r="E2149" s="16">
        <v>72</v>
      </c>
      <c r="F2149" s="17" t="s">
        <v>6</v>
      </c>
      <c r="G2149" s="17" t="s">
        <v>12</v>
      </c>
      <c r="H2149" s="3" t="s">
        <v>149</v>
      </c>
      <c r="I2149" s="5" t="s">
        <v>434</v>
      </c>
      <c r="J2149" s="16">
        <f>_xlfn.XLOOKUP(CustomerCombinedCleaned[[#This Row],[ID]], Table4[ID], Table4[Recency], "Not Found", 0)</f>
        <v>81</v>
      </c>
      <c r="K2149" s="16">
        <f>_xlfn.XLOOKUP(CustomerCombinedCleaned[[#This Row],[ID]], Table4[ID], Table4[Teas], "Not Found", 0)</f>
        <v>2360</v>
      </c>
      <c r="L2149" s="16">
        <f>_xlfn.XLOOKUP(CustomerCombinedCleaned[[#This Row],[ID]], Table4[ID], Table4[Fruits], "Not Found", 0)</f>
        <v>35</v>
      </c>
      <c r="M2149" s="16">
        <f>_xlfn.XLOOKUP(CustomerCombinedCleaned[[#This Row],[ID]], Table4[ID], Table4[Meats], "Not Found", 0)</f>
        <v>915</v>
      </c>
      <c r="N2149" s="16">
        <f>_xlfn.XLOOKUP(CustomerCombinedCleaned[[#This Row],[ID]], Table4[ID], Table4[Seafood], "Not Found", 0)</f>
        <v>92</v>
      </c>
      <c r="O2149" s="16">
        <f>_xlfn.XLOOKUP(CustomerCombinedCleaned[[#This Row],[ID]], Table4[ID], Table4[Sweets], "Not Found", 0)</f>
        <v>105</v>
      </c>
      <c r="P2149" s="16">
        <f>_xlfn.XLOOKUP(CustomerCombinedCleaned[[#This Row],[ID]], Table4[ID], Table4[Premium], "Not Found", 0)</f>
        <v>35</v>
      </c>
      <c r="Q2149" s="16">
        <f>_xlfn.XLOOKUP(CustomerCombinedCleaned[[#This Row],[ID]], Table4[ID], Table4[Regular], "Not Found", 0)</f>
        <v>3472</v>
      </c>
      <c r="R2149" s="16">
        <f>_xlfn.XLOOKUP(CustomerCombinedCleaned[[#This Row],[ID]], Table4[ID], Table4[Deals], "Not Found", 0)</f>
        <v>1</v>
      </c>
      <c r="S2149" s="16">
        <f>_xlfn.XLOOKUP(CustomerCombinedCleaned[[#This Row],[ID]], Table4[ID], Table4[Website], "Not Found", 0)</f>
        <v>8</v>
      </c>
      <c r="T2149" s="16">
        <f>_xlfn.XLOOKUP(CustomerCombinedCleaned[[#This Row],[ID]], Table4[ID], Table4[Catalog], "Not Found", 0)</f>
        <v>10</v>
      </c>
      <c r="U2149" s="16">
        <f>_xlfn.XLOOKUP(CustomerCombinedCleaned[[#This Row],[ID]], Table4[ID], Table4[Store], "Not Found", 0)</f>
        <v>6</v>
      </c>
      <c r="V2149" s="16">
        <f>_xlfn.XLOOKUP(CustomerCombinedCleaned[[#This Row],[ID]], Table4[ID], Table4[Visits], "Not Found", 0)</f>
        <v>3</v>
      </c>
      <c r="W2149" s="16">
        <f>_xlfn.XLOOKUP(CustomerCombinedCleaned[[#This Row],[ID]], Table2[ID],Table2[Complaint], "Not Found", 0 )</f>
        <v>0</v>
      </c>
      <c r="X2149" s="16">
        <f>_xlfn.XLOOKUP(CustomerCombinedCleaned[[#This Row],[ID]], Table2[ID],Table2[Pilot], "Not Found", 0 )</f>
        <v>0</v>
      </c>
      <c r="Y2149" s="16">
        <f>_xlfn.XLOOKUP(CustomerCombinedCleaned[[#This Row],[ID]], Table2[ID],Table2[MC1], "Not Found", 0 )</f>
        <v>0</v>
      </c>
      <c r="Z2149" s="16">
        <f>_xlfn.XLOOKUP(CustomerCombinedCleaned[[#This Row],[ID]], Table2[ID],Table2[MC2], "Not Found", 0 )</f>
        <v>0</v>
      </c>
      <c r="AA2149" s="16">
        <f>_xlfn.XLOOKUP(CustomerCombinedCleaned[[#This Row],[ID]], Table2[ID],Table2[MC3], "Not Found", 0 )</f>
        <v>0</v>
      </c>
      <c r="AB2149" s="16">
        <f>_xlfn.XLOOKUP(CustomerCombinedCleaned[[#This Row],[ID]], Table2[ID],Table2[MC4], "Not Found", 0 )</f>
        <v>1</v>
      </c>
      <c r="AC2149" s="16">
        <f>_xlfn.XLOOKUP(CustomerCombinedCleaned[[#This Row],[ID]], Table2[ID],Table2[MC5], "Not Found", 0 )</f>
        <v>1</v>
      </c>
    </row>
    <row r="2150" spans="1:29" x14ac:dyDescent="0.3">
      <c r="A2150" s="18">
        <v>2502</v>
      </c>
      <c r="B2150" s="16">
        <v>182032</v>
      </c>
      <c r="C2150" s="16">
        <v>0</v>
      </c>
      <c r="D2150" s="16">
        <v>0</v>
      </c>
      <c r="E2150" s="16">
        <v>72</v>
      </c>
      <c r="F2150" s="17" t="s">
        <v>9</v>
      </c>
      <c r="G2150" s="17" t="s">
        <v>13</v>
      </c>
      <c r="H2150" s="3" t="s">
        <v>563</v>
      </c>
      <c r="I2150" s="5" t="s">
        <v>436</v>
      </c>
      <c r="J2150" s="16">
        <f>_xlfn.XLOOKUP(CustomerCombinedCleaned[[#This Row],[ID]], Table4[ID], Table4[Recency], "Not Found", 0)</f>
        <v>54</v>
      </c>
      <c r="K2150" s="16">
        <f>_xlfn.XLOOKUP(CustomerCombinedCleaned[[#This Row],[ID]], Table4[ID], Table4[Teas], "Not Found", 0)</f>
        <v>737</v>
      </c>
      <c r="L2150" s="16">
        <f>_xlfn.XLOOKUP(CustomerCombinedCleaned[[#This Row],[ID]], Table4[ID], Table4[Fruits], "Not Found", 0)</f>
        <v>430</v>
      </c>
      <c r="M2150" s="16">
        <f>_xlfn.XLOOKUP(CustomerCombinedCleaned[[#This Row],[ID]], Table4[ID], Table4[Meats], "Not Found", 0)</f>
        <v>837</v>
      </c>
      <c r="N2150" s="16">
        <f>_xlfn.XLOOKUP(CustomerCombinedCleaned[[#This Row],[ID]], Table4[ID], Table4[Seafood], "Not Found", 0)</f>
        <v>331</v>
      </c>
      <c r="O2150" s="16">
        <f>_xlfn.XLOOKUP(CustomerCombinedCleaned[[#This Row],[ID]], Table4[ID], Table4[Sweets], "Not Found", 0)</f>
        <v>277</v>
      </c>
      <c r="P2150" s="16">
        <f>_xlfn.XLOOKUP(CustomerCombinedCleaned[[#This Row],[ID]], Table4[ID], Table4[Premium], "Not Found", 0)</f>
        <v>126</v>
      </c>
      <c r="Q2150" s="16">
        <f>_xlfn.XLOOKUP(CustomerCombinedCleaned[[#This Row],[ID]], Table4[ID], Table4[Regular], "Not Found", 0)</f>
        <v>2485</v>
      </c>
      <c r="R2150" s="16">
        <f>_xlfn.XLOOKUP(CustomerCombinedCleaned[[#This Row],[ID]], Table4[ID], Table4[Deals], "Not Found", 0)</f>
        <v>0</v>
      </c>
      <c r="S2150" s="16">
        <f>_xlfn.XLOOKUP(CustomerCombinedCleaned[[#This Row],[ID]], Table4[ID], Table4[Website], "Not Found", 0)</f>
        <v>4</v>
      </c>
      <c r="T2150" s="16">
        <f>_xlfn.XLOOKUP(CustomerCombinedCleaned[[#This Row],[ID]], Table4[ID], Table4[Catalog], "Not Found", 0)</f>
        <v>6</v>
      </c>
      <c r="U2150" s="16">
        <f>_xlfn.XLOOKUP(CustomerCombinedCleaned[[#This Row],[ID]], Table4[ID], Table4[Store], "Not Found", 0)</f>
        <v>7</v>
      </c>
      <c r="V2150" s="16">
        <f>_xlfn.XLOOKUP(CustomerCombinedCleaned[[#This Row],[ID]], Table4[ID], Table4[Visits], "Not Found", 0)</f>
        <v>1</v>
      </c>
      <c r="W2150" s="16">
        <f>_xlfn.XLOOKUP(CustomerCombinedCleaned[[#This Row],[ID]], Table2[ID],Table2[Complaint], "Not Found", 0 )</f>
        <v>0</v>
      </c>
      <c r="X2150" s="16">
        <f>_xlfn.XLOOKUP(CustomerCombinedCleaned[[#This Row],[ID]], Table2[ID],Table2[Pilot], "Not Found", 0 )</f>
        <v>0</v>
      </c>
      <c r="Y2150" s="16">
        <f>_xlfn.XLOOKUP(CustomerCombinedCleaned[[#This Row],[ID]], Table2[ID],Table2[MC1], "Not Found", 0 )</f>
        <v>0</v>
      </c>
      <c r="Z2150" s="16">
        <f>_xlfn.XLOOKUP(CustomerCombinedCleaned[[#This Row],[ID]], Table2[ID],Table2[MC2], "Not Found", 0 )</f>
        <v>0</v>
      </c>
      <c r="AA2150" s="16">
        <f>_xlfn.XLOOKUP(CustomerCombinedCleaned[[#This Row],[ID]], Table2[ID],Table2[MC3], "Not Found", 0 )</f>
        <v>0</v>
      </c>
      <c r="AB2150" s="16">
        <f>_xlfn.XLOOKUP(CustomerCombinedCleaned[[#This Row],[ID]], Table2[ID],Table2[MC4], "Not Found", 0 )</f>
        <v>0</v>
      </c>
      <c r="AC2150" s="16">
        <f>_xlfn.XLOOKUP(CustomerCombinedCleaned[[#This Row],[ID]], Table2[ID],Table2[MC5], "Not Found", 0 )</f>
        <v>0</v>
      </c>
    </row>
    <row r="2151" spans="1:29" x14ac:dyDescent="0.3">
      <c r="A2151" s="18">
        <v>3185</v>
      </c>
      <c r="B2151" s="16">
        <v>182032</v>
      </c>
      <c r="C2151" s="16">
        <v>0</v>
      </c>
      <c r="D2151" s="16">
        <v>0</v>
      </c>
      <c r="E2151" s="16">
        <v>72</v>
      </c>
      <c r="F2151" s="17" t="s">
        <v>9</v>
      </c>
      <c r="G2151" s="17" t="s">
        <v>13</v>
      </c>
      <c r="H2151" s="3" t="s">
        <v>563</v>
      </c>
      <c r="I2151" s="5" t="s">
        <v>434</v>
      </c>
      <c r="J2151" s="16">
        <f>_xlfn.XLOOKUP(CustomerCombinedCleaned[[#This Row],[ID]], Table4[ID], Table4[Recency], "Not Found", 0)</f>
        <v>54</v>
      </c>
      <c r="K2151" s="16">
        <f>_xlfn.XLOOKUP(CustomerCombinedCleaned[[#This Row],[ID]], Table4[ID], Table4[Teas], "Not Found", 0)</f>
        <v>737</v>
      </c>
      <c r="L2151" s="16">
        <f>_xlfn.XLOOKUP(CustomerCombinedCleaned[[#This Row],[ID]], Table4[ID], Table4[Fruits], "Not Found", 0)</f>
        <v>430</v>
      </c>
      <c r="M2151" s="16">
        <f>_xlfn.XLOOKUP(CustomerCombinedCleaned[[#This Row],[ID]], Table4[ID], Table4[Meats], "Not Found", 0)</f>
        <v>837</v>
      </c>
      <c r="N2151" s="16">
        <f>_xlfn.XLOOKUP(CustomerCombinedCleaned[[#This Row],[ID]], Table4[ID], Table4[Seafood], "Not Found", 0)</f>
        <v>331</v>
      </c>
      <c r="O2151" s="16">
        <f>_xlfn.XLOOKUP(CustomerCombinedCleaned[[#This Row],[ID]], Table4[ID], Table4[Sweets], "Not Found", 0)</f>
        <v>277</v>
      </c>
      <c r="P2151" s="16">
        <f>_xlfn.XLOOKUP(CustomerCombinedCleaned[[#This Row],[ID]], Table4[ID], Table4[Premium], "Not Found", 0)</f>
        <v>126</v>
      </c>
      <c r="Q2151" s="16">
        <f>_xlfn.XLOOKUP(CustomerCombinedCleaned[[#This Row],[ID]], Table4[ID], Table4[Regular], "Not Found", 0)</f>
        <v>2485</v>
      </c>
      <c r="R2151" s="16">
        <f>_xlfn.XLOOKUP(CustomerCombinedCleaned[[#This Row],[ID]], Table4[ID], Table4[Deals], "Not Found", 0)</f>
        <v>0</v>
      </c>
      <c r="S2151" s="16">
        <f>_xlfn.XLOOKUP(CustomerCombinedCleaned[[#This Row],[ID]], Table4[ID], Table4[Website], "Not Found", 0)</f>
        <v>4</v>
      </c>
      <c r="T2151" s="16">
        <f>_xlfn.XLOOKUP(CustomerCombinedCleaned[[#This Row],[ID]], Table4[ID], Table4[Catalog], "Not Found", 0)</f>
        <v>6</v>
      </c>
      <c r="U2151" s="16">
        <f>_xlfn.XLOOKUP(CustomerCombinedCleaned[[#This Row],[ID]], Table4[ID], Table4[Store], "Not Found", 0)</f>
        <v>7</v>
      </c>
      <c r="V2151" s="16">
        <f>_xlfn.XLOOKUP(CustomerCombinedCleaned[[#This Row],[ID]], Table4[ID], Table4[Visits], "Not Found", 0)</f>
        <v>1</v>
      </c>
      <c r="W2151" s="16">
        <f>_xlfn.XLOOKUP(CustomerCombinedCleaned[[#This Row],[ID]], Table2[ID],Table2[Complaint], "Not Found", 0 )</f>
        <v>0</v>
      </c>
      <c r="X2151" s="16">
        <f>_xlfn.XLOOKUP(CustomerCombinedCleaned[[#This Row],[ID]], Table2[ID],Table2[Pilot], "Not Found", 0 )</f>
        <v>0</v>
      </c>
      <c r="Y2151" s="16">
        <f>_xlfn.XLOOKUP(CustomerCombinedCleaned[[#This Row],[ID]], Table2[ID],Table2[MC1], "Not Found", 0 )</f>
        <v>0</v>
      </c>
      <c r="Z2151" s="16">
        <f>_xlfn.XLOOKUP(CustomerCombinedCleaned[[#This Row],[ID]], Table2[ID],Table2[MC2], "Not Found", 0 )</f>
        <v>0</v>
      </c>
      <c r="AA2151" s="16">
        <f>_xlfn.XLOOKUP(CustomerCombinedCleaned[[#This Row],[ID]], Table2[ID],Table2[MC3], "Not Found", 0 )</f>
        <v>0</v>
      </c>
      <c r="AB2151" s="16">
        <f>_xlfn.XLOOKUP(CustomerCombinedCleaned[[#This Row],[ID]], Table2[ID],Table2[MC4], "Not Found", 0 )</f>
        <v>0</v>
      </c>
      <c r="AC2151" s="16">
        <f>_xlfn.XLOOKUP(CustomerCombinedCleaned[[#This Row],[ID]], Table2[ID],Table2[MC5], "Not Found", 0 )</f>
        <v>0</v>
      </c>
    </row>
    <row r="2152" spans="1:29" x14ac:dyDescent="0.3">
      <c r="A2152" s="18">
        <v>2419</v>
      </c>
      <c r="B2152" s="16">
        <v>178427</v>
      </c>
      <c r="C2152" s="16">
        <v>0</v>
      </c>
      <c r="D2152" s="16">
        <v>0</v>
      </c>
      <c r="E2152" s="16">
        <v>72</v>
      </c>
      <c r="F2152" s="17" t="s">
        <v>9</v>
      </c>
      <c r="G2152" s="17" t="s">
        <v>12</v>
      </c>
      <c r="H2152" s="3" t="s">
        <v>370</v>
      </c>
      <c r="I2152" s="5" t="s">
        <v>437</v>
      </c>
      <c r="J2152" s="16">
        <f>_xlfn.XLOOKUP(CustomerCombinedCleaned[[#This Row],[ID]], Table4[ID], Table4[Recency], "Not Found", 0)</f>
        <v>36</v>
      </c>
      <c r="K2152" s="16">
        <f>_xlfn.XLOOKUP(CustomerCombinedCleaned[[#This Row],[ID]], Table4[ID], Table4[Teas], "Not Found", 0)</f>
        <v>2211</v>
      </c>
      <c r="L2152" s="16">
        <f>_xlfn.XLOOKUP(CustomerCombinedCleaned[[#This Row],[ID]], Table4[ID], Table4[Fruits], "Not Found", 0)</f>
        <v>43</v>
      </c>
      <c r="M2152" s="16">
        <f>_xlfn.XLOOKUP(CustomerCombinedCleaned[[#This Row],[ID]], Table4[ID], Table4[Meats], "Not Found", 0)</f>
        <v>1354</v>
      </c>
      <c r="N2152" s="16">
        <f>_xlfn.XLOOKUP(CustomerCombinedCleaned[[#This Row],[ID]], Table4[ID], Table4[Seafood], "Not Found", 0)</f>
        <v>410</v>
      </c>
      <c r="O2152" s="16">
        <f>_xlfn.XLOOKUP(CustomerCombinedCleaned[[#This Row],[ID]], Table4[ID], Table4[Sweets], "Not Found", 0)</f>
        <v>59</v>
      </c>
      <c r="P2152" s="16">
        <f>_xlfn.XLOOKUP(CustomerCombinedCleaned[[#This Row],[ID]], Table4[ID], Table4[Premium], "Not Found", 0)</f>
        <v>314</v>
      </c>
      <c r="Q2152" s="16">
        <f>_xlfn.XLOOKUP(CustomerCombinedCleaned[[#This Row],[ID]], Table4[ID], Table4[Regular], "Not Found", 0)</f>
        <v>3763</v>
      </c>
      <c r="R2152" s="16">
        <f>_xlfn.XLOOKUP(CustomerCombinedCleaned[[#This Row],[ID]], Table4[ID], Table4[Deals], "Not Found", 0)</f>
        <v>3</v>
      </c>
      <c r="S2152" s="16">
        <f>_xlfn.XLOOKUP(CustomerCombinedCleaned[[#This Row],[ID]], Table4[ID], Table4[Website], "Not Found", 0)</f>
        <v>3</v>
      </c>
      <c r="T2152" s="16">
        <f>_xlfn.XLOOKUP(CustomerCombinedCleaned[[#This Row],[ID]], Table4[ID], Table4[Catalog], "Not Found", 0)</f>
        <v>7</v>
      </c>
      <c r="U2152" s="16">
        <f>_xlfn.XLOOKUP(CustomerCombinedCleaned[[#This Row],[ID]], Table4[ID], Table4[Store], "Not Found", 0)</f>
        <v>10</v>
      </c>
      <c r="V2152" s="16">
        <f>_xlfn.XLOOKUP(CustomerCombinedCleaned[[#This Row],[ID]], Table4[ID], Table4[Visits], "Not Found", 0)</f>
        <v>3</v>
      </c>
      <c r="W2152" s="16">
        <f>_xlfn.XLOOKUP(CustomerCombinedCleaned[[#This Row],[ID]], Table2[ID],Table2[Complaint], "Not Found", 0 )</f>
        <v>0</v>
      </c>
      <c r="X2152" s="16">
        <f>_xlfn.XLOOKUP(CustomerCombinedCleaned[[#This Row],[ID]], Table2[ID],Table2[Pilot], "Not Found", 0 )</f>
        <v>1</v>
      </c>
      <c r="Y2152" s="16">
        <f>_xlfn.XLOOKUP(CustomerCombinedCleaned[[#This Row],[ID]], Table2[ID],Table2[MC1], "Not Found", 0 )</f>
        <v>1</v>
      </c>
      <c r="Z2152" s="16">
        <f>_xlfn.XLOOKUP(CustomerCombinedCleaned[[#This Row],[ID]], Table2[ID],Table2[MC2], "Not Found", 0 )</f>
        <v>0</v>
      </c>
      <c r="AA2152" s="16">
        <f>_xlfn.XLOOKUP(CustomerCombinedCleaned[[#This Row],[ID]], Table2[ID],Table2[MC3], "Not Found", 0 )</f>
        <v>0</v>
      </c>
      <c r="AB2152" s="16">
        <f>_xlfn.XLOOKUP(CustomerCombinedCleaned[[#This Row],[ID]], Table2[ID],Table2[MC4], "Not Found", 0 )</f>
        <v>0</v>
      </c>
      <c r="AC2152" s="16">
        <f>_xlfn.XLOOKUP(CustomerCombinedCleaned[[#This Row],[ID]], Table2[ID],Table2[MC5], "Not Found", 0 )</f>
        <v>0</v>
      </c>
    </row>
    <row r="2153" spans="1:29" x14ac:dyDescent="0.3">
      <c r="A2153" s="18">
        <v>2149</v>
      </c>
      <c r="B2153" s="16">
        <v>177142</v>
      </c>
      <c r="C2153" s="16">
        <v>0</v>
      </c>
      <c r="D2153" s="16">
        <v>0</v>
      </c>
      <c r="E2153" s="16">
        <v>72</v>
      </c>
      <c r="F2153" s="17" t="s">
        <v>6</v>
      </c>
      <c r="G2153" s="17" t="s">
        <v>11</v>
      </c>
      <c r="H2153" s="3" t="s">
        <v>627</v>
      </c>
      <c r="I2153" s="5" t="s">
        <v>437</v>
      </c>
      <c r="J2153" s="16">
        <f>_xlfn.XLOOKUP(CustomerCombinedCleaned[[#This Row],[ID]], Table4[ID], Table4[Recency], "Not Found", 0)</f>
        <v>54</v>
      </c>
      <c r="K2153" s="16">
        <f>_xlfn.XLOOKUP(CustomerCombinedCleaned[[#This Row],[ID]], Table4[ID], Table4[Teas], "Not Found", 0)</f>
        <v>1093</v>
      </c>
      <c r="L2153" s="16">
        <f>_xlfn.XLOOKUP(CustomerCombinedCleaned[[#This Row],[ID]], Table4[ID], Table4[Fruits], "Not Found", 0)</f>
        <v>172</v>
      </c>
      <c r="M2153" s="16">
        <f>_xlfn.XLOOKUP(CustomerCombinedCleaned[[#This Row],[ID]], Table4[ID], Table4[Meats], "Not Found", 0)</f>
        <v>372</v>
      </c>
      <c r="N2153" s="16">
        <f>_xlfn.XLOOKUP(CustomerCombinedCleaned[[#This Row],[ID]], Table4[ID], Table4[Seafood], "Not Found", 0)</f>
        <v>67</v>
      </c>
      <c r="O2153" s="16">
        <f>_xlfn.XLOOKUP(CustomerCombinedCleaned[[#This Row],[ID]], Table4[ID], Table4[Sweets], "Not Found", 0)</f>
        <v>347</v>
      </c>
      <c r="P2153" s="16">
        <f>_xlfn.XLOOKUP(CustomerCombinedCleaned[[#This Row],[ID]], Table4[ID], Table4[Premium], "Not Found", 0)</f>
        <v>223</v>
      </c>
      <c r="Q2153" s="16">
        <f>_xlfn.XLOOKUP(CustomerCombinedCleaned[[#This Row],[ID]], Table4[ID], Table4[Regular], "Not Found", 0)</f>
        <v>1828</v>
      </c>
      <c r="R2153" s="16">
        <f>_xlfn.XLOOKUP(CustomerCombinedCleaned[[#This Row],[ID]], Table4[ID], Table4[Deals], "Not Found", 0)</f>
        <v>1</v>
      </c>
      <c r="S2153" s="16">
        <f>_xlfn.XLOOKUP(CustomerCombinedCleaned[[#This Row],[ID]], Table4[ID], Table4[Website], "Not Found", 0)</f>
        <v>4</v>
      </c>
      <c r="T2153" s="16">
        <f>_xlfn.XLOOKUP(CustomerCombinedCleaned[[#This Row],[ID]], Table4[ID], Table4[Catalog], "Not Found", 0)</f>
        <v>4</v>
      </c>
      <c r="U2153" s="16">
        <f>_xlfn.XLOOKUP(CustomerCombinedCleaned[[#This Row],[ID]], Table4[ID], Table4[Store], "Not Found", 0)</f>
        <v>8</v>
      </c>
      <c r="V2153" s="16">
        <f>_xlfn.XLOOKUP(CustomerCombinedCleaned[[#This Row],[ID]], Table4[ID], Table4[Visits], "Not Found", 0)</f>
        <v>2</v>
      </c>
      <c r="W2153" s="16">
        <f>_xlfn.XLOOKUP(CustomerCombinedCleaned[[#This Row],[ID]], Table2[ID],Table2[Complaint], "Not Found", 0 )</f>
        <v>0</v>
      </c>
      <c r="X2153" s="16">
        <f>_xlfn.XLOOKUP(CustomerCombinedCleaned[[#This Row],[ID]], Table2[ID],Table2[Pilot], "Not Found", 0 )</f>
        <v>0</v>
      </c>
      <c r="Y2153" s="16">
        <f>_xlfn.XLOOKUP(CustomerCombinedCleaned[[#This Row],[ID]], Table2[ID],Table2[MC1], "Not Found", 0 )</f>
        <v>0</v>
      </c>
      <c r="Z2153" s="16">
        <f>_xlfn.XLOOKUP(CustomerCombinedCleaned[[#This Row],[ID]], Table2[ID],Table2[MC2], "Not Found", 0 )</f>
        <v>0</v>
      </c>
      <c r="AA2153" s="16">
        <f>_xlfn.XLOOKUP(CustomerCombinedCleaned[[#This Row],[ID]], Table2[ID],Table2[MC3], "Not Found", 0 )</f>
        <v>0</v>
      </c>
      <c r="AB2153" s="16">
        <f>_xlfn.XLOOKUP(CustomerCombinedCleaned[[#This Row],[ID]], Table2[ID],Table2[MC4], "Not Found", 0 )</f>
        <v>0</v>
      </c>
      <c r="AC2153" s="16">
        <f>_xlfn.XLOOKUP(CustomerCombinedCleaned[[#This Row],[ID]], Table2[ID],Table2[MC5], "Not Found", 0 )</f>
        <v>0</v>
      </c>
    </row>
    <row r="2154" spans="1:29" x14ac:dyDescent="0.3">
      <c r="A2154" s="18">
        <v>1624</v>
      </c>
      <c r="B2154" s="16">
        <v>176140</v>
      </c>
      <c r="C2154" s="16">
        <v>0</v>
      </c>
      <c r="D2154" s="16">
        <v>0</v>
      </c>
      <c r="E2154" s="16">
        <v>72</v>
      </c>
      <c r="F2154" s="17" t="s">
        <v>8</v>
      </c>
      <c r="G2154" s="17" t="s">
        <v>13</v>
      </c>
      <c r="H2154" s="3" t="s">
        <v>51</v>
      </c>
      <c r="I2154" s="5" t="s">
        <v>439</v>
      </c>
      <c r="J2154" s="16">
        <f>_xlfn.XLOOKUP(CustomerCombinedCleaned[[#This Row],[ID]], Table4[ID], Table4[Recency], "Not Found", 0)</f>
        <v>57</v>
      </c>
      <c r="K2154" s="16">
        <f>_xlfn.XLOOKUP(CustomerCombinedCleaned[[#This Row],[ID]], Table4[ID], Table4[Teas], "Not Found", 0)</f>
        <v>1356</v>
      </c>
      <c r="L2154" s="16">
        <f>_xlfn.XLOOKUP(CustomerCombinedCleaned[[#This Row],[ID]], Table4[ID], Table4[Fruits], "Not Found", 0)</f>
        <v>153</v>
      </c>
      <c r="M2154" s="16">
        <f>_xlfn.XLOOKUP(CustomerCombinedCleaned[[#This Row],[ID]], Table4[ID], Table4[Meats], "Not Found", 0)</f>
        <v>1511</v>
      </c>
      <c r="N2154" s="16">
        <f>_xlfn.XLOOKUP(CustomerCombinedCleaned[[#This Row],[ID]], Table4[ID], Table4[Seafood], "Not Found", 0)</f>
        <v>39</v>
      </c>
      <c r="O2154" s="16">
        <f>_xlfn.XLOOKUP(CustomerCombinedCleaned[[#This Row],[ID]], Table4[ID], Table4[Sweets], "Not Found", 0)</f>
        <v>0</v>
      </c>
      <c r="P2154" s="16">
        <f>_xlfn.XLOOKUP(CustomerCombinedCleaned[[#This Row],[ID]], Table4[ID], Table4[Premium], "Not Found", 0)</f>
        <v>60</v>
      </c>
      <c r="Q2154" s="16">
        <f>_xlfn.XLOOKUP(CustomerCombinedCleaned[[#This Row],[ID]], Table4[ID], Table4[Regular], "Not Found", 0)</f>
        <v>2998</v>
      </c>
      <c r="R2154" s="16">
        <f>_xlfn.XLOOKUP(CustomerCombinedCleaned[[#This Row],[ID]], Table4[ID], Table4[Deals], "Not Found", 0)</f>
        <v>1</v>
      </c>
      <c r="S2154" s="16">
        <f>_xlfn.XLOOKUP(CustomerCombinedCleaned[[#This Row],[ID]], Table4[ID], Table4[Website], "Not Found", 0)</f>
        <v>5</v>
      </c>
      <c r="T2154" s="16">
        <f>_xlfn.XLOOKUP(CustomerCombinedCleaned[[#This Row],[ID]], Table4[ID], Table4[Catalog], "Not Found", 0)</f>
        <v>9</v>
      </c>
      <c r="U2154" s="16">
        <f>_xlfn.XLOOKUP(CustomerCombinedCleaned[[#This Row],[ID]], Table4[ID], Table4[Store], "Not Found", 0)</f>
        <v>6</v>
      </c>
      <c r="V2154" s="16">
        <f>_xlfn.XLOOKUP(CustomerCombinedCleaned[[#This Row],[ID]], Table4[ID], Table4[Visits], "Not Found", 0)</f>
        <v>2</v>
      </c>
      <c r="W2154" s="16">
        <f>_xlfn.XLOOKUP(CustomerCombinedCleaned[[#This Row],[ID]], Table2[ID],Table2[Complaint], "Not Found", 0 )</f>
        <v>0</v>
      </c>
      <c r="X2154" s="16">
        <f>_xlfn.XLOOKUP(CustomerCombinedCleaned[[#This Row],[ID]], Table2[ID],Table2[Pilot], "Not Found", 0 )</f>
        <v>0</v>
      </c>
      <c r="Y2154" s="16">
        <f>_xlfn.XLOOKUP(CustomerCombinedCleaned[[#This Row],[ID]], Table2[ID],Table2[MC1], "Not Found", 0 )</f>
        <v>0</v>
      </c>
      <c r="Z2154" s="16">
        <f>_xlfn.XLOOKUP(CustomerCombinedCleaned[[#This Row],[ID]], Table2[ID],Table2[MC2], "Not Found", 0 )</f>
        <v>0</v>
      </c>
      <c r="AA2154" s="16">
        <f>_xlfn.XLOOKUP(CustomerCombinedCleaned[[#This Row],[ID]], Table2[ID],Table2[MC3], "Not Found", 0 )</f>
        <v>0</v>
      </c>
      <c r="AB2154" s="16">
        <f>_xlfn.XLOOKUP(CustomerCombinedCleaned[[#This Row],[ID]], Table2[ID],Table2[MC4], "Not Found", 0 )</f>
        <v>0</v>
      </c>
      <c r="AC2154" s="16">
        <f>_xlfn.XLOOKUP(CustomerCombinedCleaned[[#This Row],[ID]], Table2[ID],Table2[MC5], "Not Found", 0 )</f>
        <v>0</v>
      </c>
    </row>
    <row r="2155" spans="1:29" x14ac:dyDescent="0.3">
      <c r="A2155" s="18">
        <v>1060</v>
      </c>
      <c r="B2155" s="16">
        <v>170666</v>
      </c>
      <c r="C2155" s="16">
        <v>0</v>
      </c>
      <c r="D2155" s="16">
        <v>0</v>
      </c>
      <c r="E2155" s="16">
        <v>72</v>
      </c>
      <c r="F2155" s="17" t="s">
        <v>8</v>
      </c>
      <c r="G2155" s="17" t="s">
        <v>11</v>
      </c>
      <c r="H2155" s="3" t="s">
        <v>661</v>
      </c>
      <c r="I2155" s="5" t="s">
        <v>439</v>
      </c>
      <c r="J2155" s="16">
        <f>_xlfn.XLOOKUP(CustomerCombinedCleaned[[#This Row],[ID]], Table4[ID], Table4[Recency], "Not Found", 0)</f>
        <v>29</v>
      </c>
      <c r="K2155" s="16">
        <f>_xlfn.XLOOKUP(CustomerCombinedCleaned[[#This Row],[ID]], Table4[ID], Table4[Teas], "Not Found", 0)</f>
        <v>961</v>
      </c>
      <c r="L2155" s="16">
        <f>_xlfn.XLOOKUP(CustomerCombinedCleaned[[#This Row],[ID]], Table4[ID], Table4[Fruits], "Not Found", 0)</f>
        <v>97</v>
      </c>
      <c r="M2155" s="16">
        <f>_xlfn.XLOOKUP(CustomerCombinedCleaned[[#This Row],[ID]], Table4[ID], Table4[Meats], "Not Found", 0)</f>
        <v>886</v>
      </c>
      <c r="N2155" s="16">
        <f>_xlfn.XLOOKUP(CustomerCombinedCleaned[[#This Row],[ID]], Table4[ID], Table4[Seafood], "Not Found", 0)</f>
        <v>287</v>
      </c>
      <c r="O2155" s="16">
        <f>_xlfn.XLOOKUP(CustomerCombinedCleaned[[#This Row],[ID]], Table4[ID], Table4[Sweets], "Not Found", 0)</f>
        <v>295</v>
      </c>
      <c r="P2155" s="16">
        <f>_xlfn.XLOOKUP(CustomerCombinedCleaned[[#This Row],[ID]], Table4[ID], Table4[Premium], "Not Found", 0)</f>
        <v>72</v>
      </c>
      <c r="Q2155" s="16">
        <f>_xlfn.XLOOKUP(CustomerCombinedCleaned[[#This Row],[ID]], Table4[ID], Table4[Regular], "Not Found", 0)</f>
        <v>2454</v>
      </c>
      <c r="R2155" s="16">
        <f>_xlfn.XLOOKUP(CustomerCombinedCleaned[[#This Row],[ID]], Table4[ID], Table4[Deals], "Not Found", 0)</f>
        <v>1</v>
      </c>
      <c r="S2155" s="16">
        <f>_xlfn.XLOOKUP(CustomerCombinedCleaned[[#This Row],[ID]], Table4[ID], Table4[Website], "Not Found", 0)</f>
        <v>7</v>
      </c>
      <c r="T2155" s="16">
        <f>_xlfn.XLOOKUP(CustomerCombinedCleaned[[#This Row],[ID]], Table4[ID], Table4[Catalog], "Not Found", 0)</f>
        <v>4</v>
      </c>
      <c r="U2155" s="16">
        <f>_xlfn.XLOOKUP(CustomerCombinedCleaned[[#This Row],[ID]], Table4[ID], Table4[Store], "Not Found", 0)</f>
        <v>4</v>
      </c>
      <c r="V2155" s="16">
        <f>_xlfn.XLOOKUP(CustomerCombinedCleaned[[#This Row],[ID]], Table4[ID], Table4[Visits], "Not Found", 0)</f>
        <v>4</v>
      </c>
      <c r="W2155" s="16">
        <f>_xlfn.XLOOKUP(CustomerCombinedCleaned[[#This Row],[ID]], Table2[ID],Table2[Complaint], "Not Found", 0 )</f>
        <v>0</v>
      </c>
      <c r="X2155" s="16">
        <f>_xlfn.XLOOKUP(CustomerCombinedCleaned[[#This Row],[ID]], Table2[ID],Table2[Pilot], "Not Found", 0 )</f>
        <v>0</v>
      </c>
      <c r="Y2155" s="16">
        <f>_xlfn.XLOOKUP(CustomerCombinedCleaned[[#This Row],[ID]], Table2[ID],Table2[MC1], "Not Found", 0 )</f>
        <v>0</v>
      </c>
      <c r="Z2155" s="16">
        <f>_xlfn.XLOOKUP(CustomerCombinedCleaned[[#This Row],[ID]], Table2[ID],Table2[MC2], "Not Found", 0 )</f>
        <v>0</v>
      </c>
      <c r="AA2155" s="16">
        <f>_xlfn.XLOOKUP(CustomerCombinedCleaned[[#This Row],[ID]], Table2[ID],Table2[MC3], "Not Found", 0 )</f>
        <v>0</v>
      </c>
      <c r="AB2155" s="16">
        <f>_xlfn.XLOOKUP(CustomerCombinedCleaned[[#This Row],[ID]], Table2[ID],Table2[MC4], "Not Found", 0 )</f>
        <v>0</v>
      </c>
      <c r="AC2155" s="16">
        <f>_xlfn.XLOOKUP(CustomerCombinedCleaned[[#This Row],[ID]], Table2[ID],Table2[MC5], "Not Found", 0 )</f>
        <v>0</v>
      </c>
    </row>
    <row r="2156" spans="1:29" x14ac:dyDescent="0.3">
      <c r="A2156" s="18">
        <v>1689</v>
      </c>
      <c r="B2156" s="16">
        <v>166375</v>
      </c>
      <c r="C2156" s="16">
        <v>0</v>
      </c>
      <c r="D2156" s="16">
        <v>1</v>
      </c>
      <c r="E2156" s="16">
        <v>72</v>
      </c>
      <c r="F2156" s="17" t="s">
        <v>8</v>
      </c>
      <c r="G2156" s="17" t="s">
        <v>13</v>
      </c>
      <c r="H2156" s="3" t="s">
        <v>144</v>
      </c>
      <c r="I2156" s="5" t="s">
        <v>435</v>
      </c>
      <c r="J2156" s="16">
        <f>_xlfn.XLOOKUP(CustomerCombinedCleaned[[#This Row],[ID]], Table4[ID], Table4[Recency], "Not Found", 0)</f>
        <v>96</v>
      </c>
      <c r="K2156" s="16">
        <f>_xlfn.XLOOKUP(CustomerCombinedCleaned[[#This Row],[ID]], Table4[ID], Table4[Teas], "Not Found", 0)</f>
        <v>1785</v>
      </c>
      <c r="L2156" s="16">
        <f>_xlfn.XLOOKUP(CustomerCombinedCleaned[[#This Row],[ID]], Table4[ID], Table4[Fruits], "Not Found", 0)</f>
        <v>0</v>
      </c>
      <c r="M2156" s="16">
        <f>_xlfn.XLOOKUP(CustomerCombinedCleaned[[#This Row],[ID]], Table4[ID], Table4[Meats], "Not Found", 0)</f>
        <v>113</v>
      </c>
      <c r="N2156" s="16">
        <f>_xlfn.XLOOKUP(CustomerCombinedCleaned[[#This Row],[ID]], Table4[ID], Table4[Seafood], "Not Found", 0)</f>
        <v>0</v>
      </c>
      <c r="O2156" s="16">
        <f>_xlfn.XLOOKUP(CustomerCombinedCleaned[[#This Row],[ID]], Table4[ID], Table4[Sweets], "Not Found", 0)</f>
        <v>0</v>
      </c>
      <c r="P2156" s="16">
        <f>_xlfn.XLOOKUP(CustomerCombinedCleaned[[#This Row],[ID]], Table4[ID], Table4[Premium], "Not Found", 0)</f>
        <v>479</v>
      </c>
      <c r="Q2156" s="16">
        <f>_xlfn.XLOOKUP(CustomerCombinedCleaned[[#This Row],[ID]], Table4[ID], Table4[Regular], "Not Found", 0)</f>
        <v>1419</v>
      </c>
      <c r="R2156" s="16">
        <f>_xlfn.XLOOKUP(CustomerCombinedCleaned[[#This Row],[ID]], Table4[ID], Table4[Deals], "Not Found", 0)</f>
        <v>3</v>
      </c>
      <c r="S2156" s="16">
        <f>_xlfn.XLOOKUP(CustomerCombinedCleaned[[#This Row],[ID]], Table4[ID], Table4[Website], "Not Found", 0)</f>
        <v>2</v>
      </c>
      <c r="T2156" s="16">
        <f>_xlfn.XLOOKUP(CustomerCombinedCleaned[[#This Row],[ID]], Table4[ID], Table4[Catalog], "Not Found", 0)</f>
        <v>4</v>
      </c>
      <c r="U2156" s="16">
        <f>_xlfn.XLOOKUP(CustomerCombinedCleaned[[#This Row],[ID]], Table4[ID], Table4[Store], "Not Found", 0)</f>
        <v>5</v>
      </c>
      <c r="V2156" s="16">
        <f>_xlfn.XLOOKUP(CustomerCombinedCleaned[[#This Row],[ID]], Table4[ID], Table4[Visits], "Not Found", 0)</f>
        <v>7</v>
      </c>
      <c r="W2156" s="16">
        <f>_xlfn.XLOOKUP(CustomerCombinedCleaned[[#This Row],[ID]], Table2[ID],Table2[Complaint], "Not Found", 0 )</f>
        <v>0</v>
      </c>
      <c r="X2156" s="16">
        <f>_xlfn.XLOOKUP(CustomerCombinedCleaned[[#This Row],[ID]], Table2[ID],Table2[Pilot], "Not Found", 0 )</f>
        <v>0</v>
      </c>
      <c r="Y2156" s="16">
        <f>_xlfn.XLOOKUP(CustomerCombinedCleaned[[#This Row],[ID]], Table2[ID],Table2[MC1], "Not Found", 0 )</f>
        <v>0</v>
      </c>
      <c r="Z2156" s="16">
        <f>_xlfn.XLOOKUP(CustomerCombinedCleaned[[#This Row],[ID]], Table2[ID],Table2[MC2], "Not Found", 0 )</f>
        <v>0</v>
      </c>
      <c r="AA2156" s="16">
        <f>_xlfn.XLOOKUP(CustomerCombinedCleaned[[#This Row],[ID]], Table2[ID],Table2[MC3], "Not Found", 0 )</f>
        <v>1</v>
      </c>
      <c r="AB2156" s="16">
        <f>_xlfn.XLOOKUP(CustomerCombinedCleaned[[#This Row],[ID]], Table2[ID],Table2[MC4], "Not Found", 0 )</f>
        <v>0</v>
      </c>
      <c r="AC2156" s="16">
        <f>_xlfn.XLOOKUP(CustomerCombinedCleaned[[#This Row],[ID]], Table2[ID],Table2[MC5], "Not Found", 0 )</f>
        <v>0</v>
      </c>
    </row>
    <row r="2157" spans="1:29" x14ac:dyDescent="0.3">
      <c r="A2157" s="18">
        <v>1587</v>
      </c>
      <c r="B2157" s="16">
        <v>161467</v>
      </c>
      <c r="C2157" s="16">
        <v>0</v>
      </c>
      <c r="D2157" s="16">
        <v>2</v>
      </c>
      <c r="E2157" s="16">
        <v>72</v>
      </c>
      <c r="F2157" s="17" t="s">
        <v>6</v>
      </c>
      <c r="G2157" s="17" t="s">
        <v>13</v>
      </c>
      <c r="H2157" s="3" t="s">
        <v>349</v>
      </c>
      <c r="I2157" s="5" t="s">
        <v>435</v>
      </c>
      <c r="J2157" s="16">
        <f>_xlfn.XLOOKUP(CustomerCombinedCleaned[[#This Row],[ID]], Table4[ID], Table4[Recency], "Not Found", 0)</f>
        <v>69</v>
      </c>
      <c r="K2157" s="16">
        <f>_xlfn.XLOOKUP(CustomerCombinedCleaned[[#This Row],[ID]], Table4[ID], Table4[Teas], "Not Found", 0)</f>
        <v>1077</v>
      </c>
      <c r="L2157" s="16">
        <f>_xlfn.XLOOKUP(CustomerCombinedCleaned[[#This Row],[ID]], Table4[ID], Table4[Fruits], "Not Found", 0)</f>
        <v>42</v>
      </c>
      <c r="M2157" s="16">
        <f>_xlfn.XLOOKUP(CustomerCombinedCleaned[[#This Row],[ID]], Table4[ID], Table4[Meats], "Not Found", 0)</f>
        <v>299</v>
      </c>
      <c r="N2157" s="16">
        <f>_xlfn.XLOOKUP(CustomerCombinedCleaned[[#This Row],[ID]], Table4[ID], Table4[Seafood], "Not Found", 0)</f>
        <v>0</v>
      </c>
      <c r="O2157" s="16">
        <f>_xlfn.XLOOKUP(CustomerCombinedCleaned[[#This Row],[ID]], Table4[ID], Table4[Sweets], "Not Found", 0)</f>
        <v>13</v>
      </c>
      <c r="P2157" s="16">
        <f>_xlfn.XLOOKUP(CustomerCombinedCleaned[[#This Row],[ID]], Table4[ID], Table4[Premium], "Not Found", 0)</f>
        <v>129</v>
      </c>
      <c r="Q2157" s="16">
        <f>_xlfn.XLOOKUP(CustomerCombinedCleaned[[#This Row],[ID]], Table4[ID], Table4[Regular], "Not Found", 0)</f>
        <v>1303</v>
      </c>
      <c r="R2157" s="16">
        <f>_xlfn.XLOOKUP(CustomerCombinedCleaned[[#This Row],[ID]], Table4[ID], Table4[Deals], "Not Found", 0)</f>
        <v>3</v>
      </c>
      <c r="S2157" s="16">
        <f>_xlfn.XLOOKUP(CustomerCombinedCleaned[[#This Row],[ID]], Table4[ID], Table4[Website], "Not Found", 0)</f>
        <v>5</v>
      </c>
      <c r="T2157" s="16">
        <f>_xlfn.XLOOKUP(CustomerCombinedCleaned[[#This Row],[ID]], Table4[ID], Table4[Catalog], "Not Found", 0)</f>
        <v>2</v>
      </c>
      <c r="U2157" s="16">
        <f>_xlfn.XLOOKUP(CustomerCombinedCleaned[[#This Row],[ID]], Table4[ID], Table4[Store], "Not Found", 0)</f>
        <v>10</v>
      </c>
      <c r="V2157" s="16">
        <f>_xlfn.XLOOKUP(CustomerCombinedCleaned[[#This Row],[ID]], Table4[ID], Table4[Visits], "Not Found", 0)</f>
        <v>5</v>
      </c>
      <c r="W2157" s="16">
        <f>_xlfn.XLOOKUP(CustomerCombinedCleaned[[#This Row],[ID]], Table2[ID],Table2[Complaint], "Not Found", 0 )</f>
        <v>0</v>
      </c>
      <c r="X2157" s="16">
        <f>_xlfn.XLOOKUP(CustomerCombinedCleaned[[#This Row],[ID]], Table2[ID],Table2[Pilot], "Not Found", 0 )</f>
        <v>0</v>
      </c>
      <c r="Y2157" s="16">
        <f>_xlfn.XLOOKUP(CustomerCombinedCleaned[[#This Row],[ID]], Table2[ID],Table2[MC1], "Not Found", 0 )</f>
        <v>0</v>
      </c>
      <c r="Z2157" s="16">
        <f>_xlfn.XLOOKUP(CustomerCombinedCleaned[[#This Row],[ID]], Table2[ID],Table2[MC2], "Not Found", 0 )</f>
        <v>0</v>
      </c>
      <c r="AA2157" s="16">
        <f>_xlfn.XLOOKUP(CustomerCombinedCleaned[[#This Row],[ID]], Table2[ID],Table2[MC3], "Not Found", 0 )</f>
        <v>0</v>
      </c>
      <c r="AB2157" s="16">
        <f>_xlfn.XLOOKUP(CustomerCombinedCleaned[[#This Row],[ID]], Table2[ID],Table2[MC4], "Not Found", 0 )</f>
        <v>0</v>
      </c>
      <c r="AC2157" s="16">
        <f>_xlfn.XLOOKUP(CustomerCombinedCleaned[[#This Row],[ID]], Table2[ID],Table2[MC5], "Not Found", 0 )</f>
        <v>0</v>
      </c>
    </row>
    <row r="2158" spans="1:29" x14ac:dyDescent="0.3">
      <c r="A2158" s="18">
        <v>2848</v>
      </c>
      <c r="B2158" s="16">
        <v>160200</v>
      </c>
      <c r="C2158" s="16">
        <v>0</v>
      </c>
      <c r="D2158" s="16">
        <v>1</v>
      </c>
      <c r="E2158" s="16">
        <v>72</v>
      </c>
      <c r="F2158" s="17" t="s">
        <v>7</v>
      </c>
      <c r="G2158" s="17" t="s">
        <v>13</v>
      </c>
      <c r="H2158" s="3" t="s">
        <v>564</v>
      </c>
      <c r="I2158" s="5" t="s">
        <v>439</v>
      </c>
      <c r="J2158" s="16">
        <f>_xlfn.XLOOKUP(CustomerCombinedCleaned[[#This Row],[ID]], Table4[ID], Table4[Recency], "Not Found", 0)</f>
        <v>3</v>
      </c>
      <c r="K2158" s="16">
        <f>_xlfn.XLOOKUP(CustomerCombinedCleaned[[#This Row],[ID]], Table4[ID], Table4[Teas], "Not Found", 0)</f>
        <v>1336</v>
      </c>
      <c r="L2158" s="16">
        <f>_xlfn.XLOOKUP(CustomerCombinedCleaned[[#This Row],[ID]], Table4[ID], Table4[Fruits], "Not Found", 0)</f>
        <v>51</v>
      </c>
      <c r="M2158" s="16">
        <f>_xlfn.XLOOKUP(CustomerCombinedCleaned[[#This Row],[ID]], Table4[ID], Table4[Meats], "Not Found", 0)</f>
        <v>351</v>
      </c>
      <c r="N2158" s="16">
        <f>_xlfn.XLOOKUP(CustomerCombinedCleaned[[#This Row],[ID]], Table4[ID], Table4[Seafood], "Not Found", 0)</f>
        <v>0</v>
      </c>
      <c r="O2158" s="16">
        <f>_xlfn.XLOOKUP(CustomerCombinedCleaned[[#This Row],[ID]], Table4[ID], Table4[Sweets], "Not Found", 0)</f>
        <v>16</v>
      </c>
      <c r="P2158" s="16">
        <f>_xlfn.XLOOKUP(CustomerCombinedCleaned[[#This Row],[ID]], Table4[ID], Table4[Premium], "Not Found", 0)</f>
        <v>69</v>
      </c>
      <c r="Q2158" s="16">
        <f>_xlfn.XLOOKUP(CustomerCombinedCleaned[[#This Row],[ID]], Table4[ID], Table4[Regular], "Not Found", 0)</f>
        <v>1684</v>
      </c>
      <c r="R2158" s="16">
        <f>_xlfn.XLOOKUP(CustomerCombinedCleaned[[#This Row],[ID]], Table4[ID], Table4[Deals], "Not Found", 0)</f>
        <v>6</v>
      </c>
      <c r="S2158" s="16">
        <f>_xlfn.XLOOKUP(CustomerCombinedCleaned[[#This Row],[ID]], Table4[ID], Table4[Website], "Not Found", 0)</f>
        <v>6</v>
      </c>
      <c r="T2158" s="16">
        <f>_xlfn.XLOOKUP(CustomerCombinedCleaned[[#This Row],[ID]], Table4[ID], Table4[Catalog], "Not Found", 0)</f>
        <v>2</v>
      </c>
      <c r="U2158" s="16">
        <f>_xlfn.XLOOKUP(CustomerCombinedCleaned[[#This Row],[ID]], Table4[ID], Table4[Store], "Not Found", 0)</f>
        <v>11</v>
      </c>
      <c r="V2158" s="16">
        <f>_xlfn.XLOOKUP(CustomerCombinedCleaned[[#This Row],[ID]], Table4[ID], Table4[Visits], "Not Found", 0)</f>
        <v>6</v>
      </c>
      <c r="W2158" s="16">
        <f>_xlfn.XLOOKUP(CustomerCombinedCleaned[[#This Row],[ID]], Table2[ID],Table2[Complaint], "Not Found", 0 )</f>
        <v>0</v>
      </c>
      <c r="X2158" s="16">
        <f>_xlfn.XLOOKUP(CustomerCombinedCleaned[[#This Row],[ID]], Table2[ID],Table2[Pilot], "Not Found", 0 )</f>
        <v>0</v>
      </c>
      <c r="Y2158" s="16">
        <f>_xlfn.XLOOKUP(CustomerCombinedCleaned[[#This Row],[ID]], Table2[ID],Table2[MC1], "Not Found", 0 )</f>
        <v>0</v>
      </c>
      <c r="Z2158" s="16">
        <f>_xlfn.XLOOKUP(CustomerCombinedCleaned[[#This Row],[ID]], Table2[ID],Table2[MC2], "Not Found", 0 )</f>
        <v>0</v>
      </c>
      <c r="AA2158" s="16">
        <f>_xlfn.XLOOKUP(CustomerCombinedCleaned[[#This Row],[ID]], Table2[ID],Table2[MC3], "Not Found", 0 )</f>
        <v>0</v>
      </c>
      <c r="AB2158" s="16">
        <f>_xlfn.XLOOKUP(CustomerCombinedCleaned[[#This Row],[ID]], Table2[ID],Table2[MC4], "Not Found", 0 )</f>
        <v>0</v>
      </c>
      <c r="AC2158" s="16">
        <f>_xlfn.XLOOKUP(CustomerCombinedCleaned[[#This Row],[ID]], Table2[ID],Table2[MC5], "Not Found", 0 )</f>
        <v>0</v>
      </c>
    </row>
    <row r="2159" spans="1:29" x14ac:dyDescent="0.3">
      <c r="A2159" s="18">
        <v>1425</v>
      </c>
      <c r="B2159" s="16">
        <v>156223</v>
      </c>
      <c r="C2159" s="16">
        <v>0</v>
      </c>
      <c r="D2159" s="16">
        <v>1</v>
      </c>
      <c r="E2159" s="16">
        <v>72</v>
      </c>
      <c r="F2159" s="17" t="s">
        <v>6</v>
      </c>
      <c r="G2159" s="17" t="s">
        <v>13</v>
      </c>
      <c r="H2159" s="3" t="s">
        <v>128</v>
      </c>
      <c r="I2159" s="5" t="s">
        <v>435</v>
      </c>
      <c r="J2159" s="16">
        <f>_xlfn.XLOOKUP(CustomerCombinedCleaned[[#This Row],[ID]], Table4[ID], Table4[Recency], "Not Found", 0)</f>
        <v>72</v>
      </c>
      <c r="K2159" s="16">
        <f>_xlfn.XLOOKUP(CustomerCombinedCleaned[[#This Row],[ID]], Table4[ID], Table4[Teas], "Not Found", 0)</f>
        <v>214</v>
      </c>
      <c r="L2159" s="16">
        <f>_xlfn.XLOOKUP(CustomerCombinedCleaned[[#This Row],[ID]], Table4[ID], Table4[Fruits], "Not Found", 0)</f>
        <v>78</v>
      </c>
      <c r="M2159" s="16">
        <f>_xlfn.XLOOKUP(CustomerCombinedCleaned[[#This Row],[ID]], Table4[ID], Table4[Meats], "Not Found", 0)</f>
        <v>86</v>
      </c>
      <c r="N2159" s="16">
        <f>_xlfn.XLOOKUP(CustomerCombinedCleaned[[#This Row],[ID]], Table4[ID], Table4[Seafood], "Not Found", 0)</f>
        <v>44</v>
      </c>
      <c r="O2159" s="16">
        <f>_xlfn.XLOOKUP(CustomerCombinedCleaned[[#This Row],[ID]], Table4[ID], Table4[Sweets], "Not Found", 0)</f>
        <v>0</v>
      </c>
      <c r="P2159" s="16">
        <f>_xlfn.XLOOKUP(CustomerCombinedCleaned[[#This Row],[ID]], Table4[ID], Table4[Premium], "Not Found", 0)</f>
        <v>11</v>
      </c>
      <c r="Q2159" s="16">
        <f>_xlfn.XLOOKUP(CustomerCombinedCleaned[[#This Row],[ID]], Table4[ID], Table4[Regular], "Not Found", 0)</f>
        <v>411</v>
      </c>
      <c r="R2159" s="16">
        <f>_xlfn.XLOOKUP(CustomerCombinedCleaned[[#This Row],[ID]], Table4[ID], Table4[Deals], "Not Found", 0)</f>
        <v>2</v>
      </c>
      <c r="S2159" s="16">
        <f>_xlfn.XLOOKUP(CustomerCombinedCleaned[[#This Row],[ID]], Table4[ID], Table4[Website], "Not Found", 0)</f>
        <v>2</v>
      </c>
      <c r="T2159" s="16">
        <f>_xlfn.XLOOKUP(CustomerCombinedCleaned[[#This Row],[ID]], Table4[ID], Table4[Catalog], "Not Found", 0)</f>
        <v>1</v>
      </c>
      <c r="U2159" s="16">
        <f>_xlfn.XLOOKUP(CustomerCombinedCleaned[[#This Row],[ID]], Table4[ID], Table4[Store], "Not Found", 0)</f>
        <v>5</v>
      </c>
      <c r="V2159" s="16">
        <f>_xlfn.XLOOKUP(CustomerCombinedCleaned[[#This Row],[ID]], Table4[ID], Table4[Visits], "Not Found", 0)</f>
        <v>4</v>
      </c>
      <c r="W2159" s="16">
        <f>_xlfn.XLOOKUP(CustomerCombinedCleaned[[#This Row],[ID]], Table2[ID],Table2[Complaint], "Not Found", 0 )</f>
        <v>0</v>
      </c>
      <c r="X2159" s="16">
        <f>_xlfn.XLOOKUP(CustomerCombinedCleaned[[#This Row],[ID]], Table2[ID],Table2[Pilot], "Not Found", 0 )</f>
        <v>0</v>
      </c>
      <c r="Y2159" s="16">
        <f>_xlfn.XLOOKUP(CustomerCombinedCleaned[[#This Row],[ID]], Table2[ID],Table2[MC1], "Not Found", 0 )</f>
        <v>0</v>
      </c>
      <c r="Z2159" s="16">
        <f>_xlfn.XLOOKUP(CustomerCombinedCleaned[[#This Row],[ID]], Table2[ID],Table2[MC2], "Not Found", 0 )</f>
        <v>0</v>
      </c>
      <c r="AA2159" s="16">
        <f>_xlfn.XLOOKUP(CustomerCombinedCleaned[[#This Row],[ID]], Table2[ID],Table2[MC3], "Not Found", 0 )</f>
        <v>0</v>
      </c>
      <c r="AB2159" s="16">
        <f>_xlfn.XLOOKUP(CustomerCombinedCleaned[[#This Row],[ID]], Table2[ID],Table2[MC4], "Not Found", 0 )</f>
        <v>0</v>
      </c>
      <c r="AC2159" s="16">
        <f>_xlfn.XLOOKUP(CustomerCombinedCleaned[[#This Row],[ID]], Table2[ID],Table2[MC5], "Not Found", 0 )</f>
        <v>0</v>
      </c>
    </row>
    <row r="2160" spans="1:29" x14ac:dyDescent="0.3">
      <c r="A2160" s="18">
        <v>2393</v>
      </c>
      <c r="B2160" s="16">
        <v>151315</v>
      </c>
      <c r="C2160" s="16">
        <v>0</v>
      </c>
      <c r="D2160" s="16">
        <v>0</v>
      </c>
      <c r="E2160" s="16">
        <v>72</v>
      </c>
      <c r="F2160" s="17" t="s">
        <v>8</v>
      </c>
      <c r="G2160" s="17" t="s">
        <v>11</v>
      </c>
      <c r="H2160" s="3" t="s">
        <v>92</v>
      </c>
      <c r="I2160" s="5" t="s">
        <v>434</v>
      </c>
      <c r="J2160" s="16">
        <f>_xlfn.XLOOKUP(CustomerCombinedCleaned[[#This Row],[ID]], Table4[ID], Table4[Recency], "Not Found", 0)</f>
        <v>45</v>
      </c>
      <c r="K2160" s="16">
        <f>_xlfn.XLOOKUP(CustomerCombinedCleaned[[#This Row],[ID]], Table4[ID], Table4[Teas], "Not Found", 0)</f>
        <v>201</v>
      </c>
      <c r="L2160" s="16">
        <f>_xlfn.XLOOKUP(CustomerCombinedCleaned[[#This Row],[ID]], Table4[ID], Table4[Fruits], "Not Found", 0)</f>
        <v>83</v>
      </c>
      <c r="M2160" s="16">
        <f>_xlfn.XLOOKUP(CustomerCombinedCleaned[[#This Row],[ID]], Table4[ID], Table4[Meats], "Not Found", 0)</f>
        <v>115</v>
      </c>
      <c r="N2160" s="16">
        <f>_xlfn.XLOOKUP(CustomerCombinedCleaned[[#This Row],[ID]], Table4[ID], Table4[Seafood], "Not Found", 0)</f>
        <v>47</v>
      </c>
      <c r="O2160" s="16">
        <f>_xlfn.XLOOKUP(CustomerCombinedCleaned[[#This Row],[ID]], Table4[ID], Table4[Sweets], "Not Found", 0)</f>
        <v>88</v>
      </c>
      <c r="P2160" s="16">
        <f>_xlfn.XLOOKUP(CustomerCombinedCleaned[[#This Row],[ID]], Table4[ID], Table4[Premium], "Not Found", 0)</f>
        <v>121</v>
      </c>
      <c r="Q2160" s="16">
        <f>_xlfn.XLOOKUP(CustomerCombinedCleaned[[#This Row],[ID]], Table4[ID], Table4[Regular], "Not Found", 0)</f>
        <v>413</v>
      </c>
      <c r="R2160" s="16">
        <f>_xlfn.XLOOKUP(CustomerCombinedCleaned[[#This Row],[ID]], Table4[ID], Table4[Deals], "Not Found", 0)</f>
        <v>1</v>
      </c>
      <c r="S2160" s="16">
        <f>_xlfn.XLOOKUP(CustomerCombinedCleaned[[#This Row],[ID]], Table4[ID], Table4[Website], "Not Found", 0)</f>
        <v>2</v>
      </c>
      <c r="T2160" s="16">
        <f>_xlfn.XLOOKUP(CustomerCombinedCleaned[[#This Row],[ID]], Table4[ID], Table4[Catalog], "Not Found", 0)</f>
        <v>2</v>
      </c>
      <c r="U2160" s="16">
        <f>_xlfn.XLOOKUP(CustomerCombinedCleaned[[#This Row],[ID]], Table4[ID], Table4[Store], "Not Found", 0)</f>
        <v>5</v>
      </c>
      <c r="V2160" s="16">
        <f>_xlfn.XLOOKUP(CustomerCombinedCleaned[[#This Row],[ID]], Table4[ID], Table4[Visits], "Not Found", 0)</f>
        <v>2</v>
      </c>
      <c r="W2160" s="16">
        <f>_xlfn.XLOOKUP(CustomerCombinedCleaned[[#This Row],[ID]], Table2[ID],Table2[Complaint], "Not Found", 0 )</f>
        <v>0</v>
      </c>
      <c r="X2160" s="16">
        <f>_xlfn.XLOOKUP(CustomerCombinedCleaned[[#This Row],[ID]], Table2[ID],Table2[Pilot], "Not Found", 0 )</f>
        <v>0</v>
      </c>
      <c r="Y2160" s="16">
        <f>_xlfn.XLOOKUP(CustomerCombinedCleaned[[#This Row],[ID]], Table2[ID],Table2[MC1], "Not Found", 0 )</f>
        <v>0</v>
      </c>
      <c r="Z2160" s="16">
        <f>_xlfn.XLOOKUP(CustomerCombinedCleaned[[#This Row],[ID]], Table2[ID],Table2[MC2], "Not Found", 0 )</f>
        <v>0</v>
      </c>
      <c r="AA2160" s="16">
        <f>_xlfn.XLOOKUP(CustomerCombinedCleaned[[#This Row],[ID]], Table2[ID],Table2[MC3], "Not Found", 0 )</f>
        <v>0</v>
      </c>
      <c r="AB2160" s="16">
        <f>_xlfn.XLOOKUP(CustomerCombinedCleaned[[#This Row],[ID]], Table2[ID],Table2[MC4], "Not Found", 0 )</f>
        <v>0</v>
      </c>
      <c r="AC2160" s="16">
        <f>_xlfn.XLOOKUP(CustomerCombinedCleaned[[#This Row],[ID]], Table2[ID],Table2[MC5], "Not Found", 0 )</f>
        <v>0</v>
      </c>
    </row>
    <row r="2161" spans="1:29" x14ac:dyDescent="0.3">
      <c r="A2161" s="18">
        <v>1343</v>
      </c>
      <c r="B2161" s="16">
        <v>146681</v>
      </c>
      <c r="C2161" s="16">
        <v>0</v>
      </c>
      <c r="D2161" s="16">
        <v>2</v>
      </c>
      <c r="E2161" s="16">
        <v>72</v>
      </c>
      <c r="F2161" s="17" t="s">
        <v>8</v>
      </c>
      <c r="G2161" s="17" t="s">
        <v>13</v>
      </c>
      <c r="H2161" s="3" t="s">
        <v>174</v>
      </c>
      <c r="I2161" s="5" t="s">
        <v>434</v>
      </c>
      <c r="J2161" s="16">
        <f>_xlfn.XLOOKUP(CustomerCombinedCleaned[[#This Row],[ID]], Table4[ID], Table4[Recency], "Not Found", 0)</f>
        <v>52</v>
      </c>
      <c r="K2161" s="16">
        <f>_xlfn.XLOOKUP(CustomerCombinedCleaned[[#This Row],[ID]], Table4[ID], Table4[Teas], "Not Found", 0)</f>
        <v>845</v>
      </c>
      <c r="L2161" s="16">
        <f>_xlfn.XLOOKUP(CustomerCombinedCleaned[[#This Row],[ID]], Table4[ID], Table4[Fruits], "Not Found", 0)</f>
        <v>47</v>
      </c>
      <c r="M2161" s="16">
        <f>_xlfn.XLOOKUP(CustomerCombinedCleaned[[#This Row],[ID]], Table4[ID], Table4[Meats], "Not Found", 0)</f>
        <v>217</v>
      </c>
      <c r="N2161" s="16">
        <f>_xlfn.XLOOKUP(CustomerCombinedCleaned[[#This Row],[ID]], Table4[ID], Table4[Seafood], "Not Found", 0)</f>
        <v>47</v>
      </c>
      <c r="O2161" s="16">
        <f>_xlfn.XLOOKUP(CustomerCombinedCleaned[[#This Row],[ID]], Table4[ID], Table4[Sweets], "Not Found", 0)</f>
        <v>60</v>
      </c>
      <c r="P2161" s="16">
        <f>_xlfn.XLOOKUP(CustomerCombinedCleaned[[#This Row],[ID]], Table4[ID], Table4[Premium], "Not Found", 0)</f>
        <v>119</v>
      </c>
      <c r="Q2161" s="16">
        <f>_xlfn.XLOOKUP(CustomerCombinedCleaned[[#This Row],[ID]], Table4[ID], Table4[Regular], "Not Found", 0)</f>
        <v>1097</v>
      </c>
      <c r="R2161" s="16">
        <f>_xlfn.XLOOKUP(CustomerCombinedCleaned[[#This Row],[ID]], Table4[ID], Table4[Deals], "Not Found", 0)</f>
        <v>2</v>
      </c>
      <c r="S2161" s="16">
        <f>_xlfn.XLOOKUP(CustomerCombinedCleaned[[#This Row],[ID]], Table4[ID], Table4[Website], "Not Found", 0)</f>
        <v>4</v>
      </c>
      <c r="T2161" s="16">
        <f>_xlfn.XLOOKUP(CustomerCombinedCleaned[[#This Row],[ID]], Table4[ID], Table4[Catalog], "Not Found", 0)</f>
        <v>6</v>
      </c>
      <c r="U2161" s="16">
        <f>_xlfn.XLOOKUP(CustomerCombinedCleaned[[#This Row],[ID]], Table4[ID], Table4[Store], "Not Found", 0)</f>
        <v>4</v>
      </c>
      <c r="V2161" s="16">
        <f>_xlfn.XLOOKUP(CustomerCombinedCleaned[[#This Row],[ID]], Table4[ID], Table4[Visits], "Not Found", 0)</f>
        <v>5</v>
      </c>
      <c r="W2161" s="16">
        <f>_xlfn.XLOOKUP(CustomerCombinedCleaned[[#This Row],[ID]], Table2[ID],Table2[Complaint], "Not Found", 0 )</f>
        <v>0</v>
      </c>
      <c r="X2161" s="16">
        <f>_xlfn.XLOOKUP(CustomerCombinedCleaned[[#This Row],[ID]], Table2[ID],Table2[Pilot], "Not Found", 0 )</f>
        <v>0</v>
      </c>
      <c r="Y2161" s="16">
        <f>_xlfn.XLOOKUP(CustomerCombinedCleaned[[#This Row],[ID]], Table2[ID],Table2[MC1], "Not Found", 0 )</f>
        <v>0</v>
      </c>
      <c r="Z2161" s="16">
        <f>_xlfn.XLOOKUP(CustomerCombinedCleaned[[#This Row],[ID]], Table2[ID],Table2[MC2], "Not Found", 0 )</f>
        <v>0</v>
      </c>
      <c r="AA2161" s="16">
        <f>_xlfn.XLOOKUP(CustomerCombinedCleaned[[#This Row],[ID]], Table2[ID],Table2[MC3], "Not Found", 0 )</f>
        <v>0</v>
      </c>
      <c r="AB2161" s="16">
        <f>_xlfn.XLOOKUP(CustomerCombinedCleaned[[#This Row],[ID]], Table2[ID],Table2[MC4], "Not Found", 0 )</f>
        <v>0</v>
      </c>
      <c r="AC2161" s="16">
        <f>_xlfn.XLOOKUP(CustomerCombinedCleaned[[#This Row],[ID]], Table2[ID],Table2[MC5], "Not Found", 0 )</f>
        <v>0</v>
      </c>
    </row>
    <row r="2162" spans="1:29" x14ac:dyDescent="0.3">
      <c r="A2162" s="18">
        <v>2610</v>
      </c>
      <c r="B2162" s="16">
        <v>146681</v>
      </c>
      <c r="C2162" s="16">
        <v>0</v>
      </c>
      <c r="D2162" s="16">
        <v>2</v>
      </c>
      <c r="E2162" s="16">
        <v>72</v>
      </c>
      <c r="F2162" s="17" t="s">
        <v>8</v>
      </c>
      <c r="G2162" s="17" t="s">
        <v>13</v>
      </c>
      <c r="H2162" s="3" t="s">
        <v>174</v>
      </c>
      <c r="I2162" s="5" t="s">
        <v>436</v>
      </c>
      <c r="J2162" s="16">
        <f>_xlfn.XLOOKUP(CustomerCombinedCleaned[[#This Row],[ID]], Table4[ID], Table4[Recency], "Not Found", 0)</f>
        <v>52</v>
      </c>
      <c r="K2162" s="16">
        <f>_xlfn.XLOOKUP(CustomerCombinedCleaned[[#This Row],[ID]], Table4[ID], Table4[Teas], "Not Found", 0)</f>
        <v>845</v>
      </c>
      <c r="L2162" s="16">
        <f>_xlfn.XLOOKUP(CustomerCombinedCleaned[[#This Row],[ID]], Table4[ID], Table4[Fruits], "Not Found", 0)</f>
        <v>47</v>
      </c>
      <c r="M2162" s="16">
        <f>_xlfn.XLOOKUP(CustomerCombinedCleaned[[#This Row],[ID]], Table4[ID], Table4[Meats], "Not Found", 0)</f>
        <v>217</v>
      </c>
      <c r="N2162" s="16">
        <f>_xlfn.XLOOKUP(CustomerCombinedCleaned[[#This Row],[ID]], Table4[ID], Table4[Seafood], "Not Found", 0)</f>
        <v>47</v>
      </c>
      <c r="O2162" s="16">
        <f>_xlfn.XLOOKUP(CustomerCombinedCleaned[[#This Row],[ID]], Table4[ID], Table4[Sweets], "Not Found", 0)</f>
        <v>60</v>
      </c>
      <c r="P2162" s="16">
        <f>_xlfn.XLOOKUP(CustomerCombinedCleaned[[#This Row],[ID]], Table4[ID], Table4[Premium], "Not Found", 0)</f>
        <v>119</v>
      </c>
      <c r="Q2162" s="16">
        <f>_xlfn.XLOOKUP(CustomerCombinedCleaned[[#This Row],[ID]], Table4[ID], Table4[Regular], "Not Found", 0)</f>
        <v>1097</v>
      </c>
      <c r="R2162" s="16">
        <f>_xlfn.XLOOKUP(CustomerCombinedCleaned[[#This Row],[ID]], Table4[ID], Table4[Deals], "Not Found", 0)</f>
        <v>2</v>
      </c>
      <c r="S2162" s="16">
        <f>_xlfn.XLOOKUP(CustomerCombinedCleaned[[#This Row],[ID]], Table4[ID], Table4[Website], "Not Found", 0)</f>
        <v>4</v>
      </c>
      <c r="T2162" s="16">
        <f>_xlfn.XLOOKUP(CustomerCombinedCleaned[[#This Row],[ID]], Table4[ID], Table4[Catalog], "Not Found", 0)</f>
        <v>6</v>
      </c>
      <c r="U2162" s="16">
        <f>_xlfn.XLOOKUP(CustomerCombinedCleaned[[#This Row],[ID]], Table4[ID], Table4[Store], "Not Found", 0)</f>
        <v>4</v>
      </c>
      <c r="V2162" s="16">
        <f>_xlfn.XLOOKUP(CustomerCombinedCleaned[[#This Row],[ID]], Table4[ID], Table4[Visits], "Not Found", 0)</f>
        <v>5</v>
      </c>
      <c r="W2162" s="16">
        <f>_xlfn.XLOOKUP(CustomerCombinedCleaned[[#This Row],[ID]], Table2[ID],Table2[Complaint], "Not Found", 0 )</f>
        <v>0</v>
      </c>
      <c r="X2162" s="16">
        <f>_xlfn.XLOOKUP(CustomerCombinedCleaned[[#This Row],[ID]], Table2[ID],Table2[Pilot], "Not Found", 0 )</f>
        <v>0</v>
      </c>
      <c r="Y2162" s="16">
        <f>_xlfn.XLOOKUP(CustomerCombinedCleaned[[#This Row],[ID]], Table2[ID],Table2[MC1], "Not Found", 0 )</f>
        <v>0</v>
      </c>
      <c r="Z2162" s="16">
        <f>_xlfn.XLOOKUP(CustomerCombinedCleaned[[#This Row],[ID]], Table2[ID],Table2[MC2], "Not Found", 0 )</f>
        <v>0</v>
      </c>
      <c r="AA2162" s="16">
        <f>_xlfn.XLOOKUP(CustomerCombinedCleaned[[#This Row],[ID]], Table2[ID],Table2[MC3], "Not Found", 0 )</f>
        <v>0</v>
      </c>
      <c r="AB2162" s="16">
        <f>_xlfn.XLOOKUP(CustomerCombinedCleaned[[#This Row],[ID]], Table2[ID],Table2[MC4], "Not Found", 0 )</f>
        <v>0</v>
      </c>
      <c r="AC2162" s="16">
        <f>_xlfn.XLOOKUP(CustomerCombinedCleaned[[#This Row],[ID]], Table2[ID],Table2[MC5], "Not Found", 0 )</f>
        <v>0</v>
      </c>
    </row>
    <row r="2163" spans="1:29" x14ac:dyDescent="0.3">
      <c r="A2163" s="18">
        <v>2249</v>
      </c>
      <c r="B2163" s="16">
        <v>145579</v>
      </c>
      <c r="C2163" s="16">
        <v>0</v>
      </c>
      <c r="D2163" s="16">
        <v>1</v>
      </c>
      <c r="E2163" s="16">
        <v>72</v>
      </c>
      <c r="F2163" s="17" t="s">
        <v>6</v>
      </c>
      <c r="G2163" s="17" t="s">
        <v>13</v>
      </c>
      <c r="H2163" s="3" t="s">
        <v>197</v>
      </c>
      <c r="I2163" s="5" t="s">
        <v>434</v>
      </c>
      <c r="J2163" s="16">
        <f>_xlfn.XLOOKUP(CustomerCombinedCleaned[[#This Row],[ID]], Table4[ID], Table4[Recency], "Not Found", 0)</f>
        <v>10</v>
      </c>
      <c r="K2163" s="16">
        <f>_xlfn.XLOOKUP(CustomerCombinedCleaned[[#This Row],[ID]], Table4[ID], Table4[Teas], "Not Found", 0)</f>
        <v>463</v>
      </c>
      <c r="L2163" s="16">
        <f>_xlfn.XLOOKUP(CustomerCombinedCleaned[[#This Row],[ID]], Table4[ID], Table4[Fruits], "Not Found", 0)</f>
        <v>3</v>
      </c>
      <c r="M2163" s="16">
        <f>_xlfn.XLOOKUP(CustomerCombinedCleaned[[#This Row],[ID]], Table4[ID], Table4[Meats], "Not Found", 0)</f>
        <v>105</v>
      </c>
      <c r="N2163" s="16">
        <f>_xlfn.XLOOKUP(CustomerCombinedCleaned[[#This Row],[ID]], Table4[ID], Table4[Seafood], "Not Found", 0)</f>
        <v>6</v>
      </c>
      <c r="O2163" s="16">
        <f>_xlfn.XLOOKUP(CustomerCombinedCleaned[[#This Row],[ID]], Table4[ID], Table4[Sweets], "Not Found", 0)</f>
        <v>3</v>
      </c>
      <c r="P2163" s="16">
        <f>_xlfn.XLOOKUP(CustomerCombinedCleaned[[#This Row],[ID]], Table4[ID], Table4[Premium], "Not Found", 0)</f>
        <v>3</v>
      </c>
      <c r="Q2163" s="16">
        <f>_xlfn.XLOOKUP(CustomerCombinedCleaned[[#This Row],[ID]], Table4[ID], Table4[Regular], "Not Found", 0)</f>
        <v>578</v>
      </c>
      <c r="R2163" s="16">
        <f>_xlfn.XLOOKUP(CustomerCombinedCleaned[[#This Row],[ID]], Table4[ID], Table4[Deals], "Not Found", 0)</f>
        <v>1</v>
      </c>
      <c r="S2163" s="16">
        <f>_xlfn.XLOOKUP(CustomerCombinedCleaned[[#This Row],[ID]], Table4[ID], Table4[Website], "Not Found", 0)</f>
        <v>4</v>
      </c>
      <c r="T2163" s="16">
        <f>_xlfn.XLOOKUP(CustomerCombinedCleaned[[#This Row],[ID]], Table4[ID], Table4[Catalog], "Not Found", 0)</f>
        <v>1</v>
      </c>
      <c r="U2163" s="16">
        <f>_xlfn.XLOOKUP(CustomerCombinedCleaned[[#This Row],[ID]], Table4[ID], Table4[Store], "Not Found", 0)</f>
        <v>4</v>
      </c>
      <c r="V2163" s="16">
        <f>_xlfn.XLOOKUP(CustomerCombinedCleaned[[#This Row],[ID]], Table4[ID], Table4[Visits], "Not Found", 0)</f>
        <v>6</v>
      </c>
      <c r="W2163" s="16">
        <f>_xlfn.XLOOKUP(CustomerCombinedCleaned[[#This Row],[ID]], Table2[ID],Table2[Complaint], "Not Found", 0 )</f>
        <v>0</v>
      </c>
      <c r="X2163" s="16">
        <f>_xlfn.XLOOKUP(CustomerCombinedCleaned[[#This Row],[ID]], Table2[ID],Table2[Pilot], "Not Found", 0 )</f>
        <v>0</v>
      </c>
      <c r="Y2163" s="16">
        <f>_xlfn.XLOOKUP(CustomerCombinedCleaned[[#This Row],[ID]], Table2[ID],Table2[MC1], "Not Found", 0 )</f>
        <v>0</v>
      </c>
      <c r="Z2163" s="16">
        <f>_xlfn.XLOOKUP(CustomerCombinedCleaned[[#This Row],[ID]], Table2[ID],Table2[MC2], "Not Found", 0 )</f>
        <v>0</v>
      </c>
      <c r="AA2163" s="16">
        <f>_xlfn.XLOOKUP(CustomerCombinedCleaned[[#This Row],[ID]], Table2[ID],Table2[MC3], "Not Found", 0 )</f>
        <v>0</v>
      </c>
      <c r="AB2163" s="16">
        <f>_xlfn.XLOOKUP(CustomerCombinedCleaned[[#This Row],[ID]], Table2[ID],Table2[MC4], "Not Found", 0 )</f>
        <v>0</v>
      </c>
      <c r="AC2163" s="16">
        <f>_xlfn.XLOOKUP(CustomerCombinedCleaned[[#This Row],[ID]], Table2[ID],Table2[MC5], "Not Found", 0 )</f>
        <v>0</v>
      </c>
    </row>
    <row r="2164" spans="1:29" x14ac:dyDescent="0.3">
      <c r="A2164" s="18">
        <v>1714</v>
      </c>
      <c r="B2164" s="16">
        <v>145072</v>
      </c>
      <c r="C2164" s="16">
        <v>1</v>
      </c>
      <c r="D2164" s="16">
        <v>2</v>
      </c>
      <c r="E2164" s="16">
        <v>72</v>
      </c>
      <c r="F2164" s="17" t="s">
        <v>5</v>
      </c>
      <c r="G2164" s="17" t="s">
        <v>13</v>
      </c>
      <c r="H2164" s="3" t="s">
        <v>166</v>
      </c>
      <c r="I2164" s="5" t="s">
        <v>439</v>
      </c>
      <c r="J2164" s="16">
        <f>_xlfn.XLOOKUP(CustomerCombinedCleaned[[#This Row],[ID]], Table4[ID], Table4[Recency], "Not Found", 0)</f>
        <v>74</v>
      </c>
      <c r="K2164" s="16">
        <f>_xlfn.XLOOKUP(CustomerCombinedCleaned[[#This Row],[ID]], Table4[ID], Table4[Teas], "Not Found", 0)</f>
        <v>463</v>
      </c>
      <c r="L2164" s="16">
        <f>_xlfn.XLOOKUP(CustomerCombinedCleaned[[#This Row],[ID]], Table4[ID], Table4[Fruits], "Not Found", 0)</f>
        <v>6</v>
      </c>
      <c r="M2164" s="16">
        <f>_xlfn.XLOOKUP(CustomerCombinedCleaned[[#This Row],[ID]], Table4[ID], Table4[Meats], "Not Found", 0)</f>
        <v>319</v>
      </c>
      <c r="N2164" s="16">
        <f>_xlfn.XLOOKUP(CustomerCombinedCleaned[[#This Row],[ID]], Table4[ID], Table4[Seafood], "Not Found", 0)</f>
        <v>23</v>
      </c>
      <c r="O2164" s="16">
        <f>_xlfn.XLOOKUP(CustomerCombinedCleaned[[#This Row],[ID]], Table4[ID], Table4[Sweets], "Not Found", 0)</f>
        <v>6</v>
      </c>
      <c r="P2164" s="16">
        <f>_xlfn.XLOOKUP(CustomerCombinedCleaned[[#This Row],[ID]], Table4[ID], Table4[Premium], "Not Found", 0)</f>
        <v>97</v>
      </c>
      <c r="Q2164" s="16">
        <f>_xlfn.XLOOKUP(CustomerCombinedCleaned[[#This Row],[ID]], Table4[ID], Table4[Regular], "Not Found", 0)</f>
        <v>721</v>
      </c>
      <c r="R2164" s="16">
        <f>_xlfn.XLOOKUP(CustomerCombinedCleaned[[#This Row],[ID]], Table4[ID], Table4[Deals], "Not Found", 0)</f>
        <v>5</v>
      </c>
      <c r="S2164" s="16">
        <f>_xlfn.XLOOKUP(CustomerCombinedCleaned[[#This Row],[ID]], Table4[ID], Table4[Website], "Not Found", 0)</f>
        <v>6</v>
      </c>
      <c r="T2164" s="16">
        <f>_xlfn.XLOOKUP(CustomerCombinedCleaned[[#This Row],[ID]], Table4[ID], Table4[Catalog], "Not Found", 0)</f>
        <v>1</v>
      </c>
      <c r="U2164" s="16">
        <f>_xlfn.XLOOKUP(CustomerCombinedCleaned[[#This Row],[ID]], Table4[ID], Table4[Store], "Not Found", 0)</f>
        <v>4</v>
      </c>
      <c r="V2164" s="16">
        <f>_xlfn.XLOOKUP(CustomerCombinedCleaned[[#This Row],[ID]], Table4[ID], Table4[Visits], "Not Found", 0)</f>
        <v>8</v>
      </c>
      <c r="W2164" s="16">
        <f>_xlfn.XLOOKUP(CustomerCombinedCleaned[[#This Row],[ID]], Table2[ID],Table2[Complaint], "Not Found", 0 )</f>
        <v>0</v>
      </c>
      <c r="X2164" s="16">
        <f>_xlfn.XLOOKUP(CustomerCombinedCleaned[[#This Row],[ID]], Table2[ID],Table2[Pilot], "Not Found", 0 )</f>
        <v>0</v>
      </c>
      <c r="Y2164" s="16">
        <f>_xlfn.XLOOKUP(CustomerCombinedCleaned[[#This Row],[ID]], Table2[ID],Table2[MC1], "Not Found", 0 )</f>
        <v>0</v>
      </c>
      <c r="Z2164" s="16">
        <f>_xlfn.XLOOKUP(CustomerCombinedCleaned[[#This Row],[ID]], Table2[ID],Table2[MC2], "Not Found", 0 )</f>
        <v>0</v>
      </c>
      <c r="AA2164" s="16">
        <f>_xlfn.XLOOKUP(CustomerCombinedCleaned[[#This Row],[ID]], Table2[ID],Table2[MC3], "Not Found", 0 )</f>
        <v>0</v>
      </c>
      <c r="AB2164" s="16">
        <f>_xlfn.XLOOKUP(CustomerCombinedCleaned[[#This Row],[ID]], Table2[ID],Table2[MC4], "Not Found", 0 )</f>
        <v>0</v>
      </c>
      <c r="AC2164" s="16">
        <f>_xlfn.XLOOKUP(CustomerCombinedCleaned[[#This Row],[ID]], Table2[ID],Table2[MC5], "Not Found", 0 )</f>
        <v>0</v>
      </c>
    </row>
    <row r="2165" spans="1:29" x14ac:dyDescent="0.3">
      <c r="A2165" s="18">
        <v>3039</v>
      </c>
      <c r="B2165" s="16">
        <v>142192</v>
      </c>
      <c r="C2165" s="16">
        <v>0</v>
      </c>
      <c r="D2165" s="16">
        <v>0</v>
      </c>
      <c r="E2165" s="16">
        <v>72</v>
      </c>
      <c r="F2165" s="17" t="s">
        <v>6</v>
      </c>
      <c r="G2165" s="17" t="s">
        <v>11</v>
      </c>
      <c r="H2165" s="3" t="s">
        <v>719</v>
      </c>
      <c r="I2165" s="5" t="s">
        <v>435</v>
      </c>
      <c r="J2165" s="16">
        <f>_xlfn.XLOOKUP(CustomerCombinedCleaned[[#This Row],[ID]], Table4[ID], Table4[Recency], "Not Found", 0)</f>
        <v>40</v>
      </c>
      <c r="K2165" s="16">
        <f>_xlfn.XLOOKUP(CustomerCombinedCleaned[[#This Row],[ID]], Table4[ID], Table4[Teas], "Not Found", 0)</f>
        <v>135</v>
      </c>
      <c r="L2165" s="16">
        <f>_xlfn.XLOOKUP(CustomerCombinedCleaned[[#This Row],[ID]], Table4[ID], Table4[Fruits], "Not Found", 0)</f>
        <v>51</v>
      </c>
      <c r="M2165" s="16">
        <f>_xlfn.XLOOKUP(CustomerCombinedCleaned[[#This Row],[ID]], Table4[ID], Table4[Meats], "Not Found", 0)</f>
        <v>51</v>
      </c>
      <c r="N2165" s="16">
        <f>_xlfn.XLOOKUP(CustomerCombinedCleaned[[#This Row],[ID]], Table4[ID], Table4[Seafood], "Not Found", 0)</f>
        <v>57</v>
      </c>
      <c r="O2165" s="16">
        <f>_xlfn.XLOOKUP(CustomerCombinedCleaned[[#This Row],[ID]], Table4[ID], Table4[Sweets], "Not Found", 0)</f>
        <v>20</v>
      </c>
      <c r="P2165" s="16">
        <f>_xlfn.XLOOKUP(CustomerCombinedCleaned[[#This Row],[ID]], Table4[ID], Table4[Premium], "Not Found", 0)</f>
        <v>24</v>
      </c>
      <c r="Q2165" s="16">
        <f>_xlfn.XLOOKUP(CustomerCombinedCleaned[[#This Row],[ID]], Table4[ID], Table4[Regular], "Not Found", 0)</f>
        <v>290</v>
      </c>
      <c r="R2165" s="16">
        <f>_xlfn.XLOOKUP(CustomerCombinedCleaned[[#This Row],[ID]], Table4[ID], Table4[Deals], "Not Found", 0)</f>
        <v>1</v>
      </c>
      <c r="S2165" s="16">
        <f>_xlfn.XLOOKUP(CustomerCombinedCleaned[[#This Row],[ID]], Table4[ID], Table4[Website], "Not Found", 0)</f>
        <v>2</v>
      </c>
      <c r="T2165" s="16">
        <f>_xlfn.XLOOKUP(CustomerCombinedCleaned[[#This Row],[ID]], Table4[ID], Table4[Catalog], "Not Found", 0)</f>
        <v>1</v>
      </c>
      <c r="U2165" s="16">
        <f>_xlfn.XLOOKUP(CustomerCombinedCleaned[[#This Row],[ID]], Table4[ID], Table4[Store], "Not Found", 0)</f>
        <v>3</v>
      </c>
      <c r="V2165" s="16">
        <f>_xlfn.XLOOKUP(CustomerCombinedCleaned[[#This Row],[ID]], Table4[ID], Table4[Visits], "Not Found", 0)</f>
        <v>4</v>
      </c>
      <c r="W2165" s="16">
        <f>_xlfn.XLOOKUP(CustomerCombinedCleaned[[#This Row],[ID]], Table2[ID],Table2[Complaint], "Not Found", 0 )</f>
        <v>0</v>
      </c>
      <c r="X2165" s="16">
        <f>_xlfn.XLOOKUP(CustomerCombinedCleaned[[#This Row],[ID]], Table2[ID],Table2[Pilot], "Not Found", 0 )</f>
        <v>0</v>
      </c>
      <c r="Y2165" s="16">
        <f>_xlfn.XLOOKUP(CustomerCombinedCleaned[[#This Row],[ID]], Table2[ID],Table2[MC1], "Not Found", 0 )</f>
        <v>0</v>
      </c>
      <c r="Z2165" s="16">
        <f>_xlfn.XLOOKUP(CustomerCombinedCleaned[[#This Row],[ID]], Table2[ID],Table2[MC2], "Not Found", 0 )</f>
        <v>0</v>
      </c>
      <c r="AA2165" s="16">
        <f>_xlfn.XLOOKUP(CustomerCombinedCleaned[[#This Row],[ID]], Table2[ID],Table2[MC3], "Not Found", 0 )</f>
        <v>0</v>
      </c>
      <c r="AB2165" s="16">
        <f>_xlfn.XLOOKUP(CustomerCombinedCleaned[[#This Row],[ID]], Table2[ID],Table2[MC4], "Not Found", 0 )</f>
        <v>0</v>
      </c>
      <c r="AC2165" s="16">
        <f>_xlfn.XLOOKUP(CustomerCombinedCleaned[[#This Row],[ID]], Table2[ID],Table2[MC5], "Not Found", 0 )</f>
        <v>0</v>
      </c>
    </row>
    <row r="2166" spans="1:29" x14ac:dyDescent="0.3">
      <c r="A2166" s="18">
        <v>1904</v>
      </c>
      <c r="B2166" s="16">
        <v>134469</v>
      </c>
      <c r="C2166" s="16">
        <v>1</v>
      </c>
      <c r="D2166" s="16">
        <v>1</v>
      </c>
      <c r="E2166" s="16">
        <v>72</v>
      </c>
      <c r="F2166" s="17" t="s">
        <v>6</v>
      </c>
      <c r="G2166" s="17" t="s">
        <v>13</v>
      </c>
      <c r="H2166" s="3" t="s">
        <v>642</v>
      </c>
      <c r="I2166" s="5" t="s">
        <v>438</v>
      </c>
      <c r="J2166" s="16">
        <f>_xlfn.XLOOKUP(CustomerCombinedCleaned[[#This Row],[ID]], Table4[ID], Table4[Recency], "Not Found", 0)</f>
        <v>58</v>
      </c>
      <c r="K2166" s="16">
        <f>_xlfn.XLOOKUP(CustomerCombinedCleaned[[#This Row],[ID]], Table4[ID], Table4[Teas], "Not Found", 0)</f>
        <v>74</v>
      </c>
      <c r="L2166" s="16">
        <f>_xlfn.XLOOKUP(CustomerCombinedCleaned[[#This Row],[ID]], Table4[ID], Table4[Fruits], "Not Found", 0)</f>
        <v>23</v>
      </c>
      <c r="M2166" s="16">
        <f>_xlfn.XLOOKUP(CustomerCombinedCleaned[[#This Row],[ID]], Table4[ID], Table4[Meats], "Not Found", 0)</f>
        <v>78</v>
      </c>
      <c r="N2166" s="16">
        <f>_xlfn.XLOOKUP(CustomerCombinedCleaned[[#This Row],[ID]], Table4[ID], Table4[Seafood], "Not Found", 0)</f>
        <v>0</v>
      </c>
      <c r="O2166" s="16">
        <f>_xlfn.XLOOKUP(CustomerCombinedCleaned[[#This Row],[ID]], Table4[ID], Table4[Sweets], "Not Found", 0)</f>
        <v>20</v>
      </c>
      <c r="P2166" s="16">
        <f>_xlfn.XLOOKUP(CustomerCombinedCleaned[[#This Row],[ID]], Table4[ID], Table4[Premium], "Not Found", 0)</f>
        <v>47</v>
      </c>
      <c r="Q2166" s="16">
        <f>_xlfn.XLOOKUP(CustomerCombinedCleaned[[#This Row],[ID]], Table4[ID], Table4[Regular], "Not Found", 0)</f>
        <v>148</v>
      </c>
      <c r="R2166" s="16">
        <f>_xlfn.XLOOKUP(CustomerCombinedCleaned[[#This Row],[ID]], Table4[ID], Table4[Deals], "Not Found", 0)</f>
        <v>3</v>
      </c>
      <c r="S2166" s="16">
        <f>_xlfn.XLOOKUP(CustomerCombinedCleaned[[#This Row],[ID]], Table4[ID], Table4[Website], "Not Found", 0)</f>
        <v>1</v>
      </c>
      <c r="T2166" s="16">
        <f>_xlfn.XLOOKUP(CustomerCombinedCleaned[[#This Row],[ID]], Table4[ID], Table4[Catalog], "Not Found", 0)</f>
        <v>1</v>
      </c>
      <c r="U2166" s="16">
        <f>_xlfn.XLOOKUP(CustomerCombinedCleaned[[#This Row],[ID]], Table4[ID], Table4[Store], "Not Found", 0)</f>
        <v>4</v>
      </c>
      <c r="V2166" s="16">
        <f>_xlfn.XLOOKUP(CustomerCombinedCleaned[[#This Row],[ID]], Table4[ID], Table4[Visits], "Not Found", 0)</f>
        <v>4</v>
      </c>
      <c r="W2166" s="16">
        <f>_xlfn.XLOOKUP(CustomerCombinedCleaned[[#This Row],[ID]], Table2[ID],Table2[Complaint], "Not Found", 0 )</f>
        <v>0</v>
      </c>
      <c r="X2166" s="16">
        <f>_xlfn.XLOOKUP(CustomerCombinedCleaned[[#This Row],[ID]], Table2[ID],Table2[Pilot], "Not Found", 0 )</f>
        <v>0</v>
      </c>
      <c r="Y2166" s="16">
        <f>_xlfn.XLOOKUP(CustomerCombinedCleaned[[#This Row],[ID]], Table2[ID],Table2[MC1], "Not Found", 0 )</f>
        <v>0</v>
      </c>
      <c r="Z2166" s="16">
        <f>_xlfn.XLOOKUP(CustomerCombinedCleaned[[#This Row],[ID]], Table2[ID],Table2[MC2], "Not Found", 0 )</f>
        <v>0</v>
      </c>
      <c r="AA2166" s="16">
        <f>_xlfn.XLOOKUP(CustomerCombinedCleaned[[#This Row],[ID]], Table2[ID],Table2[MC3], "Not Found", 0 )</f>
        <v>0</v>
      </c>
      <c r="AB2166" s="16">
        <f>_xlfn.XLOOKUP(CustomerCombinedCleaned[[#This Row],[ID]], Table2[ID],Table2[MC4], "Not Found", 0 )</f>
        <v>0</v>
      </c>
      <c r="AC2166" s="16">
        <f>_xlfn.XLOOKUP(CustomerCombinedCleaned[[#This Row],[ID]], Table2[ID],Table2[MC5], "Not Found", 0 )</f>
        <v>0</v>
      </c>
    </row>
    <row r="2167" spans="1:29" x14ac:dyDescent="0.3">
      <c r="A2167" s="18">
        <v>2967</v>
      </c>
      <c r="B2167" s="16">
        <v>191712</v>
      </c>
      <c r="C2167" s="16">
        <v>0</v>
      </c>
      <c r="D2167" s="16">
        <v>0</v>
      </c>
      <c r="E2167" s="16">
        <v>73</v>
      </c>
      <c r="F2167" s="17" t="s">
        <v>7</v>
      </c>
      <c r="G2167" s="17" t="s">
        <v>12</v>
      </c>
      <c r="H2167" s="3" t="s">
        <v>165</v>
      </c>
      <c r="I2167" s="5" t="s">
        <v>435</v>
      </c>
      <c r="J2167" s="16">
        <f>_xlfn.XLOOKUP(CustomerCombinedCleaned[[#This Row],[ID]], Table4[ID], Table4[Recency], "Not Found", 0)</f>
        <v>47</v>
      </c>
      <c r="K2167" s="16">
        <f>_xlfn.XLOOKUP(CustomerCombinedCleaned[[#This Row],[ID]], Table4[ID], Table4[Teas], "Not Found", 0)</f>
        <v>2667</v>
      </c>
      <c r="L2167" s="16">
        <f>_xlfn.XLOOKUP(CustomerCombinedCleaned[[#This Row],[ID]], Table4[ID], Table4[Fruits], "Not Found", 0)</f>
        <v>50</v>
      </c>
      <c r="M2167" s="16">
        <f>_xlfn.XLOOKUP(CustomerCombinedCleaned[[#This Row],[ID]], Table4[ID], Table4[Meats], "Not Found", 0)</f>
        <v>1559</v>
      </c>
      <c r="N2167" s="16">
        <f>_xlfn.XLOOKUP(CustomerCombinedCleaned[[#This Row],[ID]], Table4[ID], Table4[Seafood], "Not Found", 0)</f>
        <v>196</v>
      </c>
      <c r="O2167" s="16">
        <f>_xlfn.XLOOKUP(CustomerCombinedCleaned[[#This Row],[ID]], Table4[ID], Table4[Sweets], "Not Found", 0)</f>
        <v>61</v>
      </c>
      <c r="P2167" s="16">
        <f>_xlfn.XLOOKUP(CustomerCombinedCleaned[[#This Row],[ID]], Table4[ID], Table4[Premium], "Not Found", 0)</f>
        <v>100</v>
      </c>
      <c r="Q2167" s="16">
        <f>_xlfn.XLOOKUP(CustomerCombinedCleaned[[#This Row],[ID]], Table4[ID], Table4[Regular], "Not Found", 0)</f>
        <v>4434</v>
      </c>
      <c r="R2167" s="16">
        <f>_xlfn.XLOOKUP(CustomerCombinedCleaned[[#This Row],[ID]], Table4[ID], Table4[Deals], "Not Found", 0)</f>
        <v>0</v>
      </c>
      <c r="S2167" s="16">
        <f>_xlfn.XLOOKUP(CustomerCombinedCleaned[[#This Row],[ID]], Table4[ID], Table4[Website], "Not Found", 0)</f>
        <v>9</v>
      </c>
      <c r="T2167" s="16">
        <f>_xlfn.XLOOKUP(CustomerCombinedCleaned[[#This Row],[ID]], Table4[ID], Table4[Catalog], "Not Found", 0)</f>
        <v>7</v>
      </c>
      <c r="U2167" s="16">
        <f>_xlfn.XLOOKUP(CustomerCombinedCleaned[[#This Row],[ID]], Table4[ID], Table4[Store], "Not Found", 0)</f>
        <v>11</v>
      </c>
      <c r="V2167" s="16">
        <f>_xlfn.XLOOKUP(CustomerCombinedCleaned[[#This Row],[ID]], Table4[ID], Table4[Visits], "Not Found", 0)</f>
        <v>3</v>
      </c>
      <c r="W2167" s="16">
        <f>_xlfn.XLOOKUP(CustomerCombinedCleaned[[#This Row],[ID]], Table2[ID],Table2[Complaint], "Not Found", 0 )</f>
        <v>0</v>
      </c>
      <c r="X2167" s="16">
        <f>_xlfn.XLOOKUP(CustomerCombinedCleaned[[#This Row],[ID]], Table2[ID],Table2[Pilot], "Not Found", 0 )</f>
        <v>1</v>
      </c>
      <c r="Y2167" s="16">
        <f>_xlfn.XLOOKUP(CustomerCombinedCleaned[[#This Row],[ID]], Table2[ID],Table2[MC1], "Not Found", 0 )</f>
        <v>0</v>
      </c>
      <c r="Z2167" s="16">
        <f>_xlfn.XLOOKUP(CustomerCombinedCleaned[[#This Row],[ID]], Table2[ID],Table2[MC2], "Not Found", 0 )</f>
        <v>0</v>
      </c>
      <c r="AA2167" s="16">
        <f>_xlfn.XLOOKUP(CustomerCombinedCleaned[[#This Row],[ID]], Table2[ID],Table2[MC3], "Not Found", 0 )</f>
        <v>0</v>
      </c>
      <c r="AB2167" s="16">
        <f>_xlfn.XLOOKUP(CustomerCombinedCleaned[[#This Row],[ID]], Table2[ID],Table2[MC4], "Not Found", 0 )</f>
        <v>0</v>
      </c>
      <c r="AC2167" s="16">
        <f>_xlfn.XLOOKUP(CustomerCombinedCleaned[[#This Row],[ID]], Table2[ID],Table2[MC5], "Not Found", 0 )</f>
        <v>1</v>
      </c>
    </row>
    <row r="2168" spans="1:29" x14ac:dyDescent="0.3">
      <c r="A2168" s="18">
        <v>2553</v>
      </c>
      <c r="B2168" s="16">
        <v>181574</v>
      </c>
      <c r="C2168" s="16">
        <v>0</v>
      </c>
      <c r="D2168" s="16">
        <v>0</v>
      </c>
      <c r="E2168" s="16">
        <v>73</v>
      </c>
      <c r="F2168" s="17" t="s">
        <v>8</v>
      </c>
      <c r="G2168" s="17" t="s">
        <v>13</v>
      </c>
      <c r="H2168" s="3" t="s">
        <v>550</v>
      </c>
      <c r="I2168" s="5" t="s">
        <v>435</v>
      </c>
      <c r="J2168" s="16">
        <f>_xlfn.XLOOKUP(CustomerCombinedCleaned[[#This Row],[ID]], Table4[ID], Table4[Recency], "Not Found", 0)</f>
        <v>89</v>
      </c>
      <c r="K2168" s="16">
        <f>_xlfn.XLOOKUP(CustomerCombinedCleaned[[#This Row],[ID]], Table4[ID], Table4[Teas], "Not Found", 0)</f>
        <v>2787</v>
      </c>
      <c r="L2168" s="16">
        <f>_xlfn.XLOOKUP(CustomerCombinedCleaned[[#This Row],[ID]], Table4[ID], Table4[Fruits], "Not Found", 0)</f>
        <v>0</v>
      </c>
      <c r="M2168" s="16">
        <f>_xlfn.XLOOKUP(CustomerCombinedCleaned[[#This Row],[ID]], Table4[ID], Table4[Meats], "Not Found", 0)</f>
        <v>1035</v>
      </c>
      <c r="N2168" s="16">
        <f>_xlfn.XLOOKUP(CustomerCombinedCleaned[[#This Row],[ID]], Table4[ID], Table4[Seafood], "Not Found", 0)</f>
        <v>102</v>
      </c>
      <c r="O2168" s="16">
        <f>_xlfn.XLOOKUP(CustomerCombinedCleaned[[#This Row],[ID]], Table4[ID], Table4[Sweets], "Not Found", 0)</f>
        <v>78</v>
      </c>
      <c r="P2168" s="16">
        <f>_xlfn.XLOOKUP(CustomerCombinedCleaned[[#This Row],[ID]], Table4[ID], Table4[Premium], "Not Found", 0)</f>
        <v>0</v>
      </c>
      <c r="Q2168" s="16">
        <f>_xlfn.XLOOKUP(CustomerCombinedCleaned[[#This Row],[ID]], Table4[ID], Table4[Regular], "Not Found", 0)</f>
        <v>4002</v>
      </c>
      <c r="R2168" s="16">
        <f>_xlfn.XLOOKUP(CustomerCombinedCleaned[[#This Row],[ID]], Table4[ID], Table4[Deals], "Not Found", 0)</f>
        <v>1</v>
      </c>
      <c r="S2168" s="16">
        <f>_xlfn.XLOOKUP(CustomerCombinedCleaned[[#This Row],[ID]], Table4[ID], Table4[Website], "Not Found", 0)</f>
        <v>4</v>
      </c>
      <c r="T2168" s="16">
        <f>_xlfn.XLOOKUP(CustomerCombinedCleaned[[#This Row],[ID]], Table4[ID], Table4[Catalog], "Not Found", 0)</f>
        <v>5</v>
      </c>
      <c r="U2168" s="16">
        <f>_xlfn.XLOOKUP(CustomerCombinedCleaned[[#This Row],[ID]], Table4[ID], Table4[Store], "Not Found", 0)</f>
        <v>8</v>
      </c>
      <c r="V2168" s="16">
        <f>_xlfn.XLOOKUP(CustomerCombinedCleaned[[#This Row],[ID]], Table4[ID], Table4[Visits], "Not Found", 0)</f>
        <v>1</v>
      </c>
      <c r="W2168" s="16">
        <f>_xlfn.XLOOKUP(CustomerCombinedCleaned[[#This Row],[ID]], Table2[ID],Table2[Complaint], "Not Found", 0 )</f>
        <v>0</v>
      </c>
      <c r="X2168" s="16">
        <f>_xlfn.XLOOKUP(CustomerCombinedCleaned[[#This Row],[ID]], Table2[ID],Table2[Pilot], "Not Found", 0 )</f>
        <v>0</v>
      </c>
      <c r="Y2168" s="16">
        <f>_xlfn.XLOOKUP(CustomerCombinedCleaned[[#This Row],[ID]], Table2[ID],Table2[MC1], "Not Found", 0 )</f>
        <v>0</v>
      </c>
      <c r="Z2168" s="16">
        <f>_xlfn.XLOOKUP(CustomerCombinedCleaned[[#This Row],[ID]], Table2[ID],Table2[MC2], "Not Found", 0 )</f>
        <v>0</v>
      </c>
      <c r="AA2168" s="16">
        <f>_xlfn.XLOOKUP(CustomerCombinedCleaned[[#This Row],[ID]], Table2[ID],Table2[MC3], "Not Found", 0 )</f>
        <v>0</v>
      </c>
      <c r="AB2168" s="16">
        <f>_xlfn.XLOOKUP(CustomerCombinedCleaned[[#This Row],[ID]], Table2[ID],Table2[MC4], "Not Found", 0 )</f>
        <v>1</v>
      </c>
      <c r="AC2168" s="16">
        <f>_xlfn.XLOOKUP(CustomerCombinedCleaned[[#This Row],[ID]], Table2[ID],Table2[MC5], "Not Found", 0 )</f>
        <v>1</v>
      </c>
    </row>
    <row r="2169" spans="1:29" x14ac:dyDescent="0.3">
      <c r="A2169" s="18">
        <v>3024</v>
      </c>
      <c r="B2169" s="16">
        <v>181044</v>
      </c>
      <c r="C2169" s="16">
        <v>0</v>
      </c>
      <c r="D2169" s="16">
        <v>0</v>
      </c>
      <c r="E2169" s="16">
        <v>73</v>
      </c>
      <c r="F2169" s="17" t="s">
        <v>6</v>
      </c>
      <c r="G2169" s="17" t="s">
        <v>11</v>
      </c>
      <c r="H2169" s="3" t="s">
        <v>600</v>
      </c>
      <c r="I2169" s="5" t="s">
        <v>436</v>
      </c>
      <c r="J2169" s="16">
        <f>_xlfn.XLOOKUP(CustomerCombinedCleaned[[#This Row],[ID]], Table4[ID], Table4[Recency], "Not Found", 0)</f>
        <v>0</v>
      </c>
      <c r="K2169" s="16">
        <f>_xlfn.XLOOKUP(CustomerCombinedCleaned[[#This Row],[ID]], Table4[ID], Table4[Teas], "Not Found", 0)</f>
        <v>1005</v>
      </c>
      <c r="L2169" s="16">
        <f>_xlfn.XLOOKUP(CustomerCombinedCleaned[[#This Row],[ID]], Table4[ID], Table4[Fruits], "Not Found", 0)</f>
        <v>58</v>
      </c>
      <c r="M2169" s="16">
        <f>_xlfn.XLOOKUP(CustomerCombinedCleaned[[#This Row],[ID]], Table4[ID], Table4[Meats], "Not Found", 0)</f>
        <v>1195</v>
      </c>
      <c r="N2169" s="16">
        <f>_xlfn.XLOOKUP(CustomerCombinedCleaned[[#This Row],[ID]], Table4[ID], Table4[Seafood], "Not Found", 0)</f>
        <v>163</v>
      </c>
      <c r="O2169" s="16">
        <f>_xlfn.XLOOKUP(CustomerCombinedCleaned[[#This Row],[ID]], Table4[ID], Table4[Sweets], "Not Found", 0)</f>
        <v>219</v>
      </c>
      <c r="P2169" s="16">
        <f>_xlfn.XLOOKUP(CustomerCombinedCleaned[[#This Row],[ID]], Table4[ID], Table4[Premium], "Not Found", 0)</f>
        <v>58</v>
      </c>
      <c r="Q2169" s="16">
        <f>_xlfn.XLOOKUP(CustomerCombinedCleaned[[#This Row],[ID]], Table4[ID], Table4[Regular], "Not Found", 0)</f>
        <v>2582</v>
      </c>
      <c r="R2169" s="16">
        <f>_xlfn.XLOOKUP(CustomerCombinedCleaned[[#This Row],[ID]], Table4[ID], Table4[Deals], "Not Found", 0)</f>
        <v>1</v>
      </c>
      <c r="S2169" s="16">
        <f>_xlfn.XLOOKUP(CustomerCombinedCleaned[[#This Row],[ID]], Table4[ID], Table4[Website], "Not Found", 0)</f>
        <v>5</v>
      </c>
      <c r="T2169" s="16">
        <f>_xlfn.XLOOKUP(CustomerCombinedCleaned[[#This Row],[ID]], Table4[ID], Table4[Catalog], "Not Found", 0)</f>
        <v>6</v>
      </c>
      <c r="U2169" s="16">
        <f>_xlfn.XLOOKUP(CustomerCombinedCleaned[[#This Row],[ID]], Table4[ID], Table4[Store], "Not Found", 0)</f>
        <v>10</v>
      </c>
      <c r="V2169" s="16">
        <f>_xlfn.XLOOKUP(CustomerCombinedCleaned[[#This Row],[ID]], Table4[ID], Table4[Visits], "Not Found", 0)</f>
        <v>1</v>
      </c>
      <c r="W2169" s="16">
        <f>_xlfn.XLOOKUP(CustomerCombinedCleaned[[#This Row],[ID]], Table2[ID],Table2[Complaint], "Not Found", 0 )</f>
        <v>0</v>
      </c>
      <c r="X2169" s="16">
        <f>_xlfn.XLOOKUP(CustomerCombinedCleaned[[#This Row],[ID]], Table2[ID],Table2[Pilot], "Not Found", 0 )</f>
        <v>0</v>
      </c>
      <c r="Y2169" s="16">
        <f>_xlfn.XLOOKUP(CustomerCombinedCleaned[[#This Row],[ID]], Table2[ID],Table2[MC1], "Not Found", 0 )</f>
        <v>0</v>
      </c>
      <c r="Z2169" s="16">
        <f>_xlfn.XLOOKUP(CustomerCombinedCleaned[[#This Row],[ID]], Table2[ID],Table2[MC2], "Not Found", 0 )</f>
        <v>0</v>
      </c>
      <c r="AA2169" s="16">
        <f>_xlfn.XLOOKUP(CustomerCombinedCleaned[[#This Row],[ID]], Table2[ID],Table2[MC3], "Not Found", 0 )</f>
        <v>0</v>
      </c>
      <c r="AB2169" s="16">
        <f>_xlfn.XLOOKUP(CustomerCombinedCleaned[[#This Row],[ID]], Table2[ID],Table2[MC4], "Not Found", 0 )</f>
        <v>0</v>
      </c>
      <c r="AC2169" s="16">
        <f>_xlfn.XLOOKUP(CustomerCombinedCleaned[[#This Row],[ID]], Table2[ID],Table2[MC5], "Not Found", 0 )</f>
        <v>0</v>
      </c>
    </row>
    <row r="2170" spans="1:29" x14ac:dyDescent="0.3">
      <c r="A2170" s="18">
        <v>2557</v>
      </c>
      <c r="B2170" s="16">
        <v>178093</v>
      </c>
      <c r="C2170" s="16">
        <v>0</v>
      </c>
      <c r="D2170" s="16">
        <v>0</v>
      </c>
      <c r="E2170" s="16">
        <v>73</v>
      </c>
      <c r="F2170" s="17" t="s">
        <v>8</v>
      </c>
      <c r="G2170" s="17" t="s">
        <v>12</v>
      </c>
      <c r="H2170" s="3" t="s">
        <v>137</v>
      </c>
      <c r="I2170" s="5" t="s">
        <v>437</v>
      </c>
      <c r="J2170" s="16">
        <f>_xlfn.XLOOKUP(CustomerCombinedCleaned[[#This Row],[ID]], Table4[ID], Table4[Recency], "Not Found", 0)</f>
        <v>53</v>
      </c>
      <c r="K2170" s="16">
        <f>_xlfn.XLOOKUP(CustomerCombinedCleaned[[#This Row],[ID]], Table4[ID], Table4[Teas], "Not Found", 0)</f>
        <v>839</v>
      </c>
      <c r="L2170" s="16">
        <f>_xlfn.XLOOKUP(CustomerCombinedCleaned[[#This Row],[ID]], Table4[ID], Table4[Fruits], "Not Found", 0)</f>
        <v>73</v>
      </c>
      <c r="M2170" s="16">
        <f>_xlfn.XLOOKUP(CustomerCombinedCleaned[[#This Row],[ID]], Table4[ID], Table4[Meats], "Not Found", 0)</f>
        <v>1457</v>
      </c>
      <c r="N2170" s="16">
        <f>_xlfn.XLOOKUP(CustomerCombinedCleaned[[#This Row],[ID]], Table4[ID], Table4[Seafood], "Not Found", 0)</f>
        <v>30</v>
      </c>
      <c r="O2170" s="16">
        <f>_xlfn.XLOOKUP(CustomerCombinedCleaned[[#This Row],[ID]], Table4[ID], Table4[Sweets], "Not Found", 0)</f>
        <v>98</v>
      </c>
      <c r="P2170" s="16">
        <f>_xlfn.XLOOKUP(CustomerCombinedCleaned[[#This Row],[ID]], Table4[ID], Table4[Premium], "Not Found", 0)</f>
        <v>23</v>
      </c>
      <c r="Q2170" s="16">
        <f>_xlfn.XLOOKUP(CustomerCombinedCleaned[[#This Row],[ID]], Table4[ID], Table4[Regular], "Not Found", 0)</f>
        <v>2474</v>
      </c>
      <c r="R2170" s="16">
        <f>_xlfn.XLOOKUP(CustomerCombinedCleaned[[#This Row],[ID]], Table4[ID], Table4[Deals], "Not Found", 0)</f>
        <v>1</v>
      </c>
      <c r="S2170" s="16">
        <f>_xlfn.XLOOKUP(CustomerCombinedCleaned[[#This Row],[ID]], Table4[ID], Table4[Website], "Not Found", 0)</f>
        <v>4</v>
      </c>
      <c r="T2170" s="16">
        <f>_xlfn.XLOOKUP(CustomerCombinedCleaned[[#This Row],[ID]], Table4[ID], Table4[Catalog], "Not Found", 0)</f>
        <v>7</v>
      </c>
      <c r="U2170" s="16">
        <f>_xlfn.XLOOKUP(CustomerCombinedCleaned[[#This Row],[ID]], Table4[ID], Table4[Store], "Not Found", 0)</f>
        <v>5</v>
      </c>
      <c r="V2170" s="16">
        <f>_xlfn.XLOOKUP(CustomerCombinedCleaned[[#This Row],[ID]], Table4[ID], Table4[Visits], "Not Found", 0)</f>
        <v>1</v>
      </c>
      <c r="W2170" s="16">
        <f>_xlfn.XLOOKUP(CustomerCombinedCleaned[[#This Row],[ID]], Table2[ID],Table2[Complaint], "Not Found", 0 )</f>
        <v>0</v>
      </c>
      <c r="X2170" s="16">
        <f>_xlfn.XLOOKUP(CustomerCombinedCleaned[[#This Row],[ID]], Table2[ID],Table2[Pilot], "Not Found", 0 )</f>
        <v>0</v>
      </c>
      <c r="Y2170" s="16">
        <f>_xlfn.XLOOKUP(CustomerCombinedCleaned[[#This Row],[ID]], Table2[ID],Table2[MC1], "Not Found", 0 )</f>
        <v>0</v>
      </c>
      <c r="Z2170" s="16">
        <f>_xlfn.XLOOKUP(CustomerCombinedCleaned[[#This Row],[ID]], Table2[ID],Table2[MC2], "Not Found", 0 )</f>
        <v>0</v>
      </c>
      <c r="AA2170" s="16">
        <f>_xlfn.XLOOKUP(CustomerCombinedCleaned[[#This Row],[ID]], Table2[ID],Table2[MC3], "Not Found", 0 )</f>
        <v>0</v>
      </c>
      <c r="AB2170" s="16">
        <f>_xlfn.XLOOKUP(CustomerCombinedCleaned[[#This Row],[ID]], Table2[ID],Table2[MC4], "Not Found", 0 )</f>
        <v>0</v>
      </c>
      <c r="AC2170" s="16">
        <f>_xlfn.XLOOKUP(CustomerCombinedCleaned[[#This Row],[ID]], Table2[ID],Table2[MC5], "Not Found", 0 )</f>
        <v>0</v>
      </c>
    </row>
    <row r="2171" spans="1:29" x14ac:dyDescent="0.3">
      <c r="A2171" s="18">
        <v>1627</v>
      </c>
      <c r="B2171" s="16">
        <v>177632</v>
      </c>
      <c r="C2171" s="16">
        <v>0</v>
      </c>
      <c r="D2171" s="16">
        <v>0</v>
      </c>
      <c r="E2171" s="16">
        <v>73</v>
      </c>
      <c r="F2171" s="17" t="s">
        <v>8</v>
      </c>
      <c r="G2171" s="17" t="s">
        <v>12</v>
      </c>
      <c r="H2171" s="3" t="s">
        <v>297</v>
      </c>
      <c r="I2171" s="5" t="s">
        <v>437</v>
      </c>
      <c r="J2171" s="16">
        <f>_xlfn.XLOOKUP(CustomerCombinedCleaned[[#This Row],[ID]], Table4[ID], Table4[Recency], "Not Found", 0)</f>
        <v>73</v>
      </c>
      <c r="K2171" s="16">
        <f>_xlfn.XLOOKUP(CustomerCombinedCleaned[[#This Row],[ID]], Table4[ID], Table4[Teas], "Not Found", 0)</f>
        <v>2746</v>
      </c>
      <c r="L2171" s="16">
        <f>_xlfn.XLOOKUP(CustomerCombinedCleaned[[#This Row],[ID]], Table4[ID], Table4[Fruits], "Not Found", 0)</f>
        <v>240</v>
      </c>
      <c r="M2171" s="16">
        <f>_xlfn.XLOOKUP(CustomerCombinedCleaned[[#This Row],[ID]], Table4[ID], Table4[Meats], "Not Found", 0)</f>
        <v>1734</v>
      </c>
      <c r="N2171" s="16">
        <f>_xlfn.XLOOKUP(CustomerCombinedCleaned[[#This Row],[ID]], Table4[ID], Table4[Seafood], "Not Found", 0)</f>
        <v>0</v>
      </c>
      <c r="O2171" s="16">
        <f>_xlfn.XLOOKUP(CustomerCombinedCleaned[[#This Row],[ID]], Table4[ID], Table4[Sweets], "Not Found", 0)</f>
        <v>96</v>
      </c>
      <c r="P2171" s="16">
        <f>_xlfn.XLOOKUP(CustomerCombinedCleaned[[#This Row],[ID]], Table4[ID], Table4[Premium], "Not Found", 0)</f>
        <v>336</v>
      </c>
      <c r="Q2171" s="16">
        <f>_xlfn.XLOOKUP(CustomerCombinedCleaned[[#This Row],[ID]], Table4[ID], Table4[Regular], "Not Found", 0)</f>
        <v>4480</v>
      </c>
      <c r="R2171" s="16">
        <f>_xlfn.XLOOKUP(CustomerCombinedCleaned[[#This Row],[ID]], Table4[ID], Table4[Deals], "Not Found", 0)</f>
        <v>1</v>
      </c>
      <c r="S2171" s="16">
        <f>_xlfn.XLOOKUP(CustomerCombinedCleaned[[#This Row],[ID]], Table4[ID], Table4[Website], "Not Found", 0)</f>
        <v>4</v>
      </c>
      <c r="T2171" s="16">
        <f>_xlfn.XLOOKUP(CustomerCombinedCleaned[[#This Row],[ID]], Table4[ID], Table4[Catalog], "Not Found", 0)</f>
        <v>2</v>
      </c>
      <c r="U2171" s="16">
        <f>_xlfn.XLOOKUP(CustomerCombinedCleaned[[#This Row],[ID]], Table4[ID], Table4[Store], "Not Found", 0)</f>
        <v>6</v>
      </c>
      <c r="V2171" s="16">
        <f>_xlfn.XLOOKUP(CustomerCombinedCleaned[[#This Row],[ID]], Table4[ID], Table4[Visits], "Not Found", 0)</f>
        <v>2</v>
      </c>
      <c r="W2171" s="16">
        <f>_xlfn.XLOOKUP(CustomerCombinedCleaned[[#This Row],[ID]], Table2[ID],Table2[Complaint], "Not Found", 0 )</f>
        <v>0</v>
      </c>
      <c r="X2171" s="16">
        <f>_xlfn.XLOOKUP(CustomerCombinedCleaned[[#This Row],[ID]], Table2[ID],Table2[Pilot], "Not Found", 0 )</f>
        <v>1</v>
      </c>
      <c r="Y2171" s="16">
        <f>_xlfn.XLOOKUP(CustomerCombinedCleaned[[#This Row],[ID]], Table2[ID],Table2[MC1], "Not Found", 0 )</f>
        <v>0</v>
      </c>
      <c r="Z2171" s="16">
        <f>_xlfn.XLOOKUP(CustomerCombinedCleaned[[#This Row],[ID]], Table2[ID],Table2[MC2], "Not Found", 0 )</f>
        <v>0</v>
      </c>
      <c r="AA2171" s="16">
        <f>_xlfn.XLOOKUP(CustomerCombinedCleaned[[#This Row],[ID]], Table2[ID],Table2[MC3], "Not Found", 0 )</f>
        <v>0</v>
      </c>
      <c r="AB2171" s="16">
        <f>_xlfn.XLOOKUP(CustomerCombinedCleaned[[#This Row],[ID]], Table2[ID],Table2[MC4], "Not Found", 0 )</f>
        <v>1</v>
      </c>
      <c r="AC2171" s="16">
        <f>_xlfn.XLOOKUP(CustomerCombinedCleaned[[#This Row],[ID]], Table2[ID],Table2[MC5], "Not Found", 0 )</f>
        <v>1</v>
      </c>
    </row>
    <row r="2172" spans="1:29" x14ac:dyDescent="0.3">
      <c r="A2172" s="18">
        <v>1294</v>
      </c>
      <c r="B2172" s="16">
        <v>177457</v>
      </c>
      <c r="C2172" s="16">
        <v>0</v>
      </c>
      <c r="D2172" s="16">
        <v>0</v>
      </c>
      <c r="E2172" s="16">
        <v>73</v>
      </c>
      <c r="F2172" s="17" t="s">
        <v>7</v>
      </c>
      <c r="G2172" s="17" t="s">
        <v>11</v>
      </c>
      <c r="H2172" s="3" t="s">
        <v>622</v>
      </c>
      <c r="I2172" s="5" t="s">
        <v>439</v>
      </c>
      <c r="J2172" s="16">
        <f>_xlfn.XLOOKUP(CustomerCombinedCleaned[[#This Row],[ID]], Table4[ID], Table4[Recency], "Not Found", 0)</f>
        <v>85</v>
      </c>
      <c r="K2172" s="16">
        <f>_xlfn.XLOOKUP(CustomerCombinedCleaned[[#This Row],[ID]], Table4[ID], Table4[Teas], "Not Found", 0)</f>
        <v>1546</v>
      </c>
      <c r="L2172" s="16">
        <f>_xlfn.XLOOKUP(CustomerCombinedCleaned[[#This Row],[ID]], Table4[ID], Table4[Fruits], "Not Found", 0)</f>
        <v>25</v>
      </c>
      <c r="M2172" s="16">
        <f>_xlfn.XLOOKUP(CustomerCombinedCleaned[[#This Row],[ID]], Table4[ID], Table4[Meats], "Not Found", 0)</f>
        <v>916</v>
      </c>
      <c r="N2172" s="16">
        <f>_xlfn.XLOOKUP(CustomerCombinedCleaned[[#This Row],[ID]], Table4[ID], Table4[Seafood], "Not Found", 0)</f>
        <v>34</v>
      </c>
      <c r="O2172" s="16">
        <f>_xlfn.XLOOKUP(CustomerCombinedCleaned[[#This Row],[ID]], Table4[ID], Table4[Sweets], "Not Found", 0)</f>
        <v>103</v>
      </c>
      <c r="P2172" s="16">
        <f>_xlfn.XLOOKUP(CustomerCombinedCleaned[[#This Row],[ID]], Table4[ID], Table4[Premium], "Not Found", 0)</f>
        <v>25</v>
      </c>
      <c r="Q2172" s="16">
        <f>_xlfn.XLOOKUP(CustomerCombinedCleaned[[#This Row],[ID]], Table4[ID], Table4[Regular], "Not Found", 0)</f>
        <v>2600</v>
      </c>
      <c r="R2172" s="16">
        <f>_xlfn.XLOOKUP(CustomerCombinedCleaned[[#This Row],[ID]], Table4[ID], Table4[Deals], "Not Found", 0)</f>
        <v>1</v>
      </c>
      <c r="S2172" s="16">
        <f>_xlfn.XLOOKUP(CustomerCombinedCleaned[[#This Row],[ID]], Table4[ID], Table4[Website], "Not Found", 0)</f>
        <v>2</v>
      </c>
      <c r="T2172" s="16">
        <f>_xlfn.XLOOKUP(CustomerCombinedCleaned[[#This Row],[ID]], Table4[ID], Table4[Catalog], "Not Found", 0)</f>
        <v>5</v>
      </c>
      <c r="U2172" s="16">
        <f>_xlfn.XLOOKUP(CustomerCombinedCleaned[[#This Row],[ID]], Table4[ID], Table4[Store], "Not Found", 0)</f>
        <v>10</v>
      </c>
      <c r="V2172" s="16">
        <f>_xlfn.XLOOKUP(CustomerCombinedCleaned[[#This Row],[ID]], Table4[ID], Table4[Visits], "Not Found", 0)</f>
        <v>1</v>
      </c>
      <c r="W2172" s="16">
        <f>_xlfn.XLOOKUP(CustomerCombinedCleaned[[#This Row],[ID]], Table2[ID],Table2[Complaint], "Not Found", 0 )</f>
        <v>0</v>
      </c>
      <c r="X2172" s="16">
        <f>_xlfn.XLOOKUP(CustomerCombinedCleaned[[#This Row],[ID]], Table2[ID],Table2[Pilot], "Not Found", 0 )</f>
        <v>0</v>
      </c>
      <c r="Y2172" s="16">
        <f>_xlfn.XLOOKUP(CustomerCombinedCleaned[[#This Row],[ID]], Table2[ID],Table2[MC1], "Not Found", 0 )</f>
        <v>0</v>
      </c>
      <c r="Z2172" s="16">
        <f>_xlfn.XLOOKUP(CustomerCombinedCleaned[[#This Row],[ID]], Table2[ID],Table2[MC2], "Not Found", 0 )</f>
        <v>0</v>
      </c>
      <c r="AA2172" s="16">
        <f>_xlfn.XLOOKUP(CustomerCombinedCleaned[[#This Row],[ID]], Table2[ID],Table2[MC3], "Not Found", 0 )</f>
        <v>0</v>
      </c>
      <c r="AB2172" s="16">
        <f>_xlfn.XLOOKUP(CustomerCombinedCleaned[[#This Row],[ID]], Table2[ID],Table2[MC4], "Not Found", 0 )</f>
        <v>0</v>
      </c>
      <c r="AC2172" s="16">
        <f>_xlfn.XLOOKUP(CustomerCombinedCleaned[[#This Row],[ID]], Table2[ID],Table2[MC5], "Not Found", 0 )</f>
        <v>1</v>
      </c>
    </row>
    <row r="2173" spans="1:29" x14ac:dyDescent="0.3">
      <c r="A2173" s="18">
        <v>2940</v>
      </c>
      <c r="B2173" s="16">
        <v>174485</v>
      </c>
      <c r="C2173" s="16">
        <v>0</v>
      </c>
      <c r="D2173" s="16">
        <v>0</v>
      </c>
      <c r="E2173" s="16">
        <v>73</v>
      </c>
      <c r="F2173" s="17" t="s">
        <v>8</v>
      </c>
      <c r="G2173" s="17" t="s">
        <v>11</v>
      </c>
      <c r="H2173" s="3" t="s">
        <v>193</v>
      </c>
      <c r="I2173" s="5" t="s">
        <v>436</v>
      </c>
      <c r="J2173" s="16">
        <f>_xlfn.XLOOKUP(CustomerCombinedCleaned[[#This Row],[ID]], Table4[ID], Table4[Recency], "Not Found", 0)</f>
        <v>58</v>
      </c>
      <c r="K2173" s="16">
        <f>_xlfn.XLOOKUP(CustomerCombinedCleaned[[#This Row],[ID]], Table4[ID], Table4[Teas], "Not Found", 0)</f>
        <v>1169</v>
      </c>
      <c r="L2173" s="16">
        <f>_xlfn.XLOOKUP(CustomerCombinedCleaned[[#This Row],[ID]], Table4[ID], Table4[Fruits], "Not Found", 0)</f>
        <v>349</v>
      </c>
      <c r="M2173" s="16">
        <f>_xlfn.XLOOKUP(CustomerCombinedCleaned[[#This Row],[ID]], Table4[ID], Table4[Meats], "Not Found", 0)</f>
        <v>1909</v>
      </c>
      <c r="N2173" s="16">
        <f>_xlfn.XLOOKUP(CustomerCombinedCleaned[[#This Row],[ID]], Table4[ID], Table4[Seafood], "Not Found", 0)</f>
        <v>405</v>
      </c>
      <c r="O2173" s="16">
        <f>_xlfn.XLOOKUP(CustomerCombinedCleaned[[#This Row],[ID]], Table4[ID], Table4[Sweets], "Not Found", 0)</f>
        <v>115</v>
      </c>
      <c r="P2173" s="16">
        <f>_xlfn.XLOOKUP(CustomerCombinedCleaned[[#This Row],[ID]], Table4[ID], Table4[Premium], "Not Found", 0)</f>
        <v>115</v>
      </c>
      <c r="Q2173" s="16">
        <f>_xlfn.XLOOKUP(CustomerCombinedCleaned[[#This Row],[ID]], Table4[ID], Table4[Regular], "Not Found", 0)</f>
        <v>3832</v>
      </c>
      <c r="R2173" s="16">
        <f>_xlfn.XLOOKUP(CustomerCombinedCleaned[[#This Row],[ID]], Table4[ID], Table4[Deals], "Not Found", 0)</f>
        <v>1</v>
      </c>
      <c r="S2173" s="16">
        <f>_xlfn.XLOOKUP(CustomerCombinedCleaned[[#This Row],[ID]], Table4[ID], Table4[Website], "Not Found", 0)</f>
        <v>6</v>
      </c>
      <c r="T2173" s="16">
        <f>_xlfn.XLOOKUP(CustomerCombinedCleaned[[#This Row],[ID]], Table4[ID], Table4[Catalog], "Not Found", 0)</f>
        <v>7</v>
      </c>
      <c r="U2173" s="16">
        <f>_xlfn.XLOOKUP(CustomerCombinedCleaned[[#This Row],[ID]], Table4[ID], Table4[Store], "Not Found", 0)</f>
        <v>12</v>
      </c>
      <c r="V2173" s="16">
        <f>_xlfn.XLOOKUP(CustomerCombinedCleaned[[#This Row],[ID]], Table4[ID], Table4[Visits], "Not Found", 0)</f>
        <v>3</v>
      </c>
      <c r="W2173" s="16">
        <f>_xlfn.XLOOKUP(CustomerCombinedCleaned[[#This Row],[ID]], Table2[ID],Table2[Complaint], "Not Found", 0 )</f>
        <v>0</v>
      </c>
      <c r="X2173" s="16">
        <f>_xlfn.XLOOKUP(CustomerCombinedCleaned[[#This Row],[ID]], Table2[ID],Table2[Pilot], "Not Found", 0 )</f>
        <v>0</v>
      </c>
      <c r="Y2173" s="16">
        <f>_xlfn.XLOOKUP(CustomerCombinedCleaned[[#This Row],[ID]], Table2[ID],Table2[MC1], "Not Found", 0 )</f>
        <v>0</v>
      </c>
      <c r="Z2173" s="16">
        <f>_xlfn.XLOOKUP(CustomerCombinedCleaned[[#This Row],[ID]], Table2[ID],Table2[MC2], "Not Found", 0 )</f>
        <v>0</v>
      </c>
      <c r="AA2173" s="16">
        <f>_xlfn.XLOOKUP(CustomerCombinedCleaned[[#This Row],[ID]], Table2[ID],Table2[MC3], "Not Found", 0 )</f>
        <v>0</v>
      </c>
      <c r="AB2173" s="16">
        <f>_xlfn.XLOOKUP(CustomerCombinedCleaned[[#This Row],[ID]], Table2[ID],Table2[MC4], "Not Found", 0 )</f>
        <v>0</v>
      </c>
      <c r="AC2173" s="16">
        <f>_xlfn.XLOOKUP(CustomerCombinedCleaned[[#This Row],[ID]], Table2[ID],Table2[MC5], "Not Found", 0 )</f>
        <v>0</v>
      </c>
    </row>
    <row r="2174" spans="1:29" x14ac:dyDescent="0.3">
      <c r="A2174" s="18">
        <v>1640</v>
      </c>
      <c r="B2174" s="16">
        <v>173059</v>
      </c>
      <c r="C2174" s="16">
        <v>0</v>
      </c>
      <c r="D2174" s="16">
        <v>1</v>
      </c>
      <c r="E2174" s="16">
        <v>73</v>
      </c>
      <c r="F2174" s="17" t="s">
        <v>8</v>
      </c>
      <c r="G2174" s="17" t="s">
        <v>13</v>
      </c>
      <c r="H2174" s="3" t="s">
        <v>651</v>
      </c>
      <c r="I2174" s="5" t="s">
        <v>438</v>
      </c>
      <c r="J2174" s="16">
        <f>_xlfn.XLOOKUP(CustomerCombinedCleaned[[#This Row],[ID]], Table4[ID], Table4[Recency], "Not Found", 0)</f>
        <v>36</v>
      </c>
      <c r="K2174" s="16">
        <f>_xlfn.XLOOKUP(CustomerCombinedCleaned[[#This Row],[ID]], Table4[ID], Table4[Teas], "Not Found", 0)</f>
        <v>971</v>
      </c>
      <c r="L2174" s="16">
        <f>_xlfn.XLOOKUP(CustomerCombinedCleaned[[#This Row],[ID]], Table4[ID], Table4[Fruits], "Not Found", 0)</f>
        <v>265</v>
      </c>
      <c r="M2174" s="16">
        <f>_xlfn.XLOOKUP(CustomerCombinedCleaned[[#This Row],[ID]], Table4[ID], Table4[Meats], "Not Found", 0)</f>
        <v>995</v>
      </c>
      <c r="N2174" s="16">
        <f>_xlfn.XLOOKUP(CustomerCombinedCleaned[[#This Row],[ID]], Table4[ID], Table4[Seafood], "Not Found", 0)</f>
        <v>0</v>
      </c>
      <c r="O2174" s="16">
        <f>_xlfn.XLOOKUP(CustomerCombinedCleaned[[#This Row],[ID]], Table4[ID], Table4[Sweets], "Not Found", 0)</f>
        <v>194</v>
      </c>
      <c r="P2174" s="16">
        <f>_xlfn.XLOOKUP(CustomerCombinedCleaned[[#This Row],[ID]], Table4[ID], Table4[Premium], "Not Found", 0)</f>
        <v>168</v>
      </c>
      <c r="Q2174" s="16">
        <f>_xlfn.XLOOKUP(CustomerCombinedCleaned[[#This Row],[ID]], Table4[ID], Table4[Regular], "Not Found", 0)</f>
        <v>2257</v>
      </c>
      <c r="R2174" s="16">
        <f>_xlfn.XLOOKUP(CustomerCombinedCleaned[[#This Row],[ID]], Table4[ID], Table4[Deals], "Not Found", 0)</f>
        <v>1</v>
      </c>
      <c r="S2174" s="16">
        <f>_xlfn.XLOOKUP(CustomerCombinedCleaned[[#This Row],[ID]], Table4[ID], Table4[Website], "Not Found", 0)</f>
        <v>9</v>
      </c>
      <c r="T2174" s="16">
        <f>_xlfn.XLOOKUP(CustomerCombinedCleaned[[#This Row],[ID]], Table4[ID], Table4[Catalog], "Not Found", 0)</f>
        <v>3</v>
      </c>
      <c r="U2174" s="16">
        <f>_xlfn.XLOOKUP(CustomerCombinedCleaned[[#This Row],[ID]], Table4[ID], Table4[Store], "Not Found", 0)</f>
        <v>13</v>
      </c>
      <c r="V2174" s="16">
        <f>_xlfn.XLOOKUP(CustomerCombinedCleaned[[#This Row],[ID]], Table4[ID], Table4[Visits], "Not Found", 0)</f>
        <v>4</v>
      </c>
      <c r="W2174" s="16">
        <f>_xlfn.XLOOKUP(CustomerCombinedCleaned[[#This Row],[ID]], Table2[ID],Table2[Complaint], "Not Found", 0 )</f>
        <v>0</v>
      </c>
      <c r="X2174" s="16">
        <f>_xlfn.XLOOKUP(CustomerCombinedCleaned[[#This Row],[ID]], Table2[ID],Table2[Pilot], "Not Found", 0 )</f>
        <v>0</v>
      </c>
      <c r="Y2174" s="16">
        <f>_xlfn.XLOOKUP(CustomerCombinedCleaned[[#This Row],[ID]], Table2[ID],Table2[MC1], "Not Found", 0 )</f>
        <v>0</v>
      </c>
      <c r="Z2174" s="16">
        <f>_xlfn.XLOOKUP(CustomerCombinedCleaned[[#This Row],[ID]], Table2[ID],Table2[MC2], "Not Found", 0 )</f>
        <v>0</v>
      </c>
      <c r="AA2174" s="16">
        <f>_xlfn.XLOOKUP(CustomerCombinedCleaned[[#This Row],[ID]], Table2[ID],Table2[MC3], "Not Found", 0 )</f>
        <v>0</v>
      </c>
      <c r="AB2174" s="16">
        <f>_xlfn.XLOOKUP(CustomerCombinedCleaned[[#This Row],[ID]], Table2[ID],Table2[MC4], "Not Found", 0 )</f>
        <v>0</v>
      </c>
      <c r="AC2174" s="16">
        <f>_xlfn.XLOOKUP(CustomerCombinedCleaned[[#This Row],[ID]], Table2[ID],Table2[MC5], "Not Found", 0 )</f>
        <v>0</v>
      </c>
    </row>
    <row r="2175" spans="1:29" x14ac:dyDescent="0.3">
      <c r="A2175" s="18">
        <v>2606</v>
      </c>
      <c r="B2175" s="16">
        <v>173059</v>
      </c>
      <c r="C2175" s="16">
        <v>0</v>
      </c>
      <c r="D2175" s="16">
        <v>1</v>
      </c>
      <c r="E2175" s="16">
        <v>73</v>
      </c>
      <c r="F2175" s="17" t="s">
        <v>8</v>
      </c>
      <c r="G2175" s="17" t="s">
        <v>13</v>
      </c>
      <c r="H2175" s="3" t="s">
        <v>651</v>
      </c>
      <c r="I2175" s="5" t="s">
        <v>438</v>
      </c>
      <c r="J2175" s="16">
        <f>_xlfn.XLOOKUP(CustomerCombinedCleaned[[#This Row],[ID]], Table4[ID], Table4[Recency], "Not Found", 0)</f>
        <v>36</v>
      </c>
      <c r="K2175" s="16">
        <f>_xlfn.XLOOKUP(CustomerCombinedCleaned[[#This Row],[ID]], Table4[ID], Table4[Teas], "Not Found", 0)</f>
        <v>971</v>
      </c>
      <c r="L2175" s="16">
        <f>_xlfn.XLOOKUP(CustomerCombinedCleaned[[#This Row],[ID]], Table4[ID], Table4[Fruits], "Not Found", 0)</f>
        <v>265</v>
      </c>
      <c r="M2175" s="16">
        <f>_xlfn.XLOOKUP(CustomerCombinedCleaned[[#This Row],[ID]], Table4[ID], Table4[Meats], "Not Found", 0)</f>
        <v>995</v>
      </c>
      <c r="N2175" s="16">
        <f>_xlfn.XLOOKUP(CustomerCombinedCleaned[[#This Row],[ID]], Table4[ID], Table4[Seafood], "Not Found", 0)</f>
        <v>0</v>
      </c>
      <c r="O2175" s="16">
        <f>_xlfn.XLOOKUP(CustomerCombinedCleaned[[#This Row],[ID]], Table4[ID], Table4[Sweets], "Not Found", 0)</f>
        <v>194</v>
      </c>
      <c r="P2175" s="16">
        <f>_xlfn.XLOOKUP(CustomerCombinedCleaned[[#This Row],[ID]], Table4[ID], Table4[Premium], "Not Found", 0)</f>
        <v>168</v>
      </c>
      <c r="Q2175" s="16">
        <f>_xlfn.XLOOKUP(CustomerCombinedCleaned[[#This Row],[ID]], Table4[ID], Table4[Regular], "Not Found", 0)</f>
        <v>2257</v>
      </c>
      <c r="R2175" s="16">
        <f>_xlfn.XLOOKUP(CustomerCombinedCleaned[[#This Row],[ID]], Table4[ID], Table4[Deals], "Not Found", 0)</f>
        <v>1</v>
      </c>
      <c r="S2175" s="16">
        <f>_xlfn.XLOOKUP(CustomerCombinedCleaned[[#This Row],[ID]], Table4[ID], Table4[Website], "Not Found", 0)</f>
        <v>9</v>
      </c>
      <c r="T2175" s="16">
        <f>_xlfn.XLOOKUP(CustomerCombinedCleaned[[#This Row],[ID]], Table4[ID], Table4[Catalog], "Not Found", 0)</f>
        <v>3</v>
      </c>
      <c r="U2175" s="16">
        <f>_xlfn.XLOOKUP(CustomerCombinedCleaned[[#This Row],[ID]], Table4[ID], Table4[Store], "Not Found", 0)</f>
        <v>13</v>
      </c>
      <c r="V2175" s="16">
        <f>_xlfn.XLOOKUP(CustomerCombinedCleaned[[#This Row],[ID]], Table4[ID], Table4[Visits], "Not Found", 0)</f>
        <v>4</v>
      </c>
      <c r="W2175" s="16">
        <f>_xlfn.XLOOKUP(CustomerCombinedCleaned[[#This Row],[ID]], Table2[ID],Table2[Complaint], "Not Found", 0 )</f>
        <v>0</v>
      </c>
      <c r="X2175" s="16">
        <f>_xlfn.XLOOKUP(CustomerCombinedCleaned[[#This Row],[ID]], Table2[ID],Table2[Pilot], "Not Found", 0 )</f>
        <v>0</v>
      </c>
      <c r="Y2175" s="16">
        <f>_xlfn.XLOOKUP(CustomerCombinedCleaned[[#This Row],[ID]], Table2[ID],Table2[MC1], "Not Found", 0 )</f>
        <v>0</v>
      </c>
      <c r="Z2175" s="16">
        <f>_xlfn.XLOOKUP(CustomerCombinedCleaned[[#This Row],[ID]], Table2[ID],Table2[MC2], "Not Found", 0 )</f>
        <v>0</v>
      </c>
      <c r="AA2175" s="16">
        <f>_xlfn.XLOOKUP(CustomerCombinedCleaned[[#This Row],[ID]], Table2[ID],Table2[MC3], "Not Found", 0 )</f>
        <v>0</v>
      </c>
      <c r="AB2175" s="16">
        <f>_xlfn.XLOOKUP(CustomerCombinedCleaned[[#This Row],[ID]], Table2[ID],Table2[MC4], "Not Found", 0 )</f>
        <v>0</v>
      </c>
      <c r="AC2175" s="16">
        <f>_xlfn.XLOOKUP(CustomerCombinedCleaned[[#This Row],[ID]], Table2[ID],Table2[MC5], "Not Found", 0 )</f>
        <v>0</v>
      </c>
    </row>
    <row r="2176" spans="1:29" x14ac:dyDescent="0.3">
      <c r="A2176" s="18">
        <v>2718</v>
      </c>
      <c r="B2176" s="16">
        <v>170321</v>
      </c>
      <c r="C2176" s="16">
        <v>0</v>
      </c>
      <c r="D2176" s="16">
        <v>0</v>
      </c>
      <c r="E2176" s="16">
        <v>73</v>
      </c>
      <c r="F2176" s="17" t="s">
        <v>8</v>
      </c>
      <c r="G2176" s="17" t="s">
        <v>11</v>
      </c>
      <c r="H2176" s="3" t="s">
        <v>324</v>
      </c>
      <c r="I2176" s="5" t="s">
        <v>436</v>
      </c>
      <c r="J2176" s="16">
        <f>_xlfn.XLOOKUP(CustomerCombinedCleaned[[#This Row],[ID]], Table4[ID], Table4[Recency], "Not Found", 0)</f>
        <v>6</v>
      </c>
      <c r="K2176" s="16">
        <f>_xlfn.XLOOKUP(CustomerCombinedCleaned[[#This Row],[ID]], Table4[ID], Table4[Teas], "Not Found", 0)</f>
        <v>734</v>
      </c>
      <c r="L2176" s="16">
        <f>_xlfn.XLOOKUP(CustomerCombinedCleaned[[#This Row],[ID]], Table4[ID], Table4[Fruits], "Not Found", 0)</f>
        <v>56</v>
      </c>
      <c r="M2176" s="16">
        <f>_xlfn.XLOOKUP(CustomerCombinedCleaned[[#This Row],[ID]], Table4[ID], Table4[Meats], "Not Found", 0)</f>
        <v>1819</v>
      </c>
      <c r="N2176" s="16">
        <f>_xlfn.XLOOKUP(CustomerCombinedCleaned[[#This Row],[ID]], Table4[ID], Table4[Seafood], "Not Found", 0)</f>
        <v>199</v>
      </c>
      <c r="O2176" s="16">
        <f>_xlfn.XLOOKUP(CustomerCombinedCleaned[[#This Row],[ID]], Table4[ID], Table4[Sweets], "Not Found", 0)</f>
        <v>63</v>
      </c>
      <c r="P2176" s="16">
        <f>_xlfn.XLOOKUP(CustomerCombinedCleaned[[#This Row],[ID]], Table4[ID], Table4[Premium], "Not Found", 0)</f>
        <v>463</v>
      </c>
      <c r="Q2176" s="16">
        <f>_xlfn.XLOOKUP(CustomerCombinedCleaned[[#This Row],[ID]], Table4[ID], Table4[Regular], "Not Found", 0)</f>
        <v>2408</v>
      </c>
      <c r="R2176" s="16">
        <f>_xlfn.XLOOKUP(CustomerCombinedCleaned[[#This Row],[ID]], Table4[ID], Table4[Deals], "Not Found", 0)</f>
        <v>1</v>
      </c>
      <c r="S2176" s="16">
        <f>_xlfn.XLOOKUP(CustomerCombinedCleaned[[#This Row],[ID]], Table4[ID], Table4[Website], "Not Found", 0)</f>
        <v>6</v>
      </c>
      <c r="T2176" s="16">
        <f>_xlfn.XLOOKUP(CustomerCombinedCleaned[[#This Row],[ID]], Table4[ID], Table4[Catalog], "Not Found", 0)</f>
        <v>5</v>
      </c>
      <c r="U2176" s="16">
        <f>_xlfn.XLOOKUP(CustomerCombinedCleaned[[#This Row],[ID]], Table4[ID], Table4[Store], "Not Found", 0)</f>
        <v>13</v>
      </c>
      <c r="V2176" s="16">
        <f>_xlfn.XLOOKUP(CustomerCombinedCleaned[[#This Row],[ID]], Table4[ID], Table4[Visits], "Not Found", 0)</f>
        <v>4</v>
      </c>
      <c r="W2176" s="16">
        <f>_xlfn.XLOOKUP(CustomerCombinedCleaned[[#This Row],[ID]], Table2[ID],Table2[Complaint], "Not Found", 0 )</f>
        <v>0</v>
      </c>
      <c r="X2176" s="16">
        <f>_xlfn.XLOOKUP(CustomerCombinedCleaned[[#This Row],[ID]], Table2[ID],Table2[Pilot], "Not Found", 0 )</f>
        <v>1</v>
      </c>
      <c r="Y2176" s="16">
        <f>_xlfn.XLOOKUP(CustomerCombinedCleaned[[#This Row],[ID]], Table2[ID],Table2[MC1], "Not Found", 0 )</f>
        <v>0</v>
      </c>
      <c r="Z2176" s="16">
        <f>_xlfn.XLOOKUP(CustomerCombinedCleaned[[#This Row],[ID]], Table2[ID],Table2[MC2], "Not Found", 0 )</f>
        <v>0</v>
      </c>
      <c r="AA2176" s="16">
        <f>_xlfn.XLOOKUP(CustomerCombinedCleaned[[#This Row],[ID]], Table2[ID],Table2[MC3], "Not Found", 0 )</f>
        <v>0</v>
      </c>
      <c r="AB2176" s="16">
        <f>_xlfn.XLOOKUP(CustomerCombinedCleaned[[#This Row],[ID]], Table2[ID],Table2[MC4], "Not Found", 0 )</f>
        <v>0</v>
      </c>
      <c r="AC2176" s="16">
        <f>_xlfn.XLOOKUP(CustomerCombinedCleaned[[#This Row],[ID]], Table2[ID],Table2[MC5], "Not Found", 0 )</f>
        <v>0</v>
      </c>
    </row>
    <row r="2177" spans="1:29" x14ac:dyDescent="0.3">
      <c r="A2177" s="18">
        <v>3005</v>
      </c>
      <c r="B2177" s="16">
        <v>168117</v>
      </c>
      <c r="C2177" s="16">
        <v>0</v>
      </c>
      <c r="D2177" s="16">
        <v>1</v>
      </c>
      <c r="E2177" s="16">
        <v>73</v>
      </c>
      <c r="F2177" s="17" t="s">
        <v>9</v>
      </c>
      <c r="G2177" s="17" t="s">
        <v>13</v>
      </c>
      <c r="H2177" s="3" t="s">
        <v>297</v>
      </c>
      <c r="I2177" s="5" t="s">
        <v>434</v>
      </c>
      <c r="J2177" s="16">
        <f>_xlfn.XLOOKUP(CustomerCombinedCleaned[[#This Row],[ID]], Table4[ID], Table4[Recency], "Not Found", 0)</f>
        <v>80</v>
      </c>
      <c r="K2177" s="16">
        <f>_xlfn.XLOOKUP(CustomerCombinedCleaned[[#This Row],[ID]], Table4[ID], Table4[Teas], "Not Found", 0)</f>
        <v>1525</v>
      </c>
      <c r="L2177" s="16">
        <f>_xlfn.XLOOKUP(CustomerCombinedCleaned[[#This Row],[ID]], Table4[ID], Table4[Fruits], "Not Found", 0)</f>
        <v>109</v>
      </c>
      <c r="M2177" s="16">
        <f>_xlfn.XLOOKUP(CustomerCombinedCleaned[[#This Row],[ID]], Table4[ID], Table4[Meats], "Not Found", 0)</f>
        <v>531</v>
      </c>
      <c r="N2177" s="16">
        <f>_xlfn.XLOOKUP(CustomerCombinedCleaned[[#This Row],[ID]], Table4[ID], Table4[Seafood], "Not Found", 0)</f>
        <v>0</v>
      </c>
      <c r="O2177" s="16">
        <f>_xlfn.XLOOKUP(CustomerCombinedCleaned[[#This Row],[ID]], Table4[ID], Table4[Sweets], "Not Found", 0)</f>
        <v>42</v>
      </c>
      <c r="P2177" s="16">
        <f>_xlfn.XLOOKUP(CustomerCombinedCleaned[[#This Row],[ID]], Table4[ID], Table4[Premium], "Not Found", 0)</f>
        <v>89</v>
      </c>
      <c r="Q2177" s="16">
        <f>_xlfn.XLOOKUP(CustomerCombinedCleaned[[#This Row],[ID]], Table4[ID], Table4[Regular], "Not Found", 0)</f>
        <v>2118</v>
      </c>
      <c r="R2177" s="16">
        <f>_xlfn.XLOOKUP(CustomerCombinedCleaned[[#This Row],[ID]], Table4[ID], Table4[Deals], "Not Found", 0)</f>
        <v>2</v>
      </c>
      <c r="S2177" s="16">
        <f>_xlfn.XLOOKUP(CustomerCombinedCleaned[[#This Row],[ID]], Table4[ID], Table4[Website], "Not Found", 0)</f>
        <v>11</v>
      </c>
      <c r="T2177" s="16">
        <f>_xlfn.XLOOKUP(CustomerCombinedCleaned[[#This Row],[ID]], Table4[ID], Table4[Catalog], "Not Found", 0)</f>
        <v>8</v>
      </c>
      <c r="U2177" s="16">
        <f>_xlfn.XLOOKUP(CustomerCombinedCleaned[[#This Row],[ID]], Table4[ID], Table4[Store], "Not Found", 0)</f>
        <v>4</v>
      </c>
      <c r="V2177" s="16">
        <f>_xlfn.XLOOKUP(CustomerCombinedCleaned[[#This Row],[ID]], Table4[ID], Table4[Visits], "Not Found", 0)</f>
        <v>6</v>
      </c>
      <c r="W2177" s="16">
        <f>_xlfn.XLOOKUP(CustomerCombinedCleaned[[#This Row],[ID]], Table2[ID],Table2[Complaint], "Not Found", 0 )</f>
        <v>0</v>
      </c>
      <c r="X2177" s="16">
        <f>_xlfn.XLOOKUP(CustomerCombinedCleaned[[#This Row],[ID]], Table2[ID],Table2[Pilot], "Not Found", 0 )</f>
        <v>1</v>
      </c>
      <c r="Y2177" s="16">
        <f>_xlfn.XLOOKUP(CustomerCombinedCleaned[[#This Row],[ID]], Table2[ID],Table2[MC1], "Not Found", 0 )</f>
        <v>0</v>
      </c>
      <c r="Z2177" s="16">
        <f>_xlfn.XLOOKUP(CustomerCombinedCleaned[[#This Row],[ID]], Table2[ID],Table2[MC2], "Not Found", 0 )</f>
        <v>0</v>
      </c>
      <c r="AA2177" s="16">
        <f>_xlfn.XLOOKUP(CustomerCombinedCleaned[[#This Row],[ID]], Table2[ID],Table2[MC3], "Not Found", 0 )</f>
        <v>1</v>
      </c>
      <c r="AB2177" s="16">
        <f>_xlfn.XLOOKUP(CustomerCombinedCleaned[[#This Row],[ID]], Table2[ID],Table2[MC4], "Not Found", 0 )</f>
        <v>0</v>
      </c>
      <c r="AC2177" s="16">
        <f>_xlfn.XLOOKUP(CustomerCombinedCleaned[[#This Row],[ID]], Table2[ID],Table2[MC5], "Not Found", 0 )</f>
        <v>0</v>
      </c>
    </row>
    <row r="2178" spans="1:29" x14ac:dyDescent="0.3">
      <c r="A2178" s="18">
        <v>2906</v>
      </c>
      <c r="B2178" s="16">
        <v>167472</v>
      </c>
      <c r="C2178" s="16">
        <v>0</v>
      </c>
      <c r="D2178" s="16">
        <v>1</v>
      </c>
      <c r="E2178" s="16">
        <v>73</v>
      </c>
      <c r="F2178" s="17" t="s">
        <v>6</v>
      </c>
      <c r="G2178" s="17" t="s">
        <v>13</v>
      </c>
      <c r="H2178" s="3" t="s">
        <v>670</v>
      </c>
      <c r="I2178" s="5" t="s">
        <v>438</v>
      </c>
      <c r="J2178" s="16">
        <f>_xlfn.XLOOKUP(CustomerCombinedCleaned[[#This Row],[ID]], Table4[ID], Table4[Recency], "Not Found", 0)</f>
        <v>93</v>
      </c>
      <c r="K2178" s="16">
        <f>_xlfn.XLOOKUP(CustomerCombinedCleaned[[#This Row],[ID]], Table4[ID], Table4[Teas], "Not Found", 0)</f>
        <v>402</v>
      </c>
      <c r="L2178" s="16">
        <f>_xlfn.XLOOKUP(CustomerCombinedCleaned[[#This Row],[ID]], Table4[ID], Table4[Fruits], "Not Found", 0)</f>
        <v>77</v>
      </c>
      <c r="M2178" s="16">
        <f>_xlfn.XLOOKUP(CustomerCombinedCleaned[[#This Row],[ID]], Table4[ID], Table4[Meats], "Not Found", 0)</f>
        <v>315</v>
      </c>
      <c r="N2178" s="16">
        <f>_xlfn.XLOOKUP(CustomerCombinedCleaned[[#This Row],[ID]], Table4[ID], Table4[Seafood], "Not Found", 0)</f>
        <v>20</v>
      </c>
      <c r="O2178" s="16">
        <f>_xlfn.XLOOKUP(CustomerCombinedCleaned[[#This Row],[ID]], Table4[ID], Table4[Sweets], "Not Found", 0)</f>
        <v>42</v>
      </c>
      <c r="P2178" s="16">
        <f>_xlfn.XLOOKUP(CustomerCombinedCleaned[[#This Row],[ID]], Table4[ID], Table4[Premium], "Not Found", 0)</f>
        <v>171</v>
      </c>
      <c r="Q2178" s="16">
        <f>_xlfn.XLOOKUP(CustomerCombinedCleaned[[#This Row],[ID]], Table4[ID], Table4[Regular], "Not Found", 0)</f>
        <v>685</v>
      </c>
      <c r="R2178" s="16">
        <f>_xlfn.XLOOKUP(CustomerCombinedCleaned[[#This Row],[ID]], Table4[ID], Table4[Deals], "Not Found", 0)</f>
        <v>2</v>
      </c>
      <c r="S2178" s="16">
        <f>_xlfn.XLOOKUP(CustomerCombinedCleaned[[#This Row],[ID]], Table4[ID], Table4[Website], "Not Found", 0)</f>
        <v>4</v>
      </c>
      <c r="T2178" s="16">
        <f>_xlfn.XLOOKUP(CustomerCombinedCleaned[[#This Row],[ID]], Table4[ID], Table4[Catalog], "Not Found", 0)</f>
        <v>2</v>
      </c>
      <c r="U2178" s="16">
        <f>_xlfn.XLOOKUP(CustomerCombinedCleaned[[#This Row],[ID]], Table4[ID], Table4[Store], "Not Found", 0)</f>
        <v>7</v>
      </c>
      <c r="V2178" s="16">
        <f>_xlfn.XLOOKUP(CustomerCombinedCleaned[[#This Row],[ID]], Table4[ID], Table4[Visits], "Not Found", 0)</f>
        <v>3</v>
      </c>
      <c r="W2178" s="16">
        <f>_xlfn.XLOOKUP(CustomerCombinedCleaned[[#This Row],[ID]], Table2[ID],Table2[Complaint], "Not Found", 0 )</f>
        <v>0</v>
      </c>
      <c r="X2178" s="16">
        <f>_xlfn.XLOOKUP(CustomerCombinedCleaned[[#This Row],[ID]], Table2[ID],Table2[Pilot], "Not Found", 0 )</f>
        <v>0</v>
      </c>
      <c r="Y2178" s="16">
        <f>_xlfn.XLOOKUP(CustomerCombinedCleaned[[#This Row],[ID]], Table2[ID],Table2[MC1], "Not Found", 0 )</f>
        <v>0</v>
      </c>
      <c r="Z2178" s="16">
        <f>_xlfn.XLOOKUP(CustomerCombinedCleaned[[#This Row],[ID]], Table2[ID],Table2[MC2], "Not Found", 0 )</f>
        <v>0</v>
      </c>
      <c r="AA2178" s="16">
        <f>_xlfn.XLOOKUP(CustomerCombinedCleaned[[#This Row],[ID]], Table2[ID],Table2[MC3], "Not Found", 0 )</f>
        <v>0</v>
      </c>
      <c r="AB2178" s="16">
        <f>_xlfn.XLOOKUP(CustomerCombinedCleaned[[#This Row],[ID]], Table2[ID],Table2[MC4], "Not Found", 0 )</f>
        <v>0</v>
      </c>
      <c r="AC2178" s="16">
        <f>_xlfn.XLOOKUP(CustomerCombinedCleaned[[#This Row],[ID]], Table2[ID],Table2[MC5], "Not Found", 0 )</f>
        <v>0</v>
      </c>
    </row>
    <row r="2179" spans="1:29" x14ac:dyDescent="0.3">
      <c r="A2179" s="18">
        <v>2224</v>
      </c>
      <c r="B2179" s="16">
        <v>166000</v>
      </c>
      <c r="C2179" s="16">
        <v>0</v>
      </c>
      <c r="D2179" s="16">
        <v>0</v>
      </c>
      <c r="E2179" s="16">
        <v>73</v>
      </c>
      <c r="F2179" s="17" t="s">
        <v>8</v>
      </c>
      <c r="G2179" s="17" t="s">
        <v>12</v>
      </c>
      <c r="H2179" s="3" t="s">
        <v>62</v>
      </c>
      <c r="I2179" s="5" t="s">
        <v>439</v>
      </c>
      <c r="J2179" s="16">
        <f>_xlfn.XLOOKUP(CustomerCombinedCleaned[[#This Row],[ID]], Table4[ID], Table4[Recency], "Not Found", 0)</f>
        <v>36</v>
      </c>
      <c r="K2179" s="16">
        <f>_xlfn.XLOOKUP(CustomerCombinedCleaned[[#This Row],[ID]], Table4[ID], Table4[Teas], "Not Found", 0)</f>
        <v>614</v>
      </c>
      <c r="L2179" s="16">
        <f>_xlfn.XLOOKUP(CustomerCombinedCleaned[[#This Row],[ID]], Table4[ID], Table4[Fruits], "Not Found", 0)</f>
        <v>128</v>
      </c>
      <c r="M2179" s="16">
        <f>_xlfn.XLOOKUP(CustomerCombinedCleaned[[#This Row],[ID]], Table4[ID], Table4[Meats], "Not Found", 0)</f>
        <v>679</v>
      </c>
      <c r="N2179" s="16">
        <f>_xlfn.XLOOKUP(CustomerCombinedCleaned[[#This Row],[ID]], Table4[ID], Table4[Seafood], "Not Found", 0)</f>
        <v>254</v>
      </c>
      <c r="O2179" s="16">
        <f>_xlfn.XLOOKUP(CustomerCombinedCleaned[[#This Row],[ID]], Table4[ID], Table4[Sweets], "Not Found", 0)</f>
        <v>0</v>
      </c>
      <c r="P2179" s="16">
        <f>_xlfn.XLOOKUP(CustomerCombinedCleaned[[#This Row],[ID]], Table4[ID], Table4[Premium], "Not Found", 0)</f>
        <v>113</v>
      </c>
      <c r="Q2179" s="16">
        <f>_xlfn.XLOOKUP(CustomerCombinedCleaned[[#This Row],[ID]], Table4[ID], Table4[Regular], "Not Found", 0)</f>
        <v>1562</v>
      </c>
      <c r="R2179" s="16">
        <f>_xlfn.XLOOKUP(CustomerCombinedCleaned[[#This Row],[ID]], Table4[ID], Table4[Deals], "Not Found", 0)</f>
        <v>1</v>
      </c>
      <c r="S2179" s="16">
        <f>_xlfn.XLOOKUP(CustomerCombinedCleaned[[#This Row],[ID]], Table4[ID], Table4[Website], "Not Found", 0)</f>
        <v>1</v>
      </c>
      <c r="T2179" s="16">
        <f>_xlfn.XLOOKUP(CustomerCombinedCleaned[[#This Row],[ID]], Table4[ID], Table4[Catalog], "Not Found", 0)</f>
        <v>3</v>
      </c>
      <c r="U2179" s="16">
        <f>_xlfn.XLOOKUP(CustomerCombinedCleaned[[#This Row],[ID]], Table4[ID], Table4[Store], "Not Found", 0)</f>
        <v>5</v>
      </c>
      <c r="V2179" s="16">
        <f>_xlfn.XLOOKUP(CustomerCombinedCleaned[[#This Row],[ID]], Table4[ID], Table4[Visits], "Not Found", 0)</f>
        <v>1</v>
      </c>
      <c r="W2179" s="16">
        <f>_xlfn.XLOOKUP(CustomerCombinedCleaned[[#This Row],[ID]], Table2[ID],Table2[Complaint], "Not Found", 0 )</f>
        <v>0</v>
      </c>
      <c r="X2179" s="16">
        <f>_xlfn.XLOOKUP(CustomerCombinedCleaned[[#This Row],[ID]], Table2[ID],Table2[Pilot], "Not Found", 0 )</f>
        <v>0</v>
      </c>
      <c r="Y2179" s="16">
        <f>_xlfn.XLOOKUP(CustomerCombinedCleaned[[#This Row],[ID]], Table2[ID],Table2[MC1], "Not Found", 0 )</f>
        <v>0</v>
      </c>
      <c r="Z2179" s="16">
        <f>_xlfn.XLOOKUP(CustomerCombinedCleaned[[#This Row],[ID]], Table2[ID],Table2[MC2], "Not Found", 0 )</f>
        <v>0</v>
      </c>
      <c r="AA2179" s="16">
        <f>_xlfn.XLOOKUP(CustomerCombinedCleaned[[#This Row],[ID]], Table2[ID],Table2[MC3], "Not Found", 0 )</f>
        <v>0</v>
      </c>
      <c r="AB2179" s="16">
        <f>_xlfn.XLOOKUP(CustomerCombinedCleaned[[#This Row],[ID]], Table2[ID],Table2[MC4], "Not Found", 0 )</f>
        <v>0</v>
      </c>
      <c r="AC2179" s="16">
        <f>_xlfn.XLOOKUP(CustomerCombinedCleaned[[#This Row],[ID]], Table2[ID],Table2[MC5], "Not Found", 0 )</f>
        <v>0</v>
      </c>
    </row>
    <row r="2180" spans="1:29" x14ac:dyDescent="0.3">
      <c r="A2180" s="18">
        <v>2721</v>
      </c>
      <c r="B2180" s="16">
        <v>128389</v>
      </c>
      <c r="C2180" s="16">
        <v>0</v>
      </c>
      <c r="D2180" s="16">
        <v>0</v>
      </c>
      <c r="E2180" s="16">
        <v>73</v>
      </c>
      <c r="F2180" s="17" t="s">
        <v>8</v>
      </c>
      <c r="G2180" s="17" t="s">
        <v>10</v>
      </c>
      <c r="H2180" s="3" t="s">
        <v>356</v>
      </c>
      <c r="I2180" s="5" t="s">
        <v>435</v>
      </c>
      <c r="J2180" s="16">
        <f>_xlfn.XLOOKUP(CustomerCombinedCleaned[[#This Row],[ID]], Table4[ID], Table4[Recency], "Not Found", 0)</f>
        <v>49</v>
      </c>
      <c r="K2180" s="16">
        <f>_xlfn.XLOOKUP(CustomerCombinedCleaned[[#This Row],[ID]], Table4[ID], Table4[Teas], "Not Found", 0)</f>
        <v>5</v>
      </c>
      <c r="L2180" s="16">
        <f>_xlfn.XLOOKUP(CustomerCombinedCleaned[[#This Row],[ID]], Table4[ID], Table4[Fruits], "Not Found", 0)</f>
        <v>23</v>
      </c>
      <c r="M2180" s="16">
        <f>_xlfn.XLOOKUP(CustomerCombinedCleaned[[#This Row],[ID]], Table4[ID], Table4[Meats], "Not Found", 0)</f>
        <v>14</v>
      </c>
      <c r="N2180" s="16">
        <f>_xlfn.XLOOKUP(CustomerCombinedCleaned[[#This Row],[ID]], Table4[ID], Table4[Seafood], "Not Found", 0)</f>
        <v>32</v>
      </c>
      <c r="O2180" s="16">
        <f>_xlfn.XLOOKUP(CustomerCombinedCleaned[[#This Row],[ID]], Table4[ID], Table4[Sweets], "Not Found", 0)</f>
        <v>18</v>
      </c>
      <c r="P2180" s="16">
        <f>_xlfn.XLOOKUP(CustomerCombinedCleaned[[#This Row],[ID]], Table4[ID], Table4[Premium], "Not Found", 0)</f>
        <v>36</v>
      </c>
      <c r="Q2180" s="16">
        <f>_xlfn.XLOOKUP(CustomerCombinedCleaned[[#This Row],[ID]], Table4[ID], Table4[Regular], "Not Found", 0)</f>
        <v>54</v>
      </c>
      <c r="R2180" s="16">
        <f>_xlfn.XLOOKUP(CustomerCombinedCleaned[[#This Row],[ID]], Table4[ID], Table4[Deals], "Not Found", 0)</f>
        <v>1</v>
      </c>
      <c r="S2180" s="16">
        <f>_xlfn.XLOOKUP(CustomerCombinedCleaned[[#This Row],[ID]], Table4[ID], Table4[Website], "Not Found", 0)</f>
        <v>1</v>
      </c>
      <c r="T2180" s="16">
        <f>_xlfn.XLOOKUP(CustomerCombinedCleaned[[#This Row],[ID]], Table4[ID], Table4[Catalog], "Not Found", 0)</f>
        <v>0</v>
      </c>
      <c r="U2180" s="16">
        <f>_xlfn.XLOOKUP(CustomerCombinedCleaned[[#This Row],[ID]], Table4[ID], Table4[Store], "Not Found", 0)</f>
        <v>2</v>
      </c>
      <c r="V2180" s="16">
        <f>_xlfn.XLOOKUP(CustomerCombinedCleaned[[#This Row],[ID]], Table4[ID], Table4[Visits], "Not Found", 0)</f>
        <v>7</v>
      </c>
      <c r="W2180" s="16">
        <f>_xlfn.XLOOKUP(CustomerCombinedCleaned[[#This Row],[ID]], Table2[ID],Table2[Complaint], "Not Found", 0 )</f>
        <v>0</v>
      </c>
      <c r="X2180" s="16">
        <f>_xlfn.XLOOKUP(CustomerCombinedCleaned[[#This Row],[ID]], Table2[ID],Table2[Pilot], "Not Found", 0 )</f>
        <v>0</v>
      </c>
      <c r="Y2180" s="16">
        <f>_xlfn.XLOOKUP(CustomerCombinedCleaned[[#This Row],[ID]], Table2[ID],Table2[MC1], "Not Found", 0 )</f>
        <v>0</v>
      </c>
      <c r="Z2180" s="16">
        <f>_xlfn.XLOOKUP(CustomerCombinedCleaned[[#This Row],[ID]], Table2[ID],Table2[MC2], "Not Found", 0 )</f>
        <v>0</v>
      </c>
      <c r="AA2180" s="16">
        <f>_xlfn.XLOOKUP(CustomerCombinedCleaned[[#This Row],[ID]], Table2[ID],Table2[MC3], "Not Found", 0 )</f>
        <v>0</v>
      </c>
      <c r="AB2180" s="16">
        <f>_xlfn.XLOOKUP(CustomerCombinedCleaned[[#This Row],[ID]], Table2[ID],Table2[MC4], "Not Found", 0 )</f>
        <v>0</v>
      </c>
      <c r="AC2180" s="16">
        <f>_xlfn.XLOOKUP(CustomerCombinedCleaned[[#This Row],[ID]], Table2[ID],Table2[MC5], "Not Found", 0 )</f>
        <v>0</v>
      </c>
    </row>
    <row r="2181" spans="1:29" x14ac:dyDescent="0.3">
      <c r="A2181" s="18">
        <v>3160</v>
      </c>
      <c r="B2181" s="16">
        <v>127469</v>
      </c>
      <c r="C2181" s="16">
        <v>0</v>
      </c>
      <c r="D2181" s="16">
        <v>0</v>
      </c>
      <c r="E2181" s="16">
        <v>73</v>
      </c>
      <c r="F2181" s="17" t="s">
        <v>6</v>
      </c>
      <c r="G2181" s="17" t="s">
        <v>11</v>
      </c>
      <c r="H2181" s="3" t="s">
        <v>633</v>
      </c>
      <c r="I2181" s="5" t="s">
        <v>439</v>
      </c>
      <c r="J2181" s="16">
        <f>_xlfn.XLOOKUP(CustomerCombinedCleaned[[#This Row],[ID]], Table4[ID], Table4[Recency], "Not Found", 0)</f>
        <v>2</v>
      </c>
      <c r="K2181" s="16">
        <f>_xlfn.XLOOKUP(CustomerCombinedCleaned[[#This Row],[ID]], Table4[ID], Table4[Teas], "Not Found", 0)</f>
        <v>42</v>
      </c>
      <c r="L2181" s="16">
        <f>_xlfn.XLOOKUP(CustomerCombinedCleaned[[#This Row],[ID]], Table4[ID], Table4[Fruits], "Not Found", 0)</f>
        <v>5</v>
      </c>
      <c r="M2181" s="16">
        <f>_xlfn.XLOOKUP(CustomerCombinedCleaned[[#This Row],[ID]], Table4[ID], Table4[Meats], "Not Found", 0)</f>
        <v>9</v>
      </c>
      <c r="N2181" s="16">
        <f>_xlfn.XLOOKUP(CustomerCombinedCleaned[[#This Row],[ID]], Table4[ID], Table4[Seafood], "Not Found", 0)</f>
        <v>14</v>
      </c>
      <c r="O2181" s="16">
        <f>_xlfn.XLOOKUP(CustomerCombinedCleaned[[#This Row],[ID]], Table4[ID], Table4[Sweets], "Not Found", 0)</f>
        <v>9</v>
      </c>
      <c r="P2181" s="16">
        <f>_xlfn.XLOOKUP(CustomerCombinedCleaned[[#This Row],[ID]], Table4[ID], Table4[Premium], "Not Found", 0)</f>
        <v>0</v>
      </c>
      <c r="Q2181" s="16">
        <f>_xlfn.XLOOKUP(CustomerCombinedCleaned[[#This Row],[ID]], Table4[ID], Table4[Regular], "Not Found", 0)</f>
        <v>79</v>
      </c>
      <c r="R2181" s="16">
        <f>_xlfn.XLOOKUP(CustomerCombinedCleaned[[#This Row],[ID]], Table4[ID], Table4[Deals], "Not Found", 0)</f>
        <v>1</v>
      </c>
      <c r="S2181" s="16">
        <f>_xlfn.XLOOKUP(CustomerCombinedCleaned[[#This Row],[ID]], Table4[ID], Table4[Website], "Not Found", 0)</f>
        <v>0</v>
      </c>
      <c r="T2181" s="16">
        <f>_xlfn.XLOOKUP(CustomerCombinedCleaned[[#This Row],[ID]], Table4[ID], Table4[Catalog], "Not Found", 0)</f>
        <v>0</v>
      </c>
      <c r="U2181" s="16">
        <f>_xlfn.XLOOKUP(CustomerCombinedCleaned[[#This Row],[ID]], Table4[ID], Table4[Store], "Not Found", 0)</f>
        <v>3</v>
      </c>
      <c r="V2181" s="16">
        <f>_xlfn.XLOOKUP(CustomerCombinedCleaned[[#This Row],[ID]], Table4[ID], Table4[Visits], "Not Found", 0)</f>
        <v>6</v>
      </c>
      <c r="W2181" s="16">
        <f>_xlfn.XLOOKUP(CustomerCombinedCleaned[[#This Row],[ID]], Table2[ID],Table2[Complaint], "Not Found", 0 )</f>
        <v>0</v>
      </c>
      <c r="X2181" s="16">
        <f>_xlfn.XLOOKUP(CustomerCombinedCleaned[[#This Row],[ID]], Table2[ID],Table2[Pilot], "Not Found", 0 )</f>
        <v>0</v>
      </c>
      <c r="Y2181" s="16">
        <f>_xlfn.XLOOKUP(CustomerCombinedCleaned[[#This Row],[ID]], Table2[ID],Table2[MC1], "Not Found", 0 )</f>
        <v>0</v>
      </c>
      <c r="Z2181" s="16">
        <f>_xlfn.XLOOKUP(CustomerCombinedCleaned[[#This Row],[ID]], Table2[ID],Table2[MC2], "Not Found", 0 )</f>
        <v>0</v>
      </c>
      <c r="AA2181" s="16">
        <f>_xlfn.XLOOKUP(CustomerCombinedCleaned[[#This Row],[ID]], Table2[ID],Table2[MC3], "Not Found", 0 )</f>
        <v>0</v>
      </c>
      <c r="AB2181" s="16">
        <f>_xlfn.XLOOKUP(CustomerCombinedCleaned[[#This Row],[ID]], Table2[ID],Table2[MC4], "Not Found", 0 )</f>
        <v>0</v>
      </c>
      <c r="AC2181" s="16">
        <f>_xlfn.XLOOKUP(CustomerCombinedCleaned[[#This Row],[ID]], Table2[ID],Table2[MC5], "Not Found", 0 )</f>
        <v>0</v>
      </c>
    </row>
    <row r="2182" spans="1:29" x14ac:dyDescent="0.3">
      <c r="A2182" s="18">
        <v>2629</v>
      </c>
      <c r="B2182" s="16">
        <v>125358</v>
      </c>
      <c r="C2182" s="16">
        <v>0</v>
      </c>
      <c r="D2182" s="16">
        <v>1</v>
      </c>
      <c r="E2182" s="16">
        <v>73</v>
      </c>
      <c r="F2182" s="17" t="s">
        <v>9</v>
      </c>
      <c r="G2182" s="17" t="s">
        <v>13</v>
      </c>
      <c r="H2182" s="3" t="s">
        <v>214</v>
      </c>
      <c r="I2182" s="5" t="s">
        <v>437</v>
      </c>
      <c r="J2182" s="16">
        <f>_xlfn.XLOOKUP(CustomerCombinedCleaned[[#This Row],[ID]], Table4[ID], Table4[Recency], "Not Found", 0)</f>
        <v>57</v>
      </c>
      <c r="K2182" s="16">
        <f>_xlfn.XLOOKUP(CustomerCombinedCleaned[[#This Row],[ID]], Table4[ID], Table4[Teas], "Not Found", 0)</f>
        <v>94</v>
      </c>
      <c r="L2182" s="16">
        <f>_xlfn.XLOOKUP(CustomerCombinedCleaned[[#This Row],[ID]], Table4[ID], Table4[Fruits], "Not Found", 0)</f>
        <v>0</v>
      </c>
      <c r="M2182" s="16">
        <f>_xlfn.XLOOKUP(CustomerCombinedCleaned[[#This Row],[ID]], Table4[ID], Table4[Meats], "Not Found", 0)</f>
        <v>25</v>
      </c>
      <c r="N2182" s="16">
        <f>_xlfn.XLOOKUP(CustomerCombinedCleaned[[#This Row],[ID]], Table4[ID], Table4[Seafood], "Not Found", 0)</f>
        <v>0</v>
      </c>
      <c r="O2182" s="16">
        <f>_xlfn.XLOOKUP(CustomerCombinedCleaned[[#This Row],[ID]], Table4[ID], Table4[Sweets], "Not Found", 0)</f>
        <v>0</v>
      </c>
      <c r="P2182" s="16">
        <f>_xlfn.XLOOKUP(CustomerCombinedCleaned[[#This Row],[ID]], Table4[ID], Table4[Premium], "Not Found", 0)</f>
        <v>40</v>
      </c>
      <c r="Q2182" s="16">
        <f>_xlfn.XLOOKUP(CustomerCombinedCleaned[[#This Row],[ID]], Table4[ID], Table4[Regular], "Not Found", 0)</f>
        <v>79</v>
      </c>
      <c r="R2182" s="16">
        <f>_xlfn.XLOOKUP(CustomerCombinedCleaned[[#This Row],[ID]], Table4[ID], Table4[Deals], "Not Found", 0)</f>
        <v>2</v>
      </c>
      <c r="S2182" s="16">
        <f>_xlfn.XLOOKUP(CustomerCombinedCleaned[[#This Row],[ID]], Table4[ID], Table4[Website], "Not Found", 0)</f>
        <v>1</v>
      </c>
      <c r="T2182" s="16">
        <f>_xlfn.XLOOKUP(CustomerCombinedCleaned[[#This Row],[ID]], Table4[ID], Table4[Catalog], "Not Found", 0)</f>
        <v>0</v>
      </c>
      <c r="U2182" s="16">
        <f>_xlfn.XLOOKUP(CustomerCombinedCleaned[[#This Row],[ID]], Table4[ID], Table4[Store], "Not Found", 0)</f>
        <v>3</v>
      </c>
      <c r="V2182" s="16">
        <f>_xlfn.XLOOKUP(CustomerCombinedCleaned[[#This Row],[ID]], Table4[ID], Table4[Visits], "Not Found", 0)</f>
        <v>6</v>
      </c>
      <c r="W2182" s="16">
        <f>_xlfn.XLOOKUP(CustomerCombinedCleaned[[#This Row],[ID]], Table2[ID],Table2[Complaint], "Not Found", 0 )</f>
        <v>0</v>
      </c>
      <c r="X2182" s="16">
        <f>_xlfn.XLOOKUP(CustomerCombinedCleaned[[#This Row],[ID]], Table2[ID],Table2[Pilot], "Not Found", 0 )</f>
        <v>0</v>
      </c>
      <c r="Y2182" s="16">
        <f>_xlfn.XLOOKUP(CustomerCombinedCleaned[[#This Row],[ID]], Table2[ID],Table2[MC1], "Not Found", 0 )</f>
        <v>0</v>
      </c>
      <c r="Z2182" s="16">
        <f>_xlfn.XLOOKUP(CustomerCombinedCleaned[[#This Row],[ID]], Table2[ID],Table2[MC2], "Not Found", 0 )</f>
        <v>0</v>
      </c>
      <c r="AA2182" s="16">
        <f>_xlfn.XLOOKUP(CustomerCombinedCleaned[[#This Row],[ID]], Table2[ID],Table2[MC3], "Not Found", 0 )</f>
        <v>0</v>
      </c>
      <c r="AB2182" s="16">
        <f>_xlfn.XLOOKUP(CustomerCombinedCleaned[[#This Row],[ID]], Table2[ID],Table2[MC4], "Not Found", 0 )</f>
        <v>0</v>
      </c>
      <c r="AC2182" s="16">
        <f>_xlfn.XLOOKUP(CustomerCombinedCleaned[[#This Row],[ID]], Table2[ID],Table2[MC5], "Not Found", 0 )</f>
        <v>0</v>
      </c>
    </row>
    <row r="2183" spans="1:29" x14ac:dyDescent="0.3">
      <c r="A2183" s="18">
        <v>1015</v>
      </c>
      <c r="B2183" s="16">
        <v>182800</v>
      </c>
      <c r="C2183" s="16">
        <v>0</v>
      </c>
      <c r="D2183" s="16">
        <v>0</v>
      </c>
      <c r="E2183" s="16">
        <v>74</v>
      </c>
      <c r="F2183" s="17" t="s">
        <v>7</v>
      </c>
      <c r="G2183" s="17" t="s">
        <v>13</v>
      </c>
      <c r="H2183" s="3" t="s">
        <v>578</v>
      </c>
      <c r="I2183" s="5" t="s">
        <v>437</v>
      </c>
      <c r="J2183" s="16">
        <f>_xlfn.XLOOKUP(CustomerCombinedCleaned[[#This Row],[ID]], Table4[ID], Table4[Recency], "Not Found", 0)</f>
        <v>23</v>
      </c>
      <c r="K2183" s="16">
        <f>_xlfn.XLOOKUP(CustomerCombinedCleaned[[#This Row],[ID]], Table4[ID], Table4[Teas], "Not Found", 0)</f>
        <v>2221</v>
      </c>
      <c r="L2183" s="16">
        <f>_xlfn.XLOOKUP(CustomerCombinedCleaned[[#This Row],[ID]], Table4[ID], Table4[Fruits], "Not Found", 0)</f>
        <v>49</v>
      </c>
      <c r="M2183" s="16">
        <f>_xlfn.XLOOKUP(CustomerCombinedCleaned[[#This Row],[ID]], Table4[ID], Table4[Meats], "Not Found", 0)</f>
        <v>254</v>
      </c>
      <c r="N2183" s="16">
        <f>_xlfn.XLOOKUP(CustomerCombinedCleaned[[#This Row],[ID]], Table4[ID], Table4[Seafood], "Not Found", 0)</f>
        <v>130</v>
      </c>
      <c r="O2183" s="16">
        <f>_xlfn.XLOOKUP(CustomerCombinedCleaned[[#This Row],[ID]], Table4[ID], Table4[Sweets], "Not Found", 0)</f>
        <v>150</v>
      </c>
      <c r="P2183" s="16">
        <f>_xlfn.XLOOKUP(CustomerCombinedCleaned[[#This Row],[ID]], Table4[ID], Table4[Premium], "Not Found", 0)</f>
        <v>99</v>
      </c>
      <c r="Q2183" s="16">
        <f>_xlfn.XLOOKUP(CustomerCombinedCleaned[[#This Row],[ID]], Table4[ID], Table4[Regular], "Not Found", 0)</f>
        <v>2704</v>
      </c>
      <c r="R2183" s="16">
        <f>_xlfn.XLOOKUP(CustomerCombinedCleaned[[#This Row],[ID]], Table4[ID], Table4[Deals], "Not Found", 0)</f>
        <v>1</v>
      </c>
      <c r="S2183" s="16">
        <f>_xlfn.XLOOKUP(CustomerCombinedCleaned[[#This Row],[ID]], Table4[ID], Table4[Website], "Not Found", 0)</f>
        <v>7</v>
      </c>
      <c r="T2183" s="16">
        <f>_xlfn.XLOOKUP(CustomerCombinedCleaned[[#This Row],[ID]], Table4[ID], Table4[Catalog], "Not Found", 0)</f>
        <v>6</v>
      </c>
      <c r="U2183" s="16">
        <f>_xlfn.XLOOKUP(CustomerCombinedCleaned[[#This Row],[ID]], Table4[ID], Table4[Store], "Not Found", 0)</f>
        <v>12</v>
      </c>
      <c r="V2183" s="16">
        <f>_xlfn.XLOOKUP(CustomerCombinedCleaned[[#This Row],[ID]], Table4[ID], Table4[Visits], "Not Found", 0)</f>
        <v>3</v>
      </c>
      <c r="W2183" s="16">
        <f>_xlfn.XLOOKUP(CustomerCombinedCleaned[[#This Row],[ID]], Table2[ID],Table2[Complaint], "Not Found", 0 )</f>
        <v>0</v>
      </c>
      <c r="X2183" s="16">
        <f>_xlfn.XLOOKUP(CustomerCombinedCleaned[[#This Row],[ID]], Table2[ID],Table2[Pilot], "Not Found", 0 )</f>
        <v>1</v>
      </c>
      <c r="Y2183" s="16">
        <f>_xlfn.XLOOKUP(CustomerCombinedCleaned[[#This Row],[ID]], Table2[ID],Table2[MC1], "Not Found", 0 )</f>
        <v>1</v>
      </c>
      <c r="Z2183" s="16">
        <f>_xlfn.XLOOKUP(CustomerCombinedCleaned[[#This Row],[ID]], Table2[ID],Table2[MC2], "Not Found", 0 )</f>
        <v>0</v>
      </c>
      <c r="AA2183" s="16">
        <f>_xlfn.XLOOKUP(CustomerCombinedCleaned[[#This Row],[ID]], Table2[ID],Table2[MC3], "Not Found", 0 )</f>
        <v>0</v>
      </c>
      <c r="AB2183" s="16">
        <f>_xlfn.XLOOKUP(CustomerCombinedCleaned[[#This Row],[ID]], Table2[ID],Table2[MC4], "Not Found", 0 )</f>
        <v>0</v>
      </c>
      <c r="AC2183" s="16">
        <f>_xlfn.XLOOKUP(CustomerCombinedCleaned[[#This Row],[ID]], Table2[ID],Table2[MC5], "Not Found", 0 )</f>
        <v>1</v>
      </c>
    </row>
    <row r="2184" spans="1:29" x14ac:dyDescent="0.3">
      <c r="A2184" s="18">
        <v>2546</v>
      </c>
      <c r="B2184" s="16">
        <v>182800</v>
      </c>
      <c r="C2184" s="16">
        <v>0</v>
      </c>
      <c r="D2184" s="16">
        <v>0</v>
      </c>
      <c r="E2184" s="16">
        <v>74</v>
      </c>
      <c r="F2184" s="17" t="s">
        <v>7</v>
      </c>
      <c r="G2184" s="17" t="s">
        <v>13</v>
      </c>
      <c r="H2184" s="3" t="s">
        <v>578</v>
      </c>
      <c r="I2184" s="5" t="s">
        <v>438</v>
      </c>
      <c r="J2184" s="16">
        <f>_xlfn.XLOOKUP(CustomerCombinedCleaned[[#This Row],[ID]], Table4[ID], Table4[Recency], "Not Found", 0)</f>
        <v>23</v>
      </c>
      <c r="K2184" s="16">
        <f>_xlfn.XLOOKUP(CustomerCombinedCleaned[[#This Row],[ID]], Table4[ID], Table4[Teas], "Not Found", 0)</f>
        <v>2221</v>
      </c>
      <c r="L2184" s="16">
        <f>_xlfn.XLOOKUP(CustomerCombinedCleaned[[#This Row],[ID]], Table4[ID], Table4[Fruits], "Not Found", 0)</f>
        <v>49</v>
      </c>
      <c r="M2184" s="16">
        <f>_xlfn.XLOOKUP(CustomerCombinedCleaned[[#This Row],[ID]], Table4[ID], Table4[Meats], "Not Found", 0)</f>
        <v>254</v>
      </c>
      <c r="N2184" s="16">
        <f>_xlfn.XLOOKUP(CustomerCombinedCleaned[[#This Row],[ID]], Table4[ID], Table4[Seafood], "Not Found", 0)</f>
        <v>130</v>
      </c>
      <c r="O2184" s="16">
        <f>_xlfn.XLOOKUP(CustomerCombinedCleaned[[#This Row],[ID]], Table4[ID], Table4[Sweets], "Not Found", 0)</f>
        <v>150</v>
      </c>
      <c r="P2184" s="16">
        <f>_xlfn.XLOOKUP(CustomerCombinedCleaned[[#This Row],[ID]], Table4[ID], Table4[Premium], "Not Found", 0)</f>
        <v>99</v>
      </c>
      <c r="Q2184" s="16">
        <f>_xlfn.XLOOKUP(CustomerCombinedCleaned[[#This Row],[ID]], Table4[ID], Table4[Regular], "Not Found", 0)</f>
        <v>2704</v>
      </c>
      <c r="R2184" s="16">
        <f>_xlfn.XLOOKUP(CustomerCombinedCleaned[[#This Row],[ID]], Table4[ID], Table4[Deals], "Not Found", 0)</f>
        <v>1</v>
      </c>
      <c r="S2184" s="16">
        <f>_xlfn.XLOOKUP(CustomerCombinedCleaned[[#This Row],[ID]], Table4[ID], Table4[Website], "Not Found", 0)</f>
        <v>7</v>
      </c>
      <c r="T2184" s="16">
        <f>_xlfn.XLOOKUP(CustomerCombinedCleaned[[#This Row],[ID]], Table4[ID], Table4[Catalog], "Not Found", 0)</f>
        <v>6</v>
      </c>
      <c r="U2184" s="16">
        <f>_xlfn.XLOOKUP(CustomerCombinedCleaned[[#This Row],[ID]], Table4[ID], Table4[Store], "Not Found", 0)</f>
        <v>12</v>
      </c>
      <c r="V2184" s="16">
        <f>_xlfn.XLOOKUP(CustomerCombinedCleaned[[#This Row],[ID]], Table4[ID], Table4[Visits], "Not Found", 0)</f>
        <v>3</v>
      </c>
      <c r="W2184" s="16">
        <f>_xlfn.XLOOKUP(CustomerCombinedCleaned[[#This Row],[ID]], Table2[ID],Table2[Complaint], "Not Found", 0 )</f>
        <v>0</v>
      </c>
      <c r="X2184" s="16">
        <f>_xlfn.XLOOKUP(CustomerCombinedCleaned[[#This Row],[ID]], Table2[ID],Table2[Pilot], "Not Found", 0 )</f>
        <v>1</v>
      </c>
      <c r="Y2184" s="16">
        <f>_xlfn.XLOOKUP(CustomerCombinedCleaned[[#This Row],[ID]], Table2[ID],Table2[MC1], "Not Found", 0 )</f>
        <v>1</v>
      </c>
      <c r="Z2184" s="16">
        <f>_xlfn.XLOOKUP(CustomerCombinedCleaned[[#This Row],[ID]], Table2[ID],Table2[MC2], "Not Found", 0 )</f>
        <v>0</v>
      </c>
      <c r="AA2184" s="16">
        <f>_xlfn.XLOOKUP(CustomerCombinedCleaned[[#This Row],[ID]], Table2[ID],Table2[MC3], "Not Found", 0 )</f>
        <v>0</v>
      </c>
      <c r="AB2184" s="16">
        <f>_xlfn.XLOOKUP(CustomerCombinedCleaned[[#This Row],[ID]], Table2[ID],Table2[MC4], "Not Found", 0 )</f>
        <v>0</v>
      </c>
      <c r="AC2184" s="16">
        <f>_xlfn.XLOOKUP(CustomerCombinedCleaned[[#This Row],[ID]], Table2[ID],Table2[MC5], "Not Found", 0 )</f>
        <v>1</v>
      </c>
    </row>
    <row r="2185" spans="1:29" x14ac:dyDescent="0.3">
      <c r="A2185" s="18">
        <v>2420</v>
      </c>
      <c r="B2185" s="16">
        <v>182657</v>
      </c>
      <c r="C2185" s="16">
        <v>0</v>
      </c>
      <c r="D2185" s="16">
        <v>0</v>
      </c>
      <c r="E2185" s="16">
        <v>74</v>
      </c>
      <c r="F2185" s="17" t="s">
        <v>8</v>
      </c>
      <c r="G2185" s="17" t="s">
        <v>11</v>
      </c>
      <c r="H2185" s="3" t="s">
        <v>580</v>
      </c>
      <c r="I2185" s="5" t="s">
        <v>438</v>
      </c>
      <c r="J2185" s="16">
        <f>_xlfn.XLOOKUP(CustomerCombinedCleaned[[#This Row],[ID]], Table4[ID], Table4[Recency], "Not Found", 0)</f>
        <v>71</v>
      </c>
      <c r="K2185" s="16">
        <f>_xlfn.XLOOKUP(CustomerCombinedCleaned[[#This Row],[ID]], Table4[ID], Table4[Teas], "Not Found", 0)</f>
        <v>2135</v>
      </c>
      <c r="L2185" s="16">
        <f>_xlfn.XLOOKUP(CustomerCombinedCleaned[[#This Row],[ID]], Table4[ID], Table4[Fruits], "Not Found", 0)</f>
        <v>371</v>
      </c>
      <c r="M2185" s="16">
        <f>_xlfn.XLOOKUP(CustomerCombinedCleaned[[#This Row],[ID]], Table4[ID], Table4[Meats], "Not Found", 0)</f>
        <v>1485</v>
      </c>
      <c r="N2185" s="16">
        <f>_xlfn.XLOOKUP(CustomerCombinedCleaned[[#This Row],[ID]], Table4[ID], Table4[Seafood], "Not Found", 0)</f>
        <v>544</v>
      </c>
      <c r="O2185" s="16">
        <f>_xlfn.XLOOKUP(CustomerCombinedCleaned[[#This Row],[ID]], Table4[ID], Table4[Sweets], "Not Found", 0)</f>
        <v>232</v>
      </c>
      <c r="P2185" s="16">
        <f>_xlfn.XLOOKUP(CustomerCombinedCleaned[[#This Row],[ID]], Table4[ID], Table4[Premium], "Not Found", 0)</f>
        <v>278</v>
      </c>
      <c r="Q2185" s="16">
        <f>_xlfn.XLOOKUP(CustomerCombinedCleaned[[#This Row],[ID]], Table4[ID], Table4[Regular], "Not Found", 0)</f>
        <v>4488</v>
      </c>
      <c r="R2185" s="16">
        <f>_xlfn.XLOOKUP(CustomerCombinedCleaned[[#This Row],[ID]], Table4[ID], Table4[Deals], "Not Found", 0)</f>
        <v>1</v>
      </c>
      <c r="S2185" s="16">
        <f>_xlfn.XLOOKUP(CustomerCombinedCleaned[[#This Row],[ID]], Table4[ID], Table4[Website], "Not Found", 0)</f>
        <v>7</v>
      </c>
      <c r="T2185" s="16">
        <f>_xlfn.XLOOKUP(CustomerCombinedCleaned[[#This Row],[ID]], Table4[ID], Table4[Catalog], "Not Found", 0)</f>
        <v>5</v>
      </c>
      <c r="U2185" s="16">
        <f>_xlfn.XLOOKUP(CustomerCombinedCleaned[[#This Row],[ID]], Table4[ID], Table4[Store], "Not Found", 0)</f>
        <v>10</v>
      </c>
      <c r="V2185" s="16">
        <f>_xlfn.XLOOKUP(CustomerCombinedCleaned[[#This Row],[ID]], Table4[ID], Table4[Visits], "Not Found", 0)</f>
        <v>4</v>
      </c>
      <c r="W2185" s="16">
        <f>_xlfn.XLOOKUP(CustomerCombinedCleaned[[#This Row],[ID]], Table2[ID],Table2[Complaint], "Not Found", 0 )</f>
        <v>0</v>
      </c>
      <c r="X2185" s="16">
        <f>_xlfn.XLOOKUP(CustomerCombinedCleaned[[#This Row],[ID]], Table2[ID],Table2[Pilot], "Not Found", 0 )</f>
        <v>0</v>
      </c>
      <c r="Y2185" s="16">
        <f>_xlfn.XLOOKUP(CustomerCombinedCleaned[[#This Row],[ID]], Table2[ID],Table2[MC1], "Not Found", 0 )</f>
        <v>1</v>
      </c>
      <c r="Z2185" s="16">
        <f>_xlfn.XLOOKUP(CustomerCombinedCleaned[[#This Row],[ID]], Table2[ID],Table2[MC2], "Not Found", 0 )</f>
        <v>0</v>
      </c>
      <c r="AA2185" s="16">
        <f>_xlfn.XLOOKUP(CustomerCombinedCleaned[[#This Row],[ID]], Table2[ID],Table2[MC3], "Not Found", 0 )</f>
        <v>0</v>
      </c>
      <c r="AB2185" s="16">
        <f>_xlfn.XLOOKUP(CustomerCombinedCleaned[[#This Row],[ID]], Table2[ID],Table2[MC4], "Not Found", 0 )</f>
        <v>1</v>
      </c>
      <c r="AC2185" s="16">
        <f>_xlfn.XLOOKUP(CustomerCombinedCleaned[[#This Row],[ID]], Table2[ID],Table2[MC5], "Not Found", 0 )</f>
        <v>0</v>
      </c>
    </row>
    <row r="2186" spans="1:29" x14ac:dyDescent="0.3">
      <c r="A2186" s="18">
        <v>2279</v>
      </c>
      <c r="B2186" s="16">
        <v>178569</v>
      </c>
      <c r="C2186" s="16">
        <v>0</v>
      </c>
      <c r="D2186" s="16">
        <v>0</v>
      </c>
      <c r="E2186" s="16">
        <v>74</v>
      </c>
      <c r="F2186" s="17" t="s">
        <v>6</v>
      </c>
      <c r="G2186" s="17" t="s">
        <v>11</v>
      </c>
      <c r="H2186" s="3" t="s">
        <v>94</v>
      </c>
      <c r="I2186" s="5" t="s">
        <v>434</v>
      </c>
      <c r="J2186" s="16">
        <f>_xlfn.XLOOKUP(CustomerCombinedCleaned[[#This Row],[ID]], Table4[ID], Table4[Recency], "Not Found", 0)</f>
        <v>14</v>
      </c>
      <c r="K2186" s="16">
        <f>_xlfn.XLOOKUP(CustomerCombinedCleaned[[#This Row],[ID]], Table4[ID], Table4[Teas], "Not Found", 0)</f>
        <v>1268</v>
      </c>
      <c r="L2186" s="16">
        <f>_xlfn.XLOOKUP(CustomerCombinedCleaned[[#This Row],[ID]], Table4[ID], Table4[Fruits], "Not Found", 0)</f>
        <v>180</v>
      </c>
      <c r="M2186" s="16">
        <f>_xlfn.XLOOKUP(CustomerCombinedCleaned[[#This Row],[ID]], Table4[ID], Table4[Meats], "Not Found", 0)</f>
        <v>1414</v>
      </c>
      <c r="N2186" s="16">
        <f>_xlfn.XLOOKUP(CustomerCombinedCleaned[[#This Row],[ID]], Table4[ID], Table4[Seafood], "Not Found", 0)</f>
        <v>470</v>
      </c>
      <c r="O2186" s="16">
        <f>_xlfn.XLOOKUP(CustomerCombinedCleaned[[#This Row],[ID]], Table4[ID], Table4[Sweets], "Not Found", 0)</f>
        <v>398</v>
      </c>
      <c r="P2186" s="16">
        <f>_xlfn.XLOOKUP(CustomerCombinedCleaned[[#This Row],[ID]], Table4[ID], Table4[Premium], "Not Found", 0)</f>
        <v>216</v>
      </c>
      <c r="Q2186" s="16">
        <f>_xlfn.XLOOKUP(CustomerCombinedCleaned[[#This Row],[ID]], Table4[ID], Table4[Regular], "Not Found", 0)</f>
        <v>3514</v>
      </c>
      <c r="R2186" s="16">
        <f>_xlfn.XLOOKUP(CustomerCombinedCleaned[[#This Row],[ID]], Table4[ID], Table4[Deals], "Not Found", 0)</f>
        <v>1</v>
      </c>
      <c r="S2186" s="16">
        <f>_xlfn.XLOOKUP(CustomerCombinedCleaned[[#This Row],[ID]], Table4[ID], Table4[Website], "Not Found", 0)</f>
        <v>4</v>
      </c>
      <c r="T2186" s="16">
        <f>_xlfn.XLOOKUP(CustomerCombinedCleaned[[#This Row],[ID]], Table4[ID], Table4[Catalog], "Not Found", 0)</f>
        <v>6</v>
      </c>
      <c r="U2186" s="16">
        <f>_xlfn.XLOOKUP(CustomerCombinedCleaned[[#This Row],[ID]], Table4[ID], Table4[Store], "Not Found", 0)</f>
        <v>4</v>
      </c>
      <c r="V2186" s="16">
        <f>_xlfn.XLOOKUP(CustomerCombinedCleaned[[#This Row],[ID]], Table4[ID], Table4[Visits], "Not Found", 0)</f>
        <v>1</v>
      </c>
      <c r="W2186" s="16">
        <f>_xlfn.XLOOKUP(CustomerCombinedCleaned[[#This Row],[ID]], Table2[ID],Table2[Complaint], "Not Found", 0 )</f>
        <v>0</v>
      </c>
      <c r="X2186" s="16">
        <f>_xlfn.XLOOKUP(CustomerCombinedCleaned[[#This Row],[ID]], Table2[ID],Table2[Pilot], "Not Found", 0 )</f>
        <v>1</v>
      </c>
      <c r="Y2186" s="16">
        <f>_xlfn.XLOOKUP(CustomerCombinedCleaned[[#This Row],[ID]], Table2[ID],Table2[MC1], "Not Found", 0 )</f>
        <v>0</v>
      </c>
      <c r="Z2186" s="16">
        <f>_xlfn.XLOOKUP(CustomerCombinedCleaned[[#This Row],[ID]], Table2[ID],Table2[MC2], "Not Found", 0 )</f>
        <v>0</v>
      </c>
      <c r="AA2186" s="16">
        <f>_xlfn.XLOOKUP(CustomerCombinedCleaned[[#This Row],[ID]], Table2[ID],Table2[MC3], "Not Found", 0 )</f>
        <v>0</v>
      </c>
      <c r="AB2186" s="16">
        <f>_xlfn.XLOOKUP(CustomerCombinedCleaned[[#This Row],[ID]], Table2[ID],Table2[MC4], "Not Found", 0 )</f>
        <v>0</v>
      </c>
      <c r="AC2186" s="16">
        <f>_xlfn.XLOOKUP(CustomerCombinedCleaned[[#This Row],[ID]], Table2[ID],Table2[MC5], "Not Found", 0 )</f>
        <v>1</v>
      </c>
    </row>
    <row r="2187" spans="1:29" x14ac:dyDescent="0.3">
      <c r="A2187" s="18">
        <v>1033</v>
      </c>
      <c r="B2187" s="16">
        <v>168657</v>
      </c>
      <c r="C2187" s="16">
        <v>0</v>
      </c>
      <c r="D2187" s="16">
        <v>0</v>
      </c>
      <c r="E2187" s="16">
        <v>74</v>
      </c>
      <c r="F2187" s="17" t="s">
        <v>6</v>
      </c>
      <c r="G2187" s="17" t="s">
        <v>12</v>
      </c>
      <c r="H2187" s="3" t="s">
        <v>303</v>
      </c>
      <c r="I2187" s="5" t="s">
        <v>437</v>
      </c>
      <c r="J2187" s="16">
        <f>_xlfn.XLOOKUP(CustomerCombinedCleaned[[#This Row],[ID]], Table4[ID], Table4[Recency], "Not Found", 0)</f>
        <v>4</v>
      </c>
      <c r="K2187" s="16">
        <f>_xlfn.XLOOKUP(CustomerCombinedCleaned[[#This Row],[ID]], Table4[ID], Table4[Teas], "Not Found", 0)</f>
        <v>1184</v>
      </c>
      <c r="L2187" s="16">
        <f>_xlfn.XLOOKUP(CustomerCombinedCleaned[[#This Row],[ID]], Table4[ID], Table4[Fruits], "Not Found", 0)</f>
        <v>84</v>
      </c>
      <c r="M2187" s="16">
        <f>_xlfn.XLOOKUP(CustomerCombinedCleaned[[#This Row],[ID]], Table4[ID], Table4[Meats], "Not Found", 0)</f>
        <v>1157</v>
      </c>
      <c r="N2187" s="16">
        <f>_xlfn.XLOOKUP(CustomerCombinedCleaned[[#This Row],[ID]], Table4[ID], Table4[Seafood], "Not Found", 0)</f>
        <v>292</v>
      </c>
      <c r="O2187" s="16">
        <f>_xlfn.XLOOKUP(CustomerCombinedCleaned[[#This Row],[ID]], Table4[ID], Table4[Sweets], "Not Found", 0)</f>
        <v>167</v>
      </c>
      <c r="P2187" s="16">
        <f>_xlfn.XLOOKUP(CustomerCombinedCleaned[[#This Row],[ID]], Table4[ID], Table4[Premium], "Not Found", 0)</f>
        <v>54</v>
      </c>
      <c r="Q2187" s="16">
        <f>_xlfn.XLOOKUP(CustomerCombinedCleaned[[#This Row],[ID]], Table4[ID], Table4[Regular], "Not Found", 0)</f>
        <v>2830</v>
      </c>
      <c r="R2187" s="16">
        <f>_xlfn.XLOOKUP(CustomerCombinedCleaned[[#This Row],[ID]], Table4[ID], Table4[Deals], "Not Found", 0)</f>
        <v>1</v>
      </c>
      <c r="S2187" s="16">
        <f>_xlfn.XLOOKUP(CustomerCombinedCleaned[[#This Row],[ID]], Table4[ID], Table4[Website], "Not Found", 0)</f>
        <v>3</v>
      </c>
      <c r="T2187" s="16">
        <f>_xlfn.XLOOKUP(CustomerCombinedCleaned[[#This Row],[ID]], Table4[ID], Table4[Catalog], "Not Found", 0)</f>
        <v>5</v>
      </c>
      <c r="U2187" s="16">
        <f>_xlfn.XLOOKUP(CustomerCombinedCleaned[[#This Row],[ID]], Table4[ID], Table4[Store], "Not Found", 0)</f>
        <v>9</v>
      </c>
      <c r="V2187" s="16">
        <f>_xlfn.XLOOKUP(CustomerCombinedCleaned[[#This Row],[ID]], Table4[ID], Table4[Visits], "Not Found", 0)</f>
        <v>7</v>
      </c>
      <c r="W2187" s="16">
        <f>_xlfn.XLOOKUP(CustomerCombinedCleaned[[#This Row],[ID]], Table2[ID],Table2[Complaint], "Not Found", 0 )</f>
        <v>0</v>
      </c>
      <c r="X2187" s="16">
        <f>_xlfn.XLOOKUP(CustomerCombinedCleaned[[#This Row],[ID]], Table2[ID],Table2[Pilot], "Not Found", 0 )</f>
        <v>0</v>
      </c>
      <c r="Y2187" s="16">
        <f>_xlfn.XLOOKUP(CustomerCombinedCleaned[[#This Row],[ID]], Table2[ID],Table2[MC1], "Not Found", 0 )</f>
        <v>0</v>
      </c>
      <c r="Z2187" s="16">
        <f>_xlfn.XLOOKUP(CustomerCombinedCleaned[[#This Row],[ID]], Table2[ID],Table2[MC2], "Not Found", 0 )</f>
        <v>0</v>
      </c>
      <c r="AA2187" s="16">
        <f>_xlfn.XLOOKUP(CustomerCombinedCleaned[[#This Row],[ID]], Table2[ID],Table2[MC3], "Not Found", 0 )</f>
        <v>0</v>
      </c>
      <c r="AB2187" s="16">
        <f>_xlfn.XLOOKUP(CustomerCombinedCleaned[[#This Row],[ID]], Table2[ID],Table2[MC4], "Not Found", 0 )</f>
        <v>0</v>
      </c>
      <c r="AC2187" s="16">
        <f>_xlfn.XLOOKUP(CustomerCombinedCleaned[[#This Row],[ID]], Table2[ID],Table2[MC5], "Not Found", 0 )</f>
        <v>0</v>
      </c>
    </row>
    <row r="2188" spans="1:29" x14ac:dyDescent="0.3">
      <c r="A2188" s="18">
        <v>1171</v>
      </c>
      <c r="B2188" s="16">
        <v>166835</v>
      </c>
      <c r="C2188" s="16">
        <v>0</v>
      </c>
      <c r="D2188" s="16">
        <v>0</v>
      </c>
      <c r="E2188" s="16">
        <v>74</v>
      </c>
      <c r="F2188" s="17" t="s">
        <v>6</v>
      </c>
      <c r="G2188" s="17" t="s">
        <v>12</v>
      </c>
      <c r="H2188" s="3" t="s">
        <v>670</v>
      </c>
      <c r="I2188" s="5" t="s">
        <v>437</v>
      </c>
      <c r="J2188" s="16">
        <f>_xlfn.XLOOKUP(CustomerCombinedCleaned[[#This Row],[ID]], Table4[ID], Table4[Recency], "Not Found", 0)</f>
        <v>21</v>
      </c>
      <c r="K2188" s="16">
        <f>_xlfn.XLOOKUP(CustomerCombinedCleaned[[#This Row],[ID]], Table4[ID], Table4[Teas], "Not Found", 0)</f>
        <v>1548</v>
      </c>
      <c r="L2188" s="16">
        <f>_xlfn.XLOOKUP(CustomerCombinedCleaned[[#This Row],[ID]], Table4[ID], Table4[Fruits], "Not Found", 0)</f>
        <v>65</v>
      </c>
      <c r="M2188" s="16">
        <f>_xlfn.XLOOKUP(CustomerCombinedCleaned[[#This Row],[ID]], Table4[ID], Table4[Meats], "Not Found", 0)</f>
        <v>487</v>
      </c>
      <c r="N2188" s="16">
        <f>_xlfn.XLOOKUP(CustomerCombinedCleaned[[#This Row],[ID]], Table4[ID], Table4[Seafood], "Not Found", 0)</f>
        <v>85</v>
      </c>
      <c r="O2188" s="16">
        <f>_xlfn.XLOOKUP(CustomerCombinedCleaned[[#This Row],[ID]], Table4[ID], Table4[Sweets], "Not Found", 0)</f>
        <v>42</v>
      </c>
      <c r="P2188" s="16">
        <f>_xlfn.XLOOKUP(CustomerCombinedCleaned[[#This Row],[ID]], Table4[ID], Table4[Premium], "Not Found", 0)</f>
        <v>352</v>
      </c>
      <c r="Q2188" s="16">
        <f>_xlfn.XLOOKUP(CustomerCombinedCleaned[[#This Row],[ID]], Table4[ID], Table4[Regular], "Not Found", 0)</f>
        <v>1875</v>
      </c>
      <c r="R2188" s="16">
        <f>_xlfn.XLOOKUP(CustomerCombinedCleaned[[#This Row],[ID]], Table4[ID], Table4[Deals], "Not Found", 0)</f>
        <v>1</v>
      </c>
      <c r="S2188" s="16">
        <f>_xlfn.XLOOKUP(CustomerCombinedCleaned[[#This Row],[ID]], Table4[ID], Table4[Website], "Not Found", 0)</f>
        <v>6</v>
      </c>
      <c r="T2188" s="16">
        <f>_xlfn.XLOOKUP(CustomerCombinedCleaned[[#This Row],[ID]], Table4[ID], Table4[Catalog], "Not Found", 0)</f>
        <v>4</v>
      </c>
      <c r="U2188" s="16">
        <f>_xlfn.XLOOKUP(CustomerCombinedCleaned[[#This Row],[ID]], Table4[ID], Table4[Store], "Not Found", 0)</f>
        <v>13</v>
      </c>
      <c r="V2188" s="16">
        <f>_xlfn.XLOOKUP(CustomerCombinedCleaned[[#This Row],[ID]], Table4[ID], Table4[Visits], "Not Found", 0)</f>
        <v>2</v>
      </c>
      <c r="W2188" s="16">
        <f>_xlfn.XLOOKUP(CustomerCombinedCleaned[[#This Row],[ID]], Table2[ID],Table2[Complaint], "Not Found", 0 )</f>
        <v>0</v>
      </c>
      <c r="X2188" s="16">
        <f>_xlfn.XLOOKUP(CustomerCombinedCleaned[[#This Row],[ID]], Table2[ID],Table2[Pilot], "Not Found", 0 )</f>
        <v>0</v>
      </c>
      <c r="Y2188" s="16">
        <f>_xlfn.XLOOKUP(CustomerCombinedCleaned[[#This Row],[ID]], Table2[ID],Table2[MC1], "Not Found", 0 )</f>
        <v>0</v>
      </c>
      <c r="Z2188" s="16">
        <f>_xlfn.XLOOKUP(CustomerCombinedCleaned[[#This Row],[ID]], Table2[ID],Table2[MC2], "Not Found", 0 )</f>
        <v>0</v>
      </c>
      <c r="AA2188" s="16">
        <f>_xlfn.XLOOKUP(CustomerCombinedCleaned[[#This Row],[ID]], Table2[ID],Table2[MC3], "Not Found", 0 )</f>
        <v>0</v>
      </c>
      <c r="AB2188" s="16">
        <f>_xlfn.XLOOKUP(CustomerCombinedCleaned[[#This Row],[ID]], Table2[ID],Table2[MC4], "Not Found", 0 )</f>
        <v>0</v>
      </c>
      <c r="AC2188" s="16">
        <f>_xlfn.XLOOKUP(CustomerCombinedCleaned[[#This Row],[ID]], Table2[ID],Table2[MC5], "Not Found", 0 )</f>
        <v>0</v>
      </c>
    </row>
    <row r="2189" spans="1:29" x14ac:dyDescent="0.3">
      <c r="A2189" s="18">
        <v>2722</v>
      </c>
      <c r="B2189" s="16">
        <v>166835</v>
      </c>
      <c r="C2189" s="16">
        <v>0</v>
      </c>
      <c r="D2189" s="16">
        <v>0</v>
      </c>
      <c r="E2189" s="16">
        <v>74</v>
      </c>
      <c r="F2189" s="17" t="s">
        <v>6</v>
      </c>
      <c r="G2189" s="17" t="s">
        <v>12</v>
      </c>
      <c r="H2189" s="3" t="s">
        <v>670</v>
      </c>
      <c r="I2189" s="5" t="s">
        <v>439</v>
      </c>
      <c r="J2189" s="16">
        <f>_xlfn.XLOOKUP(CustomerCombinedCleaned[[#This Row],[ID]], Table4[ID], Table4[Recency], "Not Found", 0)</f>
        <v>21</v>
      </c>
      <c r="K2189" s="16">
        <f>_xlfn.XLOOKUP(CustomerCombinedCleaned[[#This Row],[ID]], Table4[ID], Table4[Teas], "Not Found", 0)</f>
        <v>1548</v>
      </c>
      <c r="L2189" s="16">
        <f>_xlfn.XLOOKUP(CustomerCombinedCleaned[[#This Row],[ID]], Table4[ID], Table4[Fruits], "Not Found", 0)</f>
        <v>65</v>
      </c>
      <c r="M2189" s="16">
        <f>_xlfn.XLOOKUP(CustomerCombinedCleaned[[#This Row],[ID]], Table4[ID], Table4[Meats], "Not Found", 0)</f>
        <v>487</v>
      </c>
      <c r="N2189" s="16">
        <f>_xlfn.XLOOKUP(CustomerCombinedCleaned[[#This Row],[ID]], Table4[ID], Table4[Seafood], "Not Found", 0)</f>
        <v>85</v>
      </c>
      <c r="O2189" s="16">
        <f>_xlfn.XLOOKUP(CustomerCombinedCleaned[[#This Row],[ID]], Table4[ID], Table4[Sweets], "Not Found", 0)</f>
        <v>42</v>
      </c>
      <c r="P2189" s="16">
        <f>_xlfn.XLOOKUP(CustomerCombinedCleaned[[#This Row],[ID]], Table4[ID], Table4[Premium], "Not Found", 0)</f>
        <v>352</v>
      </c>
      <c r="Q2189" s="16">
        <f>_xlfn.XLOOKUP(CustomerCombinedCleaned[[#This Row],[ID]], Table4[ID], Table4[Regular], "Not Found", 0)</f>
        <v>1875</v>
      </c>
      <c r="R2189" s="16">
        <f>_xlfn.XLOOKUP(CustomerCombinedCleaned[[#This Row],[ID]], Table4[ID], Table4[Deals], "Not Found", 0)</f>
        <v>1</v>
      </c>
      <c r="S2189" s="16">
        <f>_xlfn.XLOOKUP(CustomerCombinedCleaned[[#This Row],[ID]], Table4[ID], Table4[Website], "Not Found", 0)</f>
        <v>6</v>
      </c>
      <c r="T2189" s="16">
        <f>_xlfn.XLOOKUP(CustomerCombinedCleaned[[#This Row],[ID]], Table4[ID], Table4[Catalog], "Not Found", 0)</f>
        <v>4</v>
      </c>
      <c r="U2189" s="16">
        <f>_xlfn.XLOOKUP(CustomerCombinedCleaned[[#This Row],[ID]], Table4[ID], Table4[Store], "Not Found", 0)</f>
        <v>13</v>
      </c>
      <c r="V2189" s="16">
        <f>_xlfn.XLOOKUP(CustomerCombinedCleaned[[#This Row],[ID]], Table4[ID], Table4[Visits], "Not Found", 0)</f>
        <v>2</v>
      </c>
      <c r="W2189" s="16">
        <f>_xlfn.XLOOKUP(CustomerCombinedCleaned[[#This Row],[ID]], Table2[ID],Table2[Complaint], "Not Found", 0 )</f>
        <v>0</v>
      </c>
      <c r="X2189" s="16">
        <f>_xlfn.XLOOKUP(CustomerCombinedCleaned[[#This Row],[ID]], Table2[ID],Table2[Pilot], "Not Found", 0 )</f>
        <v>0</v>
      </c>
      <c r="Y2189" s="16">
        <f>_xlfn.XLOOKUP(CustomerCombinedCleaned[[#This Row],[ID]], Table2[ID],Table2[MC1], "Not Found", 0 )</f>
        <v>0</v>
      </c>
      <c r="Z2189" s="16">
        <f>_xlfn.XLOOKUP(CustomerCombinedCleaned[[#This Row],[ID]], Table2[ID],Table2[MC2], "Not Found", 0 )</f>
        <v>0</v>
      </c>
      <c r="AA2189" s="16">
        <f>_xlfn.XLOOKUP(CustomerCombinedCleaned[[#This Row],[ID]], Table2[ID],Table2[MC3], "Not Found", 0 )</f>
        <v>0</v>
      </c>
      <c r="AB2189" s="16">
        <f>_xlfn.XLOOKUP(CustomerCombinedCleaned[[#This Row],[ID]], Table2[ID],Table2[MC4], "Not Found", 0 )</f>
        <v>0</v>
      </c>
      <c r="AC2189" s="16">
        <f>_xlfn.XLOOKUP(CustomerCombinedCleaned[[#This Row],[ID]], Table2[ID],Table2[MC5], "Not Found", 0 )</f>
        <v>0</v>
      </c>
    </row>
    <row r="2190" spans="1:29" x14ac:dyDescent="0.3">
      <c r="A2190" s="18">
        <v>3217</v>
      </c>
      <c r="B2190" s="16">
        <v>166201</v>
      </c>
      <c r="C2190" s="16">
        <v>2</v>
      </c>
      <c r="D2190" s="16">
        <v>1</v>
      </c>
      <c r="E2190" s="16">
        <v>74</v>
      </c>
      <c r="F2190" s="17" t="s">
        <v>8</v>
      </c>
      <c r="G2190" s="17" t="s">
        <v>13</v>
      </c>
      <c r="H2190" s="3" t="s">
        <v>39</v>
      </c>
      <c r="I2190" s="5" t="s">
        <v>437</v>
      </c>
      <c r="J2190" s="16">
        <f>_xlfn.XLOOKUP(CustomerCombinedCleaned[[#This Row],[ID]], Table4[ID], Table4[Recency], "Not Found", 0)</f>
        <v>56</v>
      </c>
      <c r="K2190" s="16">
        <f>_xlfn.XLOOKUP(CustomerCombinedCleaned[[#This Row],[ID]], Table4[ID], Table4[Teas], "Not Found", 0)</f>
        <v>1019</v>
      </c>
      <c r="L2190" s="16">
        <f>_xlfn.XLOOKUP(CustomerCombinedCleaned[[#This Row],[ID]], Table4[ID], Table4[Fruits], "Not Found", 0)</f>
        <v>0</v>
      </c>
      <c r="M2190" s="16">
        <f>_xlfn.XLOOKUP(CustomerCombinedCleaned[[#This Row],[ID]], Table4[ID], Table4[Meats], "Not Found", 0)</f>
        <v>75</v>
      </c>
      <c r="N2190" s="16">
        <f>_xlfn.XLOOKUP(CustomerCombinedCleaned[[#This Row],[ID]], Table4[ID], Table4[Seafood], "Not Found", 0)</f>
        <v>0</v>
      </c>
      <c r="O2190" s="16">
        <f>_xlfn.XLOOKUP(CustomerCombinedCleaned[[#This Row],[ID]], Table4[ID], Table4[Sweets], "Not Found", 0)</f>
        <v>0</v>
      </c>
      <c r="P2190" s="16">
        <f>_xlfn.XLOOKUP(CustomerCombinedCleaned[[#This Row],[ID]], Table4[ID], Table4[Premium], "Not Found", 0)</f>
        <v>20</v>
      </c>
      <c r="Q2190" s="16">
        <f>_xlfn.XLOOKUP(CustomerCombinedCleaned[[#This Row],[ID]], Table4[ID], Table4[Regular], "Not Found", 0)</f>
        <v>1075</v>
      </c>
      <c r="R2190" s="16">
        <f>_xlfn.XLOOKUP(CustomerCombinedCleaned[[#This Row],[ID]], Table4[ID], Table4[Deals], "Not Found", 0)</f>
        <v>7</v>
      </c>
      <c r="S2190" s="16">
        <f>_xlfn.XLOOKUP(CustomerCombinedCleaned[[#This Row],[ID]], Table4[ID], Table4[Website], "Not Found", 0)</f>
        <v>8</v>
      </c>
      <c r="T2190" s="16">
        <v>2</v>
      </c>
      <c r="U2190" s="16">
        <f>_xlfn.XLOOKUP(CustomerCombinedCleaned[[#This Row],[ID]], Table4[ID], Table4[Store], "Not Found", 0)</f>
        <v>5</v>
      </c>
      <c r="V2190" s="16">
        <f>_xlfn.XLOOKUP(CustomerCombinedCleaned[[#This Row],[ID]], Table4[ID], Table4[Visits], "Not Found", 0)</f>
        <v>7</v>
      </c>
      <c r="W2190" s="16">
        <f>_xlfn.XLOOKUP(CustomerCombinedCleaned[[#This Row],[ID]], Table2[ID],Table2[Complaint], "Not Found", 0 )</f>
        <v>0</v>
      </c>
      <c r="X2190" s="16">
        <f>_xlfn.XLOOKUP(CustomerCombinedCleaned[[#This Row],[ID]], Table2[ID],Table2[Pilot], "Not Found", 0 )</f>
        <v>0</v>
      </c>
      <c r="Y2190" s="16">
        <f>_xlfn.XLOOKUP(CustomerCombinedCleaned[[#This Row],[ID]], Table2[ID],Table2[MC1], "Not Found", 0 )</f>
        <v>1</v>
      </c>
      <c r="Z2190" s="16">
        <f>_xlfn.XLOOKUP(CustomerCombinedCleaned[[#This Row],[ID]], Table2[ID],Table2[MC2], "Not Found", 0 )</f>
        <v>0</v>
      </c>
      <c r="AA2190" s="16">
        <f>_xlfn.XLOOKUP(CustomerCombinedCleaned[[#This Row],[ID]], Table2[ID],Table2[MC3], "Not Found", 0 )</f>
        <v>0</v>
      </c>
      <c r="AB2190" s="16">
        <f>_xlfn.XLOOKUP(CustomerCombinedCleaned[[#This Row],[ID]], Table2[ID],Table2[MC4], "Not Found", 0 )</f>
        <v>0</v>
      </c>
      <c r="AC2190" s="16">
        <f>_xlfn.XLOOKUP(CustomerCombinedCleaned[[#This Row],[ID]], Table2[ID],Table2[MC5], "Not Found", 0 )</f>
        <v>0</v>
      </c>
    </row>
    <row r="2191" spans="1:29" x14ac:dyDescent="0.3">
      <c r="A2191" s="18">
        <v>2463</v>
      </c>
      <c r="B2191" s="16">
        <v>164014</v>
      </c>
      <c r="C2191" s="16">
        <v>2</v>
      </c>
      <c r="D2191" s="16">
        <v>1</v>
      </c>
      <c r="E2191" s="16">
        <v>74</v>
      </c>
      <c r="F2191" s="17" t="s">
        <v>8</v>
      </c>
      <c r="G2191" s="17" t="s">
        <v>13</v>
      </c>
      <c r="H2191" s="3" t="s">
        <v>39</v>
      </c>
      <c r="I2191" s="5" t="s">
        <v>435</v>
      </c>
      <c r="J2191" s="16">
        <f>_xlfn.XLOOKUP(CustomerCombinedCleaned[[#This Row],[ID]], Table4[ID], Table4[Recency], "Not Found", 0)</f>
        <v>56</v>
      </c>
      <c r="K2191" s="16">
        <f>_xlfn.XLOOKUP(CustomerCombinedCleaned[[#This Row],[ID]], Table4[ID], Table4[Teas], "Not Found", 0)</f>
        <v>1040</v>
      </c>
      <c r="L2191" s="16">
        <f>_xlfn.XLOOKUP(CustomerCombinedCleaned[[#This Row],[ID]], Table4[ID], Table4[Fruits], "Not Found", 0)</f>
        <v>0</v>
      </c>
      <c r="M2191" s="16">
        <f>_xlfn.XLOOKUP(CustomerCombinedCleaned[[#This Row],[ID]], Table4[ID], Table4[Meats], "Not Found", 0)</f>
        <v>77</v>
      </c>
      <c r="N2191" s="16">
        <f>_xlfn.XLOOKUP(CustomerCombinedCleaned[[#This Row],[ID]], Table4[ID], Table4[Seafood], "Not Found", 0)</f>
        <v>0</v>
      </c>
      <c r="O2191" s="16">
        <f>_xlfn.XLOOKUP(CustomerCombinedCleaned[[#This Row],[ID]], Table4[ID], Table4[Sweets], "Not Found", 0)</f>
        <v>0</v>
      </c>
      <c r="P2191" s="16">
        <f>_xlfn.XLOOKUP(CustomerCombinedCleaned[[#This Row],[ID]], Table4[ID], Table4[Premium], "Not Found", 0)</f>
        <v>20</v>
      </c>
      <c r="Q2191" s="16">
        <f>_xlfn.XLOOKUP(CustomerCombinedCleaned[[#This Row],[ID]], Table4[ID], Table4[Regular], "Not Found", 0)</f>
        <v>1097</v>
      </c>
      <c r="R2191" s="16">
        <f>_xlfn.XLOOKUP(CustomerCombinedCleaned[[#This Row],[ID]], Table4[ID], Table4[Deals], "Not Found", 0)</f>
        <v>7</v>
      </c>
      <c r="S2191" s="16">
        <f>_xlfn.XLOOKUP(CustomerCombinedCleaned[[#This Row],[ID]], Table4[ID], Table4[Website], "Not Found", 0)</f>
        <v>8</v>
      </c>
      <c r="T2191" s="16">
        <f>_xlfn.XLOOKUP(CustomerCombinedCleaned[[#This Row],[ID]], Table4[ID], Table4[Catalog], "Not Found", 0)</f>
        <v>2</v>
      </c>
      <c r="U2191" s="16">
        <f>_xlfn.XLOOKUP(CustomerCombinedCleaned[[#This Row],[ID]], Table4[ID], Table4[Store], "Not Found", 0)</f>
        <v>5</v>
      </c>
      <c r="V2191" s="16">
        <f>_xlfn.XLOOKUP(CustomerCombinedCleaned[[#This Row],[ID]], Table4[ID], Table4[Visits], "Not Found", 0)</f>
        <v>7</v>
      </c>
      <c r="W2191" s="16">
        <f>_xlfn.XLOOKUP(CustomerCombinedCleaned[[#This Row],[ID]], Table2[ID],Table2[Complaint], "Not Found", 0 )</f>
        <v>0</v>
      </c>
      <c r="X2191" s="16">
        <f>_xlfn.XLOOKUP(CustomerCombinedCleaned[[#This Row],[ID]], Table2[ID],Table2[Pilot], "Not Found", 0 )</f>
        <v>0</v>
      </c>
      <c r="Y2191" s="16">
        <f>_xlfn.XLOOKUP(CustomerCombinedCleaned[[#This Row],[ID]], Table2[ID],Table2[MC1], "Not Found", 0 )</f>
        <v>1</v>
      </c>
      <c r="Z2191" s="16">
        <f>_xlfn.XLOOKUP(CustomerCombinedCleaned[[#This Row],[ID]], Table2[ID],Table2[MC2], "Not Found", 0 )</f>
        <v>0</v>
      </c>
      <c r="AA2191" s="16">
        <f>_xlfn.XLOOKUP(CustomerCombinedCleaned[[#This Row],[ID]], Table2[ID],Table2[MC3], "Not Found", 0 )</f>
        <v>0</v>
      </c>
      <c r="AB2191" s="16">
        <f>_xlfn.XLOOKUP(CustomerCombinedCleaned[[#This Row],[ID]], Table2[ID],Table2[MC4], "Not Found", 0 )</f>
        <v>0</v>
      </c>
      <c r="AC2191" s="16">
        <f>_xlfn.XLOOKUP(CustomerCombinedCleaned[[#This Row],[ID]], Table2[ID],Table2[MC5], "Not Found", 0 )</f>
        <v>0</v>
      </c>
    </row>
    <row r="2192" spans="1:29" x14ac:dyDescent="0.3">
      <c r="A2192" s="18">
        <v>3202</v>
      </c>
      <c r="B2192" s="16">
        <v>164014</v>
      </c>
      <c r="C2192" s="16">
        <v>2</v>
      </c>
      <c r="D2192" s="16">
        <v>1</v>
      </c>
      <c r="E2192" s="16">
        <v>74</v>
      </c>
      <c r="F2192" s="17" t="s">
        <v>8</v>
      </c>
      <c r="G2192" s="17" t="s">
        <v>13</v>
      </c>
      <c r="H2192" s="3" t="s">
        <v>39</v>
      </c>
      <c r="I2192" s="5" t="s">
        <v>439</v>
      </c>
      <c r="J2192" s="16">
        <f>_xlfn.XLOOKUP(CustomerCombinedCleaned[[#This Row],[ID]], Table4[ID], Table4[Recency], "Not Found", 0)</f>
        <v>56</v>
      </c>
      <c r="K2192" s="16">
        <f>_xlfn.XLOOKUP(CustomerCombinedCleaned[[#This Row],[ID]], Table4[ID], Table4[Teas], "Not Found", 0)</f>
        <v>1040</v>
      </c>
      <c r="L2192" s="16">
        <f>_xlfn.XLOOKUP(CustomerCombinedCleaned[[#This Row],[ID]], Table4[ID], Table4[Fruits], "Not Found", 0)</f>
        <v>0</v>
      </c>
      <c r="M2192" s="16">
        <f>_xlfn.XLOOKUP(CustomerCombinedCleaned[[#This Row],[ID]], Table4[ID], Table4[Meats], "Not Found", 0)</f>
        <v>77</v>
      </c>
      <c r="N2192" s="16">
        <f>_xlfn.XLOOKUP(CustomerCombinedCleaned[[#This Row],[ID]], Table4[ID], Table4[Seafood], "Not Found", 0)</f>
        <v>0</v>
      </c>
      <c r="O2192" s="16">
        <f>_xlfn.XLOOKUP(CustomerCombinedCleaned[[#This Row],[ID]], Table4[ID], Table4[Sweets], "Not Found", 0)</f>
        <v>0</v>
      </c>
      <c r="P2192" s="16">
        <f>_xlfn.XLOOKUP(CustomerCombinedCleaned[[#This Row],[ID]], Table4[ID], Table4[Premium], "Not Found", 0)</f>
        <v>20</v>
      </c>
      <c r="Q2192" s="16">
        <f>_xlfn.XLOOKUP(CustomerCombinedCleaned[[#This Row],[ID]], Table4[ID], Table4[Regular], "Not Found", 0)</f>
        <v>1097</v>
      </c>
      <c r="R2192" s="16">
        <f>_xlfn.XLOOKUP(CustomerCombinedCleaned[[#This Row],[ID]], Table4[ID], Table4[Deals], "Not Found", 0)</f>
        <v>7</v>
      </c>
      <c r="S2192" s="16">
        <f>_xlfn.XLOOKUP(CustomerCombinedCleaned[[#This Row],[ID]], Table4[ID], Table4[Website], "Not Found", 0)</f>
        <v>8</v>
      </c>
      <c r="T2192" s="16">
        <f>_xlfn.XLOOKUP(CustomerCombinedCleaned[[#This Row],[ID]], Table4[ID], Table4[Catalog], "Not Found", 0)</f>
        <v>2</v>
      </c>
      <c r="U2192" s="16">
        <f>_xlfn.XLOOKUP(CustomerCombinedCleaned[[#This Row],[ID]], Table4[ID], Table4[Store], "Not Found", 0)</f>
        <v>5</v>
      </c>
      <c r="V2192" s="16">
        <f>_xlfn.XLOOKUP(CustomerCombinedCleaned[[#This Row],[ID]], Table4[ID], Table4[Visits], "Not Found", 0)</f>
        <v>7</v>
      </c>
      <c r="W2192" s="16">
        <f>_xlfn.XLOOKUP(CustomerCombinedCleaned[[#This Row],[ID]], Table2[ID],Table2[Complaint], "Not Found", 0 )</f>
        <v>0</v>
      </c>
      <c r="X2192" s="16">
        <f>_xlfn.XLOOKUP(CustomerCombinedCleaned[[#This Row],[ID]], Table2[ID],Table2[Pilot], "Not Found", 0 )</f>
        <v>0</v>
      </c>
      <c r="Y2192" s="16">
        <f>_xlfn.XLOOKUP(CustomerCombinedCleaned[[#This Row],[ID]], Table2[ID],Table2[MC1], "Not Found", 0 )</f>
        <v>1</v>
      </c>
      <c r="Z2192" s="16">
        <f>_xlfn.XLOOKUP(CustomerCombinedCleaned[[#This Row],[ID]], Table2[ID],Table2[MC2], "Not Found", 0 )</f>
        <v>0</v>
      </c>
      <c r="AA2192" s="16">
        <f>_xlfn.XLOOKUP(CustomerCombinedCleaned[[#This Row],[ID]], Table2[ID],Table2[MC3], "Not Found", 0 )</f>
        <v>0</v>
      </c>
      <c r="AB2192" s="16">
        <f>_xlfn.XLOOKUP(CustomerCombinedCleaned[[#This Row],[ID]], Table2[ID],Table2[MC4], "Not Found", 0 )</f>
        <v>0</v>
      </c>
      <c r="AC2192" s="16">
        <f>_xlfn.XLOOKUP(CustomerCombinedCleaned[[#This Row],[ID]], Table2[ID],Table2[MC5], "Not Found", 0 )</f>
        <v>0</v>
      </c>
    </row>
    <row r="2193" spans="1:29" x14ac:dyDescent="0.3">
      <c r="A2193" s="18">
        <v>2337</v>
      </c>
      <c r="B2193" s="16">
        <v>162159</v>
      </c>
      <c r="C2193" s="16">
        <v>0</v>
      </c>
      <c r="D2193" s="16">
        <v>0</v>
      </c>
      <c r="E2193" s="16">
        <v>74</v>
      </c>
      <c r="F2193" s="17" t="s">
        <v>7</v>
      </c>
      <c r="G2193" s="17" t="s">
        <v>13</v>
      </c>
      <c r="H2193" s="3" t="s">
        <v>550</v>
      </c>
      <c r="I2193" s="5" t="s">
        <v>435</v>
      </c>
      <c r="J2193" s="16">
        <f>_xlfn.XLOOKUP(CustomerCombinedCleaned[[#This Row],[ID]], Table4[ID], Table4[Recency], "Not Found", 0)</f>
        <v>68</v>
      </c>
      <c r="K2193" s="16">
        <f>_xlfn.XLOOKUP(CustomerCombinedCleaned[[#This Row],[ID]], Table4[ID], Table4[Teas], "Not Found", 0)</f>
        <v>475</v>
      </c>
      <c r="L2193" s="16">
        <f>_xlfn.XLOOKUP(CustomerCombinedCleaned[[#This Row],[ID]], Table4[ID], Table4[Fruits], "Not Found", 0)</f>
        <v>44</v>
      </c>
      <c r="M2193" s="16">
        <f>_xlfn.XLOOKUP(CustomerCombinedCleaned[[#This Row],[ID]], Table4[ID], Table4[Meats], "Not Found", 0)</f>
        <v>676</v>
      </c>
      <c r="N2193" s="16">
        <f>_xlfn.XLOOKUP(CustomerCombinedCleaned[[#This Row],[ID]], Table4[ID], Table4[Seafood], "Not Found", 0)</f>
        <v>201</v>
      </c>
      <c r="O2193" s="16">
        <f>_xlfn.XLOOKUP(CustomerCombinedCleaned[[#This Row],[ID]], Table4[ID], Table4[Sweets], "Not Found", 0)</f>
        <v>183</v>
      </c>
      <c r="P2193" s="16">
        <f>_xlfn.XLOOKUP(CustomerCombinedCleaned[[#This Row],[ID]], Table4[ID], Table4[Premium], "Not Found", 0)</f>
        <v>76</v>
      </c>
      <c r="Q2193" s="16">
        <f>_xlfn.XLOOKUP(CustomerCombinedCleaned[[#This Row],[ID]], Table4[ID], Table4[Regular], "Not Found", 0)</f>
        <v>1503</v>
      </c>
      <c r="R2193" s="16">
        <f>_xlfn.XLOOKUP(CustomerCombinedCleaned[[#This Row],[ID]], Table4[ID], Table4[Deals], "Not Found", 0)</f>
        <v>1</v>
      </c>
      <c r="S2193" s="16">
        <f>_xlfn.XLOOKUP(CustomerCombinedCleaned[[#This Row],[ID]], Table4[ID], Table4[Website], "Not Found", 0)</f>
        <v>6</v>
      </c>
      <c r="T2193" s="16">
        <f>_xlfn.XLOOKUP(CustomerCombinedCleaned[[#This Row],[ID]], Table4[ID], Table4[Catalog], "Not Found", 0)</f>
        <v>2</v>
      </c>
      <c r="U2193" s="16">
        <f>_xlfn.XLOOKUP(CustomerCombinedCleaned[[#This Row],[ID]], Table4[ID], Table4[Store], "Not Found", 0)</f>
        <v>10</v>
      </c>
      <c r="V2193" s="16">
        <f>_xlfn.XLOOKUP(CustomerCombinedCleaned[[#This Row],[ID]], Table4[ID], Table4[Visits], "Not Found", 0)</f>
        <v>4</v>
      </c>
      <c r="W2193" s="16">
        <f>_xlfn.XLOOKUP(CustomerCombinedCleaned[[#This Row],[ID]], Table2[ID],Table2[Complaint], "Not Found", 0 )</f>
        <v>0</v>
      </c>
      <c r="X2193" s="16">
        <f>_xlfn.XLOOKUP(CustomerCombinedCleaned[[#This Row],[ID]], Table2[ID],Table2[Pilot], "Not Found", 0 )</f>
        <v>0</v>
      </c>
      <c r="Y2193" s="16">
        <f>_xlfn.XLOOKUP(CustomerCombinedCleaned[[#This Row],[ID]], Table2[ID],Table2[MC1], "Not Found", 0 )</f>
        <v>0</v>
      </c>
      <c r="Z2193" s="16">
        <f>_xlfn.XLOOKUP(CustomerCombinedCleaned[[#This Row],[ID]], Table2[ID],Table2[MC2], "Not Found", 0 )</f>
        <v>0</v>
      </c>
      <c r="AA2193" s="16">
        <f>_xlfn.XLOOKUP(CustomerCombinedCleaned[[#This Row],[ID]], Table2[ID],Table2[MC3], "Not Found", 0 )</f>
        <v>0</v>
      </c>
      <c r="AB2193" s="16">
        <f>_xlfn.XLOOKUP(CustomerCombinedCleaned[[#This Row],[ID]], Table2[ID],Table2[MC4], "Not Found", 0 )</f>
        <v>0</v>
      </c>
      <c r="AC2193" s="16">
        <f>_xlfn.XLOOKUP(CustomerCombinedCleaned[[#This Row],[ID]], Table2[ID],Table2[MC5], "Not Found", 0 )</f>
        <v>0</v>
      </c>
    </row>
    <row r="2194" spans="1:29" x14ac:dyDescent="0.3">
      <c r="A2194" s="18">
        <v>1377</v>
      </c>
      <c r="B2194" s="16">
        <v>151012</v>
      </c>
      <c r="C2194" s="16">
        <v>0</v>
      </c>
      <c r="D2194" s="16">
        <v>0</v>
      </c>
      <c r="E2194" s="16">
        <v>74</v>
      </c>
      <c r="F2194" s="17" t="s">
        <v>6</v>
      </c>
      <c r="G2194" s="17" t="s">
        <v>13</v>
      </c>
      <c r="H2194" s="3" t="s">
        <v>271</v>
      </c>
      <c r="I2194" s="5" t="s">
        <v>435</v>
      </c>
      <c r="J2194" s="16">
        <f>_xlfn.XLOOKUP(CustomerCombinedCleaned[[#This Row],[ID]], Table4[ID], Table4[Recency], "Not Found", 0)</f>
        <v>86</v>
      </c>
      <c r="K2194" s="16">
        <f>_xlfn.XLOOKUP(CustomerCombinedCleaned[[#This Row],[ID]], Table4[ID], Table4[Teas], "Not Found", 0)</f>
        <v>302</v>
      </c>
      <c r="L2194" s="16">
        <f>_xlfn.XLOOKUP(CustomerCombinedCleaned[[#This Row],[ID]], Table4[ID], Table4[Fruits], "Not Found", 0)</f>
        <v>27</v>
      </c>
      <c r="M2194" s="16">
        <f>_xlfn.XLOOKUP(CustomerCombinedCleaned[[#This Row],[ID]], Table4[ID], Table4[Meats], "Not Found", 0)</f>
        <v>187</v>
      </c>
      <c r="N2194" s="16">
        <f>_xlfn.XLOOKUP(CustomerCombinedCleaned[[#This Row],[ID]], Table4[ID], Table4[Seafood], "Not Found", 0)</f>
        <v>6</v>
      </c>
      <c r="O2194" s="16">
        <f>_xlfn.XLOOKUP(CustomerCombinedCleaned[[#This Row],[ID]], Table4[ID], Table4[Sweets], "Not Found", 0)</f>
        <v>27</v>
      </c>
      <c r="P2194" s="16">
        <f>_xlfn.XLOOKUP(CustomerCombinedCleaned[[#This Row],[ID]], Table4[ID], Table4[Premium], "Not Found", 0)</f>
        <v>71</v>
      </c>
      <c r="Q2194" s="16">
        <f>_xlfn.XLOOKUP(CustomerCombinedCleaned[[#This Row],[ID]], Table4[ID], Table4[Regular], "Not Found", 0)</f>
        <v>477</v>
      </c>
      <c r="R2194" s="16">
        <f>_xlfn.XLOOKUP(CustomerCombinedCleaned[[#This Row],[ID]], Table4[ID], Table4[Deals], "Not Found", 0)</f>
        <v>1</v>
      </c>
      <c r="S2194" s="16">
        <f>_xlfn.XLOOKUP(CustomerCombinedCleaned[[#This Row],[ID]], Table4[ID], Table4[Website], "Not Found", 0)</f>
        <v>4</v>
      </c>
      <c r="T2194" s="16">
        <f>_xlfn.XLOOKUP(CustomerCombinedCleaned[[#This Row],[ID]], Table4[ID], Table4[Catalog], "Not Found", 0)</f>
        <v>1</v>
      </c>
      <c r="U2194" s="16">
        <f>_xlfn.XLOOKUP(CustomerCombinedCleaned[[#This Row],[ID]], Table4[ID], Table4[Store], "Not Found", 0)</f>
        <v>4</v>
      </c>
      <c r="V2194" s="16">
        <f>_xlfn.XLOOKUP(CustomerCombinedCleaned[[#This Row],[ID]], Table4[ID], Table4[Visits], "Not Found", 0)</f>
        <v>6</v>
      </c>
      <c r="W2194" s="16">
        <f>_xlfn.XLOOKUP(CustomerCombinedCleaned[[#This Row],[ID]], Table2[ID],Table2[Complaint], "Not Found", 0 )</f>
        <v>0</v>
      </c>
      <c r="X2194" s="16">
        <f>_xlfn.XLOOKUP(CustomerCombinedCleaned[[#This Row],[ID]], Table2[ID],Table2[Pilot], "Not Found", 0 )</f>
        <v>0</v>
      </c>
      <c r="Y2194" s="16">
        <f>_xlfn.XLOOKUP(CustomerCombinedCleaned[[#This Row],[ID]], Table2[ID],Table2[MC1], "Not Found", 0 )</f>
        <v>0</v>
      </c>
      <c r="Z2194" s="16">
        <f>_xlfn.XLOOKUP(CustomerCombinedCleaned[[#This Row],[ID]], Table2[ID],Table2[MC2], "Not Found", 0 )</f>
        <v>0</v>
      </c>
      <c r="AA2194" s="16">
        <f>_xlfn.XLOOKUP(CustomerCombinedCleaned[[#This Row],[ID]], Table2[ID],Table2[MC3], "Not Found", 0 )</f>
        <v>0</v>
      </c>
      <c r="AB2194" s="16">
        <f>_xlfn.XLOOKUP(CustomerCombinedCleaned[[#This Row],[ID]], Table2[ID],Table2[MC4], "Not Found", 0 )</f>
        <v>0</v>
      </c>
      <c r="AC2194" s="16">
        <f>_xlfn.XLOOKUP(CustomerCombinedCleaned[[#This Row],[ID]], Table2[ID],Table2[MC5], "Not Found", 0 )</f>
        <v>0</v>
      </c>
    </row>
    <row r="2195" spans="1:29" x14ac:dyDescent="0.3">
      <c r="A2195" s="18">
        <v>2746</v>
      </c>
      <c r="B2195" s="16">
        <v>151012</v>
      </c>
      <c r="C2195" s="16">
        <v>0</v>
      </c>
      <c r="D2195" s="16">
        <v>0</v>
      </c>
      <c r="E2195" s="16">
        <v>74</v>
      </c>
      <c r="F2195" s="17" t="s">
        <v>6</v>
      </c>
      <c r="G2195" s="17" t="s">
        <v>13</v>
      </c>
      <c r="H2195" s="3" t="s">
        <v>271</v>
      </c>
      <c r="I2195" s="5" t="s">
        <v>439</v>
      </c>
      <c r="J2195" s="16">
        <f>_xlfn.XLOOKUP(CustomerCombinedCleaned[[#This Row],[ID]], Table4[ID], Table4[Recency], "Not Found", 0)</f>
        <v>86</v>
      </c>
      <c r="K2195" s="16">
        <f>_xlfn.XLOOKUP(CustomerCombinedCleaned[[#This Row],[ID]], Table4[ID], Table4[Teas], "Not Found", 0)</f>
        <v>302</v>
      </c>
      <c r="L2195" s="16">
        <f>_xlfn.XLOOKUP(CustomerCombinedCleaned[[#This Row],[ID]], Table4[ID], Table4[Fruits], "Not Found", 0)</f>
        <v>27</v>
      </c>
      <c r="M2195" s="16">
        <f>_xlfn.XLOOKUP(CustomerCombinedCleaned[[#This Row],[ID]], Table4[ID], Table4[Meats], "Not Found", 0)</f>
        <v>187</v>
      </c>
      <c r="N2195" s="16">
        <f>_xlfn.XLOOKUP(CustomerCombinedCleaned[[#This Row],[ID]], Table4[ID], Table4[Seafood], "Not Found", 0)</f>
        <v>6</v>
      </c>
      <c r="O2195" s="16">
        <f>_xlfn.XLOOKUP(CustomerCombinedCleaned[[#This Row],[ID]], Table4[ID], Table4[Sweets], "Not Found", 0)</f>
        <v>27</v>
      </c>
      <c r="P2195" s="16">
        <f>_xlfn.XLOOKUP(CustomerCombinedCleaned[[#This Row],[ID]], Table4[ID], Table4[Premium], "Not Found", 0)</f>
        <v>71</v>
      </c>
      <c r="Q2195" s="16">
        <f>_xlfn.XLOOKUP(CustomerCombinedCleaned[[#This Row],[ID]], Table4[ID], Table4[Regular], "Not Found", 0)</f>
        <v>477</v>
      </c>
      <c r="R2195" s="16">
        <f>_xlfn.XLOOKUP(CustomerCombinedCleaned[[#This Row],[ID]], Table4[ID], Table4[Deals], "Not Found", 0)</f>
        <v>1</v>
      </c>
      <c r="S2195" s="16">
        <f>_xlfn.XLOOKUP(CustomerCombinedCleaned[[#This Row],[ID]], Table4[ID], Table4[Website], "Not Found", 0)</f>
        <v>4</v>
      </c>
      <c r="T2195" s="16">
        <f>_xlfn.XLOOKUP(CustomerCombinedCleaned[[#This Row],[ID]], Table4[ID], Table4[Catalog], "Not Found", 0)</f>
        <v>1</v>
      </c>
      <c r="U2195" s="16">
        <f>_xlfn.XLOOKUP(CustomerCombinedCleaned[[#This Row],[ID]], Table4[ID], Table4[Store], "Not Found", 0)</f>
        <v>4</v>
      </c>
      <c r="V2195" s="16">
        <f>_xlfn.XLOOKUP(CustomerCombinedCleaned[[#This Row],[ID]], Table4[ID], Table4[Visits], "Not Found", 0)</f>
        <v>6</v>
      </c>
      <c r="W2195" s="16">
        <f>_xlfn.XLOOKUP(CustomerCombinedCleaned[[#This Row],[ID]], Table2[ID],Table2[Complaint], "Not Found", 0 )</f>
        <v>0</v>
      </c>
      <c r="X2195" s="16">
        <f>_xlfn.XLOOKUP(CustomerCombinedCleaned[[#This Row],[ID]], Table2[ID],Table2[Pilot], "Not Found", 0 )</f>
        <v>0</v>
      </c>
      <c r="Y2195" s="16">
        <f>_xlfn.XLOOKUP(CustomerCombinedCleaned[[#This Row],[ID]], Table2[ID],Table2[MC1], "Not Found", 0 )</f>
        <v>0</v>
      </c>
      <c r="Z2195" s="16">
        <f>_xlfn.XLOOKUP(CustomerCombinedCleaned[[#This Row],[ID]], Table2[ID],Table2[MC2], "Not Found", 0 )</f>
        <v>0</v>
      </c>
      <c r="AA2195" s="16">
        <f>_xlfn.XLOOKUP(CustomerCombinedCleaned[[#This Row],[ID]], Table2[ID],Table2[MC3], "Not Found", 0 )</f>
        <v>0</v>
      </c>
      <c r="AB2195" s="16">
        <f>_xlfn.XLOOKUP(CustomerCombinedCleaned[[#This Row],[ID]], Table2[ID],Table2[MC4], "Not Found", 0 )</f>
        <v>0</v>
      </c>
      <c r="AC2195" s="16">
        <f>_xlfn.XLOOKUP(CustomerCombinedCleaned[[#This Row],[ID]], Table2[ID],Table2[MC5], "Not Found", 0 )</f>
        <v>0</v>
      </c>
    </row>
    <row r="2196" spans="1:29" x14ac:dyDescent="0.3">
      <c r="A2196" s="18">
        <v>1498</v>
      </c>
      <c r="B2196" s="16">
        <v>144124</v>
      </c>
      <c r="C2196" s="16">
        <v>0</v>
      </c>
      <c r="D2196" s="16">
        <v>1</v>
      </c>
      <c r="E2196" s="16">
        <v>74</v>
      </c>
      <c r="F2196" s="17" t="s">
        <v>8</v>
      </c>
      <c r="G2196" s="17" t="s">
        <v>13</v>
      </c>
      <c r="H2196" s="3" t="s">
        <v>260</v>
      </c>
      <c r="I2196" s="5" t="s">
        <v>439</v>
      </c>
      <c r="J2196" s="16">
        <f>_xlfn.XLOOKUP(CustomerCombinedCleaned[[#This Row],[ID]], Table4[ID], Table4[Recency], "Not Found", 0)</f>
        <v>62</v>
      </c>
      <c r="K2196" s="16">
        <f>_xlfn.XLOOKUP(CustomerCombinedCleaned[[#This Row],[ID]], Table4[ID], Table4[Teas], "Not Found", 0)</f>
        <v>928</v>
      </c>
      <c r="L2196" s="16">
        <f>_xlfn.XLOOKUP(CustomerCombinedCleaned[[#This Row],[ID]], Table4[ID], Table4[Fruits], "Not Found", 0)</f>
        <v>0</v>
      </c>
      <c r="M2196" s="16">
        <f>_xlfn.XLOOKUP(CustomerCombinedCleaned[[#This Row],[ID]], Table4[ID], Table4[Meats], "Not Found", 0)</f>
        <v>180</v>
      </c>
      <c r="N2196" s="16">
        <f>_xlfn.XLOOKUP(CustomerCombinedCleaned[[#This Row],[ID]], Table4[ID], Table4[Seafood], "Not Found", 0)</f>
        <v>0</v>
      </c>
      <c r="O2196" s="16">
        <f>_xlfn.XLOOKUP(CustomerCombinedCleaned[[#This Row],[ID]], Table4[ID], Table4[Sweets], "Not Found", 0)</f>
        <v>20</v>
      </c>
      <c r="P2196" s="16">
        <f>_xlfn.XLOOKUP(CustomerCombinedCleaned[[#This Row],[ID]], Table4[ID], Table4[Premium], "Not Found", 0)</f>
        <v>170</v>
      </c>
      <c r="Q2196" s="16">
        <f>_xlfn.XLOOKUP(CustomerCombinedCleaned[[#This Row],[ID]], Table4[ID], Table4[Regular], "Not Found", 0)</f>
        <v>957</v>
      </c>
      <c r="R2196" s="16">
        <f>_xlfn.XLOOKUP(CustomerCombinedCleaned[[#This Row],[ID]], Table4[ID], Table4[Deals], "Not Found", 0)</f>
        <v>4</v>
      </c>
      <c r="S2196" s="16">
        <f>_xlfn.XLOOKUP(CustomerCombinedCleaned[[#This Row],[ID]], Table4[ID], Table4[Website], "Not Found", 0)</f>
        <v>6</v>
      </c>
      <c r="T2196" s="16">
        <f>_xlfn.XLOOKUP(CustomerCombinedCleaned[[#This Row],[ID]], Table4[ID], Table4[Catalog], "Not Found", 0)</f>
        <v>2</v>
      </c>
      <c r="U2196" s="16">
        <f>_xlfn.XLOOKUP(CustomerCombinedCleaned[[#This Row],[ID]], Table4[ID], Table4[Store], "Not Found", 0)</f>
        <v>5</v>
      </c>
      <c r="V2196" s="16">
        <f>_xlfn.XLOOKUP(CustomerCombinedCleaned[[#This Row],[ID]], Table4[ID], Table4[Visits], "Not Found", 0)</f>
        <v>8</v>
      </c>
      <c r="W2196" s="16">
        <f>_xlfn.XLOOKUP(CustomerCombinedCleaned[[#This Row],[ID]], Table2[ID],Table2[Complaint], "Not Found", 0 )</f>
        <v>0</v>
      </c>
      <c r="X2196" s="16">
        <f>_xlfn.XLOOKUP(CustomerCombinedCleaned[[#This Row],[ID]], Table2[ID],Table2[Pilot], "Not Found", 0 )</f>
        <v>0</v>
      </c>
      <c r="Y2196" s="16">
        <f>_xlfn.XLOOKUP(CustomerCombinedCleaned[[#This Row],[ID]], Table2[ID],Table2[MC1], "Not Found", 0 )</f>
        <v>0</v>
      </c>
      <c r="Z2196" s="16">
        <f>_xlfn.XLOOKUP(CustomerCombinedCleaned[[#This Row],[ID]], Table2[ID],Table2[MC2], "Not Found", 0 )</f>
        <v>0</v>
      </c>
      <c r="AA2196" s="16">
        <f>_xlfn.XLOOKUP(CustomerCombinedCleaned[[#This Row],[ID]], Table2[ID],Table2[MC3], "Not Found", 0 )</f>
        <v>0</v>
      </c>
      <c r="AB2196" s="16">
        <f>_xlfn.XLOOKUP(CustomerCombinedCleaned[[#This Row],[ID]], Table2[ID],Table2[MC4], "Not Found", 0 )</f>
        <v>0</v>
      </c>
      <c r="AC2196" s="16">
        <f>_xlfn.XLOOKUP(CustomerCombinedCleaned[[#This Row],[ID]], Table2[ID],Table2[MC5], "Not Found", 0 )</f>
        <v>0</v>
      </c>
    </row>
    <row r="2197" spans="1:29" x14ac:dyDescent="0.3">
      <c r="A2197" s="18">
        <v>1017</v>
      </c>
      <c r="B2197" s="16">
        <v>137760</v>
      </c>
      <c r="C2197" s="16">
        <v>0</v>
      </c>
      <c r="D2197" s="16">
        <v>0</v>
      </c>
      <c r="E2197" s="16">
        <v>74</v>
      </c>
      <c r="F2197" s="17" t="s">
        <v>8</v>
      </c>
      <c r="G2197" s="17" t="s">
        <v>11</v>
      </c>
      <c r="H2197" s="3" t="s">
        <v>681</v>
      </c>
      <c r="I2197" s="5" t="s">
        <v>435</v>
      </c>
      <c r="J2197" s="16">
        <f>_xlfn.XLOOKUP(CustomerCombinedCleaned[[#This Row],[ID]], Table4[ID], Table4[Recency], "Not Found", 0)</f>
        <v>20</v>
      </c>
      <c r="K2197" s="16">
        <f>_xlfn.XLOOKUP(CustomerCombinedCleaned[[#This Row],[ID]], Table4[ID], Table4[Teas], "Not Found", 0)</f>
        <v>306</v>
      </c>
      <c r="L2197" s="16">
        <f>_xlfn.XLOOKUP(CustomerCombinedCleaned[[#This Row],[ID]], Table4[ID], Table4[Fruits], "Not Found", 0)</f>
        <v>18</v>
      </c>
      <c r="M2197" s="16">
        <f>_xlfn.XLOOKUP(CustomerCombinedCleaned[[#This Row],[ID]], Table4[ID], Table4[Meats], "Not Found", 0)</f>
        <v>139</v>
      </c>
      <c r="N2197" s="16">
        <f>_xlfn.XLOOKUP(CustomerCombinedCleaned[[#This Row],[ID]], Table4[ID], Table4[Seafood], "Not Found", 0)</f>
        <v>547</v>
      </c>
      <c r="O2197" s="16">
        <f>_xlfn.XLOOKUP(CustomerCombinedCleaned[[#This Row],[ID]], Table4[ID], Table4[Sweets], "Not Found", 0)</f>
        <v>44</v>
      </c>
      <c r="P2197" s="16">
        <f>_xlfn.XLOOKUP(CustomerCombinedCleaned[[#This Row],[ID]], Table4[ID], Table4[Premium], "Not Found", 0)</f>
        <v>102</v>
      </c>
      <c r="Q2197" s="16">
        <f>_xlfn.XLOOKUP(CustomerCombinedCleaned[[#This Row],[ID]], Table4[ID], Table4[Regular], "Not Found", 0)</f>
        <v>952</v>
      </c>
      <c r="R2197" s="16">
        <f>_xlfn.XLOOKUP(CustomerCombinedCleaned[[#This Row],[ID]], Table4[ID], Table4[Deals], "Not Found", 0)</f>
        <v>2</v>
      </c>
      <c r="S2197" s="16">
        <f>_xlfn.XLOOKUP(CustomerCombinedCleaned[[#This Row],[ID]], Table4[ID], Table4[Website], "Not Found", 0)</f>
        <v>4</v>
      </c>
      <c r="T2197" s="16">
        <f>_xlfn.XLOOKUP(CustomerCombinedCleaned[[#This Row],[ID]], Table4[ID], Table4[Catalog], "Not Found", 0)</f>
        <v>1</v>
      </c>
      <c r="U2197" s="16">
        <f>_xlfn.XLOOKUP(CustomerCombinedCleaned[[#This Row],[ID]], Table4[ID], Table4[Store], "Not Found", 0)</f>
        <v>6</v>
      </c>
      <c r="V2197" s="16">
        <f>_xlfn.XLOOKUP(CustomerCombinedCleaned[[#This Row],[ID]], Table4[ID], Table4[Visits], "Not Found", 0)</f>
        <v>7</v>
      </c>
      <c r="W2197" s="16">
        <f>_xlfn.XLOOKUP(CustomerCombinedCleaned[[#This Row],[ID]], Table2[ID],Table2[Complaint], "Not Found", 0 )</f>
        <v>0</v>
      </c>
      <c r="X2197" s="16">
        <f>_xlfn.XLOOKUP(CustomerCombinedCleaned[[#This Row],[ID]], Table2[ID],Table2[Pilot], "Not Found", 0 )</f>
        <v>0</v>
      </c>
      <c r="Y2197" s="16">
        <f>_xlfn.XLOOKUP(CustomerCombinedCleaned[[#This Row],[ID]], Table2[ID],Table2[MC1], "Not Found", 0 )</f>
        <v>0</v>
      </c>
      <c r="Z2197" s="16">
        <f>_xlfn.XLOOKUP(CustomerCombinedCleaned[[#This Row],[ID]], Table2[ID],Table2[MC2], "Not Found", 0 )</f>
        <v>0</v>
      </c>
      <c r="AA2197" s="16">
        <f>_xlfn.XLOOKUP(CustomerCombinedCleaned[[#This Row],[ID]], Table2[ID],Table2[MC3], "Not Found", 0 )</f>
        <v>0</v>
      </c>
      <c r="AB2197" s="16">
        <f>_xlfn.XLOOKUP(CustomerCombinedCleaned[[#This Row],[ID]], Table2[ID],Table2[MC4], "Not Found", 0 )</f>
        <v>0</v>
      </c>
      <c r="AC2197" s="16">
        <f>_xlfn.XLOOKUP(CustomerCombinedCleaned[[#This Row],[ID]], Table2[ID],Table2[MC5], "Not Found", 0 )</f>
        <v>0</v>
      </c>
    </row>
    <row r="2198" spans="1:29" x14ac:dyDescent="0.3">
      <c r="A2198" s="18">
        <v>1269</v>
      </c>
      <c r="B2198" s="16">
        <v>137760</v>
      </c>
      <c r="C2198" s="16">
        <v>0</v>
      </c>
      <c r="D2198" s="16">
        <v>0</v>
      </c>
      <c r="E2198" s="16">
        <v>74</v>
      </c>
      <c r="F2198" s="17" t="s">
        <v>8</v>
      </c>
      <c r="G2198" s="17" t="s">
        <v>11</v>
      </c>
      <c r="H2198" s="3" t="s">
        <v>681</v>
      </c>
      <c r="I2198" s="5" t="s">
        <v>435</v>
      </c>
      <c r="J2198" s="16">
        <f>_xlfn.XLOOKUP(CustomerCombinedCleaned[[#This Row],[ID]], Table4[ID], Table4[Recency], "Not Found", 0)</f>
        <v>20</v>
      </c>
      <c r="K2198" s="16">
        <f>_xlfn.XLOOKUP(CustomerCombinedCleaned[[#This Row],[ID]], Table4[ID], Table4[Teas], "Not Found", 0)</f>
        <v>306</v>
      </c>
      <c r="L2198" s="16">
        <f>_xlfn.XLOOKUP(CustomerCombinedCleaned[[#This Row],[ID]], Table4[ID], Table4[Fruits], "Not Found", 0)</f>
        <v>18</v>
      </c>
      <c r="M2198" s="16">
        <f>_xlfn.XLOOKUP(CustomerCombinedCleaned[[#This Row],[ID]], Table4[ID], Table4[Meats], "Not Found", 0)</f>
        <v>139</v>
      </c>
      <c r="N2198" s="16">
        <f>_xlfn.XLOOKUP(CustomerCombinedCleaned[[#This Row],[ID]], Table4[ID], Table4[Seafood], "Not Found", 0)</f>
        <v>547</v>
      </c>
      <c r="O2198" s="16">
        <f>_xlfn.XLOOKUP(CustomerCombinedCleaned[[#This Row],[ID]], Table4[ID], Table4[Sweets], "Not Found", 0)</f>
        <v>44</v>
      </c>
      <c r="P2198" s="16">
        <f>_xlfn.XLOOKUP(CustomerCombinedCleaned[[#This Row],[ID]], Table4[ID], Table4[Premium], "Not Found", 0)</f>
        <v>102</v>
      </c>
      <c r="Q2198" s="16">
        <f>_xlfn.XLOOKUP(CustomerCombinedCleaned[[#This Row],[ID]], Table4[ID], Table4[Regular], "Not Found", 0)</f>
        <v>952</v>
      </c>
      <c r="R2198" s="16">
        <f>_xlfn.XLOOKUP(CustomerCombinedCleaned[[#This Row],[ID]], Table4[ID], Table4[Deals], "Not Found", 0)</f>
        <v>2</v>
      </c>
      <c r="S2198" s="16">
        <f>_xlfn.XLOOKUP(CustomerCombinedCleaned[[#This Row],[ID]], Table4[ID], Table4[Website], "Not Found", 0)</f>
        <v>4</v>
      </c>
      <c r="T2198" s="16">
        <f>_xlfn.XLOOKUP(CustomerCombinedCleaned[[#This Row],[ID]], Table4[ID], Table4[Catalog], "Not Found", 0)</f>
        <v>1</v>
      </c>
      <c r="U2198" s="16">
        <f>_xlfn.XLOOKUP(CustomerCombinedCleaned[[#This Row],[ID]], Table4[ID], Table4[Store], "Not Found", 0)</f>
        <v>6</v>
      </c>
      <c r="V2198" s="16">
        <f>_xlfn.XLOOKUP(CustomerCombinedCleaned[[#This Row],[ID]], Table4[ID], Table4[Visits], "Not Found", 0)</f>
        <v>7</v>
      </c>
      <c r="W2198" s="16">
        <f>_xlfn.XLOOKUP(CustomerCombinedCleaned[[#This Row],[ID]], Table2[ID],Table2[Complaint], "Not Found", 0 )</f>
        <v>0</v>
      </c>
      <c r="X2198" s="16">
        <f>_xlfn.XLOOKUP(CustomerCombinedCleaned[[#This Row],[ID]], Table2[ID],Table2[Pilot], "Not Found", 0 )</f>
        <v>0</v>
      </c>
      <c r="Y2198" s="16">
        <f>_xlfn.XLOOKUP(CustomerCombinedCleaned[[#This Row],[ID]], Table2[ID],Table2[MC1], "Not Found", 0 )</f>
        <v>0</v>
      </c>
      <c r="Z2198" s="16">
        <f>_xlfn.XLOOKUP(CustomerCombinedCleaned[[#This Row],[ID]], Table2[ID],Table2[MC2], "Not Found", 0 )</f>
        <v>0</v>
      </c>
      <c r="AA2198" s="16">
        <f>_xlfn.XLOOKUP(CustomerCombinedCleaned[[#This Row],[ID]], Table2[ID],Table2[MC3], "Not Found", 0 )</f>
        <v>0</v>
      </c>
      <c r="AB2198" s="16">
        <f>_xlfn.XLOOKUP(CustomerCombinedCleaned[[#This Row],[ID]], Table2[ID],Table2[MC4], "Not Found", 0 )</f>
        <v>0</v>
      </c>
      <c r="AC2198" s="16">
        <f>_xlfn.XLOOKUP(CustomerCombinedCleaned[[#This Row],[ID]], Table2[ID],Table2[MC5], "Not Found", 0 )</f>
        <v>0</v>
      </c>
    </row>
    <row r="2199" spans="1:29" x14ac:dyDescent="0.3">
      <c r="A2199" s="18">
        <v>1426</v>
      </c>
      <c r="B2199" s="16">
        <v>118100</v>
      </c>
      <c r="C2199" s="16">
        <v>0</v>
      </c>
      <c r="D2199" s="16">
        <v>0</v>
      </c>
      <c r="E2199" s="16">
        <v>74</v>
      </c>
      <c r="F2199" s="17" t="s">
        <v>6</v>
      </c>
      <c r="G2199" s="17" t="s">
        <v>11</v>
      </c>
      <c r="H2199" s="3" t="s">
        <v>540</v>
      </c>
      <c r="I2199" s="5" t="s">
        <v>439</v>
      </c>
      <c r="J2199" s="16">
        <f>_xlfn.XLOOKUP(CustomerCombinedCleaned[[#This Row],[ID]], Table4[ID], Table4[Recency], "Not Found", 0)</f>
        <v>14</v>
      </c>
      <c r="K2199" s="16">
        <f>_xlfn.XLOOKUP(CustomerCombinedCleaned[[#This Row],[ID]], Table4[ID], Table4[Teas], "Not Found", 0)</f>
        <v>20</v>
      </c>
      <c r="L2199" s="16">
        <f>_xlfn.XLOOKUP(CustomerCombinedCleaned[[#This Row],[ID]], Table4[ID], Table4[Fruits], "Not Found", 0)</f>
        <v>7</v>
      </c>
      <c r="M2199" s="16">
        <f>_xlfn.XLOOKUP(CustomerCombinedCleaned[[#This Row],[ID]], Table4[ID], Table4[Meats], "Not Found", 0)</f>
        <v>13</v>
      </c>
      <c r="N2199" s="16">
        <f>_xlfn.XLOOKUP(CustomerCombinedCleaned[[#This Row],[ID]], Table4[ID], Table4[Seafood], "Not Found", 0)</f>
        <v>26</v>
      </c>
      <c r="O2199" s="16">
        <f>_xlfn.XLOOKUP(CustomerCombinedCleaned[[#This Row],[ID]], Table4[ID], Table4[Sweets], "Not Found", 0)</f>
        <v>20</v>
      </c>
      <c r="P2199" s="16">
        <f>_xlfn.XLOOKUP(CustomerCombinedCleaned[[#This Row],[ID]], Table4[ID], Table4[Premium], "Not Found", 0)</f>
        <v>7</v>
      </c>
      <c r="Q2199" s="16">
        <f>_xlfn.XLOOKUP(CustomerCombinedCleaned[[#This Row],[ID]], Table4[ID], Table4[Regular], "Not Found", 0)</f>
        <v>78</v>
      </c>
      <c r="R2199" s="16">
        <f>_xlfn.XLOOKUP(CustomerCombinedCleaned[[#This Row],[ID]], Table4[ID], Table4[Deals], "Not Found", 0)</f>
        <v>1</v>
      </c>
      <c r="S2199" s="16">
        <f>_xlfn.XLOOKUP(CustomerCombinedCleaned[[#This Row],[ID]], Table4[ID], Table4[Website], "Not Found", 0)</f>
        <v>0</v>
      </c>
      <c r="T2199" s="16">
        <f>_xlfn.XLOOKUP(CustomerCombinedCleaned[[#This Row],[ID]], Table4[ID], Table4[Catalog], "Not Found", 0)</f>
        <v>0</v>
      </c>
      <c r="U2199" s="16">
        <f>_xlfn.XLOOKUP(CustomerCombinedCleaned[[#This Row],[ID]], Table4[ID], Table4[Store], "Not Found", 0)</f>
        <v>3</v>
      </c>
      <c r="V2199" s="16">
        <f>_xlfn.XLOOKUP(CustomerCombinedCleaned[[#This Row],[ID]], Table4[ID], Table4[Visits], "Not Found", 0)</f>
        <v>5</v>
      </c>
      <c r="W2199" s="16">
        <f>_xlfn.XLOOKUP(CustomerCombinedCleaned[[#This Row],[ID]], Table2[ID],Table2[Complaint], "Not Found", 0 )</f>
        <v>0</v>
      </c>
      <c r="X2199" s="16">
        <f>_xlfn.XLOOKUP(CustomerCombinedCleaned[[#This Row],[ID]], Table2[ID],Table2[Pilot], "Not Found", 0 )</f>
        <v>0</v>
      </c>
      <c r="Y2199" s="16">
        <f>_xlfn.XLOOKUP(CustomerCombinedCleaned[[#This Row],[ID]], Table2[ID],Table2[MC1], "Not Found", 0 )</f>
        <v>0</v>
      </c>
      <c r="Z2199" s="16">
        <f>_xlfn.XLOOKUP(CustomerCombinedCleaned[[#This Row],[ID]], Table2[ID],Table2[MC2], "Not Found", 0 )</f>
        <v>0</v>
      </c>
      <c r="AA2199" s="16">
        <f>_xlfn.XLOOKUP(CustomerCombinedCleaned[[#This Row],[ID]], Table2[ID],Table2[MC3], "Not Found", 0 )</f>
        <v>0</v>
      </c>
      <c r="AB2199" s="16">
        <f>_xlfn.XLOOKUP(CustomerCombinedCleaned[[#This Row],[ID]], Table2[ID],Table2[MC4], "Not Found", 0 )</f>
        <v>0</v>
      </c>
      <c r="AC2199" s="16">
        <f>_xlfn.XLOOKUP(CustomerCombinedCleaned[[#This Row],[ID]], Table2[ID],Table2[MC5], "Not Found", 0 )</f>
        <v>0</v>
      </c>
    </row>
    <row r="2200" spans="1:29" x14ac:dyDescent="0.3">
      <c r="A2200" s="18">
        <v>2873</v>
      </c>
      <c r="B2200" s="16">
        <v>213734</v>
      </c>
      <c r="C2200" s="16">
        <v>0</v>
      </c>
      <c r="D2200" s="16">
        <v>0</v>
      </c>
      <c r="E2200" s="16">
        <v>75</v>
      </c>
      <c r="F2200" s="17" t="s">
        <v>7</v>
      </c>
      <c r="G2200" s="17" t="s">
        <v>13</v>
      </c>
      <c r="H2200" s="3" t="s">
        <v>537</v>
      </c>
      <c r="I2200" s="5" t="s">
        <v>434</v>
      </c>
      <c r="J2200" s="16">
        <f>_xlfn.XLOOKUP(CustomerCombinedCleaned[[#This Row],[ID]], Table4[ID], Table4[Recency], "Not Found", 0)</f>
        <v>9</v>
      </c>
      <c r="K2200" s="16">
        <f>_xlfn.XLOOKUP(CustomerCombinedCleaned[[#This Row],[ID]], Table4[ID], Table4[Teas], "Not Found", 0)</f>
        <v>11</v>
      </c>
      <c r="L2200" s="16">
        <f>_xlfn.XLOOKUP(CustomerCombinedCleaned[[#This Row],[ID]], Table4[ID], Table4[Fruits], "Not Found", 0)</f>
        <v>4</v>
      </c>
      <c r="M2200" s="16">
        <f>_xlfn.XLOOKUP(CustomerCombinedCleaned[[#This Row],[ID]], Table4[ID], Table4[Meats], "Not Found", 0)</f>
        <v>6</v>
      </c>
      <c r="N2200" s="16">
        <f>_xlfn.XLOOKUP(CustomerCombinedCleaned[[#This Row],[ID]], Table4[ID], Table4[Seafood], "Not Found", 0)</f>
        <v>2</v>
      </c>
      <c r="O2200" s="16">
        <f>_xlfn.XLOOKUP(CustomerCombinedCleaned[[#This Row],[ID]], Table4[ID], Table4[Sweets], "Not Found", 0)</f>
        <v>492</v>
      </c>
      <c r="P2200" s="16">
        <f>_xlfn.XLOOKUP(CustomerCombinedCleaned[[#This Row],[ID]], Table4[ID], Table4[Premium], "Not Found", 0)</f>
        <v>6</v>
      </c>
      <c r="Q2200" s="16">
        <f>_xlfn.XLOOKUP(CustomerCombinedCleaned[[#This Row],[ID]], Table4[ID], Table4[Regular], "Not Found", 0)</f>
        <v>509</v>
      </c>
      <c r="R2200" s="16">
        <f>_xlfn.XLOOKUP(CustomerCombinedCleaned[[#This Row],[ID]], Table4[ID], Table4[Deals], "Not Found", 0)</f>
        <v>0</v>
      </c>
      <c r="S2200" s="16">
        <f>_xlfn.XLOOKUP(CustomerCombinedCleaned[[#This Row],[ID]], Table4[ID], Table4[Website], "Not Found", 0)</f>
        <v>27</v>
      </c>
      <c r="T2200" s="16">
        <f>_xlfn.XLOOKUP(CustomerCombinedCleaned[[#This Row],[ID]], Table4[ID], Table4[Catalog], "Not Found", 0)</f>
        <v>0</v>
      </c>
      <c r="U2200" s="16">
        <f>_xlfn.XLOOKUP(CustomerCombinedCleaned[[#This Row],[ID]], Table4[ID], Table4[Store], "Not Found", 0)</f>
        <v>0</v>
      </c>
      <c r="V2200" s="16">
        <f>_xlfn.XLOOKUP(CustomerCombinedCleaned[[#This Row],[ID]], Table4[ID], Table4[Visits], "Not Found", 0)</f>
        <v>1</v>
      </c>
      <c r="W2200" s="16">
        <f>_xlfn.XLOOKUP(CustomerCombinedCleaned[[#This Row],[ID]], Table2[ID],Table2[Complaint], "Not Found", 0 )</f>
        <v>0</v>
      </c>
      <c r="X2200" s="16">
        <f>_xlfn.XLOOKUP(CustomerCombinedCleaned[[#This Row],[ID]], Table2[ID],Table2[Pilot], "Not Found", 0 )</f>
        <v>0</v>
      </c>
      <c r="Y2200" s="16">
        <f>_xlfn.XLOOKUP(CustomerCombinedCleaned[[#This Row],[ID]], Table2[ID],Table2[MC1], "Not Found", 0 )</f>
        <v>0</v>
      </c>
      <c r="Z2200" s="16">
        <f>_xlfn.XLOOKUP(CustomerCombinedCleaned[[#This Row],[ID]], Table2[ID],Table2[MC2], "Not Found", 0 )</f>
        <v>0</v>
      </c>
      <c r="AA2200" s="16">
        <f>_xlfn.XLOOKUP(CustomerCombinedCleaned[[#This Row],[ID]], Table2[ID],Table2[MC3], "Not Found", 0 )</f>
        <v>0</v>
      </c>
      <c r="AB2200" s="16">
        <f>_xlfn.XLOOKUP(CustomerCombinedCleaned[[#This Row],[ID]], Table2[ID],Table2[MC4], "Not Found", 0 )</f>
        <v>0</v>
      </c>
      <c r="AC2200" s="16">
        <f>_xlfn.XLOOKUP(CustomerCombinedCleaned[[#This Row],[ID]], Table2[ID],Table2[MC5], "Not Found", 0 )</f>
        <v>0</v>
      </c>
    </row>
    <row r="2201" spans="1:29" x14ac:dyDescent="0.3">
      <c r="A2201" s="18">
        <v>2309</v>
      </c>
      <c r="B2201" s="16">
        <v>171604</v>
      </c>
      <c r="C2201" s="16">
        <v>0</v>
      </c>
      <c r="D2201" s="16">
        <v>0</v>
      </c>
      <c r="E2201" s="16">
        <v>75</v>
      </c>
      <c r="F2201" s="17" t="s">
        <v>8</v>
      </c>
      <c r="G2201" s="17" t="s">
        <v>13</v>
      </c>
      <c r="H2201" s="3" t="s">
        <v>148</v>
      </c>
      <c r="I2201" s="5" t="s">
        <v>434</v>
      </c>
      <c r="J2201" s="16">
        <f>_xlfn.XLOOKUP(CustomerCombinedCleaned[[#This Row],[ID]], Table4[ID], Table4[Recency], "Not Found", 0)</f>
        <v>3</v>
      </c>
      <c r="K2201" s="16">
        <f>_xlfn.XLOOKUP(CustomerCombinedCleaned[[#This Row],[ID]], Table4[ID], Table4[Teas], "Not Found", 0)</f>
        <v>827</v>
      </c>
      <c r="L2201" s="16">
        <f>_xlfn.XLOOKUP(CustomerCombinedCleaned[[#This Row],[ID]], Table4[ID], Table4[Fruits], "Not Found", 0)</f>
        <v>127</v>
      </c>
      <c r="M2201" s="16">
        <f>_xlfn.XLOOKUP(CustomerCombinedCleaned[[#This Row],[ID]], Table4[ID], Table4[Meats], "Not Found", 0)</f>
        <v>1265</v>
      </c>
      <c r="N2201" s="16">
        <f>_xlfn.XLOOKUP(CustomerCombinedCleaned[[#This Row],[ID]], Table4[ID], Table4[Seafood], "Not Found", 0)</f>
        <v>235</v>
      </c>
      <c r="O2201" s="16">
        <f>_xlfn.XLOOKUP(CustomerCombinedCleaned[[#This Row],[ID]], Table4[ID], Table4[Sweets], "Not Found", 0)</f>
        <v>180</v>
      </c>
      <c r="P2201" s="16">
        <f>_xlfn.XLOOKUP(CustomerCombinedCleaned[[#This Row],[ID]], Table4[ID], Table4[Premium], "Not Found", 0)</f>
        <v>232</v>
      </c>
      <c r="Q2201" s="16">
        <f>_xlfn.XLOOKUP(CustomerCombinedCleaned[[#This Row],[ID]], Table4[ID], Table4[Regular], "Not Found", 0)</f>
        <v>2401</v>
      </c>
      <c r="R2201" s="16">
        <f>_xlfn.XLOOKUP(CustomerCombinedCleaned[[#This Row],[ID]], Table4[ID], Table4[Deals], "Not Found", 0)</f>
        <v>1</v>
      </c>
      <c r="S2201" s="16">
        <f>_xlfn.XLOOKUP(CustomerCombinedCleaned[[#This Row],[ID]], Table4[ID], Table4[Website], "Not Found", 0)</f>
        <v>8</v>
      </c>
      <c r="T2201" s="16">
        <f>_xlfn.XLOOKUP(CustomerCombinedCleaned[[#This Row],[ID]], Table4[ID], Table4[Catalog], "Not Found", 0)</f>
        <v>3</v>
      </c>
      <c r="U2201" s="16">
        <f>_xlfn.XLOOKUP(CustomerCombinedCleaned[[#This Row],[ID]], Table4[ID], Table4[Store], "Not Found", 0)</f>
        <v>5</v>
      </c>
      <c r="V2201" s="16">
        <f>_xlfn.XLOOKUP(CustomerCombinedCleaned[[#This Row],[ID]], Table4[ID], Table4[Visits], "Not Found", 0)</f>
        <v>4</v>
      </c>
      <c r="W2201" s="16">
        <f>_xlfn.XLOOKUP(CustomerCombinedCleaned[[#This Row],[ID]], Table2[ID],Table2[Complaint], "Not Found", 0 )</f>
        <v>0</v>
      </c>
      <c r="X2201" s="16">
        <f>_xlfn.XLOOKUP(CustomerCombinedCleaned[[#This Row],[ID]], Table2[ID],Table2[Pilot], "Not Found", 0 )</f>
        <v>1</v>
      </c>
      <c r="Y2201" s="16">
        <f>_xlfn.XLOOKUP(CustomerCombinedCleaned[[#This Row],[ID]], Table2[ID],Table2[MC1], "Not Found", 0 )</f>
        <v>0</v>
      </c>
      <c r="Z2201" s="16">
        <f>_xlfn.XLOOKUP(CustomerCombinedCleaned[[#This Row],[ID]], Table2[ID],Table2[MC2], "Not Found", 0 )</f>
        <v>0</v>
      </c>
      <c r="AA2201" s="16">
        <f>_xlfn.XLOOKUP(CustomerCombinedCleaned[[#This Row],[ID]], Table2[ID],Table2[MC3], "Not Found", 0 )</f>
        <v>1</v>
      </c>
      <c r="AB2201" s="16">
        <f>_xlfn.XLOOKUP(CustomerCombinedCleaned[[#This Row],[ID]], Table2[ID],Table2[MC4], "Not Found", 0 )</f>
        <v>0</v>
      </c>
      <c r="AC2201" s="16">
        <f>_xlfn.XLOOKUP(CustomerCombinedCleaned[[#This Row],[ID]], Table2[ID],Table2[MC5], "Not Found", 0 )</f>
        <v>0</v>
      </c>
    </row>
    <row r="2202" spans="1:29" x14ac:dyDescent="0.3">
      <c r="A2202" s="18">
        <v>1151</v>
      </c>
      <c r="B2202" s="16">
        <v>170356</v>
      </c>
      <c r="C2202" s="16">
        <v>0</v>
      </c>
      <c r="D2202" s="16">
        <v>0</v>
      </c>
      <c r="E2202" s="16">
        <v>75</v>
      </c>
      <c r="F2202" s="17" t="s">
        <v>6</v>
      </c>
      <c r="G2202" s="17" t="s">
        <v>13</v>
      </c>
      <c r="H2202" s="3" t="s">
        <v>667</v>
      </c>
      <c r="I2202" s="5" t="s">
        <v>434</v>
      </c>
      <c r="J2202" s="16">
        <f>_xlfn.XLOOKUP(CustomerCombinedCleaned[[#This Row],[ID]], Table4[ID], Table4[Recency], "Not Found", 0)</f>
        <v>20</v>
      </c>
      <c r="K2202" s="16">
        <f>_xlfn.XLOOKUP(CustomerCombinedCleaned[[#This Row],[ID]], Table4[ID], Table4[Teas], "Not Found", 0)</f>
        <v>3266</v>
      </c>
      <c r="L2202" s="16">
        <f>_xlfn.XLOOKUP(CustomerCombinedCleaned[[#This Row],[ID]], Table4[ID], Table4[Fruits], "Not Found", 0)</f>
        <v>39</v>
      </c>
      <c r="M2202" s="16">
        <f>_xlfn.XLOOKUP(CustomerCombinedCleaned[[#This Row],[ID]], Table4[ID], Table4[Meats], "Not Found", 0)</f>
        <v>603</v>
      </c>
      <c r="N2202" s="16">
        <f>_xlfn.XLOOKUP(CustomerCombinedCleaned[[#This Row],[ID]], Table4[ID], Table4[Seafood], "Not Found", 0)</f>
        <v>104</v>
      </c>
      <c r="O2202" s="16">
        <f>_xlfn.XLOOKUP(CustomerCombinedCleaned[[#This Row],[ID]], Table4[ID], Table4[Sweets], "Not Found", 0)</f>
        <v>39</v>
      </c>
      <c r="P2202" s="16">
        <f>_xlfn.XLOOKUP(CustomerCombinedCleaned[[#This Row],[ID]], Table4[ID], Table4[Premium], "Not Found", 0)</f>
        <v>80</v>
      </c>
      <c r="Q2202" s="16">
        <f>_xlfn.XLOOKUP(CustomerCombinedCleaned[[#This Row],[ID]], Table4[ID], Table4[Regular], "Not Found", 0)</f>
        <v>3971</v>
      </c>
      <c r="R2202" s="16">
        <f>_xlfn.XLOOKUP(CustomerCombinedCleaned[[#This Row],[ID]], Table4[ID], Table4[Deals], "Not Found", 0)</f>
        <v>2</v>
      </c>
      <c r="S2202" s="16">
        <f>_xlfn.XLOOKUP(CustomerCombinedCleaned[[#This Row],[ID]], Table4[ID], Table4[Website], "Not Found", 0)</f>
        <v>10</v>
      </c>
      <c r="T2202" s="16">
        <f>_xlfn.XLOOKUP(CustomerCombinedCleaned[[#This Row],[ID]], Table4[ID], Table4[Catalog], "Not Found", 0)</f>
        <v>6</v>
      </c>
      <c r="U2202" s="16">
        <f>_xlfn.XLOOKUP(CustomerCombinedCleaned[[#This Row],[ID]], Table4[ID], Table4[Store], "Not Found", 0)</f>
        <v>9</v>
      </c>
      <c r="V2202" s="16">
        <f>_xlfn.XLOOKUP(CustomerCombinedCleaned[[#This Row],[ID]], Table4[ID], Table4[Visits], "Not Found", 0)</f>
        <v>6</v>
      </c>
      <c r="W2202" s="16">
        <f>_xlfn.XLOOKUP(CustomerCombinedCleaned[[#This Row],[ID]], Table2[ID],Table2[Complaint], "Not Found", 0 )</f>
        <v>0</v>
      </c>
      <c r="X2202" s="16">
        <f>_xlfn.XLOOKUP(CustomerCombinedCleaned[[#This Row],[ID]], Table2[ID],Table2[Pilot], "Not Found", 0 )</f>
        <v>0</v>
      </c>
      <c r="Y2202" s="16">
        <f>_xlfn.XLOOKUP(CustomerCombinedCleaned[[#This Row],[ID]], Table2[ID],Table2[MC1], "Not Found", 0 )</f>
        <v>0</v>
      </c>
      <c r="Z2202" s="16">
        <f>_xlfn.XLOOKUP(CustomerCombinedCleaned[[#This Row],[ID]], Table2[ID],Table2[MC2], "Not Found", 0 )</f>
        <v>0</v>
      </c>
      <c r="AA2202" s="16">
        <f>_xlfn.XLOOKUP(CustomerCombinedCleaned[[#This Row],[ID]], Table2[ID],Table2[MC3], "Not Found", 0 )</f>
        <v>0</v>
      </c>
      <c r="AB2202" s="16">
        <f>_xlfn.XLOOKUP(CustomerCombinedCleaned[[#This Row],[ID]], Table2[ID],Table2[MC4], "Not Found", 0 )</f>
        <v>0</v>
      </c>
      <c r="AC2202" s="16">
        <f>_xlfn.XLOOKUP(CustomerCombinedCleaned[[#This Row],[ID]], Table2[ID],Table2[MC5], "Not Found", 0 )</f>
        <v>0</v>
      </c>
    </row>
    <row r="2203" spans="1:29" x14ac:dyDescent="0.3">
      <c r="A2203" s="18">
        <v>2613</v>
      </c>
      <c r="B2203" s="16">
        <v>169755</v>
      </c>
      <c r="C2203" s="16">
        <v>0</v>
      </c>
      <c r="D2203" s="16">
        <v>0</v>
      </c>
      <c r="E2203" s="16">
        <v>75</v>
      </c>
      <c r="F2203" s="17" t="s">
        <v>6</v>
      </c>
      <c r="G2203" s="17" t="s">
        <v>11</v>
      </c>
      <c r="H2203" s="3" t="s">
        <v>673</v>
      </c>
      <c r="I2203" s="5" t="s">
        <v>435</v>
      </c>
      <c r="J2203" s="16">
        <f>_xlfn.XLOOKUP(CustomerCombinedCleaned[[#This Row],[ID]], Table4[ID], Table4[Recency], "Not Found", 0)</f>
        <v>23</v>
      </c>
      <c r="K2203" s="16">
        <f>_xlfn.XLOOKUP(CustomerCombinedCleaned[[#This Row],[ID]], Table4[ID], Table4[Teas], "Not Found", 0)</f>
        <v>528</v>
      </c>
      <c r="L2203" s="16">
        <f>_xlfn.XLOOKUP(CustomerCombinedCleaned[[#This Row],[ID]], Table4[ID], Table4[Fruits], "Not Found", 0)</f>
        <v>187</v>
      </c>
      <c r="M2203" s="16">
        <f>_xlfn.XLOOKUP(CustomerCombinedCleaned[[#This Row],[ID]], Table4[ID], Table4[Meats], "Not Found", 0)</f>
        <v>908</v>
      </c>
      <c r="N2203" s="16">
        <f>_xlfn.XLOOKUP(CustomerCombinedCleaned[[#This Row],[ID]], Table4[ID], Table4[Seafood], "Not Found", 0)</f>
        <v>270</v>
      </c>
      <c r="O2203" s="16">
        <f>_xlfn.XLOOKUP(CustomerCombinedCleaned[[#This Row],[ID]], Table4[ID], Table4[Sweets], "Not Found", 0)</f>
        <v>56</v>
      </c>
      <c r="P2203" s="16">
        <f>_xlfn.XLOOKUP(CustomerCombinedCleaned[[#This Row],[ID]], Table4[ID], Table4[Premium], "Not Found", 0)</f>
        <v>226</v>
      </c>
      <c r="Q2203" s="16">
        <f>_xlfn.XLOOKUP(CustomerCombinedCleaned[[#This Row],[ID]], Table4[ID], Table4[Regular], "Not Found", 0)</f>
        <v>1723</v>
      </c>
      <c r="R2203" s="16">
        <f>_xlfn.XLOOKUP(CustomerCombinedCleaned[[#This Row],[ID]], Table4[ID], Table4[Deals], "Not Found", 0)</f>
        <v>1</v>
      </c>
      <c r="S2203" s="16">
        <f>_xlfn.XLOOKUP(CustomerCombinedCleaned[[#This Row],[ID]], Table4[ID], Table4[Website], "Not Found", 0)</f>
        <v>3</v>
      </c>
      <c r="T2203" s="16">
        <f>_xlfn.XLOOKUP(CustomerCombinedCleaned[[#This Row],[ID]], Table4[ID], Table4[Catalog], "Not Found", 0)</f>
        <v>6</v>
      </c>
      <c r="U2203" s="16">
        <f>_xlfn.XLOOKUP(CustomerCombinedCleaned[[#This Row],[ID]], Table4[ID], Table4[Store], "Not Found", 0)</f>
        <v>12</v>
      </c>
      <c r="V2203" s="16">
        <f>_xlfn.XLOOKUP(CustomerCombinedCleaned[[#This Row],[ID]], Table4[ID], Table4[Visits], "Not Found", 0)</f>
        <v>1</v>
      </c>
      <c r="W2203" s="16">
        <f>_xlfn.XLOOKUP(CustomerCombinedCleaned[[#This Row],[ID]], Table2[ID],Table2[Complaint], "Not Found", 0 )</f>
        <v>0</v>
      </c>
      <c r="X2203" s="16">
        <f>_xlfn.XLOOKUP(CustomerCombinedCleaned[[#This Row],[ID]], Table2[ID],Table2[Pilot], "Not Found", 0 )</f>
        <v>0</v>
      </c>
      <c r="Y2203" s="16">
        <f>_xlfn.XLOOKUP(CustomerCombinedCleaned[[#This Row],[ID]], Table2[ID],Table2[MC1], "Not Found", 0 )</f>
        <v>0</v>
      </c>
      <c r="Z2203" s="16">
        <f>_xlfn.XLOOKUP(CustomerCombinedCleaned[[#This Row],[ID]], Table2[ID],Table2[MC2], "Not Found", 0 )</f>
        <v>0</v>
      </c>
      <c r="AA2203" s="16">
        <f>_xlfn.XLOOKUP(CustomerCombinedCleaned[[#This Row],[ID]], Table2[ID],Table2[MC3], "Not Found", 0 )</f>
        <v>0</v>
      </c>
      <c r="AB2203" s="16">
        <f>_xlfn.XLOOKUP(CustomerCombinedCleaned[[#This Row],[ID]], Table2[ID],Table2[MC4], "Not Found", 0 )</f>
        <v>0</v>
      </c>
      <c r="AC2203" s="16">
        <f>_xlfn.XLOOKUP(CustomerCombinedCleaned[[#This Row],[ID]], Table2[ID],Table2[MC5], "Not Found", 0 )</f>
        <v>0</v>
      </c>
    </row>
    <row r="2204" spans="1:29" x14ac:dyDescent="0.3">
      <c r="A2204" s="18">
        <v>1095</v>
      </c>
      <c r="B2204" s="16">
        <v>165846</v>
      </c>
      <c r="C2204" s="16">
        <v>0</v>
      </c>
      <c r="D2204" s="16">
        <v>0</v>
      </c>
      <c r="E2204" s="16">
        <v>75</v>
      </c>
      <c r="F2204" s="17" t="s">
        <v>6</v>
      </c>
      <c r="G2204" s="17" t="s">
        <v>13</v>
      </c>
      <c r="H2204" s="3" t="s">
        <v>254</v>
      </c>
      <c r="I2204" s="5" t="s">
        <v>435</v>
      </c>
      <c r="J2204" s="16">
        <f>_xlfn.XLOOKUP(CustomerCombinedCleaned[[#This Row],[ID]], Table4[ID], Table4[Recency], "Not Found", 0)</f>
        <v>68</v>
      </c>
      <c r="K2204" s="16">
        <f>_xlfn.XLOOKUP(CustomerCombinedCleaned[[#This Row],[ID]], Table4[ID], Table4[Teas], "Not Found", 0)</f>
        <v>1416</v>
      </c>
      <c r="L2204" s="16">
        <f>_xlfn.XLOOKUP(CustomerCombinedCleaned[[#This Row],[ID]], Table4[ID], Table4[Fruits], "Not Found", 0)</f>
        <v>204</v>
      </c>
      <c r="M2204" s="16">
        <f>_xlfn.XLOOKUP(CustomerCombinedCleaned[[#This Row],[ID]], Table4[ID], Table4[Meats], "Not Found", 0)</f>
        <v>695</v>
      </c>
      <c r="N2204" s="16">
        <f>_xlfn.XLOOKUP(CustomerCombinedCleaned[[#This Row],[ID]], Table4[ID], Table4[Seafood], "Not Found", 0)</f>
        <v>201</v>
      </c>
      <c r="O2204" s="16">
        <f>_xlfn.XLOOKUP(CustomerCombinedCleaned[[#This Row],[ID]], Table4[ID], Table4[Sweets], "Not Found", 0)</f>
        <v>101</v>
      </c>
      <c r="P2204" s="16">
        <f>_xlfn.XLOOKUP(CustomerCombinedCleaned[[#This Row],[ID]], Table4[ID], Table4[Premium], "Not Found", 0)</f>
        <v>204</v>
      </c>
      <c r="Q2204" s="16">
        <f>_xlfn.XLOOKUP(CustomerCombinedCleaned[[#This Row],[ID]], Table4[ID], Table4[Regular], "Not Found", 0)</f>
        <v>2413</v>
      </c>
      <c r="R2204" s="16">
        <f>_xlfn.XLOOKUP(CustomerCombinedCleaned[[#This Row],[ID]], Table4[ID], Table4[Deals], "Not Found", 0)</f>
        <v>1</v>
      </c>
      <c r="S2204" s="16">
        <f>_xlfn.XLOOKUP(CustomerCombinedCleaned[[#This Row],[ID]], Table4[ID], Table4[Website], "Not Found", 0)</f>
        <v>6</v>
      </c>
      <c r="T2204" s="16">
        <f>_xlfn.XLOOKUP(CustomerCombinedCleaned[[#This Row],[ID]], Table4[ID], Table4[Catalog], "Not Found", 0)</f>
        <v>3</v>
      </c>
      <c r="U2204" s="16">
        <f>_xlfn.XLOOKUP(CustomerCombinedCleaned[[#This Row],[ID]], Table4[ID], Table4[Store], "Not Found", 0)</f>
        <v>6</v>
      </c>
      <c r="V2204" s="16">
        <f>_xlfn.XLOOKUP(CustomerCombinedCleaned[[#This Row],[ID]], Table4[ID], Table4[Visits], "Not Found", 0)</f>
        <v>4</v>
      </c>
      <c r="W2204" s="16">
        <f>_xlfn.XLOOKUP(CustomerCombinedCleaned[[#This Row],[ID]], Table2[ID],Table2[Complaint], "Not Found", 0 )</f>
        <v>0</v>
      </c>
      <c r="X2204" s="16">
        <f>_xlfn.XLOOKUP(CustomerCombinedCleaned[[#This Row],[ID]], Table2[ID],Table2[Pilot], "Not Found", 0 )</f>
        <v>0</v>
      </c>
      <c r="Y2204" s="16">
        <f>_xlfn.XLOOKUP(CustomerCombinedCleaned[[#This Row],[ID]], Table2[ID],Table2[MC1], "Not Found", 0 )</f>
        <v>0</v>
      </c>
      <c r="Z2204" s="16">
        <f>_xlfn.XLOOKUP(CustomerCombinedCleaned[[#This Row],[ID]], Table2[ID],Table2[MC2], "Not Found", 0 )</f>
        <v>0</v>
      </c>
      <c r="AA2204" s="16">
        <f>_xlfn.XLOOKUP(CustomerCombinedCleaned[[#This Row],[ID]], Table2[ID],Table2[MC3], "Not Found", 0 )</f>
        <v>0</v>
      </c>
      <c r="AB2204" s="16">
        <f>_xlfn.XLOOKUP(CustomerCombinedCleaned[[#This Row],[ID]], Table2[ID],Table2[MC4], "Not Found", 0 )</f>
        <v>0</v>
      </c>
      <c r="AC2204" s="16">
        <f>_xlfn.XLOOKUP(CustomerCombinedCleaned[[#This Row],[ID]], Table2[ID],Table2[MC5], "Not Found", 0 )</f>
        <v>0</v>
      </c>
    </row>
    <row r="2205" spans="1:29" x14ac:dyDescent="0.3">
      <c r="A2205" s="18">
        <v>2125</v>
      </c>
      <c r="B2205" s="16">
        <v>163285</v>
      </c>
      <c r="C2205" s="16">
        <v>0</v>
      </c>
      <c r="D2205" s="16">
        <v>0</v>
      </c>
      <c r="E2205" s="16">
        <v>75</v>
      </c>
      <c r="F2205" s="17" t="s">
        <v>9</v>
      </c>
      <c r="G2205" s="17" t="s">
        <v>11</v>
      </c>
      <c r="H2205" s="3" t="s">
        <v>579</v>
      </c>
      <c r="I2205" s="5" t="s">
        <v>437</v>
      </c>
      <c r="J2205" s="16">
        <f>_xlfn.XLOOKUP(CustomerCombinedCleaned[[#This Row],[ID]], Table4[ID], Table4[Recency], "Not Found", 0)</f>
        <v>84</v>
      </c>
      <c r="K2205" s="16">
        <f>_xlfn.XLOOKUP(CustomerCombinedCleaned[[#This Row],[ID]], Table4[ID], Table4[Teas], "Not Found", 0)</f>
        <v>1311</v>
      </c>
      <c r="L2205" s="16">
        <f>_xlfn.XLOOKUP(CustomerCombinedCleaned[[#This Row],[ID]], Table4[ID], Table4[Fruits], "Not Found", 0)</f>
        <v>320</v>
      </c>
      <c r="M2205" s="16">
        <f>_xlfn.XLOOKUP(CustomerCombinedCleaned[[#This Row],[ID]], Table4[ID], Table4[Meats], "Not Found", 0)</f>
        <v>642</v>
      </c>
      <c r="N2205" s="16">
        <f>_xlfn.XLOOKUP(CustomerCombinedCleaned[[#This Row],[ID]], Table4[ID], Table4[Seafood], "Not Found", 0)</f>
        <v>129</v>
      </c>
      <c r="O2205" s="16">
        <f>_xlfn.XLOOKUP(CustomerCombinedCleaned[[#This Row],[ID]], Table4[ID], Table4[Sweets], "Not Found", 0)</f>
        <v>98</v>
      </c>
      <c r="P2205" s="16">
        <f>_xlfn.XLOOKUP(CustomerCombinedCleaned[[#This Row],[ID]], Table4[ID], Table4[Premium], "Not Found", 0)</f>
        <v>346</v>
      </c>
      <c r="Q2205" s="16">
        <f>_xlfn.XLOOKUP(CustomerCombinedCleaned[[#This Row],[ID]], Table4[ID], Table4[Regular], "Not Found", 0)</f>
        <v>2154</v>
      </c>
      <c r="R2205" s="16">
        <f>_xlfn.XLOOKUP(CustomerCombinedCleaned[[#This Row],[ID]], Table4[ID], Table4[Deals], "Not Found", 0)</f>
        <v>1</v>
      </c>
      <c r="S2205" s="16">
        <f>_xlfn.XLOOKUP(CustomerCombinedCleaned[[#This Row],[ID]], Table4[ID], Table4[Website], "Not Found", 0)</f>
        <v>6</v>
      </c>
      <c r="T2205" s="16">
        <f>_xlfn.XLOOKUP(CustomerCombinedCleaned[[#This Row],[ID]], Table4[ID], Table4[Catalog], "Not Found", 0)</f>
        <v>5</v>
      </c>
      <c r="U2205" s="16">
        <f>_xlfn.XLOOKUP(CustomerCombinedCleaned[[#This Row],[ID]], Table4[ID], Table4[Store], "Not Found", 0)</f>
        <v>13</v>
      </c>
      <c r="V2205" s="16">
        <f>_xlfn.XLOOKUP(CustomerCombinedCleaned[[#This Row],[ID]], Table4[ID], Table4[Visits], "Not Found", 0)</f>
        <v>3</v>
      </c>
      <c r="W2205" s="16">
        <f>_xlfn.XLOOKUP(CustomerCombinedCleaned[[#This Row],[ID]], Table2[ID],Table2[Complaint], "Not Found", 0 )</f>
        <v>0</v>
      </c>
      <c r="X2205" s="16">
        <f>_xlfn.XLOOKUP(CustomerCombinedCleaned[[#This Row],[ID]], Table2[ID],Table2[Pilot], "Not Found", 0 )</f>
        <v>0</v>
      </c>
      <c r="Y2205" s="16">
        <f>_xlfn.XLOOKUP(CustomerCombinedCleaned[[#This Row],[ID]], Table2[ID],Table2[MC1], "Not Found", 0 )</f>
        <v>0</v>
      </c>
      <c r="Z2205" s="16">
        <f>_xlfn.XLOOKUP(CustomerCombinedCleaned[[#This Row],[ID]], Table2[ID],Table2[MC2], "Not Found", 0 )</f>
        <v>0</v>
      </c>
      <c r="AA2205" s="16">
        <f>_xlfn.XLOOKUP(CustomerCombinedCleaned[[#This Row],[ID]], Table2[ID],Table2[MC3], "Not Found", 0 )</f>
        <v>0</v>
      </c>
      <c r="AB2205" s="16">
        <f>_xlfn.XLOOKUP(CustomerCombinedCleaned[[#This Row],[ID]], Table2[ID],Table2[MC4], "Not Found", 0 )</f>
        <v>0</v>
      </c>
      <c r="AC2205" s="16">
        <f>_xlfn.XLOOKUP(CustomerCombinedCleaned[[#This Row],[ID]], Table2[ID],Table2[MC5], "Not Found", 0 )</f>
        <v>0</v>
      </c>
    </row>
    <row r="2206" spans="1:29" x14ac:dyDescent="0.3">
      <c r="A2206" s="18">
        <v>1771</v>
      </c>
      <c r="B2206" s="16">
        <v>162847</v>
      </c>
      <c r="C2206" s="16">
        <v>0</v>
      </c>
      <c r="D2206" s="16">
        <v>0</v>
      </c>
      <c r="E2206" s="16">
        <v>75</v>
      </c>
      <c r="F2206" s="17" t="s">
        <v>8</v>
      </c>
      <c r="G2206" s="17" t="s">
        <v>12</v>
      </c>
      <c r="H2206" s="3" t="s">
        <v>325</v>
      </c>
      <c r="I2206" s="5" t="s">
        <v>437</v>
      </c>
      <c r="J2206" s="16">
        <f>_xlfn.XLOOKUP(CustomerCombinedCleaned[[#This Row],[ID]], Table4[ID], Table4[Recency], "Not Found", 0)</f>
        <v>45</v>
      </c>
      <c r="K2206" s="16">
        <f>_xlfn.XLOOKUP(CustomerCombinedCleaned[[#This Row],[ID]], Table4[ID], Table4[Teas], "Not Found", 0)</f>
        <v>1350</v>
      </c>
      <c r="L2206" s="16">
        <f>_xlfn.XLOOKUP(CustomerCombinedCleaned[[#This Row],[ID]], Table4[ID], Table4[Fruits], "Not Found", 0)</f>
        <v>435</v>
      </c>
      <c r="M2206" s="16">
        <f>_xlfn.XLOOKUP(CustomerCombinedCleaned[[#This Row],[ID]], Table4[ID], Table4[Meats], "Not Found", 0)</f>
        <v>1829</v>
      </c>
      <c r="N2206" s="16">
        <f>_xlfn.XLOOKUP(CustomerCombinedCleaned[[#This Row],[ID]], Table4[ID], Table4[Seafood], "Not Found", 0)</f>
        <v>207</v>
      </c>
      <c r="O2206" s="16">
        <f>_xlfn.XLOOKUP(CustomerCombinedCleaned[[#This Row],[ID]], Table4[ID], Table4[Sweets], "Not Found", 0)</f>
        <v>197</v>
      </c>
      <c r="P2206" s="16">
        <f>_xlfn.XLOOKUP(CustomerCombinedCleaned[[#This Row],[ID]], Table4[ID], Table4[Premium], "Not Found", 0)</f>
        <v>158</v>
      </c>
      <c r="Q2206" s="16">
        <f>_xlfn.XLOOKUP(CustomerCombinedCleaned[[#This Row],[ID]], Table4[ID], Table4[Regular], "Not Found", 0)</f>
        <v>3861</v>
      </c>
      <c r="R2206" s="16">
        <f>_xlfn.XLOOKUP(CustomerCombinedCleaned[[#This Row],[ID]], Table4[ID], Table4[Deals], "Not Found", 0)</f>
        <v>1</v>
      </c>
      <c r="S2206" s="16">
        <f>_xlfn.XLOOKUP(CustomerCombinedCleaned[[#This Row],[ID]], Table4[ID], Table4[Website], "Not Found", 0)</f>
        <v>3</v>
      </c>
      <c r="T2206" s="16">
        <f>_xlfn.XLOOKUP(CustomerCombinedCleaned[[#This Row],[ID]], Table4[ID], Table4[Catalog], "Not Found", 0)</f>
        <v>6</v>
      </c>
      <c r="U2206" s="16">
        <f>_xlfn.XLOOKUP(CustomerCombinedCleaned[[#This Row],[ID]], Table4[ID], Table4[Store], "Not Found", 0)</f>
        <v>4</v>
      </c>
      <c r="V2206" s="16">
        <f>_xlfn.XLOOKUP(CustomerCombinedCleaned[[#This Row],[ID]], Table4[ID], Table4[Visits], "Not Found", 0)</f>
        <v>2</v>
      </c>
      <c r="W2206" s="16">
        <f>_xlfn.XLOOKUP(CustomerCombinedCleaned[[#This Row],[ID]], Table2[ID],Table2[Complaint], "Not Found", 0 )</f>
        <v>0</v>
      </c>
      <c r="X2206" s="16">
        <f>_xlfn.XLOOKUP(CustomerCombinedCleaned[[#This Row],[ID]], Table2[ID],Table2[Pilot], "Not Found", 0 )</f>
        <v>0</v>
      </c>
      <c r="Y2206" s="16">
        <f>_xlfn.XLOOKUP(CustomerCombinedCleaned[[#This Row],[ID]], Table2[ID],Table2[MC1], "Not Found", 0 )</f>
        <v>0</v>
      </c>
      <c r="Z2206" s="16">
        <f>_xlfn.XLOOKUP(CustomerCombinedCleaned[[#This Row],[ID]], Table2[ID],Table2[MC2], "Not Found", 0 )</f>
        <v>0</v>
      </c>
      <c r="AA2206" s="16">
        <f>_xlfn.XLOOKUP(CustomerCombinedCleaned[[#This Row],[ID]], Table2[ID],Table2[MC3], "Not Found", 0 )</f>
        <v>0</v>
      </c>
      <c r="AB2206" s="16">
        <f>_xlfn.XLOOKUP(CustomerCombinedCleaned[[#This Row],[ID]], Table2[ID],Table2[MC4], "Not Found", 0 )</f>
        <v>0</v>
      </c>
      <c r="AC2206" s="16">
        <f>_xlfn.XLOOKUP(CustomerCombinedCleaned[[#This Row],[ID]], Table2[ID],Table2[MC5], "Not Found", 0 )</f>
        <v>0</v>
      </c>
    </row>
    <row r="2207" spans="1:29" x14ac:dyDescent="0.3">
      <c r="A2207" s="18">
        <v>2717</v>
      </c>
      <c r="B2207" s="16">
        <v>145576</v>
      </c>
      <c r="C2207" s="16">
        <v>0</v>
      </c>
      <c r="D2207" s="16">
        <v>0</v>
      </c>
      <c r="E2207" s="16">
        <v>75</v>
      </c>
      <c r="F2207" s="17" t="s">
        <v>7</v>
      </c>
      <c r="G2207" s="17" t="s">
        <v>13</v>
      </c>
      <c r="H2207" s="3" t="s">
        <v>537</v>
      </c>
      <c r="I2207" s="5" t="s">
        <v>434</v>
      </c>
      <c r="J2207" s="16">
        <f>_xlfn.XLOOKUP(CustomerCombinedCleaned[[#This Row],[ID]], Table4[ID], Table4[Recency], "Not Found", 0)</f>
        <v>9</v>
      </c>
      <c r="K2207" s="16">
        <f>_xlfn.XLOOKUP(CustomerCombinedCleaned[[#This Row],[ID]], Table4[ID], Table4[Teas], "Not Found", 0)</f>
        <v>179</v>
      </c>
      <c r="L2207" s="16">
        <f>_xlfn.XLOOKUP(CustomerCombinedCleaned[[#This Row],[ID]], Table4[ID], Table4[Fruits], "Not Found", 0)</f>
        <v>61</v>
      </c>
      <c r="M2207" s="16">
        <f>_xlfn.XLOOKUP(CustomerCombinedCleaned[[#This Row],[ID]], Table4[ID], Table4[Meats], "Not Found", 0)</f>
        <v>93</v>
      </c>
      <c r="N2207" s="16">
        <f>_xlfn.XLOOKUP(CustomerCombinedCleaned[[#This Row],[ID]], Table4[ID], Table4[Seafood], "Not Found", 0)</f>
        <v>6</v>
      </c>
      <c r="O2207" s="16">
        <f>_xlfn.XLOOKUP(CustomerCombinedCleaned[[#This Row],[ID]], Table4[ID], Table4[Sweets], "Not Found", 0)</f>
        <v>45</v>
      </c>
      <c r="P2207" s="16">
        <f>_xlfn.XLOOKUP(CustomerCombinedCleaned[[#This Row],[ID]], Table4[ID], Table4[Premium], "Not Found", 0)</f>
        <v>80</v>
      </c>
      <c r="Q2207" s="16">
        <f>_xlfn.XLOOKUP(CustomerCombinedCleaned[[#This Row],[ID]], Table4[ID], Table4[Regular], "Not Found", 0)</f>
        <v>303</v>
      </c>
      <c r="R2207" s="16">
        <f>_xlfn.XLOOKUP(CustomerCombinedCleaned[[#This Row],[ID]], Table4[ID], Table4[Deals], "Not Found", 0)</f>
        <v>1</v>
      </c>
      <c r="S2207" s="16">
        <f>_xlfn.XLOOKUP(CustomerCombinedCleaned[[#This Row],[ID]], Table4[ID], Table4[Website], "Not Found", 0)</f>
        <v>3</v>
      </c>
      <c r="T2207" s="16">
        <f>_xlfn.XLOOKUP(CustomerCombinedCleaned[[#This Row],[ID]], Table4[ID], Table4[Catalog], "Not Found", 0)</f>
        <v>1</v>
      </c>
      <c r="U2207" s="16">
        <f>_xlfn.XLOOKUP(CustomerCombinedCleaned[[#This Row],[ID]], Table4[ID], Table4[Store], "Not Found", 0)</f>
        <v>3</v>
      </c>
      <c r="V2207" s="16">
        <f>_xlfn.XLOOKUP(CustomerCombinedCleaned[[#This Row],[ID]], Table4[ID], Table4[Visits], "Not Found", 0)</f>
        <v>8</v>
      </c>
      <c r="W2207" s="16">
        <f>_xlfn.XLOOKUP(CustomerCombinedCleaned[[#This Row],[ID]], Table2[ID],Table2[Complaint], "Not Found", 0 )</f>
        <v>0</v>
      </c>
      <c r="X2207" s="16">
        <f>_xlfn.XLOOKUP(CustomerCombinedCleaned[[#This Row],[ID]], Table2[ID],Table2[Pilot], "Not Found", 0 )</f>
        <v>1</v>
      </c>
      <c r="Y2207" s="16">
        <f>_xlfn.XLOOKUP(CustomerCombinedCleaned[[#This Row],[ID]], Table2[ID],Table2[MC1], "Not Found", 0 )</f>
        <v>0</v>
      </c>
      <c r="Z2207" s="16">
        <f>_xlfn.XLOOKUP(CustomerCombinedCleaned[[#This Row],[ID]], Table2[ID],Table2[MC2], "Not Found", 0 )</f>
        <v>0</v>
      </c>
      <c r="AA2207" s="16">
        <f>_xlfn.XLOOKUP(CustomerCombinedCleaned[[#This Row],[ID]], Table2[ID],Table2[MC3], "Not Found", 0 )</f>
        <v>0</v>
      </c>
      <c r="AB2207" s="16">
        <f>_xlfn.XLOOKUP(CustomerCombinedCleaned[[#This Row],[ID]], Table2[ID],Table2[MC4], "Not Found", 0 )</f>
        <v>0</v>
      </c>
      <c r="AC2207" s="16">
        <f>_xlfn.XLOOKUP(CustomerCombinedCleaned[[#This Row],[ID]], Table2[ID],Table2[MC5], "Not Found", 0 )</f>
        <v>0</v>
      </c>
    </row>
    <row r="2208" spans="1:29" x14ac:dyDescent="0.3">
      <c r="A2208" s="18">
        <v>1784</v>
      </c>
      <c r="B2208" s="16">
        <v>182716</v>
      </c>
      <c r="C2208" s="16">
        <v>0</v>
      </c>
      <c r="D2208" s="16">
        <v>0</v>
      </c>
      <c r="E2208" s="16">
        <v>76</v>
      </c>
      <c r="F2208" s="17" t="s">
        <v>7</v>
      </c>
      <c r="G2208" s="17" t="s">
        <v>13</v>
      </c>
      <c r="H2208" s="3" t="s">
        <v>579</v>
      </c>
      <c r="I2208" s="5" t="s">
        <v>438</v>
      </c>
      <c r="J2208" s="16">
        <f>_xlfn.XLOOKUP(CustomerCombinedCleaned[[#This Row],[ID]], Table4[ID], Table4[Recency], "Not Found", 0)</f>
        <v>8</v>
      </c>
      <c r="K2208" s="16">
        <f>_xlfn.XLOOKUP(CustomerCombinedCleaned[[#This Row],[ID]], Table4[ID], Table4[Teas], "Not Found", 0)</f>
        <v>1339</v>
      </c>
      <c r="L2208" s="16">
        <f>_xlfn.XLOOKUP(CustomerCombinedCleaned[[#This Row],[ID]], Table4[ID], Table4[Fruits], "Not Found", 0)</f>
        <v>327</v>
      </c>
      <c r="M2208" s="16">
        <f>_xlfn.XLOOKUP(CustomerCombinedCleaned[[#This Row],[ID]], Table4[ID], Table4[Meats], "Not Found", 0)</f>
        <v>504</v>
      </c>
      <c r="N2208" s="16">
        <f>_xlfn.XLOOKUP(CustomerCombinedCleaned[[#This Row],[ID]], Table4[ID], Table4[Seafood], "Not Found", 0)</f>
        <v>33</v>
      </c>
      <c r="O2208" s="16">
        <f>_xlfn.XLOOKUP(CustomerCombinedCleaned[[#This Row],[ID]], Table4[ID], Table4[Sweets], "Not Found", 0)</f>
        <v>327</v>
      </c>
      <c r="P2208" s="16">
        <f>_xlfn.XLOOKUP(CustomerCombinedCleaned[[#This Row],[ID]], Table4[ID], Table4[Premium], "Not Found", 0)</f>
        <v>49</v>
      </c>
      <c r="Q2208" s="16">
        <f>_xlfn.XLOOKUP(CustomerCombinedCleaned[[#This Row],[ID]], Table4[ID], Table4[Regular], "Not Found", 0)</f>
        <v>2481</v>
      </c>
      <c r="R2208" s="16">
        <f>_xlfn.XLOOKUP(CustomerCombinedCleaned[[#This Row],[ID]], Table4[ID], Table4[Deals], "Not Found", 0)</f>
        <v>1</v>
      </c>
      <c r="S2208" s="16">
        <f>_xlfn.XLOOKUP(CustomerCombinedCleaned[[#This Row],[ID]], Table4[ID], Table4[Website], "Not Found", 0)</f>
        <v>6</v>
      </c>
      <c r="T2208" s="16">
        <f>_xlfn.XLOOKUP(CustomerCombinedCleaned[[#This Row],[ID]], Table4[ID], Table4[Catalog], "Not Found", 0)</f>
        <v>8</v>
      </c>
      <c r="U2208" s="16">
        <f>_xlfn.XLOOKUP(CustomerCombinedCleaned[[#This Row],[ID]], Table4[ID], Table4[Store], "Not Found", 0)</f>
        <v>13</v>
      </c>
      <c r="V2208" s="16">
        <f>_xlfn.XLOOKUP(CustomerCombinedCleaned[[#This Row],[ID]], Table4[ID], Table4[Visits], "Not Found", 0)</f>
        <v>2</v>
      </c>
      <c r="W2208" s="16">
        <f>_xlfn.XLOOKUP(CustomerCombinedCleaned[[#This Row],[ID]], Table2[ID],Table2[Complaint], "Not Found", 0 )</f>
        <v>0</v>
      </c>
      <c r="X2208" s="16">
        <f>_xlfn.XLOOKUP(CustomerCombinedCleaned[[#This Row],[ID]], Table2[ID],Table2[Pilot], "Not Found", 0 )</f>
        <v>0</v>
      </c>
      <c r="Y2208" s="16">
        <f>_xlfn.XLOOKUP(CustomerCombinedCleaned[[#This Row],[ID]], Table2[ID],Table2[MC1], "Not Found", 0 )</f>
        <v>0</v>
      </c>
      <c r="Z2208" s="16">
        <f>_xlfn.XLOOKUP(CustomerCombinedCleaned[[#This Row],[ID]], Table2[ID],Table2[MC2], "Not Found", 0 )</f>
        <v>0</v>
      </c>
      <c r="AA2208" s="16">
        <f>_xlfn.XLOOKUP(CustomerCombinedCleaned[[#This Row],[ID]], Table2[ID],Table2[MC3], "Not Found", 0 )</f>
        <v>0</v>
      </c>
      <c r="AB2208" s="16">
        <f>_xlfn.XLOOKUP(CustomerCombinedCleaned[[#This Row],[ID]], Table2[ID],Table2[MC4], "Not Found", 0 )</f>
        <v>0</v>
      </c>
      <c r="AC2208" s="16">
        <f>_xlfn.XLOOKUP(CustomerCombinedCleaned[[#This Row],[ID]], Table2[ID],Table2[MC5], "Not Found", 0 )</f>
        <v>0</v>
      </c>
    </row>
    <row r="2209" spans="1:29" x14ac:dyDescent="0.3">
      <c r="A2209" s="18">
        <v>2389</v>
      </c>
      <c r="B2209" s="16">
        <v>180589</v>
      </c>
      <c r="C2209" s="16">
        <v>0</v>
      </c>
      <c r="D2209" s="16">
        <v>0</v>
      </c>
      <c r="E2209" s="16">
        <v>76</v>
      </c>
      <c r="F2209" s="17" t="s">
        <v>6</v>
      </c>
      <c r="G2209" s="17" t="s">
        <v>11</v>
      </c>
      <c r="H2209" s="3" t="s">
        <v>110</v>
      </c>
      <c r="I2209" s="5" t="s">
        <v>437</v>
      </c>
      <c r="J2209" s="16">
        <f>_xlfn.XLOOKUP(CustomerCombinedCleaned[[#This Row],[ID]], Table4[ID], Table4[Recency], "Not Found", 0)</f>
        <v>25</v>
      </c>
      <c r="K2209" s="16">
        <f>_xlfn.XLOOKUP(CustomerCombinedCleaned[[#This Row],[ID]], Table4[ID], Table4[Teas], "Not Found", 0)</f>
        <v>1136</v>
      </c>
      <c r="L2209" s="16">
        <f>_xlfn.XLOOKUP(CustomerCombinedCleaned[[#This Row],[ID]], Table4[ID], Table4[Fruits], "Not Found", 0)</f>
        <v>208</v>
      </c>
      <c r="M2209" s="16">
        <f>_xlfn.XLOOKUP(CustomerCombinedCleaned[[#This Row],[ID]], Table4[ID], Table4[Meats], "Not Found", 0)</f>
        <v>1165</v>
      </c>
      <c r="N2209" s="16">
        <f>_xlfn.XLOOKUP(CustomerCombinedCleaned[[#This Row],[ID]], Table4[ID], Table4[Seafood], "Not Found", 0)</f>
        <v>542</v>
      </c>
      <c r="O2209" s="16">
        <f>_xlfn.XLOOKUP(CustomerCombinedCleaned[[#This Row],[ID]], Table4[ID], Table4[Sweets], "Not Found", 0)</f>
        <v>90</v>
      </c>
      <c r="P2209" s="16">
        <f>_xlfn.XLOOKUP(CustomerCombinedCleaned[[#This Row],[ID]], Table4[ID], Table4[Premium], "Not Found", 0)</f>
        <v>58</v>
      </c>
      <c r="Q2209" s="16">
        <f>_xlfn.XLOOKUP(CustomerCombinedCleaned[[#This Row],[ID]], Table4[ID], Table4[Regular], "Not Found", 0)</f>
        <v>3083</v>
      </c>
      <c r="R2209" s="16">
        <f>_xlfn.XLOOKUP(CustomerCombinedCleaned[[#This Row],[ID]], Table4[ID], Table4[Deals], "Not Found", 0)</f>
        <v>1</v>
      </c>
      <c r="S2209" s="16">
        <f>_xlfn.XLOOKUP(CustomerCombinedCleaned[[#This Row],[ID]], Table4[ID], Table4[Website], "Not Found", 0)</f>
        <v>5</v>
      </c>
      <c r="T2209" s="16">
        <f>_xlfn.XLOOKUP(CustomerCombinedCleaned[[#This Row],[ID]], Table4[ID], Table4[Catalog], "Not Found", 0)</f>
        <v>10</v>
      </c>
      <c r="U2209" s="16">
        <f>_xlfn.XLOOKUP(CustomerCombinedCleaned[[#This Row],[ID]], Table4[ID], Table4[Store], "Not Found", 0)</f>
        <v>5</v>
      </c>
      <c r="V2209" s="16">
        <f>_xlfn.XLOOKUP(CustomerCombinedCleaned[[#This Row],[ID]], Table4[ID], Table4[Visits], "Not Found", 0)</f>
        <v>1</v>
      </c>
      <c r="W2209" s="16">
        <f>_xlfn.XLOOKUP(CustomerCombinedCleaned[[#This Row],[ID]], Table2[ID],Table2[Complaint], "Not Found", 0 )</f>
        <v>0</v>
      </c>
      <c r="X2209" s="16">
        <f>_xlfn.XLOOKUP(CustomerCombinedCleaned[[#This Row],[ID]], Table2[ID],Table2[Pilot], "Not Found", 0 )</f>
        <v>1</v>
      </c>
      <c r="Y2209" s="16">
        <f>_xlfn.XLOOKUP(CustomerCombinedCleaned[[#This Row],[ID]], Table2[ID],Table2[MC1], "Not Found", 0 )</f>
        <v>1</v>
      </c>
      <c r="Z2209" s="16">
        <f>_xlfn.XLOOKUP(CustomerCombinedCleaned[[#This Row],[ID]], Table2[ID],Table2[MC2], "Not Found", 0 )</f>
        <v>0</v>
      </c>
      <c r="AA2209" s="16">
        <f>_xlfn.XLOOKUP(CustomerCombinedCleaned[[#This Row],[ID]], Table2[ID],Table2[MC3], "Not Found", 0 )</f>
        <v>0</v>
      </c>
      <c r="AB2209" s="16">
        <f>_xlfn.XLOOKUP(CustomerCombinedCleaned[[#This Row],[ID]], Table2[ID],Table2[MC4], "Not Found", 0 )</f>
        <v>0</v>
      </c>
      <c r="AC2209" s="16">
        <f>_xlfn.XLOOKUP(CustomerCombinedCleaned[[#This Row],[ID]], Table2[ID],Table2[MC5], "Not Found", 0 )</f>
        <v>0</v>
      </c>
    </row>
    <row r="2210" spans="1:29" x14ac:dyDescent="0.3">
      <c r="A2210" s="18">
        <v>1503</v>
      </c>
      <c r="B2210" s="16">
        <v>180184</v>
      </c>
      <c r="C2210" s="16">
        <v>0</v>
      </c>
      <c r="D2210" s="16">
        <v>0</v>
      </c>
      <c r="E2210" s="16">
        <v>76</v>
      </c>
      <c r="F2210" s="17" t="s">
        <v>6</v>
      </c>
      <c r="G2210" s="17" t="s">
        <v>12</v>
      </c>
      <c r="H2210" s="3" t="s">
        <v>603</v>
      </c>
      <c r="I2210" s="5" t="s">
        <v>435</v>
      </c>
      <c r="J2210" s="16">
        <f>_xlfn.XLOOKUP(CustomerCombinedCleaned[[#This Row],[ID]], Table4[ID], Table4[Recency], "Not Found", 0)</f>
        <v>19</v>
      </c>
      <c r="K2210" s="16">
        <f>_xlfn.XLOOKUP(CustomerCombinedCleaned[[#This Row],[ID]], Table4[ID], Table4[Teas], "Not Found", 0)</f>
        <v>2326</v>
      </c>
      <c r="L2210" s="16">
        <f>_xlfn.XLOOKUP(CustomerCombinedCleaned[[#This Row],[ID]], Table4[ID], Table4[Fruits], "Not Found", 0)</f>
        <v>301</v>
      </c>
      <c r="M2210" s="16">
        <f>_xlfn.XLOOKUP(CustomerCombinedCleaned[[#This Row],[ID]], Table4[ID], Table4[Meats], "Not Found", 0)</f>
        <v>1506</v>
      </c>
      <c r="N2210" s="16">
        <f>_xlfn.XLOOKUP(CustomerCombinedCleaned[[#This Row],[ID]], Table4[ID], Table4[Seafood], "Not Found", 0)</f>
        <v>56</v>
      </c>
      <c r="O2210" s="16">
        <f>_xlfn.XLOOKUP(CustomerCombinedCleaned[[#This Row],[ID]], Table4[ID], Table4[Sweets], "Not Found", 0)</f>
        <v>85</v>
      </c>
      <c r="P2210" s="16">
        <f>_xlfn.XLOOKUP(CustomerCombinedCleaned[[#This Row],[ID]], Table4[ID], Table4[Premium], "Not Found", 0)</f>
        <v>0</v>
      </c>
      <c r="Q2210" s="16">
        <f>_xlfn.XLOOKUP(CustomerCombinedCleaned[[#This Row],[ID]], Table4[ID], Table4[Regular], "Not Found", 0)</f>
        <v>4274</v>
      </c>
      <c r="R2210" s="16">
        <f>_xlfn.XLOOKUP(CustomerCombinedCleaned[[#This Row],[ID]], Table4[ID], Table4[Deals], "Not Found", 0)</f>
        <v>1</v>
      </c>
      <c r="S2210" s="16">
        <f>_xlfn.XLOOKUP(CustomerCombinedCleaned[[#This Row],[ID]], Table4[ID], Table4[Website], "Not Found", 0)</f>
        <v>6</v>
      </c>
      <c r="T2210" s="16">
        <f>_xlfn.XLOOKUP(CustomerCombinedCleaned[[#This Row],[ID]], Table4[ID], Table4[Catalog], "Not Found", 0)</f>
        <v>3</v>
      </c>
      <c r="U2210" s="16">
        <f>_xlfn.XLOOKUP(CustomerCombinedCleaned[[#This Row],[ID]], Table4[ID], Table4[Store], "Not Found", 0)</f>
        <v>10</v>
      </c>
      <c r="V2210" s="16">
        <f>_xlfn.XLOOKUP(CustomerCombinedCleaned[[#This Row],[ID]], Table4[ID], Table4[Visits], "Not Found", 0)</f>
        <v>3</v>
      </c>
      <c r="W2210" s="16">
        <f>_xlfn.XLOOKUP(CustomerCombinedCleaned[[#This Row],[ID]], Table2[ID],Table2[Complaint], "Not Found", 0 )</f>
        <v>0</v>
      </c>
      <c r="X2210" s="16">
        <f>_xlfn.XLOOKUP(CustomerCombinedCleaned[[#This Row],[ID]], Table2[ID],Table2[Pilot], "Not Found", 0 )</f>
        <v>0</v>
      </c>
      <c r="Y2210" s="16">
        <f>_xlfn.XLOOKUP(CustomerCombinedCleaned[[#This Row],[ID]], Table2[ID],Table2[MC1], "Not Found", 0 )</f>
        <v>1</v>
      </c>
      <c r="Z2210" s="16">
        <f>_xlfn.XLOOKUP(CustomerCombinedCleaned[[#This Row],[ID]], Table2[ID],Table2[MC2], "Not Found", 0 )</f>
        <v>0</v>
      </c>
      <c r="AA2210" s="16">
        <f>_xlfn.XLOOKUP(CustomerCombinedCleaned[[#This Row],[ID]], Table2[ID],Table2[MC3], "Not Found", 0 )</f>
        <v>0</v>
      </c>
      <c r="AB2210" s="16">
        <f>_xlfn.XLOOKUP(CustomerCombinedCleaned[[#This Row],[ID]], Table2[ID],Table2[MC4], "Not Found", 0 )</f>
        <v>0</v>
      </c>
      <c r="AC2210" s="16">
        <f>_xlfn.XLOOKUP(CustomerCombinedCleaned[[#This Row],[ID]], Table2[ID],Table2[MC5], "Not Found", 0 )</f>
        <v>1</v>
      </c>
    </row>
    <row r="2211" spans="1:29" x14ac:dyDescent="0.3">
      <c r="A2211" s="18">
        <v>1483</v>
      </c>
      <c r="B2211" s="16">
        <v>165275</v>
      </c>
      <c r="C2211" s="16">
        <v>0</v>
      </c>
      <c r="D2211" s="16">
        <v>0</v>
      </c>
      <c r="E2211" s="16">
        <v>76</v>
      </c>
      <c r="F2211" s="17" t="s">
        <v>6</v>
      </c>
      <c r="G2211" s="17" t="s">
        <v>11</v>
      </c>
      <c r="H2211" s="3" t="s">
        <v>689</v>
      </c>
      <c r="I2211" s="5" t="s">
        <v>437</v>
      </c>
      <c r="J2211" s="16">
        <f>_xlfn.XLOOKUP(CustomerCombinedCleaned[[#This Row],[ID]], Table4[ID], Table4[Recency], "Not Found", 0)</f>
        <v>9</v>
      </c>
      <c r="K2211" s="16">
        <f>_xlfn.XLOOKUP(CustomerCombinedCleaned[[#This Row],[ID]], Table4[ID], Table4[Teas], "Not Found", 0)</f>
        <v>982</v>
      </c>
      <c r="L2211" s="16">
        <f>_xlfn.XLOOKUP(CustomerCombinedCleaned[[#This Row],[ID]], Table4[ID], Table4[Fruits], "Not Found", 0)</f>
        <v>35</v>
      </c>
      <c r="M2211" s="16">
        <f>_xlfn.XLOOKUP(CustomerCombinedCleaned[[#This Row],[ID]], Table4[ID], Table4[Meats], "Not Found", 0)</f>
        <v>552</v>
      </c>
      <c r="N2211" s="16">
        <f>_xlfn.XLOOKUP(CustomerCombinedCleaned[[#This Row],[ID]], Table4[ID], Table4[Seafood], "Not Found", 0)</f>
        <v>230</v>
      </c>
      <c r="O2211" s="16">
        <f>_xlfn.XLOOKUP(CustomerCombinedCleaned[[#This Row],[ID]], Table4[ID], Table4[Sweets], "Not Found", 0)</f>
        <v>35</v>
      </c>
      <c r="P2211" s="16">
        <f>_xlfn.XLOOKUP(CustomerCombinedCleaned[[#This Row],[ID]], Table4[ID], Table4[Premium], "Not Found", 0)</f>
        <v>53</v>
      </c>
      <c r="Q2211" s="16">
        <f>_xlfn.XLOOKUP(CustomerCombinedCleaned[[#This Row],[ID]], Table4[ID], Table4[Regular], "Not Found", 0)</f>
        <v>1783</v>
      </c>
      <c r="R2211" s="16">
        <f>_xlfn.XLOOKUP(CustomerCombinedCleaned[[#This Row],[ID]], Table4[ID], Table4[Deals], "Not Found", 0)</f>
        <v>1</v>
      </c>
      <c r="S2211" s="16">
        <f>_xlfn.XLOOKUP(CustomerCombinedCleaned[[#This Row],[ID]], Table4[ID], Table4[Website], "Not Found", 0)</f>
        <v>4</v>
      </c>
      <c r="T2211" s="16">
        <f>_xlfn.XLOOKUP(CustomerCombinedCleaned[[#This Row],[ID]], Table4[ID], Table4[Catalog], "Not Found", 0)</f>
        <v>3</v>
      </c>
      <c r="U2211" s="16">
        <f>_xlfn.XLOOKUP(CustomerCombinedCleaned[[#This Row],[ID]], Table4[ID], Table4[Store], "Not Found", 0)</f>
        <v>13</v>
      </c>
      <c r="V2211" s="16">
        <f>_xlfn.XLOOKUP(CustomerCombinedCleaned[[#This Row],[ID]], Table4[ID], Table4[Visits], "Not Found", 0)</f>
        <v>2</v>
      </c>
      <c r="W2211" s="16">
        <f>_xlfn.XLOOKUP(CustomerCombinedCleaned[[#This Row],[ID]], Table2[ID],Table2[Complaint], "Not Found", 0 )</f>
        <v>0</v>
      </c>
      <c r="X2211" s="16">
        <f>_xlfn.XLOOKUP(CustomerCombinedCleaned[[#This Row],[ID]], Table2[ID],Table2[Pilot], "Not Found", 0 )</f>
        <v>0</v>
      </c>
      <c r="Y2211" s="16">
        <f>_xlfn.XLOOKUP(CustomerCombinedCleaned[[#This Row],[ID]], Table2[ID],Table2[MC1], "Not Found", 0 )</f>
        <v>0</v>
      </c>
      <c r="Z2211" s="16">
        <f>_xlfn.XLOOKUP(CustomerCombinedCleaned[[#This Row],[ID]], Table2[ID],Table2[MC2], "Not Found", 0 )</f>
        <v>0</v>
      </c>
      <c r="AA2211" s="16">
        <f>_xlfn.XLOOKUP(CustomerCombinedCleaned[[#This Row],[ID]], Table2[ID],Table2[MC3], "Not Found", 0 )</f>
        <v>0</v>
      </c>
      <c r="AB2211" s="16">
        <f>_xlfn.XLOOKUP(CustomerCombinedCleaned[[#This Row],[ID]], Table2[ID],Table2[MC4], "Not Found", 0 )</f>
        <v>0</v>
      </c>
      <c r="AC2211" s="16">
        <f>_xlfn.XLOOKUP(CustomerCombinedCleaned[[#This Row],[ID]], Table2[ID],Table2[MC5], "Not Found", 0 )</f>
        <v>0</v>
      </c>
    </row>
    <row r="2212" spans="1:29" x14ac:dyDescent="0.3">
      <c r="A2212" s="18">
        <v>2251</v>
      </c>
      <c r="B2212" s="16">
        <v>155956</v>
      </c>
      <c r="C2212" s="16">
        <v>0</v>
      </c>
      <c r="D2212" s="16">
        <v>0</v>
      </c>
      <c r="E2212" s="16">
        <v>76</v>
      </c>
      <c r="F2212" s="17" t="s">
        <v>6</v>
      </c>
      <c r="G2212" s="17" t="s">
        <v>11</v>
      </c>
      <c r="H2212" s="3" t="s">
        <v>659</v>
      </c>
      <c r="I2212" s="5" t="s">
        <v>437</v>
      </c>
      <c r="J2212" s="16">
        <f>_xlfn.XLOOKUP(CustomerCombinedCleaned[[#This Row],[ID]], Table4[ID], Table4[Recency], "Not Found", 0)</f>
        <v>22</v>
      </c>
      <c r="K2212" s="16">
        <f>_xlfn.XLOOKUP(CustomerCombinedCleaned[[#This Row],[ID]], Table4[ID], Table4[Teas], "Not Found", 0)</f>
        <v>2118</v>
      </c>
      <c r="L2212" s="16">
        <f>_xlfn.XLOOKUP(CustomerCombinedCleaned[[#This Row],[ID]], Table4[ID], Table4[Fruits], "Not Found", 0)</f>
        <v>106</v>
      </c>
      <c r="M2212" s="16">
        <f>_xlfn.XLOOKUP(CustomerCombinedCleaned[[#This Row],[ID]], Table4[ID], Table4[Meats], "Not Found", 0)</f>
        <v>290</v>
      </c>
      <c r="N2212" s="16">
        <f>_xlfn.XLOOKUP(CustomerCombinedCleaned[[#This Row],[ID]], Table4[ID], Table4[Seafood], "Not Found", 0)</f>
        <v>139</v>
      </c>
      <c r="O2212" s="16">
        <f>_xlfn.XLOOKUP(CustomerCombinedCleaned[[#This Row],[ID]], Table4[ID], Table4[Sweets], "Not Found", 0)</f>
        <v>25</v>
      </c>
      <c r="P2212" s="16">
        <f>_xlfn.XLOOKUP(CustomerCombinedCleaned[[#This Row],[ID]], Table4[ID], Table4[Premium], "Not Found", 0)</f>
        <v>106</v>
      </c>
      <c r="Q2212" s="16">
        <f>_xlfn.XLOOKUP(CustomerCombinedCleaned[[#This Row],[ID]], Table4[ID], Table4[Regular], "Not Found", 0)</f>
        <v>2573</v>
      </c>
      <c r="R2212" s="16">
        <f>_xlfn.XLOOKUP(CustomerCombinedCleaned[[#This Row],[ID]], Table4[ID], Table4[Deals], "Not Found", 0)</f>
        <v>2</v>
      </c>
      <c r="S2212" s="16">
        <f>_xlfn.XLOOKUP(CustomerCombinedCleaned[[#This Row],[ID]], Table4[ID], Table4[Website], "Not Found", 0)</f>
        <v>7</v>
      </c>
      <c r="T2212" s="16">
        <f>_xlfn.XLOOKUP(CustomerCombinedCleaned[[#This Row],[ID]], Table4[ID], Table4[Catalog], "Not Found", 0)</f>
        <v>3</v>
      </c>
      <c r="U2212" s="16">
        <f>_xlfn.XLOOKUP(CustomerCombinedCleaned[[#This Row],[ID]], Table4[ID], Table4[Store], "Not Found", 0)</f>
        <v>4</v>
      </c>
      <c r="V2212" s="16">
        <f>_xlfn.XLOOKUP(CustomerCombinedCleaned[[#This Row],[ID]], Table4[ID], Table4[Visits], "Not Found", 0)</f>
        <v>4</v>
      </c>
      <c r="W2212" s="16">
        <f>_xlfn.XLOOKUP(CustomerCombinedCleaned[[#This Row],[ID]], Table2[ID],Table2[Complaint], "Not Found", 0 )</f>
        <v>0</v>
      </c>
      <c r="X2212" s="16">
        <f>_xlfn.XLOOKUP(CustomerCombinedCleaned[[#This Row],[ID]], Table2[ID],Table2[Pilot], "Not Found", 0 )</f>
        <v>0</v>
      </c>
      <c r="Y2212" s="16">
        <f>_xlfn.XLOOKUP(CustomerCombinedCleaned[[#This Row],[ID]], Table2[ID],Table2[MC1], "Not Found", 0 )</f>
        <v>0</v>
      </c>
      <c r="Z2212" s="16">
        <f>_xlfn.XLOOKUP(CustomerCombinedCleaned[[#This Row],[ID]], Table2[ID],Table2[MC2], "Not Found", 0 )</f>
        <v>0</v>
      </c>
      <c r="AA2212" s="16">
        <f>_xlfn.XLOOKUP(CustomerCombinedCleaned[[#This Row],[ID]], Table2[ID],Table2[MC3], "Not Found", 0 )</f>
        <v>0</v>
      </c>
      <c r="AB2212" s="16">
        <f>_xlfn.XLOOKUP(CustomerCombinedCleaned[[#This Row],[ID]], Table2[ID],Table2[MC4], "Not Found", 0 )</f>
        <v>1</v>
      </c>
      <c r="AC2212" s="16">
        <f>_xlfn.XLOOKUP(CustomerCombinedCleaned[[#This Row],[ID]], Table2[ID],Table2[MC5], "Not Found", 0 )</f>
        <v>0</v>
      </c>
    </row>
    <row r="2213" spans="1:29" x14ac:dyDescent="0.3">
      <c r="A2213" s="18">
        <v>1478</v>
      </c>
      <c r="B2213" s="16">
        <v>155614</v>
      </c>
      <c r="C2213" s="16">
        <v>0</v>
      </c>
      <c r="D2213" s="16">
        <v>0</v>
      </c>
      <c r="E2213" s="16">
        <v>76</v>
      </c>
      <c r="F2213" s="17" t="s">
        <v>5</v>
      </c>
      <c r="G2213" s="17" t="s">
        <v>13</v>
      </c>
      <c r="H2213" s="3" t="s">
        <v>618</v>
      </c>
      <c r="I2213" s="5" t="s">
        <v>438</v>
      </c>
      <c r="J2213" s="16">
        <f>_xlfn.XLOOKUP(CustomerCombinedCleaned[[#This Row],[ID]], Table4[ID], Table4[Recency], "Not Found", 0)</f>
        <v>85</v>
      </c>
      <c r="K2213" s="16">
        <f>_xlfn.XLOOKUP(CustomerCombinedCleaned[[#This Row],[ID]], Table4[ID], Table4[Teas], "Not Found", 0)</f>
        <v>1410</v>
      </c>
      <c r="L2213" s="16">
        <f>_xlfn.XLOOKUP(CustomerCombinedCleaned[[#This Row],[ID]], Table4[ID], Table4[Fruits], "Not Found", 0)</f>
        <v>36</v>
      </c>
      <c r="M2213" s="16">
        <f>_xlfn.XLOOKUP(CustomerCombinedCleaned[[#This Row],[ID]], Table4[ID], Table4[Meats], "Not Found", 0)</f>
        <v>367</v>
      </c>
      <c r="N2213" s="16">
        <f>_xlfn.XLOOKUP(CustomerCombinedCleaned[[#This Row],[ID]], Table4[ID], Table4[Seafood], "Not Found", 0)</f>
        <v>22</v>
      </c>
      <c r="O2213" s="16">
        <f>_xlfn.XLOOKUP(CustomerCombinedCleaned[[#This Row],[ID]], Table4[ID], Table4[Sweets], "Not Found", 0)</f>
        <v>0</v>
      </c>
      <c r="P2213" s="16">
        <f>_xlfn.XLOOKUP(CustomerCombinedCleaned[[#This Row],[ID]], Table4[ID], Table4[Premium], "Not Found", 0)</f>
        <v>73</v>
      </c>
      <c r="Q2213" s="16">
        <f>_xlfn.XLOOKUP(CustomerCombinedCleaned[[#This Row],[ID]], Table4[ID], Table4[Regular], "Not Found", 0)</f>
        <v>1763</v>
      </c>
      <c r="R2213" s="16">
        <f>_xlfn.XLOOKUP(CustomerCombinedCleaned[[#This Row],[ID]], Table4[ID], Table4[Deals], "Not Found", 0)</f>
        <v>1</v>
      </c>
      <c r="S2213" s="16">
        <f>_xlfn.XLOOKUP(CustomerCombinedCleaned[[#This Row],[ID]], Table4[ID], Table4[Website], "Not Found", 0)</f>
        <v>9</v>
      </c>
      <c r="T2213" s="16">
        <f>_xlfn.XLOOKUP(CustomerCombinedCleaned[[#This Row],[ID]], Table4[ID], Table4[Catalog], "Not Found", 0)</f>
        <v>4</v>
      </c>
      <c r="U2213" s="16">
        <f>_xlfn.XLOOKUP(CustomerCombinedCleaned[[#This Row],[ID]], Table4[ID], Table4[Store], "Not Found", 0)</f>
        <v>6</v>
      </c>
      <c r="V2213" s="16">
        <f>_xlfn.XLOOKUP(CustomerCombinedCleaned[[#This Row],[ID]], Table4[ID], Table4[Visits], "Not Found", 0)</f>
        <v>7</v>
      </c>
      <c r="W2213" s="16">
        <f>_xlfn.XLOOKUP(CustomerCombinedCleaned[[#This Row],[ID]], Table2[ID],Table2[Complaint], "Not Found", 0 )</f>
        <v>0</v>
      </c>
      <c r="X2213" s="16">
        <f>_xlfn.XLOOKUP(CustomerCombinedCleaned[[#This Row],[ID]], Table2[ID],Table2[Pilot], "Not Found", 0 )</f>
        <v>0</v>
      </c>
      <c r="Y2213" s="16">
        <f>_xlfn.XLOOKUP(CustomerCombinedCleaned[[#This Row],[ID]], Table2[ID],Table2[MC1], "Not Found", 0 )</f>
        <v>0</v>
      </c>
      <c r="Z2213" s="16">
        <f>_xlfn.XLOOKUP(CustomerCombinedCleaned[[#This Row],[ID]], Table2[ID],Table2[MC2], "Not Found", 0 )</f>
        <v>0</v>
      </c>
      <c r="AA2213" s="16">
        <f>_xlfn.XLOOKUP(CustomerCombinedCleaned[[#This Row],[ID]], Table2[ID],Table2[MC3], "Not Found", 0 )</f>
        <v>0</v>
      </c>
      <c r="AB2213" s="16">
        <f>_xlfn.XLOOKUP(CustomerCombinedCleaned[[#This Row],[ID]], Table2[ID],Table2[MC4], "Not Found", 0 )</f>
        <v>1</v>
      </c>
      <c r="AC2213" s="16">
        <f>_xlfn.XLOOKUP(CustomerCombinedCleaned[[#This Row],[ID]], Table2[ID],Table2[MC5], "Not Found", 0 )</f>
        <v>0</v>
      </c>
    </row>
    <row r="2214" spans="1:29" x14ac:dyDescent="0.3">
      <c r="A2214" s="18">
        <v>1595</v>
      </c>
      <c r="B2214" s="16">
        <v>145006</v>
      </c>
      <c r="C2214" s="16">
        <v>0</v>
      </c>
      <c r="D2214" s="16">
        <v>0</v>
      </c>
      <c r="E2214" s="16">
        <v>76</v>
      </c>
      <c r="F2214" s="17" t="s">
        <v>9</v>
      </c>
      <c r="G2214" s="17" t="s">
        <v>12</v>
      </c>
      <c r="H2214" s="3" t="s">
        <v>218</v>
      </c>
      <c r="I2214" s="5" t="s">
        <v>434</v>
      </c>
      <c r="J2214" s="16">
        <f>_xlfn.XLOOKUP(CustomerCombinedCleaned[[#This Row],[ID]], Table4[ID], Table4[Recency], "Not Found", 0)</f>
        <v>90</v>
      </c>
      <c r="K2214" s="16">
        <f>_xlfn.XLOOKUP(CustomerCombinedCleaned[[#This Row],[ID]], Table4[ID], Table4[Teas], "Not Found", 0)</f>
        <v>522</v>
      </c>
      <c r="L2214" s="16">
        <f>_xlfn.XLOOKUP(CustomerCombinedCleaned[[#This Row],[ID]], Table4[ID], Table4[Fruits], "Not Found", 0)</f>
        <v>81</v>
      </c>
      <c r="M2214" s="16">
        <f>_xlfn.XLOOKUP(CustomerCombinedCleaned[[#This Row],[ID]], Table4[ID], Table4[Meats], "Not Found", 0)</f>
        <v>171</v>
      </c>
      <c r="N2214" s="16">
        <f>_xlfn.XLOOKUP(CustomerCombinedCleaned[[#This Row],[ID]], Table4[ID], Table4[Seafood], "Not Found", 0)</f>
        <v>52</v>
      </c>
      <c r="O2214" s="16">
        <f>_xlfn.XLOOKUP(CustomerCombinedCleaned[[#This Row],[ID]], Table4[ID], Table4[Sweets], "Not Found", 0)</f>
        <v>0</v>
      </c>
      <c r="P2214" s="16">
        <f>_xlfn.XLOOKUP(CustomerCombinedCleaned[[#This Row],[ID]], Table4[ID], Table4[Premium], "Not Found", 0)</f>
        <v>32</v>
      </c>
      <c r="Q2214" s="16">
        <f>_xlfn.XLOOKUP(CustomerCombinedCleaned[[#This Row],[ID]], Table4[ID], Table4[Regular], "Not Found", 0)</f>
        <v>793</v>
      </c>
      <c r="R2214" s="16">
        <f>_xlfn.XLOOKUP(CustomerCombinedCleaned[[#This Row],[ID]], Table4[ID], Table4[Deals], "Not Found", 0)</f>
        <v>1</v>
      </c>
      <c r="S2214" s="16">
        <f>_xlfn.XLOOKUP(CustomerCombinedCleaned[[#This Row],[ID]], Table4[ID], Table4[Website], "Not Found", 0)</f>
        <v>3</v>
      </c>
      <c r="T2214" s="16">
        <f>_xlfn.XLOOKUP(CustomerCombinedCleaned[[#This Row],[ID]], Table4[ID], Table4[Catalog], "Not Found", 0)</f>
        <v>1</v>
      </c>
      <c r="U2214" s="16">
        <f>_xlfn.XLOOKUP(CustomerCombinedCleaned[[#This Row],[ID]], Table4[ID], Table4[Store], "Not Found", 0)</f>
        <v>7</v>
      </c>
      <c r="V2214" s="16">
        <f>_xlfn.XLOOKUP(CustomerCombinedCleaned[[#This Row],[ID]], Table4[ID], Table4[Visits], "Not Found", 0)</f>
        <v>3</v>
      </c>
      <c r="W2214" s="16">
        <f>_xlfn.XLOOKUP(CustomerCombinedCleaned[[#This Row],[ID]], Table2[ID],Table2[Complaint], "Not Found", 0 )</f>
        <v>0</v>
      </c>
      <c r="X2214" s="16">
        <f>_xlfn.XLOOKUP(CustomerCombinedCleaned[[#This Row],[ID]], Table2[ID],Table2[Pilot], "Not Found", 0 )</f>
        <v>0</v>
      </c>
      <c r="Y2214" s="16">
        <f>_xlfn.XLOOKUP(CustomerCombinedCleaned[[#This Row],[ID]], Table2[ID],Table2[MC1], "Not Found", 0 )</f>
        <v>0</v>
      </c>
      <c r="Z2214" s="16">
        <f>_xlfn.XLOOKUP(CustomerCombinedCleaned[[#This Row],[ID]], Table2[ID],Table2[MC2], "Not Found", 0 )</f>
        <v>0</v>
      </c>
      <c r="AA2214" s="16">
        <f>_xlfn.XLOOKUP(CustomerCombinedCleaned[[#This Row],[ID]], Table2[ID],Table2[MC3], "Not Found", 0 )</f>
        <v>0</v>
      </c>
      <c r="AB2214" s="16">
        <f>_xlfn.XLOOKUP(CustomerCombinedCleaned[[#This Row],[ID]], Table2[ID],Table2[MC4], "Not Found", 0 )</f>
        <v>0</v>
      </c>
      <c r="AC2214" s="16">
        <f>_xlfn.XLOOKUP(CustomerCombinedCleaned[[#This Row],[ID]], Table2[ID],Table2[MC5], "Not Found", 0 )</f>
        <v>0</v>
      </c>
    </row>
    <row r="2215" spans="1:29" x14ac:dyDescent="0.3">
      <c r="A2215" s="18">
        <v>2898</v>
      </c>
      <c r="B2215" s="16">
        <v>177598</v>
      </c>
      <c r="C2215" s="16">
        <v>0</v>
      </c>
      <c r="D2215" s="16">
        <v>0</v>
      </c>
      <c r="E2215" s="16">
        <v>77</v>
      </c>
      <c r="F2215" s="17" t="s">
        <v>7</v>
      </c>
      <c r="G2215" s="17" t="s">
        <v>12</v>
      </c>
      <c r="H2215" s="3" t="s">
        <v>620</v>
      </c>
      <c r="I2215" s="5" t="s">
        <v>436</v>
      </c>
      <c r="J2215" s="16">
        <f>_xlfn.XLOOKUP(CustomerCombinedCleaned[[#This Row],[ID]], Table4[ID], Table4[Recency], "Not Found", 0)</f>
        <v>53</v>
      </c>
      <c r="K2215" s="16">
        <f>_xlfn.XLOOKUP(CustomerCombinedCleaned[[#This Row],[ID]], Table4[ID], Table4[Teas], "Not Found", 0)</f>
        <v>2730</v>
      </c>
      <c r="L2215" s="16">
        <f>_xlfn.XLOOKUP(CustomerCombinedCleaned[[#This Row],[ID]], Table4[ID], Table4[Fruits], "Not Found", 0)</f>
        <v>76</v>
      </c>
      <c r="M2215" s="16">
        <f>_xlfn.XLOOKUP(CustomerCombinedCleaned[[#This Row],[ID]], Table4[ID], Table4[Meats], "Not Found", 0)</f>
        <v>643</v>
      </c>
      <c r="N2215" s="16">
        <f>_xlfn.XLOOKUP(CustomerCombinedCleaned[[#This Row],[ID]], Table4[ID], Table4[Seafood], "Not Found", 0)</f>
        <v>295</v>
      </c>
      <c r="O2215" s="16">
        <f>_xlfn.XLOOKUP(CustomerCombinedCleaned[[#This Row],[ID]], Table4[ID], Table4[Sweets], "Not Found", 0)</f>
        <v>151</v>
      </c>
      <c r="P2215" s="16">
        <f>_xlfn.XLOOKUP(CustomerCombinedCleaned[[#This Row],[ID]], Table4[ID], Table4[Premium], "Not Found", 0)</f>
        <v>76</v>
      </c>
      <c r="Q2215" s="16">
        <f>_xlfn.XLOOKUP(CustomerCombinedCleaned[[#This Row],[ID]], Table4[ID], Table4[Regular], "Not Found", 0)</f>
        <v>3820</v>
      </c>
      <c r="R2215" s="16">
        <f>_xlfn.XLOOKUP(CustomerCombinedCleaned[[#This Row],[ID]], Table4[ID], Table4[Deals], "Not Found", 0)</f>
        <v>1</v>
      </c>
      <c r="S2215" s="16">
        <f>_xlfn.XLOOKUP(CustomerCombinedCleaned[[#This Row],[ID]], Table4[ID], Table4[Website], "Not Found", 0)</f>
        <v>7</v>
      </c>
      <c r="T2215" s="16">
        <f>_xlfn.XLOOKUP(CustomerCombinedCleaned[[#This Row],[ID]], Table4[ID], Table4[Catalog], "Not Found", 0)</f>
        <v>5</v>
      </c>
      <c r="U2215" s="16">
        <f>_xlfn.XLOOKUP(CustomerCombinedCleaned[[#This Row],[ID]], Table4[ID], Table4[Store], "Not Found", 0)</f>
        <v>13</v>
      </c>
      <c r="V2215" s="16">
        <f>_xlfn.XLOOKUP(CustomerCombinedCleaned[[#This Row],[ID]], Table4[ID], Table4[Visits], "Not Found", 0)</f>
        <v>3</v>
      </c>
      <c r="W2215" s="16">
        <f>_xlfn.XLOOKUP(CustomerCombinedCleaned[[#This Row],[ID]], Table2[ID],Table2[Complaint], "Not Found", 0 )</f>
        <v>0</v>
      </c>
      <c r="X2215" s="16">
        <f>_xlfn.XLOOKUP(CustomerCombinedCleaned[[#This Row],[ID]], Table2[ID],Table2[Pilot], "Not Found", 0 )</f>
        <v>0</v>
      </c>
      <c r="Y2215" s="16">
        <f>_xlfn.XLOOKUP(CustomerCombinedCleaned[[#This Row],[ID]], Table2[ID],Table2[MC1], "Not Found", 0 )</f>
        <v>0</v>
      </c>
      <c r="Z2215" s="16">
        <f>_xlfn.XLOOKUP(CustomerCombinedCleaned[[#This Row],[ID]], Table2[ID],Table2[MC2], "Not Found", 0 )</f>
        <v>0</v>
      </c>
      <c r="AA2215" s="16">
        <f>_xlfn.XLOOKUP(CustomerCombinedCleaned[[#This Row],[ID]], Table2[ID],Table2[MC3], "Not Found", 0 )</f>
        <v>0</v>
      </c>
      <c r="AB2215" s="16">
        <f>_xlfn.XLOOKUP(CustomerCombinedCleaned[[#This Row],[ID]], Table2[ID],Table2[MC4], "Not Found", 0 )</f>
        <v>0</v>
      </c>
      <c r="AC2215" s="16">
        <f>_xlfn.XLOOKUP(CustomerCombinedCleaned[[#This Row],[ID]], Table2[ID],Table2[MC5], "Not Found", 0 )</f>
        <v>1</v>
      </c>
    </row>
    <row r="2216" spans="1:29" x14ac:dyDescent="0.3">
      <c r="A2216" s="18">
        <v>1399</v>
      </c>
      <c r="B2216" s="16">
        <v>175865</v>
      </c>
      <c r="C2216" s="16">
        <v>0</v>
      </c>
      <c r="D2216" s="16">
        <v>0</v>
      </c>
      <c r="E2216" s="16">
        <v>77</v>
      </c>
      <c r="F2216" s="17" t="s">
        <v>6</v>
      </c>
      <c r="G2216" s="17" t="s">
        <v>13</v>
      </c>
      <c r="H2216" s="3" t="s">
        <v>548</v>
      </c>
      <c r="I2216" s="5" t="s">
        <v>437</v>
      </c>
      <c r="J2216" s="16">
        <f>_xlfn.XLOOKUP(CustomerCombinedCleaned[[#This Row],[ID]], Table4[ID], Table4[Recency], "Not Found", 0)</f>
        <v>73</v>
      </c>
      <c r="K2216" s="16">
        <f>_xlfn.XLOOKUP(CustomerCombinedCleaned[[#This Row],[ID]], Table4[ID], Table4[Teas], "Not Found", 0)</f>
        <v>1120</v>
      </c>
      <c r="L2216" s="16">
        <f>_xlfn.XLOOKUP(CustomerCombinedCleaned[[#This Row],[ID]], Table4[ID], Table4[Fruits], "Not Found", 0)</f>
        <v>0</v>
      </c>
      <c r="M2216" s="16">
        <f>_xlfn.XLOOKUP(CustomerCombinedCleaned[[#This Row],[ID]], Table4[ID], Table4[Meats], "Not Found", 0)</f>
        <v>1370</v>
      </c>
      <c r="N2216" s="16">
        <f>_xlfn.XLOOKUP(CustomerCombinedCleaned[[#This Row],[ID]], Table4[ID], Table4[Seafood], "Not Found", 0)</f>
        <v>362</v>
      </c>
      <c r="O2216" s="16">
        <f>_xlfn.XLOOKUP(CustomerCombinedCleaned[[#This Row],[ID]], Table4[ID], Table4[Sweets], "Not Found", 0)</f>
        <v>0</v>
      </c>
      <c r="P2216" s="16">
        <f>_xlfn.XLOOKUP(CustomerCombinedCleaned[[#This Row],[ID]], Table4[ID], Table4[Premium], "Not Found", 0)</f>
        <v>28</v>
      </c>
      <c r="Q2216" s="16">
        <f>_xlfn.XLOOKUP(CustomerCombinedCleaned[[#This Row],[ID]], Table4[ID], Table4[Regular], "Not Found", 0)</f>
        <v>2823</v>
      </c>
      <c r="R2216" s="16">
        <f>_xlfn.XLOOKUP(CustomerCombinedCleaned[[#This Row],[ID]], Table4[ID], Table4[Deals], "Not Found", 0)</f>
        <v>1</v>
      </c>
      <c r="S2216" s="16">
        <f>_xlfn.XLOOKUP(CustomerCombinedCleaned[[#This Row],[ID]], Table4[ID], Table4[Website], "Not Found", 0)</f>
        <v>3</v>
      </c>
      <c r="T2216" s="16">
        <f>_xlfn.XLOOKUP(CustomerCombinedCleaned[[#This Row],[ID]], Table4[ID], Table4[Catalog], "Not Found", 0)</f>
        <v>5</v>
      </c>
      <c r="U2216" s="16">
        <f>_xlfn.XLOOKUP(CustomerCombinedCleaned[[#This Row],[ID]], Table4[ID], Table4[Store], "Not Found", 0)</f>
        <v>10</v>
      </c>
      <c r="V2216" s="16">
        <f>_xlfn.XLOOKUP(CustomerCombinedCleaned[[#This Row],[ID]], Table4[ID], Table4[Visits], "Not Found", 0)</f>
        <v>1</v>
      </c>
      <c r="W2216" s="16">
        <f>_xlfn.XLOOKUP(CustomerCombinedCleaned[[#This Row],[ID]], Table2[ID],Table2[Complaint], "Not Found", 0 )</f>
        <v>0</v>
      </c>
      <c r="X2216" s="16">
        <f>_xlfn.XLOOKUP(CustomerCombinedCleaned[[#This Row],[ID]], Table2[ID],Table2[Pilot], "Not Found", 0 )</f>
        <v>0</v>
      </c>
      <c r="Y2216" s="16">
        <f>_xlfn.XLOOKUP(CustomerCombinedCleaned[[#This Row],[ID]], Table2[ID],Table2[MC1], "Not Found", 0 )</f>
        <v>0</v>
      </c>
      <c r="Z2216" s="16">
        <f>_xlfn.XLOOKUP(CustomerCombinedCleaned[[#This Row],[ID]], Table2[ID],Table2[MC2], "Not Found", 0 )</f>
        <v>0</v>
      </c>
      <c r="AA2216" s="16">
        <f>_xlfn.XLOOKUP(CustomerCombinedCleaned[[#This Row],[ID]], Table2[ID],Table2[MC3], "Not Found", 0 )</f>
        <v>0</v>
      </c>
      <c r="AB2216" s="16">
        <f>_xlfn.XLOOKUP(CustomerCombinedCleaned[[#This Row],[ID]], Table2[ID],Table2[MC4], "Not Found", 0 )</f>
        <v>0</v>
      </c>
      <c r="AC2216" s="16">
        <f>_xlfn.XLOOKUP(CustomerCombinedCleaned[[#This Row],[ID]], Table2[ID],Table2[MC5], "Not Found", 0 )</f>
        <v>0</v>
      </c>
    </row>
    <row r="2217" spans="1:29" x14ac:dyDescent="0.3">
      <c r="A2217" s="18">
        <v>1342</v>
      </c>
      <c r="B2217" s="16">
        <v>165073</v>
      </c>
      <c r="C2217" s="16">
        <v>0</v>
      </c>
      <c r="D2217" s="16">
        <v>0</v>
      </c>
      <c r="E2217" s="16">
        <v>77</v>
      </c>
      <c r="F2217" s="17" t="s">
        <v>6</v>
      </c>
      <c r="G2217" s="17" t="s">
        <v>12</v>
      </c>
      <c r="H2217" s="3" t="s">
        <v>197</v>
      </c>
      <c r="I2217" s="5" t="s">
        <v>439</v>
      </c>
      <c r="J2217" s="16">
        <f>_xlfn.XLOOKUP(CustomerCombinedCleaned[[#This Row],[ID]], Table4[ID], Table4[Recency], "Not Found", 0)</f>
        <v>65</v>
      </c>
      <c r="K2217" s="16">
        <f>_xlfn.XLOOKUP(CustomerCombinedCleaned[[#This Row],[ID]], Table4[ID], Table4[Teas], "Not Found", 0)</f>
        <v>1596</v>
      </c>
      <c r="L2217" s="16">
        <f>_xlfn.XLOOKUP(CustomerCombinedCleaned[[#This Row],[ID]], Table4[ID], Table4[Fruits], "Not Found", 0)</f>
        <v>43</v>
      </c>
      <c r="M2217" s="16">
        <f>_xlfn.XLOOKUP(CustomerCombinedCleaned[[#This Row],[ID]], Table4[ID], Table4[Meats], "Not Found", 0)</f>
        <v>449</v>
      </c>
      <c r="N2217" s="16">
        <f>_xlfn.XLOOKUP(CustomerCombinedCleaned[[#This Row],[ID]], Table4[ID], Table4[Seafood], "Not Found", 0)</f>
        <v>175</v>
      </c>
      <c r="O2217" s="16">
        <f>_xlfn.XLOOKUP(CustomerCombinedCleaned[[#This Row],[ID]], Table4[ID], Table4[Sweets], "Not Found", 0)</f>
        <v>0</v>
      </c>
      <c r="P2217" s="16">
        <f>_xlfn.XLOOKUP(CustomerCombinedCleaned[[#This Row],[ID]], Table4[ID], Table4[Premium], "Not Found", 0)</f>
        <v>20</v>
      </c>
      <c r="Q2217" s="16">
        <f>_xlfn.XLOOKUP(CustomerCombinedCleaned[[#This Row],[ID]], Table4[ID], Table4[Regular], "Not Found", 0)</f>
        <v>2242</v>
      </c>
      <c r="R2217" s="16">
        <f>_xlfn.XLOOKUP(CustomerCombinedCleaned[[#This Row],[ID]], Table4[ID], Table4[Deals], "Not Found", 0)</f>
        <v>1</v>
      </c>
      <c r="S2217" s="16">
        <f>_xlfn.XLOOKUP(CustomerCombinedCleaned[[#This Row],[ID]], Table4[ID], Table4[Website], "Not Found", 0)</f>
        <v>5</v>
      </c>
      <c r="T2217" s="16">
        <f>_xlfn.XLOOKUP(CustomerCombinedCleaned[[#This Row],[ID]], Table4[ID], Table4[Catalog], "Not Found", 0)</f>
        <v>3</v>
      </c>
      <c r="U2217" s="16">
        <f>_xlfn.XLOOKUP(CustomerCombinedCleaned[[#This Row],[ID]], Table4[ID], Table4[Store], "Not Found", 0)</f>
        <v>5</v>
      </c>
      <c r="V2217" s="16">
        <f>_xlfn.XLOOKUP(CustomerCombinedCleaned[[#This Row],[ID]], Table4[ID], Table4[Visits], "Not Found", 0)</f>
        <v>2</v>
      </c>
      <c r="W2217" s="16">
        <f>_xlfn.XLOOKUP(CustomerCombinedCleaned[[#This Row],[ID]], Table2[ID],Table2[Complaint], "Not Found", 0 )</f>
        <v>1</v>
      </c>
      <c r="X2217" s="16">
        <f>_xlfn.XLOOKUP(CustomerCombinedCleaned[[#This Row],[ID]], Table2[ID],Table2[Pilot], "Not Found", 0 )</f>
        <v>0</v>
      </c>
      <c r="Y2217" s="16">
        <f>_xlfn.XLOOKUP(CustomerCombinedCleaned[[#This Row],[ID]], Table2[ID],Table2[MC1], "Not Found", 0 )</f>
        <v>0</v>
      </c>
      <c r="Z2217" s="16">
        <f>_xlfn.XLOOKUP(CustomerCombinedCleaned[[#This Row],[ID]], Table2[ID],Table2[MC2], "Not Found", 0 )</f>
        <v>0</v>
      </c>
      <c r="AA2217" s="16">
        <f>_xlfn.XLOOKUP(CustomerCombinedCleaned[[#This Row],[ID]], Table2[ID],Table2[MC3], "Not Found", 0 )</f>
        <v>0</v>
      </c>
      <c r="AB2217" s="16">
        <f>_xlfn.XLOOKUP(CustomerCombinedCleaned[[#This Row],[ID]], Table2[ID],Table2[MC4], "Not Found", 0 )</f>
        <v>0</v>
      </c>
      <c r="AC2217" s="16">
        <f>_xlfn.XLOOKUP(CustomerCombinedCleaned[[#This Row],[ID]], Table2[ID],Table2[MC5], "Not Found", 0 )</f>
        <v>0</v>
      </c>
    </row>
    <row r="2218" spans="1:29" x14ac:dyDescent="0.3">
      <c r="A2218" s="18">
        <v>2131</v>
      </c>
      <c r="B2218" s="16">
        <v>157513</v>
      </c>
      <c r="C2218" s="16">
        <v>0</v>
      </c>
      <c r="D2218" s="16">
        <v>0</v>
      </c>
      <c r="E2218" s="16">
        <v>77</v>
      </c>
      <c r="F2218" s="17" t="s">
        <v>9</v>
      </c>
      <c r="G2218" s="17" t="s">
        <v>13</v>
      </c>
      <c r="H2218" s="3" t="s">
        <v>707</v>
      </c>
      <c r="I2218" s="5" t="s">
        <v>437</v>
      </c>
      <c r="J2218" s="16">
        <f>_xlfn.XLOOKUP(CustomerCombinedCleaned[[#This Row],[ID]], Table4[ID], Table4[Recency], "Not Found", 0)</f>
        <v>59</v>
      </c>
      <c r="K2218" s="16">
        <f>_xlfn.XLOOKUP(CustomerCombinedCleaned[[#This Row],[ID]], Table4[ID], Table4[Teas], "Not Found", 0)</f>
        <v>2013</v>
      </c>
      <c r="L2218" s="16">
        <f>_xlfn.XLOOKUP(CustomerCombinedCleaned[[#This Row],[ID]], Table4[ID], Table4[Fruits], "Not Found", 0)</f>
        <v>110</v>
      </c>
      <c r="M2218" s="16">
        <f>_xlfn.XLOOKUP(CustomerCombinedCleaned[[#This Row],[ID]], Table4[ID], Table4[Meats], "Not Found", 0)</f>
        <v>501</v>
      </c>
      <c r="N2218" s="16">
        <f>_xlfn.XLOOKUP(CustomerCombinedCleaned[[#This Row],[ID]], Table4[ID], Table4[Seafood], "Not Found", 0)</f>
        <v>142</v>
      </c>
      <c r="O2218" s="16">
        <f>_xlfn.XLOOKUP(CustomerCombinedCleaned[[#This Row],[ID]], Table4[ID], Table4[Sweets], "Not Found", 0)</f>
        <v>55</v>
      </c>
      <c r="P2218" s="16">
        <f>_xlfn.XLOOKUP(CustomerCombinedCleaned[[#This Row],[ID]], Table4[ID], Table4[Premium], "Not Found", 0)</f>
        <v>82</v>
      </c>
      <c r="Q2218" s="16">
        <f>_xlfn.XLOOKUP(CustomerCombinedCleaned[[#This Row],[ID]], Table4[ID], Table4[Regular], "Not Found", 0)</f>
        <v>2739</v>
      </c>
      <c r="R2218" s="16">
        <f>_xlfn.XLOOKUP(CustomerCombinedCleaned[[#This Row],[ID]], Table4[ID], Table4[Deals], "Not Found", 0)</f>
        <v>2</v>
      </c>
      <c r="S2218" s="16">
        <f>_xlfn.XLOOKUP(CustomerCombinedCleaned[[#This Row],[ID]], Table4[ID], Table4[Website], "Not Found", 0)</f>
        <v>9</v>
      </c>
      <c r="T2218" s="16">
        <f>_xlfn.XLOOKUP(CustomerCombinedCleaned[[#This Row],[ID]], Table4[ID], Table4[Catalog], "Not Found", 0)</f>
        <v>3</v>
      </c>
      <c r="U2218" s="16">
        <f>_xlfn.XLOOKUP(CustomerCombinedCleaned[[#This Row],[ID]], Table4[ID], Table4[Store], "Not Found", 0)</f>
        <v>13</v>
      </c>
      <c r="V2218" s="16">
        <f>_xlfn.XLOOKUP(CustomerCombinedCleaned[[#This Row],[ID]], Table4[ID], Table4[Visits], "Not Found", 0)</f>
        <v>6</v>
      </c>
      <c r="W2218" s="16">
        <f>_xlfn.XLOOKUP(CustomerCombinedCleaned[[#This Row],[ID]], Table2[ID],Table2[Complaint], "Not Found", 0 )</f>
        <v>0</v>
      </c>
      <c r="X2218" s="16">
        <f>_xlfn.XLOOKUP(CustomerCombinedCleaned[[#This Row],[ID]], Table2[ID],Table2[Pilot], "Not Found", 0 )</f>
        <v>0</v>
      </c>
      <c r="Y2218" s="16">
        <f>_xlfn.XLOOKUP(CustomerCombinedCleaned[[#This Row],[ID]], Table2[ID],Table2[MC1], "Not Found", 0 )</f>
        <v>0</v>
      </c>
      <c r="Z2218" s="16">
        <f>_xlfn.XLOOKUP(CustomerCombinedCleaned[[#This Row],[ID]], Table2[ID],Table2[MC2], "Not Found", 0 )</f>
        <v>0</v>
      </c>
      <c r="AA2218" s="16">
        <f>_xlfn.XLOOKUP(CustomerCombinedCleaned[[#This Row],[ID]], Table2[ID],Table2[MC3], "Not Found", 0 )</f>
        <v>0</v>
      </c>
      <c r="AB2218" s="16">
        <f>_xlfn.XLOOKUP(CustomerCombinedCleaned[[#This Row],[ID]], Table2[ID],Table2[MC4], "Not Found", 0 )</f>
        <v>0</v>
      </c>
      <c r="AC2218" s="16">
        <f>_xlfn.XLOOKUP(CustomerCombinedCleaned[[#This Row],[ID]], Table2[ID],Table2[MC5], "Not Found", 0 )</f>
        <v>0</v>
      </c>
    </row>
    <row r="2219" spans="1:29" x14ac:dyDescent="0.3">
      <c r="A2219" s="18">
        <v>1038</v>
      </c>
      <c r="B2219" s="16">
        <v>148948</v>
      </c>
      <c r="C2219" s="16">
        <v>0</v>
      </c>
      <c r="D2219" s="16">
        <v>0</v>
      </c>
      <c r="E2219" s="16">
        <v>77</v>
      </c>
      <c r="F2219" s="17" t="s">
        <v>5</v>
      </c>
      <c r="G2219" s="17" t="s">
        <v>13</v>
      </c>
      <c r="H2219" s="3" t="s">
        <v>754</v>
      </c>
      <c r="I2219" s="5" t="s">
        <v>436</v>
      </c>
      <c r="J2219" s="16">
        <f>_xlfn.XLOOKUP(CustomerCombinedCleaned[[#This Row],[ID]], Table4[ID], Table4[Recency], "Not Found", 0)</f>
        <v>53</v>
      </c>
      <c r="K2219" s="16">
        <f>_xlfn.XLOOKUP(CustomerCombinedCleaned[[#This Row],[ID]], Table4[ID], Table4[Teas], "Not Found", 0)</f>
        <v>1330</v>
      </c>
      <c r="L2219" s="16">
        <f>_xlfn.XLOOKUP(CustomerCombinedCleaned[[#This Row],[ID]], Table4[ID], Table4[Fruits], "Not Found", 0)</f>
        <v>24</v>
      </c>
      <c r="M2219" s="16">
        <f>_xlfn.XLOOKUP(CustomerCombinedCleaned[[#This Row],[ID]], Table4[ID], Table4[Meats], "Not Found", 0)</f>
        <v>627</v>
      </c>
      <c r="N2219" s="16">
        <f>_xlfn.XLOOKUP(CustomerCombinedCleaned[[#This Row],[ID]], Table4[ID], Table4[Seafood], "Not Found", 0)</f>
        <v>487</v>
      </c>
      <c r="O2219" s="16">
        <f>_xlfn.XLOOKUP(CustomerCombinedCleaned[[#This Row],[ID]], Table4[ID], Table4[Sweets], "Not Found", 0)</f>
        <v>149</v>
      </c>
      <c r="P2219" s="16">
        <f>_xlfn.XLOOKUP(CustomerCombinedCleaned[[#This Row],[ID]], Table4[ID], Table4[Premium], "Not Found", 0)</f>
        <v>128</v>
      </c>
      <c r="Q2219" s="16">
        <f>_xlfn.XLOOKUP(CustomerCombinedCleaned[[#This Row],[ID]], Table4[ID], Table4[Regular], "Not Found", 0)</f>
        <v>2489</v>
      </c>
      <c r="R2219" s="16">
        <f>_xlfn.XLOOKUP(CustomerCombinedCleaned[[#This Row],[ID]], Table4[ID], Table4[Deals], "Not Found", 0)</f>
        <v>2</v>
      </c>
      <c r="S2219" s="16">
        <f>_xlfn.XLOOKUP(CustomerCombinedCleaned[[#This Row],[ID]], Table4[ID], Table4[Website], "Not Found", 0)</f>
        <v>7</v>
      </c>
      <c r="T2219" s="16">
        <f>_xlfn.XLOOKUP(CustomerCombinedCleaned[[#This Row],[ID]], Table4[ID], Table4[Catalog], "Not Found", 0)</f>
        <v>10</v>
      </c>
      <c r="U2219" s="16">
        <f>_xlfn.XLOOKUP(CustomerCombinedCleaned[[#This Row],[ID]], Table4[ID], Table4[Store], "Not Found", 0)</f>
        <v>5</v>
      </c>
      <c r="V2219" s="16">
        <f>_xlfn.XLOOKUP(CustomerCombinedCleaned[[#This Row],[ID]], Table4[ID], Table4[Visits], "Not Found", 0)</f>
        <v>6</v>
      </c>
      <c r="W2219" s="16">
        <f>_xlfn.XLOOKUP(CustomerCombinedCleaned[[#This Row],[ID]], Table2[ID],Table2[Complaint], "Not Found", 0 )</f>
        <v>0</v>
      </c>
      <c r="X2219" s="16">
        <f>_xlfn.XLOOKUP(CustomerCombinedCleaned[[#This Row],[ID]], Table2[ID],Table2[Pilot], "Not Found", 0 )</f>
        <v>1</v>
      </c>
      <c r="Y2219" s="16">
        <f>_xlfn.XLOOKUP(CustomerCombinedCleaned[[#This Row],[ID]], Table2[ID],Table2[MC1], "Not Found", 0 )</f>
        <v>0</v>
      </c>
      <c r="Z2219" s="16">
        <f>_xlfn.XLOOKUP(CustomerCombinedCleaned[[#This Row],[ID]], Table2[ID],Table2[MC2], "Not Found", 0 )</f>
        <v>0</v>
      </c>
      <c r="AA2219" s="16">
        <f>_xlfn.XLOOKUP(CustomerCombinedCleaned[[#This Row],[ID]], Table2[ID],Table2[MC3], "Not Found", 0 )</f>
        <v>1</v>
      </c>
      <c r="AB2219" s="16">
        <f>_xlfn.XLOOKUP(CustomerCombinedCleaned[[#This Row],[ID]], Table2[ID],Table2[MC4], "Not Found", 0 )</f>
        <v>0</v>
      </c>
      <c r="AC2219" s="16">
        <f>_xlfn.XLOOKUP(CustomerCombinedCleaned[[#This Row],[ID]], Table2[ID],Table2[MC5], "Not Found", 0 )</f>
        <v>0</v>
      </c>
    </row>
    <row r="2220" spans="1:29" x14ac:dyDescent="0.3">
      <c r="A2220" s="18">
        <v>1875</v>
      </c>
      <c r="B2220" s="16">
        <v>148948</v>
      </c>
      <c r="C2220" s="16">
        <v>0</v>
      </c>
      <c r="D2220" s="16">
        <v>0</v>
      </c>
      <c r="E2220" s="16">
        <v>77</v>
      </c>
      <c r="F2220" s="17" t="s">
        <v>5</v>
      </c>
      <c r="G2220" s="17" t="s">
        <v>13</v>
      </c>
      <c r="H2220" s="3" t="s">
        <v>754</v>
      </c>
      <c r="I2220" s="5" t="s">
        <v>435</v>
      </c>
      <c r="J2220" s="16">
        <f>_xlfn.XLOOKUP(CustomerCombinedCleaned[[#This Row],[ID]], Table4[ID], Table4[Recency], "Not Found", 0)</f>
        <v>53</v>
      </c>
      <c r="K2220" s="16">
        <f>_xlfn.XLOOKUP(CustomerCombinedCleaned[[#This Row],[ID]], Table4[ID], Table4[Teas], "Not Found", 0)</f>
        <v>1330</v>
      </c>
      <c r="L2220" s="16">
        <f>_xlfn.XLOOKUP(CustomerCombinedCleaned[[#This Row],[ID]], Table4[ID], Table4[Fruits], "Not Found", 0)</f>
        <v>24</v>
      </c>
      <c r="M2220" s="16">
        <f>_xlfn.XLOOKUP(CustomerCombinedCleaned[[#This Row],[ID]], Table4[ID], Table4[Meats], "Not Found", 0)</f>
        <v>627</v>
      </c>
      <c r="N2220" s="16">
        <f>_xlfn.XLOOKUP(CustomerCombinedCleaned[[#This Row],[ID]], Table4[ID], Table4[Seafood], "Not Found", 0)</f>
        <v>487</v>
      </c>
      <c r="O2220" s="16">
        <f>_xlfn.XLOOKUP(CustomerCombinedCleaned[[#This Row],[ID]], Table4[ID], Table4[Sweets], "Not Found", 0)</f>
        <v>149</v>
      </c>
      <c r="P2220" s="16">
        <f>_xlfn.XLOOKUP(CustomerCombinedCleaned[[#This Row],[ID]], Table4[ID], Table4[Premium], "Not Found", 0)</f>
        <v>128</v>
      </c>
      <c r="Q2220" s="16">
        <f>_xlfn.XLOOKUP(CustomerCombinedCleaned[[#This Row],[ID]], Table4[ID], Table4[Regular], "Not Found", 0)</f>
        <v>2489</v>
      </c>
      <c r="R2220" s="16">
        <f>_xlfn.XLOOKUP(CustomerCombinedCleaned[[#This Row],[ID]], Table4[ID], Table4[Deals], "Not Found", 0)</f>
        <v>2</v>
      </c>
      <c r="S2220" s="16">
        <f>_xlfn.XLOOKUP(CustomerCombinedCleaned[[#This Row],[ID]], Table4[ID], Table4[Website], "Not Found", 0)</f>
        <v>7</v>
      </c>
      <c r="T2220" s="16">
        <f>_xlfn.XLOOKUP(CustomerCombinedCleaned[[#This Row],[ID]], Table4[ID], Table4[Catalog], "Not Found", 0)</f>
        <v>10</v>
      </c>
      <c r="U2220" s="16">
        <f>_xlfn.XLOOKUP(CustomerCombinedCleaned[[#This Row],[ID]], Table4[ID], Table4[Store], "Not Found", 0)</f>
        <v>5</v>
      </c>
      <c r="V2220" s="16">
        <f>_xlfn.XLOOKUP(CustomerCombinedCleaned[[#This Row],[ID]], Table4[ID], Table4[Visits], "Not Found", 0)</f>
        <v>6</v>
      </c>
      <c r="W2220" s="16">
        <f>_xlfn.XLOOKUP(CustomerCombinedCleaned[[#This Row],[ID]], Table2[ID],Table2[Complaint], "Not Found", 0 )</f>
        <v>0</v>
      </c>
      <c r="X2220" s="16">
        <f>_xlfn.XLOOKUP(CustomerCombinedCleaned[[#This Row],[ID]], Table2[ID],Table2[Pilot], "Not Found", 0 )</f>
        <v>1</v>
      </c>
      <c r="Y2220" s="16">
        <f>_xlfn.XLOOKUP(CustomerCombinedCleaned[[#This Row],[ID]], Table2[ID],Table2[MC1], "Not Found", 0 )</f>
        <v>0</v>
      </c>
      <c r="Z2220" s="16">
        <f>_xlfn.XLOOKUP(CustomerCombinedCleaned[[#This Row],[ID]], Table2[ID],Table2[MC2], "Not Found", 0 )</f>
        <v>0</v>
      </c>
      <c r="AA2220" s="16">
        <f>_xlfn.XLOOKUP(CustomerCombinedCleaned[[#This Row],[ID]], Table2[ID],Table2[MC3], "Not Found", 0 )</f>
        <v>1</v>
      </c>
      <c r="AB2220" s="16">
        <f>_xlfn.XLOOKUP(CustomerCombinedCleaned[[#This Row],[ID]], Table2[ID],Table2[MC4], "Not Found", 0 )</f>
        <v>0</v>
      </c>
      <c r="AC2220" s="16">
        <f>_xlfn.XLOOKUP(CustomerCombinedCleaned[[#This Row],[ID]], Table2[ID],Table2[MC5], "Not Found", 0 )</f>
        <v>0</v>
      </c>
    </row>
    <row r="2221" spans="1:29" x14ac:dyDescent="0.3">
      <c r="A2221" s="18">
        <v>1408</v>
      </c>
      <c r="B2221" s="16">
        <v>193027</v>
      </c>
      <c r="C2221" s="16">
        <v>0</v>
      </c>
      <c r="D2221" s="16">
        <v>0</v>
      </c>
      <c r="E2221" s="16">
        <v>79</v>
      </c>
      <c r="F2221" s="17" t="s">
        <v>6</v>
      </c>
      <c r="G2221" s="17" t="s">
        <v>13</v>
      </c>
      <c r="H2221" s="3" t="s">
        <v>276</v>
      </c>
      <c r="I2221" s="5" t="s">
        <v>439</v>
      </c>
      <c r="J2221" s="16">
        <f>_xlfn.XLOOKUP(CustomerCombinedCleaned[[#This Row],[ID]], Table4[ID], Table4[Recency], "Not Found", 0)</f>
        <v>77</v>
      </c>
      <c r="K2221" s="16">
        <f>_xlfn.XLOOKUP(CustomerCombinedCleaned[[#This Row],[ID]], Table4[ID], Table4[Teas], "Not Found", 0)</f>
        <v>2666</v>
      </c>
      <c r="L2221" s="16">
        <f>_xlfn.XLOOKUP(CustomerCombinedCleaned[[#This Row],[ID]], Table4[ID], Table4[Fruits], "Not Found", 0)</f>
        <v>87</v>
      </c>
      <c r="M2221" s="16">
        <f>_xlfn.XLOOKUP(CustomerCombinedCleaned[[#This Row],[ID]], Table4[ID], Table4[Meats], "Not Found", 0)</f>
        <v>1486</v>
      </c>
      <c r="N2221" s="16">
        <f>_xlfn.XLOOKUP(CustomerCombinedCleaned[[#This Row],[ID]], Table4[ID], Table4[Seafood], "Not Found", 0)</f>
        <v>114</v>
      </c>
      <c r="O2221" s="16">
        <f>_xlfn.XLOOKUP(CustomerCombinedCleaned[[#This Row],[ID]], Table4[ID], Table4[Sweets], "Not Found", 0)</f>
        <v>0</v>
      </c>
      <c r="P2221" s="16">
        <f>_xlfn.XLOOKUP(CustomerCombinedCleaned[[#This Row],[ID]], Table4[ID], Table4[Premium], "Not Found", 0)</f>
        <v>44</v>
      </c>
      <c r="Q2221" s="16">
        <f>_xlfn.XLOOKUP(CustomerCombinedCleaned[[#This Row],[ID]], Table4[ID], Table4[Regular], "Not Found", 0)</f>
        <v>4310</v>
      </c>
      <c r="R2221" s="16">
        <f>_xlfn.XLOOKUP(CustomerCombinedCleaned[[#This Row],[ID]], Table4[ID], Table4[Deals], "Not Found", 0)</f>
        <v>0</v>
      </c>
      <c r="S2221" s="16">
        <f>_xlfn.XLOOKUP(CustomerCombinedCleaned[[#This Row],[ID]], Table4[ID], Table4[Website], "Not Found", 0)</f>
        <v>7</v>
      </c>
      <c r="T2221" s="16">
        <f>_xlfn.XLOOKUP(CustomerCombinedCleaned[[#This Row],[ID]], Table4[ID], Table4[Catalog], "Not Found", 0)</f>
        <v>10</v>
      </c>
      <c r="U2221" s="16">
        <f>_xlfn.XLOOKUP(CustomerCombinedCleaned[[#This Row],[ID]], Table4[ID], Table4[Store], "Not Found", 0)</f>
        <v>5</v>
      </c>
      <c r="V2221" s="16">
        <f>_xlfn.XLOOKUP(CustomerCombinedCleaned[[#This Row],[ID]], Table4[ID], Table4[Visits], "Not Found", 0)</f>
        <v>2</v>
      </c>
      <c r="W2221" s="16">
        <f>_xlfn.XLOOKUP(CustomerCombinedCleaned[[#This Row],[ID]], Table2[ID],Table2[Complaint], "Not Found", 0 )</f>
        <v>0</v>
      </c>
      <c r="X2221" s="16">
        <f>_xlfn.XLOOKUP(CustomerCombinedCleaned[[#This Row],[ID]], Table2[ID],Table2[Pilot], "Not Found", 0 )</f>
        <v>0</v>
      </c>
      <c r="Y2221" s="16">
        <f>_xlfn.XLOOKUP(CustomerCombinedCleaned[[#This Row],[ID]], Table2[ID],Table2[MC1], "Not Found", 0 )</f>
        <v>0</v>
      </c>
      <c r="Z2221" s="16">
        <f>_xlfn.XLOOKUP(CustomerCombinedCleaned[[#This Row],[ID]], Table2[ID],Table2[MC2], "Not Found", 0 )</f>
        <v>0</v>
      </c>
      <c r="AA2221" s="16">
        <f>_xlfn.XLOOKUP(CustomerCombinedCleaned[[#This Row],[ID]], Table2[ID],Table2[MC3], "Not Found", 0 )</f>
        <v>0</v>
      </c>
      <c r="AB2221" s="16">
        <f>_xlfn.XLOOKUP(CustomerCombinedCleaned[[#This Row],[ID]], Table2[ID],Table2[MC4], "Not Found", 0 )</f>
        <v>0</v>
      </c>
      <c r="AC2221" s="16">
        <f>_xlfn.XLOOKUP(CustomerCombinedCleaned[[#This Row],[ID]], Table2[ID],Table2[MC5], "Not Found", 0 )</f>
        <v>1</v>
      </c>
    </row>
    <row r="2222" spans="1:29" x14ac:dyDescent="0.3">
      <c r="A2222" s="18">
        <v>2925</v>
      </c>
      <c r="B2222" s="16">
        <v>151141</v>
      </c>
      <c r="C2222" s="16">
        <v>0</v>
      </c>
      <c r="D2222" s="16">
        <v>0</v>
      </c>
      <c r="E2222" s="16">
        <v>80</v>
      </c>
      <c r="F2222" s="17" t="s">
        <v>7</v>
      </c>
      <c r="G2222" s="17" t="s">
        <v>13</v>
      </c>
      <c r="H2222" s="3" t="s">
        <v>227</v>
      </c>
      <c r="I2222" s="5" t="s">
        <v>435</v>
      </c>
      <c r="J2222" s="16">
        <f>_xlfn.XLOOKUP(CustomerCombinedCleaned[[#This Row],[ID]], Table4[ID], Table4[Recency], "Not Found", 0)</f>
        <v>96</v>
      </c>
      <c r="K2222" s="16">
        <f>_xlfn.XLOOKUP(CustomerCombinedCleaned[[#This Row],[ID]], Table4[ID], Table4[Teas], "Not Found", 0)</f>
        <v>426</v>
      </c>
      <c r="L2222" s="16">
        <f>_xlfn.XLOOKUP(CustomerCombinedCleaned[[#This Row],[ID]], Table4[ID], Table4[Fruits], "Not Found", 0)</f>
        <v>0</v>
      </c>
      <c r="M2222" s="16">
        <f>_xlfn.XLOOKUP(CustomerCombinedCleaned[[#This Row],[ID]], Table4[ID], Table4[Meats], "Not Found", 0)</f>
        <v>21</v>
      </c>
      <c r="N2222" s="16">
        <f>_xlfn.XLOOKUP(CustomerCombinedCleaned[[#This Row],[ID]], Table4[ID], Table4[Seafood], "Not Found", 0)</f>
        <v>0</v>
      </c>
      <c r="O2222" s="16">
        <f>_xlfn.XLOOKUP(CustomerCombinedCleaned[[#This Row],[ID]], Table4[ID], Table4[Sweets], "Not Found", 0)</f>
        <v>0</v>
      </c>
      <c r="P2222" s="16">
        <f>_xlfn.XLOOKUP(CustomerCombinedCleaned[[#This Row],[ID]], Table4[ID], Table4[Premium], "Not Found", 0)</f>
        <v>18</v>
      </c>
      <c r="Q2222" s="16">
        <f>_xlfn.XLOOKUP(CustomerCombinedCleaned[[#This Row],[ID]], Table4[ID], Table4[Regular], "Not Found", 0)</f>
        <v>429</v>
      </c>
      <c r="R2222" s="16">
        <f>_xlfn.XLOOKUP(CustomerCombinedCleaned[[#This Row],[ID]], Table4[ID], Table4[Deals], "Not Found", 0)</f>
        <v>1</v>
      </c>
      <c r="S2222" s="16">
        <f>_xlfn.XLOOKUP(CustomerCombinedCleaned[[#This Row],[ID]], Table4[ID], Table4[Website], "Not Found", 0)</f>
        <v>3</v>
      </c>
      <c r="T2222" s="16">
        <f>_xlfn.XLOOKUP(CustomerCombinedCleaned[[#This Row],[ID]], Table4[ID], Table4[Catalog], "Not Found", 0)</f>
        <v>1</v>
      </c>
      <c r="U2222" s="16">
        <f>_xlfn.XLOOKUP(CustomerCombinedCleaned[[#This Row],[ID]], Table4[ID], Table4[Store], "Not Found", 0)</f>
        <v>4</v>
      </c>
      <c r="V2222" s="16">
        <f>_xlfn.XLOOKUP(CustomerCombinedCleaned[[#This Row],[ID]], Table4[ID], Table4[Visits], "Not Found", 0)</f>
        <v>5</v>
      </c>
      <c r="W2222" s="16">
        <f>_xlfn.XLOOKUP(CustomerCombinedCleaned[[#This Row],[ID]], Table2[ID],Table2[Complaint], "Not Found", 0 )</f>
        <v>0</v>
      </c>
      <c r="X2222" s="16">
        <f>_xlfn.XLOOKUP(CustomerCombinedCleaned[[#This Row],[ID]], Table2[ID],Table2[Pilot], "Not Found", 0 )</f>
        <v>0</v>
      </c>
      <c r="Y2222" s="16">
        <f>_xlfn.XLOOKUP(CustomerCombinedCleaned[[#This Row],[ID]], Table2[ID],Table2[MC1], "Not Found", 0 )</f>
        <v>0</v>
      </c>
      <c r="Z2222" s="16">
        <f>_xlfn.XLOOKUP(CustomerCombinedCleaned[[#This Row],[ID]], Table2[ID],Table2[MC2], "Not Found", 0 )</f>
        <v>0</v>
      </c>
      <c r="AA2222" s="16">
        <f>_xlfn.XLOOKUP(CustomerCombinedCleaned[[#This Row],[ID]], Table2[ID],Table2[MC3], "Not Found", 0 )</f>
        <v>0</v>
      </c>
      <c r="AB2222" s="16">
        <f>_xlfn.XLOOKUP(CustomerCombinedCleaned[[#This Row],[ID]], Table2[ID],Table2[MC4], "Not Found", 0 )</f>
        <v>0</v>
      </c>
      <c r="AC2222" s="16">
        <f>_xlfn.XLOOKUP(CustomerCombinedCleaned[[#This Row],[ID]], Table2[ID],Table2[MC5], "Not Found", 0 )</f>
        <v>0</v>
      </c>
    </row>
  </sheetData>
  <phoneticPr fontId="18"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7683D-C12A-49D8-9B6F-3564F7CFC407}">
  <dimension ref="A1:N34"/>
  <sheetViews>
    <sheetView workbookViewId="0">
      <selection activeCell="D31" sqref="D31"/>
    </sheetView>
  </sheetViews>
  <sheetFormatPr defaultRowHeight="14.4" x14ac:dyDescent="0.3"/>
  <cols>
    <col min="1" max="1" width="24" bestFit="1" customWidth="1"/>
    <col min="2" max="2" width="11.109375" bestFit="1" customWidth="1"/>
    <col min="3" max="3" width="25.77734375" bestFit="1" customWidth="1"/>
    <col min="5" max="5" width="28.88671875" customWidth="1"/>
    <col min="6" max="6" width="12.5546875" bestFit="1" customWidth="1"/>
    <col min="7" max="7" width="24.88671875" bestFit="1" customWidth="1"/>
    <col min="8" max="8" width="9.109375" bestFit="1" customWidth="1"/>
    <col min="9" max="10" width="26.5546875" bestFit="1" customWidth="1"/>
    <col min="11" max="11" width="22.5546875" bestFit="1" customWidth="1"/>
    <col min="12" max="12" width="12.6640625" bestFit="1" customWidth="1"/>
    <col min="13" max="13" width="10.77734375" bestFit="1" customWidth="1"/>
  </cols>
  <sheetData>
    <row r="1" spans="1:14" ht="50.4" customHeight="1" x14ac:dyDescent="0.3">
      <c r="A1" s="28" t="s">
        <v>536</v>
      </c>
      <c r="B1" s="28"/>
      <c r="C1" s="28"/>
      <c r="D1" s="28"/>
      <c r="E1" s="28"/>
      <c r="F1" s="28"/>
      <c r="G1" s="28"/>
      <c r="H1" s="28"/>
      <c r="I1" s="28"/>
      <c r="J1" s="28"/>
      <c r="K1" s="28"/>
      <c r="L1" s="28"/>
      <c r="M1" s="28"/>
      <c r="N1" s="28"/>
    </row>
    <row r="2" spans="1:14" x14ac:dyDescent="0.3">
      <c r="A2" s="9" t="s">
        <v>445</v>
      </c>
      <c r="B2" s="10">
        <f>AVERAGE(CustomerCombinedCleaned[Income])</f>
        <v>151710.61323728052</v>
      </c>
      <c r="C2" s="9" t="s">
        <v>446</v>
      </c>
      <c r="D2" s="10">
        <f>MIN(CustomerCombinedCleaned[Income])</f>
        <v>101730</v>
      </c>
      <c r="E2" s="9" t="s">
        <v>447</v>
      </c>
      <c r="F2" s="10">
        <f>MAX(CustomerCombinedCleaned[Income])</f>
        <v>213734</v>
      </c>
      <c r="G2" s="9" t="s">
        <v>448</v>
      </c>
      <c r="H2" s="10">
        <f>MODE(CustomerCombinedCleaned[Income])</f>
        <v>107500</v>
      </c>
      <c r="I2" s="9" t="s">
        <v>461</v>
      </c>
      <c r="J2" s="10">
        <f>MEDIAN(CustomerCombinedCleaned[Income])</f>
        <v>151479</v>
      </c>
      <c r="K2" s="9" t="s">
        <v>449</v>
      </c>
      <c r="L2" s="11">
        <f>F2-D2</f>
        <v>112004</v>
      </c>
      <c r="M2" s="9" t="s">
        <v>450</v>
      </c>
      <c r="N2" s="9">
        <f>SKEW(CustomerCombinedCleaned[Income])</f>
        <v>2.3592595623897188E-3</v>
      </c>
    </row>
    <row r="3" spans="1:14" x14ac:dyDescent="0.3">
      <c r="A3" s="9" t="s">
        <v>451</v>
      </c>
      <c r="B3" s="10">
        <f>AVERAGE(CustomerCombinedCleaned[Age])</f>
        <v>51.091850517784785</v>
      </c>
      <c r="C3" s="9" t="s">
        <v>452</v>
      </c>
      <c r="D3" s="10">
        <f>MIN(CustomerCombinedCleaned[Age])</f>
        <v>24</v>
      </c>
      <c r="E3" s="9" t="s">
        <v>453</v>
      </c>
      <c r="F3" s="10">
        <f>MAX(CustomerCombinedCleaned[Age])</f>
        <v>80</v>
      </c>
      <c r="G3" s="9" t="s">
        <v>454</v>
      </c>
      <c r="H3" s="10">
        <f>MODE(CustomerCombinedCleaned[Age])</f>
        <v>44</v>
      </c>
      <c r="I3" s="9" t="s">
        <v>462</v>
      </c>
      <c r="J3" s="10">
        <f>MEDIAN(CustomerCombinedCleaned[Age])</f>
        <v>50</v>
      </c>
      <c r="K3" s="9" t="s">
        <v>455</v>
      </c>
      <c r="L3" s="11">
        <f>F3-D3</f>
        <v>56</v>
      </c>
      <c r="M3" s="9" t="s">
        <v>450</v>
      </c>
      <c r="N3" s="9">
        <f>SKEW(CustomerCombinedCleaned[Age])</f>
        <v>9.2000861263840536E-2</v>
      </c>
    </row>
    <row r="4" spans="1:14" x14ac:dyDescent="0.3">
      <c r="A4" s="9" t="s">
        <v>493</v>
      </c>
      <c r="B4" s="10">
        <f>AVERAGE(CustomerCombinedCleaned[Teas])</f>
        <v>783.02296262944617</v>
      </c>
      <c r="C4" s="9" t="s">
        <v>494</v>
      </c>
      <c r="D4" s="10">
        <f>MIN(CustomerCombinedCleaned[Teas])</f>
        <v>0</v>
      </c>
      <c r="E4" s="9" t="s">
        <v>495</v>
      </c>
      <c r="F4" s="10">
        <f>MAX(CustomerCombinedCleaned[Teas])</f>
        <v>3734</v>
      </c>
      <c r="G4" s="9" t="s">
        <v>496</v>
      </c>
      <c r="H4" s="10">
        <f>MODE(CustomerCombinedCleaned[Teas])</f>
        <v>5</v>
      </c>
      <c r="I4" s="9" t="s">
        <v>497</v>
      </c>
      <c r="J4" s="10">
        <f>MEDIAN(CustomerCombinedCleaned[Teas])</f>
        <v>526</v>
      </c>
      <c r="K4" s="9" t="s">
        <v>498</v>
      </c>
      <c r="L4" s="11">
        <f t="shared" ref="L4:L8" si="0">F4-D4</f>
        <v>3734</v>
      </c>
      <c r="M4" s="9" t="s">
        <v>450</v>
      </c>
      <c r="N4" s="9">
        <f>SKEW(CustomerCombinedCleaned[Teas])</f>
        <v>1.0676599881570361</v>
      </c>
    </row>
    <row r="5" spans="1:14" x14ac:dyDescent="0.3">
      <c r="A5" s="9" t="s">
        <v>499</v>
      </c>
      <c r="B5" s="10">
        <f>AVERAGE(CustomerCombinedCleaned[Fruits])</f>
        <v>69.495722647456105</v>
      </c>
      <c r="C5" s="9" t="s">
        <v>500</v>
      </c>
      <c r="D5" s="10">
        <f>MIN(CustomerCombinedCleaned[Fruits])</f>
        <v>0</v>
      </c>
      <c r="E5" s="9" t="s">
        <v>501</v>
      </c>
      <c r="F5" s="10">
        <f>MAX(CustomerCombinedCleaned[Fruits])</f>
        <v>614</v>
      </c>
      <c r="G5" s="9" t="s">
        <v>502</v>
      </c>
      <c r="H5" s="10">
        <f>MODE(CustomerCombinedCleaned[Fruits])</f>
        <v>0</v>
      </c>
      <c r="I5" s="9" t="s">
        <v>503</v>
      </c>
      <c r="J5" s="10">
        <f>MEDIAN(CustomerCombinedCleaned[Fruits])</f>
        <v>29</v>
      </c>
      <c r="K5" s="9" t="s">
        <v>504</v>
      </c>
      <c r="L5" s="11">
        <f t="shared" si="0"/>
        <v>614</v>
      </c>
      <c r="M5" s="9" t="s">
        <v>450</v>
      </c>
      <c r="N5" s="9">
        <f>SKEW(CustomerCombinedCleaned[Fruits])</f>
        <v>2.0291543697173284</v>
      </c>
    </row>
    <row r="6" spans="1:14" x14ac:dyDescent="0.3">
      <c r="A6" s="9" t="s">
        <v>505</v>
      </c>
      <c r="B6" s="10">
        <f>AVERAGE(CustomerCombinedCleaned[Meats])</f>
        <v>444.97928860873481</v>
      </c>
      <c r="C6" s="9" t="s">
        <v>506</v>
      </c>
      <c r="D6" s="10">
        <f>MIN(CustomerCombinedCleaned[Meats])</f>
        <v>0</v>
      </c>
      <c r="E6" s="9" t="s">
        <v>507</v>
      </c>
      <c r="F6" s="10">
        <f>MAX(CustomerCombinedCleaned[Meats])</f>
        <v>72219</v>
      </c>
      <c r="G6" s="9" t="s">
        <v>508</v>
      </c>
      <c r="H6" s="10">
        <f>MODE(CustomerCombinedCleaned[Meats])</f>
        <v>50</v>
      </c>
      <c r="I6" s="9" t="s">
        <v>509</v>
      </c>
      <c r="J6" s="10">
        <f>MEDIAN(CustomerCombinedCleaned[Meats])</f>
        <v>209</v>
      </c>
      <c r="K6" s="9" t="s">
        <v>510</v>
      </c>
      <c r="L6" s="11">
        <f t="shared" si="0"/>
        <v>72219</v>
      </c>
      <c r="M6" s="9" t="s">
        <v>450</v>
      </c>
      <c r="N6" s="9">
        <f>SKEW(CustomerCombinedCleaned[Meats])</f>
        <v>40.898399608603683</v>
      </c>
    </row>
    <row r="7" spans="1:14" x14ac:dyDescent="0.3">
      <c r="A7" s="9" t="s">
        <v>511</v>
      </c>
      <c r="B7" s="10">
        <f>AVERAGE(CustomerCombinedCleaned[Seafood])</f>
        <v>99.19720846465556</v>
      </c>
      <c r="C7" s="9" t="s">
        <v>512</v>
      </c>
      <c r="D7" s="10">
        <f>MIN(CustomerCombinedCleaned[Seafood])</f>
        <v>0</v>
      </c>
      <c r="E7" s="9" t="s">
        <v>513</v>
      </c>
      <c r="F7" s="10">
        <f>MAX(CustomerCombinedCleaned[Seafood])</f>
        <v>812</v>
      </c>
      <c r="G7" s="9" t="s">
        <v>514</v>
      </c>
      <c r="H7" s="10">
        <f>MODE(CustomerCombinedCleaned[Seafood])</f>
        <v>0</v>
      </c>
      <c r="I7" s="9" t="s">
        <v>515</v>
      </c>
      <c r="J7" s="10">
        <f>MEDIAN(CustomerCombinedCleaned[Seafood])</f>
        <v>44</v>
      </c>
      <c r="K7" s="9" t="s">
        <v>516</v>
      </c>
      <c r="L7" s="11">
        <f t="shared" si="0"/>
        <v>812</v>
      </c>
      <c r="M7" s="9" t="s">
        <v>450</v>
      </c>
      <c r="N7" s="9">
        <f>SKEW(CustomerCombinedCleaned[Seafood])</f>
        <v>1.8977390006175228</v>
      </c>
    </row>
    <row r="8" spans="1:14" x14ac:dyDescent="0.3">
      <c r="A8" s="9" t="s">
        <v>517</v>
      </c>
      <c r="B8" s="10">
        <f>AVERAGE(CustomerCombinedCleaned[Sweets])</f>
        <v>70.971634398919406</v>
      </c>
      <c r="C8" s="9" t="s">
        <v>518</v>
      </c>
      <c r="D8" s="10">
        <f>MIN(CustomerCombinedCleaned[Sweets])</f>
        <v>0</v>
      </c>
      <c r="E8" s="9" t="s">
        <v>519</v>
      </c>
      <c r="F8" s="10">
        <f>MAX(CustomerCombinedCleaned[Sweets])</f>
        <v>855</v>
      </c>
      <c r="G8" s="9" t="s">
        <v>520</v>
      </c>
      <c r="H8" s="10">
        <f>MODE(CustomerCombinedCleaned[Sweets])</f>
        <v>0</v>
      </c>
      <c r="I8" s="9" t="s">
        <v>521</v>
      </c>
      <c r="J8" s="10">
        <f>MEDIAN(CustomerCombinedCleaned[Sweets])</f>
        <v>30</v>
      </c>
      <c r="K8" s="9" t="s">
        <v>522</v>
      </c>
      <c r="L8" s="11">
        <f t="shared" si="0"/>
        <v>855</v>
      </c>
      <c r="M8" s="9" t="s">
        <v>450</v>
      </c>
      <c r="N8" s="9">
        <f>SKEW(CustomerCombinedCleaned[Sweets])</f>
        <v>2.0850238936648835</v>
      </c>
    </row>
    <row r="9" spans="1:14" x14ac:dyDescent="0.3">
      <c r="A9" s="9" t="s">
        <v>524</v>
      </c>
      <c r="B9" s="10">
        <f>AVERAGE(CustomerCombinedCleaned[Premium])</f>
        <v>131.77982890589826</v>
      </c>
      <c r="C9" s="9" t="s">
        <v>525</v>
      </c>
      <c r="D9" s="10">
        <f>MIN(CustomerCombinedCleaned[Premium])</f>
        <v>0</v>
      </c>
      <c r="E9" s="9" t="s">
        <v>526</v>
      </c>
      <c r="F9" s="10">
        <f>MAX(CustomerCombinedCleaned[Premium])</f>
        <v>7570</v>
      </c>
      <c r="G9" s="9" t="s">
        <v>527</v>
      </c>
      <c r="H9" s="10">
        <f>MODE(CustomerCombinedCleaned[Premium])</f>
        <v>0</v>
      </c>
      <c r="I9" s="9" t="s">
        <v>528</v>
      </c>
      <c r="J9" s="10">
        <f>MEDIAN(CustomerCombinedCleaned[Premium])</f>
        <v>79</v>
      </c>
      <c r="K9" s="9" t="s">
        <v>529</v>
      </c>
      <c r="L9" s="11">
        <f t="shared" ref="L9:L10" si="1">F9-D9</f>
        <v>7570</v>
      </c>
      <c r="M9" s="9" t="s">
        <v>450</v>
      </c>
      <c r="N9" s="9">
        <f>SKEW(CustomerCombinedCleaned[Premium])</f>
        <v>18.127576047654895</v>
      </c>
    </row>
    <row r="10" spans="1:14" x14ac:dyDescent="0.3">
      <c r="A10" s="9" t="s">
        <v>530</v>
      </c>
      <c r="B10" s="10">
        <f>AVERAGE(CustomerCombinedCleaned[Regular])</f>
        <v>1346.3282305267896</v>
      </c>
      <c r="C10" s="9" t="s">
        <v>531</v>
      </c>
      <c r="D10" s="10">
        <f>MIN(CustomerCombinedCleaned[Regular])</f>
        <v>0</v>
      </c>
      <c r="E10" s="9" t="s">
        <v>532</v>
      </c>
      <c r="F10" s="10">
        <f>MAX(CustomerCombinedCleaned[Regular])</f>
        <v>72345</v>
      </c>
      <c r="G10" s="9" t="s">
        <v>533</v>
      </c>
      <c r="H10" s="10">
        <f>MODE(CustomerCombinedCleaned[Regular])</f>
        <v>152</v>
      </c>
      <c r="I10" s="9" t="s">
        <v>534</v>
      </c>
      <c r="J10" s="10">
        <f>MEDIAN(CustomerCombinedCleaned[Regular])</f>
        <v>907</v>
      </c>
      <c r="K10" s="9" t="s">
        <v>535</v>
      </c>
      <c r="L10" s="11">
        <f t="shared" si="1"/>
        <v>72345</v>
      </c>
      <c r="M10" s="9" t="s">
        <v>450</v>
      </c>
      <c r="N10" s="9">
        <f>SKEW(CustomerCombinedCleaned[Regular])</f>
        <v>21.510892027759613</v>
      </c>
    </row>
    <row r="11" spans="1:14" x14ac:dyDescent="0.3">
      <c r="A11" s="9" t="s">
        <v>463</v>
      </c>
      <c r="B11" s="10">
        <f>AVERAGE(CustomerCombinedCleaned[Deals])</f>
        <v>2.3241782980639352</v>
      </c>
      <c r="C11" s="9" t="s">
        <v>464</v>
      </c>
      <c r="D11" s="10">
        <f>MIN(CustomerCombinedCleaned[Deals])</f>
        <v>0</v>
      </c>
      <c r="E11" s="9" t="s">
        <v>465</v>
      </c>
      <c r="F11" s="10">
        <f>MAX(CustomerCombinedCleaned[Deals])</f>
        <v>15</v>
      </c>
      <c r="G11" s="9" t="s">
        <v>466</v>
      </c>
      <c r="H11" s="10">
        <f>MODE(CustomerCombinedCleaned[Deals])</f>
        <v>1</v>
      </c>
      <c r="I11" s="9" t="s">
        <v>467</v>
      </c>
      <c r="J11" s="10">
        <f>MEDIAN(CustomerCombinedCleaned[Deals])</f>
        <v>2</v>
      </c>
      <c r="K11" s="9" t="s">
        <v>468</v>
      </c>
      <c r="L11" s="11">
        <f>F11-D11</f>
        <v>15</v>
      </c>
      <c r="M11" s="9" t="s">
        <v>450</v>
      </c>
      <c r="N11" s="9">
        <f>SKEW(CustomerCombinedCleaned[Deals])</f>
        <v>2.2988667853944977</v>
      </c>
    </row>
    <row r="12" spans="1:14" x14ac:dyDescent="0.3">
      <c r="A12" s="9" t="s">
        <v>469</v>
      </c>
      <c r="B12" s="10">
        <f>AVERAGE(CustomerCombinedCleaned[Website])</f>
        <v>4.1017559657811793</v>
      </c>
      <c r="C12" s="9" t="s">
        <v>470</v>
      </c>
      <c r="D12" s="10">
        <f>MIN(CustomerCombinedCleaned[Website])</f>
        <v>0</v>
      </c>
      <c r="E12" s="9" t="s">
        <v>471</v>
      </c>
      <c r="F12" s="10">
        <f>MAX(CustomerCombinedCleaned[Website])</f>
        <v>27</v>
      </c>
      <c r="G12" s="9" t="s">
        <v>472</v>
      </c>
      <c r="H12" s="10">
        <f>MODE(CustomerCombinedCleaned[Website])</f>
        <v>2</v>
      </c>
      <c r="I12" s="9" t="s">
        <v>473</v>
      </c>
      <c r="J12" s="10">
        <f>MEDIAN(CustomerCombinedCleaned[Website])</f>
        <v>4</v>
      </c>
      <c r="K12" s="9" t="s">
        <v>474</v>
      </c>
      <c r="L12" s="11">
        <f>F12-D12</f>
        <v>27</v>
      </c>
      <c r="M12" s="9" t="s">
        <v>450</v>
      </c>
      <c r="N12" s="9">
        <f>SKEW(CustomerCombinedCleaned[Website])</f>
        <v>1.1945202030027251</v>
      </c>
    </row>
    <row r="13" spans="1:14" x14ac:dyDescent="0.3">
      <c r="A13" s="9" t="s">
        <v>475</v>
      </c>
      <c r="B13" s="10">
        <f>AVERAGE(CustomerCombinedCleaned[Catalog])</f>
        <v>2.6416028815848716</v>
      </c>
      <c r="C13" s="9" t="s">
        <v>476</v>
      </c>
      <c r="D13" s="10">
        <f>MIN(CustomerCombinedCleaned[Catalog])</f>
        <v>0</v>
      </c>
      <c r="E13" s="9" t="s">
        <v>477</v>
      </c>
      <c r="F13" s="10">
        <f>MAX(CustomerCombinedCleaned[Catalog])</f>
        <v>28</v>
      </c>
      <c r="G13" s="9" t="s">
        <v>478</v>
      </c>
      <c r="H13" s="10">
        <f>MODE(CustomerCombinedCleaned[Catalog])</f>
        <v>0</v>
      </c>
      <c r="I13" s="9" t="s">
        <v>479</v>
      </c>
      <c r="J13" s="10">
        <f>MEDIAN(CustomerCombinedCleaned[Catalog])</f>
        <v>2</v>
      </c>
      <c r="K13" s="9" t="s">
        <v>480</v>
      </c>
      <c r="L13" s="11">
        <f>F13-D13</f>
        <v>28</v>
      </c>
      <c r="M13" s="9" t="s">
        <v>450</v>
      </c>
      <c r="N13" s="9">
        <f>SKEW(CustomerCombinedCleaned[Catalog])</f>
        <v>1.371449589720632</v>
      </c>
    </row>
    <row r="14" spans="1:14" x14ac:dyDescent="0.3">
      <c r="A14" s="9" t="s">
        <v>481</v>
      </c>
      <c r="B14" s="10">
        <f>AVERAGE(CustomerCombinedCleaned[Store])</f>
        <v>5.8221521837010357</v>
      </c>
      <c r="C14" s="9" t="s">
        <v>482</v>
      </c>
      <c r="D14" s="10">
        <f>MIN(CustomerCombinedCleaned[Store])</f>
        <v>0</v>
      </c>
      <c r="E14" s="9" t="s">
        <v>483</v>
      </c>
      <c r="F14" s="10">
        <f>MAX(CustomerCombinedCleaned[Store])</f>
        <v>13</v>
      </c>
      <c r="G14" s="9" t="s">
        <v>484</v>
      </c>
      <c r="H14" s="10">
        <f>MODE(CustomerCombinedCleaned[Store])</f>
        <v>3</v>
      </c>
      <c r="I14" s="9" t="s">
        <v>485</v>
      </c>
      <c r="J14" s="10">
        <f>MEDIAN(CustomerCombinedCleaned[Store])</f>
        <v>5</v>
      </c>
      <c r="K14" s="9" t="s">
        <v>486</v>
      </c>
      <c r="L14" s="11">
        <f>F14-D14</f>
        <v>13</v>
      </c>
      <c r="M14" s="9" t="s">
        <v>450</v>
      </c>
      <c r="N14" s="9">
        <f>SKEW(CustomerCombinedCleaned[Store])</f>
        <v>0.70686274111168979</v>
      </c>
    </row>
    <row r="15" spans="1:14" x14ac:dyDescent="0.3">
      <c r="A15" s="9" t="s">
        <v>487</v>
      </c>
      <c r="B15" s="10">
        <f>AVERAGE(CustomerCombinedCleaned[Visits])</f>
        <v>5.3430886987843316</v>
      </c>
      <c r="C15" s="9" t="s">
        <v>488</v>
      </c>
      <c r="D15" s="10">
        <f>MIN(CustomerCombinedCleaned[Visits])</f>
        <v>0</v>
      </c>
      <c r="E15" s="9" t="s">
        <v>489</v>
      </c>
      <c r="F15" s="10">
        <f>MAX(CustomerCombinedCleaned[Visits])</f>
        <v>20</v>
      </c>
      <c r="G15" s="9" t="s">
        <v>490</v>
      </c>
      <c r="H15" s="10">
        <f>MODE(CustomerCombinedCleaned[Visits])</f>
        <v>7</v>
      </c>
      <c r="I15" s="9" t="s">
        <v>491</v>
      </c>
      <c r="J15" s="10">
        <f>MEDIAN(CustomerCombinedCleaned[Visits])</f>
        <v>6</v>
      </c>
      <c r="K15" s="9" t="s">
        <v>492</v>
      </c>
      <c r="L15" s="11">
        <f>F15-D15</f>
        <v>20</v>
      </c>
      <c r="M15" s="9" t="s">
        <v>450</v>
      </c>
      <c r="N15" s="9">
        <f>SKEW(CustomerCombinedCleaned[Visits])</f>
        <v>0.22444424396055748</v>
      </c>
    </row>
    <row r="16" spans="1:14" x14ac:dyDescent="0.3">
      <c r="A16" s="13"/>
      <c r="B16" s="13"/>
      <c r="C16" s="13"/>
      <c r="D16" s="13"/>
      <c r="E16" s="13"/>
      <c r="F16" s="13"/>
      <c r="G16" s="13"/>
      <c r="H16" s="13"/>
      <c r="I16" s="13"/>
      <c r="J16" s="13"/>
      <c r="K16" s="13"/>
      <c r="L16" s="13"/>
    </row>
    <row r="17" spans="1:12" x14ac:dyDescent="0.3">
      <c r="A17" s="9" t="s">
        <v>456</v>
      </c>
      <c r="B17" s="9" t="s">
        <v>6</v>
      </c>
      <c r="C17" s="14"/>
      <c r="D17" s="14"/>
      <c r="E17" s="14"/>
      <c r="F17" s="30" t="s">
        <v>811</v>
      </c>
      <c r="G17" s="31"/>
      <c r="H17" s="14"/>
      <c r="I17" s="14"/>
      <c r="J17" s="14"/>
      <c r="K17" s="14"/>
      <c r="L17" s="14"/>
    </row>
    <row r="18" spans="1:12" x14ac:dyDescent="0.3">
      <c r="A18" s="9" t="s">
        <v>457</v>
      </c>
      <c r="B18" s="9" t="s">
        <v>11</v>
      </c>
      <c r="C18" s="14"/>
      <c r="D18" s="14"/>
      <c r="E18" s="14"/>
      <c r="F18" s="9" t="s">
        <v>802</v>
      </c>
      <c r="G18" s="24" t="s">
        <v>810</v>
      </c>
      <c r="H18" s="14"/>
      <c r="I18" s="14"/>
      <c r="J18" s="14"/>
      <c r="K18" s="14"/>
      <c r="L18" s="14"/>
    </row>
    <row r="19" spans="1:12" x14ac:dyDescent="0.3">
      <c r="A19" s="9" t="s">
        <v>458</v>
      </c>
      <c r="B19" s="9" t="s">
        <v>432</v>
      </c>
      <c r="C19" s="20"/>
      <c r="D19" s="20"/>
      <c r="E19" s="20"/>
      <c r="F19" s="22" t="s">
        <v>806</v>
      </c>
      <c r="G19" s="23">
        <v>723</v>
      </c>
      <c r="H19" s="14"/>
      <c r="I19" s="14"/>
      <c r="J19" s="14"/>
      <c r="K19" s="14"/>
      <c r="L19" s="14"/>
    </row>
    <row r="20" spans="1:12" x14ac:dyDescent="0.3">
      <c r="A20" s="9" t="s">
        <v>523</v>
      </c>
      <c r="B20" s="9" t="s">
        <v>459</v>
      </c>
      <c r="C20" s="14"/>
      <c r="D20" s="14"/>
      <c r="E20" s="14"/>
      <c r="F20" s="22" t="s">
        <v>807</v>
      </c>
      <c r="G20" s="23">
        <v>481</v>
      </c>
      <c r="H20" s="14"/>
      <c r="I20" s="14"/>
      <c r="J20" s="14"/>
      <c r="K20" s="14"/>
      <c r="L20" s="14"/>
    </row>
    <row r="21" spans="1:12" x14ac:dyDescent="0.3">
      <c r="A21" s="14"/>
      <c r="B21" s="14"/>
      <c r="C21" s="14"/>
      <c r="D21" s="14"/>
      <c r="E21" s="14"/>
      <c r="F21" s="22" t="s">
        <v>805</v>
      </c>
      <c r="G21" s="23">
        <v>454</v>
      </c>
      <c r="H21" s="14"/>
      <c r="I21" s="14"/>
      <c r="J21" s="14"/>
      <c r="K21" s="14"/>
      <c r="L21" s="14"/>
    </row>
    <row r="22" spans="1:12" x14ac:dyDescent="0.3">
      <c r="A22" s="14"/>
      <c r="B22" s="14"/>
      <c r="C22" s="14"/>
      <c r="D22" s="14"/>
      <c r="E22" s="14"/>
      <c r="F22" s="22" t="s">
        <v>808</v>
      </c>
      <c r="G22" s="23">
        <v>377</v>
      </c>
      <c r="H22" s="14"/>
      <c r="I22" s="14"/>
      <c r="J22" s="14"/>
      <c r="K22" s="14"/>
      <c r="L22" s="14"/>
    </row>
    <row r="23" spans="1:12" x14ac:dyDescent="0.3">
      <c r="A23" s="14"/>
      <c r="B23" s="14"/>
      <c r="C23" s="14"/>
      <c r="D23" s="14"/>
      <c r="E23" s="14"/>
      <c r="F23" s="22" t="s">
        <v>804</v>
      </c>
      <c r="G23" s="23">
        <v>146</v>
      </c>
      <c r="H23" s="14"/>
      <c r="I23" s="14"/>
      <c r="J23" s="14"/>
      <c r="K23" s="14"/>
      <c r="L23" s="14"/>
    </row>
    <row r="24" spans="1:12" x14ac:dyDescent="0.3">
      <c r="A24" s="14"/>
      <c r="B24" s="14"/>
      <c r="C24" s="14"/>
      <c r="D24" s="14"/>
      <c r="E24" s="14"/>
      <c r="F24" s="22" t="s">
        <v>809</v>
      </c>
      <c r="G24" s="23">
        <v>40</v>
      </c>
      <c r="H24" s="14"/>
      <c r="I24" s="14"/>
      <c r="J24" s="14"/>
      <c r="K24" s="14"/>
      <c r="L24" s="14"/>
    </row>
    <row r="25" spans="1:12" x14ac:dyDescent="0.3">
      <c r="A25" s="14"/>
      <c r="B25" s="14"/>
      <c r="C25" s="14"/>
      <c r="D25" s="14"/>
      <c r="E25" s="14"/>
      <c r="F25" s="9" t="s">
        <v>803</v>
      </c>
      <c r="G25" s="24">
        <v>2221</v>
      </c>
      <c r="H25" s="14"/>
      <c r="I25" s="14"/>
      <c r="J25" s="14"/>
      <c r="K25" s="14"/>
      <c r="L25" s="14"/>
    </row>
    <row r="26" spans="1:12" ht="199.2" customHeight="1" x14ac:dyDescent="0.3">
      <c r="A26" s="27" t="s">
        <v>814</v>
      </c>
      <c r="B26" s="27"/>
      <c r="C26" s="27"/>
      <c r="D26" s="27"/>
      <c r="E26" s="27"/>
      <c r="F26" s="22"/>
      <c r="G26" s="23"/>
    </row>
    <row r="27" spans="1:12" x14ac:dyDescent="0.3">
      <c r="A27" s="14"/>
      <c r="B27" s="14"/>
      <c r="C27" s="14"/>
      <c r="D27" s="14"/>
      <c r="E27" s="14"/>
      <c r="H27" s="14"/>
      <c r="I27" s="14"/>
      <c r="J27" s="14"/>
      <c r="K27" s="14"/>
      <c r="L27" s="14"/>
    </row>
    <row r="28" spans="1:12" x14ac:dyDescent="0.3">
      <c r="A28" s="14"/>
      <c r="B28" s="14"/>
      <c r="C28" s="14"/>
      <c r="D28" s="14"/>
      <c r="E28" s="14"/>
      <c r="F28" s="14"/>
      <c r="G28" s="14"/>
      <c r="H28" s="14"/>
      <c r="I28" s="14"/>
      <c r="J28" s="14"/>
      <c r="K28" s="14"/>
      <c r="L28" s="14"/>
    </row>
    <row r="29" spans="1:12" x14ac:dyDescent="0.3">
      <c r="A29" s="14"/>
      <c r="B29" s="14"/>
      <c r="C29" s="14"/>
      <c r="D29" s="14"/>
      <c r="E29" s="14"/>
      <c r="F29" s="14"/>
      <c r="G29" s="14"/>
      <c r="H29" s="14"/>
      <c r="I29" s="14"/>
      <c r="J29" s="14"/>
      <c r="K29" s="14"/>
      <c r="L29" s="14"/>
    </row>
    <row r="30" spans="1:12" x14ac:dyDescent="0.3">
      <c r="A30" s="14"/>
      <c r="B30" s="14"/>
      <c r="C30" s="14"/>
      <c r="D30" s="14"/>
      <c r="E30" s="14"/>
      <c r="F30" s="14"/>
      <c r="G30" s="14"/>
      <c r="H30" s="14"/>
      <c r="I30" s="14"/>
      <c r="J30" s="14"/>
      <c r="K30" s="14"/>
      <c r="L30" s="14"/>
    </row>
    <row r="31" spans="1:12" x14ac:dyDescent="0.3">
      <c r="A31" s="14"/>
      <c r="B31" s="14"/>
      <c r="C31" s="14"/>
      <c r="D31" s="14"/>
      <c r="E31" s="14"/>
      <c r="F31" s="14"/>
      <c r="G31" s="14"/>
      <c r="H31" s="14"/>
      <c r="I31" s="14"/>
      <c r="J31" s="14"/>
      <c r="K31" s="14"/>
      <c r="L31" s="14"/>
    </row>
    <row r="32" spans="1:12" x14ac:dyDescent="0.3">
      <c r="A32" s="14"/>
      <c r="B32" s="14"/>
      <c r="C32" s="14"/>
      <c r="D32" s="14"/>
      <c r="E32" s="14"/>
      <c r="F32" s="14"/>
      <c r="G32" s="14"/>
      <c r="H32" s="14"/>
      <c r="I32" s="14"/>
      <c r="J32" s="14"/>
      <c r="K32" s="14"/>
      <c r="L32" s="14"/>
    </row>
    <row r="33" spans="1:12" x14ac:dyDescent="0.3">
      <c r="A33" s="14"/>
      <c r="B33" s="14"/>
      <c r="C33" s="14"/>
      <c r="D33" s="14"/>
      <c r="E33" s="14"/>
      <c r="F33" s="14"/>
      <c r="G33" s="14"/>
      <c r="H33" s="14"/>
      <c r="I33" s="14"/>
      <c r="J33" s="14"/>
      <c r="K33" s="14"/>
      <c r="L33" s="14"/>
    </row>
    <row r="34" spans="1:12" x14ac:dyDescent="0.3">
      <c r="F34" s="14"/>
      <c r="G34" s="14"/>
    </row>
  </sheetData>
  <mergeCells count="3">
    <mergeCell ref="A26:E26"/>
    <mergeCell ref="A1:N1"/>
    <mergeCell ref="F17:G17"/>
  </mergeCell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65D23-F0DB-4CD6-8818-70AA92D31544}">
  <dimension ref="A1:V1"/>
  <sheetViews>
    <sheetView workbookViewId="0">
      <selection activeCell="A2" sqref="A2"/>
    </sheetView>
  </sheetViews>
  <sheetFormatPr defaultRowHeight="14.4" x14ac:dyDescent="0.3"/>
  <sheetData>
    <row r="1" spans="1:22" ht="18.600000000000001" customHeight="1" x14ac:dyDescent="0.3">
      <c r="A1" s="29" t="s">
        <v>812</v>
      </c>
      <c r="B1" s="29"/>
      <c r="C1" s="29"/>
      <c r="D1" s="29"/>
      <c r="E1" s="29"/>
      <c r="F1" s="29"/>
      <c r="G1" s="29"/>
      <c r="H1" s="29"/>
      <c r="I1" s="29"/>
      <c r="J1" s="29"/>
      <c r="K1" s="29"/>
      <c r="L1" s="29"/>
      <c r="M1" s="29"/>
      <c r="N1" s="29"/>
      <c r="O1" s="29"/>
      <c r="P1" s="29"/>
      <c r="Q1" s="29"/>
      <c r="R1" s="29"/>
      <c r="S1" s="29"/>
      <c r="T1" s="29"/>
      <c r="U1" s="29"/>
      <c r="V1" s="29"/>
    </row>
  </sheetData>
  <mergeCells count="1">
    <mergeCell ref="A1:V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085D1-0FCC-4C7F-8D8C-92D05E9C80EF}">
  <dimension ref="A1:V1"/>
  <sheetViews>
    <sheetView workbookViewId="0">
      <selection activeCell="A2" sqref="A2"/>
    </sheetView>
  </sheetViews>
  <sheetFormatPr defaultRowHeight="14.4" x14ac:dyDescent="0.3"/>
  <cols>
    <col min="20" max="20" width="13.109375" customWidth="1"/>
    <col min="22" max="22" width="15.44140625" customWidth="1"/>
  </cols>
  <sheetData>
    <row r="1" spans="1:22" ht="182.4" customHeight="1" x14ac:dyDescent="0.3">
      <c r="A1" s="32" t="s">
        <v>815</v>
      </c>
      <c r="B1" s="32"/>
      <c r="C1" s="32"/>
      <c r="D1" s="32"/>
      <c r="E1" s="32"/>
      <c r="F1" s="32"/>
      <c r="G1" s="32"/>
      <c r="H1" s="32"/>
      <c r="I1" s="32"/>
      <c r="J1" s="32"/>
      <c r="K1" s="32"/>
      <c r="L1" s="32"/>
      <c r="M1" s="32"/>
      <c r="N1" s="32"/>
      <c r="O1" s="32"/>
      <c r="P1" s="32"/>
      <c r="Q1" s="32"/>
      <c r="R1" s="32"/>
      <c r="S1" s="32"/>
      <c r="T1" s="32"/>
      <c r="U1" s="32"/>
      <c r="V1" s="32"/>
    </row>
  </sheetData>
  <mergeCells count="1">
    <mergeCell ref="A1:V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221"/>
  <sheetViews>
    <sheetView workbookViewId="0">
      <selection activeCell="E29" sqref="E29"/>
    </sheetView>
  </sheetViews>
  <sheetFormatPr defaultColWidth="9.33203125" defaultRowHeight="14.4" x14ac:dyDescent="0.3"/>
  <cols>
    <col min="7" max="7" width="11.21875" customWidth="1"/>
    <col min="9" max="10" width="11.77734375" customWidth="1"/>
  </cols>
  <sheetData>
    <row r="1" spans="1:10" x14ac:dyDescent="0.3">
      <c r="A1" t="s">
        <v>0</v>
      </c>
      <c r="B1" t="s">
        <v>15</v>
      </c>
      <c r="C1" t="s">
        <v>16</v>
      </c>
      <c r="D1" t="s">
        <v>17</v>
      </c>
      <c r="E1" t="s">
        <v>18</v>
      </c>
      <c r="F1" t="s">
        <v>19</v>
      </c>
      <c r="G1" t="s">
        <v>20</v>
      </c>
      <c r="H1" t="s">
        <v>21</v>
      </c>
      <c r="I1" t="s">
        <v>22</v>
      </c>
    </row>
    <row r="2" spans="1:10" x14ac:dyDescent="0.3">
      <c r="A2">
        <v>1188</v>
      </c>
      <c r="B2">
        <v>0</v>
      </c>
      <c r="C2">
        <v>1</v>
      </c>
      <c r="D2">
        <v>0</v>
      </c>
      <c r="E2">
        <v>0</v>
      </c>
      <c r="F2">
        <v>0</v>
      </c>
      <c r="G2">
        <v>0</v>
      </c>
      <c r="H2">
        <v>0</v>
      </c>
      <c r="I2" s="2">
        <v>43902</v>
      </c>
      <c r="J2" s="1"/>
    </row>
    <row r="3" spans="1:10" x14ac:dyDescent="0.3">
      <c r="A3">
        <v>1970</v>
      </c>
      <c r="B3">
        <v>0</v>
      </c>
      <c r="C3">
        <v>0</v>
      </c>
      <c r="D3">
        <v>0</v>
      </c>
      <c r="E3">
        <v>0</v>
      </c>
      <c r="F3">
        <v>0</v>
      </c>
      <c r="G3">
        <v>0</v>
      </c>
      <c r="H3">
        <v>0</v>
      </c>
      <c r="I3" s="2">
        <v>43902</v>
      </c>
      <c r="J3" s="1"/>
    </row>
    <row r="4" spans="1:10" x14ac:dyDescent="0.3">
      <c r="A4">
        <v>1043</v>
      </c>
      <c r="B4">
        <v>0</v>
      </c>
      <c r="C4">
        <v>0</v>
      </c>
      <c r="D4">
        <v>0</v>
      </c>
      <c r="E4">
        <v>0</v>
      </c>
      <c r="F4">
        <v>0</v>
      </c>
      <c r="G4">
        <v>0</v>
      </c>
      <c r="H4">
        <v>0</v>
      </c>
      <c r="I4" s="2">
        <v>43873</v>
      </c>
      <c r="J4" s="1"/>
    </row>
    <row r="5" spans="1:10" x14ac:dyDescent="0.3">
      <c r="A5">
        <v>1777</v>
      </c>
      <c r="B5">
        <v>0</v>
      </c>
      <c r="C5">
        <v>0</v>
      </c>
      <c r="D5">
        <v>0</v>
      </c>
      <c r="E5">
        <v>0</v>
      </c>
      <c r="F5">
        <v>0</v>
      </c>
      <c r="G5">
        <v>0</v>
      </c>
      <c r="H5">
        <v>0</v>
      </c>
      <c r="I5" s="2">
        <v>43873</v>
      </c>
      <c r="J5" s="1"/>
    </row>
    <row r="6" spans="1:10" x14ac:dyDescent="0.3">
      <c r="A6">
        <v>2787</v>
      </c>
      <c r="B6">
        <v>0</v>
      </c>
      <c r="C6">
        <v>0</v>
      </c>
      <c r="D6">
        <v>0</v>
      </c>
      <c r="E6">
        <v>1</v>
      </c>
      <c r="F6">
        <v>0</v>
      </c>
      <c r="G6">
        <v>0</v>
      </c>
      <c r="H6">
        <v>0</v>
      </c>
      <c r="I6" s="2">
        <v>43873</v>
      </c>
      <c r="J6" s="1"/>
    </row>
    <row r="7" spans="1:10" x14ac:dyDescent="0.3">
      <c r="A7">
        <v>1687</v>
      </c>
      <c r="B7">
        <v>0</v>
      </c>
      <c r="C7">
        <v>0</v>
      </c>
      <c r="D7">
        <v>0</v>
      </c>
      <c r="E7">
        <v>0</v>
      </c>
      <c r="F7">
        <v>0</v>
      </c>
      <c r="G7">
        <v>0</v>
      </c>
      <c r="H7">
        <v>0</v>
      </c>
      <c r="I7" s="2">
        <v>43842</v>
      </c>
      <c r="J7" s="1"/>
    </row>
    <row r="8" spans="1:10" x14ac:dyDescent="0.3">
      <c r="A8">
        <v>2563</v>
      </c>
      <c r="B8">
        <v>0</v>
      </c>
      <c r="C8">
        <v>0</v>
      </c>
      <c r="D8">
        <v>0</v>
      </c>
      <c r="E8">
        <v>0</v>
      </c>
      <c r="F8">
        <v>0</v>
      </c>
      <c r="G8">
        <v>0</v>
      </c>
      <c r="H8">
        <v>0</v>
      </c>
      <c r="I8" s="2">
        <v>43842</v>
      </c>
      <c r="J8" s="1"/>
    </row>
    <row r="9" spans="1:10" x14ac:dyDescent="0.3">
      <c r="A9">
        <v>2775</v>
      </c>
      <c r="B9">
        <v>0</v>
      </c>
      <c r="C9">
        <v>0</v>
      </c>
      <c r="D9">
        <v>0</v>
      </c>
      <c r="E9">
        <v>0</v>
      </c>
      <c r="F9">
        <v>0</v>
      </c>
      <c r="G9">
        <v>0</v>
      </c>
      <c r="H9">
        <v>0</v>
      </c>
      <c r="I9" s="2">
        <v>43842</v>
      </c>
      <c r="J9" s="1"/>
    </row>
    <row r="10" spans="1:10" x14ac:dyDescent="0.3">
      <c r="A10">
        <v>1253</v>
      </c>
      <c r="B10">
        <v>1</v>
      </c>
      <c r="C10">
        <v>0</v>
      </c>
      <c r="D10">
        <v>0</v>
      </c>
      <c r="E10">
        <v>0</v>
      </c>
      <c r="F10">
        <v>0</v>
      </c>
      <c r="G10">
        <v>0</v>
      </c>
      <c r="H10">
        <v>0</v>
      </c>
      <c r="I10" s="2" t="s">
        <v>23</v>
      </c>
    </row>
    <row r="11" spans="1:10" x14ac:dyDescent="0.3">
      <c r="A11">
        <v>1447</v>
      </c>
      <c r="B11">
        <v>1</v>
      </c>
      <c r="C11">
        <v>0</v>
      </c>
      <c r="D11">
        <v>0</v>
      </c>
      <c r="E11">
        <v>0</v>
      </c>
      <c r="F11">
        <v>0</v>
      </c>
      <c r="G11">
        <v>0</v>
      </c>
      <c r="H11">
        <v>0</v>
      </c>
      <c r="I11" s="2" t="s">
        <v>23</v>
      </c>
    </row>
    <row r="12" spans="1:10" x14ac:dyDescent="0.3">
      <c r="A12">
        <v>3029</v>
      </c>
      <c r="B12">
        <v>0</v>
      </c>
      <c r="C12">
        <v>0</v>
      </c>
      <c r="D12">
        <v>0</v>
      </c>
      <c r="E12">
        <v>0</v>
      </c>
      <c r="F12">
        <v>0</v>
      </c>
      <c r="G12">
        <v>0</v>
      </c>
      <c r="H12">
        <v>0</v>
      </c>
      <c r="I12" s="2" t="s">
        <v>23</v>
      </c>
    </row>
    <row r="13" spans="1:10" x14ac:dyDescent="0.3">
      <c r="A13">
        <v>3167</v>
      </c>
      <c r="B13">
        <v>0</v>
      </c>
      <c r="C13">
        <v>0</v>
      </c>
      <c r="D13">
        <v>0</v>
      </c>
      <c r="E13">
        <v>0</v>
      </c>
      <c r="F13">
        <v>0</v>
      </c>
      <c r="G13">
        <v>0</v>
      </c>
      <c r="H13">
        <v>0</v>
      </c>
      <c r="I13" s="2" t="s">
        <v>23</v>
      </c>
    </row>
    <row r="14" spans="1:10" x14ac:dyDescent="0.3">
      <c r="A14">
        <v>1104</v>
      </c>
      <c r="B14">
        <v>0</v>
      </c>
      <c r="C14">
        <v>1</v>
      </c>
      <c r="D14">
        <v>0</v>
      </c>
      <c r="E14">
        <v>0</v>
      </c>
      <c r="F14">
        <v>0</v>
      </c>
      <c r="G14">
        <v>0</v>
      </c>
      <c r="H14">
        <v>0</v>
      </c>
      <c r="I14" s="2" t="s">
        <v>24</v>
      </c>
    </row>
    <row r="15" spans="1:10" x14ac:dyDescent="0.3">
      <c r="A15">
        <v>1945</v>
      </c>
      <c r="B15">
        <v>0</v>
      </c>
      <c r="C15">
        <v>0</v>
      </c>
      <c r="D15">
        <v>0</v>
      </c>
      <c r="E15">
        <v>0</v>
      </c>
      <c r="F15">
        <v>0</v>
      </c>
      <c r="G15">
        <v>0</v>
      </c>
      <c r="H15">
        <v>0</v>
      </c>
      <c r="I15" s="2" t="s">
        <v>24</v>
      </c>
    </row>
    <row r="16" spans="1:10" x14ac:dyDescent="0.3">
      <c r="A16">
        <v>2013</v>
      </c>
      <c r="B16">
        <v>0</v>
      </c>
      <c r="C16">
        <v>0</v>
      </c>
      <c r="D16">
        <v>0</v>
      </c>
      <c r="E16">
        <v>0</v>
      </c>
      <c r="F16">
        <v>0</v>
      </c>
      <c r="G16">
        <v>0</v>
      </c>
      <c r="H16">
        <v>0</v>
      </c>
      <c r="I16" s="2" t="s">
        <v>24</v>
      </c>
    </row>
    <row r="17" spans="1:9" x14ac:dyDescent="0.3">
      <c r="A17">
        <v>2431</v>
      </c>
      <c r="B17">
        <v>0</v>
      </c>
      <c r="C17">
        <v>0</v>
      </c>
      <c r="D17">
        <v>0</v>
      </c>
      <c r="E17">
        <v>0</v>
      </c>
      <c r="F17">
        <v>0</v>
      </c>
      <c r="G17">
        <v>0</v>
      </c>
      <c r="H17">
        <v>0</v>
      </c>
      <c r="I17" s="2" t="s">
        <v>24</v>
      </c>
    </row>
    <row r="18" spans="1:9" x14ac:dyDescent="0.3">
      <c r="A18">
        <v>3191</v>
      </c>
      <c r="B18">
        <v>0</v>
      </c>
      <c r="C18">
        <v>0</v>
      </c>
      <c r="D18">
        <v>0</v>
      </c>
      <c r="E18">
        <v>0</v>
      </c>
      <c r="F18">
        <v>0</v>
      </c>
      <c r="G18">
        <v>0</v>
      </c>
      <c r="H18">
        <v>0</v>
      </c>
      <c r="I18" s="2" t="s">
        <v>24</v>
      </c>
    </row>
    <row r="19" spans="1:9" x14ac:dyDescent="0.3">
      <c r="A19">
        <v>3206</v>
      </c>
      <c r="B19">
        <v>0</v>
      </c>
      <c r="C19">
        <v>0</v>
      </c>
      <c r="D19">
        <v>0</v>
      </c>
      <c r="E19">
        <v>0</v>
      </c>
      <c r="F19">
        <v>0</v>
      </c>
      <c r="G19">
        <v>0</v>
      </c>
      <c r="H19">
        <v>0</v>
      </c>
      <c r="I19" s="2" t="s">
        <v>24</v>
      </c>
    </row>
    <row r="20" spans="1:9" x14ac:dyDescent="0.3">
      <c r="A20">
        <v>1167</v>
      </c>
      <c r="B20">
        <v>0</v>
      </c>
      <c r="C20">
        <v>0</v>
      </c>
      <c r="D20">
        <v>0</v>
      </c>
      <c r="E20">
        <v>0</v>
      </c>
      <c r="F20">
        <v>0</v>
      </c>
      <c r="G20">
        <v>0</v>
      </c>
      <c r="H20">
        <v>0</v>
      </c>
      <c r="I20" s="2" t="s">
        <v>25</v>
      </c>
    </row>
    <row r="21" spans="1:9" x14ac:dyDescent="0.3">
      <c r="A21">
        <v>2004</v>
      </c>
      <c r="B21">
        <v>0</v>
      </c>
      <c r="C21">
        <v>0</v>
      </c>
      <c r="D21">
        <v>0</v>
      </c>
      <c r="E21">
        <v>0</v>
      </c>
      <c r="F21">
        <v>0</v>
      </c>
      <c r="G21">
        <v>0</v>
      </c>
      <c r="H21">
        <v>0</v>
      </c>
      <c r="I21" s="2" t="s">
        <v>25</v>
      </c>
    </row>
    <row r="22" spans="1:9" x14ac:dyDescent="0.3">
      <c r="A22">
        <v>2634</v>
      </c>
      <c r="B22">
        <v>0</v>
      </c>
      <c r="C22">
        <v>0</v>
      </c>
      <c r="D22">
        <v>1</v>
      </c>
      <c r="E22">
        <v>1</v>
      </c>
      <c r="F22">
        <v>0</v>
      </c>
      <c r="G22">
        <v>0</v>
      </c>
      <c r="H22">
        <v>1</v>
      </c>
      <c r="I22" s="2" t="s">
        <v>26</v>
      </c>
    </row>
    <row r="23" spans="1:9" x14ac:dyDescent="0.3">
      <c r="A23">
        <v>2821</v>
      </c>
      <c r="B23">
        <v>0</v>
      </c>
      <c r="C23">
        <v>0</v>
      </c>
      <c r="D23">
        <v>0</v>
      </c>
      <c r="E23">
        <v>0</v>
      </c>
      <c r="F23">
        <v>0</v>
      </c>
      <c r="G23">
        <v>0</v>
      </c>
      <c r="H23">
        <v>0</v>
      </c>
      <c r="I23" s="2" t="s">
        <v>26</v>
      </c>
    </row>
    <row r="24" spans="1:9" x14ac:dyDescent="0.3">
      <c r="A24">
        <v>1962</v>
      </c>
      <c r="B24">
        <v>0</v>
      </c>
      <c r="C24">
        <v>0</v>
      </c>
      <c r="D24">
        <v>0</v>
      </c>
      <c r="E24">
        <v>0</v>
      </c>
      <c r="F24">
        <v>0</v>
      </c>
      <c r="G24">
        <v>0</v>
      </c>
      <c r="H24">
        <v>0</v>
      </c>
      <c r="I24" s="2" t="s">
        <v>27</v>
      </c>
    </row>
    <row r="25" spans="1:9" x14ac:dyDescent="0.3">
      <c r="A25">
        <v>1975</v>
      </c>
      <c r="B25">
        <v>0</v>
      </c>
      <c r="C25">
        <v>0</v>
      </c>
      <c r="D25">
        <v>0</v>
      </c>
      <c r="E25">
        <v>0</v>
      </c>
      <c r="F25">
        <v>0</v>
      </c>
      <c r="G25">
        <v>0</v>
      </c>
      <c r="H25">
        <v>0</v>
      </c>
      <c r="I25" s="2" t="s">
        <v>27</v>
      </c>
    </row>
    <row r="26" spans="1:9" x14ac:dyDescent="0.3">
      <c r="A26">
        <v>2462</v>
      </c>
      <c r="B26">
        <v>0</v>
      </c>
      <c r="C26">
        <v>0</v>
      </c>
      <c r="D26">
        <v>0</v>
      </c>
      <c r="E26">
        <v>0</v>
      </c>
      <c r="F26">
        <v>0</v>
      </c>
      <c r="G26">
        <v>0</v>
      </c>
      <c r="H26">
        <v>0</v>
      </c>
      <c r="I26" s="2" t="s">
        <v>27</v>
      </c>
    </row>
    <row r="27" spans="1:9" x14ac:dyDescent="0.3">
      <c r="A27">
        <v>2895</v>
      </c>
      <c r="B27">
        <v>0</v>
      </c>
      <c r="C27">
        <v>0</v>
      </c>
      <c r="D27">
        <v>0</v>
      </c>
      <c r="E27">
        <v>0</v>
      </c>
      <c r="F27">
        <v>0</v>
      </c>
      <c r="G27">
        <v>0</v>
      </c>
      <c r="H27">
        <v>0</v>
      </c>
      <c r="I27" s="2" t="s">
        <v>27</v>
      </c>
    </row>
    <row r="28" spans="1:9" x14ac:dyDescent="0.3">
      <c r="A28">
        <v>3027</v>
      </c>
      <c r="B28">
        <v>0</v>
      </c>
      <c r="C28">
        <v>0</v>
      </c>
      <c r="D28">
        <v>0</v>
      </c>
      <c r="E28">
        <v>0</v>
      </c>
      <c r="F28">
        <v>0</v>
      </c>
      <c r="G28">
        <v>0</v>
      </c>
      <c r="H28">
        <v>0</v>
      </c>
      <c r="I28" s="2" t="s">
        <v>27</v>
      </c>
    </row>
    <row r="29" spans="1:9" x14ac:dyDescent="0.3">
      <c r="A29">
        <v>1139</v>
      </c>
      <c r="B29">
        <v>0</v>
      </c>
      <c r="C29">
        <v>0</v>
      </c>
      <c r="D29">
        <v>0</v>
      </c>
      <c r="E29">
        <v>0</v>
      </c>
      <c r="F29">
        <v>0</v>
      </c>
      <c r="G29">
        <v>0</v>
      </c>
      <c r="H29">
        <v>0</v>
      </c>
      <c r="I29" s="2" t="s">
        <v>28</v>
      </c>
    </row>
    <row r="30" spans="1:9" x14ac:dyDescent="0.3">
      <c r="A30">
        <v>2250</v>
      </c>
      <c r="B30">
        <v>0</v>
      </c>
      <c r="C30">
        <v>0</v>
      </c>
      <c r="D30">
        <v>0</v>
      </c>
      <c r="E30">
        <v>0</v>
      </c>
      <c r="F30">
        <v>0</v>
      </c>
      <c r="G30">
        <v>0</v>
      </c>
      <c r="H30">
        <v>0</v>
      </c>
      <c r="I30" s="2" t="s">
        <v>28</v>
      </c>
    </row>
    <row r="31" spans="1:9" x14ac:dyDescent="0.3">
      <c r="A31">
        <v>2922</v>
      </c>
      <c r="B31">
        <v>0</v>
      </c>
      <c r="C31">
        <v>0</v>
      </c>
      <c r="D31">
        <v>0</v>
      </c>
      <c r="E31">
        <v>0</v>
      </c>
      <c r="F31">
        <v>0</v>
      </c>
      <c r="G31">
        <v>0</v>
      </c>
      <c r="H31">
        <v>0</v>
      </c>
      <c r="I31" s="2" t="s">
        <v>29</v>
      </c>
    </row>
    <row r="32" spans="1:9" x14ac:dyDescent="0.3">
      <c r="A32">
        <v>3093</v>
      </c>
      <c r="B32">
        <v>0</v>
      </c>
      <c r="C32">
        <v>1</v>
      </c>
      <c r="D32">
        <v>0</v>
      </c>
      <c r="E32">
        <v>0</v>
      </c>
      <c r="F32">
        <v>0</v>
      </c>
      <c r="G32">
        <v>0</v>
      </c>
      <c r="H32">
        <v>0</v>
      </c>
      <c r="I32" s="2" t="s">
        <v>29</v>
      </c>
    </row>
    <row r="33" spans="1:9" x14ac:dyDescent="0.3">
      <c r="A33">
        <v>1864</v>
      </c>
      <c r="B33">
        <v>0</v>
      </c>
      <c r="C33">
        <v>0</v>
      </c>
      <c r="D33">
        <v>0</v>
      </c>
      <c r="E33">
        <v>0</v>
      </c>
      <c r="F33">
        <v>0</v>
      </c>
      <c r="G33">
        <v>0</v>
      </c>
      <c r="H33">
        <v>0</v>
      </c>
      <c r="I33" s="2" t="s">
        <v>30</v>
      </c>
    </row>
    <row r="34" spans="1:9" x14ac:dyDescent="0.3">
      <c r="A34">
        <v>2001</v>
      </c>
      <c r="B34">
        <v>0</v>
      </c>
      <c r="C34">
        <v>0</v>
      </c>
      <c r="D34">
        <v>0</v>
      </c>
      <c r="E34">
        <v>0</v>
      </c>
      <c r="F34">
        <v>0</v>
      </c>
      <c r="G34">
        <v>0</v>
      </c>
      <c r="H34">
        <v>0</v>
      </c>
      <c r="I34" s="2" t="s">
        <v>30</v>
      </c>
    </row>
    <row r="35" spans="1:9" x14ac:dyDescent="0.3">
      <c r="A35">
        <v>2087</v>
      </c>
      <c r="B35">
        <v>0</v>
      </c>
      <c r="C35">
        <v>0</v>
      </c>
      <c r="D35">
        <v>0</v>
      </c>
      <c r="E35">
        <v>0</v>
      </c>
      <c r="F35">
        <v>0</v>
      </c>
      <c r="G35">
        <v>0</v>
      </c>
      <c r="H35">
        <v>0</v>
      </c>
      <c r="I35" s="2" t="s">
        <v>30</v>
      </c>
    </row>
    <row r="36" spans="1:9" x14ac:dyDescent="0.3">
      <c r="A36">
        <v>2614</v>
      </c>
      <c r="B36">
        <v>0</v>
      </c>
      <c r="C36">
        <v>0</v>
      </c>
      <c r="D36">
        <v>0</v>
      </c>
      <c r="E36">
        <v>0</v>
      </c>
      <c r="F36">
        <v>0</v>
      </c>
      <c r="G36">
        <v>0</v>
      </c>
      <c r="H36">
        <v>0</v>
      </c>
      <c r="I36" s="2" t="s">
        <v>30</v>
      </c>
    </row>
    <row r="37" spans="1:9" x14ac:dyDescent="0.3">
      <c r="A37">
        <v>1516</v>
      </c>
      <c r="B37">
        <v>0</v>
      </c>
      <c r="C37">
        <v>1</v>
      </c>
      <c r="D37">
        <v>0</v>
      </c>
      <c r="E37">
        <v>0</v>
      </c>
      <c r="F37">
        <v>0</v>
      </c>
      <c r="G37">
        <v>0</v>
      </c>
      <c r="H37">
        <v>0</v>
      </c>
      <c r="I37" s="2" t="s">
        <v>31</v>
      </c>
    </row>
    <row r="38" spans="1:9" x14ac:dyDescent="0.3">
      <c r="A38">
        <v>2439</v>
      </c>
      <c r="B38">
        <v>0</v>
      </c>
      <c r="C38">
        <v>0</v>
      </c>
      <c r="D38">
        <v>0</v>
      </c>
      <c r="E38">
        <v>0</v>
      </c>
      <c r="F38">
        <v>0</v>
      </c>
      <c r="G38">
        <v>0</v>
      </c>
      <c r="H38">
        <v>0</v>
      </c>
      <c r="I38" s="2" t="s">
        <v>31</v>
      </c>
    </row>
    <row r="39" spans="1:9" x14ac:dyDescent="0.3">
      <c r="A39">
        <v>2539</v>
      </c>
      <c r="B39">
        <v>0</v>
      </c>
      <c r="C39">
        <v>0</v>
      </c>
      <c r="D39">
        <v>0</v>
      </c>
      <c r="E39">
        <v>0</v>
      </c>
      <c r="F39">
        <v>0</v>
      </c>
      <c r="G39">
        <v>0</v>
      </c>
      <c r="H39">
        <v>0</v>
      </c>
      <c r="I39" s="2" t="s">
        <v>31</v>
      </c>
    </row>
    <row r="40" spans="1:9" x14ac:dyDescent="0.3">
      <c r="A40">
        <v>1249</v>
      </c>
      <c r="B40">
        <v>0</v>
      </c>
      <c r="C40">
        <v>0</v>
      </c>
      <c r="D40">
        <v>0</v>
      </c>
      <c r="E40">
        <v>0</v>
      </c>
      <c r="F40">
        <v>0</v>
      </c>
      <c r="G40">
        <v>0</v>
      </c>
      <c r="H40">
        <v>0</v>
      </c>
      <c r="I40" s="2" t="s">
        <v>32</v>
      </c>
    </row>
    <row r="41" spans="1:9" x14ac:dyDescent="0.3">
      <c r="A41">
        <v>2685</v>
      </c>
      <c r="B41">
        <v>1</v>
      </c>
      <c r="C41">
        <v>0</v>
      </c>
      <c r="D41">
        <v>1</v>
      </c>
      <c r="E41">
        <v>1</v>
      </c>
      <c r="F41">
        <v>1</v>
      </c>
      <c r="G41">
        <v>0</v>
      </c>
      <c r="H41">
        <v>1</v>
      </c>
      <c r="I41" s="2" t="s">
        <v>32</v>
      </c>
    </row>
    <row r="42" spans="1:9" x14ac:dyDescent="0.3">
      <c r="A42">
        <v>2937</v>
      </c>
      <c r="B42">
        <v>0</v>
      </c>
      <c r="C42">
        <v>0</v>
      </c>
      <c r="D42">
        <v>0</v>
      </c>
      <c r="E42">
        <v>0</v>
      </c>
      <c r="F42">
        <v>0</v>
      </c>
      <c r="G42">
        <v>0</v>
      </c>
      <c r="H42">
        <v>0</v>
      </c>
      <c r="I42" s="2" t="s">
        <v>32</v>
      </c>
    </row>
    <row r="43" spans="1:9" x14ac:dyDescent="0.3">
      <c r="A43">
        <v>1331</v>
      </c>
      <c r="B43">
        <v>0</v>
      </c>
      <c r="C43">
        <v>0</v>
      </c>
      <c r="D43">
        <v>0</v>
      </c>
      <c r="E43">
        <v>0</v>
      </c>
      <c r="F43">
        <v>0</v>
      </c>
      <c r="G43">
        <v>0</v>
      </c>
      <c r="H43">
        <v>1</v>
      </c>
      <c r="I43" s="2" t="s">
        <v>33</v>
      </c>
    </row>
    <row r="44" spans="1:9" x14ac:dyDescent="0.3">
      <c r="A44">
        <v>2540</v>
      </c>
      <c r="B44">
        <v>0</v>
      </c>
      <c r="C44">
        <v>0</v>
      </c>
      <c r="D44">
        <v>0</v>
      </c>
      <c r="E44">
        <v>0</v>
      </c>
      <c r="F44">
        <v>0</v>
      </c>
      <c r="G44">
        <v>0</v>
      </c>
      <c r="H44">
        <v>0</v>
      </c>
      <c r="I44" s="2" t="s">
        <v>33</v>
      </c>
    </row>
    <row r="45" spans="1:9" x14ac:dyDescent="0.3">
      <c r="A45">
        <v>2623</v>
      </c>
      <c r="B45">
        <v>0</v>
      </c>
      <c r="C45">
        <v>1</v>
      </c>
      <c r="D45">
        <v>0</v>
      </c>
      <c r="E45">
        <v>0</v>
      </c>
      <c r="F45">
        <v>0</v>
      </c>
      <c r="G45">
        <v>0</v>
      </c>
      <c r="H45">
        <v>0</v>
      </c>
      <c r="I45" s="2" t="s">
        <v>33</v>
      </c>
    </row>
    <row r="46" spans="1:9" x14ac:dyDescent="0.3">
      <c r="A46">
        <v>2741</v>
      </c>
      <c r="B46">
        <v>0</v>
      </c>
      <c r="C46">
        <v>0</v>
      </c>
      <c r="D46">
        <v>0</v>
      </c>
      <c r="E46">
        <v>0</v>
      </c>
      <c r="F46">
        <v>0</v>
      </c>
      <c r="G46">
        <v>0</v>
      </c>
      <c r="H46">
        <v>0</v>
      </c>
      <c r="I46" s="2" t="s">
        <v>33</v>
      </c>
    </row>
    <row r="47" spans="1:9" x14ac:dyDescent="0.3">
      <c r="A47">
        <v>1173</v>
      </c>
      <c r="B47">
        <v>0</v>
      </c>
      <c r="C47">
        <v>0</v>
      </c>
      <c r="D47">
        <v>0</v>
      </c>
      <c r="E47">
        <v>0</v>
      </c>
      <c r="F47">
        <v>0</v>
      </c>
      <c r="G47">
        <v>0</v>
      </c>
      <c r="H47">
        <v>0</v>
      </c>
      <c r="I47" s="2" t="s">
        <v>34</v>
      </c>
    </row>
    <row r="48" spans="1:9" x14ac:dyDescent="0.3">
      <c r="A48">
        <v>1803</v>
      </c>
      <c r="B48">
        <v>0</v>
      </c>
      <c r="C48">
        <v>0</v>
      </c>
      <c r="D48">
        <v>0</v>
      </c>
      <c r="E48">
        <v>0</v>
      </c>
      <c r="F48">
        <v>1</v>
      </c>
      <c r="G48">
        <v>0</v>
      </c>
      <c r="H48">
        <v>1</v>
      </c>
      <c r="I48" s="2" t="s">
        <v>34</v>
      </c>
    </row>
    <row r="49" spans="1:10" x14ac:dyDescent="0.3">
      <c r="A49">
        <v>2743</v>
      </c>
      <c r="B49">
        <v>0</v>
      </c>
      <c r="C49">
        <v>0</v>
      </c>
      <c r="D49">
        <v>0</v>
      </c>
      <c r="E49">
        <v>0</v>
      </c>
      <c r="F49">
        <v>0</v>
      </c>
      <c r="G49">
        <v>0</v>
      </c>
      <c r="H49">
        <v>0</v>
      </c>
      <c r="I49" s="2" t="s">
        <v>34</v>
      </c>
    </row>
    <row r="50" spans="1:10" x14ac:dyDescent="0.3">
      <c r="A50">
        <v>2794</v>
      </c>
      <c r="B50">
        <v>0</v>
      </c>
      <c r="C50">
        <v>0</v>
      </c>
      <c r="D50">
        <v>0</v>
      </c>
      <c r="E50">
        <v>0</v>
      </c>
      <c r="F50">
        <v>0</v>
      </c>
      <c r="G50">
        <v>0</v>
      </c>
      <c r="H50">
        <v>0</v>
      </c>
      <c r="I50" s="2" t="s">
        <v>34</v>
      </c>
    </row>
    <row r="51" spans="1:10" x14ac:dyDescent="0.3">
      <c r="A51">
        <v>2508</v>
      </c>
      <c r="B51">
        <v>0</v>
      </c>
      <c r="C51">
        <v>0</v>
      </c>
      <c r="D51">
        <v>0</v>
      </c>
      <c r="E51">
        <v>0</v>
      </c>
      <c r="F51">
        <v>0</v>
      </c>
      <c r="G51">
        <v>0</v>
      </c>
      <c r="H51">
        <v>0</v>
      </c>
      <c r="I51" s="2" t="s">
        <v>35</v>
      </c>
    </row>
    <row r="52" spans="1:10" x14ac:dyDescent="0.3">
      <c r="A52">
        <v>1614</v>
      </c>
      <c r="B52">
        <v>0</v>
      </c>
      <c r="C52">
        <v>0</v>
      </c>
      <c r="D52">
        <v>0</v>
      </c>
      <c r="E52">
        <v>0</v>
      </c>
      <c r="F52">
        <v>0</v>
      </c>
      <c r="G52">
        <v>0</v>
      </c>
      <c r="H52">
        <v>0</v>
      </c>
      <c r="I52" s="2" t="s">
        <v>36</v>
      </c>
    </row>
    <row r="53" spans="1:10" x14ac:dyDescent="0.3">
      <c r="A53">
        <v>2978</v>
      </c>
      <c r="B53">
        <v>0</v>
      </c>
      <c r="C53">
        <v>0</v>
      </c>
      <c r="D53">
        <v>0</v>
      </c>
      <c r="E53">
        <v>0</v>
      </c>
      <c r="F53">
        <v>0</v>
      </c>
      <c r="G53">
        <v>0</v>
      </c>
      <c r="H53">
        <v>0</v>
      </c>
      <c r="I53" s="2" t="s">
        <v>37</v>
      </c>
    </row>
    <row r="54" spans="1:10" x14ac:dyDescent="0.3">
      <c r="A54">
        <v>1853</v>
      </c>
      <c r="B54">
        <v>0</v>
      </c>
      <c r="C54">
        <v>0</v>
      </c>
      <c r="D54">
        <v>0</v>
      </c>
      <c r="E54">
        <v>0</v>
      </c>
      <c r="F54">
        <v>0</v>
      </c>
      <c r="G54">
        <v>0</v>
      </c>
      <c r="H54">
        <v>0</v>
      </c>
      <c r="I54" s="2" t="s">
        <v>38</v>
      </c>
    </row>
    <row r="55" spans="1:10" x14ac:dyDescent="0.3">
      <c r="A55">
        <v>2297</v>
      </c>
      <c r="B55">
        <v>0</v>
      </c>
      <c r="C55">
        <v>0</v>
      </c>
      <c r="D55">
        <v>0</v>
      </c>
      <c r="E55">
        <v>0</v>
      </c>
      <c r="F55">
        <v>0</v>
      </c>
      <c r="G55">
        <v>0</v>
      </c>
      <c r="H55">
        <v>0</v>
      </c>
      <c r="I55" s="2" t="s">
        <v>39</v>
      </c>
    </row>
    <row r="56" spans="1:10" x14ac:dyDescent="0.3">
      <c r="A56">
        <v>2463</v>
      </c>
      <c r="B56">
        <v>0</v>
      </c>
      <c r="C56">
        <v>0</v>
      </c>
      <c r="D56">
        <v>0</v>
      </c>
      <c r="E56">
        <v>1</v>
      </c>
      <c r="F56">
        <v>0</v>
      </c>
      <c r="G56">
        <v>0</v>
      </c>
      <c r="H56">
        <v>0</v>
      </c>
      <c r="I56" s="2" t="s">
        <v>39</v>
      </c>
    </row>
    <row r="57" spans="1:10" x14ac:dyDescent="0.3">
      <c r="A57">
        <v>3202</v>
      </c>
      <c r="B57">
        <v>0</v>
      </c>
      <c r="C57">
        <v>0</v>
      </c>
      <c r="D57">
        <v>0</v>
      </c>
      <c r="E57">
        <v>1</v>
      </c>
      <c r="F57">
        <v>0</v>
      </c>
      <c r="G57">
        <v>0</v>
      </c>
      <c r="H57">
        <v>0</v>
      </c>
      <c r="I57" s="2" t="s">
        <v>39</v>
      </c>
    </row>
    <row r="58" spans="1:10" x14ac:dyDescent="0.3">
      <c r="A58">
        <v>3217</v>
      </c>
      <c r="B58">
        <v>0</v>
      </c>
      <c r="C58">
        <v>0</v>
      </c>
      <c r="D58">
        <v>0</v>
      </c>
      <c r="E58">
        <v>1</v>
      </c>
      <c r="F58">
        <v>0</v>
      </c>
      <c r="G58">
        <v>0</v>
      </c>
      <c r="H58">
        <v>0</v>
      </c>
      <c r="I58" s="2" t="s">
        <v>39</v>
      </c>
    </row>
    <row r="59" spans="1:10" x14ac:dyDescent="0.3">
      <c r="A59">
        <v>1389</v>
      </c>
      <c r="B59">
        <v>0</v>
      </c>
      <c r="C59">
        <v>0</v>
      </c>
      <c r="D59">
        <v>0</v>
      </c>
      <c r="E59">
        <v>0</v>
      </c>
      <c r="F59">
        <v>0</v>
      </c>
      <c r="G59">
        <v>0</v>
      </c>
      <c r="H59">
        <v>0</v>
      </c>
      <c r="I59" s="2" t="s">
        <v>40</v>
      </c>
    </row>
    <row r="60" spans="1:10" x14ac:dyDescent="0.3">
      <c r="A60">
        <v>2427</v>
      </c>
      <c r="B60">
        <v>0</v>
      </c>
      <c r="C60">
        <v>0</v>
      </c>
      <c r="D60">
        <v>0</v>
      </c>
      <c r="E60">
        <v>0</v>
      </c>
      <c r="F60">
        <v>0</v>
      </c>
      <c r="G60">
        <v>0</v>
      </c>
      <c r="H60">
        <v>0</v>
      </c>
      <c r="I60" s="2" t="s">
        <v>40</v>
      </c>
    </row>
    <row r="61" spans="1:10" x14ac:dyDescent="0.3">
      <c r="A61">
        <v>3021</v>
      </c>
      <c r="B61">
        <v>0</v>
      </c>
      <c r="C61">
        <v>0</v>
      </c>
      <c r="D61">
        <v>0</v>
      </c>
      <c r="E61">
        <v>0</v>
      </c>
      <c r="F61">
        <v>0</v>
      </c>
      <c r="G61">
        <v>0</v>
      </c>
      <c r="H61">
        <v>0</v>
      </c>
      <c r="I61" s="2" t="s">
        <v>40</v>
      </c>
    </row>
    <row r="62" spans="1:10" x14ac:dyDescent="0.3">
      <c r="A62">
        <v>1119</v>
      </c>
      <c r="B62">
        <v>0</v>
      </c>
      <c r="C62">
        <v>0</v>
      </c>
      <c r="D62">
        <v>0</v>
      </c>
      <c r="E62">
        <v>0</v>
      </c>
      <c r="F62">
        <v>0</v>
      </c>
      <c r="G62">
        <v>0</v>
      </c>
      <c r="H62">
        <v>0</v>
      </c>
      <c r="I62" s="2">
        <v>44176</v>
      </c>
      <c r="J62" s="1"/>
    </row>
    <row r="63" spans="1:10" x14ac:dyDescent="0.3">
      <c r="A63">
        <v>1196</v>
      </c>
      <c r="B63">
        <v>0</v>
      </c>
      <c r="C63">
        <v>0</v>
      </c>
      <c r="D63">
        <v>0</v>
      </c>
      <c r="E63">
        <v>0</v>
      </c>
      <c r="F63">
        <v>0</v>
      </c>
      <c r="G63">
        <v>0</v>
      </c>
      <c r="H63">
        <v>0</v>
      </c>
      <c r="I63" s="2">
        <v>44176</v>
      </c>
      <c r="J63" s="1"/>
    </row>
    <row r="64" spans="1:10" x14ac:dyDescent="0.3">
      <c r="A64">
        <v>1511</v>
      </c>
      <c r="B64">
        <v>0</v>
      </c>
      <c r="C64">
        <v>0</v>
      </c>
      <c r="D64">
        <v>0</v>
      </c>
      <c r="E64">
        <v>0</v>
      </c>
      <c r="F64">
        <v>0</v>
      </c>
      <c r="G64">
        <v>0</v>
      </c>
      <c r="H64">
        <v>0</v>
      </c>
      <c r="I64" s="2">
        <v>44176</v>
      </c>
      <c r="J64" s="1"/>
    </row>
    <row r="65" spans="1:10" x14ac:dyDescent="0.3">
      <c r="A65">
        <v>1706</v>
      </c>
      <c r="B65">
        <v>0</v>
      </c>
      <c r="C65">
        <v>0</v>
      </c>
      <c r="D65">
        <v>0</v>
      </c>
      <c r="E65">
        <v>0</v>
      </c>
      <c r="F65">
        <v>0</v>
      </c>
      <c r="G65">
        <v>0</v>
      </c>
      <c r="H65">
        <v>0</v>
      </c>
      <c r="I65" s="2">
        <v>44176</v>
      </c>
      <c r="J65" s="1"/>
    </row>
    <row r="66" spans="1:10" x14ac:dyDescent="0.3">
      <c r="A66">
        <v>1050</v>
      </c>
      <c r="B66">
        <v>1</v>
      </c>
      <c r="C66">
        <v>0</v>
      </c>
      <c r="D66">
        <v>0</v>
      </c>
      <c r="E66">
        <v>1</v>
      </c>
      <c r="F66">
        <v>0</v>
      </c>
      <c r="G66">
        <v>0</v>
      </c>
      <c r="H66">
        <v>1</v>
      </c>
      <c r="I66" s="2">
        <v>44146</v>
      </c>
      <c r="J66" s="1"/>
    </row>
    <row r="67" spans="1:10" x14ac:dyDescent="0.3">
      <c r="A67">
        <v>1549</v>
      </c>
      <c r="B67">
        <v>0</v>
      </c>
      <c r="C67">
        <v>0</v>
      </c>
      <c r="D67">
        <v>0</v>
      </c>
      <c r="E67">
        <v>0</v>
      </c>
      <c r="F67">
        <v>0</v>
      </c>
      <c r="G67">
        <v>0</v>
      </c>
      <c r="H67">
        <v>0</v>
      </c>
      <c r="I67" s="2">
        <v>44146</v>
      </c>
      <c r="J67" s="1"/>
    </row>
    <row r="68" spans="1:10" x14ac:dyDescent="0.3">
      <c r="A68">
        <v>2113</v>
      </c>
      <c r="B68">
        <v>0</v>
      </c>
      <c r="C68">
        <v>0</v>
      </c>
      <c r="D68">
        <v>0</v>
      </c>
      <c r="E68">
        <v>0</v>
      </c>
      <c r="F68">
        <v>0</v>
      </c>
      <c r="G68">
        <v>0</v>
      </c>
      <c r="H68">
        <v>0</v>
      </c>
      <c r="I68" s="2">
        <v>44146</v>
      </c>
      <c r="J68" s="1"/>
    </row>
    <row r="69" spans="1:10" x14ac:dyDescent="0.3">
      <c r="A69">
        <v>2773</v>
      </c>
      <c r="B69">
        <v>0</v>
      </c>
      <c r="C69">
        <v>0</v>
      </c>
      <c r="D69">
        <v>0</v>
      </c>
      <c r="E69">
        <v>1</v>
      </c>
      <c r="F69">
        <v>0</v>
      </c>
      <c r="G69">
        <v>0</v>
      </c>
      <c r="H69">
        <v>0</v>
      </c>
      <c r="I69" s="2">
        <v>44115</v>
      </c>
      <c r="J69" s="1"/>
    </row>
    <row r="70" spans="1:10" x14ac:dyDescent="0.3">
      <c r="A70">
        <v>1232</v>
      </c>
      <c r="B70">
        <v>0</v>
      </c>
      <c r="C70">
        <v>0</v>
      </c>
      <c r="D70">
        <v>0</v>
      </c>
      <c r="E70">
        <v>0</v>
      </c>
      <c r="F70">
        <v>0</v>
      </c>
      <c r="G70">
        <v>0</v>
      </c>
      <c r="H70">
        <v>0</v>
      </c>
      <c r="I70" s="2">
        <v>44085</v>
      </c>
      <c r="J70" s="1"/>
    </row>
    <row r="71" spans="1:10" x14ac:dyDescent="0.3">
      <c r="A71">
        <v>1406</v>
      </c>
      <c r="B71">
        <v>0</v>
      </c>
      <c r="C71">
        <v>0</v>
      </c>
      <c r="D71">
        <v>0</v>
      </c>
      <c r="E71">
        <v>0</v>
      </c>
      <c r="F71">
        <v>0</v>
      </c>
      <c r="G71">
        <v>0</v>
      </c>
      <c r="H71">
        <v>0</v>
      </c>
      <c r="I71" s="2">
        <v>44085</v>
      </c>
      <c r="J71" s="1"/>
    </row>
    <row r="72" spans="1:10" x14ac:dyDescent="0.3">
      <c r="A72">
        <v>2032</v>
      </c>
      <c r="B72">
        <v>1</v>
      </c>
      <c r="C72">
        <v>0</v>
      </c>
      <c r="D72">
        <v>0</v>
      </c>
      <c r="E72">
        <v>0</v>
      </c>
      <c r="F72">
        <v>0</v>
      </c>
      <c r="G72">
        <v>0</v>
      </c>
      <c r="H72">
        <v>0</v>
      </c>
      <c r="I72" s="2">
        <v>44085</v>
      </c>
      <c r="J72" s="1"/>
    </row>
    <row r="73" spans="1:10" x14ac:dyDescent="0.3">
      <c r="A73">
        <v>2658</v>
      </c>
      <c r="B73">
        <v>0</v>
      </c>
      <c r="C73">
        <v>0</v>
      </c>
      <c r="D73">
        <v>0</v>
      </c>
      <c r="E73">
        <v>0</v>
      </c>
      <c r="F73">
        <v>0</v>
      </c>
      <c r="G73">
        <v>0</v>
      </c>
      <c r="H73">
        <v>0</v>
      </c>
      <c r="I73" s="2">
        <v>44054</v>
      </c>
      <c r="J73" s="1"/>
    </row>
    <row r="74" spans="1:10" x14ac:dyDescent="0.3">
      <c r="A74">
        <v>1718</v>
      </c>
      <c r="B74">
        <v>0</v>
      </c>
      <c r="C74">
        <v>0</v>
      </c>
      <c r="D74">
        <v>0</v>
      </c>
      <c r="E74">
        <v>0</v>
      </c>
      <c r="F74">
        <v>0</v>
      </c>
      <c r="G74">
        <v>0</v>
      </c>
      <c r="H74">
        <v>0</v>
      </c>
      <c r="I74" s="2">
        <v>44023</v>
      </c>
      <c r="J74" s="1"/>
    </row>
    <row r="75" spans="1:10" x14ac:dyDescent="0.3">
      <c r="A75">
        <v>2868</v>
      </c>
      <c r="B75">
        <v>0</v>
      </c>
      <c r="C75">
        <v>1</v>
      </c>
      <c r="D75">
        <v>0</v>
      </c>
      <c r="E75">
        <v>1</v>
      </c>
      <c r="F75">
        <v>0</v>
      </c>
      <c r="G75">
        <v>0</v>
      </c>
      <c r="H75">
        <v>0</v>
      </c>
      <c r="I75" s="2">
        <v>44023</v>
      </c>
      <c r="J75" s="1"/>
    </row>
    <row r="76" spans="1:10" x14ac:dyDescent="0.3">
      <c r="A76">
        <v>2077</v>
      </c>
      <c r="B76">
        <v>0</v>
      </c>
      <c r="C76">
        <v>0</v>
      </c>
      <c r="D76">
        <v>0</v>
      </c>
      <c r="E76">
        <v>0</v>
      </c>
      <c r="F76">
        <v>0</v>
      </c>
      <c r="G76">
        <v>0</v>
      </c>
      <c r="H76">
        <v>0</v>
      </c>
      <c r="I76" s="2">
        <v>43993</v>
      </c>
      <c r="J76" s="1"/>
    </row>
    <row r="77" spans="1:10" x14ac:dyDescent="0.3">
      <c r="A77">
        <v>3028</v>
      </c>
      <c r="B77">
        <v>0</v>
      </c>
      <c r="C77">
        <v>0</v>
      </c>
      <c r="D77">
        <v>0</v>
      </c>
      <c r="E77">
        <v>0</v>
      </c>
      <c r="F77">
        <v>0</v>
      </c>
      <c r="G77">
        <v>0</v>
      </c>
      <c r="H77">
        <v>0</v>
      </c>
      <c r="I77" s="2">
        <v>43993</v>
      </c>
      <c r="J77" s="1"/>
    </row>
    <row r="78" spans="1:10" x14ac:dyDescent="0.3">
      <c r="A78">
        <v>1793</v>
      </c>
      <c r="B78">
        <v>0</v>
      </c>
      <c r="C78">
        <v>0</v>
      </c>
      <c r="D78">
        <v>0</v>
      </c>
      <c r="E78">
        <v>0</v>
      </c>
      <c r="F78">
        <v>0</v>
      </c>
      <c r="G78">
        <v>0</v>
      </c>
      <c r="H78">
        <v>0</v>
      </c>
      <c r="I78" s="2">
        <v>43932</v>
      </c>
      <c r="J78" s="1"/>
    </row>
    <row r="79" spans="1:10" x14ac:dyDescent="0.3">
      <c r="A79">
        <v>2090</v>
      </c>
      <c r="B79">
        <v>0</v>
      </c>
      <c r="C79">
        <v>0</v>
      </c>
      <c r="D79">
        <v>0</v>
      </c>
      <c r="E79">
        <v>0</v>
      </c>
      <c r="F79">
        <v>0</v>
      </c>
      <c r="G79">
        <v>0</v>
      </c>
      <c r="H79">
        <v>0</v>
      </c>
      <c r="I79" s="2">
        <v>43932</v>
      </c>
      <c r="J79" s="1"/>
    </row>
    <row r="80" spans="1:10" x14ac:dyDescent="0.3">
      <c r="A80">
        <v>1391</v>
      </c>
      <c r="B80">
        <v>0</v>
      </c>
      <c r="C80">
        <v>0</v>
      </c>
      <c r="D80">
        <v>0</v>
      </c>
      <c r="E80">
        <v>0</v>
      </c>
      <c r="F80">
        <v>0</v>
      </c>
      <c r="G80">
        <v>0</v>
      </c>
      <c r="H80">
        <v>0</v>
      </c>
      <c r="I80" s="2">
        <v>43901</v>
      </c>
      <c r="J80" s="1"/>
    </row>
    <row r="81" spans="1:10" x14ac:dyDescent="0.3">
      <c r="A81">
        <v>1769</v>
      </c>
      <c r="B81">
        <v>1</v>
      </c>
      <c r="C81">
        <v>0</v>
      </c>
      <c r="D81">
        <v>0</v>
      </c>
      <c r="E81">
        <v>0</v>
      </c>
      <c r="F81">
        <v>0</v>
      </c>
      <c r="G81">
        <v>0</v>
      </c>
      <c r="H81">
        <v>0</v>
      </c>
      <c r="I81" s="2">
        <v>43872</v>
      </c>
      <c r="J81" s="1"/>
    </row>
    <row r="82" spans="1:10" x14ac:dyDescent="0.3">
      <c r="A82">
        <v>2071</v>
      </c>
      <c r="B82">
        <v>0</v>
      </c>
      <c r="C82">
        <v>0</v>
      </c>
      <c r="D82">
        <v>1</v>
      </c>
      <c r="E82">
        <v>0</v>
      </c>
      <c r="F82">
        <v>0</v>
      </c>
      <c r="G82">
        <v>0</v>
      </c>
      <c r="H82">
        <v>0</v>
      </c>
      <c r="I82" s="2">
        <v>43872</v>
      </c>
      <c r="J82" s="1"/>
    </row>
    <row r="83" spans="1:10" x14ac:dyDescent="0.3">
      <c r="A83">
        <v>2139</v>
      </c>
      <c r="B83">
        <v>0</v>
      </c>
      <c r="C83">
        <v>0</v>
      </c>
      <c r="D83">
        <v>0</v>
      </c>
      <c r="E83">
        <v>0</v>
      </c>
      <c r="F83">
        <v>0</v>
      </c>
      <c r="G83">
        <v>0</v>
      </c>
      <c r="H83">
        <v>0</v>
      </c>
      <c r="I83" s="2">
        <v>43872</v>
      </c>
      <c r="J83" s="1"/>
    </row>
    <row r="84" spans="1:10" x14ac:dyDescent="0.3">
      <c r="A84">
        <v>2320</v>
      </c>
      <c r="B84">
        <v>0</v>
      </c>
      <c r="C84">
        <v>1</v>
      </c>
      <c r="D84">
        <v>0</v>
      </c>
      <c r="E84">
        <v>0</v>
      </c>
      <c r="F84">
        <v>0</v>
      </c>
      <c r="G84">
        <v>0</v>
      </c>
      <c r="H84">
        <v>0</v>
      </c>
      <c r="I84" s="2">
        <v>43872</v>
      </c>
      <c r="J84" s="1"/>
    </row>
    <row r="85" spans="1:10" x14ac:dyDescent="0.3">
      <c r="A85">
        <v>2637</v>
      </c>
      <c r="B85">
        <v>0</v>
      </c>
      <c r="C85">
        <v>0</v>
      </c>
      <c r="D85">
        <v>0</v>
      </c>
      <c r="E85">
        <v>0</v>
      </c>
      <c r="F85">
        <v>0</v>
      </c>
      <c r="G85">
        <v>0</v>
      </c>
      <c r="H85">
        <v>0</v>
      </c>
      <c r="I85" s="2">
        <v>43872</v>
      </c>
      <c r="J85" s="1"/>
    </row>
    <row r="86" spans="1:10" x14ac:dyDescent="0.3">
      <c r="A86">
        <v>2689</v>
      </c>
      <c r="B86">
        <v>0</v>
      </c>
      <c r="C86">
        <v>0</v>
      </c>
      <c r="D86">
        <v>0</v>
      </c>
      <c r="E86">
        <v>0</v>
      </c>
      <c r="F86">
        <v>0</v>
      </c>
      <c r="G86">
        <v>0</v>
      </c>
      <c r="H86">
        <v>0</v>
      </c>
      <c r="I86" s="2">
        <v>43872</v>
      </c>
      <c r="J86" s="1"/>
    </row>
    <row r="87" spans="1:10" x14ac:dyDescent="0.3">
      <c r="A87">
        <v>1082</v>
      </c>
      <c r="B87">
        <v>0</v>
      </c>
      <c r="C87">
        <v>1</v>
      </c>
      <c r="D87">
        <v>0</v>
      </c>
      <c r="E87">
        <v>1</v>
      </c>
      <c r="F87">
        <v>0</v>
      </c>
      <c r="G87">
        <v>0</v>
      </c>
      <c r="H87">
        <v>1</v>
      </c>
      <c r="I87" s="2">
        <v>43841</v>
      </c>
      <c r="J87" s="1"/>
    </row>
    <row r="88" spans="1:10" x14ac:dyDescent="0.3">
      <c r="A88">
        <v>2136</v>
      </c>
      <c r="B88">
        <v>0</v>
      </c>
      <c r="C88">
        <v>0</v>
      </c>
      <c r="D88">
        <v>0</v>
      </c>
      <c r="E88">
        <v>0</v>
      </c>
      <c r="F88">
        <v>0</v>
      </c>
      <c r="G88">
        <v>0</v>
      </c>
      <c r="H88">
        <v>0</v>
      </c>
      <c r="I88" s="2">
        <v>43841</v>
      </c>
      <c r="J88" s="1"/>
    </row>
    <row r="89" spans="1:10" x14ac:dyDescent="0.3">
      <c r="A89">
        <v>2717</v>
      </c>
      <c r="B89">
        <v>0</v>
      </c>
      <c r="C89">
        <v>0</v>
      </c>
      <c r="D89">
        <v>0</v>
      </c>
      <c r="E89">
        <v>0</v>
      </c>
      <c r="F89">
        <v>0</v>
      </c>
      <c r="G89">
        <v>0</v>
      </c>
      <c r="H89">
        <v>1</v>
      </c>
      <c r="I89" s="2">
        <v>43841</v>
      </c>
      <c r="J89" s="1"/>
    </row>
    <row r="90" spans="1:10" x14ac:dyDescent="0.3">
      <c r="A90">
        <v>2873</v>
      </c>
      <c r="B90">
        <v>0</v>
      </c>
      <c r="C90">
        <v>0</v>
      </c>
      <c r="D90">
        <v>0</v>
      </c>
      <c r="E90">
        <v>0</v>
      </c>
      <c r="F90">
        <v>0</v>
      </c>
      <c r="G90">
        <v>0</v>
      </c>
      <c r="H90">
        <v>0</v>
      </c>
      <c r="I90" s="2">
        <v>43841</v>
      </c>
      <c r="J90" s="1"/>
    </row>
    <row r="91" spans="1:10" x14ac:dyDescent="0.3">
      <c r="A91">
        <v>1834</v>
      </c>
      <c r="B91">
        <v>1</v>
      </c>
      <c r="C91">
        <v>0</v>
      </c>
      <c r="D91">
        <v>0</v>
      </c>
      <c r="E91">
        <v>0</v>
      </c>
      <c r="F91">
        <v>0</v>
      </c>
      <c r="G91">
        <v>0</v>
      </c>
      <c r="H91">
        <v>0</v>
      </c>
      <c r="I91" s="2" t="s">
        <v>41</v>
      </c>
    </row>
    <row r="92" spans="1:10" x14ac:dyDescent="0.3">
      <c r="A92">
        <v>2216</v>
      </c>
      <c r="B92">
        <v>0</v>
      </c>
      <c r="C92">
        <v>0</v>
      </c>
      <c r="D92">
        <v>0</v>
      </c>
      <c r="E92">
        <v>0</v>
      </c>
      <c r="F92">
        <v>0</v>
      </c>
      <c r="G92">
        <v>0</v>
      </c>
      <c r="H92">
        <v>0</v>
      </c>
      <c r="I92" s="2" t="s">
        <v>41</v>
      </c>
    </row>
    <row r="93" spans="1:10" x14ac:dyDescent="0.3">
      <c r="A93">
        <v>2869</v>
      </c>
      <c r="B93">
        <v>0</v>
      </c>
      <c r="C93">
        <v>0</v>
      </c>
      <c r="D93">
        <v>0</v>
      </c>
      <c r="E93">
        <v>0</v>
      </c>
      <c r="F93">
        <v>0</v>
      </c>
      <c r="G93">
        <v>0</v>
      </c>
      <c r="H93">
        <v>0</v>
      </c>
      <c r="I93" s="2" t="s">
        <v>41</v>
      </c>
    </row>
    <row r="94" spans="1:10" x14ac:dyDescent="0.3">
      <c r="A94">
        <v>1442</v>
      </c>
      <c r="B94">
        <v>0</v>
      </c>
      <c r="C94">
        <v>0</v>
      </c>
      <c r="D94">
        <v>0</v>
      </c>
      <c r="E94">
        <v>0</v>
      </c>
      <c r="F94">
        <v>0</v>
      </c>
      <c r="G94">
        <v>0</v>
      </c>
      <c r="H94">
        <v>0</v>
      </c>
      <c r="I94" s="2" t="s">
        <v>42</v>
      </c>
    </row>
    <row r="95" spans="1:10" x14ac:dyDescent="0.3">
      <c r="A95">
        <v>1916</v>
      </c>
      <c r="B95">
        <v>0</v>
      </c>
      <c r="C95">
        <v>0</v>
      </c>
      <c r="D95">
        <v>0</v>
      </c>
      <c r="E95">
        <v>0</v>
      </c>
      <c r="F95">
        <v>0</v>
      </c>
      <c r="G95">
        <v>0</v>
      </c>
      <c r="H95">
        <v>0</v>
      </c>
      <c r="I95" s="2" t="s">
        <v>42</v>
      </c>
    </row>
    <row r="96" spans="1:10" x14ac:dyDescent="0.3">
      <c r="A96">
        <v>2051</v>
      </c>
      <c r="B96">
        <v>0</v>
      </c>
      <c r="C96">
        <v>0</v>
      </c>
      <c r="D96">
        <v>0</v>
      </c>
      <c r="E96">
        <v>0</v>
      </c>
      <c r="F96">
        <v>0</v>
      </c>
      <c r="G96">
        <v>0</v>
      </c>
      <c r="H96">
        <v>0</v>
      </c>
      <c r="I96" s="2" t="s">
        <v>42</v>
      </c>
    </row>
    <row r="97" spans="1:9" x14ac:dyDescent="0.3">
      <c r="A97">
        <v>1086</v>
      </c>
      <c r="B97">
        <v>0</v>
      </c>
      <c r="C97">
        <v>0</v>
      </c>
      <c r="D97">
        <v>0</v>
      </c>
      <c r="E97">
        <v>0</v>
      </c>
      <c r="F97">
        <v>0</v>
      </c>
      <c r="G97">
        <v>0</v>
      </c>
      <c r="H97">
        <v>0</v>
      </c>
      <c r="I97" s="2" t="s">
        <v>43</v>
      </c>
    </row>
    <row r="98" spans="1:9" x14ac:dyDescent="0.3">
      <c r="A98">
        <v>2116</v>
      </c>
      <c r="B98">
        <v>0</v>
      </c>
      <c r="C98">
        <v>0</v>
      </c>
      <c r="D98">
        <v>0</v>
      </c>
      <c r="E98">
        <v>0</v>
      </c>
      <c r="F98">
        <v>0</v>
      </c>
      <c r="G98">
        <v>0</v>
      </c>
      <c r="H98">
        <v>0</v>
      </c>
      <c r="I98" s="2" t="s">
        <v>43</v>
      </c>
    </row>
    <row r="99" spans="1:9" x14ac:dyDescent="0.3">
      <c r="A99">
        <v>2223</v>
      </c>
      <c r="B99">
        <v>1</v>
      </c>
      <c r="C99">
        <v>0</v>
      </c>
      <c r="D99">
        <v>0</v>
      </c>
      <c r="E99">
        <v>0</v>
      </c>
      <c r="F99">
        <v>0</v>
      </c>
      <c r="G99">
        <v>0</v>
      </c>
      <c r="H99">
        <v>0</v>
      </c>
      <c r="I99" s="2" t="s">
        <v>43</v>
      </c>
    </row>
    <row r="100" spans="1:9" x14ac:dyDescent="0.3">
      <c r="A100">
        <v>2230</v>
      </c>
      <c r="B100">
        <v>0</v>
      </c>
      <c r="C100">
        <v>1</v>
      </c>
      <c r="D100">
        <v>0</v>
      </c>
      <c r="E100">
        <v>0</v>
      </c>
      <c r="F100">
        <v>0</v>
      </c>
      <c r="G100">
        <v>0</v>
      </c>
      <c r="H100">
        <v>0</v>
      </c>
      <c r="I100" s="2" t="s">
        <v>43</v>
      </c>
    </row>
    <row r="101" spans="1:9" x14ac:dyDescent="0.3">
      <c r="A101">
        <v>2713</v>
      </c>
      <c r="B101">
        <v>0</v>
      </c>
      <c r="C101">
        <v>0</v>
      </c>
      <c r="D101">
        <v>0</v>
      </c>
      <c r="E101">
        <v>1</v>
      </c>
      <c r="F101">
        <v>0</v>
      </c>
      <c r="G101">
        <v>0</v>
      </c>
      <c r="H101">
        <v>0</v>
      </c>
      <c r="I101" s="2" t="s">
        <v>43</v>
      </c>
    </row>
    <row r="102" spans="1:9" x14ac:dyDescent="0.3">
      <c r="A102">
        <v>1166</v>
      </c>
      <c r="B102">
        <v>0</v>
      </c>
      <c r="C102">
        <v>0</v>
      </c>
      <c r="D102">
        <v>0</v>
      </c>
      <c r="E102">
        <v>0</v>
      </c>
      <c r="F102">
        <v>0</v>
      </c>
      <c r="G102">
        <v>0</v>
      </c>
      <c r="H102">
        <v>0</v>
      </c>
      <c r="I102" s="2" t="s">
        <v>44</v>
      </c>
    </row>
    <row r="103" spans="1:9" x14ac:dyDescent="0.3">
      <c r="A103">
        <v>1461</v>
      </c>
      <c r="B103">
        <v>0</v>
      </c>
      <c r="C103">
        <v>0</v>
      </c>
      <c r="D103">
        <v>0</v>
      </c>
      <c r="E103">
        <v>0</v>
      </c>
      <c r="F103">
        <v>0</v>
      </c>
      <c r="G103">
        <v>0</v>
      </c>
      <c r="H103">
        <v>0</v>
      </c>
      <c r="I103" s="2" t="s">
        <v>44</v>
      </c>
    </row>
    <row r="104" spans="1:9" x14ac:dyDescent="0.3">
      <c r="A104">
        <v>1631</v>
      </c>
      <c r="B104">
        <v>0</v>
      </c>
      <c r="C104">
        <v>0</v>
      </c>
      <c r="D104">
        <v>0</v>
      </c>
      <c r="E104">
        <v>0</v>
      </c>
      <c r="F104">
        <v>0</v>
      </c>
      <c r="G104">
        <v>0</v>
      </c>
      <c r="H104">
        <v>0</v>
      </c>
      <c r="I104" s="2" t="s">
        <v>44</v>
      </c>
    </row>
    <row r="105" spans="1:9" x14ac:dyDescent="0.3">
      <c r="A105">
        <v>1703</v>
      </c>
      <c r="B105">
        <v>0</v>
      </c>
      <c r="C105">
        <v>0</v>
      </c>
      <c r="D105">
        <v>0</v>
      </c>
      <c r="E105">
        <v>0</v>
      </c>
      <c r="F105">
        <v>0</v>
      </c>
      <c r="G105">
        <v>0</v>
      </c>
      <c r="H105">
        <v>0</v>
      </c>
      <c r="I105" s="2" t="s">
        <v>44</v>
      </c>
    </row>
    <row r="106" spans="1:9" x14ac:dyDescent="0.3">
      <c r="A106">
        <v>2024</v>
      </c>
      <c r="B106">
        <v>0</v>
      </c>
      <c r="C106">
        <v>0</v>
      </c>
      <c r="D106">
        <v>0</v>
      </c>
      <c r="E106">
        <v>1</v>
      </c>
      <c r="F106">
        <v>0</v>
      </c>
      <c r="G106">
        <v>0</v>
      </c>
      <c r="H106">
        <v>0</v>
      </c>
      <c r="I106" s="2" t="s">
        <v>44</v>
      </c>
    </row>
    <row r="107" spans="1:9" x14ac:dyDescent="0.3">
      <c r="A107">
        <v>2287</v>
      </c>
      <c r="B107">
        <v>0</v>
      </c>
      <c r="C107">
        <v>1</v>
      </c>
      <c r="D107">
        <v>1</v>
      </c>
      <c r="E107">
        <v>0</v>
      </c>
      <c r="F107">
        <v>0</v>
      </c>
      <c r="G107">
        <v>0</v>
      </c>
      <c r="H107">
        <v>0</v>
      </c>
      <c r="I107" s="2" t="s">
        <v>44</v>
      </c>
    </row>
    <row r="108" spans="1:9" x14ac:dyDescent="0.3">
      <c r="A108">
        <v>2529</v>
      </c>
      <c r="B108">
        <v>0</v>
      </c>
      <c r="C108">
        <v>0</v>
      </c>
      <c r="D108">
        <v>0</v>
      </c>
      <c r="E108">
        <v>1</v>
      </c>
      <c r="F108">
        <v>0</v>
      </c>
      <c r="G108">
        <v>0</v>
      </c>
      <c r="H108">
        <v>0</v>
      </c>
      <c r="I108" s="2" t="s">
        <v>44</v>
      </c>
    </row>
    <row r="109" spans="1:9" x14ac:dyDescent="0.3">
      <c r="A109">
        <v>2970</v>
      </c>
      <c r="B109">
        <v>1</v>
      </c>
      <c r="C109">
        <v>0</v>
      </c>
      <c r="D109">
        <v>1</v>
      </c>
      <c r="E109">
        <v>1</v>
      </c>
      <c r="F109">
        <v>0</v>
      </c>
      <c r="G109">
        <v>0</v>
      </c>
      <c r="H109">
        <v>1</v>
      </c>
      <c r="I109" s="2" t="s">
        <v>44</v>
      </c>
    </row>
    <row r="110" spans="1:9" x14ac:dyDescent="0.3">
      <c r="A110">
        <v>1029</v>
      </c>
      <c r="B110">
        <v>0</v>
      </c>
      <c r="C110">
        <v>0</v>
      </c>
      <c r="D110">
        <v>0</v>
      </c>
      <c r="E110">
        <v>0</v>
      </c>
      <c r="F110">
        <v>0</v>
      </c>
      <c r="G110">
        <v>0</v>
      </c>
      <c r="H110">
        <v>0</v>
      </c>
      <c r="I110" s="2" t="s">
        <v>45</v>
      </c>
    </row>
    <row r="111" spans="1:9" x14ac:dyDescent="0.3">
      <c r="A111">
        <v>1087</v>
      </c>
      <c r="B111">
        <v>0</v>
      </c>
      <c r="C111">
        <v>0</v>
      </c>
      <c r="D111">
        <v>0</v>
      </c>
      <c r="E111">
        <v>0</v>
      </c>
      <c r="F111">
        <v>0</v>
      </c>
      <c r="G111">
        <v>0</v>
      </c>
      <c r="H111">
        <v>0</v>
      </c>
      <c r="I111" s="2" t="s">
        <v>45</v>
      </c>
    </row>
    <row r="112" spans="1:9" x14ac:dyDescent="0.3">
      <c r="A112">
        <v>1405</v>
      </c>
      <c r="B112">
        <v>0</v>
      </c>
      <c r="C112">
        <v>0</v>
      </c>
      <c r="D112">
        <v>0</v>
      </c>
      <c r="E112">
        <v>0</v>
      </c>
      <c r="F112">
        <v>0</v>
      </c>
      <c r="G112">
        <v>0</v>
      </c>
      <c r="H112">
        <v>0</v>
      </c>
      <c r="I112" s="2" t="s">
        <v>45</v>
      </c>
    </row>
    <row r="113" spans="1:9" x14ac:dyDescent="0.3">
      <c r="A113">
        <v>1482</v>
      </c>
      <c r="B113">
        <v>0</v>
      </c>
      <c r="C113">
        <v>0</v>
      </c>
      <c r="D113">
        <v>0</v>
      </c>
      <c r="E113">
        <v>0</v>
      </c>
      <c r="F113">
        <v>0</v>
      </c>
      <c r="G113">
        <v>0</v>
      </c>
      <c r="H113">
        <v>0</v>
      </c>
      <c r="I113" s="2" t="s">
        <v>45</v>
      </c>
    </row>
    <row r="114" spans="1:9" x14ac:dyDescent="0.3">
      <c r="A114">
        <v>1657</v>
      </c>
      <c r="B114">
        <v>0</v>
      </c>
      <c r="C114">
        <v>0</v>
      </c>
      <c r="D114">
        <v>0</v>
      </c>
      <c r="E114">
        <v>0</v>
      </c>
      <c r="F114">
        <v>0</v>
      </c>
      <c r="G114">
        <v>0</v>
      </c>
      <c r="H114">
        <v>0</v>
      </c>
      <c r="I114" s="2" t="s">
        <v>45</v>
      </c>
    </row>
    <row r="115" spans="1:9" x14ac:dyDescent="0.3">
      <c r="A115">
        <v>1745</v>
      </c>
      <c r="B115">
        <v>0</v>
      </c>
      <c r="C115">
        <v>0</v>
      </c>
      <c r="D115">
        <v>0</v>
      </c>
      <c r="E115">
        <v>0</v>
      </c>
      <c r="F115">
        <v>0</v>
      </c>
      <c r="G115">
        <v>0</v>
      </c>
      <c r="H115">
        <v>0</v>
      </c>
      <c r="I115" s="2" t="s">
        <v>45</v>
      </c>
    </row>
    <row r="116" spans="1:9" x14ac:dyDescent="0.3">
      <c r="A116">
        <v>1915</v>
      </c>
      <c r="B116">
        <v>0</v>
      </c>
      <c r="C116">
        <v>0</v>
      </c>
      <c r="D116">
        <v>0</v>
      </c>
      <c r="E116">
        <v>0</v>
      </c>
      <c r="F116">
        <v>0</v>
      </c>
      <c r="G116">
        <v>0</v>
      </c>
      <c r="H116">
        <v>0</v>
      </c>
      <c r="I116" s="2" t="s">
        <v>45</v>
      </c>
    </row>
    <row r="117" spans="1:9" x14ac:dyDescent="0.3">
      <c r="A117">
        <v>2119</v>
      </c>
      <c r="B117">
        <v>0</v>
      </c>
      <c r="C117">
        <v>0</v>
      </c>
      <c r="D117">
        <v>0</v>
      </c>
      <c r="E117">
        <v>0</v>
      </c>
      <c r="F117">
        <v>0</v>
      </c>
      <c r="G117">
        <v>0</v>
      </c>
      <c r="H117">
        <v>0</v>
      </c>
      <c r="I117" s="2" t="s">
        <v>45</v>
      </c>
    </row>
    <row r="118" spans="1:9" x14ac:dyDescent="0.3">
      <c r="A118">
        <v>2372</v>
      </c>
      <c r="B118">
        <v>0</v>
      </c>
      <c r="C118">
        <v>0</v>
      </c>
      <c r="D118">
        <v>0</v>
      </c>
      <c r="E118">
        <v>0</v>
      </c>
      <c r="F118">
        <v>0</v>
      </c>
      <c r="G118">
        <v>0</v>
      </c>
      <c r="H118">
        <v>0</v>
      </c>
      <c r="I118" s="2" t="s">
        <v>45</v>
      </c>
    </row>
    <row r="119" spans="1:9" x14ac:dyDescent="0.3">
      <c r="A119">
        <v>3070</v>
      </c>
      <c r="B119">
        <v>0</v>
      </c>
      <c r="C119">
        <v>0</v>
      </c>
      <c r="D119">
        <v>0</v>
      </c>
      <c r="E119">
        <v>0</v>
      </c>
      <c r="F119">
        <v>0</v>
      </c>
      <c r="G119">
        <v>0</v>
      </c>
      <c r="H119">
        <v>0</v>
      </c>
      <c r="I119" s="2" t="s">
        <v>45</v>
      </c>
    </row>
    <row r="120" spans="1:9" x14ac:dyDescent="0.3">
      <c r="A120">
        <v>1128</v>
      </c>
      <c r="B120">
        <v>1</v>
      </c>
      <c r="C120">
        <v>0</v>
      </c>
      <c r="D120">
        <v>0</v>
      </c>
      <c r="E120">
        <v>0</v>
      </c>
      <c r="F120">
        <v>0</v>
      </c>
      <c r="G120">
        <v>0</v>
      </c>
      <c r="H120">
        <v>1</v>
      </c>
      <c r="I120" s="2" t="s">
        <v>46</v>
      </c>
    </row>
    <row r="121" spans="1:9" x14ac:dyDescent="0.3">
      <c r="A121">
        <v>2044</v>
      </c>
      <c r="B121">
        <v>1</v>
      </c>
      <c r="C121">
        <v>0</v>
      </c>
      <c r="D121">
        <v>0</v>
      </c>
      <c r="E121">
        <v>0</v>
      </c>
      <c r="F121">
        <v>0</v>
      </c>
      <c r="G121">
        <v>0</v>
      </c>
      <c r="H121">
        <v>0</v>
      </c>
      <c r="I121" s="2" t="s">
        <v>46</v>
      </c>
    </row>
    <row r="122" spans="1:9" x14ac:dyDescent="0.3">
      <c r="A122">
        <v>2241</v>
      </c>
      <c r="B122">
        <v>1</v>
      </c>
      <c r="C122">
        <v>0</v>
      </c>
      <c r="D122">
        <v>0</v>
      </c>
      <c r="E122">
        <v>0</v>
      </c>
      <c r="F122">
        <v>0</v>
      </c>
      <c r="G122">
        <v>0</v>
      </c>
      <c r="H122">
        <v>0</v>
      </c>
      <c r="I122" s="2" t="s">
        <v>46</v>
      </c>
    </row>
    <row r="123" spans="1:9" x14ac:dyDescent="0.3">
      <c r="A123">
        <v>2561</v>
      </c>
      <c r="B123">
        <v>1</v>
      </c>
      <c r="C123">
        <v>0</v>
      </c>
      <c r="D123">
        <v>0</v>
      </c>
      <c r="E123">
        <v>0</v>
      </c>
      <c r="F123">
        <v>0</v>
      </c>
      <c r="G123">
        <v>0</v>
      </c>
      <c r="H123">
        <v>1</v>
      </c>
      <c r="I123" s="2" t="s">
        <v>46</v>
      </c>
    </row>
    <row r="124" spans="1:9" x14ac:dyDescent="0.3">
      <c r="A124">
        <v>2859</v>
      </c>
      <c r="B124">
        <v>0</v>
      </c>
      <c r="C124">
        <v>0</v>
      </c>
      <c r="D124">
        <v>0</v>
      </c>
      <c r="E124">
        <v>0</v>
      </c>
      <c r="F124">
        <v>0</v>
      </c>
      <c r="G124">
        <v>0</v>
      </c>
      <c r="H124">
        <v>0</v>
      </c>
      <c r="I124" s="2" t="s">
        <v>46</v>
      </c>
    </row>
    <row r="125" spans="1:9" x14ac:dyDescent="0.3">
      <c r="A125">
        <v>1458</v>
      </c>
      <c r="B125">
        <v>0</v>
      </c>
      <c r="C125">
        <v>0</v>
      </c>
      <c r="D125">
        <v>0</v>
      </c>
      <c r="E125">
        <v>0</v>
      </c>
      <c r="F125">
        <v>0</v>
      </c>
      <c r="G125">
        <v>0</v>
      </c>
      <c r="H125">
        <v>0</v>
      </c>
      <c r="I125" s="2" t="s">
        <v>47</v>
      </c>
    </row>
    <row r="126" spans="1:9" x14ac:dyDescent="0.3">
      <c r="A126">
        <v>1905</v>
      </c>
      <c r="B126">
        <v>0</v>
      </c>
      <c r="C126">
        <v>0</v>
      </c>
      <c r="D126">
        <v>0</v>
      </c>
      <c r="E126">
        <v>1</v>
      </c>
      <c r="F126">
        <v>0</v>
      </c>
      <c r="G126">
        <v>0</v>
      </c>
      <c r="H126">
        <v>0</v>
      </c>
      <c r="I126" s="2" t="s">
        <v>47</v>
      </c>
    </row>
    <row r="127" spans="1:9" x14ac:dyDescent="0.3">
      <c r="A127">
        <v>2226</v>
      </c>
      <c r="B127">
        <v>0</v>
      </c>
      <c r="C127">
        <v>0</v>
      </c>
      <c r="D127">
        <v>0</v>
      </c>
      <c r="E127">
        <v>0</v>
      </c>
      <c r="F127">
        <v>0</v>
      </c>
      <c r="G127">
        <v>0</v>
      </c>
      <c r="H127">
        <v>0</v>
      </c>
      <c r="I127" s="2" t="s">
        <v>47</v>
      </c>
    </row>
    <row r="128" spans="1:9" x14ac:dyDescent="0.3">
      <c r="A128">
        <v>2593</v>
      </c>
      <c r="B128">
        <v>0</v>
      </c>
      <c r="C128">
        <v>0</v>
      </c>
      <c r="D128">
        <v>0</v>
      </c>
      <c r="E128">
        <v>0</v>
      </c>
      <c r="F128">
        <v>0</v>
      </c>
      <c r="G128">
        <v>0</v>
      </c>
      <c r="H128">
        <v>0</v>
      </c>
      <c r="I128" s="2" t="s">
        <v>47</v>
      </c>
    </row>
    <row r="129" spans="1:9" x14ac:dyDescent="0.3">
      <c r="A129">
        <v>3196</v>
      </c>
      <c r="B129">
        <v>0</v>
      </c>
      <c r="C129">
        <v>0</v>
      </c>
      <c r="D129">
        <v>0</v>
      </c>
      <c r="E129">
        <v>0</v>
      </c>
      <c r="F129">
        <v>0</v>
      </c>
      <c r="G129">
        <v>0</v>
      </c>
      <c r="H129">
        <v>0</v>
      </c>
      <c r="I129" s="2" t="s">
        <v>47</v>
      </c>
    </row>
    <row r="130" spans="1:9" x14ac:dyDescent="0.3">
      <c r="A130">
        <v>3211</v>
      </c>
      <c r="B130">
        <v>0</v>
      </c>
      <c r="C130">
        <v>0</v>
      </c>
      <c r="D130">
        <v>0</v>
      </c>
      <c r="E130">
        <v>0</v>
      </c>
      <c r="F130">
        <v>0</v>
      </c>
      <c r="G130">
        <v>0</v>
      </c>
      <c r="H130">
        <v>0</v>
      </c>
      <c r="I130" s="2" t="s">
        <v>47</v>
      </c>
    </row>
    <row r="131" spans="1:9" x14ac:dyDescent="0.3">
      <c r="A131">
        <v>1572</v>
      </c>
      <c r="B131">
        <v>0</v>
      </c>
      <c r="C131">
        <v>1</v>
      </c>
      <c r="D131">
        <v>0</v>
      </c>
      <c r="E131">
        <v>0</v>
      </c>
      <c r="F131">
        <v>0</v>
      </c>
      <c r="G131">
        <v>0</v>
      </c>
      <c r="H131">
        <v>0</v>
      </c>
      <c r="I131" s="2" t="s">
        <v>48</v>
      </c>
    </row>
    <row r="132" spans="1:9" x14ac:dyDescent="0.3">
      <c r="A132">
        <v>1669</v>
      </c>
      <c r="B132">
        <v>0</v>
      </c>
      <c r="C132">
        <v>0</v>
      </c>
      <c r="D132">
        <v>1</v>
      </c>
      <c r="E132">
        <v>1</v>
      </c>
      <c r="F132">
        <v>0</v>
      </c>
      <c r="G132">
        <v>0</v>
      </c>
      <c r="H132">
        <v>0</v>
      </c>
      <c r="I132" s="2" t="s">
        <v>49</v>
      </c>
    </row>
    <row r="133" spans="1:9" x14ac:dyDescent="0.3">
      <c r="A133">
        <v>3081</v>
      </c>
      <c r="B133">
        <v>0</v>
      </c>
      <c r="C133">
        <v>0</v>
      </c>
      <c r="D133">
        <v>0</v>
      </c>
      <c r="E133">
        <v>0</v>
      </c>
      <c r="F133">
        <v>0</v>
      </c>
      <c r="G133">
        <v>0</v>
      </c>
      <c r="H133">
        <v>0</v>
      </c>
      <c r="I133" s="2" t="s">
        <v>49</v>
      </c>
    </row>
    <row r="134" spans="1:9" x14ac:dyDescent="0.3">
      <c r="A134">
        <v>2370</v>
      </c>
      <c r="B134">
        <v>0</v>
      </c>
      <c r="C134">
        <v>0</v>
      </c>
      <c r="D134">
        <v>0</v>
      </c>
      <c r="E134">
        <v>0</v>
      </c>
      <c r="F134">
        <v>0</v>
      </c>
      <c r="G134">
        <v>0</v>
      </c>
      <c r="H134">
        <v>0</v>
      </c>
      <c r="I134" s="2" t="s">
        <v>50</v>
      </c>
    </row>
    <row r="135" spans="1:9" x14ac:dyDescent="0.3">
      <c r="A135">
        <v>1184</v>
      </c>
      <c r="B135">
        <v>0</v>
      </c>
      <c r="C135">
        <v>0</v>
      </c>
      <c r="D135">
        <v>0</v>
      </c>
      <c r="E135">
        <v>0</v>
      </c>
      <c r="F135">
        <v>0</v>
      </c>
      <c r="G135">
        <v>0</v>
      </c>
      <c r="H135">
        <v>0</v>
      </c>
      <c r="I135" s="2" t="s">
        <v>51</v>
      </c>
    </row>
    <row r="136" spans="1:9" x14ac:dyDescent="0.3">
      <c r="A136">
        <v>1624</v>
      </c>
      <c r="B136">
        <v>0</v>
      </c>
      <c r="C136">
        <v>0</v>
      </c>
      <c r="D136">
        <v>0</v>
      </c>
      <c r="E136">
        <v>0</v>
      </c>
      <c r="F136">
        <v>0</v>
      </c>
      <c r="G136">
        <v>0</v>
      </c>
      <c r="H136">
        <v>0</v>
      </c>
      <c r="I136" s="2" t="s">
        <v>51</v>
      </c>
    </row>
    <row r="137" spans="1:9" x14ac:dyDescent="0.3">
      <c r="A137">
        <v>2349</v>
      </c>
      <c r="B137">
        <v>0</v>
      </c>
      <c r="C137">
        <v>0</v>
      </c>
      <c r="D137">
        <v>0</v>
      </c>
      <c r="E137">
        <v>0</v>
      </c>
      <c r="F137">
        <v>0</v>
      </c>
      <c r="G137">
        <v>0</v>
      </c>
      <c r="H137">
        <v>0</v>
      </c>
      <c r="I137" s="2" t="s">
        <v>51</v>
      </c>
    </row>
    <row r="138" spans="1:9" x14ac:dyDescent="0.3">
      <c r="A138">
        <v>1047</v>
      </c>
      <c r="B138">
        <v>0</v>
      </c>
      <c r="C138">
        <v>0</v>
      </c>
      <c r="D138">
        <v>0</v>
      </c>
      <c r="E138">
        <v>0</v>
      </c>
      <c r="F138">
        <v>0</v>
      </c>
      <c r="G138">
        <v>0</v>
      </c>
      <c r="H138">
        <v>0</v>
      </c>
      <c r="I138" s="2" t="s">
        <v>52</v>
      </c>
    </row>
    <row r="139" spans="1:9" x14ac:dyDescent="0.3">
      <c r="A139">
        <v>1083</v>
      </c>
      <c r="B139">
        <v>0</v>
      </c>
      <c r="C139">
        <v>0</v>
      </c>
      <c r="D139">
        <v>1</v>
      </c>
      <c r="E139">
        <v>0</v>
      </c>
      <c r="F139">
        <v>0</v>
      </c>
      <c r="G139">
        <v>0</v>
      </c>
      <c r="H139">
        <v>0</v>
      </c>
      <c r="I139" s="2" t="s">
        <v>52</v>
      </c>
    </row>
    <row r="140" spans="1:9" x14ac:dyDescent="0.3">
      <c r="A140">
        <v>1143</v>
      </c>
      <c r="B140">
        <v>0</v>
      </c>
      <c r="C140">
        <v>0</v>
      </c>
      <c r="D140">
        <v>0</v>
      </c>
      <c r="E140">
        <v>0</v>
      </c>
      <c r="F140">
        <v>0</v>
      </c>
      <c r="G140">
        <v>0</v>
      </c>
      <c r="H140">
        <v>0</v>
      </c>
      <c r="I140" s="2" t="s">
        <v>52</v>
      </c>
    </row>
    <row r="141" spans="1:9" x14ac:dyDescent="0.3">
      <c r="A141">
        <v>1204</v>
      </c>
      <c r="B141">
        <v>0</v>
      </c>
      <c r="C141">
        <v>0</v>
      </c>
      <c r="D141">
        <v>0</v>
      </c>
      <c r="E141">
        <v>0</v>
      </c>
      <c r="F141">
        <v>0</v>
      </c>
      <c r="G141">
        <v>0</v>
      </c>
      <c r="H141">
        <v>0</v>
      </c>
      <c r="I141" s="2" t="s">
        <v>52</v>
      </c>
    </row>
    <row r="142" spans="1:9" x14ac:dyDescent="0.3">
      <c r="A142">
        <v>1275</v>
      </c>
      <c r="B142">
        <v>0</v>
      </c>
      <c r="C142">
        <v>0</v>
      </c>
      <c r="D142">
        <v>0</v>
      </c>
      <c r="E142">
        <v>0</v>
      </c>
      <c r="F142">
        <v>0</v>
      </c>
      <c r="G142">
        <v>0</v>
      </c>
      <c r="H142">
        <v>0</v>
      </c>
      <c r="I142" s="2" t="s">
        <v>52</v>
      </c>
    </row>
    <row r="143" spans="1:9" x14ac:dyDescent="0.3">
      <c r="A143">
        <v>1796</v>
      </c>
      <c r="B143">
        <v>0</v>
      </c>
      <c r="C143">
        <v>0</v>
      </c>
      <c r="D143">
        <v>0</v>
      </c>
      <c r="E143">
        <v>0</v>
      </c>
      <c r="F143">
        <v>0</v>
      </c>
      <c r="G143">
        <v>0</v>
      </c>
      <c r="H143">
        <v>0</v>
      </c>
      <c r="I143" s="2" t="s">
        <v>52</v>
      </c>
    </row>
    <row r="144" spans="1:9" x14ac:dyDescent="0.3">
      <c r="A144">
        <v>1823</v>
      </c>
      <c r="B144">
        <v>0</v>
      </c>
      <c r="C144">
        <v>0</v>
      </c>
      <c r="D144">
        <v>0</v>
      </c>
      <c r="E144">
        <v>0</v>
      </c>
      <c r="F144">
        <v>0</v>
      </c>
      <c r="G144">
        <v>0</v>
      </c>
      <c r="H144">
        <v>0</v>
      </c>
      <c r="I144" s="2" t="s">
        <v>52</v>
      </c>
    </row>
    <row r="145" spans="1:9" x14ac:dyDescent="0.3">
      <c r="A145">
        <v>2015</v>
      </c>
      <c r="B145">
        <v>0</v>
      </c>
      <c r="C145">
        <v>0</v>
      </c>
      <c r="D145">
        <v>1</v>
      </c>
      <c r="E145">
        <v>0</v>
      </c>
      <c r="F145">
        <v>0</v>
      </c>
      <c r="G145">
        <v>0</v>
      </c>
      <c r="H145">
        <v>0</v>
      </c>
      <c r="I145" s="2" t="s">
        <v>52</v>
      </c>
    </row>
    <row r="146" spans="1:9" x14ac:dyDescent="0.3">
      <c r="A146">
        <v>2238</v>
      </c>
      <c r="B146">
        <v>0</v>
      </c>
      <c r="C146">
        <v>0</v>
      </c>
      <c r="D146">
        <v>0</v>
      </c>
      <c r="E146">
        <v>0</v>
      </c>
      <c r="F146">
        <v>0</v>
      </c>
      <c r="G146">
        <v>0</v>
      </c>
      <c r="H146">
        <v>0</v>
      </c>
      <c r="I146" s="2" t="s">
        <v>52</v>
      </c>
    </row>
    <row r="147" spans="1:9" x14ac:dyDescent="0.3">
      <c r="A147">
        <v>2927</v>
      </c>
      <c r="B147">
        <v>0</v>
      </c>
      <c r="C147">
        <v>0</v>
      </c>
      <c r="D147">
        <v>0</v>
      </c>
      <c r="E147">
        <v>0</v>
      </c>
      <c r="F147">
        <v>0</v>
      </c>
      <c r="G147">
        <v>0</v>
      </c>
      <c r="H147">
        <v>0</v>
      </c>
      <c r="I147" s="2" t="s">
        <v>52</v>
      </c>
    </row>
    <row r="148" spans="1:9" x14ac:dyDescent="0.3">
      <c r="A148">
        <v>3123</v>
      </c>
      <c r="B148">
        <v>0</v>
      </c>
      <c r="C148">
        <v>0</v>
      </c>
      <c r="D148">
        <v>0</v>
      </c>
      <c r="E148">
        <v>0</v>
      </c>
      <c r="F148">
        <v>0</v>
      </c>
      <c r="G148">
        <v>0</v>
      </c>
      <c r="H148">
        <v>0</v>
      </c>
      <c r="I148" s="2" t="s">
        <v>52</v>
      </c>
    </row>
    <row r="149" spans="1:9" x14ac:dyDescent="0.3">
      <c r="A149">
        <v>1062</v>
      </c>
      <c r="B149">
        <v>0</v>
      </c>
      <c r="C149">
        <v>0</v>
      </c>
      <c r="D149">
        <v>0</v>
      </c>
      <c r="E149">
        <v>0</v>
      </c>
      <c r="F149">
        <v>0</v>
      </c>
      <c r="G149">
        <v>0</v>
      </c>
      <c r="H149">
        <v>0</v>
      </c>
      <c r="I149" s="2" t="s">
        <v>53</v>
      </c>
    </row>
    <row r="150" spans="1:9" x14ac:dyDescent="0.3">
      <c r="A150">
        <v>1169</v>
      </c>
      <c r="B150">
        <v>0</v>
      </c>
      <c r="C150">
        <v>0</v>
      </c>
      <c r="D150">
        <v>0</v>
      </c>
      <c r="E150">
        <v>0</v>
      </c>
      <c r="F150">
        <v>0</v>
      </c>
      <c r="G150">
        <v>0</v>
      </c>
      <c r="H150">
        <v>0</v>
      </c>
      <c r="I150" s="2" t="s">
        <v>53</v>
      </c>
    </row>
    <row r="151" spans="1:9" x14ac:dyDescent="0.3">
      <c r="A151">
        <v>1763</v>
      </c>
      <c r="B151">
        <v>0</v>
      </c>
      <c r="C151">
        <v>0</v>
      </c>
      <c r="D151">
        <v>0</v>
      </c>
      <c r="E151">
        <v>0</v>
      </c>
      <c r="F151">
        <v>0</v>
      </c>
      <c r="G151">
        <v>0</v>
      </c>
      <c r="H151">
        <v>0</v>
      </c>
      <c r="I151" s="2" t="s">
        <v>53</v>
      </c>
    </row>
    <row r="152" spans="1:9" x14ac:dyDescent="0.3">
      <c r="A152">
        <v>1935</v>
      </c>
      <c r="B152">
        <v>0</v>
      </c>
      <c r="C152">
        <v>0</v>
      </c>
      <c r="D152">
        <v>0</v>
      </c>
      <c r="E152">
        <v>0</v>
      </c>
      <c r="F152">
        <v>0</v>
      </c>
      <c r="G152">
        <v>0</v>
      </c>
      <c r="H152">
        <v>0</v>
      </c>
      <c r="I152" s="2" t="s">
        <v>53</v>
      </c>
    </row>
    <row r="153" spans="1:9" x14ac:dyDescent="0.3">
      <c r="A153">
        <v>2123</v>
      </c>
      <c r="B153">
        <v>0</v>
      </c>
      <c r="C153">
        <v>0</v>
      </c>
      <c r="D153">
        <v>0</v>
      </c>
      <c r="E153">
        <v>0</v>
      </c>
      <c r="F153">
        <v>0</v>
      </c>
      <c r="G153">
        <v>0</v>
      </c>
      <c r="H153">
        <v>0</v>
      </c>
      <c r="I153" s="2" t="s">
        <v>53</v>
      </c>
    </row>
    <row r="154" spans="1:9" x14ac:dyDescent="0.3">
      <c r="A154">
        <v>2842</v>
      </c>
      <c r="B154">
        <v>0</v>
      </c>
      <c r="C154">
        <v>0</v>
      </c>
      <c r="D154">
        <v>0</v>
      </c>
      <c r="E154">
        <v>0</v>
      </c>
      <c r="F154">
        <v>0</v>
      </c>
      <c r="G154">
        <v>0</v>
      </c>
      <c r="H154">
        <v>0</v>
      </c>
      <c r="I154" s="2" t="s">
        <v>53</v>
      </c>
    </row>
    <row r="155" spans="1:9" x14ac:dyDescent="0.3">
      <c r="A155">
        <v>3105</v>
      </c>
      <c r="B155">
        <v>0</v>
      </c>
      <c r="C155">
        <v>0</v>
      </c>
      <c r="D155">
        <v>0</v>
      </c>
      <c r="E155">
        <v>0</v>
      </c>
      <c r="F155">
        <v>0</v>
      </c>
      <c r="G155">
        <v>0</v>
      </c>
      <c r="H155">
        <v>0</v>
      </c>
      <c r="I155" s="2" t="s">
        <v>53</v>
      </c>
    </row>
    <row r="156" spans="1:9" x14ac:dyDescent="0.3">
      <c r="A156">
        <v>3155</v>
      </c>
      <c r="B156">
        <v>0</v>
      </c>
      <c r="C156">
        <v>0</v>
      </c>
      <c r="D156">
        <v>1</v>
      </c>
      <c r="E156">
        <v>0</v>
      </c>
      <c r="F156">
        <v>0</v>
      </c>
      <c r="G156">
        <v>0</v>
      </c>
      <c r="H156">
        <v>0</v>
      </c>
      <c r="I156" s="2" t="s">
        <v>53</v>
      </c>
    </row>
    <row r="157" spans="1:9" x14ac:dyDescent="0.3">
      <c r="A157">
        <v>1120</v>
      </c>
      <c r="B157">
        <v>0</v>
      </c>
      <c r="C157">
        <v>0</v>
      </c>
      <c r="D157">
        <v>0</v>
      </c>
      <c r="E157">
        <v>0</v>
      </c>
      <c r="F157">
        <v>0</v>
      </c>
      <c r="G157">
        <v>0</v>
      </c>
      <c r="H157">
        <v>0</v>
      </c>
      <c r="I157" s="2" t="s">
        <v>54</v>
      </c>
    </row>
    <row r="158" spans="1:9" x14ac:dyDescent="0.3">
      <c r="A158">
        <v>1170</v>
      </c>
      <c r="B158">
        <v>0</v>
      </c>
      <c r="C158">
        <v>0</v>
      </c>
      <c r="D158">
        <v>0</v>
      </c>
      <c r="E158">
        <v>0</v>
      </c>
      <c r="F158">
        <v>0</v>
      </c>
      <c r="G158">
        <v>0</v>
      </c>
      <c r="H158">
        <v>0</v>
      </c>
      <c r="I158" s="2" t="s">
        <v>54</v>
      </c>
    </row>
    <row r="159" spans="1:9" x14ac:dyDescent="0.3">
      <c r="A159">
        <v>1931</v>
      </c>
      <c r="B159">
        <v>0</v>
      </c>
      <c r="C159">
        <v>0</v>
      </c>
      <c r="D159">
        <v>0</v>
      </c>
      <c r="E159">
        <v>0</v>
      </c>
      <c r="F159">
        <v>0</v>
      </c>
      <c r="G159">
        <v>0</v>
      </c>
      <c r="H159">
        <v>0</v>
      </c>
      <c r="I159" s="2" t="s">
        <v>54</v>
      </c>
    </row>
    <row r="160" spans="1:9" x14ac:dyDescent="0.3">
      <c r="A160">
        <v>2733</v>
      </c>
      <c r="B160">
        <v>0</v>
      </c>
      <c r="C160">
        <v>0</v>
      </c>
      <c r="D160">
        <v>0</v>
      </c>
      <c r="E160">
        <v>0</v>
      </c>
      <c r="F160">
        <v>0</v>
      </c>
      <c r="G160">
        <v>0</v>
      </c>
      <c r="H160">
        <v>0</v>
      </c>
      <c r="I160" s="2" t="s">
        <v>54</v>
      </c>
    </row>
    <row r="161" spans="1:10" x14ac:dyDescent="0.3">
      <c r="A161">
        <v>1460</v>
      </c>
      <c r="B161">
        <v>0</v>
      </c>
      <c r="C161">
        <v>0</v>
      </c>
      <c r="D161">
        <v>0</v>
      </c>
      <c r="E161">
        <v>0</v>
      </c>
      <c r="F161">
        <v>0</v>
      </c>
      <c r="G161">
        <v>0</v>
      </c>
      <c r="H161">
        <v>0</v>
      </c>
      <c r="I161" s="2" t="s">
        <v>55</v>
      </c>
    </row>
    <row r="162" spans="1:10" x14ac:dyDescent="0.3">
      <c r="A162">
        <v>1096</v>
      </c>
      <c r="B162">
        <v>0</v>
      </c>
      <c r="C162">
        <v>0</v>
      </c>
      <c r="D162">
        <v>0</v>
      </c>
      <c r="E162">
        <v>0</v>
      </c>
      <c r="F162">
        <v>0</v>
      </c>
      <c r="G162">
        <v>0</v>
      </c>
      <c r="H162">
        <v>1</v>
      </c>
      <c r="I162" s="2">
        <v>44175</v>
      </c>
      <c r="J162" s="1"/>
    </row>
    <row r="163" spans="1:10" x14ac:dyDescent="0.3">
      <c r="A163">
        <v>1932</v>
      </c>
      <c r="B163">
        <v>1</v>
      </c>
      <c r="C163">
        <v>0</v>
      </c>
      <c r="D163">
        <v>0</v>
      </c>
      <c r="E163">
        <v>0</v>
      </c>
      <c r="F163">
        <v>0</v>
      </c>
      <c r="G163">
        <v>0</v>
      </c>
      <c r="H163">
        <v>0</v>
      </c>
      <c r="I163" s="2">
        <v>44175</v>
      </c>
      <c r="J163" s="1"/>
    </row>
    <row r="164" spans="1:10" x14ac:dyDescent="0.3">
      <c r="A164">
        <v>2165</v>
      </c>
      <c r="B164">
        <v>0</v>
      </c>
      <c r="C164">
        <v>0</v>
      </c>
      <c r="D164">
        <v>0</v>
      </c>
      <c r="E164">
        <v>0</v>
      </c>
      <c r="F164">
        <v>0</v>
      </c>
      <c r="G164">
        <v>0</v>
      </c>
      <c r="H164">
        <v>0</v>
      </c>
      <c r="I164" s="2">
        <v>44175</v>
      </c>
      <c r="J164" s="1"/>
    </row>
    <row r="165" spans="1:10" x14ac:dyDescent="0.3">
      <c r="A165">
        <v>2692</v>
      </c>
      <c r="B165">
        <v>0</v>
      </c>
      <c r="C165">
        <v>0</v>
      </c>
      <c r="D165">
        <v>0</v>
      </c>
      <c r="E165">
        <v>0</v>
      </c>
      <c r="F165">
        <v>0</v>
      </c>
      <c r="G165">
        <v>0</v>
      </c>
      <c r="H165">
        <v>0</v>
      </c>
      <c r="I165" s="2">
        <v>44175</v>
      </c>
      <c r="J165" s="1"/>
    </row>
    <row r="166" spans="1:10" x14ac:dyDescent="0.3">
      <c r="A166">
        <v>1593</v>
      </c>
      <c r="B166">
        <v>0</v>
      </c>
      <c r="C166">
        <v>0</v>
      </c>
      <c r="D166">
        <v>0</v>
      </c>
      <c r="E166">
        <v>1</v>
      </c>
      <c r="F166">
        <v>0</v>
      </c>
      <c r="G166">
        <v>0</v>
      </c>
      <c r="H166">
        <v>0</v>
      </c>
      <c r="I166" s="2">
        <v>44145</v>
      </c>
      <c r="J166" s="1"/>
    </row>
    <row r="167" spans="1:10" x14ac:dyDescent="0.3">
      <c r="A167">
        <v>1939</v>
      </c>
      <c r="B167">
        <v>0</v>
      </c>
      <c r="C167">
        <v>0</v>
      </c>
      <c r="D167">
        <v>0</v>
      </c>
      <c r="E167">
        <v>0</v>
      </c>
      <c r="F167">
        <v>0</v>
      </c>
      <c r="G167">
        <v>0</v>
      </c>
      <c r="H167">
        <v>0</v>
      </c>
      <c r="I167" s="2">
        <v>44145</v>
      </c>
      <c r="J167" s="1"/>
    </row>
    <row r="168" spans="1:10" x14ac:dyDescent="0.3">
      <c r="A168">
        <v>1942</v>
      </c>
      <c r="B168">
        <v>0</v>
      </c>
      <c r="C168">
        <v>0</v>
      </c>
      <c r="D168">
        <v>0</v>
      </c>
      <c r="E168">
        <v>0</v>
      </c>
      <c r="F168">
        <v>0</v>
      </c>
      <c r="G168">
        <v>0</v>
      </c>
      <c r="H168">
        <v>0</v>
      </c>
      <c r="I168" s="2">
        <v>44145</v>
      </c>
      <c r="J168" s="1"/>
    </row>
    <row r="169" spans="1:10" x14ac:dyDescent="0.3">
      <c r="A169">
        <v>2625</v>
      </c>
      <c r="B169">
        <v>0</v>
      </c>
      <c r="C169">
        <v>0</v>
      </c>
      <c r="D169">
        <v>0</v>
      </c>
      <c r="E169">
        <v>0</v>
      </c>
      <c r="F169">
        <v>0</v>
      </c>
      <c r="G169">
        <v>0</v>
      </c>
      <c r="H169">
        <v>0</v>
      </c>
      <c r="I169" s="2">
        <v>44145</v>
      </c>
      <c r="J169" s="1"/>
    </row>
    <row r="170" spans="1:10" x14ac:dyDescent="0.3">
      <c r="A170">
        <v>2934</v>
      </c>
      <c r="B170">
        <v>0</v>
      </c>
      <c r="C170">
        <v>0</v>
      </c>
      <c r="D170">
        <v>0</v>
      </c>
      <c r="E170">
        <v>0</v>
      </c>
      <c r="F170">
        <v>0</v>
      </c>
      <c r="G170">
        <v>0</v>
      </c>
      <c r="H170">
        <v>0</v>
      </c>
      <c r="I170" s="2">
        <v>44145</v>
      </c>
      <c r="J170" s="1"/>
    </row>
    <row r="171" spans="1:10" x14ac:dyDescent="0.3">
      <c r="A171">
        <v>1404</v>
      </c>
      <c r="B171">
        <v>0</v>
      </c>
      <c r="C171">
        <v>0</v>
      </c>
      <c r="D171">
        <v>0</v>
      </c>
      <c r="E171">
        <v>0</v>
      </c>
      <c r="F171">
        <v>0</v>
      </c>
      <c r="G171">
        <v>0</v>
      </c>
      <c r="H171">
        <v>0</v>
      </c>
      <c r="I171" s="2">
        <v>44114</v>
      </c>
      <c r="J171" s="1"/>
    </row>
    <row r="172" spans="1:10" x14ac:dyDescent="0.3">
      <c r="A172">
        <v>2499</v>
      </c>
      <c r="B172">
        <v>0</v>
      </c>
      <c r="C172">
        <v>0</v>
      </c>
      <c r="D172">
        <v>0</v>
      </c>
      <c r="E172">
        <v>0</v>
      </c>
      <c r="F172">
        <v>0</v>
      </c>
      <c r="G172">
        <v>0</v>
      </c>
      <c r="H172">
        <v>0</v>
      </c>
      <c r="I172" s="2">
        <v>44114</v>
      </c>
      <c r="J172" s="1"/>
    </row>
    <row r="173" spans="1:10" x14ac:dyDescent="0.3">
      <c r="A173">
        <v>2359</v>
      </c>
      <c r="B173">
        <v>0</v>
      </c>
      <c r="C173">
        <v>0</v>
      </c>
      <c r="D173">
        <v>0</v>
      </c>
      <c r="E173">
        <v>0</v>
      </c>
      <c r="F173">
        <v>0</v>
      </c>
      <c r="G173">
        <v>0</v>
      </c>
      <c r="H173">
        <v>0</v>
      </c>
      <c r="I173" s="2">
        <v>44084</v>
      </c>
      <c r="J173" s="1"/>
    </row>
    <row r="174" spans="1:10" x14ac:dyDescent="0.3">
      <c r="A174">
        <v>1376</v>
      </c>
      <c r="B174">
        <v>0</v>
      </c>
      <c r="C174">
        <v>0</v>
      </c>
      <c r="D174">
        <v>0</v>
      </c>
      <c r="E174">
        <v>0</v>
      </c>
      <c r="F174">
        <v>0</v>
      </c>
      <c r="G174">
        <v>0</v>
      </c>
      <c r="H174">
        <v>0</v>
      </c>
      <c r="I174" s="2">
        <v>44053</v>
      </c>
      <c r="J174" s="1"/>
    </row>
    <row r="175" spans="1:10" x14ac:dyDescent="0.3">
      <c r="A175">
        <v>1412</v>
      </c>
      <c r="B175">
        <v>0</v>
      </c>
      <c r="C175">
        <v>0</v>
      </c>
      <c r="D175">
        <v>0</v>
      </c>
      <c r="E175">
        <v>0</v>
      </c>
      <c r="F175">
        <v>0</v>
      </c>
      <c r="G175">
        <v>0</v>
      </c>
      <c r="H175">
        <v>0</v>
      </c>
      <c r="I175" s="2">
        <v>44053</v>
      </c>
      <c r="J175" s="1"/>
    </row>
    <row r="176" spans="1:10" x14ac:dyDescent="0.3">
      <c r="A176">
        <v>1904</v>
      </c>
      <c r="B176">
        <v>0</v>
      </c>
      <c r="C176">
        <v>0</v>
      </c>
      <c r="D176">
        <v>0</v>
      </c>
      <c r="E176">
        <v>0</v>
      </c>
      <c r="F176">
        <v>0</v>
      </c>
      <c r="G176">
        <v>0</v>
      </c>
      <c r="H176">
        <v>0</v>
      </c>
      <c r="I176" s="2">
        <v>44053</v>
      </c>
      <c r="J176" s="1"/>
    </row>
    <row r="177" spans="1:10" x14ac:dyDescent="0.3">
      <c r="A177">
        <v>1909</v>
      </c>
      <c r="B177">
        <v>0</v>
      </c>
      <c r="C177">
        <v>0</v>
      </c>
      <c r="D177">
        <v>0</v>
      </c>
      <c r="E177">
        <v>0</v>
      </c>
      <c r="F177">
        <v>0</v>
      </c>
      <c r="G177">
        <v>0</v>
      </c>
      <c r="H177">
        <v>0</v>
      </c>
      <c r="I177" s="2">
        <v>44053</v>
      </c>
      <c r="J177" s="1"/>
    </row>
    <row r="178" spans="1:10" x14ac:dyDescent="0.3">
      <c r="A178">
        <v>2069</v>
      </c>
      <c r="B178">
        <v>0</v>
      </c>
      <c r="C178">
        <v>0</v>
      </c>
      <c r="D178">
        <v>0</v>
      </c>
      <c r="E178">
        <v>0</v>
      </c>
      <c r="F178">
        <v>0</v>
      </c>
      <c r="G178">
        <v>0</v>
      </c>
      <c r="H178">
        <v>0</v>
      </c>
      <c r="I178" s="2">
        <v>44022</v>
      </c>
      <c r="J178" s="1"/>
    </row>
    <row r="179" spans="1:10" x14ac:dyDescent="0.3">
      <c r="A179">
        <v>2930</v>
      </c>
      <c r="B179">
        <v>0</v>
      </c>
      <c r="C179">
        <v>0</v>
      </c>
      <c r="D179">
        <v>0</v>
      </c>
      <c r="E179">
        <v>0</v>
      </c>
      <c r="F179">
        <v>0</v>
      </c>
      <c r="G179">
        <v>0</v>
      </c>
      <c r="H179">
        <v>0</v>
      </c>
      <c r="I179" s="2">
        <v>44022</v>
      </c>
      <c r="J179" s="1"/>
    </row>
    <row r="180" spans="1:10" x14ac:dyDescent="0.3">
      <c r="A180">
        <v>1735</v>
      </c>
      <c r="B180">
        <v>0</v>
      </c>
      <c r="C180">
        <v>0</v>
      </c>
      <c r="D180">
        <v>0</v>
      </c>
      <c r="E180">
        <v>0</v>
      </c>
      <c r="F180">
        <v>0</v>
      </c>
      <c r="G180">
        <v>0</v>
      </c>
      <c r="H180">
        <v>0</v>
      </c>
      <c r="I180" s="2">
        <v>43992</v>
      </c>
      <c r="J180" s="1"/>
    </row>
    <row r="181" spans="1:10" x14ac:dyDescent="0.3">
      <c r="A181">
        <v>2215</v>
      </c>
      <c r="B181">
        <v>0</v>
      </c>
      <c r="C181">
        <v>0</v>
      </c>
      <c r="D181">
        <v>0</v>
      </c>
      <c r="E181">
        <v>0</v>
      </c>
      <c r="F181">
        <v>0</v>
      </c>
      <c r="G181">
        <v>0</v>
      </c>
      <c r="H181">
        <v>0</v>
      </c>
      <c r="I181" s="2">
        <v>43992</v>
      </c>
      <c r="J181" s="1"/>
    </row>
    <row r="182" spans="1:10" x14ac:dyDescent="0.3">
      <c r="A182">
        <v>2365</v>
      </c>
      <c r="B182">
        <v>0</v>
      </c>
      <c r="C182">
        <v>0</v>
      </c>
      <c r="D182">
        <v>0</v>
      </c>
      <c r="E182">
        <v>0</v>
      </c>
      <c r="F182">
        <v>0</v>
      </c>
      <c r="G182">
        <v>0</v>
      </c>
      <c r="H182">
        <v>0</v>
      </c>
      <c r="I182" s="2">
        <v>43992</v>
      </c>
      <c r="J182" s="1"/>
    </row>
    <row r="183" spans="1:10" x14ac:dyDescent="0.3">
      <c r="A183">
        <v>2620</v>
      </c>
      <c r="B183">
        <v>0</v>
      </c>
      <c r="C183">
        <v>0</v>
      </c>
      <c r="D183">
        <v>0</v>
      </c>
      <c r="E183">
        <v>0</v>
      </c>
      <c r="F183">
        <v>0</v>
      </c>
      <c r="G183">
        <v>0</v>
      </c>
      <c r="H183">
        <v>0</v>
      </c>
      <c r="I183" s="2">
        <v>43992</v>
      </c>
      <c r="J183" s="1"/>
    </row>
    <row r="184" spans="1:10" x14ac:dyDescent="0.3">
      <c r="A184">
        <v>2774</v>
      </c>
      <c r="B184">
        <v>0</v>
      </c>
      <c r="C184">
        <v>0</v>
      </c>
      <c r="D184">
        <v>0</v>
      </c>
      <c r="E184">
        <v>0</v>
      </c>
      <c r="F184">
        <v>0</v>
      </c>
      <c r="G184">
        <v>0</v>
      </c>
      <c r="H184">
        <v>0</v>
      </c>
      <c r="I184" s="2">
        <v>43992</v>
      </c>
      <c r="J184" s="1"/>
    </row>
    <row r="185" spans="1:10" x14ac:dyDescent="0.3">
      <c r="A185">
        <v>2866</v>
      </c>
      <c r="B185">
        <v>1</v>
      </c>
      <c r="C185">
        <v>0</v>
      </c>
      <c r="D185">
        <v>1</v>
      </c>
      <c r="E185">
        <v>1</v>
      </c>
      <c r="F185">
        <v>0</v>
      </c>
      <c r="G185">
        <v>0</v>
      </c>
      <c r="H185">
        <v>0</v>
      </c>
      <c r="I185" s="2">
        <v>43992</v>
      </c>
      <c r="J185" s="1"/>
    </row>
    <row r="186" spans="1:10" x14ac:dyDescent="0.3">
      <c r="A186">
        <v>3061</v>
      </c>
      <c r="B186">
        <v>0</v>
      </c>
      <c r="C186">
        <v>0</v>
      </c>
      <c r="D186">
        <v>0</v>
      </c>
      <c r="E186">
        <v>0</v>
      </c>
      <c r="F186">
        <v>0</v>
      </c>
      <c r="G186">
        <v>0</v>
      </c>
      <c r="H186">
        <v>0</v>
      </c>
      <c r="I186" s="2">
        <v>43992</v>
      </c>
      <c r="J186" s="1"/>
    </row>
    <row r="187" spans="1:10" x14ac:dyDescent="0.3">
      <c r="A187">
        <v>2047</v>
      </c>
      <c r="B187">
        <v>1</v>
      </c>
      <c r="C187">
        <v>0</v>
      </c>
      <c r="D187">
        <v>0</v>
      </c>
      <c r="E187">
        <v>1</v>
      </c>
      <c r="F187">
        <v>0</v>
      </c>
      <c r="G187">
        <v>0</v>
      </c>
      <c r="H187">
        <v>1</v>
      </c>
      <c r="I187" s="2">
        <v>43961</v>
      </c>
      <c r="J187" s="1"/>
    </row>
    <row r="188" spans="1:10" x14ac:dyDescent="0.3">
      <c r="A188">
        <v>3180</v>
      </c>
      <c r="B188">
        <v>0</v>
      </c>
      <c r="C188">
        <v>0</v>
      </c>
      <c r="D188">
        <v>0</v>
      </c>
      <c r="E188">
        <v>0</v>
      </c>
      <c r="F188">
        <v>0</v>
      </c>
      <c r="G188">
        <v>0</v>
      </c>
      <c r="H188">
        <v>0</v>
      </c>
      <c r="I188" s="2">
        <v>43961</v>
      </c>
      <c r="J188" s="1"/>
    </row>
    <row r="189" spans="1:10" x14ac:dyDescent="0.3">
      <c r="A189">
        <v>1069</v>
      </c>
      <c r="B189">
        <v>0</v>
      </c>
      <c r="C189">
        <v>0</v>
      </c>
      <c r="D189">
        <v>0</v>
      </c>
      <c r="E189">
        <v>0</v>
      </c>
      <c r="F189">
        <v>0</v>
      </c>
      <c r="G189">
        <v>0</v>
      </c>
      <c r="H189">
        <v>0</v>
      </c>
      <c r="I189" s="2">
        <v>43931</v>
      </c>
      <c r="J189" s="1"/>
    </row>
    <row r="190" spans="1:10" x14ac:dyDescent="0.3">
      <c r="A190">
        <v>1264</v>
      </c>
      <c r="B190">
        <v>0</v>
      </c>
      <c r="C190">
        <v>0</v>
      </c>
      <c r="D190">
        <v>0</v>
      </c>
      <c r="E190">
        <v>0</v>
      </c>
      <c r="F190">
        <v>0</v>
      </c>
      <c r="G190">
        <v>0</v>
      </c>
      <c r="H190">
        <v>0</v>
      </c>
      <c r="I190" s="2">
        <v>43931</v>
      </c>
      <c r="J190" s="1"/>
    </row>
    <row r="191" spans="1:10" x14ac:dyDescent="0.3">
      <c r="A191">
        <v>1874</v>
      </c>
      <c r="B191">
        <v>0</v>
      </c>
      <c r="C191">
        <v>0</v>
      </c>
      <c r="D191">
        <v>0</v>
      </c>
      <c r="E191">
        <v>0</v>
      </c>
      <c r="F191">
        <v>0</v>
      </c>
      <c r="G191">
        <v>0</v>
      </c>
      <c r="H191">
        <v>0</v>
      </c>
      <c r="I191" s="2">
        <v>43931</v>
      </c>
      <c r="J191" s="1"/>
    </row>
    <row r="192" spans="1:10" x14ac:dyDescent="0.3">
      <c r="A192">
        <v>2856</v>
      </c>
      <c r="B192">
        <v>1</v>
      </c>
      <c r="C192">
        <v>0</v>
      </c>
      <c r="D192">
        <v>0</v>
      </c>
      <c r="E192">
        <v>0</v>
      </c>
      <c r="F192">
        <v>0</v>
      </c>
      <c r="G192">
        <v>0</v>
      </c>
      <c r="H192">
        <v>1</v>
      </c>
      <c r="I192" s="2">
        <v>43931</v>
      </c>
      <c r="J192" s="1"/>
    </row>
    <row r="193" spans="1:10" x14ac:dyDescent="0.3">
      <c r="A193">
        <v>1684</v>
      </c>
      <c r="B193">
        <v>0</v>
      </c>
      <c r="C193">
        <v>1</v>
      </c>
      <c r="D193">
        <v>1</v>
      </c>
      <c r="E193">
        <v>1</v>
      </c>
      <c r="F193">
        <v>0</v>
      </c>
      <c r="G193">
        <v>0</v>
      </c>
      <c r="H193">
        <v>1</v>
      </c>
      <c r="I193" s="2">
        <v>43900</v>
      </c>
      <c r="J193" s="1"/>
    </row>
    <row r="194" spans="1:10" x14ac:dyDescent="0.3">
      <c r="A194">
        <v>1716</v>
      </c>
      <c r="B194">
        <v>0</v>
      </c>
      <c r="C194">
        <v>1</v>
      </c>
      <c r="D194">
        <v>1</v>
      </c>
      <c r="E194">
        <v>1</v>
      </c>
      <c r="F194">
        <v>0</v>
      </c>
      <c r="G194">
        <v>0</v>
      </c>
      <c r="H194">
        <v>1</v>
      </c>
      <c r="I194" s="2">
        <v>43900</v>
      </c>
      <c r="J194" s="1"/>
    </row>
    <row r="195" spans="1:10" x14ac:dyDescent="0.3">
      <c r="A195">
        <v>2350</v>
      </c>
      <c r="B195">
        <v>0</v>
      </c>
      <c r="C195">
        <v>0</v>
      </c>
      <c r="D195">
        <v>0</v>
      </c>
      <c r="E195">
        <v>0</v>
      </c>
      <c r="F195">
        <v>0</v>
      </c>
      <c r="G195">
        <v>0</v>
      </c>
      <c r="H195">
        <v>0</v>
      </c>
      <c r="I195" s="2">
        <v>43900</v>
      </c>
      <c r="J195" s="1"/>
    </row>
    <row r="196" spans="1:10" x14ac:dyDescent="0.3">
      <c r="A196">
        <v>3124</v>
      </c>
      <c r="B196">
        <v>0</v>
      </c>
      <c r="C196">
        <v>0</v>
      </c>
      <c r="D196">
        <v>0</v>
      </c>
      <c r="E196">
        <v>0</v>
      </c>
      <c r="F196">
        <v>0</v>
      </c>
      <c r="G196">
        <v>0</v>
      </c>
      <c r="H196">
        <v>0</v>
      </c>
      <c r="I196" s="2">
        <v>43900</v>
      </c>
      <c r="J196" s="1"/>
    </row>
    <row r="197" spans="1:10" x14ac:dyDescent="0.3">
      <c r="A197">
        <v>1054</v>
      </c>
      <c r="B197">
        <v>0</v>
      </c>
      <c r="C197">
        <v>0</v>
      </c>
      <c r="D197">
        <v>0</v>
      </c>
      <c r="E197">
        <v>0</v>
      </c>
      <c r="F197">
        <v>0</v>
      </c>
      <c r="G197">
        <v>0</v>
      </c>
      <c r="H197">
        <v>0</v>
      </c>
      <c r="I197" s="2">
        <v>43871</v>
      </c>
      <c r="J197" s="1"/>
    </row>
    <row r="198" spans="1:10" x14ac:dyDescent="0.3">
      <c r="A198">
        <v>2337</v>
      </c>
      <c r="B198">
        <v>0</v>
      </c>
      <c r="C198">
        <v>0</v>
      </c>
      <c r="D198">
        <v>0</v>
      </c>
      <c r="E198">
        <v>0</v>
      </c>
      <c r="F198">
        <v>0</v>
      </c>
      <c r="G198">
        <v>0</v>
      </c>
      <c r="H198">
        <v>0</v>
      </c>
      <c r="I198" s="2">
        <v>43871</v>
      </c>
      <c r="J198" s="1"/>
    </row>
    <row r="199" spans="1:10" x14ac:dyDescent="0.3">
      <c r="A199">
        <v>2553</v>
      </c>
      <c r="B199">
        <v>0</v>
      </c>
      <c r="C199">
        <v>1</v>
      </c>
      <c r="D199">
        <v>1</v>
      </c>
      <c r="E199">
        <v>0</v>
      </c>
      <c r="F199">
        <v>0</v>
      </c>
      <c r="G199">
        <v>0</v>
      </c>
      <c r="H199">
        <v>0</v>
      </c>
      <c r="I199" s="2">
        <v>43871</v>
      </c>
      <c r="J199" s="1"/>
    </row>
    <row r="200" spans="1:10" x14ac:dyDescent="0.3">
      <c r="A200">
        <v>2783</v>
      </c>
      <c r="B200">
        <v>0</v>
      </c>
      <c r="C200">
        <v>0</v>
      </c>
      <c r="D200">
        <v>0</v>
      </c>
      <c r="E200">
        <v>0</v>
      </c>
      <c r="F200">
        <v>0</v>
      </c>
      <c r="G200">
        <v>0</v>
      </c>
      <c r="H200">
        <v>1</v>
      </c>
      <c r="I200" s="2">
        <v>43871</v>
      </c>
      <c r="J200" s="1"/>
    </row>
    <row r="201" spans="1:10" x14ac:dyDescent="0.3">
      <c r="A201">
        <v>2489</v>
      </c>
      <c r="B201">
        <v>0</v>
      </c>
      <c r="C201">
        <v>0</v>
      </c>
      <c r="D201">
        <v>0</v>
      </c>
      <c r="E201">
        <v>0</v>
      </c>
      <c r="F201">
        <v>0</v>
      </c>
      <c r="G201">
        <v>0</v>
      </c>
      <c r="H201">
        <v>0</v>
      </c>
      <c r="I201" s="2">
        <v>43840</v>
      </c>
      <c r="J201" s="1"/>
    </row>
    <row r="202" spans="1:10" x14ac:dyDescent="0.3">
      <c r="A202">
        <v>2072</v>
      </c>
      <c r="B202">
        <v>0</v>
      </c>
      <c r="C202">
        <v>0</v>
      </c>
      <c r="D202">
        <v>0</v>
      </c>
      <c r="E202">
        <v>0</v>
      </c>
      <c r="F202">
        <v>0</v>
      </c>
      <c r="G202">
        <v>0</v>
      </c>
      <c r="H202">
        <v>0</v>
      </c>
      <c r="I202" s="2" t="s">
        <v>56</v>
      </c>
    </row>
    <row r="203" spans="1:10" x14ac:dyDescent="0.3">
      <c r="A203">
        <v>2575</v>
      </c>
      <c r="B203">
        <v>0</v>
      </c>
      <c r="C203">
        <v>0</v>
      </c>
      <c r="D203">
        <v>0</v>
      </c>
      <c r="E203">
        <v>0</v>
      </c>
      <c r="F203">
        <v>0</v>
      </c>
      <c r="G203">
        <v>0</v>
      </c>
      <c r="H203">
        <v>0</v>
      </c>
      <c r="I203" s="2" t="s">
        <v>57</v>
      </c>
    </row>
    <row r="204" spans="1:10" x14ac:dyDescent="0.3">
      <c r="A204">
        <v>2918</v>
      </c>
      <c r="B204">
        <v>0</v>
      </c>
      <c r="C204">
        <v>0</v>
      </c>
      <c r="D204">
        <v>0</v>
      </c>
      <c r="E204">
        <v>0</v>
      </c>
      <c r="F204">
        <v>0</v>
      </c>
      <c r="G204">
        <v>0</v>
      </c>
      <c r="H204">
        <v>0</v>
      </c>
      <c r="I204" s="2" t="s">
        <v>57</v>
      </c>
    </row>
    <row r="205" spans="1:10" x14ac:dyDescent="0.3">
      <c r="A205">
        <v>1140</v>
      </c>
      <c r="B205">
        <v>0</v>
      </c>
      <c r="C205">
        <v>0</v>
      </c>
      <c r="D205">
        <v>0</v>
      </c>
      <c r="E205">
        <v>0</v>
      </c>
      <c r="F205">
        <v>0</v>
      </c>
      <c r="G205">
        <v>0</v>
      </c>
      <c r="H205">
        <v>0</v>
      </c>
      <c r="I205" s="2" t="s">
        <v>58</v>
      </c>
    </row>
    <row r="206" spans="1:10" x14ac:dyDescent="0.3">
      <c r="A206">
        <v>1410</v>
      </c>
      <c r="B206">
        <v>0</v>
      </c>
      <c r="C206">
        <v>1</v>
      </c>
      <c r="D206">
        <v>1</v>
      </c>
      <c r="E206">
        <v>1</v>
      </c>
      <c r="F206">
        <v>0</v>
      </c>
      <c r="G206">
        <v>0</v>
      </c>
      <c r="H206">
        <v>0</v>
      </c>
      <c r="I206" s="2" t="s">
        <v>58</v>
      </c>
    </row>
    <row r="207" spans="1:10" x14ac:dyDescent="0.3">
      <c r="A207">
        <v>1742</v>
      </c>
      <c r="B207">
        <v>0</v>
      </c>
      <c r="C207">
        <v>0</v>
      </c>
      <c r="D207">
        <v>0</v>
      </c>
      <c r="E207">
        <v>0</v>
      </c>
      <c r="F207">
        <v>0</v>
      </c>
      <c r="G207">
        <v>0</v>
      </c>
      <c r="H207">
        <v>0</v>
      </c>
      <c r="I207" s="2" t="s">
        <v>58</v>
      </c>
    </row>
    <row r="208" spans="1:10" x14ac:dyDescent="0.3">
      <c r="A208">
        <v>2108</v>
      </c>
      <c r="B208">
        <v>0</v>
      </c>
      <c r="C208">
        <v>0</v>
      </c>
      <c r="D208">
        <v>0</v>
      </c>
      <c r="E208">
        <v>0</v>
      </c>
      <c r="F208">
        <v>0</v>
      </c>
      <c r="G208">
        <v>0</v>
      </c>
      <c r="H208">
        <v>0</v>
      </c>
      <c r="I208" s="2" t="s">
        <v>58</v>
      </c>
    </row>
    <row r="209" spans="1:9" x14ac:dyDescent="0.3">
      <c r="A209">
        <v>2711</v>
      </c>
      <c r="B209">
        <v>0</v>
      </c>
      <c r="C209">
        <v>0</v>
      </c>
      <c r="D209">
        <v>0</v>
      </c>
      <c r="E209">
        <v>0</v>
      </c>
      <c r="F209">
        <v>0</v>
      </c>
      <c r="G209">
        <v>0</v>
      </c>
      <c r="H209">
        <v>0</v>
      </c>
      <c r="I209" s="2" t="s">
        <v>58</v>
      </c>
    </row>
    <row r="210" spans="1:9" x14ac:dyDescent="0.3">
      <c r="A210">
        <v>2715</v>
      </c>
      <c r="B210">
        <v>0</v>
      </c>
      <c r="C210">
        <v>1</v>
      </c>
      <c r="D210">
        <v>0</v>
      </c>
      <c r="E210">
        <v>0</v>
      </c>
      <c r="F210">
        <v>0</v>
      </c>
      <c r="G210">
        <v>0</v>
      </c>
      <c r="H210">
        <v>0</v>
      </c>
      <c r="I210" s="2" t="s">
        <v>58</v>
      </c>
    </row>
    <row r="211" spans="1:9" x14ac:dyDescent="0.3">
      <c r="A211">
        <v>2021</v>
      </c>
      <c r="B211">
        <v>1</v>
      </c>
      <c r="C211">
        <v>0</v>
      </c>
      <c r="D211">
        <v>0</v>
      </c>
      <c r="E211">
        <v>0</v>
      </c>
      <c r="F211">
        <v>0</v>
      </c>
      <c r="G211">
        <v>0</v>
      </c>
      <c r="H211">
        <v>0</v>
      </c>
      <c r="I211" s="2" t="s">
        <v>59</v>
      </c>
    </row>
    <row r="212" spans="1:9" x14ac:dyDescent="0.3">
      <c r="A212">
        <v>2414</v>
      </c>
      <c r="B212">
        <v>0</v>
      </c>
      <c r="C212">
        <v>0</v>
      </c>
      <c r="D212">
        <v>0</v>
      </c>
      <c r="E212">
        <v>0</v>
      </c>
      <c r="F212">
        <v>0</v>
      </c>
      <c r="G212">
        <v>0</v>
      </c>
      <c r="H212">
        <v>0</v>
      </c>
      <c r="I212" s="2" t="s">
        <v>59</v>
      </c>
    </row>
    <row r="213" spans="1:9" x14ac:dyDescent="0.3">
      <c r="A213">
        <v>2559</v>
      </c>
      <c r="B213">
        <v>0</v>
      </c>
      <c r="C213">
        <v>0</v>
      </c>
      <c r="D213">
        <v>0</v>
      </c>
      <c r="E213">
        <v>0</v>
      </c>
      <c r="F213">
        <v>0</v>
      </c>
      <c r="G213">
        <v>0</v>
      </c>
      <c r="H213">
        <v>0</v>
      </c>
      <c r="I213" s="2" t="s">
        <v>59</v>
      </c>
    </row>
    <row r="214" spans="1:9" x14ac:dyDescent="0.3">
      <c r="A214">
        <v>2817</v>
      </c>
      <c r="B214">
        <v>0</v>
      </c>
      <c r="C214">
        <v>0</v>
      </c>
      <c r="D214">
        <v>0</v>
      </c>
      <c r="E214">
        <v>0</v>
      </c>
      <c r="F214">
        <v>0</v>
      </c>
      <c r="G214">
        <v>0</v>
      </c>
      <c r="H214">
        <v>0</v>
      </c>
      <c r="I214" s="2" t="s">
        <v>59</v>
      </c>
    </row>
    <row r="215" spans="1:9" x14ac:dyDescent="0.3">
      <c r="A215">
        <v>3150</v>
      </c>
      <c r="B215">
        <v>0</v>
      </c>
      <c r="C215">
        <v>0</v>
      </c>
      <c r="D215">
        <v>0</v>
      </c>
      <c r="E215">
        <v>0</v>
      </c>
      <c r="F215">
        <v>0</v>
      </c>
      <c r="G215">
        <v>0</v>
      </c>
      <c r="H215">
        <v>0</v>
      </c>
      <c r="I215" s="2" t="s">
        <v>59</v>
      </c>
    </row>
    <row r="216" spans="1:9" x14ac:dyDescent="0.3">
      <c r="A216">
        <v>1354</v>
      </c>
      <c r="B216">
        <v>0</v>
      </c>
      <c r="C216">
        <v>0</v>
      </c>
      <c r="D216">
        <v>0</v>
      </c>
      <c r="E216">
        <v>0</v>
      </c>
      <c r="F216">
        <v>0</v>
      </c>
      <c r="G216">
        <v>0</v>
      </c>
      <c r="H216">
        <v>0</v>
      </c>
      <c r="I216" s="2" t="s">
        <v>60</v>
      </c>
    </row>
    <row r="217" spans="1:9" x14ac:dyDescent="0.3">
      <c r="A217">
        <v>1159</v>
      </c>
      <c r="B217">
        <v>0</v>
      </c>
      <c r="C217">
        <v>0</v>
      </c>
      <c r="D217">
        <v>0</v>
      </c>
      <c r="E217">
        <v>0</v>
      </c>
      <c r="F217">
        <v>0</v>
      </c>
      <c r="G217">
        <v>0</v>
      </c>
      <c r="H217">
        <v>0</v>
      </c>
      <c r="I217" s="2" t="s">
        <v>61</v>
      </c>
    </row>
    <row r="218" spans="1:9" x14ac:dyDescent="0.3">
      <c r="A218">
        <v>1161</v>
      </c>
      <c r="B218">
        <v>0</v>
      </c>
      <c r="C218">
        <v>0</v>
      </c>
      <c r="D218">
        <v>0</v>
      </c>
      <c r="E218">
        <v>0</v>
      </c>
      <c r="F218">
        <v>0</v>
      </c>
      <c r="G218">
        <v>0</v>
      </c>
      <c r="H218">
        <v>0</v>
      </c>
      <c r="I218" s="2" t="s">
        <v>61</v>
      </c>
    </row>
    <row r="219" spans="1:9" x14ac:dyDescent="0.3">
      <c r="A219">
        <v>2378</v>
      </c>
      <c r="B219">
        <v>0</v>
      </c>
      <c r="C219">
        <v>0</v>
      </c>
      <c r="D219">
        <v>0</v>
      </c>
      <c r="E219">
        <v>0</v>
      </c>
      <c r="F219">
        <v>0</v>
      </c>
      <c r="G219">
        <v>0</v>
      </c>
      <c r="H219">
        <v>0</v>
      </c>
      <c r="I219" s="2" t="s">
        <v>61</v>
      </c>
    </row>
    <row r="220" spans="1:9" x14ac:dyDescent="0.3">
      <c r="A220">
        <v>3164</v>
      </c>
      <c r="B220">
        <v>0</v>
      </c>
      <c r="C220">
        <v>0</v>
      </c>
      <c r="D220">
        <v>0</v>
      </c>
      <c r="E220">
        <v>0</v>
      </c>
      <c r="F220">
        <v>0</v>
      </c>
      <c r="G220">
        <v>0</v>
      </c>
      <c r="H220">
        <v>0</v>
      </c>
      <c r="I220" s="2" t="s">
        <v>61</v>
      </c>
    </row>
    <row r="221" spans="1:9" x14ac:dyDescent="0.3">
      <c r="A221">
        <v>2173</v>
      </c>
      <c r="B221">
        <v>0</v>
      </c>
      <c r="C221">
        <v>0</v>
      </c>
      <c r="D221">
        <v>0</v>
      </c>
      <c r="E221">
        <v>0</v>
      </c>
      <c r="F221">
        <v>0</v>
      </c>
      <c r="G221">
        <v>0</v>
      </c>
      <c r="H221">
        <v>0</v>
      </c>
      <c r="I221" s="2" t="s">
        <v>62</v>
      </c>
    </row>
    <row r="222" spans="1:9" x14ac:dyDescent="0.3">
      <c r="A222">
        <v>2224</v>
      </c>
      <c r="B222">
        <v>0</v>
      </c>
      <c r="C222">
        <v>0</v>
      </c>
      <c r="D222">
        <v>0</v>
      </c>
      <c r="E222">
        <v>0</v>
      </c>
      <c r="F222">
        <v>0</v>
      </c>
      <c r="G222">
        <v>0</v>
      </c>
      <c r="H222">
        <v>0</v>
      </c>
      <c r="I222" s="2" t="s">
        <v>62</v>
      </c>
    </row>
    <row r="223" spans="1:9" x14ac:dyDescent="0.3">
      <c r="A223">
        <v>2317</v>
      </c>
      <c r="B223">
        <v>0</v>
      </c>
      <c r="C223">
        <v>0</v>
      </c>
      <c r="D223">
        <v>0</v>
      </c>
      <c r="E223">
        <v>0</v>
      </c>
      <c r="F223">
        <v>0</v>
      </c>
      <c r="G223">
        <v>0</v>
      </c>
      <c r="H223">
        <v>0</v>
      </c>
      <c r="I223" s="2" t="s">
        <v>62</v>
      </c>
    </row>
    <row r="224" spans="1:9" x14ac:dyDescent="0.3">
      <c r="A224">
        <v>2885</v>
      </c>
      <c r="B224">
        <v>0</v>
      </c>
      <c r="C224">
        <v>0</v>
      </c>
      <c r="D224">
        <v>0</v>
      </c>
      <c r="E224">
        <v>0</v>
      </c>
      <c r="F224">
        <v>0</v>
      </c>
      <c r="G224">
        <v>0</v>
      </c>
      <c r="H224">
        <v>0</v>
      </c>
      <c r="I224" s="2" t="s">
        <v>62</v>
      </c>
    </row>
    <row r="225" spans="1:9" x14ac:dyDescent="0.3">
      <c r="A225">
        <v>1996</v>
      </c>
      <c r="B225">
        <v>0</v>
      </c>
      <c r="C225">
        <v>0</v>
      </c>
      <c r="D225">
        <v>0</v>
      </c>
      <c r="E225">
        <v>0</v>
      </c>
      <c r="F225">
        <v>0</v>
      </c>
      <c r="G225">
        <v>0</v>
      </c>
      <c r="H225">
        <v>0</v>
      </c>
      <c r="I225" s="2" t="s">
        <v>63</v>
      </c>
    </row>
    <row r="226" spans="1:9" x14ac:dyDescent="0.3">
      <c r="A226">
        <v>2849</v>
      </c>
      <c r="B226">
        <v>0</v>
      </c>
      <c r="C226">
        <v>0</v>
      </c>
      <c r="D226">
        <v>0</v>
      </c>
      <c r="E226">
        <v>0</v>
      </c>
      <c r="F226">
        <v>0</v>
      </c>
      <c r="G226">
        <v>0</v>
      </c>
      <c r="H226">
        <v>0</v>
      </c>
      <c r="I226" s="2" t="s">
        <v>63</v>
      </c>
    </row>
    <row r="227" spans="1:9" x14ac:dyDescent="0.3">
      <c r="A227">
        <v>1569</v>
      </c>
      <c r="B227">
        <v>0</v>
      </c>
      <c r="C227">
        <v>0</v>
      </c>
      <c r="D227">
        <v>0</v>
      </c>
      <c r="E227">
        <v>0</v>
      </c>
      <c r="F227">
        <v>0</v>
      </c>
      <c r="G227">
        <v>0</v>
      </c>
      <c r="H227">
        <v>0</v>
      </c>
      <c r="I227" s="2" t="s">
        <v>64</v>
      </c>
    </row>
    <row r="228" spans="1:9" x14ac:dyDescent="0.3">
      <c r="A228">
        <v>1995</v>
      </c>
      <c r="B228">
        <v>0</v>
      </c>
      <c r="C228">
        <v>0</v>
      </c>
      <c r="D228">
        <v>0</v>
      </c>
      <c r="E228">
        <v>0</v>
      </c>
      <c r="F228">
        <v>0</v>
      </c>
      <c r="G228">
        <v>0</v>
      </c>
      <c r="H228">
        <v>0</v>
      </c>
      <c r="I228" s="2" t="s">
        <v>64</v>
      </c>
    </row>
    <row r="229" spans="1:9" x14ac:dyDescent="0.3">
      <c r="A229">
        <v>2306</v>
      </c>
      <c r="B229">
        <v>0</v>
      </c>
      <c r="C229">
        <v>0</v>
      </c>
      <c r="D229">
        <v>0</v>
      </c>
      <c r="E229">
        <v>0</v>
      </c>
      <c r="F229">
        <v>0</v>
      </c>
      <c r="G229">
        <v>0</v>
      </c>
      <c r="H229">
        <v>0</v>
      </c>
      <c r="I229" s="2" t="s">
        <v>64</v>
      </c>
    </row>
    <row r="230" spans="1:9" x14ac:dyDescent="0.3">
      <c r="A230">
        <v>2700</v>
      </c>
      <c r="B230">
        <v>0</v>
      </c>
      <c r="C230">
        <v>0</v>
      </c>
      <c r="D230">
        <v>0</v>
      </c>
      <c r="E230">
        <v>0</v>
      </c>
      <c r="F230">
        <v>0</v>
      </c>
      <c r="G230">
        <v>0</v>
      </c>
      <c r="H230">
        <v>1</v>
      </c>
      <c r="I230" s="2" t="s">
        <v>64</v>
      </c>
    </row>
    <row r="231" spans="1:9" x14ac:dyDescent="0.3">
      <c r="A231">
        <v>2857</v>
      </c>
      <c r="B231">
        <v>0</v>
      </c>
      <c r="C231">
        <v>0</v>
      </c>
      <c r="D231">
        <v>0</v>
      </c>
      <c r="E231">
        <v>0</v>
      </c>
      <c r="F231">
        <v>0</v>
      </c>
      <c r="G231">
        <v>0</v>
      </c>
      <c r="H231">
        <v>0</v>
      </c>
      <c r="I231" s="2" t="s">
        <v>64</v>
      </c>
    </row>
    <row r="232" spans="1:9" x14ac:dyDescent="0.3">
      <c r="A232">
        <v>1271</v>
      </c>
      <c r="B232">
        <v>0</v>
      </c>
      <c r="C232">
        <v>0</v>
      </c>
      <c r="D232">
        <v>0</v>
      </c>
      <c r="E232">
        <v>0</v>
      </c>
      <c r="F232">
        <v>0</v>
      </c>
      <c r="G232">
        <v>0</v>
      </c>
      <c r="H232">
        <v>0</v>
      </c>
      <c r="I232" s="2" t="s">
        <v>65</v>
      </c>
    </row>
    <row r="233" spans="1:9" x14ac:dyDescent="0.3">
      <c r="A233">
        <v>2217</v>
      </c>
      <c r="B233">
        <v>0</v>
      </c>
      <c r="C233">
        <v>0</v>
      </c>
      <c r="D233">
        <v>0</v>
      </c>
      <c r="E233">
        <v>0</v>
      </c>
      <c r="F233">
        <v>0</v>
      </c>
      <c r="G233">
        <v>0</v>
      </c>
      <c r="H233">
        <v>0</v>
      </c>
      <c r="I233" s="2" t="s">
        <v>65</v>
      </c>
    </row>
    <row r="234" spans="1:9" x14ac:dyDescent="0.3">
      <c r="A234">
        <v>1221</v>
      </c>
      <c r="B234">
        <v>0</v>
      </c>
      <c r="C234">
        <v>0</v>
      </c>
      <c r="D234">
        <v>0</v>
      </c>
      <c r="E234">
        <v>0</v>
      </c>
      <c r="F234">
        <v>0</v>
      </c>
      <c r="G234">
        <v>0</v>
      </c>
      <c r="H234">
        <v>0</v>
      </c>
      <c r="I234" s="2" t="s">
        <v>66</v>
      </c>
    </row>
    <row r="235" spans="1:9" x14ac:dyDescent="0.3">
      <c r="A235">
        <v>1287</v>
      </c>
      <c r="B235">
        <v>0</v>
      </c>
      <c r="C235">
        <v>0</v>
      </c>
      <c r="D235">
        <v>0</v>
      </c>
      <c r="E235">
        <v>0</v>
      </c>
      <c r="F235">
        <v>0</v>
      </c>
      <c r="G235">
        <v>0</v>
      </c>
      <c r="H235">
        <v>0</v>
      </c>
      <c r="I235" s="2" t="s">
        <v>66</v>
      </c>
    </row>
    <row r="236" spans="1:9" x14ac:dyDescent="0.3">
      <c r="A236">
        <v>2772</v>
      </c>
      <c r="B236">
        <v>0</v>
      </c>
      <c r="C236">
        <v>0</v>
      </c>
      <c r="D236">
        <v>0</v>
      </c>
      <c r="E236">
        <v>0</v>
      </c>
      <c r="F236">
        <v>0</v>
      </c>
      <c r="G236">
        <v>0</v>
      </c>
      <c r="H236">
        <v>0</v>
      </c>
      <c r="I236" s="2" t="s">
        <v>66</v>
      </c>
    </row>
    <row r="237" spans="1:9" x14ac:dyDescent="0.3">
      <c r="A237">
        <v>2847</v>
      </c>
      <c r="B237">
        <v>0</v>
      </c>
      <c r="C237">
        <v>0</v>
      </c>
      <c r="D237">
        <v>0</v>
      </c>
      <c r="E237">
        <v>0</v>
      </c>
      <c r="F237">
        <v>0</v>
      </c>
      <c r="G237">
        <v>0</v>
      </c>
      <c r="H237">
        <v>0</v>
      </c>
      <c r="I237" s="2" t="s">
        <v>66</v>
      </c>
    </row>
    <row r="238" spans="1:9" x14ac:dyDescent="0.3">
      <c r="A238">
        <v>2543</v>
      </c>
      <c r="B238">
        <v>0</v>
      </c>
      <c r="C238">
        <v>0</v>
      </c>
      <c r="D238">
        <v>0</v>
      </c>
      <c r="E238">
        <v>0</v>
      </c>
      <c r="F238">
        <v>0</v>
      </c>
      <c r="G238">
        <v>0</v>
      </c>
      <c r="H238">
        <v>0</v>
      </c>
      <c r="I238" s="2" t="s">
        <v>67</v>
      </c>
    </row>
    <row r="239" spans="1:9" x14ac:dyDescent="0.3">
      <c r="A239">
        <v>1210</v>
      </c>
      <c r="B239">
        <v>0</v>
      </c>
      <c r="C239">
        <v>0</v>
      </c>
      <c r="D239">
        <v>0</v>
      </c>
      <c r="E239">
        <v>0</v>
      </c>
      <c r="F239">
        <v>0</v>
      </c>
      <c r="G239">
        <v>0</v>
      </c>
      <c r="H239">
        <v>0</v>
      </c>
      <c r="I239" s="2" t="s">
        <v>68</v>
      </c>
    </row>
    <row r="240" spans="1:9" x14ac:dyDescent="0.3">
      <c r="A240">
        <v>1762</v>
      </c>
      <c r="B240">
        <v>0</v>
      </c>
      <c r="C240">
        <v>0</v>
      </c>
      <c r="D240">
        <v>0</v>
      </c>
      <c r="E240">
        <v>0</v>
      </c>
      <c r="F240">
        <v>0</v>
      </c>
      <c r="G240">
        <v>0</v>
      </c>
      <c r="H240">
        <v>0</v>
      </c>
      <c r="I240" s="2" t="s">
        <v>68</v>
      </c>
    </row>
    <row r="241" spans="1:10" x14ac:dyDescent="0.3">
      <c r="A241">
        <v>1290</v>
      </c>
      <c r="B241">
        <v>0</v>
      </c>
      <c r="C241">
        <v>0</v>
      </c>
      <c r="D241">
        <v>0</v>
      </c>
      <c r="E241">
        <v>0</v>
      </c>
      <c r="F241">
        <v>0</v>
      </c>
      <c r="G241">
        <v>0</v>
      </c>
      <c r="H241">
        <v>0</v>
      </c>
      <c r="I241" s="2" t="s">
        <v>69</v>
      </c>
    </row>
    <row r="242" spans="1:10" x14ac:dyDescent="0.3">
      <c r="A242">
        <v>1636</v>
      </c>
      <c r="B242">
        <v>0</v>
      </c>
      <c r="C242">
        <v>0</v>
      </c>
      <c r="D242">
        <v>0</v>
      </c>
      <c r="E242">
        <v>0</v>
      </c>
      <c r="F242">
        <v>0</v>
      </c>
      <c r="G242">
        <v>0</v>
      </c>
      <c r="H242">
        <v>0</v>
      </c>
      <c r="I242" s="2" t="s">
        <v>69</v>
      </c>
    </row>
    <row r="243" spans="1:10" x14ac:dyDescent="0.3">
      <c r="A243">
        <v>1901</v>
      </c>
      <c r="B243">
        <v>1</v>
      </c>
      <c r="C243">
        <v>0</v>
      </c>
      <c r="D243">
        <v>0</v>
      </c>
      <c r="E243">
        <v>0</v>
      </c>
      <c r="F243">
        <v>1</v>
      </c>
      <c r="G243">
        <v>0</v>
      </c>
      <c r="H243">
        <v>0</v>
      </c>
      <c r="I243" s="2" t="s">
        <v>69</v>
      </c>
    </row>
    <row r="244" spans="1:10" x14ac:dyDescent="0.3">
      <c r="A244">
        <v>2438</v>
      </c>
      <c r="B244">
        <v>1</v>
      </c>
      <c r="C244">
        <v>0</v>
      </c>
      <c r="D244">
        <v>0</v>
      </c>
      <c r="E244">
        <v>0</v>
      </c>
      <c r="F244">
        <v>1</v>
      </c>
      <c r="G244">
        <v>0</v>
      </c>
      <c r="H244">
        <v>0</v>
      </c>
      <c r="I244" s="2" t="s">
        <v>69</v>
      </c>
    </row>
    <row r="245" spans="1:10" x14ac:dyDescent="0.3">
      <c r="A245">
        <v>2876</v>
      </c>
      <c r="B245">
        <v>0</v>
      </c>
      <c r="C245">
        <v>0</v>
      </c>
      <c r="D245">
        <v>0</v>
      </c>
      <c r="E245">
        <v>0</v>
      </c>
      <c r="F245">
        <v>0</v>
      </c>
      <c r="G245">
        <v>0</v>
      </c>
      <c r="H245">
        <v>0</v>
      </c>
      <c r="I245" s="2" t="s">
        <v>69</v>
      </c>
    </row>
    <row r="246" spans="1:10" x14ac:dyDescent="0.3">
      <c r="A246">
        <v>2964</v>
      </c>
      <c r="B246">
        <v>0</v>
      </c>
      <c r="C246">
        <v>0</v>
      </c>
      <c r="D246">
        <v>0</v>
      </c>
      <c r="E246">
        <v>0</v>
      </c>
      <c r="F246">
        <v>0</v>
      </c>
      <c r="G246">
        <v>0</v>
      </c>
      <c r="H246">
        <v>0</v>
      </c>
      <c r="I246" s="2" t="s">
        <v>69</v>
      </c>
    </row>
    <row r="247" spans="1:10" x14ac:dyDescent="0.3">
      <c r="A247">
        <v>2275</v>
      </c>
      <c r="B247">
        <v>0</v>
      </c>
      <c r="C247">
        <v>0</v>
      </c>
      <c r="D247">
        <v>0</v>
      </c>
      <c r="E247">
        <v>0</v>
      </c>
      <c r="F247">
        <v>0</v>
      </c>
      <c r="G247">
        <v>0</v>
      </c>
      <c r="H247">
        <v>0</v>
      </c>
      <c r="I247" s="2" t="s">
        <v>70</v>
      </c>
    </row>
    <row r="248" spans="1:10" x14ac:dyDescent="0.3">
      <c r="A248">
        <v>2766</v>
      </c>
      <c r="B248">
        <v>0</v>
      </c>
      <c r="C248">
        <v>0</v>
      </c>
      <c r="D248">
        <v>0</v>
      </c>
      <c r="E248">
        <v>0</v>
      </c>
      <c r="F248">
        <v>0</v>
      </c>
      <c r="G248">
        <v>0</v>
      </c>
      <c r="H248">
        <v>0</v>
      </c>
      <c r="I248" s="2" t="s">
        <v>70</v>
      </c>
    </row>
    <row r="249" spans="1:10" x14ac:dyDescent="0.3">
      <c r="A249">
        <v>1208</v>
      </c>
      <c r="B249">
        <v>0</v>
      </c>
      <c r="C249">
        <v>0</v>
      </c>
      <c r="D249">
        <v>0</v>
      </c>
      <c r="E249">
        <v>0</v>
      </c>
      <c r="F249">
        <v>0</v>
      </c>
      <c r="G249">
        <v>0</v>
      </c>
      <c r="H249">
        <v>0</v>
      </c>
      <c r="I249" s="2" t="s">
        <v>71</v>
      </c>
    </row>
    <row r="250" spans="1:10" x14ac:dyDescent="0.3">
      <c r="A250">
        <v>2045</v>
      </c>
      <c r="B250">
        <v>0</v>
      </c>
      <c r="C250">
        <v>0</v>
      </c>
      <c r="D250">
        <v>0</v>
      </c>
      <c r="E250">
        <v>0</v>
      </c>
      <c r="F250">
        <v>0</v>
      </c>
      <c r="G250">
        <v>0</v>
      </c>
      <c r="H250">
        <v>0</v>
      </c>
      <c r="I250" s="2" t="s">
        <v>71</v>
      </c>
    </row>
    <row r="251" spans="1:10" x14ac:dyDescent="0.3">
      <c r="A251">
        <v>2396</v>
      </c>
      <c r="B251">
        <v>0</v>
      </c>
      <c r="C251">
        <v>0</v>
      </c>
      <c r="D251">
        <v>0</v>
      </c>
      <c r="E251">
        <v>0</v>
      </c>
      <c r="F251">
        <v>0</v>
      </c>
      <c r="G251">
        <v>0</v>
      </c>
      <c r="H251">
        <v>0</v>
      </c>
      <c r="I251" s="2" t="s">
        <v>71</v>
      </c>
    </row>
    <row r="252" spans="1:10" x14ac:dyDescent="0.3">
      <c r="A252">
        <v>2585</v>
      </c>
      <c r="B252">
        <v>0</v>
      </c>
      <c r="C252">
        <v>0</v>
      </c>
      <c r="D252">
        <v>0</v>
      </c>
      <c r="E252">
        <v>0</v>
      </c>
      <c r="F252">
        <v>0</v>
      </c>
      <c r="G252">
        <v>0</v>
      </c>
      <c r="H252">
        <v>0</v>
      </c>
      <c r="I252" s="2" t="s">
        <v>71</v>
      </c>
    </row>
    <row r="253" spans="1:10" x14ac:dyDescent="0.3">
      <c r="A253">
        <v>2953</v>
      </c>
      <c r="B253">
        <v>0</v>
      </c>
      <c r="C253">
        <v>0</v>
      </c>
      <c r="D253">
        <v>0</v>
      </c>
      <c r="E253">
        <v>0</v>
      </c>
      <c r="F253">
        <v>0</v>
      </c>
      <c r="G253">
        <v>0</v>
      </c>
      <c r="H253">
        <v>1</v>
      </c>
      <c r="I253" s="2" t="s">
        <v>72</v>
      </c>
    </row>
    <row r="254" spans="1:10" x14ac:dyDescent="0.3">
      <c r="A254">
        <v>1680</v>
      </c>
      <c r="B254">
        <v>0</v>
      </c>
      <c r="C254">
        <v>0</v>
      </c>
      <c r="D254">
        <v>0</v>
      </c>
      <c r="E254">
        <v>1</v>
      </c>
      <c r="F254">
        <v>0</v>
      </c>
      <c r="G254">
        <v>0</v>
      </c>
      <c r="H254">
        <v>0</v>
      </c>
      <c r="I254" s="2" t="s">
        <v>73</v>
      </c>
    </row>
    <row r="255" spans="1:10" x14ac:dyDescent="0.3">
      <c r="A255">
        <v>1886</v>
      </c>
      <c r="B255">
        <v>0</v>
      </c>
      <c r="C255">
        <v>0</v>
      </c>
      <c r="D255">
        <v>0</v>
      </c>
      <c r="E255">
        <v>0</v>
      </c>
      <c r="F255">
        <v>0</v>
      </c>
      <c r="G255">
        <v>0</v>
      </c>
      <c r="H255">
        <v>0</v>
      </c>
      <c r="I255" s="2" t="s">
        <v>73</v>
      </c>
    </row>
    <row r="256" spans="1:10" x14ac:dyDescent="0.3">
      <c r="A256">
        <v>1535</v>
      </c>
      <c r="B256">
        <v>1</v>
      </c>
      <c r="C256">
        <v>0</v>
      </c>
      <c r="D256">
        <v>0</v>
      </c>
      <c r="E256">
        <v>0</v>
      </c>
      <c r="F256">
        <v>0</v>
      </c>
      <c r="G256">
        <v>0</v>
      </c>
      <c r="H256">
        <v>1</v>
      </c>
      <c r="I256" s="2">
        <v>44174</v>
      </c>
      <c r="J256" s="1"/>
    </row>
    <row r="257" spans="1:10" x14ac:dyDescent="0.3">
      <c r="A257">
        <v>1911</v>
      </c>
      <c r="B257">
        <v>0</v>
      </c>
      <c r="C257">
        <v>0</v>
      </c>
      <c r="D257">
        <v>0</v>
      </c>
      <c r="E257">
        <v>0</v>
      </c>
      <c r="F257">
        <v>0</v>
      </c>
      <c r="G257">
        <v>0</v>
      </c>
      <c r="H257">
        <v>0</v>
      </c>
      <c r="I257" s="2">
        <v>44174</v>
      </c>
      <c r="J257" s="1"/>
    </row>
    <row r="258" spans="1:10" x14ac:dyDescent="0.3">
      <c r="A258">
        <v>1997</v>
      </c>
      <c r="B258">
        <v>0</v>
      </c>
      <c r="C258">
        <v>0</v>
      </c>
      <c r="D258">
        <v>1</v>
      </c>
      <c r="E258">
        <v>0</v>
      </c>
      <c r="F258">
        <v>0</v>
      </c>
      <c r="G258">
        <v>0</v>
      </c>
      <c r="H258">
        <v>0</v>
      </c>
      <c r="I258" s="2">
        <v>44144</v>
      </c>
      <c r="J258" s="1"/>
    </row>
    <row r="259" spans="1:10" x14ac:dyDescent="0.3">
      <c r="A259">
        <v>2031</v>
      </c>
      <c r="B259">
        <v>0</v>
      </c>
      <c r="C259">
        <v>0</v>
      </c>
      <c r="D259">
        <v>1</v>
      </c>
      <c r="E259">
        <v>0</v>
      </c>
      <c r="F259">
        <v>0</v>
      </c>
      <c r="G259">
        <v>0</v>
      </c>
      <c r="H259">
        <v>0</v>
      </c>
      <c r="I259" s="2">
        <v>44144</v>
      </c>
      <c r="J259" s="1"/>
    </row>
    <row r="260" spans="1:10" x14ac:dyDescent="0.3">
      <c r="A260">
        <v>2251</v>
      </c>
      <c r="B260">
        <v>0</v>
      </c>
      <c r="C260">
        <v>1</v>
      </c>
      <c r="D260">
        <v>0</v>
      </c>
      <c r="E260">
        <v>0</v>
      </c>
      <c r="F260">
        <v>0</v>
      </c>
      <c r="G260">
        <v>0</v>
      </c>
      <c r="H260">
        <v>0</v>
      </c>
      <c r="I260" s="2">
        <v>44144</v>
      </c>
      <c r="J260" s="1"/>
    </row>
    <row r="261" spans="1:10" x14ac:dyDescent="0.3">
      <c r="A261">
        <v>2795</v>
      </c>
      <c r="B261">
        <v>0</v>
      </c>
      <c r="C261">
        <v>0</v>
      </c>
      <c r="D261">
        <v>0</v>
      </c>
      <c r="E261">
        <v>1</v>
      </c>
      <c r="F261">
        <v>0</v>
      </c>
      <c r="G261">
        <v>0</v>
      </c>
      <c r="H261">
        <v>0</v>
      </c>
      <c r="I261" s="2">
        <v>44144</v>
      </c>
      <c r="J261" s="1"/>
    </row>
    <row r="262" spans="1:10" x14ac:dyDescent="0.3">
      <c r="A262">
        <v>1260</v>
      </c>
      <c r="B262">
        <v>0</v>
      </c>
      <c r="C262">
        <v>0</v>
      </c>
      <c r="D262">
        <v>0</v>
      </c>
      <c r="E262">
        <v>0</v>
      </c>
      <c r="F262">
        <v>0</v>
      </c>
      <c r="G262">
        <v>0</v>
      </c>
      <c r="H262">
        <v>0</v>
      </c>
      <c r="I262" s="2">
        <v>44113</v>
      </c>
      <c r="J262" s="1"/>
    </row>
    <row r="263" spans="1:10" x14ac:dyDescent="0.3">
      <c r="A263">
        <v>1740</v>
      </c>
      <c r="B263">
        <v>0</v>
      </c>
      <c r="C263">
        <v>0</v>
      </c>
      <c r="D263">
        <v>0</v>
      </c>
      <c r="E263">
        <v>0</v>
      </c>
      <c r="F263">
        <v>0</v>
      </c>
      <c r="G263">
        <v>0</v>
      </c>
      <c r="H263">
        <v>0</v>
      </c>
      <c r="I263" s="2">
        <v>44113</v>
      </c>
      <c r="J263" s="1"/>
    </row>
    <row r="264" spans="1:10" x14ac:dyDescent="0.3">
      <c r="A264">
        <v>3103</v>
      </c>
      <c r="B264">
        <v>0</v>
      </c>
      <c r="C264">
        <v>0</v>
      </c>
      <c r="D264">
        <v>0</v>
      </c>
      <c r="E264">
        <v>0</v>
      </c>
      <c r="F264">
        <v>0</v>
      </c>
      <c r="G264">
        <v>0</v>
      </c>
      <c r="H264">
        <v>0</v>
      </c>
      <c r="I264" s="2">
        <v>44113</v>
      </c>
      <c r="J264" s="1"/>
    </row>
    <row r="265" spans="1:10" x14ac:dyDescent="0.3">
      <c r="A265">
        <v>1411</v>
      </c>
      <c r="B265">
        <v>0</v>
      </c>
      <c r="C265">
        <v>1</v>
      </c>
      <c r="D265">
        <v>0</v>
      </c>
      <c r="E265">
        <v>1</v>
      </c>
      <c r="F265">
        <v>0</v>
      </c>
      <c r="G265">
        <v>0</v>
      </c>
      <c r="H265">
        <v>0</v>
      </c>
      <c r="I265" s="2">
        <v>44083</v>
      </c>
      <c r="J265" s="1"/>
    </row>
    <row r="266" spans="1:10" x14ac:dyDescent="0.3">
      <c r="A266">
        <v>1480</v>
      </c>
      <c r="B266">
        <v>0</v>
      </c>
      <c r="C266">
        <v>0</v>
      </c>
      <c r="D266">
        <v>0</v>
      </c>
      <c r="E266">
        <v>0</v>
      </c>
      <c r="F266">
        <v>0</v>
      </c>
      <c r="G266">
        <v>0</v>
      </c>
      <c r="H266">
        <v>0</v>
      </c>
      <c r="I266" s="2">
        <v>44083</v>
      </c>
      <c r="J266" s="1"/>
    </row>
    <row r="267" spans="1:10" x14ac:dyDescent="0.3">
      <c r="A267">
        <v>1761</v>
      </c>
      <c r="B267">
        <v>0</v>
      </c>
      <c r="C267">
        <v>0</v>
      </c>
      <c r="D267">
        <v>0</v>
      </c>
      <c r="E267">
        <v>0</v>
      </c>
      <c r="F267">
        <v>0</v>
      </c>
      <c r="G267">
        <v>0</v>
      </c>
      <c r="H267">
        <v>0</v>
      </c>
      <c r="I267" s="2">
        <v>44083</v>
      </c>
      <c r="J267" s="1"/>
    </row>
    <row r="268" spans="1:10" x14ac:dyDescent="0.3">
      <c r="A268">
        <v>1859</v>
      </c>
      <c r="B268">
        <v>0</v>
      </c>
      <c r="C268">
        <v>0</v>
      </c>
      <c r="D268">
        <v>0</v>
      </c>
      <c r="E268">
        <v>0</v>
      </c>
      <c r="F268">
        <v>0</v>
      </c>
      <c r="G268">
        <v>0</v>
      </c>
      <c r="H268">
        <v>0</v>
      </c>
      <c r="I268" s="2">
        <v>44083</v>
      </c>
      <c r="J268" s="1"/>
    </row>
    <row r="269" spans="1:10" x14ac:dyDescent="0.3">
      <c r="A269">
        <v>2179</v>
      </c>
      <c r="B269">
        <v>0</v>
      </c>
      <c r="C269">
        <v>0</v>
      </c>
      <c r="D269">
        <v>0</v>
      </c>
      <c r="E269">
        <v>0</v>
      </c>
      <c r="F269">
        <v>0</v>
      </c>
      <c r="G269">
        <v>0</v>
      </c>
      <c r="H269">
        <v>0</v>
      </c>
      <c r="I269" s="2">
        <v>44083</v>
      </c>
      <c r="J269" s="1"/>
    </row>
    <row r="270" spans="1:10" x14ac:dyDescent="0.3">
      <c r="A270">
        <v>2502</v>
      </c>
      <c r="B270">
        <v>0</v>
      </c>
      <c r="C270">
        <v>0</v>
      </c>
      <c r="D270">
        <v>0</v>
      </c>
      <c r="E270">
        <v>0</v>
      </c>
      <c r="F270">
        <v>0</v>
      </c>
      <c r="G270">
        <v>0</v>
      </c>
      <c r="H270">
        <v>0</v>
      </c>
      <c r="I270" s="2">
        <v>44083</v>
      </c>
      <c r="J270" s="1"/>
    </row>
    <row r="271" spans="1:10" x14ac:dyDescent="0.3">
      <c r="A271">
        <v>2570</v>
      </c>
      <c r="B271">
        <v>0</v>
      </c>
      <c r="C271">
        <v>0</v>
      </c>
      <c r="D271">
        <v>0</v>
      </c>
      <c r="E271">
        <v>0</v>
      </c>
      <c r="F271">
        <v>0</v>
      </c>
      <c r="G271">
        <v>0</v>
      </c>
      <c r="H271">
        <v>0</v>
      </c>
      <c r="I271" s="2">
        <v>44083</v>
      </c>
      <c r="J271" s="1"/>
    </row>
    <row r="272" spans="1:10" x14ac:dyDescent="0.3">
      <c r="A272">
        <v>3041</v>
      </c>
      <c r="B272">
        <v>0</v>
      </c>
      <c r="C272">
        <v>0</v>
      </c>
      <c r="D272">
        <v>0</v>
      </c>
      <c r="E272">
        <v>0</v>
      </c>
      <c r="F272">
        <v>0</v>
      </c>
      <c r="G272">
        <v>0</v>
      </c>
      <c r="H272">
        <v>0</v>
      </c>
      <c r="I272" s="2">
        <v>44083</v>
      </c>
      <c r="J272" s="1"/>
    </row>
    <row r="273" spans="1:10" x14ac:dyDescent="0.3">
      <c r="A273">
        <v>3185</v>
      </c>
      <c r="B273">
        <v>0</v>
      </c>
      <c r="C273">
        <v>0</v>
      </c>
      <c r="D273">
        <v>0</v>
      </c>
      <c r="E273">
        <v>0</v>
      </c>
      <c r="F273">
        <v>0</v>
      </c>
      <c r="G273">
        <v>0</v>
      </c>
      <c r="H273">
        <v>0</v>
      </c>
      <c r="I273" s="2">
        <v>44083</v>
      </c>
      <c r="J273" s="1"/>
    </row>
    <row r="274" spans="1:10" x14ac:dyDescent="0.3">
      <c r="A274">
        <v>1163</v>
      </c>
      <c r="B274">
        <v>1</v>
      </c>
      <c r="C274">
        <v>0</v>
      </c>
      <c r="D274">
        <v>0</v>
      </c>
      <c r="E274">
        <v>0</v>
      </c>
      <c r="F274">
        <v>0</v>
      </c>
      <c r="G274">
        <v>0</v>
      </c>
      <c r="H274">
        <v>0</v>
      </c>
      <c r="I274" s="2">
        <v>44052</v>
      </c>
      <c r="J274" s="1"/>
    </row>
    <row r="275" spans="1:10" x14ac:dyDescent="0.3">
      <c r="A275">
        <v>1854</v>
      </c>
      <c r="B275">
        <v>0</v>
      </c>
      <c r="C275">
        <v>0</v>
      </c>
      <c r="D275">
        <v>0</v>
      </c>
      <c r="E275">
        <v>0</v>
      </c>
      <c r="F275">
        <v>0</v>
      </c>
      <c r="G275">
        <v>0</v>
      </c>
      <c r="H275">
        <v>0</v>
      </c>
      <c r="I275" s="2">
        <v>44052</v>
      </c>
      <c r="J275" s="1"/>
    </row>
    <row r="276" spans="1:10" x14ac:dyDescent="0.3">
      <c r="A276">
        <v>1568</v>
      </c>
      <c r="B276">
        <v>0</v>
      </c>
      <c r="C276">
        <v>0</v>
      </c>
      <c r="D276">
        <v>0</v>
      </c>
      <c r="E276">
        <v>0</v>
      </c>
      <c r="F276">
        <v>0</v>
      </c>
      <c r="G276">
        <v>0</v>
      </c>
      <c r="H276">
        <v>0</v>
      </c>
      <c r="I276" s="2">
        <v>44021</v>
      </c>
      <c r="J276" s="1"/>
    </row>
    <row r="277" spans="1:10" x14ac:dyDescent="0.3">
      <c r="A277">
        <v>2135</v>
      </c>
      <c r="B277">
        <v>0</v>
      </c>
      <c r="C277">
        <v>0</v>
      </c>
      <c r="D277">
        <v>0</v>
      </c>
      <c r="E277">
        <v>0</v>
      </c>
      <c r="F277">
        <v>0</v>
      </c>
      <c r="G277">
        <v>0</v>
      </c>
      <c r="H277">
        <v>0</v>
      </c>
      <c r="I277" s="2">
        <v>44021</v>
      </c>
      <c r="J277" s="1"/>
    </row>
    <row r="278" spans="1:10" x14ac:dyDescent="0.3">
      <c r="A278">
        <v>2968</v>
      </c>
      <c r="B278">
        <v>0</v>
      </c>
      <c r="C278">
        <v>1</v>
      </c>
      <c r="D278">
        <v>1</v>
      </c>
      <c r="E278">
        <v>0</v>
      </c>
      <c r="F278">
        <v>0</v>
      </c>
      <c r="G278">
        <v>0</v>
      </c>
      <c r="H278">
        <v>0</v>
      </c>
      <c r="I278" s="2">
        <v>44021</v>
      </c>
      <c r="J278" s="1"/>
    </row>
    <row r="279" spans="1:10" x14ac:dyDescent="0.3">
      <c r="A279">
        <v>2698</v>
      </c>
      <c r="B279">
        <v>0</v>
      </c>
      <c r="C279">
        <v>0</v>
      </c>
      <c r="D279">
        <v>1</v>
      </c>
      <c r="E279">
        <v>0</v>
      </c>
      <c r="F279">
        <v>0</v>
      </c>
      <c r="G279">
        <v>0</v>
      </c>
      <c r="H279">
        <v>0</v>
      </c>
      <c r="I279" s="2">
        <v>43991</v>
      </c>
      <c r="J279" s="1"/>
    </row>
    <row r="280" spans="1:10" x14ac:dyDescent="0.3">
      <c r="A280">
        <v>1203</v>
      </c>
      <c r="B280">
        <v>0</v>
      </c>
      <c r="C280">
        <v>0</v>
      </c>
      <c r="D280">
        <v>0</v>
      </c>
      <c r="E280">
        <v>0</v>
      </c>
      <c r="F280">
        <v>0</v>
      </c>
      <c r="G280">
        <v>0</v>
      </c>
      <c r="H280">
        <v>0</v>
      </c>
      <c r="I280" s="2">
        <v>43960</v>
      </c>
      <c r="J280" s="1"/>
    </row>
    <row r="281" spans="1:10" x14ac:dyDescent="0.3">
      <c r="A281">
        <v>1560</v>
      </c>
      <c r="B281">
        <v>0</v>
      </c>
      <c r="C281">
        <v>0</v>
      </c>
      <c r="D281">
        <v>0</v>
      </c>
      <c r="E281">
        <v>0</v>
      </c>
      <c r="F281">
        <v>0</v>
      </c>
      <c r="G281">
        <v>0</v>
      </c>
      <c r="H281">
        <v>0</v>
      </c>
      <c r="I281" s="2">
        <v>43960</v>
      </c>
      <c r="J281" s="1"/>
    </row>
    <row r="282" spans="1:10" x14ac:dyDescent="0.3">
      <c r="A282">
        <v>2908</v>
      </c>
      <c r="B282">
        <v>0</v>
      </c>
      <c r="C282">
        <v>0</v>
      </c>
      <c r="D282">
        <v>0</v>
      </c>
      <c r="E282">
        <v>0</v>
      </c>
      <c r="F282">
        <v>0</v>
      </c>
      <c r="G282">
        <v>0</v>
      </c>
      <c r="H282">
        <v>0</v>
      </c>
      <c r="I282" s="2">
        <v>43960</v>
      </c>
      <c r="J282" s="1"/>
    </row>
    <row r="283" spans="1:10" x14ac:dyDescent="0.3">
      <c r="A283">
        <v>1187</v>
      </c>
      <c r="B283">
        <v>1</v>
      </c>
      <c r="C283">
        <v>0</v>
      </c>
      <c r="D283">
        <v>0</v>
      </c>
      <c r="E283">
        <v>0</v>
      </c>
      <c r="F283">
        <v>0</v>
      </c>
      <c r="G283">
        <v>0</v>
      </c>
      <c r="H283">
        <v>1</v>
      </c>
      <c r="I283" s="2">
        <v>43930</v>
      </c>
      <c r="J283" s="1"/>
    </row>
    <row r="284" spans="1:10" x14ac:dyDescent="0.3">
      <c r="A284">
        <v>1399</v>
      </c>
      <c r="B284">
        <v>0</v>
      </c>
      <c r="C284">
        <v>0</v>
      </c>
      <c r="D284">
        <v>0</v>
      </c>
      <c r="E284">
        <v>0</v>
      </c>
      <c r="F284">
        <v>0</v>
      </c>
      <c r="G284">
        <v>0</v>
      </c>
      <c r="H284">
        <v>0</v>
      </c>
      <c r="I284" s="2">
        <v>43930</v>
      </c>
      <c r="J284" s="1"/>
    </row>
    <row r="285" spans="1:10" x14ac:dyDescent="0.3">
      <c r="A285">
        <v>1534</v>
      </c>
      <c r="B285">
        <v>0</v>
      </c>
      <c r="C285">
        <v>0</v>
      </c>
      <c r="D285">
        <v>0</v>
      </c>
      <c r="E285">
        <v>0</v>
      </c>
      <c r="F285">
        <v>0</v>
      </c>
      <c r="G285">
        <v>0</v>
      </c>
      <c r="H285">
        <v>0</v>
      </c>
      <c r="I285" s="2">
        <v>43930</v>
      </c>
      <c r="J285" s="1"/>
    </row>
    <row r="286" spans="1:10" x14ac:dyDescent="0.3">
      <c r="A286">
        <v>2872</v>
      </c>
      <c r="B286">
        <v>0</v>
      </c>
      <c r="C286">
        <v>0</v>
      </c>
      <c r="D286">
        <v>1</v>
      </c>
      <c r="E286">
        <v>0</v>
      </c>
      <c r="F286">
        <v>0</v>
      </c>
      <c r="G286">
        <v>0</v>
      </c>
      <c r="H286">
        <v>0</v>
      </c>
      <c r="I286" s="2">
        <v>43930</v>
      </c>
      <c r="J286" s="1"/>
    </row>
    <row r="287" spans="1:10" x14ac:dyDescent="0.3">
      <c r="A287">
        <v>3056</v>
      </c>
      <c r="B287">
        <v>0</v>
      </c>
      <c r="C287">
        <v>1</v>
      </c>
      <c r="D287">
        <v>0</v>
      </c>
      <c r="E287">
        <v>0</v>
      </c>
      <c r="F287">
        <v>0</v>
      </c>
      <c r="G287">
        <v>0</v>
      </c>
      <c r="H287">
        <v>0</v>
      </c>
      <c r="I287" s="2">
        <v>43930</v>
      </c>
      <c r="J287" s="1"/>
    </row>
    <row r="288" spans="1:10" x14ac:dyDescent="0.3">
      <c r="A288">
        <v>1093</v>
      </c>
      <c r="B288">
        <v>0</v>
      </c>
      <c r="C288">
        <v>0</v>
      </c>
      <c r="D288">
        <v>0</v>
      </c>
      <c r="E288">
        <v>0</v>
      </c>
      <c r="F288">
        <v>0</v>
      </c>
      <c r="G288">
        <v>0</v>
      </c>
      <c r="H288">
        <v>0</v>
      </c>
      <c r="I288" s="2">
        <v>43899</v>
      </c>
      <c r="J288" s="1"/>
    </row>
    <row r="289" spans="1:10" x14ac:dyDescent="0.3">
      <c r="A289">
        <v>1368</v>
      </c>
      <c r="B289">
        <v>0</v>
      </c>
      <c r="C289">
        <v>0</v>
      </c>
      <c r="D289">
        <v>0</v>
      </c>
      <c r="E289">
        <v>0</v>
      </c>
      <c r="F289">
        <v>0</v>
      </c>
      <c r="G289">
        <v>0</v>
      </c>
      <c r="H289">
        <v>0</v>
      </c>
      <c r="I289" s="2">
        <v>43899</v>
      </c>
      <c r="J289" s="1"/>
    </row>
    <row r="290" spans="1:10" x14ac:dyDescent="0.3">
      <c r="A290">
        <v>2019</v>
      </c>
      <c r="B290">
        <v>1</v>
      </c>
      <c r="C290">
        <v>0</v>
      </c>
      <c r="D290">
        <v>0</v>
      </c>
      <c r="E290">
        <v>0</v>
      </c>
      <c r="F290">
        <v>0</v>
      </c>
      <c r="G290">
        <v>0</v>
      </c>
      <c r="H290">
        <v>1</v>
      </c>
      <c r="I290" s="2">
        <v>43899</v>
      </c>
      <c r="J290" s="1"/>
    </row>
    <row r="291" spans="1:10" x14ac:dyDescent="0.3">
      <c r="A291">
        <v>2210</v>
      </c>
      <c r="B291">
        <v>0</v>
      </c>
      <c r="C291">
        <v>0</v>
      </c>
      <c r="D291">
        <v>0</v>
      </c>
      <c r="E291">
        <v>0</v>
      </c>
      <c r="F291">
        <v>0</v>
      </c>
      <c r="G291">
        <v>0</v>
      </c>
      <c r="H291">
        <v>0</v>
      </c>
      <c r="I291" s="2">
        <v>43899</v>
      </c>
      <c r="J291" s="1"/>
    </row>
    <row r="292" spans="1:10" x14ac:dyDescent="0.3">
      <c r="A292">
        <v>2404</v>
      </c>
      <c r="B292">
        <v>0</v>
      </c>
      <c r="C292">
        <v>0</v>
      </c>
      <c r="D292">
        <v>0</v>
      </c>
      <c r="E292">
        <v>0</v>
      </c>
      <c r="F292">
        <v>0</v>
      </c>
      <c r="G292">
        <v>0</v>
      </c>
      <c r="H292">
        <v>0</v>
      </c>
      <c r="I292" s="2">
        <v>43899</v>
      </c>
      <c r="J292" s="1"/>
    </row>
    <row r="293" spans="1:10" x14ac:dyDescent="0.3">
      <c r="A293">
        <v>2676</v>
      </c>
      <c r="B293">
        <v>0</v>
      </c>
      <c r="C293">
        <v>0</v>
      </c>
      <c r="D293">
        <v>0</v>
      </c>
      <c r="E293">
        <v>0</v>
      </c>
      <c r="F293">
        <v>0</v>
      </c>
      <c r="G293">
        <v>0</v>
      </c>
      <c r="H293">
        <v>0</v>
      </c>
      <c r="I293" s="2">
        <v>43899</v>
      </c>
      <c r="J293" s="1"/>
    </row>
    <row r="294" spans="1:10" x14ac:dyDescent="0.3">
      <c r="A294">
        <v>2993</v>
      </c>
      <c r="B294">
        <v>0</v>
      </c>
      <c r="C294">
        <v>0</v>
      </c>
      <c r="D294">
        <v>0</v>
      </c>
      <c r="E294">
        <v>0</v>
      </c>
      <c r="F294">
        <v>0</v>
      </c>
      <c r="G294">
        <v>1</v>
      </c>
      <c r="H294">
        <v>0</v>
      </c>
      <c r="I294" s="2">
        <v>43899</v>
      </c>
      <c r="J294" s="1"/>
    </row>
    <row r="295" spans="1:10" x14ac:dyDescent="0.3">
      <c r="A295">
        <v>1533</v>
      </c>
      <c r="B295">
        <v>0</v>
      </c>
      <c r="C295">
        <v>0</v>
      </c>
      <c r="D295">
        <v>0</v>
      </c>
      <c r="E295">
        <v>0</v>
      </c>
      <c r="F295">
        <v>0</v>
      </c>
      <c r="G295">
        <v>0</v>
      </c>
      <c r="H295">
        <v>0</v>
      </c>
      <c r="I295" s="2">
        <v>43870</v>
      </c>
      <c r="J295" s="1"/>
    </row>
    <row r="296" spans="1:10" x14ac:dyDescent="0.3">
      <c r="A296">
        <v>1700</v>
      </c>
      <c r="B296">
        <v>0</v>
      </c>
      <c r="C296">
        <v>0</v>
      </c>
      <c r="D296">
        <v>0</v>
      </c>
      <c r="E296">
        <v>0</v>
      </c>
      <c r="F296">
        <v>0</v>
      </c>
      <c r="G296">
        <v>0</v>
      </c>
      <c r="H296">
        <v>0</v>
      </c>
      <c r="I296" s="2">
        <v>43870</v>
      </c>
      <c r="J296" s="1"/>
    </row>
    <row r="297" spans="1:10" x14ac:dyDescent="0.3">
      <c r="A297">
        <v>1799</v>
      </c>
      <c r="B297">
        <v>0</v>
      </c>
      <c r="C297">
        <v>0</v>
      </c>
      <c r="D297">
        <v>0</v>
      </c>
      <c r="E297">
        <v>0</v>
      </c>
      <c r="F297">
        <v>0</v>
      </c>
      <c r="G297">
        <v>0</v>
      </c>
      <c r="H297">
        <v>0</v>
      </c>
      <c r="I297" s="2">
        <v>43870</v>
      </c>
      <c r="J297" s="1"/>
    </row>
    <row r="298" spans="1:10" x14ac:dyDescent="0.3">
      <c r="A298">
        <v>2276</v>
      </c>
      <c r="B298">
        <v>0</v>
      </c>
      <c r="C298">
        <v>0</v>
      </c>
      <c r="D298">
        <v>0</v>
      </c>
      <c r="E298">
        <v>0</v>
      </c>
      <c r="F298">
        <v>0</v>
      </c>
      <c r="G298">
        <v>0</v>
      </c>
      <c r="H298">
        <v>0</v>
      </c>
      <c r="I298" s="2">
        <v>43870</v>
      </c>
      <c r="J298" s="1"/>
    </row>
    <row r="299" spans="1:10" x14ac:dyDescent="0.3">
      <c r="A299">
        <v>2304</v>
      </c>
      <c r="B299">
        <v>0</v>
      </c>
      <c r="C299">
        <v>0</v>
      </c>
      <c r="D299">
        <v>0</v>
      </c>
      <c r="E299">
        <v>0</v>
      </c>
      <c r="F299">
        <v>0</v>
      </c>
      <c r="G299">
        <v>0</v>
      </c>
      <c r="H299">
        <v>0</v>
      </c>
      <c r="I299" s="2">
        <v>43870</v>
      </c>
      <c r="J299" s="1"/>
    </row>
    <row r="300" spans="1:10" x14ac:dyDescent="0.3">
      <c r="A300">
        <v>2377</v>
      </c>
      <c r="B300">
        <v>0</v>
      </c>
      <c r="C300">
        <v>0</v>
      </c>
      <c r="D300">
        <v>0</v>
      </c>
      <c r="E300">
        <v>0</v>
      </c>
      <c r="F300">
        <v>0</v>
      </c>
      <c r="G300">
        <v>0</v>
      </c>
      <c r="H300">
        <v>0</v>
      </c>
      <c r="I300" s="2">
        <v>43870</v>
      </c>
      <c r="J300" s="1"/>
    </row>
    <row r="301" spans="1:10" x14ac:dyDescent="0.3">
      <c r="A301">
        <v>2516</v>
      </c>
      <c r="B301">
        <v>0</v>
      </c>
      <c r="C301">
        <v>0</v>
      </c>
      <c r="D301">
        <v>0</v>
      </c>
      <c r="E301">
        <v>0</v>
      </c>
      <c r="F301">
        <v>0</v>
      </c>
      <c r="G301">
        <v>0</v>
      </c>
      <c r="H301">
        <v>0</v>
      </c>
      <c r="I301" s="2">
        <v>43839</v>
      </c>
      <c r="J301" s="1"/>
    </row>
    <row r="302" spans="1:10" x14ac:dyDescent="0.3">
      <c r="A302">
        <v>3050</v>
      </c>
      <c r="B302">
        <v>0</v>
      </c>
      <c r="C302">
        <v>0</v>
      </c>
      <c r="D302">
        <v>0</v>
      </c>
      <c r="E302">
        <v>0</v>
      </c>
      <c r="F302">
        <v>0</v>
      </c>
      <c r="G302">
        <v>0</v>
      </c>
      <c r="H302">
        <v>0</v>
      </c>
      <c r="I302" s="2" t="s">
        <v>74</v>
      </c>
    </row>
    <row r="303" spans="1:10" x14ac:dyDescent="0.3">
      <c r="A303">
        <v>1677</v>
      </c>
      <c r="B303">
        <v>0</v>
      </c>
      <c r="C303">
        <v>0</v>
      </c>
      <c r="D303">
        <v>0</v>
      </c>
      <c r="E303">
        <v>0</v>
      </c>
      <c r="F303">
        <v>0</v>
      </c>
      <c r="G303">
        <v>0</v>
      </c>
      <c r="H303">
        <v>0</v>
      </c>
      <c r="I303" s="2" t="s">
        <v>75</v>
      </c>
    </row>
    <row r="304" spans="1:10" x14ac:dyDescent="0.3">
      <c r="A304">
        <v>1976</v>
      </c>
      <c r="B304">
        <v>0</v>
      </c>
      <c r="C304">
        <v>0</v>
      </c>
      <c r="D304">
        <v>0</v>
      </c>
      <c r="E304">
        <v>0</v>
      </c>
      <c r="F304">
        <v>0</v>
      </c>
      <c r="G304">
        <v>0</v>
      </c>
      <c r="H304">
        <v>0</v>
      </c>
      <c r="I304" s="2" t="s">
        <v>75</v>
      </c>
    </row>
    <row r="305" spans="1:9" x14ac:dyDescent="0.3">
      <c r="A305">
        <v>2660</v>
      </c>
      <c r="B305">
        <v>0</v>
      </c>
      <c r="C305">
        <v>0</v>
      </c>
      <c r="D305">
        <v>0</v>
      </c>
      <c r="E305">
        <v>0</v>
      </c>
      <c r="F305">
        <v>0</v>
      </c>
      <c r="G305">
        <v>0</v>
      </c>
      <c r="H305">
        <v>0</v>
      </c>
      <c r="I305" s="2" t="s">
        <v>76</v>
      </c>
    </row>
    <row r="306" spans="1:9" x14ac:dyDescent="0.3">
      <c r="A306">
        <v>2946</v>
      </c>
      <c r="B306">
        <v>1</v>
      </c>
      <c r="C306">
        <v>0</v>
      </c>
      <c r="D306">
        <v>0</v>
      </c>
      <c r="E306">
        <v>0</v>
      </c>
      <c r="F306">
        <v>0</v>
      </c>
      <c r="G306">
        <v>0</v>
      </c>
      <c r="H306">
        <v>0</v>
      </c>
      <c r="I306" s="2" t="s">
        <v>76</v>
      </c>
    </row>
    <row r="307" spans="1:9" x14ac:dyDescent="0.3">
      <c r="A307">
        <v>3114</v>
      </c>
      <c r="B307">
        <v>0</v>
      </c>
      <c r="C307">
        <v>0</v>
      </c>
      <c r="D307">
        <v>0</v>
      </c>
      <c r="E307">
        <v>0</v>
      </c>
      <c r="F307">
        <v>0</v>
      </c>
      <c r="G307">
        <v>0</v>
      </c>
      <c r="H307">
        <v>0</v>
      </c>
      <c r="I307" s="2" t="s">
        <v>76</v>
      </c>
    </row>
    <row r="308" spans="1:9" x14ac:dyDescent="0.3">
      <c r="A308">
        <v>2085</v>
      </c>
      <c r="B308">
        <v>0</v>
      </c>
      <c r="C308">
        <v>0</v>
      </c>
      <c r="D308">
        <v>0</v>
      </c>
      <c r="E308">
        <v>0</v>
      </c>
      <c r="F308">
        <v>0</v>
      </c>
      <c r="G308">
        <v>0</v>
      </c>
      <c r="H308">
        <v>0</v>
      </c>
      <c r="I308" s="2" t="s">
        <v>77</v>
      </c>
    </row>
    <row r="309" spans="1:9" x14ac:dyDescent="0.3">
      <c r="A309">
        <v>2229</v>
      </c>
      <c r="B309">
        <v>0</v>
      </c>
      <c r="C309">
        <v>0</v>
      </c>
      <c r="D309">
        <v>0</v>
      </c>
      <c r="E309">
        <v>0</v>
      </c>
      <c r="F309">
        <v>0</v>
      </c>
      <c r="G309">
        <v>0</v>
      </c>
      <c r="H309">
        <v>0</v>
      </c>
      <c r="I309" s="2" t="s">
        <v>77</v>
      </c>
    </row>
    <row r="310" spans="1:9" x14ac:dyDescent="0.3">
      <c r="A310">
        <v>2608</v>
      </c>
      <c r="B310">
        <v>0</v>
      </c>
      <c r="C310">
        <v>0</v>
      </c>
      <c r="D310">
        <v>0</v>
      </c>
      <c r="E310">
        <v>0</v>
      </c>
      <c r="F310">
        <v>0</v>
      </c>
      <c r="G310">
        <v>0</v>
      </c>
      <c r="H310">
        <v>0</v>
      </c>
      <c r="I310" s="2" t="s">
        <v>77</v>
      </c>
    </row>
    <row r="311" spans="1:9" x14ac:dyDescent="0.3">
      <c r="A311">
        <v>3115</v>
      </c>
      <c r="B311">
        <v>0</v>
      </c>
      <c r="C311">
        <v>0</v>
      </c>
      <c r="D311">
        <v>0</v>
      </c>
      <c r="E311">
        <v>0</v>
      </c>
      <c r="F311">
        <v>0</v>
      </c>
      <c r="G311">
        <v>0</v>
      </c>
      <c r="H311">
        <v>0</v>
      </c>
      <c r="I311" s="2" t="s">
        <v>77</v>
      </c>
    </row>
    <row r="312" spans="1:9" x14ac:dyDescent="0.3">
      <c r="A312">
        <v>1085</v>
      </c>
      <c r="B312">
        <v>0</v>
      </c>
      <c r="C312">
        <v>0</v>
      </c>
      <c r="D312">
        <v>0</v>
      </c>
      <c r="E312">
        <v>0</v>
      </c>
      <c r="F312">
        <v>0</v>
      </c>
      <c r="G312">
        <v>0</v>
      </c>
      <c r="H312">
        <v>0</v>
      </c>
      <c r="I312" s="2" t="s">
        <v>78</v>
      </c>
    </row>
    <row r="313" spans="1:9" x14ac:dyDescent="0.3">
      <c r="A313">
        <v>1787</v>
      </c>
      <c r="B313">
        <v>0</v>
      </c>
      <c r="C313">
        <v>0</v>
      </c>
      <c r="D313">
        <v>0</v>
      </c>
      <c r="E313">
        <v>0</v>
      </c>
      <c r="F313">
        <v>0</v>
      </c>
      <c r="G313">
        <v>0</v>
      </c>
      <c r="H313">
        <v>0</v>
      </c>
      <c r="I313" s="2" t="s">
        <v>78</v>
      </c>
    </row>
    <row r="314" spans="1:9" x14ac:dyDescent="0.3">
      <c r="A314">
        <v>2141</v>
      </c>
      <c r="B314">
        <v>0</v>
      </c>
      <c r="C314">
        <v>0</v>
      </c>
      <c r="D314">
        <v>0</v>
      </c>
      <c r="E314">
        <v>0</v>
      </c>
      <c r="F314">
        <v>0</v>
      </c>
      <c r="G314">
        <v>0</v>
      </c>
      <c r="H314">
        <v>0</v>
      </c>
      <c r="I314" s="2" t="s">
        <v>78</v>
      </c>
    </row>
    <row r="315" spans="1:9" x14ac:dyDescent="0.3">
      <c r="A315">
        <v>2425</v>
      </c>
      <c r="B315">
        <v>0</v>
      </c>
      <c r="C315">
        <v>0</v>
      </c>
      <c r="D315">
        <v>0</v>
      </c>
      <c r="E315">
        <v>0</v>
      </c>
      <c r="F315">
        <v>0</v>
      </c>
      <c r="G315">
        <v>0</v>
      </c>
      <c r="H315">
        <v>0</v>
      </c>
      <c r="I315" s="2" t="s">
        <v>78</v>
      </c>
    </row>
    <row r="316" spans="1:9" x14ac:dyDescent="0.3">
      <c r="A316">
        <v>2552</v>
      </c>
      <c r="B316">
        <v>0</v>
      </c>
      <c r="C316">
        <v>0</v>
      </c>
      <c r="D316">
        <v>0</v>
      </c>
      <c r="E316">
        <v>0</v>
      </c>
      <c r="F316">
        <v>0</v>
      </c>
      <c r="G316">
        <v>0</v>
      </c>
      <c r="H316">
        <v>1</v>
      </c>
      <c r="I316" s="2" t="s">
        <v>78</v>
      </c>
    </row>
    <row r="317" spans="1:9" x14ac:dyDescent="0.3">
      <c r="A317">
        <v>2616</v>
      </c>
      <c r="B317">
        <v>0</v>
      </c>
      <c r="C317">
        <v>0</v>
      </c>
      <c r="D317">
        <v>0</v>
      </c>
      <c r="E317">
        <v>0</v>
      </c>
      <c r="F317">
        <v>0</v>
      </c>
      <c r="G317">
        <v>0</v>
      </c>
      <c r="H317">
        <v>0</v>
      </c>
      <c r="I317" s="2" t="s">
        <v>78</v>
      </c>
    </row>
    <row r="318" spans="1:9" x14ac:dyDescent="0.3">
      <c r="A318">
        <v>2705</v>
      </c>
      <c r="B318">
        <v>0</v>
      </c>
      <c r="C318">
        <v>0</v>
      </c>
      <c r="D318">
        <v>0</v>
      </c>
      <c r="E318">
        <v>0</v>
      </c>
      <c r="F318">
        <v>0</v>
      </c>
      <c r="G318">
        <v>0</v>
      </c>
      <c r="H318">
        <v>0</v>
      </c>
      <c r="I318" s="2" t="s">
        <v>78</v>
      </c>
    </row>
    <row r="319" spans="1:9" x14ac:dyDescent="0.3">
      <c r="A319">
        <v>2913</v>
      </c>
      <c r="B319">
        <v>0</v>
      </c>
      <c r="C319">
        <v>0</v>
      </c>
      <c r="D319">
        <v>0</v>
      </c>
      <c r="E319">
        <v>0</v>
      </c>
      <c r="F319">
        <v>0</v>
      </c>
      <c r="G319">
        <v>0</v>
      </c>
      <c r="H319">
        <v>0</v>
      </c>
      <c r="I319" s="2" t="s">
        <v>78</v>
      </c>
    </row>
    <row r="320" spans="1:9" x14ac:dyDescent="0.3">
      <c r="A320">
        <v>3175</v>
      </c>
      <c r="B320">
        <v>0</v>
      </c>
      <c r="C320">
        <v>1</v>
      </c>
      <c r="D320">
        <v>0</v>
      </c>
      <c r="E320">
        <v>0</v>
      </c>
      <c r="F320">
        <v>0</v>
      </c>
      <c r="G320">
        <v>0</v>
      </c>
      <c r="H320">
        <v>0</v>
      </c>
      <c r="I320" s="2" t="s">
        <v>78</v>
      </c>
    </row>
    <row r="321" spans="1:9" x14ac:dyDescent="0.3">
      <c r="A321">
        <v>1345</v>
      </c>
      <c r="B321">
        <v>0</v>
      </c>
      <c r="C321">
        <v>0</v>
      </c>
      <c r="D321">
        <v>0</v>
      </c>
      <c r="E321">
        <v>0</v>
      </c>
      <c r="F321">
        <v>0</v>
      </c>
      <c r="G321">
        <v>0</v>
      </c>
      <c r="H321">
        <v>0</v>
      </c>
      <c r="I321" s="2" t="s">
        <v>79</v>
      </c>
    </row>
    <row r="322" spans="1:9" x14ac:dyDescent="0.3">
      <c r="A322">
        <v>1820</v>
      </c>
      <c r="B322">
        <v>1</v>
      </c>
      <c r="C322">
        <v>0</v>
      </c>
      <c r="D322">
        <v>0</v>
      </c>
      <c r="E322">
        <v>0</v>
      </c>
      <c r="F322">
        <v>0</v>
      </c>
      <c r="G322">
        <v>0</v>
      </c>
      <c r="H322">
        <v>0</v>
      </c>
      <c r="I322" s="2" t="s">
        <v>80</v>
      </c>
    </row>
    <row r="323" spans="1:9" x14ac:dyDescent="0.3">
      <c r="A323">
        <v>1971</v>
      </c>
      <c r="B323">
        <v>0</v>
      </c>
      <c r="C323">
        <v>1</v>
      </c>
      <c r="D323">
        <v>1</v>
      </c>
      <c r="E323">
        <v>1</v>
      </c>
      <c r="F323">
        <v>1</v>
      </c>
      <c r="G323">
        <v>0</v>
      </c>
      <c r="H323">
        <v>1</v>
      </c>
      <c r="I323" s="2" t="s">
        <v>80</v>
      </c>
    </row>
    <row r="324" spans="1:9" x14ac:dyDescent="0.3">
      <c r="A324">
        <v>2678</v>
      </c>
      <c r="B324">
        <v>0</v>
      </c>
      <c r="C324">
        <v>0</v>
      </c>
      <c r="D324">
        <v>0</v>
      </c>
      <c r="E324">
        <v>0</v>
      </c>
      <c r="F324">
        <v>0</v>
      </c>
      <c r="G324">
        <v>0</v>
      </c>
      <c r="H324">
        <v>0</v>
      </c>
      <c r="I324" s="2" t="s">
        <v>80</v>
      </c>
    </row>
    <row r="325" spans="1:9" x14ac:dyDescent="0.3">
      <c r="A325">
        <v>1258</v>
      </c>
      <c r="B325">
        <v>0</v>
      </c>
      <c r="C325">
        <v>0</v>
      </c>
      <c r="D325">
        <v>0</v>
      </c>
      <c r="E325">
        <v>0</v>
      </c>
      <c r="F325">
        <v>0</v>
      </c>
      <c r="G325">
        <v>1</v>
      </c>
      <c r="H325">
        <v>0</v>
      </c>
      <c r="I325" s="2" t="s">
        <v>81</v>
      </c>
    </row>
    <row r="326" spans="1:9" x14ac:dyDescent="0.3">
      <c r="A326">
        <v>2481</v>
      </c>
      <c r="B326">
        <v>0</v>
      </c>
      <c r="C326">
        <v>0</v>
      </c>
      <c r="D326">
        <v>1</v>
      </c>
      <c r="E326">
        <v>0</v>
      </c>
      <c r="F326">
        <v>0</v>
      </c>
      <c r="G326">
        <v>0</v>
      </c>
      <c r="H326">
        <v>0</v>
      </c>
      <c r="I326" s="2" t="s">
        <v>81</v>
      </c>
    </row>
    <row r="327" spans="1:9" x14ac:dyDescent="0.3">
      <c r="A327">
        <v>2808</v>
      </c>
      <c r="B327">
        <v>0</v>
      </c>
      <c r="C327">
        <v>0</v>
      </c>
      <c r="D327">
        <v>0</v>
      </c>
      <c r="E327">
        <v>0</v>
      </c>
      <c r="F327">
        <v>0</v>
      </c>
      <c r="G327">
        <v>0</v>
      </c>
      <c r="H327">
        <v>0</v>
      </c>
      <c r="I327" s="2" t="s">
        <v>81</v>
      </c>
    </row>
    <row r="328" spans="1:9" x14ac:dyDescent="0.3">
      <c r="A328">
        <v>3069</v>
      </c>
      <c r="B328">
        <v>0</v>
      </c>
      <c r="C328">
        <v>0</v>
      </c>
      <c r="D328">
        <v>0</v>
      </c>
      <c r="E328">
        <v>0</v>
      </c>
      <c r="F328">
        <v>0</v>
      </c>
      <c r="G328">
        <v>0</v>
      </c>
      <c r="H328">
        <v>0</v>
      </c>
      <c r="I328" s="2" t="s">
        <v>81</v>
      </c>
    </row>
    <row r="329" spans="1:9" x14ac:dyDescent="0.3">
      <c r="A329">
        <v>1063</v>
      </c>
      <c r="B329">
        <v>1</v>
      </c>
      <c r="C329">
        <v>0</v>
      </c>
      <c r="D329">
        <v>0</v>
      </c>
      <c r="E329">
        <v>1</v>
      </c>
      <c r="F329">
        <v>0</v>
      </c>
      <c r="G329">
        <v>0</v>
      </c>
      <c r="H329">
        <v>1</v>
      </c>
      <c r="I329" s="2" t="s">
        <v>82</v>
      </c>
    </row>
    <row r="330" spans="1:9" x14ac:dyDescent="0.3">
      <c r="A330">
        <v>1764</v>
      </c>
      <c r="B330">
        <v>0</v>
      </c>
      <c r="C330">
        <v>0</v>
      </c>
      <c r="D330">
        <v>0</v>
      </c>
      <c r="E330">
        <v>0</v>
      </c>
      <c r="F330">
        <v>0</v>
      </c>
      <c r="G330">
        <v>0</v>
      </c>
      <c r="H330">
        <v>0</v>
      </c>
      <c r="I330" s="2" t="s">
        <v>82</v>
      </c>
    </row>
    <row r="331" spans="1:9" x14ac:dyDescent="0.3">
      <c r="A331">
        <v>2239</v>
      </c>
      <c r="B331">
        <v>1</v>
      </c>
      <c r="C331">
        <v>0</v>
      </c>
      <c r="D331">
        <v>0</v>
      </c>
      <c r="E331">
        <v>0</v>
      </c>
      <c r="F331">
        <v>0</v>
      </c>
      <c r="G331">
        <v>0</v>
      </c>
      <c r="H331">
        <v>0</v>
      </c>
      <c r="I331" s="2" t="s">
        <v>82</v>
      </c>
    </row>
    <row r="332" spans="1:9" x14ac:dyDescent="0.3">
      <c r="A332">
        <v>1199</v>
      </c>
      <c r="B332">
        <v>0</v>
      </c>
      <c r="C332">
        <v>0</v>
      </c>
      <c r="D332">
        <v>0</v>
      </c>
      <c r="E332">
        <v>0</v>
      </c>
      <c r="F332">
        <v>0</v>
      </c>
      <c r="G332">
        <v>0</v>
      </c>
      <c r="H332">
        <v>0</v>
      </c>
      <c r="I332" s="2" t="s">
        <v>83</v>
      </c>
    </row>
    <row r="333" spans="1:9" x14ac:dyDescent="0.3">
      <c r="A333">
        <v>2273</v>
      </c>
      <c r="B333">
        <v>0</v>
      </c>
      <c r="C333">
        <v>0</v>
      </c>
      <c r="D333">
        <v>0</v>
      </c>
      <c r="E333">
        <v>0</v>
      </c>
      <c r="F333">
        <v>0</v>
      </c>
      <c r="G333">
        <v>0</v>
      </c>
      <c r="H333">
        <v>0</v>
      </c>
      <c r="I333" s="2" t="s">
        <v>83</v>
      </c>
    </row>
    <row r="334" spans="1:9" x14ac:dyDescent="0.3">
      <c r="A334">
        <v>2749</v>
      </c>
      <c r="B334">
        <v>0</v>
      </c>
      <c r="C334">
        <v>0</v>
      </c>
      <c r="D334">
        <v>0</v>
      </c>
      <c r="E334">
        <v>0</v>
      </c>
      <c r="F334">
        <v>0</v>
      </c>
      <c r="G334">
        <v>0</v>
      </c>
      <c r="H334">
        <v>0</v>
      </c>
      <c r="I334" s="2" t="s">
        <v>83</v>
      </c>
    </row>
    <row r="335" spans="1:9" x14ac:dyDescent="0.3">
      <c r="A335">
        <v>2877</v>
      </c>
      <c r="B335">
        <v>0</v>
      </c>
      <c r="C335">
        <v>0</v>
      </c>
      <c r="D335">
        <v>0</v>
      </c>
      <c r="E335">
        <v>0</v>
      </c>
      <c r="F335">
        <v>0</v>
      </c>
      <c r="G335">
        <v>0</v>
      </c>
      <c r="H335">
        <v>0</v>
      </c>
      <c r="I335" s="2" t="s">
        <v>83</v>
      </c>
    </row>
    <row r="336" spans="1:9" x14ac:dyDescent="0.3">
      <c r="A336">
        <v>3152</v>
      </c>
      <c r="B336">
        <v>0</v>
      </c>
      <c r="C336">
        <v>0</v>
      </c>
      <c r="D336">
        <v>0</v>
      </c>
      <c r="E336">
        <v>0</v>
      </c>
      <c r="F336">
        <v>0</v>
      </c>
      <c r="G336">
        <v>0</v>
      </c>
      <c r="H336">
        <v>0</v>
      </c>
      <c r="I336" s="2" t="s">
        <v>83</v>
      </c>
    </row>
    <row r="337" spans="1:9" x14ac:dyDescent="0.3">
      <c r="A337">
        <v>1286</v>
      </c>
      <c r="B337">
        <v>0</v>
      </c>
      <c r="C337">
        <v>1</v>
      </c>
      <c r="D337">
        <v>0</v>
      </c>
      <c r="E337">
        <v>0</v>
      </c>
      <c r="F337">
        <v>0</v>
      </c>
      <c r="G337">
        <v>0</v>
      </c>
      <c r="H337">
        <v>0</v>
      </c>
      <c r="I337" s="2" t="s">
        <v>84</v>
      </c>
    </row>
    <row r="338" spans="1:9" x14ac:dyDescent="0.3">
      <c r="A338">
        <v>1428</v>
      </c>
      <c r="B338">
        <v>0</v>
      </c>
      <c r="C338">
        <v>0</v>
      </c>
      <c r="D338">
        <v>0</v>
      </c>
      <c r="E338">
        <v>0</v>
      </c>
      <c r="F338">
        <v>0</v>
      </c>
      <c r="G338">
        <v>0</v>
      </c>
      <c r="H338">
        <v>0</v>
      </c>
      <c r="I338" s="2" t="s">
        <v>84</v>
      </c>
    </row>
    <row r="339" spans="1:9" x14ac:dyDescent="0.3">
      <c r="A339">
        <v>1497</v>
      </c>
      <c r="B339">
        <v>0</v>
      </c>
      <c r="C339">
        <v>0</v>
      </c>
      <c r="D339">
        <v>1</v>
      </c>
      <c r="E339">
        <v>0</v>
      </c>
      <c r="F339">
        <v>0</v>
      </c>
      <c r="G339">
        <v>0</v>
      </c>
      <c r="H339">
        <v>0</v>
      </c>
      <c r="I339" s="2" t="s">
        <v>84</v>
      </c>
    </row>
    <row r="340" spans="1:9" x14ac:dyDescent="0.3">
      <c r="A340">
        <v>1835</v>
      </c>
      <c r="B340">
        <v>0</v>
      </c>
      <c r="C340">
        <v>1</v>
      </c>
      <c r="D340">
        <v>0</v>
      </c>
      <c r="E340">
        <v>1</v>
      </c>
      <c r="F340">
        <v>0</v>
      </c>
      <c r="G340">
        <v>0</v>
      </c>
      <c r="H340">
        <v>1</v>
      </c>
      <c r="I340" s="2" t="s">
        <v>84</v>
      </c>
    </row>
    <row r="341" spans="1:9" x14ac:dyDescent="0.3">
      <c r="A341">
        <v>2061</v>
      </c>
      <c r="B341">
        <v>0</v>
      </c>
      <c r="C341">
        <v>0</v>
      </c>
      <c r="D341">
        <v>0</v>
      </c>
      <c r="E341">
        <v>0</v>
      </c>
      <c r="F341">
        <v>0</v>
      </c>
      <c r="G341">
        <v>0</v>
      </c>
      <c r="H341">
        <v>0</v>
      </c>
      <c r="I341" s="2" t="s">
        <v>84</v>
      </c>
    </row>
    <row r="342" spans="1:9" x14ac:dyDescent="0.3">
      <c r="A342">
        <v>2070</v>
      </c>
      <c r="B342">
        <v>0</v>
      </c>
      <c r="C342">
        <v>0</v>
      </c>
      <c r="D342">
        <v>0</v>
      </c>
      <c r="E342">
        <v>0</v>
      </c>
      <c r="F342">
        <v>0</v>
      </c>
      <c r="G342">
        <v>0</v>
      </c>
      <c r="H342">
        <v>1</v>
      </c>
      <c r="I342" s="2" t="s">
        <v>84</v>
      </c>
    </row>
    <row r="343" spans="1:9" x14ac:dyDescent="0.3">
      <c r="A343">
        <v>2152</v>
      </c>
      <c r="B343">
        <v>0</v>
      </c>
      <c r="C343">
        <v>0</v>
      </c>
      <c r="D343">
        <v>0</v>
      </c>
      <c r="E343">
        <v>0</v>
      </c>
      <c r="F343">
        <v>0</v>
      </c>
      <c r="G343">
        <v>0</v>
      </c>
      <c r="H343">
        <v>0</v>
      </c>
      <c r="I343" s="2" t="s">
        <v>84</v>
      </c>
    </row>
    <row r="344" spans="1:9" x14ac:dyDescent="0.3">
      <c r="A344">
        <v>2394</v>
      </c>
      <c r="B344">
        <v>0</v>
      </c>
      <c r="C344">
        <v>0</v>
      </c>
      <c r="D344">
        <v>0</v>
      </c>
      <c r="E344">
        <v>0</v>
      </c>
      <c r="F344">
        <v>0</v>
      </c>
      <c r="G344">
        <v>0</v>
      </c>
      <c r="H344">
        <v>0</v>
      </c>
      <c r="I344" s="2" t="s">
        <v>85</v>
      </c>
    </row>
    <row r="345" spans="1:9" x14ac:dyDescent="0.3">
      <c r="A345">
        <v>3157</v>
      </c>
      <c r="B345">
        <v>0</v>
      </c>
      <c r="C345">
        <v>0</v>
      </c>
      <c r="D345">
        <v>0</v>
      </c>
      <c r="E345">
        <v>0</v>
      </c>
      <c r="F345">
        <v>0</v>
      </c>
      <c r="G345">
        <v>0</v>
      </c>
      <c r="H345">
        <v>0</v>
      </c>
      <c r="I345" s="2" t="s">
        <v>85</v>
      </c>
    </row>
    <row r="346" spans="1:9" x14ac:dyDescent="0.3">
      <c r="A346">
        <v>1010</v>
      </c>
      <c r="B346">
        <v>1</v>
      </c>
      <c r="C346">
        <v>0</v>
      </c>
      <c r="D346">
        <v>0</v>
      </c>
      <c r="E346">
        <v>0</v>
      </c>
      <c r="F346">
        <v>0</v>
      </c>
      <c r="G346">
        <v>0</v>
      </c>
      <c r="H346">
        <v>0</v>
      </c>
      <c r="I346" s="2" t="s">
        <v>86</v>
      </c>
    </row>
    <row r="347" spans="1:9" x14ac:dyDescent="0.3">
      <c r="A347">
        <v>1682</v>
      </c>
      <c r="B347">
        <v>0</v>
      </c>
      <c r="C347">
        <v>0</v>
      </c>
      <c r="D347">
        <v>0</v>
      </c>
      <c r="E347">
        <v>0</v>
      </c>
      <c r="F347">
        <v>0</v>
      </c>
      <c r="G347">
        <v>0</v>
      </c>
      <c r="H347">
        <v>0</v>
      </c>
      <c r="I347" s="2" t="s">
        <v>87</v>
      </c>
    </row>
    <row r="348" spans="1:9" x14ac:dyDescent="0.3">
      <c r="A348">
        <v>1797</v>
      </c>
      <c r="B348">
        <v>0</v>
      </c>
      <c r="C348">
        <v>0</v>
      </c>
      <c r="D348">
        <v>0</v>
      </c>
      <c r="E348">
        <v>0</v>
      </c>
      <c r="F348">
        <v>0</v>
      </c>
      <c r="G348">
        <v>0</v>
      </c>
      <c r="H348">
        <v>0</v>
      </c>
      <c r="I348" s="2" t="s">
        <v>87</v>
      </c>
    </row>
    <row r="349" spans="1:9" x14ac:dyDescent="0.3">
      <c r="A349">
        <v>2075</v>
      </c>
      <c r="B349">
        <v>0</v>
      </c>
      <c r="C349">
        <v>0</v>
      </c>
      <c r="D349">
        <v>0</v>
      </c>
      <c r="E349">
        <v>0</v>
      </c>
      <c r="F349">
        <v>0</v>
      </c>
      <c r="G349">
        <v>0</v>
      </c>
      <c r="H349">
        <v>0</v>
      </c>
      <c r="I349" s="2" t="s">
        <v>87</v>
      </c>
    </row>
    <row r="350" spans="1:9" x14ac:dyDescent="0.3">
      <c r="A350">
        <v>2708</v>
      </c>
      <c r="B350">
        <v>0</v>
      </c>
      <c r="C350">
        <v>0</v>
      </c>
      <c r="D350">
        <v>1</v>
      </c>
      <c r="E350">
        <v>0</v>
      </c>
      <c r="F350">
        <v>0</v>
      </c>
      <c r="G350">
        <v>0</v>
      </c>
      <c r="H350">
        <v>0</v>
      </c>
      <c r="I350" s="2" t="s">
        <v>87</v>
      </c>
    </row>
    <row r="351" spans="1:9" x14ac:dyDescent="0.3">
      <c r="A351">
        <v>3126</v>
      </c>
      <c r="B351">
        <v>0</v>
      </c>
      <c r="C351">
        <v>1</v>
      </c>
      <c r="D351">
        <v>0</v>
      </c>
      <c r="E351">
        <v>0</v>
      </c>
      <c r="F351">
        <v>0</v>
      </c>
      <c r="G351">
        <v>0</v>
      </c>
      <c r="H351">
        <v>0</v>
      </c>
      <c r="I351" s="2" t="s">
        <v>87</v>
      </c>
    </row>
    <row r="352" spans="1:9" x14ac:dyDescent="0.3">
      <c r="A352">
        <v>1301</v>
      </c>
      <c r="B352">
        <v>0</v>
      </c>
      <c r="C352">
        <v>0</v>
      </c>
      <c r="D352">
        <v>0</v>
      </c>
      <c r="E352">
        <v>0</v>
      </c>
      <c r="F352">
        <v>0</v>
      </c>
      <c r="G352">
        <v>0</v>
      </c>
      <c r="H352">
        <v>0</v>
      </c>
      <c r="I352" s="2" t="s">
        <v>88</v>
      </c>
    </row>
    <row r="353" spans="1:10" x14ac:dyDescent="0.3">
      <c r="A353">
        <v>2491</v>
      </c>
      <c r="B353">
        <v>0</v>
      </c>
      <c r="C353">
        <v>0</v>
      </c>
      <c r="D353">
        <v>0</v>
      </c>
      <c r="E353">
        <v>0</v>
      </c>
      <c r="F353">
        <v>0</v>
      </c>
      <c r="G353">
        <v>0</v>
      </c>
      <c r="H353">
        <v>0</v>
      </c>
      <c r="I353" s="2" t="s">
        <v>88</v>
      </c>
    </row>
    <row r="354" spans="1:10" x14ac:dyDescent="0.3">
      <c r="A354">
        <v>1605</v>
      </c>
      <c r="B354">
        <v>0</v>
      </c>
      <c r="C354">
        <v>1</v>
      </c>
      <c r="D354">
        <v>1</v>
      </c>
      <c r="E354">
        <v>0</v>
      </c>
      <c r="F354">
        <v>0</v>
      </c>
      <c r="G354">
        <v>0</v>
      </c>
      <c r="H354">
        <v>0</v>
      </c>
      <c r="I354" s="2" t="s">
        <v>89</v>
      </c>
    </row>
    <row r="355" spans="1:10" x14ac:dyDescent="0.3">
      <c r="A355">
        <v>1618</v>
      </c>
      <c r="B355">
        <v>0</v>
      </c>
      <c r="C355">
        <v>0</v>
      </c>
      <c r="D355">
        <v>0</v>
      </c>
      <c r="E355">
        <v>0</v>
      </c>
      <c r="F355">
        <v>0</v>
      </c>
      <c r="G355">
        <v>0</v>
      </c>
      <c r="H355">
        <v>0</v>
      </c>
      <c r="I355" s="2" t="s">
        <v>89</v>
      </c>
    </row>
    <row r="356" spans="1:10" x14ac:dyDescent="0.3">
      <c r="A356">
        <v>1890</v>
      </c>
      <c r="B356">
        <v>0</v>
      </c>
      <c r="C356">
        <v>0</v>
      </c>
      <c r="D356">
        <v>0</v>
      </c>
      <c r="E356">
        <v>0</v>
      </c>
      <c r="F356">
        <v>0</v>
      </c>
      <c r="G356">
        <v>0</v>
      </c>
      <c r="H356">
        <v>0</v>
      </c>
      <c r="I356" s="2" t="s">
        <v>89</v>
      </c>
    </row>
    <row r="357" spans="1:10" x14ac:dyDescent="0.3">
      <c r="A357">
        <v>2844</v>
      </c>
      <c r="B357">
        <v>0</v>
      </c>
      <c r="C357">
        <v>1</v>
      </c>
      <c r="D357">
        <v>1</v>
      </c>
      <c r="E357">
        <v>1</v>
      </c>
      <c r="F357">
        <v>0</v>
      </c>
      <c r="G357">
        <v>0</v>
      </c>
      <c r="H357">
        <v>1</v>
      </c>
      <c r="I357" s="2" t="s">
        <v>89</v>
      </c>
    </row>
    <row r="358" spans="1:10" x14ac:dyDescent="0.3">
      <c r="A358">
        <v>3142</v>
      </c>
      <c r="B358">
        <v>0</v>
      </c>
      <c r="C358">
        <v>1</v>
      </c>
      <c r="D358">
        <v>0</v>
      </c>
      <c r="E358">
        <v>1</v>
      </c>
      <c r="F358">
        <v>0</v>
      </c>
      <c r="G358">
        <v>0</v>
      </c>
      <c r="H358">
        <v>0</v>
      </c>
      <c r="I358" s="2" t="s">
        <v>89</v>
      </c>
    </row>
    <row r="359" spans="1:10" x14ac:dyDescent="0.3">
      <c r="A359">
        <v>1728</v>
      </c>
      <c r="B359">
        <v>0</v>
      </c>
      <c r="C359">
        <v>0</v>
      </c>
      <c r="D359">
        <v>0</v>
      </c>
      <c r="E359">
        <v>0</v>
      </c>
      <c r="F359">
        <v>0</v>
      </c>
      <c r="G359">
        <v>0</v>
      </c>
      <c r="H359">
        <v>0</v>
      </c>
      <c r="I359" s="2" t="s">
        <v>90</v>
      </c>
    </row>
    <row r="360" spans="1:10" x14ac:dyDescent="0.3">
      <c r="A360">
        <v>2584</v>
      </c>
      <c r="B360">
        <v>0</v>
      </c>
      <c r="C360">
        <v>0</v>
      </c>
      <c r="D360">
        <v>0</v>
      </c>
      <c r="E360">
        <v>0</v>
      </c>
      <c r="F360">
        <v>0</v>
      </c>
      <c r="G360">
        <v>0</v>
      </c>
      <c r="H360">
        <v>0</v>
      </c>
      <c r="I360" s="2" t="s">
        <v>90</v>
      </c>
    </row>
    <row r="361" spans="1:10" x14ac:dyDescent="0.3">
      <c r="A361">
        <v>1002</v>
      </c>
      <c r="B361">
        <v>0</v>
      </c>
      <c r="C361">
        <v>0</v>
      </c>
      <c r="D361">
        <v>0</v>
      </c>
      <c r="E361">
        <v>0</v>
      </c>
      <c r="F361">
        <v>0</v>
      </c>
      <c r="G361">
        <v>0</v>
      </c>
      <c r="H361">
        <v>0</v>
      </c>
      <c r="I361" s="2">
        <v>44173</v>
      </c>
      <c r="J361" s="1"/>
    </row>
    <row r="362" spans="1:10" x14ac:dyDescent="0.3">
      <c r="A362">
        <v>1175</v>
      </c>
      <c r="B362">
        <v>0</v>
      </c>
      <c r="C362">
        <v>0</v>
      </c>
      <c r="D362">
        <v>0</v>
      </c>
      <c r="E362">
        <v>0</v>
      </c>
      <c r="F362">
        <v>0</v>
      </c>
      <c r="G362">
        <v>0</v>
      </c>
      <c r="H362">
        <v>0</v>
      </c>
      <c r="I362" s="2">
        <v>44173</v>
      </c>
      <c r="J362" s="1"/>
    </row>
    <row r="363" spans="1:10" x14ac:dyDescent="0.3">
      <c r="A363">
        <v>1529</v>
      </c>
      <c r="B363">
        <v>0</v>
      </c>
      <c r="C363">
        <v>0</v>
      </c>
      <c r="D363">
        <v>0</v>
      </c>
      <c r="E363">
        <v>0</v>
      </c>
      <c r="F363">
        <v>0</v>
      </c>
      <c r="G363">
        <v>0</v>
      </c>
      <c r="H363">
        <v>0</v>
      </c>
      <c r="I363" s="2">
        <v>44173</v>
      </c>
      <c r="J363" s="1"/>
    </row>
    <row r="364" spans="1:10" x14ac:dyDescent="0.3">
      <c r="A364">
        <v>2527</v>
      </c>
      <c r="B364">
        <v>0</v>
      </c>
      <c r="C364">
        <v>0</v>
      </c>
      <c r="D364">
        <v>0</v>
      </c>
      <c r="E364">
        <v>0</v>
      </c>
      <c r="F364">
        <v>0</v>
      </c>
      <c r="G364">
        <v>0</v>
      </c>
      <c r="H364">
        <v>0</v>
      </c>
      <c r="I364" s="2">
        <v>44173</v>
      </c>
      <c r="J364" s="1"/>
    </row>
    <row r="365" spans="1:10" x14ac:dyDescent="0.3">
      <c r="A365">
        <v>2630</v>
      </c>
      <c r="B365">
        <v>0</v>
      </c>
      <c r="C365">
        <v>0</v>
      </c>
      <c r="D365">
        <v>0</v>
      </c>
      <c r="E365">
        <v>0</v>
      </c>
      <c r="F365">
        <v>0</v>
      </c>
      <c r="G365">
        <v>0</v>
      </c>
      <c r="H365">
        <v>0</v>
      </c>
      <c r="I365" s="2">
        <v>44173</v>
      </c>
      <c r="J365" s="1"/>
    </row>
    <row r="366" spans="1:10" x14ac:dyDescent="0.3">
      <c r="A366">
        <v>1141</v>
      </c>
      <c r="B366">
        <v>0</v>
      </c>
      <c r="C366">
        <v>1</v>
      </c>
      <c r="D366">
        <v>0</v>
      </c>
      <c r="E366">
        <v>0</v>
      </c>
      <c r="F366">
        <v>0</v>
      </c>
      <c r="G366">
        <v>0</v>
      </c>
      <c r="H366">
        <v>0</v>
      </c>
      <c r="I366" s="2">
        <v>44143</v>
      </c>
      <c r="J366" s="1"/>
    </row>
    <row r="367" spans="1:10" x14ac:dyDescent="0.3">
      <c r="A367">
        <v>2310</v>
      </c>
      <c r="B367">
        <v>0</v>
      </c>
      <c r="C367">
        <v>0</v>
      </c>
      <c r="D367">
        <v>0</v>
      </c>
      <c r="E367">
        <v>0</v>
      </c>
      <c r="F367">
        <v>0</v>
      </c>
      <c r="G367">
        <v>0</v>
      </c>
      <c r="H367">
        <v>0</v>
      </c>
      <c r="I367" s="2">
        <v>44143</v>
      </c>
      <c r="J367" s="1"/>
    </row>
    <row r="368" spans="1:10" x14ac:dyDescent="0.3">
      <c r="A368">
        <v>1452</v>
      </c>
      <c r="B368">
        <v>0</v>
      </c>
      <c r="C368">
        <v>0</v>
      </c>
      <c r="D368">
        <v>0</v>
      </c>
      <c r="E368">
        <v>0</v>
      </c>
      <c r="F368">
        <v>0</v>
      </c>
      <c r="G368">
        <v>0</v>
      </c>
      <c r="H368">
        <v>0</v>
      </c>
      <c r="I368" s="2">
        <v>44112</v>
      </c>
      <c r="J368" s="1"/>
    </row>
    <row r="369" spans="1:10" x14ac:dyDescent="0.3">
      <c r="A369">
        <v>2245</v>
      </c>
      <c r="B369">
        <v>0</v>
      </c>
      <c r="C369">
        <v>0</v>
      </c>
      <c r="D369">
        <v>0</v>
      </c>
      <c r="E369">
        <v>0</v>
      </c>
      <c r="F369">
        <v>0</v>
      </c>
      <c r="G369">
        <v>0</v>
      </c>
      <c r="H369">
        <v>1</v>
      </c>
      <c r="I369" s="2">
        <v>44112</v>
      </c>
      <c r="J369" s="1"/>
    </row>
    <row r="370" spans="1:10" x14ac:dyDescent="0.3">
      <c r="A370">
        <v>1294</v>
      </c>
      <c r="B370">
        <v>0</v>
      </c>
      <c r="C370">
        <v>0</v>
      </c>
      <c r="D370">
        <v>1</v>
      </c>
      <c r="E370">
        <v>0</v>
      </c>
      <c r="F370">
        <v>0</v>
      </c>
      <c r="G370">
        <v>0</v>
      </c>
      <c r="H370">
        <v>0</v>
      </c>
      <c r="I370" s="2">
        <v>44082</v>
      </c>
      <c r="J370" s="1"/>
    </row>
    <row r="371" spans="1:10" x14ac:dyDescent="0.3">
      <c r="A371">
        <v>2674</v>
      </c>
      <c r="B371">
        <v>0</v>
      </c>
      <c r="C371">
        <v>0</v>
      </c>
      <c r="D371">
        <v>0</v>
      </c>
      <c r="E371">
        <v>0</v>
      </c>
      <c r="F371">
        <v>0</v>
      </c>
      <c r="G371">
        <v>0</v>
      </c>
      <c r="H371">
        <v>0</v>
      </c>
      <c r="I371" s="2">
        <v>44082</v>
      </c>
      <c r="J371" s="1"/>
    </row>
    <row r="372" spans="1:10" x14ac:dyDescent="0.3">
      <c r="A372">
        <v>3138</v>
      </c>
      <c r="B372">
        <v>0</v>
      </c>
      <c r="C372">
        <v>1</v>
      </c>
      <c r="D372">
        <v>0</v>
      </c>
      <c r="E372">
        <v>0</v>
      </c>
      <c r="F372">
        <v>0</v>
      </c>
      <c r="G372">
        <v>0</v>
      </c>
      <c r="H372">
        <v>0</v>
      </c>
      <c r="I372" s="2">
        <v>44082</v>
      </c>
      <c r="J372" s="1"/>
    </row>
    <row r="373" spans="1:10" x14ac:dyDescent="0.3">
      <c r="A373">
        <v>1837</v>
      </c>
      <c r="B373">
        <v>0</v>
      </c>
      <c r="C373">
        <v>0</v>
      </c>
      <c r="D373">
        <v>0</v>
      </c>
      <c r="E373">
        <v>0</v>
      </c>
      <c r="F373">
        <v>0</v>
      </c>
      <c r="G373">
        <v>0</v>
      </c>
      <c r="H373">
        <v>0</v>
      </c>
      <c r="I373" s="2">
        <v>44051</v>
      </c>
      <c r="J373" s="1"/>
    </row>
    <row r="374" spans="1:10" x14ac:dyDescent="0.3">
      <c r="A374">
        <v>2050</v>
      </c>
      <c r="B374">
        <v>0</v>
      </c>
      <c r="C374">
        <v>0</v>
      </c>
      <c r="D374">
        <v>0</v>
      </c>
      <c r="E374">
        <v>0</v>
      </c>
      <c r="F374">
        <v>0</v>
      </c>
      <c r="G374">
        <v>1</v>
      </c>
      <c r="H374">
        <v>0</v>
      </c>
      <c r="I374" s="2">
        <v>44051</v>
      </c>
      <c r="J374" s="1"/>
    </row>
    <row r="375" spans="1:10" x14ac:dyDescent="0.3">
      <c r="A375">
        <v>3129</v>
      </c>
      <c r="B375">
        <v>0</v>
      </c>
      <c r="C375">
        <v>0</v>
      </c>
      <c r="D375">
        <v>0</v>
      </c>
      <c r="E375">
        <v>0</v>
      </c>
      <c r="F375">
        <v>0</v>
      </c>
      <c r="G375">
        <v>0</v>
      </c>
      <c r="H375">
        <v>0</v>
      </c>
      <c r="I375" s="2">
        <v>44051</v>
      </c>
      <c r="J375" s="1"/>
    </row>
    <row r="376" spans="1:10" x14ac:dyDescent="0.3">
      <c r="A376">
        <v>1055</v>
      </c>
      <c r="B376">
        <v>0</v>
      </c>
      <c r="C376">
        <v>0</v>
      </c>
      <c r="D376">
        <v>0</v>
      </c>
      <c r="E376">
        <v>0</v>
      </c>
      <c r="F376">
        <v>0</v>
      </c>
      <c r="G376">
        <v>0</v>
      </c>
      <c r="H376">
        <v>0</v>
      </c>
      <c r="I376" s="2">
        <v>44020</v>
      </c>
      <c r="J376" s="1"/>
    </row>
    <row r="377" spans="1:10" x14ac:dyDescent="0.3">
      <c r="A377">
        <v>1449</v>
      </c>
      <c r="B377">
        <v>0</v>
      </c>
      <c r="C377">
        <v>0</v>
      </c>
      <c r="D377">
        <v>0</v>
      </c>
      <c r="E377">
        <v>0</v>
      </c>
      <c r="F377">
        <v>0</v>
      </c>
      <c r="G377">
        <v>0</v>
      </c>
      <c r="H377">
        <v>0</v>
      </c>
      <c r="I377" s="2">
        <v>44020</v>
      </c>
      <c r="J377" s="1"/>
    </row>
    <row r="378" spans="1:10" x14ac:dyDescent="0.3">
      <c r="A378">
        <v>2601</v>
      </c>
      <c r="B378">
        <v>0</v>
      </c>
      <c r="C378">
        <v>0</v>
      </c>
      <c r="D378">
        <v>0</v>
      </c>
      <c r="E378">
        <v>0</v>
      </c>
      <c r="F378">
        <v>0</v>
      </c>
      <c r="G378">
        <v>0</v>
      </c>
      <c r="H378">
        <v>0</v>
      </c>
      <c r="I378" s="2">
        <v>44020</v>
      </c>
      <c r="J378" s="1"/>
    </row>
    <row r="379" spans="1:10" x14ac:dyDescent="0.3">
      <c r="A379">
        <v>2368</v>
      </c>
      <c r="B379">
        <v>0</v>
      </c>
      <c r="C379">
        <v>0</v>
      </c>
      <c r="D379">
        <v>0</v>
      </c>
      <c r="E379">
        <v>0</v>
      </c>
      <c r="F379">
        <v>0</v>
      </c>
      <c r="G379">
        <v>0</v>
      </c>
      <c r="H379">
        <v>0</v>
      </c>
      <c r="I379" s="2">
        <v>43990</v>
      </c>
      <c r="J379" s="1"/>
    </row>
    <row r="380" spans="1:10" x14ac:dyDescent="0.3">
      <c r="A380">
        <v>2580</v>
      </c>
      <c r="B380">
        <v>0</v>
      </c>
      <c r="C380">
        <v>0</v>
      </c>
      <c r="D380">
        <v>0</v>
      </c>
      <c r="E380">
        <v>0</v>
      </c>
      <c r="F380">
        <v>0</v>
      </c>
      <c r="G380">
        <v>0</v>
      </c>
      <c r="H380">
        <v>0</v>
      </c>
      <c r="I380" s="2">
        <v>43990</v>
      </c>
      <c r="J380" s="1"/>
    </row>
    <row r="381" spans="1:10" x14ac:dyDescent="0.3">
      <c r="A381">
        <v>2984</v>
      </c>
      <c r="B381">
        <v>0</v>
      </c>
      <c r="C381">
        <v>0</v>
      </c>
      <c r="D381">
        <v>0</v>
      </c>
      <c r="E381">
        <v>0</v>
      </c>
      <c r="F381">
        <v>0</v>
      </c>
      <c r="G381">
        <v>0</v>
      </c>
      <c r="H381">
        <v>0</v>
      </c>
      <c r="I381" s="2">
        <v>43990</v>
      </c>
      <c r="J381" s="1"/>
    </row>
    <row r="382" spans="1:10" x14ac:dyDescent="0.3">
      <c r="A382">
        <v>1270</v>
      </c>
      <c r="B382">
        <v>0</v>
      </c>
      <c r="C382">
        <v>0</v>
      </c>
      <c r="D382">
        <v>0</v>
      </c>
      <c r="E382">
        <v>0</v>
      </c>
      <c r="F382">
        <v>0</v>
      </c>
      <c r="G382">
        <v>0</v>
      </c>
      <c r="H382">
        <v>0</v>
      </c>
      <c r="I382" s="2">
        <v>43959</v>
      </c>
      <c r="J382" s="1"/>
    </row>
    <row r="383" spans="1:10" x14ac:dyDescent="0.3">
      <c r="A383">
        <v>1289</v>
      </c>
      <c r="B383">
        <v>0</v>
      </c>
      <c r="C383">
        <v>0</v>
      </c>
      <c r="D383">
        <v>0</v>
      </c>
      <c r="E383">
        <v>0</v>
      </c>
      <c r="F383">
        <v>0</v>
      </c>
      <c r="G383">
        <v>0</v>
      </c>
      <c r="H383">
        <v>0</v>
      </c>
      <c r="I383" s="2">
        <v>43959</v>
      </c>
      <c r="J383" s="1"/>
    </row>
    <row r="384" spans="1:10" x14ac:dyDescent="0.3">
      <c r="A384">
        <v>1503</v>
      </c>
      <c r="B384">
        <v>0</v>
      </c>
      <c r="C384">
        <v>0</v>
      </c>
      <c r="D384">
        <v>1</v>
      </c>
      <c r="E384">
        <v>1</v>
      </c>
      <c r="F384">
        <v>0</v>
      </c>
      <c r="G384">
        <v>0</v>
      </c>
      <c r="H384">
        <v>0</v>
      </c>
      <c r="I384" s="2">
        <v>43959</v>
      </c>
      <c r="J384" s="1"/>
    </row>
    <row r="385" spans="1:10" x14ac:dyDescent="0.3">
      <c r="A385">
        <v>1505</v>
      </c>
      <c r="B385">
        <v>1</v>
      </c>
      <c r="C385">
        <v>0</v>
      </c>
      <c r="D385">
        <v>0</v>
      </c>
      <c r="E385">
        <v>0</v>
      </c>
      <c r="F385">
        <v>0</v>
      </c>
      <c r="G385">
        <v>0</v>
      </c>
      <c r="H385">
        <v>0</v>
      </c>
      <c r="I385" s="2">
        <v>43959</v>
      </c>
      <c r="J385" s="1"/>
    </row>
    <row r="386" spans="1:10" x14ac:dyDescent="0.3">
      <c r="A386">
        <v>1810</v>
      </c>
      <c r="B386">
        <v>0</v>
      </c>
      <c r="C386">
        <v>0</v>
      </c>
      <c r="D386">
        <v>0</v>
      </c>
      <c r="E386">
        <v>0</v>
      </c>
      <c r="F386">
        <v>0</v>
      </c>
      <c r="G386">
        <v>0</v>
      </c>
      <c r="H386">
        <v>0</v>
      </c>
      <c r="I386" s="2">
        <v>43959</v>
      </c>
      <c r="J386" s="1"/>
    </row>
    <row r="387" spans="1:10" x14ac:dyDescent="0.3">
      <c r="A387">
        <v>2684</v>
      </c>
      <c r="B387">
        <v>0</v>
      </c>
      <c r="C387">
        <v>0</v>
      </c>
      <c r="D387">
        <v>0</v>
      </c>
      <c r="E387">
        <v>0</v>
      </c>
      <c r="F387">
        <v>0</v>
      </c>
      <c r="G387">
        <v>0</v>
      </c>
      <c r="H387">
        <v>0</v>
      </c>
      <c r="I387" s="2">
        <v>43959</v>
      </c>
      <c r="J387" s="1"/>
    </row>
    <row r="388" spans="1:10" x14ac:dyDescent="0.3">
      <c r="A388">
        <v>2845</v>
      </c>
      <c r="B388">
        <v>0</v>
      </c>
      <c r="C388">
        <v>0</v>
      </c>
      <c r="D388">
        <v>0</v>
      </c>
      <c r="E388">
        <v>0</v>
      </c>
      <c r="F388">
        <v>0</v>
      </c>
      <c r="G388">
        <v>0</v>
      </c>
      <c r="H388">
        <v>0</v>
      </c>
      <c r="I388" s="2">
        <v>43959</v>
      </c>
      <c r="J388" s="1"/>
    </row>
    <row r="389" spans="1:10" x14ac:dyDescent="0.3">
      <c r="A389">
        <v>3106</v>
      </c>
      <c r="B389">
        <v>0</v>
      </c>
      <c r="C389">
        <v>0</v>
      </c>
      <c r="D389">
        <v>0</v>
      </c>
      <c r="E389">
        <v>0</v>
      </c>
      <c r="F389">
        <v>0</v>
      </c>
      <c r="G389">
        <v>0</v>
      </c>
      <c r="H389">
        <v>0</v>
      </c>
      <c r="I389" s="2">
        <v>43959</v>
      </c>
      <c r="J389" s="1"/>
    </row>
    <row r="390" spans="1:10" x14ac:dyDescent="0.3">
      <c r="A390">
        <v>2942</v>
      </c>
      <c r="B390">
        <v>0</v>
      </c>
      <c r="C390">
        <v>0</v>
      </c>
      <c r="D390">
        <v>0</v>
      </c>
      <c r="E390">
        <v>0</v>
      </c>
      <c r="F390">
        <v>0</v>
      </c>
      <c r="G390">
        <v>0</v>
      </c>
      <c r="H390">
        <v>0</v>
      </c>
      <c r="I390" s="2">
        <v>43929</v>
      </c>
      <c r="J390" s="1"/>
    </row>
    <row r="391" spans="1:10" x14ac:dyDescent="0.3">
      <c r="A391">
        <v>3111</v>
      </c>
      <c r="B391">
        <v>0</v>
      </c>
      <c r="C391">
        <v>0</v>
      </c>
      <c r="D391">
        <v>0</v>
      </c>
      <c r="E391">
        <v>0</v>
      </c>
      <c r="F391">
        <v>0</v>
      </c>
      <c r="G391">
        <v>0</v>
      </c>
      <c r="H391">
        <v>0</v>
      </c>
      <c r="I391" s="2">
        <v>43929</v>
      </c>
      <c r="J391" s="1"/>
    </row>
    <row r="392" spans="1:10" x14ac:dyDescent="0.3">
      <c r="A392">
        <v>2170</v>
      </c>
      <c r="B392">
        <v>0</v>
      </c>
      <c r="C392">
        <v>0</v>
      </c>
      <c r="D392">
        <v>0</v>
      </c>
      <c r="E392">
        <v>0</v>
      </c>
      <c r="F392">
        <v>0</v>
      </c>
      <c r="G392">
        <v>0</v>
      </c>
      <c r="H392">
        <v>0</v>
      </c>
      <c r="I392" s="2">
        <v>43898</v>
      </c>
      <c r="J392" s="1"/>
    </row>
    <row r="393" spans="1:10" x14ac:dyDescent="0.3">
      <c r="A393">
        <v>2727</v>
      </c>
      <c r="B393">
        <v>0</v>
      </c>
      <c r="C393">
        <v>0</v>
      </c>
      <c r="D393">
        <v>0</v>
      </c>
      <c r="E393">
        <v>0</v>
      </c>
      <c r="F393">
        <v>0</v>
      </c>
      <c r="G393">
        <v>0</v>
      </c>
      <c r="H393">
        <v>0</v>
      </c>
      <c r="I393" s="2">
        <v>43898</v>
      </c>
      <c r="J393" s="1"/>
    </row>
    <row r="394" spans="1:10" x14ac:dyDescent="0.3">
      <c r="A394">
        <v>2017</v>
      </c>
      <c r="B394">
        <v>0</v>
      </c>
      <c r="C394">
        <v>0</v>
      </c>
      <c r="D394">
        <v>0</v>
      </c>
      <c r="E394">
        <v>0</v>
      </c>
      <c r="F394">
        <v>0</v>
      </c>
      <c r="G394">
        <v>0</v>
      </c>
      <c r="H394">
        <v>0</v>
      </c>
      <c r="I394" s="2">
        <v>43869</v>
      </c>
      <c r="J394" s="1"/>
    </row>
    <row r="395" spans="1:10" x14ac:dyDescent="0.3">
      <c r="A395">
        <v>2626</v>
      </c>
      <c r="B395">
        <v>0</v>
      </c>
      <c r="C395">
        <v>0</v>
      </c>
      <c r="D395">
        <v>0</v>
      </c>
      <c r="E395">
        <v>0</v>
      </c>
      <c r="F395">
        <v>0</v>
      </c>
      <c r="G395">
        <v>0</v>
      </c>
      <c r="H395">
        <v>0</v>
      </c>
      <c r="I395" s="2">
        <v>43869</v>
      </c>
      <c r="J395" s="1"/>
    </row>
    <row r="396" spans="1:10" x14ac:dyDescent="0.3">
      <c r="A396">
        <v>1079</v>
      </c>
      <c r="B396">
        <v>0</v>
      </c>
      <c r="C396">
        <v>0</v>
      </c>
      <c r="D396">
        <v>0</v>
      </c>
      <c r="E396">
        <v>0</v>
      </c>
      <c r="F396">
        <v>0</v>
      </c>
      <c r="G396">
        <v>0</v>
      </c>
      <c r="H396">
        <v>0</v>
      </c>
      <c r="I396" s="2">
        <v>43838</v>
      </c>
      <c r="J396" s="1"/>
    </row>
    <row r="397" spans="1:10" x14ac:dyDescent="0.3">
      <c r="A397">
        <v>1158</v>
      </c>
      <c r="B397">
        <v>0</v>
      </c>
      <c r="C397">
        <v>0</v>
      </c>
      <c r="D397">
        <v>0</v>
      </c>
      <c r="E397">
        <v>0</v>
      </c>
      <c r="F397">
        <v>0</v>
      </c>
      <c r="G397">
        <v>0</v>
      </c>
      <c r="H397">
        <v>0</v>
      </c>
      <c r="I397" s="2">
        <v>43838</v>
      </c>
      <c r="J397" s="1"/>
    </row>
    <row r="398" spans="1:10" x14ac:dyDescent="0.3">
      <c r="A398">
        <v>1378</v>
      </c>
      <c r="B398">
        <v>0</v>
      </c>
      <c r="C398">
        <v>0</v>
      </c>
      <c r="D398">
        <v>0</v>
      </c>
      <c r="E398">
        <v>0</v>
      </c>
      <c r="F398">
        <v>0</v>
      </c>
      <c r="G398">
        <v>0</v>
      </c>
      <c r="H398">
        <v>0</v>
      </c>
      <c r="I398" s="2">
        <v>43838</v>
      </c>
      <c r="J398" s="1"/>
    </row>
    <row r="399" spans="1:10" x14ac:dyDescent="0.3">
      <c r="A399">
        <v>1978</v>
      </c>
      <c r="B399">
        <v>0</v>
      </c>
      <c r="C399">
        <v>0</v>
      </c>
      <c r="D399">
        <v>0</v>
      </c>
      <c r="E399">
        <v>0</v>
      </c>
      <c r="F399">
        <v>0</v>
      </c>
      <c r="G399">
        <v>0</v>
      </c>
      <c r="H399">
        <v>0</v>
      </c>
      <c r="I399" s="2">
        <v>43838</v>
      </c>
      <c r="J399" s="1"/>
    </row>
    <row r="400" spans="1:10" x14ac:dyDescent="0.3">
      <c r="A400">
        <v>2560</v>
      </c>
      <c r="B400">
        <v>0</v>
      </c>
      <c r="C400">
        <v>0</v>
      </c>
      <c r="D400">
        <v>0</v>
      </c>
      <c r="E400">
        <v>0</v>
      </c>
      <c r="F400">
        <v>0</v>
      </c>
      <c r="G400">
        <v>0</v>
      </c>
      <c r="H400">
        <v>1</v>
      </c>
      <c r="I400" s="2">
        <v>43838</v>
      </c>
      <c r="J400" s="1"/>
    </row>
    <row r="401" spans="1:9" x14ac:dyDescent="0.3">
      <c r="A401">
        <v>1113</v>
      </c>
      <c r="B401">
        <v>0</v>
      </c>
      <c r="C401">
        <v>0</v>
      </c>
      <c r="D401">
        <v>0</v>
      </c>
      <c r="E401">
        <v>0</v>
      </c>
      <c r="F401">
        <v>0</v>
      </c>
      <c r="G401">
        <v>0</v>
      </c>
      <c r="H401">
        <v>1</v>
      </c>
      <c r="I401" s="2" t="s">
        <v>91</v>
      </c>
    </row>
    <row r="402" spans="1:9" x14ac:dyDescent="0.3">
      <c r="A402">
        <v>1346</v>
      </c>
      <c r="B402">
        <v>0</v>
      </c>
      <c r="C402">
        <v>0</v>
      </c>
      <c r="D402">
        <v>0</v>
      </c>
      <c r="E402">
        <v>0</v>
      </c>
      <c r="F402">
        <v>0</v>
      </c>
      <c r="G402">
        <v>0</v>
      </c>
      <c r="H402">
        <v>0</v>
      </c>
      <c r="I402" s="2" t="s">
        <v>91</v>
      </c>
    </row>
    <row r="403" spans="1:9" x14ac:dyDescent="0.3">
      <c r="A403">
        <v>1448</v>
      </c>
      <c r="B403">
        <v>0</v>
      </c>
      <c r="C403">
        <v>0</v>
      </c>
      <c r="D403">
        <v>0</v>
      </c>
      <c r="E403">
        <v>0</v>
      </c>
      <c r="F403">
        <v>0</v>
      </c>
      <c r="G403">
        <v>0</v>
      </c>
      <c r="H403">
        <v>0</v>
      </c>
      <c r="I403" s="2" t="s">
        <v>91</v>
      </c>
    </row>
    <row r="404" spans="1:9" x14ac:dyDescent="0.3">
      <c r="A404">
        <v>2054</v>
      </c>
      <c r="B404">
        <v>0</v>
      </c>
      <c r="C404">
        <v>0</v>
      </c>
      <c r="D404">
        <v>0</v>
      </c>
      <c r="E404">
        <v>0</v>
      </c>
      <c r="F404">
        <v>0</v>
      </c>
      <c r="G404">
        <v>0</v>
      </c>
      <c r="H404">
        <v>0</v>
      </c>
      <c r="I404" s="2" t="s">
        <v>91</v>
      </c>
    </row>
    <row r="405" spans="1:9" x14ac:dyDescent="0.3">
      <c r="A405">
        <v>2504</v>
      </c>
      <c r="B405">
        <v>0</v>
      </c>
      <c r="C405">
        <v>0</v>
      </c>
      <c r="D405">
        <v>1</v>
      </c>
      <c r="E405">
        <v>1</v>
      </c>
      <c r="F405">
        <v>0</v>
      </c>
      <c r="G405">
        <v>0</v>
      </c>
      <c r="H405">
        <v>1</v>
      </c>
      <c r="I405" s="2" t="s">
        <v>91</v>
      </c>
    </row>
    <row r="406" spans="1:9" x14ac:dyDescent="0.3">
      <c r="A406">
        <v>2393</v>
      </c>
      <c r="B406">
        <v>0</v>
      </c>
      <c r="C406">
        <v>0</v>
      </c>
      <c r="D406">
        <v>0</v>
      </c>
      <c r="E406">
        <v>0</v>
      </c>
      <c r="F406">
        <v>0</v>
      </c>
      <c r="G406">
        <v>0</v>
      </c>
      <c r="H406">
        <v>0</v>
      </c>
      <c r="I406" s="2" t="s">
        <v>92</v>
      </c>
    </row>
    <row r="407" spans="1:9" x14ac:dyDescent="0.3">
      <c r="A407">
        <v>3000</v>
      </c>
      <c r="B407">
        <v>0</v>
      </c>
      <c r="C407">
        <v>0</v>
      </c>
      <c r="D407">
        <v>0</v>
      </c>
      <c r="E407">
        <v>0</v>
      </c>
      <c r="F407">
        <v>0</v>
      </c>
      <c r="G407">
        <v>0</v>
      </c>
      <c r="H407">
        <v>0</v>
      </c>
      <c r="I407" s="2" t="s">
        <v>92</v>
      </c>
    </row>
    <row r="408" spans="1:9" x14ac:dyDescent="0.3">
      <c r="A408">
        <v>2604</v>
      </c>
      <c r="B408">
        <v>0</v>
      </c>
      <c r="C408">
        <v>0</v>
      </c>
      <c r="D408">
        <v>0</v>
      </c>
      <c r="E408">
        <v>0</v>
      </c>
      <c r="F408">
        <v>0</v>
      </c>
      <c r="G408">
        <v>0</v>
      </c>
      <c r="H408">
        <v>1</v>
      </c>
      <c r="I408" s="2" t="s">
        <v>93</v>
      </c>
    </row>
    <row r="409" spans="1:9" x14ac:dyDescent="0.3">
      <c r="A409">
        <v>2279</v>
      </c>
      <c r="B409">
        <v>0</v>
      </c>
      <c r="C409">
        <v>0</v>
      </c>
      <c r="D409">
        <v>1</v>
      </c>
      <c r="E409">
        <v>0</v>
      </c>
      <c r="F409">
        <v>0</v>
      </c>
      <c r="G409">
        <v>0</v>
      </c>
      <c r="H409">
        <v>1</v>
      </c>
      <c r="I409" s="2" t="s">
        <v>94</v>
      </c>
    </row>
    <row r="410" spans="1:9" x14ac:dyDescent="0.3">
      <c r="A410">
        <v>3072</v>
      </c>
      <c r="B410">
        <v>0</v>
      </c>
      <c r="C410">
        <v>1</v>
      </c>
      <c r="D410">
        <v>1</v>
      </c>
      <c r="E410">
        <v>0</v>
      </c>
      <c r="F410">
        <v>0</v>
      </c>
      <c r="G410">
        <v>0</v>
      </c>
      <c r="H410">
        <v>0</v>
      </c>
      <c r="I410" s="2" t="s">
        <v>94</v>
      </c>
    </row>
    <row r="411" spans="1:9" x14ac:dyDescent="0.3">
      <c r="A411">
        <v>1974</v>
      </c>
      <c r="B411">
        <v>0</v>
      </c>
      <c r="C411">
        <v>0</v>
      </c>
      <c r="D411">
        <v>0</v>
      </c>
      <c r="E411">
        <v>0</v>
      </c>
      <c r="F411">
        <v>0</v>
      </c>
      <c r="G411">
        <v>0</v>
      </c>
      <c r="H411">
        <v>0</v>
      </c>
      <c r="I411" s="2" t="s">
        <v>95</v>
      </c>
    </row>
    <row r="412" spans="1:9" x14ac:dyDescent="0.3">
      <c r="A412">
        <v>2282</v>
      </c>
      <c r="B412">
        <v>0</v>
      </c>
      <c r="C412">
        <v>0</v>
      </c>
      <c r="D412">
        <v>0</v>
      </c>
      <c r="E412">
        <v>0</v>
      </c>
      <c r="F412">
        <v>0</v>
      </c>
      <c r="G412">
        <v>0</v>
      </c>
      <c r="H412">
        <v>0</v>
      </c>
      <c r="I412" s="2" t="s">
        <v>95</v>
      </c>
    </row>
    <row r="413" spans="1:9" x14ac:dyDescent="0.3">
      <c r="A413">
        <v>2388</v>
      </c>
      <c r="B413">
        <v>0</v>
      </c>
      <c r="C413">
        <v>0</v>
      </c>
      <c r="D413">
        <v>0</v>
      </c>
      <c r="E413">
        <v>0</v>
      </c>
      <c r="F413">
        <v>0</v>
      </c>
      <c r="G413">
        <v>0</v>
      </c>
      <c r="H413">
        <v>0</v>
      </c>
      <c r="I413" s="2" t="s">
        <v>95</v>
      </c>
    </row>
    <row r="414" spans="1:9" x14ac:dyDescent="0.3">
      <c r="A414">
        <v>1633</v>
      </c>
      <c r="B414">
        <v>0</v>
      </c>
      <c r="C414">
        <v>1</v>
      </c>
      <c r="D414">
        <v>0</v>
      </c>
      <c r="E414">
        <v>0</v>
      </c>
      <c r="F414">
        <v>0</v>
      </c>
      <c r="G414">
        <v>0</v>
      </c>
      <c r="H414">
        <v>0</v>
      </c>
      <c r="I414" s="2" t="s">
        <v>96</v>
      </c>
    </row>
    <row r="415" spans="1:9" x14ac:dyDescent="0.3">
      <c r="A415">
        <v>2094</v>
      </c>
      <c r="B415">
        <v>0</v>
      </c>
      <c r="C415">
        <v>1</v>
      </c>
      <c r="D415">
        <v>0</v>
      </c>
      <c r="E415">
        <v>0</v>
      </c>
      <c r="F415">
        <v>0</v>
      </c>
      <c r="G415">
        <v>0</v>
      </c>
      <c r="H415">
        <v>0</v>
      </c>
      <c r="I415" s="2" t="s">
        <v>96</v>
      </c>
    </row>
    <row r="416" spans="1:9" x14ac:dyDescent="0.3">
      <c r="A416">
        <v>2151</v>
      </c>
      <c r="B416">
        <v>1</v>
      </c>
      <c r="C416">
        <v>0</v>
      </c>
      <c r="D416">
        <v>0</v>
      </c>
      <c r="E416">
        <v>0</v>
      </c>
      <c r="F416">
        <v>0</v>
      </c>
      <c r="G416">
        <v>0</v>
      </c>
      <c r="H416">
        <v>0</v>
      </c>
      <c r="I416" s="2" t="s">
        <v>96</v>
      </c>
    </row>
    <row r="417" spans="1:9" x14ac:dyDescent="0.3">
      <c r="A417">
        <v>2174</v>
      </c>
      <c r="B417">
        <v>0</v>
      </c>
      <c r="C417">
        <v>0</v>
      </c>
      <c r="D417">
        <v>0</v>
      </c>
      <c r="E417">
        <v>0</v>
      </c>
      <c r="F417">
        <v>0</v>
      </c>
      <c r="G417">
        <v>0</v>
      </c>
      <c r="H417">
        <v>0</v>
      </c>
      <c r="I417" s="2" t="s">
        <v>96</v>
      </c>
    </row>
    <row r="418" spans="1:9" x14ac:dyDescent="0.3">
      <c r="A418">
        <v>2756</v>
      </c>
      <c r="B418">
        <v>0</v>
      </c>
      <c r="C418">
        <v>0</v>
      </c>
      <c r="D418">
        <v>0</v>
      </c>
      <c r="E418">
        <v>0</v>
      </c>
      <c r="F418">
        <v>0</v>
      </c>
      <c r="G418">
        <v>0</v>
      </c>
      <c r="H418">
        <v>0</v>
      </c>
      <c r="I418" s="2" t="s">
        <v>96</v>
      </c>
    </row>
    <row r="419" spans="1:9" x14ac:dyDescent="0.3">
      <c r="A419">
        <v>1217</v>
      </c>
      <c r="B419">
        <v>0</v>
      </c>
      <c r="C419">
        <v>0</v>
      </c>
      <c r="D419">
        <v>0</v>
      </c>
      <c r="E419">
        <v>0</v>
      </c>
      <c r="F419">
        <v>0</v>
      </c>
      <c r="G419">
        <v>0</v>
      </c>
      <c r="H419">
        <v>0</v>
      </c>
      <c r="I419" s="2" t="s">
        <v>97</v>
      </c>
    </row>
    <row r="420" spans="1:9" x14ac:dyDescent="0.3">
      <c r="A420">
        <v>1927</v>
      </c>
      <c r="B420">
        <v>0</v>
      </c>
      <c r="C420">
        <v>0</v>
      </c>
      <c r="D420">
        <v>0</v>
      </c>
      <c r="E420">
        <v>0</v>
      </c>
      <c r="F420">
        <v>0</v>
      </c>
      <c r="G420">
        <v>0</v>
      </c>
      <c r="H420">
        <v>0</v>
      </c>
      <c r="I420" s="2" t="s">
        <v>97</v>
      </c>
    </row>
    <row r="421" spans="1:9" x14ac:dyDescent="0.3">
      <c r="A421">
        <v>2189</v>
      </c>
      <c r="B421">
        <v>1</v>
      </c>
      <c r="C421">
        <v>0</v>
      </c>
      <c r="D421">
        <v>0</v>
      </c>
      <c r="E421">
        <v>0</v>
      </c>
      <c r="F421">
        <v>0</v>
      </c>
      <c r="G421">
        <v>0</v>
      </c>
      <c r="H421">
        <v>0</v>
      </c>
      <c r="I421" s="2" t="s">
        <v>97</v>
      </c>
    </row>
    <row r="422" spans="1:9" x14ac:dyDescent="0.3">
      <c r="A422">
        <v>2399</v>
      </c>
      <c r="B422">
        <v>0</v>
      </c>
      <c r="C422">
        <v>0</v>
      </c>
      <c r="D422">
        <v>0</v>
      </c>
      <c r="E422">
        <v>0</v>
      </c>
      <c r="F422">
        <v>0</v>
      </c>
      <c r="G422">
        <v>0</v>
      </c>
      <c r="H422">
        <v>0</v>
      </c>
      <c r="I422" s="2" t="s">
        <v>97</v>
      </c>
    </row>
    <row r="423" spans="1:9" x14ac:dyDescent="0.3">
      <c r="A423">
        <v>1521</v>
      </c>
      <c r="B423">
        <v>0</v>
      </c>
      <c r="C423">
        <v>0</v>
      </c>
      <c r="D423">
        <v>1</v>
      </c>
      <c r="E423">
        <v>0</v>
      </c>
      <c r="F423">
        <v>0</v>
      </c>
      <c r="G423">
        <v>0</v>
      </c>
      <c r="H423">
        <v>1</v>
      </c>
      <c r="I423" s="2" t="s">
        <v>98</v>
      </c>
    </row>
    <row r="424" spans="1:9" x14ac:dyDescent="0.3">
      <c r="A424">
        <v>1616</v>
      </c>
      <c r="B424">
        <v>1</v>
      </c>
      <c r="C424">
        <v>0</v>
      </c>
      <c r="D424">
        <v>0</v>
      </c>
      <c r="E424">
        <v>0</v>
      </c>
      <c r="F424">
        <v>0</v>
      </c>
      <c r="G424">
        <v>0</v>
      </c>
      <c r="H424">
        <v>1</v>
      </c>
      <c r="I424" s="2" t="s">
        <v>98</v>
      </c>
    </row>
    <row r="425" spans="1:9" x14ac:dyDescent="0.3">
      <c r="A425">
        <v>1767</v>
      </c>
      <c r="B425">
        <v>0</v>
      </c>
      <c r="C425">
        <v>0</v>
      </c>
      <c r="D425">
        <v>0</v>
      </c>
      <c r="E425">
        <v>0</v>
      </c>
      <c r="F425">
        <v>0</v>
      </c>
      <c r="G425">
        <v>0</v>
      </c>
      <c r="H425">
        <v>0</v>
      </c>
      <c r="I425" s="2" t="s">
        <v>98</v>
      </c>
    </row>
    <row r="426" spans="1:9" x14ac:dyDescent="0.3">
      <c r="A426">
        <v>1842</v>
      </c>
      <c r="B426">
        <v>0</v>
      </c>
      <c r="C426">
        <v>0</v>
      </c>
      <c r="D426">
        <v>0</v>
      </c>
      <c r="E426">
        <v>0</v>
      </c>
      <c r="F426">
        <v>0</v>
      </c>
      <c r="G426">
        <v>0</v>
      </c>
      <c r="H426">
        <v>0</v>
      </c>
      <c r="I426" s="2" t="s">
        <v>98</v>
      </c>
    </row>
    <row r="427" spans="1:9" x14ac:dyDescent="0.3">
      <c r="A427">
        <v>2572</v>
      </c>
      <c r="B427">
        <v>0</v>
      </c>
      <c r="C427">
        <v>0</v>
      </c>
      <c r="D427">
        <v>0</v>
      </c>
      <c r="E427">
        <v>0</v>
      </c>
      <c r="F427">
        <v>0</v>
      </c>
      <c r="G427">
        <v>0</v>
      </c>
      <c r="H427">
        <v>0</v>
      </c>
      <c r="I427" s="2" t="s">
        <v>98</v>
      </c>
    </row>
    <row r="428" spans="1:9" x14ac:dyDescent="0.3">
      <c r="A428">
        <v>1401</v>
      </c>
      <c r="B428">
        <v>0</v>
      </c>
      <c r="C428">
        <v>1</v>
      </c>
      <c r="D428">
        <v>1</v>
      </c>
      <c r="E428">
        <v>1</v>
      </c>
      <c r="F428">
        <v>1</v>
      </c>
      <c r="G428">
        <v>0</v>
      </c>
      <c r="H428">
        <v>0</v>
      </c>
      <c r="I428" s="2" t="s">
        <v>99</v>
      </c>
    </row>
    <row r="429" spans="1:9" x14ac:dyDescent="0.3">
      <c r="A429">
        <v>2160</v>
      </c>
      <c r="B429">
        <v>0</v>
      </c>
      <c r="C429">
        <v>0</v>
      </c>
      <c r="D429">
        <v>1</v>
      </c>
      <c r="E429">
        <v>0</v>
      </c>
      <c r="F429">
        <v>0</v>
      </c>
      <c r="G429">
        <v>0</v>
      </c>
      <c r="H429">
        <v>0</v>
      </c>
      <c r="I429" s="2" t="s">
        <v>100</v>
      </c>
    </row>
    <row r="430" spans="1:9" x14ac:dyDescent="0.3">
      <c r="A430">
        <v>2407</v>
      </c>
      <c r="B430">
        <v>0</v>
      </c>
      <c r="C430">
        <v>0</v>
      </c>
      <c r="D430">
        <v>0</v>
      </c>
      <c r="E430">
        <v>0</v>
      </c>
      <c r="F430">
        <v>0</v>
      </c>
      <c r="G430">
        <v>0</v>
      </c>
      <c r="H430">
        <v>0</v>
      </c>
      <c r="I430" s="2" t="s">
        <v>100</v>
      </c>
    </row>
    <row r="431" spans="1:9" x14ac:dyDescent="0.3">
      <c r="A431">
        <v>2477</v>
      </c>
      <c r="B431">
        <v>0</v>
      </c>
      <c r="C431">
        <v>0</v>
      </c>
      <c r="D431">
        <v>0</v>
      </c>
      <c r="E431">
        <v>0</v>
      </c>
      <c r="F431">
        <v>0</v>
      </c>
      <c r="G431">
        <v>0</v>
      </c>
      <c r="H431">
        <v>0</v>
      </c>
      <c r="I431" s="2" t="s">
        <v>100</v>
      </c>
    </row>
    <row r="432" spans="1:9" x14ac:dyDescent="0.3">
      <c r="A432">
        <v>2548</v>
      </c>
      <c r="B432">
        <v>0</v>
      </c>
      <c r="C432">
        <v>0</v>
      </c>
      <c r="D432">
        <v>1</v>
      </c>
      <c r="E432">
        <v>0</v>
      </c>
      <c r="F432">
        <v>0</v>
      </c>
      <c r="G432">
        <v>0</v>
      </c>
      <c r="H432">
        <v>1</v>
      </c>
      <c r="I432" s="2" t="s">
        <v>100</v>
      </c>
    </row>
    <row r="433" spans="1:9" x14ac:dyDescent="0.3">
      <c r="A433">
        <v>2434</v>
      </c>
      <c r="B433">
        <v>0</v>
      </c>
      <c r="C433">
        <v>1</v>
      </c>
      <c r="D433">
        <v>1</v>
      </c>
      <c r="E433">
        <v>1</v>
      </c>
      <c r="F433">
        <v>0</v>
      </c>
      <c r="G433">
        <v>0</v>
      </c>
      <c r="H433">
        <v>1</v>
      </c>
      <c r="I433" s="2" t="s">
        <v>101</v>
      </c>
    </row>
    <row r="434" spans="1:9" x14ac:dyDescent="0.3">
      <c r="A434">
        <v>2957</v>
      </c>
      <c r="B434">
        <v>0</v>
      </c>
      <c r="C434">
        <v>0</v>
      </c>
      <c r="D434">
        <v>1</v>
      </c>
      <c r="E434">
        <v>1</v>
      </c>
      <c r="F434">
        <v>0</v>
      </c>
      <c r="G434">
        <v>0</v>
      </c>
      <c r="H434">
        <v>0</v>
      </c>
      <c r="I434" s="2" t="s">
        <v>101</v>
      </c>
    </row>
    <row r="435" spans="1:9" x14ac:dyDescent="0.3">
      <c r="A435">
        <v>2995</v>
      </c>
      <c r="B435">
        <v>0</v>
      </c>
      <c r="C435">
        <v>0</v>
      </c>
      <c r="D435">
        <v>0</v>
      </c>
      <c r="E435">
        <v>0</v>
      </c>
      <c r="F435">
        <v>0</v>
      </c>
      <c r="G435">
        <v>0</v>
      </c>
      <c r="H435">
        <v>0</v>
      </c>
      <c r="I435" s="2" t="s">
        <v>101</v>
      </c>
    </row>
    <row r="436" spans="1:9" x14ac:dyDescent="0.3">
      <c r="A436">
        <v>1037</v>
      </c>
      <c r="B436">
        <v>0</v>
      </c>
      <c r="C436">
        <v>0</v>
      </c>
      <c r="D436">
        <v>0</v>
      </c>
      <c r="E436">
        <v>0</v>
      </c>
      <c r="F436">
        <v>0</v>
      </c>
      <c r="G436">
        <v>0</v>
      </c>
      <c r="H436">
        <v>0</v>
      </c>
      <c r="I436" s="2" t="s">
        <v>102</v>
      </c>
    </row>
    <row r="437" spans="1:9" x14ac:dyDescent="0.3">
      <c r="A437">
        <v>1590</v>
      </c>
      <c r="B437">
        <v>0</v>
      </c>
      <c r="C437">
        <v>0</v>
      </c>
      <c r="D437">
        <v>0</v>
      </c>
      <c r="E437">
        <v>0</v>
      </c>
      <c r="F437">
        <v>0</v>
      </c>
      <c r="G437">
        <v>0</v>
      </c>
      <c r="H437">
        <v>0</v>
      </c>
      <c r="I437" s="2" t="s">
        <v>102</v>
      </c>
    </row>
    <row r="438" spans="1:9" x14ac:dyDescent="0.3">
      <c r="A438">
        <v>1683</v>
      </c>
      <c r="B438">
        <v>1</v>
      </c>
      <c r="C438">
        <v>0</v>
      </c>
      <c r="D438">
        <v>0</v>
      </c>
      <c r="E438">
        <v>0</v>
      </c>
      <c r="F438">
        <v>0</v>
      </c>
      <c r="G438">
        <v>0</v>
      </c>
      <c r="H438">
        <v>0</v>
      </c>
      <c r="I438" s="2" t="s">
        <v>102</v>
      </c>
    </row>
    <row r="439" spans="1:9" x14ac:dyDescent="0.3">
      <c r="A439">
        <v>1004</v>
      </c>
      <c r="B439">
        <v>0</v>
      </c>
      <c r="C439">
        <v>0</v>
      </c>
      <c r="D439">
        <v>0</v>
      </c>
      <c r="E439">
        <v>0</v>
      </c>
      <c r="F439">
        <v>0</v>
      </c>
      <c r="G439">
        <v>0</v>
      </c>
      <c r="H439">
        <v>0</v>
      </c>
      <c r="I439" s="2" t="s">
        <v>103</v>
      </c>
    </row>
    <row r="440" spans="1:9" x14ac:dyDescent="0.3">
      <c r="A440">
        <v>1123</v>
      </c>
      <c r="B440">
        <v>0</v>
      </c>
      <c r="C440">
        <v>0</v>
      </c>
      <c r="D440">
        <v>0</v>
      </c>
      <c r="E440">
        <v>0</v>
      </c>
      <c r="F440">
        <v>0</v>
      </c>
      <c r="G440">
        <v>0</v>
      </c>
      <c r="H440">
        <v>0</v>
      </c>
      <c r="I440" s="2" t="s">
        <v>103</v>
      </c>
    </row>
    <row r="441" spans="1:9" x14ac:dyDescent="0.3">
      <c r="A441">
        <v>1861</v>
      </c>
      <c r="B441">
        <v>1</v>
      </c>
      <c r="C441">
        <v>0</v>
      </c>
      <c r="D441">
        <v>0</v>
      </c>
      <c r="E441">
        <v>0</v>
      </c>
      <c r="F441">
        <v>0</v>
      </c>
      <c r="G441">
        <v>0</v>
      </c>
      <c r="H441">
        <v>1</v>
      </c>
      <c r="I441" s="2" t="s">
        <v>103</v>
      </c>
    </row>
    <row r="442" spans="1:9" x14ac:dyDescent="0.3">
      <c r="A442">
        <v>1907</v>
      </c>
      <c r="B442">
        <v>0</v>
      </c>
      <c r="C442">
        <v>0</v>
      </c>
      <c r="D442">
        <v>0</v>
      </c>
      <c r="E442">
        <v>1</v>
      </c>
      <c r="F442">
        <v>0</v>
      </c>
      <c r="G442">
        <v>0</v>
      </c>
      <c r="H442">
        <v>0</v>
      </c>
      <c r="I442" s="2" t="s">
        <v>103</v>
      </c>
    </row>
    <row r="443" spans="1:9" x14ac:dyDescent="0.3">
      <c r="A443">
        <v>1912</v>
      </c>
      <c r="B443">
        <v>0</v>
      </c>
      <c r="C443">
        <v>0</v>
      </c>
      <c r="D443">
        <v>0</v>
      </c>
      <c r="E443">
        <v>0</v>
      </c>
      <c r="F443">
        <v>0</v>
      </c>
      <c r="G443">
        <v>0</v>
      </c>
      <c r="H443">
        <v>0</v>
      </c>
      <c r="I443" s="2" t="s">
        <v>103</v>
      </c>
    </row>
    <row r="444" spans="1:9" x14ac:dyDescent="0.3">
      <c r="A444">
        <v>1307</v>
      </c>
      <c r="B444">
        <v>0</v>
      </c>
      <c r="C444">
        <v>0</v>
      </c>
      <c r="D444">
        <v>0</v>
      </c>
      <c r="E444">
        <v>0</v>
      </c>
      <c r="F444">
        <v>0</v>
      </c>
      <c r="G444">
        <v>0</v>
      </c>
      <c r="H444">
        <v>0</v>
      </c>
      <c r="I444" s="2" t="s">
        <v>104</v>
      </c>
    </row>
    <row r="445" spans="1:9" x14ac:dyDescent="0.3">
      <c r="A445">
        <v>2093</v>
      </c>
      <c r="B445">
        <v>0</v>
      </c>
      <c r="C445">
        <v>0</v>
      </c>
      <c r="D445">
        <v>0</v>
      </c>
      <c r="E445">
        <v>0</v>
      </c>
      <c r="F445">
        <v>0</v>
      </c>
      <c r="G445">
        <v>0</v>
      </c>
      <c r="H445">
        <v>0</v>
      </c>
      <c r="I445" s="2" t="s">
        <v>104</v>
      </c>
    </row>
    <row r="446" spans="1:9" x14ac:dyDescent="0.3">
      <c r="A446">
        <v>2213</v>
      </c>
      <c r="B446">
        <v>0</v>
      </c>
      <c r="C446">
        <v>0</v>
      </c>
      <c r="D446">
        <v>0</v>
      </c>
      <c r="E446">
        <v>0</v>
      </c>
      <c r="F446">
        <v>0</v>
      </c>
      <c r="G446">
        <v>0</v>
      </c>
      <c r="H446">
        <v>0</v>
      </c>
      <c r="I446" s="2" t="s">
        <v>104</v>
      </c>
    </row>
    <row r="447" spans="1:9" x14ac:dyDescent="0.3">
      <c r="A447">
        <v>2444</v>
      </c>
      <c r="B447">
        <v>0</v>
      </c>
      <c r="C447">
        <v>0</v>
      </c>
      <c r="D447">
        <v>0</v>
      </c>
      <c r="E447">
        <v>0</v>
      </c>
      <c r="F447">
        <v>0</v>
      </c>
      <c r="G447">
        <v>0</v>
      </c>
      <c r="H447">
        <v>0</v>
      </c>
      <c r="I447" s="2" t="s">
        <v>105</v>
      </c>
    </row>
    <row r="448" spans="1:9" x14ac:dyDescent="0.3">
      <c r="A448">
        <v>1536</v>
      </c>
      <c r="B448">
        <v>0</v>
      </c>
      <c r="C448">
        <v>0</v>
      </c>
      <c r="D448">
        <v>0</v>
      </c>
      <c r="E448">
        <v>0</v>
      </c>
      <c r="F448">
        <v>0</v>
      </c>
      <c r="G448">
        <v>0</v>
      </c>
      <c r="H448">
        <v>0</v>
      </c>
      <c r="I448" s="2" t="s">
        <v>106</v>
      </c>
    </row>
    <row r="449" spans="1:10" x14ac:dyDescent="0.3">
      <c r="A449">
        <v>2373</v>
      </c>
      <c r="B449">
        <v>0</v>
      </c>
      <c r="C449">
        <v>0</v>
      </c>
      <c r="D449">
        <v>0</v>
      </c>
      <c r="E449">
        <v>0</v>
      </c>
      <c r="F449">
        <v>0</v>
      </c>
      <c r="G449">
        <v>0</v>
      </c>
      <c r="H449">
        <v>0</v>
      </c>
      <c r="I449" s="2" t="s">
        <v>106</v>
      </c>
    </row>
    <row r="450" spans="1:10" x14ac:dyDescent="0.3">
      <c r="A450">
        <v>2498</v>
      </c>
      <c r="B450">
        <v>0</v>
      </c>
      <c r="C450">
        <v>0</v>
      </c>
      <c r="D450">
        <v>0</v>
      </c>
      <c r="E450">
        <v>0</v>
      </c>
      <c r="F450">
        <v>0</v>
      </c>
      <c r="G450">
        <v>0</v>
      </c>
      <c r="H450">
        <v>0</v>
      </c>
      <c r="I450" s="2" t="s">
        <v>106</v>
      </c>
    </row>
    <row r="451" spans="1:10" x14ac:dyDescent="0.3">
      <c r="A451">
        <v>2768</v>
      </c>
      <c r="B451">
        <v>0</v>
      </c>
      <c r="C451">
        <v>0</v>
      </c>
      <c r="D451">
        <v>0</v>
      </c>
      <c r="E451">
        <v>0</v>
      </c>
      <c r="F451">
        <v>0</v>
      </c>
      <c r="G451">
        <v>0</v>
      </c>
      <c r="H451">
        <v>0</v>
      </c>
      <c r="I451" s="2" t="s">
        <v>106</v>
      </c>
    </row>
    <row r="452" spans="1:10" x14ac:dyDescent="0.3">
      <c r="A452">
        <v>2850</v>
      </c>
      <c r="B452">
        <v>0</v>
      </c>
      <c r="C452">
        <v>0</v>
      </c>
      <c r="D452">
        <v>0</v>
      </c>
      <c r="E452">
        <v>0</v>
      </c>
      <c r="F452">
        <v>0</v>
      </c>
      <c r="G452">
        <v>0</v>
      </c>
      <c r="H452">
        <v>0</v>
      </c>
      <c r="I452" s="2" t="s">
        <v>106</v>
      </c>
    </row>
    <row r="453" spans="1:10" x14ac:dyDescent="0.3">
      <c r="A453">
        <v>3048</v>
      </c>
      <c r="B453">
        <v>0</v>
      </c>
      <c r="C453">
        <v>0</v>
      </c>
      <c r="D453">
        <v>0</v>
      </c>
      <c r="E453">
        <v>0</v>
      </c>
      <c r="F453">
        <v>0</v>
      </c>
      <c r="G453">
        <v>0</v>
      </c>
      <c r="H453">
        <v>1</v>
      </c>
      <c r="I453" s="2" t="s">
        <v>106</v>
      </c>
    </row>
    <row r="454" spans="1:10" x14ac:dyDescent="0.3">
      <c r="A454">
        <v>2915</v>
      </c>
      <c r="B454">
        <v>1</v>
      </c>
      <c r="C454">
        <v>0</v>
      </c>
      <c r="D454">
        <v>1</v>
      </c>
      <c r="E454">
        <v>1</v>
      </c>
      <c r="F454">
        <v>0</v>
      </c>
      <c r="G454">
        <v>0</v>
      </c>
      <c r="H454">
        <v>1</v>
      </c>
      <c r="I454" s="2" t="s">
        <v>107</v>
      </c>
    </row>
    <row r="455" spans="1:10" x14ac:dyDescent="0.3">
      <c r="A455">
        <v>3154</v>
      </c>
      <c r="B455">
        <v>0</v>
      </c>
      <c r="C455">
        <v>1</v>
      </c>
      <c r="D455">
        <v>0</v>
      </c>
      <c r="E455">
        <v>0</v>
      </c>
      <c r="F455">
        <v>0</v>
      </c>
      <c r="G455">
        <v>0</v>
      </c>
      <c r="H455">
        <v>0</v>
      </c>
      <c r="I455" s="2" t="s">
        <v>107</v>
      </c>
    </row>
    <row r="456" spans="1:10" x14ac:dyDescent="0.3">
      <c r="A456">
        <v>2882</v>
      </c>
      <c r="B456">
        <v>0</v>
      </c>
      <c r="C456">
        <v>0</v>
      </c>
      <c r="D456">
        <v>0</v>
      </c>
      <c r="E456">
        <v>0</v>
      </c>
      <c r="F456">
        <v>0</v>
      </c>
      <c r="G456">
        <v>0</v>
      </c>
      <c r="H456">
        <v>0</v>
      </c>
      <c r="I456" s="2">
        <v>44172</v>
      </c>
      <c r="J456" s="1"/>
    </row>
    <row r="457" spans="1:10" x14ac:dyDescent="0.3">
      <c r="A457">
        <v>2998</v>
      </c>
      <c r="B457">
        <v>0</v>
      </c>
      <c r="C457">
        <v>0</v>
      </c>
      <c r="D457">
        <v>0</v>
      </c>
      <c r="E457">
        <v>0</v>
      </c>
      <c r="F457">
        <v>0</v>
      </c>
      <c r="G457">
        <v>0</v>
      </c>
      <c r="H457">
        <v>0</v>
      </c>
      <c r="I457" s="2">
        <v>44172</v>
      </c>
      <c r="J457" s="1"/>
    </row>
    <row r="458" spans="1:10" x14ac:dyDescent="0.3">
      <c r="A458">
        <v>3179</v>
      </c>
      <c r="B458">
        <v>0</v>
      </c>
      <c r="C458">
        <v>0</v>
      </c>
      <c r="D458">
        <v>0</v>
      </c>
      <c r="E458">
        <v>0</v>
      </c>
      <c r="F458">
        <v>0</v>
      </c>
      <c r="G458">
        <v>0</v>
      </c>
      <c r="H458">
        <v>0</v>
      </c>
      <c r="I458" s="2">
        <v>44172</v>
      </c>
      <c r="J458" s="1"/>
    </row>
    <row r="459" spans="1:10" x14ac:dyDescent="0.3">
      <c r="A459">
        <v>1259</v>
      </c>
      <c r="B459">
        <v>0</v>
      </c>
      <c r="C459">
        <v>0</v>
      </c>
      <c r="D459">
        <v>0</v>
      </c>
      <c r="E459">
        <v>0</v>
      </c>
      <c r="F459">
        <v>0</v>
      </c>
      <c r="G459">
        <v>0</v>
      </c>
      <c r="H459">
        <v>0</v>
      </c>
      <c r="I459" s="2">
        <v>44142</v>
      </c>
      <c r="J459" s="1"/>
    </row>
    <row r="460" spans="1:10" x14ac:dyDescent="0.3">
      <c r="A460">
        <v>1956</v>
      </c>
      <c r="B460">
        <v>0</v>
      </c>
      <c r="C460">
        <v>0</v>
      </c>
      <c r="D460">
        <v>0</v>
      </c>
      <c r="E460">
        <v>0</v>
      </c>
      <c r="F460">
        <v>0</v>
      </c>
      <c r="G460">
        <v>0</v>
      </c>
      <c r="H460">
        <v>0</v>
      </c>
      <c r="I460" s="2">
        <v>44111</v>
      </c>
      <c r="J460" s="1"/>
    </row>
    <row r="461" spans="1:10" x14ac:dyDescent="0.3">
      <c r="A461">
        <v>1418</v>
      </c>
      <c r="B461">
        <v>0</v>
      </c>
      <c r="C461">
        <v>0</v>
      </c>
      <c r="D461">
        <v>0</v>
      </c>
      <c r="E461">
        <v>0</v>
      </c>
      <c r="F461">
        <v>0</v>
      </c>
      <c r="G461">
        <v>0</v>
      </c>
      <c r="H461">
        <v>0</v>
      </c>
      <c r="I461" s="2">
        <v>44081</v>
      </c>
      <c r="J461" s="1"/>
    </row>
    <row r="462" spans="1:10" x14ac:dyDescent="0.3">
      <c r="A462">
        <v>1951</v>
      </c>
      <c r="B462">
        <v>0</v>
      </c>
      <c r="C462">
        <v>0</v>
      </c>
      <c r="D462">
        <v>0</v>
      </c>
      <c r="E462">
        <v>0</v>
      </c>
      <c r="F462">
        <v>0</v>
      </c>
      <c r="G462">
        <v>0</v>
      </c>
      <c r="H462">
        <v>0</v>
      </c>
      <c r="I462" s="2">
        <v>44081</v>
      </c>
      <c r="J462" s="1"/>
    </row>
    <row r="463" spans="1:10" x14ac:dyDescent="0.3">
      <c r="A463">
        <v>2486</v>
      </c>
      <c r="B463">
        <v>0</v>
      </c>
      <c r="C463">
        <v>0</v>
      </c>
      <c r="D463">
        <v>0</v>
      </c>
      <c r="E463">
        <v>0</v>
      </c>
      <c r="F463">
        <v>0</v>
      </c>
      <c r="G463">
        <v>0</v>
      </c>
      <c r="H463">
        <v>0</v>
      </c>
      <c r="I463" s="2">
        <v>44081</v>
      </c>
      <c r="J463" s="1"/>
    </row>
    <row r="464" spans="1:10" x14ac:dyDescent="0.3">
      <c r="A464">
        <v>2632</v>
      </c>
      <c r="B464">
        <v>0</v>
      </c>
      <c r="C464">
        <v>0</v>
      </c>
      <c r="D464">
        <v>0</v>
      </c>
      <c r="E464">
        <v>0</v>
      </c>
      <c r="F464">
        <v>0</v>
      </c>
      <c r="G464">
        <v>0</v>
      </c>
      <c r="H464">
        <v>0</v>
      </c>
      <c r="I464" s="2">
        <v>44081</v>
      </c>
      <c r="J464" s="1"/>
    </row>
    <row r="465" spans="1:10" x14ac:dyDescent="0.3">
      <c r="A465">
        <v>2824</v>
      </c>
      <c r="B465">
        <v>0</v>
      </c>
      <c r="C465">
        <v>0</v>
      </c>
      <c r="D465">
        <v>0</v>
      </c>
      <c r="E465">
        <v>0</v>
      </c>
      <c r="F465">
        <v>0</v>
      </c>
      <c r="G465">
        <v>0</v>
      </c>
      <c r="H465">
        <v>0</v>
      </c>
      <c r="I465" s="2">
        <v>44081</v>
      </c>
      <c r="J465" s="1"/>
    </row>
    <row r="466" spans="1:10" x14ac:dyDescent="0.3">
      <c r="A466">
        <v>2299</v>
      </c>
      <c r="B466">
        <v>0</v>
      </c>
      <c r="C466">
        <v>0</v>
      </c>
      <c r="D466">
        <v>0</v>
      </c>
      <c r="E466">
        <v>0</v>
      </c>
      <c r="F466">
        <v>0</v>
      </c>
      <c r="G466">
        <v>0</v>
      </c>
      <c r="H466">
        <v>0</v>
      </c>
      <c r="I466" s="2">
        <v>44050</v>
      </c>
      <c r="J466" s="1"/>
    </row>
    <row r="467" spans="1:10" x14ac:dyDescent="0.3">
      <c r="A467">
        <v>2290</v>
      </c>
      <c r="B467">
        <v>0</v>
      </c>
      <c r="C467">
        <v>0</v>
      </c>
      <c r="D467">
        <v>0</v>
      </c>
      <c r="E467">
        <v>0</v>
      </c>
      <c r="F467">
        <v>0</v>
      </c>
      <c r="G467">
        <v>0</v>
      </c>
      <c r="H467">
        <v>0</v>
      </c>
      <c r="I467" s="2">
        <v>44019</v>
      </c>
      <c r="J467" s="1"/>
    </row>
    <row r="468" spans="1:10" x14ac:dyDescent="0.3">
      <c r="A468">
        <v>1162</v>
      </c>
      <c r="B468">
        <v>0</v>
      </c>
      <c r="C468">
        <v>0</v>
      </c>
      <c r="D468">
        <v>0</v>
      </c>
      <c r="E468">
        <v>0</v>
      </c>
      <c r="F468">
        <v>0</v>
      </c>
      <c r="G468">
        <v>0</v>
      </c>
      <c r="H468">
        <v>0</v>
      </c>
      <c r="I468" s="2">
        <v>43989</v>
      </c>
      <c r="J468" s="1"/>
    </row>
    <row r="469" spans="1:10" x14ac:dyDescent="0.3">
      <c r="A469">
        <v>1577</v>
      </c>
      <c r="B469">
        <v>0</v>
      </c>
      <c r="C469">
        <v>0</v>
      </c>
      <c r="D469">
        <v>0</v>
      </c>
      <c r="E469">
        <v>0</v>
      </c>
      <c r="F469">
        <v>0</v>
      </c>
      <c r="G469">
        <v>0</v>
      </c>
      <c r="H469">
        <v>0</v>
      </c>
      <c r="I469" s="2">
        <v>43989</v>
      </c>
      <c r="J469" s="1"/>
    </row>
    <row r="470" spans="1:10" x14ac:dyDescent="0.3">
      <c r="A470">
        <v>2089</v>
      </c>
      <c r="B470">
        <v>0</v>
      </c>
      <c r="C470">
        <v>1</v>
      </c>
      <c r="D470">
        <v>0</v>
      </c>
      <c r="E470">
        <v>0</v>
      </c>
      <c r="F470">
        <v>0</v>
      </c>
      <c r="G470">
        <v>0</v>
      </c>
      <c r="H470">
        <v>0</v>
      </c>
      <c r="I470" s="2">
        <v>43989</v>
      </c>
      <c r="J470" s="1"/>
    </row>
    <row r="471" spans="1:10" x14ac:dyDescent="0.3">
      <c r="A471">
        <v>3108</v>
      </c>
      <c r="B471">
        <v>0</v>
      </c>
      <c r="C471">
        <v>0</v>
      </c>
      <c r="D471">
        <v>0</v>
      </c>
      <c r="E471">
        <v>0</v>
      </c>
      <c r="F471">
        <v>0</v>
      </c>
      <c r="G471">
        <v>0</v>
      </c>
      <c r="H471">
        <v>0</v>
      </c>
      <c r="I471" s="2">
        <v>43989</v>
      </c>
      <c r="J471" s="1"/>
    </row>
    <row r="472" spans="1:10" x14ac:dyDescent="0.3">
      <c r="A472">
        <v>1730</v>
      </c>
      <c r="B472">
        <v>1</v>
      </c>
      <c r="C472">
        <v>0</v>
      </c>
      <c r="D472">
        <v>0</v>
      </c>
      <c r="E472">
        <v>0</v>
      </c>
      <c r="F472">
        <v>0</v>
      </c>
      <c r="G472">
        <v>0</v>
      </c>
      <c r="H472">
        <v>1</v>
      </c>
      <c r="I472" s="2">
        <v>43958</v>
      </c>
      <c r="J472" s="1"/>
    </row>
    <row r="473" spans="1:10" x14ac:dyDescent="0.3">
      <c r="A473">
        <v>1446</v>
      </c>
      <c r="B473">
        <v>0</v>
      </c>
      <c r="C473">
        <v>0</v>
      </c>
      <c r="D473">
        <v>0</v>
      </c>
      <c r="E473">
        <v>0</v>
      </c>
      <c r="F473">
        <v>0</v>
      </c>
      <c r="G473">
        <v>0</v>
      </c>
      <c r="H473">
        <v>0</v>
      </c>
      <c r="I473" s="2">
        <v>43928</v>
      </c>
      <c r="J473" s="1"/>
    </row>
    <row r="474" spans="1:10" x14ac:dyDescent="0.3">
      <c r="A474">
        <v>2395</v>
      </c>
      <c r="B474">
        <v>0</v>
      </c>
      <c r="C474">
        <v>0</v>
      </c>
      <c r="D474">
        <v>0</v>
      </c>
      <c r="E474">
        <v>0</v>
      </c>
      <c r="F474">
        <v>0</v>
      </c>
      <c r="G474">
        <v>0</v>
      </c>
      <c r="H474">
        <v>0</v>
      </c>
      <c r="I474" s="2">
        <v>43928</v>
      </c>
      <c r="J474" s="1"/>
    </row>
    <row r="475" spans="1:10" x14ac:dyDescent="0.3">
      <c r="A475">
        <v>2699</v>
      </c>
      <c r="B475">
        <v>0</v>
      </c>
      <c r="C475">
        <v>0</v>
      </c>
      <c r="D475">
        <v>0</v>
      </c>
      <c r="E475">
        <v>0</v>
      </c>
      <c r="F475">
        <v>0</v>
      </c>
      <c r="G475">
        <v>0</v>
      </c>
      <c r="H475">
        <v>1</v>
      </c>
      <c r="I475" s="2">
        <v>43928</v>
      </c>
      <c r="J475" s="1"/>
    </row>
    <row r="476" spans="1:10" x14ac:dyDescent="0.3">
      <c r="A476">
        <v>3120</v>
      </c>
      <c r="B476">
        <v>0</v>
      </c>
      <c r="C476">
        <v>0</v>
      </c>
      <c r="D476">
        <v>0</v>
      </c>
      <c r="E476">
        <v>0</v>
      </c>
      <c r="F476">
        <v>0</v>
      </c>
      <c r="G476">
        <v>0</v>
      </c>
      <c r="H476">
        <v>0</v>
      </c>
      <c r="I476" s="2">
        <v>43928</v>
      </c>
      <c r="J476" s="1"/>
    </row>
    <row r="477" spans="1:10" x14ac:dyDescent="0.3">
      <c r="A477">
        <v>1504</v>
      </c>
      <c r="B477">
        <v>0</v>
      </c>
      <c r="C477">
        <v>0</v>
      </c>
      <c r="D477">
        <v>0</v>
      </c>
      <c r="E477">
        <v>0</v>
      </c>
      <c r="F477">
        <v>0</v>
      </c>
      <c r="G477">
        <v>0</v>
      </c>
      <c r="H477">
        <v>0</v>
      </c>
      <c r="I477" s="2">
        <v>43897</v>
      </c>
      <c r="J477" s="1"/>
    </row>
    <row r="478" spans="1:10" x14ac:dyDescent="0.3">
      <c r="A478">
        <v>1555</v>
      </c>
      <c r="B478">
        <v>0</v>
      </c>
      <c r="C478">
        <v>0</v>
      </c>
      <c r="D478">
        <v>0</v>
      </c>
      <c r="E478">
        <v>0</v>
      </c>
      <c r="F478">
        <v>0</v>
      </c>
      <c r="G478">
        <v>0</v>
      </c>
      <c r="H478">
        <v>0</v>
      </c>
      <c r="I478" s="2">
        <v>43897</v>
      </c>
      <c r="J478" s="1"/>
    </row>
    <row r="479" spans="1:10" x14ac:dyDescent="0.3">
      <c r="A479">
        <v>2333</v>
      </c>
      <c r="B479">
        <v>0</v>
      </c>
      <c r="C479">
        <v>0</v>
      </c>
      <c r="D479">
        <v>0</v>
      </c>
      <c r="E479">
        <v>0</v>
      </c>
      <c r="F479">
        <v>0</v>
      </c>
      <c r="G479">
        <v>0</v>
      </c>
      <c r="H479">
        <v>0</v>
      </c>
      <c r="I479" s="2">
        <v>43897</v>
      </c>
      <c r="J479" s="1"/>
    </row>
    <row r="480" spans="1:10" x14ac:dyDescent="0.3">
      <c r="A480">
        <v>2594</v>
      </c>
      <c r="B480">
        <v>0</v>
      </c>
      <c r="C480">
        <v>0</v>
      </c>
      <c r="D480">
        <v>0</v>
      </c>
      <c r="E480">
        <v>0</v>
      </c>
      <c r="F480">
        <v>0</v>
      </c>
      <c r="G480">
        <v>0</v>
      </c>
      <c r="H480">
        <v>0</v>
      </c>
      <c r="I480" s="2">
        <v>43897</v>
      </c>
      <c r="J480" s="1"/>
    </row>
    <row r="481" spans="1:10" x14ac:dyDescent="0.3">
      <c r="A481">
        <v>1472</v>
      </c>
      <c r="B481">
        <v>0</v>
      </c>
      <c r="C481">
        <v>0</v>
      </c>
      <c r="D481">
        <v>0</v>
      </c>
      <c r="E481">
        <v>0</v>
      </c>
      <c r="F481">
        <v>0</v>
      </c>
      <c r="G481">
        <v>0</v>
      </c>
      <c r="H481">
        <v>0</v>
      </c>
      <c r="I481" s="2">
        <v>43868</v>
      </c>
      <c r="J481" s="1"/>
    </row>
    <row r="482" spans="1:10" x14ac:dyDescent="0.3">
      <c r="A482">
        <v>1532</v>
      </c>
      <c r="B482">
        <v>1</v>
      </c>
      <c r="C482">
        <v>0</v>
      </c>
      <c r="D482">
        <v>0</v>
      </c>
      <c r="E482">
        <v>0</v>
      </c>
      <c r="F482">
        <v>0</v>
      </c>
      <c r="G482">
        <v>0</v>
      </c>
      <c r="H482">
        <v>1</v>
      </c>
      <c r="I482" s="2">
        <v>43868</v>
      </c>
      <c r="J482" s="1"/>
    </row>
    <row r="483" spans="1:10" x14ac:dyDescent="0.3">
      <c r="A483">
        <v>1758</v>
      </c>
      <c r="B483">
        <v>0</v>
      </c>
      <c r="C483">
        <v>0</v>
      </c>
      <c r="D483">
        <v>0</v>
      </c>
      <c r="E483">
        <v>0</v>
      </c>
      <c r="F483">
        <v>0</v>
      </c>
      <c r="G483">
        <v>0</v>
      </c>
      <c r="H483">
        <v>0</v>
      </c>
      <c r="I483" s="2">
        <v>43868</v>
      </c>
      <c r="J483" s="1"/>
    </row>
    <row r="484" spans="1:10" x14ac:dyDescent="0.3">
      <c r="A484">
        <v>1841</v>
      </c>
      <c r="B484">
        <v>0</v>
      </c>
      <c r="C484">
        <v>0</v>
      </c>
      <c r="D484">
        <v>0</v>
      </c>
      <c r="E484">
        <v>0</v>
      </c>
      <c r="F484">
        <v>0</v>
      </c>
      <c r="G484">
        <v>0</v>
      </c>
      <c r="H484">
        <v>0</v>
      </c>
      <c r="I484" s="2">
        <v>43868</v>
      </c>
      <c r="J484" s="1"/>
    </row>
    <row r="485" spans="1:10" x14ac:dyDescent="0.3">
      <c r="A485">
        <v>1989</v>
      </c>
      <c r="B485">
        <v>1</v>
      </c>
      <c r="C485">
        <v>0</v>
      </c>
      <c r="D485">
        <v>0</v>
      </c>
      <c r="E485">
        <v>0</v>
      </c>
      <c r="F485">
        <v>0</v>
      </c>
      <c r="G485">
        <v>0</v>
      </c>
      <c r="H485">
        <v>0</v>
      </c>
      <c r="I485" s="2">
        <v>43868</v>
      </c>
      <c r="J485" s="1"/>
    </row>
    <row r="486" spans="1:10" x14ac:dyDescent="0.3">
      <c r="A486">
        <v>2436</v>
      </c>
      <c r="B486">
        <v>0</v>
      </c>
      <c r="C486">
        <v>1</v>
      </c>
      <c r="D486">
        <v>0</v>
      </c>
      <c r="E486">
        <v>0</v>
      </c>
      <c r="F486">
        <v>0</v>
      </c>
      <c r="G486">
        <v>0</v>
      </c>
      <c r="H486">
        <v>0</v>
      </c>
      <c r="I486" s="2">
        <v>43868</v>
      </c>
      <c r="J486" s="1"/>
    </row>
    <row r="487" spans="1:10" x14ac:dyDescent="0.3">
      <c r="A487">
        <v>2471</v>
      </c>
      <c r="B487">
        <v>0</v>
      </c>
      <c r="C487">
        <v>0</v>
      </c>
      <c r="D487">
        <v>0</v>
      </c>
      <c r="E487">
        <v>0</v>
      </c>
      <c r="F487">
        <v>0</v>
      </c>
      <c r="G487">
        <v>0</v>
      </c>
      <c r="H487">
        <v>0</v>
      </c>
      <c r="I487" s="2">
        <v>43868</v>
      </c>
      <c r="J487" s="1"/>
    </row>
    <row r="488" spans="1:10" x14ac:dyDescent="0.3">
      <c r="A488">
        <v>1708</v>
      </c>
      <c r="B488">
        <v>0</v>
      </c>
      <c r="C488">
        <v>0</v>
      </c>
      <c r="D488">
        <v>0</v>
      </c>
      <c r="E488">
        <v>0</v>
      </c>
      <c r="F488">
        <v>0</v>
      </c>
      <c r="G488">
        <v>0</v>
      </c>
      <c r="H488">
        <v>0</v>
      </c>
      <c r="I488" s="2">
        <v>43837</v>
      </c>
      <c r="J488" s="1"/>
    </row>
    <row r="489" spans="1:10" x14ac:dyDescent="0.3">
      <c r="A489">
        <v>1725</v>
      </c>
      <c r="B489">
        <v>0</v>
      </c>
      <c r="C489">
        <v>0</v>
      </c>
      <c r="D489">
        <v>0</v>
      </c>
      <c r="E489">
        <v>1</v>
      </c>
      <c r="F489">
        <v>0</v>
      </c>
      <c r="G489">
        <v>0</v>
      </c>
      <c r="H489">
        <v>0</v>
      </c>
      <c r="I489" s="2">
        <v>43837</v>
      </c>
      <c r="J489" s="1"/>
    </row>
    <row r="490" spans="1:10" x14ac:dyDescent="0.3">
      <c r="A490">
        <v>2879</v>
      </c>
      <c r="B490">
        <v>0</v>
      </c>
      <c r="C490">
        <v>1</v>
      </c>
      <c r="D490">
        <v>0</v>
      </c>
      <c r="E490">
        <v>0</v>
      </c>
      <c r="F490">
        <v>0</v>
      </c>
      <c r="G490">
        <v>0</v>
      </c>
      <c r="H490">
        <v>0</v>
      </c>
      <c r="I490" s="2">
        <v>43837</v>
      </c>
      <c r="J490" s="1"/>
    </row>
    <row r="491" spans="1:10" x14ac:dyDescent="0.3">
      <c r="A491">
        <v>3127</v>
      </c>
      <c r="B491">
        <v>0</v>
      </c>
      <c r="C491">
        <v>0</v>
      </c>
      <c r="D491">
        <v>0</v>
      </c>
      <c r="E491">
        <v>0</v>
      </c>
      <c r="F491">
        <v>0</v>
      </c>
      <c r="G491">
        <v>0</v>
      </c>
      <c r="H491">
        <v>0</v>
      </c>
      <c r="I491" s="2">
        <v>43837</v>
      </c>
      <c r="J491" s="1"/>
    </row>
    <row r="492" spans="1:10" x14ac:dyDescent="0.3">
      <c r="A492">
        <v>3203</v>
      </c>
      <c r="B492">
        <v>0</v>
      </c>
      <c r="C492">
        <v>1</v>
      </c>
      <c r="D492">
        <v>0</v>
      </c>
      <c r="E492">
        <v>0</v>
      </c>
      <c r="F492">
        <v>0</v>
      </c>
      <c r="G492">
        <v>0</v>
      </c>
      <c r="H492">
        <v>0</v>
      </c>
      <c r="I492" s="2">
        <v>43837</v>
      </c>
      <c r="J492" s="1"/>
    </row>
    <row r="493" spans="1:10" x14ac:dyDescent="0.3">
      <c r="A493">
        <v>3218</v>
      </c>
      <c r="B493">
        <v>0</v>
      </c>
      <c r="C493">
        <v>1</v>
      </c>
      <c r="D493">
        <v>0</v>
      </c>
      <c r="E493">
        <v>0</v>
      </c>
      <c r="F493">
        <v>0</v>
      </c>
      <c r="G493">
        <v>0</v>
      </c>
      <c r="H493">
        <v>0</v>
      </c>
      <c r="I493" s="2">
        <v>43837</v>
      </c>
      <c r="J493" s="1"/>
    </row>
    <row r="494" spans="1:10" x14ac:dyDescent="0.3">
      <c r="A494">
        <v>1108</v>
      </c>
      <c r="B494">
        <v>0</v>
      </c>
      <c r="C494">
        <v>0</v>
      </c>
      <c r="D494">
        <v>1</v>
      </c>
      <c r="E494">
        <v>1</v>
      </c>
      <c r="F494">
        <v>0</v>
      </c>
      <c r="G494">
        <v>0</v>
      </c>
      <c r="H494">
        <v>0</v>
      </c>
      <c r="I494" s="2" t="s">
        <v>108</v>
      </c>
    </row>
    <row r="495" spans="1:10" x14ac:dyDescent="0.3">
      <c r="A495">
        <v>2455</v>
      </c>
      <c r="B495">
        <v>1</v>
      </c>
      <c r="C495">
        <v>0</v>
      </c>
      <c r="D495">
        <v>0</v>
      </c>
      <c r="E495">
        <v>0</v>
      </c>
      <c r="F495">
        <v>0</v>
      </c>
      <c r="G495">
        <v>0</v>
      </c>
      <c r="H495">
        <v>0</v>
      </c>
      <c r="I495" s="2" t="s">
        <v>108</v>
      </c>
    </row>
    <row r="496" spans="1:10" x14ac:dyDescent="0.3">
      <c r="A496">
        <v>3204</v>
      </c>
      <c r="B496">
        <v>0</v>
      </c>
      <c r="C496">
        <v>0</v>
      </c>
      <c r="D496">
        <v>0</v>
      </c>
      <c r="E496">
        <v>0</v>
      </c>
      <c r="F496">
        <v>0</v>
      </c>
      <c r="G496">
        <v>0</v>
      </c>
      <c r="H496">
        <v>0</v>
      </c>
      <c r="I496" s="2" t="s">
        <v>108</v>
      </c>
    </row>
    <row r="497" spans="1:9" x14ac:dyDescent="0.3">
      <c r="A497">
        <v>3219</v>
      </c>
      <c r="B497">
        <v>0</v>
      </c>
      <c r="C497">
        <v>0</v>
      </c>
      <c r="D497">
        <v>0</v>
      </c>
      <c r="E497">
        <v>0</v>
      </c>
      <c r="F497">
        <v>0</v>
      </c>
      <c r="G497">
        <v>0</v>
      </c>
      <c r="H497">
        <v>0</v>
      </c>
      <c r="I497" s="2" t="s">
        <v>108</v>
      </c>
    </row>
    <row r="498" spans="1:9" x14ac:dyDescent="0.3">
      <c r="A498">
        <v>1878</v>
      </c>
      <c r="B498">
        <v>0</v>
      </c>
      <c r="C498">
        <v>0</v>
      </c>
      <c r="D498">
        <v>0</v>
      </c>
      <c r="E498">
        <v>0</v>
      </c>
      <c r="F498">
        <v>0</v>
      </c>
      <c r="G498">
        <v>0</v>
      </c>
      <c r="H498">
        <v>0</v>
      </c>
      <c r="I498" s="2" t="s">
        <v>109</v>
      </c>
    </row>
    <row r="499" spans="1:9" x14ac:dyDescent="0.3">
      <c r="A499">
        <v>2556</v>
      </c>
      <c r="B499">
        <v>0</v>
      </c>
      <c r="C499">
        <v>0</v>
      </c>
      <c r="D499">
        <v>0</v>
      </c>
      <c r="E499">
        <v>0</v>
      </c>
      <c r="F499">
        <v>0</v>
      </c>
      <c r="G499">
        <v>0</v>
      </c>
      <c r="H499">
        <v>0</v>
      </c>
      <c r="I499" s="2" t="s">
        <v>109</v>
      </c>
    </row>
    <row r="500" spans="1:9" x14ac:dyDescent="0.3">
      <c r="A500">
        <v>2654</v>
      </c>
      <c r="B500">
        <v>0</v>
      </c>
      <c r="C500">
        <v>0</v>
      </c>
      <c r="D500">
        <v>0</v>
      </c>
      <c r="E500">
        <v>0</v>
      </c>
      <c r="F500">
        <v>0</v>
      </c>
      <c r="G500">
        <v>0</v>
      </c>
      <c r="H500">
        <v>0</v>
      </c>
      <c r="I500" s="2" t="s">
        <v>109</v>
      </c>
    </row>
    <row r="501" spans="1:9" x14ac:dyDescent="0.3">
      <c r="A501">
        <v>2944</v>
      </c>
      <c r="B501">
        <v>0</v>
      </c>
      <c r="C501">
        <v>1</v>
      </c>
      <c r="D501">
        <v>1</v>
      </c>
      <c r="E501">
        <v>0</v>
      </c>
      <c r="F501">
        <v>0</v>
      </c>
      <c r="G501">
        <v>0</v>
      </c>
      <c r="H501">
        <v>0</v>
      </c>
      <c r="I501" s="2" t="s">
        <v>109</v>
      </c>
    </row>
    <row r="502" spans="1:9" x14ac:dyDescent="0.3">
      <c r="A502">
        <v>3109</v>
      </c>
      <c r="B502">
        <v>0</v>
      </c>
      <c r="C502">
        <v>0</v>
      </c>
      <c r="D502">
        <v>0</v>
      </c>
      <c r="E502">
        <v>0</v>
      </c>
      <c r="F502">
        <v>0</v>
      </c>
      <c r="G502">
        <v>0</v>
      </c>
      <c r="H502">
        <v>0</v>
      </c>
      <c r="I502" s="2" t="s">
        <v>109</v>
      </c>
    </row>
    <row r="503" spans="1:9" x14ac:dyDescent="0.3">
      <c r="A503">
        <v>1172</v>
      </c>
      <c r="B503">
        <v>0</v>
      </c>
      <c r="C503">
        <v>0</v>
      </c>
      <c r="D503">
        <v>0</v>
      </c>
      <c r="E503">
        <v>0</v>
      </c>
      <c r="F503">
        <v>0</v>
      </c>
      <c r="G503">
        <v>0</v>
      </c>
      <c r="H503">
        <v>0</v>
      </c>
      <c r="I503" s="2" t="s">
        <v>110</v>
      </c>
    </row>
    <row r="504" spans="1:9" x14ac:dyDescent="0.3">
      <c r="A504">
        <v>2059</v>
      </c>
      <c r="B504">
        <v>0</v>
      </c>
      <c r="C504">
        <v>0</v>
      </c>
      <c r="D504">
        <v>0</v>
      </c>
      <c r="E504">
        <v>0</v>
      </c>
      <c r="F504">
        <v>0</v>
      </c>
      <c r="G504">
        <v>0</v>
      </c>
      <c r="H504">
        <v>0</v>
      </c>
      <c r="I504" s="2" t="s">
        <v>110</v>
      </c>
    </row>
    <row r="505" spans="1:9" x14ac:dyDescent="0.3">
      <c r="A505">
        <v>2150</v>
      </c>
      <c r="B505">
        <v>0</v>
      </c>
      <c r="C505">
        <v>0</v>
      </c>
      <c r="D505">
        <v>0</v>
      </c>
      <c r="E505">
        <v>0</v>
      </c>
      <c r="F505">
        <v>0</v>
      </c>
      <c r="G505">
        <v>0</v>
      </c>
      <c r="H505">
        <v>0</v>
      </c>
      <c r="I505" s="2" t="s">
        <v>110</v>
      </c>
    </row>
    <row r="506" spans="1:9" x14ac:dyDescent="0.3">
      <c r="A506">
        <v>2389</v>
      </c>
      <c r="B506">
        <v>0</v>
      </c>
      <c r="C506">
        <v>0</v>
      </c>
      <c r="D506">
        <v>0</v>
      </c>
      <c r="E506">
        <v>1</v>
      </c>
      <c r="F506">
        <v>0</v>
      </c>
      <c r="G506">
        <v>0</v>
      </c>
      <c r="H506">
        <v>1</v>
      </c>
      <c r="I506" s="2" t="s">
        <v>110</v>
      </c>
    </row>
    <row r="507" spans="1:9" x14ac:dyDescent="0.3">
      <c r="A507">
        <v>3125</v>
      </c>
      <c r="B507">
        <v>0</v>
      </c>
      <c r="C507">
        <v>0</v>
      </c>
      <c r="D507">
        <v>0</v>
      </c>
      <c r="E507">
        <v>0</v>
      </c>
      <c r="F507">
        <v>0</v>
      </c>
      <c r="G507">
        <v>0</v>
      </c>
      <c r="H507">
        <v>0</v>
      </c>
      <c r="I507" s="2" t="s">
        <v>110</v>
      </c>
    </row>
    <row r="508" spans="1:9" x14ac:dyDescent="0.3">
      <c r="A508">
        <v>1084</v>
      </c>
      <c r="B508">
        <v>0</v>
      </c>
      <c r="C508">
        <v>0</v>
      </c>
      <c r="D508">
        <v>0</v>
      </c>
      <c r="E508">
        <v>0</v>
      </c>
      <c r="F508">
        <v>0</v>
      </c>
      <c r="G508">
        <v>0</v>
      </c>
      <c r="H508">
        <v>0</v>
      </c>
      <c r="I508" s="2" t="s">
        <v>111</v>
      </c>
    </row>
    <row r="509" spans="1:9" x14ac:dyDescent="0.3">
      <c r="A509">
        <v>2126</v>
      </c>
      <c r="B509">
        <v>0</v>
      </c>
      <c r="C509">
        <v>0</v>
      </c>
      <c r="D509">
        <v>0</v>
      </c>
      <c r="E509">
        <v>0</v>
      </c>
      <c r="F509">
        <v>0</v>
      </c>
      <c r="G509">
        <v>0</v>
      </c>
      <c r="H509">
        <v>0</v>
      </c>
      <c r="I509" s="2" t="s">
        <v>111</v>
      </c>
    </row>
    <row r="510" spans="1:9" x14ac:dyDescent="0.3">
      <c r="A510">
        <v>2852</v>
      </c>
      <c r="B510">
        <v>0</v>
      </c>
      <c r="C510">
        <v>0</v>
      </c>
      <c r="D510">
        <v>0</v>
      </c>
      <c r="E510">
        <v>1</v>
      </c>
      <c r="F510">
        <v>0</v>
      </c>
      <c r="G510">
        <v>0</v>
      </c>
      <c r="H510">
        <v>0</v>
      </c>
      <c r="I510" s="2" t="s">
        <v>111</v>
      </c>
    </row>
    <row r="511" spans="1:9" x14ac:dyDescent="0.3">
      <c r="A511">
        <v>2997</v>
      </c>
      <c r="B511">
        <v>0</v>
      </c>
      <c r="C511">
        <v>0</v>
      </c>
      <c r="D511">
        <v>0</v>
      </c>
      <c r="E511">
        <v>0</v>
      </c>
      <c r="F511">
        <v>0</v>
      </c>
      <c r="G511">
        <v>0</v>
      </c>
      <c r="H511">
        <v>0</v>
      </c>
      <c r="I511" s="2" t="s">
        <v>111</v>
      </c>
    </row>
    <row r="512" spans="1:9" x14ac:dyDescent="0.3">
      <c r="A512">
        <v>3086</v>
      </c>
      <c r="B512">
        <v>0</v>
      </c>
      <c r="C512">
        <v>0</v>
      </c>
      <c r="D512">
        <v>0</v>
      </c>
      <c r="E512">
        <v>0</v>
      </c>
      <c r="F512">
        <v>0</v>
      </c>
      <c r="G512">
        <v>0</v>
      </c>
      <c r="H512">
        <v>0</v>
      </c>
      <c r="I512" s="2" t="s">
        <v>111</v>
      </c>
    </row>
    <row r="513" spans="1:9" x14ac:dyDescent="0.3">
      <c r="A513">
        <v>1005</v>
      </c>
      <c r="B513">
        <v>0</v>
      </c>
      <c r="C513">
        <v>0</v>
      </c>
      <c r="D513">
        <v>0</v>
      </c>
      <c r="E513">
        <v>0</v>
      </c>
      <c r="F513">
        <v>0</v>
      </c>
      <c r="G513">
        <v>0</v>
      </c>
      <c r="H513">
        <v>0</v>
      </c>
      <c r="I513" s="2" t="s">
        <v>112</v>
      </c>
    </row>
    <row r="514" spans="1:9" x14ac:dyDescent="0.3">
      <c r="A514">
        <v>2861</v>
      </c>
      <c r="B514">
        <v>0</v>
      </c>
      <c r="C514">
        <v>0</v>
      </c>
      <c r="D514">
        <v>0</v>
      </c>
      <c r="E514">
        <v>0</v>
      </c>
      <c r="F514">
        <v>0</v>
      </c>
      <c r="G514">
        <v>0</v>
      </c>
      <c r="H514">
        <v>0</v>
      </c>
      <c r="I514" s="2" t="s">
        <v>112</v>
      </c>
    </row>
    <row r="515" spans="1:9" x14ac:dyDescent="0.3">
      <c r="A515">
        <v>2896</v>
      </c>
      <c r="B515">
        <v>0</v>
      </c>
      <c r="C515">
        <v>0</v>
      </c>
      <c r="D515">
        <v>0</v>
      </c>
      <c r="E515">
        <v>0</v>
      </c>
      <c r="F515">
        <v>0</v>
      </c>
      <c r="G515">
        <v>0</v>
      </c>
      <c r="H515">
        <v>0</v>
      </c>
      <c r="I515" s="2" t="s">
        <v>112</v>
      </c>
    </row>
    <row r="516" spans="1:9" x14ac:dyDescent="0.3">
      <c r="A516">
        <v>1297</v>
      </c>
      <c r="B516">
        <v>0</v>
      </c>
      <c r="C516">
        <v>0</v>
      </c>
      <c r="D516">
        <v>0</v>
      </c>
      <c r="E516">
        <v>0</v>
      </c>
      <c r="F516">
        <v>0</v>
      </c>
      <c r="G516">
        <v>0</v>
      </c>
      <c r="H516">
        <v>0</v>
      </c>
      <c r="I516" s="2" t="s">
        <v>113</v>
      </c>
    </row>
    <row r="517" spans="1:9" x14ac:dyDescent="0.3">
      <c r="A517">
        <v>1520</v>
      </c>
      <c r="B517">
        <v>0</v>
      </c>
      <c r="C517">
        <v>0</v>
      </c>
      <c r="D517">
        <v>0</v>
      </c>
      <c r="E517">
        <v>0</v>
      </c>
      <c r="F517">
        <v>0</v>
      </c>
      <c r="G517">
        <v>0</v>
      </c>
      <c r="H517">
        <v>0</v>
      </c>
      <c r="I517" s="2" t="s">
        <v>113</v>
      </c>
    </row>
    <row r="518" spans="1:9" x14ac:dyDescent="0.3">
      <c r="A518">
        <v>2221</v>
      </c>
      <c r="B518">
        <v>0</v>
      </c>
      <c r="C518">
        <v>0</v>
      </c>
      <c r="D518">
        <v>0</v>
      </c>
      <c r="E518">
        <v>0</v>
      </c>
      <c r="F518">
        <v>0</v>
      </c>
      <c r="G518">
        <v>0</v>
      </c>
      <c r="H518">
        <v>0</v>
      </c>
      <c r="I518" s="2" t="s">
        <v>113</v>
      </c>
    </row>
    <row r="519" spans="1:9" x14ac:dyDescent="0.3">
      <c r="A519">
        <v>2656</v>
      </c>
      <c r="B519">
        <v>0</v>
      </c>
      <c r="C519">
        <v>0</v>
      </c>
      <c r="D519">
        <v>0</v>
      </c>
      <c r="E519">
        <v>0</v>
      </c>
      <c r="F519">
        <v>0</v>
      </c>
      <c r="G519">
        <v>0</v>
      </c>
      <c r="H519">
        <v>0</v>
      </c>
      <c r="I519" s="2" t="s">
        <v>114</v>
      </c>
    </row>
    <row r="520" spans="1:9" x14ac:dyDescent="0.3">
      <c r="A520">
        <v>2931</v>
      </c>
      <c r="B520">
        <v>0</v>
      </c>
      <c r="C520">
        <v>0</v>
      </c>
      <c r="D520">
        <v>0</v>
      </c>
      <c r="E520">
        <v>0</v>
      </c>
      <c r="F520">
        <v>0</v>
      </c>
      <c r="G520">
        <v>0</v>
      </c>
      <c r="H520">
        <v>0</v>
      </c>
      <c r="I520" s="2" t="s">
        <v>114</v>
      </c>
    </row>
    <row r="521" spans="1:9" x14ac:dyDescent="0.3">
      <c r="A521">
        <v>3112</v>
      </c>
      <c r="B521">
        <v>0</v>
      </c>
      <c r="C521">
        <v>1</v>
      </c>
      <c r="D521">
        <v>1</v>
      </c>
      <c r="E521">
        <v>0</v>
      </c>
      <c r="F521">
        <v>0</v>
      </c>
      <c r="G521">
        <v>0</v>
      </c>
      <c r="H521">
        <v>0</v>
      </c>
      <c r="I521" s="2" t="s">
        <v>114</v>
      </c>
    </row>
    <row r="522" spans="1:9" x14ac:dyDescent="0.3">
      <c r="A522">
        <v>3140</v>
      </c>
      <c r="B522">
        <v>0</v>
      </c>
      <c r="C522">
        <v>0</v>
      </c>
      <c r="D522">
        <v>0</v>
      </c>
      <c r="E522">
        <v>0</v>
      </c>
      <c r="F522">
        <v>0</v>
      </c>
      <c r="G522">
        <v>0</v>
      </c>
      <c r="H522">
        <v>0</v>
      </c>
      <c r="I522" s="2" t="s">
        <v>114</v>
      </c>
    </row>
    <row r="523" spans="1:9" x14ac:dyDescent="0.3">
      <c r="A523">
        <v>1280</v>
      </c>
      <c r="B523">
        <v>0</v>
      </c>
      <c r="C523">
        <v>0</v>
      </c>
      <c r="D523">
        <v>0</v>
      </c>
      <c r="E523">
        <v>0</v>
      </c>
      <c r="F523">
        <v>0</v>
      </c>
      <c r="G523">
        <v>0</v>
      </c>
      <c r="H523">
        <v>0</v>
      </c>
      <c r="I523" s="2" t="s">
        <v>115</v>
      </c>
    </row>
    <row r="524" spans="1:9" x14ac:dyDescent="0.3">
      <c r="A524">
        <v>1547</v>
      </c>
      <c r="B524">
        <v>0</v>
      </c>
      <c r="C524">
        <v>0</v>
      </c>
      <c r="D524">
        <v>0</v>
      </c>
      <c r="E524">
        <v>0</v>
      </c>
      <c r="F524">
        <v>0</v>
      </c>
      <c r="G524">
        <v>0</v>
      </c>
      <c r="H524">
        <v>0</v>
      </c>
      <c r="I524" s="2" t="s">
        <v>115</v>
      </c>
    </row>
    <row r="525" spans="1:9" x14ac:dyDescent="0.3">
      <c r="A525">
        <v>1615</v>
      </c>
      <c r="B525">
        <v>0</v>
      </c>
      <c r="C525">
        <v>0</v>
      </c>
      <c r="D525">
        <v>0</v>
      </c>
      <c r="E525">
        <v>0</v>
      </c>
      <c r="F525">
        <v>0</v>
      </c>
      <c r="G525">
        <v>0</v>
      </c>
      <c r="H525">
        <v>0</v>
      </c>
      <c r="I525" s="2" t="s">
        <v>115</v>
      </c>
    </row>
    <row r="526" spans="1:9" x14ac:dyDescent="0.3">
      <c r="A526">
        <v>2362</v>
      </c>
      <c r="B526">
        <v>1</v>
      </c>
      <c r="C526">
        <v>0</v>
      </c>
      <c r="D526">
        <v>1</v>
      </c>
      <c r="E526">
        <v>0</v>
      </c>
      <c r="F526">
        <v>0</v>
      </c>
      <c r="G526">
        <v>0</v>
      </c>
      <c r="H526">
        <v>0</v>
      </c>
      <c r="I526" s="2" t="s">
        <v>115</v>
      </c>
    </row>
    <row r="527" spans="1:9" x14ac:dyDescent="0.3">
      <c r="A527">
        <v>1873</v>
      </c>
      <c r="B527">
        <v>0</v>
      </c>
      <c r="C527">
        <v>0</v>
      </c>
      <c r="D527">
        <v>0</v>
      </c>
      <c r="E527">
        <v>0</v>
      </c>
      <c r="F527">
        <v>0</v>
      </c>
      <c r="G527">
        <v>0</v>
      </c>
      <c r="H527">
        <v>0</v>
      </c>
      <c r="I527" s="2" t="s">
        <v>116</v>
      </c>
    </row>
    <row r="528" spans="1:9" x14ac:dyDescent="0.3">
      <c r="A528">
        <v>2288</v>
      </c>
      <c r="B528">
        <v>1</v>
      </c>
      <c r="C528">
        <v>0</v>
      </c>
      <c r="D528">
        <v>1</v>
      </c>
      <c r="E528">
        <v>1</v>
      </c>
      <c r="F528">
        <v>1</v>
      </c>
      <c r="G528">
        <v>0</v>
      </c>
      <c r="H528">
        <v>1</v>
      </c>
      <c r="I528" s="2" t="s">
        <v>116</v>
      </c>
    </row>
    <row r="529" spans="1:9" x14ac:dyDescent="0.3">
      <c r="A529">
        <v>1826</v>
      </c>
      <c r="B529">
        <v>1</v>
      </c>
      <c r="C529">
        <v>0</v>
      </c>
      <c r="D529">
        <v>1</v>
      </c>
      <c r="E529">
        <v>0</v>
      </c>
      <c r="F529">
        <v>1</v>
      </c>
      <c r="G529">
        <v>0</v>
      </c>
      <c r="H529">
        <v>1</v>
      </c>
      <c r="I529" s="2" t="s">
        <v>117</v>
      </c>
    </row>
    <row r="530" spans="1:9" x14ac:dyDescent="0.3">
      <c r="A530">
        <v>2154</v>
      </c>
      <c r="B530">
        <v>0</v>
      </c>
      <c r="C530">
        <v>1</v>
      </c>
      <c r="D530">
        <v>0</v>
      </c>
      <c r="E530">
        <v>0</v>
      </c>
      <c r="F530">
        <v>0</v>
      </c>
      <c r="G530">
        <v>0</v>
      </c>
      <c r="H530">
        <v>0</v>
      </c>
      <c r="I530" s="2" t="s">
        <v>118</v>
      </c>
    </row>
    <row r="531" spans="1:9" x14ac:dyDescent="0.3">
      <c r="A531">
        <v>1023</v>
      </c>
      <c r="B531">
        <v>0</v>
      </c>
      <c r="C531">
        <v>0</v>
      </c>
      <c r="D531">
        <v>0</v>
      </c>
      <c r="E531">
        <v>0</v>
      </c>
      <c r="F531">
        <v>0</v>
      </c>
      <c r="G531">
        <v>0</v>
      </c>
      <c r="H531">
        <v>0</v>
      </c>
      <c r="I531" s="2" t="s">
        <v>119</v>
      </c>
    </row>
    <row r="532" spans="1:9" x14ac:dyDescent="0.3">
      <c r="A532">
        <v>1832</v>
      </c>
      <c r="B532">
        <v>0</v>
      </c>
      <c r="C532">
        <v>0</v>
      </c>
      <c r="D532">
        <v>0</v>
      </c>
      <c r="E532">
        <v>0</v>
      </c>
      <c r="F532">
        <v>0</v>
      </c>
      <c r="G532">
        <v>0</v>
      </c>
      <c r="H532">
        <v>0</v>
      </c>
      <c r="I532" s="2" t="s">
        <v>119</v>
      </c>
    </row>
    <row r="533" spans="1:9" x14ac:dyDescent="0.3">
      <c r="A533">
        <v>1992</v>
      </c>
      <c r="B533">
        <v>0</v>
      </c>
      <c r="C533">
        <v>0</v>
      </c>
      <c r="D533">
        <v>0</v>
      </c>
      <c r="E533">
        <v>0</v>
      </c>
      <c r="F533">
        <v>0</v>
      </c>
      <c r="G533">
        <v>0</v>
      </c>
      <c r="H533">
        <v>0</v>
      </c>
      <c r="I533" s="2" t="s">
        <v>119</v>
      </c>
    </row>
    <row r="534" spans="1:9" x14ac:dyDescent="0.3">
      <c r="A534">
        <v>2294</v>
      </c>
      <c r="B534">
        <v>0</v>
      </c>
      <c r="C534">
        <v>0</v>
      </c>
      <c r="D534">
        <v>0</v>
      </c>
      <c r="E534">
        <v>0</v>
      </c>
      <c r="F534">
        <v>0</v>
      </c>
      <c r="G534">
        <v>0</v>
      </c>
      <c r="H534">
        <v>0</v>
      </c>
      <c r="I534" s="2" t="s">
        <v>119</v>
      </c>
    </row>
    <row r="535" spans="1:9" x14ac:dyDescent="0.3">
      <c r="A535">
        <v>2823</v>
      </c>
      <c r="B535">
        <v>0</v>
      </c>
      <c r="C535">
        <v>0</v>
      </c>
      <c r="D535">
        <v>0</v>
      </c>
      <c r="E535">
        <v>0</v>
      </c>
      <c r="F535">
        <v>0</v>
      </c>
      <c r="G535">
        <v>0</v>
      </c>
      <c r="H535">
        <v>0</v>
      </c>
      <c r="I535" s="2" t="s">
        <v>119</v>
      </c>
    </row>
    <row r="536" spans="1:9" x14ac:dyDescent="0.3">
      <c r="A536">
        <v>2638</v>
      </c>
      <c r="B536">
        <v>0</v>
      </c>
      <c r="C536">
        <v>0</v>
      </c>
      <c r="D536">
        <v>0</v>
      </c>
      <c r="E536">
        <v>0</v>
      </c>
      <c r="F536">
        <v>0</v>
      </c>
      <c r="G536">
        <v>0</v>
      </c>
      <c r="H536">
        <v>0</v>
      </c>
      <c r="I536" s="2" t="s">
        <v>120</v>
      </c>
    </row>
    <row r="537" spans="1:9" x14ac:dyDescent="0.3">
      <c r="A537">
        <v>2779</v>
      </c>
      <c r="B537">
        <v>1</v>
      </c>
      <c r="C537">
        <v>0</v>
      </c>
      <c r="D537">
        <v>0</v>
      </c>
      <c r="E537">
        <v>0</v>
      </c>
      <c r="F537">
        <v>0</v>
      </c>
      <c r="G537">
        <v>0</v>
      </c>
      <c r="H537">
        <v>0</v>
      </c>
      <c r="I537" s="2" t="s">
        <v>120</v>
      </c>
    </row>
    <row r="538" spans="1:9" x14ac:dyDescent="0.3">
      <c r="A538">
        <v>3102</v>
      </c>
      <c r="B538">
        <v>0</v>
      </c>
      <c r="C538">
        <v>0</v>
      </c>
      <c r="D538">
        <v>0</v>
      </c>
      <c r="E538">
        <v>0</v>
      </c>
      <c r="F538">
        <v>0</v>
      </c>
      <c r="G538">
        <v>0</v>
      </c>
      <c r="H538">
        <v>0</v>
      </c>
      <c r="I538" s="2" t="s">
        <v>120</v>
      </c>
    </row>
    <row r="539" spans="1:9" x14ac:dyDescent="0.3">
      <c r="A539">
        <v>3156</v>
      </c>
      <c r="B539">
        <v>0</v>
      </c>
      <c r="C539">
        <v>0</v>
      </c>
      <c r="D539">
        <v>0</v>
      </c>
      <c r="E539">
        <v>0</v>
      </c>
      <c r="F539">
        <v>0</v>
      </c>
      <c r="G539">
        <v>0</v>
      </c>
      <c r="H539">
        <v>0</v>
      </c>
      <c r="I539" s="2" t="s">
        <v>120</v>
      </c>
    </row>
    <row r="540" spans="1:9" x14ac:dyDescent="0.3">
      <c r="A540">
        <v>3192</v>
      </c>
      <c r="B540">
        <v>1</v>
      </c>
      <c r="C540">
        <v>0</v>
      </c>
      <c r="D540">
        <v>0</v>
      </c>
      <c r="E540">
        <v>0</v>
      </c>
      <c r="F540">
        <v>0</v>
      </c>
      <c r="G540">
        <v>0</v>
      </c>
      <c r="H540">
        <v>0</v>
      </c>
      <c r="I540" s="2" t="s">
        <v>121</v>
      </c>
    </row>
    <row r="541" spans="1:9" x14ac:dyDescent="0.3">
      <c r="A541">
        <v>3207</v>
      </c>
      <c r="B541">
        <v>1</v>
      </c>
      <c r="C541">
        <v>0</v>
      </c>
      <c r="D541">
        <v>0</v>
      </c>
      <c r="E541">
        <v>0</v>
      </c>
      <c r="F541">
        <v>0</v>
      </c>
      <c r="G541">
        <v>0</v>
      </c>
      <c r="H541">
        <v>0</v>
      </c>
      <c r="I541" s="2" t="s">
        <v>121</v>
      </c>
    </row>
    <row r="542" spans="1:9" x14ac:dyDescent="0.3">
      <c r="A542">
        <v>1530</v>
      </c>
      <c r="B542">
        <v>0</v>
      </c>
      <c r="C542">
        <v>0</v>
      </c>
      <c r="D542">
        <v>0</v>
      </c>
      <c r="E542">
        <v>0</v>
      </c>
      <c r="F542">
        <v>0</v>
      </c>
      <c r="G542">
        <v>0</v>
      </c>
      <c r="H542">
        <v>1</v>
      </c>
      <c r="I542" s="2" t="s">
        <v>122</v>
      </c>
    </row>
    <row r="543" spans="1:9" x14ac:dyDescent="0.3">
      <c r="A543">
        <v>2302</v>
      </c>
      <c r="B543">
        <v>0</v>
      </c>
      <c r="C543">
        <v>0</v>
      </c>
      <c r="D543">
        <v>1</v>
      </c>
      <c r="E543">
        <v>0</v>
      </c>
      <c r="F543">
        <v>0</v>
      </c>
      <c r="G543">
        <v>0</v>
      </c>
      <c r="H543">
        <v>0</v>
      </c>
      <c r="I543" s="2" t="s">
        <v>122</v>
      </c>
    </row>
    <row r="544" spans="1:9" x14ac:dyDescent="0.3">
      <c r="A544">
        <v>2907</v>
      </c>
      <c r="B544">
        <v>0</v>
      </c>
      <c r="C544">
        <v>0</v>
      </c>
      <c r="D544">
        <v>0</v>
      </c>
      <c r="E544">
        <v>0</v>
      </c>
      <c r="F544">
        <v>0</v>
      </c>
      <c r="G544">
        <v>0</v>
      </c>
      <c r="H544">
        <v>0</v>
      </c>
      <c r="I544" s="2" t="s">
        <v>122</v>
      </c>
    </row>
    <row r="545" spans="1:10" x14ac:dyDescent="0.3">
      <c r="A545">
        <v>1852</v>
      </c>
      <c r="B545">
        <v>0</v>
      </c>
      <c r="C545">
        <v>1</v>
      </c>
      <c r="D545">
        <v>0</v>
      </c>
      <c r="E545">
        <v>0</v>
      </c>
      <c r="F545">
        <v>0</v>
      </c>
      <c r="G545">
        <v>0</v>
      </c>
      <c r="H545">
        <v>0</v>
      </c>
      <c r="I545" s="2">
        <v>44171</v>
      </c>
      <c r="J545" s="1"/>
    </row>
    <row r="546" spans="1:10" x14ac:dyDescent="0.3">
      <c r="A546">
        <v>1152</v>
      </c>
      <c r="B546">
        <v>0</v>
      </c>
      <c r="C546">
        <v>0</v>
      </c>
      <c r="D546">
        <v>0</v>
      </c>
      <c r="E546">
        <v>0</v>
      </c>
      <c r="F546">
        <v>0</v>
      </c>
      <c r="G546">
        <v>0</v>
      </c>
      <c r="H546">
        <v>0</v>
      </c>
      <c r="I546" s="2">
        <v>44141</v>
      </c>
      <c r="J546" s="1"/>
    </row>
    <row r="547" spans="1:10" x14ac:dyDescent="0.3">
      <c r="A547">
        <v>2939</v>
      </c>
      <c r="B547">
        <v>0</v>
      </c>
      <c r="C547">
        <v>0</v>
      </c>
      <c r="D547">
        <v>0</v>
      </c>
      <c r="E547">
        <v>0</v>
      </c>
      <c r="F547">
        <v>0</v>
      </c>
      <c r="G547">
        <v>0</v>
      </c>
      <c r="H547">
        <v>0</v>
      </c>
      <c r="I547" s="2">
        <v>44141</v>
      </c>
      <c r="J547" s="1"/>
    </row>
    <row r="548" spans="1:10" x14ac:dyDescent="0.3">
      <c r="A548">
        <v>1638</v>
      </c>
      <c r="B548">
        <v>0</v>
      </c>
      <c r="C548">
        <v>0</v>
      </c>
      <c r="D548">
        <v>0</v>
      </c>
      <c r="E548">
        <v>0</v>
      </c>
      <c r="F548">
        <v>0</v>
      </c>
      <c r="G548">
        <v>0</v>
      </c>
      <c r="H548">
        <v>0</v>
      </c>
      <c r="I548" s="2">
        <v>44110</v>
      </c>
      <c r="J548" s="1"/>
    </row>
    <row r="549" spans="1:10" x14ac:dyDescent="0.3">
      <c r="A549">
        <v>1889</v>
      </c>
      <c r="B549">
        <v>0</v>
      </c>
      <c r="C549">
        <v>0</v>
      </c>
      <c r="D549">
        <v>0</v>
      </c>
      <c r="E549">
        <v>0</v>
      </c>
      <c r="F549">
        <v>0</v>
      </c>
      <c r="G549">
        <v>0</v>
      </c>
      <c r="H549">
        <v>0</v>
      </c>
      <c r="I549" s="2">
        <v>44110</v>
      </c>
      <c r="J549" s="1"/>
    </row>
    <row r="550" spans="1:10" x14ac:dyDescent="0.3">
      <c r="A550">
        <v>1333</v>
      </c>
      <c r="B550">
        <v>1</v>
      </c>
      <c r="C550">
        <v>0</v>
      </c>
      <c r="D550">
        <v>0</v>
      </c>
      <c r="E550">
        <v>0</v>
      </c>
      <c r="F550">
        <v>0</v>
      </c>
      <c r="G550">
        <v>0</v>
      </c>
      <c r="H550">
        <v>0</v>
      </c>
      <c r="I550" s="2">
        <v>44080</v>
      </c>
      <c r="J550" s="1"/>
    </row>
    <row r="551" spans="1:10" x14ac:dyDescent="0.3">
      <c r="A551">
        <v>1374</v>
      </c>
      <c r="B551">
        <v>0</v>
      </c>
      <c r="C551">
        <v>0</v>
      </c>
      <c r="D551">
        <v>1</v>
      </c>
      <c r="E551">
        <v>0</v>
      </c>
      <c r="F551">
        <v>0</v>
      </c>
      <c r="G551">
        <v>0</v>
      </c>
      <c r="H551">
        <v>0</v>
      </c>
      <c r="I551" s="2">
        <v>44080</v>
      </c>
      <c r="J551" s="1"/>
    </row>
    <row r="552" spans="1:10" x14ac:dyDescent="0.3">
      <c r="A552">
        <v>1959</v>
      </c>
      <c r="B552">
        <v>0</v>
      </c>
      <c r="C552">
        <v>0</v>
      </c>
      <c r="D552">
        <v>0</v>
      </c>
      <c r="E552">
        <v>0</v>
      </c>
      <c r="F552">
        <v>0</v>
      </c>
      <c r="G552">
        <v>0</v>
      </c>
      <c r="H552">
        <v>0</v>
      </c>
      <c r="I552" s="2">
        <v>44080</v>
      </c>
      <c r="J552" s="1"/>
    </row>
    <row r="553" spans="1:10" x14ac:dyDescent="0.3">
      <c r="A553">
        <v>1659</v>
      </c>
      <c r="B553">
        <v>0</v>
      </c>
      <c r="C553">
        <v>0</v>
      </c>
      <c r="D553">
        <v>0</v>
      </c>
      <c r="E553">
        <v>0</v>
      </c>
      <c r="F553">
        <v>0</v>
      </c>
      <c r="G553">
        <v>0</v>
      </c>
      <c r="H553">
        <v>0</v>
      </c>
      <c r="I553" s="2">
        <v>44049</v>
      </c>
      <c r="J553" s="1"/>
    </row>
    <row r="554" spans="1:10" x14ac:dyDescent="0.3">
      <c r="A554">
        <v>2683</v>
      </c>
      <c r="B554">
        <v>0</v>
      </c>
      <c r="C554">
        <v>0</v>
      </c>
      <c r="D554">
        <v>0</v>
      </c>
      <c r="E554">
        <v>0</v>
      </c>
      <c r="F554">
        <v>0</v>
      </c>
      <c r="G554">
        <v>0</v>
      </c>
      <c r="H554">
        <v>0</v>
      </c>
      <c r="I554" s="2">
        <v>44049</v>
      </c>
      <c r="J554" s="1"/>
    </row>
    <row r="555" spans="1:10" x14ac:dyDescent="0.3">
      <c r="A555">
        <v>2974</v>
      </c>
      <c r="B555">
        <v>0</v>
      </c>
      <c r="C555">
        <v>0</v>
      </c>
      <c r="D555">
        <v>0</v>
      </c>
      <c r="E555">
        <v>0</v>
      </c>
      <c r="F555">
        <v>0</v>
      </c>
      <c r="G555">
        <v>0</v>
      </c>
      <c r="H555">
        <v>0</v>
      </c>
      <c r="I555" s="2">
        <v>44049</v>
      </c>
      <c r="J555" s="1"/>
    </row>
    <row r="556" spans="1:10" x14ac:dyDescent="0.3">
      <c r="A556">
        <v>1444</v>
      </c>
      <c r="B556">
        <v>0</v>
      </c>
      <c r="C556">
        <v>0</v>
      </c>
      <c r="D556">
        <v>0</v>
      </c>
      <c r="E556">
        <v>1</v>
      </c>
      <c r="F556">
        <v>0</v>
      </c>
      <c r="G556">
        <v>0</v>
      </c>
      <c r="H556">
        <v>1</v>
      </c>
      <c r="I556" s="2">
        <v>44018</v>
      </c>
      <c r="J556" s="1"/>
    </row>
    <row r="557" spans="1:10" x14ac:dyDescent="0.3">
      <c r="A557">
        <v>1723</v>
      </c>
      <c r="B557">
        <v>0</v>
      </c>
      <c r="C557">
        <v>0</v>
      </c>
      <c r="D557">
        <v>0</v>
      </c>
      <c r="E557">
        <v>0</v>
      </c>
      <c r="F557">
        <v>0</v>
      </c>
      <c r="G557">
        <v>0</v>
      </c>
      <c r="H557">
        <v>0</v>
      </c>
      <c r="I557" s="2">
        <v>44018</v>
      </c>
      <c r="J557" s="1"/>
    </row>
    <row r="558" spans="1:10" x14ac:dyDescent="0.3">
      <c r="A558">
        <v>1035</v>
      </c>
      <c r="B558">
        <v>0</v>
      </c>
      <c r="C558">
        <v>0</v>
      </c>
      <c r="D558">
        <v>0</v>
      </c>
      <c r="E558">
        <v>0</v>
      </c>
      <c r="F558">
        <v>0</v>
      </c>
      <c r="G558">
        <v>0</v>
      </c>
      <c r="H558">
        <v>0</v>
      </c>
      <c r="I558" s="2">
        <v>43988</v>
      </c>
      <c r="J558" s="1"/>
    </row>
    <row r="559" spans="1:10" x14ac:dyDescent="0.3">
      <c r="A559">
        <v>1731</v>
      </c>
      <c r="B559">
        <v>0</v>
      </c>
      <c r="C559">
        <v>0</v>
      </c>
      <c r="D559">
        <v>0</v>
      </c>
      <c r="E559">
        <v>0</v>
      </c>
      <c r="F559">
        <v>0</v>
      </c>
      <c r="G559">
        <v>0</v>
      </c>
      <c r="H559">
        <v>0</v>
      </c>
      <c r="I559" s="2">
        <v>43988</v>
      </c>
      <c r="J559" s="1"/>
    </row>
    <row r="560" spans="1:10" x14ac:dyDescent="0.3">
      <c r="A560">
        <v>2183</v>
      </c>
      <c r="B560">
        <v>0</v>
      </c>
      <c r="C560">
        <v>0</v>
      </c>
      <c r="D560">
        <v>0</v>
      </c>
      <c r="E560">
        <v>0</v>
      </c>
      <c r="F560">
        <v>0</v>
      </c>
      <c r="G560">
        <v>0</v>
      </c>
      <c r="H560">
        <v>0</v>
      </c>
      <c r="I560" s="2">
        <v>43988</v>
      </c>
      <c r="J560" s="1"/>
    </row>
    <row r="561" spans="1:10" x14ac:dyDescent="0.3">
      <c r="A561">
        <v>1464</v>
      </c>
      <c r="B561">
        <v>0</v>
      </c>
      <c r="C561">
        <v>0</v>
      </c>
      <c r="D561">
        <v>0</v>
      </c>
      <c r="E561">
        <v>0</v>
      </c>
      <c r="F561">
        <v>0</v>
      </c>
      <c r="G561">
        <v>0</v>
      </c>
      <c r="H561">
        <v>0</v>
      </c>
      <c r="I561" s="2">
        <v>43957</v>
      </c>
      <c r="J561" s="1"/>
    </row>
    <row r="562" spans="1:10" x14ac:dyDescent="0.3">
      <c r="A562">
        <v>1908</v>
      </c>
      <c r="B562">
        <v>0</v>
      </c>
      <c r="C562">
        <v>1</v>
      </c>
      <c r="D562">
        <v>0</v>
      </c>
      <c r="E562">
        <v>0</v>
      </c>
      <c r="F562">
        <v>0</v>
      </c>
      <c r="G562">
        <v>0</v>
      </c>
      <c r="H562">
        <v>0</v>
      </c>
      <c r="I562" s="2">
        <v>43957</v>
      </c>
      <c r="J562" s="1"/>
    </row>
    <row r="563" spans="1:10" x14ac:dyDescent="0.3">
      <c r="A563">
        <v>2356</v>
      </c>
      <c r="B563">
        <v>0</v>
      </c>
      <c r="C563">
        <v>0</v>
      </c>
      <c r="D563">
        <v>0</v>
      </c>
      <c r="E563">
        <v>0</v>
      </c>
      <c r="F563">
        <v>0</v>
      </c>
      <c r="G563">
        <v>0</v>
      </c>
      <c r="H563">
        <v>0</v>
      </c>
      <c r="I563" s="2">
        <v>43957</v>
      </c>
      <c r="J563" s="1"/>
    </row>
    <row r="564" spans="1:10" x14ac:dyDescent="0.3">
      <c r="A564">
        <v>1183</v>
      </c>
      <c r="B564">
        <v>0</v>
      </c>
      <c r="C564">
        <v>0</v>
      </c>
      <c r="D564">
        <v>0</v>
      </c>
      <c r="E564">
        <v>0</v>
      </c>
      <c r="F564">
        <v>0</v>
      </c>
      <c r="G564">
        <v>0</v>
      </c>
      <c r="H564">
        <v>0</v>
      </c>
      <c r="I564" s="2">
        <v>43927</v>
      </c>
      <c r="J564" s="1"/>
    </row>
    <row r="565" spans="1:10" x14ac:dyDescent="0.3">
      <c r="A565">
        <v>1431</v>
      </c>
      <c r="B565">
        <v>1</v>
      </c>
      <c r="C565">
        <v>0</v>
      </c>
      <c r="D565">
        <v>0</v>
      </c>
      <c r="E565">
        <v>1</v>
      </c>
      <c r="F565">
        <v>0</v>
      </c>
      <c r="G565">
        <v>0</v>
      </c>
      <c r="H565">
        <v>0</v>
      </c>
      <c r="I565" s="2">
        <v>43927</v>
      </c>
      <c r="J565" s="1"/>
    </row>
    <row r="566" spans="1:10" x14ac:dyDescent="0.3">
      <c r="A566">
        <v>2338</v>
      </c>
      <c r="B566">
        <v>0</v>
      </c>
      <c r="C566">
        <v>0</v>
      </c>
      <c r="D566">
        <v>0</v>
      </c>
      <c r="E566">
        <v>0</v>
      </c>
      <c r="F566">
        <v>0</v>
      </c>
      <c r="G566">
        <v>0</v>
      </c>
      <c r="H566">
        <v>0</v>
      </c>
      <c r="I566" s="2">
        <v>43927</v>
      </c>
      <c r="J566" s="1"/>
    </row>
    <row r="567" spans="1:10" x14ac:dyDescent="0.3">
      <c r="A567">
        <v>2590</v>
      </c>
      <c r="B567">
        <v>0</v>
      </c>
      <c r="C567">
        <v>0</v>
      </c>
      <c r="D567">
        <v>0</v>
      </c>
      <c r="E567">
        <v>0</v>
      </c>
      <c r="F567">
        <v>0</v>
      </c>
      <c r="G567">
        <v>0</v>
      </c>
      <c r="H567">
        <v>1</v>
      </c>
      <c r="I567" s="2">
        <v>43927</v>
      </c>
      <c r="J567" s="1"/>
    </row>
    <row r="568" spans="1:10" x14ac:dyDescent="0.3">
      <c r="A568">
        <v>2642</v>
      </c>
      <c r="B568">
        <v>0</v>
      </c>
      <c r="C568">
        <v>0</v>
      </c>
      <c r="D568">
        <v>0</v>
      </c>
      <c r="E568">
        <v>0</v>
      </c>
      <c r="F568">
        <v>0</v>
      </c>
      <c r="G568">
        <v>0</v>
      </c>
      <c r="H568">
        <v>0</v>
      </c>
      <c r="I568" s="2">
        <v>43927</v>
      </c>
      <c r="J568" s="1"/>
    </row>
    <row r="569" spans="1:10" x14ac:dyDescent="0.3">
      <c r="A569">
        <v>1606</v>
      </c>
      <c r="B569">
        <v>0</v>
      </c>
      <c r="C569">
        <v>0</v>
      </c>
      <c r="D569">
        <v>0</v>
      </c>
      <c r="E569">
        <v>0</v>
      </c>
      <c r="F569">
        <v>0</v>
      </c>
      <c r="G569">
        <v>0</v>
      </c>
      <c r="H569">
        <v>0</v>
      </c>
      <c r="I569" s="2">
        <v>43896</v>
      </c>
      <c r="J569" s="1"/>
    </row>
    <row r="570" spans="1:10" x14ac:dyDescent="0.3">
      <c r="A570">
        <v>1278</v>
      </c>
      <c r="B570">
        <v>0</v>
      </c>
      <c r="C570">
        <v>0</v>
      </c>
      <c r="D570">
        <v>0</v>
      </c>
      <c r="E570">
        <v>0</v>
      </c>
      <c r="F570">
        <v>0</v>
      </c>
      <c r="G570">
        <v>0</v>
      </c>
      <c r="H570">
        <v>0</v>
      </c>
      <c r="I570" s="2">
        <v>43867</v>
      </c>
      <c r="J570" s="1"/>
    </row>
    <row r="571" spans="1:10" x14ac:dyDescent="0.3">
      <c r="A571">
        <v>1291</v>
      </c>
      <c r="B571">
        <v>0</v>
      </c>
      <c r="C571">
        <v>0</v>
      </c>
      <c r="D571">
        <v>0</v>
      </c>
      <c r="E571">
        <v>0</v>
      </c>
      <c r="F571">
        <v>0</v>
      </c>
      <c r="G571">
        <v>0</v>
      </c>
      <c r="H571">
        <v>0</v>
      </c>
      <c r="I571" s="2">
        <v>43867</v>
      </c>
      <c r="J571" s="1"/>
    </row>
    <row r="572" spans="1:10" x14ac:dyDescent="0.3">
      <c r="A572">
        <v>3024</v>
      </c>
      <c r="B572">
        <v>0</v>
      </c>
      <c r="C572">
        <v>0</v>
      </c>
      <c r="D572">
        <v>0</v>
      </c>
      <c r="E572">
        <v>0</v>
      </c>
      <c r="F572">
        <v>0</v>
      </c>
      <c r="G572">
        <v>0</v>
      </c>
      <c r="H572">
        <v>0</v>
      </c>
      <c r="I572" s="2">
        <v>43867</v>
      </c>
      <c r="J572" s="1"/>
    </row>
    <row r="573" spans="1:10" x14ac:dyDescent="0.3">
      <c r="A573">
        <v>3034</v>
      </c>
      <c r="B573">
        <v>0</v>
      </c>
      <c r="C573">
        <v>0</v>
      </c>
      <c r="D573">
        <v>0</v>
      </c>
      <c r="E573">
        <v>0</v>
      </c>
      <c r="F573">
        <v>0</v>
      </c>
      <c r="G573">
        <v>0</v>
      </c>
      <c r="H573">
        <v>0</v>
      </c>
      <c r="I573" s="2">
        <v>43867</v>
      </c>
      <c r="J573" s="1"/>
    </row>
    <row r="574" spans="1:10" x14ac:dyDescent="0.3">
      <c r="A574">
        <v>1226</v>
      </c>
      <c r="B574">
        <v>0</v>
      </c>
      <c r="C574">
        <v>0</v>
      </c>
      <c r="D574">
        <v>0</v>
      </c>
      <c r="E574">
        <v>0</v>
      </c>
      <c r="F574">
        <v>0</v>
      </c>
      <c r="G574">
        <v>0</v>
      </c>
      <c r="H574">
        <v>0</v>
      </c>
      <c r="I574" s="2">
        <v>43836</v>
      </c>
      <c r="J574" s="1"/>
    </row>
    <row r="575" spans="1:10" x14ac:dyDescent="0.3">
      <c r="A575">
        <v>1685</v>
      </c>
      <c r="B575">
        <v>0</v>
      </c>
      <c r="C575">
        <v>0</v>
      </c>
      <c r="D575">
        <v>0</v>
      </c>
      <c r="E575">
        <v>0</v>
      </c>
      <c r="F575">
        <v>0</v>
      </c>
      <c r="G575">
        <v>0</v>
      </c>
      <c r="H575">
        <v>0</v>
      </c>
      <c r="I575" s="2">
        <v>43836</v>
      </c>
      <c r="J575" s="1"/>
    </row>
    <row r="576" spans="1:10" x14ac:dyDescent="0.3">
      <c r="A576">
        <v>1897</v>
      </c>
      <c r="B576">
        <v>0</v>
      </c>
      <c r="C576">
        <v>0</v>
      </c>
      <c r="D576">
        <v>0</v>
      </c>
      <c r="E576">
        <v>0</v>
      </c>
      <c r="F576">
        <v>0</v>
      </c>
      <c r="G576">
        <v>0</v>
      </c>
      <c r="H576">
        <v>0</v>
      </c>
      <c r="I576" s="2">
        <v>43836</v>
      </c>
      <c r="J576" s="1"/>
    </row>
    <row r="577" spans="1:10" x14ac:dyDescent="0.3">
      <c r="A577">
        <v>2348</v>
      </c>
      <c r="B577">
        <v>0</v>
      </c>
      <c r="C577">
        <v>0</v>
      </c>
      <c r="D577">
        <v>0</v>
      </c>
      <c r="E577">
        <v>0</v>
      </c>
      <c r="F577">
        <v>0</v>
      </c>
      <c r="G577">
        <v>0</v>
      </c>
      <c r="H577">
        <v>0</v>
      </c>
      <c r="I577" s="2">
        <v>43836</v>
      </c>
      <c r="J577" s="1"/>
    </row>
    <row r="578" spans="1:10" x14ac:dyDescent="0.3">
      <c r="A578">
        <v>1644</v>
      </c>
      <c r="B578">
        <v>0</v>
      </c>
      <c r="C578">
        <v>0</v>
      </c>
      <c r="D578">
        <v>0</v>
      </c>
      <c r="E578">
        <v>0</v>
      </c>
      <c r="F578">
        <v>0</v>
      </c>
      <c r="G578">
        <v>0</v>
      </c>
      <c r="H578">
        <v>0</v>
      </c>
      <c r="I578" s="2" t="s">
        <v>123</v>
      </c>
    </row>
    <row r="579" spans="1:10" x14ac:dyDescent="0.3">
      <c r="A579">
        <v>1733</v>
      </c>
      <c r="B579">
        <v>0</v>
      </c>
      <c r="C579">
        <v>0</v>
      </c>
      <c r="D579">
        <v>0</v>
      </c>
      <c r="E579">
        <v>0</v>
      </c>
      <c r="F579">
        <v>0</v>
      </c>
      <c r="G579">
        <v>0</v>
      </c>
      <c r="H579">
        <v>0</v>
      </c>
      <c r="I579" s="2" t="s">
        <v>123</v>
      </c>
    </row>
    <row r="580" spans="1:10" x14ac:dyDescent="0.3">
      <c r="A580">
        <v>2351</v>
      </c>
      <c r="B580">
        <v>0</v>
      </c>
      <c r="C580">
        <v>0</v>
      </c>
      <c r="D580">
        <v>0</v>
      </c>
      <c r="E580">
        <v>0</v>
      </c>
      <c r="F580">
        <v>0</v>
      </c>
      <c r="G580">
        <v>0</v>
      </c>
      <c r="H580">
        <v>0</v>
      </c>
      <c r="I580" s="2" t="s">
        <v>123</v>
      </c>
    </row>
    <row r="581" spans="1:10" x14ac:dyDescent="0.3">
      <c r="A581">
        <v>3044</v>
      </c>
      <c r="B581">
        <v>0</v>
      </c>
      <c r="C581">
        <v>0</v>
      </c>
      <c r="D581">
        <v>0</v>
      </c>
      <c r="E581">
        <v>0</v>
      </c>
      <c r="F581">
        <v>0</v>
      </c>
      <c r="G581">
        <v>0</v>
      </c>
      <c r="H581">
        <v>0</v>
      </c>
      <c r="I581" s="2" t="s">
        <v>123</v>
      </c>
    </row>
    <row r="582" spans="1:10" x14ac:dyDescent="0.3">
      <c r="A582">
        <v>2104</v>
      </c>
      <c r="B582">
        <v>0</v>
      </c>
      <c r="C582">
        <v>0</v>
      </c>
      <c r="D582">
        <v>0</v>
      </c>
      <c r="E582">
        <v>0</v>
      </c>
      <c r="F582">
        <v>0</v>
      </c>
      <c r="G582">
        <v>0</v>
      </c>
      <c r="H582">
        <v>0</v>
      </c>
      <c r="I582" s="2" t="s">
        <v>124</v>
      </c>
    </row>
    <row r="583" spans="1:10" x14ac:dyDescent="0.3">
      <c r="A583">
        <v>2565</v>
      </c>
      <c r="B583">
        <v>0</v>
      </c>
      <c r="C583">
        <v>0</v>
      </c>
      <c r="D583">
        <v>0</v>
      </c>
      <c r="E583">
        <v>1</v>
      </c>
      <c r="F583">
        <v>0</v>
      </c>
      <c r="G583">
        <v>0</v>
      </c>
      <c r="H583">
        <v>0</v>
      </c>
      <c r="I583" s="2" t="s">
        <v>124</v>
      </c>
    </row>
    <row r="584" spans="1:10" x14ac:dyDescent="0.3">
      <c r="A584">
        <v>2976</v>
      </c>
      <c r="B584">
        <v>0</v>
      </c>
      <c r="C584">
        <v>0</v>
      </c>
      <c r="D584">
        <v>0</v>
      </c>
      <c r="E584">
        <v>0</v>
      </c>
      <c r="F584">
        <v>0</v>
      </c>
      <c r="G584">
        <v>0</v>
      </c>
      <c r="H584">
        <v>0</v>
      </c>
      <c r="I584" s="2" t="s">
        <v>124</v>
      </c>
    </row>
    <row r="585" spans="1:10" x14ac:dyDescent="0.3">
      <c r="A585">
        <v>1523</v>
      </c>
      <c r="B585">
        <v>0</v>
      </c>
      <c r="C585">
        <v>0</v>
      </c>
      <c r="D585">
        <v>0</v>
      </c>
      <c r="E585">
        <v>0</v>
      </c>
      <c r="F585">
        <v>0</v>
      </c>
      <c r="G585">
        <v>0</v>
      </c>
      <c r="H585">
        <v>0</v>
      </c>
      <c r="I585" s="2" t="s">
        <v>125</v>
      </c>
    </row>
    <row r="586" spans="1:10" x14ac:dyDescent="0.3">
      <c r="A586">
        <v>1661</v>
      </c>
      <c r="B586">
        <v>0</v>
      </c>
      <c r="C586">
        <v>0</v>
      </c>
      <c r="D586">
        <v>0</v>
      </c>
      <c r="E586">
        <v>0</v>
      </c>
      <c r="F586">
        <v>0</v>
      </c>
      <c r="G586">
        <v>0</v>
      </c>
      <c r="H586">
        <v>0</v>
      </c>
      <c r="I586" s="2" t="s">
        <v>125</v>
      </c>
    </row>
    <row r="587" spans="1:10" x14ac:dyDescent="0.3">
      <c r="A587">
        <v>2409</v>
      </c>
      <c r="B587">
        <v>0</v>
      </c>
      <c r="C587">
        <v>0</v>
      </c>
      <c r="D587">
        <v>0</v>
      </c>
      <c r="E587">
        <v>0</v>
      </c>
      <c r="F587">
        <v>0</v>
      </c>
      <c r="G587">
        <v>0</v>
      </c>
      <c r="H587">
        <v>0</v>
      </c>
      <c r="I587" s="2" t="s">
        <v>125</v>
      </c>
    </row>
    <row r="588" spans="1:10" x14ac:dyDescent="0.3">
      <c r="A588">
        <v>3136</v>
      </c>
      <c r="B588">
        <v>1</v>
      </c>
      <c r="C588">
        <v>0</v>
      </c>
      <c r="D588">
        <v>1</v>
      </c>
      <c r="E588">
        <v>1</v>
      </c>
      <c r="F588">
        <v>0</v>
      </c>
      <c r="G588">
        <v>0</v>
      </c>
      <c r="H588">
        <v>0</v>
      </c>
      <c r="I588" s="2" t="s">
        <v>125</v>
      </c>
    </row>
    <row r="589" spans="1:10" x14ac:dyDescent="0.3">
      <c r="A589">
        <v>1433</v>
      </c>
      <c r="B589">
        <v>0</v>
      </c>
      <c r="C589">
        <v>0</v>
      </c>
      <c r="D589">
        <v>0</v>
      </c>
      <c r="E589">
        <v>0</v>
      </c>
      <c r="F589">
        <v>0</v>
      </c>
      <c r="G589">
        <v>0</v>
      </c>
      <c r="H589">
        <v>0</v>
      </c>
      <c r="I589" s="2" t="s">
        <v>126</v>
      </c>
    </row>
    <row r="590" spans="1:10" x14ac:dyDescent="0.3">
      <c r="A590">
        <v>1420</v>
      </c>
      <c r="B590">
        <v>0</v>
      </c>
      <c r="C590">
        <v>0</v>
      </c>
      <c r="D590">
        <v>0</v>
      </c>
      <c r="E590">
        <v>0</v>
      </c>
      <c r="F590">
        <v>0</v>
      </c>
      <c r="G590">
        <v>0</v>
      </c>
      <c r="H590">
        <v>0</v>
      </c>
      <c r="I590" s="2" t="s">
        <v>127</v>
      </c>
    </row>
    <row r="591" spans="1:10" x14ac:dyDescent="0.3">
      <c r="A591">
        <v>2446</v>
      </c>
      <c r="B591">
        <v>0</v>
      </c>
      <c r="C591">
        <v>0</v>
      </c>
      <c r="D591">
        <v>0</v>
      </c>
      <c r="E591">
        <v>0</v>
      </c>
      <c r="F591">
        <v>0</v>
      </c>
      <c r="G591">
        <v>0</v>
      </c>
      <c r="H591">
        <v>0</v>
      </c>
      <c r="I591" s="2" t="s">
        <v>127</v>
      </c>
    </row>
    <row r="592" spans="1:10" x14ac:dyDescent="0.3">
      <c r="A592">
        <v>1425</v>
      </c>
      <c r="B592">
        <v>0</v>
      </c>
      <c r="C592">
        <v>0</v>
      </c>
      <c r="D592">
        <v>0</v>
      </c>
      <c r="E592">
        <v>0</v>
      </c>
      <c r="F592">
        <v>0</v>
      </c>
      <c r="G592">
        <v>0</v>
      </c>
      <c r="H592">
        <v>0</v>
      </c>
      <c r="I592" s="2" t="s">
        <v>128</v>
      </c>
    </row>
    <row r="593" spans="1:9" x14ac:dyDescent="0.3">
      <c r="A593">
        <v>2110</v>
      </c>
      <c r="B593">
        <v>0</v>
      </c>
      <c r="C593">
        <v>0</v>
      </c>
      <c r="D593">
        <v>0</v>
      </c>
      <c r="E593">
        <v>0</v>
      </c>
      <c r="F593">
        <v>0</v>
      </c>
      <c r="G593">
        <v>0</v>
      </c>
      <c r="H593">
        <v>1</v>
      </c>
      <c r="I593" s="2" t="s">
        <v>128</v>
      </c>
    </row>
    <row r="594" spans="1:9" x14ac:dyDescent="0.3">
      <c r="A594">
        <v>2512</v>
      </c>
      <c r="B594">
        <v>0</v>
      </c>
      <c r="C594">
        <v>0</v>
      </c>
      <c r="D594">
        <v>0</v>
      </c>
      <c r="E594">
        <v>0</v>
      </c>
      <c r="F594">
        <v>0</v>
      </c>
      <c r="G594">
        <v>0</v>
      </c>
      <c r="H594">
        <v>0</v>
      </c>
      <c r="I594" s="2" t="s">
        <v>128</v>
      </c>
    </row>
    <row r="595" spans="1:9" x14ac:dyDescent="0.3">
      <c r="A595">
        <v>1666</v>
      </c>
      <c r="B595">
        <v>0</v>
      </c>
      <c r="C595">
        <v>0</v>
      </c>
      <c r="D595">
        <v>0</v>
      </c>
      <c r="E595">
        <v>0</v>
      </c>
      <c r="F595">
        <v>0</v>
      </c>
      <c r="G595">
        <v>0</v>
      </c>
      <c r="H595">
        <v>0</v>
      </c>
      <c r="I595" s="2" t="s">
        <v>129</v>
      </c>
    </row>
    <row r="596" spans="1:9" x14ac:dyDescent="0.3">
      <c r="A596">
        <v>2408</v>
      </c>
      <c r="B596">
        <v>0</v>
      </c>
      <c r="C596">
        <v>0</v>
      </c>
      <c r="D596">
        <v>1</v>
      </c>
      <c r="E596">
        <v>1</v>
      </c>
      <c r="F596">
        <v>0</v>
      </c>
      <c r="G596">
        <v>0</v>
      </c>
      <c r="H596">
        <v>0</v>
      </c>
      <c r="I596" s="2" t="s">
        <v>129</v>
      </c>
    </row>
    <row r="597" spans="1:9" x14ac:dyDescent="0.3">
      <c r="A597">
        <v>1759</v>
      </c>
      <c r="B597">
        <v>0</v>
      </c>
      <c r="C597">
        <v>0</v>
      </c>
      <c r="D597">
        <v>0</v>
      </c>
      <c r="E597">
        <v>0</v>
      </c>
      <c r="F597">
        <v>0</v>
      </c>
      <c r="G597">
        <v>0</v>
      </c>
      <c r="H597">
        <v>0</v>
      </c>
      <c r="I597" s="2" t="s">
        <v>130</v>
      </c>
    </row>
    <row r="598" spans="1:9" x14ac:dyDescent="0.3">
      <c r="A598">
        <v>1300</v>
      </c>
      <c r="B598">
        <v>0</v>
      </c>
      <c r="C598">
        <v>0</v>
      </c>
      <c r="D598">
        <v>0</v>
      </c>
      <c r="E598">
        <v>0</v>
      </c>
      <c r="F598">
        <v>0</v>
      </c>
      <c r="G598">
        <v>0</v>
      </c>
      <c r="H598">
        <v>0</v>
      </c>
      <c r="I598" s="2" t="s">
        <v>131</v>
      </c>
    </row>
    <row r="599" spans="1:9" x14ac:dyDescent="0.3">
      <c r="A599">
        <v>1334</v>
      </c>
      <c r="B599">
        <v>0</v>
      </c>
      <c r="C599">
        <v>0</v>
      </c>
      <c r="D599">
        <v>0</v>
      </c>
      <c r="E599">
        <v>0</v>
      </c>
      <c r="F599">
        <v>0</v>
      </c>
      <c r="G599">
        <v>0</v>
      </c>
      <c r="H599">
        <v>0</v>
      </c>
      <c r="I599" s="2" t="s">
        <v>131</v>
      </c>
    </row>
    <row r="600" spans="1:9" x14ac:dyDescent="0.3">
      <c r="A600">
        <v>1845</v>
      </c>
      <c r="B600">
        <v>0</v>
      </c>
      <c r="C600">
        <v>0</v>
      </c>
      <c r="D600">
        <v>0</v>
      </c>
      <c r="E600">
        <v>0</v>
      </c>
      <c r="F600">
        <v>0</v>
      </c>
      <c r="G600">
        <v>0</v>
      </c>
      <c r="H600">
        <v>0</v>
      </c>
      <c r="I600" s="2" t="s">
        <v>131</v>
      </c>
    </row>
    <row r="601" spans="1:9" x14ac:dyDescent="0.3">
      <c r="A601">
        <v>2383</v>
      </c>
      <c r="B601">
        <v>0</v>
      </c>
      <c r="C601">
        <v>0</v>
      </c>
      <c r="D601">
        <v>0</v>
      </c>
      <c r="E601">
        <v>0</v>
      </c>
      <c r="F601">
        <v>0</v>
      </c>
      <c r="G601">
        <v>0</v>
      </c>
      <c r="H601">
        <v>0</v>
      </c>
      <c r="I601" s="2" t="s">
        <v>131</v>
      </c>
    </row>
    <row r="602" spans="1:9" x14ac:dyDescent="0.3">
      <c r="A602">
        <v>1655</v>
      </c>
      <c r="B602">
        <v>0</v>
      </c>
      <c r="C602">
        <v>0</v>
      </c>
      <c r="D602">
        <v>0</v>
      </c>
      <c r="E602">
        <v>0</v>
      </c>
      <c r="F602">
        <v>0</v>
      </c>
      <c r="G602">
        <v>0</v>
      </c>
      <c r="H602">
        <v>0</v>
      </c>
      <c r="I602" s="2" t="s">
        <v>132</v>
      </c>
    </row>
    <row r="603" spans="1:9" x14ac:dyDescent="0.3">
      <c r="A603">
        <v>1870</v>
      </c>
      <c r="B603">
        <v>0</v>
      </c>
      <c r="C603">
        <v>0</v>
      </c>
      <c r="D603">
        <v>0</v>
      </c>
      <c r="E603">
        <v>0</v>
      </c>
      <c r="F603">
        <v>0</v>
      </c>
      <c r="G603">
        <v>0</v>
      </c>
      <c r="H603">
        <v>0</v>
      </c>
      <c r="I603" s="2" t="s">
        <v>132</v>
      </c>
    </row>
    <row r="604" spans="1:9" x14ac:dyDescent="0.3">
      <c r="A604">
        <v>2257</v>
      </c>
      <c r="B604">
        <v>1</v>
      </c>
      <c r="C604">
        <v>0</v>
      </c>
      <c r="D604">
        <v>0</v>
      </c>
      <c r="E604">
        <v>0</v>
      </c>
      <c r="F604">
        <v>0</v>
      </c>
      <c r="G604">
        <v>0</v>
      </c>
      <c r="H604">
        <v>0</v>
      </c>
      <c r="I604" s="2" t="s">
        <v>132</v>
      </c>
    </row>
    <row r="605" spans="1:9" x14ac:dyDescent="0.3">
      <c r="A605">
        <v>2965</v>
      </c>
      <c r="B605">
        <v>0</v>
      </c>
      <c r="C605">
        <v>0</v>
      </c>
      <c r="D605">
        <v>0</v>
      </c>
      <c r="E605">
        <v>1</v>
      </c>
      <c r="F605">
        <v>0</v>
      </c>
      <c r="G605">
        <v>0</v>
      </c>
      <c r="H605">
        <v>1</v>
      </c>
      <c r="I605" s="2" t="s">
        <v>132</v>
      </c>
    </row>
    <row r="606" spans="1:9" x14ac:dyDescent="0.3">
      <c r="A606">
        <v>2836</v>
      </c>
      <c r="B606">
        <v>0</v>
      </c>
      <c r="C606">
        <v>0</v>
      </c>
      <c r="D606">
        <v>0</v>
      </c>
      <c r="E606">
        <v>0</v>
      </c>
      <c r="F606">
        <v>0</v>
      </c>
      <c r="G606">
        <v>0</v>
      </c>
      <c r="H606">
        <v>0</v>
      </c>
      <c r="I606" s="2" t="s">
        <v>133</v>
      </c>
    </row>
    <row r="607" spans="1:9" x14ac:dyDescent="0.3">
      <c r="A607">
        <v>3118</v>
      </c>
      <c r="B607">
        <v>0</v>
      </c>
      <c r="C607">
        <v>0</v>
      </c>
      <c r="D607">
        <v>0</v>
      </c>
      <c r="E607">
        <v>0</v>
      </c>
      <c r="F607">
        <v>0</v>
      </c>
      <c r="G607">
        <v>0</v>
      </c>
      <c r="H607">
        <v>0</v>
      </c>
      <c r="I607" s="2" t="s">
        <v>133</v>
      </c>
    </row>
    <row r="608" spans="1:9" x14ac:dyDescent="0.3">
      <c r="A608">
        <v>1780</v>
      </c>
      <c r="B608">
        <v>0</v>
      </c>
      <c r="C608">
        <v>0</v>
      </c>
      <c r="D608">
        <v>0</v>
      </c>
      <c r="E608">
        <v>0</v>
      </c>
      <c r="F608">
        <v>0</v>
      </c>
      <c r="G608">
        <v>0</v>
      </c>
      <c r="H608">
        <v>0</v>
      </c>
      <c r="I608" s="2" t="s">
        <v>134</v>
      </c>
    </row>
    <row r="609" spans="1:9" x14ac:dyDescent="0.3">
      <c r="A609">
        <v>2697</v>
      </c>
      <c r="B609">
        <v>0</v>
      </c>
      <c r="C609">
        <v>1</v>
      </c>
      <c r="D609">
        <v>1</v>
      </c>
      <c r="E609">
        <v>1</v>
      </c>
      <c r="F609">
        <v>0</v>
      </c>
      <c r="G609">
        <v>0</v>
      </c>
      <c r="H609">
        <v>1</v>
      </c>
      <c r="I609" s="2" t="s">
        <v>134</v>
      </c>
    </row>
    <row r="610" spans="1:9" x14ac:dyDescent="0.3">
      <c r="A610">
        <v>1630</v>
      </c>
      <c r="B610">
        <v>0</v>
      </c>
      <c r="C610">
        <v>0</v>
      </c>
      <c r="D610">
        <v>0</v>
      </c>
      <c r="E610">
        <v>0</v>
      </c>
      <c r="F610">
        <v>0</v>
      </c>
      <c r="G610">
        <v>0</v>
      </c>
      <c r="H610">
        <v>0</v>
      </c>
      <c r="I610" s="2" t="s">
        <v>135</v>
      </c>
    </row>
    <row r="611" spans="1:9" x14ac:dyDescent="0.3">
      <c r="A611">
        <v>1781</v>
      </c>
      <c r="B611">
        <v>0</v>
      </c>
      <c r="C611">
        <v>0</v>
      </c>
      <c r="D611">
        <v>0</v>
      </c>
      <c r="E611">
        <v>0</v>
      </c>
      <c r="F611">
        <v>0</v>
      </c>
      <c r="G611">
        <v>0</v>
      </c>
      <c r="H611">
        <v>0</v>
      </c>
      <c r="I611" s="2" t="s">
        <v>135</v>
      </c>
    </row>
    <row r="612" spans="1:9" x14ac:dyDescent="0.3">
      <c r="A612">
        <v>1752</v>
      </c>
      <c r="B612">
        <v>0</v>
      </c>
      <c r="C612">
        <v>0</v>
      </c>
      <c r="D612">
        <v>0</v>
      </c>
      <c r="E612">
        <v>0</v>
      </c>
      <c r="F612">
        <v>0</v>
      </c>
      <c r="G612">
        <v>0</v>
      </c>
      <c r="H612">
        <v>0</v>
      </c>
      <c r="I612" s="2" t="s">
        <v>136</v>
      </c>
    </row>
    <row r="613" spans="1:9" x14ac:dyDescent="0.3">
      <c r="A613">
        <v>2308</v>
      </c>
      <c r="B613">
        <v>0</v>
      </c>
      <c r="C613">
        <v>0</v>
      </c>
      <c r="D613">
        <v>0</v>
      </c>
      <c r="E613">
        <v>0</v>
      </c>
      <c r="F613">
        <v>0</v>
      </c>
      <c r="G613">
        <v>0</v>
      </c>
      <c r="H613">
        <v>0</v>
      </c>
      <c r="I613" s="2" t="s">
        <v>136</v>
      </c>
    </row>
    <row r="614" spans="1:9" x14ac:dyDescent="0.3">
      <c r="A614">
        <v>2622</v>
      </c>
      <c r="B614">
        <v>0</v>
      </c>
      <c r="C614">
        <v>0</v>
      </c>
      <c r="D614">
        <v>0</v>
      </c>
      <c r="E614">
        <v>0</v>
      </c>
      <c r="F614">
        <v>0</v>
      </c>
      <c r="G614">
        <v>0</v>
      </c>
      <c r="H614">
        <v>0</v>
      </c>
      <c r="I614" s="2" t="s">
        <v>136</v>
      </c>
    </row>
    <row r="615" spans="1:9" x14ac:dyDescent="0.3">
      <c r="A615">
        <v>1868</v>
      </c>
      <c r="B615">
        <v>0</v>
      </c>
      <c r="C615">
        <v>0</v>
      </c>
      <c r="D615">
        <v>0</v>
      </c>
      <c r="E615">
        <v>0</v>
      </c>
      <c r="F615">
        <v>0</v>
      </c>
      <c r="G615">
        <v>0</v>
      </c>
      <c r="H615">
        <v>0</v>
      </c>
      <c r="I615" s="2" t="s">
        <v>137</v>
      </c>
    </row>
    <row r="616" spans="1:9" x14ac:dyDescent="0.3">
      <c r="A616">
        <v>2470</v>
      </c>
      <c r="B616">
        <v>0</v>
      </c>
      <c r="C616">
        <v>0</v>
      </c>
      <c r="D616">
        <v>0</v>
      </c>
      <c r="E616">
        <v>0</v>
      </c>
      <c r="F616">
        <v>0</v>
      </c>
      <c r="G616">
        <v>0</v>
      </c>
      <c r="H616">
        <v>0</v>
      </c>
      <c r="I616" s="2" t="s">
        <v>137</v>
      </c>
    </row>
    <row r="617" spans="1:9" x14ac:dyDescent="0.3">
      <c r="A617">
        <v>2557</v>
      </c>
      <c r="B617">
        <v>0</v>
      </c>
      <c r="C617">
        <v>0</v>
      </c>
      <c r="D617">
        <v>0</v>
      </c>
      <c r="E617">
        <v>0</v>
      </c>
      <c r="F617">
        <v>0</v>
      </c>
      <c r="G617">
        <v>0</v>
      </c>
      <c r="H617">
        <v>0</v>
      </c>
      <c r="I617" s="2" t="s">
        <v>137</v>
      </c>
    </row>
    <row r="618" spans="1:9" x14ac:dyDescent="0.3">
      <c r="A618">
        <v>2714</v>
      </c>
      <c r="B618">
        <v>0</v>
      </c>
      <c r="C618">
        <v>0</v>
      </c>
      <c r="D618">
        <v>0</v>
      </c>
      <c r="E618">
        <v>0</v>
      </c>
      <c r="F618">
        <v>0</v>
      </c>
      <c r="G618">
        <v>0</v>
      </c>
      <c r="H618">
        <v>0</v>
      </c>
      <c r="I618" s="2" t="s">
        <v>137</v>
      </c>
    </row>
    <row r="619" spans="1:9" x14ac:dyDescent="0.3">
      <c r="A619">
        <v>1097</v>
      </c>
      <c r="B619">
        <v>0</v>
      </c>
      <c r="C619">
        <v>0</v>
      </c>
      <c r="D619">
        <v>0</v>
      </c>
      <c r="E619">
        <v>0</v>
      </c>
      <c r="F619">
        <v>0</v>
      </c>
      <c r="G619">
        <v>0</v>
      </c>
      <c r="H619">
        <v>0</v>
      </c>
      <c r="I619" s="2" t="s">
        <v>138</v>
      </c>
    </row>
    <row r="620" spans="1:9" x14ac:dyDescent="0.3">
      <c r="A620">
        <v>2619</v>
      </c>
      <c r="B620">
        <v>0</v>
      </c>
      <c r="C620">
        <v>0</v>
      </c>
      <c r="D620">
        <v>0</v>
      </c>
      <c r="E620">
        <v>0</v>
      </c>
      <c r="F620">
        <v>0</v>
      </c>
      <c r="G620">
        <v>0</v>
      </c>
      <c r="H620">
        <v>0</v>
      </c>
      <c r="I620" s="2" t="s">
        <v>138</v>
      </c>
    </row>
    <row r="621" spans="1:9" x14ac:dyDescent="0.3">
      <c r="A621">
        <v>1189</v>
      </c>
      <c r="B621">
        <v>0</v>
      </c>
      <c r="C621">
        <v>0</v>
      </c>
      <c r="D621">
        <v>0</v>
      </c>
      <c r="E621">
        <v>0</v>
      </c>
      <c r="F621">
        <v>0</v>
      </c>
      <c r="G621">
        <v>0</v>
      </c>
      <c r="H621">
        <v>0</v>
      </c>
      <c r="I621" s="2" t="s">
        <v>139</v>
      </c>
    </row>
    <row r="622" spans="1:9" x14ac:dyDescent="0.3">
      <c r="A622">
        <v>1223</v>
      </c>
      <c r="B622">
        <v>0</v>
      </c>
      <c r="C622">
        <v>0</v>
      </c>
      <c r="D622">
        <v>0</v>
      </c>
      <c r="E622">
        <v>0</v>
      </c>
      <c r="F622">
        <v>0</v>
      </c>
      <c r="G622">
        <v>0</v>
      </c>
      <c r="H622">
        <v>0</v>
      </c>
      <c r="I622" s="2" t="s">
        <v>139</v>
      </c>
    </row>
    <row r="623" spans="1:9" x14ac:dyDescent="0.3">
      <c r="A623">
        <v>1375</v>
      </c>
      <c r="B623">
        <v>0</v>
      </c>
      <c r="C623">
        <v>0</v>
      </c>
      <c r="D623">
        <v>0</v>
      </c>
      <c r="E623">
        <v>0</v>
      </c>
      <c r="F623">
        <v>0</v>
      </c>
      <c r="G623">
        <v>0</v>
      </c>
      <c r="H623">
        <v>0</v>
      </c>
      <c r="I623" s="2" t="s">
        <v>139</v>
      </c>
    </row>
    <row r="624" spans="1:9" x14ac:dyDescent="0.3">
      <c r="A624">
        <v>1727</v>
      </c>
      <c r="B624">
        <v>0</v>
      </c>
      <c r="C624">
        <v>0</v>
      </c>
      <c r="D624">
        <v>0</v>
      </c>
      <c r="E624">
        <v>0</v>
      </c>
      <c r="F624">
        <v>0</v>
      </c>
      <c r="G624">
        <v>0</v>
      </c>
      <c r="H624">
        <v>0</v>
      </c>
      <c r="I624" s="2" t="s">
        <v>139</v>
      </c>
    </row>
    <row r="625" spans="1:10" x14ac:dyDescent="0.3">
      <c r="A625">
        <v>2762</v>
      </c>
      <c r="B625">
        <v>0</v>
      </c>
      <c r="C625">
        <v>0</v>
      </c>
      <c r="D625">
        <v>0</v>
      </c>
      <c r="E625">
        <v>0</v>
      </c>
      <c r="F625">
        <v>0</v>
      </c>
      <c r="G625">
        <v>0</v>
      </c>
      <c r="H625">
        <v>0</v>
      </c>
      <c r="I625" s="2" t="s">
        <v>139</v>
      </c>
    </row>
    <row r="626" spans="1:10" x14ac:dyDescent="0.3">
      <c r="A626">
        <v>1194</v>
      </c>
      <c r="B626">
        <v>1</v>
      </c>
      <c r="C626">
        <v>0</v>
      </c>
      <c r="D626">
        <v>0</v>
      </c>
      <c r="E626">
        <v>0</v>
      </c>
      <c r="F626">
        <v>0</v>
      </c>
      <c r="G626">
        <v>0</v>
      </c>
      <c r="H626">
        <v>0</v>
      </c>
      <c r="I626" s="2" t="s">
        <v>140</v>
      </c>
    </row>
    <row r="627" spans="1:10" x14ac:dyDescent="0.3">
      <c r="A627">
        <v>1246</v>
      </c>
      <c r="B627">
        <v>0</v>
      </c>
      <c r="C627">
        <v>0</v>
      </c>
      <c r="D627">
        <v>0</v>
      </c>
      <c r="E627">
        <v>0</v>
      </c>
      <c r="F627">
        <v>0</v>
      </c>
      <c r="G627">
        <v>0</v>
      </c>
      <c r="H627">
        <v>0</v>
      </c>
      <c r="I627" s="2" t="s">
        <v>140</v>
      </c>
    </row>
    <row r="628" spans="1:10" x14ac:dyDescent="0.3">
      <c r="A628">
        <v>1325</v>
      </c>
      <c r="B628">
        <v>0</v>
      </c>
      <c r="C628">
        <v>0</v>
      </c>
      <c r="D628">
        <v>0</v>
      </c>
      <c r="E628">
        <v>0</v>
      </c>
      <c r="F628">
        <v>0</v>
      </c>
      <c r="G628">
        <v>0</v>
      </c>
      <c r="H628">
        <v>0</v>
      </c>
      <c r="I628" s="2" t="s">
        <v>141</v>
      </c>
    </row>
    <row r="629" spans="1:10" x14ac:dyDescent="0.3">
      <c r="A629">
        <v>2274</v>
      </c>
      <c r="B629">
        <v>0</v>
      </c>
      <c r="C629">
        <v>0</v>
      </c>
      <c r="D629">
        <v>0</v>
      </c>
      <c r="E629">
        <v>0</v>
      </c>
      <c r="F629">
        <v>0</v>
      </c>
      <c r="G629">
        <v>0</v>
      </c>
      <c r="H629">
        <v>0</v>
      </c>
      <c r="I629" s="2" t="s">
        <v>141</v>
      </c>
    </row>
    <row r="630" spans="1:10" x14ac:dyDescent="0.3">
      <c r="A630">
        <v>2513</v>
      </c>
      <c r="B630">
        <v>0</v>
      </c>
      <c r="C630">
        <v>0</v>
      </c>
      <c r="D630">
        <v>0</v>
      </c>
      <c r="E630">
        <v>0</v>
      </c>
      <c r="F630">
        <v>0</v>
      </c>
      <c r="G630">
        <v>0</v>
      </c>
      <c r="H630">
        <v>1</v>
      </c>
      <c r="I630" s="2" t="s">
        <v>141</v>
      </c>
    </row>
    <row r="631" spans="1:10" x14ac:dyDescent="0.3">
      <c r="A631">
        <v>2781</v>
      </c>
      <c r="B631">
        <v>0</v>
      </c>
      <c r="C631">
        <v>0</v>
      </c>
      <c r="D631">
        <v>0</v>
      </c>
      <c r="E631">
        <v>0</v>
      </c>
      <c r="F631">
        <v>0</v>
      </c>
      <c r="G631">
        <v>0</v>
      </c>
      <c r="H631">
        <v>0</v>
      </c>
      <c r="I631" s="2" t="s">
        <v>141</v>
      </c>
    </row>
    <row r="632" spans="1:10" x14ac:dyDescent="0.3">
      <c r="A632">
        <v>2819</v>
      </c>
      <c r="B632">
        <v>0</v>
      </c>
      <c r="C632">
        <v>0</v>
      </c>
      <c r="D632">
        <v>0</v>
      </c>
      <c r="E632">
        <v>0</v>
      </c>
      <c r="F632">
        <v>0</v>
      </c>
      <c r="G632">
        <v>0</v>
      </c>
      <c r="H632">
        <v>0</v>
      </c>
      <c r="I632" s="2" t="s">
        <v>141</v>
      </c>
    </row>
    <row r="633" spans="1:10" x14ac:dyDescent="0.3">
      <c r="A633">
        <v>1060</v>
      </c>
      <c r="B633">
        <v>0</v>
      </c>
      <c r="C633">
        <v>0</v>
      </c>
      <c r="D633">
        <v>0</v>
      </c>
      <c r="E633">
        <v>0</v>
      </c>
      <c r="F633">
        <v>0</v>
      </c>
      <c r="G633">
        <v>0</v>
      </c>
      <c r="H633">
        <v>0</v>
      </c>
      <c r="I633" s="2">
        <v>44170</v>
      </c>
      <c r="J633" s="1"/>
    </row>
    <row r="634" spans="1:10" x14ac:dyDescent="0.3">
      <c r="A634">
        <v>1929</v>
      </c>
      <c r="B634">
        <v>0</v>
      </c>
      <c r="C634">
        <v>0</v>
      </c>
      <c r="D634">
        <v>0</v>
      </c>
      <c r="E634">
        <v>0</v>
      </c>
      <c r="F634">
        <v>0</v>
      </c>
      <c r="G634">
        <v>0</v>
      </c>
      <c r="H634">
        <v>0</v>
      </c>
      <c r="I634" s="2">
        <v>44170</v>
      </c>
      <c r="J634" s="1"/>
    </row>
    <row r="635" spans="1:10" x14ac:dyDescent="0.3">
      <c r="A635">
        <v>2243</v>
      </c>
      <c r="B635">
        <v>1</v>
      </c>
      <c r="C635">
        <v>0</v>
      </c>
      <c r="D635">
        <v>0</v>
      </c>
      <c r="E635">
        <v>1</v>
      </c>
      <c r="F635">
        <v>0</v>
      </c>
      <c r="G635">
        <v>0</v>
      </c>
      <c r="H635">
        <v>0</v>
      </c>
      <c r="I635" s="2">
        <v>44140</v>
      </c>
      <c r="J635" s="1"/>
    </row>
    <row r="636" spans="1:10" x14ac:dyDescent="0.3">
      <c r="A636">
        <v>3010</v>
      </c>
      <c r="B636">
        <v>0</v>
      </c>
      <c r="C636">
        <v>0</v>
      </c>
      <c r="D636">
        <v>0</v>
      </c>
      <c r="E636">
        <v>0</v>
      </c>
      <c r="F636">
        <v>0</v>
      </c>
      <c r="G636">
        <v>0</v>
      </c>
      <c r="H636">
        <v>0</v>
      </c>
      <c r="I636" s="2">
        <v>44140</v>
      </c>
      <c r="J636" s="1"/>
    </row>
    <row r="637" spans="1:10" x14ac:dyDescent="0.3">
      <c r="A637">
        <v>1224</v>
      </c>
      <c r="B637">
        <v>0</v>
      </c>
      <c r="C637">
        <v>0</v>
      </c>
      <c r="D637">
        <v>0</v>
      </c>
      <c r="E637">
        <v>0</v>
      </c>
      <c r="F637">
        <v>0</v>
      </c>
      <c r="G637">
        <v>0</v>
      </c>
      <c r="H637">
        <v>0</v>
      </c>
      <c r="I637" s="2">
        <v>44109</v>
      </c>
      <c r="J637" s="1"/>
    </row>
    <row r="638" spans="1:10" x14ac:dyDescent="0.3">
      <c r="A638">
        <v>1409</v>
      </c>
      <c r="B638">
        <v>0</v>
      </c>
      <c r="C638">
        <v>0</v>
      </c>
      <c r="D638">
        <v>0</v>
      </c>
      <c r="E638">
        <v>0</v>
      </c>
      <c r="F638">
        <v>0</v>
      </c>
      <c r="G638">
        <v>0</v>
      </c>
      <c r="H638">
        <v>0</v>
      </c>
      <c r="I638" s="2">
        <v>44109</v>
      </c>
      <c r="J638" s="1"/>
    </row>
    <row r="639" spans="1:10" x14ac:dyDescent="0.3">
      <c r="A639">
        <v>1884</v>
      </c>
      <c r="B639">
        <v>0</v>
      </c>
      <c r="C639">
        <v>0</v>
      </c>
      <c r="D639">
        <v>0</v>
      </c>
      <c r="E639">
        <v>0</v>
      </c>
      <c r="F639">
        <v>0</v>
      </c>
      <c r="G639">
        <v>0</v>
      </c>
      <c r="H639">
        <v>0</v>
      </c>
      <c r="I639" s="2">
        <v>44109</v>
      </c>
      <c r="J639" s="1"/>
    </row>
    <row r="640" spans="1:10" x14ac:dyDescent="0.3">
      <c r="A640">
        <v>3084</v>
      </c>
      <c r="B640">
        <v>0</v>
      </c>
      <c r="C640">
        <v>0</v>
      </c>
      <c r="D640">
        <v>0</v>
      </c>
      <c r="E640">
        <v>0</v>
      </c>
      <c r="F640">
        <v>0</v>
      </c>
      <c r="G640">
        <v>0</v>
      </c>
      <c r="H640">
        <v>0</v>
      </c>
      <c r="I640" s="2">
        <v>44109</v>
      </c>
      <c r="J640" s="1"/>
    </row>
    <row r="641" spans="1:10" x14ac:dyDescent="0.3">
      <c r="A641">
        <v>1531</v>
      </c>
      <c r="B641">
        <v>0</v>
      </c>
      <c r="C641">
        <v>0</v>
      </c>
      <c r="D641">
        <v>0</v>
      </c>
      <c r="E641">
        <v>0</v>
      </c>
      <c r="F641">
        <v>0</v>
      </c>
      <c r="G641">
        <v>0</v>
      </c>
      <c r="H641">
        <v>0</v>
      </c>
      <c r="I641" s="2">
        <v>44079</v>
      </c>
      <c r="J641" s="1"/>
    </row>
    <row r="642" spans="1:10" x14ac:dyDescent="0.3">
      <c r="A642">
        <v>1490</v>
      </c>
      <c r="B642">
        <v>0</v>
      </c>
      <c r="C642">
        <v>0</v>
      </c>
      <c r="D642">
        <v>0</v>
      </c>
      <c r="E642">
        <v>0</v>
      </c>
      <c r="F642">
        <v>0</v>
      </c>
      <c r="G642">
        <v>0</v>
      </c>
      <c r="H642">
        <v>0</v>
      </c>
      <c r="I642" s="2">
        <v>44048</v>
      </c>
      <c r="J642" s="1"/>
    </row>
    <row r="643" spans="1:10" x14ac:dyDescent="0.3">
      <c r="A643">
        <v>1888</v>
      </c>
      <c r="B643">
        <v>0</v>
      </c>
      <c r="C643">
        <v>0</v>
      </c>
      <c r="D643">
        <v>0</v>
      </c>
      <c r="E643">
        <v>0</v>
      </c>
      <c r="F643">
        <v>0</v>
      </c>
      <c r="G643">
        <v>0</v>
      </c>
      <c r="H643">
        <v>0</v>
      </c>
      <c r="I643" s="2">
        <v>44048</v>
      </c>
      <c r="J643" s="1"/>
    </row>
    <row r="644" spans="1:10" x14ac:dyDescent="0.3">
      <c r="A644">
        <v>2558</v>
      </c>
      <c r="B644">
        <v>0</v>
      </c>
      <c r="C644">
        <v>0</v>
      </c>
      <c r="D644">
        <v>0</v>
      </c>
      <c r="E644">
        <v>0</v>
      </c>
      <c r="F644">
        <v>0</v>
      </c>
      <c r="G644">
        <v>0</v>
      </c>
      <c r="H644">
        <v>0</v>
      </c>
      <c r="I644" s="2">
        <v>44048</v>
      </c>
      <c r="J644" s="1"/>
    </row>
    <row r="645" spans="1:10" x14ac:dyDescent="0.3">
      <c r="A645">
        <v>1090</v>
      </c>
      <c r="B645">
        <v>0</v>
      </c>
      <c r="C645">
        <v>0</v>
      </c>
      <c r="D645">
        <v>0</v>
      </c>
      <c r="E645">
        <v>1</v>
      </c>
      <c r="F645">
        <v>0</v>
      </c>
      <c r="G645">
        <v>0</v>
      </c>
      <c r="H645">
        <v>0</v>
      </c>
      <c r="I645" s="2">
        <v>44017</v>
      </c>
      <c r="J645" s="1"/>
    </row>
    <row r="646" spans="1:10" x14ac:dyDescent="0.3">
      <c r="A646">
        <v>1168</v>
      </c>
      <c r="B646">
        <v>0</v>
      </c>
      <c r="C646">
        <v>0</v>
      </c>
      <c r="D646">
        <v>0</v>
      </c>
      <c r="E646">
        <v>1</v>
      </c>
      <c r="F646">
        <v>0</v>
      </c>
      <c r="G646">
        <v>0</v>
      </c>
      <c r="H646">
        <v>0</v>
      </c>
      <c r="I646" s="2">
        <v>44017</v>
      </c>
      <c r="J646" s="1"/>
    </row>
    <row r="647" spans="1:10" x14ac:dyDescent="0.3">
      <c r="A647">
        <v>1437</v>
      </c>
      <c r="B647">
        <v>0</v>
      </c>
      <c r="C647">
        <v>0</v>
      </c>
      <c r="D647">
        <v>0</v>
      </c>
      <c r="E647">
        <v>0</v>
      </c>
      <c r="F647">
        <v>0</v>
      </c>
      <c r="G647">
        <v>0</v>
      </c>
      <c r="H647">
        <v>0</v>
      </c>
      <c r="I647" s="2">
        <v>44017</v>
      </c>
      <c r="J647" s="1"/>
    </row>
    <row r="648" spans="1:10" x14ac:dyDescent="0.3">
      <c r="A648">
        <v>2472</v>
      </c>
      <c r="B648">
        <v>0</v>
      </c>
      <c r="C648">
        <v>0</v>
      </c>
      <c r="D648">
        <v>0</v>
      </c>
      <c r="E648">
        <v>0</v>
      </c>
      <c r="F648">
        <v>0</v>
      </c>
      <c r="G648">
        <v>0</v>
      </c>
      <c r="H648">
        <v>0</v>
      </c>
      <c r="I648" s="2">
        <v>44017</v>
      </c>
      <c r="J648" s="1"/>
    </row>
    <row r="649" spans="1:10" x14ac:dyDescent="0.3">
      <c r="A649">
        <v>3018</v>
      </c>
      <c r="B649">
        <v>0</v>
      </c>
      <c r="C649">
        <v>0</v>
      </c>
      <c r="D649">
        <v>0</v>
      </c>
      <c r="E649">
        <v>0</v>
      </c>
      <c r="F649">
        <v>0</v>
      </c>
      <c r="G649">
        <v>0</v>
      </c>
      <c r="H649">
        <v>0</v>
      </c>
      <c r="I649" s="2">
        <v>44017</v>
      </c>
      <c r="J649" s="1"/>
    </row>
    <row r="650" spans="1:10" x14ac:dyDescent="0.3">
      <c r="A650">
        <v>3020</v>
      </c>
      <c r="B650">
        <v>0</v>
      </c>
      <c r="C650">
        <v>0</v>
      </c>
      <c r="D650">
        <v>0</v>
      </c>
      <c r="E650">
        <v>0</v>
      </c>
      <c r="F650">
        <v>0</v>
      </c>
      <c r="G650">
        <v>0</v>
      </c>
      <c r="H650">
        <v>0</v>
      </c>
      <c r="I650" s="2">
        <v>43987</v>
      </c>
      <c r="J650" s="1"/>
    </row>
    <row r="651" spans="1:10" x14ac:dyDescent="0.3">
      <c r="A651">
        <v>1339</v>
      </c>
      <c r="B651">
        <v>0</v>
      </c>
      <c r="C651">
        <v>0</v>
      </c>
      <c r="D651">
        <v>0</v>
      </c>
      <c r="E651">
        <v>0</v>
      </c>
      <c r="F651">
        <v>0</v>
      </c>
      <c r="G651">
        <v>1</v>
      </c>
      <c r="H651">
        <v>0</v>
      </c>
      <c r="I651" s="2">
        <v>43956</v>
      </c>
      <c r="J651" s="1"/>
    </row>
    <row r="652" spans="1:10" x14ac:dyDescent="0.3">
      <c r="A652">
        <v>2220</v>
      </c>
      <c r="B652">
        <v>0</v>
      </c>
      <c r="C652">
        <v>0</v>
      </c>
      <c r="D652">
        <v>0</v>
      </c>
      <c r="E652">
        <v>0</v>
      </c>
      <c r="F652">
        <v>0</v>
      </c>
      <c r="G652">
        <v>0</v>
      </c>
      <c r="H652">
        <v>0</v>
      </c>
      <c r="I652" s="2">
        <v>43956</v>
      </c>
      <c r="J652" s="1"/>
    </row>
    <row r="653" spans="1:10" x14ac:dyDescent="0.3">
      <c r="A653">
        <v>2260</v>
      </c>
      <c r="B653">
        <v>0</v>
      </c>
      <c r="C653">
        <v>0</v>
      </c>
      <c r="D653">
        <v>0</v>
      </c>
      <c r="E653">
        <v>0</v>
      </c>
      <c r="F653">
        <v>0</v>
      </c>
      <c r="G653">
        <v>0</v>
      </c>
      <c r="H653">
        <v>0</v>
      </c>
      <c r="I653" s="2">
        <v>43956</v>
      </c>
      <c r="J653" s="1"/>
    </row>
    <row r="654" spans="1:10" x14ac:dyDescent="0.3">
      <c r="A654">
        <v>3017</v>
      </c>
      <c r="B654">
        <v>0</v>
      </c>
      <c r="C654">
        <v>0</v>
      </c>
      <c r="D654">
        <v>0</v>
      </c>
      <c r="E654">
        <v>0</v>
      </c>
      <c r="F654">
        <v>0</v>
      </c>
      <c r="G654">
        <v>0</v>
      </c>
      <c r="H654">
        <v>0</v>
      </c>
      <c r="I654" s="2">
        <v>43956</v>
      </c>
      <c r="J654" s="1"/>
    </row>
    <row r="655" spans="1:10" x14ac:dyDescent="0.3">
      <c r="A655">
        <v>1230</v>
      </c>
      <c r="B655">
        <v>0</v>
      </c>
      <c r="C655">
        <v>0</v>
      </c>
      <c r="D655">
        <v>0</v>
      </c>
      <c r="E655">
        <v>1</v>
      </c>
      <c r="F655">
        <v>0</v>
      </c>
      <c r="G655">
        <v>0</v>
      </c>
      <c r="H655">
        <v>1</v>
      </c>
      <c r="I655" s="2">
        <v>43926</v>
      </c>
      <c r="J655" s="1"/>
    </row>
    <row r="656" spans="1:10" x14ac:dyDescent="0.3">
      <c r="A656">
        <v>2758</v>
      </c>
      <c r="B656">
        <v>0</v>
      </c>
      <c r="C656">
        <v>0</v>
      </c>
      <c r="D656">
        <v>0</v>
      </c>
      <c r="E656">
        <v>0</v>
      </c>
      <c r="F656">
        <v>0</v>
      </c>
      <c r="G656">
        <v>0</v>
      </c>
      <c r="H656">
        <v>0</v>
      </c>
      <c r="I656" s="2">
        <v>43926</v>
      </c>
      <c r="J656" s="1"/>
    </row>
    <row r="657" spans="1:10" x14ac:dyDescent="0.3">
      <c r="A657">
        <v>1478</v>
      </c>
      <c r="B657">
        <v>0</v>
      </c>
      <c r="C657">
        <v>1</v>
      </c>
      <c r="D657">
        <v>0</v>
      </c>
      <c r="E657">
        <v>0</v>
      </c>
      <c r="F657">
        <v>0</v>
      </c>
      <c r="G657">
        <v>0</v>
      </c>
      <c r="H657">
        <v>0</v>
      </c>
      <c r="I657" s="2">
        <v>43895</v>
      </c>
      <c r="J657" s="1"/>
    </row>
    <row r="658" spans="1:10" x14ac:dyDescent="0.3">
      <c r="A658">
        <v>1510</v>
      </c>
      <c r="B658">
        <v>0</v>
      </c>
      <c r="C658">
        <v>0</v>
      </c>
      <c r="D658">
        <v>0</v>
      </c>
      <c r="E658">
        <v>0</v>
      </c>
      <c r="F658">
        <v>0</v>
      </c>
      <c r="G658">
        <v>0</v>
      </c>
      <c r="H658">
        <v>0</v>
      </c>
      <c r="I658" s="2">
        <v>43895</v>
      </c>
      <c r="J658" s="1"/>
    </row>
    <row r="659" spans="1:10" x14ac:dyDescent="0.3">
      <c r="A659">
        <v>2712</v>
      </c>
      <c r="B659">
        <v>0</v>
      </c>
      <c r="C659">
        <v>0</v>
      </c>
      <c r="D659">
        <v>1</v>
      </c>
      <c r="E659">
        <v>0</v>
      </c>
      <c r="F659">
        <v>0</v>
      </c>
      <c r="G659">
        <v>0</v>
      </c>
      <c r="H659">
        <v>0</v>
      </c>
      <c r="I659" s="2">
        <v>43866</v>
      </c>
      <c r="J659" s="1"/>
    </row>
    <row r="660" spans="1:10" x14ac:dyDescent="0.3">
      <c r="A660">
        <v>3006</v>
      </c>
      <c r="B660">
        <v>0</v>
      </c>
      <c r="C660">
        <v>0</v>
      </c>
      <c r="D660">
        <v>0</v>
      </c>
      <c r="E660">
        <v>0</v>
      </c>
      <c r="F660">
        <v>0</v>
      </c>
      <c r="G660">
        <v>0</v>
      </c>
      <c r="H660">
        <v>0</v>
      </c>
      <c r="I660" s="2">
        <v>43866</v>
      </c>
      <c r="J660" s="1"/>
    </row>
    <row r="661" spans="1:10" x14ac:dyDescent="0.3">
      <c r="A661">
        <v>3188</v>
      </c>
      <c r="B661">
        <v>0</v>
      </c>
      <c r="C661">
        <v>0</v>
      </c>
      <c r="D661">
        <v>0</v>
      </c>
      <c r="E661">
        <v>0</v>
      </c>
      <c r="F661">
        <v>0</v>
      </c>
      <c r="G661">
        <v>0</v>
      </c>
      <c r="H661">
        <v>0</v>
      </c>
      <c r="I661" s="2">
        <v>43866</v>
      </c>
      <c r="J661" s="1"/>
    </row>
    <row r="662" spans="1:10" x14ac:dyDescent="0.3">
      <c r="A662">
        <v>1417</v>
      </c>
      <c r="B662">
        <v>0</v>
      </c>
      <c r="C662">
        <v>0</v>
      </c>
      <c r="D662">
        <v>0</v>
      </c>
      <c r="E662">
        <v>0</v>
      </c>
      <c r="F662">
        <v>0</v>
      </c>
      <c r="G662">
        <v>0</v>
      </c>
      <c r="H662">
        <v>0</v>
      </c>
      <c r="I662" s="2">
        <v>43835</v>
      </c>
      <c r="J662" s="1"/>
    </row>
    <row r="663" spans="1:10" x14ac:dyDescent="0.3">
      <c r="A663">
        <v>1967</v>
      </c>
      <c r="B663">
        <v>0</v>
      </c>
      <c r="C663">
        <v>0</v>
      </c>
      <c r="D663">
        <v>0</v>
      </c>
      <c r="E663">
        <v>0</v>
      </c>
      <c r="F663">
        <v>0</v>
      </c>
      <c r="G663">
        <v>0</v>
      </c>
      <c r="H663">
        <v>0</v>
      </c>
      <c r="I663" s="2">
        <v>43835</v>
      </c>
      <c r="J663" s="1"/>
    </row>
    <row r="664" spans="1:10" x14ac:dyDescent="0.3">
      <c r="A664">
        <v>2347</v>
      </c>
      <c r="B664">
        <v>0</v>
      </c>
      <c r="C664">
        <v>0</v>
      </c>
      <c r="D664">
        <v>0</v>
      </c>
      <c r="E664">
        <v>0</v>
      </c>
      <c r="F664">
        <v>0</v>
      </c>
      <c r="G664">
        <v>0</v>
      </c>
      <c r="H664">
        <v>0</v>
      </c>
      <c r="I664" s="2">
        <v>43835</v>
      </c>
      <c r="J664" s="1"/>
    </row>
    <row r="665" spans="1:10" x14ac:dyDescent="0.3">
      <c r="A665">
        <v>1707</v>
      </c>
      <c r="B665">
        <v>0</v>
      </c>
      <c r="C665">
        <v>0</v>
      </c>
      <c r="D665">
        <v>0</v>
      </c>
      <c r="E665">
        <v>1</v>
      </c>
      <c r="F665">
        <v>0</v>
      </c>
      <c r="G665">
        <v>0</v>
      </c>
      <c r="H665">
        <v>0</v>
      </c>
      <c r="I665" s="2" t="s">
        <v>142</v>
      </c>
    </row>
    <row r="666" spans="1:10" x14ac:dyDescent="0.3">
      <c r="A666">
        <v>1795</v>
      </c>
      <c r="B666">
        <v>0</v>
      </c>
      <c r="C666">
        <v>0</v>
      </c>
      <c r="D666">
        <v>0</v>
      </c>
      <c r="E666">
        <v>0</v>
      </c>
      <c r="F666">
        <v>0</v>
      </c>
      <c r="G666">
        <v>0</v>
      </c>
      <c r="H666">
        <v>0</v>
      </c>
      <c r="I666" s="2" t="s">
        <v>142</v>
      </c>
    </row>
    <row r="667" spans="1:10" x14ac:dyDescent="0.3">
      <c r="A667">
        <v>2341</v>
      </c>
      <c r="B667">
        <v>1</v>
      </c>
      <c r="C667">
        <v>0</v>
      </c>
      <c r="D667">
        <v>0</v>
      </c>
      <c r="E667">
        <v>0</v>
      </c>
      <c r="F667">
        <v>0</v>
      </c>
      <c r="G667">
        <v>0</v>
      </c>
      <c r="H667">
        <v>0</v>
      </c>
      <c r="I667" s="2" t="s">
        <v>142</v>
      </c>
    </row>
    <row r="668" spans="1:10" x14ac:dyDescent="0.3">
      <c r="A668">
        <v>2929</v>
      </c>
      <c r="B668">
        <v>0</v>
      </c>
      <c r="C668">
        <v>0</v>
      </c>
      <c r="D668">
        <v>0</v>
      </c>
      <c r="E668">
        <v>0</v>
      </c>
      <c r="F668">
        <v>0</v>
      </c>
      <c r="G668">
        <v>0</v>
      </c>
      <c r="H668">
        <v>0</v>
      </c>
      <c r="I668" s="2" t="s">
        <v>142</v>
      </c>
    </row>
    <row r="669" spans="1:10" x14ac:dyDescent="0.3">
      <c r="A669">
        <v>3113</v>
      </c>
      <c r="B669">
        <v>0</v>
      </c>
      <c r="C669">
        <v>0</v>
      </c>
      <c r="D669">
        <v>1</v>
      </c>
      <c r="E669">
        <v>0</v>
      </c>
      <c r="F669">
        <v>0</v>
      </c>
      <c r="G669">
        <v>0</v>
      </c>
      <c r="H669">
        <v>1</v>
      </c>
      <c r="I669" s="2" t="s">
        <v>142</v>
      </c>
    </row>
    <row r="670" spans="1:10" x14ac:dyDescent="0.3">
      <c r="A670">
        <v>3137</v>
      </c>
      <c r="B670">
        <v>0</v>
      </c>
      <c r="C670">
        <v>0</v>
      </c>
      <c r="D670">
        <v>0</v>
      </c>
      <c r="E670">
        <v>0</v>
      </c>
      <c r="F670">
        <v>0</v>
      </c>
      <c r="G670">
        <v>0</v>
      </c>
      <c r="H670">
        <v>0</v>
      </c>
      <c r="I670" s="2" t="s">
        <v>142</v>
      </c>
    </row>
    <row r="671" spans="1:10" x14ac:dyDescent="0.3">
      <c r="A671">
        <v>1028</v>
      </c>
      <c r="B671">
        <v>0</v>
      </c>
      <c r="C671">
        <v>0</v>
      </c>
      <c r="D671">
        <v>1</v>
      </c>
      <c r="E671">
        <v>0</v>
      </c>
      <c r="F671">
        <v>0</v>
      </c>
      <c r="G671">
        <v>0</v>
      </c>
      <c r="H671">
        <v>0</v>
      </c>
      <c r="I671" s="2" t="s">
        <v>143</v>
      </c>
    </row>
    <row r="672" spans="1:10" x14ac:dyDescent="0.3">
      <c r="A672">
        <v>1811</v>
      </c>
      <c r="B672">
        <v>0</v>
      </c>
      <c r="C672">
        <v>0</v>
      </c>
      <c r="D672">
        <v>0</v>
      </c>
      <c r="E672">
        <v>0</v>
      </c>
      <c r="F672">
        <v>0</v>
      </c>
      <c r="G672">
        <v>0</v>
      </c>
      <c r="H672">
        <v>0</v>
      </c>
      <c r="I672" s="2" t="s">
        <v>143</v>
      </c>
    </row>
    <row r="673" spans="1:9" x14ac:dyDescent="0.3">
      <c r="A673">
        <v>2187</v>
      </c>
      <c r="B673">
        <v>0</v>
      </c>
      <c r="C673">
        <v>0</v>
      </c>
      <c r="D673">
        <v>1</v>
      </c>
      <c r="E673">
        <v>0</v>
      </c>
      <c r="F673">
        <v>0</v>
      </c>
      <c r="G673">
        <v>0</v>
      </c>
      <c r="H673">
        <v>0</v>
      </c>
      <c r="I673" s="2" t="s">
        <v>143</v>
      </c>
    </row>
    <row r="674" spans="1:9" x14ac:dyDescent="0.3">
      <c r="A674">
        <v>1689</v>
      </c>
      <c r="B674">
        <v>1</v>
      </c>
      <c r="C674">
        <v>0</v>
      </c>
      <c r="D674">
        <v>0</v>
      </c>
      <c r="E674">
        <v>0</v>
      </c>
      <c r="F674">
        <v>0</v>
      </c>
      <c r="G674">
        <v>0</v>
      </c>
      <c r="H674">
        <v>0</v>
      </c>
      <c r="I674" s="2" t="s">
        <v>144</v>
      </c>
    </row>
    <row r="675" spans="1:9" x14ac:dyDescent="0.3">
      <c r="A675">
        <v>1887</v>
      </c>
      <c r="B675">
        <v>0</v>
      </c>
      <c r="C675">
        <v>0</v>
      </c>
      <c r="D675">
        <v>0</v>
      </c>
      <c r="E675">
        <v>1</v>
      </c>
      <c r="F675">
        <v>0</v>
      </c>
      <c r="G675">
        <v>0</v>
      </c>
      <c r="H675">
        <v>1</v>
      </c>
      <c r="I675" s="2" t="s">
        <v>144</v>
      </c>
    </row>
    <row r="676" spans="1:9" x14ac:dyDescent="0.3">
      <c r="A676">
        <v>1400</v>
      </c>
      <c r="B676">
        <v>1</v>
      </c>
      <c r="C676">
        <v>0</v>
      </c>
      <c r="D676">
        <v>0</v>
      </c>
      <c r="E676">
        <v>0</v>
      </c>
      <c r="F676">
        <v>0</v>
      </c>
      <c r="G676">
        <v>0</v>
      </c>
      <c r="H676">
        <v>0</v>
      </c>
      <c r="I676" s="2" t="s">
        <v>145</v>
      </c>
    </row>
    <row r="677" spans="1:9" x14ac:dyDescent="0.3">
      <c r="A677">
        <v>2677</v>
      </c>
      <c r="B677">
        <v>0</v>
      </c>
      <c r="C677">
        <v>0</v>
      </c>
      <c r="D677">
        <v>0</v>
      </c>
      <c r="E677">
        <v>0</v>
      </c>
      <c r="F677">
        <v>0</v>
      </c>
      <c r="G677">
        <v>0</v>
      </c>
      <c r="H677">
        <v>0</v>
      </c>
      <c r="I677" s="2" t="s">
        <v>145</v>
      </c>
    </row>
    <row r="678" spans="1:9" x14ac:dyDescent="0.3">
      <c r="A678">
        <v>2905</v>
      </c>
      <c r="B678">
        <v>0</v>
      </c>
      <c r="C678">
        <v>0</v>
      </c>
      <c r="D678">
        <v>0</v>
      </c>
      <c r="E678">
        <v>0</v>
      </c>
      <c r="F678">
        <v>0</v>
      </c>
      <c r="G678">
        <v>0</v>
      </c>
      <c r="H678">
        <v>0</v>
      </c>
      <c r="I678" s="2" t="s">
        <v>145</v>
      </c>
    </row>
    <row r="679" spans="1:9" x14ac:dyDescent="0.3">
      <c r="A679">
        <v>1613</v>
      </c>
      <c r="B679">
        <v>0</v>
      </c>
      <c r="C679">
        <v>0</v>
      </c>
      <c r="D679">
        <v>0</v>
      </c>
      <c r="E679">
        <v>0</v>
      </c>
      <c r="F679">
        <v>0</v>
      </c>
      <c r="G679">
        <v>0</v>
      </c>
      <c r="H679">
        <v>0</v>
      </c>
      <c r="I679" s="2" t="s">
        <v>146</v>
      </c>
    </row>
    <row r="680" spans="1:9" x14ac:dyDescent="0.3">
      <c r="A680">
        <v>2127</v>
      </c>
      <c r="B680">
        <v>1</v>
      </c>
      <c r="C680">
        <v>0</v>
      </c>
      <c r="D680">
        <v>0</v>
      </c>
      <c r="E680">
        <v>0</v>
      </c>
      <c r="F680">
        <v>0</v>
      </c>
      <c r="G680">
        <v>0</v>
      </c>
      <c r="H680">
        <v>1</v>
      </c>
      <c r="I680" s="2" t="s">
        <v>146</v>
      </c>
    </row>
    <row r="681" spans="1:9" x14ac:dyDescent="0.3">
      <c r="A681">
        <v>2643</v>
      </c>
      <c r="B681">
        <v>0</v>
      </c>
      <c r="C681">
        <v>0</v>
      </c>
      <c r="D681">
        <v>0</v>
      </c>
      <c r="E681">
        <v>0</v>
      </c>
      <c r="F681">
        <v>0</v>
      </c>
      <c r="G681">
        <v>0</v>
      </c>
      <c r="H681">
        <v>0</v>
      </c>
      <c r="I681" s="2" t="s">
        <v>146</v>
      </c>
    </row>
    <row r="682" spans="1:9" x14ac:dyDescent="0.3">
      <c r="A682">
        <v>1155</v>
      </c>
      <c r="B682">
        <v>1</v>
      </c>
      <c r="C682">
        <v>0</v>
      </c>
      <c r="D682">
        <v>0</v>
      </c>
      <c r="E682">
        <v>0</v>
      </c>
      <c r="F682">
        <v>0</v>
      </c>
      <c r="G682">
        <v>0</v>
      </c>
      <c r="H682">
        <v>0</v>
      </c>
      <c r="I682" s="2" t="s">
        <v>147</v>
      </c>
    </row>
    <row r="683" spans="1:9" x14ac:dyDescent="0.3">
      <c r="A683">
        <v>1899</v>
      </c>
      <c r="B683">
        <v>0</v>
      </c>
      <c r="C683">
        <v>0</v>
      </c>
      <c r="D683">
        <v>0</v>
      </c>
      <c r="E683">
        <v>0</v>
      </c>
      <c r="F683">
        <v>0</v>
      </c>
      <c r="G683">
        <v>0</v>
      </c>
      <c r="H683">
        <v>0</v>
      </c>
      <c r="I683" s="2" t="s">
        <v>148</v>
      </c>
    </row>
    <row r="684" spans="1:9" x14ac:dyDescent="0.3">
      <c r="A684">
        <v>1910</v>
      </c>
      <c r="B684">
        <v>0</v>
      </c>
      <c r="C684">
        <v>0</v>
      </c>
      <c r="D684">
        <v>0</v>
      </c>
      <c r="E684">
        <v>0</v>
      </c>
      <c r="F684">
        <v>0</v>
      </c>
      <c r="G684">
        <v>0</v>
      </c>
      <c r="H684">
        <v>0</v>
      </c>
      <c r="I684" s="2" t="s">
        <v>148</v>
      </c>
    </row>
    <row r="685" spans="1:9" x14ac:dyDescent="0.3">
      <c r="A685">
        <v>1954</v>
      </c>
      <c r="B685">
        <v>0</v>
      </c>
      <c r="C685">
        <v>0</v>
      </c>
      <c r="D685">
        <v>0</v>
      </c>
      <c r="E685">
        <v>0</v>
      </c>
      <c r="F685">
        <v>0</v>
      </c>
      <c r="G685">
        <v>0</v>
      </c>
      <c r="H685">
        <v>0</v>
      </c>
      <c r="I685" s="2" t="s">
        <v>148</v>
      </c>
    </row>
    <row r="686" spans="1:9" x14ac:dyDescent="0.3">
      <c r="A686">
        <v>2309</v>
      </c>
      <c r="B686">
        <v>1</v>
      </c>
      <c r="C686">
        <v>0</v>
      </c>
      <c r="D686">
        <v>0</v>
      </c>
      <c r="E686">
        <v>0</v>
      </c>
      <c r="F686">
        <v>0</v>
      </c>
      <c r="G686">
        <v>0</v>
      </c>
      <c r="H686">
        <v>1</v>
      </c>
      <c r="I686" s="2" t="s">
        <v>148</v>
      </c>
    </row>
    <row r="687" spans="1:9" x14ac:dyDescent="0.3">
      <c r="A687">
        <v>1012</v>
      </c>
      <c r="B687">
        <v>0</v>
      </c>
      <c r="C687">
        <v>0</v>
      </c>
      <c r="D687">
        <v>0</v>
      </c>
      <c r="E687">
        <v>0</v>
      </c>
      <c r="F687">
        <v>0</v>
      </c>
      <c r="G687">
        <v>0</v>
      </c>
      <c r="H687">
        <v>0</v>
      </c>
      <c r="I687" s="2" t="s">
        <v>149</v>
      </c>
    </row>
    <row r="688" spans="1:9" x14ac:dyDescent="0.3">
      <c r="A688">
        <v>1013</v>
      </c>
      <c r="B688">
        <v>0</v>
      </c>
      <c r="C688">
        <v>0</v>
      </c>
      <c r="D688">
        <v>0</v>
      </c>
      <c r="E688">
        <v>0</v>
      </c>
      <c r="F688">
        <v>0</v>
      </c>
      <c r="G688">
        <v>0</v>
      </c>
      <c r="H688">
        <v>0</v>
      </c>
      <c r="I688" s="2" t="s">
        <v>149</v>
      </c>
    </row>
    <row r="689" spans="1:9" x14ac:dyDescent="0.3">
      <c r="A689">
        <v>1205</v>
      </c>
      <c r="B689">
        <v>0</v>
      </c>
      <c r="C689">
        <v>1</v>
      </c>
      <c r="D689">
        <v>1</v>
      </c>
      <c r="E689">
        <v>0</v>
      </c>
      <c r="F689">
        <v>0</v>
      </c>
      <c r="G689">
        <v>0</v>
      </c>
      <c r="H689">
        <v>0</v>
      </c>
      <c r="I689" s="2" t="s">
        <v>149</v>
      </c>
    </row>
    <row r="690" spans="1:9" x14ac:dyDescent="0.3">
      <c r="A690">
        <v>1485</v>
      </c>
      <c r="B690">
        <v>0</v>
      </c>
      <c r="C690">
        <v>0</v>
      </c>
      <c r="D690">
        <v>0</v>
      </c>
      <c r="E690">
        <v>0</v>
      </c>
      <c r="F690">
        <v>0</v>
      </c>
      <c r="G690">
        <v>0</v>
      </c>
      <c r="H690">
        <v>0</v>
      </c>
      <c r="I690" s="2" t="s">
        <v>149</v>
      </c>
    </row>
    <row r="691" spans="1:9" x14ac:dyDescent="0.3">
      <c r="A691">
        <v>2086</v>
      </c>
      <c r="B691">
        <v>0</v>
      </c>
      <c r="C691">
        <v>0</v>
      </c>
      <c r="D691">
        <v>0</v>
      </c>
      <c r="E691">
        <v>1</v>
      </c>
      <c r="F691">
        <v>0</v>
      </c>
      <c r="G691">
        <v>0</v>
      </c>
      <c r="H691">
        <v>0</v>
      </c>
      <c r="I691" s="2" t="s">
        <v>149</v>
      </c>
    </row>
    <row r="692" spans="1:9" x14ac:dyDescent="0.3">
      <c r="A692">
        <v>1111</v>
      </c>
      <c r="B692">
        <v>0</v>
      </c>
      <c r="C692">
        <v>0</v>
      </c>
      <c r="D692">
        <v>0</v>
      </c>
      <c r="E692">
        <v>0</v>
      </c>
      <c r="F692">
        <v>0</v>
      </c>
      <c r="G692">
        <v>0</v>
      </c>
      <c r="H692">
        <v>0</v>
      </c>
      <c r="I692" s="2" t="s">
        <v>150</v>
      </c>
    </row>
    <row r="693" spans="1:9" x14ac:dyDescent="0.3">
      <c r="A693">
        <v>1131</v>
      </c>
      <c r="B693">
        <v>0</v>
      </c>
      <c r="C693">
        <v>0</v>
      </c>
      <c r="D693">
        <v>0</v>
      </c>
      <c r="E693">
        <v>0</v>
      </c>
      <c r="F693">
        <v>0</v>
      </c>
      <c r="G693">
        <v>0</v>
      </c>
      <c r="H693">
        <v>1</v>
      </c>
      <c r="I693" s="2" t="s">
        <v>150</v>
      </c>
    </row>
    <row r="694" spans="1:9" x14ac:dyDescent="0.3">
      <c r="A694">
        <v>1209</v>
      </c>
      <c r="B694">
        <v>0</v>
      </c>
      <c r="C694">
        <v>0</v>
      </c>
      <c r="D694">
        <v>0</v>
      </c>
      <c r="E694">
        <v>0</v>
      </c>
      <c r="F694">
        <v>0</v>
      </c>
      <c r="G694">
        <v>0</v>
      </c>
      <c r="H694">
        <v>0</v>
      </c>
      <c r="I694" s="2" t="s">
        <v>150</v>
      </c>
    </row>
    <row r="695" spans="1:9" x14ac:dyDescent="0.3">
      <c r="A695">
        <v>1365</v>
      </c>
      <c r="B695">
        <v>0</v>
      </c>
      <c r="C695">
        <v>0</v>
      </c>
      <c r="D695">
        <v>0</v>
      </c>
      <c r="E695">
        <v>0</v>
      </c>
      <c r="F695">
        <v>0</v>
      </c>
      <c r="G695">
        <v>0</v>
      </c>
      <c r="H695">
        <v>0</v>
      </c>
      <c r="I695" s="2" t="s">
        <v>150</v>
      </c>
    </row>
    <row r="696" spans="1:9" x14ac:dyDescent="0.3">
      <c r="A696">
        <v>1470</v>
      </c>
      <c r="B696">
        <v>0</v>
      </c>
      <c r="C696">
        <v>0</v>
      </c>
      <c r="D696">
        <v>0</v>
      </c>
      <c r="E696">
        <v>0</v>
      </c>
      <c r="F696">
        <v>0</v>
      </c>
      <c r="G696">
        <v>0</v>
      </c>
      <c r="H696">
        <v>0</v>
      </c>
      <c r="I696" s="2" t="s">
        <v>150</v>
      </c>
    </row>
    <row r="697" spans="1:9" x14ac:dyDescent="0.3">
      <c r="A697">
        <v>1643</v>
      </c>
      <c r="B697">
        <v>0</v>
      </c>
      <c r="C697">
        <v>0</v>
      </c>
      <c r="D697">
        <v>0</v>
      </c>
      <c r="E697">
        <v>0</v>
      </c>
      <c r="F697">
        <v>0</v>
      </c>
      <c r="G697">
        <v>0</v>
      </c>
      <c r="H697">
        <v>0</v>
      </c>
      <c r="I697" s="2" t="s">
        <v>150</v>
      </c>
    </row>
    <row r="698" spans="1:9" x14ac:dyDescent="0.3">
      <c r="A698">
        <v>1154</v>
      </c>
      <c r="B698">
        <v>0</v>
      </c>
      <c r="C698">
        <v>0</v>
      </c>
      <c r="D698">
        <v>0</v>
      </c>
      <c r="E698">
        <v>0</v>
      </c>
      <c r="F698">
        <v>0</v>
      </c>
      <c r="G698">
        <v>0</v>
      </c>
      <c r="H698">
        <v>0</v>
      </c>
      <c r="I698" s="2" t="s">
        <v>151</v>
      </c>
    </row>
    <row r="699" spans="1:9" x14ac:dyDescent="0.3">
      <c r="A699">
        <v>2156</v>
      </c>
      <c r="B699">
        <v>0</v>
      </c>
      <c r="C699">
        <v>0</v>
      </c>
      <c r="D699">
        <v>0</v>
      </c>
      <c r="E699">
        <v>0</v>
      </c>
      <c r="F699">
        <v>0</v>
      </c>
      <c r="G699">
        <v>0</v>
      </c>
      <c r="H699">
        <v>0</v>
      </c>
      <c r="I699" s="2" t="s">
        <v>151</v>
      </c>
    </row>
    <row r="700" spans="1:9" x14ac:dyDescent="0.3">
      <c r="A700">
        <v>2428</v>
      </c>
      <c r="B700">
        <v>0</v>
      </c>
      <c r="C700">
        <v>0</v>
      </c>
      <c r="D700">
        <v>0</v>
      </c>
      <c r="E700">
        <v>0</v>
      </c>
      <c r="F700">
        <v>0</v>
      </c>
      <c r="G700">
        <v>0</v>
      </c>
      <c r="H700">
        <v>1</v>
      </c>
      <c r="I700" s="2" t="s">
        <v>151</v>
      </c>
    </row>
    <row r="701" spans="1:9" x14ac:dyDescent="0.3">
      <c r="A701">
        <v>2129</v>
      </c>
      <c r="B701">
        <v>0</v>
      </c>
      <c r="C701">
        <v>0</v>
      </c>
      <c r="D701">
        <v>0</v>
      </c>
      <c r="E701">
        <v>0</v>
      </c>
      <c r="F701">
        <v>0</v>
      </c>
      <c r="G701">
        <v>0</v>
      </c>
      <c r="H701">
        <v>0</v>
      </c>
      <c r="I701" s="2" t="s">
        <v>152</v>
      </c>
    </row>
    <row r="702" spans="1:9" x14ac:dyDescent="0.3">
      <c r="A702">
        <v>3007</v>
      </c>
      <c r="B702">
        <v>0</v>
      </c>
      <c r="C702">
        <v>0</v>
      </c>
      <c r="D702">
        <v>0</v>
      </c>
      <c r="E702">
        <v>0</v>
      </c>
      <c r="F702">
        <v>0</v>
      </c>
      <c r="G702">
        <v>0</v>
      </c>
      <c r="H702">
        <v>0</v>
      </c>
      <c r="I702" s="2" t="s">
        <v>152</v>
      </c>
    </row>
    <row r="703" spans="1:9" x14ac:dyDescent="0.3">
      <c r="A703">
        <v>1329</v>
      </c>
      <c r="B703">
        <v>0</v>
      </c>
      <c r="C703">
        <v>0</v>
      </c>
      <c r="D703">
        <v>0</v>
      </c>
      <c r="E703">
        <v>0</v>
      </c>
      <c r="F703">
        <v>0</v>
      </c>
      <c r="G703">
        <v>0</v>
      </c>
      <c r="H703">
        <v>0</v>
      </c>
      <c r="I703" s="2" t="s">
        <v>153</v>
      </c>
    </row>
    <row r="704" spans="1:9" x14ac:dyDescent="0.3">
      <c r="A704">
        <v>1576</v>
      </c>
      <c r="B704">
        <v>0</v>
      </c>
      <c r="C704">
        <v>0</v>
      </c>
      <c r="D704">
        <v>0</v>
      </c>
      <c r="E704">
        <v>0</v>
      </c>
      <c r="F704">
        <v>0</v>
      </c>
      <c r="G704">
        <v>0</v>
      </c>
      <c r="H704">
        <v>0</v>
      </c>
      <c r="I704" s="2" t="s">
        <v>153</v>
      </c>
    </row>
    <row r="705" spans="1:10" x14ac:dyDescent="0.3">
      <c r="A705">
        <v>2465</v>
      </c>
      <c r="B705">
        <v>0</v>
      </c>
      <c r="C705">
        <v>0</v>
      </c>
      <c r="D705">
        <v>0</v>
      </c>
      <c r="E705">
        <v>0</v>
      </c>
      <c r="F705">
        <v>0</v>
      </c>
      <c r="G705">
        <v>0</v>
      </c>
      <c r="H705">
        <v>0</v>
      </c>
      <c r="I705" s="2" t="s">
        <v>153</v>
      </c>
    </row>
    <row r="706" spans="1:10" x14ac:dyDescent="0.3">
      <c r="A706">
        <v>1977</v>
      </c>
      <c r="B706">
        <v>0</v>
      </c>
      <c r="C706">
        <v>0</v>
      </c>
      <c r="D706">
        <v>0</v>
      </c>
      <c r="E706">
        <v>1</v>
      </c>
      <c r="F706">
        <v>0</v>
      </c>
      <c r="G706">
        <v>0</v>
      </c>
      <c r="H706">
        <v>0</v>
      </c>
      <c r="I706" s="2" t="s">
        <v>154</v>
      </c>
    </row>
    <row r="707" spans="1:10" x14ac:dyDescent="0.3">
      <c r="A707">
        <v>1653</v>
      </c>
      <c r="B707">
        <v>0</v>
      </c>
      <c r="C707">
        <v>0</v>
      </c>
      <c r="D707">
        <v>0</v>
      </c>
      <c r="E707">
        <v>0</v>
      </c>
      <c r="F707">
        <v>0</v>
      </c>
      <c r="G707">
        <v>0</v>
      </c>
      <c r="H707">
        <v>0</v>
      </c>
      <c r="I707" s="2" t="s">
        <v>155</v>
      </c>
    </row>
    <row r="708" spans="1:10" x14ac:dyDescent="0.3">
      <c r="A708">
        <v>1312</v>
      </c>
      <c r="B708">
        <v>0</v>
      </c>
      <c r="C708">
        <v>0</v>
      </c>
      <c r="D708">
        <v>0</v>
      </c>
      <c r="E708">
        <v>0</v>
      </c>
      <c r="F708">
        <v>0</v>
      </c>
      <c r="G708">
        <v>0</v>
      </c>
      <c r="H708">
        <v>0</v>
      </c>
      <c r="I708" s="2" t="s">
        <v>156</v>
      </c>
    </row>
    <row r="709" spans="1:10" x14ac:dyDescent="0.3">
      <c r="A709">
        <v>1524</v>
      </c>
      <c r="B709">
        <v>0</v>
      </c>
      <c r="C709">
        <v>0</v>
      </c>
      <c r="D709">
        <v>0</v>
      </c>
      <c r="E709">
        <v>0</v>
      </c>
      <c r="F709">
        <v>0</v>
      </c>
      <c r="G709">
        <v>0</v>
      </c>
      <c r="H709">
        <v>0</v>
      </c>
      <c r="I709" s="2" t="s">
        <v>156</v>
      </c>
    </row>
    <row r="710" spans="1:10" x14ac:dyDescent="0.3">
      <c r="A710">
        <v>1651</v>
      </c>
      <c r="B710">
        <v>0</v>
      </c>
      <c r="C710">
        <v>0</v>
      </c>
      <c r="D710">
        <v>0</v>
      </c>
      <c r="E710">
        <v>0</v>
      </c>
      <c r="F710">
        <v>0</v>
      </c>
      <c r="G710">
        <v>0</v>
      </c>
      <c r="H710">
        <v>0</v>
      </c>
      <c r="I710" s="2" t="s">
        <v>156</v>
      </c>
    </row>
    <row r="711" spans="1:10" x14ac:dyDescent="0.3">
      <c r="A711">
        <v>1892</v>
      </c>
      <c r="B711">
        <v>0</v>
      </c>
      <c r="C711">
        <v>0</v>
      </c>
      <c r="D711">
        <v>0</v>
      </c>
      <c r="E711">
        <v>0</v>
      </c>
      <c r="F711">
        <v>0</v>
      </c>
      <c r="G711">
        <v>0</v>
      </c>
      <c r="H711">
        <v>0</v>
      </c>
      <c r="I711" s="2" t="s">
        <v>156</v>
      </c>
    </row>
    <row r="712" spans="1:10" x14ac:dyDescent="0.3">
      <c r="A712">
        <v>2346</v>
      </c>
      <c r="B712">
        <v>0</v>
      </c>
      <c r="C712">
        <v>0</v>
      </c>
      <c r="D712">
        <v>0</v>
      </c>
      <c r="E712">
        <v>0</v>
      </c>
      <c r="F712">
        <v>0</v>
      </c>
      <c r="G712">
        <v>0</v>
      </c>
      <c r="H712">
        <v>0</v>
      </c>
      <c r="I712" s="2" t="s">
        <v>156</v>
      </c>
    </row>
    <row r="713" spans="1:10" x14ac:dyDescent="0.3">
      <c r="A713">
        <v>2862</v>
      </c>
      <c r="B713">
        <v>1</v>
      </c>
      <c r="C713">
        <v>0</v>
      </c>
      <c r="D713">
        <v>0</v>
      </c>
      <c r="E713">
        <v>0</v>
      </c>
      <c r="F713">
        <v>0</v>
      </c>
      <c r="G713">
        <v>0</v>
      </c>
      <c r="H713">
        <v>1</v>
      </c>
      <c r="I713" s="2" t="s">
        <v>156</v>
      </c>
    </row>
    <row r="714" spans="1:10" x14ac:dyDescent="0.3">
      <c r="A714">
        <v>2949</v>
      </c>
      <c r="B714">
        <v>0</v>
      </c>
      <c r="C714">
        <v>0</v>
      </c>
      <c r="D714">
        <v>0</v>
      </c>
      <c r="E714">
        <v>0</v>
      </c>
      <c r="F714">
        <v>0</v>
      </c>
      <c r="G714">
        <v>0</v>
      </c>
      <c r="H714">
        <v>0</v>
      </c>
      <c r="I714" s="2" t="s">
        <v>156</v>
      </c>
    </row>
    <row r="715" spans="1:10" x14ac:dyDescent="0.3">
      <c r="A715">
        <v>2980</v>
      </c>
      <c r="B715">
        <v>0</v>
      </c>
      <c r="C715">
        <v>0</v>
      </c>
      <c r="D715">
        <v>0</v>
      </c>
      <c r="E715">
        <v>0</v>
      </c>
      <c r="F715">
        <v>0</v>
      </c>
      <c r="G715">
        <v>0</v>
      </c>
      <c r="H715">
        <v>0</v>
      </c>
      <c r="I715" s="2" t="s">
        <v>156</v>
      </c>
    </row>
    <row r="716" spans="1:10" x14ac:dyDescent="0.3">
      <c r="A716">
        <v>1538</v>
      </c>
      <c r="B716">
        <v>0</v>
      </c>
      <c r="C716">
        <v>0</v>
      </c>
      <c r="D716">
        <v>0</v>
      </c>
      <c r="E716">
        <v>0</v>
      </c>
      <c r="F716">
        <v>0</v>
      </c>
      <c r="G716">
        <v>0</v>
      </c>
      <c r="H716">
        <v>1</v>
      </c>
      <c r="I716" s="2">
        <v>44169</v>
      </c>
      <c r="J716" s="1"/>
    </row>
    <row r="717" spans="1:10" x14ac:dyDescent="0.3">
      <c r="A717">
        <v>1622</v>
      </c>
      <c r="B717">
        <v>1</v>
      </c>
      <c r="C717">
        <v>0</v>
      </c>
      <c r="D717">
        <v>0</v>
      </c>
      <c r="E717">
        <v>0</v>
      </c>
      <c r="F717">
        <v>0</v>
      </c>
      <c r="G717">
        <v>0</v>
      </c>
      <c r="H717">
        <v>0</v>
      </c>
      <c r="I717" s="2">
        <v>44169</v>
      </c>
      <c r="J717" s="1"/>
    </row>
    <row r="718" spans="1:10" x14ac:dyDescent="0.3">
      <c r="A718">
        <v>2293</v>
      </c>
      <c r="B718">
        <v>0</v>
      </c>
      <c r="C718">
        <v>0</v>
      </c>
      <c r="D718">
        <v>0</v>
      </c>
      <c r="E718">
        <v>0</v>
      </c>
      <c r="F718">
        <v>0</v>
      </c>
      <c r="G718">
        <v>0</v>
      </c>
      <c r="H718">
        <v>0</v>
      </c>
      <c r="I718" s="2">
        <v>44169</v>
      </c>
      <c r="J718" s="1"/>
    </row>
    <row r="719" spans="1:10" x14ac:dyDescent="0.3">
      <c r="A719">
        <v>2731</v>
      </c>
      <c r="B719">
        <v>0</v>
      </c>
      <c r="C719">
        <v>0</v>
      </c>
      <c r="D719">
        <v>0</v>
      </c>
      <c r="E719">
        <v>0</v>
      </c>
      <c r="F719">
        <v>0</v>
      </c>
      <c r="G719">
        <v>0</v>
      </c>
      <c r="H719">
        <v>0</v>
      </c>
      <c r="I719" s="2">
        <v>44169</v>
      </c>
      <c r="J719" s="1"/>
    </row>
    <row r="720" spans="1:10" x14ac:dyDescent="0.3">
      <c r="A720">
        <v>3058</v>
      </c>
      <c r="B720">
        <v>0</v>
      </c>
      <c r="C720">
        <v>0</v>
      </c>
      <c r="D720">
        <v>0</v>
      </c>
      <c r="E720">
        <v>0</v>
      </c>
      <c r="F720">
        <v>0</v>
      </c>
      <c r="G720">
        <v>0</v>
      </c>
      <c r="H720">
        <v>0</v>
      </c>
      <c r="I720" s="2">
        <v>44169</v>
      </c>
      <c r="J720" s="1"/>
    </row>
    <row r="721" spans="1:10" x14ac:dyDescent="0.3">
      <c r="A721">
        <v>1548</v>
      </c>
      <c r="B721">
        <v>0</v>
      </c>
      <c r="C721">
        <v>0</v>
      </c>
      <c r="D721">
        <v>0</v>
      </c>
      <c r="E721">
        <v>0</v>
      </c>
      <c r="F721">
        <v>0</v>
      </c>
      <c r="G721">
        <v>0</v>
      </c>
      <c r="H721">
        <v>0</v>
      </c>
      <c r="I721" s="2">
        <v>44139</v>
      </c>
      <c r="J721" s="1"/>
    </row>
    <row r="722" spans="1:10" x14ac:dyDescent="0.3">
      <c r="A722">
        <v>1784</v>
      </c>
      <c r="B722">
        <v>0</v>
      </c>
      <c r="C722">
        <v>0</v>
      </c>
      <c r="D722">
        <v>0</v>
      </c>
      <c r="E722">
        <v>0</v>
      </c>
      <c r="F722">
        <v>0</v>
      </c>
      <c r="G722">
        <v>0</v>
      </c>
      <c r="H722">
        <v>0</v>
      </c>
      <c r="I722" s="2">
        <v>44139</v>
      </c>
      <c r="J722" s="1"/>
    </row>
    <row r="723" spans="1:10" x14ac:dyDescent="0.3">
      <c r="A723">
        <v>2125</v>
      </c>
      <c r="B723">
        <v>0</v>
      </c>
      <c r="C723">
        <v>0</v>
      </c>
      <c r="D723">
        <v>0</v>
      </c>
      <c r="E723">
        <v>0</v>
      </c>
      <c r="F723">
        <v>0</v>
      </c>
      <c r="G723">
        <v>0</v>
      </c>
      <c r="H723">
        <v>0</v>
      </c>
      <c r="I723" s="2">
        <v>44139</v>
      </c>
      <c r="J723" s="1"/>
    </row>
    <row r="724" spans="1:10" x14ac:dyDescent="0.3">
      <c r="A724">
        <v>1786</v>
      </c>
      <c r="B724">
        <v>0</v>
      </c>
      <c r="C724">
        <v>0</v>
      </c>
      <c r="D724">
        <v>0</v>
      </c>
      <c r="E724">
        <v>0</v>
      </c>
      <c r="F724">
        <v>0</v>
      </c>
      <c r="G724">
        <v>0</v>
      </c>
      <c r="H724">
        <v>0</v>
      </c>
      <c r="I724" s="2">
        <v>44108</v>
      </c>
      <c r="J724" s="1"/>
    </row>
    <row r="725" spans="1:10" x14ac:dyDescent="0.3">
      <c r="A725">
        <v>2537</v>
      </c>
      <c r="B725">
        <v>0</v>
      </c>
      <c r="C725">
        <v>0</v>
      </c>
      <c r="D725">
        <v>0</v>
      </c>
      <c r="E725">
        <v>0</v>
      </c>
      <c r="F725">
        <v>0</v>
      </c>
      <c r="G725">
        <v>0</v>
      </c>
      <c r="H725">
        <v>0</v>
      </c>
      <c r="I725" s="2">
        <v>44108</v>
      </c>
      <c r="J725" s="1"/>
    </row>
    <row r="726" spans="1:10" x14ac:dyDescent="0.3">
      <c r="A726">
        <v>3148</v>
      </c>
      <c r="B726">
        <v>0</v>
      </c>
      <c r="C726">
        <v>0</v>
      </c>
      <c r="D726">
        <v>0</v>
      </c>
      <c r="E726">
        <v>0</v>
      </c>
      <c r="F726">
        <v>0</v>
      </c>
      <c r="G726">
        <v>0</v>
      </c>
      <c r="H726">
        <v>0</v>
      </c>
      <c r="I726" s="2">
        <v>44108</v>
      </c>
      <c r="J726" s="1"/>
    </row>
    <row r="727" spans="1:10" x14ac:dyDescent="0.3">
      <c r="A727">
        <v>1513</v>
      </c>
      <c r="B727">
        <v>0</v>
      </c>
      <c r="C727">
        <v>0</v>
      </c>
      <c r="D727">
        <v>0</v>
      </c>
      <c r="E727">
        <v>0</v>
      </c>
      <c r="F727">
        <v>0</v>
      </c>
      <c r="G727">
        <v>0</v>
      </c>
      <c r="H727">
        <v>0</v>
      </c>
      <c r="I727" s="2">
        <v>44078</v>
      </c>
      <c r="J727" s="1"/>
    </row>
    <row r="728" spans="1:10" x14ac:dyDescent="0.3">
      <c r="A728">
        <v>1679</v>
      </c>
      <c r="B728">
        <v>0</v>
      </c>
      <c r="C728">
        <v>0</v>
      </c>
      <c r="D728">
        <v>0</v>
      </c>
      <c r="E728">
        <v>0</v>
      </c>
      <c r="F728">
        <v>0</v>
      </c>
      <c r="G728">
        <v>0</v>
      </c>
      <c r="H728">
        <v>0</v>
      </c>
      <c r="I728" s="2">
        <v>44078</v>
      </c>
      <c r="J728" s="1"/>
    </row>
    <row r="729" spans="1:10" x14ac:dyDescent="0.3">
      <c r="A729">
        <v>1980</v>
      </c>
      <c r="B729">
        <v>0</v>
      </c>
      <c r="C729">
        <v>0</v>
      </c>
      <c r="D729">
        <v>0</v>
      </c>
      <c r="E729">
        <v>0</v>
      </c>
      <c r="F729">
        <v>0</v>
      </c>
      <c r="G729">
        <v>0</v>
      </c>
      <c r="H729">
        <v>0</v>
      </c>
      <c r="I729" s="2">
        <v>44078</v>
      </c>
      <c r="J729" s="1"/>
    </row>
    <row r="730" spans="1:10" x14ac:dyDescent="0.3">
      <c r="A730">
        <v>3098</v>
      </c>
      <c r="B730">
        <v>0</v>
      </c>
      <c r="C730">
        <v>0</v>
      </c>
      <c r="D730">
        <v>0</v>
      </c>
      <c r="E730">
        <v>0</v>
      </c>
      <c r="F730">
        <v>0</v>
      </c>
      <c r="G730">
        <v>0</v>
      </c>
      <c r="H730">
        <v>0</v>
      </c>
      <c r="I730" s="2">
        <v>44078</v>
      </c>
      <c r="J730" s="1"/>
    </row>
    <row r="731" spans="1:10" x14ac:dyDescent="0.3">
      <c r="A731">
        <v>1102</v>
      </c>
      <c r="B731">
        <v>0</v>
      </c>
      <c r="C731">
        <v>0</v>
      </c>
      <c r="D731">
        <v>0</v>
      </c>
      <c r="E731">
        <v>0</v>
      </c>
      <c r="F731">
        <v>0</v>
      </c>
      <c r="G731">
        <v>0</v>
      </c>
      <c r="H731">
        <v>0</v>
      </c>
      <c r="I731" s="2">
        <v>44047</v>
      </c>
      <c r="J731" s="1"/>
    </row>
    <row r="732" spans="1:10" x14ac:dyDescent="0.3">
      <c r="A732">
        <v>1157</v>
      </c>
      <c r="B732">
        <v>0</v>
      </c>
      <c r="C732">
        <v>0</v>
      </c>
      <c r="D732">
        <v>0</v>
      </c>
      <c r="E732">
        <v>0</v>
      </c>
      <c r="F732">
        <v>0</v>
      </c>
      <c r="G732">
        <v>0</v>
      </c>
      <c r="H732">
        <v>0</v>
      </c>
      <c r="I732" s="2">
        <v>44047</v>
      </c>
      <c r="J732" s="1"/>
    </row>
    <row r="733" spans="1:10" x14ac:dyDescent="0.3">
      <c r="A733">
        <v>1674</v>
      </c>
      <c r="B733">
        <v>0</v>
      </c>
      <c r="C733">
        <v>0</v>
      </c>
      <c r="D733">
        <v>0</v>
      </c>
      <c r="E733">
        <v>0</v>
      </c>
      <c r="F733">
        <v>0</v>
      </c>
      <c r="G733">
        <v>0</v>
      </c>
      <c r="H733">
        <v>0</v>
      </c>
      <c r="I733" s="2">
        <v>44047</v>
      </c>
      <c r="J733" s="1"/>
    </row>
    <row r="734" spans="1:10" x14ac:dyDescent="0.3">
      <c r="A734">
        <v>2453</v>
      </c>
      <c r="B734">
        <v>0</v>
      </c>
      <c r="C734">
        <v>0</v>
      </c>
      <c r="D734">
        <v>0</v>
      </c>
      <c r="E734">
        <v>0</v>
      </c>
      <c r="F734">
        <v>0</v>
      </c>
      <c r="G734">
        <v>0</v>
      </c>
      <c r="H734">
        <v>0</v>
      </c>
      <c r="I734" s="2">
        <v>44047</v>
      </c>
      <c r="J734" s="1"/>
    </row>
    <row r="735" spans="1:10" x14ac:dyDescent="0.3">
      <c r="A735">
        <v>2764</v>
      </c>
      <c r="B735">
        <v>0</v>
      </c>
      <c r="C735">
        <v>0</v>
      </c>
      <c r="D735">
        <v>0</v>
      </c>
      <c r="E735">
        <v>0</v>
      </c>
      <c r="F735">
        <v>0</v>
      </c>
      <c r="G735">
        <v>0</v>
      </c>
      <c r="H735">
        <v>0</v>
      </c>
      <c r="I735" s="2">
        <v>44047</v>
      </c>
      <c r="J735" s="1"/>
    </row>
    <row r="736" spans="1:10" x14ac:dyDescent="0.3">
      <c r="A736">
        <v>3082</v>
      </c>
      <c r="B736">
        <v>0</v>
      </c>
      <c r="C736">
        <v>0</v>
      </c>
      <c r="D736">
        <v>0</v>
      </c>
      <c r="E736">
        <v>0</v>
      </c>
      <c r="F736">
        <v>0</v>
      </c>
      <c r="G736">
        <v>0</v>
      </c>
      <c r="H736">
        <v>0</v>
      </c>
      <c r="I736" s="2">
        <v>44016</v>
      </c>
      <c r="J736" s="1"/>
    </row>
    <row r="737" spans="1:10" x14ac:dyDescent="0.3">
      <c r="A737">
        <v>1467</v>
      </c>
      <c r="B737">
        <v>0</v>
      </c>
      <c r="C737">
        <v>0</v>
      </c>
      <c r="D737">
        <v>0</v>
      </c>
      <c r="E737">
        <v>0</v>
      </c>
      <c r="F737">
        <v>0</v>
      </c>
      <c r="G737">
        <v>0</v>
      </c>
      <c r="H737">
        <v>0</v>
      </c>
      <c r="I737" s="2">
        <v>43955</v>
      </c>
      <c r="J737" s="1"/>
    </row>
    <row r="738" spans="1:10" x14ac:dyDescent="0.3">
      <c r="A738">
        <v>2410</v>
      </c>
      <c r="B738">
        <v>0</v>
      </c>
      <c r="C738">
        <v>0</v>
      </c>
      <c r="D738">
        <v>0</v>
      </c>
      <c r="E738">
        <v>0</v>
      </c>
      <c r="F738">
        <v>0</v>
      </c>
      <c r="G738">
        <v>0</v>
      </c>
      <c r="H738">
        <v>0</v>
      </c>
      <c r="I738" s="2">
        <v>43955</v>
      </c>
      <c r="J738" s="1"/>
    </row>
    <row r="739" spans="1:10" x14ac:dyDescent="0.3">
      <c r="A739">
        <v>1774</v>
      </c>
      <c r="B739">
        <v>0</v>
      </c>
      <c r="C739">
        <v>0</v>
      </c>
      <c r="D739">
        <v>0</v>
      </c>
      <c r="E739">
        <v>0</v>
      </c>
      <c r="F739">
        <v>0</v>
      </c>
      <c r="G739">
        <v>0</v>
      </c>
      <c r="H739">
        <v>0</v>
      </c>
      <c r="I739" s="2">
        <v>43925</v>
      </c>
      <c r="J739" s="1"/>
    </row>
    <row r="740" spans="1:10" x14ac:dyDescent="0.3">
      <c r="A740">
        <v>2115</v>
      </c>
      <c r="B740">
        <v>0</v>
      </c>
      <c r="C740">
        <v>1</v>
      </c>
      <c r="D740">
        <v>1</v>
      </c>
      <c r="E740">
        <v>1</v>
      </c>
      <c r="F740">
        <v>0</v>
      </c>
      <c r="G740">
        <v>0</v>
      </c>
      <c r="H740">
        <v>1</v>
      </c>
      <c r="I740" s="2">
        <v>43925</v>
      </c>
      <c r="J740" s="1"/>
    </row>
    <row r="741" spans="1:10" x14ac:dyDescent="0.3">
      <c r="A741">
        <v>2188</v>
      </c>
      <c r="B741">
        <v>0</v>
      </c>
      <c r="C741">
        <v>0</v>
      </c>
      <c r="D741">
        <v>0</v>
      </c>
      <c r="E741">
        <v>0</v>
      </c>
      <c r="F741">
        <v>0</v>
      </c>
      <c r="G741">
        <v>0</v>
      </c>
      <c r="H741">
        <v>0</v>
      </c>
      <c r="I741" s="2">
        <v>43925</v>
      </c>
      <c r="J741" s="1"/>
    </row>
    <row r="742" spans="1:10" x14ac:dyDescent="0.3">
      <c r="A742">
        <v>1227</v>
      </c>
      <c r="B742">
        <v>0</v>
      </c>
      <c r="C742">
        <v>1</v>
      </c>
      <c r="D742">
        <v>0</v>
      </c>
      <c r="E742">
        <v>0</v>
      </c>
      <c r="F742">
        <v>0</v>
      </c>
      <c r="G742">
        <v>0</v>
      </c>
      <c r="H742">
        <v>0</v>
      </c>
      <c r="I742" s="2">
        <v>43894</v>
      </c>
      <c r="J742" s="1"/>
    </row>
    <row r="743" spans="1:10" x14ac:dyDescent="0.3">
      <c r="A743">
        <v>1298</v>
      </c>
      <c r="B743">
        <v>0</v>
      </c>
      <c r="C743">
        <v>0</v>
      </c>
      <c r="D743">
        <v>0</v>
      </c>
      <c r="E743">
        <v>0</v>
      </c>
      <c r="F743">
        <v>0</v>
      </c>
      <c r="G743">
        <v>0</v>
      </c>
      <c r="H743">
        <v>0</v>
      </c>
      <c r="I743" s="2">
        <v>43894</v>
      </c>
      <c r="J743" s="1"/>
    </row>
    <row r="744" spans="1:10" x14ac:dyDescent="0.3">
      <c r="A744">
        <v>1336</v>
      </c>
      <c r="B744">
        <v>0</v>
      </c>
      <c r="C744">
        <v>0</v>
      </c>
      <c r="D744">
        <v>0</v>
      </c>
      <c r="E744">
        <v>0</v>
      </c>
      <c r="F744">
        <v>0</v>
      </c>
      <c r="G744">
        <v>0</v>
      </c>
      <c r="H744">
        <v>1</v>
      </c>
      <c r="I744" s="2">
        <v>43894</v>
      </c>
      <c r="J744" s="1"/>
    </row>
    <row r="745" spans="1:10" x14ac:dyDescent="0.3">
      <c r="A745">
        <v>1597</v>
      </c>
      <c r="B745">
        <v>0</v>
      </c>
      <c r="C745">
        <v>0</v>
      </c>
      <c r="D745">
        <v>0</v>
      </c>
      <c r="E745">
        <v>0</v>
      </c>
      <c r="F745">
        <v>0</v>
      </c>
      <c r="G745">
        <v>0</v>
      </c>
      <c r="H745">
        <v>0</v>
      </c>
      <c r="I745" s="2">
        <v>43894</v>
      </c>
      <c r="J745" s="1"/>
    </row>
    <row r="746" spans="1:10" x14ac:dyDescent="0.3">
      <c r="A746">
        <v>1743</v>
      </c>
      <c r="B746">
        <v>0</v>
      </c>
      <c r="C746">
        <v>0</v>
      </c>
      <c r="D746">
        <v>0</v>
      </c>
      <c r="E746">
        <v>0</v>
      </c>
      <c r="F746">
        <v>0</v>
      </c>
      <c r="G746">
        <v>0</v>
      </c>
      <c r="H746">
        <v>0</v>
      </c>
      <c r="I746" s="2">
        <v>43894</v>
      </c>
      <c r="J746" s="1"/>
    </row>
    <row r="747" spans="1:10" x14ac:dyDescent="0.3">
      <c r="A747">
        <v>2454</v>
      </c>
      <c r="B747">
        <v>0</v>
      </c>
      <c r="C747">
        <v>0</v>
      </c>
      <c r="D747">
        <v>0</v>
      </c>
      <c r="E747">
        <v>0</v>
      </c>
      <c r="F747">
        <v>0</v>
      </c>
      <c r="G747">
        <v>0</v>
      </c>
      <c r="H747">
        <v>0</v>
      </c>
      <c r="I747" s="2">
        <v>43894</v>
      </c>
      <c r="J747" s="1"/>
    </row>
    <row r="748" spans="1:10" x14ac:dyDescent="0.3">
      <c r="A748">
        <v>2549</v>
      </c>
      <c r="B748">
        <v>0</v>
      </c>
      <c r="C748">
        <v>0</v>
      </c>
      <c r="D748">
        <v>0</v>
      </c>
      <c r="E748">
        <v>0</v>
      </c>
      <c r="F748">
        <v>0</v>
      </c>
      <c r="G748">
        <v>0</v>
      </c>
      <c r="H748">
        <v>0</v>
      </c>
      <c r="I748" s="2">
        <v>43894</v>
      </c>
      <c r="J748" s="1"/>
    </row>
    <row r="749" spans="1:10" x14ac:dyDescent="0.3">
      <c r="A749">
        <v>3132</v>
      </c>
      <c r="B749">
        <v>0</v>
      </c>
      <c r="C749">
        <v>0</v>
      </c>
      <c r="D749">
        <v>0</v>
      </c>
      <c r="E749">
        <v>0</v>
      </c>
      <c r="F749">
        <v>0</v>
      </c>
      <c r="G749">
        <v>0</v>
      </c>
      <c r="H749">
        <v>0</v>
      </c>
      <c r="I749" s="2">
        <v>43894</v>
      </c>
      <c r="J749" s="1"/>
    </row>
    <row r="750" spans="1:10" x14ac:dyDescent="0.3">
      <c r="A750">
        <v>1238</v>
      </c>
      <c r="B750">
        <v>0</v>
      </c>
      <c r="C750">
        <v>0</v>
      </c>
      <c r="D750">
        <v>0</v>
      </c>
      <c r="E750">
        <v>0</v>
      </c>
      <c r="F750">
        <v>0</v>
      </c>
      <c r="G750">
        <v>0</v>
      </c>
      <c r="H750">
        <v>0</v>
      </c>
      <c r="I750" s="2">
        <v>43865</v>
      </c>
      <c r="J750" s="1"/>
    </row>
    <row r="751" spans="1:10" x14ac:dyDescent="0.3">
      <c r="A751">
        <v>2193</v>
      </c>
      <c r="B751">
        <v>1</v>
      </c>
      <c r="C751">
        <v>0</v>
      </c>
      <c r="D751">
        <v>0</v>
      </c>
      <c r="E751">
        <v>0</v>
      </c>
      <c r="F751">
        <v>0</v>
      </c>
      <c r="G751">
        <v>0</v>
      </c>
      <c r="H751">
        <v>0</v>
      </c>
      <c r="I751" s="2">
        <v>43865</v>
      </c>
      <c r="J751" s="1"/>
    </row>
    <row r="752" spans="1:10" x14ac:dyDescent="0.3">
      <c r="A752">
        <v>2592</v>
      </c>
      <c r="B752">
        <v>0</v>
      </c>
      <c r="C752">
        <v>0</v>
      </c>
      <c r="D752">
        <v>0</v>
      </c>
      <c r="E752">
        <v>0</v>
      </c>
      <c r="F752">
        <v>0</v>
      </c>
      <c r="G752">
        <v>0</v>
      </c>
      <c r="H752">
        <v>0</v>
      </c>
      <c r="I752" s="2">
        <v>43865</v>
      </c>
      <c r="J752" s="1"/>
    </row>
    <row r="753" spans="1:10" x14ac:dyDescent="0.3">
      <c r="A753">
        <v>2084</v>
      </c>
      <c r="B753">
        <v>0</v>
      </c>
      <c r="C753">
        <v>0</v>
      </c>
      <c r="D753">
        <v>0</v>
      </c>
      <c r="E753">
        <v>0</v>
      </c>
      <c r="F753">
        <v>0</v>
      </c>
      <c r="G753">
        <v>0</v>
      </c>
      <c r="H753">
        <v>0</v>
      </c>
      <c r="I753" s="2">
        <v>43834</v>
      </c>
      <c r="J753" s="1"/>
    </row>
    <row r="754" spans="1:10" x14ac:dyDescent="0.3">
      <c r="A754">
        <v>1968</v>
      </c>
      <c r="B754">
        <v>1</v>
      </c>
      <c r="C754">
        <v>0</v>
      </c>
      <c r="D754">
        <v>1</v>
      </c>
      <c r="E754">
        <v>1</v>
      </c>
      <c r="F754">
        <v>0</v>
      </c>
      <c r="G754">
        <v>0</v>
      </c>
      <c r="H754">
        <v>1</v>
      </c>
      <c r="I754" s="2" t="s">
        <v>157</v>
      </c>
    </row>
    <row r="755" spans="1:10" x14ac:dyDescent="0.3">
      <c r="A755">
        <v>2277</v>
      </c>
      <c r="B755">
        <v>0</v>
      </c>
      <c r="C755">
        <v>0</v>
      </c>
      <c r="D755">
        <v>0</v>
      </c>
      <c r="E755">
        <v>0</v>
      </c>
      <c r="F755">
        <v>0</v>
      </c>
      <c r="G755">
        <v>0</v>
      </c>
      <c r="H755">
        <v>0</v>
      </c>
      <c r="I755" s="2" t="s">
        <v>157</v>
      </c>
    </row>
    <row r="756" spans="1:10" x14ac:dyDescent="0.3">
      <c r="A756">
        <v>2424</v>
      </c>
      <c r="B756">
        <v>0</v>
      </c>
      <c r="C756">
        <v>0</v>
      </c>
      <c r="D756">
        <v>0</v>
      </c>
      <c r="E756">
        <v>0</v>
      </c>
      <c r="F756">
        <v>0</v>
      </c>
      <c r="G756">
        <v>0</v>
      </c>
      <c r="H756">
        <v>0</v>
      </c>
      <c r="I756" s="2" t="s">
        <v>157</v>
      </c>
    </row>
    <row r="757" spans="1:10" x14ac:dyDescent="0.3">
      <c r="A757">
        <v>2484</v>
      </c>
      <c r="B757">
        <v>0</v>
      </c>
      <c r="C757">
        <v>0</v>
      </c>
      <c r="D757">
        <v>0</v>
      </c>
      <c r="E757">
        <v>0</v>
      </c>
      <c r="F757">
        <v>0</v>
      </c>
      <c r="G757">
        <v>0</v>
      </c>
      <c r="H757">
        <v>0</v>
      </c>
      <c r="I757" s="2" t="s">
        <v>157</v>
      </c>
    </row>
    <row r="758" spans="1:10" x14ac:dyDescent="0.3">
      <c r="A758">
        <v>2605</v>
      </c>
      <c r="B758">
        <v>0</v>
      </c>
      <c r="C758">
        <v>0</v>
      </c>
      <c r="D758">
        <v>0</v>
      </c>
      <c r="E758">
        <v>0</v>
      </c>
      <c r="F758">
        <v>0</v>
      </c>
      <c r="G758">
        <v>0</v>
      </c>
      <c r="H758">
        <v>0</v>
      </c>
      <c r="I758" s="2" t="s">
        <v>157</v>
      </c>
    </row>
    <row r="759" spans="1:10" x14ac:dyDescent="0.3">
      <c r="A759">
        <v>2659</v>
      </c>
      <c r="B759">
        <v>0</v>
      </c>
      <c r="C759">
        <v>0</v>
      </c>
      <c r="D759">
        <v>0</v>
      </c>
      <c r="E759">
        <v>0</v>
      </c>
      <c r="F759">
        <v>0</v>
      </c>
      <c r="G759">
        <v>0</v>
      </c>
      <c r="H759">
        <v>0</v>
      </c>
      <c r="I759" s="2" t="s">
        <v>157</v>
      </c>
    </row>
    <row r="760" spans="1:10" x14ac:dyDescent="0.3">
      <c r="A760">
        <v>3035</v>
      </c>
      <c r="B760">
        <v>0</v>
      </c>
      <c r="C760">
        <v>0</v>
      </c>
      <c r="D760">
        <v>0</v>
      </c>
      <c r="E760">
        <v>0</v>
      </c>
      <c r="F760">
        <v>0</v>
      </c>
      <c r="G760">
        <v>0</v>
      </c>
      <c r="H760">
        <v>0</v>
      </c>
      <c r="I760" s="2" t="s">
        <v>157</v>
      </c>
    </row>
    <row r="761" spans="1:10" x14ac:dyDescent="0.3">
      <c r="A761">
        <v>1665</v>
      </c>
      <c r="B761">
        <v>0</v>
      </c>
      <c r="C761">
        <v>0</v>
      </c>
      <c r="D761">
        <v>0</v>
      </c>
      <c r="E761">
        <v>0</v>
      </c>
      <c r="F761">
        <v>0</v>
      </c>
      <c r="G761">
        <v>0</v>
      </c>
      <c r="H761">
        <v>0</v>
      </c>
      <c r="I761" s="2" t="s">
        <v>158</v>
      </c>
    </row>
    <row r="762" spans="1:10" x14ac:dyDescent="0.3">
      <c r="A762">
        <v>1917</v>
      </c>
      <c r="B762">
        <v>0</v>
      </c>
      <c r="C762">
        <v>0</v>
      </c>
      <c r="D762">
        <v>0</v>
      </c>
      <c r="E762">
        <v>0</v>
      </c>
      <c r="F762">
        <v>0</v>
      </c>
      <c r="G762">
        <v>0</v>
      </c>
      <c r="H762">
        <v>0</v>
      </c>
      <c r="I762" s="2" t="s">
        <v>158</v>
      </c>
    </row>
    <row r="763" spans="1:10" x14ac:dyDescent="0.3">
      <c r="A763">
        <v>2878</v>
      </c>
      <c r="B763">
        <v>0</v>
      </c>
      <c r="C763">
        <v>0</v>
      </c>
      <c r="D763">
        <v>0</v>
      </c>
      <c r="E763">
        <v>0</v>
      </c>
      <c r="F763">
        <v>0</v>
      </c>
      <c r="G763">
        <v>0</v>
      </c>
      <c r="H763">
        <v>0</v>
      </c>
      <c r="I763" s="2" t="s">
        <v>158</v>
      </c>
    </row>
    <row r="764" spans="1:10" x14ac:dyDescent="0.3">
      <c r="A764">
        <v>3147</v>
      </c>
      <c r="B764">
        <v>0</v>
      </c>
      <c r="C764">
        <v>0</v>
      </c>
      <c r="D764">
        <v>0</v>
      </c>
      <c r="E764">
        <v>0</v>
      </c>
      <c r="F764">
        <v>0</v>
      </c>
      <c r="G764">
        <v>0</v>
      </c>
      <c r="H764">
        <v>0</v>
      </c>
      <c r="I764" s="2" t="s">
        <v>158</v>
      </c>
    </row>
    <row r="765" spans="1:10" x14ac:dyDescent="0.3">
      <c r="A765">
        <v>1829</v>
      </c>
      <c r="B765">
        <v>0</v>
      </c>
      <c r="C765">
        <v>0</v>
      </c>
      <c r="D765">
        <v>0</v>
      </c>
      <c r="E765">
        <v>0</v>
      </c>
      <c r="F765">
        <v>0</v>
      </c>
      <c r="G765">
        <v>0</v>
      </c>
      <c r="H765">
        <v>0</v>
      </c>
      <c r="I765" s="2" t="s">
        <v>159</v>
      </c>
    </row>
    <row r="766" spans="1:10" x14ac:dyDescent="0.3">
      <c r="A766">
        <v>2737</v>
      </c>
      <c r="B766">
        <v>0</v>
      </c>
      <c r="C766">
        <v>0</v>
      </c>
      <c r="D766">
        <v>0</v>
      </c>
      <c r="E766">
        <v>0</v>
      </c>
      <c r="F766">
        <v>0</v>
      </c>
      <c r="G766">
        <v>0</v>
      </c>
      <c r="H766">
        <v>0</v>
      </c>
      <c r="I766" s="2" t="s">
        <v>159</v>
      </c>
    </row>
    <row r="767" spans="1:10" x14ac:dyDescent="0.3">
      <c r="A767">
        <v>1388</v>
      </c>
      <c r="B767">
        <v>0</v>
      </c>
      <c r="C767">
        <v>1</v>
      </c>
      <c r="D767">
        <v>0</v>
      </c>
      <c r="E767">
        <v>0</v>
      </c>
      <c r="F767">
        <v>0</v>
      </c>
      <c r="G767">
        <v>0</v>
      </c>
      <c r="H767">
        <v>1</v>
      </c>
      <c r="I767" s="2" t="s">
        <v>160</v>
      </c>
    </row>
    <row r="768" spans="1:10" x14ac:dyDescent="0.3">
      <c r="A768">
        <v>1880</v>
      </c>
      <c r="B768">
        <v>0</v>
      </c>
      <c r="C768">
        <v>0</v>
      </c>
      <c r="D768">
        <v>0</v>
      </c>
      <c r="E768">
        <v>0</v>
      </c>
      <c r="F768">
        <v>0</v>
      </c>
      <c r="G768">
        <v>0</v>
      </c>
      <c r="H768">
        <v>0</v>
      </c>
      <c r="I768" s="2" t="s">
        <v>160</v>
      </c>
    </row>
    <row r="769" spans="1:9" x14ac:dyDescent="0.3">
      <c r="A769">
        <v>2941</v>
      </c>
      <c r="B769">
        <v>0</v>
      </c>
      <c r="C769">
        <v>0</v>
      </c>
      <c r="D769">
        <v>0</v>
      </c>
      <c r="E769">
        <v>0</v>
      </c>
      <c r="F769">
        <v>0</v>
      </c>
      <c r="G769">
        <v>0</v>
      </c>
      <c r="H769">
        <v>0</v>
      </c>
      <c r="I769" s="2" t="s">
        <v>160</v>
      </c>
    </row>
    <row r="770" spans="1:9" x14ac:dyDescent="0.3">
      <c r="A770">
        <v>1641</v>
      </c>
      <c r="B770">
        <v>1</v>
      </c>
      <c r="C770">
        <v>0</v>
      </c>
      <c r="D770">
        <v>0</v>
      </c>
      <c r="E770">
        <v>0</v>
      </c>
      <c r="F770">
        <v>0</v>
      </c>
      <c r="G770">
        <v>0</v>
      </c>
      <c r="H770">
        <v>0</v>
      </c>
      <c r="I770" s="2" t="s">
        <v>161</v>
      </c>
    </row>
    <row r="771" spans="1:9" x14ac:dyDescent="0.3">
      <c r="A771">
        <v>1788</v>
      </c>
      <c r="B771">
        <v>0</v>
      </c>
      <c r="C771">
        <v>0</v>
      </c>
      <c r="D771">
        <v>0</v>
      </c>
      <c r="E771">
        <v>0</v>
      </c>
      <c r="F771">
        <v>0</v>
      </c>
      <c r="G771">
        <v>0</v>
      </c>
      <c r="H771">
        <v>0</v>
      </c>
      <c r="I771" s="2" t="s">
        <v>161</v>
      </c>
    </row>
    <row r="772" spans="1:9" x14ac:dyDescent="0.3">
      <c r="A772">
        <v>2331</v>
      </c>
      <c r="B772">
        <v>0</v>
      </c>
      <c r="C772">
        <v>0</v>
      </c>
      <c r="D772">
        <v>0</v>
      </c>
      <c r="E772">
        <v>0</v>
      </c>
      <c r="F772">
        <v>0</v>
      </c>
      <c r="G772">
        <v>0</v>
      </c>
      <c r="H772">
        <v>1</v>
      </c>
      <c r="I772" s="2" t="s">
        <v>161</v>
      </c>
    </row>
    <row r="773" spans="1:9" x14ac:dyDescent="0.3">
      <c r="A773">
        <v>2607</v>
      </c>
      <c r="B773">
        <v>0</v>
      </c>
      <c r="C773">
        <v>0</v>
      </c>
      <c r="D773">
        <v>0</v>
      </c>
      <c r="E773">
        <v>0</v>
      </c>
      <c r="F773">
        <v>0</v>
      </c>
      <c r="G773">
        <v>0</v>
      </c>
      <c r="H773">
        <v>0</v>
      </c>
      <c r="I773" s="2" t="s">
        <v>161</v>
      </c>
    </row>
    <row r="774" spans="1:9" x14ac:dyDescent="0.3">
      <c r="A774">
        <v>2963</v>
      </c>
      <c r="B774">
        <v>0</v>
      </c>
      <c r="C774">
        <v>0</v>
      </c>
      <c r="D774">
        <v>0</v>
      </c>
      <c r="E774">
        <v>0</v>
      </c>
      <c r="F774">
        <v>0</v>
      </c>
      <c r="G774">
        <v>0</v>
      </c>
      <c r="H774">
        <v>0</v>
      </c>
      <c r="I774" s="2" t="s">
        <v>161</v>
      </c>
    </row>
    <row r="775" spans="1:9" x14ac:dyDescent="0.3">
      <c r="A775">
        <v>3060</v>
      </c>
      <c r="B775">
        <v>0</v>
      </c>
      <c r="C775">
        <v>0</v>
      </c>
      <c r="D775">
        <v>0</v>
      </c>
      <c r="E775">
        <v>0</v>
      </c>
      <c r="F775">
        <v>0</v>
      </c>
      <c r="G775">
        <v>0</v>
      </c>
      <c r="H775">
        <v>0</v>
      </c>
      <c r="I775" s="2" t="s">
        <v>161</v>
      </c>
    </row>
    <row r="776" spans="1:9" x14ac:dyDescent="0.3">
      <c r="A776">
        <v>1496</v>
      </c>
      <c r="B776">
        <v>0</v>
      </c>
      <c r="C776">
        <v>1</v>
      </c>
      <c r="D776">
        <v>0</v>
      </c>
      <c r="E776">
        <v>0</v>
      </c>
      <c r="F776">
        <v>0</v>
      </c>
      <c r="G776">
        <v>0</v>
      </c>
      <c r="H776">
        <v>0</v>
      </c>
      <c r="I776" s="2" t="s">
        <v>162</v>
      </c>
    </row>
    <row r="777" spans="1:9" x14ac:dyDescent="0.3">
      <c r="A777">
        <v>1566</v>
      </c>
      <c r="B777">
        <v>0</v>
      </c>
      <c r="C777">
        <v>0</v>
      </c>
      <c r="D777">
        <v>0</v>
      </c>
      <c r="E777">
        <v>0</v>
      </c>
      <c r="F777">
        <v>0</v>
      </c>
      <c r="G777">
        <v>0</v>
      </c>
      <c r="H777">
        <v>0</v>
      </c>
      <c r="I777" s="2" t="s">
        <v>162</v>
      </c>
    </row>
    <row r="778" spans="1:9" x14ac:dyDescent="0.3">
      <c r="A778">
        <v>2744</v>
      </c>
      <c r="B778">
        <v>1</v>
      </c>
      <c r="C778">
        <v>0</v>
      </c>
      <c r="D778">
        <v>0</v>
      </c>
      <c r="E778">
        <v>0</v>
      </c>
      <c r="F778">
        <v>0</v>
      </c>
      <c r="G778">
        <v>0</v>
      </c>
      <c r="H778">
        <v>0</v>
      </c>
      <c r="I778" s="2" t="s">
        <v>162</v>
      </c>
    </row>
    <row r="779" spans="1:9" x14ac:dyDescent="0.3">
      <c r="A779">
        <v>2870</v>
      </c>
      <c r="B779">
        <v>0</v>
      </c>
      <c r="C779">
        <v>0</v>
      </c>
      <c r="D779">
        <v>0</v>
      </c>
      <c r="E779">
        <v>0</v>
      </c>
      <c r="F779">
        <v>0</v>
      </c>
      <c r="G779">
        <v>0</v>
      </c>
      <c r="H779">
        <v>0</v>
      </c>
      <c r="I779" s="2" t="s">
        <v>162</v>
      </c>
    </row>
    <row r="780" spans="1:9" x14ac:dyDescent="0.3">
      <c r="A780">
        <v>1581</v>
      </c>
      <c r="B780">
        <v>0</v>
      </c>
      <c r="C780">
        <v>0</v>
      </c>
      <c r="D780">
        <v>0</v>
      </c>
      <c r="E780">
        <v>0</v>
      </c>
      <c r="F780">
        <v>0</v>
      </c>
      <c r="G780">
        <v>0</v>
      </c>
      <c r="H780">
        <v>0</v>
      </c>
      <c r="I780" s="2" t="s">
        <v>163</v>
      </c>
    </row>
    <row r="781" spans="1:9" x14ac:dyDescent="0.3">
      <c r="A781">
        <v>3042</v>
      </c>
      <c r="B781">
        <v>0</v>
      </c>
      <c r="C781">
        <v>0</v>
      </c>
      <c r="D781">
        <v>0</v>
      </c>
      <c r="E781">
        <v>0</v>
      </c>
      <c r="F781">
        <v>0</v>
      </c>
      <c r="G781">
        <v>0</v>
      </c>
      <c r="H781">
        <v>0</v>
      </c>
      <c r="I781" s="2" t="s">
        <v>163</v>
      </c>
    </row>
    <row r="782" spans="1:9" x14ac:dyDescent="0.3">
      <c r="A782">
        <v>1662</v>
      </c>
      <c r="B782">
        <v>0</v>
      </c>
      <c r="C782">
        <v>0</v>
      </c>
      <c r="D782">
        <v>0</v>
      </c>
      <c r="E782">
        <v>0</v>
      </c>
      <c r="F782">
        <v>0</v>
      </c>
      <c r="G782">
        <v>0</v>
      </c>
      <c r="H782">
        <v>0</v>
      </c>
      <c r="I782" s="2" t="s">
        <v>164</v>
      </c>
    </row>
    <row r="783" spans="1:9" x14ac:dyDescent="0.3">
      <c r="A783">
        <v>2235</v>
      </c>
      <c r="B783">
        <v>0</v>
      </c>
      <c r="C783">
        <v>0</v>
      </c>
      <c r="D783">
        <v>0</v>
      </c>
      <c r="E783">
        <v>0</v>
      </c>
      <c r="F783">
        <v>0</v>
      </c>
      <c r="G783">
        <v>0</v>
      </c>
      <c r="H783">
        <v>0</v>
      </c>
      <c r="I783" s="2" t="s">
        <v>164</v>
      </c>
    </row>
    <row r="784" spans="1:9" x14ac:dyDescent="0.3">
      <c r="A784">
        <v>1148</v>
      </c>
      <c r="B784">
        <v>0</v>
      </c>
      <c r="C784">
        <v>0</v>
      </c>
      <c r="D784">
        <v>0</v>
      </c>
      <c r="E784">
        <v>0</v>
      </c>
      <c r="F784">
        <v>0</v>
      </c>
      <c r="G784">
        <v>0</v>
      </c>
      <c r="H784">
        <v>0</v>
      </c>
      <c r="I784" s="2" t="s">
        <v>165</v>
      </c>
    </row>
    <row r="785" spans="1:9" x14ac:dyDescent="0.3">
      <c r="A785">
        <v>1436</v>
      </c>
      <c r="B785">
        <v>0</v>
      </c>
      <c r="C785">
        <v>0</v>
      </c>
      <c r="D785">
        <v>0</v>
      </c>
      <c r="E785">
        <v>0</v>
      </c>
      <c r="F785">
        <v>0</v>
      </c>
      <c r="G785">
        <v>0</v>
      </c>
      <c r="H785">
        <v>0</v>
      </c>
      <c r="I785" s="2" t="s">
        <v>165</v>
      </c>
    </row>
    <row r="786" spans="1:9" x14ac:dyDescent="0.3">
      <c r="A786">
        <v>2967</v>
      </c>
      <c r="B786">
        <v>0</v>
      </c>
      <c r="C786">
        <v>0</v>
      </c>
      <c r="D786">
        <v>1</v>
      </c>
      <c r="E786">
        <v>0</v>
      </c>
      <c r="F786">
        <v>0</v>
      </c>
      <c r="G786">
        <v>0</v>
      </c>
      <c r="H786">
        <v>1</v>
      </c>
      <c r="I786" s="2" t="s">
        <v>165</v>
      </c>
    </row>
    <row r="787" spans="1:9" x14ac:dyDescent="0.3">
      <c r="A787">
        <v>3002</v>
      </c>
      <c r="B787">
        <v>0</v>
      </c>
      <c r="C787">
        <v>0</v>
      </c>
      <c r="D787">
        <v>0</v>
      </c>
      <c r="E787">
        <v>0</v>
      </c>
      <c r="F787">
        <v>0</v>
      </c>
      <c r="G787">
        <v>0</v>
      </c>
      <c r="H787">
        <v>0</v>
      </c>
      <c r="I787" s="2" t="s">
        <v>165</v>
      </c>
    </row>
    <row r="788" spans="1:9" x14ac:dyDescent="0.3">
      <c r="A788">
        <v>1370</v>
      </c>
      <c r="B788">
        <v>0</v>
      </c>
      <c r="C788">
        <v>1</v>
      </c>
      <c r="D788">
        <v>0</v>
      </c>
      <c r="E788">
        <v>0</v>
      </c>
      <c r="F788">
        <v>0</v>
      </c>
      <c r="G788">
        <v>0</v>
      </c>
      <c r="H788">
        <v>1</v>
      </c>
      <c r="I788" s="2" t="s">
        <v>166</v>
      </c>
    </row>
    <row r="789" spans="1:9" x14ac:dyDescent="0.3">
      <c r="A789">
        <v>1714</v>
      </c>
      <c r="B789">
        <v>0</v>
      </c>
      <c r="C789">
        <v>0</v>
      </c>
      <c r="D789">
        <v>0</v>
      </c>
      <c r="E789">
        <v>0</v>
      </c>
      <c r="F789">
        <v>0</v>
      </c>
      <c r="G789">
        <v>0</v>
      </c>
      <c r="H789">
        <v>0</v>
      </c>
      <c r="I789" s="2" t="s">
        <v>166</v>
      </c>
    </row>
    <row r="790" spans="1:9" x14ac:dyDescent="0.3">
      <c r="A790">
        <v>1791</v>
      </c>
      <c r="B790">
        <v>0</v>
      </c>
      <c r="C790">
        <v>0</v>
      </c>
      <c r="D790">
        <v>0</v>
      </c>
      <c r="E790">
        <v>0</v>
      </c>
      <c r="F790">
        <v>0</v>
      </c>
      <c r="G790">
        <v>0</v>
      </c>
      <c r="H790">
        <v>0</v>
      </c>
      <c r="I790" s="2" t="s">
        <v>166</v>
      </c>
    </row>
    <row r="791" spans="1:9" x14ac:dyDescent="0.3">
      <c r="A791">
        <v>2097</v>
      </c>
      <c r="B791">
        <v>1</v>
      </c>
      <c r="C791">
        <v>0</v>
      </c>
      <c r="D791">
        <v>0</v>
      </c>
      <c r="E791">
        <v>0</v>
      </c>
      <c r="F791">
        <v>0</v>
      </c>
      <c r="G791">
        <v>0</v>
      </c>
      <c r="H791">
        <v>1</v>
      </c>
      <c r="I791" s="2" t="s">
        <v>166</v>
      </c>
    </row>
    <row r="792" spans="1:9" x14ac:dyDescent="0.3">
      <c r="A792">
        <v>2318</v>
      </c>
      <c r="B792">
        <v>0</v>
      </c>
      <c r="C792">
        <v>0</v>
      </c>
      <c r="D792">
        <v>0</v>
      </c>
      <c r="E792">
        <v>0</v>
      </c>
      <c r="F792">
        <v>0</v>
      </c>
      <c r="G792">
        <v>0</v>
      </c>
      <c r="H792">
        <v>0</v>
      </c>
      <c r="I792" s="2" t="s">
        <v>166</v>
      </c>
    </row>
    <row r="793" spans="1:9" x14ac:dyDescent="0.3">
      <c r="A793">
        <v>2458</v>
      </c>
      <c r="B793">
        <v>0</v>
      </c>
      <c r="C793">
        <v>0</v>
      </c>
      <c r="D793">
        <v>0</v>
      </c>
      <c r="E793">
        <v>0</v>
      </c>
      <c r="F793">
        <v>0</v>
      </c>
      <c r="G793">
        <v>0</v>
      </c>
      <c r="H793">
        <v>0</v>
      </c>
      <c r="I793" s="2" t="s">
        <v>166</v>
      </c>
    </row>
    <row r="794" spans="1:9" x14ac:dyDescent="0.3">
      <c r="A794">
        <v>2421</v>
      </c>
      <c r="B794">
        <v>0</v>
      </c>
      <c r="C794">
        <v>0</v>
      </c>
      <c r="D794">
        <v>0</v>
      </c>
      <c r="E794">
        <v>0</v>
      </c>
      <c r="F794">
        <v>0</v>
      </c>
      <c r="G794">
        <v>0</v>
      </c>
      <c r="H794">
        <v>0</v>
      </c>
      <c r="I794" s="2" t="s">
        <v>167</v>
      </c>
    </row>
    <row r="795" spans="1:9" x14ac:dyDescent="0.3">
      <c r="A795">
        <v>2573</v>
      </c>
      <c r="B795">
        <v>1</v>
      </c>
      <c r="C795">
        <v>0</v>
      </c>
      <c r="D795">
        <v>0</v>
      </c>
      <c r="E795">
        <v>0</v>
      </c>
      <c r="F795">
        <v>0</v>
      </c>
      <c r="G795">
        <v>0</v>
      </c>
      <c r="H795">
        <v>0</v>
      </c>
      <c r="I795" s="2" t="s">
        <v>167</v>
      </c>
    </row>
    <row r="796" spans="1:9" x14ac:dyDescent="0.3">
      <c r="A796">
        <v>1190</v>
      </c>
      <c r="B796">
        <v>0</v>
      </c>
      <c r="C796">
        <v>0</v>
      </c>
      <c r="D796">
        <v>0</v>
      </c>
      <c r="E796">
        <v>0</v>
      </c>
      <c r="F796">
        <v>0</v>
      </c>
      <c r="G796">
        <v>0</v>
      </c>
      <c r="H796">
        <v>0</v>
      </c>
      <c r="I796" s="2" t="s">
        <v>168</v>
      </c>
    </row>
    <row r="797" spans="1:9" x14ac:dyDescent="0.3">
      <c r="A797">
        <v>1944</v>
      </c>
      <c r="B797">
        <v>0</v>
      </c>
      <c r="C797">
        <v>0</v>
      </c>
      <c r="D797">
        <v>0</v>
      </c>
      <c r="E797">
        <v>0</v>
      </c>
      <c r="F797">
        <v>0</v>
      </c>
      <c r="G797">
        <v>0</v>
      </c>
      <c r="H797">
        <v>0</v>
      </c>
      <c r="I797" s="2" t="s">
        <v>168</v>
      </c>
    </row>
    <row r="798" spans="1:9" x14ac:dyDescent="0.3">
      <c r="A798">
        <v>1964</v>
      </c>
      <c r="B798">
        <v>0</v>
      </c>
      <c r="C798">
        <v>0</v>
      </c>
      <c r="D798">
        <v>0</v>
      </c>
      <c r="E798">
        <v>0</v>
      </c>
      <c r="F798">
        <v>0</v>
      </c>
      <c r="G798">
        <v>0</v>
      </c>
      <c r="H798">
        <v>0</v>
      </c>
      <c r="I798" s="2" t="s">
        <v>168</v>
      </c>
    </row>
    <row r="799" spans="1:9" x14ac:dyDescent="0.3">
      <c r="A799">
        <v>2838</v>
      </c>
      <c r="B799">
        <v>0</v>
      </c>
      <c r="C799">
        <v>0</v>
      </c>
      <c r="D799">
        <v>0</v>
      </c>
      <c r="E799">
        <v>0</v>
      </c>
      <c r="F799">
        <v>0</v>
      </c>
      <c r="G799">
        <v>0</v>
      </c>
      <c r="H799">
        <v>0</v>
      </c>
      <c r="I799" s="2" t="s">
        <v>168</v>
      </c>
    </row>
    <row r="800" spans="1:9" x14ac:dyDescent="0.3">
      <c r="A800">
        <v>2028</v>
      </c>
      <c r="B800">
        <v>0</v>
      </c>
      <c r="C800">
        <v>0</v>
      </c>
      <c r="D800">
        <v>0</v>
      </c>
      <c r="E800">
        <v>0</v>
      </c>
      <c r="F800">
        <v>0</v>
      </c>
      <c r="G800">
        <v>0</v>
      </c>
      <c r="H800">
        <v>0</v>
      </c>
      <c r="I800" s="2" t="s">
        <v>169</v>
      </c>
    </row>
    <row r="801" spans="1:9" x14ac:dyDescent="0.3">
      <c r="A801">
        <v>2145</v>
      </c>
      <c r="B801">
        <v>0</v>
      </c>
      <c r="C801">
        <v>0</v>
      </c>
      <c r="D801">
        <v>0</v>
      </c>
      <c r="E801">
        <v>0</v>
      </c>
      <c r="F801">
        <v>0</v>
      </c>
      <c r="G801">
        <v>0</v>
      </c>
      <c r="H801">
        <v>0</v>
      </c>
      <c r="I801" s="2" t="s">
        <v>169</v>
      </c>
    </row>
    <row r="802" spans="1:9" x14ac:dyDescent="0.3">
      <c r="A802">
        <v>2397</v>
      </c>
      <c r="B802">
        <v>0</v>
      </c>
      <c r="C802">
        <v>0</v>
      </c>
      <c r="D802">
        <v>0</v>
      </c>
      <c r="E802">
        <v>0</v>
      </c>
      <c r="F802">
        <v>0</v>
      </c>
      <c r="G802">
        <v>0</v>
      </c>
      <c r="H802">
        <v>0</v>
      </c>
      <c r="I802" s="2" t="s">
        <v>169</v>
      </c>
    </row>
    <row r="803" spans="1:9" x14ac:dyDescent="0.3">
      <c r="A803">
        <v>1288</v>
      </c>
      <c r="B803">
        <v>0</v>
      </c>
      <c r="C803">
        <v>0</v>
      </c>
      <c r="D803">
        <v>0</v>
      </c>
      <c r="E803">
        <v>0</v>
      </c>
      <c r="F803">
        <v>0</v>
      </c>
      <c r="G803">
        <v>0</v>
      </c>
      <c r="H803">
        <v>0</v>
      </c>
      <c r="I803" s="2" t="s">
        <v>170</v>
      </c>
    </row>
    <row r="804" spans="1:9" x14ac:dyDescent="0.3">
      <c r="A804">
        <v>2067</v>
      </c>
      <c r="B804">
        <v>0</v>
      </c>
      <c r="C804">
        <v>0</v>
      </c>
      <c r="D804">
        <v>0</v>
      </c>
      <c r="E804">
        <v>0</v>
      </c>
      <c r="F804">
        <v>0</v>
      </c>
      <c r="G804">
        <v>0</v>
      </c>
      <c r="H804">
        <v>0</v>
      </c>
      <c r="I804" s="2" t="s">
        <v>170</v>
      </c>
    </row>
    <row r="805" spans="1:9" x14ac:dyDescent="0.3">
      <c r="A805">
        <v>2191</v>
      </c>
      <c r="B805">
        <v>0</v>
      </c>
      <c r="C805">
        <v>1</v>
      </c>
      <c r="D805">
        <v>0</v>
      </c>
      <c r="E805">
        <v>0</v>
      </c>
      <c r="F805">
        <v>0</v>
      </c>
      <c r="G805">
        <v>0</v>
      </c>
      <c r="H805">
        <v>0</v>
      </c>
      <c r="I805" s="2" t="s">
        <v>170</v>
      </c>
    </row>
    <row r="806" spans="1:9" x14ac:dyDescent="0.3">
      <c r="A806">
        <v>2207</v>
      </c>
      <c r="B806">
        <v>0</v>
      </c>
      <c r="C806">
        <v>1</v>
      </c>
      <c r="D806">
        <v>0</v>
      </c>
      <c r="E806">
        <v>0</v>
      </c>
      <c r="F806">
        <v>0</v>
      </c>
      <c r="G806">
        <v>0</v>
      </c>
      <c r="H806">
        <v>0</v>
      </c>
      <c r="I806" s="2" t="s">
        <v>170</v>
      </c>
    </row>
    <row r="807" spans="1:9" x14ac:dyDescent="0.3">
      <c r="A807">
        <v>2526</v>
      </c>
      <c r="B807">
        <v>0</v>
      </c>
      <c r="C807">
        <v>0</v>
      </c>
      <c r="D807">
        <v>0</v>
      </c>
      <c r="E807">
        <v>0</v>
      </c>
      <c r="F807">
        <v>0</v>
      </c>
      <c r="G807">
        <v>0</v>
      </c>
      <c r="H807">
        <v>0</v>
      </c>
      <c r="I807" s="2" t="s">
        <v>170</v>
      </c>
    </row>
    <row r="808" spans="1:9" x14ac:dyDescent="0.3">
      <c r="A808">
        <v>3117</v>
      </c>
      <c r="B808">
        <v>0</v>
      </c>
      <c r="C808">
        <v>0</v>
      </c>
      <c r="D808">
        <v>0</v>
      </c>
      <c r="E808">
        <v>0</v>
      </c>
      <c r="F808">
        <v>0</v>
      </c>
      <c r="G808">
        <v>0</v>
      </c>
      <c r="H808">
        <v>0</v>
      </c>
      <c r="I808" s="2" t="s">
        <v>170</v>
      </c>
    </row>
    <row r="809" spans="1:9" x14ac:dyDescent="0.3">
      <c r="A809">
        <v>1709</v>
      </c>
      <c r="B809">
        <v>0</v>
      </c>
      <c r="C809">
        <v>0</v>
      </c>
      <c r="D809">
        <v>0</v>
      </c>
      <c r="E809">
        <v>0</v>
      </c>
      <c r="F809">
        <v>0</v>
      </c>
      <c r="G809">
        <v>0</v>
      </c>
      <c r="H809">
        <v>0</v>
      </c>
      <c r="I809" s="2" t="s">
        <v>171</v>
      </c>
    </row>
    <row r="810" spans="1:9" x14ac:dyDescent="0.3">
      <c r="A810">
        <v>1958</v>
      </c>
      <c r="B810">
        <v>0</v>
      </c>
      <c r="C810">
        <v>0</v>
      </c>
      <c r="D810">
        <v>0</v>
      </c>
      <c r="E810">
        <v>0</v>
      </c>
      <c r="F810">
        <v>0</v>
      </c>
      <c r="G810">
        <v>0</v>
      </c>
      <c r="H810">
        <v>0</v>
      </c>
      <c r="I810" s="2" t="s">
        <v>171</v>
      </c>
    </row>
    <row r="811" spans="1:9" x14ac:dyDescent="0.3">
      <c r="A811">
        <v>2366</v>
      </c>
      <c r="B811">
        <v>0</v>
      </c>
      <c r="C811">
        <v>0</v>
      </c>
      <c r="D811">
        <v>0</v>
      </c>
      <c r="E811">
        <v>0</v>
      </c>
      <c r="F811">
        <v>0</v>
      </c>
      <c r="G811">
        <v>0</v>
      </c>
      <c r="H811">
        <v>0</v>
      </c>
      <c r="I811" s="2" t="s">
        <v>171</v>
      </c>
    </row>
    <row r="812" spans="1:9" x14ac:dyDescent="0.3">
      <c r="A812">
        <v>2796</v>
      </c>
      <c r="B812">
        <v>0</v>
      </c>
      <c r="C812">
        <v>0</v>
      </c>
      <c r="D812">
        <v>0</v>
      </c>
      <c r="E812">
        <v>0</v>
      </c>
      <c r="F812">
        <v>0</v>
      </c>
      <c r="G812">
        <v>0</v>
      </c>
      <c r="H812">
        <v>0</v>
      </c>
      <c r="I812" s="2" t="s">
        <v>171</v>
      </c>
    </row>
    <row r="813" spans="1:9" x14ac:dyDescent="0.3">
      <c r="A813">
        <v>1455</v>
      </c>
      <c r="B813">
        <v>0</v>
      </c>
      <c r="C813">
        <v>0</v>
      </c>
      <c r="D813">
        <v>0</v>
      </c>
      <c r="E813">
        <v>0</v>
      </c>
      <c r="F813">
        <v>0</v>
      </c>
      <c r="G813">
        <v>0</v>
      </c>
      <c r="H813">
        <v>1</v>
      </c>
      <c r="I813" s="2" t="s">
        <v>172</v>
      </c>
    </row>
    <row r="814" spans="1:9" x14ac:dyDescent="0.3">
      <c r="A814">
        <v>2112</v>
      </c>
      <c r="B814">
        <v>0</v>
      </c>
      <c r="C814">
        <v>0</v>
      </c>
      <c r="D814">
        <v>0</v>
      </c>
      <c r="E814">
        <v>0</v>
      </c>
      <c r="F814">
        <v>0</v>
      </c>
      <c r="G814">
        <v>0</v>
      </c>
      <c r="H814">
        <v>0</v>
      </c>
      <c r="I814" s="2" t="s">
        <v>172</v>
      </c>
    </row>
    <row r="815" spans="1:9" x14ac:dyDescent="0.3">
      <c r="A815">
        <v>1430</v>
      </c>
      <c r="B815">
        <v>0</v>
      </c>
      <c r="C815">
        <v>0</v>
      </c>
      <c r="D815">
        <v>0</v>
      </c>
      <c r="E815">
        <v>0</v>
      </c>
      <c r="F815">
        <v>0</v>
      </c>
      <c r="G815">
        <v>0</v>
      </c>
      <c r="H815">
        <v>0</v>
      </c>
      <c r="I815" s="2" t="s">
        <v>173</v>
      </c>
    </row>
    <row r="816" spans="1:9" x14ac:dyDescent="0.3">
      <c r="A816">
        <v>1715</v>
      </c>
      <c r="B816">
        <v>0</v>
      </c>
      <c r="C816">
        <v>1</v>
      </c>
      <c r="D816">
        <v>1</v>
      </c>
      <c r="E816">
        <v>1</v>
      </c>
      <c r="F816">
        <v>0</v>
      </c>
      <c r="G816">
        <v>0</v>
      </c>
      <c r="H816">
        <v>0</v>
      </c>
      <c r="I816" s="2" t="s">
        <v>173</v>
      </c>
    </row>
    <row r="817" spans="1:10" x14ac:dyDescent="0.3">
      <c r="A817">
        <v>1982</v>
      </c>
      <c r="B817">
        <v>0</v>
      </c>
      <c r="C817">
        <v>0</v>
      </c>
      <c r="D817">
        <v>1</v>
      </c>
      <c r="E817">
        <v>1</v>
      </c>
      <c r="F817">
        <v>0</v>
      </c>
      <c r="G817">
        <v>0</v>
      </c>
      <c r="H817">
        <v>1</v>
      </c>
      <c r="I817" s="2" t="s">
        <v>173</v>
      </c>
    </row>
    <row r="818" spans="1:10" x14ac:dyDescent="0.3">
      <c r="A818">
        <v>1343</v>
      </c>
      <c r="B818">
        <v>0</v>
      </c>
      <c r="C818">
        <v>0</v>
      </c>
      <c r="D818">
        <v>0</v>
      </c>
      <c r="E818">
        <v>0</v>
      </c>
      <c r="F818">
        <v>0</v>
      </c>
      <c r="G818">
        <v>0</v>
      </c>
      <c r="H818">
        <v>0</v>
      </c>
      <c r="I818" s="2" t="s">
        <v>174</v>
      </c>
    </row>
    <row r="819" spans="1:10" x14ac:dyDescent="0.3">
      <c r="A819">
        <v>2081</v>
      </c>
      <c r="B819">
        <v>1</v>
      </c>
      <c r="C819">
        <v>0</v>
      </c>
      <c r="D819">
        <v>1</v>
      </c>
      <c r="E819">
        <v>1</v>
      </c>
      <c r="F819">
        <v>0</v>
      </c>
      <c r="G819">
        <v>0</v>
      </c>
      <c r="H819">
        <v>1</v>
      </c>
      <c r="I819" s="2" t="s">
        <v>174</v>
      </c>
    </row>
    <row r="820" spans="1:10" x14ac:dyDescent="0.3">
      <c r="A820">
        <v>2246</v>
      </c>
      <c r="B820">
        <v>1</v>
      </c>
      <c r="C820">
        <v>0</v>
      </c>
      <c r="D820">
        <v>1</v>
      </c>
      <c r="E820">
        <v>1</v>
      </c>
      <c r="F820">
        <v>0</v>
      </c>
      <c r="G820">
        <v>0</v>
      </c>
      <c r="H820">
        <v>1</v>
      </c>
      <c r="I820" s="2" t="s">
        <v>174</v>
      </c>
    </row>
    <row r="821" spans="1:10" x14ac:dyDescent="0.3">
      <c r="A821">
        <v>2610</v>
      </c>
      <c r="B821">
        <v>0</v>
      </c>
      <c r="C821">
        <v>0</v>
      </c>
      <c r="D821">
        <v>0</v>
      </c>
      <c r="E821">
        <v>0</v>
      </c>
      <c r="F821">
        <v>0</v>
      </c>
      <c r="G821">
        <v>0</v>
      </c>
      <c r="H821">
        <v>0</v>
      </c>
      <c r="I821" s="2" t="s">
        <v>174</v>
      </c>
    </row>
    <row r="822" spans="1:10" x14ac:dyDescent="0.3">
      <c r="A822">
        <v>2655</v>
      </c>
      <c r="B822">
        <v>0</v>
      </c>
      <c r="C822">
        <v>0</v>
      </c>
      <c r="D822">
        <v>0</v>
      </c>
      <c r="E822">
        <v>1</v>
      </c>
      <c r="F822">
        <v>0</v>
      </c>
      <c r="G822">
        <v>0</v>
      </c>
      <c r="H822">
        <v>0</v>
      </c>
      <c r="I822" s="2" t="s">
        <v>174</v>
      </c>
    </row>
    <row r="823" spans="1:10" x14ac:dyDescent="0.3">
      <c r="A823">
        <v>2805</v>
      </c>
      <c r="B823">
        <v>0</v>
      </c>
      <c r="C823">
        <v>0</v>
      </c>
      <c r="D823">
        <v>0</v>
      </c>
      <c r="E823">
        <v>0</v>
      </c>
      <c r="F823">
        <v>0</v>
      </c>
      <c r="G823">
        <v>0</v>
      </c>
      <c r="H823">
        <v>0</v>
      </c>
      <c r="I823" s="2" t="s">
        <v>174</v>
      </c>
    </row>
    <row r="824" spans="1:10" x14ac:dyDescent="0.3">
      <c r="A824">
        <v>1379</v>
      </c>
      <c r="B824">
        <v>0</v>
      </c>
      <c r="C824">
        <v>0</v>
      </c>
      <c r="D824">
        <v>0</v>
      </c>
      <c r="E824">
        <v>0</v>
      </c>
      <c r="F824">
        <v>0</v>
      </c>
      <c r="G824">
        <v>0</v>
      </c>
      <c r="H824">
        <v>0</v>
      </c>
      <c r="I824" s="2">
        <v>44168</v>
      </c>
      <c r="J824" s="1"/>
    </row>
    <row r="825" spans="1:10" x14ac:dyDescent="0.3">
      <c r="A825">
        <v>1855</v>
      </c>
      <c r="B825">
        <v>0</v>
      </c>
      <c r="C825">
        <v>0</v>
      </c>
      <c r="D825">
        <v>0</v>
      </c>
      <c r="E825">
        <v>0</v>
      </c>
      <c r="F825">
        <v>0</v>
      </c>
      <c r="G825">
        <v>0</v>
      </c>
      <c r="H825">
        <v>0</v>
      </c>
      <c r="I825" s="2">
        <v>44168</v>
      </c>
      <c r="J825" s="1"/>
    </row>
    <row r="826" spans="1:10" x14ac:dyDescent="0.3">
      <c r="A826">
        <v>2101</v>
      </c>
      <c r="B826">
        <v>0</v>
      </c>
      <c r="C826">
        <v>0</v>
      </c>
      <c r="D826">
        <v>0</v>
      </c>
      <c r="E826">
        <v>0</v>
      </c>
      <c r="F826">
        <v>0</v>
      </c>
      <c r="G826">
        <v>0</v>
      </c>
      <c r="H826">
        <v>0</v>
      </c>
      <c r="I826" s="2">
        <v>44168</v>
      </c>
      <c r="J826" s="1"/>
    </row>
    <row r="827" spans="1:10" x14ac:dyDescent="0.3">
      <c r="A827">
        <v>2199</v>
      </c>
      <c r="B827">
        <v>0</v>
      </c>
      <c r="C827">
        <v>0</v>
      </c>
      <c r="D827">
        <v>0</v>
      </c>
      <c r="E827">
        <v>0</v>
      </c>
      <c r="F827">
        <v>0</v>
      </c>
      <c r="G827">
        <v>0</v>
      </c>
      <c r="H827">
        <v>0</v>
      </c>
      <c r="I827" s="2">
        <v>44168</v>
      </c>
      <c r="J827" s="1"/>
    </row>
    <row r="828" spans="1:10" x14ac:dyDescent="0.3">
      <c r="A828">
        <v>2591</v>
      </c>
      <c r="B828">
        <v>0</v>
      </c>
      <c r="C828">
        <v>0</v>
      </c>
      <c r="D828">
        <v>0</v>
      </c>
      <c r="E828">
        <v>0</v>
      </c>
      <c r="F828">
        <v>0</v>
      </c>
      <c r="G828">
        <v>0</v>
      </c>
      <c r="H828">
        <v>0</v>
      </c>
      <c r="I828" s="2">
        <v>44138</v>
      </c>
      <c r="J828" s="1"/>
    </row>
    <row r="829" spans="1:10" x14ac:dyDescent="0.3">
      <c r="A829">
        <v>2950</v>
      </c>
      <c r="B829">
        <v>0</v>
      </c>
      <c r="C829">
        <v>0</v>
      </c>
      <c r="D829">
        <v>0</v>
      </c>
      <c r="E829">
        <v>0</v>
      </c>
      <c r="F829">
        <v>0</v>
      </c>
      <c r="G829">
        <v>0</v>
      </c>
      <c r="H829">
        <v>0</v>
      </c>
      <c r="I829" s="2">
        <v>44138</v>
      </c>
      <c r="J829" s="1"/>
    </row>
    <row r="830" spans="1:10" x14ac:dyDescent="0.3">
      <c r="A830">
        <v>1225</v>
      </c>
      <c r="B830">
        <v>0</v>
      </c>
      <c r="C830">
        <v>0</v>
      </c>
      <c r="D830">
        <v>0</v>
      </c>
      <c r="E830">
        <v>0</v>
      </c>
      <c r="F830">
        <v>0</v>
      </c>
      <c r="G830">
        <v>0</v>
      </c>
      <c r="H830">
        <v>0</v>
      </c>
      <c r="I830" s="2">
        <v>44107</v>
      </c>
      <c r="J830" s="1"/>
    </row>
    <row r="831" spans="1:10" x14ac:dyDescent="0.3">
      <c r="A831">
        <v>1256</v>
      </c>
      <c r="B831">
        <v>0</v>
      </c>
      <c r="C831">
        <v>0</v>
      </c>
      <c r="D831">
        <v>0</v>
      </c>
      <c r="E831">
        <v>0</v>
      </c>
      <c r="F831">
        <v>0</v>
      </c>
      <c r="G831">
        <v>0</v>
      </c>
      <c r="H831">
        <v>0</v>
      </c>
      <c r="I831" s="2">
        <v>44107</v>
      </c>
      <c r="J831" s="1"/>
    </row>
    <row r="832" spans="1:10" x14ac:dyDescent="0.3">
      <c r="A832">
        <v>2218</v>
      </c>
      <c r="B832">
        <v>0</v>
      </c>
      <c r="C832">
        <v>1</v>
      </c>
      <c r="D832">
        <v>1</v>
      </c>
      <c r="E832">
        <v>0</v>
      </c>
      <c r="F832">
        <v>1</v>
      </c>
      <c r="G832">
        <v>0</v>
      </c>
      <c r="H832">
        <v>0</v>
      </c>
      <c r="I832" s="2">
        <v>44107</v>
      </c>
      <c r="J832" s="1"/>
    </row>
    <row r="833" spans="1:10" x14ac:dyDescent="0.3">
      <c r="A833">
        <v>2339</v>
      </c>
      <c r="B833">
        <v>0</v>
      </c>
      <c r="C833">
        <v>0</v>
      </c>
      <c r="D833">
        <v>0</v>
      </c>
      <c r="E833">
        <v>0</v>
      </c>
      <c r="F833">
        <v>0</v>
      </c>
      <c r="G833">
        <v>0</v>
      </c>
      <c r="H833">
        <v>0</v>
      </c>
      <c r="I833" s="2">
        <v>44107</v>
      </c>
      <c r="J833" s="1"/>
    </row>
    <row r="834" spans="1:10" x14ac:dyDescent="0.3">
      <c r="A834">
        <v>2797</v>
      </c>
      <c r="B834">
        <v>0</v>
      </c>
      <c r="C834">
        <v>0</v>
      </c>
      <c r="D834">
        <v>0</v>
      </c>
      <c r="E834">
        <v>0</v>
      </c>
      <c r="F834">
        <v>0</v>
      </c>
      <c r="G834">
        <v>0</v>
      </c>
      <c r="H834">
        <v>0</v>
      </c>
      <c r="I834" s="2">
        <v>44107</v>
      </c>
      <c r="J834" s="1"/>
    </row>
    <row r="835" spans="1:10" x14ac:dyDescent="0.3">
      <c r="A835">
        <v>3057</v>
      </c>
      <c r="B835">
        <v>0</v>
      </c>
      <c r="C835">
        <v>0</v>
      </c>
      <c r="D835">
        <v>0</v>
      </c>
      <c r="E835">
        <v>0</v>
      </c>
      <c r="F835">
        <v>0</v>
      </c>
      <c r="G835">
        <v>0</v>
      </c>
      <c r="H835">
        <v>0</v>
      </c>
      <c r="I835" s="2">
        <v>44107</v>
      </c>
      <c r="J835" s="1"/>
    </row>
    <row r="836" spans="1:10" x14ac:dyDescent="0.3">
      <c r="A836">
        <v>3094</v>
      </c>
      <c r="B836">
        <v>0</v>
      </c>
      <c r="C836">
        <v>1</v>
      </c>
      <c r="D836">
        <v>1</v>
      </c>
      <c r="E836">
        <v>0</v>
      </c>
      <c r="F836">
        <v>1</v>
      </c>
      <c r="G836">
        <v>0</v>
      </c>
      <c r="H836">
        <v>0</v>
      </c>
      <c r="I836" s="2">
        <v>44107</v>
      </c>
      <c r="J836" s="1"/>
    </row>
    <row r="837" spans="1:10" x14ac:dyDescent="0.3">
      <c r="A837">
        <v>1732</v>
      </c>
      <c r="B837">
        <v>0</v>
      </c>
      <c r="C837">
        <v>0</v>
      </c>
      <c r="D837">
        <v>0</v>
      </c>
      <c r="E837">
        <v>0</v>
      </c>
      <c r="F837">
        <v>0</v>
      </c>
      <c r="G837">
        <v>0</v>
      </c>
      <c r="H837">
        <v>0</v>
      </c>
      <c r="I837" s="2">
        <v>44077</v>
      </c>
      <c r="J837" s="1"/>
    </row>
    <row r="838" spans="1:10" x14ac:dyDescent="0.3">
      <c r="A838">
        <v>1741</v>
      </c>
      <c r="B838">
        <v>0</v>
      </c>
      <c r="C838">
        <v>0</v>
      </c>
      <c r="D838">
        <v>0</v>
      </c>
      <c r="E838">
        <v>0</v>
      </c>
      <c r="F838">
        <v>0</v>
      </c>
      <c r="G838">
        <v>0</v>
      </c>
      <c r="H838">
        <v>0</v>
      </c>
      <c r="I838" s="2">
        <v>44077</v>
      </c>
      <c r="J838" s="1"/>
    </row>
    <row r="839" spans="1:10" x14ac:dyDescent="0.3">
      <c r="A839">
        <v>2222</v>
      </c>
      <c r="B839">
        <v>0</v>
      </c>
      <c r="C839">
        <v>0</v>
      </c>
      <c r="D839">
        <v>0</v>
      </c>
      <c r="E839">
        <v>0</v>
      </c>
      <c r="F839">
        <v>0</v>
      </c>
      <c r="G839">
        <v>0</v>
      </c>
      <c r="H839">
        <v>0</v>
      </c>
      <c r="I839" s="2">
        <v>44077</v>
      </c>
      <c r="J839" s="1"/>
    </row>
    <row r="840" spans="1:10" x14ac:dyDescent="0.3">
      <c r="A840">
        <v>2367</v>
      </c>
      <c r="B840">
        <v>0</v>
      </c>
      <c r="C840">
        <v>0</v>
      </c>
      <c r="D840">
        <v>0</v>
      </c>
      <c r="E840">
        <v>0</v>
      </c>
      <c r="F840">
        <v>0</v>
      </c>
      <c r="G840">
        <v>0</v>
      </c>
      <c r="H840">
        <v>0</v>
      </c>
      <c r="I840" s="2">
        <v>44077</v>
      </c>
      <c r="J840" s="1"/>
    </row>
    <row r="841" spans="1:10" x14ac:dyDescent="0.3">
      <c r="A841">
        <v>2771</v>
      </c>
      <c r="B841">
        <v>0</v>
      </c>
      <c r="C841">
        <v>0</v>
      </c>
      <c r="D841">
        <v>0</v>
      </c>
      <c r="E841">
        <v>0</v>
      </c>
      <c r="F841">
        <v>0</v>
      </c>
      <c r="G841">
        <v>0</v>
      </c>
      <c r="H841">
        <v>0</v>
      </c>
      <c r="I841" s="2">
        <v>44077</v>
      </c>
      <c r="J841" s="1"/>
    </row>
    <row r="842" spans="1:10" x14ac:dyDescent="0.3">
      <c r="A842">
        <v>1042</v>
      </c>
      <c r="B842">
        <v>0</v>
      </c>
      <c r="C842">
        <v>0</v>
      </c>
      <c r="D842">
        <v>0</v>
      </c>
      <c r="E842">
        <v>0</v>
      </c>
      <c r="F842">
        <v>0</v>
      </c>
      <c r="G842">
        <v>0</v>
      </c>
      <c r="H842">
        <v>0</v>
      </c>
      <c r="I842" s="2">
        <v>44046</v>
      </c>
      <c r="J842" s="1"/>
    </row>
    <row r="843" spans="1:10" x14ac:dyDescent="0.3">
      <c r="A843">
        <v>1362</v>
      </c>
      <c r="B843">
        <v>0</v>
      </c>
      <c r="C843">
        <v>0</v>
      </c>
      <c r="D843">
        <v>0</v>
      </c>
      <c r="E843">
        <v>0</v>
      </c>
      <c r="F843">
        <v>0</v>
      </c>
      <c r="G843">
        <v>0</v>
      </c>
      <c r="H843">
        <v>0</v>
      </c>
      <c r="I843" s="2">
        <v>44046</v>
      </c>
      <c r="J843" s="1"/>
    </row>
    <row r="844" spans="1:10" x14ac:dyDescent="0.3">
      <c r="A844">
        <v>1558</v>
      </c>
      <c r="B844">
        <v>0</v>
      </c>
      <c r="C844">
        <v>0</v>
      </c>
      <c r="D844">
        <v>0</v>
      </c>
      <c r="E844">
        <v>0</v>
      </c>
      <c r="F844">
        <v>0</v>
      </c>
      <c r="G844">
        <v>0</v>
      </c>
      <c r="H844">
        <v>0</v>
      </c>
      <c r="I844" s="2">
        <v>44046</v>
      </c>
      <c r="J844" s="1"/>
    </row>
    <row r="845" spans="1:10" x14ac:dyDescent="0.3">
      <c r="A845">
        <v>1814</v>
      </c>
      <c r="B845">
        <v>0</v>
      </c>
      <c r="C845">
        <v>0</v>
      </c>
      <c r="D845">
        <v>0</v>
      </c>
      <c r="E845">
        <v>0</v>
      </c>
      <c r="F845">
        <v>0</v>
      </c>
      <c r="G845">
        <v>0</v>
      </c>
      <c r="H845">
        <v>0</v>
      </c>
      <c r="I845" s="2">
        <v>44046</v>
      </c>
      <c r="J845" s="1"/>
    </row>
    <row r="846" spans="1:10" x14ac:dyDescent="0.3">
      <c r="A846">
        <v>2613</v>
      </c>
      <c r="B846">
        <v>0</v>
      </c>
      <c r="C846">
        <v>0</v>
      </c>
      <c r="D846">
        <v>0</v>
      </c>
      <c r="E846">
        <v>0</v>
      </c>
      <c r="F846">
        <v>0</v>
      </c>
      <c r="G846">
        <v>0</v>
      </c>
      <c r="H846">
        <v>0</v>
      </c>
      <c r="I846" s="2">
        <v>44046</v>
      </c>
      <c r="J846" s="1"/>
    </row>
    <row r="847" spans="1:10" x14ac:dyDescent="0.3">
      <c r="A847">
        <v>3104</v>
      </c>
      <c r="B847">
        <v>1</v>
      </c>
      <c r="C847">
        <v>0</v>
      </c>
      <c r="D847">
        <v>0</v>
      </c>
      <c r="E847">
        <v>0</v>
      </c>
      <c r="F847">
        <v>0</v>
      </c>
      <c r="G847">
        <v>0</v>
      </c>
      <c r="H847">
        <v>0</v>
      </c>
      <c r="I847" s="2">
        <v>44046</v>
      </c>
      <c r="J847" s="1"/>
    </row>
    <row r="848" spans="1:10" x14ac:dyDescent="0.3">
      <c r="A848">
        <v>3121</v>
      </c>
      <c r="B848">
        <v>1</v>
      </c>
      <c r="C848">
        <v>0</v>
      </c>
      <c r="D848">
        <v>0</v>
      </c>
      <c r="E848">
        <v>0</v>
      </c>
      <c r="F848">
        <v>0</v>
      </c>
      <c r="G848">
        <v>0</v>
      </c>
      <c r="H848">
        <v>0</v>
      </c>
      <c r="I848" s="2">
        <v>44046</v>
      </c>
      <c r="J848" s="1"/>
    </row>
    <row r="849" spans="1:10" x14ac:dyDescent="0.3">
      <c r="A849">
        <v>2296</v>
      </c>
      <c r="B849">
        <v>0</v>
      </c>
      <c r="C849">
        <v>0</v>
      </c>
      <c r="D849">
        <v>0</v>
      </c>
      <c r="E849">
        <v>0</v>
      </c>
      <c r="F849">
        <v>0</v>
      </c>
      <c r="G849">
        <v>0</v>
      </c>
      <c r="H849">
        <v>0</v>
      </c>
      <c r="I849" s="2">
        <v>44015</v>
      </c>
      <c r="J849" s="1"/>
    </row>
    <row r="850" spans="1:10" x14ac:dyDescent="0.3">
      <c r="A850">
        <v>2469</v>
      </c>
      <c r="B850">
        <v>0</v>
      </c>
      <c r="C850">
        <v>0</v>
      </c>
      <c r="D850">
        <v>0</v>
      </c>
      <c r="E850">
        <v>0</v>
      </c>
      <c r="F850">
        <v>0</v>
      </c>
      <c r="G850">
        <v>0</v>
      </c>
      <c r="H850">
        <v>0</v>
      </c>
      <c r="I850" s="2">
        <v>44015</v>
      </c>
      <c r="J850" s="1"/>
    </row>
    <row r="851" spans="1:10" x14ac:dyDescent="0.3">
      <c r="A851">
        <v>2898</v>
      </c>
      <c r="B851">
        <v>0</v>
      </c>
      <c r="C851">
        <v>0</v>
      </c>
      <c r="D851">
        <v>1</v>
      </c>
      <c r="E851">
        <v>0</v>
      </c>
      <c r="F851">
        <v>0</v>
      </c>
      <c r="G851">
        <v>0</v>
      </c>
      <c r="H851">
        <v>0</v>
      </c>
      <c r="I851" s="2">
        <v>44015</v>
      </c>
      <c r="J851" s="1"/>
    </row>
    <row r="852" spans="1:10" x14ac:dyDescent="0.3">
      <c r="A852">
        <v>1121</v>
      </c>
      <c r="B852">
        <v>0</v>
      </c>
      <c r="C852">
        <v>0</v>
      </c>
      <c r="D852">
        <v>0</v>
      </c>
      <c r="E852">
        <v>0</v>
      </c>
      <c r="F852">
        <v>0</v>
      </c>
      <c r="G852">
        <v>0</v>
      </c>
      <c r="H852">
        <v>0</v>
      </c>
      <c r="I852" s="2">
        <v>43985</v>
      </c>
      <c r="J852" s="1"/>
    </row>
    <row r="853" spans="1:10" x14ac:dyDescent="0.3">
      <c r="A853">
        <v>1670</v>
      </c>
      <c r="B853">
        <v>0</v>
      </c>
      <c r="C853">
        <v>0</v>
      </c>
      <c r="D853">
        <v>0</v>
      </c>
      <c r="E853">
        <v>0</v>
      </c>
      <c r="F853">
        <v>0</v>
      </c>
      <c r="G853">
        <v>0</v>
      </c>
      <c r="H853">
        <v>0</v>
      </c>
      <c r="I853" s="2">
        <v>43985</v>
      </c>
      <c r="J853" s="1"/>
    </row>
    <row r="854" spans="1:10" x14ac:dyDescent="0.3">
      <c r="A854">
        <v>1928</v>
      </c>
      <c r="B854">
        <v>0</v>
      </c>
      <c r="C854">
        <v>0</v>
      </c>
      <c r="D854">
        <v>0</v>
      </c>
      <c r="E854">
        <v>0</v>
      </c>
      <c r="F854">
        <v>0</v>
      </c>
      <c r="G854">
        <v>0</v>
      </c>
      <c r="H854">
        <v>0</v>
      </c>
      <c r="I854" s="2">
        <v>43985</v>
      </c>
      <c r="J854" s="1"/>
    </row>
    <row r="855" spans="1:10" x14ac:dyDescent="0.3">
      <c r="A855">
        <v>2429</v>
      </c>
      <c r="B855">
        <v>0</v>
      </c>
      <c r="C855">
        <v>0</v>
      </c>
      <c r="D855">
        <v>0</v>
      </c>
      <c r="E855">
        <v>0</v>
      </c>
      <c r="F855">
        <v>0</v>
      </c>
      <c r="G855">
        <v>0</v>
      </c>
      <c r="H855">
        <v>0</v>
      </c>
      <c r="I855" s="2">
        <v>43985</v>
      </c>
      <c r="J855" s="1"/>
    </row>
    <row r="856" spans="1:10" x14ac:dyDescent="0.3">
      <c r="A856">
        <v>3065</v>
      </c>
      <c r="B856">
        <v>0</v>
      </c>
      <c r="C856">
        <v>0</v>
      </c>
      <c r="D856">
        <v>0</v>
      </c>
      <c r="E856">
        <v>0</v>
      </c>
      <c r="F856">
        <v>0</v>
      </c>
      <c r="G856">
        <v>0</v>
      </c>
      <c r="H856">
        <v>0</v>
      </c>
      <c r="I856" s="2">
        <v>43985</v>
      </c>
      <c r="J856" s="1"/>
    </row>
    <row r="857" spans="1:10" x14ac:dyDescent="0.3">
      <c r="A857">
        <v>1171</v>
      </c>
      <c r="B857">
        <v>0</v>
      </c>
      <c r="C857">
        <v>0</v>
      </c>
      <c r="D857">
        <v>0</v>
      </c>
      <c r="E857">
        <v>0</v>
      </c>
      <c r="F857">
        <v>0</v>
      </c>
      <c r="G857">
        <v>0</v>
      </c>
      <c r="H857">
        <v>0</v>
      </c>
      <c r="I857" s="2">
        <v>43924</v>
      </c>
      <c r="J857" s="1"/>
    </row>
    <row r="858" spans="1:10" x14ac:dyDescent="0.3">
      <c r="A858">
        <v>1851</v>
      </c>
      <c r="B858">
        <v>0</v>
      </c>
      <c r="C858">
        <v>1</v>
      </c>
      <c r="D858">
        <v>0</v>
      </c>
      <c r="E858">
        <v>0</v>
      </c>
      <c r="F858">
        <v>1</v>
      </c>
      <c r="G858">
        <v>0</v>
      </c>
      <c r="H858">
        <v>0</v>
      </c>
      <c r="I858" s="2">
        <v>43924</v>
      </c>
      <c r="J858" s="1"/>
    </row>
    <row r="859" spans="1:10" x14ac:dyDescent="0.3">
      <c r="A859">
        <v>2722</v>
      </c>
      <c r="B859">
        <v>0</v>
      </c>
      <c r="C859">
        <v>0</v>
      </c>
      <c r="D859">
        <v>0</v>
      </c>
      <c r="E859">
        <v>0</v>
      </c>
      <c r="F859">
        <v>0</v>
      </c>
      <c r="G859">
        <v>0</v>
      </c>
      <c r="H859">
        <v>0</v>
      </c>
      <c r="I859" s="2">
        <v>43924</v>
      </c>
      <c r="J859" s="1"/>
    </row>
    <row r="860" spans="1:10" x14ac:dyDescent="0.3">
      <c r="A860">
        <v>2791</v>
      </c>
      <c r="B860">
        <v>0</v>
      </c>
      <c r="C860">
        <v>1</v>
      </c>
      <c r="D860">
        <v>0</v>
      </c>
      <c r="E860">
        <v>0</v>
      </c>
      <c r="F860">
        <v>0</v>
      </c>
      <c r="G860">
        <v>0</v>
      </c>
      <c r="H860">
        <v>0</v>
      </c>
      <c r="I860" s="2">
        <v>43924</v>
      </c>
      <c r="J860" s="1"/>
    </row>
    <row r="861" spans="1:10" x14ac:dyDescent="0.3">
      <c r="A861">
        <v>2906</v>
      </c>
      <c r="B861">
        <v>0</v>
      </c>
      <c r="C861">
        <v>0</v>
      </c>
      <c r="D861">
        <v>0</v>
      </c>
      <c r="E861">
        <v>0</v>
      </c>
      <c r="F861">
        <v>0</v>
      </c>
      <c r="G861">
        <v>0</v>
      </c>
      <c r="H861">
        <v>0</v>
      </c>
      <c r="I861" s="2">
        <v>43924</v>
      </c>
      <c r="J861" s="1"/>
    </row>
    <row r="862" spans="1:10" x14ac:dyDescent="0.3">
      <c r="A862">
        <v>3009</v>
      </c>
      <c r="B862">
        <v>1</v>
      </c>
      <c r="C862">
        <v>0</v>
      </c>
      <c r="D862">
        <v>0</v>
      </c>
      <c r="E862">
        <v>0</v>
      </c>
      <c r="F862">
        <v>0</v>
      </c>
      <c r="G862">
        <v>0</v>
      </c>
      <c r="H862">
        <v>0</v>
      </c>
      <c r="I862" s="2">
        <v>43924</v>
      </c>
      <c r="J862" s="1"/>
    </row>
    <row r="863" spans="1:10" x14ac:dyDescent="0.3">
      <c r="A863">
        <v>1064</v>
      </c>
      <c r="B863">
        <v>0</v>
      </c>
      <c r="C863">
        <v>0</v>
      </c>
      <c r="D863">
        <v>0</v>
      </c>
      <c r="E863">
        <v>0</v>
      </c>
      <c r="F863">
        <v>0</v>
      </c>
      <c r="G863">
        <v>0</v>
      </c>
      <c r="H863">
        <v>0</v>
      </c>
      <c r="I863" s="2">
        <v>43893</v>
      </c>
      <c r="J863" s="1"/>
    </row>
    <row r="864" spans="1:10" x14ac:dyDescent="0.3">
      <c r="A864">
        <v>1711</v>
      </c>
      <c r="B864">
        <v>0</v>
      </c>
      <c r="C864">
        <v>0</v>
      </c>
      <c r="D864">
        <v>0</v>
      </c>
      <c r="E864">
        <v>0</v>
      </c>
      <c r="F864">
        <v>0</v>
      </c>
      <c r="G864">
        <v>0</v>
      </c>
      <c r="H864">
        <v>0</v>
      </c>
      <c r="I864" s="2">
        <v>43893</v>
      </c>
      <c r="J864" s="1"/>
    </row>
    <row r="865" spans="1:10" x14ac:dyDescent="0.3">
      <c r="A865">
        <v>2420</v>
      </c>
      <c r="B865">
        <v>0</v>
      </c>
      <c r="C865">
        <v>1</v>
      </c>
      <c r="D865">
        <v>0</v>
      </c>
      <c r="E865">
        <v>1</v>
      </c>
      <c r="F865">
        <v>0</v>
      </c>
      <c r="G865">
        <v>0</v>
      </c>
      <c r="H865">
        <v>0</v>
      </c>
      <c r="I865" s="2">
        <v>43893</v>
      </c>
      <c r="J865" s="1"/>
    </row>
    <row r="866" spans="1:10" x14ac:dyDescent="0.3">
      <c r="A866">
        <v>2884</v>
      </c>
      <c r="B866">
        <v>1</v>
      </c>
      <c r="C866">
        <v>0</v>
      </c>
      <c r="D866">
        <v>0</v>
      </c>
      <c r="E866">
        <v>0</v>
      </c>
      <c r="F866">
        <v>0</v>
      </c>
      <c r="G866">
        <v>0</v>
      </c>
      <c r="H866">
        <v>0</v>
      </c>
      <c r="I866" s="2">
        <v>43864</v>
      </c>
      <c r="J866" s="1"/>
    </row>
    <row r="867" spans="1:10" x14ac:dyDescent="0.3">
      <c r="A867">
        <v>1649</v>
      </c>
      <c r="B867">
        <v>0</v>
      </c>
      <c r="C867">
        <v>0</v>
      </c>
      <c r="D867">
        <v>0</v>
      </c>
      <c r="E867">
        <v>0</v>
      </c>
      <c r="F867">
        <v>0</v>
      </c>
      <c r="G867">
        <v>0</v>
      </c>
      <c r="H867">
        <v>0</v>
      </c>
      <c r="I867" s="2">
        <v>43833</v>
      </c>
      <c r="J867" s="1"/>
    </row>
    <row r="868" spans="1:10" x14ac:dyDescent="0.3">
      <c r="A868">
        <v>2027</v>
      </c>
      <c r="B868">
        <v>0</v>
      </c>
      <c r="C868">
        <v>0</v>
      </c>
      <c r="D868">
        <v>0</v>
      </c>
      <c r="E868">
        <v>0</v>
      </c>
      <c r="F868">
        <v>0</v>
      </c>
      <c r="G868">
        <v>0</v>
      </c>
      <c r="H868">
        <v>0</v>
      </c>
      <c r="I868" s="2">
        <v>43833</v>
      </c>
      <c r="J868" s="1"/>
    </row>
    <row r="869" spans="1:10" x14ac:dyDescent="0.3">
      <c r="A869">
        <v>2307</v>
      </c>
      <c r="B869">
        <v>0</v>
      </c>
      <c r="C869">
        <v>0</v>
      </c>
      <c r="D869">
        <v>0</v>
      </c>
      <c r="E869">
        <v>0</v>
      </c>
      <c r="F869">
        <v>0</v>
      </c>
      <c r="G869">
        <v>0</v>
      </c>
      <c r="H869">
        <v>0</v>
      </c>
      <c r="I869" s="2">
        <v>43833</v>
      </c>
      <c r="J869" s="1"/>
    </row>
    <row r="870" spans="1:10" x14ac:dyDescent="0.3">
      <c r="A870">
        <v>1098</v>
      </c>
      <c r="B870">
        <v>0</v>
      </c>
      <c r="C870">
        <v>0</v>
      </c>
      <c r="D870">
        <v>0</v>
      </c>
      <c r="E870">
        <v>0</v>
      </c>
      <c r="F870">
        <v>0</v>
      </c>
      <c r="G870">
        <v>0</v>
      </c>
      <c r="H870">
        <v>0</v>
      </c>
      <c r="I870" s="2" t="s">
        <v>175</v>
      </c>
    </row>
    <row r="871" spans="1:10" x14ac:dyDescent="0.3">
      <c r="A871">
        <v>1848</v>
      </c>
      <c r="B871">
        <v>0</v>
      </c>
      <c r="C871">
        <v>0</v>
      </c>
      <c r="D871">
        <v>0</v>
      </c>
      <c r="E871">
        <v>0</v>
      </c>
      <c r="F871">
        <v>0</v>
      </c>
      <c r="G871">
        <v>0</v>
      </c>
      <c r="H871">
        <v>0</v>
      </c>
      <c r="I871" s="2" t="s">
        <v>175</v>
      </c>
    </row>
    <row r="872" spans="1:10" x14ac:dyDescent="0.3">
      <c r="A872">
        <v>2617</v>
      </c>
      <c r="B872">
        <v>1</v>
      </c>
      <c r="C872">
        <v>0</v>
      </c>
      <c r="D872">
        <v>1</v>
      </c>
      <c r="E872">
        <v>0</v>
      </c>
      <c r="F872">
        <v>1</v>
      </c>
      <c r="G872">
        <v>0</v>
      </c>
      <c r="H872">
        <v>1</v>
      </c>
      <c r="I872" s="2" t="s">
        <v>176</v>
      </c>
    </row>
    <row r="873" spans="1:10" x14ac:dyDescent="0.3">
      <c r="A873">
        <v>2680</v>
      </c>
      <c r="B873">
        <v>0</v>
      </c>
      <c r="C873">
        <v>0</v>
      </c>
      <c r="D873">
        <v>0</v>
      </c>
      <c r="E873">
        <v>0</v>
      </c>
      <c r="F873">
        <v>0</v>
      </c>
      <c r="G873">
        <v>0</v>
      </c>
      <c r="H873">
        <v>0</v>
      </c>
      <c r="I873" s="2" t="s">
        <v>176</v>
      </c>
    </row>
    <row r="874" spans="1:10" x14ac:dyDescent="0.3">
      <c r="A874">
        <v>1445</v>
      </c>
      <c r="B874">
        <v>0</v>
      </c>
      <c r="C874">
        <v>0</v>
      </c>
      <c r="D874">
        <v>0</v>
      </c>
      <c r="E874">
        <v>0</v>
      </c>
      <c r="F874">
        <v>0</v>
      </c>
      <c r="G874">
        <v>0</v>
      </c>
      <c r="H874">
        <v>0</v>
      </c>
      <c r="I874" s="2" t="s">
        <v>177</v>
      </c>
    </row>
    <row r="875" spans="1:10" x14ac:dyDescent="0.3">
      <c r="A875">
        <v>2202</v>
      </c>
      <c r="B875">
        <v>0</v>
      </c>
      <c r="C875">
        <v>0</v>
      </c>
      <c r="D875">
        <v>0</v>
      </c>
      <c r="E875">
        <v>0</v>
      </c>
      <c r="F875">
        <v>0</v>
      </c>
      <c r="G875">
        <v>0</v>
      </c>
      <c r="H875">
        <v>0</v>
      </c>
      <c r="I875" s="2" t="s">
        <v>177</v>
      </c>
    </row>
    <row r="876" spans="1:10" x14ac:dyDescent="0.3">
      <c r="A876">
        <v>2205</v>
      </c>
      <c r="B876">
        <v>0</v>
      </c>
      <c r="C876">
        <v>0</v>
      </c>
      <c r="D876">
        <v>0</v>
      </c>
      <c r="E876">
        <v>0</v>
      </c>
      <c r="F876">
        <v>0</v>
      </c>
      <c r="G876">
        <v>0</v>
      </c>
      <c r="H876">
        <v>0</v>
      </c>
      <c r="I876" s="2" t="s">
        <v>177</v>
      </c>
    </row>
    <row r="877" spans="1:10" x14ac:dyDescent="0.3">
      <c r="A877">
        <v>3026</v>
      </c>
      <c r="B877">
        <v>0</v>
      </c>
      <c r="C877">
        <v>0</v>
      </c>
      <c r="D877">
        <v>0</v>
      </c>
      <c r="E877">
        <v>1</v>
      </c>
      <c r="F877">
        <v>0</v>
      </c>
      <c r="G877">
        <v>0</v>
      </c>
      <c r="H877">
        <v>0</v>
      </c>
      <c r="I877" s="2" t="s">
        <v>177</v>
      </c>
    </row>
    <row r="878" spans="1:10" x14ac:dyDescent="0.3">
      <c r="A878">
        <v>2417</v>
      </c>
      <c r="B878">
        <v>0</v>
      </c>
      <c r="C878">
        <v>0</v>
      </c>
      <c r="D878">
        <v>0</v>
      </c>
      <c r="E878">
        <v>0</v>
      </c>
      <c r="F878">
        <v>0</v>
      </c>
      <c r="G878">
        <v>0</v>
      </c>
      <c r="H878">
        <v>0</v>
      </c>
      <c r="I878" s="2" t="s">
        <v>178</v>
      </c>
    </row>
    <row r="879" spans="1:10" x14ac:dyDescent="0.3">
      <c r="A879">
        <v>2098</v>
      </c>
      <c r="B879">
        <v>1</v>
      </c>
      <c r="C879">
        <v>0</v>
      </c>
      <c r="D879">
        <v>0</v>
      </c>
      <c r="E879">
        <v>0</v>
      </c>
      <c r="F879">
        <v>0</v>
      </c>
      <c r="G879">
        <v>0</v>
      </c>
      <c r="H879">
        <v>1</v>
      </c>
      <c r="I879" s="2" t="s">
        <v>179</v>
      </c>
    </row>
    <row r="880" spans="1:10" x14ac:dyDescent="0.3">
      <c r="A880">
        <v>2494</v>
      </c>
      <c r="B880">
        <v>0</v>
      </c>
      <c r="C880">
        <v>0</v>
      </c>
      <c r="D880">
        <v>0</v>
      </c>
      <c r="E880">
        <v>0</v>
      </c>
      <c r="F880">
        <v>0</v>
      </c>
      <c r="G880">
        <v>0</v>
      </c>
      <c r="H880">
        <v>0</v>
      </c>
      <c r="I880" s="2" t="s">
        <v>179</v>
      </c>
    </row>
    <row r="881" spans="1:9" x14ac:dyDescent="0.3">
      <c r="A881">
        <v>2952</v>
      </c>
      <c r="B881">
        <v>0</v>
      </c>
      <c r="C881">
        <v>0</v>
      </c>
      <c r="D881">
        <v>0</v>
      </c>
      <c r="E881">
        <v>0</v>
      </c>
      <c r="F881">
        <v>0</v>
      </c>
      <c r="G881">
        <v>0</v>
      </c>
      <c r="H881">
        <v>0</v>
      </c>
      <c r="I881" s="2" t="s">
        <v>179</v>
      </c>
    </row>
    <row r="882" spans="1:9" x14ac:dyDescent="0.3">
      <c r="A882">
        <v>1185</v>
      </c>
      <c r="B882">
        <v>0</v>
      </c>
      <c r="C882">
        <v>0</v>
      </c>
      <c r="D882">
        <v>1</v>
      </c>
      <c r="E882">
        <v>0</v>
      </c>
      <c r="F882">
        <v>0</v>
      </c>
      <c r="G882">
        <v>0</v>
      </c>
      <c r="H882">
        <v>0</v>
      </c>
      <c r="I882" s="2" t="s">
        <v>180</v>
      </c>
    </row>
    <row r="883" spans="1:9" x14ac:dyDescent="0.3">
      <c r="A883">
        <v>1579</v>
      </c>
      <c r="B883">
        <v>0</v>
      </c>
      <c r="C883">
        <v>0</v>
      </c>
      <c r="D883">
        <v>0</v>
      </c>
      <c r="E883">
        <v>0</v>
      </c>
      <c r="F883">
        <v>0</v>
      </c>
      <c r="G883">
        <v>0</v>
      </c>
      <c r="H883">
        <v>1</v>
      </c>
      <c r="I883" s="2" t="s">
        <v>180</v>
      </c>
    </row>
    <row r="884" spans="1:9" x14ac:dyDescent="0.3">
      <c r="A884">
        <v>1738</v>
      </c>
      <c r="B884">
        <v>0</v>
      </c>
      <c r="C884">
        <v>0</v>
      </c>
      <c r="D884">
        <v>0</v>
      </c>
      <c r="E884">
        <v>0</v>
      </c>
      <c r="F884">
        <v>0</v>
      </c>
      <c r="G884">
        <v>0</v>
      </c>
      <c r="H884">
        <v>0</v>
      </c>
      <c r="I884" s="2" t="s">
        <v>180</v>
      </c>
    </row>
    <row r="885" spans="1:9" x14ac:dyDescent="0.3">
      <c r="A885">
        <v>1515</v>
      </c>
      <c r="B885">
        <v>0</v>
      </c>
      <c r="C885">
        <v>0</v>
      </c>
      <c r="D885">
        <v>0</v>
      </c>
      <c r="E885">
        <v>0</v>
      </c>
      <c r="F885">
        <v>0</v>
      </c>
      <c r="G885">
        <v>0</v>
      </c>
      <c r="H885">
        <v>0</v>
      </c>
      <c r="I885" s="2" t="s">
        <v>181</v>
      </c>
    </row>
    <row r="886" spans="1:9" x14ac:dyDescent="0.3">
      <c r="A886">
        <v>2018</v>
      </c>
      <c r="B886">
        <v>0</v>
      </c>
      <c r="C886">
        <v>0</v>
      </c>
      <c r="D886">
        <v>0</v>
      </c>
      <c r="E886">
        <v>0</v>
      </c>
      <c r="F886">
        <v>0</v>
      </c>
      <c r="G886">
        <v>0</v>
      </c>
      <c r="H886">
        <v>0</v>
      </c>
      <c r="I886" s="2" t="s">
        <v>181</v>
      </c>
    </row>
    <row r="887" spans="1:9" x14ac:dyDescent="0.3">
      <c r="A887">
        <v>2312</v>
      </c>
      <c r="B887">
        <v>0</v>
      </c>
      <c r="C887">
        <v>1</v>
      </c>
      <c r="D887">
        <v>0</v>
      </c>
      <c r="E887">
        <v>1</v>
      </c>
      <c r="F887">
        <v>0</v>
      </c>
      <c r="G887">
        <v>0</v>
      </c>
      <c r="H887">
        <v>0</v>
      </c>
      <c r="I887" s="2" t="s">
        <v>181</v>
      </c>
    </row>
    <row r="888" spans="1:9" x14ac:dyDescent="0.3">
      <c r="A888">
        <v>2926</v>
      </c>
      <c r="B888">
        <v>0</v>
      </c>
      <c r="C888">
        <v>0</v>
      </c>
      <c r="D888">
        <v>0</v>
      </c>
      <c r="E888">
        <v>0</v>
      </c>
      <c r="F888">
        <v>0</v>
      </c>
      <c r="G888">
        <v>0</v>
      </c>
      <c r="H888">
        <v>0</v>
      </c>
      <c r="I888" s="2" t="s">
        <v>181</v>
      </c>
    </row>
    <row r="889" spans="1:9" x14ac:dyDescent="0.3">
      <c r="A889">
        <v>2979</v>
      </c>
      <c r="B889">
        <v>0</v>
      </c>
      <c r="C889">
        <v>0</v>
      </c>
      <c r="D889">
        <v>0</v>
      </c>
      <c r="E889">
        <v>0</v>
      </c>
      <c r="F889">
        <v>0</v>
      </c>
      <c r="G889">
        <v>0</v>
      </c>
      <c r="H889">
        <v>0</v>
      </c>
      <c r="I889" s="2" t="s">
        <v>181</v>
      </c>
    </row>
    <row r="890" spans="1:9" x14ac:dyDescent="0.3">
      <c r="A890">
        <v>1586</v>
      </c>
      <c r="B890">
        <v>0</v>
      </c>
      <c r="C890">
        <v>0</v>
      </c>
      <c r="D890">
        <v>0</v>
      </c>
      <c r="E890">
        <v>0</v>
      </c>
      <c r="F890">
        <v>0</v>
      </c>
      <c r="G890">
        <v>0</v>
      </c>
      <c r="H890">
        <v>0</v>
      </c>
      <c r="I890" s="2" t="s">
        <v>182</v>
      </c>
    </row>
    <row r="891" spans="1:9" x14ac:dyDescent="0.3">
      <c r="A891">
        <v>1681</v>
      </c>
      <c r="B891">
        <v>0</v>
      </c>
      <c r="C891">
        <v>0</v>
      </c>
      <c r="D891">
        <v>0</v>
      </c>
      <c r="E891">
        <v>0</v>
      </c>
      <c r="F891">
        <v>0</v>
      </c>
      <c r="G891">
        <v>0</v>
      </c>
      <c r="H891">
        <v>0</v>
      </c>
      <c r="I891" s="2" t="s">
        <v>182</v>
      </c>
    </row>
    <row r="892" spans="1:9" x14ac:dyDescent="0.3">
      <c r="A892">
        <v>1856</v>
      </c>
      <c r="B892">
        <v>1</v>
      </c>
      <c r="C892">
        <v>0</v>
      </c>
      <c r="D892">
        <v>1</v>
      </c>
      <c r="E892">
        <v>1</v>
      </c>
      <c r="F892">
        <v>0</v>
      </c>
      <c r="G892">
        <v>0</v>
      </c>
      <c r="H892">
        <v>0</v>
      </c>
      <c r="I892" s="2" t="s">
        <v>182</v>
      </c>
    </row>
    <row r="893" spans="1:9" x14ac:dyDescent="0.3">
      <c r="A893">
        <v>2315</v>
      </c>
      <c r="B893">
        <v>0</v>
      </c>
      <c r="C893">
        <v>0</v>
      </c>
      <c r="D893">
        <v>0</v>
      </c>
      <c r="E893">
        <v>0</v>
      </c>
      <c r="F893">
        <v>0</v>
      </c>
      <c r="G893">
        <v>0</v>
      </c>
      <c r="H893">
        <v>0</v>
      </c>
      <c r="I893" s="2" t="s">
        <v>182</v>
      </c>
    </row>
    <row r="894" spans="1:9" x14ac:dyDescent="0.3">
      <c r="A894">
        <v>2983</v>
      </c>
      <c r="B894">
        <v>0</v>
      </c>
      <c r="C894">
        <v>0</v>
      </c>
      <c r="D894">
        <v>0</v>
      </c>
      <c r="E894">
        <v>0</v>
      </c>
      <c r="F894">
        <v>0</v>
      </c>
      <c r="G894">
        <v>0</v>
      </c>
      <c r="H894">
        <v>0</v>
      </c>
      <c r="I894" s="2" t="s">
        <v>182</v>
      </c>
    </row>
    <row r="895" spans="1:9" x14ac:dyDescent="0.3">
      <c r="A895">
        <v>1237</v>
      </c>
      <c r="B895">
        <v>0</v>
      </c>
      <c r="C895">
        <v>0</v>
      </c>
      <c r="D895">
        <v>0</v>
      </c>
      <c r="E895">
        <v>0</v>
      </c>
      <c r="F895">
        <v>0</v>
      </c>
      <c r="G895">
        <v>0</v>
      </c>
      <c r="H895">
        <v>0</v>
      </c>
      <c r="I895" s="2" t="s">
        <v>183</v>
      </c>
    </row>
    <row r="896" spans="1:9" x14ac:dyDescent="0.3">
      <c r="A896">
        <v>1262</v>
      </c>
      <c r="B896">
        <v>0</v>
      </c>
      <c r="C896">
        <v>0</v>
      </c>
      <c r="D896">
        <v>0</v>
      </c>
      <c r="E896">
        <v>0</v>
      </c>
      <c r="F896">
        <v>0</v>
      </c>
      <c r="G896">
        <v>0</v>
      </c>
      <c r="H896">
        <v>0</v>
      </c>
      <c r="I896" s="2" t="s">
        <v>183</v>
      </c>
    </row>
    <row r="897" spans="1:9" x14ac:dyDescent="0.3">
      <c r="A897">
        <v>1562</v>
      </c>
      <c r="B897">
        <v>0</v>
      </c>
      <c r="C897">
        <v>0</v>
      </c>
      <c r="D897">
        <v>0</v>
      </c>
      <c r="E897">
        <v>0</v>
      </c>
      <c r="F897">
        <v>0</v>
      </c>
      <c r="G897">
        <v>0</v>
      </c>
      <c r="H897">
        <v>0</v>
      </c>
      <c r="I897" s="2" t="s">
        <v>183</v>
      </c>
    </row>
    <row r="898" spans="1:9" x14ac:dyDescent="0.3">
      <c r="A898">
        <v>1632</v>
      </c>
      <c r="B898">
        <v>0</v>
      </c>
      <c r="C898">
        <v>0</v>
      </c>
      <c r="D898">
        <v>0</v>
      </c>
      <c r="E898">
        <v>0</v>
      </c>
      <c r="F898">
        <v>0</v>
      </c>
      <c r="G898">
        <v>0</v>
      </c>
      <c r="H898">
        <v>0</v>
      </c>
      <c r="I898" s="2" t="s">
        <v>183</v>
      </c>
    </row>
    <row r="899" spans="1:9" x14ac:dyDescent="0.3">
      <c r="A899">
        <v>2403</v>
      </c>
      <c r="B899">
        <v>0</v>
      </c>
      <c r="C899">
        <v>0</v>
      </c>
      <c r="D899">
        <v>0</v>
      </c>
      <c r="E899">
        <v>0</v>
      </c>
      <c r="F899">
        <v>0</v>
      </c>
      <c r="G899">
        <v>0</v>
      </c>
      <c r="H899">
        <v>0</v>
      </c>
      <c r="I899" s="2" t="s">
        <v>183</v>
      </c>
    </row>
    <row r="900" spans="1:9" x14ac:dyDescent="0.3">
      <c r="A900">
        <v>1729</v>
      </c>
      <c r="B900">
        <v>1</v>
      </c>
      <c r="C900">
        <v>0</v>
      </c>
      <c r="D900">
        <v>0</v>
      </c>
      <c r="E900">
        <v>0</v>
      </c>
      <c r="F900">
        <v>0</v>
      </c>
      <c r="G900">
        <v>0</v>
      </c>
      <c r="H900">
        <v>0</v>
      </c>
      <c r="I900" s="2" t="s">
        <v>184</v>
      </c>
    </row>
    <row r="901" spans="1:9" x14ac:dyDescent="0.3">
      <c r="A901">
        <v>2531</v>
      </c>
      <c r="B901">
        <v>0</v>
      </c>
      <c r="C901">
        <v>0</v>
      </c>
      <c r="D901">
        <v>0</v>
      </c>
      <c r="E901">
        <v>0</v>
      </c>
      <c r="F901">
        <v>0</v>
      </c>
      <c r="G901">
        <v>0</v>
      </c>
      <c r="H901">
        <v>0</v>
      </c>
      <c r="I901" s="2" t="s">
        <v>184</v>
      </c>
    </row>
    <row r="902" spans="1:9" x14ac:dyDescent="0.3">
      <c r="A902">
        <v>2800</v>
      </c>
      <c r="B902">
        <v>0</v>
      </c>
      <c r="C902">
        <v>0</v>
      </c>
      <c r="D902">
        <v>0</v>
      </c>
      <c r="E902">
        <v>0</v>
      </c>
      <c r="F902">
        <v>0</v>
      </c>
      <c r="G902">
        <v>0</v>
      </c>
      <c r="H902">
        <v>0</v>
      </c>
      <c r="I902" s="2" t="s">
        <v>184</v>
      </c>
    </row>
    <row r="903" spans="1:9" x14ac:dyDescent="0.3">
      <c r="A903">
        <v>3045</v>
      </c>
      <c r="B903">
        <v>0</v>
      </c>
      <c r="C903">
        <v>0</v>
      </c>
      <c r="D903">
        <v>0</v>
      </c>
      <c r="E903">
        <v>0</v>
      </c>
      <c r="F903">
        <v>0</v>
      </c>
      <c r="G903">
        <v>0</v>
      </c>
      <c r="H903">
        <v>0</v>
      </c>
      <c r="I903" s="2" t="s">
        <v>184</v>
      </c>
    </row>
    <row r="904" spans="1:9" x14ac:dyDescent="0.3">
      <c r="A904">
        <v>1571</v>
      </c>
      <c r="B904">
        <v>0</v>
      </c>
      <c r="C904">
        <v>0</v>
      </c>
      <c r="D904">
        <v>0</v>
      </c>
      <c r="E904">
        <v>0</v>
      </c>
      <c r="F904">
        <v>0</v>
      </c>
      <c r="G904">
        <v>0</v>
      </c>
      <c r="H904">
        <v>0</v>
      </c>
      <c r="I904" s="2" t="s">
        <v>185</v>
      </c>
    </row>
    <row r="905" spans="1:9" x14ac:dyDescent="0.3">
      <c r="A905">
        <v>1556</v>
      </c>
      <c r="B905">
        <v>0</v>
      </c>
      <c r="C905">
        <v>0</v>
      </c>
      <c r="D905">
        <v>0</v>
      </c>
      <c r="E905">
        <v>0</v>
      </c>
      <c r="F905">
        <v>0</v>
      </c>
      <c r="G905">
        <v>0</v>
      </c>
      <c r="H905">
        <v>0</v>
      </c>
      <c r="I905" s="2" t="s">
        <v>186</v>
      </c>
    </row>
    <row r="906" spans="1:9" x14ac:dyDescent="0.3">
      <c r="A906">
        <v>1147</v>
      </c>
      <c r="B906">
        <v>0</v>
      </c>
      <c r="C906">
        <v>0</v>
      </c>
      <c r="D906">
        <v>0</v>
      </c>
      <c r="E906">
        <v>0</v>
      </c>
      <c r="F906">
        <v>0</v>
      </c>
      <c r="G906">
        <v>0</v>
      </c>
      <c r="H906">
        <v>0</v>
      </c>
      <c r="I906" s="2" t="s">
        <v>187</v>
      </c>
    </row>
    <row r="907" spans="1:9" x14ac:dyDescent="0.3">
      <c r="A907">
        <v>1760</v>
      </c>
      <c r="B907">
        <v>0</v>
      </c>
      <c r="C907">
        <v>0</v>
      </c>
      <c r="D907">
        <v>0</v>
      </c>
      <c r="E907">
        <v>0</v>
      </c>
      <c r="F907">
        <v>0</v>
      </c>
      <c r="G907">
        <v>0</v>
      </c>
      <c r="H907">
        <v>0</v>
      </c>
      <c r="I907" s="2" t="s">
        <v>187</v>
      </c>
    </row>
    <row r="908" spans="1:9" x14ac:dyDescent="0.3">
      <c r="A908">
        <v>1946</v>
      </c>
      <c r="B908">
        <v>0</v>
      </c>
      <c r="C908">
        <v>0</v>
      </c>
      <c r="D908">
        <v>0</v>
      </c>
      <c r="E908">
        <v>0</v>
      </c>
      <c r="F908">
        <v>0</v>
      </c>
      <c r="G908">
        <v>0</v>
      </c>
      <c r="H908">
        <v>0</v>
      </c>
      <c r="I908" s="2" t="s">
        <v>187</v>
      </c>
    </row>
    <row r="909" spans="1:9" x14ac:dyDescent="0.3">
      <c r="A909">
        <v>1960</v>
      </c>
      <c r="B909">
        <v>1</v>
      </c>
      <c r="C909">
        <v>0</v>
      </c>
      <c r="D909">
        <v>0</v>
      </c>
      <c r="E909">
        <v>0</v>
      </c>
      <c r="F909">
        <v>0</v>
      </c>
      <c r="G909">
        <v>0</v>
      </c>
      <c r="H909">
        <v>0</v>
      </c>
      <c r="I909" s="2" t="s">
        <v>187</v>
      </c>
    </row>
    <row r="910" spans="1:9" x14ac:dyDescent="0.3">
      <c r="A910">
        <v>2100</v>
      </c>
      <c r="B910">
        <v>0</v>
      </c>
      <c r="C910">
        <v>0</v>
      </c>
      <c r="D910">
        <v>0</v>
      </c>
      <c r="E910">
        <v>0</v>
      </c>
      <c r="F910">
        <v>0</v>
      </c>
      <c r="G910">
        <v>0</v>
      </c>
      <c r="H910">
        <v>0</v>
      </c>
      <c r="I910" s="2" t="s">
        <v>187</v>
      </c>
    </row>
    <row r="911" spans="1:9" x14ac:dyDescent="0.3">
      <c r="A911">
        <v>2234</v>
      </c>
      <c r="B911">
        <v>0</v>
      </c>
      <c r="C911">
        <v>0</v>
      </c>
      <c r="D911">
        <v>0</v>
      </c>
      <c r="E911">
        <v>0</v>
      </c>
      <c r="F911">
        <v>0</v>
      </c>
      <c r="G911">
        <v>0</v>
      </c>
      <c r="H911">
        <v>0</v>
      </c>
      <c r="I911" s="2" t="s">
        <v>187</v>
      </c>
    </row>
    <row r="912" spans="1:9" x14ac:dyDescent="0.3">
      <c r="A912">
        <v>1316</v>
      </c>
      <c r="B912">
        <v>0</v>
      </c>
      <c r="C912">
        <v>0</v>
      </c>
      <c r="D912">
        <v>0</v>
      </c>
      <c r="E912">
        <v>0</v>
      </c>
      <c r="F912">
        <v>0</v>
      </c>
      <c r="G912">
        <v>0</v>
      </c>
      <c r="H912">
        <v>0</v>
      </c>
      <c r="I912" s="2" t="s">
        <v>188</v>
      </c>
    </row>
    <row r="913" spans="1:10" x14ac:dyDescent="0.3">
      <c r="A913">
        <v>1578</v>
      </c>
      <c r="B913">
        <v>0</v>
      </c>
      <c r="C913">
        <v>0</v>
      </c>
      <c r="D913">
        <v>0</v>
      </c>
      <c r="E913">
        <v>0</v>
      </c>
      <c r="F913">
        <v>0</v>
      </c>
      <c r="G913">
        <v>0</v>
      </c>
      <c r="H913">
        <v>0</v>
      </c>
      <c r="I913" s="2" t="s">
        <v>188</v>
      </c>
    </row>
    <row r="914" spans="1:10" x14ac:dyDescent="0.3">
      <c r="A914">
        <v>2181</v>
      </c>
      <c r="B914">
        <v>0</v>
      </c>
      <c r="C914">
        <v>0</v>
      </c>
      <c r="D914">
        <v>0</v>
      </c>
      <c r="E914">
        <v>0</v>
      </c>
      <c r="F914">
        <v>0</v>
      </c>
      <c r="G914">
        <v>0</v>
      </c>
      <c r="H914">
        <v>0</v>
      </c>
      <c r="I914" s="2" t="s">
        <v>188</v>
      </c>
    </row>
    <row r="915" spans="1:10" x14ac:dyDescent="0.3">
      <c r="A915">
        <v>2639</v>
      </c>
      <c r="B915">
        <v>0</v>
      </c>
      <c r="C915">
        <v>0</v>
      </c>
      <c r="D915">
        <v>0</v>
      </c>
      <c r="E915">
        <v>0</v>
      </c>
      <c r="F915">
        <v>0</v>
      </c>
      <c r="G915">
        <v>0</v>
      </c>
      <c r="H915">
        <v>0</v>
      </c>
      <c r="I915" s="2" t="s">
        <v>188</v>
      </c>
    </row>
    <row r="916" spans="1:10" x14ac:dyDescent="0.3">
      <c r="A916">
        <v>2809</v>
      </c>
      <c r="B916">
        <v>0</v>
      </c>
      <c r="C916">
        <v>0</v>
      </c>
      <c r="D916">
        <v>0</v>
      </c>
      <c r="E916">
        <v>0</v>
      </c>
      <c r="F916">
        <v>0</v>
      </c>
      <c r="G916">
        <v>0</v>
      </c>
      <c r="H916">
        <v>1</v>
      </c>
      <c r="I916" s="2" t="s">
        <v>188</v>
      </c>
    </row>
    <row r="917" spans="1:10" x14ac:dyDescent="0.3">
      <c r="A917">
        <v>3022</v>
      </c>
      <c r="B917">
        <v>0</v>
      </c>
      <c r="C917">
        <v>0</v>
      </c>
      <c r="D917">
        <v>1</v>
      </c>
      <c r="E917">
        <v>1</v>
      </c>
      <c r="F917">
        <v>0</v>
      </c>
      <c r="G917">
        <v>0</v>
      </c>
      <c r="H917">
        <v>0</v>
      </c>
      <c r="I917" s="2" t="s">
        <v>188</v>
      </c>
    </row>
    <row r="918" spans="1:10" x14ac:dyDescent="0.3">
      <c r="A918">
        <v>1107</v>
      </c>
      <c r="B918">
        <v>0</v>
      </c>
      <c r="C918">
        <v>0</v>
      </c>
      <c r="D918">
        <v>0</v>
      </c>
      <c r="E918">
        <v>0</v>
      </c>
      <c r="F918">
        <v>0</v>
      </c>
      <c r="G918">
        <v>0</v>
      </c>
      <c r="H918">
        <v>0</v>
      </c>
      <c r="I918" s="2" t="s">
        <v>189</v>
      </c>
    </row>
    <row r="919" spans="1:10" x14ac:dyDescent="0.3">
      <c r="A919">
        <v>1295</v>
      </c>
      <c r="B919">
        <v>0</v>
      </c>
      <c r="C919">
        <v>1</v>
      </c>
      <c r="D919">
        <v>0</v>
      </c>
      <c r="E919">
        <v>0</v>
      </c>
      <c r="F919">
        <v>0</v>
      </c>
      <c r="G919">
        <v>0</v>
      </c>
      <c r="H919">
        <v>0</v>
      </c>
      <c r="I919" s="2" t="s">
        <v>189</v>
      </c>
    </row>
    <row r="920" spans="1:10" x14ac:dyDescent="0.3">
      <c r="A920">
        <v>2735</v>
      </c>
      <c r="B920">
        <v>0</v>
      </c>
      <c r="C920">
        <v>0</v>
      </c>
      <c r="D920">
        <v>0</v>
      </c>
      <c r="E920">
        <v>0</v>
      </c>
      <c r="F920">
        <v>0</v>
      </c>
      <c r="G920">
        <v>0</v>
      </c>
      <c r="H920">
        <v>0</v>
      </c>
      <c r="I920" s="2" t="s">
        <v>189</v>
      </c>
    </row>
    <row r="921" spans="1:10" x14ac:dyDescent="0.3">
      <c r="A921">
        <v>2829</v>
      </c>
      <c r="B921">
        <v>0</v>
      </c>
      <c r="C921">
        <v>0</v>
      </c>
      <c r="D921">
        <v>0</v>
      </c>
      <c r="E921">
        <v>0</v>
      </c>
      <c r="F921">
        <v>0</v>
      </c>
      <c r="G921">
        <v>0</v>
      </c>
      <c r="H921">
        <v>1</v>
      </c>
      <c r="I921" s="2" t="s">
        <v>189</v>
      </c>
    </row>
    <row r="922" spans="1:10" x14ac:dyDescent="0.3">
      <c r="A922">
        <v>1006</v>
      </c>
      <c r="B922">
        <v>0</v>
      </c>
      <c r="C922">
        <v>0</v>
      </c>
      <c r="D922">
        <v>0</v>
      </c>
      <c r="E922">
        <v>0</v>
      </c>
      <c r="F922">
        <v>0</v>
      </c>
      <c r="G922">
        <v>0</v>
      </c>
      <c r="H922">
        <v>0</v>
      </c>
      <c r="I922" s="2" t="s">
        <v>190</v>
      </c>
    </row>
    <row r="923" spans="1:10" x14ac:dyDescent="0.3">
      <c r="A923">
        <v>1544</v>
      </c>
      <c r="B923">
        <v>0</v>
      </c>
      <c r="C923">
        <v>0</v>
      </c>
      <c r="D923">
        <v>0</v>
      </c>
      <c r="E923">
        <v>0</v>
      </c>
      <c r="F923">
        <v>0</v>
      </c>
      <c r="G923">
        <v>0</v>
      </c>
      <c r="H923">
        <v>0</v>
      </c>
      <c r="I923" s="2" t="s">
        <v>190</v>
      </c>
    </row>
    <row r="924" spans="1:10" x14ac:dyDescent="0.3">
      <c r="A924">
        <v>2493</v>
      </c>
      <c r="B924">
        <v>0</v>
      </c>
      <c r="C924">
        <v>0</v>
      </c>
      <c r="D924">
        <v>0</v>
      </c>
      <c r="E924">
        <v>0</v>
      </c>
      <c r="F924">
        <v>0</v>
      </c>
      <c r="G924">
        <v>0</v>
      </c>
      <c r="H924">
        <v>0</v>
      </c>
      <c r="I924" s="2" t="s">
        <v>190</v>
      </c>
    </row>
    <row r="925" spans="1:10" x14ac:dyDescent="0.3">
      <c r="A925">
        <v>2811</v>
      </c>
      <c r="B925">
        <v>0</v>
      </c>
      <c r="C925">
        <v>0</v>
      </c>
      <c r="D925">
        <v>0</v>
      </c>
      <c r="E925">
        <v>0</v>
      </c>
      <c r="F925">
        <v>0</v>
      </c>
      <c r="G925">
        <v>0</v>
      </c>
      <c r="H925">
        <v>0</v>
      </c>
      <c r="I925" s="2" t="s">
        <v>190</v>
      </c>
    </row>
    <row r="926" spans="1:10" x14ac:dyDescent="0.3">
      <c r="A926">
        <v>2863</v>
      </c>
      <c r="B926">
        <v>0</v>
      </c>
      <c r="C926">
        <v>0</v>
      </c>
      <c r="D926">
        <v>0</v>
      </c>
      <c r="E926">
        <v>0</v>
      </c>
      <c r="F926">
        <v>0</v>
      </c>
      <c r="G926">
        <v>0</v>
      </c>
      <c r="H926">
        <v>0</v>
      </c>
      <c r="I926" s="2" t="s">
        <v>190</v>
      </c>
    </row>
    <row r="927" spans="1:10" x14ac:dyDescent="0.3">
      <c r="A927">
        <v>1421</v>
      </c>
      <c r="B927">
        <v>0</v>
      </c>
      <c r="C927">
        <v>0</v>
      </c>
      <c r="D927">
        <v>0</v>
      </c>
      <c r="E927">
        <v>0</v>
      </c>
      <c r="F927">
        <v>0</v>
      </c>
      <c r="G927">
        <v>0</v>
      </c>
      <c r="H927">
        <v>0</v>
      </c>
      <c r="I927" s="2">
        <v>44167</v>
      </c>
      <c r="J927" s="1"/>
    </row>
    <row r="928" spans="1:10" x14ac:dyDescent="0.3">
      <c r="A928">
        <v>1551</v>
      </c>
      <c r="B928">
        <v>0</v>
      </c>
      <c r="C928">
        <v>0</v>
      </c>
      <c r="D928">
        <v>0</v>
      </c>
      <c r="E928">
        <v>0</v>
      </c>
      <c r="F928">
        <v>0</v>
      </c>
      <c r="G928">
        <v>0</v>
      </c>
      <c r="H928">
        <v>0</v>
      </c>
      <c r="I928" s="2">
        <v>44167</v>
      </c>
      <c r="J928" s="1"/>
    </row>
    <row r="929" spans="1:10" x14ac:dyDescent="0.3">
      <c r="A929">
        <v>2739</v>
      </c>
      <c r="B929">
        <v>0</v>
      </c>
      <c r="C929">
        <v>0</v>
      </c>
      <c r="D929">
        <v>0</v>
      </c>
      <c r="E929">
        <v>0</v>
      </c>
      <c r="F929">
        <v>0</v>
      </c>
      <c r="G929">
        <v>0</v>
      </c>
      <c r="H929">
        <v>0</v>
      </c>
      <c r="I929" s="2">
        <v>44167</v>
      </c>
      <c r="J929" s="1"/>
    </row>
    <row r="930" spans="1:10" x14ac:dyDescent="0.3">
      <c r="A930">
        <v>2841</v>
      </c>
      <c r="B930">
        <v>0</v>
      </c>
      <c r="C930">
        <v>0</v>
      </c>
      <c r="D930">
        <v>0</v>
      </c>
      <c r="E930">
        <v>0</v>
      </c>
      <c r="F930">
        <v>0</v>
      </c>
      <c r="G930">
        <v>0</v>
      </c>
      <c r="H930">
        <v>0</v>
      </c>
      <c r="I930" s="2">
        <v>44137</v>
      </c>
      <c r="J930" s="1"/>
    </row>
    <row r="931" spans="1:10" x14ac:dyDescent="0.3">
      <c r="A931">
        <v>2881</v>
      </c>
      <c r="B931">
        <v>0</v>
      </c>
      <c r="C931">
        <v>0</v>
      </c>
      <c r="D931">
        <v>0</v>
      </c>
      <c r="E931">
        <v>0</v>
      </c>
      <c r="F931">
        <v>0</v>
      </c>
      <c r="G931">
        <v>0</v>
      </c>
      <c r="H931">
        <v>0</v>
      </c>
      <c r="I931" s="2">
        <v>44137</v>
      </c>
      <c r="J931" s="1"/>
    </row>
    <row r="932" spans="1:10" x14ac:dyDescent="0.3">
      <c r="A932">
        <v>3039</v>
      </c>
      <c r="B932">
        <v>0</v>
      </c>
      <c r="C932">
        <v>0</v>
      </c>
      <c r="D932">
        <v>0</v>
      </c>
      <c r="E932">
        <v>0</v>
      </c>
      <c r="F932">
        <v>0</v>
      </c>
      <c r="G932">
        <v>0</v>
      </c>
      <c r="H932">
        <v>0</v>
      </c>
      <c r="I932" s="2">
        <v>44137</v>
      </c>
      <c r="J932" s="1"/>
    </row>
    <row r="933" spans="1:10" x14ac:dyDescent="0.3">
      <c r="A933">
        <v>2271</v>
      </c>
      <c r="B933">
        <v>0</v>
      </c>
      <c r="C933">
        <v>0</v>
      </c>
      <c r="D933">
        <v>0</v>
      </c>
      <c r="E933">
        <v>0</v>
      </c>
      <c r="F933">
        <v>0</v>
      </c>
      <c r="G933">
        <v>0</v>
      </c>
      <c r="H933">
        <v>0</v>
      </c>
      <c r="I933" s="2">
        <v>44106</v>
      </c>
      <c r="J933" s="1"/>
    </row>
    <row r="934" spans="1:10" x14ac:dyDescent="0.3">
      <c r="A934">
        <v>2646</v>
      </c>
      <c r="B934">
        <v>0</v>
      </c>
      <c r="C934">
        <v>0</v>
      </c>
      <c r="D934">
        <v>0</v>
      </c>
      <c r="E934">
        <v>0</v>
      </c>
      <c r="F934">
        <v>0</v>
      </c>
      <c r="G934">
        <v>0</v>
      </c>
      <c r="H934">
        <v>0</v>
      </c>
      <c r="I934" s="2">
        <v>44106</v>
      </c>
      <c r="J934" s="1"/>
    </row>
    <row r="935" spans="1:10" x14ac:dyDescent="0.3">
      <c r="A935">
        <v>2693</v>
      </c>
      <c r="B935">
        <v>0</v>
      </c>
      <c r="C935">
        <v>0</v>
      </c>
      <c r="D935">
        <v>0</v>
      </c>
      <c r="E935">
        <v>0</v>
      </c>
      <c r="F935">
        <v>0</v>
      </c>
      <c r="G935">
        <v>0</v>
      </c>
      <c r="H935">
        <v>0</v>
      </c>
      <c r="I935" s="2">
        <v>44106</v>
      </c>
      <c r="J935" s="1"/>
    </row>
    <row r="936" spans="1:10" x14ac:dyDescent="0.3">
      <c r="A936">
        <v>2900</v>
      </c>
      <c r="B936">
        <v>0</v>
      </c>
      <c r="C936">
        <v>0</v>
      </c>
      <c r="D936">
        <v>0</v>
      </c>
      <c r="E936">
        <v>0</v>
      </c>
      <c r="F936">
        <v>0</v>
      </c>
      <c r="G936">
        <v>0</v>
      </c>
      <c r="H936">
        <v>0</v>
      </c>
      <c r="I936" s="2">
        <v>44106</v>
      </c>
      <c r="J936" s="1"/>
    </row>
    <row r="937" spans="1:10" x14ac:dyDescent="0.3">
      <c r="A937">
        <v>1073</v>
      </c>
      <c r="B937">
        <v>0</v>
      </c>
      <c r="C937">
        <v>0</v>
      </c>
      <c r="D937">
        <v>0</v>
      </c>
      <c r="E937">
        <v>0</v>
      </c>
      <c r="F937">
        <v>0</v>
      </c>
      <c r="G937">
        <v>1</v>
      </c>
      <c r="H937">
        <v>0</v>
      </c>
      <c r="I937" s="2">
        <v>44076</v>
      </c>
      <c r="J937" s="1"/>
    </row>
    <row r="938" spans="1:10" x14ac:dyDescent="0.3">
      <c r="A938">
        <v>1114</v>
      </c>
      <c r="B938">
        <v>0</v>
      </c>
      <c r="C938">
        <v>0</v>
      </c>
      <c r="D938">
        <v>0</v>
      </c>
      <c r="E938">
        <v>0</v>
      </c>
      <c r="F938">
        <v>0</v>
      </c>
      <c r="G938">
        <v>0</v>
      </c>
      <c r="H938">
        <v>0</v>
      </c>
      <c r="I938" s="2">
        <v>44076</v>
      </c>
      <c r="J938" s="1"/>
    </row>
    <row r="939" spans="1:10" x14ac:dyDescent="0.3">
      <c r="A939">
        <v>1036</v>
      </c>
      <c r="B939">
        <v>0</v>
      </c>
      <c r="C939">
        <v>0</v>
      </c>
      <c r="D939">
        <v>0</v>
      </c>
      <c r="E939">
        <v>0</v>
      </c>
      <c r="F939">
        <v>0</v>
      </c>
      <c r="G939">
        <v>0</v>
      </c>
      <c r="H939">
        <v>0</v>
      </c>
      <c r="I939" s="2">
        <v>44014</v>
      </c>
      <c r="J939" s="1"/>
    </row>
    <row r="940" spans="1:10" x14ac:dyDescent="0.3">
      <c r="A940">
        <v>2522</v>
      </c>
      <c r="B940">
        <v>0</v>
      </c>
      <c r="C940">
        <v>0</v>
      </c>
      <c r="D940">
        <v>0</v>
      </c>
      <c r="E940">
        <v>0</v>
      </c>
      <c r="F940">
        <v>0</v>
      </c>
      <c r="G940">
        <v>0</v>
      </c>
      <c r="H940">
        <v>0</v>
      </c>
      <c r="I940" s="2">
        <v>44014</v>
      </c>
      <c r="J940" s="1"/>
    </row>
    <row r="941" spans="1:10" x14ac:dyDescent="0.3">
      <c r="A941">
        <v>1749</v>
      </c>
      <c r="B941">
        <v>0</v>
      </c>
      <c r="C941">
        <v>0</v>
      </c>
      <c r="D941">
        <v>0</v>
      </c>
      <c r="E941">
        <v>0</v>
      </c>
      <c r="F941">
        <v>0</v>
      </c>
      <c r="G941">
        <v>0</v>
      </c>
      <c r="H941">
        <v>0</v>
      </c>
      <c r="I941" s="2">
        <v>43984</v>
      </c>
      <c r="J941" s="1"/>
    </row>
    <row r="942" spans="1:10" x14ac:dyDescent="0.3">
      <c r="A942">
        <v>1800</v>
      </c>
      <c r="B942">
        <v>0</v>
      </c>
      <c r="C942">
        <v>0</v>
      </c>
      <c r="D942">
        <v>0</v>
      </c>
      <c r="E942">
        <v>0</v>
      </c>
      <c r="F942">
        <v>0</v>
      </c>
      <c r="G942">
        <v>0</v>
      </c>
      <c r="H942">
        <v>0</v>
      </c>
      <c r="I942" s="2">
        <v>43984</v>
      </c>
      <c r="J942" s="1"/>
    </row>
    <row r="943" spans="1:10" x14ac:dyDescent="0.3">
      <c r="A943">
        <v>2177</v>
      </c>
      <c r="B943">
        <v>0</v>
      </c>
      <c r="C943">
        <v>0</v>
      </c>
      <c r="D943">
        <v>0</v>
      </c>
      <c r="E943">
        <v>0</v>
      </c>
      <c r="F943">
        <v>0</v>
      </c>
      <c r="G943">
        <v>0</v>
      </c>
      <c r="H943">
        <v>0</v>
      </c>
      <c r="I943" s="2">
        <v>43984</v>
      </c>
      <c r="J943" s="1"/>
    </row>
    <row r="944" spans="1:10" x14ac:dyDescent="0.3">
      <c r="A944">
        <v>1206</v>
      </c>
      <c r="B944">
        <v>0</v>
      </c>
      <c r="C944">
        <v>0</v>
      </c>
      <c r="D944">
        <v>0</v>
      </c>
      <c r="E944">
        <v>0</v>
      </c>
      <c r="F944">
        <v>0</v>
      </c>
      <c r="G944">
        <v>0</v>
      </c>
      <c r="H944">
        <v>0</v>
      </c>
      <c r="I944" s="2">
        <v>43953</v>
      </c>
      <c r="J944" s="1"/>
    </row>
    <row r="945" spans="1:10" x14ac:dyDescent="0.3">
      <c r="A945">
        <v>1640</v>
      </c>
      <c r="B945">
        <v>0</v>
      </c>
      <c r="C945">
        <v>0</v>
      </c>
      <c r="D945">
        <v>0</v>
      </c>
      <c r="E945">
        <v>0</v>
      </c>
      <c r="F945">
        <v>0</v>
      </c>
      <c r="G945">
        <v>0</v>
      </c>
      <c r="H945">
        <v>0</v>
      </c>
      <c r="I945" s="2">
        <v>43953</v>
      </c>
      <c r="J945" s="1"/>
    </row>
    <row r="946" spans="1:10" x14ac:dyDescent="0.3">
      <c r="A946">
        <v>2328</v>
      </c>
      <c r="B946">
        <v>0</v>
      </c>
      <c r="C946">
        <v>1</v>
      </c>
      <c r="D946">
        <v>0</v>
      </c>
      <c r="E946">
        <v>0</v>
      </c>
      <c r="F946">
        <v>0</v>
      </c>
      <c r="G946">
        <v>0</v>
      </c>
      <c r="H946">
        <v>0</v>
      </c>
      <c r="I946" s="2">
        <v>43953</v>
      </c>
      <c r="J946" s="1"/>
    </row>
    <row r="947" spans="1:10" x14ac:dyDescent="0.3">
      <c r="A947">
        <v>2606</v>
      </c>
      <c r="B947">
        <v>0</v>
      </c>
      <c r="C947">
        <v>0</v>
      </c>
      <c r="D947">
        <v>0</v>
      </c>
      <c r="E947">
        <v>0</v>
      </c>
      <c r="F947">
        <v>0</v>
      </c>
      <c r="G947">
        <v>0</v>
      </c>
      <c r="H947">
        <v>0</v>
      </c>
      <c r="I947" s="2">
        <v>43953</v>
      </c>
      <c r="J947" s="1"/>
    </row>
    <row r="948" spans="1:10" x14ac:dyDescent="0.3">
      <c r="A948">
        <v>2793</v>
      </c>
      <c r="B948">
        <v>0</v>
      </c>
      <c r="C948">
        <v>0</v>
      </c>
      <c r="D948">
        <v>0</v>
      </c>
      <c r="E948">
        <v>0</v>
      </c>
      <c r="F948">
        <v>0</v>
      </c>
      <c r="G948">
        <v>0</v>
      </c>
      <c r="H948">
        <v>0</v>
      </c>
      <c r="I948" s="2">
        <v>43953</v>
      </c>
      <c r="J948" s="1"/>
    </row>
    <row r="949" spans="1:10" x14ac:dyDescent="0.3">
      <c r="A949">
        <v>2818</v>
      </c>
      <c r="B949">
        <v>0</v>
      </c>
      <c r="C949">
        <v>0</v>
      </c>
      <c r="D949">
        <v>0</v>
      </c>
      <c r="E949">
        <v>0</v>
      </c>
      <c r="F949">
        <v>0</v>
      </c>
      <c r="G949">
        <v>0</v>
      </c>
      <c r="H949">
        <v>0</v>
      </c>
      <c r="I949" s="2">
        <v>43953</v>
      </c>
      <c r="J949" s="1"/>
    </row>
    <row r="950" spans="1:10" x14ac:dyDescent="0.3">
      <c r="A950">
        <v>2914</v>
      </c>
      <c r="B950">
        <v>0</v>
      </c>
      <c r="C950">
        <v>0</v>
      </c>
      <c r="D950">
        <v>0</v>
      </c>
      <c r="E950">
        <v>0</v>
      </c>
      <c r="F950">
        <v>0</v>
      </c>
      <c r="G950">
        <v>0</v>
      </c>
      <c r="H950">
        <v>0</v>
      </c>
      <c r="I950" s="2">
        <v>43953</v>
      </c>
      <c r="J950" s="1"/>
    </row>
    <row r="951" spans="1:10" x14ac:dyDescent="0.3">
      <c r="A951">
        <v>3059</v>
      </c>
      <c r="B951">
        <v>0</v>
      </c>
      <c r="C951">
        <v>0</v>
      </c>
      <c r="D951">
        <v>0</v>
      </c>
      <c r="E951">
        <v>0</v>
      </c>
      <c r="F951">
        <v>0</v>
      </c>
      <c r="G951">
        <v>0</v>
      </c>
      <c r="H951">
        <v>1</v>
      </c>
      <c r="I951" s="2">
        <v>43953</v>
      </c>
      <c r="J951" s="1"/>
    </row>
    <row r="952" spans="1:10" x14ac:dyDescent="0.3">
      <c r="A952">
        <v>1757</v>
      </c>
      <c r="B952">
        <v>0</v>
      </c>
      <c r="C952">
        <v>0</v>
      </c>
      <c r="D952">
        <v>0</v>
      </c>
      <c r="E952">
        <v>0</v>
      </c>
      <c r="F952">
        <v>0</v>
      </c>
      <c r="G952">
        <v>0</v>
      </c>
      <c r="H952">
        <v>0</v>
      </c>
      <c r="I952" s="2">
        <v>43923</v>
      </c>
      <c r="J952" s="1"/>
    </row>
    <row r="953" spans="1:10" x14ac:dyDescent="0.3">
      <c r="A953">
        <v>2095</v>
      </c>
      <c r="B953">
        <v>0</v>
      </c>
      <c r="C953">
        <v>0</v>
      </c>
      <c r="D953">
        <v>0</v>
      </c>
      <c r="E953">
        <v>0</v>
      </c>
      <c r="F953">
        <v>0</v>
      </c>
      <c r="G953">
        <v>0</v>
      </c>
      <c r="H953">
        <v>0</v>
      </c>
      <c r="I953" s="2">
        <v>43923</v>
      </c>
      <c r="J953" s="1"/>
    </row>
    <row r="954" spans="1:10" x14ac:dyDescent="0.3">
      <c r="A954">
        <v>2579</v>
      </c>
      <c r="B954">
        <v>0</v>
      </c>
      <c r="C954">
        <v>0</v>
      </c>
      <c r="D954">
        <v>0</v>
      </c>
      <c r="E954">
        <v>0</v>
      </c>
      <c r="F954">
        <v>0</v>
      </c>
      <c r="G954">
        <v>0</v>
      </c>
      <c r="H954">
        <v>0</v>
      </c>
      <c r="I954" s="2">
        <v>43923</v>
      </c>
      <c r="J954" s="1"/>
    </row>
    <row r="955" spans="1:10" x14ac:dyDescent="0.3">
      <c r="A955">
        <v>1034</v>
      </c>
      <c r="B955">
        <v>0</v>
      </c>
      <c r="C955">
        <v>0</v>
      </c>
      <c r="D955">
        <v>0</v>
      </c>
      <c r="E955">
        <v>0</v>
      </c>
      <c r="F955">
        <v>0</v>
      </c>
      <c r="G955">
        <v>0</v>
      </c>
      <c r="H955">
        <v>0</v>
      </c>
      <c r="I955" s="2">
        <v>43892</v>
      </c>
      <c r="J955" s="1"/>
    </row>
    <row r="956" spans="1:10" x14ac:dyDescent="0.3">
      <c r="A956">
        <v>1356</v>
      </c>
      <c r="B956">
        <v>1</v>
      </c>
      <c r="C956">
        <v>0</v>
      </c>
      <c r="D956">
        <v>0</v>
      </c>
      <c r="E956">
        <v>0</v>
      </c>
      <c r="F956">
        <v>0</v>
      </c>
      <c r="G956">
        <v>0</v>
      </c>
      <c r="H956">
        <v>0</v>
      </c>
      <c r="I956" s="2">
        <v>43892</v>
      </c>
      <c r="J956" s="1"/>
    </row>
    <row r="957" spans="1:10" x14ac:dyDescent="0.3">
      <c r="A957">
        <v>1133</v>
      </c>
      <c r="B957">
        <v>0</v>
      </c>
      <c r="C957">
        <v>0</v>
      </c>
      <c r="D957">
        <v>0</v>
      </c>
      <c r="E957">
        <v>0</v>
      </c>
      <c r="F957">
        <v>0</v>
      </c>
      <c r="G957">
        <v>0</v>
      </c>
      <c r="H957">
        <v>0</v>
      </c>
      <c r="I957" s="2">
        <v>43863</v>
      </c>
      <c r="J957" s="1"/>
    </row>
    <row r="958" spans="1:10" x14ac:dyDescent="0.3">
      <c r="A958">
        <v>1137</v>
      </c>
      <c r="B958">
        <v>0</v>
      </c>
      <c r="C958">
        <v>0</v>
      </c>
      <c r="D958">
        <v>0</v>
      </c>
      <c r="E958">
        <v>0</v>
      </c>
      <c r="F958">
        <v>0</v>
      </c>
      <c r="G958">
        <v>1</v>
      </c>
      <c r="H958">
        <v>0</v>
      </c>
      <c r="I958" s="2">
        <v>43863</v>
      </c>
      <c r="J958" s="1"/>
    </row>
    <row r="959" spans="1:10" x14ac:dyDescent="0.3">
      <c r="A959">
        <v>1156</v>
      </c>
      <c r="B959">
        <v>0</v>
      </c>
      <c r="C959">
        <v>1</v>
      </c>
      <c r="D959">
        <v>0</v>
      </c>
      <c r="E959">
        <v>0</v>
      </c>
      <c r="F959">
        <v>0</v>
      </c>
      <c r="G959">
        <v>0</v>
      </c>
      <c r="H959">
        <v>0</v>
      </c>
      <c r="I959" s="2">
        <v>43863</v>
      </c>
      <c r="J959" s="1"/>
    </row>
    <row r="960" spans="1:10" x14ac:dyDescent="0.3">
      <c r="A960">
        <v>2096</v>
      </c>
      <c r="B960">
        <v>0</v>
      </c>
      <c r="C960">
        <v>1</v>
      </c>
      <c r="D960">
        <v>1</v>
      </c>
      <c r="E960">
        <v>0</v>
      </c>
      <c r="F960">
        <v>0</v>
      </c>
      <c r="G960">
        <v>0</v>
      </c>
      <c r="H960">
        <v>0</v>
      </c>
      <c r="I960" s="2">
        <v>43863</v>
      </c>
      <c r="J960" s="1"/>
    </row>
    <row r="961" spans="1:10" x14ac:dyDescent="0.3">
      <c r="A961">
        <v>2686</v>
      </c>
      <c r="B961">
        <v>1</v>
      </c>
      <c r="C961">
        <v>0</v>
      </c>
      <c r="D961">
        <v>1</v>
      </c>
      <c r="E961">
        <v>1</v>
      </c>
      <c r="F961">
        <v>0</v>
      </c>
      <c r="G961">
        <v>0</v>
      </c>
      <c r="H961">
        <v>1</v>
      </c>
      <c r="I961" s="2">
        <v>43863</v>
      </c>
      <c r="J961" s="1"/>
    </row>
    <row r="962" spans="1:10" x14ac:dyDescent="0.3">
      <c r="A962">
        <v>2231</v>
      </c>
      <c r="B962">
        <v>0</v>
      </c>
      <c r="C962">
        <v>0</v>
      </c>
      <c r="D962">
        <v>1</v>
      </c>
      <c r="E962">
        <v>1</v>
      </c>
      <c r="F962">
        <v>0</v>
      </c>
      <c r="G962">
        <v>0</v>
      </c>
      <c r="H962">
        <v>1</v>
      </c>
      <c r="I962" s="2">
        <v>43832</v>
      </c>
      <c r="J962" s="1"/>
    </row>
    <row r="963" spans="1:10" x14ac:dyDescent="0.3">
      <c r="A963">
        <v>2292</v>
      </c>
      <c r="B963">
        <v>0</v>
      </c>
      <c r="C963">
        <v>0</v>
      </c>
      <c r="D963">
        <v>0</v>
      </c>
      <c r="E963">
        <v>0</v>
      </c>
      <c r="F963">
        <v>0</v>
      </c>
      <c r="G963">
        <v>0</v>
      </c>
      <c r="H963">
        <v>0</v>
      </c>
      <c r="I963" s="2" t="s">
        <v>191</v>
      </c>
    </row>
    <row r="964" spans="1:10" x14ac:dyDescent="0.3">
      <c r="A964">
        <v>2569</v>
      </c>
      <c r="B964">
        <v>0</v>
      </c>
      <c r="C964">
        <v>0</v>
      </c>
      <c r="D964">
        <v>0</v>
      </c>
      <c r="E964">
        <v>0</v>
      </c>
      <c r="F964">
        <v>0</v>
      </c>
      <c r="G964">
        <v>0</v>
      </c>
      <c r="H964">
        <v>0</v>
      </c>
      <c r="I964" s="2" t="s">
        <v>191</v>
      </c>
    </row>
    <row r="965" spans="1:10" x14ac:dyDescent="0.3">
      <c r="A965">
        <v>3085</v>
      </c>
      <c r="B965">
        <v>0</v>
      </c>
      <c r="C965">
        <v>0</v>
      </c>
      <c r="D965">
        <v>0</v>
      </c>
      <c r="E965">
        <v>0</v>
      </c>
      <c r="F965">
        <v>0</v>
      </c>
      <c r="G965">
        <v>0</v>
      </c>
      <c r="H965">
        <v>0</v>
      </c>
      <c r="I965" s="2" t="s">
        <v>191</v>
      </c>
    </row>
    <row r="966" spans="1:10" x14ac:dyDescent="0.3">
      <c r="A966">
        <v>1672</v>
      </c>
      <c r="B966">
        <v>0</v>
      </c>
      <c r="C966">
        <v>0</v>
      </c>
      <c r="D966">
        <v>0</v>
      </c>
      <c r="E966">
        <v>0</v>
      </c>
      <c r="F966">
        <v>0</v>
      </c>
      <c r="G966">
        <v>0</v>
      </c>
      <c r="H966">
        <v>0</v>
      </c>
      <c r="I966" s="2" t="s">
        <v>192</v>
      </c>
    </row>
    <row r="967" spans="1:10" x14ac:dyDescent="0.3">
      <c r="A967">
        <v>2168</v>
      </c>
      <c r="B967">
        <v>0</v>
      </c>
      <c r="C967">
        <v>0</v>
      </c>
      <c r="D967">
        <v>0</v>
      </c>
      <c r="E967">
        <v>1</v>
      </c>
      <c r="F967">
        <v>0</v>
      </c>
      <c r="G967">
        <v>0</v>
      </c>
      <c r="H967">
        <v>0</v>
      </c>
      <c r="I967" s="2" t="s">
        <v>192</v>
      </c>
    </row>
    <row r="968" spans="1:10" x14ac:dyDescent="0.3">
      <c r="A968">
        <v>2801</v>
      </c>
      <c r="B968">
        <v>0</v>
      </c>
      <c r="C968">
        <v>0</v>
      </c>
      <c r="D968">
        <v>0</v>
      </c>
      <c r="E968">
        <v>0</v>
      </c>
      <c r="F968">
        <v>0</v>
      </c>
      <c r="G968">
        <v>0</v>
      </c>
      <c r="H968">
        <v>0</v>
      </c>
      <c r="I968" s="2" t="s">
        <v>192</v>
      </c>
    </row>
    <row r="969" spans="1:10" x14ac:dyDescent="0.3">
      <c r="A969">
        <v>2940</v>
      </c>
      <c r="B969">
        <v>0</v>
      </c>
      <c r="C969">
        <v>0</v>
      </c>
      <c r="D969">
        <v>0</v>
      </c>
      <c r="E969">
        <v>0</v>
      </c>
      <c r="F969">
        <v>0</v>
      </c>
      <c r="G969">
        <v>0</v>
      </c>
      <c r="H969">
        <v>0</v>
      </c>
      <c r="I969" s="2" t="s">
        <v>193</v>
      </c>
    </row>
    <row r="970" spans="1:10" x14ac:dyDescent="0.3">
      <c r="A970">
        <v>1502</v>
      </c>
      <c r="B970">
        <v>0</v>
      </c>
      <c r="C970">
        <v>0</v>
      </c>
      <c r="D970">
        <v>0</v>
      </c>
      <c r="E970">
        <v>0</v>
      </c>
      <c r="F970">
        <v>0</v>
      </c>
      <c r="G970">
        <v>0</v>
      </c>
      <c r="H970">
        <v>0</v>
      </c>
      <c r="I970" s="2" t="s">
        <v>194</v>
      </c>
    </row>
    <row r="971" spans="1:10" x14ac:dyDescent="0.3">
      <c r="A971">
        <v>1561</v>
      </c>
      <c r="B971">
        <v>0</v>
      </c>
      <c r="C971">
        <v>0</v>
      </c>
      <c r="D971">
        <v>0</v>
      </c>
      <c r="E971">
        <v>0</v>
      </c>
      <c r="F971">
        <v>0</v>
      </c>
      <c r="G971">
        <v>0</v>
      </c>
      <c r="H971">
        <v>0</v>
      </c>
      <c r="I971" s="2" t="s">
        <v>194</v>
      </c>
    </row>
    <row r="972" spans="1:10" x14ac:dyDescent="0.3">
      <c r="A972">
        <v>2073</v>
      </c>
      <c r="B972">
        <v>0</v>
      </c>
      <c r="C972">
        <v>0</v>
      </c>
      <c r="D972">
        <v>0</v>
      </c>
      <c r="E972">
        <v>0</v>
      </c>
      <c r="F972">
        <v>0</v>
      </c>
      <c r="G972">
        <v>0</v>
      </c>
      <c r="H972">
        <v>0</v>
      </c>
      <c r="I972" s="2" t="s">
        <v>194</v>
      </c>
    </row>
    <row r="973" spans="1:10" x14ac:dyDescent="0.3">
      <c r="A973">
        <v>1422</v>
      </c>
      <c r="B973">
        <v>0</v>
      </c>
      <c r="C973">
        <v>0</v>
      </c>
      <c r="D973">
        <v>0</v>
      </c>
      <c r="E973">
        <v>0</v>
      </c>
      <c r="F973">
        <v>0</v>
      </c>
      <c r="G973">
        <v>0</v>
      </c>
      <c r="H973">
        <v>0</v>
      </c>
      <c r="I973" s="2" t="s">
        <v>195</v>
      </c>
    </row>
    <row r="974" spans="1:10" x14ac:dyDescent="0.3">
      <c r="A974">
        <v>2167</v>
      </c>
      <c r="B974">
        <v>0</v>
      </c>
      <c r="C974">
        <v>0</v>
      </c>
      <c r="D974">
        <v>0</v>
      </c>
      <c r="E974">
        <v>0</v>
      </c>
      <c r="F974">
        <v>0</v>
      </c>
      <c r="G974">
        <v>0</v>
      </c>
      <c r="H974">
        <v>0</v>
      </c>
      <c r="I974" s="2" t="s">
        <v>195</v>
      </c>
    </row>
    <row r="975" spans="1:10" x14ac:dyDescent="0.3">
      <c r="A975">
        <v>2459</v>
      </c>
      <c r="B975">
        <v>0</v>
      </c>
      <c r="C975">
        <v>0</v>
      </c>
      <c r="D975">
        <v>0</v>
      </c>
      <c r="E975">
        <v>0</v>
      </c>
      <c r="F975">
        <v>0</v>
      </c>
      <c r="G975">
        <v>0</v>
      </c>
      <c r="H975">
        <v>0</v>
      </c>
      <c r="I975" s="2" t="s">
        <v>195</v>
      </c>
    </row>
    <row r="976" spans="1:10" x14ac:dyDescent="0.3">
      <c r="A976">
        <v>1003</v>
      </c>
      <c r="B976">
        <v>0</v>
      </c>
      <c r="C976">
        <v>0</v>
      </c>
      <c r="D976">
        <v>0</v>
      </c>
      <c r="E976">
        <v>0</v>
      </c>
      <c r="F976">
        <v>0</v>
      </c>
      <c r="G976">
        <v>0</v>
      </c>
      <c r="H976">
        <v>0</v>
      </c>
      <c r="I976" s="2" t="s">
        <v>196</v>
      </c>
    </row>
    <row r="977" spans="1:9" x14ac:dyDescent="0.3">
      <c r="A977">
        <v>1966</v>
      </c>
      <c r="B977">
        <v>0</v>
      </c>
      <c r="C977">
        <v>0</v>
      </c>
      <c r="D977">
        <v>0</v>
      </c>
      <c r="E977">
        <v>0</v>
      </c>
      <c r="F977">
        <v>0</v>
      </c>
      <c r="G977">
        <v>0</v>
      </c>
      <c r="H977">
        <v>0</v>
      </c>
      <c r="I977" s="2" t="s">
        <v>196</v>
      </c>
    </row>
    <row r="978" spans="1:9" x14ac:dyDescent="0.3">
      <c r="A978">
        <v>2007</v>
      </c>
      <c r="B978">
        <v>1</v>
      </c>
      <c r="C978">
        <v>0</v>
      </c>
      <c r="D978">
        <v>0</v>
      </c>
      <c r="E978">
        <v>0</v>
      </c>
      <c r="F978">
        <v>0</v>
      </c>
      <c r="G978">
        <v>0</v>
      </c>
      <c r="H978">
        <v>1</v>
      </c>
      <c r="I978" s="2" t="s">
        <v>196</v>
      </c>
    </row>
    <row r="979" spans="1:9" x14ac:dyDescent="0.3">
      <c r="A979">
        <v>3165</v>
      </c>
      <c r="B979">
        <v>1</v>
      </c>
      <c r="C979">
        <v>0</v>
      </c>
      <c r="D979">
        <v>0</v>
      </c>
      <c r="E979">
        <v>0</v>
      </c>
      <c r="F979">
        <v>0</v>
      </c>
      <c r="G979">
        <v>0</v>
      </c>
      <c r="H979">
        <v>0</v>
      </c>
      <c r="I979" s="2" t="s">
        <v>196</v>
      </c>
    </row>
    <row r="980" spans="1:9" x14ac:dyDescent="0.3">
      <c r="A980">
        <v>1149</v>
      </c>
      <c r="B980">
        <v>0</v>
      </c>
      <c r="C980">
        <v>0</v>
      </c>
      <c r="D980">
        <v>0</v>
      </c>
      <c r="E980">
        <v>0</v>
      </c>
      <c r="F980">
        <v>0</v>
      </c>
      <c r="G980">
        <v>0</v>
      </c>
      <c r="H980">
        <v>0</v>
      </c>
      <c r="I980" s="2" t="s">
        <v>197</v>
      </c>
    </row>
    <row r="981" spans="1:9" x14ac:dyDescent="0.3">
      <c r="A981">
        <v>1342</v>
      </c>
      <c r="B981">
        <v>0</v>
      </c>
      <c r="C981">
        <v>0</v>
      </c>
      <c r="D981">
        <v>0</v>
      </c>
      <c r="E981">
        <v>0</v>
      </c>
      <c r="F981">
        <v>0</v>
      </c>
      <c r="G981">
        <v>1</v>
      </c>
      <c r="H981">
        <v>0</v>
      </c>
      <c r="I981" s="2" t="s">
        <v>197</v>
      </c>
    </row>
    <row r="982" spans="1:9" x14ac:dyDescent="0.3">
      <c r="A982">
        <v>1573</v>
      </c>
      <c r="B982">
        <v>0</v>
      </c>
      <c r="C982">
        <v>0</v>
      </c>
      <c r="D982">
        <v>0</v>
      </c>
      <c r="E982">
        <v>0</v>
      </c>
      <c r="F982">
        <v>0</v>
      </c>
      <c r="G982">
        <v>0</v>
      </c>
      <c r="H982">
        <v>0</v>
      </c>
      <c r="I982" s="2" t="s">
        <v>197</v>
      </c>
    </row>
    <row r="983" spans="1:9" x14ac:dyDescent="0.3">
      <c r="A983">
        <v>2058</v>
      </c>
      <c r="B983">
        <v>0</v>
      </c>
      <c r="C983">
        <v>0</v>
      </c>
      <c r="D983">
        <v>0</v>
      </c>
      <c r="E983">
        <v>0</v>
      </c>
      <c r="F983">
        <v>0</v>
      </c>
      <c r="G983">
        <v>0</v>
      </c>
      <c r="H983">
        <v>0</v>
      </c>
      <c r="I983" s="2" t="s">
        <v>197</v>
      </c>
    </row>
    <row r="984" spans="1:9" x14ac:dyDescent="0.3">
      <c r="A984">
        <v>2249</v>
      </c>
      <c r="B984">
        <v>0</v>
      </c>
      <c r="C984">
        <v>0</v>
      </c>
      <c r="D984">
        <v>0</v>
      </c>
      <c r="E984">
        <v>0</v>
      </c>
      <c r="F984">
        <v>0</v>
      </c>
      <c r="G984">
        <v>0</v>
      </c>
      <c r="H984">
        <v>0</v>
      </c>
      <c r="I984" s="2" t="s">
        <v>197</v>
      </c>
    </row>
    <row r="985" spans="1:9" x14ac:dyDescent="0.3">
      <c r="A985">
        <v>2357</v>
      </c>
      <c r="B985">
        <v>1</v>
      </c>
      <c r="C985">
        <v>0</v>
      </c>
      <c r="D985">
        <v>0</v>
      </c>
      <c r="E985">
        <v>0</v>
      </c>
      <c r="F985">
        <v>0</v>
      </c>
      <c r="G985">
        <v>0</v>
      </c>
      <c r="H985">
        <v>1</v>
      </c>
      <c r="I985" s="2" t="s">
        <v>197</v>
      </c>
    </row>
    <row r="986" spans="1:9" x14ac:dyDescent="0.3">
      <c r="A986">
        <v>2363</v>
      </c>
      <c r="B986">
        <v>0</v>
      </c>
      <c r="C986">
        <v>0</v>
      </c>
      <c r="D986">
        <v>0</v>
      </c>
      <c r="E986">
        <v>0</v>
      </c>
      <c r="F986">
        <v>0</v>
      </c>
      <c r="G986">
        <v>0</v>
      </c>
      <c r="H986">
        <v>0</v>
      </c>
      <c r="I986" s="2" t="s">
        <v>197</v>
      </c>
    </row>
    <row r="987" spans="1:9" x14ac:dyDescent="0.3">
      <c r="A987">
        <v>2596</v>
      </c>
      <c r="B987">
        <v>0</v>
      </c>
      <c r="C987">
        <v>1</v>
      </c>
      <c r="D987">
        <v>0</v>
      </c>
      <c r="E987">
        <v>0</v>
      </c>
      <c r="F987">
        <v>0</v>
      </c>
      <c r="G987">
        <v>0</v>
      </c>
      <c r="H987">
        <v>0</v>
      </c>
      <c r="I987" s="2" t="s">
        <v>197</v>
      </c>
    </row>
    <row r="988" spans="1:9" x14ac:dyDescent="0.3">
      <c r="A988">
        <v>2641</v>
      </c>
      <c r="B988">
        <v>0</v>
      </c>
      <c r="C988">
        <v>0</v>
      </c>
      <c r="D988">
        <v>0</v>
      </c>
      <c r="E988">
        <v>0</v>
      </c>
      <c r="F988">
        <v>0</v>
      </c>
      <c r="G988">
        <v>0</v>
      </c>
      <c r="H988">
        <v>0</v>
      </c>
      <c r="I988" s="2" t="s">
        <v>197</v>
      </c>
    </row>
    <row r="989" spans="1:9" x14ac:dyDescent="0.3">
      <c r="A989">
        <v>2738</v>
      </c>
      <c r="B989">
        <v>0</v>
      </c>
      <c r="C989">
        <v>0</v>
      </c>
      <c r="D989">
        <v>0</v>
      </c>
      <c r="E989">
        <v>0</v>
      </c>
      <c r="F989">
        <v>0</v>
      </c>
      <c r="G989">
        <v>0</v>
      </c>
      <c r="H989">
        <v>0</v>
      </c>
      <c r="I989" s="2" t="s">
        <v>197</v>
      </c>
    </row>
    <row r="990" spans="1:9" x14ac:dyDescent="0.3">
      <c r="A990">
        <v>1594</v>
      </c>
      <c r="B990">
        <v>0</v>
      </c>
      <c r="C990">
        <v>0</v>
      </c>
      <c r="D990">
        <v>0</v>
      </c>
      <c r="E990">
        <v>0</v>
      </c>
      <c r="F990">
        <v>0</v>
      </c>
      <c r="G990">
        <v>0</v>
      </c>
      <c r="H990">
        <v>0</v>
      </c>
      <c r="I990" s="2" t="s">
        <v>198</v>
      </c>
    </row>
    <row r="991" spans="1:9" x14ac:dyDescent="0.3">
      <c r="A991">
        <v>1947</v>
      </c>
      <c r="B991">
        <v>0</v>
      </c>
      <c r="C991">
        <v>0</v>
      </c>
      <c r="D991">
        <v>1</v>
      </c>
      <c r="E991">
        <v>1</v>
      </c>
      <c r="F991">
        <v>0</v>
      </c>
      <c r="G991">
        <v>0</v>
      </c>
      <c r="H991">
        <v>1</v>
      </c>
      <c r="I991" s="2" t="s">
        <v>198</v>
      </c>
    </row>
    <row r="992" spans="1:9" x14ac:dyDescent="0.3">
      <c r="A992">
        <v>2437</v>
      </c>
      <c r="B992">
        <v>0</v>
      </c>
      <c r="C992">
        <v>0</v>
      </c>
      <c r="D992">
        <v>0</v>
      </c>
      <c r="E992">
        <v>0</v>
      </c>
      <c r="F992">
        <v>0</v>
      </c>
      <c r="G992">
        <v>1</v>
      </c>
      <c r="H992">
        <v>0</v>
      </c>
      <c r="I992" s="2" t="s">
        <v>198</v>
      </c>
    </row>
    <row r="993" spans="1:9" x14ac:dyDescent="0.3">
      <c r="A993">
        <v>1628</v>
      </c>
      <c r="B993">
        <v>0</v>
      </c>
      <c r="C993">
        <v>0</v>
      </c>
      <c r="D993">
        <v>0</v>
      </c>
      <c r="E993">
        <v>0</v>
      </c>
      <c r="F993">
        <v>0</v>
      </c>
      <c r="G993">
        <v>0</v>
      </c>
      <c r="H993">
        <v>0</v>
      </c>
      <c r="I993" s="2" t="s">
        <v>199</v>
      </c>
    </row>
    <row r="994" spans="1:9" x14ac:dyDescent="0.3">
      <c r="A994">
        <v>2064</v>
      </c>
      <c r="B994">
        <v>0</v>
      </c>
      <c r="C994">
        <v>0</v>
      </c>
      <c r="D994">
        <v>0</v>
      </c>
      <c r="E994">
        <v>0</v>
      </c>
      <c r="F994">
        <v>0</v>
      </c>
      <c r="G994">
        <v>0</v>
      </c>
      <c r="H994">
        <v>0</v>
      </c>
      <c r="I994" s="2" t="s">
        <v>200</v>
      </c>
    </row>
    <row r="995" spans="1:9" x14ac:dyDescent="0.3">
      <c r="A995">
        <v>2124</v>
      </c>
      <c r="B995">
        <v>0</v>
      </c>
      <c r="C995">
        <v>0</v>
      </c>
      <c r="D995">
        <v>0</v>
      </c>
      <c r="E995">
        <v>0</v>
      </c>
      <c r="F995">
        <v>0</v>
      </c>
      <c r="G995">
        <v>0</v>
      </c>
      <c r="H995">
        <v>0</v>
      </c>
      <c r="I995" s="2" t="s">
        <v>200</v>
      </c>
    </row>
    <row r="996" spans="1:9" x14ac:dyDescent="0.3">
      <c r="A996">
        <v>2185</v>
      </c>
      <c r="B996">
        <v>0</v>
      </c>
      <c r="C996">
        <v>0</v>
      </c>
      <c r="D996">
        <v>0</v>
      </c>
      <c r="E996">
        <v>0</v>
      </c>
      <c r="F996">
        <v>0</v>
      </c>
      <c r="G996">
        <v>0</v>
      </c>
      <c r="H996">
        <v>0</v>
      </c>
      <c r="I996" s="2" t="s">
        <v>200</v>
      </c>
    </row>
    <row r="997" spans="1:9" x14ac:dyDescent="0.3">
      <c r="A997">
        <v>2588</v>
      </c>
      <c r="B997">
        <v>1</v>
      </c>
      <c r="C997">
        <v>0</v>
      </c>
      <c r="D997">
        <v>0</v>
      </c>
      <c r="E997">
        <v>0</v>
      </c>
      <c r="F997">
        <v>0</v>
      </c>
      <c r="G997">
        <v>0</v>
      </c>
      <c r="H997">
        <v>1</v>
      </c>
      <c r="I997" s="2" t="s">
        <v>200</v>
      </c>
    </row>
    <row r="998" spans="1:9" x14ac:dyDescent="0.3">
      <c r="A998">
        <v>1506</v>
      </c>
      <c r="B998">
        <v>0</v>
      </c>
      <c r="C998">
        <v>0</v>
      </c>
      <c r="D998">
        <v>0</v>
      </c>
      <c r="E998">
        <v>0</v>
      </c>
      <c r="F998">
        <v>0</v>
      </c>
      <c r="G998">
        <v>0</v>
      </c>
      <c r="H998">
        <v>0</v>
      </c>
      <c r="I998" s="2" t="s">
        <v>201</v>
      </c>
    </row>
    <row r="999" spans="1:9" x14ac:dyDescent="0.3">
      <c r="A999">
        <v>1882</v>
      </c>
      <c r="B999">
        <v>0</v>
      </c>
      <c r="C999">
        <v>0</v>
      </c>
      <c r="D999">
        <v>0</v>
      </c>
      <c r="E999">
        <v>0</v>
      </c>
      <c r="F999">
        <v>0</v>
      </c>
      <c r="G999">
        <v>0</v>
      </c>
      <c r="H999">
        <v>0</v>
      </c>
      <c r="I999" s="2" t="s">
        <v>201</v>
      </c>
    </row>
    <row r="1000" spans="1:9" x14ac:dyDescent="0.3">
      <c r="A1000">
        <v>2240</v>
      </c>
      <c r="B1000">
        <v>0</v>
      </c>
      <c r="C1000">
        <v>0</v>
      </c>
      <c r="D1000">
        <v>1</v>
      </c>
      <c r="E1000">
        <v>1</v>
      </c>
      <c r="F1000">
        <v>0</v>
      </c>
      <c r="G1000">
        <v>0</v>
      </c>
      <c r="H1000">
        <v>0</v>
      </c>
      <c r="I1000" s="2" t="s">
        <v>201</v>
      </c>
    </row>
    <row r="1001" spans="1:9" x14ac:dyDescent="0.3">
      <c r="A1001">
        <v>1328</v>
      </c>
      <c r="B1001">
        <v>1</v>
      </c>
      <c r="C1001">
        <v>0</v>
      </c>
      <c r="D1001">
        <v>0</v>
      </c>
      <c r="E1001">
        <v>0</v>
      </c>
      <c r="F1001">
        <v>0</v>
      </c>
      <c r="G1001">
        <v>0</v>
      </c>
      <c r="H1001">
        <v>1</v>
      </c>
      <c r="I1001" s="2" t="s">
        <v>202</v>
      </c>
    </row>
    <row r="1002" spans="1:9" x14ac:dyDescent="0.3">
      <c r="A1002">
        <v>1386</v>
      </c>
      <c r="B1002">
        <v>0</v>
      </c>
      <c r="C1002">
        <v>0</v>
      </c>
      <c r="D1002">
        <v>0</v>
      </c>
      <c r="E1002">
        <v>0</v>
      </c>
      <c r="F1002">
        <v>0</v>
      </c>
      <c r="G1002">
        <v>0</v>
      </c>
      <c r="H1002">
        <v>0</v>
      </c>
      <c r="I1002" s="2" t="s">
        <v>202</v>
      </c>
    </row>
    <row r="1003" spans="1:9" x14ac:dyDescent="0.3">
      <c r="A1003">
        <v>1965</v>
      </c>
      <c r="B1003">
        <v>0</v>
      </c>
      <c r="C1003">
        <v>0</v>
      </c>
      <c r="D1003">
        <v>1</v>
      </c>
      <c r="E1003">
        <v>1</v>
      </c>
      <c r="F1003">
        <v>0</v>
      </c>
      <c r="G1003">
        <v>0</v>
      </c>
      <c r="H1003">
        <v>1</v>
      </c>
      <c r="I1003" s="2" t="s">
        <v>202</v>
      </c>
    </row>
    <row r="1004" spans="1:9" x14ac:dyDescent="0.3">
      <c r="A1004">
        <v>2209</v>
      </c>
      <c r="B1004">
        <v>0</v>
      </c>
      <c r="C1004">
        <v>0</v>
      </c>
      <c r="D1004">
        <v>0</v>
      </c>
      <c r="E1004">
        <v>0</v>
      </c>
      <c r="F1004">
        <v>0</v>
      </c>
      <c r="G1004">
        <v>0</v>
      </c>
      <c r="H1004">
        <v>0</v>
      </c>
      <c r="I1004" s="2" t="s">
        <v>202</v>
      </c>
    </row>
    <row r="1005" spans="1:9" x14ac:dyDescent="0.3">
      <c r="A1005">
        <v>2767</v>
      </c>
      <c r="B1005">
        <v>0</v>
      </c>
      <c r="C1005">
        <v>0</v>
      </c>
      <c r="D1005">
        <v>1</v>
      </c>
      <c r="E1005">
        <v>0</v>
      </c>
      <c r="F1005">
        <v>0</v>
      </c>
      <c r="G1005">
        <v>0</v>
      </c>
      <c r="H1005">
        <v>0</v>
      </c>
      <c r="I1005" s="2" t="s">
        <v>202</v>
      </c>
    </row>
    <row r="1006" spans="1:9" x14ac:dyDescent="0.3">
      <c r="A1006">
        <v>1124</v>
      </c>
      <c r="B1006">
        <v>0</v>
      </c>
      <c r="C1006">
        <v>0</v>
      </c>
      <c r="D1006">
        <v>0</v>
      </c>
      <c r="E1006">
        <v>0</v>
      </c>
      <c r="F1006">
        <v>0</v>
      </c>
      <c r="G1006">
        <v>0</v>
      </c>
      <c r="H1006">
        <v>0</v>
      </c>
      <c r="I1006" s="2" t="s">
        <v>203</v>
      </c>
    </row>
    <row r="1007" spans="1:9" x14ac:dyDescent="0.3">
      <c r="A1007">
        <v>1979</v>
      </c>
      <c r="B1007">
        <v>1</v>
      </c>
      <c r="C1007">
        <v>0</v>
      </c>
      <c r="D1007">
        <v>0</v>
      </c>
      <c r="E1007">
        <v>0</v>
      </c>
      <c r="F1007">
        <v>0</v>
      </c>
      <c r="G1007">
        <v>0</v>
      </c>
      <c r="H1007">
        <v>0</v>
      </c>
      <c r="I1007" s="2" t="s">
        <v>204</v>
      </c>
    </row>
    <row r="1008" spans="1:9" x14ac:dyDescent="0.3">
      <c r="A1008">
        <v>2830</v>
      </c>
      <c r="B1008">
        <v>0</v>
      </c>
      <c r="C1008">
        <v>1</v>
      </c>
      <c r="D1008">
        <v>0</v>
      </c>
      <c r="E1008">
        <v>1</v>
      </c>
      <c r="F1008">
        <v>0</v>
      </c>
      <c r="G1008">
        <v>0</v>
      </c>
      <c r="H1008">
        <v>0</v>
      </c>
      <c r="I1008" s="2" t="s">
        <v>205</v>
      </c>
    </row>
    <row r="1009" spans="1:10" x14ac:dyDescent="0.3">
      <c r="A1009">
        <v>1080</v>
      </c>
      <c r="B1009">
        <v>0</v>
      </c>
      <c r="C1009">
        <v>0</v>
      </c>
      <c r="D1009">
        <v>0</v>
      </c>
      <c r="E1009">
        <v>0</v>
      </c>
      <c r="F1009">
        <v>0</v>
      </c>
      <c r="G1009">
        <v>0</v>
      </c>
      <c r="H1009">
        <v>0</v>
      </c>
      <c r="I1009" s="2" t="s">
        <v>206</v>
      </c>
    </row>
    <row r="1010" spans="1:10" x14ac:dyDescent="0.3">
      <c r="A1010">
        <v>1465</v>
      </c>
      <c r="B1010">
        <v>0</v>
      </c>
      <c r="C1010">
        <v>0</v>
      </c>
      <c r="D1010">
        <v>0</v>
      </c>
      <c r="E1010">
        <v>0</v>
      </c>
      <c r="F1010">
        <v>0</v>
      </c>
      <c r="G1010">
        <v>0</v>
      </c>
      <c r="H1010">
        <v>0</v>
      </c>
      <c r="I1010" s="2" t="s">
        <v>206</v>
      </c>
    </row>
    <row r="1011" spans="1:10" x14ac:dyDescent="0.3">
      <c r="A1011">
        <v>1879</v>
      </c>
      <c r="B1011">
        <v>0</v>
      </c>
      <c r="C1011">
        <v>0</v>
      </c>
      <c r="D1011">
        <v>0</v>
      </c>
      <c r="E1011">
        <v>0</v>
      </c>
      <c r="F1011">
        <v>0</v>
      </c>
      <c r="G1011">
        <v>0</v>
      </c>
      <c r="H1011">
        <v>0</v>
      </c>
      <c r="I1011" s="2" t="s">
        <v>206</v>
      </c>
    </row>
    <row r="1012" spans="1:10" x14ac:dyDescent="0.3">
      <c r="A1012">
        <v>3090</v>
      </c>
      <c r="B1012">
        <v>0</v>
      </c>
      <c r="C1012">
        <v>0</v>
      </c>
      <c r="D1012">
        <v>0</v>
      </c>
      <c r="E1012">
        <v>0</v>
      </c>
      <c r="F1012">
        <v>0</v>
      </c>
      <c r="G1012">
        <v>0</v>
      </c>
      <c r="H1012">
        <v>0</v>
      </c>
      <c r="I1012" s="2" t="s">
        <v>207</v>
      </c>
    </row>
    <row r="1013" spans="1:10" x14ac:dyDescent="0.3">
      <c r="A1013">
        <v>1920</v>
      </c>
      <c r="B1013">
        <v>0</v>
      </c>
      <c r="C1013">
        <v>0</v>
      </c>
      <c r="D1013">
        <v>0</v>
      </c>
      <c r="E1013">
        <v>0</v>
      </c>
      <c r="F1013">
        <v>0</v>
      </c>
      <c r="G1013">
        <v>0</v>
      </c>
      <c r="H1013">
        <v>0</v>
      </c>
      <c r="I1013" s="2" t="s">
        <v>208</v>
      </c>
    </row>
    <row r="1014" spans="1:10" x14ac:dyDescent="0.3">
      <c r="A1014">
        <v>2038</v>
      </c>
      <c r="B1014">
        <v>0</v>
      </c>
      <c r="C1014">
        <v>0</v>
      </c>
      <c r="D1014">
        <v>0</v>
      </c>
      <c r="E1014">
        <v>0</v>
      </c>
      <c r="F1014">
        <v>0</v>
      </c>
      <c r="G1014">
        <v>0</v>
      </c>
      <c r="H1014">
        <v>0</v>
      </c>
      <c r="I1014" s="2" t="s">
        <v>208</v>
      </c>
    </row>
    <row r="1015" spans="1:10" x14ac:dyDescent="0.3">
      <c r="A1015">
        <v>2589</v>
      </c>
      <c r="B1015">
        <v>0</v>
      </c>
      <c r="C1015">
        <v>0</v>
      </c>
      <c r="D1015">
        <v>0</v>
      </c>
      <c r="E1015">
        <v>0</v>
      </c>
      <c r="F1015">
        <v>0</v>
      </c>
      <c r="G1015">
        <v>0</v>
      </c>
      <c r="H1015">
        <v>0</v>
      </c>
      <c r="I1015" s="2" t="s">
        <v>208</v>
      </c>
    </row>
    <row r="1016" spans="1:10" x14ac:dyDescent="0.3">
      <c r="A1016">
        <v>2798</v>
      </c>
      <c r="B1016">
        <v>0</v>
      </c>
      <c r="C1016">
        <v>0</v>
      </c>
      <c r="D1016">
        <v>0</v>
      </c>
      <c r="E1016">
        <v>0</v>
      </c>
      <c r="F1016">
        <v>0</v>
      </c>
      <c r="G1016">
        <v>0</v>
      </c>
      <c r="H1016">
        <v>0</v>
      </c>
      <c r="I1016" s="2" t="s">
        <v>208</v>
      </c>
    </row>
    <row r="1017" spans="1:10" x14ac:dyDescent="0.3">
      <c r="A1017">
        <v>1522</v>
      </c>
      <c r="B1017">
        <v>0</v>
      </c>
      <c r="C1017">
        <v>0</v>
      </c>
      <c r="D1017">
        <v>0</v>
      </c>
      <c r="E1017">
        <v>0</v>
      </c>
      <c r="F1017">
        <v>0</v>
      </c>
      <c r="G1017">
        <v>0</v>
      </c>
      <c r="H1017">
        <v>0</v>
      </c>
      <c r="I1017" s="2" t="s">
        <v>209</v>
      </c>
    </row>
    <row r="1018" spans="1:10" x14ac:dyDescent="0.3">
      <c r="A1018">
        <v>1802</v>
      </c>
      <c r="B1018">
        <v>0</v>
      </c>
      <c r="C1018">
        <v>0</v>
      </c>
      <c r="D1018">
        <v>0</v>
      </c>
      <c r="E1018">
        <v>0</v>
      </c>
      <c r="F1018">
        <v>0</v>
      </c>
      <c r="G1018">
        <v>0</v>
      </c>
      <c r="H1018">
        <v>0</v>
      </c>
      <c r="I1018" s="2" t="s">
        <v>209</v>
      </c>
    </row>
    <row r="1019" spans="1:10" x14ac:dyDescent="0.3">
      <c r="A1019">
        <v>1527</v>
      </c>
      <c r="B1019">
        <v>0</v>
      </c>
      <c r="C1019">
        <v>1</v>
      </c>
      <c r="D1019">
        <v>1</v>
      </c>
      <c r="E1019">
        <v>0</v>
      </c>
      <c r="F1019">
        <v>0</v>
      </c>
      <c r="G1019">
        <v>0</v>
      </c>
      <c r="H1019">
        <v>1</v>
      </c>
      <c r="I1019" s="2">
        <v>44166</v>
      </c>
      <c r="J1019" s="1"/>
    </row>
    <row r="1020" spans="1:10" x14ac:dyDescent="0.3">
      <c r="A1020">
        <v>1695</v>
      </c>
      <c r="B1020">
        <v>0</v>
      </c>
      <c r="C1020">
        <v>0</v>
      </c>
      <c r="D1020">
        <v>0</v>
      </c>
      <c r="E1020">
        <v>0</v>
      </c>
      <c r="F1020">
        <v>0</v>
      </c>
      <c r="G1020">
        <v>0</v>
      </c>
      <c r="H1020">
        <v>0</v>
      </c>
      <c r="I1020" s="2">
        <v>44166</v>
      </c>
      <c r="J1020" s="1"/>
    </row>
    <row r="1021" spans="1:10" x14ac:dyDescent="0.3">
      <c r="A1021">
        <v>1877</v>
      </c>
      <c r="B1021">
        <v>0</v>
      </c>
      <c r="C1021">
        <v>0</v>
      </c>
      <c r="D1021">
        <v>0</v>
      </c>
      <c r="E1021">
        <v>0</v>
      </c>
      <c r="F1021">
        <v>0</v>
      </c>
      <c r="G1021">
        <v>0</v>
      </c>
      <c r="H1021">
        <v>1</v>
      </c>
      <c r="I1021" s="2">
        <v>44166</v>
      </c>
      <c r="J1021" s="1"/>
    </row>
    <row r="1022" spans="1:10" x14ac:dyDescent="0.3">
      <c r="A1022">
        <v>1898</v>
      </c>
      <c r="B1022">
        <v>0</v>
      </c>
      <c r="C1022">
        <v>1</v>
      </c>
      <c r="D1022">
        <v>1</v>
      </c>
      <c r="E1022">
        <v>0</v>
      </c>
      <c r="F1022">
        <v>0</v>
      </c>
      <c r="G1022">
        <v>0</v>
      </c>
      <c r="H1022">
        <v>1</v>
      </c>
      <c r="I1022" s="2">
        <v>44166</v>
      </c>
      <c r="J1022" s="1"/>
    </row>
    <row r="1023" spans="1:10" x14ac:dyDescent="0.3">
      <c r="A1023">
        <v>1963</v>
      </c>
      <c r="B1023">
        <v>0</v>
      </c>
      <c r="C1023">
        <v>0</v>
      </c>
      <c r="D1023">
        <v>0</v>
      </c>
      <c r="E1023">
        <v>0</v>
      </c>
      <c r="F1023">
        <v>0</v>
      </c>
      <c r="G1023">
        <v>0</v>
      </c>
      <c r="H1023">
        <v>0</v>
      </c>
      <c r="I1023" s="2">
        <v>44166</v>
      </c>
      <c r="J1023" s="1"/>
    </row>
    <row r="1024" spans="1:10" x14ac:dyDescent="0.3">
      <c r="A1024">
        <v>2076</v>
      </c>
      <c r="B1024">
        <v>0</v>
      </c>
      <c r="C1024">
        <v>0</v>
      </c>
      <c r="D1024">
        <v>0</v>
      </c>
      <c r="E1024">
        <v>0</v>
      </c>
      <c r="F1024">
        <v>0</v>
      </c>
      <c r="G1024">
        <v>0</v>
      </c>
      <c r="H1024">
        <v>0</v>
      </c>
      <c r="I1024" s="2">
        <v>44166</v>
      </c>
      <c r="J1024" s="1"/>
    </row>
    <row r="1025" spans="1:10" x14ac:dyDescent="0.3">
      <c r="A1025">
        <v>2837</v>
      </c>
      <c r="B1025">
        <v>0</v>
      </c>
      <c r="C1025">
        <v>0</v>
      </c>
      <c r="D1025">
        <v>0</v>
      </c>
      <c r="E1025">
        <v>0</v>
      </c>
      <c r="F1025">
        <v>0</v>
      </c>
      <c r="G1025">
        <v>0</v>
      </c>
      <c r="H1025">
        <v>0</v>
      </c>
      <c r="I1025" s="2">
        <v>44166</v>
      </c>
      <c r="J1025" s="1"/>
    </row>
    <row r="1026" spans="1:10" x14ac:dyDescent="0.3">
      <c r="A1026">
        <v>1426</v>
      </c>
      <c r="B1026">
        <v>0</v>
      </c>
      <c r="C1026">
        <v>0</v>
      </c>
      <c r="D1026">
        <v>0</v>
      </c>
      <c r="E1026">
        <v>0</v>
      </c>
      <c r="F1026">
        <v>0</v>
      </c>
      <c r="G1026">
        <v>0</v>
      </c>
      <c r="H1026">
        <v>0</v>
      </c>
      <c r="I1026" s="2">
        <v>44136</v>
      </c>
      <c r="J1026" s="1"/>
    </row>
    <row r="1027" spans="1:10" x14ac:dyDescent="0.3">
      <c r="A1027">
        <v>2753</v>
      </c>
      <c r="B1027">
        <v>0</v>
      </c>
      <c r="C1027">
        <v>0</v>
      </c>
      <c r="D1027">
        <v>0</v>
      </c>
      <c r="E1027">
        <v>0</v>
      </c>
      <c r="F1027">
        <v>0</v>
      </c>
      <c r="G1027">
        <v>0</v>
      </c>
      <c r="H1027">
        <v>0</v>
      </c>
      <c r="I1027" s="2">
        <v>44136</v>
      </c>
      <c r="J1027" s="1"/>
    </row>
    <row r="1028" spans="1:10" x14ac:dyDescent="0.3">
      <c r="A1028">
        <v>2987</v>
      </c>
      <c r="B1028">
        <v>0</v>
      </c>
      <c r="C1028">
        <v>1</v>
      </c>
      <c r="D1028">
        <v>1</v>
      </c>
      <c r="E1028">
        <v>1</v>
      </c>
      <c r="F1028">
        <v>0</v>
      </c>
      <c r="G1028">
        <v>0</v>
      </c>
      <c r="H1028">
        <v>1</v>
      </c>
      <c r="I1028" s="2">
        <v>44136</v>
      </c>
      <c r="J1028" s="1"/>
    </row>
    <row r="1029" spans="1:10" x14ac:dyDescent="0.3">
      <c r="A1029">
        <v>1821</v>
      </c>
      <c r="B1029">
        <v>0</v>
      </c>
      <c r="C1029">
        <v>0</v>
      </c>
      <c r="D1029">
        <v>0</v>
      </c>
      <c r="E1029">
        <v>0</v>
      </c>
      <c r="F1029">
        <v>0</v>
      </c>
      <c r="G1029">
        <v>0</v>
      </c>
      <c r="H1029">
        <v>0</v>
      </c>
      <c r="I1029" s="2">
        <v>44105</v>
      </c>
      <c r="J1029" s="1"/>
    </row>
    <row r="1030" spans="1:10" x14ac:dyDescent="0.3">
      <c r="A1030">
        <v>2765</v>
      </c>
      <c r="B1030">
        <v>0</v>
      </c>
      <c r="C1030">
        <v>0</v>
      </c>
      <c r="D1030">
        <v>0</v>
      </c>
      <c r="E1030">
        <v>0</v>
      </c>
      <c r="F1030">
        <v>0</v>
      </c>
      <c r="G1030">
        <v>0</v>
      </c>
      <c r="H1030">
        <v>0</v>
      </c>
      <c r="I1030" s="2">
        <v>44105</v>
      </c>
      <c r="J1030" s="1"/>
    </row>
    <row r="1031" spans="1:10" x14ac:dyDescent="0.3">
      <c r="A1031">
        <v>3043</v>
      </c>
      <c r="B1031">
        <v>0</v>
      </c>
      <c r="C1031">
        <v>0</v>
      </c>
      <c r="D1031">
        <v>0</v>
      </c>
      <c r="E1031">
        <v>0</v>
      </c>
      <c r="F1031">
        <v>0</v>
      </c>
      <c r="G1031">
        <v>0</v>
      </c>
      <c r="H1031">
        <v>0</v>
      </c>
      <c r="I1031" s="2">
        <v>44105</v>
      </c>
      <c r="J1031" s="1"/>
    </row>
    <row r="1032" spans="1:10" x14ac:dyDescent="0.3">
      <c r="A1032">
        <v>3168</v>
      </c>
      <c r="B1032">
        <v>0</v>
      </c>
      <c r="C1032">
        <v>0</v>
      </c>
      <c r="D1032">
        <v>0</v>
      </c>
      <c r="E1032">
        <v>0</v>
      </c>
      <c r="F1032">
        <v>0</v>
      </c>
      <c r="G1032">
        <v>0</v>
      </c>
      <c r="H1032">
        <v>0</v>
      </c>
      <c r="I1032" s="2">
        <v>44105</v>
      </c>
      <c r="J1032" s="1"/>
    </row>
    <row r="1033" spans="1:10" x14ac:dyDescent="0.3">
      <c r="A1033">
        <v>2732</v>
      </c>
      <c r="B1033">
        <v>0</v>
      </c>
      <c r="C1033">
        <v>0</v>
      </c>
      <c r="D1033">
        <v>0</v>
      </c>
      <c r="E1033">
        <v>0</v>
      </c>
      <c r="F1033">
        <v>0</v>
      </c>
      <c r="G1033">
        <v>0</v>
      </c>
      <c r="H1033">
        <v>1</v>
      </c>
      <c r="I1033" s="2">
        <v>44075</v>
      </c>
      <c r="J1033" s="1"/>
    </row>
    <row r="1034" spans="1:10" x14ac:dyDescent="0.3">
      <c r="A1034">
        <v>1542</v>
      </c>
      <c r="B1034">
        <v>0</v>
      </c>
      <c r="C1034">
        <v>0</v>
      </c>
      <c r="D1034">
        <v>0</v>
      </c>
      <c r="E1034">
        <v>0</v>
      </c>
      <c r="F1034">
        <v>0</v>
      </c>
      <c r="G1034">
        <v>0</v>
      </c>
      <c r="H1034">
        <v>0</v>
      </c>
      <c r="I1034" s="2">
        <v>44044</v>
      </c>
      <c r="J1034" s="1"/>
    </row>
    <row r="1035" spans="1:10" x14ac:dyDescent="0.3">
      <c r="A1035">
        <v>2088</v>
      </c>
      <c r="B1035">
        <v>0</v>
      </c>
      <c r="C1035">
        <v>0</v>
      </c>
      <c r="D1035">
        <v>0</v>
      </c>
      <c r="E1035">
        <v>0</v>
      </c>
      <c r="F1035">
        <v>0</v>
      </c>
      <c r="G1035">
        <v>0</v>
      </c>
      <c r="H1035">
        <v>0</v>
      </c>
      <c r="I1035" s="2">
        <v>44044</v>
      </c>
      <c r="J1035" s="1"/>
    </row>
    <row r="1036" spans="1:10" x14ac:dyDescent="0.3">
      <c r="A1036">
        <v>1176</v>
      </c>
      <c r="B1036">
        <v>0</v>
      </c>
      <c r="C1036">
        <v>0</v>
      </c>
      <c r="D1036">
        <v>0</v>
      </c>
      <c r="E1036">
        <v>0</v>
      </c>
      <c r="F1036">
        <v>0</v>
      </c>
      <c r="G1036">
        <v>0</v>
      </c>
      <c r="H1036">
        <v>0</v>
      </c>
      <c r="I1036" s="2">
        <v>44013</v>
      </c>
      <c r="J1036" s="1"/>
    </row>
    <row r="1037" spans="1:10" x14ac:dyDescent="0.3">
      <c r="A1037">
        <v>2083</v>
      </c>
      <c r="B1037">
        <v>0</v>
      </c>
      <c r="C1037">
        <v>0</v>
      </c>
      <c r="D1037">
        <v>0</v>
      </c>
      <c r="E1037">
        <v>0</v>
      </c>
      <c r="F1037">
        <v>0</v>
      </c>
      <c r="G1037">
        <v>0</v>
      </c>
      <c r="H1037">
        <v>0</v>
      </c>
      <c r="I1037" s="2">
        <v>44013</v>
      </c>
      <c r="J1037" s="1"/>
    </row>
    <row r="1038" spans="1:10" x14ac:dyDescent="0.3">
      <c r="A1038">
        <v>2166</v>
      </c>
      <c r="B1038">
        <v>0</v>
      </c>
      <c r="C1038">
        <v>0</v>
      </c>
      <c r="D1038">
        <v>0</v>
      </c>
      <c r="E1038">
        <v>0</v>
      </c>
      <c r="F1038">
        <v>0</v>
      </c>
      <c r="G1038">
        <v>0</v>
      </c>
      <c r="H1038">
        <v>0</v>
      </c>
      <c r="I1038" s="2">
        <v>44013</v>
      </c>
      <c r="J1038" s="1"/>
    </row>
    <row r="1039" spans="1:10" x14ac:dyDescent="0.3">
      <c r="A1039">
        <v>3095</v>
      </c>
      <c r="B1039">
        <v>0</v>
      </c>
      <c r="C1039">
        <v>0</v>
      </c>
      <c r="D1039">
        <v>0</v>
      </c>
      <c r="E1039">
        <v>0</v>
      </c>
      <c r="F1039">
        <v>0</v>
      </c>
      <c r="G1039">
        <v>0</v>
      </c>
      <c r="H1039">
        <v>0</v>
      </c>
      <c r="I1039" s="2">
        <v>44013</v>
      </c>
      <c r="J1039" s="1"/>
    </row>
    <row r="1040" spans="1:10" x14ac:dyDescent="0.3">
      <c r="A1040">
        <v>1557</v>
      </c>
      <c r="B1040">
        <v>0</v>
      </c>
      <c r="C1040">
        <v>0</v>
      </c>
      <c r="D1040">
        <v>0</v>
      </c>
      <c r="E1040">
        <v>0</v>
      </c>
      <c r="F1040">
        <v>0</v>
      </c>
      <c r="G1040">
        <v>0</v>
      </c>
      <c r="H1040">
        <v>0</v>
      </c>
      <c r="I1040" s="2">
        <v>43983</v>
      </c>
      <c r="J1040" s="1"/>
    </row>
    <row r="1041" spans="1:10" x14ac:dyDescent="0.3">
      <c r="A1041">
        <v>1724</v>
      </c>
      <c r="B1041">
        <v>0</v>
      </c>
      <c r="C1041">
        <v>0</v>
      </c>
      <c r="D1041">
        <v>0</v>
      </c>
      <c r="E1041">
        <v>0</v>
      </c>
      <c r="F1041">
        <v>0</v>
      </c>
      <c r="G1041">
        <v>0</v>
      </c>
      <c r="H1041">
        <v>0</v>
      </c>
      <c r="I1041" s="2">
        <v>43983</v>
      </c>
      <c r="J1041" s="1"/>
    </row>
    <row r="1042" spans="1:10" x14ac:dyDescent="0.3">
      <c r="A1042">
        <v>2009</v>
      </c>
      <c r="B1042">
        <v>0</v>
      </c>
      <c r="C1042">
        <v>0</v>
      </c>
      <c r="D1042">
        <v>0</v>
      </c>
      <c r="E1042">
        <v>0</v>
      </c>
      <c r="F1042">
        <v>0</v>
      </c>
      <c r="G1042">
        <v>0</v>
      </c>
      <c r="H1042">
        <v>0</v>
      </c>
      <c r="I1042" s="2">
        <v>43983</v>
      </c>
      <c r="J1042" s="1"/>
    </row>
    <row r="1043" spans="1:10" x14ac:dyDescent="0.3">
      <c r="A1043">
        <v>2754</v>
      </c>
      <c r="B1043">
        <v>0</v>
      </c>
      <c r="C1043">
        <v>0</v>
      </c>
      <c r="D1043">
        <v>0</v>
      </c>
      <c r="E1043">
        <v>0</v>
      </c>
      <c r="F1043">
        <v>0</v>
      </c>
      <c r="G1043">
        <v>0</v>
      </c>
      <c r="H1043">
        <v>0</v>
      </c>
      <c r="I1043" s="2">
        <v>43983</v>
      </c>
      <c r="J1043" s="1"/>
    </row>
    <row r="1044" spans="1:10" x14ac:dyDescent="0.3">
      <c r="A1044">
        <v>3130</v>
      </c>
      <c r="B1044">
        <v>0</v>
      </c>
      <c r="C1044">
        <v>0</v>
      </c>
      <c r="D1044">
        <v>0</v>
      </c>
      <c r="E1044">
        <v>0</v>
      </c>
      <c r="F1044">
        <v>0</v>
      </c>
      <c r="G1044">
        <v>0</v>
      </c>
      <c r="H1044">
        <v>0</v>
      </c>
      <c r="I1044" s="2">
        <v>43983</v>
      </c>
      <c r="J1044" s="1"/>
    </row>
    <row r="1045" spans="1:10" x14ac:dyDescent="0.3">
      <c r="A1045">
        <v>1229</v>
      </c>
      <c r="B1045">
        <v>0</v>
      </c>
      <c r="C1045">
        <v>0</v>
      </c>
      <c r="D1045">
        <v>0</v>
      </c>
      <c r="E1045">
        <v>0</v>
      </c>
      <c r="F1045">
        <v>0</v>
      </c>
      <c r="G1045">
        <v>0</v>
      </c>
      <c r="H1045">
        <v>0</v>
      </c>
      <c r="I1045" s="2">
        <v>43952</v>
      </c>
      <c r="J1045" s="1"/>
    </row>
    <row r="1046" spans="1:10" x14ac:dyDescent="0.3">
      <c r="A1046">
        <v>2272</v>
      </c>
      <c r="B1046">
        <v>0</v>
      </c>
      <c r="C1046">
        <v>0</v>
      </c>
      <c r="D1046">
        <v>0</v>
      </c>
      <c r="E1046">
        <v>0</v>
      </c>
      <c r="F1046">
        <v>0</v>
      </c>
      <c r="G1046">
        <v>0</v>
      </c>
      <c r="H1046">
        <v>0</v>
      </c>
      <c r="I1046" s="2">
        <v>43952</v>
      </c>
      <c r="J1046" s="1"/>
    </row>
    <row r="1047" spans="1:10" x14ac:dyDescent="0.3">
      <c r="A1047">
        <v>2025</v>
      </c>
      <c r="B1047">
        <v>0</v>
      </c>
      <c r="C1047">
        <v>0</v>
      </c>
      <c r="D1047">
        <v>0</v>
      </c>
      <c r="E1047">
        <v>0</v>
      </c>
      <c r="F1047">
        <v>0</v>
      </c>
      <c r="G1047">
        <v>0</v>
      </c>
      <c r="H1047">
        <v>1</v>
      </c>
      <c r="I1047" s="2">
        <v>43922</v>
      </c>
      <c r="J1047" s="1"/>
    </row>
    <row r="1048" spans="1:10" x14ac:dyDescent="0.3">
      <c r="A1048">
        <v>2204</v>
      </c>
      <c r="B1048">
        <v>1</v>
      </c>
      <c r="C1048">
        <v>0</v>
      </c>
      <c r="D1048">
        <v>0</v>
      </c>
      <c r="E1048">
        <v>0</v>
      </c>
      <c r="F1048">
        <v>0</v>
      </c>
      <c r="G1048">
        <v>0</v>
      </c>
      <c r="H1048">
        <v>0</v>
      </c>
      <c r="I1048" s="2">
        <v>43922</v>
      </c>
      <c r="J1048" s="1"/>
    </row>
    <row r="1049" spans="1:10" x14ac:dyDescent="0.3">
      <c r="A1049">
        <v>2371</v>
      </c>
      <c r="B1049">
        <v>0</v>
      </c>
      <c r="C1049">
        <v>0</v>
      </c>
      <c r="D1049">
        <v>0</v>
      </c>
      <c r="E1049">
        <v>0</v>
      </c>
      <c r="F1049">
        <v>0</v>
      </c>
      <c r="G1049">
        <v>0</v>
      </c>
      <c r="H1049">
        <v>0</v>
      </c>
      <c r="I1049" s="2">
        <v>43922</v>
      </c>
      <c r="J1049" s="1"/>
    </row>
    <row r="1050" spans="1:10" x14ac:dyDescent="0.3">
      <c r="A1050">
        <v>2645</v>
      </c>
      <c r="B1050">
        <v>0</v>
      </c>
      <c r="C1050">
        <v>1</v>
      </c>
      <c r="D1050">
        <v>0</v>
      </c>
      <c r="E1050">
        <v>1</v>
      </c>
      <c r="F1050">
        <v>0</v>
      </c>
      <c r="G1050">
        <v>0</v>
      </c>
      <c r="H1050">
        <v>1</v>
      </c>
      <c r="I1050" s="2">
        <v>43922</v>
      </c>
      <c r="J1050" s="1"/>
    </row>
    <row r="1051" spans="1:10" x14ac:dyDescent="0.3">
      <c r="A1051">
        <v>3182</v>
      </c>
      <c r="B1051">
        <v>0</v>
      </c>
      <c r="C1051">
        <v>0</v>
      </c>
      <c r="D1051">
        <v>0</v>
      </c>
      <c r="E1051">
        <v>0</v>
      </c>
      <c r="F1051">
        <v>0</v>
      </c>
      <c r="G1051">
        <v>0</v>
      </c>
      <c r="H1051">
        <v>0</v>
      </c>
      <c r="I1051" s="2">
        <v>43922</v>
      </c>
      <c r="J1051" s="1"/>
    </row>
    <row r="1052" spans="1:10" x14ac:dyDescent="0.3">
      <c r="A1052">
        <v>1302</v>
      </c>
      <c r="B1052">
        <v>0</v>
      </c>
      <c r="C1052">
        <v>0</v>
      </c>
      <c r="D1052">
        <v>0</v>
      </c>
      <c r="E1052">
        <v>0</v>
      </c>
      <c r="F1052">
        <v>0</v>
      </c>
      <c r="G1052">
        <v>0</v>
      </c>
      <c r="H1052">
        <v>0</v>
      </c>
      <c r="I1052" s="2">
        <v>43891</v>
      </c>
      <c r="J1052" s="1"/>
    </row>
    <row r="1053" spans="1:10" x14ac:dyDescent="0.3">
      <c r="A1053">
        <v>1652</v>
      </c>
      <c r="B1053">
        <v>0</v>
      </c>
      <c r="C1053">
        <v>0</v>
      </c>
      <c r="D1053">
        <v>0</v>
      </c>
      <c r="E1053">
        <v>0</v>
      </c>
      <c r="F1053">
        <v>0</v>
      </c>
      <c r="G1053">
        <v>0</v>
      </c>
      <c r="H1053">
        <v>0</v>
      </c>
      <c r="I1053" s="2">
        <v>43891</v>
      </c>
      <c r="J1053" s="1"/>
    </row>
    <row r="1054" spans="1:10" x14ac:dyDescent="0.3">
      <c r="A1054">
        <v>2298</v>
      </c>
      <c r="B1054">
        <v>0</v>
      </c>
      <c r="C1054">
        <v>0</v>
      </c>
      <c r="D1054">
        <v>0</v>
      </c>
      <c r="E1054">
        <v>0</v>
      </c>
      <c r="F1054">
        <v>0</v>
      </c>
      <c r="G1054">
        <v>0</v>
      </c>
      <c r="H1054">
        <v>0</v>
      </c>
      <c r="I1054" s="2">
        <v>43891</v>
      </c>
      <c r="J1054" s="1"/>
    </row>
    <row r="1055" spans="1:10" x14ac:dyDescent="0.3">
      <c r="A1055">
        <v>2313</v>
      </c>
      <c r="B1055">
        <v>0</v>
      </c>
      <c r="C1055">
        <v>0</v>
      </c>
      <c r="D1055">
        <v>0</v>
      </c>
      <c r="E1055">
        <v>0</v>
      </c>
      <c r="F1055">
        <v>0</v>
      </c>
      <c r="G1055">
        <v>0</v>
      </c>
      <c r="H1055">
        <v>0</v>
      </c>
      <c r="I1055" s="2">
        <v>43891</v>
      </c>
      <c r="J1055" s="1"/>
    </row>
    <row r="1056" spans="1:10" x14ac:dyDescent="0.3">
      <c r="A1056">
        <v>3141</v>
      </c>
      <c r="B1056">
        <v>0</v>
      </c>
      <c r="C1056">
        <v>0</v>
      </c>
      <c r="D1056">
        <v>0</v>
      </c>
      <c r="E1056">
        <v>0</v>
      </c>
      <c r="F1056">
        <v>0</v>
      </c>
      <c r="G1056">
        <v>0</v>
      </c>
      <c r="H1056">
        <v>0</v>
      </c>
      <c r="I1056" s="2">
        <v>43891</v>
      </c>
      <c r="J1056" s="1"/>
    </row>
    <row r="1057" spans="1:10" x14ac:dyDescent="0.3">
      <c r="A1057">
        <v>1129</v>
      </c>
      <c r="B1057">
        <v>0</v>
      </c>
      <c r="C1057">
        <v>0</v>
      </c>
      <c r="D1057">
        <v>0</v>
      </c>
      <c r="E1057">
        <v>0</v>
      </c>
      <c r="F1057">
        <v>0</v>
      </c>
      <c r="G1057">
        <v>0</v>
      </c>
      <c r="H1057">
        <v>0</v>
      </c>
      <c r="I1057" s="2">
        <v>43862</v>
      </c>
      <c r="J1057" s="1"/>
    </row>
    <row r="1058" spans="1:10" x14ac:dyDescent="0.3">
      <c r="A1058">
        <v>1825</v>
      </c>
      <c r="B1058">
        <v>0</v>
      </c>
      <c r="C1058">
        <v>0</v>
      </c>
      <c r="D1058">
        <v>0</v>
      </c>
      <c r="E1058">
        <v>0</v>
      </c>
      <c r="F1058">
        <v>0</v>
      </c>
      <c r="G1058">
        <v>0</v>
      </c>
      <c r="H1058">
        <v>0</v>
      </c>
      <c r="I1058" s="2">
        <v>43831</v>
      </c>
      <c r="J1058" s="1"/>
    </row>
    <row r="1059" spans="1:10" x14ac:dyDescent="0.3">
      <c r="A1059">
        <v>2468</v>
      </c>
      <c r="B1059">
        <v>1</v>
      </c>
      <c r="C1059">
        <v>0</v>
      </c>
      <c r="D1059">
        <v>1</v>
      </c>
      <c r="E1059">
        <v>1</v>
      </c>
      <c r="F1059">
        <v>0</v>
      </c>
      <c r="G1059">
        <v>0</v>
      </c>
      <c r="H1059">
        <v>1</v>
      </c>
      <c r="I1059" s="2">
        <v>43831</v>
      </c>
      <c r="J1059" s="1"/>
    </row>
    <row r="1060" spans="1:10" x14ac:dyDescent="0.3">
      <c r="A1060">
        <v>2581</v>
      </c>
      <c r="B1060">
        <v>0</v>
      </c>
      <c r="C1060">
        <v>0</v>
      </c>
      <c r="D1060">
        <v>0</v>
      </c>
      <c r="E1060">
        <v>0</v>
      </c>
      <c r="F1060">
        <v>0</v>
      </c>
      <c r="G1060">
        <v>0</v>
      </c>
      <c r="H1060">
        <v>0</v>
      </c>
      <c r="I1060" s="2">
        <v>43831</v>
      </c>
      <c r="J1060" s="1"/>
    </row>
    <row r="1061" spans="1:10" x14ac:dyDescent="0.3">
      <c r="A1061">
        <v>1599</v>
      </c>
      <c r="B1061">
        <v>0</v>
      </c>
      <c r="C1061">
        <v>0</v>
      </c>
      <c r="D1061">
        <v>0</v>
      </c>
      <c r="E1061">
        <v>0</v>
      </c>
      <c r="F1061">
        <v>0</v>
      </c>
      <c r="G1061">
        <v>0</v>
      </c>
      <c r="H1061">
        <v>0</v>
      </c>
      <c r="I1061" s="2" t="s">
        <v>210</v>
      </c>
    </row>
    <row r="1062" spans="1:10" x14ac:dyDescent="0.3">
      <c r="A1062">
        <v>1676</v>
      </c>
      <c r="B1062">
        <v>0</v>
      </c>
      <c r="C1062">
        <v>0</v>
      </c>
      <c r="D1062">
        <v>0</v>
      </c>
      <c r="E1062">
        <v>0</v>
      </c>
      <c r="F1062">
        <v>0</v>
      </c>
      <c r="G1062">
        <v>0</v>
      </c>
      <c r="H1062">
        <v>0</v>
      </c>
      <c r="I1062" s="2" t="s">
        <v>210</v>
      </c>
    </row>
    <row r="1063" spans="1:10" x14ac:dyDescent="0.3">
      <c r="A1063">
        <v>1664</v>
      </c>
      <c r="B1063">
        <v>0</v>
      </c>
      <c r="C1063">
        <v>0</v>
      </c>
      <c r="D1063">
        <v>0</v>
      </c>
      <c r="E1063">
        <v>0</v>
      </c>
      <c r="F1063">
        <v>0</v>
      </c>
      <c r="G1063">
        <v>0</v>
      </c>
      <c r="H1063">
        <v>0</v>
      </c>
      <c r="I1063" s="2" t="s">
        <v>211</v>
      </c>
    </row>
    <row r="1064" spans="1:10" x14ac:dyDescent="0.3">
      <c r="A1064">
        <v>2042</v>
      </c>
      <c r="B1064">
        <v>1</v>
      </c>
      <c r="C1064">
        <v>0</v>
      </c>
      <c r="D1064">
        <v>0</v>
      </c>
      <c r="E1064">
        <v>0</v>
      </c>
      <c r="F1064">
        <v>0</v>
      </c>
      <c r="G1064">
        <v>0</v>
      </c>
      <c r="H1064">
        <v>0</v>
      </c>
      <c r="I1064" s="2" t="s">
        <v>211</v>
      </c>
    </row>
    <row r="1065" spans="1:10" x14ac:dyDescent="0.3">
      <c r="A1065">
        <v>2344</v>
      </c>
      <c r="B1065">
        <v>0</v>
      </c>
      <c r="C1065">
        <v>1</v>
      </c>
      <c r="D1065">
        <v>0</v>
      </c>
      <c r="E1065">
        <v>0</v>
      </c>
      <c r="F1065">
        <v>0</v>
      </c>
      <c r="G1065">
        <v>0</v>
      </c>
      <c r="H1065">
        <v>0</v>
      </c>
      <c r="I1065" s="2" t="s">
        <v>211</v>
      </c>
    </row>
    <row r="1066" spans="1:10" x14ac:dyDescent="0.3">
      <c r="A1066">
        <v>2633</v>
      </c>
      <c r="B1066">
        <v>0</v>
      </c>
      <c r="C1066">
        <v>0</v>
      </c>
      <c r="D1066">
        <v>0</v>
      </c>
      <c r="E1066">
        <v>0</v>
      </c>
      <c r="F1066">
        <v>0</v>
      </c>
      <c r="G1066">
        <v>0</v>
      </c>
      <c r="H1066">
        <v>0</v>
      </c>
      <c r="I1066" s="2" t="s">
        <v>212</v>
      </c>
    </row>
    <row r="1067" spans="1:10" x14ac:dyDescent="0.3">
      <c r="A1067">
        <v>3083</v>
      </c>
      <c r="B1067">
        <v>0</v>
      </c>
      <c r="C1067">
        <v>0</v>
      </c>
      <c r="D1067">
        <v>0</v>
      </c>
      <c r="E1067">
        <v>0</v>
      </c>
      <c r="F1067">
        <v>0</v>
      </c>
      <c r="G1067">
        <v>0</v>
      </c>
      <c r="H1067">
        <v>0</v>
      </c>
      <c r="I1067" s="2" t="s">
        <v>212</v>
      </c>
    </row>
    <row r="1068" spans="1:10" x14ac:dyDescent="0.3">
      <c r="A1068">
        <v>1092</v>
      </c>
      <c r="B1068">
        <v>0</v>
      </c>
      <c r="C1068">
        <v>0</v>
      </c>
      <c r="D1068">
        <v>0</v>
      </c>
      <c r="E1068">
        <v>0</v>
      </c>
      <c r="F1068">
        <v>0</v>
      </c>
      <c r="G1068">
        <v>0</v>
      </c>
      <c r="H1068">
        <v>0</v>
      </c>
      <c r="I1068" s="2" t="s">
        <v>213</v>
      </c>
    </row>
    <row r="1069" spans="1:10" x14ac:dyDescent="0.3">
      <c r="A1069">
        <v>1863</v>
      </c>
      <c r="B1069">
        <v>0</v>
      </c>
      <c r="C1069">
        <v>0</v>
      </c>
      <c r="D1069">
        <v>0</v>
      </c>
      <c r="E1069">
        <v>0</v>
      </c>
      <c r="F1069">
        <v>0</v>
      </c>
      <c r="G1069">
        <v>0</v>
      </c>
      <c r="H1069">
        <v>0</v>
      </c>
      <c r="I1069" s="2" t="s">
        <v>213</v>
      </c>
    </row>
    <row r="1070" spans="1:10" x14ac:dyDescent="0.3">
      <c r="A1070">
        <v>2662</v>
      </c>
      <c r="B1070">
        <v>0</v>
      </c>
      <c r="C1070">
        <v>1</v>
      </c>
      <c r="D1070">
        <v>0</v>
      </c>
      <c r="E1070">
        <v>0</v>
      </c>
      <c r="F1070">
        <v>1</v>
      </c>
      <c r="G1070">
        <v>0</v>
      </c>
      <c r="H1070">
        <v>1</v>
      </c>
      <c r="I1070" s="2" t="s">
        <v>213</v>
      </c>
    </row>
    <row r="1071" spans="1:10" x14ac:dyDescent="0.3">
      <c r="A1071">
        <v>2289</v>
      </c>
      <c r="B1071">
        <v>0</v>
      </c>
      <c r="C1071">
        <v>0</v>
      </c>
      <c r="D1071">
        <v>0</v>
      </c>
      <c r="E1071">
        <v>0</v>
      </c>
      <c r="F1071">
        <v>0</v>
      </c>
      <c r="G1071">
        <v>0</v>
      </c>
      <c r="H1071">
        <v>0</v>
      </c>
      <c r="I1071" s="2" t="s">
        <v>214</v>
      </c>
    </row>
    <row r="1072" spans="1:10" x14ac:dyDescent="0.3">
      <c r="A1072">
        <v>2629</v>
      </c>
      <c r="B1072">
        <v>0</v>
      </c>
      <c r="C1072">
        <v>0</v>
      </c>
      <c r="D1072">
        <v>0</v>
      </c>
      <c r="E1072">
        <v>0</v>
      </c>
      <c r="F1072">
        <v>0</v>
      </c>
      <c r="G1072">
        <v>0</v>
      </c>
      <c r="H1072">
        <v>0</v>
      </c>
      <c r="I1072" s="2" t="s">
        <v>214</v>
      </c>
    </row>
    <row r="1073" spans="1:9" x14ac:dyDescent="0.3">
      <c r="A1073">
        <v>2137</v>
      </c>
      <c r="B1073">
        <v>0</v>
      </c>
      <c r="C1073">
        <v>0</v>
      </c>
      <c r="D1073">
        <v>0</v>
      </c>
      <c r="E1073">
        <v>0</v>
      </c>
      <c r="F1073">
        <v>0</v>
      </c>
      <c r="G1073">
        <v>0</v>
      </c>
      <c r="H1073">
        <v>1</v>
      </c>
      <c r="I1073" s="2" t="s">
        <v>215</v>
      </c>
    </row>
    <row r="1074" spans="1:9" x14ac:dyDescent="0.3">
      <c r="A1074">
        <v>2264</v>
      </c>
      <c r="B1074">
        <v>0</v>
      </c>
      <c r="C1074">
        <v>0</v>
      </c>
      <c r="D1074">
        <v>0</v>
      </c>
      <c r="E1074">
        <v>0</v>
      </c>
      <c r="F1074">
        <v>0</v>
      </c>
      <c r="G1074">
        <v>0</v>
      </c>
      <c r="H1074">
        <v>0</v>
      </c>
      <c r="I1074" s="2" t="s">
        <v>215</v>
      </c>
    </row>
    <row r="1075" spans="1:9" x14ac:dyDescent="0.3">
      <c r="A1075">
        <v>2535</v>
      </c>
      <c r="B1075">
        <v>0</v>
      </c>
      <c r="C1075">
        <v>0</v>
      </c>
      <c r="D1075">
        <v>0</v>
      </c>
      <c r="E1075">
        <v>0</v>
      </c>
      <c r="F1075">
        <v>0</v>
      </c>
      <c r="G1075">
        <v>0</v>
      </c>
      <c r="H1075">
        <v>0</v>
      </c>
      <c r="I1075" s="2" t="s">
        <v>215</v>
      </c>
    </row>
    <row r="1076" spans="1:9" x14ac:dyDescent="0.3">
      <c r="A1076">
        <v>2790</v>
      </c>
      <c r="B1076">
        <v>0</v>
      </c>
      <c r="C1076">
        <v>0</v>
      </c>
      <c r="D1076">
        <v>0</v>
      </c>
      <c r="E1076">
        <v>0</v>
      </c>
      <c r="F1076">
        <v>0</v>
      </c>
      <c r="G1076">
        <v>0</v>
      </c>
      <c r="H1076">
        <v>0</v>
      </c>
      <c r="I1076" s="2" t="s">
        <v>215</v>
      </c>
    </row>
    <row r="1077" spans="1:9" x14ac:dyDescent="0.3">
      <c r="A1077">
        <v>3032</v>
      </c>
      <c r="B1077">
        <v>0</v>
      </c>
      <c r="C1077">
        <v>0</v>
      </c>
      <c r="D1077">
        <v>0</v>
      </c>
      <c r="E1077">
        <v>0</v>
      </c>
      <c r="F1077">
        <v>0</v>
      </c>
      <c r="G1077">
        <v>0</v>
      </c>
      <c r="H1077">
        <v>0</v>
      </c>
      <c r="I1077" s="2" t="s">
        <v>215</v>
      </c>
    </row>
    <row r="1078" spans="1:9" x14ac:dyDescent="0.3">
      <c r="A1078">
        <v>1922</v>
      </c>
      <c r="B1078">
        <v>0</v>
      </c>
      <c r="C1078">
        <v>0</v>
      </c>
      <c r="D1078">
        <v>0</v>
      </c>
      <c r="E1078">
        <v>0</v>
      </c>
      <c r="F1078">
        <v>0</v>
      </c>
      <c r="G1078">
        <v>0</v>
      </c>
      <c r="H1078">
        <v>0</v>
      </c>
      <c r="I1078" s="2" t="s">
        <v>216</v>
      </c>
    </row>
    <row r="1079" spans="1:9" x14ac:dyDescent="0.3">
      <c r="A1079">
        <v>1491</v>
      </c>
      <c r="B1079">
        <v>0</v>
      </c>
      <c r="C1079">
        <v>0</v>
      </c>
      <c r="D1079">
        <v>0</v>
      </c>
      <c r="E1079">
        <v>0</v>
      </c>
      <c r="F1079">
        <v>0</v>
      </c>
      <c r="G1079">
        <v>0</v>
      </c>
      <c r="H1079">
        <v>0</v>
      </c>
      <c r="I1079" s="2" t="s">
        <v>217</v>
      </c>
    </row>
    <row r="1080" spans="1:9" x14ac:dyDescent="0.3">
      <c r="A1080">
        <v>1773</v>
      </c>
      <c r="B1080">
        <v>1</v>
      </c>
      <c r="C1080">
        <v>0</v>
      </c>
      <c r="D1080">
        <v>0</v>
      </c>
      <c r="E1080">
        <v>0</v>
      </c>
      <c r="F1080">
        <v>0</v>
      </c>
      <c r="G1080">
        <v>0</v>
      </c>
      <c r="H1080">
        <v>0</v>
      </c>
      <c r="I1080" s="2" t="s">
        <v>217</v>
      </c>
    </row>
    <row r="1081" spans="1:9" x14ac:dyDescent="0.3">
      <c r="A1081">
        <v>2664</v>
      </c>
      <c r="B1081">
        <v>0</v>
      </c>
      <c r="C1081">
        <v>0</v>
      </c>
      <c r="D1081">
        <v>0</v>
      </c>
      <c r="E1081">
        <v>0</v>
      </c>
      <c r="F1081">
        <v>0</v>
      </c>
      <c r="G1081">
        <v>0</v>
      </c>
      <c r="H1081">
        <v>0</v>
      </c>
      <c r="I1081" s="2" t="s">
        <v>217</v>
      </c>
    </row>
    <row r="1082" spans="1:9" x14ac:dyDescent="0.3">
      <c r="A1082">
        <v>2665</v>
      </c>
      <c r="B1082">
        <v>0</v>
      </c>
      <c r="C1082">
        <v>0</v>
      </c>
      <c r="D1082">
        <v>0</v>
      </c>
      <c r="E1082">
        <v>0</v>
      </c>
      <c r="F1082">
        <v>0</v>
      </c>
      <c r="G1082">
        <v>0</v>
      </c>
      <c r="H1082">
        <v>0</v>
      </c>
      <c r="I1082" s="2" t="s">
        <v>217</v>
      </c>
    </row>
    <row r="1083" spans="1:9" x14ac:dyDescent="0.3">
      <c r="A1083">
        <v>2792</v>
      </c>
      <c r="B1083">
        <v>0</v>
      </c>
      <c r="C1083">
        <v>0</v>
      </c>
      <c r="D1083">
        <v>0</v>
      </c>
      <c r="E1083">
        <v>0</v>
      </c>
      <c r="F1083">
        <v>0</v>
      </c>
      <c r="G1083">
        <v>0</v>
      </c>
      <c r="H1083">
        <v>1</v>
      </c>
      <c r="I1083" s="2" t="s">
        <v>217</v>
      </c>
    </row>
    <row r="1084" spans="1:9" x14ac:dyDescent="0.3">
      <c r="A1084">
        <v>1595</v>
      </c>
      <c r="B1084">
        <v>0</v>
      </c>
      <c r="C1084">
        <v>0</v>
      </c>
      <c r="D1084">
        <v>0</v>
      </c>
      <c r="E1084">
        <v>0</v>
      </c>
      <c r="F1084">
        <v>0</v>
      </c>
      <c r="G1084">
        <v>0</v>
      </c>
      <c r="H1084">
        <v>0</v>
      </c>
      <c r="I1084" s="2" t="s">
        <v>218</v>
      </c>
    </row>
    <row r="1085" spans="1:9" x14ac:dyDescent="0.3">
      <c r="A1085">
        <v>2055</v>
      </c>
      <c r="B1085">
        <v>0</v>
      </c>
      <c r="C1085">
        <v>0</v>
      </c>
      <c r="D1085">
        <v>0</v>
      </c>
      <c r="E1085">
        <v>0</v>
      </c>
      <c r="F1085">
        <v>0</v>
      </c>
      <c r="G1085">
        <v>0</v>
      </c>
      <c r="H1085">
        <v>0</v>
      </c>
      <c r="I1085" s="2" t="s">
        <v>218</v>
      </c>
    </row>
    <row r="1086" spans="1:9" x14ac:dyDescent="0.3">
      <c r="A1086">
        <v>2416</v>
      </c>
      <c r="B1086">
        <v>0</v>
      </c>
      <c r="C1086">
        <v>0</v>
      </c>
      <c r="D1086">
        <v>0</v>
      </c>
      <c r="E1086">
        <v>0</v>
      </c>
      <c r="F1086">
        <v>0</v>
      </c>
      <c r="G1086">
        <v>0</v>
      </c>
      <c r="H1086">
        <v>0</v>
      </c>
      <c r="I1086" s="2" t="s">
        <v>218</v>
      </c>
    </row>
    <row r="1087" spans="1:9" x14ac:dyDescent="0.3">
      <c r="A1087">
        <v>1192</v>
      </c>
      <c r="B1087">
        <v>0</v>
      </c>
      <c r="C1087">
        <v>0</v>
      </c>
      <c r="D1087">
        <v>0</v>
      </c>
      <c r="E1087">
        <v>0</v>
      </c>
      <c r="F1087">
        <v>0</v>
      </c>
      <c r="G1087">
        <v>0</v>
      </c>
      <c r="H1087">
        <v>0</v>
      </c>
      <c r="I1087" s="2" t="s">
        <v>219</v>
      </c>
    </row>
    <row r="1088" spans="1:9" x14ac:dyDescent="0.3">
      <c r="A1088">
        <v>2197</v>
      </c>
      <c r="B1088">
        <v>0</v>
      </c>
      <c r="C1088">
        <v>0</v>
      </c>
      <c r="D1088">
        <v>0</v>
      </c>
      <c r="E1088">
        <v>0</v>
      </c>
      <c r="F1088">
        <v>0</v>
      </c>
      <c r="G1088">
        <v>0</v>
      </c>
      <c r="H1088">
        <v>0</v>
      </c>
      <c r="I1088" s="2" t="s">
        <v>219</v>
      </c>
    </row>
    <row r="1089" spans="1:9" x14ac:dyDescent="0.3">
      <c r="A1089">
        <v>1081</v>
      </c>
      <c r="B1089">
        <v>0</v>
      </c>
      <c r="C1089">
        <v>1</v>
      </c>
      <c r="D1089">
        <v>0</v>
      </c>
      <c r="E1089">
        <v>0</v>
      </c>
      <c r="F1089">
        <v>0</v>
      </c>
      <c r="G1089">
        <v>0</v>
      </c>
      <c r="H1089">
        <v>0</v>
      </c>
      <c r="I1089" s="2" t="s">
        <v>220</v>
      </c>
    </row>
    <row r="1090" spans="1:9" x14ac:dyDescent="0.3">
      <c r="A1090">
        <v>1304</v>
      </c>
      <c r="B1090">
        <v>0</v>
      </c>
      <c r="C1090">
        <v>0</v>
      </c>
      <c r="D1090">
        <v>0</v>
      </c>
      <c r="E1090">
        <v>0</v>
      </c>
      <c r="F1090">
        <v>0</v>
      </c>
      <c r="G1090">
        <v>0</v>
      </c>
      <c r="H1090">
        <v>0</v>
      </c>
      <c r="I1090" s="2" t="s">
        <v>220</v>
      </c>
    </row>
    <row r="1091" spans="1:9" x14ac:dyDescent="0.3">
      <c r="A1091">
        <v>2232</v>
      </c>
      <c r="B1091">
        <v>0</v>
      </c>
      <c r="C1091">
        <v>1</v>
      </c>
      <c r="D1091">
        <v>0</v>
      </c>
      <c r="E1091">
        <v>0</v>
      </c>
      <c r="F1091">
        <v>0</v>
      </c>
      <c r="G1091">
        <v>0</v>
      </c>
      <c r="H1091">
        <v>0</v>
      </c>
      <c r="I1091" s="2" t="s">
        <v>220</v>
      </c>
    </row>
    <row r="1092" spans="1:9" x14ac:dyDescent="0.3">
      <c r="A1092">
        <v>2854</v>
      </c>
      <c r="B1092">
        <v>0</v>
      </c>
      <c r="C1092">
        <v>0</v>
      </c>
      <c r="D1092">
        <v>0</v>
      </c>
      <c r="E1092">
        <v>0</v>
      </c>
      <c r="F1092">
        <v>0</v>
      </c>
      <c r="G1092">
        <v>0</v>
      </c>
      <c r="H1092">
        <v>0</v>
      </c>
      <c r="I1092" s="2" t="s">
        <v>221</v>
      </c>
    </row>
    <row r="1093" spans="1:9" x14ac:dyDescent="0.3">
      <c r="A1093">
        <v>3177</v>
      </c>
      <c r="B1093">
        <v>0</v>
      </c>
      <c r="C1093">
        <v>0</v>
      </c>
      <c r="D1093">
        <v>0</v>
      </c>
      <c r="E1093">
        <v>0</v>
      </c>
      <c r="F1093">
        <v>0</v>
      </c>
      <c r="G1093">
        <v>0</v>
      </c>
      <c r="H1093">
        <v>0</v>
      </c>
      <c r="I1093" s="2" t="s">
        <v>221</v>
      </c>
    </row>
    <row r="1094" spans="1:9" x14ac:dyDescent="0.3">
      <c r="A1094">
        <v>1604</v>
      </c>
      <c r="B1094">
        <v>0</v>
      </c>
      <c r="C1094">
        <v>0</v>
      </c>
      <c r="D1094">
        <v>0</v>
      </c>
      <c r="E1094">
        <v>0</v>
      </c>
      <c r="F1094">
        <v>0</v>
      </c>
      <c r="G1094">
        <v>0</v>
      </c>
      <c r="H1094">
        <v>0</v>
      </c>
      <c r="I1094" s="2" t="s">
        <v>222</v>
      </c>
    </row>
    <row r="1095" spans="1:9" x14ac:dyDescent="0.3">
      <c r="A1095">
        <v>1883</v>
      </c>
      <c r="B1095">
        <v>0</v>
      </c>
      <c r="C1095">
        <v>0</v>
      </c>
      <c r="D1095">
        <v>0</v>
      </c>
      <c r="E1095">
        <v>0</v>
      </c>
      <c r="F1095">
        <v>0</v>
      </c>
      <c r="G1095">
        <v>0</v>
      </c>
      <c r="H1095">
        <v>0</v>
      </c>
      <c r="I1095" s="2" t="s">
        <v>222</v>
      </c>
    </row>
    <row r="1096" spans="1:9" x14ac:dyDescent="0.3">
      <c r="A1096">
        <v>1894</v>
      </c>
      <c r="B1096">
        <v>0</v>
      </c>
      <c r="C1096">
        <v>0</v>
      </c>
      <c r="D1096">
        <v>0</v>
      </c>
      <c r="E1096">
        <v>0</v>
      </c>
      <c r="F1096">
        <v>0</v>
      </c>
      <c r="G1096">
        <v>0</v>
      </c>
      <c r="H1096">
        <v>1</v>
      </c>
      <c r="I1096" s="2" t="s">
        <v>222</v>
      </c>
    </row>
    <row r="1097" spans="1:9" x14ac:dyDescent="0.3">
      <c r="A1097">
        <v>1919</v>
      </c>
      <c r="B1097">
        <v>0</v>
      </c>
      <c r="C1097">
        <v>0</v>
      </c>
      <c r="D1097">
        <v>0</v>
      </c>
      <c r="E1097">
        <v>0</v>
      </c>
      <c r="F1097">
        <v>0</v>
      </c>
      <c r="G1097">
        <v>0</v>
      </c>
      <c r="H1097">
        <v>0</v>
      </c>
      <c r="I1097" s="2" t="s">
        <v>222</v>
      </c>
    </row>
    <row r="1098" spans="1:9" x14ac:dyDescent="0.3">
      <c r="A1098">
        <v>1160</v>
      </c>
      <c r="B1098">
        <v>0</v>
      </c>
      <c r="C1098">
        <v>0</v>
      </c>
      <c r="D1098">
        <v>0</v>
      </c>
      <c r="E1098">
        <v>0</v>
      </c>
      <c r="F1098">
        <v>0</v>
      </c>
      <c r="G1098">
        <v>0</v>
      </c>
      <c r="H1098">
        <v>0</v>
      </c>
      <c r="I1098" s="2" t="s">
        <v>223</v>
      </c>
    </row>
    <row r="1099" spans="1:9" x14ac:dyDescent="0.3">
      <c r="A1099">
        <v>1429</v>
      </c>
      <c r="B1099">
        <v>0</v>
      </c>
      <c r="C1099">
        <v>0</v>
      </c>
      <c r="D1099">
        <v>0</v>
      </c>
      <c r="E1099">
        <v>0</v>
      </c>
      <c r="F1099">
        <v>0</v>
      </c>
      <c r="G1099">
        <v>0</v>
      </c>
      <c r="H1099">
        <v>0</v>
      </c>
      <c r="I1099" s="2" t="s">
        <v>223</v>
      </c>
    </row>
    <row r="1100" spans="1:9" x14ac:dyDescent="0.3">
      <c r="A1100">
        <v>2769</v>
      </c>
      <c r="B1100">
        <v>1</v>
      </c>
      <c r="C1100">
        <v>0</v>
      </c>
      <c r="D1100">
        <v>0</v>
      </c>
      <c r="E1100">
        <v>0</v>
      </c>
      <c r="F1100">
        <v>0</v>
      </c>
      <c r="G1100">
        <v>0</v>
      </c>
      <c r="H1100">
        <v>0</v>
      </c>
      <c r="I1100" s="2" t="s">
        <v>223</v>
      </c>
    </row>
    <row r="1101" spans="1:9" x14ac:dyDescent="0.3">
      <c r="A1101">
        <v>1272</v>
      </c>
      <c r="B1101">
        <v>0</v>
      </c>
      <c r="C1101">
        <v>0</v>
      </c>
      <c r="D1101">
        <v>0</v>
      </c>
      <c r="E1101">
        <v>0</v>
      </c>
      <c r="F1101">
        <v>0</v>
      </c>
      <c r="G1101">
        <v>0</v>
      </c>
      <c r="H1101">
        <v>0</v>
      </c>
      <c r="I1101" s="2" t="s">
        <v>224</v>
      </c>
    </row>
    <row r="1102" spans="1:9" x14ac:dyDescent="0.3">
      <c r="A1102">
        <v>1673</v>
      </c>
      <c r="B1102">
        <v>0</v>
      </c>
      <c r="C1102">
        <v>0</v>
      </c>
      <c r="D1102">
        <v>0</v>
      </c>
      <c r="E1102">
        <v>0</v>
      </c>
      <c r="F1102">
        <v>0</v>
      </c>
      <c r="G1102">
        <v>0</v>
      </c>
      <c r="H1102">
        <v>0</v>
      </c>
      <c r="I1102" s="2" t="s">
        <v>224</v>
      </c>
    </row>
    <row r="1103" spans="1:9" x14ac:dyDescent="0.3">
      <c r="A1103">
        <v>1691</v>
      </c>
      <c r="B1103">
        <v>0</v>
      </c>
      <c r="C1103">
        <v>0</v>
      </c>
      <c r="D1103">
        <v>0</v>
      </c>
      <c r="E1103">
        <v>0</v>
      </c>
      <c r="F1103">
        <v>0</v>
      </c>
      <c r="G1103">
        <v>0</v>
      </c>
      <c r="H1103">
        <v>0</v>
      </c>
      <c r="I1103" s="2" t="s">
        <v>224</v>
      </c>
    </row>
    <row r="1104" spans="1:9" x14ac:dyDescent="0.3">
      <c r="A1104">
        <v>1961</v>
      </c>
      <c r="B1104">
        <v>0</v>
      </c>
      <c r="C1104">
        <v>0</v>
      </c>
      <c r="D1104">
        <v>0</v>
      </c>
      <c r="E1104">
        <v>0</v>
      </c>
      <c r="F1104">
        <v>0</v>
      </c>
      <c r="G1104">
        <v>0</v>
      </c>
      <c r="H1104">
        <v>0</v>
      </c>
      <c r="I1104" s="2" t="s">
        <v>224</v>
      </c>
    </row>
    <row r="1105" spans="1:10" x14ac:dyDescent="0.3">
      <c r="A1105">
        <v>1110</v>
      </c>
      <c r="B1105">
        <v>0</v>
      </c>
      <c r="C1105">
        <v>0</v>
      </c>
      <c r="D1105">
        <v>0</v>
      </c>
      <c r="E1105">
        <v>0</v>
      </c>
      <c r="F1105">
        <v>0</v>
      </c>
      <c r="G1105">
        <v>0</v>
      </c>
      <c r="H1105">
        <v>0</v>
      </c>
      <c r="I1105" s="2" t="s">
        <v>225</v>
      </c>
    </row>
    <row r="1106" spans="1:10" x14ac:dyDescent="0.3">
      <c r="A1106">
        <v>1603</v>
      </c>
      <c r="B1106">
        <v>0</v>
      </c>
      <c r="C1106">
        <v>0</v>
      </c>
      <c r="D1106">
        <v>0</v>
      </c>
      <c r="E1106">
        <v>0</v>
      </c>
      <c r="F1106">
        <v>0</v>
      </c>
      <c r="G1106">
        <v>0</v>
      </c>
      <c r="H1106">
        <v>0</v>
      </c>
      <c r="I1106" s="2" t="s">
        <v>225</v>
      </c>
    </row>
    <row r="1107" spans="1:10" x14ac:dyDescent="0.3">
      <c r="A1107">
        <v>1563</v>
      </c>
      <c r="B1107">
        <v>0</v>
      </c>
      <c r="C1107">
        <v>0</v>
      </c>
      <c r="D1107">
        <v>0</v>
      </c>
      <c r="E1107">
        <v>0</v>
      </c>
      <c r="F1107">
        <v>0</v>
      </c>
      <c r="G1107">
        <v>0</v>
      </c>
      <c r="H1107">
        <v>0</v>
      </c>
      <c r="I1107" s="2" t="s">
        <v>226</v>
      </c>
    </row>
    <row r="1108" spans="1:10" x14ac:dyDescent="0.3">
      <c r="A1108">
        <v>2482</v>
      </c>
      <c r="B1108">
        <v>0</v>
      </c>
      <c r="C1108">
        <v>0</v>
      </c>
      <c r="D1108">
        <v>0</v>
      </c>
      <c r="E1108">
        <v>0</v>
      </c>
      <c r="F1108">
        <v>0</v>
      </c>
      <c r="G1108">
        <v>0</v>
      </c>
      <c r="H1108">
        <v>0</v>
      </c>
      <c r="I1108" s="2" t="s">
        <v>226</v>
      </c>
    </row>
    <row r="1109" spans="1:10" x14ac:dyDescent="0.3">
      <c r="A1109">
        <v>2936</v>
      </c>
      <c r="B1109">
        <v>0</v>
      </c>
      <c r="C1109">
        <v>1</v>
      </c>
      <c r="D1109">
        <v>1</v>
      </c>
      <c r="E1109">
        <v>0</v>
      </c>
      <c r="F1109">
        <v>1</v>
      </c>
      <c r="G1109">
        <v>0</v>
      </c>
      <c r="H1109">
        <v>1</v>
      </c>
      <c r="I1109" s="2" t="s">
        <v>226</v>
      </c>
    </row>
    <row r="1110" spans="1:10" x14ac:dyDescent="0.3">
      <c r="A1110">
        <v>1146</v>
      </c>
      <c r="B1110">
        <v>0</v>
      </c>
      <c r="C1110">
        <v>0</v>
      </c>
      <c r="D1110">
        <v>0</v>
      </c>
      <c r="E1110">
        <v>0</v>
      </c>
      <c r="F1110">
        <v>0</v>
      </c>
      <c r="G1110">
        <v>0</v>
      </c>
      <c r="H1110">
        <v>0</v>
      </c>
      <c r="I1110" s="2" t="s">
        <v>227</v>
      </c>
    </row>
    <row r="1111" spans="1:10" x14ac:dyDescent="0.3">
      <c r="A1111">
        <v>2440</v>
      </c>
      <c r="B1111">
        <v>0</v>
      </c>
      <c r="C1111">
        <v>0</v>
      </c>
      <c r="D1111">
        <v>0</v>
      </c>
      <c r="E1111">
        <v>0</v>
      </c>
      <c r="F1111">
        <v>0</v>
      </c>
      <c r="G1111">
        <v>0</v>
      </c>
      <c r="H1111">
        <v>0</v>
      </c>
      <c r="I1111" s="2" t="s">
        <v>227</v>
      </c>
    </row>
    <row r="1112" spans="1:10" x14ac:dyDescent="0.3">
      <c r="A1112">
        <v>2822</v>
      </c>
      <c r="B1112">
        <v>0</v>
      </c>
      <c r="C1112">
        <v>0</v>
      </c>
      <c r="D1112">
        <v>0</v>
      </c>
      <c r="E1112">
        <v>0</v>
      </c>
      <c r="F1112">
        <v>0</v>
      </c>
      <c r="G1112">
        <v>0</v>
      </c>
      <c r="H1112">
        <v>0</v>
      </c>
      <c r="I1112" s="2" t="s">
        <v>227</v>
      </c>
    </row>
    <row r="1113" spans="1:10" x14ac:dyDescent="0.3">
      <c r="A1113">
        <v>2925</v>
      </c>
      <c r="B1113">
        <v>0</v>
      </c>
      <c r="C1113">
        <v>0</v>
      </c>
      <c r="D1113">
        <v>0</v>
      </c>
      <c r="E1113">
        <v>0</v>
      </c>
      <c r="F1113">
        <v>0</v>
      </c>
      <c r="G1113">
        <v>0</v>
      </c>
      <c r="H1113">
        <v>0</v>
      </c>
      <c r="I1113" s="2" t="s">
        <v>227</v>
      </c>
    </row>
    <row r="1114" spans="1:10" x14ac:dyDescent="0.3">
      <c r="A1114">
        <v>1127</v>
      </c>
      <c r="B1114">
        <v>0</v>
      </c>
      <c r="C1114">
        <v>0</v>
      </c>
      <c r="D1114">
        <v>0</v>
      </c>
      <c r="E1114">
        <v>0</v>
      </c>
      <c r="F1114">
        <v>0</v>
      </c>
      <c r="G1114">
        <v>0</v>
      </c>
      <c r="H1114">
        <v>0</v>
      </c>
      <c r="I1114" s="2">
        <v>43811</v>
      </c>
      <c r="J1114" s="1"/>
    </row>
    <row r="1115" spans="1:10" x14ac:dyDescent="0.3">
      <c r="A1115">
        <v>2002</v>
      </c>
      <c r="B1115">
        <v>0</v>
      </c>
      <c r="C1115">
        <v>0</v>
      </c>
      <c r="D1115">
        <v>0</v>
      </c>
      <c r="E1115">
        <v>0</v>
      </c>
      <c r="F1115">
        <v>0</v>
      </c>
      <c r="G1115">
        <v>0</v>
      </c>
      <c r="H1115">
        <v>0</v>
      </c>
      <c r="I1115" s="2">
        <v>43811</v>
      </c>
      <c r="J1115" s="1"/>
    </row>
    <row r="1116" spans="1:10" x14ac:dyDescent="0.3">
      <c r="A1116">
        <v>3047</v>
      </c>
      <c r="B1116">
        <v>0</v>
      </c>
      <c r="C1116">
        <v>0</v>
      </c>
      <c r="D1116">
        <v>0</v>
      </c>
      <c r="E1116">
        <v>0</v>
      </c>
      <c r="F1116">
        <v>0</v>
      </c>
      <c r="G1116">
        <v>0</v>
      </c>
      <c r="H1116">
        <v>0</v>
      </c>
      <c r="I1116" s="2">
        <v>43811</v>
      </c>
      <c r="J1116" s="1"/>
    </row>
    <row r="1117" spans="1:10" x14ac:dyDescent="0.3">
      <c r="A1117">
        <v>2131</v>
      </c>
      <c r="B1117">
        <v>0</v>
      </c>
      <c r="C1117">
        <v>0</v>
      </c>
      <c r="D1117">
        <v>0</v>
      </c>
      <c r="E1117">
        <v>0</v>
      </c>
      <c r="F1117">
        <v>0</v>
      </c>
      <c r="G1117">
        <v>0</v>
      </c>
      <c r="H1117">
        <v>0</v>
      </c>
      <c r="I1117" s="2">
        <v>43781</v>
      </c>
      <c r="J1117" s="1"/>
    </row>
    <row r="1118" spans="1:10" x14ac:dyDescent="0.3">
      <c r="A1118">
        <v>2244</v>
      </c>
      <c r="B1118">
        <v>0</v>
      </c>
      <c r="C1118">
        <v>0</v>
      </c>
      <c r="D1118">
        <v>0</v>
      </c>
      <c r="E1118">
        <v>0</v>
      </c>
      <c r="F1118">
        <v>0</v>
      </c>
      <c r="G1118">
        <v>0</v>
      </c>
      <c r="H1118">
        <v>0</v>
      </c>
      <c r="I1118" s="2">
        <v>43781</v>
      </c>
      <c r="J1118" s="1"/>
    </row>
    <row r="1119" spans="1:10" x14ac:dyDescent="0.3">
      <c r="A1119">
        <v>2666</v>
      </c>
      <c r="B1119">
        <v>0</v>
      </c>
      <c r="C1119">
        <v>0</v>
      </c>
      <c r="D1119">
        <v>0</v>
      </c>
      <c r="E1119">
        <v>0</v>
      </c>
      <c r="F1119">
        <v>0</v>
      </c>
      <c r="G1119">
        <v>0</v>
      </c>
      <c r="H1119">
        <v>0</v>
      </c>
      <c r="I1119" s="2">
        <v>43781</v>
      </c>
      <c r="J1119" s="1"/>
    </row>
    <row r="1120" spans="1:10" x14ac:dyDescent="0.3">
      <c r="A1120">
        <v>3116</v>
      </c>
      <c r="B1120">
        <v>0</v>
      </c>
      <c r="C1120">
        <v>0</v>
      </c>
      <c r="D1120">
        <v>0</v>
      </c>
      <c r="E1120">
        <v>0</v>
      </c>
      <c r="F1120">
        <v>0</v>
      </c>
      <c r="G1120">
        <v>0</v>
      </c>
      <c r="H1120">
        <v>0</v>
      </c>
      <c r="I1120" s="2">
        <v>43781</v>
      </c>
      <c r="J1120" s="1"/>
    </row>
    <row r="1121" spans="1:10" x14ac:dyDescent="0.3">
      <c r="A1121">
        <v>1310</v>
      </c>
      <c r="B1121">
        <v>0</v>
      </c>
      <c r="C1121">
        <v>0</v>
      </c>
      <c r="D1121">
        <v>0</v>
      </c>
      <c r="E1121">
        <v>0</v>
      </c>
      <c r="F1121">
        <v>0</v>
      </c>
      <c r="G1121">
        <v>0</v>
      </c>
      <c r="H1121">
        <v>0</v>
      </c>
      <c r="I1121" s="2">
        <v>43750</v>
      </c>
      <c r="J1121" s="1"/>
    </row>
    <row r="1122" spans="1:10" x14ac:dyDescent="0.3">
      <c r="A1122">
        <v>1552</v>
      </c>
      <c r="B1122">
        <v>0</v>
      </c>
      <c r="C1122">
        <v>0</v>
      </c>
      <c r="D1122">
        <v>0</v>
      </c>
      <c r="E1122">
        <v>0</v>
      </c>
      <c r="F1122">
        <v>0</v>
      </c>
      <c r="G1122">
        <v>0</v>
      </c>
      <c r="H1122">
        <v>0</v>
      </c>
      <c r="I1122" s="2">
        <v>43750</v>
      </c>
      <c r="J1122" s="1"/>
    </row>
    <row r="1123" spans="1:10" x14ac:dyDescent="0.3">
      <c r="A1123">
        <v>2030</v>
      </c>
      <c r="B1123">
        <v>0</v>
      </c>
      <c r="C1123">
        <v>1</v>
      </c>
      <c r="D1123">
        <v>0</v>
      </c>
      <c r="E1123">
        <v>0</v>
      </c>
      <c r="F1123">
        <v>0</v>
      </c>
      <c r="G1123">
        <v>0</v>
      </c>
      <c r="H1123">
        <v>0</v>
      </c>
      <c r="I1123" s="2">
        <v>43750</v>
      </c>
      <c r="J1123" s="1"/>
    </row>
    <row r="1124" spans="1:10" x14ac:dyDescent="0.3">
      <c r="A1124">
        <v>2147</v>
      </c>
      <c r="B1124">
        <v>0</v>
      </c>
      <c r="C1124">
        <v>0</v>
      </c>
      <c r="D1124">
        <v>0</v>
      </c>
      <c r="E1124">
        <v>0</v>
      </c>
      <c r="F1124">
        <v>0</v>
      </c>
      <c r="G1124">
        <v>0</v>
      </c>
      <c r="H1124">
        <v>0</v>
      </c>
      <c r="I1124" s="2">
        <v>43750</v>
      </c>
      <c r="J1124" s="1"/>
    </row>
    <row r="1125" spans="1:10" x14ac:dyDescent="0.3">
      <c r="A1125">
        <v>3049</v>
      </c>
      <c r="B1125">
        <v>0</v>
      </c>
      <c r="C1125">
        <v>0</v>
      </c>
      <c r="D1125">
        <v>0</v>
      </c>
      <c r="E1125">
        <v>0</v>
      </c>
      <c r="F1125">
        <v>0</v>
      </c>
      <c r="G1125">
        <v>0</v>
      </c>
      <c r="H1125">
        <v>0</v>
      </c>
      <c r="I1125" s="2">
        <v>43750</v>
      </c>
      <c r="J1125" s="1"/>
    </row>
    <row r="1126" spans="1:10" x14ac:dyDescent="0.3">
      <c r="A1126">
        <v>1056</v>
      </c>
      <c r="B1126">
        <v>0</v>
      </c>
      <c r="C1126">
        <v>1</v>
      </c>
      <c r="D1126">
        <v>1</v>
      </c>
      <c r="E1126">
        <v>0</v>
      </c>
      <c r="F1126">
        <v>0</v>
      </c>
      <c r="G1126">
        <v>0</v>
      </c>
      <c r="H1126">
        <v>1</v>
      </c>
      <c r="I1126" s="2">
        <v>43720</v>
      </c>
      <c r="J1126" s="1"/>
    </row>
    <row r="1127" spans="1:10" x14ac:dyDescent="0.3">
      <c r="A1127">
        <v>1277</v>
      </c>
      <c r="B1127">
        <v>1</v>
      </c>
      <c r="C1127">
        <v>0</v>
      </c>
      <c r="D1127">
        <v>0</v>
      </c>
      <c r="E1127">
        <v>0</v>
      </c>
      <c r="F1127">
        <v>0</v>
      </c>
      <c r="G1127">
        <v>0</v>
      </c>
      <c r="H1127">
        <v>0</v>
      </c>
      <c r="I1127" s="2">
        <v>43720</v>
      </c>
      <c r="J1127" s="1"/>
    </row>
    <row r="1128" spans="1:10" x14ac:dyDescent="0.3">
      <c r="A1128">
        <v>1424</v>
      </c>
      <c r="B1128">
        <v>0</v>
      </c>
      <c r="C1128">
        <v>0</v>
      </c>
      <c r="D1128">
        <v>0</v>
      </c>
      <c r="E1128">
        <v>0</v>
      </c>
      <c r="F1128">
        <v>0</v>
      </c>
      <c r="G1128">
        <v>0</v>
      </c>
      <c r="H1128">
        <v>0</v>
      </c>
      <c r="I1128" s="2">
        <v>43720</v>
      </c>
      <c r="J1128" s="1"/>
    </row>
    <row r="1129" spans="1:10" x14ac:dyDescent="0.3">
      <c r="A1129">
        <v>2219</v>
      </c>
      <c r="B1129">
        <v>0</v>
      </c>
      <c r="C1129">
        <v>0</v>
      </c>
      <c r="D1129">
        <v>0</v>
      </c>
      <c r="E1129">
        <v>0</v>
      </c>
      <c r="F1129">
        <v>0</v>
      </c>
      <c r="G1129">
        <v>0</v>
      </c>
      <c r="H1129">
        <v>0</v>
      </c>
      <c r="I1129" s="2">
        <v>43720</v>
      </c>
      <c r="J1129" s="1"/>
    </row>
    <row r="1130" spans="1:10" x14ac:dyDescent="0.3">
      <c r="A1130">
        <v>2832</v>
      </c>
      <c r="B1130">
        <v>0</v>
      </c>
      <c r="C1130">
        <v>0</v>
      </c>
      <c r="D1130">
        <v>0</v>
      </c>
      <c r="E1130">
        <v>0</v>
      </c>
      <c r="F1130">
        <v>0</v>
      </c>
      <c r="G1130">
        <v>0</v>
      </c>
      <c r="H1130">
        <v>0</v>
      </c>
      <c r="I1130" s="2">
        <v>43720</v>
      </c>
      <c r="J1130" s="1"/>
    </row>
    <row r="1131" spans="1:10" x14ac:dyDescent="0.3">
      <c r="A1131">
        <v>3189</v>
      </c>
      <c r="B1131">
        <v>0</v>
      </c>
      <c r="C1131">
        <v>1</v>
      </c>
      <c r="D1131">
        <v>1</v>
      </c>
      <c r="E1131">
        <v>0</v>
      </c>
      <c r="F1131">
        <v>0</v>
      </c>
      <c r="G1131">
        <v>0</v>
      </c>
      <c r="H1131">
        <v>1</v>
      </c>
      <c r="I1131" s="2">
        <v>43720</v>
      </c>
      <c r="J1131" s="1"/>
    </row>
    <row r="1132" spans="1:10" x14ac:dyDescent="0.3">
      <c r="A1132">
        <v>1077</v>
      </c>
      <c r="B1132">
        <v>0</v>
      </c>
      <c r="C1132">
        <v>0</v>
      </c>
      <c r="D1132">
        <v>0</v>
      </c>
      <c r="E1132">
        <v>0</v>
      </c>
      <c r="F1132">
        <v>0</v>
      </c>
      <c r="G1132">
        <v>0</v>
      </c>
      <c r="H1132">
        <v>0</v>
      </c>
      <c r="I1132" s="2">
        <v>43689</v>
      </c>
      <c r="J1132" s="1"/>
    </row>
    <row r="1133" spans="1:10" x14ac:dyDescent="0.3">
      <c r="A1133">
        <v>1751</v>
      </c>
      <c r="B1133">
        <v>0</v>
      </c>
      <c r="C1133">
        <v>0</v>
      </c>
      <c r="D1133">
        <v>0</v>
      </c>
      <c r="E1133">
        <v>0</v>
      </c>
      <c r="F1133">
        <v>0</v>
      </c>
      <c r="G1133">
        <v>0</v>
      </c>
      <c r="H1133">
        <v>0</v>
      </c>
      <c r="I1133" s="2">
        <v>43689</v>
      </c>
      <c r="J1133" s="1"/>
    </row>
    <row r="1134" spans="1:10" x14ac:dyDescent="0.3">
      <c r="A1134">
        <v>2056</v>
      </c>
      <c r="B1134">
        <v>0</v>
      </c>
      <c r="C1134">
        <v>0</v>
      </c>
      <c r="D1134">
        <v>0</v>
      </c>
      <c r="E1134">
        <v>1</v>
      </c>
      <c r="F1134">
        <v>0</v>
      </c>
      <c r="G1134">
        <v>0</v>
      </c>
      <c r="H1134">
        <v>0</v>
      </c>
      <c r="I1134" s="2">
        <v>43689</v>
      </c>
      <c r="J1134" s="1"/>
    </row>
    <row r="1135" spans="1:10" x14ac:dyDescent="0.3">
      <c r="A1135">
        <v>2360</v>
      </c>
      <c r="B1135">
        <v>0</v>
      </c>
      <c r="C1135">
        <v>0</v>
      </c>
      <c r="D1135">
        <v>0</v>
      </c>
      <c r="E1135">
        <v>0</v>
      </c>
      <c r="F1135">
        <v>0</v>
      </c>
      <c r="G1135">
        <v>0</v>
      </c>
      <c r="H1135">
        <v>0</v>
      </c>
      <c r="I1135" s="2">
        <v>43689</v>
      </c>
      <c r="J1135" s="1"/>
    </row>
    <row r="1136" spans="1:10" x14ac:dyDescent="0.3">
      <c r="A1136">
        <v>2935</v>
      </c>
      <c r="B1136">
        <v>0</v>
      </c>
      <c r="C1136">
        <v>0</v>
      </c>
      <c r="D1136">
        <v>0</v>
      </c>
      <c r="E1136">
        <v>0</v>
      </c>
      <c r="F1136">
        <v>0</v>
      </c>
      <c r="G1136">
        <v>0</v>
      </c>
      <c r="H1136">
        <v>0</v>
      </c>
      <c r="I1136" s="2">
        <v>43689</v>
      </c>
      <c r="J1136" s="1"/>
    </row>
    <row r="1137" spans="1:10" x14ac:dyDescent="0.3">
      <c r="A1137">
        <v>1311</v>
      </c>
      <c r="B1137">
        <v>0</v>
      </c>
      <c r="C1137">
        <v>0</v>
      </c>
      <c r="D1137">
        <v>0</v>
      </c>
      <c r="E1137">
        <v>0</v>
      </c>
      <c r="F1137">
        <v>0</v>
      </c>
      <c r="G1137">
        <v>0</v>
      </c>
      <c r="H1137">
        <v>0</v>
      </c>
      <c r="I1137" s="2">
        <v>43658</v>
      </c>
      <c r="J1137" s="1"/>
    </row>
    <row r="1138" spans="1:10" x14ac:dyDescent="0.3">
      <c r="A1138">
        <v>1819</v>
      </c>
      <c r="B1138">
        <v>0</v>
      </c>
      <c r="C1138">
        <v>0</v>
      </c>
      <c r="D1138">
        <v>0</v>
      </c>
      <c r="E1138">
        <v>0</v>
      </c>
      <c r="F1138">
        <v>0</v>
      </c>
      <c r="G1138">
        <v>0</v>
      </c>
      <c r="H1138">
        <v>0</v>
      </c>
      <c r="I1138" s="2">
        <v>43658</v>
      </c>
      <c r="J1138" s="1"/>
    </row>
    <row r="1139" spans="1:10" x14ac:dyDescent="0.3">
      <c r="A1139">
        <v>1866</v>
      </c>
      <c r="B1139">
        <v>0</v>
      </c>
      <c r="C1139">
        <v>0</v>
      </c>
      <c r="D1139">
        <v>0</v>
      </c>
      <c r="E1139">
        <v>0</v>
      </c>
      <c r="F1139">
        <v>0</v>
      </c>
      <c r="G1139">
        <v>0</v>
      </c>
      <c r="H1139">
        <v>0</v>
      </c>
      <c r="I1139" s="2">
        <v>43658</v>
      </c>
      <c r="J1139" s="1"/>
    </row>
    <row r="1140" spans="1:10" x14ac:dyDescent="0.3">
      <c r="A1140">
        <v>1150</v>
      </c>
      <c r="B1140">
        <v>0</v>
      </c>
      <c r="C1140">
        <v>0</v>
      </c>
      <c r="D1140">
        <v>0</v>
      </c>
      <c r="E1140">
        <v>0</v>
      </c>
      <c r="F1140">
        <v>0</v>
      </c>
      <c r="G1140">
        <v>0</v>
      </c>
      <c r="H1140">
        <v>0</v>
      </c>
      <c r="I1140" s="2">
        <v>43628</v>
      </c>
      <c r="J1140" s="1"/>
    </row>
    <row r="1141" spans="1:10" x14ac:dyDescent="0.3">
      <c r="A1141">
        <v>1306</v>
      </c>
      <c r="B1141">
        <v>0</v>
      </c>
      <c r="C1141">
        <v>0</v>
      </c>
      <c r="D1141">
        <v>0</v>
      </c>
      <c r="E1141">
        <v>0</v>
      </c>
      <c r="F1141">
        <v>0</v>
      </c>
      <c r="G1141">
        <v>0</v>
      </c>
      <c r="H1141">
        <v>0</v>
      </c>
      <c r="I1141" s="2">
        <v>43628</v>
      </c>
      <c r="J1141" s="1"/>
    </row>
    <row r="1142" spans="1:10" x14ac:dyDescent="0.3">
      <c r="A1142">
        <v>3200</v>
      </c>
      <c r="B1142">
        <v>0</v>
      </c>
      <c r="C1142">
        <v>0</v>
      </c>
      <c r="D1142">
        <v>0</v>
      </c>
      <c r="E1142">
        <v>0</v>
      </c>
      <c r="F1142">
        <v>0</v>
      </c>
      <c r="G1142">
        <v>0</v>
      </c>
      <c r="H1142">
        <v>0</v>
      </c>
      <c r="I1142" s="2">
        <v>43628</v>
      </c>
      <c r="J1142" s="1"/>
    </row>
    <row r="1143" spans="1:10" x14ac:dyDescent="0.3">
      <c r="A1143">
        <v>3215</v>
      </c>
      <c r="B1143">
        <v>0</v>
      </c>
      <c r="C1143">
        <v>0</v>
      </c>
      <c r="D1143">
        <v>0</v>
      </c>
      <c r="E1143">
        <v>0</v>
      </c>
      <c r="F1143">
        <v>0</v>
      </c>
      <c r="G1143">
        <v>0</v>
      </c>
      <c r="H1143">
        <v>0</v>
      </c>
      <c r="I1143" s="2">
        <v>43628</v>
      </c>
      <c r="J1143" s="1"/>
    </row>
    <row r="1144" spans="1:10" x14ac:dyDescent="0.3">
      <c r="A1144">
        <v>1319</v>
      </c>
      <c r="B1144">
        <v>0</v>
      </c>
      <c r="C1144">
        <v>0</v>
      </c>
      <c r="D1144">
        <v>0</v>
      </c>
      <c r="E1144">
        <v>0</v>
      </c>
      <c r="F1144">
        <v>0</v>
      </c>
      <c r="G1144">
        <v>0</v>
      </c>
      <c r="H1144">
        <v>0</v>
      </c>
      <c r="I1144" s="2">
        <v>43597</v>
      </c>
      <c r="J1144" s="1"/>
    </row>
    <row r="1145" spans="1:10" x14ac:dyDescent="0.3">
      <c r="A1145">
        <v>1501</v>
      </c>
      <c r="B1145">
        <v>0</v>
      </c>
      <c r="C1145">
        <v>0</v>
      </c>
      <c r="D1145">
        <v>0</v>
      </c>
      <c r="E1145">
        <v>0</v>
      </c>
      <c r="F1145">
        <v>0</v>
      </c>
      <c r="G1145">
        <v>0</v>
      </c>
      <c r="H1145">
        <v>0</v>
      </c>
      <c r="I1145" s="2">
        <v>43597</v>
      </c>
      <c r="J1145" s="1"/>
    </row>
    <row r="1146" spans="1:10" x14ac:dyDescent="0.3">
      <c r="A1146">
        <v>1857</v>
      </c>
      <c r="B1146">
        <v>0</v>
      </c>
      <c r="C1146">
        <v>0</v>
      </c>
      <c r="D1146">
        <v>0</v>
      </c>
      <c r="E1146">
        <v>0</v>
      </c>
      <c r="F1146">
        <v>0</v>
      </c>
      <c r="G1146">
        <v>0</v>
      </c>
      <c r="H1146">
        <v>0</v>
      </c>
      <c r="I1146" s="2">
        <v>43597</v>
      </c>
      <c r="J1146" s="1"/>
    </row>
    <row r="1147" spans="1:10" x14ac:dyDescent="0.3">
      <c r="A1147">
        <v>1891</v>
      </c>
      <c r="B1147">
        <v>0</v>
      </c>
      <c r="C1147">
        <v>0</v>
      </c>
      <c r="D1147">
        <v>0</v>
      </c>
      <c r="E1147">
        <v>0</v>
      </c>
      <c r="F1147">
        <v>0</v>
      </c>
      <c r="G1147">
        <v>0</v>
      </c>
      <c r="H1147">
        <v>0</v>
      </c>
      <c r="I1147" s="2">
        <v>43567</v>
      </c>
      <c r="J1147" s="1"/>
    </row>
    <row r="1148" spans="1:10" x14ac:dyDescent="0.3">
      <c r="A1148">
        <v>2011</v>
      </c>
      <c r="B1148">
        <v>0</v>
      </c>
      <c r="C1148">
        <v>0</v>
      </c>
      <c r="D1148">
        <v>1</v>
      </c>
      <c r="E1148">
        <v>0</v>
      </c>
      <c r="F1148">
        <v>0</v>
      </c>
      <c r="G1148">
        <v>0</v>
      </c>
      <c r="H1148">
        <v>1</v>
      </c>
      <c r="I1148" s="2">
        <v>43567</v>
      </c>
      <c r="J1148" s="1"/>
    </row>
    <row r="1149" spans="1:10" x14ac:dyDescent="0.3">
      <c r="A1149">
        <v>2212</v>
      </c>
      <c r="B1149">
        <v>0</v>
      </c>
      <c r="C1149">
        <v>0</v>
      </c>
      <c r="D1149">
        <v>0</v>
      </c>
      <c r="E1149">
        <v>0</v>
      </c>
      <c r="F1149">
        <v>0</v>
      </c>
      <c r="G1149">
        <v>0</v>
      </c>
      <c r="H1149">
        <v>0</v>
      </c>
      <c r="I1149" s="2">
        <v>43567</v>
      </c>
      <c r="J1149" s="1"/>
    </row>
    <row r="1150" spans="1:10" x14ac:dyDescent="0.3">
      <c r="A1150">
        <v>2196</v>
      </c>
      <c r="B1150">
        <v>0</v>
      </c>
      <c r="C1150">
        <v>0</v>
      </c>
      <c r="D1150">
        <v>0</v>
      </c>
      <c r="E1150">
        <v>0</v>
      </c>
      <c r="F1150">
        <v>0</v>
      </c>
      <c r="G1150">
        <v>0</v>
      </c>
      <c r="H1150">
        <v>1</v>
      </c>
      <c r="I1150" s="2">
        <v>43536</v>
      </c>
      <c r="J1150" s="1"/>
    </row>
    <row r="1151" spans="1:10" x14ac:dyDescent="0.3">
      <c r="A1151">
        <v>2285</v>
      </c>
      <c r="B1151">
        <v>0</v>
      </c>
      <c r="C1151">
        <v>0</v>
      </c>
      <c r="D1151">
        <v>0</v>
      </c>
      <c r="E1151">
        <v>0</v>
      </c>
      <c r="F1151">
        <v>0</v>
      </c>
      <c r="G1151">
        <v>0</v>
      </c>
      <c r="H1151">
        <v>0</v>
      </c>
      <c r="I1151" s="2">
        <v>43536</v>
      </c>
      <c r="J1151" s="1"/>
    </row>
    <row r="1152" spans="1:10" x14ac:dyDescent="0.3">
      <c r="A1152">
        <v>3139</v>
      </c>
      <c r="B1152">
        <v>0</v>
      </c>
      <c r="C1152">
        <v>1</v>
      </c>
      <c r="D1152">
        <v>1</v>
      </c>
      <c r="E1152">
        <v>0</v>
      </c>
      <c r="F1152">
        <v>1</v>
      </c>
      <c r="G1152">
        <v>0</v>
      </c>
      <c r="H1152">
        <v>1</v>
      </c>
      <c r="I1152" s="2">
        <v>43536</v>
      </c>
      <c r="J1152" s="1"/>
    </row>
    <row r="1153" spans="1:10" x14ac:dyDescent="0.3">
      <c r="A1153">
        <v>2576</v>
      </c>
      <c r="B1153">
        <v>0</v>
      </c>
      <c r="C1153">
        <v>0</v>
      </c>
      <c r="D1153">
        <v>0</v>
      </c>
      <c r="E1153">
        <v>0</v>
      </c>
      <c r="F1153">
        <v>0</v>
      </c>
      <c r="G1153">
        <v>0</v>
      </c>
      <c r="H1153">
        <v>0</v>
      </c>
      <c r="I1153" s="2">
        <v>43508</v>
      </c>
      <c r="J1153" s="1"/>
    </row>
    <row r="1154" spans="1:10" x14ac:dyDescent="0.3">
      <c r="A1154">
        <v>2615</v>
      </c>
      <c r="B1154">
        <v>0</v>
      </c>
      <c r="C1154">
        <v>0</v>
      </c>
      <c r="D1154">
        <v>0</v>
      </c>
      <c r="E1154">
        <v>0</v>
      </c>
      <c r="F1154">
        <v>0</v>
      </c>
      <c r="G1154">
        <v>0</v>
      </c>
      <c r="H1154">
        <v>0</v>
      </c>
      <c r="I1154" s="2">
        <v>43508</v>
      </c>
      <c r="J1154" s="1"/>
    </row>
    <row r="1155" spans="1:10" x14ac:dyDescent="0.3">
      <c r="A1155">
        <v>2652</v>
      </c>
      <c r="B1155">
        <v>0</v>
      </c>
      <c r="C1155">
        <v>0</v>
      </c>
      <c r="D1155">
        <v>0</v>
      </c>
      <c r="E1155">
        <v>0</v>
      </c>
      <c r="F1155">
        <v>0</v>
      </c>
      <c r="G1155">
        <v>0</v>
      </c>
      <c r="H1155">
        <v>0</v>
      </c>
      <c r="I1155" s="2">
        <v>43508</v>
      </c>
      <c r="J1155" s="1"/>
    </row>
    <row r="1156" spans="1:10" x14ac:dyDescent="0.3">
      <c r="A1156">
        <v>3122</v>
      </c>
      <c r="B1156">
        <v>0</v>
      </c>
      <c r="C1156">
        <v>0</v>
      </c>
      <c r="D1156">
        <v>0</v>
      </c>
      <c r="E1156">
        <v>0</v>
      </c>
      <c r="F1156">
        <v>0</v>
      </c>
      <c r="G1156">
        <v>0</v>
      </c>
      <c r="H1156">
        <v>0</v>
      </c>
      <c r="I1156" s="2">
        <v>43508</v>
      </c>
      <c r="J1156" s="1"/>
    </row>
    <row r="1157" spans="1:10" x14ac:dyDescent="0.3">
      <c r="A1157">
        <v>1471</v>
      </c>
      <c r="B1157">
        <v>0</v>
      </c>
      <c r="C1157">
        <v>0</v>
      </c>
      <c r="D1157">
        <v>0</v>
      </c>
      <c r="E1157">
        <v>0</v>
      </c>
      <c r="F1157">
        <v>0</v>
      </c>
      <c r="G1157">
        <v>0</v>
      </c>
      <c r="H1157">
        <v>0</v>
      </c>
      <c r="I1157" s="2">
        <v>43477</v>
      </c>
      <c r="J1157" s="1"/>
    </row>
    <row r="1158" spans="1:10" x14ac:dyDescent="0.3">
      <c r="A1158">
        <v>1546</v>
      </c>
      <c r="B1158">
        <v>0</v>
      </c>
      <c r="C1158">
        <v>0</v>
      </c>
      <c r="D1158">
        <v>0</v>
      </c>
      <c r="E1158">
        <v>0</v>
      </c>
      <c r="F1158">
        <v>0</v>
      </c>
      <c r="G1158">
        <v>0</v>
      </c>
      <c r="H1158">
        <v>0</v>
      </c>
      <c r="I1158" s="2" t="s">
        <v>228</v>
      </c>
    </row>
    <row r="1159" spans="1:10" x14ac:dyDescent="0.3">
      <c r="A1159">
        <v>2358</v>
      </c>
      <c r="B1159">
        <v>0</v>
      </c>
      <c r="C1159">
        <v>1</v>
      </c>
      <c r="D1159">
        <v>0</v>
      </c>
      <c r="E1159">
        <v>0</v>
      </c>
      <c r="F1159">
        <v>0</v>
      </c>
      <c r="G1159">
        <v>0</v>
      </c>
      <c r="H1159">
        <v>0</v>
      </c>
      <c r="I1159" s="2" t="s">
        <v>228</v>
      </c>
    </row>
    <row r="1160" spans="1:10" x14ac:dyDescent="0.3">
      <c r="A1160">
        <v>2278</v>
      </c>
      <c r="B1160">
        <v>0</v>
      </c>
      <c r="C1160">
        <v>1</v>
      </c>
      <c r="D1160">
        <v>0</v>
      </c>
      <c r="E1160">
        <v>0</v>
      </c>
      <c r="F1160">
        <v>0</v>
      </c>
      <c r="G1160">
        <v>0</v>
      </c>
      <c r="H1160">
        <v>0</v>
      </c>
      <c r="I1160" s="2" t="s">
        <v>229</v>
      </c>
    </row>
    <row r="1161" spans="1:10" x14ac:dyDescent="0.3">
      <c r="A1161">
        <v>2466</v>
      </c>
      <c r="B1161">
        <v>0</v>
      </c>
      <c r="C1161">
        <v>0</v>
      </c>
      <c r="D1161">
        <v>0</v>
      </c>
      <c r="E1161">
        <v>0</v>
      </c>
      <c r="F1161">
        <v>0</v>
      </c>
      <c r="G1161">
        <v>0</v>
      </c>
      <c r="H1161">
        <v>1</v>
      </c>
      <c r="I1161" s="2" t="s">
        <v>229</v>
      </c>
    </row>
    <row r="1162" spans="1:10" x14ac:dyDescent="0.3">
      <c r="A1162">
        <v>3133</v>
      </c>
      <c r="B1162">
        <v>0</v>
      </c>
      <c r="C1162">
        <v>0</v>
      </c>
      <c r="D1162">
        <v>0</v>
      </c>
      <c r="E1162">
        <v>0</v>
      </c>
      <c r="F1162">
        <v>0</v>
      </c>
      <c r="G1162">
        <v>0</v>
      </c>
      <c r="H1162">
        <v>0</v>
      </c>
      <c r="I1162" s="2" t="s">
        <v>229</v>
      </c>
    </row>
    <row r="1163" spans="1:10" x14ac:dyDescent="0.3">
      <c r="A1163">
        <v>1076</v>
      </c>
      <c r="B1163">
        <v>0</v>
      </c>
      <c r="C1163">
        <v>0</v>
      </c>
      <c r="D1163">
        <v>0</v>
      </c>
      <c r="E1163">
        <v>0</v>
      </c>
      <c r="F1163">
        <v>0</v>
      </c>
      <c r="G1163">
        <v>0</v>
      </c>
      <c r="H1163">
        <v>0</v>
      </c>
      <c r="I1163" s="2" t="s">
        <v>230</v>
      </c>
    </row>
    <row r="1164" spans="1:10" x14ac:dyDescent="0.3">
      <c r="A1164">
        <v>1330</v>
      </c>
      <c r="B1164">
        <v>0</v>
      </c>
      <c r="C1164">
        <v>0</v>
      </c>
      <c r="D1164">
        <v>0</v>
      </c>
      <c r="E1164">
        <v>0</v>
      </c>
      <c r="F1164">
        <v>0</v>
      </c>
      <c r="G1164">
        <v>0</v>
      </c>
      <c r="H1164">
        <v>0</v>
      </c>
      <c r="I1164" s="2" t="s">
        <v>230</v>
      </c>
    </row>
    <row r="1165" spans="1:10" x14ac:dyDescent="0.3">
      <c r="A1165">
        <v>2902</v>
      </c>
      <c r="B1165">
        <v>0</v>
      </c>
      <c r="C1165">
        <v>0</v>
      </c>
      <c r="D1165">
        <v>0</v>
      </c>
      <c r="E1165">
        <v>0</v>
      </c>
      <c r="F1165">
        <v>0</v>
      </c>
      <c r="G1165">
        <v>0</v>
      </c>
      <c r="H1165">
        <v>0</v>
      </c>
      <c r="I1165" s="2" t="s">
        <v>230</v>
      </c>
    </row>
    <row r="1166" spans="1:10" x14ac:dyDescent="0.3">
      <c r="A1166">
        <v>1358</v>
      </c>
      <c r="B1166">
        <v>0</v>
      </c>
      <c r="C1166">
        <v>0</v>
      </c>
      <c r="D1166">
        <v>0</v>
      </c>
      <c r="E1166">
        <v>0</v>
      </c>
      <c r="F1166">
        <v>0</v>
      </c>
      <c r="G1166">
        <v>0</v>
      </c>
      <c r="H1166">
        <v>1</v>
      </c>
      <c r="I1166" s="2" t="s">
        <v>231</v>
      </c>
    </row>
    <row r="1167" spans="1:10" x14ac:dyDescent="0.3">
      <c r="A1167">
        <v>2074</v>
      </c>
      <c r="B1167">
        <v>0</v>
      </c>
      <c r="C1167">
        <v>0</v>
      </c>
      <c r="D1167">
        <v>0</v>
      </c>
      <c r="E1167">
        <v>0</v>
      </c>
      <c r="F1167">
        <v>0</v>
      </c>
      <c r="G1167">
        <v>0</v>
      </c>
      <c r="H1167">
        <v>0</v>
      </c>
      <c r="I1167" s="2" t="s">
        <v>231</v>
      </c>
    </row>
    <row r="1168" spans="1:10" x14ac:dyDescent="0.3">
      <c r="A1168">
        <v>2962</v>
      </c>
      <c r="B1168">
        <v>0</v>
      </c>
      <c r="C1168">
        <v>0</v>
      </c>
      <c r="D1168">
        <v>0</v>
      </c>
      <c r="E1168">
        <v>0</v>
      </c>
      <c r="F1168">
        <v>0</v>
      </c>
      <c r="G1168">
        <v>0</v>
      </c>
      <c r="H1168">
        <v>0</v>
      </c>
      <c r="I1168" s="2" t="s">
        <v>231</v>
      </c>
    </row>
    <row r="1169" spans="1:9" x14ac:dyDescent="0.3">
      <c r="A1169">
        <v>1419</v>
      </c>
      <c r="B1169">
        <v>0</v>
      </c>
      <c r="C1169">
        <v>0</v>
      </c>
      <c r="D1169">
        <v>0</v>
      </c>
      <c r="E1169">
        <v>0</v>
      </c>
      <c r="F1169">
        <v>0</v>
      </c>
      <c r="G1169">
        <v>0</v>
      </c>
      <c r="H1169">
        <v>0</v>
      </c>
      <c r="I1169" s="2" t="s">
        <v>232</v>
      </c>
    </row>
    <row r="1170" spans="1:9" x14ac:dyDescent="0.3">
      <c r="A1170">
        <v>1488</v>
      </c>
      <c r="B1170">
        <v>0</v>
      </c>
      <c r="C1170">
        <v>0</v>
      </c>
      <c r="D1170">
        <v>0</v>
      </c>
      <c r="E1170">
        <v>0</v>
      </c>
      <c r="F1170">
        <v>0</v>
      </c>
      <c r="G1170">
        <v>0</v>
      </c>
      <c r="H1170">
        <v>0</v>
      </c>
      <c r="I1170" s="2" t="s">
        <v>232</v>
      </c>
    </row>
    <row r="1171" spans="1:9" x14ac:dyDescent="0.3">
      <c r="A1171">
        <v>1492</v>
      </c>
      <c r="B1171">
        <v>0</v>
      </c>
      <c r="C1171">
        <v>0</v>
      </c>
      <c r="D1171">
        <v>0</v>
      </c>
      <c r="E1171">
        <v>0</v>
      </c>
      <c r="F1171">
        <v>0</v>
      </c>
      <c r="G1171">
        <v>0</v>
      </c>
      <c r="H1171">
        <v>0</v>
      </c>
      <c r="I1171" s="2" t="s">
        <v>232</v>
      </c>
    </row>
    <row r="1172" spans="1:9" x14ac:dyDescent="0.3">
      <c r="A1172">
        <v>2554</v>
      </c>
      <c r="B1172">
        <v>0</v>
      </c>
      <c r="C1172">
        <v>0</v>
      </c>
      <c r="D1172">
        <v>0</v>
      </c>
      <c r="E1172">
        <v>0</v>
      </c>
      <c r="F1172">
        <v>0</v>
      </c>
      <c r="G1172">
        <v>0</v>
      </c>
      <c r="H1172">
        <v>0</v>
      </c>
      <c r="I1172" s="2" t="s">
        <v>232</v>
      </c>
    </row>
    <row r="1173" spans="1:9" x14ac:dyDescent="0.3">
      <c r="A1173">
        <v>1091</v>
      </c>
      <c r="B1173">
        <v>0</v>
      </c>
      <c r="C1173">
        <v>0</v>
      </c>
      <c r="D1173">
        <v>0</v>
      </c>
      <c r="E1173">
        <v>0</v>
      </c>
      <c r="F1173">
        <v>0</v>
      </c>
      <c r="G1173">
        <v>0</v>
      </c>
      <c r="H1173">
        <v>0</v>
      </c>
      <c r="I1173" s="2" t="s">
        <v>233</v>
      </c>
    </row>
    <row r="1174" spans="1:9" x14ac:dyDescent="0.3">
      <c r="A1174">
        <v>1112</v>
      </c>
      <c r="B1174">
        <v>0</v>
      </c>
      <c r="C1174">
        <v>0</v>
      </c>
      <c r="D1174">
        <v>0</v>
      </c>
      <c r="E1174">
        <v>0</v>
      </c>
      <c r="F1174">
        <v>0</v>
      </c>
      <c r="G1174">
        <v>0</v>
      </c>
      <c r="H1174">
        <v>0</v>
      </c>
      <c r="I1174" s="2" t="s">
        <v>233</v>
      </c>
    </row>
    <row r="1175" spans="1:9" x14ac:dyDescent="0.3">
      <c r="A1175">
        <v>2121</v>
      </c>
      <c r="B1175">
        <v>0</v>
      </c>
      <c r="C1175">
        <v>0</v>
      </c>
      <c r="D1175">
        <v>0</v>
      </c>
      <c r="E1175">
        <v>0</v>
      </c>
      <c r="F1175">
        <v>0</v>
      </c>
      <c r="G1175">
        <v>0</v>
      </c>
      <c r="H1175">
        <v>0</v>
      </c>
      <c r="I1175" s="2" t="s">
        <v>233</v>
      </c>
    </row>
    <row r="1176" spans="1:9" x14ac:dyDescent="0.3">
      <c r="A1176">
        <v>2327</v>
      </c>
      <c r="B1176">
        <v>0</v>
      </c>
      <c r="C1176">
        <v>0</v>
      </c>
      <c r="D1176">
        <v>0</v>
      </c>
      <c r="E1176">
        <v>0</v>
      </c>
      <c r="F1176">
        <v>0</v>
      </c>
      <c r="G1176">
        <v>0</v>
      </c>
      <c r="H1176">
        <v>0</v>
      </c>
      <c r="I1176" s="2" t="s">
        <v>233</v>
      </c>
    </row>
    <row r="1177" spans="1:9" x14ac:dyDescent="0.3">
      <c r="A1177">
        <v>2441</v>
      </c>
      <c r="B1177">
        <v>0</v>
      </c>
      <c r="C1177">
        <v>0</v>
      </c>
      <c r="D1177">
        <v>0</v>
      </c>
      <c r="E1177">
        <v>0</v>
      </c>
      <c r="F1177">
        <v>0</v>
      </c>
      <c r="G1177">
        <v>0</v>
      </c>
      <c r="H1177">
        <v>0</v>
      </c>
      <c r="I1177" s="2" t="s">
        <v>233</v>
      </c>
    </row>
    <row r="1178" spans="1:9" x14ac:dyDescent="0.3">
      <c r="A1178">
        <v>1255</v>
      </c>
      <c r="B1178">
        <v>0</v>
      </c>
      <c r="C1178">
        <v>0</v>
      </c>
      <c r="D1178">
        <v>0</v>
      </c>
      <c r="E1178">
        <v>0</v>
      </c>
      <c r="F1178">
        <v>0</v>
      </c>
      <c r="G1178">
        <v>0</v>
      </c>
      <c r="H1178">
        <v>0</v>
      </c>
      <c r="I1178" s="2" t="s">
        <v>234</v>
      </c>
    </row>
    <row r="1179" spans="1:9" x14ac:dyDescent="0.3">
      <c r="A1179">
        <v>2609</v>
      </c>
      <c r="B1179">
        <v>0</v>
      </c>
      <c r="C1179">
        <v>0</v>
      </c>
      <c r="D1179">
        <v>0</v>
      </c>
      <c r="E1179">
        <v>0</v>
      </c>
      <c r="F1179">
        <v>0</v>
      </c>
      <c r="G1179">
        <v>0</v>
      </c>
      <c r="H1179">
        <v>0</v>
      </c>
      <c r="I1179" s="2" t="s">
        <v>234</v>
      </c>
    </row>
    <row r="1180" spans="1:9" x14ac:dyDescent="0.3">
      <c r="A1180">
        <v>2640</v>
      </c>
      <c r="B1180">
        <v>0</v>
      </c>
      <c r="C1180">
        <v>0</v>
      </c>
      <c r="D1180">
        <v>0</v>
      </c>
      <c r="E1180">
        <v>0</v>
      </c>
      <c r="F1180">
        <v>0</v>
      </c>
      <c r="G1180">
        <v>0</v>
      </c>
      <c r="H1180">
        <v>0</v>
      </c>
      <c r="I1180" s="2" t="s">
        <v>234</v>
      </c>
    </row>
    <row r="1181" spans="1:9" x14ac:dyDescent="0.3">
      <c r="A1181">
        <v>3186</v>
      </c>
      <c r="B1181">
        <v>0</v>
      </c>
      <c r="C1181">
        <v>0</v>
      </c>
      <c r="D1181">
        <v>0</v>
      </c>
      <c r="E1181">
        <v>0</v>
      </c>
      <c r="F1181">
        <v>0</v>
      </c>
      <c r="G1181">
        <v>0</v>
      </c>
      <c r="H1181">
        <v>0</v>
      </c>
      <c r="I1181" s="2" t="s">
        <v>234</v>
      </c>
    </row>
    <row r="1182" spans="1:9" x14ac:dyDescent="0.3">
      <c r="A1182">
        <v>1765</v>
      </c>
      <c r="B1182">
        <v>0</v>
      </c>
      <c r="C1182">
        <v>0</v>
      </c>
      <c r="D1182">
        <v>0</v>
      </c>
      <c r="E1182">
        <v>0</v>
      </c>
      <c r="F1182">
        <v>0</v>
      </c>
      <c r="G1182">
        <v>0</v>
      </c>
      <c r="H1182">
        <v>0</v>
      </c>
      <c r="I1182" s="2" t="s">
        <v>235</v>
      </c>
    </row>
    <row r="1183" spans="1:9" x14ac:dyDescent="0.3">
      <c r="A1183">
        <v>3166</v>
      </c>
      <c r="B1183">
        <v>1</v>
      </c>
      <c r="C1183">
        <v>0</v>
      </c>
      <c r="D1183">
        <v>0</v>
      </c>
      <c r="E1183">
        <v>0</v>
      </c>
      <c r="F1183">
        <v>0</v>
      </c>
      <c r="G1183">
        <v>0</v>
      </c>
      <c r="H1183">
        <v>1</v>
      </c>
      <c r="I1183" s="2" t="s">
        <v>235</v>
      </c>
    </row>
    <row r="1184" spans="1:9" x14ac:dyDescent="0.3">
      <c r="A1184">
        <v>1518</v>
      </c>
      <c r="B1184">
        <v>0</v>
      </c>
      <c r="C1184">
        <v>0</v>
      </c>
      <c r="D1184">
        <v>0</v>
      </c>
      <c r="E1184">
        <v>0</v>
      </c>
      <c r="F1184">
        <v>0</v>
      </c>
      <c r="G1184">
        <v>0</v>
      </c>
      <c r="H1184">
        <v>0</v>
      </c>
      <c r="I1184" s="2" t="s">
        <v>236</v>
      </c>
    </row>
    <row r="1185" spans="1:9" x14ac:dyDescent="0.3">
      <c r="A1185">
        <v>2612</v>
      </c>
      <c r="B1185">
        <v>0</v>
      </c>
      <c r="C1185">
        <v>0</v>
      </c>
      <c r="D1185">
        <v>0</v>
      </c>
      <c r="E1185">
        <v>0</v>
      </c>
      <c r="F1185">
        <v>0</v>
      </c>
      <c r="G1185">
        <v>0</v>
      </c>
      <c r="H1185">
        <v>0</v>
      </c>
      <c r="I1185" s="2" t="s">
        <v>236</v>
      </c>
    </row>
    <row r="1186" spans="1:9" x14ac:dyDescent="0.3">
      <c r="A1186">
        <v>2904</v>
      </c>
      <c r="B1186">
        <v>0</v>
      </c>
      <c r="C1186">
        <v>0</v>
      </c>
      <c r="D1186">
        <v>0</v>
      </c>
      <c r="E1186">
        <v>0</v>
      </c>
      <c r="F1186">
        <v>0</v>
      </c>
      <c r="G1186">
        <v>0</v>
      </c>
      <c r="H1186">
        <v>0</v>
      </c>
      <c r="I1186" s="2" t="s">
        <v>236</v>
      </c>
    </row>
    <row r="1187" spans="1:9" x14ac:dyDescent="0.3">
      <c r="A1187">
        <v>1545</v>
      </c>
      <c r="B1187">
        <v>0</v>
      </c>
      <c r="C1187">
        <v>0</v>
      </c>
      <c r="D1187">
        <v>0</v>
      </c>
      <c r="E1187">
        <v>0</v>
      </c>
      <c r="F1187">
        <v>0</v>
      </c>
      <c r="G1187">
        <v>0</v>
      </c>
      <c r="H1187">
        <v>0</v>
      </c>
      <c r="I1187" s="2" t="s">
        <v>237</v>
      </c>
    </row>
    <row r="1188" spans="1:9" x14ac:dyDescent="0.3">
      <c r="A1188">
        <v>1660</v>
      </c>
      <c r="B1188">
        <v>1</v>
      </c>
      <c r="C1188">
        <v>0</v>
      </c>
      <c r="D1188">
        <v>0</v>
      </c>
      <c r="E1188">
        <v>0</v>
      </c>
      <c r="F1188">
        <v>0</v>
      </c>
      <c r="G1188">
        <v>0</v>
      </c>
      <c r="H1188">
        <v>1</v>
      </c>
      <c r="I1188" s="2" t="s">
        <v>237</v>
      </c>
    </row>
    <row r="1189" spans="1:9" x14ac:dyDescent="0.3">
      <c r="A1189">
        <v>1363</v>
      </c>
      <c r="B1189">
        <v>0</v>
      </c>
      <c r="C1189">
        <v>0</v>
      </c>
      <c r="D1189">
        <v>0</v>
      </c>
      <c r="E1189">
        <v>0</v>
      </c>
      <c r="F1189">
        <v>0</v>
      </c>
      <c r="G1189">
        <v>0</v>
      </c>
      <c r="H1189">
        <v>0</v>
      </c>
      <c r="I1189" s="2" t="s">
        <v>238</v>
      </c>
    </row>
    <row r="1190" spans="1:9" x14ac:dyDescent="0.3">
      <c r="A1190">
        <v>2533</v>
      </c>
      <c r="B1190">
        <v>0</v>
      </c>
      <c r="C1190">
        <v>0</v>
      </c>
      <c r="D1190">
        <v>0</v>
      </c>
      <c r="E1190">
        <v>0</v>
      </c>
      <c r="F1190">
        <v>0</v>
      </c>
      <c r="G1190">
        <v>0</v>
      </c>
      <c r="H1190">
        <v>0</v>
      </c>
      <c r="I1190" s="2" t="s">
        <v>238</v>
      </c>
    </row>
    <row r="1191" spans="1:9" x14ac:dyDescent="0.3">
      <c r="A1191">
        <v>2770</v>
      </c>
      <c r="B1191">
        <v>0</v>
      </c>
      <c r="C1191">
        <v>0</v>
      </c>
      <c r="D1191">
        <v>0</v>
      </c>
      <c r="E1191">
        <v>0</v>
      </c>
      <c r="F1191">
        <v>0</v>
      </c>
      <c r="G1191">
        <v>0</v>
      </c>
      <c r="H1191">
        <v>0</v>
      </c>
      <c r="I1191" s="2" t="s">
        <v>238</v>
      </c>
    </row>
    <row r="1192" spans="1:9" x14ac:dyDescent="0.3">
      <c r="A1192">
        <v>1276</v>
      </c>
      <c r="B1192">
        <v>0</v>
      </c>
      <c r="C1192">
        <v>0</v>
      </c>
      <c r="D1192">
        <v>0</v>
      </c>
      <c r="E1192">
        <v>0</v>
      </c>
      <c r="F1192">
        <v>0</v>
      </c>
      <c r="G1192">
        <v>0</v>
      </c>
      <c r="H1192">
        <v>0</v>
      </c>
      <c r="I1192" s="2" t="s">
        <v>239</v>
      </c>
    </row>
    <row r="1193" spans="1:9" x14ac:dyDescent="0.3">
      <c r="A1193">
        <v>1327</v>
      </c>
      <c r="B1193">
        <v>0</v>
      </c>
      <c r="C1193">
        <v>0</v>
      </c>
      <c r="D1193">
        <v>0</v>
      </c>
      <c r="E1193">
        <v>0</v>
      </c>
      <c r="F1193">
        <v>0</v>
      </c>
      <c r="G1193">
        <v>0</v>
      </c>
      <c r="H1193">
        <v>0</v>
      </c>
      <c r="I1193" s="2" t="s">
        <v>239</v>
      </c>
    </row>
    <row r="1194" spans="1:9" x14ac:dyDescent="0.3">
      <c r="A1194">
        <v>1831</v>
      </c>
      <c r="B1194">
        <v>0</v>
      </c>
      <c r="C1194">
        <v>0</v>
      </c>
      <c r="D1194">
        <v>0</v>
      </c>
      <c r="E1194">
        <v>0</v>
      </c>
      <c r="F1194">
        <v>0</v>
      </c>
      <c r="G1194">
        <v>0</v>
      </c>
      <c r="H1194">
        <v>0</v>
      </c>
      <c r="I1194" s="2" t="s">
        <v>239</v>
      </c>
    </row>
    <row r="1195" spans="1:9" x14ac:dyDescent="0.3">
      <c r="A1195">
        <v>2874</v>
      </c>
      <c r="B1195">
        <v>0</v>
      </c>
      <c r="C1195">
        <v>0</v>
      </c>
      <c r="D1195">
        <v>0</v>
      </c>
      <c r="E1195">
        <v>0</v>
      </c>
      <c r="F1195">
        <v>0</v>
      </c>
      <c r="G1195">
        <v>0</v>
      </c>
      <c r="H1195">
        <v>0</v>
      </c>
      <c r="I1195" s="2" t="s">
        <v>239</v>
      </c>
    </row>
    <row r="1196" spans="1:9" x14ac:dyDescent="0.3">
      <c r="A1196">
        <v>3201</v>
      </c>
      <c r="B1196">
        <v>0</v>
      </c>
      <c r="C1196">
        <v>0</v>
      </c>
      <c r="D1196">
        <v>0</v>
      </c>
      <c r="E1196">
        <v>0</v>
      </c>
      <c r="F1196">
        <v>0</v>
      </c>
      <c r="G1196">
        <v>0</v>
      </c>
      <c r="H1196">
        <v>0</v>
      </c>
      <c r="I1196" s="2" t="s">
        <v>239</v>
      </c>
    </row>
    <row r="1197" spans="1:9" x14ac:dyDescent="0.3">
      <c r="A1197">
        <v>3216</v>
      </c>
      <c r="B1197">
        <v>0</v>
      </c>
      <c r="C1197">
        <v>0</v>
      </c>
      <c r="D1197">
        <v>0</v>
      </c>
      <c r="E1197">
        <v>0</v>
      </c>
      <c r="F1197">
        <v>0</v>
      </c>
      <c r="G1197">
        <v>0</v>
      </c>
      <c r="H1197">
        <v>0</v>
      </c>
      <c r="I1197" s="2" t="s">
        <v>239</v>
      </c>
    </row>
    <row r="1198" spans="1:9" x14ac:dyDescent="0.3">
      <c r="A1198">
        <v>1051</v>
      </c>
      <c r="B1198">
        <v>0</v>
      </c>
      <c r="C1198">
        <v>0</v>
      </c>
      <c r="D1198">
        <v>0</v>
      </c>
      <c r="E1198">
        <v>0</v>
      </c>
      <c r="F1198">
        <v>0</v>
      </c>
      <c r="G1198">
        <v>0</v>
      </c>
      <c r="H1198">
        <v>0</v>
      </c>
      <c r="I1198" s="2" t="s">
        <v>240</v>
      </c>
    </row>
    <row r="1199" spans="1:9" x14ac:dyDescent="0.3">
      <c r="A1199">
        <v>1713</v>
      </c>
      <c r="B1199">
        <v>0</v>
      </c>
      <c r="C1199">
        <v>0</v>
      </c>
      <c r="D1199">
        <v>0</v>
      </c>
      <c r="E1199">
        <v>0</v>
      </c>
      <c r="F1199">
        <v>0</v>
      </c>
      <c r="G1199">
        <v>0</v>
      </c>
      <c r="H1199">
        <v>0</v>
      </c>
      <c r="I1199" s="2" t="s">
        <v>240</v>
      </c>
    </row>
    <row r="1200" spans="1:9" x14ac:dyDescent="0.3">
      <c r="A1200">
        <v>2846</v>
      </c>
      <c r="B1200">
        <v>0</v>
      </c>
      <c r="C1200">
        <v>0</v>
      </c>
      <c r="D1200">
        <v>0</v>
      </c>
      <c r="E1200">
        <v>0</v>
      </c>
      <c r="F1200">
        <v>0</v>
      </c>
      <c r="G1200">
        <v>0</v>
      </c>
      <c r="H1200">
        <v>0</v>
      </c>
      <c r="I1200" s="2" t="s">
        <v>240</v>
      </c>
    </row>
    <row r="1201" spans="1:10" x14ac:dyDescent="0.3">
      <c r="A1201">
        <v>1059</v>
      </c>
      <c r="B1201">
        <v>0</v>
      </c>
      <c r="C1201">
        <v>0</v>
      </c>
      <c r="D1201">
        <v>0</v>
      </c>
      <c r="E1201">
        <v>0</v>
      </c>
      <c r="F1201">
        <v>0</v>
      </c>
      <c r="G1201">
        <v>0</v>
      </c>
      <c r="H1201">
        <v>0</v>
      </c>
      <c r="I1201" s="2" t="s">
        <v>241</v>
      </c>
    </row>
    <row r="1202" spans="1:10" x14ac:dyDescent="0.3">
      <c r="A1202">
        <v>1846</v>
      </c>
      <c r="B1202">
        <v>0</v>
      </c>
      <c r="C1202">
        <v>0</v>
      </c>
      <c r="D1202">
        <v>0</v>
      </c>
      <c r="E1202">
        <v>0</v>
      </c>
      <c r="F1202">
        <v>0</v>
      </c>
      <c r="G1202">
        <v>0</v>
      </c>
      <c r="H1202">
        <v>0</v>
      </c>
      <c r="I1202" s="2" t="s">
        <v>241</v>
      </c>
    </row>
    <row r="1203" spans="1:10" x14ac:dyDescent="0.3">
      <c r="A1203">
        <v>1921</v>
      </c>
      <c r="B1203">
        <v>0</v>
      </c>
      <c r="C1203">
        <v>0</v>
      </c>
      <c r="D1203">
        <v>0</v>
      </c>
      <c r="E1203">
        <v>0</v>
      </c>
      <c r="F1203">
        <v>0</v>
      </c>
      <c r="G1203">
        <v>0</v>
      </c>
      <c r="H1203">
        <v>0</v>
      </c>
      <c r="I1203" s="2" t="s">
        <v>242</v>
      </c>
    </row>
    <row r="1204" spans="1:10" x14ac:dyDescent="0.3">
      <c r="A1204">
        <v>2391</v>
      </c>
      <c r="B1204">
        <v>0</v>
      </c>
      <c r="C1204">
        <v>0</v>
      </c>
      <c r="D1204">
        <v>0</v>
      </c>
      <c r="E1204">
        <v>0</v>
      </c>
      <c r="F1204">
        <v>0</v>
      </c>
      <c r="G1204">
        <v>0</v>
      </c>
      <c r="H1204">
        <v>0</v>
      </c>
      <c r="I1204" s="2" t="s">
        <v>242</v>
      </c>
    </row>
    <row r="1205" spans="1:10" x14ac:dyDescent="0.3">
      <c r="A1205">
        <v>2958</v>
      </c>
      <c r="B1205">
        <v>0</v>
      </c>
      <c r="C1205">
        <v>0</v>
      </c>
      <c r="D1205">
        <v>0</v>
      </c>
      <c r="E1205">
        <v>0</v>
      </c>
      <c r="F1205">
        <v>0</v>
      </c>
      <c r="G1205">
        <v>0</v>
      </c>
      <c r="H1205">
        <v>0</v>
      </c>
      <c r="I1205" s="2" t="s">
        <v>242</v>
      </c>
    </row>
    <row r="1206" spans="1:10" x14ac:dyDescent="0.3">
      <c r="A1206">
        <v>3075</v>
      </c>
      <c r="B1206">
        <v>0</v>
      </c>
      <c r="C1206">
        <v>0</v>
      </c>
      <c r="D1206">
        <v>0</v>
      </c>
      <c r="E1206">
        <v>0</v>
      </c>
      <c r="F1206">
        <v>0</v>
      </c>
      <c r="G1206">
        <v>0</v>
      </c>
      <c r="H1206">
        <v>0</v>
      </c>
      <c r="I1206" s="2" t="s">
        <v>242</v>
      </c>
    </row>
    <row r="1207" spans="1:10" x14ac:dyDescent="0.3">
      <c r="A1207">
        <v>1432</v>
      </c>
      <c r="B1207">
        <v>0</v>
      </c>
      <c r="C1207">
        <v>0</v>
      </c>
      <c r="D1207">
        <v>0</v>
      </c>
      <c r="E1207">
        <v>0</v>
      </c>
      <c r="F1207">
        <v>0</v>
      </c>
      <c r="G1207">
        <v>0</v>
      </c>
      <c r="H1207">
        <v>0</v>
      </c>
      <c r="I1207" s="2" t="s">
        <v>243</v>
      </c>
    </row>
    <row r="1208" spans="1:10" x14ac:dyDescent="0.3">
      <c r="A1208">
        <v>2268</v>
      </c>
      <c r="B1208">
        <v>0</v>
      </c>
      <c r="C1208">
        <v>0</v>
      </c>
      <c r="D1208">
        <v>0</v>
      </c>
      <c r="E1208">
        <v>0</v>
      </c>
      <c r="F1208">
        <v>0</v>
      </c>
      <c r="G1208">
        <v>0</v>
      </c>
      <c r="H1208">
        <v>0</v>
      </c>
      <c r="I1208" s="2" t="s">
        <v>244</v>
      </c>
    </row>
    <row r="1209" spans="1:10" x14ac:dyDescent="0.3">
      <c r="A1209">
        <v>2485</v>
      </c>
      <c r="B1209">
        <v>0</v>
      </c>
      <c r="C1209">
        <v>0</v>
      </c>
      <c r="D1209">
        <v>0</v>
      </c>
      <c r="E1209">
        <v>0</v>
      </c>
      <c r="F1209">
        <v>0</v>
      </c>
      <c r="G1209">
        <v>0</v>
      </c>
      <c r="H1209">
        <v>0</v>
      </c>
      <c r="I1209" s="2" t="s">
        <v>244</v>
      </c>
    </row>
    <row r="1210" spans="1:10" x14ac:dyDescent="0.3">
      <c r="A1210">
        <v>2748</v>
      </c>
      <c r="B1210">
        <v>0</v>
      </c>
      <c r="C1210">
        <v>0</v>
      </c>
      <c r="D1210">
        <v>0</v>
      </c>
      <c r="E1210">
        <v>0</v>
      </c>
      <c r="F1210">
        <v>0</v>
      </c>
      <c r="G1210">
        <v>0</v>
      </c>
      <c r="H1210">
        <v>0</v>
      </c>
      <c r="I1210" s="2" t="s">
        <v>244</v>
      </c>
    </row>
    <row r="1211" spans="1:10" x14ac:dyDescent="0.3">
      <c r="A1211">
        <v>2780</v>
      </c>
      <c r="B1211">
        <v>0</v>
      </c>
      <c r="C1211">
        <v>0</v>
      </c>
      <c r="D1211">
        <v>0</v>
      </c>
      <c r="E1211">
        <v>0</v>
      </c>
      <c r="F1211">
        <v>0</v>
      </c>
      <c r="G1211">
        <v>0</v>
      </c>
      <c r="H1211">
        <v>0</v>
      </c>
      <c r="I1211" s="2" t="s">
        <v>244</v>
      </c>
    </row>
    <row r="1212" spans="1:10" x14ac:dyDescent="0.3">
      <c r="A1212">
        <v>3077</v>
      </c>
      <c r="B1212">
        <v>0</v>
      </c>
      <c r="C1212">
        <v>0</v>
      </c>
      <c r="D1212">
        <v>0</v>
      </c>
      <c r="E1212">
        <v>0</v>
      </c>
      <c r="F1212">
        <v>0</v>
      </c>
      <c r="G1212">
        <v>0</v>
      </c>
      <c r="H1212">
        <v>0</v>
      </c>
      <c r="I1212" s="2" t="s">
        <v>244</v>
      </c>
    </row>
    <row r="1213" spans="1:10" x14ac:dyDescent="0.3">
      <c r="A1213">
        <v>1009</v>
      </c>
      <c r="B1213">
        <v>0</v>
      </c>
      <c r="C1213">
        <v>0</v>
      </c>
      <c r="D1213">
        <v>0</v>
      </c>
      <c r="E1213">
        <v>0</v>
      </c>
      <c r="F1213">
        <v>0</v>
      </c>
      <c r="G1213">
        <v>0</v>
      </c>
      <c r="H1213">
        <v>1</v>
      </c>
      <c r="I1213" s="2">
        <v>43780</v>
      </c>
      <c r="J1213" s="1"/>
    </row>
    <row r="1214" spans="1:10" x14ac:dyDescent="0.3">
      <c r="A1214">
        <v>1392</v>
      </c>
      <c r="B1214">
        <v>0</v>
      </c>
      <c r="C1214">
        <v>0</v>
      </c>
      <c r="D1214">
        <v>0</v>
      </c>
      <c r="E1214">
        <v>0</v>
      </c>
      <c r="F1214">
        <v>0</v>
      </c>
      <c r="G1214">
        <v>0</v>
      </c>
      <c r="H1214">
        <v>0</v>
      </c>
      <c r="I1214" s="2">
        <v>43780</v>
      </c>
      <c r="J1214" s="1"/>
    </row>
    <row r="1215" spans="1:10" x14ac:dyDescent="0.3">
      <c r="A1215">
        <v>2301</v>
      </c>
      <c r="B1215">
        <v>0</v>
      </c>
      <c r="C1215">
        <v>0</v>
      </c>
      <c r="D1215">
        <v>0</v>
      </c>
      <c r="E1215">
        <v>0</v>
      </c>
      <c r="F1215">
        <v>0</v>
      </c>
      <c r="G1215">
        <v>0</v>
      </c>
      <c r="H1215">
        <v>0</v>
      </c>
      <c r="I1215" s="2">
        <v>43780</v>
      </c>
      <c r="J1215" s="1"/>
    </row>
    <row r="1216" spans="1:10" x14ac:dyDescent="0.3">
      <c r="A1216">
        <v>1245</v>
      </c>
      <c r="B1216">
        <v>0</v>
      </c>
      <c r="C1216">
        <v>0</v>
      </c>
      <c r="D1216">
        <v>0</v>
      </c>
      <c r="E1216">
        <v>0</v>
      </c>
      <c r="F1216">
        <v>0</v>
      </c>
      <c r="G1216">
        <v>0</v>
      </c>
      <c r="H1216">
        <v>0</v>
      </c>
      <c r="I1216" s="2">
        <v>43719</v>
      </c>
      <c r="J1216" s="1"/>
    </row>
    <row r="1217" spans="1:10" x14ac:dyDescent="0.3">
      <c r="A1217">
        <v>1407</v>
      </c>
      <c r="B1217">
        <v>0</v>
      </c>
      <c r="C1217">
        <v>1</v>
      </c>
      <c r="D1217">
        <v>1</v>
      </c>
      <c r="E1217">
        <v>0</v>
      </c>
      <c r="F1217">
        <v>0</v>
      </c>
      <c r="G1217">
        <v>0</v>
      </c>
      <c r="H1217">
        <v>1</v>
      </c>
      <c r="I1217" s="2">
        <v>43719</v>
      </c>
      <c r="J1217" s="1"/>
    </row>
    <row r="1218" spans="1:10" x14ac:dyDescent="0.3">
      <c r="A1218">
        <v>1528</v>
      </c>
      <c r="B1218">
        <v>0</v>
      </c>
      <c r="C1218">
        <v>0</v>
      </c>
      <c r="D1218">
        <v>0</v>
      </c>
      <c r="E1218">
        <v>0</v>
      </c>
      <c r="F1218">
        <v>0</v>
      </c>
      <c r="G1218">
        <v>0</v>
      </c>
      <c r="H1218">
        <v>0</v>
      </c>
      <c r="I1218" s="2">
        <v>43719</v>
      </c>
      <c r="J1218" s="1"/>
    </row>
    <row r="1219" spans="1:10" x14ac:dyDescent="0.3">
      <c r="A1219">
        <v>1582</v>
      </c>
      <c r="B1219">
        <v>0</v>
      </c>
      <c r="C1219">
        <v>0</v>
      </c>
      <c r="D1219">
        <v>0</v>
      </c>
      <c r="E1219">
        <v>0</v>
      </c>
      <c r="F1219">
        <v>0</v>
      </c>
      <c r="G1219">
        <v>0</v>
      </c>
      <c r="H1219">
        <v>0</v>
      </c>
      <c r="I1219" s="2">
        <v>43719</v>
      </c>
      <c r="J1219" s="1"/>
    </row>
    <row r="1220" spans="1:10" x14ac:dyDescent="0.3">
      <c r="A1220">
        <v>1619</v>
      </c>
      <c r="B1220">
        <v>0</v>
      </c>
      <c r="C1220">
        <v>0</v>
      </c>
      <c r="D1220">
        <v>0</v>
      </c>
      <c r="E1220">
        <v>0</v>
      </c>
      <c r="F1220">
        <v>0</v>
      </c>
      <c r="G1220">
        <v>0</v>
      </c>
      <c r="H1220">
        <v>0</v>
      </c>
      <c r="I1220" s="2">
        <v>43719</v>
      </c>
      <c r="J1220" s="1"/>
    </row>
    <row r="1221" spans="1:10" x14ac:dyDescent="0.3">
      <c r="A1221">
        <v>2782</v>
      </c>
      <c r="B1221">
        <v>0</v>
      </c>
      <c r="C1221">
        <v>0</v>
      </c>
      <c r="D1221">
        <v>0</v>
      </c>
      <c r="E1221">
        <v>0</v>
      </c>
      <c r="F1221">
        <v>0</v>
      </c>
      <c r="G1221">
        <v>0</v>
      </c>
      <c r="H1221">
        <v>0</v>
      </c>
      <c r="I1221" s="2">
        <v>43719</v>
      </c>
      <c r="J1221" s="1"/>
    </row>
    <row r="1222" spans="1:10" x14ac:dyDescent="0.3">
      <c r="A1222">
        <v>1607</v>
      </c>
      <c r="B1222">
        <v>0</v>
      </c>
      <c r="C1222">
        <v>0</v>
      </c>
      <c r="D1222">
        <v>0</v>
      </c>
      <c r="E1222">
        <v>1</v>
      </c>
      <c r="F1222">
        <v>0</v>
      </c>
      <c r="G1222">
        <v>0</v>
      </c>
      <c r="H1222">
        <v>0</v>
      </c>
      <c r="I1222" s="2">
        <v>43688</v>
      </c>
      <c r="J1222" s="1"/>
    </row>
    <row r="1223" spans="1:10" x14ac:dyDescent="0.3">
      <c r="A1223">
        <v>1609</v>
      </c>
      <c r="B1223">
        <v>0</v>
      </c>
      <c r="C1223">
        <v>0</v>
      </c>
      <c r="D1223">
        <v>0</v>
      </c>
      <c r="E1223">
        <v>0</v>
      </c>
      <c r="F1223">
        <v>0</v>
      </c>
      <c r="G1223">
        <v>0</v>
      </c>
      <c r="H1223">
        <v>0</v>
      </c>
      <c r="I1223" s="2">
        <v>43688</v>
      </c>
      <c r="J1223" s="1"/>
    </row>
    <row r="1224" spans="1:10" x14ac:dyDescent="0.3">
      <c r="A1224">
        <v>2496</v>
      </c>
      <c r="B1224">
        <v>0</v>
      </c>
      <c r="C1224">
        <v>0</v>
      </c>
      <c r="D1224">
        <v>0</v>
      </c>
      <c r="E1224">
        <v>0</v>
      </c>
      <c r="F1224">
        <v>0</v>
      </c>
      <c r="G1224">
        <v>0</v>
      </c>
      <c r="H1224">
        <v>1</v>
      </c>
      <c r="I1224" s="2">
        <v>43688</v>
      </c>
      <c r="J1224" s="1"/>
    </row>
    <row r="1225" spans="1:10" x14ac:dyDescent="0.3">
      <c r="A1225">
        <v>2648</v>
      </c>
      <c r="B1225">
        <v>0</v>
      </c>
      <c r="C1225">
        <v>0</v>
      </c>
      <c r="D1225">
        <v>0</v>
      </c>
      <c r="E1225">
        <v>1</v>
      </c>
      <c r="F1225">
        <v>0</v>
      </c>
      <c r="G1225">
        <v>0</v>
      </c>
      <c r="H1225">
        <v>0</v>
      </c>
      <c r="I1225" s="2">
        <v>43688</v>
      </c>
      <c r="J1225" s="1"/>
    </row>
    <row r="1226" spans="1:10" x14ac:dyDescent="0.3">
      <c r="A1226">
        <v>2816</v>
      </c>
      <c r="B1226">
        <v>0</v>
      </c>
      <c r="C1226">
        <v>1</v>
      </c>
      <c r="D1226">
        <v>1</v>
      </c>
      <c r="E1226">
        <v>1</v>
      </c>
      <c r="F1226">
        <v>0</v>
      </c>
      <c r="G1226">
        <v>0</v>
      </c>
      <c r="H1226">
        <v>1</v>
      </c>
      <c r="I1226" s="2">
        <v>43688</v>
      </c>
      <c r="J1226" s="1"/>
    </row>
    <row r="1227" spans="1:10" x14ac:dyDescent="0.3">
      <c r="A1227">
        <v>3131</v>
      </c>
      <c r="B1227">
        <v>0</v>
      </c>
      <c r="C1227">
        <v>0</v>
      </c>
      <c r="D1227">
        <v>0</v>
      </c>
      <c r="E1227">
        <v>1</v>
      </c>
      <c r="F1227">
        <v>0</v>
      </c>
      <c r="G1227">
        <v>0</v>
      </c>
      <c r="H1227">
        <v>0</v>
      </c>
      <c r="I1227" s="2">
        <v>43688</v>
      </c>
      <c r="J1227" s="1"/>
    </row>
    <row r="1228" spans="1:10" x14ac:dyDescent="0.3">
      <c r="A1228">
        <v>3079</v>
      </c>
      <c r="B1228">
        <v>0</v>
      </c>
      <c r="C1228">
        <v>0</v>
      </c>
      <c r="D1228">
        <v>0</v>
      </c>
      <c r="E1228">
        <v>0</v>
      </c>
      <c r="F1228">
        <v>0</v>
      </c>
      <c r="G1228">
        <v>0</v>
      </c>
      <c r="H1228">
        <v>0</v>
      </c>
      <c r="I1228" s="2">
        <v>43657</v>
      </c>
      <c r="J1228" s="1"/>
    </row>
    <row r="1229" spans="1:10" x14ac:dyDescent="0.3">
      <c r="A1229">
        <v>2578</v>
      </c>
      <c r="B1229">
        <v>0</v>
      </c>
      <c r="C1229">
        <v>1</v>
      </c>
      <c r="D1229">
        <v>0</v>
      </c>
      <c r="E1229">
        <v>0</v>
      </c>
      <c r="F1229">
        <v>0</v>
      </c>
      <c r="G1229">
        <v>0</v>
      </c>
      <c r="H1229">
        <v>0</v>
      </c>
      <c r="I1229" s="2">
        <v>43627</v>
      </c>
      <c r="J1229" s="1"/>
    </row>
    <row r="1230" spans="1:10" x14ac:dyDescent="0.3">
      <c r="A1230">
        <v>3012</v>
      </c>
      <c r="B1230">
        <v>0</v>
      </c>
      <c r="C1230">
        <v>0</v>
      </c>
      <c r="D1230">
        <v>0</v>
      </c>
      <c r="E1230">
        <v>0</v>
      </c>
      <c r="F1230">
        <v>0</v>
      </c>
      <c r="G1230">
        <v>0</v>
      </c>
      <c r="H1230">
        <v>0</v>
      </c>
      <c r="I1230" s="2">
        <v>43627</v>
      </c>
      <c r="J1230" s="1"/>
    </row>
    <row r="1231" spans="1:10" x14ac:dyDescent="0.3">
      <c r="A1231">
        <v>1027</v>
      </c>
      <c r="B1231">
        <v>0</v>
      </c>
      <c r="C1231">
        <v>0</v>
      </c>
      <c r="D1231">
        <v>0</v>
      </c>
      <c r="E1231">
        <v>0</v>
      </c>
      <c r="F1231">
        <v>0</v>
      </c>
      <c r="G1231">
        <v>0</v>
      </c>
      <c r="H1231">
        <v>0</v>
      </c>
      <c r="I1231" s="2">
        <v>43596</v>
      </c>
      <c r="J1231" s="1"/>
    </row>
    <row r="1232" spans="1:10" x14ac:dyDescent="0.3">
      <c r="A1232">
        <v>2892</v>
      </c>
      <c r="B1232">
        <v>0</v>
      </c>
      <c r="C1232">
        <v>0</v>
      </c>
      <c r="D1232">
        <v>0</v>
      </c>
      <c r="E1232">
        <v>0</v>
      </c>
      <c r="F1232">
        <v>0</v>
      </c>
      <c r="G1232">
        <v>0</v>
      </c>
      <c r="H1232">
        <v>0</v>
      </c>
      <c r="I1232" s="2">
        <v>43596</v>
      </c>
      <c r="J1232" s="1"/>
    </row>
    <row r="1233" spans="1:10" x14ac:dyDescent="0.3">
      <c r="A1233">
        <v>1181</v>
      </c>
      <c r="B1233">
        <v>0</v>
      </c>
      <c r="C1233">
        <v>0</v>
      </c>
      <c r="D1233">
        <v>0</v>
      </c>
      <c r="E1233">
        <v>0</v>
      </c>
      <c r="F1233">
        <v>0</v>
      </c>
      <c r="G1233">
        <v>0</v>
      </c>
      <c r="H1233">
        <v>0</v>
      </c>
      <c r="I1233" s="2">
        <v>43566</v>
      </c>
      <c r="J1233" s="1"/>
    </row>
    <row r="1234" spans="1:10" x14ac:dyDescent="0.3">
      <c r="A1234">
        <v>2342</v>
      </c>
      <c r="B1234">
        <v>0</v>
      </c>
      <c r="C1234">
        <v>0</v>
      </c>
      <c r="D1234">
        <v>0</v>
      </c>
      <c r="E1234">
        <v>0</v>
      </c>
      <c r="F1234">
        <v>0</v>
      </c>
      <c r="G1234">
        <v>0</v>
      </c>
      <c r="H1234">
        <v>0</v>
      </c>
      <c r="I1234" s="2">
        <v>43566</v>
      </c>
      <c r="J1234" s="1"/>
    </row>
    <row r="1235" spans="1:10" x14ac:dyDescent="0.3">
      <c r="A1235">
        <v>1675</v>
      </c>
      <c r="B1235">
        <v>0</v>
      </c>
      <c r="C1235">
        <v>0</v>
      </c>
      <c r="D1235">
        <v>0</v>
      </c>
      <c r="E1235">
        <v>0</v>
      </c>
      <c r="F1235">
        <v>0</v>
      </c>
      <c r="G1235">
        <v>0</v>
      </c>
      <c r="H1235">
        <v>1</v>
      </c>
      <c r="I1235" s="2">
        <v>43535</v>
      </c>
      <c r="J1235" s="1"/>
    </row>
    <row r="1236" spans="1:10" x14ac:dyDescent="0.3">
      <c r="A1236">
        <v>2020</v>
      </c>
      <c r="B1236">
        <v>0</v>
      </c>
      <c r="C1236">
        <v>0</v>
      </c>
      <c r="D1236">
        <v>0</v>
      </c>
      <c r="E1236">
        <v>0</v>
      </c>
      <c r="F1236">
        <v>0</v>
      </c>
      <c r="G1236">
        <v>0</v>
      </c>
      <c r="H1236">
        <v>0</v>
      </c>
      <c r="I1236" s="2">
        <v>43535</v>
      </c>
      <c r="J1236" s="1"/>
    </row>
    <row r="1237" spans="1:10" x14ac:dyDescent="0.3">
      <c r="A1237">
        <v>2149</v>
      </c>
      <c r="B1237">
        <v>0</v>
      </c>
      <c r="C1237">
        <v>0</v>
      </c>
      <c r="D1237">
        <v>0</v>
      </c>
      <c r="E1237">
        <v>0</v>
      </c>
      <c r="F1237">
        <v>0</v>
      </c>
      <c r="G1237">
        <v>0</v>
      </c>
      <c r="H1237">
        <v>0</v>
      </c>
      <c r="I1237" s="2">
        <v>43535</v>
      </c>
      <c r="J1237" s="1"/>
    </row>
    <row r="1238" spans="1:10" x14ac:dyDescent="0.3">
      <c r="A1238">
        <v>2723</v>
      </c>
      <c r="B1238">
        <v>0</v>
      </c>
      <c r="C1238">
        <v>0</v>
      </c>
      <c r="D1238">
        <v>0</v>
      </c>
      <c r="E1238">
        <v>0</v>
      </c>
      <c r="F1238">
        <v>0</v>
      </c>
      <c r="G1238">
        <v>0</v>
      </c>
      <c r="H1238">
        <v>0</v>
      </c>
      <c r="I1238" s="2">
        <v>43535</v>
      </c>
      <c r="J1238" s="1"/>
    </row>
    <row r="1239" spans="1:10" x14ac:dyDescent="0.3">
      <c r="A1239">
        <v>1923</v>
      </c>
      <c r="B1239">
        <v>0</v>
      </c>
      <c r="C1239">
        <v>0</v>
      </c>
      <c r="D1239">
        <v>1</v>
      </c>
      <c r="E1239">
        <v>0</v>
      </c>
      <c r="F1239">
        <v>0</v>
      </c>
      <c r="G1239">
        <v>0</v>
      </c>
      <c r="H1239">
        <v>1</v>
      </c>
      <c r="I1239" s="2">
        <v>43507</v>
      </c>
      <c r="J1239" s="1"/>
    </row>
    <row r="1240" spans="1:10" x14ac:dyDescent="0.3">
      <c r="A1240">
        <v>1998</v>
      </c>
      <c r="B1240">
        <v>0</v>
      </c>
      <c r="C1240">
        <v>0</v>
      </c>
      <c r="D1240">
        <v>0</v>
      </c>
      <c r="E1240">
        <v>0</v>
      </c>
      <c r="F1240">
        <v>0</v>
      </c>
      <c r="G1240">
        <v>0</v>
      </c>
      <c r="H1240">
        <v>0</v>
      </c>
      <c r="I1240" s="2">
        <v>43507</v>
      </c>
      <c r="J1240" s="1"/>
    </row>
    <row r="1241" spans="1:10" x14ac:dyDescent="0.3">
      <c r="A1241">
        <v>2631</v>
      </c>
      <c r="B1241">
        <v>0</v>
      </c>
      <c r="C1241">
        <v>0</v>
      </c>
      <c r="D1241">
        <v>0</v>
      </c>
      <c r="E1241">
        <v>0</v>
      </c>
      <c r="F1241">
        <v>0</v>
      </c>
      <c r="G1241">
        <v>0</v>
      </c>
      <c r="H1241">
        <v>0</v>
      </c>
      <c r="I1241" s="2">
        <v>43507</v>
      </c>
      <c r="J1241" s="1"/>
    </row>
    <row r="1242" spans="1:10" x14ac:dyDescent="0.3">
      <c r="A1242">
        <v>3066</v>
      </c>
      <c r="B1242">
        <v>0</v>
      </c>
      <c r="C1242">
        <v>0</v>
      </c>
      <c r="D1242">
        <v>0</v>
      </c>
      <c r="E1242">
        <v>0</v>
      </c>
      <c r="F1242">
        <v>0</v>
      </c>
      <c r="G1242">
        <v>0</v>
      </c>
      <c r="H1242">
        <v>0</v>
      </c>
      <c r="I1242" s="2">
        <v>43507</v>
      </c>
      <c r="J1242" s="1"/>
    </row>
    <row r="1243" spans="1:10" x14ac:dyDescent="0.3">
      <c r="A1243">
        <v>1026</v>
      </c>
      <c r="B1243">
        <v>0</v>
      </c>
      <c r="C1243">
        <v>0</v>
      </c>
      <c r="D1243">
        <v>0</v>
      </c>
      <c r="E1243">
        <v>0</v>
      </c>
      <c r="F1243">
        <v>0</v>
      </c>
      <c r="G1243">
        <v>0</v>
      </c>
      <c r="H1243">
        <v>0</v>
      </c>
      <c r="I1243" s="2">
        <v>43476</v>
      </c>
      <c r="J1243" s="1"/>
    </row>
    <row r="1244" spans="1:10" x14ac:dyDescent="0.3">
      <c r="A1244">
        <v>1750</v>
      </c>
      <c r="B1244">
        <v>0</v>
      </c>
      <c r="C1244">
        <v>0</v>
      </c>
      <c r="D1244">
        <v>0</v>
      </c>
      <c r="E1244">
        <v>0</v>
      </c>
      <c r="F1244">
        <v>0</v>
      </c>
      <c r="G1244">
        <v>0</v>
      </c>
      <c r="H1244">
        <v>0</v>
      </c>
      <c r="I1244" s="2" t="s">
        <v>245</v>
      </c>
    </row>
    <row r="1245" spans="1:10" x14ac:dyDescent="0.3">
      <c r="A1245">
        <v>2497</v>
      </c>
      <c r="B1245">
        <v>0</v>
      </c>
      <c r="C1245">
        <v>0</v>
      </c>
      <c r="D1245">
        <v>0</v>
      </c>
      <c r="E1245">
        <v>0</v>
      </c>
      <c r="F1245">
        <v>0</v>
      </c>
      <c r="G1245">
        <v>0</v>
      </c>
      <c r="H1245">
        <v>0</v>
      </c>
      <c r="I1245" s="2" t="s">
        <v>245</v>
      </c>
    </row>
    <row r="1246" spans="1:10" x14ac:dyDescent="0.3">
      <c r="A1246">
        <v>2519</v>
      </c>
      <c r="B1246">
        <v>0</v>
      </c>
      <c r="C1246">
        <v>0</v>
      </c>
      <c r="D1246">
        <v>0</v>
      </c>
      <c r="E1246">
        <v>0</v>
      </c>
      <c r="F1246">
        <v>0</v>
      </c>
      <c r="G1246">
        <v>0</v>
      </c>
      <c r="H1246">
        <v>0</v>
      </c>
      <c r="I1246" s="2" t="s">
        <v>245</v>
      </c>
    </row>
    <row r="1247" spans="1:10" x14ac:dyDescent="0.3">
      <c r="A1247">
        <v>2734</v>
      </c>
      <c r="B1247">
        <v>0</v>
      </c>
      <c r="C1247">
        <v>0</v>
      </c>
      <c r="D1247">
        <v>0</v>
      </c>
      <c r="E1247">
        <v>0</v>
      </c>
      <c r="F1247">
        <v>0</v>
      </c>
      <c r="G1247">
        <v>0</v>
      </c>
      <c r="H1247">
        <v>0</v>
      </c>
      <c r="I1247" s="2" t="s">
        <v>245</v>
      </c>
    </row>
    <row r="1248" spans="1:10" x14ac:dyDescent="0.3">
      <c r="A1248">
        <v>1494</v>
      </c>
      <c r="B1248">
        <v>1</v>
      </c>
      <c r="C1248">
        <v>0</v>
      </c>
      <c r="D1248">
        <v>0</v>
      </c>
      <c r="E1248">
        <v>0</v>
      </c>
      <c r="F1248">
        <v>0</v>
      </c>
      <c r="G1248">
        <v>0</v>
      </c>
      <c r="H1248">
        <v>0</v>
      </c>
      <c r="I1248" s="2" t="s">
        <v>246</v>
      </c>
    </row>
    <row r="1249" spans="1:9" x14ac:dyDescent="0.3">
      <c r="A1249">
        <v>1045</v>
      </c>
      <c r="B1249">
        <v>0</v>
      </c>
      <c r="C1249">
        <v>0</v>
      </c>
      <c r="D1249">
        <v>0</v>
      </c>
      <c r="E1249">
        <v>0</v>
      </c>
      <c r="F1249">
        <v>0</v>
      </c>
      <c r="G1249">
        <v>0</v>
      </c>
      <c r="H1249">
        <v>0</v>
      </c>
      <c r="I1249" s="2" t="s">
        <v>247</v>
      </c>
    </row>
    <row r="1250" spans="1:9" x14ac:dyDescent="0.3">
      <c r="A1250">
        <v>2146</v>
      </c>
      <c r="B1250">
        <v>0</v>
      </c>
      <c r="C1250">
        <v>0</v>
      </c>
      <c r="D1250">
        <v>0</v>
      </c>
      <c r="E1250">
        <v>0</v>
      </c>
      <c r="F1250">
        <v>0</v>
      </c>
      <c r="G1250">
        <v>0</v>
      </c>
      <c r="H1250">
        <v>0</v>
      </c>
      <c r="I1250" s="2" t="s">
        <v>248</v>
      </c>
    </row>
    <row r="1251" spans="1:9" x14ac:dyDescent="0.3">
      <c r="A1251">
        <v>2670</v>
      </c>
      <c r="B1251">
        <v>0</v>
      </c>
      <c r="C1251">
        <v>0</v>
      </c>
      <c r="D1251">
        <v>0</v>
      </c>
      <c r="E1251">
        <v>0</v>
      </c>
      <c r="F1251">
        <v>0</v>
      </c>
      <c r="G1251">
        <v>0</v>
      </c>
      <c r="H1251">
        <v>0</v>
      </c>
      <c r="I1251" s="2" t="s">
        <v>248</v>
      </c>
    </row>
    <row r="1252" spans="1:9" x14ac:dyDescent="0.3">
      <c r="A1252">
        <v>2803</v>
      </c>
      <c r="B1252">
        <v>0</v>
      </c>
      <c r="C1252">
        <v>0</v>
      </c>
      <c r="D1252">
        <v>0</v>
      </c>
      <c r="E1252">
        <v>0</v>
      </c>
      <c r="F1252">
        <v>0</v>
      </c>
      <c r="G1252">
        <v>0</v>
      </c>
      <c r="H1252">
        <v>0</v>
      </c>
      <c r="I1252" s="2" t="s">
        <v>248</v>
      </c>
    </row>
    <row r="1253" spans="1:9" x14ac:dyDescent="0.3">
      <c r="A1253">
        <v>1248</v>
      </c>
      <c r="B1253">
        <v>0</v>
      </c>
      <c r="C1253">
        <v>0</v>
      </c>
      <c r="D1253">
        <v>0</v>
      </c>
      <c r="E1253">
        <v>0</v>
      </c>
      <c r="F1253">
        <v>0</v>
      </c>
      <c r="G1253">
        <v>0</v>
      </c>
      <c r="H1253">
        <v>0</v>
      </c>
      <c r="I1253" s="2" t="s">
        <v>249</v>
      </c>
    </row>
    <row r="1254" spans="1:9" x14ac:dyDescent="0.3">
      <c r="A1254">
        <v>1543</v>
      </c>
      <c r="B1254">
        <v>0</v>
      </c>
      <c r="C1254">
        <v>1</v>
      </c>
      <c r="D1254">
        <v>1</v>
      </c>
      <c r="E1254">
        <v>1</v>
      </c>
      <c r="F1254">
        <v>1</v>
      </c>
      <c r="G1254">
        <v>0</v>
      </c>
      <c r="H1254">
        <v>1</v>
      </c>
      <c r="I1254" s="2" t="s">
        <v>249</v>
      </c>
    </row>
    <row r="1255" spans="1:9" x14ac:dyDescent="0.3">
      <c r="A1255">
        <v>1805</v>
      </c>
      <c r="B1255">
        <v>0</v>
      </c>
      <c r="C1255">
        <v>1</v>
      </c>
      <c r="D1255">
        <v>1</v>
      </c>
      <c r="E1255">
        <v>1</v>
      </c>
      <c r="F1255">
        <v>1</v>
      </c>
      <c r="G1255">
        <v>0</v>
      </c>
      <c r="H1255">
        <v>1</v>
      </c>
      <c r="I1255" s="2" t="s">
        <v>249</v>
      </c>
    </row>
    <row r="1256" spans="1:9" x14ac:dyDescent="0.3">
      <c r="A1256">
        <v>1918</v>
      </c>
      <c r="B1256">
        <v>0</v>
      </c>
      <c r="C1256">
        <v>0</v>
      </c>
      <c r="D1256">
        <v>0</v>
      </c>
      <c r="E1256">
        <v>1</v>
      </c>
      <c r="F1256">
        <v>0</v>
      </c>
      <c r="G1256">
        <v>0</v>
      </c>
      <c r="H1256">
        <v>0</v>
      </c>
      <c r="I1256" s="2" t="s">
        <v>249</v>
      </c>
    </row>
    <row r="1257" spans="1:9" x14ac:dyDescent="0.3">
      <c r="A1257">
        <v>2190</v>
      </c>
      <c r="B1257">
        <v>0</v>
      </c>
      <c r="C1257">
        <v>0</v>
      </c>
      <c r="D1257">
        <v>0</v>
      </c>
      <c r="E1257">
        <v>0</v>
      </c>
      <c r="F1257">
        <v>0</v>
      </c>
      <c r="G1257">
        <v>0</v>
      </c>
      <c r="H1257">
        <v>0</v>
      </c>
      <c r="I1257" s="2" t="s">
        <v>249</v>
      </c>
    </row>
    <row r="1258" spans="1:9" x14ac:dyDescent="0.3">
      <c r="A1258">
        <v>2242</v>
      </c>
      <c r="B1258">
        <v>0</v>
      </c>
      <c r="C1258">
        <v>0</v>
      </c>
      <c r="D1258">
        <v>1</v>
      </c>
      <c r="E1258">
        <v>0</v>
      </c>
      <c r="F1258">
        <v>0</v>
      </c>
      <c r="G1258">
        <v>0</v>
      </c>
      <c r="H1258">
        <v>1</v>
      </c>
      <c r="I1258" s="2" t="s">
        <v>249</v>
      </c>
    </row>
    <row r="1259" spans="1:9" x14ac:dyDescent="0.3">
      <c r="A1259">
        <v>2804</v>
      </c>
      <c r="B1259">
        <v>0</v>
      </c>
      <c r="C1259">
        <v>0</v>
      </c>
      <c r="D1259">
        <v>0</v>
      </c>
      <c r="E1259">
        <v>0</v>
      </c>
      <c r="F1259">
        <v>0</v>
      </c>
      <c r="G1259">
        <v>0</v>
      </c>
      <c r="H1259">
        <v>1</v>
      </c>
      <c r="I1259" s="2" t="s">
        <v>249</v>
      </c>
    </row>
    <row r="1260" spans="1:9" x14ac:dyDescent="0.3">
      <c r="A1260">
        <v>1061</v>
      </c>
      <c r="B1260">
        <v>0</v>
      </c>
      <c r="C1260">
        <v>0</v>
      </c>
      <c r="D1260">
        <v>0</v>
      </c>
      <c r="E1260">
        <v>0</v>
      </c>
      <c r="F1260">
        <v>0</v>
      </c>
      <c r="G1260">
        <v>0</v>
      </c>
      <c r="H1260">
        <v>1</v>
      </c>
      <c r="I1260" s="2" t="s">
        <v>250</v>
      </c>
    </row>
    <row r="1261" spans="1:9" x14ac:dyDescent="0.3">
      <c r="A1261">
        <v>3064</v>
      </c>
      <c r="B1261">
        <v>0</v>
      </c>
      <c r="C1261">
        <v>0</v>
      </c>
      <c r="D1261">
        <v>0</v>
      </c>
      <c r="E1261">
        <v>0</v>
      </c>
      <c r="F1261">
        <v>0</v>
      </c>
      <c r="G1261">
        <v>0</v>
      </c>
      <c r="H1261">
        <v>0</v>
      </c>
      <c r="I1261" s="2" t="s">
        <v>250</v>
      </c>
    </row>
    <row r="1262" spans="1:9" x14ac:dyDescent="0.3">
      <c r="A1262">
        <v>1233</v>
      </c>
      <c r="B1262">
        <v>0</v>
      </c>
      <c r="C1262">
        <v>1</v>
      </c>
      <c r="D1262">
        <v>1</v>
      </c>
      <c r="E1262">
        <v>1</v>
      </c>
      <c r="F1262">
        <v>0</v>
      </c>
      <c r="G1262">
        <v>0</v>
      </c>
      <c r="H1262">
        <v>1</v>
      </c>
      <c r="I1262" s="2" t="s">
        <v>251</v>
      </c>
    </row>
    <row r="1263" spans="1:9" x14ac:dyDescent="0.3">
      <c r="A1263">
        <v>2082</v>
      </c>
      <c r="B1263">
        <v>0</v>
      </c>
      <c r="C1263">
        <v>0</v>
      </c>
      <c r="D1263">
        <v>0</v>
      </c>
      <c r="E1263">
        <v>0</v>
      </c>
      <c r="F1263">
        <v>0</v>
      </c>
      <c r="G1263">
        <v>0</v>
      </c>
      <c r="H1263">
        <v>0</v>
      </c>
      <c r="I1263" s="2" t="s">
        <v>251</v>
      </c>
    </row>
    <row r="1264" spans="1:9" x14ac:dyDescent="0.3">
      <c r="A1264">
        <v>2387</v>
      </c>
      <c r="B1264">
        <v>0</v>
      </c>
      <c r="C1264">
        <v>1</v>
      </c>
      <c r="D1264">
        <v>1</v>
      </c>
      <c r="E1264">
        <v>1</v>
      </c>
      <c r="F1264">
        <v>0</v>
      </c>
      <c r="G1264">
        <v>0</v>
      </c>
      <c r="H1264">
        <v>1</v>
      </c>
      <c r="I1264" s="2" t="s">
        <v>251</v>
      </c>
    </row>
    <row r="1265" spans="1:9" x14ac:dyDescent="0.3">
      <c r="A1265">
        <v>2691</v>
      </c>
      <c r="B1265">
        <v>0</v>
      </c>
      <c r="C1265">
        <v>0</v>
      </c>
      <c r="D1265">
        <v>0</v>
      </c>
      <c r="E1265">
        <v>0</v>
      </c>
      <c r="F1265">
        <v>0</v>
      </c>
      <c r="G1265">
        <v>0</v>
      </c>
      <c r="H1265">
        <v>0</v>
      </c>
      <c r="I1265" s="2" t="s">
        <v>251</v>
      </c>
    </row>
    <row r="1266" spans="1:9" x14ac:dyDescent="0.3">
      <c r="A1266">
        <v>2985</v>
      </c>
      <c r="B1266">
        <v>0</v>
      </c>
      <c r="C1266">
        <v>0</v>
      </c>
      <c r="D1266">
        <v>0</v>
      </c>
      <c r="E1266">
        <v>0</v>
      </c>
      <c r="F1266">
        <v>0</v>
      </c>
      <c r="G1266">
        <v>0</v>
      </c>
      <c r="H1266">
        <v>0</v>
      </c>
      <c r="I1266" s="2" t="s">
        <v>251</v>
      </c>
    </row>
    <row r="1267" spans="1:9" x14ac:dyDescent="0.3">
      <c r="A1267">
        <v>3151</v>
      </c>
      <c r="B1267">
        <v>0</v>
      </c>
      <c r="C1267">
        <v>0</v>
      </c>
      <c r="D1267">
        <v>0</v>
      </c>
      <c r="E1267">
        <v>0</v>
      </c>
      <c r="F1267">
        <v>0</v>
      </c>
      <c r="G1267">
        <v>0</v>
      </c>
      <c r="H1267">
        <v>0</v>
      </c>
      <c r="I1267" s="2" t="s">
        <v>251</v>
      </c>
    </row>
    <row r="1268" spans="1:9" x14ac:dyDescent="0.3">
      <c r="A1268">
        <v>2826</v>
      </c>
      <c r="B1268">
        <v>0</v>
      </c>
      <c r="C1268">
        <v>0</v>
      </c>
      <c r="D1268">
        <v>0</v>
      </c>
      <c r="E1268">
        <v>0</v>
      </c>
      <c r="F1268">
        <v>0</v>
      </c>
      <c r="G1268">
        <v>0</v>
      </c>
      <c r="H1268">
        <v>0</v>
      </c>
      <c r="I1268" s="2" t="s">
        <v>252</v>
      </c>
    </row>
    <row r="1269" spans="1:9" x14ac:dyDescent="0.3">
      <c r="A1269">
        <v>2858</v>
      </c>
      <c r="B1269">
        <v>0</v>
      </c>
      <c r="C1269">
        <v>1</v>
      </c>
      <c r="D1269">
        <v>0</v>
      </c>
      <c r="E1269">
        <v>0</v>
      </c>
      <c r="F1269">
        <v>0</v>
      </c>
      <c r="G1269">
        <v>0</v>
      </c>
      <c r="H1269">
        <v>0</v>
      </c>
      <c r="I1269" s="2" t="s">
        <v>252</v>
      </c>
    </row>
    <row r="1270" spans="1:9" x14ac:dyDescent="0.3">
      <c r="A1270">
        <v>1900</v>
      </c>
      <c r="B1270">
        <v>0</v>
      </c>
      <c r="C1270">
        <v>0</v>
      </c>
      <c r="D1270">
        <v>0</v>
      </c>
      <c r="E1270">
        <v>1</v>
      </c>
      <c r="F1270">
        <v>0</v>
      </c>
      <c r="G1270">
        <v>0</v>
      </c>
      <c r="H1270">
        <v>0</v>
      </c>
      <c r="I1270" s="2" t="s">
        <v>253</v>
      </c>
    </row>
    <row r="1271" spans="1:9" x14ac:dyDescent="0.3">
      <c r="A1271">
        <v>2624</v>
      </c>
      <c r="B1271">
        <v>0</v>
      </c>
      <c r="C1271">
        <v>0</v>
      </c>
      <c r="D1271">
        <v>0</v>
      </c>
      <c r="E1271">
        <v>0</v>
      </c>
      <c r="F1271">
        <v>0</v>
      </c>
      <c r="G1271">
        <v>0</v>
      </c>
      <c r="H1271">
        <v>1</v>
      </c>
      <c r="I1271" s="2" t="s">
        <v>253</v>
      </c>
    </row>
    <row r="1272" spans="1:9" x14ac:dyDescent="0.3">
      <c r="A1272">
        <v>1095</v>
      </c>
      <c r="B1272">
        <v>0</v>
      </c>
      <c r="C1272">
        <v>0</v>
      </c>
      <c r="D1272">
        <v>0</v>
      </c>
      <c r="E1272">
        <v>0</v>
      </c>
      <c r="F1272">
        <v>0</v>
      </c>
      <c r="G1272">
        <v>0</v>
      </c>
      <c r="H1272">
        <v>0</v>
      </c>
      <c r="I1272" s="2" t="s">
        <v>254</v>
      </c>
    </row>
    <row r="1273" spans="1:9" x14ac:dyDescent="0.3">
      <c r="A1273">
        <v>1180</v>
      </c>
      <c r="B1273">
        <v>0</v>
      </c>
      <c r="C1273">
        <v>0</v>
      </c>
      <c r="D1273">
        <v>0</v>
      </c>
      <c r="E1273">
        <v>0</v>
      </c>
      <c r="F1273">
        <v>0</v>
      </c>
      <c r="G1273">
        <v>0</v>
      </c>
      <c r="H1273">
        <v>0</v>
      </c>
      <c r="I1273" s="2" t="s">
        <v>254</v>
      </c>
    </row>
    <row r="1274" spans="1:9" x14ac:dyDescent="0.3">
      <c r="A1274">
        <v>1350</v>
      </c>
      <c r="B1274">
        <v>0</v>
      </c>
      <c r="C1274">
        <v>0</v>
      </c>
      <c r="D1274">
        <v>0</v>
      </c>
      <c r="E1274">
        <v>0</v>
      </c>
      <c r="F1274">
        <v>0</v>
      </c>
      <c r="G1274">
        <v>0</v>
      </c>
      <c r="H1274">
        <v>0</v>
      </c>
      <c r="I1274" s="2" t="s">
        <v>254</v>
      </c>
    </row>
    <row r="1275" spans="1:9" x14ac:dyDescent="0.3">
      <c r="A1275">
        <v>1985</v>
      </c>
      <c r="B1275">
        <v>0</v>
      </c>
      <c r="C1275">
        <v>0</v>
      </c>
      <c r="D1275">
        <v>0</v>
      </c>
      <c r="E1275">
        <v>0</v>
      </c>
      <c r="F1275">
        <v>0</v>
      </c>
      <c r="G1275">
        <v>0</v>
      </c>
      <c r="H1275">
        <v>0</v>
      </c>
      <c r="I1275" s="2" t="s">
        <v>254</v>
      </c>
    </row>
    <row r="1276" spans="1:9" x14ac:dyDescent="0.3">
      <c r="A1276">
        <v>2103</v>
      </c>
      <c r="B1276">
        <v>0</v>
      </c>
      <c r="C1276">
        <v>0</v>
      </c>
      <c r="D1276">
        <v>0</v>
      </c>
      <c r="E1276">
        <v>0</v>
      </c>
      <c r="F1276">
        <v>0</v>
      </c>
      <c r="G1276">
        <v>0</v>
      </c>
      <c r="H1276">
        <v>0</v>
      </c>
      <c r="I1276" s="2" t="s">
        <v>254</v>
      </c>
    </row>
    <row r="1277" spans="1:9" x14ac:dyDescent="0.3">
      <c r="A1277">
        <v>2158</v>
      </c>
      <c r="B1277">
        <v>0</v>
      </c>
      <c r="C1277">
        <v>0</v>
      </c>
      <c r="D1277">
        <v>0</v>
      </c>
      <c r="E1277">
        <v>0</v>
      </c>
      <c r="F1277">
        <v>0</v>
      </c>
      <c r="G1277">
        <v>0</v>
      </c>
      <c r="H1277">
        <v>0</v>
      </c>
      <c r="I1277" s="2" t="s">
        <v>254</v>
      </c>
    </row>
    <row r="1278" spans="1:9" x14ac:dyDescent="0.3">
      <c r="A1278">
        <v>1648</v>
      </c>
      <c r="B1278">
        <v>0</v>
      </c>
      <c r="C1278">
        <v>0</v>
      </c>
      <c r="D1278">
        <v>0</v>
      </c>
      <c r="E1278">
        <v>0</v>
      </c>
      <c r="F1278">
        <v>0</v>
      </c>
      <c r="G1278">
        <v>0</v>
      </c>
      <c r="H1278">
        <v>0</v>
      </c>
      <c r="I1278" s="2" t="s">
        <v>255</v>
      </c>
    </row>
    <row r="1279" spans="1:9" x14ac:dyDescent="0.3">
      <c r="A1279">
        <v>1220</v>
      </c>
      <c r="B1279">
        <v>0</v>
      </c>
      <c r="C1279">
        <v>0</v>
      </c>
      <c r="D1279">
        <v>0</v>
      </c>
      <c r="E1279">
        <v>0</v>
      </c>
      <c r="F1279">
        <v>0</v>
      </c>
      <c r="G1279">
        <v>0</v>
      </c>
      <c r="H1279">
        <v>0</v>
      </c>
      <c r="I1279" s="2" t="s">
        <v>256</v>
      </c>
    </row>
    <row r="1280" spans="1:9" x14ac:dyDescent="0.3">
      <c r="A1280">
        <v>1369</v>
      </c>
      <c r="B1280">
        <v>0</v>
      </c>
      <c r="C1280">
        <v>0</v>
      </c>
      <c r="D1280">
        <v>0</v>
      </c>
      <c r="E1280">
        <v>0</v>
      </c>
      <c r="F1280">
        <v>0</v>
      </c>
      <c r="G1280">
        <v>0</v>
      </c>
      <c r="H1280">
        <v>0</v>
      </c>
      <c r="I1280" s="2" t="s">
        <v>256</v>
      </c>
    </row>
    <row r="1281" spans="1:9" x14ac:dyDescent="0.3">
      <c r="A1281">
        <v>2507</v>
      </c>
      <c r="B1281">
        <v>0</v>
      </c>
      <c r="C1281">
        <v>1</v>
      </c>
      <c r="D1281">
        <v>0</v>
      </c>
      <c r="E1281">
        <v>0</v>
      </c>
      <c r="F1281">
        <v>0</v>
      </c>
      <c r="G1281">
        <v>0</v>
      </c>
      <c r="H1281">
        <v>0</v>
      </c>
      <c r="I1281" s="2" t="s">
        <v>256</v>
      </c>
    </row>
    <row r="1282" spans="1:9" x14ac:dyDescent="0.3">
      <c r="A1282">
        <v>2636</v>
      </c>
      <c r="B1282">
        <v>0</v>
      </c>
      <c r="C1282">
        <v>0</v>
      </c>
      <c r="D1282">
        <v>0</v>
      </c>
      <c r="E1282">
        <v>0</v>
      </c>
      <c r="F1282">
        <v>0</v>
      </c>
      <c r="G1282">
        <v>0</v>
      </c>
      <c r="H1282">
        <v>0</v>
      </c>
      <c r="I1282" s="2" t="s">
        <v>256</v>
      </c>
    </row>
    <row r="1283" spans="1:9" x14ac:dyDescent="0.3">
      <c r="A1283">
        <v>1694</v>
      </c>
      <c r="B1283">
        <v>0</v>
      </c>
      <c r="C1283">
        <v>0</v>
      </c>
      <c r="D1283">
        <v>0</v>
      </c>
      <c r="E1283">
        <v>0</v>
      </c>
      <c r="F1283">
        <v>0</v>
      </c>
      <c r="G1283">
        <v>0</v>
      </c>
      <c r="H1283">
        <v>0</v>
      </c>
      <c r="I1283" s="2" t="s">
        <v>257</v>
      </c>
    </row>
    <row r="1284" spans="1:9" x14ac:dyDescent="0.3">
      <c r="A1284">
        <v>1195</v>
      </c>
      <c r="B1284">
        <v>0</v>
      </c>
      <c r="C1284">
        <v>0</v>
      </c>
      <c r="D1284">
        <v>0</v>
      </c>
      <c r="E1284">
        <v>0</v>
      </c>
      <c r="F1284">
        <v>0</v>
      </c>
      <c r="G1284">
        <v>0</v>
      </c>
      <c r="H1284">
        <v>0</v>
      </c>
      <c r="I1284" s="2" t="s">
        <v>258</v>
      </c>
    </row>
    <row r="1285" spans="1:9" x14ac:dyDescent="0.3">
      <c r="A1285">
        <v>1726</v>
      </c>
      <c r="B1285">
        <v>0</v>
      </c>
      <c r="C1285">
        <v>0</v>
      </c>
      <c r="D1285">
        <v>1</v>
      </c>
      <c r="E1285">
        <v>0</v>
      </c>
      <c r="F1285">
        <v>0</v>
      </c>
      <c r="G1285">
        <v>0</v>
      </c>
      <c r="H1285">
        <v>0</v>
      </c>
      <c r="I1285" s="2" t="s">
        <v>259</v>
      </c>
    </row>
    <row r="1286" spans="1:9" x14ac:dyDescent="0.3">
      <c r="A1286">
        <v>1969</v>
      </c>
      <c r="B1286">
        <v>0</v>
      </c>
      <c r="C1286">
        <v>0</v>
      </c>
      <c r="D1286">
        <v>0</v>
      </c>
      <c r="E1286">
        <v>0</v>
      </c>
      <c r="F1286">
        <v>0</v>
      </c>
      <c r="G1286">
        <v>0</v>
      </c>
      <c r="H1286">
        <v>0</v>
      </c>
      <c r="I1286" s="2" t="s">
        <v>259</v>
      </c>
    </row>
    <row r="1287" spans="1:9" x14ac:dyDescent="0.3">
      <c r="A1287">
        <v>1988</v>
      </c>
      <c r="B1287">
        <v>0</v>
      </c>
      <c r="C1287">
        <v>0</v>
      </c>
      <c r="D1287">
        <v>1</v>
      </c>
      <c r="E1287">
        <v>0</v>
      </c>
      <c r="F1287">
        <v>0</v>
      </c>
      <c r="G1287">
        <v>0</v>
      </c>
      <c r="H1287">
        <v>0</v>
      </c>
      <c r="I1287" s="2" t="s">
        <v>259</v>
      </c>
    </row>
    <row r="1288" spans="1:9" x14ac:dyDescent="0.3">
      <c r="A1288">
        <v>2443</v>
      </c>
      <c r="B1288">
        <v>0</v>
      </c>
      <c r="C1288">
        <v>0</v>
      </c>
      <c r="D1288">
        <v>1</v>
      </c>
      <c r="E1288">
        <v>0</v>
      </c>
      <c r="F1288">
        <v>0</v>
      </c>
      <c r="G1288">
        <v>0</v>
      </c>
      <c r="H1288">
        <v>0</v>
      </c>
      <c r="I1288" s="2" t="s">
        <v>259</v>
      </c>
    </row>
    <row r="1289" spans="1:9" x14ac:dyDescent="0.3">
      <c r="A1289">
        <v>1030</v>
      </c>
      <c r="B1289">
        <v>0</v>
      </c>
      <c r="C1289">
        <v>0</v>
      </c>
      <c r="D1289">
        <v>0</v>
      </c>
      <c r="E1289">
        <v>0</v>
      </c>
      <c r="F1289">
        <v>0</v>
      </c>
      <c r="G1289">
        <v>0</v>
      </c>
      <c r="H1289">
        <v>0</v>
      </c>
      <c r="I1289" s="2" t="s">
        <v>260</v>
      </c>
    </row>
    <row r="1290" spans="1:9" x14ac:dyDescent="0.3">
      <c r="A1290">
        <v>1078</v>
      </c>
      <c r="B1290">
        <v>0</v>
      </c>
      <c r="C1290">
        <v>0</v>
      </c>
      <c r="D1290">
        <v>0</v>
      </c>
      <c r="E1290">
        <v>0</v>
      </c>
      <c r="F1290">
        <v>0</v>
      </c>
      <c r="G1290">
        <v>0</v>
      </c>
      <c r="H1290">
        <v>0</v>
      </c>
      <c r="I1290" s="2" t="s">
        <v>260</v>
      </c>
    </row>
    <row r="1291" spans="1:9" x14ac:dyDescent="0.3">
      <c r="A1291">
        <v>1340</v>
      </c>
      <c r="B1291">
        <v>0</v>
      </c>
      <c r="C1291">
        <v>1</v>
      </c>
      <c r="D1291">
        <v>0</v>
      </c>
      <c r="E1291">
        <v>0</v>
      </c>
      <c r="F1291">
        <v>0</v>
      </c>
      <c r="G1291">
        <v>0</v>
      </c>
      <c r="H1291">
        <v>0</v>
      </c>
      <c r="I1291" s="2" t="s">
        <v>260</v>
      </c>
    </row>
    <row r="1292" spans="1:9" x14ac:dyDescent="0.3">
      <c r="A1292">
        <v>1498</v>
      </c>
      <c r="B1292">
        <v>0</v>
      </c>
      <c r="C1292">
        <v>0</v>
      </c>
      <c r="D1292">
        <v>0</v>
      </c>
      <c r="E1292">
        <v>0</v>
      </c>
      <c r="F1292">
        <v>0</v>
      </c>
      <c r="G1292">
        <v>0</v>
      </c>
      <c r="H1292">
        <v>0</v>
      </c>
      <c r="I1292" s="2" t="s">
        <v>260</v>
      </c>
    </row>
    <row r="1293" spans="1:9" x14ac:dyDescent="0.3">
      <c r="A1293">
        <v>1809</v>
      </c>
      <c r="B1293">
        <v>0</v>
      </c>
      <c r="C1293">
        <v>0</v>
      </c>
      <c r="D1293">
        <v>0</v>
      </c>
      <c r="E1293">
        <v>0</v>
      </c>
      <c r="F1293">
        <v>0</v>
      </c>
      <c r="G1293">
        <v>0</v>
      </c>
      <c r="H1293">
        <v>0</v>
      </c>
      <c r="I1293" s="2" t="s">
        <v>260</v>
      </c>
    </row>
    <row r="1294" spans="1:9" x14ac:dyDescent="0.3">
      <c r="A1294">
        <v>1896</v>
      </c>
      <c r="B1294">
        <v>0</v>
      </c>
      <c r="C1294">
        <v>0</v>
      </c>
      <c r="D1294">
        <v>0</v>
      </c>
      <c r="E1294">
        <v>0</v>
      </c>
      <c r="F1294">
        <v>0</v>
      </c>
      <c r="G1294">
        <v>0</v>
      </c>
      <c r="H1294">
        <v>0</v>
      </c>
      <c r="I1294" s="2" t="s">
        <v>260</v>
      </c>
    </row>
    <row r="1295" spans="1:9" x14ac:dyDescent="0.3">
      <c r="A1295">
        <v>1934</v>
      </c>
      <c r="B1295">
        <v>0</v>
      </c>
      <c r="C1295">
        <v>0</v>
      </c>
      <c r="D1295">
        <v>0</v>
      </c>
      <c r="E1295">
        <v>0</v>
      </c>
      <c r="F1295">
        <v>0</v>
      </c>
      <c r="G1295">
        <v>0</v>
      </c>
      <c r="H1295">
        <v>0</v>
      </c>
      <c r="I1295" s="2" t="s">
        <v>260</v>
      </c>
    </row>
    <row r="1296" spans="1:9" x14ac:dyDescent="0.3">
      <c r="A1296">
        <v>2880</v>
      </c>
      <c r="B1296">
        <v>0</v>
      </c>
      <c r="C1296">
        <v>0</v>
      </c>
      <c r="D1296">
        <v>0</v>
      </c>
      <c r="E1296">
        <v>0</v>
      </c>
      <c r="F1296">
        <v>0</v>
      </c>
      <c r="G1296">
        <v>0</v>
      </c>
      <c r="H1296">
        <v>0</v>
      </c>
      <c r="I1296" s="2" t="s">
        <v>260</v>
      </c>
    </row>
    <row r="1297" spans="1:10" x14ac:dyDescent="0.3">
      <c r="A1297">
        <v>1744</v>
      </c>
      <c r="B1297">
        <v>1</v>
      </c>
      <c r="C1297">
        <v>0</v>
      </c>
      <c r="D1297">
        <v>0</v>
      </c>
      <c r="E1297">
        <v>0</v>
      </c>
      <c r="F1297">
        <v>0</v>
      </c>
      <c r="G1297">
        <v>0</v>
      </c>
      <c r="H1297">
        <v>1</v>
      </c>
      <c r="I1297" s="2" t="s">
        <v>261</v>
      </c>
    </row>
    <row r="1298" spans="1:10" x14ac:dyDescent="0.3">
      <c r="A1298">
        <v>1830</v>
      </c>
      <c r="B1298">
        <v>0</v>
      </c>
      <c r="C1298">
        <v>0</v>
      </c>
      <c r="D1298">
        <v>0</v>
      </c>
      <c r="E1298">
        <v>0</v>
      </c>
      <c r="F1298">
        <v>0</v>
      </c>
      <c r="G1298">
        <v>0</v>
      </c>
      <c r="H1298">
        <v>0</v>
      </c>
      <c r="I1298" s="2" t="s">
        <v>261</v>
      </c>
    </row>
    <row r="1299" spans="1:10" x14ac:dyDescent="0.3">
      <c r="A1299">
        <v>1990</v>
      </c>
      <c r="B1299">
        <v>0</v>
      </c>
      <c r="C1299">
        <v>0</v>
      </c>
      <c r="D1299">
        <v>0</v>
      </c>
      <c r="E1299">
        <v>0</v>
      </c>
      <c r="F1299">
        <v>0</v>
      </c>
      <c r="G1299">
        <v>0</v>
      </c>
      <c r="H1299">
        <v>0</v>
      </c>
      <c r="I1299" s="2" t="s">
        <v>261</v>
      </c>
    </row>
    <row r="1300" spans="1:10" x14ac:dyDescent="0.3">
      <c r="A1300">
        <v>2621</v>
      </c>
      <c r="B1300">
        <v>0</v>
      </c>
      <c r="C1300">
        <v>0</v>
      </c>
      <c r="D1300">
        <v>0</v>
      </c>
      <c r="E1300">
        <v>0</v>
      </c>
      <c r="F1300">
        <v>0</v>
      </c>
      <c r="G1300">
        <v>0</v>
      </c>
      <c r="H1300">
        <v>0</v>
      </c>
      <c r="I1300" s="2" t="s">
        <v>261</v>
      </c>
    </row>
    <row r="1301" spans="1:10" x14ac:dyDescent="0.3">
      <c r="A1301">
        <v>1313</v>
      </c>
      <c r="B1301">
        <v>0</v>
      </c>
      <c r="C1301">
        <v>0</v>
      </c>
      <c r="D1301">
        <v>0</v>
      </c>
      <c r="E1301">
        <v>0</v>
      </c>
      <c r="F1301">
        <v>0</v>
      </c>
      <c r="G1301">
        <v>0</v>
      </c>
      <c r="H1301">
        <v>0</v>
      </c>
      <c r="I1301" s="2" t="s">
        <v>262</v>
      </c>
    </row>
    <row r="1302" spans="1:10" x14ac:dyDescent="0.3">
      <c r="A1302">
        <v>1414</v>
      </c>
      <c r="B1302">
        <v>0</v>
      </c>
      <c r="C1302">
        <v>1</v>
      </c>
      <c r="D1302">
        <v>1</v>
      </c>
      <c r="E1302">
        <v>1</v>
      </c>
      <c r="F1302">
        <v>1</v>
      </c>
      <c r="G1302">
        <v>0</v>
      </c>
      <c r="H1302">
        <v>1</v>
      </c>
      <c r="I1302" s="2" t="s">
        <v>262</v>
      </c>
    </row>
    <row r="1303" spans="1:10" x14ac:dyDescent="0.3">
      <c r="A1303">
        <v>1650</v>
      </c>
      <c r="B1303">
        <v>0</v>
      </c>
      <c r="C1303">
        <v>0</v>
      </c>
      <c r="D1303">
        <v>0</v>
      </c>
      <c r="E1303">
        <v>0</v>
      </c>
      <c r="F1303">
        <v>0</v>
      </c>
      <c r="G1303">
        <v>0</v>
      </c>
      <c r="H1303">
        <v>0</v>
      </c>
      <c r="I1303" s="2" t="s">
        <v>262</v>
      </c>
    </row>
    <row r="1304" spans="1:10" x14ac:dyDescent="0.3">
      <c r="A1304">
        <v>1008</v>
      </c>
      <c r="B1304">
        <v>0</v>
      </c>
      <c r="C1304">
        <v>0</v>
      </c>
      <c r="D1304">
        <v>0</v>
      </c>
      <c r="E1304">
        <v>0</v>
      </c>
      <c r="F1304">
        <v>0</v>
      </c>
      <c r="G1304">
        <v>0</v>
      </c>
      <c r="H1304">
        <v>0</v>
      </c>
      <c r="I1304" s="2" t="s">
        <v>263</v>
      </c>
    </row>
    <row r="1305" spans="1:10" x14ac:dyDescent="0.3">
      <c r="A1305">
        <v>1373</v>
      </c>
      <c r="B1305">
        <v>0</v>
      </c>
      <c r="C1305">
        <v>0</v>
      </c>
      <c r="D1305">
        <v>0</v>
      </c>
      <c r="E1305">
        <v>0</v>
      </c>
      <c r="F1305">
        <v>0</v>
      </c>
      <c r="G1305">
        <v>0</v>
      </c>
      <c r="H1305">
        <v>0</v>
      </c>
      <c r="I1305" s="2" t="s">
        <v>263</v>
      </c>
    </row>
    <row r="1306" spans="1:10" x14ac:dyDescent="0.3">
      <c r="A1306">
        <v>2316</v>
      </c>
      <c r="B1306">
        <v>0</v>
      </c>
      <c r="C1306">
        <v>0</v>
      </c>
      <c r="D1306">
        <v>0</v>
      </c>
      <c r="E1306">
        <v>0</v>
      </c>
      <c r="F1306">
        <v>0</v>
      </c>
      <c r="G1306">
        <v>0</v>
      </c>
      <c r="H1306">
        <v>0</v>
      </c>
      <c r="I1306" s="2" t="s">
        <v>263</v>
      </c>
    </row>
    <row r="1307" spans="1:10" x14ac:dyDescent="0.3">
      <c r="A1307">
        <v>2742</v>
      </c>
      <c r="B1307">
        <v>0</v>
      </c>
      <c r="C1307">
        <v>0</v>
      </c>
      <c r="D1307">
        <v>0</v>
      </c>
      <c r="E1307">
        <v>0</v>
      </c>
      <c r="F1307">
        <v>0</v>
      </c>
      <c r="G1307">
        <v>0</v>
      </c>
      <c r="H1307">
        <v>0</v>
      </c>
      <c r="I1307" s="2" t="s">
        <v>263</v>
      </c>
    </row>
    <row r="1308" spans="1:10" x14ac:dyDescent="0.3">
      <c r="A1308">
        <v>1626</v>
      </c>
      <c r="B1308">
        <v>1</v>
      </c>
      <c r="C1308">
        <v>0</v>
      </c>
      <c r="D1308">
        <v>0</v>
      </c>
      <c r="E1308">
        <v>0</v>
      </c>
      <c r="F1308">
        <v>0</v>
      </c>
      <c r="G1308">
        <v>0</v>
      </c>
      <c r="H1308">
        <v>0</v>
      </c>
      <c r="I1308" s="2">
        <v>43809</v>
      </c>
      <c r="J1308" s="1"/>
    </row>
    <row r="1309" spans="1:10" x14ac:dyDescent="0.3">
      <c r="A1309">
        <v>1807</v>
      </c>
      <c r="B1309">
        <v>0</v>
      </c>
      <c r="C1309">
        <v>1</v>
      </c>
      <c r="D1309">
        <v>1</v>
      </c>
      <c r="E1309">
        <v>0</v>
      </c>
      <c r="F1309">
        <v>0</v>
      </c>
      <c r="G1309">
        <v>0</v>
      </c>
      <c r="H1309">
        <v>0</v>
      </c>
      <c r="I1309" s="2">
        <v>43809</v>
      </c>
      <c r="J1309" s="1"/>
    </row>
    <row r="1310" spans="1:10" x14ac:dyDescent="0.3">
      <c r="A1310">
        <v>3190</v>
      </c>
      <c r="B1310">
        <v>0</v>
      </c>
      <c r="C1310">
        <v>0</v>
      </c>
      <c r="D1310">
        <v>0</v>
      </c>
      <c r="E1310">
        <v>0</v>
      </c>
      <c r="F1310">
        <v>0</v>
      </c>
      <c r="G1310">
        <v>0</v>
      </c>
      <c r="H1310">
        <v>0</v>
      </c>
      <c r="I1310" s="2">
        <v>43809</v>
      </c>
      <c r="J1310" s="1"/>
    </row>
    <row r="1311" spans="1:10" x14ac:dyDescent="0.3">
      <c r="A1311">
        <v>1600</v>
      </c>
      <c r="B1311">
        <v>0</v>
      </c>
      <c r="C1311">
        <v>0</v>
      </c>
      <c r="D1311">
        <v>0</v>
      </c>
      <c r="E1311">
        <v>0</v>
      </c>
      <c r="F1311">
        <v>0</v>
      </c>
      <c r="G1311">
        <v>0</v>
      </c>
      <c r="H1311">
        <v>0</v>
      </c>
      <c r="I1311" s="2">
        <v>43779</v>
      </c>
      <c r="J1311" s="1"/>
    </row>
    <row r="1312" spans="1:10" x14ac:dyDescent="0.3">
      <c r="A1312">
        <v>1849</v>
      </c>
      <c r="B1312">
        <v>0</v>
      </c>
      <c r="C1312">
        <v>0</v>
      </c>
      <c r="D1312">
        <v>0</v>
      </c>
      <c r="E1312">
        <v>0</v>
      </c>
      <c r="F1312">
        <v>0</v>
      </c>
      <c r="G1312">
        <v>0</v>
      </c>
      <c r="H1312">
        <v>0</v>
      </c>
      <c r="I1312" s="2">
        <v>43779</v>
      </c>
      <c r="J1312" s="1"/>
    </row>
    <row r="1313" spans="1:10" x14ac:dyDescent="0.3">
      <c r="A1313">
        <v>2352</v>
      </c>
      <c r="B1313">
        <v>0</v>
      </c>
      <c r="C1313">
        <v>0</v>
      </c>
      <c r="D1313">
        <v>0</v>
      </c>
      <c r="E1313">
        <v>0</v>
      </c>
      <c r="F1313">
        <v>0</v>
      </c>
      <c r="G1313">
        <v>0</v>
      </c>
      <c r="H1313">
        <v>0</v>
      </c>
      <c r="I1313" s="2">
        <v>43779</v>
      </c>
      <c r="J1313" s="1"/>
    </row>
    <row r="1314" spans="1:10" x14ac:dyDescent="0.3">
      <c r="A1314">
        <v>2709</v>
      </c>
      <c r="B1314">
        <v>0</v>
      </c>
      <c r="C1314">
        <v>0</v>
      </c>
      <c r="D1314">
        <v>0</v>
      </c>
      <c r="E1314">
        <v>0</v>
      </c>
      <c r="F1314">
        <v>0</v>
      </c>
      <c r="G1314">
        <v>0</v>
      </c>
      <c r="H1314">
        <v>0</v>
      </c>
      <c r="I1314" s="2">
        <v>43779</v>
      </c>
      <c r="J1314" s="1"/>
    </row>
    <row r="1315" spans="1:10" x14ac:dyDescent="0.3">
      <c r="A1315">
        <v>2938</v>
      </c>
      <c r="B1315">
        <v>0</v>
      </c>
      <c r="C1315">
        <v>0</v>
      </c>
      <c r="D1315">
        <v>0</v>
      </c>
      <c r="E1315">
        <v>0</v>
      </c>
      <c r="F1315">
        <v>0</v>
      </c>
      <c r="G1315">
        <v>0</v>
      </c>
      <c r="H1315">
        <v>1</v>
      </c>
      <c r="I1315" s="2">
        <v>43779</v>
      </c>
      <c r="J1315" s="1"/>
    </row>
    <row r="1316" spans="1:10" x14ac:dyDescent="0.3">
      <c r="A1316">
        <v>1801</v>
      </c>
      <c r="B1316">
        <v>0</v>
      </c>
      <c r="C1316">
        <v>0</v>
      </c>
      <c r="D1316">
        <v>1</v>
      </c>
      <c r="E1316">
        <v>1</v>
      </c>
      <c r="F1316">
        <v>0</v>
      </c>
      <c r="G1316">
        <v>0</v>
      </c>
      <c r="H1316">
        <v>1</v>
      </c>
      <c r="I1316" s="2">
        <v>43748</v>
      </c>
      <c r="J1316" s="1"/>
    </row>
    <row r="1317" spans="1:10" x14ac:dyDescent="0.3">
      <c r="A1317">
        <v>1813</v>
      </c>
      <c r="B1317">
        <v>0</v>
      </c>
      <c r="C1317">
        <v>0</v>
      </c>
      <c r="D1317">
        <v>0</v>
      </c>
      <c r="E1317">
        <v>0</v>
      </c>
      <c r="F1317">
        <v>0</v>
      </c>
      <c r="G1317">
        <v>0</v>
      </c>
      <c r="H1317">
        <v>0</v>
      </c>
      <c r="I1317" s="2">
        <v>43748</v>
      </c>
      <c r="J1317" s="1"/>
    </row>
    <row r="1318" spans="1:10" x14ac:dyDescent="0.3">
      <c r="A1318">
        <v>1840</v>
      </c>
      <c r="B1318">
        <v>0</v>
      </c>
      <c r="C1318">
        <v>0</v>
      </c>
      <c r="D1318">
        <v>1</v>
      </c>
      <c r="E1318">
        <v>0</v>
      </c>
      <c r="F1318">
        <v>0</v>
      </c>
      <c r="G1318">
        <v>0</v>
      </c>
      <c r="H1318">
        <v>0</v>
      </c>
      <c r="I1318" s="2">
        <v>43748</v>
      </c>
      <c r="J1318" s="1"/>
    </row>
    <row r="1319" spans="1:10" x14ac:dyDescent="0.3">
      <c r="A1319">
        <v>1202</v>
      </c>
      <c r="B1319">
        <v>0</v>
      </c>
      <c r="C1319">
        <v>0</v>
      </c>
      <c r="D1319">
        <v>0</v>
      </c>
      <c r="E1319">
        <v>0</v>
      </c>
      <c r="F1319">
        <v>0</v>
      </c>
      <c r="G1319">
        <v>0</v>
      </c>
      <c r="H1319">
        <v>0</v>
      </c>
      <c r="I1319" s="2">
        <v>43718</v>
      </c>
      <c r="J1319" s="1"/>
    </row>
    <row r="1320" spans="1:10" x14ac:dyDescent="0.3">
      <c r="A1320">
        <v>2401</v>
      </c>
      <c r="B1320">
        <v>0</v>
      </c>
      <c r="C1320">
        <v>0</v>
      </c>
      <c r="D1320">
        <v>0</v>
      </c>
      <c r="E1320">
        <v>0</v>
      </c>
      <c r="F1320">
        <v>0</v>
      </c>
      <c r="G1320">
        <v>0</v>
      </c>
      <c r="H1320">
        <v>0</v>
      </c>
      <c r="I1320" s="2">
        <v>43718</v>
      </c>
      <c r="J1320" s="1"/>
    </row>
    <row r="1321" spans="1:10" x14ac:dyDescent="0.3">
      <c r="A1321">
        <v>2411</v>
      </c>
      <c r="B1321">
        <v>1</v>
      </c>
      <c r="C1321">
        <v>0</v>
      </c>
      <c r="D1321">
        <v>0</v>
      </c>
      <c r="E1321">
        <v>0</v>
      </c>
      <c r="F1321">
        <v>0</v>
      </c>
      <c r="G1321">
        <v>0</v>
      </c>
      <c r="H1321">
        <v>0</v>
      </c>
      <c r="I1321" s="2">
        <v>43718</v>
      </c>
      <c r="J1321" s="1"/>
    </row>
    <row r="1322" spans="1:10" x14ac:dyDescent="0.3">
      <c r="A1322">
        <v>2118</v>
      </c>
      <c r="B1322">
        <v>0</v>
      </c>
      <c r="C1322">
        <v>0</v>
      </c>
      <c r="D1322">
        <v>0</v>
      </c>
      <c r="E1322">
        <v>0</v>
      </c>
      <c r="F1322">
        <v>0</v>
      </c>
      <c r="G1322">
        <v>0</v>
      </c>
      <c r="H1322">
        <v>1</v>
      </c>
      <c r="I1322" s="2">
        <v>43687</v>
      </c>
      <c r="J1322" s="1"/>
    </row>
    <row r="1323" spans="1:10" x14ac:dyDescent="0.3">
      <c r="A1323">
        <v>2164</v>
      </c>
      <c r="B1323">
        <v>0</v>
      </c>
      <c r="C1323">
        <v>0</v>
      </c>
      <c r="D1323">
        <v>0</v>
      </c>
      <c r="E1323">
        <v>0</v>
      </c>
      <c r="F1323">
        <v>0</v>
      </c>
      <c r="G1323">
        <v>0</v>
      </c>
      <c r="H1323">
        <v>0</v>
      </c>
      <c r="I1323" s="2">
        <v>43687</v>
      </c>
      <c r="J1323" s="1"/>
    </row>
    <row r="1324" spans="1:10" x14ac:dyDescent="0.3">
      <c r="A1324">
        <v>2329</v>
      </c>
      <c r="B1324">
        <v>0</v>
      </c>
      <c r="C1324">
        <v>0</v>
      </c>
      <c r="D1324">
        <v>0</v>
      </c>
      <c r="E1324">
        <v>0</v>
      </c>
      <c r="F1324">
        <v>0</v>
      </c>
      <c r="G1324">
        <v>0</v>
      </c>
      <c r="H1324">
        <v>1</v>
      </c>
      <c r="I1324" s="2">
        <v>43687</v>
      </c>
      <c r="J1324" s="1"/>
    </row>
    <row r="1325" spans="1:10" x14ac:dyDescent="0.3">
      <c r="A1325">
        <v>1434</v>
      </c>
      <c r="B1325">
        <v>0</v>
      </c>
      <c r="C1325">
        <v>0</v>
      </c>
      <c r="D1325">
        <v>0</v>
      </c>
      <c r="E1325">
        <v>0</v>
      </c>
      <c r="F1325">
        <v>0</v>
      </c>
      <c r="G1325">
        <v>0</v>
      </c>
      <c r="H1325">
        <v>0</v>
      </c>
      <c r="I1325" s="2">
        <v>43656</v>
      </c>
      <c r="J1325" s="1"/>
    </row>
    <row r="1326" spans="1:10" x14ac:dyDescent="0.3">
      <c r="A1326">
        <v>1702</v>
      </c>
      <c r="B1326">
        <v>0</v>
      </c>
      <c r="C1326">
        <v>0</v>
      </c>
      <c r="D1326">
        <v>0</v>
      </c>
      <c r="E1326">
        <v>0</v>
      </c>
      <c r="F1326">
        <v>0</v>
      </c>
      <c r="G1326">
        <v>0</v>
      </c>
      <c r="H1326">
        <v>0</v>
      </c>
      <c r="I1326" s="2">
        <v>43656</v>
      </c>
      <c r="J1326" s="1"/>
    </row>
    <row r="1327" spans="1:10" x14ac:dyDescent="0.3">
      <c r="A1327">
        <v>2447</v>
      </c>
      <c r="B1327">
        <v>0</v>
      </c>
      <c r="C1327">
        <v>0</v>
      </c>
      <c r="D1327">
        <v>0</v>
      </c>
      <c r="E1327">
        <v>0</v>
      </c>
      <c r="F1327">
        <v>0</v>
      </c>
      <c r="G1327">
        <v>0</v>
      </c>
      <c r="H1327">
        <v>0</v>
      </c>
      <c r="I1327" s="2">
        <v>43656</v>
      </c>
      <c r="J1327" s="1"/>
    </row>
    <row r="1328" spans="1:10" x14ac:dyDescent="0.3">
      <c r="A1328">
        <v>2635</v>
      </c>
      <c r="B1328">
        <v>0</v>
      </c>
      <c r="C1328">
        <v>0</v>
      </c>
      <c r="D1328">
        <v>0</v>
      </c>
      <c r="E1328">
        <v>0</v>
      </c>
      <c r="F1328">
        <v>0</v>
      </c>
      <c r="G1328">
        <v>0</v>
      </c>
      <c r="H1328">
        <v>0</v>
      </c>
      <c r="I1328" s="2">
        <v>43656</v>
      </c>
      <c r="J1328" s="1"/>
    </row>
    <row r="1329" spans="1:10" x14ac:dyDescent="0.3">
      <c r="A1329">
        <v>3015</v>
      </c>
      <c r="B1329">
        <v>0</v>
      </c>
      <c r="C1329">
        <v>0</v>
      </c>
      <c r="D1329">
        <v>0</v>
      </c>
      <c r="E1329">
        <v>0</v>
      </c>
      <c r="F1329">
        <v>0</v>
      </c>
      <c r="G1329">
        <v>0</v>
      </c>
      <c r="H1329">
        <v>0</v>
      </c>
      <c r="I1329" s="2">
        <v>43656</v>
      </c>
      <c r="J1329" s="1"/>
    </row>
    <row r="1330" spans="1:10" x14ac:dyDescent="0.3">
      <c r="A1330">
        <v>1153</v>
      </c>
      <c r="B1330">
        <v>0</v>
      </c>
      <c r="C1330">
        <v>0</v>
      </c>
      <c r="D1330">
        <v>0</v>
      </c>
      <c r="E1330">
        <v>0</v>
      </c>
      <c r="F1330">
        <v>0</v>
      </c>
      <c r="G1330">
        <v>0</v>
      </c>
      <c r="H1330">
        <v>0</v>
      </c>
      <c r="I1330" s="2">
        <v>43626</v>
      </c>
      <c r="J1330" s="1"/>
    </row>
    <row r="1331" spans="1:10" x14ac:dyDescent="0.3">
      <c r="A1331">
        <v>2057</v>
      </c>
      <c r="B1331">
        <v>1</v>
      </c>
      <c r="C1331">
        <v>0</v>
      </c>
      <c r="D1331">
        <v>1</v>
      </c>
      <c r="E1331">
        <v>0</v>
      </c>
      <c r="F1331">
        <v>0</v>
      </c>
      <c r="G1331">
        <v>0</v>
      </c>
      <c r="H1331">
        <v>0</v>
      </c>
      <c r="I1331" s="2">
        <v>43626</v>
      </c>
      <c r="J1331" s="1"/>
    </row>
    <row r="1332" spans="1:10" x14ac:dyDescent="0.3">
      <c r="A1332">
        <v>2696</v>
      </c>
      <c r="B1332">
        <v>0</v>
      </c>
      <c r="C1332">
        <v>1</v>
      </c>
      <c r="D1332">
        <v>1</v>
      </c>
      <c r="E1332">
        <v>1</v>
      </c>
      <c r="F1332">
        <v>0</v>
      </c>
      <c r="G1332">
        <v>0</v>
      </c>
      <c r="H1332">
        <v>1</v>
      </c>
      <c r="I1332" s="2">
        <v>43626</v>
      </c>
      <c r="J1332" s="1"/>
    </row>
    <row r="1333" spans="1:10" x14ac:dyDescent="0.3">
      <c r="A1333">
        <v>2490</v>
      </c>
      <c r="B1333">
        <v>0</v>
      </c>
      <c r="C1333">
        <v>0</v>
      </c>
      <c r="D1333">
        <v>0</v>
      </c>
      <c r="E1333">
        <v>0</v>
      </c>
      <c r="F1333">
        <v>0</v>
      </c>
      <c r="G1333">
        <v>0</v>
      </c>
      <c r="H1333">
        <v>1</v>
      </c>
      <c r="I1333" s="2">
        <v>43595</v>
      </c>
      <c r="J1333" s="1"/>
    </row>
    <row r="1334" spans="1:10" x14ac:dyDescent="0.3">
      <c r="A1334">
        <v>1039</v>
      </c>
      <c r="B1334">
        <v>0</v>
      </c>
      <c r="C1334">
        <v>0</v>
      </c>
      <c r="D1334">
        <v>0</v>
      </c>
      <c r="E1334">
        <v>0</v>
      </c>
      <c r="F1334">
        <v>0</v>
      </c>
      <c r="G1334">
        <v>0</v>
      </c>
      <c r="H1334">
        <v>0</v>
      </c>
      <c r="I1334" s="2">
        <v>43565</v>
      </c>
      <c r="J1334" s="1"/>
    </row>
    <row r="1335" spans="1:10" x14ac:dyDescent="0.3">
      <c r="A1335">
        <v>3008</v>
      </c>
      <c r="B1335">
        <v>0</v>
      </c>
      <c r="C1335">
        <v>0</v>
      </c>
      <c r="D1335">
        <v>0</v>
      </c>
      <c r="E1335">
        <v>0</v>
      </c>
      <c r="F1335">
        <v>0</v>
      </c>
      <c r="G1335">
        <v>0</v>
      </c>
      <c r="H1335">
        <v>0</v>
      </c>
      <c r="I1335" s="2">
        <v>43565</v>
      </c>
      <c r="J1335" s="1"/>
    </row>
    <row r="1336" spans="1:10" x14ac:dyDescent="0.3">
      <c r="A1336">
        <v>2206</v>
      </c>
      <c r="B1336">
        <v>0</v>
      </c>
      <c r="C1336">
        <v>0</v>
      </c>
      <c r="D1336">
        <v>0</v>
      </c>
      <c r="E1336">
        <v>0</v>
      </c>
      <c r="F1336">
        <v>0</v>
      </c>
      <c r="G1336">
        <v>0</v>
      </c>
      <c r="H1336">
        <v>0</v>
      </c>
      <c r="I1336" s="2">
        <v>43534</v>
      </c>
      <c r="J1336" s="1"/>
    </row>
    <row r="1337" spans="1:10" x14ac:dyDescent="0.3">
      <c r="A1337">
        <v>2777</v>
      </c>
      <c r="B1337">
        <v>0</v>
      </c>
      <c r="C1337">
        <v>0</v>
      </c>
      <c r="D1337">
        <v>0</v>
      </c>
      <c r="E1337">
        <v>0</v>
      </c>
      <c r="F1337">
        <v>0</v>
      </c>
      <c r="G1337">
        <v>0</v>
      </c>
      <c r="H1337">
        <v>0</v>
      </c>
      <c r="I1337" s="2">
        <v>43534</v>
      </c>
      <c r="J1337" s="1"/>
    </row>
    <row r="1338" spans="1:10" x14ac:dyDescent="0.3">
      <c r="A1338">
        <v>1296</v>
      </c>
      <c r="B1338">
        <v>0</v>
      </c>
      <c r="C1338">
        <v>0</v>
      </c>
      <c r="D1338">
        <v>0</v>
      </c>
      <c r="E1338">
        <v>0</v>
      </c>
      <c r="F1338">
        <v>0</v>
      </c>
      <c r="G1338">
        <v>0</v>
      </c>
      <c r="H1338">
        <v>0</v>
      </c>
      <c r="I1338" s="2">
        <v>43506</v>
      </c>
      <c r="J1338" s="1"/>
    </row>
    <row r="1339" spans="1:10" x14ac:dyDescent="0.3">
      <c r="A1339">
        <v>1746</v>
      </c>
      <c r="B1339">
        <v>0</v>
      </c>
      <c r="C1339">
        <v>0</v>
      </c>
      <c r="D1339">
        <v>0</v>
      </c>
      <c r="E1339">
        <v>0</v>
      </c>
      <c r="F1339">
        <v>0</v>
      </c>
      <c r="G1339">
        <v>0</v>
      </c>
      <c r="H1339">
        <v>0</v>
      </c>
      <c r="I1339" s="2">
        <v>43506</v>
      </c>
      <c r="J1339" s="1"/>
    </row>
    <row r="1340" spans="1:10" x14ac:dyDescent="0.3">
      <c r="A1340">
        <v>1940</v>
      </c>
      <c r="B1340">
        <v>0</v>
      </c>
      <c r="C1340">
        <v>0</v>
      </c>
      <c r="D1340">
        <v>0</v>
      </c>
      <c r="E1340">
        <v>0</v>
      </c>
      <c r="F1340">
        <v>0</v>
      </c>
      <c r="G1340">
        <v>0</v>
      </c>
      <c r="H1340">
        <v>0</v>
      </c>
      <c r="I1340" s="2">
        <v>43506</v>
      </c>
      <c r="J1340" s="1"/>
    </row>
    <row r="1341" spans="1:10" x14ac:dyDescent="0.3">
      <c r="A1341">
        <v>2448</v>
      </c>
      <c r="B1341">
        <v>0</v>
      </c>
      <c r="C1341">
        <v>0</v>
      </c>
      <c r="D1341">
        <v>0</v>
      </c>
      <c r="E1341">
        <v>0</v>
      </c>
      <c r="F1341">
        <v>0</v>
      </c>
      <c r="G1341">
        <v>0</v>
      </c>
      <c r="H1341">
        <v>0</v>
      </c>
      <c r="I1341" s="2">
        <v>43506</v>
      </c>
      <c r="J1341" s="1"/>
    </row>
    <row r="1342" spans="1:10" x14ac:dyDescent="0.3">
      <c r="A1342">
        <v>2707</v>
      </c>
      <c r="B1342">
        <v>1</v>
      </c>
      <c r="C1342">
        <v>0</v>
      </c>
      <c r="D1342">
        <v>0</v>
      </c>
      <c r="E1342">
        <v>0</v>
      </c>
      <c r="F1342">
        <v>0</v>
      </c>
      <c r="G1342">
        <v>0</v>
      </c>
      <c r="H1342">
        <v>0</v>
      </c>
      <c r="I1342" s="2">
        <v>43506</v>
      </c>
      <c r="J1342" s="1"/>
    </row>
    <row r="1343" spans="1:10" x14ac:dyDescent="0.3">
      <c r="A1343">
        <v>1413</v>
      </c>
      <c r="B1343">
        <v>0</v>
      </c>
      <c r="C1343">
        <v>0</v>
      </c>
      <c r="D1343">
        <v>0</v>
      </c>
      <c r="E1343">
        <v>0</v>
      </c>
      <c r="F1343">
        <v>0</v>
      </c>
      <c r="G1343">
        <v>0</v>
      </c>
      <c r="H1343">
        <v>0</v>
      </c>
      <c r="I1343" s="2" t="s">
        <v>264</v>
      </c>
    </row>
    <row r="1344" spans="1:10" x14ac:dyDescent="0.3">
      <c r="A1344">
        <v>1817</v>
      </c>
      <c r="B1344">
        <v>0</v>
      </c>
      <c r="C1344">
        <v>0</v>
      </c>
      <c r="D1344">
        <v>0</v>
      </c>
      <c r="E1344">
        <v>0</v>
      </c>
      <c r="F1344">
        <v>0</v>
      </c>
      <c r="G1344">
        <v>0</v>
      </c>
      <c r="H1344">
        <v>0</v>
      </c>
      <c r="I1344" s="2" t="s">
        <v>264</v>
      </c>
    </row>
    <row r="1345" spans="1:9" x14ac:dyDescent="0.3">
      <c r="A1345">
        <v>1517</v>
      </c>
      <c r="B1345">
        <v>0</v>
      </c>
      <c r="C1345">
        <v>0</v>
      </c>
      <c r="D1345">
        <v>0</v>
      </c>
      <c r="E1345">
        <v>0</v>
      </c>
      <c r="F1345">
        <v>0</v>
      </c>
      <c r="G1345">
        <v>0</v>
      </c>
      <c r="H1345">
        <v>0</v>
      </c>
      <c r="I1345" s="2" t="s">
        <v>265</v>
      </c>
    </row>
    <row r="1346" spans="1:9" x14ac:dyDescent="0.3">
      <c r="A1346">
        <v>1753</v>
      </c>
      <c r="B1346">
        <v>0</v>
      </c>
      <c r="C1346">
        <v>0</v>
      </c>
      <c r="D1346">
        <v>0</v>
      </c>
      <c r="E1346">
        <v>0</v>
      </c>
      <c r="F1346">
        <v>0</v>
      </c>
      <c r="G1346">
        <v>0</v>
      </c>
      <c r="H1346">
        <v>1</v>
      </c>
      <c r="I1346" s="2" t="s">
        <v>265</v>
      </c>
    </row>
    <row r="1347" spans="1:9" x14ac:dyDescent="0.3">
      <c r="A1347">
        <v>1450</v>
      </c>
      <c r="B1347">
        <v>0</v>
      </c>
      <c r="C1347">
        <v>1</v>
      </c>
      <c r="D1347">
        <v>1</v>
      </c>
      <c r="E1347">
        <v>0</v>
      </c>
      <c r="F1347">
        <v>0</v>
      </c>
      <c r="G1347">
        <v>0</v>
      </c>
      <c r="H1347">
        <v>1</v>
      </c>
      <c r="I1347" s="2" t="s">
        <v>266</v>
      </c>
    </row>
    <row r="1348" spans="1:9" x14ac:dyDescent="0.3">
      <c r="A1348">
        <v>2079</v>
      </c>
      <c r="B1348">
        <v>0</v>
      </c>
      <c r="C1348">
        <v>0</v>
      </c>
      <c r="D1348">
        <v>0</v>
      </c>
      <c r="E1348">
        <v>0</v>
      </c>
      <c r="F1348">
        <v>0</v>
      </c>
      <c r="G1348">
        <v>0</v>
      </c>
      <c r="H1348">
        <v>0</v>
      </c>
      <c r="I1348" s="2" t="s">
        <v>266</v>
      </c>
    </row>
    <row r="1349" spans="1:9" x14ac:dyDescent="0.3">
      <c r="A1349">
        <v>2933</v>
      </c>
      <c r="B1349">
        <v>0</v>
      </c>
      <c r="C1349">
        <v>0</v>
      </c>
      <c r="D1349">
        <v>1</v>
      </c>
      <c r="E1349">
        <v>0</v>
      </c>
      <c r="F1349">
        <v>0</v>
      </c>
      <c r="G1349">
        <v>0</v>
      </c>
      <c r="H1349">
        <v>1</v>
      </c>
      <c r="I1349" s="2" t="s">
        <v>266</v>
      </c>
    </row>
    <row r="1350" spans="1:9" x14ac:dyDescent="0.3">
      <c r="A1350">
        <v>1115</v>
      </c>
      <c r="B1350">
        <v>0</v>
      </c>
      <c r="C1350">
        <v>0</v>
      </c>
      <c r="D1350">
        <v>0</v>
      </c>
      <c r="E1350">
        <v>0</v>
      </c>
      <c r="F1350">
        <v>0</v>
      </c>
      <c r="G1350">
        <v>0</v>
      </c>
      <c r="H1350">
        <v>0</v>
      </c>
      <c r="I1350" s="2" t="s">
        <v>267</v>
      </c>
    </row>
    <row r="1351" spans="1:9" x14ac:dyDescent="0.3">
      <c r="A1351">
        <v>2060</v>
      </c>
      <c r="B1351">
        <v>0</v>
      </c>
      <c r="C1351">
        <v>0</v>
      </c>
      <c r="D1351">
        <v>0</v>
      </c>
      <c r="E1351">
        <v>0</v>
      </c>
      <c r="F1351">
        <v>0</v>
      </c>
      <c r="G1351">
        <v>0</v>
      </c>
      <c r="H1351">
        <v>0</v>
      </c>
      <c r="I1351" s="2" t="s">
        <v>267</v>
      </c>
    </row>
    <row r="1352" spans="1:9" x14ac:dyDescent="0.3">
      <c r="A1352">
        <v>2175</v>
      </c>
      <c r="B1352">
        <v>0</v>
      </c>
      <c r="C1352">
        <v>0</v>
      </c>
      <c r="D1352">
        <v>0</v>
      </c>
      <c r="E1352">
        <v>0</v>
      </c>
      <c r="F1352">
        <v>0</v>
      </c>
      <c r="G1352">
        <v>0</v>
      </c>
      <c r="H1352">
        <v>0</v>
      </c>
      <c r="I1352" s="2" t="s">
        <v>267</v>
      </c>
    </row>
    <row r="1353" spans="1:9" x14ac:dyDescent="0.3">
      <c r="A1353">
        <v>2300</v>
      </c>
      <c r="B1353">
        <v>0</v>
      </c>
      <c r="C1353">
        <v>0</v>
      </c>
      <c r="D1353">
        <v>0</v>
      </c>
      <c r="E1353">
        <v>0</v>
      </c>
      <c r="F1353">
        <v>0</v>
      </c>
      <c r="G1353">
        <v>0</v>
      </c>
      <c r="H1353">
        <v>0</v>
      </c>
      <c r="I1353" s="2" t="s">
        <v>267</v>
      </c>
    </row>
    <row r="1354" spans="1:9" x14ac:dyDescent="0.3">
      <c r="A1354">
        <v>2336</v>
      </c>
      <c r="B1354">
        <v>1</v>
      </c>
      <c r="C1354">
        <v>0</v>
      </c>
      <c r="D1354">
        <v>0</v>
      </c>
      <c r="E1354">
        <v>0</v>
      </c>
      <c r="F1354">
        <v>0</v>
      </c>
      <c r="G1354">
        <v>0</v>
      </c>
      <c r="H1354">
        <v>0</v>
      </c>
      <c r="I1354" s="2" t="s">
        <v>267</v>
      </c>
    </row>
    <row r="1355" spans="1:9" x14ac:dyDescent="0.3">
      <c r="A1355">
        <v>3099</v>
      </c>
      <c r="B1355">
        <v>0</v>
      </c>
      <c r="C1355">
        <v>0</v>
      </c>
      <c r="D1355">
        <v>0</v>
      </c>
      <c r="E1355">
        <v>0</v>
      </c>
      <c r="F1355">
        <v>0</v>
      </c>
      <c r="G1355">
        <v>0</v>
      </c>
      <c r="H1355">
        <v>0</v>
      </c>
      <c r="I1355" s="2" t="s">
        <v>267</v>
      </c>
    </row>
    <row r="1356" spans="1:9" x14ac:dyDescent="0.3">
      <c r="A1356">
        <v>1118</v>
      </c>
      <c r="B1356">
        <v>0</v>
      </c>
      <c r="C1356">
        <v>0</v>
      </c>
      <c r="D1356">
        <v>0</v>
      </c>
      <c r="E1356">
        <v>0</v>
      </c>
      <c r="F1356">
        <v>0</v>
      </c>
      <c r="G1356">
        <v>0</v>
      </c>
      <c r="H1356">
        <v>1</v>
      </c>
      <c r="I1356" s="2" t="s">
        <v>268</v>
      </c>
    </row>
    <row r="1357" spans="1:9" x14ac:dyDescent="0.3">
      <c r="A1357">
        <v>1266</v>
      </c>
      <c r="B1357">
        <v>0</v>
      </c>
      <c r="C1357">
        <v>0</v>
      </c>
      <c r="D1357">
        <v>0</v>
      </c>
      <c r="E1357">
        <v>0</v>
      </c>
      <c r="F1357">
        <v>0</v>
      </c>
      <c r="G1357">
        <v>0</v>
      </c>
      <c r="H1357">
        <v>0</v>
      </c>
      <c r="I1357" s="2" t="s">
        <v>268</v>
      </c>
    </row>
    <row r="1358" spans="1:9" x14ac:dyDescent="0.3">
      <c r="A1358">
        <v>1481</v>
      </c>
      <c r="B1358">
        <v>0</v>
      </c>
      <c r="C1358">
        <v>0</v>
      </c>
      <c r="D1358">
        <v>0</v>
      </c>
      <c r="E1358">
        <v>0</v>
      </c>
      <c r="F1358">
        <v>0</v>
      </c>
      <c r="G1358">
        <v>0</v>
      </c>
      <c r="H1358">
        <v>0</v>
      </c>
      <c r="I1358" s="2" t="s">
        <v>268</v>
      </c>
    </row>
    <row r="1359" spans="1:9" x14ac:dyDescent="0.3">
      <c r="A1359">
        <v>2176</v>
      </c>
      <c r="B1359">
        <v>0</v>
      </c>
      <c r="C1359">
        <v>0</v>
      </c>
      <c r="D1359">
        <v>0</v>
      </c>
      <c r="E1359">
        <v>0</v>
      </c>
      <c r="F1359">
        <v>0</v>
      </c>
      <c r="G1359">
        <v>0</v>
      </c>
      <c r="H1359">
        <v>0</v>
      </c>
      <c r="I1359" s="2" t="s">
        <v>268</v>
      </c>
    </row>
    <row r="1360" spans="1:9" x14ac:dyDescent="0.3">
      <c r="A1360">
        <v>2374</v>
      </c>
      <c r="B1360">
        <v>0</v>
      </c>
      <c r="C1360">
        <v>0</v>
      </c>
      <c r="D1360">
        <v>0</v>
      </c>
      <c r="E1360">
        <v>0</v>
      </c>
      <c r="F1360">
        <v>0</v>
      </c>
      <c r="G1360">
        <v>0</v>
      </c>
      <c r="H1360">
        <v>0</v>
      </c>
      <c r="I1360" s="2" t="s">
        <v>268</v>
      </c>
    </row>
    <row r="1361" spans="1:9" x14ac:dyDescent="0.3">
      <c r="A1361">
        <v>1094</v>
      </c>
      <c r="B1361">
        <v>0</v>
      </c>
      <c r="C1361">
        <v>0</v>
      </c>
      <c r="D1361">
        <v>0</v>
      </c>
      <c r="E1361">
        <v>0</v>
      </c>
      <c r="F1361">
        <v>0</v>
      </c>
      <c r="G1361">
        <v>0</v>
      </c>
      <c r="H1361">
        <v>0</v>
      </c>
      <c r="I1361" s="2" t="s">
        <v>269</v>
      </c>
    </row>
    <row r="1362" spans="1:9" x14ac:dyDescent="0.3">
      <c r="A1362">
        <v>1792</v>
      </c>
      <c r="B1362">
        <v>0</v>
      </c>
      <c r="C1362">
        <v>0</v>
      </c>
      <c r="D1362">
        <v>0</v>
      </c>
      <c r="E1362">
        <v>0</v>
      </c>
      <c r="F1362">
        <v>0</v>
      </c>
      <c r="G1362">
        <v>0</v>
      </c>
      <c r="H1362">
        <v>1</v>
      </c>
      <c r="I1362" s="2" t="s">
        <v>269</v>
      </c>
    </row>
    <row r="1363" spans="1:9" x14ac:dyDescent="0.3">
      <c r="A1363">
        <v>2295</v>
      </c>
      <c r="B1363">
        <v>0</v>
      </c>
      <c r="C1363">
        <v>0</v>
      </c>
      <c r="D1363">
        <v>0</v>
      </c>
      <c r="E1363">
        <v>0</v>
      </c>
      <c r="F1363">
        <v>0</v>
      </c>
      <c r="G1363">
        <v>0</v>
      </c>
      <c r="H1363">
        <v>0</v>
      </c>
      <c r="I1363" s="2" t="s">
        <v>269</v>
      </c>
    </row>
    <row r="1364" spans="1:9" x14ac:dyDescent="0.3">
      <c r="A1364">
        <v>1132</v>
      </c>
      <c r="B1364">
        <v>0</v>
      </c>
      <c r="C1364">
        <v>0</v>
      </c>
      <c r="D1364">
        <v>0</v>
      </c>
      <c r="E1364">
        <v>0</v>
      </c>
      <c r="F1364">
        <v>0</v>
      </c>
      <c r="G1364">
        <v>0</v>
      </c>
      <c r="H1364">
        <v>0</v>
      </c>
      <c r="I1364" s="2" t="s">
        <v>270</v>
      </c>
    </row>
    <row r="1365" spans="1:9" x14ac:dyDescent="0.3">
      <c r="A1365">
        <v>1377</v>
      </c>
      <c r="B1365">
        <v>0</v>
      </c>
      <c r="C1365">
        <v>0</v>
      </c>
      <c r="D1365">
        <v>0</v>
      </c>
      <c r="E1365">
        <v>0</v>
      </c>
      <c r="F1365">
        <v>0</v>
      </c>
      <c r="G1365">
        <v>0</v>
      </c>
      <c r="H1365">
        <v>0</v>
      </c>
      <c r="I1365" s="2" t="s">
        <v>271</v>
      </c>
    </row>
    <row r="1366" spans="1:9" x14ac:dyDescent="0.3">
      <c r="A1366">
        <v>1537</v>
      </c>
      <c r="B1366">
        <v>0</v>
      </c>
      <c r="C1366">
        <v>0</v>
      </c>
      <c r="D1366">
        <v>0</v>
      </c>
      <c r="E1366">
        <v>0</v>
      </c>
      <c r="F1366">
        <v>0</v>
      </c>
      <c r="G1366">
        <v>0</v>
      </c>
      <c r="H1366">
        <v>0</v>
      </c>
      <c r="I1366" s="2" t="s">
        <v>271</v>
      </c>
    </row>
    <row r="1367" spans="1:9" x14ac:dyDescent="0.3">
      <c r="A1367">
        <v>1617</v>
      </c>
      <c r="B1367">
        <v>0</v>
      </c>
      <c r="C1367">
        <v>0</v>
      </c>
      <c r="D1367">
        <v>0</v>
      </c>
      <c r="E1367">
        <v>0</v>
      </c>
      <c r="F1367">
        <v>0</v>
      </c>
      <c r="G1367">
        <v>0</v>
      </c>
      <c r="H1367">
        <v>1</v>
      </c>
      <c r="I1367" s="2" t="s">
        <v>271</v>
      </c>
    </row>
    <row r="1368" spans="1:9" x14ac:dyDescent="0.3">
      <c r="A1368">
        <v>1804</v>
      </c>
      <c r="B1368">
        <v>0</v>
      </c>
      <c r="C1368">
        <v>0</v>
      </c>
      <c r="D1368">
        <v>0</v>
      </c>
      <c r="E1368">
        <v>0</v>
      </c>
      <c r="F1368">
        <v>0</v>
      </c>
      <c r="G1368">
        <v>0</v>
      </c>
      <c r="H1368">
        <v>0</v>
      </c>
      <c r="I1368" s="2" t="s">
        <v>271</v>
      </c>
    </row>
    <row r="1369" spans="1:9" x14ac:dyDescent="0.3">
      <c r="A1369">
        <v>2716</v>
      </c>
      <c r="B1369">
        <v>0</v>
      </c>
      <c r="C1369">
        <v>0</v>
      </c>
      <c r="D1369">
        <v>0</v>
      </c>
      <c r="E1369">
        <v>0</v>
      </c>
      <c r="F1369">
        <v>0</v>
      </c>
      <c r="G1369">
        <v>0</v>
      </c>
      <c r="H1369">
        <v>0</v>
      </c>
      <c r="I1369" s="2" t="s">
        <v>271</v>
      </c>
    </row>
    <row r="1370" spans="1:9" x14ac:dyDescent="0.3">
      <c r="A1370">
        <v>2746</v>
      </c>
      <c r="B1370">
        <v>0</v>
      </c>
      <c r="C1370">
        <v>0</v>
      </c>
      <c r="D1370">
        <v>0</v>
      </c>
      <c r="E1370">
        <v>0</v>
      </c>
      <c r="F1370">
        <v>0</v>
      </c>
      <c r="G1370">
        <v>0</v>
      </c>
      <c r="H1370">
        <v>0</v>
      </c>
      <c r="I1370" s="2" t="s">
        <v>271</v>
      </c>
    </row>
    <row r="1371" spans="1:9" x14ac:dyDescent="0.3">
      <c r="A1371">
        <v>1902</v>
      </c>
      <c r="B1371">
        <v>0</v>
      </c>
      <c r="C1371">
        <v>0</v>
      </c>
      <c r="D1371">
        <v>0</v>
      </c>
      <c r="E1371">
        <v>0</v>
      </c>
      <c r="F1371">
        <v>0</v>
      </c>
      <c r="G1371">
        <v>0</v>
      </c>
      <c r="H1371">
        <v>0</v>
      </c>
      <c r="I1371" s="2" t="s">
        <v>272</v>
      </c>
    </row>
    <row r="1372" spans="1:9" x14ac:dyDescent="0.3">
      <c r="A1372">
        <v>2969</v>
      </c>
      <c r="B1372">
        <v>0</v>
      </c>
      <c r="C1372">
        <v>0</v>
      </c>
      <c r="D1372">
        <v>0</v>
      </c>
      <c r="E1372">
        <v>0</v>
      </c>
      <c r="F1372">
        <v>0</v>
      </c>
      <c r="G1372">
        <v>0</v>
      </c>
      <c r="H1372">
        <v>0</v>
      </c>
      <c r="I1372" s="2" t="s">
        <v>272</v>
      </c>
    </row>
    <row r="1373" spans="1:9" x14ac:dyDescent="0.3">
      <c r="A1373">
        <v>1315</v>
      </c>
      <c r="B1373">
        <v>0</v>
      </c>
      <c r="C1373">
        <v>0</v>
      </c>
      <c r="D1373">
        <v>0</v>
      </c>
      <c r="E1373">
        <v>0</v>
      </c>
      <c r="F1373">
        <v>0</v>
      </c>
      <c r="G1373">
        <v>0</v>
      </c>
      <c r="H1373">
        <v>0</v>
      </c>
      <c r="I1373" s="2" t="s">
        <v>273</v>
      </c>
    </row>
    <row r="1374" spans="1:9" x14ac:dyDescent="0.3">
      <c r="A1374">
        <v>1806</v>
      </c>
      <c r="B1374">
        <v>0</v>
      </c>
      <c r="C1374">
        <v>0</v>
      </c>
      <c r="D1374">
        <v>0</v>
      </c>
      <c r="E1374">
        <v>0</v>
      </c>
      <c r="F1374">
        <v>0</v>
      </c>
      <c r="G1374">
        <v>0</v>
      </c>
      <c r="H1374">
        <v>0</v>
      </c>
      <c r="I1374" s="2" t="s">
        <v>273</v>
      </c>
    </row>
    <row r="1375" spans="1:9" x14ac:dyDescent="0.3">
      <c r="A1375">
        <v>1567</v>
      </c>
      <c r="B1375">
        <v>0</v>
      </c>
      <c r="C1375">
        <v>0</v>
      </c>
      <c r="D1375">
        <v>0</v>
      </c>
      <c r="E1375">
        <v>0</v>
      </c>
      <c r="F1375">
        <v>0</v>
      </c>
      <c r="G1375">
        <v>0</v>
      </c>
      <c r="H1375">
        <v>0</v>
      </c>
      <c r="I1375" s="2" t="s">
        <v>274</v>
      </c>
    </row>
    <row r="1376" spans="1:9" x14ac:dyDescent="0.3">
      <c r="A1376">
        <v>1710</v>
      </c>
      <c r="B1376">
        <v>0</v>
      </c>
      <c r="C1376">
        <v>0</v>
      </c>
      <c r="D1376">
        <v>1</v>
      </c>
      <c r="E1376">
        <v>0</v>
      </c>
      <c r="F1376">
        <v>0</v>
      </c>
      <c r="G1376">
        <v>0</v>
      </c>
      <c r="H1376">
        <v>0</v>
      </c>
      <c r="I1376" s="2" t="s">
        <v>274</v>
      </c>
    </row>
    <row r="1377" spans="1:9" x14ac:dyDescent="0.3">
      <c r="A1377">
        <v>2192</v>
      </c>
      <c r="B1377">
        <v>0</v>
      </c>
      <c r="C1377">
        <v>0</v>
      </c>
      <c r="D1377">
        <v>0</v>
      </c>
      <c r="E1377">
        <v>0</v>
      </c>
      <c r="F1377">
        <v>0</v>
      </c>
      <c r="G1377">
        <v>1</v>
      </c>
      <c r="H1377">
        <v>0</v>
      </c>
      <c r="I1377" s="2" t="s">
        <v>274</v>
      </c>
    </row>
    <row r="1378" spans="1:9" x14ac:dyDescent="0.3">
      <c r="A1378">
        <v>2992</v>
      </c>
      <c r="B1378">
        <v>0</v>
      </c>
      <c r="C1378">
        <v>0</v>
      </c>
      <c r="D1378">
        <v>0</v>
      </c>
      <c r="E1378">
        <v>0</v>
      </c>
      <c r="F1378">
        <v>0</v>
      </c>
      <c r="G1378">
        <v>0</v>
      </c>
      <c r="H1378">
        <v>0</v>
      </c>
      <c r="I1378" s="2" t="s">
        <v>274</v>
      </c>
    </row>
    <row r="1379" spans="1:9" x14ac:dyDescent="0.3">
      <c r="A1379">
        <v>1499</v>
      </c>
      <c r="B1379">
        <v>0</v>
      </c>
      <c r="C1379">
        <v>0</v>
      </c>
      <c r="D1379">
        <v>0</v>
      </c>
      <c r="E1379">
        <v>0</v>
      </c>
      <c r="F1379">
        <v>0</v>
      </c>
      <c r="G1379">
        <v>0</v>
      </c>
      <c r="H1379">
        <v>0</v>
      </c>
      <c r="I1379" s="2" t="s">
        <v>275</v>
      </c>
    </row>
    <row r="1380" spans="1:9" x14ac:dyDescent="0.3">
      <c r="A1380">
        <v>1408</v>
      </c>
      <c r="B1380">
        <v>0</v>
      </c>
      <c r="C1380">
        <v>0</v>
      </c>
      <c r="D1380">
        <v>1</v>
      </c>
      <c r="E1380">
        <v>0</v>
      </c>
      <c r="F1380">
        <v>0</v>
      </c>
      <c r="G1380">
        <v>0</v>
      </c>
      <c r="H1380">
        <v>0</v>
      </c>
      <c r="I1380" s="2" t="s">
        <v>276</v>
      </c>
    </row>
    <row r="1381" spans="1:9" x14ac:dyDescent="0.3">
      <c r="A1381">
        <v>1479</v>
      </c>
      <c r="B1381">
        <v>0</v>
      </c>
      <c r="C1381">
        <v>0</v>
      </c>
      <c r="D1381">
        <v>0</v>
      </c>
      <c r="E1381">
        <v>0</v>
      </c>
      <c r="F1381">
        <v>0</v>
      </c>
      <c r="G1381">
        <v>0</v>
      </c>
      <c r="H1381">
        <v>0</v>
      </c>
      <c r="I1381" s="2" t="s">
        <v>276</v>
      </c>
    </row>
    <row r="1382" spans="1:9" x14ac:dyDescent="0.3">
      <c r="A1382">
        <v>1754</v>
      </c>
      <c r="B1382">
        <v>0</v>
      </c>
      <c r="C1382">
        <v>0</v>
      </c>
      <c r="D1382">
        <v>0</v>
      </c>
      <c r="E1382">
        <v>0</v>
      </c>
      <c r="F1382">
        <v>0</v>
      </c>
      <c r="G1382">
        <v>0</v>
      </c>
      <c r="H1382">
        <v>0</v>
      </c>
      <c r="I1382" s="2" t="s">
        <v>276</v>
      </c>
    </row>
    <row r="1383" spans="1:9" x14ac:dyDescent="0.3">
      <c r="A1383">
        <v>1949</v>
      </c>
      <c r="B1383">
        <v>0</v>
      </c>
      <c r="C1383">
        <v>0</v>
      </c>
      <c r="D1383">
        <v>0</v>
      </c>
      <c r="E1383">
        <v>0</v>
      </c>
      <c r="F1383">
        <v>0</v>
      </c>
      <c r="G1383">
        <v>0</v>
      </c>
      <c r="H1383">
        <v>1</v>
      </c>
      <c r="I1383" s="2" t="s">
        <v>276</v>
      </c>
    </row>
    <row r="1384" spans="1:9" x14ac:dyDescent="0.3">
      <c r="A1384">
        <v>2159</v>
      </c>
      <c r="B1384">
        <v>0</v>
      </c>
      <c r="C1384">
        <v>0</v>
      </c>
      <c r="D1384">
        <v>0</v>
      </c>
      <c r="E1384">
        <v>0</v>
      </c>
      <c r="F1384">
        <v>0</v>
      </c>
      <c r="G1384">
        <v>0</v>
      </c>
      <c r="H1384">
        <v>0</v>
      </c>
      <c r="I1384" s="2" t="s">
        <v>276</v>
      </c>
    </row>
    <row r="1385" spans="1:9" x14ac:dyDescent="0.3">
      <c r="A1385">
        <v>2402</v>
      </c>
      <c r="B1385">
        <v>0</v>
      </c>
      <c r="C1385">
        <v>0</v>
      </c>
      <c r="D1385">
        <v>0</v>
      </c>
      <c r="E1385">
        <v>0</v>
      </c>
      <c r="F1385">
        <v>0</v>
      </c>
      <c r="G1385">
        <v>0</v>
      </c>
      <c r="H1385">
        <v>0</v>
      </c>
      <c r="I1385" s="2" t="s">
        <v>276</v>
      </c>
    </row>
    <row r="1386" spans="1:9" x14ac:dyDescent="0.3">
      <c r="A1386">
        <v>2500</v>
      </c>
      <c r="B1386">
        <v>0</v>
      </c>
      <c r="C1386">
        <v>0</v>
      </c>
      <c r="D1386">
        <v>0</v>
      </c>
      <c r="E1386">
        <v>0</v>
      </c>
      <c r="F1386">
        <v>0</v>
      </c>
      <c r="G1386">
        <v>0</v>
      </c>
      <c r="H1386">
        <v>0</v>
      </c>
      <c r="I1386" s="2" t="s">
        <v>276</v>
      </c>
    </row>
    <row r="1387" spans="1:9" x14ac:dyDescent="0.3">
      <c r="A1387">
        <v>2611</v>
      </c>
      <c r="B1387">
        <v>0</v>
      </c>
      <c r="C1387">
        <v>0</v>
      </c>
      <c r="D1387">
        <v>0</v>
      </c>
      <c r="E1387">
        <v>0</v>
      </c>
      <c r="F1387">
        <v>0</v>
      </c>
      <c r="G1387">
        <v>0</v>
      </c>
      <c r="H1387">
        <v>0</v>
      </c>
      <c r="I1387" s="2" t="s">
        <v>277</v>
      </c>
    </row>
    <row r="1388" spans="1:9" x14ac:dyDescent="0.3">
      <c r="A1388">
        <v>1089</v>
      </c>
      <c r="B1388">
        <v>0</v>
      </c>
      <c r="C1388">
        <v>0</v>
      </c>
      <c r="D1388">
        <v>0</v>
      </c>
      <c r="E1388">
        <v>0</v>
      </c>
      <c r="F1388">
        <v>0</v>
      </c>
      <c r="G1388">
        <v>0</v>
      </c>
      <c r="H1388">
        <v>0</v>
      </c>
      <c r="I1388" s="2" t="s">
        <v>278</v>
      </c>
    </row>
    <row r="1389" spans="1:9" x14ac:dyDescent="0.3">
      <c r="A1389">
        <v>1519</v>
      </c>
      <c r="B1389">
        <v>0</v>
      </c>
      <c r="C1389">
        <v>0</v>
      </c>
      <c r="D1389">
        <v>0</v>
      </c>
      <c r="E1389">
        <v>0</v>
      </c>
      <c r="F1389">
        <v>0</v>
      </c>
      <c r="G1389">
        <v>0</v>
      </c>
      <c r="H1389">
        <v>0</v>
      </c>
      <c r="I1389" s="2" t="s">
        <v>278</v>
      </c>
    </row>
    <row r="1390" spans="1:9" x14ac:dyDescent="0.3">
      <c r="A1390">
        <v>2382</v>
      </c>
      <c r="B1390">
        <v>0</v>
      </c>
      <c r="C1390">
        <v>0</v>
      </c>
      <c r="D1390">
        <v>0</v>
      </c>
      <c r="E1390">
        <v>0</v>
      </c>
      <c r="F1390">
        <v>0</v>
      </c>
      <c r="G1390">
        <v>0</v>
      </c>
      <c r="H1390">
        <v>0</v>
      </c>
      <c r="I1390" s="2" t="s">
        <v>278</v>
      </c>
    </row>
    <row r="1391" spans="1:9" x14ac:dyDescent="0.3">
      <c r="A1391">
        <v>1688</v>
      </c>
      <c r="B1391">
        <v>0</v>
      </c>
      <c r="C1391">
        <v>0</v>
      </c>
      <c r="D1391">
        <v>0</v>
      </c>
      <c r="E1391">
        <v>0</v>
      </c>
      <c r="F1391">
        <v>0</v>
      </c>
      <c r="G1391">
        <v>0</v>
      </c>
      <c r="H1391">
        <v>0</v>
      </c>
      <c r="I1391" s="2" t="s">
        <v>279</v>
      </c>
    </row>
    <row r="1392" spans="1:9" x14ac:dyDescent="0.3">
      <c r="A1392">
        <v>2564</v>
      </c>
      <c r="B1392">
        <v>0</v>
      </c>
      <c r="C1392">
        <v>0</v>
      </c>
      <c r="D1392">
        <v>0</v>
      </c>
      <c r="E1392">
        <v>0</v>
      </c>
      <c r="F1392">
        <v>0</v>
      </c>
      <c r="G1392">
        <v>0</v>
      </c>
      <c r="H1392">
        <v>0</v>
      </c>
      <c r="I1392" s="2" t="s">
        <v>279</v>
      </c>
    </row>
    <row r="1393" spans="1:10" x14ac:dyDescent="0.3">
      <c r="A1393">
        <v>3087</v>
      </c>
      <c r="B1393">
        <v>0</v>
      </c>
      <c r="C1393">
        <v>0</v>
      </c>
      <c r="D1393">
        <v>0</v>
      </c>
      <c r="E1393">
        <v>0</v>
      </c>
      <c r="F1393">
        <v>0</v>
      </c>
      <c r="G1393">
        <v>0</v>
      </c>
      <c r="H1393">
        <v>0</v>
      </c>
      <c r="I1393" s="2" t="s">
        <v>279</v>
      </c>
    </row>
    <row r="1394" spans="1:10" x14ac:dyDescent="0.3">
      <c r="A1394">
        <v>2687</v>
      </c>
      <c r="B1394">
        <v>0</v>
      </c>
      <c r="C1394">
        <v>0</v>
      </c>
      <c r="D1394">
        <v>0</v>
      </c>
      <c r="E1394">
        <v>0</v>
      </c>
      <c r="F1394">
        <v>0</v>
      </c>
      <c r="G1394">
        <v>0</v>
      </c>
      <c r="H1394">
        <v>0</v>
      </c>
      <c r="I1394" s="2" t="s">
        <v>280</v>
      </c>
    </row>
    <row r="1395" spans="1:10" x14ac:dyDescent="0.3">
      <c r="A1395">
        <v>1065</v>
      </c>
      <c r="B1395">
        <v>0</v>
      </c>
      <c r="C1395">
        <v>0</v>
      </c>
      <c r="D1395">
        <v>0</v>
      </c>
      <c r="E1395">
        <v>0</v>
      </c>
      <c r="F1395">
        <v>0</v>
      </c>
      <c r="G1395">
        <v>0</v>
      </c>
      <c r="H1395">
        <v>0</v>
      </c>
      <c r="I1395" s="2" t="s">
        <v>281</v>
      </c>
    </row>
    <row r="1396" spans="1:10" x14ac:dyDescent="0.3">
      <c r="A1396">
        <v>1678</v>
      </c>
      <c r="B1396">
        <v>0</v>
      </c>
      <c r="C1396">
        <v>0</v>
      </c>
      <c r="D1396">
        <v>0</v>
      </c>
      <c r="E1396">
        <v>0</v>
      </c>
      <c r="F1396">
        <v>0</v>
      </c>
      <c r="G1396">
        <v>0</v>
      </c>
      <c r="H1396">
        <v>1</v>
      </c>
      <c r="I1396" s="2" t="s">
        <v>281</v>
      </c>
    </row>
    <row r="1397" spans="1:10" x14ac:dyDescent="0.3">
      <c r="A1397">
        <v>2006</v>
      </c>
      <c r="B1397">
        <v>0</v>
      </c>
      <c r="C1397">
        <v>0</v>
      </c>
      <c r="D1397">
        <v>0</v>
      </c>
      <c r="E1397">
        <v>0</v>
      </c>
      <c r="F1397">
        <v>0</v>
      </c>
      <c r="G1397">
        <v>0</v>
      </c>
      <c r="H1397">
        <v>0</v>
      </c>
      <c r="I1397" s="2" t="s">
        <v>281</v>
      </c>
    </row>
    <row r="1398" spans="1:10" x14ac:dyDescent="0.3">
      <c r="A1398">
        <v>2909</v>
      </c>
      <c r="B1398">
        <v>0</v>
      </c>
      <c r="C1398">
        <v>0</v>
      </c>
      <c r="D1398">
        <v>0</v>
      </c>
      <c r="E1398">
        <v>0</v>
      </c>
      <c r="F1398">
        <v>0</v>
      </c>
      <c r="G1398">
        <v>0</v>
      </c>
      <c r="H1398">
        <v>0</v>
      </c>
      <c r="I1398" s="2" t="s">
        <v>281</v>
      </c>
    </row>
    <row r="1399" spans="1:10" x14ac:dyDescent="0.3">
      <c r="A1399">
        <v>2948</v>
      </c>
      <c r="B1399">
        <v>0</v>
      </c>
      <c r="C1399">
        <v>0</v>
      </c>
      <c r="D1399">
        <v>0</v>
      </c>
      <c r="E1399">
        <v>0</v>
      </c>
      <c r="F1399">
        <v>0</v>
      </c>
      <c r="G1399">
        <v>0</v>
      </c>
      <c r="H1399">
        <v>0</v>
      </c>
      <c r="I1399" s="2">
        <v>43808</v>
      </c>
      <c r="J1399" s="1"/>
    </row>
    <row r="1400" spans="1:10" x14ac:dyDescent="0.3">
      <c r="A1400">
        <v>1785</v>
      </c>
      <c r="B1400">
        <v>0</v>
      </c>
      <c r="C1400">
        <v>1</v>
      </c>
      <c r="D1400">
        <v>0</v>
      </c>
      <c r="E1400">
        <v>1</v>
      </c>
      <c r="F1400">
        <v>1</v>
      </c>
      <c r="G1400">
        <v>0</v>
      </c>
      <c r="H1400">
        <v>1</v>
      </c>
      <c r="I1400" s="2">
        <v>43778</v>
      </c>
      <c r="J1400" s="1"/>
    </row>
    <row r="1401" spans="1:10" x14ac:dyDescent="0.3">
      <c r="A1401">
        <v>1790</v>
      </c>
      <c r="B1401">
        <v>0</v>
      </c>
      <c r="C1401">
        <v>0</v>
      </c>
      <c r="D1401">
        <v>0</v>
      </c>
      <c r="E1401">
        <v>0</v>
      </c>
      <c r="F1401">
        <v>0</v>
      </c>
      <c r="G1401">
        <v>0</v>
      </c>
      <c r="H1401">
        <v>0</v>
      </c>
      <c r="I1401" s="2">
        <v>43778</v>
      </c>
      <c r="J1401" s="1"/>
    </row>
    <row r="1402" spans="1:10" x14ac:dyDescent="0.3">
      <c r="A1402">
        <v>1068</v>
      </c>
      <c r="B1402">
        <v>0</v>
      </c>
      <c r="C1402">
        <v>1</v>
      </c>
      <c r="D1402">
        <v>0</v>
      </c>
      <c r="E1402">
        <v>0</v>
      </c>
      <c r="F1402">
        <v>0</v>
      </c>
      <c r="G1402">
        <v>0</v>
      </c>
      <c r="H1402">
        <v>0</v>
      </c>
      <c r="I1402" s="2">
        <v>43747</v>
      </c>
      <c r="J1402" s="1"/>
    </row>
    <row r="1403" spans="1:10" x14ac:dyDescent="0.3">
      <c r="A1403">
        <v>1239</v>
      </c>
      <c r="B1403">
        <v>0</v>
      </c>
      <c r="C1403">
        <v>1</v>
      </c>
      <c r="D1403">
        <v>1</v>
      </c>
      <c r="E1403">
        <v>1</v>
      </c>
      <c r="F1403">
        <v>1</v>
      </c>
      <c r="G1403">
        <v>0</v>
      </c>
      <c r="H1403">
        <v>1</v>
      </c>
      <c r="I1403" s="2">
        <v>43747</v>
      </c>
      <c r="J1403" s="1"/>
    </row>
    <row r="1404" spans="1:10" x14ac:dyDescent="0.3">
      <c r="A1404">
        <v>1541</v>
      </c>
      <c r="B1404">
        <v>0</v>
      </c>
      <c r="C1404">
        <v>0</v>
      </c>
      <c r="D1404">
        <v>1</v>
      </c>
      <c r="E1404">
        <v>0</v>
      </c>
      <c r="F1404">
        <v>0</v>
      </c>
      <c r="G1404">
        <v>0</v>
      </c>
      <c r="H1404">
        <v>0</v>
      </c>
      <c r="I1404" s="2">
        <v>43747</v>
      </c>
      <c r="J1404" s="1"/>
    </row>
    <row r="1405" spans="1:10" x14ac:dyDescent="0.3">
      <c r="A1405">
        <v>1775</v>
      </c>
      <c r="B1405">
        <v>0</v>
      </c>
      <c r="C1405">
        <v>0</v>
      </c>
      <c r="D1405">
        <v>0</v>
      </c>
      <c r="E1405">
        <v>0</v>
      </c>
      <c r="F1405">
        <v>0</v>
      </c>
      <c r="G1405">
        <v>0</v>
      </c>
      <c r="H1405">
        <v>0</v>
      </c>
      <c r="I1405" s="2">
        <v>43747</v>
      </c>
      <c r="J1405" s="1"/>
    </row>
    <row r="1406" spans="1:10" x14ac:dyDescent="0.3">
      <c r="A1406">
        <v>2035</v>
      </c>
      <c r="B1406">
        <v>0</v>
      </c>
      <c r="C1406">
        <v>0</v>
      </c>
      <c r="D1406">
        <v>0</v>
      </c>
      <c r="E1406">
        <v>0</v>
      </c>
      <c r="F1406">
        <v>0</v>
      </c>
      <c r="G1406">
        <v>0</v>
      </c>
      <c r="H1406">
        <v>0</v>
      </c>
      <c r="I1406" s="2">
        <v>43747</v>
      </c>
      <c r="J1406" s="1"/>
    </row>
    <row r="1407" spans="1:10" x14ac:dyDescent="0.3">
      <c r="A1407">
        <v>2228</v>
      </c>
      <c r="B1407">
        <v>0</v>
      </c>
      <c r="C1407">
        <v>0</v>
      </c>
      <c r="D1407">
        <v>0</v>
      </c>
      <c r="E1407">
        <v>0</v>
      </c>
      <c r="F1407">
        <v>0</v>
      </c>
      <c r="G1407">
        <v>0</v>
      </c>
      <c r="H1407">
        <v>0</v>
      </c>
      <c r="I1407" s="2">
        <v>43747</v>
      </c>
      <c r="J1407" s="1"/>
    </row>
    <row r="1408" spans="1:10" x14ac:dyDescent="0.3">
      <c r="A1408">
        <v>2406</v>
      </c>
      <c r="B1408">
        <v>0</v>
      </c>
      <c r="C1408">
        <v>0</v>
      </c>
      <c r="D1408">
        <v>0</v>
      </c>
      <c r="E1408">
        <v>0</v>
      </c>
      <c r="F1408">
        <v>0</v>
      </c>
      <c r="G1408">
        <v>0</v>
      </c>
      <c r="H1408">
        <v>0</v>
      </c>
      <c r="I1408" s="2">
        <v>43747</v>
      </c>
      <c r="J1408" s="1"/>
    </row>
    <row r="1409" spans="1:10" x14ac:dyDescent="0.3">
      <c r="A1409">
        <v>2996</v>
      </c>
      <c r="B1409">
        <v>0</v>
      </c>
      <c r="C1409">
        <v>0</v>
      </c>
      <c r="D1409">
        <v>0</v>
      </c>
      <c r="E1409">
        <v>0</v>
      </c>
      <c r="F1409">
        <v>0</v>
      </c>
      <c r="G1409">
        <v>0</v>
      </c>
      <c r="H1409">
        <v>0</v>
      </c>
      <c r="I1409" s="2">
        <v>43747</v>
      </c>
      <c r="J1409" s="1"/>
    </row>
    <row r="1410" spans="1:10" x14ac:dyDescent="0.3">
      <c r="A1410">
        <v>1317</v>
      </c>
      <c r="B1410">
        <v>0</v>
      </c>
      <c r="C1410">
        <v>0</v>
      </c>
      <c r="D1410">
        <v>0</v>
      </c>
      <c r="E1410">
        <v>0</v>
      </c>
      <c r="F1410">
        <v>0</v>
      </c>
      <c r="G1410">
        <v>0</v>
      </c>
      <c r="H1410">
        <v>1</v>
      </c>
      <c r="I1410" s="2">
        <v>43686</v>
      </c>
      <c r="J1410" s="1"/>
    </row>
    <row r="1411" spans="1:10" x14ac:dyDescent="0.3">
      <c r="A1411">
        <v>1483</v>
      </c>
      <c r="B1411">
        <v>0</v>
      </c>
      <c r="C1411">
        <v>0</v>
      </c>
      <c r="D1411">
        <v>0</v>
      </c>
      <c r="E1411">
        <v>0</v>
      </c>
      <c r="F1411">
        <v>0</v>
      </c>
      <c r="G1411">
        <v>0</v>
      </c>
      <c r="H1411">
        <v>0</v>
      </c>
      <c r="I1411" s="2">
        <v>43686</v>
      </c>
      <c r="J1411" s="1"/>
    </row>
    <row r="1412" spans="1:10" x14ac:dyDescent="0.3">
      <c r="A1412">
        <v>2286</v>
      </c>
      <c r="B1412">
        <v>0</v>
      </c>
      <c r="C1412">
        <v>0</v>
      </c>
      <c r="D1412">
        <v>0</v>
      </c>
      <c r="E1412">
        <v>0</v>
      </c>
      <c r="F1412">
        <v>0</v>
      </c>
      <c r="G1412">
        <v>0</v>
      </c>
      <c r="H1412">
        <v>0</v>
      </c>
      <c r="I1412" s="2">
        <v>43686</v>
      </c>
      <c r="J1412" s="1"/>
    </row>
    <row r="1413" spans="1:10" x14ac:dyDescent="0.3">
      <c r="A1413">
        <v>1053</v>
      </c>
      <c r="B1413">
        <v>0</v>
      </c>
      <c r="C1413">
        <v>0</v>
      </c>
      <c r="D1413">
        <v>0</v>
      </c>
      <c r="E1413">
        <v>0</v>
      </c>
      <c r="F1413">
        <v>0</v>
      </c>
      <c r="G1413">
        <v>0</v>
      </c>
      <c r="H1413">
        <v>1</v>
      </c>
      <c r="I1413" s="2">
        <v>43655</v>
      </c>
      <c r="J1413" s="1"/>
    </row>
    <row r="1414" spans="1:10" x14ac:dyDescent="0.3">
      <c r="A1414">
        <v>1265</v>
      </c>
      <c r="B1414">
        <v>0</v>
      </c>
      <c r="C1414">
        <v>0</v>
      </c>
      <c r="D1414">
        <v>0</v>
      </c>
      <c r="E1414">
        <v>1</v>
      </c>
      <c r="F1414">
        <v>0</v>
      </c>
      <c r="G1414">
        <v>0</v>
      </c>
      <c r="H1414">
        <v>1</v>
      </c>
      <c r="I1414" s="2">
        <v>43655</v>
      </c>
      <c r="J1414" s="1"/>
    </row>
    <row r="1415" spans="1:10" x14ac:dyDescent="0.3">
      <c r="A1415">
        <v>1441</v>
      </c>
      <c r="B1415">
        <v>1</v>
      </c>
      <c r="C1415">
        <v>0</v>
      </c>
      <c r="D1415">
        <v>0</v>
      </c>
      <c r="E1415">
        <v>0</v>
      </c>
      <c r="F1415">
        <v>0</v>
      </c>
      <c r="G1415">
        <v>0</v>
      </c>
      <c r="H1415">
        <v>1</v>
      </c>
      <c r="I1415" s="2">
        <v>43625</v>
      </c>
      <c r="J1415" s="1"/>
    </row>
    <row r="1416" spans="1:10" x14ac:dyDescent="0.3">
      <c r="A1416">
        <v>1836</v>
      </c>
      <c r="B1416">
        <v>0</v>
      </c>
      <c r="C1416">
        <v>0</v>
      </c>
      <c r="D1416">
        <v>0</v>
      </c>
      <c r="E1416">
        <v>0</v>
      </c>
      <c r="F1416">
        <v>0</v>
      </c>
      <c r="G1416">
        <v>0</v>
      </c>
      <c r="H1416">
        <v>0</v>
      </c>
      <c r="I1416" s="2">
        <v>43625</v>
      </c>
      <c r="J1416" s="1"/>
    </row>
    <row r="1417" spans="1:10" x14ac:dyDescent="0.3">
      <c r="A1417">
        <v>1869</v>
      </c>
      <c r="B1417">
        <v>0</v>
      </c>
      <c r="C1417">
        <v>0</v>
      </c>
      <c r="D1417">
        <v>0</v>
      </c>
      <c r="E1417">
        <v>0</v>
      </c>
      <c r="F1417">
        <v>0</v>
      </c>
      <c r="G1417">
        <v>0</v>
      </c>
      <c r="H1417">
        <v>0</v>
      </c>
      <c r="I1417" s="2">
        <v>43625</v>
      </c>
      <c r="J1417" s="1"/>
    </row>
    <row r="1418" spans="1:10" x14ac:dyDescent="0.3">
      <c r="A1418">
        <v>2456</v>
      </c>
      <c r="B1418">
        <v>0</v>
      </c>
      <c r="C1418">
        <v>0</v>
      </c>
      <c r="D1418">
        <v>0</v>
      </c>
      <c r="E1418">
        <v>0</v>
      </c>
      <c r="F1418">
        <v>0</v>
      </c>
      <c r="G1418">
        <v>0</v>
      </c>
      <c r="H1418">
        <v>0</v>
      </c>
      <c r="I1418" s="2">
        <v>43625</v>
      </c>
      <c r="J1418" s="1"/>
    </row>
    <row r="1419" spans="1:10" x14ac:dyDescent="0.3">
      <c r="A1419">
        <v>1198</v>
      </c>
      <c r="B1419">
        <v>0</v>
      </c>
      <c r="C1419">
        <v>0</v>
      </c>
      <c r="D1419">
        <v>0</v>
      </c>
      <c r="E1419">
        <v>0</v>
      </c>
      <c r="F1419">
        <v>0</v>
      </c>
      <c r="G1419">
        <v>0</v>
      </c>
      <c r="H1419">
        <v>0</v>
      </c>
      <c r="I1419" s="2">
        <v>43594</v>
      </c>
      <c r="J1419" s="1"/>
    </row>
    <row r="1420" spans="1:10" x14ac:dyDescent="0.3">
      <c r="A1420">
        <v>1699</v>
      </c>
      <c r="B1420">
        <v>0</v>
      </c>
      <c r="C1420">
        <v>0</v>
      </c>
      <c r="D1420">
        <v>0</v>
      </c>
      <c r="E1420">
        <v>0</v>
      </c>
      <c r="F1420">
        <v>0</v>
      </c>
      <c r="G1420">
        <v>0</v>
      </c>
      <c r="H1420">
        <v>0</v>
      </c>
      <c r="I1420" s="2">
        <v>43594</v>
      </c>
      <c r="J1420" s="1"/>
    </row>
    <row r="1421" spans="1:10" x14ac:dyDescent="0.3">
      <c r="A1421">
        <v>2040</v>
      </c>
      <c r="B1421">
        <v>0</v>
      </c>
      <c r="C1421">
        <v>0</v>
      </c>
      <c r="D1421">
        <v>0</v>
      </c>
      <c r="E1421">
        <v>0</v>
      </c>
      <c r="F1421">
        <v>0</v>
      </c>
      <c r="G1421">
        <v>0</v>
      </c>
      <c r="H1421">
        <v>0</v>
      </c>
      <c r="I1421" s="2">
        <v>43594</v>
      </c>
      <c r="J1421" s="1"/>
    </row>
    <row r="1422" spans="1:10" x14ac:dyDescent="0.3">
      <c r="A1422">
        <v>2178</v>
      </c>
      <c r="B1422">
        <v>0</v>
      </c>
      <c r="C1422">
        <v>1</v>
      </c>
      <c r="D1422">
        <v>0</v>
      </c>
      <c r="E1422">
        <v>0</v>
      </c>
      <c r="F1422">
        <v>0</v>
      </c>
      <c r="G1422">
        <v>0</v>
      </c>
      <c r="H1422">
        <v>0</v>
      </c>
      <c r="I1422" s="2">
        <v>43594</v>
      </c>
      <c r="J1422" s="1"/>
    </row>
    <row r="1423" spans="1:10" x14ac:dyDescent="0.3">
      <c r="A1423">
        <v>2923</v>
      </c>
      <c r="B1423">
        <v>0</v>
      </c>
      <c r="C1423">
        <v>0</v>
      </c>
      <c r="D1423">
        <v>0</v>
      </c>
      <c r="E1423">
        <v>0</v>
      </c>
      <c r="F1423">
        <v>0</v>
      </c>
      <c r="G1423">
        <v>0</v>
      </c>
      <c r="H1423">
        <v>0</v>
      </c>
      <c r="I1423" s="2">
        <v>43594</v>
      </c>
      <c r="J1423" s="1"/>
    </row>
    <row r="1424" spans="1:10" x14ac:dyDescent="0.3">
      <c r="A1424">
        <v>1396</v>
      </c>
      <c r="B1424">
        <v>0</v>
      </c>
      <c r="C1424">
        <v>0</v>
      </c>
      <c r="D1424">
        <v>0</v>
      </c>
      <c r="E1424">
        <v>1</v>
      </c>
      <c r="F1424">
        <v>0</v>
      </c>
      <c r="G1424">
        <v>0</v>
      </c>
      <c r="H1424">
        <v>0</v>
      </c>
      <c r="I1424" s="2">
        <v>43564</v>
      </c>
      <c r="J1424" s="1"/>
    </row>
    <row r="1425" spans="1:10" x14ac:dyDescent="0.3">
      <c r="A1425">
        <v>2330</v>
      </c>
      <c r="B1425">
        <v>0</v>
      </c>
      <c r="C1425">
        <v>0</v>
      </c>
      <c r="D1425">
        <v>0</v>
      </c>
      <c r="E1425">
        <v>0</v>
      </c>
      <c r="F1425">
        <v>0</v>
      </c>
      <c r="G1425">
        <v>0</v>
      </c>
      <c r="H1425">
        <v>0</v>
      </c>
      <c r="I1425" s="2">
        <v>43564</v>
      </c>
      <c r="J1425" s="1"/>
    </row>
    <row r="1426" spans="1:10" x14ac:dyDescent="0.3">
      <c r="A1426">
        <v>2583</v>
      </c>
      <c r="B1426">
        <v>1</v>
      </c>
      <c r="C1426">
        <v>0</v>
      </c>
      <c r="D1426">
        <v>0</v>
      </c>
      <c r="E1426">
        <v>0</v>
      </c>
      <c r="F1426">
        <v>0</v>
      </c>
      <c r="G1426">
        <v>0</v>
      </c>
      <c r="H1426">
        <v>0</v>
      </c>
      <c r="I1426" s="2">
        <v>43564</v>
      </c>
      <c r="J1426" s="1"/>
    </row>
    <row r="1427" spans="1:10" x14ac:dyDescent="0.3">
      <c r="A1427">
        <v>3096</v>
      </c>
      <c r="B1427">
        <v>0</v>
      </c>
      <c r="C1427">
        <v>0</v>
      </c>
      <c r="D1427">
        <v>1</v>
      </c>
      <c r="E1427">
        <v>0</v>
      </c>
      <c r="F1427">
        <v>0</v>
      </c>
      <c r="G1427">
        <v>0</v>
      </c>
      <c r="H1427">
        <v>1</v>
      </c>
      <c r="I1427" s="2">
        <v>43564</v>
      </c>
      <c r="J1427" s="1"/>
    </row>
    <row r="1428" spans="1:10" x14ac:dyDescent="0.3">
      <c r="A1428">
        <v>1717</v>
      </c>
      <c r="B1428">
        <v>0</v>
      </c>
      <c r="C1428">
        <v>0</v>
      </c>
      <c r="D1428">
        <v>0</v>
      </c>
      <c r="E1428">
        <v>0</v>
      </c>
      <c r="F1428">
        <v>0</v>
      </c>
      <c r="G1428">
        <v>0</v>
      </c>
      <c r="H1428">
        <v>0</v>
      </c>
      <c r="I1428" s="2">
        <v>43533</v>
      </c>
      <c r="J1428" s="1"/>
    </row>
    <row r="1429" spans="1:10" x14ac:dyDescent="0.3">
      <c r="A1429">
        <v>1816</v>
      </c>
      <c r="B1429">
        <v>0</v>
      </c>
      <c r="C1429">
        <v>0</v>
      </c>
      <c r="D1429">
        <v>0</v>
      </c>
      <c r="E1429">
        <v>0</v>
      </c>
      <c r="F1429">
        <v>0</v>
      </c>
      <c r="G1429">
        <v>0</v>
      </c>
      <c r="H1429">
        <v>0</v>
      </c>
      <c r="I1429" s="2">
        <v>43533</v>
      </c>
      <c r="J1429" s="1"/>
    </row>
    <row r="1430" spans="1:10" x14ac:dyDescent="0.3">
      <c r="A1430">
        <v>2525</v>
      </c>
      <c r="B1430">
        <v>0</v>
      </c>
      <c r="C1430">
        <v>0</v>
      </c>
      <c r="D1430">
        <v>0</v>
      </c>
      <c r="E1430">
        <v>0</v>
      </c>
      <c r="F1430">
        <v>0</v>
      </c>
      <c r="G1430">
        <v>0</v>
      </c>
      <c r="H1430">
        <v>0</v>
      </c>
      <c r="I1430" s="2">
        <v>43533</v>
      </c>
      <c r="J1430" s="1"/>
    </row>
    <row r="1431" spans="1:10" x14ac:dyDescent="0.3">
      <c r="A1431">
        <v>2551</v>
      </c>
      <c r="B1431">
        <v>0</v>
      </c>
      <c r="C1431">
        <v>0</v>
      </c>
      <c r="D1431">
        <v>0</v>
      </c>
      <c r="E1431">
        <v>0</v>
      </c>
      <c r="F1431">
        <v>0</v>
      </c>
      <c r="G1431">
        <v>0</v>
      </c>
      <c r="H1431">
        <v>0</v>
      </c>
      <c r="I1431" s="2">
        <v>43533</v>
      </c>
      <c r="J1431" s="1"/>
    </row>
    <row r="1432" spans="1:10" x14ac:dyDescent="0.3">
      <c r="A1432">
        <v>2990</v>
      </c>
      <c r="B1432">
        <v>0</v>
      </c>
      <c r="C1432">
        <v>0</v>
      </c>
      <c r="D1432">
        <v>0</v>
      </c>
      <c r="E1432">
        <v>0</v>
      </c>
      <c r="F1432">
        <v>0</v>
      </c>
      <c r="G1432">
        <v>0</v>
      </c>
      <c r="H1432">
        <v>0</v>
      </c>
      <c r="I1432" s="2">
        <v>43533</v>
      </c>
      <c r="J1432" s="1"/>
    </row>
    <row r="1433" spans="1:10" x14ac:dyDescent="0.3">
      <c r="A1433">
        <v>1018</v>
      </c>
      <c r="B1433">
        <v>0</v>
      </c>
      <c r="C1433">
        <v>0</v>
      </c>
      <c r="D1433">
        <v>0</v>
      </c>
      <c r="E1433">
        <v>1</v>
      </c>
      <c r="F1433">
        <v>0</v>
      </c>
      <c r="G1433">
        <v>0</v>
      </c>
      <c r="H1433">
        <v>0</v>
      </c>
      <c r="I1433" s="2">
        <v>43505</v>
      </c>
      <c r="J1433" s="1"/>
    </row>
    <row r="1434" spans="1:10" x14ac:dyDescent="0.3">
      <c r="A1434">
        <v>1292</v>
      </c>
      <c r="B1434">
        <v>0</v>
      </c>
      <c r="C1434">
        <v>0</v>
      </c>
      <c r="D1434">
        <v>0</v>
      </c>
      <c r="E1434">
        <v>1</v>
      </c>
      <c r="F1434">
        <v>0</v>
      </c>
      <c r="G1434">
        <v>0</v>
      </c>
      <c r="H1434">
        <v>0</v>
      </c>
      <c r="I1434" s="2">
        <v>43505</v>
      </c>
      <c r="J1434" s="1"/>
    </row>
    <row r="1435" spans="1:10" x14ac:dyDescent="0.3">
      <c r="A1435">
        <v>1495</v>
      </c>
      <c r="B1435">
        <v>0</v>
      </c>
      <c r="C1435">
        <v>0</v>
      </c>
      <c r="D1435">
        <v>0</v>
      </c>
      <c r="E1435">
        <v>0</v>
      </c>
      <c r="F1435">
        <v>0</v>
      </c>
      <c r="G1435">
        <v>0</v>
      </c>
      <c r="H1435">
        <v>0</v>
      </c>
      <c r="I1435" s="2">
        <v>43505</v>
      </c>
      <c r="J1435" s="1"/>
    </row>
    <row r="1436" spans="1:10" x14ac:dyDescent="0.3">
      <c r="A1436">
        <v>2966</v>
      </c>
      <c r="B1436">
        <v>0</v>
      </c>
      <c r="C1436">
        <v>0</v>
      </c>
      <c r="D1436">
        <v>0</v>
      </c>
      <c r="E1436">
        <v>0</v>
      </c>
      <c r="F1436">
        <v>0</v>
      </c>
      <c r="G1436">
        <v>0</v>
      </c>
      <c r="H1436">
        <v>0</v>
      </c>
      <c r="I1436" s="2">
        <v>43505</v>
      </c>
      <c r="J1436" s="1"/>
    </row>
    <row r="1437" spans="1:10" x14ac:dyDescent="0.3">
      <c r="A1437">
        <v>3013</v>
      </c>
      <c r="B1437">
        <v>0</v>
      </c>
      <c r="C1437">
        <v>0</v>
      </c>
      <c r="D1437">
        <v>0</v>
      </c>
      <c r="E1437">
        <v>0</v>
      </c>
      <c r="F1437">
        <v>0</v>
      </c>
      <c r="G1437">
        <v>0</v>
      </c>
      <c r="H1437">
        <v>0</v>
      </c>
      <c r="I1437" s="2">
        <v>43505</v>
      </c>
      <c r="J1437" s="1"/>
    </row>
    <row r="1438" spans="1:10" x14ac:dyDescent="0.3">
      <c r="A1438">
        <v>1454</v>
      </c>
      <c r="B1438">
        <v>0</v>
      </c>
      <c r="C1438">
        <v>0</v>
      </c>
      <c r="D1438">
        <v>0</v>
      </c>
      <c r="E1438">
        <v>0</v>
      </c>
      <c r="F1438">
        <v>0</v>
      </c>
      <c r="G1438">
        <v>0</v>
      </c>
      <c r="H1438">
        <v>0</v>
      </c>
      <c r="I1438" s="2">
        <v>43474</v>
      </c>
      <c r="J1438" s="1"/>
    </row>
    <row r="1439" spans="1:10" x14ac:dyDescent="0.3">
      <c r="A1439">
        <v>1983</v>
      </c>
      <c r="B1439">
        <v>1</v>
      </c>
      <c r="C1439">
        <v>0</v>
      </c>
      <c r="D1439">
        <v>0</v>
      </c>
      <c r="E1439">
        <v>1</v>
      </c>
      <c r="F1439">
        <v>0</v>
      </c>
      <c r="G1439">
        <v>0</v>
      </c>
      <c r="H1439">
        <v>1</v>
      </c>
      <c r="I1439" s="2">
        <v>43474</v>
      </c>
      <c r="J1439" s="1"/>
    </row>
    <row r="1440" spans="1:10" x14ac:dyDescent="0.3">
      <c r="A1440">
        <v>2545</v>
      </c>
      <c r="B1440">
        <v>0</v>
      </c>
      <c r="C1440">
        <v>0</v>
      </c>
      <c r="D1440">
        <v>0</v>
      </c>
      <c r="E1440">
        <v>0</v>
      </c>
      <c r="F1440">
        <v>0</v>
      </c>
      <c r="G1440">
        <v>0</v>
      </c>
      <c r="H1440">
        <v>0</v>
      </c>
      <c r="I1440" s="2">
        <v>43474</v>
      </c>
      <c r="J1440" s="1"/>
    </row>
    <row r="1441" spans="1:10" x14ac:dyDescent="0.3">
      <c r="A1441">
        <v>3135</v>
      </c>
      <c r="B1441">
        <v>1</v>
      </c>
      <c r="C1441">
        <v>0</v>
      </c>
      <c r="D1441">
        <v>1</v>
      </c>
      <c r="E1441">
        <v>1</v>
      </c>
      <c r="F1441">
        <v>1</v>
      </c>
      <c r="G1441">
        <v>0</v>
      </c>
      <c r="H1441">
        <v>1</v>
      </c>
      <c r="I1441" s="2">
        <v>43474</v>
      </c>
      <c r="J1441" s="1"/>
    </row>
    <row r="1442" spans="1:10" x14ac:dyDescent="0.3">
      <c r="A1442">
        <v>1213</v>
      </c>
      <c r="B1442">
        <v>0</v>
      </c>
      <c r="C1442">
        <v>0</v>
      </c>
      <c r="D1442">
        <v>0</v>
      </c>
      <c r="E1442">
        <v>0</v>
      </c>
      <c r="F1442">
        <v>0</v>
      </c>
      <c r="G1442">
        <v>0</v>
      </c>
      <c r="H1442">
        <v>0</v>
      </c>
      <c r="I1442" s="2" t="s">
        <v>282</v>
      </c>
    </row>
    <row r="1443" spans="1:10" x14ac:dyDescent="0.3">
      <c r="A1443">
        <v>1782</v>
      </c>
      <c r="B1443">
        <v>0</v>
      </c>
      <c r="C1443">
        <v>0</v>
      </c>
      <c r="D1443">
        <v>0</v>
      </c>
      <c r="E1443">
        <v>0</v>
      </c>
      <c r="F1443">
        <v>0</v>
      </c>
      <c r="G1443">
        <v>0</v>
      </c>
      <c r="H1443">
        <v>0</v>
      </c>
      <c r="I1443" s="2" t="s">
        <v>282</v>
      </c>
    </row>
    <row r="1444" spans="1:10" x14ac:dyDescent="0.3">
      <c r="A1444">
        <v>1847</v>
      </c>
      <c r="B1444">
        <v>0</v>
      </c>
      <c r="C1444">
        <v>0</v>
      </c>
      <c r="D1444">
        <v>0</v>
      </c>
      <c r="E1444">
        <v>0</v>
      </c>
      <c r="F1444">
        <v>0</v>
      </c>
      <c r="G1444">
        <v>0</v>
      </c>
      <c r="H1444">
        <v>0</v>
      </c>
      <c r="I1444" s="2" t="s">
        <v>282</v>
      </c>
    </row>
    <row r="1445" spans="1:10" x14ac:dyDescent="0.3">
      <c r="A1445">
        <v>2740</v>
      </c>
      <c r="B1445">
        <v>0</v>
      </c>
      <c r="C1445">
        <v>0</v>
      </c>
      <c r="D1445">
        <v>0</v>
      </c>
      <c r="E1445">
        <v>0</v>
      </c>
      <c r="F1445">
        <v>0</v>
      </c>
      <c r="G1445">
        <v>0</v>
      </c>
      <c r="H1445">
        <v>0</v>
      </c>
      <c r="I1445" s="2" t="s">
        <v>282</v>
      </c>
    </row>
    <row r="1446" spans="1:10" x14ac:dyDescent="0.3">
      <c r="A1446">
        <v>2651</v>
      </c>
      <c r="B1446">
        <v>0</v>
      </c>
      <c r="C1446">
        <v>0</v>
      </c>
      <c r="D1446">
        <v>0</v>
      </c>
      <c r="E1446">
        <v>0</v>
      </c>
      <c r="F1446">
        <v>0</v>
      </c>
      <c r="G1446">
        <v>0</v>
      </c>
      <c r="H1446">
        <v>0</v>
      </c>
      <c r="I1446" s="2" t="s">
        <v>283</v>
      </c>
    </row>
    <row r="1447" spans="1:10" x14ac:dyDescent="0.3">
      <c r="A1447">
        <v>1885</v>
      </c>
      <c r="B1447">
        <v>0</v>
      </c>
      <c r="C1447">
        <v>0</v>
      </c>
      <c r="D1447">
        <v>0</v>
      </c>
      <c r="E1447">
        <v>0</v>
      </c>
      <c r="F1447">
        <v>0</v>
      </c>
      <c r="G1447">
        <v>0</v>
      </c>
      <c r="H1447">
        <v>0</v>
      </c>
      <c r="I1447" s="2" t="s">
        <v>284</v>
      </c>
    </row>
    <row r="1448" spans="1:10" x14ac:dyDescent="0.3">
      <c r="A1448">
        <v>2505</v>
      </c>
      <c r="B1448">
        <v>0</v>
      </c>
      <c r="C1448">
        <v>0</v>
      </c>
      <c r="D1448">
        <v>0</v>
      </c>
      <c r="E1448">
        <v>0</v>
      </c>
      <c r="F1448">
        <v>0</v>
      </c>
      <c r="G1448">
        <v>0</v>
      </c>
      <c r="H1448">
        <v>0</v>
      </c>
      <c r="I1448" s="2" t="s">
        <v>284</v>
      </c>
    </row>
    <row r="1449" spans="1:10" x14ac:dyDescent="0.3">
      <c r="A1449">
        <v>3194</v>
      </c>
      <c r="B1449">
        <v>0</v>
      </c>
      <c r="C1449">
        <v>0</v>
      </c>
      <c r="D1449">
        <v>0</v>
      </c>
      <c r="E1449">
        <v>0</v>
      </c>
      <c r="F1449">
        <v>0</v>
      </c>
      <c r="G1449">
        <v>0</v>
      </c>
      <c r="H1449">
        <v>0</v>
      </c>
      <c r="I1449" s="2" t="s">
        <v>284</v>
      </c>
    </row>
    <row r="1450" spans="1:10" x14ac:dyDescent="0.3">
      <c r="A1450">
        <v>3209</v>
      </c>
      <c r="B1450">
        <v>0</v>
      </c>
      <c r="C1450">
        <v>0</v>
      </c>
      <c r="D1450">
        <v>0</v>
      </c>
      <c r="E1450">
        <v>0</v>
      </c>
      <c r="F1450">
        <v>0</v>
      </c>
      <c r="G1450">
        <v>0</v>
      </c>
      <c r="H1450">
        <v>0</v>
      </c>
      <c r="I1450" s="2" t="s">
        <v>284</v>
      </c>
    </row>
    <row r="1451" spans="1:10" x14ac:dyDescent="0.3">
      <c r="A1451">
        <v>1222</v>
      </c>
      <c r="B1451">
        <v>0</v>
      </c>
      <c r="C1451">
        <v>0</v>
      </c>
      <c r="D1451">
        <v>0</v>
      </c>
      <c r="E1451">
        <v>0</v>
      </c>
      <c r="F1451">
        <v>0</v>
      </c>
      <c r="G1451">
        <v>0</v>
      </c>
      <c r="H1451">
        <v>0</v>
      </c>
      <c r="I1451" s="2" t="s">
        <v>285</v>
      </c>
    </row>
    <row r="1452" spans="1:10" x14ac:dyDescent="0.3">
      <c r="A1452">
        <v>1384</v>
      </c>
      <c r="B1452">
        <v>0</v>
      </c>
      <c r="C1452">
        <v>0</v>
      </c>
      <c r="D1452">
        <v>0</v>
      </c>
      <c r="E1452">
        <v>0</v>
      </c>
      <c r="F1452">
        <v>0</v>
      </c>
      <c r="G1452">
        <v>0</v>
      </c>
      <c r="H1452">
        <v>0</v>
      </c>
      <c r="I1452" s="2" t="s">
        <v>285</v>
      </c>
    </row>
    <row r="1453" spans="1:10" x14ac:dyDescent="0.3">
      <c r="A1453">
        <v>1721</v>
      </c>
      <c r="B1453">
        <v>0</v>
      </c>
      <c r="C1453">
        <v>0</v>
      </c>
      <c r="D1453">
        <v>0</v>
      </c>
      <c r="E1453">
        <v>0</v>
      </c>
      <c r="F1453">
        <v>0</v>
      </c>
      <c r="G1453">
        <v>0</v>
      </c>
      <c r="H1453">
        <v>0</v>
      </c>
      <c r="I1453" s="2" t="s">
        <v>285</v>
      </c>
    </row>
    <row r="1454" spans="1:10" x14ac:dyDescent="0.3">
      <c r="A1454">
        <v>1789</v>
      </c>
      <c r="B1454">
        <v>0</v>
      </c>
      <c r="C1454">
        <v>1</v>
      </c>
      <c r="D1454">
        <v>0</v>
      </c>
      <c r="E1454">
        <v>0</v>
      </c>
      <c r="F1454">
        <v>0</v>
      </c>
      <c r="G1454">
        <v>0</v>
      </c>
      <c r="H1454">
        <v>0</v>
      </c>
      <c r="I1454" s="2" t="s">
        <v>286</v>
      </c>
    </row>
    <row r="1455" spans="1:10" x14ac:dyDescent="0.3">
      <c r="A1455">
        <v>2812</v>
      </c>
      <c r="B1455">
        <v>0</v>
      </c>
      <c r="C1455">
        <v>1</v>
      </c>
      <c r="D1455">
        <v>0</v>
      </c>
      <c r="E1455">
        <v>0</v>
      </c>
      <c r="F1455">
        <v>0</v>
      </c>
      <c r="G1455">
        <v>0</v>
      </c>
      <c r="H1455">
        <v>0</v>
      </c>
      <c r="I1455" s="2" t="s">
        <v>286</v>
      </c>
    </row>
    <row r="1456" spans="1:10" x14ac:dyDescent="0.3">
      <c r="A1456">
        <v>3163</v>
      </c>
      <c r="B1456">
        <v>0</v>
      </c>
      <c r="C1456">
        <v>0</v>
      </c>
      <c r="D1456">
        <v>0</v>
      </c>
      <c r="E1456">
        <v>0</v>
      </c>
      <c r="F1456">
        <v>0</v>
      </c>
      <c r="G1456">
        <v>0</v>
      </c>
      <c r="H1456">
        <v>0</v>
      </c>
      <c r="I1456" s="2" t="s">
        <v>286</v>
      </c>
    </row>
    <row r="1457" spans="1:9" x14ac:dyDescent="0.3">
      <c r="A1457">
        <v>2214</v>
      </c>
      <c r="B1457">
        <v>0</v>
      </c>
      <c r="C1457">
        <v>0</v>
      </c>
      <c r="D1457">
        <v>0</v>
      </c>
      <c r="E1457">
        <v>0</v>
      </c>
      <c r="F1457">
        <v>0</v>
      </c>
      <c r="G1457">
        <v>0</v>
      </c>
      <c r="H1457">
        <v>0</v>
      </c>
      <c r="I1457" s="2" t="s">
        <v>287</v>
      </c>
    </row>
    <row r="1458" spans="1:9" x14ac:dyDescent="0.3">
      <c r="A1458">
        <v>3184</v>
      </c>
      <c r="B1458">
        <v>0</v>
      </c>
      <c r="C1458">
        <v>0</v>
      </c>
      <c r="D1458">
        <v>0</v>
      </c>
      <c r="E1458">
        <v>0</v>
      </c>
      <c r="F1458">
        <v>0</v>
      </c>
      <c r="G1458">
        <v>0</v>
      </c>
      <c r="H1458">
        <v>0</v>
      </c>
      <c r="I1458" s="2" t="s">
        <v>287</v>
      </c>
    </row>
    <row r="1459" spans="1:9" x14ac:dyDescent="0.3">
      <c r="A1459">
        <v>1218</v>
      </c>
      <c r="B1459">
        <v>0</v>
      </c>
      <c r="C1459">
        <v>0</v>
      </c>
      <c r="D1459">
        <v>0</v>
      </c>
      <c r="E1459">
        <v>0</v>
      </c>
      <c r="F1459">
        <v>0</v>
      </c>
      <c r="G1459">
        <v>0</v>
      </c>
      <c r="H1459">
        <v>1</v>
      </c>
      <c r="I1459" s="2" t="s">
        <v>288</v>
      </c>
    </row>
    <row r="1460" spans="1:9" x14ac:dyDescent="0.3">
      <c r="A1460">
        <v>2324</v>
      </c>
      <c r="B1460">
        <v>0</v>
      </c>
      <c r="C1460">
        <v>0</v>
      </c>
      <c r="D1460">
        <v>0</v>
      </c>
      <c r="E1460">
        <v>0</v>
      </c>
      <c r="F1460">
        <v>0</v>
      </c>
      <c r="G1460">
        <v>0</v>
      </c>
      <c r="H1460">
        <v>0</v>
      </c>
      <c r="I1460" s="2" t="s">
        <v>288</v>
      </c>
    </row>
    <row r="1461" spans="1:9" x14ac:dyDescent="0.3">
      <c r="A1461">
        <v>2778</v>
      </c>
      <c r="B1461">
        <v>0</v>
      </c>
      <c r="C1461">
        <v>0</v>
      </c>
      <c r="D1461">
        <v>0</v>
      </c>
      <c r="E1461">
        <v>0</v>
      </c>
      <c r="F1461">
        <v>0</v>
      </c>
      <c r="G1461">
        <v>0</v>
      </c>
      <c r="H1461">
        <v>1</v>
      </c>
      <c r="I1461" s="2" t="s">
        <v>288</v>
      </c>
    </row>
    <row r="1462" spans="1:9" x14ac:dyDescent="0.3">
      <c r="A1462">
        <v>1134</v>
      </c>
      <c r="B1462">
        <v>0</v>
      </c>
      <c r="C1462">
        <v>0</v>
      </c>
      <c r="D1462">
        <v>0</v>
      </c>
      <c r="E1462">
        <v>0</v>
      </c>
      <c r="F1462">
        <v>0</v>
      </c>
      <c r="G1462">
        <v>0</v>
      </c>
      <c r="H1462">
        <v>0</v>
      </c>
      <c r="I1462" s="2" t="s">
        <v>289</v>
      </c>
    </row>
    <row r="1463" spans="1:9" x14ac:dyDescent="0.3">
      <c r="A1463">
        <v>1177</v>
      </c>
      <c r="B1463">
        <v>0</v>
      </c>
      <c r="C1463">
        <v>0</v>
      </c>
      <c r="D1463">
        <v>0</v>
      </c>
      <c r="E1463">
        <v>0</v>
      </c>
      <c r="F1463">
        <v>0</v>
      </c>
      <c r="G1463">
        <v>0</v>
      </c>
      <c r="H1463">
        <v>0</v>
      </c>
      <c r="I1463" s="2" t="s">
        <v>289</v>
      </c>
    </row>
    <row r="1464" spans="1:9" x14ac:dyDescent="0.3">
      <c r="A1464">
        <v>2254</v>
      </c>
      <c r="B1464">
        <v>0</v>
      </c>
      <c r="C1464">
        <v>0</v>
      </c>
      <c r="D1464">
        <v>0</v>
      </c>
      <c r="E1464">
        <v>0</v>
      </c>
      <c r="F1464">
        <v>0</v>
      </c>
      <c r="G1464">
        <v>0</v>
      </c>
      <c r="H1464">
        <v>0</v>
      </c>
      <c r="I1464" s="2" t="s">
        <v>289</v>
      </c>
    </row>
    <row r="1465" spans="1:9" x14ac:dyDescent="0.3">
      <c r="A1465">
        <v>2883</v>
      </c>
      <c r="B1465">
        <v>0</v>
      </c>
      <c r="C1465">
        <v>0</v>
      </c>
      <c r="D1465">
        <v>0</v>
      </c>
      <c r="E1465">
        <v>0</v>
      </c>
      <c r="F1465">
        <v>0</v>
      </c>
      <c r="G1465">
        <v>0</v>
      </c>
      <c r="H1465">
        <v>0</v>
      </c>
      <c r="I1465" s="2" t="s">
        <v>289</v>
      </c>
    </row>
    <row r="1466" spans="1:9" x14ac:dyDescent="0.3">
      <c r="A1466">
        <v>3030</v>
      </c>
      <c r="B1466">
        <v>0</v>
      </c>
      <c r="C1466">
        <v>0</v>
      </c>
      <c r="D1466">
        <v>0</v>
      </c>
      <c r="E1466">
        <v>0</v>
      </c>
      <c r="F1466">
        <v>0</v>
      </c>
      <c r="G1466">
        <v>0</v>
      </c>
      <c r="H1466">
        <v>0</v>
      </c>
      <c r="I1466" s="2" t="s">
        <v>289</v>
      </c>
    </row>
    <row r="1467" spans="1:9" x14ac:dyDescent="0.3">
      <c r="A1467">
        <v>1024</v>
      </c>
      <c r="B1467">
        <v>0</v>
      </c>
      <c r="C1467">
        <v>0</v>
      </c>
      <c r="D1467">
        <v>0</v>
      </c>
      <c r="E1467">
        <v>0</v>
      </c>
      <c r="F1467">
        <v>0</v>
      </c>
      <c r="G1467">
        <v>0</v>
      </c>
      <c r="H1467">
        <v>0</v>
      </c>
      <c r="I1467" s="2" t="s">
        <v>290</v>
      </c>
    </row>
    <row r="1468" spans="1:9" x14ac:dyDescent="0.3">
      <c r="A1468">
        <v>1360</v>
      </c>
      <c r="B1468">
        <v>1</v>
      </c>
      <c r="C1468">
        <v>0</v>
      </c>
      <c r="D1468">
        <v>0</v>
      </c>
      <c r="E1468">
        <v>0</v>
      </c>
      <c r="F1468">
        <v>0</v>
      </c>
      <c r="G1468">
        <v>0</v>
      </c>
      <c r="H1468">
        <v>1</v>
      </c>
      <c r="I1468" s="2" t="s">
        <v>290</v>
      </c>
    </row>
    <row r="1469" spans="1:9" x14ac:dyDescent="0.3">
      <c r="A1469">
        <v>1565</v>
      </c>
      <c r="B1469">
        <v>0</v>
      </c>
      <c r="C1469">
        <v>0</v>
      </c>
      <c r="D1469">
        <v>0</v>
      </c>
      <c r="E1469">
        <v>0</v>
      </c>
      <c r="F1469">
        <v>0</v>
      </c>
      <c r="G1469">
        <v>0</v>
      </c>
      <c r="H1469">
        <v>0</v>
      </c>
      <c r="I1469" s="2" t="s">
        <v>290</v>
      </c>
    </row>
    <row r="1470" spans="1:9" x14ac:dyDescent="0.3">
      <c r="A1470">
        <v>1601</v>
      </c>
      <c r="B1470">
        <v>0</v>
      </c>
      <c r="C1470">
        <v>0</v>
      </c>
      <c r="D1470">
        <v>0</v>
      </c>
      <c r="E1470">
        <v>0</v>
      </c>
      <c r="F1470">
        <v>0</v>
      </c>
      <c r="G1470">
        <v>0</v>
      </c>
      <c r="H1470">
        <v>0</v>
      </c>
      <c r="I1470" s="2" t="s">
        <v>290</v>
      </c>
    </row>
    <row r="1471" spans="1:9" x14ac:dyDescent="0.3">
      <c r="A1471">
        <v>1719</v>
      </c>
      <c r="B1471">
        <v>0</v>
      </c>
      <c r="C1471">
        <v>0</v>
      </c>
      <c r="D1471">
        <v>0</v>
      </c>
      <c r="E1471">
        <v>0</v>
      </c>
      <c r="F1471">
        <v>0</v>
      </c>
      <c r="G1471">
        <v>0</v>
      </c>
      <c r="H1471">
        <v>0</v>
      </c>
      <c r="I1471" s="2" t="s">
        <v>290</v>
      </c>
    </row>
    <row r="1472" spans="1:9" x14ac:dyDescent="0.3">
      <c r="A1472">
        <v>1067</v>
      </c>
      <c r="B1472">
        <v>0</v>
      </c>
      <c r="C1472">
        <v>0</v>
      </c>
      <c r="D1472">
        <v>0</v>
      </c>
      <c r="E1472">
        <v>0</v>
      </c>
      <c r="F1472">
        <v>0</v>
      </c>
      <c r="G1472">
        <v>0</v>
      </c>
      <c r="H1472">
        <v>0</v>
      </c>
      <c r="I1472" s="2" t="s">
        <v>291</v>
      </c>
    </row>
    <row r="1473" spans="1:9" x14ac:dyDescent="0.3">
      <c r="A1473">
        <v>1125</v>
      </c>
      <c r="B1473">
        <v>0</v>
      </c>
      <c r="C1473">
        <v>1</v>
      </c>
      <c r="D1473">
        <v>0</v>
      </c>
      <c r="E1473">
        <v>0</v>
      </c>
      <c r="F1473">
        <v>0</v>
      </c>
      <c r="G1473">
        <v>0</v>
      </c>
      <c r="H1473">
        <v>0</v>
      </c>
      <c r="I1473" s="2" t="s">
        <v>291</v>
      </c>
    </row>
    <row r="1474" spans="1:9" x14ac:dyDescent="0.3">
      <c r="A1474">
        <v>2335</v>
      </c>
      <c r="B1474">
        <v>0</v>
      </c>
      <c r="C1474">
        <v>0</v>
      </c>
      <c r="D1474">
        <v>0</v>
      </c>
      <c r="E1474">
        <v>0</v>
      </c>
      <c r="F1474">
        <v>0</v>
      </c>
      <c r="G1474">
        <v>0</v>
      </c>
      <c r="H1474">
        <v>0</v>
      </c>
      <c r="I1474" s="2" t="s">
        <v>291</v>
      </c>
    </row>
    <row r="1475" spans="1:9" x14ac:dyDescent="0.3">
      <c r="A1475">
        <v>2603</v>
      </c>
      <c r="B1475">
        <v>0</v>
      </c>
      <c r="C1475">
        <v>0</v>
      </c>
      <c r="D1475">
        <v>0</v>
      </c>
      <c r="E1475">
        <v>0</v>
      </c>
      <c r="F1475">
        <v>0</v>
      </c>
      <c r="G1475">
        <v>0</v>
      </c>
      <c r="H1475">
        <v>0</v>
      </c>
      <c r="I1475" s="2" t="s">
        <v>291</v>
      </c>
    </row>
    <row r="1476" spans="1:9" x14ac:dyDescent="0.3">
      <c r="A1476">
        <v>2730</v>
      </c>
      <c r="B1476">
        <v>0</v>
      </c>
      <c r="C1476">
        <v>0</v>
      </c>
      <c r="D1476">
        <v>0</v>
      </c>
      <c r="E1476">
        <v>0</v>
      </c>
      <c r="F1476">
        <v>0</v>
      </c>
      <c r="G1476">
        <v>0</v>
      </c>
      <c r="H1476">
        <v>0</v>
      </c>
      <c r="I1476" s="2" t="s">
        <v>291</v>
      </c>
    </row>
    <row r="1477" spans="1:9" x14ac:dyDescent="0.3">
      <c r="A1477">
        <v>1351</v>
      </c>
      <c r="B1477">
        <v>0</v>
      </c>
      <c r="C1477">
        <v>0</v>
      </c>
      <c r="D1477">
        <v>0</v>
      </c>
      <c r="E1477">
        <v>0</v>
      </c>
      <c r="F1477">
        <v>0</v>
      </c>
      <c r="G1477">
        <v>0</v>
      </c>
      <c r="H1477">
        <v>0</v>
      </c>
      <c r="I1477" s="2" t="s">
        <v>292</v>
      </c>
    </row>
    <row r="1478" spans="1:9" x14ac:dyDescent="0.3">
      <c r="A1478">
        <v>3197</v>
      </c>
      <c r="B1478">
        <v>1</v>
      </c>
      <c r="C1478">
        <v>0</v>
      </c>
      <c r="D1478">
        <v>0</v>
      </c>
      <c r="E1478">
        <v>0</v>
      </c>
      <c r="F1478">
        <v>0</v>
      </c>
      <c r="G1478">
        <v>0</v>
      </c>
      <c r="H1478">
        <v>0</v>
      </c>
      <c r="I1478" s="2" t="s">
        <v>292</v>
      </c>
    </row>
    <row r="1479" spans="1:9" x14ac:dyDescent="0.3">
      <c r="A1479">
        <v>3212</v>
      </c>
      <c r="B1479">
        <v>1</v>
      </c>
      <c r="C1479">
        <v>0</v>
      </c>
      <c r="D1479">
        <v>0</v>
      </c>
      <c r="E1479">
        <v>0</v>
      </c>
      <c r="F1479">
        <v>0</v>
      </c>
      <c r="G1479">
        <v>0</v>
      </c>
      <c r="H1479">
        <v>0</v>
      </c>
      <c r="I1479" s="2" t="s">
        <v>292</v>
      </c>
    </row>
    <row r="1480" spans="1:9" x14ac:dyDescent="0.3">
      <c r="A1480">
        <v>1739</v>
      </c>
      <c r="B1480">
        <v>0</v>
      </c>
      <c r="C1480">
        <v>0</v>
      </c>
      <c r="D1480">
        <v>0</v>
      </c>
      <c r="E1480">
        <v>0</v>
      </c>
      <c r="F1480">
        <v>0</v>
      </c>
      <c r="G1480">
        <v>0</v>
      </c>
      <c r="H1480">
        <v>0</v>
      </c>
      <c r="I1480" s="2" t="s">
        <v>293</v>
      </c>
    </row>
    <row r="1481" spans="1:9" x14ac:dyDescent="0.3">
      <c r="A1481">
        <v>2806</v>
      </c>
      <c r="B1481">
        <v>0</v>
      </c>
      <c r="C1481">
        <v>0</v>
      </c>
      <c r="D1481">
        <v>0</v>
      </c>
      <c r="E1481">
        <v>0</v>
      </c>
      <c r="F1481">
        <v>0</v>
      </c>
      <c r="G1481">
        <v>0</v>
      </c>
      <c r="H1481">
        <v>0</v>
      </c>
      <c r="I1481" s="2" t="s">
        <v>293</v>
      </c>
    </row>
    <row r="1482" spans="1:9" x14ac:dyDescent="0.3">
      <c r="A1482">
        <v>1252</v>
      </c>
      <c r="B1482">
        <v>0</v>
      </c>
      <c r="C1482">
        <v>0</v>
      </c>
      <c r="D1482">
        <v>0</v>
      </c>
      <c r="E1482">
        <v>0</v>
      </c>
      <c r="F1482">
        <v>0</v>
      </c>
      <c r="G1482">
        <v>0</v>
      </c>
      <c r="H1482">
        <v>0</v>
      </c>
      <c r="I1482" s="2" t="s">
        <v>294</v>
      </c>
    </row>
    <row r="1483" spans="1:9" x14ac:dyDescent="0.3">
      <c r="A1483">
        <v>2266</v>
      </c>
      <c r="B1483">
        <v>0</v>
      </c>
      <c r="C1483">
        <v>0</v>
      </c>
      <c r="D1483">
        <v>0</v>
      </c>
      <c r="E1483">
        <v>0</v>
      </c>
      <c r="F1483">
        <v>0</v>
      </c>
      <c r="G1483">
        <v>0</v>
      </c>
      <c r="H1483">
        <v>0</v>
      </c>
      <c r="I1483" s="2" t="s">
        <v>294</v>
      </c>
    </row>
    <row r="1484" spans="1:9" x14ac:dyDescent="0.3">
      <c r="A1484">
        <v>1040</v>
      </c>
      <c r="B1484">
        <v>0</v>
      </c>
      <c r="C1484">
        <v>0</v>
      </c>
      <c r="D1484">
        <v>0</v>
      </c>
      <c r="E1484">
        <v>0</v>
      </c>
      <c r="F1484">
        <v>0</v>
      </c>
      <c r="G1484">
        <v>0</v>
      </c>
      <c r="H1484">
        <v>0</v>
      </c>
      <c r="I1484" s="2" t="s">
        <v>295</v>
      </c>
    </row>
    <row r="1485" spans="1:9" x14ac:dyDescent="0.3">
      <c r="A1485">
        <v>1116</v>
      </c>
      <c r="B1485">
        <v>0</v>
      </c>
      <c r="C1485">
        <v>1</v>
      </c>
      <c r="D1485">
        <v>1</v>
      </c>
      <c r="E1485">
        <v>1</v>
      </c>
      <c r="F1485">
        <v>0</v>
      </c>
      <c r="G1485">
        <v>0</v>
      </c>
      <c r="H1485">
        <v>1</v>
      </c>
      <c r="I1485" s="2" t="s">
        <v>295</v>
      </c>
    </row>
    <row r="1486" spans="1:9" x14ac:dyDescent="0.3">
      <c r="A1486">
        <v>1281</v>
      </c>
      <c r="B1486">
        <v>0</v>
      </c>
      <c r="C1486">
        <v>0</v>
      </c>
      <c r="D1486">
        <v>0</v>
      </c>
      <c r="E1486">
        <v>0</v>
      </c>
      <c r="F1486">
        <v>0</v>
      </c>
      <c r="G1486">
        <v>0</v>
      </c>
      <c r="H1486">
        <v>0</v>
      </c>
      <c r="I1486" s="2" t="s">
        <v>295</v>
      </c>
    </row>
    <row r="1487" spans="1:9" x14ac:dyDescent="0.3">
      <c r="A1487">
        <v>2194</v>
      </c>
      <c r="B1487">
        <v>0</v>
      </c>
      <c r="C1487">
        <v>0</v>
      </c>
      <c r="D1487">
        <v>1</v>
      </c>
      <c r="E1487">
        <v>0</v>
      </c>
      <c r="F1487">
        <v>0</v>
      </c>
      <c r="G1487">
        <v>0</v>
      </c>
      <c r="H1487">
        <v>0</v>
      </c>
      <c r="I1487" s="2" t="s">
        <v>295</v>
      </c>
    </row>
    <row r="1488" spans="1:9" x14ac:dyDescent="0.3">
      <c r="A1488">
        <v>3001</v>
      </c>
      <c r="B1488">
        <v>0</v>
      </c>
      <c r="C1488">
        <v>0</v>
      </c>
      <c r="D1488">
        <v>0</v>
      </c>
      <c r="E1488">
        <v>0</v>
      </c>
      <c r="F1488">
        <v>0</v>
      </c>
      <c r="G1488">
        <v>0</v>
      </c>
      <c r="H1488">
        <v>0</v>
      </c>
      <c r="I1488" s="2" t="s">
        <v>295</v>
      </c>
    </row>
    <row r="1489" spans="1:10" x14ac:dyDescent="0.3">
      <c r="A1489">
        <v>1387</v>
      </c>
      <c r="B1489">
        <v>0</v>
      </c>
      <c r="C1489">
        <v>0</v>
      </c>
      <c r="D1489">
        <v>0</v>
      </c>
      <c r="E1489">
        <v>0</v>
      </c>
      <c r="F1489">
        <v>0</v>
      </c>
      <c r="G1489">
        <v>0</v>
      </c>
      <c r="H1489">
        <v>0</v>
      </c>
      <c r="I1489" s="2" t="s">
        <v>296</v>
      </c>
    </row>
    <row r="1490" spans="1:10" x14ac:dyDescent="0.3">
      <c r="A1490">
        <v>1591</v>
      </c>
      <c r="B1490">
        <v>0</v>
      </c>
      <c r="C1490">
        <v>0</v>
      </c>
      <c r="D1490">
        <v>0</v>
      </c>
      <c r="E1490">
        <v>0</v>
      </c>
      <c r="F1490">
        <v>0</v>
      </c>
      <c r="G1490">
        <v>0</v>
      </c>
      <c r="H1490">
        <v>0</v>
      </c>
      <c r="I1490" s="2" t="s">
        <v>296</v>
      </c>
    </row>
    <row r="1491" spans="1:10" x14ac:dyDescent="0.3">
      <c r="A1491">
        <v>2140</v>
      </c>
      <c r="B1491">
        <v>0</v>
      </c>
      <c r="C1491">
        <v>0</v>
      </c>
      <c r="D1491">
        <v>0</v>
      </c>
      <c r="E1491">
        <v>0</v>
      </c>
      <c r="F1491">
        <v>0</v>
      </c>
      <c r="G1491">
        <v>0</v>
      </c>
      <c r="H1491">
        <v>0</v>
      </c>
      <c r="I1491" s="2" t="s">
        <v>296</v>
      </c>
    </row>
    <row r="1492" spans="1:10" x14ac:dyDescent="0.3">
      <c r="A1492">
        <v>3100</v>
      </c>
      <c r="B1492">
        <v>0</v>
      </c>
      <c r="C1492">
        <v>0</v>
      </c>
      <c r="D1492">
        <v>0</v>
      </c>
      <c r="E1492">
        <v>1</v>
      </c>
      <c r="F1492">
        <v>0</v>
      </c>
      <c r="G1492">
        <v>0</v>
      </c>
      <c r="H1492">
        <v>1</v>
      </c>
      <c r="I1492" s="2" t="s">
        <v>296</v>
      </c>
    </row>
    <row r="1493" spans="1:10" x14ac:dyDescent="0.3">
      <c r="A1493">
        <v>1122</v>
      </c>
      <c r="B1493">
        <v>0</v>
      </c>
      <c r="C1493">
        <v>0</v>
      </c>
      <c r="D1493">
        <v>0</v>
      </c>
      <c r="E1493">
        <v>0</v>
      </c>
      <c r="F1493">
        <v>0</v>
      </c>
      <c r="G1493">
        <v>0</v>
      </c>
      <c r="H1493">
        <v>0</v>
      </c>
      <c r="I1493" s="2" t="s">
        <v>297</v>
      </c>
    </row>
    <row r="1494" spans="1:10" x14ac:dyDescent="0.3">
      <c r="A1494">
        <v>1627</v>
      </c>
      <c r="B1494">
        <v>0</v>
      </c>
      <c r="C1494">
        <v>1</v>
      </c>
      <c r="D1494">
        <v>1</v>
      </c>
      <c r="E1494">
        <v>0</v>
      </c>
      <c r="F1494">
        <v>0</v>
      </c>
      <c r="G1494">
        <v>0</v>
      </c>
      <c r="H1494">
        <v>1</v>
      </c>
      <c r="I1494" s="2" t="s">
        <v>297</v>
      </c>
    </row>
    <row r="1495" spans="1:10" x14ac:dyDescent="0.3">
      <c r="A1495">
        <v>2736</v>
      </c>
      <c r="B1495">
        <v>0</v>
      </c>
      <c r="C1495">
        <v>0</v>
      </c>
      <c r="D1495">
        <v>0</v>
      </c>
      <c r="E1495">
        <v>0</v>
      </c>
      <c r="F1495">
        <v>0</v>
      </c>
      <c r="G1495">
        <v>0</v>
      </c>
      <c r="H1495">
        <v>0</v>
      </c>
      <c r="I1495" s="2" t="s">
        <v>297</v>
      </c>
    </row>
    <row r="1496" spans="1:10" x14ac:dyDescent="0.3">
      <c r="A1496">
        <v>2911</v>
      </c>
      <c r="B1496">
        <v>0</v>
      </c>
      <c r="C1496">
        <v>0</v>
      </c>
      <c r="D1496">
        <v>0</v>
      </c>
      <c r="E1496">
        <v>0</v>
      </c>
      <c r="F1496">
        <v>0</v>
      </c>
      <c r="G1496">
        <v>0</v>
      </c>
      <c r="H1496">
        <v>1</v>
      </c>
      <c r="I1496" s="2" t="s">
        <v>297</v>
      </c>
    </row>
    <row r="1497" spans="1:10" x14ac:dyDescent="0.3">
      <c r="A1497">
        <v>3005</v>
      </c>
      <c r="B1497">
        <v>1</v>
      </c>
      <c r="C1497">
        <v>0</v>
      </c>
      <c r="D1497">
        <v>0</v>
      </c>
      <c r="E1497">
        <v>0</v>
      </c>
      <c r="F1497">
        <v>0</v>
      </c>
      <c r="G1497">
        <v>0</v>
      </c>
      <c r="H1497">
        <v>1</v>
      </c>
      <c r="I1497" s="2" t="s">
        <v>297</v>
      </c>
    </row>
    <row r="1498" spans="1:10" x14ac:dyDescent="0.3">
      <c r="A1498">
        <v>3025</v>
      </c>
      <c r="B1498">
        <v>0</v>
      </c>
      <c r="C1498">
        <v>0</v>
      </c>
      <c r="D1498">
        <v>0</v>
      </c>
      <c r="E1498">
        <v>0</v>
      </c>
      <c r="F1498">
        <v>0</v>
      </c>
      <c r="G1498">
        <v>0</v>
      </c>
      <c r="H1498">
        <v>0</v>
      </c>
      <c r="I1498" s="2" t="s">
        <v>298</v>
      </c>
    </row>
    <row r="1499" spans="1:10" x14ac:dyDescent="0.3">
      <c r="A1499">
        <v>2517</v>
      </c>
      <c r="B1499">
        <v>0</v>
      </c>
      <c r="C1499">
        <v>0</v>
      </c>
      <c r="D1499">
        <v>0</v>
      </c>
      <c r="E1499">
        <v>0</v>
      </c>
      <c r="F1499">
        <v>0</v>
      </c>
      <c r="G1499">
        <v>0</v>
      </c>
      <c r="H1499">
        <v>0</v>
      </c>
      <c r="I1499" s="2" t="s">
        <v>299</v>
      </c>
    </row>
    <row r="1500" spans="1:10" x14ac:dyDescent="0.3">
      <c r="A1500">
        <v>2703</v>
      </c>
      <c r="B1500">
        <v>0</v>
      </c>
      <c r="C1500">
        <v>0</v>
      </c>
      <c r="D1500">
        <v>0</v>
      </c>
      <c r="E1500">
        <v>0</v>
      </c>
      <c r="F1500">
        <v>0</v>
      </c>
      <c r="G1500">
        <v>0</v>
      </c>
      <c r="H1500">
        <v>0</v>
      </c>
      <c r="I1500" s="2" t="s">
        <v>299</v>
      </c>
    </row>
    <row r="1501" spans="1:10" x14ac:dyDescent="0.3">
      <c r="A1501">
        <v>2975</v>
      </c>
      <c r="B1501">
        <v>0</v>
      </c>
      <c r="C1501">
        <v>0</v>
      </c>
      <c r="D1501">
        <v>0</v>
      </c>
      <c r="E1501">
        <v>0</v>
      </c>
      <c r="F1501">
        <v>0</v>
      </c>
      <c r="G1501">
        <v>0</v>
      </c>
      <c r="H1501">
        <v>0</v>
      </c>
      <c r="I1501" s="2" t="s">
        <v>299</v>
      </c>
    </row>
    <row r="1502" spans="1:10" x14ac:dyDescent="0.3">
      <c r="A1502">
        <v>1283</v>
      </c>
      <c r="B1502">
        <v>0</v>
      </c>
      <c r="C1502">
        <v>0</v>
      </c>
      <c r="D1502">
        <v>0</v>
      </c>
      <c r="E1502">
        <v>0</v>
      </c>
      <c r="F1502">
        <v>0</v>
      </c>
      <c r="G1502">
        <v>0</v>
      </c>
      <c r="H1502">
        <v>0</v>
      </c>
      <c r="I1502" s="2">
        <v>43807</v>
      </c>
      <c r="J1502" s="1"/>
    </row>
    <row r="1503" spans="1:10" x14ac:dyDescent="0.3">
      <c r="A1503">
        <v>1667</v>
      </c>
      <c r="B1503">
        <v>0</v>
      </c>
      <c r="C1503">
        <v>0</v>
      </c>
      <c r="D1503">
        <v>0</v>
      </c>
      <c r="E1503">
        <v>0</v>
      </c>
      <c r="F1503">
        <v>0</v>
      </c>
      <c r="G1503">
        <v>0</v>
      </c>
      <c r="H1503">
        <v>0</v>
      </c>
      <c r="I1503" s="2">
        <v>43807</v>
      </c>
      <c r="J1503" s="1"/>
    </row>
    <row r="1504" spans="1:10" x14ac:dyDescent="0.3">
      <c r="A1504">
        <v>1993</v>
      </c>
      <c r="B1504">
        <v>0</v>
      </c>
      <c r="C1504">
        <v>0</v>
      </c>
      <c r="D1504">
        <v>0</v>
      </c>
      <c r="E1504">
        <v>0</v>
      </c>
      <c r="F1504">
        <v>0</v>
      </c>
      <c r="G1504">
        <v>0</v>
      </c>
      <c r="H1504">
        <v>0</v>
      </c>
      <c r="I1504" s="2">
        <v>43807</v>
      </c>
      <c r="J1504" s="1"/>
    </row>
    <row r="1505" spans="1:10" x14ac:dyDescent="0.3">
      <c r="A1505">
        <v>3149</v>
      </c>
      <c r="B1505">
        <v>0</v>
      </c>
      <c r="C1505">
        <v>1</v>
      </c>
      <c r="D1505">
        <v>0</v>
      </c>
      <c r="E1505">
        <v>0</v>
      </c>
      <c r="F1505">
        <v>0</v>
      </c>
      <c r="G1505">
        <v>0</v>
      </c>
      <c r="H1505">
        <v>0</v>
      </c>
      <c r="I1505" s="2">
        <v>43807</v>
      </c>
      <c r="J1505" s="1"/>
    </row>
    <row r="1506" spans="1:10" x14ac:dyDescent="0.3">
      <c r="A1506">
        <v>1722</v>
      </c>
      <c r="B1506">
        <v>0</v>
      </c>
      <c r="C1506">
        <v>0</v>
      </c>
      <c r="D1506">
        <v>0</v>
      </c>
      <c r="E1506">
        <v>0</v>
      </c>
      <c r="F1506">
        <v>0</v>
      </c>
      <c r="G1506">
        <v>0</v>
      </c>
      <c r="H1506">
        <v>0</v>
      </c>
      <c r="I1506" s="2">
        <v>43777</v>
      </c>
      <c r="J1506" s="1"/>
    </row>
    <row r="1507" spans="1:10" x14ac:dyDescent="0.3">
      <c r="A1507">
        <v>1756</v>
      </c>
      <c r="B1507">
        <v>0</v>
      </c>
      <c r="C1507">
        <v>0</v>
      </c>
      <c r="D1507">
        <v>0</v>
      </c>
      <c r="E1507">
        <v>0</v>
      </c>
      <c r="F1507">
        <v>0</v>
      </c>
      <c r="G1507">
        <v>0</v>
      </c>
      <c r="H1507">
        <v>0</v>
      </c>
      <c r="I1507" s="2">
        <v>43777</v>
      </c>
      <c r="J1507" s="1"/>
    </row>
    <row r="1508" spans="1:10" x14ac:dyDescent="0.3">
      <c r="A1508">
        <v>1403</v>
      </c>
      <c r="B1508">
        <v>0</v>
      </c>
      <c r="C1508">
        <v>0</v>
      </c>
      <c r="D1508">
        <v>0</v>
      </c>
      <c r="E1508">
        <v>0</v>
      </c>
      <c r="F1508">
        <v>0</v>
      </c>
      <c r="G1508">
        <v>0</v>
      </c>
      <c r="H1508">
        <v>0</v>
      </c>
      <c r="I1508" s="2">
        <v>43746</v>
      </c>
      <c r="J1508" s="1"/>
    </row>
    <row r="1509" spans="1:10" x14ac:dyDescent="0.3">
      <c r="A1509">
        <v>1924</v>
      </c>
      <c r="B1509">
        <v>0</v>
      </c>
      <c r="C1509">
        <v>1</v>
      </c>
      <c r="D1509">
        <v>1</v>
      </c>
      <c r="E1509">
        <v>1</v>
      </c>
      <c r="F1509">
        <v>0</v>
      </c>
      <c r="G1509">
        <v>0</v>
      </c>
      <c r="H1509">
        <v>1</v>
      </c>
      <c r="I1509" s="2">
        <v>43716</v>
      </c>
      <c r="J1509" s="1"/>
    </row>
    <row r="1510" spans="1:10" x14ac:dyDescent="0.3">
      <c r="A1510">
        <v>2003</v>
      </c>
      <c r="B1510">
        <v>0</v>
      </c>
      <c r="C1510">
        <v>0</v>
      </c>
      <c r="D1510">
        <v>0</v>
      </c>
      <c r="E1510">
        <v>0</v>
      </c>
      <c r="F1510">
        <v>0</v>
      </c>
      <c r="G1510">
        <v>0</v>
      </c>
      <c r="H1510">
        <v>1</v>
      </c>
      <c r="I1510" s="2">
        <v>43716</v>
      </c>
      <c r="J1510" s="1"/>
    </row>
    <row r="1511" spans="1:10" x14ac:dyDescent="0.3">
      <c r="A1511">
        <v>2281</v>
      </c>
      <c r="B1511">
        <v>0</v>
      </c>
      <c r="C1511">
        <v>1</v>
      </c>
      <c r="D1511">
        <v>1</v>
      </c>
      <c r="E1511">
        <v>1</v>
      </c>
      <c r="F1511">
        <v>0</v>
      </c>
      <c r="G1511">
        <v>0</v>
      </c>
      <c r="H1511">
        <v>1</v>
      </c>
      <c r="I1511" s="2">
        <v>43716</v>
      </c>
      <c r="J1511" s="1"/>
    </row>
    <row r="1512" spans="1:10" x14ac:dyDescent="0.3">
      <c r="A1512">
        <v>2405</v>
      </c>
      <c r="B1512">
        <v>0</v>
      </c>
      <c r="C1512">
        <v>0</v>
      </c>
      <c r="D1512">
        <v>0</v>
      </c>
      <c r="E1512">
        <v>0</v>
      </c>
      <c r="F1512">
        <v>0</v>
      </c>
      <c r="G1512">
        <v>0</v>
      </c>
      <c r="H1512">
        <v>0</v>
      </c>
      <c r="I1512" s="2">
        <v>43716</v>
      </c>
      <c r="J1512" s="1"/>
    </row>
    <row r="1513" spans="1:10" x14ac:dyDescent="0.3">
      <c r="A1513">
        <v>1323</v>
      </c>
      <c r="B1513">
        <v>0</v>
      </c>
      <c r="C1513">
        <v>0</v>
      </c>
      <c r="D1513">
        <v>1</v>
      </c>
      <c r="E1513">
        <v>0</v>
      </c>
      <c r="F1513">
        <v>0</v>
      </c>
      <c r="G1513">
        <v>0</v>
      </c>
      <c r="H1513">
        <v>1</v>
      </c>
      <c r="I1513" s="2">
        <v>43685</v>
      </c>
      <c r="J1513" s="1"/>
    </row>
    <row r="1514" spans="1:10" x14ac:dyDescent="0.3">
      <c r="A1514">
        <v>2354</v>
      </c>
      <c r="B1514">
        <v>0</v>
      </c>
      <c r="C1514">
        <v>0</v>
      </c>
      <c r="D1514">
        <v>0</v>
      </c>
      <c r="E1514">
        <v>0</v>
      </c>
      <c r="F1514">
        <v>0</v>
      </c>
      <c r="G1514">
        <v>0</v>
      </c>
      <c r="H1514">
        <v>0</v>
      </c>
      <c r="I1514" s="2">
        <v>43685</v>
      </c>
      <c r="J1514" s="1"/>
    </row>
    <row r="1515" spans="1:10" x14ac:dyDescent="0.3">
      <c r="A1515">
        <v>2461</v>
      </c>
      <c r="B1515">
        <v>0</v>
      </c>
      <c r="C1515">
        <v>0</v>
      </c>
      <c r="D1515">
        <v>0</v>
      </c>
      <c r="E1515">
        <v>0</v>
      </c>
      <c r="F1515">
        <v>0</v>
      </c>
      <c r="G1515">
        <v>0</v>
      </c>
      <c r="H1515">
        <v>0</v>
      </c>
      <c r="I1515" s="2">
        <v>43685</v>
      </c>
      <c r="J1515" s="1"/>
    </row>
    <row r="1516" spans="1:10" x14ac:dyDescent="0.3">
      <c r="A1516">
        <v>2724</v>
      </c>
      <c r="B1516">
        <v>0</v>
      </c>
      <c r="C1516">
        <v>1</v>
      </c>
      <c r="D1516">
        <v>1</v>
      </c>
      <c r="E1516">
        <v>1</v>
      </c>
      <c r="F1516">
        <v>0</v>
      </c>
      <c r="G1516">
        <v>0</v>
      </c>
      <c r="H1516">
        <v>0</v>
      </c>
      <c r="I1516" s="2">
        <v>43685</v>
      </c>
      <c r="J1516" s="1"/>
    </row>
    <row r="1517" spans="1:10" x14ac:dyDescent="0.3">
      <c r="A1517">
        <v>3195</v>
      </c>
      <c r="B1517">
        <v>0</v>
      </c>
      <c r="C1517">
        <v>0</v>
      </c>
      <c r="D1517">
        <v>0</v>
      </c>
      <c r="E1517">
        <v>0</v>
      </c>
      <c r="F1517">
        <v>0</v>
      </c>
      <c r="G1517">
        <v>0</v>
      </c>
      <c r="H1517">
        <v>0</v>
      </c>
      <c r="I1517" s="2">
        <v>43685</v>
      </c>
      <c r="J1517" s="1"/>
    </row>
    <row r="1518" spans="1:10" x14ac:dyDescent="0.3">
      <c r="A1518">
        <v>3210</v>
      </c>
      <c r="B1518">
        <v>0</v>
      </c>
      <c r="C1518">
        <v>0</v>
      </c>
      <c r="D1518">
        <v>0</v>
      </c>
      <c r="E1518">
        <v>0</v>
      </c>
      <c r="F1518">
        <v>0</v>
      </c>
      <c r="G1518">
        <v>0</v>
      </c>
      <c r="H1518">
        <v>0</v>
      </c>
      <c r="I1518" s="2">
        <v>43685</v>
      </c>
      <c r="J1518" s="1"/>
    </row>
    <row r="1519" spans="1:10" x14ac:dyDescent="0.3">
      <c r="A1519">
        <v>1779</v>
      </c>
      <c r="B1519">
        <v>0</v>
      </c>
      <c r="C1519">
        <v>0</v>
      </c>
      <c r="D1519">
        <v>0</v>
      </c>
      <c r="E1519">
        <v>0</v>
      </c>
      <c r="F1519">
        <v>0</v>
      </c>
      <c r="G1519">
        <v>0</v>
      </c>
      <c r="H1519">
        <v>0</v>
      </c>
      <c r="I1519" s="2">
        <v>43654</v>
      </c>
      <c r="J1519" s="1"/>
    </row>
    <row r="1520" spans="1:10" x14ac:dyDescent="0.3">
      <c r="A1520">
        <v>1540</v>
      </c>
      <c r="B1520">
        <v>0</v>
      </c>
      <c r="C1520">
        <v>0</v>
      </c>
      <c r="D1520">
        <v>0</v>
      </c>
      <c r="E1520">
        <v>0</v>
      </c>
      <c r="F1520">
        <v>0</v>
      </c>
      <c r="G1520">
        <v>0</v>
      </c>
      <c r="H1520">
        <v>0</v>
      </c>
      <c r="I1520" s="2">
        <v>43624</v>
      </c>
      <c r="J1520" s="1"/>
    </row>
    <row r="1521" spans="1:10" x14ac:dyDescent="0.3">
      <c r="A1521">
        <v>2092</v>
      </c>
      <c r="B1521">
        <v>0</v>
      </c>
      <c r="C1521">
        <v>0</v>
      </c>
      <c r="D1521">
        <v>0</v>
      </c>
      <c r="E1521">
        <v>1</v>
      </c>
      <c r="F1521">
        <v>0</v>
      </c>
      <c r="G1521">
        <v>0</v>
      </c>
      <c r="H1521">
        <v>1</v>
      </c>
      <c r="I1521" s="2">
        <v>43624</v>
      </c>
      <c r="J1521" s="1"/>
    </row>
    <row r="1522" spans="1:10" x14ac:dyDescent="0.3">
      <c r="A1522">
        <v>2991</v>
      </c>
      <c r="B1522">
        <v>0</v>
      </c>
      <c r="C1522">
        <v>0</v>
      </c>
      <c r="D1522">
        <v>0</v>
      </c>
      <c r="E1522">
        <v>0</v>
      </c>
      <c r="F1522">
        <v>0</v>
      </c>
      <c r="G1522">
        <v>0</v>
      </c>
      <c r="H1522">
        <v>1</v>
      </c>
      <c r="I1522" s="2">
        <v>43624</v>
      </c>
      <c r="J1522" s="1"/>
    </row>
    <row r="1523" spans="1:10" x14ac:dyDescent="0.3">
      <c r="A1523">
        <v>1734</v>
      </c>
      <c r="B1523">
        <v>0</v>
      </c>
      <c r="C1523">
        <v>1</v>
      </c>
      <c r="D1523">
        <v>1</v>
      </c>
      <c r="E1523">
        <v>1</v>
      </c>
      <c r="F1523">
        <v>0</v>
      </c>
      <c r="G1523">
        <v>0</v>
      </c>
      <c r="H1523">
        <v>1</v>
      </c>
      <c r="I1523" s="2">
        <v>43593</v>
      </c>
      <c r="J1523" s="1"/>
    </row>
    <row r="1524" spans="1:10" x14ac:dyDescent="0.3">
      <c r="A1524">
        <v>3073</v>
      </c>
      <c r="B1524">
        <v>0</v>
      </c>
      <c r="C1524">
        <v>0</v>
      </c>
      <c r="D1524">
        <v>0</v>
      </c>
      <c r="E1524">
        <v>0</v>
      </c>
      <c r="F1524">
        <v>0</v>
      </c>
      <c r="G1524">
        <v>0</v>
      </c>
      <c r="H1524">
        <v>0</v>
      </c>
      <c r="I1524" s="2">
        <v>43593</v>
      </c>
      <c r="J1524" s="1"/>
    </row>
    <row r="1525" spans="1:10" x14ac:dyDescent="0.3">
      <c r="A1525">
        <v>2672</v>
      </c>
      <c r="B1525">
        <v>0</v>
      </c>
      <c r="C1525">
        <v>0</v>
      </c>
      <c r="D1525">
        <v>1</v>
      </c>
      <c r="E1525">
        <v>0</v>
      </c>
      <c r="F1525">
        <v>0</v>
      </c>
      <c r="G1525">
        <v>0</v>
      </c>
      <c r="H1525">
        <v>0</v>
      </c>
      <c r="I1525" s="2">
        <v>43563</v>
      </c>
      <c r="J1525" s="1"/>
    </row>
    <row r="1526" spans="1:10" x14ac:dyDescent="0.3">
      <c r="A1526">
        <v>2943</v>
      </c>
      <c r="B1526">
        <v>0</v>
      </c>
      <c r="C1526">
        <v>0</v>
      </c>
      <c r="D1526">
        <v>0</v>
      </c>
      <c r="E1526">
        <v>1</v>
      </c>
      <c r="F1526">
        <v>0</v>
      </c>
      <c r="G1526">
        <v>0</v>
      </c>
      <c r="H1526">
        <v>1</v>
      </c>
      <c r="I1526" s="2">
        <v>43563</v>
      </c>
      <c r="J1526" s="1"/>
    </row>
    <row r="1527" spans="1:10" x14ac:dyDescent="0.3">
      <c r="A1527">
        <v>2955</v>
      </c>
      <c r="B1527">
        <v>0</v>
      </c>
      <c r="C1527">
        <v>0</v>
      </c>
      <c r="D1527">
        <v>0</v>
      </c>
      <c r="E1527">
        <v>0</v>
      </c>
      <c r="F1527">
        <v>0</v>
      </c>
      <c r="G1527">
        <v>0</v>
      </c>
      <c r="H1527">
        <v>0</v>
      </c>
      <c r="I1527" s="2">
        <v>43563</v>
      </c>
      <c r="J1527" s="1"/>
    </row>
    <row r="1528" spans="1:10" x14ac:dyDescent="0.3">
      <c r="A1528">
        <v>2256</v>
      </c>
      <c r="B1528">
        <v>0</v>
      </c>
      <c r="C1528">
        <v>1</v>
      </c>
      <c r="D1528">
        <v>0</v>
      </c>
      <c r="E1528">
        <v>0</v>
      </c>
      <c r="F1528">
        <v>0</v>
      </c>
      <c r="G1528">
        <v>0</v>
      </c>
      <c r="H1528">
        <v>0</v>
      </c>
      <c r="I1528" s="2">
        <v>43532</v>
      </c>
      <c r="J1528" s="1"/>
    </row>
    <row r="1529" spans="1:10" x14ac:dyDescent="0.3">
      <c r="A1529">
        <v>2864</v>
      </c>
      <c r="B1529">
        <v>1</v>
      </c>
      <c r="C1529">
        <v>0</v>
      </c>
      <c r="D1529">
        <v>0</v>
      </c>
      <c r="E1529">
        <v>0</v>
      </c>
      <c r="F1529">
        <v>0</v>
      </c>
      <c r="G1529">
        <v>0</v>
      </c>
      <c r="H1529">
        <v>0</v>
      </c>
      <c r="I1529" s="2">
        <v>43532</v>
      </c>
      <c r="J1529" s="1"/>
    </row>
    <row r="1530" spans="1:10" x14ac:dyDescent="0.3">
      <c r="A1530">
        <v>2091</v>
      </c>
      <c r="B1530">
        <v>0</v>
      </c>
      <c r="C1530">
        <v>0</v>
      </c>
      <c r="D1530">
        <v>0</v>
      </c>
      <c r="E1530">
        <v>0</v>
      </c>
      <c r="F1530">
        <v>0</v>
      </c>
      <c r="G1530">
        <v>0</v>
      </c>
      <c r="H1530">
        <v>0</v>
      </c>
      <c r="I1530" s="2">
        <v>43504</v>
      </c>
      <c r="J1530" s="1"/>
    </row>
    <row r="1531" spans="1:10" x14ac:dyDescent="0.3">
      <c r="A1531">
        <v>2283</v>
      </c>
      <c r="B1531">
        <v>0</v>
      </c>
      <c r="C1531">
        <v>0</v>
      </c>
      <c r="D1531">
        <v>0</v>
      </c>
      <c r="E1531">
        <v>0</v>
      </c>
      <c r="F1531">
        <v>0</v>
      </c>
      <c r="G1531">
        <v>0</v>
      </c>
      <c r="H1531">
        <v>0</v>
      </c>
      <c r="I1531" s="2">
        <v>43504</v>
      </c>
      <c r="J1531" s="1"/>
    </row>
    <row r="1532" spans="1:10" x14ac:dyDescent="0.3">
      <c r="A1532">
        <v>3158</v>
      </c>
      <c r="B1532">
        <v>0</v>
      </c>
      <c r="C1532">
        <v>0</v>
      </c>
      <c r="D1532">
        <v>0</v>
      </c>
      <c r="E1532">
        <v>0</v>
      </c>
      <c r="F1532">
        <v>0</v>
      </c>
      <c r="G1532">
        <v>0</v>
      </c>
      <c r="H1532">
        <v>1</v>
      </c>
      <c r="I1532" s="2">
        <v>43504</v>
      </c>
      <c r="J1532" s="1"/>
    </row>
    <row r="1533" spans="1:10" x14ac:dyDescent="0.3">
      <c r="A1533">
        <v>1178</v>
      </c>
      <c r="B1533">
        <v>0</v>
      </c>
      <c r="C1533">
        <v>0</v>
      </c>
      <c r="D1533">
        <v>0</v>
      </c>
      <c r="E1533">
        <v>0</v>
      </c>
      <c r="F1533">
        <v>0</v>
      </c>
      <c r="G1533">
        <v>0</v>
      </c>
      <c r="H1533">
        <v>0</v>
      </c>
      <c r="I1533" s="2" t="s">
        <v>300</v>
      </c>
    </row>
    <row r="1534" spans="1:10" x14ac:dyDescent="0.3">
      <c r="A1534">
        <v>2875</v>
      </c>
      <c r="B1534">
        <v>0</v>
      </c>
      <c r="C1534">
        <v>0</v>
      </c>
      <c r="D1534">
        <v>0</v>
      </c>
      <c r="E1534">
        <v>0</v>
      </c>
      <c r="F1534">
        <v>0</v>
      </c>
      <c r="G1534">
        <v>0</v>
      </c>
      <c r="H1534">
        <v>0</v>
      </c>
      <c r="I1534" s="2" t="s">
        <v>300</v>
      </c>
    </row>
    <row r="1535" spans="1:10" x14ac:dyDescent="0.3">
      <c r="A1535">
        <v>1402</v>
      </c>
      <c r="B1535">
        <v>0</v>
      </c>
      <c r="C1535">
        <v>0</v>
      </c>
      <c r="D1535">
        <v>1</v>
      </c>
      <c r="E1535">
        <v>1</v>
      </c>
      <c r="F1535">
        <v>0</v>
      </c>
      <c r="G1535">
        <v>0</v>
      </c>
      <c r="H1535">
        <v>1</v>
      </c>
      <c r="I1535" s="2" t="s">
        <v>301</v>
      </c>
    </row>
    <row r="1536" spans="1:10" x14ac:dyDescent="0.3">
      <c r="A1536">
        <v>1476</v>
      </c>
      <c r="B1536">
        <v>0</v>
      </c>
      <c r="C1536">
        <v>0</v>
      </c>
      <c r="D1536">
        <v>0</v>
      </c>
      <c r="E1536">
        <v>1</v>
      </c>
      <c r="F1536">
        <v>0</v>
      </c>
      <c r="G1536">
        <v>0</v>
      </c>
      <c r="H1536">
        <v>0</v>
      </c>
      <c r="I1536" s="2" t="s">
        <v>301</v>
      </c>
    </row>
    <row r="1537" spans="1:9" x14ac:dyDescent="0.3">
      <c r="A1537">
        <v>2233</v>
      </c>
      <c r="B1537">
        <v>1</v>
      </c>
      <c r="C1537">
        <v>0</v>
      </c>
      <c r="D1537">
        <v>0</v>
      </c>
      <c r="E1537">
        <v>0</v>
      </c>
      <c r="F1537">
        <v>0</v>
      </c>
      <c r="G1537">
        <v>0</v>
      </c>
      <c r="H1537">
        <v>1</v>
      </c>
      <c r="I1537" s="2" t="s">
        <v>301</v>
      </c>
    </row>
    <row r="1538" spans="1:9" x14ac:dyDescent="0.3">
      <c r="A1538">
        <v>2644</v>
      </c>
      <c r="B1538">
        <v>1</v>
      </c>
      <c r="C1538">
        <v>0</v>
      </c>
      <c r="D1538">
        <v>0</v>
      </c>
      <c r="E1538">
        <v>0</v>
      </c>
      <c r="F1538">
        <v>0</v>
      </c>
      <c r="G1538">
        <v>0</v>
      </c>
      <c r="H1538">
        <v>1</v>
      </c>
      <c r="I1538" s="2" t="s">
        <v>301</v>
      </c>
    </row>
    <row r="1539" spans="1:9" x14ac:dyDescent="0.3">
      <c r="A1539">
        <v>1584</v>
      </c>
      <c r="B1539">
        <v>0</v>
      </c>
      <c r="C1539">
        <v>0</v>
      </c>
      <c r="D1539">
        <v>0</v>
      </c>
      <c r="E1539">
        <v>0</v>
      </c>
      <c r="F1539">
        <v>0</v>
      </c>
      <c r="G1539">
        <v>0</v>
      </c>
      <c r="H1539">
        <v>0</v>
      </c>
      <c r="I1539" s="2" t="s">
        <v>302</v>
      </c>
    </row>
    <row r="1540" spans="1:9" x14ac:dyDescent="0.3">
      <c r="A1540">
        <v>3159</v>
      </c>
      <c r="B1540">
        <v>0</v>
      </c>
      <c r="C1540">
        <v>0</v>
      </c>
      <c r="D1540">
        <v>0</v>
      </c>
      <c r="E1540">
        <v>0</v>
      </c>
      <c r="F1540">
        <v>0</v>
      </c>
      <c r="G1540">
        <v>0</v>
      </c>
      <c r="H1540">
        <v>0</v>
      </c>
      <c r="I1540" s="2" t="s">
        <v>302</v>
      </c>
    </row>
    <row r="1541" spans="1:9" x14ac:dyDescent="0.3">
      <c r="A1541">
        <v>1033</v>
      </c>
      <c r="B1541">
        <v>0</v>
      </c>
      <c r="C1541">
        <v>0</v>
      </c>
      <c r="D1541">
        <v>0</v>
      </c>
      <c r="E1541">
        <v>0</v>
      </c>
      <c r="F1541">
        <v>0</v>
      </c>
      <c r="G1541">
        <v>0</v>
      </c>
      <c r="H1541">
        <v>0</v>
      </c>
      <c r="I1541" s="2" t="s">
        <v>303</v>
      </c>
    </row>
    <row r="1542" spans="1:9" x14ac:dyDescent="0.3">
      <c r="A1542">
        <v>1693</v>
      </c>
      <c r="B1542">
        <v>0</v>
      </c>
      <c r="C1542">
        <v>0</v>
      </c>
      <c r="D1542">
        <v>0</v>
      </c>
      <c r="E1542">
        <v>0</v>
      </c>
      <c r="F1542">
        <v>0</v>
      </c>
      <c r="G1542">
        <v>0</v>
      </c>
      <c r="H1542">
        <v>0</v>
      </c>
      <c r="I1542" s="2" t="s">
        <v>303</v>
      </c>
    </row>
    <row r="1543" spans="1:9" x14ac:dyDescent="0.3">
      <c r="A1543">
        <v>2000</v>
      </c>
      <c r="B1543">
        <v>0</v>
      </c>
      <c r="C1543">
        <v>0</v>
      </c>
      <c r="D1543">
        <v>0</v>
      </c>
      <c r="E1543">
        <v>0</v>
      </c>
      <c r="F1543">
        <v>0</v>
      </c>
      <c r="G1543">
        <v>0</v>
      </c>
      <c r="H1543">
        <v>0</v>
      </c>
      <c r="I1543" s="2" t="s">
        <v>303</v>
      </c>
    </row>
    <row r="1544" spans="1:9" x14ac:dyDescent="0.3">
      <c r="A1544">
        <v>2186</v>
      </c>
      <c r="B1544">
        <v>1</v>
      </c>
      <c r="C1544">
        <v>0</v>
      </c>
      <c r="D1544">
        <v>0</v>
      </c>
      <c r="E1544">
        <v>0</v>
      </c>
      <c r="F1544">
        <v>0</v>
      </c>
      <c r="G1544">
        <v>0</v>
      </c>
      <c r="H1544">
        <v>0</v>
      </c>
      <c r="I1544" s="2" t="s">
        <v>303</v>
      </c>
    </row>
    <row r="1545" spans="1:9" x14ac:dyDescent="0.3">
      <c r="A1545">
        <v>2325</v>
      </c>
      <c r="B1545">
        <v>0</v>
      </c>
      <c r="C1545">
        <v>0</v>
      </c>
      <c r="D1545">
        <v>0</v>
      </c>
      <c r="E1545">
        <v>0</v>
      </c>
      <c r="F1545">
        <v>0</v>
      </c>
      <c r="G1545">
        <v>0</v>
      </c>
      <c r="H1545">
        <v>0</v>
      </c>
      <c r="I1545" s="2" t="s">
        <v>303</v>
      </c>
    </row>
    <row r="1546" spans="1:9" x14ac:dyDescent="0.3">
      <c r="A1546">
        <v>2893</v>
      </c>
      <c r="B1546">
        <v>0</v>
      </c>
      <c r="C1546">
        <v>0</v>
      </c>
      <c r="D1546">
        <v>0</v>
      </c>
      <c r="E1546">
        <v>0</v>
      </c>
      <c r="F1546">
        <v>0</v>
      </c>
      <c r="G1546">
        <v>0</v>
      </c>
      <c r="H1546">
        <v>0</v>
      </c>
      <c r="I1546" s="2" t="s">
        <v>303</v>
      </c>
    </row>
    <row r="1547" spans="1:9" x14ac:dyDescent="0.3">
      <c r="A1547">
        <v>1109</v>
      </c>
      <c r="B1547">
        <v>0</v>
      </c>
      <c r="C1547">
        <v>0</v>
      </c>
      <c r="D1547">
        <v>0</v>
      </c>
      <c r="E1547">
        <v>0</v>
      </c>
      <c r="F1547">
        <v>0</v>
      </c>
      <c r="G1547">
        <v>0</v>
      </c>
      <c r="H1547">
        <v>0</v>
      </c>
      <c r="I1547" s="2" t="s">
        <v>304</v>
      </c>
    </row>
    <row r="1548" spans="1:9" x14ac:dyDescent="0.3">
      <c r="A1548">
        <v>1145</v>
      </c>
      <c r="B1548">
        <v>0</v>
      </c>
      <c r="C1548">
        <v>1</v>
      </c>
      <c r="D1548">
        <v>1</v>
      </c>
      <c r="E1548">
        <v>0</v>
      </c>
      <c r="F1548">
        <v>0</v>
      </c>
      <c r="G1548">
        <v>0</v>
      </c>
      <c r="H1548">
        <v>1</v>
      </c>
      <c r="I1548" s="2" t="s">
        <v>304</v>
      </c>
    </row>
    <row r="1549" spans="1:9" x14ac:dyDescent="0.3">
      <c r="A1549">
        <v>1838</v>
      </c>
      <c r="B1549">
        <v>0</v>
      </c>
      <c r="C1549">
        <v>0</v>
      </c>
      <c r="D1549">
        <v>0</v>
      </c>
      <c r="E1549">
        <v>0</v>
      </c>
      <c r="F1549">
        <v>0</v>
      </c>
      <c r="G1549">
        <v>0</v>
      </c>
      <c r="H1549">
        <v>0</v>
      </c>
      <c r="I1549" s="2" t="s">
        <v>304</v>
      </c>
    </row>
    <row r="1550" spans="1:9" x14ac:dyDescent="0.3">
      <c r="A1550">
        <v>2667</v>
      </c>
      <c r="B1550">
        <v>0</v>
      </c>
      <c r="C1550">
        <v>0</v>
      </c>
      <c r="D1550">
        <v>0</v>
      </c>
      <c r="E1550">
        <v>0</v>
      </c>
      <c r="F1550">
        <v>0</v>
      </c>
      <c r="G1550">
        <v>0</v>
      </c>
      <c r="H1550">
        <v>0</v>
      </c>
      <c r="I1550" s="2" t="s">
        <v>304</v>
      </c>
    </row>
    <row r="1551" spans="1:9" x14ac:dyDescent="0.3">
      <c r="A1551">
        <v>2853</v>
      </c>
      <c r="B1551">
        <v>0</v>
      </c>
      <c r="C1551">
        <v>0</v>
      </c>
      <c r="D1551">
        <v>0</v>
      </c>
      <c r="E1551">
        <v>0</v>
      </c>
      <c r="F1551">
        <v>0</v>
      </c>
      <c r="G1551">
        <v>0</v>
      </c>
      <c r="H1551">
        <v>0</v>
      </c>
      <c r="I1551" s="2" t="s">
        <v>304</v>
      </c>
    </row>
    <row r="1552" spans="1:9" x14ac:dyDescent="0.3">
      <c r="A1552">
        <v>1058</v>
      </c>
      <c r="B1552">
        <v>0</v>
      </c>
      <c r="C1552">
        <v>0</v>
      </c>
      <c r="D1552">
        <v>0</v>
      </c>
      <c r="E1552">
        <v>0</v>
      </c>
      <c r="F1552">
        <v>0</v>
      </c>
      <c r="G1552">
        <v>0</v>
      </c>
      <c r="H1552">
        <v>0</v>
      </c>
      <c r="I1552" s="2" t="s">
        <v>305</v>
      </c>
    </row>
    <row r="1553" spans="1:9" x14ac:dyDescent="0.3">
      <c r="A1553">
        <v>1117</v>
      </c>
      <c r="B1553">
        <v>0</v>
      </c>
      <c r="C1553">
        <v>0</v>
      </c>
      <c r="D1553">
        <v>0</v>
      </c>
      <c r="E1553">
        <v>0</v>
      </c>
      <c r="F1553">
        <v>0</v>
      </c>
      <c r="G1553">
        <v>0</v>
      </c>
      <c r="H1553">
        <v>0</v>
      </c>
      <c r="I1553" s="2" t="s">
        <v>305</v>
      </c>
    </row>
    <row r="1554" spans="1:9" x14ac:dyDescent="0.3">
      <c r="A1554">
        <v>1182</v>
      </c>
      <c r="B1554">
        <v>0</v>
      </c>
      <c r="C1554">
        <v>0</v>
      </c>
      <c r="D1554">
        <v>0</v>
      </c>
      <c r="E1554">
        <v>0</v>
      </c>
      <c r="F1554">
        <v>0</v>
      </c>
      <c r="G1554">
        <v>0</v>
      </c>
      <c r="H1554">
        <v>0</v>
      </c>
      <c r="I1554" s="2" t="s">
        <v>305</v>
      </c>
    </row>
    <row r="1555" spans="1:9" x14ac:dyDescent="0.3">
      <c r="A1555">
        <v>1459</v>
      </c>
      <c r="B1555">
        <v>0</v>
      </c>
      <c r="C1555">
        <v>0</v>
      </c>
      <c r="D1555">
        <v>0</v>
      </c>
      <c r="E1555">
        <v>0</v>
      </c>
      <c r="F1555">
        <v>0</v>
      </c>
      <c r="G1555">
        <v>0</v>
      </c>
      <c r="H1555">
        <v>0</v>
      </c>
      <c r="I1555" s="2" t="s">
        <v>305</v>
      </c>
    </row>
    <row r="1556" spans="1:9" x14ac:dyDescent="0.3">
      <c r="A1556">
        <v>2710</v>
      </c>
      <c r="B1556">
        <v>0</v>
      </c>
      <c r="C1556">
        <v>0</v>
      </c>
      <c r="D1556">
        <v>0</v>
      </c>
      <c r="E1556">
        <v>0</v>
      </c>
      <c r="F1556">
        <v>0</v>
      </c>
      <c r="G1556">
        <v>0</v>
      </c>
      <c r="H1556">
        <v>0</v>
      </c>
      <c r="I1556" s="2" t="s">
        <v>305</v>
      </c>
    </row>
    <row r="1557" spans="1:9" x14ac:dyDescent="0.3">
      <c r="A1557">
        <v>2426</v>
      </c>
      <c r="B1557">
        <v>0</v>
      </c>
      <c r="C1557">
        <v>0</v>
      </c>
      <c r="D1557">
        <v>0</v>
      </c>
      <c r="E1557">
        <v>0</v>
      </c>
      <c r="F1557">
        <v>0</v>
      </c>
      <c r="G1557">
        <v>0</v>
      </c>
      <c r="H1557">
        <v>0</v>
      </c>
      <c r="I1557" s="2" t="s">
        <v>306</v>
      </c>
    </row>
    <row r="1558" spans="1:9" x14ac:dyDescent="0.3">
      <c r="A1558">
        <v>2704</v>
      </c>
      <c r="B1558">
        <v>0</v>
      </c>
      <c r="C1558">
        <v>0</v>
      </c>
      <c r="D1558">
        <v>0</v>
      </c>
      <c r="E1558">
        <v>0</v>
      </c>
      <c r="F1558">
        <v>0</v>
      </c>
      <c r="G1558">
        <v>0</v>
      </c>
      <c r="H1558">
        <v>0</v>
      </c>
      <c r="I1558" s="2" t="s">
        <v>306</v>
      </c>
    </row>
    <row r="1559" spans="1:9" x14ac:dyDescent="0.3">
      <c r="A1559">
        <v>2807</v>
      </c>
      <c r="B1559">
        <v>0</v>
      </c>
      <c r="C1559">
        <v>0</v>
      </c>
      <c r="D1559">
        <v>0</v>
      </c>
      <c r="E1559">
        <v>0</v>
      </c>
      <c r="F1559">
        <v>0</v>
      </c>
      <c r="G1559">
        <v>0</v>
      </c>
      <c r="H1559">
        <v>0</v>
      </c>
      <c r="I1559" s="2" t="s">
        <v>306</v>
      </c>
    </row>
    <row r="1560" spans="1:9" x14ac:dyDescent="0.3">
      <c r="A1560">
        <v>1435</v>
      </c>
      <c r="B1560">
        <v>0</v>
      </c>
      <c r="C1560">
        <v>0</v>
      </c>
      <c r="D1560">
        <v>0</v>
      </c>
      <c r="E1560">
        <v>0</v>
      </c>
      <c r="F1560">
        <v>0</v>
      </c>
      <c r="G1560">
        <v>0</v>
      </c>
      <c r="H1560">
        <v>0</v>
      </c>
      <c r="I1560" s="2" t="s">
        <v>307</v>
      </c>
    </row>
    <row r="1561" spans="1:9" x14ac:dyDescent="0.3">
      <c r="A1561">
        <v>2033</v>
      </c>
      <c r="B1561">
        <v>0</v>
      </c>
      <c r="C1561">
        <v>0</v>
      </c>
      <c r="D1561">
        <v>0</v>
      </c>
      <c r="E1561">
        <v>0</v>
      </c>
      <c r="F1561">
        <v>0</v>
      </c>
      <c r="G1561">
        <v>0</v>
      </c>
      <c r="H1561">
        <v>0</v>
      </c>
      <c r="I1561" s="2" t="s">
        <v>307</v>
      </c>
    </row>
    <row r="1562" spans="1:9" x14ac:dyDescent="0.3">
      <c r="A1562">
        <v>2323</v>
      </c>
      <c r="B1562">
        <v>0</v>
      </c>
      <c r="C1562">
        <v>0</v>
      </c>
      <c r="D1562">
        <v>0</v>
      </c>
      <c r="E1562">
        <v>0</v>
      </c>
      <c r="F1562">
        <v>0</v>
      </c>
      <c r="G1562">
        <v>0</v>
      </c>
      <c r="H1562">
        <v>0</v>
      </c>
      <c r="I1562" s="2" t="s">
        <v>307</v>
      </c>
    </row>
    <row r="1563" spans="1:9" x14ac:dyDescent="0.3">
      <c r="A1563">
        <v>2891</v>
      </c>
      <c r="B1563">
        <v>0</v>
      </c>
      <c r="C1563">
        <v>0</v>
      </c>
      <c r="D1563">
        <v>0</v>
      </c>
      <c r="E1563">
        <v>0</v>
      </c>
      <c r="F1563">
        <v>0</v>
      </c>
      <c r="G1563">
        <v>0</v>
      </c>
      <c r="H1563">
        <v>0</v>
      </c>
      <c r="I1563" s="2" t="s">
        <v>307</v>
      </c>
    </row>
    <row r="1564" spans="1:9" x14ac:dyDescent="0.3">
      <c r="A1564">
        <v>2999</v>
      </c>
      <c r="B1564">
        <v>0</v>
      </c>
      <c r="C1564">
        <v>0</v>
      </c>
      <c r="D1564">
        <v>0</v>
      </c>
      <c r="E1564">
        <v>0</v>
      </c>
      <c r="F1564">
        <v>0</v>
      </c>
      <c r="G1564">
        <v>0</v>
      </c>
      <c r="H1564">
        <v>0</v>
      </c>
      <c r="I1564" s="2" t="s">
        <v>307</v>
      </c>
    </row>
    <row r="1565" spans="1:9" x14ac:dyDescent="0.3">
      <c r="A1565">
        <v>3054</v>
      </c>
      <c r="B1565">
        <v>0</v>
      </c>
      <c r="C1565">
        <v>0</v>
      </c>
      <c r="D1565">
        <v>0</v>
      </c>
      <c r="E1565">
        <v>0</v>
      </c>
      <c r="F1565">
        <v>0</v>
      </c>
      <c r="G1565">
        <v>0</v>
      </c>
      <c r="H1565">
        <v>0</v>
      </c>
      <c r="I1565" s="2" t="s">
        <v>307</v>
      </c>
    </row>
    <row r="1566" spans="1:9" x14ac:dyDescent="0.3">
      <c r="A1566">
        <v>3172</v>
      </c>
      <c r="B1566">
        <v>0</v>
      </c>
      <c r="C1566">
        <v>0</v>
      </c>
      <c r="D1566">
        <v>0</v>
      </c>
      <c r="E1566">
        <v>0</v>
      </c>
      <c r="F1566">
        <v>0</v>
      </c>
      <c r="G1566">
        <v>0</v>
      </c>
      <c r="H1566">
        <v>0</v>
      </c>
      <c r="I1566" s="2" t="s">
        <v>307</v>
      </c>
    </row>
    <row r="1567" spans="1:9" x14ac:dyDescent="0.3">
      <c r="A1567">
        <v>1514</v>
      </c>
      <c r="B1567">
        <v>0</v>
      </c>
      <c r="C1567">
        <v>0</v>
      </c>
      <c r="D1567">
        <v>0</v>
      </c>
      <c r="E1567">
        <v>0</v>
      </c>
      <c r="F1567">
        <v>0</v>
      </c>
      <c r="G1567">
        <v>0</v>
      </c>
      <c r="H1567">
        <v>0</v>
      </c>
      <c r="I1567" s="2" t="s">
        <v>308</v>
      </c>
    </row>
    <row r="1568" spans="1:9" x14ac:dyDescent="0.3">
      <c r="A1568">
        <v>2211</v>
      </c>
      <c r="B1568">
        <v>0</v>
      </c>
      <c r="C1568">
        <v>0</v>
      </c>
      <c r="D1568">
        <v>0</v>
      </c>
      <c r="E1568">
        <v>0</v>
      </c>
      <c r="F1568">
        <v>0</v>
      </c>
      <c r="G1568">
        <v>0</v>
      </c>
      <c r="H1568">
        <v>0</v>
      </c>
      <c r="I1568" s="2" t="s">
        <v>308</v>
      </c>
    </row>
    <row r="1569" spans="1:9" x14ac:dyDescent="0.3">
      <c r="A1569">
        <v>2802</v>
      </c>
      <c r="B1569">
        <v>0</v>
      </c>
      <c r="C1569">
        <v>0</v>
      </c>
      <c r="D1569">
        <v>0</v>
      </c>
      <c r="E1569">
        <v>0</v>
      </c>
      <c r="F1569">
        <v>0</v>
      </c>
      <c r="G1569">
        <v>0</v>
      </c>
      <c r="H1569">
        <v>1</v>
      </c>
      <c r="I1569" s="2" t="s">
        <v>308</v>
      </c>
    </row>
    <row r="1570" spans="1:9" x14ac:dyDescent="0.3">
      <c r="A1570">
        <v>1815</v>
      </c>
      <c r="B1570">
        <v>0</v>
      </c>
      <c r="C1570">
        <v>0</v>
      </c>
      <c r="D1570">
        <v>0</v>
      </c>
      <c r="E1570">
        <v>0</v>
      </c>
      <c r="F1570">
        <v>0</v>
      </c>
      <c r="G1570">
        <v>0</v>
      </c>
      <c r="H1570">
        <v>0</v>
      </c>
      <c r="I1570" s="2" t="s">
        <v>309</v>
      </c>
    </row>
    <row r="1571" spans="1:9" x14ac:dyDescent="0.3">
      <c r="A1571">
        <v>1858</v>
      </c>
      <c r="B1571">
        <v>0</v>
      </c>
      <c r="C1571">
        <v>0</v>
      </c>
      <c r="D1571">
        <v>0</v>
      </c>
      <c r="E1571">
        <v>0</v>
      </c>
      <c r="F1571">
        <v>0</v>
      </c>
      <c r="G1571">
        <v>0</v>
      </c>
      <c r="H1571">
        <v>0</v>
      </c>
      <c r="I1571" s="2" t="s">
        <v>309</v>
      </c>
    </row>
    <row r="1572" spans="1:9" x14ac:dyDescent="0.3">
      <c r="A1572">
        <v>2034</v>
      </c>
      <c r="B1572">
        <v>0</v>
      </c>
      <c r="C1572">
        <v>0</v>
      </c>
      <c r="D1572">
        <v>0</v>
      </c>
      <c r="E1572">
        <v>0</v>
      </c>
      <c r="F1572">
        <v>0</v>
      </c>
      <c r="G1572">
        <v>0</v>
      </c>
      <c r="H1572">
        <v>1</v>
      </c>
      <c r="I1572" s="2" t="s">
        <v>309</v>
      </c>
    </row>
    <row r="1573" spans="1:9" x14ac:dyDescent="0.3">
      <c r="A1573">
        <v>2305</v>
      </c>
      <c r="B1573">
        <v>0</v>
      </c>
      <c r="C1573">
        <v>0</v>
      </c>
      <c r="D1573">
        <v>0</v>
      </c>
      <c r="E1573">
        <v>0</v>
      </c>
      <c r="F1573">
        <v>0</v>
      </c>
      <c r="G1573">
        <v>0</v>
      </c>
      <c r="H1573">
        <v>0</v>
      </c>
      <c r="I1573" s="2" t="s">
        <v>309</v>
      </c>
    </row>
    <row r="1574" spans="1:9" x14ac:dyDescent="0.3">
      <c r="A1574">
        <v>2415</v>
      </c>
      <c r="B1574">
        <v>0</v>
      </c>
      <c r="C1574">
        <v>0</v>
      </c>
      <c r="D1574">
        <v>0</v>
      </c>
      <c r="E1574">
        <v>0</v>
      </c>
      <c r="F1574">
        <v>0</v>
      </c>
      <c r="G1574">
        <v>0</v>
      </c>
      <c r="H1574">
        <v>0</v>
      </c>
      <c r="I1574" s="2" t="s">
        <v>309</v>
      </c>
    </row>
    <row r="1575" spans="1:9" x14ac:dyDescent="0.3">
      <c r="A1575">
        <v>2536</v>
      </c>
      <c r="B1575">
        <v>0</v>
      </c>
      <c r="C1575">
        <v>0</v>
      </c>
      <c r="D1575">
        <v>0</v>
      </c>
      <c r="E1575">
        <v>0</v>
      </c>
      <c r="F1575">
        <v>0</v>
      </c>
      <c r="G1575">
        <v>0</v>
      </c>
      <c r="H1575">
        <v>0</v>
      </c>
      <c r="I1575" s="2" t="s">
        <v>309</v>
      </c>
    </row>
    <row r="1576" spans="1:9" x14ac:dyDescent="0.3">
      <c r="A1576">
        <v>2567</v>
      </c>
      <c r="B1576">
        <v>0</v>
      </c>
      <c r="C1576">
        <v>0</v>
      </c>
      <c r="D1576">
        <v>0</v>
      </c>
      <c r="E1576">
        <v>0</v>
      </c>
      <c r="F1576">
        <v>0</v>
      </c>
      <c r="G1576">
        <v>0</v>
      </c>
      <c r="H1576">
        <v>0</v>
      </c>
      <c r="I1576" s="2" t="s">
        <v>309</v>
      </c>
    </row>
    <row r="1577" spans="1:9" x14ac:dyDescent="0.3">
      <c r="A1577">
        <v>2789</v>
      </c>
      <c r="B1577">
        <v>0</v>
      </c>
      <c r="C1577">
        <v>0</v>
      </c>
      <c r="D1577">
        <v>0</v>
      </c>
      <c r="E1577">
        <v>0</v>
      </c>
      <c r="F1577">
        <v>0</v>
      </c>
      <c r="G1577">
        <v>0</v>
      </c>
      <c r="H1577">
        <v>0</v>
      </c>
      <c r="I1577" s="2" t="s">
        <v>309</v>
      </c>
    </row>
    <row r="1578" spans="1:9" x14ac:dyDescent="0.3">
      <c r="A1578">
        <v>2945</v>
      </c>
      <c r="B1578">
        <v>1</v>
      </c>
      <c r="C1578">
        <v>0</v>
      </c>
      <c r="D1578">
        <v>0</v>
      </c>
      <c r="E1578">
        <v>0</v>
      </c>
      <c r="F1578">
        <v>0</v>
      </c>
      <c r="G1578">
        <v>0</v>
      </c>
      <c r="H1578">
        <v>0</v>
      </c>
      <c r="I1578" s="2" t="s">
        <v>309</v>
      </c>
    </row>
    <row r="1579" spans="1:9" x14ac:dyDescent="0.3">
      <c r="A1579">
        <v>2986</v>
      </c>
      <c r="B1579">
        <v>0</v>
      </c>
      <c r="C1579">
        <v>0</v>
      </c>
      <c r="D1579">
        <v>0</v>
      </c>
      <c r="E1579">
        <v>0</v>
      </c>
      <c r="F1579">
        <v>0</v>
      </c>
      <c r="G1579">
        <v>0</v>
      </c>
      <c r="H1579">
        <v>0</v>
      </c>
      <c r="I1579" s="2" t="s">
        <v>309</v>
      </c>
    </row>
    <row r="1580" spans="1:9" x14ac:dyDescent="0.3">
      <c r="A1580">
        <v>3134</v>
      </c>
      <c r="B1580">
        <v>0</v>
      </c>
      <c r="C1580">
        <v>0</v>
      </c>
      <c r="D1580">
        <v>0</v>
      </c>
      <c r="E1580">
        <v>0</v>
      </c>
      <c r="F1580">
        <v>0</v>
      </c>
      <c r="G1580">
        <v>0</v>
      </c>
      <c r="H1580">
        <v>0</v>
      </c>
      <c r="I1580" s="2" t="s">
        <v>309</v>
      </c>
    </row>
    <row r="1581" spans="1:9" x14ac:dyDescent="0.3">
      <c r="A1581">
        <v>1314</v>
      </c>
      <c r="B1581">
        <v>0</v>
      </c>
      <c r="C1581">
        <v>0</v>
      </c>
      <c r="D1581">
        <v>0</v>
      </c>
      <c r="E1581">
        <v>0</v>
      </c>
      <c r="F1581">
        <v>0</v>
      </c>
      <c r="G1581">
        <v>0</v>
      </c>
      <c r="H1581">
        <v>0</v>
      </c>
      <c r="I1581" s="2" t="s">
        <v>310</v>
      </c>
    </row>
    <row r="1582" spans="1:9" x14ac:dyDescent="0.3">
      <c r="A1582">
        <v>1704</v>
      </c>
      <c r="B1582">
        <v>0</v>
      </c>
      <c r="C1582">
        <v>0</v>
      </c>
      <c r="D1582">
        <v>0</v>
      </c>
      <c r="E1582">
        <v>0</v>
      </c>
      <c r="F1582">
        <v>0</v>
      </c>
      <c r="G1582">
        <v>0</v>
      </c>
      <c r="H1582">
        <v>0</v>
      </c>
      <c r="I1582" s="2" t="s">
        <v>310</v>
      </c>
    </row>
    <row r="1583" spans="1:9" x14ac:dyDescent="0.3">
      <c r="A1583">
        <v>1984</v>
      </c>
      <c r="B1583">
        <v>0</v>
      </c>
      <c r="C1583">
        <v>0</v>
      </c>
      <c r="D1583">
        <v>0</v>
      </c>
      <c r="E1583">
        <v>0</v>
      </c>
      <c r="F1583">
        <v>0</v>
      </c>
      <c r="G1583">
        <v>0</v>
      </c>
      <c r="H1583">
        <v>0</v>
      </c>
      <c r="I1583" s="2" t="s">
        <v>310</v>
      </c>
    </row>
    <row r="1584" spans="1:9" x14ac:dyDescent="0.3">
      <c r="A1584">
        <v>2390</v>
      </c>
      <c r="B1584">
        <v>0</v>
      </c>
      <c r="C1584">
        <v>0</v>
      </c>
      <c r="D1584">
        <v>0</v>
      </c>
      <c r="E1584">
        <v>0</v>
      </c>
      <c r="F1584">
        <v>0</v>
      </c>
      <c r="G1584">
        <v>0</v>
      </c>
      <c r="H1584">
        <v>0</v>
      </c>
      <c r="I1584" s="2" t="s">
        <v>310</v>
      </c>
    </row>
    <row r="1585" spans="1:9" x14ac:dyDescent="0.3">
      <c r="A1585">
        <v>2442</v>
      </c>
      <c r="B1585">
        <v>0</v>
      </c>
      <c r="C1585">
        <v>0</v>
      </c>
      <c r="D1585">
        <v>0</v>
      </c>
      <c r="E1585">
        <v>0</v>
      </c>
      <c r="F1585">
        <v>0</v>
      </c>
      <c r="G1585">
        <v>0</v>
      </c>
      <c r="H1585">
        <v>0</v>
      </c>
      <c r="I1585" s="2" t="s">
        <v>310</v>
      </c>
    </row>
    <row r="1586" spans="1:9" x14ac:dyDescent="0.3">
      <c r="A1586">
        <v>2982</v>
      </c>
      <c r="B1586">
        <v>1</v>
      </c>
      <c r="C1586">
        <v>0</v>
      </c>
      <c r="D1586">
        <v>0</v>
      </c>
      <c r="E1586">
        <v>0</v>
      </c>
      <c r="F1586">
        <v>0</v>
      </c>
      <c r="G1586">
        <v>0</v>
      </c>
      <c r="H1586">
        <v>0</v>
      </c>
      <c r="I1586" s="2" t="s">
        <v>310</v>
      </c>
    </row>
    <row r="1587" spans="1:9" x14ac:dyDescent="0.3">
      <c r="A1587">
        <v>3178</v>
      </c>
      <c r="B1587">
        <v>0</v>
      </c>
      <c r="C1587">
        <v>0</v>
      </c>
      <c r="D1587">
        <v>0</v>
      </c>
      <c r="E1587">
        <v>0</v>
      </c>
      <c r="F1587">
        <v>0</v>
      </c>
      <c r="G1587">
        <v>0</v>
      </c>
      <c r="H1587">
        <v>0</v>
      </c>
      <c r="I1587" s="2" t="s">
        <v>310</v>
      </c>
    </row>
    <row r="1588" spans="1:9" x14ac:dyDescent="0.3">
      <c r="A1588">
        <v>2451</v>
      </c>
      <c r="B1588">
        <v>0</v>
      </c>
      <c r="C1588">
        <v>0</v>
      </c>
      <c r="D1588">
        <v>0</v>
      </c>
      <c r="E1588">
        <v>0</v>
      </c>
      <c r="F1588">
        <v>0</v>
      </c>
      <c r="G1588">
        <v>0</v>
      </c>
      <c r="H1588">
        <v>0</v>
      </c>
      <c r="I1588" s="2" t="s">
        <v>311</v>
      </c>
    </row>
    <row r="1589" spans="1:9" x14ac:dyDescent="0.3">
      <c r="A1589">
        <v>2653</v>
      </c>
      <c r="B1589">
        <v>0</v>
      </c>
      <c r="C1589">
        <v>0</v>
      </c>
      <c r="D1589">
        <v>0</v>
      </c>
      <c r="E1589">
        <v>0</v>
      </c>
      <c r="F1589">
        <v>0</v>
      </c>
      <c r="G1589">
        <v>0</v>
      </c>
      <c r="H1589">
        <v>0</v>
      </c>
      <c r="I1589" s="2" t="s">
        <v>311</v>
      </c>
    </row>
    <row r="1590" spans="1:9" x14ac:dyDescent="0.3">
      <c r="A1590">
        <v>2728</v>
      </c>
      <c r="B1590">
        <v>0</v>
      </c>
      <c r="C1590">
        <v>1</v>
      </c>
      <c r="D1590">
        <v>0</v>
      </c>
      <c r="E1590">
        <v>0</v>
      </c>
      <c r="F1590">
        <v>0</v>
      </c>
      <c r="G1590">
        <v>0</v>
      </c>
      <c r="H1590">
        <v>1</v>
      </c>
      <c r="I1590" s="2" t="s">
        <v>311</v>
      </c>
    </row>
    <row r="1591" spans="1:9" x14ac:dyDescent="0.3">
      <c r="A1591">
        <v>2924</v>
      </c>
      <c r="B1591">
        <v>0</v>
      </c>
      <c r="C1591">
        <v>0</v>
      </c>
      <c r="D1591">
        <v>0</v>
      </c>
      <c r="E1591">
        <v>0</v>
      </c>
      <c r="F1591">
        <v>0</v>
      </c>
      <c r="G1591">
        <v>0</v>
      </c>
      <c r="H1591">
        <v>0</v>
      </c>
      <c r="I1591" s="2" t="s">
        <v>311</v>
      </c>
    </row>
    <row r="1592" spans="1:9" x14ac:dyDescent="0.3">
      <c r="A1592">
        <v>2959</v>
      </c>
      <c r="B1592">
        <v>0</v>
      </c>
      <c r="C1592">
        <v>0</v>
      </c>
      <c r="D1592">
        <v>0</v>
      </c>
      <c r="E1592">
        <v>0</v>
      </c>
      <c r="F1592">
        <v>0</v>
      </c>
      <c r="G1592">
        <v>0</v>
      </c>
      <c r="H1592">
        <v>0</v>
      </c>
      <c r="I1592" s="2" t="s">
        <v>311</v>
      </c>
    </row>
    <row r="1593" spans="1:9" x14ac:dyDescent="0.3">
      <c r="A1593">
        <v>1267</v>
      </c>
      <c r="B1593">
        <v>0</v>
      </c>
      <c r="C1593">
        <v>0</v>
      </c>
      <c r="D1593">
        <v>0</v>
      </c>
      <c r="E1593">
        <v>0</v>
      </c>
      <c r="F1593">
        <v>0</v>
      </c>
      <c r="G1593">
        <v>0</v>
      </c>
      <c r="H1593">
        <v>0</v>
      </c>
      <c r="I1593" s="2" t="s">
        <v>312</v>
      </c>
    </row>
    <row r="1594" spans="1:9" x14ac:dyDescent="0.3">
      <c r="A1594">
        <v>1698</v>
      </c>
      <c r="B1594">
        <v>0</v>
      </c>
      <c r="C1594">
        <v>0</v>
      </c>
      <c r="D1594">
        <v>0</v>
      </c>
      <c r="E1594">
        <v>0</v>
      </c>
      <c r="F1594">
        <v>0</v>
      </c>
      <c r="G1594">
        <v>0</v>
      </c>
      <c r="H1594">
        <v>0</v>
      </c>
      <c r="I1594" s="2" t="s">
        <v>312</v>
      </c>
    </row>
    <row r="1595" spans="1:9" x14ac:dyDescent="0.3">
      <c r="A1595">
        <v>2476</v>
      </c>
      <c r="B1595">
        <v>0</v>
      </c>
      <c r="C1595">
        <v>0</v>
      </c>
      <c r="D1595">
        <v>0</v>
      </c>
      <c r="E1595">
        <v>0</v>
      </c>
      <c r="F1595">
        <v>0</v>
      </c>
      <c r="G1595">
        <v>0</v>
      </c>
      <c r="H1595">
        <v>0</v>
      </c>
      <c r="I1595" s="2" t="s">
        <v>312</v>
      </c>
    </row>
    <row r="1596" spans="1:9" x14ac:dyDescent="0.3">
      <c r="A1596">
        <v>2815</v>
      </c>
      <c r="B1596">
        <v>0</v>
      </c>
      <c r="C1596">
        <v>0</v>
      </c>
      <c r="D1596">
        <v>0</v>
      </c>
      <c r="E1596">
        <v>0</v>
      </c>
      <c r="F1596">
        <v>0</v>
      </c>
      <c r="G1596">
        <v>0</v>
      </c>
      <c r="H1596">
        <v>0</v>
      </c>
      <c r="I1596" s="2" t="s">
        <v>312</v>
      </c>
    </row>
    <row r="1597" spans="1:9" x14ac:dyDescent="0.3">
      <c r="A1597">
        <v>1936</v>
      </c>
      <c r="B1597">
        <v>0</v>
      </c>
      <c r="C1597">
        <v>0</v>
      </c>
      <c r="D1597">
        <v>0</v>
      </c>
      <c r="E1597">
        <v>0</v>
      </c>
      <c r="F1597">
        <v>0</v>
      </c>
      <c r="G1597">
        <v>0</v>
      </c>
      <c r="H1597">
        <v>0</v>
      </c>
      <c r="I1597" s="2" t="s">
        <v>313</v>
      </c>
    </row>
    <row r="1598" spans="1:9" x14ac:dyDescent="0.3">
      <c r="A1598">
        <v>2269</v>
      </c>
      <c r="B1598">
        <v>1</v>
      </c>
      <c r="C1598">
        <v>0</v>
      </c>
      <c r="D1598">
        <v>1</v>
      </c>
      <c r="E1598">
        <v>1</v>
      </c>
      <c r="F1598">
        <v>0</v>
      </c>
      <c r="G1598">
        <v>0</v>
      </c>
      <c r="H1598">
        <v>1</v>
      </c>
      <c r="I1598" s="2" t="s">
        <v>313</v>
      </c>
    </row>
    <row r="1599" spans="1:9" x14ac:dyDescent="0.3">
      <c r="A1599">
        <v>2326</v>
      </c>
      <c r="B1599">
        <v>0</v>
      </c>
      <c r="C1599">
        <v>0</v>
      </c>
      <c r="D1599">
        <v>0</v>
      </c>
      <c r="E1599">
        <v>0</v>
      </c>
      <c r="F1599">
        <v>0</v>
      </c>
      <c r="G1599">
        <v>0</v>
      </c>
      <c r="H1599">
        <v>0</v>
      </c>
      <c r="I1599" s="2" t="s">
        <v>313</v>
      </c>
    </row>
    <row r="1600" spans="1:9" x14ac:dyDescent="0.3">
      <c r="A1600">
        <v>1736</v>
      </c>
      <c r="B1600">
        <v>0</v>
      </c>
      <c r="C1600">
        <v>0</v>
      </c>
      <c r="D1600">
        <v>0</v>
      </c>
      <c r="E1600">
        <v>0</v>
      </c>
      <c r="F1600">
        <v>0</v>
      </c>
      <c r="G1600">
        <v>0</v>
      </c>
      <c r="H1600">
        <v>0</v>
      </c>
      <c r="I1600" s="2" t="s">
        <v>314</v>
      </c>
    </row>
    <row r="1601" spans="1:10" x14ac:dyDescent="0.3">
      <c r="A1601">
        <v>1871</v>
      </c>
      <c r="B1601">
        <v>1</v>
      </c>
      <c r="C1601">
        <v>0</v>
      </c>
      <c r="D1601">
        <v>0</v>
      </c>
      <c r="E1601">
        <v>0</v>
      </c>
      <c r="F1601">
        <v>0</v>
      </c>
      <c r="G1601">
        <v>0</v>
      </c>
      <c r="H1601">
        <v>0</v>
      </c>
      <c r="I1601" s="2" t="s">
        <v>314</v>
      </c>
    </row>
    <row r="1602" spans="1:10" x14ac:dyDescent="0.3">
      <c r="A1602">
        <v>2248</v>
      </c>
      <c r="B1602">
        <v>0</v>
      </c>
      <c r="C1602">
        <v>0</v>
      </c>
      <c r="D1602">
        <v>0</v>
      </c>
      <c r="E1602">
        <v>0</v>
      </c>
      <c r="F1602">
        <v>0</v>
      </c>
      <c r="G1602">
        <v>0</v>
      </c>
      <c r="H1602">
        <v>0</v>
      </c>
      <c r="I1602" s="2" t="s">
        <v>315</v>
      </c>
    </row>
    <row r="1603" spans="1:10" x14ac:dyDescent="0.3">
      <c r="A1603">
        <v>3014</v>
      </c>
      <c r="B1603">
        <v>1</v>
      </c>
      <c r="C1603">
        <v>0</v>
      </c>
      <c r="D1603">
        <v>0</v>
      </c>
      <c r="E1603">
        <v>0</v>
      </c>
      <c r="F1603">
        <v>0</v>
      </c>
      <c r="G1603">
        <v>0</v>
      </c>
      <c r="H1603">
        <v>0</v>
      </c>
      <c r="I1603" s="2" t="s">
        <v>315</v>
      </c>
    </row>
    <row r="1604" spans="1:10" x14ac:dyDescent="0.3">
      <c r="A1604">
        <v>1308</v>
      </c>
      <c r="B1604">
        <v>0</v>
      </c>
      <c r="C1604">
        <v>0</v>
      </c>
      <c r="D1604">
        <v>0</v>
      </c>
      <c r="E1604">
        <v>0</v>
      </c>
      <c r="F1604">
        <v>0</v>
      </c>
      <c r="G1604">
        <v>0</v>
      </c>
      <c r="H1604">
        <v>0</v>
      </c>
      <c r="I1604" s="2" t="s">
        <v>316</v>
      </c>
    </row>
    <row r="1605" spans="1:10" x14ac:dyDescent="0.3">
      <c r="A1605">
        <v>1423</v>
      </c>
      <c r="B1605">
        <v>0</v>
      </c>
      <c r="C1605">
        <v>0</v>
      </c>
      <c r="D1605">
        <v>0</v>
      </c>
      <c r="E1605">
        <v>0</v>
      </c>
      <c r="F1605">
        <v>0</v>
      </c>
      <c r="G1605">
        <v>0</v>
      </c>
      <c r="H1605">
        <v>0</v>
      </c>
      <c r="I1605" s="2" t="s">
        <v>316</v>
      </c>
    </row>
    <row r="1606" spans="1:10" x14ac:dyDescent="0.3">
      <c r="A1606">
        <v>1261</v>
      </c>
      <c r="B1606">
        <v>0</v>
      </c>
      <c r="C1606">
        <v>0</v>
      </c>
      <c r="D1606">
        <v>0</v>
      </c>
      <c r="E1606">
        <v>0</v>
      </c>
      <c r="F1606">
        <v>0</v>
      </c>
      <c r="G1606">
        <v>0</v>
      </c>
      <c r="H1606">
        <v>0</v>
      </c>
      <c r="I1606" s="2" t="s">
        <v>317</v>
      </c>
    </row>
    <row r="1607" spans="1:10" x14ac:dyDescent="0.3">
      <c r="A1607">
        <v>1299</v>
      </c>
      <c r="B1607">
        <v>0</v>
      </c>
      <c r="C1607">
        <v>0</v>
      </c>
      <c r="D1607">
        <v>0</v>
      </c>
      <c r="E1607">
        <v>0</v>
      </c>
      <c r="F1607">
        <v>0</v>
      </c>
      <c r="G1607">
        <v>0</v>
      </c>
      <c r="H1607">
        <v>0</v>
      </c>
      <c r="I1607" s="2" t="s">
        <v>317</v>
      </c>
    </row>
    <row r="1608" spans="1:10" x14ac:dyDescent="0.3">
      <c r="A1608">
        <v>1881</v>
      </c>
      <c r="B1608">
        <v>0</v>
      </c>
      <c r="C1608">
        <v>0</v>
      </c>
      <c r="D1608">
        <v>0</v>
      </c>
      <c r="E1608">
        <v>0</v>
      </c>
      <c r="F1608">
        <v>0</v>
      </c>
      <c r="G1608">
        <v>0</v>
      </c>
      <c r="H1608">
        <v>0</v>
      </c>
      <c r="I1608" s="2" t="s">
        <v>317</v>
      </c>
    </row>
    <row r="1609" spans="1:10" x14ac:dyDescent="0.3">
      <c r="A1609">
        <v>2920</v>
      </c>
      <c r="B1609">
        <v>0</v>
      </c>
      <c r="C1609">
        <v>0</v>
      </c>
      <c r="D1609">
        <v>0</v>
      </c>
      <c r="E1609">
        <v>0</v>
      </c>
      <c r="F1609">
        <v>0</v>
      </c>
      <c r="G1609">
        <v>0</v>
      </c>
      <c r="H1609">
        <v>0</v>
      </c>
      <c r="I1609" s="2" t="s">
        <v>317</v>
      </c>
    </row>
    <row r="1610" spans="1:10" x14ac:dyDescent="0.3">
      <c r="A1610">
        <v>2961</v>
      </c>
      <c r="B1610">
        <v>0</v>
      </c>
      <c r="C1610">
        <v>0</v>
      </c>
      <c r="D1610">
        <v>0</v>
      </c>
      <c r="E1610">
        <v>0</v>
      </c>
      <c r="F1610">
        <v>0</v>
      </c>
      <c r="G1610">
        <v>0</v>
      </c>
      <c r="H1610">
        <v>0</v>
      </c>
      <c r="I1610" s="2" t="s">
        <v>317</v>
      </c>
    </row>
    <row r="1611" spans="1:10" x14ac:dyDescent="0.3">
      <c r="A1611">
        <v>1794</v>
      </c>
      <c r="B1611">
        <v>0</v>
      </c>
      <c r="C1611">
        <v>0</v>
      </c>
      <c r="D1611">
        <v>0</v>
      </c>
      <c r="E1611">
        <v>0</v>
      </c>
      <c r="F1611">
        <v>0</v>
      </c>
      <c r="G1611">
        <v>0</v>
      </c>
      <c r="H1611">
        <v>0</v>
      </c>
      <c r="I1611" s="2">
        <v>43806</v>
      </c>
      <c r="J1611" s="1"/>
    </row>
    <row r="1612" spans="1:10" x14ac:dyDescent="0.3">
      <c r="A1612">
        <v>2066</v>
      </c>
      <c r="B1612">
        <v>0</v>
      </c>
      <c r="C1612">
        <v>0</v>
      </c>
      <c r="D1612">
        <v>0</v>
      </c>
      <c r="E1612">
        <v>0</v>
      </c>
      <c r="F1612">
        <v>0</v>
      </c>
      <c r="G1612">
        <v>0</v>
      </c>
      <c r="H1612">
        <v>0</v>
      </c>
      <c r="I1612" s="2">
        <v>43806</v>
      </c>
      <c r="J1612" s="1"/>
    </row>
    <row r="1613" spans="1:10" x14ac:dyDescent="0.3">
      <c r="A1613">
        <v>1251</v>
      </c>
      <c r="B1613">
        <v>0</v>
      </c>
      <c r="C1613">
        <v>0</v>
      </c>
      <c r="D1613">
        <v>0</v>
      </c>
      <c r="E1613">
        <v>0</v>
      </c>
      <c r="F1613">
        <v>0</v>
      </c>
      <c r="G1613">
        <v>0</v>
      </c>
      <c r="H1613">
        <v>1</v>
      </c>
      <c r="I1613" s="2">
        <v>43776</v>
      </c>
      <c r="J1613" s="1"/>
    </row>
    <row r="1614" spans="1:10" x14ac:dyDescent="0.3">
      <c r="A1614">
        <v>1500</v>
      </c>
      <c r="B1614">
        <v>0</v>
      </c>
      <c r="C1614">
        <v>0</v>
      </c>
      <c r="D1614">
        <v>0</v>
      </c>
      <c r="E1614">
        <v>0</v>
      </c>
      <c r="F1614">
        <v>0</v>
      </c>
      <c r="G1614">
        <v>0</v>
      </c>
      <c r="H1614">
        <v>0</v>
      </c>
      <c r="I1614" s="2">
        <v>43776</v>
      </c>
      <c r="J1614" s="1"/>
    </row>
    <row r="1615" spans="1:10" x14ac:dyDescent="0.3">
      <c r="A1615">
        <v>1099</v>
      </c>
      <c r="B1615">
        <v>0</v>
      </c>
      <c r="C1615">
        <v>0</v>
      </c>
      <c r="D1615">
        <v>0</v>
      </c>
      <c r="E1615">
        <v>0</v>
      </c>
      <c r="F1615">
        <v>0</v>
      </c>
      <c r="G1615">
        <v>0</v>
      </c>
      <c r="H1615">
        <v>0</v>
      </c>
      <c r="I1615" s="2">
        <v>43745</v>
      </c>
      <c r="J1615" s="1"/>
    </row>
    <row r="1616" spans="1:10" x14ac:dyDescent="0.3">
      <c r="A1616">
        <v>1986</v>
      </c>
      <c r="B1616">
        <v>1</v>
      </c>
      <c r="C1616">
        <v>0</v>
      </c>
      <c r="D1616">
        <v>0</v>
      </c>
      <c r="E1616">
        <v>0</v>
      </c>
      <c r="F1616">
        <v>0</v>
      </c>
      <c r="G1616">
        <v>0</v>
      </c>
      <c r="H1616">
        <v>1</v>
      </c>
      <c r="I1616" s="2">
        <v>43745</v>
      </c>
      <c r="J1616" s="1"/>
    </row>
    <row r="1617" spans="1:10" x14ac:dyDescent="0.3">
      <c r="A1617">
        <v>2065</v>
      </c>
      <c r="B1617">
        <v>0</v>
      </c>
      <c r="C1617">
        <v>0</v>
      </c>
      <c r="D1617">
        <v>0</v>
      </c>
      <c r="E1617">
        <v>1</v>
      </c>
      <c r="F1617">
        <v>0</v>
      </c>
      <c r="G1617">
        <v>0</v>
      </c>
      <c r="H1617">
        <v>1</v>
      </c>
      <c r="I1617" s="2">
        <v>43745</v>
      </c>
      <c r="J1617" s="1"/>
    </row>
    <row r="1618" spans="1:10" x14ac:dyDescent="0.3">
      <c r="A1618">
        <v>2120</v>
      </c>
      <c r="B1618">
        <v>0</v>
      </c>
      <c r="C1618">
        <v>0</v>
      </c>
      <c r="D1618">
        <v>0</v>
      </c>
      <c r="E1618">
        <v>0</v>
      </c>
      <c r="F1618">
        <v>0</v>
      </c>
      <c r="G1618">
        <v>0</v>
      </c>
      <c r="H1618">
        <v>0</v>
      </c>
      <c r="I1618" s="2">
        <v>43745</v>
      </c>
      <c r="J1618" s="1"/>
    </row>
    <row r="1619" spans="1:10" x14ac:dyDescent="0.3">
      <c r="A1619">
        <v>1038</v>
      </c>
      <c r="B1619">
        <v>1</v>
      </c>
      <c r="C1619">
        <v>0</v>
      </c>
      <c r="D1619">
        <v>0</v>
      </c>
      <c r="E1619">
        <v>0</v>
      </c>
      <c r="F1619">
        <v>0</v>
      </c>
      <c r="G1619">
        <v>0</v>
      </c>
      <c r="H1619">
        <v>1</v>
      </c>
      <c r="I1619" s="2">
        <v>43715</v>
      </c>
      <c r="J1619" s="1"/>
    </row>
    <row r="1620" spans="1:10" x14ac:dyDescent="0.3">
      <c r="A1620">
        <v>1875</v>
      </c>
      <c r="B1620">
        <v>1</v>
      </c>
      <c r="C1620">
        <v>0</v>
      </c>
      <c r="D1620">
        <v>0</v>
      </c>
      <c r="E1620">
        <v>0</v>
      </c>
      <c r="F1620">
        <v>0</v>
      </c>
      <c r="G1620">
        <v>0</v>
      </c>
      <c r="H1620">
        <v>1</v>
      </c>
      <c r="I1620" s="2">
        <v>43715</v>
      </c>
      <c r="J1620" s="1"/>
    </row>
    <row r="1621" spans="1:10" x14ac:dyDescent="0.3">
      <c r="A1621">
        <v>3110</v>
      </c>
      <c r="B1621">
        <v>0</v>
      </c>
      <c r="C1621">
        <v>0</v>
      </c>
      <c r="D1621">
        <v>0</v>
      </c>
      <c r="E1621">
        <v>0</v>
      </c>
      <c r="F1621">
        <v>0</v>
      </c>
      <c r="G1621">
        <v>0</v>
      </c>
      <c r="H1621">
        <v>0</v>
      </c>
      <c r="I1621" s="2">
        <v>43715</v>
      </c>
      <c r="J1621" s="1"/>
    </row>
    <row r="1622" spans="1:10" x14ac:dyDescent="0.3">
      <c r="A1622">
        <v>1559</v>
      </c>
      <c r="B1622">
        <v>0</v>
      </c>
      <c r="C1622">
        <v>1</v>
      </c>
      <c r="D1622">
        <v>0</v>
      </c>
      <c r="E1622">
        <v>1</v>
      </c>
      <c r="F1622">
        <v>1</v>
      </c>
      <c r="G1622">
        <v>0</v>
      </c>
      <c r="H1622">
        <v>1</v>
      </c>
      <c r="I1622" s="2">
        <v>43684</v>
      </c>
      <c r="J1622" s="1"/>
    </row>
    <row r="1623" spans="1:10" x14ac:dyDescent="0.3">
      <c r="A1623">
        <v>2122</v>
      </c>
      <c r="B1623">
        <v>0</v>
      </c>
      <c r="C1623">
        <v>0</v>
      </c>
      <c r="D1623">
        <v>0</v>
      </c>
      <c r="E1623">
        <v>0</v>
      </c>
      <c r="F1623">
        <v>0</v>
      </c>
      <c r="G1623">
        <v>0</v>
      </c>
      <c r="H1623">
        <v>0</v>
      </c>
      <c r="I1623" s="2">
        <v>43684</v>
      </c>
      <c r="J1623" s="1"/>
    </row>
    <row r="1624" spans="1:10" x14ac:dyDescent="0.3">
      <c r="A1624">
        <v>1273</v>
      </c>
      <c r="B1624">
        <v>0</v>
      </c>
      <c r="C1624">
        <v>0</v>
      </c>
      <c r="D1624">
        <v>0</v>
      </c>
      <c r="E1624">
        <v>0</v>
      </c>
      <c r="F1624">
        <v>0</v>
      </c>
      <c r="G1624">
        <v>0</v>
      </c>
      <c r="H1624">
        <v>0</v>
      </c>
      <c r="I1624" s="2">
        <v>43623</v>
      </c>
      <c r="J1624" s="1"/>
    </row>
    <row r="1625" spans="1:10" x14ac:dyDescent="0.3">
      <c r="A1625">
        <v>1933</v>
      </c>
      <c r="B1625">
        <v>0</v>
      </c>
      <c r="C1625">
        <v>0</v>
      </c>
      <c r="D1625">
        <v>0</v>
      </c>
      <c r="E1625">
        <v>0</v>
      </c>
      <c r="F1625">
        <v>0</v>
      </c>
      <c r="G1625">
        <v>0</v>
      </c>
      <c r="H1625">
        <v>1</v>
      </c>
      <c r="I1625" s="2">
        <v>43623</v>
      </c>
      <c r="J1625" s="1"/>
    </row>
    <row r="1626" spans="1:10" x14ac:dyDescent="0.3">
      <c r="A1626">
        <v>2008</v>
      </c>
      <c r="B1626">
        <v>0</v>
      </c>
      <c r="C1626">
        <v>0</v>
      </c>
      <c r="D1626">
        <v>0</v>
      </c>
      <c r="E1626">
        <v>0</v>
      </c>
      <c r="F1626">
        <v>0</v>
      </c>
      <c r="G1626">
        <v>0</v>
      </c>
      <c r="H1626">
        <v>0</v>
      </c>
      <c r="I1626" s="2">
        <v>43623</v>
      </c>
      <c r="J1626" s="1"/>
    </row>
    <row r="1627" spans="1:10" x14ac:dyDescent="0.3">
      <c r="A1627">
        <v>2867</v>
      </c>
      <c r="B1627">
        <v>0</v>
      </c>
      <c r="C1627">
        <v>0</v>
      </c>
      <c r="D1627">
        <v>0</v>
      </c>
      <c r="E1627">
        <v>0</v>
      </c>
      <c r="F1627">
        <v>0</v>
      </c>
      <c r="G1627">
        <v>0</v>
      </c>
      <c r="H1627">
        <v>0</v>
      </c>
      <c r="I1627" s="2">
        <v>43562</v>
      </c>
      <c r="J1627" s="1"/>
    </row>
    <row r="1628" spans="1:10" x14ac:dyDescent="0.3">
      <c r="A1628">
        <v>2988</v>
      </c>
      <c r="B1628">
        <v>0</v>
      </c>
      <c r="C1628">
        <v>0</v>
      </c>
      <c r="D1628">
        <v>0</v>
      </c>
      <c r="E1628">
        <v>0</v>
      </c>
      <c r="F1628">
        <v>0</v>
      </c>
      <c r="G1628">
        <v>0</v>
      </c>
      <c r="H1628">
        <v>0</v>
      </c>
      <c r="I1628" s="2">
        <v>43562</v>
      </c>
      <c r="J1628" s="1"/>
    </row>
    <row r="1629" spans="1:10" x14ac:dyDescent="0.3">
      <c r="A1629">
        <v>1588</v>
      </c>
      <c r="B1629">
        <v>0</v>
      </c>
      <c r="C1629">
        <v>0</v>
      </c>
      <c r="D1629">
        <v>0</v>
      </c>
      <c r="E1629">
        <v>0</v>
      </c>
      <c r="F1629">
        <v>0</v>
      </c>
      <c r="G1629">
        <v>0</v>
      </c>
      <c r="H1629">
        <v>0</v>
      </c>
      <c r="I1629" s="2">
        <v>43531</v>
      </c>
      <c r="J1629" s="1"/>
    </row>
    <row r="1630" spans="1:10" x14ac:dyDescent="0.3">
      <c r="A1630">
        <v>2203</v>
      </c>
      <c r="B1630">
        <v>0</v>
      </c>
      <c r="C1630">
        <v>0</v>
      </c>
      <c r="D1630">
        <v>0</v>
      </c>
      <c r="E1630">
        <v>1</v>
      </c>
      <c r="F1630">
        <v>0</v>
      </c>
      <c r="G1630">
        <v>0</v>
      </c>
      <c r="H1630">
        <v>0</v>
      </c>
      <c r="I1630" s="2">
        <v>43531</v>
      </c>
      <c r="J1630" s="1"/>
    </row>
    <row r="1631" spans="1:10" x14ac:dyDescent="0.3">
      <c r="A1631">
        <v>2833</v>
      </c>
      <c r="B1631">
        <v>0</v>
      </c>
      <c r="C1631">
        <v>0</v>
      </c>
      <c r="D1631">
        <v>0</v>
      </c>
      <c r="E1631">
        <v>0</v>
      </c>
      <c r="F1631">
        <v>0</v>
      </c>
      <c r="G1631">
        <v>0</v>
      </c>
      <c r="H1631">
        <v>0</v>
      </c>
      <c r="I1631" s="2">
        <v>43531</v>
      </c>
      <c r="J1631" s="1"/>
    </row>
    <row r="1632" spans="1:10" x14ac:dyDescent="0.3">
      <c r="A1632">
        <v>1893</v>
      </c>
      <c r="B1632">
        <v>0</v>
      </c>
      <c r="C1632">
        <v>0</v>
      </c>
      <c r="D1632">
        <v>0</v>
      </c>
      <c r="E1632">
        <v>0</v>
      </c>
      <c r="F1632">
        <v>0</v>
      </c>
      <c r="G1632">
        <v>0</v>
      </c>
      <c r="H1632">
        <v>1</v>
      </c>
      <c r="I1632" s="2">
        <v>43503</v>
      </c>
      <c r="J1632" s="1"/>
    </row>
    <row r="1633" spans="1:10" x14ac:dyDescent="0.3">
      <c r="A1633">
        <v>2182</v>
      </c>
      <c r="B1633">
        <v>0</v>
      </c>
      <c r="C1633">
        <v>0</v>
      </c>
      <c r="D1633">
        <v>0</v>
      </c>
      <c r="E1633">
        <v>0</v>
      </c>
      <c r="F1633">
        <v>0</v>
      </c>
      <c r="G1633">
        <v>1</v>
      </c>
      <c r="H1633">
        <v>0</v>
      </c>
      <c r="I1633" s="2">
        <v>43503</v>
      </c>
      <c r="J1633" s="1"/>
    </row>
    <row r="1634" spans="1:10" x14ac:dyDescent="0.3">
      <c r="A1634">
        <v>2413</v>
      </c>
      <c r="B1634">
        <v>0</v>
      </c>
      <c r="C1634">
        <v>0</v>
      </c>
      <c r="D1634">
        <v>0</v>
      </c>
      <c r="E1634">
        <v>0</v>
      </c>
      <c r="F1634">
        <v>0</v>
      </c>
      <c r="G1634">
        <v>0</v>
      </c>
      <c r="H1634">
        <v>0</v>
      </c>
      <c r="I1634" s="2">
        <v>43503</v>
      </c>
      <c r="J1634" s="1"/>
    </row>
    <row r="1635" spans="1:10" x14ac:dyDescent="0.3">
      <c r="A1635">
        <v>2889</v>
      </c>
      <c r="B1635">
        <v>0</v>
      </c>
      <c r="C1635">
        <v>0</v>
      </c>
      <c r="D1635">
        <v>0</v>
      </c>
      <c r="E1635">
        <v>0</v>
      </c>
      <c r="F1635">
        <v>0</v>
      </c>
      <c r="G1635">
        <v>0</v>
      </c>
      <c r="H1635">
        <v>0</v>
      </c>
      <c r="I1635" s="2">
        <v>43503</v>
      </c>
      <c r="J1635" s="1"/>
    </row>
    <row r="1636" spans="1:10" x14ac:dyDescent="0.3">
      <c r="A1636">
        <v>1903</v>
      </c>
      <c r="B1636">
        <v>0</v>
      </c>
      <c r="C1636">
        <v>0</v>
      </c>
      <c r="D1636">
        <v>0</v>
      </c>
      <c r="E1636">
        <v>0</v>
      </c>
      <c r="F1636">
        <v>0</v>
      </c>
      <c r="G1636">
        <v>0</v>
      </c>
      <c r="H1636">
        <v>1</v>
      </c>
      <c r="I1636" s="2">
        <v>43472</v>
      </c>
      <c r="J1636" s="1"/>
    </row>
    <row r="1637" spans="1:10" x14ac:dyDescent="0.3">
      <c r="A1637">
        <v>1398</v>
      </c>
      <c r="B1637">
        <v>0</v>
      </c>
      <c r="C1637">
        <v>0</v>
      </c>
      <c r="D1637">
        <v>0</v>
      </c>
      <c r="E1637">
        <v>0</v>
      </c>
      <c r="F1637">
        <v>0</v>
      </c>
      <c r="G1637">
        <v>0</v>
      </c>
      <c r="H1637">
        <v>0</v>
      </c>
      <c r="I1637" s="2" t="s">
        <v>318</v>
      </c>
    </row>
    <row r="1638" spans="1:10" x14ac:dyDescent="0.3">
      <c r="A1638">
        <v>1416</v>
      </c>
      <c r="B1638">
        <v>0</v>
      </c>
      <c r="C1638">
        <v>0</v>
      </c>
      <c r="D1638">
        <v>0</v>
      </c>
      <c r="E1638">
        <v>0</v>
      </c>
      <c r="F1638">
        <v>0</v>
      </c>
      <c r="G1638">
        <v>0</v>
      </c>
      <c r="H1638">
        <v>0</v>
      </c>
      <c r="I1638" s="2" t="s">
        <v>318</v>
      </c>
    </row>
    <row r="1639" spans="1:10" x14ac:dyDescent="0.3">
      <c r="A1639">
        <v>2534</v>
      </c>
      <c r="B1639">
        <v>0</v>
      </c>
      <c r="C1639">
        <v>0</v>
      </c>
      <c r="D1639">
        <v>0</v>
      </c>
      <c r="E1639">
        <v>0</v>
      </c>
      <c r="F1639">
        <v>0</v>
      </c>
      <c r="G1639">
        <v>0</v>
      </c>
      <c r="H1639">
        <v>0</v>
      </c>
      <c r="I1639" s="2" t="s">
        <v>318</v>
      </c>
    </row>
    <row r="1640" spans="1:10" x14ac:dyDescent="0.3">
      <c r="A1640">
        <v>2555</v>
      </c>
      <c r="B1640">
        <v>0</v>
      </c>
      <c r="C1640">
        <v>0</v>
      </c>
      <c r="D1640">
        <v>0</v>
      </c>
      <c r="E1640">
        <v>0</v>
      </c>
      <c r="F1640">
        <v>0</v>
      </c>
      <c r="G1640">
        <v>0</v>
      </c>
      <c r="H1640">
        <v>0</v>
      </c>
      <c r="I1640" s="2" t="s">
        <v>318</v>
      </c>
    </row>
    <row r="1641" spans="1:10" x14ac:dyDescent="0.3">
      <c r="A1641">
        <v>2600</v>
      </c>
      <c r="B1641">
        <v>0</v>
      </c>
      <c r="C1641">
        <v>0</v>
      </c>
      <c r="D1641">
        <v>0</v>
      </c>
      <c r="E1641">
        <v>0</v>
      </c>
      <c r="F1641">
        <v>0</v>
      </c>
      <c r="G1641">
        <v>0</v>
      </c>
      <c r="H1641">
        <v>0</v>
      </c>
      <c r="I1641" s="2" t="s">
        <v>318</v>
      </c>
    </row>
    <row r="1642" spans="1:10" x14ac:dyDescent="0.3">
      <c r="A1642">
        <v>2014</v>
      </c>
      <c r="B1642">
        <v>0</v>
      </c>
      <c r="C1642">
        <v>0</v>
      </c>
      <c r="D1642">
        <v>0</v>
      </c>
      <c r="E1642">
        <v>0</v>
      </c>
      <c r="F1642">
        <v>0</v>
      </c>
      <c r="G1642">
        <v>0</v>
      </c>
      <c r="H1642">
        <v>0</v>
      </c>
      <c r="I1642" s="2" t="s">
        <v>319</v>
      </c>
    </row>
    <row r="1643" spans="1:10" x14ac:dyDescent="0.3">
      <c r="A1643">
        <v>2252</v>
      </c>
      <c r="B1643">
        <v>0</v>
      </c>
      <c r="C1643">
        <v>0</v>
      </c>
      <c r="D1643">
        <v>0</v>
      </c>
      <c r="E1643">
        <v>0</v>
      </c>
      <c r="F1643">
        <v>0</v>
      </c>
      <c r="G1643">
        <v>0</v>
      </c>
      <c r="H1643">
        <v>0</v>
      </c>
      <c r="I1643" s="2" t="s">
        <v>319</v>
      </c>
    </row>
    <row r="1644" spans="1:10" x14ac:dyDescent="0.3">
      <c r="A1644">
        <v>1201</v>
      </c>
      <c r="B1644">
        <v>0</v>
      </c>
      <c r="C1644">
        <v>0</v>
      </c>
      <c r="D1644">
        <v>0</v>
      </c>
      <c r="E1644">
        <v>0</v>
      </c>
      <c r="F1644">
        <v>0</v>
      </c>
      <c r="G1644">
        <v>0</v>
      </c>
      <c r="H1644">
        <v>0</v>
      </c>
      <c r="I1644" s="2" t="s">
        <v>320</v>
      </c>
    </row>
    <row r="1645" spans="1:10" x14ac:dyDescent="0.3">
      <c r="A1645">
        <v>1629</v>
      </c>
      <c r="B1645">
        <v>0</v>
      </c>
      <c r="C1645">
        <v>0</v>
      </c>
      <c r="D1645">
        <v>1</v>
      </c>
      <c r="E1645">
        <v>1</v>
      </c>
      <c r="F1645">
        <v>0</v>
      </c>
      <c r="G1645">
        <v>0</v>
      </c>
      <c r="H1645">
        <v>1</v>
      </c>
      <c r="I1645" s="2" t="s">
        <v>320</v>
      </c>
    </row>
    <row r="1646" spans="1:10" x14ac:dyDescent="0.3">
      <c r="A1646">
        <v>2467</v>
      </c>
      <c r="B1646">
        <v>0</v>
      </c>
      <c r="C1646">
        <v>0</v>
      </c>
      <c r="D1646">
        <v>0</v>
      </c>
      <c r="E1646">
        <v>0</v>
      </c>
      <c r="F1646">
        <v>0</v>
      </c>
      <c r="G1646">
        <v>0</v>
      </c>
      <c r="H1646">
        <v>0</v>
      </c>
      <c r="I1646" s="2" t="s">
        <v>320</v>
      </c>
    </row>
    <row r="1647" spans="1:10" x14ac:dyDescent="0.3">
      <c r="A1647">
        <v>1608</v>
      </c>
      <c r="B1647">
        <v>0</v>
      </c>
      <c r="C1647">
        <v>0</v>
      </c>
      <c r="D1647">
        <v>0</v>
      </c>
      <c r="E1647">
        <v>0</v>
      </c>
      <c r="F1647">
        <v>0</v>
      </c>
      <c r="G1647">
        <v>0</v>
      </c>
      <c r="H1647">
        <v>0</v>
      </c>
      <c r="I1647" s="2" t="s">
        <v>321</v>
      </c>
    </row>
    <row r="1648" spans="1:10" x14ac:dyDescent="0.3">
      <c r="A1648">
        <v>1776</v>
      </c>
      <c r="B1648">
        <v>0</v>
      </c>
      <c r="C1648">
        <v>1</v>
      </c>
      <c r="D1648">
        <v>0</v>
      </c>
      <c r="E1648">
        <v>0</v>
      </c>
      <c r="F1648">
        <v>0</v>
      </c>
      <c r="G1648">
        <v>0</v>
      </c>
      <c r="H1648">
        <v>0</v>
      </c>
      <c r="I1648" s="2" t="s">
        <v>321</v>
      </c>
    </row>
    <row r="1649" spans="1:9" x14ac:dyDescent="0.3">
      <c r="A1649">
        <v>2524</v>
      </c>
      <c r="B1649">
        <v>0</v>
      </c>
      <c r="C1649">
        <v>0</v>
      </c>
      <c r="D1649">
        <v>0</v>
      </c>
      <c r="E1649">
        <v>0</v>
      </c>
      <c r="F1649">
        <v>0</v>
      </c>
      <c r="G1649">
        <v>0</v>
      </c>
      <c r="H1649">
        <v>0</v>
      </c>
      <c r="I1649" s="2" t="s">
        <v>321</v>
      </c>
    </row>
    <row r="1650" spans="1:9" x14ac:dyDescent="0.3">
      <c r="A1650">
        <v>2719</v>
      </c>
      <c r="B1650">
        <v>0</v>
      </c>
      <c r="C1650">
        <v>0</v>
      </c>
      <c r="D1650">
        <v>0</v>
      </c>
      <c r="E1650">
        <v>0</v>
      </c>
      <c r="F1650">
        <v>0</v>
      </c>
      <c r="G1650">
        <v>0</v>
      </c>
      <c r="H1650">
        <v>0</v>
      </c>
      <c r="I1650" s="2" t="s">
        <v>321</v>
      </c>
    </row>
    <row r="1651" spans="1:9" x14ac:dyDescent="0.3">
      <c r="A1651">
        <v>2788</v>
      </c>
      <c r="B1651">
        <v>0</v>
      </c>
      <c r="C1651">
        <v>0</v>
      </c>
      <c r="D1651">
        <v>0</v>
      </c>
      <c r="E1651">
        <v>1</v>
      </c>
      <c r="F1651">
        <v>0</v>
      </c>
      <c r="G1651">
        <v>0</v>
      </c>
      <c r="H1651">
        <v>0</v>
      </c>
      <c r="I1651" s="2" t="s">
        <v>321</v>
      </c>
    </row>
    <row r="1652" spans="1:9" x14ac:dyDescent="0.3">
      <c r="A1652">
        <v>1783</v>
      </c>
      <c r="B1652">
        <v>0</v>
      </c>
      <c r="C1652">
        <v>0</v>
      </c>
      <c r="D1652">
        <v>0</v>
      </c>
      <c r="E1652">
        <v>0</v>
      </c>
      <c r="F1652">
        <v>0</v>
      </c>
      <c r="G1652">
        <v>0</v>
      </c>
      <c r="H1652">
        <v>0</v>
      </c>
      <c r="I1652" s="2" t="s">
        <v>322</v>
      </c>
    </row>
    <row r="1653" spans="1:9" x14ac:dyDescent="0.3">
      <c r="A1653">
        <v>2163</v>
      </c>
      <c r="B1653">
        <v>0</v>
      </c>
      <c r="C1653">
        <v>1</v>
      </c>
      <c r="D1653">
        <v>0</v>
      </c>
      <c r="E1653">
        <v>0</v>
      </c>
      <c r="F1653">
        <v>0</v>
      </c>
      <c r="G1653">
        <v>0</v>
      </c>
      <c r="H1653">
        <v>1</v>
      </c>
      <c r="I1653" s="2" t="s">
        <v>322</v>
      </c>
    </row>
    <row r="1654" spans="1:9" x14ac:dyDescent="0.3">
      <c r="A1654">
        <v>2200</v>
      </c>
      <c r="B1654">
        <v>0</v>
      </c>
      <c r="C1654">
        <v>0</v>
      </c>
      <c r="D1654">
        <v>0</v>
      </c>
      <c r="E1654">
        <v>0</v>
      </c>
      <c r="F1654">
        <v>0</v>
      </c>
      <c r="G1654">
        <v>0</v>
      </c>
      <c r="H1654">
        <v>0</v>
      </c>
      <c r="I1654" s="2" t="s">
        <v>322</v>
      </c>
    </row>
    <row r="1655" spans="1:9" x14ac:dyDescent="0.3">
      <c r="A1655">
        <v>2541</v>
      </c>
      <c r="B1655">
        <v>0</v>
      </c>
      <c r="C1655">
        <v>0</v>
      </c>
      <c r="D1655">
        <v>0</v>
      </c>
      <c r="E1655">
        <v>0</v>
      </c>
      <c r="F1655">
        <v>0</v>
      </c>
      <c r="G1655">
        <v>0</v>
      </c>
      <c r="H1655">
        <v>0</v>
      </c>
      <c r="I1655" s="2" t="s">
        <v>322</v>
      </c>
    </row>
    <row r="1656" spans="1:9" x14ac:dyDescent="0.3">
      <c r="A1656">
        <v>1186</v>
      </c>
      <c r="B1656">
        <v>0</v>
      </c>
      <c r="C1656">
        <v>0</v>
      </c>
      <c r="D1656">
        <v>0</v>
      </c>
      <c r="E1656">
        <v>0</v>
      </c>
      <c r="F1656">
        <v>0</v>
      </c>
      <c r="G1656">
        <v>0</v>
      </c>
      <c r="H1656">
        <v>0</v>
      </c>
      <c r="I1656" s="2" t="s">
        <v>323</v>
      </c>
    </row>
    <row r="1657" spans="1:9" x14ac:dyDescent="0.3">
      <c r="A1657">
        <v>1263</v>
      </c>
      <c r="B1657">
        <v>0</v>
      </c>
      <c r="C1657">
        <v>0</v>
      </c>
      <c r="D1657">
        <v>0</v>
      </c>
      <c r="E1657">
        <v>0</v>
      </c>
      <c r="F1657">
        <v>0</v>
      </c>
      <c r="G1657">
        <v>0</v>
      </c>
      <c r="H1657">
        <v>1</v>
      </c>
      <c r="I1657" s="2" t="s">
        <v>323</v>
      </c>
    </row>
    <row r="1658" spans="1:9" x14ac:dyDescent="0.3">
      <c r="A1658">
        <v>1305</v>
      </c>
      <c r="B1658">
        <v>0</v>
      </c>
      <c r="C1658">
        <v>0</v>
      </c>
      <c r="D1658">
        <v>0</v>
      </c>
      <c r="E1658">
        <v>0</v>
      </c>
      <c r="F1658">
        <v>0</v>
      </c>
      <c r="G1658">
        <v>0</v>
      </c>
      <c r="H1658">
        <v>0</v>
      </c>
      <c r="I1658" s="2" t="s">
        <v>323</v>
      </c>
    </row>
    <row r="1659" spans="1:9" x14ac:dyDescent="0.3">
      <c r="A1659">
        <v>1860</v>
      </c>
      <c r="B1659">
        <v>0</v>
      </c>
      <c r="C1659">
        <v>0</v>
      </c>
      <c r="D1659">
        <v>0</v>
      </c>
      <c r="E1659">
        <v>0</v>
      </c>
      <c r="F1659">
        <v>0</v>
      </c>
      <c r="G1659">
        <v>0</v>
      </c>
      <c r="H1659">
        <v>0</v>
      </c>
      <c r="I1659" s="2" t="s">
        <v>323</v>
      </c>
    </row>
    <row r="1660" spans="1:9" x14ac:dyDescent="0.3">
      <c r="A1660">
        <v>1952</v>
      </c>
      <c r="B1660">
        <v>0</v>
      </c>
      <c r="C1660">
        <v>0</v>
      </c>
      <c r="D1660">
        <v>0</v>
      </c>
      <c r="E1660">
        <v>0</v>
      </c>
      <c r="F1660">
        <v>0</v>
      </c>
      <c r="G1660">
        <v>0</v>
      </c>
      <c r="H1660">
        <v>0</v>
      </c>
      <c r="I1660" s="2" t="s">
        <v>323</v>
      </c>
    </row>
    <row r="1661" spans="1:9" x14ac:dyDescent="0.3">
      <c r="A1661">
        <v>2012</v>
      </c>
      <c r="B1661">
        <v>0</v>
      </c>
      <c r="C1661">
        <v>0</v>
      </c>
      <c r="D1661">
        <v>0</v>
      </c>
      <c r="E1661">
        <v>0</v>
      </c>
      <c r="F1661">
        <v>0</v>
      </c>
      <c r="G1661">
        <v>0</v>
      </c>
      <c r="H1661">
        <v>1</v>
      </c>
      <c r="I1661" s="2" t="s">
        <v>323</v>
      </c>
    </row>
    <row r="1662" spans="1:9" x14ac:dyDescent="0.3">
      <c r="A1662">
        <v>2099</v>
      </c>
      <c r="B1662">
        <v>0</v>
      </c>
      <c r="C1662">
        <v>0</v>
      </c>
      <c r="D1662">
        <v>0</v>
      </c>
      <c r="E1662">
        <v>0</v>
      </c>
      <c r="F1662">
        <v>0</v>
      </c>
      <c r="G1662">
        <v>0</v>
      </c>
      <c r="H1662">
        <v>0</v>
      </c>
      <c r="I1662" s="2" t="s">
        <v>324</v>
      </c>
    </row>
    <row r="1663" spans="1:9" x14ac:dyDescent="0.3">
      <c r="A1663">
        <v>2392</v>
      </c>
      <c r="B1663">
        <v>0</v>
      </c>
      <c r="C1663">
        <v>0</v>
      </c>
      <c r="D1663">
        <v>0</v>
      </c>
      <c r="E1663">
        <v>0</v>
      </c>
      <c r="F1663">
        <v>0</v>
      </c>
      <c r="G1663">
        <v>0</v>
      </c>
      <c r="H1663">
        <v>0</v>
      </c>
      <c r="I1663" s="2" t="s">
        <v>324</v>
      </c>
    </row>
    <row r="1664" spans="1:9" x14ac:dyDescent="0.3">
      <c r="A1664">
        <v>2445</v>
      </c>
      <c r="B1664">
        <v>0</v>
      </c>
      <c r="C1664">
        <v>0</v>
      </c>
      <c r="D1664">
        <v>0</v>
      </c>
      <c r="E1664">
        <v>0</v>
      </c>
      <c r="F1664">
        <v>0</v>
      </c>
      <c r="G1664">
        <v>0</v>
      </c>
      <c r="H1664">
        <v>0</v>
      </c>
      <c r="I1664" s="2" t="s">
        <v>324</v>
      </c>
    </row>
    <row r="1665" spans="1:9" x14ac:dyDescent="0.3">
      <c r="A1665">
        <v>2582</v>
      </c>
      <c r="B1665">
        <v>0</v>
      </c>
      <c r="C1665">
        <v>0</v>
      </c>
      <c r="D1665">
        <v>0</v>
      </c>
      <c r="E1665">
        <v>0</v>
      </c>
      <c r="F1665">
        <v>0</v>
      </c>
      <c r="G1665">
        <v>0</v>
      </c>
      <c r="H1665">
        <v>0</v>
      </c>
      <c r="I1665" s="2" t="s">
        <v>324</v>
      </c>
    </row>
    <row r="1666" spans="1:9" x14ac:dyDescent="0.3">
      <c r="A1666">
        <v>2599</v>
      </c>
      <c r="B1666">
        <v>0</v>
      </c>
      <c r="C1666">
        <v>0</v>
      </c>
      <c r="D1666">
        <v>0</v>
      </c>
      <c r="E1666">
        <v>0</v>
      </c>
      <c r="F1666">
        <v>0</v>
      </c>
      <c r="G1666">
        <v>0</v>
      </c>
      <c r="H1666">
        <v>0</v>
      </c>
      <c r="I1666" s="2" t="s">
        <v>324</v>
      </c>
    </row>
    <row r="1667" spans="1:9" x14ac:dyDescent="0.3">
      <c r="A1667">
        <v>2718</v>
      </c>
      <c r="B1667">
        <v>0</v>
      </c>
      <c r="C1667">
        <v>0</v>
      </c>
      <c r="D1667">
        <v>0</v>
      </c>
      <c r="E1667">
        <v>0</v>
      </c>
      <c r="F1667">
        <v>0</v>
      </c>
      <c r="G1667">
        <v>0</v>
      </c>
      <c r="H1667">
        <v>1</v>
      </c>
      <c r="I1667" s="2" t="s">
        <v>324</v>
      </c>
    </row>
    <row r="1668" spans="1:9" x14ac:dyDescent="0.3">
      <c r="A1668">
        <v>2973</v>
      </c>
      <c r="B1668">
        <v>1</v>
      </c>
      <c r="C1668">
        <v>0</v>
      </c>
      <c r="D1668">
        <v>0</v>
      </c>
      <c r="E1668">
        <v>0</v>
      </c>
      <c r="F1668">
        <v>0</v>
      </c>
      <c r="G1668">
        <v>0</v>
      </c>
      <c r="H1668">
        <v>0</v>
      </c>
      <c r="I1668" s="2" t="s">
        <v>324</v>
      </c>
    </row>
    <row r="1669" spans="1:9" x14ac:dyDescent="0.3">
      <c r="A1669">
        <v>1771</v>
      </c>
      <c r="B1669">
        <v>0</v>
      </c>
      <c r="C1669">
        <v>0</v>
      </c>
      <c r="D1669">
        <v>0</v>
      </c>
      <c r="E1669">
        <v>0</v>
      </c>
      <c r="F1669">
        <v>0</v>
      </c>
      <c r="G1669">
        <v>0</v>
      </c>
      <c r="H1669">
        <v>0</v>
      </c>
      <c r="I1669" s="2" t="s">
        <v>325</v>
      </c>
    </row>
    <row r="1670" spans="1:9" x14ac:dyDescent="0.3">
      <c r="A1670">
        <v>2111</v>
      </c>
      <c r="B1670">
        <v>0</v>
      </c>
      <c r="C1670">
        <v>1</v>
      </c>
      <c r="D1670">
        <v>0</v>
      </c>
      <c r="E1670">
        <v>0</v>
      </c>
      <c r="F1670">
        <v>0</v>
      </c>
      <c r="G1670">
        <v>0</v>
      </c>
      <c r="H1670">
        <v>0</v>
      </c>
      <c r="I1670" s="2" t="s">
        <v>325</v>
      </c>
    </row>
    <row r="1671" spans="1:9" x14ac:dyDescent="0.3">
      <c r="A1671">
        <v>2916</v>
      </c>
      <c r="B1671">
        <v>0</v>
      </c>
      <c r="C1671">
        <v>0</v>
      </c>
      <c r="D1671">
        <v>0</v>
      </c>
      <c r="E1671">
        <v>0</v>
      </c>
      <c r="F1671">
        <v>0</v>
      </c>
      <c r="G1671">
        <v>0</v>
      </c>
      <c r="H1671">
        <v>0</v>
      </c>
      <c r="I1671" s="2" t="s">
        <v>326</v>
      </c>
    </row>
    <row r="1672" spans="1:9" x14ac:dyDescent="0.3">
      <c r="A1672">
        <v>1284</v>
      </c>
      <c r="B1672">
        <v>0</v>
      </c>
      <c r="C1672">
        <v>0</v>
      </c>
      <c r="D1672">
        <v>0</v>
      </c>
      <c r="E1672">
        <v>0</v>
      </c>
      <c r="F1672">
        <v>0</v>
      </c>
      <c r="G1672">
        <v>0</v>
      </c>
      <c r="H1672">
        <v>0</v>
      </c>
      <c r="I1672" s="2" t="s">
        <v>327</v>
      </c>
    </row>
    <row r="1673" spans="1:9" x14ac:dyDescent="0.3">
      <c r="A1673">
        <v>2161</v>
      </c>
      <c r="B1673">
        <v>0</v>
      </c>
      <c r="C1673">
        <v>0</v>
      </c>
      <c r="D1673">
        <v>0</v>
      </c>
      <c r="E1673">
        <v>0</v>
      </c>
      <c r="F1673">
        <v>0</v>
      </c>
      <c r="G1673">
        <v>1</v>
      </c>
      <c r="H1673">
        <v>0</v>
      </c>
      <c r="I1673" s="2" t="s">
        <v>327</v>
      </c>
    </row>
    <row r="1674" spans="1:9" x14ac:dyDescent="0.3">
      <c r="A1674">
        <v>2475</v>
      </c>
      <c r="B1674">
        <v>0</v>
      </c>
      <c r="C1674">
        <v>0</v>
      </c>
      <c r="D1674">
        <v>0</v>
      </c>
      <c r="E1674">
        <v>0</v>
      </c>
      <c r="F1674">
        <v>0</v>
      </c>
      <c r="G1674">
        <v>0</v>
      </c>
      <c r="H1674">
        <v>0</v>
      </c>
      <c r="I1674" s="2" t="s">
        <v>327</v>
      </c>
    </row>
    <row r="1675" spans="1:9" x14ac:dyDescent="0.3">
      <c r="A1675">
        <v>2521</v>
      </c>
      <c r="B1675">
        <v>0</v>
      </c>
      <c r="C1675">
        <v>0</v>
      </c>
      <c r="D1675">
        <v>0</v>
      </c>
      <c r="E1675">
        <v>0</v>
      </c>
      <c r="F1675">
        <v>0</v>
      </c>
      <c r="G1675">
        <v>0</v>
      </c>
      <c r="H1675">
        <v>0</v>
      </c>
      <c r="I1675" s="2" t="s">
        <v>327</v>
      </c>
    </row>
    <row r="1676" spans="1:9" x14ac:dyDescent="0.3">
      <c r="A1676">
        <v>2695</v>
      </c>
      <c r="B1676">
        <v>0</v>
      </c>
      <c r="C1676">
        <v>0</v>
      </c>
      <c r="D1676">
        <v>0</v>
      </c>
      <c r="E1676">
        <v>0</v>
      </c>
      <c r="F1676">
        <v>0</v>
      </c>
      <c r="G1676">
        <v>1</v>
      </c>
      <c r="H1676">
        <v>0</v>
      </c>
      <c r="I1676" s="2" t="s">
        <v>327</v>
      </c>
    </row>
    <row r="1677" spans="1:9" x14ac:dyDescent="0.3">
      <c r="A1677">
        <v>3053</v>
      </c>
      <c r="B1677">
        <v>0</v>
      </c>
      <c r="C1677">
        <v>0</v>
      </c>
      <c r="D1677">
        <v>0</v>
      </c>
      <c r="E1677">
        <v>0</v>
      </c>
      <c r="F1677">
        <v>0</v>
      </c>
      <c r="G1677">
        <v>0</v>
      </c>
      <c r="H1677">
        <v>0</v>
      </c>
      <c r="I1677" s="2" t="s">
        <v>327</v>
      </c>
    </row>
    <row r="1678" spans="1:9" x14ac:dyDescent="0.3">
      <c r="A1678">
        <v>1285</v>
      </c>
      <c r="B1678">
        <v>0</v>
      </c>
      <c r="C1678">
        <v>0</v>
      </c>
      <c r="D1678">
        <v>0</v>
      </c>
      <c r="E1678">
        <v>0</v>
      </c>
      <c r="F1678">
        <v>0</v>
      </c>
      <c r="G1678">
        <v>0</v>
      </c>
      <c r="H1678">
        <v>0</v>
      </c>
      <c r="I1678" s="2" t="s">
        <v>328</v>
      </c>
    </row>
    <row r="1679" spans="1:9" x14ac:dyDescent="0.3">
      <c r="A1679">
        <v>1477</v>
      </c>
      <c r="B1679">
        <v>0</v>
      </c>
      <c r="C1679">
        <v>0</v>
      </c>
      <c r="D1679">
        <v>0</v>
      </c>
      <c r="E1679">
        <v>0</v>
      </c>
      <c r="F1679">
        <v>0</v>
      </c>
      <c r="G1679">
        <v>0</v>
      </c>
      <c r="H1679">
        <v>0</v>
      </c>
      <c r="I1679" s="2" t="s">
        <v>328</v>
      </c>
    </row>
    <row r="1680" spans="1:9" x14ac:dyDescent="0.3">
      <c r="A1680">
        <v>1808</v>
      </c>
      <c r="B1680">
        <v>0</v>
      </c>
      <c r="C1680">
        <v>0</v>
      </c>
      <c r="D1680">
        <v>0</v>
      </c>
      <c r="E1680">
        <v>0</v>
      </c>
      <c r="F1680">
        <v>0</v>
      </c>
      <c r="G1680">
        <v>0</v>
      </c>
      <c r="H1680">
        <v>0</v>
      </c>
      <c r="I1680" s="2" t="s">
        <v>328</v>
      </c>
    </row>
    <row r="1681" spans="1:9" x14ac:dyDescent="0.3">
      <c r="A1681">
        <v>2109</v>
      </c>
      <c r="B1681">
        <v>0</v>
      </c>
      <c r="C1681">
        <v>0</v>
      </c>
      <c r="D1681">
        <v>0</v>
      </c>
      <c r="E1681">
        <v>0</v>
      </c>
      <c r="F1681">
        <v>0</v>
      </c>
      <c r="G1681">
        <v>0</v>
      </c>
      <c r="H1681">
        <v>0</v>
      </c>
      <c r="I1681" s="2" t="s">
        <v>328</v>
      </c>
    </row>
    <row r="1682" spans="1:9" x14ac:dyDescent="0.3">
      <c r="A1682">
        <v>2433</v>
      </c>
      <c r="B1682">
        <v>0</v>
      </c>
      <c r="C1682">
        <v>0</v>
      </c>
      <c r="D1682">
        <v>0</v>
      </c>
      <c r="E1682">
        <v>0</v>
      </c>
      <c r="F1682">
        <v>0</v>
      </c>
      <c r="G1682">
        <v>0</v>
      </c>
      <c r="H1682">
        <v>0</v>
      </c>
      <c r="I1682" s="2" t="s">
        <v>328</v>
      </c>
    </row>
    <row r="1683" spans="1:9" x14ac:dyDescent="0.3">
      <c r="A1683">
        <v>2515</v>
      </c>
      <c r="B1683">
        <v>0</v>
      </c>
      <c r="C1683">
        <v>0</v>
      </c>
      <c r="D1683">
        <v>0</v>
      </c>
      <c r="E1683">
        <v>0</v>
      </c>
      <c r="F1683">
        <v>0</v>
      </c>
      <c r="G1683">
        <v>0</v>
      </c>
      <c r="H1683">
        <v>0</v>
      </c>
      <c r="I1683" s="2" t="s">
        <v>328</v>
      </c>
    </row>
    <row r="1684" spans="1:9" x14ac:dyDescent="0.3">
      <c r="A1684">
        <v>2597</v>
      </c>
      <c r="B1684">
        <v>0</v>
      </c>
      <c r="C1684">
        <v>0</v>
      </c>
      <c r="D1684">
        <v>0</v>
      </c>
      <c r="E1684">
        <v>0</v>
      </c>
      <c r="F1684">
        <v>0</v>
      </c>
      <c r="G1684">
        <v>0</v>
      </c>
      <c r="H1684">
        <v>0</v>
      </c>
      <c r="I1684" s="2" t="s">
        <v>328</v>
      </c>
    </row>
    <row r="1685" spans="1:9" x14ac:dyDescent="0.3">
      <c r="A1685">
        <v>3036</v>
      </c>
      <c r="B1685">
        <v>0</v>
      </c>
      <c r="C1685">
        <v>0</v>
      </c>
      <c r="D1685">
        <v>0</v>
      </c>
      <c r="E1685">
        <v>0</v>
      </c>
      <c r="F1685">
        <v>0</v>
      </c>
      <c r="G1685">
        <v>0</v>
      </c>
      <c r="H1685">
        <v>0</v>
      </c>
      <c r="I1685" s="2" t="s">
        <v>328</v>
      </c>
    </row>
    <row r="1686" spans="1:9" x14ac:dyDescent="0.3">
      <c r="A1686">
        <v>1309</v>
      </c>
      <c r="B1686">
        <v>0</v>
      </c>
      <c r="C1686">
        <v>0</v>
      </c>
      <c r="D1686">
        <v>0</v>
      </c>
      <c r="E1686">
        <v>0</v>
      </c>
      <c r="F1686">
        <v>0</v>
      </c>
      <c r="G1686">
        <v>0</v>
      </c>
      <c r="H1686">
        <v>0</v>
      </c>
      <c r="I1686" s="2" t="s">
        <v>329</v>
      </c>
    </row>
    <row r="1687" spans="1:9" x14ac:dyDescent="0.3">
      <c r="A1687">
        <v>2464</v>
      </c>
      <c r="B1687">
        <v>0</v>
      </c>
      <c r="C1687">
        <v>0</v>
      </c>
      <c r="D1687">
        <v>1</v>
      </c>
      <c r="E1687">
        <v>0</v>
      </c>
      <c r="F1687">
        <v>0</v>
      </c>
      <c r="G1687">
        <v>0</v>
      </c>
      <c r="H1687">
        <v>0</v>
      </c>
      <c r="I1687" s="2" t="s">
        <v>329</v>
      </c>
    </row>
    <row r="1688" spans="1:9" x14ac:dyDescent="0.3">
      <c r="A1688">
        <v>2647</v>
      </c>
      <c r="B1688">
        <v>0</v>
      </c>
      <c r="C1688">
        <v>0</v>
      </c>
      <c r="D1688">
        <v>1</v>
      </c>
      <c r="E1688">
        <v>0</v>
      </c>
      <c r="F1688">
        <v>0</v>
      </c>
      <c r="G1688">
        <v>0</v>
      </c>
      <c r="H1688">
        <v>1</v>
      </c>
      <c r="I1688" s="2" t="s">
        <v>329</v>
      </c>
    </row>
    <row r="1689" spans="1:9" x14ac:dyDescent="0.3">
      <c r="A1689">
        <v>2828</v>
      </c>
      <c r="B1689">
        <v>0</v>
      </c>
      <c r="C1689">
        <v>0</v>
      </c>
      <c r="D1689">
        <v>0</v>
      </c>
      <c r="E1689">
        <v>0</v>
      </c>
      <c r="F1689">
        <v>0</v>
      </c>
      <c r="G1689">
        <v>0</v>
      </c>
      <c r="H1689">
        <v>1</v>
      </c>
      <c r="I1689" s="2" t="s">
        <v>329</v>
      </c>
    </row>
    <row r="1690" spans="1:9" x14ac:dyDescent="0.3">
      <c r="A1690">
        <v>3143</v>
      </c>
      <c r="B1690">
        <v>0</v>
      </c>
      <c r="C1690">
        <v>0</v>
      </c>
      <c r="D1690">
        <v>1</v>
      </c>
      <c r="E1690">
        <v>1</v>
      </c>
      <c r="F1690">
        <v>0</v>
      </c>
      <c r="G1690">
        <v>0</v>
      </c>
      <c r="H1690">
        <v>1</v>
      </c>
      <c r="I1690" s="2" t="s">
        <v>329</v>
      </c>
    </row>
    <row r="1691" spans="1:9" x14ac:dyDescent="0.3">
      <c r="A1691">
        <v>1318</v>
      </c>
      <c r="B1691">
        <v>1</v>
      </c>
      <c r="C1691">
        <v>0</v>
      </c>
      <c r="D1691">
        <v>0</v>
      </c>
      <c r="E1691">
        <v>0</v>
      </c>
      <c r="F1691">
        <v>0</v>
      </c>
      <c r="G1691">
        <v>0</v>
      </c>
      <c r="H1691">
        <v>1</v>
      </c>
      <c r="I1691" s="2" t="s">
        <v>330</v>
      </c>
    </row>
    <row r="1692" spans="1:9" x14ac:dyDescent="0.3">
      <c r="A1692">
        <v>1335</v>
      </c>
      <c r="B1692">
        <v>1</v>
      </c>
      <c r="C1692">
        <v>0</v>
      </c>
      <c r="D1692">
        <v>1</v>
      </c>
      <c r="E1692">
        <v>0</v>
      </c>
      <c r="F1692">
        <v>0</v>
      </c>
      <c r="G1692">
        <v>0</v>
      </c>
      <c r="H1692">
        <v>0</v>
      </c>
      <c r="I1692" s="2" t="s">
        <v>330</v>
      </c>
    </row>
    <row r="1693" spans="1:9" x14ac:dyDescent="0.3">
      <c r="A1693">
        <v>1686</v>
      </c>
      <c r="B1693">
        <v>1</v>
      </c>
      <c r="C1693">
        <v>0</v>
      </c>
      <c r="D1693">
        <v>1</v>
      </c>
      <c r="E1693">
        <v>0</v>
      </c>
      <c r="F1693">
        <v>0</v>
      </c>
      <c r="G1693">
        <v>0</v>
      </c>
      <c r="H1693">
        <v>0</v>
      </c>
      <c r="I1693" s="2" t="s">
        <v>330</v>
      </c>
    </row>
    <row r="1694" spans="1:9" x14ac:dyDescent="0.3">
      <c r="A1694">
        <v>1690</v>
      </c>
      <c r="B1694">
        <v>1</v>
      </c>
      <c r="C1694">
        <v>0</v>
      </c>
      <c r="D1694">
        <v>0</v>
      </c>
      <c r="E1694">
        <v>0</v>
      </c>
      <c r="F1694">
        <v>0</v>
      </c>
      <c r="G1694">
        <v>0</v>
      </c>
      <c r="H1694">
        <v>1</v>
      </c>
      <c r="I1694" s="2" t="s">
        <v>330</v>
      </c>
    </row>
    <row r="1695" spans="1:9" x14ac:dyDescent="0.3">
      <c r="A1695">
        <v>2043</v>
      </c>
      <c r="B1695">
        <v>0</v>
      </c>
      <c r="C1695">
        <v>0</v>
      </c>
      <c r="D1695">
        <v>0</v>
      </c>
      <c r="E1695">
        <v>0</v>
      </c>
      <c r="F1695">
        <v>0</v>
      </c>
      <c r="G1695">
        <v>0</v>
      </c>
      <c r="H1695">
        <v>1</v>
      </c>
      <c r="I1695" s="2" t="s">
        <v>330</v>
      </c>
    </row>
    <row r="1696" spans="1:9" x14ac:dyDescent="0.3">
      <c r="A1696">
        <v>3046</v>
      </c>
      <c r="B1696">
        <v>0</v>
      </c>
      <c r="C1696">
        <v>0</v>
      </c>
      <c r="D1696">
        <v>0</v>
      </c>
      <c r="E1696">
        <v>0</v>
      </c>
      <c r="F1696">
        <v>0</v>
      </c>
      <c r="G1696">
        <v>0</v>
      </c>
      <c r="H1696">
        <v>1</v>
      </c>
      <c r="I1696" s="2" t="s">
        <v>330</v>
      </c>
    </row>
    <row r="1697" spans="1:10" x14ac:dyDescent="0.3">
      <c r="A1697">
        <v>3153</v>
      </c>
      <c r="B1697">
        <v>0</v>
      </c>
      <c r="C1697">
        <v>1</v>
      </c>
      <c r="D1697">
        <v>0</v>
      </c>
      <c r="E1697">
        <v>0</v>
      </c>
      <c r="F1697">
        <v>0</v>
      </c>
      <c r="G1697">
        <v>0</v>
      </c>
      <c r="H1697">
        <v>0</v>
      </c>
      <c r="I1697" s="2" t="s">
        <v>330</v>
      </c>
    </row>
    <row r="1698" spans="1:10" x14ac:dyDescent="0.3">
      <c r="A1698">
        <v>1234</v>
      </c>
      <c r="B1698">
        <v>0</v>
      </c>
      <c r="C1698">
        <v>0</v>
      </c>
      <c r="D1698">
        <v>0</v>
      </c>
      <c r="E1698">
        <v>0</v>
      </c>
      <c r="F1698">
        <v>0</v>
      </c>
      <c r="G1698">
        <v>0</v>
      </c>
      <c r="H1698">
        <v>0</v>
      </c>
      <c r="I1698" s="2" t="s">
        <v>331</v>
      </c>
    </row>
    <row r="1699" spans="1:10" x14ac:dyDescent="0.3">
      <c r="A1699">
        <v>1843</v>
      </c>
      <c r="B1699">
        <v>0</v>
      </c>
      <c r="C1699">
        <v>0</v>
      </c>
      <c r="D1699">
        <v>0</v>
      </c>
      <c r="E1699">
        <v>0</v>
      </c>
      <c r="F1699">
        <v>0</v>
      </c>
      <c r="G1699">
        <v>0</v>
      </c>
      <c r="H1699">
        <v>0</v>
      </c>
      <c r="I1699" s="2" t="s">
        <v>331</v>
      </c>
    </row>
    <row r="1700" spans="1:10" x14ac:dyDescent="0.3">
      <c r="A1700">
        <v>1274</v>
      </c>
      <c r="B1700">
        <v>0</v>
      </c>
      <c r="C1700">
        <v>0</v>
      </c>
      <c r="D1700">
        <v>0</v>
      </c>
      <c r="E1700">
        <v>0</v>
      </c>
      <c r="F1700">
        <v>0</v>
      </c>
      <c r="G1700">
        <v>0</v>
      </c>
      <c r="H1700">
        <v>0</v>
      </c>
      <c r="I1700" s="2" t="s">
        <v>332</v>
      </c>
    </row>
    <row r="1701" spans="1:10" x14ac:dyDescent="0.3">
      <c r="A1701">
        <v>1364</v>
      </c>
      <c r="B1701">
        <v>0</v>
      </c>
      <c r="C1701">
        <v>0</v>
      </c>
      <c r="D1701">
        <v>0</v>
      </c>
      <c r="E1701">
        <v>0</v>
      </c>
      <c r="F1701">
        <v>0</v>
      </c>
      <c r="G1701">
        <v>0</v>
      </c>
      <c r="H1701">
        <v>0</v>
      </c>
      <c r="I1701" s="2" t="s">
        <v>332</v>
      </c>
    </row>
    <row r="1702" spans="1:10" x14ac:dyDescent="0.3">
      <c r="A1702">
        <v>1620</v>
      </c>
      <c r="B1702">
        <v>0</v>
      </c>
      <c r="C1702">
        <v>0</v>
      </c>
      <c r="D1702">
        <v>0</v>
      </c>
      <c r="E1702">
        <v>0</v>
      </c>
      <c r="F1702">
        <v>0</v>
      </c>
      <c r="G1702">
        <v>0</v>
      </c>
      <c r="H1702">
        <v>0</v>
      </c>
      <c r="I1702" s="2" t="s">
        <v>332</v>
      </c>
    </row>
    <row r="1703" spans="1:10" x14ac:dyDescent="0.3">
      <c r="A1703">
        <v>2155</v>
      </c>
      <c r="B1703">
        <v>0</v>
      </c>
      <c r="C1703">
        <v>0</v>
      </c>
      <c r="D1703">
        <v>0</v>
      </c>
      <c r="E1703">
        <v>0</v>
      </c>
      <c r="F1703">
        <v>0</v>
      </c>
      <c r="G1703">
        <v>0</v>
      </c>
      <c r="H1703">
        <v>0</v>
      </c>
      <c r="I1703" s="2" t="s">
        <v>332</v>
      </c>
    </row>
    <row r="1704" spans="1:10" x14ac:dyDescent="0.3">
      <c r="A1704">
        <v>2899</v>
      </c>
      <c r="B1704">
        <v>0</v>
      </c>
      <c r="C1704">
        <v>0</v>
      </c>
      <c r="D1704">
        <v>0</v>
      </c>
      <c r="E1704">
        <v>0</v>
      </c>
      <c r="F1704">
        <v>0</v>
      </c>
      <c r="G1704">
        <v>1</v>
      </c>
      <c r="H1704">
        <v>0</v>
      </c>
      <c r="I1704" s="2" t="s">
        <v>332</v>
      </c>
    </row>
    <row r="1705" spans="1:10" x14ac:dyDescent="0.3">
      <c r="A1705">
        <v>2702</v>
      </c>
      <c r="B1705">
        <v>0</v>
      </c>
      <c r="C1705">
        <v>0</v>
      </c>
      <c r="D1705">
        <v>0</v>
      </c>
      <c r="E1705">
        <v>0</v>
      </c>
      <c r="F1705">
        <v>0</v>
      </c>
      <c r="G1705">
        <v>0</v>
      </c>
      <c r="H1705">
        <v>0</v>
      </c>
      <c r="I1705" s="2" t="s">
        <v>333</v>
      </c>
    </row>
    <row r="1706" spans="1:10" x14ac:dyDescent="0.3">
      <c r="A1706">
        <v>3146</v>
      </c>
      <c r="B1706">
        <v>1</v>
      </c>
      <c r="C1706">
        <v>0</v>
      </c>
      <c r="D1706">
        <v>0</v>
      </c>
      <c r="E1706">
        <v>0</v>
      </c>
      <c r="F1706">
        <v>0</v>
      </c>
      <c r="G1706">
        <v>0</v>
      </c>
      <c r="H1706">
        <v>0</v>
      </c>
      <c r="I1706" s="2" t="s">
        <v>333</v>
      </c>
    </row>
    <row r="1707" spans="1:10" x14ac:dyDescent="0.3">
      <c r="A1707">
        <v>1021</v>
      </c>
      <c r="B1707">
        <v>0</v>
      </c>
      <c r="C1707">
        <v>0</v>
      </c>
      <c r="D1707">
        <v>0</v>
      </c>
      <c r="E1707">
        <v>0</v>
      </c>
      <c r="F1707">
        <v>0</v>
      </c>
      <c r="G1707">
        <v>0</v>
      </c>
      <c r="H1707">
        <v>0</v>
      </c>
      <c r="I1707" s="2" t="s">
        <v>334</v>
      </c>
    </row>
    <row r="1708" spans="1:10" x14ac:dyDescent="0.3">
      <c r="A1708">
        <v>3038</v>
      </c>
      <c r="B1708">
        <v>0</v>
      </c>
      <c r="C1708">
        <v>0</v>
      </c>
      <c r="D1708">
        <v>0</v>
      </c>
      <c r="E1708">
        <v>0</v>
      </c>
      <c r="F1708">
        <v>0</v>
      </c>
      <c r="G1708">
        <v>0</v>
      </c>
      <c r="H1708">
        <v>0</v>
      </c>
      <c r="I1708" s="2" t="s">
        <v>334</v>
      </c>
    </row>
    <row r="1709" spans="1:10" x14ac:dyDescent="0.3">
      <c r="A1709">
        <v>1211</v>
      </c>
      <c r="B1709">
        <v>0</v>
      </c>
      <c r="C1709">
        <v>0</v>
      </c>
      <c r="D1709">
        <v>0</v>
      </c>
      <c r="E1709">
        <v>0</v>
      </c>
      <c r="F1709">
        <v>0</v>
      </c>
      <c r="G1709">
        <v>0</v>
      </c>
      <c r="H1709">
        <v>0</v>
      </c>
      <c r="I1709" s="2">
        <v>43805</v>
      </c>
      <c r="J1709" s="1"/>
    </row>
    <row r="1710" spans="1:10" x14ac:dyDescent="0.3">
      <c r="A1710">
        <v>1219</v>
      </c>
      <c r="B1710">
        <v>0</v>
      </c>
      <c r="C1710">
        <v>0</v>
      </c>
      <c r="D1710">
        <v>1</v>
      </c>
      <c r="E1710">
        <v>0</v>
      </c>
      <c r="F1710">
        <v>0</v>
      </c>
      <c r="G1710">
        <v>0</v>
      </c>
      <c r="H1710">
        <v>0</v>
      </c>
      <c r="I1710" s="2">
        <v>43805</v>
      </c>
      <c r="J1710" s="1"/>
    </row>
    <row r="1711" spans="1:10" x14ac:dyDescent="0.3">
      <c r="A1711">
        <v>2162</v>
      </c>
      <c r="B1711">
        <v>0</v>
      </c>
      <c r="C1711">
        <v>0</v>
      </c>
      <c r="D1711">
        <v>0</v>
      </c>
      <c r="E1711">
        <v>0</v>
      </c>
      <c r="F1711">
        <v>0</v>
      </c>
      <c r="G1711">
        <v>0</v>
      </c>
      <c r="H1711">
        <v>0</v>
      </c>
      <c r="I1711" s="2">
        <v>43805</v>
      </c>
      <c r="J1711" s="1"/>
    </row>
    <row r="1712" spans="1:10" x14ac:dyDescent="0.3">
      <c r="A1712">
        <v>3033</v>
      </c>
      <c r="B1712">
        <v>0</v>
      </c>
      <c r="C1712">
        <v>0</v>
      </c>
      <c r="D1712">
        <v>0</v>
      </c>
      <c r="E1712">
        <v>0</v>
      </c>
      <c r="F1712">
        <v>0</v>
      </c>
      <c r="G1712">
        <v>0</v>
      </c>
      <c r="H1712">
        <v>0</v>
      </c>
      <c r="I1712" s="2">
        <v>43805</v>
      </c>
      <c r="J1712" s="1"/>
    </row>
    <row r="1713" spans="1:10" x14ac:dyDescent="0.3">
      <c r="A1713">
        <v>2068</v>
      </c>
      <c r="B1713">
        <v>0</v>
      </c>
      <c r="C1713">
        <v>1</v>
      </c>
      <c r="D1713">
        <v>1</v>
      </c>
      <c r="E1713">
        <v>1</v>
      </c>
      <c r="F1713">
        <v>1</v>
      </c>
      <c r="G1713">
        <v>0</v>
      </c>
      <c r="H1713">
        <v>1</v>
      </c>
      <c r="I1713" s="2">
        <v>43775</v>
      </c>
      <c r="J1713" s="1"/>
    </row>
    <row r="1714" spans="1:10" x14ac:dyDescent="0.3">
      <c r="A1714">
        <v>2663</v>
      </c>
      <c r="B1714">
        <v>0</v>
      </c>
      <c r="C1714">
        <v>0</v>
      </c>
      <c r="D1714">
        <v>0</v>
      </c>
      <c r="E1714">
        <v>0</v>
      </c>
      <c r="F1714">
        <v>0</v>
      </c>
      <c r="G1714">
        <v>0</v>
      </c>
      <c r="H1714">
        <v>0</v>
      </c>
      <c r="I1714" s="2">
        <v>43775</v>
      </c>
      <c r="J1714" s="1"/>
    </row>
    <row r="1715" spans="1:10" x14ac:dyDescent="0.3">
      <c r="A1715">
        <v>1999</v>
      </c>
      <c r="B1715">
        <v>0</v>
      </c>
      <c r="C1715">
        <v>0</v>
      </c>
      <c r="D1715">
        <v>0</v>
      </c>
      <c r="E1715">
        <v>0</v>
      </c>
      <c r="F1715">
        <v>0</v>
      </c>
      <c r="G1715">
        <v>0</v>
      </c>
      <c r="H1715">
        <v>0</v>
      </c>
      <c r="I1715" s="2">
        <v>43744</v>
      </c>
      <c r="J1715" s="1"/>
    </row>
    <row r="1716" spans="1:10" x14ac:dyDescent="0.3">
      <c r="A1716">
        <v>1025</v>
      </c>
      <c r="B1716">
        <v>0</v>
      </c>
      <c r="C1716">
        <v>0</v>
      </c>
      <c r="D1716">
        <v>0</v>
      </c>
      <c r="E1716">
        <v>0</v>
      </c>
      <c r="F1716">
        <v>0</v>
      </c>
      <c r="G1716">
        <v>0</v>
      </c>
      <c r="H1716">
        <v>0</v>
      </c>
      <c r="I1716" s="2">
        <v>43714</v>
      </c>
      <c r="J1716" s="1"/>
    </row>
    <row r="1717" spans="1:10" x14ac:dyDescent="0.3">
      <c r="A1717">
        <v>1049</v>
      </c>
      <c r="B1717">
        <v>0</v>
      </c>
      <c r="C1717">
        <v>0</v>
      </c>
      <c r="D1717">
        <v>0</v>
      </c>
      <c r="E1717">
        <v>0</v>
      </c>
      <c r="F1717">
        <v>0</v>
      </c>
      <c r="G1717">
        <v>0</v>
      </c>
      <c r="H1717">
        <v>0</v>
      </c>
      <c r="I1717" s="2">
        <v>43714</v>
      </c>
      <c r="J1717" s="1"/>
    </row>
    <row r="1718" spans="1:10" x14ac:dyDescent="0.3">
      <c r="A1718">
        <v>1074</v>
      </c>
      <c r="B1718">
        <v>1</v>
      </c>
      <c r="C1718">
        <v>0</v>
      </c>
      <c r="D1718">
        <v>0</v>
      </c>
      <c r="E1718">
        <v>0</v>
      </c>
      <c r="F1718">
        <v>0</v>
      </c>
      <c r="G1718">
        <v>0</v>
      </c>
      <c r="H1718">
        <v>1</v>
      </c>
      <c r="I1718" s="2">
        <v>43714</v>
      </c>
      <c r="J1718" s="1"/>
    </row>
    <row r="1719" spans="1:10" x14ac:dyDescent="0.3">
      <c r="A1719">
        <v>1105</v>
      </c>
      <c r="B1719">
        <v>0</v>
      </c>
      <c r="C1719">
        <v>1</v>
      </c>
      <c r="D1719">
        <v>1</v>
      </c>
      <c r="E1719">
        <v>0</v>
      </c>
      <c r="F1719">
        <v>0</v>
      </c>
      <c r="G1719">
        <v>0</v>
      </c>
      <c r="H1719">
        <v>1</v>
      </c>
      <c r="I1719" s="2">
        <v>43714</v>
      </c>
      <c r="J1719" s="1"/>
    </row>
    <row r="1720" spans="1:10" x14ac:dyDescent="0.3">
      <c r="A1720">
        <v>1457</v>
      </c>
      <c r="B1720">
        <v>0</v>
      </c>
      <c r="C1720">
        <v>0</v>
      </c>
      <c r="D1720">
        <v>0</v>
      </c>
      <c r="E1720">
        <v>0</v>
      </c>
      <c r="F1720">
        <v>0</v>
      </c>
      <c r="G1720">
        <v>0</v>
      </c>
      <c r="H1720">
        <v>0</v>
      </c>
      <c r="I1720" s="2">
        <v>43714</v>
      </c>
      <c r="J1720" s="1"/>
    </row>
    <row r="1721" spans="1:10" x14ac:dyDescent="0.3">
      <c r="A1721">
        <v>1768</v>
      </c>
      <c r="B1721">
        <v>1</v>
      </c>
      <c r="C1721">
        <v>0</v>
      </c>
      <c r="D1721">
        <v>0</v>
      </c>
      <c r="E1721">
        <v>0</v>
      </c>
      <c r="F1721">
        <v>0</v>
      </c>
      <c r="G1721">
        <v>0</v>
      </c>
      <c r="H1721">
        <v>1</v>
      </c>
      <c r="I1721" s="2">
        <v>43714</v>
      </c>
      <c r="J1721" s="1"/>
    </row>
    <row r="1722" spans="1:10" x14ac:dyDescent="0.3">
      <c r="A1722">
        <v>2080</v>
      </c>
      <c r="B1722">
        <v>0</v>
      </c>
      <c r="C1722">
        <v>0</v>
      </c>
      <c r="D1722">
        <v>0</v>
      </c>
      <c r="E1722">
        <v>0</v>
      </c>
      <c r="F1722">
        <v>0</v>
      </c>
      <c r="G1722">
        <v>0</v>
      </c>
      <c r="H1722">
        <v>0</v>
      </c>
      <c r="I1722" s="2">
        <v>43714</v>
      </c>
      <c r="J1722" s="1"/>
    </row>
    <row r="1723" spans="1:10" x14ac:dyDescent="0.3">
      <c r="A1723">
        <v>2848</v>
      </c>
      <c r="B1723">
        <v>0</v>
      </c>
      <c r="C1723">
        <v>0</v>
      </c>
      <c r="D1723">
        <v>0</v>
      </c>
      <c r="E1723">
        <v>0</v>
      </c>
      <c r="F1723">
        <v>0</v>
      </c>
      <c r="G1723">
        <v>0</v>
      </c>
      <c r="H1723">
        <v>0</v>
      </c>
      <c r="I1723" s="2">
        <v>43714</v>
      </c>
      <c r="J1723" s="1"/>
    </row>
    <row r="1724" spans="1:10" x14ac:dyDescent="0.3">
      <c r="A1724">
        <v>3171</v>
      </c>
      <c r="B1724">
        <v>0</v>
      </c>
      <c r="C1724">
        <v>0</v>
      </c>
      <c r="D1724">
        <v>0</v>
      </c>
      <c r="E1724">
        <v>0</v>
      </c>
      <c r="F1724">
        <v>0</v>
      </c>
      <c r="G1724">
        <v>0</v>
      </c>
      <c r="H1724">
        <v>0</v>
      </c>
      <c r="I1724" s="2">
        <v>43714</v>
      </c>
      <c r="J1724" s="1"/>
    </row>
    <row r="1725" spans="1:10" x14ac:dyDescent="0.3">
      <c r="A1725">
        <v>1646</v>
      </c>
      <c r="B1725">
        <v>0</v>
      </c>
      <c r="C1725">
        <v>0</v>
      </c>
      <c r="D1725">
        <v>0</v>
      </c>
      <c r="E1725">
        <v>0</v>
      </c>
      <c r="F1725">
        <v>0</v>
      </c>
      <c r="G1725">
        <v>0</v>
      </c>
      <c r="H1725">
        <v>0</v>
      </c>
      <c r="I1725" s="2">
        <v>43683</v>
      </c>
      <c r="J1725" s="1"/>
    </row>
    <row r="1726" spans="1:10" x14ac:dyDescent="0.3">
      <c r="A1726">
        <v>2258</v>
      </c>
      <c r="B1726">
        <v>0</v>
      </c>
      <c r="C1726">
        <v>0</v>
      </c>
      <c r="D1726">
        <v>0</v>
      </c>
      <c r="E1726">
        <v>0</v>
      </c>
      <c r="F1726">
        <v>0</v>
      </c>
      <c r="G1726">
        <v>1</v>
      </c>
      <c r="H1726">
        <v>0</v>
      </c>
      <c r="I1726" s="2">
        <v>43683</v>
      </c>
      <c r="J1726" s="1"/>
    </row>
    <row r="1727" spans="1:10" x14ac:dyDescent="0.3">
      <c r="A1727">
        <v>2759</v>
      </c>
      <c r="B1727">
        <v>0</v>
      </c>
      <c r="C1727">
        <v>0</v>
      </c>
      <c r="D1727">
        <v>0</v>
      </c>
      <c r="E1727">
        <v>0</v>
      </c>
      <c r="F1727">
        <v>0</v>
      </c>
      <c r="G1727">
        <v>0</v>
      </c>
      <c r="H1727">
        <v>1</v>
      </c>
      <c r="I1727" s="2">
        <v>43683</v>
      </c>
      <c r="J1727" s="1"/>
    </row>
    <row r="1728" spans="1:10" x14ac:dyDescent="0.3">
      <c r="A1728">
        <v>2947</v>
      </c>
      <c r="B1728">
        <v>0</v>
      </c>
      <c r="C1728">
        <v>0</v>
      </c>
      <c r="D1728">
        <v>0</v>
      </c>
      <c r="E1728">
        <v>0</v>
      </c>
      <c r="F1728">
        <v>0</v>
      </c>
      <c r="G1728">
        <v>0</v>
      </c>
      <c r="H1728">
        <v>1</v>
      </c>
      <c r="I1728" s="2">
        <v>43683</v>
      </c>
      <c r="J1728" s="1"/>
    </row>
    <row r="1729" spans="1:10" x14ac:dyDescent="0.3">
      <c r="A1729">
        <v>2669</v>
      </c>
      <c r="B1729">
        <v>0</v>
      </c>
      <c r="C1729">
        <v>0</v>
      </c>
      <c r="D1729">
        <v>0</v>
      </c>
      <c r="E1729">
        <v>0</v>
      </c>
      <c r="F1729">
        <v>0</v>
      </c>
      <c r="G1729">
        <v>0</v>
      </c>
      <c r="H1729">
        <v>0</v>
      </c>
      <c r="I1729" s="2">
        <v>43652</v>
      </c>
      <c r="J1729" s="1"/>
    </row>
    <row r="1730" spans="1:10" x14ac:dyDescent="0.3">
      <c r="A1730">
        <v>1361</v>
      </c>
      <c r="B1730">
        <v>0</v>
      </c>
      <c r="C1730">
        <v>0</v>
      </c>
      <c r="D1730">
        <v>0</v>
      </c>
      <c r="E1730">
        <v>0</v>
      </c>
      <c r="F1730">
        <v>0</v>
      </c>
      <c r="G1730">
        <v>0</v>
      </c>
      <c r="H1730">
        <v>0</v>
      </c>
      <c r="I1730" s="2">
        <v>43622</v>
      </c>
      <c r="J1730" s="1"/>
    </row>
    <row r="1731" spans="1:10" x14ac:dyDescent="0.3">
      <c r="A1731">
        <v>1427</v>
      </c>
      <c r="B1731">
        <v>0</v>
      </c>
      <c r="C1731">
        <v>0</v>
      </c>
      <c r="D1731">
        <v>0</v>
      </c>
      <c r="E1731">
        <v>0</v>
      </c>
      <c r="F1731">
        <v>0</v>
      </c>
      <c r="G1731">
        <v>0</v>
      </c>
      <c r="H1731">
        <v>0</v>
      </c>
      <c r="I1731" s="2">
        <v>43622</v>
      </c>
      <c r="J1731" s="1"/>
    </row>
    <row r="1732" spans="1:10" x14ac:dyDescent="0.3">
      <c r="A1732">
        <v>1625</v>
      </c>
      <c r="B1732">
        <v>0</v>
      </c>
      <c r="C1732">
        <v>0</v>
      </c>
      <c r="D1732">
        <v>0</v>
      </c>
      <c r="E1732">
        <v>0</v>
      </c>
      <c r="F1732">
        <v>0</v>
      </c>
      <c r="G1732">
        <v>0</v>
      </c>
      <c r="H1732">
        <v>0</v>
      </c>
      <c r="I1732" s="2">
        <v>43622</v>
      </c>
      <c r="J1732" s="1"/>
    </row>
    <row r="1733" spans="1:10" x14ac:dyDescent="0.3">
      <c r="A1733">
        <v>1943</v>
      </c>
      <c r="B1733">
        <v>0</v>
      </c>
      <c r="C1733">
        <v>0</v>
      </c>
      <c r="D1733">
        <v>0</v>
      </c>
      <c r="E1733">
        <v>0</v>
      </c>
      <c r="F1733">
        <v>0</v>
      </c>
      <c r="G1733">
        <v>0</v>
      </c>
      <c r="H1733">
        <v>1</v>
      </c>
      <c r="I1733" s="2">
        <v>43622</v>
      </c>
      <c r="J1733" s="1"/>
    </row>
    <row r="1734" spans="1:10" x14ac:dyDescent="0.3">
      <c r="A1734">
        <v>2270</v>
      </c>
      <c r="B1734">
        <v>0</v>
      </c>
      <c r="C1734">
        <v>0</v>
      </c>
      <c r="D1734">
        <v>0</v>
      </c>
      <c r="E1734">
        <v>0</v>
      </c>
      <c r="F1734">
        <v>0</v>
      </c>
      <c r="G1734">
        <v>0</v>
      </c>
      <c r="H1734">
        <v>0</v>
      </c>
      <c r="I1734" s="2">
        <v>43622</v>
      </c>
      <c r="J1734" s="1"/>
    </row>
    <row r="1735" spans="1:10" x14ac:dyDescent="0.3">
      <c r="A1735">
        <v>1486</v>
      </c>
      <c r="B1735">
        <v>0</v>
      </c>
      <c r="C1735">
        <v>0</v>
      </c>
      <c r="D1735">
        <v>0</v>
      </c>
      <c r="E1735">
        <v>0</v>
      </c>
      <c r="F1735">
        <v>0</v>
      </c>
      <c r="G1735">
        <v>0</v>
      </c>
      <c r="H1735">
        <v>0</v>
      </c>
      <c r="I1735" s="2">
        <v>43591</v>
      </c>
      <c r="J1735" s="1"/>
    </row>
    <row r="1736" spans="1:10" x14ac:dyDescent="0.3">
      <c r="A1736">
        <v>1589</v>
      </c>
      <c r="B1736">
        <v>0</v>
      </c>
      <c r="C1736">
        <v>0</v>
      </c>
      <c r="D1736">
        <v>0</v>
      </c>
      <c r="E1736">
        <v>0</v>
      </c>
      <c r="F1736">
        <v>0</v>
      </c>
      <c r="G1736">
        <v>0</v>
      </c>
      <c r="H1736">
        <v>1</v>
      </c>
      <c r="I1736" s="2">
        <v>43591</v>
      </c>
      <c r="J1736" s="1"/>
    </row>
    <row r="1737" spans="1:10" x14ac:dyDescent="0.3">
      <c r="A1737">
        <v>1348</v>
      </c>
      <c r="B1737">
        <v>0</v>
      </c>
      <c r="C1737">
        <v>0</v>
      </c>
      <c r="D1737">
        <v>0</v>
      </c>
      <c r="E1737">
        <v>0</v>
      </c>
      <c r="F1737">
        <v>0</v>
      </c>
      <c r="G1737">
        <v>0</v>
      </c>
      <c r="H1737">
        <v>0</v>
      </c>
      <c r="I1737" s="2">
        <v>43561</v>
      </c>
      <c r="J1737" s="1"/>
    </row>
    <row r="1738" spans="1:10" x14ac:dyDescent="0.3">
      <c r="A1738">
        <v>1647</v>
      </c>
      <c r="B1738">
        <v>0</v>
      </c>
      <c r="C1738">
        <v>0</v>
      </c>
      <c r="D1738">
        <v>0</v>
      </c>
      <c r="E1738">
        <v>0</v>
      </c>
      <c r="F1738">
        <v>0</v>
      </c>
      <c r="G1738">
        <v>0</v>
      </c>
      <c r="H1738">
        <v>0</v>
      </c>
      <c r="I1738" s="2">
        <v>43561</v>
      </c>
      <c r="J1738" s="1"/>
    </row>
    <row r="1739" spans="1:10" x14ac:dyDescent="0.3">
      <c r="A1739">
        <v>2400</v>
      </c>
      <c r="B1739">
        <v>0</v>
      </c>
      <c r="C1739">
        <v>0</v>
      </c>
      <c r="D1739">
        <v>0</v>
      </c>
      <c r="E1739">
        <v>0</v>
      </c>
      <c r="F1739">
        <v>0</v>
      </c>
      <c r="G1739">
        <v>0</v>
      </c>
      <c r="H1739">
        <v>0</v>
      </c>
      <c r="I1739" s="2">
        <v>43561</v>
      </c>
      <c r="J1739" s="1"/>
    </row>
    <row r="1740" spans="1:10" x14ac:dyDescent="0.3">
      <c r="A1740">
        <v>2706</v>
      </c>
      <c r="B1740">
        <v>0</v>
      </c>
      <c r="C1740">
        <v>0</v>
      </c>
      <c r="D1740">
        <v>0</v>
      </c>
      <c r="E1740">
        <v>0</v>
      </c>
      <c r="F1740">
        <v>0</v>
      </c>
      <c r="G1740">
        <v>0</v>
      </c>
      <c r="H1740">
        <v>0</v>
      </c>
      <c r="I1740" s="2">
        <v>43561</v>
      </c>
      <c r="J1740" s="1"/>
    </row>
    <row r="1741" spans="1:10" x14ac:dyDescent="0.3">
      <c r="A1741">
        <v>2280</v>
      </c>
      <c r="B1741">
        <v>0</v>
      </c>
      <c r="C1741">
        <v>0</v>
      </c>
      <c r="D1741">
        <v>0</v>
      </c>
      <c r="E1741">
        <v>0</v>
      </c>
      <c r="F1741">
        <v>0</v>
      </c>
      <c r="G1741">
        <v>0</v>
      </c>
      <c r="H1741">
        <v>0</v>
      </c>
      <c r="I1741" s="2">
        <v>43530</v>
      </c>
      <c r="J1741" s="1"/>
    </row>
    <row r="1742" spans="1:10" x14ac:dyDescent="0.3">
      <c r="A1742">
        <v>2894</v>
      </c>
      <c r="B1742">
        <v>0</v>
      </c>
      <c r="C1742">
        <v>0</v>
      </c>
      <c r="D1742">
        <v>0</v>
      </c>
      <c r="E1742">
        <v>0</v>
      </c>
      <c r="F1742">
        <v>0</v>
      </c>
      <c r="G1742">
        <v>0</v>
      </c>
      <c r="H1742">
        <v>0</v>
      </c>
      <c r="I1742" s="2">
        <v>43502</v>
      </c>
      <c r="J1742" s="1"/>
    </row>
    <row r="1743" spans="1:10" x14ac:dyDescent="0.3">
      <c r="A1743">
        <v>1332</v>
      </c>
      <c r="B1743">
        <v>0</v>
      </c>
      <c r="C1743">
        <v>0</v>
      </c>
      <c r="D1743">
        <v>0</v>
      </c>
      <c r="E1743">
        <v>0</v>
      </c>
      <c r="F1743">
        <v>0</v>
      </c>
      <c r="G1743">
        <v>0</v>
      </c>
      <c r="H1743">
        <v>0</v>
      </c>
      <c r="I1743" s="2">
        <v>43471</v>
      </c>
      <c r="J1743" s="1"/>
    </row>
    <row r="1744" spans="1:10" x14ac:dyDescent="0.3">
      <c r="A1744">
        <v>2729</v>
      </c>
      <c r="B1744">
        <v>0</v>
      </c>
      <c r="C1744">
        <v>0</v>
      </c>
      <c r="D1744">
        <v>0</v>
      </c>
      <c r="E1744">
        <v>0</v>
      </c>
      <c r="F1744">
        <v>0</v>
      </c>
      <c r="G1744">
        <v>0</v>
      </c>
      <c r="H1744">
        <v>0</v>
      </c>
      <c r="I1744" s="2">
        <v>43471</v>
      </c>
      <c r="J1744" s="1"/>
    </row>
    <row r="1745" spans="1:10" x14ac:dyDescent="0.3">
      <c r="A1745">
        <v>2972</v>
      </c>
      <c r="B1745">
        <v>0</v>
      </c>
      <c r="C1745">
        <v>0</v>
      </c>
      <c r="D1745">
        <v>0</v>
      </c>
      <c r="E1745">
        <v>0</v>
      </c>
      <c r="F1745">
        <v>0</v>
      </c>
      <c r="G1745">
        <v>0</v>
      </c>
      <c r="H1745">
        <v>0</v>
      </c>
      <c r="I1745" s="2">
        <v>43471</v>
      </c>
      <c r="J1745" s="1"/>
    </row>
    <row r="1746" spans="1:10" x14ac:dyDescent="0.3">
      <c r="A1746">
        <v>1016</v>
      </c>
      <c r="B1746">
        <v>0</v>
      </c>
      <c r="C1746">
        <v>0</v>
      </c>
      <c r="D1746">
        <v>0</v>
      </c>
      <c r="E1746">
        <v>0</v>
      </c>
      <c r="F1746">
        <v>0</v>
      </c>
      <c r="G1746">
        <v>0</v>
      </c>
      <c r="H1746">
        <v>0</v>
      </c>
      <c r="I1746" s="2" t="s">
        <v>335</v>
      </c>
    </row>
    <row r="1747" spans="1:10" x14ac:dyDescent="0.3">
      <c r="A1747">
        <v>1041</v>
      </c>
      <c r="B1747">
        <v>0</v>
      </c>
      <c r="C1747">
        <v>0</v>
      </c>
      <c r="D1747">
        <v>0</v>
      </c>
      <c r="E1747">
        <v>0</v>
      </c>
      <c r="F1747">
        <v>0</v>
      </c>
      <c r="G1747">
        <v>0</v>
      </c>
      <c r="H1747">
        <v>0</v>
      </c>
      <c r="I1747" s="2" t="s">
        <v>335</v>
      </c>
    </row>
    <row r="1748" spans="1:10" x14ac:dyDescent="0.3">
      <c r="A1748">
        <v>1382</v>
      </c>
      <c r="B1748">
        <v>0</v>
      </c>
      <c r="C1748">
        <v>0</v>
      </c>
      <c r="D1748">
        <v>0</v>
      </c>
      <c r="E1748">
        <v>0</v>
      </c>
      <c r="F1748">
        <v>0</v>
      </c>
      <c r="G1748">
        <v>0</v>
      </c>
      <c r="H1748">
        <v>0</v>
      </c>
      <c r="I1748" s="2" t="s">
        <v>335</v>
      </c>
    </row>
    <row r="1749" spans="1:10" x14ac:dyDescent="0.3">
      <c r="A1749">
        <v>1828</v>
      </c>
      <c r="B1749">
        <v>0</v>
      </c>
      <c r="C1749">
        <v>0</v>
      </c>
      <c r="D1749">
        <v>0</v>
      </c>
      <c r="E1749">
        <v>0</v>
      </c>
      <c r="F1749">
        <v>0</v>
      </c>
      <c r="G1749">
        <v>0</v>
      </c>
      <c r="H1749">
        <v>0</v>
      </c>
      <c r="I1749" s="2" t="s">
        <v>335</v>
      </c>
    </row>
    <row r="1750" spans="1:10" x14ac:dyDescent="0.3">
      <c r="A1750">
        <v>2960</v>
      </c>
      <c r="B1750">
        <v>0</v>
      </c>
      <c r="C1750">
        <v>0</v>
      </c>
      <c r="D1750">
        <v>0</v>
      </c>
      <c r="E1750">
        <v>0</v>
      </c>
      <c r="F1750">
        <v>0</v>
      </c>
      <c r="G1750">
        <v>0</v>
      </c>
      <c r="H1750">
        <v>0</v>
      </c>
      <c r="I1750" s="2" t="s">
        <v>335</v>
      </c>
    </row>
    <row r="1751" spans="1:10" x14ac:dyDescent="0.3">
      <c r="A1751">
        <v>1022</v>
      </c>
      <c r="B1751">
        <v>0</v>
      </c>
      <c r="C1751">
        <v>1</v>
      </c>
      <c r="D1751">
        <v>0</v>
      </c>
      <c r="E1751">
        <v>0</v>
      </c>
      <c r="F1751">
        <v>0</v>
      </c>
      <c r="G1751">
        <v>0</v>
      </c>
      <c r="H1751">
        <v>0</v>
      </c>
      <c r="I1751" s="2" t="s">
        <v>336</v>
      </c>
    </row>
    <row r="1752" spans="1:10" x14ac:dyDescent="0.3">
      <c r="A1752">
        <v>1228</v>
      </c>
      <c r="B1752">
        <v>0</v>
      </c>
      <c r="C1752">
        <v>0</v>
      </c>
      <c r="D1752">
        <v>0</v>
      </c>
      <c r="E1752">
        <v>0</v>
      </c>
      <c r="F1752">
        <v>0</v>
      </c>
      <c r="G1752">
        <v>0</v>
      </c>
      <c r="H1752">
        <v>0</v>
      </c>
      <c r="I1752" s="2" t="s">
        <v>336</v>
      </c>
    </row>
    <row r="1753" spans="1:10" x14ac:dyDescent="0.3">
      <c r="A1753">
        <v>1338</v>
      </c>
      <c r="B1753">
        <v>0</v>
      </c>
      <c r="C1753">
        <v>0</v>
      </c>
      <c r="D1753">
        <v>0</v>
      </c>
      <c r="E1753">
        <v>0</v>
      </c>
      <c r="F1753">
        <v>0</v>
      </c>
      <c r="G1753">
        <v>0</v>
      </c>
      <c r="H1753">
        <v>0</v>
      </c>
      <c r="I1753" s="2" t="s">
        <v>337</v>
      </c>
    </row>
    <row r="1754" spans="1:10" x14ac:dyDescent="0.3">
      <c r="A1754">
        <v>1914</v>
      </c>
      <c r="B1754">
        <v>0</v>
      </c>
      <c r="C1754">
        <v>0</v>
      </c>
      <c r="D1754">
        <v>0</v>
      </c>
      <c r="E1754">
        <v>0</v>
      </c>
      <c r="F1754">
        <v>0</v>
      </c>
      <c r="G1754">
        <v>0</v>
      </c>
      <c r="H1754">
        <v>0</v>
      </c>
      <c r="I1754" s="2" t="s">
        <v>337</v>
      </c>
    </row>
    <row r="1755" spans="1:10" x14ac:dyDescent="0.3">
      <c r="A1755">
        <v>1925</v>
      </c>
      <c r="B1755">
        <v>0</v>
      </c>
      <c r="C1755">
        <v>0</v>
      </c>
      <c r="D1755">
        <v>0</v>
      </c>
      <c r="E1755">
        <v>0</v>
      </c>
      <c r="F1755">
        <v>0</v>
      </c>
      <c r="G1755">
        <v>0</v>
      </c>
      <c r="H1755">
        <v>0</v>
      </c>
      <c r="I1755" s="2" t="s">
        <v>337</v>
      </c>
    </row>
    <row r="1756" spans="1:10" x14ac:dyDescent="0.3">
      <c r="A1756">
        <v>2171</v>
      </c>
      <c r="B1756">
        <v>0</v>
      </c>
      <c r="C1756">
        <v>0</v>
      </c>
      <c r="D1756">
        <v>0</v>
      </c>
      <c r="E1756">
        <v>0</v>
      </c>
      <c r="F1756">
        <v>0</v>
      </c>
      <c r="G1756">
        <v>0</v>
      </c>
      <c r="H1756">
        <v>1</v>
      </c>
      <c r="I1756" s="2" t="s">
        <v>337</v>
      </c>
    </row>
    <row r="1757" spans="1:10" x14ac:dyDescent="0.3">
      <c r="A1757">
        <v>3144</v>
      </c>
      <c r="B1757">
        <v>0</v>
      </c>
      <c r="C1757">
        <v>0</v>
      </c>
      <c r="D1757">
        <v>0</v>
      </c>
      <c r="E1757">
        <v>0</v>
      </c>
      <c r="F1757">
        <v>0</v>
      </c>
      <c r="G1757">
        <v>0</v>
      </c>
      <c r="H1757">
        <v>0</v>
      </c>
      <c r="I1757" s="2" t="s">
        <v>337</v>
      </c>
    </row>
    <row r="1758" spans="1:10" x14ac:dyDescent="0.3">
      <c r="A1758">
        <v>3080</v>
      </c>
      <c r="B1758">
        <v>1</v>
      </c>
      <c r="C1758">
        <v>0</v>
      </c>
      <c r="D1758">
        <v>0</v>
      </c>
      <c r="E1758">
        <v>0</v>
      </c>
      <c r="F1758">
        <v>0</v>
      </c>
      <c r="G1758">
        <v>0</v>
      </c>
      <c r="H1758">
        <v>0</v>
      </c>
      <c r="I1758" s="2" t="s">
        <v>338</v>
      </c>
    </row>
    <row r="1759" spans="1:10" x14ac:dyDescent="0.3">
      <c r="A1759">
        <v>3183</v>
      </c>
      <c r="B1759">
        <v>0</v>
      </c>
      <c r="C1759">
        <v>0</v>
      </c>
      <c r="D1759">
        <v>0</v>
      </c>
      <c r="E1759">
        <v>0</v>
      </c>
      <c r="F1759">
        <v>0</v>
      </c>
      <c r="G1759">
        <v>0</v>
      </c>
      <c r="H1759">
        <v>0</v>
      </c>
      <c r="I1759" s="2" t="s">
        <v>339</v>
      </c>
    </row>
    <row r="1760" spans="1:10" x14ac:dyDescent="0.3">
      <c r="A1760">
        <v>1070</v>
      </c>
      <c r="B1760">
        <v>0</v>
      </c>
      <c r="C1760">
        <v>0</v>
      </c>
      <c r="D1760">
        <v>0</v>
      </c>
      <c r="E1760">
        <v>0</v>
      </c>
      <c r="F1760">
        <v>0</v>
      </c>
      <c r="G1760">
        <v>0</v>
      </c>
      <c r="H1760">
        <v>0</v>
      </c>
      <c r="I1760" s="2" t="s">
        <v>340</v>
      </c>
    </row>
    <row r="1761" spans="1:9" x14ac:dyDescent="0.3">
      <c r="A1761">
        <v>1100</v>
      </c>
      <c r="B1761">
        <v>0</v>
      </c>
      <c r="C1761">
        <v>0</v>
      </c>
      <c r="D1761">
        <v>0</v>
      </c>
      <c r="E1761">
        <v>0</v>
      </c>
      <c r="F1761">
        <v>0</v>
      </c>
      <c r="G1761">
        <v>0</v>
      </c>
      <c r="H1761">
        <v>0</v>
      </c>
      <c r="I1761" s="2" t="s">
        <v>340</v>
      </c>
    </row>
    <row r="1762" spans="1:9" x14ac:dyDescent="0.3">
      <c r="A1762">
        <v>1701</v>
      </c>
      <c r="B1762">
        <v>0</v>
      </c>
      <c r="C1762">
        <v>0</v>
      </c>
      <c r="D1762">
        <v>0</v>
      </c>
      <c r="E1762">
        <v>0</v>
      </c>
      <c r="F1762">
        <v>0</v>
      </c>
      <c r="G1762">
        <v>0</v>
      </c>
      <c r="H1762">
        <v>0</v>
      </c>
      <c r="I1762" s="2" t="s">
        <v>340</v>
      </c>
    </row>
    <row r="1763" spans="1:9" x14ac:dyDescent="0.3">
      <c r="A1763">
        <v>3062</v>
      </c>
      <c r="B1763">
        <v>0</v>
      </c>
      <c r="C1763">
        <v>0</v>
      </c>
      <c r="D1763">
        <v>1</v>
      </c>
      <c r="E1763">
        <v>1</v>
      </c>
      <c r="F1763">
        <v>0</v>
      </c>
      <c r="G1763">
        <v>0</v>
      </c>
      <c r="H1763">
        <v>1</v>
      </c>
      <c r="I1763" s="2" t="s">
        <v>340</v>
      </c>
    </row>
    <row r="1764" spans="1:9" x14ac:dyDescent="0.3">
      <c r="A1764">
        <v>1612</v>
      </c>
      <c r="B1764">
        <v>0</v>
      </c>
      <c r="C1764">
        <v>0</v>
      </c>
      <c r="D1764">
        <v>0</v>
      </c>
      <c r="E1764">
        <v>0</v>
      </c>
      <c r="F1764">
        <v>0</v>
      </c>
      <c r="G1764">
        <v>0</v>
      </c>
      <c r="H1764">
        <v>0</v>
      </c>
      <c r="I1764" s="2" t="s">
        <v>341</v>
      </c>
    </row>
    <row r="1765" spans="1:9" x14ac:dyDescent="0.3">
      <c r="A1765">
        <v>2106</v>
      </c>
      <c r="B1765">
        <v>0</v>
      </c>
      <c r="C1765">
        <v>0</v>
      </c>
      <c r="D1765">
        <v>0</v>
      </c>
      <c r="E1765">
        <v>0</v>
      </c>
      <c r="F1765">
        <v>0</v>
      </c>
      <c r="G1765">
        <v>0</v>
      </c>
      <c r="H1765">
        <v>1</v>
      </c>
      <c r="I1765" s="2" t="s">
        <v>341</v>
      </c>
    </row>
    <row r="1766" spans="1:9" x14ac:dyDescent="0.3">
      <c r="A1766">
        <v>2755</v>
      </c>
      <c r="B1766">
        <v>0</v>
      </c>
      <c r="C1766">
        <v>0</v>
      </c>
      <c r="D1766">
        <v>0</v>
      </c>
      <c r="E1766">
        <v>0</v>
      </c>
      <c r="F1766">
        <v>0</v>
      </c>
      <c r="G1766">
        <v>0</v>
      </c>
      <c r="H1766">
        <v>0</v>
      </c>
      <c r="I1766" s="2" t="s">
        <v>342</v>
      </c>
    </row>
    <row r="1767" spans="1:9" x14ac:dyDescent="0.3">
      <c r="A1767">
        <v>1165</v>
      </c>
      <c r="B1767">
        <v>0</v>
      </c>
      <c r="C1767">
        <v>1</v>
      </c>
      <c r="D1767">
        <v>0</v>
      </c>
      <c r="E1767">
        <v>1</v>
      </c>
      <c r="F1767">
        <v>0</v>
      </c>
      <c r="G1767">
        <v>0</v>
      </c>
      <c r="H1767">
        <v>1</v>
      </c>
      <c r="I1767" s="2" t="s">
        <v>343</v>
      </c>
    </row>
    <row r="1768" spans="1:9" x14ac:dyDescent="0.3">
      <c r="A1768">
        <v>1493</v>
      </c>
      <c r="B1768">
        <v>0</v>
      </c>
      <c r="C1768">
        <v>0</v>
      </c>
      <c r="D1768">
        <v>0</v>
      </c>
      <c r="E1768">
        <v>0</v>
      </c>
      <c r="F1768">
        <v>0</v>
      </c>
      <c r="G1768">
        <v>0</v>
      </c>
      <c r="H1768">
        <v>0</v>
      </c>
      <c r="I1768" s="2" t="s">
        <v>343</v>
      </c>
    </row>
    <row r="1769" spans="1:9" x14ac:dyDescent="0.3">
      <c r="A1769">
        <v>2364</v>
      </c>
      <c r="B1769">
        <v>0</v>
      </c>
      <c r="C1769">
        <v>0</v>
      </c>
      <c r="D1769">
        <v>0</v>
      </c>
      <c r="E1769">
        <v>0</v>
      </c>
      <c r="F1769">
        <v>0</v>
      </c>
      <c r="G1769">
        <v>0</v>
      </c>
      <c r="H1769">
        <v>0</v>
      </c>
      <c r="I1769" s="2" t="s">
        <v>343</v>
      </c>
    </row>
    <row r="1770" spans="1:9" x14ac:dyDescent="0.3">
      <c r="A1770">
        <v>2422</v>
      </c>
      <c r="B1770">
        <v>0</v>
      </c>
      <c r="C1770">
        <v>0</v>
      </c>
      <c r="D1770">
        <v>0</v>
      </c>
      <c r="E1770">
        <v>0</v>
      </c>
      <c r="F1770">
        <v>0</v>
      </c>
      <c r="G1770">
        <v>0</v>
      </c>
      <c r="H1770">
        <v>0</v>
      </c>
      <c r="I1770" s="2" t="s">
        <v>343</v>
      </c>
    </row>
    <row r="1771" spans="1:9" x14ac:dyDescent="0.3">
      <c r="A1771">
        <v>3055</v>
      </c>
      <c r="B1771">
        <v>0</v>
      </c>
      <c r="C1771">
        <v>0</v>
      </c>
      <c r="D1771">
        <v>0</v>
      </c>
      <c r="E1771">
        <v>0</v>
      </c>
      <c r="F1771">
        <v>0</v>
      </c>
      <c r="G1771">
        <v>0</v>
      </c>
      <c r="H1771">
        <v>0</v>
      </c>
      <c r="I1771" s="2" t="s">
        <v>344</v>
      </c>
    </row>
    <row r="1772" spans="1:9" x14ac:dyDescent="0.3">
      <c r="A1772">
        <v>3076</v>
      </c>
      <c r="B1772">
        <v>1</v>
      </c>
      <c r="C1772">
        <v>0</v>
      </c>
      <c r="D1772">
        <v>0</v>
      </c>
      <c r="E1772">
        <v>0</v>
      </c>
      <c r="F1772">
        <v>0</v>
      </c>
      <c r="G1772">
        <v>0</v>
      </c>
      <c r="H1772">
        <v>1</v>
      </c>
      <c r="I1772" s="2" t="s">
        <v>344</v>
      </c>
    </row>
    <row r="1773" spans="1:9" x14ac:dyDescent="0.3">
      <c r="A1773">
        <v>1142</v>
      </c>
      <c r="B1773">
        <v>0</v>
      </c>
      <c r="C1773">
        <v>0</v>
      </c>
      <c r="D1773">
        <v>0</v>
      </c>
      <c r="E1773">
        <v>0</v>
      </c>
      <c r="F1773">
        <v>0</v>
      </c>
      <c r="G1773">
        <v>0</v>
      </c>
      <c r="H1773">
        <v>0</v>
      </c>
      <c r="I1773" s="2" t="s">
        <v>345</v>
      </c>
    </row>
    <row r="1774" spans="1:9" x14ac:dyDescent="0.3">
      <c r="A1774">
        <v>1106</v>
      </c>
      <c r="B1774">
        <v>0</v>
      </c>
      <c r="C1774">
        <v>0</v>
      </c>
      <c r="D1774">
        <v>0</v>
      </c>
      <c r="E1774">
        <v>0</v>
      </c>
      <c r="F1774">
        <v>0</v>
      </c>
      <c r="G1774">
        <v>0</v>
      </c>
      <c r="H1774">
        <v>0</v>
      </c>
      <c r="I1774" s="2" t="s">
        <v>346</v>
      </c>
    </row>
    <row r="1775" spans="1:9" x14ac:dyDescent="0.3">
      <c r="A1775">
        <v>1341</v>
      </c>
      <c r="B1775">
        <v>0</v>
      </c>
      <c r="C1775">
        <v>0</v>
      </c>
      <c r="D1775">
        <v>0</v>
      </c>
      <c r="E1775">
        <v>0</v>
      </c>
      <c r="F1775">
        <v>0</v>
      </c>
      <c r="G1775">
        <v>0</v>
      </c>
      <c r="H1775">
        <v>0</v>
      </c>
      <c r="I1775" s="2" t="s">
        <v>346</v>
      </c>
    </row>
    <row r="1776" spans="1:9" x14ac:dyDescent="0.3">
      <c r="A1776">
        <v>1366</v>
      </c>
      <c r="B1776">
        <v>0</v>
      </c>
      <c r="C1776">
        <v>0</v>
      </c>
      <c r="D1776">
        <v>0</v>
      </c>
      <c r="E1776">
        <v>0</v>
      </c>
      <c r="F1776">
        <v>0</v>
      </c>
      <c r="G1776">
        <v>0</v>
      </c>
      <c r="H1776">
        <v>0</v>
      </c>
      <c r="I1776" s="2" t="s">
        <v>346</v>
      </c>
    </row>
    <row r="1777" spans="1:9" x14ac:dyDescent="0.3">
      <c r="A1777">
        <v>1575</v>
      </c>
      <c r="B1777">
        <v>0</v>
      </c>
      <c r="C1777">
        <v>0</v>
      </c>
      <c r="D1777">
        <v>1</v>
      </c>
      <c r="E1777">
        <v>1</v>
      </c>
      <c r="F1777">
        <v>0</v>
      </c>
      <c r="G1777">
        <v>0</v>
      </c>
      <c r="H1777">
        <v>1</v>
      </c>
      <c r="I1777" s="2" t="s">
        <v>346</v>
      </c>
    </row>
    <row r="1778" spans="1:9" x14ac:dyDescent="0.3">
      <c r="A1778">
        <v>1876</v>
      </c>
      <c r="B1778">
        <v>0</v>
      </c>
      <c r="C1778">
        <v>0</v>
      </c>
      <c r="D1778">
        <v>0</v>
      </c>
      <c r="E1778">
        <v>0</v>
      </c>
      <c r="F1778">
        <v>0</v>
      </c>
      <c r="G1778">
        <v>0</v>
      </c>
      <c r="H1778">
        <v>0</v>
      </c>
      <c r="I1778" s="2" t="s">
        <v>346</v>
      </c>
    </row>
    <row r="1779" spans="1:9" x14ac:dyDescent="0.3">
      <c r="A1779">
        <v>2311</v>
      </c>
      <c r="B1779">
        <v>0</v>
      </c>
      <c r="C1779">
        <v>0</v>
      </c>
      <c r="D1779">
        <v>0</v>
      </c>
      <c r="E1779">
        <v>0</v>
      </c>
      <c r="F1779">
        <v>0</v>
      </c>
      <c r="G1779">
        <v>0</v>
      </c>
      <c r="H1779">
        <v>1</v>
      </c>
      <c r="I1779" s="2" t="s">
        <v>346</v>
      </c>
    </row>
    <row r="1780" spans="1:9" x14ac:dyDescent="0.3">
      <c r="A1780">
        <v>1596</v>
      </c>
      <c r="B1780">
        <v>0</v>
      </c>
      <c r="C1780">
        <v>0</v>
      </c>
      <c r="D1780">
        <v>0</v>
      </c>
      <c r="E1780">
        <v>0</v>
      </c>
      <c r="F1780">
        <v>0</v>
      </c>
      <c r="G1780">
        <v>0</v>
      </c>
      <c r="H1780">
        <v>0</v>
      </c>
      <c r="I1780" s="2" t="s">
        <v>347</v>
      </c>
    </row>
    <row r="1781" spans="1:9" x14ac:dyDescent="0.3">
      <c r="A1781">
        <v>2503</v>
      </c>
      <c r="B1781">
        <v>0</v>
      </c>
      <c r="C1781">
        <v>0</v>
      </c>
      <c r="D1781">
        <v>0</v>
      </c>
      <c r="E1781">
        <v>0</v>
      </c>
      <c r="F1781">
        <v>0</v>
      </c>
      <c r="G1781">
        <v>0</v>
      </c>
      <c r="H1781">
        <v>0</v>
      </c>
      <c r="I1781" s="2" t="s">
        <v>347</v>
      </c>
    </row>
    <row r="1782" spans="1:9" x14ac:dyDescent="0.3">
      <c r="A1782">
        <v>2506</v>
      </c>
      <c r="B1782">
        <v>1</v>
      </c>
      <c r="C1782">
        <v>0</v>
      </c>
      <c r="D1782">
        <v>0</v>
      </c>
      <c r="E1782">
        <v>0</v>
      </c>
      <c r="F1782">
        <v>0</v>
      </c>
      <c r="G1782">
        <v>0</v>
      </c>
      <c r="H1782">
        <v>0</v>
      </c>
      <c r="I1782" s="2" t="s">
        <v>347</v>
      </c>
    </row>
    <row r="1783" spans="1:9" x14ac:dyDescent="0.3">
      <c r="A1783">
        <v>2375</v>
      </c>
      <c r="B1783">
        <v>0</v>
      </c>
      <c r="C1783">
        <v>0</v>
      </c>
      <c r="D1783">
        <v>0</v>
      </c>
      <c r="E1783">
        <v>0</v>
      </c>
      <c r="F1783">
        <v>0</v>
      </c>
      <c r="G1783">
        <v>0</v>
      </c>
      <c r="H1783">
        <v>0</v>
      </c>
      <c r="I1783" s="2" t="s">
        <v>348</v>
      </c>
    </row>
    <row r="1784" spans="1:9" x14ac:dyDescent="0.3">
      <c r="A1784">
        <v>2810</v>
      </c>
      <c r="B1784">
        <v>0</v>
      </c>
      <c r="C1784">
        <v>0</v>
      </c>
      <c r="D1784">
        <v>0</v>
      </c>
      <c r="E1784">
        <v>0</v>
      </c>
      <c r="F1784">
        <v>0</v>
      </c>
      <c r="G1784">
        <v>0</v>
      </c>
      <c r="H1784">
        <v>0</v>
      </c>
      <c r="I1784" s="2" t="s">
        <v>348</v>
      </c>
    </row>
    <row r="1785" spans="1:9" x14ac:dyDescent="0.3">
      <c r="A1785">
        <v>1215</v>
      </c>
      <c r="B1785">
        <v>0</v>
      </c>
      <c r="C1785">
        <v>0</v>
      </c>
      <c r="D1785">
        <v>0</v>
      </c>
      <c r="E1785">
        <v>0</v>
      </c>
      <c r="F1785">
        <v>0</v>
      </c>
      <c r="G1785">
        <v>0</v>
      </c>
      <c r="H1785">
        <v>0</v>
      </c>
      <c r="I1785" s="2" t="s">
        <v>349</v>
      </c>
    </row>
    <row r="1786" spans="1:9" x14ac:dyDescent="0.3">
      <c r="A1786">
        <v>1587</v>
      </c>
      <c r="B1786">
        <v>0</v>
      </c>
      <c r="C1786">
        <v>0</v>
      </c>
      <c r="D1786">
        <v>0</v>
      </c>
      <c r="E1786">
        <v>0</v>
      </c>
      <c r="F1786">
        <v>0</v>
      </c>
      <c r="G1786">
        <v>0</v>
      </c>
      <c r="H1786">
        <v>0</v>
      </c>
      <c r="I1786" s="2" t="s">
        <v>349</v>
      </c>
    </row>
    <row r="1787" spans="1:9" x14ac:dyDescent="0.3">
      <c r="A1787">
        <v>1755</v>
      </c>
      <c r="B1787">
        <v>0</v>
      </c>
      <c r="C1787">
        <v>0</v>
      </c>
      <c r="D1787">
        <v>0</v>
      </c>
      <c r="E1787">
        <v>0</v>
      </c>
      <c r="F1787">
        <v>0</v>
      </c>
      <c r="G1787">
        <v>0</v>
      </c>
      <c r="H1787">
        <v>0</v>
      </c>
      <c r="I1787" s="2" t="s">
        <v>350</v>
      </c>
    </row>
    <row r="1788" spans="1:9" x14ac:dyDescent="0.3">
      <c r="A1788">
        <v>1101</v>
      </c>
      <c r="B1788">
        <v>0</v>
      </c>
      <c r="C1788">
        <v>0</v>
      </c>
      <c r="D1788">
        <v>0</v>
      </c>
      <c r="E1788">
        <v>0</v>
      </c>
      <c r="F1788">
        <v>0</v>
      </c>
      <c r="G1788">
        <v>0</v>
      </c>
      <c r="H1788">
        <v>0</v>
      </c>
      <c r="I1788" s="2" t="s">
        <v>351</v>
      </c>
    </row>
    <row r="1789" spans="1:9" x14ac:dyDescent="0.3">
      <c r="A1789">
        <v>1553</v>
      </c>
      <c r="B1789">
        <v>0</v>
      </c>
      <c r="C1789">
        <v>0</v>
      </c>
      <c r="D1789">
        <v>0</v>
      </c>
      <c r="E1789">
        <v>0</v>
      </c>
      <c r="F1789">
        <v>0</v>
      </c>
      <c r="G1789">
        <v>0</v>
      </c>
      <c r="H1789">
        <v>0</v>
      </c>
      <c r="I1789" s="2" t="s">
        <v>351</v>
      </c>
    </row>
    <row r="1790" spans="1:9" x14ac:dyDescent="0.3">
      <c r="A1790">
        <v>1642</v>
      </c>
      <c r="B1790">
        <v>0</v>
      </c>
      <c r="C1790">
        <v>0</v>
      </c>
      <c r="D1790">
        <v>0</v>
      </c>
      <c r="E1790">
        <v>0</v>
      </c>
      <c r="F1790">
        <v>0</v>
      </c>
      <c r="G1790">
        <v>0</v>
      </c>
      <c r="H1790">
        <v>0</v>
      </c>
      <c r="I1790" s="2" t="s">
        <v>351</v>
      </c>
    </row>
    <row r="1791" spans="1:9" x14ac:dyDescent="0.3">
      <c r="A1791">
        <v>1696</v>
      </c>
      <c r="B1791">
        <v>0</v>
      </c>
      <c r="C1791">
        <v>0</v>
      </c>
      <c r="D1791">
        <v>0</v>
      </c>
      <c r="E1791">
        <v>0</v>
      </c>
      <c r="F1791">
        <v>0</v>
      </c>
      <c r="G1791">
        <v>0</v>
      </c>
      <c r="H1791">
        <v>0</v>
      </c>
      <c r="I1791" s="2" t="s">
        <v>351</v>
      </c>
    </row>
    <row r="1792" spans="1:9" x14ac:dyDescent="0.3">
      <c r="A1792">
        <v>3176</v>
      </c>
      <c r="B1792">
        <v>0</v>
      </c>
      <c r="C1792">
        <v>0</v>
      </c>
      <c r="D1792">
        <v>0</v>
      </c>
      <c r="E1792">
        <v>0</v>
      </c>
      <c r="F1792">
        <v>0</v>
      </c>
      <c r="G1792">
        <v>0</v>
      </c>
      <c r="H1792">
        <v>0</v>
      </c>
      <c r="I1792" s="2" t="s">
        <v>351</v>
      </c>
    </row>
    <row r="1793" spans="1:10" x14ac:dyDescent="0.3">
      <c r="A1793">
        <v>1321</v>
      </c>
      <c r="B1793">
        <v>0</v>
      </c>
      <c r="C1793">
        <v>1</v>
      </c>
      <c r="D1793">
        <v>1</v>
      </c>
      <c r="E1793">
        <v>1</v>
      </c>
      <c r="F1793">
        <v>0</v>
      </c>
      <c r="G1793">
        <v>0</v>
      </c>
      <c r="H1793">
        <v>1</v>
      </c>
      <c r="I1793" s="2" t="s">
        <v>352</v>
      </c>
    </row>
    <row r="1794" spans="1:10" x14ac:dyDescent="0.3">
      <c r="A1794">
        <v>2169</v>
      </c>
      <c r="B1794">
        <v>0</v>
      </c>
      <c r="C1794">
        <v>0</v>
      </c>
      <c r="D1794">
        <v>0</v>
      </c>
      <c r="E1794">
        <v>0</v>
      </c>
      <c r="F1794">
        <v>0</v>
      </c>
      <c r="G1794">
        <v>0</v>
      </c>
      <c r="H1794">
        <v>0</v>
      </c>
      <c r="I1794" s="2" t="s">
        <v>352</v>
      </c>
    </row>
    <row r="1795" spans="1:10" x14ac:dyDescent="0.3">
      <c r="A1795">
        <v>2566</v>
      </c>
      <c r="B1795">
        <v>0</v>
      </c>
      <c r="C1795">
        <v>0</v>
      </c>
      <c r="D1795">
        <v>0</v>
      </c>
      <c r="E1795">
        <v>0</v>
      </c>
      <c r="F1795">
        <v>0</v>
      </c>
      <c r="G1795">
        <v>0</v>
      </c>
      <c r="H1795">
        <v>0</v>
      </c>
      <c r="I1795" s="2" t="s">
        <v>352</v>
      </c>
    </row>
    <row r="1796" spans="1:10" x14ac:dyDescent="0.3">
      <c r="A1796">
        <v>1174</v>
      </c>
      <c r="B1796">
        <v>0</v>
      </c>
      <c r="C1796">
        <v>0</v>
      </c>
      <c r="D1796">
        <v>0</v>
      </c>
      <c r="E1796">
        <v>0</v>
      </c>
      <c r="F1796">
        <v>0</v>
      </c>
      <c r="G1796">
        <v>0</v>
      </c>
      <c r="H1796">
        <v>0</v>
      </c>
      <c r="I1796" s="2">
        <v>43804</v>
      </c>
      <c r="J1796" s="1"/>
    </row>
    <row r="1797" spans="1:10" x14ac:dyDescent="0.3">
      <c r="A1797">
        <v>1550</v>
      </c>
      <c r="B1797">
        <v>0</v>
      </c>
      <c r="C1797">
        <v>0</v>
      </c>
      <c r="D1797">
        <v>0</v>
      </c>
      <c r="E1797">
        <v>0</v>
      </c>
      <c r="F1797">
        <v>0</v>
      </c>
      <c r="G1797">
        <v>0</v>
      </c>
      <c r="H1797">
        <v>0</v>
      </c>
      <c r="I1797" s="2">
        <v>43804</v>
      </c>
      <c r="J1797" s="1"/>
    </row>
    <row r="1798" spans="1:10" x14ac:dyDescent="0.3">
      <c r="A1798">
        <v>2138</v>
      </c>
      <c r="B1798">
        <v>0</v>
      </c>
      <c r="C1798">
        <v>0</v>
      </c>
      <c r="D1798">
        <v>0</v>
      </c>
      <c r="E1798">
        <v>0</v>
      </c>
      <c r="F1798">
        <v>0</v>
      </c>
      <c r="G1798">
        <v>0</v>
      </c>
      <c r="H1798">
        <v>0</v>
      </c>
      <c r="I1798" s="2">
        <v>43804</v>
      </c>
      <c r="J1798" s="1"/>
    </row>
    <row r="1799" spans="1:10" x14ac:dyDescent="0.3">
      <c r="A1799">
        <v>2954</v>
      </c>
      <c r="B1799">
        <v>1</v>
      </c>
      <c r="C1799">
        <v>0</v>
      </c>
      <c r="D1799">
        <v>0</v>
      </c>
      <c r="E1799">
        <v>0</v>
      </c>
      <c r="F1799">
        <v>0</v>
      </c>
      <c r="G1799">
        <v>0</v>
      </c>
      <c r="H1799">
        <v>1</v>
      </c>
      <c r="I1799" s="2">
        <v>43804</v>
      </c>
      <c r="J1799" s="1"/>
    </row>
    <row r="1800" spans="1:10" x14ac:dyDescent="0.3">
      <c r="A1800">
        <v>1509</v>
      </c>
      <c r="B1800">
        <v>0</v>
      </c>
      <c r="C1800">
        <v>0</v>
      </c>
      <c r="D1800">
        <v>0</v>
      </c>
      <c r="E1800">
        <v>0</v>
      </c>
      <c r="F1800">
        <v>0</v>
      </c>
      <c r="G1800">
        <v>0</v>
      </c>
      <c r="H1800">
        <v>0</v>
      </c>
      <c r="I1800" s="2">
        <v>43774</v>
      </c>
      <c r="J1800" s="1"/>
    </row>
    <row r="1801" spans="1:10" x14ac:dyDescent="0.3">
      <c r="A1801">
        <v>2587</v>
      </c>
      <c r="B1801">
        <v>0</v>
      </c>
      <c r="C1801">
        <v>0</v>
      </c>
      <c r="D1801">
        <v>0</v>
      </c>
      <c r="E1801">
        <v>0</v>
      </c>
      <c r="F1801">
        <v>0</v>
      </c>
      <c r="G1801">
        <v>0</v>
      </c>
      <c r="H1801">
        <v>0</v>
      </c>
      <c r="I1801" s="2">
        <v>43774</v>
      </c>
      <c r="J1801" s="1"/>
    </row>
    <row r="1802" spans="1:10" x14ac:dyDescent="0.3">
      <c r="A1802">
        <v>1475</v>
      </c>
      <c r="B1802">
        <v>0</v>
      </c>
      <c r="C1802">
        <v>0</v>
      </c>
      <c r="D1802">
        <v>0</v>
      </c>
      <c r="E1802">
        <v>0</v>
      </c>
      <c r="F1802">
        <v>0</v>
      </c>
      <c r="G1802">
        <v>0</v>
      </c>
      <c r="H1802">
        <v>0</v>
      </c>
      <c r="I1802" s="2">
        <v>43743</v>
      </c>
      <c r="J1802" s="1"/>
    </row>
    <row r="1803" spans="1:10" x14ac:dyDescent="0.3">
      <c r="A1803">
        <v>1895</v>
      </c>
      <c r="B1803">
        <v>0</v>
      </c>
      <c r="C1803">
        <v>0</v>
      </c>
      <c r="D1803">
        <v>1</v>
      </c>
      <c r="E1803">
        <v>0</v>
      </c>
      <c r="F1803">
        <v>0</v>
      </c>
      <c r="G1803">
        <v>0</v>
      </c>
      <c r="H1803">
        <v>1</v>
      </c>
      <c r="I1803" s="2">
        <v>43743</v>
      </c>
      <c r="J1803" s="1"/>
    </row>
    <row r="1804" spans="1:10" x14ac:dyDescent="0.3">
      <c r="A1804">
        <v>2052</v>
      </c>
      <c r="B1804">
        <v>0</v>
      </c>
      <c r="C1804">
        <v>0</v>
      </c>
      <c r="D1804">
        <v>0</v>
      </c>
      <c r="E1804">
        <v>0</v>
      </c>
      <c r="F1804">
        <v>0</v>
      </c>
      <c r="G1804">
        <v>0</v>
      </c>
      <c r="H1804">
        <v>0</v>
      </c>
      <c r="I1804" s="2">
        <v>43743</v>
      </c>
      <c r="J1804" s="1"/>
    </row>
    <row r="1805" spans="1:10" x14ac:dyDescent="0.3">
      <c r="A1805">
        <v>2227</v>
      </c>
      <c r="B1805">
        <v>0</v>
      </c>
      <c r="C1805">
        <v>0</v>
      </c>
      <c r="D1805">
        <v>0</v>
      </c>
      <c r="E1805">
        <v>0</v>
      </c>
      <c r="F1805">
        <v>0</v>
      </c>
      <c r="G1805">
        <v>0</v>
      </c>
      <c r="H1805">
        <v>0</v>
      </c>
      <c r="I1805" s="2">
        <v>43743</v>
      </c>
      <c r="J1805" s="1"/>
    </row>
    <row r="1806" spans="1:10" x14ac:dyDescent="0.3">
      <c r="A1806">
        <v>2355</v>
      </c>
      <c r="B1806">
        <v>0</v>
      </c>
      <c r="C1806">
        <v>0</v>
      </c>
      <c r="D1806">
        <v>0</v>
      </c>
      <c r="E1806">
        <v>0</v>
      </c>
      <c r="F1806">
        <v>0</v>
      </c>
      <c r="G1806">
        <v>0</v>
      </c>
      <c r="H1806">
        <v>0</v>
      </c>
      <c r="I1806" s="2">
        <v>43713</v>
      </c>
      <c r="J1806" s="1"/>
    </row>
    <row r="1807" spans="1:10" x14ac:dyDescent="0.3">
      <c r="A1807">
        <v>2542</v>
      </c>
      <c r="B1807">
        <v>0</v>
      </c>
      <c r="C1807">
        <v>1</v>
      </c>
      <c r="D1807">
        <v>0</v>
      </c>
      <c r="E1807">
        <v>0</v>
      </c>
      <c r="F1807">
        <v>0</v>
      </c>
      <c r="G1807">
        <v>0</v>
      </c>
      <c r="H1807">
        <v>0</v>
      </c>
      <c r="I1807" s="2">
        <v>43713</v>
      </c>
      <c r="J1807" s="1"/>
    </row>
    <row r="1808" spans="1:10" x14ac:dyDescent="0.3">
      <c r="A1808">
        <v>1353</v>
      </c>
      <c r="B1808">
        <v>0</v>
      </c>
      <c r="C1808">
        <v>0</v>
      </c>
      <c r="D1808">
        <v>0</v>
      </c>
      <c r="E1808">
        <v>0</v>
      </c>
      <c r="F1808">
        <v>0</v>
      </c>
      <c r="G1808">
        <v>0</v>
      </c>
      <c r="H1808">
        <v>0</v>
      </c>
      <c r="I1808" s="2">
        <v>43682</v>
      </c>
      <c r="J1808" s="1"/>
    </row>
    <row r="1809" spans="1:10" x14ac:dyDescent="0.3">
      <c r="A1809">
        <v>1656</v>
      </c>
      <c r="B1809">
        <v>0</v>
      </c>
      <c r="C1809">
        <v>0</v>
      </c>
      <c r="D1809">
        <v>0</v>
      </c>
      <c r="E1809">
        <v>0</v>
      </c>
      <c r="F1809">
        <v>0</v>
      </c>
      <c r="G1809">
        <v>0</v>
      </c>
      <c r="H1809">
        <v>0</v>
      </c>
      <c r="I1809" s="2">
        <v>43682</v>
      </c>
      <c r="J1809" s="1"/>
    </row>
    <row r="1810" spans="1:10" x14ac:dyDescent="0.3">
      <c r="A1810">
        <v>1937</v>
      </c>
      <c r="B1810">
        <v>0</v>
      </c>
      <c r="C1810">
        <v>0</v>
      </c>
      <c r="D1810">
        <v>0</v>
      </c>
      <c r="E1810">
        <v>0</v>
      </c>
      <c r="F1810">
        <v>0</v>
      </c>
      <c r="G1810">
        <v>0</v>
      </c>
      <c r="H1810">
        <v>1</v>
      </c>
      <c r="I1810" s="2">
        <v>43682</v>
      </c>
      <c r="J1810" s="1"/>
    </row>
    <row r="1811" spans="1:10" x14ac:dyDescent="0.3">
      <c r="A1811">
        <v>2423</v>
      </c>
      <c r="B1811">
        <v>1</v>
      </c>
      <c r="C1811">
        <v>0</v>
      </c>
      <c r="D1811">
        <v>0</v>
      </c>
      <c r="E1811">
        <v>0</v>
      </c>
      <c r="F1811">
        <v>0</v>
      </c>
      <c r="G1811">
        <v>0</v>
      </c>
      <c r="H1811">
        <v>0</v>
      </c>
      <c r="I1811" s="2">
        <v>43682</v>
      </c>
      <c r="J1811" s="1"/>
    </row>
    <row r="1812" spans="1:10" x14ac:dyDescent="0.3">
      <c r="A1812">
        <v>2053</v>
      </c>
      <c r="B1812">
        <v>0</v>
      </c>
      <c r="C1812">
        <v>0</v>
      </c>
      <c r="D1812">
        <v>0</v>
      </c>
      <c r="E1812">
        <v>0</v>
      </c>
      <c r="F1812">
        <v>0</v>
      </c>
      <c r="G1812">
        <v>0</v>
      </c>
      <c r="H1812">
        <v>0</v>
      </c>
      <c r="I1812" s="2">
        <v>43651</v>
      </c>
      <c r="J1812" s="1"/>
    </row>
    <row r="1813" spans="1:10" x14ac:dyDescent="0.3">
      <c r="A1813">
        <v>1822</v>
      </c>
      <c r="B1813">
        <v>0</v>
      </c>
      <c r="C1813">
        <v>0</v>
      </c>
      <c r="D1813">
        <v>0</v>
      </c>
      <c r="E1813">
        <v>0</v>
      </c>
      <c r="F1813">
        <v>0</v>
      </c>
      <c r="G1813">
        <v>0</v>
      </c>
      <c r="H1813">
        <v>0</v>
      </c>
      <c r="I1813" s="2">
        <v>43621</v>
      </c>
      <c r="J1813" s="1"/>
    </row>
    <row r="1814" spans="1:10" x14ac:dyDescent="0.3">
      <c r="A1814">
        <v>1972</v>
      </c>
      <c r="B1814">
        <v>0</v>
      </c>
      <c r="C1814">
        <v>0</v>
      </c>
      <c r="D1814">
        <v>0</v>
      </c>
      <c r="E1814">
        <v>0</v>
      </c>
      <c r="F1814">
        <v>0</v>
      </c>
      <c r="G1814">
        <v>0</v>
      </c>
      <c r="H1814">
        <v>0</v>
      </c>
      <c r="I1814" s="2">
        <v>43621</v>
      </c>
      <c r="J1814" s="1"/>
    </row>
    <row r="1815" spans="1:10" x14ac:dyDescent="0.3">
      <c r="A1815">
        <v>2518</v>
      </c>
      <c r="B1815">
        <v>0</v>
      </c>
      <c r="C1815">
        <v>0</v>
      </c>
      <c r="D1815">
        <v>0</v>
      </c>
      <c r="E1815">
        <v>0</v>
      </c>
      <c r="F1815">
        <v>0</v>
      </c>
      <c r="G1815">
        <v>0</v>
      </c>
      <c r="H1815">
        <v>0</v>
      </c>
      <c r="I1815" s="2">
        <v>43621</v>
      </c>
      <c r="J1815" s="1"/>
    </row>
    <row r="1816" spans="1:10" x14ac:dyDescent="0.3">
      <c r="A1816">
        <v>3068</v>
      </c>
      <c r="B1816">
        <v>0</v>
      </c>
      <c r="C1816">
        <v>1</v>
      </c>
      <c r="D1816">
        <v>0</v>
      </c>
      <c r="E1816">
        <v>0</v>
      </c>
      <c r="F1816">
        <v>1</v>
      </c>
      <c r="G1816">
        <v>0</v>
      </c>
      <c r="H1816">
        <v>0</v>
      </c>
      <c r="I1816" s="2">
        <v>43621</v>
      </c>
      <c r="J1816" s="1"/>
    </row>
    <row r="1817" spans="1:10" x14ac:dyDescent="0.3">
      <c r="A1817">
        <v>1526</v>
      </c>
      <c r="B1817">
        <v>0</v>
      </c>
      <c r="C1817">
        <v>0</v>
      </c>
      <c r="D1817">
        <v>0</v>
      </c>
      <c r="E1817">
        <v>0</v>
      </c>
      <c r="F1817">
        <v>0</v>
      </c>
      <c r="G1817">
        <v>0</v>
      </c>
      <c r="H1817">
        <v>0</v>
      </c>
      <c r="I1817" s="2">
        <v>43590</v>
      </c>
      <c r="J1817" s="1"/>
    </row>
    <row r="1818" spans="1:10" x14ac:dyDescent="0.3">
      <c r="A1818">
        <v>2492</v>
      </c>
      <c r="B1818">
        <v>0</v>
      </c>
      <c r="C1818">
        <v>0</v>
      </c>
      <c r="D1818">
        <v>0</v>
      </c>
      <c r="E1818">
        <v>0</v>
      </c>
      <c r="F1818">
        <v>0</v>
      </c>
      <c r="G1818">
        <v>0</v>
      </c>
      <c r="H1818">
        <v>0</v>
      </c>
      <c r="I1818" s="2">
        <v>43590</v>
      </c>
      <c r="J1818" s="1"/>
    </row>
    <row r="1819" spans="1:10" x14ac:dyDescent="0.3">
      <c r="A1819">
        <v>2650</v>
      </c>
      <c r="B1819">
        <v>0</v>
      </c>
      <c r="C1819">
        <v>0</v>
      </c>
      <c r="D1819">
        <v>0</v>
      </c>
      <c r="E1819">
        <v>0</v>
      </c>
      <c r="F1819">
        <v>0</v>
      </c>
      <c r="G1819">
        <v>0</v>
      </c>
      <c r="H1819">
        <v>0</v>
      </c>
      <c r="I1819" s="2">
        <v>43590</v>
      </c>
      <c r="J1819" s="1"/>
    </row>
    <row r="1820" spans="1:10" x14ac:dyDescent="0.3">
      <c r="A1820">
        <v>2039</v>
      </c>
      <c r="B1820">
        <v>0</v>
      </c>
      <c r="C1820">
        <v>0</v>
      </c>
      <c r="D1820">
        <v>0</v>
      </c>
      <c r="E1820">
        <v>0</v>
      </c>
      <c r="F1820">
        <v>0</v>
      </c>
      <c r="G1820">
        <v>0</v>
      </c>
      <c r="H1820">
        <v>0</v>
      </c>
      <c r="I1820" s="2">
        <v>43560</v>
      </c>
      <c r="J1820" s="1"/>
    </row>
    <row r="1821" spans="1:10" x14ac:dyDescent="0.3">
      <c r="A1821">
        <v>1867</v>
      </c>
      <c r="B1821">
        <v>0</v>
      </c>
      <c r="C1821">
        <v>0</v>
      </c>
      <c r="D1821">
        <v>0</v>
      </c>
      <c r="E1821">
        <v>0</v>
      </c>
      <c r="F1821">
        <v>0</v>
      </c>
      <c r="G1821">
        <v>0</v>
      </c>
      <c r="H1821">
        <v>0</v>
      </c>
      <c r="I1821" s="2">
        <v>43529</v>
      </c>
      <c r="J1821" s="1"/>
    </row>
    <row r="1822" spans="1:10" x14ac:dyDescent="0.3">
      <c r="A1822">
        <v>2981</v>
      </c>
      <c r="B1822">
        <v>0</v>
      </c>
      <c r="C1822">
        <v>0</v>
      </c>
      <c r="D1822">
        <v>0</v>
      </c>
      <c r="E1822">
        <v>0</v>
      </c>
      <c r="F1822">
        <v>0</v>
      </c>
      <c r="G1822">
        <v>0</v>
      </c>
      <c r="H1822">
        <v>0</v>
      </c>
      <c r="I1822" s="2">
        <v>43529</v>
      </c>
      <c r="J1822" s="1"/>
    </row>
    <row r="1823" spans="1:10" x14ac:dyDescent="0.3">
      <c r="A1823">
        <v>2488</v>
      </c>
      <c r="B1823">
        <v>0</v>
      </c>
      <c r="C1823">
        <v>0</v>
      </c>
      <c r="D1823">
        <v>0</v>
      </c>
      <c r="E1823">
        <v>0</v>
      </c>
      <c r="F1823">
        <v>0</v>
      </c>
      <c r="G1823">
        <v>0</v>
      </c>
      <c r="H1823">
        <v>0</v>
      </c>
      <c r="I1823" s="2">
        <v>43501</v>
      </c>
      <c r="J1823" s="1"/>
    </row>
    <row r="1824" spans="1:10" x14ac:dyDescent="0.3">
      <c r="A1824">
        <v>2694</v>
      </c>
      <c r="B1824">
        <v>1</v>
      </c>
      <c r="C1824">
        <v>0</v>
      </c>
      <c r="D1824">
        <v>0</v>
      </c>
      <c r="E1824">
        <v>0</v>
      </c>
      <c r="F1824">
        <v>0</v>
      </c>
      <c r="G1824">
        <v>0</v>
      </c>
      <c r="H1824">
        <v>1</v>
      </c>
      <c r="I1824" s="2">
        <v>43501</v>
      </c>
      <c r="J1824" s="1"/>
    </row>
    <row r="1825" spans="1:10" x14ac:dyDescent="0.3">
      <c r="A1825">
        <v>1015</v>
      </c>
      <c r="B1825">
        <v>0</v>
      </c>
      <c r="C1825">
        <v>0</v>
      </c>
      <c r="D1825">
        <v>1</v>
      </c>
      <c r="E1825">
        <v>1</v>
      </c>
      <c r="F1825">
        <v>0</v>
      </c>
      <c r="G1825">
        <v>0</v>
      </c>
      <c r="H1825">
        <v>1</v>
      </c>
      <c r="I1825" s="2">
        <v>43470</v>
      </c>
      <c r="J1825" s="1"/>
    </row>
    <row r="1826" spans="1:10" x14ac:dyDescent="0.3">
      <c r="A1826">
        <v>1798</v>
      </c>
      <c r="B1826">
        <v>0</v>
      </c>
      <c r="C1826">
        <v>0</v>
      </c>
      <c r="D1826">
        <v>0</v>
      </c>
      <c r="E1826">
        <v>0</v>
      </c>
      <c r="F1826">
        <v>0</v>
      </c>
      <c r="G1826">
        <v>0</v>
      </c>
      <c r="H1826">
        <v>0</v>
      </c>
      <c r="I1826" s="2">
        <v>43470</v>
      </c>
      <c r="J1826" s="1"/>
    </row>
    <row r="1827" spans="1:10" x14ac:dyDescent="0.3">
      <c r="A1827">
        <v>2546</v>
      </c>
      <c r="B1827">
        <v>0</v>
      </c>
      <c r="C1827">
        <v>0</v>
      </c>
      <c r="D1827">
        <v>1</v>
      </c>
      <c r="E1827">
        <v>1</v>
      </c>
      <c r="F1827">
        <v>0</v>
      </c>
      <c r="G1827">
        <v>0</v>
      </c>
      <c r="H1827">
        <v>1</v>
      </c>
      <c r="I1827" s="2">
        <v>43470</v>
      </c>
      <c r="J1827" s="1"/>
    </row>
    <row r="1828" spans="1:10" x14ac:dyDescent="0.3">
      <c r="A1828">
        <v>1250</v>
      </c>
      <c r="B1828">
        <v>0</v>
      </c>
      <c r="C1828">
        <v>0</v>
      </c>
      <c r="D1828">
        <v>0</v>
      </c>
      <c r="E1828">
        <v>0</v>
      </c>
      <c r="F1828">
        <v>0</v>
      </c>
      <c r="G1828">
        <v>0</v>
      </c>
      <c r="H1828">
        <v>0</v>
      </c>
      <c r="I1828" s="2" t="s">
        <v>353</v>
      </c>
    </row>
    <row r="1829" spans="1:10" x14ac:dyDescent="0.3">
      <c r="A1829">
        <v>1326</v>
      </c>
      <c r="B1829">
        <v>0</v>
      </c>
      <c r="C1829">
        <v>1</v>
      </c>
      <c r="D1829">
        <v>0</v>
      </c>
      <c r="E1829">
        <v>0</v>
      </c>
      <c r="F1829">
        <v>1</v>
      </c>
      <c r="G1829">
        <v>0</v>
      </c>
      <c r="H1829">
        <v>0</v>
      </c>
      <c r="I1829" s="2" t="s">
        <v>353</v>
      </c>
    </row>
    <row r="1830" spans="1:10" x14ac:dyDescent="0.3">
      <c r="A1830">
        <v>1347</v>
      </c>
      <c r="B1830">
        <v>0</v>
      </c>
      <c r="C1830">
        <v>0</v>
      </c>
      <c r="D1830">
        <v>0</v>
      </c>
      <c r="E1830">
        <v>0</v>
      </c>
      <c r="F1830">
        <v>0</v>
      </c>
      <c r="G1830">
        <v>0</v>
      </c>
      <c r="H1830">
        <v>0</v>
      </c>
      <c r="I1830" s="2" t="s">
        <v>353</v>
      </c>
    </row>
    <row r="1831" spans="1:10" x14ac:dyDescent="0.3">
      <c r="A1831">
        <v>2267</v>
      </c>
      <c r="B1831">
        <v>0</v>
      </c>
      <c r="C1831">
        <v>1</v>
      </c>
      <c r="D1831">
        <v>0</v>
      </c>
      <c r="E1831">
        <v>0</v>
      </c>
      <c r="F1831">
        <v>0</v>
      </c>
      <c r="G1831">
        <v>0</v>
      </c>
      <c r="H1831">
        <v>1</v>
      </c>
      <c r="I1831" s="2" t="s">
        <v>353</v>
      </c>
    </row>
    <row r="1832" spans="1:10" x14ac:dyDescent="0.3">
      <c r="A1832">
        <v>2291</v>
      </c>
      <c r="B1832">
        <v>0</v>
      </c>
      <c r="C1832">
        <v>0</v>
      </c>
      <c r="D1832">
        <v>0</v>
      </c>
      <c r="E1832">
        <v>0</v>
      </c>
      <c r="F1832">
        <v>0</v>
      </c>
      <c r="G1832">
        <v>0</v>
      </c>
      <c r="H1832">
        <v>0</v>
      </c>
      <c r="I1832" s="2" t="s">
        <v>353</v>
      </c>
    </row>
    <row r="1833" spans="1:10" x14ac:dyDescent="0.3">
      <c r="A1833">
        <v>2452</v>
      </c>
      <c r="B1833">
        <v>0</v>
      </c>
      <c r="C1833">
        <v>0</v>
      </c>
      <c r="D1833">
        <v>0</v>
      </c>
      <c r="E1833">
        <v>0</v>
      </c>
      <c r="F1833">
        <v>0</v>
      </c>
      <c r="G1833">
        <v>0</v>
      </c>
      <c r="H1833">
        <v>0</v>
      </c>
      <c r="I1833" s="2" t="s">
        <v>353</v>
      </c>
    </row>
    <row r="1834" spans="1:10" x14ac:dyDescent="0.3">
      <c r="A1834">
        <v>2901</v>
      </c>
      <c r="B1834">
        <v>0</v>
      </c>
      <c r="C1834">
        <v>1</v>
      </c>
      <c r="D1834">
        <v>0</v>
      </c>
      <c r="E1834">
        <v>0</v>
      </c>
      <c r="F1834">
        <v>1</v>
      </c>
      <c r="G1834">
        <v>0</v>
      </c>
      <c r="H1834">
        <v>0</v>
      </c>
      <c r="I1834" s="2" t="s">
        <v>353</v>
      </c>
    </row>
    <row r="1835" spans="1:10" x14ac:dyDescent="0.3">
      <c r="A1835">
        <v>3169</v>
      </c>
      <c r="B1835">
        <v>0</v>
      </c>
      <c r="C1835">
        <v>0</v>
      </c>
      <c r="D1835">
        <v>0</v>
      </c>
      <c r="E1835">
        <v>0</v>
      </c>
      <c r="F1835">
        <v>0</v>
      </c>
      <c r="G1835">
        <v>0</v>
      </c>
      <c r="H1835">
        <v>0</v>
      </c>
      <c r="I1835" s="2" t="s">
        <v>353</v>
      </c>
    </row>
    <row r="1836" spans="1:10" x14ac:dyDescent="0.3">
      <c r="A1836">
        <v>1088</v>
      </c>
      <c r="B1836">
        <v>0</v>
      </c>
      <c r="C1836">
        <v>1</v>
      </c>
      <c r="D1836">
        <v>0</v>
      </c>
      <c r="E1836">
        <v>0</v>
      </c>
      <c r="F1836">
        <v>0</v>
      </c>
      <c r="G1836">
        <v>0</v>
      </c>
      <c r="H1836">
        <v>0</v>
      </c>
      <c r="I1836" s="2" t="s">
        <v>354</v>
      </c>
    </row>
    <row r="1837" spans="1:10" x14ac:dyDescent="0.3">
      <c r="A1837">
        <v>2102</v>
      </c>
      <c r="B1837">
        <v>0</v>
      </c>
      <c r="C1837">
        <v>0</v>
      </c>
      <c r="D1837">
        <v>0</v>
      </c>
      <c r="E1837">
        <v>0</v>
      </c>
      <c r="F1837">
        <v>0</v>
      </c>
      <c r="G1837">
        <v>0</v>
      </c>
      <c r="H1837">
        <v>0</v>
      </c>
      <c r="I1837" s="2" t="s">
        <v>354</v>
      </c>
    </row>
    <row r="1838" spans="1:10" x14ac:dyDescent="0.3">
      <c r="A1838">
        <v>2649</v>
      </c>
      <c r="B1838">
        <v>0</v>
      </c>
      <c r="C1838">
        <v>0</v>
      </c>
      <c r="D1838">
        <v>0</v>
      </c>
      <c r="E1838">
        <v>0</v>
      </c>
      <c r="F1838">
        <v>0</v>
      </c>
      <c r="G1838">
        <v>0</v>
      </c>
      <c r="H1838">
        <v>0</v>
      </c>
      <c r="I1838" s="2" t="s">
        <v>354</v>
      </c>
    </row>
    <row r="1839" spans="1:10" x14ac:dyDescent="0.3">
      <c r="A1839">
        <v>2255</v>
      </c>
      <c r="B1839">
        <v>0</v>
      </c>
      <c r="C1839">
        <v>0</v>
      </c>
      <c r="D1839">
        <v>0</v>
      </c>
      <c r="E1839">
        <v>0</v>
      </c>
      <c r="F1839">
        <v>0</v>
      </c>
      <c r="G1839">
        <v>0</v>
      </c>
      <c r="H1839">
        <v>0</v>
      </c>
      <c r="I1839" s="2" t="s">
        <v>355</v>
      </c>
    </row>
    <row r="1840" spans="1:10" x14ac:dyDescent="0.3">
      <c r="A1840">
        <v>2321</v>
      </c>
      <c r="B1840">
        <v>0</v>
      </c>
      <c r="C1840">
        <v>0</v>
      </c>
      <c r="D1840">
        <v>0</v>
      </c>
      <c r="E1840">
        <v>0</v>
      </c>
      <c r="F1840">
        <v>0</v>
      </c>
      <c r="G1840">
        <v>0</v>
      </c>
      <c r="H1840">
        <v>0</v>
      </c>
      <c r="I1840" s="2" t="s">
        <v>355</v>
      </c>
    </row>
    <row r="1841" spans="1:9" x14ac:dyDescent="0.3">
      <c r="A1841">
        <v>2501</v>
      </c>
      <c r="B1841">
        <v>0</v>
      </c>
      <c r="C1841">
        <v>0</v>
      </c>
      <c r="D1841">
        <v>0</v>
      </c>
      <c r="E1841">
        <v>0</v>
      </c>
      <c r="F1841">
        <v>0</v>
      </c>
      <c r="G1841">
        <v>0</v>
      </c>
      <c r="H1841">
        <v>0</v>
      </c>
      <c r="I1841" s="2" t="s">
        <v>356</v>
      </c>
    </row>
    <row r="1842" spans="1:9" x14ac:dyDescent="0.3">
      <c r="A1842">
        <v>2721</v>
      </c>
      <c r="B1842">
        <v>0</v>
      </c>
      <c r="C1842">
        <v>0</v>
      </c>
      <c r="D1842">
        <v>0</v>
      </c>
      <c r="E1842">
        <v>0</v>
      </c>
      <c r="F1842">
        <v>0</v>
      </c>
      <c r="G1842">
        <v>0</v>
      </c>
      <c r="H1842">
        <v>0</v>
      </c>
      <c r="I1842" s="2" t="s">
        <v>356</v>
      </c>
    </row>
    <row r="1843" spans="1:9" x14ac:dyDescent="0.3">
      <c r="A1843">
        <v>1052</v>
      </c>
      <c r="B1843">
        <v>0</v>
      </c>
      <c r="C1843">
        <v>0</v>
      </c>
      <c r="D1843">
        <v>1</v>
      </c>
      <c r="E1843">
        <v>0</v>
      </c>
      <c r="F1843">
        <v>0</v>
      </c>
      <c r="G1843">
        <v>0</v>
      </c>
      <c r="H1843">
        <v>1</v>
      </c>
      <c r="I1843" s="2" t="s">
        <v>357</v>
      </c>
    </row>
    <row r="1844" spans="1:9" x14ac:dyDescent="0.3">
      <c r="A1844">
        <v>2912</v>
      </c>
      <c r="B1844">
        <v>0</v>
      </c>
      <c r="C1844">
        <v>0</v>
      </c>
      <c r="D1844">
        <v>0</v>
      </c>
      <c r="E1844">
        <v>0</v>
      </c>
      <c r="F1844">
        <v>0</v>
      </c>
      <c r="G1844">
        <v>0</v>
      </c>
      <c r="H1844">
        <v>1</v>
      </c>
      <c r="I1844" s="2" t="s">
        <v>357</v>
      </c>
    </row>
    <row r="1845" spans="1:9" x14ac:dyDescent="0.3">
      <c r="A1845">
        <v>2105</v>
      </c>
      <c r="B1845">
        <v>0</v>
      </c>
      <c r="C1845">
        <v>0</v>
      </c>
      <c r="D1845">
        <v>0</v>
      </c>
      <c r="E1845">
        <v>0</v>
      </c>
      <c r="F1845">
        <v>0</v>
      </c>
      <c r="G1845">
        <v>0</v>
      </c>
      <c r="H1845">
        <v>0</v>
      </c>
      <c r="I1845" s="2" t="s">
        <v>358</v>
      </c>
    </row>
    <row r="1846" spans="1:9" x14ac:dyDescent="0.3">
      <c r="A1846">
        <v>1352</v>
      </c>
      <c r="B1846">
        <v>0</v>
      </c>
      <c r="C1846">
        <v>0</v>
      </c>
      <c r="D1846">
        <v>0</v>
      </c>
      <c r="E1846">
        <v>0</v>
      </c>
      <c r="F1846">
        <v>0</v>
      </c>
      <c r="G1846">
        <v>0</v>
      </c>
      <c r="H1846">
        <v>0</v>
      </c>
      <c r="I1846" s="2" t="s">
        <v>359</v>
      </c>
    </row>
    <row r="1847" spans="1:9" x14ac:dyDescent="0.3">
      <c r="A1847">
        <v>1394</v>
      </c>
      <c r="B1847">
        <v>0</v>
      </c>
      <c r="C1847">
        <v>0</v>
      </c>
      <c r="D1847">
        <v>0</v>
      </c>
      <c r="E1847">
        <v>0</v>
      </c>
      <c r="F1847">
        <v>0</v>
      </c>
      <c r="G1847">
        <v>0</v>
      </c>
      <c r="H1847">
        <v>1</v>
      </c>
      <c r="I1847" s="2" t="s">
        <v>359</v>
      </c>
    </row>
    <row r="1848" spans="1:9" x14ac:dyDescent="0.3">
      <c r="A1848">
        <v>2062</v>
      </c>
      <c r="B1848">
        <v>0</v>
      </c>
      <c r="C1848">
        <v>0</v>
      </c>
      <c r="D1848">
        <v>0</v>
      </c>
      <c r="E1848">
        <v>0</v>
      </c>
      <c r="F1848">
        <v>0</v>
      </c>
      <c r="G1848">
        <v>0</v>
      </c>
      <c r="H1848">
        <v>1</v>
      </c>
      <c r="I1848" s="2" t="s">
        <v>359</v>
      </c>
    </row>
    <row r="1849" spans="1:9" x14ac:dyDescent="0.3">
      <c r="A1849">
        <v>2172</v>
      </c>
      <c r="B1849">
        <v>0</v>
      </c>
      <c r="C1849">
        <v>1</v>
      </c>
      <c r="D1849">
        <v>1</v>
      </c>
      <c r="E1849">
        <v>0</v>
      </c>
      <c r="F1849">
        <v>0</v>
      </c>
      <c r="G1849">
        <v>0</v>
      </c>
      <c r="H1849">
        <v>1</v>
      </c>
      <c r="I1849" s="2" t="s">
        <v>359</v>
      </c>
    </row>
    <row r="1850" spans="1:9" x14ac:dyDescent="0.3">
      <c r="A1850">
        <v>2831</v>
      </c>
      <c r="B1850">
        <v>0</v>
      </c>
      <c r="C1850">
        <v>0</v>
      </c>
      <c r="D1850">
        <v>0</v>
      </c>
      <c r="E1850">
        <v>0</v>
      </c>
      <c r="F1850">
        <v>0</v>
      </c>
      <c r="G1850">
        <v>0</v>
      </c>
      <c r="H1850">
        <v>0</v>
      </c>
      <c r="I1850" s="2" t="s">
        <v>359</v>
      </c>
    </row>
    <row r="1851" spans="1:9" x14ac:dyDescent="0.3">
      <c r="A1851">
        <v>2450</v>
      </c>
      <c r="B1851">
        <v>0</v>
      </c>
      <c r="C1851">
        <v>0</v>
      </c>
      <c r="D1851">
        <v>0</v>
      </c>
      <c r="E1851">
        <v>0</v>
      </c>
      <c r="F1851">
        <v>0</v>
      </c>
      <c r="G1851">
        <v>0</v>
      </c>
      <c r="H1851">
        <v>0</v>
      </c>
      <c r="I1851" s="2" t="s">
        <v>360</v>
      </c>
    </row>
    <row r="1852" spans="1:9" x14ac:dyDescent="0.3">
      <c r="A1852">
        <v>2786</v>
      </c>
      <c r="B1852">
        <v>0</v>
      </c>
      <c r="C1852">
        <v>0</v>
      </c>
      <c r="D1852">
        <v>0</v>
      </c>
      <c r="E1852">
        <v>0</v>
      </c>
      <c r="F1852">
        <v>0</v>
      </c>
      <c r="G1852">
        <v>0</v>
      </c>
      <c r="H1852">
        <v>0</v>
      </c>
      <c r="I1852" s="2" t="s">
        <v>360</v>
      </c>
    </row>
    <row r="1853" spans="1:9" x14ac:dyDescent="0.3">
      <c r="A1853">
        <v>1207</v>
      </c>
      <c r="B1853">
        <v>0</v>
      </c>
      <c r="C1853">
        <v>0</v>
      </c>
      <c r="D1853">
        <v>0</v>
      </c>
      <c r="E1853">
        <v>0</v>
      </c>
      <c r="F1853">
        <v>0</v>
      </c>
      <c r="G1853">
        <v>0</v>
      </c>
      <c r="H1853">
        <v>0</v>
      </c>
      <c r="I1853" s="2" t="s">
        <v>361</v>
      </c>
    </row>
    <row r="1854" spans="1:9" x14ac:dyDescent="0.3">
      <c r="A1854">
        <v>1007</v>
      </c>
      <c r="B1854">
        <v>0</v>
      </c>
      <c r="C1854">
        <v>0</v>
      </c>
      <c r="D1854">
        <v>0</v>
      </c>
      <c r="E1854">
        <v>0</v>
      </c>
      <c r="F1854">
        <v>0</v>
      </c>
      <c r="G1854">
        <v>0</v>
      </c>
      <c r="H1854">
        <v>0</v>
      </c>
      <c r="I1854" s="2" t="s">
        <v>362</v>
      </c>
    </row>
    <row r="1855" spans="1:9" x14ac:dyDescent="0.3">
      <c r="A1855">
        <v>1011</v>
      </c>
      <c r="B1855">
        <v>0</v>
      </c>
      <c r="C1855">
        <v>0</v>
      </c>
      <c r="D1855">
        <v>0</v>
      </c>
      <c r="E1855">
        <v>0</v>
      </c>
      <c r="F1855">
        <v>0</v>
      </c>
      <c r="G1855">
        <v>0</v>
      </c>
      <c r="H1855">
        <v>0</v>
      </c>
      <c r="I1855" s="2" t="s">
        <v>362</v>
      </c>
    </row>
    <row r="1856" spans="1:9" x14ac:dyDescent="0.3">
      <c r="A1856">
        <v>2029</v>
      </c>
      <c r="B1856">
        <v>0</v>
      </c>
      <c r="C1856">
        <v>0</v>
      </c>
      <c r="D1856">
        <v>0</v>
      </c>
      <c r="E1856">
        <v>0</v>
      </c>
      <c r="F1856">
        <v>0</v>
      </c>
      <c r="G1856">
        <v>0</v>
      </c>
      <c r="H1856">
        <v>1</v>
      </c>
      <c r="I1856" s="2" t="s">
        <v>362</v>
      </c>
    </row>
    <row r="1857" spans="1:9" x14ac:dyDescent="0.3">
      <c r="A1857">
        <v>2474</v>
      </c>
      <c r="B1857">
        <v>0</v>
      </c>
      <c r="C1857">
        <v>0</v>
      </c>
      <c r="D1857">
        <v>0</v>
      </c>
      <c r="E1857">
        <v>0</v>
      </c>
      <c r="F1857">
        <v>0</v>
      </c>
      <c r="G1857">
        <v>0</v>
      </c>
      <c r="H1857">
        <v>0</v>
      </c>
      <c r="I1857" s="2" t="s">
        <v>362</v>
      </c>
    </row>
    <row r="1858" spans="1:9" x14ac:dyDescent="0.3">
      <c r="A1858">
        <v>2690</v>
      </c>
      <c r="B1858">
        <v>0</v>
      </c>
      <c r="C1858">
        <v>0</v>
      </c>
      <c r="D1858">
        <v>0</v>
      </c>
      <c r="E1858">
        <v>0</v>
      </c>
      <c r="F1858">
        <v>0</v>
      </c>
      <c r="G1858">
        <v>0</v>
      </c>
      <c r="H1858">
        <v>0</v>
      </c>
      <c r="I1858" s="2" t="s">
        <v>362</v>
      </c>
    </row>
    <row r="1859" spans="1:9" x14ac:dyDescent="0.3">
      <c r="A1859">
        <v>2903</v>
      </c>
      <c r="B1859">
        <v>0</v>
      </c>
      <c r="C1859">
        <v>0</v>
      </c>
      <c r="D1859">
        <v>0</v>
      </c>
      <c r="E1859">
        <v>0</v>
      </c>
      <c r="F1859">
        <v>0</v>
      </c>
      <c r="G1859">
        <v>0</v>
      </c>
      <c r="H1859">
        <v>1</v>
      </c>
      <c r="I1859" s="2" t="s">
        <v>362</v>
      </c>
    </row>
    <row r="1860" spans="1:9" x14ac:dyDescent="0.3">
      <c r="A1860">
        <v>1322</v>
      </c>
      <c r="B1860">
        <v>0</v>
      </c>
      <c r="C1860">
        <v>0</v>
      </c>
      <c r="D1860">
        <v>0</v>
      </c>
      <c r="E1860">
        <v>0</v>
      </c>
      <c r="F1860">
        <v>0</v>
      </c>
      <c r="G1860">
        <v>0</v>
      </c>
      <c r="H1860">
        <v>0</v>
      </c>
      <c r="I1860" s="2" t="s">
        <v>363</v>
      </c>
    </row>
    <row r="1861" spans="1:9" x14ac:dyDescent="0.3">
      <c r="A1861">
        <v>1953</v>
      </c>
      <c r="B1861">
        <v>0</v>
      </c>
      <c r="C1861">
        <v>0</v>
      </c>
      <c r="D1861">
        <v>0</v>
      </c>
      <c r="E1861">
        <v>0</v>
      </c>
      <c r="F1861">
        <v>0</v>
      </c>
      <c r="G1861">
        <v>1</v>
      </c>
      <c r="H1861">
        <v>0</v>
      </c>
      <c r="I1861" s="2" t="s">
        <v>363</v>
      </c>
    </row>
    <row r="1862" spans="1:9" x14ac:dyDescent="0.3">
      <c r="A1862">
        <v>2114</v>
      </c>
      <c r="B1862">
        <v>0</v>
      </c>
      <c r="C1862">
        <v>0</v>
      </c>
      <c r="D1862">
        <v>0</v>
      </c>
      <c r="E1862">
        <v>1</v>
      </c>
      <c r="F1862">
        <v>0</v>
      </c>
      <c r="G1862">
        <v>0</v>
      </c>
      <c r="H1862">
        <v>0</v>
      </c>
      <c r="I1862" s="2" t="s">
        <v>363</v>
      </c>
    </row>
    <row r="1863" spans="1:9" x14ac:dyDescent="0.3">
      <c r="A1863">
        <v>1357</v>
      </c>
      <c r="B1863">
        <v>0</v>
      </c>
      <c r="C1863">
        <v>1</v>
      </c>
      <c r="D1863">
        <v>0</v>
      </c>
      <c r="E1863">
        <v>0</v>
      </c>
      <c r="F1863">
        <v>0</v>
      </c>
      <c r="G1863">
        <v>0</v>
      </c>
      <c r="H1863">
        <v>0</v>
      </c>
      <c r="I1863" s="2" t="s">
        <v>364</v>
      </c>
    </row>
    <row r="1864" spans="1:9" x14ac:dyDescent="0.3">
      <c r="A1864">
        <v>2398</v>
      </c>
      <c r="B1864">
        <v>0</v>
      </c>
      <c r="C1864">
        <v>1</v>
      </c>
      <c r="D1864">
        <v>0</v>
      </c>
      <c r="E1864">
        <v>0</v>
      </c>
      <c r="F1864">
        <v>0</v>
      </c>
      <c r="G1864">
        <v>0</v>
      </c>
      <c r="H1864">
        <v>0</v>
      </c>
      <c r="I1864" s="2" t="s">
        <v>364</v>
      </c>
    </row>
    <row r="1865" spans="1:9" x14ac:dyDescent="0.3">
      <c r="A1865">
        <v>2495</v>
      </c>
      <c r="B1865">
        <v>0</v>
      </c>
      <c r="C1865">
        <v>0</v>
      </c>
      <c r="D1865">
        <v>0</v>
      </c>
      <c r="E1865">
        <v>0</v>
      </c>
      <c r="F1865">
        <v>0</v>
      </c>
      <c r="G1865">
        <v>0</v>
      </c>
      <c r="H1865">
        <v>1</v>
      </c>
      <c r="I1865" s="2" t="s">
        <v>364</v>
      </c>
    </row>
    <row r="1866" spans="1:9" x14ac:dyDescent="0.3">
      <c r="A1866">
        <v>1103</v>
      </c>
      <c r="B1866">
        <v>0</v>
      </c>
      <c r="C1866">
        <v>1</v>
      </c>
      <c r="D1866">
        <v>0</v>
      </c>
      <c r="E1866">
        <v>0</v>
      </c>
      <c r="F1866">
        <v>0</v>
      </c>
      <c r="G1866">
        <v>0</v>
      </c>
      <c r="H1866">
        <v>1</v>
      </c>
      <c r="I1866" s="2" t="s">
        <v>365</v>
      </c>
    </row>
    <row r="1867" spans="1:9" x14ac:dyDescent="0.3">
      <c r="A1867">
        <v>1193</v>
      </c>
      <c r="B1867">
        <v>1</v>
      </c>
      <c r="C1867">
        <v>0</v>
      </c>
      <c r="D1867">
        <v>0</v>
      </c>
      <c r="E1867">
        <v>0</v>
      </c>
      <c r="F1867">
        <v>0</v>
      </c>
      <c r="G1867">
        <v>0</v>
      </c>
      <c r="H1867">
        <v>1</v>
      </c>
      <c r="I1867" s="2" t="s">
        <v>365</v>
      </c>
    </row>
    <row r="1868" spans="1:9" x14ac:dyDescent="0.3">
      <c r="A1868">
        <v>1564</v>
      </c>
      <c r="B1868">
        <v>0</v>
      </c>
      <c r="C1868">
        <v>1</v>
      </c>
      <c r="D1868">
        <v>0</v>
      </c>
      <c r="E1868">
        <v>0</v>
      </c>
      <c r="F1868">
        <v>0</v>
      </c>
      <c r="G1868">
        <v>0</v>
      </c>
      <c r="H1868">
        <v>0</v>
      </c>
      <c r="I1868" s="2" t="s">
        <v>365</v>
      </c>
    </row>
    <row r="1869" spans="1:9" x14ac:dyDescent="0.3">
      <c r="A1869">
        <v>1824</v>
      </c>
      <c r="B1869">
        <v>0</v>
      </c>
      <c r="C1869">
        <v>0</v>
      </c>
      <c r="D1869">
        <v>0</v>
      </c>
      <c r="E1869">
        <v>0</v>
      </c>
      <c r="F1869">
        <v>0</v>
      </c>
      <c r="G1869">
        <v>0</v>
      </c>
      <c r="H1869">
        <v>0</v>
      </c>
      <c r="I1869" s="2" t="s">
        <v>365</v>
      </c>
    </row>
    <row r="1870" spans="1:9" x14ac:dyDescent="0.3">
      <c r="A1870">
        <v>2688</v>
      </c>
      <c r="B1870">
        <v>0</v>
      </c>
      <c r="C1870">
        <v>0</v>
      </c>
      <c r="D1870">
        <v>1</v>
      </c>
      <c r="E1870">
        <v>0</v>
      </c>
      <c r="F1870">
        <v>0</v>
      </c>
      <c r="G1870">
        <v>0</v>
      </c>
      <c r="H1870">
        <v>0</v>
      </c>
      <c r="I1870" s="2" t="s">
        <v>365</v>
      </c>
    </row>
    <row r="1871" spans="1:9" x14ac:dyDescent="0.3">
      <c r="A1871">
        <v>2886</v>
      </c>
      <c r="B1871">
        <v>0</v>
      </c>
      <c r="C1871">
        <v>1</v>
      </c>
      <c r="D1871">
        <v>0</v>
      </c>
      <c r="E1871">
        <v>0</v>
      </c>
      <c r="F1871">
        <v>0</v>
      </c>
      <c r="G1871">
        <v>0</v>
      </c>
      <c r="H1871">
        <v>0</v>
      </c>
      <c r="I1871" s="2" t="s">
        <v>365</v>
      </c>
    </row>
    <row r="1872" spans="1:9" x14ac:dyDescent="0.3">
      <c r="A1872">
        <v>1044</v>
      </c>
      <c r="B1872">
        <v>0</v>
      </c>
      <c r="C1872">
        <v>0</v>
      </c>
      <c r="D1872">
        <v>0</v>
      </c>
      <c r="E1872">
        <v>0</v>
      </c>
      <c r="F1872">
        <v>0</v>
      </c>
      <c r="G1872">
        <v>0</v>
      </c>
      <c r="H1872">
        <v>1</v>
      </c>
      <c r="I1872" s="2" t="s">
        <v>366</v>
      </c>
    </row>
    <row r="1873" spans="1:9" x14ac:dyDescent="0.3">
      <c r="A1873">
        <v>1383</v>
      </c>
      <c r="B1873">
        <v>0</v>
      </c>
      <c r="C1873">
        <v>0</v>
      </c>
      <c r="D1873">
        <v>0</v>
      </c>
      <c r="E1873">
        <v>0</v>
      </c>
      <c r="F1873">
        <v>0</v>
      </c>
      <c r="G1873">
        <v>0</v>
      </c>
      <c r="H1873">
        <v>1</v>
      </c>
      <c r="I1873" s="2" t="s">
        <v>366</v>
      </c>
    </row>
    <row r="1874" spans="1:9" x14ac:dyDescent="0.3">
      <c r="A1874">
        <v>1395</v>
      </c>
      <c r="B1874">
        <v>0</v>
      </c>
      <c r="C1874">
        <v>0</v>
      </c>
      <c r="D1874">
        <v>0</v>
      </c>
      <c r="E1874">
        <v>0</v>
      </c>
      <c r="F1874">
        <v>0</v>
      </c>
      <c r="G1874">
        <v>0</v>
      </c>
      <c r="H1874">
        <v>0</v>
      </c>
      <c r="I1874" s="2" t="s">
        <v>366</v>
      </c>
    </row>
    <row r="1875" spans="1:9" x14ac:dyDescent="0.3">
      <c r="A1875">
        <v>1598</v>
      </c>
      <c r="B1875">
        <v>0</v>
      </c>
      <c r="C1875">
        <v>0</v>
      </c>
      <c r="D1875">
        <v>0</v>
      </c>
      <c r="E1875">
        <v>0</v>
      </c>
      <c r="F1875">
        <v>0</v>
      </c>
      <c r="G1875">
        <v>0</v>
      </c>
      <c r="H1875">
        <v>1</v>
      </c>
      <c r="I1875" s="2" t="s">
        <v>366</v>
      </c>
    </row>
    <row r="1876" spans="1:9" x14ac:dyDescent="0.3">
      <c r="A1876">
        <v>2334</v>
      </c>
      <c r="B1876">
        <v>0</v>
      </c>
      <c r="C1876">
        <v>0</v>
      </c>
      <c r="D1876">
        <v>1</v>
      </c>
      <c r="E1876">
        <v>0</v>
      </c>
      <c r="F1876">
        <v>0</v>
      </c>
      <c r="G1876">
        <v>0</v>
      </c>
      <c r="H1876">
        <v>1</v>
      </c>
      <c r="I1876" s="2" t="s">
        <v>366</v>
      </c>
    </row>
    <row r="1877" spans="1:9" x14ac:dyDescent="0.3">
      <c r="A1877">
        <v>2369</v>
      </c>
      <c r="B1877">
        <v>0</v>
      </c>
      <c r="C1877">
        <v>0</v>
      </c>
      <c r="D1877">
        <v>0</v>
      </c>
      <c r="E1877">
        <v>0</v>
      </c>
      <c r="F1877">
        <v>0</v>
      </c>
      <c r="G1877">
        <v>0</v>
      </c>
      <c r="H1877">
        <v>0</v>
      </c>
      <c r="I1877" s="2" t="s">
        <v>366</v>
      </c>
    </row>
    <row r="1878" spans="1:9" x14ac:dyDescent="0.3">
      <c r="A1878">
        <v>2523</v>
      </c>
      <c r="B1878">
        <v>0</v>
      </c>
      <c r="C1878">
        <v>0</v>
      </c>
      <c r="D1878">
        <v>0</v>
      </c>
      <c r="E1878">
        <v>0</v>
      </c>
      <c r="F1878">
        <v>0</v>
      </c>
      <c r="G1878">
        <v>0</v>
      </c>
      <c r="H1878">
        <v>1</v>
      </c>
      <c r="I1878" s="2" t="s">
        <v>366</v>
      </c>
    </row>
    <row r="1879" spans="1:9" x14ac:dyDescent="0.3">
      <c r="A1879">
        <v>2839</v>
      </c>
      <c r="B1879">
        <v>0</v>
      </c>
      <c r="C1879">
        <v>0</v>
      </c>
      <c r="D1879">
        <v>1</v>
      </c>
      <c r="E1879">
        <v>0</v>
      </c>
      <c r="F1879">
        <v>0</v>
      </c>
      <c r="G1879">
        <v>0</v>
      </c>
      <c r="H1879">
        <v>1</v>
      </c>
      <c r="I1879" s="2" t="s">
        <v>366</v>
      </c>
    </row>
    <row r="1880" spans="1:9" x14ac:dyDescent="0.3">
      <c r="A1880">
        <v>1046</v>
      </c>
      <c r="B1880">
        <v>0</v>
      </c>
      <c r="C1880">
        <v>0</v>
      </c>
      <c r="D1880">
        <v>0</v>
      </c>
      <c r="E1880">
        <v>0</v>
      </c>
      <c r="F1880">
        <v>0</v>
      </c>
      <c r="G1880">
        <v>0</v>
      </c>
      <c r="H1880">
        <v>0</v>
      </c>
      <c r="I1880" s="2" t="s">
        <v>367</v>
      </c>
    </row>
    <row r="1881" spans="1:9" x14ac:dyDescent="0.3">
      <c r="A1881">
        <v>2332</v>
      </c>
      <c r="B1881">
        <v>0</v>
      </c>
      <c r="C1881">
        <v>0</v>
      </c>
      <c r="D1881">
        <v>0</v>
      </c>
      <c r="E1881">
        <v>0</v>
      </c>
      <c r="F1881">
        <v>0</v>
      </c>
      <c r="G1881">
        <v>0</v>
      </c>
      <c r="H1881">
        <v>0</v>
      </c>
      <c r="I1881" s="2" t="s">
        <v>367</v>
      </c>
    </row>
    <row r="1882" spans="1:9" x14ac:dyDescent="0.3">
      <c r="A1882">
        <v>2595</v>
      </c>
      <c r="B1882">
        <v>0</v>
      </c>
      <c r="C1882">
        <v>0</v>
      </c>
      <c r="D1882">
        <v>0</v>
      </c>
      <c r="E1882">
        <v>0</v>
      </c>
      <c r="F1882">
        <v>0</v>
      </c>
      <c r="G1882">
        <v>0</v>
      </c>
      <c r="H1882">
        <v>0</v>
      </c>
      <c r="I1882" s="2" t="s">
        <v>367</v>
      </c>
    </row>
    <row r="1883" spans="1:9" x14ac:dyDescent="0.3">
      <c r="A1883">
        <v>1489</v>
      </c>
      <c r="B1883">
        <v>0</v>
      </c>
      <c r="C1883">
        <v>0</v>
      </c>
      <c r="D1883">
        <v>0</v>
      </c>
      <c r="E1883">
        <v>0</v>
      </c>
      <c r="F1883">
        <v>0</v>
      </c>
      <c r="G1883">
        <v>0</v>
      </c>
      <c r="H1883">
        <v>0</v>
      </c>
      <c r="I1883" s="2" t="s">
        <v>368</v>
      </c>
    </row>
    <row r="1884" spans="1:9" x14ac:dyDescent="0.3">
      <c r="A1884">
        <v>1772</v>
      </c>
      <c r="B1884">
        <v>0</v>
      </c>
      <c r="C1884">
        <v>1</v>
      </c>
      <c r="D1884">
        <v>1</v>
      </c>
      <c r="E1884">
        <v>1</v>
      </c>
      <c r="F1884">
        <v>0</v>
      </c>
      <c r="G1884">
        <v>0</v>
      </c>
      <c r="H1884">
        <v>1</v>
      </c>
      <c r="I1884" s="2" t="s">
        <v>368</v>
      </c>
    </row>
    <row r="1885" spans="1:9" x14ac:dyDescent="0.3">
      <c r="A1885">
        <v>2483</v>
      </c>
      <c r="B1885">
        <v>1</v>
      </c>
      <c r="C1885">
        <v>0</v>
      </c>
      <c r="D1885">
        <v>0</v>
      </c>
      <c r="E1885">
        <v>0</v>
      </c>
      <c r="F1885">
        <v>0</v>
      </c>
      <c r="G1885">
        <v>0</v>
      </c>
      <c r="H1885">
        <v>0</v>
      </c>
      <c r="I1885" s="2" t="s">
        <v>368</v>
      </c>
    </row>
    <row r="1886" spans="1:9" x14ac:dyDescent="0.3">
      <c r="A1886">
        <v>2835</v>
      </c>
      <c r="B1886">
        <v>0</v>
      </c>
      <c r="C1886">
        <v>0</v>
      </c>
      <c r="D1886">
        <v>0</v>
      </c>
      <c r="E1886">
        <v>0</v>
      </c>
      <c r="F1886">
        <v>0</v>
      </c>
      <c r="G1886">
        <v>0</v>
      </c>
      <c r="H1886">
        <v>0</v>
      </c>
      <c r="I1886" s="2" t="s">
        <v>368</v>
      </c>
    </row>
    <row r="1887" spans="1:9" x14ac:dyDescent="0.3">
      <c r="A1887">
        <v>3052</v>
      </c>
      <c r="B1887">
        <v>0</v>
      </c>
      <c r="C1887">
        <v>0</v>
      </c>
      <c r="D1887">
        <v>0</v>
      </c>
      <c r="E1887">
        <v>0</v>
      </c>
      <c r="F1887">
        <v>0</v>
      </c>
      <c r="G1887">
        <v>0</v>
      </c>
      <c r="H1887">
        <v>0</v>
      </c>
      <c r="I1887" s="2" t="s">
        <v>368</v>
      </c>
    </row>
    <row r="1888" spans="1:9" x14ac:dyDescent="0.3">
      <c r="A1888">
        <v>1833</v>
      </c>
      <c r="B1888">
        <v>1</v>
      </c>
      <c r="C1888">
        <v>0</v>
      </c>
      <c r="D1888">
        <v>0</v>
      </c>
      <c r="E1888">
        <v>1</v>
      </c>
      <c r="F1888">
        <v>0</v>
      </c>
      <c r="G1888">
        <v>0</v>
      </c>
      <c r="H1888">
        <v>0</v>
      </c>
      <c r="I1888" s="2" t="s">
        <v>369</v>
      </c>
    </row>
    <row r="1889" spans="1:10" x14ac:dyDescent="0.3">
      <c r="A1889">
        <v>3161</v>
      </c>
      <c r="B1889">
        <v>1</v>
      </c>
      <c r="C1889">
        <v>0</v>
      </c>
      <c r="D1889">
        <v>0</v>
      </c>
      <c r="E1889">
        <v>1</v>
      </c>
      <c r="F1889">
        <v>0</v>
      </c>
      <c r="G1889">
        <v>0</v>
      </c>
      <c r="H1889">
        <v>1</v>
      </c>
      <c r="I1889" s="2" t="s">
        <v>369</v>
      </c>
    </row>
    <row r="1890" spans="1:10" x14ac:dyDescent="0.3">
      <c r="A1890">
        <v>1151</v>
      </c>
      <c r="B1890">
        <v>0</v>
      </c>
      <c r="C1890">
        <v>0</v>
      </c>
      <c r="D1890">
        <v>0</v>
      </c>
      <c r="E1890">
        <v>0</v>
      </c>
      <c r="F1890">
        <v>0</v>
      </c>
      <c r="G1890">
        <v>0</v>
      </c>
      <c r="H1890">
        <v>0</v>
      </c>
      <c r="I1890" s="2">
        <v>43803</v>
      </c>
      <c r="J1890" s="1"/>
    </row>
    <row r="1891" spans="1:10" x14ac:dyDescent="0.3">
      <c r="A1891">
        <v>1987</v>
      </c>
      <c r="B1891">
        <v>0</v>
      </c>
      <c r="C1891">
        <v>0</v>
      </c>
      <c r="D1891">
        <v>0</v>
      </c>
      <c r="E1891">
        <v>0</v>
      </c>
      <c r="F1891">
        <v>0</v>
      </c>
      <c r="G1891">
        <v>0</v>
      </c>
      <c r="H1891">
        <v>0</v>
      </c>
      <c r="I1891" s="2">
        <v>43803</v>
      </c>
      <c r="J1891" s="1"/>
    </row>
    <row r="1892" spans="1:10" x14ac:dyDescent="0.3">
      <c r="A1892">
        <v>2265</v>
      </c>
      <c r="B1892">
        <v>0</v>
      </c>
      <c r="C1892">
        <v>0</v>
      </c>
      <c r="D1892">
        <v>0</v>
      </c>
      <c r="E1892">
        <v>0</v>
      </c>
      <c r="F1892">
        <v>0</v>
      </c>
      <c r="G1892">
        <v>0</v>
      </c>
      <c r="H1892">
        <v>0</v>
      </c>
      <c r="I1892" s="2">
        <v>43803</v>
      </c>
      <c r="J1892" s="1"/>
    </row>
    <row r="1893" spans="1:10" x14ac:dyDescent="0.3">
      <c r="A1893">
        <v>2479</v>
      </c>
      <c r="B1893">
        <v>0</v>
      </c>
      <c r="C1893">
        <v>0</v>
      </c>
      <c r="D1893">
        <v>0</v>
      </c>
      <c r="E1893">
        <v>0</v>
      </c>
      <c r="F1893">
        <v>0</v>
      </c>
      <c r="G1893">
        <v>0</v>
      </c>
      <c r="H1893">
        <v>0</v>
      </c>
      <c r="I1893" s="2">
        <v>43803</v>
      </c>
      <c r="J1893" s="1"/>
    </row>
    <row r="1894" spans="1:10" x14ac:dyDescent="0.3">
      <c r="A1894">
        <v>2784</v>
      </c>
      <c r="B1894">
        <v>1</v>
      </c>
      <c r="C1894">
        <v>0</v>
      </c>
      <c r="D1894">
        <v>0</v>
      </c>
      <c r="E1894">
        <v>0</v>
      </c>
      <c r="F1894">
        <v>0</v>
      </c>
      <c r="G1894">
        <v>0</v>
      </c>
      <c r="H1894">
        <v>0</v>
      </c>
      <c r="I1894" s="2">
        <v>43803</v>
      </c>
      <c r="J1894" s="1"/>
    </row>
    <row r="1895" spans="1:10" x14ac:dyDescent="0.3">
      <c r="A1895">
        <v>2010</v>
      </c>
      <c r="B1895">
        <v>0</v>
      </c>
      <c r="C1895">
        <v>0</v>
      </c>
      <c r="D1895">
        <v>0</v>
      </c>
      <c r="E1895">
        <v>0</v>
      </c>
      <c r="F1895">
        <v>0</v>
      </c>
      <c r="G1895">
        <v>0</v>
      </c>
      <c r="H1895">
        <v>0</v>
      </c>
      <c r="I1895" s="2">
        <v>43773</v>
      </c>
      <c r="J1895" s="1"/>
    </row>
    <row r="1896" spans="1:10" x14ac:dyDescent="0.3">
      <c r="A1896">
        <v>1019</v>
      </c>
      <c r="B1896">
        <v>0</v>
      </c>
      <c r="C1896">
        <v>0</v>
      </c>
      <c r="D1896">
        <v>0</v>
      </c>
      <c r="E1896">
        <v>0</v>
      </c>
      <c r="F1896">
        <v>0</v>
      </c>
      <c r="G1896">
        <v>0</v>
      </c>
      <c r="H1896">
        <v>0</v>
      </c>
      <c r="I1896" s="2">
        <v>43742</v>
      </c>
      <c r="J1896" s="1"/>
    </row>
    <row r="1897" spans="1:10" x14ac:dyDescent="0.3">
      <c r="A1897">
        <v>2005</v>
      </c>
      <c r="B1897">
        <v>0</v>
      </c>
      <c r="C1897">
        <v>0</v>
      </c>
      <c r="D1897">
        <v>0</v>
      </c>
      <c r="E1897">
        <v>0</v>
      </c>
      <c r="F1897">
        <v>0</v>
      </c>
      <c r="G1897">
        <v>0</v>
      </c>
      <c r="H1897">
        <v>0</v>
      </c>
      <c r="I1897" s="2">
        <v>43742</v>
      </c>
      <c r="J1897" s="1"/>
    </row>
    <row r="1898" spans="1:10" x14ac:dyDescent="0.3">
      <c r="A1898">
        <v>2022</v>
      </c>
      <c r="B1898">
        <v>0</v>
      </c>
      <c r="C1898">
        <v>0</v>
      </c>
      <c r="D1898">
        <v>0</v>
      </c>
      <c r="E1898">
        <v>0</v>
      </c>
      <c r="F1898">
        <v>0</v>
      </c>
      <c r="G1898">
        <v>1</v>
      </c>
      <c r="H1898">
        <v>0</v>
      </c>
      <c r="I1898" s="2">
        <v>43742</v>
      </c>
      <c r="J1898" s="1"/>
    </row>
    <row r="1899" spans="1:10" x14ac:dyDescent="0.3">
      <c r="A1899">
        <v>2157</v>
      </c>
      <c r="B1899">
        <v>0</v>
      </c>
      <c r="C1899">
        <v>0</v>
      </c>
      <c r="D1899">
        <v>0</v>
      </c>
      <c r="E1899">
        <v>0</v>
      </c>
      <c r="F1899">
        <v>0</v>
      </c>
      <c r="G1899">
        <v>0</v>
      </c>
      <c r="H1899">
        <v>0</v>
      </c>
      <c r="I1899" s="2">
        <v>43742</v>
      </c>
      <c r="J1899" s="1"/>
    </row>
    <row r="1900" spans="1:10" x14ac:dyDescent="0.3">
      <c r="A1900">
        <v>2547</v>
      </c>
      <c r="B1900">
        <v>0</v>
      </c>
      <c r="C1900">
        <v>0</v>
      </c>
      <c r="D1900">
        <v>0</v>
      </c>
      <c r="E1900">
        <v>0</v>
      </c>
      <c r="F1900">
        <v>0</v>
      </c>
      <c r="G1900">
        <v>1</v>
      </c>
      <c r="H1900">
        <v>0</v>
      </c>
      <c r="I1900" s="2">
        <v>43742</v>
      </c>
      <c r="J1900" s="1"/>
    </row>
    <row r="1901" spans="1:10" x14ac:dyDescent="0.3">
      <c r="A1901">
        <v>2657</v>
      </c>
      <c r="B1901">
        <v>0</v>
      </c>
      <c r="C1901">
        <v>0</v>
      </c>
      <c r="D1901">
        <v>0</v>
      </c>
      <c r="E1901">
        <v>0</v>
      </c>
      <c r="F1901">
        <v>0</v>
      </c>
      <c r="G1901">
        <v>0</v>
      </c>
      <c r="H1901">
        <v>0</v>
      </c>
      <c r="I1901" s="2">
        <v>43742</v>
      </c>
      <c r="J1901" s="1"/>
    </row>
    <row r="1902" spans="1:10" x14ac:dyDescent="0.3">
      <c r="A1902">
        <v>2760</v>
      </c>
      <c r="B1902">
        <v>0</v>
      </c>
      <c r="C1902">
        <v>0</v>
      </c>
      <c r="D1902">
        <v>0</v>
      </c>
      <c r="E1902">
        <v>0</v>
      </c>
      <c r="F1902">
        <v>0</v>
      </c>
      <c r="G1902">
        <v>0</v>
      </c>
      <c r="H1902">
        <v>0</v>
      </c>
      <c r="I1902" s="2">
        <v>43742</v>
      </c>
      <c r="J1902" s="1"/>
    </row>
    <row r="1903" spans="1:10" x14ac:dyDescent="0.3">
      <c r="A1903">
        <v>2860</v>
      </c>
      <c r="B1903">
        <v>0</v>
      </c>
      <c r="C1903">
        <v>0</v>
      </c>
      <c r="D1903">
        <v>0</v>
      </c>
      <c r="E1903">
        <v>0</v>
      </c>
      <c r="F1903">
        <v>0</v>
      </c>
      <c r="G1903">
        <v>0</v>
      </c>
      <c r="H1903">
        <v>0</v>
      </c>
      <c r="I1903" s="2">
        <v>43742</v>
      </c>
      <c r="J1903" s="1"/>
    </row>
    <row r="1904" spans="1:10" x14ac:dyDescent="0.3">
      <c r="A1904">
        <v>1191</v>
      </c>
      <c r="B1904">
        <v>0</v>
      </c>
      <c r="C1904">
        <v>1</v>
      </c>
      <c r="D1904">
        <v>1</v>
      </c>
      <c r="E1904">
        <v>1</v>
      </c>
      <c r="F1904">
        <v>0</v>
      </c>
      <c r="G1904">
        <v>0</v>
      </c>
      <c r="H1904">
        <v>1</v>
      </c>
      <c r="I1904" s="2">
        <v>43712</v>
      </c>
      <c r="J1904" s="1"/>
    </row>
    <row r="1905" spans="1:10" x14ac:dyDescent="0.3">
      <c r="A1905">
        <v>2921</v>
      </c>
      <c r="B1905">
        <v>0</v>
      </c>
      <c r="C1905">
        <v>0</v>
      </c>
      <c r="D1905">
        <v>0</v>
      </c>
      <c r="E1905">
        <v>0</v>
      </c>
      <c r="F1905">
        <v>0</v>
      </c>
      <c r="G1905">
        <v>0</v>
      </c>
      <c r="H1905">
        <v>1</v>
      </c>
      <c r="I1905" s="2">
        <v>43712</v>
      </c>
      <c r="J1905" s="1"/>
    </row>
    <row r="1906" spans="1:10" x14ac:dyDescent="0.3">
      <c r="A1906">
        <v>2284</v>
      </c>
      <c r="B1906">
        <v>0</v>
      </c>
      <c r="C1906">
        <v>1</v>
      </c>
      <c r="D1906">
        <v>0</v>
      </c>
      <c r="E1906">
        <v>0</v>
      </c>
      <c r="F1906">
        <v>0</v>
      </c>
      <c r="G1906">
        <v>0</v>
      </c>
      <c r="H1906">
        <v>0</v>
      </c>
      <c r="I1906" s="2">
        <v>43681</v>
      </c>
      <c r="J1906" s="1"/>
    </row>
    <row r="1907" spans="1:10" x14ac:dyDescent="0.3">
      <c r="A1907">
        <v>2538</v>
      </c>
      <c r="B1907">
        <v>0</v>
      </c>
      <c r="C1907">
        <v>0</v>
      </c>
      <c r="D1907">
        <v>0</v>
      </c>
      <c r="E1907">
        <v>0</v>
      </c>
      <c r="F1907">
        <v>0</v>
      </c>
      <c r="G1907">
        <v>0</v>
      </c>
      <c r="H1907">
        <v>0</v>
      </c>
      <c r="I1907" s="2">
        <v>43681</v>
      </c>
      <c r="J1907" s="1"/>
    </row>
    <row r="1908" spans="1:10" x14ac:dyDescent="0.3">
      <c r="A1908">
        <v>1279</v>
      </c>
      <c r="B1908">
        <v>0</v>
      </c>
      <c r="C1908">
        <v>0</v>
      </c>
      <c r="D1908">
        <v>1</v>
      </c>
      <c r="E1908">
        <v>0</v>
      </c>
      <c r="F1908">
        <v>0</v>
      </c>
      <c r="G1908">
        <v>0</v>
      </c>
      <c r="H1908">
        <v>0</v>
      </c>
      <c r="I1908" s="2">
        <v>43650</v>
      </c>
      <c r="J1908" s="1"/>
    </row>
    <row r="1909" spans="1:10" x14ac:dyDescent="0.3">
      <c r="A1909">
        <v>1451</v>
      </c>
      <c r="B1909">
        <v>0</v>
      </c>
      <c r="C1909">
        <v>0</v>
      </c>
      <c r="D1909">
        <v>0</v>
      </c>
      <c r="E1909">
        <v>0</v>
      </c>
      <c r="F1909">
        <v>0</v>
      </c>
      <c r="G1909">
        <v>0</v>
      </c>
      <c r="H1909">
        <v>0</v>
      </c>
      <c r="I1909" s="2">
        <v>43650</v>
      </c>
      <c r="J1909" s="1"/>
    </row>
    <row r="1910" spans="1:10" x14ac:dyDescent="0.3">
      <c r="A1910">
        <v>1463</v>
      </c>
      <c r="B1910">
        <v>0</v>
      </c>
      <c r="C1910">
        <v>0</v>
      </c>
      <c r="D1910">
        <v>0</v>
      </c>
      <c r="E1910">
        <v>0</v>
      </c>
      <c r="F1910">
        <v>0</v>
      </c>
      <c r="G1910">
        <v>0</v>
      </c>
      <c r="H1910">
        <v>0</v>
      </c>
      <c r="I1910" s="2">
        <v>43650</v>
      </c>
      <c r="J1910" s="1"/>
    </row>
    <row r="1911" spans="1:10" x14ac:dyDescent="0.3">
      <c r="A1911">
        <v>2078</v>
      </c>
      <c r="B1911">
        <v>0</v>
      </c>
      <c r="C1911">
        <v>0</v>
      </c>
      <c r="D1911">
        <v>0</v>
      </c>
      <c r="E1911">
        <v>0</v>
      </c>
      <c r="F1911">
        <v>0</v>
      </c>
      <c r="G1911">
        <v>0</v>
      </c>
      <c r="H1911">
        <v>0</v>
      </c>
      <c r="I1911" s="2">
        <v>43650</v>
      </c>
      <c r="J1911" s="1"/>
    </row>
    <row r="1912" spans="1:10" x14ac:dyDescent="0.3">
      <c r="A1912">
        <v>2195</v>
      </c>
      <c r="B1912">
        <v>0</v>
      </c>
      <c r="C1912">
        <v>0</v>
      </c>
      <c r="D1912">
        <v>0</v>
      </c>
      <c r="E1912">
        <v>0</v>
      </c>
      <c r="F1912">
        <v>0</v>
      </c>
      <c r="G1912">
        <v>0</v>
      </c>
      <c r="H1912">
        <v>0</v>
      </c>
      <c r="I1912" s="2">
        <v>43650</v>
      </c>
      <c r="J1912" s="1"/>
    </row>
    <row r="1913" spans="1:10" x14ac:dyDescent="0.3">
      <c r="A1913">
        <v>1658</v>
      </c>
      <c r="B1913">
        <v>0</v>
      </c>
      <c r="C1913">
        <v>0</v>
      </c>
      <c r="D1913">
        <v>0</v>
      </c>
      <c r="E1913">
        <v>1</v>
      </c>
      <c r="F1913">
        <v>0</v>
      </c>
      <c r="G1913">
        <v>0</v>
      </c>
      <c r="H1913">
        <v>1</v>
      </c>
      <c r="I1913" s="2">
        <v>43620</v>
      </c>
      <c r="J1913" s="1"/>
    </row>
    <row r="1914" spans="1:10" x14ac:dyDescent="0.3">
      <c r="A1914">
        <v>1032</v>
      </c>
      <c r="B1914">
        <v>0</v>
      </c>
      <c r="C1914">
        <v>0</v>
      </c>
      <c r="D1914">
        <v>0</v>
      </c>
      <c r="E1914">
        <v>0</v>
      </c>
      <c r="F1914">
        <v>0</v>
      </c>
      <c r="G1914">
        <v>0</v>
      </c>
      <c r="H1914">
        <v>1</v>
      </c>
      <c r="I1914" s="2">
        <v>43589</v>
      </c>
      <c r="J1914" s="1"/>
    </row>
    <row r="1915" spans="1:10" x14ac:dyDescent="0.3">
      <c r="A1915">
        <v>1236</v>
      </c>
      <c r="B1915">
        <v>0</v>
      </c>
      <c r="C1915">
        <v>0</v>
      </c>
      <c r="D1915">
        <v>0</v>
      </c>
      <c r="E1915">
        <v>0</v>
      </c>
      <c r="F1915">
        <v>0</v>
      </c>
      <c r="G1915">
        <v>0</v>
      </c>
      <c r="H1915">
        <v>0</v>
      </c>
      <c r="I1915" s="2">
        <v>43589</v>
      </c>
      <c r="J1915" s="1"/>
    </row>
    <row r="1916" spans="1:10" x14ac:dyDescent="0.3">
      <c r="A1916">
        <v>1415</v>
      </c>
      <c r="B1916">
        <v>0</v>
      </c>
      <c r="C1916">
        <v>0</v>
      </c>
      <c r="D1916">
        <v>0</v>
      </c>
      <c r="E1916">
        <v>0</v>
      </c>
      <c r="F1916">
        <v>0</v>
      </c>
      <c r="G1916">
        <v>0</v>
      </c>
      <c r="H1916">
        <v>0</v>
      </c>
      <c r="I1916" s="2">
        <v>43589</v>
      </c>
      <c r="J1916" s="1"/>
    </row>
    <row r="1917" spans="1:10" x14ac:dyDescent="0.3">
      <c r="A1917">
        <v>1766</v>
      </c>
      <c r="B1917">
        <v>0</v>
      </c>
      <c r="C1917">
        <v>0</v>
      </c>
      <c r="D1917">
        <v>0</v>
      </c>
      <c r="E1917">
        <v>0</v>
      </c>
      <c r="F1917">
        <v>0</v>
      </c>
      <c r="G1917">
        <v>0</v>
      </c>
      <c r="H1917">
        <v>0</v>
      </c>
      <c r="I1917" s="2">
        <v>43589</v>
      </c>
      <c r="J1917" s="1"/>
    </row>
    <row r="1918" spans="1:10" x14ac:dyDescent="0.3">
      <c r="A1918">
        <v>2701</v>
      </c>
      <c r="B1918">
        <v>0</v>
      </c>
      <c r="C1918">
        <v>0</v>
      </c>
      <c r="D1918">
        <v>0</v>
      </c>
      <c r="E1918">
        <v>0</v>
      </c>
      <c r="F1918">
        <v>0</v>
      </c>
      <c r="G1918">
        <v>0</v>
      </c>
      <c r="H1918">
        <v>1</v>
      </c>
      <c r="I1918" s="2">
        <v>43589</v>
      </c>
      <c r="J1918" s="1"/>
    </row>
    <row r="1919" spans="1:10" x14ac:dyDescent="0.3">
      <c r="A1919">
        <v>2750</v>
      </c>
      <c r="B1919">
        <v>0</v>
      </c>
      <c r="C1919">
        <v>0</v>
      </c>
      <c r="D1919">
        <v>0</v>
      </c>
      <c r="E1919">
        <v>0</v>
      </c>
      <c r="F1919">
        <v>0</v>
      </c>
      <c r="G1919">
        <v>0</v>
      </c>
      <c r="H1919">
        <v>1</v>
      </c>
      <c r="I1919" s="2">
        <v>43589</v>
      </c>
      <c r="J1919" s="1"/>
    </row>
    <row r="1920" spans="1:10" x14ac:dyDescent="0.3">
      <c r="A1920">
        <v>2827</v>
      </c>
      <c r="B1920">
        <v>0</v>
      </c>
      <c r="C1920">
        <v>0</v>
      </c>
      <c r="D1920">
        <v>0</v>
      </c>
      <c r="E1920">
        <v>0</v>
      </c>
      <c r="F1920">
        <v>0</v>
      </c>
      <c r="G1920">
        <v>0</v>
      </c>
      <c r="H1920">
        <v>0</v>
      </c>
      <c r="I1920" s="2">
        <v>43589</v>
      </c>
      <c r="J1920" s="1"/>
    </row>
    <row r="1921" spans="1:10" x14ac:dyDescent="0.3">
      <c r="A1921">
        <v>3040</v>
      </c>
      <c r="B1921">
        <v>0</v>
      </c>
      <c r="C1921">
        <v>0</v>
      </c>
      <c r="D1921">
        <v>0</v>
      </c>
      <c r="E1921">
        <v>0</v>
      </c>
      <c r="F1921">
        <v>0</v>
      </c>
      <c r="G1921">
        <v>0</v>
      </c>
      <c r="H1921">
        <v>0</v>
      </c>
      <c r="I1921" s="2">
        <v>43589</v>
      </c>
      <c r="J1921" s="1"/>
    </row>
    <row r="1922" spans="1:10" x14ac:dyDescent="0.3">
      <c r="A1922">
        <v>3074</v>
      </c>
      <c r="B1922">
        <v>0</v>
      </c>
      <c r="C1922">
        <v>0</v>
      </c>
      <c r="D1922">
        <v>0</v>
      </c>
      <c r="E1922">
        <v>0</v>
      </c>
      <c r="F1922">
        <v>0</v>
      </c>
      <c r="G1922">
        <v>0</v>
      </c>
      <c r="H1922">
        <v>0</v>
      </c>
      <c r="I1922" s="2">
        <v>43589</v>
      </c>
      <c r="J1922" s="1"/>
    </row>
    <row r="1923" spans="1:10" x14ac:dyDescent="0.3">
      <c r="A1923">
        <v>1136</v>
      </c>
      <c r="B1923">
        <v>0</v>
      </c>
      <c r="C1923">
        <v>0</v>
      </c>
      <c r="D1923">
        <v>0</v>
      </c>
      <c r="E1923">
        <v>0</v>
      </c>
      <c r="F1923">
        <v>0</v>
      </c>
      <c r="G1923">
        <v>0</v>
      </c>
      <c r="H1923">
        <v>1</v>
      </c>
      <c r="I1923" s="2">
        <v>43559</v>
      </c>
      <c r="J1923" s="1"/>
    </row>
    <row r="1924" spans="1:10" x14ac:dyDescent="0.3">
      <c r="A1924">
        <v>1355</v>
      </c>
      <c r="B1924">
        <v>0</v>
      </c>
      <c r="C1924">
        <v>0</v>
      </c>
      <c r="D1924">
        <v>0</v>
      </c>
      <c r="E1924">
        <v>0</v>
      </c>
      <c r="F1924">
        <v>0</v>
      </c>
      <c r="G1924">
        <v>0</v>
      </c>
      <c r="H1924">
        <v>0</v>
      </c>
      <c r="I1924" s="2">
        <v>43559</v>
      </c>
      <c r="J1924" s="1"/>
    </row>
    <row r="1925" spans="1:10" x14ac:dyDescent="0.3">
      <c r="A1925">
        <v>1473</v>
      </c>
      <c r="B1925">
        <v>0</v>
      </c>
      <c r="C1925">
        <v>0</v>
      </c>
      <c r="D1925">
        <v>0</v>
      </c>
      <c r="E1925">
        <v>0</v>
      </c>
      <c r="F1925">
        <v>0</v>
      </c>
      <c r="G1925">
        <v>0</v>
      </c>
      <c r="H1925">
        <v>0</v>
      </c>
      <c r="I1925" s="2">
        <v>43559</v>
      </c>
      <c r="J1925" s="1"/>
    </row>
    <row r="1926" spans="1:10" x14ac:dyDescent="0.3">
      <c r="A1926">
        <v>2532</v>
      </c>
      <c r="B1926">
        <v>1</v>
      </c>
      <c r="C1926">
        <v>0</v>
      </c>
      <c r="D1926">
        <v>0</v>
      </c>
      <c r="E1926">
        <v>0</v>
      </c>
      <c r="F1926">
        <v>0</v>
      </c>
      <c r="G1926">
        <v>0</v>
      </c>
      <c r="H1926">
        <v>1</v>
      </c>
      <c r="I1926" s="2">
        <v>43559</v>
      </c>
      <c r="J1926" s="1"/>
    </row>
    <row r="1927" spans="1:10" x14ac:dyDescent="0.3">
      <c r="A1927">
        <v>1337</v>
      </c>
      <c r="B1927">
        <v>0</v>
      </c>
      <c r="C1927">
        <v>0</v>
      </c>
      <c r="D1927">
        <v>0</v>
      </c>
      <c r="E1927">
        <v>0</v>
      </c>
      <c r="F1927">
        <v>0</v>
      </c>
      <c r="G1927">
        <v>0</v>
      </c>
      <c r="H1927">
        <v>0</v>
      </c>
      <c r="I1927" s="2">
        <v>43528</v>
      </c>
      <c r="J1927" s="1"/>
    </row>
    <row r="1928" spans="1:10" x14ac:dyDescent="0.3">
      <c r="A1928">
        <v>2618</v>
      </c>
      <c r="B1928">
        <v>0</v>
      </c>
      <c r="C1928">
        <v>0</v>
      </c>
      <c r="D1928">
        <v>0</v>
      </c>
      <c r="E1928">
        <v>0</v>
      </c>
      <c r="F1928">
        <v>0</v>
      </c>
      <c r="G1928">
        <v>0</v>
      </c>
      <c r="H1928">
        <v>0</v>
      </c>
      <c r="I1928" s="2">
        <v>43528</v>
      </c>
      <c r="J1928" s="1"/>
    </row>
    <row r="1929" spans="1:10" x14ac:dyDescent="0.3">
      <c r="A1929">
        <v>1580</v>
      </c>
      <c r="B1929">
        <v>0</v>
      </c>
      <c r="C1929">
        <v>0</v>
      </c>
      <c r="D1929">
        <v>0</v>
      </c>
      <c r="E1929">
        <v>0</v>
      </c>
      <c r="F1929">
        <v>0</v>
      </c>
      <c r="G1929">
        <v>0</v>
      </c>
      <c r="H1929">
        <v>0</v>
      </c>
      <c r="I1929" s="2">
        <v>43500</v>
      </c>
      <c r="J1929" s="1"/>
    </row>
    <row r="1930" spans="1:10" x14ac:dyDescent="0.3">
      <c r="A1930">
        <v>1592</v>
      </c>
      <c r="B1930">
        <v>0</v>
      </c>
      <c r="C1930">
        <v>0</v>
      </c>
      <c r="D1930">
        <v>0</v>
      </c>
      <c r="E1930">
        <v>0</v>
      </c>
      <c r="F1930">
        <v>0</v>
      </c>
      <c r="G1930">
        <v>0</v>
      </c>
      <c r="H1930">
        <v>0</v>
      </c>
      <c r="I1930" s="2">
        <v>43500</v>
      </c>
      <c r="J1930" s="1"/>
    </row>
    <row r="1931" spans="1:10" x14ac:dyDescent="0.3">
      <c r="A1931">
        <v>2720</v>
      </c>
      <c r="B1931">
        <v>0</v>
      </c>
      <c r="C1931">
        <v>0</v>
      </c>
      <c r="D1931">
        <v>0</v>
      </c>
      <c r="E1931">
        <v>0</v>
      </c>
      <c r="F1931">
        <v>0</v>
      </c>
      <c r="G1931">
        <v>0</v>
      </c>
      <c r="H1931">
        <v>0</v>
      </c>
      <c r="I1931" s="2">
        <v>43500</v>
      </c>
      <c r="J1931" s="1"/>
    </row>
    <row r="1932" spans="1:10" x14ac:dyDescent="0.3">
      <c r="A1932">
        <v>1214</v>
      </c>
      <c r="B1932">
        <v>0</v>
      </c>
      <c r="C1932">
        <v>0</v>
      </c>
      <c r="D1932">
        <v>0</v>
      </c>
      <c r="E1932">
        <v>0</v>
      </c>
      <c r="F1932">
        <v>0</v>
      </c>
      <c r="G1932">
        <v>0</v>
      </c>
      <c r="H1932">
        <v>0</v>
      </c>
      <c r="I1932" s="2">
        <v>43469</v>
      </c>
      <c r="J1932" s="1"/>
    </row>
    <row r="1933" spans="1:10" x14ac:dyDescent="0.3">
      <c r="A1933">
        <v>1268</v>
      </c>
      <c r="B1933">
        <v>0</v>
      </c>
      <c r="C1933">
        <v>0</v>
      </c>
      <c r="D1933">
        <v>0</v>
      </c>
      <c r="E1933">
        <v>0</v>
      </c>
      <c r="F1933">
        <v>0</v>
      </c>
      <c r="G1933">
        <v>0</v>
      </c>
      <c r="H1933">
        <v>0</v>
      </c>
      <c r="I1933" s="2">
        <v>43469</v>
      </c>
      <c r="J1933" s="1"/>
    </row>
    <row r="1934" spans="1:10" x14ac:dyDescent="0.3">
      <c r="A1934">
        <v>2419</v>
      </c>
      <c r="B1934">
        <v>0</v>
      </c>
      <c r="C1934">
        <v>0</v>
      </c>
      <c r="D1934">
        <v>0</v>
      </c>
      <c r="E1934">
        <v>1</v>
      </c>
      <c r="F1934">
        <v>0</v>
      </c>
      <c r="G1934">
        <v>0</v>
      </c>
      <c r="H1934">
        <v>1</v>
      </c>
      <c r="I1934" s="2" t="s">
        <v>370</v>
      </c>
    </row>
    <row r="1935" spans="1:10" x14ac:dyDescent="0.3">
      <c r="A1935">
        <v>1462</v>
      </c>
      <c r="B1935">
        <v>0</v>
      </c>
      <c r="C1935">
        <v>0</v>
      </c>
      <c r="D1935">
        <v>0</v>
      </c>
      <c r="E1935">
        <v>0</v>
      </c>
      <c r="F1935">
        <v>0</v>
      </c>
      <c r="G1935">
        <v>0</v>
      </c>
      <c r="H1935">
        <v>0</v>
      </c>
      <c r="I1935" s="2" t="s">
        <v>371</v>
      </c>
    </row>
    <row r="1936" spans="1:10" x14ac:dyDescent="0.3">
      <c r="A1936">
        <v>1778</v>
      </c>
      <c r="B1936">
        <v>0</v>
      </c>
      <c r="C1936">
        <v>0</v>
      </c>
      <c r="D1936">
        <v>0</v>
      </c>
      <c r="E1936">
        <v>0</v>
      </c>
      <c r="F1936">
        <v>0</v>
      </c>
      <c r="G1936">
        <v>0</v>
      </c>
      <c r="H1936">
        <v>0</v>
      </c>
      <c r="I1936" s="2" t="s">
        <v>371</v>
      </c>
    </row>
    <row r="1937" spans="1:9" x14ac:dyDescent="0.3">
      <c r="A1937">
        <v>1244</v>
      </c>
      <c r="B1937">
        <v>0</v>
      </c>
      <c r="C1937">
        <v>0</v>
      </c>
      <c r="D1937">
        <v>0</v>
      </c>
      <c r="E1937">
        <v>0</v>
      </c>
      <c r="F1937">
        <v>0</v>
      </c>
      <c r="G1937">
        <v>0</v>
      </c>
      <c r="H1937">
        <v>0</v>
      </c>
      <c r="I1937" s="2" t="s">
        <v>372</v>
      </c>
    </row>
    <row r="1938" spans="1:9" x14ac:dyDescent="0.3">
      <c r="A1938">
        <v>2208</v>
      </c>
      <c r="B1938">
        <v>1</v>
      </c>
      <c r="C1938">
        <v>0</v>
      </c>
      <c r="D1938">
        <v>0</v>
      </c>
      <c r="E1938">
        <v>0</v>
      </c>
      <c r="F1938">
        <v>0</v>
      </c>
      <c r="G1938">
        <v>0</v>
      </c>
      <c r="H1938">
        <v>1</v>
      </c>
      <c r="I1938" s="2" t="s">
        <v>372</v>
      </c>
    </row>
    <row r="1939" spans="1:9" x14ac:dyDescent="0.3">
      <c r="A1939">
        <v>2932</v>
      </c>
      <c r="B1939">
        <v>1</v>
      </c>
      <c r="C1939">
        <v>0</v>
      </c>
      <c r="D1939">
        <v>0</v>
      </c>
      <c r="E1939">
        <v>0</v>
      </c>
      <c r="F1939">
        <v>0</v>
      </c>
      <c r="G1939">
        <v>0</v>
      </c>
      <c r="H1939">
        <v>0</v>
      </c>
      <c r="I1939" s="2" t="s">
        <v>372</v>
      </c>
    </row>
    <row r="1940" spans="1:9" x14ac:dyDescent="0.3">
      <c r="A1940">
        <v>1692</v>
      </c>
      <c r="B1940">
        <v>0</v>
      </c>
      <c r="C1940">
        <v>0</v>
      </c>
      <c r="D1940">
        <v>0</v>
      </c>
      <c r="E1940">
        <v>0</v>
      </c>
      <c r="F1940">
        <v>0</v>
      </c>
      <c r="G1940">
        <v>0</v>
      </c>
      <c r="H1940">
        <v>0</v>
      </c>
      <c r="I1940" s="2" t="s">
        <v>373</v>
      </c>
    </row>
    <row r="1941" spans="1:9" x14ac:dyDescent="0.3">
      <c r="A1941">
        <v>2143</v>
      </c>
      <c r="B1941">
        <v>0</v>
      </c>
      <c r="C1941">
        <v>1</v>
      </c>
      <c r="D1941">
        <v>0</v>
      </c>
      <c r="E1941">
        <v>0</v>
      </c>
      <c r="F1941">
        <v>0</v>
      </c>
      <c r="G1941">
        <v>0</v>
      </c>
      <c r="H1941">
        <v>0</v>
      </c>
      <c r="I1941" s="2" t="s">
        <v>374</v>
      </c>
    </row>
    <row r="1942" spans="1:9" x14ac:dyDescent="0.3">
      <c r="A1942">
        <v>2897</v>
      </c>
      <c r="B1942">
        <v>0</v>
      </c>
      <c r="C1942">
        <v>1</v>
      </c>
      <c r="D1942">
        <v>1</v>
      </c>
      <c r="E1942">
        <v>1</v>
      </c>
      <c r="F1942">
        <v>1</v>
      </c>
      <c r="G1942">
        <v>0</v>
      </c>
      <c r="H1942">
        <v>1</v>
      </c>
      <c r="I1942" s="2" t="s">
        <v>374</v>
      </c>
    </row>
    <row r="1943" spans="1:9" x14ac:dyDescent="0.3">
      <c r="A1943">
        <v>1130</v>
      </c>
      <c r="B1943">
        <v>0</v>
      </c>
      <c r="C1943">
        <v>0</v>
      </c>
      <c r="D1943">
        <v>0</v>
      </c>
      <c r="E1943">
        <v>0</v>
      </c>
      <c r="F1943">
        <v>0</v>
      </c>
      <c r="G1943">
        <v>0</v>
      </c>
      <c r="H1943">
        <v>0</v>
      </c>
      <c r="I1943" s="2" t="s">
        <v>375</v>
      </c>
    </row>
    <row r="1944" spans="1:9" x14ac:dyDescent="0.3">
      <c r="A1944">
        <v>1135</v>
      </c>
      <c r="B1944">
        <v>0</v>
      </c>
      <c r="C1944">
        <v>0</v>
      </c>
      <c r="D1944">
        <v>0</v>
      </c>
      <c r="E1944">
        <v>0</v>
      </c>
      <c r="F1944">
        <v>0</v>
      </c>
      <c r="G1944">
        <v>0</v>
      </c>
      <c r="H1944">
        <v>0</v>
      </c>
      <c r="I1944" s="2" t="s">
        <v>376</v>
      </c>
    </row>
    <row r="1945" spans="1:9" x14ac:dyDescent="0.3">
      <c r="A1945">
        <v>2571</v>
      </c>
      <c r="B1945">
        <v>0</v>
      </c>
      <c r="C1945">
        <v>0</v>
      </c>
      <c r="D1945">
        <v>0</v>
      </c>
      <c r="E1945">
        <v>0</v>
      </c>
      <c r="F1945">
        <v>0</v>
      </c>
      <c r="G1945">
        <v>0</v>
      </c>
      <c r="H1945">
        <v>1</v>
      </c>
      <c r="I1945" s="2" t="s">
        <v>376</v>
      </c>
    </row>
    <row r="1946" spans="1:9" x14ac:dyDescent="0.3">
      <c r="A1946">
        <v>3088</v>
      </c>
      <c r="B1946">
        <v>0</v>
      </c>
      <c r="C1946">
        <v>0</v>
      </c>
      <c r="D1946">
        <v>0</v>
      </c>
      <c r="E1946">
        <v>0</v>
      </c>
      <c r="F1946">
        <v>0</v>
      </c>
      <c r="G1946">
        <v>0</v>
      </c>
      <c r="H1946">
        <v>0</v>
      </c>
      <c r="I1946" s="2" t="s">
        <v>376</v>
      </c>
    </row>
    <row r="1947" spans="1:9" x14ac:dyDescent="0.3">
      <c r="A1947">
        <v>3145</v>
      </c>
      <c r="B1947">
        <v>0</v>
      </c>
      <c r="C1947">
        <v>0</v>
      </c>
      <c r="D1947">
        <v>0</v>
      </c>
      <c r="E1947">
        <v>0</v>
      </c>
      <c r="F1947">
        <v>0</v>
      </c>
      <c r="G1947">
        <v>0</v>
      </c>
      <c r="H1947">
        <v>0</v>
      </c>
      <c r="I1947" s="2" t="s">
        <v>376</v>
      </c>
    </row>
    <row r="1948" spans="1:9" x14ac:dyDescent="0.3">
      <c r="A1948">
        <v>3170</v>
      </c>
      <c r="B1948">
        <v>0</v>
      </c>
      <c r="C1948">
        <v>0</v>
      </c>
      <c r="D1948">
        <v>0</v>
      </c>
      <c r="E1948">
        <v>0</v>
      </c>
      <c r="F1948">
        <v>0</v>
      </c>
      <c r="G1948">
        <v>0</v>
      </c>
      <c r="H1948">
        <v>1</v>
      </c>
      <c r="I1948" s="2" t="s">
        <v>376</v>
      </c>
    </row>
    <row r="1949" spans="1:9" x14ac:dyDescent="0.3">
      <c r="A1949">
        <v>1393</v>
      </c>
      <c r="B1949">
        <v>0</v>
      </c>
      <c r="C1949">
        <v>0</v>
      </c>
      <c r="D1949">
        <v>0</v>
      </c>
      <c r="E1949">
        <v>0</v>
      </c>
      <c r="F1949">
        <v>0</v>
      </c>
      <c r="G1949">
        <v>0</v>
      </c>
      <c r="H1949">
        <v>0</v>
      </c>
      <c r="I1949" s="2" t="s">
        <v>377</v>
      </c>
    </row>
    <row r="1950" spans="1:9" x14ac:dyDescent="0.3">
      <c r="A1950">
        <v>1850</v>
      </c>
      <c r="B1950">
        <v>0</v>
      </c>
      <c r="C1950">
        <v>0</v>
      </c>
      <c r="D1950">
        <v>0</v>
      </c>
      <c r="E1950">
        <v>0</v>
      </c>
      <c r="F1950">
        <v>0</v>
      </c>
      <c r="G1950">
        <v>0</v>
      </c>
      <c r="H1950">
        <v>0</v>
      </c>
      <c r="I1950" s="2" t="s">
        <v>377</v>
      </c>
    </row>
    <row r="1951" spans="1:9" x14ac:dyDescent="0.3">
      <c r="A1951">
        <v>1243</v>
      </c>
      <c r="B1951">
        <v>0</v>
      </c>
      <c r="C1951">
        <v>1</v>
      </c>
      <c r="D1951">
        <v>0</v>
      </c>
      <c r="E1951">
        <v>0</v>
      </c>
      <c r="F1951">
        <v>0</v>
      </c>
      <c r="G1951">
        <v>0</v>
      </c>
      <c r="H1951">
        <v>0</v>
      </c>
      <c r="I1951" s="2" t="s">
        <v>378</v>
      </c>
    </row>
    <row r="1952" spans="1:9" x14ac:dyDescent="0.3">
      <c r="A1952">
        <v>1862</v>
      </c>
      <c r="B1952">
        <v>0</v>
      </c>
      <c r="C1952">
        <v>0</v>
      </c>
      <c r="D1952">
        <v>0</v>
      </c>
      <c r="E1952">
        <v>0</v>
      </c>
      <c r="F1952">
        <v>0</v>
      </c>
      <c r="G1952">
        <v>0</v>
      </c>
      <c r="H1952">
        <v>0</v>
      </c>
      <c r="I1952" s="2" t="s">
        <v>378</v>
      </c>
    </row>
    <row r="1953" spans="1:9" x14ac:dyDescent="0.3">
      <c r="A1953">
        <v>2514</v>
      </c>
      <c r="B1953">
        <v>0</v>
      </c>
      <c r="C1953">
        <v>1</v>
      </c>
      <c r="D1953">
        <v>0</v>
      </c>
      <c r="E1953">
        <v>0</v>
      </c>
      <c r="F1953">
        <v>0</v>
      </c>
      <c r="G1953">
        <v>0</v>
      </c>
      <c r="H1953">
        <v>0</v>
      </c>
      <c r="I1953" s="2" t="s">
        <v>378</v>
      </c>
    </row>
    <row r="1954" spans="1:9" x14ac:dyDescent="0.3">
      <c r="A1954">
        <v>2725</v>
      </c>
      <c r="B1954">
        <v>0</v>
      </c>
      <c r="C1954">
        <v>1</v>
      </c>
      <c r="D1954">
        <v>0</v>
      </c>
      <c r="E1954">
        <v>0</v>
      </c>
      <c r="F1954">
        <v>0</v>
      </c>
      <c r="G1954">
        <v>0</v>
      </c>
      <c r="H1954">
        <v>1</v>
      </c>
      <c r="I1954" s="2" t="s">
        <v>378</v>
      </c>
    </row>
    <row r="1955" spans="1:9" x14ac:dyDescent="0.3">
      <c r="A1955">
        <v>1254</v>
      </c>
      <c r="B1955">
        <v>1</v>
      </c>
      <c r="C1955">
        <v>0</v>
      </c>
      <c r="D1955">
        <v>0</v>
      </c>
      <c r="E1955">
        <v>0</v>
      </c>
      <c r="F1955">
        <v>0</v>
      </c>
      <c r="G1955">
        <v>0</v>
      </c>
      <c r="H1955">
        <v>1</v>
      </c>
      <c r="I1955" s="2" t="s">
        <v>379</v>
      </c>
    </row>
    <row r="1956" spans="1:9" x14ac:dyDescent="0.3">
      <c r="A1956">
        <v>2855</v>
      </c>
      <c r="B1956">
        <v>0</v>
      </c>
      <c r="C1956">
        <v>0</v>
      </c>
      <c r="D1956">
        <v>0</v>
      </c>
      <c r="E1956">
        <v>0</v>
      </c>
      <c r="F1956">
        <v>0</v>
      </c>
      <c r="G1956">
        <v>0</v>
      </c>
      <c r="H1956">
        <v>1</v>
      </c>
      <c r="I1956" s="2" t="s">
        <v>379</v>
      </c>
    </row>
    <row r="1957" spans="1:9" x14ac:dyDescent="0.3">
      <c r="A1957">
        <v>3173</v>
      </c>
      <c r="B1957">
        <v>0</v>
      </c>
      <c r="C1957">
        <v>0</v>
      </c>
      <c r="D1957">
        <v>0</v>
      </c>
      <c r="E1957">
        <v>0</v>
      </c>
      <c r="F1957">
        <v>0</v>
      </c>
      <c r="G1957">
        <v>0</v>
      </c>
      <c r="H1957">
        <v>0</v>
      </c>
      <c r="I1957" s="2" t="s">
        <v>379</v>
      </c>
    </row>
    <row r="1958" spans="1:9" x14ac:dyDescent="0.3">
      <c r="A1958">
        <v>3205</v>
      </c>
      <c r="B1958">
        <v>0</v>
      </c>
      <c r="C1958">
        <v>0</v>
      </c>
      <c r="D1958">
        <v>0</v>
      </c>
      <c r="E1958">
        <v>0</v>
      </c>
      <c r="F1958">
        <v>0</v>
      </c>
      <c r="G1958">
        <v>0</v>
      </c>
      <c r="H1958">
        <v>1</v>
      </c>
      <c r="I1958" s="2" t="s">
        <v>379</v>
      </c>
    </row>
    <row r="1959" spans="1:9" x14ac:dyDescent="0.3">
      <c r="A1959">
        <v>3220</v>
      </c>
      <c r="B1959">
        <v>0</v>
      </c>
      <c r="C1959">
        <v>0</v>
      </c>
      <c r="D1959">
        <v>0</v>
      </c>
      <c r="E1959">
        <v>0</v>
      </c>
      <c r="F1959">
        <v>0</v>
      </c>
      <c r="G1959">
        <v>0</v>
      </c>
      <c r="H1959">
        <v>1</v>
      </c>
      <c r="I1959" s="2" t="s">
        <v>379</v>
      </c>
    </row>
    <row r="1960" spans="1:9" x14ac:dyDescent="0.3">
      <c r="A1960">
        <v>1955</v>
      </c>
      <c r="B1960">
        <v>0</v>
      </c>
      <c r="C1960">
        <v>0</v>
      </c>
      <c r="D1960">
        <v>0</v>
      </c>
      <c r="E1960">
        <v>0</v>
      </c>
      <c r="F1960">
        <v>0</v>
      </c>
      <c r="G1960">
        <v>0</v>
      </c>
      <c r="H1960">
        <v>0</v>
      </c>
      <c r="I1960" s="2" t="s">
        <v>380</v>
      </c>
    </row>
    <row r="1961" spans="1:9" x14ac:dyDescent="0.3">
      <c r="A1961">
        <v>2757</v>
      </c>
      <c r="B1961">
        <v>0</v>
      </c>
      <c r="C1961">
        <v>0</v>
      </c>
      <c r="D1961">
        <v>0</v>
      </c>
      <c r="E1961">
        <v>0</v>
      </c>
      <c r="F1961">
        <v>0</v>
      </c>
      <c r="G1961">
        <v>0</v>
      </c>
      <c r="H1961">
        <v>0</v>
      </c>
      <c r="I1961" s="2" t="s">
        <v>380</v>
      </c>
    </row>
    <row r="1962" spans="1:9" x14ac:dyDescent="0.3">
      <c r="A1962">
        <v>2776</v>
      </c>
      <c r="B1962">
        <v>0</v>
      </c>
      <c r="C1962">
        <v>0</v>
      </c>
      <c r="D1962">
        <v>1</v>
      </c>
      <c r="E1962">
        <v>0</v>
      </c>
      <c r="F1962">
        <v>0</v>
      </c>
      <c r="G1962">
        <v>0</v>
      </c>
      <c r="H1962">
        <v>0</v>
      </c>
      <c r="I1962" s="2" t="s">
        <v>380</v>
      </c>
    </row>
    <row r="1963" spans="1:9" x14ac:dyDescent="0.3">
      <c r="A1963">
        <v>2887</v>
      </c>
      <c r="B1963">
        <v>0</v>
      </c>
      <c r="C1963">
        <v>0</v>
      </c>
      <c r="D1963">
        <v>0</v>
      </c>
      <c r="E1963">
        <v>0</v>
      </c>
      <c r="F1963">
        <v>0</v>
      </c>
      <c r="G1963">
        <v>0</v>
      </c>
      <c r="H1963">
        <v>0</v>
      </c>
      <c r="I1963" s="2" t="s">
        <v>380</v>
      </c>
    </row>
    <row r="1964" spans="1:9" x14ac:dyDescent="0.3">
      <c r="A1964">
        <v>3187</v>
      </c>
      <c r="B1964">
        <v>0</v>
      </c>
      <c r="C1964">
        <v>0</v>
      </c>
      <c r="D1964">
        <v>0</v>
      </c>
      <c r="E1964">
        <v>0</v>
      </c>
      <c r="F1964">
        <v>0</v>
      </c>
      <c r="G1964">
        <v>0</v>
      </c>
      <c r="H1964">
        <v>0</v>
      </c>
      <c r="I1964" s="2" t="s">
        <v>380</v>
      </c>
    </row>
    <row r="1965" spans="1:9" x14ac:dyDescent="0.3">
      <c r="A1965">
        <v>1242</v>
      </c>
      <c r="B1965">
        <v>0</v>
      </c>
      <c r="C1965">
        <v>0</v>
      </c>
      <c r="D1965">
        <v>0</v>
      </c>
      <c r="E1965">
        <v>0</v>
      </c>
      <c r="F1965">
        <v>0</v>
      </c>
      <c r="G1965">
        <v>0</v>
      </c>
      <c r="H1965">
        <v>0</v>
      </c>
      <c r="I1965" s="2" t="s">
        <v>381</v>
      </c>
    </row>
    <row r="1966" spans="1:9" x14ac:dyDescent="0.3">
      <c r="A1966">
        <v>1950</v>
      </c>
      <c r="B1966">
        <v>0</v>
      </c>
      <c r="C1966">
        <v>0</v>
      </c>
      <c r="D1966">
        <v>0</v>
      </c>
      <c r="E1966">
        <v>0</v>
      </c>
      <c r="F1966">
        <v>0</v>
      </c>
      <c r="G1966">
        <v>0</v>
      </c>
      <c r="H1966">
        <v>0</v>
      </c>
      <c r="I1966" s="2" t="s">
        <v>381</v>
      </c>
    </row>
    <row r="1967" spans="1:9" x14ac:dyDescent="0.3">
      <c r="A1967">
        <v>2026</v>
      </c>
      <c r="B1967">
        <v>0</v>
      </c>
      <c r="C1967">
        <v>0</v>
      </c>
      <c r="D1967">
        <v>0</v>
      </c>
      <c r="E1967">
        <v>0</v>
      </c>
      <c r="F1967">
        <v>0</v>
      </c>
      <c r="G1967">
        <v>0</v>
      </c>
      <c r="H1967">
        <v>0</v>
      </c>
      <c r="I1967" s="2" t="s">
        <v>381</v>
      </c>
    </row>
    <row r="1968" spans="1:9" x14ac:dyDescent="0.3">
      <c r="A1968">
        <v>2130</v>
      </c>
      <c r="B1968">
        <v>1</v>
      </c>
      <c r="C1968">
        <v>0</v>
      </c>
      <c r="D1968">
        <v>0</v>
      </c>
      <c r="E1968">
        <v>0</v>
      </c>
      <c r="F1968">
        <v>0</v>
      </c>
      <c r="G1968">
        <v>0</v>
      </c>
      <c r="H1968">
        <v>1</v>
      </c>
      <c r="I1968" s="2" t="s">
        <v>381</v>
      </c>
    </row>
    <row r="1969" spans="1:9" x14ac:dyDescent="0.3">
      <c r="A1969">
        <v>2432</v>
      </c>
      <c r="B1969">
        <v>0</v>
      </c>
      <c r="C1969">
        <v>0</v>
      </c>
      <c r="D1969">
        <v>0</v>
      </c>
      <c r="E1969">
        <v>0</v>
      </c>
      <c r="F1969">
        <v>0</v>
      </c>
      <c r="G1969">
        <v>0</v>
      </c>
      <c r="H1969">
        <v>1</v>
      </c>
      <c r="I1969" s="2" t="s">
        <v>381</v>
      </c>
    </row>
    <row r="1970" spans="1:9" x14ac:dyDescent="0.3">
      <c r="A1970">
        <v>2752</v>
      </c>
      <c r="B1970">
        <v>0</v>
      </c>
      <c r="C1970">
        <v>0</v>
      </c>
      <c r="D1970">
        <v>0</v>
      </c>
      <c r="E1970">
        <v>0</v>
      </c>
      <c r="F1970">
        <v>0</v>
      </c>
      <c r="G1970">
        <v>0</v>
      </c>
      <c r="H1970">
        <v>0</v>
      </c>
      <c r="I1970" s="2" t="s">
        <v>381</v>
      </c>
    </row>
    <row r="1971" spans="1:9" x14ac:dyDescent="0.3">
      <c r="A1971">
        <v>1072</v>
      </c>
      <c r="B1971">
        <v>1</v>
      </c>
      <c r="C1971">
        <v>0</v>
      </c>
      <c r="D1971">
        <v>0</v>
      </c>
      <c r="E1971">
        <v>0</v>
      </c>
      <c r="F1971">
        <v>0</v>
      </c>
      <c r="G1971">
        <v>0</v>
      </c>
      <c r="H1971">
        <v>1</v>
      </c>
      <c r="I1971" s="2" t="s">
        <v>382</v>
      </c>
    </row>
    <row r="1972" spans="1:9" x14ac:dyDescent="0.3">
      <c r="A1972">
        <v>1574</v>
      </c>
      <c r="B1972">
        <v>0</v>
      </c>
      <c r="C1972">
        <v>0</v>
      </c>
      <c r="D1972">
        <v>0</v>
      </c>
      <c r="E1972">
        <v>0</v>
      </c>
      <c r="F1972">
        <v>0</v>
      </c>
      <c r="G1972">
        <v>1</v>
      </c>
      <c r="H1972">
        <v>1</v>
      </c>
      <c r="I1972" s="2" t="s">
        <v>382</v>
      </c>
    </row>
    <row r="1973" spans="1:9" x14ac:dyDescent="0.3">
      <c r="A1973">
        <v>1948</v>
      </c>
      <c r="B1973">
        <v>0</v>
      </c>
      <c r="C1973">
        <v>0</v>
      </c>
      <c r="D1973">
        <v>0</v>
      </c>
      <c r="E1973">
        <v>0</v>
      </c>
      <c r="F1973">
        <v>0</v>
      </c>
      <c r="G1973">
        <v>0</v>
      </c>
      <c r="H1973">
        <v>0</v>
      </c>
      <c r="I1973" s="2" t="s">
        <v>382</v>
      </c>
    </row>
    <row r="1974" spans="1:9" x14ac:dyDescent="0.3">
      <c r="A1974">
        <v>2380</v>
      </c>
      <c r="B1974">
        <v>0</v>
      </c>
      <c r="C1974">
        <v>0</v>
      </c>
      <c r="D1974">
        <v>0</v>
      </c>
      <c r="E1974">
        <v>0</v>
      </c>
      <c r="F1974">
        <v>0</v>
      </c>
      <c r="G1974">
        <v>0</v>
      </c>
      <c r="H1974">
        <v>0</v>
      </c>
      <c r="I1974" s="2" t="s">
        <v>382</v>
      </c>
    </row>
    <row r="1975" spans="1:9" x14ac:dyDescent="0.3">
      <c r="A1975">
        <v>3181</v>
      </c>
      <c r="B1975">
        <v>0</v>
      </c>
      <c r="C1975">
        <v>0</v>
      </c>
      <c r="D1975">
        <v>0</v>
      </c>
      <c r="E1975">
        <v>0</v>
      </c>
      <c r="F1975">
        <v>0</v>
      </c>
      <c r="G1975">
        <v>0</v>
      </c>
      <c r="H1975">
        <v>0</v>
      </c>
      <c r="I1975" s="2" t="s">
        <v>382</v>
      </c>
    </row>
    <row r="1976" spans="1:9" x14ac:dyDescent="0.3">
      <c r="A1976">
        <v>3128</v>
      </c>
      <c r="B1976">
        <v>0</v>
      </c>
      <c r="C1976">
        <v>0</v>
      </c>
      <c r="D1976">
        <v>0</v>
      </c>
      <c r="E1976">
        <v>0</v>
      </c>
      <c r="F1976">
        <v>0</v>
      </c>
      <c r="G1976">
        <v>0</v>
      </c>
      <c r="H1976">
        <v>1</v>
      </c>
      <c r="I1976" s="2" t="s">
        <v>383</v>
      </c>
    </row>
    <row r="1977" spans="1:9" x14ac:dyDescent="0.3">
      <c r="A1977">
        <v>1014</v>
      </c>
      <c r="B1977">
        <v>0</v>
      </c>
      <c r="C1977">
        <v>0</v>
      </c>
      <c r="D1977">
        <v>0</v>
      </c>
      <c r="E1977">
        <v>0</v>
      </c>
      <c r="F1977">
        <v>0</v>
      </c>
      <c r="G1977">
        <v>0</v>
      </c>
      <c r="H1977">
        <v>0</v>
      </c>
      <c r="I1977" s="2" t="s">
        <v>384</v>
      </c>
    </row>
    <row r="1978" spans="1:9" x14ac:dyDescent="0.3">
      <c r="A1978">
        <v>1031</v>
      </c>
      <c r="B1978">
        <v>0</v>
      </c>
      <c r="C1978">
        <v>1</v>
      </c>
      <c r="D1978">
        <v>0</v>
      </c>
      <c r="E1978">
        <v>0</v>
      </c>
      <c r="F1978">
        <v>0</v>
      </c>
      <c r="G1978">
        <v>0</v>
      </c>
      <c r="H1978">
        <v>0</v>
      </c>
      <c r="I1978" s="2" t="s">
        <v>384</v>
      </c>
    </row>
    <row r="1979" spans="1:9" x14ac:dyDescent="0.3">
      <c r="A1979">
        <v>1247</v>
      </c>
      <c r="B1979">
        <v>1</v>
      </c>
      <c r="C1979">
        <v>0</v>
      </c>
      <c r="D1979">
        <v>0</v>
      </c>
      <c r="E1979">
        <v>0</v>
      </c>
      <c r="F1979">
        <v>0</v>
      </c>
      <c r="G1979">
        <v>0</v>
      </c>
      <c r="H1979">
        <v>1</v>
      </c>
      <c r="I1979" s="2" t="s">
        <v>384</v>
      </c>
    </row>
    <row r="1980" spans="1:9" x14ac:dyDescent="0.3">
      <c r="A1980">
        <v>1468</v>
      </c>
      <c r="B1980">
        <v>0</v>
      </c>
      <c r="C1980">
        <v>0</v>
      </c>
      <c r="D1980">
        <v>0</v>
      </c>
      <c r="E1980">
        <v>0</v>
      </c>
      <c r="F1980">
        <v>0</v>
      </c>
      <c r="G1980">
        <v>0</v>
      </c>
      <c r="H1980">
        <v>0</v>
      </c>
      <c r="I1980" s="2" t="s">
        <v>384</v>
      </c>
    </row>
    <row r="1981" spans="1:9" x14ac:dyDescent="0.3">
      <c r="A1981">
        <v>2184</v>
      </c>
      <c r="B1981">
        <v>1</v>
      </c>
      <c r="C1981">
        <v>0</v>
      </c>
      <c r="D1981">
        <v>0</v>
      </c>
      <c r="E1981">
        <v>0</v>
      </c>
      <c r="F1981">
        <v>0</v>
      </c>
      <c r="G1981">
        <v>0</v>
      </c>
      <c r="H1981">
        <v>1</v>
      </c>
      <c r="I1981" s="2" t="s">
        <v>384</v>
      </c>
    </row>
    <row r="1982" spans="1:9" x14ac:dyDescent="0.3">
      <c r="A1982">
        <v>1144</v>
      </c>
      <c r="B1982">
        <v>0</v>
      </c>
      <c r="C1982">
        <v>0</v>
      </c>
      <c r="D1982">
        <v>0</v>
      </c>
      <c r="E1982">
        <v>0</v>
      </c>
      <c r="F1982">
        <v>0</v>
      </c>
      <c r="G1982">
        <v>0</v>
      </c>
      <c r="H1982">
        <v>0</v>
      </c>
      <c r="I1982" s="2" t="s">
        <v>385</v>
      </c>
    </row>
    <row r="1983" spans="1:9" x14ac:dyDescent="0.3">
      <c r="A1983">
        <v>2840</v>
      </c>
      <c r="B1983">
        <v>0</v>
      </c>
      <c r="C1983">
        <v>1</v>
      </c>
      <c r="D1983">
        <v>0</v>
      </c>
      <c r="E1983">
        <v>0</v>
      </c>
      <c r="F1983">
        <v>0</v>
      </c>
      <c r="G1983">
        <v>0</v>
      </c>
      <c r="H1983">
        <v>1</v>
      </c>
      <c r="I1983" s="2" t="s">
        <v>386</v>
      </c>
    </row>
    <row r="1984" spans="1:9" x14ac:dyDescent="0.3">
      <c r="A1984">
        <v>2361</v>
      </c>
      <c r="B1984">
        <v>0</v>
      </c>
      <c r="C1984">
        <v>0</v>
      </c>
      <c r="D1984">
        <v>0</v>
      </c>
      <c r="E1984">
        <v>0</v>
      </c>
      <c r="F1984">
        <v>0</v>
      </c>
      <c r="G1984">
        <v>0</v>
      </c>
      <c r="H1984">
        <v>0</v>
      </c>
      <c r="I1984" s="2" t="s">
        <v>387</v>
      </c>
    </row>
    <row r="1985" spans="1:10" x14ac:dyDescent="0.3">
      <c r="A1985">
        <v>3031</v>
      </c>
      <c r="B1985">
        <v>0</v>
      </c>
      <c r="C1985">
        <v>0</v>
      </c>
      <c r="D1985">
        <v>0</v>
      </c>
      <c r="E1985">
        <v>0</v>
      </c>
      <c r="F1985">
        <v>0</v>
      </c>
      <c r="G1985">
        <v>0</v>
      </c>
      <c r="H1985">
        <v>0</v>
      </c>
      <c r="I1985" s="2" t="s">
        <v>387</v>
      </c>
    </row>
    <row r="1986" spans="1:10" x14ac:dyDescent="0.3">
      <c r="A1986">
        <v>1200</v>
      </c>
      <c r="B1986">
        <v>0</v>
      </c>
      <c r="C1986">
        <v>0</v>
      </c>
      <c r="D1986">
        <v>0</v>
      </c>
      <c r="E1986">
        <v>0</v>
      </c>
      <c r="F1986">
        <v>0</v>
      </c>
      <c r="G1986">
        <v>0</v>
      </c>
      <c r="H1986">
        <v>0</v>
      </c>
      <c r="I1986" s="2">
        <v>43802</v>
      </c>
      <c r="J1986" s="1"/>
    </row>
    <row r="1987" spans="1:10" x14ac:dyDescent="0.3">
      <c r="A1987">
        <v>1371</v>
      </c>
      <c r="B1987">
        <v>0</v>
      </c>
      <c r="C1987">
        <v>0</v>
      </c>
      <c r="D1987">
        <v>0</v>
      </c>
      <c r="E1987">
        <v>0</v>
      </c>
      <c r="F1987">
        <v>0</v>
      </c>
      <c r="G1987">
        <v>0</v>
      </c>
      <c r="H1987">
        <v>0</v>
      </c>
      <c r="I1987" s="2">
        <v>43802</v>
      </c>
      <c r="J1987" s="1"/>
    </row>
    <row r="1988" spans="1:10" x14ac:dyDescent="0.3">
      <c r="A1988">
        <v>1623</v>
      </c>
      <c r="B1988">
        <v>0</v>
      </c>
      <c r="C1988">
        <v>0</v>
      </c>
      <c r="D1988">
        <v>0</v>
      </c>
      <c r="E1988">
        <v>0</v>
      </c>
      <c r="F1988">
        <v>0</v>
      </c>
      <c r="G1988">
        <v>0</v>
      </c>
      <c r="H1988">
        <v>0</v>
      </c>
      <c r="I1988" s="2">
        <v>43802</v>
      </c>
      <c r="J1988" s="1"/>
    </row>
    <row r="1989" spans="1:10" x14ac:dyDescent="0.3">
      <c r="A1989">
        <v>2036</v>
      </c>
      <c r="B1989">
        <v>0</v>
      </c>
      <c r="C1989">
        <v>0</v>
      </c>
      <c r="D1989">
        <v>0</v>
      </c>
      <c r="E1989">
        <v>0</v>
      </c>
      <c r="F1989">
        <v>0</v>
      </c>
      <c r="G1989">
        <v>0</v>
      </c>
      <c r="H1989">
        <v>0</v>
      </c>
      <c r="I1989" s="2">
        <v>43802</v>
      </c>
      <c r="J1989" s="1"/>
    </row>
    <row r="1990" spans="1:10" x14ac:dyDescent="0.3">
      <c r="A1990">
        <v>2511</v>
      </c>
      <c r="B1990">
        <v>0</v>
      </c>
      <c r="C1990">
        <v>0</v>
      </c>
      <c r="D1990">
        <v>0</v>
      </c>
      <c r="E1990">
        <v>0</v>
      </c>
      <c r="F1990">
        <v>0</v>
      </c>
      <c r="G1990">
        <v>0</v>
      </c>
      <c r="H1990">
        <v>0</v>
      </c>
      <c r="I1990" s="2">
        <v>43802</v>
      </c>
      <c r="J1990" s="1"/>
    </row>
    <row r="1991" spans="1:10" x14ac:dyDescent="0.3">
      <c r="A1991">
        <v>2747</v>
      </c>
      <c r="B1991">
        <v>0</v>
      </c>
      <c r="C1991">
        <v>0</v>
      </c>
      <c r="D1991">
        <v>0</v>
      </c>
      <c r="E1991">
        <v>0</v>
      </c>
      <c r="F1991">
        <v>0</v>
      </c>
      <c r="G1991">
        <v>0</v>
      </c>
      <c r="H1991">
        <v>0</v>
      </c>
      <c r="I1991" s="2">
        <v>43802</v>
      </c>
      <c r="J1991" s="1"/>
    </row>
    <row r="1992" spans="1:10" x14ac:dyDescent="0.3">
      <c r="A1992">
        <v>1671</v>
      </c>
      <c r="B1992">
        <v>0</v>
      </c>
      <c r="C1992">
        <v>1</v>
      </c>
      <c r="D1992">
        <v>0</v>
      </c>
      <c r="E1992">
        <v>0</v>
      </c>
      <c r="F1992">
        <v>0</v>
      </c>
      <c r="G1992">
        <v>0</v>
      </c>
      <c r="H1992">
        <v>1</v>
      </c>
      <c r="I1992" s="2">
        <v>43772</v>
      </c>
      <c r="J1992" s="1"/>
    </row>
    <row r="1993" spans="1:10" x14ac:dyDescent="0.3">
      <c r="A1993">
        <v>1839</v>
      </c>
      <c r="B1993">
        <v>0</v>
      </c>
      <c r="C1993">
        <v>0</v>
      </c>
      <c r="D1993">
        <v>0</v>
      </c>
      <c r="E1993">
        <v>0</v>
      </c>
      <c r="F1993">
        <v>0</v>
      </c>
      <c r="G1993">
        <v>0</v>
      </c>
      <c r="H1993">
        <v>0</v>
      </c>
      <c r="I1993" s="2">
        <v>43772</v>
      </c>
      <c r="J1993" s="1"/>
    </row>
    <row r="1994" spans="1:10" x14ac:dyDescent="0.3">
      <c r="A1994">
        <v>1844</v>
      </c>
      <c r="B1994">
        <v>0</v>
      </c>
      <c r="C1994">
        <v>0</v>
      </c>
      <c r="D1994">
        <v>0</v>
      </c>
      <c r="E1994">
        <v>0</v>
      </c>
      <c r="F1994">
        <v>0</v>
      </c>
      <c r="G1994">
        <v>0</v>
      </c>
      <c r="H1994">
        <v>0</v>
      </c>
      <c r="I1994" s="2">
        <v>43772</v>
      </c>
      <c r="J1994" s="1"/>
    </row>
    <row r="1995" spans="1:10" x14ac:dyDescent="0.3">
      <c r="A1995">
        <v>2353</v>
      </c>
      <c r="B1995">
        <v>0</v>
      </c>
      <c r="C1995">
        <v>1</v>
      </c>
      <c r="D1995">
        <v>0</v>
      </c>
      <c r="E1995">
        <v>0</v>
      </c>
      <c r="F1995">
        <v>0</v>
      </c>
      <c r="G1995">
        <v>0</v>
      </c>
      <c r="H1995">
        <v>0</v>
      </c>
      <c r="I1995" s="2">
        <v>43772</v>
      </c>
      <c r="J1995" s="1"/>
    </row>
    <row r="1996" spans="1:10" x14ac:dyDescent="0.3">
      <c r="A1996">
        <v>2785</v>
      </c>
      <c r="B1996">
        <v>0</v>
      </c>
      <c r="C1996">
        <v>0</v>
      </c>
      <c r="D1996">
        <v>0</v>
      </c>
      <c r="E1996">
        <v>0</v>
      </c>
      <c r="F1996">
        <v>0</v>
      </c>
      <c r="G1996">
        <v>0</v>
      </c>
      <c r="H1996">
        <v>0</v>
      </c>
      <c r="I1996" s="2">
        <v>43772</v>
      </c>
      <c r="J1996" s="1"/>
    </row>
    <row r="1997" spans="1:10" x14ac:dyDescent="0.3">
      <c r="A1997">
        <v>3011</v>
      </c>
      <c r="B1997">
        <v>0</v>
      </c>
      <c r="C1997">
        <v>0</v>
      </c>
      <c r="D1997">
        <v>0</v>
      </c>
      <c r="E1997">
        <v>0</v>
      </c>
      <c r="F1997">
        <v>0</v>
      </c>
      <c r="G1997">
        <v>0</v>
      </c>
      <c r="H1997">
        <v>0</v>
      </c>
      <c r="I1997" s="2">
        <v>43772</v>
      </c>
      <c r="J1997" s="1"/>
    </row>
    <row r="1998" spans="1:10" x14ac:dyDescent="0.3">
      <c r="A1998">
        <v>2679</v>
      </c>
      <c r="B1998">
        <v>0</v>
      </c>
      <c r="C1998">
        <v>0</v>
      </c>
      <c r="D1998">
        <v>0</v>
      </c>
      <c r="E1998">
        <v>0</v>
      </c>
      <c r="F1998">
        <v>0</v>
      </c>
      <c r="G1998">
        <v>0</v>
      </c>
      <c r="H1998">
        <v>1</v>
      </c>
      <c r="I1998" s="2">
        <v>43711</v>
      </c>
      <c r="J1998" s="1"/>
    </row>
    <row r="1999" spans="1:10" x14ac:dyDescent="0.3">
      <c r="A1999">
        <v>1926</v>
      </c>
      <c r="B1999">
        <v>0</v>
      </c>
      <c r="C1999">
        <v>1</v>
      </c>
      <c r="D1999">
        <v>1</v>
      </c>
      <c r="E1999">
        <v>0</v>
      </c>
      <c r="F1999">
        <v>0</v>
      </c>
      <c r="G1999">
        <v>0</v>
      </c>
      <c r="H1999">
        <v>0</v>
      </c>
      <c r="I1999" s="2">
        <v>43680</v>
      </c>
      <c r="J1999" s="1"/>
    </row>
    <row r="2000" spans="1:10" x14ac:dyDescent="0.3">
      <c r="A2000">
        <v>1930</v>
      </c>
      <c r="B2000">
        <v>0</v>
      </c>
      <c r="C2000">
        <v>0</v>
      </c>
      <c r="D2000">
        <v>0</v>
      </c>
      <c r="E2000">
        <v>0</v>
      </c>
      <c r="F2000">
        <v>0</v>
      </c>
      <c r="G2000">
        <v>0</v>
      </c>
      <c r="H2000">
        <v>0</v>
      </c>
      <c r="I2000" s="2">
        <v>43680</v>
      </c>
      <c r="J2000" s="1"/>
    </row>
    <row r="2001" spans="1:10" x14ac:dyDescent="0.3">
      <c r="A2001">
        <v>2041</v>
      </c>
      <c r="B2001">
        <v>0</v>
      </c>
      <c r="C2001">
        <v>1</v>
      </c>
      <c r="D2001">
        <v>0</v>
      </c>
      <c r="E2001">
        <v>0</v>
      </c>
      <c r="F2001">
        <v>0</v>
      </c>
      <c r="G2001">
        <v>0</v>
      </c>
      <c r="H2001">
        <v>0</v>
      </c>
      <c r="I2001" s="2">
        <v>43680</v>
      </c>
      <c r="J2001" s="1"/>
    </row>
    <row r="2002" spans="1:10" x14ac:dyDescent="0.3">
      <c r="A2002">
        <v>2322</v>
      </c>
      <c r="B2002">
        <v>0</v>
      </c>
      <c r="C2002">
        <v>1</v>
      </c>
      <c r="D2002">
        <v>0</v>
      </c>
      <c r="E2002">
        <v>0</v>
      </c>
      <c r="F2002">
        <v>0</v>
      </c>
      <c r="G2002">
        <v>0</v>
      </c>
      <c r="H2002">
        <v>1</v>
      </c>
      <c r="I2002" s="2">
        <v>43680</v>
      </c>
      <c r="J2002" s="1"/>
    </row>
    <row r="2003" spans="1:10" x14ac:dyDescent="0.3">
      <c r="A2003">
        <v>2843</v>
      </c>
      <c r="B2003">
        <v>0</v>
      </c>
      <c r="C2003">
        <v>0</v>
      </c>
      <c r="D2003">
        <v>0</v>
      </c>
      <c r="E2003">
        <v>0</v>
      </c>
      <c r="F2003">
        <v>0</v>
      </c>
      <c r="G2003">
        <v>0</v>
      </c>
      <c r="H2003">
        <v>0</v>
      </c>
      <c r="I2003" s="2">
        <v>43680</v>
      </c>
      <c r="J2003" s="1"/>
    </row>
    <row r="2004" spans="1:10" x14ac:dyDescent="0.3">
      <c r="A2004">
        <v>1507</v>
      </c>
      <c r="B2004">
        <v>0</v>
      </c>
      <c r="C2004">
        <v>1</v>
      </c>
      <c r="D2004">
        <v>1</v>
      </c>
      <c r="E2004">
        <v>0</v>
      </c>
      <c r="F2004">
        <v>0</v>
      </c>
      <c r="G2004">
        <v>0</v>
      </c>
      <c r="H2004">
        <v>0</v>
      </c>
      <c r="I2004" s="2">
        <v>43649</v>
      </c>
      <c r="J2004" s="1"/>
    </row>
    <row r="2005" spans="1:10" x14ac:dyDescent="0.3">
      <c r="A2005">
        <v>1827</v>
      </c>
      <c r="B2005">
        <v>0</v>
      </c>
      <c r="C2005">
        <v>0</v>
      </c>
      <c r="D2005">
        <v>0</v>
      </c>
      <c r="E2005">
        <v>0</v>
      </c>
      <c r="F2005">
        <v>0</v>
      </c>
      <c r="G2005">
        <v>0</v>
      </c>
      <c r="H2005">
        <v>0</v>
      </c>
      <c r="I2005" s="2">
        <v>43619</v>
      </c>
      <c r="J2005" s="1"/>
    </row>
    <row r="2006" spans="1:10" x14ac:dyDescent="0.3">
      <c r="A2006">
        <v>3067</v>
      </c>
      <c r="B2006">
        <v>1</v>
      </c>
      <c r="C2006">
        <v>0</v>
      </c>
      <c r="D2006">
        <v>1</v>
      </c>
      <c r="E2006">
        <v>0</v>
      </c>
      <c r="F2006">
        <v>0</v>
      </c>
      <c r="G2006">
        <v>0</v>
      </c>
      <c r="H2006">
        <v>1</v>
      </c>
      <c r="I2006" s="2">
        <v>43619</v>
      </c>
      <c r="J2006" s="1"/>
    </row>
    <row r="2007" spans="1:10" x14ac:dyDescent="0.3">
      <c r="A2007">
        <v>1344</v>
      </c>
      <c r="B2007">
        <v>0</v>
      </c>
      <c r="C2007">
        <v>1</v>
      </c>
      <c r="D2007">
        <v>0</v>
      </c>
      <c r="E2007">
        <v>0</v>
      </c>
      <c r="F2007">
        <v>0</v>
      </c>
      <c r="G2007">
        <v>0</v>
      </c>
      <c r="H2007">
        <v>0</v>
      </c>
      <c r="I2007" s="2">
        <v>43588</v>
      </c>
      <c r="J2007" s="1"/>
    </row>
    <row r="2008" spans="1:10" x14ac:dyDescent="0.3">
      <c r="A2008">
        <v>1621</v>
      </c>
      <c r="B2008">
        <v>0</v>
      </c>
      <c r="C2008">
        <v>0</v>
      </c>
      <c r="D2008">
        <v>0</v>
      </c>
      <c r="E2008">
        <v>0</v>
      </c>
      <c r="F2008">
        <v>0</v>
      </c>
      <c r="G2008">
        <v>0</v>
      </c>
      <c r="H2008">
        <v>1</v>
      </c>
      <c r="I2008" s="2">
        <v>43588</v>
      </c>
      <c r="J2008" s="1"/>
    </row>
    <row r="2009" spans="1:10" x14ac:dyDescent="0.3">
      <c r="A2009">
        <v>2386</v>
      </c>
      <c r="B2009">
        <v>0</v>
      </c>
      <c r="C2009">
        <v>0</v>
      </c>
      <c r="D2009">
        <v>0</v>
      </c>
      <c r="E2009">
        <v>0</v>
      </c>
      <c r="F2009">
        <v>0</v>
      </c>
      <c r="G2009">
        <v>0</v>
      </c>
      <c r="H2009">
        <v>0</v>
      </c>
      <c r="I2009" s="2">
        <v>43588</v>
      </c>
      <c r="J2009" s="1"/>
    </row>
    <row r="2010" spans="1:10" x14ac:dyDescent="0.3">
      <c r="A2010">
        <v>2574</v>
      </c>
      <c r="B2010">
        <v>0</v>
      </c>
      <c r="C2010">
        <v>0</v>
      </c>
      <c r="D2010">
        <v>0</v>
      </c>
      <c r="E2010">
        <v>0</v>
      </c>
      <c r="F2010">
        <v>0</v>
      </c>
      <c r="G2010">
        <v>0</v>
      </c>
      <c r="H2010">
        <v>0</v>
      </c>
      <c r="I2010" s="2">
        <v>43588</v>
      </c>
      <c r="J2010" s="1"/>
    </row>
    <row r="2011" spans="1:10" x14ac:dyDescent="0.3">
      <c r="A2011">
        <v>1385</v>
      </c>
      <c r="B2011">
        <v>0</v>
      </c>
      <c r="C2011">
        <v>0</v>
      </c>
      <c r="D2011">
        <v>0</v>
      </c>
      <c r="E2011">
        <v>0</v>
      </c>
      <c r="F2011">
        <v>0</v>
      </c>
      <c r="G2011">
        <v>0</v>
      </c>
      <c r="H2011">
        <v>0</v>
      </c>
      <c r="I2011" s="2">
        <v>43558</v>
      </c>
      <c r="J2011" s="1"/>
    </row>
    <row r="2012" spans="1:10" x14ac:dyDescent="0.3">
      <c r="A2012">
        <v>2544</v>
      </c>
      <c r="B2012">
        <v>0</v>
      </c>
      <c r="C2012">
        <v>0</v>
      </c>
      <c r="D2012">
        <v>0</v>
      </c>
      <c r="E2012">
        <v>0</v>
      </c>
      <c r="F2012">
        <v>0</v>
      </c>
      <c r="G2012">
        <v>0</v>
      </c>
      <c r="H2012">
        <v>1</v>
      </c>
      <c r="I2012" s="2">
        <v>43558</v>
      </c>
      <c r="J2012" s="1"/>
    </row>
    <row r="2013" spans="1:10" x14ac:dyDescent="0.3">
      <c r="A2013">
        <v>2340</v>
      </c>
      <c r="B2013">
        <v>0</v>
      </c>
      <c r="C2013">
        <v>0</v>
      </c>
      <c r="D2013">
        <v>0</v>
      </c>
      <c r="E2013">
        <v>0</v>
      </c>
      <c r="F2013">
        <v>0</v>
      </c>
      <c r="G2013">
        <v>0</v>
      </c>
      <c r="H2013">
        <v>0</v>
      </c>
      <c r="I2013" s="2">
        <v>43527</v>
      </c>
      <c r="J2013" s="1"/>
    </row>
    <row r="2014" spans="1:10" x14ac:dyDescent="0.3">
      <c r="A2014">
        <v>2577</v>
      </c>
      <c r="B2014">
        <v>0</v>
      </c>
      <c r="C2014">
        <v>0</v>
      </c>
      <c r="D2014">
        <v>0</v>
      </c>
      <c r="E2014">
        <v>1</v>
      </c>
      <c r="F2014">
        <v>0</v>
      </c>
      <c r="G2014">
        <v>0</v>
      </c>
      <c r="H2014">
        <v>0</v>
      </c>
      <c r="I2014" s="2">
        <v>43527</v>
      </c>
      <c r="J2014" s="1"/>
    </row>
    <row r="2015" spans="1:10" x14ac:dyDescent="0.3">
      <c r="A2015">
        <v>3193</v>
      </c>
      <c r="B2015">
        <v>0</v>
      </c>
      <c r="C2015">
        <v>0</v>
      </c>
      <c r="D2015">
        <v>0</v>
      </c>
      <c r="E2015">
        <v>0</v>
      </c>
      <c r="F2015">
        <v>0</v>
      </c>
      <c r="G2015">
        <v>0</v>
      </c>
      <c r="H2015">
        <v>0</v>
      </c>
      <c r="I2015" s="2">
        <v>43527</v>
      </c>
      <c r="J2015" s="1"/>
    </row>
    <row r="2016" spans="1:10" x14ac:dyDescent="0.3">
      <c r="A2016">
        <v>3208</v>
      </c>
      <c r="B2016">
        <v>0</v>
      </c>
      <c r="C2016">
        <v>0</v>
      </c>
      <c r="D2016">
        <v>0</v>
      </c>
      <c r="E2016">
        <v>0</v>
      </c>
      <c r="F2016">
        <v>0</v>
      </c>
      <c r="G2016">
        <v>0</v>
      </c>
      <c r="H2016">
        <v>0</v>
      </c>
      <c r="I2016" s="2">
        <v>43527</v>
      </c>
      <c r="J2016" s="1"/>
    </row>
    <row r="2017" spans="1:10" x14ac:dyDescent="0.3">
      <c r="A2017">
        <v>1443</v>
      </c>
      <c r="B2017">
        <v>0</v>
      </c>
      <c r="C2017">
        <v>0</v>
      </c>
      <c r="D2017">
        <v>0</v>
      </c>
      <c r="E2017">
        <v>0</v>
      </c>
      <c r="F2017">
        <v>0</v>
      </c>
      <c r="G2017">
        <v>0</v>
      </c>
      <c r="H2017">
        <v>0</v>
      </c>
      <c r="I2017" s="2">
        <v>43499</v>
      </c>
      <c r="J2017" s="1"/>
    </row>
    <row r="2018" spans="1:10" x14ac:dyDescent="0.3">
      <c r="A2018">
        <v>2598</v>
      </c>
      <c r="B2018">
        <v>0</v>
      </c>
      <c r="C2018">
        <v>0</v>
      </c>
      <c r="D2018">
        <v>0</v>
      </c>
      <c r="E2018">
        <v>0</v>
      </c>
      <c r="F2018">
        <v>0</v>
      </c>
      <c r="G2018">
        <v>0</v>
      </c>
      <c r="H2018">
        <v>0</v>
      </c>
      <c r="I2018" s="2">
        <v>43499</v>
      </c>
      <c r="J2018" s="1"/>
    </row>
    <row r="2019" spans="1:10" x14ac:dyDescent="0.3">
      <c r="A2019">
        <v>2994</v>
      </c>
      <c r="B2019">
        <v>0</v>
      </c>
      <c r="C2019">
        <v>0</v>
      </c>
      <c r="D2019">
        <v>0</v>
      </c>
      <c r="E2019">
        <v>0</v>
      </c>
      <c r="F2019">
        <v>0</v>
      </c>
      <c r="G2019">
        <v>0</v>
      </c>
      <c r="H2019">
        <v>0</v>
      </c>
      <c r="I2019" s="2">
        <v>43499</v>
      </c>
      <c r="J2019" s="1"/>
    </row>
    <row r="2020" spans="1:10" x14ac:dyDescent="0.3">
      <c r="A2020">
        <v>3016</v>
      </c>
      <c r="B2020">
        <v>0</v>
      </c>
      <c r="C2020">
        <v>0</v>
      </c>
      <c r="D2020">
        <v>0</v>
      </c>
      <c r="E2020">
        <v>0</v>
      </c>
      <c r="F2020">
        <v>0</v>
      </c>
      <c r="G2020">
        <v>0</v>
      </c>
      <c r="H2020">
        <v>0</v>
      </c>
      <c r="I2020" s="2">
        <v>43499</v>
      </c>
      <c r="J2020" s="1"/>
    </row>
    <row r="2021" spans="1:10" x14ac:dyDescent="0.3">
      <c r="A2021">
        <v>1474</v>
      </c>
      <c r="B2021">
        <v>0</v>
      </c>
      <c r="C2021">
        <v>0</v>
      </c>
      <c r="D2021">
        <v>0</v>
      </c>
      <c r="E2021">
        <v>0</v>
      </c>
      <c r="F2021">
        <v>0</v>
      </c>
      <c r="G2021">
        <v>0</v>
      </c>
      <c r="H2021">
        <v>0</v>
      </c>
      <c r="I2021" s="2">
        <v>43468</v>
      </c>
      <c r="J2021" s="1"/>
    </row>
    <row r="2022" spans="1:10" x14ac:dyDescent="0.3">
      <c r="A2022">
        <v>2247</v>
      </c>
      <c r="B2022">
        <v>0</v>
      </c>
      <c r="C2022">
        <v>0</v>
      </c>
      <c r="D2022">
        <v>0</v>
      </c>
      <c r="E2022">
        <v>0</v>
      </c>
      <c r="F2022">
        <v>0</v>
      </c>
      <c r="G2022">
        <v>0</v>
      </c>
      <c r="H2022">
        <v>1</v>
      </c>
      <c r="I2022" s="2">
        <v>43468</v>
      </c>
      <c r="J2022" s="1"/>
    </row>
    <row r="2023" spans="1:10" x14ac:dyDescent="0.3">
      <c r="A2023">
        <v>1570</v>
      </c>
      <c r="B2023">
        <v>1</v>
      </c>
      <c r="C2023">
        <v>0</v>
      </c>
      <c r="D2023">
        <v>1</v>
      </c>
      <c r="E2023">
        <v>1</v>
      </c>
      <c r="F2023">
        <v>0</v>
      </c>
      <c r="G2023">
        <v>0</v>
      </c>
      <c r="H2023">
        <v>1</v>
      </c>
      <c r="I2023" s="2" t="s">
        <v>388</v>
      </c>
    </row>
    <row r="2024" spans="1:10" x14ac:dyDescent="0.3">
      <c r="A2024">
        <v>1697</v>
      </c>
      <c r="B2024">
        <v>0</v>
      </c>
      <c r="C2024">
        <v>0</v>
      </c>
      <c r="D2024">
        <v>1</v>
      </c>
      <c r="E2024">
        <v>0</v>
      </c>
      <c r="F2024">
        <v>0</v>
      </c>
      <c r="G2024">
        <v>0</v>
      </c>
      <c r="H2024">
        <v>1</v>
      </c>
      <c r="I2024" s="2" t="s">
        <v>388</v>
      </c>
    </row>
    <row r="2025" spans="1:10" x14ac:dyDescent="0.3">
      <c r="A2025">
        <v>1818</v>
      </c>
      <c r="B2025">
        <v>0</v>
      </c>
      <c r="C2025">
        <v>0</v>
      </c>
      <c r="D2025">
        <v>0</v>
      </c>
      <c r="E2025">
        <v>0</v>
      </c>
      <c r="F2025">
        <v>0</v>
      </c>
      <c r="G2025">
        <v>0</v>
      </c>
      <c r="H2025">
        <v>0</v>
      </c>
      <c r="I2025" s="2" t="s">
        <v>388</v>
      </c>
    </row>
    <row r="2026" spans="1:10" x14ac:dyDescent="0.3">
      <c r="A2026">
        <v>1240</v>
      </c>
      <c r="B2026">
        <v>0</v>
      </c>
      <c r="C2026">
        <v>0</v>
      </c>
      <c r="D2026">
        <v>0</v>
      </c>
      <c r="E2026">
        <v>0</v>
      </c>
      <c r="F2026">
        <v>0</v>
      </c>
      <c r="G2026">
        <v>0</v>
      </c>
      <c r="H2026">
        <v>0</v>
      </c>
      <c r="I2026" s="2" t="s">
        <v>389</v>
      </c>
    </row>
    <row r="2027" spans="1:10" x14ac:dyDescent="0.3">
      <c r="A2027">
        <v>1257</v>
      </c>
      <c r="B2027">
        <v>0</v>
      </c>
      <c r="C2027">
        <v>0</v>
      </c>
      <c r="D2027">
        <v>0</v>
      </c>
      <c r="E2027">
        <v>0</v>
      </c>
      <c r="F2027">
        <v>0</v>
      </c>
      <c r="G2027">
        <v>0</v>
      </c>
      <c r="H2027">
        <v>1</v>
      </c>
      <c r="I2027" s="2" t="s">
        <v>389</v>
      </c>
    </row>
    <row r="2028" spans="1:10" x14ac:dyDescent="0.3">
      <c r="A2028">
        <v>1639</v>
      </c>
      <c r="B2028">
        <v>0</v>
      </c>
      <c r="C2028">
        <v>0</v>
      </c>
      <c r="D2028">
        <v>0</v>
      </c>
      <c r="E2028">
        <v>0</v>
      </c>
      <c r="F2028">
        <v>0</v>
      </c>
      <c r="G2028">
        <v>0</v>
      </c>
      <c r="H2028">
        <v>0</v>
      </c>
      <c r="I2028" s="2" t="s">
        <v>389</v>
      </c>
    </row>
    <row r="2029" spans="1:10" x14ac:dyDescent="0.3">
      <c r="A2029">
        <v>2134</v>
      </c>
      <c r="B2029">
        <v>0</v>
      </c>
      <c r="C2029">
        <v>0</v>
      </c>
      <c r="D2029">
        <v>1</v>
      </c>
      <c r="E2029">
        <v>0</v>
      </c>
      <c r="F2029">
        <v>0</v>
      </c>
      <c r="G2029">
        <v>0</v>
      </c>
      <c r="H2029">
        <v>1</v>
      </c>
      <c r="I2029" s="2" t="s">
        <v>389</v>
      </c>
    </row>
    <row r="2030" spans="1:10" x14ac:dyDescent="0.3">
      <c r="A2030">
        <v>2673</v>
      </c>
      <c r="B2030">
        <v>0</v>
      </c>
      <c r="C2030">
        <v>0</v>
      </c>
      <c r="D2030">
        <v>0</v>
      </c>
      <c r="E2030">
        <v>0</v>
      </c>
      <c r="F2030">
        <v>0</v>
      </c>
      <c r="G2030">
        <v>0</v>
      </c>
      <c r="H2030">
        <v>0</v>
      </c>
      <c r="I2030" s="2" t="s">
        <v>389</v>
      </c>
    </row>
    <row r="2031" spans="1:10" x14ac:dyDescent="0.3">
      <c r="A2031">
        <v>2814</v>
      </c>
      <c r="B2031">
        <v>0</v>
      </c>
      <c r="C2031">
        <v>0</v>
      </c>
      <c r="D2031">
        <v>0</v>
      </c>
      <c r="E2031">
        <v>0</v>
      </c>
      <c r="F2031">
        <v>0</v>
      </c>
      <c r="G2031">
        <v>0</v>
      </c>
      <c r="H2031">
        <v>1</v>
      </c>
      <c r="I2031" s="2" t="s">
        <v>389</v>
      </c>
    </row>
    <row r="2032" spans="1:10" x14ac:dyDescent="0.3">
      <c r="A2032">
        <v>1610</v>
      </c>
      <c r="B2032">
        <v>0</v>
      </c>
      <c r="C2032">
        <v>0</v>
      </c>
      <c r="D2032">
        <v>0</v>
      </c>
      <c r="E2032">
        <v>0</v>
      </c>
      <c r="F2032">
        <v>0</v>
      </c>
      <c r="G2032">
        <v>0</v>
      </c>
      <c r="H2032">
        <v>1</v>
      </c>
      <c r="I2032" s="2" t="s">
        <v>390</v>
      </c>
    </row>
    <row r="2033" spans="1:9" x14ac:dyDescent="0.3">
      <c r="A2033">
        <v>1941</v>
      </c>
      <c r="B2033">
        <v>0</v>
      </c>
      <c r="C2033">
        <v>0</v>
      </c>
      <c r="D2033">
        <v>0</v>
      </c>
      <c r="E2033">
        <v>0</v>
      </c>
      <c r="F2033">
        <v>0</v>
      </c>
      <c r="G2033">
        <v>0</v>
      </c>
      <c r="H2033">
        <v>0</v>
      </c>
      <c r="I2033" s="2" t="s">
        <v>390</v>
      </c>
    </row>
    <row r="2034" spans="1:9" x14ac:dyDescent="0.3">
      <c r="A2034">
        <v>2259</v>
      </c>
      <c r="B2034">
        <v>0</v>
      </c>
      <c r="C2034">
        <v>0</v>
      </c>
      <c r="D2034">
        <v>0</v>
      </c>
      <c r="E2034">
        <v>1</v>
      </c>
      <c r="F2034">
        <v>0</v>
      </c>
      <c r="G2034">
        <v>0</v>
      </c>
      <c r="H2034">
        <v>0</v>
      </c>
      <c r="I2034" s="2" t="s">
        <v>390</v>
      </c>
    </row>
    <row r="2035" spans="1:9" x14ac:dyDescent="0.3">
      <c r="A2035">
        <v>2761</v>
      </c>
      <c r="B2035">
        <v>0</v>
      </c>
      <c r="C2035">
        <v>0</v>
      </c>
      <c r="D2035">
        <v>0</v>
      </c>
      <c r="E2035">
        <v>0</v>
      </c>
      <c r="F2035">
        <v>0</v>
      </c>
      <c r="G2035">
        <v>0</v>
      </c>
      <c r="H2035">
        <v>0</v>
      </c>
      <c r="I2035" s="2" t="s">
        <v>390</v>
      </c>
    </row>
    <row r="2036" spans="1:9" x14ac:dyDescent="0.3">
      <c r="A2036">
        <v>2263</v>
      </c>
      <c r="B2036">
        <v>0</v>
      </c>
      <c r="C2036">
        <v>0</v>
      </c>
      <c r="D2036">
        <v>0</v>
      </c>
      <c r="E2036">
        <v>0</v>
      </c>
      <c r="F2036">
        <v>0</v>
      </c>
      <c r="G2036">
        <v>0</v>
      </c>
      <c r="H2036">
        <v>0</v>
      </c>
      <c r="I2036" s="2" t="s">
        <v>391</v>
      </c>
    </row>
    <row r="2037" spans="1:9" x14ac:dyDescent="0.3">
      <c r="A2037">
        <v>2681</v>
      </c>
      <c r="B2037">
        <v>0</v>
      </c>
      <c r="C2037">
        <v>0</v>
      </c>
      <c r="D2037">
        <v>1</v>
      </c>
      <c r="E2037">
        <v>0</v>
      </c>
      <c r="F2037">
        <v>0</v>
      </c>
      <c r="G2037">
        <v>0</v>
      </c>
      <c r="H2037">
        <v>0</v>
      </c>
      <c r="I2037" s="2" t="s">
        <v>391</v>
      </c>
    </row>
    <row r="2038" spans="1:9" x14ac:dyDescent="0.3">
      <c r="A2038">
        <v>2671</v>
      </c>
      <c r="B2038">
        <v>0</v>
      </c>
      <c r="C2038">
        <v>0</v>
      </c>
      <c r="D2038">
        <v>0</v>
      </c>
      <c r="E2038">
        <v>0</v>
      </c>
      <c r="F2038">
        <v>0</v>
      </c>
      <c r="G2038">
        <v>0</v>
      </c>
      <c r="H2038">
        <v>0</v>
      </c>
      <c r="I2038" s="2" t="s">
        <v>392</v>
      </c>
    </row>
    <row r="2039" spans="1:9" x14ac:dyDescent="0.3">
      <c r="A2039">
        <v>1293</v>
      </c>
      <c r="B2039">
        <v>0</v>
      </c>
      <c r="C2039">
        <v>0</v>
      </c>
      <c r="D2039">
        <v>0</v>
      </c>
      <c r="E2039">
        <v>0</v>
      </c>
      <c r="F2039">
        <v>0</v>
      </c>
      <c r="G2039">
        <v>0</v>
      </c>
      <c r="H2039">
        <v>1</v>
      </c>
      <c r="I2039" s="2" t="s">
        <v>393</v>
      </c>
    </row>
    <row r="2040" spans="1:9" x14ac:dyDescent="0.3">
      <c r="A2040">
        <v>2023</v>
      </c>
      <c r="B2040">
        <v>0</v>
      </c>
      <c r="C2040">
        <v>0</v>
      </c>
      <c r="D2040">
        <v>0</v>
      </c>
      <c r="E2040">
        <v>0</v>
      </c>
      <c r="F2040">
        <v>0</v>
      </c>
      <c r="G2040">
        <v>0</v>
      </c>
      <c r="H2040">
        <v>0</v>
      </c>
      <c r="I2040" s="2" t="s">
        <v>393</v>
      </c>
    </row>
    <row r="2041" spans="1:9" x14ac:dyDescent="0.3">
      <c r="A2041">
        <v>2745</v>
      </c>
      <c r="B2041">
        <v>0</v>
      </c>
      <c r="C2041">
        <v>0</v>
      </c>
      <c r="D2041">
        <v>0</v>
      </c>
      <c r="E2041">
        <v>0</v>
      </c>
      <c r="F2041">
        <v>0</v>
      </c>
      <c r="G2041">
        <v>0</v>
      </c>
      <c r="H2041">
        <v>1</v>
      </c>
      <c r="I2041" s="2" t="s">
        <v>393</v>
      </c>
    </row>
    <row r="2042" spans="1:9" x14ac:dyDescent="0.3">
      <c r="A2042">
        <v>2825</v>
      </c>
      <c r="B2042">
        <v>1</v>
      </c>
      <c r="C2042">
        <v>0</v>
      </c>
      <c r="D2042">
        <v>1</v>
      </c>
      <c r="E2042">
        <v>0</v>
      </c>
      <c r="F2042">
        <v>0</v>
      </c>
      <c r="G2042">
        <v>1</v>
      </c>
      <c r="H2042">
        <v>1</v>
      </c>
      <c r="I2042" s="2" t="s">
        <v>393</v>
      </c>
    </row>
    <row r="2043" spans="1:9" x14ac:dyDescent="0.3">
      <c r="A2043">
        <v>2834</v>
      </c>
      <c r="B2043">
        <v>0</v>
      </c>
      <c r="C2043">
        <v>0</v>
      </c>
      <c r="D2043">
        <v>0</v>
      </c>
      <c r="E2043">
        <v>0</v>
      </c>
      <c r="F2043">
        <v>0</v>
      </c>
      <c r="G2043">
        <v>0</v>
      </c>
      <c r="H2043">
        <v>0</v>
      </c>
      <c r="I2043" s="2" t="s">
        <v>393</v>
      </c>
    </row>
    <row r="2044" spans="1:9" x14ac:dyDescent="0.3">
      <c r="A2044">
        <v>2956</v>
      </c>
      <c r="B2044">
        <v>0</v>
      </c>
      <c r="C2044">
        <v>0</v>
      </c>
      <c r="D2044">
        <v>0</v>
      </c>
      <c r="E2044">
        <v>0</v>
      </c>
      <c r="F2044">
        <v>0</v>
      </c>
      <c r="G2044">
        <v>0</v>
      </c>
      <c r="H2044">
        <v>1</v>
      </c>
      <c r="I2044" s="2" t="s">
        <v>393</v>
      </c>
    </row>
    <row r="2045" spans="1:9" x14ac:dyDescent="0.3">
      <c r="A2045">
        <v>3071</v>
      </c>
      <c r="B2045">
        <v>0</v>
      </c>
      <c r="C2045">
        <v>0</v>
      </c>
      <c r="D2045">
        <v>0</v>
      </c>
      <c r="E2045">
        <v>0</v>
      </c>
      <c r="F2045">
        <v>0</v>
      </c>
      <c r="G2045">
        <v>0</v>
      </c>
      <c r="H2045">
        <v>1</v>
      </c>
      <c r="I2045" s="2" t="s">
        <v>394</v>
      </c>
    </row>
    <row r="2046" spans="1:9" x14ac:dyDescent="0.3">
      <c r="A2046">
        <v>3078</v>
      </c>
      <c r="B2046">
        <v>0</v>
      </c>
      <c r="C2046">
        <v>0</v>
      </c>
      <c r="D2046">
        <v>1</v>
      </c>
      <c r="E2046">
        <v>0</v>
      </c>
      <c r="F2046">
        <v>0</v>
      </c>
      <c r="G2046">
        <v>0</v>
      </c>
      <c r="H2046">
        <v>1</v>
      </c>
      <c r="I2046" s="2" t="s">
        <v>394</v>
      </c>
    </row>
    <row r="2047" spans="1:9" x14ac:dyDescent="0.3">
      <c r="A2047">
        <v>3119</v>
      </c>
      <c r="B2047">
        <v>0</v>
      </c>
      <c r="C2047">
        <v>0</v>
      </c>
      <c r="D2047">
        <v>0</v>
      </c>
      <c r="E2047">
        <v>1</v>
      </c>
      <c r="F2047">
        <v>0</v>
      </c>
      <c r="G2047">
        <v>0</v>
      </c>
      <c r="H2047">
        <v>0</v>
      </c>
      <c r="I2047" s="2" t="s">
        <v>394</v>
      </c>
    </row>
    <row r="2048" spans="1:9" x14ac:dyDescent="0.3">
      <c r="A2048">
        <v>1380</v>
      </c>
      <c r="B2048">
        <v>0</v>
      </c>
      <c r="C2048">
        <v>0</v>
      </c>
      <c r="D2048">
        <v>0</v>
      </c>
      <c r="E2048">
        <v>0</v>
      </c>
      <c r="F2048">
        <v>0</v>
      </c>
      <c r="G2048">
        <v>0</v>
      </c>
      <c r="H2048">
        <v>0</v>
      </c>
      <c r="I2048" s="2" t="s">
        <v>395</v>
      </c>
    </row>
    <row r="2049" spans="1:9" x14ac:dyDescent="0.3">
      <c r="A2049">
        <v>1440</v>
      </c>
      <c r="B2049">
        <v>0</v>
      </c>
      <c r="C2049">
        <v>1</v>
      </c>
      <c r="D2049">
        <v>0</v>
      </c>
      <c r="E2049">
        <v>1</v>
      </c>
      <c r="F2049">
        <v>0</v>
      </c>
      <c r="G2049">
        <v>0</v>
      </c>
      <c r="H2049">
        <v>1</v>
      </c>
      <c r="I2049" s="2" t="s">
        <v>395</v>
      </c>
    </row>
    <row r="2050" spans="1:9" x14ac:dyDescent="0.3">
      <c r="A2050">
        <v>1469</v>
      </c>
      <c r="B2050">
        <v>0</v>
      </c>
      <c r="C2050">
        <v>0</v>
      </c>
      <c r="D2050">
        <v>0</v>
      </c>
      <c r="E2050">
        <v>0</v>
      </c>
      <c r="F2050">
        <v>0</v>
      </c>
      <c r="G2050">
        <v>0</v>
      </c>
      <c r="H2050">
        <v>1</v>
      </c>
      <c r="I2050" s="2" t="s">
        <v>396</v>
      </c>
    </row>
    <row r="2051" spans="1:9" x14ac:dyDescent="0.3">
      <c r="A2051">
        <v>2128</v>
      </c>
      <c r="B2051">
        <v>0</v>
      </c>
      <c r="C2051">
        <v>0</v>
      </c>
      <c r="D2051">
        <v>0</v>
      </c>
      <c r="E2051">
        <v>0</v>
      </c>
      <c r="F2051">
        <v>0</v>
      </c>
      <c r="G2051">
        <v>0</v>
      </c>
      <c r="H2051">
        <v>0</v>
      </c>
      <c r="I2051" s="2" t="s">
        <v>396</v>
      </c>
    </row>
    <row r="2052" spans="1:9" x14ac:dyDescent="0.3">
      <c r="A2052">
        <v>2142</v>
      </c>
      <c r="B2052">
        <v>0</v>
      </c>
      <c r="C2052">
        <v>0</v>
      </c>
      <c r="D2052">
        <v>0</v>
      </c>
      <c r="E2052">
        <v>0</v>
      </c>
      <c r="F2052">
        <v>0</v>
      </c>
      <c r="G2052">
        <v>0</v>
      </c>
      <c r="H2052">
        <v>0</v>
      </c>
      <c r="I2052" s="2" t="s">
        <v>396</v>
      </c>
    </row>
    <row r="2053" spans="1:9" x14ac:dyDescent="0.3">
      <c r="A2053">
        <v>2435</v>
      </c>
      <c r="B2053">
        <v>0</v>
      </c>
      <c r="C2053">
        <v>0</v>
      </c>
      <c r="D2053">
        <v>0</v>
      </c>
      <c r="E2053">
        <v>0</v>
      </c>
      <c r="F2053">
        <v>0</v>
      </c>
      <c r="G2053">
        <v>0</v>
      </c>
      <c r="H2053">
        <v>1</v>
      </c>
      <c r="I2053" s="2" t="s">
        <v>396</v>
      </c>
    </row>
    <row r="2054" spans="1:9" x14ac:dyDescent="0.3">
      <c r="A2054">
        <v>2919</v>
      </c>
      <c r="B2054">
        <v>0</v>
      </c>
      <c r="C2054">
        <v>0</v>
      </c>
      <c r="D2054">
        <v>0</v>
      </c>
      <c r="E2054">
        <v>0</v>
      </c>
      <c r="F2054">
        <v>0</v>
      </c>
      <c r="G2054">
        <v>0</v>
      </c>
      <c r="H2054">
        <v>0</v>
      </c>
      <c r="I2054" s="2" t="s">
        <v>396</v>
      </c>
    </row>
    <row r="2055" spans="1:9" x14ac:dyDescent="0.3">
      <c r="A2055">
        <v>1164</v>
      </c>
      <c r="B2055">
        <v>0</v>
      </c>
      <c r="C2055">
        <v>0</v>
      </c>
      <c r="D2055">
        <v>0</v>
      </c>
      <c r="E2055">
        <v>0</v>
      </c>
      <c r="F2055">
        <v>0</v>
      </c>
      <c r="G2055">
        <v>0</v>
      </c>
      <c r="H2055">
        <v>0</v>
      </c>
      <c r="I2055" s="2" t="s">
        <v>397</v>
      </c>
    </row>
    <row r="2056" spans="1:9" x14ac:dyDescent="0.3">
      <c r="A2056">
        <v>1320</v>
      </c>
      <c r="B2056">
        <v>0</v>
      </c>
      <c r="C2056">
        <v>0</v>
      </c>
      <c r="D2056">
        <v>0</v>
      </c>
      <c r="E2056">
        <v>0</v>
      </c>
      <c r="F2056">
        <v>0</v>
      </c>
      <c r="G2056">
        <v>0</v>
      </c>
      <c r="H2056">
        <v>0</v>
      </c>
      <c r="I2056" s="2" t="s">
        <v>397</v>
      </c>
    </row>
    <row r="2057" spans="1:9" x14ac:dyDescent="0.3">
      <c r="A2057">
        <v>1539</v>
      </c>
      <c r="B2057">
        <v>0</v>
      </c>
      <c r="C2057">
        <v>0</v>
      </c>
      <c r="D2057">
        <v>0</v>
      </c>
      <c r="E2057">
        <v>0</v>
      </c>
      <c r="F2057">
        <v>0</v>
      </c>
      <c r="G2057">
        <v>0</v>
      </c>
      <c r="H2057">
        <v>0</v>
      </c>
      <c r="I2057" s="2" t="s">
        <v>397</v>
      </c>
    </row>
    <row r="2058" spans="1:9" x14ac:dyDescent="0.3">
      <c r="A2058">
        <v>1554</v>
      </c>
      <c r="B2058">
        <v>0</v>
      </c>
      <c r="C2058">
        <v>0</v>
      </c>
      <c r="D2058">
        <v>0</v>
      </c>
      <c r="E2058">
        <v>0</v>
      </c>
      <c r="F2058">
        <v>0</v>
      </c>
      <c r="G2058">
        <v>0</v>
      </c>
      <c r="H2058">
        <v>0</v>
      </c>
      <c r="I2058" s="2" t="s">
        <v>397</v>
      </c>
    </row>
    <row r="2059" spans="1:9" x14ac:dyDescent="0.3">
      <c r="A2059">
        <v>1654</v>
      </c>
      <c r="B2059">
        <v>0</v>
      </c>
      <c r="C2059">
        <v>0</v>
      </c>
      <c r="D2059">
        <v>0</v>
      </c>
      <c r="E2059">
        <v>0</v>
      </c>
      <c r="F2059">
        <v>0</v>
      </c>
      <c r="G2059">
        <v>0</v>
      </c>
      <c r="H2059">
        <v>0</v>
      </c>
      <c r="I2059" s="2" t="s">
        <v>397</v>
      </c>
    </row>
    <row r="2060" spans="1:9" x14ac:dyDescent="0.3">
      <c r="A2060">
        <v>1668</v>
      </c>
      <c r="B2060">
        <v>0</v>
      </c>
      <c r="C2060">
        <v>0</v>
      </c>
      <c r="D2060">
        <v>0</v>
      </c>
      <c r="E2060">
        <v>0</v>
      </c>
      <c r="F2060">
        <v>0</v>
      </c>
      <c r="G2060">
        <v>0</v>
      </c>
      <c r="H2060">
        <v>1</v>
      </c>
      <c r="I2060" s="2" t="s">
        <v>397</v>
      </c>
    </row>
    <row r="2061" spans="1:9" x14ac:dyDescent="0.3">
      <c r="A2061">
        <v>1865</v>
      </c>
      <c r="B2061">
        <v>0</v>
      </c>
      <c r="C2061">
        <v>0</v>
      </c>
      <c r="D2061">
        <v>0</v>
      </c>
      <c r="E2061">
        <v>0</v>
      </c>
      <c r="F2061">
        <v>0</v>
      </c>
      <c r="G2061">
        <v>0</v>
      </c>
      <c r="H2061">
        <v>1</v>
      </c>
      <c r="I2061" s="2" t="s">
        <v>397</v>
      </c>
    </row>
    <row r="2062" spans="1:9" x14ac:dyDescent="0.3">
      <c r="A2062">
        <v>2046</v>
      </c>
      <c r="B2062">
        <v>0</v>
      </c>
      <c r="C2062">
        <v>0</v>
      </c>
      <c r="D2062">
        <v>0</v>
      </c>
      <c r="E2062">
        <v>0</v>
      </c>
      <c r="F2062">
        <v>0</v>
      </c>
      <c r="G2062">
        <v>0</v>
      </c>
      <c r="H2062">
        <v>0</v>
      </c>
      <c r="I2062" s="2" t="s">
        <v>397</v>
      </c>
    </row>
    <row r="2063" spans="1:9" x14ac:dyDescent="0.3">
      <c r="A2063">
        <v>2726</v>
      </c>
      <c r="B2063">
        <v>0</v>
      </c>
      <c r="C2063">
        <v>0</v>
      </c>
      <c r="D2063">
        <v>0</v>
      </c>
      <c r="E2063">
        <v>0</v>
      </c>
      <c r="F2063">
        <v>0</v>
      </c>
      <c r="G2063">
        <v>0</v>
      </c>
      <c r="H2063">
        <v>0</v>
      </c>
      <c r="I2063" s="2" t="s">
        <v>397</v>
      </c>
    </row>
    <row r="2064" spans="1:9" x14ac:dyDescent="0.3">
      <c r="A2064">
        <v>2820</v>
      </c>
      <c r="B2064">
        <v>1</v>
      </c>
      <c r="C2064">
        <v>0</v>
      </c>
      <c r="D2064">
        <v>1</v>
      </c>
      <c r="E2064">
        <v>1</v>
      </c>
      <c r="F2064">
        <v>0</v>
      </c>
      <c r="G2064">
        <v>0</v>
      </c>
      <c r="H2064">
        <v>1</v>
      </c>
      <c r="I2064" s="2" t="s">
        <v>397</v>
      </c>
    </row>
    <row r="2065" spans="1:9" x14ac:dyDescent="0.3">
      <c r="A2065">
        <v>3089</v>
      </c>
      <c r="B2065">
        <v>0</v>
      </c>
      <c r="C2065">
        <v>0</v>
      </c>
      <c r="D2065">
        <v>0</v>
      </c>
      <c r="E2065">
        <v>0</v>
      </c>
      <c r="F2065">
        <v>0</v>
      </c>
      <c r="G2065">
        <v>0</v>
      </c>
      <c r="H2065">
        <v>0</v>
      </c>
      <c r="I2065" s="2" t="s">
        <v>397</v>
      </c>
    </row>
    <row r="2066" spans="1:9" x14ac:dyDescent="0.3">
      <c r="A2066">
        <v>1066</v>
      </c>
      <c r="B2066">
        <v>0</v>
      </c>
      <c r="C2066">
        <v>0</v>
      </c>
      <c r="D2066">
        <v>0</v>
      </c>
      <c r="E2066">
        <v>0</v>
      </c>
      <c r="F2066">
        <v>0</v>
      </c>
      <c r="G2066">
        <v>0</v>
      </c>
      <c r="H2066">
        <v>0</v>
      </c>
      <c r="I2066" s="2" t="s">
        <v>398</v>
      </c>
    </row>
    <row r="2067" spans="1:9" x14ac:dyDescent="0.3">
      <c r="A2067">
        <v>1747</v>
      </c>
      <c r="B2067">
        <v>0</v>
      </c>
      <c r="C2067">
        <v>0</v>
      </c>
      <c r="D2067">
        <v>0</v>
      </c>
      <c r="E2067">
        <v>0</v>
      </c>
      <c r="F2067">
        <v>0</v>
      </c>
      <c r="G2067">
        <v>0</v>
      </c>
      <c r="H2067">
        <v>0</v>
      </c>
      <c r="I2067" s="2" t="s">
        <v>398</v>
      </c>
    </row>
    <row r="2068" spans="1:9" x14ac:dyDescent="0.3">
      <c r="A2068">
        <v>3019</v>
      </c>
      <c r="B2068">
        <v>0</v>
      </c>
      <c r="C2068">
        <v>0</v>
      </c>
      <c r="D2068">
        <v>0</v>
      </c>
      <c r="E2068">
        <v>0</v>
      </c>
      <c r="F2068">
        <v>0</v>
      </c>
      <c r="G2068">
        <v>0</v>
      </c>
      <c r="H2068">
        <v>0</v>
      </c>
      <c r="I2068" s="2" t="s">
        <v>398</v>
      </c>
    </row>
    <row r="2069" spans="1:9" x14ac:dyDescent="0.3">
      <c r="A2069">
        <v>1197</v>
      </c>
      <c r="B2069">
        <v>1</v>
      </c>
      <c r="C2069">
        <v>0</v>
      </c>
      <c r="D2069">
        <v>0</v>
      </c>
      <c r="E2069">
        <v>0</v>
      </c>
      <c r="F2069">
        <v>0</v>
      </c>
      <c r="G2069">
        <v>0</v>
      </c>
      <c r="H2069">
        <v>1</v>
      </c>
      <c r="I2069" s="2" t="s">
        <v>399</v>
      </c>
    </row>
    <row r="2070" spans="1:9" x14ac:dyDescent="0.3">
      <c r="A2070">
        <v>1812</v>
      </c>
      <c r="B2070">
        <v>0</v>
      </c>
      <c r="C2070">
        <v>0</v>
      </c>
      <c r="D2070">
        <v>0</v>
      </c>
      <c r="E2070">
        <v>0</v>
      </c>
      <c r="F2070">
        <v>0</v>
      </c>
      <c r="G2070">
        <v>0</v>
      </c>
      <c r="H2070">
        <v>0</v>
      </c>
      <c r="I2070" s="2" t="s">
        <v>399</v>
      </c>
    </row>
    <row r="2071" spans="1:9" x14ac:dyDescent="0.3">
      <c r="A2071">
        <v>1981</v>
      </c>
      <c r="B2071">
        <v>0</v>
      </c>
      <c r="C2071">
        <v>1</v>
      </c>
      <c r="D2071">
        <v>1</v>
      </c>
      <c r="E2071">
        <v>0</v>
      </c>
      <c r="F2071">
        <v>0</v>
      </c>
      <c r="G2071">
        <v>0</v>
      </c>
      <c r="H2071">
        <v>1</v>
      </c>
      <c r="I2071" s="2" t="s">
        <v>399</v>
      </c>
    </row>
    <row r="2072" spans="1:9" x14ac:dyDescent="0.3">
      <c r="A2072">
        <v>1994</v>
      </c>
      <c r="B2072">
        <v>0</v>
      </c>
      <c r="C2072">
        <v>0</v>
      </c>
      <c r="D2072">
        <v>0</v>
      </c>
      <c r="E2072">
        <v>0</v>
      </c>
      <c r="F2072">
        <v>0</v>
      </c>
      <c r="G2072">
        <v>0</v>
      </c>
      <c r="H2072">
        <v>0</v>
      </c>
      <c r="I2072" s="2" t="s">
        <v>399</v>
      </c>
    </row>
    <row r="2073" spans="1:9" x14ac:dyDescent="0.3">
      <c r="A2073">
        <v>1179</v>
      </c>
      <c r="B2073">
        <v>1</v>
      </c>
      <c r="C2073">
        <v>0</v>
      </c>
      <c r="D2073">
        <v>0</v>
      </c>
      <c r="E2073">
        <v>0</v>
      </c>
      <c r="F2073">
        <v>0</v>
      </c>
      <c r="G2073">
        <v>0</v>
      </c>
      <c r="H2073">
        <v>0</v>
      </c>
      <c r="I2073" s="2" t="s">
        <v>400</v>
      </c>
    </row>
    <row r="2074" spans="1:9" x14ac:dyDescent="0.3">
      <c r="A2074">
        <v>2180</v>
      </c>
      <c r="B2074">
        <v>0</v>
      </c>
      <c r="C2074">
        <v>0</v>
      </c>
      <c r="D2074">
        <v>0</v>
      </c>
      <c r="E2074">
        <v>0</v>
      </c>
      <c r="F2074">
        <v>0</v>
      </c>
      <c r="G2074">
        <v>0</v>
      </c>
      <c r="H2074">
        <v>0</v>
      </c>
      <c r="I2074" s="2" t="s">
        <v>400</v>
      </c>
    </row>
    <row r="2075" spans="1:9" x14ac:dyDescent="0.3">
      <c r="A2075">
        <v>2871</v>
      </c>
      <c r="B2075">
        <v>1</v>
      </c>
      <c r="C2075">
        <v>0</v>
      </c>
      <c r="D2075">
        <v>0</v>
      </c>
      <c r="E2075">
        <v>0</v>
      </c>
      <c r="F2075">
        <v>0</v>
      </c>
      <c r="G2075">
        <v>0</v>
      </c>
      <c r="H2075">
        <v>0</v>
      </c>
      <c r="I2075" s="2" t="s">
        <v>400</v>
      </c>
    </row>
    <row r="2076" spans="1:9" x14ac:dyDescent="0.3">
      <c r="A2076">
        <v>1212</v>
      </c>
      <c r="B2076">
        <v>0</v>
      </c>
      <c r="C2076">
        <v>0</v>
      </c>
      <c r="D2076">
        <v>0</v>
      </c>
      <c r="E2076">
        <v>0</v>
      </c>
      <c r="F2076">
        <v>0</v>
      </c>
      <c r="G2076">
        <v>0</v>
      </c>
      <c r="H2076">
        <v>0</v>
      </c>
      <c r="I2076" s="2" t="s">
        <v>401</v>
      </c>
    </row>
    <row r="2077" spans="1:9" x14ac:dyDescent="0.3">
      <c r="A2077">
        <v>1508</v>
      </c>
      <c r="B2077">
        <v>0</v>
      </c>
      <c r="C2077">
        <v>0</v>
      </c>
      <c r="D2077">
        <v>0</v>
      </c>
      <c r="E2077">
        <v>0</v>
      </c>
      <c r="F2077">
        <v>0</v>
      </c>
      <c r="G2077">
        <v>0</v>
      </c>
      <c r="H2077">
        <v>1</v>
      </c>
      <c r="I2077" s="2" t="s">
        <v>401</v>
      </c>
    </row>
    <row r="2078" spans="1:9" x14ac:dyDescent="0.3">
      <c r="A2078">
        <v>1770</v>
      </c>
      <c r="B2078">
        <v>0</v>
      </c>
      <c r="C2078">
        <v>0</v>
      </c>
      <c r="D2078">
        <v>0</v>
      </c>
      <c r="E2078">
        <v>0</v>
      </c>
      <c r="F2078">
        <v>0</v>
      </c>
      <c r="G2078">
        <v>0</v>
      </c>
      <c r="H2078">
        <v>0</v>
      </c>
      <c r="I2078" s="2" t="s">
        <v>401</v>
      </c>
    </row>
    <row r="2079" spans="1:9" x14ac:dyDescent="0.3">
      <c r="A2079">
        <v>1872</v>
      </c>
      <c r="B2079">
        <v>0</v>
      </c>
      <c r="C2079">
        <v>0</v>
      </c>
      <c r="D2079">
        <v>0</v>
      </c>
      <c r="E2079">
        <v>0</v>
      </c>
      <c r="F2079">
        <v>0</v>
      </c>
      <c r="G2079">
        <v>0</v>
      </c>
      <c r="H2079">
        <v>0</v>
      </c>
      <c r="I2079" s="2" t="s">
        <v>401</v>
      </c>
    </row>
    <row r="2080" spans="1:9" x14ac:dyDescent="0.3">
      <c r="A2080">
        <v>2384</v>
      </c>
      <c r="B2080">
        <v>0</v>
      </c>
      <c r="C2080">
        <v>0</v>
      </c>
      <c r="D2080">
        <v>0</v>
      </c>
      <c r="E2080">
        <v>0</v>
      </c>
      <c r="F2080">
        <v>0</v>
      </c>
      <c r="G2080">
        <v>0</v>
      </c>
      <c r="H2080">
        <v>0</v>
      </c>
      <c r="I2080" s="2" t="s">
        <v>401</v>
      </c>
    </row>
    <row r="2081" spans="1:10" x14ac:dyDescent="0.3">
      <c r="A2081">
        <v>2602</v>
      </c>
      <c r="B2081">
        <v>0</v>
      </c>
      <c r="C2081">
        <v>0</v>
      </c>
      <c r="D2081">
        <v>0</v>
      </c>
      <c r="E2081">
        <v>0</v>
      </c>
      <c r="F2081">
        <v>0</v>
      </c>
      <c r="G2081">
        <v>0</v>
      </c>
      <c r="H2081">
        <v>0</v>
      </c>
      <c r="I2081" s="2" t="s">
        <v>401</v>
      </c>
    </row>
    <row r="2082" spans="1:10" x14ac:dyDescent="0.3">
      <c r="A2082">
        <v>1057</v>
      </c>
      <c r="B2082">
        <v>0</v>
      </c>
      <c r="C2082">
        <v>0</v>
      </c>
      <c r="D2082">
        <v>0</v>
      </c>
      <c r="E2082">
        <v>0</v>
      </c>
      <c r="F2082">
        <v>0</v>
      </c>
      <c r="G2082">
        <v>0</v>
      </c>
      <c r="H2082">
        <v>0</v>
      </c>
      <c r="I2082" s="2">
        <v>43801</v>
      </c>
      <c r="J2082" s="1"/>
    </row>
    <row r="2083" spans="1:10" x14ac:dyDescent="0.3">
      <c r="A2083">
        <v>1438</v>
      </c>
      <c r="B2083">
        <v>0</v>
      </c>
      <c r="C2083">
        <v>0</v>
      </c>
      <c r="D2083">
        <v>0</v>
      </c>
      <c r="E2083">
        <v>0</v>
      </c>
      <c r="F2083">
        <v>0</v>
      </c>
      <c r="G2083">
        <v>0</v>
      </c>
      <c r="H2083">
        <v>0</v>
      </c>
      <c r="I2083" s="2">
        <v>43801</v>
      </c>
      <c r="J2083" s="1"/>
    </row>
    <row r="2084" spans="1:10" x14ac:dyDescent="0.3">
      <c r="A2084">
        <v>1645</v>
      </c>
      <c r="B2084">
        <v>0</v>
      </c>
      <c r="C2084">
        <v>0</v>
      </c>
      <c r="D2084">
        <v>0</v>
      </c>
      <c r="E2084">
        <v>0</v>
      </c>
      <c r="F2084">
        <v>0</v>
      </c>
      <c r="G2084">
        <v>0</v>
      </c>
      <c r="H2084">
        <v>0</v>
      </c>
      <c r="I2084" s="2">
        <v>43801</v>
      </c>
      <c r="J2084" s="1"/>
    </row>
    <row r="2085" spans="1:10" x14ac:dyDescent="0.3">
      <c r="A2085">
        <v>2628</v>
      </c>
      <c r="B2085">
        <v>0</v>
      </c>
      <c r="C2085">
        <v>0</v>
      </c>
      <c r="D2085">
        <v>0</v>
      </c>
      <c r="E2085">
        <v>0</v>
      </c>
      <c r="F2085">
        <v>0</v>
      </c>
      <c r="G2085">
        <v>0</v>
      </c>
      <c r="H2085">
        <v>1</v>
      </c>
      <c r="I2085" s="2">
        <v>43801</v>
      </c>
      <c r="J2085" s="1"/>
    </row>
    <row r="2086" spans="1:10" x14ac:dyDescent="0.3">
      <c r="A2086">
        <v>3003</v>
      </c>
      <c r="B2086">
        <v>1</v>
      </c>
      <c r="C2086">
        <v>0</v>
      </c>
      <c r="D2086">
        <v>0</v>
      </c>
      <c r="E2086">
        <v>0</v>
      </c>
      <c r="F2086">
        <v>0</v>
      </c>
      <c r="G2086">
        <v>0</v>
      </c>
      <c r="H2086">
        <v>1</v>
      </c>
      <c r="I2086" s="2">
        <v>43801</v>
      </c>
      <c r="J2086" s="1"/>
    </row>
    <row r="2087" spans="1:10" x14ac:dyDescent="0.3">
      <c r="A2087">
        <v>3063</v>
      </c>
      <c r="B2087">
        <v>1</v>
      </c>
      <c r="C2087">
        <v>0</v>
      </c>
      <c r="D2087">
        <v>0</v>
      </c>
      <c r="E2087">
        <v>0</v>
      </c>
      <c r="F2087">
        <v>0</v>
      </c>
      <c r="G2087">
        <v>0</v>
      </c>
      <c r="H2087">
        <v>1</v>
      </c>
      <c r="I2087" s="2">
        <v>43801</v>
      </c>
      <c r="J2087" s="1"/>
    </row>
    <row r="2088" spans="1:10" x14ac:dyDescent="0.3">
      <c r="A2088">
        <v>1611</v>
      </c>
      <c r="B2088">
        <v>0</v>
      </c>
      <c r="C2088">
        <v>0</v>
      </c>
      <c r="D2088">
        <v>0</v>
      </c>
      <c r="E2088">
        <v>0</v>
      </c>
      <c r="F2088">
        <v>0</v>
      </c>
      <c r="G2088">
        <v>0</v>
      </c>
      <c r="H2088">
        <v>0</v>
      </c>
      <c r="I2088" s="2">
        <v>43771</v>
      </c>
      <c r="J2088" s="1"/>
    </row>
    <row r="2089" spans="1:10" x14ac:dyDescent="0.3">
      <c r="A2089">
        <v>2385</v>
      </c>
      <c r="B2089">
        <v>0</v>
      </c>
      <c r="C2089">
        <v>0</v>
      </c>
      <c r="D2089">
        <v>0</v>
      </c>
      <c r="E2089">
        <v>0</v>
      </c>
      <c r="F2089">
        <v>0</v>
      </c>
      <c r="G2089">
        <v>0</v>
      </c>
      <c r="H2089">
        <v>1</v>
      </c>
      <c r="I2089" s="2">
        <v>43771</v>
      </c>
      <c r="J2089" s="1"/>
    </row>
    <row r="2090" spans="1:10" x14ac:dyDescent="0.3">
      <c r="A2090">
        <v>2910</v>
      </c>
      <c r="B2090">
        <v>0</v>
      </c>
      <c r="C2090">
        <v>0</v>
      </c>
      <c r="D2090">
        <v>0</v>
      </c>
      <c r="E2090">
        <v>0</v>
      </c>
      <c r="F2090">
        <v>0</v>
      </c>
      <c r="G2090">
        <v>0</v>
      </c>
      <c r="H2090">
        <v>0</v>
      </c>
      <c r="I2090" s="2">
        <v>43771</v>
      </c>
      <c r="J2090" s="1"/>
    </row>
    <row r="2091" spans="1:10" x14ac:dyDescent="0.3">
      <c r="A2091">
        <v>2977</v>
      </c>
      <c r="B2091">
        <v>0</v>
      </c>
      <c r="C2091">
        <v>0</v>
      </c>
      <c r="D2091">
        <v>0</v>
      </c>
      <c r="E2091">
        <v>0</v>
      </c>
      <c r="F2091">
        <v>0</v>
      </c>
      <c r="G2091">
        <v>0</v>
      </c>
      <c r="H2091">
        <v>1</v>
      </c>
      <c r="I2091" s="2">
        <v>43771</v>
      </c>
      <c r="J2091" s="1"/>
    </row>
    <row r="2092" spans="1:10" x14ac:dyDescent="0.3">
      <c r="A2092">
        <v>1748</v>
      </c>
      <c r="B2092">
        <v>0</v>
      </c>
      <c r="C2092">
        <v>0</v>
      </c>
      <c r="D2092">
        <v>0</v>
      </c>
      <c r="E2092">
        <v>0</v>
      </c>
      <c r="F2092">
        <v>0</v>
      </c>
      <c r="G2092">
        <v>0</v>
      </c>
      <c r="H2092">
        <v>0</v>
      </c>
      <c r="I2092" s="2">
        <v>43740</v>
      </c>
      <c r="J2092" s="1"/>
    </row>
    <row r="2093" spans="1:10" x14ac:dyDescent="0.3">
      <c r="A2093">
        <v>1001</v>
      </c>
      <c r="B2093">
        <v>0</v>
      </c>
      <c r="C2093">
        <v>0</v>
      </c>
      <c r="D2093">
        <v>0</v>
      </c>
      <c r="E2093">
        <v>0</v>
      </c>
      <c r="F2093">
        <v>0</v>
      </c>
      <c r="G2093">
        <v>0</v>
      </c>
      <c r="H2093">
        <v>1</v>
      </c>
      <c r="I2093" s="2">
        <v>43710</v>
      </c>
      <c r="J2093" s="1"/>
    </row>
    <row r="2094" spans="1:10" x14ac:dyDescent="0.3">
      <c r="A2094">
        <v>2345</v>
      </c>
      <c r="B2094">
        <v>0</v>
      </c>
      <c r="C2094">
        <v>0</v>
      </c>
      <c r="D2094">
        <v>0</v>
      </c>
      <c r="E2094">
        <v>0</v>
      </c>
      <c r="F2094">
        <v>0</v>
      </c>
      <c r="G2094">
        <v>0</v>
      </c>
      <c r="H2094">
        <v>1</v>
      </c>
      <c r="I2094" s="2">
        <v>43710</v>
      </c>
      <c r="J2094" s="1"/>
    </row>
    <row r="2095" spans="1:10" x14ac:dyDescent="0.3">
      <c r="A2095">
        <v>2510</v>
      </c>
      <c r="B2095">
        <v>0</v>
      </c>
      <c r="C2095">
        <v>0</v>
      </c>
      <c r="D2095">
        <v>0</v>
      </c>
      <c r="E2095">
        <v>0</v>
      </c>
      <c r="F2095">
        <v>0</v>
      </c>
      <c r="G2095">
        <v>0</v>
      </c>
      <c r="H2095">
        <v>0</v>
      </c>
      <c r="I2095" s="2">
        <v>43710</v>
      </c>
      <c r="J2095" s="1"/>
    </row>
    <row r="2096" spans="1:10" x14ac:dyDescent="0.3">
      <c r="A2096">
        <v>2799</v>
      </c>
      <c r="B2096">
        <v>0</v>
      </c>
      <c r="C2096">
        <v>0</v>
      </c>
      <c r="D2096">
        <v>0</v>
      </c>
      <c r="E2096">
        <v>0</v>
      </c>
      <c r="F2096">
        <v>0</v>
      </c>
      <c r="G2096">
        <v>0</v>
      </c>
      <c r="H2096">
        <v>0</v>
      </c>
      <c r="I2096" s="2">
        <v>43710</v>
      </c>
      <c r="J2096" s="1"/>
    </row>
    <row r="2097" spans="1:10" x14ac:dyDescent="0.3">
      <c r="A2097">
        <v>2303</v>
      </c>
      <c r="B2097">
        <v>1</v>
      </c>
      <c r="C2097">
        <v>0</v>
      </c>
      <c r="D2097">
        <v>0</v>
      </c>
      <c r="E2097">
        <v>0</v>
      </c>
      <c r="F2097">
        <v>0</v>
      </c>
      <c r="G2097">
        <v>1</v>
      </c>
      <c r="H2097">
        <v>1</v>
      </c>
      <c r="I2097" s="2">
        <v>43679</v>
      </c>
      <c r="J2097" s="1"/>
    </row>
    <row r="2098" spans="1:10" x14ac:dyDescent="0.3">
      <c r="A2098">
        <v>2418</v>
      </c>
      <c r="B2098">
        <v>0</v>
      </c>
      <c r="C2098">
        <v>0</v>
      </c>
      <c r="D2098">
        <v>0</v>
      </c>
      <c r="E2098">
        <v>0</v>
      </c>
      <c r="F2098">
        <v>0</v>
      </c>
      <c r="G2098">
        <v>0</v>
      </c>
      <c r="H2098">
        <v>1</v>
      </c>
      <c r="I2098" s="2">
        <v>43679</v>
      </c>
      <c r="J2098" s="1"/>
    </row>
    <row r="2099" spans="1:10" x14ac:dyDescent="0.3">
      <c r="A2099">
        <v>3097</v>
      </c>
      <c r="B2099">
        <v>0</v>
      </c>
      <c r="C2099">
        <v>0</v>
      </c>
      <c r="D2099">
        <v>0</v>
      </c>
      <c r="E2099">
        <v>0</v>
      </c>
      <c r="F2099">
        <v>0</v>
      </c>
      <c r="G2099">
        <v>0</v>
      </c>
      <c r="H2099">
        <v>1</v>
      </c>
      <c r="I2099" s="2">
        <v>43679</v>
      </c>
      <c r="J2099" s="1"/>
    </row>
    <row r="2100" spans="1:10" x14ac:dyDescent="0.3">
      <c r="A2100">
        <v>2528</v>
      </c>
      <c r="B2100">
        <v>0</v>
      </c>
      <c r="C2100">
        <v>0</v>
      </c>
      <c r="D2100">
        <v>0</v>
      </c>
      <c r="E2100">
        <v>0</v>
      </c>
      <c r="F2100">
        <v>0</v>
      </c>
      <c r="G2100">
        <v>0</v>
      </c>
      <c r="H2100">
        <v>0</v>
      </c>
      <c r="I2100" s="2">
        <v>43648</v>
      </c>
      <c r="J2100" s="1"/>
    </row>
    <row r="2101" spans="1:10" x14ac:dyDescent="0.3">
      <c r="A2101">
        <v>2449</v>
      </c>
      <c r="B2101">
        <v>0</v>
      </c>
      <c r="C2101">
        <v>1</v>
      </c>
      <c r="D2101">
        <v>1</v>
      </c>
      <c r="E2101">
        <v>0</v>
      </c>
      <c r="F2101">
        <v>0</v>
      </c>
      <c r="G2101">
        <v>0</v>
      </c>
      <c r="H2101">
        <v>1</v>
      </c>
      <c r="I2101" s="2">
        <v>43618</v>
      </c>
      <c r="J2101" s="1"/>
    </row>
    <row r="2102" spans="1:10" x14ac:dyDescent="0.3">
      <c r="A2102">
        <v>1017</v>
      </c>
      <c r="B2102">
        <v>0</v>
      </c>
      <c r="C2102">
        <v>0</v>
      </c>
      <c r="D2102">
        <v>0</v>
      </c>
      <c r="E2102">
        <v>0</v>
      </c>
      <c r="F2102">
        <v>0</v>
      </c>
      <c r="G2102">
        <v>0</v>
      </c>
      <c r="H2102">
        <v>0</v>
      </c>
      <c r="I2102" s="2">
        <v>43587</v>
      </c>
      <c r="J2102" s="1"/>
    </row>
    <row r="2103" spans="1:10" x14ac:dyDescent="0.3">
      <c r="A2103">
        <v>1235</v>
      </c>
      <c r="B2103">
        <v>0</v>
      </c>
      <c r="C2103">
        <v>0</v>
      </c>
      <c r="D2103">
        <v>0</v>
      </c>
      <c r="E2103">
        <v>0</v>
      </c>
      <c r="F2103">
        <v>0</v>
      </c>
      <c r="G2103">
        <v>0</v>
      </c>
      <c r="H2103">
        <v>0</v>
      </c>
      <c r="I2103" s="2">
        <v>43587</v>
      </c>
      <c r="J2103" s="1"/>
    </row>
    <row r="2104" spans="1:10" x14ac:dyDescent="0.3">
      <c r="A2104">
        <v>1269</v>
      </c>
      <c r="B2104">
        <v>0</v>
      </c>
      <c r="C2104">
        <v>0</v>
      </c>
      <c r="D2104">
        <v>0</v>
      </c>
      <c r="E2104">
        <v>0</v>
      </c>
      <c r="F2104">
        <v>0</v>
      </c>
      <c r="G2104">
        <v>0</v>
      </c>
      <c r="H2104">
        <v>0</v>
      </c>
      <c r="I2104" s="2">
        <v>43587</v>
      </c>
      <c r="J2104" s="1"/>
    </row>
    <row r="2105" spans="1:10" x14ac:dyDescent="0.3">
      <c r="A2105">
        <v>1381</v>
      </c>
      <c r="B2105">
        <v>0</v>
      </c>
      <c r="C2105">
        <v>0</v>
      </c>
      <c r="D2105">
        <v>0</v>
      </c>
      <c r="E2105">
        <v>0</v>
      </c>
      <c r="F2105">
        <v>0</v>
      </c>
      <c r="G2105">
        <v>0</v>
      </c>
      <c r="H2105">
        <v>1</v>
      </c>
      <c r="I2105" s="2">
        <v>43587</v>
      </c>
      <c r="J2105" s="1"/>
    </row>
    <row r="2106" spans="1:10" x14ac:dyDescent="0.3">
      <c r="A2106">
        <v>1585</v>
      </c>
      <c r="B2106">
        <v>0</v>
      </c>
      <c r="C2106">
        <v>0</v>
      </c>
      <c r="D2106">
        <v>0</v>
      </c>
      <c r="E2106">
        <v>0</v>
      </c>
      <c r="F2106">
        <v>0</v>
      </c>
      <c r="G2106">
        <v>0</v>
      </c>
      <c r="H2106">
        <v>0</v>
      </c>
      <c r="I2106" s="2">
        <v>43587</v>
      </c>
      <c r="J2106" s="1"/>
    </row>
    <row r="2107" spans="1:10" x14ac:dyDescent="0.3">
      <c r="A2107">
        <v>1906</v>
      </c>
      <c r="B2107">
        <v>0</v>
      </c>
      <c r="C2107">
        <v>0</v>
      </c>
      <c r="D2107">
        <v>0</v>
      </c>
      <c r="E2107">
        <v>0</v>
      </c>
      <c r="F2107">
        <v>0</v>
      </c>
      <c r="G2107">
        <v>0</v>
      </c>
      <c r="H2107">
        <v>0</v>
      </c>
      <c r="I2107" s="2">
        <v>43587</v>
      </c>
      <c r="J2107" s="1"/>
    </row>
    <row r="2108" spans="1:10" x14ac:dyDescent="0.3">
      <c r="A2108">
        <v>1973</v>
      </c>
      <c r="B2108">
        <v>1</v>
      </c>
      <c r="C2108">
        <v>0</v>
      </c>
      <c r="D2108">
        <v>0</v>
      </c>
      <c r="E2108">
        <v>0</v>
      </c>
      <c r="F2108">
        <v>0</v>
      </c>
      <c r="G2108">
        <v>0</v>
      </c>
      <c r="H2108">
        <v>0</v>
      </c>
      <c r="I2108" s="2">
        <v>43587</v>
      </c>
      <c r="J2108" s="1"/>
    </row>
    <row r="2109" spans="1:10" x14ac:dyDescent="0.3">
      <c r="A2109">
        <v>2457</v>
      </c>
      <c r="B2109">
        <v>0</v>
      </c>
      <c r="C2109">
        <v>0</v>
      </c>
      <c r="D2109">
        <v>0</v>
      </c>
      <c r="E2109">
        <v>0</v>
      </c>
      <c r="F2109">
        <v>0</v>
      </c>
      <c r="G2109">
        <v>0</v>
      </c>
      <c r="H2109">
        <v>0</v>
      </c>
      <c r="I2109" s="2">
        <v>43587</v>
      </c>
      <c r="J2109" s="1"/>
    </row>
    <row r="2110" spans="1:10" x14ac:dyDescent="0.3">
      <c r="A2110">
        <v>2520</v>
      </c>
      <c r="B2110">
        <v>0</v>
      </c>
      <c r="C2110">
        <v>0</v>
      </c>
      <c r="D2110">
        <v>0</v>
      </c>
      <c r="E2110">
        <v>0</v>
      </c>
      <c r="F2110">
        <v>0</v>
      </c>
      <c r="G2110">
        <v>0</v>
      </c>
      <c r="H2110">
        <v>0</v>
      </c>
      <c r="I2110" s="2">
        <v>43587</v>
      </c>
      <c r="J2110" s="1"/>
    </row>
    <row r="2111" spans="1:10" x14ac:dyDescent="0.3">
      <c r="A2111">
        <v>2568</v>
      </c>
      <c r="B2111">
        <v>1</v>
      </c>
      <c r="C2111">
        <v>0</v>
      </c>
      <c r="D2111">
        <v>0</v>
      </c>
      <c r="E2111">
        <v>0</v>
      </c>
      <c r="F2111">
        <v>0</v>
      </c>
      <c r="G2111">
        <v>0</v>
      </c>
      <c r="H2111">
        <v>0</v>
      </c>
      <c r="I2111" s="2">
        <v>43587</v>
      </c>
      <c r="J2111" s="1"/>
    </row>
    <row r="2112" spans="1:10" x14ac:dyDescent="0.3">
      <c r="A2112">
        <v>2675</v>
      </c>
      <c r="B2112">
        <v>0</v>
      </c>
      <c r="C2112">
        <v>0</v>
      </c>
      <c r="D2112">
        <v>0</v>
      </c>
      <c r="E2112">
        <v>0</v>
      </c>
      <c r="F2112">
        <v>0</v>
      </c>
      <c r="G2112">
        <v>0</v>
      </c>
      <c r="H2112">
        <v>0</v>
      </c>
      <c r="I2112" s="2">
        <v>43587</v>
      </c>
      <c r="J2112" s="1"/>
    </row>
    <row r="2113" spans="1:10" x14ac:dyDescent="0.3">
      <c r="A2113">
        <v>2865</v>
      </c>
      <c r="B2113">
        <v>0</v>
      </c>
      <c r="C2113">
        <v>0</v>
      </c>
      <c r="D2113">
        <v>0</v>
      </c>
      <c r="E2113">
        <v>0</v>
      </c>
      <c r="F2113">
        <v>0</v>
      </c>
      <c r="G2113">
        <v>0</v>
      </c>
      <c r="H2113">
        <v>0</v>
      </c>
      <c r="I2113" s="2">
        <v>43587</v>
      </c>
      <c r="J2113" s="1"/>
    </row>
    <row r="2114" spans="1:10" x14ac:dyDescent="0.3">
      <c r="A2114">
        <v>1372</v>
      </c>
      <c r="B2114">
        <v>0</v>
      </c>
      <c r="C2114">
        <v>0</v>
      </c>
      <c r="D2114">
        <v>0</v>
      </c>
      <c r="E2114">
        <v>0</v>
      </c>
      <c r="F2114">
        <v>0</v>
      </c>
      <c r="G2114">
        <v>0</v>
      </c>
      <c r="H2114">
        <v>0</v>
      </c>
      <c r="I2114" s="2">
        <v>43557</v>
      </c>
      <c r="J2114" s="1"/>
    </row>
    <row r="2115" spans="1:10" x14ac:dyDescent="0.3">
      <c r="A2115">
        <v>1390</v>
      </c>
      <c r="B2115">
        <v>0</v>
      </c>
      <c r="C2115">
        <v>0</v>
      </c>
      <c r="D2115">
        <v>0</v>
      </c>
      <c r="E2115">
        <v>0</v>
      </c>
      <c r="F2115">
        <v>0</v>
      </c>
      <c r="G2115">
        <v>0</v>
      </c>
      <c r="H2115">
        <v>1</v>
      </c>
      <c r="I2115" s="2">
        <v>43557</v>
      </c>
      <c r="J2115" s="1"/>
    </row>
    <row r="2116" spans="1:10" x14ac:dyDescent="0.3">
      <c r="A2116">
        <v>1663</v>
      </c>
      <c r="B2116">
        <v>0</v>
      </c>
      <c r="C2116">
        <v>0</v>
      </c>
      <c r="D2116">
        <v>0</v>
      </c>
      <c r="E2116">
        <v>0</v>
      </c>
      <c r="F2116">
        <v>0</v>
      </c>
      <c r="G2116">
        <v>0</v>
      </c>
      <c r="H2116">
        <v>0</v>
      </c>
      <c r="I2116" s="2">
        <v>43557</v>
      </c>
      <c r="J2116" s="1"/>
    </row>
    <row r="2117" spans="1:10" x14ac:dyDescent="0.3">
      <c r="A2117">
        <v>3091</v>
      </c>
      <c r="B2117">
        <v>0</v>
      </c>
      <c r="C2117">
        <v>0</v>
      </c>
      <c r="D2117">
        <v>0</v>
      </c>
      <c r="E2117">
        <v>0</v>
      </c>
      <c r="F2117">
        <v>0</v>
      </c>
      <c r="G2117">
        <v>0</v>
      </c>
      <c r="H2117">
        <v>0</v>
      </c>
      <c r="I2117" s="2">
        <v>43557</v>
      </c>
      <c r="J2117" s="1"/>
    </row>
    <row r="2118" spans="1:10" x14ac:dyDescent="0.3">
      <c r="A2118">
        <v>1075</v>
      </c>
      <c r="B2118">
        <v>0</v>
      </c>
      <c r="C2118">
        <v>0</v>
      </c>
      <c r="D2118">
        <v>0</v>
      </c>
      <c r="E2118">
        <v>0</v>
      </c>
      <c r="F2118">
        <v>0</v>
      </c>
      <c r="G2118">
        <v>0</v>
      </c>
      <c r="H2118">
        <v>0</v>
      </c>
      <c r="I2118" s="2">
        <v>43526</v>
      </c>
      <c r="J2118" s="1"/>
    </row>
    <row r="2119" spans="1:10" x14ac:dyDescent="0.3">
      <c r="A2119">
        <v>1241</v>
      </c>
      <c r="B2119">
        <v>0</v>
      </c>
      <c r="C2119">
        <v>0</v>
      </c>
      <c r="D2119">
        <v>0</v>
      </c>
      <c r="E2119">
        <v>0</v>
      </c>
      <c r="F2119">
        <v>0</v>
      </c>
      <c r="G2119">
        <v>0</v>
      </c>
      <c r="H2119">
        <v>0</v>
      </c>
      <c r="I2119" s="2">
        <v>43526</v>
      </c>
      <c r="J2119" s="1"/>
    </row>
    <row r="2120" spans="1:10" x14ac:dyDescent="0.3">
      <c r="A2120">
        <v>2016</v>
      </c>
      <c r="B2120">
        <v>0</v>
      </c>
      <c r="C2120">
        <v>0</v>
      </c>
      <c r="D2120">
        <v>0</v>
      </c>
      <c r="E2120">
        <v>0</v>
      </c>
      <c r="F2120">
        <v>0</v>
      </c>
      <c r="G2120">
        <v>0</v>
      </c>
      <c r="H2120">
        <v>0</v>
      </c>
      <c r="I2120" s="2">
        <v>43526</v>
      </c>
      <c r="J2120" s="1"/>
    </row>
    <row r="2121" spans="1:10" x14ac:dyDescent="0.3">
      <c r="A2121">
        <v>2037</v>
      </c>
      <c r="B2121">
        <v>0</v>
      </c>
      <c r="C2121">
        <v>0</v>
      </c>
      <c r="D2121">
        <v>0</v>
      </c>
      <c r="E2121">
        <v>0</v>
      </c>
      <c r="F2121">
        <v>0</v>
      </c>
      <c r="G2121">
        <v>0</v>
      </c>
      <c r="H2121">
        <v>0</v>
      </c>
      <c r="I2121" s="2">
        <v>43526</v>
      </c>
      <c r="J2121" s="1"/>
    </row>
    <row r="2122" spans="1:10" x14ac:dyDescent="0.3">
      <c r="A2122">
        <v>2132</v>
      </c>
      <c r="B2122">
        <v>0</v>
      </c>
      <c r="C2122">
        <v>0</v>
      </c>
      <c r="D2122">
        <v>0</v>
      </c>
      <c r="E2122">
        <v>0</v>
      </c>
      <c r="F2122">
        <v>0</v>
      </c>
      <c r="G2122">
        <v>0</v>
      </c>
      <c r="H2122">
        <v>0</v>
      </c>
      <c r="I2122" s="2">
        <v>43526</v>
      </c>
      <c r="J2122" s="1"/>
    </row>
    <row r="2123" spans="1:10" x14ac:dyDescent="0.3">
      <c r="A2123">
        <v>2133</v>
      </c>
      <c r="B2123">
        <v>0</v>
      </c>
      <c r="C2123">
        <v>0</v>
      </c>
      <c r="D2123">
        <v>0</v>
      </c>
      <c r="E2123">
        <v>0</v>
      </c>
      <c r="F2123">
        <v>0</v>
      </c>
      <c r="G2123">
        <v>0</v>
      </c>
      <c r="H2123">
        <v>0</v>
      </c>
      <c r="I2123" s="2">
        <v>43526</v>
      </c>
      <c r="J2123" s="1"/>
    </row>
    <row r="2124" spans="1:10" x14ac:dyDescent="0.3">
      <c r="A2124">
        <v>2751</v>
      </c>
      <c r="B2124">
        <v>0</v>
      </c>
      <c r="C2124">
        <v>0</v>
      </c>
      <c r="D2124">
        <v>0</v>
      </c>
      <c r="E2124">
        <v>0</v>
      </c>
      <c r="F2124">
        <v>0</v>
      </c>
      <c r="G2124">
        <v>0</v>
      </c>
      <c r="H2124">
        <v>0</v>
      </c>
      <c r="I2124" s="2">
        <v>43526</v>
      </c>
      <c r="J2124" s="1"/>
    </row>
    <row r="2125" spans="1:10" x14ac:dyDescent="0.3">
      <c r="A2125">
        <v>2971</v>
      </c>
      <c r="B2125">
        <v>0</v>
      </c>
      <c r="C2125">
        <v>0</v>
      </c>
      <c r="D2125">
        <v>0</v>
      </c>
      <c r="E2125">
        <v>1</v>
      </c>
      <c r="F2125">
        <v>0</v>
      </c>
      <c r="G2125">
        <v>0</v>
      </c>
      <c r="H2125">
        <v>1</v>
      </c>
      <c r="I2125" s="2">
        <v>43526</v>
      </c>
      <c r="J2125" s="1"/>
    </row>
    <row r="2126" spans="1:10" x14ac:dyDescent="0.3">
      <c r="A2126">
        <v>2430</v>
      </c>
      <c r="B2126">
        <v>0</v>
      </c>
      <c r="C2126">
        <v>0</v>
      </c>
      <c r="D2126">
        <v>0</v>
      </c>
      <c r="E2126">
        <v>0</v>
      </c>
      <c r="F2126">
        <v>0</v>
      </c>
      <c r="G2126">
        <v>0</v>
      </c>
      <c r="H2126">
        <v>0</v>
      </c>
      <c r="I2126" s="2">
        <v>43498</v>
      </c>
      <c r="J2126" s="1"/>
    </row>
    <row r="2127" spans="1:10" x14ac:dyDescent="0.3">
      <c r="A2127">
        <v>2763</v>
      </c>
      <c r="B2127">
        <v>0</v>
      </c>
      <c r="C2127">
        <v>0</v>
      </c>
      <c r="D2127">
        <v>0</v>
      </c>
      <c r="E2127">
        <v>0</v>
      </c>
      <c r="F2127">
        <v>0</v>
      </c>
      <c r="G2127">
        <v>0</v>
      </c>
      <c r="H2127">
        <v>0</v>
      </c>
      <c r="I2127" s="2">
        <v>43498</v>
      </c>
      <c r="J2127" s="1"/>
    </row>
    <row r="2128" spans="1:10" x14ac:dyDescent="0.3">
      <c r="A2128">
        <v>1071</v>
      </c>
      <c r="B2128">
        <v>0</v>
      </c>
      <c r="C2128">
        <v>0</v>
      </c>
      <c r="D2128">
        <v>0</v>
      </c>
      <c r="E2128">
        <v>0</v>
      </c>
      <c r="F2128">
        <v>0</v>
      </c>
      <c r="G2128">
        <v>0</v>
      </c>
      <c r="H2128">
        <v>1</v>
      </c>
      <c r="I2128" s="2">
        <v>43467</v>
      </c>
      <c r="J2128" s="1"/>
    </row>
    <row r="2129" spans="1:10" x14ac:dyDescent="0.3">
      <c r="A2129">
        <v>1634</v>
      </c>
      <c r="B2129">
        <v>0</v>
      </c>
      <c r="C2129">
        <v>0</v>
      </c>
      <c r="D2129">
        <v>0</v>
      </c>
      <c r="E2129">
        <v>0</v>
      </c>
      <c r="F2129">
        <v>0</v>
      </c>
      <c r="G2129">
        <v>0</v>
      </c>
      <c r="H2129">
        <v>0</v>
      </c>
      <c r="I2129" s="2">
        <v>43467</v>
      </c>
      <c r="J2129" s="1"/>
    </row>
    <row r="2130" spans="1:10" x14ac:dyDescent="0.3">
      <c r="A2130">
        <v>2668</v>
      </c>
      <c r="B2130">
        <v>0</v>
      </c>
      <c r="C2130">
        <v>0</v>
      </c>
      <c r="D2130">
        <v>0</v>
      </c>
      <c r="E2130">
        <v>0</v>
      </c>
      <c r="F2130">
        <v>0</v>
      </c>
      <c r="G2130">
        <v>0</v>
      </c>
      <c r="H2130">
        <v>0</v>
      </c>
      <c r="I2130" s="2">
        <v>43467</v>
      </c>
      <c r="J2130" s="1"/>
    </row>
    <row r="2131" spans="1:10" x14ac:dyDescent="0.3">
      <c r="A2131">
        <v>2153</v>
      </c>
      <c r="B2131">
        <v>0</v>
      </c>
      <c r="C2131">
        <v>0</v>
      </c>
      <c r="D2131">
        <v>0</v>
      </c>
      <c r="E2131">
        <v>0</v>
      </c>
      <c r="F2131">
        <v>0</v>
      </c>
      <c r="G2131">
        <v>0</v>
      </c>
      <c r="H2131">
        <v>0</v>
      </c>
      <c r="I2131" s="2" t="s">
        <v>402</v>
      </c>
    </row>
    <row r="2132" spans="1:10" x14ac:dyDescent="0.3">
      <c r="A2132">
        <v>2253</v>
      </c>
      <c r="B2132">
        <v>1</v>
      </c>
      <c r="C2132">
        <v>0</v>
      </c>
      <c r="D2132">
        <v>0</v>
      </c>
      <c r="E2132">
        <v>0</v>
      </c>
      <c r="F2132">
        <v>0</v>
      </c>
      <c r="G2132">
        <v>0</v>
      </c>
      <c r="H2132">
        <v>1</v>
      </c>
      <c r="I2132" s="2" t="s">
        <v>402</v>
      </c>
    </row>
    <row r="2133" spans="1:10" x14ac:dyDescent="0.3">
      <c r="A2133">
        <v>3051</v>
      </c>
      <c r="B2133">
        <v>0</v>
      </c>
      <c r="C2133">
        <v>0</v>
      </c>
      <c r="D2133">
        <v>0</v>
      </c>
      <c r="E2133">
        <v>0</v>
      </c>
      <c r="F2133">
        <v>0</v>
      </c>
      <c r="G2133">
        <v>0</v>
      </c>
      <c r="H2133">
        <v>0</v>
      </c>
      <c r="I2133" s="2" t="s">
        <v>402</v>
      </c>
    </row>
    <row r="2134" spans="1:10" x14ac:dyDescent="0.3">
      <c r="A2134">
        <v>1991</v>
      </c>
      <c r="B2134">
        <v>0</v>
      </c>
      <c r="C2134">
        <v>1</v>
      </c>
      <c r="D2134">
        <v>1</v>
      </c>
      <c r="E2134">
        <v>1</v>
      </c>
      <c r="F2134">
        <v>0</v>
      </c>
      <c r="G2134">
        <v>0</v>
      </c>
      <c r="H2134">
        <v>0</v>
      </c>
      <c r="I2134" s="2" t="s">
        <v>403</v>
      </c>
    </row>
    <row r="2135" spans="1:10" x14ac:dyDescent="0.3">
      <c r="A2135">
        <v>2376</v>
      </c>
      <c r="B2135">
        <v>0</v>
      </c>
      <c r="C2135">
        <v>0</v>
      </c>
      <c r="D2135">
        <v>0</v>
      </c>
      <c r="E2135">
        <v>0</v>
      </c>
      <c r="F2135">
        <v>0</v>
      </c>
      <c r="G2135">
        <v>0</v>
      </c>
      <c r="H2135">
        <v>0</v>
      </c>
      <c r="I2135" s="2" t="s">
        <v>403</v>
      </c>
    </row>
    <row r="2136" spans="1:10" x14ac:dyDescent="0.3">
      <c r="A2136">
        <v>2412</v>
      </c>
      <c r="B2136">
        <v>0</v>
      </c>
      <c r="C2136">
        <v>0</v>
      </c>
      <c r="D2136">
        <v>0</v>
      </c>
      <c r="E2136">
        <v>0</v>
      </c>
      <c r="F2136">
        <v>0</v>
      </c>
      <c r="G2136">
        <v>0</v>
      </c>
      <c r="H2136">
        <v>0</v>
      </c>
      <c r="I2136" s="2" t="s">
        <v>403</v>
      </c>
    </row>
    <row r="2137" spans="1:10" x14ac:dyDescent="0.3">
      <c r="A2137">
        <v>1487</v>
      </c>
      <c r="B2137">
        <v>0</v>
      </c>
      <c r="C2137">
        <v>0</v>
      </c>
      <c r="D2137">
        <v>0</v>
      </c>
      <c r="E2137">
        <v>0</v>
      </c>
      <c r="F2137">
        <v>0</v>
      </c>
      <c r="G2137">
        <v>0</v>
      </c>
      <c r="H2137">
        <v>0</v>
      </c>
      <c r="I2137" s="2" t="s">
        <v>404</v>
      </c>
    </row>
    <row r="2138" spans="1:10" x14ac:dyDescent="0.3">
      <c r="A2138">
        <v>2890</v>
      </c>
      <c r="B2138">
        <v>0</v>
      </c>
      <c r="C2138">
        <v>1</v>
      </c>
      <c r="D2138">
        <v>0</v>
      </c>
      <c r="E2138">
        <v>0</v>
      </c>
      <c r="F2138">
        <v>1</v>
      </c>
      <c r="G2138">
        <v>0</v>
      </c>
      <c r="H2138">
        <v>1</v>
      </c>
      <c r="I2138" s="2" t="s">
        <v>404</v>
      </c>
    </row>
    <row r="2139" spans="1:10" x14ac:dyDescent="0.3">
      <c r="A2139">
        <v>1282</v>
      </c>
      <c r="B2139">
        <v>0</v>
      </c>
      <c r="C2139">
        <v>1</v>
      </c>
      <c r="D2139">
        <v>0</v>
      </c>
      <c r="E2139">
        <v>0</v>
      </c>
      <c r="F2139">
        <v>1</v>
      </c>
      <c r="G2139">
        <v>0</v>
      </c>
      <c r="H2139">
        <v>0</v>
      </c>
      <c r="I2139" s="2" t="s">
        <v>405</v>
      </c>
    </row>
    <row r="2140" spans="1:10" x14ac:dyDescent="0.3">
      <c r="A2140">
        <v>1138</v>
      </c>
      <c r="B2140">
        <v>0</v>
      </c>
      <c r="C2140">
        <v>0</v>
      </c>
      <c r="D2140">
        <v>0</v>
      </c>
      <c r="E2140">
        <v>0</v>
      </c>
      <c r="F2140">
        <v>0</v>
      </c>
      <c r="G2140">
        <v>0</v>
      </c>
      <c r="H2140">
        <v>0</v>
      </c>
      <c r="I2140" s="2" t="s">
        <v>406</v>
      </c>
    </row>
    <row r="2141" spans="1:10" x14ac:dyDescent="0.3">
      <c r="A2141">
        <v>1367</v>
      </c>
      <c r="B2141">
        <v>0</v>
      </c>
      <c r="C2141">
        <v>0</v>
      </c>
      <c r="D2141">
        <v>0</v>
      </c>
      <c r="E2141">
        <v>0</v>
      </c>
      <c r="F2141">
        <v>0</v>
      </c>
      <c r="G2141">
        <v>0</v>
      </c>
      <c r="H2141">
        <v>0</v>
      </c>
      <c r="I2141" s="2" t="s">
        <v>406</v>
      </c>
    </row>
    <row r="2142" spans="1:10" x14ac:dyDescent="0.3">
      <c r="A2142">
        <v>1397</v>
      </c>
      <c r="B2142">
        <v>0</v>
      </c>
      <c r="C2142">
        <v>0</v>
      </c>
      <c r="D2142">
        <v>0</v>
      </c>
      <c r="E2142">
        <v>0</v>
      </c>
      <c r="F2142">
        <v>0</v>
      </c>
      <c r="G2142">
        <v>0</v>
      </c>
      <c r="H2142">
        <v>0</v>
      </c>
      <c r="I2142" s="2" t="s">
        <v>406</v>
      </c>
    </row>
    <row r="2143" spans="1:10" x14ac:dyDescent="0.3">
      <c r="A2143">
        <v>2063</v>
      </c>
      <c r="B2143">
        <v>0</v>
      </c>
      <c r="C2143">
        <v>0</v>
      </c>
      <c r="D2143">
        <v>0</v>
      </c>
      <c r="E2143">
        <v>0</v>
      </c>
      <c r="F2143">
        <v>0</v>
      </c>
      <c r="G2143">
        <v>0</v>
      </c>
      <c r="H2143">
        <v>1</v>
      </c>
      <c r="I2143" s="2" t="s">
        <v>406</v>
      </c>
    </row>
    <row r="2144" spans="1:10" x14ac:dyDescent="0.3">
      <c r="A2144">
        <v>2144</v>
      </c>
      <c r="B2144">
        <v>0</v>
      </c>
      <c r="C2144">
        <v>0</v>
      </c>
      <c r="D2144">
        <v>0</v>
      </c>
      <c r="E2144">
        <v>0</v>
      </c>
      <c r="F2144">
        <v>0</v>
      </c>
      <c r="G2144">
        <v>0</v>
      </c>
      <c r="H2144">
        <v>0</v>
      </c>
      <c r="I2144" s="2" t="s">
        <v>406</v>
      </c>
    </row>
    <row r="2145" spans="1:9" x14ac:dyDescent="0.3">
      <c r="A2145">
        <v>2148</v>
      </c>
      <c r="B2145">
        <v>0</v>
      </c>
      <c r="C2145">
        <v>0</v>
      </c>
      <c r="D2145">
        <v>0</v>
      </c>
      <c r="E2145">
        <v>0</v>
      </c>
      <c r="F2145">
        <v>0</v>
      </c>
      <c r="G2145">
        <v>0</v>
      </c>
      <c r="H2145">
        <v>0</v>
      </c>
      <c r="I2145" s="2" t="s">
        <v>406</v>
      </c>
    </row>
    <row r="2146" spans="1:9" x14ac:dyDescent="0.3">
      <c r="A2146">
        <v>2201</v>
      </c>
      <c r="B2146">
        <v>0</v>
      </c>
      <c r="C2146">
        <v>0</v>
      </c>
      <c r="D2146">
        <v>0</v>
      </c>
      <c r="E2146">
        <v>0</v>
      </c>
      <c r="F2146">
        <v>0</v>
      </c>
      <c r="G2146">
        <v>0</v>
      </c>
      <c r="H2146">
        <v>0</v>
      </c>
      <c r="I2146" s="2" t="s">
        <v>406</v>
      </c>
    </row>
    <row r="2147" spans="1:9" x14ac:dyDescent="0.3">
      <c r="A2147">
        <v>2888</v>
      </c>
      <c r="B2147">
        <v>0</v>
      </c>
      <c r="C2147">
        <v>1</v>
      </c>
      <c r="D2147">
        <v>0</v>
      </c>
      <c r="E2147">
        <v>1</v>
      </c>
      <c r="F2147">
        <v>0</v>
      </c>
      <c r="G2147">
        <v>0</v>
      </c>
      <c r="H2147">
        <v>1</v>
      </c>
      <c r="I2147" s="2" t="s">
        <v>406</v>
      </c>
    </row>
    <row r="2148" spans="1:9" x14ac:dyDescent="0.3">
      <c r="A2148">
        <v>1349</v>
      </c>
      <c r="B2148">
        <v>0</v>
      </c>
      <c r="C2148">
        <v>0</v>
      </c>
      <c r="D2148">
        <v>0</v>
      </c>
      <c r="E2148">
        <v>0</v>
      </c>
      <c r="F2148">
        <v>0</v>
      </c>
      <c r="G2148">
        <v>0</v>
      </c>
      <c r="H2148">
        <v>0</v>
      </c>
      <c r="I2148" s="2" t="s">
        <v>407</v>
      </c>
    </row>
    <row r="2149" spans="1:9" x14ac:dyDescent="0.3">
      <c r="A2149">
        <v>3198</v>
      </c>
      <c r="B2149">
        <v>0</v>
      </c>
      <c r="C2149">
        <v>0</v>
      </c>
      <c r="D2149">
        <v>0</v>
      </c>
      <c r="E2149">
        <v>0</v>
      </c>
      <c r="F2149">
        <v>0</v>
      </c>
      <c r="G2149">
        <v>0</v>
      </c>
      <c r="H2149">
        <v>0</v>
      </c>
      <c r="I2149" s="2" t="s">
        <v>407</v>
      </c>
    </row>
    <row r="2150" spans="1:9" x14ac:dyDescent="0.3">
      <c r="A2150">
        <v>3213</v>
      </c>
      <c r="B2150">
        <v>0</v>
      </c>
      <c r="C2150">
        <v>0</v>
      </c>
      <c r="D2150">
        <v>0</v>
      </c>
      <c r="E2150">
        <v>0</v>
      </c>
      <c r="F2150">
        <v>0</v>
      </c>
      <c r="G2150">
        <v>0</v>
      </c>
      <c r="H2150">
        <v>0</v>
      </c>
      <c r="I2150" s="2" t="s">
        <v>407</v>
      </c>
    </row>
    <row r="2151" spans="1:9" x14ac:dyDescent="0.3">
      <c r="A2151">
        <v>1439</v>
      </c>
      <c r="B2151">
        <v>0</v>
      </c>
      <c r="C2151">
        <v>0</v>
      </c>
      <c r="D2151">
        <v>0</v>
      </c>
      <c r="E2151">
        <v>0</v>
      </c>
      <c r="F2151">
        <v>0</v>
      </c>
      <c r="G2151">
        <v>0</v>
      </c>
      <c r="H2151">
        <v>0</v>
      </c>
      <c r="I2151" s="2" t="s">
        <v>408</v>
      </c>
    </row>
    <row r="2152" spans="1:9" x14ac:dyDescent="0.3">
      <c r="A2152">
        <v>2480</v>
      </c>
      <c r="B2152">
        <v>1</v>
      </c>
      <c r="C2152">
        <v>0</v>
      </c>
      <c r="D2152">
        <v>0</v>
      </c>
      <c r="E2152">
        <v>0</v>
      </c>
      <c r="F2152">
        <v>0</v>
      </c>
      <c r="G2152">
        <v>0</v>
      </c>
      <c r="H2152">
        <v>1</v>
      </c>
      <c r="I2152" s="2" t="s">
        <v>408</v>
      </c>
    </row>
    <row r="2153" spans="1:9" x14ac:dyDescent="0.3">
      <c r="A2153">
        <v>2627</v>
      </c>
      <c r="B2153">
        <v>0</v>
      </c>
      <c r="C2153">
        <v>0</v>
      </c>
      <c r="D2153">
        <v>0</v>
      </c>
      <c r="E2153">
        <v>0</v>
      </c>
      <c r="F2153">
        <v>0</v>
      </c>
      <c r="G2153">
        <v>0</v>
      </c>
      <c r="H2153">
        <v>1</v>
      </c>
      <c r="I2153" s="2" t="s">
        <v>408</v>
      </c>
    </row>
    <row r="2154" spans="1:9" x14ac:dyDescent="0.3">
      <c r="A2154">
        <v>1466</v>
      </c>
      <c r="B2154">
        <v>1</v>
      </c>
      <c r="C2154">
        <v>0</v>
      </c>
      <c r="D2154">
        <v>0</v>
      </c>
      <c r="E2154">
        <v>0</v>
      </c>
      <c r="F2154">
        <v>0</v>
      </c>
      <c r="G2154">
        <v>0</v>
      </c>
      <c r="H2154">
        <v>1</v>
      </c>
      <c r="I2154" s="2" t="s">
        <v>409</v>
      </c>
    </row>
    <row r="2155" spans="1:9" x14ac:dyDescent="0.3">
      <c r="A2155">
        <v>2562</v>
      </c>
      <c r="B2155">
        <v>0</v>
      </c>
      <c r="C2155">
        <v>0</v>
      </c>
      <c r="D2155">
        <v>0</v>
      </c>
      <c r="E2155">
        <v>0</v>
      </c>
      <c r="F2155">
        <v>0</v>
      </c>
      <c r="G2155">
        <v>0</v>
      </c>
      <c r="H2155">
        <v>1</v>
      </c>
      <c r="I2155" s="2" t="s">
        <v>409</v>
      </c>
    </row>
    <row r="2156" spans="1:9" x14ac:dyDescent="0.3">
      <c r="A2156">
        <v>1359</v>
      </c>
      <c r="B2156">
        <v>0</v>
      </c>
      <c r="C2156">
        <v>0</v>
      </c>
      <c r="D2156">
        <v>0</v>
      </c>
      <c r="E2156">
        <v>0</v>
      </c>
      <c r="F2156">
        <v>0</v>
      </c>
      <c r="G2156">
        <v>0</v>
      </c>
      <c r="H2156">
        <v>0</v>
      </c>
      <c r="I2156" s="2" t="s">
        <v>410</v>
      </c>
    </row>
    <row r="2157" spans="1:9" x14ac:dyDescent="0.3">
      <c r="A2157">
        <v>2262</v>
      </c>
      <c r="B2157">
        <v>0</v>
      </c>
      <c r="C2157">
        <v>1</v>
      </c>
      <c r="D2157">
        <v>0</v>
      </c>
      <c r="E2157">
        <v>0</v>
      </c>
      <c r="F2157">
        <v>1</v>
      </c>
      <c r="G2157">
        <v>0</v>
      </c>
      <c r="H2157">
        <v>1</v>
      </c>
      <c r="I2157" s="2" t="s">
        <v>410</v>
      </c>
    </row>
    <row r="2158" spans="1:9" x14ac:dyDescent="0.3">
      <c r="A2158">
        <v>2314</v>
      </c>
      <c r="B2158">
        <v>0</v>
      </c>
      <c r="C2158">
        <v>1</v>
      </c>
      <c r="D2158">
        <v>1</v>
      </c>
      <c r="E2158">
        <v>1</v>
      </c>
      <c r="F2158">
        <v>0</v>
      </c>
      <c r="G2158">
        <v>0</v>
      </c>
      <c r="H2158">
        <v>1</v>
      </c>
      <c r="I2158" s="2" t="s">
        <v>410</v>
      </c>
    </row>
    <row r="2159" spans="1:9" x14ac:dyDescent="0.3">
      <c r="A2159">
        <v>2487</v>
      </c>
      <c r="B2159">
        <v>0</v>
      </c>
      <c r="C2159">
        <v>0</v>
      </c>
      <c r="D2159">
        <v>0</v>
      </c>
      <c r="E2159">
        <v>0</v>
      </c>
      <c r="F2159">
        <v>0</v>
      </c>
      <c r="G2159">
        <v>0</v>
      </c>
      <c r="H2159">
        <v>0</v>
      </c>
      <c r="I2159" s="2" t="s">
        <v>410</v>
      </c>
    </row>
    <row r="2160" spans="1:9" x14ac:dyDescent="0.3">
      <c r="A2160">
        <v>2509</v>
      </c>
      <c r="B2160">
        <v>0</v>
      </c>
      <c r="C2160">
        <v>0</v>
      </c>
      <c r="D2160">
        <v>0</v>
      </c>
      <c r="E2160">
        <v>0</v>
      </c>
      <c r="F2160">
        <v>0</v>
      </c>
      <c r="G2160">
        <v>0</v>
      </c>
      <c r="H2160">
        <v>1</v>
      </c>
      <c r="I2160" s="2" t="s">
        <v>410</v>
      </c>
    </row>
    <row r="2161" spans="1:9" x14ac:dyDescent="0.3">
      <c r="A2161">
        <v>1231</v>
      </c>
      <c r="B2161">
        <v>0</v>
      </c>
      <c r="C2161">
        <v>0</v>
      </c>
      <c r="D2161">
        <v>0</v>
      </c>
      <c r="E2161">
        <v>0</v>
      </c>
      <c r="F2161">
        <v>0</v>
      </c>
      <c r="G2161">
        <v>0</v>
      </c>
      <c r="H2161">
        <v>0</v>
      </c>
      <c r="I2161" s="2" t="s">
        <v>411</v>
      </c>
    </row>
    <row r="2162" spans="1:9" x14ac:dyDescent="0.3">
      <c r="A2162">
        <v>1583</v>
      </c>
      <c r="B2162">
        <v>0</v>
      </c>
      <c r="C2162">
        <v>0</v>
      </c>
      <c r="D2162">
        <v>0</v>
      </c>
      <c r="E2162">
        <v>0</v>
      </c>
      <c r="F2162">
        <v>0</v>
      </c>
      <c r="G2162">
        <v>0</v>
      </c>
      <c r="H2162">
        <v>0</v>
      </c>
      <c r="I2162" s="2" t="s">
        <v>411</v>
      </c>
    </row>
    <row r="2163" spans="1:9" x14ac:dyDescent="0.3">
      <c r="A2163">
        <v>1602</v>
      </c>
      <c r="B2163">
        <v>0</v>
      </c>
      <c r="C2163">
        <v>0</v>
      </c>
      <c r="D2163">
        <v>0</v>
      </c>
      <c r="E2163">
        <v>0</v>
      </c>
      <c r="F2163">
        <v>0</v>
      </c>
      <c r="G2163">
        <v>0</v>
      </c>
      <c r="H2163">
        <v>0</v>
      </c>
      <c r="I2163" s="2" t="s">
        <v>411</v>
      </c>
    </row>
    <row r="2164" spans="1:9" x14ac:dyDescent="0.3">
      <c r="A2164">
        <v>1938</v>
      </c>
      <c r="B2164">
        <v>0</v>
      </c>
      <c r="C2164">
        <v>0</v>
      </c>
      <c r="D2164">
        <v>0</v>
      </c>
      <c r="E2164">
        <v>0</v>
      </c>
      <c r="F2164">
        <v>0</v>
      </c>
      <c r="G2164">
        <v>0</v>
      </c>
      <c r="H2164">
        <v>0</v>
      </c>
      <c r="I2164" s="2" t="s">
        <v>411</v>
      </c>
    </row>
    <row r="2165" spans="1:9" x14ac:dyDescent="0.3">
      <c r="A2165">
        <v>2478</v>
      </c>
      <c r="B2165">
        <v>0</v>
      </c>
      <c r="C2165">
        <v>0</v>
      </c>
      <c r="D2165">
        <v>0</v>
      </c>
      <c r="E2165">
        <v>0</v>
      </c>
      <c r="F2165">
        <v>0</v>
      </c>
      <c r="G2165">
        <v>0</v>
      </c>
      <c r="H2165">
        <v>1</v>
      </c>
      <c r="I2165" s="2" t="s">
        <v>411</v>
      </c>
    </row>
    <row r="2166" spans="1:9" x14ac:dyDescent="0.3">
      <c r="A2166">
        <v>2550</v>
      </c>
      <c r="B2166">
        <v>0</v>
      </c>
      <c r="C2166">
        <v>0</v>
      </c>
      <c r="D2166">
        <v>0</v>
      </c>
      <c r="E2166">
        <v>0</v>
      </c>
      <c r="F2166">
        <v>0</v>
      </c>
      <c r="G2166">
        <v>0</v>
      </c>
      <c r="H2166">
        <v>1</v>
      </c>
      <c r="I2166" s="2" t="s">
        <v>411</v>
      </c>
    </row>
    <row r="2167" spans="1:9" x14ac:dyDescent="0.3">
      <c r="A2167">
        <v>3023</v>
      </c>
      <c r="B2167">
        <v>0</v>
      </c>
      <c r="C2167">
        <v>0</v>
      </c>
      <c r="D2167">
        <v>0</v>
      </c>
      <c r="E2167">
        <v>0</v>
      </c>
      <c r="F2167">
        <v>0</v>
      </c>
      <c r="G2167">
        <v>0</v>
      </c>
      <c r="H2167">
        <v>1</v>
      </c>
      <c r="I2167" s="2" t="s">
        <v>411</v>
      </c>
    </row>
    <row r="2168" spans="1:9" x14ac:dyDescent="0.3">
      <c r="A2168">
        <v>3199</v>
      </c>
      <c r="B2168">
        <v>0</v>
      </c>
      <c r="C2168">
        <v>0</v>
      </c>
      <c r="D2168">
        <v>0</v>
      </c>
      <c r="E2168">
        <v>0</v>
      </c>
      <c r="F2168">
        <v>0</v>
      </c>
      <c r="G2168">
        <v>0</v>
      </c>
      <c r="H2168">
        <v>0</v>
      </c>
      <c r="I2168" s="2" t="s">
        <v>411</v>
      </c>
    </row>
    <row r="2169" spans="1:9" x14ac:dyDescent="0.3">
      <c r="A2169">
        <v>3214</v>
      </c>
      <c r="B2169">
        <v>0</v>
      </c>
      <c r="C2169">
        <v>0</v>
      </c>
      <c r="D2169">
        <v>0</v>
      </c>
      <c r="E2169">
        <v>0</v>
      </c>
      <c r="F2169">
        <v>0</v>
      </c>
      <c r="G2169">
        <v>0</v>
      </c>
      <c r="H2169">
        <v>0</v>
      </c>
      <c r="I2169" s="2" t="s">
        <v>411</v>
      </c>
    </row>
    <row r="2170" spans="1:9" x14ac:dyDescent="0.3">
      <c r="A2170">
        <v>2473</v>
      </c>
      <c r="B2170">
        <v>1</v>
      </c>
      <c r="C2170">
        <v>0</v>
      </c>
      <c r="D2170">
        <v>0</v>
      </c>
      <c r="E2170">
        <v>0</v>
      </c>
      <c r="F2170">
        <v>0</v>
      </c>
      <c r="G2170">
        <v>0</v>
      </c>
      <c r="H2170">
        <v>1</v>
      </c>
      <c r="I2170" s="2" t="s">
        <v>412</v>
      </c>
    </row>
    <row r="2171" spans="1:9" x14ac:dyDescent="0.3">
      <c r="A2171">
        <v>2682</v>
      </c>
      <c r="B2171">
        <v>0</v>
      </c>
      <c r="C2171">
        <v>0</v>
      </c>
      <c r="D2171">
        <v>0</v>
      </c>
      <c r="E2171">
        <v>0</v>
      </c>
      <c r="F2171">
        <v>0</v>
      </c>
      <c r="G2171">
        <v>0</v>
      </c>
      <c r="H2171">
        <v>0</v>
      </c>
      <c r="I2171" s="2" t="s">
        <v>412</v>
      </c>
    </row>
    <row r="2172" spans="1:9" x14ac:dyDescent="0.3">
      <c r="A2172">
        <v>2851</v>
      </c>
      <c r="B2172">
        <v>0</v>
      </c>
      <c r="C2172">
        <v>0</v>
      </c>
      <c r="D2172">
        <v>0</v>
      </c>
      <c r="E2172">
        <v>0</v>
      </c>
      <c r="F2172">
        <v>0</v>
      </c>
      <c r="G2172">
        <v>0</v>
      </c>
      <c r="H2172">
        <v>1</v>
      </c>
      <c r="I2172" s="2" t="s">
        <v>412</v>
      </c>
    </row>
    <row r="2173" spans="1:9" x14ac:dyDescent="0.3">
      <c r="A2173">
        <v>1453</v>
      </c>
      <c r="B2173">
        <v>0</v>
      </c>
      <c r="C2173">
        <v>0</v>
      </c>
      <c r="D2173">
        <v>0</v>
      </c>
      <c r="E2173">
        <v>0</v>
      </c>
      <c r="F2173">
        <v>0</v>
      </c>
      <c r="G2173">
        <v>0</v>
      </c>
      <c r="H2173">
        <v>0</v>
      </c>
      <c r="I2173" s="2" t="s">
        <v>413</v>
      </c>
    </row>
    <row r="2174" spans="1:9" x14ac:dyDescent="0.3">
      <c r="A2174">
        <v>1303</v>
      </c>
      <c r="B2174">
        <v>0</v>
      </c>
      <c r="C2174">
        <v>0</v>
      </c>
      <c r="D2174">
        <v>0</v>
      </c>
      <c r="E2174">
        <v>0</v>
      </c>
      <c r="F2174">
        <v>0</v>
      </c>
      <c r="G2174">
        <v>0</v>
      </c>
      <c r="H2174">
        <v>0</v>
      </c>
      <c r="I2174" s="2" t="s">
        <v>414</v>
      </c>
    </row>
    <row r="2175" spans="1:9" x14ac:dyDescent="0.3">
      <c r="A2175">
        <v>3101</v>
      </c>
      <c r="B2175">
        <v>0</v>
      </c>
      <c r="C2175">
        <v>0</v>
      </c>
      <c r="D2175">
        <v>0</v>
      </c>
      <c r="E2175">
        <v>0</v>
      </c>
      <c r="F2175">
        <v>0</v>
      </c>
      <c r="G2175">
        <v>0</v>
      </c>
      <c r="H2175">
        <v>0</v>
      </c>
      <c r="I2175" s="2" t="s">
        <v>414</v>
      </c>
    </row>
    <row r="2176" spans="1:9" x14ac:dyDescent="0.3">
      <c r="A2176">
        <v>2379</v>
      </c>
      <c r="B2176">
        <v>0</v>
      </c>
      <c r="C2176">
        <v>0</v>
      </c>
      <c r="D2176">
        <v>0</v>
      </c>
      <c r="E2176">
        <v>0</v>
      </c>
      <c r="F2176">
        <v>0</v>
      </c>
      <c r="G2176">
        <v>0</v>
      </c>
      <c r="H2176">
        <v>1</v>
      </c>
      <c r="I2176" s="2" t="s">
        <v>415</v>
      </c>
    </row>
    <row r="2177" spans="1:9" x14ac:dyDescent="0.3">
      <c r="A2177">
        <v>2928</v>
      </c>
      <c r="B2177">
        <v>0</v>
      </c>
      <c r="C2177">
        <v>0</v>
      </c>
      <c r="D2177">
        <v>0</v>
      </c>
      <c r="E2177">
        <v>0</v>
      </c>
      <c r="F2177">
        <v>0</v>
      </c>
      <c r="G2177">
        <v>0</v>
      </c>
      <c r="H2177">
        <v>1</v>
      </c>
      <c r="I2177" s="2" t="s">
        <v>415</v>
      </c>
    </row>
    <row r="2178" spans="1:9" x14ac:dyDescent="0.3">
      <c r="A2178">
        <v>1512</v>
      </c>
      <c r="B2178">
        <v>0</v>
      </c>
      <c r="C2178">
        <v>0</v>
      </c>
      <c r="D2178">
        <v>0</v>
      </c>
      <c r="E2178">
        <v>0</v>
      </c>
      <c r="F2178">
        <v>0</v>
      </c>
      <c r="G2178">
        <v>0</v>
      </c>
      <c r="H2178">
        <v>0</v>
      </c>
      <c r="I2178" s="2" t="s">
        <v>416</v>
      </c>
    </row>
    <row r="2179" spans="1:9" x14ac:dyDescent="0.3">
      <c r="A2179">
        <v>1635</v>
      </c>
      <c r="B2179">
        <v>0</v>
      </c>
      <c r="C2179">
        <v>0</v>
      </c>
      <c r="D2179">
        <v>0</v>
      </c>
      <c r="E2179">
        <v>0</v>
      </c>
      <c r="F2179">
        <v>0</v>
      </c>
      <c r="G2179">
        <v>0</v>
      </c>
      <c r="H2179">
        <v>0</v>
      </c>
      <c r="I2179" s="2" t="s">
        <v>416</v>
      </c>
    </row>
    <row r="2180" spans="1:9" x14ac:dyDescent="0.3">
      <c r="A2180">
        <v>1913</v>
      </c>
      <c r="B2180">
        <v>0</v>
      </c>
      <c r="C2180">
        <v>1</v>
      </c>
      <c r="D2180">
        <v>0</v>
      </c>
      <c r="E2180">
        <v>0</v>
      </c>
      <c r="F2180">
        <v>0</v>
      </c>
      <c r="G2180">
        <v>0</v>
      </c>
      <c r="H2180">
        <v>0</v>
      </c>
      <c r="I2180" s="2" t="s">
        <v>416</v>
      </c>
    </row>
    <row r="2181" spans="1:9" x14ac:dyDescent="0.3">
      <c r="A2181">
        <v>2530</v>
      </c>
      <c r="B2181">
        <v>0</v>
      </c>
      <c r="C2181">
        <v>0</v>
      </c>
      <c r="D2181">
        <v>0</v>
      </c>
      <c r="E2181">
        <v>0</v>
      </c>
      <c r="F2181">
        <v>0</v>
      </c>
      <c r="G2181">
        <v>0</v>
      </c>
      <c r="H2181">
        <v>0</v>
      </c>
      <c r="I2181" s="2" t="s">
        <v>416</v>
      </c>
    </row>
    <row r="2182" spans="1:9" x14ac:dyDescent="0.3">
      <c r="A2182">
        <v>3037</v>
      </c>
      <c r="B2182">
        <v>0</v>
      </c>
      <c r="C2182">
        <v>0</v>
      </c>
      <c r="D2182">
        <v>0</v>
      </c>
      <c r="E2182">
        <v>0</v>
      </c>
      <c r="F2182">
        <v>0</v>
      </c>
      <c r="G2182">
        <v>0</v>
      </c>
      <c r="H2182">
        <v>0</v>
      </c>
      <c r="I2182" s="2" t="s">
        <v>416</v>
      </c>
    </row>
    <row r="2183" spans="1:9" x14ac:dyDescent="0.3">
      <c r="A2183">
        <v>1048</v>
      </c>
      <c r="B2183">
        <v>0</v>
      </c>
      <c r="C2183">
        <v>0</v>
      </c>
      <c r="D2183">
        <v>0</v>
      </c>
      <c r="E2183">
        <v>0</v>
      </c>
      <c r="F2183">
        <v>0</v>
      </c>
      <c r="G2183">
        <v>0</v>
      </c>
      <c r="H2183">
        <v>0</v>
      </c>
      <c r="I2183" s="2" t="s">
        <v>417</v>
      </c>
    </row>
    <row r="2184" spans="1:9" x14ac:dyDescent="0.3">
      <c r="A2184">
        <v>1737</v>
      </c>
      <c r="B2184">
        <v>0</v>
      </c>
      <c r="C2184">
        <v>0</v>
      </c>
      <c r="D2184">
        <v>0</v>
      </c>
      <c r="E2184">
        <v>0</v>
      </c>
      <c r="F2184">
        <v>0</v>
      </c>
      <c r="G2184">
        <v>0</v>
      </c>
      <c r="H2184">
        <v>1</v>
      </c>
      <c r="I2184" s="2" t="s">
        <v>417</v>
      </c>
    </row>
    <row r="2185" spans="1:9" x14ac:dyDescent="0.3">
      <c r="A2185">
        <v>3174</v>
      </c>
      <c r="B2185">
        <v>0</v>
      </c>
      <c r="C2185">
        <v>0</v>
      </c>
      <c r="D2185">
        <v>0</v>
      </c>
      <c r="E2185">
        <v>0</v>
      </c>
      <c r="F2185">
        <v>0</v>
      </c>
      <c r="G2185">
        <v>0</v>
      </c>
      <c r="H2185">
        <v>0</v>
      </c>
      <c r="I2185" s="2" t="s">
        <v>417</v>
      </c>
    </row>
    <row r="2186" spans="1:9" x14ac:dyDescent="0.3">
      <c r="A2186">
        <v>1324</v>
      </c>
      <c r="B2186">
        <v>0</v>
      </c>
      <c r="C2186">
        <v>0</v>
      </c>
      <c r="D2186">
        <v>0</v>
      </c>
      <c r="E2186">
        <v>0</v>
      </c>
      <c r="F2186">
        <v>0</v>
      </c>
      <c r="G2186">
        <v>0</v>
      </c>
      <c r="H2186">
        <v>0</v>
      </c>
      <c r="I2186" s="2" t="s">
        <v>418</v>
      </c>
    </row>
    <row r="2187" spans="1:9" x14ac:dyDescent="0.3">
      <c r="A2187">
        <v>2586</v>
      </c>
      <c r="B2187">
        <v>0</v>
      </c>
      <c r="C2187">
        <v>0</v>
      </c>
      <c r="D2187">
        <v>0</v>
      </c>
      <c r="E2187">
        <v>0</v>
      </c>
      <c r="F2187">
        <v>0</v>
      </c>
      <c r="G2187">
        <v>0</v>
      </c>
      <c r="H2187">
        <v>0</v>
      </c>
      <c r="I2187" s="2" t="s">
        <v>418</v>
      </c>
    </row>
    <row r="2188" spans="1:9" x14ac:dyDescent="0.3">
      <c r="A2188">
        <v>1720</v>
      </c>
      <c r="B2188">
        <v>0</v>
      </c>
      <c r="C2188">
        <v>0</v>
      </c>
      <c r="D2188">
        <v>0</v>
      </c>
      <c r="E2188">
        <v>0</v>
      </c>
      <c r="F2188">
        <v>0</v>
      </c>
      <c r="G2188">
        <v>0</v>
      </c>
      <c r="H2188">
        <v>0</v>
      </c>
      <c r="I2188" s="2" t="s">
        <v>419</v>
      </c>
    </row>
    <row r="2189" spans="1:9" x14ac:dyDescent="0.3">
      <c r="A2189">
        <v>2261</v>
      </c>
      <c r="B2189">
        <v>0</v>
      </c>
      <c r="C2189">
        <v>0</v>
      </c>
      <c r="D2189">
        <v>1</v>
      </c>
      <c r="E2189">
        <v>0</v>
      </c>
      <c r="F2189">
        <v>0</v>
      </c>
      <c r="G2189">
        <v>0</v>
      </c>
      <c r="H2189">
        <v>1</v>
      </c>
      <c r="I2189" s="2" t="s">
        <v>419</v>
      </c>
    </row>
    <row r="2190" spans="1:9" x14ac:dyDescent="0.3">
      <c r="A2190">
        <v>1020</v>
      </c>
      <c r="B2190">
        <v>0</v>
      </c>
      <c r="C2190">
        <v>0</v>
      </c>
      <c r="D2190">
        <v>0</v>
      </c>
      <c r="E2190">
        <v>0</v>
      </c>
      <c r="F2190">
        <v>0</v>
      </c>
      <c r="G2190">
        <v>0</v>
      </c>
      <c r="H2190">
        <v>0</v>
      </c>
      <c r="I2190" s="2" t="s">
        <v>420</v>
      </c>
    </row>
    <row r="2191" spans="1:9" x14ac:dyDescent="0.3">
      <c r="A2191">
        <v>1126</v>
      </c>
      <c r="B2191">
        <v>0</v>
      </c>
      <c r="C2191">
        <v>0</v>
      </c>
      <c r="D2191">
        <v>0</v>
      </c>
      <c r="E2191">
        <v>0</v>
      </c>
      <c r="F2191">
        <v>0</v>
      </c>
      <c r="G2191">
        <v>0</v>
      </c>
      <c r="H2191">
        <v>0</v>
      </c>
      <c r="I2191" s="2" t="s">
        <v>420</v>
      </c>
    </row>
    <row r="2192" spans="1:9" x14ac:dyDescent="0.3">
      <c r="A2192">
        <v>1216</v>
      </c>
      <c r="B2192">
        <v>0</v>
      </c>
      <c r="C2192">
        <v>0</v>
      </c>
      <c r="D2192">
        <v>0</v>
      </c>
      <c r="E2192">
        <v>0</v>
      </c>
      <c r="F2192">
        <v>0</v>
      </c>
      <c r="G2192">
        <v>0</v>
      </c>
      <c r="H2192">
        <v>0</v>
      </c>
      <c r="I2192" s="2" t="s">
        <v>420</v>
      </c>
    </row>
    <row r="2193" spans="1:10" x14ac:dyDescent="0.3">
      <c r="A2193">
        <v>2107</v>
      </c>
      <c r="B2193">
        <v>0</v>
      </c>
      <c r="C2193">
        <v>0</v>
      </c>
      <c r="D2193">
        <v>0</v>
      </c>
      <c r="E2193">
        <v>0</v>
      </c>
      <c r="F2193">
        <v>0</v>
      </c>
      <c r="G2193">
        <v>0</v>
      </c>
      <c r="H2193">
        <v>0</v>
      </c>
      <c r="I2193" s="2" t="s">
        <v>420</v>
      </c>
    </row>
    <row r="2194" spans="1:10" x14ac:dyDescent="0.3">
      <c r="A2194">
        <v>2198</v>
      </c>
      <c r="B2194">
        <v>0</v>
      </c>
      <c r="C2194">
        <v>0</v>
      </c>
      <c r="D2194">
        <v>0</v>
      </c>
      <c r="E2194">
        <v>0</v>
      </c>
      <c r="F2194">
        <v>0</v>
      </c>
      <c r="G2194">
        <v>0</v>
      </c>
      <c r="H2194">
        <v>0</v>
      </c>
      <c r="I2194" s="2" t="s">
        <v>420</v>
      </c>
    </row>
    <row r="2195" spans="1:10" x14ac:dyDescent="0.3">
      <c r="A2195">
        <v>2319</v>
      </c>
      <c r="B2195">
        <v>0</v>
      </c>
      <c r="C2195">
        <v>0</v>
      </c>
      <c r="D2195">
        <v>0</v>
      </c>
      <c r="E2195">
        <v>0</v>
      </c>
      <c r="F2195">
        <v>0</v>
      </c>
      <c r="G2195">
        <v>0</v>
      </c>
      <c r="H2195">
        <v>1</v>
      </c>
      <c r="I2195" s="2" t="s">
        <v>420</v>
      </c>
    </row>
    <row r="2196" spans="1:10" x14ac:dyDescent="0.3">
      <c r="A2196">
        <v>2661</v>
      </c>
      <c r="B2196">
        <v>0</v>
      </c>
      <c r="C2196">
        <v>0</v>
      </c>
      <c r="D2196">
        <v>0</v>
      </c>
      <c r="E2196">
        <v>0</v>
      </c>
      <c r="F2196">
        <v>0</v>
      </c>
      <c r="G2196">
        <v>0</v>
      </c>
      <c r="H2196">
        <v>1</v>
      </c>
      <c r="I2196" s="2" t="s">
        <v>420</v>
      </c>
    </row>
    <row r="2197" spans="1:10" x14ac:dyDescent="0.3">
      <c r="A2197">
        <v>1712</v>
      </c>
      <c r="B2197">
        <v>0</v>
      </c>
      <c r="C2197">
        <v>0</v>
      </c>
      <c r="D2197">
        <v>0</v>
      </c>
      <c r="E2197">
        <v>0</v>
      </c>
      <c r="F2197">
        <v>0</v>
      </c>
      <c r="G2197">
        <v>0</v>
      </c>
      <c r="H2197">
        <v>0</v>
      </c>
      <c r="I2197" s="2">
        <v>43800</v>
      </c>
      <c r="J2197" s="1"/>
    </row>
    <row r="2198" spans="1:10" x14ac:dyDescent="0.3">
      <c r="A2198">
        <v>2381</v>
      </c>
      <c r="B2198">
        <v>0</v>
      </c>
      <c r="C2198">
        <v>0</v>
      </c>
      <c r="D2198">
        <v>0</v>
      </c>
      <c r="E2198">
        <v>0</v>
      </c>
      <c r="F2198">
        <v>0</v>
      </c>
      <c r="G2198">
        <v>0</v>
      </c>
      <c r="H2198">
        <v>0</v>
      </c>
      <c r="I2198" s="2">
        <v>43800</v>
      </c>
      <c r="J2198" s="1"/>
    </row>
    <row r="2199" spans="1:10" x14ac:dyDescent="0.3">
      <c r="A2199">
        <v>2917</v>
      </c>
      <c r="B2199">
        <v>0</v>
      </c>
      <c r="C2199">
        <v>0</v>
      </c>
      <c r="D2199">
        <v>0</v>
      </c>
      <c r="E2199">
        <v>0</v>
      </c>
      <c r="F2199">
        <v>0</v>
      </c>
      <c r="G2199">
        <v>0</v>
      </c>
      <c r="H2199">
        <v>0</v>
      </c>
      <c r="I2199" s="2">
        <v>43800</v>
      </c>
      <c r="J2199" s="1"/>
    </row>
    <row r="2200" spans="1:10" x14ac:dyDescent="0.3">
      <c r="A2200">
        <v>2989</v>
      </c>
      <c r="B2200">
        <v>0</v>
      </c>
      <c r="C2200">
        <v>0</v>
      </c>
      <c r="D2200">
        <v>0</v>
      </c>
      <c r="E2200">
        <v>0</v>
      </c>
      <c r="F2200">
        <v>0</v>
      </c>
      <c r="G2200">
        <v>0</v>
      </c>
      <c r="H2200">
        <v>1</v>
      </c>
      <c r="I2200" s="2">
        <v>43800</v>
      </c>
      <c r="J2200" s="1"/>
    </row>
    <row r="2201" spans="1:10" x14ac:dyDescent="0.3">
      <c r="A2201">
        <v>1484</v>
      </c>
      <c r="B2201">
        <v>0</v>
      </c>
      <c r="C2201">
        <v>0</v>
      </c>
      <c r="D2201">
        <v>0</v>
      </c>
      <c r="E2201">
        <v>0</v>
      </c>
      <c r="F2201">
        <v>0</v>
      </c>
      <c r="G2201">
        <v>0</v>
      </c>
      <c r="H2201">
        <v>0</v>
      </c>
      <c r="I2201" s="2">
        <v>43770</v>
      </c>
      <c r="J2201" s="1"/>
    </row>
    <row r="2202" spans="1:10" x14ac:dyDescent="0.3">
      <c r="A2202">
        <v>1525</v>
      </c>
      <c r="B2202">
        <v>0</v>
      </c>
      <c r="C2202">
        <v>0</v>
      </c>
      <c r="D2202">
        <v>0</v>
      </c>
      <c r="E2202">
        <v>0</v>
      </c>
      <c r="F2202">
        <v>0</v>
      </c>
      <c r="G2202">
        <v>0</v>
      </c>
      <c r="H2202">
        <v>0</v>
      </c>
      <c r="I2202" s="2">
        <v>43770</v>
      </c>
      <c r="J2202" s="1"/>
    </row>
    <row r="2203" spans="1:10" x14ac:dyDescent="0.3">
      <c r="A2203">
        <v>3107</v>
      </c>
      <c r="B2203">
        <v>0</v>
      </c>
      <c r="C2203">
        <v>0</v>
      </c>
      <c r="D2203">
        <v>0</v>
      </c>
      <c r="E2203">
        <v>0</v>
      </c>
      <c r="F2203">
        <v>0</v>
      </c>
      <c r="G2203">
        <v>0</v>
      </c>
      <c r="H2203">
        <v>1</v>
      </c>
      <c r="I2203" s="2">
        <v>43770</v>
      </c>
      <c r="J2203" s="1"/>
    </row>
    <row r="2204" spans="1:10" x14ac:dyDescent="0.3">
      <c r="A2204">
        <v>2117</v>
      </c>
      <c r="B2204">
        <v>0</v>
      </c>
      <c r="C2204">
        <v>0</v>
      </c>
      <c r="D2204">
        <v>0</v>
      </c>
      <c r="E2204">
        <v>0</v>
      </c>
      <c r="F2204">
        <v>0</v>
      </c>
      <c r="G2204">
        <v>0</v>
      </c>
      <c r="H2204">
        <v>0</v>
      </c>
      <c r="I2204" s="2">
        <v>43739</v>
      </c>
      <c r="J2204" s="1"/>
    </row>
    <row r="2205" spans="1:10" x14ac:dyDescent="0.3">
      <c r="A2205">
        <v>1456</v>
      </c>
      <c r="B2205">
        <v>0</v>
      </c>
      <c r="C2205">
        <v>1</v>
      </c>
      <c r="D2205">
        <v>0</v>
      </c>
      <c r="E2205">
        <v>0</v>
      </c>
      <c r="F2205">
        <v>0</v>
      </c>
      <c r="G2205">
        <v>0</v>
      </c>
      <c r="H2205">
        <v>1</v>
      </c>
      <c r="I2205" s="2">
        <v>43709</v>
      </c>
      <c r="J2205" s="1"/>
    </row>
    <row r="2206" spans="1:10" x14ac:dyDescent="0.3">
      <c r="A2206">
        <v>2049</v>
      </c>
      <c r="B2206">
        <v>0</v>
      </c>
      <c r="C2206">
        <v>0</v>
      </c>
      <c r="D2206">
        <v>0</v>
      </c>
      <c r="E2206">
        <v>0</v>
      </c>
      <c r="F2206">
        <v>0</v>
      </c>
      <c r="G2206">
        <v>0</v>
      </c>
      <c r="H2206">
        <v>0</v>
      </c>
      <c r="I2206" s="2">
        <v>43709</v>
      </c>
      <c r="J2206" s="1"/>
    </row>
    <row r="2207" spans="1:10" x14ac:dyDescent="0.3">
      <c r="A2207">
        <v>2225</v>
      </c>
      <c r="B2207">
        <v>0</v>
      </c>
      <c r="C2207">
        <v>0</v>
      </c>
      <c r="D2207">
        <v>0</v>
      </c>
      <c r="E2207">
        <v>0</v>
      </c>
      <c r="F2207">
        <v>0</v>
      </c>
      <c r="G2207">
        <v>0</v>
      </c>
      <c r="H2207">
        <v>0</v>
      </c>
      <c r="I2207" s="2">
        <v>43709</v>
      </c>
      <c r="J2207" s="1"/>
    </row>
    <row r="2208" spans="1:10" x14ac:dyDescent="0.3">
      <c r="A2208">
        <v>1637</v>
      </c>
      <c r="B2208">
        <v>0</v>
      </c>
      <c r="C2208">
        <v>0</v>
      </c>
      <c r="D2208">
        <v>0</v>
      </c>
      <c r="E2208">
        <v>0</v>
      </c>
      <c r="F2208">
        <v>0</v>
      </c>
      <c r="G2208">
        <v>0</v>
      </c>
      <c r="H2208">
        <v>0</v>
      </c>
      <c r="I2208" s="2">
        <v>43678</v>
      </c>
      <c r="J2208" s="1"/>
    </row>
    <row r="2209" spans="1:10" x14ac:dyDescent="0.3">
      <c r="A2209">
        <v>2048</v>
      </c>
      <c r="B2209">
        <v>0</v>
      </c>
      <c r="C2209">
        <v>0</v>
      </c>
      <c r="D2209">
        <v>0</v>
      </c>
      <c r="E2209">
        <v>0</v>
      </c>
      <c r="F2209">
        <v>0</v>
      </c>
      <c r="G2209">
        <v>0</v>
      </c>
      <c r="H2209">
        <v>0</v>
      </c>
      <c r="I2209" s="2">
        <v>43678</v>
      </c>
      <c r="J2209" s="1"/>
    </row>
    <row r="2210" spans="1:10" x14ac:dyDescent="0.3">
      <c r="A2210">
        <v>2237</v>
      </c>
      <c r="B2210">
        <v>0</v>
      </c>
      <c r="C2210">
        <v>0</v>
      </c>
      <c r="D2210">
        <v>0</v>
      </c>
      <c r="E2210">
        <v>0</v>
      </c>
      <c r="F2210">
        <v>0</v>
      </c>
      <c r="G2210">
        <v>0</v>
      </c>
      <c r="H2210">
        <v>1</v>
      </c>
      <c r="I2210" s="2">
        <v>43678</v>
      </c>
      <c r="J2210" s="1"/>
    </row>
    <row r="2211" spans="1:10" x14ac:dyDescent="0.3">
      <c r="A2211">
        <v>2813</v>
      </c>
      <c r="B2211">
        <v>0</v>
      </c>
      <c r="C2211">
        <v>0</v>
      </c>
      <c r="D2211">
        <v>0</v>
      </c>
      <c r="E2211">
        <v>0</v>
      </c>
      <c r="F2211">
        <v>0</v>
      </c>
      <c r="G2211">
        <v>0</v>
      </c>
      <c r="H2211">
        <v>0</v>
      </c>
      <c r="I2211" s="2">
        <v>43678</v>
      </c>
      <c r="J2211" s="1"/>
    </row>
    <row r="2212" spans="1:10" x14ac:dyDescent="0.3">
      <c r="A2212">
        <v>3092</v>
      </c>
      <c r="B2212">
        <v>0</v>
      </c>
      <c r="C2212">
        <v>0</v>
      </c>
      <c r="D2212">
        <v>0</v>
      </c>
      <c r="E2212">
        <v>0</v>
      </c>
      <c r="F2212">
        <v>0</v>
      </c>
      <c r="G2212">
        <v>0</v>
      </c>
      <c r="H2212">
        <v>0</v>
      </c>
      <c r="I2212" s="2">
        <v>43678</v>
      </c>
      <c r="J2212" s="1"/>
    </row>
    <row r="2213" spans="1:10" x14ac:dyDescent="0.3">
      <c r="A2213">
        <v>2460</v>
      </c>
      <c r="B2213">
        <v>0</v>
      </c>
      <c r="C2213">
        <v>0</v>
      </c>
      <c r="D2213">
        <v>0</v>
      </c>
      <c r="E2213">
        <v>0</v>
      </c>
      <c r="F2213">
        <v>0</v>
      </c>
      <c r="G2213">
        <v>0</v>
      </c>
      <c r="H2213">
        <v>0</v>
      </c>
      <c r="I2213" s="2">
        <v>43647</v>
      </c>
      <c r="J2213" s="1"/>
    </row>
    <row r="2214" spans="1:10" x14ac:dyDescent="0.3">
      <c r="A2214">
        <v>2951</v>
      </c>
      <c r="B2214">
        <v>0</v>
      </c>
      <c r="C2214">
        <v>0</v>
      </c>
      <c r="D2214">
        <v>0</v>
      </c>
      <c r="E2214">
        <v>0</v>
      </c>
      <c r="F2214">
        <v>0</v>
      </c>
      <c r="G2214">
        <v>0</v>
      </c>
      <c r="H2214">
        <v>0</v>
      </c>
      <c r="I2214" s="2">
        <v>43647</v>
      </c>
      <c r="J2214" s="1"/>
    </row>
    <row r="2215" spans="1:10" x14ac:dyDescent="0.3">
      <c r="A2215">
        <v>3160</v>
      </c>
      <c r="B2215">
        <v>0</v>
      </c>
      <c r="C2215">
        <v>0</v>
      </c>
      <c r="D2215">
        <v>0</v>
      </c>
      <c r="E2215">
        <v>0</v>
      </c>
      <c r="F2215">
        <v>0</v>
      </c>
      <c r="G2215">
        <v>0</v>
      </c>
      <c r="H2215">
        <v>0</v>
      </c>
      <c r="I2215" s="2">
        <v>43647</v>
      </c>
      <c r="J2215" s="1"/>
    </row>
    <row r="2216" spans="1:10" x14ac:dyDescent="0.3">
      <c r="A2216">
        <v>1705</v>
      </c>
      <c r="B2216">
        <v>1</v>
      </c>
      <c r="C2216">
        <v>0</v>
      </c>
      <c r="D2216">
        <v>0</v>
      </c>
      <c r="E2216">
        <v>0</v>
      </c>
      <c r="F2216">
        <v>0</v>
      </c>
      <c r="G2216">
        <v>0</v>
      </c>
      <c r="H2216">
        <v>1</v>
      </c>
      <c r="I2216" s="2">
        <v>43617</v>
      </c>
      <c r="J2216" s="1"/>
    </row>
    <row r="2217" spans="1:10" x14ac:dyDescent="0.3">
      <c r="A2217">
        <v>1957</v>
      </c>
      <c r="B2217">
        <v>0</v>
      </c>
      <c r="C2217">
        <v>0</v>
      </c>
      <c r="D2217">
        <v>1</v>
      </c>
      <c r="E2217">
        <v>0</v>
      </c>
      <c r="F2217">
        <v>0</v>
      </c>
      <c r="G2217">
        <v>0</v>
      </c>
      <c r="H2217">
        <v>0</v>
      </c>
      <c r="I2217" s="2">
        <v>43617</v>
      </c>
      <c r="J2217" s="1"/>
    </row>
    <row r="2218" spans="1:10" x14ac:dyDescent="0.3">
      <c r="A2218">
        <v>3004</v>
      </c>
      <c r="B2218">
        <v>0</v>
      </c>
      <c r="C2218">
        <v>0</v>
      </c>
      <c r="D2218">
        <v>0</v>
      </c>
      <c r="E2218">
        <v>0</v>
      </c>
      <c r="F2218">
        <v>0</v>
      </c>
      <c r="G2218">
        <v>0</v>
      </c>
      <c r="H2218">
        <v>0</v>
      </c>
      <c r="I2218" s="2">
        <v>43617</v>
      </c>
      <c r="J2218" s="1"/>
    </row>
    <row r="2219" spans="1:10" x14ac:dyDescent="0.3">
      <c r="A2219">
        <v>3162</v>
      </c>
      <c r="B2219">
        <v>1</v>
      </c>
      <c r="C2219">
        <v>0</v>
      </c>
      <c r="D2219">
        <v>0</v>
      </c>
      <c r="E2219">
        <v>0</v>
      </c>
      <c r="F2219">
        <v>0</v>
      </c>
      <c r="G2219">
        <v>0</v>
      </c>
      <c r="H2219">
        <v>1</v>
      </c>
      <c r="I2219" s="2">
        <v>43617</v>
      </c>
      <c r="J2219" s="1"/>
    </row>
    <row r="2220" spans="1:10" x14ac:dyDescent="0.3">
      <c r="A2220">
        <v>2343</v>
      </c>
      <c r="B2220">
        <v>0</v>
      </c>
      <c r="C2220">
        <v>0</v>
      </c>
      <c r="D2220">
        <v>0</v>
      </c>
      <c r="E2220">
        <v>0</v>
      </c>
      <c r="F2220">
        <v>0</v>
      </c>
      <c r="G2220">
        <v>0</v>
      </c>
      <c r="H2220">
        <v>0</v>
      </c>
      <c r="I2220" s="2">
        <v>43586</v>
      </c>
      <c r="J2220" s="1"/>
    </row>
    <row r="2221" spans="1:10" x14ac:dyDescent="0.3">
      <c r="A2221">
        <v>2236</v>
      </c>
      <c r="B2221">
        <v>0</v>
      </c>
      <c r="C2221">
        <v>0</v>
      </c>
      <c r="D2221">
        <v>0</v>
      </c>
      <c r="E2221">
        <v>0</v>
      </c>
      <c r="F2221">
        <v>0</v>
      </c>
      <c r="G2221">
        <v>0</v>
      </c>
      <c r="H2221">
        <v>1</v>
      </c>
      <c r="I2221" s="2">
        <v>43556</v>
      </c>
      <c r="J2221" s="1"/>
    </row>
  </sheetData>
  <phoneticPr fontId="18" type="noConversion"/>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221"/>
  <sheetViews>
    <sheetView workbookViewId="0">
      <selection activeCell="A2" sqref="A2:A2221"/>
    </sheetView>
  </sheetViews>
  <sheetFormatPr defaultRowHeight="14.4" x14ac:dyDescent="0.3"/>
  <cols>
    <col min="2" max="2" width="9.6640625" customWidth="1"/>
    <col min="6" max="6" width="9.6640625" customWidth="1"/>
    <col min="8" max="8" width="10.109375" customWidth="1"/>
    <col min="9" max="9" width="9" customWidth="1"/>
    <col min="11" max="11" width="9.5546875" customWidth="1"/>
    <col min="12" max="12" width="9.109375" customWidth="1"/>
  </cols>
  <sheetData>
    <row r="1" spans="1:14" x14ac:dyDescent="0.3">
      <c r="A1" t="s">
        <v>0</v>
      </c>
      <c r="B1" t="s">
        <v>421</v>
      </c>
      <c r="C1" t="s">
        <v>422</v>
      </c>
      <c r="D1" t="s">
        <v>423</v>
      </c>
      <c r="E1" t="s">
        <v>424</v>
      </c>
      <c r="F1" t="s">
        <v>425</v>
      </c>
      <c r="G1" t="s">
        <v>426</v>
      </c>
      <c r="H1" t="s">
        <v>427</v>
      </c>
      <c r="I1" t="s">
        <v>428</v>
      </c>
      <c r="J1" t="s">
        <v>429</v>
      </c>
      <c r="K1" t="s">
        <v>430</v>
      </c>
      <c r="L1" t="s">
        <v>431</v>
      </c>
      <c r="M1" t="s">
        <v>432</v>
      </c>
      <c r="N1" t="s">
        <v>433</v>
      </c>
    </row>
    <row r="2" spans="1:14" hidden="1" x14ac:dyDescent="0.3">
      <c r="A2">
        <v>1428</v>
      </c>
      <c r="B2">
        <v>99</v>
      </c>
      <c r="C2">
        <v>0</v>
      </c>
      <c r="D2">
        <v>36</v>
      </c>
      <c r="E2">
        <v>18</v>
      </c>
      <c r="F2">
        <v>42</v>
      </c>
      <c r="G2">
        <v>36</v>
      </c>
      <c r="H2">
        <v>72</v>
      </c>
      <c r="I2">
        <v>60</v>
      </c>
      <c r="J2">
        <v>1</v>
      </c>
      <c r="K2">
        <v>1</v>
      </c>
      <c r="L2">
        <v>0</v>
      </c>
      <c r="M2">
        <v>3</v>
      </c>
      <c r="N2">
        <v>8</v>
      </c>
    </row>
    <row r="3" spans="1:14" hidden="1" x14ac:dyDescent="0.3">
      <c r="A3">
        <v>2152</v>
      </c>
      <c r="B3">
        <v>99</v>
      </c>
      <c r="C3">
        <v>0</v>
      </c>
      <c r="D3">
        <v>36</v>
      </c>
      <c r="E3">
        <v>18</v>
      </c>
      <c r="F3">
        <v>42</v>
      </c>
      <c r="G3">
        <v>36</v>
      </c>
      <c r="H3">
        <v>72</v>
      </c>
      <c r="I3">
        <v>60</v>
      </c>
      <c r="J3">
        <v>1</v>
      </c>
      <c r="K3">
        <v>1</v>
      </c>
      <c r="L3">
        <v>0</v>
      </c>
      <c r="M3">
        <v>3</v>
      </c>
      <c r="N3">
        <v>8</v>
      </c>
    </row>
    <row r="4" spans="1:14" hidden="1" x14ac:dyDescent="0.3">
      <c r="A4">
        <v>2014</v>
      </c>
      <c r="B4">
        <v>99</v>
      </c>
      <c r="C4">
        <v>21</v>
      </c>
      <c r="D4">
        <v>42</v>
      </c>
      <c r="E4">
        <v>55</v>
      </c>
      <c r="F4">
        <v>13</v>
      </c>
      <c r="G4">
        <v>34</v>
      </c>
      <c r="H4">
        <v>68</v>
      </c>
      <c r="I4">
        <v>97</v>
      </c>
      <c r="J4">
        <v>1</v>
      </c>
      <c r="K4">
        <v>1</v>
      </c>
      <c r="L4">
        <v>0</v>
      </c>
      <c r="M4">
        <v>3</v>
      </c>
      <c r="N4">
        <v>8</v>
      </c>
    </row>
    <row r="5" spans="1:14" hidden="1" x14ac:dyDescent="0.3">
      <c r="A5">
        <v>2660</v>
      </c>
      <c r="B5">
        <v>99</v>
      </c>
      <c r="C5">
        <v>81</v>
      </c>
      <c r="D5">
        <v>0</v>
      </c>
      <c r="E5">
        <v>27</v>
      </c>
      <c r="F5">
        <v>0</v>
      </c>
      <c r="G5">
        <v>3</v>
      </c>
      <c r="H5">
        <v>13</v>
      </c>
      <c r="I5">
        <v>98</v>
      </c>
      <c r="J5">
        <v>1</v>
      </c>
      <c r="K5">
        <v>1</v>
      </c>
      <c r="L5">
        <v>0</v>
      </c>
      <c r="M5">
        <v>3</v>
      </c>
      <c r="N5">
        <v>5</v>
      </c>
    </row>
    <row r="6" spans="1:14" hidden="1" x14ac:dyDescent="0.3">
      <c r="A6">
        <v>1196</v>
      </c>
      <c r="B6">
        <v>99</v>
      </c>
      <c r="C6">
        <v>175</v>
      </c>
      <c r="D6">
        <v>0</v>
      </c>
      <c r="E6">
        <v>23</v>
      </c>
      <c r="F6">
        <v>0</v>
      </c>
      <c r="G6">
        <v>0</v>
      </c>
      <c r="H6">
        <v>13</v>
      </c>
      <c r="I6">
        <v>184</v>
      </c>
      <c r="J6">
        <v>1</v>
      </c>
      <c r="K6">
        <v>2</v>
      </c>
      <c r="L6">
        <v>0</v>
      </c>
      <c r="M6">
        <v>3</v>
      </c>
      <c r="N6">
        <v>6</v>
      </c>
    </row>
    <row r="7" spans="1:14" hidden="1" x14ac:dyDescent="0.3">
      <c r="A7">
        <v>1706</v>
      </c>
      <c r="B7">
        <v>99</v>
      </c>
      <c r="C7">
        <v>175</v>
      </c>
      <c r="D7">
        <v>0</v>
      </c>
      <c r="E7">
        <v>23</v>
      </c>
      <c r="F7">
        <v>0</v>
      </c>
      <c r="G7">
        <v>0</v>
      </c>
      <c r="H7">
        <v>13</v>
      </c>
      <c r="I7">
        <v>184</v>
      </c>
      <c r="J7">
        <v>1</v>
      </c>
      <c r="K7">
        <v>2</v>
      </c>
      <c r="L7">
        <v>0</v>
      </c>
      <c r="M7">
        <v>3</v>
      </c>
      <c r="N7">
        <v>6</v>
      </c>
    </row>
    <row r="8" spans="1:14" hidden="1" x14ac:dyDescent="0.3">
      <c r="A8">
        <v>1037</v>
      </c>
      <c r="B8">
        <v>99</v>
      </c>
      <c r="C8">
        <v>185</v>
      </c>
      <c r="D8">
        <v>0</v>
      </c>
      <c r="E8">
        <v>20</v>
      </c>
      <c r="F8">
        <v>7</v>
      </c>
      <c r="G8">
        <v>0</v>
      </c>
      <c r="H8">
        <v>13</v>
      </c>
      <c r="I8">
        <v>198</v>
      </c>
      <c r="J8">
        <v>2</v>
      </c>
      <c r="K8">
        <v>1</v>
      </c>
      <c r="L8">
        <v>1</v>
      </c>
      <c r="M8">
        <v>3</v>
      </c>
      <c r="N8">
        <v>5</v>
      </c>
    </row>
    <row r="9" spans="1:14" hidden="1" x14ac:dyDescent="0.3">
      <c r="A9">
        <v>1590</v>
      </c>
      <c r="B9">
        <v>99</v>
      </c>
      <c r="C9">
        <v>185</v>
      </c>
      <c r="D9">
        <v>0</v>
      </c>
      <c r="E9">
        <v>20</v>
      </c>
      <c r="F9">
        <v>7</v>
      </c>
      <c r="G9">
        <v>0</v>
      </c>
      <c r="H9">
        <v>13</v>
      </c>
      <c r="I9">
        <v>198</v>
      </c>
      <c r="J9">
        <v>2</v>
      </c>
      <c r="K9">
        <v>1</v>
      </c>
      <c r="L9">
        <v>1</v>
      </c>
      <c r="M9">
        <v>3</v>
      </c>
      <c r="N9">
        <v>5</v>
      </c>
    </row>
    <row r="10" spans="1:14" hidden="1" x14ac:dyDescent="0.3">
      <c r="A10">
        <v>2449</v>
      </c>
      <c r="B10">
        <v>99</v>
      </c>
      <c r="C10">
        <v>347</v>
      </c>
      <c r="D10">
        <v>49</v>
      </c>
      <c r="E10">
        <v>1136</v>
      </c>
      <c r="F10">
        <v>386</v>
      </c>
      <c r="G10">
        <v>0</v>
      </c>
      <c r="H10">
        <v>296</v>
      </c>
      <c r="I10">
        <v>1623</v>
      </c>
      <c r="J10">
        <v>1</v>
      </c>
      <c r="K10">
        <v>8</v>
      </c>
      <c r="L10">
        <v>5</v>
      </c>
      <c r="M10">
        <v>4</v>
      </c>
      <c r="N10">
        <v>7</v>
      </c>
    </row>
    <row r="11" spans="1:14" hidden="1" x14ac:dyDescent="0.3">
      <c r="A11">
        <v>1475</v>
      </c>
      <c r="B11">
        <v>99</v>
      </c>
      <c r="C11">
        <v>584</v>
      </c>
      <c r="D11">
        <v>6</v>
      </c>
      <c r="E11">
        <v>278</v>
      </c>
      <c r="F11">
        <v>47</v>
      </c>
      <c r="G11">
        <v>16</v>
      </c>
      <c r="H11">
        <v>44</v>
      </c>
      <c r="I11">
        <v>888</v>
      </c>
      <c r="J11">
        <v>2</v>
      </c>
      <c r="K11">
        <v>6</v>
      </c>
      <c r="L11">
        <v>1</v>
      </c>
      <c r="M11">
        <v>5</v>
      </c>
      <c r="N11">
        <v>8</v>
      </c>
    </row>
    <row r="12" spans="1:14" hidden="1" x14ac:dyDescent="0.3">
      <c r="A12">
        <v>2869</v>
      </c>
      <c r="B12">
        <v>99</v>
      </c>
      <c r="C12">
        <v>665</v>
      </c>
      <c r="D12">
        <v>209</v>
      </c>
      <c r="E12">
        <v>506</v>
      </c>
      <c r="F12">
        <v>431</v>
      </c>
      <c r="G12">
        <v>34</v>
      </c>
      <c r="H12">
        <v>105</v>
      </c>
      <c r="I12">
        <v>1741</v>
      </c>
      <c r="J12">
        <v>1</v>
      </c>
      <c r="K12">
        <v>2</v>
      </c>
      <c r="L12">
        <v>3</v>
      </c>
      <c r="M12">
        <v>5</v>
      </c>
      <c r="N12">
        <v>1</v>
      </c>
    </row>
    <row r="13" spans="1:14" hidden="1" x14ac:dyDescent="0.3">
      <c r="A13">
        <v>2518</v>
      </c>
      <c r="B13">
        <v>99</v>
      </c>
      <c r="C13">
        <v>673</v>
      </c>
      <c r="D13">
        <v>96</v>
      </c>
      <c r="E13">
        <v>1766</v>
      </c>
      <c r="F13">
        <v>375</v>
      </c>
      <c r="G13">
        <v>416</v>
      </c>
      <c r="H13">
        <v>159</v>
      </c>
      <c r="I13">
        <v>3167</v>
      </c>
      <c r="J13">
        <v>1</v>
      </c>
      <c r="K13">
        <v>5</v>
      </c>
      <c r="L13">
        <v>4</v>
      </c>
      <c r="M13">
        <v>10</v>
      </c>
      <c r="N13">
        <v>3</v>
      </c>
    </row>
    <row r="14" spans="1:14" hidden="1" x14ac:dyDescent="0.3">
      <c r="A14">
        <v>1681</v>
      </c>
      <c r="B14">
        <v>99</v>
      </c>
      <c r="C14">
        <v>728</v>
      </c>
      <c r="D14">
        <v>25</v>
      </c>
      <c r="E14">
        <v>701</v>
      </c>
      <c r="F14">
        <v>75</v>
      </c>
      <c r="G14">
        <v>59</v>
      </c>
      <c r="H14">
        <v>77</v>
      </c>
      <c r="I14">
        <v>1510</v>
      </c>
      <c r="J14">
        <v>3</v>
      </c>
      <c r="K14">
        <v>9</v>
      </c>
      <c r="L14">
        <v>3</v>
      </c>
      <c r="M14">
        <v>5</v>
      </c>
      <c r="N14">
        <v>4</v>
      </c>
    </row>
    <row r="15" spans="1:14" hidden="1" x14ac:dyDescent="0.3">
      <c r="A15">
        <v>1667</v>
      </c>
      <c r="B15">
        <v>99</v>
      </c>
      <c r="C15">
        <v>932</v>
      </c>
      <c r="D15">
        <v>45</v>
      </c>
      <c r="E15">
        <v>316</v>
      </c>
      <c r="F15">
        <v>118</v>
      </c>
      <c r="G15">
        <v>120</v>
      </c>
      <c r="H15">
        <v>195</v>
      </c>
      <c r="I15">
        <v>1335</v>
      </c>
      <c r="J15">
        <v>2</v>
      </c>
      <c r="K15">
        <v>5</v>
      </c>
      <c r="L15">
        <v>2</v>
      </c>
      <c r="M15">
        <v>11</v>
      </c>
      <c r="N15">
        <v>4</v>
      </c>
    </row>
    <row r="16" spans="1:14" hidden="1" x14ac:dyDescent="0.3">
      <c r="A16">
        <v>2795</v>
      </c>
      <c r="B16">
        <v>99</v>
      </c>
      <c r="C16">
        <v>941</v>
      </c>
      <c r="D16">
        <v>44</v>
      </c>
      <c r="E16">
        <v>1034</v>
      </c>
      <c r="F16">
        <v>208</v>
      </c>
      <c r="G16">
        <v>91</v>
      </c>
      <c r="H16">
        <v>158</v>
      </c>
      <c r="I16">
        <v>2159</v>
      </c>
      <c r="J16">
        <v>3</v>
      </c>
      <c r="K16">
        <v>5</v>
      </c>
      <c r="L16">
        <v>3</v>
      </c>
      <c r="M16">
        <v>5</v>
      </c>
      <c r="N16">
        <v>4</v>
      </c>
    </row>
    <row r="17" spans="1:14" hidden="1" x14ac:dyDescent="0.3">
      <c r="A17">
        <v>2775</v>
      </c>
      <c r="B17">
        <v>99</v>
      </c>
      <c r="C17">
        <v>1031</v>
      </c>
      <c r="D17">
        <v>86</v>
      </c>
      <c r="E17">
        <v>635</v>
      </c>
      <c r="F17">
        <v>428</v>
      </c>
      <c r="G17">
        <v>86</v>
      </c>
      <c r="H17">
        <v>416</v>
      </c>
      <c r="I17">
        <v>1850</v>
      </c>
      <c r="J17">
        <v>2</v>
      </c>
      <c r="K17">
        <v>7</v>
      </c>
      <c r="L17">
        <v>7</v>
      </c>
      <c r="M17">
        <v>10</v>
      </c>
      <c r="N17">
        <v>3</v>
      </c>
    </row>
    <row r="18" spans="1:14" hidden="1" x14ac:dyDescent="0.3">
      <c r="A18">
        <v>1529</v>
      </c>
      <c r="B18">
        <v>98</v>
      </c>
      <c r="C18">
        <v>40</v>
      </c>
      <c r="D18">
        <v>20</v>
      </c>
      <c r="E18">
        <v>51</v>
      </c>
      <c r="F18">
        <v>30</v>
      </c>
      <c r="G18">
        <v>35</v>
      </c>
      <c r="H18">
        <v>30</v>
      </c>
      <c r="I18">
        <v>146</v>
      </c>
      <c r="J18">
        <v>2</v>
      </c>
      <c r="K18">
        <v>2</v>
      </c>
      <c r="L18">
        <v>0</v>
      </c>
      <c r="M18">
        <v>4</v>
      </c>
      <c r="N18">
        <v>5</v>
      </c>
    </row>
    <row r="19" spans="1:14" hidden="1" x14ac:dyDescent="0.3">
      <c r="A19">
        <v>3004</v>
      </c>
      <c r="B19">
        <v>98</v>
      </c>
      <c r="C19">
        <v>72</v>
      </c>
      <c r="D19">
        <v>244</v>
      </c>
      <c r="E19">
        <v>244</v>
      </c>
      <c r="F19">
        <v>186</v>
      </c>
      <c r="G19">
        <v>201</v>
      </c>
      <c r="H19">
        <v>487</v>
      </c>
      <c r="I19">
        <v>459</v>
      </c>
      <c r="J19">
        <v>4</v>
      </c>
      <c r="K19">
        <v>2</v>
      </c>
      <c r="L19">
        <v>1</v>
      </c>
      <c r="M19">
        <v>3</v>
      </c>
      <c r="N19">
        <v>9</v>
      </c>
    </row>
    <row r="20" spans="1:14" hidden="1" x14ac:dyDescent="0.3">
      <c r="A20">
        <v>2687</v>
      </c>
      <c r="B20">
        <v>98</v>
      </c>
      <c r="C20">
        <v>151</v>
      </c>
      <c r="D20">
        <v>7</v>
      </c>
      <c r="E20">
        <v>38</v>
      </c>
      <c r="F20">
        <v>7</v>
      </c>
      <c r="G20">
        <v>10</v>
      </c>
      <c r="H20">
        <v>24</v>
      </c>
      <c r="I20">
        <v>189</v>
      </c>
      <c r="J20">
        <v>1</v>
      </c>
      <c r="K20">
        <v>1</v>
      </c>
      <c r="L20">
        <v>0</v>
      </c>
      <c r="M20">
        <v>4</v>
      </c>
      <c r="N20">
        <v>5</v>
      </c>
    </row>
    <row r="21" spans="1:14" hidden="1" x14ac:dyDescent="0.3">
      <c r="A21">
        <v>2136</v>
      </c>
      <c r="B21">
        <v>98</v>
      </c>
      <c r="C21">
        <v>187</v>
      </c>
      <c r="D21">
        <v>0</v>
      </c>
      <c r="E21">
        <v>59</v>
      </c>
      <c r="F21">
        <v>0</v>
      </c>
      <c r="G21">
        <v>0</v>
      </c>
      <c r="H21">
        <v>11</v>
      </c>
      <c r="I21">
        <v>235</v>
      </c>
      <c r="J21">
        <v>4</v>
      </c>
      <c r="K21">
        <v>2</v>
      </c>
      <c r="L21">
        <v>1</v>
      </c>
      <c r="M21">
        <v>3</v>
      </c>
      <c r="N21">
        <v>7</v>
      </c>
    </row>
    <row r="22" spans="1:14" hidden="1" x14ac:dyDescent="0.3">
      <c r="A22">
        <v>3133</v>
      </c>
      <c r="B22">
        <v>98</v>
      </c>
      <c r="C22">
        <v>258</v>
      </c>
      <c r="D22">
        <v>4</v>
      </c>
      <c r="E22">
        <v>83</v>
      </c>
      <c r="F22">
        <v>17</v>
      </c>
      <c r="G22">
        <v>0</v>
      </c>
      <c r="H22">
        <v>29</v>
      </c>
      <c r="I22">
        <v>333</v>
      </c>
      <c r="J22">
        <v>2</v>
      </c>
      <c r="K22">
        <v>2</v>
      </c>
      <c r="L22">
        <v>1</v>
      </c>
      <c r="M22">
        <v>3</v>
      </c>
      <c r="N22">
        <v>8</v>
      </c>
    </row>
    <row r="23" spans="1:14" hidden="1" x14ac:dyDescent="0.3">
      <c r="A23">
        <v>1906</v>
      </c>
      <c r="B23">
        <v>98</v>
      </c>
      <c r="C23">
        <v>372</v>
      </c>
      <c r="D23">
        <v>143</v>
      </c>
      <c r="E23">
        <v>1106</v>
      </c>
      <c r="F23">
        <v>51</v>
      </c>
      <c r="G23">
        <v>122</v>
      </c>
      <c r="H23">
        <v>586</v>
      </c>
      <c r="I23">
        <v>1208</v>
      </c>
      <c r="J23">
        <v>3</v>
      </c>
      <c r="K23">
        <v>6</v>
      </c>
      <c r="L23">
        <v>1</v>
      </c>
      <c r="M23">
        <v>6</v>
      </c>
      <c r="N23">
        <v>8</v>
      </c>
    </row>
    <row r="24" spans="1:14" hidden="1" x14ac:dyDescent="0.3">
      <c r="A24">
        <v>2684</v>
      </c>
      <c r="B24">
        <v>98</v>
      </c>
      <c r="C24">
        <v>566</v>
      </c>
      <c r="D24">
        <v>34</v>
      </c>
      <c r="E24">
        <v>88</v>
      </c>
      <c r="F24">
        <v>9</v>
      </c>
      <c r="G24">
        <v>34</v>
      </c>
      <c r="H24">
        <v>20</v>
      </c>
      <c r="I24">
        <v>711</v>
      </c>
      <c r="J24">
        <v>1</v>
      </c>
      <c r="K24">
        <v>3</v>
      </c>
      <c r="L24">
        <v>3</v>
      </c>
      <c r="M24">
        <v>5</v>
      </c>
      <c r="N24">
        <v>3</v>
      </c>
    </row>
    <row r="25" spans="1:14" hidden="1" x14ac:dyDescent="0.3">
      <c r="A25">
        <v>2037</v>
      </c>
      <c r="B25">
        <v>98</v>
      </c>
      <c r="C25">
        <v>643</v>
      </c>
      <c r="D25">
        <v>17</v>
      </c>
      <c r="E25">
        <v>178</v>
      </c>
      <c r="F25">
        <v>0</v>
      </c>
      <c r="G25">
        <v>17</v>
      </c>
      <c r="H25">
        <v>50</v>
      </c>
      <c r="I25">
        <v>804</v>
      </c>
      <c r="J25">
        <v>4</v>
      </c>
      <c r="K25">
        <v>6</v>
      </c>
      <c r="L25">
        <v>1</v>
      </c>
      <c r="M25">
        <v>4</v>
      </c>
      <c r="N25">
        <v>8</v>
      </c>
    </row>
    <row r="26" spans="1:14" hidden="1" x14ac:dyDescent="0.3">
      <c r="A26">
        <v>3016</v>
      </c>
      <c r="B26">
        <v>98</v>
      </c>
      <c r="C26">
        <v>953</v>
      </c>
      <c r="D26">
        <v>196</v>
      </c>
      <c r="E26">
        <v>1431</v>
      </c>
      <c r="F26">
        <v>35</v>
      </c>
      <c r="G26">
        <v>224</v>
      </c>
      <c r="H26">
        <v>224</v>
      </c>
      <c r="I26">
        <v>2615</v>
      </c>
      <c r="J26">
        <v>10</v>
      </c>
      <c r="K26">
        <v>4</v>
      </c>
      <c r="L26">
        <v>6</v>
      </c>
      <c r="M26">
        <v>9</v>
      </c>
      <c r="N26">
        <v>7</v>
      </c>
    </row>
    <row r="27" spans="1:14" hidden="1" x14ac:dyDescent="0.3">
      <c r="A27">
        <v>1777</v>
      </c>
      <c r="B27">
        <v>98</v>
      </c>
      <c r="C27">
        <v>1159</v>
      </c>
      <c r="D27">
        <v>68</v>
      </c>
      <c r="E27">
        <v>329</v>
      </c>
      <c r="F27">
        <v>182</v>
      </c>
      <c r="G27">
        <v>34</v>
      </c>
      <c r="H27">
        <v>85</v>
      </c>
      <c r="I27">
        <v>1687</v>
      </c>
      <c r="J27">
        <v>3</v>
      </c>
      <c r="K27">
        <v>10</v>
      </c>
      <c r="L27">
        <v>3</v>
      </c>
      <c r="M27">
        <v>7</v>
      </c>
      <c r="N27">
        <v>6</v>
      </c>
    </row>
    <row r="28" spans="1:14" hidden="1" x14ac:dyDescent="0.3">
      <c r="A28">
        <v>1180</v>
      </c>
      <c r="B28">
        <v>98</v>
      </c>
      <c r="C28">
        <v>1162</v>
      </c>
      <c r="D28">
        <v>55</v>
      </c>
      <c r="E28">
        <v>1077</v>
      </c>
      <c r="F28">
        <v>366</v>
      </c>
      <c r="G28">
        <v>282</v>
      </c>
      <c r="H28">
        <v>254</v>
      </c>
      <c r="I28">
        <v>2688</v>
      </c>
      <c r="J28">
        <v>1</v>
      </c>
      <c r="K28">
        <v>8</v>
      </c>
      <c r="L28">
        <v>7</v>
      </c>
      <c r="M28">
        <v>12</v>
      </c>
      <c r="N28">
        <v>3</v>
      </c>
    </row>
    <row r="29" spans="1:14" hidden="1" x14ac:dyDescent="0.3">
      <c r="A29">
        <v>1818</v>
      </c>
      <c r="B29">
        <v>98</v>
      </c>
      <c r="C29">
        <v>1252</v>
      </c>
      <c r="D29">
        <v>111</v>
      </c>
      <c r="E29">
        <v>1721</v>
      </c>
      <c r="F29">
        <v>62</v>
      </c>
      <c r="G29">
        <v>69</v>
      </c>
      <c r="H29">
        <v>416</v>
      </c>
      <c r="I29">
        <v>2800</v>
      </c>
      <c r="J29">
        <v>1</v>
      </c>
      <c r="K29">
        <v>7</v>
      </c>
      <c r="L29">
        <v>7</v>
      </c>
      <c r="M29">
        <v>12</v>
      </c>
      <c r="N29">
        <v>3</v>
      </c>
    </row>
    <row r="30" spans="1:14" hidden="1" x14ac:dyDescent="0.3">
      <c r="A30">
        <v>1671</v>
      </c>
      <c r="B30">
        <v>98</v>
      </c>
      <c r="C30">
        <v>1366</v>
      </c>
      <c r="D30">
        <v>0</v>
      </c>
      <c r="E30">
        <v>71</v>
      </c>
      <c r="F30">
        <v>18</v>
      </c>
      <c r="G30">
        <v>0</v>
      </c>
      <c r="H30">
        <v>12</v>
      </c>
      <c r="I30">
        <v>1443</v>
      </c>
      <c r="J30">
        <v>6</v>
      </c>
      <c r="K30">
        <v>4</v>
      </c>
      <c r="L30">
        <v>5</v>
      </c>
      <c r="M30">
        <v>7</v>
      </c>
      <c r="N30">
        <v>6</v>
      </c>
    </row>
    <row r="31" spans="1:14" hidden="1" x14ac:dyDescent="0.3">
      <c r="A31">
        <v>2353</v>
      </c>
      <c r="B31">
        <v>98</v>
      </c>
      <c r="C31">
        <v>1366</v>
      </c>
      <c r="D31">
        <v>0</v>
      </c>
      <c r="E31">
        <v>71</v>
      </c>
      <c r="F31">
        <v>18</v>
      </c>
      <c r="G31">
        <v>0</v>
      </c>
      <c r="H31">
        <v>12</v>
      </c>
      <c r="I31">
        <v>1443</v>
      </c>
      <c r="J31">
        <v>6</v>
      </c>
      <c r="K31">
        <v>4</v>
      </c>
      <c r="L31">
        <v>5</v>
      </c>
      <c r="M31">
        <v>7</v>
      </c>
      <c r="N31">
        <v>6</v>
      </c>
    </row>
    <row r="32" spans="1:14" hidden="1" x14ac:dyDescent="0.3">
      <c r="A32">
        <v>2100</v>
      </c>
      <c r="B32">
        <v>98</v>
      </c>
      <c r="C32">
        <v>1588</v>
      </c>
      <c r="D32">
        <v>34</v>
      </c>
      <c r="E32">
        <v>184</v>
      </c>
      <c r="F32">
        <v>72</v>
      </c>
      <c r="G32">
        <v>16</v>
      </c>
      <c r="H32">
        <v>91</v>
      </c>
      <c r="I32">
        <v>1804</v>
      </c>
      <c r="J32">
        <v>5</v>
      </c>
      <c r="K32">
        <v>11</v>
      </c>
      <c r="L32">
        <v>1</v>
      </c>
      <c r="M32">
        <v>6</v>
      </c>
      <c r="N32">
        <v>9</v>
      </c>
    </row>
    <row r="33" spans="1:14" hidden="1" x14ac:dyDescent="0.3">
      <c r="A33">
        <v>2030</v>
      </c>
      <c r="B33">
        <v>98</v>
      </c>
      <c r="C33">
        <v>1746</v>
      </c>
      <c r="D33">
        <v>42</v>
      </c>
      <c r="E33">
        <v>295</v>
      </c>
      <c r="F33">
        <v>55</v>
      </c>
      <c r="G33">
        <v>19</v>
      </c>
      <c r="H33">
        <v>84</v>
      </c>
      <c r="I33">
        <v>2074</v>
      </c>
      <c r="J33">
        <v>6</v>
      </c>
      <c r="K33">
        <v>6</v>
      </c>
      <c r="L33">
        <v>2</v>
      </c>
      <c r="M33">
        <v>11</v>
      </c>
      <c r="N33">
        <v>5</v>
      </c>
    </row>
    <row r="34" spans="1:14" hidden="1" x14ac:dyDescent="0.3">
      <c r="A34">
        <v>2242</v>
      </c>
      <c r="B34">
        <v>98</v>
      </c>
      <c r="C34">
        <v>2065</v>
      </c>
      <c r="D34">
        <v>36</v>
      </c>
      <c r="E34">
        <v>1413</v>
      </c>
      <c r="F34">
        <v>48</v>
      </c>
      <c r="G34">
        <v>71</v>
      </c>
      <c r="H34">
        <v>107</v>
      </c>
      <c r="I34">
        <v>3526</v>
      </c>
      <c r="J34">
        <v>1</v>
      </c>
      <c r="K34">
        <v>6</v>
      </c>
      <c r="L34">
        <v>2</v>
      </c>
      <c r="M34">
        <v>8</v>
      </c>
      <c r="N34">
        <v>2</v>
      </c>
    </row>
    <row r="35" spans="1:14" hidden="1" x14ac:dyDescent="0.3">
      <c r="A35">
        <v>1227</v>
      </c>
      <c r="B35">
        <v>98</v>
      </c>
      <c r="C35">
        <v>2128</v>
      </c>
      <c r="D35">
        <v>144</v>
      </c>
      <c r="E35">
        <v>1788</v>
      </c>
      <c r="F35">
        <v>439</v>
      </c>
      <c r="G35">
        <v>385</v>
      </c>
      <c r="H35">
        <v>47</v>
      </c>
      <c r="I35">
        <v>4836</v>
      </c>
      <c r="J35">
        <v>1</v>
      </c>
      <c r="K35">
        <v>6</v>
      </c>
      <c r="L35">
        <v>5</v>
      </c>
      <c r="M35">
        <v>10</v>
      </c>
      <c r="N35">
        <v>3</v>
      </c>
    </row>
    <row r="36" spans="1:14" hidden="1" x14ac:dyDescent="0.3">
      <c r="A36">
        <v>2218</v>
      </c>
      <c r="B36">
        <v>98</v>
      </c>
      <c r="C36">
        <v>2171</v>
      </c>
      <c r="D36">
        <v>33</v>
      </c>
      <c r="E36">
        <v>902</v>
      </c>
      <c r="F36">
        <v>216</v>
      </c>
      <c r="G36">
        <v>65</v>
      </c>
      <c r="H36">
        <v>166</v>
      </c>
      <c r="I36">
        <v>3221</v>
      </c>
      <c r="J36">
        <v>1</v>
      </c>
      <c r="K36">
        <v>5</v>
      </c>
      <c r="L36">
        <v>6</v>
      </c>
      <c r="M36">
        <v>12</v>
      </c>
      <c r="N36">
        <v>2</v>
      </c>
    </row>
    <row r="37" spans="1:14" hidden="1" x14ac:dyDescent="0.3">
      <c r="A37">
        <v>3094</v>
      </c>
      <c r="B37">
        <v>98</v>
      </c>
      <c r="C37">
        <v>2171</v>
      </c>
      <c r="D37">
        <v>33</v>
      </c>
      <c r="E37">
        <v>902</v>
      </c>
      <c r="F37">
        <v>216</v>
      </c>
      <c r="G37">
        <v>65</v>
      </c>
      <c r="H37">
        <v>166</v>
      </c>
      <c r="I37">
        <v>3221</v>
      </c>
      <c r="J37">
        <v>1</v>
      </c>
      <c r="K37">
        <v>5</v>
      </c>
      <c r="L37">
        <v>6</v>
      </c>
      <c r="M37">
        <v>12</v>
      </c>
      <c r="N37">
        <v>2</v>
      </c>
    </row>
    <row r="38" spans="1:14" hidden="1" x14ac:dyDescent="0.3">
      <c r="A38">
        <v>2757</v>
      </c>
      <c r="B38">
        <v>98</v>
      </c>
      <c r="C38">
        <v>2344</v>
      </c>
      <c r="D38">
        <v>352</v>
      </c>
      <c r="E38">
        <v>428</v>
      </c>
      <c r="F38">
        <v>92</v>
      </c>
      <c r="G38">
        <v>117</v>
      </c>
      <c r="H38">
        <v>76</v>
      </c>
      <c r="I38">
        <v>3257</v>
      </c>
      <c r="J38">
        <v>1</v>
      </c>
      <c r="K38">
        <v>9</v>
      </c>
      <c r="L38">
        <v>4</v>
      </c>
      <c r="M38">
        <v>10</v>
      </c>
      <c r="N38">
        <v>6</v>
      </c>
    </row>
    <row r="39" spans="1:14" hidden="1" x14ac:dyDescent="0.3">
      <c r="A39">
        <v>2347</v>
      </c>
      <c r="B39">
        <v>97</v>
      </c>
      <c r="C39">
        <v>18</v>
      </c>
      <c r="D39">
        <v>15</v>
      </c>
      <c r="E39">
        <v>36</v>
      </c>
      <c r="F39">
        <v>7</v>
      </c>
      <c r="G39">
        <v>7</v>
      </c>
      <c r="H39">
        <v>25</v>
      </c>
      <c r="I39">
        <v>58</v>
      </c>
      <c r="J39">
        <v>1</v>
      </c>
      <c r="K39">
        <v>1</v>
      </c>
      <c r="L39">
        <v>0</v>
      </c>
      <c r="M39">
        <v>3</v>
      </c>
      <c r="N39">
        <v>8</v>
      </c>
    </row>
    <row r="40" spans="1:14" hidden="1" x14ac:dyDescent="0.3">
      <c r="A40">
        <v>2255</v>
      </c>
      <c r="B40">
        <v>97</v>
      </c>
      <c r="C40">
        <v>31</v>
      </c>
      <c r="D40">
        <v>31</v>
      </c>
      <c r="E40">
        <v>151</v>
      </c>
      <c r="F40">
        <v>63</v>
      </c>
      <c r="G40">
        <v>78</v>
      </c>
      <c r="H40">
        <v>42</v>
      </c>
      <c r="I40">
        <v>313</v>
      </c>
      <c r="J40">
        <v>3</v>
      </c>
      <c r="K40">
        <v>2</v>
      </c>
      <c r="L40">
        <v>1</v>
      </c>
      <c r="M40">
        <v>3</v>
      </c>
      <c r="N40">
        <v>8</v>
      </c>
    </row>
    <row r="41" spans="1:14" hidden="1" x14ac:dyDescent="0.3">
      <c r="A41">
        <v>3013</v>
      </c>
      <c r="B41">
        <v>97</v>
      </c>
      <c r="C41">
        <v>39</v>
      </c>
      <c r="D41">
        <v>0</v>
      </c>
      <c r="E41">
        <v>129</v>
      </c>
      <c r="F41">
        <v>54</v>
      </c>
      <c r="G41">
        <v>18</v>
      </c>
      <c r="H41">
        <v>43</v>
      </c>
      <c r="I41">
        <v>197</v>
      </c>
      <c r="J41">
        <v>1</v>
      </c>
      <c r="K41">
        <v>2</v>
      </c>
      <c r="L41">
        <v>0</v>
      </c>
      <c r="M41">
        <v>3</v>
      </c>
      <c r="N41">
        <v>7</v>
      </c>
    </row>
    <row r="42" spans="1:14" hidden="1" x14ac:dyDescent="0.3">
      <c r="A42">
        <v>3029</v>
      </c>
      <c r="B42">
        <v>97</v>
      </c>
      <c r="C42">
        <v>76</v>
      </c>
      <c r="D42">
        <v>0</v>
      </c>
      <c r="E42">
        <v>34</v>
      </c>
      <c r="F42">
        <v>9</v>
      </c>
      <c r="G42">
        <v>0</v>
      </c>
      <c r="H42">
        <v>46</v>
      </c>
      <c r="I42">
        <v>73</v>
      </c>
      <c r="J42">
        <v>1</v>
      </c>
      <c r="K42">
        <v>1</v>
      </c>
      <c r="L42">
        <v>0</v>
      </c>
      <c r="M42">
        <v>3</v>
      </c>
      <c r="N42">
        <v>4</v>
      </c>
    </row>
    <row r="43" spans="1:14" hidden="1" x14ac:dyDescent="0.3">
      <c r="A43">
        <v>2277</v>
      </c>
      <c r="B43">
        <v>97</v>
      </c>
      <c r="C43">
        <v>79</v>
      </c>
      <c r="D43">
        <v>8</v>
      </c>
      <c r="E43">
        <v>55</v>
      </c>
      <c r="F43">
        <v>12</v>
      </c>
      <c r="G43">
        <v>0</v>
      </c>
      <c r="H43">
        <v>39</v>
      </c>
      <c r="I43">
        <v>114</v>
      </c>
      <c r="J43">
        <v>1</v>
      </c>
      <c r="K43">
        <v>2</v>
      </c>
      <c r="L43">
        <v>0</v>
      </c>
      <c r="M43">
        <v>2</v>
      </c>
      <c r="N43">
        <v>9</v>
      </c>
    </row>
    <row r="44" spans="1:14" hidden="1" x14ac:dyDescent="0.3">
      <c r="A44">
        <v>2955</v>
      </c>
      <c r="B44">
        <v>97</v>
      </c>
      <c r="C44">
        <v>142</v>
      </c>
      <c r="D44">
        <v>172</v>
      </c>
      <c r="E44">
        <v>314</v>
      </c>
      <c r="F44">
        <v>56</v>
      </c>
      <c r="G44">
        <v>71</v>
      </c>
      <c r="H44">
        <v>223</v>
      </c>
      <c r="I44">
        <v>532</v>
      </c>
      <c r="J44">
        <v>3</v>
      </c>
      <c r="K44">
        <v>4</v>
      </c>
      <c r="L44">
        <v>0</v>
      </c>
      <c r="M44">
        <v>4</v>
      </c>
      <c r="N44">
        <v>9</v>
      </c>
    </row>
    <row r="45" spans="1:14" hidden="1" x14ac:dyDescent="0.3">
      <c r="A45">
        <v>2980</v>
      </c>
      <c r="B45">
        <v>97</v>
      </c>
      <c r="C45">
        <v>150</v>
      </c>
      <c r="D45">
        <v>0</v>
      </c>
      <c r="E45">
        <v>56</v>
      </c>
      <c r="F45">
        <v>9</v>
      </c>
      <c r="G45">
        <v>0</v>
      </c>
      <c r="H45">
        <v>9</v>
      </c>
      <c r="I45">
        <v>206</v>
      </c>
      <c r="J45">
        <v>2</v>
      </c>
      <c r="K45">
        <v>2</v>
      </c>
      <c r="L45">
        <v>0</v>
      </c>
      <c r="M45">
        <v>3</v>
      </c>
      <c r="N45">
        <v>8</v>
      </c>
    </row>
    <row r="46" spans="1:14" hidden="1" x14ac:dyDescent="0.3">
      <c r="A46">
        <v>2715</v>
      </c>
      <c r="B46">
        <v>97</v>
      </c>
      <c r="C46">
        <v>380</v>
      </c>
      <c r="D46">
        <v>3</v>
      </c>
      <c r="E46">
        <v>34</v>
      </c>
      <c r="F46">
        <v>0</v>
      </c>
      <c r="G46">
        <v>8</v>
      </c>
      <c r="H46">
        <v>89</v>
      </c>
      <c r="I46">
        <v>335</v>
      </c>
      <c r="J46">
        <v>2</v>
      </c>
      <c r="K46">
        <v>4</v>
      </c>
      <c r="L46">
        <v>1</v>
      </c>
      <c r="M46">
        <v>3</v>
      </c>
      <c r="N46">
        <v>6</v>
      </c>
    </row>
    <row r="47" spans="1:14" hidden="1" x14ac:dyDescent="0.3">
      <c r="A47">
        <v>1244</v>
      </c>
      <c r="B47">
        <v>97</v>
      </c>
      <c r="C47">
        <v>438</v>
      </c>
      <c r="D47">
        <v>105</v>
      </c>
      <c r="E47">
        <v>276</v>
      </c>
      <c r="F47">
        <v>89</v>
      </c>
      <c r="G47">
        <v>76</v>
      </c>
      <c r="H47">
        <v>38</v>
      </c>
      <c r="I47">
        <v>946</v>
      </c>
      <c r="J47">
        <v>4</v>
      </c>
      <c r="K47">
        <v>3</v>
      </c>
      <c r="L47">
        <v>2</v>
      </c>
      <c r="M47">
        <v>7</v>
      </c>
      <c r="N47">
        <v>3</v>
      </c>
    </row>
    <row r="48" spans="1:14" hidden="1" x14ac:dyDescent="0.3">
      <c r="A48">
        <v>1494</v>
      </c>
      <c r="B48">
        <v>97</v>
      </c>
      <c r="C48">
        <v>447</v>
      </c>
      <c r="D48">
        <v>4</v>
      </c>
      <c r="E48">
        <v>197</v>
      </c>
      <c r="F48">
        <v>0</v>
      </c>
      <c r="G48">
        <v>4</v>
      </c>
      <c r="H48">
        <v>109</v>
      </c>
      <c r="I48">
        <v>542</v>
      </c>
      <c r="J48">
        <v>3</v>
      </c>
      <c r="K48">
        <v>4</v>
      </c>
      <c r="L48">
        <v>2</v>
      </c>
      <c r="M48">
        <v>3</v>
      </c>
      <c r="N48">
        <v>7</v>
      </c>
    </row>
    <row r="49" spans="1:14" hidden="1" x14ac:dyDescent="0.3">
      <c r="A49">
        <v>2116</v>
      </c>
      <c r="B49">
        <v>97</v>
      </c>
      <c r="C49">
        <v>500</v>
      </c>
      <c r="D49">
        <v>15</v>
      </c>
      <c r="E49">
        <v>322</v>
      </c>
      <c r="F49">
        <v>33</v>
      </c>
      <c r="G49">
        <v>24</v>
      </c>
      <c r="H49">
        <v>87</v>
      </c>
      <c r="I49">
        <v>808</v>
      </c>
      <c r="J49">
        <v>2</v>
      </c>
      <c r="K49">
        <v>5</v>
      </c>
      <c r="L49">
        <v>1</v>
      </c>
      <c r="M49">
        <v>6</v>
      </c>
      <c r="N49">
        <v>6</v>
      </c>
    </row>
    <row r="50" spans="1:14" hidden="1" x14ac:dyDescent="0.3">
      <c r="A50">
        <v>2511</v>
      </c>
      <c r="B50">
        <v>97</v>
      </c>
      <c r="C50">
        <v>550</v>
      </c>
      <c r="D50">
        <v>106</v>
      </c>
      <c r="E50">
        <v>534</v>
      </c>
      <c r="F50">
        <v>127</v>
      </c>
      <c r="G50">
        <v>79</v>
      </c>
      <c r="H50">
        <v>26</v>
      </c>
      <c r="I50">
        <v>1369</v>
      </c>
      <c r="J50">
        <v>6</v>
      </c>
      <c r="K50">
        <v>5</v>
      </c>
      <c r="L50">
        <v>1</v>
      </c>
      <c r="M50">
        <v>5</v>
      </c>
      <c r="N50">
        <v>9</v>
      </c>
    </row>
    <row r="51" spans="1:14" hidden="1" x14ac:dyDescent="0.3">
      <c r="A51">
        <v>2801</v>
      </c>
      <c r="B51">
        <v>97</v>
      </c>
      <c r="C51">
        <v>760</v>
      </c>
      <c r="D51">
        <v>17</v>
      </c>
      <c r="E51">
        <v>154</v>
      </c>
      <c r="F51">
        <v>23</v>
      </c>
      <c r="G51">
        <v>9</v>
      </c>
      <c r="H51">
        <v>142</v>
      </c>
      <c r="I51">
        <v>820</v>
      </c>
      <c r="J51">
        <v>2</v>
      </c>
      <c r="K51">
        <v>5</v>
      </c>
      <c r="L51">
        <v>2</v>
      </c>
      <c r="M51">
        <v>6</v>
      </c>
      <c r="N51">
        <v>5</v>
      </c>
    </row>
    <row r="52" spans="1:14" hidden="1" x14ac:dyDescent="0.3">
      <c r="A52">
        <v>1228</v>
      </c>
      <c r="B52">
        <v>97</v>
      </c>
      <c r="C52">
        <v>970</v>
      </c>
      <c r="D52">
        <v>289</v>
      </c>
      <c r="E52">
        <v>701</v>
      </c>
      <c r="F52">
        <v>190</v>
      </c>
      <c r="G52">
        <v>315</v>
      </c>
      <c r="H52">
        <v>96</v>
      </c>
      <c r="I52">
        <v>2369</v>
      </c>
      <c r="J52">
        <v>2</v>
      </c>
      <c r="K52">
        <v>6</v>
      </c>
      <c r="L52">
        <v>4</v>
      </c>
      <c r="M52">
        <v>4</v>
      </c>
      <c r="N52">
        <v>3</v>
      </c>
    </row>
    <row r="53" spans="1:14" hidden="1" x14ac:dyDescent="0.3">
      <c r="A53">
        <v>2846</v>
      </c>
      <c r="B53">
        <v>97</v>
      </c>
      <c r="C53">
        <v>1001</v>
      </c>
      <c r="D53">
        <v>418</v>
      </c>
      <c r="E53">
        <v>372</v>
      </c>
      <c r="F53">
        <v>364</v>
      </c>
      <c r="G53">
        <v>255</v>
      </c>
      <c r="H53">
        <v>139</v>
      </c>
      <c r="I53">
        <v>2272</v>
      </c>
      <c r="J53">
        <v>2</v>
      </c>
      <c r="K53">
        <v>7</v>
      </c>
      <c r="L53">
        <v>6</v>
      </c>
      <c r="M53">
        <v>11</v>
      </c>
      <c r="N53">
        <v>4</v>
      </c>
    </row>
    <row r="54" spans="1:14" hidden="1" x14ac:dyDescent="0.3">
      <c r="A54">
        <v>1878</v>
      </c>
      <c r="B54">
        <v>97</v>
      </c>
      <c r="C54">
        <v>1721</v>
      </c>
      <c r="D54">
        <v>314</v>
      </c>
      <c r="E54">
        <v>806</v>
      </c>
      <c r="F54">
        <v>364</v>
      </c>
      <c r="G54">
        <v>385</v>
      </c>
      <c r="H54">
        <v>139</v>
      </c>
      <c r="I54">
        <v>3451</v>
      </c>
      <c r="J54">
        <v>2</v>
      </c>
      <c r="K54">
        <v>10</v>
      </c>
      <c r="L54">
        <v>6</v>
      </c>
      <c r="M54">
        <v>7</v>
      </c>
      <c r="N54">
        <v>4</v>
      </c>
    </row>
    <row r="55" spans="1:14" hidden="1" x14ac:dyDescent="0.3">
      <c r="A55">
        <v>2773</v>
      </c>
      <c r="B55">
        <v>97</v>
      </c>
      <c r="C55">
        <v>1892</v>
      </c>
      <c r="D55">
        <v>67</v>
      </c>
      <c r="E55">
        <v>180</v>
      </c>
      <c r="F55">
        <v>28</v>
      </c>
      <c r="G55">
        <v>113</v>
      </c>
      <c r="H55">
        <v>44</v>
      </c>
      <c r="I55">
        <v>2237</v>
      </c>
      <c r="J55">
        <v>2</v>
      </c>
      <c r="K55">
        <v>6</v>
      </c>
      <c r="L55">
        <v>3</v>
      </c>
      <c r="M55">
        <v>4</v>
      </c>
      <c r="N55">
        <v>4</v>
      </c>
    </row>
    <row r="56" spans="1:14" hidden="1" x14ac:dyDescent="0.3">
      <c r="A56">
        <v>2233</v>
      </c>
      <c r="B56">
        <v>97</v>
      </c>
      <c r="C56">
        <v>2295</v>
      </c>
      <c r="D56">
        <v>135</v>
      </c>
      <c r="E56">
        <v>606</v>
      </c>
      <c r="F56">
        <v>263</v>
      </c>
      <c r="G56">
        <v>135</v>
      </c>
      <c r="H56">
        <v>62</v>
      </c>
      <c r="I56">
        <v>3372</v>
      </c>
      <c r="J56">
        <v>2</v>
      </c>
      <c r="K56">
        <v>11</v>
      </c>
      <c r="L56">
        <v>10</v>
      </c>
      <c r="M56">
        <v>11</v>
      </c>
      <c r="N56">
        <v>6</v>
      </c>
    </row>
    <row r="57" spans="1:14" hidden="1" x14ac:dyDescent="0.3">
      <c r="A57">
        <v>2644</v>
      </c>
      <c r="B57">
        <v>97</v>
      </c>
      <c r="C57">
        <v>2295</v>
      </c>
      <c r="D57">
        <v>135</v>
      </c>
      <c r="E57">
        <v>606</v>
      </c>
      <c r="F57">
        <v>263</v>
      </c>
      <c r="G57">
        <v>135</v>
      </c>
      <c r="H57">
        <v>62</v>
      </c>
      <c r="I57">
        <v>3372</v>
      </c>
      <c r="J57">
        <v>2</v>
      </c>
      <c r="K57">
        <v>11</v>
      </c>
      <c r="L57">
        <v>10</v>
      </c>
      <c r="M57">
        <v>11</v>
      </c>
      <c r="N57">
        <v>6</v>
      </c>
    </row>
    <row r="58" spans="1:14" hidden="1" x14ac:dyDescent="0.3">
      <c r="A58">
        <v>1807</v>
      </c>
      <c r="B58">
        <v>97</v>
      </c>
      <c r="C58">
        <v>2648</v>
      </c>
      <c r="D58">
        <v>31</v>
      </c>
      <c r="E58">
        <v>594</v>
      </c>
      <c r="F58">
        <v>41</v>
      </c>
      <c r="G58">
        <v>0</v>
      </c>
      <c r="H58">
        <v>31</v>
      </c>
      <c r="I58">
        <v>3284</v>
      </c>
      <c r="J58">
        <v>3</v>
      </c>
      <c r="K58">
        <v>3</v>
      </c>
      <c r="L58">
        <v>4</v>
      </c>
      <c r="M58">
        <v>7</v>
      </c>
      <c r="N58">
        <v>5</v>
      </c>
    </row>
    <row r="59" spans="1:14" hidden="1" x14ac:dyDescent="0.3">
      <c r="A59">
        <v>1167</v>
      </c>
      <c r="B59">
        <v>96</v>
      </c>
      <c r="C59">
        <v>7</v>
      </c>
      <c r="D59">
        <v>0</v>
      </c>
      <c r="E59">
        <v>18</v>
      </c>
      <c r="F59">
        <v>7</v>
      </c>
      <c r="G59">
        <v>0</v>
      </c>
      <c r="H59">
        <v>4</v>
      </c>
      <c r="I59">
        <v>29</v>
      </c>
      <c r="J59">
        <v>1</v>
      </c>
      <c r="K59">
        <v>0</v>
      </c>
      <c r="L59">
        <v>0</v>
      </c>
      <c r="M59">
        <v>3</v>
      </c>
      <c r="N59">
        <v>2</v>
      </c>
    </row>
    <row r="60" spans="1:14" hidden="1" x14ac:dyDescent="0.3">
      <c r="A60">
        <v>1423</v>
      </c>
      <c r="B60">
        <v>96</v>
      </c>
      <c r="C60">
        <v>14</v>
      </c>
      <c r="D60">
        <v>158</v>
      </c>
      <c r="E60">
        <v>72</v>
      </c>
      <c r="F60">
        <v>57</v>
      </c>
      <c r="G60">
        <v>86</v>
      </c>
      <c r="H60">
        <v>129</v>
      </c>
      <c r="I60">
        <v>258</v>
      </c>
      <c r="J60">
        <v>2</v>
      </c>
      <c r="K60">
        <v>2</v>
      </c>
      <c r="L60">
        <v>0</v>
      </c>
      <c r="M60">
        <v>3</v>
      </c>
      <c r="N60">
        <v>8</v>
      </c>
    </row>
    <row r="61" spans="1:14" hidden="1" x14ac:dyDescent="0.3">
      <c r="A61">
        <v>2414</v>
      </c>
      <c r="B61">
        <v>96</v>
      </c>
      <c r="C61">
        <v>47</v>
      </c>
      <c r="D61">
        <v>121</v>
      </c>
      <c r="E61">
        <v>37</v>
      </c>
      <c r="F61">
        <v>10</v>
      </c>
      <c r="G61">
        <v>87</v>
      </c>
      <c r="H61">
        <v>117</v>
      </c>
      <c r="I61">
        <v>184</v>
      </c>
      <c r="J61">
        <v>1</v>
      </c>
      <c r="K61">
        <v>1</v>
      </c>
      <c r="L61">
        <v>1</v>
      </c>
      <c r="M61">
        <v>4</v>
      </c>
      <c r="N61">
        <v>2</v>
      </c>
    </row>
    <row r="62" spans="1:14" hidden="1" x14ac:dyDescent="0.3">
      <c r="A62">
        <v>3150</v>
      </c>
      <c r="B62">
        <v>96</v>
      </c>
      <c r="C62">
        <v>47</v>
      </c>
      <c r="D62">
        <v>121</v>
      </c>
      <c r="E62">
        <v>37</v>
      </c>
      <c r="F62">
        <v>10</v>
      </c>
      <c r="G62">
        <v>87</v>
      </c>
      <c r="H62">
        <v>117</v>
      </c>
      <c r="I62">
        <v>184</v>
      </c>
      <c r="J62">
        <v>1</v>
      </c>
      <c r="K62">
        <v>1</v>
      </c>
      <c r="L62">
        <v>1</v>
      </c>
      <c r="M62">
        <v>4</v>
      </c>
      <c r="N62">
        <v>2</v>
      </c>
    </row>
    <row r="63" spans="1:14" hidden="1" x14ac:dyDescent="0.3">
      <c r="A63">
        <v>1830</v>
      </c>
      <c r="B63">
        <v>96</v>
      </c>
      <c r="C63">
        <v>61</v>
      </c>
      <c r="D63">
        <v>15</v>
      </c>
      <c r="E63">
        <v>115</v>
      </c>
      <c r="F63">
        <v>0</v>
      </c>
      <c r="G63">
        <v>76</v>
      </c>
      <c r="H63">
        <v>137</v>
      </c>
      <c r="I63">
        <v>130</v>
      </c>
      <c r="J63">
        <v>4</v>
      </c>
      <c r="K63">
        <v>3</v>
      </c>
      <c r="L63">
        <v>1</v>
      </c>
      <c r="M63">
        <v>3</v>
      </c>
      <c r="N63">
        <v>5</v>
      </c>
    </row>
    <row r="64" spans="1:14" hidden="1" x14ac:dyDescent="0.3">
      <c r="A64">
        <v>3041</v>
      </c>
      <c r="B64">
        <v>96</v>
      </c>
      <c r="C64">
        <v>79</v>
      </c>
      <c r="D64">
        <v>4</v>
      </c>
      <c r="E64">
        <v>83</v>
      </c>
      <c r="F64">
        <v>66</v>
      </c>
      <c r="G64">
        <v>58</v>
      </c>
      <c r="H64">
        <v>116</v>
      </c>
      <c r="I64">
        <v>174</v>
      </c>
      <c r="J64">
        <v>2</v>
      </c>
      <c r="K64">
        <v>3</v>
      </c>
      <c r="L64">
        <v>0</v>
      </c>
      <c r="M64">
        <v>4</v>
      </c>
      <c r="N64">
        <v>5</v>
      </c>
    </row>
    <row r="65" spans="1:14" hidden="1" x14ac:dyDescent="0.3">
      <c r="A65">
        <v>1860</v>
      </c>
      <c r="B65">
        <v>96</v>
      </c>
      <c r="C65">
        <v>82</v>
      </c>
      <c r="D65">
        <v>157</v>
      </c>
      <c r="E65">
        <v>260</v>
      </c>
      <c r="F65">
        <v>205</v>
      </c>
      <c r="G65">
        <v>123</v>
      </c>
      <c r="H65">
        <v>48</v>
      </c>
      <c r="I65">
        <v>780</v>
      </c>
      <c r="J65">
        <v>4</v>
      </c>
      <c r="K65">
        <v>3</v>
      </c>
      <c r="L65">
        <v>1</v>
      </c>
      <c r="M65">
        <v>3</v>
      </c>
      <c r="N65">
        <v>9</v>
      </c>
    </row>
    <row r="66" spans="1:14" hidden="1" x14ac:dyDescent="0.3">
      <c r="A66">
        <v>1473</v>
      </c>
      <c r="B66">
        <v>96</v>
      </c>
      <c r="C66">
        <v>108</v>
      </c>
      <c r="D66">
        <v>5</v>
      </c>
      <c r="E66">
        <v>488</v>
      </c>
      <c r="F66">
        <v>131</v>
      </c>
      <c r="G66">
        <v>131</v>
      </c>
      <c r="H66">
        <v>63</v>
      </c>
      <c r="I66">
        <v>799</v>
      </c>
      <c r="J66">
        <v>1</v>
      </c>
      <c r="K66">
        <v>4</v>
      </c>
      <c r="L66">
        <v>1</v>
      </c>
      <c r="M66">
        <v>4</v>
      </c>
      <c r="N66">
        <v>8</v>
      </c>
    </row>
    <row r="67" spans="1:14" hidden="1" x14ac:dyDescent="0.3">
      <c r="A67">
        <v>1767</v>
      </c>
      <c r="B67">
        <v>96</v>
      </c>
      <c r="C67">
        <v>123</v>
      </c>
      <c r="D67">
        <v>14</v>
      </c>
      <c r="E67">
        <v>130</v>
      </c>
      <c r="F67">
        <v>0</v>
      </c>
      <c r="G67">
        <v>14</v>
      </c>
      <c r="H67">
        <v>41</v>
      </c>
      <c r="I67">
        <v>239</v>
      </c>
      <c r="J67">
        <v>5</v>
      </c>
      <c r="K67">
        <v>3</v>
      </c>
      <c r="L67">
        <v>0</v>
      </c>
      <c r="M67">
        <v>4</v>
      </c>
      <c r="N67">
        <v>7</v>
      </c>
    </row>
    <row r="68" spans="1:14" hidden="1" x14ac:dyDescent="0.3">
      <c r="A68">
        <v>2572</v>
      </c>
      <c r="B68">
        <v>96</v>
      </c>
      <c r="C68">
        <v>123</v>
      </c>
      <c r="D68">
        <v>14</v>
      </c>
      <c r="E68">
        <v>130</v>
      </c>
      <c r="F68">
        <v>0</v>
      </c>
      <c r="G68">
        <v>14</v>
      </c>
      <c r="H68">
        <v>41</v>
      </c>
      <c r="I68">
        <v>239</v>
      </c>
      <c r="J68">
        <v>5</v>
      </c>
      <c r="K68">
        <v>3</v>
      </c>
      <c r="L68">
        <v>0</v>
      </c>
      <c r="M68">
        <v>4</v>
      </c>
      <c r="N68">
        <v>7</v>
      </c>
    </row>
    <row r="69" spans="1:14" hidden="1" x14ac:dyDescent="0.3">
      <c r="A69">
        <v>1937</v>
      </c>
      <c r="B69">
        <v>96</v>
      </c>
      <c r="C69">
        <v>307</v>
      </c>
      <c r="D69">
        <v>72</v>
      </c>
      <c r="E69">
        <v>118</v>
      </c>
      <c r="F69">
        <v>11</v>
      </c>
      <c r="G69">
        <v>390</v>
      </c>
      <c r="H69">
        <v>372</v>
      </c>
      <c r="I69">
        <v>527</v>
      </c>
      <c r="J69">
        <v>3</v>
      </c>
      <c r="K69">
        <v>5</v>
      </c>
      <c r="L69">
        <v>2</v>
      </c>
      <c r="M69">
        <v>6</v>
      </c>
      <c r="N69">
        <v>5</v>
      </c>
    </row>
    <row r="70" spans="1:14" hidden="1" x14ac:dyDescent="0.3">
      <c r="A70">
        <v>2350</v>
      </c>
      <c r="B70">
        <v>96</v>
      </c>
      <c r="C70">
        <v>392</v>
      </c>
      <c r="D70">
        <v>16</v>
      </c>
      <c r="E70">
        <v>143</v>
      </c>
      <c r="F70">
        <v>30</v>
      </c>
      <c r="G70">
        <v>22</v>
      </c>
      <c r="H70">
        <v>47</v>
      </c>
      <c r="I70">
        <v>557</v>
      </c>
      <c r="J70">
        <v>2</v>
      </c>
      <c r="K70">
        <v>4</v>
      </c>
      <c r="L70">
        <v>1</v>
      </c>
      <c r="M70">
        <v>5</v>
      </c>
      <c r="N70">
        <v>5</v>
      </c>
    </row>
    <row r="71" spans="1:14" hidden="1" x14ac:dyDescent="0.3">
      <c r="A71">
        <v>2925</v>
      </c>
      <c r="B71">
        <v>96</v>
      </c>
      <c r="C71">
        <v>426</v>
      </c>
      <c r="D71">
        <v>0</v>
      </c>
      <c r="E71">
        <v>21</v>
      </c>
      <c r="F71">
        <v>0</v>
      </c>
      <c r="G71">
        <v>0</v>
      </c>
      <c r="H71">
        <v>18</v>
      </c>
      <c r="I71">
        <v>429</v>
      </c>
      <c r="J71">
        <v>1</v>
      </c>
      <c r="K71">
        <v>3</v>
      </c>
      <c r="L71">
        <v>1</v>
      </c>
      <c r="M71">
        <v>4</v>
      </c>
      <c r="N71">
        <v>5</v>
      </c>
    </row>
    <row r="72" spans="1:14" hidden="1" x14ac:dyDescent="0.3">
      <c r="A72">
        <v>1141</v>
      </c>
      <c r="B72">
        <v>96</v>
      </c>
      <c r="C72">
        <v>872</v>
      </c>
      <c r="D72">
        <v>43</v>
      </c>
      <c r="E72">
        <v>121</v>
      </c>
      <c r="F72">
        <v>58</v>
      </c>
      <c r="G72">
        <v>33</v>
      </c>
      <c r="H72">
        <v>33</v>
      </c>
      <c r="I72">
        <v>1094</v>
      </c>
      <c r="J72">
        <v>4</v>
      </c>
      <c r="K72">
        <v>8</v>
      </c>
      <c r="L72">
        <v>1</v>
      </c>
      <c r="M72">
        <v>6</v>
      </c>
      <c r="N72">
        <v>6</v>
      </c>
    </row>
    <row r="73" spans="1:14" hidden="1" x14ac:dyDescent="0.3">
      <c r="A73">
        <v>1987</v>
      </c>
      <c r="B73">
        <v>96</v>
      </c>
      <c r="C73">
        <v>1002</v>
      </c>
      <c r="D73">
        <v>116</v>
      </c>
      <c r="E73">
        <v>727</v>
      </c>
      <c r="F73">
        <v>51</v>
      </c>
      <c r="G73">
        <v>96</v>
      </c>
      <c r="H73">
        <v>177</v>
      </c>
      <c r="I73">
        <v>1816</v>
      </c>
      <c r="J73">
        <v>2</v>
      </c>
      <c r="K73">
        <v>6</v>
      </c>
      <c r="L73">
        <v>5</v>
      </c>
      <c r="M73">
        <v>10</v>
      </c>
      <c r="N73">
        <v>3</v>
      </c>
    </row>
    <row r="74" spans="1:14" hidden="1" x14ac:dyDescent="0.3">
      <c r="A74">
        <v>2191</v>
      </c>
      <c r="B74">
        <v>96</v>
      </c>
      <c r="C74">
        <v>1041</v>
      </c>
      <c r="D74">
        <v>10</v>
      </c>
      <c r="E74">
        <v>81</v>
      </c>
      <c r="F74">
        <v>13</v>
      </c>
      <c r="G74">
        <v>10</v>
      </c>
      <c r="H74">
        <v>67</v>
      </c>
      <c r="I74">
        <v>1088</v>
      </c>
      <c r="J74">
        <v>2</v>
      </c>
      <c r="K74">
        <v>5</v>
      </c>
      <c r="L74">
        <v>1</v>
      </c>
      <c r="M74">
        <v>7</v>
      </c>
      <c r="N74">
        <v>7</v>
      </c>
    </row>
    <row r="75" spans="1:14" hidden="1" x14ac:dyDescent="0.3">
      <c r="A75">
        <v>1028</v>
      </c>
      <c r="B75">
        <v>96</v>
      </c>
      <c r="C75">
        <v>1492</v>
      </c>
      <c r="D75">
        <v>218</v>
      </c>
      <c r="E75">
        <v>1748</v>
      </c>
      <c r="F75">
        <v>46</v>
      </c>
      <c r="G75">
        <v>144</v>
      </c>
      <c r="H75">
        <v>0</v>
      </c>
      <c r="I75">
        <v>3648</v>
      </c>
      <c r="J75">
        <v>1</v>
      </c>
      <c r="K75">
        <v>6</v>
      </c>
      <c r="L75">
        <v>9</v>
      </c>
      <c r="M75">
        <v>10</v>
      </c>
      <c r="N75">
        <v>2</v>
      </c>
    </row>
    <row r="76" spans="1:14" hidden="1" x14ac:dyDescent="0.3">
      <c r="A76">
        <v>2187</v>
      </c>
      <c r="B76">
        <v>96</v>
      </c>
      <c r="C76">
        <v>1492</v>
      </c>
      <c r="D76">
        <v>218</v>
      </c>
      <c r="E76">
        <v>1748</v>
      </c>
      <c r="F76">
        <v>46</v>
      </c>
      <c r="G76">
        <v>144</v>
      </c>
      <c r="H76">
        <v>0</v>
      </c>
      <c r="I76">
        <v>3648</v>
      </c>
      <c r="J76">
        <v>1</v>
      </c>
      <c r="K76">
        <v>6</v>
      </c>
      <c r="L76">
        <v>9</v>
      </c>
      <c r="M76">
        <v>10</v>
      </c>
      <c r="N76">
        <v>2</v>
      </c>
    </row>
    <row r="77" spans="1:14" hidden="1" x14ac:dyDescent="0.3">
      <c r="A77">
        <v>2462</v>
      </c>
      <c r="B77">
        <v>96</v>
      </c>
      <c r="C77">
        <v>1697</v>
      </c>
      <c r="D77">
        <v>287</v>
      </c>
      <c r="E77">
        <v>1552</v>
      </c>
      <c r="F77">
        <v>45</v>
      </c>
      <c r="G77">
        <v>34</v>
      </c>
      <c r="H77">
        <v>70</v>
      </c>
      <c r="I77">
        <v>3545</v>
      </c>
      <c r="J77">
        <v>1</v>
      </c>
      <c r="K77">
        <v>4</v>
      </c>
      <c r="L77">
        <v>6</v>
      </c>
      <c r="M77">
        <v>4</v>
      </c>
      <c r="N77">
        <v>2</v>
      </c>
    </row>
    <row r="78" spans="1:14" hidden="1" x14ac:dyDescent="0.3">
      <c r="A78">
        <v>1689</v>
      </c>
      <c r="B78">
        <v>96</v>
      </c>
      <c r="C78">
        <v>1785</v>
      </c>
      <c r="D78">
        <v>0</v>
      </c>
      <c r="E78">
        <v>113</v>
      </c>
      <c r="F78">
        <v>0</v>
      </c>
      <c r="G78">
        <v>0</v>
      </c>
      <c r="H78">
        <v>479</v>
      </c>
      <c r="I78">
        <v>1419</v>
      </c>
      <c r="J78">
        <v>3</v>
      </c>
      <c r="K78">
        <v>2</v>
      </c>
      <c r="L78">
        <v>4</v>
      </c>
      <c r="M78">
        <v>5</v>
      </c>
      <c r="N78">
        <v>7</v>
      </c>
    </row>
    <row r="79" spans="1:14" hidden="1" x14ac:dyDescent="0.3">
      <c r="A79">
        <v>1668</v>
      </c>
      <c r="B79">
        <v>96</v>
      </c>
      <c r="C79">
        <v>1934</v>
      </c>
      <c r="D79">
        <v>219</v>
      </c>
      <c r="E79">
        <v>1803</v>
      </c>
      <c r="F79">
        <v>286</v>
      </c>
      <c r="G79">
        <v>219</v>
      </c>
      <c r="H79">
        <v>86</v>
      </c>
      <c r="I79">
        <v>4376</v>
      </c>
      <c r="J79">
        <v>1</v>
      </c>
      <c r="K79">
        <v>5</v>
      </c>
      <c r="L79">
        <v>6</v>
      </c>
      <c r="M79">
        <v>10</v>
      </c>
      <c r="N79">
        <v>2</v>
      </c>
    </row>
    <row r="80" spans="1:14" hidden="1" x14ac:dyDescent="0.3">
      <c r="A80">
        <v>1865</v>
      </c>
      <c r="B80">
        <v>96</v>
      </c>
      <c r="C80">
        <v>1934</v>
      </c>
      <c r="D80">
        <v>219</v>
      </c>
      <c r="E80">
        <v>1803</v>
      </c>
      <c r="F80">
        <v>286</v>
      </c>
      <c r="G80">
        <v>219</v>
      </c>
      <c r="H80">
        <v>86</v>
      </c>
      <c r="I80">
        <v>4376</v>
      </c>
      <c r="J80">
        <v>1</v>
      </c>
      <c r="K80">
        <v>5</v>
      </c>
      <c r="L80">
        <v>6</v>
      </c>
      <c r="M80">
        <v>10</v>
      </c>
      <c r="N80">
        <v>2</v>
      </c>
    </row>
    <row r="81" spans="1:14" hidden="1" x14ac:dyDescent="0.3">
      <c r="A81">
        <v>2132</v>
      </c>
      <c r="B81">
        <v>96</v>
      </c>
      <c r="C81">
        <v>2213</v>
      </c>
      <c r="D81">
        <v>311</v>
      </c>
      <c r="E81">
        <v>484</v>
      </c>
      <c r="F81">
        <v>225</v>
      </c>
      <c r="G81">
        <v>276</v>
      </c>
      <c r="H81">
        <v>91</v>
      </c>
      <c r="I81">
        <v>3418</v>
      </c>
      <c r="J81">
        <v>3</v>
      </c>
      <c r="K81">
        <v>10</v>
      </c>
      <c r="L81">
        <v>4</v>
      </c>
      <c r="M81">
        <v>7</v>
      </c>
      <c r="N81">
        <v>6</v>
      </c>
    </row>
    <row r="82" spans="1:14" hidden="1" x14ac:dyDescent="0.3">
      <c r="A82">
        <v>2064</v>
      </c>
      <c r="B82">
        <v>95</v>
      </c>
      <c r="C82">
        <v>17</v>
      </c>
      <c r="D82">
        <v>0</v>
      </c>
      <c r="E82">
        <v>28</v>
      </c>
      <c r="F82">
        <v>7</v>
      </c>
      <c r="G82">
        <v>0</v>
      </c>
      <c r="H82">
        <v>0</v>
      </c>
      <c r="I82">
        <v>52</v>
      </c>
      <c r="J82">
        <v>1</v>
      </c>
      <c r="K82">
        <v>0</v>
      </c>
      <c r="L82">
        <v>0</v>
      </c>
      <c r="M82">
        <v>3</v>
      </c>
      <c r="N82">
        <v>4</v>
      </c>
    </row>
    <row r="83" spans="1:14" hidden="1" x14ac:dyDescent="0.3">
      <c r="A83">
        <v>2671</v>
      </c>
      <c r="B83">
        <v>95</v>
      </c>
      <c r="C83">
        <v>37</v>
      </c>
      <c r="D83">
        <v>3</v>
      </c>
      <c r="E83">
        <v>14</v>
      </c>
      <c r="F83">
        <v>7</v>
      </c>
      <c r="G83">
        <v>0</v>
      </c>
      <c r="H83">
        <v>24</v>
      </c>
      <c r="I83">
        <v>37</v>
      </c>
      <c r="J83">
        <v>1</v>
      </c>
      <c r="K83">
        <v>1</v>
      </c>
      <c r="L83">
        <v>0</v>
      </c>
      <c r="M83">
        <v>2</v>
      </c>
      <c r="N83">
        <v>7</v>
      </c>
    </row>
    <row r="84" spans="1:14" hidden="1" x14ac:dyDescent="0.3">
      <c r="A84">
        <v>2884</v>
      </c>
      <c r="B84">
        <v>95</v>
      </c>
      <c r="C84">
        <v>63</v>
      </c>
      <c r="D84">
        <v>17</v>
      </c>
      <c r="E84">
        <v>54</v>
      </c>
      <c r="F84">
        <v>0</v>
      </c>
      <c r="G84">
        <v>0</v>
      </c>
      <c r="H84">
        <v>79</v>
      </c>
      <c r="I84">
        <v>54</v>
      </c>
      <c r="J84">
        <v>1</v>
      </c>
      <c r="K84">
        <v>1</v>
      </c>
      <c r="L84">
        <v>1</v>
      </c>
      <c r="M84">
        <v>2</v>
      </c>
      <c r="N84">
        <v>7</v>
      </c>
    </row>
    <row r="85" spans="1:14" hidden="1" x14ac:dyDescent="0.3">
      <c r="A85">
        <v>1080</v>
      </c>
      <c r="B85">
        <v>95</v>
      </c>
      <c r="C85">
        <v>75</v>
      </c>
      <c r="D85">
        <v>35</v>
      </c>
      <c r="E85">
        <v>62</v>
      </c>
      <c r="F85">
        <v>44</v>
      </c>
      <c r="G85">
        <v>18</v>
      </c>
      <c r="H85">
        <v>13</v>
      </c>
      <c r="I85">
        <v>220</v>
      </c>
      <c r="J85">
        <v>2</v>
      </c>
      <c r="K85">
        <v>1</v>
      </c>
      <c r="L85">
        <v>0</v>
      </c>
      <c r="M85">
        <v>4</v>
      </c>
      <c r="N85">
        <v>7</v>
      </c>
    </row>
    <row r="86" spans="1:14" hidden="1" x14ac:dyDescent="0.3">
      <c r="A86">
        <v>1245</v>
      </c>
      <c r="B86">
        <v>95</v>
      </c>
      <c r="C86">
        <v>76</v>
      </c>
      <c r="D86">
        <v>25</v>
      </c>
      <c r="E86">
        <v>13</v>
      </c>
      <c r="F86">
        <v>63</v>
      </c>
      <c r="G86">
        <v>38</v>
      </c>
      <c r="H86">
        <v>63</v>
      </c>
      <c r="I86">
        <v>152</v>
      </c>
      <c r="J86">
        <v>4</v>
      </c>
      <c r="K86">
        <v>2</v>
      </c>
      <c r="L86">
        <v>0</v>
      </c>
      <c r="M86">
        <v>4</v>
      </c>
      <c r="N86">
        <v>5</v>
      </c>
    </row>
    <row r="87" spans="1:14" hidden="1" x14ac:dyDescent="0.3">
      <c r="A87">
        <v>2782</v>
      </c>
      <c r="B87">
        <v>95</v>
      </c>
      <c r="C87">
        <v>76</v>
      </c>
      <c r="D87">
        <v>25</v>
      </c>
      <c r="E87">
        <v>13</v>
      </c>
      <c r="F87">
        <v>63</v>
      </c>
      <c r="G87">
        <v>38</v>
      </c>
      <c r="H87">
        <v>63</v>
      </c>
      <c r="I87">
        <v>152</v>
      </c>
      <c r="J87">
        <v>4</v>
      </c>
      <c r="K87">
        <v>2</v>
      </c>
      <c r="L87">
        <v>0</v>
      </c>
      <c r="M87">
        <v>4</v>
      </c>
      <c r="N87">
        <v>5</v>
      </c>
    </row>
    <row r="88" spans="1:14" hidden="1" x14ac:dyDescent="0.3">
      <c r="A88">
        <v>2083</v>
      </c>
      <c r="B88">
        <v>95</v>
      </c>
      <c r="C88">
        <v>432</v>
      </c>
      <c r="D88">
        <v>68</v>
      </c>
      <c r="E88">
        <v>741</v>
      </c>
      <c r="F88">
        <v>90</v>
      </c>
      <c r="G88">
        <v>68</v>
      </c>
      <c r="H88">
        <v>194</v>
      </c>
      <c r="I88">
        <v>1205</v>
      </c>
      <c r="J88">
        <v>6</v>
      </c>
      <c r="K88">
        <v>7</v>
      </c>
      <c r="L88">
        <v>2</v>
      </c>
      <c r="M88">
        <v>5</v>
      </c>
      <c r="N88">
        <v>8</v>
      </c>
    </row>
    <row r="89" spans="1:14" hidden="1" x14ac:dyDescent="0.3">
      <c r="A89">
        <v>2723</v>
      </c>
      <c r="B89">
        <v>95</v>
      </c>
      <c r="C89">
        <v>758</v>
      </c>
      <c r="D89">
        <v>51</v>
      </c>
      <c r="E89">
        <v>501</v>
      </c>
      <c r="F89">
        <v>248</v>
      </c>
      <c r="G89">
        <v>224</v>
      </c>
      <c r="H89">
        <v>362</v>
      </c>
      <c r="I89">
        <v>1419</v>
      </c>
      <c r="J89">
        <v>3</v>
      </c>
      <c r="K89">
        <v>7</v>
      </c>
      <c r="L89">
        <v>3</v>
      </c>
      <c r="M89">
        <v>10</v>
      </c>
      <c r="N89">
        <v>5</v>
      </c>
    </row>
    <row r="90" spans="1:14" hidden="1" x14ac:dyDescent="0.3">
      <c r="A90">
        <v>1105</v>
      </c>
      <c r="B90">
        <v>95</v>
      </c>
      <c r="C90">
        <v>1060</v>
      </c>
      <c r="D90">
        <v>95</v>
      </c>
      <c r="E90">
        <v>270</v>
      </c>
      <c r="F90">
        <v>63</v>
      </c>
      <c r="G90">
        <v>43</v>
      </c>
      <c r="H90">
        <v>48</v>
      </c>
      <c r="I90">
        <v>1483</v>
      </c>
      <c r="J90">
        <v>1</v>
      </c>
      <c r="K90">
        <v>6</v>
      </c>
      <c r="L90">
        <v>7</v>
      </c>
      <c r="M90">
        <v>11</v>
      </c>
      <c r="N90">
        <v>3</v>
      </c>
    </row>
    <row r="91" spans="1:14" hidden="1" x14ac:dyDescent="0.3">
      <c r="A91">
        <v>2020</v>
      </c>
      <c r="B91">
        <v>95</v>
      </c>
      <c r="C91">
        <v>1112</v>
      </c>
      <c r="D91">
        <v>0</v>
      </c>
      <c r="E91">
        <v>415</v>
      </c>
      <c r="F91">
        <v>40</v>
      </c>
      <c r="G91">
        <v>81</v>
      </c>
      <c r="H91">
        <v>381</v>
      </c>
      <c r="I91">
        <v>1266</v>
      </c>
      <c r="J91">
        <v>4</v>
      </c>
      <c r="K91">
        <v>6</v>
      </c>
      <c r="L91">
        <v>3</v>
      </c>
      <c r="M91">
        <v>8</v>
      </c>
      <c r="N91">
        <v>5</v>
      </c>
    </row>
    <row r="92" spans="1:14" hidden="1" x14ac:dyDescent="0.3">
      <c r="A92">
        <v>1324</v>
      </c>
      <c r="B92">
        <v>95</v>
      </c>
      <c r="C92">
        <v>1120</v>
      </c>
      <c r="D92">
        <v>47</v>
      </c>
      <c r="E92">
        <v>2044</v>
      </c>
      <c r="F92">
        <v>184</v>
      </c>
      <c r="G92">
        <v>290</v>
      </c>
      <c r="H92">
        <v>93</v>
      </c>
      <c r="I92">
        <v>3591</v>
      </c>
      <c r="J92">
        <v>1</v>
      </c>
      <c r="K92">
        <v>4</v>
      </c>
      <c r="L92">
        <v>5</v>
      </c>
      <c r="M92">
        <v>11</v>
      </c>
      <c r="N92">
        <v>3</v>
      </c>
    </row>
    <row r="93" spans="1:14" hidden="1" x14ac:dyDescent="0.3">
      <c r="A93">
        <v>2586</v>
      </c>
      <c r="B93">
        <v>95</v>
      </c>
      <c r="C93">
        <v>1120</v>
      </c>
      <c r="D93">
        <v>47</v>
      </c>
      <c r="E93">
        <v>2044</v>
      </c>
      <c r="F93">
        <v>184</v>
      </c>
      <c r="G93">
        <v>290</v>
      </c>
      <c r="H93">
        <v>93</v>
      </c>
      <c r="I93">
        <v>3591</v>
      </c>
      <c r="J93">
        <v>1</v>
      </c>
      <c r="K93">
        <v>4</v>
      </c>
      <c r="L93">
        <v>5</v>
      </c>
      <c r="M93">
        <v>11</v>
      </c>
      <c r="N93">
        <v>3</v>
      </c>
    </row>
    <row r="94" spans="1:14" hidden="1" x14ac:dyDescent="0.3">
      <c r="A94">
        <v>1334</v>
      </c>
      <c r="B94">
        <v>95</v>
      </c>
      <c r="C94">
        <v>1191</v>
      </c>
      <c r="D94">
        <v>79</v>
      </c>
      <c r="E94">
        <v>614</v>
      </c>
      <c r="F94">
        <v>26</v>
      </c>
      <c r="G94">
        <v>79</v>
      </c>
      <c r="H94">
        <v>19</v>
      </c>
      <c r="I94">
        <v>1971</v>
      </c>
      <c r="J94">
        <v>4</v>
      </c>
      <c r="K94">
        <v>6</v>
      </c>
      <c r="L94">
        <v>7</v>
      </c>
      <c r="M94">
        <v>9</v>
      </c>
      <c r="N94">
        <v>4</v>
      </c>
    </row>
    <row r="95" spans="1:14" hidden="1" x14ac:dyDescent="0.3">
      <c r="A95">
        <v>3047</v>
      </c>
      <c r="B95">
        <v>95</v>
      </c>
      <c r="C95">
        <v>1529</v>
      </c>
      <c r="D95">
        <v>293</v>
      </c>
      <c r="E95">
        <v>1010</v>
      </c>
      <c r="F95">
        <v>295</v>
      </c>
      <c r="G95">
        <v>195</v>
      </c>
      <c r="H95">
        <v>227</v>
      </c>
      <c r="I95">
        <v>3094</v>
      </c>
      <c r="J95">
        <v>1</v>
      </c>
      <c r="K95">
        <v>9</v>
      </c>
      <c r="L95">
        <v>6</v>
      </c>
      <c r="M95">
        <v>5</v>
      </c>
      <c r="N95">
        <v>5</v>
      </c>
    </row>
    <row r="96" spans="1:14" hidden="1" x14ac:dyDescent="0.3">
      <c r="A96">
        <v>1856</v>
      </c>
      <c r="B96">
        <v>95</v>
      </c>
      <c r="C96">
        <v>1721</v>
      </c>
      <c r="D96">
        <v>49</v>
      </c>
      <c r="E96">
        <v>1119</v>
      </c>
      <c r="F96">
        <v>470</v>
      </c>
      <c r="G96">
        <v>320</v>
      </c>
      <c r="H96">
        <v>74</v>
      </c>
      <c r="I96">
        <v>3605</v>
      </c>
      <c r="J96">
        <v>1</v>
      </c>
      <c r="K96">
        <v>4</v>
      </c>
      <c r="L96">
        <v>8</v>
      </c>
      <c r="M96">
        <v>5</v>
      </c>
      <c r="N96">
        <v>2</v>
      </c>
    </row>
    <row r="97" spans="1:14" hidden="1" x14ac:dyDescent="0.3">
      <c r="A97">
        <v>2259</v>
      </c>
      <c r="B97">
        <v>95</v>
      </c>
      <c r="C97">
        <v>1763</v>
      </c>
      <c r="D97">
        <v>50</v>
      </c>
      <c r="E97">
        <v>254</v>
      </c>
      <c r="F97">
        <v>132</v>
      </c>
      <c r="G97">
        <v>151</v>
      </c>
      <c r="H97">
        <v>502</v>
      </c>
      <c r="I97">
        <v>1847</v>
      </c>
      <c r="J97">
        <v>0</v>
      </c>
      <c r="K97">
        <v>6</v>
      </c>
      <c r="L97">
        <v>7</v>
      </c>
      <c r="M97">
        <v>9</v>
      </c>
      <c r="N97">
        <v>3</v>
      </c>
    </row>
    <row r="98" spans="1:14" hidden="1" x14ac:dyDescent="0.3">
      <c r="A98">
        <v>2520</v>
      </c>
      <c r="B98">
        <v>95</v>
      </c>
      <c r="C98">
        <v>1845</v>
      </c>
      <c r="D98">
        <v>0</v>
      </c>
      <c r="E98">
        <v>336</v>
      </c>
      <c r="F98">
        <v>29</v>
      </c>
      <c r="G98">
        <v>20</v>
      </c>
      <c r="H98">
        <v>88</v>
      </c>
      <c r="I98">
        <v>2143</v>
      </c>
      <c r="J98">
        <v>3</v>
      </c>
      <c r="K98">
        <v>9</v>
      </c>
      <c r="L98">
        <v>2</v>
      </c>
      <c r="M98">
        <v>10</v>
      </c>
      <c r="N98">
        <v>7</v>
      </c>
    </row>
    <row r="99" spans="1:14" hidden="1" x14ac:dyDescent="0.3">
      <c r="A99">
        <v>1505</v>
      </c>
      <c r="B99">
        <v>95</v>
      </c>
      <c r="C99">
        <v>2319</v>
      </c>
      <c r="D99">
        <v>172</v>
      </c>
      <c r="E99">
        <v>829</v>
      </c>
      <c r="F99">
        <v>132</v>
      </c>
      <c r="G99">
        <v>33</v>
      </c>
      <c r="H99">
        <v>413</v>
      </c>
      <c r="I99">
        <v>3072</v>
      </c>
      <c r="J99">
        <v>1</v>
      </c>
      <c r="K99">
        <v>2</v>
      </c>
      <c r="L99">
        <v>4</v>
      </c>
      <c r="M99">
        <v>6</v>
      </c>
      <c r="N99">
        <v>5</v>
      </c>
    </row>
    <row r="100" spans="1:14" hidden="1" x14ac:dyDescent="0.3">
      <c r="A100">
        <v>1843</v>
      </c>
      <c r="B100">
        <v>94</v>
      </c>
      <c r="C100">
        <v>0</v>
      </c>
      <c r="D100">
        <v>29</v>
      </c>
      <c r="E100">
        <v>43</v>
      </c>
      <c r="F100">
        <v>57</v>
      </c>
      <c r="G100">
        <v>14</v>
      </c>
      <c r="H100">
        <v>72</v>
      </c>
      <c r="I100">
        <v>72</v>
      </c>
      <c r="J100">
        <v>1</v>
      </c>
      <c r="K100">
        <v>0</v>
      </c>
      <c r="L100">
        <v>0</v>
      </c>
      <c r="M100">
        <v>3</v>
      </c>
      <c r="N100">
        <v>6</v>
      </c>
    </row>
    <row r="101" spans="1:14" hidden="1" x14ac:dyDescent="0.3">
      <c r="A101">
        <v>1097</v>
      </c>
      <c r="B101">
        <v>94</v>
      </c>
      <c r="C101">
        <v>5</v>
      </c>
      <c r="D101">
        <v>15</v>
      </c>
      <c r="E101">
        <v>30</v>
      </c>
      <c r="F101">
        <v>51</v>
      </c>
      <c r="G101">
        <v>0</v>
      </c>
      <c r="H101">
        <v>46</v>
      </c>
      <c r="I101">
        <v>56</v>
      </c>
      <c r="J101">
        <v>1</v>
      </c>
      <c r="K101">
        <v>1</v>
      </c>
      <c r="L101">
        <v>0</v>
      </c>
      <c r="M101">
        <v>3</v>
      </c>
      <c r="N101">
        <v>5</v>
      </c>
    </row>
    <row r="102" spans="1:14" hidden="1" x14ac:dyDescent="0.3">
      <c r="A102">
        <v>2619</v>
      </c>
      <c r="B102">
        <v>94</v>
      </c>
      <c r="C102">
        <v>5</v>
      </c>
      <c r="D102">
        <v>15</v>
      </c>
      <c r="E102">
        <v>30</v>
      </c>
      <c r="F102">
        <v>51</v>
      </c>
      <c r="G102">
        <v>0</v>
      </c>
      <c r="H102">
        <v>46</v>
      </c>
      <c r="I102">
        <v>56</v>
      </c>
      <c r="J102">
        <v>1</v>
      </c>
      <c r="K102">
        <v>1</v>
      </c>
      <c r="L102">
        <v>0</v>
      </c>
      <c r="M102">
        <v>3</v>
      </c>
      <c r="N102">
        <v>5</v>
      </c>
    </row>
    <row r="103" spans="1:14" hidden="1" x14ac:dyDescent="0.3">
      <c r="A103">
        <v>2166</v>
      </c>
      <c r="B103">
        <v>94</v>
      </c>
      <c r="C103">
        <v>27</v>
      </c>
      <c r="D103">
        <v>22</v>
      </c>
      <c r="E103">
        <v>44</v>
      </c>
      <c r="F103">
        <v>11</v>
      </c>
      <c r="G103">
        <v>0</v>
      </c>
      <c r="H103">
        <v>27</v>
      </c>
      <c r="I103">
        <v>77</v>
      </c>
      <c r="J103">
        <v>1</v>
      </c>
      <c r="K103">
        <v>1</v>
      </c>
      <c r="L103">
        <v>0</v>
      </c>
      <c r="M103">
        <v>3</v>
      </c>
      <c r="N103">
        <v>5</v>
      </c>
    </row>
    <row r="104" spans="1:14" hidden="1" x14ac:dyDescent="0.3">
      <c r="A104">
        <v>1573</v>
      </c>
      <c r="B104">
        <v>94</v>
      </c>
      <c r="C104">
        <v>41</v>
      </c>
      <c r="D104">
        <v>46</v>
      </c>
      <c r="E104">
        <v>46</v>
      </c>
      <c r="F104">
        <v>10</v>
      </c>
      <c r="G104">
        <v>26</v>
      </c>
      <c r="H104">
        <v>113</v>
      </c>
      <c r="I104">
        <v>56</v>
      </c>
      <c r="J104">
        <v>1</v>
      </c>
      <c r="K104">
        <v>1</v>
      </c>
      <c r="L104">
        <v>1</v>
      </c>
      <c r="M104">
        <v>3</v>
      </c>
      <c r="N104">
        <v>4</v>
      </c>
    </row>
    <row r="105" spans="1:14" hidden="1" x14ac:dyDescent="0.3">
      <c r="A105">
        <v>1611</v>
      </c>
      <c r="B105">
        <v>94</v>
      </c>
      <c r="C105">
        <v>74</v>
      </c>
      <c r="D105">
        <v>70</v>
      </c>
      <c r="E105">
        <v>129</v>
      </c>
      <c r="F105">
        <v>94</v>
      </c>
      <c r="G105">
        <v>4</v>
      </c>
      <c r="H105">
        <v>31</v>
      </c>
      <c r="I105">
        <v>339</v>
      </c>
      <c r="J105">
        <v>3</v>
      </c>
      <c r="K105">
        <v>3</v>
      </c>
      <c r="L105">
        <v>0</v>
      </c>
      <c r="M105">
        <v>3</v>
      </c>
      <c r="N105">
        <v>9</v>
      </c>
    </row>
    <row r="106" spans="1:14" hidden="1" x14ac:dyDescent="0.3">
      <c r="A106">
        <v>1889</v>
      </c>
      <c r="B106">
        <v>94</v>
      </c>
      <c r="C106">
        <v>90</v>
      </c>
      <c r="D106">
        <v>0</v>
      </c>
      <c r="E106">
        <v>90</v>
      </c>
      <c r="F106">
        <v>0</v>
      </c>
      <c r="G106">
        <v>15</v>
      </c>
      <c r="H106">
        <v>12</v>
      </c>
      <c r="I106">
        <v>182</v>
      </c>
      <c r="J106">
        <v>1</v>
      </c>
      <c r="K106">
        <v>2</v>
      </c>
      <c r="L106">
        <v>0</v>
      </c>
      <c r="M106">
        <v>3</v>
      </c>
      <c r="N106">
        <v>5</v>
      </c>
    </row>
    <row r="107" spans="1:14" hidden="1" x14ac:dyDescent="0.3">
      <c r="A107">
        <v>1815</v>
      </c>
      <c r="B107">
        <v>94</v>
      </c>
      <c r="C107">
        <v>96</v>
      </c>
      <c r="D107">
        <v>4</v>
      </c>
      <c r="E107">
        <v>34</v>
      </c>
      <c r="F107">
        <v>8</v>
      </c>
      <c r="G107">
        <v>4</v>
      </c>
      <c r="H107">
        <v>4</v>
      </c>
      <c r="I107">
        <v>141</v>
      </c>
      <c r="J107">
        <v>2</v>
      </c>
      <c r="K107">
        <v>1</v>
      </c>
      <c r="L107">
        <v>0</v>
      </c>
      <c r="M107">
        <v>3</v>
      </c>
      <c r="N107">
        <v>8</v>
      </c>
    </row>
    <row r="108" spans="1:14" hidden="1" x14ac:dyDescent="0.3">
      <c r="A108">
        <v>1600</v>
      </c>
      <c r="B108">
        <v>94</v>
      </c>
      <c r="C108">
        <v>102</v>
      </c>
      <c r="D108">
        <v>0</v>
      </c>
      <c r="E108">
        <v>19</v>
      </c>
      <c r="F108">
        <v>0</v>
      </c>
      <c r="G108">
        <v>0</v>
      </c>
      <c r="H108">
        <v>11</v>
      </c>
      <c r="I108">
        <v>110</v>
      </c>
      <c r="J108">
        <v>2</v>
      </c>
      <c r="K108">
        <v>1</v>
      </c>
      <c r="L108">
        <v>0</v>
      </c>
      <c r="M108">
        <v>3</v>
      </c>
      <c r="N108">
        <v>8</v>
      </c>
    </row>
    <row r="109" spans="1:14" hidden="1" x14ac:dyDescent="0.3">
      <c r="A109">
        <v>2352</v>
      </c>
      <c r="B109">
        <v>94</v>
      </c>
      <c r="C109">
        <v>102</v>
      </c>
      <c r="D109">
        <v>0</v>
      </c>
      <c r="E109">
        <v>19</v>
      </c>
      <c r="F109">
        <v>0</v>
      </c>
      <c r="G109">
        <v>0</v>
      </c>
      <c r="H109">
        <v>11</v>
      </c>
      <c r="I109">
        <v>110</v>
      </c>
      <c r="J109">
        <v>2</v>
      </c>
      <c r="K109">
        <v>1</v>
      </c>
      <c r="L109">
        <v>0</v>
      </c>
      <c r="M109">
        <v>3</v>
      </c>
      <c r="N109">
        <v>8</v>
      </c>
    </row>
    <row r="110" spans="1:14" hidden="1" x14ac:dyDescent="0.3">
      <c r="A110">
        <v>2108</v>
      </c>
      <c r="B110">
        <v>94</v>
      </c>
      <c r="C110">
        <v>128</v>
      </c>
      <c r="D110">
        <v>0</v>
      </c>
      <c r="E110">
        <v>53</v>
      </c>
      <c r="F110">
        <v>9</v>
      </c>
      <c r="G110">
        <v>3</v>
      </c>
      <c r="H110">
        <v>50</v>
      </c>
      <c r="I110">
        <v>144</v>
      </c>
      <c r="J110">
        <v>2</v>
      </c>
      <c r="K110">
        <v>1</v>
      </c>
      <c r="L110">
        <v>1</v>
      </c>
      <c r="M110">
        <v>3</v>
      </c>
      <c r="N110">
        <v>3</v>
      </c>
    </row>
    <row r="111" spans="1:14" hidden="1" x14ac:dyDescent="0.3">
      <c r="A111">
        <v>2248</v>
      </c>
      <c r="B111">
        <v>94</v>
      </c>
      <c r="C111">
        <v>152</v>
      </c>
      <c r="D111">
        <v>24</v>
      </c>
      <c r="E111">
        <v>55</v>
      </c>
      <c r="F111">
        <v>37</v>
      </c>
      <c r="G111">
        <v>49</v>
      </c>
      <c r="H111">
        <v>195</v>
      </c>
      <c r="I111">
        <v>122</v>
      </c>
      <c r="J111">
        <v>3</v>
      </c>
      <c r="K111">
        <v>2</v>
      </c>
      <c r="L111">
        <v>1</v>
      </c>
      <c r="M111">
        <v>3</v>
      </c>
      <c r="N111">
        <v>7</v>
      </c>
    </row>
    <row r="112" spans="1:14" hidden="1" x14ac:dyDescent="0.3">
      <c r="A112">
        <v>2174</v>
      </c>
      <c r="B112">
        <v>94</v>
      </c>
      <c r="C112">
        <v>227</v>
      </c>
      <c r="D112">
        <v>34</v>
      </c>
      <c r="E112">
        <v>89</v>
      </c>
      <c r="F112">
        <v>26</v>
      </c>
      <c r="G112">
        <v>16</v>
      </c>
      <c r="H112">
        <v>26</v>
      </c>
      <c r="I112">
        <v>365</v>
      </c>
      <c r="J112">
        <v>1</v>
      </c>
      <c r="K112">
        <v>4</v>
      </c>
      <c r="L112">
        <v>0</v>
      </c>
      <c r="M112">
        <v>4</v>
      </c>
      <c r="N112">
        <v>5</v>
      </c>
    </row>
    <row r="113" spans="1:14" hidden="1" x14ac:dyDescent="0.3">
      <c r="A113">
        <v>1676</v>
      </c>
      <c r="B113">
        <v>94</v>
      </c>
      <c r="C113">
        <v>241</v>
      </c>
      <c r="D113">
        <v>10</v>
      </c>
      <c r="E113">
        <v>47</v>
      </c>
      <c r="F113">
        <v>8</v>
      </c>
      <c r="G113">
        <v>8</v>
      </c>
      <c r="H113">
        <v>16</v>
      </c>
      <c r="I113">
        <v>298</v>
      </c>
      <c r="J113">
        <v>1</v>
      </c>
      <c r="K113">
        <v>2</v>
      </c>
      <c r="L113">
        <v>1</v>
      </c>
      <c r="M113">
        <v>4</v>
      </c>
      <c r="N113">
        <v>3</v>
      </c>
    </row>
    <row r="114" spans="1:14" hidden="1" x14ac:dyDescent="0.3">
      <c r="A114">
        <v>2919</v>
      </c>
      <c r="B114">
        <v>94</v>
      </c>
      <c r="C114">
        <v>265</v>
      </c>
      <c r="D114">
        <v>23</v>
      </c>
      <c r="E114">
        <v>148</v>
      </c>
      <c r="F114">
        <v>12</v>
      </c>
      <c r="G114">
        <v>23</v>
      </c>
      <c r="H114">
        <v>160</v>
      </c>
      <c r="I114">
        <v>312</v>
      </c>
      <c r="J114">
        <v>2</v>
      </c>
      <c r="K114">
        <v>2</v>
      </c>
      <c r="L114">
        <v>2</v>
      </c>
      <c r="M114">
        <v>3</v>
      </c>
      <c r="N114">
        <v>7</v>
      </c>
    </row>
    <row r="115" spans="1:14" hidden="1" x14ac:dyDescent="0.3">
      <c r="A115">
        <v>1138</v>
      </c>
      <c r="B115">
        <v>94</v>
      </c>
      <c r="C115">
        <v>278</v>
      </c>
      <c r="D115">
        <v>11</v>
      </c>
      <c r="E115">
        <v>342</v>
      </c>
      <c r="F115">
        <v>46</v>
      </c>
      <c r="G115">
        <v>4</v>
      </c>
      <c r="H115">
        <v>122</v>
      </c>
      <c r="I115">
        <v>559</v>
      </c>
      <c r="J115">
        <v>7</v>
      </c>
      <c r="K115">
        <v>4</v>
      </c>
      <c r="L115">
        <v>1</v>
      </c>
      <c r="M115">
        <v>4</v>
      </c>
      <c r="N115">
        <v>8</v>
      </c>
    </row>
    <row r="116" spans="1:14" hidden="1" x14ac:dyDescent="0.3">
      <c r="A116">
        <v>1367</v>
      </c>
      <c r="B116">
        <v>94</v>
      </c>
      <c r="C116">
        <v>278</v>
      </c>
      <c r="D116">
        <v>11</v>
      </c>
      <c r="E116">
        <v>342</v>
      </c>
      <c r="F116">
        <v>46</v>
      </c>
      <c r="G116">
        <v>4</v>
      </c>
      <c r="H116">
        <v>122</v>
      </c>
      <c r="I116">
        <v>559</v>
      </c>
      <c r="J116">
        <v>7</v>
      </c>
      <c r="K116">
        <v>4</v>
      </c>
      <c r="L116">
        <v>1</v>
      </c>
      <c r="M116">
        <v>4</v>
      </c>
      <c r="N116">
        <v>8</v>
      </c>
    </row>
    <row r="117" spans="1:14" hidden="1" x14ac:dyDescent="0.3">
      <c r="A117">
        <v>3135</v>
      </c>
      <c r="B117">
        <v>94</v>
      </c>
      <c r="C117">
        <v>340</v>
      </c>
      <c r="D117">
        <v>59</v>
      </c>
      <c r="E117">
        <v>1715</v>
      </c>
      <c r="F117">
        <v>0</v>
      </c>
      <c r="G117">
        <v>59</v>
      </c>
      <c r="H117">
        <v>117</v>
      </c>
      <c r="I117">
        <v>2055</v>
      </c>
      <c r="J117">
        <v>0</v>
      </c>
      <c r="K117">
        <v>4</v>
      </c>
      <c r="L117">
        <v>3</v>
      </c>
      <c r="M117">
        <v>7</v>
      </c>
      <c r="N117">
        <v>3</v>
      </c>
    </row>
    <row r="118" spans="1:14" hidden="1" x14ac:dyDescent="0.3">
      <c r="A118">
        <v>1005</v>
      </c>
      <c r="B118">
        <v>94</v>
      </c>
      <c r="C118">
        <v>470</v>
      </c>
      <c r="D118">
        <v>117</v>
      </c>
      <c r="E118">
        <v>320</v>
      </c>
      <c r="F118">
        <v>125</v>
      </c>
      <c r="G118">
        <v>73</v>
      </c>
      <c r="H118">
        <v>41</v>
      </c>
      <c r="I118">
        <v>1064</v>
      </c>
      <c r="J118">
        <v>5</v>
      </c>
      <c r="K118">
        <v>5</v>
      </c>
      <c r="L118">
        <v>3</v>
      </c>
      <c r="M118">
        <v>6</v>
      </c>
      <c r="N118">
        <v>5</v>
      </c>
    </row>
    <row r="119" spans="1:14" hidden="1" x14ac:dyDescent="0.3">
      <c r="A119">
        <v>2877</v>
      </c>
      <c r="B119">
        <v>94</v>
      </c>
      <c r="C119">
        <v>643</v>
      </c>
      <c r="D119">
        <v>17</v>
      </c>
      <c r="E119">
        <v>189</v>
      </c>
      <c r="F119">
        <v>47</v>
      </c>
      <c r="G119">
        <v>17</v>
      </c>
      <c r="H119">
        <v>26</v>
      </c>
      <c r="I119">
        <v>886</v>
      </c>
      <c r="J119">
        <v>1</v>
      </c>
      <c r="K119">
        <v>4</v>
      </c>
      <c r="L119">
        <v>4</v>
      </c>
      <c r="M119">
        <v>6</v>
      </c>
      <c r="N119">
        <v>2</v>
      </c>
    </row>
    <row r="120" spans="1:14" hidden="1" x14ac:dyDescent="0.3">
      <c r="A120">
        <v>1576</v>
      </c>
      <c r="B120">
        <v>94</v>
      </c>
      <c r="C120">
        <v>710</v>
      </c>
      <c r="D120">
        <v>309</v>
      </c>
      <c r="E120">
        <v>1544</v>
      </c>
      <c r="F120">
        <v>321</v>
      </c>
      <c r="G120">
        <v>309</v>
      </c>
      <c r="H120">
        <v>401</v>
      </c>
      <c r="I120">
        <v>2791</v>
      </c>
      <c r="J120">
        <v>1</v>
      </c>
      <c r="K120">
        <v>3</v>
      </c>
      <c r="L120">
        <v>7</v>
      </c>
      <c r="M120">
        <v>9</v>
      </c>
      <c r="N120">
        <v>1</v>
      </c>
    </row>
    <row r="121" spans="1:14" hidden="1" x14ac:dyDescent="0.3">
      <c r="A121">
        <v>1938</v>
      </c>
      <c r="B121">
        <v>94</v>
      </c>
      <c r="C121">
        <v>753</v>
      </c>
      <c r="D121">
        <v>14</v>
      </c>
      <c r="E121">
        <v>667</v>
      </c>
      <c r="F121">
        <v>197</v>
      </c>
      <c r="G121">
        <v>117</v>
      </c>
      <c r="H121">
        <v>238</v>
      </c>
      <c r="I121">
        <v>1511</v>
      </c>
      <c r="J121">
        <v>4</v>
      </c>
      <c r="K121">
        <v>5</v>
      </c>
      <c r="L121">
        <v>5</v>
      </c>
      <c r="M121">
        <v>8</v>
      </c>
      <c r="N121">
        <v>5</v>
      </c>
    </row>
    <row r="122" spans="1:14" hidden="1" x14ac:dyDescent="0.3">
      <c r="A122">
        <v>1812</v>
      </c>
      <c r="B122">
        <v>94</v>
      </c>
      <c r="C122">
        <v>1070</v>
      </c>
      <c r="D122">
        <v>49</v>
      </c>
      <c r="E122">
        <v>476</v>
      </c>
      <c r="F122">
        <v>21</v>
      </c>
      <c r="G122">
        <v>15</v>
      </c>
      <c r="H122">
        <v>442</v>
      </c>
      <c r="I122">
        <v>1189</v>
      </c>
      <c r="J122">
        <v>1</v>
      </c>
      <c r="K122">
        <v>6</v>
      </c>
      <c r="L122">
        <v>4</v>
      </c>
      <c r="M122">
        <v>7</v>
      </c>
      <c r="N122">
        <v>6</v>
      </c>
    </row>
    <row r="123" spans="1:14" hidden="1" x14ac:dyDescent="0.3">
      <c r="A123">
        <v>1886</v>
      </c>
      <c r="B123">
        <v>94</v>
      </c>
      <c r="C123">
        <v>1075</v>
      </c>
      <c r="D123">
        <v>200</v>
      </c>
      <c r="E123">
        <v>851</v>
      </c>
      <c r="F123">
        <v>422</v>
      </c>
      <c r="G123">
        <v>24</v>
      </c>
      <c r="H123">
        <v>524</v>
      </c>
      <c r="I123">
        <v>2047</v>
      </c>
      <c r="J123">
        <v>1</v>
      </c>
      <c r="K123">
        <v>3</v>
      </c>
      <c r="L123">
        <v>4</v>
      </c>
      <c r="M123">
        <v>10</v>
      </c>
      <c r="N123">
        <v>0</v>
      </c>
    </row>
    <row r="124" spans="1:14" hidden="1" x14ac:dyDescent="0.3">
      <c r="A124">
        <v>3011</v>
      </c>
      <c r="B124">
        <v>94</v>
      </c>
      <c r="C124">
        <v>1292</v>
      </c>
      <c r="D124">
        <v>191</v>
      </c>
      <c r="E124">
        <v>598</v>
      </c>
      <c r="F124">
        <v>216</v>
      </c>
      <c r="G124">
        <v>142</v>
      </c>
      <c r="H124">
        <v>142</v>
      </c>
      <c r="I124">
        <v>2297</v>
      </c>
      <c r="J124">
        <v>4</v>
      </c>
      <c r="K124">
        <v>10</v>
      </c>
      <c r="L124">
        <v>3</v>
      </c>
      <c r="M124">
        <v>12</v>
      </c>
      <c r="N124">
        <v>6</v>
      </c>
    </row>
    <row r="125" spans="1:14" hidden="1" x14ac:dyDescent="0.3">
      <c r="A125">
        <v>2284</v>
      </c>
      <c r="B125">
        <v>94</v>
      </c>
      <c r="C125">
        <v>1308</v>
      </c>
      <c r="D125">
        <v>173</v>
      </c>
      <c r="E125">
        <v>901</v>
      </c>
      <c r="F125">
        <v>225</v>
      </c>
      <c r="G125">
        <v>347</v>
      </c>
      <c r="H125">
        <v>173</v>
      </c>
      <c r="I125">
        <v>2782</v>
      </c>
      <c r="J125">
        <v>1</v>
      </c>
      <c r="K125">
        <v>5</v>
      </c>
      <c r="L125">
        <v>5</v>
      </c>
      <c r="M125">
        <v>8</v>
      </c>
      <c r="N125">
        <v>3</v>
      </c>
    </row>
    <row r="126" spans="1:14" hidden="1" x14ac:dyDescent="0.3">
      <c r="A126">
        <v>2008</v>
      </c>
      <c r="B126">
        <v>93</v>
      </c>
      <c r="C126">
        <v>31</v>
      </c>
      <c r="D126">
        <v>61</v>
      </c>
      <c r="E126">
        <v>84</v>
      </c>
      <c r="F126">
        <v>145</v>
      </c>
      <c r="G126">
        <v>92</v>
      </c>
      <c r="H126">
        <v>199</v>
      </c>
      <c r="I126">
        <v>214</v>
      </c>
      <c r="J126">
        <v>2</v>
      </c>
      <c r="K126">
        <v>2</v>
      </c>
      <c r="L126">
        <v>1</v>
      </c>
      <c r="M126">
        <v>2</v>
      </c>
      <c r="N126">
        <v>9</v>
      </c>
    </row>
    <row r="127" spans="1:14" hidden="1" x14ac:dyDescent="0.3">
      <c r="A127">
        <v>1181</v>
      </c>
      <c r="B127">
        <v>93</v>
      </c>
      <c r="C127">
        <v>82</v>
      </c>
      <c r="D127">
        <v>11</v>
      </c>
      <c r="E127">
        <v>75</v>
      </c>
      <c r="F127">
        <v>11</v>
      </c>
      <c r="G127">
        <v>68</v>
      </c>
      <c r="H127">
        <v>79</v>
      </c>
      <c r="I127">
        <v>168</v>
      </c>
      <c r="J127">
        <v>2</v>
      </c>
      <c r="K127">
        <v>3</v>
      </c>
      <c r="L127">
        <v>0</v>
      </c>
      <c r="M127">
        <v>3</v>
      </c>
      <c r="N127">
        <v>8</v>
      </c>
    </row>
    <row r="128" spans="1:14" hidden="1" x14ac:dyDescent="0.3">
      <c r="A128">
        <v>1608</v>
      </c>
      <c r="B128">
        <v>93</v>
      </c>
      <c r="C128">
        <v>83</v>
      </c>
      <c r="D128">
        <v>17</v>
      </c>
      <c r="E128">
        <v>125</v>
      </c>
      <c r="F128">
        <v>17</v>
      </c>
      <c r="G128">
        <v>8</v>
      </c>
      <c r="H128">
        <v>50</v>
      </c>
      <c r="I128">
        <v>200</v>
      </c>
      <c r="J128">
        <v>2</v>
      </c>
      <c r="K128">
        <v>2</v>
      </c>
      <c r="L128">
        <v>0</v>
      </c>
      <c r="M128">
        <v>3</v>
      </c>
      <c r="N128">
        <v>6</v>
      </c>
    </row>
    <row r="129" spans="1:14" hidden="1" x14ac:dyDescent="0.3">
      <c r="A129">
        <v>1208</v>
      </c>
      <c r="B129">
        <v>93</v>
      </c>
      <c r="C129">
        <v>96</v>
      </c>
      <c r="D129">
        <v>35</v>
      </c>
      <c r="E129">
        <v>80</v>
      </c>
      <c r="F129">
        <v>93</v>
      </c>
      <c r="G129">
        <v>3</v>
      </c>
      <c r="H129">
        <v>58</v>
      </c>
      <c r="I129">
        <v>251</v>
      </c>
      <c r="J129">
        <v>1</v>
      </c>
      <c r="K129">
        <v>1</v>
      </c>
      <c r="L129">
        <v>1</v>
      </c>
      <c r="M129">
        <v>4</v>
      </c>
      <c r="N129">
        <v>3</v>
      </c>
    </row>
    <row r="130" spans="1:14" hidden="1" x14ac:dyDescent="0.3">
      <c r="A130">
        <v>3036</v>
      </c>
      <c r="B130">
        <v>93</v>
      </c>
      <c r="C130">
        <v>97</v>
      </c>
      <c r="D130">
        <v>3</v>
      </c>
      <c r="E130">
        <v>37</v>
      </c>
      <c r="F130">
        <v>0</v>
      </c>
      <c r="G130">
        <v>0</v>
      </c>
      <c r="H130">
        <v>0</v>
      </c>
      <c r="I130">
        <v>137</v>
      </c>
      <c r="J130">
        <v>2</v>
      </c>
      <c r="K130">
        <v>2</v>
      </c>
      <c r="L130">
        <v>0</v>
      </c>
      <c r="M130">
        <v>3</v>
      </c>
      <c r="N130">
        <v>4</v>
      </c>
    </row>
    <row r="131" spans="1:14" hidden="1" x14ac:dyDescent="0.3">
      <c r="A131">
        <v>2906</v>
      </c>
      <c r="B131">
        <v>93</v>
      </c>
      <c r="C131">
        <v>402</v>
      </c>
      <c r="D131">
        <v>77</v>
      </c>
      <c r="E131">
        <v>315</v>
      </c>
      <c r="F131">
        <v>20</v>
      </c>
      <c r="G131">
        <v>42</v>
      </c>
      <c r="H131">
        <v>171</v>
      </c>
      <c r="I131">
        <v>685</v>
      </c>
      <c r="J131">
        <v>2</v>
      </c>
      <c r="K131">
        <v>4</v>
      </c>
      <c r="L131">
        <v>2</v>
      </c>
      <c r="M131">
        <v>7</v>
      </c>
      <c r="N131">
        <v>3</v>
      </c>
    </row>
    <row r="132" spans="1:14" hidden="1" x14ac:dyDescent="0.3">
      <c r="A132">
        <v>2156</v>
      </c>
      <c r="B132">
        <v>93</v>
      </c>
      <c r="C132">
        <v>573</v>
      </c>
      <c r="D132">
        <v>6</v>
      </c>
      <c r="E132">
        <v>59</v>
      </c>
      <c r="F132">
        <v>25</v>
      </c>
      <c r="G132">
        <v>25</v>
      </c>
      <c r="H132">
        <v>12</v>
      </c>
      <c r="I132">
        <v>675</v>
      </c>
      <c r="J132">
        <v>3</v>
      </c>
      <c r="K132">
        <v>2</v>
      </c>
      <c r="L132">
        <v>2</v>
      </c>
      <c r="M132">
        <v>6</v>
      </c>
      <c r="N132">
        <v>5</v>
      </c>
    </row>
    <row r="133" spans="1:14" hidden="1" x14ac:dyDescent="0.3">
      <c r="A133">
        <v>1873</v>
      </c>
      <c r="B133">
        <v>93</v>
      </c>
      <c r="C133">
        <v>588</v>
      </c>
      <c r="D133">
        <v>71</v>
      </c>
      <c r="E133">
        <v>1028</v>
      </c>
      <c r="F133">
        <v>92</v>
      </c>
      <c r="G133">
        <v>129</v>
      </c>
      <c r="H133">
        <v>403</v>
      </c>
      <c r="I133">
        <v>1505</v>
      </c>
      <c r="J133">
        <v>1</v>
      </c>
      <c r="K133">
        <v>3</v>
      </c>
      <c r="L133">
        <v>10</v>
      </c>
      <c r="M133">
        <v>11</v>
      </c>
      <c r="N133">
        <v>1</v>
      </c>
    </row>
    <row r="134" spans="1:14" hidden="1" x14ac:dyDescent="0.3">
      <c r="A134">
        <v>1496</v>
      </c>
      <c r="B134">
        <v>93</v>
      </c>
      <c r="C134">
        <v>725</v>
      </c>
      <c r="D134">
        <v>52</v>
      </c>
      <c r="E134">
        <v>207</v>
      </c>
      <c r="F134">
        <v>24</v>
      </c>
      <c r="G134">
        <v>30</v>
      </c>
      <c r="H134">
        <v>18</v>
      </c>
      <c r="I134">
        <v>1020</v>
      </c>
      <c r="J134">
        <v>3</v>
      </c>
      <c r="K134">
        <v>6</v>
      </c>
      <c r="L134">
        <v>2</v>
      </c>
      <c r="M134">
        <v>5</v>
      </c>
      <c r="N134">
        <v>7</v>
      </c>
    </row>
    <row r="135" spans="1:14" hidden="1" x14ac:dyDescent="0.3">
      <c r="A135">
        <v>1907</v>
      </c>
      <c r="B135">
        <v>93</v>
      </c>
      <c r="C135">
        <v>851</v>
      </c>
      <c r="D135">
        <v>53</v>
      </c>
      <c r="E135">
        <v>879</v>
      </c>
      <c r="F135">
        <v>572</v>
      </c>
      <c r="G135">
        <v>27</v>
      </c>
      <c r="H135">
        <v>247</v>
      </c>
      <c r="I135">
        <v>2136</v>
      </c>
      <c r="J135">
        <v>1</v>
      </c>
      <c r="K135">
        <v>4</v>
      </c>
      <c r="L135">
        <v>5</v>
      </c>
      <c r="M135">
        <v>9</v>
      </c>
      <c r="N135">
        <v>2</v>
      </c>
    </row>
    <row r="136" spans="1:14" hidden="1" x14ac:dyDescent="0.3">
      <c r="A136">
        <v>1468</v>
      </c>
      <c r="B136">
        <v>93</v>
      </c>
      <c r="C136">
        <v>896</v>
      </c>
      <c r="D136">
        <v>62</v>
      </c>
      <c r="E136">
        <v>220</v>
      </c>
      <c r="F136">
        <v>264</v>
      </c>
      <c r="G136">
        <v>163</v>
      </c>
      <c r="H136">
        <v>40</v>
      </c>
      <c r="I136">
        <v>1566</v>
      </c>
      <c r="J136">
        <v>1</v>
      </c>
      <c r="K136">
        <v>5</v>
      </c>
      <c r="L136">
        <v>9</v>
      </c>
      <c r="M136">
        <v>4</v>
      </c>
      <c r="N136">
        <v>3</v>
      </c>
    </row>
    <row r="137" spans="1:14" hidden="1" x14ac:dyDescent="0.3">
      <c r="A137">
        <v>1462</v>
      </c>
      <c r="B137">
        <v>93</v>
      </c>
      <c r="C137">
        <v>969</v>
      </c>
      <c r="D137">
        <v>57</v>
      </c>
      <c r="E137">
        <v>102</v>
      </c>
      <c r="F137">
        <v>16</v>
      </c>
      <c r="G137">
        <v>0</v>
      </c>
      <c r="H137">
        <v>240</v>
      </c>
      <c r="I137">
        <v>904</v>
      </c>
      <c r="J137">
        <v>4</v>
      </c>
      <c r="K137">
        <v>6</v>
      </c>
      <c r="L137">
        <v>2</v>
      </c>
      <c r="M137">
        <v>7</v>
      </c>
      <c r="N137">
        <v>5</v>
      </c>
    </row>
    <row r="138" spans="1:14" hidden="1" x14ac:dyDescent="0.3">
      <c r="A138">
        <v>2422</v>
      </c>
      <c r="B138">
        <v>93</v>
      </c>
      <c r="C138">
        <v>1100</v>
      </c>
      <c r="D138">
        <v>80</v>
      </c>
      <c r="E138">
        <v>1262</v>
      </c>
      <c r="F138">
        <v>164</v>
      </c>
      <c r="G138">
        <v>365</v>
      </c>
      <c r="H138">
        <v>39</v>
      </c>
      <c r="I138">
        <v>2932</v>
      </c>
      <c r="J138">
        <v>1</v>
      </c>
      <c r="K138">
        <v>4</v>
      </c>
      <c r="L138">
        <v>4</v>
      </c>
      <c r="M138">
        <v>9</v>
      </c>
      <c r="N138">
        <v>2</v>
      </c>
    </row>
    <row r="139" spans="1:14" hidden="1" x14ac:dyDescent="0.3">
      <c r="A139">
        <v>2050</v>
      </c>
      <c r="B139">
        <v>93</v>
      </c>
      <c r="C139">
        <v>1106</v>
      </c>
      <c r="D139">
        <v>110</v>
      </c>
      <c r="E139">
        <v>952</v>
      </c>
      <c r="F139">
        <v>27</v>
      </c>
      <c r="G139">
        <v>20</v>
      </c>
      <c r="H139">
        <v>42</v>
      </c>
      <c r="I139">
        <v>2173</v>
      </c>
      <c r="J139">
        <v>1</v>
      </c>
      <c r="K139">
        <v>3</v>
      </c>
      <c r="L139">
        <v>7</v>
      </c>
      <c r="M139">
        <v>13</v>
      </c>
      <c r="N139">
        <v>2</v>
      </c>
    </row>
    <row r="140" spans="1:14" hidden="1" x14ac:dyDescent="0.3">
      <c r="A140">
        <v>1295</v>
      </c>
      <c r="B140">
        <v>93</v>
      </c>
      <c r="C140">
        <v>1303</v>
      </c>
      <c r="D140">
        <v>0</v>
      </c>
      <c r="E140">
        <v>69</v>
      </c>
      <c r="F140">
        <v>0</v>
      </c>
      <c r="G140">
        <v>0</v>
      </c>
      <c r="H140">
        <v>26</v>
      </c>
      <c r="I140">
        <v>1347</v>
      </c>
      <c r="J140">
        <v>1</v>
      </c>
      <c r="K140">
        <v>8</v>
      </c>
      <c r="L140">
        <v>3</v>
      </c>
      <c r="M140">
        <v>6</v>
      </c>
      <c r="N140">
        <v>7</v>
      </c>
    </row>
    <row r="141" spans="1:14" hidden="1" x14ac:dyDescent="0.3">
      <c r="A141">
        <v>1335</v>
      </c>
      <c r="B141">
        <v>93</v>
      </c>
      <c r="C141">
        <v>1568</v>
      </c>
      <c r="D141">
        <v>191</v>
      </c>
      <c r="E141">
        <v>1087</v>
      </c>
      <c r="F141">
        <v>124</v>
      </c>
      <c r="G141">
        <v>256</v>
      </c>
      <c r="H141">
        <v>222</v>
      </c>
      <c r="I141">
        <v>3004</v>
      </c>
      <c r="J141">
        <v>2</v>
      </c>
      <c r="K141">
        <v>8</v>
      </c>
      <c r="L141">
        <v>4</v>
      </c>
      <c r="M141">
        <v>8</v>
      </c>
      <c r="N141">
        <v>4</v>
      </c>
    </row>
    <row r="142" spans="1:14" hidden="1" x14ac:dyDescent="0.3">
      <c r="A142">
        <v>1686</v>
      </c>
      <c r="B142">
        <v>93</v>
      </c>
      <c r="C142">
        <v>1568</v>
      </c>
      <c r="D142">
        <v>191</v>
      </c>
      <c r="E142">
        <v>1087</v>
      </c>
      <c r="F142">
        <v>124</v>
      </c>
      <c r="G142">
        <v>256</v>
      </c>
      <c r="H142">
        <v>222</v>
      </c>
      <c r="I142">
        <v>3004</v>
      </c>
      <c r="J142">
        <v>2</v>
      </c>
      <c r="K142">
        <v>8</v>
      </c>
      <c r="L142">
        <v>4</v>
      </c>
      <c r="M142">
        <v>8</v>
      </c>
      <c r="N142">
        <v>4</v>
      </c>
    </row>
    <row r="143" spans="1:14" hidden="1" x14ac:dyDescent="0.3">
      <c r="A143">
        <v>3087</v>
      </c>
      <c r="B143">
        <v>93</v>
      </c>
      <c r="C143">
        <v>1946</v>
      </c>
      <c r="D143">
        <v>100</v>
      </c>
      <c r="E143">
        <v>1073</v>
      </c>
      <c r="F143">
        <v>131</v>
      </c>
      <c r="G143">
        <v>134</v>
      </c>
      <c r="H143">
        <v>367</v>
      </c>
      <c r="I143">
        <v>3017</v>
      </c>
      <c r="J143">
        <v>1</v>
      </c>
      <c r="K143">
        <v>3</v>
      </c>
      <c r="L143">
        <v>10</v>
      </c>
      <c r="M143">
        <v>8</v>
      </c>
      <c r="N143">
        <v>2</v>
      </c>
    </row>
    <row r="144" spans="1:14" hidden="1" x14ac:dyDescent="0.3">
      <c r="A144">
        <v>2423</v>
      </c>
      <c r="B144">
        <v>93</v>
      </c>
      <c r="C144">
        <v>2065</v>
      </c>
      <c r="D144">
        <v>23</v>
      </c>
      <c r="E144">
        <v>286</v>
      </c>
      <c r="F144">
        <v>32</v>
      </c>
      <c r="G144">
        <v>0</v>
      </c>
      <c r="H144">
        <v>136</v>
      </c>
      <c r="I144">
        <v>2270</v>
      </c>
      <c r="J144">
        <v>4</v>
      </c>
      <c r="K144">
        <v>10</v>
      </c>
      <c r="L144">
        <v>7</v>
      </c>
      <c r="M144">
        <v>5</v>
      </c>
      <c r="N144">
        <v>8</v>
      </c>
    </row>
    <row r="145" spans="1:14" hidden="1" x14ac:dyDescent="0.3">
      <c r="A145">
        <v>2888</v>
      </c>
      <c r="B145">
        <v>93</v>
      </c>
      <c r="C145">
        <v>2323</v>
      </c>
      <c r="D145">
        <v>114</v>
      </c>
      <c r="E145">
        <v>1142</v>
      </c>
      <c r="F145">
        <v>148</v>
      </c>
      <c r="G145">
        <v>114</v>
      </c>
      <c r="H145">
        <v>304</v>
      </c>
      <c r="I145">
        <v>3538</v>
      </c>
      <c r="J145">
        <v>3</v>
      </c>
      <c r="K145">
        <v>5</v>
      </c>
      <c r="L145">
        <v>5</v>
      </c>
      <c r="M145">
        <v>5</v>
      </c>
      <c r="N145">
        <v>8</v>
      </c>
    </row>
    <row r="146" spans="1:14" hidden="1" x14ac:dyDescent="0.3">
      <c r="A146">
        <v>2542</v>
      </c>
      <c r="B146">
        <v>93</v>
      </c>
      <c r="C146">
        <v>2379</v>
      </c>
      <c r="D146">
        <v>161</v>
      </c>
      <c r="E146">
        <v>651</v>
      </c>
      <c r="F146">
        <v>0</v>
      </c>
      <c r="G146">
        <v>31</v>
      </c>
      <c r="H146">
        <v>31</v>
      </c>
      <c r="I146">
        <v>3191</v>
      </c>
      <c r="J146">
        <v>4</v>
      </c>
      <c r="K146">
        <v>5</v>
      </c>
      <c r="L146">
        <v>4</v>
      </c>
      <c r="M146">
        <v>10</v>
      </c>
      <c r="N146">
        <v>4</v>
      </c>
    </row>
    <row r="147" spans="1:14" hidden="1" x14ac:dyDescent="0.3">
      <c r="A147">
        <v>1363</v>
      </c>
      <c r="B147">
        <v>92</v>
      </c>
      <c r="C147">
        <v>13</v>
      </c>
      <c r="D147">
        <v>38</v>
      </c>
      <c r="E147">
        <v>55</v>
      </c>
      <c r="F147">
        <v>8</v>
      </c>
      <c r="G147">
        <v>51</v>
      </c>
      <c r="H147">
        <v>51</v>
      </c>
      <c r="I147">
        <v>115</v>
      </c>
      <c r="J147">
        <v>1</v>
      </c>
      <c r="K147">
        <v>1</v>
      </c>
      <c r="L147">
        <v>0</v>
      </c>
      <c r="M147">
        <v>3</v>
      </c>
      <c r="N147">
        <v>7</v>
      </c>
    </row>
    <row r="148" spans="1:14" hidden="1" x14ac:dyDescent="0.3">
      <c r="A148">
        <v>1929</v>
      </c>
      <c r="B148">
        <v>92</v>
      </c>
      <c r="C148">
        <v>21</v>
      </c>
      <c r="D148">
        <v>7</v>
      </c>
      <c r="E148">
        <v>63</v>
      </c>
      <c r="F148">
        <v>7</v>
      </c>
      <c r="G148">
        <v>28</v>
      </c>
      <c r="H148">
        <v>49</v>
      </c>
      <c r="I148">
        <v>77</v>
      </c>
      <c r="J148">
        <v>1</v>
      </c>
      <c r="K148">
        <v>2</v>
      </c>
      <c r="L148">
        <v>0</v>
      </c>
      <c r="M148">
        <v>3</v>
      </c>
      <c r="N148">
        <v>4</v>
      </c>
    </row>
    <row r="149" spans="1:14" hidden="1" x14ac:dyDescent="0.3">
      <c r="A149">
        <v>2510</v>
      </c>
      <c r="B149">
        <v>92</v>
      </c>
      <c r="C149">
        <v>26</v>
      </c>
      <c r="D149">
        <v>190</v>
      </c>
      <c r="E149">
        <v>37</v>
      </c>
      <c r="F149">
        <v>0</v>
      </c>
      <c r="G149">
        <v>53</v>
      </c>
      <c r="H149">
        <v>238</v>
      </c>
      <c r="I149">
        <v>69</v>
      </c>
      <c r="J149">
        <v>2</v>
      </c>
      <c r="K149">
        <v>3</v>
      </c>
      <c r="L149">
        <v>0</v>
      </c>
      <c r="M149">
        <v>3</v>
      </c>
      <c r="N149">
        <v>8</v>
      </c>
    </row>
    <row r="150" spans="1:14" hidden="1" x14ac:dyDescent="0.3">
      <c r="A150">
        <v>1045</v>
      </c>
      <c r="B150">
        <v>92</v>
      </c>
      <c r="C150">
        <v>44</v>
      </c>
      <c r="D150">
        <v>20</v>
      </c>
      <c r="E150">
        <v>51</v>
      </c>
      <c r="F150">
        <v>10</v>
      </c>
      <c r="G150">
        <v>17</v>
      </c>
      <c r="H150">
        <v>44</v>
      </c>
      <c r="I150">
        <v>98</v>
      </c>
      <c r="J150">
        <v>1</v>
      </c>
      <c r="K150">
        <v>2</v>
      </c>
      <c r="L150">
        <v>0</v>
      </c>
      <c r="M150">
        <v>2</v>
      </c>
      <c r="N150">
        <v>10</v>
      </c>
    </row>
    <row r="151" spans="1:14" hidden="1" x14ac:dyDescent="0.3">
      <c r="A151">
        <v>1484</v>
      </c>
      <c r="B151">
        <v>92</v>
      </c>
      <c r="C151">
        <v>61</v>
      </c>
      <c r="D151">
        <v>9</v>
      </c>
      <c r="E151">
        <v>98</v>
      </c>
      <c r="F151">
        <v>19</v>
      </c>
      <c r="G151">
        <v>0</v>
      </c>
      <c r="H151">
        <v>112</v>
      </c>
      <c r="I151">
        <v>75</v>
      </c>
      <c r="J151">
        <v>2</v>
      </c>
      <c r="K151">
        <v>1</v>
      </c>
      <c r="L151">
        <v>1</v>
      </c>
      <c r="M151">
        <v>2</v>
      </c>
      <c r="N151">
        <v>8</v>
      </c>
    </row>
    <row r="152" spans="1:14" hidden="1" x14ac:dyDescent="0.3">
      <c r="A152">
        <v>1604</v>
      </c>
      <c r="B152">
        <v>92</v>
      </c>
      <c r="C152">
        <v>71</v>
      </c>
      <c r="D152">
        <v>33</v>
      </c>
      <c r="E152">
        <v>50</v>
      </c>
      <c r="F152">
        <v>46</v>
      </c>
      <c r="G152">
        <v>62</v>
      </c>
      <c r="H152">
        <v>133</v>
      </c>
      <c r="I152">
        <v>129</v>
      </c>
      <c r="J152">
        <v>1</v>
      </c>
      <c r="K152">
        <v>2</v>
      </c>
      <c r="L152">
        <v>1</v>
      </c>
      <c r="M152">
        <v>2</v>
      </c>
      <c r="N152">
        <v>7</v>
      </c>
    </row>
    <row r="153" spans="1:14" hidden="1" x14ac:dyDescent="0.3">
      <c r="A153">
        <v>2054</v>
      </c>
      <c r="B153">
        <v>92</v>
      </c>
      <c r="C153">
        <v>113</v>
      </c>
      <c r="D153">
        <v>0</v>
      </c>
      <c r="E153">
        <v>18</v>
      </c>
      <c r="F153">
        <v>7</v>
      </c>
      <c r="G153">
        <v>0</v>
      </c>
      <c r="H153">
        <v>28</v>
      </c>
      <c r="I153">
        <v>109</v>
      </c>
      <c r="J153">
        <v>2</v>
      </c>
      <c r="K153">
        <v>2</v>
      </c>
      <c r="L153">
        <v>0</v>
      </c>
      <c r="M153">
        <v>3</v>
      </c>
      <c r="N153">
        <v>5</v>
      </c>
    </row>
    <row r="154" spans="1:14" hidden="1" x14ac:dyDescent="0.3">
      <c r="A154">
        <v>2022</v>
      </c>
      <c r="B154">
        <v>92</v>
      </c>
      <c r="C154">
        <v>121</v>
      </c>
      <c r="D154">
        <v>4</v>
      </c>
      <c r="E154">
        <v>50</v>
      </c>
      <c r="F154">
        <v>0</v>
      </c>
      <c r="G154">
        <v>0</v>
      </c>
      <c r="H154">
        <v>18</v>
      </c>
      <c r="I154">
        <v>157</v>
      </c>
      <c r="J154">
        <v>3</v>
      </c>
      <c r="K154">
        <v>2</v>
      </c>
      <c r="L154">
        <v>0</v>
      </c>
      <c r="M154">
        <v>3</v>
      </c>
      <c r="N154">
        <v>8</v>
      </c>
    </row>
    <row r="155" spans="1:14" hidden="1" x14ac:dyDescent="0.3">
      <c r="A155">
        <v>2547</v>
      </c>
      <c r="B155">
        <v>92</v>
      </c>
      <c r="C155">
        <v>121</v>
      </c>
      <c r="D155">
        <v>4</v>
      </c>
      <c r="E155">
        <v>50</v>
      </c>
      <c r="F155">
        <v>0</v>
      </c>
      <c r="G155">
        <v>0</v>
      </c>
      <c r="H155">
        <v>18</v>
      </c>
      <c r="I155">
        <v>157</v>
      </c>
      <c r="J155">
        <v>3</v>
      </c>
      <c r="K155">
        <v>2</v>
      </c>
      <c r="L155">
        <v>0</v>
      </c>
      <c r="M155">
        <v>3</v>
      </c>
      <c r="N155">
        <v>8</v>
      </c>
    </row>
    <row r="156" spans="1:14" hidden="1" x14ac:dyDescent="0.3">
      <c r="A156">
        <v>1240</v>
      </c>
      <c r="B156">
        <v>92</v>
      </c>
      <c r="C156">
        <v>215</v>
      </c>
      <c r="D156">
        <v>224</v>
      </c>
      <c r="E156">
        <v>248</v>
      </c>
      <c r="F156">
        <v>100</v>
      </c>
      <c r="G156">
        <v>96</v>
      </c>
      <c r="H156">
        <v>119</v>
      </c>
      <c r="I156">
        <v>764</v>
      </c>
      <c r="J156">
        <v>2</v>
      </c>
      <c r="K156">
        <v>3</v>
      </c>
      <c r="L156">
        <v>1</v>
      </c>
      <c r="M156">
        <v>5</v>
      </c>
      <c r="N156">
        <v>6</v>
      </c>
    </row>
    <row r="157" spans="1:14" hidden="1" x14ac:dyDescent="0.3">
      <c r="A157">
        <v>1639</v>
      </c>
      <c r="B157">
        <v>92</v>
      </c>
      <c r="C157">
        <v>215</v>
      </c>
      <c r="D157">
        <v>224</v>
      </c>
      <c r="E157">
        <v>248</v>
      </c>
      <c r="F157">
        <v>100</v>
      </c>
      <c r="G157">
        <v>96</v>
      </c>
      <c r="H157">
        <v>119</v>
      </c>
      <c r="I157">
        <v>764</v>
      </c>
      <c r="J157">
        <v>2</v>
      </c>
      <c r="K157">
        <v>3</v>
      </c>
      <c r="L157">
        <v>1</v>
      </c>
      <c r="M157">
        <v>5</v>
      </c>
      <c r="N157">
        <v>6</v>
      </c>
    </row>
    <row r="158" spans="1:14" hidden="1" x14ac:dyDescent="0.3">
      <c r="A158">
        <v>1430</v>
      </c>
      <c r="B158">
        <v>92</v>
      </c>
      <c r="C158">
        <v>254</v>
      </c>
      <c r="D158">
        <v>47</v>
      </c>
      <c r="E158">
        <v>248</v>
      </c>
      <c r="F158">
        <v>44</v>
      </c>
      <c r="G158">
        <v>17</v>
      </c>
      <c r="H158">
        <v>33</v>
      </c>
      <c r="I158">
        <v>576</v>
      </c>
      <c r="J158">
        <v>2</v>
      </c>
      <c r="K158">
        <v>5</v>
      </c>
      <c r="L158">
        <v>0</v>
      </c>
      <c r="M158">
        <v>4</v>
      </c>
      <c r="N158">
        <v>8</v>
      </c>
    </row>
    <row r="159" spans="1:14" hidden="1" x14ac:dyDescent="0.3">
      <c r="A159">
        <v>2234</v>
      </c>
      <c r="B159">
        <v>92</v>
      </c>
      <c r="C159">
        <v>311</v>
      </c>
      <c r="D159">
        <v>63</v>
      </c>
      <c r="E159">
        <v>984</v>
      </c>
      <c r="F159">
        <v>30</v>
      </c>
      <c r="G159">
        <v>456</v>
      </c>
      <c r="H159">
        <v>166</v>
      </c>
      <c r="I159">
        <v>1679</v>
      </c>
      <c r="J159">
        <v>2</v>
      </c>
      <c r="K159">
        <v>7</v>
      </c>
      <c r="L159">
        <v>3</v>
      </c>
      <c r="M159">
        <v>5</v>
      </c>
      <c r="N159">
        <v>4</v>
      </c>
    </row>
    <row r="160" spans="1:14" hidden="1" x14ac:dyDescent="0.3">
      <c r="A160">
        <v>2589</v>
      </c>
      <c r="B160">
        <v>92</v>
      </c>
      <c r="C160">
        <v>395</v>
      </c>
      <c r="D160">
        <v>8</v>
      </c>
      <c r="E160">
        <v>505</v>
      </c>
      <c r="F160">
        <v>91</v>
      </c>
      <c r="G160">
        <v>28</v>
      </c>
      <c r="H160">
        <v>39</v>
      </c>
      <c r="I160">
        <v>986</v>
      </c>
      <c r="J160">
        <v>4</v>
      </c>
      <c r="K160">
        <v>5</v>
      </c>
      <c r="L160">
        <v>1</v>
      </c>
      <c r="M160">
        <v>5</v>
      </c>
      <c r="N160">
        <v>8</v>
      </c>
    </row>
    <row r="161" spans="1:14" hidden="1" x14ac:dyDescent="0.3">
      <c r="A161">
        <v>1745</v>
      </c>
      <c r="B161">
        <v>92</v>
      </c>
      <c r="C161">
        <v>473</v>
      </c>
      <c r="D161">
        <v>82</v>
      </c>
      <c r="E161">
        <v>711</v>
      </c>
      <c r="F161">
        <v>107</v>
      </c>
      <c r="G161">
        <v>40</v>
      </c>
      <c r="H161">
        <v>529</v>
      </c>
      <c r="I161">
        <v>883</v>
      </c>
      <c r="J161">
        <v>1</v>
      </c>
      <c r="K161">
        <v>2</v>
      </c>
      <c r="L161">
        <v>11</v>
      </c>
      <c r="M161">
        <v>5</v>
      </c>
      <c r="N161">
        <v>1</v>
      </c>
    </row>
    <row r="162" spans="1:14" hidden="1" x14ac:dyDescent="0.3">
      <c r="A162">
        <v>1915</v>
      </c>
      <c r="B162">
        <v>92</v>
      </c>
      <c r="C162">
        <v>473</v>
      </c>
      <c r="D162">
        <v>82</v>
      </c>
      <c r="E162">
        <v>711</v>
      </c>
      <c r="F162">
        <v>107</v>
      </c>
      <c r="G162">
        <v>40</v>
      </c>
      <c r="H162">
        <v>529</v>
      </c>
      <c r="I162">
        <v>883</v>
      </c>
      <c r="J162">
        <v>1</v>
      </c>
      <c r="K162">
        <v>2</v>
      </c>
      <c r="L162">
        <v>11</v>
      </c>
      <c r="M162">
        <v>5</v>
      </c>
      <c r="N162">
        <v>1</v>
      </c>
    </row>
    <row r="163" spans="1:14" hidden="1" x14ac:dyDescent="0.3">
      <c r="A163">
        <v>2376</v>
      </c>
      <c r="B163">
        <v>92</v>
      </c>
      <c r="C163">
        <v>533</v>
      </c>
      <c r="D163">
        <v>5</v>
      </c>
      <c r="E163">
        <v>114</v>
      </c>
      <c r="F163">
        <v>8</v>
      </c>
      <c r="G163">
        <v>13</v>
      </c>
      <c r="H163">
        <v>93</v>
      </c>
      <c r="I163">
        <v>581</v>
      </c>
      <c r="J163">
        <v>4</v>
      </c>
      <c r="K163">
        <v>5</v>
      </c>
      <c r="L163">
        <v>1</v>
      </c>
      <c r="M163">
        <v>5</v>
      </c>
      <c r="N163">
        <v>6</v>
      </c>
    </row>
    <row r="164" spans="1:14" hidden="1" x14ac:dyDescent="0.3">
      <c r="A164">
        <v>2412</v>
      </c>
      <c r="B164">
        <v>92</v>
      </c>
      <c r="C164">
        <v>533</v>
      </c>
      <c r="D164">
        <v>5</v>
      </c>
      <c r="E164">
        <v>114</v>
      </c>
      <c r="F164">
        <v>8</v>
      </c>
      <c r="G164">
        <v>13</v>
      </c>
      <c r="H164">
        <v>93</v>
      </c>
      <c r="I164">
        <v>581</v>
      </c>
      <c r="J164">
        <v>4</v>
      </c>
      <c r="K164">
        <v>5</v>
      </c>
      <c r="L164">
        <v>1</v>
      </c>
      <c r="M164">
        <v>5</v>
      </c>
      <c r="N164">
        <v>6</v>
      </c>
    </row>
    <row r="165" spans="1:14" hidden="1" x14ac:dyDescent="0.3">
      <c r="A165">
        <v>3083</v>
      </c>
      <c r="B165">
        <v>92</v>
      </c>
      <c r="C165">
        <v>599</v>
      </c>
      <c r="D165">
        <v>10</v>
      </c>
      <c r="E165">
        <v>574</v>
      </c>
      <c r="F165">
        <v>64</v>
      </c>
      <c r="G165">
        <v>10</v>
      </c>
      <c r="H165">
        <v>137</v>
      </c>
      <c r="I165">
        <v>1118</v>
      </c>
      <c r="J165">
        <v>5</v>
      </c>
      <c r="K165">
        <v>7</v>
      </c>
      <c r="L165">
        <v>1</v>
      </c>
      <c r="M165">
        <v>6</v>
      </c>
      <c r="N165">
        <v>7</v>
      </c>
    </row>
    <row r="166" spans="1:14" hidden="1" x14ac:dyDescent="0.3">
      <c r="A166">
        <v>3015</v>
      </c>
      <c r="B166">
        <v>92</v>
      </c>
      <c r="C166">
        <v>608</v>
      </c>
      <c r="D166">
        <v>141</v>
      </c>
      <c r="E166">
        <v>593</v>
      </c>
      <c r="F166">
        <v>166</v>
      </c>
      <c r="G166">
        <v>126</v>
      </c>
      <c r="H166">
        <v>448</v>
      </c>
      <c r="I166">
        <v>1186</v>
      </c>
      <c r="J166">
        <v>1</v>
      </c>
      <c r="K166">
        <v>5</v>
      </c>
      <c r="L166">
        <v>4</v>
      </c>
      <c r="M166">
        <v>8</v>
      </c>
      <c r="N166">
        <v>4</v>
      </c>
    </row>
    <row r="167" spans="1:14" hidden="1" x14ac:dyDescent="0.3">
      <c r="A167">
        <v>2688</v>
      </c>
      <c r="B167">
        <v>92</v>
      </c>
      <c r="C167">
        <v>767</v>
      </c>
      <c r="D167">
        <v>114</v>
      </c>
      <c r="E167">
        <v>2100</v>
      </c>
      <c r="F167">
        <v>464</v>
      </c>
      <c r="G167">
        <v>79</v>
      </c>
      <c r="H167">
        <v>58</v>
      </c>
      <c r="I167">
        <v>3467</v>
      </c>
      <c r="J167">
        <v>1</v>
      </c>
      <c r="K167">
        <v>5</v>
      </c>
      <c r="L167">
        <v>8</v>
      </c>
      <c r="M167">
        <v>12</v>
      </c>
      <c r="N167">
        <v>3</v>
      </c>
    </row>
    <row r="168" spans="1:14" hidden="1" x14ac:dyDescent="0.3">
      <c r="A168">
        <v>2988</v>
      </c>
      <c r="B168">
        <v>92</v>
      </c>
      <c r="C168">
        <v>890</v>
      </c>
      <c r="D168">
        <v>476</v>
      </c>
      <c r="E168">
        <v>476</v>
      </c>
      <c r="F168">
        <v>812</v>
      </c>
      <c r="G168">
        <v>504</v>
      </c>
      <c r="H168">
        <v>117</v>
      </c>
      <c r="I168">
        <v>3041</v>
      </c>
      <c r="J168">
        <v>6</v>
      </c>
      <c r="K168">
        <v>11</v>
      </c>
      <c r="L168">
        <v>2</v>
      </c>
      <c r="M168">
        <v>8</v>
      </c>
      <c r="N168">
        <v>9</v>
      </c>
    </row>
    <row r="169" spans="1:14" hidden="1" x14ac:dyDescent="0.3">
      <c r="A169">
        <v>1732</v>
      </c>
      <c r="B169">
        <v>92</v>
      </c>
      <c r="C169">
        <v>1029</v>
      </c>
      <c r="D169">
        <v>24</v>
      </c>
      <c r="E169">
        <v>194</v>
      </c>
      <c r="F169">
        <v>50</v>
      </c>
      <c r="G169">
        <v>12</v>
      </c>
      <c r="H169">
        <v>12</v>
      </c>
      <c r="I169">
        <v>1297</v>
      </c>
      <c r="J169">
        <v>2</v>
      </c>
      <c r="K169">
        <v>3</v>
      </c>
      <c r="L169">
        <v>2</v>
      </c>
      <c r="M169">
        <v>10</v>
      </c>
      <c r="N169">
        <v>3</v>
      </c>
    </row>
    <row r="170" spans="1:14" hidden="1" x14ac:dyDescent="0.3">
      <c r="A170">
        <v>2781</v>
      </c>
      <c r="B170">
        <v>92</v>
      </c>
      <c r="C170">
        <v>1215</v>
      </c>
      <c r="D170">
        <v>60</v>
      </c>
      <c r="E170">
        <v>495</v>
      </c>
      <c r="F170">
        <v>75</v>
      </c>
      <c r="G170">
        <v>30</v>
      </c>
      <c r="H170">
        <v>4364</v>
      </c>
      <c r="I170">
        <v>-2490</v>
      </c>
      <c r="J170">
        <v>0</v>
      </c>
      <c r="K170">
        <v>23</v>
      </c>
      <c r="L170">
        <v>1</v>
      </c>
      <c r="M170">
        <v>1</v>
      </c>
      <c r="N170">
        <v>0</v>
      </c>
    </row>
    <row r="171" spans="1:14" hidden="1" x14ac:dyDescent="0.3">
      <c r="A171">
        <v>1471</v>
      </c>
      <c r="B171">
        <v>92</v>
      </c>
      <c r="C171">
        <v>1337</v>
      </c>
      <c r="D171">
        <v>32</v>
      </c>
      <c r="E171">
        <v>290</v>
      </c>
      <c r="F171">
        <v>43</v>
      </c>
      <c r="G171">
        <v>16</v>
      </c>
      <c r="H171">
        <v>240</v>
      </c>
      <c r="I171">
        <v>1479</v>
      </c>
      <c r="J171">
        <v>2</v>
      </c>
      <c r="K171">
        <v>7</v>
      </c>
      <c r="L171">
        <v>2</v>
      </c>
      <c r="M171">
        <v>10</v>
      </c>
      <c r="N171">
        <v>6</v>
      </c>
    </row>
    <row r="172" spans="1:14" hidden="1" x14ac:dyDescent="0.3">
      <c r="A172">
        <v>3038</v>
      </c>
      <c r="B172">
        <v>92</v>
      </c>
      <c r="C172">
        <v>1355</v>
      </c>
      <c r="D172">
        <v>87</v>
      </c>
      <c r="E172">
        <v>331</v>
      </c>
      <c r="F172">
        <v>57</v>
      </c>
      <c r="G172">
        <v>376</v>
      </c>
      <c r="H172">
        <v>267</v>
      </c>
      <c r="I172">
        <v>1941</v>
      </c>
      <c r="J172">
        <v>2</v>
      </c>
      <c r="K172">
        <v>4</v>
      </c>
      <c r="L172">
        <v>5</v>
      </c>
      <c r="M172">
        <v>4</v>
      </c>
      <c r="N172">
        <v>2</v>
      </c>
    </row>
    <row r="173" spans="1:14" hidden="1" x14ac:dyDescent="0.3">
      <c r="A173">
        <v>2803</v>
      </c>
      <c r="B173">
        <v>92</v>
      </c>
      <c r="C173">
        <v>1509</v>
      </c>
      <c r="D173">
        <v>206</v>
      </c>
      <c r="E173">
        <v>1648</v>
      </c>
      <c r="F173">
        <v>87</v>
      </c>
      <c r="G173">
        <v>0</v>
      </c>
      <c r="H173">
        <v>206</v>
      </c>
      <c r="I173">
        <v>3244</v>
      </c>
      <c r="J173">
        <v>1</v>
      </c>
      <c r="K173">
        <v>3</v>
      </c>
      <c r="L173">
        <v>11</v>
      </c>
      <c r="M173">
        <v>9</v>
      </c>
      <c r="N173">
        <v>1</v>
      </c>
    </row>
    <row r="174" spans="1:14" hidden="1" x14ac:dyDescent="0.3">
      <c r="A174">
        <v>2488</v>
      </c>
      <c r="B174">
        <v>92</v>
      </c>
      <c r="C174">
        <v>1914</v>
      </c>
      <c r="D174">
        <v>179</v>
      </c>
      <c r="E174">
        <v>1010</v>
      </c>
      <c r="F174">
        <v>234</v>
      </c>
      <c r="G174">
        <v>323</v>
      </c>
      <c r="H174">
        <v>253</v>
      </c>
      <c r="I174">
        <v>3408</v>
      </c>
      <c r="J174">
        <v>3</v>
      </c>
      <c r="K174">
        <v>10</v>
      </c>
      <c r="L174">
        <v>4</v>
      </c>
      <c r="M174">
        <v>9</v>
      </c>
      <c r="N174">
        <v>7</v>
      </c>
    </row>
    <row r="175" spans="1:14" hidden="1" x14ac:dyDescent="0.3">
      <c r="A175">
        <v>1453</v>
      </c>
      <c r="B175">
        <v>92</v>
      </c>
      <c r="C175">
        <v>1936</v>
      </c>
      <c r="D175">
        <v>24</v>
      </c>
      <c r="E175">
        <v>503</v>
      </c>
      <c r="F175">
        <v>33</v>
      </c>
      <c r="G175">
        <v>24</v>
      </c>
      <c r="H175">
        <v>176</v>
      </c>
      <c r="I175">
        <v>2345</v>
      </c>
      <c r="J175">
        <v>3</v>
      </c>
      <c r="K175">
        <v>7</v>
      </c>
      <c r="L175">
        <v>3</v>
      </c>
      <c r="M175">
        <v>12</v>
      </c>
      <c r="N175">
        <v>7</v>
      </c>
    </row>
    <row r="176" spans="1:14" hidden="1" x14ac:dyDescent="0.3">
      <c r="A176">
        <v>2595</v>
      </c>
      <c r="B176">
        <v>92</v>
      </c>
      <c r="C176">
        <v>2472</v>
      </c>
      <c r="D176">
        <v>0</v>
      </c>
      <c r="E176">
        <v>219</v>
      </c>
      <c r="F176">
        <v>35</v>
      </c>
      <c r="G176">
        <v>26</v>
      </c>
      <c r="H176">
        <v>575</v>
      </c>
      <c r="I176">
        <v>2177</v>
      </c>
      <c r="J176">
        <v>7</v>
      </c>
      <c r="K176">
        <v>9</v>
      </c>
      <c r="L176">
        <v>6</v>
      </c>
      <c r="M176">
        <v>9</v>
      </c>
      <c r="N176">
        <v>8</v>
      </c>
    </row>
    <row r="177" spans="1:14" hidden="1" x14ac:dyDescent="0.3">
      <c r="A177">
        <v>2274</v>
      </c>
      <c r="B177">
        <v>91</v>
      </c>
      <c r="C177">
        <v>13</v>
      </c>
      <c r="D177">
        <v>0</v>
      </c>
      <c r="E177">
        <v>17</v>
      </c>
      <c r="F177">
        <v>0</v>
      </c>
      <c r="G177">
        <v>3</v>
      </c>
      <c r="H177">
        <v>17</v>
      </c>
      <c r="I177">
        <v>17</v>
      </c>
      <c r="J177">
        <v>1</v>
      </c>
      <c r="K177">
        <v>1</v>
      </c>
      <c r="L177">
        <v>0</v>
      </c>
      <c r="M177">
        <v>2</v>
      </c>
      <c r="N177">
        <v>7</v>
      </c>
    </row>
    <row r="178" spans="1:14" hidden="1" x14ac:dyDescent="0.3">
      <c r="A178">
        <v>2049</v>
      </c>
      <c r="B178">
        <v>91</v>
      </c>
      <c r="C178">
        <v>16</v>
      </c>
      <c r="D178">
        <v>11</v>
      </c>
      <c r="E178">
        <v>38</v>
      </c>
      <c r="F178">
        <v>0</v>
      </c>
      <c r="G178">
        <v>22</v>
      </c>
      <c r="H178">
        <v>11</v>
      </c>
      <c r="I178">
        <v>77</v>
      </c>
      <c r="J178">
        <v>1</v>
      </c>
      <c r="K178">
        <v>1</v>
      </c>
      <c r="L178">
        <v>0</v>
      </c>
      <c r="M178">
        <v>2</v>
      </c>
      <c r="N178">
        <v>8</v>
      </c>
    </row>
    <row r="179" spans="1:14" hidden="1" x14ac:dyDescent="0.3">
      <c r="A179">
        <v>1457</v>
      </c>
      <c r="B179">
        <v>91</v>
      </c>
      <c r="C179">
        <v>79</v>
      </c>
      <c r="D179">
        <v>4</v>
      </c>
      <c r="E179">
        <v>47</v>
      </c>
      <c r="F179">
        <v>14</v>
      </c>
      <c r="G179">
        <v>0</v>
      </c>
      <c r="H179">
        <v>14</v>
      </c>
      <c r="I179">
        <v>130</v>
      </c>
      <c r="J179">
        <v>2</v>
      </c>
      <c r="K179">
        <v>1</v>
      </c>
      <c r="L179">
        <v>0</v>
      </c>
      <c r="M179">
        <v>3</v>
      </c>
      <c r="N179">
        <v>7</v>
      </c>
    </row>
    <row r="180" spans="1:14" hidden="1" x14ac:dyDescent="0.3">
      <c r="A180">
        <v>2512</v>
      </c>
      <c r="B180">
        <v>91</v>
      </c>
      <c r="C180">
        <v>106</v>
      </c>
      <c r="D180">
        <v>0</v>
      </c>
      <c r="E180">
        <v>83</v>
      </c>
      <c r="F180">
        <v>24</v>
      </c>
      <c r="G180">
        <v>0</v>
      </c>
      <c r="H180">
        <v>47</v>
      </c>
      <c r="I180">
        <v>165</v>
      </c>
      <c r="J180">
        <v>1</v>
      </c>
      <c r="K180">
        <v>1</v>
      </c>
      <c r="L180">
        <v>1</v>
      </c>
      <c r="M180">
        <v>2</v>
      </c>
      <c r="N180">
        <v>8</v>
      </c>
    </row>
    <row r="181" spans="1:14" hidden="1" x14ac:dyDescent="0.3">
      <c r="A181">
        <v>2027</v>
      </c>
      <c r="B181">
        <v>91</v>
      </c>
      <c r="C181">
        <v>119</v>
      </c>
      <c r="D181">
        <v>44</v>
      </c>
      <c r="E181">
        <v>131</v>
      </c>
      <c r="F181">
        <v>52</v>
      </c>
      <c r="G181">
        <v>24</v>
      </c>
      <c r="H181">
        <v>115</v>
      </c>
      <c r="I181">
        <v>255</v>
      </c>
      <c r="J181">
        <v>1</v>
      </c>
      <c r="K181">
        <v>2</v>
      </c>
      <c r="L181">
        <v>0</v>
      </c>
      <c r="M181">
        <v>4</v>
      </c>
      <c r="N181">
        <v>4</v>
      </c>
    </row>
    <row r="182" spans="1:14" hidden="1" x14ac:dyDescent="0.3">
      <c r="A182">
        <v>1749</v>
      </c>
      <c r="B182">
        <v>91</v>
      </c>
      <c r="C182">
        <v>135</v>
      </c>
      <c r="D182">
        <v>38</v>
      </c>
      <c r="E182">
        <v>72</v>
      </c>
      <c r="F182">
        <v>91</v>
      </c>
      <c r="G182">
        <v>47</v>
      </c>
      <c r="H182">
        <v>191</v>
      </c>
      <c r="I182">
        <v>191</v>
      </c>
      <c r="J182">
        <v>1</v>
      </c>
      <c r="K182">
        <v>2</v>
      </c>
      <c r="L182">
        <v>1</v>
      </c>
      <c r="M182">
        <v>4</v>
      </c>
      <c r="N182">
        <v>4</v>
      </c>
    </row>
    <row r="183" spans="1:14" hidden="1" x14ac:dyDescent="0.3">
      <c r="A183">
        <v>2177</v>
      </c>
      <c r="B183">
        <v>91</v>
      </c>
      <c r="C183">
        <v>135</v>
      </c>
      <c r="D183">
        <v>38</v>
      </c>
      <c r="E183">
        <v>72</v>
      </c>
      <c r="F183">
        <v>91</v>
      </c>
      <c r="G183">
        <v>47</v>
      </c>
      <c r="H183">
        <v>191</v>
      </c>
      <c r="I183">
        <v>191</v>
      </c>
      <c r="J183">
        <v>1</v>
      </c>
      <c r="K183">
        <v>2</v>
      </c>
      <c r="L183">
        <v>1</v>
      </c>
      <c r="M183">
        <v>4</v>
      </c>
      <c r="N183">
        <v>4</v>
      </c>
    </row>
    <row r="184" spans="1:14" hidden="1" x14ac:dyDescent="0.3">
      <c r="A184">
        <v>2072</v>
      </c>
      <c r="B184">
        <v>91</v>
      </c>
      <c r="C184">
        <v>242</v>
      </c>
      <c r="D184">
        <v>28</v>
      </c>
      <c r="E184">
        <v>64</v>
      </c>
      <c r="F184">
        <v>67</v>
      </c>
      <c r="G184">
        <v>28</v>
      </c>
      <c r="H184">
        <v>43</v>
      </c>
      <c r="I184">
        <v>387</v>
      </c>
      <c r="J184">
        <v>2</v>
      </c>
      <c r="K184">
        <v>2</v>
      </c>
      <c r="L184">
        <v>1</v>
      </c>
      <c r="M184">
        <v>4</v>
      </c>
      <c r="N184">
        <v>5</v>
      </c>
    </row>
    <row r="185" spans="1:14" hidden="1" x14ac:dyDescent="0.3">
      <c r="A185">
        <v>1152</v>
      </c>
      <c r="B185">
        <v>91</v>
      </c>
      <c r="C185">
        <v>281</v>
      </c>
      <c r="D185">
        <v>16</v>
      </c>
      <c r="E185">
        <v>260</v>
      </c>
      <c r="F185">
        <v>37</v>
      </c>
      <c r="G185">
        <v>21</v>
      </c>
      <c r="H185">
        <v>27</v>
      </c>
      <c r="I185">
        <v>589</v>
      </c>
      <c r="J185">
        <v>4</v>
      </c>
      <c r="K185">
        <v>3</v>
      </c>
      <c r="L185">
        <v>0</v>
      </c>
      <c r="M185">
        <v>4</v>
      </c>
      <c r="N185">
        <v>8</v>
      </c>
    </row>
    <row r="186" spans="1:14" hidden="1" x14ac:dyDescent="0.3">
      <c r="A186">
        <v>1433</v>
      </c>
      <c r="B186">
        <v>91</v>
      </c>
      <c r="C186">
        <v>581</v>
      </c>
      <c r="D186">
        <v>20</v>
      </c>
      <c r="E186">
        <v>229</v>
      </c>
      <c r="F186">
        <v>84</v>
      </c>
      <c r="G186">
        <v>184</v>
      </c>
      <c r="H186">
        <v>98</v>
      </c>
      <c r="I186">
        <v>1001</v>
      </c>
      <c r="J186">
        <v>2</v>
      </c>
      <c r="K186">
        <v>3</v>
      </c>
      <c r="L186">
        <v>2</v>
      </c>
      <c r="M186">
        <v>9</v>
      </c>
      <c r="N186">
        <v>3</v>
      </c>
    </row>
    <row r="187" spans="1:14" hidden="1" x14ac:dyDescent="0.3">
      <c r="A187">
        <v>2129</v>
      </c>
      <c r="B187">
        <v>91</v>
      </c>
      <c r="C187">
        <v>956</v>
      </c>
      <c r="D187">
        <v>8</v>
      </c>
      <c r="E187">
        <v>107</v>
      </c>
      <c r="F187">
        <v>0</v>
      </c>
      <c r="G187">
        <v>0</v>
      </c>
      <c r="H187">
        <v>52</v>
      </c>
      <c r="I187">
        <v>1019</v>
      </c>
      <c r="J187">
        <v>2</v>
      </c>
      <c r="K187">
        <v>9</v>
      </c>
      <c r="L187">
        <v>1</v>
      </c>
      <c r="M187">
        <v>4</v>
      </c>
      <c r="N187">
        <v>8</v>
      </c>
    </row>
    <row r="188" spans="1:14" hidden="1" x14ac:dyDescent="0.3">
      <c r="A188">
        <v>2793</v>
      </c>
      <c r="B188">
        <v>91</v>
      </c>
      <c r="C188">
        <v>1101</v>
      </c>
      <c r="D188">
        <v>27</v>
      </c>
      <c r="E188">
        <v>260</v>
      </c>
      <c r="F188">
        <v>36</v>
      </c>
      <c r="G188">
        <v>42</v>
      </c>
      <c r="H188">
        <v>101</v>
      </c>
      <c r="I188">
        <v>1364</v>
      </c>
      <c r="J188">
        <v>3</v>
      </c>
      <c r="K188">
        <v>6</v>
      </c>
      <c r="L188">
        <v>2</v>
      </c>
      <c r="M188">
        <v>8</v>
      </c>
      <c r="N188">
        <v>5</v>
      </c>
    </row>
    <row r="189" spans="1:14" hidden="1" x14ac:dyDescent="0.3">
      <c r="A189">
        <v>3136</v>
      </c>
      <c r="B189">
        <v>91</v>
      </c>
      <c r="C189">
        <v>1425</v>
      </c>
      <c r="D189">
        <v>304</v>
      </c>
      <c r="E189">
        <v>281</v>
      </c>
      <c r="F189">
        <v>198</v>
      </c>
      <c r="G189">
        <v>405</v>
      </c>
      <c r="H189">
        <v>509</v>
      </c>
      <c r="I189">
        <v>2105</v>
      </c>
      <c r="J189">
        <v>1</v>
      </c>
      <c r="K189">
        <v>4</v>
      </c>
      <c r="L189">
        <v>8</v>
      </c>
      <c r="M189">
        <v>5</v>
      </c>
      <c r="N189">
        <v>1</v>
      </c>
    </row>
    <row r="190" spans="1:14" hidden="1" x14ac:dyDescent="0.3">
      <c r="A190">
        <v>2758</v>
      </c>
      <c r="B190">
        <v>91</v>
      </c>
      <c r="C190">
        <v>1570</v>
      </c>
      <c r="D190">
        <v>41</v>
      </c>
      <c r="E190">
        <v>409</v>
      </c>
      <c r="F190">
        <v>82</v>
      </c>
      <c r="G190">
        <v>63</v>
      </c>
      <c r="H190">
        <v>41</v>
      </c>
      <c r="I190">
        <v>2123</v>
      </c>
      <c r="J190">
        <v>2</v>
      </c>
      <c r="K190">
        <v>11</v>
      </c>
      <c r="L190">
        <v>2</v>
      </c>
      <c r="M190">
        <v>10</v>
      </c>
      <c r="N190">
        <v>7</v>
      </c>
    </row>
    <row r="191" spans="1:14" hidden="1" x14ac:dyDescent="0.3">
      <c r="A191">
        <v>2240</v>
      </c>
      <c r="B191">
        <v>91</v>
      </c>
      <c r="C191">
        <v>1696</v>
      </c>
      <c r="D191">
        <v>145</v>
      </c>
      <c r="E191">
        <v>2180</v>
      </c>
      <c r="F191">
        <v>505</v>
      </c>
      <c r="G191">
        <v>436</v>
      </c>
      <c r="H191">
        <v>290</v>
      </c>
      <c r="I191">
        <v>4671</v>
      </c>
      <c r="J191">
        <v>1</v>
      </c>
      <c r="K191">
        <v>4</v>
      </c>
      <c r="L191">
        <v>7</v>
      </c>
      <c r="M191">
        <v>11</v>
      </c>
      <c r="N191">
        <v>2</v>
      </c>
    </row>
    <row r="192" spans="1:14" hidden="1" x14ac:dyDescent="0.3">
      <c r="A192">
        <v>2330</v>
      </c>
      <c r="B192">
        <v>91</v>
      </c>
      <c r="C192">
        <v>1831</v>
      </c>
      <c r="D192">
        <v>168</v>
      </c>
      <c r="E192">
        <v>1322</v>
      </c>
      <c r="F192">
        <v>0</v>
      </c>
      <c r="G192">
        <v>67</v>
      </c>
      <c r="H192">
        <v>32</v>
      </c>
      <c r="I192">
        <v>3356</v>
      </c>
      <c r="J192">
        <v>1</v>
      </c>
      <c r="K192">
        <v>4</v>
      </c>
      <c r="L192">
        <v>8</v>
      </c>
      <c r="M192">
        <v>10</v>
      </c>
      <c r="N192">
        <v>2</v>
      </c>
    </row>
    <row r="193" spans="1:14" hidden="1" x14ac:dyDescent="0.3">
      <c r="A193">
        <v>3218</v>
      </c>
      <c r="B193">
        <v>91</v>
      </c>
      <c r="C193">
        <v>2257</v>
      </c>
      <c r="D193">
        <v>119</v>
      </c>
      <c r="E193">
        <v>539</v>
      </c>
      <c r="F193">
        <v>80</v>
      </c>
      <c r="G193">
        <v>30</v>
      </c>
      <c r="H193">
        <v>60</v>
      </c>
      <c r="I193">
        <v>2965</v>
      </c>
      <c r="J193">
        <v>1</v>
      </c>
      <c r="K193">
        <v>2</v>
      </c>
      <c r="L193">
        <v>3</v>
      </c>
      <c r="M193">
        <v>-10</v>
      </c>
      <c r="N193">
        <v>6</v>
      </c>
    </row>
    <row r="194" spans="1:14" hidden="1" x14ac:dyDescent="0.3">
      <c r="A194">
        <v>1018</v>
      </c>
      <c r="B194">
        <v>91</v>
      </c>
      <c r="C194">
        <v>2326</v>
      </c>
      <c r="D194">
        <v>184</v>
      </c>
      <c r="E194">
        <v>1145</v>
      </c>
      <c r="F194">
        <v>0</v>
      </c>
      <c r="G194">
        <v>37</v>
      </c>
      <c r="H194">
        <v>405</v>
      </c>
      <c r="I194">
        <v>3287</v>
      </c>
      <c r="J194">
        <v>2</v>
      </c>
      <c r="K194">
        <v>11</v>
      </c>
      <c r="L194">
        <v>4</v>
      </c>
      <c r="M194">
        <v>9</v>
      </c>
      <c r="N194">
        <v>5</v>
      </c>
    </row>
    <row r="195" spans="1:14" hidden="1" x14ac:dyDescent="0.3">
      <c r="A195">
        <v>3203</v>
      </c>
      <c r="B195">
        <v>91</v>
      </c>
      <c r="C195">
        <v>2502</v>
      </c>
      <c r="D195">
        <v>132</v>
      </c>
      <c r="E195">
        <v>598</v>
      </c>
      <c r="F195">
        <v>88</v>
      </c>
      <c r="G195">
        <v>33</v>
      </c>
      <c r="H195">
        <v>66</v>
      </c>
      <c r="I195">
        <v>3287</v>
      </c>
      <c r="J195">
        <v>1</v>
      </c>
      <c r="K195">
        <v>2</v>
      </c>
      <c r="L195">
        <v>3</v>
      </c>
      <c r="M195">
        <v>13</v>
      </c>
      <c r="N195">
        <v>6</v>
      </c>
    </row>
    <row r="196" spans="1:14" hidden="1" x14ac:dyDescent="0.3">
      <c r="A196">
        <v>1333</v>
      </c>
      <c r="B196">
        <v>90</v>
      </c>
      <c r="C196">
        <v>36</v>
      </c>
      <c r="D196">
        <v>0</v>
      </c>
      <c r="E196">
        <v>12</v>
      </c>
      <c r="F196">
        <v>0</v>
      </c>
      <c r="G196">
        <v>0</v>
      </c>
      <c r="H196">
        <v>16</v>
      </c>
      <c r="I196">
        <v>32</v>
      </c>
      <c r="J196">
        <v>1</v>
      </c>
      <c r="K196">
        <v>1</v>
      </c>
      <c r="L196">
        <v>0</v>
      </c>
      <c r="M196">
        <v>2</v>
      </c>
      <c r="N196">
        <v>6</v>
      </c>
    </row>
    <row r="197" spans="1:14" hidden="1" x14ac:dyDescent="0.3">
      <c r="A197">
        <v>2817</v>
      </c>
      <c r="B197">
        <v>90</v>
      </c>
      <c r="C197">
        <v>38</v>
      </c>
      <c r="D197">
        <v>14</v>
      </c>
      <c r="E197">
        <v>89</v>
      </c>
      <c r="F197">
        <v>0</v>
      </c>
      <c r="G197">
        <v>9</v>
      </c>
      <c r="H197">
        <v>14</v>
      </c>
      <c r="I197">
        <v>136</v>
      </c>
      <c r="J197">
        <v>2</v>
      </c>
      <c r="K197">
        <v>2</v>
      </c>
      <c r="L197">
        <v>0</v>
      </c>
      <c r="M197">
        <v>3</v>
      </c>
      <c r="N197">
        <v>6</v>
      </c>
    </row>
    <row r="198" spans="1:14" hidden="1" x14ac:dyDescent="0.3">
      <c r="A198">
        <v>2707</v>
      </c>
      <c r="B198">
        <v>90</v>
      </c>
      <c r="C198">
        <v>66</v>
      </c>
      <c r="D198">
        <v>7</v>
      </c>
      <c r="E198">
        <v>37</v>
      </c>
      <c r="F198">
        <v>0</v>
      </c>
      <c r="G198">
        <v>0</v>
      </c>
      <c r="H198">
        <v>92</v>
      </c>
      <c r="I198">
        <v>18</v>
      </c>
      <c r="J198">
        <v>1</v>
      </c>
      <c r="K198">
        <v>1</v>
      </c>
      <c r="L198">
        <v>1</v>
      </c>
      <c r="M198">
        <v>2</v>
      </c>
      <c r="N198">
        <v>7</v>
      </c>
    </row>
    <row r="199" spans="1:14" hidden="1" x14ac:dyDescent="0.3">
      <c r="A199">
        <v>3064</v>
      </c>
      <c r="B199">
        <v>90</v>
      </c>
      <c r="C199">
        <v>79</v>
      </c>
      <c r="D199">
        <v>3</v>
      </c>
      <c r="E199">
        <v>31</v>
      </c>
      <c r="F199">
        <v>6</v>
      </c>
      <c r="G199">
        <v>0</v>
      </c>
      <c r="H199">
        <v>3</v>
      </c>
      <c r="I199">
        <v>116</v>
      </c>
      <c r="J199">
        <v>1</v>
      </c>
      <c r="K199">
        <v>1</v>
      </c>
      <c r="L199">
        <v>0</v>
      </c>
      <c r="M199">
        <v>3</v>
      </c>
      <c r="N199">
        <v>5</v>
      </c>
    </row>
    <row r="200" spans="1:14" hidden="1" x14ac:dyDescent="0.3">
      <c r="A200">
        <v>1166</v>
      </c>
      <c r="B200">
        <v>90</v>
      </c>
      <c r="C200">
        <v>104</v>
      </c>
      <c r="D200">
        <v>0</v>
      </c>
      <c r="E200">
        <v>50</v>
      </c>
      <c r="F200">
        <v>0</v>
      </c>
      <c r="G200">
        <v>0</v>
      </c>
      <c r="H200">
        <v>7</v>
      </c>
      <c r="I200">
        <v>147</v>
      </c>
      <c r="J200">
        <v>2</v>
      </c>
      <c r="K200">
        <v>2</v>
      </c>
      <c r="L200">
        <v>0</v>
      </c>
      <c r="M200">
        <v>3</v>
      </c>
      <c r="N200">
        <v>7</v>
      </c>
    </row>
    <row r="201" spans="1:14" hidden="1" x14ac:dyDescent="0.3">
      <c r="A201">
        <v>1673</v>
      </c>
      <c r="B201">
        <v>90</v>
      </c>
      <c r="C201">
        <v>225</v>
      </c>
      <c r="D201">
        <v>50</v>
      </c>
      <c r="E201">
        <v>269</v>
      </c>
      <c r="F201">
        <v>57</v>
      </c>
      <c r="G201">
        <v>37</v>
      </c>
      <c r="H201">
        <v>269</v>
      </c>
      <c r="I201">
        <v>370</v>
      </c>
      <c r="J201">
        <v>3</v>
      </c>
      <c r="K201">
        <v>1</v>
      </c>
      <c r="L201">
        <v>4</v>
      </c>
      <c r="M201">
        <v>4</v>
      </c>
      <c r="N201">
        <v>3</v>
      </c>
    </row>
    <row r="202" spans="1:14" hidden="1" x14ac:dyDescent="0.3">
      <c r="A202">
        <v>1397</v>
      </c>
      <c r="B202">
        <v>90</v>
      </c>
      <c r="C202">
        <v>266</v>
      </c>
      <c r="D202">
        <v>138</v>
      </c>
      <c r="E202">
        <v>169</v>
      </c>
      <c r="F202">
        <v>319</v>
      </c>
      <c r="G202">
        <v>244</v>
      </c>
      <c r="H202">
        <v>19</v>
      </c>
      <c r="I202">
        <v>1118</v>
      </c>
      <c r="J202">
        <v>3</v>
      </c>
      <c r="K202">
        <v>5</v>
      </c>
      <c r="L202">
        <v>1</v>
      </c>
      <c r="M202">
        <v>7</v>
      </c>
      <c r="N202">
        <v>7</v>
      </c>
    </row>
    <row r="203" spans="1:14" hidden="1" x14ac:dyDescent="0.3">
      <c r="A203">
        <v>1746</v>
      </c>
      <c r="B203">
        <v>90</v>
      </c>
      <c r="C203">
        <v>421</v>
      </c>
      <c r="D203">
        <v>9</v>
      </c>
      <c r="E203">
        <v>116</v>
      </c>
      <c r="F203">
        <v>12</v>
      </c>
      <c r="G203">
        <v>0</v>
      </c>
      <c r="H203">
        <v>180</v>
      </c>
      <c r="I203">
        <v>378</v>
      </c>
      <c r="J203">
        <v>3</v>
      </c>
      <c r="K203">
        <v>3</v>
      </c>
      <c r="L203">
        <v>2</v>
      </c>
      <c r="M203">
        <v>4</v>
      </c>
      <c r="N203">
        <v>6</v>
      </c>
    </row>
    <row r="204" spans="1:14" hidden="1" x14ac:dyDescent="0.3">
      <c r="A204">
        <v>1595</v>
      </c>
      <c r="B204">
        <v>90</v>
      </c>
      <c r="C204">
        <v>522</v>
      </c>
      <c r="D204">
        <v>81</v>
      </c>
      <c r="E204">
        <v>171</v>
      </c>
      <c r="F204">
        <v>52</v>
      </c>
      <c r="G204">
        <v>0</v>
      </c>
      <c r="H204">
        <v>32</v>
      </c>
      <c r="I204">
        <v>793</v>
      </c>
      <c r="J204">
        <v>1</v>
      </c>
      <c r="K204">
        <v>3</v>
      </c>
      <c r="L204">
        <v>1</v>
      </c>
      <c r="M204">
        <v>7</v>
      </c>
      <c r="N204">
        <v>3</v>
      </c>
    </row>
    <row r="205" spans="1:14" hidden="1" x14ac:dyDescent="0.3">
      <c r="A205">
        <v>1439</v>
      </c>
      <c r="B205">
        <v>90</v>
      </c>
      <c r="C205">
        <v>585</v>
      </c>
      <c r="D205">
        <v>86</v>
      </c>
      <c r="E205">
        <v>367</v>
      </c>
      <c r="F205">
        <v>43</v>
      </c>
      <c r="G205">
        <v>11</v>
      </c>
      <c r="H205">
        <v>150</v>
      </c>
      <c r="I205">
        <v>941</v>
      </c>
      <c r="J205">
        <v>7</v>
      </c>
      <c r="K205">
        <v>5</v>
      </c>
      <c r="L205">
        <v>1</v>
      </c>
      <c r="M205">
        <v>6</v>
      </c>
      <c r="N205">
        <v>8</v>
      </c>
    </row>
    <row r="206" spans="1:14" hidden="1" x14ac:dyDescent="0.3">
      <c r="A206">
        <v>2225</v>
      </c>
      <c r="B206">
        <v>90</v>
      </c>
      <c r="C206">
        <v>701</v>
      </c>
      <c r="D206">
        <v>42</v>
      </c>
      <c r="E206">
        <v>558</v>
      </c>
      <c r="F206">
        <v>55</v>
      </c>
      <c r="G206">
        <v>55</v>
      </c>
      <c r="H206">
        <v>208</v>
      </c>
      <c r="I206">
        <v>1204</v>
      </c>
      <c r="J206">
        <v>4</v>
      </c>
      <c r="K206">
        <v>6</v>
      </c>
      <c r="L206">
        <v>2</v>
      </c>
      <c r="M206">
        <v>4</v>
      </c>
      <c r="N206">
        <v>8</v>
      </c>
    </row>
    <row r="207" spans="1:14" hidden="1" x14ac:dyDescent="0.3">
      <c r="A207">
        <v>1702</v>
      </c>
      <c r="B207">
        <v>90</v>
      </c>
      <c r="C207">
        <v>1410</v>
      </c>
      <c r="D207">
        <v>0</v>
      </c>
      <c r="E207">
        <v>361</v>
      </c>
      <c r="F207">
        <v>75</v>
      </c>
      <c r="G207">
        <v>75</v>
      </c>
      <c r="H207">
        <v>417</v>
      </c>
      <c r="I207">
        <v>1505</v>
      </c>
      <c r="J207">
        <v>1</v>
      </c>
      <c r="K207">
        <v>11</v>
      </c>
      <c r="L207">
        <v>1</v>
      </c>
      <c r="M207">
        <v>8</v>
      </c>
      <c r="N207">
        <v>7</v>
      </c>
    </row>
    <row r="208" spans="1:14" hidden="1" x14ac:dyDescent="0.3">
      <c r="A208">
        <v>2984</v>
      </c>
      <c r="B208">
        <v>90</v>
      </c>
      <c r="C208">
        <v>1413</v>
      </c>
      <c r="D208">
        <v>35</v>
      </c>
      <c r="E208">
        <v>285</v>
      </c>
      <c r="F208">
        <v>25</v>
      </c>
      <c r="G208">
        <v>35</v>
      </c>
      <c r="H208">
        <v>88</v>
      </c>
      <c r="I208">
        <v>1706</v>
      </c>
      <c r="J208">
        <v>3</v>
      </c>
      <c r="K208">
        <v>8</v>
      </c>
      <c r="L208">
        <v>2</v>
      </c>
      <c r="M208">
        <v>10</v>
      </c>
      <c r="N208">
        <v>5</v>
      </c>
    </row>
    <row r="209" spans="1:14" hidden="1" x14ac:dyDescent="0.3">
      <c r="A209">
        <v>1758</v>
      </c>
      <c r="B209">
        <v>90</v>
      </c>
      <c r="C209">
        <v>1596</v>
      </c>
      <c r="D209">
        <v>26</v>
      </c>
      <c r="E209">
        <v>920</v>
      </c>
      <c r="F209">
        <v>176</v>
      </c>
      <c r="G209">
        <v>0</v>
      </c>
      <c r="H209">
        <v>0</v>
      </c>
      <c r="I209">
        <v>2718</v>
      </c>
      <c r="J209">
        <v>1</v>
      </c>
      <c r="K209">
        <v>2</v>
      </c>
      <c r="L209">
        <v>11</v>
      </c>
      <c r="M209">
        <v>4</v>
      </c>
      <c r="N209">
        <v>1</v>
      </c>
    </row>
    <row r="210" spans="1:14" hidden="1" x14ac:dyDescent="0.3">
      <c r="A210">
        <v>2262</v>
      </c>
      <c r="B210">
        <v>90</v>
      </c>
      <c r="C210">
        <v>1882</v>
      </c>
      <c r="D210">
        <v>164</v>
      </c>
      <c r="E210">
        <v>726</v>
      </c>
      <c r="F210">
        <v>301</v>
      </c>
      <c r="G210">
        <v>298</v>
      </c>
      <c r="H210">
        <v>361</v>
      </c>
      <c r="I210">
        <v>3009</v>
      </c>
      <c r="J210">
        <v>2</v>
      </c>
      <c r="K210">
        <v>9</v>
      </c>
      <c r="L210">
        <v>7</v>
      </c>
      <c r="M210">
        <v>10</v>
      </c>
      <c r="N210">
        <v>7</v>
      </c>
    </row>
    <row r="211" spans="1:14" hidden="1" x14ac:dyDescent="0.3">
      <c r="A211">
        <v>1065</v>
      </c>
      <c r="B211">
        <v>90</v>
      </c>
      <c r="C211">
        <v>2000</v>
      </c>
      <c r="D211">
        <v>138</v>
      </c>
      <c r="E211">
        <v>1138</v>
      </c>
      <c r="F211">
        <v>135</v>
      </c>
      <c r="G211">
        <v>68</v>
      </c>
      <c r="H211">
        <v>171</v>
      </c>
      <c r="I211">
        <v>3308</v>
      </c>
      <c r="J211">
        <v>7</v>
      </c>
      <c r="K211">
        <v>2</v>
      </c>
      <c r="L211">
        <v>5</v>
      </c>
      <c r="M211">
        <v>5</v>
      </c>
      <c r="N211">
        <v>5</v>
      </c>
    </row>
    <row r="212" spans="1:14" hidden="1" x14ac:dyDescent="0.3">
      <c r="A212">
        <v>2872</v>
      </c>
      <c r="B212">
        <v>90</v>
      </c>
      <c r="C212">
        <v>2142</v>
      </c>
      <c r="D212">
        <v>65</v>
      </c>
      <c r="E212">
        <v>903</v>
      </c>
      <c r="F212">
        <v>130</v>
      </c>
      <c r="G212">
        <v>132</v>
      </c>
      <c r="H212">
        <v>166</v>
      </c>
      <c r="I212">
        <v>3206</v>
      </c>
      <c r="J212">
        <v>1</v>
      </c>
      <c r="K212">
        <v>4</v>
      </c>
      <c r="L212">
        <v>6</v>
      </c>
      <c r="M212">
        <v>4</v>
      </c>
      <c r="N212">
        <v>1</v>
      </c>
    </row>
    <row r="213" spans="1:14" hidden="1" x14ac:dyDescent="0.3">
      <c r="A213">
        <v>1235</v>
      </c>
      <c r="B213">
        <v>90</v>
      </c>
      <c r="C213">
        <v>2143</v>
      </c>
      <c r="D213">
        <v>332</v>
      </c>
      <c r="E213">
        <v>1905</v>
      </c>
      <c r="F213">
        <v>372</v>
      </c>
      <c r="G213">
        <v>94</v>
      </c>
      <c r="H213">
        <v>427</v>
      </c>
      <c r="I213">
        <v>4420</v>
      </c>
      <c r="J213">
        <v>1</v>
      </c>
      <c r="K213">
        <v>4</v>
      </c>
      <c r="L213">
        <v>10</v>
      </c>
      <c r="M213">
        <v>5</v>
      </c>
      <c r="N213">
        <v>3</v>
      </c>
    </row>
    <row r="214" spans="1:14" hidden="1" x14ac:dyDescent="0.3">
      <c r="A214">
        <v>2865</v>
      </c>
      <c r="B214">
        <v>90</v>
      </c>
      <c r="C214">
        <v>2143</v>
      </c>
      <c r="D214">
        <v>332</v>
      </c>
      <c r="E214">
        <v>1905</v>
      </c>
      <c r="F214">
        <v>372</v>
      </c>
      <c r="G214">
        <v>94</v>
      </c>
      <c r="H214">
        <v>427</v>
      </c>
      <c r="I214">
        <v>4420</v>
      </c>
      <c r="J214">
        <v>1</v>
      </c>
      <c r="K214">
        <v>4</v>
      </c>
      <c r="L214">
        <v>10</v>
      </c>
      <c r="M214">
        <v>5</v>
      </c>
      <c r="N214">
        <v>3</v>
      </c>
    </row>
    <row r="215" spans="1:14" hidden="1" x14ac:dyDescent="0.3">
      <c r="A215">
        <v>3128</v>
      </c>
      <c r="B215">
        <v>90</v>
      </c>
      <c r="C215">
        <v>2676</v>
      </c>
      <c r="D215">
        <v>79</v>
      </c>
      <c r="E215">
        <v>1054</v>
      </c>
      <c r="F215">
        <v>159</v>
      </c>
      <c r="G215">
        <v>122</v>
      </c>
      <c r="H215">
        <v>404</v>
      </c>
      <c r="I215">
        <v>3686</v>
      </c>
      <c r="J215">
        <v>3</v>
      </c>
      <c r="K215">
        <v>9</v>
      </c>
      <c r="L215">
        <v>10</v>
      </c>
      <c r="M215">
        <v>4</v>
      </c>
      <c r="N215">
        <v>6</v>
      </c>
    </row>
    <row r="216" spans="1:14" hidden="1" x14ac:dyDescent="0.3">
      <c r="A216">
        <v>1797</v>
      </c>
      <c r="B216">
        <v>89</v>
      </c>
      <c r="C216">
        <v>30</v>
      </c>
      <c r="D216">
        <v>8</v>
      </c>
      <c r="E216">
        <v>17</v>
      </c>
      <c r="F216">
        <v>8</v>
      </c>
      <c r="G216">
        <v>4</v>
      </c>
      <c r="H216">
        <v>17</v>
      </c>
      <c r="I216">
        <v>51</v>
      </c>
      <c r="J216">
        <v>1</v>
      </c>
      <c r="K216">
        <v>1</v>
      </c>
      <c r="L216">
        <v>0</v>
      </c>
      <c r="M216">
        <v>2</v>
      </c>
      <c r="N216">
        <v>6</v>
      </c>
    </row>
    <row r="217" spans="1:14" hidden="1" x14ac:dyDescent="0.3">
      <c r="A217">
        <v>2265</v>
      </c>
      <c r="B217">
        <v>89</v>
      </c>
      <c r="C217">
        <v>33</v>
      </c>
      <c r="D217">
        <v>108</v>
      </c>
      <c r="E217">
        <v>367</v>
      </c>
      <c r="F217">
        <v>626</v>
      </c>
      <c r="G217">
        <v>231</v>
      </c>
      <c r="H217">
        <v>677</v>
      </c>
      <c r="I217">
        <v>687</v>
      </c>
      <c r="J217">
        <v>2</v>
      </c>
      <c r="K217">
        <v>4</v>
      </c>
      <c r="L217">
        <v>2</v>
      </c>
      <c r="M217">
        <v>5</v>
      </c>
      <c r="N217">
        <v>7</v>
      </c>
    </row>
    <row r="218" spans="1:14" hidden="1" x14ac:dyDescent="0.3">
      <c r="A218">
        <v>1025</v>
      </c>
      <c r="B218">
        <v>89</v>
      </c>
      <c r="C218">
        <v>38</v>
      </c>
      <c r="D218">
        <v>26</v>
      </c>
      <c r="E218">
        <v>159</v>
      </c>
      <c r="F218">
        <v>96</v>
      </c>
      <c r="G218">
        <v>77</v>
      </c>
      <c r="H218">
        <v>83</v>
      </c>
      <c r="I218">
        <v>313</v>
      </c>
      <c r="J218">
        <v>2</v>
      </c>
      <c r="K218">
        <v>2</v>
      </c>
      <c r="L218">
        <v>1</v>
      </c>
      <c r="M218">
        <v>3</v>
      </c>
      <c r="N218">
        <v>7</v>
      </c>
    </row>
    <row r="219" spans="1:14" hidden="1" x14ac:dyDescent="0.3">
      <c r="A219">
        <v>2531</v>
      </c>
      <c r="B219">
        <v>89</v>
      </c>
      <c r="C219">
        <v>44</v>
      </c>
      <c r="D219">
        <v>4</v>
      </c>
      <c r="E219">
        <v>22</v>
      </c>
      <c r="F219">
        <v>0</v>
      </c>
      <c r="G219">
        <v>4</v>
      </c>
      <c r="H219">
        <v>18</v>
      </c>
      <c r="I219">
        <v>55</v>
      </c>
      <c r="J219">
        <v>2</v>
      </c>
      <c r="K219">
        <v>1</v>
      </c>
      <c r="L219">
        <v>0</v>
      </c>
      <c r="M219">
        <v>3</v>
      </c>
      <c r="N219">
        <v>7</v>
      </c>
    </row>
    <row r="220" spans="1:14" hidden="1" x14ac:dyDescent="0.3">
      <c r="A220">
        <v>2992</v>
      </c>
      <c r="B220">
        <v>89</v>
      </c>
      <c r="C220">
        <v>55</v>
      </c>
      <c r="D220">
        <v>5</v>
      </c>
      <c r="E220">
        <v>73</v>
      </c>
      <c r="F220">
        <v>18</v>
      </c>
      <c r="G220">
        <v>5</v>
      </c>
      <c r="H220">
        <v>14</v>
      </c>
      <c r="I220">
        <v>142</v>
      </c>
      <c r="J220">
        <v>3</v>
      </c>
      <c r="K220">
        <v>2</v>
      </c>
      <c r="L220">
        <v>0</v>
      </c>
      <c r="M220">
        <v>3</v>
      </c>
      <c r="N220">
        <v>8</v>
      </c>
    </row>
    <row r="221" spans="1:14" hidden="1" x14ac:dyDescent="0.3">
      <c r="A221">
        <v>1289</v>
      </c>
      <c r="B221">
        <v>89</v>
      </c>
      <c r="C221">
        <v>117</v>
      </c>
      <c r="D221">
        <v>0</v>
      </c>
      <c r="E221">
        <v>145</v>
      </c>
      <c r="F221">
        <v>13</v>
      </c>
      <c r="G221">
        <v>9</v>
      </c>
      <c r="H221">
        <v>0</v>
      </c>
      <c r="I221">
        <v>284</v>
      </c>
      <c r="J221">
        <v>1</v>
      </c>
      <c r="K221">
        <v>2</v>
      </c>
      <c r="L221">
        <v>1</v>
      </c>
      <c r="M221">
        <v>3</v>
      </c>
      <c r="N221">
        <v>4</v>
      </c>
    </row>
    <row r="222" spans="1:14" hidden="1" x14ac:dyDescent="0.3">
      <c r="A222">
        <v>2351</v>
      </c>
      <c r="B222">
        <v>89</v>
      </c>
      <c r="C222">
        <v>152</v>
      </c>
      <c r="D222">
        <v>12</v>
      </c>
      <c r="E222">
        <v>72</v>
      </c>
      <c r="F222">
        <v>12</v>
      </c>
      <c r="G222">
        <v>21</v>
      </c>
      <c r="H222">
        <v>3</v>
      </c>
      <c r="I222">
        <v>265</v>
      </c>
      <c r="J222">
        <v>2</v>
      </c>
      <c r="K222">
        <v>2</v>
      </c>
      <c r="L222">
        <v>0</v>
      </c>
      <c r="M222">
        <v>4</v>
      </c>
      <c r="N222">
        <v>6</v>
      </c>
    </row>
    <row r="223" spans="1:14" hidden="1" x14ac:dyDescent="0.3">
      <c r="A223">
        <v>2636</v>
      </c>
      <c r="B223">
        <v>89</v>
      </c>
      <c r="C223">
        <v>197</v>
      </c>
      <c r="D223">
        <v>89</v>
      </c>
      <c r="E223">
        <v>317</v>
      </c>
      <c r="F223">
        <v>128</v>
      </c>
      <c r="G223">
        <v>0</v>
      </c>
      <c r="H223">
        <v>162</v>
      </c>
      <c r="I223">
        <v>568</v>
      </c>
      <c r="J223">
        <v>4</v>
      </c>
      <c r="K223">
        <v>5</v>
      </c>
      <c r="L223">
        <v>1</v>
      </c>
      <c r="M223">
        <v>3</v>
      </c>
      <c r="N223">
        <v>9</v>
      </c>
    </row>
    <row r="224" spans="1:14" hidden="1" x14ac:dyDescent="0.3">
      <c r="A224">
        <v>2832</v>
      </c>
      <c r="B224">
        <v>89</v>
      </c>
      <c r="C224">
        <v>207</v>
      </c>
      <c r="D224">
        <v>23</v>
      </c>
      <c r="E224">
        <v>104</v>
      </c>
      <c r="F224">
        <v>35</v>
      </c>
      <c r="G224">
        <v>12</v>
      </c>
      <c r="H224">
        <v>104</v>
      </c>
      <c r="I224">
        <v>276</v>
      </c>
      <c r="J224">
        <v>1</v>
      </c>
      <c r="K224">
        <v>2</v>
      </c>
      <c r="L224">
        <v>0</v>
      </c>
      <c r="M224">
        <v>4</v>
      </c>
      <c r="N224">
        <v>7</v>
      </c>
    </row>
    <row r="225" spans="1:14" hidden="1" x14ac:dyDescent="0.3">
      <c r="A225">
        <v>2966</v>
      </c>
      <c r="B225">
        <v>89</v>
      </c>
      <c r="C225">
        <v>299</v>
      </c>
      <c r="D225">
        <v>53</v>
      </c>
      <c r="E225">
        <v>95</v>
      </c>
      <c r="F225">
        <v>46</v>
      </c>
      <c r="G225">
        <v>46</v>
      </c>
      <c r="H225">
        <v>74</v>
      </c>
      <c r="I225">
        <v>464</v>
      </c>
      <c r="J225">
        <v>2</v>
      </c>
      <c r="K225">
        <v>3</v>
      </c>
      <c r="L225">
        <v>1</v>
      </c>
      <c r="M225">
        <v>4</v>
      </c>
      <c r="N225">
        <v>7</v>
      </c>
    </row>
    <row r="226" spans="1:14" hidden="1" x14ac:dyDescent="0.3">
      <c r="A226">
        <v>1422</v>
      </c>
      <c r="B226">
        <v>89</v>
      </c>
      <c r="C226">
        <v>408</v>
      </c>
      <c r="D226">
        <v>0</v>
      </c>
      <c r="E226">
        <v>62</v>
      </c>
      <c r="F226">
        <v>8</v>
      </c>
      <c r="G226">
        <v>4</v>
      </c>
      <c r="H226">
        <v>21</v>
      </c>
      <c r="I226">
        <v>462</v>
      </c>
      <c r="J226">
        <v>3</v>
      </c>
      <c r="K226">
        <v>2</v>
      </c>
      <c r="L226">
        <v>1</v>
      </c>
      <c r="M226">
        <v>4</v>
      </c>
      <c r="N226">
        <v>7</v>
      </c>
    </row>
    <row r="227" spans="1:14" hidden="1" x14ac:dyDescent="0.3">
      <c r="A227">
        <v>2296</v>
      </c>
      <c r="B227">
        <v>89</v>
      </c>
      <c r="C227">
        <v>535</v>
      </c>
      <c r="D227">
        <v>141</v>
      </c>
      <c r="E227">
        <v>228</v>
      </c>
      <c r="F227">
        <v>185</v>
      </c>
      <c r="G227">
        <v>31</v>
      </c>
      <c r="H227">
        <v>281</v>
      </c>
      <c r="I227">
        <v>838</v>
      </c>
      <c r="J227">
        <v>4</v>
      </c>
      <c r="K227">
        <v>3</v>
      </c>
      <c r="L227">
        <v>2</v>
      </c>
      <c r="M227">
        <v>8</v>
      </c>
      <c r="N227">
        <v>4</v>
      </c>
    </row>
    <row r="228" spans="1:14" hidden="1" x14ac:dyDescent="0.3">
      <c r="A228">
        <v>1731</v>
      </c>
      <c r="B228">
        <v>89</v>
      </c>
      <c r="C228">
        <v>1139</v>
      </c>
      <c r="D228">
        <v>92</v>
      </c>
      <c r="E228">
        <v>1631</v>
      </c>
      <c r="F228">
        <v>121</v>
      </c>
      <c r="G228">
        <v>123</v>
      </c>
      <c r="H228">
        <v>185</v>
      </c>
      <c r="I228">
        <v>2922</v>
      </c>
      <c r="J228">
        <v>1</v>
      </c>
      <c r="K228">
        <v>6</v>
      </c>
      <c r="L228">
        <v>10</v>
      </c>
      <c r="M228">
        <v>5</v>
      </c>
      <c r="N228">
        <v>2</v>
      </c>
    </row>
    <row r="229" spans="1:14" hidden="1" x14ac:dyDescent="0.3">
      <c r="A229">
        <v>1222</v>
      </c>
      <c r="B229">
        <v>89</v>
      </c>
      <c r="C229">
        <v>1458</v>
      </c>
      <c r="D229">
        <v>54</v>
      </c>
      <c r="E229">
        <v>1204</v>
      </c>
      <c r="F229">
        <v>73</v>
      </c>
      <c r="G229">
        <v>26</v>
      </c>
      <c r="H229">
        <v>83</v>
      </c>
      <c r="I229">
        <v>2731</v>
      </c>
      <c r="J229">
        <v>3</v>
      </c>
      <c r="K229">
        <v>7</v>
      </c>
      <c r="L229">
        <v>8</v>
      </c>
      <c r="M229">
        <v>11</v>
      </c>
      <c r="N229">
        <v>5</v>
      </c>
    </row>
    <row r="230" spans="1:14" hidden="1" x14ac:dyDescent="0.3">
      <c r="A230">
        <v>2114</v>
      </c>
      <c r="B230">
        <v>89</v>
      </c>
      <c r="C230">
        <v>1555</v>
      </c>
      <c r="D230">
        <v>91</v>
      </c>
      <c r="E230">
        <v>1873</v>
      </c>
      <c r="F230">
        <v>475</v>
      </c>
      <c r="G230">
        <v>65</v>
      </c>
      <c r="H230">
        <v>182</v>
      </c>
      <c r="I230">
        <v>3877</v>
      </c>
      <c r="J230">
        <v>2</v>
      </c>
      <c r="K230">
        <v>6</v>
      </c>
      <c r="L230">
        <v>7</v>
      </c>
      <c r="M230">
        <v>9</v>
      </c>
      <c r="N230">
        <v>3</v>
      </c>
    </row>
    <row r="231" spans="1:14" hidden="1" x14ac:dyDescent="0.3">
      <c r="A231">
        <v>2767</v>
      </c>
      <c r="B231">
        <v>89</v>
      </c>
      <c r="C231">
        <v>1628</v>
      </c>
      <c r="D231">
        <v>49</v>
      </c>
      <c r="E231">
        <v>776</v>
      </c>
      <c r="F231">
        <v>335</v>
      </c>
      <c r="G231">
        <v>55</v>
      </c>
      <c r="H231">
        <v>222</v>
      </c>
      <c r="I231">
        <v>2621</v>
      </c>
      <c r="J231">
        <v>1</v>
      </c>
      <c r="K231">
        <v>3</v>
      </c>
      <c r="L231">
        <v>9</v>
      </c>
      <c r="M231">
        <v>13</v>
      </c>
      <c r="N231">
        <v>1</v>
      </c>
    </row>
    <row r="232" spans="1:14" hidden="1" x14ac:dyDescent="0.3">
      <c r="A232">
        <v>3078</v>
      </c>
      <c r="B232">
        <v>89</v>
      </c>
      <c r="C232">
        <v>1838</v>
      </c>
      <c r="D232">
        <v>131</v>
      </c>
      <c r="E232">
        <v>2144</v>
      </c>
      <c r="F232">
        <v>113</v>
      </c>
      <c r="G232">
        <v>175</v>
      </c>
      <c r="H232">
        <v>42</v>
      </c>
      <c r="I232">
        <v>4358</v>
      </c>
      <c r="J232">
        <v>1</v>
      </c>
      <c r="K232">
        <v>5</v>
      </c>
      <c r="L232">
        <v>3</v>
      </c>
      <c r="M232">
        <v>12</v>
      </c>
      <c r="N232">
        <v>2</v>
      </c>
    </row>
    <row r="233" spans="1:14" hidden="1" x14ac:dyDescent="0.3">
      <c r="A233">
        <v>3072</v>
      </c>
      <c r="B233">
        <v>89</v>
      </c>
      <c r="C233">
        <v>2129</v>
      </c>
      <c r="D233">
        <v>55</v>
      </c>
      <c r="E233">
        <v>524</v>
      </c>
      <c r="F233">
        <v>36</v>
      </c>
      <c r="G233">
        <v>55</v>
      </c>
      <c r="H233">
        <v>82</v>
      </c>
      <c r="I233">
        <v>2718</v>
      </c>
      <c r="J233">
        <v>2</v>
      </c>
      <c r="K233">
        <v>8</v>
      </c>
      <c r="L233">
        <v>4</v>
      </c>
      <c r="M233">
        <v>6</v>
      </c>
      <c r="N233">
        <v>3</v>
      </c>
    </row>
    <row r="234" spans="1:14" hidden="1" x14ac:dyDescent="0.3">
      <c r="A234">
        <v>2854</v>
      </c>
      <c r="B234">
        <v>89</v>
      </c>
      <c r="C234">
        <v>2531</v>
      </c>
      <c r="D234">
        <v>148</v>
      </c>
      <c r="E234">
        <v>819</v>
      </c>
      <c r="F234">
        <v>145</v>
      </c>
      <c r="G234">
        <v>111</v>
      </c>
      <c r="H234">
        <v>111</v>
      </c>
      <c r="I234">
        <v>3643</v>
      </c>
      <c r="J234">
        <v>3</v>
      </c>
      <c r="K234">
        <v>5</v>
      </c>
      <c r="L234">
        <v>5</v>
      </c>
      <c r="M234">
        <v>13</v>
      </c>
      <c r="N234">
        <v>8</v>
      </c>
    </row>
    <row r="235" spans="1:14" hidden="1" x14ac:dyDescent="0.3">
      <c r="A235">
        <v>2553</v>
      </c>
      <c r="B235">
        <v>89</v>
      </c>
      <c r="C235">
        <v>2787</v>
      </c>
      <c r="D235">
        <v>0</v>
      </c>
      <c r="E235">
        <v>1035</v>
      </c>
      <c r="F235">
        <v>102</v>
      </c>
      <c r="G235">
        <v>78</v>
      </c>
      <c r="H235">
        <v>0</v>
      </c>
      <c r="I235">
        <v>4002</v>
      </c>
      <c r="J235">
        <v>1</v>
      </c>
      <c r="K235">
        <v>4</v>
      </c>
      <c r="L235">
        <v>5</v>
      </c>
      <c r="M235">
        <v>8</v>
      </c>
      <c r="N235">
        <v>1</v>
      </c>
    </row>
    <row r="236" spans="1:14" hidden="1" x14ac:dyDescent="0.3">
      <c r="A236">
        <v>3183</v>
      </c>
      <c r="B236">
        <v>88</v>
      </c>
      <c r="C236">
        <v>15</v>
      </c>
      <c r="D236">
        <v>7</v>
      </c>
      <c r="E236">
        <v>19</v>
      </c>
      <c r="F236">
        <v>0</v>
      </c>
      <c r="G236">
        <v>0</v>
      </c>
      <c r="H236">
        <v>19</v>
      </c>
      <c r="I236">
        <v>22</v>
      </c>
      <c r="J236">
        <v>1</v>
      </c>
      <c r="K236">
        <v>1</v>
      </c>
      <c r="L236">
        <v>0</v>
      </c>
      <c r="M236">
        <v>2</v>
      </c>
      <c r="N236">
        <v>6</v>
      </c>
    </row>
    <row r="237" spans="1:14" hidden="1" x14ac:dyDescent="0.3">
      <c r="A237">
        <v>1194</v>
      </c>
      <c r="B237">
        <v>88</v>
      </c>
      <c r="C237">
        <v>31</v>
      </c>
      <c r="D237">
        <v>26</v>
      </c>
      <c r="E237">
        <v>57</v>
      </c>
      <c r="F237">
        <v>31</v>
      </c>
      <c r="G237">
        <v>26</v>
      </c>
      <c r="H237">
        <v>61</v>
      </c>
      <c r="I237">
        <v>109</v>
      </c>
      <c r="J237">
        <v>1</v>
      </c>
      <c r="K237">
        <v>1</v>
      </c>
      <c r="L237">
        <v>0</v>
      </c>
      <c r="M237">
        <v>3</v>
      </c>
      <c r="N237">
        <v>9</v>
      </c>
    </row>
    <row r="238" spans="1:14" hidden="1" x14ac:dyDescent="0.3">
      <c r="A238">
        <v>1646</v>
      </c>
      <c r="B238">
        <v>88</v>
      </c>
      <c r="C238">
        <v>31</v>
      </c>
      <c r="D238">
        <v>8</v>
      </c>
      <c r="E238">
        <v>86</v>
      </c>
      <c r="F238">
        <v>47</v>
      </c>
      <c r="G238">
        <v>16</v>
      </c>
      <c r="H238">
        <v>16</v>
      </c>
      <c r="I238">
        <v>172</v>
      </c>
      <c r="J238">
        <v>1</v>
      </c>
      <c r="K238">
        <v>1</v>
      </c>
      <c r="L238">
        <v>0</v>
      </c>
      <c r="M238">
        <v>3</v>
      </c>
      <c r="N238">
        <v>6</v>
      </c>
    </row>
    <row r="239" spans="1:14" hidden="1" x14ac:dyDescent="0.3">
      <c r="A239">
        <v>1040</v>
      </c>
      <c r="B239">
        <v>88</v>
      </c>
      <c r="C239">
        <v>76</v>
      </c>
      <c r="D239">
        <v>6</v>
      </c>
      <c r="E239">
        <v>170</v>
      </c>
      <c r="F239">
        <v>18</v>
      </c>
      <c r="G239">
        <v>0</v>
      </c>
      <c r="H239">
        <v>41</v>
      </c>
      <c r="I239">
        <v>229</v>
      </c>
      <c r="J239">
        <v>2</v>
      </c>
      <c r="K239">
        <v>2</v>
      </c>
      <c r="L239">
        <v>0</v>
      </c>
      <c r="M239">
        <v>3</v>
      </c>
      <c r="N239">
        <v>8</v>
      </c>
    </row>
    <row r="240" spans="1:14" hidden="1" x14ac:dyDescent="0.3">
      <c r="A240">
        <v>2421</v>
      </c>
      <c r="B240">
        <v>88</v>
      </c>
      <c r="C240">
        <v>290</v>
      </c>
      <c r="D240">
        <v>79</v>
      </c>
      <c r="E240">
        <v>299</v>
      </c>
      <c r="F240">
        <v>82</v>
      </c>
      <c r="G240">
        <v>141</v>
      </c>
      <c r="H240">
        <v>18</v>
      </c>
      <c r="I240">
        <v>872</v>
      </c>
      <c r="J240">
        <v>1</v>
      </c>
      <c r="K240">
        <v>2</v>
      </c>
      <c r="L240">
        <v>2</v>
      </c>
      <c r="M240">
        <v>8</v>
      </c>
      <c r="N240">
        <v>1</v>
      </c>
    </row>
    <row r="241" spans="1:14" hidden="1" x14ac:dyDescent="0.3">
      <c r="A241">
        <v>2659</v>
      </c>
      <c r="B241">
        <v>88</v>
      </c>
      <c r="C241">
        <v>620</v>
      </c>
      <c r="D241">
        <v>21</v>
      </c>
      <c r="E241">
        <v>124</v>
      </c>
      <c r="F241">
        <v>9</v>
      </c>
      <c r="G241">
        <v>6</v>
      </c>
      <c r="H241">
        <v>139</v>
      </c>
      <c r="I241">
        <v>641</v>
      </c>
      <c r="J241">
        <v>2</v>
      </c>
      <c r="K241">
        <v>4</v>
      </c>
      <c r="L241">
        <v>2</v>
      </c>
      <c r="M241">
        <v>5</v>
      </c>
      <c r="N241">
        <v>5</v>
      </c>
    </row>
    <row r="242" spans="1:14" hidden="1" x14ac:dyDescent="0.3">
      <c r="A242">
        <v>1599</v>
      </c>
      <c r="B242">
        <v>88</v>
      </c>
      <c r="C242">
        <v>684</v>
      </c>
      <c r="D242">
        <v>41</v>
      </c>
      <c r="E242">
        <v>277</v>
      </c>
      <c r="F242">
        <v>54</v>
      </c>
      <c r="G242">
        <v>54</v>
      </c>
      <c r="H242">
        <v>76</v>
      </c>
      <c r="I242">
        <v>1034</v>
      </c>
      <c r="J242">
        <v>5</v>
      </c>
      <c r="K242">
        <v>6</v>
      </c>
      <c r="L242">
        <v>2</v>
      </c>
      <c r="M242">
        <v>5</v>
      </c>
      <c r="N242">
        <v>7</v>
      </c>
    </row>
    <row r="243" spans="1:14" hidden="1" x14ac:dyDescent="0.3">
      <c r="A243">
        <v>2320</v>
      </c>
      <c r="B243">
        <v>88</v>
      </c>
      <c r="C243">
        <v>821</v>
      </c>
      <c r="D243">
        <v>0</v>
      </c>
      <c r="E243">
        <v>63</v>
      </c>
      <c r="F243">
        <v>12</v>
      </c>
      <c r="G243">
        <v>18</v>
      </c>
      <c r="H243">
        <v>45</v>
      </c>
      <c r="I243">
        <v>869</v>
      </c>
      <c r="J243">
        <v>1</v>
      </c>
      <c r="K243">
        <v>5</v>
      </c>
      <c r="L243">
        <v>1</v>
      </c>
      <c r="M243">
        <v>6</v>
      </c>
      <c r="N243">
        <v>6</v>
      </c>
    </row>
    <row r="244" spans="1:14" hidden="1" x14ac:dyDescent="0.3">
      <c r="A244">
        <v>1274</v>
      </c>
      <c r="B244">
        <v>88</v>
      </c>
      <c r="C244">
        <v>845</v>
      </c>
      <c r="D244">
        <v>83</v>
      </c>
      <c r="E244">
        <v>717</v>
      </c>
      <c r="F244">
        <v>163</v>
      </c>
      <c r="G244">
        <v>338</v>
      </c>
      <c r="H244">
        <v>400</v>
      </c>
      <c r="I244">
        <v>1746</v>
      </c>
      <c r="J244">
        <v>13</v>
      </c>
      <c r="K244">
        <v>6</v>
      </c>
      <c r="L244">
        <v>2</v>
      </c>
      <c r="M244">
        <v>12</v>
      </c>
      <c r="N244">
        <v>5</v>
      </c>
    </row>
    <row r="245" spans="1:14" hidden="1" x14ac:dyDescent="0.3">
      <c r="A245">
        <v>1479</v>
      </c>
      <c r="B245">
        <v>88</v>
      </c>
      <c r="C245">
        <v>850</v>
      </c>
      <c r="D245">
        <v>67</v>
      </c>
      <c r="E245">
        <v>711</v>
      </c>
      <c r="F245">
        <v>67</v>
      </c>
      <c r="G245">
        <v>51</v>
      </c>
      <c r="H245">
        <v>32</v>
      </c>
      <c r="I245">
        <v>1714</v>
      </c>
      <c r="J245">
        <v>3</v>
      </c>
      <c r="K245">
        <v>5</v>
      </c>
      <c r="L245">
        <v>3</v>
      </c>
      <c r="M245">
        <v>11</v>
      </c>
      <c r="N245">
        <v>5</v>
      </c>
    </row>
    <row r="246" spans="1:14" hidden="1" x14ac:dyDescent="0.3">
      <c r="A246">
        <v>3171</v>
      </c>
      <c r="B246">
        <v>88</v>
      </c>
      <c r="C246">
        <v>862</v>
      </c>
      <c r="D246">
        <v>292</v>
      </c>
      <c r="E246">
        <v>367</v>
      </c>
      <c r="F246">
        <v>167</v>
      </c>
      <c r="G246">
        <v>184</v>
      </c>
      <c r="H246">
        <v>127</v>
      </c>
      <c r="I246">
        <v>1745</v>
      </c>
      <c r="J246">
        <v>2</v>
      </c>
      <c r="K246">
        <v>5</v>
      </c>
      <c r="L246">
        <v>5</v>
      </c>
      <c r="M246">
        <v>11</v>
      </c>
      <c r="N246">
        <v>2</v>
      </c>
    </row>
    <row r="247" spans="1:14" hidden="1" x14ac:dyDescent="0.3">
      <c r="A247">
        <v>2483</v>
      </c>
      <c r="B247">
        <v>88</v>
      </c>
      <c r="C247">
        <v>1098</v>
      </c>
      <c r="D247">
        <v>326</v>
      </c>
      <c r="E247">
        <v>593</v>
      </c>
      <c r="F247">
        <v>618</v>
      </c>
      <c r="G247">
        <v>474</v>
      </c>
      <c r="H247">
        <v>179</v>
      </c>
      <c r="I247">
        <v>2931</v>
      </c>
      <c r="J247">
        <v>6</v>
      </c>
      <c r="K247">
        <v>11</v>
      </c>
      <c r="L247">
        <v>8</v>
      </c>
      <c r="M247">
        <v>5</v>
      </c>
      <c r="N247">
        <v>8</v>
      </c>
    </row>
    <row r="248" spans="1:14" hidden="1" x14ac:dyDescent="0.3">
      <c r="A248">
        <v>1068</v>
      </c>
      <c r="B248">
        <v>88</v>
      </c>
      <c r="C248">
        <v>1497</v>
      </c>
      <c r="D248">
        <v>16</v>
      </c>
      <c r="E248">
        <v>172</v>
      </c>
      <c r="F248">
        <v>0</v>
      </c>
      <c r="G248">
        <v>16</v>
      </c>
      <c r="H248">
        <v>50</v>
      </c>
      <c r="I248">
        <v>1651</v>
      </c>
      <c r="J248">
        <v>5</v>
      </c>
      <c r="K248">
        <v>9</v>
      </c>
      <c r="L248">
        <v>2</v>
      </c>
      <c r="M248">
        <v>8</v>
      </c>
      <c r="N248">
        <v>7</v>
      </c>
    </row>
    <row r="249" spans="1:14" hidden="1" x14ac:dyDescent="0.3">
      <c r="A249">
        <v>2118</v>
      </c>
      <c r="B249">
        <v>88</v>
      </c>
      <c r="C249">
        <v>1547</v>
      </c>
      <c r="D249">
        <v>165</v>
      </c>
      <c r="E249">
        <v>856</v>
      </c>
      <c r="F249">
        <v>251</v>
      </c>
      <c r="G249">
        <v>0</v>
      </c>
      <c r="H249">
        <v>26</v>
      </c>
      <c r="I249">
        <v>2793</v>
      </c>
      <c r="J249">
        <v>1</v>
      </c>
      <c r="K249">
        <v>4</v>
      </c>
      <c r="L249">
        <v>6</v>
      </c>
      <c r="M249">
        <v>9</v>
      </c>
      <c r="N249">
        <v>1</v>
      </c>
    </row>
    <row r="250" spans="1:14" hidden="1" x14ac:dyDescent="0.3">
      <c r="A250">
        <v>2329</v>
      </c>
      <c r="B250">
        <v>88</v>
      </c>
      <c r="C250">
        <v>1547</v>
      </c>
      <c r="D250">
        <v>165</v>
      </c>
      <c r="E250">
        <v>856</v>
      </c>
      <c r="F250">
        <v>251</v>
      </c>
      <c r="G250">
        <v>0</v>
      </c>
      <c r="H250">
        <v>26</v>
      </c>
      <c r="I250">
        <v>2793</v>
      </c>
      <c r="J250">
        <v>1</v>
      </c>
      <c r="K250">
        <v>4</v>
      </c>
      <c r="L250">
        <v>6</v>
      </c>
      <c r="M250">
        <v>9</v>
      </c>
      <c r="N250">
        <v>1</v>
      </c>
    </row>
    <row r="251" spans="1:14" hidden="1" x14ac:dyDescent="0.3">
      <c r="A251">
        <v>1688</v>
      </c>
      <c r="B251">
        <v>88</v>
      </c>
      <c r="C251">
        <v>1780</v>
      </c>
      <c r="D251">
        <v>20</v>
      </c>
      <c r="E251">
        <v>139</v>
      </c>
      <c r="F251">
        <v>53</v>
      </c>
      <c r="G251">
        <v>20</v>
      </c>
      <c r="H251">
        <v>99</v>
      </c>
      <c r="I251">
        <v>1913</v>
      </c>
      <c r="J251">
        <v>2</v>
      </c>
      <c r="K251">
        <v>9</v>
      </c>
      <c r="L251">
        <v>3</v>
      </c>
      <c r="M251">
        <v>6</v>
      </c>
      <c r="N251">
        <v>8</v>
      </c>
    </row>
    <row r="252" spans="1:14" hidden="1" x14ac:dyDescent="0.3">
      <c r="A252">
        <v>2112</v>
      </c>
      <c r="B252">
        <v>87</v>
      </c>
      <c r="C252">
        <v>29</v>
      </c>
      <c r="D252">
        <v>5</v>
      </c>
      <c r="E252">
        <v>10</v>
      </c>
      <c r="F252">
        <v>10</v>
      </c>
      <c r="G252">
        <v>0</v>
      </c>
      <c r="H252">
        <v>19</v>
      </c>
      <c r="I252">
        <v>34</v>
      </c>
      <c r="J252">
        <v>1</v>
      </c>
      <c r="K252">
        <v>1</v>
      </c>
      <c r="L252">
        <v>0</v>
      </c>
      <c r="M252">
        <v>2</v>
      </c>
      <c r="N252">
        <v>7</v>
      </c>
    </row>
    <row r="253" spans="1:14" hidden="1" x14ac:dyDescent="0.3">
      <c r="A253">
        <v>1534</v>
      </c>
      <c r="B253">
        <v>87</v>
      </c>
      <c r="C253">
        <v>53</v>
      </c>
      <c r="D253">
        <v>14</v>
      </c>
      <c r="E253">
        <v>35</v>
      </c>
      <c r="F253">
        <v>11</v>
      </c>
      <c r="G253">
        <v>14</v>
      </c>
      <c r="H253">
        <v>64</v>
      </c>
      <c r="I253">
        <v>64</v>
      </c>
      <c r="J253">
        <v>2</v>
      </c>
      <c r="K253">
        <v>1</v>
      </c>
      <c r="L253">
        <v>1</v>
      </c>
      <c r="M253">
        <v>3</v>
      </c>
      <c r="N253">
        <v>3</v>
      </c>
    </row>
    <row r="254" spans="1:14" hidden="1" x14ac:dyDescent="0.3">
      <c r="A254">
        <v>1077</v>
      </c>
      <c r="B254">
        <v>87</v>
      </c>
      <c r="C254">
        <v>131</v>
      </c>
      <c r="D254">
        <v>26</v>
      </c>
      <c r="E254">
        <v>100</v>
      </c>
      <c r="F254">
        <v>37</v>
      </c>
      <c r="G254">
        <v>0</v>
      </c>
      <c r="H254">
        <v>121</v>
      </c>
      <c r="I254">
        <v>173</v>
      </c>
      <c r="J254">
        <v>3</v>
      </c>
      <c r="K254">
        <v>3</v>
      </c>
      <c r="L254">
        <v>0</v>
      </c>
      <c r="M254">
        <v>3</v>
      </c>
      <c r="N254">
        <v>7</v>
      </c>
    </row>
    <row r="255" spans="1:14" hidden="1" x14ac:dyDescent="0.3">
      <c r="A255">
        <v>2002</v>
      </c>
      <c r="B255">
        <v>87</v>
      </c>
      <c r="C255">
        <v>172</v>
      </c>
      <c r="D255">
        <v>5</v>
      </c>
      <c r="E255">
        <v>108</v>
      </c>
      <c r="F255">
        <v>0</v>
      </c>
      <c r="G255">
        <v>0</v>
      </c>
      <c r="H255">
        <v>0</v>
      </c>
      <c r="I255">
        <v>285</v>
      </c>
      <c r="J255">
        <v>1</v>
      </c>
      <c r="K255">
        <v>2</v>
      </c>
      <c r="L255">
        <v>0</v>
      </c>
      <c r="M255">
        <v>3</v>
      </c>
      <c r="N255">
        <v>8</v>
      </c>
    </row>
    <row r="256" spans="1:14" hidden="1" x14ac:dyDescent="0.3">
      <c r="A256">
        <v>1075</v>
      </c>
      <c r="B256">
        <v>87</v>
      </c>
      <c r="C256">
        <v>279</v>
      </c>
      <c r="D256">
        <v>17</v>
      </c>
      <c r="E256">
        <v>296</v>
      </c>
      <c r="F256">
        <v>31</v>
      </c>
      <c r="G256">
        <v>22</v>
      </c>
      <c r="H256">
        <v>74</v>
      </c>
      <c r="I256">
        <v>571</v>
      </c>
      <c r="J256">
        <v>4</v>
      </c>
      <c r="K256">
        <v>3</v>
      </c>
      <c r="L256">
        <v>1</v>
      </c>
      <c r="M256">
        <v>4</v>
      </c>
      <c r="N256">
        <v>8</v>
      </c>
    </row>
    <row r="257" spans="1:14" hidden="1" x14ac:dyDescent="0.3">
      <c r="A257">
        <v>2751</v>
      </c>
      <c r="B257">
        <v>87</v>
      </c>
      <c r="C257">
        <v>279</v>
      </c>
      <c r="D257">
        <v>17</v>
      </c>
      <c r="E257">
        <v>296</v>
      </c>
      <c r="F257">
        <v>31</v>
      </c>
      <c r="G257">
        <v>22</v>
      </c>
      <c r="H257">
        <v>74</v>
      </c>
      <c r="I257">
        <v>571</v>
      </c>
      <c r="J257">
        <v>4</v>
      </c>
      <c r="K257">
        <v>3</v>
      </c>
      <c r="L257">
        <v>1</v>
      </c>
      <c r="M257">
        <v>4</v>
      </c>
      <c r="N257">
        <v>8</v>
      </c>
    </row>
    <row r="258" spans="1:14" hidden="1" x14ac:dyDescent="0.3">
      <c r="A258">
        <v>1638</v>
      </c>
      <c r="B258">
        <v>87</v>
      </c>
      <c r="C258">
        <v>292</v>
      </c>
      <c r="D258">
        <v>8</v>
      </c>
      <c r="E258">
        <v>74</v>
      </c>
      <c r="F258">
        <v>5</v>
      </c>
      <c r="G258">
        <v>16</v>
      </c>
      <c r="H258">
        <v>39</v>
      </c>
      <c r="I258">
        <v>355</v>
      </c>
      <c r="J258">
        <v>2</v>
      </c>
      <c r="K258">
        <v>3</v>
      </c>
      <c r="L258">
        <v>1</v>
      </c>
      <c r="M258">
        <v>4</v>
      </c>
      <c r="N258">
        <v>6</v>
      </c>
    </row>
    <row r="259" spans="1:14" hidden="1" x14ac:dyDescent="0.3">
      <c r="A259">
        <v>2432</v>
      </c>
      <c r="B259">
        <v>87</v>
      </c>
      <c r="C259">
        <v>301</v>
      </c>
      <c r="D259">
        <v>10</v>
      </c>
      <c r="E259">
        <v>172</v>
      </c>
      <c r="F259">
        <v>7</v>
      </c>
      <c r="G259">
        <v>3</v>
      </c>
      <c r="H259">
        <v>103</v>
      </c>
      <c r="I259">
        <v>391</v>
      </c>
      <c r="J259">
        <v>3</v>
      </c>
      <c r="K259">
        <v>4</v>
      </c>
      <c r="L259">
        <v>0</v>
      </c>
      <c r="M259">
        <v>4</v>
      </c>
      <c r="N259">
        <v>8</v>
      </c>
    </row>
    <row r="260" spans="1:14" hidden="1" x14ac:dyDescent="0.3">
      <c r="A260">
        <v>1437</v>
      </c>
      <c r="B260">
        <v>87</v>
      </c>
      <c r="C260">
        <v>340</v>
      </c>
      <c r="D260">
        <v>169</v>
      </c>
      <c r="E260">
        <v>256</v>
      </c>
      <c r="F260">
        <v>174</v>
      </c>
      <c r="G260">
        <v>46</v>
      </c>
      <c r="H260">
        <v>55</v>
      </c>
      <c r="I260">
        <v>929</v>
      </c>
      <c r="J260">
        <v>2</v>
      </c>
      <c r="K260">
        <v>4</v>
      </c>
      <c r="L260">
        <v>2</v>
      </c>
      <c r="M260">
        <v>8</v>
      </c>
      <c r="N260">
        <v>3</v>
      </c>
    </row>
    <row r="261" spans="1:14" hidden="1" x14ac:dyDescent="0.3">
      <c r="A261">
        <v>1117</v>
      </c>
      <c r="B261">
        <v>87</v>
      </c>
      <c r="C261">
        <v>389</v>
      </c>
      <c r="D261">
        <v>79</v>
      </c>
      <c r="E261">
        <v>297</v>
      </c>
      <c r="F261">
        <v>96</v>
      </c>
      <c r="G261">
        <v>67</v>
      </c>
      <c r="H261">
        <v>413</v>
      </c>
      <c r="I261">
        <v>516</v>
      </c>
      <c r="J261">
        <v>2</v>
      </c>
      <c r="K261">
        <v>3</v>
      </c>
      <c r="L261">
        <v>4</v>
      </c>
      <c r="M261">
        <v>7</v>
      </c>
      <c r="N261">
        <v>1</v>
      </c>
    </row>
    <row r="262" spans="1:14" hidden="1" x14ac:dyDescent="0.3">
      <c r="A262">
        <v>1946</v>
      </c>
      <c r="B262">
        <v>87</v>
      </c>
      <c r="C262">
        <v>557</v>
      </c>
      <c r="D262">
        <v>302</v>
      </c>
      <c r="E262">
        <v>642</v>
      </c>
      <c r="F262">
        <v>20</v>
      </c>
      <c r="G262">
        <v>167</v>
      </c>
      <c r="H262">
        <v>370</v>
      </c>
      <c r="I262">
        <v>1317</v>
      </c>
      <c r="J262">
        <v>3</v>
      </c>
      <c r="K262">
        <v>5</v>
      </c>
      <c r="L262">
        <v>2</v>
      </c>
      <c r="M262">
        <v>11</v>
      </c>
      <c r="N262">
        <v>4</v>
      </c>
    </row>
    <row r="263" spans="1:14" hidden="1" x14ac:dyDescent="0.3">
      <c r="A263">
        <v>1867</v>
      </c>
      <c r="B263">
        <v>87</v>
      </c>
      <c r="C263">
        <v>598</v>
      </c>
      <c r="D263">
        <v>6</v>
      </c>
      <c r="E263">
        <v>174</v>
      </c>
      <c r="F263">
        <v>0</v>
      </c>
      <c r="G263">
        <v>16</v>
      </c>
      <c r="H263">
        <v>38</v>
      </c>
      <c r="I263">
        <v>756</v>
      </c>
      <c r="J263">
        <v>4</v>
      </c>
      <c r="K263">
        <v>6</v>
      </c>
      <c r="L263">
        <v>1</v>
      </c>
      <c r="M263">
        <v>4</v>
      </c>
      <c r="N263">
        <v>9</v>
      </c>
    </row>
    <row r="264" spans="1:14" hidden="1" x14ac:dyDescent="0.3">
      <c r="A264">
        <v>2670</v>
      </c>
      <c r="B264">
        <v>87</v>
      </c>
      <c r="C264">
        <v>633</v>
      </c>
      <c r="D264">
        <v>341</v>
      </c>
      <c r="E264">
        <v>565</v>
      </c>
      <c r="F264">
        <v>221</v>
      </c>
      <c r="G264">
        <v>16</v>
      </c>
      <c r="H264">
        <v>68</v>
      </c>
      <c r="I264">
        <v>1708</v>
      </c>
      <c r="J264">
        <v>2</v>
      </c>
      <c r="K264">
        <v>3</v>
      </c>
      <c r="L264">
        <v>3</v>
      </c>
      <c r="M264">
        <v>13</v>
      </c>
      <c r="N264">
        <v>2</v>
      </c>
    </row>
    <row r="265" spans="1:14" hidden="1" x14ac:dyDescent="0.3">
      <c r="A265">
        <v>1653</v>
      </c>
      <c r="B265">
        <v>87</v>
      </c>
      <c r="C265">
        <v>879</v>
      </c>
      <c r="D265">
        <v>24</v>
      </c>
      <c r="E265">
        <v>328</v>
      </c>
      <c r="F265">
        <v>51</v>
      </c>
      <c r="G265">
        <v>38</v>
      </c>
      <c r="H265">
        <v>223</v>
      </c>
      <c r="I265">
        <v>1097</v>
      </c>
      <c r="J265">
        <v>5</v>
      </c>
      <c r="K265">
        <v>5</v>
      </c>
      <c r="L265">
        <v>2</v>
      </c>
      <c r="M265">
        <v>9</v>
      </c>
      <c r="N265">
        <v>6</v>
      </c>
    </row>
    <row r="266" spans="1:14" hidden="1" x14ac:dyDescent="0.3">
      <c r="A266">
        <v>1431</v>
      </c>
      <c r="B266">
        <v>87</v>
      </c>
      <c r="C266">
        <v>888</v>
      </c>
      <c r="D266">
        <v>424</v>
      </c>
      <c r="E266">
        <v>1198</v>
      </c>
      <c r="F266">
        <v>136</v>
      </c>
      <c r="G266">
        <v>348</v>
      </c>
      <c r="H266">
        <v>83</v>
      </c>
      <c r="I266">
        <v>2911</v>
      </c>
      <c r="J266">
        <v>1</v>
      </c>
      <c r="K266">
        <v>4</v>
      </c>
      <c r="L266">
        <v>5</v>
      </c>
      <c r="M266">
        <v>7</v>
      </c>
      <c r="N266">
        <v>1</v>
      </c>
    </row>
    <row r="267" spans="1:14" hidden="1" x14ac:dyDescent="0.3">
      <c r="A267">
        <v>3194</v>
      </c>
      <c r="B267">
        <v>87</v>
      </c>
      <c r="C267">
        <v>1174</v>
      </c>
      <c r="D267">
        <v>13</v>
      </c>
      <c r="E267">
        <v>272</v>
      </c>
      <c r="F267">
        <v>39</v>
      </c>
      <c r="G267">
        <v>44</v>
      </c>
      <c r="H267">
        <v>136</v>
      </c>
      <c r="I267">
        <v>1405</v>
      </c>
      <c r="J267">
        <v>8</v>
      </c>
      <c r="K267">
        <v>11</v>
      </c>
      <c r="L267">
        <v>1</v>
      </c>
      <c r="M267">
        <v>6</v>
      </c>
      <c r="N267">
        <v>8</v>
      </c>
    </row>
    <row r="268" spans="1:14" hidden="1" x14ac:dyDescent="0.3">
      <c r="A268">
        <v>1644</v>
      </c>
      <c r="B268">
        <v>87</v>
      </c>
      <c r="C268">
        <v>1208</v>
      </c>
      <c r="D268">
        <v>144</v>
      </c>
      <c r="E268">
        <v>578</v>
      </c>
      <c r="F268">
        <v>282</v>
      </c>
      <c r="G268">
        <v>266</v>
      </c>
      <c r="H268">
        <v>410</v>
      </c>
      <c r="I268">
        <v>2068</v>
      </c>
      <c r="J268">
        <v>1</v>
      </c>
      <c r="K268">
        <v>6</v>
      </c>
      <c r="L268">
        <v>4</v>
      </c>
      <c r="M268">
        <v>13</v>
      </c>
      <c r="N268">
        <v>4</v>
      </c>
    </row>
    <row r="269" spans="1:14" hidden="1" x14ac:dyDescent="0.3">
      <c r="A269">
        <v>1733</v>
      </c>
      <c r="B269">
        <v>87</v>
      </c>
      <c r="C269">
        <v>1208</v>
      </c>
      <c r="D269">
        <v>144</v>
      </c>
      <c r="E269">
        <v>578</v>
      </c>
      <c r="F269">
        <v>282</v>
      </c>
      <c r="G269">
        <v>266</v>
      </c>
      <c r="H269">
        <v>410</v>
      </c>
      <c r="I269">
        <v>2068</v>
      </c>
      <c r="J269">
        <v>1</v>
      </c>
      <c r="K269">
        <v>6</v>
      </c>
      <c r="L269">
        <v>4</v>
      </c>
      <c r="M269">
        <v>13</v>
      </c>
      <c r="N269">
        <v>4</v>
      </c>
    </row>
    <row r="270" spans="1:14" hidden="1" x14ac:dyDescent="0.3">
      <c r="A270">
        <v>3209</v>
      </c>
      <c r="B270">
        <v>87</v>
      </c>
      <c r="C270">
        <v>1254</v>
      </c>
      <c r="D270">
        <v>14</v>
      </c>
      <c r="E270">
        <v>291</v>
      </c>
      <c r="F270">
        <v>41</v>
      </c>
      <c r="G270">
        <v>47</v>
      </c>
      <c r="H270">
        <v>145</v>
      </c>
      <c r="I270">
        <v>1501</v>
      </c>
      <c r="J270">
        <v>8</v>
      </c>
      <c r="K270">
        <v>11</v>
      </c>
      <c r="L270">
        <v>1</v>
      </c>
      <c r="M270">
        <v>6</v>
      </c>
      <c r="N270">
        <v>8</v>
      </c>
    </row>
    <row r="271" spans="1:14" hidden="1" x14ac:dyDescent="0.3">
      <c r="A271">
        <v>1666</v>
      </c>
      <c r="B271">
        <v>87</v>
      </c>
      <c r="C271">
        <v>1424</v>
      </c>
      <c r="D271">
        <v>81</v>
      </c>
      <c r="E271">
        <v>1096</v>
      </c>
      <c r="F271">
        <v>71</v>
      </c>
      <c r="G271">
        <v>81</v>
      </c>
      <c r="H271">
        <v>136</v>
      </c>
      <c r="I271">
        <v>2616</v>
      </c>
      <c r="J271">
        <v>1</v>
      </c>
      <c r="K271">
        <v>2</v>
      </c>
      <c r="L271">
        <v>8</v>
      </c>
      <c r="M271">
        <v>6</v>
      </c>
      <c r="N271">
        <v>1</v>
      </c>
    </row>
    <row r="272" spans="1:14" hidden="1" x14ac:dyDescent="0.3">
      <c r="A272">
        <v>2039</v>
      </c>
      <c r="B272">
        <v>87</v>
      </c>
      <c r="C272">
        <v>1505</v>
      </c>
      <c r="D272">
        <v>67</v>
      </c>
      <c r="E272">
        <v>1171</v>
      </c>
      <c r="F272">
        <v>72</v>
      </c>
      <c r="G272">
        <v>33</v>
      </c>
      <c r="H272">
        <v>134</v>
      </c>
      <c r="I272">
        <v>2714</v>
      </c>
      <c r="J272">
        <v>1</v>
      </c>
      <c r="K272">
        <v>6</v>
      </c>
      <c r="L272">
        <v>7</v>
      </c>
      <c r="M272">
        <v>8</v>
      </c>
      <c r="N272">
        <v>3</v>
      </c>
    </row>
    <row r="273" spans="1:14" hidden="1" x14ac:dyDescent="0.3">
      <c r="A273">
        <v>2186</v>
      </c>
      <c r="B273">
        <v>87</v>
      </c>
      <c r="C273">
        <v>1611</v>
      </c>
      <c r="D273">
        <v>39</v>
      </c>
      <c r="E273">
        <v>252</v>
      </c>
      <c r="F273">
        <v>24</v>
      </c>
      <c r="G273">
        <v>18</v>
      </c>
      <c r="H273">
        <v>86</v>
      </c>
      <c r="I273">
        <v>1857</v>
      </c>
      <c r="J273">
        <v>3</v>
      </c>
      <c r="K273">
        <v>10</v>
      </c>
      <c r="L273">
        <v>4</v>
      </c>
      <c r="M273">
        <v>5</v>
      </c>
      <c r="N273">
        <v>8</v>
      </c>
    </row>
    <row r="274" spans="1:14" hidden="1" x14ac:dyDescent="0.3">
      <c r="A274">
        <v>1789</v>
      </c>
      <c r="B274">
        <v>87</v>
      </c>
      <c r="C274">
        <v>1667</v>
      </c>
      <c r="D274">
        <v>142</v>
      </c>
      <c r="E274">
        <v>476</v>
      </c>
      <c r="F274">
        <v>62</v>
      </c>
      <c r="G274">
        <v>45</v>
      </c>
      <c r="H274">
        <v>356</v>
      </c>
      <c r="I274">
        <v>2036</v>
      </c>
      <c r="J274">
        <v>7</v>
      </c>
      <c r="K274">
        <v>3</v>
      </c>
      <c r="L274">
        <v>2</v>
      </c>
      <c r="M274">
        <v>8</v>
      </c>
      <c r="N274">
        <v>8</v>
      </c>
    </row>
    <row r="275" spans="1:14" hidden="1" x14ac:dyDescent="0.3">
      <c r="A275">
        <v>1344</v>
      </c>
      <c r="B275">
        <v>87</v>
      </c>
      <c r="C275">
        <v>1672</v>
      </c>
      <c r="D275">
        <v>370</v>
      </c>
      <c r="E275">
        <v>1858</v>
      </c>
      <c r="F275">
        <v>482</v>
      </c>
      <c r="G275">
        <v>370</v>
      </c>
      <c r="H275">
        <v>139</v>
      </c>
      <c r="I275">
        <v>4614</v>
      </c>
      <c r="J275">
        <v>1</v>
      </c>
      <c r="K275">
        <v>4</v>
      </c>
      <c r="L275">
        <v>7</v>
      </c>
      <c r="M275">
        <v>10</v>
      </c>
      <c r="N275">
        <v>2</v>
      </c>
    </row>
    <row r="276" spans="1:14" hidden="1" x14ac:dyDescent="0.3">
      <c r="A276">
        <v>2866</v>
      </c>
      <c r="B276">
        <v>87</v>
      </c>
      <c r="C276">
        <v>2039</v>
      </c>
      <c r="D276">
        <v>326</v>
      </c>
      <c r="E276">
        <v>1304</v>
      </c>
      <c r="F276">
        <v>211</v>
      </c>
      <c r="G276">
        <v>202</v>
      </c>
      <c r="H276">
        <v>326</v>
      </c>
      <c r="I276">
        <v>3757</v>
      </c>
      <c r="J276">
        <v>1</v>
      </c>
      <c r="K276">
        <v>4</v>
      </c>
      <c r="L276">
        <v>7</v>
      </c>
      <c r="M276">
        <v>8</v>
      </c>
      <c r="N276">
        <v>1</v>
      </c>
    </row>
    <row r="277" spans="1:14" hidden="1" x14ac:dyDescent="0.3">
      <c r="A277">
        <v>2776</v>
      </c>
      <c r="B277">
        <v>87</v>
      </c>
      <c r="C277">
        <v>2490</v>
      </c>
      <c r="D277">
        <v>0</v>
      </c>
      <c r="E277">
        <v>1460</v>
      </c>
      <c r="F277">
        <v>337</v>
      </c>
      <c r="G277">
        <v>86</v>
      </c>
      <c r="H277">
        <v>86</v>
      </c>
      <c r="I277">
        <v>4287</v>
      </c>
      <c r="J277">
        <v>1</v>
      </c>
      <c r="K277">
        <v>10</v>
      </c>
      <c r="L277">
        <v>5</v>
      </c>
      <c r="M277">
        <v>13</v>
      </c>
      <c r="N277">
        <v>6</v>
      </c>
    </row>
    <row r="278" spans="1:14" hidden="1" x14ac:dyDescent="0.3">
      <c r="A278">
        <v>1019</v>
      </c>
      <c r="B278">
        <v>86</v>
      </c>
      <c r="C278">
        <v>16</v>
      </c>
      <c r="D278">
        <v>67</v>
      </c>
      <c r="E278">
        <v>75</v>
      </c>
      <c r="F278">
        <v>119</v>
      </c>
      <c r="G278">
        <v>95</v>
      </c>
      <c r="H278">
        <v>154</v>
      </c>
      <c r="I278">
        <v>218</v>
      </c>
      <c r="J278">
        <v>2</v>
      </c>
      <c r="K278">
        <v>2</v>
      </c>
      <c r="L278">
        <v>1</v>
      </c>
      <c r="M278">
        <v>3</v>
      </c>
      <c r="N278">
        <v>6</v>
      </c>
    </row>
    <row r="279" spans="1:14" hidden="1" x14ac:dyDescent="0.3">
      <c r="A279">
        <v>2626</v>
      </c>
      <c r="B279">
        <v>86</v>
      </c>
      <c r="C279">
        <v>16</v>
      </c>
      <c r="D279">
        <v>5</v>
      </c>
      <c r="E279">
        <v>44</v>
      </c>
      <c r="F279">
        <v>125</v>
      </c>
      <c r="G279">
        <v>11</v>
      </c>
      <c r="H279">
        <v>98</v>
      </c>
      <c r="I279">
        <v>104</v>
      </c>
      <c r="J279">
        <v>3</v>
      </c>
      <c r="K279">
        <v>2</v>
      </c>
      <c r="L279">
        <v>1</v>
      </c>
      <c r="M279">
        <v>3</v>
      </c>
      <c r="N279">
        <v>3</v>
      </c>
    </row>
    <row r="280" spans="1:14" hidden="1" x14ac:dyDescent="0.3">
      <c r="A280">
        <v>1297</v>
      </c>
      <c r="B280">
        <v>86</v>
      </c>
      <c r="C280">
        <v>27</v>
      </c>
      <c r="D280">
        <v>45</v>
      </c>
      <c r="E280">
        <v>125</v>
      </c>
      <c r="F280">
        <v>18</v>
      </c>
      <c r="G280">
        <v>107</v>
      </c>
      <c r="H280">
        <v>152</v>
      </c>
      <c r="I280">
        <v>170</v>
      </c>
      <c r="J280">
        <v>4</v>
      </c>
      <c r="K280">
        <v>3</v>
      </c>
      <c r="L280">
        <v>1</v>
      </c>
      <c r="M280">
        <v>3</v>
      </c>
      <c r="N280">
        <v>6</v>
      </c>
    </row>
    <row r="281" spans="1:14" hidden="1" x14ac:dyDescent="0.3">
      <c r="A281">
        <v>1756</v>
      </c>
      <c r="B281">
        <v>86</v>
      </c>
      <c r="C281">
        <v>44</v>
      </c>
      <c r="D281">
        <v>0</v>
      </c>
      <c r="E281">
        <v>10</v>
      </c>
      <c r="F281">
        <v>0</v>
      </c>
      <c r="G281">
        <v>0</v>
      </c>
      <c r="H281">
        <v>0</v>
      </c>
      <c r="I281">
        <v>55</v>
      </c>
      <c r="J281">
        <v>1</v>
      </c>
      <c r="K281">
        <v>1</v>
      </c>
      <c r="L281">
        <v>0</v>
      </c>
      <c r="M281">
        <v>2</v>
      </c>
      <c r="N281">
        <v>7</v>
      </c>
    </row>
    <row r="282" spans="1:14" hidden="1" x14ac:dyDescent="0.3">
      <c r="A282">
        <v>2306</v>
      </c>
      <c r="B282">
        <v>86</v>
      </c>
      <c r="C282">
        <v>50</v>
      </c>
      <c r="D282">
        <v>35</v>
      </c>
      <c r="E282">
        <v>126</v>
      </c>
      <c r="F282">
        <v>30</v>
      </c>
      <c r="G282">
        <v>15</v>
      </c>
      <c r="H282">
        <v>35</v>
      </c>
      <c r="I282">
        <v>222</v>
      </c>
      <c r="J282">
        <v>1</v>
      </c>
      <c r="K282">
        <v>3</v>
      </c>
      <c r="L282">
        <v>0</v>
      </c>
      <c r="M282">
        <v>3</v>
      </c>
      <c r="N282">
        <v>7</v>
      </c>
    </row>
    <row r="283" spans="1:14" hidden="1" x14ac:dyDescent="0.3">
      <c r="A283">
        <v>2969</v>
      </c>
      <c r="B283">
        <v>86</v>
      </c>
      <c r="C283">
        <v>50</v>
      </c>
      <c r="D283">
        <v>17</v>
      </c>
      <c r="E283">
        <v>75</v>
      </c>
      <c r="F283">
        <v>17</v>
      </c>
      <c r="G283">
        <v>8</v>
      </c>
      <c r="H283">
        <v>42</v>
      </c>
      <c r="I283">
        <v>125</v>
      </c>
      <c r="J283">
        <v>2</v>
      </c>
      <c r="K283">
        <v>1</v>
      </c>
      <c r="L283">
        <v>0</v>
      </c>
      <c r="M283">
        <v>3</v>
      </c>
      <c r="N283">
        <v>8</v>
      </c>
    </row>
    <row r="284" spans="1:14" hidden="1" x14ac:dyDescent="0.3">
      <c r="A284">
        <v>1925</v>
      </c>
      <c r="B284">
        <v>86</v>
      </c>
      <c r="C284">
        <v>54</v>
      </c>
      <c r="D284">
        <v>54</v>
      </c>
      <c r="E284">
        <v>108</v>
      </c>
      <c r="F284">
        <v>54</v>
      </c>
      <c r="G284">
        <v>123</v>
      </c>
      <c r="H284">
        <v>116</v>
      </c>
      <c r="I284">
        <v>278</v>
      </c>
      <c r="J284">
        <v>3</v>
      </c>
      <c r="K284">
        <v>2</v>
      </c>
      <c r="L284">
        <v>1</v>
      </c>
      <c r="M284">
        <v>3</v>
      </c>
      <c r="N284">
        <v>7</v>
      </c>
    </row>
    <row r="285" spans="1:14" hidden="1" x14ac:dyDescent="0.3">
      <c r="A285">
        <v>2167</v>
      </c>
      <c r="B285">
        <v>86</v>
      </c>
      <c r="C285">
        <v>78</v>
      </c>
      <c r="D285">
        <v>7</v>
      </c>
      <c r="E285">
        <v>65</v>
      </c>
      <c r="F285">
        <v>7</v>
      </c>
      <c r="G285">
        <v>7</v>
      </c>
      <c r="H285">
        <v>33</v>
      </c>
      <c r="I285">
        <v>130</v>
      </c>
      <c r="J285">
        <v>2</v>
      </c>
      <c r="K285">
        <v>1</v>
      </c>
      <c r="L285">
        <v>0</v>
      </c>
      <c r="M285">
        <v>4</v>
      </c>
      <c r="N285">
        <v>4</v>
      </c>
    </row>
    <row r="286" spans="1:14" hidden="1" x14ac:dyDescent="0.3">
      <c r="A286">
        <v>2212</v>
      </c>
      <c r="B286">
        <v>86</v>
      </c>
      <c r="C286">
        <v>83</v>
      </c>
      <c r="D286">
        <v>0</v>
      </c>
      <c r="E286">
        <v>40</v>
      </c>
      <c r="F286">
        <v>7</v>
      </c>
      <c r="G286">
        <v>4</v>
      </c>
      <c r="H286">
        <v>11</v>
      </c>
      <c r="I286">
        <v>123</v>
      </c>
      <c r="J286">
        <v>1</v>
      </c>
      <c r="K286">
        <v>1</v>
      </c>
      <c r="L286">
        <v>0</v>
      </c>
      <c r="M286">
        <v>3</v>
      </c>
      <c r="N286">
        <v>5</v>
      </c>
    </row>
    <row r="287" spans="1:14" hidden="1" x14ac:dyDescent="0.3">
      <c r="A287">
        <v>2470</v>
      </c>
      <c r="B287">
        <v>86</v>
      </c>
      <c r="C287">
        <v>84</v>
      </c>
      <c r="D287">
        <v>11</v>
      </c>
      <c r="E287">
        <v>114</v>
      </c>
      <c r="F287">
        <v>0</v>
      </c>
      <c r="G287">
        <v>19</v>
      </c>
      <c r="H287">
        <v>57</v>
      </c>
      <c r="I287">
        <v>171</v>
      </c>
      <c r="J287">
        <v>2</v>
      </c>
      <c r="K287">
        <v>2</v>
      </c>
      <c r="L287">
        <v>0</v>
      </c>
      <c r="M287">
        <v>4</v>
      </c>
      <c r="N287">
        <v>6</v>
      </c>
    </row>
    <row r="288" spans="1:14" hidden="1" x14ac:dyDescent="0.3">
      <c r="A288">
        <v>1301</v>
      </c>
      <c r="B288">
        <v>86</v>
      </c>
      <c r="C288">
        <v>107</v>
      </c>
      <c r="D288">
        <v>0</v>
      </c>
      <c r="E288">
        <v>31</v>
      </c>
      <c r="F288">
        <v>0</v>
      </c>
      <c r="G288">
        <v>0</v>
      </c>
      <c r="H288">
        <v>4</v>
      </c>
      <c r="I288">
        <v>134</v>
      </c>
      <c r="J288">
        <v>2</v>
      </c>
      <c r="K288">
        <v>2</v>
      </c>
      <c r="L288">
        <v>0</v>
      </c>
      <c r="M288">
        <v>3</v>
      </c>
      <c r="N288">
        <v>5</v>
      </c>
    </row>
    <row r="289" spans="1:14" hidden="1" x14ac:dyDescent="0.3">
      <c r="A289">
        <v>1359</v>
      </c>
      <c r="B289">
        <v>86</v>
      </c>
      <c r="C289">
        <v>181</v>
      </c>
      <c r="D289">
        <v>0</v>
      </c>
      <c r="E289">
        <v>86</v>
      </c>
      <c r="F289">
        <v>0</v>
      </c>
      <c r="G289">
        <v>0</v>
      </c>
      <c r="H289">
        <v>114</v>
      </c>
      <c r="I289">
        <v>152</v>
      </c>
      <c r="J289">
        <v>4</v>
      </c>
      <c r="K289">
        <v>3</v>
      </c>
      <c r="L289">
        <v>2</v>
      </c>
      <c r="M289">
        <v>2</v>
      </c>
      <c r="N289">
        <v>8</v>
      </c>
    </row>
    <row r="290" spans="1:14" hidden="1" x14ac:dyDescent="0.3">
      <c r="A290">
        <v>2487</v>
      </c>
      <c r="B290">
        <v>86</v>
      </c>
      <c r="C290">
        <v>181</v>
      </c>
      <c r="D290">
        <v>0</v>
      </c>
      <c r="E290">
        <v>86</v>
      </c>
      <c r="F290">
        <v>0</v>
      </c>
      <c r="G290">
        <v>0</v>
      </c>
      <c r="H290">
        <v>114</v>
      </c>
      <c r="I290">
        <v>152</v>
      </c>
      <c r="J290">
        <v>4</v>
      </c>
      <c r="K290">
        <v>3</v>
      </c>
      <c r="L290">
        <v>2</v>
      </c>
      <c r="M290">
        <v>2</v>
      </c>
      <c r="N290">
        <v>8</v>
      </c>
    </row>
    <row r="291" spans="1:14" hidden="1" x14ac:dyDescent="0.3">
      <c r="A291">
        <v>2509</v>
      </c>
      <c r="B291">
        <v>86</v>
      </c>
      <c r="C291">
        <v>181</v>
      </c>
      <c r="D291">
        <v>0</v>
      </c>
      <c r="E291">
        <v>86</v>
      </c>
      <c r="F291">
        <v>0</v>
      </c>
      <c r="G291">
        <v>0</v>
      </c>
      <c r="H291">
        <v>114</v>
      </c>
      <c r="I291">
        <v>152</v>
      </c>
      <c r="J291">
        <v>4</v>
      </c>
      <c r="K291">
        <v>3</v>
      </c>
      <c r="L291">
        <v>2</v>
      </c>
      <c r="M291">
        <v>2</v>
      </c>
      <c r="N291">
        <v>8</v>
      </c>
    </row>
    <row r="292" spans="1:14" hidden="1" x14ac:dyDescent="0.3">
      <c r="A292">
        <v>1740</v>
      </c>
      <c r="B292">
        <v>86</v>
      </c>
      <c r="C292">
        <v>272</v>
      </c>
      <c r="D292">
        <v>0</v>
      </c>
      <c r="E292">
        <v>25</v>
      </c>
      <c r="F292">
        <v>0</v>
      </c>
      <c r="G292">
        <v>0</v>
      </c>
      <c r="H292">
        <v>57</v>
      </c>
      <c r="I292">
        <v>240</v>
      </c>
      <c r="J292">
        <v>1</v>
      </c>
      <c r="K292">
        <v>3</v>
      </c>
      <c r="L292">
        <v>2</v>
      </c>
      <c r="M292">
        <v>2</v>
      </c>
      <c r="N292">
        <v>5</v>
      </c>
    </row>
    <row r="293" spans="1:14" hidden="1" x14ac:dyDescent="0.3">
      <c r="A293">
        <v>1377</v>
      </c>
      <c r="B293">
        <v>86</v>
      </c>
      <c r="C293">
        <v>302</v>
      </c>
      <c r="D293">
        <v>27</v>
      </c>
      <c r="E293">
        <v>187</v>
      </c>
      <c r="F293">
        <v>6</v>
      </c>
      <c r="G293">
        <v>27</v>
      </c>
      <c r="H293">
        <v>71</v>
      </c>
      <c r="I293">
        <v>477</v>
      </c>
      <c r="J293">
        <v>1</v>
      </c>
      <c r="K293">
        <v>4</v>
      </c>
      <c r="L293">
        <v>1</v>
      </c>
      <c r="M293">
        <v>4</v>
      </c>
      <c r="N293">
        <v>6</v>
      </c>
    </row>
    <row r="294" spans="1:14" hidden="1" x14ac:dyDescent="0.3">
      <c r="A294">
        <v>2746</v>
      </c>
      <c r="B294">
        <v>86</v>
      </c>
      <c r="C294">
        <v>302</v>
      </c>
      <c r="D294">
        <v>27</v>
      </c>
      <c r="E294">
        <v>187</v>
      </c>
      <c r="F294">
        <v>6</v>
      </c>
      <c r="G294">
        <v>27</v>
      </c>
      <c r="H294">
        <v>71</v>
      </c>
      <c r="I294">
        <v>477</v>
      </c>
      <c r="J294">
        <v>1</v>
      </c>
      <c r="K294">
        <v>4</v>
      </c>
      <c r="L294">
        <v>1</v>
      </c>
      <c r="M294">
        <v>4</v>
      </c>
      <c r="N294">
        <v>6</v>
      </c>
    </row>
    <row r="295" spans="1:14" hidden="1" x14ac:dyDescent="0.3">
      <c r="A295">
        <v>1641</v>
      </c>
      <c r="B295">
        <v>86</v>
      </c>
      <c r="C295">
        <v>314</v>
      </c>
      <c r="D295">
        <v>3</v>
      </c>
      <c r="E295">
        <v>122</v>
      </c>
      <c r="F295">
        <v>19</v>
      </c>
      <c r="G295">
        <v>3</v>
      </c>
      <c r="H295">
        <v>239</v>
      </c>
      <c r="I295">
        <v>223</v>
      </c>
      <c r="J295">
        <v>4</v>
      </c>
      <c r="K295">
        <v>3</v>
      </c>
      <c r="L295">
        <v>2</v>
      </c>
      <c r="M295">
        <v>3</v>
      </c>
      <c r="N295">
        <v>6</v>
      </c>
    </row>
    <row r="296" spans="1:14" hidden="1" x14ac:dyDescent="0.3">
      <c r="A296">
        <v>3092</v>
      </c>
      <c r="B296">
        <v>86</v>
      </c>
      <c r="C296">
        <v>507</v>
      </c>
      <c r="D296">
        <v>207</v>
      </c>
      <c r="E296">
        <v>282</v>
      </c>
      <c r="F296">
        <v>391</v>
      </c>
      <c r="G296">
        <v>60</v>
      </c>
      <c r="H296">
        <v>659</v>
      </c>
      <c r="I296">
        <v>789</v>
      </c>
      <c r="J296">
        <v>4</v>
      </c>
      <c r="K296">
        <v>5</v>
      </c>
      <c r="L296">
        <v>2</v>
      </c>
      <c r="M296">
        <v>12</v>
      </c>
      <c r="N296">
        <v>5</v>
      </c>
    </row>
    <row r="297" spans="1:14" hidden="1" x14ac:dyDescent="0.3">
      <c r="A297">
        <v>2864</v>
      </c>
      <c r="B297">
        <v>86</v>
      </c>
      <c r="C297">
        <v>591</v>
      </c>
      <c r="D297">
        <v>34</v>
      </c>
      <c r="E297">
        <v>371</v>
      </c>
      <c r="F297">
        <v>182</v>
      </c>
      <c r="G297">
        <v>20</v>
      </c>
      <c r="H297">
        <v>91</v>
      </c>
      <c r="I297">
        <v>1107</v>
      </c>
      <c r="J297">
        <v>2</v>
      </c>
      <c r="K297">
        <v>6</v>
      </c>
      <c r="L297">
        <v>3</v>
      </c>
      <c r="M297">
        <v>4</v>
      </c>
      <c r="N297">
        <v>6</v>
      </c>
    </row>
    <row r="298" spans="1:14" hidden="1" x14ac:dyDescent="0.3">
      <c r="A298">
        <v>1452</v>
      </c>
      <c r="B298">
        <v>86</v>
      </c>
      <c r="C298">
        <v>958</v>
      </c>
      <c r="D298">
        <v>120</v>
      </c>
      <c r="E298">
        <v>363</v>
      </c>
      <c r="F298">
        <v>80</v>
      </c>
      <c r="G298">
        <v>14</v>
      </c>
      <c r="H298">
        <v>14</v>
      </c>
      <c r="I298">
        <v>1521</v>
      </c>
      <c r="J298">
        <v>3</v>
      </c>
      <c r="K298">
        <v>7</v>
      </c>
      <c r="L298">
        <v>2</v>
      </c>
      <c r="M298">
        <v>8</v>
      </c>
      <c r="N298">
        <v>6</v>
      </c>
    </row>
    <row r="299" spans="1:14" hidden="1" x14ac:dyDescent="0.3">
      <c r="A299">
        <v>2818</v>
      </c>
      <c r="B299">
        <v>86</v>
      </c>
      <c r="C299">
        <v>960</v>
      </c>
      <c r="D299">
        <v>163</v>
      </c>
      <c r="E299">
        <v>1007</v>
      </c>
      <c r="F299">
        <v>91</v>
      </c>
      <c r="G299">
        <v>141</v>
      </c>
      <c r="H299">
        <v>210</v>
      </c>
      <c r="I299">
        <v>2152</v>
      </c>
      <c r="J299">
        <v>1</v>
      </c>
      <c r="K299">
        <v>4</v>
      </c>
      <c r="L299">
        <v>4</v>
      </c>
      <c r="M299">
        <v>6</v>
      </c>
      <c r="N299">
        <v>2</v>
      </c>
    </row>
    <row r="300" spans="1:14" hidden="1" x14ac:dyDescent="0.3">
      <c r="A300">
        <v>1761</v>
      </c>
      <c r="B300">
        <v>86</v>
      </c>
      <c r="C300">
        <v>988</v>
      </c>
      <c r="D300">
        <v>29</v>
      </c>
      <c r="E300">
        <v>1310</v>
      </c>
      <c r="F300">
        <v>187</v>
      </c>
      <c r="G300">
        <v>437</v>
      </c>
      <c r="H300">
        <v>0</v>
      </c>
      <c r="I300">
        <v>2951</v>
      </c>
      <c r="J300">
        <v>1</v>
      </c>
      <c r="K300">
        <v>4</v>
      </c>
      <c r="L300">
        <v>4</v>
      </c>
      <c r="M300">
        <v>10</v>
      </c>
      <c r="N300">
        <v>1</v>
      </c>
    </row>
    <row r="301" spans="1:14" hidden="1" x14ac:dyDescent="0.3">
      <c r="A301">
        <v>2674</v>
      </c>
      <c r="B301">
        <v>86</v>
      </c>
      <c r="C301">
        <v>1442</v>
      </c>
      <c r="D301">
        <v>214</v>
      </c>
      <c r="E301">
        <v>1226</v>
      </c>
      <c r="F301">
        <v>608</v>
      </c>
      <c r="G301">
        <v>252</v>
      </c>
      <c r="H301">
        <v>252</v>
      </c>
      <c r="I301">
        <v>3490</v>
      </c>
      <c r="J301">
        <v>2</v>
      </c>
      <c r="K301">
        <v>9</v>
      </c>
      <c r="L301">
        <v>6</v>
      </c>
      <c r="M301">
        <v>8</v>
      </c>
      <c r="N301">
        <v>5</v>
      </c>
    </row>
    <row r="302" spans="1:14" hidden="1" x14ac:dyDescent="0.3">
      <c r="A302">
        <v>1262</v>
      </c>
      <c r="B302">
        <v>86</v>
      </c>
      <c r="C302">
        <v>1567</v>
      </c>
      <c r="D302">
        <v>18</v>
      </c>
      <c r="E302">
        <v>248</v>
      </c>
      <c r="F302">
        <v>25</v>
      </c>
      <c r="G302">
        <v>55</v>
      </c>
      <c r="H302">
        <v>18</v>
      </c>
      <c r="I302">
        <v>1896</v>
      </c>
      <c r="J302">
        <v>2</v>
      </c>
      <c r="K302">
        <v>6</v>
      </c>
      <c r="L302">
        <v>3</v>
      </c>
      <c r="M302">
        <v>12</v>
      </c>
      <c r="N302">
        <v>4</v>
      </c>
    </row>
    <row r="303" spans="1:14" hidden="1" x14ac:dyDescent="0.3">
      <c r="A303">
        <v>1897</v>
      </c>
      <c r="B303">
        <v>86</v>
      </c>
      <c r="C303">
        <v>1754</v>
      </c>
      <c r="D303">
        <v>45</v>
      </c>
      <c r="E303">
        <v>365</v>
      </c>
      <c r="F303">
        <v>118</v>
      </c>
      <c r="G303">
        <v>21</v>
      </c>
      <c r="H303">
        <v>66</v>
      </c>
      <c r="I303">
        <v>2238</v>
      </c>
      <c r="J303">
        <v>1</v>
      </c>
      <c r="K303">
        <v>3</v>
      </c>
      <c r="L303">
        <v>4</v>
      </c>
      <c r="M303">
        <v>7</v>
      </c>
      <c r="N303">
        <v>2</v>
      </c>
    </row>
    <row r="304" spans="1:14" hidden="1" x14ac:dyDescent="0.3">
      <c r="A304">
        <v>2826</v>
      </c>
      <c r="B304">
        <v>85</v>
      </c>
      <c r="C304">
        <v>11</v>
      </c>
      <c r="D304">
        <v>5</v>
      </c>
      <c r="E304">
        <v>22</v>
      </c>
      <c r="F304">
        <v>16</v>
      </c>
      <c r="G304">
        <v>5</v>
      </c>
      <c r="H304">
        <v>11</v>
      </c>
      <c r="I304">
        <v>49</v>
      </c>
      <c r="J304">
        <v>1</v>
      </c>
      <c r="K304">
        <v>1</v>
      </c>
      <c r="L304">
        <v>0</v>
      </c>
      <c r="M304">
        <v>2</v>
      </c>
      <c r="N304">
        <v>8</v>
      </c>
    </row>
    <row r="305" spans="1:14" hidden="1" x14ac:dyDescent="0.3">
      <c r="A305">
        <v>2372</v>
      </c>
      <c r="B305">
        <v>85</v>
      </c>
      <c r="C305">
        <v>39</v>
      </c>
      <c r="D305">
        <v>0</v>
      </c>
      <c r="E305">
        <v>11</v>
      </c>
      <c r="F305">
        <v>0</v>
      </c>
      <c r="G305">
        <v>0</v>
      </c>
      <c r="H305">
        <v>4</v>
      </c>
      <c r="I305">
        <v>46</v>
      </c>
      <c r="J305">
        <v>1</v>
      </c>
      <c r="K305">
        <v>1</v>
      </c>
      <c r="L305">
        <v>0</v>
      </c>
      <c r="M305">
        <v>2</v>
      </c>
      <c r="N305">
        <v>6</v>
      </c>
    </row>
    <row r="306" spans="1:14" hidden="1" x14ac:dyDescent="0.3">
      <c r="A306">
        <v>1110</v>
      </c>
      <c r="B306">
        <v>85</v>
      </c>
      <c r="C306">
        <v>51</v>
      </c>
      <c r="D306">
        <v>21</v>
      </c>
      <c r="E306">
        <v>106</v>
      </c>
      <c r="F306">
        <v>0</v>
      </c>
      <c r="G306">
        <v>38</v>
      </c>
      <c r="H306">
        <v>128</v>
      </c>
      <c r="I306">
        <v>89</v>
      </c>
      <c r="J306">
        <v>2</v>
      </c>
      <c r="K306">
        <v>1</v>
      </c>
      <c r="L306">
        <v>1</v>
      </c>
      <c r="M306">
        <v>3</v>
      </c>
      <c r="N306">
        <v>5</v>
      </c>
    </row>
    <row r="307" spans="1:14" hidden="1" x14ac:dyDescent="0.3">
      <c r="A307">
        <v>2777</v>
      </c>
      <c r="B307">
        <v>85</v>
      </c>
      <c r="C307">
        <v>362</v>
      </c>
      <c r="D307">
        <v>0</v>
      </c>
      <c r="E307">
        <v>27</v>
      </c>
      <c r="F307">
        <v>0</v>
      </c>
      <c r="G307">
        <v>11</v>
      </c>
      <c r="H307">
        <v>97</v>
      </c>
      <c r="I307">
        <v>303</v>
      </c>
      <c r="J307">
        <v>2</v>
      </c>
      <c r="K307">
        <v>3</v>
      </c>
      <c r="L307">
        <v>1</v>
      </c>
      <c r="M307">
        <v>4</v>
      </c>
      <c r="N307">
        <v>5</v>
      </c>
    </row>
    <row r="308" spans="1:14" hidden="1" x14ac:dyDescent="0.3">
      <c r="A308">
        <v>1563</v>
      </c>
      <c r="B308">
        <v>85</v>
      </c>
      <c r="C308">
        <v>411</v>
      </c>
      <c r="D308">
        <v>37</v>
      </c>
      <c r="E308">
        <v>130</v>
      </c>
      <c r="F308">
        <v>48</v>
      </c>
      <c r="G308">
        <v>6</v>
      </c>
      <c r="H308">
        <v>11</v>
      </c>
      <c r="I308">
        <v>620</v>
      </c>
      <c r="J308">
        <v>6</v>
      </c>
      <c r="K308">
        <v>4</v>
      </c>
      <c r="L308">
        <v>2</v>
      </c>
      <c r="M308">
        <v>4</v>
      </c>
      <c r="N308">
        <v>7</v>
      </c>
    </row>
    <row r="309" spans="1:14" hidden="1" x14ac:dyDescent="0.3">
      <c r="A309">
        <v>3044</v>
      </c>
      <c r="B309">
        <v>85</v>
      </c>
      <c r="C309">
        <v>440</v>
      </c>
      <c r="D309">
        <v>426</v>
      </c>
      <c r="E309">
        <v>426</v>
      </c>
      <c r="F309">
        <v>246</v>
      </c>
      <c r="G309">
        <v>93</v>
      </c>
      <c r="H309">
        <v>79</v>
      </c>
      <c r="I309">
        <v>1552</v>
      </c>
      <c r="J309">
        <v>1</v>
      </c>
      <c r="K309">
        <v>6</v>
      </c>
      <c r="L309">
        <v>3</v>
      </c>
      <c r="M309">
        <v>10</v>
      </c>
      <c r="N309">
        <v>3</v>
      </c>
    </row>
    <row r="310" spans="1:14" hidden="1" x14ac:dyDescent="0.3">
      <c r="A310">
        <v>1249</v>
      </c>
      <c r="B310">
        <v>85</v>
      </c>
      <c r="C310">
        <v>545</v>
      </c>
      <c r="D310">
        <v>7</v>
      </c>
      <c r="E310">
        <v>202</v>
      </c>
      <c r="F310">
        <v>78</v>
      </c>
      <c r="G310">
        <v>42</v>
      </c>
      <c r="H310">
        <v>23</v>
      </c>
      <c r="I310">
        <v>852</v>
      </c>
      <c r="J310">
        <v>4</v>
      </c>
      <c r="K310">
        <v>4</v>
      </c>
      <c r="L310">
        <v>1</v>
      </c>
      <c r="M310">
        <v>6</v>
      </c>
      <c r="N310">
        <v>5</v>
      </c>
    </row>
    <row r="311" spans="1:14" hidden="1" x14ac:dyDescent="0.3">
      <c r="A311">
        <v>2024</v>
      </c>
      <c r="B311">
        <v>85</v>
      </c>
      <c r="C311">
        <v>676</v>
      </c>
      <c r="D311">
        <v>69</v>
      </c>
      <c r="E311">
        <v>960</v>
      </c>
      <c r="F311">
        <v>146</v>
      </c>
      <c r="G311">
        <v>76</v>
      </c>
      <c r="H311">
        <v>463</v>
      </c>
      <c r="I311">
        <v>1465</v>
      </c>
      <c r="J311">
        <v>1</v>
      </c>
      <c r="K311">
        <v>4</v>
      </c>
      <c r="L311">
        <v>5</v>
      </c>
      <c r="M311">
        <v>4</v>
      </c>
      <c r="N311">
        <v>2</v>
      </c>
    </row>
    <row r="312" spans="1:14" hidden="1" x14ac:dyDescent="0.3">
      <c r="A312">
        <v>2529</v>
      </c>
      <c r="B312">
        <v>85</v>
      </c>
      <c r="C312">
        <v>676</v>
      </c>
      <c r="D312">
        <v>69</v>
      </c>
      <c r="E312">
        <v>960</v>
      </c>
      <c r="F312">
        <v>146</v>
      </c>
      <c r="G312">
        <v>76</v>
      </c>
      <c r="H312">
        <v>463</v>
      </c>
      <c r="I312">
        <v>1465</v>
      </c>
      <c r="J312">
        <v>1</v>
      </c>
      <c r="K312">
        <v>4</v>
      </c>
      <c r="L312">
        <v>5</v>
      </c>
      <c r="M312">
        <v>4</v>
      </c>
      <c r="N312">
        <v>2</v>
      </c>
    </row>
    <row r="313" spans="1:14" hidden="1" x14ac:dyDescent="0.3">
      <c r="A313">
        <v>2338</v>
      </c>
      <c r="B313">
        <v>85</v>
      </c>
      <c r="C313">
        <v>1247</v>
      </c>
      <c r="D313">
        <v>289</v>
      </c>
      <c r="E313">
        <v>2203</v>
      </c>
      <c r="F313">
        <v>432</v>
      </c>
      <c r="G313">
        <v>83</v>
      </c>
      <c r="H313">
        <v>40</v>
      </c>
      <c r="I313">
        <v>4214</v>
      </c>
      <c r="J313">
        <v>1</v>
      </c>
      <c r="K313">
        <v>5</v>
      </c>
      <c r="L313">
        <v>8</v>
      </c>
      <c r="M313">
        <v>5</v>
      </c>
      <c r="N313">
        <v>2</v>
      </c>
    </row>
    <row r="314" spans="1:14" hidden="1" x14ac:dyDescent="0.3">
      <c r="A314">
        <v>1478</v>
      </c>
      <c r="B314">
        <v>85</v>
      </c>
      <c r="C314">
        <v>1410</v>
      </c>
      <c r="D314">
        <v>36</v>
      </c>
      <c r="E314">
        <v>367</v>
      </c>
      <c r="F314">
        <v>22</v>
      </c>
      <c r="G314">
        <v>0</v>
      </c>
      <c r="H314">
        <v>73</v>
      </c>
      <c r="I314">
        <v>1763</v>
      </c>
      <c r="J314">
        <v>1</v>
      </c>
      <c r="K314">
        <v>9</v>
      </c>
      <c r="L314">
        <v>4</v>
      </c>
      <c r="M314">
        <v>6</v>
      </c>
      <c r="N314">
        <v>7</v>
      </c>
    </row>
    <row r="315" spans="1:14" hidden="1" x14ac:dyDescent="0.3">
      <c r="A315">
        <v>1294</v>
      </c>
      <c r="B315">
        <v>85</v>
      </c>
      <c r="C315">
        <v>1546</v>
      </c>
      <c r="D315">
        <v>25</v>
      </c>
      <c r="E315">
        <v>916</v>
      </c>
      <c r="F315">
        <v>34</v>
      </c>
      <c r="G315">
        <v>103</v>
      </c>
      <c r="H315">
        <v>25</v>
      </c>
      <c r="I315">
        <v>2600</v>
      </c>
      <c r="J315">
        <v>1</v>
      </c>
      <c r="K315">
        <v>2</v>
      </c>
      <c r="L315">
        <v>5</v>
      </c>
      <c r="M315">
        <v>10</v>
      </c>
      <c r="N315">
        <v>1</v>
      </c>
    </row>
    <row r="316" spans="1:14" hidden="1" x14ac:dyDescent="0.3">
      <c r="A316">
        <v>2678</v>
      </c>
      <c r="B316">
        <v>85</v>
      </c>
      <c r="C316">
        <v>1640</v>
      </c>
      <c r="D316">
        <v>0</v>
      </c>
      <c r="E316">
        <v>183</v>
      </c>
      <c r="F316">
        <v>0</v>
      </c>
      <c r="G316">
        <v>0</v>
      </c>
      <c r="H316">
        <v>37</v>
      </c>
      <c r="I316">
        <v>1786</v>
      </c>
      <c r="J316">
        <v>6</v>
      </c>
      <c r="K316">
        <v>8</v>
      </c>
      <c r="L316">
        <v>2</v>
      </c>
      <c r="M316">
        <v>9</v>
      </c>
      <c r="N316">
        <v>5</v>
      </c>
    </row>
    <row r="317" spans="1:14" hidden="1" x14ac:dyDescent="0.3">
      <c r="A317">
        <v>1955</v>
      </c>
      <c r="B317">
        <v>85</v>
      </c>
      <c r="C317">
        <v>1858</v>
      </c>
      <c r="D317">
        <v>309</v>
      </c>
      <c r="E317">
        <v>964</v>
      </c>
      <c r="F317">
        <v>134</v>
      </c>
      <c r="G317">
        <v>206</v>
      </c>
      <c r="H317">
        <v>34</v>
      </c>
      <c r="I317">
        <v>3438</v>
      </c>
      <c r="J317">
        <v>1</v>
      </c>
      <c r="K317">
        <v>4</v>
      </c>
      <c r="L317">
        <v>6</v>
      </c>
      <c r="M317">
        <v>13</v>
      </c>
      <c r="N317">
        <v>2</v>
      </c>
    </row>
    <row r="318" spans="1:14" hidden="1" x14ac:dyDescent="0.3">
      <c r="A318">
        <v>2887</v>
      </c>
      <c r="B318">
        <v>85</v>
      </c>
      <c r="C318">
        <v>1858</v>
      </c>
      <c r="D318">
        <v>309</v>
      </c>
      <c r="E318">
        <v>964</v>
      </c>
      <c r="F318">
        <v>134</v>
      </c>
      <c r="G318">
        <v>206</v>
      </c>
      <c r="H318">
        <v>34</v>
      </c>
      <c r="I318">
        <v>3438</v>
      </c>
      <c r="J318">
        <v>1</v>
      </c>
      <c r="K318">
        <v>4</v>
      </c>
      <c r="L318">
        <v>6</v>
      </c>
      <c r="M318">
        <v>13</v>
      </c>
      <c r="N318">
        <v>2</v>
      </c>
    </row>
    <row r="319" spans="1:14" hidden="1" x14ac:dyDescent="0.3">
      <c r="A319">
        <v>2243</v>
      </c>
      <c r="B319">
        <v>85</v>
      </c>
      <c r="C319">
        <v>2697</v>
      </c>
      <c r="D319">
        <v>120</v>
      </c>
      <c r="E319">
        <v>980</v>
      </c>
      <c r="F319">
        <v>213</v>
      </c>
      <c r="G319">
        <v>163</v>
      </c>
      <c r="H319">
        <v>87</v>
      </c>
      <c r="I319">
        <v>4085</v>
      </c>
      <c r="J319">
        <v>1</v>
      </c>
      <c r="K319">
        <v>7</v>
      </c>
      <c r="L319">
        <v>8</v>
      </c>
      <c r="M319">
        <v>11</v>
      </c>
      <c r="N319">
        <v>3</v>
      </c>
    </row>
    <row r="320" spans="1:14" hidden="1" x14ac:dyDescent="0.3">
      <c r="A320">
        <v>2464</v>
      </c>
      <c r="B320">
        <v>85</v>
      </c>
      <c r="C320">
        <v>3331</v>
      </c>
      <c r="D320">
        <v>205</v>
      </c>
      <c r="E320">
        <v>370</v>
      </c>
      <c r="F320">
        <v>159</v>
      </c>
      <c r="G320">
        <v>80</v>
      </c>
      <c r="H320">
        <v>246</v>
      </c>
      <c r="I320">
        <v>3899</v>
      </c>
      <c r="J320">
        <v>2</v>
      </c>
      <c r="K320">
        <v>11</v>
      </c>
      <c r="L320">
        <v>8</v>
      </c>
      <c r="M320">
        <v>8</v>
      </c>
      <c r="N320">
        <v>6</v>
      </c>
    </row>
    <row r="321" spans="1:14" hidden="1" x14ac:dyDescent="0.3">
      <c r="A321">
        <v>2388</v>
      </c>
      <c r="B321">
        <v>84</v>
      </c>
      <c r="C321">
        <v>17</v>
      </c>
      <c r="D321">
        <v>3</v>
      </c>
      <c r="E321">
        <v>23</v>
      </c>
      <c r="F321">
        <v>7</v>
      </c>
      <c r="G321">
        <v>3</v>
      </c>
      <c r="H321">
        <v>13</v>
      </c>
      <c r="I321">
        <v>40</v>
      </c>
      <c r="J321">
        <v>1</v>
      </c>
      <c r="K321">
        <v>1</v>
      </c>
      <c r="L321">
        <v>0</v>
      </c>
      <c r="M321">
        <v>2</v>
      </c>
      <c r="N321">
        <v>7</v>
      </c>
    </row>
    <row r="322" spans="1:14" hidden="1" x14ac:dyDescent="0.3">
      <c r="A322">
        <v>2310</v>
      </c>
      <c r="B322">
        <v>84</v>
      </c>
      <c r="C322">
        <v>28</v>
      </c>
      <c r="D322">
        <v>23</v>
      </c>
      <c r="E322">
        <v>79</v>
      </c>
      <c r="F322">
        <v>14</v>
      </c>
      <c r="G322">
        <v>112</v>
      </c>
      <c r="H322">
        <v>215</v>
      </c>
      <c r="I322">
        <v>42</v>
      </c>
      <c r="J322">
        <v>2</v>
      </c>
      <c r="K322">
        <v>2</v>
      </c>
      <c r="L322">
        <v>2</v>
      </c>
      <c r="M322">
        <v>2</v>
      </c>
      <c r="N322">
        <v>7</v>
      </c>
    </row>
    <row r="323" spans="1:14" hidden="1" x14ac:dyDescent="0.3">
      <c r="A323">
        <v>2268</v>
      </c>
      <c r="B323">
        <v>84</v>
      </c>
      <c r="C323">
        <v>69</v>
      </c>
      <c r="D323">
        <v>6</v>
      </c>
      <c r="E323">
        <v>31</v>
      </c>
      <c r="F323">
        <v>19</v>
      </c>
      <c r="G323">
        <v>13</v>
      </c>
      <c r="H323">
        <v>107</v>
      </c>
      <c r="I323">
        <v>31</v>
      </c>
      <c r="J323">
        <v>2</v>
      </c>
      <c r="K323">
        <v>1</v>
      </c>
      <c r="L323">
        <v>2</v>
      </c>
      <c r="M323">
        <v>2</v>
      </c>
      <c r="N323">
        <v>4</v>
      </c>
    </row>
    <row r="324" spans="1:14" hidden="1" x14ac:dyDescent="0.3">
      <c r="A324">
        <v>1158</v>
      </c>
      <c r="B324">
        <v>84</v>
      </c>
      <c r="C324">
        <v>72</v>
      </c>
      <c r="D324">
        <v>48</v>
      </c>
      <c r="E324">
        <v>92</v>
      </c>
      <c r="F324">
        <v>39</v>
      </c>
      <c r="G324">
        <v>82</v>
      </c>
      <c r="H324">
        <v>97</v>
      </c>
      <c r="I324">
        <v>237</v>
      </c>
      <c r="J324">
        <v>3</v>
      </c>
      <c r="K324">
        <v>2</v>
      </c>
      <c r="L324">
        <v>1</v>
      </c>
      <c r="M324">
        <v>3</v>
      </c>
      <c r="N324">
        <v>5</v>
      </c>
    </row>
    <row r="325" spans="1:14" hidden="1" x14ac:dyDescent="0.3">
      <c r="A325">
        <v>1978</v>
      </c>
      <c r="B325">
        <v>84</v>
      </c>
      <c r="C325">
        <v>72</v>
      </c>
      <c r="D325">
        <v>48</v>
      </c>
      <c r="E325">
        <v>92</v>
      </c>
      <c r="F325">
        <v>39</v>
      </c>
      <c r="G325">
        <v>82</v>
      </c>
      <c r="H325">
        <v>97</v>
      </c>
      <c r="I325">
        <v>237</v>
      </c>
      <c r="J325">
        <v>3</v>
      </c>
      <c r="K325">
        <v>2</v>
      </c>
      <c r="L325">
        <v>1</v>
      </c>
      <c r="M325">
        <v>3</v>
      </c>
      <c r="N325">
        <v>5</v>
      </c>
    </row>
    <row r="326" spans="1:14" hidden="1" x14ac:dyDescent="0.3">
      <c r="A326">
        <v>1935</v>
      </c>
      <c r="B326">
        <v>84</v>
      </c>
      <c r="C326">
        <v>95</v>
      </c>
      <c r="D326">
        <v>0</v>
      </c>
      <c r="E326">
        <v>25</v>
      </c>
      <c r="F326">
        <v>6</v>
      </c>
      <c r="G326">
        <v>0</v>
      </c>
      <c r="H326">
        <v>44</v>
      </c>
      <c r="I326">
        <v>82</v>
      </c>
      <c r="J326">
        <v>1</v>
      </c>
      <c r="K326">
        <v>1</v>
      </c>
      <c r="L326">
        <v>1</v>
      </c>
      <c r="M326">
        <v>2</v>
      </c>
      <c r="N326">
        <v>6</v>
      </c>
    </row>
    <row r="327" spans="1:14" hidden="1" x14ac:dyDescent="0.3">
      <c r="A327">
        <v>1086</v>
      </c>
      <c r="B327">
        <v>84</v>
      </c>
      <c r="C327">
        <v>141</v>
      </c>
      <c r="D327">
        <v>10</v>
      </c>
      <c r="E327">
        <v>73</v>
      </c>
      <c r="F327">
        <v>0</v>
      </c>
      <c r="G327">
        <v>0</v>
      </c>
      <c r="H327">
        <v>0</v>
      </c>
      <c r="I327">
        <v>225</v>
      </c>
      <c r="J327">
        <v>3</v>
      </c>
      <c r="K327">
        <v>3</v>
      </c>
      <c r="L327">
        <v>1</v>
      </c>
      <c r="M327">
        <v>3</v>
      </c>
      <c r="N327">
        <v>5</v>
      </c>
    </row>
    <row r="328" spans="1:14" hidden="1" x14ac:dyDescent="0.3">
      <c r="A328">
        <v>2656</v>
      </c>
      <c r="B328">
        <v>84</v>
      </c>
      <c r="C328">
        <v>155</v>
      </c>
      <c r="D328">
        <v>18</v>
      </c>
      <c r="E328">
        <v>101</v>
      </c>
      <c r="F328">
        <v>25</v>
      </c>
      <c r="G328">
        <v>22</v>
      </c>
      <c r="H328">
        <v>119</v>
      </c>
      <c r="I328">
        <v>202</v>
      </c>
      <c r="J328">
        <v>4</v>
      </c>
      <c r="K328">
        <v>3</v>
      </c>
      <c r="L328">
        <v>1</v>
      </c>
      <c r="M328">
        <v>3</v>
      </c>
      <c r="N328">
        <v>5</v>
      </c>
    </row>
    <row r="329" spans="1:14" hidden="1" x14ac:dyDescent="0.3">
      <c r="A329">
        <v>2831</v>
      </c>
      <c r="B329">
        <v>84</v>
      </c>
      <c r="C329">
        <v>185</v>
      </c>
      <c r="D329">
        <v>3</v>
      </c>
      <c r="E329">
        <v>35</v>
      </c>
      <c r="F329">
        <v>8</v>
      </c>
      <c r="G329">
        <v>14</v>
      </c>
      <c r="H329">
        <v>35</v>
      </c>
      <c r="I329">
        <v>209</v>
      </c>
      <c r="J329">
        <v>1</v>
      </c>
      <c r="K329">
        <v>2</v>
      </c>
      <c r="L329">
        <v>0</v>
      </c>
      <c r="M329">
        <v>4</v>
      </c>
      <c r="N329">
        <v>6</v>
      </c>
    </row>
    <row r="330" spans="1:14" hidden="1" x14ac:dyDescent="0.3">
      <c r="A330">
        <v>1944</v>
      </c>
      <c r="B330">
        <v>84</v>
      </c>
      <c r="C330">
        <v>279</v>
      </c>
      <c r="D330">
        <v>14</v>
      </c>
      <c r="E330">
        <v>160</v>
      </c>
      <c r="F330">
        <v>0</v>
      </c>
      <c r="G330">
        <v>59</v>
      </c>
      <c r="H330">
        <v>7</v>
      </c>
      <c r="I330">
        <v>505</v>
      </c>
      <c r="J330">
        <v>5</v>
      </c>
      <c r="K330">
        <v>2</v>
      </c>
      <c r="L330">
        <v>1</v>
      </c>
      <c r="M330">
        <v>5</v>
      </c>
      <c r="N330">
        <v>6</v>
      </c>
    </row>
    <row r="331" spans="1:14" hidden="1" x14ac:dyDescent="0.3">
      <c r="A331">
        <v>1665</v>
      </c>
      <c r="B331">
        <v>84</v>
      </c>
      <c r="C331">
        <v>414</v>
      </c>
      <c r="D331">
        <v>21</v>
      </c>
      <c r="E331">
        <v>293</v>
      </c>
      <c r="F331">
        <v>21</v>
      </c>
      <c r="G331">
        <v>21</v>
      </c>
      <c r="H331">
        <v>146</v>
      </c>
      <c r="I331">
        <v>624</v>
      </c>
      <c r="J331">
        <v>2</v>
      </c>
      <c r="K331">
        <v>3</v>
      </c>
      <c r="L331">
        <v>1</v>
      </c>
      <c r="M331">
        <v>6</v>
      </c>
      <c r="N331">
        <v>5</v>
      </c>
    </row>
    <row r="332" spans="1:14" hidden="1" x14ac:dyDescent="0.3">
      <c r="A332">
        <v>3147</v>
      </c>
      <c r="B332">
        <v>84</v>
      </c>
      <c r="C332">
        <v>414</v>
      </c>
      <c r="D332">
        <v>21</v>
      </c>
      <c r="E332">
        <v>293</v>
      </c>
      <c r="F332">
        <v>21</v>
      </c>
      <c r="G332">
        <v>21</v>
      </c>
      <c r="H332">
        <v>146</v>
      </c>
      <c r="I332">
        <v>624</v>
      </c>
      <c r="J332">
        <v>2</v>
      </c>
      <c r="K332">
        <v>3</v>
      </c>
      <c r="L332">
        <v>1</v>
      </c>
      <c r="M332">
        <v>6</v>
      </c>
      <c r="N332">
        <v>5</v>
      </c>
    </row>
    <row r="333" spans="1:14" hidden="1" x14ac:dyDescent="0.3">
      <c r="A333">
        <v>2040</v>
      </c>
      <c r="B333">
        <v>84</v>
      </c>
      <c r="C333">
        <v>833</v>
      </c>
      <c r="D333">
        <v>69</v>
      </c>
      <c r="E333">
        <v>699</v>
      </c>
      <c r="F333">
        <v>456</v>
      </c>
      <c r="G333">
        <v>134</v>
      </c>
      <c r="H333">
        <v>134</v>
      </c>
      <c r="I333">
        <v>2058</v>
      </c>
      <c r="J333">
        <v>1</v>
      </c>
      <c r="K333">
        <v>2</v>
      </c>
      <c r="L333">
        <v>8</v>
      </c>
      <c r="M333">
        <v>6</v>
      </c>
      <c r="N333">
        <v>1</v>
      </c>
    </row>
    <row r="334" spans="1:14" hidden="1" x14ac:dyDescent="0.3">
      <c r="A334">
        <v>1214</v>
      </c>
      <c r="B334">
        <v>84</v>
      </c>
      <c r="C334">
        <v>875</v>
      </c>
      <c r="D334">
        <v>21</v>
      </c>
      <c r="E334">
        <v>233</v>
      </c>
      <c r="F334">
        <v>0</v>
      </c>
      <c r="G334">
        <v>32</v>
      </c>
      <c r="H334">
        <v>536</v>
      </c>
      <c r="I334">
        <v>625</v>
      </c>
      <c r="J334">
        <v>2</v>
      </c>
      <c r="K334">
        <v>8</v>
      </c>
      <c r="L334">
        <v>2</v>
      </c>
      <c r="M334">
        <v>4</v>
      </c>
      <c r="N334">
        <v>8</v>
      </c>
    </row>
    <row r="335" spans="1:14" hidden="1" x14ac:dyDescent="0.3">
      <c r="A335">
        <v>1268</v>
      </c>
      <c r="B335">
        <v>84</v>
      </c>
      <c r="C335">
        <v>875</v>
      </c>
      <c r="D335">
        <v>21</v>
      </c>
      <c r="E335">
        <v>233</v>
      </c>
      <c r="F335">
        <v>0</v>
      </c>
      <c r="G335">
        <v>32</v>
      </c>
      <c r="H335">
        <v>536</v>
      </c>
      <c r="I335">
        <v>625</v>
      </c>
      <c r="J335">
        <v>2</v>
      </c>
      <c r="K335">
        <v>8</v>
      </c>
      <c r="L335">
        <v>2</v>
      </c>
      <c r="M335">
        <v>4</v>
      </c>
      <c r="N335">
        <v>8</v>
      </c>
    </row>
    <row r="336" spans="1:14" hidden="1" x14ac:dyDescent="0.3">
      <c r="A336">
        <v>1593</v>
      </c>
      <c r="B336">
        <v>84</v>
      </c>
      <c r="C336">
        <v>915</v>
      </c>
      <c r="D336">
        <v>0</v>
      </c>
      <c r="E336">
        <v>1321</v>
      </c>
      <c r="F336">
        <v>328</v>
      </c>
      <c r="G336">
        <v>49</v>
      </c>
      <c r="H336">
        <v>49</v>
      </c>
      <c r="I336">
        <v>2565</v>
      </c>
      <c r="J336">
        <v>1</v>
      </c>
      <c r="K336">
        <v>6</v>
      </c>
      <c r="L336">
        <v>4</v>
      </c>
      <c r="M336">
        <v>7</v>
      </c>
      <c r="N336">
        <v>3</v>
      </c>
    </row>
    <row r="337" spans="1:14" hidden="1" x14ac:dyDescent="0.3">
      <c r="A337">
        <v>2203</v>
      </c>
      <c r="B337">
        <v>84</v>
      </c>
      <c r="C337">
        <v>936</v>
      </c>
      <c r="D337">
        <v>140</v>
      </c>
      <c r="E337">
        <v>250</v>
      </c>
      <c r="F337">
        <v>110</v>
      </c>
      <c r="G337">
        <v>280</v>
      </c>
      <c r="H337">
        <v>94</v>
      </c>
      <c r="I337">
        <v>1622</v>
      </c>
      <c r="J337">
        <v>1</v>
      </c>
      <c r="K337">
        <v>5</v>
      </c>
      <c r="L337">
        <v>7</v>
      </c>
      <c r="M337">
        <v>9</v>
      </c>
      <c r="N337">
        <v>4</v>
      </c>
    </row>
    <row r="338" spans="1:14" hidden="1" x14ac:dyDescent="0.3">
      <c r="A338">
        <v>2799</v>
      </c>
      <c r="B338">
        <v>84</v>
      </c>
      <c r="C338">
        <v>1066</v>
      </c>
      <c r="D338">
        <v>49</v>
      </c>
      <c r="E338">
        <v>700</v>
      </c>
      <c r="F338">
        <v>302</v>
      </c>
      <c r="G338">
        <v>546</v>
      </c>
      <c r="H338">
        <v>674</v>
      </c>
      <c r="I338">
        <v>1989</v>
      </c>
      <c r="J338">
        <v>2</v>
      </c>
      <c r="K338">
        <v>9</v>
      </c>
      <c r="L338">
        <v>5</v>
      </c>
      <c r="M338">
        <v>9</v>
      </c>
      <c r="N338">
        <v>7</v>
      </c>
    </row>
    <row r="339" spans="1:14" hidden="1" x14ac:dyDescent="0.3">
      <c r="A339">
        <v>2125</v>
      </c>
      <c r="B339">
        <v>84</v>
      </c>
      <c r="C339">
        <v>1311</v>
      </c>
      <c r="D339">
        <v>320</v>
      </c>
      <c r="E339">
        <v>642</v>
      </c>
      <c r="F339">
        <v>129</v>
      </c>
      <c r="G339">
        <v>98</v>
      </c>
      <c r="H339">
        <v>346</v>
      </c>
      <c r="I339">
        <v>2154</v>
      </c>
      <c r="J339">
        <v>1</v>
      </c>
      <c r="K339">
        <v>6</v>
      </c>
      <c r="L339">
        <v>5</v>
      </c>
      <c r="M339">
        <v>13</v>
      </c>
      <c r="N339">
        <v>3</v>
      </c>
    </row>
    <row r="340" spans="1:14" hidden="1" x14ac:dyDescent="0.3">
      <c r="A340">
        <v>2461</v>
      </c>
      <c r="B340">
        <v>84</v>
      </c>
      <c r="C340">
        <v>1339</v>
      </c>
      <c r="D340">
        <v>61</v>
      </c>
      <c r="E340">
        <v>344</v>
      </c>
      <c r="F340">
        <v>157</v>
      </c>
      <c r="G340">
        <v>162</v>
      </c>
      <c r="H340">
        <v>19</v>
      </c>
      <c r="I340">
        <v>2043</v>
      </c>
      <c r="J340">
        <v>3</v>
      </c>
      <c r="K340">
        <v>6</v>
      </c>
      <c r="L340">
        <v>3</v>
      </c>
      <c r="M340">
        <v>13</v>
      </c>
      <c r="N340">
        <v>4</v>
      </c>
    </row>
    <row r="341" spans="1:14" hidden="1" x14ac:dyDescent="0.3">
      <c r="A341">
        <v>2408</v>
      </c>
      <c r="B341">
        <v>84</v>
      </c>
      <c r="C341">
        <v>1442</v>
      </c>
      <c r="D341">
        <v>44</v>
      </c>
      <c r="E341">
        <v>246</v>
      </c>
      <c r="F341">
        <v>229</v>
      </c>
      <c r="G341">
        <v>306</v>
      </c>
      <c r="H341">
        <v>87</v>
      </c>
      <c r="I341">
        <v>2178</v>
      </c>
      <c r="J341">
        <v>1</v>
      </c>
      <c r="K341">
        <v>6</v>
      </c>
      <c r="L341">
        <v>5</v>
      </c>
      <c r="M341">
        <v>11</v>
      </c>
      <c r="N341">
        <v>2</v>
      </c>
    </row>
    <row r="342" spans="1:14" hidden="1" x14ac:dyDescent="0.3">
      <c r="A342">
        <v>2492</v>
      </c>
      <c r="B342">
        <v>84</v>
      </c>
      <c r="C342">
        <v>1886</v>
      </c>
      <c r="D342">
        <v>0</v>
      </c>
      <c r="E342">
        <v>237</v>
      </c>
      <c r="F342">
        <v>28</v>
      </c>
      <c r="G342">
        <v>20</v>
      </c>
      <c r="H342">
        <v>215</v>
      </c>
      <c r="I342">
        <v>1955</v>
      </c>
      <c r="J342">
        <v>5</v>
      </c>
      <c r="K342">
        <v>10</v>
      </c>
      <c r="L342">
        <v>3</v>
      </c>
      <c r="M342">
        <v>8</v>
      </c>
      <c r="N342">
        <v>8</v>
      </c>
    </row>
    <row r="343" spans="1:14" hidden="1" x14ac:dyDescent="0.3">
      <c r="A343">
        <v>2897</v>
      </c>
      <c r="B343">
        <v>84</v>
      </c>
      <c r="C343">
        <v>2775</v>
      </c>
      <c r="D343">
        <v>57</v>
      </c>
      <c r="E343">
        <v>249</v>
      </c>
      <c r="F343">
        <v>149</v>
      </c>
      <c r="G343">
        <v>226</v>
      </c>
      <c r="H343">
        <v>57</v>
      </c>
      <c r="I343">
        <v>3400</v>
      </c>
      <c r="J343">
        <v>0</v>
      </c>
      <c r="K343">
        <v>7</v>
      </c>
      <c r="L343">
        <v>9</v>
      </c>
      <c r="M343">
        <v>6</v>
      </c>
      <c r="N343">
        <v>4</v>
      </c>
    </row>
    <row r="344" spans="1:14" hidden="1" x14ac:dyDescent="0.3">
      <c r="A344">
        <v>2282</v>
      </c>
      <c r="B344">
        <v>83</v>
      </c>
      <c r="C344">
        <v>21</v>
      </c>
      <c r="D344">
        <v>32</v>
      </c>
      <c r="E344">
        <v>43</v>
      </c>
      <c r="F344">
        <v>32</v>
      </c>
      <c r="G344">
        <v>16</v>
      </c>
      <c r="H344">
        <v>53</v>
      </c>
      <c r="I344">
        <v>90</v>
      </c>
      <c r="J344">
        <v>1</v>
      </c>
      <c r="K344">
        <v>2</v>
      </c>
      <c r="L344">
        <v>0</v>
      </c>
      <c r="M344">
        <v>3</v>
      </c>
      <c r="N344">
        <v>7</v>
      </c>
    </row>
    <row r="345" spans="1:14" hidden="1" x14ac:dyDescent="0.3">
      <c r="A345">
        <v>1154</v>
      </c>
      <c r="B345">
        <v>83</v>
      </c>
      <c r="C345">
        <v>59</v>
      </c>
      <c r="D345">
        <v>3</v>
      </c>
      <c r="E345">
        <v>106</v>
      </c>
      <c r="F345">
        <v>20</v>
      </c>
      <c r="G345">
        <v>10</v>
      </c>
      <c r="H345">
        <v>92</v>
      </c>
      <c r="I345">
        <v>106</v>
      </c>
      <c r="J345">
        <v>3</v>
      </c>
      <c r="K345">
        <v>2</v>
      </c>
      <c r="L345">
        <v>0</v>
      </c>
      <c r="M345">
        <v>4</v>
      </c>
      <c r="N345">
        <v>6</v>
      </c>
    </row>
    <row r="346" spans="1:14" hidden="1" x14ac:dyDescent="0.3">
      <c r="A346">
        <v>1864</v>
      </c>
      <c r="B346">
        <v>83</v>
      </c>
      <c r="C346">
        <v>65</v>
      </c>
      <c r="D346">
        <v>0</v>
      </c>
      <c r="E346">
        <v>56</v>
      </c>
      <c r="F346">
        <v>18</v>
      </c>
      <c r="G346">
        <v>15</v>
      </c>
      <c r="H346">
        <v>9</v>
      </c>
      <c r="I346">
        <v>145</v>
      </c>
      <c r="J346">
        <v>2</v>
      </c>
      <c r="K346">
        <v>2</v>
      </c>
      <c r="L346">
        <v>0</v>
      </c>
      <c r="M346">
        <v>3</v>
      </c>
      <c r="N346">
        <v>6</v>
      </c>
    </row>
    <row r="347" spans="1:14" hidden="1" x14ac:dyDescent="0.3">
      <c r="A347">
        <v>1115</v>
      </c>
      <c r="B347">
        <v>83</v>
      </c>
      <c r="C347">
        <v>72</v>
      </c>
      <c r="D347">
        <v>0</v>
      </c>
      <c r="E347">
        <v>59</v>
      </c>
      <c r="F347">
        <v>30</v>
      </c>
      <c r="G347">
        <v>13</v>
      </c>
      <c r="H347">
        <v>8</v>
      </c>
      <c r="I347">
        <v>165</v>
      </c>
      <c r="J347">
        <v>1</v>
      </c>
      <c r="K347">
        <v>1</v>
      </c>
      <c r="L347">
        <v>0</v>
      </c>
      <c r="M347">
        <v>3</v>
      </c>
      <c r="N347">
        <v>7</v>
      </c>
    </row>
    <row r="348" spans="1:14" hidden="1" x14ac:dyDescent="0.3">
      <c r="A348">
        <v>3099</v>
      </c>
      <c r="B348">
        <v>83</v>
      </c>
      <c r="C348">
        <v>72</v>
      </c>
      <c r="D348">
        <v>0</v>
      </c>
      <c r="E348">
        <v>59</v>
      </c>
      <c r="F348">
        <v>30</v>
      </c>
      <c r="G348">
        <v>13</v>
      </c>
      <c r="H348">
        <v>8</v>
      </c>
      <c r="I348">
        <v>165</v>
      </c>
      <c r="J348">
        <v>1</v>
      </c>
      <c r="K348">
        <v>1</v>
      </c>
      <c r="L348">
        <v>0</v>
      </c>
      <c r="M348">
        <v>3</v>
      </c>
      <c r="N348">
        <v>7</v>
      </c>
    </row>
    <row r="349" spans="1:14" hidden="1" x14ac:dyDescent="0.3">
      <c r="A349">
        <v>1787</v>
      </c>
      <c r="B349">
        <v>83</v>
      </c>
      <c r="C349">
        <v>94</v>
      </c>
      <c r="D349">
        <v>3</v>
      </c>
      <c r="E349">
        <v>52</v>
      </c>
      <c r="F349">
        <v>6</v>
      </c>
      <c r="G349">
        <v>19</v>
      </c>
      <c r="H349">
        <v>0</v>
      </c>
      <c r="I349">
        <v>174</v>
      </c>
      <c r="J349">
        <v>1</v>
      </c>
      <c r="K349">
        <v>1</v>
      </c>
      <c r="L349">
        <v>1</v>
      </c>
      <c r="M349">
        <v>3</v>
      </c>
      <c r="N349">
        <v>2</v>
      </c>
    </row>
    <row r="350" spans="1:14" hidden="1" x14ac:dyDescent="0.3">
      <c r="A350">
        <v>2847</v>
      </c>
      <c r="B350">
        <v>83</v>
      </c>
      <c r="C350">
        <v>101</v>
      </c>
      <c r="D350">
        <v>3</v>
      </c>
      <c r="E350">
        <v>26</v>
      </c>
      <c r="F350">
        <v>0</v>
      </c>
      <c r="G350">
        <v>0</v>
      </c>
      <c r="H350">
        <v>26</v>
      </c>
      <c r="I350">
        <v>104</v>
      </c>
      <c r="J350">
        <v>2</v>
      </c>
      <c r="K350">
        <v>2</v>
      </c>
      <c r="L350">
        <v>0</v>
      </c>
      <c r="M350">
        <v>3</v>
      </c>
      <c r="N350">
        <v>6</v>
      </c>
    </row>
    <row r="351" spans="1:14" hidden="1" x14ac:dyDescent="0.3">
      <c r="A351">
        <v>2905</v>
      </c>
      <c r="B351">
        <v>83</v>
      </c>
      <c r="C351">
        <v>120</v>
      </c>
      <c r="D351">
        <v>10</v>
      </c>
      <c r="E351">
        <v>94</v>
      </c>
      <c r="F351">
        <v>5</v>
      </c>
      <c r="G351">
        <v>5</v>
      </c>
      <c r="H351">
        <v>3</v>
      </c>
      <c r="I351">
        <v>233</v>
      </c>
      <c r="J351">
        <v>1</v>
      </c>
      <c r="K351">
        <v>2</v>
      </c>
      <c r="L351">
        <v>0</v>
      </c>
      <c r="M351">
        <v>4</v>
      </c>
      <c r="N351">
        <v>5</v>
      </c>
    </row>
    <row r="352" spans="1:14" hidden="1" x14ac:dyDescent="0.3">
      <c r="A352">
        <v>1386</v>
      </c>
      <c r="B352">
        <v>83</v>
      </c>
      <c r="C352">
        <v>225</v>
      </c>
      <c r="D352">
        <v>17</v>
      </c>
      <c r="E352">
        <v>205</v>
      </c>
      <c r="F352">
        <v>10</v>
      </c>
      <c r="G352">
        <v>27</v>
      </c>
      <c r="H352">
        <v>64</v>
      </c>
      <c r="I352">
        <v>420</v>
      </c>
      <c r="J352">
        <v>5</v>
      </c>
      <c r="K352">
        <v>2</v>
      </c>
      <c r="L352">
        <v>1</v>
      </c>
      <c r="M352">
        <v>5</v>
      </c>
      <c r="N352">
        <v>5</v>
      </c>
    </row>
    <row r="353" spans="1:14" hidden="1" x14ac:dyDescent="0.3">
      <c r="A353">
        <v>1928</v>
      </c>
      <c r="B353">
        <v>83</v>
      </c>
      <c r="C353">
        <v>333</v>
      </c>
      <c r="D353">
        <v>62</v>
      </c>
      <c r="E353">
        <v>126</v>
      </c>
      <c r="F353">
        <v>57</v>
      </c>
      <c r="G353">
        <v>62</v>
      </c>
      <c r="H353">
        <v>113</v>
      </c>
      <c r="I353">
        <v>525</v>
      </c>
      <c r="J353">
        <v>2</v>
      </c>
      <c r="K353">
        <v>4</v>
      </c>
      <c r="L353">
        <v>2</v>
      </c>
      <c r="M353">
        <v>5</v>
      </c>
      <c r="N353">
        <v>3</v>
      </c>
    </row>
    <row r="354" spans="1:14" hidden="1" x14ac:dyDescent="0.3">
      <c r="A354">
        <v>2567</v>
      </c>
      <c r="B354">
        <v>83</v>
      </c>
      <c r="C354">
        <v>467</v>
      </c>
      <c r="D354">
        <v>155</v>
      </c>
      <c r="E354">
        <v>739</v>
      </c>
      <c r="F354">
        <v>228</v>
      </c>
      <c r="G354">
        <v>408</v>
      </c>
      <c r="H354">
        <v>96</v>
      </c>
      <c r="I354">
        <v>1901</v>
      </c>
      <c r="J354">
        <v>1</v>
      </c>
      <c r="K354">
        <v>4</v>
      </c>
      <c r="L354">
        <v>3</v>
      </c>
      <c r="M354">
        <v>5</v>
      </c>
      <c r="N354">
        <v>2</v>
      </c>
    </row>
    <row r="355" spans="1:14" hidden="1" x14ac:dyDescent="0.3">
      <c r="A355">
        <v>2391</v>
      </c>
      <c r="B355">
        <v>83</v>
      </c>
      <c r="C355">
        <v>523</v>
      </c>
      <c r="D355">
        <v>153</v>
      </c>
      <c r="E355">
        <v>381</v>
      </c>
      <c r="F355">
        <v>140</v>
      </c>
      <c r="G355">
        <v>22</v>
      </c>
      <c r="H355">
        <v>274</v>
      </c>
      <c r="I355">
        <v>945</v>
      </c>
      <c r="J355">
        <v>4</v>
      </c>
      <c r="K355">
        <v>4</v>
      </c>
      <c r="L355">
        <v>3</v>
      </c>
      <c r="M355">
        <v>8</v>
      </c>
      <c r="N355">
        <v>4</v>
      </c>
    </row>
    <row r="356" spans="1:14" hidden="1" x14ac:dyDescent="0.3">
      <c r="A356">
        <v>1725</v>
      </c>
      <c r="B356">
        <v>83</v>
      </c>
      <c r="C356">
        <v>680</v>
      </c>
      <c r="D356">
        <v>58</v>
      </c>
      <c r="E356">
        <v>798</v>
      </c>
      <c r="F356">
        <v>306</v>
      </c>
      <c r="G356">
        <v>69</v>
      </c>
      <c r="H356">
        <v>89</v>
      </c>
      <c r="I356">
        <v>1822</v>
      </c>
      <c r="J356">
        <v>1</v>
      </c>
      <c r="K356">
        <v>6</v>
      </c>
      <c r="L356">
        <v>9</v>
      </c>
      <c r="M356">
        <v>5</v>
      </c>
      <c r="N356">
        <v>3</v>
      </c>
    </row>
    <row r="357" spans="1:14" hidden="1" x14ac:dyDescent="0.3">
      <c r="A357">
        <v>2053</v>
      </c>
      <c r="B357">
        <v>83</v>
      </c>
      <c r="C357">
        <v>1262</v>
      </c>
      <c r="D357">
        <v>56</v>
      </c>
      <c r="E357">
        <v>470</v>
      </c>
      <c r="F357">
        <v>51</v>
      </c>
      <c r="G357">
        <v>56</v>
      </c>
      <c r="H357">
        <v>149</v>
      </c>
      <c r="I357">
        <v>1745</v>
      </c>
      <c r="J357">
        <v>3</v>
      </c>
      <c r="K357">
        <v>9</v>
      </c>
      <c r="L357">
        <v>2</v>
      </c>
      <c r="M357">
        <v>9</v>
      </c>
      <c r="N357">
        <v>6</v>
      </c>
    </row>
    <row r="358" spans="1:14" hidden="1" x14ac:dyDescent="0.3">
      <c r="A358">
        <v>1398</v>
      </c>
      <c r="B358">
        <v>83</v>
      </c>
      <c r="C358">
        <v>1360</v>
      </c>
      <c r="D358">
        <v>79</v>
      </c>
      <c r="E358">
        <v>721</v>
      </c>
      <c r="F358">
        <v>0</v>
      </c>
      <c r="G358">
        <v>51</v>
      </c>
      <c r="H358">
        <v>292</v>
      </c>
      <c r="I358">
        <v>1919</v>
      </c>
      <c r="J358">
        <v>2</v>
      </c>
      <c r="K358">
        <v>5</v>
      </c>
      <c r="L358">
        <v>4</v>
      </c>
      <c r="M358">
        <v>8</v>
      </c>
      <c r="N358">
        <v>3</v>
      </c>
    </row>
    <row r="359" spans="1:14" hidden="1" x14ac:dyDescent="0.3">
      <c r="A359">
        <v>1585</v>
      </c>
      <c r="B359">
        <v>83</v>
      </c>
      <c r="C359">
        <v>1363</v>
      </c>
      <c r="D359">
        <v>73</v>
      </c>
      <c r="E359">
        <v>350</v>
      </c>
      <c r="F359">
        <v>26</v>
      </c>
      <c r="G359">
        <v>54</v>
      </c>
      <c r="H359">
        <v>257</v>
      </c>
      <c r="I359">
        <v>1610</v>
      </c>
      <c r="J359">
        <v>3</v>
      </c>
      <c r="K359">
        <v>5</v>
      </c>
      <c r="L359">
        <v>3</v>
      </c>
      <c r="M359">
        <v>12</v>
      </c>
      <c r="N359">
        <v>5</v>
      </c>
    </row>
    <row r="360" spans="1:14" hidden="1" x14ac:dyDescent="0.3">
      <c r="A360">
        <v>2457</v>
      </c>
      <c r="B360">
        <v>83</v>
      </c>
      <c r="C360">
        <v>1363</v>
      </c>
      <c r="D360">
        <v>73</v>
      </c>
      <c r="E360">
        <v>350</v>
      </c>
      <c r="F360">
        <v>26</v>
      </c>
      <c r="G360">
        <v>54</v>
      </c>
      <c r="H360">
        <v>257</v>
      </c>
      <c r="I360">
        <v>1610</v>
      </c>
      <c r="J360">
        <v>3</v>
      </c>
      <c r="K360">
        <v>5</v>
      </c>
      <c r="L360">
        <v>3</v>
      </c>
      <c r="M360">
        <v>12</v>
      </c>
      <c r="N360">
        <v>5</v>
      </c>
    </row>
    <row r="361" spans="1:14" hidden="1" x14ac:dyDescent="0.3">
      <c r="A361">
        <v>1642</v>
      </c>
      <c r="B361">
        <v>83</v>
      </c>
      <c r="C361">
        <v>1414</v>
      </c>
      <c r="D361">
        <v>0</v>
      </c>
      <c r="E361">
        <v>181</v>
      </c>
      <c r="F361">
        <v>19</v>
      </c>
      <c r="G361">
        <v>31</v>
      </c>
      <c r="H361">
        <v>14</v>
      </c>
      <c r="I361">
        <v>1630</v>
      </c>
      <c r="J361">
        <v>4</v>
      </c>
      <c r="K361">
        <v>7</v>
      </c>
      <c r="L361">
        <v>2</v>
      </c>
      <c r="M361">
        <v>9</v>
      </c>
      <c r="N361">
        <v>6</v>
      </c>
    </row>
    <row r="362" spans="1:14" hidden="1" x14ac:dyDescent="0.3">
      <c r="A362">
        <v>1809</v>
      </c>
      <c r="B362">
        <v>83</v>
      </c>
      <c r="C362">
        <v>1922</v>
      </c>
      <c r="D362">
        <v>63</v>
      </c>
      <c r="E362">
        <v>914</v>
      </c>
      <c r="F362">
        <v>163</v>
      </c>
      <c r="G362">
        <v>125</v>
      </c>
      <c r="H362">
        <v>125</v>
      </c>
      <c r="I362">
        <v>3061</v>
      </c>
      <c r="J362">
        <v>1</v>
      </c>
      <c r="K362">
        <v>8</v>
      </c>
      <c r="L362">
        <v>9</v>
      </c>
      <c r="M362">
        <v>4</v>
      </c>
      <c r="N362">
        <v>4</v>
      </c>
    </row>
    <row r="363" spans="1:14" hidden="1" x14ac:dyDescent="0.3">
      <c r="A363">
        <v>1449</v>
      </c>
      <c r="B363">
        <v>83</v>
      </c>
      <c r="C363">
        <v>1974</v>
      </c>
      <c r="D363">
        <v>63</v>
      </c>
      <c r="E363">
        <v>1051</v>
      </c>
      <c r="F363">
        <v>40</v>
      </c>
      <c r="G363">
        <v>95</v>
      </c>
      <c r="H363">
        <v>0</v>
      </c>
      <c r="I363">
        <v>3222</v>
      </c>
      <c r="J363">
        <v>1</v>
      </c>
      <c r="K363">
        <v>2</v>
      </c>
      <c r="L363">
        <v>8</v>
      </c>
      <c r="M363">
        <v>9</v>
      </c>
      <c r="N363">
        <v>1</v>
      </c>
    </row>
    <row r="364" spans="1:14" hidden="1" x14ac:dyDescent="0.3">
      <c r="A364">
        <v>1481</v>
      </c>
      <c r="B364">
        <v>83</v>
      </c>
      <c r="C364">
        <v>3171</v>
      </c>
      <c r="D364">
        <v>0</v>
      </c>
      <c r="E364">
        <v>731</v>
      </c>
      <c r="F364">
        <v>104</v>
      </c>
      <c r="G364">
        <v>80</v>
      </c>
      <c r="H364">
        <v>39</v>
      </c>
      <c r="I364">
        <v>4048</v>
      </c>
      <c r="J364">
        <v>1</v>
      </c>
      <c r="K364">
        <v>4</v>
      </c>
      <c r="L364">
        <v>9</v>
      </c>
      <c r="M364">
        <v>4</v>
      </c>
      <c r="N364">
        <v>6</v>
      </c>
    </row>
    <row r="365" spans="1:14" hidden="1" x14ac:dyDescent="0.3">
      <c r="A365">
        <v>1914</v>
      </c>
      <c r="B365">
        <v>82</v>
      </c>
      <c r="C365">
        <v>5</v>
      </c>
      <c r="D365">
        <v>20</v>
      </c>
      <c r="E365">
        <v>15</v>
      </c>
      <c r="F365">
        <v>39</v>
      </c>
      <c r="G365">
        <v>44</v>
      </c>
      <c r="H365">
        <v>35</v>
      </c>
      <c r="I365">
        <v>89</v>
      </c>
      <c r="J365">
        <v>1</v>
      </c>
      <c r="K365">
        <v>1</v>
      </c>
      <c r="L365">
        <v>0</v>
      </c>
      <c r="M365">
        <v>3</v>
      </c>
      <c r="N365">
        <v>8</v>
      </c>
    </row>
    <row r="366" spans="1:14" hidden="1" x14ac:dyDescent="0.3">
      <c r="A366">
        <v>2668</v>
      </c>
      <c r="B366">
        <v>82</v>
      </c>
      <c r="C366">
        <v>5</v>
      </c>
      <c r="D366">
        <v>31</v>
      </c>
      <c r="E366">
        <v>10</v>
      </c>
      <c r="F366">
        <v>41</v>
      </c>
      <c r="G366">
        <v>10</v>
      </c>
      <c r="H366">
        <v>61</v>
      </c>
      <c r="I366">
        <v>36</v>
      </c>
      <c r="J366">
        <v>1</v>
      </c>
      <c r="K366">
        <v>1</v>
      </c>
      <c r="L366">
        <v>0</v>
      </c>
      <c r="M366">
        <v>2</v>
      </c>
      <c r="N366">
        <v>7</v>
      </c>
    </row>
    <row r="367" spans="1:14" hidden="1" x14ac:dyDescent="0.3">
      <c r="A367">
        <v>1351</v>
      </c>
      <c r="B367">
        <v>82</v>
      </c>
      <c r="C367">
        <v>8</v>
      </c>
      <c r="D367">
        <v>12</v>
      </c>
      <c r="E367">
        <v>83</v>
      </c>
      <c r="F367">
        <v>25</v>
      </c>
      <c r="G367">
        <v>46</v>
      </c>
      <c r="H367">
        <v>37</v>
      </c>
      <c r="I367">
        <v>137</v>
      </c>
      <c r="J367">
        <v>2</v>
      </c>
      <c r="K367">
        <v>2</v>
      </c>
      <c r="L367">
        <v>0</v>
      </c>
      <c r="M367">
        <v>3</v>
      </c>
      <c r="N367">
        <v>7</v>
      </c>
    </row>
    <row r="368" spans="1:14" hidden="1" x14ac:dyDescent="0.3">
      <c r="A368">
        <v>2695</v>
      </c>
      <c r="B368">
        <v>82</v>
      </c>
      <c r="C368">
        <v>13</v>
      </c>
      <c r="D368">
        <v>13</v>
      </c>
      <c r="E368">
        <v>7</v>
      </c>
      <c r="F368">
        <v>20</v>
      </c>
      <c r="G368">
        <v>7</v>
      </c>
      <c r="H368">
        <v>13</v>
      </c>
      <c r="I368">
        <v>47</v>
      </c>
      <c r="J368">
        <v>1</v>
      </c>
      <c r="K368">
        <v>1</v>
      </c>
      <c r="L368">
        <v>0</v>
      </c>
      <c r="M368">
        <v>2</v>
      </c>
      <c r="N368">
        <v>8</v>
      </c>
    </row>
    <row r="369" spans="1:14" hidden="1" x14ac:dyDescent="0.3">
      <c r="A369">
        <v>2228</v>
      </c>
      <c r="B369">
        <v>82</v>
      </c>
      <c r="C369">
        <v>42</v>
      </c>
      <c r="D369">
        <v>0</v>
      </c>
      <c r="E369">
        <v>17</v>
      </c>
      <c r="F369">
        <v>0</v>
      </c>
      <c r="G369">
        <v>0</v>
      </c>
      <c r="H369">
        <v>14</v>
      </c>
      <c r="I369">
        <v>45</v>
      </c>
      <c r="J369">
        <v>1</v>
      </c>
      <c r="K369">
        <v>0</v>
      </c>
      <c r="L369">
        <v>1</v>
      </c>
      <c r="M369">
        <v>2</v>
      </c>
      <c r="N369">
        <v>5</v>
      </c>
    </row>
    <row r="370" spans="1:14" hidden="1" x14ac:dyDescent="0.3">
      <c r="A370">
        <v>2446</v>
      </c>
      <c r="B370">
        <v>82</v>
      </c>
      <c r="C370">
        <v>43</v>
      </c>
      <c r="D370">
        <v>16</v>
      </c>
      <c r="E370">
        <v>48</v>
      </c>
      <c r="F370">
        <v>101</v>
      </c>
      <c r="G370">
        <v>21</v>
      </c>
      <c r="H370">
        <v>117</v>
      </c>
      <c r="I370">
        <v>112</v>
      </c>
      <c r="J370">
        <v>3</v>
      </c>
      <c r="K370">
        <v>1</v>
      </c>
      <c r="L370">
        <v>1</v>
      </c>
      <c r="M370">
        <v>3</v>
      </c>
      <c r="N370">
        <v>6</v>
      </c>
    </row>
    <row r="371" spans="1:14" hidden="1" x14ac:dyDescent="0.3">
      <c r="A371">
        <v>2779</v>
      </c>
      <c r="B371">
        <v>82</v>
      </c>
      <c r="C371">
        <v>58</v>
      </c>
      <c r="D371">
        <v>0</v>
      </c>
      <c r="E371">
        <v>16</v>
      </c>
      <c r="F371">
        <v>0</v>
      </c>
      <c r="G371">
        <v>0</v>
      </c>
      <c r="H371">
        <v>36</v>
      </c>
      <c r="I371">
        <v>39</v>
      </c>
      <c r="J371">
        <v>2</v>
      </c>
      <c r="K371">
        <v>1</v>
      </c>
      <c r="L371">
        <v>1</v>
      </c>
      <c r="M371">
        <v>2</v>
      </c>
      <c r="N371">
        <v>7</v>
      </c>
    </row>
    <row r="372" spans="1:14" hidden="1" x14ac:dyDescent="0.3">
      <c r="A372">
        <v>3212</v>
      </c>
      <c r="B372">
        <v>82</v>
      </c>
      <c r="C372">
        <v>64</v>
      </c>
      <c r="D372">
        <v>8</v>
      </c>
      <c r="E372">
        <v>-69</v>
      </c>
      <c r="F372">
        <v>19</v>
      </c>
      <c r="G372">
        <v>3</v>
      </c>
      <c r="H372">
        <v>61</v>
      </c>
      <c r="I372">
        <v>101</v>
      </c>
      <c r="J372">
        <v>3</v>
      </c>
      <c r="K372">
        <v>3</v>
      </c>
      <c r="L372">
        <v>1</v>
      </c>
      <c r="M372">
        <v>2</v>
      </c>
      <c r="N372">
        <v>9</v>
      </c>
    </row>
    <row r="373" spans="1:14" hidden="1" x14ac:dyDescent="0.3">
      <c r="A373">
        <v>2892</v>
      </c>
      <c r="B373">
        <v>82</v>
      </c>
      <c r="C373">
        <v>87</v>
      </c>
      <c r="D373">
        <v>0</v>
      </c>
      <c r="E373">
        <v>57</v>
      </c>
      <c r="F373">
        <v>0</v>
      </c>
      <c r="G373">
        <v>8</v>
      </c>
      <c r="H373">
        <v>26</v>
      </c>
      <c r="I373">
        <v>125</v>
      </c>
      <c r="J373">
        <v>2</v>
      </c>
      <c r="K373">
        <v>3</v>
      </c>
      <c r="L373">
        <v>0</v>
      </c>
      <c r="M373">
        <v>3</v>
      </c>
      <c r="N373">
        <v>6</v>
      </c>
    </row>
    <row r="374" spans="1:14" hidden="1" x14ac:dyDescent="0.3">
      <c r="A374">
        <v>2498</v>
      </c>
      <c r="B374">
        <v>82</v>
      </c>
      <c r="C374">
        <v>124</v>
      </c>
      <c r="D374">
        <v>22</v>
      </c>
      <c r="E374">
        <v>77</v>
      </c>
      <c r="F374">
        <v>40</v>
      </c>
      <c r="G374">
        <v>15</v>
      </c>
      <c r="H374">
        <v>29</v>
      </c>
      <c r="I374">
        <v>248</v>
      </c>
      <c r="J374">
        <v>1</v>
      </c>
      <c r="K374">
        <v>2</v>
      </c>
      <c r="L374">
        <v>1</v>
      </c>
      <c r="M374">
        <v>3</v>
      </c>
      <c r="N374">
        <v>6</v>
      </c>
    </row>
    <row r="375" spans="1:14" hidden="1" x14ac:dyDescent="0.3">
      <c r="A375">
        <v>2768</v>
      </c>
      <c r="B375">
        <v>82</v>
      </c>
      <c r="C375">
        <v>124</v>
      </c>
      <c r="D375">
        <v>22</v>
      </c>
      <c r="E375">
        <v>77</v>
      </c>
      <c r="F375">
        <v>40</v>
      </c>
      <c r="G375">
        <v>15</v>
      </c>
      <c r="H375">
        <v>29</v>
      </c>
      <c r="I375">
        <v>248</v>
      </c>
      <c r="J375">
        <v>1</v>
      </c>
      <c r="K375">
        <v>2</v>
      </c>
      <c r="L375">
        <v>1</v>
      </c>
      <c r="M375">
        <v>3</v>
      </c>
      <c r="N375">
        <v>6</v>
      </c>
    </row>
    <row r="376" spans="1:14" hidden="1" x14ac:dyDescent="0.3">
      <c r="A376">
        <v>2429</v>
      </c>
      <c r="B376">
        <v>82</v>
      </c>
      <c r="C376">
        <v>129</v>
      </c>
      <c r="D376">
        <v>0</v>
      </c>
      <c r="E376">
        <v>59</v>
      </c>
      <c r="F376">
        <v>0</v>
      </c>
      <c r="G376">
        <v>0</v>
      </c>
      <c r="H376">
        <v>10</v>
      </c>
      <c r="I376">
        <v>178</v>
      </c>
      <c r="J376">
        <v>1</v>
      </c>
      <c r="K376">
        <v>2</v>
      </c>
      <c r="L376">
        <v>0</v>
      </c>
      <c r="M376">
        <v>3</v>
      </c>
      <c r="N376">
        <v>7</v>
      </c>
    </row>
    <row r="377" spans="1:14" hidden="1" x14ac:dyDescent="0.3">
      <c r="A377">
        <v>3197</v>
      </c>
      <c r="B377">
        <v>82</v>
      </c>
      <c r="C377">
        <v>242</v>
      </c>
      <c r="D377">
        <v>30</v>
      </c>
      <c r="E377">
        <v>262</v>
      </c>
      <c r="F377">
        <v>71</v>
      </c>
      <c r="G377">
        <v>10</v>
      </c>
      <c r="H377">
        <v>232</v>
      </c>
      <c r="I377">
        <v>383</v>
      </c>
      <c r="J377">
        <v>3</v>
      </c>
      <c r="K377">
        <v>3</v>
      </c>
      <c r="L377">
        <v>1</v>
      </c>
      <c r="M377">
        <v>2</v>
      </c>
      <c r="N377">
        <v>9</v>
      </c>
    </row>
    <row r="378" spans="1:14" hidden="1" x14ac:dyDescent="0.3">
      <c r="A378">
        <v>3009</v>
      </c>
      <c r="B378">
        <v>82</v>
      </c>
      <c r="C378">
        <v>385</v>
      </c>
      <c r="D378">
        <v>101</v>
      </c>
      <c r="E378">
        <v>322</v>
      </c>
      <c r="F378">
        <v>98</v>
      </c>
      <c r="G378">
        <v>35</v>
      </c>
      <c r="H378">
        <v>507</v>
      </c>
      <c r="I378">
        <v>434</v>
      </c>
      <c r="J378">
        <v>1</v>
      </c>
      <c r="K378">
        <v>6</v>
      </c>
      <c r="L378">
        <v>2</v>
      </c>
      <c r="M378">
        <v>3</v>
      </c>
      <c r="N378">
        <v>8</v>
      </c>
    </row>
    <row r="379" spans="1:14" hidden="1" x14ac:dyDescent="0.3">
      <c r="A379">
        <v>1012</v>
      </c>
      <c r="B379">
        <v>82</v>
      </c>
      <c r="C379">
        <v>502</v>
      </c>
      <c r="D379">
        <v>158</v>
      </c>
      <c r="E379">
        <v>1242</v>
      </c>
      <c r="F379">
        <v>582</v>
      </c>
      <c r="G379">
        <v>290</v>
      </c>
      <c r="H379">
        <v>78</v>
      </c>
      <c r="I379">
        <v>2695</v>
      </c>
      <c r="J379">
        <v>1</v>
      </c>
      <c r="K379">
        <v>3</v>
      </c>
      <c r="L379">
        <v>4</v>
      </c>
      <c r="M379">
        <v>8</v>
      </c>
      <c r="N379">
        <v>2</v>
      </c>
    </row>
    <row r="380" spans="1:14" hidden="1" x14ac:dyDescent="0.3">
      <c r="A380">
        <v>2920</v>
      </c>
      <c r="B380">
        <v>82</v>
      </c>
      <c r="C380">
        <v>830</v>
      </c>
      <c r="D380">
        <v>109</v>
      </c>
      <c r="E380">
        <v>1578</v>
      </c>
      <c r="F380">
        <v>251</v>
      </c>
      <c r="G380">
        <v>27</v>
      </c>
      <c r="H380">
        <v>275</v>
      </c>
      <c r="I380">
        <v>2519</v>
      </c>
      <c r="J380">
        <v>2</v>
      </c>
      <c r="K380">
        <v>3</v>
      </c>
      <c r="L380">
        <v>4</v>
      </c>
      <c r="M380">
        <v>10</v>
      </c>
      <c r="N380">
        <v>3</v>
      </c>
    </row>
    <row r="381" spans="1:14" hidden="1" x14ac:dyDescent="0.3">
      <c r="A381">
        <v>1185</v>
      </c>
      <c r="B381">
        <v>82</v>
      </c>
      <c r="C381">
        <v>1167</v>
      </c>
      <c r="D381">
        <v>38</v>
      </c>
      <c r="E381">
        <v>1828</v>
      </c>
      <c r="F381">
        <v>61</v>
      </c>
      <c r="G381">
        <v>389</v>
      </c>
      <c r="H381">
        <v>115</v>
      </c>
      <c r="I381">
        <v>3369</v>
      </c>
      <c r="J381">
        <v>1</v>
      </c>
      <c r="K381">
        <v>4</v>
      </c>
      <c r="L381">
        <v>6</v>
      </c>
      <c r="M381">
        <v>6</v>
      </c>
      <c r="N381">
        <v>2</v>
      </c>
    </row>
    <row r="382" spans="1:14" hidden="1" x14ac:dyDescent="0.3">
      <c r="A382">
        <v>2267</v>
      </c>
      <c r="B382">
        <v>82</v>
      </c>
      <c r="C382">
        <v>1271</v>
      </c>
      <c r="D382">
        <v>0</v>
      </c>
      <c r="E382">
        <v>66</v>
      </c>
      <c r="F382">
        <v>17</v>
      </c>
      <c r="G382">
        <v>0</v>
      </c>
      <c r="H382">
        <v>11</v>
      </c>
      <c r="I382">
        <v>1343</v>
      </c>
      <c r="J382">
        <v>2</v>
      </c>
      <c r="K382">
        <v>9</v>
      </c>
      <c r="L382">
        <v>2</v>
      </c>
      <c r="M382">
        <v>5</v>
      </c>
      <c r="N382">
        <v>7</v>
      </c>
    </row>
    <row r="383" spans="1:14" hidden="1" x14ac:dyDescent="0.3">
      <c r="A383">
        <v>1905</v>
      </c>
      <c r="B383">
        <v>82</v>
      </c>
      <c r="C383">
        <v>1790</v>
      </c>
      <c r="D383">
        <v>218</v>
      </c>
      <c r="E383">
        <v>950</v>
      </c>
      <c r="F383">
        <v>522</v>
      </c>
      <c r="G383">
        <v>328</v>
      </c>
      <c r="H383">
        <v>73</v>
      </c>
      <c r="I383">
        <v>3736</v>
      </c>
      <c r="J383">
        <v>1</v>
      </c>
      <c r="K383">
        <v>11</v>
      </c>
      <c r="L383">
        <v>4</v>
      </c>
      <c r="M383">
        <v>10</v>
      </c>
      <c r="N383">
        <v>5</v>
      </c>
    </row>
    <row r="384" spans="1:14" hidden="1" x14ac:dyDescent="0.3">
      <c r="A384">
        <v>1317</v>
      </c>
      <c r="B384">
        <v>82</v>
      </c>
      <c r="C384">
        <v>2279</v>
      </c>
      <c r="D384">
        <v>28</v>
      </c>
      <c r="E384">
        <v>547</v>
      </c>
      <c r="F384">
        <v>0</v>
      </c>
      <c r="G384">
        <v>0</v>
      </c>
      <c r="H384">
        <v>58</v>
      </c>
      <c r="I384">
        <v>2796</v>
      </c>
      <c r="J384">
        <v>2</v>
      </c>
      <c r="K384">
        <v>9</v>
      </c>
      <c r="L384">
        <v>3</v>
      </c>
      <c r="M384">
        <v>5</v>
      </c>
      <c r="N384">
        <v>5</v>
      </c>
    </row>
    <row r="385" spans="1:14" hidden="1" x14ac:dyDescent="0.3">
      <c r="A385">
        <v>2033</v>
      </c>
      <c r="B385">
        <v>82</v>
      </c>
      <c r="C385">
        <v>3218</v>
      </c>
      <c r="D385">
        <v>54</v>
      </c>
      <c r="E385">
        <v>1909</v>
      </c>
      <c r="F385">
        <v>355</v>
      </c>
      <c r="G385">
        <v>0</v>
      </c>
      <c r="H385">
        <v>436</v>
      </c>
      <c r="I385">
        <v>5100</v>
      </c>
      <c r="J385">
        <v>1</v>
      </c>
      <c r="K385">
        <v>7</v>
      </c>
      <c r="L385">
        <v>8</v>
      </c>
      <c r="M385">
        <v>9</v>
      </c>
      <c r="N385">
        <v>5</v>
      </c>
    </row>
    <row r="386" spans="1:14" hidden="1" x14ac:dyDescent="0.3">
      <c r="A386">
        <v>2151</v>
      </c>
      <c r="B386">
        <v>81</v>
      </c>
      <c r="C386">
        <v>0</v>
      </c>
      <c r="D386">
        <v>0</v>
      </c>
      <c r="E386">
        <v>16</v>
      </c>
      <c r="F386">
        <v>24</v>
      </c>
      <c r="G386">
        <v>24</v>
      </c>
      <c r="H386">
        <v>63</v>
      </c>
      <c r="I386">
        <v>0</v>
      </c>
      <c r="J386">
        <v>1</v>
      </c>
      <c r="K386">
        <v>1</v>
      </c>
      <c r="L386">
        <v>0</v>
      </c>
      <c r="M386">
        <v>2</v>
      </c>
      <c r="N386">
        <v>5</v>
      </c>
    </row>
    <row r="387" spans="1:14" hidden="1" x14ac:dyDescent="0.3">
      <c r="A387">
        <v>3215</v>
      </c>
      <c r="B387">
        <v>81</v>
      </c>
      <c r="C387">
        <v>8</v>
      </c>
      <c r="D387">
        <v>8</v>
      </c>
      <c r="E387">
        <v>18</v>
      </c>
      <c r="F387">
        <v>15</v>
      </c>
      <c r="G387">
        <v>5</v>
      </c>
      <c r="H387">
        <v>23</v>
      </c>
      <c r="I387">
        <v>31</v>
      </c>
      <c r="J387">
        <v>1000000</v>
      </c>
      <c r="K387">
        <v>1</v>
      </c>
      <c r="L387">
        <v>0</v>
      </c>
      <c r="M387">
        <v>2</v>
      </c>
      <c r="N387">
        <v>7</v>
      </c>
    </row>
    <row r="388" spans="1:14" hidden="1" x14ac:dyDescent="0.3">
      <c r="A388">
        <v>1306</v>
      </c>
      <c r="B388">
        <v>81</v>
      </c>
      <c r="C388">
        <v>12</v>
      </c>
      <c r="D388">
        <v>12</v>
      </c>
      <c r="E388">
        <v>27</v>
      </c>
      <c r="F388">
        <v>23</v>
      </c>
      <c r="G388">
        <v>8</v>
      </c>
      <c r="H388">
        <v>35</v>
      </c>
      <c r="I388">
        <v>47</v>
      </c>
      <c r="J388">
        <v>1</v>
      </c>
      <c r="K388">
        <v>1</v>
      </c>
      <c r="L388">
        <v>0</v>
      </c>
      <c r="M388">
        <v>2</v>
      </c>
      <c r="N388">
        <v>7</v>
      </c>
    </row>
    <row r="389" spans="1:14" hidden="1" x14ac:dyDescent="0.3">
      <c r="A389">
        <v>3200</v>
      </c>
      <c r="B389">
        <v>81</v>
      </c>
      <c r="C389">
        <v>12</v>
      </c>
      <c r="D389">
        <v>12</v>
      </c>
      <c r="E389">
        <v>27</v>
      </c>
      <c r="F389">
        <v>23</v>
      </c>
      <c r="G389">
        <v>8</v>
      </c>
      <c r="H389">
        <v>35</v>
      </c>
      <c r="I389">
        <v>47</v>
      </c>
      <c r="J389">
        <v>1</v>
      </c>
      <c r="K389">
        <v>1</v>
      </c>
      <c r="L389">
        <v>0</v>
      </c>
      <c r="M389">
        <v>2</v>
      </c>
      <c r="N389">
        <v>7</v>
      </c>
    </row>
    <row r="390" spans="1:14" hidden="1" x14ac:dyDescent="0.3">
      <c r="A390">
        <v>2739</v>
      </c>
      <c r="B390">
        <v>81</v>
      </c>
      <c r="C390">
        <v>28</v>
      </c>
      <c r="D390">
        <v>6</v>
      </c>
      <c r="E390">
        <v>39</v>
      </c>
      <c r="F390">
        <v>94</v>
      </c>
      <c r="G390">
        <v>78</v>
      </c>
      <c r="H390">
        <v>61</v>
      </c>
      <c r="I390">
        <v>183</v>
      </c>
      <c r="J390">
        <v>2</v>
      </c>
      <c r="K390">
        <v>2</v>
      </c>
      <c r="L390">
        <v>1</v>
      </c>
      <c r="M390">
        <v>3</v>
      </c>
      <c r="N390">
        <v>6</v>
      </c>
    </row>
    <row r="391" spans="1:14" hidden="1" x14ac:dyDescent="0.3">
      <c r="A391">
        <v>2519</v>
      </c>
      <c r="B391">
        <v>81</v>
      </c>
      <c r="C391">
        <v>41</v>
      </c>
      <c r="D391">
        <v>0</v>
      </c>
      <c r="E391">
        <v>9</v>
      </c>
      <c r="F391">
        <v>0</v>
      </c>
      <c r="G391">
        <v>0</v>
      </c>
      <c r="H391">
        <v>3</v>
      </c>
      <c r="I391">
        <v>47</v>
      </c>
      <c r="J391">
        <v>1</v>
      </c>
      <c r="K391">
        <v>0</v>
      </c>
      <c r="L391">
        <v>0</v>
      </c>
      <c r="M391">
        <v>3</v>
      </c>
      <c r="N391">
        <v>5</v>
      </c>
    </row>
    <row r="392" spans="1:14" hidden="1" x14ac:dyDescent="0.3">
      <c r="A392">
        <v>3042</v>
      </c>
      <c r="B392">
        <v>81</v>
      </c>
      <c r="C392">
        <v>63</v>
      </c>
      <c r="D392">
        <v>12</v>
      </c>
      <c r="E392">
        <v>59</v>
      </c>
      <c r="F392">
        <v>8</v>
      </c>
      <c r="G392">
        <v>4</v>
      </c>
      <c r="H392">
        <v>43</v>
      </c>
      <c r="I392">
        <v>102</v>
      </c>
      <c r="J392">
        <v>1</v>
      </c>
      <c r="K392">
        <v>1</v>
      </c>
      <c r="L392">
        <v>0</v>
      </c>
      <c r="M392">
        <v>3</v>
      </c>
      <c r="N392">
        <v>7</v>
      </c>
    </row>
    <row r="393" spans="1:14" hidden="1" x14ac:dyDescent="0.3">
      <c r="A393">
        <v>2399</v>
      </c>
      <c r="B393">
        <v>81</v>
      </c>
      <c r="C393">
        <v>85</v>
      </c>
      <c r="D393">
        <v>3</v>
      </c>
      <c r="E393">
        <v>23</v>
      </c>
      <c r="F393">
        <v>0</v>
      </c>
      <c r="G393">
        <v>0</v>
      </c>
      <c r="H393">
        <v>9</v>
      </c>
      <c r="I393">
        <v>103</v>
      </c>
      <c r="J393">
        <v>1</v>
      </c>
      <c r="K393">
        <v>1</v>
      </c>
      <c r="L393">
        <v>0</v>
      </c>
      <c r="M393">
        <v>3</v>
      </c>
      <c r="N393">
        <v>7</v>
      </c>
    </row>
    <row r="394" spans="1:14" hidden="1" x14ac:dyDescent="0.3">
      <c r="A394">
        <v>2205</v>
      </c>
      <c r="B394">
        <v>81</v>
      </c>
      <c r="C394">
        <v>247</v>
      </c>
      <c r="D394">
        <v>4</v>
      </c>
      <c r="E394">
        <v>64</v>
      </c>
      <c r="F394">
        <v>12</v>
      </c>
      <c r="G394">
        <v>8</v>
      </c>
      <c r="H394">
        <v>24</v>
      </c>
      <c r="I394">
        <v>311</v>
      </c>
      <c r="J394">
        <v>4</v>
      </c>
      <c r="K394">
        <v>2</v>
      </c>
      <c r="L394">
        <v>1</v>
      </c>
      <c r="M394">
        <v>4</v>
      </c>
      <c r="N394">
        <v>5</v>
      </c>
    </row>
    <row r="395" spans="1:14" hidden="1" x14ac:dyDescent="0.3">
      <c r="A395">
        <v>2217</v>
      </c>
      <c r="B395">
        <v>81</v>
      </c>
      <c r="C395">
        <v>273</v>
      </c>
      <c r="D395">
        <v>3</v>
      </c>
      <c r="E395">
        <v>53</v>
      </c>
      <c r="F395">
        <v>6</v>
      </c>
      <c r="G395">
        <v>0</v>
      </c>
      <c r="H395">
        <v>31</v>
      </c>
      <c r="I395">
        <v>303</v>
      </c>
      <c r="J395">
        <v>1</v>
      </c>
      <c r="K395">
        <v>2</v>
      </c>
      <c r="L395">
        <v>1</v>
      </c>
      <c r="M395">
        <v>4</v>
      </c>
      <c r="N395">
        <v>3</v>
      </c>
    </row>
    <row r="396" spans="1:14" hidden="1" x14ac:dyDescent="0.3">
      <c r="A396">
        <v>1187</v>
      </c>
      <c r="B396">
        <v>81</v>
      </c>
      <c r="C396">
        <v>301</v>
      </c>
      <c r="D396">
        <v>3</v>
      </c>
      <c r="E396">
        <v>248</v>
      </c>
      <c r="F396">
        <v>22</v>
      </c>
      <c r="G396">
        <v>3</v>
      </c>
      <c r="H396">
        <v>248</v>
      </c>
      <c r="I396">
        <v>329</v>
      </c>
      <c r="J396">
        <v>6</v>
      </c>
      <c r="K396">
        <v>5</v>
      </c>
      <c r="L396">
        <v>1</v>
      </c>
      <c r="M396">
        <v>3</v>
      </c>
      <c r="N396">
        <v>8</v>
      </c>
    </row>
    <row r="397" spans="1:14" hidden="1" x14ac:dyDescent="0.3">
      <c r="A397">
        <v>1169</v>
      </c>
      <c r="B397">
        <v>81</v>
      </c>
      <c r="C397">
        <v>446</v>
      </c>
      <c r="D397">
        <v>9</v>
      </c>
      <c r="E397">
        <v>65</v>
      </c>
      <c r="F397">
        <v>6</v>
      </c>
      <c r="G397">
        <v>15</v>
      </c>
      <c r="H397">
        <v>21</v>
      </c>
      <c r="I397">
        <v>520</v>
      </c>
      <c r="J397">
        <v>1</v>
      </c>
      <c r="K397">
        <v>4</v>
      </c>
      <c r="L397">
        <v>1</v>
      </c>
      <c r="M397">
        <v>4</v>
      </c>
      <c r="N397">
        <v>5</v>
      </c>
    </row>
    <row r="398" spans="1:14" hidden="1" x14ac:dyDescent="0.3">
      <c r="A398">
        <v>2532</v>
      </c>
      <c r="B398">
        <v>81</v>
      </c>
      <c r="C398">
        <v>521</v>
      </c>
      <c r="D398">
        <v>6</v>
      </c>
      <c r="E398">
        <v>137</v>
      </c>
      <c r="F398">
        <v>19</v>
      </c>
      <c r="G398">
        <v>6</v>
      </c>
      <c r="H398">
        <v>59</v>
      </c>
      <c r="I398">
        <v>630</v>
      </c>
      <c r="J398">
        <v>7</v>
      </c>
      <c r="K398">
        <v>4</v>
      </c>
      <c r="L398">
        <v>2</v>
      </c>
      <c r="M398">
        <v>4</v>
      </c>
      <c r="N398">
        <v>8</v>
      </c>
    </row>
    <row r="399" spans="1:14" hidden="1" x14ac:dyDescent="0.3">
      <c r="A399">
        <v>2555</v>
      </c>
      <c r="B399">
        <v>81</v>
      </c>
      <c r="C399">
        <v>677</v>
      </c>
      <c r="D399">
        <v>114</v>
      </c>
      <c r="E399">
        <v>356</v>
      </c>
      <c r="F399">
        <v>98</v>
      </c>
      <c r="G399">
        <v>37</v>
      </c>
      <c r="H399">
        <v>64</v>
      </c>
      <c r="I399">
        <v>1218</v>
      </c>
      <c r="J399">
        <v>1</v>
      </c>
      <c r="K399">
        <v>7</v>
      </c>
      <c r="L399">
        <v>2</v>
      </c>
      <c r="M399">
        <v>7</v>
      </c>
      <c r="N399">
        <v>7</v>
      </c>
    </row>
    <row r="400" spans="1:14" hidden="1" x14ac:dyDescent="0.3">
      <c r="A400">
        <v>2120</v>
      </c>
      <c r="B400">
        <v>81</v>
      </c>
      <c r="C400">
        <v>690</v>
      </c>
      <c r="D400">
        <v>15</v>
      </c>
      <c r="E400">
        <v>169</v>
      </c>
      <c r="F400">
        <v>9</v>
      </c>
      <c r="G400">
        <v>6</v>
      </c>
      <c r="H400">
        <v>60</v>
      </c>
      <c r="I400">
        <v>829</v>
      </c>
      <c r="J400">
        <v>2</v>
      </c>
      <c r="K400">
        <v>6</v>
      </c>
      <c r="L400">
        <v>2</v>
      </c>
      <c r="M400">
        <v>4</v>
      </c>
      <c r="N400">
        <v>7</v>
      </c>
    </row>
    <row r="401" spans="1:14" hidden="1" x14ac:dyDescent="0.3">
      <c r="A401">
        <v>3188</v>
      </c>
      <c r="B401">
        <v>81</v>
      </c>
      <c r="C401">
        <v>735</v>
      </c>
      <c r="D401">
        <v>84</v>
      </c>
      <c r="E401">
        <v>240</v>
      </c>
      <c r="F401">
        <v>30</v>
      </c>
      <c r="G401">
        <v>131</v>
      </c>
      <c r="H401">
        <v>60</v>
      </c>
      <c r="I401">
        <v>1160</v>
      </c>
      <c r="J401">
        <v>3</v>
      </c>
      <c r="K401">
        <v>3</v>
      </c>
      <c r="L401">
        <v>2</v>
      </c>
      <c r="M401">
        <v>10</v>
      </c>
      <c r="N401">
        <v>4</v>
      </c>
    </row>
    <row r="402" spans="1:14" hidden="1" x14ac:dyDescent="0.3">
      <c r="A402">
        <v>2683</v>
      </c>
      <c r="B402">
        <v>81</v>
      </c>
      <c r="C402">
        <v>745</v>
      </c>
      <c r="D402">
        <v>0</v>
      </c>
      <c r="E402">
        <v>315</v>
      </c>
      <c r="F402">
        <v>455</v>
      </c>
      <c r="G402">
        <v>247</v>
      </c>
      <c r="H402">
        <v>132</v>
      </c>
      <c r="I402">
        <v>1630</v>
      </c>
      <c r="J402">
        <v>1</v>
      </c>
      <c r="K402">
        <v>7</v>
      </c>
      <c r="L402">
        <v>2</v>
      </c>
      <c r="M402">
        <v>10</v>
      </c>
      <c r="N402">
        <v>5</v>
      </c>
    </row>
    <row r="403" spans="1:14" hidden="1" x14ac:dyDescent="0.3">
      <c r="A403">
        <v>1781</v>
      </c>
      <c r="B403">
        <v>81</v>
      </c>
      <c r="C403">
        <v>863</v>
      </c>
      <c r="D403">
        <v>13</v>
      </c>
      <c r="E403">
        <v>416</v>
      </c>
      <c r="F403">
        <v>94</v>
      </c>
      <c r="G403">
        <v>71</v>
      </c>
      <c r="H403">
        <v>42</v>
      </c>
      <c r="I403">
        <v>1415</v>
      </c>
      <c r="J403">
        <v>4</v>
      </c>
      <c r="K403">
        <v>4</v>
      </c>
      <c r="L403">
        <v>4</v>
      </c>
      <c r="M403">
        <v>9</v>
      </c>
      <c r="N403">
        <v>4</v>
      </c>
    </row>
    <row r="404" spans="1:14" hidden="1" x14ac:dyDescent="0.3">
      <c r="A404">
        <v>1652</v>
      </c>
      <c r="B404">
        <v>81</v>
      </c>
      <c r="C404">
        <v>1123</v>
      </c>
      <c r="D404">
        <v>164</v>
      </c>
      <c r="E404">
        <v>1150</v>
      </c>
      <c r="F404">
        <v>215</v>
      </c>
      <c r="G404">
        <v>137</v>
      </c>
      <c r="H404">
        <v>27</v>
      </c>
      <c r="I404">
        <v>2761</v>
      </c>
      <c r="J404">
        <v>3</v>
      </c>
      <c r="K404">
        <v>7</v>
      </c>
      <c r="L404">
        <v>8</v>
      </c>
      <c r="M404">
        <v>10</v>
      </c>
      <c r="N404">
        <v>5</v>
      </c>
    </row>
    <row r="405" spans="1:14" hidden="1" x14ac:dyDescent="0.3">
      <c r="A405">
        <v>2985</v>
      </c>
      <c r="B405">
        <v>81</v>
      </c>
      <c r="C405">
        <v>1403</v>
      </c>
      <c r="D405">
        <v>122</v>
      </c>
      <c r="E405">
        <v>2227</v>
      </c>
      <c r="F405">
        <v>430</v>
      </c>
      <c r="G405">
        <v>81</v>
      </c>
      <c r="H405">
        <v>206</v>
      </c>
      <c r="I405">
        <v>4058</v>
      </c>
      <c r="J405">
        <v>1</v>
      </c>
      <c r="K405">
        <v>5</v>
      </c>
      <c r="L405">
        <v>6</v>
      </c>
      <c r="M405">
        <v>5</v>
      </c>
      <c r="N405">
        <v>3</v>
      </c>
    </row>
    <row r="406" spans="1:14" hidden="1" x14ac:dyDescent="0.3">
      <c r="A406">
        <v>2881</v>
      </c>
      <c r="B406">
        <v>81</v>
      </c>
      <c r="C406">
        <v>1690</v>
      </c>
      <c r="D406">
        <v>125</v>
      </c>
      <c r="E406">
        <v>629</v>
      </c>
      <c r="F406">
        <v>32</v>
      </c>
      <c r="G406">
        <v>50</v>
      </c>
      <c r="H406">
        <v>202</v>
      </c>
      <c r="I406">
        <v>2324</v>
      </c>
      <c r="J406">
        <v>4</v>
      </c>
      <c r="K406">
        <v>6</v>
      </c>
      <c r="L406">
        <v>11</v>
      </c>
      <c r="M406">
        <v>7</v>
      </c>
      <c r="N406">
        <v>5</v>
      </c>
    </row>
    <row r="407" spans="1:14" hidden="1" x14ac:dyDescent="0.3">
      <c r="A407">
        <v>1456</v>
      </c>
      <c r="B407">
        <v>81</v>
      </c>
      <c r="C407">
        <v>2056</v>
      </c>
      <c r="D407">
        <v>22</v>
      </c>
      <c r="E407">
        <v>345</v>
      </c>
      <c r="F407">
        <v>30</v>
      </c>
      <c r="G407">
        <v>22</v>
      </c>
      <c r="H407">
        <v>22</v>
      </c>
      <c r="I407">
        <v>2453</v>
      </c>
      <c r="J407">
        <v>7</v>
      </c>
      <c r="K407">
        <v>8</v>
      </c>
      <c r="L407">
        <v>6</v>
      </c>
      <c r="M407">
        <v>9</v>
      </c>
      <c r="N407">
        <v>6</v>
      </c>
    </row>
    <row r="408" spans="1:14" hidden="1" x14ac:dyDescent="0.3">
      <c r="A408">
        <v>1876</v>
      </c>
      <c r="B408">
        <v>81</v>
      </c>
      <c r="C408">
        <v>2318</v>
      </c>
      <c r="D408">
        <v>22</v>
      </c>
      <c r="E408">
        <v>149</v>
      </c>
      <c r="F408">
        <v>31</v>
      </c>
      <c r="G408">
        <v>0</v>
      </c>
      <c r="H408">
        <v>680</v>
      </c>
      <c r="I408">
        <v>1840</v>
      </c>
      <c r="J408">
        <v>2</v>
      </c>
      <c r="K408">
        <v>8</v>
      </c>
      <c r="L408">
        <v>10</v>
      </c>
      <c r="M408">
        <v>5</v>
      </c>
      <c r="N408">
        <v>6</v>
      </c>
    </row>
    <row r="409" spans="1:14" hidden="1" x14ac:dyDescent="0.3">
      <c r="A409">
        <v>1205</v>
      </c>
      <c r="B409">
        <v>81</v>
      </c>
      <c r="C409">
        <v>2360</v>
      </c>
      <c r="D409">
        <v>35</v>
      </c>
      <c r="E409">
        <v>915</v>
      </c>
      <c r="F409">
        <v>92</v>
      </c>
      <c r="G409">
        <v>105</v>
      </c>
      <c r="H409">
        <v>35</v>
      </c>
      <c r="I409">
        <v>3472</v>
      </c>
      <c r="J409">
        <v>1</v>
      </c>
      <c r="K409">
        <v>8</v>
      </c>
      <c r="L409">
        <v>10</v>
      </c>
      <c r="M409">
        <v>6</v>
      </c>
      <c r="N409">
        <v>3</v>
      </c>
    </row>
    <row r="410" spans="1:14" hidden="1" x14ac:dyDescent="0.3">
      <c r="A410">
        <v>2003</v>
      </c>
      <c r="B410">
        <v>81</v>
      </c>
      <c r="C410">
        <v>2515</v>
      </c>
      <c r="D410">
        <v>92</v>
      </c>
      <c r="E410">
        <v>428</v>
      </c>
      <c r="F410">
        <v>41</v>
      </c>
      <c r="G410">
        <v>0</v>
      </c>
      <c r="H410">
        <v>275</v>
      </c>
      <c r="I410">
        <v>2800</v>
      </c>
      <c r="J410">
        <v>7</v>
      </c>
      <c r="K410">
        <v>11</v>
      </c>
      <c r="L410">
        <v>3</v>
      </c>
      <c r="M410">
        <v>4</v>
      </c>
      <c r="N410">
        <v>7</v>
      </c>
    </row>
    <row r="411" spans="1:14" hidden="1" x14ac:dyDescent="0.3">
      <c r="A411">
        <v>1663</v>
      </c>
      <c r="B411">
        <v>81</v>
      </c>
      <c r="C411">
        <v>2779</v>
      </c>
      <c r="D411">
        <v>329</v>
      </c>
      <c r="E411">
        <v>943</v>
      </c>
      <c r="F411">
        <v>430</v>
      </c>
      <c r="G411">
        <v>329</v>
      </c>
      <c r="H411">
        <v>282</v>
      </c>
      <c r="I411">
        <v>4526</v>
      </c>
      <c r="J411">
        <v>1</v>
      </c>
      <c r="K411">
        <v>11</v>
      </c>
      <c r="L411">
        <v>5</v>
      </c>
      <c r="M411">
        <v>13</v>
      </c>
      <c r="N411">
        <v>7</v>
      </c>
    </row>
    <row r="412" spans="1:14" hidden="1" x14ac:dyDescent="0.3">
      <c r="A412">
        <v>2172</v>
      </c>
      <c r="B412">
        <v>81</v>
      </c>
      <c r="C412">
        <v>3225</v>
      </c>
      <c r="D412">
        <v>0</v>
      </c>
      <c r="E412">
        <v>174</v>
      </c>
      <c r="F412">
        <v>92</v>
      </c>
      <c r="G412">
        <v>35</v>
      </c>
      <c r="H412">
        <v>104</v>
      </c>
      <c r="I412">
        <v>3421</v>
      </c>
      <c r="J412">
        <v>4</v>
      </c>
      <c r="K412">
        <v>7</v>
      </c>
      <c r="L412">
        <v>4</v>
      </c>
      <c r="M412">
        <v>10</v>
      </c>
      <c r="N412">
        <v>4</v>
      </c>
    </row>
    <row r="413" spans="1:14" hidden="1" x14ac:dyDescent="0.3">
      <c r="A413">
        <v>1173</v>
      </c>
      <c r="B413">
        <v>80</v>
      </c>
      <c r="C413">
        <v>5</v>
      </c>
      <c r="D413">
        <v>41</v>
      </c>
      <c r="E413">
        <v>32</v>
      </c>
      <c r="F413">
        <v>9</v>
      </c>
      <c r="G413">
        <v>64</v>
      </c>
      <c r="H413">
        <v>45</v>
      </c>
      <c r="I413">
        <v>104</v>
      </c>
      <c r="J413">
        <v>1</v>
      </c>
      <c r="K413">
        <v>2</v>
      </c>
      <c r="L413">
        <v>0</v>
      </c>
      <c r="M413">
        <v>3</v>
      </c>
      <c r="N413">
        <v>6</v>
      </c>
    </row>
    <row r="414" spans="1:14" hidden="1" x14ac:dyDescent="0.3">
      <c r="A414">
        <v>2743</v>
      </c>
      <c r="B414">
        <v>80</v>
      </c>
      <c r="C414">
        <v>5</v>
      </c>
      <c r="D414">
        <v>41</v>
      </c>
      <c r="E414">
        <v>32</v>
      </c>
      <c r="F414">
        <v>9</v>
      </c>
      <c r="G414">
        <v>64</v>
      </c>
      <c r="H414">
        <v>45</v>
      </c>
      <c r="I414">
        <v>104</v>
      </c>
      <c r="J414">
        <v>1</v>
      </c>
      <c r="K414">
        <v>2</v>
      </c>
      <c r="L414">
        <v>0</v>
      </c>
      <c r="M414">
        <v>3</v>
      </c>
      <c r="N414">
        <v>6</v>
      </c>
    </row>
    <row r="415" spans="1:14" hidden="1" x14ac:dyDescent="0.3">
      <c r="A415">
        <v>1848</v>
      </c>
      <c r="B415">
        <v>80</v>
      </c>
      <c r="C415">
        <v>37</v>
      </c>
      <c r="D415">
        <v>0</v>
      </c>
      <c r="E415">
        <v>25</v>
      </c>
      <c r="F415">
        <v>0</v>
      </c>
      <c r="G415">
        <v>0</v>
      </c>
      <c r="H415">
        <v>0</v>
      </c>
      <c r="I415">
        <v>61</v>
      </c>
      <c r="J415">
        <v>1</v>
      </c>
      <c r="K415">
        <v>1</v>
      </c>
      <c r="L415">
        <v>0</v>
      </c>
      <c r="M415">
        <v>2</v>
      </c>
      <c r="N415">
        <v>7</v>
      </c>
    </row>
    <row r="416" spans="1:14" hidden="1" x14ac:dyDescent="0.3">
      <c r="A416">
        <v>1931</v>
      </c>
      <c r="B416">
        <v>80</v>
      </c>
      <c r="C416">
        <v>50</v>
      </c>
      <c r="D416">
        <v>0</v>
      </c>
      <c r="E416">
        <v>60</v>
      </c>
      <c r="F416">
        <v>9</v>
      </c>
      <c r="G416">
        <v>18</v>
      </c>
      <c r="H416">
        <v>50</v>
      </c>
      <c r="I416">
        <v>87</v>
      </c>
      <c r="J416">
        <v>1</v>
      </c>
      <c r="K416">
        <v>2</v>
      </c>
      <c r="L416">
        <v>0</v>
      </c>
      <c r="M416">
        <v>3</v>
      </c>
      <c r="N416">
        <v>4</v>
      </c>
    </row>
    <row r="417" spans="1:14" hidden="1" x14ac:dyDescent="0.3">
      <c r="A417">
        <v>3120</v>
      </c>
      <c r="B417">
        <v>80</v>
      </c>
      <c r="C417">
        <v>61</v>
      </c>
      <c r="D417">
        <v>61</v>
      </c>
      <c r="E417">
        <v>75</v>
      </c>
      <c r="F417">
        <v>89</v>
      </c>
      <c r="G417">
        <v>68</v>
      </c>
      <c r="H417">
        <v>109</v>
      </c>
      <c r="I417">
        <v>246</v>
      </c>
      <c r="J417">
        <v>4</v>
      </c>
      <c r="K417">
        <v>3</v>
      </c>
      <c r="L417">
        <v>1</v>
      </c>
      <c r="M417">
        <v>3</v>
      </c>
      <c r="N417">
        <v>8</v>
      </c>
    </row>
    <row r="418" spans="1:14" hidden="1" x14ac:dyDescent="0.3">
      <c r="A418">
        <v>2640</v>
      </c>
      <c r="B418">
        <v>80</v>
      </c>
      <c r="C418">
        <v>72</v>
      </c>
      <c r="D418">
        <v>27</v>
      </c>
      <c r="E418">
        <v>68</v>
      </c>
      <c r="F418">
        <v>51</v>
      </c>
      <c r="G418">
        <v>10</v>
      </c>
      <c r="H418">
        <v>31</v>
      </c>
      <c r="I418">
        <v>198</v>
      </c>
      <c r="J418">
        <v>1</v>
      </c>
      <c r="K418">
        <v>2</v>
      </c>
      <c r="L418">
        <v>0</v>
      </c>
      <c r="M418">
        <v>3</v>
      </c>
      <c r="N418">
        <v>7</v>
      </c>
    </row>
    <row r="419" spans="1:14" hidden="1" x14ac:dyDescent="0.3">
      <c r="A419">
        <v>2731</v>
      </c>
      <c r="B419">
        <v>80</v>
      </c>
      <c r="C419">
        <v>82</v>
      </c>
      <c r="D419">
        <v>7</v>
      </c>
      <c r="E419">
        <v>79</v>
      </c>
      <c r="F419">
        <v>0</v>
      </c>
      <c r="G419">
        <v>27</v>
      </c>
      <c r="H419">
        <v>82</v>
      </c>
      <c r="I419">
        <v>113</v>
      </c>
      <c r="J419">
        <v>3</v>
      </c>
      <c r="K419">
        <v>2</v>
      </c>
      <c r="L419">
        <v>1</v>
      </c>
      <c r="M419">
        <v>3</v>
      </c>
      <c r="N419">
        <v>6</v>
      </c>
    </row>
    <row r="420" spans="1:14" hidden="1" x14ac:dyDescent="0.3">
      <c r="A420">
        <v>1580</v>
      </c>
      <c r="B420">
        <v>80</v>
      </c>
      <c r="C420">
        <v>83</v>
      </c>
      <c r="D420">
        <v>62</v>
      </c>
      <c r="E420">
        <v>93</v>
      </c>
      <c r="F420">
        <v>36</v>
      </c>
      <c r="G420">
        <v>5</v>
      </c>
      <c r="H420">
        <v>67</v>
      </c>
      <c r="I420">
        <v>212</v>
      </c>
      <c r="J420">
        <v>1</v>
      </c>
      <c r="K420">
        <v>2</v>
      </c>
      <c r="L420">
        <v>0</v>
      </c>
      <c r="M420">
        <v>3</v>
      </c>
      <c r="N420">
        <v>7</v>
      </c>
    </row>
    <row r="421" spans="1:14" hidden="1" x14ac:dyDescent="0.3">
      <c r="A421">
        <v>2790</v>
      </c>
      <c r="B421">
        <v>80</v>
      </c>
      <c r="C421">
        <v>95</v>
      </c>
      <c r="D421">
        <v>0</v>
      </c>
      <c r="E421">
        <v>50</v>
      </c>
      <c r="F421">
        <v>0</v>
      </c>
      <c r="G421">
        <v>0</v>
      </c>
      <c r="H421">
        <v>6</v>
      </c>
      <c r="I421">
        <v>139</v>
      </c>
      <c r="J421">
        <v>1</v>
      </c>
      <c r="K421">
        <v>1</v>
      </c>
      <c r="L421">
        <v>0</v>
      </c>
      <c r="M421">
        <v>3</v>
      </c>
      <c r="N421">
        <v>9</v>
      </c>
    </row>
    <row r="422" spans="1:14" hidden="1" x14ac:dyDescent="0.3">
      <c r="A422">
        <v>1384</v>
      </c>
      <c r="B422">
        <v>80</v>
      </c>
      <c r="C422">
        <v>96</v>
      </c>
      <c r="D422">
        <v>4</v>
      </c>
      <c r="E422">
        <v>105</v>
      </c>
      <c r="F422">
        <v>0</v>
      </c>
      <c r="G422">
        <v>33</v>
      </c>
      <c r="H422">
        <v>29</v>
      </c>
      <c r="I422">
        <v>209</v>
      </c>
      <c r="J422">
        <v>4</v>
      </c>
      <c r="K422">
        <v>2</v>
      </c>
      <c r="L422">
        <v>1</v>
      </c>
      <c r="M422">
        <v>3</v>
      </c>
      <c r="N422">
        <v>6</v>
      </c>
    </row>
    <row r="423" spans="1:14" hidden="1" x14ac:dyDescent="0.3">
      <c r="A423">
        <v>2559</v>
      </c>
      <c r="B423">
        <v>80</v>
      </c>
      <c r="C423">
        <v>105</v>
      </c>
      <c r="D423">
        <v>25</v>
      </c>
      <c r="E423">
        <v>32</v>
      </c>
      <c r="F423">
        <v>6</v>
      </c>
      <c r="G423">
        <v>32</v>
      </c>
      <c r="H423">
        <v>10</v>
      </c>
      <c r="I423">
        <v>191</v>
      </c>
      <c r="J423">
        <v>2</v>
      </c>
      <c r="K423">
        <v>2</v>
      </c>
      <c r="L423">
        <v>1</v>
      </c>
      <c r="M423">
        <v>3</v>
      </c>
      <c r="N423">
        <v>4</v>
      </c>
    </row>
    <row r="424" spans="1:14" hidden="1" x14ac:dyDescent="0.3">
      <c r="A424">
        <v>2772</v>
      </c>
      <c r="B424">
        <v>80</v>
      </c>
      <c r="C424">
        <v>109</v>
      </c>
      <c r="D424">
        <v>11</v>
      </c>
      <c r="E424">
        <v>113</v>
      </c>
      <c r="F424">
        <v>11</v>
      </c>
      <c r="G424">
        <v>8</v>
      </c>
      <c r="H424">
        <v>34</v>
      </c>
      <c r="I424">
        <v>218</v>
      </c>
      <c r="J424">
        <v>2</v>
      </c>
      <c r="K424">
        <v>3</v>
      </c>
      <c r="L424">
        <v>0</v>
      </c>
      <c r="M424">
        <v>3</v>
      </c>
      <c r="N424">
        <v>6</v>
      </c>
    </row>
    <row r="425" spans="1:14" hidden="1" x14ac:dyDescent="0.3">
      <c r="A425">
        <v>3018</v>
      </c>
      <c r="B425">
        <v>80</v>
      </c>
      <c r="C425">
        <v>119</v>
      </c>
      <c r="D425">
        <v>0</v>
      </c>
      <c r="E425">
        <v>23</v>
      </c>
      <c r="F425">
        <v>10</v>
      </c>
      <c r="G425">
        <v>0</v>
      </c>
      <c r="H425">
        <v>10</v>
      </c>
      <c r="I425">
        <v>142</v>
      </c>
      <c r="J425">
        <v>1</v>
      </c>
      <c r="K425">
        <v>2</v>
      </c>
      <c r="L425">
        <v>0</v>
      </c>
      <c r="M425">
        <v>3</v>
      </c>
      <c r="N425">
        <v>5</v>
      </c>
    </row>
    <row r="426" spans="1:14" hidden="1" x14ac:dyDescent="0.3">
      <c r="A426">
        <v>1844</v>
      </c>
      <c r="B426">
        <v>80</v>
      </c>
      <c r="C426">
        <v>165</v>
      </c>
      <c r="D426">
        <v>125</v>
      </c>
      <c r="E426">
        <v>247</v>
      </c>
      <c r="F426">
        <v>301</v>
      </c>
      <c r="G426">
        <v>147</v>
      </c>
      <c r="H426">
        <v>237</v>
      </c>
      <c r="I426">
        <v>749</v>
      </c>
      <c r="J426">
        <v>6</v>
      </c>
      <c r="K426">
        <v>4</v>
      </c>
      <c r="L426">
        <v>1</v>
      </c>
      <c r="M426">
        <v>6</v>
      </c>
      <c r="N426">
        <v>7</v>
      </c>
    </row>
    <row r="427" spans="1:14" hidden="1" x14ac:dyDescent="0.3">
      <c r="A427">
        <v>2068</v>
      </c>
      <c r="B427">
        <v>80</v>
      </c>
      <c r="C427">
        <v>332</v>
      </c>
      <c r="D427">
        <v>59</v>
      </c>
      <c r="E427">
        <v>225</v>
      </c>
      <c r="F427">
        <v>232</v>
      </c>
      <c r="G427">
        <v>118</v>
      </c>
      <c r="H427">
        <v>177</v>
      </c>
      <c r="I427">
        <v>788</v>
      </c>
      <c r="J427">
        <v>0</v>
      </c>
      <c r="K427">
        <v>9</v>
      </c>
      <c r="L427">
        <v>9</v>
      </c>
      <c r="M427">
        <v>4</v>
      </c>
      <c r="N427">
        <v>5</v>
      </c>
    </row>
    <row r="428" spans="1:14" hidden="1" x14ac:dyDescent="0.3">
      <c r="A428">
        <v>1514</v>
      </c>
      <c r="B428">
        <v>80</v>
      </c>
      <c r="C428">
        <v>502</v>
      </c>
      <c r="D428">
        <v>189</v>
      </c>
      <c r="E428">
        <v>257</v>
      </c>
      <c r="F428">
        <v>300</v>
      </c>
      <c r="G428">
        <v>177</v>
      </c>
      <c r="H428">
        <v>189</v>
      </c>
      <c r="I428">
        <v>1236</v>
      </c>
      <c r="J428">
        <v>4</v>
      </c>
      <c r="K428">
        <v>4</v>
      </c>
      <c r="L428">
        <v>3</v>
      </c>
      <c r="M428">
        <v>8</v>
      </c>
      <c r="N428">
        <v>5</v>
      </c>
    </row>
    <row r="429" spans="1:14" hidden="1" x14ac:dyDescent="0.3">
      <c r="A429">
        <v>3173</v>
      </c>
      <c r="B429">
        <v>80</v>
      </c>
      <c r="C429">
        <v>598</v>
      </c>
      <c r="D429">
        <v>0</v>
      </c>
      <c r="E429">
        <v>87</v>
      </c>
      <c r="F429">
        <v>0</v>
      </c>
      <c r="G429">
        <v>0</v>
      </c>
      <c r="H429">
        <v>68</v>
      </c>
      <c r="I429">
        <v>617</v>
      </c>
      <c r="J429">
        <v>6</v>
      </c>
      <c r="K429">
        <v>3</v>
      </c>
      <c r="L429">
        <v>1</v>
      </c>
      <c r="M429">
        <v>5</v>
      </c>
      <c r="N429">
        <v>8</v>
      </c>
    </row>
    <row r="430" spans="1:14" hidden="1" x14ac:dyDescent="0.3">
      <c r="A430">
        <v>3019</v>
      </c>
      <c r="B430">
        <v>80</v>
      </c>
      <c r="C430">
        <v>617</v>
      </c>
      <c r="D430">
        <v>137</v>
      </c>
      <c r="E430">
        <v>236</v>
      </c>
      <c r="F430">
        <v>181</v>
      </c>
      <c r="G430">
        <v>126</v>
      </c>
      <c r="H430">
        <v>428</v>
      </c>
      <c r="I430">
        <v>868</v>
      </c>
      <c r="J430">
        <v>8</v>
      </c>
      <c r="K430">
        <v>4</v>
      </c>
      <c r="L430">
        <v>3</v>
      </c>
      <c r="M430">
        <v>6</v>
      </c>
      <c r="N430">
        <v>7</v>
      </c>
    </row>
    <row r="431" spans="1:14" hidden="1" x14ac:dyDescent="0.3">
      <c r="A431">
        <v>2675</v>
      </c>
      <c r="B431">
        <v>80</v>
      </c>
      <c r="C431">
        <v>1021</v>
      </c>
      <c r="D431">
        <v>332</v>
      </c>
      <c r="E431">
        <v>902</v>
      </c>
      <c r="F431">
        <v>0</v>
      </c>
      <c r="G431">
        <v>119</v>
      </c>
      <c r="H431">
        <v>475</v>
      </c>
      <c r="I431">
        <v>1899</v>
      </c>
      <c r="J431">
        <v>5</v>
      </c>
      <c r="K431">
        <v>8</v>
      </c>
      <c r="L431">
        <v>4</v>
      </c>
      <c r="M431">
        <v>11</v>
      </c>
      <c r="N431">
        <v>6</v>
      </c>
    </row>
    <row r="432" spans="1:14" hidden="1" x14ac:dyDescent="0.3">
      <c r="A432">
        <v>1378</v>
      </c>
      <c r="B432">
        <v>80</v>
      </c>
      <c r="C432">
        <v>1337</v>
      </c>
      <c r="D432">
        <v>84</v>
      </c>
      <c r="E432">
        <v>273</v>
      </c>
      <c r="F432">
        <v>0</v>
      </c>
      <c r="G432">
        <v>17</v>
      </c>
      <c r="H432">
        <v>188</v>
      </c>
      <c r="I432">
        <v>1523</v>
      </c>
      <c r="J432">
        <v>3</v>
      </c>
      <c r="K432">
        <v>5</v>
      </c>
      <c r="L432">
        <v>3</v>
      </c>
      <c r="M432">
        <v>12</v>
      </c>
      <c r="N432">
        <v>3</v>
      </c>
    </row>
    <row r="433" spans="1:14" hidden="1" x14ac:dyDescent="0.3">
      <c r="A433">
        <v>3005</v>
      </c>
      <c r="B433">
        <v>80</v>
      </c>
      <c r="C433">
        <v>1525</v>
      </c>
      <c r="D433">
        <v>109</v>
      </c>
      <c r="E433">
        <v>531</v>
      </c>
      <c r="F433">
        <v>0</v>
      </c>
      <c r="G433">
        <v>42</v>
      </c>
      <c r="H433">
        <v>89</v>
      </c>
      <c r="I433">
        <v>2118</v>
      </c>
      <c r="J433">
        <v>2</v>
      </c>
      <c r="K433">
        <v>11</v>
      </c>
      <c r="L433">
        <v>8</v>
      </c>
      <c r="M433">
        <v>4</v>
      </c>
      <c r="N433">
        <v>6</v>
      </c>
    </row>
    <row r="434" spans="1:14" hidden="1" x14ac:dyDescent="0.3">
      <c r="A434">
        <v>1184</v>
      </c>
      <c r="B434">
        <v>80</v>
      </c>
      <c r="C434">
        <v>1598</v>
      </c>
      <c r="D434">
        <v>39</v>
      </c>
      <c r="E434">
        <v>258</v>
      </c>
      <c r="F434">
        <v>78</v>
      </c>
      <c r="G434">
        <v>39</v>
      </c>
      <c r="H434">
        <v>19</v>
      </c>
      <c r="I434">
        <v>1992</v>
      </c>
      <c r="J434">
        <v>1</v>
      </c>
      <c r="K434">
        <v>7</v>
      </c>
      <c r="L434">
        <v>3</v>
      </c>
      <c r="M434">
        <v>12</v>
      </c>
      <c r="N434">
        <v>3</v>
      </c>
    </row>
    <row r="435" spans="1:14" hidden="1" x14ac:dyDescent="0.3">
      <c r="A435">
        <v>3084</v>
      </c>
      <c r="B435">
        <v>80</v>
      </c>
      <c r="C435">
        <v>1858</v>
      </c>
      <c r="D435">
        <v>70</v>
      </c>
      <c r="E435">
        <v>381</v>
      </c>
      <c r="F435">
        <v>63</v>
      </c>
      <c r="G435">
        <v>23</v>
      </c>
      <c r="H435">
        <v>143</v>
      </c>
      <c r="I435">
        <v>2251</v>
      </c>
      <c r="J435">
        <v>2</v>
      </c>
      <c r="K435">
        <v>6</v>
      </c>
      <c r="L435">
        <v>8</v>
      </c>
      <c r="M435">
        <v>10</v>
      </c>
      <c r="N435">
        <v>4</v>
      </c>
    </row>
    <row r="436" spans="1:14" hidden="1" x14ac:dyDescent="0.3">
      <c r="A436">
        <v>1550</v>
      </c>
      <c r="B436">
        <v>80</v>
      </c>
      <c r="C436">
        <v>1869</v>
      </c>
      <c r="D436">
        <v>25</v>
      </c>
      <c r="E436">
        <v>403</v>
      </c>
      <c r="F436">
        <v>163</v>
      </c>
      <c r="G436">
        <v>100</v>
      </c>
      <c r="H436">
        <v>105</v>
      </c>
      <c r="I436">
        <v>2455</v>
      </c>
      <c r="J436">
        <v>4</v>
      </c>
      <c r="K436">
        <v>4</v>
      </c>
      <c r="L436">
        <v>2</v>
      </c>
      <c r="M436">
        <v>9</v>
      </c>
      <c r="N436">
        <v>8</v>
      </c>
    </row>
    <row r="437" spans="1:14" hidden="1" x14ac:dyDescent="0.3">
      <c r="A437">
        <v>2719</v>
      </c>
      <c r="B437">
        <v>80</v>
      </c>
      <c r="C437">
        <v>1927</v>
      </c>
      <c r="D437">
        <v>19</v>
      </c>
      <c r="E437">
        <v>169</v>
      </c>
      <c r="F437">
        <v>0</v>
      </c>
      <c r="G437">
        <v>0</v>
      </c>
      <c r="H437">
        <v>41</v>
      </c>
      <c r="I437">
        <v>2074</v>
      </c>
      <c r="J437">
        <v>2</v>
      </c>
      <c r="K437">
        <v>11</v>
      </c>
      <c r="L437">
        <v>3</v>
      </c>
      <c r="M437">
        <v>7</v>
      </c>
      <c r="N437">
        <v>8</v>
      </c>
    </row>
    <row r="438" spans="1:14" hidden="1" x14ac:dyDescent="0.3">
      <c r="A438">
        <v>2269</v>
      </c>
      <c r="B438">
        <v>80</v>
      </c>
      <c r="C438">
        <v>2132</v>
      </c>
      <c r="D438">
        <v>324</v>
      </c>
      <c r="E438">
        <v>1855</v>
      </c>
      <c r="F438">
        <v>302</v>
      </c>
      <c r="G438">
        <v>93</v>
      </c>
      <c r="H438">
        <v>463</v>
      </c>
      <c r="I438">
        <v>4242</v>
      </c>
      <c r="J438">
        <v>1</v>
      </c>
      <c r="K438">
        <v>5</v>
      </c>
      <c r="L438">
        <v>7</v>
      </c>
      <c r="M438">
        <v>10</v>
      </c>
      <c r="N438">
        <v>2</v>
      </c>
    </row>
    <row r="439" spans="1:14" hidden="1" x14ac:dyDescent="0.3">
      <c r="A439">
        <v>3031</v>
      </c>
      <c r="B439">
        <v>80</v>
      </c>
      <c r="C439">
        <v>2305</v>
      </c>
      <c r="D439">
        <v>383</v>
      </c>
      <c r="E439">
        <v>1075</v>
      </c>
      <c r="F439">
        <v>48</v>
      </c>
      <c r="G439">
        <v>0</v>
      </c>
      <c r="H439">
        <v>75</v>
      </c>
      <c r="I439">
        <v>3736</v>
      </c>
      <c r="J439">
        <v>3</v>
      </c>
      <c r="K439">
        <v>2</v>
      </c>
      <c r="L439">
        <v>10</v>
      </c>
      <c r="M439">
        <v>12</v>
      </c>
      <c r="N439">
        <v>7</v>
      </c>
    </row>
    <row r="440" spans="1:14" hidden="1" x14ac:dyDescent="0.3">
      <c r="A440">
        <v>3090</v>
      </c>
      <c r="B440">
        <v>79</v>
      </c>
      <c r="C440">
        <v>20</v>
      </c>
      <c r="D440">
        <v>0</v>
      </c>
      <c r="E440">
        <v>20</v>
      </c>
      <c r="F440">
        <v>0</v>
      </c>
      <c r="G440">
        <v>0</v>
      </c>
      <c r="H440">
        <v>25</v>
      </c>
      <c r="I440">
        <v>15</v>
      </c>
      <c r="J440">
        <v>1</v>
      </c>
      <c r="K440">
        <v>1</v>
      </c>
      <c r="L440">
        <v>0</v>
      </c>
      <c r="M440">
        <v>2</v>
      </c>
      <c r="N440">
        <v>7</v>
      </c>
    </row>
    <row r="441" spans="1:14" hidden="1" x14ac:dyDescent="0.3">
      <c r="A441">
        <v>2005</v>
      </c>
      <c r="B441">
        <v>79</v>
      </c>
      <c r="C441">
        <v>27</v>
      </c>
      <c r="D441">
        <v>61</v>
      </c>
      <c r="E441">
        <v>108</v>
      </c>
      <c r="F441">
        <v>115</v>
      </c>
      <c r="G441">
        <v>0</v>
      </c>
      <c r="H441">
        <v>81</v>
      </c>
      <c r="I441">
        <v>230</v>
      </c>
      <c r="J441">
        <v>2</v>
      </c>
      <c r="K441">
        <v>2</v>
      </c>
      <c r="L441">
        <v>1</v>
      </c>
      <c r="M441">
        <v>2</v>
      </c>
      <c r="N441">
        <v>8</v>
      </c>
    </row>
    <row r="442" spans="1:14" hidden="1" x14ac:dyDescent="0.3">
      <c r="A442">
        <v>1315</v>
      </c>
      <c r="B442">
        <v>79</v>
      </c>
      <c r="C442">
        <v>46</v>
      </c>
      <c r="D442">
        <v>5</v>
      </c>
      <c r="E442">
        <v>31</v>
      </c>
      <c r="F442">
        <v>15</v>
      </c>
      <c r="G442">
        <v>0</v>
      </c>
      <c r="H442">
        <v>21</v>
      </c>
      <c r="I442">
        <v>77</v>
      </c>
      <c r="J442">
        <v>1</v>
      </c>
      <c r="K442">
        <v>1</v>
      </c>
      <c r="L442">
        <v>0</v>
      </c>
      <c r="M442">
        <v>2</v>
      </c>
      <c r="N442">
        <v>8</v>
      </c>
    </row>
    <row r="443" spans="1:14" hidden="1" x14ac:dyDescent="0.3">
      <c r="A443">
        <v>2411</v>
      </c>
      <c r="B443">
        <v>79</v>
      </c>
      <c r="C443">
        <v>67</v>
      </c>
      <c r="D443">
        <v>8</v>
      </c>
      <c r="E443">
        <v>46</v>
      </c>
      <c r="F443">
        <v>13</v>
      </c>
      <c r="G443">
        <v>0</v>
      </c>
      <c r="H443">
        <v>67</v>
      </c>
      <c r="I443">
        <v>67</v>
      </c>
      <c r="J443">
        <v>2</v>
      </c>
      <c r="K443">
        <v>1</v>
      </c>
      <c r="L443">
        <v>1</v>
      </c>
      <c r="M443">
        <v>2</v>
      </c>
      <c r="N443">
        <v>8</v>
      </c>
    </row>
    <row r="444" spans="1:14" hidden="1" x14ac:dyDescent="0.3">
      <c r="A444">
        <v>1759</v>
      </c>
      <c r="B444">
        <v>79</v>
      </c>
      <c r="C444">
        <v>77</v>
      </c>
      <c r="D444">
        <v>3</v>
      </c>
      <c r="E444">
        <v>33</v>
      </c>
      <c r="F444">
        <v>0</v>
      </c>
      <c r="G444">
        <v>3</v>
      </c>
      <c r="H444">
        <v>12</v>
      </c>
      <c r="I444">
        <v>103</v>
      </c>
      <c r="J444">
        <v>2</v>
      </c>
      <c r="K444">
        <v>1</v>
      </c>
      <c r="L444">
        <v>0</v>
      </c>
      <c r="M444">
        <v>3</v>
      </c>
      <c r="N444">
        <v>3</v>
      </c>
    </row>
    <row r="445" spans="1:14" hidden="1" x14ac:dyDescent="0.3">
      <c r="A445">
        <v>1723</v>
      </c>
      <c r="B445">
        <v>79</v>
      </c>
      <c r="C445">
        <v>85</v>
      </c>
      <c r="D445">
        <v>3</v>
      </c>
      <c r="E445">
        <v>64</v>
      </c>
      <c r="F445">
        <v>9</v>
      </c>
      <c r="G445">
        <v>0</v>
      </c>
      <c r="H445">
        <v>31</v>
      </c>
      <c r="I445">
        <v>131</v>
      </c>
      <c r="J445">
        <v>3</v>
      </c>
      <c r="K445">
        <v>2</v>
      </c>
      <c r="L445">
        <v>1</v>
      </c>
      <c r="M445">
        <v>3</v>
      </c>
      <c r="N445">
        <v>5</v>
      </c>
    </row>
    <row r="446" spans="1:14" hidden="1" x14ac:dyDescent="0.3">
      <c r="A446">
        <v>3020</v>
      </c>
      <c r="B446">
        <v>79</v>
      </c>
      <c r="C446">
        <v>150</v>
      </c>
      <c r="D446">
        <v>23</v>
      </c>
      <c r="E446">
        <v>329</v>
      </c>
      <c r="F446">
        <v>13</v>
      </c>
      <c r="G446">
        <v>83</v>
      </c>
      <c r="H446">
        <v>143</v>
      </c>
      <c r="I446">
        <v>455</v>
      </c>
      <c r="J446">
        <v>3</v>
      </c>
      <c r="K446">
        <v>4</v>
      </c>
      <c r="L446">
        <v>1</v>
      </c>
      <c r="M446">
        <v>4</v>
      </c>
      <c r="N446">
        <v>6</v>
      </c>
    </row>
    <row r="447" spans="1:14" hidden="1" x14ac:dyDescent="0.3">
      <c r="A447">
        <v>1829</v>
      </c>
      <c r="B447">
        <v>79</v>
      </c>
      <c r="C447">
        <v>312</v>
      </c>
      <c r="D447">
        <v>3</v>
      </c>
      <c r="E447">
        <v>162</v>
      </c>
      <c r="F447">
        <v>39</v>
      </c>
      <c r="G447">
        <v>27</v>
      </c>
      <c r="H447">
        <v>42</v>
      </c>
      <c r="I447">
        <v>501</v>
      </c>
      <c r="J447">
        <v>2</v>
      </c>
      <c r="K447">
        <v>3</v>
      </c>
      <c r="L447">
        <v>1</v>
      </c>
      <c r="M447">
        <v>5</v>
      </c>
      <c r="N447">
        <v>5</v>
      </c>
    </row>
    <row r="448" spans="1:14" hidden="1" x14ac:dyDescent="0.3">
      <c r="A448">
        <v>1084</v>
      </c>
      <c r="B448">
        <v>79</v>
      </c>
      <c r="C448">
        <v>384</v>
      </c>
      <c r="D448">
        <v>26</v>
      </c>
      <c r="E448">
        <v>111</v>
      </c>
      <c r="F448">
        <v>11</v>
      </c>
      <c r="G448">
        <v>0</v>
      </c>
      <c r="H448">
        <v>20</v>
      </c>
      <c r="I448">
        <v>512</v>
      </c>
      <c r="J448">
        <v>1</v>
      </c>
      <c r="K448">
        <v>2</v>
      </c>
      <c r="L448">
        <v>2</v>
      </c>
      <c r="M448">
        <v>5</v>
      </c>
      <c r="N448">
        <v>2</v>
      </c>
    </row>
    <row r="449" spans="1:14" hidden="1" x14ac:dyDescent="0.3">
      <c r="A449">
        <v>1203</v>
      </c>
      <c r="B449">
        <v>79</v>
      </c>
      <c r="C449">
        <v>584</v>
      </c>
      <c r="D449">
        <v>24</v>
      </c>
      <c r="E449">
        <v>584</v>
      </c>
      <c r="F449">
        <v>85</v>
      </c>
      <c r="G449">
        <v>65</v>
      </c>
      <c r="H449">
        <v>304</v>
      </c>
      <c r="I449">
        <v>1038</v>
      </c>
      <c r="J449">
        <v>6</v>
      </c>
      <c r="K449">
        <v>8</v>
      </c>
      <c r="L449">
        <v>1</v>
      </c>
      <c r="M449">
        <v>5</v>
      </c>
      <c r="N449">
        <v>8</v>
      </c>
    </row>
    <row r="450" spans="1:14" hidden="1" x14ac:dyDescent="0.3">
      <c r="A450">
        <v>1586</v>
      </c>
      <c r="B450">
        <v>79</v>
      </c>
      <c r="C450">
        <v>949</v>
      </c>
      <c r="D450">
        <v>76</v>
      </c>
      <c r="E450">
        <v>1231</v>
      </c>
      <c r="F450">
        <v>168</v>
      </c>
      <c r="G450">
        <v>178</v>
      </c>
      <c r="H450">
        <v>128</v>
      </c>
      <c r="I450">
        <v>2474</v>
      </c>
      <c r="J450">
        <v>1</v>
      </c>
      <c r="K450">
        <v>3</v>
      </c>
      <c r="L450">
        <v>4</v>
      </c>
      <c r="M450">
        <v>9</v>
      </c>
      <c r="N450">
        <v>1</v>
      </c>
    </row>
    <row r="451" spans="1:14" hidden="1" x14ac:dyDescent="0.3">
      <c r="A451">
        <v>2091</v>
      </c>
      <c r="B451">
        <v>79</v>
      </c>
      <c r="C451">
        <v>1188</v>
      </c>
      <c r="D451">
        <v>129</v>
      </c>
      <c r="E451">
        <v>1034</v>
      </c>
      <c r="F451">
        <v>198</v>
      </c>
      <c r="G451">
        <v>76</v>
      </c>
      <c r="H451">
        <v>37</v>
      </c>
      <c r="I451">
        <v>2588</v>
      </c>
      <c r="J451">
        <v>1</v>
      </c>
      <c r="K451">
        <v>2</v>
      </c>
      <c r="L451">
        <v>2</v>
      </c>
      <c r="M451">
        <v>11</v>
      </c>
      <c r="N451">
        <v>1</v>
      </c>
    </row>
    <row r="452" spans="1:14" hidden="1" x14ac:dyDescent="0.3">
      <c r="A452">
        <v>2345</v>
      </c>
      <c r="B452">
        <v>79</v>
      </c>
      <c r="C452">
        <v>1266</v>
      </c>
      <c r="D452">
        <v>23</v>
      </c>
      <c r="E452">
        <v>478</v>
      </c>
      <c r="F452">
        <v>373</v>
      </c>
      <c r="G452">
        <v>333</v>
      </c>
      <c r="H452">
        <v>191</v>
      </c>
      <c r="I452">
        <v>2282</v>
      </c>
      <c r="J452">
        <v>1</v>
      </c>
      <c r="K452">
        <v>6</v>
      </c>
      <c r="L452">
        <v>3</v>
      </c>
      <c r="M452">
        <v>6</v>
      </c>
      <c r="N452">
        <v>3</v>
      </c>
    </row>
    <row r="453" spans="1:14" hidden="1" x14ac:dyDescent="0.3">
      <c r="A453">
        <v>1704</v>
      </c>
      <c r="B453">
        <v>79</v>
      </c>
      <c r="C453">
        <v>1424</v>
      </c>
      <c r="D453">
        <v>396</v>
      </c>
      <c r="E453">
        <v>1424</v>
      </c>
      <c r="F453">
        <v>410</v>
      </c>
      <c r="G453">
        <v>396</v>
      </c>
      <c r="H453">
        <v>594</v>
      </c>
      <c r="I453">
        <v>3456</v>
      </c>
      <c r="J453">
        <v>1</v>
      </c>
      <c r="K453">
        <v>5</v>
      </c>
      <c r="L453">
        <v>6</v>
      </c>
      <c r="M453">
        <v>4</v>
      </c>
      <c r="N453">
        <v>3</v>
      </c>
    </row>
    <row r="454" spans="1:14" hidden="1" x14ac:dyDescent="0.3">
      <c r="A454">
        <v>2987</v>
      </c>
      <c r="B454">
        <v>79</v>
      </c>
      <c r="C454">
        <v>1845</v>
      </c>
      <c r="D454">
        <v>87</v>
      </c>
      <c r="E454">
        <v>1494</v>
      </c>
      <c r="F454">
        <v>81</v>
      </c>
      <c r="G454">
        <v>394</v>
      </c>
      <c r="H454">
        <v>43</v>
      </c>
      <c r="I454">
        <v>3859</v>
      </c>
      <c r="J454">
        <v>1</v>
      </c>
      <c r="K454">
        <v>7</v>
      </c>
      <c r="L454">
        <v>7</v>
      </c>
      <c r="M454">
        <v>9</v>
      </c>
      <c r="N454">
        <v>2</v>
      </c>
    </row>
    <row r="455" spans="1:14" hidden="1" x14ac:dyDescent="0.3">
      <c r="A455">
        <v>1165</v>
      </c>
      <c r="B455">
        <v>79</v>
      </c>
      <c r="C455">
        <v>1857</v>
      </c>
      <c r="D455">
        <v>145</v>
      </c>
      <c r="E455">
        <v>261</v>
      </c>
      <c r="F455">
        <v>189</v>
      </c>
      <c r="G455">
        <v>195</v>
      </c>
      <c r="H455">
        <v>243</v>
      </c>
      <c r="I455">
        <v>2403</v>
      </c>
      <c r="J455">
        <v>1</v>
      </c>
      <c r="K455">
        <v>9</v>
      </c>
      <c r="L455">
        <v>10</v>
      </c>
      <c r="M455">
        <v>5</v>
      </c>
      <c r="N455">
        <v>4</v>
      </c>
    </row>
    <row r="456" spans="1:14" hidden="1" x14ac:dyDescent="0.3">
      <c r="A456">
        <v>2455</v>
      </c>
      <c r="B456">
        <v>79</v>
      </c>
      <c r="C456">
        <v>2598</v>
      </c>
      <c r="D456">
        <v>0</v>
      </c>
      <c r="E456">
        <v>165</v>
      </c>
      <c r="F456">
        <v>0</v>
      </c>
      <c r="G456">
        <v>0</v>
      </c>
      <c r="H456">
        <v>83</v>
      </c>
      <c r="I456">
        <v>2681</v>
      </c>
      <c r="J456">
        <v>2</v>
      </c>
      <c r="K456">
        <v>7</v>
      </c>
      <c r="L456">
        <v>5</v>
      </c>
      <c r="M456">
        <v>13</v>
      </c>
      <c r="N456">
        <v>5</v>
      </c>
    </row>
    <row r="457" spans="1:14" hidden="1" x14ac:dyDescent="0.3">
      <c r="A457">
        <v>1863</v>
      </c>
      <c r="B457">
        <v>78</v>
      </c>
      <c r="C457">
        <v>34</v>
      </c>
      <c r="D457">
        <v>4</v>
      </c>
      <c r="E457">
        <v>19</v>
      </c>
      <c r="F457">
        <v>0</v>
      </c>
      <c r="G457">
        <v>0</v>
      </c>
      <c r="H457">
        <v>4</v>
      </c>
      <c r="I457">
        <v>52</v>
      </c>
      <c r="J457">
        <v>1</v>
      </c>
      <c r="K457">
        <v>0</v>
      </c>
      <c r="L457">
        <v>0</v>
      </c>
      <c r="M457">
        <v>3</v>
      </c>
      <c r="N457">
        <v>5</v>
      </c>
    </row>
    <row r="458" spans="1:14" hidden="1" x14ac:dyDescent="0.3">
      <c r="A458">
        <v>2093</v>
      </c>
      <c r="B458">
        <v>78</v>
      </c>
      <c r="C458">
        <v>34</v>
      </c>
      <c r="D458">
        <v>0</v>
      </c>
      <c r="E458">
        <v>11</v>
      </c>
      <c r="F458">
        <v>0</v>
      </c>
      <c r="G458">
        <v>0</v>
      </c>
      <c r="H458">
        <v>0</v>
      </c>
      <c r="I458">
        <v>45</v>
      </c>
      <c r="J458">
        <v>1</v>
      </c>
      <c r="K458">
        <v>1</v>
      </c>
      <c r="L458">
        <v>0</v>
      </c>
      <c r="M458">
        <v>2</v>
      </c>
      <c r="N458">
        <v>5</v>
      </c>
    </row>
    <row r="459" spans="1:14" hidden="1" x14ac:dyDescent="0.3">
      <c r="A459">
        <v>1160</v>
      </c>
      <c r="B459">
        <v>78</v>
      </c>
      <c r="C459">
        <v>54</v>
      </c>
      <c r="D459">
        <v>18</v>
      </c>
      <c r="E459">
        <v>27</v>
      </c>
      <c r="F459">
        <v>49</v>
      </c>
      <c r="G459">
        <v>36</v>
      </c>
      <c r="H459">
        <v>72</v>
      </c>
      <c r="I459">
        <v>112</v>
      </c>
      <c r="J459">
        <v>2</v>
      </c>
      <c r="K459">
        <v>2</v>
      </c>
      <c r="L459">
        <v>0</v>
      </c>
      <c r="M459">
        <v>3</v>
      </c>
      <c r="N459">
        <v>8</v>
      </c>
    </row>
    <row r="460" spans="1:14" hidden="1" x14ac:dyDescent="0.3">
      <c r="A460">
        <v>2580</v>
      </c>
      <c r="B460">
        <v>78</v>
      </c>
      <c r="C460">
        <v>56</v>
      </c>
      <c r="D460">
        <v>5</v>
      </c>
      <c r="E460">
        <v>98</v>
      </c>
      <c r="F460">
        <v>9</v>
      </c>
      <c r="G460">
        <v>9</v>
      </c>
      <c r="H460">
        <v>14</v>
      </c>
      <c r="I460">
        <v>164</v>
      </c>
      <c r="J460">
        <v>2</v>
      </c>
      <c r="K460">
        <v>2</v>
      </c>
      <c r="L460">
        <v>0</v>
      </c>
      <c r="M460">
        <v>3</v>
      </c>
      <c r="N460">
        <v>7</v>
      </c>
    </row>
    <row r="461" spans="1:14" hidden="1" x14ac:dyDescent="0.3">
      <c r="A461">
        <v>1963</v>
      </c>
      <c r="B461">
        <v>78</v>
      </c>
      <c r="C461">
        <v>88</v>
      </c>
      <c r="D461">
        <v>12</v>
      </c>
      <c r="E461">
        <v>72</v>
      </c>
      <c r="F461">
        <v>0</v>
      </c>
      <c r="G461">
        <v>0</v>
      </c>
      <c r="H461">
        <v>44</v>
      </c>
      <c r="I461">
        <v>128</v>
      </c>
      <c r="J461">
        <v>1</v>
      </c>
      <c r="K461">
        <v>2</v>
      </c>
      <c r="L461">
        <v>0</v>
      </c>
      <c r="M461">
        <v>3</v>
      </c>
      <c r="N461">
        <v>7</v>
      </c>
    </row>
    <row r="462" spans="1:14" hidden="1" x14ac:dyDescent="0.3">
      <c r="A462">
        <v>1912</v>
      </c>
      <c r="B462">
        <v>78</v>
      </c>
      <c r="C462">
        <v>98</v>
      </c>
      <c r="D462">
        <v>29</v>
      </c>
      <c r="E462">
        <v>86</v>
      </c>
      <c r="F462">
        <v>51</v>
      </c>
      <c r="G462">
        <v>29</v>
      </c>
      <c r="H462">
        <v>105</v>
      </c>
      <c r="I462">
        <v>187</v>
      </c>
      <c r="J462">
        <v>1</v>
      </c>
      <c r="K462">
        <v>1</v>
      </c>
      <c r="L462">
        <v>1</v>
      </c>
      <c r="M462">
        <v>4</v>
      </c>
      <c r="N462">
        <v>3</v>
      </c>
    </row>
    <row r="463" spans="1:14" hidden="1" x14ac:dyDescent="0.3">
      <c r="A463">
        <v>1916</v>
      </c>
      <c r="B463">
        <v>78</v>
      </c>
      <c r="C463">
        <v>105</v>
      </c>
      <c r="D463">
        <v>0</v>
      </c>
      <c r="E463">
        <v>61</v>
      </c>
      <c r="F463">
        <v>8</v>
      </c>
      <c r="G463">
        <v>4</v>
      </c>
      <c r="H463">
        <v>8</v>
      </c>
      <c r="I463">
        <v>170</v>
      </c>
      <c r="J463">
        <v>2</v>
      </c>
      <c r="K463">
        <v>3</v>
      </c>
      <c r="L463">
        <v>0</v>
      </c>
      <c r="M463">
        <v>3</v>
      </c>
      <c r="N463">
        <v>8</v>
      </c>
    </row>
    <row r="464" spans="1:14" hidden="1" x14ac:dyDescent="0.3">
      <c r="A464">
        <v>2051</v>
      </c>
      <c r="B464">
        <v>78</v>
      </c>
      <c r="C464">
        <v>105</v>
      </c>
      <c r="D464">
        <v>0</v>
      </c>
      <c r="E464">
        <v>61</v>
      </c>
      <c r="F464">
        <v>8</v>
      </c>
      <c r="G464">
        <v>4</v>
      </c>
      <c r="H464">
        <v>8</v>
      </c>
      <c r="I464">
        <v>170</v>
      </c>
      <c r="J464">
        <v>2</v>
      </c>
      <c r="K464">
        <v>3</v>
      </c>
      <c r="L464">
        <v>0</v>
      </c>
      <c r="M464">
        <v>3</v>
      </c>
      <c r="N464">
        <v>8</v>
      </c>
    </row>
    <row r="465" spans="1:14" hidden="1" x14ac:dyDescent="0.3">
      <c r="A465">
        <v>2841</v>
      </c>
      <c r="B465">
        <v>78</v>
      </c>
      <c r="C465">
        <v>113</v>
      </c>
      <c r="D465">
        <v>0</v>
      </c>
      <c r="E465">
        <v>53</v>
      </c>
      <c r="F465">
        <v>16</v>
      </c>
      <c r="G465">
        <v>8</v>
      </c>
      <c r="H465">
        <v>32</v>
      </c>
      <c r="I465">
        <v>158</v>
      </c>
      <c r="J465">
        <v>3</v>
      </c>
      <c r="K465">
        <v>2</v>
      </c>
      <c r="L465">
        <v>1</v>
      </c>
      <c r="M465">
        <v>3</v>
      </c>
      <c r="N465">
        <v>5</v>
      </c>
    </row>
    <row r="466" spans="1:14" hidden="1" x14ac:dyDescent="0.3">
      <c r="A466">
        <v>3127</v>
      </c>
      <c r="B466">
        <v>78</v>
      </c>
      <c r="C466">
        <v>238</v>
      </c>
      <c r="D466">
        <v>40</v>
      </c>
      <c r="E466">
        <v>238</v>
      </c>
      <c r="F466">
        <v>91</v>
      </c>
      <c r="G466">
        <v>112</v>
      </c>
      <c r="H466">
        <v>13</v>
      </c>
      <c r="I466">
        <v>706</v>
      </c>
      <c r="J466">
        <v>1</v>
      </c>
      <c r="K466">
        <v>4</v>
      </c>
      <c r="L466">
        <v>1</v>
      </c>
      <c r="M466">
        <v>6</v>
      </c>
      <c r="N466">
        <v>4</v>
      </c>
    </row>
    <row r="467" spans="1:14" hidden="1" x14ac:dyDescent="0.3">
      <c r="A467">
        <v>2734</v>
      </c>
      <c r="B467">
        <v>78</v>
      </c>
      <c r="C467">
        <v>315</v>
      </c>
      <c r="D467">
        <v>274</v>
      </c>
      <c r="E467">
        <v>466</v>
      </c>
      <c r="F467">
        <v>37</v>
      </c>
      <c r="G467">
        <v>288</v>
      </c>
      <c r="H467">
        <v>137</v>
      </c>
      <c r="I467">
        <v>1242</v>
      </c>
      <c r="J467">
        <v>3</v>
      </c>
      <c r="K467">
        <v>7</v>
      </c>
      <c r="L467">
        <v>4</v>
      </c>
      <c r="M467">
        <v>7</v>
      </c>
      <c r="N467">
        <v>5</v>
      </c>
    </row>
    <row r="468" spans="1:14" hidden="1" x14ac:dyDescent="0.3">
      <c r="A468">
        <v>2558</v>
      </c>
      <c r="B468">
        <v>78</v>
      </c>
      <c r="C468">
        <v>564</v>
      </c>
      <c r="D468">
        <v>104</v>
      </c>
      <c r="E468">
        <v>1268</v>
      </c>
      <c r="F468">
        <v>115</v>
      </c>
      <c r="G468">
        <v>71</v>
      </c>
      <c r="H468">
        <v>33</v>
      </c>
      <c r="I468">
        <v>2089</v>
      </c>
      <c r="J468">
        <v>1</v>
      </c>
      <c r="K468">
        <v>5</v>
      </c>
      <c r="L468">
        <v>3</v>
      </c>
      <c r="M468">
        <v>6</v>
      </c>
      <c r="N468">
        <v>1</v>
      </c>
    </row>
    <row r="469" spans="1:14" hidden="1" x14ac:dyDescent="0.3">
      <c r="A469">
        <v>1443</v>
      </c>
      <c r="B469">
        <v>78</v>
      </c>
      <c r="C469">
        <v>995</v>
      </c>
      <c r="D469">
        <v>240</v>
      </c>
      <c r="E469">
        <v>1118</v>
      </c>
      <c r="F469">
        <v>550</v>
      </c>
      <c r="G469">
        <v>240</v>
      </c>
      <c r="H469">
        <v>80</v>
      </c>
      <c r="I469">
        <v>3063</v>
      </c>
      <c r="J469">
        <v>1</v>
      </c>
      <c r="K469">
        <v>5</v>
      </c>
      <c r="L469">
        <v>7</v>
      </c>
      <c r="M469">
        <v>6</v>
      </c>
      <c r="N469">
        <v>3</v>
      </c>
    </row>
    <row r="470" spans="1:14" hidden="1" x14ac:dyDescent="0.3">
      <c r="A470">
        <v>2598</v>
      </c>
      <c r="B470">
        <v>78</v>
      </c>
      <c r="C470">
        <v>995</v>
      </c>
      <c r="D470">
        <v>240</v>
      </c>
      <c r="E470">
        <v>1118</v>
      </c>
      <c r="F470">
        <v>550</v>
      </c>
      <c r="G470">
        <v>240</v>
      </c>
      <c r="H470">
        <v>80</v>
      </c>
      <c r="I470">
        <v>3063</v>
      </c>
      <c r="J470">
        <v>1</v>
      </c>
      <c r="K470">
        <v>5</v>
      </c>
      <c r="L470">
        <v>7</v>
      </c>
      <c r="M470">
        <v>6</v>
      </c>
      <c r="N470">
        <v>3</v>
      </c>
    </row>
    <row r="471" spans="1:14" hidden="1" x14ac:dyDescent="0.3">
      <c r="A471">
        <v>2691</v>
      </c>
      <c r="B471">
        <v>78</v>
      </c>
      <c r="C471">
        <v>1383</v>
      </c>
      <c r="D471">
        <v>53</v>
      </c>
      <c r="E471">
        <v>976</v>
      </c>
      <c r="F471">
        <v>104</v>
      </c>
      <c r="G471">
        <v>215</v>
      </c>
      <c r="H471">
        <v>106</v>
      </c>
      <c r="I471">
        <v>2626</v>
      </c>
      <c r="J471">
        <v>2</v>
      </c>
      <c r="K471">
        <v>6</v>
      </c>
      <c r="L471">
        <v>3</v>
      </c>
      <c r="M471">
        <v>6</v>
      </c>
      <c r="N471">
        <v>5</v>
      </c>
    </row>
    <row r="472" spans="1:14" hidden="1" x14ac:dyDescent="0.3">
      <c r="A472">
        <v>2291</v>
      </c>
      <c r="B472">
        <v>78</v>
      </c>
      <c r="C472">
        <v>1413</v>
      </c>
      <c r="D472">
        <v>36</v>
      </c>
      <c r="E472">
        <v>1823</v>
      </c>
      <c r="F472">
        <v>534</v>
      </c>
      <c r="G472">
        <v>0</v>
      </c>
      <c r="H472">
        <v>109</v>
      </c>
      <c r="I472">
        <v>3696</v>
      </c>
      <c r="J472">
        <v>1</v>
      </c>
      <c r="K472">
        <v>7</v>
      </c>
      <c r="L472">
        <v>5</v>
      </c>
      <c r="M472">
        <v>10</v>
      </c>
      <c r="N472">
        <v>4</v>
      </c>
    </row>
    <row r="473" spans="1:14" hidden="1" x14ac:dyDescent="0.3">
      <c r="A473">
        <v>2452</v>
      </c>
      <c r="B473">
        <v>78</v>
      </c>
      <c r="C473">
        <v>1413</v>
      </c>
      <c r="D473">
        <v>36</v>
      </c>
      <c r="E473">
        <v>1823</v>
      </c>
      <c r="F473">
        <v>534</v>
      </c>
      <c r="G473">
        <v>0</v>
      </c>
      <c r="H473">
        <v>109</v>
      </c>
      <c r="I473">
        <v>3696</v>
      </c>
      <c r="J473">
        <v>1</v>
      </c>
      <c r="K473">
        <v>7</v>
      </c>
      <c r="L473">
        <v>5</v>
      </c>
      <c r="M473">
        <v>10</v>
      </c>
      <c r="N473">
        <v>4</v>
      </c>
    </row>
    <row r="474" spans="1:14" hidden="1" x14ac:dyDescent="0.3">
      <c r="A474">
        <v>1309</v>
      </c>
      <c r="B474">
        <v>78</v>
      </c>
      <c r="C474">
        <v>1472</v>
      </c>
      <c r="D474">
        <v>59</v>
      </c>
      <c r="E474">
        <v>410</v>
      </c>
      <c r="F474">
        <v>24</v>
      </c>
      <c r="G474">
        <v>80</v>
      </c>
      <c r="H474">
        <v>142</v>
      </c>
      <c r="I474">
        <v>1902</v>
      </c>
      <c r="J474">
        <v>6</v>
      </c>
      <c r="K474">
        <v>8</v>
      </c>
      <c r="L474">
        <v>2</v>
      </c>
      <c r="M474">
        <v>8</v>
      </c>
      <c r="N474">
        <v>8</v>
      </c>
    </row>
    <row r="475" spans="1:14" hidden="1" x14ac:dyDescent="0.3">
      <c r="A475">
        <v>1371</v>
      </c>
      <c r="B475">
        <v>78</v>
      </c>
      <c r="C475">
        <v>1472</v>
      </c>
      <c r="D475">
        <v>129</v>
      </c>
      <c r="E475">
        <v>366</v>
      </c>
      <c r="F475">
        <v>85</v>
      </c>
      <c r="G475">
        <v>129</v>
      </c>
      <c r="H475">
        <v>410</v>
      </c>
      <c r="I475">
        <v>1771</v>
      </c>
      <c r="J475">
        <v>4</v>
      </c>
      <c r="K475">
        <v>4</v>
      </c>
      <c r="L475">
        <v>5</v>
      </c>
      <c r="M475">
        <v>13</v>
      </c>
      <c r="N475">
        <v>2</v>
      </c>
    </row>
    <row r="476" spans="1:14" hidden="1" x14ac:dyDescent="0.3">
      <c r="A476">
        <v>1623</v>
      </c>
      <c r="B476">
        <v>78</v>
      </c>
      <c r="C476">
        <v>1472</v>
      </c>
      <c r="D476">
        <v>129</v>
      </c>
      <c r="E476">
        <v>366</v>
      </c>
      <c r="F476">
        <v>85</v>
      </c>
      <c r="G476">
        <v>129</v>
      </c>
      <c r="H476">
        <v>410</v>
      </c>
      <c r="I476">
        <v>1771</v>
      </c>
      <c r="J476">
        <v>4</v>
      </c>
      <c r="K476">
        <v>4</v>
      </c>
      <c r="L476">
        <v>5</v>
      </c>
      <c r="M476">
        <v>13</v>
      </c>
      <c r="N476">
        <v>2</v>
      </c>
    </row>
    <row r="477" spans="1:14" hidden="1" x14ac:dyDescent="0.3">
      <c r="A477">
        <v>2086</v>
      </c>
      <c r="B477">
        <v>78</v>
      </c>
      <c r="C477">
        <v>1759</v>
      </c>
      <c r="D477">
        <v>123</v>
      </c>
      <c r="E477">
        <v>926</v>
      </c>
      <c r="F477">
        <v>39</v>
      </c>
      <c r="G477">
        <v>215</v>
      </c>
      <c r="H477">
        <v>0</v>
      </c>
      <c r="I477">
        <v>3063</v>
      </c>
      <c r="J477">
        <v>1</v>
      </c>
      <c r="K477">
        <v>4</v>
      </c>
      <c r="L477">
        <v>5</v>
      </c>
      <c r="M477">
        <v>11</v>
      </c>
      <c r="N477">
        <v>2</v>
      </c>
    </row>
    <row r="478" spans="1:14" hidden="1" x14ac:dyDescent="0.3">
      <c r="A478">
        <v>2081</v>
      </c>
      <c r="B478">
        <v>78</v>
      </c>
      <c r="C478">
        <v>1967</v>
      </c>
      <c r="D478">
        <v>353</v>
      </c>
      <c r="E478">
        <v>943</v>
      </c>
      <c r="F478">
        <v>408</v>
      </c>
      <c r="G478">
        <v>353</v>
      </c>
      <c r="H478">
        <v>59</v>
      </c>
      <c r="I478">
        <v>3965</v>
      </c>
      <c r="J478">
        <v>0</v>
      </c>
      <c r="K478">
        <v>4</v>
      </c>
      <c r="L478">
        <v>7</v>
      </c>
      <c r="M478">
        <v>6</v>
      </c>
      <c r="N478">
        <v>1</v>
      </c>
    </row>
    <row r="479" spans="1:14" hidden="1" x14ac:dyDescent="0.3">
      <c r="A479">
        <v>2246</v>
      </c>
      <c r="B479">
        <v>78</v>
      </c>
      <c r="C479">
        <v>1967</v>
      </c>
      <c r="D479">
        <v>353</v>
      </c>
      <c r="E479">
        <v>943</v>
      </c>
      <c r="F479">
        <v>408</v>
      </c>
      <c r="G479">
        <v>353</v>
      </c>
      <c r="H479">
        <v>59</v>
      </c>
      <c r="I479">
        <v>3965</v>
      </c>
      <c r="J479">
        <v>0</v>
      </c>
      <c r="K479">
        <v>4</v>
      </c>
      <c r="L479">
        <v>7</v>
      </c>
      <c r="M479">
        <v>6</v>
      </c>
      <c r="N479">
        <v>1</v>
      </c>
    </row>
    <row r="480" spans="1:14" hidden="1" x14ac:dyDescent="0.3">
      <c r="A480">
        <v>2107</v>
      </c>
      <c r="B480">
        <v>78</v>
      </c>
      <c r="C480">
        <v>2065</v>
      </c>
      <c r="D480">
        <v>101</v>
      </c>
      <c r="E480">
        <v>1066</v>
      </c>
      <c r="F480">
        <v>177</v>
      </c>
      <c r="G480">
        <v>101</v>
      </c>
      <c r="H480">
        <v>205</v>
      </c>
      <c r="I480">
        <v>3306</v>
      </c>
      <c r="J480">
        <v>4</v>
      </c>
      <c r="K480">
        <v>5</v>
      </c>
      <c r="L480">
        <v>3</v>
      </c>
      <c r="M480">
        <v>6</v>
      </c>
      <c r="N480">
        <v>8</v>
      </c>
    </row>
    <row r="481" spans="1:14" hidden="1" x14ac:dyDescent="0.3">
      <c r="A481">
        <v>2194</v>
      </c>
      <c r="B481">
        <v>78</v>
      </c>
      <c r="C481">
        <v>2269</v>
      </c>
      <c r="D481">
        <v>138</v>
      </c>
      <c r="E481">
        <v>2132</v>
      </c>
      <c r="F481">
        <v>58</v>
      </c>
      <c r="G481">
        <v>44</v>
      </c>
      <c r="H481">
        <v>138</v>
      </c>
      <c r="I481">
        <v>4504</v>
      </c>
      <c r="J481">
        <v>1</v>
      </c>
      <c r="K481">
        <v>5</v>
      </c>
      <c r="L481">
        <v>9</v>
      </c>
      <c r="M481">
        <v>6</v>
      </c>
      <c r="N481">
        <v>3</v>
      </c>
    </row>
    <row r="482" spans="1:14" hidden="1" x14ac:dyDescent="0.3">
      <c r="A482">
        <v>1497</v>
      </c>
      <c r="B482">
        <v>78</v>
      </c>
      <c r="C482">
        <v>2479</v>
      </c>
      <c r="D482">
        <v>195</v>
      </c>
      <c r="E482">
        <v>866</v>
      </c>
      <c r="F482">
        <v>153</v>
      </c>
      <c r="G482">
        <v>274</v>
      </c>
      <c r="H482">
        <v>117</v>
      </c>
      <c r="I482">
        <v>3849</v>
      </c>
      <c r="J482">
        <v>1</v>
      </c>
      <c r="K482">
        <v>5</v>
      </c>
      <c r="L482">
        <v>6</v>
      </c>
      <c r="M482">
        <v>7</v>
      </c>
      <c r="N482">
        <v>1</v>
      </c>
    </row>
    <row r="483" spans="1:14" hidden="1" x14ac:dyDescent="0.3">
      <c r="A483">
        <v>2533</v>
      </c>
      <c r="B483">
        <v>77</v>
      </c>
      <c r="C483">
        <v>12</v>
      </c>
      <c r="D483">
        <v>4</v>
      </c>
      <c r="E483">
        <v>12</v>
      </c>
      <c r="F483">
        <v>33</v>
      </c>
      <c r="G483">
        <v>0</v>
      </c>
      <c r="H483">
        <v>21</v>
      </c>
      <c r="I483">
        <v>41</v>
      </c>
      <c r="J483">
        <v>1</v>
      </c>
      <c r="K483">
        <v>1</v>
      </c>
      <c r="L483">
        <v>0</v>
      </c>
      <c r="M483">
        <v>2</v>
      </c>
      <c r="N483">
        <v>7</v>
      </c>
    </row>
    <row r="484" spans="1:14" hidden="1" x14ac:dyDescent="0.3">
      <c r="A484">
        <v>3050</v>
      </c>
      <c r="B484">
        <v>77</v>
      </c>
      <c r="C484">
        <v>17</v>
      </c>
      <c r="D484">
        <v>17</v>
      </c>
      <c r="E484">
        <v>132</v>
      </c>
      <c r="F484">
        <v>188</v>
      </c>
      <c r="G484">
        <v>39</v>
      </c>
      <c r="H484">
        <v>171</v>
      </c>
      <c r="I484">
        <v>221</v>
      </c>
      <c r="J484">
        <v>1</v>
      </c>
      <c r="K484">
        <v>2</v>
      </c>
      <c r="L484">
        <v>1</v>
      </c>
      <c r="M484">
        <v>3</v>
      </c>
      <c r="N484">
        <v>5</v>
      </c>
    </row>
    <row r="485" spans="1:14" hidden="1" x14ac:dyDescent="0.3">
      <c r="A485">
        <v>2069</v>
      </c>
      <c r="B485">
        <v>77</v>
      </c>
      <c r="C485">
        <v>26</v>
      </c>
      <c r="D485">
        <v>0</v>
      </c>
      <c r="E485">
        <v>30</v>
      </c>
      <c r="F485">
        <v>7</v>
      </c>
      <c r="G485">
        <v>3</v>
      </c>
      <c r="H485">
        <v>10</v>
      </c>
      <c r="I485">
        <v>56</v>
      </c>
      <c r="J485">
        <v>1</v>
      </c>
      <c r="K485">
        <v>1</v>
      </c>
      <c r="L485">
        <v>0</v>
      </c>
      <c r="M485">
        <v>2</v>
      </c>
      <c r="N485">
        <v>6</v>
      </c>
    </row>
    <row r="486" spans="1:14" hidden="1" x14ac:dyDescent="0.3">
      <c r="A486">
        <v>1647</v>
      </c>
      <c r="B486">
        <v>77</v>
      </c>
      <c r="C486">
        <v>38</v>
      </c>
      <c r="D486">
        <v>6</v>
      </c>
      <c r="E486">
        <v>44</v>
      </c>
      <c r="F486">
        <v>146</v>
      </c>
      <c r="G486">
        <v>25</v>
      </c>
      <c r="H486">
        <v>121</v>
      </c>
      <c r="I486">
        <v>140</v>
      </c>
      <c r="J486">
        <v>1</v>
      </c>
      <c r="K486">
        <v>1</v>
      </c>
      <c r="L486">
        <v>1</v>
      </c>
      <c r="M486">
        <v>2</v>
      </c>
      <c r="N486">
        <v>8</v>
      </c>
    </row>
    <row r="487" spans="1:14" hidden="1" x14ac:dyDescent="0.3">
      <c r="A487">
        <v>2400</v>
      </c>
      <c r="B487">
        <v>77</v>
      </c>
      <c r="C487">
        <v>38</v>
      </c>
      <c r="D487">
        <v>6</v>
      </c>
      <c r="E487">
        <v>44</v>
      </c>
      <c r="F487">
        <v>146</v>
      </c>
      <c r="G487">
        <v>25</v>
      </c>
      <c r="H487">
        <v>121</v>
      </c>
      <c r="I487">
        <v>140</v>
      </c>
      <c r="J487">
        <v>1</v>
      </c>
      <c r="K487">
        <v>1</v>
      </c>
      <c r="L487">
        <v>1</v>
      </c>
      <c r="M487">
        <v>2</v>
      </c>
      <c r="N487">
        <v>8</v>
      </c>
    </row>
    <row r="488" spans="1:14" hidden="1" x14ac:dyDescent="0.3">
      <c r="A488">
        <v>2706</v>
      </c>
      <c r="B488">
        <v>77</v>
      </c>
      <c r="C488">
        <v>38</v>
      </c>
      <c r="D488">
        <v>6</v>
      </c>
      <c r="E488">
        <v>44</v>
      </c>
      <c r="F488">
        <v>146</v>
      </c>
      <c r="G488">
        <v>25</v>
      </c>
      <c r="H488">
        <v>121</v>
      </c>
      <c r="I488">
        <v>140</v>
      </c>
      <c r="J488">
        <v>1</v>
      </c>
      <c r="K488">
        <v>1</v>
      </c>
      <c r="L488">
        <v>1</v>
      </c>
      <c r="M488">
        <v>2</v>
      </c>
      <c r="N488">
        <v>8</v>
      </c>
    </row>
    <row r="489" spans="1:14" hidden="1" x14ac:dyDescent="0.3">
      <c r="A489">
        <v>2878</v>
      </c>
      <c r="B489">
        <v>77</v>
      </c>
      <c r="C489">
        <v>39</v>
      </c>
      <c r="D489">
        <v>4</v>
      </c>
      <c r="E489">
        <v>104</v>
      </c>
      <c r="F489">
        <v>9</v>
      </c>
      <c r="G489">
        <v>4</v>
      </c>
      <c r="H489">
        <v>9</v>
      </c>
      <c r="I489">
        <v>152</v>
      </c>
      <c r="J489">
        <v>3</v>
      </c>
      <c r="K489">
        <v>3</v>
      </c>
      <c r="L489">
        <v>0</v>
      </c>
      <c r="M489">
        <v>3</v>
      </c>
      <c r="N489">
        <v>6</v>
      </c>
    </row>
    <row r="490" spans="1:14" hidden="1" x14ac:dyDescent="0.3">
      <c r="A490">
        <v>1501</v>
      </c>
      <c r="B490">
        <v>77</v>
      </c>
      <c r="C490">
        <v>53</v>
      </c>
      <c r="D490">
        <v>34</v>
      </c>
      <c r="E490">
        <v>43</v>
      </c>
      <c r="F490">
        <v>14</v>
      </c>
      <c r="G490">
        <v>5</v>
      </c>
      <c r="H490">
        <v>53</v>
      </c>
      <c r="I490">
        <v>97</v>
      </c>
      <c r="J490">
        <v>1</v>
      </c>
      <c r="K490">
        <v>1</v>
      </c>
      <c r="L490">
        <v>0</v>
      </c>
      <c r="M490">
        <v>3</v>
      </c>
      <c r="N490">
        <v>7</v>
      </c>
    </row>
    <row r="491" spans="1:14" hidden="1" x14ac:dyDescent="0.3">
      <c r="A491">
        <v>2258</v>
      </c>
      <c r="B491">
        <v>77</v>
      </c>
      <c r="C491">
        <v>83</v>
      </c>
      <c r="D491">
        <v>0</v>
      </c>
      <c r="E491">
        <v>93</v>
      </c>
      <c r="F491">
        <v>28</v>
      </c>
      <c r="G491">
        <v>104</v>
      </c>
      <c r="H491">
        <v>35</v>
      </c>
      <c r="I491">
        <v>273</v>
      </c>
      <c r="J491">
        <v>2</v>
      </c>
      <c r="K491">
        <v>3</v>
      </c>
      <c r="L491">
        <v>0</v>
      </c>
      <c r="M491">
        <v>3</v>
      </c>
      <c r="N491">
        <v>7</v>
      </c>
    </row>
    <row r="492" spans="1:14" hidden="1" x14ac:dyDescent="0.3">
      <c r="A492">
        <v>1170</v>
      </c>
      <c r="B492">
        <v>77</v>
      </c>
      <c r="C492">
        <v>86</v>
      </c>
      <c r="D492">
        <v>79</v>
      </c>
      <c r="E492">
        <v>72</v>
      </c>
      <c r="F492">
        <v>21</v>
      </c>
      <c r="G492">
        <v>86</v>
      </c>
      <c r="H492">
        <v>64</v>
      </c>
      <c r="I492">
        <v>279</v>
      </c>
      <c r="J492">
        <v>3</v>
      </c>
      <c r="K492">
        <v>2</v>
      </c>
      <c r="L492">
        <v>1</v>
      </c>
      <c r="M492">
        <v>3</v>
      </c>
      <c r="N492">
        <v>6</v>
      </c>
    </row>
    <row r="493" spans="1:14" hidden="1" x14ac:dyDescent="0.3">
      <c r="A493">
        <v>2294</v>
      </c>
      <c r="B493">
        <v>77</v>
      </c>
      <c r="C493">
        <v>94</v>
      </c>
      <c r="D493">
        <v>108</v>
      </c>
      <c r="E493">
        <v>299</v>
      </c>
      <c r="F493">
        <v>97</v>
      </c>
      <c r="G493">
        <v>108</v>
      </c>
      <c r="H493">
        <v>32</v>
      </c>
      <c r="I493">
        <v>673</v>
      </c>
      <c r="J493">
        <v>3</v>
      </c>
      <c r="K493">
        <v>3</v>
      </c>
      <c r="L493">
        <v>1</v>
      </c>
      <c r="M493">
        <v>7</v>
      </c>
      <c r="N493">
        <v>4</v>
      </c>
    </row>
    <row r="494" spans="1:14" hidden="1" x14ac:dyDescent="0.3">
      <c r="A494">
        <v>2630</v>
      </c>
      <c r="B494">
        <v>77</v>
      </c>
      <c r="C494">
        <v>114</v>
      </c>
      <c r="D494">
        <v>19</v>
      </c>
      <c r="E494">
        <v>88</v>
      </c>
      <c r="F494">
        <v>15</v>
      </c>
      <c r="G494">
        <v>4</v>
      </c>
      <c r="H494">
        <v>15</v>
      </c>
      <c r="I494">
        <v>225</v>
      </c>
      <c r="J494">
        <v>1</v>
      </c>
      <c r="K494">
        <v>2</v>
      </c>
      <c r="L494">
        <v>0</v>
      </c>
      <c r="M494">
        <v>3</v>
      </c>
      <c r="N494">
        <v>7</v>
      </c>
    </row>
    <row r="495" spans="1:14" hidden="1" x14ac:dyDescent="0.3">
      <c r="A495">
        <v>1163</v>
      </c>
      <c r="B495">
        <v>77</v>
      </c>
      <c r="C495">
        <v>172</v>
      </c>
      <c r="D495">
        <v>0</v>
      </c>
      <c r="E495">
        <v>35</v>
      </c>
      <c r="F495">
        <v>0</v>
      </c>
      <c r="G495">
        <v>0</v>
      </c>
      <c r="H495">
        <v>140</v>
      </c>
      <c r="I495">
        <v>67</v>
      </c>
      <c r="J495">
        <v>1</v>
      </c>
      <c r="K495">
        <v>2</v>
      </c>
      <c r="L495">
        <v>2</v>
      </c>
      <c r="M495">
        <v>2</v>
      </c>
      <c r="N495">
        <v>4</v>
      </c>
    </row>
    <row r="496" spans="1:14" hidden="1" x14ac:dyDescent="0.3">
      <c r="A496">
        <v>2001</v>
      </c>
      <c r="B496">
        <v>77</v>
      </c>
      <c r="C496">
        <v>174</v>
      </c>
      <c r="D496">
        <v>8</v>
      </c>
      <c r="E496">
        <v>100</v>
      </c>
      <c r="F496">
        <v>15</v>
      </c>
      <c r="G496">
        <v>4</v>
      </c>
      <c r="H496">
        <v>4</v>
      </c>
      <c r="I496">
        <v>297</v>
      </c>
      <c r="J496">
        <v>3</v>
      </c>
      <c r="K496">
        <v>3</v>
      </c>
      <c r="L496">
        <v>1</v>
      </c>
      <c r="M496">
        <v>3</v>
      </c>
      <c r="N496">
        <v>7</v>
      </c>
    </row>
    <row r="497" spans="1:14" hidden="1" x14ac:dyDescent="0.3">
      <c r="A497">
        <v>1588</v>
      </c>
      <c r="B497">
        <v>77</v>
      </c>
      <c r="C497">
        <v>241</v>
      </c>
      <c r="D497">
        <v>9</v>
      </c>
      <c r="E497">
        <v>78</v>
      </c>
      <c r="F497">
        <v>12</v>
      </c>
      <c r="G497">
        <v>6</v>
      </c>
      <c r="H497">
        <v>42</v>
      </c>
      <c r="I497">
        <v>305</v>
      </c>
      <c r="J497">
        <v>4</v>
      </c>
      <c r="K497">
        <v>3</v>
      </c>
      <c r="L497">
        <v>1</v>
      </c>
      <c r="M497">
        <v>3</v>
      </c>
      <c r="N497">
        <v>7</v>
      </c>
    </row>
    <row r="498" spans="1:14" hidden="1" x14ac:dyDescent="0.3">
      <c r="A498">
        <v>2503</v>
      </c>
      <c r="B498">
        <v>77</v>
      </c>
      <c r="C498">
        <v>242</v>
      </c>
      <c r="D498">
        <v>36</v>
      </c>
      <c r="E498">
        <v>78</v>
      </c>
      <c r="F498">
        <v>59</v>
      </c>
      <c r="G498">
        <v>0</v>
      </c>
      <c r="H498">
        <v>96</v>
      </c>
      <c r="I498">
        <v>319</v>
      </c>
      <c r="J498">
        <v>3</v>
      </c>
      <c r="K498">
        <v>2</v>
      </c>
      <c r="L498">
        <v>2</v>
      </c>
      <c r="M498">
        <v>2</v>
      </c>
      <c r="N498">
        <v>7</v>
      </c>
    </row>
    <row r="499" spans="1:14" hidden="1" x14ac:dyDescent="0.3">
      <c r="A499">
        <v>1490</v>
      </c>
      <c r="B499">
        <v>77</v>
      </c>
      <c r="C499">
        <v>568</v>
      </c>
      <c r="D499">
        <v>409</v>
      </c>
      <c r="E499">
        <v>976</v>
      </c>
      <c r="F499">
        <v>267</v>
      </c>
      <c r="G499">
        <v>91</v>
      </c>
      <c r="H499">
        <v>73</v>
      </c>
      <c r="I499">
        <v>2238</v>
      </c>
      <c r="J499">
        <v>1</v>
      </c>
      <c r="K499">
        <v>5</v>
      </c>
      <c r="L499">
        <v>10</v>
      </c>
      <c r="M499">
        <v>8</v>
      </c>
      <c r="N499">
        <v>3</v>
      </c>
    </row>
    <row r="500" spans="1:14" hidden="1" x14ac:dyDescent="0.3">
      <c r="A500">
        <v>1491</v>
      </c>
      <c r="B500">
        <v>77</v>
      </c>
      <c r="C500">
        <v>1100</v>
      </c>
      <c r="D500">
        <v>156</v>
      </c>
      <c r="E500">
        <v>723</v>
      </c>
      <c r="F500">
        <v>326</v>
      </c>
      <c r="G500">
        <v>89</v>
      </c>
      <c r="H500">
        <v>187</v>
      </c>
      <c r="I500">
        <v>2207</v>
      </c>
      <c r="J500">
        <v>1</v>
      </c>
      <c r="K500">
        <v>3</v>
      </c>
      <c r="L500">
        <v>7</v>
      </c>
      <c r="M500">
        <v>11</v>
      </c>
      <c r="N500">
        <v>1</v>
      </c>
    </row>
    <row r="501" spans="1:14" hidden="1" x14ac:dyDescent="0.3">
      <c r="A501">
        <v>2664</v>
      </c>
      <c r="B501">
        <v>77</v>
      </c>
      <c r="C501">
        <v>1100</v>
      </c>
      <c r="D501">
        <v>156</v>
      </c>
      <c r="E501">
        <v>723</v>
      </c>
      <c r="F501">
        <v>326</v>
      </c>
      <c r="G501">
        <v>89</v>
      </c>
      <c r="H501">
        <v>187</v>
      </c>
      <c r="I501">
        <v>2207</v>
      </c>
      <c r="J501">
        <v>1</v>
      </c>
      <c r="K501">
        <v>3</v>
      </c>
      <c r="L501">
        <v>7</v>
      </c>
      <c r="M501">
        <v>11</v>
      </c>
      <c r="N501">
        <v>1</v>
      </c>
    </row>
    <row r="502" spans="1:14" hidden="1" x14ac:dyDescent="0.3">
      <c r="A502">
        <v>1699</v>
      </c>
      <c r="B502">
        <v>77</v>
      </c>
      <c r="C502">
        <v>1189</v>
      </c>
      <c r="D502">
        <v>219</v>
      </c>
      <c r="E502">
        <v>995</v>
      </c>
      <c r="F502">
        <v>0</v>
      </c>
      <c r="G502">
        <v>330</v>
      </c>
      <c r="H502">
        <v>470</v>
      </c>
      <c r="I502">
        <v>2263</v>
      </c>
      <c r="J502">
        <v>6</v>
      </c>
      <c r="K502">
        <v>11</v>
      </c>
      <c r="L502">
        <v>5</v>
      </c>
      <c r="M502">
        <v>9</v>
      </c>
      <c r="N502">
        <v>6</v>
      </c>
    </row>
    <row r="503" spans="1:14" hidden="1" x14ac:dyDescent="0.3">
      <c r="A503">
        <v>2637</v>
      </c>
      <c r="B503">
        <v>77</v>
      </c>
      <c r="C503">
        <v>1339</v>
      </c>
      <c r="D503">
        <v>61</v>
      </c>
      <c r="E503">
        <v>584</v>
      </c>
      <c r="F503">
        <v>81</v>
      </c>
      <c r="G503">
        <v>61</v>
      </c>
      <c r="H503">
        <v>165</v>
      </c>
      <c r="I503">
        <v>1962</v>
      </c>
      <c r="J503">
        <v>2</v>
      </c>
      <c r="K503">
        <v>6</v>
      </c>
      <c r="L503">
        <v>4</v>
      </c>
      <c r="M503">
        <v>12</v>
      </c>
      <c r="N503">
        <v>4</v>
      </c>
    </row>
    <row r="504" spans="1:14" hidden="1" x14ac:dyDescent="0.3">
      <c r="A504">
        <v>1241</v>
      </c>
      <c r="B504">
        <v>77</v>
      </c>
      <c r="C504">
        <v>1509</v>
      </c>
      <c r="D504">
        <v>65</v>
      </c>
      <c r="E504">
        <v>819</v>
      </c>
      <c r="F504">
        <v>104</v>
      </c>
      <c r="G504">
        <v>97</v>
      </c>
      <c r="H504">
        <v>70</v>
      </c>
      <c r="I504">
        <v>2525</v>
      </c>
      <c r="J504">
        <v>5</v>
      </c>
      <c r="K504">
        <v>4</v>
      </c>
      <c r="L504">
        <v>6</v>
      </c>
      <c r="M504">
        <v>11</v>
      </c>
      <c r="N504">
        <v>8</v>
      </c>
    </row>
    <row r="505" spans="1:14" hidden="1" x14ac:dyDescent="0.3">
      <c r="A505">
        <v>1477</v>
      </c>
      <c r="B505">
        <v>77</v>
      </c>
      <c r="C505">
        <v>1876</v>
      </c>
      <c r="D505">
        <v>0</v>
      </c>
      <c r="E505">
        <v>187</v>
      </c>
      <c r="F505">
        <v>27</v>
      </c>
      <c r="G505">
        <v>0</v>
      </c>
      <c r="H505">
        <v>353</v>
      </c>
      <c r="I505">
        <v>1738</v>
      </c>
      <c r="J505">
        <v>4</v>
      </c>
      <c r="K505">
        <v>2</v>
      </c>
      <c r="L505">
        <v>6</v>
      </c>
      <c r="M505">
        <v>3</v>
      </c>
      <c r="N505">
        <v>8</v>
      </c>
    </row>
    <row r="506" spans="1:14" hidden="1" x14ac:dyDescent="0.3">
      <c r="A506">
        <v>3139</v>
      </c>
      <c r="B506">
        <v>77</v>
      </c>
      <c r="C506">
        <v>2315</v>
      </c>
      <c r="D506">
        <v>25</v>
      </c>
      <c r="E506">
        <v>325</v>
      </c>
      <c r="F506">
        <v>33</v>
      </c>
      <c r="G506">
        <v>0</v>
      </c>
      <c r="H506">
        <v>325</v>
      </c>
      <c r="I506">
        <v>2373</v>
      </c>
      <c r="J506">
        <v>1</v>
      </c>
      <c r="K506">
        <v>11</v>
      </c>
      <c r="L506">
        <v>3</v>
      </c>
      <c r="M506">
        <v>12</v>
      </c>
      <c r="N506">
        <v>7</v>
      </c>
    </row>
    <row r="507" spans="1:14" hidden="1" x14ac:dyDescent="0.3">
      <c r="A507">
        <v>1408</v>
      </c>
      <c r="B507">
        <v>77</v>
      </c>
      <c r="C507">
        <v>2666</v>
      </c>
      <c r="D507">
        <v>87</v>
      </c>
      <c r="E507">
        <v>1486</v>
      </c>
      <c r="F507">
        <v>114</v>
      </c>
      <c r="G507">
        <v>0</v>
      </c>
      <c r="H507">
        <v>44</v>
      </c>
      <c r="I507">
        <v>4310</v>
      </c>
      <c r="J507">
        <v>0</v>
      </c>
      <c r="K507">
        <v>7</v>
      </c>
      <c r="L507">
        <v>10</v>
      </c>
      <c r="M507">
        <v>5</v>
      </c>
      <c r="N507">
        <v>2</v>
      </c>
    </row>
    <row r="508" spans="1:14" hidden="1" x14ac:dyDescent="0.3">
      <c r="A508">
        <v>2123</v>
      </c>
      <c r="B508">
        <v>76</v>
      </c>
      <c r="C508">
        <v>6</v>
      </c>
      <c r="D508">
        <v>28</v>
      </c>
      <c r="E508">
        <v>46</v>
      </c>
      <c r="F508">
        <v>23</v>
      </c>
      <c r="G508">
        <v>46</v>
      </c>
      <c r="H508">
        <v>114</v>
      </c>
      <c r="I508">
        <v>34</v>
      </c>
      <c r="J508">
        <v>2</v>
      </c>
      <c r="K508">
        <v>2</v>
      </c>
      <c r="L508">
        <v>1</v>
      </c>
      <c r="M508">
        <v>2</v>
      </c>
      <c r="N508">
        <v>6</v>
      </c>
    </row>
    <row r="509" spans="1:14" hidden="1" x14ac:dyDescent="0.3">
      <c r="A509">
        <v>1824</v>
      </c>
      <c r="B509">
        <v>76</v>
      </c>
      <c r="C509">
        <v>12</v>
      </c>
      <c r="D509">
        <v>86</v>
      </c>
      <c r="E509">
        <v>172</v>
      </c>
      <c r="F509">
        <v>98</v>
      </c>
      <c r="G509">
        <v>18</v>
      </c>
      <c r="H509">
        <v>43</v>
      </c>
      <c r="I509">
        <v>344</v>
      </c>
      <c r="J509">
        <v>4</v>
      </c>
      <c r="K509">
        <v>4</v>
      </c>
      <c r="L509">
        <v>0</v>
      </c>
      <c r="M509">
        <v>3</v>
      </c>
      <c r="N509">
        <v>9</v>
      </c>
    </row>
    <row r="510" spans="1:14" hidden="1" x14ac:dyDescent="0.3">
      <c r="A510">
        <v>1394</v>
      </c>
      <c r="B510">
        <v>76</v>
      </c>
      <c r="C510">
        <v>21</v>
      </c>
      <c r="D510">
        <v>115</v>
      </c>
      <c r="E510">
        <v>58</v>
      </c>
      <c r="F510">
        <v>16</v>
      </c>
      <c r="G510">
        <v>37</v>
      </c>
      <c r="H510">
        <v>168</v>
      </c>
      <c r="I510">
        <v>79</v>
      </c>
      <c r="J510">
        <v>2</v>
      </c>
      <c r="K510">
        <v>3</v>
      </c>
      <c r="L510">
        <v>0</v>
      </c>
      <c r="M510">
        <v>3</v>
      </c>
      <c r="N510">
        <v>8</v>
      </c>
    </row>
    <row r="511" spans="1:14" hidden="1" x14ac:dyDescent="0.3">
      <c r="A511">
        <v>1036</v>
      </c>
      <c r="B511">
        <v>76</v>
      </c>
      <c r="C511">
        <v>31</v>
      </c>
      <c r="D511">
        <v>16</v>
      </c>
      <c r="E511">
        <v>73</v>
      </c>
      <c r="F511">
        <v>78</v>
      </c>
      <c r="G511">
        <v>37</v>
      </c>
      <c r="H511">
        <v>188</v>
      </c>
      <c r="I511">
        <v>47</v>
      </c>
      <c r="J511">
        <v>3</v>
      </c>
      <c r="K511">
        <v>3</v>
      </c>
      <c r="L511">
        <v>1</v>
      </c>
      <c r="M511">
        <v>2</v>
      </c>
      <c r="N511">
        <v>7</v>
      </c>
    </row>
    <row r="512" spans="1:14" hidden="1" x14ac:dyDescent="0.3">
      <c r="A512">
        <v>1509</v>
      </c>
      <c r="B512">
        <v>76</v>
      </c>
      <c r="C512">
        <v>32</v>
      </c>
      <c r="D512">
        <v>16</v>
      </c>
      <c r="E512">
        <v>61</v>
      </c>
      <c r="F512">
        <v>28</v>
      </c>
      <c r="G512">
        <v>24</v>
      </c>
      <c r="H512">
        <v>8</v>
      </c>
      <c r="I512">
        <v>154</v>
      </c>
      <c r="J512">
        <v>1</v>
      </c>
      <c r="K512">
        <v>1</v>
      </c>
      <c r="L512">
        <v>0</v>
      </c>
      <c r="M512">
        <v>3</v>
      </c>
      <c r="N512">
        <v>8</v>
      </c>
    </row>
    <row r="513" spans="1:14" hidden="1" x14ac:dyDescent="0.3">
      <c r="A513">
        <v>2164</v>
      </c>
      <c r="B513">
        <v>76</v>
      </c>
      <c r="C513">
        <v>46</v>
      </c>
      <c r="D513">
        <v>92</v>
      </c>
      <c r="E513">
        <v>23</v>
      </c>
      <c r="F513">
        <v>160</v>
      </c>
      <c r="G513">
        <v>46</v>
      </c>
      <c r="H513">
        <v>306</v>
      </c>
      <c r="I513">
        <v>61</v>
      </c>
      <c r="J513">
        <v>5</v>
      </c>
      <c r="K513">
        <v>2</v>
      </c>
      <c r="L513">
        <v>2</v>
      </c>
      <c r="M513">
        <v>3</v>
      </c>
      <c r="N513">
        <v>5</v>
      </c>
    </row>
    <row r="514" spans="1:14" hidden="1" x14ac:dyDescent="0.3">
      <c r="A514">
        <v>1280</v>
      </c>
      <c r="B514">
        <v>76</v>
      </c>
      <c r="C514">
        <v>56</v>
      </c>
      <c r="D514">
        <v>21</v>
      </c>
      <c r="E514">
        <v>154</v>
      </c>
      <c r="F514">
        <v>147</v>
      </c>
      <c r="G514">
        <v>7</v>
      </c>
      <c r="H514">
        <v>91</v>
      </c>
      <c r="I514">
        <v>295</v>
      </c>
      <c r="J514">
        <v>3</v>
      </c>
      <c r="K514">
        <v>3</v>
      </c>
      <c r="L514">
        <v>0</v>
      </c>
      <c r="M514">
        <v>3</v>
      </c>
      <c r="N514">
        <v>9</v>
      </c>
    </row>
    <row r="515" spans="1:14" hidden="1" x14ac:dyDescent="0.3">
      <c r="A515">
        <v>3175</v>
      </c>
      <c r="B515">
        <v>76</v>
      </c>
      <c r="C515">
        <v>169</v>
      </c>
      <c r="D515">
        <v>0</v>
      </c>
      <c r="E515">
        <v>41</v>
      </c>
      <c r="F515">
        <v>0</v>
      </c>
      <c r="G515">
        <v>0</v>
      </c>
      <c r="H515">
        <v>12</v>
      </c>
      <c r="I515">
        <v>197</v>
      </c>
      <c r="J515">
        <v>4</v>
      </c>
      <c r="K515">
        <v>2</v>
      </c>
      <c r="L515">
        <v>1</v>
      </c>
      <c r="M515">
        <v>3</v>
      </c>
      <c r="N515">
        <v>7</v>
      </c>
    </row>
    <row r="516" spans="1:14" hidden="1" x14ac:dyDescent="0.3">
      <c r="A516">
        <v>1612</v>
      </c>
      <c r="B516">
        <v>76</v>
      </c>
      <c r="C516">
        <v>184</v>
      </c>
      <c r="D516">
        <v>22</v>
      </c>
      <c r="E516">
        <v>577</v>
      </c>
      <c r="F516">
        <v>45</v>
      </c>
      <c r="G516">
        <v>13</v>
      </c>
      <c r="H516">
        <v>13</v>
      </c>
      <c r="I516">
        <v>828</v>
      </c>
      <c r="J516">
        <v>3</v>
      </c>
      <c r="K516">
        <v>4</v>
      </c>
      <c r="L516">
        <v>1</v>
      </c>
      <c r="M516">
        <v>4</v>
      </c>
      <c r="N516">
        <v>9</v>
      </c>
    </row>
    <row r="517" spans="1:14" hidden="1" x14ac:dyDescent="0.3">
      <c r="A517">
        <v>2124</v>
      </c>
      <c r="B517">
        <v>76</v>
      </c>
      <c r="C517">
        <v>224</v>
      </c>
      <c r="D517">
        <v>0</v>
      </c>
      <c r="E517">
        <v>48</v>
      </c>
      <c r="F517">
        <v>0</v>
      </c>
      <c r="G517">
        <v>0</v>
      </c>
      <c r="H517">
        <v>72</v>
      </c>
      <c r="I517">
        <v>200</v>
      </c>
      <c r="J517">
        <v>2</v>
      </c>
      <c r="K517">
        <v>2</v>
      </c>
      <c r="L517">
        <v>0</v>
      </c>
      <c r="M517">
        <v>4</v>
      </c>
      <c r="N517">
        <v>7</v>
      </c>
    </row>
    <row r="518" spans="1:14" hidden="1" x14ac:dyDescent="0.3">
      <c r="A518">
        <v>3106</v>
      </c>
      <c r="B518">
        <v>76</v>
      </c>
      <c r="C518">
        <v>270</v>
      </c>
      <c r="D518">
        <v>31</v>
      </c>
      <c r="E518">
        <v>125</v>
      </c>
      <c r="F518">
        <v>10</v>
      </c>
      <c r="G518">
        <v>31</v>
      </c>
      <c r="H518">
        <v>13</v>
      </c>
      <c r="I518">
        <v>454</v>
      </c>
      <c r="J518">
        <v>1</v>
      </c>
      <c r="K518">
        <v>2</v>
      </c>
      <c r="L518">
        <v>2</v>
      </c>
      <c r="M518">
        <v>5</v>
      </c>
      <c r="N518">
        <v>2</v>
      </c>
    </row>
    <row r="519" spans="1:14" hidden="1" x14ac:dyDescent="0.3">
      <c r="A519">
        <v>1651</v>
      </c>
      <c r="B519">
        <v>76</v>
      </c>
      <c r="C519">
        <v>314</v>
      </c>
      <c r="D519">
        <v>45</v>
      </c>
      <c r="E519">
        <v>105</v>
      </c>
      <c r="F519">
        <v>20</v>
      </c>
      <c r="G519">
        <v>25</v>
      </c>
      <c r="H519">
        <v>51</v>
      </c>
      <c r="I519">
        <v>458</v>
      </c>
      <c r="J519">
        <v>3</v>
      </c>
      <c r="K519">
        <v>3</v>
      </c>
      <c r="L519">
        <v>1</v>
      </c>
      <c r="M519">
        <v>5</v>
      </c>
      <c r="N519">
        <v>3</v>
      </c>
    </row>
    <row r="520" spans="1:14" hidden="1" x14ac:dyDescent="0.3">
      <c r="A520">
        <v>2949</v>
      </c>
      <c r="B520">
        <v>76</v>
      </c>
      <c r="C520">
        <v>314</v>
      </c>
      <c r="D520">
        <v>45</v>
      </c>
      <c r="E520">
        <v>105</v>
      </c>
      <c r="F520">
        <v>20</v>
      </c>
      <c r="G520">
        <v>25</v>
      </c>
      <c r="H520">
        <v>51</v>
      </c>
      <c r="I520">
        <v>458</v>
      </c>
      <c r="J520">
        <v>3</v>
      </c>
      <c r="K520">
        <v>3</v>
      </c>
      <c r="L520">
        <v>1</v>
      </c>
      <c r="M520">
        <v>5</v>
      </c>
      <c r="N520">
        <v>3</v>
      </c>
    </row>
    <row r="521" spans="1:14" hidden="1" x14ac:dyDescent="0.3">
      <c r="A521">
        <v>1923</v>
      </c>
      <c r="B521">
        <v>76</v>
      </c>
      <c r="C521">
        <v>593</v>
      </c>
      <c r="D521">
        <v>217</v>
      </c>
      <c r="E521">
        <v>1345</v>
      </c>
      <c r="F521">
        <v>107</v>
      </c>
      <c r="G521">
        <v>155</v>
      </c>
      <c r="H521">
        <v>217</v>
      </c>
      <c r="I521">
        <v>2199</v>
      </c>
      <c r="J521">
        <v>1</v>
      </c>
      <c r="K521">
        <v>3</v>
      </c>
      <c r="L521">
        <v>2</v>
      </c>
      <c r="M521">
        <v>6</v>
      </c>
      <c r="N521">
        <v>1</v>
      </c>
    </row>
    <row r="522" spans="1:14" hidden="1" x14ac:dyDescent="0.3">
      <c r="A522">
        <v>2524</v>
      </c>
      <c r="B522">
        <v>76</v>
      </c>
      <c r="C522">
        <v>737</v>
      </c>
      <c r="D522">
        <v>88</v>
      </c>
      <c r="E522">
        <v>450</v>
      </c>
      <c r="F522">
        <v>116</v>
      </c>
      <c r="G522">
        <v>148</v>
      </c>
      <c r="H522">
        <v>163</v>
      </c>
      <c r="I522">
        <v>1375</v>
      </c>
      <c r="J522">
        <v>2</v>
      </c>
      <c r="K522">
        <v>8</v>
      </c>
      <c r="L522">
        <v>3</v>
      </c>
      <c r="M522">
        <v>7</v>
      </c>
      <c r="N522">
        <v>7</v>
      </c>
    </row>
    <row r="523" spans="1:14" hidden="1" x14ac:dyDescent="0.3">
      <c r="A523">
        <v>1416</v>
      </c>
      <c r="B523">
        <v>76</v>
      </c>
      <c r="C523">
        <v>1280</v>
      </c>
      <c r="D523">
        <v>117</v>
      </c>
      <c r="E523">
        <v>450</v>
      </c>
      <c r="F523">
        <v>370</v>
      </c>
      <c r="G523">
        <v>236</v>
      </c>
      <c r="H523">
        <v>236</v>
      </c>
      <c r="I523">
        <v>2217</v>
      </c>
      <c r="J523">
        <v>15</v>
      </c>
      <c r="K523">
        <v>9</v>
      </c>
      <c r="L523">
        <v>6</v>
      </c>
      <c r="M523">
        <v>9</v>
      </c>
      <c r="N523">
        <v>7</v>
      </c>
    </row>
    <row r="524" spans="1:14" hidden="1" x14ac:dyDescent="0.3">
      <c r="A524">
        <v>2207</v>
      </c>
      <c r="B524">
        <v>76</v>
      </c>
      <c r="C524">
        <v>1626</v>
      </c>
      <c r="D524">
        <v>39</v>
      </c>
      <c r="E524">
        <v>279</v>
      </c>
      <c r="F524">
        <v>53</v>
      </c>
      <c r="G524">
        <v>18</v>
      </c>
      <c r="H524">
        <v>118</v>
      </c>
      <c r="I524">
        <v>1897</v>
      </c>
      <c r="J524">
        <v>1</v>
      </c>
      <c r="K524">
        <v>11</v>
      </c>
      <c r="L524">
        <v>2</v>
      </c>
      <c r="M524">
        <v>8</v>
      </c>
      <c r="N524">
        <v>6</v>
      </c>
    </row>
    <row r="525" spans="1:14" hidden="1" x14ac:dyDescent="0.3">
      <c r="A525">
        <v>1755</v>
      </c>
      <c r="B525">
        <v>76</v>
      </c>
      <c r="C525">
        <v>1672</v>
      </c>
      <c r="D525">
        <v>31</v>
      </c>
      <c r="E525">
        <v>188</v>
      </c>
      <c r="F525">
        <v>31</v>
      </c>
      <c r="G525">
        <v>31</v>
      </c>
      <c r="H525">
        <v>188</v>
      </c>
      <c r="I525">
        <v>1766</v>
      </c>
      <c r="J525">
        <v>0</v>
      </c>
      <c r="K525">
        <v>0</v>
      </c>
      <c r="L525">
        <v>0</v>
      </c>
      <c r="M525">
        <v>1</v>
      </c>
      <c r="N525">
        <v>20</v>
      </c>
    </row>
    <row r="526" spans="1:14" hidden="1" x14ac:dyDescent="0.3">
      <c r="A526">
        <v>1785</v>
      </c>
      <c r="B526">
        <v>76</v>
      </c>
      <c r="C526">
        <v>3195</v>
      </c>
      <c r="D526">
        <v>132</v>
      </c>
      <c r="E526">
        <v>627</v>
      </c>
      <c r="F526">
        <v>470</v>
      </c>
      <c r="G526">
        <v>178</v>
      </c>
      <c r="H526">
        <v>89</v>
      </c>
      <c r="I526">
        <v>4514</v>
      </c>
      <c r="J526">
        <v>3</v>
      </c>
      <c r="K526">
        <v>2</v>
      </c>
      <c r="L526">
        <v>8</v>
      </c>
      <c r="M526">
        <v>12</v>
      </c>
      <c r="N526">
        <v>8</v>
      </c>
    </row>
    <row r="527" spans="1:14" hidden="1" x14ac:dyDescent="0.3">
      <c r="A527">
        <v>1061</v>
      </c>
      <c r="B527">
        <v>75</v>
      </c>
      <c r="C527">
        <v>5</v>
      </c>
      <c r="D527">
        <v>15</v>
      </c>
      <c r="E527">
        <v>29</v>
      </c>
      <c r="F527">
        <v>15</v>
      </c>
      <c r="G527">
        <v>29</v>
      </c>
      <c r="H527">
        <v>73</v>
      </c>
      <c r="I527">
        <v>20</v>
      </c>
      <c r="J527">
        <v>1</v>
      </c>
      <c r="K527">
        <v>1</v>
      </c>
      <c r="L527">
        <v>1</v>
      </c>
      <c r="M527">
        <v>2</v>
      </c>
      <c r="N527">
        <v>7</v>
      </c>
    </row>
    <row r="528" spans="1:14" hidden="1" x14ac:dyDescent="0.3">
      <c r="A528">
        <v>1406</v>
      </c>
      <c r="B528">
        <v>75</v>
      </c>
      <c r="C528">
        <v>13</v>
      </c>
      <c r="D528">
        <v>13</v>
      </c>
      <c r="E528">
        <v>13</v>
      </c>
      <c r="F528">
        <v>13</v>
      </c>
      <c r="G528">
        <v>6</v>
      </c>
      <c r="H528">
        <v>6</v>
      </c>
      <c r="I528">
        <v>51</v>
      </c>
      <c r="J528">
        <v>1</v>
      </c>
      <c r="K528">
        <v>1</v>
      </c>
      <c r="L528">
        <v>0</v>
      </c>
      <c r="M528">
        <v>2</v>
      </c>
      <c r="N528">
        <v>8</v>
      </c>
    </row>
    <row r="529" spans="1:14" hidden="1" x14ac:dyDescent="0.3">
      <c r="A529">
        <v>2994</v>
      </c>
      <c r="B529">
        <v>75</v>
      </c>
      <c r="C529">
        <v>34</v>
      </c>
      <c r="D529">
        <v>0</v>
      </c>
      <c r="E529">
        <v>22</v>
      </c>
      <c r="F529">
        <v>0</v>
      </c>
      <c r="G529">
        <v>13</v>
      </c>
      <c r="H529">
        <v>26</v>
      </c>
      <c r="I529">
        <v>43</v>
      </c>
      <c r="J529">
        <v>1</v>
      </c>
      <c r="K529">
        <v>0</v>
      </c>
      <c r="L529">
        <v>0</v>
      </c>
      <c r="M529">
        <v>3</v>
      </c>
      <c r="N529">
        <v>8</v>
      </c>
    </row>
    <row r="530" spans="1:14" hidden="1" x14ac:dyDescent="0.3">
      <c r="A530">
        <v>2409</v>
      </c>
      <c r="B530">
        <v>75</v>
      </c>
      <c r="C530">
        <v>35</v>
      </c>
      <c r="D530">
        <v>12</v>
      </c>
      <c r="E530">
        <v>58</v>
      </c>
      <c r="F530">
        <v>8</v>
      </c>
      <c r="G530">
        <v>12</v>
      </c>
      <c r="H530">
        <v>8</v>
      </c>
      <c r="I530">
        <v>116</v>
      </c>
      <c r="J530">
        <v>2</v>
      </c>
      <c r="K530">
        <v>2</v>
      </c>
      <c r="L530">
        <v>0</v>
      </c>
      <c r="M530">
        <v>3</v>
      </c>
      <c r="N530">
        <v>6</v>
      </c>
    </row>
    <row r="531" spans="1:14" hidden="1" x14ac:dyDescent="0.3">
      <c r="A531">
        <v>1272</v>
      </c>
      <c r="B531">
        <v>75</v>
      </c>
      <c r="C531">
        <v>64</v>
      </c>
      <c r="D531">
        <v>26</v>
      </c>
      <c r="E531">
        <v>85</v>
      </c>
      <c r="F531">
        <v>17</v>
      </c>
      <c r="G531">
        <v>21</v>
      </c>
      <c r="H531">
        <v>85</v>
      </c>
      <c r="I531">
        <v>128</v>
      </c>
      <c r="J531">
        <v>1</v>
      </c>
      <c r="K531">
        <v>3</v>
      </c>
      <c r="L531">
        <v>1</v>
      </c>
      <c r="M531">
        <v>2</v>
      </c>
      <c r="N531">
        <v>7</v>
      </c>
    </row>
    <row r="532" spans="1:14" hidden="1" x14ac:dyDescent="0.3">
      <c r="A532">
        <v>1229</v>
      </c>
      <c r="B532">
        <v>75</v>
      </c>
      <c r="C532">
        <v>75</v>
      </c>
      <c r="D532">
        <v>5</v>
      </c>
      <c r="E532">
        <v>38</v>
      </c>
      <c r="F532">
        <v>11</v>
      </c>
      <c r="G532">
        <v>5</v>
      </c>
      <c r="H532">
        <v>5</v>
      </c>
      <c r="I532">
        <v>129</v>
      </c>
      <c r="J532">
        <v>1</v>
      </c>
      <c r="K532">
        <v>2</v>
      </c>
      <c r="L532">
        <v>0</v>
      </c>
      <c r="M532">
        <v>2</v>
      </c>
      <c r="N532">
        <v>9</v>
      </c>
    </row>
    <row r="533" spans="1:14" hidden="1" x14ac:dyDescent="0.3">
      <c r="A533">
        <v>2272</v>
      </c>
      <c r="B533">
        <v>75</v>
      </c>
      <c r="C533">
        <v>75</v>
      </c>
      <c r="D533">
        <v>5</v>
      </c>
      <c r="E533">
        <v>38</v>
      </c>
      <c r="F533">
        <v>11</v>
      </c>
      <c r="G533">
        <v>5</v>
      </c>
      <c r="H533">
        <v>5</v>
      </c>
      <c r="I533">
        <v>129</v>
      </c>
      <c r="J533">
        <v>1</v>
      </c>
      <c r="K533">
        <v>2</v>
      </c>
      <c r="L533">
        <v>0</v>
      </c>
      <c r="M533">
        <v>2</v>
      </c>
      <c r="N533">
        <v>9</v>
      </c>
    </row>
    <row r="534" spans="1:14" hidden="1" x14ac:dyDescent="0.3">
      <c r="A534">
        <v>2418</v>
      </c>
      <c r="B534">
        <v>75</v>
      </c>
      <c r="C534">
        <v>79</v>
      </c>
      <c r="D534">
        <v>0</v>
      </c>
      <c r="E534">
        <v>129</v>
      </c>
      <c r="F534">
        <v>22</v>
      </c>
      <c r="G534">
        <v>28</v>
      </c>
      <c r="H534">
        <v>107</v>
      </c>
      <c r="I534">
        <v>152</v>
      </c>
      <c r="J534">
        <v>3</v>
      </c>
      <c r="K534">
        <v>3</v>
      </c>
      <c r="L534">
        <v>0</v>
      </c>
      <c r="M534">
        <v>3</v>
      </c>
      <c r="N534">
        <v>9</v>
      </c>
    </row>
    <row r="535" spans="1:14" hidden="1" x14ac:dyDescent="0.3">
      <c r="A535">
        <v>1808</v>
      </c>
      <c r="B535">
        <v>75</v>
      </c>
      <c r="C535">
        <v>80</v>
      </c>
      <c r="D535">
        <v>4</v>
      </c>
      <c r="E535">
        <v>29</v>
      </c>
      <c r="F535">
        <v>7</v>
      </c>
      <c r="G535">
        <v>4</v>
      </c>
      <c r="H535">
        <v>7</v>
      </c>
      <c r="I535">
        <v>117</v>
      </c>
      <c r="J535">
        <v>2</v>
      </c>
      <c r="K535">
        <v>1</v>
      </c>
      <c r="L535">
        <v>0</v>
      </c>
      <c r="M535">
        <v>3</v>
      </c>
      <c r="N535">
        <v>8</v>
      </c>
    </row>
    <row r="536" spans="1:14" hidden="1" x14ac:dyDescent="0.3">
      <c r="A536">
        <v>2095</v>
      </c>
      <c r="B536">
        <v>75</v>
      </c>
      <c r="C536">
        <v>136</v>
      </c>
      <c r="D536">
        <v>21</v>
      </c>
      <c r="E536">
        <v>129</v>
      </c>
      <c r="F536">
        <v>21</v>
      </c>
      <c r="G536">
        <v>7</v>
      </c>
      <c r="H536">
        <v>0</v>
      </c>
      <c r="I536">
        <v>314</v>
      </c>
      <c r="J536">
        <v>3</v>
      </c>
      <c r="K536">
        <v>3</v>
      </c>
      <c r="L536">
        <v>0</v>
      </c>
      <c r="M536">
        <v>3</v>
      </c>
      <c r="N536">
        <v>8</v>
      </c>
    </row>
    <row r="537" spans="1:14" hidden="1" x14ac:dyDescent="0.3">
      <c r="A537">
        <v>2405</v>
      </c>
      <c r="B537">
        <v>75</v>
      </c>
      <c r="C537">
        <v>136</v>
      </c>
      <c r="D537">
        <v>360</v>
      </c>
      <c r="E537">
        <v>265</v>
      </c>
      <c r="F537">
        <v>723</v>
      </c>
      <c r="G537">
        <v>66</v>
      </c>
      <c r="H537">
        <v>306</v>
      </c>
      <c r="I537">
        <v>1244</v>
      </c>
      <c r="J537">
        <v>1</v>
      </c>
      <c r="K537">
        <v>6</v>
      </c>
      <c r="L537">
        <v>1</v>
      </c>
      <c r="M537">
        <v>6</v>
      </c>
      <c r="N537">
        <v>7</v>
      </c>
    </row>
    <row r="538" spans="1:14" hidden="1" x14ac:dyDescent="0.3">
      <c r="A538">
        <v>1695</v>
      </c>
      <c r="B538">
        <v>75</v>
      </c>
      <c r="C538">
        <v>296</v>
      </c>
      <c r="D538">
        <v>39</v>
      </c>
      <c r="E538">
        <v>197</v>
      </c>
      <c r="F538">
        <v>129</v>
      </c>
      <c r="G538">
        <v>24</v>
      </c>
      <c r="H538">
        <v>12</v>
      </c>
      <c r="I538">
        <v>673</v>
      </c>
      <c r="J538">
        <v>3</v>
      </c>
      <c r="K538">
        <v>4</v>
      </c>
      <c r="L538">
        <v>1</v>
      </c>
      <c r="M538">
        <v>5</v>
      </c>
      <c r="N538">
        <v>7</v>
      </c>
    </row>
    <row r="539" spans="1:14" hidden="1" x14ac:dyDescent="0.3">
      <c r="A539">
        <v>1659</v>
      </c>
      <c r="B539">
        <v>75</v>
      </c>
      <c r="C539">
        <v>453</v>
      </c>
      <c r="D539">
        <v>196</v>
      </c>
      <c r="E539">
        <v>361</v>
      </c>
      <c r="F539">
        <v>61</v>
      </c>
      <c r="G539">
        <v>104</v>
      </c>
      <c r="H539">
        <v>220</v>
      </c>
      <c r="I539">
        <v>954</v>
      </c>
      <c r="J539">
        <v>1</v>
      </c>
      <c r="K539">
        <v>2</v>
      </c>
      <c r="L539">
        <v>2</v>
      </c>
      <c r="M539">
        <v>12</v>
      </c>
      <c r="N539">
        <v>1</v>
      </c>
    </row>
    <row r="540" spans="1:14" hidden="1" x14ac:dyDescent="0.3">
      <c r="A540">
        <v>1545</v>
      </c>
      <c r="B540">
        <v>75</v>
      </c>
      <c r="C540">
        <v>554</v>
      </c>
      <c r="D540">
        <v>340</v>
      </c>
      <c r="E540">
        <v>2090</v>
      </c>
      <c r="F540">
        <v>129</v>
      </c>
      <c r="G540">
        <v>298</v>
      </c>
      <c r="H540">
        <v>84</v>
      </c>
      <c r="I540">
        <v>3326</v>
      </c>
      <c r="J540">
        <v>0</v>
      </c>
      <c r="K540">
        <v>6</v>
      </c>
      <c r="L540">
        <v>6</v>
      </c>
      <c r="M540">
        <v>7</v>
      </c>
      <c r="N540">
        <v>2</v>
      </c>
    </row>
    <row r="541" spans="1:14" hidden="1" x14ac:dyDescent="0.3">
      <c r="A541">
        <v>1891</v>
      </c>
      <c r="B541">
        <v>75</v>
      </c>
      <c r="C541">
        <v>1374</v>
      </c>
      <c r="D541">
        <v>64</v>
      </c>
      <c r="E541">
        <v>1533</v>
      </c>
      <c r="F541">
        <v>207</v>
      </c>
      <c r="G541">
        <v>64</v>
      </c>
      <c r="H541">
        <v>64</v>
      </c>
      <c r="I541">
        <v>3178</v>
      </c>
      <c r="J541">
        <v>1</v>
      </c>
      <c r="K541">
        <v>3</v>
      </c>
      <c r="L541">
        <v>10</v>
      </c>
      <c r="M541">
        <v>8</v>
      </c>
      <c r="N541">
        <v>1</v>
      </c>
    </row>
    <row r="542" spans="1:14" hidden="1" x14ac:dyDescent="0.3">
      <c r="A542">
        <v>2968</v>
      </c>
      <c r="B542">
        <v>75</v>
      </c>
      <c r="C542">
        <v>2094</v>
      </c>
      <c r="D542">
        <v>68</v>
      </c>
      <c r="E542">
        <v>858</v>
      </c>
      <c r="F542">
        <v>222</v>
      </c>
      <c r="G542">
        <v>206</v>
      </c>
      <c r="H542">
        <v>33</v>
      </c>
      <c r="I542">
        <v>3415</v>
      </c>
      <c r="J542">
        <v>1</v>
      </c>
      <c r="K542">
        <v>5</v>
      </c>
      <c r="L542">
        <v>5</v>
      </c>
      <c r="M542">
        <v>5</v>
      </c>
      <c r="N542">
        <v>5</v>
      </c>
    </row>
    <row r="543" spans="1:14" hidden="1" x14ac:dyDescent="0.3">
      <c r="A543">
        <v>1365</v>
      </c>
      <c r="B543">
        <v>74</v>
      </c>
      <c r="C543">
        <v>18</v>
      </c>
      <c r="D543">
        <v>36</v>
      </c>
      <c r="E543">
        <v>30</v>
      </c>
      <c r="F543">
        <v>0</v>
      </c>
      <c r="G543">
        <v>12</v>
      </c>
      <c r="H543">
        <v>36</v>
      </c>
      <c r="I543">
        <v>60</v>
      </c>
      <c r="J543">
        <v>1</v>
      </c>
      <c r="K543">
        <v>0</v>
      </c>
      <c r="L543">
        <v>0</v>
      </c>
      <c r="M543">
        <v>3</v>
      </c>
      <c r="N543">
        <v>7</v>
      </c>
    </row>
    <row r="544" spans="1:14" hidden="1" x14ac:dyDescent="0.3">
      <c r="A544">
        <v>1643</v>
      </c>
      <c r="B544">
        <v>74</v>
      </c>
      <c r="C544">
        <v>18</v>
      </c>
      <c r="D544">
        <v>36</v>
      </c>
      <c r="E544">
        <v>30</v>
      </c>
      <c r="F544">
        <v>0</v>
      </c>
      <c r="G544">
        <v>12</v>
      </c>
      <c r="H544">
        <v>36</v>
      </c>
      <c r="I544">
        <v>60</v>
      </c>
      <c r="J544">
        <v>1</v>
      </c>
      <c r="K544">
        <v>0</v>
      </c>
      <c r="L544">
        <v>0</v>
      </c>
      <c r="M544">
        <v>3</v>
      </c>
      <c r="N544">
        <v>7</v>
      </c>
    </row>
    <row r="545" spans="1:14" hidden="1" x14ac:dyDescent="0.3">
      <c r="A545">
        <v>1129</v>
      </c>
      <c r="B545">
        <v>74</v>
      </c>
      <c r="C545">
        <v>63</v>
      </c>
      <c r="D545">
        <v>4</v>
      </c>
      <c r="E545">
        <v>45</v>
      </c>
      <c r="F545">
        <v>11</v>
      </c>
      <c r="G545">
        <v>4</v>
      </c>
      <c r="H545">
        <v>15</v>
      </c>
      <c r="I545">
        <v>111</v>
      </c>
      <c r="J545">
        <v>2</v>
      </c>
      <c r="K545">
        <v>2</v>
      </c>
      <c r="L545">
        <v>0</v>
      </c>
      <c r="M545">
        <v>3</v>
      </c>
      <c r="N545">
        <v>7</v>
      </c>
    </row>
    <row r="546" spans="1:14" hidden="1" x14ac:dyDescent="0.3">
      <c r="A546">
        <v>2222</v>
      </c>
      <c r="B546">
        <v>74</v>
      </c>
      <c r="C546">
        <v>124</v>
      </c>
      <c r="D546">
        <v>3</v>
      </c>
      <c r="E546">
        <v>32</v>
      </c>
      <c r="F546">
        <v>8</v>
      </c>
      <c r="G546">
        <v>0</v>
      </c>
      <c r="H546">
        <v>24</v>
      </c>
      <c r="I546">
        <v>143</v>
      </c>
      <c r="J546">
        <v>2</v>
      </c>
      <c r="K546">
        <v>2</v>
      </c>
      <c r="L546">
        <v>0</v>
      </c>
      <c r="M546">
        <v>3</v>
      </c>
      <c r="N546">
        <v>4</v>
      </c>
    </row>
    <row r="547" spans="1:14" hidden="1" x14ac:dyDescent="0.3">
      <c r="A547">
        <v>1278</v>
      </c>
      <c r="B547">
        <v>74</v>
      </c>
      <c r="C547">
        <v>141</v>
      </c>
      <c r="D547">
        <v>0</v>
      </c>
      <c r="E547">
        <v>202</v>
      </c>
      <c r="F547">
        <v>72</v>
      </c>
      <c r="G547">
        <v>29</v>
      </c>
      <c r="H547">
        <v>50</v>
      </c>
      <c r="I547">
        <v>393</v>
      </c>
      <c r="J547">
        <v>3</v>
      </c>
      <c r="K547">
        <v>3</v>
      </c>
      <c r="L547">
        <v>1</v>
      </c>
      <c r="M547">
        <v>3</v>
      </c>
      <c r="N547">
        <v>7</v>
      </c>
    </row>
    <row r="548" spans="1:14" hidden="1" x14ac:dyDescent="0.3">
      <c r="A548">
        <v>3034</v>
      </c>
      <c r="B548">
        <v>74</v>
      </c>
      <c r="C548">
        <v>141</v>
      </c>
      <c r="D548">
        <v>0</v>
      </c>
      <c r="E548">
        <v>202</v>
      </c>
      <c r="F548">
        <v>72</v>
      </c>
      <c r="G548">
        <v>29</v>
      </c>
      <c r="H548">
        <v>50</v>
      </c>
      <c r="I548">
        <v>393</v>
      </c>
      <c r="J548">
        <v>3</v>
      </c>
      <c r="K548">
        <v>3</v>
      </c>
      <c r="L548">
        <v>1</v>
      </c>
      <c r="M548">
        <v>3</v>
      </c>
      <c r="N548">
        <v>7</v>
      </c>
    </row>
    <row r="549" spans="1:14" hidden="1" x14ac:dyDescent="0.3">
      <c r="A549">
        <v>1537</v>
      </c>
      <c r="B549">
        <v>74</v>
      </c>
      <c r="C549">
        <v>164</v>
      </c>
      <c r="D549">
        <v>16</v>
      </c>
      <c r="E549">
        <v>257</v>
      </c>
      <c r="F549">
        <v>104</v>
      </c>
      <c r="G549">
        <v>115</v>
      </c>
      <c r="H549">
        <v>229</v>
      </c>
      <c r="I549">
        <v>426</v>
      </c>
      <c r="J549">
        <v>1</v>
      </c>
      <c r="K549">
        <v>3</v>
      </c>
      <c r="L549">
        <v>2</v>
      </c>
      <c r="M549">
        <v>2</v>
      </c>
      <c r="N549">
        <v>8</v>
      </c>
    </row>
    <row r="550" spans="1:14" hidden="1" x14ac:dyDescent="0.3">
      <c r="A550">
        <v>1804</v>
      </c>
      <c r="B550">
        <v>74</v>
      </c>
      <c r="C550">
        <v>164</v>
      </c>
      <c r="D550">
        <v>16</v>
      </c>
      <c r="E550">
        <v>257</v>
      </c>
      <c r="F550">
        <v>104</v>
      </c>
      <c r="G550">
        <v>115</v>
      </c>
      <c r="H550">
        <v>229</v>
      </c>
      <c r="I550">
        <v>426</v>
      </c>
      <c r="J550">
        <v>1</v>
      </c>
      <c r="K550">
        <v>3</v>
      </c>
      <c r="L550">
        <v>2</v>
      </c>
      <c r="M550">
        <v>2</v>
      </c>
      <c r="N550">
        <v>8</v>
      </c>
    </row>
    <row r="551" spans="1:14" hidden="1" x14ac:dyDescent="0.3">
      <c r="A551">
        <v>1109</v>
      </c>
      <c r="B551">
        <v>74</v>
      </c>
      <c r="C551">
        <v>176</v>
      </c>
      <c r="D551">
        <v>336</v>
      </c>
      <c r="E551">
        <v>351</v>
      </c>
      <c r="F551">
        <v>460</v>
      </c>
      <c r="G551">
        <v>385</v>
      </c>
      <c r="H551">
        <v>448</v>
      </c>
      <c r="I551">
        <v>1259</v>
      </c>
      <c r="J551">
        <v>5</v>
      </c>
      <c r="K551">
        <v>9</v>
      </c>
      <c r="L551">
        <v>1</v>
      </c>
      <c r="M551">
        <v>5</v>
      </c>
      <c r="N551">
        <v>9</v>
      </c>
    </row>
    <row r="552" spans="1:14" hidden="1" x14ac:dyDescent="0.3">
      <c r="A552">
        <v>2491</v>
      </c>
      <c r="B552">
        <v>74</v>
      </c>
      <c r="C552">
        <v>176</v>
      </c>
      <c r="D552">
        <v>150</v>
      </c>
      <c r="E552">
        <v>255</v>
      </c>
      <c r="F552">
        <v>18</v>
      </c>
      <c r="G552">
        <v>59</v>
      </c>
      <c r="H552">
        <v>150</v>
      </c>
      <c r="I552">
        <v>507</v>
      </c>
      <c r="J552">
        <v>2</v>
      </c>
      <c r="K552">
        <v>4</v>
      </c>
      <c r="L552">
        <v>2</v>
      </c>
      <c r="M552">
        <v>4</v>
      </c>
      <c r="N552">
        <v>5</v>
      </c>
    </row>
    <row r="553" spans="1:14" hidden="1" x14ac:dyDescent="0.3">
      <c r="A553">
        <v>2360</v>
      </c>
      <c r="B553">
        <v>74</v>
      </c>
      <c r="C553">
        <v>239</v>
      </c>
      <c r="D553">
        <v>28</v>
      </c>
      <c r="E553">
        <v>97</v>
      </c>
      <c r="F553">
        <v>31</v>
      </c>
      <c r="G553">
        <v>28</v>
      </c>
      <c r="H553">
        <v>80</v>
      </c>
      <c r="I553">
        <v>344</v>
      </c>
      <c r="J553">
        <v>4</v>
      </c>
      <c r="K553">
        <v>3</v>
      </c>
      <c r="L553">
        <v>1</v>
      </c>
      <c r="M553">
        <v>4</v>
      </c>
      <c r="N553">
        <v>6</v>
      </c>
    </row>
    <row r="554" spans="1:14" hidden="1" x14ac:dyDescent="0.3">
      <c r="A554">
        <v>1714</v>
      </c>
      <c r="B554">
        <v>74</v>
      </c>
      <c r="C554">
        <v>463</v>
      </c>
      <c r="D554">
        <v>6</v>
      </c>
      <c r="E554">
        <v>319</v>
      </c>
      <c r="F554">
        <v>23</v>
      </c>
      <c r="G554">
        <v>6</v>
      </c>
      <c r="H554">
        <v>97</v>
      </c>
      <c r="I554">
        <v>721</v>
      </c>
      <c r="J554">
        <v>5</v>
      </c>
      <c r="K554">
        <v>6</v>
      </c>
      <c r="L554">
        <v>1</v>
      </c>
      <c r="M554">
        <v>4</v>
      </c>
      <c r="N554">
        <v>8</v>
      </c>
    </row>
    <row r="555" spans="1:14" hidden="1" x14ac:dyDescent="0.3">
      <c r="A555">
        <v>1594</v>
      </c>
      <c r="B555">
        <v>74</v>
      </c>
      <c r="C555">
        <v>477</v>
      </c>
      <c r="D555">
        <v>61</v>
      </c>
      <c r="E555">
        <v>359</v>
      </c>
      <c r="F555">
        <v>94</v>
      </c>
      <c r="G555">
        <v>85</v>
      </c>
      <c r="H555">
        <v>189</v>
      </c>
      <c r="I555">
        <v>887</v>
      </c>
      <c r="J555">
        <v>2</v>
      </c>
      <c r="K555">
        <v>3</v>
      </c>
      <c r="L555">
        <v>1</v>
      </c>
      <c r="M555">
        <v>6</v>
      </c>
      <c r="N555">
        <v>6</v>
      </c>
    </row>
    <row r="556" spans="1:14" hidden="1" x14ac:dyDescent="0.3">
      <c r="A556">
        <v>1270</v>
      </c>
      <c r="B556">
        <v>74</v>
      </c>
      <c r="C556">
        <v>515</v>
      </c>
      <c r="D556">
        <v>18</v>
      </c>
      <c r="E556">
        <v>376</v>
      </c>
      <c r="F556">
        <v>50</v>
      </c>
      <c r="G556">
        <v>38</v>
      </c>
      <c r="H556">
        <v>167</v>
      </c>
      <c r="I556">
        <v>830</v>
      </c>
      <c r="J556">
        <v>1</v>
      </c>
      <c r="K556">
        <v>5</v>
      </c>
      <c r="L556">
        <v>1</v>
      </c>
      <c r="M556">
        <v>8</v>
      </c>
      <c r="N556">
        <v>2</v>
      </c>
    </row>
    <row r="557" spans="1:14" hidden="1" x14ac:dyDescent="0.3">
      <c r="A557">
        <v>3129</v>
      </c>
      <c r="B557">
        <v>74</v>
      </c>
      <c r="C557">
        <v>580</v>
      </c>
      <c r="D557">
        <v>31</v>
      </c>
      <c r="E557">
        <v>124</v>
      </c>
      <c r="F557">
        <v>10</v>
      </c>
      <c r="G557">
        <v>31</v>
      </c>
      <c r="H557">
        <v>31</v>
      </c>
      <c r="I557">
        <v>745</v>
      </c>
      <c r="J557">
        <v>1</v>
      </c>
      <c r="K557">
        <v>6</v>
      </c>
      <c r="L557">
        <v>2</v>
      </c>
      <c r="M557">
        <v>4</v>
      </c>
      <c r="N557">
        <v>6</v>
      </c>
    </row>
    <row r="558" spans="1:14" hidden="1" x14ac:dyDescent="0.3">
      <c r="A558">
        <v>2292</v>
      </c>
      <c r="B558">
        <v>74</v>
      </c>
      <c r="C558">
        <v>649</v>
      </c>
      <c r="D558">
        <v>16</v>
      </c>
      <c r="E558">
        <v>238</v>
      </c>
      <c r="F558">
        <v>35</v>
      </c>
      <c r="G558">
        <v>16</v>
      </c>
      <c r="H558">
        <v>45</v>
      </c>
      <c r="I558">
        <v>910</v>
      </c>
      <c r="J558">
        <v>3</v>
      </c>
      <c r="K558">
        <v>6</v>
      </c>
      <c r="L558">
        <v>1</v>
      </c>
      <c r="M558">
        <v>5</v>
      </c>
      <c r="N558">
        <v>7</v>
      </c>
    </row>
    <row r="559" spans="1:14" hidden="1" x14ac:dyDescent="0.3">
      <c r="A559">
        <v>2569</v>
      </c>
      <c r="B559">
        <v>74</v>
      </c>
      <c r="C559">
        <v>649</v>
      </c>
      <c r="D559">
        <v>16</v>
      </c>
      <c r="E559">
        <v>238</v>
      </c>
      <c r="F559">
        <v>35</v>
      </c>
      <c r="G559">
        <v>16</v>
      </c>
      <c r="H559">
        <v>45</v>
      </c>
      <c r="I559">
        <v>910</v>
      </c>
      <c r="J559">
        <v>3</v>
      </c>
      <c r="K559">
        <v>6</v>
      </c>
      <c r="L559">
        <v>1</v>
      </c>
      <c r="M559">
        <v>5</v>
      </c>
      <c r="N559">
        <v>7</v>
      </c>
    </row>
    <row r="560" spans="1:14" hidden="1" x14ac:dyDescent="0.3">
      <c r="A560">
        <v>1571</v>
      </c>
      <c r="B560">
        <v>74</v>
      </c>
      <c r="C560">
        <v>691</v>
      </c>
      <c r="D560">
        <v>123</v>
      </c>
      <c r="E560">
        <v>492</v>
      </c>
      <c r="F560">
        <v>141</v>
      </c>
      <c r="G560">
        <v>123</v>
      </c>
      <c r="H560">
        <v>29</v>
      </c>
      <c r="I560">
        <v>1542</v>
      </c>
      <c r="J560">
        <v>2</v>
      </c>
      <c r="K560">
        <v>4</v>
      </c>
      <c r="L560">
        <v>4</v>
      </c>
      <c r="M560">
        <v>10</v>
      </c>
      <c r="N560">
        <v>2</v>
      </c>
    </row>
    <row r="561" spans="1:14" hidden="1" x14ac:dyDescent="0.3">
      <c r="A561">
        <v>2720</v>
      </c>
      <c r="B561">
        <v>74</v>
      </c>
      <c r="C561">
        <v>720</v>
      </c>
      <c r="D561">
        <v>293</v>
      </c>
      <c r="E561">
        <v>1540</v>
      </c>
      <c r="F561">
        <v>60</v>
      </c>
      <c r="G561">
        <v>262</v>
      </c>
      <c r="H561">
        <v>196</v>
      </c>
      <c r="I561">
        <v>2680</v>
      </c>
      <c r="J561">
        <v>1</v>
      </c>
      <c r="K561">
        <v>4</v>
      </c>
      <c r="L561">
        <v>11</v>
      </c>
      <c r="M561">
        <v>7</v>
      </c>
      <c r="N561">
        <v>2</v>
      </c>
    </row>
    <row r="562" spans="1:14" hidden="1" x14ac:dyDescent="0.3">
      <c r="A562">
        <v>2143</v>
      </c>
      <c r="B562">
        <v>74</v>
      </c>
      <c r="C562">
        <v>1224</v>
      </c>
      <c r="D562">
        <v>11</v>
      </c>
      <c r="E562">
        <v>78</v>
      </c>
      <c r="F562">
        <v>0</v>
      </c>
      <c r="G562">
        <v>0</v>
      </c>
      <c r="H562">
        <v>24</v>
      </c>
      <c r="I562">
        <v>1288</v>
      </c>
      <c r="J562">
        <v>1</v>
      </c>
      <c r="K562">
        <v>8</v>
      </c>
      <c r="L562">
        <v>1</v>
      </c>
      <c r="M562">
        <v>7</v>
      </c>
      <c r="N562">
        <v>7</v>
      </c>
    </row>
    <row r="563" spans="1:14" hidden="1" x14ac:dyDescent="0.3">
      <c r="A563">
        <v>2858</v>
      </c>
      <c r="B563">
        <v>74</v>
      </c>
      <c r="C563">
        <v>1507</v>
      </c>
      <c r="D563">
        <v>127</v>
      </c>
      <c r="E563">
        <v>407</v>
      </c>
      <c r="F563">
        <v>112</v>
      </c>
      <c r="G563">
        <v>21</v>
      </c>
      <c r="H563">
        <v>280</v>
      </c>
      <c r="I563">
        <v>1893</v>
      </c>
      <c r="J563">
        <v>1</v>
      </c>
      <c r="K563">
        <v>5</v>
      </c>
      <c r="L563">
        <v>6</v>
      </c>
      <c r="M563">
        <v>11</v>
      </c>
      <c r="N563">
        <v>2</v>
      </c>
    </row>
    <row r="564" spans="1:14" hidden="1" x14ac:dyDescent="0.3">
      <c r="A564">
        <v>2479</v>
      </c>
      <c r="B564">
        <v>74</v>
      </c>
      <c r="C564">
        <v>1535</v>
      </c>
      <c r="D564">
        <v>17</v>
      </c>
      <c r="E564">
        <v>259</v>
      </c>
      <c r="F564">
        <v>23</v>
      </c>
      <c r="G564">
        <v>17</v>
      </c>
      <c r="H564">
        <v>276</v>
      </c>
      <c r="I564">
        <v>1575</v>
      </c>
      <c r="J564">
        <v>13</v>
      </c>
      <c r="K564">
        <v>8</v>
      </c>
      <c r="L564">
        <v>2</v>
      </c>
      <c r="M564">
        <v>9</v>
      </c>
      <c r="N564">
        <v>8</v>
      </c>
    </row>
    <row r="565" spans="1:14" hidden="1" x14ac:dyDescent="0.3">
      <c r="A565">
        <v>1234</v>
      </c>
      <c r="B565">
        <v>74</v>
      </c>
      <c r="C565">
        <v>2158</v>
      </c>
      <c r="D565">
        <v>149</v>
      </c>
      <c r="E565">
        <v>418</v>
      </c>
      <c r="F565">
        <v>310</v>
      </c>
      <c r="G565">
        <v>28</v>
      </c>
      <c r="H565">
        <v>180</v>
      </c>
      <c r="I565">
        <v>2883</v>
      </c>
      <c r="J565">
        <v>2</v>
      </c>
      <c r="K565">
        <v>9</v>
      </c>
      <c r="L565">
        <v>4</v>
      </c>
      <c r="M565">
        <v>6</v>
      </c>
      <c r="N565">
        <v>5</v>
      </c>
    </row>
    <row r="566" spans="1:14" hidden="1" x14ac:dyDescent="0.3">
      <c r="A566">
        <v>2206</v>
      </c>
      <c r="B566">
        <v>74</v>
      </c>
      <c r="C566">
        <v>2221</v>
      </c>
      <c r="D566">
        <v>28</v>
      </c>
      <c r="E566">
        <v>420</v>
      </c>
      <c r="F566">
        <v>110</v>
      </c>
      <c r="G566">
        <v>28</v>
      </c>
      <c r="H566">
        <v>28</v>
      </c>
      <c r="I566">
        <v>2778</v>
      </c>
      <c r="J566">
        <v>2</v>
      </c>
      <c r="K566">
        <v>5</v>
      </c>
      <c r="L566">
        <v>4</v>
      </c>
      <c r="M566">
        <v>9</v>
      </c>
      <c r="N566">
        <v>3</v>
      </c>
    </row>
    <row r="567" spans="1:14" hidden="1" x14ac:dyDescent="0.3">
      <c r="A567">
        <v>2784</v>
      </c>
      <c r="B567">
        <v>74</v>
      </c>
      <c r="C567">
        <v>2493</v>
      </c>
      <c r="D567">
        <v>88</v>
      </c>
      <c r="E567">
        <v>1514</v>
      </c>
      <c r="F567">
        <v>230</v>
      </c>
      <c r="G567">
        <v>222</v>
      </c>
      <c r="H567">
        <v>96</v>
      </c>
      <c r="I567">
        <v>4451</v>
      </c>
      <c r="J567">
        <v>1</v>
      </c>
      <c r="K567">
        <v>3</v>
      </c>
      <c r="L567">
        <v>5</v>
      </c>
      <c r="M567">
        <v>8</v>
      </c>
      <c r="N567">
        <v>3</v>
      </c>
    </row>
    <row r="568" spans="1:14" hidden="1" x14ac:dyDescent="0.3">
      <c r="A568">
        <v>2115</v>
      </c>
      <c r="B568">
        <v>74</v>
      </c>
      <c r="C568">
        <v>2531</v>
      </c>
      <c r="D568">
        <v>327</v>
      </c>
      <c r="E568">
        <v>1779</v>
      </c>
      <c r="F568">
        <v>0</v>
      </c>
      <c r="G568">
        <v>45</v>
      </c>
      <c r="H568">
        <v>92</v>
      </c>
      <c r="I568">
        <v>4589</v>
      </c>
      <c r="J568">
        <v>1</v>
      </c>
      <c r="K568">
        <v>7</v>
      </c>
      <c r="L568">
        <v>5</v>
      </c>
      <c r="M568">
        <v>8</v>
      </c>
      <c r="N568">
        <v>4</v>
      </c>
    </row>
    <row r="569" spans="1:14" hidden="1" x14ac:dyDescent="0.3">
      <c r="A569">
        <v>1871</v>
      </c>
      <c r="B569">
        <v>73</v>
      </c>
      <c r="C569">
        <v>145</v>
      </c>
      <c r="D569">
        <v>12</v>
      </c>
      <c r="E569">
        <v>83</v>
      </c>
      <c r="F569">
        <v>17</v>
      </c>
      <c r="G569">
        <v>4</v>
      </c>
      <c r="H569">
        <v>83</v>
      </c>
      <c r="I569">
        <v>178</v>
      </c>
      <c r="J569">
        <v>2</v>
      </c>
      <c r="K569">
        <v>2</v>
      </c>
      <c r="L569">
        <v>0</v>
      </c>
      <c r="M569">
        <v>3</v>
      </c>
      <c r="N569">
        <v>9</v>
      </c>
    </row>
    <row r="570" spans="1:14" hidden="1" x14ac:dyDescent="0.3">
      <c r="A570">
        <v>2974</v>
      </c>
      <c r="B570">
        <v>73</v>
      </c>
      <c r="C570">
        <v>223</v>
      </c>
      <c r="D570">
        <v>94</v>
      </c>
      <c r="E570">
        <v>166</v>
      </c>
      <c r="F570">
        <v>82</v>
      </c>
      <c r="G570">
        <v>89</v>
      </c>
      <c r="H570">
        <v>166</v>
      </c>
      <c r="I570">
        <v>489</v>
      </c>
      <c r="J570">
        <v>1</v>
      </c>
      <c r="K570">
        <v>4</v>
      </c>
      <c r="L570">
        <v>1</v>
      </c>
      <c r="M570">
        <v>6</v>
      </c>
      <c r="N570">
        <v>3</v>
      </c>
    </row>
    <row r="571" spans="1:14" hidden="1" x14ac:dyDescent="0.3">
      <c r="A571">
        <v>2816</v>
      </c>
      <c r="B571">
        <v>73</v>
      </c>
      <c r="C571">
        <v>364</v>
      </c>
      <c r="D571">
        <v>105</v>
      </c>
      <c r="E571">
        <v>1311</v>
      </c>
      <c r="F571">
        <v>137</v>
      </c>
      <c r="G571">
        <v>157</v>
      </c>
      <c r="H571">
        <v>157</v>
      </c>
      <c r="I571">
        <v>1916</v>
      </c>
      <c r="J571">
        <v>1</v>
      </c>
      <c r="K571">
        <v>3</v>
      </c>
      <c r="L571">
        <v>10</v>
      </c>
      <c r="M571">
        <v>4</v>
      </c>
      <c r="N571">
        <v>2</v>
      </c>
    </row>
    <row r="572" spans="1:14" hidden="1" x14ac:dyDescent="0.3">
      <c r="A572">
        <v>2983</v>
      </c>
      <c r="B572">
        <v>73</v>
      </c>
      <c r="C572">
        <v>447</v>
      </c>
      <c r="D572">
        <v>5</v>
      </c>
      <c r="E572">
        <v>120</v>
      </c>
      <c r="F572">
        <v>42</v>
      </c>
      <c r="G572">
        <v>32</v>
      </c>
      <c r="H572">
        <v>49</v>
      </c>
      <c r="I572">
        <v>596</v>
      </c>
      <c r="J572">
        <v>1</v>
      </c>
      <c r="K572">
        <v>3</v>
      </c>
      <c r="L572">
        <v>1</v>
      </c>
      <c r="M572">
        <v>7</v>
      </c>
      <c r="N572">
        <v>2</v>
      </c>
    </row>
    <row r="573" spans="1:14" hidden="1" x14ac:dyDescent="0.3">
      <c r="A573">
        <v>3187</v>
      </c>
      <c r="B573">
        <v>73</v>
      </c>
      <c r="C573">
        <v>597</v>
      </c>
      <c r="D573">
        <v>10</v>
      </c>
      <c r="E573">
        <v>451</v>
      </c>
      <c r="F573">
        <v>91</v>
      </c>
      <c r="G573">
        <v>84</v>
      </c>
      <c r="H573">
        <v>217</v>
      </c>
      <c r="I573">
        <v>1017</v>
      </c>
      <c r="J573">
        <v>4</v>
      </c>
      <c r="K573">
        <v>6</v>
      </c>
      <c r="L573">
        <v>1</v>
      </c>
      <c r="M573">
        <v>6</v>
      </c>
      <c r="N573">
        <v>7</v>
      </c>
    </row>
    <row r="574" spans="1:14" hidden="1" x14ac:dyDescent="0.3">
      <c r="A574">
        <v>1883</v>
      </c>
      <c r="B574">
        <v>73</v>
      </c>
      <c r="C574">
        <v>607</v>
      </c>
      <c r="D574">
        <v>252</v>
      </c>
      <c r="E574">
        <v>1011</v>
      </c>
      <c r="F574">
        <v>72</v>
      </c>
      <c r="G574">
        <v>100</v>
      </c>
      <c r="H574">
        <v>100</v>
      </c>
      <c r="I574">
        <v>1942</v>
      </c>
      <c r="J574">
        <v>1</v>
      </c>
      <c r="K574">
        <v>4</v>
      </c>
      <c r="L574">
        <v>5</v>
      </c>
      <c r="M574">
        <v>6</v>
      </c>
      <c r="N574">
        <v>2</v>
      </c>
    </row>
    <row r="575" spans="1:14" hidden="1" x14ac:dyDescent="0.3">
      <c r="A575">
        <v>2471</v>
      </c>
      <c r="B575">
        <v>73</v>
      </c>
      <c r="C575">
        <v>624</v>
      </c>
      <c r="D575">
        <v>407</v>
      </c>
      <c r="E575">
        <v>745</v>
      </c>
      <c r="F575">
        <v>531</v>
      </c>
      <c r="G575">
        <v>215</v>
      </c>
      <c r="H575">
        <v>119</v>
      </c>
      <c r="I575">
        <v>2403</v>
      </c>
      <c r="J575">
        <v>2</v>
      </c>
      <c r="K575">
        <v>4</v>
      </c>
      <c r="L575">
        <v>7</v>
      </c>
      <c r="M575">
        <v>13</v>
      </c>
      <c r="N575">
        <v>2</v>
      </c>
    </row>
    <row r="576" spans="1:14" hidden="1" x14ac:dyDescent="0.3">
      <c r="A576">
        <v>2141</v>
      </c>
      <c r="B576">
        <v>73</v>
      </c>
      <c r="C576">
        <v>693</v>
      </c>
      <c r="D576">
        <v>16</v>
      </c>
      <c r="E576">
        <v>91</v>
      </c>
      <c r="F576">
        <v>23</v>
      </c>
      <c r="G576">
        <v>23</v>
      </c>
      <c r="H576">
        <v>133</v>
      </c>
      <c r="I576">
        <v>713</v>
      </c>
      <c r="J576">
        <v>1</v>
      </c>
      <c r="K576">
        <v>4</v>
      </c>
      <c r="L576">
        <v>1</v>
      </c>
      <c r="M576">
        <v>6</v>
      </c>
      <c r="N576">
        <v>5</v>
      </c>
    </row>
    <row r="577" spans="1:14" hidden="1" x14ac:dyDescent="0.3">
      <c r="A577">
        <v>1132</v>
      </c>
      <c r="B577">
        <v>73</v>
      </c>
      <c r="C577">
        <v>862</v>
      </c>
      <c r="D577">
        <v>61</v>
      </c>
      <c r="E577">
        <v>1634</v>
      </c>
      <c r="F577">
        <v>78</v>
      </c>
      <c r="G577">
        <v>86</v>
      </c>
      <c r="H577">
        <v>272</v>
      </c>
      <c r="I577">
        <v>2449</v>
      </c>
      <c r="J577">
        <v>1</v>
      </c>
      <c r="K577">
        <v>5</v>
      </c>
      <c r="L577">
        <v>7</v>
      </c>
      <c r="M577">
        <v>10</v>
      </c>
      <c r="N577">
        <v>2</v>
      </c>
    </row>
    <row r="578" spans="1:14" hidden="1" x14ac:dyDescent="0.3">
      <c r="A578">
        <v>1399</v>
      </c>
      <c r="B578">
        <v>73</v>
      </c>
      <c r="C578">
        <v>1120</v>
      </c>
      <c r="D578">
        <v>0</v>
      </c>
      <c r="E578">
        <v>1370</v>
      </c>
      <c r="F578">
        <v>362</v>
      </c>
      <c r="G578">
        <v>0</v>
      </c>
      <c r="H578">
        <v>28</v>
      </c>
      <c r="I578">
        <v>2823</v>
      </c>
      <c r="J578">
        <v>1</v>
      </c>
      <c r="K578">
        <v>3</v>
      </c>
      <c r="L578">
        <v>5</v>
      </c>
      <c r="M578">
        <v>10</v>
      </c>
      <c r="N578">
        <v>1</v>
      </c>
    </row>
    <row r="579" spans="1:14" hidden="1" x14ac:dyDescent="0.3">
      <c r="A579">
        <v>2971</v>
      </c>
      <c r="B579">
        <v>73</v>
      </c>
      <c r="C579">
        <v>1140</v>
      </c>
      <c r="D579">
        <v>52</v>
      </c>
      <c r="E579">
        <v>265</v>
      </c>
      <c r="F579">
        <v>405</v>
      </c>
      <c r="G579">
        <v>63</v>
      </c>
      <c r="H579">
        <v>100</v>
      </c>
      <c r="I579">
        <v>1826</v>
      </c>
      <c r="J579">
        <v>1</v>
      </c>
      <c r="K579">
        <v>6</v>
      </c>
      <c r="L579">
        <v>5</v>
      </c>
      <c r="M579">
        <v>4</v>
      </c>
      <c r="N579">
        <v>4</v>
      </c>
    </row>
    <row r="580" spans="1:14" hidden="1" x14ac:dyDescent="0.3">
      <c r="A580">
        <v>1598</v>
      </c>
      <c r="B580">
        <v>73</v>
      </c>
      <c r="C580">
        <v>1195</v>
      </c>
      <c r="D580">
        <v>280</v>
      </c>
      <c r="E580">
        <v>762</v>
      </c>
      <c r="F580">
        <v>197</v>
      </c>
      <c r="G580">
        <v>151</v>
      </c>
      <c r="H580">
        <v>126</v>
      </c>
      <c r="I580">
        <v>2458</v>
      </c>
      <c r="J580">
        <v>3</v>
      </c>
      <c r="K580">
        <v>6</v>
      </c>
      <c r="L580">
        <v>3</v>
      </c>
      <c r="M580">
        <v>13</v>
      </c>
      <c r="N580">
        <v>5</v>
      </c>
    </row>
    <row r="581" spans="1:14" hidden="1" x14ac:dyDescent="0.3">
      <c r="A581">
        <v>1536</v>
      </c>
      <c r="B581">
        <v>73</v>
      </c>
      <c r="C581">
        <v>1215</v>
      </c>
      <c r="D581">
        <v>0</v>
      </c>
      <c r="E581">
        <v>64</v>
      </c>
      <c r="F581">
        <v>16</v>
      </c>
      <c r="G581">
        <v>11</v>
      </c>
      <c r="H581">
        <v>90</v>
      </c>
      <c r="I581">
        <v>1215</v>
      </c>
      <c r="J581">
        <v>2</v>
      </c>
      <c r="K581">
        <v>6</v>
      </c>
      <c r="L581">
        <v>2</v>
      </c>
      <c r="M581">
        <v>8</v>
      </c>
      <c r="N581">
        <v>6</v>
      </c>
    </row>
    <row r="582" spans="1:14" hidden="1" x14ac:dyDescent="0.3">
      <c r="A582">
        <v>1672</v>
      </c>
      <c r="B582">
        <v>73</v>
      </c>
      <c r="C582">
        <v>1227</v>
      </c>
      <c r="D582">
        <v>0</v>
      </c>
      <c r="E582">
        <v>590</v>
      </c>
      <c r="F582">
        <v>313</v>
      </c>
      <c r="G582">
        <v>129</v>
      </c>
      <c r="H582">
        <v>261</v>
      </c>
      <c r="I582">
        <v>1999</v>
      </c>
      <c r="J582">
        <v>1</v>
      </c>
      <c r="K582">
        <v>5</v>
      </c>
      <c r="L582">
        <v>3</v>
      </c>
      <c r="M582">
        <v>4</v>
      </c>
      <c r="N582">
        <v>2</v>
      </c>
    </row>
    <row r="583" spans="1:14" hidden="1" x14ac:dyDescent="0.3">
      <c r="A583">
        <v>2250</v>
      </c>
      <c r="B583">
        <v>73</v>
      </c>
      <c r="C583">
        <v>1367</v>
      </c>
      <c r="D583">
        <v>56</v>
      </c>
      <c r="E583">
        <v>1326</v>
      </c>
      <c r="F583">
        <v>95</v>
      </c>
      <c r="G583">
        <v>39</v>
      </c>
      <c r="H583">
        <v>117</v>
      </c>
      <c r="I583">
        <v>2766</v>
      </c>
      <c r="J583">
        <v>1</v>
      </c>
      <c r="K583">
        <v>6</v>
      </c>
      <c r="L583">
        <v>6</v>
      </c>
      <c r="M583">
        <v>6</v>
      </c>
      <c r="N583">
        <v>2</v>
      </c>
    </row>
    <row r="584" spans="1:14" hidden="1" x14ac:dyDescent="0.3">
      <c r="A584">
        <v>2833</v>
      </c>
      <c r="B584">
        <v>73</v>
      </c>
      <c r="C584">
        <v>1715</v>
      </c>
      <c r="D584">
        <v>107</v>
      </c>
      <c r="E584">
        <v>1463</v>
      </c>
      <c r="F584">
        <v>230</v>
      </c>
      <c r="G584">
        <v>141</v>
      </c>
      <c r="H584">
        <v>70</v>
      </c>
      <c r="I584">
        <v>3586</v>
      </c>
      <c r="J584">
        <v>1</v>
      </c>
      <c r="K584">
        <v>2</v>
      </c>
      <c r="L584">
        <v>8</v>
      </c>
      <c r="M584">
        <v>12</v>
      </c>
      <c r="N584">
        <v>1</v>
      </c>
    </row>
    <row r="585" spans="1:14" hidden="1" x14ac:dyDescent="0.3">
      <c r="A585">
        <v>2496</v>
      </c>
      <c r="B585">
        <v>73</v>
      </c>
      <c r="C585">
        <v>1954</v>
      </c>
      <c r="D585">
        <v>238</v>
      </c>
      <c r="E585">
        <v>1554</v>
      </c>
      <c r="F585">
        <v>105</v>
      </c>
      <c r="G585">
        <v>159</v>
      </c>
      <c r="H585">
        <v>118</v>
      </c>
      <c r="I585">
        <v>3892</v>
      </c>
      <c r="J585">
        <v>1</v>
      </c>
      <c r="K585">
        <v>10</v>
      </c>
      <c r="L585">
        <v>2</v>
      </c>
      <c r="M585">
        <v>6</v>
      </c>
      <c r="N585">
        <v>3</v>
      </c>
    </row>
    <row r="586" spans="1:14" hidden="1" x14ac:dyDescent="0.3">
      <c r="A586">
        <v>1900</v>
      </c>
      <c r="B586">
        <v>73</v>
      </c>
      <c r="C586">
        <v>2246</v>
      </c>
      <c r="D586">
        <v>150</v>
      </c>
      <c r="E586">
        <v>1086</v>
      </c>
      <c r="F586">
        <v>342</v>
      </c>
      <c r="G586">
        <v>0</v>
      </c>
      <c r="H586">
        <v>37</v>
      </c>
      <c r="I586">
        <v>3786</v>
      </c>
      <c r="J586">
        <v>1</v>
      </c>
      <c r="K586">
        <v>6</v>
      </c>
      <c r="L586">
        <v>9</v>
      </c>
      <c r="M586">
        <v>9</v>
      </c>
      <c r="N586">
        <v>3</v>
      </c>
    </row>
    <row r="587" spans="1:14" hidden="1" x14ac:dyDescent="0.3">
      <c r="A587">
        <v>1627</v>
      </c>
      <c r="B587">
        <v>73</v>
      </c>
      <c r="C587">
        <v>2746</v>
      </c>
      <c r="D587">
        <v>240</v>
      </c>
      <c r="E587">
        <v>1734</v>
      </c>
      <c r="F587">
        <v>0</v>
      </c>
      <c r="G587">
        <v>96</v>
      </c>
      <c r="H587">
        <v>336</v>
      </c>
      <c r="I587">
        <v>4480</v>
      </c>
      <c r="J587">
        <v>1</v>
      </c>
      <c r="K587">
        <v>4</v>
      </c>
      <c r="L587">
        <v>2</v>
      </c>
      <c r="M587">
        <v>6</v>
      </c>
      <c r="N587">
        <v>2</v>
      </c>
    </row>
    <row r="588" spans="1:14" hidden="1" x14ac:dyDescent="0.3">
      <c r="A588">
        <v>1507</v>
      </c>
      <c r="B588">
        <v>73</v>
      </c>
      <c r="C588">
        <v>3335</v>
      </c>
      <c r="D588">
        <v>80</v>
      </c>
      <c r="E588">
        <v>522</v>
      </c>
      <c r="F588">
        <v>0</v>
      </c>
      <c r="G588">
        <v>80</v>
      </c>
      <c r="H588">
        <v>160</v>
      </c>
      <c r="I588">
        <v>3857</v>
      </c>
      <c r="J588">
        <v>1</v>
      </c>
      <c r="K588">
        <v>2</v>
      </c>
      <c r="L588">
        <v>4</v>
      </c>
      <c r="M588">
        <v>9</v>
      </c>
      <c r="N588">
        <v>6</v>
      </c>
    </row>
    <row r="589" spans="1:14" hidden="1" x14ac:dyDescent="0.3">
      <c r="A589">
        <v>1429</v>
      </c>
      <c r="B589">
        <v>72</v>
      </c>
      <c r="C589">
        <v>0</v>
      </c>
      <c r="D589">
        <v>0</v>
      </c>
      <c r="E589">
        <v>5</v>
      </c>
      <c r="F589">
        <v>11</v>
      </c>
      <c r="G589">
        <v>64</v>
      </c>
      <c r="H589">
        <v>26</v>
      </c>
      <c r="I589">
        <v>53</v>
      </c>
      <c r="J589">
        <v>1</v>
      </c>
      <c r="K589">
        <v>1</v>
      </c>
      <c r="L589">
        <v>0</v>
      </c>
      <c r="M589">
        <v>2</v>
      </c>
      <c r="N589">
        <v>8</v>
      </c>
    </row>
    <row r="590" spans="1:14" hidden="1" x14ac:dyDescent="0.3">
      <c r="A590">
        <v>2824</v>
      </c>
      <c r="B590">
        <v>72</v>
      </c>
      <c r="C590">
        <v>10</v>
      </c>
      <c r="D590">
        <v>40</v>
      </c>
      <c r="E590">
        <v>40</v>
      </c>
      <c r="F590">
        <v>30</v>
      </c>
      <c r="G590">
        <v>5</v>
      </c>
      <c r="H590">
        <v>45</v>
      </c>
      <c r="I590">
        <v>80</v>
      </c>
      <c r="J590">
        <v>2</v>
      </c>
      <c r="K590">
        <v>1</v>
      </c>
      <c r="L590">
        <v>0</v>
      </c>
      <c r="M590">
        <v>3</v>
      </c>
      <c r="N590">
        <v>8</v>
      </c>
    </row>
    <row r="591" spans="1:14" hidden="1" x14ac:dyDescent="0.3">
      <c r="A591">
        <v>2894</v>
      </c>
      <c r="B591">
        <v>72</v>
      </c>
      <c r="C591">
        <v>59</v>
      </c>
      <c r="D591">
        <v>0</v>
      </c>
      <c r="E591">
        <v>16</v>
      </c>
      <c r="F591">
        <v>0</v>
      </c>
      <c r="G591">
        <v>0</v>
      </c>
      <c r="H591">
        <v>8</v>
      </c>
      <c r="I591">
        <v>67</v>
      </c>
      <c r="J591">
        <v>1</v>
      </c>
      <c r="K591">
        <v>1</v>
      </c>
      <c r="L591">
        <v>0</v>
      </c>
      <c r="M591">
        <v>2</v>
      </c>
      <c r="N591">
        <v>7</v>
      </c>
    </row>
    <row r="592" spans="1:14" hidden="1" x14ac:dyDescent="0.3">
      <c r="A592">
        <v>1192</v>
      </c>
      <c r="B592">
        <v>72</v>
      </c>
      <c r="C592">
        <v>76</v>
      </c>
      <c r="D592">
        <v>0</v>
      </c>
      <c r="E592">
        <v>45</v>
      </c>
      <c r="F592">
        <v>0</v>
      </c>
      <c r="G592">
        <v>0</v>
      </c>
      <c r="H592">
        <v>10</v>
      </c>
      <c r="I592">
        <v>111</v>
      </c>
      <c r="J592">
        <v>2</v>
      </c>
      <c r="K592">
        <v>1</v>
      </c>
      <c r="L592">
        <v>0</v>
      </c>
      <c r="M592">
        <v>3</v>
      </c>
      <c r="N592">
        <v>7</v>
      </c>
    </row>
    <row r="593" spans="1:14" hidden="1" x14ac:dyDescent="0.3">
      <c r="A593">
        <v>1531</v>
      </c>
      <c r="B593">
        <v>72</v>
      </c>
      <c r="C593">
        <v>130</v>
      </c>
      <c r="D593">
        <v>22</v>
      </c>
      <c r="E593">
        <v>133</v>
      </c>
      <c r="F593">
        <v>62</v>
      </c>
      <c r="G593">
        <v>37</v>
      </c>
      <c r="H593">
        <v>31</v>
      </c>
      <c r="I593">
        <v>352</v>
      </c>
      <c r="J593">
        <v>1</v>
      </c>
      <c r="K593">
        <v>3</v>
      </c>
      <c r="L593">
        <v>0</v>
      </c>
      <c r="M593">
        <v>4</v>
      </c>
      <c r="N593">
        <v>6</v>
      </c>
    </row>
    <row r="594" spans="1:14" hidden="1" x14ac:dyDescent="0.3">
      <c r="A594">
        <v>3110</v>
      </c>
      <c r="B594">
        <v>72</v>
      </c>
      <c r="C594">
        <v>159</v>
      </c>
      <c r="D594">
        <v>15</v>
      </c>
      <c r="E594">
        <v>44</v>
      </c>
      <c r="F594">
        <v>30</v>
      </c>
      <c r="G594">
        <v>0</v>
      </c>
      <c r="H594">
        <v>100</v>
      </c>
      <c r="I594">
        <v>148</v>
      </c>
      <c r="J594">
        <v>5</v>
      </c>
      <c r="K594">
        <v>2</v>
      </c>
      <c r="L594">
        <v>1</v>
      </c>
      <c r="M594">
        <v>4</v>
      </c>
      <c r="N594">
        <v>5</v>
      </c>
    </row>
    <row r="595" spans="1:14" hidden="1" x14ac:dyDescent="0.3">
      <c r="A595">
        <v>2159</v>
      </c>
      <c r="B595">
        <v>72</v>
      </c>
      <c r="C595">
        <v>198</v>
      </c>
      <c r="D595">
        <v>23</v>
      </c>
      <c r="E595">
        <v>86</v>
      </c>
      <c r="F595">
        <v>0</v>
      </c>
      <c r="G595">
        <v>18</v>
      </c>
      <c r="H595">
        <v>86</v>
      </c>
      <c r="I595">
        <v>239</v>
      </c>
      <c r="J595">
        <v>3</v>
      </c>
      <c r="K595">
        <v>2</v>
      </c>
      <c r="L595">
        <v>0</v>
      </c>
      <c r="M595">
        <v>4</v>
      </c>
      <c r="N595">
        <v>5</v>
      </c>
    </row>
    <row r="596" spans="1:14" hidden="1" x14ac:dyDescent="0.3">
      <c r="A596">
        <v>1425</v>
      </c>
      <c r="B596">
        <v>72</v>
      </c>
      <c r="C596">
        <v>214</v>
      </c>
      <c r="D596">
        <v>78</v>
      </c>
      <c r="E596">
        <v>86</v>
      </c>
      <c r="F596">
        <v>44</v>
      </c>
      <c r="G596">
        <v>0</v>
      </c>
      <c r="H596">
        <v>11</v>
      </c>
      <c r="I596">
        <v>411</v>
      </c>
      <c r="J596">
        <v>2</v>
      </c>
      <c r="K596">
        <v>2</v>
      </c>
      <c r="L596">
        <v>1</v>
      </c>
      <c r="M596">
        <v>5</v>
      </c>
      <c r="N596">
        <v>4</v>
      </c>
    </row>
    <row r="597" spans="1:14" hidden="1" x14ac:dyDescent="0.3">
      <c r="A597">
        <v>1043</v>
      </c>
      <c r="B597">
        <v>72</v>
      </c>
      <c r="C597">
        <v>277</v>
      </c>
      <c r="D597">
        <v>369</v>
      </c>
      <c r="E597">
        <v>599</v>
      </c>
      <c r="F597">
        <v>511</v>
      </c>
      <c r="G597">
        <v>68</v>
      </c>
      <c r="H597">
        <v>392</v>
      </c>
      <c r="I597">
        <v>1432</v>
      </c>
      <c r="J597">
        <v>1</v>
      </c>
      <c r="K597">
        <v>2</v>
      </c>
      <c r="L597">
        <v>4</v>
      </c>
      <c r="M597">
        <v>9</v>
      </c>
      <c r="N597">
        <v>1</v>
      </c>
    </row>
    <row r="598" spans="1:14" hidden="1" x14ac:dyDescent="0.3">
      <c r="A598">
        <v>2756</v>
      </c>
      <c r="B598">
        <v>72</v>
      </c>
      <c r="C598">
        <v>312</v>
      </c>
      <c r="D598">
        <v>3</v>
      </c>
      <c r="E598">
        <v>70</v>
      </c>
      <c r="F598">
        <v>0</v>
      </c>
      <c r="G598">
        <v>13</v>
      </c>
      <c r="H598">
        <v>84</v>
      </c>
      <c r="I598">
        <v>315</v>
      </c>
      <c r="J598">
        <v>3</v>
      </c>
      <c r="K598">
        <v>2</v>
      </c>
      <c r="L598">
        <v>1</v>
      </c>
      <c r="M598">
        <v>4</v>
      </c>
      <c r="N598">
        <v>5</v>
      </c>
    </row>
    <row r="599" spans="1:14" hidden="1" x14ac:dyDescent="0.3">
      <c r="A599">
        <v>1998</v>
      </c>
      <c r="B599">
        <v>72</v>
      </c>
      <c r="C599">
        <v>361</v>
      </c>
      <c r="D599">
        <v>11</v>
      </c>
      <c r="E599">
        <v>208</v>
      </c>
      <c r="F599">
        <v>43</v>
      </c>
      <c r="G599">
        <v>17</v>
      </c>
      <c r="H599">
        <v>31</v>
      </c>
      <c r="I599">
        <v>609</v>
      </c>
      <c r="J599">
        <v>1</v>
      </c>
      <c r="K599">
        <v>2</v>
      </c>
      <c r="L599">
        <v>1</v>
      </c>
      <c r="M599">
        <v>7</v>
      </c>
      <c r="N599">
        <v>2</v>
      </c>
    </row>
    <row r="600" spans="1:14" hidden="1" x14ac:dyDescent="0.3">
      <c r="A600">
        <v>1511</v>
      </c>
      <c r="B600">
        <v>72</v>
      </c>
      <c r="C600">
        <v>421</v>
      </c>
      <c r="D600">
        <v>45</v>
      </c>
      <c r="E600">
        <v>457</v>
      </c>
      <c r="F600">
        <v>200</v>
      </c>
      <c r="G600">
        <v>93</v>
      </c>
      <c r="H600">
        <v>105</v>
      </c>
      <c r="I600">
        <v>1111</v>
      </c>
      <c r="J600">
        <v>1</v>
      </c>
      <c r="K600">
        <v>4</v>
      </c>
      <c r="L600">
        <v>4</v>
      </c>
      <c r="M600">
        <v>6</v>
      </c>
      <c r="N600">
        <v>3</v>
      </c>
    </row>
    <row r="601" spans="1:14" hidden="1" x14ac:dyDescent="0.3">
      <c r="A601">
        <v>2236</v>
      </c>
      <c r="B601">
        <v>72</v>
      </c>
      <c r="C601">
        <v>824</v>
      </c>
      <c r="D601">
        <v>0</v>
      </c>
      <c r="E601">
        <v>245</v>
      </c>
      <c r="F601">
        <v>11</v>
      </c>
      <c r="G601">
        <v>31</v>
      </c>
      <c r="H601">
        <v>65</v>
      </c>
      <c r="I601">
        <v>1046</v>
      </c>
      <c r="J601">
        <v>4</v>
      </c>
      <c r="K601">
        <v>7</v>
      </c>
      <c r="L601">
        <v>2</v>
      </c>
      <c r="M601">
        <v>5</v>
      </c>
      <c r="N601">
        <v>7</v>
      </c>
    </row>
    <row r="602" spans="1:14" hidden="1" x14ac:dyDescent="0.3">
      <c r="A602">
        <v>1619</v>
      </c>
      <c r="B602">
        <v>72</v>
      </c>
      <c r="C602">
        <v>845</v>
      </c>
      <c r="D602">
        <v>44</v>
      </c>
      <c r="E602">
        <v>1556</v>
      </c>
      <c r="F602">
        <v>83</v>
      </c>
      <c r="G602">
        <v>118</v>
      </c>
      <c r="H602">
        <v>356</v>
      </c>
      <c r="I602">
        <v>2289</v>
      </c>
      <c r="J602">
        <v>1</v>
      </c>
      <c r="K602">
        <v>9</v>
      </c>
      <c r="L602">
        <v>11</v>
      </c>
      <c r="M602">
        <v>11</v>
      </c>
      <c r="N602">
        <v>5</v>
      </c>
    </row>
    <row r="603" spans="1:14" hidden="1" x14ac:dyDescent="0.3">
      <c r="A603">
        <v>1795</v>
      </c>
      <c r="B603">
        <v>72</v>
      </c>
      <c r="C603">
        <v>857</v>
      </c>
      <c r="D603">
        <v>153</v>
      </c>
      <c r="E603">
        <v>1561</v>
      </c>
      <c r="F603">
        <v>159</v>
      </c>
      <c r="G603">
        <v>336</v>
      </c>
      <c r="H603">
        <v>63</v>
      </c>
      <c r="I603">
        <v>3002</v>
      </c>
      <c r="J603">
        <v>0</v>
      </c>
      <c r="K603">
        <v>5</v>
      </c>
      <c r="L603">
        <v>5</v>
      </c>
      <c r="M603">
        <v>12</v>
      </c>
      <c r="N603">
        <v>1</v>
      </c>
    </row>
    <row r="604" spans="1:14" hidden="1" x14ac:dyDescent="0.3">
      <c r="A604">
        <v>1120</v>
      </c>
      <c r="B604">
        <v>72</v>
      </c>
      <c r="C604">
        <v>1128</v>
      </c>
      <c r="D604">
        <v>44</v>
      </c>
      <c r="E604">
        <v>252</v>
      </c>
      <c r="F604">
        <v>37</v>
      </c>
      <c r="G604">
        <v>28</v>
      </c>
      <c r="H604">
        <v>28</v>
      </c>
      <c r="I604">
        <v>1460</v>
      </c>
      <c r="J604">
        <v>4</v>
      </c>
      <c r="K604">
        <v>6</v>
      </c>
      <c r="L604">
        <v>3</v>
      </c>
      <c r="M604">
        <v>10</v>
      </c>
      <c r="N604">
        <v>4</v>
      </c>
    </row>
    <row r="605" spans="1:14" hidden="1" x14ac:dyDescent="0.3">
      <c r="A605">
        <v>1794</v>
      </c>
      <c r="B605">
        <v>72</v>
      </c>
      <c r="C605">
        <v>1138</v>
      </c>
      <c r="D605">
        <v>0</v>
      </c>
      <c r="E605">
        <v>692</v>
      </c>
      <c r="F605">
        <v>261</v>
      </c>
      <c r="G605">
        <v>200</v>
      </c>
      <c r="H605">
        <v>200</v>
      </c>
      <c r="I605">
        <v>2091</v>
      </c>
      <c r="J605">
        <v>6</v>
      </c>
      <c r="K605">
        <v>5</v>
      </c>
      <c r="L605">
        <v>7</v>
      </c>
      <c r="M605">
        <v>9</v>
      </c>
      <c r="N605">
        <v>4</v>
      </c>
    </row>
    <row r="606" spans="1:14" hidden="1" x14ac:dyDescent="0.3">
      <c r="A606">
        <v>2672</v>
      </c>
      <c r="B606">
        <v>72</v>
      </c>
      <c r="C606">
        <v>1146</v>
      </c>
      <c r="D606">
        <v>45</v>
      </c>
      <c r="E606">
        <v>274</v>
      </c>
      <c r="F606">
        <v>56</v>
      </c>
      <c r="G606">
        <v>43</v>
      </c>
      <c r="H606">
        <v>43</v>
      </c>
      <c r="I606">
        <v>1521</v>
      </c>
      <c r="J606">
        <v>0</v>
      </c>
      <c r="K606">
        <v>4</v>
      </c>
      <c r="L606">
        <v>2</v>
      </c>
      <c r="M606">
        <v>5</v>
      </c>
      <c r="N606">
        <v>1</v>
      </c>
    </row>
    <row r="607" spans="1:14" hidden="1" x14ac:dyDescent="0.3">
      <c r="A607">
        <v>2740</v>
      </c>
      <c r="B607">
        <v>72</v>
      </c>
      <c r="C607">
        <v>1158</v>
      </c>
      <c r="D607">
        <v>177</v>
      </c>
      <c r="E607">
        <v>622</v>
      </c>
      <c r="F607">
        <v>232</v>
      </c>
      <c r="G607">
        <v>87</v>
      </c>
      <c r="H607">
        <v>154</v>
      </c>
      <c r="I607">
        <v>2121</v>
      </c>
      <c r="J607">
        <v>3</v>
      </c>
      <c r="K607">
        <v>9</v>
      </c>
      <c r="L607">
        <v>2</v>
      </c>
      <c r="M607">
        <v>12</v>
      </c>
      <c r="N607">
        <v>6</v>
      </c>
    </row>
    <row r="608" spans="1:14" hidden="1" x14ac:dyDescent="0.3">
      <c r="A608">
        <v>2787</v>
      </c>
      <c r="B608">
        <v>72</v>
      </c>
      <c r="C608">
        <v>1289</v>
      </c>
      <c r="D608">
        <v>18</v>
      </c>
      <c r="E608">
        <v>523</v>
      </c>
      <c r="F608">
        <v>52</v>
      </c>
      <c r="G608">
        <v>140</v>
      </c>
      <c r="H608">
        <v>38</v>
      </c>
      <c r="I608">
        <v>1984</v>
      </c>
      <c r="J608">
        <v>1</v>
      </c>
      <c r="K608">
        <v>4</v>
      </c>
      <c r="L608">
        <v>3</v>
      </c>
      <c r="M608">
        <v>6</v>
      </c>
      <c r="N608">
        <v>1</v>
      </c>
    </row>
    <row r="609" spans="1:14" hidden="1" x14ac:dyDescent="0.3">
      <c r="A609">
        <v>2179</v>
      </c>
      <c r="B609">
        <v>72</v>
      </c>
      <c r="C609">
        <v>1305</v>
      </c>
      <c r="D609">
        <v>18</v>
      </c>
      <c r="E609">
        <v>591</v>
      </c>
      <c r="F609">
        <v>78</v>
      </c>
      <c r="G609">
        <v>80</v>
      </c>
      <c r="H609">
        <v>182</v>
      </c>
      <c r="I609">
        <v>1889</v>
      </c>
      <c r="J609">
        <v>1</v>
      </c>
      <c r="K609">
        <v>3</v>
      </c>
      <c r="L609">
        <v>5</v>
      </c>
      <c r="M609">
        <v>5</v>
      </c>
      <c r="N609">
        <v>1</v>
      </c>
    </row>
    <row r="610" spans="1:14" hidden="1" x14ac:dyDescent="0.3">
      <c r="A610">
        <v>1088</v>
      </c>
      <c r="B610">
        <v>72</v>
      </c>
      <c r="C610">
        <v>1559</v>
      </c>
      <c r="D610">
        <v>0</v>
      </c>
      <c r="E610">
        <v>80</v>
      </c>
      <c r="F610">
        <v>0</v>
      </c>
      <c r="G610">
        <v>0</v>
      </c>
      <c r="H610">
        <v>232</v>
      </c>
      <c r="I610">
        <v>1408</v>
      </c>
      <c r="J610">
        <v>5</v>
      </c>
      <c r="K610">
        <v>7</v>
      </c>
      <c r="L610">
        <v>4</v>
      </c>
      <c r="M610">
        <v>6</v>
      </c>
      <c r="N610">
        <v>6</v>
      </c>
    </row>
    <row r="611" spans="1:14" hidden="1" x14ac:dyDescent="0.3">
      <c r="A611">
        <v>2763</v>
      </c>
      <c r="B611">
        <v>72</v>
      </c>
      <c r="C611">
        <v>1586</v>
      </c>
      <c r="D611">
        <v>56</v>
      </c>
      <c r="E611">
        <v>338</v>
      </c>
      <c r="F611">
        <v>590</v>
      </c>
      <c r="G611">
        <v>397</v>
      </c>
      <c r="H611">
        <v>338</v>
      </c>
      <c r="I611">
        <v>2628</v>
      </c>
      <c r="J611">
        <v>13</v>
      </c>
      <c r="K611">
        <v>2</v>
      </c>
      <c r="L611">
        <v>2</v>
      </c>
      <c r="M611">
        <v>12</v>
      </c>
      <c r="N611">
        <v>8</v>
      </c>
    </row>
    <row r="612" spans="1:14" hidden="1" x14ac:dyDescent="0.3">
      <c r="A612">
        <v>1216</v>
      </c>
      <c r="B612">
        <v>72</v>
      </c>
      <c r="C612">
        <v>1783</v>
      </c>
      <c r="D612">
        <v>194</v>
      </c>
      <c r="E612">
        <v>1666</v>
      </c>
      <c r="F612">
        <v>151</v>
      </c>
      <c r="G612">
        <v>115</v>
      </c>
      <c r="H612">
        <v>38</v>
      </c>
      <c r="I612">
        <v>3870</v>
      </c>
      <c r="J612">
        <v>1</v>
      </c>
      <c r="K612">
        <v>3</v>
      </c>
      <c r="L612">
        <v>5</v>
      </c>
      <c r="M612">
        <v>8</v>
      </c>
      <c r="N612">
        <v>2</v>
      </c>
    </row>
    <row r="613" spans="1:14" hidden="1" x14ac:dyDescent="0.3">
      <c r="A613">
        <v>2354</v>
      </c>
      <c r="B613">
        <v>72</v>
      </c>
      <c r="C613">
        <v>1914</v>
      </c>
      <c r="D613">
        <v>22</v>
      </c>
      <c r="E613">
        <v>464</v>
      </c>
      <c r="F613">
        <v>31</v>
      </c>
      <c r="G613">
        <v>22</v>
      </c>
      <c r="H613">
        <v>244</v>
      </c>
      <c r="I613">
        <v>2209</v>
      </c>
      <c r="J613">
        <v>5</v>
      </c>
      <c r="K613">
        <v>8</v>
      </c>
      <c r="L613">
        <v>4</v>
      </c>
      <c r="M613">
        <v>11</v>
      </c>
      <c r="N613">
        <v>6</v>
      </c>
    </row>
    <row r="614" spans="1:14" hidden="1" x14ac:dyDescent="0.3">
      <c r="A614">
        <v>2807</v>
      </c>
      <c r="B614">
        <v>72</v>
      </c>
      <c r="C614">
        <v>1940</v>
      </c>
      <c r="D614">
        <v>48</v>
      </c>
      <c r="E614">
        <v>402</v>
      </c>
      <c r="F614">
        <v>65</v>
      </c>
      <c r="G614">
        <v>74</v>
      </c>
      <c r="H614">
        <v>99</v>
      </c>
      <c r="I614">
        <v>2430</v>
      </c>
      <c r="J614">
        <v>8</v>
      </c>
      <c r="K614">
        <v>6</v>
      </c>
      <c r="L614">
        <v>4</v>
      </c>
      <c r="M614">
        <v>13</v>
      </c>
      <c r="N614">
        <v>6</v>
      </c>
    </row>
    <row r="615" spans="1:14" hidden="1" x14ac:dyDescent="0.3">
      <c r="A615">
        <v>1476</v>
      </c>
      <c r="B615">
        <v>72</v>
      </c>
      <c r="C615">
        <v>2276</v>
      </c>
      <c r="D615">
        <v>46</v>
      </c>
      <c r="E615">
        <v>901</v>
      </c>
      <c r="F615">
        <v>556</v>
      </c>
      <c r="G615">
        <v>116</v>
      </c>
      <c r="H615">
        <v>93</v>
      </c>
      <c r="I615">
        <v>3802</v>
      </c>
      <c r="J615">
        <v>1</v>
      </c>
      <c r="K615">
        <v>3</v>
      </c>
      <c r="L615">
        <v>5</v>
      </c>
      <c r="M615">
        <v>13</v>
      </c>
      <c r="N615">
        <v>6</v>
      </c>
    </row>
    <row r="616" spans="1:14" hidden="1" x14ac:dyDescent="0.3">
      <c r="A616">
        <v>1382</v>
      </c>
      <c r="B616">
        <v>71</v>
      </c>
      <c r="C616">
        <v>11</v>
      </c>
      <c r="D616">
        <v>0</v>
      </c>
      <c r="E616">
        <v>32</v>
      </c>
      <c r="F616">
        <v>42</v>
      </c>
      <c r="G616">
        <v>32</v>
      </c>
      <c r="H616">
        <v>26</v>
      </c>
      <c r="I616">
        <v>90</v>
      </c>
      <c r="J616">
        <v>1</v>
      </c>
      <c r="K616">
        <v>1</v>
      </c>
      <c r="L616">
        <v>0</v>
      </c>
      <c r="M616">
        <v>3</v>
      </c>
      <c r="N616">
        <v>7</v>
      </c>
    </row>
    <row r="617" spans="1:14" hidden="1" x14ac:dyDescent="0.3">
      <c r="A617">
        <v>1850</v>
      </c>
      <c r="B617">
        <v>71</v>
      </c>
      <c r="C617">
        <v>17</v>
      </c>
      <c r="D617">
        <v>51</v>
      </c>
      <c r="E617">
        <v>64</v>
      </c>
      <c r="F617">
        <v>81</v>
      </c>
      <c r="G617">
        <v>30</v>
      </c>
      <c r="H617">
        <v>51</v>
      </c>
      <c r="I617">
        <v>192</v>
      </c>
      <c r="J617">
        <v>2</v>
      </c>
      <c r="K617">
        <v>2</v>
      </c>
      <c r="L617">
        <v>0</v>
      </c>
      <c r="M617">
        <v>3</v>
      </c>
      <c r="N617">
        <v>7</v>
      </c>
    </row>
    <row r="618" spans="1:14" hidden="1" x14ac:dyDescent="0.3">
      <c r="A618">
        <v>3168</v>
      </c>
      <c r="B618">
        <v>71</v>
      </c>
      <c r="C618">
        <v>36</v>
      </c>
      <c r="D618">
        <v>79</v>
      </c>
      <c r="E618">
        <v>115</v>
      </c>
      <c r="F618">
        <v>151</v>
      </c>
      <c r="G618">
        <v>57</v>
      </c>
      <c r="H618">
        <v>323</v>
      </c>
      <c r="I618">
        <v>115</v>
      </c>
      <c r="J618">
        <v>2</v>
      </c>
      <c r="K618">
        <v>2</v>
      </c>
      <c r="L618">
        <v>2</v>
      </c>
      <c r="M618">
        <v>2</v>
      </c>
      <c r="N618">
        <v>8</v>
      </c>
    </row>
    <row r="619" spans="1:14" hidden="1" x14ac:dyDescent="0.3">
      <c r="A619">
        <v>1383</v>
      </c>
      <c r="B619">
        <v>71</v>
      </c>
      <c r="C619">
        <v>47</v>
      </c>
      <c r="D619">
        <v>32</v>
      </c>
      <c r="E619">
        <v>71</v>
      </c>
      <c r="F619">
        <v>47</v>
      </c>
      <c r="G619">
        <v>284</v>
      </c>
      <c r="H619">
        <v>276</v>
      </c>
      <c r="I619">
        <v>205</v>
      </c>
      <c r="J619">
        <v>4</v>
      </c>
      <c r="K619">
        <v>2</v>
      </c>
      <c r="L619">
        <v>2</v>
      </c>
      <c r="M619">
        <v>3</v>
      </c>
      <c r="N619">
        <v>7</v>
      </c>
    </row>
    <row r="620" spans="1:14" hidden="1" x14ac:dyDescent="0.3">
      <c r="A620">
        <v>1724</v>
      </c>
      <c r="B620">
        <v>71</v>
      </c>
      <c r="C620">
        <v>47</v>
      </c>
      <c r="D620">
        <v>39</v>
      </c>
      <c r="E620">
        <v>86</v>
      </c>
      <c r="F620">
        <v>47</v>
      </c>
      <c r="G620">
        <v>29</v>
      </c>
      <c r="H620">
        <v>143</v>
      </c>
      <c r="I620">
        <v>104</v>
      </c>
      <c r="J620">
        <v>2</v>
      </c>
      <c r="K620">
        <v>3</v>
      </c>
      <c r="L620">
        <v>0</v>
      </c>
      <c r="M620">
        <v>4</v>
      </c>
      <c r="N620">
        <v>6</v>
      </c>
    </row>
    <row r="621" spans="1:14" hidden="1" x14ac:dyDescent="0.3">
      <c r="A621">
        <v>2849</v>
      </c>
      <c r="B621">
        <v>71</v>
      </c>
      <c r="C621">
        <v>54</v>
      </c>
      <c r="D621">
        <v>30</v>
      </c>
      <c r="E621">
        <v>9</v>
      </c>
      <c r="F621">
        <v>9</v>
      </c>
      <c r="G621">
        <v>15</v>
      </c>
      <c r="H621">
        <v>0</v>
      </c>
      <c r="I621">
        <v>118</v>
      </c>
      <c r="J621">
        <v>1</v>
      </c>
      <c r="K621">
        <v>1</v>
      </c>
      <c r="L621">
        <v>0</v>
      </c>
      <c r="M621">
        <v>3</v>
      </c>
      <c r="N621">
        <v>2</v>
      </c>
    </row>
    <row r="622" spans="1:14" hidden="1" x14ac:dyDescent="0.3">
      <c r="A622">
        <v>1782</v>
      </c>
      <c r="B622">
        <v>71</v>
      </c>
      <c r="C622">
        <v>59</v>
      </c>
      <c r="D622">
        <v>3</v>
      </c>
      <c r="E622">
        <v>31</v>
      </c>
      <c r="F622">
        <v>6</v>
      </c>
      <c r="G622">
        <v>3</v>
      </c>
      <c r="H622">
        <v>25</v>
      </c>
      <c r="I622">
        <v>78</v>
      </c>
      <c r="J622">
        <v>1</v>
      </c>
      <c r="K622">
        <v>1</v>
      </c>
      <c r="L622">
        <v>0</v>
      </c>
      <c r="M622">
        <v>3</v>
      </c>
      <c r="N622">
        <v>5</v>
      </c>
    </row>
    <row r="623" spans="1:14" hidden="1" x14ac:dyDescent="0.3">
      <c r="A623">
        <v>2845</v>
      </c>
      <c r="B623">
        <v>71</v>
      </c>
      <c r="C623">
        <v>62</v>
      </c>
      <c r="D623">
        <v>10</v>
      </c>
      <c r="E623">
        <v>71</v>
      </c>
      <c r="F623">
        <v>10</v>
      </c>
      <c r="G623">
        <v>10</v>
      </c>
      <c r="H623">
        <v>38</v>
      </c>
      <c r="I623">
        <v>124</v>
      </c>
      <c r="J623">
        <v>2</v>
      </c>
      <c r="K623">
        <v>2</v>
      </c>
      <c r="L623">
        <v>0</v>
      </c>
      <c r="M623">
        <v>3</v>
      </c>
      <c r="N623">
        <v>6</v>
      </c>
    </row>
    <row r="624" spans="1:14" hidden="1" x14ac:dyDescent="0.3">
      <c r="A624">
        <v>1841</v>
      </c>
      <c r="B624">
        <v>71</v>
      </c>
      <c r="C624">
        <v>69</v>
      </c>
      <c r="D624">
        <v>11</v>
      </c>
      <c r="E624">
        <v>95</v>
      </c>
      <c r="F624">
        <v>32</v>
      </c>
      <c r="G624">
        <v>5</v>
      </c>
      <c r="H624">
        <v>0</v>
      </c>
      <c r="I624">
        <v>212</v>
      </c>
      <c r="J624">
        <v>2</v>
      </c>
      <c r="K624">
        <v>2</v>
      </c>
      <c r="L624">
        <v>0</v>
      </c>
      <c r="M624">
        <v>3</v>
      </c>
      <c r="N624">
        <v>8</v>
      </c>
    </row>
    <row r="625" spans="1:14" hidden="1" x14ac:dyDescent="0.3">
      <c r="A625">
        <v>2642</v>
      </c>
      <c r="B625">
        <v>71</v>
      </c>
      <c r="C625">
        <v>78</v>
      </c>
      <c r="D625">
        <v>19</v>
      </c>
      <c r="E625">
        <v>11</v>
      </c>
      <c r="F625">
        <v>37</v>
      </c>
      <c r="G625">
        <v>4</v>
      </c>
      <c r="H625">
        <v>26</v>
      </c>
      <c r="I625">
        <v>123</v>
      </c>
      <c r="J625">
        <v>3</v>
      </c>
      <c r="K625">
        <v>1</v>
      </c>
      <c r="L625">
        <v>1</v>
      </c>
      <c r="M625">
        <v>4</v>
      </c>
      <c r="N625">
        <v>2</v>
      </c>
    </row>
    <row r="626" spans="1:14" hidden="1" x14ac:dyDescent="0.3">
      <c r="A626">
        <v>1636</v>
      </c>
      <c r="B626">
        <v>71</v>
      </c>
      <c r="C626">
        <v>89</v>
      </c>
      <c r="D626">
        <v>6</v>
      </c>
      <c r="E626">
        <v>74</v>
      </c>
      <c r="F626">
        <v>0</v>
      </c>
      <c r="G626">
        <v>3</v>
      </c>
      <c r="H626">
        <v>27</v>
      </c>
      <c r="I626">
        <v>146</v>
      </c>
      <c r="J626">
        <v>1</v>
      </c>
      <c r="K626">
        <v>1</v>
      </c>
      <c r="L626">
        <v>1</v>
      </c>
      <c r="M626">
        <v>4</v>
      </c>
      <c r="N626">
        <v>2</v>
      </c>
    </row>
    <row r="627" spans="1:14" hidden="1" x14ac:dyDescent="0.3">
      <c r="A627">
        <v>2581</v>
      </c>
      <c r="B627">
        <v>71</v>
      </c>
      <c r="C627">
        <v>100</v>
      </c>
      <c r="D627">
        <v>0</v>
      </c>
      <c r="E627">
        <v>11</v>
      </c>
      <c r="F627">
        <v>0</v>
      </c>
      <c r="G627">
        <v>0</v>
      </c>
      <c r="H627">
        <v>0</v>
      </c>
      <c r="I627">
        <v>111</v>
      </c>
      <c r="J627">
        <v>1</v>
      </c>
      <c r="K627">
        <v>2</v>
      </c>
      <c r="L627">
        <v>0</v>
      </c>
      <c r="M627">
        <v>2</v>
      </c>
      <c r="N627">
        <v>8</v>
      </c>
    </row>
    <row r="628" spans="1:14" hidden="1" x14ac:dyDescent="0.3">
      <c r="A628">
        <v>1492</v>
      </c>
      <c r="B628">
        <v>71</v>
      </c>
      <c r="C628">
        <v>131</v>
      </c>
      <c r="D628">
        <v>15</v>
      </c>
      <c r="E628">
        <v>255</v>
      </c>
      <c r="F628">
        <v>12</v>
      </c>
      <c r="G628">
        <v>39</v>
      </c>
      <c r="H628">
        <v>77</v>
      </c>
      <c r="I628">
        <v>375</v>
      </c>
      <c r="J628">
        <v>1</v>
      </c>
      <c r="K628">
        <v>2</v>
      </c>
      <c r="L628">
        <v>1</v>
      </c>
      <c r="M628">
        <v>4</v>
      </c>
      <c r="N628">
        <v>7</v>
      </c>
    </row>
    <row r="629" spans="1:14" hidden="1" x14ac:dyDescent="0.3">
      <c r="A629">
        <v>2554</v>
      </c>
      <c r="B629">
        <v>71</v>
      </c>
      <c r="C629">
        <v>131</v>
      </c>
      <c r="D629">
        <v>15</v>
      </c>
      <c r="E629">
        <v>255</v>
      </c>
      <c r="F629">
        <v>12</v>
      </c>
      <c r="G629">
        <v>39</v>
      </c>
      <c r="H629">
        <v>77</v>
      </c>
      <c r="I629">
        <v>375</v>
      </c>
      <c r="J629">
        <v>1</v>
      </c>
      <c r="K629">
        <v>2</v>
      </c>
      <c r="L629">
        <v>1</v>
      </c>
      <c r="M629">
        <v>4</v>
      </c>
      <c r="N629">
        <v>7</v>
      </c>
    </row>
    <row r="630" spans="1:14" hidden="1" x14ac:dyDescent="0.3">
      <c r="A630">
        <v>2882</v>
      </c>
      <c r="B630">
        <v>71</v>
      </c>
      <c r="C630">
        <v>180</v>
      </c>
      <c r="D630">
        <v>0</v>
      </c>
      <c r="E630">
        <v>64</v>
      </c>
      <c r="F630">
        <v>8</v>
      </c>
      <c r="G630">
        <v>4</v>
      </c>
      <c r="H630">
        <v>24</v>
      </c>
      <c r="I630">
        <v>233</v>
      </c>
      <c r="J630">
        <v>1</v>
      </c>
      <c r="K630">
        <v>3</v>
      </c>
      <c r="L630">
        <v>0</v>
      </c>
      <c r="M630">
        <v>3</v>
      </c>
      <c r="N630">
        <v>7</v>
      </c>
    </row>
    <row r="631" spans="1:14" hidden="1" x14ac:dyDescent="0.3">
      <c r="A631">
        <v>2693</v>
      </c>
      <c r="B631">
        <v>71</v>
      </c>
      <c r="C631">
        <v>283</v>
      </c>
      <c r="D631">
        <v>16</v>
      </c>
      <c r="E631">
        <v>231</v>
      </c>
      <c r="F631">
        <v>23</v>
      </c>
      <c r="G631">
        <v>39</v>
      </c>
      <c r="H631">
        <v>94</v>
      </c>
      <c r="I631">
        <v>498</v>
      </c>
      <c r="J631">
        <v>5</v>
      </c>
      <c r="K631">
        <v>4</v>
      </c>
      <c r="L631">
        <v>1</v>
      </c>
      <c r="M631">
        <v>4</v>
      </c>
      <c r="N631">
        <v>7</v>
      </c>
    </row>
    <row r="632" spans="1:14" hidden="1" x14ac:dyDescent="0.3">
      <c r="A632">
        <v>2078</v>
      </c>
      <c r="B632">
        <v>71</v>
      </c>
      <c r="C632">
        <v>358</v>
      </c>
      <c r="D632">
        <v>179</v>
      </c>
      <c r="E632">
        <v>825</v>
      </c>
      <c r="F632">
        <v>150</v>
      </c>
      <c r="G632">
        <v>87</v>
      </c>
      <c r="H632">
        <v>92</v>
      </c>
      <c r="I632">
        <v>1507</v>
      </c>
      <c r="J632">
        <v>1</v>
      </c>
      <c r="K632">
        <v>3</v>
      </c>
      <c r="L632">
        <v>3</v>
      </c>
      <c r="M632">
        <v>8</v>
      </c>
      <c r="N632">
        <v>1</v>
      </c>
    </row>
    <row r="633" spans="1:14" hidden="1" x14ac:dyDescent="0.3">
      <c r="A633">
        <v>1441</v>
      </c>
      <c r="B633">
        <v>71</v>
      </c>
      <c r="C633">
        <v>391</v>
      </c>
      <c r="D633">
        <v>37</v>
      </c>
      <c r="E633">
        <v>243</v>
      </c>
      <c r="F633">
        <v>10</v>
      </c>
      <c r="G633">
        <v>57</v>
      </c>
      <c r="H633">
        <v>155</v>
      </c>
      <c r="I633">
        <v>583</v>
      </c>
      <c r="J633">
        <v>4</v>
      </c>
      <c r="K633">
        <v>4</v>
      </c>
      <c r="L633">
        <v>1</v>
      </c>
      <c r="M633">
        <v>5</v>
      </c>
      <c r="N633">
        <v>6</v>
      </c>
    </row>
    <row r="634" spans="1:14" hidden="1" x14ac:dyDescent="0.3">
      <c r="A634">
        <v>2090</v>
      </c>
      <c r="B634">
        <v>71</v>
      </c>
      <c r="C634">
        <v>498</v>
      </c>
      <c r="D634">
        <v>23</v>
      </c>
      <c r="E634">
        <v>143</v>
      </c>
      <c r="F634">
        <v>50</v>
      </c>
      <c r="G634">
        <v>53</v>
      </c>
      <c r="H634">
        <v>15</v>
      </c>
      <c r="I634">
        <v>751</v>
      </c>
      <c r="J634">
        <v>7</v>
      </c>
      <c r="K634">
        <v>4</v>
      </c>
      <c r="L634">
        <v>1</v>
      </c>
      <c r="M634">
        <v>7</v>
      </c>
      <c r="N634">
        <v>4</v>
      </c>
    </row>
    <row r="635" spans="1:14" hidden="1" x14ac:dyDescent="0.3">
      <c r="A635">
        <v>1327</v>
      </c>
      <c r="B635">
        <v>71</v>
      </c>
      <c r="C635">
        <v>1016</v>
      </c>
      <c r="D635">
        <v>38</v>
      </c>
      <c r="E635">
        <v>183</v>
      </c>
      <c r="F635">
        <v>51</v>
      </c>
      <c r="G635">
        <v>38</v>
      </c>
      <c r="H635">
        <v>38</v>
      </c>
      <c r="I635">
        <v>1287</v>
      </c>
      <c r="J635">
        <v>2</v>
      </c>
      <c r="K635">
        <v>3</v>
      </c>
      <c r="L635">
        <v>5</v>
      </c>
      <c r="M635">
        <v>8</v>
      </c>
      <c r="N635">
        <v>3</v>
      </c>
    </row>
    <row r="636" spans="1:14" hidden="1" x14ac:dyDescent="0.3">
      <c r="A636">
        <v>2874</v>
      </c>
      <c r="B636">
        <v>71</v>
      </c>
      <c r="C636">
        <v>1016</v>
      </c>
      <c r="D636">
        <v>38</v>
      </c>
      <c r="E636">
        <v>183</v>
      </c>
      <c r="F636">
        <v>51</v>
      </c>
      <c r="G636">
        <v>38</v>
      </c>
      <c r="H636">
        <v>38</v>
      </c>
      <c r="I636">
        <v>1287</v>
      </c>
      <c r="J636">
        <v>2</v>
      </c>
      <c r="K636">
        <v>3</v>
      </c>
      <c r="L636">
        <v>5</v>
      </c>
      <c r="M636">
        <v>8</v>
      </c>
      <c r="N636">
        <v>3</v>
      </c>
    </row>
    <row r="637" spans="1:14" hidden="1" x14ac:dyDescent="0.3">
      <c r="A637">
        <v>1434</v>
      </c>
      <c r="B637">
        <v>71</v>
      </c>
      <c r="C637">
        <v>1172</v>
      </c>
      <c r="D637">
        <v>44</v>
      </c>
      <c r="E637">
        <v>878</v>
      </c>
      <c r="F637">
        <v>117</v>
      </c>
      <c r="G637">
        <v>65</v>
      </c>
      <c r="H637">
        <v>90</v>
      </c>
      <c r="I637">
        <v>2186</v>
      </c>
      <c r="J637">
        <v>5</v>
      </c>
      <c r="K637">
        <v>4</v>
      </c>
      <c r="L637">
        <v>7</v>
      </c>
      <c r="M637">
        <v>11</v>
      </c>
      <c r="N637">
        <v>3</v>
      </c>
    </row>
    <row r="638" spans="1:14" hidden="1" x14ac:dyDescent="0.3">
      <c r="A638">
        <v>2623</v>
      </c>
      <c r="B638">
        <v>71</v>
      </c>
      <c r="C638">
        <v>1295</v>
      </c>
      <c r="D638">
        <v>95</v>
      </c>
      <c r="E638">
        <v>484</v>
      </c>
      <c r="F638">
        <v>76</v>
      </c>
      <c r="G638">
        <v>19</v>
      </c>
      <c r="H638">
        <v>230</v>
      </c>
      <c r="I638">
        <v>1739</v>
      </c>
      <c r="J638">
        <v>1</v>
      </c>
      <c r="K638">
        <v>5</v>
      </c>
      <c r="L638">
        <v>3</v>
      </c>
      <c r="M638">
        <v>12</v>
      </c>
      <c r="N638">
        <v>2</v>
      </c>
    </row>
    <row r="639" spans="1:14" hidden="1" x14ac:dyDescent="0.3">
      <c r="A639">
        <v>2666</v>
      </c>
      <c r="B639">
        <v>71</v>
      </c>
      <c r="C639">
        <v>1626</v>
      </c>
      <c r="D639">
        <v>191</v>
      </c>
      <c r="E639">
        <v>1084</v>
      </c>
      <c r="F639">
        <v>204</v>
      </c>
      <c r="G639">
        <v>126</v>
      </c>
      <c r="H639">
        <v>223</v>
      </c>
      <c r="I639">
        <v>3009</v>
      </c>
      <c r="J639">
        <v>1</v>
      </c>
      <c r="K639">
        <v>8</v>
      </c>
      <c r="L639">
        <v>4</v>
      </c>
      <c r="M639">
        <v>6</v>
      </c>
      <c r="N639">
        <v>5</v>
      </c>
    </row>
    <row r="640" spans="1:14" hidden="1" x14ac:dyDescent="0.3">
      <c r="A640">
        <v>2696</v>
      </c>
      <c r="B640">
        <v>71</v>
      </c>
      <c r="C640">
        <v>2037</v>
      </c>
      <c r="D640">
        <v>92</v>
      </c>
      <c r="E640">
        <v>1946</v>
      </c>
      <c r="F640">
        <v>60</v>
      </c>
      <c r="G640">
        <v>52</v>
      </c>
      <c r="H640">
        <v>46</v>
      </c>
      <c r="I640">
        <v>4142</v>
      </c>
      <c r="J640">
        <v>1</v>
      </c>
      <c r="K640">
        <v>7</v>
      </c>
      <c r="L640">
        <v>5</v>
      </c>
      <c r="M640">
        <v>12</v>
      </c>
      <c r="N640">
        <v>3</v>
      </c>
    </row>
    <row r="641" spans="1:14" hidden="1" x14ac:dyDescent="0.3">
      <c r="A641">
        <v>2420</v>
      </c>
      <c r="B641">
        <v>71</v>
      </c>
      <c r="C641">
        <v>2135</v>
      </c>
      <c r="D641">
        <v>371</v>
      </c>
      <c r="E641">
        <v>1485</v>
      </c>
      <c r="F641">
        <v>544</v>
      </c>
      <c r="G641">
        <v>232</v>
      </c>
      <c r="H641">
        <v>278</v>
      </c>
      <c r="I641">
        <v>4488</v>
      </c>
      <c r="J641">
        <v>1</v>
      </c>
      <c r="K641">
        <v>7</v>
      </c>
      <c r="L641">
        <v>5</v>
      </c>
      <c r="M641">
        <v>10</v>
      </c>
      <c r="N641">
        <v>4</v>
      </c>
    </row>
    <row r="642" spans="1:14" hidden="1" x14ac:dyDescent="0.3">
      <c r="A642">
        <v>3213</v>
      </c>
      <c r="B642">
        <v>71</v>
      </c>
      <c r="C642">
        <v>2234</v>
      </c>
      <c r="D642">
        <v>26</v>
      </c>
      <c r="E642">
        <v>375</v>
      </c>
      <c r="F642">
        <v>-34</v>
      </c>
      <c r="G642">
        <v>26</v>
      </c>
      <c r="H642">
        <v>52</v>
      </c>
      <c r="I642">
        <v>2643</v>
      </c>
      <c r="J642">
        <v>2</v>
      </c>
      <c r="K642">
        <v>9</v>
      </c>
      <c r="L642">
        <v>4</v>
      </c>
      <c r="M642">
        <v>12</v>
      </c>
      <c r="N642">
        <v>8</v>
      </c>
    </row>
    <row r="643" spans="1:14" hidden="1" x14ac:dyDescent="0.3">
      <c r="A643">
        <v>2786</v>
      </c>
      <c r="B643">
        <v>71</v>
      </c>
      <c r="C643">
        <v>2439</v>
      </c>
      <c r="D643">
        <v>94</v>
      </c>
      <c r="E643">
        <v>512</v>
      </c>
      <c r="F643">
        <v>0</v>
      </c>
      <c r="G643">
        <v>160</v>
      </c>
      <c r="H643">
        <v>383</v>
      </c>
      <c r="I643">
        <v>2822</v>
      </c>
      <c r="J643">
        <v>6</v>
      </c>
      <c r="K643">
        <v>4</v>
      </c>
      <c r="L643">
        <v>4</v>
      </c>
      <c r="M643">
        <v>7</v>
      </c>
      <c r="N643">
        <v>9</v>
      </c>
    </row>
    <row r="644" spans="1:14" hidden="1" x14ac:dyDescent="0.3">
      <c r="A644">
        <v>3198</v>
      </c>
      <c r="B644">
        <v>71</v>
      </c>
      <c r="C644">
        <v>2757</v>
      </c>
      <c r="D644">
        <v>32</v>
      </c>
      <c r="E644">
        <v>462</v>
      </c>
      <c r="F644">
        <v>42</v>
      </c>
      <c r="G644">
        <v>32</v>
      </c>
      <c r="H644">
        <v>65</v>
      </c>
      <c r="I644">
        <v>3261</v>
      </c>
      <c r="J644">
        <v>2</v>
      </c>
      <c r="K644">
        <v>9</v>
      </c>
      <c r="L644">
        <v>4</v>
      </c>
      <c r="M644">
        <v>12</v>
      </c>
      <c r="N644">
        <v>8</v>
      </c>
    </row>
    <row r="645" spans="1:14" hidden="1" x14ac:dyDescent="0.3">
      <c r="A645">
        <v>2617</v>
      </c>
      <c r="B645">
        <v>71</v>
      </c>
      <c r="C645">
        <v>3734</v>
      </c>
      <c r="D645">
        <v>0</v>
      </c>
      <c r="E645">
        <v>156</v>
      </c>
      <c r="F645">
        <v>0</v>
      </c>
      <c r="G645">
        <v>38</v>
      </c>
      <c r="H645">
        <v>550</v>
      </c>
      <c r="I645">
        <v>3378</v>
      </c>
      <c r="J645">
        <v>5</v>
      </c>
      <c r="K645">
        <v>2</v>
      </c>
      <c r="L645">
        <v>5</v>
      </c>
      <c r="M645">
        <v>6</v>
      </c>
      <c r="N645">
        <v>5</v>
      </c>
    </row>
    <row r="646" spans="1:14" hidden="1" x14ac:dyDescent="0.3">
      <c r="A646">
        <v>2669</v>
      </c>
      <c r="B646">
        <v>70</v>
      </c>
      <c r="C646">
        <v>78</v>
      </c>
      <c r="D646">
        <v>26</v>
      </c>
      <c r="E646">
        <v>123</v>
      </c>
      <c r="F646">
        <v>78</v>
      </c>
      <c r="G646">
        <v>39</v>
      </c>
      <c r="H646">
        <v>91</v>
      </c>
      <c r="I646">
        <v>253</v>
      </c>
      <c r="J646">
        <v>1</v>
      </c>
      <c r="K646">
        <v>2</v>
      </c>
      <c r="L646">
        <v>0</v>
      </c>
      <c r="M646">
        <v>3</v>
      </c>
      <c r="N646">
        <v>8</v>
      </c>
    </row>
    <row r="647" spans="1:14" hidden="1" x14ac:dyDescent="0.3">
      <c r="A647">
        <v>1775</v>
      </c>
      <c r="B647">
        <v>70</v>
      </c>
      <c r="C647">
        <v>98</v>
      </c>
      <c r="D647">
        <v>60</v>
      </c>
      <c r="E647">
        <v>110</v>
      </c>
      <c r="F647">
        <v>82</v>
      </c>
      <c r="G647">
        <v>44</v>
      </c>
      <c r="H647">
        <v>164</v>
      </c>
      <c r="I647">
        <v>230</v>
      </c>
      <c r="J647">
        <v>2</v>
      </c>
      <c r="K647">
        <v>1</v>
      </c>
      <c r="L647">
        <v>1</v>
      </c>
      <c r="M647">
        <v>5</v>
      </c>
      <c r="N647">
        <v>3</v>
      </c>
    </row>
    <row r="648" spans="1:14" hidden="1" x14ac:dyDescent="0.3">
      <c r="A648">
        <v>3007</v>
      </c>
      <c r="B648">
        <v>70</v>
      </c>
      <c r="C648">
        <v>100</v>
      </c>
      <c r="D648">
        <v>7</v>
      </c>
      <c r="E648">
        <v>153</v>
      </c>
      <c r="F648">
        <v>0</v>
      </c>
      <c r="G648">
        <v>33</v>
      </c>
      <c r="H648">
        <v>7</v>
      </c>
      <c r="I648">
        <v>287</v>
      </c>
      <c r="J648">
        <v>3</v>
      </c>
      <c r="K648">
        <v>3</v>
      </c>
      <c r="L648">
        <v>0</v>
      </c>
      <c r="M648">
        <v>3</v>
      </c>
      <c r="N648">
        <v>8</v>
      </c>
    </row>
    <row r="649" spans="1:14" hidden="1" x14ac:dyDescent="0.3">
      <c r="A649">
        <v>1254</v>
      </c>
      <c r="B649">
        <v>70</v>
      </c>
      <c r="C649">
        <v>279</v>
      </c>
      <c r="D649">
        <v>7</v>
      </c>
      <c r="E649">
        <v>127</v>
      </c>
      <c r="F649">
        <v>0</v>
      </c>
      <c r="G649">
        <v>4</v>
      </c>
      <c r="H649">
        <v>250</v>
      </c>
      <c r="I649">
        <v>167</v>
      </c>
      <c r="J649">
        <v>4</v>
      </c>
      <c r="K649">
        <v>3</v>
      </c>
      <c r="L649">
        <v>2</v>
      </c>
      <c r="M649">
        <v>2</v>
      </c>
      <c r="N649">
        <v>7</v>
      </c>
    </row>
    <row r="650" spans="1:14" hidden="1" x14ac:dyDescent="0.3">
      <c r="A650">
        <v>1519</v>
      </c>
      <c r="B650">
        <v>70</v>
      </c>
      <c r="C650">
        <v>535</v>
      </c>
      <c r="D650">
        <v>37</v>
      </c>
      <c r="E650">
        <v>349</v>
      </c>
      <c r="F650">
        <v>25</v>
      </c>
      <c r="G650">
        <v>0</v>
      </c>
      <c r="H650">
        <v>47</v>
      </c>
      <c r="I650">
        <v>899</v>
      </c>
      <c r="J650">
        <v>4</v>
      </c>
      <c r="K650">
        <v>6</v>
      </c>
      <c r="L650">
        <v>1</v>
      </c>
      <c r="M650">
        <v>5</v>
      </c>
      <c r="N650">
        <v>7</v>
      </c>
    </row>
    <row r="651" spans="1:14" hidden="1" x14ac:dyDescent="0.3">
      <c r="A651">
        <v>2382</v>
      </c>
      <c r="B651">
        <v>70</v>
      </c>
      <c r="C651">
        <v>535</v>
      </c>
      <c r="D651">
        <v>37</v>
      </c>
      <c r="E651">
        <v>349</v>
      </c>
      <c r="F651">
        <v>25</v>
      </c>
      <c r="G651">
        <v>0</v>
      </c>
      <c r="H651">
        <v>47</v>
      </c>
      <c r="I651">
        <v>899</v>
      </c>
      <c r="J651">
        <v>4</v>
      </c>
      <c r="K651">
        <v>6</v>
      </c>
      <c r="L651">
        <v>1</v>
      </c>
      <c r="M651">
        <v>5</v>
      </c>
      <c r="N651">
        <v>7</v>
      </c>
    </row>
    <row r="652" spans="1:14" hidden="1" x14ac:dyDescent="0.3">
      <c r="A652">
        <v>1974</v>
      </c>
      <c r="B652">
        <v>70</v>
      </c>
      <c r="C652">
        <v>556</v>
      </c>
      <c r="D652">
        <v>161</v>
      </c>
      <c r="E652">
        <v>720</v>
      </c>
      <c r="F652">
        <v>350</v>
      </c>
      <c r="G652">
        <v>89</v>
      </c>
      <c r="H652">
        <v>179</v>
      </c>
      <c r="I652">
        <v>1697</v>
      </c>
      <c r="J652">
        <v>4</v>
      </c>
      <c r="K652">
        <v>5</v>
      </c>
      <c r="L652">
        <v>3</v>
      </c>
      <c r="M652">
        <v>12</v>
      </c>
      <c r="N652">
        <v>4</v>
      </c>
    </row>
    <row r="653" spans="1:14" hidden="1" x14ac:dyDescent="0.3">
      <c r="A653">
        <v>1200</v>
      </c>
      <c r="B653">
        <v>70</v>
      </c>
      <c r="C653">
        <v>729</v>
      </c>
      <c r="D653">
        <v>0</v>
      </c>
      <c r="E653">
        <v>98</v>
      </c>
      <c r="F653">
        <v>0</v>
      </c>
      <c r="G653">
        <v>0</v>
      </c>
      <c r="H653">
        <v>33</v>
      </c>
      <c r="I653">
        <v>794</v>
      </c>
      <c r="J653">
        <v>8</v>
      </c>
      <c r="K653">
        <v>5</v>
      </c>
      <c r="L653">
        <v>1</v>
      </c>
      <c r="M653">
        <v>5</v>
      </c>
      <c r="N653">
        <v>8</v>
      </c>
    </row>
    <row r="654" spans="1:14" hidden="1" x14ac:dyDescent="0.3">
      <c r="A654">
        <v>1083</v>
      </c>
      <c r="B654">
        <v>70</v>
      </c>
      <c r="C654">
        <v>790</v>
      </c>
      <c r="D654">
        <v>135</v>
      </c>
      <c r="E654">
        <v>1282</v>
      </c>
      <c r="F654">
        <v>248</v>
      </c>
      <c r="G654">
        <v>300</v>
      </c>
      <c r="H654">
        <v>327</v>
      </c>
      <c r="I654">
        <v>2428</v>
      </c>
      <c r="J654">
        <v>1</v>
      </c>
      <c r="K654">
        <v>5</v>
      </c>
      <c r="L654">
        <v>6</v>
      </c>
      <c r="M654">
        <v>7</v>
      </c>
      <c r="N654">
        <v>2</v>
      </c>
    </row>
    <row r="655" spans="1:14" hidden="1" x14ac:dyDescent="0.3">
      <c r="A655">
        <v>2015</v>
      </c>
      <c r="B655">
        <v>70</v>
      </c>
      <c r="C655">
        <v>790</v>
      </c>
      <c r="D655">
        <v>135</v>
      </c>
      <c r="E655">
        <v>1282</v>
      </c>
      <c r="F655">
        <v>248</v>
      </c>
      <c r="G655">
        <v>300</v>
      </c>
      <c r="H655">
        <v>327</v>
      </c>
      <c r="I655">
        <v>2428</v>
      </c>
      <c r="J655">
        <v>1</v>
      </c>
      <c r="K655">
        <v>5</v>
      </c>
      <c r="L655">
        <v>6</v>
      </c>
      <c r="M655">
        <v>7</v>
      </c>
      <c r="N655">
        <v>2</v>
      </c>
    </row>
    <row r="656" spans="1:14" hidden="1" x14ac:dyDescent="0.3">
      <c r="A656">
        <v>2286</v>
      </c>
      <c r="B656">
        <v>70</v>
      </c>
      <c r="C656">
        <v>796</v>
      </c>
      <c r="D656">
        <v>18</v>
      </c>
      <c r="E656">
        <v>153</v>
      </c>
      <c r="F656">
        <v>24</v>
      </c>
      <c r="G656">
        <v>18</v>
      </c>
      <c r="H656">
        <v>191</v>
      </c>
      <c r="I656">
        <v>817</v>
      </c>
      <c r="J656">
        <v>6</v>
      </c>
      <c r="K656">
        <v>7</v>
      </c>
      <c r="L656">
        <v>1</v>
      </c>
      <c r="M656">
        <v>5</v>
      </c>
      <c r="N656">
        <v>8</v>
      </c>
    </row>
    <row r="657" spans="1:14" hidden="1" x14ac:dyDescent="0.3">
      <c r="A657">
        <v>2021</v>
      </c>
      <c r="B657">
        <v>70</v>
      </c>
      <c r="C657">
        <v>1062</v>
      </c>
      <c r="D657">
        <v>63</v>
      </c>
      <c r="E657">
        <v>76</v>
      </c>
      <c r="F657">
        <v>16</v>
      </c>
      <c r="G657">
        <v>63</v>
      </c>
      <c r="H657">
        <v>574</v>
      </c>
      <c r="I657">
        <v>706</v>
      </c>
      <c r="J657">
        <v>2</v>
      </c>
      <c r="K657">
        <v>5</v>
      </c>
      <c r="L657">
        <v>5</v>
      </c>
      <c r="M657">
        <v>6</v>
      </c>
      <c r="N657">
        <v>3</v>
      </c>
    </row>
    <row r="658" spans="1:14" hidden="1" x14ac:dyDescent="0.3">
      <c r="A658">
        <v>2792</v>
      </c>
      <c r="B658">
        <v>70</v>
      </c>
      <c r="C658">
        <v>1199</v>
      </c>
      <c r="D658">
        <v>64</v>
      </c>
      <c r="E658">
        <v>999</v>
      </c>
      <c r="F658">
        <v>215</v>
      </c>
      <c r="G658">
        <v>331</v>
      </c>
      <c r="H658">
        <v>365</v>
      </c>
      <c r="I658">
        <v>2443</v>
      </c>
      <c r="J658">
        <v>1</v>
      </c>
      <c r="K658">
        <v>5</v>
      </c>
      <c r="L658">
        <v>7</v>
      </c>
      <c r="M658">
        <v>9</v>
      </c>
      <c r="N658">
        <v>7</v>
      </c>
    </row>
    <row r="659" spans="1:14" hidden="1" x14ac:dyDescent="0.3">
      <c r="A659">
        <v>2712</v>
      </c>
      <c r="B659">
        <v>70</v>
      </c>
      <c r="C659">
        <v>1283</v>
      </c>
      <c r="D659">
        <v>48</v>
      </c>
      <c r="E659">
        <v>1013</v>
      </c>
      <c r="F659">
        <v>66</v>
      </c>
      <c r="G659">
        <v>101</v>
      </c>
      <c r="H659">
        <v>66</v>
      </c>
      <c r="I659">
        <v>2445</v>
      </c>
      <c r="J659">
        <v>1</v>
      </c>
      <c r="K659">
        <v>4</v>
      </c>
      <c r="L659">
        <v>5</v>
      </c>
      <c r="M659">
        <v>13</v>
      </c>
      <c r="N659">
        <v>1</v>
      </c>
    </row>
    <row r="660" spans="1:14" hidden="1" x14ac:dyDescent="0.3">
      <c r="A660">
        <v>1960</v>
      </c>
      <c r="B660">
        <v>70</v>
      </c>
      <c r="C660">
        <v>2102</v>
      </c>
      <c r="D660">
        <v>49</v>
      </c>
      <c r="E660">
        <v>383</v>
      </c>
      <c r="F660">
        <v>32</v>
      </c>
      <c r="G660">
        <v>0</v>
      </c>
      <c r="H660">
        <v>562</v>
      </c>
      <c r="I660">
        <v>2004</v>
      </c>
      <c r="J660">
        <v>5</v>
      </c>
      <c r="K660">
        <v>10</v>
      </c>
      <c r="L660">
        <v>6</v>
      </c>
      <c r="M660">
        <v>7</v>
      </c>
      <c r="N660">
        <v>7</v>
      </c>
    </row>
    <row r="661" spans="1:14" hidden="1" x14ac:dyDescent="0.3">
      <c r="A661">
        <v>2830</v>
      </c>
      <c r="B661">
        <v>70</v>
      </c>
      <c r="C661">
        <v>2630</v>
      </c>
      <c r="D661">
        <v>0</v>
      </c>
      <c r="E661">
        <v>169</v>
      </c>
      <c r="F661">
        <v>0</v>
      </c>
      <c r="G661">
        <v>28</v>
      </c>
      <c r="H661">
        <v>28</v>
      </c>
      <c r="I661">
        <v>2799</v>
      </c>
      <c r="J661">
        <v>4</v>
      </c>
      <c r="K661">
        <v>10</v>
      </c>
      <c r="L661">
        <v>8</v>
      </c>
      <c r="M661">
        <v>10</v>
      </c>
      <c r="N661">
        <v>6</v>
      </c>
    </row>
    <row r="662" spans="1:14" hidden="1" x14ac:dyDescent="0.3">
      <c r="A662">
        <v>3040</v>
      </c>
      <c r="B662">
        <v>70</v>
      </c>
      <c r="C662">
        <v>2849</v>
      </c>
      <c r="D662">
        <v>76</v>
      </c>
      <c r="E662">
        <v>760</v>
      </c>
      <c r="F662">
        <v>48</v>
      </c>
      <c r="G662">
        <v>76</v>
      </c>
      <c r="H662">
        <v>37</v>
      </c>
      <c r="I662">
        <v>3771</v>
      </c>
      <c r="J662">
        <v>2</v>
      </c>
      <c r="K662">
        <v>4</v>
      </c>
      <c r="L662">
        <v>7</v>
      </c>
      <c r="M662">
        <v>4</v>
      </c>
      <c r="N662">
        <v>7</v>
      </c>
    </row>
    <row r="663" spans="1:14" hidden="1" x14ac:dyDescent="0.3">
      <c r="A663">
        <v>2096</v>
      </c>
      <c r="B663">
        <v>70</v>
      </c>
      <c r="C663">
        <v>2928</v>
      </c>
      <c r="D663">
        <v>67</v>
      </c>
      <c r="E663">
        <v>335</v>
      </c>
      <c r="F663">
        <v>0</v>
      </c>
      <c r="G663">
        <v>33</v>
      </c>
      <c r="H663">
        <v>402</v>
      </c>
      <c r="I663">
        <v>2962</v>
      </c>
      <c r="J663">
        <v>3</v>
      </c>
      <c r="K663">
        <v>3</v>
      </c>
      <c r="L663">
        <v>3</v>
      </c>
      <c r="M663">
        <v>5</v>
      </c>
      <c r="N663">
        <v>6</v>
      </c>
    </row>
    <row r="664" spans="1:14" hidden="1" x14ac:dyDescent="0.3">
      <c r="A664">
        <v>3101</v>
      </c>
      <c r="B664">
        <v>69</v>
      </c>
      <c r="C664">
        <v>7</v>
      </c>
      <c r="D664">
        <v>22</v>
      </c>
      <c r="E664">
        <v>14</v>
      </c>
      <c r="F664">
        <v>145</v>
      </c>
      <c r="G664">
        <v>217</v>
      </c>
      <c r="H664">
        <v>341</v>
      </c>
      <c r="I664">
        <v>65</v>
      </c>
      <c r="J664">
        <v>3</v>
      </c>
      <c r="K664">
        <v>2</v>
      </c>
      <c r="L664">
        <v>1</v>
      </c>
      <c r="M664">
        <v>2</v>
      </c>
      <c r="N664">
        <v>8</v>
      </c>
    </row>
    <row r="665" spans="1:14" hidden="1" x14ac:dyDescent="0.3">
      <c r="A665">
        <v>2336</v>
      </c>
      <c r="B665">
        <v>69</v>
      </c>
      <c r="C665">
        <v>29</v>
      </c>
      <c r="D665">
        <v>54</v>
      </c>
      <c r="E665">
        <v>98</v>
      </c>
      <c r="F665">
        <v>0</v>
      </c>
      <c r="G665">
        <v>72</v>
      </c>
      <c r="H665">
        <v>120</v>
      </c>
      <c r="I665">
        <v>134</v>
      </c>
      <c r="J665">
        <v>2</v>
      </c>
      <c r="K665">
        <v>3</v>
      </c>
      <c r="L665">
        <v>1</v>
      </c>
      <c r="M665">
        <v>2</v>
      </c>
      <c r="N665">
        <v>8</v>
      </c>
    </row>
    <row r="666" spans="1:14" hidden="1" x14ac:dyDescent="0.3">
      <c r="A666">
        <v>1085</v>
      </c>
      <c r="B666">
        <v>69</v>
      </c>
      <c r="C666">
        <v>50</v>
      </c>
      <c r="D666">
        <v>7</v>
      </c>
      <c r="E666">
        <v>34</v>
      </c>
      <c r="F666">
        <v>0</v>
      </c>
      <c r="G666">
        <v>3</v>
      </c>
      <c r="H666">
        <v>13</v>
      </c>
      <c r="I666">
        <v>81</v>
      </c>
      <c r="J666">
        <v>1</v>
      </c>
      <c r="K666">
        <v>1</v>
      </c>
      <c r="L666">
        <v>0</v>
      </c>
      <c r="M666">
        <v>3</v>
      </c>
      <c r="N666">
        <v>7</v>
      </c>
    </row>
    <row r="667" spans="1:14" hidden="1" x14ac:dyDescent="0.3">
      <c r="A667">
        <v>1355</v>
      </c>
      <c r="B667">
        <v>69</v>
      </c>
      <c r="C667">
        <v>489</v>
      </c>
      <c r="D667">
        <v>12</v>
      </c>
      <c r="E667">
        <v>138</v>
      </c>
      <c r="F667">
        <v>18</v>
      </c>
      <c r="G667">
        <v>6</v>
      </c>
      <c r="H667">
        <v>117</v>
      </c>
      <c r="I667">
        <v>547</v>
      </c>
      <c r="J667">
        <v>6</v>
      </c>
      <c r="K667">
        <v>5</v>
      </c>
      <c r="L667">
        <v>1</v>
      </c>
      <c r="M667">
        <v>4</v>
      </c>
      <c r="N667">
        <v>8</v>
      </c>
    </row>
    <row r="668" spans="1:14" hidden="1" x14ac:dyDescent="0.3">
      <c r="A668">
        <v>2769</v>
      </c>
      <c r="B668">
        <v>69</v>
      </c>
      <c r="C668">
        <v>531</v>
      </c>
      <c r="D668">
        <v>4</v>
      </c>
      <c r="E668">
        <v>161</v>
      </c>
      <c r="F668">
        <v>39</v>
      </c>
      <c r="G668">
        <v>4</v>
      </c>
      <c r="H668">
        <v>264</v>
      </c>
      <c r="I668">
        <v>476</v>
      </c>
      <c r="J668">
        <v>5</v>
      </c>
      <c r="K668">
        <v>3</v>
      </c>
      <c r="L668">
        <v>3</v>
      </c>
      <c r="M668">
        <v>3</v>
      </c>
      <c r="N668">
        <v>6</v>
      </c>
    </row>
    <row r="669" spans="1:14" hidden="1" x14ac:dyDescent="0.3">
      <c r="A669">
        <v>1513</v>
      </c>
      <c r="B669">
        <v>69</v>
      </c>
      <c r="C669">
        <v>625</v>
      </c>
      <c r="D669">
        <v>30</v>
      </c>
      <c r="E669">
        <v>203</v>
      </c>
      <c r="F669">
        <v>91</v>
      </c>
      <c r="G669">
        <v>82</v>
      </c>
      <c r="H669">
        <v>215</v>
      </c>
      <c r="I669">
        <v>816</v>
      </c>
      <c r="J669">
        <v>6</v>
      </c>
      <c r="K669">
        <v>4</v>
      </c>
      <c r="L669">
        <v>1</v>
      </c>
      <c r="M669">
        <v>8</v>
      </c>
      <c r="N669">
        <v>6</v>
      </c>
    </row>
    <row r="670" spans="1:14" hidden="1" x14ac:dyDescent="0.3">
      <c r="A670">
        <v>2150</v>
      </c>
      <c r="B670">
        <v>69</v>
      </c>
      <c r="C670">
        <v>810</v>
      </c>
      <c r="D670">
        <v>89</v>
      </c>
      <c r="E670">
        <v>945</v>
      </c>
      <c r="F670">
        <v>351</v>
      </c>
      <c r="G670">
        <v>133</v>
      </c>
      <c r="H670">
        <v>111</v>
      </c>
      <c r="I670">
        <v>2218</v>
      </c>
      <c r="J670">
        <v>1</v>
      </c>
      <c r="K670">
        <v>3</v>
      </c>
      <c r="L670">
        <v>4</v>
      </c>
      <c r="M670">
        <v>8</v>
      </c>
      <c r="N670">
        <v>1</v>
      </c>
    </row>
    <row r="671" spans="1:14" hidden="1" x14ac:dyDescent="0.3">
      <c r="A671">
        <v>1024</v>
      </c>
      <c r="B671">
        <v>69</v>
      </c>
      <c r="C671">
        <v>934</v>
      </c>
      <c r="D671">
        <v>10</v>
      </c>
      <c r="E671">
        <v>93</v>
      </c>
      <c r="F671">
        <v>135</v>
      </c>
      <c r="G671">
        <v>21</v>
      </c>
      <c r="H671">
        <v>342</v>
      </c>
      <c r="I671">
        <v>851</v>
      </c>
      <c r="J671">
        <v>7</v>
      </c>
      <c r="K671">
        <v>7</v>
      </c>
      <c r="L671">
        <v>1</v>
      </c>
      <c r="M671">
        <v>5</v>
      </c>
      <c r="N671">
        <v>8</v>
      </c>
    </row>
    <row r="672" spans="1:14" hidden="1" x14ac:dyDescent="0.3">
      <c r="A672">
        <v>1565</v>
      </c>
      <c r="B672">
        <v>69</v>
      </c>
      <c r="C672">
        <v>934</v>
      </c>
      <c r="D672">
        <v>10</v>
      </c>
      <c r="E672">
        <v>93</v>
      </c>
      <c r="F672">
        <v>135</v>
      </c>
      <c r="G672">
        <v>21</v>
      </c>
      <c r="H672">
        <v>342</v>
      </c>
      <c r="I672">
        <v>851</v>
      </c>
      <c r="J672">
        <v>7</v>
      </c>
      <c r="K672">
        <v>7</v>
      </c>
      <c r="L672">
        <v>1</v>
      </c>
      <c r="M672">
        <v>5</v>
      </c>
      <c r="N672">
        <v>8</v>
      </c>
    </row>
    <row r="673" spans="1:14" hidden="1" x14ac:dyDescent="0.3">
      <c r="A673">
        <v>1717</v>
      </c>
      <c r="B673">
        <v>69</v>
      </c>
      <c r="C673">
        <v>1073</v>
      </c>
      <c r="D673">
        <v>196</v>
      </c>
      <c r="E673">
        <v>847</v>
      </c>
      <c r="F673">
        <v>439</v>
      </c>
      <c r="G673">
        <v>338</v>
      </c>
      <c r="H673">
        <v>422</v>
      </c>
      <c r="I673">
        <v>2471</v>
      </c>
      <c r="J673">
        <v>2</v>
      </c>
      <c r="K673">
        <v>8</v>
      </c>
      <c r="L673">
        <v>5</v>
      </c>
      <c r="M673">
        <v>4</v>
      </c>
      <c r="N673">
        <v>4</v>
      </c>
    </row>
    <row r="674" spans="1:14" hidden="1" x14ac:dyDescent="0.3">
      <c r="A674">
        <v>1587</v>
      </c>
      <c r="B674">
        <v>69</v>
      </c>
      <c r="C674">
        <v>1077</v>
      </c>
      <c r="D674">
        <v>42</v>
      </c>
      <c r="E674">
        <v>299</v>
      </c>
      <c r="F674">
        <v>0</v>
      </c>
      <c r="G674">
        <v>13</v>
      </c>
      <c r="H674">
        <v>129</v>
      </c>
      <c r="I674">
        <v>1303</v>
      </c>
      <c r="J674">
        <v>3</v>
      </c>
      <c r="K674">
        <v>5</v>
      </c>
      <c r="L674">
        <v>2</v>
      </c>
      <c r="M674">
        <v>10</v>
      </c>
      <c r="N674">
        <v>5</v>
      </c>
    </row>
    <row r="675" spans="1:14" hidden="1" x14ac:dyDescent="0.3">
      <c r="A675">
        <v>1942</v>
      </c>
      <c r="B675">
        <v>69</v>
      </c>
      <c r="C675">
        <v>1427</v>
      </c>
      <c r="D675">
        <v>0</v>
      </c>
      <c r="E675">
        <v>107</v>
      </c>
      <c r="F675">
        <v>20</v>
      </c>
      <c r="G675">
        <v>0</v>
      </c>
      <c r="H675">
        <v>122</v>
      </c>
      <c r="I675">
        <v>1433</v>
      </c>
      <c r="J675">
        <v>3</v>
      </c>
      <c r="K675">
        <v>6</v>
      </c>
      <c r="L675">
        <v>3</v>
      </c>
      <c r="M675">
        <v>8</v>
      </c>
      <c r="N675">
        <v>5</v>
      </c>
    </row>
    <row r="676" spans="1:14" hidden="1" x14ac:dyDescent="0.3">
      <c r="A676">
        <v>1116</v>
      </c>
      <c r="B676">
        <v>69</v>
      </c>
      <c r="C676">
        <v>1430</v>
      </c>
      <c r="D676">
        <v>53</v>
      </c>
      <c r="E676">
        <v>202</v>
      </c>
      <c r="F676">
        <v>87</v>
      </c>
      <c r="G676">
        <v>143</v>
      </c>
      <c r="H676">
        <v>333</v>
      </c>
      <c r="I676">
        <v>1583</v>
      </c>
      <c r="J676">
        <v>0</v>
      </c>
      <c r="K676">
        <v>6</v>
      </c>
      <c r="L676">
        <v>8</v>
      </c>
      <c r="M676">
        <v>13</v>
      </c>
      <c r="N676">
        <v>2</v>
      </c>
    </row>
    <row r="677" spans="1:14" hidden="1" x14ac:dyDescent="0.3">
      <c r="A677">
        <v>3149</v>
      </c>
      <c r="B677">
        <v>69</v>
      </c>
      <c r="C677">
        <v>1680</v>
      </c>
      <c r="D677">
        <v>0</v>
      </c>
      <c r="E677">
        <v>68</v>
      </c>
      <c r="F677">
        <v>0</v>
      </c>
      <c r="G677">
        <v>0</v>
      </c>
      <c r="H677">
        <v>16</v>
      </c>
      <c r="I677">
        <v>1732</v>
      </c>
      <c r="J677">
        <v>4</v>
      </c>
      <c r="K677">
        <v>8</v>
      </c>
      <c r="L677">
        <v>2</v>
      </c>
      <c r="M677">
        <v>7</v>
      </c>
      <c r="N677">
        <v>8</v>
      </c>
    </row>
    <row r="678" spans="1:14" hidden="1" x14ac:dyDescent="0.3">
      <c r="A678">
        <v>2578</v>
      </c>
      <c r="B678">
        <v>69</v>
      </c>
      <c r="C678">
        <v>2454</v>
      </c>
      <c r="D678">
        <v>29</v>
      </c>
      <c r="E678">
        <v>519</v>
      </c>
      <c r="F678">
        <v>39</v>
      </c>
      <c r="G678">
        <v>29</v>
      </c>
      <c r="H678">
        <v>152</v>
      </c>
      <c r="I678">
        <v>2918</v>
      </c>
      <c r="J678">
        <v>1</v>
      </c>
      <c r="K678">
        <v>4</v>
      </c>
      <c r="L678">
        <v>5</v>
      </c>
      <c r="M678">
        <v>10</v>
      </c>
      <c r="N678">
        <v>3</v>
      </c>
    </row>
    <row r="679" spans="1:14" hidden="1" x14ac:dyDescent="0.3">
      <c r="A679">
        <v>1070</v>
      </c>
      <c r="B679">
        <v>68</v>
      </c>
      <c r="C679">
        <v>7</v>
      </c>
      <c r="D679">
        <v>3</v>
      </c>
      <c r="E679">
        <v>21</v>
      </c>
      <c r="F679">
        <v>7</v>
      </c>
      <c r="G679">
        <v>3</v>
      </c>
      <c r="H679">
        <v>3</v>
      </c>
      <c r="I679">
        <v>38</v>
      </c>
      <c r="J679">
        <v>1</v>
      </c>
      <c r="K679">
        <v>1</v>
      </c>
      <c r="L679">
        <v>0</v>
      </c>
      <c r="M679">
        <v>2</v>
      </c>
      <c r="N679">
        <v>6</v>
      </c>
    </row>
    <row r="680" spans="1:14" hidden="1" x14ac:dyDescent="0.3">
      <c r="A680">
        <v>3081</v>
      </c>
      <c r="B680">
        <v>68</v>
      </c>
      <c r="C680">
        <v>27</v>
      </c>
      <c r="D680">
        <v>8</v>
      </c>
      <c r="E680">
        <v>35</v>
      </c>
      <c r="F680">
        <v>8</v>
      </c>
      <c r="G680">
        <v>0</v>
      </c>
      <c r="H680">
        <v>8</v>
      </c>
      <c r="I680">
        <v>70</v>
      </c>
      <c r="J680">
        <v>2</v>
      </c>
      <c r="K680">
        <v>1</v>
      </c>
      <c r="L680">
        <v>0</v>
      </c>
      <c r="M680">
        <v>3</v>
      </c>
      <c r="N680">
        <v>4</v>
      </c>
    </row>
    <row r="681" spans="1:14" hidden="1" x14ac:dyDescent="0.3">
      <c r="A681">
        <v>1291</v>
      </c>
      <c r="B681">
        <v>68</v>
      </c>
      <c r="C681">
        <v>72</v>
      </c>
      <c r="D681">
        <v>5</v>
      </c>
      <c r="E681">
        <v>109</v>
      </c>
      <c r="F681">
        <v>10</v>
      </c>
      <c r="G681">
        <v>16</v>
      </c>
      <c r="H681">
        <v>129</v>
      </c>
      <c r="I681">
        <v>83</v>
      </c>
      <c r="J681">
        <v>3</v>
      </c>
      <c r="K681">
        <v>3</v>
      </c>
      <c r="L681">
        <v>1</v>
      </c>
      <c r="M681">
        <v>3</v>
      </c>
      <c r="N681">
        <v>7</v>
      </c>
    </row>
    <row r="682" spans="1:14" hidden="1" x14ac:dyDescent="0.3">
      <c r="A682">
        <v>2299</v>
      </c>
      <c r="B682">
        <v>68</v>
      </c>
      <c r="C682">
        <v>74</v>
      </c>
      <c r="D682">
        <v>7</v>
      </c>
      <c r="E682">
        <v>33</v>
      </c>
      <c r="F682">
        <v>15</v>
      </c>
      <c r="G682">
        <v>22</v>
      </c>
      <c r="H682">
        <v>74</v>
      </c>
      <c r="I682">
        <v>77</v>
      </c>
      <c r="J682">
        <v>1</v>
      </c>
      <c r="K682">
        <v>1</v>
      </c>
      <c r="L682">
        <v>1</v>
      </c>
      <c r="M682">
        <v>2</v>
      </c>
      <c r="N682">
        <v>4</v>
      </c>
    </row>
    <row r="683" spans="1:14" hidden="1" x14ac:dyDescent="0.3">
      <c r="A683">
        <v>2916</v>
      </c>
      <c r="B683">
        <v>68</v>
      </c>
      <c r="C683">
        <v>86</v>
      </c>
      <c r="D683">
        <v>5</v>
      </c>
      <c r="E683">
        <v>63</v>
      </c>
      <c r="F683">
        <v>14</v>
      </c>
      <c r="G683">
        <v>9</v>
      </c>
      <c r="H683">
        <v>18</v>
      </c>
      <c r="I683">
        <v>159</v>
      </c>
      <c r="J683">
        <v>1</v>
      </c>
      <c r="K683">
        <v>1</v>
      </c>
      <c r="L683">
        <v>0</v>
      </c>
      <c r="M683">
        <v>3</v>
      </c>
      <c r="N683">
        <v>8</v>
      </c>
    </row>
    <row r="684" spans="1:14" hidden="1" x14ac:dyDescent="0.3">
      <c r="A684">
        <v>2526</v>
      </c>
      <c r="B684">
        <v>68</v>
      </c>
      <c r="C684">
        <v>137</v>
      </c>
      <c r="D684">
        <v>3</v>
      </c>
      <c r="E684">
        <v>74</v>
      </c>
      <c r="F684">
        <v>16</v>
      </c>
      <c r="G684">
        <v>19</v>
      </c>
      <c r="H684">
        <v>3</v>
      </c>
      <c r="I684">
        <v>246</v>
      </c>
      <c r="J684">
        <v>1</v>
      </c>
      <c r="K684">
        <v>1</v>
      </c>
      <c r="L684">
        <v>1</v>
      </c>
      <c r="M684">
        <v>4</v>
      </c>
      <c r="N684">
        <v>1</v>
      </c>
    </row>
    <row r="685" spans="1:14" hidden="1" x14ac:dyDescent="0.3">
      <c r="A685">
        <v>3093</v>
      </c>
      <c r="B685">
        <v>68</v>
      </c>
      <c r="C685">
        <v>162</v>
      </c>
      <c r="D685">
        <v>0</v>
      </c>
      <c r="E685">
        <v>30</v>
      </c>
      <c r="F685">
        <v>0</v>
      </c>
      <c r="G685">
        <v>0</v>
      </c>
      <c r="H685">
        <v>6</v>
      </c>
      <c r="I685">
        <v>186</v>
      </c>
      <c r="J685">
        <v>2</v>
      </c>
      <c r="K685">
        <v>1</v>
      </c>
      <c r="L685">
        <v>0</v>
      </c>
      <c r="M685">
        <v>4</v>
      </c>
      <c r="N685">
        <v>5</v>
      </c>
    </row>
    <row r="686" spans="1:14" hidden="1" x14ac:dyDescent="0.3">
      <c r="A686">
        <v>2447</v>
      </c>
      <c r="B686">
        <v>68</v>
      </c>
      <c r="C686">
        <v>281</v>
      </c>
      <c r="D686">
        <v>27</v>
      </c>
      <c r="E686">
        <v>227</v>
      </c>
      <c r="F686">
        <v>51</v>
      </c>
      <c r="G686">
        <v>4</v>
      </c>
      <c r="H686">
        <v>94</v>
      </c>
      <c r="I686">
        <v>496</v>
      </c>
      <c r="J686">
        <v>4</v>
      </c>
      <c r="K686">
        <v>4</v>
      </c>
      <c r="L686">
        <v>1</v>
      </c>
      <c r="M686">
        <v>3</v>
      </c>
      <c r="N686">
        <v>8</v>
      </c>
    </row>
    <row r="687" spans="1:14" hidden="1" x14ac:dyDescent="0.3">
      <c r="A687">
        <v>2029</v>
      </c>
      <c r="B687">
        <v>68</v>
      </c>
      <c r="C687">
        <v>288</v>
      </c>
      <c r="D687">
        <v>46</v>
      </c>
      <c r="E687">
        <v>542</v>
      </c>
      <c r="F687">
        <v>165</v>
      </c>
      <c r="G687">
        <v>150</v>
      </c>
      <c r="H687">
        <v>718</v>
      </c>
      <c r="I687">
        <v>472</v>
      </c>
      <c r="J687">
        <v>6</v>
      </c>
      <c r="K687">
        <v>6</v>
      </c>
      <c r="L687">
        <v>1</v>
      </c>
      <c r="M687">
        <v>5</v>
      </c>
      <c r="N687">
        <v>8</v>
      </c>
    </row>
    <row r="688" spans="1:14" hidden="1" x14ac:dyDescent="0.3">
      <c r="A688">
        <v>2690</v>
      </c>
      <c r="B688">
        <v>68</v>
      </c>
      <c r="C688">
        <v>288</v>
      </c>
      <c r="D688">
        <v>46</v>
      </c>
      <c r="E688">
        <v>542</v>
      </c>
      <c r="F688">
        <v>165</v>
      </c>
      <c r="G688">
        <v>150</v>
      </c>
      <c r="H688">
        <v>718</v>
      </c>
      <c r="I688">
        <v>472</v>
      </c>
      <c r="J688">
        <v>6</v>
      </c>
      <c r="K688">
        <v>6</v>
      </c>
      <c r="L688">
        <v>1</v>
      </c>
      <c r="M688">
        <v>5</v>
      </c>
      <c r="N688">
        <v>8</v>
      </c>
    </row>
    <row r="689" spans="1:14" hidden="1" x14ac:dyDescent="0.3">
      <c r="A689">
        <v>2454</v>
      </c>
      <c r="B689">
        <v>68</v>
      </c>
      <c r="C689">
        <v>385</v>
      </c>
      <c r="D689">
        <v>3</v>
      </c>
      <c r="E689">
        <v>186</v>
      </c>
      <c r="F689">
        <v>24</v>
      </c>
      <c r="G689">
        <v>24</v>
      </c>
      <c r="H689">
        <v>124</v>
      </c>
      <c r="I689">
        <v>498</v>
      </c>
      <c r="J689">
        <v>1</v>
      </c>
      <c r="K689">
        <v>3</v>
      </c>
      <c r="L689">
        <v>2</v>
      </c>
      <c r="M689">
        <v>4</v>
      </c>
      <c r="N689">
        <v>3</v>
      </c>
    </row>
    <row r="690" spans="1:14" hidden="1" x14ac:dyDescent="0.3">
      <c r="A690">
        <v>2735</v>
      </c>
      <c r="B690">
        <v>68</v>
      </c>
      <c r="C690">
        <v>430</v>
      </c>
      <c r="D690">
        <v>194</v>
      </c>
      <c r="E690">
        <v>249</v>
      </c>
      <c r="F690">
        <v>308</v>
      </c>
      <c r="G690">
        <v>277</v>
      </c>
      <c r="H690">
        <v>153</v>
      </c>
      <c r="I690">
        <v>1305</v>
      </c>
      <c r="J690">
        <v>3</v>
      </c>
      <c r="K690">
        <v>7</v>
      </c>
      <c r="L690">
        <v>2</v>
      </c>
      <c r="M690">
        <v>8</v>
      </c>
      <c r="N690">
        <v>4</v>
      </c>
    </row>
    <row r="691" spans="1:14" hidden="1" x14ac:dyDescent="0.3">
      <c r="A691">
        <v>2162</v>
      </c>
      <c r="B691">
        <v>68</v>
      </c>
      <c r="C691">
        <v>445</v>
      </c>
      <c r="D691">
        <v>27</v>
      </c>
      <c r="E691">
        <v>252</v>
      </c>
      <c r="F691">
        <v>20</v>
      </c>
      <c r="G691">
        <v>0</v>
      </c>
      <c r="H691">
        <v>36</v>
      </c>
      <c r="I691">
        <v>707</v>
      </c>
      <c r="J691">
        <v>1</v>
      </c>
      <c r="K691">
        <v>4</v>
      </c>
      <c r="L691">
        <v>1</v>
      </c>
      <c r="M691">
        <v>5</v>
      </c>
      <c r="N691">
        <v>6</v>
      </c>
    </row>
    <row r="692" spans="1:14" hidden="1" x14ac:dyDescent="0.3">
      <c r="A692">
        <v>2337</v>
      </c>
      <c r="B692">
        <v>68</v>
      </c>
      <c r="C692">
        <v>475</v>
      </c>
      <c r="D692">
        <v>44</v>
      </c>
      <c r="E692">
        <v>676</v>
      </c>
      <c r="F692">
        <v>201</v>
      </c>
      <c r="G692">
        <v>183</v>
      </c>
      <c r="H692">
        <v>76</v>
      </c>
      <c r="I692">
        <v>1503</v>
      </c>
      <c r="J692">
        <v>1</v>
      </c>
      <c r="K692">
        <v>6</v>
      </c>
      <c r="L692">
        <v>2</v>
      </c>
      <c r="M692">
        <v>10</v>
      </c>
      <c r="N692">
        <v>4</v>
      </c>
    </row>
    <row r="693" spans="1:14" hidden="1" x14ac:dyDescent="0.3">
      <c r="A693">
        <v>1010</v>
      </c>
      <c r="B693">
        <v>68</v>
      </c>
      <c r="C693">
        <v>524</v>
      </c>
      <c r="D693">
        <v>0</v>
      </c>
      <c r="E693">
        <v>112</v>
      </c>
      <c r="F693">
        <v>19</v>
      </c>
      <c r="G693">
        <v>19</v>
      </c>
      <c r="H693">
        <v>243</v>
      </c>
      <c r="I693">
        <v>430</v>
      </c>
      <c r="J693">
        <v>1</v>
      </c>
      <c r="K693">
        <v>1</v>
      </c>
      <c r="L693">
        <v>0</v>
      </c>
      <c r="M693">
        <v>0</v>
      </c>
      <c r="N693">
        <v>20</v>
      </c>
    </row>
    <row r="694" spans="1:14" hidden="1" x14ac:dyDescent="0.3">
      <c r="A694">
        <v>2573</v>
      </c>
      <c r="B694">
        <v>68</v>
      </c>
      <c r="C694">
        <v>531</v>
      </c>
      <c r="D694">
        <v>30</v>
      </c>
      <c r="E694">
        <v>486</v>
      </c>
      <c r="F694">
        <v>11</v>
      </c>
      <c r="G694">
        <v>41</v>
      </c>
      <c r="H694">
        <v>177</v>
      </c>
      <c r="I694">
        <v>924</v>
      </c>
      <c r="J694">
        <v>3</v>
      </c>
      <c r="K694">
        <v>7</v>
      </c>
      <c r="L694">
        <v>1</v>
      </c>
      <c r="M694">
        <v>4</v>
      </c>
      <c r="N694">
        <v>9</v>
      </c>
    </row>
    <row r="695" spans="1:14" hidden="1" x14ac:dyDescent="0.3">
      <c r="A695">
        <v>2061</v>
      </c>
      <c r="B695">
        <v>68</v>
      </c>
      <c r="C695">
        <v>630</v>
      </c>
      <c r="D695">
        <v>271</v>
      </c>
      <c r="E695">
        <v>838</v>
      </c>
      <c r="F695">
        <v>163</v>
      </c>
      <c r="G695">
        <v>231</v>
      </c>
      <c r="H695">
        <v>293</v>
      </c>
      <c r="I695">
        <v>1839</v>
      </c>
      <c r="J695">
        <v>1</v>
      </c>
      <c r="K695">
        <v>4</v>
      </c>
      <c r="L695">
        <v>3</v>
      </c>
      <c r="M695">
        <v>5</v>
      </c>
      <c r="N695">
        <v>2</v>
      </c>
    </row>
    <row r="696" spans="1:14" hidden="1" x14ac:dyDescent="0.3">
      <c r="A696">
        <v>2270</v>
      </c>
      <c r="B696">
        <v>68</v>
      </c>
      <c r="C696">
        <v>822</v>
      </c>
      <c r="D696">
        <v>325</v>
      </c>
      <c r="E696">
        <v>438</v>
      </c>
      <c r="F696">
        <v>148</v>
      </c>
      <c r="G696">
        <v>209</v>
      </c>
      <c r="H696">
        <v>363</v>
      </c>
      <c r="I696">
        <v>1580</v>
      </c>
      <c r="J696">
        <v>2</v>
      </c>
      <c r="K696">
        <v>7</v>
      </c>
      <c r="L696">
        <v>2</v>
      </c>
      <c r="M696">
        <v>10</v>
      </c>
      <c r="N696">
        <v>6</v>
      </c>
    </row>
    <row r="697" spans="1:14" hidden="1" x14ac:dyDescent="0.3">
      <c r="A697">
        <v>2036</v>
      </c>
      <c r="B697">
        <v>68</v>
      </c>
      <c r="C697">
        <v>839</v>
      </c>
      <c r="D697">
        <v>106</v>
      </c>
      <c r="E697">
        <v>1290</v>
      </c>
      <c r="F697">
        <v>41</v>
      </c>
      <c r="G697">
        <v>0</v>
      </c>
      <c r="H697">
        <v>63</v>
      </c>
      <c r="I697">
        <v>2214</v>
      </c>
      <c r="J697">
        <v>1</v>
      </c>
      <c r="K697">
        <v>3</v>
      </c>
      <c r="L697">
        <v>5</v>
      </c>
      <c r="M697">
        <v>12</v>
      </c>
      <c r="N697">
        <v>2</v>
      </c>
    </row>
    <row r="698" spans="1:14" hidden="1" x14ac:dyDescent="0.3">
      <c r="A698">
        <v>2747</v>
      </c>
      <c r="B698">
        <v>68</v>
      </c>
      <c r="C698">
        <v>839</v>
      </c>
      <c r="D698">
        <v>106</v>
      </c>
      <c r="E698">
        <v>1290</v>
      </c>
      <c r="F698">
        <v>41</v>
      </c>
      <c r="G698">
        <v>0</v>
      </c>
      <c r="H698">
        <v>63</v>
      </c>
      <c r="I698">
        <v>2214</v>
      </c>
      <c r="J698">
        <v>1</v>
      </c>
      <c r="K698">
        <v>3</v>
      </c>
      <c r="L698">
        <v>5</v>
      </c>
      <c r="M698">
        <v>12</v>
      </c>
      <c r="N698">
        <v>2</v>
      </c>
    </row>
    <row r="699" spans="1:14" hidden="1" x14ac:dyDescent="0.3">
      <c r="A699">
        <v>1530</v>
      </c>
      <c r="B699">
        <v>68</v>
      </c>
      <c r="C699">
        <v>902</v>
      </c>
      <c r="D699">
        <v>100</v>
      </c>
      <c r="E699">
        <v>2005</v>
      </c>
      <c r="F699">
        <v>130</v>
      </c>
      <c r="G699">
        <v>232</v>
      </c>
      <c r="H699">
        <v>100</v>
      </c>
      <c r="I699">
        <v>3269</v>
      </c>
      <c r="J699">
        <v>1</v>
      </c>
      <c r="K699">
        <v>3</v>
      </c>
      <c r="L699">
        <v>6</v>
      </c>
      <c r="M699">
        <v>4</v>
      </c>
      <c r="N699">
        <v>1</v>
      </c>
    </row>
    <row r="700" spans="1:14" hidden="1" x14ac:dyDescent="0.3">
      <c r="A700">
        <v>2223</v>
      </c>
      <c r="B700">
        <v>68</v>
      </c>
      <c r="C700">
        <v>947</v>
      </c>
      <c r="D700">
        <v>244</v>
      </c>
      <c r="E700">
        <v>339</v>
      </c>
      <c r="F700">
        <v>124</v>
      </c>
      <c r="G700">
        <v>265</v>
      </c>
      <c r="H700">
        <v>152</v>
      </c>
      <c r="I700">
        <v>1768</v>
      </c>
      <c r="J700">
        <v>1</v>
      </c>
      <c r="K700">
        <v>5</v>
      </c>
      <c r="L700">
        <v>10</v>
      </c>
      <c r="M700">
        <v>7</v>
      </c>
      <c r="N700">
        <v>1</v>
      </c>
    </row>
    <row r="701" spans="1:14" hidden="1" x14ac:dyDescent="0.3">
      <c r="A701">
        <v>2982</v>
      </c>
      <c r="B701">
        <v>68</v>
      </c>
      <c r="C701">
        <v>1072</v>
      </c>
      <c r="D701">
        <v>0</v>
      </c>
      <c r="E701">
        <v>105</v>
      </c>
      <c r="F701">
        <v>14</v>
      </c>
      <c r="G701">
        <v>0</v>
      </c>
      <c r="H701">
        <v>310</v>
      </c>
      <c r="I701">
        <v>881</v>
      </c>
      <c r="J701">
        <v>4</v>
      </c>
      <c r="K701">
        <v>5</v>
      </c>
      <c r="L701">
        <v>5</v>
      </c>
      <c r="M701">
        <v>3</v>
      </c>
      <c r="N701">
        <v>8</v>
      </c>
    </row>
    <row r="702" spans="1:14" hidden="1" x14ac:dyDescent="0.3">
      <c r="A702">
        <v>2788</v>
      </c>
      <c r="B702">
        <v>68</v>
      </c>
      <c r="C702">
        <v>1131</v>
      </c>
      <c r="D702">
        <v>436</v>
      </c>
      <c r="E702">
        <v>1459</v>
      </c>
      <c r="F702">
        <v>235</v>
      </c>
      <c r="G702">
        <v>436</v>
      </c>
      <c r="H702">
        <v>181</v>
      </c>
      <c r="I702">
        <v>3517</v>
      </c>
      <c r="J702">
        <v>1</v>
      </c>
      <c r="K702">
        <v>2</v>
      </c>
      <c r="L702">
        <v>3</v>
      </c>
      <c r="M702">
        <v>6</v>
      </c>
      <c r="N702">
        <v>7</v>
      </c>
    </row>
    <row r="703" spans="1:14" hidden="1" x14ac:dyDescent="0.3">
      <c r="A703">
        <v>1095</v>
      </c>
      <c r="B703">
        <v>68</v>
      </c>
      <c r="C703">
        <v>1416</v>
      </c>
      <c r="D703">
        <v>204</v>
      </c>
      <c r="E703">
        <v>695</v>
      </c>
      <c r="F703">
        <v>201</v>
      </c>
      <c r="G703">
        <v>101</v>
      </c>
      <c r="H703">
        <v>204</v>
      </c>
      <c r="I703">
        <v>2413</v>
      </c>
      <c r="J703">
        <v>1</v>
      </c>
      <c r="K703">
        <v>6</v>
      </c>
      <c r="L703">
        <v>3</v>
      </c>
      <c r="M703">
        <v>6</v>
      </c>
      <c r="N703">
        <v>4</v>
      </c>
    </row>
    <row r="704" spans="1:14" hidden="1" x14ac:dyDescent="0.3">
      <c r="A704">
        <v>2702</v>
      </c>
      <c r="B704">
        <v>67</v>
      </c>
      <c r="C704">
        <v>47</v>
      </c>
      <c r="D704">
        <v>37</v>
      </c>
      <c r="E704">
        <v>68</v>
      </c>
      <c r="F704">
        <v>16</v>
      </c>
      <c r="G704">
        <v>11</v>
      </c>
      <c r="H704">
        <v>105</v>
      </c>
      <c r="I704">
        <v>74</v>
      </c>
      <c r="J704">
        <v>1</v>
      </c>
      <c r="K704">
        <v>1</v>
      </c>
      <c r="L704">
        <v>1</v>
      </c>
      <c r="M704">
        <v>2</v>
      </c>
      <c r="N704">
        <v>6</v>
      </c>
    </row>
    <row r="705" spans="1:14" hidden="1" x14ac:dyDescent="0.3">
      <c r="A705">
        <v>1903</v>
      </c>
      <c r="B705">
        <v>67</v>
      </c>
      <c r="C705">
        <v>53</v>
      </c>
      <c r="D705">
        <v>70</v>
      </c>
      <c r="E705">
        <v>88</v>
      </c>
      <c r="F705">
        <v>7</v>
      </c>
      <c r="G705">
        <v>25</v>
      </c>
      <c r="H705">
        <v>91</v>
      </c>
      <c r="I705">
        <v>151</v>
      </c>
      <c r="J705">
        <v>1</v>
      </c>
      <c r="K705">
        <v>2</v>
      </c>
      <c r="L705">
        <v>0</v>
      </c>
      <c r="M705">
        <v>4</v>
      </c>
      <c r="N705">
        <v>6</v>
      </c>
    </row>
    <row r="706" spans="1:14" hidden="1" x14ac:dyDescent="0.3">
      <c r="A706">
        <v>1460</v>
      </c>
      <c r="B706">
        <v>67</v>
      </c>
      <c r="C706">
        <v>68</v>
      </c>
      <c r="D706">
        <v>10</v>
      </c>
      <c r="E706">
        <v>14</v>
      </c>
      <c r="F706">
        <v>7</v>
      </c>
      <c r="G706">
        <v>0</v>
      </c>
      <c r="H706">
        <v>7</v>
      </c>
      <c r="I706">
        <v>92</v>
      </c>
      <c r="J706">
        <v>2</v>
      </c>
      <c r="K706">
        <v>1</v>
      </c>
      <c r="L706">
        <v>0</v>
      </c>
      <c r="M706">
        <v>3</v>
      </c>
      <c r="N706">
        <v>3</v>
      </c>
    </row>
    <row r="707" spans="1:14" hidden="1" x14ac:dyDescent="0.3">
      <c r="A707">
        <v>2214</v>
      </c>
      <c r="B707">
        <v>67</v>
      </c>
      <c r="C707">
        <v>81</v>
      </c>
      <c r="D707">
        <v>14</v>
      </c>
      <c r="E707">
        <v>86</v>
      </c>
      <c r="F707">
        <v>14</v>
      </c>
      <c r="G707">
        <v>14</v>
      </c>
      <c r="H707">
        <v>27</v>
      </c>
      <c r="I707">
        <v>181</v>
      </c>
      <c r="J707">
        <v>2</v>
      </c>
      <c r="K707">
        <v>2</v>
      </c>
      <c r="L707">
        <v>0</v>
      </c>
      <c r="M707">
        <v>3</v>
      </c>
      <c r="N707">
        <v>8</v>
      </c>
    </row>
    <row r="708" spans="1:14" hidden="1" x14ac:dyDescent="0.3">
      <c r="A708">
        <v>3184</v>
      </c>
      <c r="B708">
        <v>67</v>
      </c>
      <c r="C708">
        <v>81</v>
      </c>
      <c r="D708">
        <v>14</v>
      </c>
      <c r="E708">
        <v>86</v>
      </c>
      <c r="F708">
        <v>14</v>
      </c>
      <c r="G708">
        <v>14</v>
      </c>
      <c r="H708">
        <v>27</v>
      </c>
      <c r="I708">
        <v>181</v>
      </c>
      <c r="J708">
        <v>2</v>
      </c>
      <c r="K708">
        <v>2</v>
      </c>
      <c r="L708">
        <v>0</v>
      </c>
      <c r="M708">
        <v>3</v>
      </c>
      <c r="N708">
        <v>8</v>
      </c>
    </row>
    <row r="709" spans="1:14" hidden="1" x14ac:dyDescent="0.3">
      <c r="A709">
        <v>1523</v>
      </c>
      <c r="B709">
        <v>67</v>
      </c>
      <c r="C709">
        <v>102</v>
      </c>
      <c r="D709">
        <v>16</v>
      </c>
      <c r="E709">
        <v>102</v>
      </c>
      <c r="F709">
        <v>21</v>
      </c>
      <c r="G709">
        <v>27</v>
      </c>
      <c r="H709">
        <v>139</v>
      </c>
      <c r="I709">
        <v>129</v>
      </c>
      <c r="J709">
        <v>3</v>
      </c>
      <c r="K709">
        <v>3</v>
      </c>
      <c r="L709">
        <v>0</v>
      </c>
      <c r="M709">
        <v>3</v>
      </c>
      <c r="N709">
        <v>7</v>
      </c>
    </row>
    <row r="710" spans="1:14" hidden="1" x14ac:dyDescent="0.3">
      <c r="A710">
        <v>1504</v>
      </c>
      <c r="B710">
        <v>67</v>
      </c>
      <c r="C710">
        <v>115</v>
      </c>
      <c r="D710">
        <v>4</v>
      </c>
      <c r="E710">
        <v>51</v>
      </c>
      <c r="F710">
        <v>9</v>
      </c>
      <c r="G710">
        <v>0</v>
      </c>
      <c r="H710">
        <v>43</v>
      </c>
      <c r="I710">
        <v>136</v>
      </c>
      <c r="J710">
        <v>2</v>
      </c>
      <c r="K710">
        <v>2</v>
      </c>
      <c r="L710">
        <v>0</v>
      </c>
      <c r="M710">
        <v>3</v>
      </c>
      <c r="N710">
        <v>7</v>
      </c>
    </row>
    <row r="711" spans="1:14" hidden="1" x14ac:dyDescent="0.3">
      <c r="A711">
        <v>1798</v>
      </c>
      <c r="B711">
        <v>67</v>
      </c>
      <c r="C711">
        <v>370</v>
      </c>
      <c r="D711">
        <v>0</v>
      </c>
      <c r="E711">
        <v>1230</v>
      </c>
      <c r="F711">
        <v>278</v>
      </c>
      <c r="G711">
        <v>855</v>
      </c>
      <c r="H711">
        <v>370</v>
      </c>
      <c r="I711">
        <v>2362</v>
      </c>
      <c r="J711">
        <v>3</v>
      </c>
      <c r="K711">
        <v>10</v>
      </c>
      <c r="L711">
        <v>2</v>
      </c>
      <c r="M711">
        <v>4</v>
      </c>
      <c r="N711">
        <v>9</v>
      </c>
    </row>
    <row r="712" spans="1:14" hidden="1" x14ac:dyDescent="0.3">
      <c r="A712">
        <v>2103</v>
      </c>
      <c r="B712">
        <v>67</v>
      </c>
      <c r="C712">
        <v>427</v>
      </c>
      <c r="D712">
        <v>0</v>
      </c>
      <c r="E712">
        <v>272</v>
      </c>
      <c r="F712">
        <v>20</v>
      </c>
      <c r="G712">
        <v>38</v>
      </c>
      <c r="H712">
        <v>213</v>
      </c>
      <c r="I712">
        <v>543</v>
      </c>
      <c r="J712">
        <v>5</v>
      </c>
      <c r="K712">
        <v>4</v>
      </c>
      <c r="L712">
        <v>2</v>
      </c>
      <c r="M712">
        <v>5</v>
      </c>
      <c r="N712">
        <v>7</v>
      </c>
    </row>
    <row r="713" spans="1:14" hidden="1" x14ac:dyDescent="0.3">
      <c r="A713">
        <v>2860</v>
      </c>
      <c r="B713">
        <v>67</v>
      </c>
      <c r="C713">
        <v>538</v>
      </c>
      <c r="D713">
        <v>23</v>
      </c>
      <c r="E713">
        <v>387</v>
      </c>
      <c r="F713">
        <v>163</v>
      </c>
      <c r="G713">
        <v>163</v>
      </c>
      <c r="H713">
        <v>35</v>
      </c>
      <c r="I713">
        <v>1239</v>
      </c>
      <c r="J713">
        <v>2</v>
      </c>
      <c r="K713">
        <v>7</v>
      </c>
      <c r="L713">
        <v>1</v>
      </c>
      <c r="M713">
        <v>7</v>
      </c>
      <c r="N713">
        <v>7</v>
      </c>
    </row>
    <row r="714" spans="1:14" hidden="1" x14ac:dyDescent="0.3">
      <c r="A714">
        <v>2918</v>
      </c>
      <c r="B714">
        <v>67</v>
      </c>
      <c r="C714">
        <v>652</v>
      </c>
      <c r="D714">
        <v>197</v>
      </c>
      <c r="E714">
        <v>514</v>
      </c>
      <c r="F714">
        <v>359</v>
      </c>
      <c r="G714">
        <v>335</v>
      </c>
      <c r="H714">
        <v>533</v>
      </c>
      <c r="I714">
        <v>1524</v>
      </c>
      <c r="J714">
        <v>1</v>
      </c>
      <c r="K714">
        <v>4</v>
      </c>
      <c r="L714">
        <v>6</v>
      </c>
      <c r="M714">
        <v>12</v>
      </c>
      <c r="N714">
        <v>1</v>
      </c>
    </row>
    <row r="715" spans="1:14" hidden="1" x14ac:dyDescent="0.3">
      <c r="A715">
        <v>1348</v>
      </c>
      <c r="B715">
        <v>67</v>
      </c>
      <c r="C715">
        <v>727</v>
      </c>
      <c r="D715">
        <v>24</v>
      </c>
      <c r="E715">
        <v>471</v>
      </c>
      <c r="F715">
        <v>18</v>
      </c>
      <c r="G715">
        <v>24</v>
      </c>
      <c r="H715">
        <v>191</v>
      </c>
      <c r="I715">
        <v>1071</v>
      </c>
      <c r="J715">
        <v>7</v>
      </c>
      <c r="K715">
        <v>6</v>
      </c>
      <c r="L715">
        <v>3</v>
      </c>
      <c r="M715">
        <v>6</v>
      </c>
      <c r="N715">
        <v>7</v>
      </c>
    </row>
    <row r="716" spans="1:14" hidden="1" x14ac:dyDescent="0.3">
      <c r="A716">
        <v>1902</v>
      </c>
      <c r="B716">
        <v>67</v>
      </c>
      <c r="C716">
        <v>750</v>
      </c>
      <c r="D716">
        <v>62</v>
      </c>
      <c r="E716">
        <v>1127</v>
      </c>
      <c r="F716">
        <v>524</v>
      </c>
      <c r="G716">
        <v>29</v>
      </c>
      <c r="H716">
        <v>434</v>
      </c>
      <c r="I716">
        <v>2058</v>
      </c>
      <c r="J716">
        <v>1</v>
      </c>
      <c r="K716">
        <v>2</v>
      </c>
      <c r="L716">
        <v>10</v>
      </c>
      <c r="M716">
        <v>6</v>
      </c>
      <c r="N716">
        <v>1</v>
      </c>
    </row>
    <row r="717" spans="1:14" hidden="1" x14ac:dyDescent="0.3">
      <c r="A717">
        <v>2862</v>
      </c>
      <c r="B717">
        <v>67</v>
      </c>
      <c r="C717">
        <v>1255</v>
      </c>
      <c r="D717">
        <v>215</v>
      </c>
      <c r="E717">
        <v>1795</v>
      </c>
      <c r="F717">
        <v>140</v>
      </c>
      <c r="G717">
        <v>178</v>
      </c>
      <c r="H717">
        <v>75</v>
      </c>
      <c r="I717">
        <v>3508</v>
      </c>
      <c r="J717">
        <v>1</v>
      </c>
      <c r="K717">
        <v>5</v>
      </c>
      <c r="L717">
        <v>5</v>
      </c>
      <c r="M717">
        <v>5</v>
      </c>
      <c r="N717">
        <v>2</v>
      </c>
    </row>
    <row r="718" spans="1:14" hidden="1" x14ac:dyDescent="0.3">
      <c r="A718">
        <v>1866</v>
      </c>
      <c r="B718">
        <v>67</v>
      </c>
      <c r="C718">
        <v>1972</v>
      </c>
      <c r="D718">
        <v>122</v>
      </c>
      <c r="E718">
        <v>1520</v>
      </c>
      <c r="F718">
        <v>373</v>
      </c>
      <c r="G718">
        <v>204</v>
      </c>
      <c r="H718">
        <v>286</v>
      </c>
      <c r="I718">
        <v>3904</v>
      </c>
      <c r="J718">
        <v>1</v>
      </c>
      <c r="K718">
        <v>3</v>
      </c>
      <c r="L718">
        <v>2</v>
      </c>
      <c r="M718">
        <v>13</v>
      </c>
      <c r="N718">
        <v>1</v>
      </c>
    </row>
    <row r="719" spans="1:14" hidden="1" x14ac:dyDescent="0.3">
      <c r="A719">
        <v>2111</v>
      </c>
      <c r="B719">
        <v>67</v>
      </c>
      <c r="C719">
        <v>2025</v>
      </c>
      <c r="D719">
        <v>20</v>
      </c>
      <c r="E719">
        <v>132</v>
      </c>
      <c r="F719">
        <v>27</v>
      </c>
      <c r="G719">
        <v>0</v>
      </c>
      <c r="H719">
        <v>174</v>
      </c>
      <c r="I719">
        <v>2030</v>
      </c>
      <c r="J719">
        <v>4</v>
      </c>
      <c r="K719">
        <v>2</v>
      </c>
      <c r="L719">
        <v>2</v>
      </c>
      <c r="M719">
        <v>9</v>
      </c>
      <c r="N719">
        <v>7</v>
      </c>
    </row>
    <row r="720" spans="1:14" hidden="1" x14ac:dyDescent="0.3">
      <c r="A720">
        <v>3068</v>
      </c>
      <c r="B720">
        <v>67</v>
      </c>
      <c r="C720">
        <v>2581</v>
      </c>
      <c r="D720">
        <v>28</v>
      </c>
      <c r="E720">
        <v>296</v>
      </c>
      <c r="F720">
        <v>76</v>
      </c>
      <c r="G720">
        <v>28</v>
      </c>
      <c r="H720">
        <v>176</v>
      </c>
      <c r="I720">
        <v>2833</v>
      </c>
      <c r="J720">
        <v>1</v>
      </c>
      <c r="K720">
        <v>2</v>
      </c>
      <c r="L720">
        <v>3</v>
      </c>
      <c r="M720">
        <v>4</v>
      </c>
      <c r="N720">
        <v>6</v>
      </c>
    </row>
    <row r="721" spans="1:14" hidden="1" x14ac:dyDescent="0.3">
      <c r="A721">
        <v>1217</v>
      </c>
      <c r="B721">
        <v>66</v>
      </c>
      <c r="C721">
        <v>16</v>
      </c>
      <c r="D721">
        <v>4</v>
      </c>
      <c r="E721">
        <v>35</v>
      </c>
      <c r="F721">
        <v>12</v>
      </c>
      <c r="G721">
        <v>0</v>
      </c>
      <c r="H721">
        <v>0</v>
      </c>
      <c r="I721">
        <v>67</v>
      </c>
      <c r="J721">
        <v>1</v>
      </c>
      <c r="K721">
        <v>1</v>
      </c>
      <c r="L721">
        <v>0</v>
      </c>
      <c r="M721">
        <v>2</v>
      </c>
      <c r="N721">
        <v>8</v>
      </c>
    </row>
    <row r="722" spans="1:14" hidden="1" x14ac:dyDescent="0.3">
      <c r="A722">
        <v>2975</v>
      </c>
      <c r="B722">
        <v>66</v>
      </c>
      <c r="C722">
        <v>36</v>
      </c>
      <c r="D722">
        <v>10</v>
      </c>
      <c r="E722">
        <v>41</v>
      </c>
      <c r="F722">
        <v>15</v>
      </c>
      <c r="G722">
        <v>10</v>
      </c>
      <c r="H722">
        <v>15</v>
      </c>
      <c r="I722">
        <v>97</v>
      </c>
      <c r="J722">
        <v>1</v>
      </c>
      <c r="K722">
        <v>1</v>
      </c>
      <c r="L722">
        <v>0</v>
      </c>
      <c r="M722">
        <v>3</v>
      </c>
      <c r="N722">
        <v>6</v>
      </c>
    </row>
    <row r="723" spans="1:14" hidden="1" x14ac:dyDescent="0.3">
      <c r="A723">
        <v>1354</v>
      </c>
      <c r="B723">
        <v>66</v>
      </c>
      <c r="C723">
        <v>38</v>
      </c>
      <c r="D723">
        <v>15</v>
      </c>
      <c r="E723">
        <v>27</v>
      </c>
      <c r="F723">
        <v>0</v>
      </c>
      <c r="G723">
        <v>23</v>
      </c>
      <c r="H723">
        <v>11</v>
      </c>
      <c r="I723">
        <v>91</v>
      </c>
      <c r="J723">
        <v>1</v>
      </c>
      <c r="K723">
        <v>1</v>
      </c>
      <c r="L723">
        <v>0</v>
      </c>
      <c r="M723">
        <v>3</v>
      </c>
      <c r="N723">
        <v>6</v>
      </c>
    </row>
    <row r="724" spans="1:14" hidden="1" x14ac:dyDescent="0.3">
      <c r="A724">
        <v>3137</v>
      </c>
      <c r="B724">
        <v>66</v>
      </c>
      <c r="C724">
        <v>78</v>
      </c>
      <c r="D724">
        <v>14</v>
      </c>
      <c r="E724">
        <v>34</v>
      </c>
      <c r="F724">
        <v>0</v>
      </c>
      <c r="G724">
        <v>7</v>
      </c>
      <c r="H724">
        <v>51</v>
      </c>
      <c r="I724">
        <v>81</v>
      </c>
      <c r="J724">
        <v>1</v>
      </c>
      <c r="K724">
        <v>1</v>
      </c>
      <c r="L724">
        <v>0</v>
      </c>
      <c r="M724">
        <v>3</v>
      </c>
      <c r="N724">
        <v>4</v>
      </c>
    </row>
    <row r="725" spans="1:14" hidden="1" x14ac:dyDescent="0.3">
      <c r="A725">
        <v>1202</v>
      </c>
      <c r="B725">
        <v>66</v>
      </c>
      <c r="C725">
        <v>576</v>
      </c>
      <c r="D725">
        <v>24</v>
      </c>
      <c r="E725">
        <v>1335</v>
      </c>
      <c r="F725">
        <v>612</v>
      </c>
      <c r="G725">
        <v>210</v>
      </c>
      <c r="H725">
        <v>130</v>
      </c>
      <c r="I725">
        <v>2626</v>
      </c>
      <c r="J725">
        <v>1</v>
      </c>
      <c r="K725">
        <v>3</v>
      </c>
      <c r="L725">
        <v>4</v>
      </c>
      <c r="M725">
        <v>9</v>
      </c>
      <c r="N725">
        <v>1</v>
      </c>
    </row>
    <row r="726" spans="1:14" hidden="1" x14ac:dyDescent="0.3">
      <c r="A726">
        <v>2182</v>
      </c>
      <c r="B726">
        <v>66</v>
      </c>
      <c r="C726">
        <v>601</v>
      </c>
      <c r="D726">
        <v>283</v>
      </c>
      <c r="E726">
        <v>460</v>
      </c>
      <c r="F726">
        <v>278</v>
      </c>
      <c r="G726">
        <v>212</v>
      </c>
      <c r="H726">
        <v>229</v>
      </c>
      <c r="I726">
        <v>1605</v>
      </c>
      <c r="J726">
        <v>3</v>
      </c>
      <c r="K726">
        <v>9</v>
      </c>
      <c r="L726">
        <v>2</v>
      </c>
      <c r="M726">
        <v>8</v>
      </c>
      <c r="N726">
        <v>7</v>
      </c>
    </row>
    <row r="727" spans="1:14" hidden="1" x14ac:dyDescent="0.3">
      <c r="A727">
        <v>2084</v>
      </c>
      <c r="B727">
        <v>66</v>
      </c>
      <c r="C727">
        <v>608</v>
      </c>
      <c r="D727">
        <v>6</v>
      </c>
      <c r="E727">
        <v>86</v>
      </c>
      <c r="F727">
        <v>20</v>
      </c>
      <c r="G727">
        <v>20</v>
      </c>
      <c r="H727">
        <v>29</v>
      </c>
      <c r="I727">
        <v>711</v>
      </c>
      <c r="J727">
        <v>2</v>
      </c>
      <c r="K727">
        <v>4</v>
      </c>
      <c r="L727">
        <v>1</v>
      </c>
      <c r="M727">
        <v>6</v>
      </c>
      <c r="N727">
        <v>5</v>
      </c>
    </row>
    <row r="728" spans="1:14" hidden="1" x14ac:dyDescent="0.3">
      <c r="A728">
        <v>1376</v>
      </c>
      <c r="B728">
        <v>66</v>
      </c>
      <c r="C728">
        <v>880</v>
      </c>
      <c r="D728">
        <v>357</v>
      </c>
      <c r="E728">
        <v>786</v>
      </c>
      <c r="F728">
        <v>218</v>
      </c>
      <c r="G728">
        <v>213</v>
      </c>
      <c r="H728">
        <v>190</v>
      </c>
      <c r="I728">
        <v>2264</v>
      </c>
      <c r="J728">
        <v>1</v>
      </c>
      <c r="K728">
        <v>5</v>
      </c>
      <c r="L728">
        <v>4</v>
      </c>
      <c r="M728">
        <v>6</v>
      </c>
      <c r="N728">
        <v>2</v>
      </c>
    </row>
    <row r="729" spans="1:14" hidden="1" x14ac:dyDescent="0.3">
      <c r="A729">
        <v>1909</v>
      </c>
      <c r="B729">
        <v>66</v>
      </c>
      <c r="C729">
        <v>880</v>
      </c>
      <c r="D729">
        <v>357</v>
      </c>
      <c r="E729">
        <v>786</v>
      </c>
      <c r="F729">
        <v>218</v>
      </c>
      <c r="G729">
        <v>213</v>
      </c>
      <c r="H729">
        <v>190</v>
      </c>
      <c r="I729">
        <v>2264</v>
      </c>
      <c r="J729">
        <v>1</v>
      </c>
      <c r="K729">
        <v>5</v>
      </c>
      <c r="L729">
        <v>4</v>
      </c>
      <c r="M729">
        <v>6</v>
      </c>
      <c r="N729">
        <v>2</v>
      </c>
    </row>
    <row r="730" spans="1:14" hidden="1" x14ac:dyDescent="0.3">
      <c r="A730">
        <v>2646</v>
      </c>
      <c r="B730">
        <v>66</v>
      </c>
      <c r="C730">
        <v>961</v>
      </c>
      <c r="D730">
        <v>231</v>
      </c>
      <c r="E730">
        <v>1655</v>
      </c>
      <c r="F730">
        <v>71</v>
      </c>
      <c r="G730">
        <v>422</v>
      </c>
      <c r="H730">
        <v>114</v>
      </c>
      <c r="I730">
        <v>3225</v>
      </c>
      <c r="J730">
        <v>1</v>
      </c>
      <c r="K730">
        <v>5</v>
      </c>
      <c r="L730">
        <v>6</v>
      </c>
      <c r="M730">
        <v>6</v>
      </c>
      <c r="N730">
        <v>2</v>
      </c>
    </row>
    <row r="731" spans="1:14" hidden="1" x14ac:dyDescent="0.3">
      <c r="A731">
        <v>1838</v>
      </c>
      <c r="B731">
        <v>66</v>
      </c>
      <c r="C731">
        <v>1050</v>
      </c>
      <c r="D731">
        <v>180</v>
      </c>
      <c r="E731">
        <v>326</v>
      </c>
      <c r="F731">
        <v>236</v>
      </c>
      <c r="G731">
        <v>70</v>
      </c>
      <c r="H731">
        <v>180</v>
      </c>
      <c r="I731">
        <v>1681</v>
      </c>
      <c r="J731">
        <v>3</v>
      </c>
      <c r="K731">
        <v>6</v>
      </c>
      <c r="L731">
        <v>2</v>
      </c>
      <c r="M731">
        <v>11</v>
      </c>
      <c r="N731">
        <v>5</v>
      </c>
    </row>
    <row r="732" spans="1:14" hidden="1" x14ac:dyDescent="0.3">
      <c r="A732">
        <v>1786</v>
      </c>
      <c r="B732">
        <v>66</v>
      </c>
      <c r="C732">
        <v>1238</v>
      </c>
      <c r="D732">
        <v>0</v>
      </c>
      <c r="E732">
        <v>78</v>
      </c>
      <c r="F732">
        <v>0</v>
      </c>
      <c r="G732">
        <v>0</v>
      </c>
      <c r="H732">
        <v>63</v>
      </c>
      <c r="I732">
        <v>1253</v>
      </c>
      <c r="J732">
        <v>6</v>
      </c>
      <c r="K732">
        <v>7</v>
      </c>
      <c r="L732">
        <v>1</v>
      </c>
      <c r="M732">
        <v>7</v>
      </c>
      <c r="N732">
        <v>7</v>
      </c>
    </row>
    <row r="733" spans="1:14" hidden="1" x14ac:dyDescent="0.3">
      <c r="A733">
        <v>2537</v>
      </c>
      <c r="B733">
        <v>66</v>
      </c>
      <c r="C733">
        <v>1238</v>
      </c>
      <c r="D733">
        <v>0</v>
      </c>
      <c r="E733">
        <v>78</v>
      </c>
      <c r="F733">
        <v>0</v>
      </c>
      <c r="G733">
        <v>0</v>
      </c>
      <c r="H733">
        <v>63</v>
      </c>
      <c r="I733">
        <v>1253</v>
      </c>
      <c r="J733">
        <v>6</v>
      </c>
      <c r="K733">
        <v>7</v>
      </c>
      <c r="L733">
        <v>1</v>
      </c>
      <c r="M733">
        <v>7</v>
      </c>
      <c r="N733">
        <v>7</v>
      </c>
    </row>
    <row r="734" spans="1:14" hidden="1" x14ac:dyDescent="0.3">
      <c r="A734">
        <v>1957</v>
      </c>
      <c r="B734">
        <v>66</v>
      </c>
      <c r="C734">
        <v>2666</v>
      </c>
      <c r="D734">
        <v>122</v>
      </c>
      <c r="E734">
        <v>984</v>
      </c>
      <c r="F734">
        <v>371</v>
      </c>
      <c r="G734">
        <v>40</v>
      </c>
      <c r="H734">
        <v>40</v>
      </c>
      <c r="I734">
        <v>4143</v>
      </c>
      <c r="J734">
        <v>1</v>
      </c>
      <c r="K734">
        <v>2</v>
      </c>
      <c r="L734">
        <v>4</v>
      </c>
      <c r="M734">
        <v>12</v>
      </c>
      <c r="N734">
        <v>1</v>
      </c>
    </row>
    <row r="735" spans="1:14" hidden="1" x14ac:dyDescent="0.3">
      <c r="A735">
        <v>1487</v>
      </c>
      <c r="B735">
        <v>66</v>
      </c>
      <c r="C735">
        <v>2674</v>
      </c>
      <c r="D735">
        <v>0</v>
      </c>
      <c r="E735">
        <v>358</v>
      </c>
      <c r="F735">
        <v>171</v>
      </c>
      <c r="G735">
        <v>97</v>
      </c>
      <c r="H735">
        <v>391</v>
      </c>
      <c r="I735">
        <v>2909</v>
      </c>
      <c r="J735">
        <v>2</v>
      </c>
      <c r="K735">
        <v>4</v>
      </c>
      <c r="L735">
        <v>3</v>
      </c>
      <c r="M735">
        <v>12</v>
      </c>
      <c r="N735">
        <v>8</v>
      </c>
    </row>
    <row r="736" spans="1:14" hidden="1" x14ac:dyDescent="0.3">
      <c r="A736">
        <v>2855</v>
      </c>
      <c r="B736">
        <v>66</v>
      </c>
      <c r="C736">
        <v>2942</v>
      </c>
      <c r="D736">
        <v>258</v>
      </c>
      <c r="E736">
        <v>734</v>
      </c>
      <c r="F736">
        <v>56</v>
      </c>
      <c r="G736">
        <v>345</v>
      </c>
      <c r="H736">
        <v>80</v>
      </c>
      <c r="I736">
        <v>4256</v>
      </c>
      <c r="J736">
        <v>1</v>
      </c>
      <c r="K736">
        <v>5</v>
      </c>
      <c r="L736">
        <v>8</v>
      </c>
      <c r="M736">
        <v>4</v>
      </c>
      <c r="N736">
        <v>6</v>
      </c>
    </row>
    <row r="737" spans="1:14" hidden="1" x14ac:dyDescent="0.3">
      <c r="A737">
        <v>1220</v>
      </c>
      <c r="B737">
        <v>65</v>
      </c>
      <c r="C737">
        <v>11</v>
      </c>
      <c r="D737">
        <v>4</v>
      </c>
      <c r="E737">
        <v>29</v>
      </c>
      <c r="F737">
        <v>14</v>
      </c>
      <c r="G737">
        <v>11</v>
      </c>
      <c r="H737">
        <v>11</v>
      </c>
      <c r="I737">
        <v>57</v>
      </c>
      <c r="J737">
        <v>1</v>
      </c>
      <c r="K737">
        <v>1</v>
      </c>
      <c r="L737">
        <v>0</v>
      </c>
      <c r="M737">
        <v>2</v>
      </c>
      <c r="N737">
        <v>8</v>
      </c>
    </row>
    <row r="738" spans="1:14" hidden="1" x14ac:dyDescent="0.3">
      <c r="A738">
        <v>1677</v>
      </c>
      <c r="B738">
        <v>65</v>
      </c>
      <c r="C738">
        <v>15</v>
      </c>
      <c r="D738">
        <v>8</v>
      </c>
      <c r="E738">
        <v>43</v>
      </c>
      <c r="F738">
        <v>8</v>
      </c>
      <c r="G738">
        <v>0</v>
      </c>
      <c r="H738">
        <v>15</v>
      </c>
      <c r="I738">
        <v>58</v>
      </c>
      <c r="J738">
        <v>1</v>
      </c>
      <c r="K738">
        <v>1</v>
      </c>
      <c r="L738">
        <v>0</v>
      </c>
      <c r="M738">
        <v>2</v>
      </c>
      <c r="N738">
        <v>6</v>
      </c>
    </row>
    <row r="739" spans="1:14" hidden="1" x14ac:dyDescent="0.3">
      <c r="A739">
        <v>1976</v>
      </c>
      <c r="B739">
        <v>65</v>
      </c>
      <c r="C739">
        <v>15</v>
      </c>
      <c r="D739">
        <v>8</v>
      </c>
      <c r="E739">
        <v>43</v>
      </c>
      <c r="F739">
        <v>8</v>
      </c>
      <c r="G739">
        <v>0</v>
      </c>
      <c r="H739">
        <v>15</v>
      </c>
      <c r="I739">
        <v>58</v>
      </c>
      <c r="J739">
        <v>1</v>
      </c>
      <c r="K739">
        <v>1</v>
      </c>
      <c r="L739">
        <v>0</v>
      </c>
      <c r="M739">
        <v>2</v>
      </c>
      <c r="N739">
        <v>6</v>
      </c>
    </row>
    <row r="740" spans="1:14" hidden="1" x14ac:dyDescent="0.3">
      <c r="A740">
        <v>3098</v>
      </c>
      <c r="B740">
        <v>65</v>
      </c>
      <c r="C740">
        <v>16</v>
      </c>
      <c r="D740">
        <v>0</v>
      </c>
      <c r="E740">
        <v>8</v>
      </c>
      <c r="F740">
        <v>0</v>
      </c>
      <c r="G740">
        <v>0</v>
      </c>
      <c r="H740">
        <v>8</v>
      </c>
      <c r="I740">
        <v>16</v>
      </c>
      <c r="J740">
        <v>1</v>
      </c>
      <c r="K740">
        <v>1</v>
      </c>
      <c r="L740">
        <v>0</v>
      </c>
      <c r="M740">
        <v>2</v>
      </c>
      <c r="N740">
        <v>7</v>
      </c>
    </row>
    <row r="741" spans="1:14" hidden="1" x14ac:dyDescent="0.3">
      <c r="A741">
        <v>2060</v>
      </c>
      <c r="B741">
        <v>65</v>
      </c>
      <c r="C741">
        <v>24</v>
      </c>
      <c r="D741">
        <v>7</v>
      </c>
      <c r="E741">
        <v>21</v>
      </c>
      <c r="F741">
        <v>7</v>
      </c>
      <c r="G741">
        <v>0</v>
      </c>
      <c r="H741">
        <v>10</v>
      </c>
      <c r="I741">
        <v>48</v>
      </c>
      <c r="J741">
        <v>1</v>
      </c>
      <c r="K741">
        <v>1</v>
      </c>
      <c r="L741">
        <v>0</v>
      </c>
      <c r="M741">
        <v>2</v>
      </c>
      <c r="N741">
        <v>7</v>
      </c>
    </row>
    <row r="742" spans="1:14" hidden="1" x14ac:dyDescent="0.3">
      <c r="A742">
        <v>2155</v>
      </c>
      <c r="B742">
        <v>65</v>
      </c>
      <c r="C742">
        <v>26</v>
      </c>
      <c r="D742">
        <v>120</v>
      </c>
      <c r="E742">
        <v>78</v>
      </c>
      <c r="F742">
        <v>0</v>
      </c>
      <c r="G742">
        <v>94</v>
      </c>
      <c r="H742">
        <v>73</v>
      </c>
      <c r="I742">
        <v>245</v>
      </c>
      <c r="J742">
        <v>2</v>
      </c>
      <c r="K742">
        <v>2</v>
      </c>
      <c r="L742">
        <v>0</v>
      </c>
      <c r="M742">
        <v>3</v>
      </c>
      <c r="N742">
        <v>8</v>
      </c>
    </row>
    <row r="743" spans="1:14" hidden="1" x14ac:dyDescent="0.3">
      <c r="A743">
        <v>1811</v>
      </c>
      <c r="B743">
        <v>65</v>
      </c>
      <c r="C743">
        <v>28</v>
      </c>
      <c r="D743">
        <v>14</v>
      </c>
      <c r="E743">
        <v>79</v>
      </c>
      <c r="F743">
        <v>31</v>
      </c>
      <c r="G743">
        <v>3</v>
      </c>
      <c r="H743">
        <v>22</v>
      </c>
      <c r="I743">
        <v>132</v>
      </c>
      <c r="J743">
        <v>1</v>
      </c>
      <c r="K743">
        <v>2</v>
      </c>
      <c r="L743">
        <v>0</v>
      </c>
      <c r="M743">
        <v>3</v>
      </c>
      <c r="N743">
        <v>5</v>
      </c>
    </row>
    <row r="744" spans="1:14" hidden="1" x14ac:dyDescent="0.3">
      <c r="A744">
        <v>2505</v>
      </c>
      <c r="B744">
        <v>65</v>
      </c>
      <c r="C744">
        <v>42</v>
      </c>
      <c r="D744">
        <v>67</v>
      </c>
      <c r="E744">
        <v>18</v>
      </c>
      <c r="F744">
        <v>61</v>
      </c>
      <c r="G744">
        <v>24</v>
      </c>
      <c r="H744">
        <v>121</v>
      </c>
      <c r="I744">
        <v>91</v>
      </c>
      <c r="J744">
        <v>2</v>
      </c>
      <c r="K744">
        <v>1</v>
      </c>
      <c r="L744">
        <v>1</v>
      </c>
      <c r="M744">
        <v>3</v>
      </c>
      <c r="N744">
        <v>5</v>
      </c>
    </row>
    <row r="745" spans="1:14" hidden="1" x14ac:dyDescent="0.3">
      <c r="A745">
        <v>2226</v>
      </c>
      <c r="B745">
        <v>65</v>
      </c>
      <c r="C745">
        <v>59</v>
      </c>
      <c r="D745">
        <v>59</v>
      </c>
      <c r="E745">
        <v>176</v>
      </c>
      <c r="F745">
        <v>59</v>
      </c>
      <c r="G745">
        <v>59</v>
      </c>
      <c r="H745">
        <v>59</v>
      </c>
      <c r="I745">
        <v>353</v>
      </c>
      <c r="J745">
        <v>15</v>
      </c>
      <c r="K745">
        <v>0</v>
      </c>
      <c r="L745">
        <v>0</v>
      </c>
      <c r="M745">
        <v>0</v>
      </c>
      <c r="N745">
        <v>20</v>
      </c>
    </row>
    <row r="746" spans="1:14" hidden="1" x14ac:dyDescent="0.3">
      <c r="A746">
        <v>1330</v>
      </c>
      <c r="B746">
        <v>65</v>
      </c>
      <c r="C746">
        <v>98</v>
      </c>
      <c r="D746">
        <v>0</v>
      </c>
      <c r="E746">
        <v>29</v>
      </c>
      <c r="F746">
        <v>0</v>
      </c>
      <c r="G746">
        <v>0</v>
      </c>
      <c r="H746">
        <v>10</v>
      </c>
      <c r="I746">
        <v>117</v>
      </c>
      <c r="J746">
        <v>2</v>
      </c>
      <c r="K746">
        <v>1</v>
      </c>
      <c r="L746">
        <v>0</v>
      </c>
      <c r="M746">
        <v>3</v>
      </c>
      <c r="N746">
        <v>6</v>
      </c>
    </row>
    <row r="747" spans="1:14" hidden="1" x14ac:dyDescent="0.3">
      <c r="A747">
        <v>2448</v>
      </c>
      <c r="B747">
        <v>65</v>
      </c>
      <c r="C747">
        <v>113</v>
      </c>
      <c r="D747">
        <v>0</v>
      </c>
      <c r="E747">
        <v>19</v>
      </c>
      <c r="F747">
        <v>0</v>
      </c>
      <c r="G747">
        <v>4</v>
      </c>
      <c r="H747">
        <v>19</v>
      </c>
      <c r="I747">
        <v>116</v>
      </c>
      <c r="J747">
        <v>1</v>
      </c>
      <c r="K747">
        <v>1</v>
      </c>
      <c r="L747">
        <v>0</v>
      </c>
      <c r="M747">
        <v>3</v>
      </c>
      <c r="N747">
        <v>5</v>
      </c>
    </row>
    <row r="748" spans="1:14" hidden="1" x14ac:dyDescent="0.3">
      <c r="A748">
        <v>2373</v>
      </c>
      <c r="B748">
        <v>65</v>
      </c>
      <c r="C748">
        <v>118</v>
      </c>
      <c r="D748">
        <v>14</v>
      </c>
      <c r="E748">
        <v>76</v>
      </c>
      <c r="F748">
        <v>38</v>
      </c>
      <c r="G748">
        <v>24</v>
      </c>
      <c r="H748">
        <v>9</v>
      </c>
      <c r="I748">
        <v>261</v>
      </c>
      <c r="J748">
        <v>2</v>
      </c>
      <c r="K748">
        <v>2</v>
      </c>
      <c r="L748">
        <v>1</v>
      </c>
      <c r="M748">
        <v>3</v>
      </c>
      <c r="N748">
        <v>6</v>
      </c>
    </row>
    <row r="749" spans="1:14" hidden="1" x14ac:dyDescent="0.3">
      <c r="A749">
        <v>1139</v>
      </c>
      <c r="B749">
        <v>65</v>
      </c>
      <c r="C749">
        <v>127</v>
      </c>
      <c r="D749">
        <v>48</v>
      </c>
      <c r="E749">
        <v>87</v>
      </c>
      <c r="F749">
        <v>36</v>
      </c>
      <c r="G749">
        <v>60</v>
      </c>
      <c r="H749">
        <v>24</v>
      </c>
      <c r="I749">
        <v>335</v>
      </c>
      <c r="J749">
        <v>1</v>
      </c>
      <c r="K749">
        <v>2</v>
      </c>
      <c r="L749">
        <v>1</v>
      </c>
      <c r="M749">
        <v>4</v>
      </c>
      <c r="N749">
        <v>3</v>
      </c>
    </row>
    <row r="750" spans="1:14" hidden="1" x14ac:dyDescent="0.3">
      <c r="A750">
        <v>3167</v>
      </c>
      <c r="B750">
        <v>65</v>
      </c>
      <c r="C750">
        <v>144</v>
      </c>
      <c r="D750">
        <v>4</v>
      </c>
      <c r="E750">
        <v>59</v>
      </c>
      <c r="F750">
        <v>7</v>
      </c>
      <c r="G750">
        <v>0</v>
      </c>
      <c r="H750">
        <v>11</v>
      </c>
      <c r="I750">
        <v>203</v>
      </c>
      <c r="J750">
        <v>4</v>
      </c>
      <c r="K750">
        <v>3</v>
      </c>
      <c r="L750">
        <v>0</v>
      </c>
      <c r="M750">
        <v>3</v>
      </c>
      <c r="N750">
        <v>8</v>
      </c>
    </row>
    <row r="751" spans="1:14" hidden="1" x14ac:dyDescent="0.3">
      <c r="A751">
        <v>2016</v>
      </c>
      <c r="B751">
        <v>65</v>
      </c>
      <c r="C751">
        <v>178</v>
      </c>
      <c r="D751">
        <v>151</v>
      </c>
      <c r="E751">
        <v>593</v>
      </c>
      <c r="F751">
        <v>187</v>
      </c>
      <c r="G751">
        <v>119</v>
      </c>
      <c r="H751">
        <v>201</v>
      </c>
      <c r="I751">
        <v>1027</v>
      </c>
      <c r="J751">
        <v>2</v>
      </c>
      <c r="K751">
        <v>5</v>
      </c>
      <c r="L751">
        <v>1</v>
      </c>
      <c r="M751">
        <v>5</v>
      </c>
      <c r="N751">
        <v>8</v>
      </c>
    </row>
    <row r="752" spans="1:14" hidden="1" x14ac:dyDescent="0.3">
      <c r="A752">
        <v>1517</v>
      </c>
      <c r="B752">
        <v>65</v>
      </c>
      <c r="C752">
        <v>283</v>
      </c>
      <c r="D752">
        <v>15</v>
      </c>
      <c r="E752">
        <v>233</v>
      </c>
      <c r="F752">
        <v>8</v>
      </c>
      <c r="G752">
        <v>23</v>
      </c>
      <c r="H752">
        <v>96</v>
      </c>
      <c r="I752">
        <v>466</v>
      </c>
      <c r="J752">
        <v>2</v>
      </c>
      <c r="K752">
        <v>3</v>
      </c>
      <c r="L752">
        <v>2</v>
      </c>
      <c r="M752">
        <v>5</v>
      </c>
      <c r="N752">
        <v>4</v>
      </c>
    </row>
    <row r="753" spans="1:14" hidden="1" x14ac:dyDescent="0.3">
      <c r="A753">
        <v>2435</v>
      </c>
      <c r="B753">
        <v>65</v>
      </c>
      <c r="C753">
        <v>551</v>
      </c>
      <c r="D753">
        <v>231</v>
      </c>
      <c r="E753">
        <v>443</v>
      </c>
      <c r="F753">
        <v>418</v>
      </c>
      <c r="G753">
        <v>231</v>
      </c>
      <c r="H753">
        <v>50</v>
      </c>
      <c r="I753">
        <v>1823</v>
      </c>
      <c r="J753">
        <v>2</v>
      </c>
      <c r="K753">
        <v>5</v>
      </c>
      <c r="L753">
        <v>2</v>
      </c>
      <c r="M753">
        <v>9</v>
      </c>
      <c r="N753">
        <v>6</v>
      </c>
    </row>
    <row r="754" spans="1:14" hidden="1" x14ac:dyDescent="0.3">
      <c r="A754">
        <v>2507</v>
      </c>
      <c r="B754">
        <v>65</v>
      </c>
      <c r="C754">
        <v>620</v>
      </c>
      <c r="D754">
        <v>20</v>
      </c>
      <c r="E754">
        <v>95</v>
      </c>
      <c r="F754">
        <v>9</v>
      </c>
      <c r="G754">
        <v>0</v>
      </c>
      <c r="H754">
        <v>37</v>
      </c>
      <c r="I754">
        <v>707</v>
      </c>
      <c r="J754">
        <v>6</v>
      </c>
      <c r="K754">
        <v>5</v>
      </c>
      <c r="L754">
        <v>1</v>
      </c>
      <c r="M754">
        <v>5</v>
      </c>
      <c r="N754">
        <v>7</v>
      </c>
    </row>
    <row r="755" spans="1:14" hidden="1" x14ac:dyDescent="0.3">
      <c r="A755">
        <v>1969</v>
      </c>
      <c r="B755">
        <v>65</v>
      </c>
      <c r="C755">
        <v>701</v>
      </c>
      <c r="D755">
        <v>59</v>
      </c>
      <c r="E755">
        <v>1443</v>
      </c>
      <c r="F755">
        <v>406</v>
      </c>
      <c r="G755">
        <v>83</v>
      </c>
      <c r="H755">
        <v>273</v>
      </c>
      <c r="I755">
        <v>2419</v>
      </c>
      <c r="J755">
        <v>1</v>
      </c>
      <c r="K755">
        <v>4</v>
      </c>
      <c r="L755">
        <v>9</v>
      </c>
      <c r="M755">
        <v>13</v>
      </c>
      <c r="N755">
        <v>2</v>
      </c>
    </row>
    <row r="756" spans="1:14" hidden="1" x14ac:dyDescent="0.3">
      <c r="A756">
        <v>1112</v>
      </c>
      <c r="B756">
        <v>65</v>
      </c>
      <c r="C756">
        <v>890</v>
      </c>
      <c r="D756">
        <v>134</v>
      </c>
      <c r="E756">
        <v>370</v>
      </c>
      <c r="F756">
        <v>108</v>
      </c>
      <c r="G756">
        <v>200</v>
      </c>
      <c r="H756">
        <v>134</v>
      </c>
      <c r="I756">
        <v>1569</v>
      </c>
      <c r="J756">
        <v>4</v>
      </c>
      <c r="K756">
        <v>6</v>
      </c>
      <c r="L756">
        <v>2</v>
      </c>
      <c r="M756">
        <v>10</v>
      </c>
      <c r="N756">
        <v>4</v>
      </c>
    </row>
    <row r="757" spans="1:14" hidden="1" x14ac:dyDescent="0.3">
      <c r="A757">
        <v>2121</v>
      </c>
      <c r="B757">
        <v>65</v>
      </c>
      <c r="C757">
        <v>890</v>
      </c>
      <c r="D757">
        <v>134</v>
      </c>
      <c r="E757">
        <v>370</v>
      </c>
      <c r="F757">
        <v>108</v>
      </c>
      <c r="G757">
        <v>200</v>
      </c>
      <c r="H757">
        <v>134</v>
      </c>
      <c r="I757">
        <v>1569</v>
      </c>
      <c r="J757">
        <v>4</v>
      </c>
      <c r="K757">
        <v>6</v>
      </c>
      <c r="L757">
        <v>2</v>
      </c>
      <c r="M757">
        <v>10</v>
      </c>
      <c r="N757">
        <v>4</v>
      </c>
    </row>
    <row r="758" spans="1:14" hidden="1" x14ac:dyDescent="0.3">
      <c r="A758">
        <v>2838</v>
      </c>
      <c r="B758">
        <v>65</v>
      </c>
      <c r="C758">
        <v>981</v>
      </c>
      <c r="D758">
        <v>169</v>
      </c>
      <c r="E758">
        <v>576</v>
      </c>
      <c r="F758">
        <v>248</v>
      </c>
      <c r="G758">
        <v>212</v>
      </c>
      <c r="H758">
        <v>128</v>
      </c>
      <c r="I758">
        <v>2059</v>
      </c>
      <c r="J758">
        <v>1</v>
      </c>
      <c r="K758">
        <v>5</v>
      </c>
      <c r="L758">
        <v>4</v>
      </c>
      <c r="M758">
        <v>4</v>
      </c>
      <c r="N758">
        <v>2</v>
      </c>
    </row>
    <row r="759" spans="1:14" hidden="1" x14ac:dyDescent="0.3">
      <c r="A759">
        <v>1349</v>
      </c>
      <c r="B759">
        <v>65</v>
      </c>
      <c r="C759">
        <v>1141</v>
      </c>
      <c r="D759">
        <v>0</v>
      </c>
      <c r="E759">
        <v>260</v>
      </c>
      <c r="F759">
        <v>79</v>
      </c>
      <c r="G759">
        <v>76</v>
      </c>
      <c r="H759">
        <v>401</v>
      </c>
      <c r="I759">
        <v>1155</v>
      </c>
      <c r="J759">
        <v>2</v>
      </c>
      <c r="K759">
        <v>6</v>
      </c>
      <c r="L759">
        <v>2</v>
      </c>
      <c r="M759">
        <v>9</v>
      </c>
      <c r="N759">
        <v>4</v>
      </c>
    </row>
    <row r="760" spans="1:14" hidden="1" x14ac:dyDescent="0.3">
      <c r="A760">
        <v>1941</v>
      </c>
      <c r="B760">
        <v>65</v>
      </c>
      <c r="C760">
        <v>1355</v>
      </c>
      <c r="D760">
        <v>205</v>
      </c>
      <c r="E760">
        <v>413</v>
      </c>
      <c r="F760">
        <v>60</v>
      </c>
      <c r="G760">
        <v>297</v>
      </c>
      <c r="H760">
        <v>275</v>
      </c>
      <c r="I760">
        <v>2056</v>
      </c>
      <c r="J760">
        <v>2</v>
      </c>
      <c r="K760">
        <v>4</v>
      </c>
      <c r="L760">
        <v>7</v>
      </c>
      <c r="M760">
        <v>13</v>
      </c>
      <c r="N760">
        <v>2</v>
      </c>
    </row>
    <row r="761" spans="1:14" hidden="1" x14ac:dyDescent="0.3">
      <c r="A761">
        <v>1515</v>
      </c>
      <c r="B761">
        <v>65</v>
      </c>
      <c r="C761">
        <v>1471</v>
      </c>
      <c r="D761">
        <v>128</v>
      </c>
      <c r="E761">
        <v>618</v>
      </c>
      <c r="F761">
        <v>302</v>
      </c>
      <c r="G761">
        <v>128</v>
      </c>
      <c r="H761">
        <v>128</v>
      </c>
      <c r="I761">
        <v>2518</v>
      </c>
      <c r="J761">
        <v>1</v>
      </c>
      <c r="K761">
        <v>4</v>
      </c>
      <c r="L761">
        <v>7</v>
      </c>
      <c r="M761">
        <v>5</v>
      </c>
      <c r="N761">
        <v>1</v>
      </c>
    </row>
    <row r="762" spans="1:14" hidden="1" x14ac:dyDescent="0.3">
      <c r="A762">
        <v>1342</v>
      </c>
      <c r="B762">
        <v>65</v>
      </c>
      <c r="C762">
        <v>1596</v>
      </c>
      <c r="D762">
        <v>43</v>
      </c>
      <c r="E762">
        <v>449</v>
      </c>
      <c r="F762">
        <v>175</v>
      </c>
      <c r="G762">
        <v>0</v>
      </c>
      <c r="H762">
        <v>20</v>
      </c>
      <c r="I762">
        <v>2242</v>
      </c>
      <c r="J762">
        <v>1</v>
      </c>
      <c r="K762">
        <v>5</v>
      </c>
      <c r="L762">
        <v>3</v>
      </c>
      <c r="M762">
        <v>5</v>
      </c>
      <c r="N762">
        <v>2</v>
      </c>
    </row>
    <row r="763" spans="1:14" hidden="1" x14ac:dyDescent="0.3">
      <c r="A763">
        <v>2481</v>
      </c>
      <c r="B763">
        <v>65</v>
      </c>
      <c r="C763">
        <v>1937</v>
      </c>
      <c r="D763">
        <v>21</v>
      </c>
      <c r="E763">
        <v>323</v>
      </c>
      <c r="F763">
        <v>28</v>
      </c>
      <c r="G763">
        <v>21</v>
      </c>
      <c r="H763">
        <v>67</v>
      </c>
      <c r="I763">
        <v>2262</v>
      </c>
      <c r="J763">
        <v>1</v>
      </c>
      <c r="K763">
        <v>4</v>
      </c>
      <c r="L763">
        <v>3</v>
      </c>
      <c r="M763">
        <v>6</v>
      </c>
      <c r="N763">
        <v>2</v>
      </c>
    </row>
    <row r="764" spans="1:14" hidden="1" x14ac:dyDescent="0.3">
      <c r="A764">
        <v>1570</v>
      </c>
      <c r="B764">
        <v>65</v>
      </c>
      <c r="C764">
        <v>2388</v>
      </c>
      <c r="D764">
        <v>47</v>
      </c>
      <c r="E764">
        <v>1194</v>
      </c>
      <c r="F764">
        <v>72</v>
      </c>
      <c r="G764">
        <v>0</v>
      </c>
      <c r="H764">
        <v>505</v>
      </c>
      <c r="I764">
        <v>3197</v>
      </c>
      <c r="J764">
        <v>1</v>
      </c>
      <c r="K764">
        <v>5</v>
      </c>
      <c r="L764">
        <v>11</v>
      </c>
      <c r="M764">
        <v>5</v>
      </c>
      <c r="N764">
        <v>3</v>
      </c>
    </row>
    <row r="765" spans="1:14" hidden="1" x14ac:dyDescent="0.3">
      <c r="A765">
        <v>1326</v>
      </c>
      <c r="B765">
        <v>65</v>
      </c>
      <c r="C765">
        <v>3101</v>
      </c>
      <c r="D765">
        <v>0</v>
      </c>
      <c r="E765">
        <v>127</v>
      </c>
      <c r="F765">
        <v>0</v>
      </c>
      <c r="G765">
        <v>0</v>
      </c>
      <c r="H765">
        <v>96</v>
      </c>
      <c r="I765">
        <v>3132</v>
      </c>
      <c r="J765">
        <v>3</v>
      </c>
      <c r="K765">
        <v>4</v>
      </c>
      <c r="L765">
        <v>2</v>
      </c>
      <c r="M765">
        <v>11</v>
      </c>
      <c r="N765">
        <v>8</v>
      </c>
    </row>
    <row r="766" spans="1:14" hidden="1" x14ac:dyDescent="0.3">
      <c r="A766">
        <v>2901</v>
      </c>
      <c r="B766">
        <v>65</v>
      </c>
      <c r="C766">
        <v>3101</v>
      </c>
      <c r="D766">
        <v>0</v>
      </c>
      <c r="E766">
        <v>127</v>
      </c>
      <c r="F766">
        <v>0</v>
      </c>
      <c r="G766">
        <v>0</v>
      </c>
      <c r="H766">
        <v>96</v>
      </c>
      <c r="I766">
        <v>3132</v>
      </c>
      <c r="J766">
        <v>3</v>
      </c>
      <c r="K766">
        <v>4</v>
      </c>
      <c r="L766">
        <v>2</v>
      </c>
      <c r="M766">
        <v>11</v>
      </c>
      <c r="N766">
        <v>8</v>
      </c>
    </row>
    <row r="767" spans="1:14" hidden="1" x14ac:dyDescent="0.3">
      <c r="A767">
        <v>2755</v>
      </c>
      <c r="B767">
        <v>64</v>
      </c>
      <c r="C767">
        <v>0</v>
      </c>
      <c r="D767">
        <v>24</v>
      </c>
      <c r="E767">
        <v>42</v>
      </c>
      <c r="F767">
        <v>65</v>
      </c>
      <c r="G767">
        <v>60</v>
      </c>
      <c r="H767">
        <v>89</v>
      </c>
      <c r="I767">
        <v>101</v>
      </c>
      <c r="J767">
        <v>2</v>
      </c>
      <c r="K767">
        <v>2</v>
      </c>
      <c r="L767">
        <v>0</v>
      </c>
      <c r="M767">
        <v>3</v>
      </c>
      <c r="N767">
        <v>6</v>
      </c>
    </row>
    <row r="768" spans="1:14" hidden="1" x14ac:dyDescent="0.3">
      <c r="A768">
        <v>1293</v>
      </c>
      <c r="B768">
        <v>64</v>
      </c>
      <c r="C768">
        <v>5</v>
      </c>
      <c r="D768">
        <v>122</v>
      </c>
      <c r="E768">
        <v>117</v>
      </c>
      <c r="F768">
        <v>80</v>
      </c>
      <c r="G768">
        <v>108</v>
      </c>
      <c r="H768">
        <v>70</v>
      </c>
      <c r="I768">
        <v>362</v>
      </c>
      <c r="J768">
        <v>1</v>
      </c>
      <c r="K768">
        <v>3</v>
      </c>
      <c r="L768">
        <v>0</v>
      </c>
      <c r="M768">
        <v>3</v>
      </c>
      <c r="N768">
        <v>9</v>
      </c>
    </row>
    <row r="769" spans="1:14" hidden="1" x14ac:dyDescent="0.3">
      <c r="A769">
        <v>2035</v>
      </c>
      <c r="B769">
        <v>64</v>
      </c>
      <c r="C769">
        <v>56</v>
      </c>
      <c r="D769">
        <v>0</v>
      </c>
      <c r="E769">
        <v>61</v>
      </c>
      <c r="F769">
        <v>9</v>
      </c>
      <c r="G769">
        <v>0</v>
      </c>
      <c r="H769">
        <v>47</v>
      </c>
      <c r="I769">
        <v>80</v>
      </c>
      <c r="J769">
        <v>1</v>
      </c>
      <c r="K769">
        <v>1</v>
      </c>
      <c r="L769">
        <v>0</v>
      </c>
      <c r="M769">
        <v>3</v>
      </c>
      <c r="N769">
        <v>7</v>
      </c>
    </row>
    <row r="770" spans="1:14" hidden="1" x14ac:dyDescent="0.3">
      <c r="A770">
        <v>2406</v>
      </c>
      <c r="B770">
        <v>64</v>
      </c>
      <c r="C770">
        <v>56</v>
      </c>
      <c r="D770">
        <v>0</v>
      </c>
      <c r="E770">
        <v>61</v>
      </c>
      <c r="F770">
        <v>9</v>
      </c>
      <c r="G770">
        <v>0</v>
      </c>
      <c r="H770">
        <v>47</v>
      </c>
      <c r="I770">
        <v>80</v>
      </c>
      <c r="J770">
        <v>1</v>
      </c>
      <c r="K770">
        <v>1</v>
      </c>
      <c r="L770">
        <v>0</v>
      </c>
      <c r="M770">
        <v>3</v>
      </c>
      <c r="N770">
        <v>7</v>
      </c>
    </row>
    <row r="771" spans="1:14" hidden="1" x14ac:dyDescent="0.3">
      <c r="A771">
        <v>2917</v>
      </c>
      <c r="B771">
        <v>64</v>
      </c>
      <c r="C771">
        <v>115</v>
      </c>
      <c r="D771">
        <v>0</v>
      </c>
      <c r="E771">
        <v>31</v>
      </c>
      <c r="F771">
        <v>31</v>
      </c>
      <c r="G771">
        <v>10</v>
      </c>
      <c r="H771">
        <v>31</v>
      </c>
      <c r="I771">
        <v>156</v>
      </c>
      <c r="J771">
        <v>1</v>
      </c>
      <c r="K771">
        <v>1</v>
      </c>
      <c r="L771">
        <v>0</v>
      </c>
      <c r="M771">
        <v>3</v>
      </c>
      <c r="N771">
        <v>7</v>
      </c>
    </row>
    <row r="772" spans="1:14" hidden="1" x14ac:dyDescent="0.3">
      <c r="A772">
        <v>1568</v>
      </c>
      <c r="B772">
        <v>64</v>
      </c>
      <c r="C772">
        <v>163</v>
      </c>
      <c r="D772">
        <v>0</v>
      </c>
      <c r="E772">
        <v>25</v>
      </c>
      <c r="F772">
        <v>0</v>
      </c>
      <c r="G772">
        <v>0</v>
      </c>
      <c r="H772">
        <v>7</v>
      </c>
      <c r="I772">
        <v>180</v>
      </c>
      <c r="J772">
        <v>2</v>
      </c>
      <c r="K772">
        <v>2</v>
      </c>
      <c r="L772">
        <v>0</v>
      </c>
      <c r="M772">
        <v>3</v>
      </c>
      <c r="N772">
        <v>6</v>
      </c>
    </row>
    <row r="773" spans="1:14" hidden="1" x14ac:dyDescent="0.3">
      <c r="A773">
        <v>1757</v>
      </c>
      <c r="B773">
        <v>64</v>
      </c>
      <c r="C773">
        <v>242</v>
      </c>
      <c r="D773">
        <v>0</v>
      </c>
      <c r="E773">
        <v>59</v>
      </c>
      <c r="F773">
        <v>0</v>
      </c>
      <c r="G773">
        <v>0</v>
      </c>
      <c r="H773">
        <v>21</v>
      </c>
      <c r="I773">
        <v>280</v>
      </c>
      <c r="J773">
        <v>2</v>
      </c>
      <c r="K773">
        <v>2</v>
      </c>
      <c r="L773">
        <v>1</v>
      </c>
      <c r="M773">
        <v>3</v>
      </c>
      <c r="N773">
        <v>6</v>
      </c>
    </row>
    <row r="774" spans="1:14" hidden="1" x14ac:dyDescent="0.3">
      <c r="A774">
        <v>2195</v>
      </c>
      <c r="B774">
        <v>64</v>
      </c>
      <c r="C774">
        <v>434</v>
      </c>
      <c r="D774">
        <v>17</v>
      </c>
      <c r="E774">
        <v>108</v>
      </c>
      <c r="F774">
        <v>17</v>
      </c>
      <c r="G774">
        <v>36</v>
      </c>
      <c r="H774">
        <v>207</v>
      </c>
      <c r="I774">
        <v>403</v>
      </c>
      <c r="J774">
        <v>5</v>
      </c>
      <c r="K774">
        <v>4</v>
      </c>
      <c r="L774">
        <v>1</v>
      </c>
      <c r="M774">
        <v>5</v>
      </c>
      <c r="N774">
        <v>6</v>
      </c>
    </row>
    <row r="775" spans="1:14" hidden="1" x14ac:dyDescent="0.3">
      <c r="A775">
        <v>2607</v>
      </c>
      <c r="B775">
        <v>64</v>
      </c>
      <c r="C775">
        <v>531</v>
      </c>
      <c r="D775">
        <v>7</v>
      </c>
      <c r="E775">
        <v>170</v>
      </c>
      <c r="F775">
        <v>20</v>
      </c>
      <c r="G775">
        <v>7</v>
      </c>
      <c r="H775">
        <v>80</v>
      </c>
      <c r="I775">
        <v>655</v>
      </c>
      <c r="J775">
        <v>3</v>
      </c>
      <c r="K775">
        <v>4</v>
      </c>
      <c r="L775">
        <v>1</v>
      </c>
      <c r="M775">
        <v>5</v>
      </c>
      <c r="N775">
        <v>5</v>
      </c>
    </row>
    <row r="776" spans="1:14" hidden="1" x14ac:dyDescent="0.3">
      <c r="A776">
        <v>1564</v>
      </c>
      <c r="B776">
        <v>64</v>
      </c>
      <c r="C776">
        <v>652</v>
      </c>
      <c r="D776">
        <v>0</v>
      </c>
      <c r="E776">
        <v>32</v>
      </c>
      <c r="F776">
        <v>0</v>
      </c>
      <c r="G776">
        <v>0</v>
      </c>
      <c r="H776">
        <v>6</v>
      </c>
      <c r="I776">
        <v>678</v>
      </c>
      <c r="J776">
        <v>5</v>
      </c>
      <c r="K776">
        <v>3</v>
      </c>
      <c r="L776">
        <v>1</v>
      </c>
      <c r="M776">
        <v>6</v>
      </c>
      <c r="N776">
        <v>6</v>
      </c>
    </row>
    <row r="777" spans="1:14" hidden="1" x14ac:dyDescent="0.3">
      <c r="A777">
        <v>2185</v>
      </c>
      <c r="B777">
        <v>64</v>
      </c>
      <c r="C777">
        <v>728</v>
      </c>
      <c r="D777">
        <v>25</v>
      </c>
      <c r="E777">
        <v>1723</v>
      </c>
      <c r="F777">
        <v>210</v>
      </c>
      <c r="G777">
        <v>25</v>
      </c>
      <c r="H777">
        <v>0</v>
      </c>
      <c r="I777">
        <v>2711</v>
      </c>
      <c r="J777">
        <v>1</v>
      </c>
      <c r="K777">
        <v>3</v>
      </c>
      <c r="L777">
        <v>4</v>
      </c>
      <c r="M777">
        <v>9</v>
      </c>
      <c r="N777">
        <v>1</v>
      </c>
    </row>
    <row r="778" spans="1:14" hidden="1" x14ac:dyDescent="0.3">
      <c r="A778">
        <v>1350</v>
      </c>
      <c r="B778">
        <v>64</v>
      </c>
      <c r="C778">
        <v>752</v>
      </c>
      <c r="D778">
        <v>0</v>
      </c>
      <c r="E778">
        <v>1840</v>
      </c>
      <c r="F778">
        <v>291</v>
      </c>
      <c r="G778">
        <v>95</v>
      </c>
      <c r="H778">
        <v>65</v>
      </c>
      <c r="I778">
        <v>2912</v>
      </c>
      <c r="J778">
        <v>1</v>
      </c>
      <c r="K778">
        <v>4</v>
      </c>
      <c r="L778">
        <v>10</v>
      </c>
      <c r="M778">
        <v>11</v>
      </c>
      <c r="N778">
        <v>2</v>
      </c>
    </row>
    <row r="779" spans="1:14" hidden="1" x14ac:dyDescent="0.3">
      <c r="A779">
        <v>2209</v>
      </c>
      <c r="B779">
        <v>64</v>
      </c>
      <c r="C779">
        <v>899</v>
      </c>
      <c r="D779">
        <v>8</v>
      </c>
      <c r="E779">
        <v>48</v>
      </c>
      <c r="F779">
        <v>11</v>
      </c>
      <c r="G779">
        <v>20</v>
      </c>
      <c r="H779">
        <v>158</v>
      </c>
      <c r="I779">
        <v>828</v>
      </c>
      <c r="J779">
        <v>5</v>
      </c>
      <c r="K779">
        <v>4</v>
      </c>
      <c r="L779">
        <v>1</v>
      </c>
      <c r="M779">
        <v>8</v>
      </c>
      <c r="N779">
        <v>4</v>
      </c>
    </row>
    <row r="780" spans="1:14" hidden="1" x14ac:dyDescent="0.3">
      <c r="A780">
        <v>2599</v>
      </c>
      <c r="B780">
        <v>64</v>
      </c>
      <c r="C780">
        <v>931</v>
      </c>
      <c r="D780">
        <v>24</v>
      </c>
      <c r="E780">
        <v>309</v>
      </c>
      <c r="F780">
        <v>18</v>
      </c>
      <c r="G780">
        <v>12</v>
      </c>
      <c r="H780">
        <v>375</v>
      </c>
      <c r="I780">
        <v>919</v>
      </c>
      <c r="J780">
        <v>9</v>
      </c>
      <c r="K780">
        <v>8</v>
      </c>
      <c r="L780">
        <v>1</v>
      </c>
      <c r="M780">
        <v>6</v>
      </c>
      <c r="N780">
        <v>9</v>
      </c>
    </row>
    <row r="781" spans="1:14" hidden="1" x14ac:dyDescent="0.3">
      <c r="A781">
        <v>2576</v>
      </c>
      <c r="B781">
        <v>64</v>
      </c>
      <c r="C781">
        <v>1080</v>
      </c>
      <c r="D781">
        <v>0</v>
      </c>
      <c r="E781">
        <v>251</v>
      </c>
      <c r="F781">
        <v>54</v>
      </c>
      <c r="G781">
        <v>11</v>
      </c>
      <c r="H781">
        <v>209</v>
      </c>
      <c r="I781">
        <v>1189</v>
      </c>
      <c r="J781">
        <v>4</v>
      </c>
      <c r="K781">
        <v>8</v>
      </c>
      <c r="L781">
        <v>5</v>
      </c>
      <c r="M781">
        <v>3</v>
      </c>
      <c r="N781">
        <v>7</v>
      </c>
    </row>
    <row r="782" spans="1:14" hidden="1" x14ac:dyDescent="0.3">
      <c r="A782">
        <v>1149</v>
      </c>
      <c r="B782">
        <v>64</v>
      </c>
      <c r="C782">
        <v>1203</v>
      </c>
      <c r="D782">
        <v>25</v>
      </c>
      <c r="E782">
        <v>869</v>
      </c>
      <c r="F782">
        <v>335</v>
      </c>
      <c r="G782">
        <v>204</v>
      </c>
      <c r="H782">
        <v>128</v>
      </c>
      <c r="I782">
        <v>2508</v>
      </c>
      <c r="J782">
        <v>1</v>
      </c>
      <c r="K782">
        <v>3</v>
      </c>
      <c r="L782">
        <v>4</v>
      </c>
      <c r="M782">
        <v>10</v>
      </c>
      <c r="N782">
        <v>1</v>
      </c>
    </row>
    <row r="783" spans="1:14" hidden="1" x14ac:dyDescent="0.3">
      <c r="A783">
        <v>1857</v>
      </c>
      <c r="B783">
        <v>64</v>
      </c>
      <c r="C783">
        <v>1264</v>
      </c>
      <c r="D783">
        <v>13</v>
      </c>
      <c r="E783">
        <v>310</v>
      </c>
      <c r="F783">
        <v>40</v>
      </c>
      <c r="G783">
        <v>30</v>
      </c>
      <c r="H783">
        <v>327</v>
      </c>
      <c r="I783">
        <v>1330</v>
      </c>
      <c r="J783">
        <v>7</v>
      </c>
      <c r="K783">
        <v>6</v>
      </c>
      <c r="L783">
        <v>6</v>
      </c>
      <c r="M783">
        <v>4</v>
      </c>
      <c r="N783">
        <v>6</v>
      </c>
    </row>
    <row r="784" spans="1:14" hidden="1" x14ac:dyDescent="0.3">
      <c r="A784">
        <v>1266</v>
      </c>
      <c r="B784">
        <v>64</v>
      </c>
      <c r="C784">
        <v>1630</v>
      </c>
      <c r="D784">
        <v>38</v>
      </c>
      <c r="E784">
        <v>257</v>
      </c>
      <c r="F784">
        <v>51</v>
      </c>
      <c r="G784">
        <v>18</v>
      </c>
      <c r="H784">
        <v>336</v>
      </c>
      <c r="I784">
        <v>1658</v>
      </c>
      <c r="J784">
        <v>1</v>
      </c>
      <c r="K784">
        <v>9</v>
      </c>
      <c r="L784">
        <v>3</v>
      </c>
      <c r="M784">
        <v>9</v>
      </c>
      <c r="N784">
        <v>6</v>
      </c>
    </row>
    <row r="785" spans="1:14" hidden="1" x14ac:dyDescent="0.3">
      <c r="A785">
        <v>2176</v>
      </c>
      <c r="B785">
        <v>64</v>
      </c>
      <c r="C785">
        <v>1630</v>
      </c>
      <c r="D785">
        <v>38</v>
      </c>
      <c r="E785">
        <v>257</v>
      </c>
      <c r="F785">
        <v>51</v>
      </c>
      <c r="G785">
        <v>18</v>
      </c>
      <c r="H785">
        <v>336</v>
      </c>
      <c r="I785">
        <v>1658</v>
      </c>
      <c r="J785">
        <v>1</v>
      </c>
      <c r="K785">
        <v>9</v>
      </c>
      <c r="L785">
        <v>3</v>
      </c>
      <c r="M785">
        <v>9</v>
      </c>
      <c r="N785">
        <v>6</v>
      </c>
    </row>
    <row r="786" spans="1:14" hidden="1" x14ac:dyDescent="0.3">
      <c r="A786">
        <v>2374</v>
      </c>
      <c r="B786">
        <v>64</v>
      </c>
      <c r="C786">
        <v>1630</v>
      </c>
      <c r="D786">
        <v>38</v>
      </c>
      <c r="E786">
        <v>257</v>
      </c>
      <c r="F786">
        <v>51</v>
      </c>
      <c r="G786">
        <v>18</v>
      </c>
      <c r="H786">
        <v>336</v>
      </c>
      <c r="I786">
        <v>1658</v>
      </c>
      <c r="J786">
        <v>1</v>
      </c>
      <c r="K786">
        <v>9</v>
      </c>
      <c r="L786">
        <v>3</v>
      </c>
      <c r="M786">
        <v>9</v>
      </c>
      <c r="N786">
        <v>6</v>
      </c>
    </row>
    <row r="787" spans="1:14" hidden="1" x14ac:dyDescent="0.3">
      <c r="A787">
        <v>1696</v>
      </c>
      <c r="B787">
        <v>64</v>
      </c>
      <c r="C787">
        <v>1727</v>
      </c>
      <c r="D787">
        <v>92</v>
      </c>
      <c r="E787">
        <v>678</v>
      </c>
      <c r="F787">
        <v>279</v>
      </c>
      <c r="G787">
        <v>369</v>
      </c>
      <c r="H787">
        <v>339</v>
      </c>
      <c r="I787">
        <v>2805</v>
      </c>
      <c r="J787">
        <v>1</v>
      </c>
      <c r="K787">
        <v>3</v>
      </c>
      <c r="L787">
        <v>2</v>
      </c>
      <c r="M787">
        <v>5</v>
      </c>
      <c r="N787">
        <v>1</v>
      </c>
    </row>
    <row r="788" spans="1:14" hidden="1" x14ac:dyDescent="0.3">
      <c r="A788">
        <v>2231</v>
      </c>
      <c r="B788">
        <v>64</v>
      </c>
      <c r="C788">
        <v>2143</v>
      </c>
      <c r="D788">
        <v>70</v>
      </c>
      <c r="E788">
        <v>1249</v>
      </c>
      <c r="F788">
        <v>92</v>
      </c>
      <c r="G788">
        <v>70</v>
      </c>
      <c r="H788">
        <v>107</v>
      </c>
      <c r="I788">
        <v>3517</v>
      </c>
      <c r="J788">
        <v>1</v>
      </c>
      <c r="K788">
        <v>4</v>
      </c>
      <c r="L788">
        <v>2</v>
      </c>
      <c r="M788">
        <v>6</v>
      </c>
      <c r="N788">
        <v>3</v>
      </c>
    </row>
    <row r="789" spans="1:14" hidden="1" x14ac:dyDescent="0.3">
      <c r="A789">
        <v>3100</v>
      </c>
      <c r="B789">
        <v>64</v>
      </c>
      <c r="C789">
        <v>2288</v>
      </c>
      <c r="D789">
        <v>0</v>
      </c>
      <c r="E789">
        <v>2104</v>
      </c>
      <c r="F789">
        <v>119</v>
      </c>
      <c r="G789">
        <v>91</v>
      </c>
      <c r="H789">
        <v>0</v>
      </c>
      <c r="I789">
        <v>4601</v>
      </c>
      <c r="J789">
        <v>1</v>
      </c>
      <c r="K789">
        <v>5</v>
      </c>
      <c r="L789">
        <v>6</v>
      </c>
      <c r="M789">
        <v>8</v>
      </c>
      <c r="N789">
        <v>3</v>
      </c>
    </row>
    <row r="790" spans="1:14" hidden="1" x14ac:dyDescent="0.3">
      <c r="A790">
        <v>2229</v>
      </c>
      <c r="B790">
        <v>63</v>
      </c>
      <c r="C790">
        <v>29</v>
      </c>
      <c r="D790">
        <v>0</v>
      </c>
      <c r="E790">
        <v>24</v>
      </c>
      <c r="F790">
        <v>0</v>
      </c>
      <c r="G790">
        <v>0</v>
      </c>
      <c r="H790">
        <v>6</v>
      </c>
      <c r="I790">
        <v>47</v>
      </c>
      <c r="J790">
        <v>1</v>
      </c>
      <c r="K790">
        <v>1</v>
      </c>
      <c r="L790">
        <v>0</v>
      </c>
      <c r="M790">
        <v>2</v>
      </c>
      <c r="N790">
        <v>8</v>
      </c>
    </row>
    <row r="791" spans="1:14" hidden="1" x14ac:dyDescent="0.3">
      <c r="A791">
        <v>1114</v>
      </c>
      <c r="B791">
        <v>63</v>
      </c>
      <c r="C791">
        <v>55</v>
      </c>
      <c r="D791">
        <v>0</v>
      </c>
      <c r="E791">
        <v>43</v>
      </c>
      <c r="F791">
        <v>18</v>
      </c>
      <c r="G791">
        <v>25</v>
      </c>
      <c r="H791">
        <v>43</v>
      </c>
      <c r="I791">
        <v>98</v>
      </c>
      <c r="J791">
        <v>2</v>
      </c>
      <c r="K791">
        <v>1</v>
      </c>
      <c r="L791">
        <v>0</v>
      </c>
      <c r="M791">
        <v>3</v>
      </c>
      <c r="N791">
        <v>7</v>
      </c>
    </row>
    <row r="792" spans="1:14" hidden="1" x14ac:dyDescent="0.3">
      <c r="A792">
        <v>3159</v>
      </c>
      <c r="B792">
        <v>63</v>
      </c>
      <c r="C792">
        <v>79</v>
      </c>
      <c r="D792">
        <v>3</v>
      </c>
      <c r="E792">
        <v>24</v>
      </c>
      <c r="F792">
        <v>0</v>
      </c>
      <c r="G792">
        <v>14</v>
      </c>
      <c r="H792">
        <v>83</v>
      </c>
      <c r="I792">
        <v>38</v>
      </c>
      <c r="J792">
        <v>1</v>
      </c>
      <c r="K792">
        <v>1</v>
      </c>
      <c r="L792">
        <v>1</v>
      </c>
      <c r="M792">
        <v>2</v>
      </c>
      <c r="N792">
        <v>7</v>
      </c>
    </row>
    <row r="793" spans="1:14" hidden="1" x14ac:dyDescent="0.3">
      <c r="A793">
        <v>2117</v>
      </c>
      <c r="B793">
        <v>63</v>
      </c>
      <c r="C793">
        <v>108</v>
      </c>
      <c r="D793">
        <v>15</v>
      </c>
      <c r="E793">
        <v>126</v>
      </c>
      <c r="F793">
        <v>7</v>
      </c>
      <c r="G793">
        <v>15</v>
      </c>
      <c r="H793">
        <v>15</v>
      </c>
      <c r="I793">
        <v>257</v>
      </c>
      <c r="J793">
        <v>3</v>
      </c>
      <c r="K793">
        <v>3</v>
      </c>
      <c r="L793">
        <v>0</v>
      </c>
      <c r="M793">
        <v>3</v>
      </c>
      <c r="N793">
        <v>9</v>
      </c>
    </row>
    <row r="794" spans="1:14" hidden="1" x14ac:dyDescent="0.3">
      <c r="A794">
        <v>1175</v>
      </c>
      <c r="B794">
        <v>63</v>
      </c>
      <c r="C794">
        <v>143</v>
      </c>
      <c r="D794">
        <v>0</v>
      </c>
      <c r="E794">
        <v>8</v>
      </c>
      <c r="F794">
        <v>0</v>
      </c>
      <c r="G794">
        <v>0</v>
      </c>
      <c r="H794">
        <v>8</v>
      </c>
      <c r="I794">
        <v>143</v>
      </c>
      <c r="J794">
        <v>2</v>
      </c>
      <c r="K794">
        <v>1</v>
      </c>
      <c r="L794">
        <v>0</v>
      </c>
      <c r="M794">
        <v>4</v>
      </c>
      <c r="N794">
        <v>5</v>
      </c>
    </row>
    <row r="795" spans="1:14" hidden="1" x14ac:dyDescent="0.3">
      <c r="A795">
        <v>2227</v>
      </c>
      <c r="B795">
        <v>63</v>
      </c>
      <c r="C795">
        <v>143</v>
      </c>
      <c r="D795">
        <v>244</v>
      </c>
      <c r="E795">
        <v>258</v>
      </c>
      <c r="F795">
        <v>115</v>
      </c>
      <c r="G795">
        <v>373</v>
      </c>
      <c r="H795">
        <v>573</v>
      </c>
      <c r="I795">
        <v>559</v>
      </c>
      <c r="J795">
        <v>4</v>
      </c>
      <c r="K795">
        <v>3</v>
      </c>
      <c r="L795">
        <v>2</v>
      </c>
      <c r="M795">
        <v>2</v>
      </c>
      <c r="N795">
        <v>9</v>
      </c>
    </row>
    <row r="796" spans="1:14" hidden="1" x14ac:dyDescent="0.3">
      <c r="A796">
        <v>1992</v>
      </c>
      <c r="B796">
        <v>63</v>
      </c>
      <c r="C796">
        <v>246</v>
      </c>
      <c r="D796">
        <v>3</v>
      </c>
      <c r="E796">
        <v>94</v>
      </c>
      <c r="F796">
        <v>6</v>
      </c>
      <c r="G796">
        <v>3</v>
      </c>
      <c r="H796">
        <v>0</v>
      </c>
      <c r="I796">
        <v>352</v>
      </c>
      <c r="J796">
        <v>1</v>
      </c>
      <c r="K796">
        <v>1</v>
      </c>
      <c r="L796">
        <v>1</v>
      </c>
      <c r="M796">
        <v>5</v>
      </c>
      <c r="N796">
        <v>2</v>
      </c>
    </row>
    <row r="797" spans="1:14" hidden="1" x14ac:dyDescent="0.3">
      <c r="A797">
        <v>2465</v>
      </c>
      <c r="B797">
        <v>63</v>
      </c>
      <c r="C797">
        <v>370</v>
      </c>
      <c r="D797">
        <v>51</v>
      </c>
      <c r="E797">
        <v>514</v>
      </c>
      <c r="F797">
        <v>117</v>
      </c>
      <c r="G797">
        <v>0</v>
      </c>
      <c r="H797">
        <v>90</v>
      </c>
      <c r="I797">
        <v>962</v>
      </c>
      <c r="J797">
        <v>5</v>
      </c>
      <c r="K797">
        <v>6</v>
      </c>
      <c r="L797">
        <v>2</v>
      </c>
      <c r="M797">
        <v>5</v>
      </c>
      <c r="N797">
        <v>6</v>
      </c>
    </row>
    <row r="798" spans="1:14" hidden="1" x14ac:dyDescent="0.3">
      <c r="A798">
        <v>1156</v>
      </c>
      <c r="B798">
        <v>63</v>
      </c>
      <c r="C798">
        <v>617</v>
      </c>
      <c r="D798">
        <v>15</v>
      </c>
      <c r="E798">
        <v>96</v>
      </c>
      <c r="F798">
        <v>20</v>
      </c>
      <c r="G798">
        <v>0</v>
      </c>
      <c r="H798">
        <v>6</v>
      </c>
      <c r="I798">
        <v>742</v>
      </c>
      <c r="J798">
        <v>1</v>
      </c>
      <c r="K798">
        <v>3</v>
      </c>
      <c r="L798">
        <v>2</v>
      </c>
      <c r="M798">
        <v>6</v>
      </c>
      <c r="N798">
        <v>4</v>
      </c>
    </row>
    <row r="799" spans="1:14" hidden="1" x14ac:dyDescent="0.3">
      <c r="A799">
        <v>3165</v>
      </c>
      <c r="B799">
        <v>63</v>
      </c>
      <c r="C799">
        <v>820</v>
      </c>
      <c r="D799">
        <v>22</v>
      </c>
      <c r="E799">
        <v>347</v>
      </c>
      <c r="F799">
        <v>31</v>
      </c>
      <c r="G799">
        <v>11</v>
      </c>
      <c r="H799">
        <v>297</v>
      </c>
      <c r="I799">
        <v>935</v>
      </c>
      <c r="J799">
        <v>2</v>
      </c>
      <c r="K799">
        <v>6</v>
      </c>
      <c r="L799">
        <v>6</v>
      </c>
      <c r="M799">
        <v>3</v>
      </c>
      <c r="N799">
        <v>6</v>
      </c>
    </row>
    <row r="800" spans="1:14" hidden="1" x14ac:dyDescent="0.3">
      <c r="A800">
        <v>3043</v>
      </c>
      <c r="B800">
        <v>63</v>
      </c>
      <c r="C800">
        <v>1065</v>
      </c>
      <c r="D800">
        <v>11</v>
      </c>
      <c r="E800">
        <v>266</v>
      </c>
      <c r="F800">
        <v>34</v>
      </c>
      <c r="G800">
        <v>25</v>
      </c>
      <c r="H800">
        <v>68</v>
      </c>
      <c r="I800">
        <v>1334</v>
      </c>
      <c r="J800">
        <v>3</v>
      </c>
      <c r="K800">
        <v>6</v>
      </c>
      <c r="L800">
        <v>2</v>
      </c>
      <c r="M800">
        <v>8</v>
      </c>
      <c r="N800">
        <v>5</v>
      </c>
    </row>
    <row r="801" spans="1:14" hidden="1" x14ac:dyDescent="0.3">
      <c r="A801">
        <v>1055</v>
      </c>
      <c r="B801">
        <v>63</v>
      </c>
      <c r="C801">
        <v>1246</v>
      </c>
      <c r="D801">
        <v>0</v>
      </c>
      <c r="E801">
        <v>78</v>
      </c>
      <c r="F801">
        <v>0</v>
      </c>
      <c r="G801">
        <v>0</v>
      </c>
      <c r="H801">
        <v>120</v>
      </c>
      <c r="I801">
        <v>1204</v>
      </c>
      <c r="J801">
        <v>3</v>
      </c>
      <c r="K801">
        <v>8</v>
      </c>
      <c r="L801">
        <v>2</v>
      </c>
      <c r="M801">
        <v>6</v>
      </c>
      <c r="N801">
        <v>7</v>
      </c>
    </row>
    <row r="802" spans="1:14" hidden="1" x14ac:dyDescent="0.3">
      <c r="A802">
        <v>1482</v>
      </c>
      <c r="B802">
        <v>63</v>
      </c>
      <c r="C802">
        <v>1308</v>
      </c>
      <c r="D802">
        <v>0</v>
      </c>
      <c r="E802">
        <v>880</v>
      </c>
      <c r="F802">
        <v>156</v>
      </c>
      <c r="G802">
        <v>69</v>
      </c>
      <c r="H802">
        <v>0</v>
      </c>
      <c r="I802">
        <v>2413</v>
      </c>
      <c r="J802">
        <v>3</v>
      </c>
      <c r="K802">
        <v>6</v>
      </c>
      <c r="L802">
        <v>7</v>
      </c>
      <c r="M802">
        <v>11</v>
      </c>
      <c r="N802">
        <v>3</v>
      </c>
    </row>
    <row r="803" spans="1:14" hidden="1" x14ac:dyDescent="0.3">
      <c r="A803">
        <v>3070</v>
      </c>
      <c r="B803">
        <v>63</v>
      </c>
      <c r="C803">
        <v>1308</v>
      </c>
      <c r="D803">
        <v>0</v>
      </c>
      <c r="E803">
        <v>880</v>
      </c>
      <c r="F803">
        <v>156</v>
      </c>
      <c r="G803">
        <v>69</v>
      </c>
      <c r="H803">
        <v>0</v>
      </c>
      <c r="I803">
        <v>2413</v>
      </c>
      <c r="J803">
        <v>3</v>
      </c>
      <c r="K803">
        <v>6</v>
      </c>
      <c r="L803">
        <v>7</v>
      </c>
      <c r="M803">
        <v>11</v>
      </c>
      <c r="N803">
        <v>3</v>
      </c>
    </row>
    <row r="804" spans="1:14" hidden="1" x14ac:dyDescent="0.3">
      <c r="A804">
        <v>3131</v>
      </c>
      <c r="B804">
        <v>63</v>
      </c>
      <c r="C804">
        <v>1331</v>
      </c>
      <c r="D804">
        <v>171</v>
      </c>
      <c r="E804">
        <v>1434</v>
      </c>
      <c r="F804">
        <v>311</v>
      </c>
      <c r="G804">
        <v>238</v>
      </c>
      <c r="H804">
        <v>171</v>
      </c>
      <c r="I804">
        <v>3315</v>
      </c>
      <c r="J804">
        <v>1</v>
      </c>
      <c r="K804">
        <v>6</v>
      </c>
      <c r="L804">
        <v>5</v>
      </c>
      <c r="M804">
        <v>11</v>
      </c>
      <c r="N804">
        <v>3</v>
      </c>
    </row>
    <row r="805" spans="1:14" hidden="1" x14ac:dyDescent="0.3">
      <c r="A805">
        <v>1190</v>
      </c>
      <c r="B805">
        <v>63</v>
      </c>
      <c r="C805">
        <v>1509</v>
      </c>
      <c r="D805">
        <v>111</v>
      </c>
      <c r="E805">
        <v>866</v>
      </c>
      <c r="F805">
        <v>108</v>
      </c>
      <c r="G805">
        <v>224</v>
      </c>
      <c r="H805">
        <v>139</v>
      </c>
      <c r="I805">
        <v>2678</v>
      </c>
      <c r="J805">
        <v>3</v>
      </c>
      <c r="K805">
        <v>11</v>
      </c>
      <c r="L805">
        <v>6</v>
      </c>
      <c r="M805">
        <v>9</v>
      </c>
      <c r="N805">
        <v>6</v>
      </c>
    </row>
    <row r="806" spans="1:14" hidden="1" x14ac:dyDescent="0.3">
      <c r="A806">
        <v>1964</v>
      </c>
      <c r="B806">
        <v>63</v>
      </c>
      <c r="C806">
        <v>1509</v>
      </c>
      <c r="D806">
        <v>111</v>
      </c>
      <c r="E806">
        <v>866</v>
      </c>
      <c r="F806">
        <v>108</v>
      </c>
      <c r="G806">
        <v>224</v>
      </c>
      <c r="H806">
        <v>139</v>
      </c>
      <c r="I806">
        <v>2678</v>
      </c>
      <c r="J806">
        <v>3</v>
      </c>
      <c r="K806">
        <v>11</v>
      </c>
      <c r="L806">
        <v>6</v>
      </c>
      <c r="M806">
        <v>9</v>
      </c>
      <c r="N806">
        <v>6</v>
      </c>
    </row>
    <row r="807" spans="1:14" hidden="1" x14ac:dyDescent="0.3">
      <c r="A807">
        <v>1635</v>
      </c>
      <c r="B807">
        <v>63</v>
      </c>
      <c r="C807">
        <v>1879</v>
      </c>
      <c r="D807">
        <v>199</v>
      </c>
      <c r="E807">
        <v>539</v>
      </c>
      <c r="F807">
        <v>72</v>
      </c>
      <c r="G807">
        <v>199</v>
      </c>
      <c r="H807">
        <v>27</v>
      </c>
      <c r="I807">
        <v>2860</v>
      </c>
      <c r="J807">
        <v>5</v>
      </c>
      <c r="K807">
        <v>9</v>
      </c>
      <c r="L807">
        <v>6</v>
      </c>
      <c r="M807">
        <v>12</v>
      </c>
      <c r="N807">
        <v>6</v>
      </c>
    </row>
    <row r="808" spans="1:14" hidden="1" x14ac:dyDescent="0.3">
      <c r="A808">
        <v>2530</v>
      </c>
      <c r="B808">
        <v>63</v>
      </c>
      <c r="C808">
        <v>1879</v>
      </c>
      <c r="D808">
        <v>199</v>
      </c>
      <c r="E808">
        <v>539</v>
      </c>
      <c r="F808">
        <v>72</v>
      </c>
      <c r="G808">
        <v>199</v>
      </c>
      <c r="H808">
        <v>27</v>
      </c>
      <c r="I808">
        <v>2860</v>
      </c>
      <c r="J808">
        <v>5</v>
      </c>
      <c r="K808">
        <v>9</v>
      </c>
      <c r="L808">
        <v>6</v>
      </c>
      <c r="M808">
        <v>12</v>
      </c>
      <c r="N808">
        <v>6</v>
      </c>
    </row>
    <row r="809" spans="1:14" hidden="1" x14ac:dyDescent="0.3">
      <c r="A809">
        <v>3037</v>
      </c>
      <c r="B809">
        <v>63</v>
      </c>
      <c r="C809">
        <v>1879</v>
      </c>
      <c r="D809">
        <v>199</v>
      </c>
      <c r="E809">
        <v>539</v>
      </c>
      <c r="F809">
        <v>72</v>
      </c>
      <c r="G809">
        <v>199</v>
      </c>
      <c r="H809">
        <v>27</v>
      </c>
      <c r="I809">
        <v>2860</v>
      </c>
      <c r="J809">
        <v>5</v>
      </c>
      <c r="K809">
        <v>9</v>
      </c>
      <c r="L809">
        <v>6</v>
      </c>
      <c r="M809">
        <v>12</v>
      </c>
      <c r="N809">
        <v>6</v>
      </c>
    </row>
    <row r="810" spans="1:14" hidden="1" x14ac:dyDescent="0.3">
      <c r="A810">
        <v>1353</v>
      </c>
      <c r="B810">
        <v>63</v>
      </c>
      <c r="C810">
        <v>2289</v>
      </c>
      <c r="D810">
        <v>0</v>
      </c>
      <c r="E810">
        <v>412</v>
      </c>
      <c r="F810">
        <v>35</v>
      </c>
      <c r="G810">
        <v>26</v>
      </c>
      <c r="H810">
        <v>110</v>
      </c>
      <c r="I810">
        <v>2651</v>
      </c>
      <c r="J810">
        <v>2</v>
      </c>
      <c r="K810">
        <v>2</v>
      </c>
      <c r="L810">
        <v>4</v>
      </c>
      <c r="M810">
        <v>8</v>
      </c>
      <c r="N810">
        <v>8</v>
      </c>
    </row>
    <row r="811" spans="1:14" hidden="1" x14ac:dyDescent="0.3">
      <c r="A811">
        <v>1656</v>
      </c>
      <c r="B811">
        <v>63</v>
      </c>
      <c r="C811">
        <v>2289</v>
      </c>
      <c r="D811">
        <v>0</v>
      </c>
      <c r="E811">
        <v>412</v>
      </c>
      <c r="F811">
        <v>35</v>
      </c>
      <c r="G811">
        <v>26</v>
      </c>
      <c r="H811">
        <v>110</v>
      </c>
      <c r="I811">
        <v>2651</v>
      </c>
      <c r="J811">
        <v>2</v>
      </c>
      <c r="K811">
        <v>2</v>
      </c>
      <c r="L811">
        <v>4</v>
      </c>
      <c r="M811">
        <v>8</v>
      </c>
      <c r="N811">
        <v>8</v>
      </c>
    </row>
    <row r="812" spans="1:14" hidden="1" x14ac:dyDescent="0.3">
      <c r="A812">
        <v>1022</v>
      </c>
      <c r="B812">
        <v>63</v>
      </c>
      <c r="C812">
        <v>2346</v>
      </c>
      <c r="D812">
        <v>0</v>
      </c>
      <c r="E812">
        <v>233</v>
      </c>
      <c r="F812">
        <v>0</v>
      </c>
      <c r="G812">
        <v>0</v>
      </c>
      <c r="H812">
        <v>51</v>
      </c>
      <c r="I812">
        <v>2528</v>
      </c>
      <c r="J812">
        <v>3</v>
      </c>
      <c r="K812">
        <v>2</v>
      </c>
      <c r="L812">
        <v>3</v>
      </c>
      <c r="M812">
        <v>9</v>
      </c>
      <c r="N812">
        <v>8</v>
      </c>
    </row>
    <row r="813" spans="1:14" hidden="1" x14ac:dyDescent="0.3">
      <c r="A813">
        <v>2297</v>
      </c>
      <c r="B813">
        <v>62</v>
      </c>
      <c r="C813">
        <v>38</v>
      </c>
      <c r="D813">
        <v>6</v>
      </c>
      <c r="E813">
        <v>63</v>
      </c>
      <c r="F813">
        <v>10</v>
      </c>
      <c r="G813">
        <v>6</v>
      </c>
      <c r="H813">
        <v>16</v>
      </c>
      <c r="I813">
        <v>108</v>
      </c>
      <c r="J813">
        <v>1</v>
      </c>
      <c r="K813">
        <v>1</v>
      </c>
      <c r="L813">
        <v>0</v>
      </c>
      <c r="M813">
        <v>3</v>
      </c>
      <c r="N813">
        <v>7</v>
      </c>
    </row>
    <row r="814" spans="1:14" hidden="1" x14ac:dyDescent="0.3">
      <c r="A814">
        <v>2867</v>
      </c>
      <c r="B814">
        <v>62</v>
      </c>
      <c r="C814">
        <v>105</v>
      </c>
      <c r="D814">
        <v>25</v>
      </c>
      <c r="E814">
        <v>67</v>
      </c>
      <c r="F814">
        <v>84</v>
      </c>
      <c r="G814">
        <v>0</v>
      </c>
      <c r="H814">
        <v>21</v>
      </c>
      <c r="I814">
        <v>261</v>
      </c>
      <c r="J814">
        <v>2</v>
      </c>
      <c r="K814">
        <v>2</v>
      </c>
      <c r="L814">
        <v>0</v>
      </c>
      <c r="M814">
        <v>3</v>
      </c>
      <c r="N814">
        <v>8</v>
      </c>
    </row>
    <row r="815" spans="1:14" hidden="1" x14ac:dyDescent="0.3">
      <c r="A815">
        <v>1783</v>
      </c>
      <c r="B815">
        <v>62</v>
      </c>
      <c r="C815">
        <v>108</v>
      </c>
      <c r="D815">
        <v>89</v>
      </c>
      <c r="E815">
        <v>112</v>
      </c>
      <c r="F815">
        <v>112</v>
      </c>
      <c r="G815">
        <v>54</v>
      </c>
      <c r="H815">
        <v>182</v>
      </c>
      <c r="I815">
        <v>294</v>
      </c>
      <c r="J815">
        <v>3</v>
      </c>
      <c r="K815">
        <v>2</v>
      </c>
      <c r="L815">
        <v>1</v>
      </c>
      <c r="M815">
        <v>4</v>
      </c>
      <c r="N815">
        <v>6</v>
      </c>
    </row>
    <row r="816" spans="1:14" hidden="1" x14ac:dyDescent="0.3">
      <c r="A816">
        <v>2210</v>
      </c>
      <c r="B816">
        <v>62</v>
      </c>
      <c r="C816">
        <v>202</v>
      </c>
      <c r="D816">
        <v>0</v>
      </c>
      <c r="E816">
        <v>50</v>
      </c>
      <c r="F816">
        <v>0</v>
      </c>
      <c r="G816">
        <v>0</v>
      </c>
      <c r="H816">
        <v>7</v>
      </c>
      <c r="I816">
        <v>245</v>
      </c>
      <c r="J816">
        <v>3</v>
      </c>
      <c r="K816">
        <v>3</v>
      </c>
      <c r="L816">
        <v>0</v>
      </c>
      <c r="M816">
        <v>3</v>
      </c>
      <c r="N816">
        <v>7</v>
      </c>
    </row>
    <row r="817" spans="1:14" hidden="1" x14ac:dyDescent="0.3">
      <c r="A817">
        <v>2676</v>
      </c>
      <c r="B817">
        <v>62</v>
      </c>
      <c r="C817">
        <v>202</v>
      </c>
      <c r="D817">
        <v>0</v>
      </c>
      <c r="E817">
        <v>50</v>
      </c>
      <c r="F817">
        <v>0</v>
      </c>
      <c r="G817">
        <v>0</v>
      </c>
      <c r="H817">
        <v>7</v>
      </c>
      <c r="I817">
        <v>245</v>
      </c>
      <c r="J817">
        <v>3</v>
      </c>
      <c r="K817">
        <v>3</v>
      </c>
      <c r="L817">
        <v>0</v>
      </c>
      <c r="M817">
        <v>3</v>
      </c>
      <c r="N817">
        <v>7</v>
      </c>
    </row>
    <row r="818" spans="1:14" hidden="1" x14ac:dyDescent="0.3">
      <c r="A818">
        <v>2390</v>
      </c>
      <c r="B818">
        <v>62</v>
      </c>
      <c r="C818">
        <v>203</v>
      </c>
      <c r="D818">
        <v>47</v>
      </c>
      <c r="E818">
        <v>195</v>
      </c>
      <c r="F818">
        <v>16</v>
      </c>
      <c r="G818">
        <v>141</v>
      </c>
      <c r="H818">
        <v>215</v>
      </c>
      <c r="I818">
        <v>387</v>
      </c>
      <c r="J818">
        <v>3</v>
      </c>
      <c r="K818">
        <v>5</v>
      </c>
      <c r="L818">
        <v>0</v>
      </c>
      <c r="M818">
        <v>3</v>
      </c>
      <c r="N818">
        <v>9</v>
      </c>
    </row>
    <row r="819" spans="1:14" hidden="1" x14ac:dyDescent="0.3">
      <c r="A819">
        <v>2635</v>
      </c>
      <c r="B819">
        <v>62</v>
      </c>
      <c r="C819">
        <v>710</v>
      </c>
      <c r="D819">
        <v>39</v>
      </c>
      <c r="E819">
        <v>425</v>
      </c>
      <c r="F819">
        <v>134</v>
      </c>
      <c r="G819">
        <v>12</v>
      </c>
      <c r="H819">
        <v>155</v>
      </c>
      <c r="I819">
        <v>1165</v>
      </c>
      <c r="J819">
        <v>9</v>
      </c>
      <c r="K819">
        <v>6</v>
      </c>
      <c r="L819">
        <v>2</v>
      </c>
      <c r="M819">
        <v>7</v>
      </c>
      <c r="N819">
        <v>6</v>
      </c>
    </row>
    <row r="820" spans="1:14" hidden="1" x14ac:dyDescent="0.3">
      <c r="A820">
        <v>2827</v>
      </c>
      <c r="B820">
        <v>62</v>
      </c>
      <c r="C820">
        <v>768</v>
      </c>
      <c r="D820">
        <v>126</v>
      </c>
      <c r="E820">
        <v>2145</v>
      </c>
      <c r="F820">
        <v>81</v>
      </c>
      <c r="G820">
        <v>95</v>
      </c>
      <c r="H820">
        <v>126</v>
      </c>
      <c r="I820">
        <v>3090</v>
      </c>
      <c r="J820">
        <v>1</v>
      </c>
      <c r="K820">
        <v>4</v>
      </c>
      <c r="L820">
        <v>6</v>
      </c>
      <c r="M820">
        <v>10</v>
      </c>
      <c r="N820">
        <v>2</v>
      </c>
    </row>
    <row r="821" spans="1:14" hidden="1" x14ac:dyDescent="0.3">
      <c r="A821">
        <v>1498</v>
      </c>
      <c r="B821">
        <v>62</v>
      </c>
      <c r="C821">
        <v>928</v>
      </c>
      <c r="D821">
        <v>0</v>
      </c>
      <c r="E821">
        <v>180</v>
      </c>
      <c r="F821">
        <v>0</v>
      </c>
      <c r="G821">
        <v>20</v>
      </c>
      <c r="H821">
        <v>170</v>
      </c>
      <c r="I821">
        <v>957</v>
      </c>
      <c r="J821">
        <v>4</v>
      </c>
      <c r="K821">
        <v>6</v>
      </c>
      <c r="L821">
        <v>2</v>
      </c>
      <c r="M821">
        <v>5</v>
      </c>
      <c r="N821">
        <v>8</v>
      </c>
    </row>
    <row r="822" spans="1:14" hidden="1" x14ac:dyDescent="0.3">
      <c r="A822">
        <v>1276</v>
      </c>
      <c r="B822">
        <v>62</v>
      </c>
      <c r="C822">
        <v>948</v>
      </c>
      <c r="D822">
        <v>11</v>
      </c>
      <c r="E822">
        <v>310</v>
      </c>
      <c r="F822">
        <v>15</v>
      </c>
      <c r="G822">
        <v>11</v>
      </c>
      <c r="H822">
        <v>195</v>
      </c>
      <c r="I822">
        <v>1101</v>
      </c>
      <c r="J822">
        <v>3</v>
      </c>
      <c r="K822">
        <v>7</v>
      </c>
      <c r="L822">
        <v>1</v>
      </c>
      <c r="M822">
        <v>5</v>
      </c>
      <c r="N822">
        <v>8</v>
      </c>
    </row>
    <row r="823" spans="1:14" hidden="1" x14ac:dyDescent="0.3">
      <c r="A823">
        <v>2023</v>
      </c>
      <c r="B823">
        <v>62</v>
      </c>
      <c r="C823">
        <v>982</v>
      </c>
      <c r="D823">
        <v>242</v>
      </c>
      <c r="E823">
        <v>888</v>
      </c>
      <c r="F823">
        <v>94</v>
      </c>
      <c r="G823">
        <v>161</v>
      </c>
      <c r="H823">
        <v>27</v>
      </c>
      <c r="I823">
        <v>2341</v>
      </c>
      <c r="J823">
        <v>15</v>
      </c>
      <c r="K823">
        <v>0</v>
      </c>
      <c r="L823">
        <v>1</v>
      </c>
      <c r="M823">
        <v>0</v>
      </c>
      <c r="N823">
        <v>19</v>
      </c>
    </row>
    <row r="824" spans="1:14" hidden="1" x14ac:dyDescent="0.3">
      <c r="A824">
        <v>1707</v>
      </c>
      <c r="B824">
        <v>62</v>
      </c>
      <c r="C824">
        <v>999</v>
      </c>
      <c r="D824">
        <v>56</v>
      </c>
      <c r="E824">
        <v>1584</v>
      </c>
      <c r="F824">
        <v>180</v>
      </c>
      <c r="G824">
        <v>171</v>
      </c>
      <c r="H824">
        <v>108</v>
      </c>
      <c r="I824">
        <v>2881</v>
      </c>
      <c r="J824">
        <v>1</v>
      </c>
      <c r="K824">
        <v>6</v>
      </c>
      <c r="L824">
        <v>5</v>
      </c>
      <c r="M824">
        <v>12</v>
      </c>
      <c r="N824">
        <v>2</v>
      </c>
    </row>
    <row r="825" spans="1:14" hidden="1" x14ac:dyDescent="0.3">
      <c r="A825">
        <v>2080</v>
      </c>
      <c r="B825">
        <v>62</v>
      </c>
      <c r="C825">
        <v>1695</v>
      </c>
      <c r="D825">
        <v>97</v>
      </c>
      <c r="E825">
        <v>442</v>
      </c>
      <c r="F825">
        <v>160</v>
      </c>
      <c r="G825">
        <v>97</v>
      </c>
      <c r="H825">
        <v>97</v>
      </c>
      <c r="I825">
        <v>2394</v>
      </c>
      <c r="J825">
        <v>2</v>
      </c>
      <c r="K825">
        <v>5</v>
      </c>
      <c r="L825">
        <v>8</v>
      </c>
      <c r="M825">
        <v>10</v>
      </c>
      <c r="N825">
        <v>5</v>
      </c>
    </row>
    <row r="826" spans="1:14" hidden="1" x14ac:dyDescent="0.3">
      <c r="A826">
        <v>2912</v>
      </c>
      <c r="B826">
        <v>62</v>
      </c>
      <c r="C826">
        <v>2016</v>
      </c>
      <c r="D826">
        <v>43</v>
      </c>
      <c r="E826">
        <v>85</v>
      </c>
      <c r="F826">
        <v>57</v>
      </c>
      <c r="G826">
        <v>0</v>
      </c>
      <c r="H826">
        <v>0</v>
      </c>
      <c r="I826">
        <v>2201</v>
      </c>
      <c r="J826">
        <v>3</v>
      </c>
      <c r="K826">
        <v>11</v>
      </c>
      <c r="L826">
        <v>2</v>
      </c>
      <c r="M826">
        <v>8</v>
      </c>
      <c r="N826">
        <v>8</v>
      </c>
    </row>
    <row r="827" spans="1:14" hidden="1" x14ac:dyDescent="0.3">
      <c r="A827">
        <v>2071</v>
      </c>
      <c r="B827">
        <v>62</v>
      </c>
      <c r="C827">
        <v>2031</v>
      </c>
      <c r="D827">
        <v>41</v>
      </c>
      <c r="E827">
        <v>1825</v>
      </c>
      <c r="F827">
        <v>54</v>
      </c>
      <c r="G827">
        <v>206</v>
      </c>
      <c r="H827">
        <v>82</v>
      </c>
      <c r="I827">
        <v>4074</v>
      </c>
      <c r="J827">
        <v>1</v>
      </c>
      <c r="K827">
        <v>6</v>
      </c>
      <c r="L827">
        <v>6</v>
      </c>
      <c r="M827">
        <v>7</v>
      </c>
      <c r="N827">
        <v>2</v>
      </c>
    </row>
    <row r="828" spans="1:14" hidden="1" x14ac:dyDescent="0.3">
      <c r="A828">
        <v>1924</v>
      </c>
      <c r="B828">
        <v>62</v>
      </c>
      <c r="C828">
        <v>2288</v>
      </c>
      <c r="D828">
        <v>49</v>
      </c>
      <c r="E828">
        <v>1627</v>
      </c>
      <c r="F828">
        <v>330</v>
      </c>
      <c r="G828">
        <v>93</v>
      </c>
      <c r="H828">
        <v>354</v>
      </c>
      <c r="I828">
        <v>4033</v>
      </c>
      <c r="J828">
        <v>0</v>
      </c>
      <c r="K828">
        <v>5</v>
      </c>
      <c r="L828">
        <v>8</v>
      </c>
      <c r="M828">
        <v>5</v>
      </c>
      <c r="N828">
        <v>2</v>
      </c>
    </row>
    <row r="829" spans="1:14" hidden="1" x14ac:dyDescent="0.3">
      <c r="A829">
        <v>2281</v>
      </c>
      <c r="B829">
        <v>62</v>
      </c>
      <c r="C829">
        <v>2288</v>
      </c>
      <c r="D829">
        <v>49</v>
      </c>
      <c r="E829">
        <v>1627</v>
      </c>
      <c r="F829">
        <v>330</v>
      </c>
      <c r="G829">
        <v>93</v>
      </c>
      <c r="H829">
        <v>354</v>
      </c>
      <c r="I829">
        <v>4033</v>
      </c>
      <c r="J829">
        <v>0</v>
      </c>
      <c r="K829">
        <v>5</v>
      </c>
      <c r="L829">
        <v>8</v>
      </c>
      <c r="M829">
        <v>5</v>
      </c>
      <c r="N829">
        <v>2</v>
      </c>
    </row>
    <row r="830" spans="1:14" hidden="1" x14ac:dyDescent="0.3">
      <c r="A830">
        <v>2468</v>
      </c>
      <c r="B830">
        <v>62</v>
      </c>
      <c r="C830">
        <v>2695</v>
      </c>
      <c r="D830">
        <v>368</v>
      </c>
      <c r="E830">
        <v>1745</v>
      </c>
      <c r="F830">
        <v>208</v>
      </c>
      <c r="G830">
        <v>317</v>
      </c>
      <c r="H830">
        <v>71</v>
      </c>
      <c r="I830">
        <v>5261</v>
      </c>
      <c r="J830">
        <v>1</v>
      </c>
      <c r="K830">
        <v>7</v>
      </c>
      <c r="L830">
        <v>11</v>
      </c>
      <c r="M830">
        <v>10</v>
      </c>
      <c r="N830">
        <v>4</v>
      </c>
    </row>
    <row r="831" spans="1:14" hidden="1" x14ac:dyDescent="0.3">
      <c r="A831">
        <v>1282</v>
      </c>
      <c r="B831">
        <v>62</v>
      </c>
      <c r="C831">
        <v>3459</v>
      </c>
      <c r="D831">
        <v>0</v>
      </c>
      <c r="E831">
        <v>223</v>
      </c>
      <c r="F831">
        <v>0</v>
      </c>
      <c r="G831">
        <v>36</v>
      </c>
      <c r="H831">
        <v>111</v>
      </c>
      <c r="I831">
        <v>3607</v>
      </c>
      <c r="J831">
        <v>3</v>
      </c>
      <c r="K831">
        <v>3</v>
      </c>
      <c r="L831">
        <v>6</v>
      </c>
      <c r="M831">
        <v>11</v>
      </c>
      <c r="N831">
        <v>8</v>
      </c>
    </row>
    <row r="832" spans="1:14" hidden="1" x14ac:dyDescent="0.3">
      <c r="A832">
        <v>1591</v>
      </c>
      <c r="B832">
        <v>61</v>
      </c>
      <c r="C832">
        <v>24</v>
      </c>
      <c r="D832">
        <v>5</v>
      </c>
      <c r="E832">
        <v>63</v>
      </c>
      <c r="F832">
        <v>14</v>
      </c>
      <c r="G832">
        <v>24</v>
      </c>
      <c r="H832">
        <v>5</v>
      </c>
      <c r="I832">
        <v>125</v>
      </c>
      <c r="J832">
        <v>1</v>
      </c>
      <c r="K832">
        <v>1</v>
      </c>
      <c r="L832">
        <v>0</v>
      </c>
      <c r="M832">
        <v>3</v>
      </c>
      <c r="N832">
        <v>7</v>
      </c>
    </row>
    <row r="833" spans="1:14" hidden="1" x14ac:dyDescent="0.3">
      <c r="A833">
        <v>2403</v>
      </c>
      <c r="B833">
        <v>61</v>
      </c>
      <c r="C833">
        <v>33</v>
      </c>
      <c r="D833">
        <v>3</v>
      </c>
      <c r="E833">
        <v>23</v>
      </c>
      <c r="F833">
        <v>0</v>
      </c>
      <c r="G833">
        <v>0</v>
      </c>
      <c r="H833">
        <v>3</v>
      </c>
      <c r="I833">
        <v>56</v>
      </c>
      <c r="J833">
        <v>1</v>
      </c>
      <c r="K833">
        <v>1</v>
      </c>
      <c r="L833">
        <v>0</v>
      </c>
      <c r="M833">
        <v>2</v>
      </c>
      <c r="N833">
        <v>8</v>
      </c>
    </row>
    <row r="834" spans="1:14" hidden="1" x14ac:dyDescent="0.3">
      <c r="A834">
        <v>2133</v>
      </c>
      <c r="B834">
        <v>61</v>
      </c>
      <c r="C834">
        <v>72</v>
      </c>
      <c r="D834">
        <v>29</v>
      </c>
      <c r="E834">
        <v>43</v>
      </c>
      <c r="F834">
        <v>43</v>
      </c>
      <c r="G834">
        <v>0</v>
      </c>
      <c r="H834">
        <v>72</v>
      </c>
      <c r="I834">
        <v>115</v>
      </c>
      <c r="J834">
        <v>1</v>
      </c>
      <c r="K834">
        <v>1</v>
      </c>
      <c r="L834">
        <v>0</v>
      </c>
      <c r="M834">
        <v>2</v>
      </c>
      <c r="N834">
        <v>8</v>
      </c>
    </row>
    <row r="835" spans="1:14" hidden="1" x14ac:dyDescent="0.3">
      <c r="A835">
        <v>1127</v>
      </c>
      <c r="B835">
        <v>61</v>
      </c>
      <c r="C835">
        <v>210</v>
      </c>
      <c r="D835">
        <v>4</v>
      </c>
      <c r="E835">
        <v>135</v>
      </c>
      <c r="F835">
        <v>8</v>
      </c>
      <c r="G835">
        <v>0</v>
      </c>
      <c r="H835">
        <v>63</v>
      </c>
      <c r="I835">
        <v>293</v>
      </c>
      <c r="J835">
        <v>3</v>
      </c>
      <c r="K835">
        <v>2</v>
      </c>
      <c r="L835">
        <v>2</v>
      </c>
      <c r="M835">
        <v>2</v>
      </c>
      <c r="N835">
        <v>8</v>
      </c>
    </row>
    <row r="836" spans="1:14" hidden="1" x14ac:dyDescent="0.3">
      <c r="A836">
        <v>1340</v>
      </c>
      <c r="B836">
        <v>61</v>
      </c>
      <c r="C836">
        <v>232</v>
      </c>
      <c r="D836">
        <v>0</v>
      </c>
      <c r="E836">
        <v>33</v>
      </c>
      <c r="F836">
        <v>0</v>
      </c>
      <c r="G836">
        <v>0</v>
      </c>
      <c r="H836">
        <v>30</v>
      </c>
      <c r="I836">
        <v>235</v>
      </c>
      <c r="J836">
        <v>1</v>
      </c>
      <c r="K836">
        <v>2</v>
      </c>
      <c r="L836">
        <v>0</v>
      </c>
      <c r="M836">
        <v>4</v>
      </c>
      <c r="N836">
        <v>6</v>
      </c>
    </row>
    <row r="837" spans="1:14" hidden="1" x14ac:dyDescent="0.3">
      <c r="A837">
        <v>1845</v>
      </c>
      <c r="B837">
        <v>61</v>
      </c>
      <c r="C837">
        <v>266</v>
      </c>
      <c r="D837">
        <v>118</v>
      </c>
      <c r="E837">
        <v>236</v>
      </c>
      <c r="F837">
        <v>175</v>
      </c>
      <c r="G837">
        <v>39</v>
      </c>
      <c r="H837">
        <v>281</v>
      </c>
      <c r="I837">
        <v>553</v>
      </c>
      <c r="J837">
        <v>2</v>
      </c>
      <c r="K837">
        <v>6</v>
      </c>
      <c r="L837">
        <v>1</v>
      </c>
      <c r="M837">
        <v>4</v>
      </c>
      <c r="N837">
        <v>7</v>
      </c>
    </row>
    <row r="838" spans="1:14" hidden="1" x14ac:dyDescent="0.3">
      <c r="A838">
        <v>1822</v>
      </c>
      <c r="B838">
        <v>61</v>
      </c>
      <c r="C838">
        <v>318</v>
      </c>
      <c r="D838">
        <v>227</v>
      </c>
      <c r="E838">
        <v>182</v>
      </c>
      <c r="F838">
        <v>35</v>
      </c>
      <c r="G838">
        <v>154</v>
      </c>
      <c r="H838">
        <v>98</v>
      </c>
      <c r="I838">
        <v>818</v>
      </c>
      <c r="J838">
        <v>3</v>
      </c>
      <c r="K838">
        <v>3</v>
      </c>
      <c r="L838">
        <v>2</v>
      </c>
      <c r="M838">
        <v>6</v>
      </c>
      <c r="N838">
        <v>5</v>
      </c>
    </row>
    <row r="839" spans="1:14" hidden="1" x14ac:dyDescent="0.3">
      <c r="A839">
        <v>1881</v>
      </c>
      <c r="B839">
        <v>61</v>
      </c>
      <c r="C839">
        <v>408</v>
      </c>
      <c r="D839">
        <v>74</v>
      </c>
      <c r="E839">
        <v>1099</v>
      </c>
      <c r="F839">
        <v>132</v>
      </c>
      <c r="G839">
        <v>230</v>
      </c>
      <c r="H839">
        <v>127</v>
      </c>
      <c r="I839">
        <v>1815</v>
      </c>
      <c r="J839">
        <v>1</v>
      </c>
      <c r="K839">
        <v>4</v>
      </c>
      <c r="L839">
        <v>3</v>
      </c>
      <c r="M839">
        <v>10</v>
      </c>
      <c r="N839">
        <v>2</v>
      </c>
    </row>
    <row r="840" spans="1:14" hidden="1" x14ac:dyDescent="0.3">
      <c r="A840">
        <v>3055</v>
      </c>
      <c r="B840">
        <v>61</v>
      </c>
      <c r="C840">
        <v>421</v>
      </c>
      <c r="D840">
        <v>54</v>
      </c>
      <c r="E840">
        <v>1305</v>
      </c>
      <c r="F840">
        <v>144</v>
      </c>
      <c r="G840">
        <v>37</v>
      </c>
      <c r="H840">
        <v>105</v>
      </c>
      <c r="I840">
        <v>1855</v>
      </c>
      <c r="J840">
        <v>1</v>
      </c>
      <c r="K840">
        <v>4</v>
      </c>
      <c r="L840">
        <v>6</v>
      </c>
      <c r="M840">
        <v>7</v>
      </c>
      <c r="N840">
        <v>2</v>
      </c>
    </row>
    <row r="841" spans="1:14" hidden="1" x14ac:dyDescent="0.3">
      <c r="A841">
        <v>2476</v>
      </c>
      <c r="B841">
        <v>61</v>
      </c>
      <c r="C841">
        <v>622</v>
      </c>
      <c r="D841">
        <v>26</v>
      </c>
      <c r="E841">
        <v>164</v>
      </c>
      <c r="F841">
        <v>58</v>
      </c>
      <c r="G841">
        <v>26</v>
      </c>
      <c r="H841">
        <v>360</v>
      </c>
      <c r="I841">
        <v>535</v>
      </c>
      <c r="J841">
        <v>7</v>
      </c>
      <c r="K841">
        <v>4</v>
      </c>
      <c r="L841">
        <v>3</v>
      </c>
      <c r="M841">
        <v>5</v>
      </c>
      <c r="N841">
        <v>5</v>
      </c>
    </row>
    <row r="842" spans="1:14" hidden="1" x14ac:dyDescent="0.3">
      <c r="A842">
        <v>2154</v>
      </c>
      <c r="B842">
        <v>61</v>
      </c>
      <c r="C842">
        <v>872</v>
      </c>
      <c r="D842">
        <v>17</v>
      </c>
      <c r="E842">
        <v>87</v>
      </c>
      <c r="F842">
        <v>0</v>
      </c>
      <c r="G842">
        <v>0</v>
      </c>
      <c r="H842">
        <v>117</v>
      </c>
      <c r="I842">
        <v>860</v>
      </c>
      <c r="J842">
        <v>3</v>
      </c>
      <c r="K842">
        <v>8</v>
      </c>
      <c r="L842">
        <v>2</v>
      </c>
      <c r="M842">
        <v>4</v>
      </c>
      <c r="N842">
        <v>7</v>
      </c>
    </row>
    <row r="843" spans="1:14" hidden="1" x14ac:dyDescent="0.3">
      <c r="A843">
        <v>2584</v>
      </c>
      <c r="B843">
        <v>61</v>
      </c>
      <c r="C843">
        <v>969</v>
      </c>
      <c r="D843">
        <v>8</v>
      </c>
      <c r="E843">
        <v>40</v>
      </c>
      <c r="F843">
        <v>11</v>
      </c>
      <c r="G843">
        <v>8</v>
      </c>
      <c r="H843">
        <v>29</v>
      </c>
      <c r="I843">
        <v>1006</v>
      </c>
      <c r="J843">
        <v>5</v>
      </c>
      <c r="K843">
        <v>7</v>
      </c>
      <c r="L843">
        <v>2</v>
      </c>
      <c r="M843">
        <v>5</v>
      </c>
      <c r="N843">
        <v>6</v>
      </c>
    </row>
    <row r="844" spans="1:14" hidden="1" x14ac:dyDescent="0.3">
      <c r="A844">
        <v>2140</v>
      </c>
      <c r="B844">
        <v>61</v>
      </c>
      <c r="C844">
        <v>977</v>
      </c>
      <c r="D844">
        <v>220</v>
      </c>
      <c r="E844">
        <v>903</v>
      </c>
      <c r="F844">
        <v>379</v>
      </c>
      <c r="G844">
        <v>47</v>
      </c>
      <c r="H844">
        <v>291</v>
      </c>
      <c r="I844">
        <v>2234</v>
      </c>
      <c r="J844">
        <v>2</v>
      </c>
      <c r="K844">
        <v>7</v>
      </c>
      <c r="L844">
        <v>6</v>
      </c>
      <c r="M844">
        <v>10</v>
      </c>
      <c r="N844">
        <v>5</v>
      </c>
    </row>
    <row r="845" spans="1:14" hidden="1" x14ac:dyDescent="0.3">
      <c r="A845">
        <v>2704</v>
      </c>
      <c r="B845">
        <v>61</v>
      </c>
      <c r="C845">
        <v>1283</v>
      </c>
      <c r="D845">
        <v>24</v>
      </c>
      <c r="E845">
        <v>522</v>
      </c>
      <c r="F845">
        <v>476</v>
      </c>
      <c r="G845">
        <v>419</v>
      </c>
      <c r="H845">
        <v>469</v>
      </c>
      <c r="I845">
        <v>2255</v>
      </c>
      <c r="J845">
        <v>2</v>
      </c>
      <c r="K845">
        <v>7</v>
      </c>
      <c r="L845">
        <v>6</v>
      </c>
      <c r="M845">
        <v>13</v>
      </c>
      <c r="N845">
        <v>4</v>
      </c>
    </row>
    <row r="846" spans="1:14" hidden="1" x14ac:dyDescent="0.3">
      <c r="A846">
        <v>1852</v>
      </c>
      <c r="B846">
        <v>61</v>
      </c>
      <c r="C846">
        <v>1340</v>
      </c>
      <c r="D846">
        <v>122</v>
      </c>
      <c r="E846">
        <v>695</v>
      </c>
      <c r="F846">
        <v>161</v>
      </c>
      <c r="G846">
        <v>172</v>
      </c>
      <c r="H846">
        <v>99</v>
      </c>
      <c r="I846">
        <v>2391</v>
      </c>
      <c r="J846">
        <v>2</v>
      </c>
      <c r="K846">
        <v>5</v>
      </c>
      <c r="L846">
        <v>5</v>
      </c>
      <c r="M846">
        <v>4</v>
      </c>
      <c r="N846">
        <v>3</v>
      </c>
    </row>
    <row r="847" spans="1:14" hidden="1" x14ac:dyDescent="0.3">
      <c r="A847">
        <v>2981</v>
      </c>
      <c r="B847">
        <v>61</v>
      </c>
      <c r="C847">
        <v>1478</v>
      </c>
      <c r="D847">
        <v>206</v>
      </c>
      <c r="E847">
        <v>1100</v>
      </c>
      <c r="F847">
        <v>535</v>
      </c>
      <c r="G847">
        <v>239</v>
      </c>
      <c r="H847">
        <v>206</v>
      </c>
      <c r="I847">
        <v>3352</v>
      </c>
      <c r="J847">
        <v>3</v>
      </c>
      <c r="K847">
        <v>8</v>
      </c>
      <c r="L847">
        <v>4</v>
      </c>
      <c r="M847">
        <v>8</v>
      </c>
      <c r="N847">
        <v>5</v>
      </c>
    </row>
    <row r="848" spans="1:14" hidden="1" x14ac:dyDescent="0.3">
      <c r="A848">
        <v>2285</v>
      </c>
      <c r="B848">
        <v>61</v>
      </c>
      <c r="C848">
        <v>1601</v>
      </c>
      <c r="D848">
        <v>18</v>
      </c>
      <c r="E848">
        <v>410</v>
      </c>
      <c r="F848">
        <v>26</v>
      </c>
      <c r="G848">
        <v>0</v>
      </c>
      <c r="H848">
        <v>143</v>
      </c>
      <c r="I848">
        <v>1913</v>
      </c>
      <c r="J848">
        <v>5</v>
      </c>
      <c r="K848">
        <v>10</v>
      </c>
      <c r="L848">
        <v>3</v>
      </c>
      <c r="M848">
        <v>8</v>
      </c>
      <c r="N848">
        <v>7</v>
      </c>
    </row>
    <row r="849" spans="1:14" hidden="1" x14ac:dyDescent="0.3">
      <c r="A849">
        <v>2649</v>
      </c>
      <c r="B849">
        <v>61</v>
      </c>
      <c r="C849">
        <v>1778</v>
      </c>
      <c r="D849">
        <v>130</v>
      </c>
      <c r="E849">
        <v>889</v>
      </c>
      <c r="F849">
        <v>301</v>
      </c>
      <c r="G849">
        <v>262</v>
      </c>
      <c r="H849">
        <v>394</v>
      </c>
      <c r="I849">
        <v>2966</v>
      </c>
      <c r="J849">
        <v>4</v>
      </c>
      <c r="K849">
        <v>8</v>
      </c>
      <c r="L849">
        <v>9</v>
      </c>
      <c r="M849">
        <v>13</v>
      </c>
      <c r="N849">
        <v>5</v>
      </c>
    </row>
    <row r="850" spans="1:14" hidden="1" x14ac:dyDescent="0.3">
      <c r="A850">
        <v>3162</v>
      </c>
      <c r="B850">
        <v>61</v>
      </c>
      <c r="C850">
        <v>1962</v>
      </c>
      <c r="D850">
        <v>188</v>
      </c>
      <c r="E850">
        <v>855</v>
      </c>
      <c r="F850">
        <v>122</v>
      </c>
      <c r="G850">
        <v>61</v>
      </c>
      <c r="H850">
        <v>410</v>
      </c>
      <c r="I850">
        <v>2779</v>
      </c>
      <c r="J850">
        <v>2</v>
      </c>
      <c r="K850">
        <v>9</v>
      </c>
      <c r="L850">
        <v>5</v>
      </c>
      <c r="M850">
        <v>6</v>
      </c>
      <c r="N850">
        <v>6</v>
      </c>
    </row>
    <row r="851" spans="1:14" hidden="1" x14ac:dyDescent="0.3">
      <c r="A851">
        <v>1543</v>
      </c>
      <c r="B851">
        <v>61</v>
      </c>
      <c r="C851">
        <v>3192</v>
      </c>
      <c r="D851">
        <v>81</v>
      </c>
      <c r="E851">
        <v>614</v>
      </c>
      <c r="F851">
        <v>107</v>
      </c>
      <c r="G851">
        <v>122</v>
      </c>
      <c r="H851">
        <v>71</v>
      </c>
      <c r="I851">
        <v>4045</v>
      </c>
      <c r="J851">
        <v>1</v>
      </c>
      <c r="K851">
        <v>5</v>
      </c>
      <c r="L851">
        <v>10</v>
      </c>
      <c r="M851">
        <v>4</v>
      </c>
      <c r="N851">
        <v>6</v>
      </c>
    </row>
    <row r="852" spans="1:14" hidden="1" x14ac:dyDescent="0.3">
      <c r="A852">
        <v>1805</v>
      </c>
      <c r="B852">
        <v>61</v>
      </c>
      <c r="C852">
        <v>3192</v>
      </c>
      <c r="D852">
        <v>81</v>
      </c>
      <c r="E852">
        <v>614</v>
      </c>
      <c r="F852">
        <v>107</v>
      </c>
      <c r="G852">
        <v>122</v>
      </c>
      <c r="H852">
        <v>71</v>
      </c>
      <c r="I852">
        <v>4045</v>
      </c>
      <c r="J852">
        <v>1</v>
      </c>
      <c r="K852">
        <v>5</v>
      </c>
      <c r="L852">
        <v>10</v>
      </c>
      <c r="M852">
        <v>4</v>
      </c>
      <c r="N852">
        <v>6</v>
      </c>
    </row>
    <row r="853" spans="1:14" hidden="1" x14ac:dyDescent="0.3">
      <c r="A853">
        <v>1247</v>
      </c>
      <c r="B853">
        <v>60</v>
      </c>
      <c r="C853">
        <v>8</v>
      </c>
      <c r="D853">
        <v>15</v>
      </c>
      <c r="E853">
        <v>60</v>
      </c>
      <c r="F853">
        <v>30</v>
      </c>
      <c r="G853">
        <v>23</v>
      </c>
      <c r="H853">
        <v>98</v>
      </c>
      <c r="I853">
        <v>38</v>
      </c>
      <c r="J853">
        <v>2</v>
      </c>
      <c r="K853">
        <v>1</v>
      </c>
      <c r="L853">
        <v>1</v>
      </c>
      <c r="M853">
        <v>2</v>
      </c>
      <c r="N853">
        <v>7</v>
      </c>
    </row>
    <row r="854" spans="1:14" hidden="1" x14ac:dyDescent="0.3">
      <c r="A854">
        <v>2184</v>
      </c>
      <c r="B854">
        <v>60</v>
      </c>
      <c r="C854">
        <v>8</v>
      </c>
      <c r="D854">
        <v>15</v>
      </c>
      <c r="E854">
        <v>60</v>
      </c>
      <c r="F854">
        <v>30</v>
      </c>
      <c r="G854">
        <v>23</v>
      </c>
      <c r="H854">
        <v>98</v>
      </c>
      <c r="I854">
        <v>38</v>
      </c>
      <c r="J854">
        <v>2</v>
      </c>
      <c r="K854">
        <v>1</v>
      </c>
      <c r="L854">
        <v>1</v>
      </c>
      <c r="M854">
        <v>2</v>
      </c>
      <c r="N854">
        <v>7</v>
      </c>
    </row>
    <row r="855" spans="1:14" hidden="1" x14ac:dyDescent="0.3">
      <c r="A855">
        <v>2404</v>
      </c>
      <c r="B855">
        <v>60</v>
      </c>
      <c r="C855">
        <v>25</v>
      </c>
      <c r="D855">
        <v>36</v>
      </c>
      <c r="E855">
        <v>61</v>
      </c>
      <c r="F855">
        <v>29</v>
      </c>
      <c r="G855">
        <v>21</v>
      </c>
      <c r="H855">
        <v>47</v>
      </c>
      <c r="I855">
        <v>125</v>
      </c>
      <c r="J855">
        <v>2</v>
      </c>
      <c r="K855">
        <v>2</v>
      </c>
      <c r="L855">
        <v>0</v>
      </c>
      <c r="M855">
        <v>3</v>
      </c>
      <c r="N855">
        <v>7</v>
      </c>
    </row>
    <row r="856" spans="1:14" hidden="1" x14ac:dyDescent="0.3">
      <c r="A856">
        <v>1551</v>
      </c>
      <c r="B856">
        <v>60</v>
      </c>
      <c r="C856">
        <v>26</v>
      </c>
      <c r="D856">
        <v>0</v>
      </c>
      <c r="E856">
        <v>9</v>
      </c>
      <c r="F856">
        <v>9</v>
      </c>
      <c r="G856">
        <v>0</v>
      </c>
      <c r="H856">
        <v>4</v>
      </c>
      <c r="I856">
        <v>40</v>
      </c>
      <c r="J856">
        <v>1</v>
      </c>
      <c r="K856">
        <v>1</v>
      </c>
      <c r="L856">
        <v>0</v>
      </c>
      <c r="M856">
        <v>2</v>
      </c>
      <c r="N856">
        <v>5</v>
      </c>
    </row>
    <row r="857" spans="1:14" hidden="1" x14ac:dyDescent="0.3">
      <c r="A857">
        <v>1464</v>
      </c>
      <c r="B857">
        <v>60</v>
      </c>
      <c r="C857">
        <v>68</v>
      </c>
      <c r="D857">
        <v>25</v>
      </c>
      <c r="E857">
        <v>68</v>
      </c>
      <c r="F857">
        <v>0</v>
      </c>
      <c r="G857">
        <v>4</v>
      </c>
      <c r="H857">
        <v>86</v>
      </c>
      <c r="I857">
        <v>78</v>
      </c>
      <c r="J857">
        <v>1</v>
      </c>
      <c r="K857">
        <v>2</v>
      </c>
      <c r="L857">
        <v>1</v>
      </c>
      <c r="M857">
        <v>2</v>
      </c>
      <c r="N857">
        <v>7</v>
      </c>
    </row>
    <row r="858" spans="1:14" hidden="1" x14ac:dyDescent="0.3">
      <c r="A858">
        <v>2416</v>
      </c>
      <c r="B858">
        <v>60</v>
      </c>
      <c r="C858">
        <v>104</v>
      </c>
      <c r="D858">
        <v>8</v>
      </c>
      <c r="E858">
        <v>76</v>
      </c>
      <c r="F858">
        <v>40</v>
      </c>
      <c r="G858">
        <v>20</v>
      </c>
      <c r="H858">
        <v>32</v>
      </c>
      <c r="I858">
        <v>216</v>
      </c>
      <c r="J858">
        <v>3</v>
      </c>
      <c r="K858">
        <v>2</v>
      </c>
      <c r="L858">
        <v>1</v>
      </c>
      <c r="M858">
        <v>3</v>
      </c>
      <c r="N858">
        <v>8</v>
      </c>
    </row>
    <row r="859" spans="1:14" hidden="1" x14ac:dyDescent="0.3">
      <c r="A859">
        <v>2815</v>
      </c>
      <c r="B859">
        <v>60</v>
      </c>
      <c r="C859">
        <v>352</v>
      </c>
      <c r="D859">
        <v>16</v>
      </c>
      <c r="E859">
        <v>229</v>
      </c>
      <c r="F859">
        <v>8</v>
      </c>
      <c r="G859">
        <v>16</v>
      </c>
      <c r="H859">
        <v>29</v>
      </c>
      <c r="I859">
        <v>594</v>
      </c>
      <c r="J859">
        <v>3</v>
      </c>
      <c r="K859">
        <v>4</v>
      </c>
      <c r="L859">
        <v>0</v>
      </c>
      <c r="M859">
        <v>4</v>
      </c>
      <c r="N859">
        <v>9</v>
      </c>
    </row>
    <row r="860" spans="1:14" hidden="1" x14ac:dyDescent="0.3">
      <c r="A860">
        <v>1445</v>
      </c>
      <c r="B860">
        <v>60</v>
      </c>
      <c r="C860">
        <v>390</v>
      </c>
      <c r="D860">
        <v>0</v>
      </c>
      <c r="E860">
        <v>614</v>
      </c>
      <c r="F860">
        <v>483</v>
      </c>
      <c r="G860">
        <v>463</v>
      </c>
      <c r="H860">
        <v>296</v>
      </c>
      <c r="I860">
        <v>1654</v>
      </c>
      <c r="J860">
        <v>1</v>
      </c>
      <c r="K860">
        <v>3</v>
      </c>
      <c r="L860">
        <v>7</v>
      </c>
      <c r="M860">
        <v>11</v>
      </c>
      <c r="N860">
        <v>1</v>
      </c>
    </row>
    <row r="861" spans="1:14" hidden="1" x14ac:dyDescent="0.3">
      <c r="A861">
        <v>1189</v>
      </c>
      <c r="B861">
        <v>60</v>
      </c>
      <c r="C861">
        <v>614</v>
      </c>
      <c r="D861">
        <v>320</v>
      </c>
      <c r="E861">
        <v>1281</v>
      </c>
      <c r="F861">
        <v>519</v>
      </c>
      <c r="G861">
        <v>53</v>
      </c>
      <c r="H861">
        <v>213</v>
      </c>
      <c r="I861">
        <v>2574</v>
      </c>
      <c r="J861">
        <v>1</v>
      </c>
      <c r="K861">
        <v>4</v>
      </c>
      <c r="L861">
        <v>4</v>
      </c>
      <c r="M861">
        <v>9</v>
      </c>
      <c r="N861">
        <v>1</v>
      </c>
    </row>
    <row r="862" spans="1:14" hidden="1" x14ac:dyDescent="0.3">
      <c r="A862">
        <v>1709</v>
      </c>
      <c r="B862">
        <v>60</v>
      </c>
      <c r="C862">
        <v>805</v>
      </c>
      <c r="D862">
        <v>8</v>
      </c>
      <c r="E862">
        <v>212</v>
      </c>
      <c r="F862">
        <v>28</v>
      </c>
      <c r="G862">
        <v>8</v>
      </c>
      <c r="H862">
        <v>72</v>
      </c>
      <c r="I862">
        <v>989</v>
      </c>
      <c r="J862">
        <v>7</v>
      </c>
      <c r="K862">
        <v>6</v>
      </c>
      <c r="L862">
        <v>3</v>
      </c>
      <c r="M862">
        <v>5</v>
      </c>
      <c r="N862">
        <v>7</v>
      </c>
    </row>
    <row r="863" spans="1:14" hidden="1" x14ac:dyDescent="0.3">
      <c r="A863">
        <v>1958</v>
      </c>
      <c r="B863">
        <v>60</v>
      </c>
      <c r="C863">
        <v>805</v>
      </c>
      <c r="D863">
        <v>8</v>
      </c>
      <c r="E863">
        <v>212</v>
      </c>
      <c r="F863">
        <v>28</v>
      </c>
      <c r="G863">
        <v>8</v>
      </c>
      <c r="H863">
        <v>72</v>
      </c>
      <c r="I863">
        <v>989</v>
      </c>
      <c r="J863">
        <v>7</v>
      </c>
      <c r="K863">
        <v>6</v>
      </c>
      <c r="L863">
        <v>3</v>
      </c>
      <c r="M863">
        <v>5</v>
      </c>
      <c r="N863">
        <v>7</v>
      </c>
    </row>
    <row r="864" spans="1:14" hidden="1" x14ac:dyDescent="0.3">
      <c r="A864">
        <v>2933</v>
      </c>
      <c r="B864">
        <v>60</v>
      </c>
      <c r="C864">
        <v>911</v>
      </c>
      <c r="D864">
        <v>144</v>
      </c>
      <c r="E864">
        <v>1933</v>
      </c>
      <c r="F864">
        <v>81</v>
      </c>
      <c r="G864">
        <v>35</v>
      </c>
      <c r="H864">
        <v>35</v>
      </c>
      <c r="I864">
        <v>3069</v>
      </c>
      <c r="J864">
        <v>1</v>
      </c>
      <c r="K864">
        <v>6</v>
      </c>
      <c r="L864">
        <v>11</v>
      </c>
      <c r="M864">
        <v>10</v>
      </c>
      <c r="N864">
        <v>2</v>
      </c>
    </row>
    <row r="865" spans="1:14" hidden="1" x14ac:dyDescent="0.3">
      <c r="A865">
        <v>1712</v>
      </c>
      <c r="B865">
        <v>60</v>
      </c>
      <c r="C865">
        <v>1000</v>
      </c>
      <c r="D865">
        <v>11</v>
      </c>
      <c r="E865">
        <v>224</v>
      </c>
      <c r="F865">
        <v>17</v>
      </c>
      <c r="G865">
        <v>0</v>
      </c>
      <c r="H865">
        <v>123</v>
      </c>
      <c r="I865">
        <v>1129</v>
      </c>
      <c r="J865">
        <v>8</v>
      </c>
      <c r="K865">
        <v>7</v>
      </c>
      <c r="L865">
        <v>2</v>
      </c>
      <c r="M865">
        <v>6</v>
      </c>
      <c r="N865">
        <v>8</v>
      </c>
    </row>
    <row r="866" spans="1:14" hidden="1" x14ac:dyDescent="0.3">
      <c r="A866">
        <v>2927</v>
      </c>
      <c r="B866">
        <v>60</v>
      </c>
      <c r="C866">
        <v>1080</v>
      </c>
      <c r="D866">
        <v>161</v>
      </c>
      <c r="E866">
        <v>1268</v>
      </c>
      <c r="F866">
        <v>210</v>
      </c>
      <c r="G866">
        <v>27</v>
      </c>
      <c r="H866">
        <v>242</v>
      </c>
      <c r="I866">
        <v>2505</v>
      </c>
      <c r="J866">
        <v>1</v>
      </c>
      <c r="K866">
        <v>4</v>
      </c>
      <c r="L866">
        <v>4</v>
      </c>
      <c r="M866">
        <v>10</v>
      </c>
      <c r="N866">
        <v>1</v>
      </c>
    </row>
    <row r="867" spans="1:14" hidden="1" x14ac:dyDescent="0.3">
      <c r="A867">
        <v>2943</v>
      </c>
      <c r="B867">
        <v>60</v>
      </c>
      <c r="C867">
        <v>1250</v>
      </c>
      <c r="D867">
        <v>190</v>
      </c>
      <c r="E867">
        <v>1314</v>
      </c>
      <c r="F867">
        <v>292</v>
      </c>
      <c r="G867">
        <v>223</v>
      </c>
      <c r="H867">
        <v>126</v>
      </c>
      <c r="I867">
        <v>3144</v>
      </c>
      <c r="J867">
        <v>1</v>
      </c>
      <c r="K867">
        <v>3</v>
      </c>
      <c r="L867">
        <v>10</v>
      </c>
      <c r="M867">
        <v>7</v>
      </c>
      <c r="N867">
        <v>2</v>
      </c>
    </row>
    <row r="868" spans="1:14" hidden="1" x14ac:dyDescent="0.3">
      <c r="A868">
        <v>3155</v>
      </c>
      <c r="B868">
        <v>60</v>
      </c>
      <c r="C868">
        <v>1337</v>
      </c>
      <c r="D868">
        <v>166</v>
      </c>
      <c r="E868">
        <v>1639</v>
      </c>
      <c r="F868">
        <v>129</v>
      </c>
      <c r="G868">
        <v>98</v>
      </c>
      <c r="H868">
        <v>57</v>
      </c>
      <c r="I868">
        <v>3314</v>
      </c>
      <c r="J868">
        <v>1</v>
      </c>
      <c r="K868">
        <v>7</v>
      </c>
      <c r="L868">
        <v>10</v>
      </c>
      <c r="M868">
        <v>6</v>
      </c>
      <c r="N868">
        <v>2</v>
      </c>
    </row>
    <row r="869" spans="1:14" hidden="1" x14ac:dyDescent="0.3">
      <c r="A869">
        <v>2641</v>
      </c>
      <c r="B869">
        <v>60</v>
      </c>
      <c r="C869">
        <v>1531</v>
      </c>
      <c r="D869">
        <v>77</v>
      </c>
      <c r="E869">
        <v>235</v>
      </c>
      <c r="F869">
        <v>75</v>
      </c>
      <c r="G869">
        <v>57</v>
      </c>
      <c r="H869">
        <v>18</v>
      </c>
      <c r="I869">
        <v>1956</v>
      </c>
      <c r="J869">
        <v>1</v>
      </c>
      <c r="K869">
        <v>6</v>
      </c>
      <c r="L869">
        <v>3</v>
      </c>
      <c r="M869">
        <v>12</v>
      </c>
      <c r="N869">
        <v>4</v>
      </c>
    </row>
    <row r="870" spans="1:14" hidden="1" x14ac:dyDescent="0.3">
      <c r="A870">
        <v>1828</v>
      </c>
      <c r="B870">
        <v>60</v>
      </c>
      <c r="C870">
        <v>1536</v>
      </c>
      <c r="D870">
        <v>20</v>
      </c>
      <c r="E870">
        <v>393</v>
      </c>
      <c r="F870">
        <v>0</v>
      </c>
      <c r="G870">
        <v>20</v>
      </c>
      <c r="H870">
        <v>177</v>
      </c>
      <c r="I870">
        <v>1792</v>
      </c>
      <c r="J870">
        <v>3</v>
      </c>
      <c r="K870">
        <v>7</v>
      </c>
      <c r="L870">
        <v>5</v>
      </c>
      <c r="M870">
        <v>8</v>
      </c>
      <c r="N870">
        <v>5</v>
      </c>
    </row>
    <row r="871" spans="1:14" hidden="1" x14ac:dyDescent="0.3">
      <c r="A871">
        <v>3022</v>
      </c>
      <c r="B871">
        <v>60</v>
      </c>
      <c r="C871">
        <v>1805</v>
      </c>
      <c r="D871">
        <v>0</v>
      </c>
      <c r="E871">
        <v>668</v>
      </c>
      <c r="F871">
        <v>304</v>
      </c>
      <c r="G871">
        <v>202</v>
      </c>
      <c r="H871">
        <v>86</v>
      </c>
      <c r="I871">
        <v>2893</v>
      </c>
      <c r="J871">
        <v>1</v>
      </c>
      <c r="K871">
        <v>7</v>
      </c>
      <c r="L871">
        <v>8</v>
      </c>
      <c r="M871">
        <v>12</v>
      </c>
      <c r="N871">
        <v>4</v>
      </c>
    </row>
    <row r="872" spans="1:14" hidden="1" x14ac:dyDescent="0.3">
      <c r="A872">
        <v>3096</v>
      </c>
      <c r="B872">
        <v>60</v>
      </c>
      <c r="C872">
        <v>2903</v>
      </c>
      <c r="D872">
        <v>0</v>
      </c>
      <c r="E872">
        <v>795</v>
      </c>
      <c r="F872">
        <v>102</v>
      </c>
      <c r="G872">
        <v>197</v>
      </c>
      <c r="H872">
        <v>38</v>
      </c>
      <c r="I872">
        <v>3960</v>
      </c>
      <c r="J872">
        <v>1</v>
      </c>
      <c r="K872">
        <v>4</v>
      </c>
      <c r="L872">
        <v>3</v>
      </c>
      <c r="M872">
        <v>10</v>
      </c>
      <c r="N872">
        <v>2</v>
      </c>
    </row>
    <row r="873" spans="1:14" hidden="1" x14ac:dyDescent="0.3">
      <c r="A873">
        <v>3067</v>
      </c>
      <c r="B873">
        <v>60</v>
      </c>
      <c r="C873">
        <v>3300</v>
      </c>
      <c r="D873">
        <v>122</v>
      </c>
      <c r="E873">
        <v>617</v>
      </c>
      <c r="F873">
        <v>109</v>
      </c>
      <c r="G873">
        <v>0</v>
      </c>
      <c r="H873">
        <v>411</v>
      </c>
      <c r="I873">
        <v>3737</v>
      </c>
      <c r="J873">
        <v>2</v>
      </c>
      <c r="K873">
        <v>4</v>
      </c>
      <c r="L873">
        <v>4</v>
      </c>
      <c r="M873">
        <v>10</v>
      </c>
      <c r="N873">
        <v>6</v>
      </c>
    </row>
    <row r="874" spans="1:14" hidden="1" x14ac:dyDescent="0.3">
      <c r="A874">
        <v>1926</v>
      </c>
      <c r="B874">
        <v>60</v>
      </c>
      <c r="C874">
        <v>3427</v>
      </c>
      <c r="D874">
        <v>0</v>
      </c>
      <c r="E874">
        <v>141</v>
      </c>
      <c r="F874">
        <v>0</v>
      </c>
      <c r="G874">
        <v>0</v>
      </c>
      <c r="H874">
        <v>106</v>
      </c>
      <c r="I874">
        <v>3463</v>
      </c>
      <c r="J874">
        <v>1</v>
      </c>
      <c r="K874">
        <v>4</v>
      </c>
      <c r="L874">
        <v>4</v>
      </c>
      <c r="M874">
        <v>10</v>
      </c>
      <c r="N874">
        <v>8</v>
      </c>
    </row>
    <row r="875" spans="1:14" hidden="1" x14ac:dyDescent="0.3">
      <c r="A875">
        <v>2931</v>
      </c>
      <c r="B875">
        <v>59</v>
      </c>
      <c r="C875">
        <v>35</v>
      </c>
      <c r="D875">
        <v>0</v>
      </c>
      <c r="E875">
        <v>31</v>
      </c>
      <c r="F875">
        <v>13</v>
      </c>
      <c r="G875">
        <v>4</v>
      </c>
      <c r="H875">
        <v>4</v>
      </c>
      <c r="I875">
        <v>79</v>
      </c>
      <c r="J875">
        <v>1</v>
      </c>
      <c r="K875">
        <v>1</v>
      </c>
      <c r="L875">
        <v>0</v>
      </c>
      <c r="M875">
        <v>3</v>
      </c>
      <c r="N875">
        <v>6</v>
      </c>
    </row>
    <row r="876" spans="1:14" hidden="1" x14ac:dyDescent="0.3">
      <c r="A876">
        <v>1237</v>
      </c>
      <c r="B876">
        <v>59</v>
      </c>
      <c r="C876">
        <v>67</v>
      </c>
      <c r="D876">
        <v>13</v>
      </c>
      <c r="E876">
        <v>105</v>
      </c>
      <c r="F876">
        <v>25</v>
      </c>
      <c r="G876">
        <v>4</v>
      </c>
      <c r="H876">
        <v>55</v>
      </c>
      <c r="I876">
        <v>160</v>
      </c>
      <c r="J876">
        <v>2</v>
      </c>
      <c r="K876">
        <v>2</v>
      </c>
      <c r="L876">
        <v>0</v>
      </c>
      <c r="M876">
        <v>3</v>
      </c>
      <c r="N876">
        <v>8</v>
      </c>
    </row>
    <row r="877" spans="1:14" hidden="1" x14ac:dyDescent="0.3">
      <c r="A877">
        <v>1011</v>
      </c>
      <c r="B877">
        <v>59</v>
      </c>
      <c r="C877">
        <v>86</v>
      </c>
      <c r="D877">
        <v>229</v>
      </c>
      <c r="E877">
        <v>158</v>
      </c>
      <c r="F877">
        <v>158</v>
      </c>
      <c r="G877">
        <v>14</v>
      </c>
      <c r="H877">
        <v>229</v>
      </c>
      <c r="I877">
        <v>416</v>
      </c>
      <c r="J877">
        <v>1</v>
      </c>
      <c r="K877">
        <v>2</v>
      </c>
      <c r="L877">
        <v>0</v>
      </c>
      <c r="M877">
        <v>3</v>
      </c>
      <c r="N877">
        <v>8</v>
      </c>
    </row>
    <row r="878" spans="1:14" hidden="1" x14ac:dyDescent="0.3">
      <c r="A878">
        <v>1302</v>
      </c>
      <c r="B878">
        <v>59</v>
      </c>
      <c r="C878">
        <v>153</v>
      </c>
      <c r="D878">
        <v>14</v>
      </c>
      <c r="E878">
        <v>73</v>
      </c>
      <c r="F878">
        <v>21</v>
      </c>
      <c r="G878">
        <v>0</v>
      </c>
      <c r="H878">
        <v>94</v>
      </c>
      <c r="I878">
        <v>167</v>
      </c>
      <c r="J878">
        <v>2</v>
      </c>
      <c r="K878">
        <v>3</v>
      </c>
      <c r="L878">
        <v>0</v>
      </c>
      <c r="M878">
        <v>3</v>
      </c>
      <c r="N878">
        <v>7</v>
      </c>
    </row>
    <row r="879" spans="1:14" hidden="1" x14ac:dyDescent="0.3">
      <c r="A879">
        <v>2298</v>
      </c>
      <c r="B879">
        <v>59</v>
      </c>
      <c r="C879">
        <v>153</v>
      </c>
      <c r="D879">
        <v>14</v>
      </c>
      <c r="E879">
        <v>73</v>
      </c>
      <c r="F879">
        <v>21</v>
      </c>
      <c r="G879">
        <v>0</v>
      </c>
      <c r="H879">
        <v>94</v>
      </c>
      <c r="I879">
        <v>167</v>
      </c>
      <c r="J879">
        <v>2</v>
      </c>
      <c r="K879">
        <v>3</v>
      </c>
      <c r="L879">
        <v>0</v>
      </c>
      <c r="M879">
        <v>3</v>
      </c>
      <c r="N879">
        <v>7</v>
      </c>
    </row>
    <row r="880" spans="1:14" hidden="1" x14ac:dyDescent="0.3">
      <c r="A880">
        <v>1140</v>
      </c>
      <c r="B880">
        <v>59</v>
      </c>
      <c r="C880">
        <v>792</v>
      </c>
      <c r="D880">
        <v>56</v>
      </c>
      <c r="E880">
        <v>209</v>
      </c>
      <c r="F880">
        <v>105</v>
      </c>
      <c r="G880">
        <v>35</v>
      </c>
      <c r="H880">
        <v>35</v>
      </c>
      <c r="I880">
        <v>1163</v>
      </c>
      <c r="J880">
        <v>1</v>
      </c>
      <c r="K880">
        <v>4</v>
      </c>
      <c r="L880">
        <v>4</v>
      </c>
      <c r="M880">
        <v>7</v>
      </c>
      <c r="N880">
        <v>3</v>
      </c>
    </row>
    <row r="881" spans="1:14" hidden="1" x14ac:dyDescent="0.3">
      <c r="A881">
        <v>1094</v>
      </c>
      <c r="B881">
        <v>59</v>
      </c>
      <c r="C881">
        <v>836</v>
      </c>
      <c r="D881">
        <v>373</v>
      </c>
      <c r="E881">
        <v>397</v>
      </c>
      <c r="F881">
        <v>401</v>
      </c>
      <c r="G881">
        <v>286</v>
      </c>
      <c r="H881">
        <v>241</v>
      </c>
      <c r="I881">
        <v>2052</v>
      </c>
      <c r="J881">
        <v>2</v>
      </c>
      <c r="K881">
        <v>9</v>
      </c>
      <c r="L881">
        <v>5</v>
      </c>
      <c r="M881">
        <v>11</v>
      </c>
      <c r="N881">
        <v>5</v>
      </c>
    </row>
    <row r="882" spans="1:14" hidden="1" x14ac:dyDescent="0.3">
      <c r="A882">
        <v>2752</v>
      </c>
      <c r="B882">
        <v>59</v>
      </c>
      <c r="C882">
        <v>917</v>
      </c>
      <c r="D882">
        <v>0</v>
      </c>
      <c r="E882">
        <v>205</v>
      </c>
      <c r="F882">
        <v>13</v>
      </c>
      <c r="G882">
        <v>9</v>
      </c>
      <c r="H882">
        <v>53</v>
      </c>
      <c r="I882">
        <v>1091</v>
      </c>
      <c r="J882">
        <v>2</v>
      </c>
      <c r="K882">
        <v>5</v>
      </c>
      <c r="L882">
        <v>1</v>
      </c>
      <c r="M882">
        <v>5</v>
      </c>
      <c r="N882">
        <v>8</v>
      </c>
    </row>
    <row r="883" spans="1:14" hidden="1" x14ac:dyDescent="0.3">
      <c r="A883">
        <v>2941</v>
      </c>
      <c r="B883">
        <v>59</v>
      </c>
      <c r="C883">
        <v>972</v>
      </c>
      <c r="D883">
        <v>89</v>
      </c>
      <c r="E883">
        <v>439</v>
      </c>
      <c r="F883">
        <v>143</v>
      </c>
      <c r="G883">
        <v>219</v>
      </c>
      <c r="H883">
        <v>237</v>
      </c>
      <c r="I883">
        <v>1625</v>
      </c>
      <c r="J883">
        <v>2</v>
      </c>
      <c r="K883">
        <v>8</v>
      </c>
      <c r="L883">
        <v>2</v>
      </c>
      <c r="M883">
        <v>10</v>
      </c>
      <c r="N883">
        <v>5</v>
      </c>
    </row>
    <row r="884" spans="1:14" hidden="1" x14ac:dyDescent="0.3">
      <c r="A884">
        <v>1919</v>
      </c>
      <c r="B884">
        <v>59</v>
      </c>
      <c r="C884">
        <v>1043</v>
      </c>
      <c r="D884">
        <v>48</v>
      </c>
      <c r="E884">
        <v>669</v>
      </c>
      <c r="F884">
        <v>65</v>
      </c>
      <c r="G884">
        <v>67</v>
      </c>
      <c r="H884">
        <v>298</v>
      </c>
      <c r="I884">
        <v>1593</v>
      </c>
      <c r="J884">
        <v>3</v>
      </c>
      <c r="K884">
        <v>7</v>
      </c>
      <c r="L884">
        <v>5</v>
      </c>
      <c r="M884">
        <v>11</v>
      </c>
      <c r="N884">
        <v>5</v>
      </c>
    </row>
    <row r="885" spans="1:14" hidden="1" x14ac:dyDescent="0.3">
      <c r="A885">
        <v>2582</v>
      </c>
      <c r="B885">
        <v>59</v>
      </c>
      <c r="C885">
        <v>1311</v>
      </c>
      <c r="D885">
        <v>74</v>
      </c>
      <c r="E885">
        <v>1009</v>
      </c>
      <c r="F885">
        <v>0</v>
      </c>
      <c r="G885">
        <v>268</v>
      </c>
      <c r="H885">
        <v>67</v>
      </c>
      <c r="I885">
        <v>2595</v>
      </c>
      <c r="J885">
        <v>4</v>
      </c>
      <c r="K885">
        <v>5</v>
      </c>
      <c r="L885">
        <v>5</v>
      </c>
      <c r="M885">
        <v>11</v>
      </c>
      <c r="N885">
        <v>3</v>
      </c>
    </row>
    <row r="886" spans="1:14" hidden="1" x14ac:dyDescent="0.3">
      <c r="A886">
        <v>3126</v>
      </c>
      <c r="B886">
        <v>59</v>
      </c>
      <c r="C886">
        <v>1561</v>
      </c>
      <c r="D886">
        <v>19</v>
      </c>
      <c r="E886">
        <v>312</v>
      </c>
      <c r="F886">
        <v>51</v>
      </c>
      <c r="G886">
        <v>19</v>
      </c>
      <c r="H886">
        <v>19</v>
      </c>
      <c r="I886">
        <v>1943</v>
      </c>
      <c r="J886">
        <v>2</v>
      </c>
      <c r="K886">
        <v>7</v>
      </c>
      <c r="L886">
        <v>4</v>
      </c>
      <c r="M886">
        <v>9</v>
      </c>
      <c r="N886">
        <v>6</v>
      </c>
    </row>
    <row r="887" spans="1:14" hidden="1" x14ac:dyDescent="0.3">
      <c r="A887">
        <v>2131</v>
      </c>
      <c r="B887">
        <v>59</v>
      </c>
      <c r="C887">
        <v>2013</v>
      </c>
      <c r="D887">
        <v>110</v>
      </c>
      <c r="E887">
        <v>501</v>
      </c>
      <c r="F887">
        <v>142</v>
      </c>
      <c r="G887">
        <v>55</v>
      </c>
      <c r="H887">
        <v>82</v>
      </c>
      <c r="I887">
        <v>2739</v>
      </c>
      <c r="J887">
        <v>2</v>
      </c>
      <c r="K887">
        <v>9</v>
      </c>
      <c r="L887">
        <v>3</v>
      </c>
      <c r="M887">
        <v>13</v>
      </c>
      <c r="N887">
        <v>6</v>
      </c>
    </row>
    <row r="888" spans="1:14" hidden="1" x14ac:dyDescent="0.3">
      <c r="A888">
        <v>2514</v>
      </c>
      <c r="B888">
        <v>59</v>
      </c>
      <c r="C888">
        <v>2389</v>
      </c>
      <c r="D888">
        <v>0</v>
      </c>
      <c r="E888">
        <v>182</v>
      </c>
      <c r="F888">
        <v>0</v>
      </c>
      <c r="G888">
        <v>0</v>
      </c>
      <c r="H888">
        <v>24</v>
      </c>
      <c r="I888">
        <v>2547</v>
      </c>
      <c r="J888">
        <v>3</v>
      </c>
      <c r="K888">
        <v>3</v>
      </c>
      <c r="L888">
        <v>4</v>
      </c>
      <c r="M888">
        <v>9</v>
      </c>
      <c r="N888">
        <v>8</v>
      </c>
    </row>
    <row r="889" spans="1:14" hidden="1" x14ac:dyDescent="0.3">
      <c r="A889">
        <v>2324</v>
      </c>
      <c r="B889">
        <v>58</v>
      </c>
      <c r="C889">
        <v>10</v>
      </c>
      <c r="D889">
        <v>20</v>
      </c>
      <c r="E889">
        <v>10</v>
      </c>
      <c r="F889">
        <v>0</v>
      </c>
      <c r="G889">
        <v>56</v>
      </c>
      <c r="H889">
        <v>26</v>
      </c>
      <c r="I889">
        <v>71</v>
      </c>
      <c r="J889">
        <v>1</v>
      </c>
      <c r="K889">
        <v>1</v>
      </c>
      <c r="L889">
        <v>0</v>
      </c>
      <c r="M889">
        <v>2</v>
      </c>
      <c r="N889">
        <v>9</v>
      </c>
    </row>
    <row r="890" spans="1:14" hidden="1" x14ac:dyDescent="0.3">
      <c r="A890">
        <v>1458</v>
      </c>
      <c r="B890">
        <v>58</v>
      </c>
      <c r="C890">
        <v>23</v>
      </c>
      <c r="D890">
        <v>6</v>
      </c>
      <c r="E890">
        <v>35</v>
      </c>
      <c r="F890">
        <v>23</v>
      </c>
      <c r="G890">
        <v>6</v>
      </c>
      <c r="H890">
        <v>53</v>
      </c>
      <c r="I890">
        <v>41</v>
      </c>
      <c r="J890">
        <v>1</v>
      </c>
      <c r="K890">
        <v>1</v>
      </c>
      <c r="L890">
        <v>1</v>
      </c>
      <c r="M890">
        <v>2</v>
      </c>
      <c r="N890">
        <v>5</v>
      </c>
    </row>
    <row r="891" spans="1:14" hidden="1" x14ac:dyDescent="0.3">
      <c r="A891">
        <v>1159</v>
      </c>
      <c r="B891">
        <v>58</v>
      </c>
      <c r="C891">
        <v>28</v>
      </c>
      <c r="D891">
        <v>12</v>
      </c>
      <c r="E891">
        <v>40</v>
      </c>
      <c r="F891">
        <v>32</v>
      </c>
      <c r="G891">
        <v>4</v>
      </c>
      <c r="H891">
        <v>28</v>
      </c>
      <c r="I891">
        <v>88</v>
      </c>
      <c r="J891">
        <v>2</v>
      </c>
      <c r="K891">
        <v>1</v>
      </c>
      <c r="L891">
        <v>0</v>
      </c>
      <c r="M891">
        <v>3</v>
      </c>
      <c r="N891">
        <v>7</v>
      </c>
    </row>
    <row r="892" spans="1:14" hidden="1" x14ac:dyDescent="0.3">
      <c r="A892">
        <v>1069</v>
      </c>
      <c r="B892">
        <v>58</v>
      </c>
      <c r="C892">
        <v>63</v>
      </c>
      <c r="D892">
        <v>45</v>
      </c>
      <c r="E892">
        <v>59</v>
      </c>
      <c r="F892">
        <v>18</v>
      </c>
      <c r="G892">
        <v>68</v>
      </c>
      <c r="H892">
        <v>41</v>
      </c>
      <c r="I892">
        <v>213</v>
      </c>
      <c r="J892">
        <v>1</v>
      </c>
      <c r="K892">
        <v>2</v>
      </c>
      <c r="L892">
        <v>1</v>
      </c>
      <c r="M892">
        <v>4</v>
      </c>
      <c r="N892">
        <v>2</v>
      </c>
    </row>
    <row r="893" spans="1:14" hidden="1" x14ac:dyDescent="0.3">
      <c r="A893">
        <v>1904</v>
      </c>
      <c r="B893">
        <v>58</v>
      </c>
      <c r="C893">
        <v>74</v>
      </c>
      <c r="D893">
        <v>23</v>
      </c>
      <c r="E893">
        <v>78</v>
      </c>
      <c r="F893">
        <v>0</v>
      </c>
      <c r="G893">
        <v>20</v>
      </c>
      <c r="H893">
        <v>47</v>
      </c>
      <c r="I893">
        <v>148</v>
      </c>
      <c r="J893">
        <v>3</v>
      </c>
      <c r="K893">
        <v>1</v>
      </c>
      <c r="L893">
        <v>1</v>
      </c>
      <c r="M893">
        <v>4</v>
      </c>
      <c r="N893">
        <v>4</v>
      </c>
    </row>
    <row r="894" spans="1:14" hidden="1" x14ac:dyDescent="0.3">
      <c r="A894">
        <v>1555</v>
      </c>
      <c r="B894">
        <v>58</v>
      </c>
      <c r="C894">
        <v>115</v>
      </c>
      <c r="D894">
        <v>0</v>
      </c>
      <c r="E894">
        <v>18</v>
      </c>
      <c r="F894">
        <v>0</v>
      </c>
      <c r="G894">
        <v>0</v>
      </c>
      <c r="H894">
        <v>4</v>
      </c>
      <c r="I894">
        <v>130</v>
      </c>
      <c r="J894">
        <v>2</v>
      </c>
      <c r="K894">
        <v>1</v>
      </c>
      <c r="L894">
        <v>0</v>
      </c>
      <c r="M894">
        <v>3</v>
      </c>
      <c r="N894">
        <v>7</v>
      </c>
    </row>
    <row r="895" spans="1:14" hidden="1" x14ac:dyDescent="0.3">
      <c r="A895">
        <v>1772</v>
      </c>
      <c r="B895">
        <v>58</v>
      </c>
      <c r="C895">
        <v>408</v>
      </c>
      <c r="D895">
        <v>51</v>
      </c>
      <c r="E895">
        <v>990</v>
      </c>
      <c r="F895">
        <v>67</v>
      </c>
      <c r="G895">
        <v>51</v>
      </c>
      <c r="H895">
        <v>51</v>
      </c>
      <c r="I895">
        <v>1516</v>
      </c>
      <c r="J895">
        <v>1</v>
      </c>
      <c r="K895">
        <v>5</v>
      </c>
      <c r="L895">
        <v>4</v>
      </c>
      <c r="M895">
        <v>7</v>
      </c>
      <c r="N895">
        <v>2</v>
      </c>
    </row>
    <row r="896" spans="1:14" hidden="1" x14ac:dyDescent="0.3">
      <c r="A896">
        <v>2192</v>
      </c>
      <c r="B896">
        <v>58</v>
      </c>
      <c r="C896">
        <v>434</v>
      </c>
      <c r="D896">
        <v>184</v>
      </c>
      <c r="E896">
        <v>234</v>
      </c>
      <c r="F896">
        <v>239</v>
      </c>
      <c r="G896">
        <v>197</v>
      </c>
      <c r="H896">
        <v>86</v>
      </c>
      <c r="I896">
        <v>1202</v>
      </c>
      <c r="J896">
        <v>2</v>
      </c>
      <c r="K896">
        <v>2</v>
      </c>
      <c r="L896">
        <v>4</v>
      </c>
      <c r="M896">
        <v>10</v>
      </c>
      <c r="N896">
        <v>1</v>
      </c>
    </row>
    <row r="897" spans="1:14" hidden="1" x14ac:dyDescent="0.3">
      <c r="A897">
        <v>1329</v>
      </c>
      <c r="B897">
        <v>58</v>
      </c>
      <c r="C897">
        <v>451</v>
      </c>
      <c r="D897">
        <v>75</v>
      </c>
      <c r="E897">
        <v>451</v>
      </c>
      <c r="F897">
        <v>380</v>
      </c>
      <c r="G897">
        <v>338</v>
      </c>
      <c r="H897">
        <v>382</v>
      </c>
      <c r="I897">
        <v>1313</v>
      </c>
      <c r="J897">
        <v>1</v>
      </c>
      <c r="K897">
        <v>2</v>
      </c>
      <c r="L897">
        <v>9</v>
      </c>
      <c r="M897">
        <v>4</v>
      </c>
      <c r="N897">
        <v>1</v>
      </c>
    </row>
    <row r="898" spans="1:14" hidden="1" x14ac:dyDescent="0.3">
      <c r="A898">
        <v>3062</v>
      </c>
      <c r="B898">
        <v>58</v>
      </c>
      <c r="C898">
        <v>1065</v>
      </c>
      <c r="D898">
        <v>231</v>
      </c>
      <c r="E898">
        <v>283</v>
      </c>
      <c r="F898">
        <v>480</v>
      </c>
      <c r="G898">
        <v>138</v>
      </c>
      <c r="H898">
        <v>554</v>
      </c>
      <c r="I898">
        <v>1642</v>
      </c>
      <c r="J898">
        <v>1</v>
      </c>
      <c r="K898">
        <v>4</v>
      </c>
      <c r="L898">
        <v>10</v>
      </c>
      <c r="M898">
        <v>7</v>
      </c>
      <c r="N898">
        <v>1</v>
      </c>
    </row>
    <row r="899" spans="1:14" hidden="1" x14ac:dyDescent="0.3">
      <c r="A899">
        <v>2940</v>
      </c>
      <c r="B899">
        <v>58</v>
      </c>
      <c r="C899">
        <v>1169</v>
      </c>
      <c r="D899">
        <v>349</v>
      </c>
      <c r="E899">
        <v>1909</v>
      </c>
      <c r="F899">
        <v>405</v>
      </c>
      <c r="G899">
        <v>115</v>
      </c>
      <c r="H899">
        <v>115</v>
      </c>
      <c r="I899">
        <v>3832</v>
      </c>
      <c r="J899">
        <v>1</v>
      </c>
      <c r="K899">
        <v>6</v>
      </c>
      <c r="L899">
        <v>7</v>
      </c>
      <c r="M899">
        <v>12</v>
      </c>
      <c r="N899">
        <v>3</v>
      </c>
    </row>
    <row r="900" spans="1:14" hidden="1" x14ac:dyDescent="0.3">
      <c r="A900">
        <v>2012</v>
      </c>
      <c r="B900">
        <v>58</v>
      </c>
      <c r="C900">
        <v>1204</v>
      </c>
      <c r="D900">
        <v>360</v>
      </c>
      <c r="E900">
        <v>2009</v>
      </c>
      <c r="F900">
        <v>261</v>
      </c>
      <c r="G900">
        <v>240</v>
      </c>
      <c r="H900">
        <v>40</v>
      </c>
      <c r="I900">
        <v>4035</v>
      </c>
      <c r="J900">
        <v>1</v>
      </c>
      <c r="K900">
        <v>8</v>
      </c>
      <c r="L900">
        <v>6</v>
      </c>
      <c r="M900">
        <v>5</v>
      </c>
      <c r="N900">
        <v>3</v>
      </c>
    </row>
    <row r="901" spans="1:14" hidden="1" x14ac:dyDescent="0.3">
      <c r="A901">
        <v>3112</v>
      </c>
      <c r="B901">
        <v>58</v>
      </c>
      <c r="C901">
        <v>1655</v>
      </c>
      <c r="D901">
        <v>18</v>
      </c>
      <c r="E901">
        <v>233</v>
      </c>
      <c r="F901">
        <v>0</v>
      </c>
      <c r="G901">
        <v>38</v>
      </c>
      <c r="H901">
        <v>76</v>
      </c>
      <c r="I901">
        <v>1868</v>
      </c>
      <c r="J901">
        <v>7</v>
      </c>
      <c r="K901">
        <v>9</v>
      </c>
      <c r="L901">
        <v>4</v>
      </c>
      <c r="M901">
        <v>8</v>
      </c>
      <c r="N901">
        <v>6</v>
      </c>
    </row>
    <row r="902" spans="1:14" hidden="1" x14ac:dyDescent="0.3">
      <c r="A902">
        <v>1622</v>
      </c>
      <c r="B902">
        <v>58</v>
      </c>
      <c r="C902">
        <v>1666</v>
      </c>
      <c r="D902">
        <v>49</v>
      </c>
      <c r="E902">
        <v>589</v>
      </c>
      <c r="F902">
        <v>200</v>
      </c>
      <c r="G902">
        <v>101</v>
      </c>
      <c r="H902">
        <v>172</v>
      </c>
      <c r="I902">
        <v>2435</v>
      </c>
      <c r="J902">
        <v>2</v>
      </c>
      <c r="K902">
        <v>6</v>
      </c>
      <c r="L902">
        <v>2</v>
      </c>
      <c r="M902">
        <v>8</v>
      </c>
      <c r="N902">
        <v>2</v>
      </c>
    </row>
    <row r="903" spans="1:14" hidden="1" x14ac:dyDescent="0.3">
      <c r="A903">
        <v>1001</v>
      </c>
      <c r="B903">
        <v>58</v>
      </c>
      <c r="C903">
        <v>1727</v>
      </c>
      <c r="D903">
        <v>239</v>
      </c>
      <c r="E903">
        <v>1485</v>
      </c>
      <c r="F903">
        <v>468</v>
      </c>
      <c r="G903">
        <v>239</v>
      </c>
      <c r="H903">
        <v>239</v>
      </c>
      <c r="I903">
        <v>3920</v>
      </c>
      <c r="J903">
        <v>3</v>
      </c>
      <c r="K903">
        <v>8</v>
      </c>
      <c r="L903">
        <v>10</v>
      </c>
      <c r="M903">
        <v>4</v>
      </c>
      <c r="N903">
        <v>7</v>
      </c>
    </row>
    <row r="904" spans="1:14" hidden="1" x14ac:dyDescent="0.3">
      <c r="A904">
        <v>1518</v>
      </c>
      <c r="B904">
        <v>57</v>
      </c>
      <c r="C904">
        <v>50</v>
      </c>
      <c r="D904">
        <v>14</v>
      </c>
      <c r="E904">
        <v>99</v>
      </c>
      <c r="F904">
        <v>9</v>
      </c>
      <c r="G904">
        <v>9</v>
      </c>
      <c r="H904">
        <v>27</v>
      </c>
      <c r="I904">
        <v>153</v>
      </c>
      <c r="J904">
        <v>2</v>
      </c>
      <c r="K904">
        <v>2</v>
      </c>
      <c r="L904">
        <v>0</v>
      </c>
      <c r="M904">
        <v>3</v>
      </c>
      <c r="N904">
        <v>6</v>
      </c>
    </row>
    <row r="905" spans="1:14" hidden="1" x14ac:dyDescent="0.3">
      <c r="A905">
        <v>2579</v>
      </c>
      <c r="B905">
        <v>57</v>
      </c>
      <c r="C905">
        <v>75</v>
      </c>
      <c r="D905">
        <v>3</v>
      </c>
      <c r="E905">
        <v>19</v>
      </c>
      <c r="F905">
        <v>0</v>
      </c>
      <c r="G905">
        <v>0</v>
      </c>
      <c r="H905">
        <v>6</v>
      </c>
      <c r="I905">
        <v>91</v>
      </c>
      <c r="J905">
        <v>2</v>
      </c>
      <c r="K905">
        <v>1</v>
      </c>
      <c r="L905">
        <v>0</v>
      </c>
      <c r="M905">
        <v>3</v>
      </c>
      <c r="N905">
        <v>4</v>
      </c>
    </row>
    <row r="906" spans="1:14" hidden="1" x14ac:dyDescent="0.3">
      <c r="A906">
        <v>2629</v>
      </c>
      <c r="B906">
        <v>57</v>
      </c>
      <c r="C906">
        <v>94</v>
      </c>
      <c r="D906">
        <v>0</v>
      </c>
      <c r="E906">
        <v>25</v>
      </c>
      <c r="F906">
        <v>0</v>
      </c>
      <c r="G906">
        <v>0</v>
      </c>
      <c r="H906">
        <v>40</v>
      </c>
      <c r="I906">
        <v>79</v>
      </c>
      <c r="J906">
        <v>2</v>
      </c>
      <c r="K906">
        <v>1</v>
      </c>
      <c r="L906">
        <v>0</v>
      </c>
      <c r="M906">
        <v>3</v>
      </c>
      <c r="N906">
        <v>6</v>
      </c>
    </row>
    <row r="907" spans="1:14" hidden="1" x14ac:dyDescent="0.3">
      <c r="A907">
        <v>1583</v>
      </c>
      <c r="B907">
        <v>57</v>
      </c>
      <c r="C907">
        <v>131</v>
      </c>
      <c r="D907">
        <v>13</v>
      </c>
      <c r="E907">
        <v>131</v>
      </c>
      <c r="F907">
        <v>8</v>
      </c>
      <c r="G907">
        <v>34</v>
      </c>
      <c r="H907">
        <v>17</v>
      </c>
      <c r="I907">
        <v>299</v>
      </c>
      <c r="J907">
        <v>3</v>
      </c>
      <c r="K907">
        <v>3</v>
      </c>
      <c r="L907">
        <v>0</v>
      </c>
      <c r="M907">
        <v>4</v>
      </c>
      <c r="N907">
        <v>8</v>
      </c>
    </row>
    <row r="908" spans="1:14" hidden="1" x14ac:dyDescent="0.3">
      <c r="A908">
        <v>1567</v>
      </c>
      <c r="B908">
        <v>57</v>
      </c>
      <c r="C908">
        <v>172</v>
      </c>
      <c r="D908">
        <v>56</v>
      </c>
      <c r="E908">
        <v>107</v>
      </c>
      <c r="F908">
        <v>37</v>
      </c>
      <c r="G908">
        <v>51</v>
      </c>
      <c r="H908">
        <v>241</v>
      </c>
      <c r="I908">
        <v>181</v>
      </c>
      <c r="J908">
        <v>1</v>
      </c>
      <c r="K908">
        <v>2</v>
      </c>
      <c r="L908">
        <v>1</v>
      </c>
      <c r="M908">
        <v>3</v>
      </c>
      <c r="N908">
        <v>7</v>
      </c>
    </row>
    <row r="909" spans="1:14" hidden="1" x14ac:dyDescent="0.3">
      <c r="A909">
        <v>3124</v>
      </c>
      <c r="B909">
        <v>57</v>
      </c>
      <c r="C909">
        <v>262</v>
      </c>
      <c r="D909">
        <v>27</v>
      </c>
      <c r="E909">
        <v>149</v>
      </c>
      <c r="F909">
        <v>34</v>
      </c>
      <c r="G909">
        <v>34</v>
      </c>
      <c r="H909">
        <v>85</v>
      </c>
      <c r="I909">
        <v>421</v>
      </c>
      <c r="J909">
        <v>5</v>
      </c>
      <c r="K909">
        <v>3</v>
      </c>
      <c r="L909">
        <v>1</v>
      </c>
      <c r="M909">
        <v>4</v>
      </c>
      <c r="N909">
        <v>6</v>
      </c>
    </row>
    <row r="910" spans="1:14" hidden="1" x14ac:dyDescent="0.3">
      <c r="A910">
        <v>2896</v>
      </c>
      <c r="B910">
        <v>57</v>
      </c>
      <c r="C910">
        <v>482</v>
      </c>
      <c r="D910">
        <v>465</v>
      </c>
      <c r="E910">
        <v>241</v>
      </c>
      <c r="F910">
        <v>111</v>
      </c>
      <c r="G910">
        <v>446</v>
      </c>
      <c r="H910">
        <v>446</v>
      </c>
      <c r="I910">
        <v>1299</v>
      </c>
      <c r="J910">
        <v>2</v>
      </c>
      <c r="K910">
        <v>6</v>
      </c>
      <c r="L910">
        <v>2</v>
      </c>
      <c r="M910">
        <v>12</v>
      </c>
      <c r="N910">
        <v>3</v>
      </c>
    </row>
    <row r="911" spans="1:14" hidden="1" x14ac:dyDescent="0.3">
      <c r="A911">
        <v>1051</v>
      </c>
      <c r="B911">
        <v>57</v>
      </c>
      <c r="C911">
        <v>822</v>
      </c>
      <c r="D911">
        <v>23</v>
      </c>
      <c r="E911">
        <v>311</v>
      </c>
      <c r="F911">
        <v>30</v>
      </c>
      <c r="G911">
        <v>60</v>
      </c>
      <c r="H911">
        <v>273</v>
      </c>
      <c r="I911">
        <v>973</v>
      </c>
      <c r="J911">
        <v>7</v>
      </c>
      <c r="K911">
        <v>4</v>
      </c>
      <c r="L911">
        <v>2</v>
      </c>
      <c r="M911">
        <v>10</v>
      </c>
      <c r="N911">
        <v>3</v>
      </c>
    </row>
    <row r="912" spans="1:14" hidden="1" x14ac:dyDescent="0.3">
      <c r="A912">
        <v>1713</v>
      </c>
      <c r="B912">
        <v>57</v>
      </c>
      <c r="C912">
        <v>822</v>
      </c>
      <c r="D912">
        <v>23</v>
      </c>
      <c r="E912">
        <v>311</v>
      </c>
      <c r="F912">
        <v>30</v>
      </c>
      <c r="G912">
        <v>60</v>
      </c>
      <c r="H912">
        <v>273</v>
      </c>
      <c r="I912">
        <v>973</v>
      </c>
      <c r="J912">
        <v>7</v>
      </c>
      <c r="K912">
        <v>4</v>
      </c>
      <c r="L912">
        <v>2</v>
      </c>
      <c r="M912">
        <v>10</v>
      </c>
      <c r="N912">
        <v>3</v>
      </c>
    </row>
    <row r="913" spans="1:14" hidden="1" x14ac:dyDescent="0.3">
      <c r="A913">
        <v>1540</v>
      </c>
      <c r="B913">
        <v>57</v>
      </c>
      <c r="C913">
        <v>869</v>
      </c>
      <c r="D913">
        <v>240</v>
      </c>
      <c r="E913">
        <v>387</v>
      </c>
      <c r="F913">
        <v>288</v>
      </c>
      <c r="G913">
        <v>127</v>
      </c>
      <c r="H913">
        <v>333</v>
      </c>
      <c r="I913">
        <v>1578</v>
      </c>
      <c r="J913">
        <v>2</v>
      </c>
      <c r="K913">
        <v>6</v>
      </c>
      <c r="L913">
        <v>2</v>
      </c>
      <c r="M913">
        <v>11</v>
      </c>
      <c r="N913">
        <v>5</v>
      </c>
    </row>
    <row r="914" spans="1:14" hidden="1" x14ac:dyDescent="0.3">
      <c r="A914">
        <v>2798</v>
      </c>
      <c r="B914">
        <v>57</v>
      </c>
      <c r="C914">
        <v>992</v>
      </c>
      <c r="D914">
        <v>215</v>
      </c>
      <c r="E914">
        <v>361</v>
      </c>
      <c r="F914">
        <v>187</v>
      </c>
      <c r="G914">
        <v>90</v>
      </c>
      <c r="H914">
        <v>415</v>
      </c>
      <c r="I914">
        <v>1430</v>
      </c>
      <c r="J914">
        <v>3</v>
      </c>
      <c r="K914">
        <v>4</v>
      </c>
      <c r="L914">
        <v>4</v>
      </c>
      <c r="M914">
        <v>12</v>
      </c>
      <c r="N914">
        <v>2</v>
      </c>
    </row>
    <row r="915" spans="1:14" hidden="1" x14ac:dyDescent="0.3">
      <c r="A915">
        <v>1624</v>
      </c>
      <c r="B915">
        <v>57</v>
      </c>
      <c r="C915">
        <v>1356</v>
      </c>
      <c r="D915">
        <v>153</v>
      </c>
      <c r="E915">
        <v>1511</v>
      </c>
      <c r="F915">
        <v>39</v>
      </c>
      <c r="G915">
        <v>0</v>
      </c>
      <c r="H915">
        <v>60</v>
      </c>
      <c r="I915">
        <v>2998</v>
      </c>
      <c r="J915">
        <v>1</v>
      </c>
      <c r="K915">
        <v>5</v>
      </c>
      <c r="L915">
        <v>9</v>
      </c>
      <c r="M915">
        <v>6</v>
      </c>
      <c r="N915">
        <v>2</v>
      </c>
    </row>
    <row r="916" spans="1:14" hidden="1" x14ac:dyDescent="0.3">
      <c r="A916">
        <v>2632</v>
      </c>
      <c r="B916">
        <v>57</v>
      </c>
      <c r="C916">
        <v>1399</v>
      </c>
      <c r="D916">
        <v>78</v>
      </c>
      <c r="E916">
        <v>239</v>
      </c>
      <c r="F916">
        <v>208</v>
      </c>
      <c r="G916">
        <v>119</v>
      </c>
      <c r="H916">
        <v>99</v>
      </c>
      <c r="I916">
        <v>1944</v>
      </c>
      <c r="J916">
        <v>1</v>
      </c>
      <c r="K916">
        <v>5</v>
      </c>
      <c r="L916">
        <v>3</v>
      </c>
      <c r="M916">
        <v>13</v>
      </c>
      <c r="N916">
        <v>3</v>
      </c>
    </row>
    <row r="917" spans="1:14" hidden="1" x14ac:dyDescent="0.3">
      <c r="A917">
        <v>2313</v>
      </c>
      <c r="B917">
        <v>57</v>
      </c>
      <c r="C917">
        <v>1626</v>
      </c>
      <c r="D917">
        <v>147</v>
      </c>
      <c r="E917">
        <v>248</v>
      </c>
      <c r="F917">
        <v>382</v>
      </c>
      <c r="G917">
        <v>393</v>
      </c>
      <c r="H917">
        <v>195</v>
      </c>
      <c r="I917">
        <v>2601</v>
      </c>
      <c r="J917">
        <v>1</v>
      </c>
      <c r="K917">
        <v>4</v>
      </c>
      <c r="L917">
        <v>9</v>
      </c>
      <c r="M917">
        <v>13</v>
      </c>
      <c r="N917">
        <v>1</v>
      </c>
    </row>
    <row r="918" spans="1:14" hidden="1" x14ac:dyDescent="0.3">
      <c r="A918">
        <v>1752</v>
      </c>
      <c r="B918">
        <v>57</v>
      </c>
      <c r="C918">
        <v>1800</v>
      </c>
      <c r="D918">
        <v>261</v>
      </c>
      <c r="E918">
        <v>551</v>
      </c>
      <c r="F918">
        <v>340</v>
      </c>
      <c r="G918">
        <v>0</v>
      </c>
      <c r="H918">
        <v>465</v>
      </c>
      <c r="I918">
        <v>2487</v>
      </c>
      <c r="J918">
        <v>1</v>
      </c>
      <c r="K918">
        <v>8</v>
      </c>
      <c r="L918">
        <v>5</v>
      </c>
      <c r="M918">
        <v>6</v>
      </c>
      <c r="N918">
        <v>3</v>
      </c>
    </row>
    <row r="919" spans="1:14" hidden="1" x14ac:dyDescent="0.3">
      <c r="A919">
        <v>2999</v>
      </c>
      <c r="B919">
        <v>57</v>
      </c>
      <c r="C919">
        <v>1809</v>
      </c>
      <c r="D919">
        <v>103</v>
      </c>
      <c r="E919">
        <v>543</v>
      </c>
      <c r="F919">
        <v>166</v>
      </c>
      <c r="G919">
        <v>24</v>
      </c>
      <c r="H919">
        <v>490</v>
      </c>
      <c r="I919">
        <v>2155</v>
      </c>
      <c r="J919">
        <v>2</v>
      </c>
      <c r="K919">
        <v>8</v>
      </c>
      <c r="L919">
        <v>5</v>
      </c>
      <c r="M919">
        <v>13</v>
      </c>
      <c r="N919">
        <v>4</v>
      </c>
    </row>
    <row r="920" spans="1:14" hidden="1" x14ac:dyDescent="0.3">
      <c r="A920">
        <v>1373</v>
      </c>
      <c r="B920">
        <v>57</v>
      </c>
      <c r="C920">
        <v>1901</v>
      </c>
      <c r="D920">
        <v>46</v>
      </c>
      <c r="E920">
        <v>331</v>
      </c>
      <c r="F920">
        <v>61</v>
      </c>
      <c r="G920">
        <v>46</v>
      </c>
      <c r="H920">
        <v>189</v>
      </c>
      <c r="I920">
        <v>2197</v>
      </c>
      <c r="J920">
        <v>3</v>
      </c>
      <c r="K920">
        <v>2</v>
      </c>
      <c r="L920">
        <v>2</v>
      </c>
      <c r="M920">
        <v>12</v>
      </c>
      <c r="N920">
        <v>5</v>
      </c>
    </row>
    <row r="921" spans="1:14" hidden="1" x14ac:dyDescent="0.3">
      <c r="A921">
        <v>1726</v>
      </c>
      <c r="B921">
        <v>57</v>
      </c>
      <c r="C921">
        <v>1976</v>
      </c>
      <c r="D921">
        <v>68</v>
      </c>
      <c r="E921">
        <v>756</v>
      </c>
      <c r="F921">
        <v>164</v>
      </c>
      <c r="G921">
        <v>68</v>
      </c>
      <c r="H921">
        <v>419</v>
      </c>
      <c r="I921">
        <v>2614</v>
      </c>
      <c r="J921">
        <v>1</v>
      </c>
      <c r="K921">
        <v>4</v>
      </c>
      <c r="L921">
        <v>4</v>
      </c>
      <c r="M921">
        <v>11</v>
      </c>
      <c r="N921">
        <v>1</v>
      </c>
    </row>
    <row r="922" spans="1:14" hidden="1" x14ac:dyDescent="0.3">
      <c r="A922">
        <v>1988</v>
      </c>
      <c r="B922">
        <v>57</v>
      </c>
      <c r="C922">
        <v>1976</v>
      </c>
      <c r="D922">
        <v>68</v>
      </c>
      <c r="E922">
        <v>756</v>
      </c>
      <c r="F922">
        <v>164</v>
      </c>
      <c r="G922">
        <v>68</v>
      </c>
      <c r="H922">
        <v>419</v>
      </c>
      <c r="I922">
        <v>2614</v>
      </c>
      <c r="J922">
        <v>1</v>
      </c>
      <c r="K922">
        <v>4</v>
      </c>
      <c r="L922">
        <v>4</v>
      </c>
      <c r="M922">
        <v>11</v>
      </c>
      <c r="N922">
        <v>1</v>
      </c>
    </row>
    <row r="923" spans="1:14" hidden="1" x14ac:dyDescent="0.3">
      <c r="A923">
        <v>2443</v>
      </c>
      <c r="B923">
        <v>57</v>
      </c>
      <c r="C923">
        <v>1976</v>
      </c>
      <c r="D923">
        <v>68</v>
      </c>
      <c r="E923">
        <v>756</v>
      </c>
      <c r="F923">
        <v>164</v>
      </c>
      <c r="G923">
        <v>68</v>
      </c>
      <c r="H923">
        <v>419</v>
      </c>
      <c r="I923">
        <v>2614</v>
      </c>
      <c r="J923">
        <v>1</v>
      </c>
      <c r="K923">
        <v>4</v>
      </c>
      <c r="L923">
        <v>4</v>
      </c>
      <c r="M923">
        <v>11</v>
      </c>
      <c r="N923">
        <v>1</v>
      </c>
    </row>
    <row r="924" spans="1:14" hidden="1" x14ac:dyDescent="0.3">
      <c r="A924">
        <v>1144</v>
      </c>
      <c r="B924">
        <v>57</v>
      </c>
      <c r="C924">
        <v>2343</v>
      </c>
      <c r="D924">
        <v>0</v>
      </c>
      <c r="E924">
        <v>150</v>
      </c>
      <c r="F924">
        <v>0</v>
      </c>
      <c r="G924">
        <v>0</v>
      </c>
      <c r="H924">
        <v>201</v>
      </c>
      <c r="I924">
        <v>2293</v>
      </c>
      <c r="J924">
        <v>2</v>
      </c>
      <c r="K924">
        <v>8</v>
      </c>
      <c r="L924">
        <v>5</v>
      </c>
      <c r="M924">
        <v>11</v>
      </c>
      <c r="N924">
        <v>5</v>
      </c>
    </row>
    <row r="925" spans="1:14" hidden="1" x14ac:dyDescent="0.3">
      <c r="A925">
        <v>1236</v>
      </c>
      <c r="B925">
        <v>57</v>
      </c>
      <c r="C925">
        <v>2433</v>
      </c>
      <c r="D925">
        <v>71</v>
      </c>
      <c r="E925">
        <v>464</v>
      </c>
      <c r="F925">
        <v>558</v>
      </c>
      <c r="G925">
        <v>177</v>
      </c>
      <c r="H925">
        <v>177</v>
      </c>
      <c r="I925">
        <v>3525</v>
      </c>
      <c r="J925">
        <v>4</v>
      </c>
      <c r="K925">
        <v>9</v>
      </c>
      <c r="L925">
        <v>6</v>
      </c>
      <c r="M925">
        <v>6</v>
      </c>
      <c r="N925">
        <v>6</v>
      </c>
    </row>
    <row r="926" spans="1:14" hidden="1" x14ac:dyDescent="0.3">
      <c r="A926">
        <v>1338</v>
      </c>
      <c r="B926">
        <v>57</v>
      </c>
      <c r="C926">
        <v>2795</v>
      </c>
      <c r="D926">
        <v>0</v>
      </c>
      <c r="E926">
        <v>579</v>
      </c>
      <c r="F926">
        <v>0</v>
      </c>
      <c r="G926">
        <v>0</v>
      </c>
      <c r="H926">
        <v>32</v>
      </c>
      <c r="I926">
        <v>3341</v>
      </c>
      <c r="J926">
        <v>5</v>
      </c>
      <c r="K926">
        <v>11</v>
      </c>
      <c r="L926">
        <v>3</v>
      </c>
      <c r="M926">
        <v>5</v>
      </c>
      <c r="N926">
        <v>6</v>
      </c>
    </row>
    <row r="927" spans="1:14" hidden="1" x14ac:dyDescent="0.3">
      <c r="A927">
        <v>2954</v>
      </c>
      <c r="B927">
        <v>56</v>
      </c>
      <c r="C927">
        <v>13</v>
      </c>
      <c r="D927">
        <v>8</v>
      </c>
      <c r="E927">
        <v>50</v>
      </c>
      <c r="F927">
        <v>0</v>
      </c>
      <c r="G927">
        <v>4</v>
      </c>
      <c r="H927">
        <v>38</v>
      </c>
      <c r="I927">
        <v>38</v>
      </c>
      <c r="J927">
        <v>1</v>
      </c>
      <c r="K927">
        <v>1</v>
      </c>
      <c r="L927">
        <v>0</v>
      </c>
      <c r="M927">
        <v>2</v>
      </c>
      <c r="N927">
        <v>8</v>
      </c>
    </row>
    <row r="928" spans="1:14" hidden="1" x14ac:dyDescent="0.3">
      <c r="A928">
        <v>1424</v>
      </c>
      <c r="B928">
        <v>56</v>
      </c>
      <c r="C928">
        <v>22</v>
      </c>
      <c r="D928">
        <v>18</v>
      </c>
      <c r="E928">
        <v>58</v>
      </c>
      <c r="F928">
        <v>36</v>
      </c>
      <c r="G928">
        <v>0</v>
      </c>
      <c r="H928">
        <v>18</v>
      </c>
      <c r="I928">
        <v>117</v>
      </c>
      <c r="J928">
        <v>1</v>
      </c>
      <c r="K928">
        <v>1</v>
      </c>
      <c r="L928">
        <v>0</v>
      </c>
      <c r="M928">
        <v>3</v>
      </c>
      <c r="N928">
        <v>8</v>
      </c>
    </row>
    <row r="929" spans="1:14" hidden="1" x14ac:dyDescent="0.3">
      <c r="A929">
        <v>2219</v>
      </c>
      <c r="B929">
        <v>56</v>
      </c>
      <c r="C929">
        <v>22</v>
      </c>
      <c r="D929">
        <v>18</v>
      </c>
      <c r="E929">
        <v>58</v>
      </c>
      <c r="F929">
        <v>36</v>
      </c>
      <c r="G929">
        <v>0</v>
      </c>
      <c r="H929">
        <v>18</v>
      </c>
      <c r="I929">
        <v>117</v>
      </c>
      <c r="J929">
        <v>1</v>
      </c>
      <c r="K929">
        <v>1</v>
      </c>
      <c r="L929">
        <v>0</v>
      </c>
      <c r="M929">
        <v>3</v>
      </c>
      <c r="N929">
        <v>8</v>
      </c>
    </row>
    <row r="930" spans="1:14" hidden="1" x14ac:dyDescent="0.3">
      <c r="A930">
        <v>2616</v>
      </c>
      <c r="B930">
        <v>56</v>
      </c>
      <c r="C930">
        <v>30</v>
      </c>
      <c r="D930">
        <v>0</v>
      </c>
      <c r="E930">
        <v>53</v>
      </c>
      <c r="F930">
        <v>8</v>
      </c>
      <c r="G930">
        <v>11</v>
      </c>
      <c r="H930">
        <v>26</v>
      </c>
      <c r="I930">
        <v>76</v>
      </c>
      <c r="J930">
        <v>1</v>
      </c>
      <c r="K930">
        <v>1</v>
      </c>
      <c r="L930">
        <v>0</v>
      </c>
      <c r="M930">
        <v>3</v>
      </c>
      <c r="N930">
        <v>5</v>
      </c>
    </row>
    <row r="931" spans="1:14" hidden="1" x14ac:dyDescent="0.3">
      <c r="A931">
        <v>2500</v>
      </c>
      <c r="B931">
        <v>56</v>
      </c>
      <c r="C931">
        <v>59</v>
      </c>
      <c r="D931">
        <v>30</v>
      </c>
      <c r="E931">
        <v>30</v>
      </c>
      <c r="F931">
        <v>0</v>
      </c>
      <c r="G931">
        <v>0</v>
      </c>
      <c r="H931">
        <v>30</v>
      </c>
      <c r="I931">
        <v>89</v>
      </c>
      <c r="J931">
        <v>0</v>
      </c>
      <c r="K931">
        <v>0</v>
      </c>
      <c r="L931">
        <v>0</v>
      </c>
      <c r="M931">
        <v>0</v>
      </c>
      <c r="N931">
        <v>14</v>
      </c>
    </row>
    <row r="932" spans="1:14" hidden="1" x14ac:dyDescent="0.3">
      <c r="A932">
        <v>1558</v>
      </c>
      <c r="B932">
        <v>56</v>
      </c>
      <c r="C932">
        <v>93</v>
      </c>
      <c r="D932">
        <v>22</v>
      </c>
      <c r="E932">
        <v>93</v>
      </c>
      <c r="F932">
        <v>22</v>
      </c>
      <c r="G932">
        <v>0</v>
      </c>
      <c r="H932">
        <v>0</v>
      </c>
      <c r="I932">
        <v>230</v>
      </c>
      <c r="J932">
        <v>2</v>
      </c>
      <c r="K932">
        <v>2</v>
      </c>
      <c r="L932">
        <v>0</v>
      </c>
      <c r="M932">
        <v>3</v>
      </c>
      <c r="N932">
        <v>8</v>
      </c>
    </row>
    <row r="933" spans="1:14" hidden="1" x14ac:dyDescent="0.3">
      <c r="A933">
        <v>2126</v>
      </c>
      <c r="B933">
        <v>56</v>
      </c>
      <c r="C933">
        <v>165</v>
      </c>
      <c r="D933">
        <v>0</v>
      </c>
      <c r="E933">
        <v>143</v>
      </c>
      <c r="F933">
        <v>11</v>
      </c>
      <c r="G933">
        <v>11</v>
      </c>
      <c r="H933">
        <v>17</v>
      </c>
      <c r="I933">
        <v>314</v>
      </c>
      <c r="J933">
        <v>4</v>
      </c>
      <c r="K933">
        <v>2</v>
      </c>
      <c r="L933">
        <v>1</v>
      </c>
      <c r="M933">
        <v>4</v>
      </c>
      <c r="N933">
        <v>4</v>
      </c>
    </row>
    <row r="934" spans="1:14" hidden="1" x14ac:dyDescent="0.3">
      <c r="A934">
        <v>1996</v>
      </c>
      <c r="B934">
        <v>56</v>
      </c>
      <c r="C934">
        <v>241</v>
      </c>
      <c r="D934">
        <v>180</v>
      </c>
      <c r="E934">
        <v>443</v>
      </c>
      <c r="F934">
        <v>80</v>
      </c>
      <c r="G934">
        <v>115</v>
      </c>
      <c r="H934">
        <v>30</v>
      </c>
      <c r="I934">
        <v>1030</v>
      </c>
      <c r="J934">
        <v>1</v>
      </c>
      <c r="K934">
        <v>4</v>
      </c>
      <c r="L934">
        <v>2</v>
      </c>
      <c r="M934">
        <v>8</v>
      </c>
      <c r="N934">
        <v>3</v>
      </c>
    </row>
    <row r="935" spans="1:14" hidden="1" x14ac:dyDescent="0.3">
      <c r="A935">
        <v>1372</v>
      </c>
      <c r="B935">
        <v>56</v>
      </c>
      <c r="C935">
        <v>250</v>
      </c>
      <c r="D935">
        <v>0</v>
      </c>
      <c r="E935">
        <v>39</v>
      </c>
      <c r="F935">
        <v>7</v>
      </c>
      <c r="G935">
        <v>29</v>
      </c>
      <c r="H935">
        <v>82</v>
      </c>
      <c r="I935">
        <v>243</v>
      </c>
      <c r="J935">
        <v>1</v>
      </c>
      <c r="K935">
        <v>2</v>
      </c>
      <c r="L935">
        <v>1</v>
      </c>
      <c r="M935">
        <v>3</v>
      </c>
      <c r="N935">
        <v>6</v>
      </c>
    </row>
    <row r="936" spans="1:14" hidden="1" x14ac:dyDescent="0.3">
      <c r="A936">
        <v>2359</v>
      </c>
      <c r="B936">
        <v>56</v>
      </c>
      <c r="C936">
        <v>300</v>
      </c>
      <c r="D936">
        <v>44</v>
      </c>
      <c r="E936">
        <v>202</v>
      </c>
      <c r="F936">
        <v>6</v>
      </c>
      <c r="G936">
        <v>28</v>
      </c>
      <c r="H936">
        <v>120</v>
      </c>
      <c r="I936">
        <v>461</v>
      </c>
      <c r="J936">
        <v>1</v>
      </c>
      <c r="K936">
        <v>4</v>
      </c>
      <c r="L936">
        <v>2</v>
      </c>
      <c r="M936">
        <v>3</v>
      </c>
      <c r="N936">
        <v>7</v>
      </c>
    </row>
    <row r="937" spans="1:14" hidden="1" x14ac:dyDescent="0.3">
      <c r="A937">
        <v>2857</v>
      </c>
      <c r="B937">
        <v>56</v>
      </c>
      <c r="C937">
        <v>381</v>
      </c>
      <c r="D937">
        <v>0</v>
      </c>
      <c r="E937">
        <v>48</v>
      </c>
      <c r="F937">
        <v>0</v>
      </c>
      <c r="G937">
        <v>3</v>
      </c>
      <c r="H937">
        <v>12</v>
      </c>
      <c r="I937">
        <v>420</v>
      </c>
      <c r="J937">
        <v>2</v>
      </c>
      <c r="K937">
        <v>4</v>
      </c>
      <c r="L937">
        <v>0</v>
      </c>
      <c r="M937">
        <v>4</v>
      </c>
      <c r="N937">
        <v>7</v>
      </c>
    </row>
    <row r="938" spans="1:14" hidden="1" x14ac:dyDescent="0.3">
      <c r="A938">
        <v>1030</v>
      </c>
      <c r="B938">
        <v>56</v>
      </c>
      <c r="C938">
        <v>402</v>
      </c>
      <c r="D938">
        <v>61</v>
      </c>
      <c r="E938">
        <v>158</v>
      </c>
      <c r="F938">
        <v>122</v>
      </c>
      <c r="G938">
        <v>79</v>
      </c>
      <c r="H938">
        <v>319</v>
      </c>
      <c r="I938">
        <v>503</v>
      </c>
      <c r="J938">
        <v>1</v>
      </c>
      <c r="K938">
        <v>2</v>
      </c>
      <c r="L938">
        <v>5</v>
      </c>
      <c r="M938">
        <v>3</v>
      </c>
      <c r="N938">
        <v>3</v>
      </c>
    </row>
    <row r="939" spans="1:14" hidden="1" x14ac:dyDescent="0.3">
      <c r="A939">
        <v>1078</v>
      </c>
      <c r="B939">
        <v>56</v>
      </c>
      <c r="C939">
        <v>402</v>
      </c>
      <c r="D939">
        <v>61</v>
      </c>
      <c r="E939">
        <v>158</v>
      </c>
      <c r="F939">
        <v>122</v>
      </c>
      <c r="G939">
        <v>79</v>
      </c>
      <c r="H939">
        <v>319</v>
      </c>
      <c r="I939">
        <v>503</v>
      </c>
      <c r="J939">
        <v>1</v>
      </c>
      <c r="K939">
        <v>2</v>
      </c>
      <c r="L939">
        <v>5</v>
      </c>
      <c r="M939">
        <v>3</v>
      </c>
      <c r="N939">
        <v>3</v>
      </c>
    </row>
    <row r="940" spans="1:14" hidden="1" x14ac:dyDescent="0.3">
      <c r="A940">
        <v>2076</v>
      </c>
      <c r="B940">
        <v>56</v>
      </c>
      <c r="C940">
        <v>424</v>
      </c>
      <c r="D940">
        <v>131</v>
      </c>
      <c r="E940">
        <v>262</v>
      </c>
      <c r="F940">
        <v>144</v>
      </c>
      <c r="G940">
        <v>79</v>
      </c>
      <c r="H940">
        <v>71</v>
      </c>
      <c r="I940">
        <v>968</v>
      </c>
      <c r="J940">
        <v>1</v>
      </c>
      <c r="K940">
        <v>4</v>
      </c>
      <c r="L940">
        <v>2</v>
      </c>
      <c r="M940">
        <v>8</v>
      </c>
      <c r="N940">
        <v>4</v>
      </c>
    </row>
    <row r="941" spans="1:14" hidden="1" x14ac:dyDescent="0.3">
      <c r="A941">
        <v>2837</v>
      </c>
      <c r="B941">
        <v>56</v>
      </c>
      <c r="C941">
        <v>424</v>
      </c>
      <c r="D941">
        <v>131</v>
      </c>
      <c r="E941">
        <v>262</v>
      </c>
      <c r="F941">
        <v>144</v>
      </c>
      <c r="G941">
        <v>79</v>
      </c>
      <c r="H941">
        <v>71</v>
      </c>
      <c r="I941">
        <v>968</v>
      </c>
      <c r="J941">
        <v>1</v>
      </c>
      <c r="K941">
        <v>4</v>
      </c>
      <c r="L941">
        <v>2</v>
      </c>
      <c r="M941">
        <v>8</v>
      </c>
      <c r="N941">
        <v>4</v>
      </c>
    </row>
    <row r="942" spans="1:14" hidden="1" x14ac:dyDescent="0.3">
      <c r="A942">
        <v>1609</v>
      </c>
      <c r="B942">
        <v>56</v>
      </c>
      <c r="C942">
        <v>470</v>
      </c>
      <c r="D942">
        <v>138</v>
      </c>
      <c r="E942">
        <v>1109</v>
      </c>
      <c r="F942">
        <v>505</v>
      </c>
      <c r="G942">
        <v>68</v>
      </c>
      <c r="H942">
        <v>416</v>
      </c>
      <c r="I942">
        <v>1875</v>
      </c>
      <c r="J942">
        <v>1</v>
      </c>
      <c r="K942">
        <v>8</v>
      </c>
      <c r="L942">
        <v>4</v>
      </c>
      <c r="M942">
        <v>7</v>
      </c>
      <c r="N942">
        <v>3</v>
      </c>
    </row>
    <row r="943" spans="1:14" hidden="1" x14ac:dyDescent="0.3">
      <c r="A943">
        <v>1628</v>
      </c>
      <c r="B943">
        <v>56</v>
      </c>
      <c r="C943">
        <v>514</v>
      </c>
      <c r="D943">
        <v>6</v>
      </c>
      <c r="E943">
        <v>126</v>
      </c>
      <c r="F943">
        <v>25</v>
      </c>
      <c r="G943">
        <v>35</v>
      </c>
      <c r="H943">
        <v>35</v>
      </c>
      <c r="I943">
        <v>671</v>
      </c>
      <c r="J943">
        <v>7</v>
      </c>
      <c r="K943">
        <v>3</v>
      </c>
      <c r="L943">
        <v>1</v>
      </c>
      <c r="M943">
        <v>6</v>
      </c>
      <c r="N943">
        <v>6</v>
      </c>
    </row>
    <row r="944" spans="1:14" hidden="1" x14ac:dyDescent="0.3">
      <c r="A944">
        <v>1528</v>
      </c>
      <c r="B944">
        <v>56</v>
      </c>
      <c r="C944">
        <v>564</v>
      </c>
      <c r="D944">
        <v>51</v>
      </c>
      <c r="E944">
        <v>718</v>
      </c>
      <c r="F944">
        <v>91</v>
      </c>
      <c r="G944">
        <v>308</v>
      </c>
      <c r="H944">
        <v>154</v>
      </c>
      <c r="I944">
        <v>1579</v>
      </c>
      <c r="J944">
        <v>2</v>
      </c>
      <c r="K944">
        <v>4</v>
      </c>
      <c r="L944">
        <v>6</v>
      </c>
      <c r="M944">
        <v>8</v>
      </c>
      <c r="N944">
        <v>3</v>
      </c>
    </row>
    <row r="945" spans="1:14" hidden="1" x14ac:dyDescent="0.3">
      <c r="A945">
        <v>1263</v>
      </c>
      <c r="B945">
        <v>56</v>
      </c>
      <c r="C945">
        <v>572</v>
      </c>
      <c r="D945">
        <v>429</v>
      </c>
      <c r="E945">
        <v>593</v>
      </c>
      <c r="F945">
        <v>267</v>
      </c>
      <c r="G945">
        <v>244</v>
      </c>
      <c r="H945">
        <v>429</v>
      </c>
      <c r="I945">
        <v>1676</v>
      </c>
      <c r="J945">
        <v>2</v>
      </c>
      <c r="K945">
        <v>7</v>
      </c>
      <c r="L945">
        <v>4</v>
      </c>
      <c r="M945">
        <v>10</v>
      </c>
      <c r="N945">
        <v>5</v>
      </c>
    </row>
    <row r="946" spans="1:14" hidden="1" x14ac:dyDescent="0.3">
      <c r="A946">
        <v>2812</v>
      </c>
      <c r="B946">
        <v>56</v>
      </c>
      <c r="C946">
        <v>613</v>
      </c>
      <c r="D946">
        <v>6</v>
      </c>
      <c r="E946">
        <v>133</v>
      </c>
      <c r="F946">
        <v>0</v>
      </c>
      <c r="G946">
        <v>37</v>
      </c>
      <c r="H946">
        <v>62</v>
      </c>
      <c r="I946">
        <v>727</v>
      </c>
      <c r="J946">
        <v>3</v>
      </c>
      <c r="K946">
        <v>4</v>
      </c>
      <c r="L946">
        <v>1</v>
      </c>
      <c r="M946">
        <v>6</v>
      </c>
      <c r="N946">
        <v>6</v>
      </c>
    </row>
    <row r="947" spans="1:14" hidden="1" x14ac:dyDescent="0.3">
      <c r="A947">
        <v>1927</v>
      </c>
      <c r="B947">
        <v>56</v>
      </c>
      <c r="C947">
        <v>711</v>
      </c>
      <c r="D947">
        <v>114</v>
      </c>
      <c r="E947">
        <v>393</v>
      </c>
      <c r="F947">
        <v>150</v>
      </c>
      <c r="G947">
        <v>131</v>
      </c>
      <c r="H947">
        <v>363</v>
      </c>
      <c r="I947">
        <v>1137</v>
      </c>
      <c r="J947">
        <v>3</v>
      </c>
      <c r="K947">
        <v>4</v>
      </c>
      <c r="L947">
        <v>4</v>
      </c>
      <c r="M947">
        <v>9</v>
      </c>
      <c r="N947">
        <v>3</v>
      </c>
    </row>
    <row r="948" spans="1:14" hidden="1" x14ac:dyDescent="0.3">
      <c r="A948">
        <v>2622</v>
      </c>
      <c r="B948">
        <v>56</v>
      </c>
      <c r="C948">
        <v>807</v>
      </c>
      <c r="D948">
        <v>19</v>
      </c>
      <c r="E948">
        <v>184</v>
      </c>
      <c r="F948">
        <v>11</v>
      </c>
      <c r="G948">
        <v>0</v>
      </c>
      <c r="H948">
        <v>51</v>
      </c>
      <c r="I948">
        <v>970</v>
      </c>
      <c r="J948">
        <v>2</v>
      </c>
      <c r="K948">
        <v>6</v>
      </c>
      <c r="L948">
        <v>2</v>
      </c>
      <c r="M948">
        <v>6</v>
      </c>
      <c r="N948">
        <v>6</v>
      </c>
    </row>
    <row r="949" spans="1:14" hidden="1" x14ac:dyDescent="0.3">
      <c r="A949">
        <v>2478</v>
      </c>
      <c r="B949">
        <v>56</v>
      </c>
      <c r="C949">
        <v>825</v>
      </c>
      <c r="D949">
        <v>51</v>
      </c>
      <c r="E949">
        <v>365</v>
      </c>
      <c r="F949">
        <v>14</v>
      </c>
      <c r="G949">
        <v>51</v>
      </c>
      <c r="H949">
        <v>169</v>
      </c>
      <c r="I949">
        <v>1136</v>
      </c>
      <c r="J949">
        <v>6</v>
      </c>
      <c r="K949">
        <v>7</v>
      </c>
      <c r="L949">
        <v>1</v>
      </c>
      <c r="M949">
        <v>6</v>
      </c>
      <c r="N949">
        <v>8</v>
      </c>
    </row>
    <row r="950" spans="1:14" hidden="1" x14ac:dyDescent="0.3">
      <c r="A950">
        <v>2550</v>
      </c>
      <c r="B950">
        <v>56</v>
      </c>
      <c r="C950">
        <v>825</v>
      </c>
      <c r="D950">
        <v>51</v>
      </c>
      <c r="E950">
        <v>365</v>
      </c>
      <c r="F950">
        <v>14</v>
      </c>
      <c r="G950">
        <v>51</v>
      </c>
      <c r="H950">
        <v>169</v>
      </c>
      <c r="I950">
        <v>1136</v>
      </c>
      <c r="J950">
        <v>6</v>
      </c>
      <c r="K950">
        <v>7</v>
      </c>
      <c r="L950">
        <v>1</v>
      </c>
      <c r="M950">
        <v>6</v>
      </c>
      <c r="N950">
        <v>8</v>
      </c>
    </row>
    <row r="951" spans="1:14" hidden="1" x14ac:dyDescent="0.3">
      <c r="A951">
        <v>1099</v>
      </c>
      <c r="B951">
        <v>56</v>
      </c>
      <c r="C951">
        <v>858</v>
      </c>
      <c r="D951">
        <v>308</v>
      </c>
      <c r="E951">
        <v>788</v>
      </c>
      <c r="F951">
        <v>218</v>
      </c>
      <c r="G951">
        <v>285</v>
      </c>
      <c r="H951">
        <v>189</v>
      </c>
      <c r="I951">
        <v>2268</v>
      </c>
      <c r="J951">
        <v>4</v>
      </c>
      <c r="K951">
        <v>6</v>
      </c>
      <c r="L951">
        <v>4</v>
      </c>
      <c r="M951">
        <v>12</v>
      </c>
      <c r="N951">
        <v>6</v>
      </c>
    </row>
    <row r="952" spans="1:14" hidden="1" x14ac:dyDescent="0.3">
      <c r="A952">
        <v>1209</v>
      </c>
      <c r="B952">
        <v>56</v>
      </c>
      <c r="C952">
        <v>897</v>
      </c>
      <c r="D952">
        <v>24</v>
      </c>
      <c r="E952">
        <v>1285</v>
      </c>
      <c r="F952">
        <v>190</v>
      </c>
      <c r="G952">
        <v>71</v>
      </c>
      <c r="H952">
        <v>24</v>
      </c>
      <c r="I952">
        <v>2444</v>
      </c>
      <c r="J952">
        <v>1</v>
      </c>
      <c r="K952">
        <v>3</v>
      </c>
      <c r="L952">
        <v>5</v>
      </c>
      <c r="M952">
        <v>7</v>
      </c>
      <c r="N952">
        <v>1</v>
      </c>
    </row>
    <row r="953" spans="1:14" hidden="1" x14ac:dyDescent="0.3">
      <c r="A953">
        <v>3217</v>
      </c>
      <c r="B953">
        <v>56</v>
      </c>
      <c r="C953">
        <v>1019</v>
      </c>
      <c r="D953">
        <v>0</v>
      </c>
      <c r="E953">
        <v>75</v>
      </c>
      <c r="F953">
        <v>0</v>
      </c>
      <c r="G953">
        <v>0</v>
      </c>
      <c r="H953">
        <v>20</v>
      </c>
      <c r="I953">
        <v>1075</v>
      </c>
      <c r="J953">
        <v>7</v>
      </c>
      <c r="K953">
        <v>8</v>
      </c>
      <c r="L953">
        <v>0.2</v>
      </c>
      <c r="M953">
        <v>5</v>
      </c>
      <c r="N953">
        <v>7</v>
      </c>
    </row>
    <row r="954" spans="1:14" hidden="1" x14ac:dyDescent="0.3">
      <c r="A954">
        <v>2463</v>
      </c>
      <c r="B954">
        <v>56</v>
      </c>
      <c r="C954">
        <v>1040</v>
      </c>
      <c r="D954">
        <v>0</v>
      </c>
      <c r="E954">
        <v>77</v>
      </c>
      <c r="F954">
        <v>0</v>
      </c>
      <c r="G954">
        <v>0</v>
      </c>
      <c r="H954">
        <v>20</v>
      </c>
      <c r="I954">
        <v>1097</v>
      </c>
      <c r="J954">
        <v>7</v>
      </c>
      <c r="K954">
        <v>8</v>
      </c>
      <c r="L954">
        <v>2</v>
      </c>
      <c r="M954">
        <v>5</v>
      </c>
      <c r="N954">
        <v>7</v>
      </c>
    </row>
    <row r="955" spans="1:14" hidden="1" x14ac:dyDescent="0.3">
      <c r="A955">
        <v>3202</v>
      </c>
      <c r="B955">
        <v>56</v>
      </c>
      <c r="C955">
        <v>1040</v>
      </c>
      <c r="D955">
        <v>0</v>
      </c>
      <c r="E955">
        <v>77</v>
      </c>
      <c r="F955">
        <v>0</v>
      </c>
      <c r="G955">
        <v>0</v>
      </c>
      <c r="H955">
        <v>20</v>
      </c>
      <c r="I955">
        <v>1097</v>
      </c>
      <c r="J955">
        <v>7</v>
      </c>
      <c r="K955">
        <v>8</v>
      </c>
      <c r="L955">
        <v>2</v>
      </c>
      <c r="M955">
        <v>5</v>
      </c>
      <c r="N955">
        <v>7</v>
      </c>
    </row>
    <row r="956" spans="1:14" hidden="1" x14ac:dyDescent="0.3">
      <c r="A956">
        <v>2825</v>
      </c>
      <c r="B956">
        <v>56</v>
      </c>
      <c r="C956">
        <v>1180</v>
      </c>
      <c r="D956">
        <v>59</v>
      </c>
      <c r="E956">
        <v>1299</v>
      </c>
      <c r="F956">
        <v>84</v>
      </c>
      <c r="G956">
        <v>236</v>
      </c>
      <c r="H956">
        <v>147</v>
      </c>
      <c r="I956">
        <v>2710</v>
      </c>
      <c r="J956">
        <v>1</v>
      </c>
      <c r="K956">
        <v>5</v>
      </c>
      <c r="L956">
        <v>10</v>
      </c>
      <c r="M956">
        <v>12</v>
      </c>
      <c r="N956">
        <v>6</v>
      </c>
    </row>
    <row r="957" spans="1:14" hidden="1" x14ac:dyDescent="0.3">
      <c r="A957">
        <v>1735</v>
      </c>
      <c r="B957">
        <v>56</v>
      </c>
      <c r="C957">
        <v>1648</v>
      </c>
      <c r="D957">
        <v>216</v>
      </c>
      <c r="E957">
        <v>869</v>
      </c>
      <c r="F957">
        <v>242</v>
      </c>
      <c r="G957">
        <v>186</v>
      </c>
      <c r="H957">
        <v>186</v>
      </c>
      <c r="I957">
        <v>2975</v>
      </c>
      <c r="J957">
        <v>1</v>
      </c>
      <c r="K957">
        <v>8</v>
      </c>
      <c r="L957">
        <v>6</v>
      </c>
      <c r="M957">
        <v>6</v>
      </c>
      <c r="N957">
        <v>3</v>
      </c>
    </row>
    <row r="958" spans="1:14" hidden="1" x14ac:dyDescent="0.3">
      <c r="A958">
        <v>2365</v>
      </c>
      <c r="B958">
        <v>56</v>
      </c>
      <c r="C958">
        <v>1648</v>
      </c>
      <c r="D958">
        <v>216</v>
      </c>
      <c r="E958">
        <v>869</v>
      </c>
      <c r="F958">
        <v>242</v>
      </c>
      <c r="G958">
        <v>186</v>
      </c>
      <c r="H958">
        <v>186</v>
      </c>
      <c r="I958">
        <v>2975</v>
      </c>
      <c r="J958">
        <v>1</v>
      </c>
      <c r="K958">
        <v>8</v>
      </c>
      <c r="L958">
        <v>6</v>
      </c>
      <c r="M958">
        <v>6</v>
      </c>
      <c r="N958">
        <v>3</v>
      </c>
    </row>
    <row r="959" spans="1:14" hidden="1" x14ac:dyDescent="0.3">
      <c r="A959">
        <v>1379</v>
      </c>
      <c r="B959">
        <v>56</v>
      </c>
      <c r="C959">
        <v>2257</v>
      </c>
      <c r="D959">
        <v>0</v>
      </c>
      <c r="E959">
        <v>1240</v>
      </c>
      <c r="F959">
        <v>243</v>
      </c>
      <c r="G959">
        <v>74</v>
      </c>
      <c r="H959">
        <v>111</v>
      </c>
      <c r="I959">
        <v>3704</v>
      </c>
      <c r="J959">
        <v>1</v>
      </c>
      <c r="K959">
        <v>4</v>
      </c>
      <c r="L959">
        <v>9</v>
      </c>
      <c r="M959">
        <v>10</v>
      </c>
      <c r="N959">
        <v>2</v>
      </c>
    </row>
    <row r="960" spans="1:14" hidden="1" x14ac:dyDescent="0.3">
      <c r="A960">
        <v>2199</v>
      </c>
      <c r="B960">
        <v>56</v>
      </c>
      <c r="C960">
        <v>2257</v>
      </c>
      <c r="D960">
        <v>0</v>
      </c>
      <c r="E960">
        <v>1240</v>
      </c>
      <c r="F960">
        <v>243</v>
      </c>
      <c r="G960">
        <v>74</v>
      </c>
      <c r="H960">
        <v>111</v>
      </c>
      <c r="I960">
        <v>3704</v>
      </c>
      <c r="J960">
        <v>1</v>
      </c>
      <c r="K960">
        <v>4</v>
      </c>
      <c r="L960">
        <v>9</v>
      </c>
      <c r="M960">
        <v>10</v>
      </c>
      <c r="N960">
        <v>2</v>
      </c>
    </row>
    <row r="961" spans="1:14" hidden="1" x14ac:dyDescent="0.3">
      <c r="A961">
        <v>2915</v>
      </c>
      <c r="B961">
        <v>56</v>
      </c>
      <c r="C961">
        <v>2481</v>
      </c>
      <c r="D961">
        <v>33</v>
      </c>
      <c r="E961">
        <v>761</v>
      </c>
      <c r="F961">
        <v>0</v>
      </c>
      <c r="G961">
        <v>33</v>
      </c>
      <c r="H961">
        <v>265</v>
      </c>
      <c r="I961">
        <v>3044</v>
      </c>
      <c r="J961">
        <v>1</v>
      </c>
      <c r="K961">
        <v>5</v>
      </c>
      <c r="L961">
        <v>11</v>
      </c>
      <c r="M961">
        <v>5</v>
      </c>
      <c r="N961">
        <v>2</v>
      </c>
    </row>
    <row r="962" spans="1:14" hidden="1" x14ac:dyDescent="0.3">
      <c r="A962">
        <v>1164</v>
      </c>
      <c r="B962">
        <v>56</v>
      </c>
      <c r="C962">
        <v>2578</v>
      </c>
      <c r="D962">
        <v>159</v>
      </c>
      <c r="E962">
        <v>1007</v>
      </c>
      <c r="F962">
        <v>155</v>
      </c>
      <c r="G962">
        <v>159</v>
      </c>
      <c r="H962">
        <v>58</v>
      </c>
      <c r="I962">
        <v>4000</v>
      </c>
      <c r="J962">
        <v>1</v>
      </c>
      <c r="K962">
        <v>11</v>
      </c>
      <c r="L962">
        <v>8</v>
      </c>
      <c r="M962">
        <v>8</v>
      </c>
      <c r="N962">
        <v>5</v>
      </c>
    </row>
    <row r="963" spans="1:14" hidden="1" x14ac:dyDescent="0.3">
      <c r="A963">
        <v>2256</v>
      </c>
      <c r="B963">
        <v>56</v>
      </c>
      <c r="C963">
        <v>2734</v>
      </c>
      <c r="D963">
        <v>30</v>
      </c>
      <c r="E963">
        <v>241</v>
      </c>
      <c r="F963">
        <v>40</v>
      </c>
      <c r="G963">
        <v>30</v>
      </c>
      <c r="H963">
        <v>150</v>
      </c>
      <c r="I963">
        <v>2925</v>
      </c>
      <c r="J963">
        <v>4</v>
      </c>
      <c r="K963">
        <v>3</v>
      </c>
      <c r="L963">
        <v>4</v>
      </c>
      <c r="M963">
        <v>11</v>
      </c>
      <c r="N963">
        <v>8</v>
      </c>
    </row>
    <row r="964" spans="1:14" hidden="1" x14ac:dyDescent="0.3">
      <c r="A964">
        <v>2724</v>
      </c>
      <c r="B964">
        <v>56</v>
      </c>
      <c r="C964">
        <v>3351</v>
      </c>
      <c r="D964">
        <v>193</v>
      </c>
      <c r="E964">
        <v>1019</v>
      </c>
      <c r="F964">
        <v>251</v>
      </c>
      <c r="G964">
        <v>97</v>
      </c>
      <c r="H964">
        <v>97</v>
      </c>
      <c r="I964">
        <v>4814</v>
      </c>
      <c r="J964">
        <v>2</v>
      </c>
      <c r="K964">
        <v>4</v>
      </c>
      <c r="L964">
        <v>4</v>
      </c>
      <c r="M964">
        <v>5</v>
      </c>
      <c r="N964">
        <v>2</v>
      </c>
    </row>
    <row r="965" spans="1:14" hidden="1" x14ac:dyDescent="0.3">
      <c r="A965">
        <v>1853</v>
      </c>
      <c r="B965">
        <v>55</v>
      </c>
      <c r="C965">
        <v>22</v>
      </c>
      <c r="D965">
        <v>0</v>
      </c>
      <c r="E965">
        <v>90</v>
      </c>
      <c r="F965">
        <v>95</v>
      </c>
      <c r="G965">
        <v>22</v>
      </c>
      <c r="H965">
        <v>22</v>
      </c>
      <c r="I965">
        <v>208</v>
      </c>
      <c r="J965">
        <v>3</v>
      </c>
      <c r="K965">
        <v>4</v>
      </c>
      <c r="L965">
        <v>0</v>
      </c>
      <c r="M965">
        <v>3</v>
      </c>
      <c r="N965">
        <v>7</v>
      </c>
    </row>
    <row r="966" spans="1:14" hidden="1" x14ac:dyDescent="0.3">
      <c r="A966">
        <v>2173</v>
      </c>
      <c r="B966">
        <v>55</v>
      </c>
      <c r="C966">
        <v>27</v>
      </c>
      <c r="D966">
        <v>0</v>
      </c>
      <c r="E966">
        <v>30</v>
      </c>
      <c r="F966">
        <v>46</v>
      </c>
      <c r="G966">
        <v>79</v>
      </c>
      <c r="H966">
        <v>79</v>
      </c>
      <c r="I966">
        <v>103</v>
      </c>
      <c r="J966">
        <v>1</v>
      </c>
      <c r="K966">
        <v>1</v>
      </c>
      <c r="L966">
        <v>2</v>
      </c>
      <c r="M966">
        <v>2</v>
      </c>
      <c r="N966">
        <v>4</v>
      </c>
    </row>
    <row r="967" spans="1:14" hidden="1" x14ac:dyDescent="0.3">
      <c r="A967">
        <v>1961</v>
      </c>
      <c r="B967">
        <v>55</v>
      </c>
      <c r="C967">
        <v>38</v>
      </c>
      <c r="D967">
        <v>3</v>
      </c>
      <c r="E967">
        <v>9</v>
      </c>
      <c r="F967">
        <v>0</v>
      </c>
      <c r="G967">
        <v>0</v>
      </c>
      <c r="H967">
        <v>22</v>
      </c>
      <c r="I967">
        <v>28</v>
      </c>
      <c r="J967">
        <v>1</v>
      </c>
      <c r="K967">
        <v>0</v>
      </c>
      <c r="L967">
        <v>1</v>
      </c>
      <c r="M967">
        <v>2</v>
      </c>
      <c r="N967">
        <v>4</v>
      </c>
    </row>
    <row r="968" spans="1:14" hidden="1" x14ac:dyDescent="0.3">
      <c r="A968">
        <v>2770</v>
      </c>
      <c r="B968">
        <v>55</v>
      </c>
      <c r="C968">
        <v>50</v>
      </c>
      <c r="D968">
        <v>0</v>
      </c>
      <c r="E968">
        <v>45</v>
      </c>
      <c r="F968">
        <v>0</v>
      </c>
      <c r="G968">
        <v>9</v>
      </c>
      <c r="H968">
        <v>90</v>
      </c>
      <c r="I968">
        <v>14</v>
      </c>
      <c r="J968">
        <v>1</v>
      </c>
      <c r="K968">
        <v>1</v>
      </c>
      <c r="L968">
        <v>1</v>
      </c>
      <c r="M968">
        <v>2</v>
      </c>
      <c r="N968">
        <v>6</v>
      </c>
    </row>
    <row r="969" spans="1:14" hidden="1" x14ac:dyDescent="0.3">
      <c r="A969">
        <v>1260</v>
      </c>
      <c r="B969">
        <v>55</v>
      </c>
      <c r="C969">
        <v>57</v>
      </c>
      <c r="D969">
        <v>9</v>
      </c>
      <c r="E969">
        <v>62</v>
      </c>
      <c r="F969">
        <v>35</v>
      </c>
      <c r="G969">
        <v>31</v>
      </c>
      <c r="H969">
        <v>18</v>
      </c>
      <c r="I969">
        <v>176</v>
      </c>
      <c r="J969">
        <v>4</v>
      </c>
      <c r="K969">
        <v>2</v>
      </c>
      <c r="L969">
        <v>0</v>
      </c>
      <c r="M969">
        <v>4</v>
      </c>
      <c r="N969">
        <v>6</v>
      </c>
    </row>
    <row r="970" spans="1:14" hidden="1" x14ac:dyDescent="0.3">
      <c r="A970">
        <v>1389</v>
      </c>
      <c r="B970">
        <v>55</v>
      </c>
      <c r="C970">
        <v>71</v>
      </c>
      <c r="D970">
        <v>0</v>
      </c>
      <c r="E970">
        <v>34</v>
      </c>
      <c r="F970">
        <v>9</v>
      </c>
      <c r="G970">
        <v>6</v>
      </c>
      <c r="H970">
        <v>6</v>
      </c>
      <c r="I970">
        <v>114</v>
      </c>
      <c r="J970">
        <v>1</v>
      </c>
      <c r="K970">
        <v>1</v>
      </c>
      <c r="L970">
        <v>0</v>
      </c>
      <c r="M970">
        <v>3</v>
      </c>
      <c r="N970">
        <v>6</v>
      </c>
    </row>
    <row r="971" spans="1:14" hidden="1" x14ac:dyDescent="0.3">
      <c r="A971">
        <v>1034</v>
      </c>
      <c r="B971">
        <v>55</v>
      </c>
      <c r="C971">
        <v>121</v>
      </c>
      <c r="D971">
        <v>0</v>
      </c>
      <c r="E971">
        <v>57</v>
      </c>
      <c r="F971">
        <v>6</v>
      </c>
      <c r="G971">
        <v>3</v>
      </c>
      <c r="H971">
        <v>9</v>
      </c>
      <c r="I971">
        <v>178</v>
      </c>
      <c r="J971">
        <v>1</v>
      </c>
      <c r="K971">
        <v>2</v>
      </c>
      <c r="L971">
        <v>0</v>
      </c>
      <c r="M971">
        <v>3</v>
      </c>
      <c r="N971">
        <v>7</v>
      </c>
    </row>
    <row r="972" spans="1:14" hidden="1" x14ac:dyDescent="0.3">
      <c r="A972">
        <v>2200</v>
      </c>
      <c r="B972">
        <v>55</v>
      </c>
      <c r="C972">
        <v>242</v>
      </c>
      <c r="D972">
        <v>0</v>
      </c>
      <c r="E972">
        <v>86</v>
      </c>
      <c r="F972">
        <v>12</v>
      </c>
      <c r="G972">
        <v>4</v>
      </c>
      <c r="H972">
        <v>102</v>
      </c>
      <c r="I972">
        <v>242</v>
      </c>
      <c r="J972">
        <v>2</v>
      </c>
      <c r="K972">
        <v>2</v>
      </c>
      <c r="L972">
        <v>2</v>
      </c>
      <c r="M972">
        <v>2</v>
      </c>
      <c r="N972">
        <v>7</v>
      </c>
    </row>
    <row r="973" spans="1:14" hidden="1" x14ac:dyDescent="0.3">
      <c r="A973">
        <v>2596</v>
      </c>
      <c r="B973">
        <v>55</v>
      </c>
      <c r="C973">
        <v>287</v>
      </c>
      <c r="D973">
        <v>3</v>
      </c>
      <c r="E973">
        <v>50</v>
      </c>
      <c r="F973">
        <v>0</v>
      </c>
      <c r="G973">
        <v>3</v>
      </c>
      <c r="H973">
        <v>15</v>
      </c>
      <c r="I973">
        <v>329</v>
      </c>
      <c r="J973">
        <v>1</v>
      </c>
      <c r="K973">
        <v>3</v>
      </c>
      <c r="L973">
        <v>0</v>
      </c>
      <c r="M973">
        <v>4</v>
      </c>
      <c r="N973">
        <v>7</v>
      </c>
    </row>
    <row r="974" spans="1:14" hidden="1" x14ac:dyDescent="0.3">
      <c r="A974">
        <v>2682</v>
      </c>
      <c r="B974">
        <v>55</v>
      </c>
      <c r="C974">
        <v>327</v>
      </c>
      <c r="D974">
        <v>29</v>
      </c>
      <c r="E974">
        <v>312</v>
      </c>
      <c r="F974">
        <v>88</v>
      </c>
      <c r="G974">
        <v>0</v>
      </c>
      <c r="H974">
        <v>58</v>
      </c>
      <c r="I974">
        <v>698</v>
      </c>
      <c r="J974">
        <v>2</v>
      </c>
      <c r="K974">
        <v>5</v>
      </c>
      <c r="L974">
        <v>2</v>
      </c>
      <c r="M974">
        <v>4</v>
      </c>
      <c r="N974">
        <v>7</v>
      </c>
    </row>
    <row r="975" spans="1:14" hidden="1" x14ac:dyDescent="0.3">
      <c r="A975">
        <v>2932</v>
      </c>
      <c r="B975">
        <v>55</v>
      </c>
      <c r="C975">
        <v>538</v>
      </c>
      <c r="D975">
        <v>128</v>
      </c>
      <c r="E975">
        <v>269</v>
      </c>
      <c r="F975">
        <v>141</v>
      </c>
      <c r="G975">
        <v>19</v>
      </c>
      <c r="H975">
        <v>84</v>
      </c>
      <c r="I975">
        <v>1010</v>
      </c>
      <c r="J975">
        <v>5</v>
      </c>
      <c r="K975">
        <v>5</v>
      </c>
      <c r="L975">
        <v>3</v>
      </c>
      <c r="M975">
        <v>5</v>
      </c>
      <c r="N975">
        <v>7</v>
      </c>
    </row>
    <row r="976" spans="1:14" hidden="1" x14ac:dyDescent="0.3">
      <c r="A976">
        <v>2144</v>
      </c>
      <c r="B976">
        <v>55</v>
      </c>
      <c r="C976">
        <v>540</v>
      </c>
      <c r="D976">
        <v>101</v>
      </c>
      <c r="E976">
        <v>1353</v>
      </c>
      <c r="F976">
        <v>76</v>
      </c>
      <c r="G976">
        <v>58</v>
      </c>
      <c r="H976">
        <v>121</v>
      </c>
      <c r="I976">
        <v>2006</v>
      </c>
      <c r="J976">
        <v>1</v>
      </c>
      <c r="K976">
        <v>6</v>
      </c>
      <c r="L976">
        <v>4</v>
      </c>
      <c r="M976">
        <v>10</v>
      </c>
      <c r="N976">
        <v>2</v>
      </c>
    </row>
    <row r="977" spans="1:14" hidden="1" x14ac:dyDescent="0.3">
      <c r="A977">
        <v>2340</v>
      </c>
      <c r="B977">
        <v>55</v>
      </c>
      <c r="C977">
        <v>996</v>
      </c>
      <c r="D977">
        <v>65</v>
      </c>
      <c r="E977">
        <v>184</v>
      </c>
      <c r="F977">
        <v>103</v>
      </c>
      <c r="G977">
        <v>0</v>
      </c>
      <c r="H977">
        <v>238</v>
      </c>
      <c r="I977">
        <v>1110</v>
      </c>
      <c r="J977">
        <v>6</v>
      </c>
      <c r="K977">
        <v>8</v>
      </c>
      <c r="L977">
        <v>2</v>
      </c>
      <c r="M977">
        <v>6</v>
      </c>
      <c r="N977">
        <v>7</v>
      </c>
    </row>
    <row r="978" spans="1:14" hidden="1" x14ac:dyDescent="0.3">
      <c r="A978">
        <v>3193</v>
      </c>
      <c r="B978">
        <v>55</v>
      </c>
      <c r="C978">
        <v>996</v>
      </c>
      <c r="D978">
        <v>65</v>
      </c>
      <c r="E978">
        <v>184</v>
      </c>
      <c r="F978">
        <v>103</v>
      </c>
      <c r="G978">
        <v>0</v>
      </c>
      <c r="H978">
        <v>238</v>
      </c>
      <c r="I978">
        <v>1110</v>
      </c>
      <c r="J978">
        <v>6</v>
      </c>
      <c r="K978">
        <v>8</v>
      </c>
      <c r="L978">
        <v>2</v>
      </c>
      <c r="M978">
        <v>6</v>
      </c>
      <c r="N978">
        <v>7</v>
      </c>
    </row>
    <row r="979" spans="1:14" hidden="1" x14ac:dyDescent="0.3">
      <c r="A979">
        <v>3208</v>
      </c>
      <c r="B979">
        <v>55</v>
      </c>
      <c r="C979">
        <v>1023</v>
      </c>
      <c r="D979">
        <v>67</v>
      </c>
      <c r="E979">
        <v>189</v>
      </c>
      <c r="F979">
        <v>106</v>
      </c>
      <c r="G979">
        <v>0</v>
      </c>
      <c r="H979">
        <v>245</v>
      </c>
      <c r="I979">
        <v>1140</v>
      </c>
      <c r="J979">
        <v>6</v>
      </c>
      <c r="K979">
        <v>8</v>
      </c>
      <c r="L979">
        <v>2</v>
      </c>
      <c r="M979">
        <v>6</v>
      </c>
      <c r="N979">
        <v>7</v>
      </c>
    </row>
    <row r="980" spans="1:14" hidden="1" x14ac:dyDescent="0.3">
      <c r="A980">
        <v>2230</v>
      </c>
      <c r="B980">
        <v>55</v>
      </c>
      <c r="C980">
        <v>2003</v>
      </c>
      <c r="D980">
        <v>48</v>
      </c>
      <c r="E980">
        <v>337</v>
      </c>
      <c r="F980">
        <v>30</v>
      </c>
      <c r="G980">
        <v>0</v>
      </c>
      <c r="H980">
        <v>48</v>
      </c>
      <c r="I980">
        <v>2371</v>
      </c>
      <c r="J980">
        <v>3</v>
      </c>
      <c r="K980">
        <v>8</v>
      </c>
      <c r="L980">
        <v>3</v>
      </c>
      <c r="M980">
        <v>13</v>
      </c>
      <c r="N980">
        <v>6</v>
      </c>
    </row>
    <row r="981" spans="1:14" hidden="1" x14ac:dyDescent="0.3">
      <c r="A981">
        <v>1737</v>
      </c>
      <c r="B981">
        <v>55</v>
      </c>
      <c r="C981">
        <v>2083</v>
      </c>
      <c r="D981">
        <v>31</v>
      </c>
      <c r="E981">
        <v>978</v>
      </c>
      <c r="F981">
        <v>42</v>
      </c>
      <c r="G981">
        <v>31</v>
      </c>
      <c r="H981">
        <v>31</v>
      </c>
      <c r="I981">
        <v>3134</v>
      </c>
      <c r="J981">
        <v>5</v>
      </c>
      <c r="K981">
        <v>7</v>
      </c>
      <c r="L981">
        <v>6</v>
      </c>
      <c r="M981">
        <v>5</v>
      </c>
      <c r="N981">
        <v>6</v>
      </c>
    </row>
    <row r="982" spans="1:14" hidden="1" x14ac:dyDescent="0.3">
      <c r="A982">
        <v>1052</v>
      </c>
      <c r="B982">
        <v>55</v>
      </c>
      <c r="C982">
        <v>2178</v>
      </c>
      <c r="D982">
        <v>113</v>
      </c>
      <c r="E982">
        <v>956</v>
      </c>
      <c r="F982">
        <v>398</v>
      </c>
      <c r="G982">
        <v>266</v>
      </c>
      <c r="H982">
        <v>421</v>
      </c>
      <c r="I982">
        <v>3491</v>
      </c>
      <c r="J982">
        <v>1</v>
      </c>
      <c r="K982">
        <v>3</v>
      </c>
      <c r="L982">
        <v>10</v>
      </c>
      <c r="M982">
        <v>13</v>
      </c>
      <c r="N982">
        <v>1</v>
      </c>
    </row>
    <row r="983" spans="1:14" hidden="1" x14ac:dyDescent="0.3">
      <c r="A983">
        <v>2634</v>
      </c>
      <c r="B983">
        <v>55</v>
      </c>
      <c r="C983">
        <v>2395</v>
      </c>
      <c r="D983">
        <v>81</v>
      </c>
      <c r="E983">
        <v>1280</v>
      </c>
      <c r="F983">
        <v>320</v>
      </c>
      <c r="G983">
        <v>122</v>
      </c>
      <c r="H983">
        <v>81</v>
      </c>
      <c r="I983">
        <v>4116</v>
      </c>
      <c r="J983">
        <v>1</v>
      </c>
      <c r="K983">
        <v>4</v>
      </c>
      <c r="L983">
        <v>6</v>
      </c>
      <c r="M983">
        <v>6</v>
      </c>
      <c r="N983">
        <v>2</v>
      </c>
    </row>
    <row r="984" spans="1:14" hidden="1" x14ac:dyDescent="0.3">
      <c r="A984">
        <v>2814</v>
      </c>
      <c r="B984">
        <v>55</v>
      </c>
      <c r="C984">
        <v>2582</v>
      </c>
      <c r="D984">
        <v>38</v>
      </c>
      <c r="E984">
        <v>1089</v>
      </c>
      <c r="F984">
        <v>209</v>
      </c>
      <c r="G984">
        <v>159</v>
      </c>
      <c r="H984">
        <v>483</v>
      </c>
      <c r="I984">
        <v>3595</v>
      </c>
      <c r="J984">
        <v>11</v>
      </c>
      <c r="K984">
        <v>8</v>
      </c>
      <c r="L984">
        <v>5</v>
      </c>
      <c r="M984">
        <v>9</v>
      </c>
      <c r="N984">
        <v>6</v>
      </c>
    </row>
    <row r="985" spans="1:14" hidden="1" x14ac:dyDescent="0.3">
      <c r="A985">
        <v>2163</v>
      </c>
      <c r="B985">
        <v>55</v>
      </c>
      <c r="C985">
        <v>3237</v>
      </c>
      <c r="D985">
        <v>0</v>
      </c>
      <c r="E985">
        <v>169</v>
      </c>
      <c r="F985">
        <v>0</v>
      </c>
      <c r="G985">
        <v>0</v>
      </c>
      <c r="H985">
        <v>68</v>
      </c>
      <c r="I985">
        <v>3338</v>
      </c>
      <c r="J985">
        <v>3</v>
      </c>
      <c r="K985">
        <v>9</v>
      </c>
      <c r="L985">
        <v>5</v>
      </c>
      <c r="M985">
        <v>4</v>
      </c>
      <c r="N985">
        <v>7</v>
      </c>
    </row>
    <row r="986" spans="1:14" hidden="1" x14ac:dyDescent="0.3">
      <c r="A986">
        <v>2407</v>
      </c>
      <c r="B986">
        <v>54</v>
      </c>
      <c r="C986">
        <v>8</v>
      </c>
      <c r="D986">
        <v>13</v>
      </c>
      <c r="E986">
        <v>42</v>
      </c>
      <c r="F986">
        <v>46</v>
      </c>
      <c r="G986">
        <v>8</v>
      </c>
      <c r="H986">
        <v>42</v>
      </c>
      <c r="I986">
        <v>76</v>
      </c>
      <c r="J986">
        <v>1</v>
      </c>
      <c r="K986">
        <v>1</v>
      </c>
      <c r="L986">
        <v>0</v>
      </c>
      <c r="M986">
        <v>3</v>
      </c>
      <c r="N986">
        <v>6</v>
      </c>
    </row>
    <row r="987" spans="1:14" hidden="1" x14ac:dyDescent="0.3">
      <c r="A987">
        <v>2477</v>
      </c>
      <c r="B987">
        <v>54</v>
      </c>
      <c r="C987">
        <v>8</v>
      </c>
      <c r="D987">
        <v>13</v>
      </c>
      <c r="E987">
        <v>42</v>
      </c>
      <c r="F987">
        <v>46</v>
      </c>
      <c r="G987">
        <v>8</v>
      </c>
      <c r="H987">
        <v>42</v>
      </c>
      <c r="I987">
        <v>76</v>
      </c>
      <c r="J987">
        <v>1</v>
      </c>
      <c r="K987">
        <v>1</v>
      </c>
      <c r="L987">
        <v>0</v>
      </c>
      <c r="M987">
        <v>3</v>
      </c>
      <c r="N987">
        <v>6</v>
      </c>
    </row>
    <row r="988" spans="1:14" hidden="1" x14ac:dyDescent="0.3">
      <c r="A988">
        <v>1566</v>
      </c>
      <c r="B988">
        <v>54</v>
      </c>
      <c r="C988">
        <v>28</v>
      </c>
      <c r="D988">
        <v>0</v>
      </c>
      <c r="E988">
        <v>49</v>
      </c>
      <c r="F988">
        <v>19</v>
      </c>
      <c r="G988">
        <v>19</v>
      </c>
      <c r="H988">
        <v>31</v>
      </c>
      <c r="I988">
        <v>83</v>
      </c>
      <c r="J988">
        <v>1</v>
      </c>
      <c r="K988">
        <v>1</v>
      </c>
      <c r="L988">
        <v>0</v>
      </c>
      <c r="M988">
        <v>3</v>
      </c>
      <c r="N988">
        <v>8</v>
      </c>
    </row>
    <row r="989" spans="1:14" hidden="1" x14ac:dyDescent="0.3">
      <c r="A989">
        <v>1049</v>
      </c>
      <c r="B989">
        <v>54</v>
      </c>
      <c r="C989">
        <v>46</v>
      </c>
      <c r="D989">
        <v>23</v>
      </c>
      <c r="E989">
        <v>76</v>
      </c>
      <c r="F989">
        <v>114</v>
      </c>
      <c r="G989">
        <v>4</v>
      </c>
      <c r="H989">
        <v>11</v>
      </c>
      <c r="I989">
        <v>250</v>
      </c>
      <c r="J989">
        <v>2</v>
      </c>
      <c r="K989">
        <v>2</v>
      </c>
      <c r="L989">
        <v>0</v>
      </c>
      <c r="M989">
        <v>3</v>
      </c>
      <c r="N989">
        <v>7</v>
      </c>
    </row>
    <row r="990" spans="1:14" hidden="1" x14ac:dyDescent="0.3">
      <c r="A990">
        <v>2923</v>
      </c>
      <c r="B990">
        <v>54</v>
      </c>
      <c r="C990">
        <v>68</v>
      </c>
      <c r="D990">
        <v>26</v>
      </c>
      <c r="E990">
        <v>128</v>
      </c>
      <c r="F990">
        <v>38</v>
      </c>
      <c r="G990">
        <v>8</v>
      </c>
      <c r="H990">
        <v>11</v>
      </c>
      <c r="I990">
        <v>257</v>
      </c>
      <c r="J990">
        <v>3</v>
      </c>
      <c r="K990">
        <v>3</v>
      </c>
      <c r="L990">
        <v>0</v>
      </c>
      <c r="M990">
        <v>3</v>
      </c>
      <c r="N990">
        <v>8</v>
      </c>
    </row>
    <row r="991" spans="1:14" hidden="1" x14ac:dyDescent="0.3">
      <c r="A991">
        <v>1226</v>
      </c>
      <c r="B991">
        <v>54</v>
      </c>
      <c r="C991">
        <v>72</v>
      </c>
      <c r="D991">
        <v>43</v>
      </c>
      <c r="E991">
        <v>143</v>
      </c>
      <c r="F991">
        <v>172</v>
      </c>
      <c r="G991">
        <v>100</v>
      </c>
      <c r="H991">
        <v>287</v>
      </c>
      <c r="I991">
        <v>244</v>
      </c>
      <c r="J991">
        <v>4</v>
      </c>
      <c r="K991">
        <v>3</v>
      </c>
      <c r="L991">
        <v>1</v>
      </c>
      <c r="M991">
        <v>3</v>
      </c>
      <c r="N991">
        <v>7</v>
      </c>
    </row>
    <row r="992" spans="1:14" hidden="1" x14ac:dyDescent="0.3">
      <c r="A992">
        <v>2007</v>
      </c>
      <c r="B992">
        <v>54</v>
      </c>
      <c r="C992">
        <v>85</v>
      </c>
      <c r="D992">
        <v>36</v>
      </c>
      <c r="E992">
        <v>130</v>
      </c>
      <c r="F992">
        <v>0</v>
      </c>
      <c r="G992">
        <v>54</v>
      </c>
      <c r="H992">
        <v>117</v>
      </c>
      <c r="I992">
        <v>189</v>
      </c>
      <c r="J992">
        <v>1</v>
      </c>
      <c r="K992">
        <v>2</v>
      </c>
      <c r="L992">
        <v>2</v>
      </c>
      <c r="M992">
        <v>2</v>
      </c>
      <c r="N992">
        <v>7</v>
      </c>
    </row>
    <row r="993" spans="1:14" hidden="1" x14ac:dyDescent="0.3">
      <c r="A993">
        <v>1465</v>
      </c>
      <c r="B993">
        <v>54</v>
      </c>
      <c r="C993">
        <v>95</v>
      </c>
      <c r="D993">
        <v>11</v>
      </c>
      <c r="E993">
        <v>47</v>
      </c>
      <c r="F993">
        <v>7</v>
      </c>
      <c r="G993">
        <v>36</v>
      </c>
      <c r="H993">
        <v>0</v>
      </c>
      <c r="I993">
        <v>197</v>
      </c>
      <c r="J993">
        <v>1</v>
      </c>
      <c r="K993">
        <v>2</v>
      </c>
      <c r="L993">
        <v>0</v>
      </c>
      <c r="M993">
        <v>3</v>
      </c>
      <c r="N993">
        <v>6</v>
      </c>
    </row>
    <row r="994" spans="1:14" hidden="1" x14ac:dyDescent="0.3">
      <c r="A994">
        <v>1959</v>
      </c>
      <c r="B994">
        <v>54</v>
      </c>
      <c r="C994">
        <v>114</v>
      </c>
      <c r="D994">
        <v>34</v>
      </c>
      <c r="E994">
        <v>46</v>
      </c>
      <c r="F994">
        <v>8</v>
      </c>
      <c r="G994">
        <v>42</v>
      </c>
      <c r="H994">
        <v>114</v>
      </c>
      <c r="I994">
        <v>129</v>
      </c>
      <c r="J994">
        <v>3</v>
      </c>
      <c r="K994">
        <v>2</v>
      </c>
      <c r="L994">
        <v>0</v>
      </c>
      <c r="M994">
        <v>4</v>
      </c>
      <c r="N994">
        <v>4</v>
      </c>
    </row>
    <row r="995" spans="1:14" hidden="1" x14ac:dyDescent="0.3">
      <c r="A995">
        <v>2189</v>
      </c>
      <c r="B995">
        <v>54</v>
      </c>
      <c r="C995">
        <v>122</v>
      </c>
      <c r="D995">
        <v>0</v>
      </c>
      <c r="E995">
        <v>14</v>
      </c>
      <c r="F995">
        <v>0</v>
      </c>
      <c r="G995">
        <v>0</v>
      </c>
      <c r="H995">
        <v>35</v>
      </c>
      <c r="I995">
        <v>101</v>
      </c>
      <c r="J995">
        <v>1</v>
      </c>
      <c r="K995">
        <v>1</v>
      </c>
      <c r="L995">
        <v>1</v>
      </c>
      <c r="M995">
        <v>2</v>
      </c>
      <c r="N995">
        <v>5</v>
      </c>
    </row>
    <row r="996" spans="1:14" hidden="1" x14ac:dyDescent="0.3">
      <c r="A996">
        <v>2762</v>
      </c>
      <c r="B996">
        <v>54</v>
      </c>
      <c r="C996">
        <v>174</v>
      </c>
      <c r="D996">
        <v>0</v>
      </c>
      <c r="E996">
        <v>113</v>
      </c>
      <c r="F996">
        <v>45</v>
      </c>
      <c r="G996">
        <v>4</v>
      </c>
      <c r="H996">
        <v>113</v>
      </c>
      <c r="I996">
        <v>223</v>
      </c>
      <c r="J996">
        <v>1</v>
      </c>
      <c r="K996">
        <v>2</v>
      </c>
      <c r="L996">
        <v>0</v>
      </c>
      <c r="M996">
        <v>4</v>
      </c>
      <c r="N996">
        <v>6</v>
      </c>
    </row>
    <row r="997" spans="1:14" hidden="1" x14ac:dyDescent="0.3">
      <c r="A997">
        <v>2570</v>
      </c>
      <c r="B997">
        <v>54</v>
      </c>
      <c r="C997">
        <v>247</v>
      </c>
      <c r="D997">
        <v>0</v>
      </c>
      <c r="E997">
        <v>9</v>
      </c>
      <c r="F997">
        <v>0</v>
      </c>
      <c r="G997">
        <v>0</v>
      </c>
      <c r="H997">
        <v>20</v>
      </c>
      <c r="I997">
        <v>235</v>
      </c>
      <c r="J997">
        <v>1</v>
      </c>
      <c r="K997">
        <v>2</v>
      </c>
      <c r="L997">
        <v>0</v>
      </c>
      <c r="M997">
        <v>4</v>
      </c>
      <c r="N997">
        <v>3</v>
      </c>
    </row>
    <row r="998" spans="1:14" hidden="1" x14ac:dyDescent="0.3">
      <c r="A998">
        <v>2307</v>
      </c>
      <c r="B998">
        <v>54</v>
      </c>
      <c r="C998">
        <v>310</v>
      </c>
      <c r="D998">
        <v>13</v>
      </c>
      <c r="E998">
        <v>141</v>
      </c>
      <c r="F998">
        <v>19</v>
      </c>
      <c r="G998">
        <v>3</v>
      </c>
      <c r="H998">
        <v>58</v>
      </c>
      <c r="I998">
        <v>428</v>
      </c>
      <c r="J998">
        <v>1</v>
      </c>
      <c r="K998">
        <v>3</v>
      </c>
      <c r="L998">
        <v>1</v>
      </c>
      <c r="M998">
        <v>4</v>
      </c>
      <c r="N998">
        <v>5</v>
      </c>
    </row>
    <row r="999" spans="1:14" hidden="1" x14ac:dyDescent="0.3">
      <c r="A999">
        <v>1849</v>
      </c>
      <c r="B999">
        <v>54</v>
      </c>
      <c r="C999">
        <v>349</v>
      </c>
      <c r="D999">
        <v>179</v>
      </c>
      <c r="E999">
        <v>259</v>
      </c>
      <c r="F999">
        <v>196</v>
      </c>
      <c r="G999">
        <v>58</v>
      </c>
      <c r="H999">
        <v>360</v>
      </c>
      <c r="I999">
        <v>680</v>
      </c>
      <c r="J999">
        <v>3</v>
      </c>
      <c r="K999">
        <v>2</v>
      </c>
      <c r="L999">
        <v>3</v>
      </c>
      <c r="M999">
        <v>8</v>
      </c>
      <c r="N999">
        <v>3</v>
      </c>
    </row>
    <row r="1000" spans="1:14" hidden="1" x14ac:dyDescent="0.3">
      <c r="A1000">
        <v>2106</v>
      </c>
      <c r="B1000">
        <v>54</v>
      </c>
      <c r="C1000">
        <v>582</v>
      </c>
      <c r="D1000">
        <v>11</v>
      </c>
      <c r="E1000">
        <v>519</v>
      </c>
      <c r="F1000">
        <v>14</v>
      </c>
      <c r="G1000">
        <v>85</v>
      </c>
      <c r="H1000">
        <v>145</v>
      </c>
      <c r="I1000">
        <v>1066</v>
      </c>
      <c r="J1000">
        <v>7</v>
      </c>
      <c r="K1000">
        <v>6</v>
      </c>
      <c r="L1000">
        <v>2</v>
      </c>
      <c r="M1000">
        <v>5</v>
      </c>
      <c r="N1000">
        <v>8</v>
      </c>
    </row>
    <row r="1001" spans="1:14" hidden="1" x14ac:dyDescent="0.3">
      <c r="A1001">
        <v>1872</v>
      </c>
      <c r="B1001">
        <v>54</v>
      </c>
      <c r="C1001">
        <v>604</v>
      </c>
      <c r="D1001">
        <v>59</v>
      </c>
      <c r="E1001">
        <v>138</v>
      </c>
      <c r="F1001">
        <v>68</v>
      </c>
      <c r="G1001">
        <v>6</v>
      </c>
      <c r="H1001">
        <v>165</v>
      </c>
      <c r="I1001">
        <v>710</v>
      </c>
      <c r="J1001">
        <v>6</v>
      </c>
      <c r="K1001">
        <v>5</v>
      </c>
      <c r="L1001">
        <v>2</v>
      </c>
      <c r="M1001">
        <v>5</v>
      </c>
      <c r="N1001">
        <v>5</v>
      </c>
    </row>
    <row r="1002" spans="1:14" hidden="1" x14ac:dyDescent="0.3">
      <c r="A1002">
        <v>2502</v>
      </c>
      <c r="B1002">
        <v>54</v>
      </c>
      <c r="C1002">
        <v>737</v>
      </c>
      <c r="D1002">
        <v>430</v>
      </c>
      <c r="E1002">
        <v>837</v>
      </c>
      <c r="F1002">
        <v>331</v>
      </c>
      <c r="G1002">
        <v>277</v>
      </c>
      <c r="H1002">
        <v>126</v>
      </c>
      <c r="I1002">
        <v>2485</v>
      </c>
      <c r="J1002">
        <v>0</v>
      </c>
      <c r="K1002">
        <v>4</v>
      </c>
      <c r="L1002">
        <v>6</v>
      </c>
      <c r="M1002">
        <v>7</v>
      </c>
      <c r="N1002">
        <v>1</v>
      </c>
    </row>
    <row r="1003" spans="1:14" hidden="1" x14ac:dyDescent="0.3">
      <c r="A1003">
        <v>3185</v>
      </c>
      <c r="B1003">
        <v>54</v>
      </c>
      <c r="C1003">
        <v>737</v>
      </c>
      <c r="D1003">
        <v>430</v>
      </c>
      <c r="E1003">
        <v>837</v>
      </c>
      <c r="F1003">
        <v>331</v>
      </c>
      <c r="G1003">
        <v>277</v>
      </c>
      <c r="H1003">
        <v>126</v>
      </c>
      <c r="I1003">
        <v>2485</v>
      </c>
      <c r="J1003">
        <v>0</v>
      </c>
      <c r="K1003">
        <v>4</v>
      </c>
      <c r="L1003">
        <v>6</v>
      </c>
      <c r="M1003">
        <v>7</v>
      </c>
      <c r="N1003">
        <v>1</v>
      </c>
    </row>
    <row r="1004" spans="1:14" hidden="1" x14ac:dyDescent="0.3">
      <c r="A1004">
        <v>2748</v>
      </c>
      <c r="B1004">
        <v>54</v>
      </c>
      <c r="C1004">
        <v>816</v>
      </c>
      <c r="D1004">
        <v>115</v>
      </c>
      <c r="E1004">
        <v>1003</v>
      </c>
      <c r="F1004">
        <v>365</v>
      </c>
      <c r="G1004">
        <v>115</v>
      </c>
      <c r="H1004">
        <v>115</v>
      </c>
      <c r="I1004">
        <v>2299</v>
      </c>
      <c r="J1004">
        <v>1</v>
      </c>
      <c r="K1004">
        <v>2</v>
      </c>
      <c r="L1004">
        <v>7</v>
      </c>
      <c r="M1004">
        <v>7</v>
      </c>
      <c r="N1004">
        <v>0</v>
      </c>
    </row>
    <row r="1005" spans="1:14" hidden="1" x14ac:dyDescent="0.3">
      <c r="A1005">
        <v>1917</v>
      </c>
      <c r="B1005">
        <v>54</v>
      </c>
      <c r="C1005">
        <v>847</v>
      </c>
      <c r="D1005">
        <v>50</v>
      </c>
      <c r="E1005">
        <v>744</v>
      </c>
      <c r="F1005">
        <v>400</v>
      </c>
      <c r="G1005">
        <v>179</v>
      </c>
      <c r="H1005">
        <v>77</v>
      </c>
      <c r="I1005">
        <v>2144</v>
      </c>
      <c r="J1005">
        <v>1</v>
      </c>
      <c r="K1005">
        <v>9</v>
      </c>
      <c r="L1005">
        <v>3</v>
      </c>
      <c r="M1005">
        <v>4</v>
      </c>
      <c r="N1005">
        <v>4</v>
      </c>
    </row>
    <row r="1006" spans="1:14" hidden="1" x14ac:dyDescent="0.3">
      <c r="A1006">
        <v>1607</v>
      </c>
      <c r="B1006">
        <v>54</v>
      </c>
      <c r="C1006">
        <v>927</v>
      </c>
      <c r="D1006">
        <v>52</v>
      </c>
      <c r="E1006">
        <v>768</v>
      </c>
      <c r="F1006">
        <v>247</v>
      </c>
      <c r="G1006">
        <v>83</v>
      </c>
      <c r="H1006">
        <v>254</v>
      </c>
      <c r="I1006">
        <v>1823</v>
      </c>
      <c r="J1006">
        <v>1</v>
      </c>
      <c r="K1006">
        <v>6</v>
      </c>
      <c r="L1006">
        <v>8</v>
      </c>
      <c r="M1006">
        <v>6</v>
      </c>
      <c r="N1006">
        <v>3</v>
      </c>
    </row>
    <row r="1007" spans="1:14" hidden="1" x14ac:dyDescent="0.3">
      <c r="A1007">
        <v>2648</v>
      </c>
      <c r="B1007">
        <v>54</v>
      </c>
      <c r="C1007">
        <v>927</v>
      </c>
      <c r="D1007">
        <v>52</v>
      </c>
      <c r="E1007">
        <v>768</v>
      </c>
      <c r="F1007">
        <v>247</v>
      </c>
      <c r="G1007">
        <v>83</v>
      </c>
      <c r="H1007">
        <v>254</v>
      </c>
      <c r="I1007">
        <v>1823</v>
      </c>
      <c r="J1007">
        <v>1</v>
      </c>
      <c r="K1007">
        <v>6</v>
      </c>
      <c r="L1007">
        <v>8</v>
      </c>
      <c r="M1007">
        <v>6</v>
      </c>
      <c r="N1007">
        <v>3</v>
      </c>
    </row>
    <row r="1008" spans="1:14" hidden="1" x14ac:dyDescent="0.3">
      <c r="A1008">
        <v>2149</v>
      </c>
      <c r="B1008">
        <v>54</v>
      </c>
      <c r="C1008">
        <v>1093</v>
      </c>
      <c r="D1008">
        <v>172</v>
      </c>
      <c r="E1008">
        <v>372</v>
      </c>
      <c r="F1008">
        <v>67</v>
      </c>
      <c r="G1008">
        <v>347</v>
      </c>
      <c r="H1008">
        <v>223</v>
      </c>
      <c r="I1008">
        <v>1828</v>
      </c>
      <c r="J1008">
        <v>1</v>
      </c>
      <c r="K1008">
        <v>4</v>
      </c>
      <c r="L1008">
        <v>4</v>
      </c>
      <c r="M1008">
        <v>8</v>
      </c>
      <c r="N1008">
        <v>2</v>
      </c>
    </row>
    <row r="1009" spans="1:14" hidden="1" x14ac:dyDescent="0.3">
      <c r="A1009">
        <v>1050</v>
      </c>
      <c r="B1009">
        <v>54</v>
      </c>
      <c r="C1009">
        <v>1128</v>
      </c>
      <c r="D1009">
        <v>265</v>
      </c>
      <c r="E1009">
        <v>1216</v>
      </c>
      <c r="F1009">
        <v>345</v>
      </c>
      <c r="G1009">
        <v>88</v>
      </c>
      <c r="H1009">
        <v>533</v>
      </c>
      <c r="I1009">
        <v>2509</v>
      </c>
      <c r="J1009">
        <v>1</v>
      </c>
      <c r="K1009">
        <v>4</v>
      </c>
      <c r="L1009">
        <v>9</v>
      </c>
      <c r="M1009">
        <v>7</v>
      </c>
      <c r="N1009">
        <v>1</v>
      </c>
    </row>
    <row r="1010" spans="1:14" hidden="1" x14ac:dyDescent="0.3">
      <c r="A1010">
        <v>2077</v>
      </c>
      <c r="B1010">
        <v>54</v>
      </c>
      <c r="C1010">
        <v>1293</v>
      </c>
      <c r="D1010">
        <v>18</v>
      </c>
      <c r="E1010">
        <v>487</v>
      </c>
      <c r="F1010">
        <v>47</v>
      </c>
      <c r="G1010">
        <v>36</v>
      </c>
      <c r="H1010">
        <v>74</v>
      </c>
      <c r="I1010">
        <v>1807</v>
      </c>
      <c r="J1010">
        <v>1</v>
      </c>
      <c r="K1010">
        <v>4</v>
      </c>
      <c r="L1010">
        <v>3</v>
      </c>
      <c r="M1010">
        <v>5</v>
      </c>
      <c r="N1010">
        <v>1</v>
      </c>
    </row>
    <row r="1011" spans="1:14" hidden="1" x14ac:dyDescent="0.3">
      <c r="A1011">
        <v>2424</v>
      </c>
      <c r="B1011">
        <v>54</v>
      </c>
      <c r="C1011">
        <v>1425</v>
      </c>
      <c r="D1011">
        <v>131</v>
      </c>
      <c r="E1011">
        <v>845</v>
      </c>
      <c r="F1011">
        <v>172</v>
      </c>
      <c r="G1011">
        <v>131</v>
      </c>
      <c r="H1011">
        <v>316</v>
      </c>
      <c r="I1011">
        <v>2389</v>
      </c>
      <c r="J1011">
        <v>1</v>
      </c>
      <c r="K1011">
        <v>4</v>
      </c>
      <c r="L1011">
        <v>4</v>
      </c>
      <c r="M1011">
        <v>8</v>
      </c>
      <c r="N1011">
        <v>2</v>
      </c>
    </row>
    <row r="1012" spans="1:14" hidden="1" x14ac:dyDescent="0.3">
      <c r="A1012">
        <v>3035</v>
      </c>
      <c r="B1012">
        <v>54</v>
      </c>
      <c r="C1012">
        <v>1425</v>
      </c>
      <c r="D1012">
        <v>131</v>
      </c>
      <c r="E1012">
        <v>845</v>
      </c>
      <c r="F1012">
        <v>172</v>
      </c>
      <c r="G1012">
        <v>131</v>
      </c>
      <c r="H1012">
        <v>316</v>
      </c>
      <c r="I1012">
        <v>2389</v>
      </c>
      <c r="J1012">
        <v>1</v>
      </c>
      <c r="K1012">
        <v>4</v>
      </c>
      <c r="L1012">
        <v>4</v>
      </c>
      <c r="M1012">
        <v>8</v>
      </c>
      <c r="N1012">
        <v>2</v>
      </c>
    </row>
    <row r="1013" spans="1:14" hidden="1" x14ac:dyDescent="0.3">
      <c r="A1013">
        <v>1779</v>
      </c>
      <c r="B1013">
        <v>54</v>
      </c>
      <c r="C1013">
        <v>1475</v>
      </c>
      <c r="D1013">
        <v>214</v>
      </c>
      <c r="E1013">
        <v>1405</v>
      </c>
      <c r="F1013">
        <v>374</v>
      </c>
      <c r="G1013">
        <v>214</v>
      </c>
      <c r="H1013">
        <v>35</v>
      </c>
      <c r="I1013">
        <v>3647</v>
      </c>
      <c r="J1013">
        <v>1</v>
      </c>
      <c r="K1013">
        <v>6</v>
      </c>
      <c r="L1013">
        <v>5</v>
      </c>
      <c r="M1013">
        <v>12</v>
      </c>
      <c r="N1013">
        <v>3</v>
      </c>
    </row>
    <row r="1014" spans="1:14" hidden="1" x14ac:dyDescent="0.3">
      <c r="A1014">
        <v>1191</v>
      </c>
      <c r="B1014">
        <v>54</v>
      </c>
      <c r="C1014">
        <v>1510</v>
      </c>
      <c r="D1014">
        <v>57</v>
      </c>
      <c r="E1014">
        <v>273</v>
      </c>
      <c r="F1014">
        <v>150</v>
      </c>
      <c r="G1014">
        <v>348</v>
      </c>
      <c r="H1014">
        <v>115</v>
      </c>
      <c r="I1014">
        <v>2224</v>
      </c>
      <c r="J1014">
        <v>0</v>
      </c>
      <c r="K1014">
        <v>7</v>
      </c>
      <c r="L1014">
        <v>9</v>
      </c>
      <c r="M1014">
        <v>10</v>
      </c>
      <c r="N1014">
        <v>4</v>
      </c>
    </row>
    <row r="1015" spans="1:14" hidden="1" x14ac:dyDescent="0.3">
      <c r="A1015">
        <v>1799</v>
      </c>
      <c r="B1015">
        <v>54</v>
      </c>
      <c r="C1015">
        <v>1619</v>
      </c>
      <c r="D1015">
        <v>35</v>
      </c>
      <c r="E1015">
        <v>124</v>
      </c>
      <c r="F1015">
        <v>0</v>
      </c>
      <c r="G1015">
        <v>18</v>
      </c>
      <c r="H1015">
        <v>144</v>
      </c>
      <c r="I1015">
        <v>1652</v>
      </c>
      <c r="J1015">
        <v>1</v>
      </c>
      <c r="K1015">
        <v>9</v>
      </c>
      <c r="L1015">
        <v>2</v>
      </c>
      <c r="M1015">
        <v>9</v>
      </c>
      <c r="N1015">
        <v>5</v>
      </c>
    </row>
    <row r="1016" spans="1:14" hidden="1" x14ac:dyDescent="0.3">
      <c r="A1016">
        <v>2377</v>
      </c>
      <c r="B1016">
        <v>54</v>
      </c>
      <c r="C1016">
        <v>1619</v>
      </c>
      <c r="D1016">
        <v>35</v>
      </c>
      <c r="E1016">
        <v>124</v>
      </c>
      <c r="F1016">
        <v>0</v>
      </c>
      <c r="G1016">
        <v>18</v>
      </c>
      <c r="H1016">
        <v>144</v>
      </c>
      <c r="I1016">
        <v>1652</v>
      </c>
      <c r="J1016">
        <v>1</v>
      </c>
      <c r="K1016">
        <v>9</v>
      </c>
      <c r="L1016">
        <v>2</v>
      </c>
      <c r="M1016">
        <v>9</v>
      </c>
      <c r="N1016">
        <v>5</v>
      </c>
    </row>
    <row r="1017" spans="1:14" hidden="1" x14ac:dyDescent="0.3">
      <c r="A1017">
        <v>2010</v>
      </c>
      <c r="B1017">
        <v>54</v>
      </c>
      <c r="C1017">
        <v>1986</v>
      </c>
      <c r="D1017">
        <v>197</v>
      </c>
      <c r="E1017">
        <v>397</v>
      </c>
      <c r="F1017">
        <v>296</v>
      </c>
      <c r="G1017">
        <v>27</v>
      </c>
      <c r="H1017">
        <v>81</v>
      </c>
      <c r="I1017">
        <v>2821</v>
      </c>
      <c r="J1017">
        <v>5</v>
      </c>
      <c r="K1017">
        <v>10</v>
      </c>
      <c r="L1017">
        <v>7</v>
      </c>
      <c r="M1017">
        <v>10</v>
      </c>
      <c r="N1017">
        <v>6</v>
      </c>
    </row>
    <row r="1018" spans="1:14" hidden="1" x14ac:dyDescent="0.3">
      <c r="A1018">
        <v>2658</v>
      </c>
      <c r="B1018">
        <v>53</v>
      </c>
      <c r="C1018">
        <v>31</v>
      </c>
      <c r="D1018">
        <v>0</v>
      </c>
      <c r="E1018">
        <v>16</v>
      </c>
      <c r="F1018">
        <v>0</v>
      </c>
      <c r="G1018">
        <v>0</v>
      </c>
      <c r="H1018">
        <v>5</v>
      </c>
      <c r="I1018">
        <v>42</v>
      </c>
      <c r="J1018">
        <v>1</v>
      </c>
      <c r="K1018">
        <v>0</v>
      </c>
      <c r="L1018">
        <v>0</v>
      </c>
      <c r="M1018">
        <v>3</v>
      </c>
      <c r="N1018">
        <v>3</v>
      </c>
    </row>
    <row r="1019" spans="1:14" hidden="1" x14ac:dyDescent="0.3">
      <c r="A1019">
        <v>2605</v>
      </c>
      <c r="B1019">
        <v>53</v>
      </c>
      <c r="C1019">
        <v>41</v>
      </c>
      <c r="D1019">
        <v>45</v>
      </c>
      <c r="E1019">
        <v>131</v>
      </c>
      <c r="F1019">
        <v>11</v>
      </c>
      <c r="G1019">
        <v>19</v>
      </c>
      <c r="H1019">
        <v>45</v>
      </c>
      <c r="I1019">
        <v>203</v>
      </c>
      <c r="J1019">
        <v>1</v>
      </c>
      <c r="K1019">
        <v>3</v>
      </c>
      <c r="L1019">
        <v>0</v>
      </c>
      <c r="M1019">
        <v>3</v>
      </c>
      <c r="N1019">
        <v>7</v>
      </c>
    </row>
    <row r="1020" spans="1:14" hidden="1" x14ac:dyDescent="0.3">
      <c r="A1020">
        <v>2996</v>
      </c>
      <c r="B1020">
        <v>53</v>
      </c>
      <c r="C1020">
        <v>46</v>
      </c>
      <c r="D1020">
        <v>33</v>
      </c>
      <c r="E1020">
        <v>95</v>
      </c>
      <c r="F1020">
        <v>13</v>
      </c>
      <c r="G1020">
        <v>23</v>
      </c>
      <c r="H1020">
        <v>49</v>
      </c>
      <c r="I1020">
        <v>161</v>
      </c>
      <c r="J1020">
        <v>1</v>
      </c>
      <c r="K1020">
        <v>2</v>
      </c>
      <c r="L1020">
        <v>0</v>
      </c>
      <c r="M1020">
        <v>3</v>
      </c>
      <c r="N1020">
        <v>6</v>
      </c>
    </row>
    <row r="1021" spans="1:14" hidden="1" x14ac:dyDescent="0.3">
      <c r="A1021">
        <v>1934</v>
      </c>
      <c r="B1021">
        <v>53</v>
      </c>
      <c r="C1021">
        <v>67</v>
      </c>
      <c r="D1021">
        <v>20</v>
      </c>
      <c r="E1021">
        <v>144</v>
      </c>
      <c r="F1021">
        <v>63</v>
      </c>
      <c r="G1021">
        <v>17</v>
      </c>
      <c r="H1021">
        <v>127</v>
      </c>
      <c r="I1021">
        <v>184</v>
      </c>
      <c r="J1021">
        <v>1</v>
      </c>
      <c r="K1021">
        <v>3</v>
      </c>
      <c r="L1021">
        <v>1</v>
      </c>
      <c r="M1021">
        <v>2</v>
      </c>
      <c r="N1021">
        <v>8</v>
      </c>
    </row>
    <row r="1022" spans="1:14" hidden="1" x14ac:dyDescent="0.3">
      <c r="A1022">
        <v>1346</v>
      </c>
      <c r="B1022">
        <v>53</v>
      </c>
      <c r="C1022">
        <v>86</v>
      </c>
      <c r="D1022">
        <v>14</v>
      </c>
      <c r="E1022">
        <v>45</v>
      </c>
      <c r="F1022">
        <v>50</v>
      </c>
      <c r="G1022">
        <v>36</v>
      </c>
      <c r="H1022">
        <v>27</v>
      </c>
      <c r="I1022">
        <v>203</v>
      </c>
      <c r="J1022">
        <v>3</v>
      </c>
      <c r="K1022">
        <v>2</v>
      </c>
      <c r="L1022">
        <v>1</v>
      </c>
      <c r="M1022">
        <v>4</v>
      </c>
      <c r="N1022">
        <v>4</v>
      </c>
    </row>
    <row r="1023" spans="1:14" hidden="1" x14ac:dyDescent="0.3">
      <c r="A1023">
        <v>1287</v>
      </c>
      <c r="B1023">
        <v>53</v>
      </c>
      <c r="C1023">
        <v>138</v>
      </c>
      <c r="D1023">
        <v>0</v>
      </c>
      <c r="E1023">
        <v>46</v>
      </c>
      <c r="F1023">
        <v>8</v>
      </c>
      <c r="G1023">
        <v>8</v>
      </c>
      <c r="H1023">
        <v>38</v>
      </c>
      <c r="I1023">
        <v>161</v>
      </c>
      <c r="J1023">
        <v>4</v>
      </c>
      <c r="K1023">
        <v>3</v>
      </c>
      <c r="L1023">
        <v>1</v>
      </c>
      <c r="M1023">
        <v>3</v>
      </c>
      <c r="N1023">
        <v>5</v>
      </c>
    </row>
    <row r="1024" spans="1:14" hidden="1" x14ac:dyDescent="0.3">
      <c r="A1024">
        <v>2997</v>
      </c>
      <c r="B1024">
        <v>53</v>
      </c>
      <c r="C1024">
        <v>326</v>
      </c>
      <c r="D1024">
        <v>83</v>
      </c>
      <c r="E1024">
        <v>209</v>
      </c>
      <c r="F1024">
        <v>160</v>
      </c>
      <c r="G1024">
        <v>22</v>
      </c>
      <c r="H1024">
        <v>15</v>
      </c>
      <c r="I1024">
        <v>784</v>
      </c>
      <c r="J1024">
        <v>6</v>
      </c>
      <c r="K1024">
        <v>4</v>
      </c>
      <c r="L1024">
        <v>2</v>
      </c>
      <c r="M1024">
        <v>5</v>
      </c>
      <c r="N1024">
        <v>6</v>
      </c>
    </row>
    <row r="1025" spans="1:14" hidden="1" x14ac:dyDescent="0.3">
      <c r="A1025">
        <v>2190</v>
      </c>
      <c r="B1025">
        <v>53</v>
      </c>
      <c r="C1025">
        <v>327</v>
      </c>
      <c r="D1025">
        <v>11</v>
      </c>
      <c r="E1025">
        <v>94</v>
      </c>
      <c r="F1025">
        <v>11</v>
      </c>
      <c r="G1025">
        <v>8</v>
      </c>
      <c r="H1025">
        <v>49</v>
      </c>
      <c r="I1025">
        <v>402</v>
      </c>
      <c r="J1025">
        <v>2</v>
      </c>
      <c r="K1025">
        <v>3</v>
      </c>
      <c r="L1025">
        <v>0</v>
      </c>
      <c r="M1025">
        <v>4</v>
      </c>
      <c r="N1025">
        <v>7</v>
      </c>
    </row>
    <row r="1026" spans="1:14" hidden="1" x14ac:dyDescent="0.3">
      <c r="A1026">
        <v>2211</v>
      </c>
      <c r="B1026">
        <v>53</v>
      </c>
      <c r="C1026">
        <v>358</v>
      </c>
      <c r="D1026">
        <v>16</v>
      </c>
      <c r="E1026">
        <v>192</v>
      </c>
      <c r="F1026">
        <v>23</v>
      </c>
      <c r="G1026">
        <v>3</v>
      </c>
      <c r="H1026">
        <v>23</v>
      </c>
      <c r="I1026">
        <v>569</v>
      </c>
      <c r="J1026">
        <v>5</v>
      </c>
      <c r="K1026">
        <v>5</v>
      </c>
      <c r="L1026">
        <v>0</v>
      </c>
      <c r="M1026">
        <v>4</v>
      </c>
      <c r="N1026">
        <v>8</v>
      </c>
    </row>
    <row r="1027" spans="1:14" hidden="1" x14ac:dyDescent="0.3">
      <c r="A1027">
        <v>1013</v>
      </c>
      <c r="B1027">
        <v>53</v>
      </c>
      <c r="C1027">
        <v>626</v>
      </c>
      <c r="D1027">
        <v>5</v>
      </c>
      <c r="E1027">
        <v>142</v>
      </c>
      <c r="F1027">
        <v>8</v>
      </c>
      <c r="G1027">
        <v>13</v>
      </c>
      <c r="H1027">
        <v>38</v>
      </c>
      <c r="I1027">
        <v>757</v>
      </c>
      <c r="J1027">
        <v>3</v>
      </c>
      <c r="K1027">
        <v>6</v>
      </c>
      <c r="L1027">
        <v>1</v>
      </c>
      <c r="M1027">
        <v>5</v>
      </c>
      <c r="N1027">
        <v>6</v>
      </c>
    </row>
    <row r="1028" spans="1:14" hidden="1" x14ac:dyDescent="0.3">
      <c r="A1028">
        <v>2379</v>
      </c>
      <c r="B1028">
        <v>53</v>
      </c>
      <c r="C1028">
        <v>757</v>
      </c>
      <c r="D1028">
        <v>19</v>
      </c>
      <c r="E1028">
        <v>145</v>
      </c>
      <c r="F1028">
        <v>63</v>
      </c>
      <c r="G1028">
        <v>0</v>
      </c>
      <c r="H1028">
        <v>330</v>
      </c>
      <c r="I1028">
        <v>653</v>
      </c>
      <c r="J1028">
        <v>3</v>
      </c>
      <c r="K1028">
        <v>5</v>
      </c>
      <c r="L1028">
        <v>2</v>
      </c>
      <c r="M1028">
        <v>4</v>
      </c>
      <c r="N1028">
        <v>8</v>
      </c>
    </row>
    <row r="1029" spans="1:14" hidden="1" x14ac:dyDescent="0.3">
      <c r="A1029">
        <v>2557</v>
      </c>
      <c r="B1029">
        <v>53</v>
      </c>
      <c r="C1029">
        <v>839</v>
      </c>
      <c r="D1029">
        <v>73</v>
      </c>
      <c r="E1029">
        <v>1457</v>
      </c>
      <c r="F1029">
        <v>30</v>
      </c>
      <c r="G1029">
        <v>98</v>
      </c>
      <c r="H1029">
        <v>23</v>
      </c>
      <c r="I1029">
        <v>2474</v>
      </c>
      <c r="J1029">
        <v>1</v>
      </c>
      <c r="K1029">
        <v>4</v>
      </c>
      <c r="L1029">
        <v>7</v>
      </c>
      <c r="M1029">
        <v>5</v>
      </c>
      <c r="N1029">
        <v>1</v>
      </c>
    </row>
    <row r="1030" spans="1:14" hidden="1" x14ac:dyDescent="0.3">
      <c r="A1030">
        <v>2146</v>
      </c>
      <c r="B1030">
        <v>53</v>
      </c>
      <c r="C1030">
        <v>1144</v>
      </c>
      <c r="D1030">
        <v>91</v>
      </c>
      <c r="E1030">
        <v>215</v>
      </c>
      <c r="F1030">
        <v>18</v>
      </c>
      <c r="G1030">
        <v>75</v>
      </c>
      <c r="H1030">
        <v>29</v>
      </c>
      <c r="I1030">
        <v>1515</v>
      </c>
      <c r="J1030">
        <v>4</v>
      </c>
      <c r="K1030">
        <v>4</v>
      </c>
      <c r="L1030">
        <v>2</v>
      </c>
      <c r="M1030">
        <v>12</v>
      </c>
      <c r="N1030">
        <v>4</v>
      </c>
    </row>
    <row r="1031" spans="1:14" hidden="1" x14ac:dyDescent="0.3">
      <c r="A1031">
        <v>1038</v>
      </c>
      <c r="B1031">
        <v>53</v>
      </c>
      <c r="C1031">
        <v>1330</v>
      </c>
      <c r="D1031">
        <v>24</v>
      </c>
      <c r="E1031">
        <v>627</v>
      </c>
      <c r="F1031">
        <v>487</v>
      </c>
      <c r="G1031">
        <v>149</v>
      </c>
      <c r="H1031">
        <v>128</v>
      </c>
      <c r="I1031">
        <v>2489</v>
      </c>
      <c r="J1031">
        <v>2</v>
      </c>
      <c r="K1031">
        <v>7</v>
      </c>
      <c r="L1031">
        <v>10</v>
      </c>
      <c r="M1031">
        <v>5</v>
      </c>
      <c r="N1031">
        <v>6</v>
      </c>
    </row>
    <row r="1032" spans="1:14" hidden="1" x14ac:dyDescent="0.3">
      <c r="A1032">
        <v>1875</v>
      </c>
      <c r="B1032">
        <v>53</v>
      </c>
      <c r="C1032">
        <v>1330</v>
      </c>
      <c r="D1032">
        <v>24</v>
      </c>
      <c r="E1032">
        <v>627</v>
      </c>
      <c r="F1032">
        <v>487</v>
      </c>
      <c r="G1032">
        <v>149</v>
      </c>
      <c r="H1032">
        <v>128</v>
      </c>
      <c r="I1032">
        <v>2489</v>
      </c>
      <c r="J1032">
        <v>2</v>
      </c>
      <c r="K1032">
        <v>7</v>
      </c>
      <c r="L1032">
        <v>10</v>
      </c>
      <c r="M1032">
        <v>5</v>
      </c>
      <c r="N1032">
        <v>6</v>
      </c>
    </row>
    <row r="1033" spans="1:14" hidden="1" x14ac:dyDescent="0.3">
      <c r="A1033">
        <v>2544</v>
      </c>
      <c r="B1033">
        <v>53</v>
      </c>
      <c r="C1033">
        <v>1353</v>
      </c>
      <c r="D1033">
        <v>0</v>
      </c>
      <c r="E1033">
        <v>303</v>
      </c>
      <c r="F1033">
        <v>0</v>
      </c>
      <c r="G1033">
        <v>17</v>
      </c>
      <c r="H1033">
        <v>101</v>
      </c>
      <c r="I1033">
        <v>1572</v>
      </c>
      <c r="J1033">
        <v>5</v>
      </c>
      <c r="K1033">
        <v>11</v>
      </c>
      <c r="L1033">
        <v>1</v>
      </c>
      <c r="M1033">
        <v>6</v>
      </c>
      <c r="N1033">
        <v>9</v>
      </c>
    </row>
    <row r="1034" spans="1:14" hidden="1" x14ac:dyDescent="0.3">
      <c r="A1034">
        <v>1908</v>
      </c>
      <c r="B1034">
        <v>53</v>
      </c>
      <c r="C1034">
        <v>2046</v>
      </c>
      <c r="D1034">
        <v>261</v>
      </c>
      <c r="E1034">
        <v>1654</v>
      </c>
      <c r="F1034">
        <v>341</v>
      </c>
      <c r="G1034">
        <v>129</v>
      </c>
      <c r="H1034">
        <v>390</v>
      </c>
      <c r="I1034">
        <v>4041</v>
      </c>
      <c r="J1034">
        <v>1</v>
      </c>
      <c r="K1034">
        <v>4</v>
      </c>
      <c r="L1034">
        <v>4</v>
      </c>
      <c r="M1034">
        <v>10</v>
      </c>
      <c r="N1034">
        <v>2</v>
      </c>
    </row>
    <row r="1035" spans="1:14" hidden="1" x14ac:dyDescent="0.3">
      <c r="A1035">
        <v>1621</v>
      </c>
      <c r="B1035">
        <v>53</v>
      </c>
      <c r="C1035">
        <v>2494</v>
      </c>
      <c r="D1035">
        <v>178</v>
      </c>
      <c r="E1035">
        <v>721</v>
      </c>
      <c r="F1035">
        <v>140</v>
      </c>
      <c r="G1035">
        <v>106</v>
      </c>
      <c r="H1035">
        <v>178</v>
      </c>
      <c r="I1035">
        <v>3460</v>
      </c>
      <c r="J1035">
        <v>5</v>
      </c>
      <c r="K1035">
        <v>8</v>
      </c>
      <c r="L1035">
        <v>4</v>
      </c>
      <c r="M1035">
        <v>9</v>
      </c>
      <c r="N1035">
        <v>7</v>
      </c>
    </row>
    <row r="1036" spans="1:14" hidden="1" x14ac:dyDescent="0.3">
      <c r="A1036">
        <v>2898</v>
      </c>
      <c r="B1036">
        <v>53</v>
      </c>
      <c r="C1036">
        <v>2730</v>
      </c>
      <c r="D1036">
        <v>76</v>
      </c>
      <c r="E1036">
        <v>643</v>
      </c>
      <c r="F1036">
        <v>295</v>
      </c>
      <c r="G1036">
        <v>151</v>
      </c>
      <c r="H1036">
        <v>76</v>
      </c>
      <c r="I1036">
        <v>3820</v>
      </c>
      <c r="J1036">
        <v>1</v>
      </c>
      <c r="K1036">
        <v>7</v>
      </c>
      <c r="L1036">
        <v>5</v>
      </c>
      <c r="M1036">
        <v>13</v>
      </c>
      <c r="N1036">
        <v>3</v>
      </c>
    </row>
    <row r="1037" spans="1:14" hidden="1" x14ac:dyDescent="0.3">
      <c r="A1037">
        <v>1874</v>
      </c>
      <c r="B1037">
        <v>52</v>
      </c>
      <c r="C1037">
        <v>0</v>
      </c>
      <c r="D1037">
        <v>0</v>
      </c>
      <c r="E1037">
        <v>5</v>
      </c>
      <c r="F1037">
        <v>38</v>
      </c>
      <c r="G1037">
        <v>14</v>
      </c>
      <c r="H1037">
        <v>9</v>
      </c>
      <c r="I1037">
        <v>47</v>
      </c>
      <c r="J1037">
        <v>1</v>
      </c>
      <c r="K1037">
        <v>1</v>
      </c>
      <c r="L1037">
        <v>0</v>
      </c>
      <c r="M1037">
        <v>2</v>
      </c>
      <c r="N1037">
        <v>7</v>
      </c>
    </row>
    <row r="1038" spans="1:14" hidden="1" x14ac:dyDescent="0.3">
      <c r="A1038">
        <v>1179</v>
      </c>
      <c r="B1038">
        <v>52</v>
      </c>
      <c r="C1038">
        <v>5</v>
      </c>
      <c r="D1038">
        <v>20</v>
      </c>
      <c r="E1038">
        <v>50</v>
      </c>
      <c r="F1038">
        <v>146</v>
      </c>
      <c r="G1038">
        <v>0</v>
      </c>
      <c r="H1038">
        <v>181</v>
      </c>
      <c r="I1038">
        <v>40</v>
      </c>
      <c r="J1038">
        <v>1</v>
      </c>
      <c r="K1038">
        <v>1</v>
      </c>
      <c r="L1038">
        <v>1</v>
      </c>
      <c r="M1038">
        <v>2</v>
      </c>
      <c r="N1038">
        <v>6</v>
      </c>
    </row>
    <row r="1039" spans="1:14" hidden="1" x14ac:dyDescent="0.3">
      <c r="A1039">
        <v>2871</v>
      </c>
      <c r="B1039">
        <v>52</v>
      </c>
      <c r="C1039">
        <v>5</v>
      </c>
      <c r="D1039">
        <v>20</v>
      </c>
      <c r="E1039">
        <v>50</v>
      </c>
      <c r="F1039">
        <v>146</v>
      </c>
      <c r="G1039">
        <v>0</v>
      </c>
      <c r="H1039">
        <v>181</v>
      </c>
      <c r="I1039">
        <v>40</v>
      </c>
      <c r="J1039">
        <v>1</v>
      </c>
      <c r="K1039">
        <v>1</v>
      </c>
      <c r="L1039">
        <v>1</v>
      </c>
      <c r="M1039">
        <v>2</v>
      </c>
      <c r="N1039">
        <v>6</v>
      </c>
    </row>
    <row r="1040" spans="1:14" hidden="1" x14ac:dyDescent="0.3">
      <c r="A1040">
        <v>1238</v>
      </c>
      <c r="B1040">
        <v>52</v>
      </c>
      <c r="C1040">
        <v>13</v>
      </c>
      <c r="D1040">
        <v>13</v>
      </c>
      <c r="E1040">
        <v>30</v>
      </c>
      <c r="F1040">
        <v>0</v>
      </c>
      <c r="G1040">
        <v>9</v>
      </c>
      <c r="H1040">
        <v>48</v>
      </c>
      <c r="I1040">
        <v>17</v>
      </c>
      <c r="J1040">
        <v>2</v>
      </c>
      <c r="K1040">
        <v>1</v>
      </c>
      <c r="L1040">
        <v>0</v>
      </c>
      <c r="M1040">
        <v>3</v>
      </c>
      <c r="N1040">
        <v>6</v>
      </c>
    </row>
    <row r="1041" spans="1:14" hidden="1" x14ac:dyDescent="0.3">
      <c r="A1041">
        <v>1412</v>
      </c>
      <c r="B1041">
        <v>52</v>
      </c>
      <c r="C1041">
        <v>21</v>
      </c>
      <c r="D1041">
        <v>21</v>
      </c>
      <c r="E1041">
        <v>117</v>
      </c>
      <c r="F1041">
        <v>106</v>
      </c>
      <c r="G1041">
        <v>64</v>
      </c>
      <c r="H1041">
        <v>127</v>
      </c>
      <c r="I1041">
        <v>202</v>
      </c>
      <c r="J1041">
        <v>2</v>
      </c>
      <c r="K1041">
        <v>1</v>
      </c>
      <c r="L1041">
        <v>0</v>
      </c>
      <c r="M1041">
        <v>4</v>
      </c>
      <c r="N1041">
        <v>5</v>
      </c>
    </row>
    <row r="1042" spans="1:14" hidden="1" x14ac:dyDescent="0.3">
      <c r="A1042">
        <v>3176</v>
      </c>
      <c r="B1042">
        <v>52</v>
      </c>
      <c r="C1042">
        <v>23</v>
      </c>
      <c r="D1042">
        <v>23</v>
      </c>
      <c r="E1042">
        <v>23</v>
      </c>
      <c r="F1042">
        <v>116</v>
      </c>
      <c r="G1042">
        <v>31</v>
      </c>
      <c r="H1042">
        <v>116</v>
      </c>
      <c r="I1042">
        <v>100</v>
      </c>
      <c r="J1042">
        <v>1</v>
      </c>
      <c r="K1042">
        <v>1</v>
      </c>
      <c r="L1042">
        <v>0</v>
      </c>
      <c r="M1042">
        <v>3</v>
      </c>
      <c r="N1042">
        <v>6</v>
      </c>
    </row>
    <row r="1043" spans="1:14" hidden="1" x14ac:dyDescent="0.3">
      <c r="A1043">
        <v>1356</v>
      </c>
      <c r="B1043">
        <v>52</v>
      </c>
      <c r="C1043">
        <v>31</v>
      </c>
      <c r="D1043">
        <v>4</v>
      </c>
      <c r="E1043">
        <v>26</v>
      </c>
      <c r="F1043">
        <v>13</v>
      </c>
      <c r="G1043">
        <v>4</v>
      </c>
      <c r="H1043">
        <v>48</v>
      </c>
      <c r="I1043">
        <v>31</v>
      </c>
      <c r="J1043">
        <v>1</v>
      </c>
      <c r="K1043">
        <v>1</v>
      </c>
      <c r="L1043">
        <v>1</v>
      </c>
      <c r="M1043">
        <v>2</v>
      </c>
      <c r="N1043">
        <v>4</v>
      </c>
    </row>
    <row r="1044" spans="1:14" hidden="1" x14ac:dyDescent="0.3">
      <c r="A1044">
        <v>1990</v>
      </c>
      <c r="B1044">
        <v>52</v>
      </c>
      <c r="C1044">
        <v>37</v>
      </c>
      <c r="D1044">
        <v>0</v>
      </c>
      <c r="E1044">
        <v>11</v>
      </c>
      <c r="F1044">
        <v>0</v>
      </c>
      <c r="G1044">
        <v>0</v>
      </c>
      <c r="H1044">
        <v>15</v>
      </c>
      <c r="I1044">
        <v>33</v>
      </c>
      <c r="J1044">
        <v>1</v>
      </c>
      <c r="K1044">
        <v>1</v>
      </c>
      <c r="L1044">
        <v>0</v>
      </c>
      <c r="M1044">
        <v>2</v>
      </c>
      <c r="N1044">
        <v>6</v>
      </c>
    </row>
    <row r="1045" spans="1:14" hidden="1" x14ac:dyDescent="0.3">
      <c r="A1045">
        <v>2733</v>
      </c>
      <c r="B1045">
        <v>52</v>
      </c>
      <c r="C1045">
        <v>111</v>
      </c>
      <c r="D1045">
        <v>0</v>
      </c>
      <c r="E1045">
        <v>21</v>
      </c>
      <c r="F1045">
        <v>7</v>
      </c>
      <c r="G1045">
        <v>4</v>
      </c>
      <c r="H1045">
        <v>18</v>
      </c>
      <c r="I1045">
        <v>125</v>
      </c>
      <c r="J1045">
        <v>2</v>
      </c>
      <c r="K1045">
        <v>1</v>
      </c>
      <c r="L1045">
        <v>0</v>
      </c>
      <c r="M1045">
        <v>4</v>
      </c>
      <c r="N1045">
        <v>4</v>
      </c>
    </row>
    <row r="1046" spans="1:14" hidden="1" x14ac:dyDescent="0.3">
      <c r="A1046">
        <v>3163</v>
      </c>
      <c r="B1046">
        <v>52</v>
      </c>
      <c r="C1046">
        <v>148</v>
      </c>
      <c r="D1046">
        <v>0</v>
      </c>
      <c r="E1046">
        <v>160</v>
      </c>
      <c r="F1046">
        <v>49</v>
      </c>
      <c r="G1046">
        <v>25</v>
      </c>
      <c r="H1046">
        <v>49</v>
      </c>
      <c r="I1046">
        <v>333</v>
      </c>
      <c r="J1046">
        <v>4</v>
      </c>
      <c r="K1046">
        <v>3</v>
      </c>
      <c r="L1046">
        <v>0</v>
      </c>
      <c r="M1046">
        <v>3</v>
      </c>
      <c r="N1046">
        <v>8</v>
      </c>
    </row>
    <row r="1047" spans="1:14" hidden="1" x14ac:dyDescent="0.3">
      <c r="A1047">
        <v>2562</v>
      </c>
      <c r="B1047">
        <v>52</v>
      </c>
      <c r="C1047">
        <v>156</v>
      </c>
      <c r="D1047">
        <v>42</v>
      </c>
      <c r="E1047">
        <v>181</v>
      </c>
      <c r="F1047">
        <v>87</v>
      </c>
      <c r="G1047">
        <v>76</v>
      </c>
      <c r="H1047">
        <v>45</v>
      </c>
      <c r="I1047">
        <v>497</v>
      </c>
      <c r="J1047">
        <v>4</v>
      </c>
      <c r="K1047">
        <v>3</v>
      </c>
      <c r="L1047">
        <v>1</v>
      </c>
      <c r="M1047">
        <v>4</v>
      </c>
      <c r="N1047">
        <v>7</v>
      </c>
    </row>
    <row r="1048" spans="1:14" hidden="1" x14ac:dyDescent="0.3">
      <c r="A1048">
        <v>1442</v>
      </c>
      <c r="B1048">
        <v>52</v>
      </c>
      <c r="C1048">
        <v>427</v>
      </c>
      <c r="D1048">
        <v>45</v>
      </c>
      <c r="E1048">
        <v>179</v>
      </c>
      <c r="F1048">
        <v>72</v>
      </c>
      <c r="G1048">
        <v>69</v>
      </c>
      <c r="H1048">
        <v>15</v>
      </c>
      <c r="I1048">
        <v>777</v>
      </c>
      <c r="J1048">
        <v>2</v>
      </c>
      <c r="K1048">
        <v>2</v>
      </c>
      <c r="L1048">
        <v>1</v>
      </c>
      <c r="M1048">
        <v>8</v>
      </c>
      <c r="N1048">
        <v>2</v>
      </c>
    </row>
    <row r="1049" spans="1:14" hidden="1" x14ac:dyDescent="0.3">
      <c r="A1049">
        <v>2138</v>
      </c>
      <c r="B1049">
        <v>52</v>
      </c>
      <c r="C1049">
        <v>713</v>
      </c>
      <c r="D1049">
        <v>290</v>
      </c>
      <c r="E1049">
        <v>660</v>
      </c>
      <c r="F1049">
        <v>655</v>
      </c>
      <c r="G1049">
        <v>475</v>
      </c>
      <c r="H1049">
        <v>25</v>
      </c>
      <c r="I1049">
        <v>2769</v>
      </c>
      <c r="J1049">
        <v>1</v>
      </c>
      <c r="K1049">
        <v>7</v>
      </c>
      <c r="L1049">
        <v>3</v>
      </c>
      <c r="M1049">
        <v>4</v>
      </c>
      <c r="N1049">
        <v>4</v>
      </c>
    </row>
    <row r="1050" spans="1:14" hidden="1" x14ac:dyDescent="0.3">
      <c r="A1050">
        <v>1750</v>
      </c>
      <c r="B1050">
        <v>52</v>
      </c>
      <c r="C1050">
        <v>786</v>
      </c>
      <c r="D1050">
        <v>18</v>
      </c>
      <c r="E1050">
        <v>193</v>
      </c>
      <c r="F1050">
        <v>26</v>
      </c>
      <c r="G1050">
        <v>0</v>
      </c>
      <c r="H1050">
        <v>151</v>
      </c>
      <c r="I1050">
        <v>872</v>
      </c>
      <c r="J1050">
        <v>4</v>
      </c>
      <c r="K1050">
        <v>6</v>
      </c>
      <c r="L1050">
        <v>1</v>
      </c>
      <c r="M1050">
        <v>7</v>
      </c>
      <c r="N1050">
        <v>6</v>
      </c>
    </row>
    <row r="1051" spans="1:14" hidden="1" x14ac:dyDescent="0.3">
      <c r="A1051">
        <v>2346</v>
      </c>
      <c r="B1051">
        <v>52</v>
      </c>
      <c r="C1051">
        <v>794</v>
      </c>
      <c r="D1051">
        <v>22</v>
      </c>
      <c r="E1051">
        <v>338</v>
      </c>
      <c r="F1051">
        <v>63</v>
      </c>
      <c r="G1051">
        <v>0</v>
      </c>
      <c r="H1051">
        <v>81</v>
      </c>
      <c r="I1051">
        <v>1135</v>
      </c>
      <c r="J1051">
        <v>3</v>
      </c>
      <c r="K1051">
        <v>6</v>
      </c>
      <c r="L1051">
        <v>3</v>
      </c>
      <c r="M1051">
        <v>5</v>
      </c>
      <c r="N1051">
        <v>6</v>
      </c>
    </row>
    <row r="1052" spans="1:14" hidden="1" x14ac:dyDescent="0.3">
      <c r="A1052">
        <v>1343</v>
      </c>
      <c r="B1052">
        <v>52</v>
      </c>
      <c r="C1052">
        <v>845</v>
      </c>
      <c r="D1052">
        <v>47</v>
      </c>
      <c r="E1052">
        <v>217</v>
      </c>
      <c r="F1052">
        <v>47</v>
      </c>
      <c r="G1052">
        <v>60</v>
      </c>
      <c r="H1052">
        <v>119</v>
      </c>
      <c r="I1052">
        <v>1097</v>
      </c>
      <c r="J1052">
        <v>2</v>
      </c>
      <c r="K1052">
        <v>4</v>
      </c>
      <c r="L1052">
        <v>6</v>
      </c>
      <c r="M1052">
        <v>4</v>
      </c>
      <c r="N1052">
        <v>5</v>
      </c>
    </row>
    <row r="1053" spans="1:14" hidden="1" x14ac:dyDescent="0.3">
      <c r="A1053">
        <v>2610</v>
      </c>
      <c r="B1053">
        <v>52</v>
      </c>
      <c r="C1053">
        <v>845</v>
      </c>
      <c r="D1053">
        <v>47</v>
      </c>
      <c r="E1053">
        <v>217</v>
      </c>
      <c r="F1053">
        <v>47</v>
      </c>
      <c r="G1053">
        <v>60</v>
      </c>
      <c r="H1053">
        <v>119</v>
      </c>
      <c r="I1053">
        <v>1097</v>
      </c>
      <c r="J1053">
        <v>2</v>
      </c>
      <c r="K1053">
        <v>4</v>
      </c>
      <c r="L1053">
        <v>6</v>
      </c>
      <c r="M1053">
        <v>4</v>
      </c>
      <c r="N1053">
        <v>5</v>
      </c>
    </row>
    <row r="1054" spans="1:14" hidden="1" x14ac:dyDescent="0.3">
      <c r="A1054">
        <v>2852</v>
      </c>
      <c r="B1054">
        <v>52</v>
      </c>
      <c r="C1054">
        <v>965</v>
      </c>
      <c r="D1054">
        <v>270</v>
      </c>
      <c r="E1054">
        <v>1055</v>
      </c>
      <c r="F1054">
        <v>429</v>
      </c>
      <c r="G1054">
        <v>391</v>
      </c>
      <c r="H1054">
        <v>481</v>
      </c>
      <c r="I1054">
        <v>2630</v>
      </c>
      <c r="J1054">
        <v>1</v>
      </c>
      <c r="K1054">
        <v>3</v>
      </c>
      <c r="L1054">
        <v>7</v>
      </c>
      <c r="M1054">
        <v>9</v>
      </c>
      <c r="N1054">
        <v>1</v>
      </c>
    </row>
    <row r="1055" spans="1:14" hidden="1" x14ac:dyDescent="0.3">
      <c r="A1055">
        <v>1516</v>
      </c>
      <c r="B1055">
        <v>52</v>
      </c>
      <c r="C1055">
        <v>1243</v>
      </c>
      <c r="D1055">
        <v>11</v>
      </c>
      <c r="E1055">
        <v>65</v>
      </c>
      <c r="F1055">
        <v>0</v>
      </c>
      <c r="G1055">
        <v>0</v>
      </c>
      <c r="H1055">
        <v>25</v>
      </c>
      <c r="I1055">
        <v>1295</v>
      </c>
      <c r="J1055">
        <v>7</v>
      </c>
      <c r="K1055">
        <v>8</v>
      </c>
      <c r="L1055">
        <v>2</v>
      </c>
      <c r="M1055">
        <v>6</v>
      </c>
      <c r="N1055">
        <v>7</v>
      </c>
    </row>
    <row r="1056" spans="1:14" hidden="1" x14ac:dyDescent="0.3">
      <c r="A1056">
        <v>1605</v>
      </c>
      <c r="B1056">
        <v>52</v>
      </c>
      <c r="C1056">
        <v>1489</v>
      </c>
      <c r="D1056">
        <v>83</v>
      </c>
      <c r="E1056">
        <v>403</v>
      </c>
      <c r="F1056">
        <v>138</v>
      </c>
      <c r="G1056">
        <v>41</v>
      </c>
      <c r="H1056">
        <v>83</v>
      </c>
      <c r="I1056">
        <v>2071</v>
      </c>
      <c r="J1056">
        <v>1</v>
      </c>
      <c r="K1056">
        <v>4</v>
      </c>
      <c r="L1056">
        <v>3</v>
      </c>
      <c r="M1056">
        <v>6</v>
      </c>
      <c r="N1056">
        <v>1</v>
      </c>
    </row>
    <row r="1057" spans="1:14" hidden="1" x14ac:dyDescent="0.3">
      <c r="A1057">
        <v>2048</v>
      </c>
      <c r="B1057">
        <v>52</v>
      </c>
      <c r="C1057">
        <v>3108</v>
      </c>
      <c r="D1057">
        <v>84</v>
      </c>
      <c r="E1057">
        <v>637</v>
      </c>
      <c r="F1057">
        <v>164</v>
      </c>
      <c r="G1057">
        <v>297</v>
      </c>
      <c r="H1057">
        <v>381</v>
      </c>
      <c r="I1057">
        <v>3909</v>
      </c>
      <c r="J1057">
        <v>8</v>
      </c>
      <c r="K1057">
        <v>8</v>
      </c>
      <c r="L1057">
        <v>9</v>
      </c>
      <c r="M1057">
        <v>8</v>
      </c>
      <c r="N1057">
        <v>6</v>
      </c>
    </row>
    <row r="1058" spans="1:14" hidden="1" x14ac:dyDescent="0.3">
      <c r="A1058">
        <v>2109</v>
      </c>
      <c r="B1058">
        <v>51</v>
      </c>
      <c r="C1058">
        <v>7</v>
      </c>
      <c r="D1058">
        <v>21</v>
      </c>
      <c r="E1058">
        <v>28</v>
      </c>
      <c r="F1058">
        <v>14</v>
      </c>
      <c r="G1058">
        <v>21</v>
      </c>
      <c r="H1058">
        <v>77</v>
      </c>
      <c r="I1058">
        <v>14</v>
      </c>
      <c r="J1058">
        <v>1</v>
      </c>
      <c r="K1058">
        <v>0</v>
      </c>
      <c r="L1058">
        <v>0</v>
      </c>
      <c r="M1058">
        <v>3</v>
      </c>
      <c r="N1058">
        <v>4</v>
      </c>
    </row>
    <row r="1059" spans="1:14" hidden="1" x14ac:dyDescent="0.3">
      <c r="A1059">
        <v>2842</v>
      </c>
      <c r="B1059">
        <v>51</v>
      </c>
      <c r="C1059">
        <v>12</v>
      </c>
      <c r="D1059">
        <v>8</v>
      </c>
      <c r="E1059">
        <v>39</v>
      </c>
      <c r="F1059">
        <v>12</v>
      </c>
      <c r="G1059">
        <v>0</v>
      </c>
      <c r="H1059">
        <v>8</v>
      </c>
      <c r="I1059">
        <v>62</v>
      </c>
      <c r="J1059">
        <v>1</v>
      </c>
      <c r="K1059">
        <v>1</v>
      </c>
      <c r="L1059">
        <v>0</v>
      </c>
      <c r="M1059">
        <v>3</v>
      </c>
      <c r="N1059">
        <v>6</v>
      </c>
    </row>
    <row r="1060" spans="1:14" hidden="1" x14ac:dyDescent="0.3">
      <c r="A1060">
        <v>3088</v>
      </c>
      <c r="B1060">
        <v>51</v>
      </c>
      <c r="C1060">
        <v>24</v>
      </c>
      <c r="D1060">
        <v>10</v>
      </c>
      <c r="E1060">
        <v>39</v>
      </c>
      <c r="F1060">
        <v>10</v>
      </c>
      <c r="G1060">
        <v>10</v>
      </c>
      <c r="H1060">
        <v>44</v>
      </c>
      <c r="I1060">
        <v>49</v>
      </c>
      <c r="J1060">
        <v>1</v>
      </c>
      <c r="K1060">
        <v>0</v>
      </c>
      <c r="L1060">
        <v>1</v>
      </c>
      <c r="M1060">
        <v>2</v>
      </c>
      <c r="N1060">
        <v>7</v>
      </c>
    </row>
    <row r="1061" spans="1:14" hidden="1" x14ac:dyDescent="0.3">
      <c r="A1061">
        <v>1381</v>
      </c>
      <c r="B1061">
        <v>51</v>
      </c>
      <c r="C1061">
        <v>38</v>
      </c>
      <c r="D1061">
        <v>15</v>
      </c>
      <c r="E1061">
        <v>120</v>
      </c>
      <c r="F1061">
        <v>23</v>
      </c>
      <c r="G1061">
        <v>15</v>
      </c>
      <c r="H1061">
        <v>143</v>
      </c>
      <c r="I1061">
        <v>68</v>
      </c>
      <c r="J1061">
        <v>2</v>
      </c>
      <c r="K1061">
        <v>1</v>
      </c>
      <c r="L1061">
        <v>1</v>
      </c>
      <c r="M1061">
        <v>2</v>
      </c>
      <c r="N1061">
        <v>8</v>
      </c>
    </row>
    <row r="1062" spans="1:14" hidden="1" x14ac:dyDescent="0.3">
      <c r="A1062">
        <v>2367</v>
      </c>
      <c r="B1062">
        <v>51</v>
      </c>
      <c r="C1062">
        <v>54</v>
      </c>
      <c r="D1062">
        <v>76</v>
      </c>
      <c r="E1062">
        <v>157</v>
      </c>
      <c r="F1062">
        <v>22</v>
      </c>
      <c r="G1062">
        <v>11</v>
      </c>
      <c r="H1062">
        <v>195</v>
      </c>
      <c r="I1062">
        <v>124</v>
      </c>
      <c r="J1062">
        <v>3</v>
      </c>
      <c r="K1062">
        <v>2</v>
      </c>
      <c r="L1062">
        <v>1</v>
      </c>
      <c r="M1062">
        <v>4</v>
      </c>
      <c r="N1062">
        <v>4</v>
      </c>
    </row>
    <row r="1063" spans="1:14" hidden="1" x14ac:dyDescent="0.3">
      <c r="A1063">
        <v>1319</v>
      </c>
      <c r="B1063">
        <v>51</v>
      </c>
      <c r="C1063">
        <v>61</v>
      </c>
      <c r="D1063">
        <v>11</v>
      </c>
      <c r="E1063">
        <v>50</v>
      </c>
      <c r="F1063">
        <v>17</v>
      </c>
      <c r="G1063">
        <v>0</v>
      </c>
      <c r="H1063">
        <v>44</v>
      </c>
      <c r="I1063">
        <v>94</v>
      </c>
      <c r="J1063">
        <v>2</v>
      </c>
      <c r="K1063">
        <v>2</v>
      </c>
      <c r="L1063">
        <v>0</v>
      </c>
      <c r="M1063">
        <v>3</v>
      </c>
      <c r="N1063">
        <v>8</v>
      </c>
    </row>
    <row r="1064" spans="1:14" hidden="1" x14ac:dyDescent="0.3">
      <c r="A1064">
        <v>2800</v>
      </c>
      <c r="B1064">
        <v>51</v>
      </c>
      <c r="C1064">
        <v>74</v>
      </c>
      <c r="D1064">
        <v>0</v>
      </c>
      <c r="E1064">
        <v>54</v>
      </c>
      <c r="F1064">
        <v>0</v>
      </c>
      <c r="G1064">
        <v>10</v>
      </c>
      <c r="H1064">
        <v>45</v>
      </c>
      <c r="I1064">
        <v>94</v>
      </c>
      <c r="J1064">
        <v>1</v>
      </c>
      <c r="K1064">
        <v>1</v>
      </c>
      <c r="L1064">
        <v>1</v>
      </c>
      <c r="M1064">
        <v>2</v>
      </c>
      <c r="N1064">
        <v>8</v>
      </c>
    </row>
    <row r="1065" spans="1:14" hidden="1" x14ac:dyDescent="0.3">
      <c r="A1065">
        <v>3045</v>
      </c>
      <c r="B1065">
        <v>51</v>
      </c>
      <c r="C1065">
        <v>74</v>
      </c>
      <c r="D1065">
        <v>0</v>
      </c>
      <c r="E1065">
        <v>54</v>
      </c>
      <c r="F1065">
        <v>0</v>
      </c>
      <c r="G1065">
        <v>10</v>
      </c>
      <c r="H1065">
        <v>45</v>
      </c>
      <c r="I1065">
        <v>94</v>
      </c>
      <c r="J1065">
        <v>1</v>
      </c>
      <c r="K1065">
        <v>1</v>
      </c>
      <c r="L1065">
        <v>1</v>
      </c>
      <c r="M1065">
        <v>2</v>
      </c>
      <c r="N1065">
        <v>8</v>
      </c>
    </row>
    <row r="1066" spans="1:14" hidden="1" x14ac:dyDescent="0.3">
      <c r="A1066">
        <v>2122</v>
      </c>
      <c r="B1066">
        <v>51</v>
      </c>
      <c r="C1066">
        <v>85</v>
      </c>
      <c r="D1066">
        <v>0</v>
      </c>
      <c r="E1066">
        <v>96</v>
      </c>
      <c r="F1066">
        <v>26</v>
      </c>
      <c r="G1066">
        <v>55</v>
      </c>
      <c r="H1066">
        <v>11</v>
      </c>
      <c r="I1066">
        <v>251</v>
      </c>
      <c r="J1066">
        <v>1</v>
      </c>
      <c r="K1066">
        <v>2</v>
      </c>
      <c r="L1066">
        <v>0</v>
      </c>
      <c r="M1066">
        <v>4</v>
      </c>
      <c r="N1066">
        <v>5</v>
      </c>
    </row>
    <row r="1067" spans="1:14" hidden="1" x14ac:dyDescent="0.3">
      <c r="A1067">
        <v>3030</v>
      </c>
      <c r="B1067">
        <v>51</v>
      </c>
      <c r="C1067">
        <v>147</v>
      </c>
      <c r="D1067">
        <v>32</v>
      </c>
      <c r="E1067">
        <v>142</v>
      </c>
      <c r="F1067">
        <v>63</v>
      </c>
      <c r="G1067">
        <v>89</v>
      </c>
      <c r="H1067">
        <v>205</v>
      </c>
      <c r="I1067">
        <v>268</v>
      </c>
      <c r="J1067">
        <v>1</v>
      </c>
      <c r="K1067">
        <v>3</v>
      </c>
      <c r="L1067">
        <v>0</v>
      </c>
      <c r="M1067">
        <v>3</v>
      </c>
      <c r="N1067">
        <v>8</v>
      </c>
    </row>
    <row r="1068" spans="1:14" hidden="1" x14ac:dyDescent="0.3">
      <c r="A1068">
        <v>1016</v>
      </c>
      <c r="B1068">
        <v>51</v>
      </c>
      <c r="C1068">
        <v>180</v>
      </c>
      <c r="D1068">
        <v>17</v>
      </c>
      <c r="E1068">
        <v>64</v>
      </c>
      <c r="F1068">
        <v>7</v>
      </c>
      <c r="G1068">
        <v>44</v>
      </c>
      <c r="H1068">
        <v>14</v>
      </c>
      <c r="I1068">
        <v>298</v>
      </c>
      <c r="J1068">
        <v>3</v>
      </c>
      <c r="K1068">
        <v>3</v>
      </c>
      <c r="L1068">
        <v>0</v>
      </c>
      <c r="M1068">
        <v>3</v>
      </c>
      <c r="N1068">
        <v>8</v>
      </c>
    </row>
    <row r="1069" spans="1:14" hidden="1" x14ac:dyDescent="0.3">
      <c r="A1069">
        <v>1119</v>
      </c>
      <c r="B1069">
        <v>51</v>
      </c>
      <c r="C1069">
        <v>199</v>
      </c>
      <c r="D1069">
        <v>0</v>
      </c>
      <c r="E1069">
        <v>45</v>
      </c>
      <c r="F1069">
        <v>0</v>
      </c>
      <c r="G1069">
        <v>0</v>
      </c>
      <c r="H1069">
        <v>11</v>
      </c>
      <c r="I1069">
        <v>233</v>
      </c>
      <c r="J1069">
        <v>2</v>
      </c>
      <c r="K1069">
        <v>2</v>
      </c>
      <c r="L1069">
        <v>0</v>
      </c>
      <c r="M1069">
        <v>4</v>
      </c>
      <c r="N1069">
        <v>6</v>
      </c>
    </row>
    <row r="1070" spans="1:14" hidden="1" x14ac:dyDescent="0.3">
      <c r="A1070">
        <v>2315</v>
      </c>
      <c r="B1070">
        <v>51</v>
      </c>
      <c r="C1070">
        <v>240</v>
      </c>
      <c r="D1070">
        <v>97</v>
      </c>
      <c r="E1070">
        <v>158</v>
      </c>
      <c r="F1070">
        <v>208</v>
      </c>
      <c r="G1070">
        <v>88</v>
      </c>
      <c r="H1070">
        <v>120</v>
      </c>
      <c r="I1070">
        <v>670</v>
      </c>
      <c r="J1070">
        <v>2</v>
      </c>
      <c r="K1070">
        <v>5</v>
      </c>
      <c r="L1070">
        <v>2</v>
      </c>
      <c r="M1070">
        <v>4</v>
      </c>
      <c r="N1070">
        <v>5</v>
      </c>
    </row>
    <row r="1071" spans="1:14" hidden="1" x14ac:dyDescent="0.3">
      <c r="A1071">
        <v>2004</v>
      </c>
      <c r="B1071">
        <v>51</v>
      </c>
      <c r="C1071">
        <v>243</v>
      </c>
      <c r="D1071">
        <v>0</v>
      </c>
      <c r="E1071">
        <v>12</v>
      </c>
      <c r="F1071">
        <v>0</v>
      </c>
      <c r="G1071">
        <v>0</v>
      </c>
      <c r="H1071">
        <v>28</v>
      </c>
      <c r="I1071">
        <v>227</v>
      </c>
      <c r="J1071">
        <v>1</v>
      </c>
      <c r="K1071">
        <v>1</v>
      </c>
      <c r="L1071">
        <v>1</v>
      </c>
      <c r="M1071">
        <v>3</v>
      </c>
      <c r="N1071">
        <v>5</v>
      </c>
    </row>
    <row r="1072" spans="1:14" hidden="1" x14ac:dyDescent="0.3">
      <c r="A1072">
        <v>2713</v>
      </c>
      <c r="B1072">
        <v>51</v>
      </c>
      <c r="C1072">
        <v>488</v>
      </c>
      <c r="D1072">
        <v>37</v>
      </c>
      <c r="E1072">
        <v>369</v>
      </c>
      <c r="F1072">
        <v>90</v>
      </c>
      <c r="G1072">
        <v>8</v>
      </c>
      <c r="H1072">
        <v>17</v>
      </c>
      <c r="I1072">
        <v>975</v>
      </c>
      <c r="J1072">
        <v>4</v>
      </c>
      <c r="K1072">
        <v>6</v>
      </c>
      <c r="L1072">
        <v>1</v>
      </c>
      <c r="M1072">
        <v>6</v>
      </c>
      <c r="N1072">
        <v>7</v>
      </c>
    </row>
    <row r="1073" spans="1:14" hidden="1" x14ac:dyDescent="0.3">
      <c r="A1073">
        <v>2618</v>
      </c>
      <c r="B1073">
        <v>51</v>
      </c>
      <c r="C1073">
        <v>638</v>
      </c>
      <c r="D1073">
        <v>133</v>
      </c>
      <c r="E1073">
        <v>594</v>
      </c>
      <c r="F1073">
        <v>36</v>
      </c>
      <c r="G1073">
        <v>89</v>
      </c>
      <c r="H1073">
        <v>208</v>
      </c>
      <c r="I1073">
        <v>1281</v>
      </c>
      <c r="J1073">
        <v>8</v>
      </c>
      <c r="K1073">
        <v>9</v>
      </c>
      <c r="L1073">
        <v>1</v>
      </c>
      <c r="M1073">
        <v>7</v>
      </c>
      <c r="N1073">
        <v>9</v>
      </c>
    </row>
    <row r="1074" spans="1:14" hidden="1" x14ac:dyDescent="0.3">
      <c r="A1074">
        <v>1993</v>
      </c>
      <c r="B1074">
        <v>51</v>
      </c>
      <c r="C1074">
        <v>664</v>
      </c>
      <c r="D1074">
        <v>86</v>
      </c>
      <c r="E1074">
        <v>285</v>
      </c>
      <c r="F1074">
        <v>0</v>
      </c>
      <c r="G1074">
        <v>52</v>
      </c>
      <c r="H1074">
        <v>116</v>
      </c>
      <c r="I1074">
        <v>971</v>
      </c>
      <c r="J1074">
        <v>7</v>
      </c>
      <c r="K1074">
        <v>6</v>
      </c>
      <c r="L1074">
        <v>1</v>
      </c>
      <c r="M1074">
        <v>4</v>
      </c>
      <c r="N1074">
        <v>9</v>
      </c>
    </row>
    <row r="1075" spans="1:14" hidden="1" x14ac:dyDescent="0.3">
      <c r="A1075">
        <v>1124</v>
      </c>
      <c r="B1075">
        <v>51</v>
      </c>
      <c r="C1075">
        <v>749</v>
      </c>
      <c r="D1075">
        <v>0</v>
      </c>
      <c r="E1075">
        <v>112</v>
      </c>
      <c r="F1075">
        <v>10</v>
      </c>
      <c r="G1075">
        <v>0</v>
      </c>
      <c r="H1075">
        <v>78</v>
      </c>
      <c r="I1075">
        <v>794</v>
      </c>
      <c r="J1075">
        <v>5</v>
      </c>
      <c r="K1075">
        <v>5</v>
      </c>
      <c r="L1075">
        <v>1</v>
      </c>
      <c r="M1075">
        <v>5</v>
      </c>
      <c r="N1075">
        <v>8</v>
      </c>
    </row>
    <row r="1076" spans="1:14" hidden="1" x14ac:dyDescent="0.3">
      <c r="A1076">
        <v>1896</v>
      </c>
      <c r="B1076">
        <v>51</v>
      </c>
      <c r="C1076">
        <v>1032</v>
      </c>
      <c r="D1076">
        <v>158</v>
      </c>
      <c r="E1076">
        <v>687</v>
      </c>
      <c r="F1076">
        <v>358</v>
      </c>
      <c r="G1076">
        <v>158</v>
      </c>
      <c r="H1076">
        <v>137</v>
      </c>
      <c r="I1076">
        <v>2255</v>
      </c>
      <c r="J1076">
        <v>1</v>
      </c>
      <c r="K1076">
        <v>3</v>
      </c>
      <c r="L1076">
        <v>4</v>
      </c>
      <c r="M1076">
        <v>6</v>
      </c>
      <c r="N1076">
        <v>1</v>
      </c>
    </row>
    <row r="1077" spans="1:14" hidden="1" x14ac:dyDescent="0.3">
      <c r="A1077">
        <v>2880</v>
      </c>
      <c r="B1077">
        <v>51</v>
      </c>
      <c r="C1077">
        <v>1032</v>
      </c>
      <c r="D1077">
        <v>158</v>
      </c>
      <c r="E1077">
        <v>687</v>
      </c>
      <c r="F1077">
        <v>358</v>
      </c>
      <c r="G1077">
        <v>158</v>
      </c>
      <c r="H1077">
        <v>137</v>
      </c>
      <c r="I1077">
        <v>2255</v>
      </c>
      <c r="J1077">
        <v>1</v>
      </c>
      <c r="K1077">
        <v>3</v>
      </c>
      <c r="L1077">
        <v>4</v>
      </c>
      <c r="M1077">
        <v>6</v>
      </c>
      <c r="N1077">
        <v>1</v>
      </c>
    </row>
    <row r="1078" spans="1:14" hidden="1" x14ac:dyDescent="0.3">
      <c r="A1078">
        <v>1921</v>
      </c>
      <c r="B1078">
        <v>51</v>
      </c>
      <c r="C1078">
        <v>1220</v>
      </c>
      <c r="D1078">
        <v>219</v>
      </c>
      <c r="E1078">
        <v>633</v>
      </c>
      <c r="F1078">
        <v>191</v>
      </c>
      <c r="G1078">
        <v>219</v>
      </c>
      <c r="H1078">
        <v>366</v>
      </c>
      <c r="I1078">
        <v>2115</v>
      </c>
      <c r="J1078">
        <v>8</v>
      </c>
      <c r="K1078">
        <v>6</v>
      </c>
      <c r="L1078">
        <v>3</v>
      </c>
      <c r="M1078">
        <v>5</v>
      </c>
      <c r="N1078">
        <v>6</v>
      </c>
    </row>
    <row r="1079" spans="1:14" hidden="1" x14ac:dyDescent="0.3">
      <c r="A1079">
        <v>2254</v>
      </c>
      <c r="B1079">
        <v>51</v>
      </c>
      <c r="C1079">
        <v>1275</v>
      </c>
      <c r="D1079">
        <v>14</v>
      </c>
      <c r="E1079">
        <v>176</v>
      </c>
      <c r="F1079">
        <v>19</v>
      </c>
      <c r="G1079">
        <v>0</v>
      </c>
      <c r="H1079">
        <v>192</v>
      </c>
      <c r="I1079">
        <v>1292</v>
      </c>
      <c r="J1079">
        <v>8</v>
      </c>
      <c r="K1079">
        <v>9</v>
      </c>
      <c r="L1079">
        <v>1</v>
      </c>
      <c r="M1079">
        <v>7</v>
      </c>
      <c r="N1079">
        <v>8</v>
      </c>
    </row>
    <row r="1080" spans="1:14" hidden="1" x14ac:dyDescent="0.3">
      <c r="A1080">
        <v>1922</v>
      </c>
      <c r="B1080">
        <v>51</v>
      </c>
      <c r="C1080">
        <v>1439</v>
      </c>
      <c r="D1080">
        <v>33</v>
      </c>
      <c r="E1080">
        <v>150</v>
      </c>
      <c r="F1080">
        <v>45</v>
      </c>
      <c r="G1080">
        <v>17</v>
      </c>
      <c r="H1080">
        <v>334</v>
      </c>
      <c r="I1080">
        <v>1350</v>
      </c>
      <c r="J1080">
        <v>2</v>
      </c>
      <c r="K1080">
        <v>7</v>
      </c>
      <c r="L1080">
        <v>4</v>
      </c>
      <c r="M1080">
        <v>7</v>
      </c>
      <c r="N1080">
        <v>5</v>
      </c>
    </row>
    <row r="1081" spans="1:14" hidden="1" x14ac:dyDescent="0.3">
      <c r="A1081">
        <v>1662</v>
      </c>
      <c r="B1081">
        <v>51</v>
      </c>
      <c r="C1081">
        <v>1468</v>
      </c>
      <c r="D1081">
        <v>57</v>
      </c>
      <c r="E1081">
        <v>304</v>
      </c>
      <c r="F1081">
        <v>25</v>
      </c>
      <c r="G1081">
        <v>57</v>
      </c>
      <c r="H1081">
        <v>380</v>
      </c>
      <c r="I1081">
        <v>1530</v>
      </c>
      <c r="J1081">
        <v>2</v>
      </c>
      <c r="K1081">
        <v>8</v>
      </c>
      <c r="L1081">
        <v>9</v>
      </c>
      <c r="M1081">
        <v>4</v>
      </c>
      <c r="N1081">
        <v>6</v>
      </c>
    </row>
    <row r="1082" spans="1:14" hidden="1" x14ac:dyDescent="0.3">
      <c r="A1082">
        <v>2235</v>
      </c>
      <c r="B1082">
        <v>51</v>
      </c>
      <c r="C1082">
        <v>1468</v>
      </c>
      <c r="D1082">
        <v>57</v>
      </c>
      <c r="E1082">
        <v>304</v>
      </c>
      <c r="F1082">
        <v>25</v>
      </c>
      <c r="G1082">
        <v>57</v>
      </c>
      <c r="H1082">
        <v>380</v>
      </c>
      <c r="I1082">
        <v>1530</v>
      </c>
      <c r="J1082">
        <v>2</v>
      </c>
      <c r="K1082">
        <v>8</v>
      </c>
      <c r="L1082">
        <v>9</v>
      </c>
      <c r="M1082">
        <v>4</v>
      </c>
      <c r="N1082">
        <v>6</v>
      </c>
    </row>
    <row r="1083" spans="1:14" hidden="1" x14ac:dyDescent="0.3">
      <c r="A1083">
        <v>2232</v>
      </c>
      <c r="B1083">
        <v>51</v>
      </c>
      <c r="C1083">
        <v>1527</v>
      </c>
      <c r="D1083">
        <v>70</v>
      </c>
      <c r="E1083">
        <v>643</v>
      </c>
      <c r="F1083">
        <v>30</v>
      </c>
      <c r="G1083">
        <v>119</v>
      </c>
      <c r="H1083">
        <v>74</v>
      </c>
      <c r="I1083">
        <v>2314</v>
      </c>
      <c r="J1083">
        <v>4</v>
      </c>
      <c r="K1083">
        <v>6</v>
      </c>
      <c r="L1083">
        <v>5</v>
      </c>
      <c r="M1083">
        <v>13</v>
      </c>
      <c r="N1083">
        <v>4</v>
      </c>
    </row>
    <row r="1084" spans="1:14" hidden="1" x14ac:dyDescent="0.3">
      <c r="A1084">
        <v>3144</v>
      </c>
      <c r="B1084">
        <v>51</v>
      </c>
      <c r="C1084">
        <v>1652</v>
      </c>
      <c r="D1084">
        <v>152</v>
      </c>
      <c r="E1084">
        <v>1536</v>
      </c>
      <c r="F1084">
        <v>499</v>
      </c>
      <c r="G1084">
        <v>152</v>
      </c>
      <c r="H1084">
        <v>230</v>
      </c>
      <c r="I1084">
        <v>3760</v>
      </c>
      <c r="J1084">
        <v>1</v>
      </c>
      <c r="K1084">
        <v>4</v>
      </c>
      <c r="L1084">
        <v>2</v>
      </c>
      <c r="M1084">
        <v>10</v>
      </c>
      <c r="N1084">
        <v>2</v>
      </c>
    </row>
    <row r="1085" spans="1:14" hidden="1" x14ac:dyDescent="0.3">
      <c r="A1085">
        <v>1806</v>
      </c>
      <c r="B1085">
        <v>51</v>
      </c>
      <c r="C1085">
        <v>1712</v>
      </c>
      <c r="D1085">
        <v>278</v>
      </c>
      <c r="E1085">
        <v>1084</v>
      </c>
      <c r="F1085">
        <v>89</v>
      </c>
      <c r="G1085">
        <v>348</v>
      </c>
      <c r="H1085">
        <v>77</v>
      </c>
      <c r="I1085">
        <v>3433</v>
      </c>
      <c r="J1085">
        <v>1</v>
      </c>
      <c r="K1085">
        <v>10</v>
      </c>
      <c r="L1085">
        <v>2</v>
      </c>
      <c r="M1085">
        <v>11</v>
      </c>
      <c r="N1085">
        <v>8</v>
      </c>
    </row>
    <row r="1086" spans="1:14" hidden="1" x14ac:dyDescent="0.3">
      <c r="A1086">
        <v>2202</v>
      </c>
      <c r="B1086">
        <v>50</v>
      </c>
      <c r="C1086">
        <v>10</v>
      </c>
      <c r="D1086">
        <v>29</v>
      </c>
      <c r="E1086">
        <v>19</v>
      </c>
      <c r="F1086">
        <v>14</v>
      </c>
      <c r="G1086">
        <v>5</v>
      </c>
      <c r="H1086">
        <v>43</v>
      </c>
      <c r="I1086">
        <v>34</v>
      </c>
      <c r="J1086">
        <v>1</v>
      </c>
      <c r="K1086">
        <v>1</v>
      </c>
      <c r="L1086">
        <v>0</v>
      </c>
      <c r="M1086">
        <v>2</v>
      </c>
      <c r="N1086">
        <v>8</v>
      </c>
    </row>
    <row r="1087" spans="1:14" hidden="1" x14ac:dyDescent="0.3">
      <c r="A1087">
        <v>3214</v>
      </c>
      <c r="B1087">
        <v>50</v>
      </c>
      <c r="C1087">
        <v>13</v>
      </c>
      <c r="D1087">
        <v>3</v>
      </c>
      <c r="E1087">
        <v>16</v>
      </c>
      <c r="F1087">
        <v>8</v>
      </c>
      <c r="G1087">
        <v>-10</v>
      </c>
      <c r="H1087">
        <v>8</v>
      </c>
      <c r="I1087">
        <v>41</v>
      </c>
      <c r="J1087">
        <v>1</v>
      </c>
      <c r="K1087">
        <v>0</v>
      </c>
      <c r="L1087">
        <v>0</v>
      </c>
      <c r="M1087">
        <v>3</v>
      </c>
      <c r="N1087">
        <v>4</v>
      </c>
    </row>
    <row r="1088" spans="1:14" hidden="1" x14ac:dyDescent="0.3">
      <c r="A1088">
        <v>3199</v>
      </c>
      <c r="B1088">
        <v>50</v>
      </c>
      <c r="C1088">
        <v>24</v>
      </c>
      <c r="D1088">
        <v>5</v>
      </c>
      <c r="E1088">
        <v>28</v>
      </c>
      <c r="F1088">
        <v>14</v>
      </c>
      <c r="G1088">
        <v>19</v>
      </c>
      <c r="H1088">
        <v>14</v>
      </c>
      <c r="I1088">
        <v>76</v>
      </c>
      <c r="J1088">
        <v>1</v>
      </c>
      <c r="K1088">
        <v>0</v>
      </c>
      <c r="L1088">
        <v>0</v>
      </c>
      <c r="M1088">
        <v>3</v>
      </c>
      <c r="N1088">
        <v>4</v>
      </c>
    </row>
    <row r="1089" spans="1:14" hidden="1" x14ac:dyDescent="0.3">
      <c r="A1089">
        <v>1606</v>
      </c>
      <c r="B1089">
        <v>50</v>
      </c>
      <c r="C1089">
        <v>37</v>
      </c>
      <c r="D1089">
        <v>22</v>
      </c>
      <c r="E1089">
        <v>41</v>
      </c>
      <c r="F1089">
        <v>0</v>
      </c>
      <c r="G1089">
        <v>15</v>
      </c>
      <c r="H1089">
        <v>7</v>
      </c>
      <c r="I1089">
        <v>107</v>
      </c>
      <c r="J1089">
        <v>1</v>
      </c>
      <c r="K1089">
        <v>1</v>
      </c>
      <c r="L1089">
        <v>0</v>
      </c>
      <c r="M1089">
        <v>3</v>
      </c>
      <c r="N1089">
        <v>7</v>
      </c>
    </row>
    <row r="1090" spans="1:14" hidden="1" x14ac:dyDescent="0.3">
      <c r="A1090">
        <v>1936</v>
      </c>
      <c r="B1090">
        <v>50</v>
      </c>
      <c r="C1090">
        <v>138</v>
      </c>
      <c r="D1090">
        <v>14</v>
      </c>
      <c r="E1090">
        <v>159</v>
      </c>
      <c r="F1090">
        <v>21</v>
      </c>
      <c r="G1090">
        <v>7</v>
      </c>
      <c r="H1090">
        <v>28</v>
      </c>
      <c r="I1090">
        <v>311</v>
      </c>
      <c r="J1090">
        <v>5</v>
      </c>
      <c r="K1090">
        <v>3</v>
      </c>
      <c r="L1090">
        <v>0</v>
      </c>
      <c r="M1090">
        <v>4</v>
      </c>
      <c r="N1090">
        <v>8</v>
      </c>
    </row>
    <row r="1091" spans="1:14" hidden="1" x14ac:dyDescent="0.3">
      <c r="A1091">
        <v>2534</v>
      </c>
      <c r="B1091">
        <v>50</v>
      </c>
      <c r="C1091">
        <v>140</v>
      </c>
      <c r="D1091">
        <v>23</v>
      </c>
      <c r="E1091">
        <v>103</v>
      </c>
      <c r="F1091">
        <v>37</v>
      </c>
      <c r="G1091">
        <v>42</v>
      </c>
      <c r="H1091">
        <v>131</v>
      </c>
      <c r="I1091">
        <v>215</v>
      </c>
      <c r="J1091">
        <v>4</v>
      </c>
      <c r="K1091">
        <v>2</v>
      </c>
      <c r="L1091">
        <v>1</v>
      </c>
      <c r="M1091">
        <v>4</v>
      </c>
      <c r="N1091">
        <v>6</v>
      </c>
    </row>
    <row r="1092" spans="1:14" hidden="1" x14ac:dyDescent="0.3">
      <c r="A1092">
        <v>2494</v>
      </c>
      <c r="B1092">
        <v>50</v>
      </c>
      <c r="C1092">
        <v>146</v>
      </c>
      <c r="D1092">
        <v>4</v>
      </c>
      <c r="E1092">
        <v>146</v>
      </c>
      <c r="F1092">
        <v>15</v>
      </c>
      <c r="G1092">
        <v>11</v>
      </c>
      <c r="H1092">
        <v>66</v>
      </c>
      <c r="I1092">
        <v>255</v>
      </c>
      <c r="J1092">
        <v>1</v>
      </c>
      <c r="K1092">
        <v>3</v>
      </c>
      <c r="L1092">
        <v>0</v>
      </c>
      <c r="M1092">
        <v>3</v>
      </c>
      <c r="N1092">
        <v>8</v>
      </c>
    </row>
    <row r="1093" spans="1:14" hidden="1" x14ac:dyDescent="0.3">
      <c r="A1093">
        <v>2175</v>
      </c>
      <c r="B1093">
        <v>50</v>
      </c>
      <c r="C1093">
        <v>188</v>
      </c>
      <c r="D1093">
        <v>7</v>
      </c>
      <c r="E1093">
        <v>168</v>
      </c>
      <c r="F1093">
        <v>13</v>
      </c>
      <c r="G1093">
        <v>7</v>
      </c>
      <c r="H1093">
        <v>76</v>
      </c>
      <c r="I1093">
        <v>306</v>
      </c>
      <c r="J1093">
        <v>3</v>
      </c>
      <c r="K1093">
        <v>2</v>
      </c>
      <c r="L1093">
        <v>1</v>
      </c>
      <c r="M1093">
        <v>4</v>
      </c>
      <c r="N1093">
        <v>6</v>
      </c>
    </row>
    <row r="1094" spans="1:14" hidden="1" x14ac:dyDescent="0.3">
      <c r="A1094">
        <v>2523</v>
      </c>
      <c r="B1094">
        <v>50</v>
      </c>
      <c r="C1094">
        <v>216</v>
      </c>
      <c r="D1094">
        <v>17</v>
      </c>
      <c r="E1094">
        <v>211</v>
      </c>
      <c r="F1094">
        <v>51</v>
      </c>
      <c r="G1094">
        <v>4</v>
      </c>
      <c r="H1094">
        <v>207</v>
      </c>
      <c r="I1094">
        <v>292</v>
      </c>
      <c r="J1094">
        <v>1</v>
      </c>
      <c r="K1094">
        <v>4</v>
      </c>
      <c r="L1094">
        <v>0</v>
      </c>
      <c r="M1094">
        <v>3</v>
      </c>
      <c r="N1094">
        <v>8</v>
      </c>
    </row>
    <row r="1095" spans="1:14" hidden="1" x14ac:dyDescent="0.3">
      <c r="A1095">
        <v>1195</v>
      </c>
      <c r="B1095">
        <v>50</v>
      </c>
      <c r="C1095">
        <v>247</v>
      </c>
      <c r="D1095">
        <v>55</v>
      </c>
      <c r="E1095">
        <v>345</v>
      </c>
      <c r="F1095">
        <v>143</v>
      </c>
      <c r="G1095">
        <v>40</v>
      </c>
      <c r="H1095">
        <v>64</v>
      </c>
      <c r="I1095">
        <v>766</v>
      </c>
      <c r="J1095">
        <v>6</v>
      </c>
      <c r="K1095">
        <v>4</v>
      </c>
      <c r="L1095">
        <v>2</v>
      </c>
      <c r="M1095">
        <v>5</v>
      </c>
      <c r="N1095">
        <v>6</v>
      </c>
    </row>
    <row r="1096" spans="1:14" hidden="1" x14ac:dyDescent="0.3">
      <c r="A1096">
        <v>1522</v>
      </c>
      <c r="B1096">
        <v>50</v>
      </c>
      <c r="C1096">
        <v>272</v>
      </c>
      <c r="D1096">
        <v>11</v>
      </c>
      <c r="E1096">
        <v>88</v>
      </c>
      <c r="F1096">
        <v>102</v>
      </c>
      <c r="G1096">
        <v>148</v>
      </c>
      <c r="H1096">
        <v>16</v>
      </c>
      <c r="I1096">
        <v>604</v>
      </c>
      <c r="J1096">
        <v>2</v>
      </c>
      <c r="K1096">
        <v>2</v>
      </c>
      <c r="L1096">
        <v>1</v>
      </c>
      <c r="M1096">
        <v>7</v>
      </c>
      <c r="N1096">
        <v>2</v>
      </c>
    </row>
    <row r="1097" spans="1:14" hidden="1" x14ac:dyDescent="0.3">
      <c r="A1097">
        <v>1539</v>
      </c>
      <c r="B1097">
        <v>50</v>
      </c>
      <c r="C1097">
        <v>297</v>
      </c>
      <c r="D1097">
        <v>56</v>
      </c>
      <c r="E1097">
        <v>320</v>
      </c>
      <c r="F1097">
        <v>50</v>
      </c>
      <c r="G1097">
        <v>20</v>
      </c>
      <c r="H1097">
        <v>50</v>
      </c>
      <c r="I1097">
        <v>693</v>
      </c>
      <c r="J1097">
        <v>6</v>
      </c>
      <c r="K1097">
        <v>4</v>
      </c>
      <c r="L1097">
        <v>1</v>
      </c>
      <c r="M1097">
        <v>5</v>
      </c>
      <c r="N1097">
        <v>8</v>
      </c>
    </row>
    <row r="1098" spans="1:14" hidden="1" x14ac:dyDescent="0.3">
      <c r="A1098">
        <v>3021</v>
      </c>
      <c r="B1098">
        <v>50</v>
      </c>
      <c r="C1098">
        <v>372</v>
      </c>
      <c r="D1098">
        <v>0</v>
      </c>
      <c r="E1098">
        <v>61</v>
      </c>
      <c r="F1098">
        <v>0</v>
      </c>
      <c r="G1098">
        <v>3</v>
      </c>
      <c r="H1098">
        <v>20</v>
      </c>
      <c r="I1098">
        <v>415</v>
      </c>
      <c r="J1098">
        <v>1</v>
      </c>
      <c r="K1098">
        <v>3</v>
      </c>
      <c r="L1098">
        <v>1</v>
      </c>
      <c r="M1098">
        <v>4</v>
      </c>
      <c r="N1098">
        <v>4</v>
      </c>
    </row>
    <row r="1099" spans="1:14" hidden="1" x14ac:dyDescent="0.3">
      <c r="A1099">
        <v>1879</v>
      </c>
      <c r="B1099">
        <v>50</v>
      </c>
      <c r="C1099">
        <v>717</v>
      </c>
      <c r="D1099">
        <v>203</v>
      </c>
      <c r="E1099">
        <v>495</v>
      </c>
      <c r="F1099">
        <v>55</v>
      </c>
      <c r="G1099">
        <v>0</v>
      </c>
      <c r="H1099">
        <v>11</v>
      </c>
      <c r="I1099">
        <v>1460</v>
      </c>
      <c r="J1099">
        <v>3</v>
      </c>
      <c r="K1099">
        <v>4</v>
      </c>
      <c r="L1099">
        <v>2</v>
      </c>
      <c r="M1099">
        <v>8</v>
      </c>
      <c r="N1099">
        <v>6</v>
      </c>
    </row>
    <row r="1100" spans="1:14" hidden="1" x14ac:dyDescent="0.3">
      <c r="A1100">
        <v>2909</v>
      </c>
      <c r="B1100">
        <v>50</v>
      </c>
      <c r="C1100">
        <v>788</v>
      </c>
      <c r="D1100">
        <v>250</v>
      </c>
      <c r="E1100">
        <v>429</v>
      </c>
      <c r="F1100">
        <v>301</v>
      </c>
      <c r="G1100">
        <v>88</v>
      </c>
      <c r="H1100">
        <v>232</v>
      </c>
      <c r="I1100">
        <v>1625</v>
      </c>
      <c r="J1100">
        <v>2</v>
      </c>
      <c r="K1100">
        <v>6</v>
      </c>
      <c r="L1100">
        <v>6</v>
      </c>
      <c r="M1100">
        <v>9</v>
      </c>
      <c r="N1100">
        <v>3</v>
      </c>
    </row>
    <row r="1101" spans="1:14" hidden="1" x14ac:dyDescent="0.3">
      <c r="A1101">
        <v>1816</v>
      </c>
      <c r="B1101">
        <v>50</v>
      </c>
      <c r="C1101">
        <v>807</v>
      </c>
      <c r="D1101">
        <v>295</v>
      </c>
      <c r="E1101">
        <v>658</v>
      </c>
      <c r="F1101">
        <v>110</v>
      </c>
      <c r="G1101">
        <v>295</v>
      </c>
      <c r="H1101">
        <v>339</v>
      </c>
      <c r="I1101">
        <v>1827</v>
      </c>
      <c r="J1101">
        <v>5</v>
      </c>
      <c r="K1101">
        <v>6</v>
      </c>
      <c r="L1101">
        <v>5</v>
      </c>
      <c r="M1101">
        <v>12</v>
      </c>
      <c r="N1101">
        <v>3</v>
      </c>
    </row>
    <row r="1102" spans="1:14" hidden="1" x14ac:dyDescent="0.3">
      <c r="A1102">
        <v>1985</v>
      </c>
      <c r="B1102">
        <v>50</v>
      </c>
      <c r="C1102">
        <v>827</v>
      </c>
      <c r="D1102">
        <v>7</v>
      </c>
      <c r="E1102">
        <v>115</v>
      </c>
      <c r="F1102">
        <v>0</v>
      </c>
      <c r="G1102">
        <v>7</v>
      </c>
      <c r="H1102">
        <v>145</v>
      </c>
      <c r="I1102">
        <v>812</v>
      </c>
      <c r="J1102">
        <v>5</v>
      </c>
      <c r="K1102">
        <v>5</v>
      </c>
      <c r="L1102">
        <v>2</v>
      </c>
      <c r="M1102">
        <v>4</v>
      </c>
      <c r="N1102">
        <v>8</v>
      </c>
    </row>
    <row r="1103" spans="1:14" hidden="1" x14ac:dyDescent="0.3">
      <c r="A1103">
        <v>2460</v>
      </c>
      <c r="B1103">
        <v>50</v>
      </c>
      <c r="C1103">
        <v>879</v>
      </c>
      <c r="D1103">
        <v>226</v>
      </c>
      <c r="E1103">
        <v>602</v>
      </c>
      <c r="F1103">
        <v>458</v>
      </c>
      <c r="G1103">
        <v>451</v>
      </c>
      <c r="H1103">
        <v>79</v>
      </c>
      <c r="I1103">
        <v>2536</v>
      </c>
      <c r="J1103">
        <v>2</v>
      </c>
      <c r="K1103">
        <v>7</v>
      </c>
      <c r="L1103">
        <v>3</v>
      </c>
      <c r="M1103">
        <v>6</v>
      </c>
      <c r="N1103">
        <v>4</v>
      </c>
    </row>
    <row r="1104" spans="1:14" hidden="1" x14ac:dyDescent="0.3">
      <c r="A1104">
        <v>2290</v>
      </c>
      <c r="B1104">
        <v>50</v>
      </c>
      <c r="C1104">
        <v>936</v>
      </c>
      <c r="D1104">
        <v>81</v>
      </c>
      <c r="E1104">
        <v>477</v>
      </c>
      <c r="F1104">
        <v>0</v>
      </c>
      <c r="G1104">
        <v>146</v>
      </c>
      <c r="H1104">
        <v>15</v>
      </c>
      <c r="I1104">
        <v>1624</v>
      </c>
      <c r="J1104">
        <v>2</v>
      </c>
      <c r="K1104">
        <v>5</v>
      </c>
      <c r="L1104">
        <v>4</v>
      </c>
      <c r="M1104">
        <v>10</v>
      </c>
      <c r="N1104">
        <v>4</v>
      </c>
    </row>
    <row r="1105" spans="1:14" hidden="1" x14ac:dyDescent="0.3">
      <c r="A1105">
        <v>2528</v>
      </c>
      <c r="B1105">
        <v>50</v>
      </c>
      <c r="C1105">
        <v>1085</v>
      </c>
      <c r="D1105">
        <v>472</v>
      </c>
      <c r="E1105">
        <v>944</v>
      </c>
      <c r="F1105">
        <v>33</v>
      </c>
      <c r="G1105">
        <v>249</v>
      </c>
      <c r="H1105">
        <v>54</v>
      </c>
      <c r="I1105">
        <v>2728</v>
      </c>
      <c r="J1105">
        <v>1</v>
      </c>
      <c r="K1105">
        <v>6</v>
      </c>
      <c r="L1105">
        <v>4</v>
      </c>
      <c r="M1105">
        <v>6</v>
      </c>
      <c r="N1105">
        <v>5</v>
      </c>
    </row>
    <row r="1106" spans="1:14" hidden="1" x14ac:dyDescent="0.3">
      <c r="A1106">
        <v>1188</v>
      </c>
      <c r="B1106">
        <v>50</v>
      </c>
      <c r="C1106">
        <v>1096</v>
      </c>
      <c r="D1106">
        <v>10</v>
      </c>
      <c r="E1106">
        <v>83</v>
      </c>
      <c r="F1106">
        <v>15</v>
      </c>
      <c r="G1106">
        <v>10</v>
      </c>
      <c r="H1106">
        <v>95</v>
      </c>
      <c r="I1106">
        <v>1118</v>
      </c>
      <c r="J1106">
        <v>3</v>
      </c>
      <c r="K1106">
        <v>8</v>
      </c>
      <c r="L1106">
        <v>1</v>
      </c>
      <c r="M1106">
        <v>7</v>
      </c>
      <c r="N1106">
        <v>5</v>
      </c>
    </row>
    <row r="1107" spans="1:14" hidden="1" x14ac:dyDescent="0.3">
      <c r="A1107">
        <v>1395</v>
      </c>
      <c r="B1107">
        <v>50</v>
      </c>
      <c r="C1107">
        <v>1163</v>
      </c>
      <c r="D1107">
        <v>151</v>
      </c>
      <c r="E1107">
        <v>631</v>
      </c>
      <c r="F1107">
        <v>166</v>
      </c>
      <c r="G1107">
        <v>429</v>
      </c>
      <c r="H1107">
        <v>74</v>
      </c>
      <c r="I1107">
        <v>2465</v>
      </c>
      <c r="J1107">
        <v>4</v>
      </c>
      <c r="K1107">
        <v>4</v>
      </c>
      <c r="L1107">
        <v>3</v>
      </c>
      <c r="M1107">
        <v>6</v>
      </c>
      <c r="N1107">
        <v>4</v>
      </c>
    </row>
    <row r="1108" spans="1:14" hidden="1" x14ac:dyDescent="0.3">
      <c r="A1108">
        <v>3086</v>
      </c>
      <c r="B1108">
        <v>50</v>
      </c>
      <c r="C1108">
        <v>1824</v>
      </c>
      <c r="D1108">
        <v>173</v>
      </c>
      <c r="E1108">
        <v>423</v>
      </c>
      <c r="F1108">
        <v>32</v>
      </c>
      <c r="G1108">
        <v>24</v>
      </c>
      <c r="H1108">
        <v>49</v>
      </c>
      <c r="I1108">
        <v>2428</v>
      </c>
      <c r="J1108">
        <v>2</v>
      </c>
      <c r="K1108">
        <v>6</v>
      </c>
      <c r="L1108">
        <v>8</v>
      </c>
      <c r="M1108">
        <v>11</v>
      </c>
      <c r="N1108">
        <v>2</v>
      </c>
    </row>
    <row r="1109" spans="1:14" hidden="1" x14ac:dyDescent="0.3">
      <c r="A1109">
        <v>3060</v>
      </c>
      <c r="B1109">
        <v>49</v>
      </c>
      <c r="C1109">
        <v>0</v>
      </c>
      <c r="D1109">
        <v>5</v>
      </c>
      <c r="E1109">
        <v>22</v>
      </c>
      <c r="F1109">
        <v>82</v>
      </c>
      <c r="G1109">
        <v>5</v>
      </c>
      <c r="H1109">
        <v>27</v>
      </c>
      <c r="I1109">
        <v>87</v>
      </c>
      <c r="J1109">
        <v>1</v>
      </c>
      <c r="K1109">
        <v>1</v>
      </c>
      <c r="L1109">
        <v>0</v>
      </c>
      <c r="M1109">
        <v>2</v>
      </c>
      <c r="N1109">
        <v>7</v>
      </c>
    </row>
    <row r="1110" spans="1:14" hidden="1" x14ac:dyDescent="0.3">
      <c r="A1110">
        <v>2721</v>
      </c>
      <c r="B1110">
        <v>49</v>
      </c>
      <c r="C1110">
        <v>5</v>
      </c>
      <c r="D1110">
        <v>23</v>
      </c>
      <c r="E1110">
        <v>14</v>
      </c>
      <c r="F1110">
        <v>32</v>
      </c>
      <c r="G1110">
        <v>18</v>
      </c>
      <c r="H1110">
        <v>36</v>
      </c>
      <c r="I1110">
        <v>54</v>
      </c>
      <c r="J1110">
        <v>1</v>
      </c>
      <c r="K1110">
        <v>1</v>
      </c>
      <c r="L1110">
        <v>0</v>
      </c>
      <c r="M1110">
        <v>2</v>
      </c>
      <c r="N1110">
        <v>7</v>
      </c>
    </row>
    <row r="1111" spans="1:14" hidden="1" x14ac:dyDescent="0.3">
      <c r="A1111">
        <v>2459</v>
      </c>
      <c r="B1111">
        <v>49</v>
      </c>
      <c r="C1111">
        <v>12</v>
      </c>
      <c r="D1111">
        <v>25</v>
      </c>
      <c r="E1111">
        <v>56</v>
      </c>
      <c r="F1111">
        <v>62</v>
      </c>
      <c r="G1111">
        <v>31</v>
      </c>
      <c r="H1111">
        <v>100</v>
      </c>
      <c r="I1111">
        <v>87</v>
      </c>
      <c r="J1111">
        <v>2</v>
      </c>
      <c r="K1111">
        <v>1</v>
      </c>
      <c r="L1111">
        <v>0</v>
      </c>
      <c r="M1111">
        <v>3</v>
      </c>
      <c r="N1111">
        <v>7</v>
      </c>
    </row>
    <row r="1112" spans="1:14" hidden="1" x14ac:dyDescent="0.3">
      <c r="A1112">
        <v>1147</v>
      </c>
      <c r="B1112">
        <v>49</v>
      </c>
      <c r="C1112">
        <v>21</v>
      </c>
      <c r="D1112">
        <v>3</v>
      </c>
      <c r="E1112">
        <v>19</v>
      </c>
      <c r="F1112">
        <v>5</v>
      </c>
      <c r="G1112">
        <v>0</v>
      </c>
      <c r="H1112">
        <v>0</v>
      </c>
      <c r="I1112">
        <v>48</v>
      </c>
      <c r="J1112">
        <v>1</v>
      </c>
      <c r="K1112">
        <v>0</v>
      </c>
      <c r="L1112">
        <v>0</v>
      </c>
      <c r="M1112">
        <v>3</v>
      </c>
      <c r="N1112">
        <v>4</v>
      </c>
    </row>
    <row r="1113" spans="1:14" hidden="1" x14ac:dyDescent="0.3">
      <c r="A1113">
        <v>1137</v>
      </c>
      <c r="B1113">
        <v>49</v>
      </c>
      <c r="C1113">
        <v>22</v>
      </c>
      <c r="D1113">
        <v>4</v>
      </c>
      <c r="E1113">
        <v>36</v>
      </c>
      <c r="F1113">
        <v>0</v>
      </c>
      <c r="G1113">
        <v>4</v>
      </c>
      <c r="H1113">
        <v>14</v>
      </c>
      <c r="I1113">
        <v>50</v>
      </c>
      <c r="J1113">
        <v>1</v>
      </c>
      <c r="K1113">
        <v>1</v>
      </c>
      <c r="L1113">
        <v>0</v>
      </c>
      <c r="M1113">
        <v>2</v>
      </c>
      <c r="N1113">
        <v>8</v>
      </c>
    </row>
    <row r="1114" spans="1:14" hidden="1" x14ac:dyDescent="0.3">
      <c r="A1114">
        <v>1223</v>
      </c>
      <c r="B1114">
        <v>49</v>
      </c>
      <c r="C1114">
        <v>28</v>
      </c>
      <c r="D1114">
        <v>50</v>
      </c>
      <c r="E1114">
        <v>110</v>
      </c>
      <c r="F1114">
        <v>33</v>
      </c>
      <c r="G1114">
        <v>44</v>
      </c>
      <c r="H1114">
        <v>116</v>
      </c>
      <c r="I1114">
        <v>149</v>
      </c>
      <c r="J1114">
        <v>2</v>
      </c>
      <c r="K1114">
        <v>2</v>
      </c>
      <c r="L1114">
        <v>0</v>
      </c>
      <c r="M1114">
        <v>4</v>
      </c>
      <c r="N1114">
        <v>6</v>
      </c>
    </row>
    <row r="1115" spans="1:14" hidden="1" x14ac:dyDescent="0.3">
      <c r="A1115">
        <v>1773</v>
      </c>
      <c r="B1115">
        <v>49</v>
      </c>
      <c r="C1115">
        <v>28</v>
      </c>
      <c r="D1115">
        <v>56</v>
      </c>
      <c r="E1115">
        <v>76</v>
      </c>
      <c r="F1115">
        <v>83</v>
      </c>
      <c r="G1115">
        <v>14</v>
      </c>
      <c r="H1115">
        <v>90</v>
      </c>
      <c r="I1115">
        <v>167</v>
      </c>
      <c r="J1115">
        <v>1</v>
      </c>
      <c r="K1115">
        <v>2</v>
      </c>
      <c r="L1115">
        <v>0</v>
      </c>
      <c r="M1115">
        <v>3</v>
      </c>
      <c r="N1115">
        <v>7</v>
      </c>
    </row>
    <row r="1116" spans="1:14" hidden="1" x14ac:dyDescent="0.3">
      <c r="A1116">
        <v>2677</v>
      </c>
      <c r="B1116">
        <v>49</v>
      </c>
      <c r="C1116">
        <v>39</v>
      </c>
      <c r="D1116">
        <v>52</v>
      </c>
      <c r="E1116">
        <v>122</v>
      </c>
      <c r="F1116">
        <v>103</v>
      </c>
      <c r="G1116">
        <v>26</v>
      </c>
      <c r="H1116">
        <v>26</v>
      </c>
      <c r="I1116">
        <v>316</v>
      </c>
      <c r="J1116">
        <v>3</v>
      </c>
      <c r="K1116">
        <v>3</v>
      </c>
      <c r="L1116">
        <v>0</v>
      </c>
      <c r="M1116">
        <v>4</v>
      </c>
      <c r="N1116">
        <v>7</v>
      </c>
    </row>
    <row r="1117" spans="1:14" hidden="1" x14ac:dyDescent="0.3">
      <c r="A1117">
        <v>2263</v>
      </c>
      <c r="B1117">
        <v>49</v>
      </c>
      <c r="C1117">
        <v>48</v>
      </c>
      <c r="D1117">
        <v>15</v>
      </c>
      <c r="E1117">
        <v>73</v>
      </c>
      <c r="F1117">
        <v>0</v>
      </c>
      <c r="G1117">
        <v>0</v>
      </c>
      <c r="H1117">
        <v>4</v>
      </c>
      <c r="I1117">
        <v>132</v>
      </c>
      <c r="J1117">
        <v>2</v>
      </c>
      <c r="K1117">
        <v>1</v>
      </c>
      <c r="L1117">
        <v>0</v>
      </c>
      <c r="M1117">
        <v>3</v>
      </c>
      <c r="N1117">
        <v>9</v>
      </c>
    </row>
    <row r="1118" spans="1:14" hidden="1" x14ac:dyDescent="0.3">
      <c r="A1118">
        <v>3000</v>
      </c>
      <c r="B1118">
        <v>49</v>
      </c>
      <c r="C1118">
        <v>53</v>
      </c>
      <c r="D1118">
        <v>12</v>
      </c>
      <c r="E1118">
        <v>69</v>
      </c>
      <c r="F1118">
        <v>28</v>
      </c>
      <c r="G1118">
        <v>12</v>
      </c>
      <c r="H1118">
        <v>12</v>
      </c>
      <c r="I1118">
        <v>162</v>
      </c>
      <c r="J1118">
        <v>2</v>
      </c>
      <c r="K1118">
        <v>2</v>
      </c>
      <c r="L1118">
        <v>0</v>
      </c>
      <c r="M1118">
        <v>4</v>
      </c>
      <c r="N1118">
        <v>5</v>
      </c>
    </row>
    <row r="1119" spans="1:14" hidden="1" x14ac:dyDescent="0.3">
      <c r="A1119">
        <v>2433</v>
      </c>
      <c r="B1119">
        <v>49</v>
      </c>
      <c r="C1119">
        <v>72</v>
      </c>
      <c r="D1119">
        <v>38</v>
      </c>
      <c r="E1119">
        <v>77</v>
      </c>
      <c r="F1119">
        <v>53</v>
      </c>
      <c r="G1119">
        <v>24</v>
      </c>
      <c r="H1119">
        <v>106</v>
      </c>
      <c r="I1119">
        <v>159</v>
      </c>
      <c r="J1119">
        <v>4</v>
      </c>
      <c r="K1119">
        <v>2</v>
      </c>
      <c r="L1119">
        <v>0</v>
      </c>
      <c r="M1119">
        <v>4</v>
      </c>
      <c r="N1119">
        <v>6</v>
      </c>
    </row>
    <row r="1120" spans="1:14" hidden="1" x14ac:dyDescent="0.3">
      <c r="A1120">
        <v>1419</v>
      </c>
      <c r="B1120">
        <v>49</v>
      </c>
      <c r="C1120">
        <v>92</v>
      </c>
      <c r="D1120">
        <v>0</v>
      </c>
      <c r="E1120">
        <v>21</v>
      </c>
      <c r="F1120">
        <v>6</v>
      </c>
      <c r="G1120">
        <v>0</v>
      </c>
      <c r="H1120">
        <v>18</v>
      </c>
      <c r="I1120">
        <v>101</v>
      </c>
      <c r="J1120">
        <v>1</v>
      </c>
      <c r="K1120">
        <v>1</v>
      </c>
      <c r="L1120">
        <v>0</v>
      </c>
      <c r="M1120">
        <v>3</v>
      </c>
      <c r="N1120">
        <v>5</v>
      </c>
    </row>
    <row r="1121" spans="1:14" hidden="1" x14ac:dyDescent="0.3">
      <c r="A1121">
        <v>1488</v>
      </c>
      <c r="B1121">
        <v>49</v>
      </c>
      <c r="C1121">
        <v>92</v>
      </c>
      <c r="D1121">
        <v>0</v>
      </c>
      <c r="E1121">
        <v>21</v>
      </c>
      <c r="F1121">
        <v>6</v>
      </c>
      <c r="G1121">
        <v>0</v>
      </c>
      <c r="H1121">
        <v>18</v>
      </c>
      <c r="I1121">
        <v>101</v>
      </c>
      <c r="J1121">
        <v>1</v>
      </c>
      <c r="K1121">
        <v>1</v>
      </c>
      <c r="L1121">
        <v>0</v>
      </c>
      <c r="M1121">
        <v>3</v>
      </c>
      <c r="N1121">
        <v>5</v>
      </c>
    </row>
    <row r="1122" spans="1:14" hidden="1" x14ac:dyDescent="0.3">
      <c r="A1122">
        <v>1839</v>
      </c>
      <c r="B1122">
        <v>49</v>
      </c>
      <c r="C1122">
        <v>99</v>
      </c>
      <c r="D1122">
        <v>7</v>
      </c>
      <c r="E1122">
        <v>36</v>
      </c>
      <c r="F1122">
        <v>0</v>
      </c>
      <c r="G1122">
        <v>0</v>
      </c>
      <c r="H1122">
        <v>4</v>
      </c>
      <c r="I1122">
        <v>139</v>
      </c>
      <c r="J1122">
        <v>2</v>
      </c>
      <c r="K1122">
        <v>1</v>
      </c>
      <c r="L1122">
        <v>0</v>
      </c>
      <c r="M1122">
        <v>3</v>
      </c>
      <c r="N1122">
        <v>8</v>
      </c>
    </row>
    <row r="1123" spans="1:14" hidden="1" x14ac:dyDescent="0.3">
      <c r="A1123">
        <v>2785</v>
      </c>
      <c r="B1123">
        <v>49</v>
      </c>
      <c r="C1123">
        <v>99</v>
      </c>
      <c r="D1123">
        <v>7</v>
      </c>
      <c r="E1123">
        <v>36</v>
      </c>
      <c r="F1123">
        <v>0</v>
      </c>
      <c r="G1123">
        <v>0</v>
      </c>
      <c r="H1123">
        <v>4</v>
      </c>
      <c r="I1123">
        <v>139</v>
      </c>
      <c r="J1123">
        <v>2</v>
      </c>
      <c r="K1123">
        <v>1</v>
      </c>
      <c r="L1123">
        <v>0</v>
      </c>
      <c r="M1123">
        <v>3</v>
      </c>
      <c r="N1123">
        <v>8</v>
      </c>
    </row>
    <row r="1124" spans="1:14" hidden="1" x14ac:dyDescent="0.3">
      <c r="A1124">
        <v>3148</v>
      </c>
      <c r="B1124">
        <v>49</v>
      </c>
      <c r="C1124">
        <v>106</v>
      </c>
      <c r="D1124">
        <v>10</v>
      </c>
      <c r="E1124">
        <v>87</v>
      </c>
      <c r="F1124">
        <v>0</v>
      </c>
      <c r="G1124">
        <v>10</v>
      </c>
      <c r="H1124">
        <v>58</v>
      </c>
      <c r="I1124">
        <v>155</v>
      </c>
      <c r="J1124">
        <v>3</v>
      </c>
      <c r="K1124">
        <v>3</v>
      </c>
      <c r="L1124">
        <v>0</v>
      </c>
      <c r="M1124">
        <v>3</v>
      </c>
      <c r="N1124">
        <v>8</v>
      </c>
    </row>
    <row r="1125" spans="1:14" hidden="1" x14ac:dyDescent="0.3">
      <c r="A1125">
        <v>1975</v>
      </c>
      <c r="B1125">
        <v>49</v>
      </c>
      <c r="C1125">
        <v>168</v>
      </c>
      <c r="D1125">
        <v>0</v>
      </c>
      <c r="E1125">
        <v>41</v>
      </c>
      <c r="F1125">
        <v>0</v>
      </c>
      <c r="G1125">
        <v>15</v>
      </c>
      <c r="H1125">
        <v>51</v>
      </c>
      <c r="I1125">
        <v>173</v>
      </c>
      <c r="J1125">
        <v>2</v>
      </c>
      <c r="K1125">
        <v>1</v>
      </c>
      <c r="L1125">
        <v>1</v>
      </c>
      <c r="M1125">
        <v>4</v>
      </c>
      <c r="N1125">
        <v>3</v>
      </c>
    </row>
    <row r="1126" spans="1:14" hidden="1" x14ac:dyDescent="0.3">
      <c r="A1126">
        <v>2600</v>
      </c>
      <c r="B1126">
        <v>49</v>
      </c>
      <c r="C1126">
        <v>309</v>
      </c>
      <c r="D1126">
        <v>51</v>
      </c>
      <c r="E1126">
        <v>45</v>
      </c>
      <c r="F1126">
        <v>68</v>
      </c>
      <c r="G1126">
        <v>74</v>
      </c>
      <c r="H1126">
        <v>51</v>
      </c>
      <c r="I1126">
        <v>497</v>
      </c>
      <c r="J1126">
        <v>4</v>
      </c>
      <c r="K1126">
        <v>3</v>
      </c>
      <c r="L1126">
        <v>1</v>
      </c>
      <c r="M1126">
        <v>5</v>
      </c>
      <c r="N1126">
        <v>4</v>
      </c>
    </row>
    <row r="1127" spans="1:14" hidden="1" x14ac:dyDescent="0.3">
      <c r="A1127">
        <v>2381</v>
      </c>
      <c r="B1127">
        <v>49</v>
      </c>
      <c r="C1127">
        <v>326</v>
      </c>
      <c r="D1127">
        <v>11</v>
      </c>
      <c r="E1127">
        <v>78</v>
      </c>
      <c r="F1127">
        <v>15</v>
      </c>
      <c r="G1127">
        <v>4</v>
      </c>
      <c r="H1127">
        <v>107</v>
      </c>
      <c r="I1127">
        <v>326</v>
      </c>
      <c r="J1127">
        <v>4</v>
      </c>
      <c r="K1127">
        <v>3</v>
      </c>
      <c r="L1127">
        <v>0</v>
      </c>
      <c r="M1127">
        <v>4</v>
      </c>
      <c r="N1127">
        <v>9</v>
      </c>
    </row>
    <row r="1128" spans="1:14" hidden="1" x14ac:dyDescent="0.3">
      <c r="A1128">
        <v>2238</v>
      </c>
      <c r="B1128">
        <v>49</v>
      </c>
      <c r="C1128">
        <v>355</v>
      </c>
      <c r="D1128">
        <v>190</v>
      </c>
      <c r="E1128">
        <v>202</v>
      </c>
      <c r="F1128">
        <v>394</v>
      </c>
      <c r="G1128">
        <v>214</v>
      </c>
      <c r="H1128">
        <v>150</v>
      </c>
      <c r="I1128">
        <v>1204</v>
      </c>
      <c r="J1128">
        <v>2</v>
      </c>
      <c r="K1128">
        <v>4</v>
      </c>
      <c r="L1128">
        <v>2</v>
      </c>
      <c r="M1128">
        <v>11</v>
      </c>
      <c r="N1128">
        <v>2</v>
      </c>
    </row>
    <row r="1129" spans="1:14" hidden="1" x14ac:dyDescent="0.3">
      <c r="A1129">
        <v>2198</v>
      </c>
      <c r="B1129">
        <v>49</v>
      </c>
      <c r="C1129">
        <v>525</v>
      </c>
      <c r="D1129">
        <v>0</v>
      </c>
      <c r="E1129">
        <v>64</v>
      </c>
      <c r="F1129">
        <v>0</v>
      </c>
      <c r="G1129">
        <v>0</v>
      </c>
      <c r="H1129">
        <v>16</v>
      </c>
      <c r="I1129">
        <v>572</v>
      </c>
      <c r="J1129">
        <v>5</v>
      </c>
      <c r="K1129">
        <v>3</v>
      </c>
      <c r="L1129">
        <v>1</v>
      </c>
      <c r="M1129">
        <v>4</v>
      </c>
      <c r="N1129">
        <v>9</v>
      </c>
    </row>
    <row r="1130" spans="1:14" hidden="1" x14ac:dyDescent="0.3">
      <c r="A1130">
        <v>2645</v>
      </c>
      <c r="B1130">
        <v>49</v>
      </c>
      <c r="C1130">
        <v>735</v>
      </c>
      <c r="D1130">
        <v>7</v>
      </c>
      <c r="E1130">
        <v>167</v>
      </c>
      <c r="F1130">
        <v>11</v>
      </c>
      <c r="G1130">
        <v>7</v>
      </c>
      <c r="H1130">
        <v>36</v>
      </c>
      <c r="I1130">
        <v>891</v>
      </c>
      <c r="J1130">
        <v>2</v>
      </c>
      <c r="K1130">
        <v>4</v>
      </c>
      <c r="L1130">
        <v>2</v>
      </c>
      <c r="M1130">
        <v>5</v>
      </c>
      <c r="N1130">
        <v>7</v>
      </c>
    </row>
    <row r="1131" spans="1:14" hidden="1" x14ac:dyDescent="0.3">
      <c r="A1131">
        <v>2959</v>
      </c>
      <c r="B1131">
        <v>49</v>
      </c>
      <c r="C1131">
        <v>806</v>
      </c>
      <c r="D1131">
        <v>20</v>
      </c>
      <c r="E1131">
        <v>233</v>
      </c>
      <c r="F1131">
        <v>58</v>
      </c>
      <c r="G1131">
        <v>0</v>
      </c>
      <c r="H1131">
        <v>78</v>
      </c>
      <c r="I1131">
        <v>1040</v>
      </c>
      <c r="J1131">
        <v>8</v>
      </c>
      <c r="K1131">
        <v>6</v>
      </c>
      <c r="L1131">
        <v>3</v>
      </c>
      <c r="M1131">
        <v>5</v>
      </c>
      <c r="N1131">
        <v>7</v>
      </c>
    </row>
    <row r="1132" spans="1:14" hidden="1" x14ac:dyDescent="0.3">
      <c r="A1132">
        <v>1493</v>
      </c>
      <c r="B1132">
        <v>49</v>
      </c>
      <c r="C1132">
        <v>1006</v>
      </c>
      <c r="D1132">
        <v>363</v>
      </c>
      <c r="E1132">
        <v>171</v>
      </c>
      <c r="F1132">
        <v>158</v>
      </c>
      <c r="G1132">
        <v>68</v>
      </c>
      <c r="H1132">
        <v>155</v>
      </c>
      <c r="I1132">
        <v>1611</v>
      </c>
      <c r="J1132">
        <v>6</v>
      </c>
      <c r="K1132">
        <v>5</v>
      </c>
      <c r="L1132">
        <v>2</v>
      </c>
      <c r="M1132">
        <v>12</v>
      </c>
      <c r="N1132">
        <v>5</v>
      </c>
    </row>
    <row r="1133" spans="1:14" hidden="1" x14ac:dyDescent="0.3">
      <c r="A1133">
        <v>3027</v>
      </c>
      <c r="B1133">
        <v>49</v>
      </c>
      <c r="C1133">
        <v>1215</v>
      </c>
      <c r="D1133">
        <v>81</v>
      </c>
      <c r="E1133">
        <v>494</v>
      </c>
      <c r="F1133">
        <v>159</v>
      </c>
      <c r="G1133">
        <v>122</v>
      </c>
      <c r="H1133">
        <v>81</v>
      </c>
      <c r="I1133">
        <v>1991</v>
      </c>
      <c r="J1133">
        <v>2</v>
      </c>
      <c r="K1133">
        <v>6</v>
      </c>
      <c r="L1133">
        <v>3</v>
      </c>
      <c r="M1133">
        <v>4</v>
      </c>
      <c r="N1133">
        <v>2</v>
      </c>
    </row>
    <row r="1134" spans="1:14" hidden="1" x14ac:dyDescent="0.3">
      <c r="A1134">
        <v>2278</v>
      </c>
      <c r="B1134">
        <v>49</v>
      </c>
      <c r="C1134">
        <v>1488</v>
      </c>
      <c r="D1134">
        <v>19</v>
      </c>
      <c r="E1134">
        <v>311</v>
      </c>
      <c r="F1134">
        <v>101</v>
      </c>
      <c r="G1134">
        <v>57</v>
      </c>
      <c r="H1134">
        <v>213</v>
      </c>
      <c r="I1134">
        <v>1763</v>
      </c>
      <c r="J1134">
        <v>5</v>
      </c>
      <c r="K1134">
        <v>7</v>
      </c>
      <c r="L1134">
        <v>2</v>
      </c>
      <c r="M1134">
        <v>11</v>
      </c>
      <c r="N1134">
        <v>5</v>
      </c>
    </row>
    <row r="1135" spans="1:14" hidden="1" x14ac:dyDescent="0.3">
      <c r="A1135">
        <v>2655</v>
      </c>
      <c r="B1135">
        <v>49</v>
      </c>
      <c r="C1135">
        <v>1670</v>
      </c>
      <c r="D1135">
        <v>283</v>
      </c>
      <c r="E1135">
        <v>1207</v>
      </c>
      <c r="F1135">
        <v>184</v>
      </c>
      <c r="G1135">
        <v>247</v>
      </c>
      <c r="H1135">
        <v>213</v>
      </c>
      <c r="I1135">
        <v>3378</v>
      </c>
      <c r="J1135">
        <v>1</v>
      </c>
      <c r="K1135">
        <v>5</v>
      </c>
      <c r="L1135">
        <v>10</v>
      </c>
      <c r="M1135">
        <v>7</v>
      </c>
      <c r="N1135">
        <v>3</v>
      </c>
    </row>
    <row r="1136" spans="1:14" hidden="1" x14ac:dyDescent="0.3">
      <c r="A1136">
        <v>1692</v>
      </c>
      <c r="B1136">
        <v>49</v>
      </c>
      <c r="C1136">
        <v>1866</v>
      </c>
      <c r="D1136">
        <v>163</v>
      </c>
      <c r="E1136">
        <v>233</v>
      </c>
      <c r="F1136">
        <v>90</v>
      </c>
      <c r="G1136">
        <v>0</v>
      </c>
      <c r="H1136">
        <v>185</v>
      </c>
      <c r="I1136">
        <v>2166</v>
      </c>
      <c r="J1136">
        <v>4</v>
      </c>
      <c r="K1136">
        <v>7</v>
      </c>
      <c r="L1136">
        <v>5</v>
      </c>
      <c r="M1136">
        <v>10</v>
      </c>
      <c r="N1136">
        <v>5</v>
      </c>
    </row>
    <row r="1137" spans="1:14" hidden="1" x14ac:dyDescent="0.3">
      <c r="A1137">
        <v>1310</v>
      </c>
      <c r="B1137">
        <v>49</v>
      </c>
      <c r="C1137">
        <v>2066</v>
      </c>
      <c r="D1137">
        <v>0</v>
      </c>
      <c r="E1137">
        <v>717</v>
      </c>
      <c r="F1137">
        <v>117</v>
      </c>
      <c r="G1137">
        <v>117</v>
      </c>
      <c r="H1137">
        <v>329</v>
      </c>
      <c r="I1137">
        <v>2689</v>
      </c>
      <c r="J1137">
        <v>1</v>
      </c>
      <c r="K1137">
        <v>4</v>
      </c>
      <c r="L1137">
        <v>8</v>
      </c>
      <c r="M1137">
        <v>5</v>
      </c>
      <c r="N1137">
        <v>3</v>
      </c>
    </row>
    <row r="1138" spans="1:14" hidden="1" x14ac:dyDescent="0.3">
      <c r="A1138">
        <v>2914</v>
      </c>
      <c r="B1138">
        <v>48</v>
      </c>
      <c r="C1138">
        <v>10</v>
      </c>
      <c r="D1138">
        <v>10</v>
      </c>
      <c r="E1138">
        <v>20</v>
      </c>
      <c r="F1138">
        <v>64</v>
      </c>
      <c r="G1138">
        <v>64</v>
      </c>
      <c r="H1138">
        <v>20</v>
      </c>
      <c r="I1138">
        <v>148</v>
      </c>
      <c r="J1138">
        <v>1</v>
      </c>
      <c r="K1138">
        <v>1</v>
      </c>
      <c r="L1138">
        <v>0</v>
      </c>
      <c r="M1138">
        <v>4</v>
      </c>
      <c r="N1138">
        <v>4</v>
      </c>
    </row>
    <row r="1139" spans="1:14" hidden="1" x14ac:dyDescent="0.3">
      <c r="A1139">
        <v>2859</v>
      </c>
      <c r="B1139">
        <v>48</v>
      </c>
      <c r="C1139">
        <v>26</v>
      </c>
      <c r="D1139">
        <v>13</v>
      </c>
      <c r="E1139">
        <v>52</v>
      </c>
      <c r="F1139">
        <v>26</v>
      </c>
      <c r="G1139">
        <v>4</v>
      </c>
      <c r="H1139">
        <v>0</v>
      </c>
      <c r="I1139">
        <v>120</v>
      </c>
      <c r="J1139">
        <v>1</v>
      </c>
      <c r="K1139">
        <v>1</v>
      </c>
      <c r="L1139">
        <v>1</v>
      </c>
      <c r="M1139">
        <v>3</v>
      </c>
      <c r="N1139">
        <v>3</v>
      </c>
    </row>
    <row r="1140" spans="1:14" hidden="1" x14ac:dyDescent="0.3">
      <c r="A1140">
        <v>1949</v>
      </c>
      <c r="B1140">
        <v>48</v>
      </c>
      <c r="C1140">
        <v>54</v>
      </c>
      <c r="D1140">
        <v>0</v>
      </c>
      <c r="E1140">
        <v>8</v>
      </c>
      <c r="F1140">
        <v>0</v>
      </c>
      <c r="G1140">
        <v>0</v>
      </c>
      <c r="H1140">
        <v>27</v>
      </c>
      <c r="I1140">
        <v>35</v>
      </c>
      <c r="J1140">
        <v>1</v>
      </c>
      <c r="K1140">
        <v>1</v>
      </c>
      <c r="L1140">
        <v>0</v>
      </c>
      <c r="M1140">
        <v>2</v>
      </c>
      <c r="N1140">
        <v>8</v>
      </c>
    </row>
    <row r="1141" spans="1:14" hidden="1" x14ac:dyDescent="0.3">
      <c r="A1141">
        <v>2402</v>
      </c>
      <c r="B1141">
        <v>48</v>
      </c>
      <c r="C1141">
        <v>54</v>
      </c>
      <c r="D1141">
        <v>0</v>
      </c>
      <c r="E1141">
        <v>8</v>
      </c>
      <c r="F1141">
        <v>0</v>
      </c>
      <c r="G1141">
        <v>0</v>
      </c>
      <c r="H1141">
        <v>27</v>
      </c>
      <c r="I1141">
        <v>35</v>
      </c>
      <c r="J1141">
        <v>1</v>
      </c>
      <c r="K1141">
        <v>1</v>
      </c>
      <c r="L1141">
        <v>0</v>
      </c>
      <c r="M1141">
        <v>2</v>
      </c>
      <c r="N1141">
        <v>8</v>
      </c>
    </row>
    <row r="1142" spans="1:14" hidden="1" x14ac:dyDescent="0.3">
      <c r="A1142">
        <v>1561</v>
      </c>
      <c r="B1142">
        <v>48</v>
      </c>
      <c r="C1142">
        <v>77</v>
      </c>
      <c r="D1142">
        <v>34</v>
      </c>
      <c r="E1142">
        <v>145</v>
      </c>
      <c r="F1142">
        <v>85</v>
      </c>
      <c r="G1142">
        <v>17</v>
      </c>
      <c r="H1142">
        <v>60</v>
      </c>
      <c r="I1142">
        <v>299</v>
      </c>
      <c r="J1142">
        <v>4</v>
      </c>
      <c r="K1142">
        <v>3</v>
      </c>
      <c r="L1142">
        <v>0</v>
      </c>
      <c r="M1142">
        <v>3</v>
      </c>
      <c r="N1142">
        <v>8</v>
      </c>
    </row>
    <row r="1143" spans="1:14" hidden="1" x14ac:dyDescent="0.3">
      <c r="A1143">
        <v>2625</v>
      </c>
      <c r="B1143">
        <v>48</v>
      </c>
      <c r="C1143">
        <v>185</v>
      </c>
      <c r="D1143">
        <v>11</v>
      </c>
      <c r="E1143">
        <v>89</v>
      </c>
      <c r="F1143">
        <v>47</v>
      </c>
      <c r="G1143">
        <v>6</v>
      </c>
      <c r="H1143">
        <v>44</v>
      </c>
      <c r="I1143">
        <v>293</v>
      </c>
      <c r="J1143">
        <v>3</v>
      </c>
      <c r="K1143">
        <v>2</v>
      </c>
      <c r="L1143">
        <v>1</v>
      </c>
      <c r="M1143">
        <v>4</v>
      </c>
      <c r="N1143">
        <v>4</v>
      </c>
    </row>
    <row r="1144" spans="1:14" hidden="1" x14ac:dyDescent="0.3">
      <c r="A1144">
        <v>2934</v>
      </c>
      <c r="B1144">
        <v>48</v>
      </c>
      <c r="C1144">
        <v>185</v>
      </c>
      <c r="D1144">
        <v>11</v>
      </c>
      <c r="E1144">
        <v>89</v>
      </c>
      <c r="F1144">
        <v>47</v>
      </c>
      <c r="G1144">
        <v>6</v>
      </c>
      <c r="H1144">
        <v>44</v>
      </c>
      <c r="I1144">
        <v>293</v>
      </c>
      <c r="J1144">
        <v>3</v>
      </c>
      <c r="K1144">
        <v>2</v>
      </c>
      <c r="L1144">
        <v>1</v>
      </c>
      <c r="M1144">
        <v>4</v>
      </c>
      <c r="N1144">
        <v>4</v>
      </c>
    </row>
    <row r="1145" spans="1:14" hidden="1" x14ac:dyDescent="0.3">
      <c r="A1145">
        <v>2220</v>
      </c>
      <c r="B1145">
        <v>48</v>
      </c>
      <c r="C1145">
        <v>310</v>
      </c>
      <c r="D1145">
        <v>36</v>
      </c>
      <c r="E1145">
        <v>114</v>
      </c>
      <c r="F1145">
        <v>0</v>
      </c>
      <c r="G1145">
        <v>13</v>
      </c>
      <c r="H1145">
        <v>23</v>
      </c>
      <c r="I1145">
        <v>450</v>
      </c>
      <c r="J1145">
        <v>4</v>
      </c>
      <c r="K1145">
        <v>2</v>
      </c>
      <c r="L1145">
        <v>1</v>
      </c>
      <c r="M1145">
        <v>5</v>
      </c>
      <c r="N1145">
        <v>6</v>
      </c>
    </row>
    <row r="1146" spans="1:14" hidden="1" x14ac:dyDescent="0.3">
      <c r="A1146">
        <v>1081</v>
      </c>
      <c r="B1146">
        <v>48</v>
      </c>
      <c r="C1146">
        <v>490</v>
      </c>
      <c r="D1146">
        <v>0</v>
      </c>
      <c r="E1146">
        <v>60</v>
      </c>
      <c r="F1146">
        <v>0</v>
      </c>
      <c r="G1146">
        <v>0</v>
      </c>
      <c r="H1146">
        <v>19</v>
      </c>
      <c r="I1146">
        <v>531</v>
      </c>
      <c r="J1146">
        <v>5</v>
      </c>
      <c r="K1146">
        <v>3</v>
      </c>
      <c r="L1146">
        <v>1</v>
      </c>
      <c r="M1146">
        <v>4</v>
      </c>
      <c r="N1146">
        <v>7</v>
      </c>
    </row>
    <row r="1147" spans="1:14" hidden="1" x14ac:dyDescent="0.3">
      <c r="A1147">
        <v>3079</v>
      </c>
      <c r="B1147">
        <v>48</v>
      </c>
      <c r="C1147">
        <v>513</v>
      </c>
      <c r="D1147">
        <v>27</v>
      </c>
      <c r="E1147">
        <v>687</v>
      </c>
      <c r="F1147">
        <v>152</v>
      </c>
      <c r="G1147">
        <v>117</v>
      </c>
      <c r="H1147">
        <v>174</v>
      </c>
      <c r="I1147">
        <v>1323</v>
      </c>
      <c r="J1147">
        <v>6</v>
      </c>
      <c r="K1147">
        <v>8</v>
      </c>
      <c r="L1147">
        <v>2</v>
      </c>
      <c r="M1147">
        <v>7</v>
      </c>
      <c r="N1147">
        <v>7</v>
      </c>
    </row>
    <row r="1148" spans="1:14" hidden="1" x14ac:dyDescent="0.3">
      <c r="A1148">
        <v>1549</v>
      </c>
      <c r="B1148">
        <v>48</v>
      </c>
      <c r="C1148">
        <v>551</v>
      </c>
      <c r="D1148">
        <v>6</v>
      </c>
      <c r="E1148">
        <v>85</v>
      </c>
      <c r="F1148">
        <v>9</v>
      </c>
      <c r="G1148">
        <v>6</v>
      </c>
      <c r="H1148">
        <v>117</v>
      </c>
      <c r="I1148">
        <v>540</v>
      </c>
      <c r="J1148">
        <v>2</v>
      </c>
      <c r="K1148">
        <v>3</v>
      </c>
      <c r="L1148">
        <v>2</v>
      </c>
      <c r="M1148">
        <v>5</v>
      </c>
      <c r="N1148">
        <v>4</v>
      </c>
    </row>
    <row r="1149" spans="1:14" hidden="1" x14ac:dyDescent="0.3">
      <c r="A1149">
        <v>2283</v>
      </c>
      <c r="B1149">
        <v>48</v>
      </c>
      <c r="C1149">
        <v>596</v>
      </c>
      <c r="D1149">
        <v>16</v>
      </c>
      <c r="E1149">
        <v>212</v>
      </c>
      <c r="F1149">
        <v>10</v>
      </c>
      <c r="G1149">
        <v>16</v>
      </c>
      <c r="H1149">
        <v>160</v>
      </c>
      <c r="I1149">
        <v>691</v>
      </c>
      <c r="J1149">
        <v>5</v>
      </c>
      <c r="K1149">
        <v>5</v>
      </c>
      <c r="L1149">
        <v>2</v>
      </c>
      <c r="M1149">
        <v>4</v>
      </c>
      <c r="N1149">
        <v>9</v>
      </c>
    </row>
    <row r="1150" spans="1:14" hidden="1" x14ac:dyDescent="0.3">
      <c r="A1150">
        <v>1506</v>
      </c>
      <c r="B1150">
        <v>48</v>
      </c>
      <c r="C1150">
        <v>598</v>
      </c>
      <c r="D1150">
        <v>7</v>
      </c>
      <c r="E1150">
        <v>214</v>
      </c>
      <c r="F1150">
        <v>127</v>
      </c>
      <c r="G1150">
        <v>57</v>
      </c>
      <c r="H1150">
        <v>194</v>
      </c>
      <c r="I1150">
        <v>809</v>
      </c>
      <c r="J1150">
        <v>1</v>
      </c>
      <c r="K1150">
        <v>5</v>
      </c>
      <c r="L1150">
        <v>1</v>
      </c>
      <c r="M1150">
        <v>6</v>
      </c>
      <c r="N1150">
        <v>5</v>
      </c>
    </row>
    <row r="1151" spans="1:14" hidden="1" x14ac:dyDescent="0.3">
      <c r="A1151">
        <v>3102</v>
      </c>
      <c r="B1151">
        <v>48</v>
      </c>
      <c r="C1151">
        <v>606</v>
      </c>
      <c r="D1151">
        <v>169</v>
      </c>
      <c r="E1151">
        <v>1264</v>
      </c>
      <c r="F1151">
        <v>503</v>
      </c>
      <c r="G1151">
        <v>0</v>
      </c>
      <c r="H1151">
        <v>412</v>
      </c>
      <c r="I1151">
        <v>2130</v>
      </c>
      <c r="J1151">
        <v>3</v>
      </c>
      <c r="K1151">
        <v>3</v>
      </c>
      <c r="L1151">
        <v>5</v>
      </c>
      <c r="M1151">
        <v>6</v>
      </c>
      <c r="N1151">
        <v>2</v>
      </c>
    </row>
    <row r="1152" spans="1:14" hidden="1" x14ac:dyDescent="0.3">
      <c r="A1152">
        <v>3156</v>
      </c>
      <c r="B1152">
        <v>48</v>
      </c>
      <c r="C1152">
        <v>606</v>
      </c>
      <c r="D1152">
        <v>169</v>
      </c>
      <c r="E1152">
        <v>1264</v>
      </c>
      <c r="F1152">
        <v>503</v>
      </c>
      <c r="G1152">
        <v>0</v>
      </c>
      <c r="H1152">
        <v>412</v>
      </c>
      <c r="I1152">
        <v>2130</v>
      </c>
      <c r="J1152">
        <v>3</v>
      </c>
      <c r="K1152">
        <v>3</v>
      </c>
      <c r="L1152">
        <v>5</v>
      </c>
      <c r="M1152">
        <v>6</v>
      </c>
      <c r="N1152">
        <v>2</v>
      </c>
    </row>
    <row r="1153" spans="1:14" hidden="1" x14ac:dyDescent="0.3">
      <c r="A1153">
        <v>2145</v>
      </c>
      <c r="B1153">
        <v>48</v>
      </c>
      <c r="C1153">
        <v>731</v>
      </c>
      <c r="D1153">
        <v>0</v>
      </c>
      <c r="E1153">
        <v>21</v>
      </c>
      <c r="F1153">
        <v>0</v>
      </c>
      <c r="G1153">
        <v>0</v>
      </c>
      <c r="H1153">
        <v>7</v>
      </c>
      <c r="I1153">
        <v>744</v>
      </c>
      <c r="J1153">
        <v>2</v>
      </c>
      <c r="K1153">
        <v>4</v>
      </c>
      <c r="L1153">
        <v>1</v>
      </c>
      <c r="M1153">
        <v>5</v>
      </c>
      <c r="N1153">
        <v>7</v>
      </c>
    </row>
    <row r="1154" spans="1:14" hidden="1" x14ac:dyDescent="0.3">
      <c r="A1154">
        <v>1940</v>
      </c>
      <c r="B1154">
        <v>48</v>
      </c>
      <c r="C1154">
        <v>759</v>
      </c>
      <c r="D1154">
        <v>9</v>
      </c>
      <c r="E1154">
        <v>85</v>
      </c>
      <c r="F1154">
        <v>11</v>
      </c>
      <c r="G1154">
        <v>0</v>
      </c>
      <c r="H1154">
        <v>162</v>
      </c>
      <c r="I1154">
        <v>702</v>
      </c>
      <c r="J1154">
        <v>4</v>
      </c>
      <c r="K1154">
        <v>5</v>
      </c>
      <c r="L1154">
        <v>2</v>
      </c>
      <c r="M1154">
        <v>5</v>
      </c>
      <c r="N1154">
        <v>6</v>
      </c>
    </row>
    <row r="1155" spans="1:14" hidden="1" x14ac:dyDescent="0.3">
      <c r="A1155">
        <v>2482</v>
      </c>
      <c r="B1155">
        <v>48</v>
      </c>
      <c r="C1155">
        <v>842</v>
      </c>
      <c r="D1155">
        <v>14</v>
      </c>
      <c r="E1155">
        <v>300</v>
      </c>
      <c r="F1155">
        <v>58</v>
      </c>
      <c r="G1155">
        <v>300</v>
      </c>
      <c r="H1155">
        <v>253</v>
      </c>
      <c r="I1155">
        <v>1260</v>
      </c>
      <c r="J1155">
        <v>9</v>
      </c>
      <c r="K1155">
        <v>5</v>
      </c>
      <c r="L1155">
        <v>2</v>
      </c>
      <c r="M1155">
        <v>10</v>
      </c>
      <c r="N1155">
        <v>6</v>
      </c>
    </row>
    <row r="1156" spans="1:14" hidden="1" x14ac:dyDescent="0.3">
      <c r="A1156">
        <v>2469</v>
      </c>
      <c r="B1156">
        <v>48</v>
      </c>
      <c r="C1156">
        <v>938</v>
      </c>
      <c r="D1156">
        <v>95</v>
      </c>
      <c r="E1156">
        <v>486</v>
      </c>
      <c r="F1156">
        <v>41</v>
      </c>
      <c r="G1156">
        <v>63</v>
      </c>
      <c r="H1156">
        <v>46</v>
      </c>
      <c r="I1156">
        <v>1577</v>
      </c>
      <c r="J1156">
        <v>7</v>
      </c>
      <c r="K1156">
        <v>7</v>
      </c>
      <c r="L1156">
        <v>2</v>
      </c>
      <c r="M1156">
        <v>9</v>
      </c>
      <c r="N1156">
        <v>6</v>
      </c>
    </row>
    <row r="1157" spans="1:14" hidden="1" x14ac:dyDescent="0.3">
      <c r="A1157">
        <v>2899</v>
      </c>
      <c r="B1157">
        <v>48</v>
      </c>
      <c r="C1157">
        <v>1129</v>
      </c>
      <c r="D1157">
        <v>306</v>
      </c>
      <c r="E1157">
        <v>896</v>
      </c>
      <c r="F1157">
        <v>232</v>
      </c>
      <c r="G1157">
        <v>49</v>
      </c>
      <c r="H1157">
        <v>49</v>
      </c>
      <c r="I1157">
        <v>2563</v>
      </c>
      <c r="J1157">
        <v>3</v>
      </c>
      <c r="K1157">
        <v>11</v>
      </c>
      <c r="L1157">
        <v>5</v>
      </c>
      <c r="M1157">
        <v>11</v>
      </c>
      <c r="N1157">
        <v>5</v>
      </c>
    </row>
    <row r="1158" spans="1:14" hidden="1" x14ac:dyDescent="0.3">
      <c r="A1158">
        <v>2517</v>
      </c>
      <c r="B1158">
        <v>48</v>
      </c>
      <c r="C1158">
        <v>1179</v>
      </c>
      <c r="D1158">
        <v>168</v>
      </c>
      <c r="E1158">
        <v>631</v>
      </c>
      <c r="F1158">
        <v>84</v>
      </c>
      <c r="G1158">
        <v>63</v>
      </c>
      <c r="H1158">
        <v>126</v>
      </c>
      <c r="I1158">
        <v>1999</v>
      </c>
      <c r="J1158">
        <v>4</v>
      </c>
      <c r="K1158">
        <v>9</v>
      </c>
      <c r="L1158">
        <v>2</v>
      </c>
      <c r="M1158">
        <v>12</v>
      </c>
      <c r="N1158">
        <v>5</v>
      </c>
    </row>
    <row r="1159" spans="1:14" hidden="1" x14ac:dyDescent="0.3">
      <c r="A1159">
        <v>2703</v>
      </c>
      <c r="B1159">
        <v>48</v>
      </c>
      <c r="C1159">
        <v>1179</v>
      </c>
      <c r="D1159">
        <v>168</v>
      </c>
      <c r="E1159">
        <v>631</v>
      </c>
      <c r="F1159">
        <v>84</v>
      </c>
      <c r="G1159">
        <v>63</v>
      </c>
      <c r="H1159">
        <v>126</v>
      </c>
      <c r="I1159">
        <v>1999</v>
      </c>
      <c r="J1159">
        <v>4</v>
      </c>
      <c r="K1159">
        <v>9</v>
      </c>
      <c r="L1159">
        <v>2</v>
      </c>
      <c r="M1159">
        <v>12</v>
      </c>
      <c r="N1159">
        <v>5</v>
      </c>
    </row>
    <row r="1160" spans="1:14" hidden="1" x14ac:dyDescent="0.3">
      <c r="A1160">
        <v>2475</v>
      </c>
      <c r="B1160">
        <v>48</v>
      </c>
      <c r="C1160">
        <v>1865</v>
      </c>
      <c r="D1160">
        <v>30</v>
      </c>
      <c r="E1160">
        <v>947</v>
      </c>
      <c r="F1160">
        <v>81</v>
      </c>
      <c r="G1160">
        <v>219</v>
      </c>
      <c r="H1160">
        <v>219</v>
      </c>
      <c r="I1160">
        <v>2923</v>
      </c>
      <c r="J1160">
        <v>1</v>
      </c>
      <c r="K1160">
        <v>9</v>
      </c>
      <c r="L1160">
        <v>7</v>
      </c>
      <c r="M1160">
        <v>13</v>
      </c>
      <c r="N1160">
        <v>4</v>
      </c>
    </row>
    <row r="1161" spans="1:14" hidden="1" x14ac:dyDescent="0.3">
      <c r="A1161">
        <v>3053</v>
      </c>
      <c r="B1161">
        <v>48</v>
      </c>
      <c r="C1161">
        <v>1865</v>
      </c>
      <c r="D1161">
        <v>30</v>
      </c>
      <c r="E1161">
        <v>947</v>
      </c>
      <c r="F1161">
        <v>81</v>
      </c>
      <c r="G1161">
        <v>219</v>
      </c>
      <c r="H1161">
        <v>219</v>
      </c>
      <c r="I1161">
        <v>2923</v>
      </c>
      <c r="J1161">
        <v>1</v>
      </c>
      <c r="K1161">
        <v>9</v>
      </c>
      <c r="L1161">
        <v>7</v>
      </c>
      <c r="M1161">
        <v>13</v>
      </c>
      <c r="N1161">
        <v>4</v>
      </c>
    </row>
    <row r="1162" spans="1:14" hidden="1" x14ac:dyDescent="0.3">
      <c r="A1162">
        <v>1207</v>
      </c>
      <c r="B1162">
        <v>48</v>
      </c>
      <c r="C1162">
        <v>2009</v>
      </c>
      <c r="D1162">
        <v>78</v>
      </c>
      <c r="E1162">
        <v>395</v>
      </c>
      <c r="F1162">
        <v>102</v>
      </c>
      <c r="G1162">
        <v>78</v>
      </c>
      <c r="H1162">
        <v>105</v>
      </c>
      <c r="I1162">
        <v>2558</v>
      </c>
      <c r="J1162">
        <v>2</v>
      </c>
      <c r="K1162">
        <v>11</v>
      </c>
      <c r="L1162">
        <v>4</v>
      </c>
      <c r="M1162">
        <v>11</v>
      </c>
      <c r="N1162">
        <v>6</v>
      </c>
    </row>
    <row r="1163" spans="1:14" hidden="1" x14ac:dyDescent="0.3">
      <c r="A1163">
        <v>2627</v>
      </c>
      <c r="B1163">
        <v>48</v>
      </c>
      <c r="C1163">
        <v>2175</v>
      </c>
      <c r="D1163">
        <v>82</v>
      </c>
      <c r="E1163">
        <v>588</v>
      </c>
      <c r="F1163">
        <v>78</v>
      </c>
      <c r="G1163">
        <v>362</v>
      </c>
      <c r="H1163">
        <v>69</v>
      </c>
      <c r="I1163">
        <v>3216</v>
      </c>
      <c r="J1163">
        <v>1</v>
      </c>
      <c r="K1163">
        <v>3</v>
      </c>
      <c r="L1163">
        <v>6</v>
      </c>
      <c r="M1163">
        <v>12</v>
      </c>
      <c r="N1163">
        <v>6</v>
      </c>
    </row>
    <row r="1164" spans="1:14" hidden="1" x14ac:dyDescent="0.3">
      <c r="A1164">
        <v>1243</v>
      </c>
      <c r="B1164">
        <v>48</v>
      </c>
      <c r="C1164">
        <v>2367</v>
      </c>
      <c r="D1164">
        <v>54</v>
      </c>
      <c r="E1164">
        <v>304</v>
      </c>
      <c r="F1164">
        <v>34</v>
      </c>
      <c r="G1164">
        <v>26</v>
      </c>
      <c r="H1164">
        <v>54</v>
      </c>
      <c r="I1164">
        <v>2731</v>
      </c>
      <c r="J1164">
        <v>3</v>
      </c>
      <c r="K1164">
        <v>8</v>
      </c>
      <c r="L1164">
        <v>3</v>
      </c>
      <c r="M1164">
        <v>5</v>
      </c>
      <c r="N1164">
        <v>6</v>
      </c>
    </row>
    <row r="1165" spans="1:14" hidden="1" x14ac:dyDescent="0.3">
      <c r="A1165">
        <v>2725</v>
      </c>
      <c r="B1165">
        <v>48</v>
      </c>
      <c r="C1165">
        <v>2367</v>
      </c>
      <c r="D1165">
        <v>54</v>
      </c>
      <c r="E1165">
        <v>304</v>
      </c>
      <c r="F1165">
        <v>34</v>
      </c>
      <c r="G1165">
        <v>26</v>
      </c>
      <c r="H1165">
        <v>54</v>
      </c>
      <c r="I1165">
        <v>2731</v>
      </c>
      <c r="J1165">
        <v>3</v>
      </c>
      <c r="K1165">
        <v>8</v>
      </c>
      <c r="L1165">
        <v>3</v>
      </c>
      <c r="M1165">
        <v>5</v>
      </c>
      <c r="N1165">
        <v>6</v>
      </c>
    </row>
    <row r="1166" spans="1:14" hidden="1" x14ac:dyDescent="0.3">
      <c r="A1166">
        <v>1136</v>
      </c>
      <c r="B1166">
        <v>47</v>
      </c>
      <c r="C1166">
        <v>10</v>
      </c>
      <c r="D1166">
        <v>5</v>
      </c>
      <c r="E1166">
        <v>93</v>
      </c>
      <c r="F1166">
        <v>103</v>
      </c>
      <c r="G1166">
        <v>57</v>
      </c>
      <c r="H1166">
        <v>83</v>
      </c>
      <c r="I1166">
        <v>186</v>
      </c>
      <c r="J1166">
        <v>1</v>
      </c>
      <c r="K1166">
        <v>2</v>
      </c>
      <c r="L1166">
        <v>0</v>
      </c>
      <c r="M1166">
        <v>3</v>
      </c>
      <c r="N1166">
        <v>6</v>
      </c>
    </row>
    <row r="1167" spans="1:14" hidden="1" x14ac:dyDescent="0.3">
      <c r="A1167">
        <v>2099</v>
      </c>
      <c r="B1167">
        <v>47</v>
      </c>
      <c r="C1167">
        <v>11</v>
      </c>
      <c r="D1167">
        <v>125</v>
      </c>
      <c r="E1167">
        <v>60</v>
      </c>
      <c r="F1167">
        <v>43</v>
      </c>
      <c r="G1167">
        <v>33</v>
      </c>
      <c r="H1167">
        <v>249</v>
      </c>
      <c r="I1167">
        <v>22</v>
      </c>
      <c r="J1167">
        <v>1</v>
      </c>
      <c r="K1167">
        <v>2</v>
      </c>
      <c r="L1167">
        <v>1</v>
      </c>
      <c r="M1167">
        <v>2</v>
      </c>
      <c r="N1167">
        <v>8</v>
      </c>
    </row>
    <row r="1168" spans="1:14" hidden="1" x14ac:dyDescent="0.3">
      <c r="A1168">
        <v>2392</v>
      </c>
      <c r="B1168">
        <v>47</v>
      </c>
      <c r="C1168">
        <v>11</v>
      </c>
      <c r="D1168">
        <v>125</v>
      </c>
      <c r="E1168">
        <v>60</v>
      </c>
      <c r="F1168">
        <v>43</v>
      </c>
      <c r="G1168">
        <v>33</v>
      </c>
      <c r="H1168">
        <v>249</v>
      </c>
      <c r="I1168">
        <v>22</v>
      </c>
      <c r="J1168">
        <v>1</v>
      </c>
      <c r="K1168">
        <v>2</v>
      </c>
      <c r="L1168">
        <v>1</v>
      </c>
      <c r="M1168">
        <v>2</v>
      </c>
      <c r="N1168">
        <v>8</v>
      </c>
    </row>
    <row r="1169" spans="1:14" hidden="1" x14ac:dyDescent="0.3">
      <c r="A1169">
        <v>2215</v>
      </c>
      <c r="B1169">
        <v>47</v>
      </c>
      <c r="C1169">
        <v>66</v>
      </c>
      <c r="D1169">
        <v>0</v>
      </c>
      <c r="E1169">
        <v>33</v>
      </c>
      <c r="F1169">
        <v>0</v>
      </c>
      <c r="G1169">
        <v>4</v>
      </c>
      <c r="H1169">
        <v>40</v>
      </c>
      <c r="I1169">
        <v>62</v>
      </c>
      <c r="J1169">
        <v>1</v>
      </c>
      <c r="K1169">
        <v>1</v>
      </c>
      <c r="L1169">
        <v>0</v>
      </c>
      <c r="M1169">
        <v>3</v>
      </c>
      <c r="N1169">
        <v>6</v>
      </c>
    </row>
    <row r="1170" spans="1:14" hidden="1" x14ac:dyDescent="0.3">
      <c r="A1170">
        <v>2908</v>
      </c>
      <c r="B1170">
        <v>47</v>
      </c>
      <c r="C1170">
        <v>75</v>
      </c>
      <c r="D1170">
        <v>13</v>
      </c>
      <c r="E1170">
        <v>79</v>
      </c>
      <c r="F1170">
        <v>13</v>
      </c>
      <c r="G1170">
        <v>18</v>
      </c>
      <c r="H1170">
        <v>79</v>
      </c>
      <c r="I1170">
        <v>118</v>
      </c>
      <c r="J1170">
        <v>2</v>
      </c>
      <c r="K1170">
        <v>3</v>
      </c>
      <c r="L1170">
        <v>1</v>
      </c>
      <c r="M1170">
        <v>2</v>
      </c>
      <c r="N1170">
        <v>7</v>
      </c>
    </row>
    <row r="1171" spans="1:14" hidden="1" x14ac:dyDescent="0.3">
      <c r="A1171">
        <v>1532</v>
      </c>
      <c r="B1171">
        <v>47</v>
      </c>
      <c r="C1171">
        <v>86</v>
      </c>
      <c r="D1171">
        <v>18</v>
      </c>
      <c r="E1171">
        <v>129</v>
      </c>
      <c r="F1171">
        <v>12</v>
      </c>
      <c r="G1171">
        <v>6</v>
      </c>
      <c r="H1171">
        <v>171</v>
      </c>
      <c r="I1171">
        <v>80</v>
      </c>
      <c r="J1171">
        <v>4</v>
      </c>
      <c r="K1171">
        <v>3</v>
      </c>
      <c r="L1171">
        <v>1</v>
      </c>
      <c r="M1171">
        <v>2</v>
      </c>
      <c r="N1171">
        <v>8</v>
      </c>
    </row>
    <row r="1172" spans="1:14" hidden="1" x14ac:dyDescent="0.3">
      <c r="A1172">
        <v>1989</v>
      </c>
      <c r="B1172">
        <v>47</v>
      </c>
      <c r="C1172">
        <v>86</v>
      </c>
      <c r="D1172">
        <v>18</v>
      </c>
      <c r="E1172">
        <v>129</v>
      </c>
      <c r="F1172">
        <v>12</v>
      </c>
      <c r="G1172">
        <v>6</v>
      </c>
      <c r="H1172">
        <v>171</v>
      </c>
      <c r="I1172">
        <v>80</v>
      </c>
      <c r="J1172">
        <v>4</v>
      </c>
      <c r="K1172">
        <v>3</v>
      </c>
      <c r="L1172">
        <v>1</v>
      </c>
      <c r="M1172">
        <v>2</v>
      </c>
      <c r="N1172">
        <v>8</v>
      </c>
    </row>
    <row r="1173" spans="1:14" hidden="1" x14ac:dyDescent="0.3">
      <c r="A1173">
        <v>1948</v>
      </c>
      <c r="B1173">
        <v>47</v>
      </c>
      <c r="C1173">
        <v>171</v>
      </c>
      <c r="D1173">
        <v>8</v>
      </c>
      <c r="E1173">
        <v>108</v>
      </c>
      <c r="F1173">
        <v>0</v>
      </c>
      <c r="G1173">
        <v>36</v>
      </c>
      <c r="H1173">
        <v>48</v>
      </c>
      <c r="I1173">
        <v>275</v>
      </c>
      <c r="J1173">
        <v>3</v>
      </c>
      <c r="K1173">
        <v>3</v>
      </c>
      <c r="L1173">
        <v>0</v>
      </c>
      <c r="M1173">
        <v>4</v>
      </c>
      <c r="N1173">
        <v>7</v>
      </c>
    </row>
    <row r="1174" spans="1:14" hidden="1" x14ac:dyDescent="0.3">
      <c r="A1174">
        <v>1945</v>
      </c>
      <c r="B1174">
        <v>47</v>
      </c>
      <c r="C1174">
        <v>290</v>
      </c>
      <c r="D1174">
        <v>36</v>
      </c>
      <c r="E1174">
        <v>251</v>
      </c>
      <c r="F1174">
        <v>39</v>
      </c>
      <c r="G1174">
        <v>30</v>
      </c>
      <c r="H1174">
        <v>45</v>
      </c>
      <c r="I1174">
        <v>602</v>
      </c>
      <c r="J1174">
        <v>7</v>
      </c>
      <c r="K1174">
        <v>3</v>
      </c>
      <c r="L1174">
        <v>1</v>
      </c>
      <c r="M1174">
        <v>6</v>
      </c>
      <c r="N1174">
        <v>5</v>
      </c>
    </row>
    <row r="1175" spans="1:14" hidden="1" x14ac:dyDescent="0.3">
      <c r="A1175">
        <v>1578</v>
      </c>
      <c r="B1175">
        <v>47</v>
      </c>
      <c r="C1175">
        <v>347</v>
      </c>
      <c r="D1175">
        <v>80</v>
      </c>
      <c r="E1175">
        <v>448</v>
      </c>
      <c r="F1175">
        <v>53</v>
      </c>
      <c r="G1175">
        <v>91</v>
      </c>
      <c r="H1175">
        <v>0</v>
      </c>
      <c r="I1175">
        <v>1019</v>
      </c>
      <c r="J1175">
        <v>1</v>
      </c>
      <c r="K1175">
        <v>3</v>
      </c>
      <c r="L1175">
        <v>4</v>
      </c>
      <c r="M1175">
        <v>7</v>
      </c>
      <c r="N1175">
        <v>1</v>
      </c>
    </row>
    <row r="1176" spans="1:14" hidden="1" x14ac:dyDescent="0.3">
      <c r="A1176">
        <v>2737</v>
      </c>
      <c r="B1176">
        <v>47</v>
      </c>
      <c r="C1176">
        <v>477</v>
      </c>
      <c r="D1176">
        <v>8</v>
      </c>
      <c r="E1176">
        <v>228</v>
      </c>
      <c r="F1176">
        <v>190</v>
      </c>
      <c r="G1176">
        <v>177</v>
      </c>
      <c r="H1176">
        <v>156</v>
      </c>
      <c r="I1176">
        <v>925</v>
      </c>
      <c r="J1176">
        <v>2</v>
      </c>
      <c r="K1176">
        <v>3</v>
      </c>
      <c r="L1176">
        <v>3</v>
      </c>
      <c r="M1176">
        <v>8</v>
      </c>
      <c r="N1176">
        <v>2</v>
      </c>
    </row>
    <row r="1177" spans="1:14" hidden="1" x14ac:dyDescent="0.3">
      <c r="A1177">
        <v>3065</v>
      </c>
      <c r="B1177">
        <v>47</v>
      </c>
      <c r="C1177">
        <v>539</v>
      </c>
      <c r="D1177">
        <v>297</v>
      </c>
      <c r="E1177">
        <v>1000</v>
      </c>
      <c r="F1177">
        <v>562</v>
      </c>
      <c r="G1177">
        <v>432</v>
      </c>
      <c r="H1177">
        <v>243</v>
      </c>
      <c r="I1177">
        <v>2587</v>
      </c>
      <c r="J1177">
        <v>1</v>
      </c>
      <c r="K1177">
        <v>3</v>
      </c>
      <c r="L1177">
        <v>7</v>
      </c>
      <c r="M1177">
        <v>8</v>
      </c>
      <c r="N1177">
        <v>1</v>
      </c>
    </row>
    <row r="1178" spans="1:14" hidden="1" x14ac:dyDescent="0.3">
      <c r="A1178">
        <v>2216</v>
      </c>
      <c r="B1178">
        <v>47</v>
      </c>
      <c r="C1178">
        <v>771</v>
      </c>
      <c r="D1178">
        <v>0</v>
      </c>
      <c r="E1178">
        <v>713</v>
      </c>
      <c r="F1178">
        <v>153</v>
      </c>
      <c r="G1178">
        <v>374</v>
      </c>
      <c r="H1178">
        <v>38</v>
      </c>
      <c r="I1178">
        <v>1972</v>
      </c>
      <c r="J1178">
        <v>4</v>
      </c>
      <c r="K1178">
        <v>8</v>
      </c>
      <c r="L1178">
        <v>2</v>
      </c>
      <c r="M1178">
        <v>11</v>
      </c>
      <c r="N1178">
        <v>6</v>
      </c>
    </row>
    <row r="1179" spans="1:14" hidden="1" x14ac:dyDescent="0.3">
      <c r="A1179">
        <v>1253</v>
      </c>
      <c r="B1179">
        <v>47</v>
      </c>
      <c r="C1179">
        <v>1086</v>
      </c>
      <c r="D1179">
        <v>189</v>
      </c>
      <c r="E1179">
        <v>895</v>
      </c>
      <c r="F1179">
        <v>461</v>
      </c>
      <c r="G1179">
        <v>189</v>
      </c>
      <c r="H1179">
        <v>542</v>
      </c>
      <c r="I1179">
        <v>2277</v>
      </c>
      <c r="J1179">
        <v>1</v>
      </c>
      <c r="K1179">
        <v>3</v>
      </c>
      <c r="L1179">
        <v>7</v>
      </c>
      <c r="M1179">
        <v>8</v>
      </c>
      <c r="N1179">
        <v>1</v>
      </c>
    </row>
    <row r="1180" spans="1:14" hidden="1" x14ac:dyDescent="0.3">
      <c r="A1180">
        <v>1447</v>
      </c>
      <c r="B1180">
        <v>47</v>
      </c>
      <c r="C1180">
        <v>1086</v>
      </c>
      <c r="D1180">
        <v>189</v>
      </c>
      <c r="E1180">
        <v>895</v>
      </c>
      <c r="F1180">
        <v>461</v>
      </c>
      <c r="G1180">
        <v>189</v>
      </c>
      <c r="H1180">
        <v>542</v>
      </c>
      <c r="I1180">
        <v>2277</v>
      </c>
      <c r="J1180">
        <v>1</v>
      </c>
      <c r="K1180">
        <v>3</v>
      </c>
      <c r="L1180">
        <v>7</v>
      </c>
      <c r="M1180">
        <v>8</v>
      </c>
      <c r="N1180">
        <v>1</v>
      </c>
    </row>
    <row r="1181" spans="1:14" hidden="1" x14ac:dyDescent="0.3">
      <c r="A1181">
        <v>1454</v>
      </c>
      <c r="B1181">
        <v>47</v>
      </c>
      <c r="C1181">
        <v>1479</v>
      </c>
      <c r="D1181">
        <v>200</v>
      </c>
      <c r="E1181">
        <v>1009</v>
      </c>
      <c r="F1181">
        <v>221</v>
      </c>
      <c r="G1181">
        <v>504</v>
      </c>
      <c r="H1181">
        <v>234</v>
      </c>
      <c r="I1181">
        <v>3179</v>
      </c>
      <c r="J1181">
        <v>4</v>
      </c>
      <c r="K1181">
        <v>6</v>
      </c>
      <c r="L1181">
        <v>10</v>
      </c>
      <c r="M1181">
        <v>13</v>
      </c>
      <c r="N1181">
        <v>4</v>
      </c>
    </row>
    <row r="1182" spans="1:14" hidden="1" x14ac:dyDescent="0.3">
      <c r="A1182">
        <v>1133</v>
      </c>
      <c r="B1182">
        <v>47</v>
      </c>
      <c r="C1182">
        <v>1512</v>
      </c>
      <c r="D1182">
        <v>39</v>
      </c>
      <c r="E1182">
        <v>325</v>
      </c>
      <c r="F1182">
        <v>106</v>
      </c>
      <c r="G1182">
        <v>81</v>
      </c>
      <c r="H1182">
        <v>81</v>
      </c>
      <c r="I1182">
        <v>1983</v>
      </c>
      <c r="J1182">
        <v>3</v>
      </c>
      <c r="K1182">
        <v>8</v>
      </c>
      <c r="L1182">
        <v>5</v>
      </c>
      <c r="M1182">
        <v>9</v>
      </c>
      <c r="N1182">
        <v>6</v>
      </c>
    </row>
    <row r="1183" spans="1:14" hidden="1" x14ac:dyDescent="0.3">
      <c r="A1183">
        <v>2967</v>
      </c>
      <c r="B1183">
        <v>47</v>
      </c>
      <c r="C1183">
        <v>2667</v>
      </c>
      <c r="D1183">
        <v>50</v>
      </c>
      <c r="E1183">
        <v>1559</v>
      </c>
      <c r="F1183">
        <v>196</v>
      </c>
      <c r="G1183">
        <v>61</v>
      </c>
      <c r="H1183">
        <v>100</v>
      </c>
      <c r="I1183">
        <v>4434</v>
      </c>
      <c r="J1183">
        <v>0</v>
      </c>
      <c r="K1183">
        <v>9</v>
      </c>
      <c r="L1183">
        <v>7</v>
      </c>
      <c r="M1183">
        <v>11</v>
      </c>
      <c r="N1183">
        <v>3</v>
      </c>
    </row>
    <row r="1184" spans="1:14" hidden="1" x14ac:dyDescent="0.3">
      <c r="A1184">
        <v>1499</v>
      </c>
      <c r="B1184">
        <v>47</v>
      </c>
      <c r="C1184">
        <v>2875</v>
      </c>
      <c r="D1184">
        <v>45</v>
      </c>
      <c r="E1184">
        <v>1368</v>
      </c>
      <c r="F1184">
        <v>179</v>
      </c>
      <c r="G1184">
        <v>136</v>
      </c>
      <c r="H1184">
        <v>60</v>
      </c>
      <c r="I1184">
        <v>4542</v>
      </c>
      <c r="J1184">
        <v>1</v>
      </c>
      <c r="K1184">
        <v>5</v>
      </c>
      <c r="L1184">
        <v>7</v>
      </c>
      <c r="M1184">
        <v>9</v>
      </c>
      <c r="N1184">
        <v>2</v>
      </c>
    </row>
    <row r="1185" spans="1:14" hidden="1" x14ac:dyDescent="0.3">
      <c r="A1185">
        <v>1524</v>
      </c>
      <c r="B1185">
        <v>46</v>
      </c>
      <c r="C1185">
        <v>5</v>
      </c>
      <c r="D1185">
        <v>45</v>
      </c>
      <c r="E1185">
        <v>40</v>
      </c>
      <c r="F1185">
        <v>54</v>
      </c>
      <c r="G1185">
        <v>15</v>
      </c>
      <c r="H1185">
        <v>109</v>
      </c>
      <c r="I1185">
        <v>50</v>
      </c>
      <c r="J1185">
        <v>3</v>
      </c>
      <c r="K1185">
        <v>3</v>
      </c>
      <c r="L1185">
        <v>0</v>
      </c>
      <c r="M1185">
        <v>3</v>
      </c>
      <c r="N1185">
        <v>8</v>
      </c>
    </row>
    <row r="1186" spans="1:14" hidden="1" x14ac:dyDescent="0.3">
      <c r="A1186">
        <v>1267</v>
      </c>
      <c r="B1186">
        <v>46</v>
      </c>
      <c r="C1186">
        <v>20</v>
      </c>
      <c r="D1186">
        <v>97</v>
      </c>
      <c r="E1186">
        <v>46</v>
      </c>
      <c r="F1186">
        <v>142</v>
      </c>
      <c r="G1186">
        <v>127</v>
      </c>
      <c r="H1186">
        <v>86</v>
      </c>
      <c r="I1186">
        <v>346</v>
      </c>
      <c r="J1186">
        <v>3</v>
      </c>
      <c r="K1186">
        <v>3</v>
      </c>
      <c r="L1186">
        <v>0</v>
      </c>
      <c r="M1186">
        <v>4</v>
      </c>
      <c r="N1186">
        <v>7</v>
      </c>
    </row>
    <row r="1187" spans="1:14" hidden="1" x14ac:dyDescent="0.3">
      <c r="A1187">
        <v>1448</v>
      </c>
      <c r="B1187">
        <v>46</v>
      </c>
      <c r="C1187">
        <v>28</v>
      </c>
      <c r="D1187">
        <v>20</v>
      </c>
      <c r="E1187">
        <v>157</v>
      </c>
      <c r="F1187">
        <v>68</v>
      </c>
      <c r="G1187">
        <v>60</v>
      </c>
      <c r="H1187">
        <v>149</v>
      </c>
      <c r="I1187">
        <v>185</v>
      </c>
      <c r="J1187">
        <v>2</v>
      </c>
      <c r="K1187">
        <v>4</v>
      </c>
      <c r="L1187">
        <v>0</v>
      </c>
      <c r="M1187">
        <v>3</v>
      </c>
      <c r="N1187">
        <v>7</v>
      </c>
    </row>
    <row r="1188" spans="1:14" hidden="1" x14ac:dyDescent="0.3">
      <c r="A1188">
        <v>2692</v>
      </c>
      <c r="B1188">
        <v>46</v>
      </c>
      <c r="C1188">
        <v>28</v>
      </c>
      <c r="D1188">
        <v>17</v>
      </c>
      <c r="E1188">
        <v>50</v>
      </c>
      <c r="F1188">
        <v>33</v>
      </c>
      <c r="G1188">
        <v>11</v>
      </c>
      <c r="H1188">
        <v>33</v>
      </c>
      <c r="I1188">
        <v>105</v>
      </c>
      <c r="J1188">
        <v>2</v>
      </c>
      <c r="K1188">
        <v>2</v>
      </c>
      <c r="L1188">
        <v>0</v>
      </c>
      <c r="M1188">
        <v>3</v>
      </c>
      <c r="N1188">
        <v>7</v>
      </c>
    </row>
    <row r="1189" spans="1:14" hidden="1" x14ac:dyDescent="0.3">
      <c r="A1189">
        <v>2525</v>
      </c>
      <c r="B1189">
        <v>46</v>
      </c>
      <c r="C1189">
        <v>41</v>
      </c>
      <c r="D1189">
        <v>4</v>
      </c>
      <c r="E1189">
        <v>7</v>
      </c>
      <c r="F1189">
        <v>7</v>
      </c>
      <c r="G1189">
        <v>4</v>
      </c>
      <c r="H1189">
        <v>22</v>
      </c>
      <c r="I1189">
        <v>41</v>
      </c>
      <c r="J1189">
        <v>1</v>
      </c>
      <c r="K1189">
        <v>0</v>
      </c>
      <c r="L1189">
        <v>0</v>
      </c>
      <c r="M1189">
        <v>3</v>
      </c>
      <c r="N1189">
        <v>6</v>
      </c>
    </row>
    <row r="1190" spans="1:14" hidden="1" x14ac:dyDescent="0.3">
      <c r="A1190">
        <v>2990</v>
      </c>
      <c r="B1190">
        <v>46</v>
      </c>
      <c r="C1190">
        <v>41</v>
      </c>
      <c r="D1190">
        <v>4</v>
      </c>
      <c r="E1190">
        <v>7</v>
      </c>
      <c r="F1190">
        <v>7</v>
      </c>
      <c r="G1190">
        <v>4</v>
      </c>
      <c r="H1190">
        <v>22</v>
      </c>
      <c r="I1190">
        <v>41</v>
      </c>
      <c r="J1190">
        <v>1</v>
      </c>
      <c r="K1190">
        <v>0</v>
      </c>
      <c r="L1190">
        <v>0</v>
      </c>
      <c r="M1190">
        <v>3</v>
      </c>
      <c r="N1190">
        <v>6</v>
      </c>
    </row>
    <row r="1191" spans="1:14" hidden="1" x14ac:dyDescent="0.3">
      <c r="A1191">
        <v>1224</v>
      </c>
      <c r="B1191">
        <v>46</v>
      </c>
      <c r="C1191">
        <v>94</v>
      </c>
      <c r="D1191">
        <v>0</v>
      </c>
      <c r="E1191">
        <v>21</v>
      </c>
      <c r="F1191">
        <v>0</v>
      </c>
      <c r="G1191">
        <v>0</v>
      </c>
      <c r="H1191">
        <v>5</v>
      </c>
      <c r="I1191">
        <v>110</v>
      </c>
      <c r="J1191">
        <v>1</v>
      </c>
      <c r="K1191">
        <v>1</v>
      </c>
      <c r="L1191">
        <v>0</v>
      </c>
      <c r="M1191">
        <v>3</v>
      </c>
      <c r="N1191">
        <v>7</v>
      </c>
    </row>
    <row r="1192" spans="1:14" hidden="1" x14ac:dyDescent="0.3">
      <c r="A1192">
        <v>3082</v>
      </c>
      <c r="B1192">
        <v>46</v>
      </c>
      <c r="C1192">
        <v>116</v>
      </c>
      <c r="D1192">
        <v>13</v>
      </c>
      <c r="E1192">
        <v>57</v>
      </c>
      <c r="F1192">
        <v>23</v>
      </c>
      <c r="G1192">
        <v>20</v>
      </c>
      <c r="H1192">
        <v>213</v>
      </c>
      <c r="I1192">
        <v>17</v>
      </c>
      <c r="J1192">
        <v>1</v>
      </c>
      <c r="K1192">
        <v>2</v>
      </c>
      <c r="L1192">
        <v>2</v>
      </c>
      <c r="M1192">
        <v>2</v>
      </c>
      <c r="N1192">
        <v>5</v>
      </c>
    </row>
    <row r="1193" spans="1:14" hidden="1" x14ac:dyDescent="0.3">
      <c r="A1193">
        <v>1316</v>
      </c>
      <c r="B1193">
        <v>46</v>
      </c>
      <c r="C1193">
        <v>158</v>
      </c>
      <c r="D1193">
        <v>8</v>
      </c>
      <c r="E1193">
        <v>59</v>
      </c>
      <c r="F1193">
        <v>32</v>
      </c>
      <c r="G1193">
        <v>0</v>
      </c>
      <c r="H1193">
        <v>24</v>
      </c>
      <c r="I1193">
        <v>233</v>
      </c>
      <c r="J1193">
        <v>1</v>
      </c>
      <c r="K1193">
        <v>1</v>
      </c>
      <c r="L1193">
        <v>1</v>
      </c>
      <c r="M1193">
        <v>3</v>
      </c>
      <c r="N1193">
        <v>4</v>
      </c>
    </row>
    <row r="1194" spans="1:14" hidden="1" x14ac:dyDescent="0.3">
      <c r="A1194">
        <v>2639</v>
      </c>
      <c r="B1194">
        <v>46</v>
      </c>
      <c r="C1194">
        <v>158</v>
      </c>
      <c r="D1194">
        <v>8</v>
      </c>
      <c r="E1194">
        <v>59</v>
      </c>
      <c r="F1194">
        <v>32</v>
      </c>
      <c r="G1194">
        <v>0</v>
      </c>
      <c r="H1194">
        <v>24</v>
      </c>
      <c r="I1194">
        <v>233</v>
      </c>
      <c r="J1194">
        <v>1</v>
      </c>
      <c r="K1194">
        <v>1</v>
      </c>
      <c r="L1194">
        <v>1</v>
      </c>
      <c r="M1194">
        <v>3</v>
      </c>
      <c r="N1194">
        <v>4</v>
      </c>
    </row>
    <row r="1195" spans="1:14" hidden="1" x14ac:dyDescent="0.3">
      <c r="A1195">
        <v>2426</v>
      </c>
      <c r="B1195">
        <v>46</v>
      </c>
      <c r="C1195">
        <v>178</v>
      </c>
      <c r="D1195">
        <v>32</v>
      </c>
      <c r="E1195">
        <v>292</v>
      </c>
      <c r="F1195">
        <v>60</v>
      </c>
      <c r="G1195">
        <v>22</v>
      </c>
      <c r="H1195">
        <v>79</v>
      </c>
      <c r="I1195">
        <v>504</v>
      </c>
      <c r="J1195">
        <v>3</v>
      </c>
      <c r="K1195">
        <v>3</v>
      </c>
      <c r="L1195">
        <v>2</v>
      </c>
      <c r="M1195">
        <v>4</v>
      </c>
      <c r="N1195">
        <v>5</v>
      </c>
    </row>
    <row r="1196" spans="1:14" hidden="1" x14ac:dyDescent="0.3">
      <c r="A1196">
        <v>3028</v>
      </c>
      <c r="B1196">
        <v>46</v>
      </c>
      <c r="C1196">
        <v>189</v>
      </c>
      <c r="D1196">
        <v>0</v>
      </c>
      <c r="E1196">
        <v>59</v>
      </c>
      <c r="F1196">
        <v>0</v>
      </c>
      <c r="G1196">
        <v>0</v>
      </c>
      <c r="H1196">
        <v>15</v>
      </c>
      <c r="I1196">
        <v>234</v>
      </c>
      <c r="J1196">
        <v>2</v>
      </c>
      <c r="K1196">
        <v>3</v>
      </c>
      <c r="L1196">
        <v>0</v>
      </c>
      <c r="M1196">
        <v>3</v>
      </c>
      <c r="N1196">
        <v>8</v>
      </c>
    </row>
    <row r="1197" spans="1:14" hidden="1" x14ac:dyDescent="0.3">
      <c r="A1197">
        <v>1213</v>
      </c>
      <c r="B1197">
        <v>46</v>
      </c>
      <c r="C1197">
        <v>443</v>
      </c>
      <c r="D1197">
        <v>0</v>
      </c>
      <c r="E1197">
        <v>54</v>
      </c>
      <c r="F1197">
        <v>7</v>
      </c>
      <c r="G1197">
        <v>3</v>
      </c>
      <c r="H1197">
        <v>132</v>
      </c>
      <c r="I1197">
        <v>375</v>
      </c>
      <c r="J1197">
        <v>4</v>
      </c>
      <c r="K1197">
        <v>3</v>
      </c>
      <c r="L1197">
        <v>1</v>
      </c>
      <c r="M1197">
        <v>4</v>
      </c>
      <c r="N1197">
        <v>8</v>
      </c>
    </row>
    <row r="1198" spans="1:14" hidden="1" x14ac:dyDescent="0.3">
      <c r="A1198">
        <v>1882</v>
      </c>
      <c r="B1198">
        <v>46</v>
      </c>
      <c r="C1198">
        <v>487</v>
      </c>
      <c r="D1198">
        <v>0</v>
      </c>
      <c r="E1198">
        <v>31</v>
      </c>
      <c r="F1198">
        <v>0</v>
      </c>
      <c r="G1198">
        <v>3</v>
      </c>
      <c r="H1198">
        <v>57</v>
      </c>
      <c r="I1198">
        <v>464</v>
      </c>
      <c r="J1198">
        <v>2</v>
      </c>
      <c r="K1198">
        <v>4</v>
      </c>
      <c r="L1198">
        <v>1</v>
      </c>
      <c r="M1198">
        <v>4</v>
      </c>
      <c r="N1198">
        <v>6</v>
      </c>
    </row>
    <row r="1199" spans="1:14" hidden="1" x14ac:dyDescent="0.3">
      <c r="A1199">
        <v>1817</v>
      </c>
      <c r="B1199">
        <v>46</v>
      </c>
      <c r="C1199">
        <v>577</v>
      </c>
      <c r="D1199">
        <v>27</v>
      </c>
      <c r="E1199">
        <v>293</v>
      </c>
      <c r="F1199">
        <v>0</v>
      </c>
      <c r="G1199">
        <v>18</v>
      </c>
      <c r="H1199">
        <v>248</v>
      </c>
      <c r="I1199">
        <v>668</v>
      </c>
      <c r="J1199">
        <v>2</v>
      </c>
      <c r="K1199">
        <v>6</v>
      </c>
      <c r="L1199">
        <v>1</v>
      </c>
      <c r="M1199">
        <v>5</v>
      </c>
      <c r="N1199">
        <v>7</v>
      </c>
    </row>
    <row r="1200" spans="1:14" hidden="1" x14ac:dyDescent="0.3">
      <c r="A1200">
        <v>1986</v>
      </c>
      <c r="B1200">
        <v>46</v>
      </c>
      <c r="C1200">
        <v>592</v>
      </c>
      <c r="D1200">
        <v>162</v>
      </c>
      <c r="E1200">
        <v>479</v>
      </c>
      <c r="F1200">
        <v>256</v>
      </c>
      <c r="G1200">
        <v>211</v>
      </c>
      <c r="H1200">
        <v>139</v>
      </c>
      <c r="I1200">
        <v>1560</v>
      </c>
      <c r="J1200">
        <v>6</v>
      </c>
      <c r="K1200">
        <v>3</v>
      </c>
      <c r="L1200">
        <v>8</v>
      </c>
      <c r="M1200">
        <v>4</v>
      </c>
      <c r="N1200">
        <v>4</v>
      </c>
    </row>
    <row r="1201" spans="1:14" hidden="1" x14ac:dyDescent="0.3">
      <c r="A1201">
        <v>1950</v>
      </c>
      <c r="B1201">
        <v>46</v>
      </c>
      <c r="C1201">
        <v>609</v>
      </c>
      <c r="D1201">
        <v>118</v>
      </c>
      <c r="E1201">
        <v>766</v>
      </c>
      <c r="F1201">
        <v>281</v>
      </c>
      <c r="G1201">
        <v>236</v>
      </c>
      <c r="H1201">
        <v>157</v>
      </c>
      <c r="I1201">
        <v>1852</v>
      </c>
      <c r="J1201">
        <v>6</v>
      </c>
      <c r="K1201">
        <v>10</v>
      </c>
      <c r="L1201">
        <v>2</v>
      </c>
      <c r="M1201">
        <v>6</v>
      </c>
      <c r="N1201">
        <v>9</v>
      </c>
    </row>
    <row r="1202" spans="1:14" hidden="1" x14ac:dyDescent="0.3">
      <c r="A1202">
        <v>2972</v>
      </c>
      <c r="B1202">
        <v>46</v>
      </c>
      <c r="C1202">
        <v>626</v>
      </c>
      <c r="D1202">
        <v>61</v>
      </c>
      <c r="E1202">
        <v>368</v>
      </c>
      <c r="F1202">
        <v>113</v>
      </c>
      <c r="G1202">
        <v>86</v>
      </c>
      <c r="H1202">
        <v>86</v>
      </c>
      <c r="I1202">
        <v>1168</v>
      </c>
      <c r="J1202">
        <v>3</v>
      </c>
      <c r="K1202">
        <v>4</v>
      </c>
      <c r="L1202">
        <v>3</v>
      </c>
      <c r="M1202">
        <v>8</v>
      </c>
      <c r="N1202">
        <v>4</v>
      </c>
    </row>
    <row r="1203" spans="1:14" hidden="1" x14ac:dyDescent="0.3">
      <c r="A1203">
        <v>1869</v>
      </c>
      <c r="B1203">
        <v>46</v>
      </c>
      <c r="C1203">
        <v>679</v>
      </c>
      <c r="D1203">
        <v>41</v>
      </c>
      <c r="E1203">
        <v>461</v>
      </c>
      <c r="F1203">
        <v>242</v>
      </c>
      <c r="G1203">
        <v>71</v>
      </c>
      <c r="H1203">
        <v>171</v>
      </c>
      <c r="I1203">
        <v>1323</v>
      </c>
      <c r="J1203">
        <v>8</v>
      </c>
      <c r="K1203">
        <v>9</v>
      </c>
      <c r="L1203">
        <v>2</v>
      </c>
      <c r="M1203">
        <v>5</v>
      </c>
      <c r="N1203">
        <v>8</v>
      </c>
    </row>
    <row r="1204" spans="1:14" hidden="1" x14ac:dyDescent="0.3">
      <c r="A1204">
        <v>1157</v>
      </c>
      <c r="B1204">
        <v>46</v>
      </c>
      <c r="C1204">
        <v>691</v>
      </c>
      <c r="D1204">
        <v>404</v>
      </c>
      <c r="E1204">
        <v>761</v>
      </c>
      <c r="F1204">
        <v>431</v>
      </c>
      <c r="G1204">
        <v>190</v>
      </c>
      <c r="H1204">
        <v>309</v>
      </c>
      <c r="I1204">
        <v>2167</v>
      </c>
      <c r="J1204">
        <v>1</v>
      </c>
      <c r="K1204">
        <v>3</v>
      </c>
      <c r="L1204">
        <v>4</v>
      </c>
      <c r="M1204">
        <v>7</v>
      </c>
      <c r="N1204">
        <v>1</v>
      </c>
    </row>
    <row r="1205" spans="1:14" hidden="1" x14ac:dyDescent="0.3">
      <c r="A1205">
        <v>1679</v>
      </c>
      <c r="B1205">
        <v>46</v>
      </c>
      <c r="C1205">
        <v>867</v>
      </c>
      <c r="D1205">
        <v>35</v>
      </c>
      <c r="E1205">
        <v>565</v>
      </c>
      <c r="F1205">
        <v>197</v>
      </c>
      <c r="G1205">
        <v>264</v>
      </c>
      <c r="H1205">
        <v>92</v>
      </c>
      <c r="I1205">
        <v>1836</v>
      </c>
      <c r="J1205">
        <v>2</v>
      </c>
      <c r="K1205">
        <v>8</v>
      </c>
      <c r="L1205">
        <v>4</v>
      </c>
      <c r="M1205">
        <v>6</v>
      </c>
      <c r="N1205">
        <v>6</v>
      </c>
    </row>
    <row r="1206" spans="1:14" hidden="1" x14ac:dyDescent="0.3">
      <c r="A1206">
        <v>1102</v>
      </c>
      <c r="B1206">
        <v>46</v>
      </c>
      <c r="C1206">
        <v>975</v>
      </c>
      <c r="D1206">
        <v>264</v>
      </c>
      <c r="E1206">
        <v>670</v>
      </c>
      <c r="F1206">
        <v>53</v>
      </c>
      <c r="G1206">
        <v>80</v>
      </c>
      <c r="H1206">
        <v>181</v>
      </c>
      <c r="I1206">
        <v>1860</v>
      </c>
      <c r="J1206">
        <v>1</v>
      </c>
      <c r="K1206">
        <v>6</v>
      </c>
      <c r="L1206">
        <v>6</v>
      </c>
      <c r="M1206">
        <v>11</v>
      </c>
      <c r="N1206">
        <v>3</v>
      </c>
    </row>
    <row r="1207" spans="1:14" hidden="1" x14ac:dyDescent="0.3">
      <c r="A1207">
        <v>2764</v>
      </c>
      <c r="B1207">
        <v>46</v>
      </c>
      <c r="C1207">
        <v>975</v>
      </c>
      <c r="D1207">
        <v>264</v>
      </c>
      <c r="E1207">
        <v>670</v>
      </c>
      <c r="F1207">
        <v>53</v>
      </c>
      <c r="G1207">
        <v>80</v>
      </c>
      <c r="H1207">
        <v>181</v>
      </c>
      <c r="I1207">
        <v>1860</v>
      </c>
      <c r="J1207">
        <v>1</v>
      </c>
      <c r="K1207">
        <v>6</v>
      </c>
      <c r="L1207">
        <v>6</v>
      </c>
      <c r="M1207">
        <v>11</v>
      </c>
      <c r="N1207">
        <v>3</v>
      </c>
    </row>
    <row r="1208" spans="1:14" hidden="1" x14ac:dyDescent="0.3">
      <c r="A1208">
        <v>1248</v>
      </c>
      <c r="B1208">
        <v>46</v>
      </c>
      <c r="C1208">
        <v>1349</v>
      </c>
      <c r="D1208">
        <v>100</v>
      </c>
      <c r="E1208">
        <v>524</v>
      </c>
      <c r="F1208">
        <v>27</v>
      </c>
      <c r="G1208">
        <v>0</v>
      </c>
      <c r="H1208">
        <v>58</v>
      </c>
      <c r="I1208">
        <v>1941</v>
      </c>
      <c r="J1208">
        <v>3</v>
      </c>
      <c r="K1208">
        <v>10</v>
      </c>
      <c r="L1208">
        <v>2</v>
      </c>
      <c r="M1208">
        <v>10</v>
      </c>
      <c r="N1208">
        <v>5</v>
      </c>
    </row>
    <row r="1209" spans="1:14" hidden="1" x14ac:dyDescent="0.3">
      <c r="A1209">
        <v>1614</v>
      </c>
      <c r="B1209">
        <v>46</v>
      </c>
      <c r="C1209">
        <v>1524</v>
      </c>
      <c r="D1209">
        <v>114</v>
      </c>
      <c r="E1209">
        <v>523</v>
      </c>
      <c r="F1209">
        <v>91</v>
      </c>
      <c r="G1209">
        <v>45</v>
      </c>
      <c r="H1209">
        <v>136</v>
      </c>
      <c r="I1209">
        <v>2161</v>
      </c>
      <c r="J1209">
        <v>1</v>
      </c>
      <c r="K1209">
        <v>3</v>
      </c>
      <c r="L1209">
        <v>4</v>
      </c>
      <c r="M1209">
        <v>6</v>
      </c>
      <c r="N1209">
        <v>1</v>
      </c>
    </row>
    <row r="1210" spans="1:14" hidden="1" x14ac:dyDescent="0.3">
      <c r="A1210">
        <v>3216</v>
      </c>
      <c r="B1210">
        <v>46</v>
      </c>
      <c r="C1210">
        <v>1798</v>
      </c>
      <c r="D1210">
        <v>109</v>
      </c>
      <c r="E1210">
        <v>462</v>
      </c>
      <c r="F1210">
        <v>107</v>
      </c>
      <c r="G1210">
        <v>299</v>
      </c>
      <c r="H1210">
        <v>626</v>
      </c>
      <c r="I1210">
        <v>2148</v>
      </c>
      <c r="J1210">
        <v>2</v>
      </c>
      <c r="L1210">
        <v>3</v>
      </c>
      <c r="M1210">
        <v>4</v>
      </c>
      <c r="N1210">
        <v>5</v>
      </c>
    </row>
    <row r="1211" spans="1:14" hidden="1" x14ac:dyDescent="0.3">
      <c r="A1211">
        <v>2066</v>
      </c>
      <c r="B1211">
        <v>46</v>
      </c>
      <c r="C1211">
        <v>1854</v>
      </c>
      <c r="D1211">
        <v>23</v>
      </c>
      <c r="E1211">
        <v>449</v>
      </c>
      <c r="F1211">
        <v>60</v>
      </c>
      <c r="G1211">
        <v>0</v>
      </c>
      <c r="H1211">
        <v>404</v>
      </c>
      <c r="I1211">
        <v>1982</v>
      </c>
      <c r="J1211">
        <v>4</v>
      </c>
      <c r="K1211">
        <v>11</v>
      </c>
      <c r="L1211">
        <v>6</v>
      </c>
      <c r="M1211">
        <v>5</v>
      </c>
      <c r="N1211">
        <v>8</v>
      </c>
    </row>
    <row r="1212" spans="1:14" hidden="1" x14ac:dyDescent="0.3">
      <c r="A1212">
        <v>3201</v>
      </c>
      <c r="B1212">
        <v>46</v>
      </c>
      <c r="C1212">
        <v>1867</v>
      </c>
      <c r="D1212">
        <v>113</v>
      </c>
      <c r="E1212">
        <v>479</v>
      </c>
      <c r="F1212">
        <v>111</v>
      </c>
      <c r="G1212">
        <v>311</v>
      </c>
      <c r="H1212">
        <v>650</v>
      </c>
      <c r="I1212">
        <v>2230</v>
      </c>
      <c r="J1212">
        <v>2</v>
      </c>
      <c r="K1212">
        <v>9</v>
      </c>
      <c r="L1212">
        <v>3</v>
      </c>
      <c r="M1212">
        <v>4</v>
      </c>
      <c r="N1212">
        <v>5</v>
      </c>
    </row>
    <row r="1213" spans="1:14" hidden="1" x14ac:dyDescent="0.3">
      <c r="A1213">
        <v>1130</v>
      </c>
      <c r="B1213">
        <v>46</v>
      </c>
      <c r="C1213">
        <v>1998</v>
      </c>
      <c r="D1213">
        <v>127</v>
      </c>
      <c r="E1213">
        <v>1913</v>
      </c>
      <c r="F1213">
        <v>108</v>
      </c>
      <c r="G1213">
        <v>127</v>
      </c>
      <c r="H1213">
        <v>42</v>
      </c>
      <c r="I1213">
        <v>4231</v>
      </c>
      <c r="J1213">
        <v>1</v>
      </c>
      <c r="K1213">
        <v>5</v>
      </c>
      <c r="L1213">
        <v>4</v>
      </c>
      <c r="M1213">
        <v>12</v>
      </c>
      <c r="N1213">
        <v>2</v>
      </c>
    </row>
    <row r="1214" spans="1:14" hidden="1" x14ac:dyDescent="0.3">
      <c r="A1214">
        <v>1716</v>
      </c>
      <c r="B1214">
        <v>46</v>
      </c>
      <c r="C1214">
        <v>2310</v>
      </c>
      <c r="D1214">
        <v>0</v>
      </c>
      <c r="E1214">
        <v>1474</v>
      </c>
      <c r="F1214">
        <v>103</v>
      </c>
      <c r="G1214">
        <v>119</v>
      </c>
      <c r="H1214">
        <v>0</v>
      </c>
      <c r="I1214">
        <v>4005</v>
      </c>
      <c r="J1214">
        <v>1</v>
      </c>
      <c r="K1214">
        <v>4</v>
      </c>
      <c r="L1214">
        <v>8</v>
      </c>
      <c r="M1214">
        <v>13</v>
      </c>
      <c r="N1214">
        <v>2</v>
      </c>
    </row>
    <row r="1215" spans="1:14" hidden="1" x14ac:dyDescent="0.3">
      <c r="A1215">
        <v>2710</v>
      </c>
      <c r="B1215">
        <v>46</v>
      </c>
      <c r="C1215">
        <v>2605</v>
      </c>
      <c r="D1215">
        <v>0</v>
      </c>
      <c r="E1215">
        <v>607</v>
      </c>
      <c r="F1215">
        <v>371</v>
      </c>
      <c r="G1215">
        <v>34</v>
      </c>
      <c r="H1215">
        <v>34</v>
      </c>
      <c r="I1215">
        <v>3583</v>
      </c>
      <c r="J1215">
        <v>4</v>
      </c>
      <c r="K1215">
        <v>7</v>
      </c>
      <c r="L1215">
        <v>10</v>
      </c>
      <c r="M1215">
        <v>5</v>
      </c>
      <c r="N1215">
        <v>5</v>
      </c>
    </row>
    <row r="1216" spans="1:14" hidden="1" x14ac:dyDescent="0.3">
      <c r="A1216">
        <v>1968</v>
      </c>
      <c r="B1216">
        <v>46</v>
      </c>
      <c r="C1216">
        <v>3234</v>
      </c>
      <c r="D1216">
        <v>51</v>
      </c>
      <c r="E1216">
        <v>1643</v>
      </c>
      <c r="F1216">
        <v>206</v>
      </c>
      <c r="G1216">
        <v>211</v>
      </c>
      <c r="H1216">
        <v>422</v>
      </c>
      <c r="I1216">
        <v>4923</v>
      </c>
      <c r="J1216">
        <v>1</v>
      </c>
      <c r="K1216">
        <v>9</v>
      </c>
      <c r="L1216">
        <v>7</v>
      </c>
      <c r="M1216">
        <v>9</v>
      </c>
      <c r="N1216">
        <v>5</v>
      </c>
    </row>
    <row r="1217" spans="1:14" hidden="1" x14ac:dyDescent="0.3">
      <c r="A1217">
        <v>1698</v>
      </c>
      <c r="B1217">
        <v>45</v>
      </c>
      <c r="C1217">
        <v>44</v>
      </c>
      <c r="D1217">
        <v>19</v>
      </c>
      <c r="E1217">
        <v>88</v>
      </c>
      <c r="F1217">
        <v>34</v>
      </c>
      <c r="G1217">
        <v>24</v>
      </c>
      <c r="H1217">
        <v>24</v>
      </c>
      <c r="I1217">
        <v>185</v>
      </c>
      <c r="J1217">
        <v>2</v>
      </c>
      <c r="K1217">
        <v>2</v>
      </c>
      <c r="L1217">
        <v>0</v>
      </c>
      <c r="M1217">
        <v>3</v>
      </c>
      <c r="N1217">
        <v>7</v>
      </c>
    </row>
    <row r="1218" spans="1:14" hidden="1" x14ac:dyDescent="0.3">
      <c r="A1218">
        <v>1174</v>
      </c>
      <c r="B1218">
        <v>45</v>
      </c>
      <c r="C1218">
        <v>50</v>
      </c>
      <c r="D1218">
        <v>5</v>
      </c>
      <c r="E1218">
        <v>89</v>
      </c>
      <c r="F1218">
        <v>50</v>
      </c>
      <c r="G1218">
        <v>20</v>
      </c>
      <c r="H1218">
        <v>35</v>
      </c>
      <c r="I1218">
        <v>178</v>
      </c>
      <c r="J1218">
        <v>1</v>
      </c>
      <c r="K1218">
        <v>1</v>
      </c>
      <c r="L1218">
        <v>1</v>
      </c>
      <c r="M1218">
        <v>2</v>
      </c>
      <c r="N1218">
        <v>9</v>
      </c>
    </row>
    <row r="1219" spans="1:14" hidden="1" x14ac:dyDescent="0.3">
      <c r="A1219">
        <v>2638</v>
      </c>
      <c r="B1219">
        <v>45</v>
      </c>
      <c r="C1219">
        <v>63</v>
      </c>
      <c r="D1219">
        <v>16</v>
      </c>
      <c r="E1219">
        <v>40</v>
      </c>
      <c r="F1219">
        <v>33</v>
      </c>
      <c r="G1219">
        <v>10</v>
      </c>
      <c r="H1219">
        <v>63</v>
      </c>
      <c r="I1219">
        <v>99</v>
      </c>
      <c r="J1219">
        <v>3</v>
      </c>
      <c r="K1219">
        <v>3</v>
      </c>
      <c r="L1219">
        <v>1</v>
      </c>
      <c r="M1219">
        <v>2</v>
      </c>
      <c r="N1219">
        <v>6</v>
      </c>
    </row>
    <row r="1220" spans="1:14" hidden="1" x14ac:dyDescent="0.3">
      <c r="A1220">
        <v>1339</v>
      </c>
      <c r="B1220">
        <v>45</v>
      </c>
      <c r="C1220">
        <v>79</v>
      </c>
      <c r="D1220">
        <v>7</v>
      </c>
      <c r="E1220">
        <v>50</v>
      </c>
      <c r="F1220">
        <v>0</v>
      </c>
      <c r="G1220">
        <v>4</v>
      </c>
      <c r="H1220">
        <v>36</v>
      </c>
      <c r="I1220">
        <v>104</v>
      </c>
      <c r="J1220">
        <v>2</v>
      </c>
      <c r="K1220">
        <v>2</v>
      </c>
      <c r="L1220">
        <v>0</v>
      </c>
      <c r="M1220">
        <v>3</v>
      </c>
      <c r="N1220">
        <v>7</v>
      </c>
    </row>
    <row r="1221" spans="1:14" hidden="1" x14ac:dyDescent="0.3">
      <c r="A1221">
        <v>2736</v>
      </c>
      <c r="B1221">
        <v>45</v>
      </c>
      <c r="C1221">
        <v>101</v>
      </c>
      <c r="D1221">
        <v>25</v>
      </c>
      <c r="E1221">
        <v>67</v>
      </c>
      <c r="F1221">
        <v>67</v>
      </c>
      <c r="G1221">
        <v>0</v>
      </c>
      <c r="H1221">
        <v>143</v>
      </c>
      <c r="I1221">
        <v>117</v>
      </c>
      <c r="J1221">
        <v>2</v>
      </c>
      <c r="K1221">
        <v>2</v>
      </c>
      <c r="L1221">
        <v>0</v>
      </c>
      <c r="M1221">
        <v>3</v>
      </c>
      <c r="N1221">
        <v>7</v>
      </c>
    </row>
    <row r="1222" spans="1:14" hidden="1" x14ac:dyDescent="0.3">
      <c r="A1222">
        <v>2393</v>
      </c>
      <c r="B1222">
        <v>45</v>
      </c>
      <c r="C1222">
        <v>201</v>
      </c>
      <c r="D1222">
        <v>83</v>
      </c>
      <c r="E1222">
        <v>115</v>
      </c>
      <c r="F1222">
        <v>47</v>
      </c>
      <c r="G1222">
        <v>88</v>
      </c>
      <c r="H1222">
        <v>121</v>
      </c>
      <c r="I1222">
        <v>413</v>
      </c>
      <c r="J1222">
        <v>1</v>
      </c>
      <c r="K1222">
        <v>2</v>
      </c>
      <c r="L1222">
        <v>2</v>
      </c>
      <c r="M1222">
        <v>5</v>
      </c>
      <c r="N1222">
        <v>2</v>
      </c>
    </row>
    <row r="1223" spans="1:14" hidden="1" x14ac:dyDescent="0.3">
      <c r="A1223">
        <v>2651</v>
      </c>
      <c r="B1223">
        <v>45</v>
      </c>
      <c r="C1223">
        <v>231</v>
      </c>
      <c r="D1223">
        <v>69</v>
      </c>
      <c r="E1223">
        <v>509</v>
      </c>
      <c r="F1223">
        <v>180</v>
      </c>
      <c r="G1223">
        <v>69</v>
      </c>
      <c r="H1223">
        <v>69</v>
      </c>
      <c r="I1223">
        <v>990</v>
      </c>
      <c r="J1223">
        <v>4</v>
      </c>
      <c r="K1223">
        <v>5</v>
      </c>
      <c r="L1223">
        <v>1</v>
      </c>
      <c r="M1223">
        <v>4</v>
      </c>
      <c r="N1223">
        <v>8</v>
      </c>
    </row>
    <row r="1224" spans="1:14" hidden="1" x14ac:dyDescent="0.3">
      <c r="A1224">
        <v>2961</v>
      </c>
      <c r="B1224">
        <v>45</v>
      </c>
      <c r="C1224">
        <v>501</v>
      </c>
      <c r="D1224">
        <v>11</v>
      </c>
      <c r="E1224">
        <v>91</v>
      </c>
      <c r="F1224">
        <v>0</v>
      </c>
      <c r="G1224">
        <v>6</v>
      </c>
      <c r="H1224">
        <v>116</v>
      </c>
      <c r="I1224">
        <v>492</v>
      </c>
      <c r="J1224">
        <v>6</v>
      </c>
      <c r="K1224">
        <v>4</v>
      </c>
      <c r="L1224">
        <v>1</v>
      </c>
      <c r="M1224">
        <v>5</v>
      </c>
      <c r="N1224">
        <v>7</v>
      </c>
    </row>
    <row r="1225" spans="1:14" hidden="1" x14ac:dyDescent="0.3">
      <c r="A1225">
        <v>2902</v>
      </c>
      <c r="B1225">
        <v>45</v>
      </c>
      <c r="C1225">
        <v>853</v>
      </c>
      <c r="D1225">
        <v>147</v>
      </c>
      <c r="E1225">
        <v>1819</v>
      </c>
      <c r="F1225">
        <v>97</v>
      </c>
      <c r="G1225">
        <v>111</v>
      </c>
      <c r="H1225">
        <v>65</v>
      </c>
      <c r="I1225">
        <v>2962</v>
      </c>
      <c r="J1225">
        <v>1</v>
      </c>
      <c r="K1225">
        <v>3</v>
      </c>
      <c r="L1225">
        <v>3</v>
      </c>
      <c r="M1225">
        <v>7</v>
      </c>
      <c r="N1225">
        <v>2</v>
      </c>
    </row>
    <row r="1226" spans="1:14" hidden="1" x14ac:dyDescent="0.3">
      <c r="A1226">
        <v>1285</v>
      </c>
      <c r="B1226">
        <v>45</v>
      </c>
      <c r="C1226">
        <v>971</v>
      </c>
      <c r="D1226">
        <v>37</v>
      </c>
      <c r="E1226">
        <v>646</v>
      </c>
      <c r="F1226">
        <v>147</v>
      </c>
      <c r="G1226">
        <v>133</v>
      </c>
      <c r="H1226">
        <v>93</v>
      </c>
      <c r="I1226">
        <v>1840</v>
      </c>
      <c r="J1226">
        <v>1</v>
      </c>
      <c r="K1226">
        <v>2</v>
      </c>
      <c r="L1226">
        <v>3</v>
      </c>
      <c r="M1226">
        <v>6</v>
      </c>
      <c r="N1226">
        <v>1</v>
      </c>
    </row>
    <row r="1227" spans="1:14" hidden="1" x14ac:dyDescent="0.3">
      <c r="A1227">
        <v>2442</v>
      </c>
      <c r="B1227">
        <v>45</v>
      </c>
      <c r="C1227">
        <v>1316</v>
      </c>
      <c r="D1227">
        <v>30</v>
      </c>
      <c r="E1227">
        <v>223</v>
      </c>
      <c r="F1227">
        <v>0</v>
      </c>
      <c r="G1227">
        <v>30</v>
      </c>
      <c r="H1227">
        <v>143</v>
      </c>
      <c r="I1227">
        <v>1456</v>
      </c>
      <c r="J1227">
        <v>4</v>
      </c>
      <c r="K1227">
        <v>8</v>
      </c>
      <c r="L1227">
        <v>1</v>
      </c>
      <c r="M1227">
        <v>8</v>
      </c>
      <c r="N1227">
        <v>8</v>
      </c>
    </row>
    <row r="1228" spans="1:14" hidden="1" x14ac:dyDescent="0.3">
      <c r="A1228">
        <v>1771</v>
      </c>
      <c r="B1228">
        <v>45</v>
      </c>
      <c r="C1228">
        <v>1350</v>
      </c>
      <c r="D1228">
        <v>435</v>
      </c>
      <c r="E1228">
        <v>1829</v>
      </c>
      <c r="F1228">
        <v>207</v>
      </c>
      <c r="G1228">
        <v>197</v>
      </c>
      <c r="H1228">
        <v>158</v>
      </c>
      <c r="I1228">
        <v>3861</v>
      </c>
      <c r="J1228">
        <v>1</v>
      </c>
      <c r="K1228">
        <v>3</v>
      </c>
      <c r="L1228">
        <v>6</v>
      </c>
      <c r="M1228">
        <v>4</v>
      </c>
      <c r="N1228">
        <v>2</v>
      </c>
    </row>
    <row r="1229" spans="1:14" hidden="1" x14ac:dyDescent="0.3">
      <c r="A1229">
        <v>2665</v>
      </c>
      <c r="B1229">
        <v>45</v>
      </c>
      <c r="C1229">
        <v>1500</v>
      </c>
      <c r="D1229">
        <v>15</v>
      </c>
      <c r="E1229">
        <v>249</v>
      </c>
      <c r="F1229">
        <v>21</v>
      </c>
      <c r="G1229">
        <v>0</v>
      </c>
      <c r="H1229">
        <v>304</v>
      </c>
      <c r="I1229">
        <v>1482</v>
      </c>
      <c r="J1229">
        <v>3</v>
      </c>
      <c r="K1229">
        <v>7</v>
      </c>
      <c r="L1229">
        <v>2</v>
      </c>
      <c r="M1229">
        <v>9</v>
      </c>
      <c r="N1229">
        <v>7</v>
      </c>
    </row>
    <row r="1230" spans="1:14" hidden="1" x14ac:dyDescent="0.3">
      <c r="A1230">
        <v>1357</v>
      </c>
      <c r="B1230">
        <v>45</v>
      </c>
      <c r="C1230">
        <v>2508</v>
      </c>
      <c r="D1230">
        <v>31</v>
      </c>
      <c r="E1230">
        <v>649</v>
      </c>
      <c r="F1230">
        <v>41</v>
      </c>
      <c r="G1230">
        <v>31</v>
      </c>
      <c r="H1230">
        <v>259</v>
      </c>
      <c r="I1230">
        <v>3001</v>
      </c>
      <c r="J1230">
        <v>4</v>
      </c>
      <c r="K1230">
        <v>4</v>
      </c>
      <c r="L1230">
        <v>3</v>
      </c>
      <c r="M1230">
        <v>12</v>
      </c>
      <c r="N1230">
        <v>8</v>
      </c>
    </row>
    <row r="1231" spans="1:14" hidden="1" x14ac:dyDescent="0.3">
      <c r="A1231">
        <v>2398</v>
      </c>
      <c r="B1231">
        <v>45</v>
      </c>
      <c r="C1231">
        <v>2508</v>
      </c>
      <c r="D1231">
        <v>31</v>
      </c>
      <c r="E1231">
        <v>649</v>
      </c>
      <c r="F1231">
        <v>41</v>
      </c>
      <c r="G1231">
        <v>31</v>
      </c>
      <c r="H1231">
        <v>259</v>
      </c>
      <c r="I1231">
        <v>3001</v>
      </c>
      <c r="J1231">
        <v>4</v>
      </c>
      <c r="K1231">
        <v>4</v>
      </c>
      <c r="L1231">
        <v>3</v>
      </c>
      <c r="M1231">
        <v>12</v>
      </c>
      <c r="N1231">
        <v>8</v>
      </c>
    </row>
    <row r="1232" spans="1:14" hidden="1" x14ac:dyDescent="0.3">
      <c r="A1232">
        <v>1918</v>
      </c>
      <c r="B1232">
        <v>45</v>
      </c>
      <c r="C1232">
        <v>3108</v>
      </c>
      <c r="D1232">
        <v>0</v>
      </c>
      <c r="E1232">
        <v>1109</v>
      </c>
      <c r="F1232">
        <v>57</v>
      </c>
      <c r="G1232">
        <v>176</v>
      </c>
      <c r="H1232">
        <v>87</v>
      </c>
      <c r="I1232">
        <v>4364</v>
      </c>
      <c r="J1232">
        <v>3</v>
      </c>
      <c r="K1232">
        <v>11</v>
      </c>
      <c r="L1232">
        <v>5</v>
      </c>
      <c r="M1232">
        <v>11</v>
      </c>
      <c r="N1232">
        <v>8</v>
      </c>
    </row>
    <row r="1233" spans="1:14" hidden="1" x14ac:dyDescent="0.3">
      <c r="A1233">
        <v>2749</v>
      </c>
      <c r="B1233">
        <v>44</v>
      </c>
      <c r="C1233">
        <v>70</v>
      </c>
      <c r="D1233">
        <v>0</v>
      </c>
      <c r="E1233">
        <v>10</v>
      </c>
      <c r="F1233">
        <v>0</v>
      </c>
      <c r="G1233">
        <v>0</v>
      </c>
      <c r="H1233">
        <v>0</v>
      </c>
      <c r="I1233">
        <v>80</v>
      </c>
      <c r="J1233">
        <v>1</v>
      </c>
      <c r="K1233">
        <v>1</v>
      </c>
      <c r="L1233">
        <v>0</v>
      </c>
      <c r="M1233">
        <v>3</v>
      </c>
      <c r="N1233">
        <v>6</v>
      </c>
    </row>
    <row r="1234" spans="1:14" hidden="1" x14ac:dyDescent="0.3">
      <c r="A1234">
        <v>2017</v>
      </c>
      <c r="B1234">
        <v>44</v>
      </c>
      <c r="C1234">
        <v>96</v>
      </c>
      <c r="D1234">
        <v>4</v>
      </c>
      <c r="E1234">
        <v>59</v>
      </c>
      <c r="F1234">
        <v>7</v>
      </c>
      <c r="G1234">
        <v>7</v>
      </c>
      <c r="H1234">
        <v>55</v>
      </c>
      <c r="I1234">
        <v>118</v>
      </c>
      <c r="J1234">
        <v>4</v>
      </c>
      <c r="K1234">
        <v>3</v>
      </c>
      <c r="L1234">
        <v>0</v>
      </c>
      <c r="M1234">
        <v>4</v>
      </c>
      <c r="N1234">
        <v>4</v>
      </c>
    </row>
    <row r="1235" spans="1:14" hidden="1" x14ac:dyDescent="0.3">
      <c r="A1235">
        <v>2890</v>
      </c>
      <c r="B1235">
        <v>44</v>
      </c>
      <c r="C1235">
        <v>437</v>
      </c>
      <c r="D1235">
        <v>0</v>
      </c>
      <c r="E1235">
        <v>330</v>
      </c>
      <c r="F1235">
        <v>0</v>
      </c>
      <c r="G1235">
        <v>0</v>
      </c>
      <c r="H1235">
        <v>377</v>
      </c>
      <c r="I1235">
        <v>391</v>
      </c>
      <c r="J1235">
        <v>7</v>
      </c>
      <c r="K1235">
        <v>4</v>
      </c>
      <c r="L1235">
        <v>4</v>
      </c>
      <c r="M1235">
        <v>8</v>
      </c>
      <c r="N1235">
        <v>8</v>
      </c>
    </row>
    <row r="1236" spans="1:14" hidden="1" x14ac:dyDescent="0.3">
      <c r="A1236">
        <v>1090</v>
      </c>
      <c r="B1236">
        <v>44</v>
      </c>
      <c r="C1236">
        <v>471</v>
      </c>
      <c r="D1236">
        <v>59</v>
      </c>
      <c r="E1236">
        <v>1016</v>
      </c>
      <c r="F1236">
        <v>171</v>
      </c>
      <c r="G1236">
        <v>0</v>
      </c>
      <c r="H1236">
        <v>507</v>
      </c>
      <c r="I1236">
        <v>1210</v>
      </c>
      <c r="J1236">
        <v>1</v>
      </c>
      <c r="K1236">
        <v>5</v>
      </c>
      <c r="L1236">
        <v>7</v>
      </c>
      <c r="M1236">
        <v>12</v>
      </c>
      <c r="N1236">
        <v>2</v>
      </c>
    </row>
    <row r="1237" spans="1:14" hidden="1" x14ac:dyDescent="0.3">
      <c r="A1237">
        <v>1168</v>
      </c>
      <c r="B1237">
        <v>44</v>
      </c>
      <c r="C1237">
        <v>471</v>
      </c>
      <c r="D1237">
        <v>59</v>
      </c>
      <c r="E1237">
        <v>1016</v>
      </c>
      <c r="F1237">
        <v>171</v>
      </c>
      <c r="G1237">
        <v>0</v>
      </c>
      <c r="H1237">
        <v>507</v>
      </c>
      <c r="I1237">
        <v>1210</v>
      </c>
      <c r="J1237">
        <v>1</v>
      </c>
      <c r="K1237">
        <v>5</v>
      </c>
      <c r="L1237">
        <v>7</v>
      </c>
      <c r="M1237">
        <v>12</v>
      </c>
      <c r="N1237">
        <v>2</v>
      </c>
    </row>
    <row r="1238" spans="1:14" hidden="1" x14ac:dyDescent="0.3">
      <c r="A1238">
        <v>1211</v>
      </c>
      <c r="B1238">
        <v>44</v>
      </c>
      <c r="C1238">
        <v>659</v>
      </c>
      <c r="D1238">
        <v>4</v>
      </c>
      <c r="E1238">
        <v>106</v>
      </c>
      <c r="F1238">
        <v>0</v>
      </c>
      <c r="G1238">
        <v>4</v>
      </c>
      <c r="H1238">
        <v>13</v>
      </c>
      <c r="I1238">
        <v>761</v>
      </c>
      <c r="J1238">
        <v>4</v>
      </c>
      <c r="K1238">
        <v>4</v>
      </c>
      <c r="L1238">
        <v>1</v>
      </c>
      <c r="M1238">
        <v>4</v>
      </c>
      <c r="N1238">
        <v>8</v>
      </c>
    </row>
    <row r="1239" spans="1:14" hidden="1" x14ac:dyDescent="0.3">
      <c r="A1239">
        <v>1694</v>
      </c>
      <c r="B1239">
        <v>44</v>
      </c>
      <c r="C1239">
        <v>811</v>
      </c>
      <c r="D1239">
        <v>14</v>
      </c>
      <c r="E1239">
        <v>545</v>
      </c>
      <c r="F1239">
        <v>57</v>
      </c>
      <c r="G1239">
        <v>57</v>
      </c>
      <c r="H1239">
        <v>133</v>
      </c>
      <c r="I1239">
        <v>1351</v>
      </c>
      <c r="J1239">
        <v>3</v>
      </c>
      <c r="K1239">
        <v>5</v>
      </c>
      <c r="L1239">
        <v>4</v>
      </c>
      <c r="M1239">
        <v>8</v>
      </c>
      <c r="N1239">
        <v>4</v>
      </c>
    </row>
    <row r="1240" spans="1:14" hidden="1" x14ac:dyDescent="0.3">
      <c r="A1240">
        <v>1292</v>
      </c>
      <c r="B1240">
        <v>44</v>
      </c>
      <c r="C1240">
        <v>1174</v>
      </c>
      <c r="D1240">
        <v>329</v>
      </c>
      <c r="E1240">
        <v>250</v>
      </c>
      <c r="F1240">
        <v>490</v>
      </c>
      <c r="G1240">
        <v>329</v>
      </c>
      <c r="H1240">
        <v>141</v>
      </c>
      <c r="I1240">
        <v>2430</v>
      </c>
      <c r="J1240">
        <v>1</v>
      </c>
      <c r="K1240">
        <v>6</v>
      </c>
      <c r="L1240">
        <v>7</v>
      </c>
      <c r="M1240">
        <v>9</v>
      </c>
      <c r="N1240">
        <v>2</v>
      </c>
    </row>
    <row r="1241" spans="1:14" hidden="1" x14ac:dyDescent="0.3">
      <c r="A1241">
        <v>1440</v>
      </c>
      <c r="B1241">
        <v>44</v>
      </c>
      <c r="C1241">
        <v>1283</v>
      </c>
      <c r="D1241">
        <v>51</v>
      </c>
      <c r="E1241">
        <v>2061</v>
      </c>
      <c r="F1241">
        <v>417</v>
      </c>
      <c r="G1241">
        <v>411</v>
      </c>
      <c r="H1241">
        <v>135</v>
      </c>
      <c r="I1241">
        <v>4087</v>
      </c>
      <c r="J1241">
        <v>1</v>
      </c>
      <c r="K1241">
        <v>7</v>
      </c>
      <c r="L1241">
        <v>7</v>
      </c>
      <c r="M1241">
        <v>9</v>
      </c>
      <c r="N1241">
        <v>4</v>
      </c>
    </row>
    <row r="1242" spans="1:14" hidden="1" x14ac:dyDescent="0.3">
      <c r="A1242">
        <v>1288</v>
      </c>
      <c r="B1242">
        <v>44</v>
      </c>
      <c r="C1242">
        <v>1385</v>
      </c>
      <c r="D1242">
        <v>38</v>
      </c>
      <c r="E1242">
        <v>416</v>
      </c>
      <c r="F1242">
        <v>51</v>
      </c>
      <c r="G1242">
        <v>0</v>
      </c>
      <c r="H1242">
        <v>76</v>
      </c>
      <c r="I1242">
        <v>1814</v>
      </c>
      <c r="J1242">
        <v>1</v>
      </c>
      <c r="K1242">
        <v>9</v>
      </c>
      <c r="L1242">
        <v>2</v>
      </c>
      <c r="M1242">
        <v>9</v>
      </c>
      <c r="N1242">
        <v>6</v>
      </c>
    </row>
    <row r="1243" spans="1:14" hidden="1" x14ac:dyDescent="0.3">
      <c r="A1243">
        <v>3023</v>
      </c>
      <c r="B1243">
        <v>44</v>
      </c>
      <c r="C1243">
        <v>1560</v>
      </c>
      <c r="D1243">
        <v>372</v>
      </c>
      <c r="E1243">
        <v>983</v>
      </c>
      <c r="F1243">
        <v>485</v>
      </c>
      <c r="G1243">
        <v>102</v>
      </c>
      <c r="H1243">
        <v>134</v>
      </c>
      <c r="I1243">
        <v>3367</v>
      </c>
      <c r="J1243">
        <v>2</v>
      </c>
      <c r="K1243">
        <v>2</v>
      </c>
      <c r="L1243">
        <v>5</v>
      </c>
      <c r="M1243">
        <v>5</v>
      </c>
      <c r="N1243">
        <v>6</v>
      </c>
    </row>
    <row r="1244" spans="1:14" hidden="1" x14ac:dyDescent="0.3">
      <c r="A1244">
        <v>2439</v>
      </c>
      <c r="B1244">
        <v>43</v>
      </c>
      <c r="C1244">
        <v>14</v>
      </c>
      <c r="D1244">
        <v>92</v>
      </c>
      <c r="E1244">
        <v>42</v>
      </c>
      <c r="F1244">
        <v>49</v>
      </c>
      <c r="G1244">
        <v>35</v>
      </c>
      <c r="H1244">
        <v>78</v>
      </c>
      <c r="I1244">
        <v>155</v>
      </c>
      <c r="J1244">
        <v>3</v>
      </c>
      <c r="K1244">
        <v>3</v>
      </c>
      <c r="L1244">
        <v>0</v>
      </c>
      <c r="M1244">
        <v>3</v>
      </c>
      <c r="N1244">
        <v>7</v>
      </c>
    </row>
    <row r="1245" spans="1:14" hidden="1" x14ac:dyDescent="0.3">
      <c r="A1245">
        <v>2568</v>
      </c>
      <c r="B1245">
        <v>43</v>
      </c>
      <c r="C1245">
        <v>17</v>
      </c>
      <c r="D1245">
        <v>58</v>
      </c>
      <c r="E1245">
        <v>41</v>
      </c>
      <c r="F1245">
        <v>17</v>
      </c>
      <c r="G1245">
        <v>124</v>
      </c>
      <c r="H1245">
        <v>224</v>
      </c>
      <c r="I1245">
        <v>33</v>
      </c>
      <c r="J1245">
        <v>1</v>
      </c>
      <c r="K1245">
        <v>2</v>
      </c>
      <c r="L1245">
        <v>0</v>
      </c>
      <c r="M1245">
        <v>2</v>
      </c>
      <c r="N1245">
        <v>9</v>
      </c>
    </row>
    <row r="1246" spans="1:14" hidden="1" x14ac:dyDescent="0.3">
      <c r="A1246">
        <v>1703</v>
      </c>
      <c r="B1246">
        <v>43</v>
      </c>
      <c r="C1246">
        <v>38</v>
      </c>
      <c r="D1246">
        <v>0</v>
      </c>
      <c r="E1246">
        <v>38</v>
      </c>
      <c r="F1246">
        <v>13</v>
      </c>
      <c r="G1246">
        <v>6</v>
      </c>
      <c r="H1246">
        <v>6</v>
      </c>
      <c r="I1246">
        <v>88</v>
      </c>
      <c r="J1246">
        <v>2</v>
      </c>
      <c r="K1246">
        <v>1</v>
      </c>
      <c r="L1246">
        <v>0</v>
      </c>
      <c r="M1246">
        <v>3</v>
      </c>
      <c r="N1246">
        <v>7</v>
      </c>
    </row>
    <row r="1247" spans="1:14" hidden="1" x14ac:dyDescent="0.3">
      <c r="A1247">
        <v>1802</v>
      </c>
      <c r="B1247">
        <v>43</v>
      </c>
      <c r="C1247">
        <v>39</v>
      </c>
      <c r="D1247">
        <v>55</v>
      </c>
      <c r="E1247">
        <v>72</v>
      </c>
      <c r="F1247">
        <v>17</v>
      </c>
      <c r="G1247">
        <v>61</v>
      </c>
      <c r="H1247">
        <v>61</v>
      </c>
      <c r="I1247">
        <v>183</v>
      </c>
      <c r="J1247">
        <v>2</v>
      </c>
      <c r="K1247">
        <v>2</v>
      </c>
      <c r="L1247">
        <v>0</v>
      </c>
      <c r="M1247">
        <v>3</v>
      </c>
      <c r="N1247">
        <v>7</v>
      </c>
    </row>
    <row r="1248" spans="1:14" hidden="1" x14ac:dyDescent="0.3">
      <c r="A1248">
        <v>1552</v>
      </c>
      <c r="B1248">
        <v>43</v>
      </c>
      <c r="C1248">
        <v>43</v>
      </c>
      <c r="D1248">
        <v>0</v>
      </c>
      <c r="E1248">
        <v>9</v>
      </c>
      <c r="F1248">
        <v>0</v>
      </c>
      <c r="G1248">
        <v>0</v>
      </c>
      <c r="H1248">
        <v>12</v>
      </c>
      <c r="I1248">
        <v>40</v>
      </c>
      <c r="J1248">
        <v>1</v>
      </c>
      <c r="K1248">
        <v>1</v>
      </c>
      <c r="L1248">
        <v>0</v>
      </c>
      <c r="M1248">
        <v>2</v>
      </c>
      <c r="N1248">
        <v>6</v>
      </c>
    </row>
    <row r="1249" spans="1:14" hidden="1" x14ac:dyDescent="0.3">
      <c r="A1249">
        <v>2266</v>
      </c>
      <c r="B1249">
        <v>43</v>
      </c>
      <c r="C1249">
        <v>63</v>
      </c>
      <c r="D1249">
        <v>8</v>
      </c>
      <c r="E1249">
        <v>71</v>
      </c>
      <c r="F1249">
        <v>8</v>
      </c>
      <c r="G1249">
        <v>4</v>
      </c>
      <c r="H1249">
        <v>20</v>
      </c>
      <c r="I1249">
        <v>134</v>
      </c>
      <c r="J1249">
        <v>1</v>
      </c>
      <c r="K1249">
        <v>1</v>
      </c>
      <c r="L1249">
        <v>0</v>
      </c>
      <c r="M1249">
        <v>3</v>
      </c>
      <c r="N1249">
        <v>7</v>
      </c>
    </row>
    <row r="1250" spans="1:14" hidden="1" x14ac:dyDescent="0.3">
      <c r="A1250">
        <v>1834</v>
      </c>
      <c r="B1250">
        <v>43</v>
      </c>
      <c r="C1250">
        <v>102</v>
      </c>
      <c r="D1250">
        <v>0</v>
      </c>
      <c r="E1250">
        <v>8</v>
      </c>
      <c r="F1250">
        <v>0</v>
      </c>
      <c r="G1250">
        <v>0</v>
      </c>
      <c r="H1250">
        <v>38</v>
      </c>
      <c r="I1250">
        <v>72</v>
      </c>
      <c r="J1250">
        <v>2</v>
      </c>
      <c r="K1250">
        <v>1</v>
      </c>
      <c r="L1250">
        <v>1</v>
      </c>
      <c r="M1250">
        <v>2</v>
      </c>
      <c r="N1250">
        <v>5</v>
      </c>
    </row>
    <row r="1251" spans="1:14" hidden="1" x14ac:dyDescent="0.3">
      <c r="A1251">
        <v>1650</v>
      </c>
      <c r="B1251">
        <v>43</v>
      </c>
      <c r="C1251">
        <v>115</v>
      </c>
      <c r="D1251">
        <v>0</v>
      </c>
      <c r="E1251">
        <v>27</v>
      </c>
      <c r="F1251">
        <v>0</v>
      </c>
      <c r="G1251">
        <v>0</v>
      </c>
      <c r="H1251">
        <v>9</v>
      </c>
      <c r="I1251">
        <v>133</v>
      </c>
      <c r="J1251">
        <v>1</v>
      </c>
      <c r="K1251">
        <v>1</v>
      </c>
      <c r="L1251">
        <v>0</v>
      </c>
      <c r="M1251">
        <v>3</v>
      </c>
      <c r="N1251">
        <v>8</v>
      </c>
    </row>
    <row r="1252" spans="1:14" hidden="1" x14ac:dyDescent="0.3">
      <c r="A1252">
        <v>1093</v>
      </c>
      <c r="B1252">
        <v>43</v>
      </c>
      <c r="C1252">
        <v>160</v>
      </c>
      <c r="D1252">
        <v>4</v>
      </c>
      <c r="E1252">
        <v>23</v>
      </c>
      <c r="F1252">
        <v>8</v>
      </c>
      <c r="G1252">
        <v>0</v>
      </c>
      <c r="H1252">
        <v>19</v>
      </c>
      <c r="I1252">
        <v>175</v>
      </c>
      <c r="J1252">
        <v>2</v>
      </c>
      <c r="K1252">
        <v>2</v>
      </c>
      <c r="L1252">
        <v>0</v>
      </c>
      <c r="M1252">
        <v>3</v>
      </c>
      <c r="N1252">
        <v>6</v>
      </c>
    </row>
    <row r="1253" spans="1:14" hidden="1" x14ac:dyDescent="0.3">
      <c r="A1253">
        <v>1284</v>
      </c>
      <c r="B1253">
        <v>43</v>
      </c>
      <c r="C1253">
        <v>218</v>
      </c>
      <c r="D1253">
        <v>13</v>
      </c>
      <c r="E1253">
        <v>54</v>
      </c>
      <c r="F1253">
        <v>0</v>
      </c>
      <c r="G1253">
        <v>13</v>
      </c>
      <c r="H1253">
        <v>37</v>
      </c>
      <c r="I1253">
        <v>262</v>
      </c>
      <c r="J1253">
        <v>1</v>
      </c>
      <c r="K1253">
        <v>3</v>
      </c>
      <c r="L1253">
        <v>0</v>
      </c>
      <c r="M1253">
        <v>3</v>
      </c>
      <c r="N1253">
        <v>8</v>
      </c>
    </row>
    <row r="1254" spans="1:14" hidden="1" x14ac:dyDescent="0.3">
      <c r="A1254">
        <v>2521</v>
      </c>
      <c r="B1254">
        <v>43</v>
      </c>
      <c r="C1254">
        <v>218</v>
      </c>
      <c r="D1254">
        <v>13</v>
      </c>
      <c r="E1254">
        <v>54</v>
      </c>
      <c r="F1254">
        <v>0</v>
      </c>
      <c r="G1254">
        <v>13</v>
      </c>
      <c r="H1254">
        <v>37</v>
      </c>
      <c r="I1254">
        <v>262</v>
      </c>
      <c r="J1254">
        <v>1</v>
      </c>
      <c r="K1254">
        <v>3</v>
      </c>
      <c r="L1254">
        <v>0</v>
      </c>
      <c r="M1254">
        <v>3</v>
      </c>
      <c r="N1254">
        <v>8</v>
      </c>
    </row>
    <row r="1255" spans="1:14" hidden="1" x14ac:dyDescent="0.3">
      <c r="A1255">
        <v>1290</v>
      </c>
      <c r="B1255">
        <v>43</v>
      </c>
      <c r="C1255">
        <v>281</v>
      </c>
      <c r="D1255">
        <v>53</v>
      </c>
      <c r="E1255">
        <v>327</v>
      </c>
      <c r="F1255">
        <v>70</v>
      </c>
      <c r="G1255">
        <v>46</v>
      </c>
      <c r="H1255">
        <v>183</v>
      </c>
      <c r="I1255">
        <v>594</v>
      </c>
      <c r="J1255">
        <v>3</v>
      </c>
      <c r="K1255">
        <v>5</v>
      </c>
      <c r="L1255">
        <v>1</v>
      </c>
      <c r="M1255">
        <v>4</v>
      </c>
      <c r="N1255">
        <v>8</v>
      </c>
    </row>
    <row r="1256" spans="1:14" hidden="1" x14ac:dyDescent="0.3">
      <c r="A1256">
        <v>2608</v>
      </c>
      <c r="B1256">
        <v>43</v>
      </c>
      <c r="C1256">
        <v>304</v>
      </c>
      <c r="D1256">
        <v>0</v>
      </c>
      <c r="E1256">
        <v>29</v>
      </c>
      <c r="F1256">
        <v>0</v>
      </c>
      <c r="G1256">
        <v>3</v>
      </c>
      <c r="H1256">
        <v>0</v>
      </c>
      <c r="I1256">
        <v>335</v>
      </c>
      <c r="J1256">
        <v>2</v>
      </c>
      <c r="K1256">
        <v>2</v>
      </c>
      <c r="L1256">
        <v>1</v>
      </c>
      <c r="M1256">
        <v>4</v>
      </c>
      <c r="N1256">
        <v>5</v>
      </c>
    </row>
    <row r="1257" spans="1:14" hidden="1" x14ac:dyDescent="0.3">
      <c r="A1257">
        <v>2385</v>
      </c>
      <c r="B1257">
        <v>43</v>
      </c>
      <c r="C1257">
        <v>371</v>
      </c>
      <c r="D1257">
        <v>7</v>
      </c>
      <c r="E1257">
        <v>59</v>
      </c>
      <c r="F1257">
        <v>7</v>
      </c>
      <c r="G1257">
        <v>4</v>
      </c>
      <c r="H1257">
        <v>115</v>
      </c>
      <c r="I1257">
        <v>334</v>
      </c>
      <c r="J1257">
        <v>4</v>
      </c>
      <c r="K1257">
        <v>3</v>
      </c>
      <c r="L1257">
        <v>2</v>
      </c>
      <c r="M1257">
        <v>2</v>
      </c>
      <c r="N1257">
        <v>9</v>
      </c>
    </row>
    <row r="1258" spans="1:14" hidden="1" x14ac:dyDescent="0.3">
      <c r="A1258">
        <v>1966</v>
      </c>
      <c r="B1258">
        <v>43</v>
      </c>
      <c r="C1258">
        <v>719</v>
      </c>
      <c r="D1258">
        <v>8</v>
      </c>
      <c r="E1258">
        <v>213</v>
      </c>
      <c r="F1258">
        <v>10</v>
      </c>
      <c r="G1258">
        <v>18</v>
      </c>
      <c r="H1258">
        <v>58</v>
      </c>
      <c r="I1258">
        <v>908</v>
      </c>
      <c r="J1258">
        <v>2</v>
      </c>
      <c r="K1258">
        <v>4</v>
      </c>
      <c r="L1258">
        <v>2</v>
      </c>
      <c r="M1258">
        <v>8</v>
      </c>
      <c r="N1258">
        <v>4</v>
      </c>
    </row>
    <row r="1259" spans="1:14" hidden="1" x14ac:dyDescent="0.3">
      <c r="A1259">
        <v>1790</v>
      </c>
      <c r="B1259">
        <v>43</v>
      </c>
      <c r="C1259">
        <v>1437</v>
      </c>
      <c r="D1259">
        <v>62</v>
      </c>
      <c r="E1259">
        <v>1118</v>
      </c>
      <c r="F1259">
        <v>293</v>
      </c>
      <c r="G1259">
        <v>383</v>
      </c>
      <c r="H1259">
        <v>224</v>
      </c>
      <c r="I1259">
        <v>3069</v>
      </c>
      <c r="J1259">
        <v>2</v>
      </c>
      <c r="K1259">
        <v>5</v>
      </c>
      <c r="L1259">
        <v>9</v>
      </c>
      <c r="M1259">
        <v>6</v>
      </c>
      <c r="N1259">
        <v>2</v>
      </c>
    </row>
    <row r="1260" spans="1:14" hidden="1" x14ac:dyDescent="0.3">
      <c r="A1260">
        <v>1826</v>
      </c>
      <c r="B1260">
        <v>43</v>
      </c>
      <c r="C1260">
        <v>1616</v>
      </c>
      <c r="D1260">
        <v>165</v>
      </c>
      <c r="E1260">
        <v>2073</v>
      </c>
      <c r="F1260">
        <v>216</v>
      </c>
      <c r="G1260">
        <v>123</v>
      </c>
      <c r="H1260">
        <v>290</v>
      </c>
      <c r="I1260">
        <v>3903</v>
      </c>
      <c r="J1260">
        <v>1</v>
      </c>
      <c r="K1260">
        <v>5</v>
      </c>
      <c r="L1260">
        <v>6</v>
      </c>
      <c r="M1260">
        <v>7</v>
      </c>
      <c r="N1260">
        <v>2</v>
      </c>
    </row>
    <row r="1261" spans="1:14" hidden="1" x14ac:dyDescent="0.3">
      <c r="A1261">
        <v>2287</v>
      </c>
      <c r="B1261">
        <v>43</v>
      </c>
      <c r="C1261">
        <v>2551</v>
      </c>
      <c r="D1261">
        <v>65</v>
      </c>
      <c r="E1261">
        <v>556</v>
      </c>
      <c r="F1261">
        <v>85</v>
      </c>
      <c r="G1261">
        <v>65</v>
      </c>
      <c r="H1261">
        <v>31</v>
      </c>
      <c r="I1261">
        <v>3290</v>
      </c>
      <c r="J1261">
        <v>1</v>
      </c>
      <c r="K1261">
        <v>5</v>
      </c>
      <c r="L1261">
        <v>5</v>
      </c>
      <c r="M1261">
        <v>12</v>
      </c>
      <c r="N1261">
        <v>2</v>
      </c>
    </row>
    <row r="1262" spans="1:14" hidden="1" x14ac:dyDescent="0.3">
      <c r="A1262">
        <v>1613</v>
      </c>
      <c r="B1262">
        <v>43</v>
      </c>
      <c r="C1262">
        <v>2891</v>
      </c>
      <c r="D1262">
        <v>262</v>
      </c>
      <c r="E1262">
        <v>487</v>
      </c>
      <c r="F1262">
        <v>95</v>
      </c>
      <c r="G1262">
        <v>73</v>
      </c>
      <c r="H1262">
        <v>73</v>
      </c>
      <c r="I1262">
        <v>3735</v>
      </c>
      <c r="J1262">
        <v>2</v>
      </c>
      <c r="K1262">
        <v>7</v>
      </c>
      <c r="L1262">
        <v>3</v>
      </c>
      <c r="M1262">
        <v>13</v>
      </c>
      <c r="N1262">
        <v>8</v>
      </c>
    </row>
    <row r="1263" spans="1:14" hidden="1" x14ac:dyDescent="0.3">
      <c r="A1263">
        <v>2643</v>
      </c>
      <c r="B1263">
        <v>43</v>
      </c>
      <c r="C1263">
        <v>2891</v>
      </c>
      <c r="D1263">
        <v>262</v>
      </c>
      <c r="E1263">
        <v>487</v>
      </c>
      <c r="F1263">
        <v>95</v>
      </c>
      <c r="G1263">
        <v>73</v>
      </c>
      <c r="H1263">
        <v>73</v>
      </c>
      <c r="I1263">
        <v>3735</v>
      </c>
      <c r="J1263">
        <v>2</v>
      </c>
      <c r="K1263">
        <v>7</v>
      </c>
      <c r="L1263">
        <v>3</v>
      </c>
      <c r="M1263">
        <v>13</v>
      </c>
      <c r="N1263">
        <v>8</v>
      </c>
    </row>
    <row r="1264" spans="1:14" hidden="1" x14ac:dyDescent="0.3">
      <c r="A1264">
        <v>2730</v>
      </c>
      <c r="B1264">
        <v>42</v>
      </c>
      <c r="C1264">
        <v>22</v>
      </c>
      <c r="D1264">
        <v>65</v>
      </c>
      <c r="E1264">
        <v>29</v>
      </c>
      <c r="F1264">
        <v>51</v>
      </c>
      <c r="G1264">
        <v>58</v>
      </c>
      <c r="H1264">
        <v>51</v>
      </c>
      <c r="I1264">
        <v>174</v>
      </c>
      <c r="J1264">
        <v>4</v>
      </c>
      <c r="K1264">
        <v>1</v>
      </c>
      <c r="L1264">
        <v>1</v>
      </c>
      <c r="M1264">
        <v>4</v>
      </c>
      <c r="N1264">
        <v>3</v>
      </c>
    </row>
    <row r="1265" spans="1:14" hidden="1" x14ac:dyDescent="0.3">
      <c r="A1265">
        <v>1762</v>
      </c>
      <c r="B1265">
        <v>42</v>
      </c>
      <c r="C1265">
        <v>23</v>
      </c>
      <c r="D1265">
        <v>19</v>
      </c>
      <c r="E1265">
        <v>19</v>
      </c>
      <c r="F1265">
        <v>30</v>
      </c>
      <c r="G1265">
        <v>0</v>
      </c>
      <c r="H1265">
        <v>19</v>
      </c>
      <c r="I1265">
        <v>71</v>
      </c>
      <c r="J1265">
        <v>2</v>
      </c>
      <c r="K1265">
        <v>1</v>
      </c>
      <c r="L1265">
        <v>0</v>
      </c>
      <c r="M1265">
        <v>3</v>
      </c>
      <c r="N1265">
        <v>4</v>
      </c>
    </row>
    <row r="1266" spans="1:14" hidden="1" x14ac:dyDescent="0.3">
      <c r="A1266">
        <v>1021</v>
      </c>
      <c r="B1266">
        <v>42</v>
      </c>
      <c r="C1266">
        <v>42</v>
      </c>
      <c r="D1266">
        <v>42</v>
      </c>
      <c r="E1266">
        <v>72219</v>
      </c>
      <c r="F1266">
        <v>42</v>
      </c>
      <c r="G1266">
        <v>42</v>
      </c>
      <c r="H1266">
        <v>42</v>
      </c>
      <c r="I1266">
        <v>72345</v>
      </c>
      <c r="J1266">
        <v>15</v>
      </c>
      <c r="K1266">
        <v>0</v>
      </c>
      <c r="L1266">
        <v>28</v>
      </c>
      <c r="M1266">
        <v>0</v>
      </c>
      <c r="N1266">
        <v>1</v>
      </c>
    </row>
    <row r="1267" spans="1:14" hidden="1" x14ac:dyDescent="0.3">
      <c r="A1267">
        <v>3049</v>
      </c>
      <c r="B1267">
        <v>42</v>
      </c>
      <c r="C1267">
        <v>64</v>
      </c>
      <c r="D1267">
        <v>0</v>
      </c>
      <c r="E1267">
        <v>18</v>
      </c>
      <c r="F1267">
        <v>0</v>
      </c>
      <c r="G1267">
        <v>0</v>
      </c>
      <c r="H1267">
        <v>37</v>
      </c>
      <c r="I1267">
        <v>46</v>
      </c>
      <c r="J1267">
        <v>1</v>
      </c>
      <c r="K1267">
        <v>1</v>
      </c>
      <c r="L1267">
        <v>1</v>
      </c>
      <c r="M1267">
        <v>2</v>
      </c>
      <c r="N1267">
        <v>6</v>
      </c>
    </row>
    <row r="1268" spans="1:14" hidden="1" x14ac:dyDescent="0.3">
      <c r="A1268">
        <v>1819</v>
      </c>
      <c r="B1268">
        <v>42</v>
      </c>
      <c r="C1268">
        <v>99</v>
      </c>
      <c r="D1268">
        <v>0</v>
      </c>
      <c r="E1268">
        <v>19</v>
      </c>
      <c r="F1268">
        <v>0</v>
      </c>
      <c r="G1268">
        <v>3</v>
      </c>
      <c r="H1268">
        <v>25</v>
      </c>
      <c r="I1268">
        <v>95</v>
      </c>
      <c r="J1268">
        <v>1</v>
      </c>
      <c r="K1268">
        <v>1</v>
      </c>
      <c r="L1268">
        <v>0</v>
      </c>
      <c r="M1268">
        <v>3</v>
      </c>
      <c r="N1268">
        <v>6</v>
      </c>
    </row>
    <row r="1269" spans="1:14" hidden="1" x14ac:dyDescent="0.3">
      <c r="A1269">
        <v>2995</v>
      </c>
      <c r="B1269">
        <v>42</v>
      </c>
      <c r="C1269">
        <v>99</v>
      </c>
      <c r="D1269">
        <v>18</v>
      </c>
      <c r="E1269">
        <v>76</v>
      </c>
      <c r="F1269">
        <v>54</v>
      </c>
      <c r="G1269">
        <v>45</v>
      </c>
      <c r="H1269">
        <v>58</v>
      </c>
      <c r="I1269">
        <v>234</v>
      </c>
      <c r="J1269">
        <v>3</v>
      </c>
      <c r="K1269">
        <v>2</v>
      </c>
      <c r="L1269">
        <v>0</v>
      </c>
      <c r="M1269">
        <v>4</v>
      </c>
      <c r="N1269">
        <v>6</v>
      </c>
    </row>
    <row r="1270" spans="1:14" hidden="1" x14ac:dyDescent="0.3">
      <c r="A1270">
        <v>1556</v>
      </c>
      <c r="B1270">
        <v>42</v>
      </c>
      <c r="C1270">
        <v>183</v>
      </c>
      <c r="D1270">
        <v>43</v>
      </c>
      <c r="E1270">
        <v>176</v>
      </c>
      <c r="F1270">
        <v>61</v>
      </c>
      <c r="G1270">
        <v>86</v>
      </c>
      <c r="H1270">
        <v>86</v>
      </c>
      <c r="I1270">
        <v>463</v>
      </c>
      <c r="J1270">
        <v>3</v>
      </c>
      <c r="K1270">
        <v>4</v>
      </c>
      <c r="L1270">
        <v>1</v>
      </c>
      <c r="M1270">
        <v>3</v>
      </c>
      <c r="N1270">
        <v>8</v>
      </c>
    </row>
    <row r="1271" spans="1:14" hidden="1" x14ac:dyDescent="0.3">
      <c r="A1271">
        <v>2183</v>
      </c>
      <c r="B1271">
        <v>42</v>
      </c>
      <c r="C1271">
        <v>412</v>
      </c>
      <c r="D1271">
        <v>9</v>
      </c>
      <c r="E1271">
        <v>85</v>
      </c>
      <c r="F1271">
        <v>12</v>
      </c>
      <c r="G1271">
        <v>15</v>
      </c>
      <c r="H1271">
        <v>41</v>
      </c>
      <c r="I1271">
        <v>492</v>
      </c>
      <c r="J1271">
        <v>2</v>
      </c>
      <c r="K1271">
        <v>3</v>
      </c>
      <c r="L1271">
        <v>2</v>
      </c>
      <c r="M1271">
        <v>4</v>
      </c>
      <c r="N1271">
        <v>4</v>
      </c>
    </row>
    <row r="1272" spans="1:14" hidden="1" x14ac:dyDescent="0.3">
      <c r="A1272">
        <v>2110</v>
      </c>
      <c r="B1272">
        <v>42</v>
      </c>
      <c r="C1272">
        <v>451</v>
      </c>
      <c r="D1272">
        <v>74</v>
      </c>
      <c r="E1272">
        <v>2096</v>
      </c>
      <c r="F1272">
        <v>0</v>
      </c>
      <c r="G1272">
        <v>85</v>
      </c>
      <c r="H1272">
        <v>287</v>
      </c>
      <c r="I1272">
        <v>2419</v>
      </c>
      <c r="J1272">
        <v>1</v>
      </c>
      <c r="K1272">
        <v>7</v>
      </c>
      <c r="L1272">
        <v>6</v>
      </c>
      <c r="M1272">
        <v>11</v>
      </c>
      <c r="N1272">
        <v>4</v>
      </c>
    </row>
    <row r="1273" spans="1:14" hidden="1" x14ac:dyDescent="0.3">
      <c r="A1273">
        <v>2834</v>
      </c>
      <c r="B1273">
        <v>42</v>
      </c>
      <c r="C1273">
        <v>496</v>
      </c>
      <c r="D1273">
        <v>220</v>
      </c>
      <c r="E1273">
        <v>579</v>
      </c>
      <c r="F1273">
        <v>17</v>
      </c>
      <c r="G1273">
        <v>68</v>
      </c>
      <c r="H1273">
        <v>277</v>
      </c>
      <c r="I1273">
        <v>1104</v>
      </c>
      <c r="J1273">
        <v>2</v>
      </c>
      <c r="K1273">
        <v>8</v>
      </c>
      <c r="L1273">
        <v>1</v>
      </c>
      <c r="M1273">
        <v>7</v>
      </c>
      <c r="N1273">
        <v>7</v>
      </c>
    </row>
    <row r="1274" spans="1:14" hidden="1" x14ac:dyDescent="0.3">
      <c r="A1274">
        <v>1415</v>
      </c>
      <c r="B1274">
        <v>42</v>
      </c>
      <c r="C1274">
        <v>789</v>
      </c>
      <c r="D1274">
        <v>0</v>
      </c>
      <c r="E1274">
        <v>789</v>
      </c>
      <c r="F1274">
        <v>64</v>
      </c>
      <c r="G1274">
        <v>13</v>
      </c>
      <c r="H1274">
        <v>642</v>
      </c>
      <c r="I1274">
        <v>1014</v>
      </c>
      <c r="J1274">
        <v>5</v>
      </c>
      <c r="K1274">
        <v>8</v>
      </c>
      <c r="L1274">
        <v>1</v>
      </c>
      <c r="M1274">
        <v>7</v>
      </c>
      <c r="N1274">
        <v>8</v>
      </c>
    </row>
    <row r="1275" spans="1:14" hidden="1" x14ac:dyDescent="0.3">
      <c r="A1275">
        <v>1911</v>
      </c>
      <c r="B1275">
        <v>42</v>
      </c>
      <c r="C1275">
        <v>1062</v>
      </c>
      <c r="D1275">
        <v>0</v>
      </c>
      <c r="E1275">
        <v>1150</v>
      </c>
      <c r="F1275">
        <v>223</v>
      </c>
      <c r="G1275">
        <v>47</v>
      </c>
      <c r="H1275">
        <v>27</v>
      </c>
      <c r="I1275">
        <v>2457</v>
      </c>
      <c r="J1275">
        <v>1</v>
      </c>
      <c r="K1275">
        <v>6</v>
      </c>
      <c r="L1275">
        <v>4</v>
      </c>
      <c r="M1275">
        <v>9</v>
      </c>
      <c r="N1275">
        <v>2</v>
      </c>
    </row>
    <row r="1276" spans="1:14" hidden="1" x14ac:dyDescent="0.3">
      <c r="A1276">
        <v>3179</v>
      </c>
      <c r="B1276">
        <v>42</v>
      </c>
      <c r="C1276">
        <v>1107</v>
      </c>
      <c r="D1276">
        <v>151</v>
      </c>
      <c r="E1276">
        <v>1834</v>
      </c>
      <c r="F1276">
        <v>198</v>
      </c>
      <c r="G1276">
        <v>58</v>
      </c>
      <c r="H1276">
        <v>113</v>
      </c>
      <c r="I1276">
        <v>3235</v>
      </c>
      <c r="J1276">
        <v>1</v>
      </c>
      <c r="K1276">
        <v>6</v>
      </c>
      <c r="L1276">
        <v>2</v>
      </c>
      <c r="M1276">
        <v>9</v>
      </c>
      <c r="N1276">
        <v>2</v>
      </c>
    </row>
    <row r="1277" spans="1:14" hidden="1" x14ac:dyDescent="0.3">
      <c r="A1277">
        <v>1410</v>
      </c>
      <c r="B1277">
        <v>42</v>
      </c>
      <c r="C1277">
        <v>1144</v>
      </c>
      <c r="D1277">
        <v>284</v>
      </c>
      <c r="E1277">
        <v>1644</v>
      </c>
      <c r="F1277">
        <v>372</v>
      </c>
      <c r="G1277">
        <v>214</v>
      </c>
      <c r="H1277">
        <v>69</v>
      </c>
      <c r="I1277">
        <v>3590</v>
      </c>
      <c r="J1277">
        <v>1</v>
      </c>
      <c r="K1277">
        <v>6</v>
      </c>
      <c r="L1277">
        <v>7</v>
      </c>
      <c r="M1277">
        <v>13</v>
      </c>
      <c r="N1277">
        <v>1</v>
      </c>
    </row>
    <row r="1278" spans="1:14" hidden="1" x14ac:dyDescent="0.3">
      <c r="A1278">
        <v>1813</v>
      </c>
      <c r="B1278">
        <v>42</v>
      </c>
      <c r="C1278">
        <v>1165</v>
      </c>
      <c r="D1278">
        <v>14</v>
      </c>
      <c r="E1278">
        <v>249</v>
      </c>
      <c r="F1278">
        <v>0</v>
      </c>
      <c r="G1278">
        <v>44</v>
      </c>
      <c r="H1278">
        <v>28</v>
      </c>
      <c r="I1278">
        <v>1445</v>
      </c>
      <c r="J1278">
        <v>3</v>
      </c>
      <c r="K1278">
        <v>7</v>
      </c>
      <c r="L1278">
        <v>3</v>
      </c>
      <c r="M1278">
        <v>7</v>
      </c>
      <c r="N1278">
        <v>5</v>
      </c>
    </row>
    <row r="1279" spans="1:14" hidden="1" x14ac:dyDescent="0.3">
      <c r="A1279">
        <v>3181</v>
      </c>
      <c r="B1279">
        <v>42</v>
      </c>
      <c r="C1279">
        <v>1331</v>
      </c>
      <c r="D1279">
        <v>114</v>
      </c>
      <c r="E1279">
        <v>1414</v>
      </c>
      <c r="F1279">
        <v>161</v>
      </c>
      <c r="G1279">
        <v>123</v>
      </c>
      <c r="H1279">
        <v>72</v>
      </c>
      <c r="I1279">
        <v>3072</v>
      </c>
      <c r="J1279">
        <v>1</v>
      </c>
      <c r="K1279">
        <v>4</v>
      </c>
      <c r="L1279">
        <v>6</v>
      </c>
      <c r="M1279">
        <v>8</v>
      </c>
      <c r="N1279">
        <v>2</v>
      </c>
    </row>
    <row r="1280" spans="1:14" hidden="1" x14ac:dyDescent="0.3">
      <c r="A1280">
        <v>1122</v>
      </c>
      <c r="B1280">
        <v>42</v>
      </c>
      <c r="C1280">
        <v>1405</v>
      </c>
      <c r="D1280">
        <v>13</v>
      </c>
      <c r="E1280">
        <v>124</v>
      </c>
      <c r="F1280">
        <v>0</v>
      </c>
      <c r="G1280">
        <v>13</v>
      </c>
      <c r="H1280">
        <v>108</v>
      </c>
      <c r="I1280">
        <v>1447</v>
      </c>
      <c r="J1280">
        <v>5</v>
      </c>
      <c r="K1280">
        <v>11</v>
      </c>
      <c r="L1280">
        <v>1</v>
      </c>
      <c r="M1280">
        <v>6</v>
      </c>
      <c r="N1280">
        <v>8</v>
      </c>
    </row>
    <row r="1281" spans="1:14" hidden="1" x14ac:dyDescent="0.3">
      <c r="A1281">
        <v>1631</v>
      </c>
      <c r="B1281">
        <v>42</v>
      </c>
      <c r="C1281">
        <v>1637</v>
      </c>
      <c r="D1281">
        <v>0</v>
      </c>
      <c r="E1281">
        <v>345</v>
      </c>
      <c r="F1281">
        <v>270</v>
      </c>
      <c r="G1281">
        <v>114</v>
      </c>
      <c r="H1281">
        <v>114</v>
      </c>
      <c r="I1281">
        <v>2252</v>
      </c>
      <c r="J1281">
        <v>3</v>
      </c>
      <c r="K1281">
        <v>7</v>
      </c>
      <c r="L1281">
        <v>6</v>
      </c>
      <c r="M1281">
        <v>12</v>
      </c>
      <c r="N1281">
        <v>4</v>
      </c>
    </row>
    <row r="1282" spans="1:14" hidden="1" x14ac:dyDescent="0.3">
      <c r="A1282">
        <v>2903</v>
      </c>
      <c r="B1282">
        <v>42</v>
      </c>
      <c r="C1282">
        <v>1657</v>
      </c>
      <c r="D1282">
        <v>122</v>
      </c>
      <c r="E1282">
        <v>890</v>
      </c>
      <c r="F1282">
        <v>239</v>
      </c>
      <c r="G1282">
        <v>214</v>
      </c>
      <c r="H1282">
        <v>275</v>
      </c>
      <c r="I1282">
        <v>2847</v>
      </c>
      <c r="J1282">
        <v>1</v>
      </c>
      <c r="K1282">
        <v>9</v>
      </c>
      <c r="L1282">
        <v>3</v>
      </c>
      <c r="M1282">
        <v>6</v>
      </c>
      <c r="N1282">
        <v>5</v>
      </c>
    </row>
    <row r="1283" spans="1:14" hidden="1" x14ac:dyDescent="0.3">
      <c r="A1283">
        <v>1299</v>
      </c>
      <c r="B1283">
        <v>42</v>
      </c>
      <c r="C1283">
        <v>1851</v>
      </c>
      <c r="D1283">
        <v>106</v>
      </c>
      <c r="E1283">
        <v>1352</v>
      </c>
      <c r="F1283">
        <v>186</v>
      </c>
      <c r="G1283">
        <v>106</v>
      </c>
      <c r="H1283">
        <v>34</v>
      </c>
      <c r="I1283">
        <v>3568</v>
      </c>
      <c r="J1283">
        <v>1</v>
      </c>
      <c r="K1283">
        <v>6</v>
      </c>
      <c r="L1283">
        <v>6</v>
      </c>
      <c r="M1283">
        <v>10</v>
      </c>
      <c r="N1283">
        <v>3</v>
      </c>
    </row>
    <row r="1284" spans="1:14" hidden="1" x14ac:dyDescent="0.3">
      <c r="A1284">
        <v>1596</v>
      </c>
      <c r="B1284">
        <v>41</v>
      </c>
      <c r="C1284">
        <v>13</v>
      </c>
      <c r="D1284">
        <v>50</v>
      </c>
      <c r="E1284">
        <v>6</v>
      </c>
      <c r="F1284">
        <v>25</v>
      </c>
      <c r="G1284">
        <v>44</v>
      </c>
      <c r="H1284">
        <v>94</v>
      </c>
      <c r="I1284">
        <v>44</v>
      </c>
      <c r="J1284">
        <v>1</v>
      </c>
      <c r="K1284">
        <v>1</v>
      </c>
      <c r="L1284">
        <v>0</v>
      </c>
      <c r="M1284">
        <v>3</v>
      </c>
      <c r="N1284">
        <v>8</v>
      </c>
    </row>
    <row r="1285" spans="1:14" hidden="1" x14ac:dyDescent="0.3">
      <c r="A1285">
        <v>2689</v>
      </c>
      <c r="B1285">
        <v>41</v>
      </c>
      <c r="C1285">
        <v>13</v>
      </c>
      <c r="D1285">
        <v>63</v>
      </c>
      <c r="E1285">
        <v>70</v>
      </c>
      <c r="F1285">
        <v>76</v>
      </c>
      <c r="G1285">
        <v>57</v>
      </c>
      <c r="H1285">
        <v>127</v>
      </c>
      <c r="I1285">
        <v>152</v>
      </c>
      <c r="J1285">
        <v>2</v>
      </c>
      <c r="K1285">
        <v>3</v>
      </c>
      <c r="L1285">
        <v>0</v>
      </c>
      <c r="M1285">
        <v>3</v>
      </c>
      <c r="N1285">
        <v>6</v>
      </c>
    </row>
    <row r="1286" spans="1:14" hidden="1" x14ac:dyDescent="0.3">
      <c r="A1286">
        <v>2549</v>
      </c>
      <c r="B1286">
        <v>41</v>
      </c>
      <c r="C1286">
        <v>33</v>
      </c>
      <c r="D1286">
        <v>19</v>
      </c>
      <c r="E1286">
        <v>108</v>
      </c>
      <c r="F1286">
        <v>33</v>
      </c>
      <c r="G1286">
        <v>0</v>
      </c>
      <c r="H1286">
        <v>51</v>
      </c>
      <c r="I1286">
        <v>140</v>
      </c>
      <c r="J1286">
        <v>1</v>
      </c>
      <c r="K1286">
        <v>1</v>
      </c>
      <c r="L1286">
        <v>0</v>
      </c>
      <c r="M1286">
        <v>3</v>
      </c>
      <c r="N1286">
        <v>7</v>
      </c>
    </row>
    <row r="1287" spans="1:14" hidden="1" x14ac:dyDescent="0.3">
      <c r="A1287">
        <v>1574</v>
      </c>
      <c r="B1287">
        <v>41</v>
      </c>
      <c r="C1287">
        <v>67</v>
      </c>
      <c r="D1287">
        <v>0</v>
      </c>
      <c r="E1287">
        <v>123</v>
      </c>
      <c r="F1287">
        <v>21</v>
      </c>
      <c r="G1287">
        <v>14</v>
      </c>
      <c r="H1287">
        <v>60</v>
      </c>
      <c r="I1287">
        <v>165</v>
      </c>
      <c r="J1287">
        <v>2</v>
      </c>
      <c r="K1287">
        <v>2</v>
      </c>
      <c r="L1287">
        <v>1</v>
      </c>
      <c r="M1287">
        <v>2</v>
      </c>
      <c r="N1287">
        <v>7</v>
      </c>
    </row>
    <row r="1288" spans="1:14" hidden="1" x14ac:dyDescent="0.3">
      <c r="A1288">
        <v>1020</v>
      </c>
      <c r="B1288">
        <v>41</v>
      </c>
      <c r="C1288">
        <v>318</v>
      </c>
      <c r="D1288">
        <v>7</v>
      </c>
      <c r="E1288">
        <v>270</v>
      </c>
      <c r="F1288">
        <v>255</v>
      </c>
      <c r="G1288">
        <v>141</v>
      </c>
      <c r="H1288">
        <v>178</v>
      </c>
      <c r="I1288">
        <v>814</v>
      </c>
      <c r="J1288">
        <v>1</v>
      </c>
      <c r="K1288">
        <v>4</v>
      </c>
      <c r="L1288">
        <v>2</v>
      </c>
      <c r="M1288">
        <v>5</v>
      </c>
      <c r="N1288">
        <v>8</v>
      </c>
    </row>
    <row r="1289" spans="1:14" hidden="1" x14ac:dyDescent="0.3">
      <c r="A1289">
        <v>3140</v>
      </c>
      <c r="B1289">
        <v>41</v>
      </c>
      <c r="C1289">
        <v>592</v>
      </c>
      <c r="D1289">
        <v>409</v>
      </c>
      <c r="E1289">
        <v>409</v>
      </c>
      <c r="F1289">
        <v>507</v>
      </c>
      <c r="G1289">
        <v>246</v>
      </c>
      <c r="H1289">
        <v>143</v>
      </c>
      <c r="I1289">
        <v>2020</v>
      </c>
      <c r="J1289">
        <v>2</v>
      </c>
      <c r="K1289">
        <v>6</v>
      </c>
      <c r="L1289">
        <v>4</v>
      </c>
      <c r="M1289">
        <v>11</v>
      </c>
      <c r="N1289">
        <v>4</v>
      </c>
    </row>
    <row r="1290" spans="1:14" hidden="1" x14ac:dyDescent="0.3">
      <c r="A1290">
        <v>1708</v>
      </c>
      <c r="B1290">
        <v>41</v>
      </c>
      <c r="C1290">
        <v>686</v>
      </c>
      <c r="D1290">
        <v>331</v>
      </c>
      <c r="E1290">
        <v>509</v>
      </c>
      <c r="F1290">
        <v>383</v>
      </c>
      <c r="G1290">
        <v>135</v>
      </c>
      <c r="H1290">
        <v>352</v>
      </c>
      <c r="I1290">
        <v>1692</v>
      </c>
      <c r="J1290">
        <v>1</v>
      </c>
      <c r="K1290">
        <v>3</v>
      </c>
      <c r="L1290">
        <v>8</v>
      </c>
      <c r="M1290">
        <v>11</v>
      </c>
      <c r="N1290">
        <v>1</v>
      </c>
    </row>
    <row r="1291" spans="1:14" hidden="1" x14ac:dyDescent="0.3">
      <c r="A1291">
        <v>1463</v>
      </c>
      <c r="B1291">
        <v>41</v>
      </c>
      <c r="C1291">
        <v>964</v>
      </c>
      <c r="D1291">
        <v>24</v>
      </c>
      <c r="E1291">
        <v>288</v>
      </c>
      <c r="F1291">
        <v>51</v>
      </c>
      <c r="G1291">
        <v>0</v>
      </c>
      <c r="H1291">
        <v>408</v>
      </c>
      <c r="I1291">
        <v>920</v>
      </c>
      <c r="J1291">
        <v>7</v>
      </c>
      <c r="K1291">
        <v>7</v>
      </c>
      <c r="L1291">
        <v>3</v>
      </c>
      <c r="M1291">
        <v>4</v>
      </c>
      <c r="N1291">
        <v>8</v>
      </c>
    </row>
    <row r="1292" spans="1:14" hidden="1" x14ac:dyDescent="0.3">
      <c r="A1292">
        <v>2425</v>
      </c>
      <c r="B1292">
        <v>41</v>
      </c>
      <c r="C1292">
        <v>974</v>
      </c>
      <c r="D1292">
        <v>66</v>
      </c>
      <c r="E1292">
        <v>388</v>
      </c>
      <c r="F1292">
        <v>142</v>
      </c>
      <c r="G1292">
        <v>20</v>
      </c>
      <c r="H1292">
        <v>95</v>
      </c>
      <c r="I1292">
        <v>1494</v>
      </c>
      <c r="J1292">
        <v>4</v>
      </c>
      <c r="K1292">
        <v>4</v>
      </c>
      <c r="L1292">
        <v>4</v>
      </c>
      <c r="M1292">
        <v>5</v>
      </c>
      <c r="N1292">
        <v>2</v>
      </c>
    </row>
    <row r="1293" spans="1:14" hidden="1" x14ac:dyDescent="0.3">
      <c r="A1293">
        <v>2247</v>
      </c>
      <c r="B1293">
        <v>41</v>
      </c>
      <c r="C1293">
        <v>1405</v>
      </c>
      <c r="D1293">
        <v>17</v>
      </c>
      <c r="E1293">
        <v>437</v>
      </c>
      <c r="F1293">
        <v>23</v>
      </c>
      <c r="G1293">
        <v>17</v>
      </c>
      <c r="H1293">
        <v>379</v>
      </c>
      <c r="I1293">
        <v>1520</v>
      </c>
      <c r="J1293">
        <v>10</v>
      </c>
      <c r="K1293">
        <v>9</v>
      </c>
      <c r="L1293">
        <v>4</v>
      </c>
      <c r="M1293">
        <v>6</v>
      </c>
      <c r="N1293">
        <v>8</v>
      </c>
    </row>
    <row r="1294" spans="1:14" hidden="1" x14ac:dyDescent="0.3">
      <c r="A1294">
        <v>1997</v>
      </c>
      <c r="B1294">
        <v>41</v>
      </c>
      <c r="C1294">
        <v>1530</v>
      </c>
      <c r="D1294">
        <v>275</v>
      </c>
      <c r="E1294">
        <v>612</v>
      </c>
      <c r="F1294">
        <v>318</v>
      </c>
      <c r="G1294">
        <v>366</v>
      </c>
      <c r="H1294">
        <v>183</v>
      </c>
      <c r="I1294">
        <v>2918</v>
      </c>
      <c r="J1294">
        <v>1</v>
      </c>
      <c r="K1294">
        <v>6</v>
      </c>
      <c r="L1294">
        <v>6</v>
      </c>
      <c r="M1294">
        <v>7</v>
      </c>
      <c r="N1294">
        <v>3</v>
      </c>
    </row>
    <row r="1295" spans="1:14" hidden="1" x14ac:dyDescent="0.3">
      <c r="A1295">
        <v>2031</v>
      </c>
      <c r="B1295">
        <v>41</v>
      </c>
      <c r="C1295">
        <v>1530</v>
      </c>
      <c r="D1295">
        <v>275</v>
      </c>
      <c r="E1295">
        <v>612</v>
      </c>
      <c r="F1295">
        <v>318</v>
      </c>
      <c r="G1295">
        <v>366</v>
      </c>
      <c r="H1295">
        <v>183</v>
      </c>
      <c r="I1295">
        <v>2918</v>
      </c>
      <c r="J1295">
        <v>1</v>
      </c>
      <c r="K1295">
        <v>6</v>
      </c>
      <c r="L1295">
        <v>6</v>
      </c>
      <c r="M1295">
        <v>7</v>
      </c>
      <c r="N1295">
        <v>3</v>
      </c>
    </row>
    <row r="1296" spans="1:14" hidden="1" x14ac:dyDescent="0.3">
      <c r="A1296">
        <v>2508</v>
      </c>
      <c r="B1296">
        <v>41</v>
      </c>
      <c r="C1296">
        <v>1647</v>
      </c>
      <c r="D1296">
        <v>151</v>
      </c>
      <c r="E1296">
        <v>327</v>
      </c>
      <c r="F1296">
        <v>0</v>
      </c>
      <c r="G1296">
        <v>64</v>
      </c>
      <c r="H1296">
        <v>20</v>
      </c>
      <c r="I1296">
        <v>2170</v>
      </c>
      <c r="J1296">
        <v>4</v>
      </c>
      <c r="K1296">
        <v>7</v>
      </c>
      <c r="L1296">
        <v>3</v>
      </c>
      <c r="M1296">
        <v>13</v>
      </c>
      <c r="N1296">
        <v>5</v>
      </c>
    </row>
    <row r="1297" spans="1:14" hidden="1" x14ac:dyDescent="0.3">
      <c r="A1297">
        <v>1308</v>
      </c>
      <c r="B1297">
        <v>41</v>
      </c>
      <c r="C1297">
        <v>1867</v>
      </c>
      <c r="D1297">
        <v>153</v>
      </c>
      <c r="E1297">
        <v>902</v>
      </c>
      <c r="F1297">
        <v>199</v>
      </c>
      <c r="G1297">
        <v>31</v>
      </c>
      <c r="H1297">
        <v>186</v>
      </c>
      <c r="I1297">
        <v>2966</v>
      </c>
      <c r="J1297">
        <v>5</v>
      </c>
      <c r="K1297">
        <v>10</v>
      </c>
      <c r="L1297">
        <v>3</v>
      </c>
      <c r="M1297">
        <v>5</v>
      </c>
      <c r="N1297">
        <v>7</v>
      </c>
    </row>
    <row r="1298" spans="1:14" hidden="1" x14ac:dyDescent="0.3">
      <c r="A1298">
        <v>2944</v>
      </c>
      <c r="B1298">
        <v>41</v>
      </c>
      <c r="C1298">
        <v>1978</v>
      </c>
      <c r="D1298">
        <v>56</v>
      </c>
      <c r="E1298">
        <v>815</v>
      </c>
      <c r="F1298">
        <v>37</v>
      </c>
      <c r="G1298">
        <v>56</v>
      </c>
      <c r="H1298">
        <v>28</v>
      </c>
      <c r="I1298">
        <v>2914</v>
      </c>
      <c r="J1298">
        <v>1</v>
      </c>
      <c r="K1298">
        <v>3</v>
      </c>
      <c r="L1298">
        <v>6</v>
      </c>
      <c r="M1298">
        <v>11</v>
      </c>
      <c r="N1298">
        <v>1</v>
      </c>
    </row>
    <row r="1299" spans="1:14" hidden="1" x14ac:dyDescent="0.3">
      <c r="A1299">
        <v>3073</v>
      </c>
      <c r="B1299">
        <v>40</v>
      </c>
      <c r="C1299">
        <v>16</v>
      </c>
      <c r="D1299">
        <v>56</v>
      </c>
      <c r="E1299">
        <v>89</v>
      </c>
      <c r="F1299">
        <v>129</v>
      </c>
      <c r="G1299">
        <v>97</v>
      </c>
      <c r="H1299">
        <v>217</v>
      </c>
      <c r="I1299">
        <v>169</v>
      </c>
      <c r="J1299">
        <v>1</v>
      </c>
      <c r="K1299">
        <v>2</v>
      </c>
      <c r="L1299">
        <v>0</v>
      </c>
      <c r="M1299">
        <v>4</v>
      </c>
      <c r="N1299">
        <v>6</v>
      </c>
    </row>
    <row r="1300" spans="1:14" hidden="1" x14ac:dyDescent="0.3">
      <c r="A1300">
        <v>1765</v>
      </c>
      <c r="B1300">
        <v>40</v>
      </c>
      <c r="C1300">
        <v>25</v>
      </c>
      <c r="D1300">
        <v>8</v>
      </c>
      <c r="E1300">
        <v>62</v>
      </c>
      <c r="F1300">
        <v>25</v>
      </c>
      <c r="G1300">
        <v>25</v>
      </c>
      <c r="H1300">
        <v>12</v>
      </c>
      <c r="I1300">
        <v>133</v>
      </c>
      <c r="J1300">
        <v>1</v>
      </c>
      <c r="K1300">
        <v>1</v>
      </c>
      <c r="L1300">
        <v>0</v>
      </c>
      <c r="M1300">
        <v>3</v>
      </c>
      <c r="N1300">
        <v>8</v>
      </c>
    </row>
    <row r="1301" spans="1:14" hidden="1" x14ac:dyDescent="0.3">
      <c r="A1301">
        <v>2609</v>
      </c>
      <c r="B1301">
        <v>40</v>
      </c>
      <c r="C1301">
        <v>27</v>
      </c>
      <c r="D1301">
        <v>5</v>
      </c>
      <c r="E1301">
        <v>43</v>
      </c>
      <c r="F1301">
        <v>0</v>
      </c>
      <c r="G1301">
        <v>0</v>
      </c>
      <c r="H1301">
        <v>5</v>
      </c>
      <c r="I1301">
        <v>70</v>
      </c>
      <c r="J1301">
        <v>1</v>
      </c>
      <c r="K1301">
        <v>1</v>
      </c>
      <c r="L1301">
        <v>0</v>
      </c>
      <c r="M1301">
        <v>2</v>
      </c>
      <c r="N1301">
        <v>8</v>
      </c>
    </row>
    <row r="1302" spans="1:14" hidden="1" x14ac:dyDescent="0.3">
      <c r="A1302">
        <v>3186</v>
      </c>
      <c r="B1302">
        <v>40</v>
      </c>
      <c r="C1302">
        <v>27</v>
      </c>
      <c r="D1302">
        <v>5</v>
      </c>
      <c r="E1302">
        <v>43</v>
      </c>
      <c r="F1302">
        <v>0</v>
      </c>
      <c r="G1302">
        <v>0</v>
      </c>
      <c r="H1302">
        <v>5</v>
      </c>
      <c r="I1302">
        <v>70</v>
      </c>
      <c r="J1302">
        <v>1</v>
      </c>
      <c r="K1302">
        <v>1</v>
      </c>
      <c r="L1302">
        <v>0</v>
      </c>
      <c r="M1302">
        <v>2</v>
      </c>
      <c r="N1302">
        <v>8</v>
      </c>
    </row>
    <row r="1303" spans="1:14" hidden="1" x14ac:dyDescent="0.3">
      <c r="A1303">
        <v>2910</v>
      </c>
      <c r="B1303">
        <v>40</v>
      </c>
      <c r="C1303">
        <v>31</v>
      </c>
      <c r="D1303">
        <v>15</v>
      </c>
      <c r="E1303">
        <v>58</v>
      </c>
      <c r="F1303">
        <v>12</v>
      </c>
      <c r="G1303">
        <v>19</v>
      </c>
      <c r="H1303">
        <v>12</v>
      </c>
      <c r="I1303">
        <v>123</v>
      </c>
      <c r="J1303">
        <v>2</v>
      </c>
      <c r="K1303">
        <v>1</v>
      </c>
      <c r="L1303">
        <v>0</v>
      </c>
      <c r="M1303">
        <v>3</v>
      </c>
      <c r="N1303">
        <v>7</v>
      </c>
    </row>
    <row r="1304" spans="1:14" hidden="1" x14ac:dyDescent="0.3">
      <c r="A1304">
        <v>3051</v>
      </c>
      <c r="B1304">
        <v>40</v>
      </c>
      <c r="C1304">
        <v>37</v>
      </c>
      <c r="D1304">
        <v>120</v>
      </c>
      <c r="E1304">
        <v>211</v>
      </c>
      <c r="F1304">
        <v>175</v>
      </c>
      <c r="G1304">
        <v>41</v>
      </c>
      <c r="H1304">
        <v>225</v>
      </c>
      <c r="I1304">
        <v>359</v>
      </c>
      <c r="J1304">
        <v>2</v>
      </c>
      <c r="K1304">
        <v>3</v>
      </c>
      <c r="L1304">
        <v>0</v>
      </c>
      <c r="M1304">
        <v>4</v>
      </c>
      <c r="N1304">
        <v>8</v>
      </c>
    </row>
    <row r="1305" spans="1:14" hidden="1" x14ac:dyDescent="0.3">
      <c r="A1305">
        <v>2907</v>
      </c>
      <c r="B1305">
        <v>40</v>
      </c>
      <c r="C1305">
        <v>46</v>
      </c>
      <c r="D1305">
        <v>17</v>
      </c>
      <c r="E1305">
        <v>109</v>
      </c>
      <c r="F1305">
        <v>17</v>
      </c>
      <c r="G1305">
        <v>17</v>
      </c>
      <c r="H1305">
        <v>46</v>
      </c>
      <c r="I1305">
        <v>161</v>
      </c>
      <c r="J1305">
        <v>3</v>
      </c>
      <c r="K1305">
        <v>3</v>
      </c>
      <c r="L1305">
        <v>0</v>
      </c>
      <c r="M1305">
        <v>3</v>
      </c>
      <c r="N1305">
        <v>6</v>
      </c>
    </row>
    <row r="1306" spans="1:14" hidden="1" x14ac:dyDescent="0.3">
      <c r="A1306">
        <v>2130</v>
      </c>
      <c r="B1306">
        <v>40</v>
      </c>
      <c r="C1306">
        <v>48</v>
      </c>
      <c r="D1306">
        <v>0</v>
      </c>
      <c r="E1306">
        <v>38</v>
      </c>
      <c r="F1306">
        <v>0</v>
      </c>
      <c r="G1306">
        <v>0</v>
      </c>
      <c r="H1306">
        <v>43</v>
      </c>
      <c r="I1306">
        <v>43</v>
      </c>
      <c r="J1306">
        <v>1</v>
      </c>
      <c r="K1306">
        <v>1</v>
      </c>
      <c r="L1306">
        <v>0</v>
      </c>
      <c r="M1306">
        <v>2</v>
      </c>
      <c r="N1306">
        <v>9</v>
      </c>
    </row>
    <row r="1307" spans="1:14" hidden="1" x14ac:dyDescent="0.3">
      <c r="A1307">
        <v>2667</v>
      </c>
      <c r="B1307">
        <v>40</v>
      </c>
      <c r="C1307">
        <v>59</v>
      </c>
      <c r="D1307">
        <v>0</v>
      </c>
      <c r="E1307">
        <v>33</v>
      </c>
      <c r="F1307">
        <v>0</v>
      </c>
      <c r="G1307">
        <v>0</v>
      </c>
      <c r="H1307">
        <v>46</v>
      </c>
      <c r="I1307">
        <v>46</v>
      </c>
      <c r="J1307">
        <v>1</v>
      </c>
      <c r="K1307">
        <v>1</v>
      </c>
      <c r="L1307">
        <v>0</v>
      </c>
      <c r="M1307">
        <v>2</v>
      </c>
      <c r="N1307">
        <v>8</v>
      </c>
    </row>
    <row r="1308" spans="1:14" hidden="1" x14ac:dyDescent="0.3">
      <c r="A1308">
        <v>2575</v>
      </c>
      <c r="B1308">
        <v>40</v>
      </c>
      <c r="C1308">
        <v>67</v>
      </c>
      <c r="D1308">
        <v>0</v>
      </c>
      <c r="E1308">
        <v>22</v>
      </c>
      <c r="F1308">
        <v>11</v>
      </c>
      <c r="G1308">
        <v>11</v>
      </c>
      <c r="H1308">
        <v>19</v>
      </c>
      <c r="I1308">
        <v>93</v>
      </c>
      <c r="J1308">
        <v>1</v>
      </c>
      <c r="K1308">
        <v>1</v>
      </c>
      <c r="L1308">
        <v>1</v>
      </c>
      <c r="M1308">
        <v>3</v>
      </c>
      <c r="N1308">
        <v>2</v>
      </c>
    </row>
    <row r="1309" spans="1:14" hidden="1" x14ac:dyDescent="0.3">
      <c r="A1309">
        <v>3069</v>
      </c>
      <c r="B1309">
        <v>40</v>
      </c>
      <c r="C1309">
        <v>84</v>
      </c>
      <c r="D1309">
        <v>0</v>
      </c>
      <c r="E1309">
        <v>23</v>
      </c>
      <c r="F1309">
        <v>6</v>
      </c>
      <c r="G1309">
        <v>0</v>
      </c>
      <c r="H1309">
        <v>17</v>
      </c>
      <c r="I1309">
        <v>95</v>
      </c>
      <c r="J1309">
        <v>1</v>
      </c>
      <c r="K1309">
        <v>1</v>
      </c>
      <c r="L1309">
        <v>0</v>
      </c>
      <c r="M1309">
        <v>3</v>
      </c>
      <c r="N1309">
        <v>4</v>
      </c>
    </row>
    <row r="1310" spans="1:14" hidden="1" x14ac:dyDescent="0.3">
      <c r="A1310">
        <v>2244</v>
      </c>
      <c r="B1310">
        <v>40</v>
      </c>
      <c r="C1310">
        <v>117</v>
      </c>
      <c r="D1310">
        <v>0</v>
      </c>
      <c r="E1310">
        <v>46</v>
      </c>
      <c r="F1310">
        <v>0</v>
      </c>
      <c r="G1310">
        <v>0</v>
      </c>
      <c r="H1310">
        <v>38</v>
      </c>
      <c r="I1310">
        <v>125</v>
      </c>
      <c r="J1310">
        <v>3</v>
      </c>
      <c r="K1310">
        <v>2</v>
      </c>
      <c r="L1310">
        <v>0</v>
      </c>
      <c r="M1310">
        <v>3</v>
      </c>
      <c r="N1310">
        <v>8</v>
      </c>
    </row>
    <row r="1311" spans="1:14" hidden="1" x14ac:dyDescent="0.3">
      <c r="A1311">
        <v>3039</v>
      </c>
      <c r="B1311">
        <v>40</v>
      </c>
      <c r="C1311">
        <v>135</v>
      </c>
      <c r="D1311">
        <v>51</v>
      </c>
      <c r="E1311">
        <v>51</v>
      </c>
      <c r="F1311">
        <v>57</v>
      </c>
      <c r="G1311">
        <v>20</v>
      </c>
      <c r="H1311">
        <v>24</v>
      </c>
      <c r="I1311">
        <v>290</v>
      </c>
      <c r="J1311">
        <v>1</v>
      </c>
      <c r="K1311">
        <v>2</v>
      </c>
      <c r="L1311">
        <v>1</v>
      </c>
      <c r="M1311">
        <v>3</v>
      </c>
      <c r="N1311">
        <v>4</v>
      </c>
    </row>
    <row r="1312" spans="1:14" hidden="1" x14ac:dyDescent="0.3">
      <c r="A1312">
        <v>3220</v>
      </c>
      <c r="B1312">
        <v>40</v>
      </c>
      <c r="C1312">
        <v>205</v>
      </c>
      <c r="D1312">
        <v>7</v>
      </c>
      <c r="E1312">
        <v>149</v>
      </c>
      <c r="F1312">
        <v>5</v>
      </c>
      <c r="G1312">
        <v>2</v>
      </c>
      <c r="H1312">
        <v>51</v>
      </c>
      <c r="I1312">
        <v>317</v>
      </c>
      <c r="J1312">
        <v>3</v>
      </c>
      <c r="K1312">
        <v>3</v>
      </c>
      <c r="L1312">
        <v>1</v>
      </c>
      <c r="M1312">
        <v>4</v>
      </c>
      <c r="N1312">
        <v>7</v>
      </c>
    </row>
    <row r="1313" spans="1:14" hidden="1" x14ac:dyDescent="0.3">
      <c r="A1313">
        <v>3205</v>
      </c>
      <c r="B1313">
        <v>40</v>
      </c>
      <c r="C1313">
        <v>243</v>
      </c>
      <c r="D1313">
        <v>9</v>
      </c>
      <c r="E1313">
        <v>176</v>
      </c>
      <c r="F1313">
        <v>6</v>
      </c>
      <c r="G1313">
        <v>3</v>
      </c>
      <c r="H1313">
        <v>61</v>
      </c>
      <c r="I1313">
        <v>376</v>
      </c>
      <c r="J1313">
        <v>3</v>
      </c>
      <c r="K1313">
        <v>3</v>
      </c>
      <c r="L1313">
        <v>1</v>
      </c>
      <c r="M1313">
        <v>4</v>
      </c>
      <c r="N1313">
        <v>7</v>
      </c>
    </row>
    <row r="1314" spans="1:14" hidden="1" x14ac:dyDescent="0.3">
      <c r="A1314">
        <v>2105</v>
      </c>
      <c r="B1314">
        <v>40</v>
      </c>
      <c r="C1314">
        <v>345</v>
      </c>
      <c r="D1314">
        <v>16</v>
      </c>
      <c r="E1314">
        <v>430</v>
      </c>
      <c r="F1314">
        <v>82</v>
      </c>
      <c r="G1314">
        <v>72</v>
      </c>
      <c r="H1314">
        <v>91</v>
      </c>
      <c r="I1314">
        <v>854</v>
      </c>
      <c r="J1314">
        <v>2</v>
      </c>
      <c r="K1314">
        <v>6</v>
      </c>
      <c r="L1314">
        <v>1</v>
      </c>
      <c r="M1314">
        <v>5</v>
      </c>
      <c r="N1314">
        <v>7</v>
      </c>
    </row>
    <row r="1315" spans="1:14" hidden="1" x14ac:dyDescent="0.3">
      <c r="A1315">
        <v>2384</v>
      </c>
      <c r="B1315">
        <v>40</v>
      </c>
      <c r="C1315">
        <v>815</v>
      </c>
      <c r="D1315">
        <v>36</v>
      </c>
      <c r="E1315">
        <v>286</v>
      </c>
      <c r="F1315">
        <v>30</v>
      </c>
      <c r="G1315">
        <v>36</v>
      </c>
      <c r="H1315">
        <v>47</v>
      </c>
      <c r="I1315">
        <v>1156</v>
      </c>
      <c r="J1315">
        <v>3</v>
      </c>
      <c r="K1315">
        <v>4</v>
      </c>
      <c r="L1315">
        <v>2</v>
      </c>
      <c r="M1315">
        <v>9</v>
      </c>
      <c r="N1315">
        <v>3</v>
      </c>
    </row>
    <row r="1316" spans="1:14" hidden="1" x14ac:dyDescent="0.3">
      <c r="A1316">
        <v>2383</v>
      </c>
      <c r="B1316">
        <v>40</v>
      </c>
      <c r="C1316">
        <v>819</v>
      </c>
      <c r="D1316">
        <v>87</v>
      </c>
      <c r="E1316">
        <v>553</v>
      </c>
      <c r="F1316">
        <v>324</v>
      </c>
      <c r="G1316">
        <v>87</v>
      </c>
      <c r="H1316">
        <v>107</v>
      </c>
      <c r="I1316">
        <v>1763</v>
      </c>
      <c r="J1316">
        <v>2</v>
      </c>
      <c r="K1316">
        <v>7</v>
      </c>
      <c r="L1316">
        <v>5</v>
      </c>
      <c r="M1316">
        <v>8</v>
      </c>
      <c r="N1316">
        <v>4</v>
      </c>
    </row>
    <row r="1317" spans="1:14" hidden="1" x14ac:dyDescent="0.3">
      <c r="A1317">
        <v>1459</v>
      </c>
      <c r="B1317">
        <v>40</v>
      </c>
      <c r="C1317">
        <v>1243</v>
      </c>
      <c r="D1317">
        <v>0</v>
      </c>
      <c r="E1317">
        <v>502</v>
      </c>
      <c r="F1317">
        <v>286</v>
      </c>
      <c r="G1317">
        <v>195</v>
      </c>
      <c r="H1317">
        <v>304</v>
      </c>
      <c r="I1317">
        <v>1921</v>
      </c>
      <c r="J1317">
        <v>4</v>
      </c>
      <c r="K1317">
        <v>8</v>
      </c>
      <c r="L1317">
        <v>3</v>
      </c>
      <c r="M1317">
        <v>11</v>
      </c>
      <c r="N1317">
        <v>5</v>
      </c>
    </row>
    <row r="1318" spans="1:14" hidden="1" x14ac:dyDescent="0.3">
      <c r="A1318">
        <v>1892</v>
      </c>
      <c r="B1318">
        <v>40</v>
      </c>
      <c r="C1318">
        <v>1331</v>
      </c>
      <c r="D1318">
        <v>28</v>
      </c>
      <c r="E1318">
        <v>1219</v>
      </c>
      <c r="F1318">
        <v>147</v>
      </c>
      <c r="G1318">
        <v>140</v>
      </c>
      <c r="H1318">
        <v>56</v>
      </c>
      <c r="I1318">
        <v>2809</v>
      </c>
      <c r="J1318">
        <v>1</v>
      </c>
      <c r="K1318">
        <v>3</v>
      </c>
      <c r="L1318">
        <v>10</v>
      </c>
      <c r="M1318">
        <v>5</v>
      </c>
      <c r="N1318">
        <v>2</v>
      </c>
    </row>
    <row r="1319" spans="1:14" hidden="1" x14ac:dyDescent="0.3">
      <c r="A1319">
        <v>2428</v>
      </c>
      <c r="B1319">
        <v>40</v>
      </c>
      <c r="C1319">
        <v>1654</v>
      </c>
      <c r="D1319">
        <v>240</v>
      </c>
      <c r="E1319">
        <v>1414</v>
      </c>
      <c r="F1319">
        <v>0</v>
      </c>
      <c r="G1319">
        <v>136</v>
      </c>
      <c r="H1319">
        <v>101</v>
      </c>
      <c r="I1319">
        <v>3344</v>
      </c>
      <c r="J1319">
        <v>1</v>
      </c>
      <c r="K1319">
        <v>3</v>
      </c>
      <c r="L1319">
        <v>11</v>
      </c>
      <c r="M1319">
        <v>8</v>
      </c>
      <c r="N1319">
        <v>1</v>
      </c>
    </row>
    <row r="1320" spans="1:14" hidden="1" x14ac:dyDescent="0.3">
      <c r="A1320">
        <v>1669</v>
      </c>
      <c r="B1320">
        <v>40</v>
      </c>
      <c r="C1320">
        <v>1736</v>
      </c>
      <c r="D1320">
        <v>91</v>
      </c>
      <c r="E1320">
        <v>1097</v>
      </c>
      <c r="F1320">
        <v>0</v>
      </c>
      <c r="G1320">
        <v>91</v>
      </c>
      <c r="H1320">
        <v>59</v>
      </c>
      <c r="I1320">
        <v>2956</v>
      </c>
      <c r="J1320">
        <v>1</v>
      </c>
      <c r="K1320">
        <v>3</v>
      </c>
      <c r="L1320">
        <v>5</v>
      </c>
      <c r="M1320">
        <v>12</v>
      </c>
      <c r="N1320">
        <v>1</v>
      </c>
    </row>
    <row r="1321" spans="1:14" hidden="1" x14ac:dyDescent="0.3">
      <c r="A1321">
        <v>1072</v>
      </c>
      <c r="B1321">
        <v>40</v>
      </c>
      <c r="C1321">
        <v>2393</v>
      </c>
      <c r="D1321">
        <v>243</v>
      </c>
      <c r="E1321">
        <v>1806</v>
      </c>
      <c r="F1321">
        <v>318</v>
      </c>
      <c r="G1321">
        <v>243</v>
      </c>
      <c r="H1321">
        <v>118</v>
      </c>
      <c r="I1321">
        <v>4886</v>
      </c>
      <c r="J1321">
        <v>0</v>
      </c>
      <c r="K1321">
        <v>5</v>
      </c>
      <c r="L1321">
        <v>8</v>
      </c>
      <c r="M1321">
        <v>9</v>
      </c>
      <c r="N1321">
        <v>4</v>
      </c>
    </row>
    <row r="1322" spans="1:14" hidden="1" x14ac:dyDescent="0.3">
      <c r="A1322">
        <v>1233</v>
      </c>
      <c r="B1322">
        <v>40</v>
      </c>
      <c r="C1322">
        <v>2738</v>
      </c>
      <c r="D1322">
        <v>36</v>
      </c>
      <c r="E1322">
        <v>611</v>
      </c>
      <c r="F1322">
        <v>234</v>
      </c>
      <c r="G1322">
        <v>0</v>
      </c>
      <c r="H1322">
        <v>180</v>
      </c>
      <c r="I1322">
        <v>3439</v>
      </c>
      <c r="J1322">
        <v>2</v>
      </c>
      <c r="K1322">
        <v>5</v>
      </c>
      <c r="L1322">
        <v>3</v>
      </c>
      <c r="M1322">
        <v>6</v>
      </c>
      <c r="N1322">
        <v>6</v>
      </c>
    </row>
    <row r="1323" spans="1:14" hidden="1" x14ac:dyDescent="0.3">
      <c r="A1323">
        <v>2387</v>
      </c>
      <c r="B1323">
        <v>40</v>
      </c>
      <c r="C1323">
        <v>2738</v>
      </c>
      <c r="D1323">
        <v>36</v>
      </c>
      <c r="E1323">
        <v>611</v>
      </c>
      <c r="F1323">
        <v>234</v>
      </c>
      <c r="G1323">
        <v>0</v>
      </c>
      <c r="H1323">
        <v>180</v>
      </c>
      <c r="I1323">
        <v>3439</v>
      </c>
      <c r="J1323">
        <v>2</v>
      </c>
      <c r="K1323">
        <v>5</v>
      </c>
      <c r="L1323">
        <v>3</v>
      </c>
      <c r="M1323">
        <v>6</v>
      </c>
      <c r="N1323">
        <v>6</v>
      </c>
    </row>
    <row r="1324" spans="1:14" hidden="1" x14ac:dyDescent="0.3">
      <c r="A1324">
        <v>1103</v>
      </c>
      <c r="B1324">
        <v>40</v>
      </c>
      <c r="C1324">
        <v>3287</v>
      </c>
      <c r="D1324">
        <v>42</v>
      </c>
      <c r="E1324">
        <v>768</v>
      </c>
      <c r="F1324">
        <v>57</v>
      </c>
      <c r="G1324">
        <v>126</v>
      </c>
      <c r="H1324">
        <v>212</v>
      </c>
      <c r="I1324">
        <v>4067</v>
      </c>
      <c r="J1324">
        <v>1</v>
      </c>
      <c r="K1324">
        <v>7</v>
      </c>
      <c r="L1324">
        <v>4</v>
      </c>
      <c r="M1324">
        <v>5</v>
      </c>
      <c r="N1324">
        <v>9</v>
      </c>
    </row>
    <row r="1325" spans="1:14" hidden="1" x14ac:dyDescent="0.3">
      <c r="A1325">
        <v>3210</v>
      </c>
      <c r="B1325">
        <v>39</v>
      </c>
      <c r="C1325">
        <v>-621</v>
      </c>
      <c r="D1325">
        <v>19</v>
      </c>
      <c r="E1325">
        <v>371</v>
      </c>
      <c r="F1325">
        <v>11</v>
      </c>
      <c r="G1325">
        <v>0</v>
      </c>
      <c r="H1325">
        <v>247</v>
      </c>
      <c r="I1325">
        <v>776</v>
      </c>
      <c r="J1325">
        <v>5</v>
      </c>
      <c r="K1325">
        <v>4</v>
      </c>
      <c r="L1325">
        <v>2</v>
      </c>
      <c r="M1325">
        <v>8</v>
      </c>
      <c r="N1325">
        <v>5</v>
      </c>
    </row>
    <row r="1326" spans="1:14" hidden="1" x14ac:dyDescent="0.3">
      <c r="A1326">
        <v>1763</v>
      </c>
      <c r="B1326">
        <v>39</v>
      </c>
      <c r="C1326">
        <v>12</v>
      </c>
      <c r="D1326">
        <v>18</v>
      </c>
      <c r="E1326">
        <v>35</v>
      </c>
      <c r="F1326">
        <v>23</v>
      </c>
      <c r="G1326">
        <v>6</v>
      </c>
      <c r="H1326">
        <v>53</v>
      </c>
      <c r="I1326">
        <v>41</v>
      </c>
      <c r="J1326">
        <v>1</v>
      </c>
      <c r="K1326">
        <v>1</v>
      </c>
      <c r="L1326">
        <v>1</v>
      </c>
      <c r="M1326">
        <v>2</v>
      </c>
      <c r="N1326">
        <v>7</v>
      </c>
    </row>
    <row r="1327" spans="1:14" hidden="1" x14ac:dyDescent="0.3">
      <c r="A1327">
        <v>3105</v>
      </c>
      <c r="B1327">
        <v>39</v>
      </c>
      <c r="C1327">
        <v>12</v>
      </c>
      <c r="D1327">
        <v>18</v>
      </c>
      <c r="E1327">
        <v>35</v>
      </c>
      <c r="F1327">
        <v>23</v>
      </c>
      <c r="G1327">
        <v>6</v>
      </c>
      <c r="H1327">
        <v>53</v>
      </c>
      <c r="I1327">
        <v>41</v>
      </c>
      <c r="J1327">
        <v>1</v>
      </c>
      <c r="K1327">
        <v>1</v>
      </c>
      <c r="L1327">
        <v>1</v>
      </c>
      <c r="M1327">
        <v>2</v>
      </c>
      <c r="N1327">
        <v>7</v>
      </c>
    </row>
    <row r="1328" spans="1:14" hidden="1" x14ac:dyDescent="0.3">
      <c r="A1328">
        <v>1582</v>
      </c>
      <c r="B1328">
        <v>39</v>
      </c>
      <c r="C1328">
        <v>19</v>
      </c>
      <c r="D1328">
        <v>34</v>
      </c>
      <c r="E1328">
        <v>72</v>
      </c>
      <c r="F1328">
        <v>63</v>
      </c>
      <c r="G1328">
        <v>43</v>
      </c>
      <c r="H1328">
        <v>72</v>
      </c>
      <c r="I1328">
        <v>159</v>
      </c>
      <c r="J1328">
        <v>3</v>
      </c>
      <c r="K1328">
        <v>2</v>
      </c>
      <c r="L1328">
        <v>1</v>
      </c>
      <c r="M1328">
        <v>3</v>
      </c>
      <c r="N1328">
        <v>6</v>
      </c>
    </row>
    <row r="1329" spans="1:14" hidden="1" x14ac:dyDescent="0.3">
      <c r="A1329">
        <v>3058</v>
      </c>
      <c r="B1329">
        <v>39</v>
      </c>
      <c r="C1329">
        <v>35</v>
      </c>
      <c r="D1329">
        <v>4</v>
      </c>
      <c r="E1329">
        <v>20</v>
      </c>
      <c r="F1329">
        <v>8</v>
      </c>
      <c r="G1329">
        <v>4</v>
      </c>
      <c r="H1329">
        <v>16</v>
      </c>
      <c r="I1329">
        <v>55</v>
      </c>
      <c r="J1329">
        <v>1</v>
      </c>
      <c r="K1329">
        <v>0</v>
      </c>
      <c r="L1329">
        <v>0</v>
      </c>
      <c r="M1329">
        <v>3</v>
      </c>
      <c r="N1329">
        <v>4</v>
      </c>
    </row>
    <row r="1330" spans="1:14" hidden="1" x14ac:dyDescent="0.3">
      <c r="A1330">
        <v>1932</v>
      </c>
      <c r="B1330">
        <v>39</v>
      </c>
      <c r="C1330">
        <v>122</v>
      </c>
      <c r="D1330">
        <v>0</v>
      </c>
      <c r="E1330">
        <v>50</v>
      </c>
      <c r="F1330">
        <v>0</v>
      </c>
      <c r="G1330">
        <v>0</v>
      </c>
      <c r="H1330">
        <v>52</v>
      </c>
      <c r="I1330">
        <v>120</v>
      </c>
      <c r="J1330">
        <v>3</v>
      </c>
      <c r="K1330">
        <v>2</v>
      </c>
      <c r="L1330">
        <v>1</v>
      </c>
      <c r="M1330">
        <v>3</v>
      </c>
      <c r="N1330">
        <v>5</v>
      </c>
    </row>
    <row r="1331" spans="1:14" hidden="1" x14ac:dyDescent="0.3">
      <c r="A1331">
        <v>2563</v>
      </c>
      <c r="B1331">
        <v>39</v>
      </c>
      <c r="C1331">
        <v>126</v>
      </c>
      <c r="D1331">
        <v>152</v>
      </c>
      <c r="E1331">
        <v>179</v>
      </c>
      <c r="F1331">
        <v>42</v>
      </c>
      <c r="G1331">
        <v>173</v>
      </c>
      <c r="H1331">
        <v>113</v>
      </c>
      <c r="I1331">
        <v>559</v>
      </c>
      <c r="J1331">
        <v>1</v>
      </c>
      <c r="K1331">
        <v>3</v>
      </c>
      <c r="L1331">
        <v>2</v>
      </c>
      <c r="M1331">
        <v>6</v>
      </c>
      <c r="N1331">
        <v>2</v>
      </c>
    </row>
    <row r="1332" spans="1:14" hidden="1" x14ac:dyDescent="0.3">
      <c r="A1332">
        <v>1780</v>
      </c>
      <c r="B1332">
        <v>39</v>
      </c>
      <c r="C1332">
        <v>148</v>
      </c>
      <c r="D1332">
        <v>6</v>
      </c>
      <c r="E1332">
        <v>99</v>
      </c>
      <c r="F1332">
        <v>74</v>
      </c>
      <c r="G1332">
        <v>12</v>
      </c>
      <c r="H1332">
        <v>31</v>
      </c>
      <c r="I1332">
        <v>309</v>
      </c>
      <c r="J1332">
        <v>3</v>
      </c>
      <c r="K1332">
        <v>4</v>
      </c>
      <c r="L1332">
        <v>0</v>
      </c>
      <c r="M1332">
        <v>3</v>
      </c>
      <c r="N1332">
        <v>8</v>
      </c>
    </row>
    <row r="1333" spans="1:14" hidden="1" x14ac:dyDescent="0.3">
      <c r="A1333">
        <v>1311</v>
      </c>
      <c r="B1333">
        <v>39</v>
      </c>
      <c r="C1333">
        <v>162</v>
      </c>
      <c r="D1333">
        <v>15</v>
      </c>
      <c r="E1333">
        <v>217</v>
      </c>
      <c r="F1333">
        <v>23</v>
      </c>
      <c r="G1333">
        <v>15</v>
      </c>
      <c r="H1333">
        <v>70</v>
      </c>
      <c r="I1333">
        <v>364</v>
      </c>
      <c r="J1333">
        <v>3</v>
      </c>
      <c r="K1333">
        <v>2</v>
      </c>
      <c r="L1333">
        <v>0</v>
      </c>
      <c r="M1333">
        <v>4</v>
      </c>
      <c r="N1333">
        <v>8</v>
      </c>
    </row>
    <row r="1334" spans="1:14" hidden="1" x14ac:dyDescent="0.3">
      <c r="A1334">
        <v>2295</v>
      </c>
      <c r="B1334">
        <v>39</v>
      </c>
      <c r="C1334">
        <v>173</v>
      </c>
      <c r="D1334">
        <v>0</v>
      </c>
      <c r="E1334">
        <v>79</v>
      </c>
      <c r="F1334">
        <v>0</v>
      </c>
      <c r="G1334">
        <v>0</v>
      </c>
      <c r="H1334">
        <v>14</v>
      </c>
      <c r="I1334">
        <v>238</v>
      </c>
      <c r="J1334">
        <v>3</v>
      </c>
      <c r="K1334">
        <v>3</v>
      </c>
      <c r="L1334">
        <v>0</v>
      </c>
      <c r="M1334">
        <v>3</v>
      </c>
      <c r="N1334">
        <v>9</v>
      </c>
    </row>
    <row r="1335" spans="1:14" hidden="1" x14ac:dyDescent="0.3">
      <c r="A1335">
        <v>1562</v>
      </c>
      <c r="B1335">
        <v>39</v>
      </c>
      <c r="C1335">
        <v>174</v>
      </c>
      <c r="D1335">
        <v>0</v>
      </c>
      <c r="E1335">
        <v>34</v>
      </c>
      <c r="F1335">
        <v>0</v>
      </c>
      <c r="G1335">
        <v>0</v>
      </c>
      <c r="H1335">
        <v>25</v>
      </c>
      <c r="I1335">
        <v>183</v>
      </c>
      <c r="J1335">
        <v>2</v>
      </c>
      <c r="K1335">
        <v>2</v>
      </c>
      <c r="L1335">
        <v>0</v>
      </c>
      <c r="M1335">
        <v>4</v>
      </c>
      <c r="N1335">
        <v>5</v>
      </c>
    </row>
    <row r="1336" spans="1:14" hidden="1" x14ac:dyDescent="0.3">
      <c r="A1336">
        <v>2963</v>
      </c>
      <c r="B1336">
        <v>39</v>
      </c>
      <c r="C1336">
        <v>200</v>
      </c>
      <c r="D1336">
        <v>79</v>
      </c>
      <c r="E1336">
        <v>284</v>
      </c>
      <c r="F1336">
        <v>16</v>
      </c>
      <c r="G1336">
        <v>42</v>
      </c>
      <c r="H1336">
        <v>153</v>
      </c>
      <c r="I1336">
        <v>468</v>
      </c>
      <c r="J1336">
        <v>3</v>
      </c>
      <c r="K1336">
        <v>3</v>
      </c>
      <c r="L1336">
        <v>0</v>
      </c>
      <c r="M1336">
        <v>4</v>
      </c>
      <c r="N1336">
        <v>8</v>
      </c>
    </row>
    <row r="1337" spans="1:14" hidden="1" x14ac:dyDescent="0.3">
      <c r="A1337">
        <v>2808</v>
      </c>
      <c r="B1337">
        <v>39</v>
      </c>
      <c r="C1337">
        <v>298</v>
      </c>
      <c r="D1337">
        <v>9</v>
      </c>
      <c r="E1337">
        <v>203</v>
      </c>
      <c r="F1337">
        <v>37</v>
      </c>
      <c r="G1337">
        <v>22</v>
      </c>
      <c r="H1337">
        <v>105</v>
      </c>
      <c r="I1337">
        <v>464</v>
      </c>
      <c r="J1337">
        <v>3</v>
      </c>
      <c r="K1337">
        <v>4</v>
      </c>
      <c r="L1337">
        <v>1</v>
      </c>
      <c r="M1337">
        <v>4</v>
      </c>
      <c r="N1337">
        <v>7</v>
      </c>
    </row>
    <row r="1338" spans="1:14" hidden="1" x14ac:dyDescent="0.3">
      <c r="A1338">
        <v>3195</v>
      </c>
      <c r="B1338">
        <v>39</v>
      </c>
      <c r="C1338">
        <v>624</v>
      </c>
      <c r="D1338">
        <v>19</v>
      </c>
      <c r="E1338">
        <v>373</v>
      </c>
      <c r="F1338">
        <v>11</v>
      </c>
      <c r="G1338">
        <v>0</v>
      </c>
      <c r="H1338">
        <v>248</v>
      </c>
      <c r="I1338">
        <v>779</v>
      </c>
      <c r="J1338">
        <v>5</v>
      </c>
      <c r="K1338">
        <v>4</v>
      </c>
      <c r="L1338">
        <v>2</v>
      </c>
      <c r="M1338">
        <v>8</v>
      </c>
      <c r="N1338">
        <v>5</v>
      </c>
    </row>
    <row r="1339" spans="1:14" hidden="1" x14ac:dyDescent="0.3">
      <c r="A1339">
        <v>2237</v>
      </c>
      <c r="B1339">
        <v>39</v>
      </c>
      <c r="C1339">
        <v>810</v>
      </c>
      <c r="D1339">
        <v>39</v>
      </c>
      <c r="E1339">
        <v>122</v>
      </c>
      <c r="F1339">
        <v>52</v>
      </c>
      <c r="G1339">
        <v>0</v>
      </c>
      <c r="H1339">
        <v>497</v>
      </c>
      <c r="I1339">
        <v>525</v>
      </c>
      <c r="J1339">
        <v>2</v>
      </c>
      <c r="K1339">
        <v>7</v>
      </c>
      <c r="L1339">
        <v>4</v>
      </c>
      <c r="M1339">
        <v>3</v>
      </c>
      <c r="N1339">
        <v>6</v>
      </c>
    </row>
    <row r="1340" spans="1:14" hidden="1" x14ac:dyDescent="0.3">
      <c r="A1340">
        <v>2813</v>
      </c>
      <c r="B1340">
        <v>39</v>
      </c>
      <c r="C1340">
        <v>810</v>
      </c>
      <c r="D1340">
        <v>39</v>
      </c>
      <c r="E1340">
        <v>122</v>
      </c>
      <c r="F1340">
        <v>52</v>
      </c>
      <c r="G1340">
        <v>0</v>
      </c>
      <c r="H1340">
        <v>497</v>
      </c>
      <c r="I1340">
        <v>525</v>
      </c>
      <c r="J1340">
        <v>2</v>
      </c>
      <c r="K1340">
        <v>7</v>
      </c>
      <c r="L1340">
        <v>4</v>
      </c>
      <c r="M1340">
        <v>3</v>
      </c>
      <c r="N1340">
        <v>6</v>
      </c>
    </row>
    <row r="1341" spans="1:14" hidden="1" x14ac:dyDescent="0.3">
      <c r="A1341">
        <v>2728</v>
      </c>
      <c r="B1341">
        <v>39</v>
      </c>
      <c r="C1341">
        <v>1117</v>
      </c>
      <c r="D1341">
        <v>0</v>
      </c>
      <c r="E1341">
        <v>138</v>
      </c>
      <c r="F1341">
        <v>18</v>
      </c>
      <c r="G1341">
        <v>0</v>
      </c>
      <c r="H1341">
        <v>100</v>
      </c>
      <c r="I1341">
        <v>1173</v>
      </c>
      <c r="J1341">
        <v>4</v>
      </c>
      <c r="K1341">
        <v>7</v>
      </c>
      <c r="L1341">
        <v>1</v>
      </c>
      <c r="M1341">
        <v>7</v>
      </c>
      <c r="N1341">
        <v>8</v>
      </c>
    </row>
    <row r="1342" spans="1:14" hidden="1" x14ac:dyDescent="0.3">
      <c r="A1342">
        <v>2380</v>
      </c>
      <c r="B1342">
        <v>39</v>
      </c>
      <c r="C1342">
        <v>1666</v>
      </c>
      <c r="D1342">
        <v>23</v>
      </c>
      <c r="E1342">
        <v>432</v>
      </c>
      <c r="F1342">
        <v>149</v>
      </c>
      <c r="G1342">
        <v>45</v>
      </c>
      <c r="H1342">
        <v>45</v>
      </c>
      <c r="I1342">
        <v>2269</v>
      </c>
      <c r="J1342">
        <v>6</v>
      </c>
      <c r="K1342">
        <v>8</v>
      </c>
      <c r="L1342">
        <v>4</v>
      </c>
      <c r="M1342">
        <v>8</v>
      </c>
      <c r="N1342">
        <v>8</v>
      </c>
    </row>
    <row r="1343" spans="1:14" hidden="1" x14ac:dyDescent="0.3">
      <c r="A1343">
        <v>1046</v>
      </c>
      <c r="B1343">
        <v>39</v>
      </c>
      <c r="C1343">
        <v>1965</v>
      </c>
      <c r="D1343">
        <v>119</v>
      </c>
      <c r="E1343">
        <v>754</v>
      </c>
      <c r="F1343">
        <v>119</v>
      </c>
      <c r="G1343">
        <v>90</v>
      </c>
      <c r="H1343">
        <v>90</v>
      </c>
      <c r="I1343">
        <v>2956</v>
      </c>
      <c r="J1343">
        <v>9</v>
      </c>
      <c r="K1343">
        <v>5</v>
      </c>
      <c r="L1343">
        <v>2</v>
      </c>
      <c r="M1343">
        <v>12</v>
      </c>
      <c r="N1343">
        <v>8</v>
      </c>
    </row>
    <row r="1344" spans="1:14" hidden="1" x14ac:dyDescent="0.3">
      <c r="A1344">
        <v>1014</v>
      </c>
      <c r="B1344">
        <v>38</v>
      </c>
      <c r="C1344">
        <v>20</v>
      </c>
      <c r="D1344">
        <v>95</v>
      </c>
      <c r="E1344">
        <v>115</v>
      </c>
      <c r="F1344">
        <v>41</v>
      </c>
      <c r="G1344">
        <v>7</v>
      </c>
      <c r="H1344">
        <v>34</v>
      </c>
      <c r="I1344">
        <v>244</v>
      </c>
      <c r="J1344">
        <v>1</v>
      </c>
      <c r="K1344">
        <v>1</v>
      </c>
      <c r="L1344">
        <v>0</v>
      </c>
      <c r="M1344">
        <v>3</v>
      </c>
      <c r="N1344">
        <v>8</v>
      </c>
    </row>
    <row r="1345" spans="1:14" hidden="1" x14ac:dyDescent="0.3">
      <c r="A1345">
        <v>2079</v>
      </c>
      <c r="B1345">
        <v>38</v>
      </c>
      <c r="C1345">
        <v>28</v>
      </c>
      <c r="D1345">
        <v>0</v>
      </c>
      <c r="E1345">
        <v>23</v>
      </c>
      <c r="F1345">
        <v>0</v>
      </c>
      <c r="G1345">
        <v>0</v>
      </c>
      <c r="H1345">
        <v>5</v>
      </c>
      <c r="I1345">
        <v>46</v>
      </c>
      <c r="J1345">
        <v>1</v>
      </c>
      <c r="K1345">
        <v>1</v>
      </c>
      <c r="L1345">
        <v>0</v>
      </c>
      <c r="M1345">
        <v>2</v>
      </c>
      <c r="N1345">
        <v>7</v>
      </c>
    </row>
    <row r="1346" spans="1:14" hidden="1" x14ac:dyDescent="0.3">
      <c r="A1346">
        <v>1002</v>
      </c>
      <c r="B1346">
        <v>38</v>
      </c>
      <c r="C1346">
        <v>35</v>
      </c>
      <c r="D1346">
        <v>3</v>
      </c>
      <c r="E1346">
        <v>19</v>
      </c>
      <c r="F1346">
        <v>6</v>
      </c>
      <c r="G1346">
        <v>3</v>
      </c>
      <c r="H1346">
        <v>19</v>
      </c>
      <c r="I1346">
        <v>47</v>
      </c>
      <c r="J1346">
        <v>2</v>
      </c>
      <c r="K1346">
        <v>1</v>
      </c>
      <c r="L1346">
        <v>1</v>
      </c>
      <c r="M1346">
        <v>2</v>
      </c>
      <c r="N1346">
        <v>5</v>
      </c>
    </row>
    <row r="1347" spans="1:14" hidden="1" x14ac:dyDescent="0.3">
      <c r="A1347">
        <v>1880</v>
      </c>
      <c r="B1347">
        <v>38</v>
      </c>
      <c r="C1347">
        <v>39</v>
      </c>
      <c r="D1347">
        <v>95</v>
      </c>
      <c r="E1347">
        <v>100</v>
      </c>
      <c r="F1347">
        <v>33</v>
      </c>
      <c r="G1347">
        <v>56</v>
      </c>
      <c r="H1347">
        <v>145</v>
      </c>
      <c r="I1347">
        <v>178</v>
      </c>
      <c r="J1347">
        <v>4</v>
      </c>
      <c r="K1347">
        <v>4</v>
      </c>
      <c r="L1347">
        <v>0</v>
      </c>
      <c r="M1347">
        <v>3</v>
      </c>
      <c r="N1347">
        <v>8</v>
      </c>
    </row>
    <row r="1348" spans="1:14" hidden="1" x14ac:dyDescent="0.3">
      <c r="A1348">
        <v>1364</v>
      </c>
      <c r="B1348">
        <v>38</v>
      </c>
      <c r="C1348">
        <v>44</v>
      </c>
      <c r="D1348">
        <v>0</v>
      </c>
      <c r="E1348">
        <v>20</v>
      </c>
      <c r="F1348">
        <v>0</v>
      </c>
      <c r="G1348">
        <v>0</v>
      </c>
      <c r="H1348">
        <v>4</v>
      </c>
      <c r="I1348">
        <v>60</v>
      </c>
      <c r="J1348">
        <v>1</v>
      </c>
      <c r="K1348">
        <v>1</v>
      </c>
      <c r="L1348">
        <v>0</v>
      </c>
      <c r="M1348">
        <v>2</v>
      </c>
      <c r="N1348">
        <v>8</v>
      </c>
    </row>
    <row r="1349" spans="1:14" hidden="1" x14ac:dyDescent="0.3">
      <c r="A1349">
        <v>2587</v>
      </c>
      <c r="B1349">
        <v>38</v>
      </c>
      <c r="C1349">
        <v>45</v>
      </c>
      <c r="D1349">
        <v>54</v>
      </c>
      <c r="E1349">
        <v>136</v>
      </c>
      <c r="F1349">
        <v>100</v>
      </c>
      <c r="G1349">
        <v>63</v>
      </c>
      <c r="H1349">
        <v>118</v>
      </c>
      <c r="I1349">
        <v>281</v>
      </c>
      <c r="J1349">
        <v>1</v>
      </c>
      <c r="K1349">
        <v>2</v>
      </c>
      <c r="L1349">
        <v>0</v>
      </c>
      <c r="M1349">
        <v>3</v>
      </c>
      <c r="N1349">
        <v>9</v>
      </c>
    </row>
    <row r="1350" spans="1:14" hidden="1" x14ac:dyDescent="0.3">
      <c r="A1350">
        <v>1634</v>
      </c>
      <c r="B1350">
        <v>38</v>
      </c>
      <c r="C1350">
        <v>71</v>
      </c>
      <c r="D1350">
        <v>0</v>
      </c>
      <c r="E1350">
        <v>75</v>
      </c>
      <c r="F1350">
        <v>27</v>
      </c>
      <c r="G1350">
        <v>13</v>
      </c>
      <c r="H1350">
        <v>27</v>
      </c>
      <c r="I1350">
        <v>160</v>
      </c>
      <c r="J1350">
        <v>2</v>
      </c>
      <c r="K1350">
        <v>1</v>
      </c>
      <c r="L1350">
        <v>0</v>
      </c>
      <c r="M1350">
        <v>3</v>
      </c>
      <c r="N1350">
        <v>9</v>
      </c>
    </row>
    <row r="1351" spans="1:14" hidden="1" x14ac:dyDescent="0.3">
      <c r="A1351">
        <v>1261</v>
      </c>
      <c r="B1351">
        <v>38</v>
      </c>
      <c r="C1351">
        <v>132</v>
      </c>
      <c r="D1351">
        <v>24</v>
      </c>
      <c r="E1351">
        <v>160</v>
      </c>
      <c r="F1351">
        <v>12</v>
      </c>
      <c r="G1351">
        <v>28</v>
      </c>
      <c r="H1351">
        <v>40</v>
      </c>
      <c r="I1351">
        <v>316</v>
      </c>
      <c r="J1351">
        <v>3</v>
      </c>
      <c r="K1351">
        <v>2</v>
      </c>
      <c r="L1351">
        <v>0</v>
      </c>
      <c r="M1351">
        <v>4</v>
      </c>
      <c r="N1351">
        <v>7</v>
      </c>
    </row>
    <row r="1352" spans="1:14" hidden="1" x14ac:dyDescent="0.3">
      <c r="A1352">
        <v>2657</v>
      </c>
      <c r="B1352">
        <v>38</v>
      </c>
      <c r="C1352">
        <v>147</v>
      </c>
      <c r="D1352">
        <v>0</v>
      </c>
      <c r="E1352">
        <v>54</v>
      </c>
      <c r="F1352">
        <v>0</v>
      </c>
      <c r="G1352">
        <v>0</v>
      </c>
      <c r="H1352">
        <v>22</v>
      </c>
      <c r="I1352">
        <v>179</v>
      </c>
      <c r="J1352">
        <v>4</v>
      </c>
      <c r="K1352">
        <v>2</v>
      </c>
      <c r="L1352">
        <v>0</v>
      </c>
      <c r="M1352">
        <v>4</v>
      </c>
      <c r="N1352">
        <v>5</v>
      </c>
    </row>
    <row r="1353" spans="1:14" hidden="1" x14ac:dyDescent="0.3">
      <c r="A1353">
        <v>1981</v>
      </c>
      <c r="B1353">
        <v>38</v>
      </c>
      <c r="C1353">
        <v>360</v>
      </c>
      <c r="D1353">
        <v>43</v>
      </c>
      <c r="E1353">
        <v>657</v>
      </c>
      <c r="F1353">
        <v>57</v>
      </c>
      <c r="G1353">
        <v>0</v>
      </c>
      <c r="H1353">
        <v>87</v>
      </c>
      <c r="I1353">
        <v>1031</v>
      </c>
      <c r="J1353">
        <v>1</v>
      </c>
      <c r="K1353">
        <v>6</v>
      </c>
      <c r="L1353">
        <v>4</v>
      </c>
      <c r="M1353">
        <v>9</v>
      </c>
      <c r="N1353">
        <v>7</v>
      </c>
    </row>
    <row r="1354" spans="1:14" hidden="1" x14ac:dyDescent="0.3">
      <c r="A1354">
        <v>2709</v>
      </c>
      <c r="B1354">
        <v>38</v>
      </c>
      <c r="C1354">
        <v>475</v>
      </c>
      <c r="D1354">
        <v>226</v>
      </c>
      <c r="E1354">
        <v>226</v>
      </c>
      <c r="F1354">
        <v>49</v>
      </c>
      <c r="G1354">
        <v>275</v>
      </c>
      <c r="H1354">
        <v>61</v>
      </c>
      <c r="I1354">
        <v>1189</v>
      </c>
      <c r="J1354">
        <v>1</v>
      </c>
      <c r="K1354">
        <v>5</v>
      </c>
      <c r="L1354">
        <v>2</v>
      </c>
      <c r="M1354">
        <v>10</v>
      </c>
      <c r="N1354">
        <v>4</v>
      </c>
    </row>
    <row r="1355" spans="1:14" hidden="1" x14ac:dyDescent="0.3">
      <c r="A1355">
        <v>2964</v>
      </c>
      <c r="B1355">
        <v>38</v>
      </c>
      <c r="C1355">
        <v>620</v>
      </c>
      <c r="D1355">
        <v>52</v>
      </c>
      <c r="E1355">
        <v>354</v>
      </c>
      <c r="F1355">
        <v>11</v>
      </c>
      <c r="G1355">
        <v>30</v>
      </c>
      <c r="H1355">
        <v>139</v>
      </c>
      <c r="I1355">
        <v>928</v>
      </c>
      <c r="J1355">
        <v>2</v>
      </c>
      <c r="K1355">
        <v>3</v>
      </c>
      <c r="L1355">
        <v>3</v>
      </c>
      <c r="M1355">
        <v>8</v>
      </c>
      <c r="N1355">
        <v>2</v>
      </c>
    </row>
    <row r="1356" spans="1:14" hidden="1" x14ac:dyDescent="0.3">
      <c r="A1356">
        <v>1655</v>
      </c>
      <c r="B1356">
        <v>38</v>
      </c>
      <c r="C1356">
        <v>631</v>
      </c>
      <c r="D1356">
        <v>135</v>
      </c>
      <c r="E1356">
        <v>245</v>
      </c>
      <c r="F1356">
        <v>158</v>
      </c>
      <c r="G1356">
        <v>232</v>
      </c>
      <c r="H1356">
        <v>135</v>
      </c>
      <c r="I1356">
        <v>1266</v>
      </c>
      <c r="J1356">
        <v>2</v>
      </c>
      <c r="K1356">
        <v>6</v>
      </c>
      <c r="L1356">
        <v>4</v>
      </c>
      <c r="M1356">
        <v>8</v>
      </c>
      <c r="N1356">
        <v>4</v>
      </c>
    </row>
    <row r="1357" spans="1:14" hidden="1" x14ac:dyDescent="0.3">
      <c r="A1357">
        <v>2430</v>
      </c>
      <c r="B1357">
        <v>38</v>
      </c>
      <c r="C1357">
        <v>677</v>
      </c>
      <c r="D1357">
        <v>53</v>
      </c>
      <c r="E1357">
        <v>730</v>
      </c>
      <c r="F1357">
        <v>349</v>
      </c>
      <c r="G1357">
        <v>53</v>
      </c>
      <c r="H1357">
        <v>284</v>
      </c>
      <c r="I1357">
        <v>1578</v>
      </c>
      <c r="J1357">
        <v>2</v>
      </c>
      <c r="K1357">
        <v>7</v>
      </c>
      <c r="L1357">
        <v>3</v>
      </c>
      <c r="M1357">
        <v>5</v>
      </c>
      <c r="N1357">
        <v>8</v>
      </c>
    </row>
    <row r="1358" spans="1:14" hidden="1" x14ac:dyDescent="0.3">
      <c r="A1358">
        <v>1182</v>
      </c>
      <c r="B1358">
        <v>38</v>
      </c>
      <c r="C1358">
        <v>694</v>
      </c>
      <c r="D1358">
        <v>18</v>
      </c>
      <c r="E1358">
        <v>133</v>
      </c>
      <c r="F1358">
        <v>24</v>
      </c>
      <c r="G1358">
        <v>27</v>
      </c>
      <c r="H1358">
        <v>35</v>
      </c>
      <c r="I1358">
        <v>860</v>
      </c>
      <c r="J1358">
        <v>4</v>
      </c>
      <c r="K1358">
        <v>5</v>
      </c>
      <c r="L1358">
        <v>1</v>
      </c>
      <c r="M1358">
        <v>6</v>
      </c>
      <c r="N1358">
        <v>6</v>
      </c>
    </row>
    <row r="1359" spans="1:14" hidden="1" x14ac:dyDescent="0.3">
      <c r="A1359">
        <v>2863</v>
      </c>
      <c r="B1359">
        <v>38</v>
      </c>
      <c r="C1359">
        <v>819</v>
      </c>
      <c r="D1359">
        <v>69</v>
      </c>
      <c r="E1359">
        <v>408</v>
      </c>
      <c r="F1359">
        <v>208</v>
      </c>
      <c r="G1359">
        <v>318</v>
      </c>
      <c r="H1359">
        <v>69</v>
      </c>
      <c r="I1359">
        <v>1753</v>
      </c>
      <c r="J1359">
        <v>4</v>
      </c>
      <c r="K1359">
        <v>9</v>
      </c>
      <c r="L1359">
        <v>5</v>
      </c>
      <c r="M1359">
        <v>7</v>
      </c>
      <c r="N1359">
        <v>5</v>
      </c>
    </row>
    <row r="1360" spans="1:14" hidden="1" x14ac:dyDescent="0.3">
      <c r="A1360">
        <v>1320</v>
      </c>
      <c r="B1360">
        <v>38</v>
      </c>
      <c r="C1360">
        <v>827</v>
      </c>
      <c r="D1360">
        <v>120</v>
      </c>
      <c r="E1360">
        <v>644</v>
      </c>
      <c r="F1360">
        <v>394</v>
      </c>
      <c r="G1360">
        <v>120</v>
      </c>
      <c r="H1360">
        <v>362</v>
      </c>
      <c r="I1360">
        <v>1742</v>
      </c>
      <c r="J1360">
        <v>1</v>
      </c>
      <c r="K1360">
        <v>4</v>
      </c>
      <c r="L1360">
        <v>5</v>
      </c>
      <c r="M1360">
        <v>12</v>
      </c>
      <c r="N1360">
        <v>3</v>
      </c>
    </row>
    <row r="1361" spans="1:14" hidden="1" x14ac:dyDescent="0.3">
      <c r="A1361">
        <v>1526</v>
      </c>
      <c r="B1361">
        <v>38</v>
      </c>
      <c r="C1361">
        <v>842</v>
      </c>
      <c r="D1361">
        <v>10</v>
      </c>
      <c r="E1361">
        <v>140</v>
      </c>
      <c r="F1361">
        <v>13</v>
      </c>
      <c r="G1361">
        <v>10</v>
      </c>
      <c r="H1361">
        <v>341</v>
      </c>
      <c r="I1361">
        <v>675</v>
      </c>
      <c r="J1361">
        <v>2</v>
      </c>
      <c r="K1361">
        <v>4</v>
      </c>
      <c r="L1361">
        <v>5</v>
      </c>
      <c r="M1361">
        <v>3</v>
      </c>
      <c r="N1361">
        <v>6</v>
      </c>
    </row>
    <row r="1362" spans="1:14" hidden="1" x14ac:dyDescent="0.3">
      <c r="A1362">
        <v>2973</v>
      </c>
      <c r="B1362">
        <v>38</v>
      </c>
      <c r="C1362">
        <v>971</v>
      </c>
      <c r="D1362">
        <v>12</v>
      </c>
      <c r="E1362">
        <v>573</v>
      </c>
      <c r="F1362">
        <v>0</v>
      </c>
      <c r="G1362">
        <v>28</v>
      </c>
      <c r="H1362">
        <v>93</v>
      </c>
      <c r="I1362">
        <v>1491</v>
      </c>
      <c r="J1362">
        <v>4</v>
      </c>
      <c r="K1362">
        <v>7</v>
      </c>
      <c r="L1362">
        <v>1</v>
      </c>
      <c r="M1362">
        <v>6</v>
      </c>
      <c r="N1362">
        <v>8</v>
      </c>
    </row>
    <row r="1363" spans="1:14" hidden="1" x14ac:dyDescent="0.3">
      <c r="A1363">
        <v>1336</v>
      </c>
      <c r="B1363">
        <v>38</v>
      </c>
      <c r="C1363">
        <v>1100</v>
      </c>
      <c r="D1363">
        <v>49</v>
      </c>
      <c r="E1363">
        <v>1251</v>
      </c>
      <c r="F1363">
        <v>32</v>
      </c>
      <c r="G1363">
        <v>73</v>
      </c>
      <c r="H1363">
        <v>0</v>
      </c>
      <c r="I1363">
        <v>2504</v>
      </c>
      <c r="J1363">
        <v>3</v>
      </c>
      <c r="K1363">
        <v>4</v>
      </c>
      <c r="L1363">
        <v>6</v>
      </c>
      <c r="M1363">
        <v>5</v>
      </c>
      <c r="N1363">
        <v>3</v>
      </c>
    </row>
    <row r="1364" spans="1:14" hidden="1" x14ac:dyDescent="0.3">
      <c r="A1364">
        <v>1833</v>
      </c>
      <c r="B1364">
        <v>38</v>
      </c>
      <c r="C1364">
        <v>1231</v>
      </c>
      <c r="D1364">
        <v>120</v>
      </c>
      <c r="E1364">
        <v>1871</v>
      </c>
      <c r="F1364">
        <v>447</v>
      </c>
      <c r="G1364">
        <v>295</v>
      </c>
      <c r="H1364">
        <v>140</v>
      </c>
      <c r="I1364">
        <v>3824</v>
      </c>
      <c r="J1364">
        <v>1</v>
      </c>
      <c r="K1364">
        <v>7</v>
      </c>
      <c r="L1364">
        <v>7</v>
      </c>
      <c r="M1364">
        <v>10</v>
      </c>
      <c r="N1364">
        <v>3</v>
      </c>
    </row>
    <row r="1365" spans="1:14" hidden="1" x14ac:dyDescent="0.3">
      <c r="A1365">
        <v>3161</v>
      </c>
      <c r="B1365">
        <v>38</v>
      </c>
      <c r="C1365">
        <v>1231</v>
      </c>
      <c r="D1365">
        <v>120</v>
      </c>
      <c r="E1365">
        <v>1871</v>
      </c>
      <c r="F1365">
        <v>447</v>
      </c>
      <c r="G1365">
        <v>295</v>
      </c>
      <c r="H1365">
        <v>140</v>
      </c>
      <c r="I1365">
        <v>3824</v>
      </c>
      <c r="J1365">
        <v>1</v>
      </c>
      <c r="K1365">
        <v>7</v>
      </c>
      <c r="L1365">
        <v>7</v>
      </c>
      <c r="M1365">
        <v>10</v>
      </c>
      <c r="N1365">
        <v>3</v>
      </c>
    </row>
    <row r="1366" spans="1:14" hidden="1" x14ac:dyDescent="0.3">
      <c r="A1366">
        <v>2935</v>
      </c>
      <c r="B1366">
        <v>38</v>
      </c>
      <c r="C1366">
        <v>1243</v>
      </c>
      <c r="D1366">
        <v>129</v>
      </c>
      <c r="E1366">
        <v>238</v>
      </c>
      <c r="F1366">
        <v>197</v>
      </c>
      <c r="G1366">
        <v>435</v>
      </c>
      <c r="H1366">
        <v>216</v>
      </c>
      <c r="I1366">
        <v>2025</v>
      </c>
      <c r="J1366">
        <v>3</v>
      </c>
      <c r="K1366">
        <v>8</v>
      </c>
      <c r="L1366">
        <v>5</v>
      </c>
      <c r="M1366">
        <v>10</v>
      </c>
      <c r="N1366">
        <v>5</v>
      </c>
    </row>
    <row r="1367" spans="1:14" hidden="1" x14ac:dyDescent="0.3">
      <c r="A1367">
        <v>1345</v>
      </c>
      <c r="B1367">
        <v>38</v>
      </c>
      <c r="C1367">
        <v>1335</v>
      </c>
      <c r="D1367">
        <v>0</v>
      </c>
      <c r="E1367">
        <v>216</v>
      </c>
      <c r="F1367">
        <v>0</v>
      </c>
      <c r="G1367">
        <v>0</v>
      </c>
      <c r="H1367">
        <v>107</v>
      </c>
      <c r="I1367">
        <v>1445</v>
      </c>
      <c r="J1367">
        <v>3</v>
      </c>
      <c r="K1367">
        <v>6</v>
      </c>
      <c r="L1367">
        <v>2</v>
      </c>
      <c r="M1367">
        <v>10</v>
      </c>
      <c r="N1367">
        <v>4</v>
      </c>
    </row>
    <row r="1368" spans="1:14" hidden="1" x14ac:dyDescent="0.3">
      <c r="A1368">
        <v>1212</v>
      </c>
      <c r="B1368">
        <v>38</v>
      </c>
      <c r="C1368">
        <v>2301</v>
      </c>
      <c r="D1368">
        <v>59</v>
      </c>
      <c r="E1368">
        <v>531</v>
      </c>
      <c r="F1368">
        <v>38</v>
      </c>
      <c r="G1368">
        <v>28</v>
      </c>
      <c r="H1368">
        <v>236</v>
      </c>
      <c r="I1368">
        <v>2722</v>
      </c>
      <c r="J1368">
        <v>5</v>
      </c>
      <c r="K1368">
        <v>9</v>
      </c>
      <c r="L1368">
        <v>6</v>
      </c>
      <c r="M1368">
        <v>12</v>
      </c>
      <c r="N1368">
        <v>6</v>
      </c>
    </row>
    <row r="1369" spans="1:14" hidden="1" x14ac:dyDescent="0.3">
      <c r="A1369">
        <v>1221</v>
      </c>
      <c r="B1369">
        <v>37</v>
      </c>
      <c r="C1369">
        <v>0</v>
      </c>
      <c r="D1369">
        <v>31</v>
      </c>
      <c r="E1369">
        <v>38</v>
      </c>
      <c r="F1369">
        <v>46</v>
      </c>
      <c r="G1369">
        <v>0</v>
      </c>
      <c r="H1369">
        <v>31</v>
      </c>
      <c r="I1369">
        <v>84</v>
      </c>
      <c r="J1369">
        <v>1</v>
      </c>
      <c r="K1369">
        <v>1</v>
      </c>
      <c r="L1369">
        <v>0</v>
      </c>
      <c r="M1369">
        <v>3</v>
      </c>
      <c r="N1369">
        <v>3</v>
      </c>
    </row>
    <row r="1370" spans="1:14" hidden="1" x14ac:dyDescent="0.3">
      <c r="A1370">
        <v>1719</v>
      </c>
      <c r="B1370">
        <v>37</v>
      </c>
      <c r="C1370">
        <v>0</v>
      </c>
      <c r="D1370">
        <v>0</v>
      </c>
      <c r="E1370">
        <v>7</v>
      </c>
      <c r="F1370">
        <v>47</v>
      </c>
      <c r="G1370">
        <v>27</v>
      </c>
      <c r="H1370">
        <v>40</v>
      </c>
      <c r="I1370">
        <v>40</v>
      </c>
      <c r="J1370">
        <v>1</v>
      </c>
      <c r="K1370">
        <v>1</v>
      </c>
      <c r="L1370">
        <v>0</v>
      </c>
      <c r="M1370">
        <v>2</v>
      </c>
      <c r="N1370">
        <v>7</v>
      </c>
    </row>
    <row r="1371" spans="1:14" hidden="1" x14ac:dyDescent="0.3">
      <c r="A1371">
        <v>1111</v>
      </c>
      <c r="B1371">
        <v>37</v>
      </c>
      <c r="C1371">
        <v>6</v>
      </c>
      <c r="D1371">
        <v>33</v>
      </c>
      <c r="E1371">
        <v>39</v>
      </c>
      <c r="F1371">
        <v>61</v>
      </c>
      <c r="G1371">
        <v>28</v>
      </c>
      <c r="H1371">
        <v>17</v>
      </c>
      <c r="I1371">
        <v>150</v>
      </c>
      <c r="J1371">
        <v>2</v>
      </c>
      <c r="K1371">
        <v>2</v>
      </c>
      <c r="L1371">
        <v>0</v>
      </c>
      <c r="M1371">
        <v>3</v>
      </c>
      <c r="N1371">
        <v>6</v>
      </c>
    </row>
    <row r="1372" spans="1:14" hidden="1" x14ac:dyDescent="0.3">
      <c r="A1372">
        <v>1727</v>
      </c>
      <c r="B1372">
        <v>37</v>
      </c>
      <c r="C1372">
        <v>14</v>
      </c>
      <c r="D1372">
        <v>34</v>
      </c>
      <c r="E1372">
        <v>83</v>
      </c>
      <c r="F1372">
        <v>28</v>
      </c>
      <c r="G1372">
        <v>55</v>
      </c>
      <c r="H1372">
        <v>48</v>
      </c>
      <c r="I1372">
        <v>165</v>
      </c>
      <c r="J1372">
        <v>3</v>
      </c>
      <c r="K1372">
        <v>2</v>
      </c>
      <c r="L1372">
        <v>0</v>
      </c>
      <c r="M1372">
        <v>4</v>
      </c>
      <c r="N1372">
        <v>5</v>
      </c>
    </row>
    <row r="1373" spans="1:14" hidden="1" x14ac:dyDescent="0.3">
      <c r="A1373">
        <v>1888</v>
      </c>
      <c r="B1373">
        <v>37</v>
      </c>
      <c r="C1373">
        <v>16</v>
      </c>
      <c r="D1373">
        <v>3</v>
      </c>
      <c r="E1373">
        <v>16</v>
      </c>
      <c r="F1373">
        <v>32</v>
      </c>
      <c r="G1373">
        <v>0</v>
      </c>
      <c r="H1373">
        <v>22</v>
      </c>
      <c r="I1373">
        <v>45</v>
      </c>
      <c r="J1373">
        <v>1</v>
      </c>
      <c r="K1373">
        <v>1</v>
      </c>
      <c r="L1373">
        <v>0</v>
      </c>
      <c r="M1373">
        <v>2</v>
      </c>
      <c r="N1373">
        <v>7</v>
      </c>
    </row>
    <row r="1374" spans="1:14" hidden="1" x14ac:dyDescent="0.3">
      <c r="A1374">
        <v>1128</v>
      </c>
      <c r="B1374">
        <v>37</v>
      </c>
      <c r="C1374">
        <v>57</v>
      </c>
      <c r="D1374">
        <v>0</v>
      </c>
      <c r="E1374">
        <v>30</v>
      </c>
      <c r="F1374">
        <v>15</v>
      </c>
      <c r="G1374">
        <v>8</v>
      </c>
      <c r="H1374">
        <v>76</v>
      </c>
      <c r="I1374">
        <v>34</v>
      </c>
      <c r="J1374">
        <v>2</v>
      </c>
      <c r="K1374">
        <v>1</v>
      </c>
      <c r="L1374">
        <v>1</v>
      </c>
      <c r="M1374">
        <v>2</v>
      </c>
      <c r="N1374">
        <v>5</v>
      </c>
    </row>
    <row r="1375" spans="1:14" hidden="1" x14ac:dyDescent="0.3">
      <c r="A1375">
        <v>2044</v>
      </c>
      <c r="B1375">
        <v>37</v>
      </c>
      <c r="C1375">
        <v>57</v>
      </c>
      <c r="D1375">
        <v>0</v>
      </c>
      <c r="E1375">
        <v>30</v>
      </c>
      <c r="F1375">
        <v>15</v>
      </c>
      <c r="G1375">
        <v>8</v>
      </c>
      <c r="H1375">
        <v>76</v>
      </c>
      <c r="I1375">
        <v>34</v>
      </c>
      <c r="J1375">
        <v>2</v>
      </c>
      <c r="K1375">
        <v>1</v>
      </c>
      <c r="L1375">
        <v>1</v>
      </c>
      <c r="M1375">
        <v>2</v>
      </c>
      <c r="N1375">
        <v>5</v>
      </c>
    </row>
    <row r="1376" spans="1:14" hidden="1" x14ac:dyDescent="0.3">
      <c r="A1376">
        <v>2241</v>
      </c>
      <c r="B1376">
        <v>37</v>
      </c>
      <c r="C1376">
        <v>57</v>
      </c>
      <c r="D1376">
        <v>0</v>
      </c>
      <c r="E1376">
        <v>30</v>
      </c>
      <c r="F1376">
        <v>15</v>
      </c>
      <c r="G1376">
        <v>8</v>
      </c>
      <c r="H1376">
        <v>76</v>
      </c>
      <c r="I1376">
        <v>34</v>
      </c>
      <c r="J1376">
        <v>2</v>
      </c>
      <c r="K1376">
        <v>1</v>
      </c>
      <c r="L1376">
        <v>1</v>
      </c>
      <c r="M1376">
        <v>2</v>
      </c>
      <c r="N1376">
        <v>5</v>
      </c>
    </row>
    <row r="1377" spans="1:14" hidden="1" x14ac:dyDescent="0.3">
      <c r="A1377">
        <v>2561</v>
      </c>
      <c r="B1377">
        <v>37</v>
      </c>
      <c r="C1377">
        <v>57</v>
      </c>
      <c r="D1377">
        <v>0</v>
      </c>
      <c r="E1377">
        <v>30</v>
      </c>
      <c r="F1377">
        <v>15</v>
      </c>
      <c r="G1377">
        <v>8</v>
      </c>
      <c r="H1377">
        <v>76</v>
      </c>
      <c r="I1377">
        <v>34</v>
      </c>
      <c r="J1377">
        <v>2</v>
      </c>
      <c r="K1377">
        <v>1</v>
      </c>
      <c r="L1377">
        <v>1</v>
      </c>
      <c r="M1377">
        <v>2</v>
      </c>
      <c r="N1377">
        <v>5</v>
      </c>
    </row>
    <row r="1378" spans="1:14" hidden="1" x14ac:dyDescent="0.3">
      <c r="A1378">
        <v>1313</v>
      </c>
      <c r="B1378">
        <v>37</v>
      </c>
      <c r="C1378">
        <v>94</v>
      </c>
      <c r="D1378">
        <v>0</v>
      </c>
      <c r="E1378">
        <v>14</v>
      </c>
      <c r="F1378">
        <v>0</v>
      </c>
      <c r="G1378">
        <v>0</v>
      </c>
      <c r="H1378">
        <v>0</v>
      </c>
      <c r="I1378">
        <v>108</v>
      </c>
      <c r="J1378">
        <v>1</v>
      </c>
      <c r="K1378">
        <v>1</v>
      </c>
      <c r="L1378">
        <v>0</v>
      </c>
      <c r="M1378">
        <v>3</v>
      </c>
      <c r="N1378">
        <v>4</v>
      </c>
    </row>
    <row r="1379" spans="1:14" hidden="1" x14ac:dyDescent="0.3">
      <c r="A1379">
        <v>1089</v>
      </c>
      <c r="B1379">
        <v>37</v>
      </c>
      <c r="C1379">
        <v>149</v>
      </c>
      <c r="D1379">
        <v>6</v>
      </c>
      <c r="E1379">
        <v>21</v>
      </c>
      <c r="F1379">
        <v>0</v>
      </c>
      <c r="G1379">
        <v>3</v>
      </c>
      <c r="H1379">
        <v>6</v>
      </c>
      <c r="I1379">
        <v>173</v>
      </c>
      <c r="J1379">
        <v>2</v>
      </c>
      <c r="K1379">
        <v>2</v>
      </c>
      <c r="L1379">
        <v>0</v>
      </c>
      <c r="M1379">
        <v>3</v>
      </c>
      <c r="N1379">
        <v>7</v>
      </c>
    </row>
    <row r="1380" spans="1:14" hidden="1" x14ac:dyDescent="0.3">
      <c r="A1380">
        <v>1952</v>
      </c>
      <c r="B1380">
        <v>37</v>
      </c>
      <c r="C1380">
        <v>204</v>
      </c>
      <c r="D1380">
        <v>0</v>
      </c>
      <c r="E1380">
        <v>38</v>
      </c>
      <c r="F1380">
        <v>14</v>
      </c>
      <c r="G1380">
        <v>7</v>
      </c>
      <c r="H1380">
        <v>17</v>
      </c>
      <c r="I1380">
        <v>245</v>
      </c>
      <c r="J1380">
        <v>4</v>
      </c>
      <c r="K1380">
        <v>3</v>
      </c>
      <c r="L1380">
        <v>0</v>
      </c>
      <c r="M1380">
        <v>4</v>
      </c>
      <c r="N1380">
        <v>7</v>
      </c>
    </row>
    <row r="1381" spans="1:14" hidden="1" x14ac:dyDescent="0.3">
      <c r="A1381">
        <v>1525</v>
      </c>
      <c r="B1381">
        <v>37</v>
      </c>
      <c r="C1381">
        <v>207</v>
      </c>
      <c r="D1381">
        <v>33</v>
      </c>
      <c r="E1381">
        <v>273</v>
      </c>
      <c r="F1381">
        <v>23</v>
      </c>
      <c r="G1381">
        <v>63</v>
      </c>
      <c r="H1381">
        <v>63</v>
      </c>
      <c r="I1381">
        <v>537</v>
      </c>
      <c r="J1381">
        <v>2</v>
      </c>
      <c r="K1381">
        <v>4</v>
      </c>
      <c r="L1381">
        <v>1</v>
      </c>
      <c r="M1381">
        <v>4</v>
      </c>
      <c r="N1381">
        <v>7</v>
      </c>
    </row>
    <row r="1382" spans="1:14" hidden="1" x14ac:dyDescent="0.3">
      <c r="A1382">
        <v>2962</v>
      </c>
      <c r="B1382">
        <v>37</v>
      </c>
      <c r="C1382">
        <v>245</v>
      </c>
      <c r="D1382">
        <v>6</v>
      </c>
      <c r="E1382">
        <v>298</v>
      </c>
      <c r="F1382">
        <v>189</v>
      </c>
      <c r="G1382">
        <v>77</v>
      </c>
      <c r="H1382">
        <v>345</v>
      </c>
      <c r="I1382">
        <v>469</v>
      </c>
      <c r="J1382">
        <v>1</v>
      </c>
      <c r="K1382">
        <v>3</v>
      </c>
      <c r="L1382">
        <v>5</v>
      </c>
      <c r="M1382">
        <v>3</v>
      </c>
      <c r="N1382">
        <v>4</v>
      </c>
    </row>
    <row r="1383" spans="1:14" hidden="1" x14ac:dyDescent="0.3">
      <c r="A1383">
        <v>2301</v>
      </c>
      <c r="B1383">
        <v>37</v>
      </c>
      <c r="C1383">
        <v>534</v>
      </c>
      <c r="D1383">
        <v>19</v>
      </c>
      <c r="E1383">
        <v>305</v>
      </c>
      <c r="F1383">
        <v>75</v>
      </c>
      <c r="G1383">
        <v>38</v>
      </c>
      <c r="H1383">
        <v>276</v>
      </c>
      <c r="I1383">
        <v>694</v>
      </c>
      <c r="J1383">
        <v>3</v>
      </c>
      <c r="K1383">
        <v>6</v>
      </c>
      <c r="L1383">
        <v>1</v>
      </c>
      <c r="M1383">
        <v>5</v>
      </c>
      <c r="N1383">
        <v>6</v>
      </c>
    </row>
    <row r="1384" spans="1:14" hidden="1" x14ac:dyDescent="0.3">
      <c r="A1384">
        <v>1774</v>
      </c>
      <c r="B1384">
        <v>37</v>
      </c>
      <c r="C1384">
        <v>540</v>
      </c>
      <c r="D1384">
        <v>6</v>
      </c>
      <c r="E1384">
        <v>189</v>
      </c>
      <c r="F1384">
        <v>21</v>
      </c>
      <c r="G1384">
        <v>6</v>
      </c>
      <c r="H1384">
        <v>35</v>
      </c>
      <c r="I1384">
        <v>726</v>
      </c>
      <c r="J1384">
        <v>4</v>
      </c>
      <c r="K1384">
        <v>3</v>
      </c>
      <c r="L1384">
        <v>3</v>
      </c>
      <c r="M1384">
        <v>5</v>
      </c>
      <c r="N1384">
        <v>4</v>
      </c>
    </row>
    <row r="1385" spans="1:14" hidden="1" x14ac:dyDescent="0.3">
      <c r="A1385">
        <v>2819</v>
      </c>
      <c r="B1385">
        <v>37</v>
      </c>
      <c r="C1385">
        <v>603</v>
      </c>
      <c r="D1385">
        <v>18</v>
      </c>
      <c r="E1385">
        <v>300</v>
      </c>
      <c r="F1385">
        <v>10</v>
      </c>
      <c r="G1385">
        <v>38</v>
      </c>
      <c r="H1385">
        <v>28</v>
      </c>
      <c r="I1385">
        <v>940</v>
      </c>
      <c r="J1385">
        <v>5</v>
      </c>
      <c r="K1385">
        <v>6</v>
      </c>
      <c r="L1385">
        <v>2</v>
      </c>
      <c r="M1385">
        <v>6</v>
      </c>
      <c r="N1385">
        <v>7</v>
      </c>
    </row>
    <row r="1386" spans="1:14" hidden="1" x14ac:dyDescent="0.3">
      <c r="A1386">
        <v>1118</v>
      </c>
      <c r="B1386">
        <v>37</v>
      </c>
      <c r="C1386">
        <v>1015</v>
      </c>
      <c r="D1386">
        <v>300</v>
      </c>
      <c r="E1386">
        <v>2146</v>
      </c>
      <c r="F1386">
        <v>390</v>
      </c>
      <c r="G1386">
        <v>0</v>
      </c>
      <c r="H1386">
        <v>487</v>
      </c>
      <c r="I1386">
        <v>3364</v>
      </c>
      <c r="J1386">
        <v>1</v>
      </c>
      <c r="K1386">
        <v>3</v>
      </c>
      <c r="L1386">
        <v>6</v>
      </c>
      <c r="M1386">
        <v>6</v>
      </c>
      <c r="N1386">
        <v>1</v>
      </c>
    </row>
    <row r="1387" spans="1:14" hidden="1" x14ac:dyDescent="0.3">
      <c r="A1387">
        <v>2930</v>
      </c>
      <c r="B1387">
        <v>37</v>
      </c>
      <c r="C1387">
        <v>1392</v>
      </c>
      <c r="D1387">
        <v>23</v>
      </c>
      <c r="E1387">
        <v>794</v>
      </c>
      <c r="F1387">
        <v>193</v>
      </c>
      <c r="G1387">
        <v>124</v>
      </c>
      <c r="H1387">
        <v>74</v>
      </c>
      <c r="I1387">
        <v>2453</v>
      </c>
      <c r="J1387">
        <v>1</v>
      </c>
      <c r="K1387">
        <v>1</v>
      </c>
      <c r="L1387">
        <v>8</v>
      </c>
      <c r="M1387">
        <v>7</v>
      </c>
      <c r="N1387">
        <v>0</v>
      </c>
    </row>
    <row r="1388" spans="1:14" hidden="1" x14ac:dyDescent="0.3">
      <c r="A1388">
        <v>1035</v>
      </c>
      <c r="B1388">
        <v>37</v>
      </c>
      <c r="C1388">
        <v>1744</v>
      </c>
      <c r="D1388">
        <v>42</v>
      </c>
      <c r="E1388">
        <v>375</v>
      </c>
      <c r="F1388">
        <v>0</v>
      </c>
      <c r="G1388">
        <v>20</v>
      </c>
      <c r="H1388">
        <v>87</v>
      </c>
      <c r="I1388">
        <v>2095</v>
      </c>
      <c r="J1388">
        <v>5</v>
      </c>
      <c r="K1388">
        <v>5</v>
      </c>
      <c r="L1388">
        <v>6</v>
      </c>
      <c r="M1388">
        <v>12</v>
      </c>
      <c r="N1388">
        <v>2</v>
      </c>
    </row>
    <row r="1389" spans="1:14" hidden="1" x14ac:dyDescent="0.3">
      <c r="A1389">
        <v>2289</v>
      </c>
      <c r="B1389">
        <v>37</v>
      </c>
      <c r="C1389">
        <v>2059</v>
      </c>
      <c r="D1389">
        <v>136</v>
      </c>
      <c r="E1389">
        <v>411</v>
      </c>
      <c r="F1389">
        <v>144</v>
      </c>
      <c r="G1389">
        <v>27</v>
      </c>
      <c r="H1389">
        <v>411</v>
      </c>
      <c r="I1389">
        <v>2366</v>
      </c>
      <c r="J1389">
        <v>7</v>
      </c>
      <c r="K1389">
        <v>11</v>
      </c>
      <c r="L1389">
        <v>2</v>
      </c>
      <c r="M1389">
        <v>12</v>
      </c>
      <c r="N1389">
        <v>6</v>
      </c>
    </row>
    <row r="1390" spans="1:14" hidden="1" x14ac:dyDescent="0.3">
      <c r="A1390">
        <v>1231</v>
      </c>
      <c r="B1390">
        <v>37</v>
      </c>
      <c r="C1390">
        <v>2081</v>
      </c>
      <c r="D1390">
        <v>0</v>
      </c>
      <c r="E1390">
        <v>351</v>
      </c>
      <c r="F1390">
        <v>0</v>
      </c>
      <c r="G1390">
        <v>74</v>
      </c>
      <c r="H1390">
        <v>401</v>
      </c>
      <c r="I1390">
        <v>2105</v>
      </c>
      <c r="J1390">
        <v>7</v>
      </c>
      <c r="K1390">
        <v>11</v>
      </c>
      <c r="L1390">
        <v>5</v>
      </c>
      <c r="M1390">
        <v>8</v>
      </c>
      <c r="N1390">
        <v>7</v>
      </c>
    </row>
    <row r="1391" spans="1:14" hidden="1" x14ac:dyDescent="0.3">
      <c r="A1391">
        <v>1625</v>
      </c>
      <c r="B1391">
        <v>37</v>
      </c>
      <c r="C1391">
        <v>2754</v>
      </c>
      <c r="D1391">
        <v>231</v>
      </c>
      <c r="E1391">
        <v>264</v>
      </c>
      <c r="F1391">
        <v>41</v>
      </c>
      <c r="G1391">
        <v>31</v>
      </c>
      <c r="H1391">
        <v>65</v>
      </c>
      <c r="I1391">
        <v>3257</v>
      </c>
      <c r="J1391">
        <v>4</v>
      </c>
      <c r="K1391">
        <v>9</v>
      </c>
      <c r="L1391">
        <v>4</v>
      </c>
      <c r="M1391">
        <v>6</v>
      </c>
      <c r="N1391">
        <v>6</v>
      </c>
    </row>
    <row r="1392" spans="1:14" hidden="1" x14ac:dyDescent="0.3">
      <c r="A1392">
        <v>2976</v>
      </c>
      <c r="B1392">
        <v>36</v>
      </c>
      <c r="C1392">
        <v>18</v>
      </c>
      <c r="D1392">
        <v>9</v>
      </c>
      <c r="E1392">
        <v>23</v>
      </c>
      <c r="F1392">
        <v>9</v>
      </c>
      <c r="G1392">
        <v>0</v>
      </c>
      <c r="H1392">
        <v>0</v>
      </c>
      <c r="I1392">
        <v>59</v>
      </c>
      <c r="J1392">
        <v>1</v>
      </c>
      <c r="K1392">
        <v>1</v>
      </c>
      <c r="L1392">
        <v>0</v>
      </c>
      <c r="M1392">
        <v>2</v>
      </c>
      <c r="N1392">
        <v>6</v>
      </c>
    </row>
    <row r="1393" spans="1:14" hidden="1" x14ac:dyDescent="0.3">
      <c r="A1393">
        <v>3157</v>
      </c>
      <c r="B1393">
        <v>36</v>
      </c>
      <c r="C1393">
        <v>20</v>
      </c>
      <c r="D1393">
        <v>45</v>
      </c>
      <c r="E1393">
        <v>60</v>
      </c>
      <c r="F1393">
        <v>55</v>
      </c>
      <c r="G1393">
        <v>10</v>
      </c>
      <c r="H1393">
        <v>40</v>
      </c>
      <c r="I1393">
        <v>149</v>
      </c>
      <c r="J1393">
        <v>2</v>
      </c>
      <c r="K1393">
        <v>1</v>
      </c>
      <c r="L1393">
        <v>1</v>
      </c>
      <c r="M1393">
        <v>3</v>
      </c>
      <c r="N1393">
        <v>3</v>
      </c>
    </row>
    <row r="1394" spans="1:14" hidden="1" x14ac:dyDescent="0.3">
      <c r="A1394">
        <v>2208</v>
      </c>
      <c r="B1394">
        <v>36</v>
      </c>
      <c r="C1394">
        <v>60</v>
      </c>
      <c r="D1394">
        <v>38</v>
      </c>
      <c r="E1394">
        <v>65</v>
      </c>
      <c r="F1394">
        <v>11</v>
      </c>
      <c r="G1394">
        <v>11</v>
      </c>
      <c r="H1394">
        <v>147</v>
      </c>
      <c r="I1394">
        <v>38</v>
      </c>
      <c r="J1394">
        <v>2</v>
      </c>
      <c r="K1394">
        <v>2</v>
      </c>
      <c r="L1394">
        <v>1</v>
      </c>
      <c r="M1394">
        <v>2</v>
      </c>
      <c r="N1394">
        <v>5</v>
      </c>
    </row>
    <row r="1395" spans="1:14" hidden="1" x14ac:dyDescent="0.3">
      <c r="A1395">
        <v>2883</v>
      </c>
      <c r="B1395">
        <v>36</v>
      </c>
      <c r="C1395">
        <v>80</v>
      </c>
      <c r="D1395">
        <v>4</v>
      </c>
      <c r="E1395">
        <v>34</v>
      </c>
      <c r="F1395">
        <v>27</v>
      </c>
      <c r="G1395">
        <v>11</v>
      </c>
      <c r="H1395">
        <v>19</v>
      </c>
      <c r="I1395">
        <v>137</v>
      </c>
      <c r="J1395">
        <v>1</v>
      </c>
      <c r="K1395">
        <v>1</v>
      </c>
      <c r="L1395">
        <v>0</v>
      </c>
      <c r="M1395">
        <v>3</v>
      </c>
      <c r="N1395">
        <v>6</v>
      </c>
    </row>
    <row r="1396" spans="1:14" hidden="1" x14ac:dyDescent="0.3">
      <c r="A1396">
        <v>2705</v>
      </c>
      <c r="B1396">
        <v>36</v>
      </c>
      <c r="C1396">
        <v>150</v>
      </c>
      <c r="D1396">
        <v>0</v>
      </c>
      <c r="E1396">
        <v>44</v>
      </c>
      <c r="F1396">
        <v>0</v>
      </c>
      <c r="G1396">
        <v>0</v>
      </c>
      <c r="H1396">
        <v>19</v>
      </c>
      <c r="I1396">
        <v>175</v>
      </c>
      <c r="J1396">
        <v>2</v>
      </c>
      <c r="K1396">
        <v>2</v>
      </c>
      <c r="L1396">
        <v>0</v>
      </c>
      <c r="M1396">
        <v>3</v>
      </c>
      <c r="N1396">
        <v>6</v>
      </c>
    </row>
    <row r="1397" spans="1:14" hidden="1" x14ac:dyDescent="0.3">
      <c r="A1397">
        <v>2472</v>
      </c>
      <c r="B1397">
        <v>36</v>
      </c>
      <c r="C1397">
        <v>153</v>
      </c>
      <c r="D1397">
        <v>0</v>
      </c>
      <c r="E1397">
        <v>48</v>
      </c>
      <c r="F1397">
        <v>12</v>
      </c>
      <c r="G1397">
        <v>4</v>
      </c>
      <c r="H1397">
        <v>4</v>
      </c>
      <c r="I1397">
        <v>214</v>
      </c>
      <c r="J1397">
        <v>1</v>
      </c>
      <c r="K1397">
        <v>2</v>
      </c>
      <c r="L1397">
        <v>0</v>
      </c>
      <c r="M1397">
        <v>3</v>
      </c>
      <c r="N1397">
        <v>7</v>
      </c>
    </row>
    <row r="1398" spans="1:14" hidden="1" x14ac:dyDescent="0.3">
      <c r="A1398">
        <v>2319</v>
      </c>
      <c r="B1398">
        <v>36</v>
      </c>
      <c r="C1398">
        <v>489</v>
      </c>
      <c r="D1398">
        <v>46</v>
      </c>
      <c r="E1398">
        <v>275</v>
      </c>
      <c r="F1398">
        <v>70</v>
      </c>
      <c r="G1398">
        <v>46</v>
      </c>
      <c r="H1398">
        <v>127</v>
      </c>
      <c r="I1398">
        <v>799</v>
      </c>
      <c r="J1398">
        <v>3</v>
      </c>
      <c r="K1398">
        <v>7</v>
      </c>
      <c r="L1398">
        <v>1</v>
      </c>
      <c r="M1398">
        <v>3</v>
      </c>
      <c r="N1398">
        <v>9</v>
      </c>
    </row>
    <row r="1399" spans="1:14" hidden="1" x14ac:dyDescent="0.3">
      <c r="A1399">
        <v>2224</v>
      </c>
      <c r="B1399">
        <v>36</v>
      </c>
      <c r="C1399">
        <v>614</v>
      </c>
      <c r="D1399">
        <v>128</v>
      </c>
      <c r="E1399">
        <v>679</v>
      </c>
      <c r="F1399">
        <v>254</v>
      </c>
      <c r="G1399">
        <v>0</v>
      </c>
      <c r="H1399">
        <v>113</v>
      </c>
      <c r="I1399">
        <v>1562</v>
      </c>
      <c r="J1399">
        <v>1</v>
      </c>
      <c r="K1399">
        <v>1</v>
      </c>
      <c r="L1399">
        <v>3</v>
      </c>
      <c r="M1399">
        <v>5</v>
      </c>
      <c r="N1399">
        <v>1</v>
      </c>
    </row>
    <row r="1400" spans="1:14" hidden="1" x14ac:dyDescent="0.3">
      <c r="A1400">
        <v>2260</v>
      </c>
      <c r="B1400">
        <v>36</v>
      </c>
      <c r="C1400">
        <v>804</v>
      </c>
      <c r="D1400">
        <v>19</v>
      </c>
      <c r="E1400">
        <v>225</v>
      </c>
      <c r="F1400">
        <v>13</v>
      </c>
      <c r="G1400">
        <v>0</v>
      </c>
      <c r="H1400">
        <v>86</v>
      </c>
      <c r="I1400">
        <v>975</v>
      </c>
      <c r="J1400">
        <v>5</v>
      </c>
      <c r="K1400">
        <v>5</v>
      </c>
      <c r="L1400">
        <v>1</v>
      </c>
      <c r="M1400">
        <v>7</v>
      </c>
      <c r="N1400">
        <v>5</v>
      </c>
    </row>
    <row r="1401" spans="1:14" hidden="1" x14ac:dyDescent="0.3">
      <c r="A1401">
        <v>1640</v>
      </c>
      <c r="B1401">
        <v>36</v>
      </c>
      <c r="C1401">
        <v>971</v>
      </c>
      <c r="D1401">
        <v>265</v>
      </c>
      <c r="E1401">
        <v>995</v>
      </c>
      <c r="F1401">
        <v>0</v>
      </c>
      <c r="G1401">
        <v>194</v>
      </c>
      <c r="H1401">
        <v>168</v>
      </c>
      <c r="I1401">
        <v>2257</v>
      </c>
      <c r="J1401">
        <v>1</v>
      </c>
      <c r="K1401">
        <v>9</v>
      </c>
      <c r="L1401">
        <v>3</v>
      </c>
      <c r="M1401">
        <v>13</v>
      </c>
      <c r="N1401">
        <v>4</v>
      </c>
    </row>
    <row r="1402" spans="1:14" hidden="1" x14ac:dyDescent="0.3">
      <c r="A1402">
        <v>2606</v>
      </c>
      <c r="B1402">
        <v>36</v>
      </c>
      <c r="C1402">
        <v>971</v>
      </c>
      <c r="D1402">
        <v>265</v>
      </c>
      <c r="E1402">
        <v>995</v>
      </c>
      <c r="F1402">
        <v>0</v>
      </c>
      <c r="G1402">
        <v>194</v>
      </c>
      <c r="H1402">
        <v>168</v>
      </c>
      <c r="I1402">
        <v>2257</v>
      </c>
      <c r="J1402">
        <v>1</v>
      </c>
      <c r="K1402">
        <v>9</v>
      </c>
      <c r="L1402">
        <v>3</v>
      </c>
      <c r="M1402">
        <v>13</v>
      </c>
      <c r="N1402">
        <v>4</v>
      </c>
    </row>
    <row r="1403" spans="1:14" hidden="1" x14ac:dyDescent="0.3">
      <c r="A1403">
        <v>2302</v>
      </c>
      <c r="B1403">
        <v>36</v>
      </c>
      <c r="C1403">
        <v>1126</v>
      </c>
      <c r="D1403">
        <v>110</v>
      </c>
      <c r="E1403">
        <v>530</v>
      </c>
      <c r="F1403">
        <v>257</v>
      </c>
      <c r="G1403">
        <v>241</v>
      </c>
      <c r="H1403">
        <v>307</v>
      </c>
      <c r="I1403">
        <v>1955</v>
      </c>
      <c r="J1403">
        <v>2</v>
      </c>
      <c r="K1403">
        <v>5</v>
      </c>
      <c r="L1403">
        <v>7</v>
      </c>
      <c r="M1403">
        <v>12</v>
      </c>
      <c r="N1403">
        <v>1</v>
      </c>
    </row>
    <row r="1404" spans="1:14" hidden="1" x14ac:dyDescent="0.3">
      <c r="A1404">
        <v>3158</v>
      </c>
      <c r="B1404">
        <v>36</v>
      </c>
      <c r="C1404">
        <v>1420</v>
      </c>
      <c r="D1404">
        <v>99</v>
      </c>
      <c r="E1404">
        <v>1386</v>
      </c>
      <c r="F1404">
        <v>307</v>
      </c>
      <c r="G1404">
        <v>235</v>
      </c>
      <c r="H1404">
        <v>32</v>
      </c>
      <c r="I1404">
        <v>3415</v>
      </c>
      <c r="J1404">
        <v>1</v>
      </c>
      <c r="K1404">
        <v>7</v>
      </c>
      <c r="L1404">
        <v>5</v>
      </c>
      <c r="M1404">
        <v>12</v>
      </c>
      <c r="N1404">
        <v>2</v>
      </c>
    </row>
    <row r="1405" spans="1:14" hidden="1" x14ac:dyDescent="0.3">
      <c r="A1405">
        <v>2343</v>
      </c>
      <c r="B1405">
        <v>36</v>
      </c>
      <c r="C1405">
        <v>1423</v>
      </c>
      <c r="D1405">
        <v>61</v>
      </c>
      <c r="E1405">
        <v>694</v>
      </c>
      <c r="F1405">
        <v>163</v>
      </c>
      <c r="G1405">
        <v>315</v>
      </c>
      <c r="H1405">
        <v>82</v>
      </c>
      <c r="I1405">
        <v>2574</v>
      </c>
      <c r="J1405">
        <v>1</v>
      </c>
      <c r="K1405">
        <v>8</v>
      </c>
      <c r="L1405">
        <v>7</v>
      </c>
      <c r="M1405">
        <v>11</v>
      </c>
      <c r="N1405">
        <v>6</v>
      </c>
    </row>
    <row r="1406" spans="1:14" hidden="1" x14ac:dyDescent="0.3">
      <c r="A1406">
        <v>1135</v>
      </c>
      <c r="B1406">
        <v>36</v>
      </c>
      <c r="C1406">
        <v>1598</v>
      </c>
      <c r="D1406">
        <v>43</v>
      </c>
      <c r="E1406">
        <v>377</v>
      </c>
      <c r="F1406">
        <v>86</v>
      </c>
      <c r="G1406">
        <v>110</v>
      </c>
      <c r="H1406">
        <v>131</v>
      </c>
      <c r="I1406">
        <v>2081</v>
      </c>
      <c r="J1406">
        <v>3</v>
      </c>
      <c r="K1406">
        <v>3</v>
      </c>
      <c r="L1406">
        <v>3</v>
      </c>
      <c r="M1406">
        <v>6</v>
      </c>
      <c r="N1406">
        <v>8</v>
      </c>
    </row>
    <row r="1407" spans="1:14" hidden="1" x14ac:dyDescent="0.3">
      <c r="A1407">
        <v>1629</v>
      </c>
      <c r="B1407">
        <v>36</v>
      </c>
      <c r="C1407">
        <v>1966</v>
      </c>
      <c r="D1407">
        <v>353</v>
      </c>
      <c r="E1407">
        <v>203</v>
      </c>
      <c r="F1407">
        <v>394</v>
      </c>
      <c r="G1407">
        <v>41</v>
      </c>
      <c r="H1407">
        <v>403</v>
      </c>
      <c r="I1407">
        <v>2552</v>
      </c>
      <c r="J1407">
        <v>0</v>
      </c>
      <c r="K1407">
        <v>9</v>
      </c>
      <c r="L1407">
        <v>8</v>
      </c>
      <c r="M1407">
        <v>13</v>
      </c>
      <c r="N1407">
        <v>3</v>
      </c>
    </row>
    <row r="1408" spans="1:14" hidden="1" x14ac:dyDescent="0.3">
      <c r="A1408">
        <v>2419</v>
      </c>
      <c r="B1408">
        <v>36</v>
      </c>
      <c r="C1408">
        <v>2211</v>
      </c>
      <c r="D1408">
        <v>43</v>
      </c>
      <c r="E1408">
        <v>1354</v>
      </c>
      <c r="F1408">
        <v>410</v>
      </c>
      <c r="G1408">
        <v>59</v>
      </c>
      <c r="H1408">
        <v>314</v>
      </c>
      <c r="I1408">
        <v>3763</v>
      </c>
      <c r="J1408">
        <v>3</v>
      </c>
      <c r="K1408">
        <v>3</v>
      </c>
      <c r="L1408">
        <v>7</v>
      </c>
      <c r="M1408">
        <v>10</v>
      </c>
      <c r="N1408">
        <v>3</v>
      </c>
    </row>
    <row r="1409" spans="1:14" hidden="1" x14ac:dyDescent="0.3">
      <c r="A1409">
        <v>2592</v>
      </c>
      <c r="B1409">
        <v>35</v>
      </c>
      <c r="C1409">
        <v>27</v>
      </c>
      <c r="D1409">
        <v>0</v>
      </c>
      <c r="E1409">
        <v>23</v>
      </c>
      <c r="F1409">
        <v>9</v>
      </c>
      <c r="G1409">
        <v>5</v>
      </c>
      <c r="H1409">
        <v>9</v>
      </c>
      <c r="I1409">
        <v>54</v>
      </c>
      <c r="J1409">
        <v>1</v>
      </c>
      <c r="K1409">
        <v>1</v>
      </c>
      <c r="L1409">
        <v>0</v>
      </c>
      <c r="M1409">
        <v>2</v>
      </c>
      <c r="N1409">
        <v>7</v>
      </c>
    </row>
    <row r="1410" spans="1:14" hidden="1" x14ac:dyDescent="0.3">
      <c r="A1410">
        <v>2364</v>
      </c>
      <c r="B1410">
        <v>35</v>
      </c>
      <c r="C1410">
        <v>61</v>
      </c>
      <c r="D1410">
        <v>3</v>
      </c>
      <c r="E1410">
        <v>55</v>
      </c>
      <c r="F1410">
        <v>6</v>
      </c>
      <c r="G1410">
        <v>0</v>
      </c>
      <c r="H1410">
        <v>6</v>
      </c>
      <c r="I1410">
        <v>119</v>
      </c>
      <c r="J1410">
        <v>1</v>
      </c>
      <c r="K1410">
        <v>1</v>
      </c>
      <c r="L1410">
        <v>0</v>
      </c>
      <c r="M1410">
        <v>3</v>
      </c>
      <c r="N1410">
        <v>8</v>
      </c>
    </row>
    <row r="1411" spans="1:14" hidden="1" x14ac:dyDescent="0.3">
      <c r="A1411">
        <v>1242</v>
      </c>
      <c r="B1411">
        <v>35</v>
      </c>
      <c r="C1411">
        <v>102</v>
      </c>
      <c r="D1411">
        <v>0</v>
      </c>
      <c r="E1411">
        <v>34</v>
      </c>
      <c r="F1411">
        <v>0</v>
      </c>
      <c r="G1411">
        <v>0</v>
      </c>
      <c r="H1411">
        <v>4</v>
      </c>
      <c r="I1411">
        <v>131</v>
      </c>
      <c r="J1411">
        <v>2</v>
      </c>
      <c r="K1411">
        <v>1</v>
      </c>
      <c r="L1411">
        <v>0</v>
      </c>
      <c r="M1411">
        <v>3</v>
      </c>
      <c r="N1411">
        <v>6</v>
      </c>
    </row>
    <row r="1412" spans="1:14" hidden="1" x14ac:dyDescent="0.3">
      <c r="A1412">
        <v>1508</v>
      </c>
      <c r="B1412">
        <v>35</v>
      </c>
      <c r="C1412">
        <v>157</v>
      </c>
      <c r="D1412">
        <v>5</v>
      </c>
      <c r="E1412">
        <v>315</v>
      </c>
      <c r="F1412">
        <v>79</v>
      </c>
      <c r="G1412">
        <v>59</v>
      </c>
      <c r="H1412">
        <v>418</v>
      </c>
      <c r="I1412">
        <v>197</v>
      </c>
      <c r="J1412">
        <v>3</v>
      </c>
      <c r="K1412">
        <v>2</v>
      </c>
      <c r="L1412">
        <v>2</v>
      </c>
      <c r="M1412">
        <v>3</v>
      </c>
      <c r="N1412">
        <v>6</v>
      </c>
    </row>
    <row r="1413" spans="1:14" hidden="1" x14ac:dyDescent="0.3">
      <c r="A1413">
        <v>1854</v>
      </c>
      <c r="B1413">
        <v>35</v>
      </c>
      <c r="C1413">
        <v>161</v>
      </c>
      <c r="D1413">
        <v>44</v>
      </c>
      <c r="E1413">
        <v>191</v>
      </c>
      <c r="F1413">
        <v>81</v>
      </c>
      <c r="G1413">
        <v>50</v>
      </c>
      <c r="H1413">
        <v>84</v>
      </c>
      <c r="I1413">
        <v>443</v>
      </c>
      <c r="J1413">
        <v>4</v>
      </c>
      <c r="K1413">
        <v>3</v>
      </c>
      <c r="L1413">
        <v>1</v>
      </c>
      <c r="M1413">
        <v>4</v>
      </c>
      <c r="N1413">
        <v>7</v>
      </c>
    </row>
    <row r="1414" spans="1:14" hidden="1" x14ac:dyDescent="0.3">
      <c r="A1414">
        <v>1096</v>
      </c>
      <c r="B1414">
        <v>35</v>
      </c>
      <c r="C1414">
        <v>466</v>
      </c>
      <c r="D1414">
        <v>163</v>
      </c>
      <c r="E1414">
        <v>1481</v>
      </c>
      <c r="F1414">
        <v>107</v>
      </c>
      <c r="G1414">
        <v>56</v>
      </c>
      <c r="H1414">
        <v>82</v>
      </c>
      <c r="I1414">
        <v>2192</v>
      </c>
      <c r="J1414">
        <v>1</v>
      </c>
      <c r="K1414">
        <v>3</v>
      </c>
      <c r="L1414">
        <v>11</v>
      </c>
      <c r="M1414">
        <v>5</v>
      </c>
      <c r="N1414">
        <v>1</v>
      </c>
    </row>
    <row r="1415" spans="1:14" hidden="1" x14ac:dyDescent="0.3">
      <c r="A1415">
        <v>1842</v>
      </c>
      <c r="B1415">
        <v>35</v>
      </c>
      <c r="C1415">
        <v>541</v>
      </c>
      <c r="D1415">
        <v>6</v>
      </c>
      <c r="E1415">
        <v>289</v>
      </c>
      <c r="F1415">
        <v>0</v>
      </c>
      <c r="G1415">
        <v>0</v>
      </c>
      <c r="H1415">
        <v>110</v>
      </c>
      <c r="I1415">
        <v>726</v>
      </c>
      <c r="J1415">
        <v>6</v>
      </c>
      <c r="K1415">
        <v>6</v>
      </c>
      <c r="L1415">
        <v>1</v>
      </c>
      <c r="M1415">
        <v>4</v>
      </c>
      <c r="N1415">
        <v>8</v>
      </c>
    </row>
    <row r="1416" spans="1:14" hidden="1" x14ac:dyDescent="0.3">
      <c r="A1416">
        <v>2335</v>
      </c>
      <c r="B1416">
        <v>35</v>
      </c>
      <c r="C1416">
        <v>563</v>
      </c>
      <c r="D1416">
        <v>392</v>
      </c>
      <c r="E1416">
        <v>524</v>
      </c>
      <c r="F1416">
        <v>417</v>
      </c>
      <c r="G1416">
        <v>73</v>
      </c>
      <c r="H1416">
        <v>129</v>
      </c>
      <c r="I1416">
        <v>1839</v>
      </c>
      <c r="J1416">
        <v>2</v>
      </c>
      <c r="K1416">
        <v>8</v>
      </c>
      <c r="L1416">
        <v>2</v>
      </c>
      <c r="M1416">
        <v>11</v>
      </c>
      <c r="N1416">
        <v>5</v>
      </c>
    </row>
    <row r="1417" spans="1:14" hidden="1" x14ac:dyDescent="0.3">
      <c r="A1417">
        <v>3026</v>
      </c>
      <c r="B1417">
        <v>35</v>
      </c>
      <c r="C1417">
        <v>1025</v>
      </c>
      <c r="D1417">
        <v>11</v>
      </c>
      <c r="E1417">
        <v>142</v>
      </c>
      <c r="F1417">
        <v>17</v>
      </c>
      <c r="G1417">
        <v>11</v>
      </c>
      <c r="H1417">
        <v>265</v>
      </c>
      <c r="I1417">
        <v>941</v>
      </c>
      <c r="J1417">
        <v>6</v>
      </c>
      <c r="K1417">
        <v>7</v>
      </c>
      <c r="L1417">
        <v>2</v>
      </c>
      <c r="M1417">
        <v>6</v>
      </c>
      <c r="N1417">
        <v>7</v>
      </c>
    </row>
    <row r="1418" spans="1:14" hidden="1" x14ac:dyDescent="0.3">
      <c r="A1418">
        <v>2708</v>
      </c>
      <c r="B1418">
        <v>35</v>
      </c>
      <c r="C1418">
        <v>1067</v>
      </c>
      <c r="D1418">
        <v>325</v>
      </c>
      <c r="E1418">
        <v>1127</v>
      </c>
      <c r="F1418">
        <v>230</v>
      </c>
      <c r="G1418">
        <v>237</v>
      </c>
      <c r="H1418">
        <v>237</v>
      </c>
      <c r="I1418">
        <v>2749</v>
      </c>
      <c r="J1418">
        <v>1</v>
      </c>
      <c r="K1418">
        <v>3</v>
      </c>
      <c r="L1418">
        <v>5</v>
      </c>
      <c r="M1418">
        <v>12</v>
      </c>
      <c r="N1418">
        <v>1</v>
      </c>
    </row>
    <row r="1419" spans="1:14" hidden="1" x14ac:dyDescent="0.3">
      <c r="A1419">
        <v>1469</v>
      </c>
      <c r="B1419">
        <v>35</v>
      </c>
      <c r="C1419">
        <v>1096</v>
      </c>
      <c r="D1419">
        <v>168</v>
      </c>
      <c r="E1419">
        <v>259</v>
      </c>
      <c r="F1419">
        <v>383</v>
      </c>
      <c r="G1419">
        <v>84</v>
      </c>
      <c r="H1419">
        <v>41</v>
      </c>
      <c r="I1419">
        <v>1949</v>
      </c>
      <c r="J1419">
        <v>1</v>
      </c>
      <c r="K1419">
        <v>5</v>
      </c>
      <c r="L1419">
        <v>10</v>
      </c>
      <c r="M1419">
        <v>13</v>
      </c>
      <c r="N1419">
        <v>3</v>
      </c>
    </row>
    <row r="1420" spans="1:14" hidden="1" x14ac:dyDescent="0.3">
      <c r="A1420">
        <v>1947</v>
      </c>
      <c r="B1420">
        <v>35</v>
      </c>
      <c r="C1420">
        <v>1439</v>
      </c>
      <c r="D1420">
        <v>44</v>
      </c>
      <c r="E1420">
        <v>1920</v>
      </c>
      <c r="F1420">
        <v>64</v>
      </c>
      <c r="G1420">
        <v>50</v>
      </c>
      <c r="H1420">
        <v>174</v>
      </c>
      <c r="I1420">
        <v>3342</v>
      </c>
      <c r="J1420">
        <v>1</v>
      </c>
      <c r="K1420">
        <v>6</v>
      </c>
      <c r="L1420">
        <v>7</v>
      </c>
      <c r="M1420">
        <v>9</v>
      </c>
      <c r="N1420">
        <v>2</v>
      </c>
    </row>
    <row r="1421" spans="1:14" hidden="1" x14ac:dyDescent="0.3">
      <c r="A1421">
        <v>2957</v>
      </c>
      <c r="B1421">
        <v>35</v>
      </c>
      <c r="C1421">
        <v>1808</v>
      </c>
      <c r="D1421">
        <v>294</v>
      </c>
      <c r="E1421">
        <v>1639</v>
      </c>
      <c r="F1421">
        <v>218</v>
      </c>
      <c r="G1421">
        <v>294</v>
      </c>
      <c r="H1421">
        <v>294</v>
      </c>
      <c r="I1421">
        <v>3959</v>
      </c>
      <c r="J1421">
        <v>0</v>
      </c>
      <c r="K1421">
        <v>5</v>
      </c>
      <c r="L1421">
        <v>7</v>
      </c>
      <c r="M1421">
        <v>9</v>
      </c>
      <c r="N1421">
        <v>1</v>
      </c>
    </row>
    <row r="1422" spans="1:14" hidden="1" x14ac:dyDescent="0.3">
      <c r="A1422">
        <v>2171</v>
      </c>
      <c r="B1422">
        <v>35</v>
      </c>
      <c r="C1422">
        <v>1854</v>
      </c>
      <c r="D1422">
        <v>150</v>
      </c>
      <c r="E1422">
        <v>1248</v>
      </c>
      <c r="F1422">
        <v>491</v>
      </c>
      <c r="G1422">
        <v>150</v>
      </c>
      <c r="H1422">
        <v>225</v>
      </c>
      <c r="I1422">
        <v>3668</v>
      </c>
      <c r="J1422">
        <v>1</v>
      </c>
      <c r="K1422">
        <v>5</v>
      </c>
      <c r="L1422">
        <v>6</v>
      </c>
      <c r="M1422">
        <v>4</v>
      </c>
      <c r="N1422">
        <v>3</v>
      </c>
    </row>
    <row r="1423" spans="1:14" hidden="1" x14ac:dyDescent="0.3">
      <c r="A1423">
        <v>2602</v>
      </c>
      <c r="B1423">
        <v>35</v>
      </c>
      <c r="C1423">
        <v>1858</v>
      </c>
      <c r="D1423">
        <v>222</v>
      </c>
      <c r="E1423">
        <v>478</v>
      </c>
      <c r="F1423">
        <v>375</v>
      </c>
      <c r="G1423">
        <v>350</v>
      </c>
      <c r="H1423">
        <v>128</v>
      </c>
      <c r="I1423">
        <v>3154</v>
      </c>
      <c r="J1423">
        <v>6</v>
      </c>
      <c r="K1423">
        <v>3</v>
      </c>
      <c r="L1423">
        <v>2</v>
      </c>
      <c r="M1423">
        <v>10</v>
      </c>
      <c r="N1423">
        <v>9</v>
      </c>
    </row>
    <row r="1424" spans="1:14" hidden="1" x14ac:dyDescent="0.3">
      <c r="A1424">
        <v>2662</v>
      </c>
      <c r="B1424">
        <v>35</v>
      </c>
      <c r="C1424">
        <v>1913</v>
      </c>
      <c r="D1424">
        <v>19</v>
      </c>
      <c r="E1424">
        <v>169</v>
      </c>
      <c r="F1424">
        <v>28</v>
      </c>
      <c r="G1424">
        <v>0</v>
      </c>
      <c r="H1424">
        <v>127</v>
      </c>
      <c r="I1424">
        <v>2002</v>
      </c>
      <c r="J1424">
        <v>4</v>
      </c>
      <c r="K1424">
        <v>10</v>
      </c>
      <c r="L1424">
        <v>4</v>
      </c>
      <c r="M1424">
        <v>7</v>
      </c>
      <c r="N1424">
        <v>8</v>
      </c>
    </row>
    <row r="1425" spans="1:14" hidden="1" x14ac:dyDescent="0.3">
      <c r="A1425">
        <v>2480</v>
      </c>
      <c r="B1425">
        <v>35</v>
      </c>
      <c r="C1425">
        <v>3559</v>
      </c>
      <c r="D1425">
        <v>78</v>
      </c>
      <c r="E1425">
        <v>362</v>
      </c>
      <c r="F1425">
        <v>51</v>
      </c>
      <c r="G1425">
        <v>39</v>
      </c>
      <c r="H1425">
        <v>118</v>
      </c>
      <c r="I1425">
        <v>3972</v>
      </c>
      <c r="J1425">
        <v>2</v>
      </c>
      <c r="K1425">
        <v>5</v>
      </c>
      <c r="L1425">
        <v>10</v>
      </c>
      <c r="M1425">
        <v>5</v>
      </c>
      <c r="N1425">
        <v>8</v>
      </c>
    </row>
    <row r="1426" spans="1:14" hidden="1" x14ac:dyDescent="0.3">
      <c r="A1426">
        <v>1649</v>
      </c>
      <c r="B1426">
        <v>34</v>
      </c>
      <c r="C1426">
        <v>6</v>
      </c>
      <c r="D1426">
        <v>57</v>
      </c>
      <c r="E1426">
        <v>63</v>
      </c>
      <c r="F1426">
        <v>109</v>
      </c>
      <c r="G1426">
        <v>17</v>
      </c>
      <c r="H1426">
        <v>86</v>
      </c>
      <c r="I1426">
        <v>167</v>
      </c>
      <c r="J1426">
        <v>2</v>
      </c>
      <c r="K1426">
        <v>2</v>
      </c>
      <c r="L1426">
        <v>0</v>
      </c>
      <c r="M1426">
        <v>3</v>
      </c>
      <c r="N1426">
        <v>6</v>
      </c>
    </row>
    <row r="1427" spans="1:14" hidden="1" x14ac:dyDescent="0.3">
      <c r="A1427">
        <v>1729</v>
      </c>
      <c r="B1427">
        <v>34</v>
      </c>
      <c r="C1427">
        <v>16</v>
      </c>
      <c r="D1427">
        <v>12</v>
      </c>
      <c r="E1427">
        <v>28</v>
      </c>
      <c r="F1427">
        <v>0</v>
      </c>
      <c r="G1427">
        <v>12</v>
      </c>
      <c r="H1427">
        <v>44</v>
      </c>
      <c r="I1427">
        <v>24</v>
      </c>
      <c r="J1427">
        <v>1</v>
      </c>
      <c r="K1427">
        <v>1</v>
      </c>
      <c r="L1427">
        <v>0</v>
      </c>
      <c r="M1427">
        <v>2</v>
      </c>
      <c r="N1427">
        <v>7</v>
      </c>
    </row>
    <row r="1428" spans="1:14" hidden="1" x14ac:dyDescent="0.3">
      <c r="A1428">
        <v>1800</v>
      </c>
      <c r="B1428">
        <v>34</v>
      </c>
      <c r="C1428">
        <v>39</v>
      </c>
      <c r="D1428">
        <v>34</v>
      </c>
      <c r="E1428">
        <v>44</v>
      </c>
      <c r="F1428">
        <v>63</v>
      </c>
      <c r="G1428">
        <v>29</v>
      </c>
      <c r="H1428">
        <v>59</v>
      </c>
      <c r="I1428">
        <v>151</v>
      </c>
      <c r="J1428">
        <v>2</v>
      </c>
      <c r="K1428">
        <v>2</v>
      </c>
      <c r="L1428">
        <v>0</v>
      </c>
      <c r="M1428">
        <v>3</v>
      </c>
      <c r="N1428">
        <v>8</v>
      </c>
    </row>
    <row r="1429" spans="1:14" hidden="1" x14ac:dyDescent="0.3">
      <c r="A1429">
        <v>2394</v>
      </c>
      <c r="B1429">
        <v>34</v>
      </c>
      <c r="C1429">
        <v>76</v>
      </c>
      <c r="D1429">
        <v>15</v>
      </c>
      <c r="E1429">
        <v>38</v>
      </c>
      <c r="F1429">
        <v>23</v>
      </c>
      <c r="G1429">
        <v>15</v>
      </c>
      <c r="H1429">
        <v>64</v>
      </c>
      <c r="I1429">
        <v>102</v>
      </c>
      <c r="J1429">
        <v>2</v>
      </c>
      <c r="K1429">
        <v>2</v>
      </c>
      <c r="L1429">
        <v>0</v>
      </c>
      <c r="M1429">
        <v>3</v>
      </c>
      <c r="N1429">
        <v>6</v>
      </c>
    </row>
    <row r="1430" spans="1:14" hidden="1" x14ac:dyDescent="0.3">
      <c r="A1430">
        <v>1029</v>
      </c>
      <c r="B1430">
        <v>34</v>
      </c>
      <c r="C1430">
        <v>81</v>
      </c>
      <c r="D1430">
        <v>40</v>
      </c>
      <c r="E1430">
        <v>101</v>
      </c>
      <c r="F1430">
        <v>20</v>
      </c>
      <c r="G1430">
        <v>20</v>
      </c>
      <c r="H1430">
        <v>40</v>
      </c>
      <c r="I1430">
        <v>222</v>
      </c>
      <c r="J1430">
        <v>2</v>
      </c>
      <c r="K1430">
        <v>3</v>
      </c>
      <c r="L1430">
        <v>0</v>
      </c>
      <c r="M1430">
        <v>3</v>
      </c>
      <c r="N1430">
        <v>5</v>
      </c>
    </row>
    <row r="1431" spans="1:14" hidden="1" x14ac:dyDescent="0.3">
      <c r="A1431">
        <v>2119</v>
      </c>
      <c r="B1431">
        <v>34</v>
      </c>
      <c r="C1431">
        <v>81</v>
      </c>
      <c r="D1431">
        <v>40</v>
      </c>
      <c r="E1431">
        <v>101</v>
      </c>
      <c r="F1431">
        <v>20</v>
      </c>
      <c r="G1431">
        <v>20</v>
      </c>
      <c r="H1431">
        <v>40</v>
      </c>
      <c r="I1431">
        <v>222</v>
      </c>
      <c r="J1431">
        <v>2</v>
      </c>
      <c r="K1431">
        <v>3</v>
      </c>
      <c r="L1431">
        <v>0</v>
      </c>
      <c r="M1431">
        <v>3</v>
      </c>
      <c r="N1431">
        <v>5</v>
      </c>
    </row>
    <row r="1432" spans="1:14" hidden="1" x14ac:dyDescent="0.3">
      <c r="A1432">
        <v>1687</v>
      </c>
      <c r="B1432">
        <v>34</v>
      </c>
      <c r="C1432">
        <v>87</v>
      </c>
      <c r="D1432">
        <v>0</v>
      </c>
      <c r="E1432">
        <v>30</v>
      </c>
      <c r="F1432">
        <v>23</v>
      </c>
      <c r="G1432">
        <v>8</v>
      </c>
      <c r="H1432">
        <v>68</v>
      </c>
      <c r="I1432">
        <v>80</v>
      </c>
      <c r="J1432">
        <v>1</v>
      </c>
      <c r="K1432">
        <v>1</v>
      </c>
      <c r="L1432">
        <v>1</v>
      </c>
      <c r="M1432">
        <v>3</v>
      </c>
      <c r="N1432">
        <v>2</v>
      </c>
    </row>
    <row r="1433" spans="1:14" hidden="1" x14ac:dyDescent="0.3">
      <c r="A1433">
        <v>3109</v>
      </c>
      <c r="B1433">
        <v>34</v>
      </c>
      <c r="C1433">
        <v>87</v>
      </c>
      <c r="D1433">
        <v>8</v>
      </c>
      <c r="E1433">
        <v>42</v>
      </c>
      <c r="F1433">
        <v>11</v>
      </c>
      <c r="G1433">
        <v>4</v>
      </c>
      <c r="H1433">
        <v>15</v>
      </c>
      <c r="I1433">
        <v>137</v>
      </c>
      <c r="J1433">
        <v>2</v>
      </c>
      <c r="K1433">
        <v>2</v>
      </c>
      <c r="L1433">
        <v>0</v>
      </c>
      <c r="M1433">
        <v>3</v>
      </c>
      <c r="N1433">
        <v>6</v>
      </c>
    </row>
    <row r="1434" spans="1:14" hidden="1" x14ac:dyDescent="0.3">
      <c r="A1434">
        <v>2148</v>
      </c>
      <c r="B1434">
        <v>34</v>
      </c>
      <c r="C1434">
        <v>107</v>
      </c>
      <c r="D1434">
        <v>34</v>
      </c>
      <c r="E1434">
        <v>142</v>
      </c>
      <c r="F1434">
        <v>46</v>
      </c>
      <c r="G1434">
        <v>27</v>
      </c>
      <c r="H1434">
        <v>50</v>
      </c>
      <c r="I1434">
        <v>306</v>
      </c>
      <c r="J1434">
        <v>3</v>
      </c>
      <c r="K1434">
        <v>2</v>
      </c>
      <c r="L1434">
        <v>0</v>
      </c>
      <c r="M1434">
        <v>4</v>
      </c>
      <c r="N1434">
        <v>8</v>
      </c>
    </row>
    <row r="1435" spans="1:14" hidden="1" x14ac:dyDescent="0.3">
      <c r="A1435">
        <v>1868</v>
      </c>
      <c r="B1435">
        <v>34</v>
      </c>
      <c r="C1435">
        <v>162</v>
      </c>
      <c r="D1435">
        <v>0</v>
      </c>
      <c r="E1435">
        <v>7</v>
      </c>
      <c r="F1435">
        <v>0</v>
      </c>
      <c r="G1435">
        <v>0</v>
      </c>
      <c r="H1435">
        <v>17</v>
      </c>
      <c r="I1435">
        <v>152</v>
      </c>
      <c r="J1435">
        <v>2</v>
      </c>
      <c r="K1435">
        <v>2</v>
      </c>
      <c r="L1435">
        <v>0</v>
      </c>
      <c r="M1435">
        <v>3</v>
      </c>
      <c r="N1435">
        <v>7</v>
      </c>
    </row>
    <row r="1436" spans="1:14" hidden="1" x14ac:dyDescent="0.3">
      <c r="A1436">
        <v>2339</v>
      </c>
      <c r="B1436">
        <v>34</v>
      </c>
      <c r="C1436">
        <v>316</v>
      </c>
      <c r="D1436">
        <v>4</v>
      </c>
      <c r="E1436">
        <v>124</v>
      </c>
      <c r="F1436">
        <v>16</v>
      </c>
      <c r="G1436">
        <v>16</v>
      </c>
      <c r="H1436">
        <v>48</v>
      </c>
      <c r="I1436">
        <v>428</v>
      </c>
      <c r="J1436">
        <v>3</v>
      </c>
      <c r="K1436">
        <v>2</v>
      </c>
      <c r="L1436">
        <v>1</v>
      </c>
      <c r="M1436">
        <v>4</v>
      </c>
      <c r="N1436">
        <v>6</v>
      </c>
    </row>
    <row r="1437" spans="1:14" hidden="1" x14ac:dyDescent="0.3">
      <c r="A1437">
        <v>2797</v>
      </c>
      <c r="B1437">
        <v>34</v>
      </c>
      <c r="C1437">
        <v>316</v>
      </c>
      <c r="D1437">
        <v>4</v>
      </c>
      <c r="E1437">
        <v>124</v>
      </c>
      <c r="F1437">
        <v>16</v>
      </c>
      <c r="G1437">
        <v>16</v>
      </c>
      <c r="H1437">
        <v>48</v>
      </c>
      <c r="I1437">
        <v>428</v>
      </c>
      <c r="J1437">
        <v>3</v>
      </c>
      <c r="K1437">
        <v>2</v>
      </c>
      <c r="L1437">
        <v>1</v>
      </c>
      <c r="M1437">
        <v>4</v>
      </c>
      <c r="N1437">
        <v>6</v>
      </c>
    </row>
    <row r="1438" spans="1:14" hidden="1" x14ac:dyDescent="0.3">
      <c r="A1438">
        <v>1007</v>
      </c>
      <c r="B1438">
        <v>34</v>
      </c>
      <c r="C1438">
        <v>657</v>
      </c>
      <c r="D1438">
        <v>182</v>
      </c>
      <c r="E1438">
        <v>459</v>
      </c>
      <c r="F1438">
        <v>140</v>
      </c>
      <c r="G1438">
        <v>137</v>
      </c>
      <c r="H1438">
        <v>76</v>
      </c>
      <c r="I1438">
        <v>1499</v>
      </c>
      <c r="J1438">
        <v>4</v>
      </c>
      <c r="K1438">
        <v>7</v>
      </c>
      <c r="L1438">
        <v>3</v>
      </c>
      <c r="M1438">
        <v>7</v>
      </c>
      <c r="N1438">
        <v>6</v>
      </c>
    </row>
    <row r="1439" spans="1:14" hidden="1" x14ac:dyDescent="0.3">
      <c r="A1439">
        <v>1980</v>
      </c>
      <c r="B1439">
        <v>34</v>
      </c>
      <c r="C1439">
        <v>773</v>
      </c>
      <c r="D1439">
        <v>25</v>
      </c>
      <c r="E1439">
        <v>101</v>
      </c>
      <c r="F1439">
        <v>22</v>
      </c>
      <c r="G1439">
        <v>6</v>
      </c>
      <c r="H1439">
        <v>158</v>
      </c>
      <c r="I1439">
        <v>770</v>
      </c>
      <c r="J1439">
        <v>4</v>
      </c>
      <c r="K1439">
        <v>3</v>
      </c>
      <c r="L1439">
        <v>1</v>
      </c>
      <c r="M1439">
        <v>8</v>
      </c>
      <c r="N1439">
        <v>4</v>
      </c>
    </row>
    <row r="1440" spans="1:14" hidden="1" x14ac:dyDescent="0.3">
      <c r="A1440">
        <v>1176</v>
      </c>
      <c r="B1440">
        <v>34</v>
      </c>
      <c r="C1440">
        <v>937</v>
      </c>
      <c r="D1440">
        <v>0</v>
      </c>
      <c r="E1440">
        <v>282</v>
      </c>
      <c r="F1440">
        <v>50</v>
      </c>
      <c r="G1440">
        <v>24</v>
      </c>
      <c r="H1440">
        <v>308</v>
      </c>
      <c r="I1440">
        <v>984</v>
      </c>
      <c r="J1440">
        <v>2</v>
      </c>
      <c r="K1440">
        <v>7</v>
      </c>
      <c r="L1440">
        <v>1</v>
      </c>
      <c r="M1440">
        <v>8</v>
      </c>
      <c r="N1440">
        <v>5</v>
      </c>
    </row>
    <row r="1441" spans="1:14" hidden="1" x14ac:dyDescent="0.3">
      <c r="A1441">
        <v>3095</v>
      </c>
      <c r="B1441">
        <v>34</v>
      </c>
      <c r="C1441">
        <v>937</v>
      </c>
      <c r="D1441">
        <v>0</v>
      </c>
      <c r="E1441">
        <v>282</v>
      </c>
      <c r="F1441">
        <v>50</v>
      </c>
      <c r="G1441">
        <v>24</v>
      </c>
      <c r="H1441">
        <v>308</v>
      </c>
      <c r="I1441">
        <v>984</v>
      </c>
      <c r="J1441">
        <v>2</v>
      </c>
      <c r="K1441">
        <v>7</v>
      </c>
      <c r="L1441">
        <v>1</v>
      </c>
      <c r="M1441">
        <v>8</v>
      </c>
      <c r="N1441">
        <v>5</v>
      </c>
    </row>
    <row r="1442" spans="1:14" hidden="1" x14ac:dyDescent="0.3">
      <c r="A1442">
        <v>1973</v>
      </c>
      <c r="B1442">
        <v>34</v>
      </c>
      <c r="C1442">
        <v>1328</v>
      </c>
      <c r="D1442">
        <v>17</v>
      </c>
      <c r="E1442">
        <v>460</v>
      </c>
      <c r="F1442">
        <v>24</v>
      </c>
      <c r="G1442">
        <v>17</v>
      </c>
      <c r="H1442">
        <v>91</v>
      </c>
      <c r="I1442">
        <v>1754</v>
      </c>
      <c r="J1442">
        <v>5</v>
      </c>
      <c r="K1442">
        <v>10</v>
      </c>
      <c r="L1442">
        <v>1</v>
      </c>
      <c r="M1442">
        <v>6</v>
      </c>
      <c r="N1442">
        <v>9</v>
      </c>
    </row>
    <row r="1443" spans="1:14" hidden="1" x14ac:dyDescent="0.3">
      <c r="A1443">
        <v>1855</v>
      </c>
      <c r="B1443">
        <v>34</v>
      </c>
      <c r="C1443">
        <v>1478</v>
      </c>
      <c r="D1443">
        <v>153</v>
      </c>
      <c r="E1443">
        <v>442</v>
      </c>
      <c r="F1443">
        <v>113</v>
      </c>
      <c r="G1443">
        <v>42</v>
      </c>
      <c r="H1443">
        <v>373</v>
      </c>
      <c r="I1443">
        <v>1854</v>
      </c>
      <c r="J1443">
        <v>1</v>
      </c>
      <c r="K1443">
        <v>5</v>
      </c>
      <c r="L1443">
        <v>7</v>
      </c>
      <c r="M1443">
        <v>10</v>
      </c>
      <c r="N1443">
        <v>3</v>
      </c>
    </row>
    <row r="1444" spans="1:14" hidden="1" x14ac:dyDescent="0.3">
      <c r="A1444">
        <v>1071</v>
      </c>
      <c r="B1444">
        <v>34</v>
      </c>
      <c r="C1444">
        <v>1679</v>
      </c>
      <c r="D1444">
        <v>259</v>
      </c>
      <c r="E1444">
        <v>2154</v>
      </c>
      <c r="F1444">
        <v>226</v>
      </c>
      <c r="G1444">
        <v>42</v>
      </c>
      <c r="H1444">
        <v>42</v>
      </c>
      <c r="I1444">
        <v>4318</v>
      </c>
      <c r="J1444">
        <v>1</v>
      </c>
      <c r="K1444">
        <v>7</v>
      </c>
      <c r="L1444">
        <v>6</v>
      </c>
      <c r="M1444">
        <v>5</v>
      </c>
      <c r="N1444">
        <v>5</v>
      </c>
    </row>
    <row r="1445" spans="1:14" hidden="1" x14ac:dyDescent="0.3">
      <c r="A1445">
        <v>2738</v>
      </c>
      <c r="B1445">
        <v>34</v>
      </c>
      <c r="C1445">
        <v>1687</v>
      </c>
      <c r="D1445">
        <v>48</v>
      </c>
      <c r="E1445">
        <v>408</v>
      </c>
      <c r="F1445">
        <v>155</v>
      </c>
      <c r="G1445">
        <v>143</v>
      </c>
      <c r="H1445">
        <v>119</v>
      </c>
      <c r="I1445">
        <v>2322</v>
      </c>
      <c r="J1445">
        <v>1</v>
      </c>
      <c r="K1445">
        <v>9</v>
      </c>
      <c r="L1445">
        <v>7</v>
      </c>
      <c r="M1445">
        <v>9</v>
      </c>
      <c r="N1445">
        <v>5</v>
      </c>
    </row>
    <row r="1446" spans="1:14" hidden="1" x14ac:dyDescent="0.3">
      <c r="A1446">
        <v>2042</v>
      </c>
      <c r="B1446">
        <v>34</v>
      </c>
      <c r="C1446">
        <v>1883</v>
      </c>
      <c r="D1446">
        <v>48</v>
      </c>
      <c r="E1446">
        <v>459</v>
      </c>
      <c r="F1446">
        <v>30</v>
      </c>
      <c r="G1446">
        <v>0</v>
      </c>
      <c r="H1446">
        <v>507</v>
      </c>
      <c r="I1446">
        <v>1913</v>
      </c>
      <c r="J1446">
        <v>2</v>
      </c>
      <c r="K1446">
        <v>7</v>
      </c>
      <c r="L1446">
        <v>6</v>
      </c>
      <c r="M1446">
        <v>11</v>
      </c>
      <c r="N1446">
        <v>5</v>
      </c>
    </row>
    <row r="1447" spans="1:14" hidden="1" x14ac:dyDescent="0.3">
      <c r="A1447">
        <v>1286</v>
      </c>
      <c r="B1447">
        <v>34</v>
      </c>
      <c r="C1447">
        <v>2184</v>
      </c>
      <c r="D1447">
        <v>0</v>
      </c>
      <c r="E1447">
        <v>218</v>
      </c>
      <c r="F1447">
        <v>0</v>
      </c>
      <c r="G1447">
        <v>0</v>
      </c>
      <c r="H1447">
        <v>95</v>
      </c>
      <c r="I1447">
        <v>2307</v>
      </c>
      <c r="J1447">
        <v>5</v>
      </c>
      <c r="K1447">
        <v>8</v>
      </c>
      <c r="L1447">
        <v>3</v>
      </c>
      <c r="M1447">
        <v>12</v>
      </c>
      <c r="N1447">
        <v>5</v>
      </c>
    </row>
    <row r="1448" spans="1:14" hidden="1" x14ac:dyDescent="0.3">
      <c r="A1448">
        <v>2473</v>
      </c>
      <c r="B1448">
        <v>34</v>
      </c>
      <c r="C1448">
        <v>2575</v>
      </c>
      <c r="D1448">
        <v>29</v>
      </c>
      <c r="E1448">
        <v>290</v>
      </c>
      <c r="F1448">
        <v>37</v>
      </c>
      <c r="G1448">
        <v>29</v>
      </c>
      <c r="H1448">
        <v>98</v>
      </c>
      <c r="I1448">
        <v>2862</v>
      </c>
      <c r="J1448">
        <v>6</v>
      </c>
      <c r="K1448">
        <v>4</v>
      </c>
      <c r="L1448">
        <v>2</v>
      </c>
      <c r="M1448">
        <v>9</v>
      </c>
      <c r="N1448">
        <v>9</v>
      </c>
    </row>
    <row r="1449" spans="1:14" hidden="1" x14ac:dyDescent="0.3">
      <c r="A1449">
        <v>3206</v>
      </c>
      <c r="B1449">
        <v>33</v>
      </c>
      <c r="C1449">
        <v>0</v>
      </c>
      <c r="D1449">
        <v>0</v>
      </c>
      <c r="E1449">
        <v>0</v>
      </c>
      <c r="F1449">
        <v>0</v>
      </c>
      <c r="G1449">
        <v>0</v>
      </c>
      <c r="H1449">
        <v>0</v>
      </c>
      <c r="I1449">
        <v>0</v>
      </c>
      <c r="J1449">
        <v>3</v>
      </c>
      <c r="K1449">
        <v>2</v>
      </c>
      <c r="L1449">
        <v>0</v>
      </c>
      <c r="M1449">
        <v>4</v>
      </c>
      <c r="N1449">
        <v>4</v>
      </c>
    </row>
    <row r="1450" spans="1:14" hidden="1" x14ac:dyDescent="0.3">
      <c r="A1450">
        <v>1368</v>
      </c>
      <c r="B1450">
        <v>33</v>
      </c>
      <c r="C1450">
        <v>45</v>
      </c>
      <c r="D1450">
        <v>0</v>
      </c>
      <c r="E1450">
        <v>4</v>
      </c>
      <c r="F1450">
        <v>0</v>
      </c>
      <c r="G1450">
        <v>0</v>
      </c>
      <c r="H1450">
        <v>23</v>
      </c>
      <c r="I1450">
        <v>26</v>
      </c>
      <c r="J1450">
        <v>1</v>
      </c>
      <c r="K1450">
        <v>0</v>
      </c>
      <c r="L1450">
        <v>1</v>
      </c>
      <c r="M1450">
        <v>2</v>
      </c>
      <c r="N1450">
        <v>3</v>
      </c>
    </row>
    <row r="1451" spans="1:14" hidden="1" x14ac:dyDescent="0.3">
      <c r="A1451">
        <v>1304</v>
      </c>
      <c r="B1451">
        <v>33</v>
      </c>
      <c r="C1451">
        <v>47</v>
      </c>
      <c r="D1451">
        <v>0</v>
      </c>
      <c r="E1451">
        <v>30</v>
      </c>
      <c r="F1451">
        <v>13</v>
      </c>
      <c r="G1451">
        <v>4</v>
      </c>
      <c r="H1451">
        <v>25</v>
      </c>
      <c r="I1451">
        <v>68</v>
      </c>
      <c r="J1451">
        <v>2</v>
      </c>
      <c r="K1451">
        <v>1</v>
      </c>
      <c r="L1451">
        <v>0</v>
      </c>
      <c r="M1451">
        <v>3</v>
      </c>
      <c r="N1451">
        <v>5</v>
      </c>
    </row>
    <row r="1452" spans="1:14" hidden="1" x14ac:dyDescent="0.3">
      <c r="A1452">
        <v>1332</v>
      </c>
      <c r="B1452">
        <v>33</v>
      </c>
      <c r="C1452">
        <v>64</v>
      </c>
      <c r="D1452">
        <v>0</v>
      </c>
      <c r="E1452">
        <v>52</v>
      </c>
      <c r="F1452">
        <v>30</v>
      </c>
      <c r="G1452">
        <v>13</v>
      </c>
      <c r="H1452">
        <v>30</v>
      </c>
      <c r="I1452">
        <v>129</v>
      </c>
      <c r="J1452">
        <v>3</v>
      </c>
      <c r="K1452">
        <v>2</v>
      </c>
      <c r="L1452">
        <v>0</v>
      </c>
      <c r="M1452">
        <v>3</v>
      </c>
      <c r="N1452">
        <v>7</v>
      </c>
    </row>
    <row r="1453" spans="1:14" hidden="1" x14ac:dyDescent="0.3">
      <c r="A1453">
        <v>2729</v>
      </c>
      <c r="B1453">
        <v>33</v>
      </c>
      <c r="C1453">
        <v>64</v>
      </c>
      <c r="D1453">
        <v>0</v>
      </c>
      <c r="E1453">
        <v>52</v>
      </c>
      <c r="F1453">
        <v>30</v>
      </c>
      <c r="G1453">
        <v>13</v>
      </c>
      <c r="H1453">
        <v>30</v>
      </c>
      <c r="I1453">
        <v>129</v>
      </c>
      <c r="J1453">
        <v>3</v>
      </c>
      <c r="K1453">
        <v>2</v>
      </c>
      <c r="L1453">
        <v>0</v>
      </c>
      <c r="M1453">
        <v>3</v>
      </c>
      <c r="N1453">
        <v>7</v>
      </c>
    </row>
    <row r="1454" spans="1:14" hidden="1" x14ac:dyDescent="0.3">
      <c r="A1454">
        <v>1533</v>
      </c>
      <c r="B1454">
        <v>33</v>
      </c>
      <c r="C1454">
        <v>80</v>
      </c>
      <c r="D1454">
        <v>0</v>
      </c>
      <c r="E1454">
        <v>14</v>
      </c>
      <c r="F1454">
        <v>0</v>
      </c>
      <c r="G1454">
        <v>0</v>
      </c>
      <c r="H1454">
        <v>5</v>
      </c>
      <c r="I1454">
        <v>89</v>
      </c>
      <c r="J1454">
        <v>2</v>
      </c>
      <c r="K1454">
        <v>1</v>
      </c>
      <c r="L1454">
        <v>0</v>
      </c>
      <c r="M1454">
        <v>3</v>
      </c>
      <c r="N1454">
        <v>6</v>
      </c>
    </row>
    <row r="1455" spans="1:14" hidden="1" x14ac:dyDescent="0.3">
      <c r="A1455">
        <v>3115</v>
      </c>
      <c r="B1455">
        <v>33</v>
      </c>
      <c r="C1455">
        <v>82</v>
      </c>
      <c r="D1455">
        <v>14</v>
      </c>
      <c r="E1455">
        <v>75</v>
      </c>
      <c r="F1455">
        <v>0</v>
      </c>
      <c r="G1455">
        <v>7</v>
      </c>
      <c r="H1455">
        <v>31</v>
      </c>
      <c r="I1455">
        <v>147</v>
      </c>
      <c r="J1455">
        <v>4</v>
      </c>
      <c r="K1455">
        <v>3</v>
      </c>
      <c r="L1455">
        <v>1</v>
      </c>
      <c r="M1455">
        <v>3</v>
      </c>
      <c r="N1455">
        <v>5</v>
      </c>
    </row>
    <row r="1456" spans="1:14" hidden="1" x14ac:dyDescent="0.3">
      <c r="A1456">
        <v>3191</v>
      </c>
      <c r="B1456">
        <v>33</v>
      </c>
      <c r="C1456">
        <v>84</v>
      </c>
      <c r="D1456">
        <v>48</v>
      </c>
      <c r="E1456">
        <v>48</v>
      </c>
      <c r="F1456">
        <v>0</v>
      </c>
      <c r="G1456">
        <v>12</v>
      </c>
      <c r="H1456">
        <v>12</v>
      </c>
      <c r="I1456">
        <v>179</v>
      </c>
      <c r="J1456">
        <v>3</v>
      </c>
      <c r="K1456">
        <v>2</v>
      </c>
      <c r="L1456">
        <v>0</v>
      </c>
      <c r="M1456">
        <v>4</v>
      </c>
      <c r="N1456">
        <v>4</v>
      </c>
    </row>
    <row r="1457" spans="1:14" hidden="1" x14ac:dyDescent="0.3">
      <c r="A1457">
        <v>1678</v>
      </c>
      <c r="B1457">
        <v>33</v>
      </c>
      <c r="C1457">
        <v>95</v>
      </c>
      <c r="D1457">
        <v>5</v>
      </c>
      <c r="E1457">
        <v>134</v>
      </c>
      <c r="F1457">
        <v>14</v>
      </c>
      <c r="G1457">
        <v>14</v>
      </c>
      <c r="H1457">
        <v>10</v>
      </c>
      <c r="I1457">
        <v>253</v>
      </c>
      <c r="J1457">
        <v>3</v>
      </c>
      <c r="K1457">
        <v>2</v>
      </c>
      <c r="L1457">
        <v>0</v>
      </c>
      <c r="M1457">
        <v>3</v>
      </c>
      <c r="N1457">
        <v>8</v>
      </c>
    </row>
    <row r="1458" spans="1:14" hidden="1" x14ac:dyDescent="0.3">
      <c r="A1458">
        <v>2527</v>
      </c>
      <c r="B1458">
        <v>33</v>
      </c>
      <c r="C1458">
        <v>398</v>
      </c>
      <c r="D1458">
        <v>60</v>
      </c>
      <c r="E1458">
        <v>587</v>
      </c>
      <c r="F1458">
        <v>81</v>
      </c>
      <c r="G1458">
        <v>163</v>
      </c>
      <c r="H1458">
        <v>186</v>
      </c>
      <c r="I1458">
        <v>1103</v>
      </c>
      <c r="J1458">
        <v>1</v>
      </c>
      <c r="K1458">
        <v>4</v>
      </c>
      <c r="L1458">
        <v>4</v>
      </c>
      <c r="M1458">
        <v>7</v>
      </c>
      <c r="N1458">
        <v>1</v>
      </c>
    </row>
    <row r="1459" spans="1:14" hidden="1" x14ac:dyDescent="0.3">
      <c r="A1459">
        <v>1742</v>
      </c>
      <c r="B1459">
        <v>33</v>
      </c>
      <c r="C1459">
        <v>555</v>
      </c>
      <c r="D1459">
        <v>36</v>
      </c>
      <c r="E1459">
        <v>505</v>
      </c>
      <c r="F1459">
        <v>48</v>
      </c>
      <c r="G1459">
        <v>97</v>
      </c>
      <c r="H1459">
        <v>36</v>
      </c>
      <c r="I1459">
        <v>1204</v>
      </c>
      <c r="J1459">
        <v>2</v>
      </c>
      <c r="K1459">
        <v>8</v>
      </c>
      <c r="L1459">
        <v>1</v>
      </c>
      <c r="M1459">
        <v>8</v>
      </c>
      <c r="N1459">
        <v>6</v>
      </c>
    </row>
    <row r="1460" spans="1:14" hidden="1" x14ac:dyDescent="0.3">
      <c r="A1460">
        <v>2711</v>
      </c>
      <c r="B1460">
        <v>33</v>
      </c>
      <c r="C1460">
        <v>555</v>
      </c>
      <c r="D1460">
        <v>36</v>
      </c>
      <c r="E1460">
        <v>505</v>
      </c>
      <c r="F1460">
        <v>48</v>
      </c>
      <c r="G1460">
        <v>97</v>
      </c>
      <c r="H1460">
        <v>36</v>
      </c>
      <c r="I1460">
        <v>1204</v>
      </c>
      <c r="J1460">
        <v>2</v>
      </c>
      <c r="K1460">
        <v>8</v>
      </c>
      <c r="L1460">
        <v>1</v>
      </c>
      <c r="M1460">
        <v>8</v>
      </c>
      <c r="N1460">
        <v>6</v>
      </c>
    </row>
    <row r="1461" spans="1:14" hidden="1" x14ac:dyDescent="0.3">
      <c r="A1461">
        <v>1776</v>
      </c>
      <c r="B1461">
        <v>33</v>
      </c>
      <c r="C1461">
        <v>704</v>
      </c>
      <c r="D1461">
        <v>10</v>
      </c>
      <c r="E1461">
        <v>193</v>
      </c>
      <c r="F1461">
        <v>39</v>
      </c>
      <c r="G1461">
        <v>29</v>
      </c>
      <c r="H1461">
        <v>39</v>
      </c>
      <c r="I1461">
        <v>935</v>
      </c>
      <c r="J1461">
        <v>1</v>
      </c>
      <c r="K1461">
        <v>4</v>
      </c>
      <c r="L1461">
        <v>1</v>
      </c>
      <c r="M1461">
        <v>7</v>
      </c>
      <c r="N1461">
        <v>7</v>
      </c>
    </row>
    <row r="1462" spans="1:14" hidden="1" x14ac:dyDescent="0.3">
      <c r="A1462">
        <v>1654</v>
      </c>
      <c r="B1462">
        <v>33</v>
      </c>
      <c r="C1462">
        <v>927</v>
      </c>
      <c r="D1462">
        <v>397</v>
      </c>
      <c r="E1462">
        <v>485</v>
      </c>
      <c r="F1462">
        <v>145</v>
      </c>
      <c r="G1462">
        <v>265</v>
      </c>
      <c r="H1462">
        <v>352</v>
      </c>
      <c r="I1462">
        <v>1866</v>
      </c>
      <c r="J1462">
        <v>4</v>
      </c>
      <c r="K1462">
        <v>4</v>
      </c>
      <c r="L1462">
        <v>3</v>
      </c>
      <c r="M1462">
        <v>6</v>
      </c>
      <c r="N1462">
        <v>3</v>
      </c>
    </row>
    <row r="1463" spans="1:14" hidden="1" x14ac:dyDescent="0.3">
      <c r="A1463">
        <v>2161</v>
      </c>
      <c r="B1463">
        <v>33</v>
      </c>
      <c r="C1463">
        <v>1149</v>
      </c>
      <c r="D1463">
        <v>43</v>
      </c>
      <c r="E1463">
        <v>256</v>
      </c>
      <c r="F1463">
        <v>18</v>
      </c>
      <c r="G1463">
        <v>28</v>
      </c>
      <c r="H1463">
        <v>59</v>
      </c>
      <c r="I1463">
        <v>1435</v>
      </c>
      <c r="J1463">
        <v>3</v>
      </c>
      <c r="K1463">
        <v>8</v>
      </c>
      <c r="L1463">
        <v>2</v>
      </c>
      <c r="M1463">
        <v>6</v>
      </c>
      <c r="N1463">
        <v>7</v>
      </c>
    </row>
    <row r="1464" spans="1:14" hidden="1" x14ac:dyDescent="0.3">
      <c r="A1464">
        <v>1402</v>
      </c>
      <c r="B1464">
        <v>33</v>
      </c>
      <c r="C1464">
        <v>1725</v>
      </c>
      <c r="D1464">
        <v>239</v>
      </c>
      <c r="E1464">
        <v>227</v>
      </c>
      <c r="F1464">
        <v>376</v>
      </c>
      <c r="G1464">
        <v>287</v>
      </c>
      <c r="H1464">
        <v>239</v>
      </c>
      <c r="I1464">
        <v>2614</v>
      </c>
      <c r="J1464">
        <v>1</v>
      </c>
      <c r="K1464">
        <v>7</v>
      </c>
      <c r="L1464">
        <v>9</v>
      </c>
      <c r="M1464">
        <v>9</v>
      </c>
      <c r="N1464">
        <v>3</v>
      </c>
    </row>
    <row r="1465" spans="1:14" hidden="1" x14ac:dyDescent="0.3">
      <c r="A1465">
        <v>2565</v>
      </c>
      <c r="B1465">
        <v>33</v>
      </c>
      <c r="C1465">
        <v>1749</v>
      </c>
      <c r="D1465">
        <v>371</v>
      </c>
      <c r="E1465">
        <v>1450</v>
      </c>
      <c r="F1465">
        <v>146</v>
      </c>
      <c r="G1465">
        <v>74</v>
      </c>
      <c r="H1465">
        <v>111</v>
      </c>
      <c r="I1465">
        <v>3679</v>
      </c>
      <c r="J1465">
        <v>1</v>
      </c>
      <c r="K1465">
        <v>7</v>
      </c>
      <c r="L1465">
        <v>5</v>
      </c>
      <c r="M1465">
        <v>12</v>
      </c>
      <c r="N1465">
        <v>3</v>
      </c>
    </row>
    <row r="1466" spans="1:14" hidden="1" x14ac:dyDescent="0.3">
      <c r="A1466">
        <v>2506</v>
      </c>
      <c r="B1466">
        <v>33</v>
      </c>
      <c r="C1466">
        <v>3224</v>
      </c>
      <c r="D1466">
        <v>118</v>
      </c>
      <c r="E1466">
        <v>603</v>
      </c>
      <c r="F1466">
        <v>52</v>
      </c>
      <c r="G1466">
        <v>39</v>
      </c>
      <c r="H1466">
        <v>129</v>
      </c>
      <c r="I1466">
        <v>3907</v>
      </c>
      <c r="J1466">
        <v>4</v>
      </c>
      <c r="K1466">
        <v>6</v>
      </c>
      <c r="L1466">
        <v>3</v>
      </c>
      <c r="M1466">
        <v>13</v>
      </c>
      <c r="N1466">
        <v>9</v>
      </c>
    </row>
    <row r="1467" spans="1:14" hidden="1" x14ac:dyDescent="0.3">
      <c r="A1467">
        <v>2458</v>
      </c>
      <c r="B1467">
        <v>32</v>
      </c>
      <c r="C1467">
        <v>12</v>
      </c>
      <c r="D1467">
        <v>18</v>
      </c>
      <c r="E1467">
        <v>74</v>
      </c>
      <c r="F1467">
        <v>18</v>
      </c>
      <c r="G1467">
        <v>31</v>
      </c>
      <c r="H1467">
        <v>43</v>
      </c>
      <c r="I1467">
        <v>111</v>
      </c>
      <c r="J1467">
        <v>1</v>
      </c>
      <c r="K1467">
        <v>1</v>
      </c>
      <c r="L1467">
        <v>0</v>
      </c>
      <c r="M1467">
        <v>3</v>
      </c>
      <c r="N1467">
        <v>8</v>
      </c>
    </row>
    <row r="1468" spans="1:14" hidden="1" x14ac:dyDescent="0.3">
      <c r="A1468">
        <v>1972</v>
      </c>
      <c r="B1468">
        <v>32</v>
      </c>
      <c r="C1468">
        <v>15</v>
      </c>
      <c r="D1468">
        <v>30</v>
      </c>
      <c r="E1468">
        <v>35</v>
      </c>
      <c r="F1468">
        <v>0</v>
      </c>
      <c r="G1468">
        <v>0</v>
      </c>
      <c r="H1468">
        <v>15</v>
      </c>
      <c r="I1468">
        <v>65</v>
      </c>
      <c r="J1468">
        <v>1</v>
      </c>
      <c r="K1468">
        <v>0</v>
      </c>
      <c r="L1468">
        <v>0</v>
      </c>
      <c r="M1468">
        <v>3</v>
      </c>
      <c r="N1468">
        <v>7</v>
      </c>
    </row>
    <row r="1469" spans="1:14" hidden="1" x14ac:dyDescent="0.3">
      <c r="A1469">
        <v>1369</v>
      </c>
      <c r="B1469">
        <v>32</v>
      </c>
      <c r="C1469">
        <v>43</v>
      </c>
      <c r="D1469">
        <v>75</v>
      </c>
      <c r="E1469">
        <v>75</v>
      </c>
      <c r="F1469">
        <v>65</v>
      </c>
      <c r="G1469">
        <v>43</v>
      </c>
      <c r="H1469">
        <v>140</v>
      </c>
      <c r="I1469">
        <v>161</v>
      </c>
      <c r="J1469">
        <v>3</v>
      </c>
      <c r="K1469">
        <v>1</v>
      </c>
      <c r="L1469">
        <v>2</v>
      </c>
      <c r="M1469">
        <v>2</v>
      </c>
      <c r="N1469">
        <v>5</v>
      </c>
    </row>
    <row r="1470" spans="1:14" hidden="1" x14ac:dyDescent="0.3">
      <c r="A1470">
        <v>2104</v>
      </c>
      <c r="B1470">
        <v>32</v>
      </c>
      <c r="C1470">
        <v>70</v>
      </c>
      <c r="D1470">
        <v>52</v>
      </c>
      <c r="E1470">
        <v>70</v>
      </c>
      <c r="F1470">
        <v>132</v>
      </c>
      <c r="G1470">
        <v>61</v>
      </c>
      <c r="H1470">
        <v>28</v>
      </c>
      <c r="I1470">
        <v>358</v>
      </c>
      <c r="J1470">
        <v>1</v>
      </c>
      <c r="K1470">
        <v>2</v>
      </c>
      <c r="L1470">
        <v>1</v>
      </c>
      <c r="M1470">
        <v>4</v>
      </c>
      <c r="N1470">
        <v>3</v>
      </c>
    </row>
    <row r="1471" spans="1:14" hidden="1" x14ac:dyDescent="0.3">
      <c r="A1471">
        <v>1664</v>
      </c>
      <c r="B1471">
        <v>32</v>
      </c>
      <c r="C1471">
        <v>117</v>
      </c>
      <c r="D1471">
        <v>38</v>
      </c>
      <c r="E1471">
        <v>471</v>
      </c>
      <c r="F1471">
        <v>615</v>
      </c>
      <c r="G1471">
        <v>210</v>
      </c>
      <c r="H1471">
        <v>155</v>
      </c>
      <c r="I1471">
        <v>1296</v>
      </c>
      <c r="J1471">
        <v>1</v>
      </c>
      <c r="K1471">
        <v>8</v>
      </c>
      <c r="L1471">
        <v>1</v>
      </c>
      <c r="M1471">
        <v>5</v>
      </c>
      <c r="N1471">
        <v>8</v>
      </c>
    </row>
    <row r="1472" spans="1:14" hidden="1" x14ac:dyDescent="0.3">
      <c r="A1472">
        <v>2938</v>
      </c>
      <c r="B1472">
        <v>32</v>
      </c>
      <c r="C1472">
        <v>172</v>
      </c>
      <c r="D1472">
        <v>14</v>
      </c>
      <c r="E1472">
        <v>152</v>
      </c>
      <c r="F1472">
        <v>34</v>
      </c>
      <c r="G1472">
        <v>34</v>
      </c>
      <c r="H1472">
        <v>148</v>
      </c>
      <c r="I1472">
        <v>258</v>
      </c>
      <c r="J1472">
        <v>3</v>
      </c>
      <c r="K1472">
        <v>3</v>
      </c>
      <c r="L1472">
        <v>1</v>
      </c>
      <c r="M1472">
        <v>3</v>
      </c>
      <c r="N1472">
        <v>9</v>
      </c>
    </row>
    <row r="1473" spans="1:14" hidden="1" x14ac:dyDescent="0.3">
      <c r="A1473">
        <v>2951</v>
      </c>
      <c r="B1473">
        <v>32</v>
      </c>
      <c r="C1473">
        <v>256</v>
      </c>
      <c r="D1473">
        <v>614</v>
      </c>
      <c r="E1473">
        <v>557</v>
      </c>
      <c r="F1473">
        <v>622</v>
      </c>
      <c r="G1473">
        <v>77</v>
      </c>
      <c r="H1473">
        <v>215</v>
      </c>
      <c r="I1473">
        <v>1910</v>
      </c>
      <c r="J1473">
        <v>2</v>
      </c>
      <c r="K1473">
        <v>4</v>
      </c>
      <c r="L1473">
        <v>4</v>
      </c>
      <c r="M1473">
        <v>8</v>
      </c>
      <c r="N1473">
        <v>5</v>
      </c>
    </row>
    <row r="1474" spans="1:14" hidden="1" x14ac:dyDescent="0.3">
      <c r="A1474">
        <v>1008</v>
      </c>
      <c r="B1474">
        <v>32</v>
      </c>
      <c r="C1474">
        <v>303</v>
      </c>
      <c r="D1474">
        <v>40</v>
      </c>
      <c r="E1474">
        <v>223</v>
      </c>
      <c r="F1474">
        <v>12</v>
      </c>
      <c r="G1474">
        <v>4</v>
      </c>
      <c r="H1474">
        <v>92</v>
      </c>
      <c r="I1474">
        <v>491</v>
      </c>
      <c r="J1474">
        <v>2</v>
      </c>
      <c r="K1474">
        <v>4</v>
      </c>
      <c r="L1474">
        <v>0</v>
      </c>
      <c r="M1474">
        <v>4</v>
      </c>
      <c r="N1474">
        <v>8</v>
      </c>
    </row>
    <row r="1475" spans="1:14" hidden="1" x14ac:dyDescent="0.3">
      <c r="A1475">
        <v>1091</v>
      </c>
      <c r="B1475">
        <v>32</v>
      </c>
      <c r="C1475">
        <v>404</v>
      </c>
      <c r="D1475">
        <v>138</v>
      </c>
      <c r="E1475">
        <v>275</v>
      </c>
      <c r="F1475">
        <v>195</v>
      </c>
      <c r="G1475">
        <v>183</v>
      </c>
      <c r="H1475">
        <v>33</v>
      </c>
      <c r="I1475">
        <v>1162</v>
      </c>
      <c r="J1475">
        <v>2</v>
      </c>
      <c r="K1475">
        <v>5</v>
      </c>
      <c r="L1475">
        <v>2</v>
      </c>
      <c r="M1475">
        <v>7</v>
      </c>
      <c r="N1475">
        <v>5</v>
      </c>
    </row>
    <row r="1476" spans="1:14" hidden="1" x14ac:dyDescent="0.3">
      <c r="A1476">
        <v>2327</v>
      </c>
      <c r="B1476">
        <v>32</v>
      </c>
      <c r="C1476">
        <v>404</v>
      </c>
      <c r="D1476">
        <v>138</v>
      </c>
      <c r="E1476">
        <v>275</v>
      </c>
      <c r="F1476">
        <v>195</v>
      </c>
      <c r="G1476">
        <v>183</v>
      </c>
      <c r="H1476">
        <v>33</v>
      </c>
      <c r="I1476">
        <v>1162</v>
      </c>
      <c r="J1476">
        <v>2</v>
      </c>
      <c r="K1476">
        <v>5</v>
      </c>
      <c r="L1476">
        <v>2</v>
      </c>
      <c r="M1476">
        <v>7</v>
      </c>
      <c r="N1476">
        <v>5</v>
      </c>
    </row>
    <row r="1477" spans="1:14" hidden="1" x14ac:dyDescent="0.3">
      <c r="A1477">
        <v>2038</v>
      </c>
      <c r="B1477">
        <v>32</v>
      </c>
      <c r="C1477">
        <v>693</v>
      </c>
      <c r="D1477">
        <v>0</v>
      </c>
      <c r="E1477">
        <v>35</v>
      </c>
      <c r="F1477">
        <v>0</v>
      </c>
      <c r="G1477">
        <v>0</v>
      </c>
      <c r="H1477">
        <v>72</v>
      </c>
      <c r="I1477">
        <v>656</v>
      </c>
      <c r="J1477">
        <v>1</v>
      </c>
      <c r="K1477">
        <v>5</v>
      </c>
      <c r="L1477">
        <v>1</v>
      </c>
      <c r="M1477">
        <v>5</v>
      </c>
      <c r="N1477">
        <v>7</v>
      </c>
    </row>
    <row r="1478" spans="1:14" hidden="1" x14ac:dyDescent="0.3">
      <c r="A1478">
        <v>3146</v>
      </c>
      <c r="B1478">
        <v>32</v>
      </c>
      <c r="C1478">
        <v>734</v>
      </c>
      <c r="D1478">
        <v>29</v>
      </c>
      <c r="E1478">
        <v>127</v>
      </c>
      <c r="F1478">
        <v>87</v>
      </c>
      <c r="G1478">
        <v>29</v>
      </c>
      <c r="H1478">
        <v>656</v>
      </c>
      <c r="I1478">
        <v>350</v>
      </c>
      <c r="J1478">
        <v>2</v>
      </c>
      <c r="K1478">
        <v>7</v>
      </c>
      <c r="L1478">
        <v>3</v>
      </c>
      <c r="M1478">
        <v>3</v>
      </c>
      <c r="N1478">
        <v>7</v>
      </c>
    </row>
    <row r="1479" spans="1:14" hidden="1" x14ac:dyDescent="0.3">
      <c r="A1479">
        <v>3052</v>
      </c>
      <c r="B1479">
        <v>32</v>
      </c>
      <c r="C1479">
        <v>860</v>
      </c>
      <c r="D1479">
        <v>18</v>
      </c>
      <c r="E1479">
        <v>68</v>
      </c>
      <c r="F1479">
        <v>38</v>
      </c>
      <c r="G1479">
        <v>18</v>
      </c>
      <c r="H1479">
        <v>270</v>
      </c>
      <c r="I1479">
        <v>731</v>
      </c>
      <c r="J1479">
        <v>4</v>
      </c>
      <c r="K1479">
        <v>6</v>
      </c>
      <c r="L1479">
        <v>2</v>
      </c>
      <c r="M1479">
        <v>5</v>
      </c>
      <c r="N1479">
        <v>8</v>
      </c>
    </row>
    <row r="1480" spans="1:14" hidden="1" x14ac:dyDescent="0.3">
      <c r="A1480">
        <v>1225</v>
      </c>
      <c r="B1480">
        <v>32</v>
      </c>
      <c r="C1480">
        <v>935</v>
      </c>
      <c r="D1480">
        <v>11</v>
      </c>
      <c r="E1480">
        <v>279</v>
      </c>
      <c r="F1480">
        <v>34</v>
      </c>
      <c r="G1480">
        <v>79</v>
      </c>
      <c r="H1480">
        <v>25</v>
      </c>
      <c r="I1480">
        <v>1314</v>
      </c>
      <c r="J1480">
        <v>1</v>
      </c>
      <c r="K1480">
        <v>5</v>
      </c>
      <c r="L1480">
        <v>2</v>
      </c>
      <c r="M1480">
        <v>11</v>
      </c>
      <c r="N1480">
        <v>3</v>
      </c>
    </row>
    <row r="1481" spans="1:14" hidden="1" x14ac:dyDescent="0.3">
      <c r="A1481">
        <v>2716</v>
      </c>
      <c r="B1481">
        <v>32</v>
      </c>
      <c r="C1481">
        <v>1012</v>
      </c>
      <c r="D1481">
        <v>0</v>
      </c>
      <c r="E1481">
        <v>317</v>
      </c>
      <c r="F1481">
        <v>37</v>
      </c>
      <c r="G1481">
        <v>85</v>
      </c>
      <c r="H1481">
        <v>243</v>
      </c>
      <c r="I1481">
        <v>1208</v>
      </c>
      <c r="J1481">
        <v>5</v>
      </c>
      <c r="K1481">
        <v>6</v>
      </c>
      <c r="L1481">
        <v>3</v>
      </c>
      <c r="M1481">
        <v>5</v>
      </c>
      <c r="N1481">
        <v>8</v>
      </c>
    </row>
    <row r="1482" spans="1:14" hidden="1" x14ac:dyDescent="0.3">
      <c r="A1482">
        <v>2885</v>
      </c>
      <c r="B1482">
        <v>32</v>
      </c>
      <c r="C1482">
        <v>1026</v>
      </c>
      <c r="D1482">
        <v>381</v>
      </c>
      <c r="E1482">
        <v>732</v>
      </c>
      <c r="F1482">
        <v>383</v>
      </c>
      <c r="G1482">
        <v>48</v>
      </c>
      <c r="H1482">
        <v>58</v>
      </c>
      <c r="I1482">
        <v>2511</v>
      </c>
      <c r="J1482">
        <v>0</v>
      </c>
      <c r="K1482">
        <v>3</v>
      </c>
      <c r="L1482">
        <v>5</v>
      </c>
      <c r="M1482">
        <v>13</v>
      </c>
      <c r="N1482">
        <v>0</v>
      </c>
    </row>
    <row r="1483" spans="1:14" hidden="1" x14ac:dyDescent="0.3">
      <c r="A1483">
        <v>3008</v>
      </c>
      <c r="B1483">
        <v>32</v>
      </c>
      <c r="C1483">
        <v>1071</v>
      </c>
      <c r="D1483">
        <v>167</v>
      </c>
      <c r="E1483">
        <v>1015</v>
      </c>
      <c r="F1483">
        <v>332</v>
      </c>
      <c r="G1483">
        <v>282</v>
      </c>
      <c r="H1483">
        <v>647</v>
      </c>
      <c r="I1483">
        <v>2220</v>
      </c>
      <c r="J1483">
        <v>4</v>
      </c>
      <c r="K1483">
        <v>11</v>
      </c>
      <c r="L1483">
        <v>6</v>
      </c>
      <c r="M1483">
        <v>8</v>
      </c>
      <c r="N1483">
        <v>7</v>
      </c>
    </row>
    <row r="1484" spans="1:14" hidden="1" x14ac:dyDescent="0.3">
      <c r="A1484">
        <v>2697</v>
      </c>
      <c r="B1484">
        <v>32</v>
      </c>
      <c r="C1484">
        <v>1484</v>
      </c>
      <c r="D1484">
        <v>272</v>
      </c>
      <c r="E1484">
        <v>1798</v>
      </c>
      <c r="F1484">
        <v>253</v>
      </c>
      <c r="G1484">
        <v>156</v>
      </c>
      <c r="H1484">
        <v>234</v>
      </c>
      <c r="I1484">
        <v>3729</v>
      </c>
      <c r="J1484">
        <v>1</v>
      </c>
      <c r="K1484">
        <v>5</v>
      </c>
      <c r="L1484">
        <v>6</v>
      </c>
      <c r="M1484">
        <v>7</v>
      </c>
      <c r="N1484">
        <v>2</v>
      </c>
    </row>
    <row r="1485" spans="1:14" hidden="1" x14ac:dyDescent="0.3">
      <c r="A1485">
        <v>1279</v>
      </c>
      <c r="B1485">
        <v>32</v>
      </c>
      <c r="C1485">
        <v>1719</v>
      </c>
      <c r="D1485">
        <v>285</v>
      </c>
      <c r="E1485">
        <v>1268</v>
      </c>
      <c r="F1485">
        <v>478</v>
      </c>
      <c r="G1485">
        <v>46</v>
      </c>
      <c r="H1485">
        <v>449</v>
      </c>
      <c r="I1485">
        <v>3347</v>
      </c>
      <c r="J1485">
        <v>1</v>
      </c>
      <c r="K1485">
        <v>2</v>
      </c>
      <c r="L1485">
        <v>7</v>
      </c>
      <c r="M1485">
        <v>9</v>
      </c>
      <c r="N1485">
        <v>4</v>
      </c>
    </row>
    <row r="1486" spans="1:14" hidden="1" x14ac:dyDescent="0.3">
      <c r="A1486">
        <v>2056</v>
      </c>
      <c r="B1486">
        <v>32</v>
      </c>
      <c r="C1486">
        <v>2238</v>
      </c>
      <c r="D1486">
        <v>379</v>
      </c>
      <c r="E1486">
        <v>1183</v>
      </c>
      <c r="F1486">
        <v>164</v>
      </c>
      <c r="G1486">
        <v>294</v>
      </c>
      <c r="H1486">
        <v>252</v>
      </c>
      <c r="I1486">
        <v>4008</v>
      </c>
      <c r="J1486">
        <v>1</v>
      </c>
      <c r="K1486">
        <v>4</v>
      </c>
      <c r="L1486">
        <v>7</v>
      </c>
      <c r="M1486">
        <v>9</v>
      </c>
      <c r="N1486">
        <v>1</v>
      </c>
    </row>
    <row r="1487" spans="1:14" hidden="1" x14ac:dyDescent="0.3">
      <c r="A1487">
        <v>2886</v>
      </c>
      <c r="B1487">
        <v>32</v>
      </c>
      <c r="C1487">
        <v>2377</v>
      </c>
      <c r="D1487">
        <v>99</v>
      </c>
      <c r="E1487">
        <v>435</v>
      </c>
      <c r="F1487">
        <v>392</v>
      </c>
      <c r="G1487">
        <v>132</v>
      </c>
      <c r="H1487">
        <v>266</v>
      </c>
      <c r="I1487">
        <v>3170</v>
      </c>
      <c r="J1487">
        <v>2</v>
      </c>
      <c r="K1487">
        <v>7</v>
      </c>
      <c r="L1487">
        <v>8</v>
      </c>
      <c r="M1487">
        <v>5</v>
      </c>
      <c r="N1487">
        <v>5</v>
      </c>
    </row>
    <row r="1488" spans="1:14" hidden="1" x14ac:dyDescent="0.3">
      <c r="A1488">
        <v>1126</v>
      </c>
      <c r="B1488">
        <v>31</v>
      </c>
      <c r="C1488">
        <v>0</v>
      </c>
      <c r="D1488">
        <v>11</v>
      </c>
      <c r="E1488">
        <v>34</v>
      </c>
      <c r="F1488">
        <v>115</v>
      </c>
      <c r="G1488">
        <v>69</v>
      </c>
      <c r="H1488">
        <v>103</v>
      </c>
      <c r="I1488">
        <v>126</v>
      </c>
      <c r="J1488">
        <v>2</v>
      </c>
      <c r="K1488">
        <v>1</v>
      </c>
      <c r="L1488">
        <v>0</v>
      </c>
      <c r="M1488">
        <v>3</v>
      </c>
      <c r="N1488">
        <v>8</v>
      </c>
    </row>
    <row r="1489" spans="1:14" hidden="1" x14ac:dyDescent="0.3">
      <c r="A1489">
        <v>1601</v>
      </c>
      <c r="B1489">
        <v>31</v>
      </c>
      <c r="C1489">
        <v>14</v>
      </c>
      <c r="D1489">
        <v>17</v>
      </c>
      <c r="E1489">
        <v>28</v>
      </c>
      <c r="F1489">
        <v>17</v>
      </c>
      <c r="G1489">
        <v>14</v>
      </c>
      <c r="H1489">
        <v>28</v>
      </c>
      <c r="I1489">
        <v>63</v>
      </c>
      <c r="J1489">
        <v>1</v>
      </c>
      <c r="K1489">
        <v>1</v>
      </c>
      <c r="L1489">
        <v>0</v>
      </c>
      <c r="M1489">
        <v>3</v>
      </c>
      <c r="N1489">
        <v>4</v>
      </c>
    </row>
    <row r="1490" spans="1:14" hidden="1" x14ac:dyDescent="0.3">
      <c r="A1490">
        <v>2556</v>
      </c>
      <c r="B1490">
        <v>31</v>
      </c>
      <c r="C1490">
        <v>31</v>
      </c>
      <c r="D1490">
        <v>4</v>
      </c>
      <c r="E1490">
        <v>19</v>
      </c>
      <c r="F1490">
        <v>0</v>
      </c>
      <c r="G1490">
        <v>0</v>
      </c>
      <c r="H1490">
        <v>4</v>
      </c>
      <c r="I1490">
        <v>51</v>
      </c>
      <c r="J1490">
        <v>1</v>
      </c>
      <c r="K1490">
        <v>1</v>
      </c>
      <c r="L1490">
        <v>0</v>
      </c>
      <c r="M1490">
        <v>2</v>
      </c>
      <c r="N1490">
        <v>6</v>
      </c>
    </row>
    <row r="1491" spans="1:14" hidden="1" x14ac:dyDescent="0.3">
      <c r="A1491">
        <v>1250</v>
      </c>
      <c r="B1491">
        <v>31</v>
      </c>
      <c r="C1491">
        <v>33</v>
      </c>
      <c r="D1491">
        <v>0</v>
      </c>
      <c r="E1491">
        <v>22</v>
      </c>
      <c r="F1491">
        <v>15</v>
      </c>
      <c r="G1491">
        <v>4</v>
      </c>
      <c r="H1491">
        <v>18</v>
      </c>
      <c r="I1491">
        <v>55</v>
      </c>
      <c r="J1491">
        <v>1</v>
      </c>
      <c r="K1491">
        <v>1</v>
      </c>
      <c r="L1491">
        <v>0</v>
      </c>
      <c r="M1491">
        <v>2</v>
      </c>
      <c r="N1491">
        <v>9</v>
      </c>
    </row>
    <row r="1492" spans="1:14" hidden="1" x14ac:dyDescent="0.3">
      <c r="A1492">
        <v>1347</v>
      </c>
      <c r="B1492">
        <v>31</v>
      </c>
      <c r="C1492">
        <v>33</v>
      </c>
      <c r="D1492">
        <v>0</v>
      </c>
      <c r="E1492">
        <v>22</v>
      </c>
      <c r="F1492">
        <v>15</v>
      </c>
      <c r="G1492">
        <v>4</v>
      </c>
      <c r="H1492">
        <v>18</v>
      </c>
      <c r="I1492">
        <v>55</v>
      </c>
      <c r="J1492">
        <v>1</v>
      </c>
      <c r="K1492">
        <v>1</v>
      </c>
      <c r="L1492">
        <v>0</v>
      </c>
      <c r="M1492">
        <v>2</v>
      </c>
      <c r="N1492">
        <v>9</v>
      </c>
    </row>
    <row r="1493" spans="1:14" hidden="1" x14ac:dyDescent="0.3">
      <c r="A1493">
        <v>1232</v>
      </c>
      <c r="B1493">
        <v>31</v>
      </c>
      <c r="C1493">
        <v>46</v>
      </c>
      <c r="D1493">
        <v>0</v>
      </c>
      <c r="E1493">
        <v>21</v>
      </c>
      <c r="F1493">
        <v>0</v>
      </c>
      <c r="G1493">
        <v>0</v>
      </c>
      <c r="H1493">
        <v>4</v>
      </c>
      <c r="I1493">
        <v>62</v>
      </c>
      <c r="J1493">
        <v>2</v>
      </c>
      <c r="K1493">
        <v>1</v>
      </c>
      <c r="L1493">
        <v>0</v>
      </c>
      <c r="M1493">
        <v>3</v>
      </c>
      <c r="N1493">
        <v>6</v>
      </c>
    </row>
    <row r="1494" spans="1:14" hidden="1" x14ac:dyDescent="0.3">
      <c r="A1494">
        <v>1054</v>
      </c>
      <c r="B1494">
        <v>31</v>
      </c>
      <c r="C1494">
        <v>60</v>
      </c>
      <c r="D1494">
        <v>0</v>
      </c>
      <c r="E1494">
        <v>37</v>
      </c>
      <c r="F1494">
        <v>9</v>
      </c>
      <c r="G1494">
        <v>5</v>
      </c>
      <c r="H1494">
        <v>23</v>
      </c>
      <c r="I1494">
        <v>87</v>
      </c>
      <c r="J1494">
        <v>1</v>
      </c>
      <c r="K1494">
        <v>1</v>
      </c>
      <c r="L1494">
        <v>0</v>
      </c>
      <c r="M1494">
        <v>4</v>
      </c>
      <c r="N1494">
        <v>3</v>
      </c>
    </row>
    <row r="1495" spans="1:14" hidden="1" x14ac:dyDescent="0.3">
      <c r="A1495">
        <v>2993</v>
      </c>
      <c r="B1495">
        <v>31</v>
      </c>
      <c r="C1495">
        <v>93</v>
      </c>
      <c r="D1495">
        <v>0</v>
      </c>
      <c r="E1495">
        <v>11</v>
      </c>
      <c r="F1495">
        <v>0</v>
      </c>
      <c r="G1495">
        <v>0</v>
      </c>
      <c r="H1495">
        <v>11</v>
      </c>
      <c r="I1495">
        <v>93</v>
      </c>
      <c r="J1495">
        <v>2</v>
      </c>
      <c r="K1495">
        <v>1</v>
      </c>
      <c r="L1495">
        <v>0</v>
      </c>
      <c r="M1495">
        <v>3</v>
      </c>
      <c r="N1495">
        <v>6</v>
      </c>
    </row>
    <row r="1496" spans="1:14" hidden="1" x14ac:dyDescent="0.3">
      <c r="A1496">
        <v>2127</v>
      </c>
      <c r="B1496">
        <v>31</v>
      </c>
      <c r="C1496">
        <v>155</v>
      </c>
      <c r="D1496">
        <v>24</v>
      </c>
      <c r="E1496">
        <v>199</v>
      </c>
      <c r="F1496">
        <v>7</v>
      </c>
      <c r="G1496">
        <v>13</v>
      </c>
      <c r="H1496">
        <v>91</v>
      </c>
      <c r="I1496">
        <v>307</v>
      </c>
      <c r="J1496">
        <v>2</v>
      </c>
      <c r="K1496">
        <v>3</v>
      </c>
      <c r="L1496">
        <v>1</v>
      </c>
      <c r="M1496">
        <v>3</v>
      </c>
      <c r="N1496">
        <v>6</v>
      </c>
    </row>
    <row r="1497" spans="1:14" hidden="1" x14ac:dyDescent="0.3">
      <c r="A1497">
        <v>3061</v>
      </c>
      <c r="B1497">
        <v>31</v>
      </c>
      <c r="C1497">
        <v>291</v>
      </c>
      <c r="D1497">
        <v>58</v>
      </c>
      <c r="E1497">
        <v>298</v>
      </c>
      <c r="F1497">
        <v>58</v>
      </c>
      <c r="G1497">
        <v>36</v>
      </c>
      <c r="H1497">
        <v>101</v>
      </c>
      <c r="I1497">
        <v>639</v>
      </c>
      <c r="J1497">
        <v>1</v>
      </c>
      <c r="K1497">
        <v>4</v>
      </c>
      <c r="L1497">
        <v>1</v>
      </c>
      <c r="M1497">
        <v>7</v>
      </c>
      <c r="N1497">
        <v>2</v>
      </c>
    </row>
    <row r="1498" spans="1:14" hidden="1" x14ac:dyDescent="0.3">
      <c r="A1498">
        <v>1031</v>
      </c>
      <c r="B1498">
        <v>31</v>
      </c>
      <c r="C1498">
        <v>381</v>
      </c>
      <c r="D1498">
        <v>0</v>
      </c>
      <c r="E1498">
        <v>17</v>
      </c>
      <c r="F1498">
        <v>7</v>
      </c>
      <c r="G1498">
        <v>0</v>
      </c>
      <c r="H1498">
        <v>10</v>
      </c>
      <c r="I1498">
        <v>395</v>
      </c>
      <c r="J1498">
        <v>2</v>
      </c>
      <c r="K1498">
        <v>2</v>
      </c>
      <c r="L1498">
        <v>1</v>
      </c>
      <c r="M1498">
        <v>4</v>
      </c>
      <c r="N1498">
        <v>5</v>
      </c>
    </row>
    <row r="1499" spans="1:14" hidden="1" x14ac:dyDescent="0.3">
      <c r="A1499">
        <v>3178</v>
      </c>
      <c r="B1499">
        <v>31</v>
      </c>
      <c r="C1499">
        <v>1025</v>
      </c>
      <c r="D1499">
        <v>98</v>
      </c>
      <c r="E1499">
        <v>445</v>
      </c>
      <c r="F1499">
        <v>109</v>
      </c>
      <c r="G1499">
        <v>0</v>
      </c>
      <c r="H1499">
        <v>92</v>
      </c>
      <c r="I1499">
        <v>1585</v>
      </c>
      <c r="J1499">
        <v>6</v>
      </c>
      <c r="K1499">
        <v>8</v>
      </c>
      <c r="L1499">
        <v>1</v>
      </c>
      <c r="M1499">
        <v>7</v>
      </c>
      <c r="N1499">
        <v>8</v>
      </c>
    </row>
    <row r="1500" spans="1:14" hidden="1" x14ac:dyDescent="0.3">
      <c r="A1500">
        <v>1930</v>
      </c>
      <c r="B1500">
        <v>31</v>
      </c>
      <c r="C1500">
        <v>1758</v>
      </c>
      <c r="D1500">
        <v>69</v>
      </c>
      <c r="E1500">
        <v>351</v>
      </c>
      <c r="F1500">
        <v>121</v>
      </c>
      <c r="G1500">
        <v>45</v>
      </c>
      <c r="H1500">
        <v>116</v>
      </c>
      <c r="I1500">
        <v>2228</v>
      </c>
      <c r="J1500">
        <v>2</v>
      </c>
      <c r="K1500">
        <v>3</v>
      </c>
      <c r="L1500">
        <v>2</v>
      </c>
      <c r="M1500">
        <v>9</v>
      </c>
      <c r="N1500">
        <v>8</v>
      </c>
    </row>
    <row r="1501" spans="1:14" hidden="1" x14ac:dyDescent="0.3">
      <c r="A1501">
        <v>1257</v>
      </c>
      <c r="B1501">
        <v>31</v>
      </c>
      <c r="C1501">
        <v>1901</v>
      </c>
      <c r="D1501">
        <v>108</v>
      </c>
      <c r="E1501">
        <v>1219</v>
      </c>
      <c r="F1501">
        <v>232</v>
      </c>
      <c r="G1501">
        <v>178</v>
      </c>
      <c r="H1501">
        <v>357</v>
      </c>
      <c r="I1501">
        <v>3282</v>
      </c>
      <c r="J1501">
        <v>2</v>
      </c>
      <c r="K1501">
        <v>3</v>
      </c>
      <c r="L1501">
        <v>4</v>
      </c>
      <c r="M1501">
        <v>5</v>
      </c>
      <c r="N1501">
        <v>7</v>
      </c>
    </row>
    <row r="1502" spans="1:14" hidden="1" x14ac:dyDescent="0.3">
      <c r="A1502">
        <v>2685</v>
      </c>
      <c r="B1502">
        <v>31</v>
      </c>
      <c r="C1502">
        <v>2329</v>
      </c>
      <c r="D1502">
        <v>134</v>
      </c>
      <c r="E1502">
        <v>1835</v>
      </c>
      <c r="F1502">
        <v>176</v>
      </c>
      <c r="G1502">
        <v>44</v>
      </c>
      <c r="H1502">
        <v>222</v>
      </c>
      <c r="I1502">
        <v>4296</v>
      </c>
      <c r="J1502">
        <v>1</v>
      </c>
      <c r="K1502">
        <v>4</v>
      </c>
      <c r="L1502">
        <v>7</v>
      </c>
      <c r="M1502">
        <v>10</v>
      </c>
      <c r="N1502">
        <v>1</v>
      </c>
    </row>
    <row r="1503" spans="1:14" hidden="1" x14ac:dyDescent="0.3">
      <c r="A1503">
        <v>3080</v>
      </c>
      <c r="B1503">
        <v>31</v>
      </c>
      <c r="C1503">
        <v>2347</v>
      </c>
      <c r="D1503">
        <v>55</v>
      </c>
      <c r="E1503">
        <v>429</v>
      </c>
      <c r="F1503">
        <v>35</v>
      </c>
      <c r="G1503">
        <v>26</v>
      </c>
      <c r="H1503">
        <v>400</v>
      </c>
      <c r="I1503">
        <v>2493</v>
      </c>
      <c r="J1503">
        <v>1</v>
      </c>
      <c r="K1503">
        <v>7</v>
      </c>
      <c r="L1503">
        <v>3</v>
      </c>
      <c r="M1503">
        <v>13</v>
      </c>
      <c r="N1503">
        <v>6</v>
      </c>
    </row>
    <row r="1504" spans="1:14" hidden="1" x14ac:dyDescent="0.3">
      <c r="A1504">
        <v>2989</v>
      </c>
      <c r="B1504">
        <v>31</v>
      </c>
      <c r="C1504">
        <v>2452</v>
      </c>
      <c r="D1504">
        <v>276</v>
      </c>
      <c r="E1504">
        <v>1028</v>
      </c>
      <c r="F1504">
        <v>104</v>
      </c>
      <c r="G1504">
        <v>118</v>
      </c>
      <c r="H1504">
        <v>101</v>
      </c>
      <c r="I1504">
        <v>3877</v>
      </c>
      <c r="J1504">
        <v>1</v>
      </c>
      <c r="K1504">
        <v>2</v>
      </c>
      <c r="L1504">
        <v>9</v>
      </c>
      <c r="M1504">
        <v>13</v>
      </c>
      <c r="N1504">
        <v>5</v>
      </c>
    </row>
    <row r="1505" spans="1:14" hidden="1" x14ac:dyDescent="0.3">
      <c r="A1505">
        <v>1087</v>
      </c>
      <c r="B1505">
        <v>30</v>
      </c>
      <c r="C1505">
        <v>22</v>
      </c>
      <c r="D1505">
        <v>13</v>
      </c>
      <c r="E1505">
        <v>48</v>
      </c>
      <c r="F1505">
        <v>52</v>
      </c>
      <c r="G1505">
        <v>22</v>
      </c>
      <c r="H1505">
        <v>39</v>
      </c>
      <c r="I1505">
        <v>117</v>
      </c>
      <c r="J1505">
        <v>1</v>
      </c>
      <c r="K1505">
        <v>2</v>
      </c>
      <c r="L1505">
        <v>0</v>
      </c>
      <c r="M1505">
        <v>3</v>
      </c>
      <c r="N1505">
        <v>6</v>
      </c>
    </row>
    <row r="1506" spans="1:14" hidden="1" x14ac:dyDescent="0.3">
      <c r="A1506">
        <v>1405</v>
      </c>
      <c r="B1506">
        <v>30</v>
      </c>
      <c r="C1506">
        <v>22</v>
      </c>
      <c r="D1506">
        <v>13</v>
      </c>
      <c r="E1506">
        <v>48</v>
      </c>
      <c r="F1506">
        <v>52</v>
      </c>
      <c r="G1506">
        <v>22</v>
      </c>
      <c r="H1506">
        <v>39</v>
      </c>
      <c r="I1506">
        <v>117</v>
      </c>
      <c r="J1506">
        <v>1</v>
      </c>
      <c r="K1506">
        <v>2</v>
      </c>
      <c r="L1506">
        <v>0</v>
      </c>
      <c r="M1506">
        <v>3</v>
      </c>
      <c r="N1506">
        <v>6</v>
      </c>
    </row>
    <row r="1507" spans="1:14" hidden="1" x14ac:dyDescent="0.3">
      <c r="A1507">
        <v>2369</v>
      </c>
      <c r="B1507">
        <v>30</v>
      </c>
      <c r="C1507">
        <v>27</v>
      </c>
      <c r="D1507">
        <v>14</v>
      </c>
      <c r="E1507">
        <v>41</v>
      </c>
      <c r="F1507">
        <v>51</v>
      </c>
      <c r="G1507">
        <v>14</v>
      </c>
      <c r="H1507">
        <v>99</v>
      </c>
      <c r="I1507">
        <v>48</v>
      </c>
      <c r="J1507">
        <v>2</v>
      </c>
      <c r="K1507">
        <v>1</v>
      </c>
      <c r="L1507">
        <v>1</v>
      </c>
      <c r="M1507">
        <v>2</v>
      </c>
      <c r="N1507">
        <v>4</v>
      </c>
    </row>
    <row r="1508" spans="1:14" hidden="1" x14ac:dyDescent="0.3">
      <c r="A1508">
        <v>2804</v>
      </c>
      <c r="B1508">
        <v>30</v>
      </c>
      <c r="C1508">
        <v>87</v>
      </c>
      <c r="D1508">
        <v>76</v>
      </c>
      <c r="E1508">
        <v>195</v>
      </c>
      <c r="F1508">
        <v>200</v>
      </c>
      <c r="G1508">
        <v>119</v>
      </c>
      <c r="H1508">
        <v>260</v>
      </c>
      <c r="I1508">
        <v>417</v>
      </c>
      <c r="J1508">
        <v>3</v>
      </c>
      <c r="K1508">
        <v>4</v>
      </c>
      <c r="L1508">
        <v>1</v>
      </c>
      <c r="M1508">
        <v>2</v>
      </c>
      <c r="N1508">
        <v>9</v>
      </c>
    </row>
    <row r="1509" spans="1:14" hidden="1" x14ac:dyDescent="0.3">
      <c r="A1509">
        <v>1858</v>
      </c>
      <c r="B1509">
        <v>30</v>
      </c>
      <c r="C1509">
        <v>102</v>
      </c>
      <c r="D1509">
        <v>42</v>
      </c>
      <c r="E1509">
        <v>207</v>
      </c>
      <c r="F1509">
        <v>67</v>
      </c>
      <c r="G1509">
        <v>4</v>
      </c>
      <c r="H1509">
        <v>126</v>
      </c>
      <c r="I1509">
        <v>294</v>
      </c>
      <c r="J1509">
        <v>2</v>
      </c>
      <c r="K1509">
        <v>3</v>
      </c>
      <c r="L1509">
        <v>0</v>
      </c>
      <c r="M1509">
        <v>4</v>
      </c>
      <c r="N1509">
        <v>8</v>
      </c>
    </row>
    <row r="1510" spans="1:14" hidden="1" x14ac:dyDescent="0.3">
      <c r="A1510">
        <v>2415</v>
      </c>
      <c r="B1510">
        <v>30</v>
      </c>
      <c r="C1510">
        <v>102</v>
      </c>
      <c r="D1510">
        <v>42</v>
      </c>
      <c r="E1510">
        <v>207</v>
      </c>
      <c r="F1510">
        <v>67</v>
      </c>
      <c r="G1510">
        <v>4</v>
      </c>
      <c r="H1510">
        <v>126</v>
      </c>
      <c r="I1510">
        <v>294</v>
      </c>
      <c r="J1510">
        <v>2</v>
      </c>
      <c r="K1510">
        <v>3</v>
      </c>
      <c r="L1510">
        <v>0</v>
      </c>
      <c r="M1510">
        <v>4</v>
      </c>
      <c r="N1510">
        <v>8</v>
      </c>
    </row>
    <row r="1511" spans="1:14" hidden="1" x14ac:dyDescent="0.3">
      <c r="A1511">
        <v>2536</v>
      </c>
      <c r="B1511">
        <v>30</v>
      </c>
      <c r="C1511">
        <v>102</v>
      </c>
      <c r="D1511">
        <v>42</v>
      </c>
      <c r="E1511">
        <v>207</v>
      </c>
      <c r="F1511">
        <v>67</v>
      </c>
      <c r="G1511">
        <v>4</v>
      </c>
      <c r="H1511">
        <v>126</v>
      </c>
      <c r="I1511">
        <v>294</v>
      </c>
      <c r="J1511">
        <v>2</v>
      </c>
      <c r="K1511">
        <v>3</v>
      </c>
      <c r="L1511">
        <v>0</v>
      </c>
      <c r="M1511">
        <v>4</v>
      </c>
      <c r="N1511">
        <v>8</v>
      </c>
    </row>
    <row r="1512" spans="1:14" hidden="1" x14ac:dyDescent="0.3">
      <c r="A1512">
        <v>1252</v>
      </c>
      <c r="B1512">
        <v>30</v>
      </c>
      <c r="C1512">
        <v>138</v>
      </c>
      <c r="D1512">
        <v>14</v>
      </c>
      <c r="E1512">
        <v>80</v>
      </c>
      <c r="F1512">
        <v>14</v>
      </c>
      <c r="G1512">
        <v>7</v>
      </c>
      <c r="H1512">
        <v>72</v>
      </c>
      <c r="I1512">
        <v>181</v>
      </c>
      <c r="J1512">
        <v>4</v>
      </c>
      <c r="K1512">
        <v>3</v>
      </c>
      <c r="L1512">
        <v>1</v>
      </c>
      <c r="M1512">
        <v>3</v>
      </c>
      <c r="N1512">
        <v>7</v>
      </c>
    </row>
    <row r="1513" spans="1:14" hidden="1" x14ac:dyDescent="0.3">
      <c r="A1513">
        <v>2540</v>
      </c>
      <c r="B1513">
        <v>30</v>
      </c>
      <c r="C1513">
        <v>150</v>
      </c>
      <c r="D1513">
        <v>0</v>
      </c>
      <c r="E1513">
        <v>130</v>
      </c>
      <c r="F1513">
        <v>10</v>
      </c>
      <c r="G1513">
        <v>0</v>
      </c>
      <c r="H1513">
        <v>10</v>
      </c>
      <c r="I1513">
        <v>280</v>
      </c>
      <c r="J1513">
        <v>2</v>
      </c>
      <c r="K1513">
        <v>3</v>
      </c>
      <c r="L1513">
        <v>0</v>
      </c>
      <c r="M1513">
        <v>3</v>
      </c>
      <c r="N1513">
        <v>8</v>
      </c>
    </row>
    <row r="1514" spans="1:14" hidden="1" x14ac:dyDescent="0.3">
      <c r="A1514">
        <v>2805</v>
      </c>
      <c r="B1514">
        <v>30</v>
      </c>
      <c r="C1514">
        <v>164</v>
      </c>
      <c r="D1514">
        <v>18</v>
      </c>
      <c r="E1514">
        <v>106</v>
      </c>
      <c r="F1514">
        <v>71</v>
      </c>
      <c r="G1514">
        <v>40</v>
      </c>
      <c r="H1514">
        <v>40</v>
      </c>
      <c r="I1514">
        <v>358</v>
      </c>
      <c r="J1514">
        <v>2</v>
      </c>
      <c r="K1514">
        <v>4</v>
      </c>
      <c r="L1514">
        <v>0</v>
      </c>
      <c r="M1514">
        <v>3</v>
      </c>
      <c r="N1514">
        <v>9</v>
      </c>
    </row>
    <row r="1515" spans="1:14" hidden="1" x14ac:dyDescent="0.3">
      <c r="A1515">
        <v>2204</v>
      </c>
      <c r="B1515">
        <v>30</v>
      </c>
      <c r="C1515">
        <v>178</v>
      </c>
      <c r="D1515">
        <v>3</v>
      </c>
      <c r="E1515">
        <v>24</v>
      </c>
      <c r="F1515">
        <v>7</v>
      </c>
      <c r="G1515">
        <v>3</v>
      </c>
      <c r="H1515">
        <v>87</v>
      </c>
      <c r="I1515">
        <v>129</v>
      </c>
      <c r="J1515">
        <v>2</v>
      </c>
      <c r="K1515">
        <v>2</v>
      </c>
      <c r="L1515">
        <v>1</v>
      </c>
      <c r="M1515">
        <v>2</v>
      </c>
      <c r="N1515">
        <v>8</v>
      </c>
    </row>
    <row r="1516" spans="1:14" hidden="1" x14ac:dyDescent="0.3">
      <c r="A1516">
        <v>1303</v>
      </c>
      <c r="B1516">
        <v>30</v>
      </c>
      <c r="C1516">
        <v>228</v>
      </c>
      <c r="D1516">
        <v>160</v>
      </c>
      <c r="E1516">
        <v>320</v>
      </c>
      <c r="F1516">
        <v>163</v>
      </c>
      <c r="G1516">
        <v>8</v>
      </c>
      <c r="H1516">
        <v>125</v>
      </c>
      <c r="I1516">
        <v>754</v>
      </c>
      <c r="J1516">
        <v>2</v>
      </c>
      <c r="K1516">
        <v>4</v>
      </c>
      <c r="L1516">
        <v>3</v>
      </c>
      <c r="M1516">
        <v>6</v>
      </c>
      <c r="N1516">
        <v>3</v>
      </c>
    </row>
    <row r="1517" spans="1:14" hidden="1" x14ac:dyDescent="0.3">
      <c r="A1517">
        <v>3116</v>
      </c>
      <c r="B1517">
        <v>30</v>
      </c>
      <c r="C1517">
        <v>363</v>
      </c>
      <c r="D1517">
        <v>28</v>
      </c>
      <c r="E1517">
        <v>293</v>
      </c>
      <c r="F1517">
        <v>39</v>
      </c>
      <c r="G1517">
        <v>36</v>
      </c>
      <c r="H1517">
        <v>13</v>
      </c>
      <c r="I1517">
        <v>747</v>
      </c>
      <c r="J1517">
        <v>4</v>
      </c>
      <c r="K1517">
        <v>4</v>
      </c>
      <c r="L1517">
        <v>1</v>
      </c>
      <c r="M1517">
        <v>7</v>
      </c>
      <c r="N1517">
        <v>5</v>
      </c>
    </row>
    <row r="1518" spans="1:14" hidden="1" x14ac:dyDescent="0.3">
      <c r="A1518">
        <v>2744</v>
      </c>
      <c r="B1518">
        <v>30</v>
      </c>
      <c r="C1518">
        <v>380</v>
      </c>
      <c r="D1518">
        <v>3</v>
      </c>
      <c r="E1518">
        <v>80</v>
      </c>
      <c r="F1518">
        <v>6</v>
      </c>
      <c r="G1518">
        <v>0</v>
      </c>
      <c r="H1518">
        <v>223</v>
      </c>
      <c r="I1518">
        <v>247</v>
      </c>
      <c r="J1518">
        <v>2</v>
      </c>
      <c r="K1518">
        <v>3</v>
      </c>
      <c r="L1518">
        <v>2</v>
      </c>
      <c r="M1518">
        <v>3</v>
      </c>
      <c r="N1518">
        <v>7</v>
      </c>
    </row>
    <row r="1519" spans="1:14" hidden="1" x14ac:dyDescent="0.3">
      <c r="A1519">
        <v>2342</v>
      </c>
      <c r="B1519">
        <v>30</v>
      </c>
      <c r="C1519">
        <v>462</v>
      </c>
      <c r="D1519">
        <v>43</v>
      </c>
      <c r="E1519">
        <v>566</v>
      </c>
      <c r="F1519">
        <v>43</v>
      </c>
      <c r="G1519">
        <v>32</v>
      </c>
      <c r="H1519">
        <v>144</v>
      </c>
      <c r="I1519">
        <v>1001</v>
      </c>
      <c r="J1519">
        <v>8</v>
      </c>
      <c r="K1519">
        <v>6</v>
      </c>
      <c r="L1519">
        <v>1</v>
      </c>
      <c r="M1519">
        <v>7</v>
      </c>
      <c r="N1519">
        <v>8</v>
      </c>
    </row>
    <row r="1520" spans="1:14" hidden="1" x14ac:dyDescent="0.3">
      <c r="A1520">
        <v>1265</v>
      </c>
      <c r="B1520">
        <v>30</v>
      </c>
      <c r="C1520">
        <v>477</v>
      </c>
      <c r="D1520">
        <v>0</v>
      </c>
      <c r="E1520">
        <v>1245</v>
      </c>
      <c r="F1520">
        <v>80</v>
      </c>
      <c r="G1520">
        <v>316</v>
      </c>
      <c r="H1520">
        <v>131</v>
      </c>
      <c r="I1520">
        <v>1986</v>
      </c>
      <c r="J1520">
        <v>1</v>
      </c>
      <c r="K1520">
        <v>3</v>
      </c>
      <c r="L1520">
        <v>5</v>
      </c>
      <c r="M1520">
        <v>8</v>
      </c>
      <c r="N1520">
        <v>1</v>
      </c>
    </row>
    <row r="1521" spans="1:14" hidden="1" x14ac:dyDescent="0.3">
      <c r="A1521">
        <v>1899</v>
      </c>
      <c r="B1521">
        <v>30</v>
      </c>
      <c r="C1521">
        <v>522</v>
      </c>
      <c r="D1521">
        <v>97</v>
      </c>
      <c r="E1521">
        <v>187</v>
      </c>
      <c r="F1521">
        <v>100</v>
      </c>
      <c r="G1521">
        <v>107</v>
      </c>
      <c r="H1521">
        <v>157</v>
      </c>
      <c r="I1521">
        <v>857</v>
      </c>
      <c r="J1521">
        <v>2</v>
      </c>
      <c r="K1521">
        <v>3</v>
      </c>
      <c r="L1521">
        <v>2</v>
      </c>
      <c r="M1521">
        <v>7</v>
      </c>
      <c r="N1521">
        <v>3</v>
      </c>
    </row>
    <row r="1522" spans="1:14" hidden="1" x14ac:dyDescent="0.3">
      <c r="A1522">
        <v>3104</v>
      </c>
      <c r="B1522">
        <v>30</v>
      </c>
      <c r="C1522">
        <v>533</v>
      </c>
      <c r="D1522">
        <v>0</v>
      </c>
      <c r="E1522">
        <v>173</v>
      </c>
      <c r="F1522">
        <v>21</v>
      </c>
      <c r="G1522">
        <v>38</v>
      </c>
      <c r="H1522">
        <v>128</v>
      </c>
      <c r="I1522">
        <v>637</v>
      </c>
      <c r="J1522">
        <v>5</v>
      </c>
      <c r="K1522">
        <v>3</v>
      </c>
      <c r="L1522">
        <v>4</v>
      </c>
      <c r="M1522">
        <v>3</v>
      </c>
      <c r="N1522">
        <v>6</v>
      </c>
    </row>
    <row r="1523" spans="1:14" hidden="1" x14ac:dyDescent="0.3">
      <c r="A1523">
        <v>3121</v>
      </c>
      <c r="B1523">
        <v>30</v>
      </c>
      <c r="C1523">
        <v>533</v>
      </c>
      <c r="D1523">
        <v>0</v>
      </c>
      <c r="E1523">
        <v>173</v>
      </c>
      <c r="F1523">
        <v>21</v>
      </c>
      <c r="G1523">
        <v>38</v>
      </c>
      <c r="H1523">
        <v>128</v>
      </c>
      <c r="I1523">
        <v>637</v>
      </c>
      <c r="J1523">
        <v>5</v>
      </c>
      <c r="K1523">
        <v>3</v>
      </c>
      <c r="L1523">
        <v>4</v>
      </c>
      <c r="M1523">
        <v>3</v>
      </c>
      <c r="N1523">
        <v>6</v>
      </c>
    </row>
    <row r="1524" spans="1:14" hidden="1" x14ac:dyDescent="0.3">
      <c r="A1524">
        <v>1728</v>
      </c>
      <c r="B1524">
        <v>30</v>
      </c>
      <c r="C1524">
        <v>681</v>
      </c>
      <c r="D1524">
        <v>41</v>
      </c>
      <c r="E1524">
        <v>895</v>
      </c>
      <c r="F1524">
        <v>332</v>
      </c>
      <c r="G1524">
        <v>255</v>
      </c>
      <c r="H1524">
        <v>106</v>
      </c>
      <c r="I1524">
        <v>2097</v>
      </c>
      <c r="J1524">
        <v>1</v>
      </c>
      <c r="K1524">
        <v>3</v>
      </c>
      <c r="L1524">
        <v>8</v>
      </c>
      <c r="M1524">
        <v>12</v>
      </c>
      <c r="N1524">
        <v>1</v>
      </c>
    </row>
    <row r="1525" spans="1:14" hidden="1" x14ac:dyDescent="0.3">
      <c r="A1525">
        <v>1467</v>
      </c>
      <c r="B1525">
        <v>30</v>
      </c>
      <c r="C1525">
        <v>708</v>
      </c>
      <c r="D1525">
        <v>7</v>
      </c>
      <c r="E1525">
        <v>146</v>
      </c>
      <c r="F1525">
        <v>0</v>
      </c>
      <c r="G1525">
        <v>7</v>
      </c>
      <c r="H1525">
        <v>17</v>
      </c>
      <c r="I1525">
        <v>851</v>
      </c>
      <c r="J1525">
        <v>4</v>
      </c>
      <c r="K1525">
        <v>4</v>
      </c>
      <c r="L1525">
        <v>2</v>
      </c>
      <c r="M1525">
        <v>5</v>
      </c>
      <c r="N1525">
        <v>5</v>
      </c>
    </row>
    <row r="1526" spans="1:14" hidden="1" x14ac:dyDescent="0.3">
      <c r="A1526">
        <v>1053</v>
      </c>
      <c r="B1526">
        <v>30</v>
      </c>
      <c r="C1526">
        <v>715</v>
      </c>
      <c r="D1526">
        <v>85</v>
      </c>
      <c r="E1526">
        <v>1168</v>
      </c>
      <c r="F1526">
        <v>293</v>
      </c>
      <c r="G1526">
        <v>291</v>
      </c>
      <c r="H1526">
        <v>97</v>
      </c>
      <c r="I1526">
        <v>2454</v>
      </c>
      <c r="J1526">
        <v>1</v>
      </c>
      <c r="K1526">
        <v>5</v>
      </c>
      <c r="L1526">
        <v>5</v>
      </c>
      <c r="M1526">
        <v>10</v>
      </c>
      <c r="N1526">
        <v>3</v>
      </c>
    </row>
    <row r="1527" spans="1:14" hidden="1" x14ac:dyDescent="0.3">
      <c r="A1527">
        <v>1770</v>
      </c>
      <c r="B1527">
        <v>30</v>
      </c>
      <c r="C1527">
        <v>791</v>
      </c>
      <c r="D1527">
        <v>93</v>
      </c>
      <c r="E1527">
        <v>245</v>
      </c>
      <c r="F1527">
        <v>45</v>
      </c>
      <c r="G1527">
        <v>10</v>
      </c>
      <c r="H1527">
        <v>117</v>
      </c>
      <c r="I1527">
        <v>1067</v>
      </c>
      <c r="J1527">
        <v>4</v>
      </c>
      <c r="K1527">
        <v>7</v>
      </c>
      <c r="L1527">
        <v>1</v>
      </c>
      <c r="M1527">
        <v>5</v>
      </c>
      <c r="N1527">
        <v>9</v>
      </c>
    </row>
    <row r="1528" spans="1:14" hidden="1" x14ac:dyDescent="0.3">
      <c r="A1528">
        <v>1218</v>
      </c>
      <c r="B1528">
        <v>30</v>
      </c>
      <c r="C1528">
        <v>854</v>
      </c>
      <c r="D1528">
        <v>26</v>
      </c>
      <c r="E1528">
        <v>507</v>
      </c>
      <c r="F1528">
        <v>15</v>
      </c>
      <c r="G1528">
        <v>55</v>
      </c>
      <c r="H1528">
        <v>144</v>
      </c>
      <c r="I1528">
        <v>1313</v>
      </c>
      <c r="J1528">
        <v>9</v>
      </c>
      <c r="K1528">
        <v>5</v>
      </c>
      <c r="L1528">
        <v>1</v>
      </c>
      <c r="M1528">
        <v>8</v>
      </c>
      <c r="N1528">
        <v>7</v>
      </c>
    </row>
    <row r="1529" spans="1:14" hidden="1" x14ac:dyDescent="0.3">
      <c r="A1529">
        <v>2778</v>
      </c>
      <c r="B1529">
        <v>30</v>
      </c>
      <c r="C1529">
        <v>854</v>
      </c>
      <c r="D1529">
        <v>26</v>
      </c>
      <c r="E1529">
        <v>507</v>
      </c>
      <c r="F1529">
        <v>15</v>
      </c>
      <c r="G1529">
        <v>55</v>
      </c>
      <c r="H1529">
        <v>144</v>
      </c>
      <c r="I1529">
        <v>1313</v>
      </c>
      <c r="J1529">
        <v>9</v>
      </c>
      <c r="K1529">
        <v>5</v>
      </c>
      <c r="L1529">
        <v>1</v>
      </c>
      <c r="M1529">
        <v>8</v>
      </c>
      <c r="N1529">
        <v>7</v>
      </c>
    </row>
    <row r="1530" spans="1:14" hidden="1" x14ac:dyDescent="0.3">
      <c r="A1530">
        <v>2252</v>
      </c>
      <c r="B1530">
        <v>30</v>
      </c>
      <c r="C1530">
        <v>1074</v>
      </c>
      <c r="D1530">
        <v>38</v>
      </c>
      <c r="E1530">
        <v>476</v>
      </c>
      <c r="F1530">
        <v>386</v>
      </c>
      <c r="G1530">
        <v>97</v>
      </c>
      <c r="H1530">
        <v>38</v>
      </c>
      <c r="I1530">
        <v>2033</v>
      </c>
      <c r="J1530">
        <v>3</v>
      </c>
      <c r="K1530">
        <v>5</v>
      </c>
      <c r="L1530">
        <v>3</v>
      </c>
      <c r="M1530">
        <v>13</v>
      </c>
      <c r="N1530">
        <v>3</v>
      </c>
    </row>
    <row r="1531" spans="1:14" hidden="1" x14ac:dyDescent="0.3">
      <c r="A1531">
        <v>1541</v>
      </c>
      <c r="B1531">
        <v>30</v>
      </c>
      <c r="C1531">
        <v>1254</v>
      </c>
      <c r="D1531">
        <v>290</v>
      </c>
      <c r="E1531">
        <v>1713</v>
      </c>
      <c r="F1531">
        <v>65</v>
      </c>
      <c r="G1531">
        <v>417</v>
      </c>
      <c r="H1531">
        <v>250</v>
      </c>
      <c r="I1531">
        <v>3490</v>
      </c>
      <c r="J1531">
        <v>1</v>
      </c>
      <c r="K1531">
        <v>5</v>
      </c>
      <c r="L1531">
        <v>6</v>
      </c>
      <c r="M1531">
        <v>7</v>
      </c>
      <c r="N1531">
        <v>2</v>
      </c>
    </row>
    <row r="1532" spans="1:14" hidden="1" x14ac:dyDescent="0.3">
      <c r="A1532">
        <v>1820</v>
      </c>
      <c r="B1532">
        <v>30</v>
      </c>
      <c r="C1532">
        <v>1325</v>
      </c>
      <c r="D1532">
        <v>14</v>
      </c>
      <c r="E1532">
        <v>227</v>
      </c>
      <c r="F1532">
        <v>19</v>
      </c>
      <c r="G1532">
        <v>47</v>
      </c>
      <c r="H1532">
        <v>473</v>
      </c>
      <c r="I1532">
        <v>1159</v>
      </c>
      <c r="J1532">
        <v>2</v>
      </c>
      <c r="K1532">
        <v>7</v>
      </c>
      <c r="L1532">
        <v>6</v>
      </c>
      <c r="M1532">
        <v>5</v>
      </c>
      <c r="N1532">
        <v>5</v>
      </c>
    </row>
    <row r="1533" spans="1:14" hidden="1" x14ac:dyDescent="0.3">
      <c r="A1533">
        <v>2844</v>
      </c>
      <c r="B1533">
        <v>30</v>
      </c>
      <c r="C1533">
        <v>2077</v>
      </c>
      <c r="D1533">
        <v>314</v>
      </c>
      <c r="E1533">
        <v>1670</v>
      </c>
      <c r="F1533">
        <v>352</v>
      </c>
      <c r="G1533">
        <v>179</v>
      </c>
      <c r="H1533">
        <v>405</v>
      </c>
      <c r="I1533">
        <v>4188</v>
      </c>
      <c r="J1533">
        <v>1</v>
      </c>
      <c r="K1533">
        <v>5</v>
      </c>
      <c r="L1533">
        <v>10</v>
      </c>
      <c r="M1533">
        <v>6</v>
      </c>
      <c r="N1533">
        <v>2</v>
      </c>
    </row>
    <row r="1534" spans="1:14" hidden="1" x14ac:dyDescent="0.3">
      <c r="A1534">
        <v>2686</v>
      </c>
      <c r="B1534">
        <v>30</v>
      </c>
      <c r="C1534">
        <v>2153</v>
      </c>
      <c r="D1534">
        <v>101</v>
      </c>
      <c r="E1534">
        <v>907</v>
      </c>
      <c r="F1534">
        <v>0</v>
      </c>
      <c r="G1534">
        <v>202</v>
      </c>
      <c r="H1534">
        <v>133</v>
      </c>
      <c r="I1534">
        <v>3229</v>
      </c>
      <c r="J1534">
        <v>1</v>
      </c>
      <c r="K1534">
        <v>8</v>
      </c>
      <c r="L1534">
        <v>7</v>
      </c>
      <c r="M1534">
        <v>7</v>
      </c>
      <c r="N1534">
        <v>4</v>
      </c>
    </row>
    <row r="1535" spans="1:14" hidden="1" x14ac:dyDescent="0.3">
      <c r="A1535">
        <v>1683</v>
      </c>
      <c r="B1535">
        <v>30</v>
      </c>
      <c r="C1535">
        <v>2189</v>
      </c>
      <c r="D1535">
        <v>29</v>
      </c>
      <c r="E1535">
        <v>669</v>
      </c>
      <c r="F1535">
        <v>0</v>
      </c>
      <c r="G1535">
        <v>29</v>
      </c>
      <c r="H1535">
        <v>583</v>
      </c>
      <c r="I1535">
        <v>2333</v>
      </c>
      <c r="J1535">
        <v>3</v>
      </c>
      <c r="K1535">
        <v>5</v>
      </c>
      <c r="L1535">
        <v>2</v>
      </c>
      <c r="M1535">
        <v>11</v>
      </c>
      <c r="N1535">
        <v>8</v>
      </c>
    </row>
    <row r="1536" spans="1:14" hidden="1" x14ac:dyDescent="0.3">
      <c r="A1536">
        <v>1991</v>
      </c>
      <c r="B1536">
        <v>30</v>
      </c>
      <c r="C1536">
        <v>2816</v>
      </c>
      <c r="D1536">
        <v>0</v>
      </c>
      <c r="E1536">
        <v>907</v>
      </c>
      <c r="F1536">
        <v>531</v>
      </c>
      <c r="G1536">
        <v>407</v>
      </c>
      <c r="H1536">
        <v>362</v>
      </c>
      <c r="I1536">
        <v>4299</v>
      </c>
      <c r="J1536">
        <v>1</v>
      </c>
      <c r="K1536">
        <v>10</v>
      </c>
      <c r="L1536">
        <v>2</v>
      </c>
      <c r="M1536">
        <v>8</v>
      </c>
      <c r="N1536">
        <v>5</v>
      </c>
    </row>
    <row r="1537" spans="1:14" hidden="1" x14ac:dyDescent="0.3">
      <c r="A1537">
        <v>1645</v>
      </c>
      <c r="B1537">
        <v>29</v>
      </c>
      <c r="C1537">
        <v>10</v>
      </c>
      <c r="D1537">
        <v>10</v>
      </c>
      <c r="E1537">
        <v>53</v>
      </c>
      <c r="F1537">
        <v>199</v>
      </c>
      <c r="G1537">
        <v>34</v>
      </c>
      <c r="H1537">
        <v>53</v>
      </c>
      <c r="I1537">
        <v>252</v>
      </c>
      <c r="J1537">
        <v>1</v>
      </c>
      <c r="K1537">
        <v>2</v>
      </c>
      <c r="L1537">
        <v>0</v>
      </c>
      <c r="M1537">
        <v>3</v>
      </c>
      <c r="N1537">
        <v>8</v>
      </c>
    </row>
    <row r="1538" spans="1:14" hidden="1" x14ac:dyDescent="0.3">
      <c r="A1538">
        <v>1674</v>
      </c>
      <c r="B1538">
        <v>29</v>
      </c>
      <c r="C1538">
        <v>17</v>
      </c>
      <c r="D1538">
        <v>0</v>
      </c>
      <c r="E1538">
        <v>61</v>
      </c>
      <c r="F1538">
        <v>26</v>
      </c>
      <c r="G1538">
        <v>61</v>
      </c>
      <c r="H1538">
        <v>86</v>
      </c>
      <c r="I1538">
        <v>78</v>
      </c>
      <c r="J1538">
        <v>1</v>
      </c>
      <c r="K1538">
        <v>1</v>
      </c>
      <c r="L1538">
        <v>0</v>
      </c>
      <c r="M1538">
        <v>3</v>
      </c>
      <c r="N1538">
        <v>6</v>
      </c>
    </row>
    <row r="1539" spans="1:14" hidden="1" x14ac:dyDescent="0.3">
      <c r="A1539">
        <v>2113</v>
      </c>
      <c r="B1539">
        <v>29</v>
      </c>
      <c r="C1539">
        <v>27</v>
      </c>
      <c r="D1539">
        <v>13</v>
      </c>
      <c r="E1539">
        <v>67</v>
      </c>
      <c r="F1539">
        <v>20</v>
      </c>
      <c r="G1539">
        <v>10</v>
      </c>
      <c r="H1539">
        <v>53</v>
      </c>
      <c r="I1539">
        <v>84</v>
      </c>
      <c r="J1539">
        <v>1</v>
      </c>
      <c r="K1539">
        <v>1</v>
      </c>
      <c r="L1539">
        <v>0</v>
      </c>
      <c r="M1539">
        <v>3</v>
      </c>
      <c r="N1539">
        <v>5</v>
      </c>
    </row>
    <row r="1540" spans="1:14" hidden="1" x14ac:dyDescent="0.3">
      <c r="A1540">
        <v>2978</v>
      </c>
      <c r="B1540">
        <v>29</v>
      </c>
      <c r="C1540">
        <v>40</v>
      </c>
      <c r="D1540">
        <v>12</v>
      </c>
      <c r="E1540">
        <v>12</v>
      </c>
      <c r="F1540">
        <v>0</v>
      </c>
      <c r="G1540">
        <v>0</v>
      </c>
      <c r="H1540">
        <v>0</v>
      </c>
      <c r="I1540">
        <v>64</v>
      </c>
      <c r="J1540">
        <v>1</v>
      </c>
      <c r="K1540">
        <v>0</v>
      </c>
      <c r="L1540">
        <v>0</v>
      </c>
      <c r="M1540">
        <v>3</v>
      </c>
      <c r="N1540">
        <v>3</v>
      </c>
    </row>
    <row r="1541" spans="1:14" hidden="1" x14ac:dyDescent="0.3">
      <c r="A1541">
        <v>2977</v>
      </c>
      <c r="B1541">
        <v>29</v>
      </c>
      <c r="C1541">
        <v>86</v>
      </c>
      <c r="D1541">
        <v>91</v>
      </c>
      <c r="E1541">
        <v>102</v>
      </c>
      <c r="F1541">
        <v>107</v>
      </c>
      <c r="G1541">
        <v>112</v>
      </c>
      <c r="H1541">
        <v>118</v>
      </c>
      <c r="I1541">
        <v>380</v>
      </c>
      <c r="J1541">
        <v>3</v>
      </c>
      <c r="K1541">
        <v>3</v>
      </c>
      <c r="L1541">
        <v>2</v>
      </c>
      <c r="M1541">
        <v>2</v>
      </c>
      <c r="N1541">
        <v>8</v>
      </c>
    </row>
    <row r="1542" spans="1:14" hidden="1" x14ac:dyDescent="0.3">
      <c r="A1542">
        <v>3002</v>
      </c>
      <c r="B1542">
        <v>29</v>
      </c>
      <c r="C1542">
        <v>101</v>
      </c>
      <c r="D1542">
        <v>16</v>
      </c>
      <c r="E1542">
        <v>32</v>
      </c>
      <c r="F1542">
        <v>21</v>
      </c>
      <c r="G1542">
        <v>11</v>
      </c>
      <c r="H1542">
        <v>64</v>
      </c>
      <c r="I1542">
        <v>117</v>
      </c>
      <c r="J1542">
        <v>1</v>
      </c>
      <c r="K1542">
        <v>1</v>
      </c>
      <c r="L1542">
        <v>0</v>
      </c>
      <c r="M1542">
        <v>3</v>
      </c>
      <c r="N1542">
        <v>4</v>
      </c>
    </row>
    <row r="1543" spans="1:14" hidden="1" x14ac:dyDescent="0.3">
      <c r="A1543">
        <v>2821</v>
      </c>
      <c r="B1543">
        <v>29</v>
      </c>
      <c r="C1543">
        <v>129</v>
      </c>
      <c r="D1543">
        <v>0</v>
      </c>
      <c r="E1543">
        <v>26</v>
      </c>
      <c r="F1543">
        <v>26</v>
      </c>
      <c r="G1543">
        <v>26</v>
      </c>
      <c r="H1543">
        <v>26</v>
      </c>
      <c r="I1543">
        <v>181</v>
      </c>
      <c r="J1543">
        <v>15</v>
      </c>
      <c r="K1543">
        <v>0</v>
      </c>
      <c r="L1543">
        <v>0</v>
      </c>
      <c r="M1543">
        <v>0</v>
      </c>
      <c r="N1543">
        <v>19</v>
      </c>
    </row>
    <row r="1544" spans="1:14" hidden="1" x14ac:dyDescent="0.3">
      <c r="A1544">
        <v>1264</v>
      </c>
      <c r="B1544">
        <v>29</v>
      </c>
      <c r="C1544">
        <v>155</v>
      </c>
      <c r="D1544">
        <v>295</v>
      </c>
      <c r="E1544">
        <v>904</v>
      </c>
      <c r="F1544">
        <v>429</v>
      </c>
      <c r="G1544">
        <v>50</v>
      </c>
      <c r="H1544">
        <v>34</v>
      </c>
      <c r="I1544">
        <v>1800</v>
      </c>
      <c r="J1544">
        <v>1</v>
      </c>
      <c r="K1544">
        <v>3</v>
      </c>
      <c r="L1544">
        <v>3</v>
      </c>
      <c r="M1544">
        <v>5</v>
      </c>
      <c r="N1544">
        <v>1</v>
      </c>
    </row>
    <row r="1545" spans="1:14" hidden="1" x14ac:dyDescent="0.3">
      <c r="A1545">
        <v>1387</v>
      </c>
      <c r="B1545">
        <v>29</v>
      </c>
      <c r="C1545">
        <v>278</v>
      </c>
      <c r="D1545">
        <v>154</v>
      </c>
      <c r="E1545">
        <v>317</v>
      </c>
      <c r="F1545">
        <v>163</v>
      </c>
      <c r="G1545">
        <v>86</v>
      </c>
      <c r="H1545">
        <v>471</v>
      </c>
      <c r="I1545">
        <v>526</v>
      </c>
      <c r="J1545">
        <v>1</v>
      </c>
      <c r="K1545">
        <v>5</v>
      </c>
      <c r="L1545">
        <v>1</v>
      </c>
      <c r="M1545">
        <v>4</v>
      </c>
      <c r="N1545">
        <v>7</v>
      </c>
    </row>
    <row r="1546" spans="1:14" hidden="1" x14ac:dyDescent="0.3">
      <c r="A1546">
        <v>1718</v>
      </c>
      <c r="B1546">
        <v>29</v>
      </c>
      <c r="C1546">
        <v>334</v>
      </c>
      <c r="D1546">
        <v>94</v>
      </c>
      <c r="E1546">
        <v>152</v>
      </c>
      <c r="F1546">
        <v>133</v>
      </c>
      <c r="G1546">
        <v>44</v>
      </c>
      <c r="H1546">
        <v>51</v>
      </c>
      <c r="I1546">
        <v>706</v>
      </c>
      <c r="J1546">
        <v>1</v>
      </c>
      <c r="K1546">
        <v>4</v>
      </c>
      <c r="L1546">
        <v>1</v>
      </c>
      <c r="M1546">
        <v>7</v>
      </c>
      <c r="N1546">
        <v>2</v>
      </c>
    </row>
    <row r="1547" spans="1:14" hidden="1" x14ac:dyDescent="0.3">
      <c r="A1547">
        <v>2870</v>
      </c>
      <c r="B1547">
        <v>29</v>
      </c>
      <c r="C1547">
        <v>370</v>
      </c>
      <c r="D1547">
        <v>64</v>
      </c>
      <c r="E1547">
        <v>130</v>
      </c>
      <c r="F1547">
        <v>76</v>
      </c>
      <c r="G1547">
        <v>30</v>
      </c>
      <c r="H1547">
        <v>46</v>
      </c>
      <c r="I1547">
        <v>625</v>
      </c>
      <c r="J1547">
        <v>2</v>
      </c>
      <c r="K1547">
        <v>3</v>
      </c>
      <c r="L1547">
        <v>1</v>
      </c>
      <c r="M1547">
        <v>6</v>
      </c>
      <c r="N1547">
        <v>6</v>
      </c>
    </row>
    <row r="1548" spans="1:14" hidden="1" x14ac:dyDescent="0.3">
      <c r="A1548">
        <v>1047</v>
      </c>
      <c r="B1548">
        <v>29</v>
      </c>
      <c r="C1548">
        <v>619</v>
      </c>
      <c r="D1548">
        <v>48</v>
      </c>
      <c r="E1548">
        <v>316</v>
      </c>
      <c r="F1548">
        <v>94</v>
      </c>
      <c r="G1548">
        <v>169</v>
      </c>
      <c r="H1548">
        <v>35</v>
      </c>
      <c r="I1548">
        <v>1210</v>
      </c>
      <c r="J1548">
        <v>1</v>
      </c>
      <c r="K1548">
        <v>4</v>
      </c>
      <c r="L1548">
        <v>2</v>
      </c>
      <c r="M1548">
        <v>10</v>
      </c>
      <c r="N1548">
        <v>2</v>
      </c>
    </row>
    <row r="1549" spans="1:14" hidden="1" x14ac:dyDescent="0.3">
      <c r="A1549">
        <v>1954</v>
      </c>
      <c r="B1549">
        <v>29</v>
      </c>
      <c r="C1549">
        <v>619</v>
      </c>
      <c r="D1549">
        <v>94</v>
      </c>
      <c r="E1549">
        <v>202</v>
      </c>
      <c r="F1549">
        <v>170</v>
      </c>
      <c r="G1549">
        <v>154</v>
      </c>
      <c r="H1549">
        <v>83</v>
      </c>
      <c r="I1549">
        <v>1155</v>
      </c>
      <c r="J1549">
        <v>3</v>
      </c>
      <c r="K1549">
        <v>7</v>
      </c>
      <c r="L1549">
        <v>1</v>
      </c>
      <c r="M1549">
        <v>7</v>
      </c>
      <c r="N1549">
        <v>5</v>
      </c>
    </row>
    <row r="1550" spans="1:14" hidden="1" x14ac:dyDescent="0.3">
      <c r="A1550">
        <v>1067</v>
      </c>
      <c r="B1550">
        <v>29</v>
      </c>
      <c r="C1550">
        <v>655</v>
      </c>
      <c r="D1550">
        <v>272</v>
      </c>
      <c r="E1550">
        <v>738</v>
      </c>
      <c r="F1550">
        <v>213</v>
      </c>
      <c r="G1550">
        <v>94</v>
      </c>
      <c r="H1550">
        <v>218</v>
      </c>
      <c r="I1550">
        <v>1754</v>
      </c>
      <c r="J1550">
        <v>4</v>
      </c>
      <c r="K1550">
        <v>10</v>
      </c>
      <c r="L1550">
        <v>3</v>
      </c>
      <c r="M1550">
        <v>13</v>
      </c>
      <c r="N1550">
        <v>7</v>
      </c>
    </row>
    <row r="1551" spans="1:14" hidden="1" x14ac:dyDescent="0.3">
      <c r="A1551">
        <v>1846</v>
      </c>
      <c r="B1551">
        <v>29</v>
      </c>
      <c r="C1551">
        <v>663</v>
      </c>
      <c r="D1551">
        <v>30</v>
      </c>
      <c r="E1551">
        <v>325</v>
      </c>
      <c r="F1551">
        <v>27</v>
      </c>
      <c r="G1551">
        <v>8</v>
      </c>
      <c r="H1551">
        <v>41</v>
      </c>
      <c r="I1551">
        <v>1012</v>
      </c>
      <c r="J1551">
        <v>3</v>
      </c>
      <c r="K1551">
        <v>4</v>
      </c>
      <c r="L1551">
        <v>2</v>
      </c>
      <c r="M1551">
        <v>8</v>
      </c>
      <c r="N1551">
        <v>4</v>
      </c>
    </row>
    <row r="1552" spans="1:14" hidden="1" x14ac:dyDescent="0.3">
      <c r="A1552">
        <v>2316</v>
      </c>
      <c r="B1552">
        <v>29</v>
      </c>
      <c r="C1552">
        <v>856</v>
      </c>
      <c r="D1552">
        <v>258</v>
      </c>
      <c r="E1552">
        <v>988</v>
      </c>
      <c r="F1552">
        <v>337</v>
      </c>
      <c r="G1552">
        <v>232</v>
      </c>
      <c r="H1552">
        <v>77</v>
      </c>
      <c r="I1552">
        <v>2595</v>
      </c>
      <c r="J1552">
        <v>1</v>
      </c>
      <c r="K1552">
        <v>2</v>
      </c>
      <c r="L1552">
        <v>8</v>
      </c>
      <c r="M1552">
        <v>6</v>
      </c>
      <c r="N1552">
        <v>1</v>
      </c>
    </row>
    <row r="1553" spans="1:14" hidden="1" x14ac:dyDescent="0.3">
      <c r="A1553">
        <v>2742</v>
      </c>
      <c r="B1553">
        <v>29</v>
      </c>
      <c r="C1553">
        <v>856</v>
      </c>
      <c r="D1553">
        <v>258</v>
      </c>
      <c r="E1553">
        <v>988</v>
      </c>
      <c r="F1553">
        <v>337</v>
      </c>
      <c r="G1553">
        <v>232</v>
      </c>
      <c r="H1553">
        <v>77</v>
      </c>
      <c r="I1553">
        <v>2595</v>
      </c>
      <c r="J1553">
        <v>1</v>
      </c>
      <c r="K1553">
        <v>2</v>
      </c>
      <c r="L1553">
        <v>8</v>
      </c>
      <c r="M1553">
        <v>6</v>
      </c>
      <c r="N1553">
        <v>1</v>
      </c>
    </row>
    <row r="1554" spans="1:14" hidden="1" x14ac:dyDescent="0.3">
      <c r="A1554">
        <v>1060</v>
      </c>
      <c r="B1554">
        <v>29</v>
      </c>
      <c r="C1554">
        <v>961</v>
      </c>
      <c r="D1554">
        <v>97</v>
      </c>
      <c r="E1554">
        <v>886</v>
      </c>
      <c r="F1554">
        <v>287</v>
      </c>
      <c r="G1554">
        <v>295</v>
      </c>
      <c r="H1554">
        <v>72</v>
      </c>
      <c r="I1554">
        <v>2454</v>
      </c>
      <c r="J1554">
        <v>1</v>
      </c>
      <c r="K1554">
        <v>7</v>
      </c>
      <c r="L1554">
        <v>4</v>
      </c>
      <c r="M1554">
        <v>4</v>
      </c>
      <c r="N1554">
        <v>4</v>
      </c>
    </row>
    <row r="1555" spans="1:14" hidden="1" x14ac:dyDescent="0.3">
      <c r="A1555">
        <v>2904</v>
      </c>
      <c r="B1555">
        <v>29</v>
      </c>
      <c r="C1555">
        <v>984</v>
      </c>
      <c r="D1555">
        <v>16</v>
      </c>
      <c r="E1555">
        <v>407</v>
      </c>
      <c r="F1555">
        <v>65</v>
      </c>
      <c r="G1555">
        <v>236</v>
      </c>
      <c r="H1555">
        <v>236</v>
      </c>
      <c r="I1555">
        <v>1471</v>
      </c>
      <c r="J1555">
        <v>5</v>
      </c>
      <c r="K1555">
        <v>9</v>
      </c>
      <c r="L1555">
        <v>3</v>
      </c>
      <c r="M1555">
        <v>7</v>
      </c>
      <c r="N1555">
        <v>7</v>
      </c>
    </row>
    <row r="1556" spans="1:14" hidden="1" x14ac:dyDescent="0.3">
      <c r="A1556">
        <v>1680</v>
      </c>
      <c r="B1556">
        <v>29</v>
      </c>
      <c r="C1556">
        <v>987</v>
      </c>
      <c r="D1556">
        <v>50</v>
      </c>
      <c r="E1556">
        <v>882</v>
      </c>
      <c r="F1556">
        <v>237</v>
      </c>
      <c r="G1556">
        <v>50</v>
      </c>
      <c r="H1556">
        <v>77</v>
      </c>
      <c r="I1556">
        <v>2129</v>
      </c>
      <c r="J1556">
        <v>1</v>
      </c>
      <c r="K1556">
        <v>10</v>
      </c>
      <c r="L1556">
        <v>7</v>
      </c>
      <c r="M1556">
        <v>10</v>
      </c>
      <c r="N1556">
        <v>4</v>
      </c>
    </row>
    <row r="1557" spans="1:14" hidden="1" x14ac:dyDescent="0.3">
      <c r="A1557">
        <v>2441</v>
      </c>
      <c r="B1557">
        <v>29</v>
      </c>
      <c r="C1557">
        <v>1166</v>
      </c>
      <c r="D1557">
        <v>69</v>
      </c>
      <c r="E1557">
        <v>287</v>
      </c>
      <c r="F1557">
        <v>163</v>
      </c>
      <c r="G1557">
        <v>124</v>
      </c>
      <c r="H1557">
        <v>592</v>
      </c>
      <c r="I1557">
        <v>1218</v>
      </c>
      <c r="J1557">
        <v>4</v>
      </c>
      <c r="K1557">
        <v>2</v>
      </c>
      <c r="L1557">
        <v>11</v>
      </c>
      <c r="M1557">
        <v>5</v>
      </c>
      <c r="N1557">
        <v>2</v>
      </c>
    </row>
    <row r="1558" spans="1:14" hidden="1" x14ac:dyDescent="0.3">
      <c r="A1558">
        <v>2942</v>
      </c>
      <c r="B1558">
        <v>29</v>
      </c>
      <c r="C1558">
        <v>1448</v>
      </c>
      <c r="D1558">
        <v>99</v>
      </c>
      <c r="E1558">
        <v>548</v>
      </c>
      <c r="F1558">
        <v>294</v>
      </c>
      <c r="G1558">
        <v>174</v>
      </c>
      <c r="H1558">
        <v>48</v>
      </c>
      <c r="I1558">
        <v>2515</v>
      </c>
      <c r="J1558">
        <v>2</v>
      </c>
      <c r="K1558">
        <v>6</v>
      </c>
      <c r="L1558">
        <v>8</v>
      </c>
      <c r="M1558">
        <v>12</v>
      </c>
      <c r="N1558">
        <v>3</v>
      </c>
    </row>
    <row r="1559" spans="1:14" hidden="1" x14ac:dyDescent="0.3">
      <c r="A1559">
        <v>1895</v>
      </c>
      <c r="B1559">
        <v>29</v>
      </c>
      <c r="C1559">
        <v>1576</v>
      </c>
      <c r="D1559">
        <v>59</v>
      </c>
      <c r="E1559">
        <v>1822</v>
      </c>
      <c r="F1559">
        <v>512</v>
      </c>
      <c r="G1559">
        <v>55</v>
      </c>
      <c r="H1559">
        <v>49</v>
      </c>
      <c r="I1559">
        <v>3975</v>
      </c>
      <c r="J1559">
        <v>1</v>
      </c>
      <c r="K1559">
        <v>7</v>
      </c>
      <c r="L1559">
        <v>3</v>
      </c>
      <c r="M1559">
        <v>7</v>
      </c>
      <c r="N1559">
        <v>3</v>
      </c>
    </row>
    <row r="1560" spans="1:14" hidden="1" x14ac:dyDescent="0.3">
      <c r="A1560">
        <v>3033</v>
      </c>
      <c r="B1560">
        <v>29</v>
      </c>
      <c r="C1560">
        <v>1942</v>
      </c>
      <c r="D1560">
        <v>46</v>
      </c>
      <c r="E1560">
        <v>383</v>
      </c>
      <c r="F1560">
        <v>0</v>
      </c>
      <c r="G1560">
        <v>21</v>
      </c>
      <c r="H1560">
        <v>526</v>
      </c>
      <c r="I1560">
        <v>1866</v>
      </c>
      <c r="J1560">
        <v>2</v>
      </c>
      <c r="K1560">
        <v>9</v>
      </c>
      <c r="L1560">
        <v>2</v>
      </c>
      <c r="M1560">
        <v>12</v>
      </c>
      <c r="N1560">
        <v>7</v>
      </c>
    </row>
    <row r="1561" spans="1:14" hidden="1" x14ac:dyDescent="0.3">
      <c r="A1561">
        <v>1913</v>
      </c>
      <c r="B1561">
        <v>29</v>
      </c>
      <c r="C1561">
        <v>2080</v>
      </c>
      <c r="D1561">
        <v>0</v>
      </c>
      <c r="E1561">
        <v>183</v>
      </c>
      <c r="F1561">
        <v>30</v>
      </c>
      <c r="G1561">
        <v>0</v>
      </c>
      <c r="H1561">
        <v>160</v>
      </c>
      <c r="I1561">
        <v>2133</v>
      </c>
      <c r="J1561">
        <v>2</v>
      </c>
      <c r="K1561">
        <v>11</v>
      </c>
      <c r="L1561">
        <v>2</v>
      </c>
      <c r="M1561">
        <v>10</v>
      </c>
      <c r="N1561">
        <v>7</v>
      </c>
    </row>
    <row r="1562" spans="1:14" hidden="1" x14ac:dyDescent="0.3">
      <c r="A1562">
        <v>2445</v>
      </c>
      <c r="B1562">
        <v>29</v>
      </c>
      <c r="C1562">
        <v>2101</v>
      </c>
      <c r="D1562">
        <v>209</v>
      </c>
      <c r="E1562">
        <v>874</v>
      </c>
      <c r="F1562">
        <v>226</v>
      </c>
      <c r="G1562">
        <v>139</v>
      </c>
      <c r="H1562">
        <v>104</v>
      </c>
      <c r="I1562">
        <v>3444</v>
      </c>
      <c r="J1562">
        <v>4</v>
      </c>
      <c r="K1562">
        <v>9</v>
      </c>
      <c r="L1562">
        <v>4</v>
      </c>
      <c r="M1562">
        <v>8</v>
      </c>
      <c r="N1562">
        <v>5</v>
      </c>
    </row>
    <row r="1563" spans="1:14" hidden="1" x14ac:dyDescent="0.3">
      <c r="A1563">
        <v>1489</v>
      </c>
      <c r="B1563">
        <v>29</v>
      </c>
      <c r="C1563">
        <v>2334</v>
      </c>
      <c r="D1563">
        <v>29</v>
      </c>
      <c r="E1563">
        <v>684</v>
      </c>
      <c r="F1563">
        <v>80</v>
      </c>
      <c r="G1563">
        <v>29</v>
      </c>
      <c r="H1563">
        <v>309</v>
      </c>
      <c r="I1563">
        <v>2847</v>
      </c>
      <c r="J1563">
        <v>2</v>
      </c>
      <c r="K1563">
        <v>10</v>
      </c>
      <c r="L1563">
        <v>4</v>
      </c>
      <c r="M1563">
        <v>12</v>
      </c>
      <c r="N1563">
        <v>6</v>
      </c>
    </row>
    <row r="1564" spans="1:14" hidden="1" x14ac:dyDescent="0.3">
      <c r="A1564">
        <v>2160</v>
      </c>
      <c r="B1564">
        <v>29</v>
      </c>
      <c r="C1564">
        <v>2431</v>
      </c>
      <c r="D1564">
        <v>252</v>
      </c>
      <c r="E1564">
        <v>1925</v>
      </c>
      <c r="F1564">
        <v>198</v>
      </c>
      <c r="G1564">
        <v>303</v>
      </c>
      <c r="H1564">
        <v>202</v>
      </c>
      <c r="I1564">
        <v>4907</v>
      </c>
      <c r="J1564">
        <v>1</v>
      </c>
      <c r="K1564">
        <v>3</v>
      </c>
      <c r="L1564">
        <v>4</v>
      </c>
      <c r="M1564">
        <v>10</v>
      </c>
      <c r="N1564">
        <v>1</v>
      </c>
    </row>
    <row r="1565" spans="1:14" hidden="1" x14ac:dyDescent="0.3">
      <c r="A1565">
        <v>2548</v>
      </c>
      <c r="B1565">
        <v>29</v>
      </c>
      <c r="C1565">
        <v>2431</v>
      </c>
      <c r="D1565">
        <v>252</v>
      </c>
      <c r="E1565">
        <v>1925</v>
      </c>
      <c r="F1565">
        <v>198</v>
      </c>
      <c r="G1565">
        <v>303</v>
      </c>
      <c r="H1565">
        <v>202</v>
      </c>
      <c r="I1565">
        <v>4907</v>
      </c>
      <c r="J1565">
        <v>1</v>
      </c>
      <c r="K1565">
        <v>3</v>
      </c>
      <c r="L1565">
        <v>4</v>
      </c>
      <c r="M1565">
        <v>10</v>
      </c>
      <c r="N1565">
        <v>1</v>
      </c>
    </row>
    <row r="1566" spans="1:14" hidden="1" x14ac:dyDescent="0.3">
      <c r="A1566">
        <v>2085</v>
      </c>
      <c r="B1566">
        <v>28</v>
      </c>
      <c r="C1566">
        <v>48</v>
      </c>
      <c r="D1566">
        <v>0</v>
      </c>
      <c r="E1566">
        <v>69</v>
      </c>
      <c r="F1566">
        <v>30</v>
      </c>
      <c r="G1566">
        <v>26</v>
      </c>
      <c r="H1566">
        <v>91</v>
      </c>
      <c r="I1566">
        <v>82</v>
      </c>
      <c r="J1566">
        <v>1</v>
      </c>
      <c r="K1566">
        <v>2</v>
      </c>
      <c r="L1566">
        <v>0</v>
      </c>
      <c r="M1566">
        <v>3</v>
      </c>
      <c r="N1566">
        <v>8</v>
      </c>
    </row>
    <row r="1567" spans="1:14" hidden="1" x14ac:dyDescent="0.3">
      <c r="A1567">
        <v>2946</v>
      </c>
      <c r="B1567">
        <v>28</v>
      </c>
      <c r="C1567">
        <v>82</v>
      </c>
      <c r="D1567">
        <v>0</v>
      </c>
      <c r="E1567">
        <v>32</v>
      </c>
      <c r="F1567">
        <v>0</v>
      </c>
      <c r="G1567">
        <v>0</v>
      </c>
      <c r="H1567">
        <v>43</v>
      </c>
      <c r="I1567">
        <v>71</v>
      </c>
      <c r="J1567">
        <v>1</v>
      </c>
      <c r="K1567">
        <v>1</v>
      </c>
      <c r="L1567">
        <v>0</v>
      </c>
      <c r="M1567">
        <v>3</v>
      </c>
      <c r="N1567">
        <v>4</v>
      </c>
    </row>
    <row r="1568" spans="1:14" hidden="1" x14ac:dyDescent="0.3">
      <c r="A1568">
        <v>2654</v>
      </c>
      <c r="B1568">
        <v>28</v>
      </c>
      <c r="C1568">
        <v>88</v>
      </c>
      <c r="D1568">
        <v>8</v>
      </c>
      <c r="E1568">
        <v>124</v>
      </c>
      <c r="F1568">
        <v>28</v>
      </c>
      <c r="G1568">
        <v>16</v>
      </c>
      <c r="H1568">
        <v>20</v>
      </c>
      <c r="I1568">
        <v>245</v>
      </c>
      <c r="J1568">
        <v>1</v>
      </c>
      <c r="K1568">
        <v>2</v>
      </c>
      <c r="L1568">
        <v>0</v>
      </c>
      <c r="M1568">
        <v>3</v>
      </c>
      <c r="N1568">
        <v>7</v>
      </c>
    </row>
    <row r="1569" spans="1:14" hidden="1" x14ac:dyDescent="0.3">
      <c r="A1569">
        <v>3025</v>
      </c>
      <c r="B1569">
        <v>28</v>
      </c>
      <c r="C1569">
        <v>89</v>
      </c>
      <c r="D1569">
        <v>8</v>
      </c>
      <c r="E1569">
        <v>49</v>
      </c>
      <c r="F1569">
        <v>0</v>
      </c>
      <c r="G1569">
        <v>8</v>
      </c>
      <c r="H1569">
        <v>20</v>
      </c>
      <c r="I1569">
        <v>133</v>
      </c>
      <c r="J1569">
        <v>1</v>
      </c>
      <c r="K1569">
        <v>1</v>
      </c>
      <c r="L1569">
        <v>0</v>
      </c>
      <c r="M1569">
        <v>3</v>
      </c>
      <c r="N1569">
        <v>4</v>
      </c>
    </row>
    <row r="1570" spans="1:14" hidden="1" x14ac:dyDescent="0.3">
      <c r="A1570">
        <v>3177</v>
      </c>
      <c r="B1570">
        <v>28</v>
      </c>
      <c r="C1570">
        <v>106</v>
      </c>
      <c r="D1570">
        <v>0</v>
      </c>
      <c r="E1570">
        <v>16</v>
      </c>
      <c r="F1570">
        <v>0</v>
      </c>
      <c r="G1570">
        <v>0</v>
      </c>
      <c r="H1570">
        <v>48</v>
      </c>
      <c r="I1570">
        <v>74</v>
      </c>
      <c r="J1570">
        <v>2</v>
      </c>
      <c r="K1570">
        <v>1</v>
      </c>
      <c r="L1570">
        <v>1</v>
      </c>
      <c r="M1570">
        <v>2</v>
      </c>
      <c r="N1570">
        <v>4</v>
      </c>
    </row>
    <row r="1571" spans="1:14" hidden="1" x14ac:dyDescent="0.3">
      <c r="A1571">
        <v>1418</v>
      </c>
      <c r="B1571">
        <v>28</v>
      </c>
      <c r="C1571">
        <v>108</v>
      </c>
      <c r="D1571">
        <v>0</v>
      </c>
      <c r="E1571">
        <v>95</v>
      </c>
      <c r="F1571">
        <v>9</v>
      </c>
      <c r="G1571">
        <v>13</v>
      </c>
      <c r="H1571">
        <v>22</v>
      </c>
      <c r="I1571">
        <v>204</v>
      </c>
      <c r="J1571">
        <v>2</v>
      </c>
      <c r="K1571">
        <v>1</v>
      </c>
      <c r="L1571">
        <v>0</v>
      </c>
      <c r="M1571">
        <v>4</v>
      </c>
      <c r="N1571">
        <v>5</v>
      </c>
    </row>
    <row r="1572" spans="1:14" hidden="1" x14ac:dyDescent="0.3">
      <c r="A1572">
        <v>1298</v>
      </c>
      <c r="B1572">
        <v>28</v>
      </c>
      <c r="C1572">
        <v>136</v>
      </c>
      <c r="D1572">
        <v>0</v>
      </c>
      <c r="E1572">
        <v>43</v>
      </c>
      <c r="F1572">
        <v>11</v>
      </c>
      <c r="G1572">
        <v>0</v>
      </c>
      <c r="H1572">
        <v>11</v>
      </c>
      <c r="I1572">
        <v>179</v>
      </c>
      <c r="J1572">
        <v>2</v>
      </c>
      <c r="K1572">
        <v>2</v>
      </c>
      <c r="L1572">
        <v>0</v>
      </c>
      <c r="M1572">
        <v>3</v>
      </c>
      <c r="N1572">
        <v>7</v>
      </c>
    </row>
    <row r="1573" spans="1:14" hidden="1" x14ac:dyDescent="0.3">
      <c r="A1573">
        <v>1597</v>
      </c>
      <c r="B1573">
        <v>28</v>
      </c>
      <c r="C1573">
        <v>136</v>
      </c>
      <c r="D1573">
        <v>0</v>
      </c>
      <c r="E1573">
        <v>43</v>
      </c>
      <c r="F1573">
        <v>11</v>
      </c>
      <c r="G1573">
        <v>0</v>
      </c>
      <c r="H1573">
        <v>11</v>
      </c>
      <c r="I1573">
        <v>179</v>
      </c>
      <c r="J1573">
        <v>2</v>
      </c>
      <c r="K1573">
        <v>2</v>
      </c>
      <c r="L1573">
        <v>0</v>
      </c>
      <c r="M1573">
        <v>3</v>
      </c>
      <c r="N1573">
        <v>7</v>
      </c>
    </row>
    <row r="1574" spans="1:14" hidden="1" x14ac:dyDescent="0.3">
      <c r="A1574">
        <v>2276</v>
      </c>
      <c r="B1574">
        <v>28</v>
      </c>
      <c r="C1574">
        <v>165</v>
      </c>
      <c r="D1574">
        <v>3</v>
      </c>
      <c r="E1574">
        <v>152</v>
      </c>
      <c r="F1574">
        <v>51</v>
      </c>
      <c r="G1574">
        <v>29</v>
      </c>
      <c r="H1574">
        <v>128</v>
      </c>
      <c r="I1574">
        <v>272</v>
      </c>
      <c r="J1574">
        <v>2</v>
      </c>
      <c r="K1574">
        <v>2</v>
      </c>
      <c r="L1574">
        <v>1</v>
      </c>
      <c r="M1574">
        <v>5</v>
      </c>
      <c r="N1574">
        <v>2</v>
      </c>
    </row>
    <row r="1575" spans="1:14" hidden="1" x14ac:dyDescent="0.3">
      <c r="A1575">
        <v>1788</v>
      </c>
      <c r="B1575">
        <v>28</v>
      </c>
      <c r="C1575">
        <v>452</v>
      </c>
      <c r="D1575">
        <v>79</v>
      </c>
      <c r="E1575">
        <v>382</v>
      </c>
      <c r="F1575">
        <v>90</v>
      </c>
      <c r="G1575">
        <v>8</v>
      </c>
      <c r="H1575">
        <v>126</v>
      </c>
      <c r="I1575">
        <v>885</v>
      </c>
      <c r="J1575">
        <v>4</v>
      </c>
      <c r="K1575">
        <v>3</v>
      </c>
      <c r="L1575">
        <v>4</v>
      </c>
      <c r="M1575">
        <v>6</v>
      </c>
      <c r="N1575">
        <v>3</v>
      </c>
    </row>
    <row r="1576" spans="1:14" hidden="1" x14ac:dyDescent="0.3">
      <c r="A1576">
        <v>2427</v>
      </c>
      <c r="B1576">
        <v>28</v>
      </c>
      <c r="C1576">
        <v>520</v>
      </c>
      <c r="D1576">
        <v>346</v>
      </c>
      <c r="E1576">
        <v>1314</v>
      </c>
      <c r="F1576">
        <v>225</v>
      </c>
      <c r="G1576">
        <v>124</v>
      </c>
      <c r="H1576">
        <v>71</v>
      </c>
      <c r="I1576">
        <v>2458</v>
      </c>
      <c r="J1576">
        <v>1</v>
      </c>
      <c r="K1576">
        <v>3</v>
      </c>
      <c r="L1576">
        <v>4</v>
      </c>
      <c r="M1576">
        <v>9</v>
      </c>
      <c r="N1576">
        <v>1</v>
      </c>
    </row>
    <row r="1577" spans="1:14" hidden="1" x14ac:dyDescent="0.3">
      <c r="A1577">
        <v>2303</v>
      </c>
      <c r="B1577">
        <v>28</v>
      </c>
      <c r="C1577">
        <v>631</v>
      </c>
      <c r="D1577">
        <v>29</v>
      </c>
      <c r="E1577">
        <v>390</v>
      </c>
      <c r="F1577">
        <v>26</v>
      </c>
      <c r="G1577">
        <v>7</v>
      </c>
      <c r="H1577">
        <v>642</v>
      </c>
      <c r="I1577">
        <v>441</v>
      </c>
      <c r="J1577">
        <v>4</v>
      </c>
      <c r="K1577">
        <v>7</v>
      </c>
      <c r="L1577">
        <v>2</v>
      </c>
      <c r="M1577">
        <v>3</v>
      </c>
      <c r="N1577">
        <v>9</v>
      </c>
    </row>
    <row r="1578" spans="1:14" hidden="1" x14ac:dyDescent="0.3">
      <c r="A1578">
        <v>1142</v>
      </c>
      <c r="B1578">
        <v>28</v>
      </c>
      <c r="C1578">
        <v>736</v>
      </c>
      <c r="D1578">
        <v>63</v>
      </c>
      <c r="E1578">
        <v>180</v>
      </c>
      <c r="F1578">
        <v>25</v>
      </c>
      <c r="G1578">
        <v>63</v>
      </c>
      <c r="H1578">
        <v>287</v>
      </c>
      <c r="I1578">
        <v>780</v>
      </c>
      <c r="J1578">
        <v>4</v>
      </c>
      <c r="K1578">
        <v>7</v>
      </c>
      <c r="L1578">
        <v>1</v>
      </c>
      <c r="M1578">
        <v>5</v>
      </c>
      <c r="N1578">
        <v>7</v>
      </c>
    </row>
    <row r="1579" spans="1:14" hidden="1" x14ac:dyDescent="0.3">
      <c r="A1579">
        <v>1632</v>
      </c>
      <c r="B1579">
        <v>28</v>
      </c>
      <c r="C1579">
        <v>786</v>
      </c>
      <c r="D1579">
        <v>10</v>
      </c>
      <c r="E1579">
        <v>155</v>
      </c>
      <c r="F1579">
        <v>102</v>
      </c>
      <c r="G1579">
        <v>77</v>
      </c>
      <c r="H1579">
        <v>364</v>
      </c>
      <c r="I1579">
        <v>766</v>
      </c>
      <c r="J1579">
        <v>2</v>
      </c>
      <c r="K1579">
        <v>7</v>
      </c>
      <c r="L1579">
        <v>1</v>
      </c>
      <c r="M1579">
        <v>7</v>
      </c>
      <c r="N1579">
        <v>5</v>
      </c>
    </row>
    <row r="1580" spans="1:14" hidden="1" x14ac:dyDescent="0.3">
      <c r="A1580">
        <v>1736</v>
      </c>
      <c r="B1580">
        <v>28</v>
      </c>
      <c r="C1580">
        <v>921</v>
      </c>
      <c r="D1580">
        <v>90</v>
      </c>
      <c r="E1580">
        <v>806</v>
      </c>
      <c r="F1580">
        <v>239</v>
      </c>
      <c r="G1580">
        <v>298</v>
      </c>
      <c r="H1580">
        <v>228</v>
      </c>
      <c r="I1580">
        <v>2125</v>
      </c>
      <c r="J1580">
        <v>1</v>
      </c>
      <c r="K1580">
        <v>7</v>
      </c>
      <c r="L1580">
        <v>3</v>
      </c>
      <c r="M1580">
        <v>13</v>
      </c>
      <c r="N1580">
        <v>4</v>
      </c>
    </row>
    <row r="1581" spans="1:14" hidden="1" x14ac:dyDescent="0.3">
      <c r="A1581">
        <v>2583</v>
      </c>
      <c r="B1581">
        <v>28</v>
      </c>
      <c r="C1581">
        <v>1009</v>
      </c>
      <c r="D1581">
        <v>94</v>
      </c>
      <c r="E1581">
        <v>679</v>
      </c>
      <c r="F1581">
        <v>100</v>
      </c>
      <c r="G1581">
        <v>94</v>
      </c>
      <c r="H1581">
        <v>118</v>
      </c>
      <c r="I1581">
        <v>1859</v>
      </c>
      <c r="J1581">
        <v>5</v>
      </c>
      <c r="K1581">
        <v>10</v>
      </c>
      <c r="L1581">
        <v>5</v>
      </c>
      <c r="M1581">
        <v>4</v>
      </c>
      <c r="N1581">
        <v>9</v>
      </c>
    </row>
    <row r="1582" spans="1:14" hidden="1" x14ac:dyDescent="0.3">
      <c r="A1582">
        <v>1768</v>
      </c>
      <c r="B1582">
        <v>28</v>
      </c>
      <c r="C1582">
        <v>1085</v>
      </c>
      <c r="D1582">
        <v>161</v>
      </c>
      <c r="E1582">
        <v>623</v>
      </c>
      <c r="F1582">
        <v>131</v>
      </c>
      <c r="G1582">
        <v>60</v>
      </c>
      <c r="H1582">
        <v>663</v>
      </c>
      <c r="I1582">
        <v>1397</v>
      </c>
      <c r="J1582">
        <v>6</v>
      </c>
      <c r="K1582">
        <v>6</v>
      </c>
      <c r="L1582">
        <v>8</v>
      </c>
      <c r="M1582">
        <v>4</v>
      </c>
      <c r="N1582">
        <v>7</v>
      </c>
    </row>
    <row r="1583" spans="1:14" hidden="1" x14ac:dyDescent="0.3">
      <c r="A1583">
        <v>1393</v>
      </c>
      <c r="B1583">
        <v>28</v>
      </c>
      <c r="C1583">
        <v>1104</v>
      </c>
      <c r="D1583">
        <v>27</v>
      </c>
      <c r="E1583">
        <v>274</v>
      </c>
      <c r="F1583">
        <v>18</v>
      </c>
      <c r="G1583">
        <v>27</v>
      </c>
      <c r="H1583">
        <v>12</v>
      </c>
      <c r="I1583">
        <v>1438</v>
      </c>
      <c r="J1583">
        <v>3</v>
      </c>
      <c r="K1583">
        <v>7</v>
      </c>
      <c r="L1583">
        <v>1</v>
      </c>
      <c r="M1583">
        <v>8</v>
      </c>
      <c r="N1583">
        <v>7</v>
      </c>
    </row>
    <row r="1584" spans="1:14" hidden="1" x14ac:dyDescent="0.3">
      <c r="A1584">
        <v>1760</v>
      </c>
      <c r="B1584">
        <v>28</v>
      </c>
      <c r="C1584">
        <v>1244</v>
      </c>
      <c r="D1584">
        <v>0</v>
      </c>
      <c r="E1584">
        <v>1244</v>
      </c>
      <c r="F1584">
        <v>541</v>
      </c>
      <c r="G1584">
        <v>286</v>
      </c>
      <c r="H1584">
        <v>319</v>
      </c>
      <c r="I1584">
        <v>2997</v>
      </c>
      <c r="J1584">
        <v>2</v>
      </c>
      <c r="K1584">
        <v>6</v>
      </c>
      <c r="L1584">
        <v>9</v>
      </c>
      <c r="M1584">
        <v>5</v>
      </c>
      <c r="N1584">
        <v>2</v>
      </c>
    </row>
    <row r="1585" spans="1:14" hidden="1" x14ac:dyDescent="0.3">
      <c r="A1585">
        <v>2829</v>
      </c>
      <c r="B1585">
        <v>28</v>
      </c>
      <c r="C1585">
        <v>1573</v>
      </c>
      <c r="D1585">
        <v>110</v>
      </c>
      <c r="E1585">
        <v>928</v>
      </c>
      <c r="F1585">
        <v>144</v>
      </c>
      <c r="G1585">
        <v>84</v>
      </c>
      <c r="H1585">
        <v>84</v>
      </c>
      <c r="I1585">
        <v>2754</v>
      </c>
      <c r="J1585">
        <v>1</v>
      </c>
      <c r="K1585">
        <v>8</v>
      </c>
      <c r="L1585">
        <v>4</v>
      </c>
      <c r="M1585">
        <v>7</v>
      </c>
      <c r="N1585">
        <v>4</v>
      </c>
    </row>
    <row r="1586" spans="1:14" hidden="1" x14ac:dyDescent="0.3">
      <c r="A1586">
        <v>1411</v>
      </c>
      <c r="B1586">
        <v>28</v>
      </c>
      <c r="C1586">
        <v>1861</v>
      </c>
      <c r="D1586">
        <v>0</v>
      </c>
      <c r="E1586">
        <v>691</v>
      </c>
      <c r="F1586">
        <v>0</v>
      </c>
      <c r="G1586">
        <v>79</v>
      </c>
      <c r="H1586">
        <v>133</v>
      </c>
      <c r="I1586">
        <v>2498</v>
      </c>
      <c r="J1586">
        <v>2</v>
      </c>
      <c r="K1586">
        <v>2</v>
      </c>
      <c r="L1586">
        <v>5</v>
      </c>
      <c r="M1586">
        <v>10</v>
      </c>
      <c r="N1586">
        <v>6</v>
      </c>
    </row>
    <row r="1587" spans="1:14" hidden="1" x14ac:dyDescent="0.3">
      <c r="A1587">
        <v>2698</v>
      </c>
      <c r="B1587">
        <v>28</v>
      </c>
      <c r="C1587">
        <v>1904</v>
      </c>
      <c r="D1587">
        <v>69</v>
      </c>
      <c r="E1587">
        <v>1234</v>
      </c>
      <c r="F1587">
        <v>137</v>
      </c>
      <c r="G1587">
        <v>210</v>
      </c>
      <c r="H1587">
        <v>175</v>
      </c>
      <c r="I1587">
        <v>3379</v>
      </c>
      <c r="J1587">
        <v>0</v>
      </c>
      <c r="K1587">
        <v>6</v>
      </c>
      <c r="L1587">
        <v>5</v>
      </c>
      <c r="M1587">
        <v>13</v>
      </c>
      <c r="N1587">
        <v>2</v>
      </c>
    </row>
    <row r="1588" spans="1:14" hidden="1" x14ac:dyDescent="0.3">
      <c r="A1588">
        <v>1610</v>
      </c>
      <c r="B1588">
        <v>28</v>
      </c>
      <c r="C1588">
        <v>2411</v>
      </c>
      <c r="D1588">
        <v>41</v>
      </c>
      <c r="E1588">
        <v>1378</v>
      </c>
      <c r="F1588">
        <v>224</v>
      </c>
      <c r="G1588">
        <v>301</v>
      </c>
      <c r="H1588">
        <v>41</v>
      </c>
      <c r="I1588">
        <v>4315</v>
      </c>
      <c r="J1588">
        <v>7</v>
      </c>
      <c r="K1588">
        <v>11</v>
      </c>
      <c r="L1588">
        <v>11</v>
      </c>
      <c r="M1588">
        <v>5</v>
      </c>
      <c r="N1588">
        <v>7</v>
      </c>
    </row>
    <row r="1589" spans="1:14" hidden="1" x14ac:dyDescent="0.3">
      <c r="A1589">
        <v>2326</v>
      </c>
      <c r="B1589">
        <v>27</v>
      </c>
      <c r="C1589">
        <v>28</v>
      </c>
      <c r="D1589">
        <v>33</v>
      </c>
      <c r="E1589">
        <v>19</v>
      </c>
      <c r="F1589">
        <v>14</v>
      </c>
      <c r="G1589">
        <v>19</v>
      </c>
      <c r="H1589">
        <v>28</v>
      </c>
      <c r="I1589">
        <v>85</v>
      </c>
      <c r="J1589">
        <v>1</v>
      </c>
      <c r="K1589">
        <v>1</v>
      </c>
      <c r="L1589">
        <v>0</v>
      </c>
      <c r="M1589">
        <v>3</v>
      </c>
      <c r="N1589">
        <v>6</v>
      </c>
    </row>
    <row r="1590" spans="1:14" hidden="1" x14ac:dyDescent="0.3">
      <c r="A1590">
        <v>1616</v>
      </c>
      <c r="B1590">
        <v>27</v>
      </c>
      <c r="C1590">
        <v>41</v>
      </c>
      <c r="D1590">
        <v>98</v>
      </c>
      <c r="E1590">
        <v>62</v>
      </c>
      <c r="F1590">
        <v>53</v>
      </c>
      <c r="G1590">
        <v>4</v>
      </c>
      <c r="H1590">
        <v>123</v>
      </c>
      <c r="I1590">
        <v>135</v>
      </c>
      <c r="J1590">
        <v>1</v>
      </c>
      <c r="K1590">
        <v>2</v>
      </c>
      <c r="L1590">
        <v>1</v>
      </c>
      <c r="M1590">
        <v>3</v>
      </c>
      <c r="N1590">
        <v>7</v>
      </c>
    </row>
    <row r="1591" spans="1:14" hidden="1" x14ac:dyDescent="0.3">
      <c r="A1591">
        <v>1542</v>
      </c>
      <c r="B1591">
        <v>27</v>
      </c>
      <c r="C1591">
        <v>53</v>
      </c>
      <c r="D1591">
        <v>30</v>
      </c>
      <c r="E1591">
        <v>98</v>
      </c>
      <c r="F1591">
        <v>113</v>
      </c>
      <c r="G1591">
        <v>60</v>
      </c>
      <c r="H1591">
        <v>128</v>
      </c>
      <c r="I1591">
        <v>226</v>
      </c>
      <c r="J1591">
        <v>2</v>
      </c>
      <c r="K1591">
        <v>2</v>
      </c>
      <c r="L1591">
        <v>0</v>
      </c>
      <c r="M1591">
        <v>4</v>
      </c>
      <c r="N1591">
        <v>5</v>
      </c>
    </row>
    <row r="1592" spans="1:14" hidden="1" x14ac:dyDescent="0.3">
      <c r="A1592">
        <v>2088</v>
      </c>
      <c r="B1592">
        <v>27</v>
      </c>
      <c r="C1592">
        <v>53</v>
      </c>
      <c r="D1592">
        <v>30</v>
      </c>
      <c r="E1592">
        <v>98</v>
      </c>
      <c r="F1592">
        <v>113</v>
      </c>
      <c r="G1592">
        <v>60</v>
      </c>
      <c r="H1592">
        <v>128</v>
      </c>
      <c r="I1592">
        <v>226</v>
      </c>
      <c r="J1592">
        <v>2</v>
      </c>
      <c r="K1592">
        <v>2</v>
      </c>
      <c r="L1592">
        <v>0</v>
      </c>
      <c r="M1592">
        <v>4</v>
      </c>
      <c r="N1592">
        <v>5</v>
      </c>
    </row>
    <row r="1593" spans="1:14" hidden="1" x14ac:dyDescent="0.3">
      <c r="A1593">
        <v>2000</v>
      </c>
      <c r="B1593">
        <v>27</v>
      </c>
      <c r="C1593">
        <v>107</v>
      </c>
      <c r="D1593">
        <v>250</v>
      </c>
      <c r="E1593">
        <v>143</v>
      </c>
      <c r="F1593">
        <v>89</v>
      </c>
      <c r="G1593">
        <v>119</v>
      </c>
      <c r="H1593">
        <v>107</v>
      </c>
      <c r="I1593">
        <v>601</v>
      </c>
      <c r="J1593">
        <v>1</v>
      </c>
      <c r="K1593">
        <v>2</v>
      </c>
      <c r="L1593">
        <v>1</v>
      </c>
      <c r="M1593">
        <v>4</v>
      </c>
      <c r="N1593">
        <v>7</v>
      </c>
    </row>
    <row r="1594" spans="1:14" hidden="1" x14ac:dyDescent="0.3">
      <c r="A1594">
        <v>2893</v>
      </c>
      <c r="B1594">
        <v>27</v>
      </c>
      <c r="C1594">
        <v>107</v>
      </c>
      <c r="D1594">
        <v>250</v>
      </c>
      <c r="E1594">
        <v>143</v>
      </c>
      <c r="F1594">
        <v>89</v>
      </c>
      <c r="G1594">
        <v>119</v>
      </c>
      <c r="H1594">
        <v>107</v>
      </c>
      <c r="I1594">
        <v>601</v>
      </c>
      <c r="J1594">
        <v>1</v>
      </c>
      <c r="K1594">
        <v>2</v>
      </c>
      <c r="L1594">
        <v>1</v>
      </c>
      <c r="M1594">
        <v>4</v>
      </c>
      <c r="N1594">
        <v>7</v>
      </c>
    </row>
    <row r="1595" spans="1:14" hidden="1" x14ac:dyDescent="0.3">
      <c r="A1595">
        <v>1584</v>
      </c>
      <c r="B1595">
        <v>27</v>
      </c>
      <c r="C1595">
        <v>156</v>
      </c>
      <c r="D1595">
        <v>0</v>
      </c>
      <c r="E1595">
        <v>9</v>
      </c>
      <c r="F1595">
        <v>0</v>
      </c>
      <c r="G1595">
        <v>0</v>
      </c>
      <c r="H1595">
        <v>17</v>
      </c>
      <c r="I1595">
        <v>147</v>
      </c>
      <c r="J1595">
        <v>1</v>
      </c>
      <c r="K1595">
        <v>1</v>
      </c>
      <c r="L1595">
        <v>0</v>
      </c>
      <c r="M1595">
        <v>3</v>
      </c>
      <c r="N1595">
        <v>7</v>
      </c>
    </row>
    <row r="1596" spans="1:14" hidden="1" x14ac:dyDescent="0.3">
      <c r="A1596">
        <v>1107</v>
      </c>
      <c r="B1596">
        <v>27</v>
      </c>
      <c r="C1596">
        <v>190</v>
      </c>
      <c r="D1596">
        <v>3</v>
      </c>
      <c r="E1596">
        <v>62</v>
      </c>
      <c r="F1596">
        <v>0</v>
      </c>
      <c r="G1596">
        <v>3</v>
      </c>
      <c r="H1596">
        <v>80</v>
      </c>
      <c r="I1596">
        <v>178</v>
      </c>
      <c r="J1596">
        <v>2</v>
      </c>
      <c r="K1596">
        <v>2</v>
      </c>
      <c r="L1596">
        <v>1</v>
      </c>
      <c r="M1596">
        <v>3</v>
      </c>
      <c r="N1596">
        <v>6</v>
      </c>
    </row>
    <row r="1597" spans="1:14" hidden="1" x14ac:dyDescent="0.3">
      <c r="A1597">
        <v>2939</v>
      </c>
      <c r="B1597">
        <v>27</v>
      </c>
      <c r="C1597">
        <v>311</v>
      </c>
      <c r="D1597">
        <v>3</v>
      </c>
      <c r="E1597">
        <v>46</v>
      </c>
      <c r="F1597">
        <v>6</v>
      </c>
      <c r="G1597">
        <v>0</v>
      </c>
      <c r="H1597">
        <v>73</v>
      </c>
      <c r="I1597">
        <v>292</v>
      </c>
      <c r="J1597">
        <v>1</v>
      </c>
      <c r="K1597">
        <v>3</v>
      </c>
      <c r="L1597">
        <v>0</v>
      </c>
      <c r="M1597">
        <v>4</v>
      </c>
      <c r="N1597">
        <v>7</v>
      </c>
    </row>
    <row r="1598" spans="1:14" hidden="1" x14ac:dyDescent="0.3">
      <c r="A1598">
        <v>1155</v>
      </c>
      <c r="B1598">
        <v>27</v>
      </c>
      <c r="C1598">
        <v>325</v>
      </c>
      <c r="D1598">
        <v>42</v>
      </c>
      <c r="E1598">
        <v>255</v>
      </c>
      <c r="F1598">
        <v>348</v>
      </c>
      <c r="G1598">
        <v>55</v>
      </c>
      <c r="H1598">
        <v>70</v>
      </c>
      <c r="I1598">
        <v>954</v>
      </c>
      <c r="J1598">
        <v>1</v>
      </c>
      <c r="K1598">
        <v>6</v>
      </c>
      <c r="L1598">
        <v>7</v>
      </c>
      <c r="M1598">
        <v>4</v>
      </c>
      <c r="N1598">
        <v>3</v>
      </c>
    </row>
    <row r="1599" spans="1:14" hidden="1" x14ac:dyDescent="0.3">
      <c r="A1599">
        <v>1557</v>
      </c>
      <c r="B1599">
        <v>27</v>
      </c>
      <c r="C1599">
        <v>510</v>
      </c>
      <c r="D1599">
        <v>13</v>
      </c>
      <c r="E1599">
        <v>112</v>
      </c>
      <c r="F1599">
        <v>0</v>
      </c>
      <c r="G1599">
        <v>26</v>
      </c>
      <c r="H1599">
        <v>51</v>
      </c>
      <c r="I1599">
        <v>610</v>
      </c>
      <c r="J1599">
        <v>1</v>
      </c>
      <c r="K1599">
        <v>5</v>
      </c>
      <c r="L1599">
        <v>1</v>
      </c>
      <c r="M1599">
        <v>5</v>
      </c>
      <c r="N1599">
        <v>5</v>
      </c>
    </row>
    <row r="1600" spans="1:14" hidden="1" x14ac:dyDescent="0.3">
      <c r="A1600">
        <v>3010</v>
      </c>
      <c r="B1600">
        <v>27</v>
      </c>
      <c r="C1600">
        <v>550</v>
      </c>
      <c r="D1600">
        <v>45</v>
      </c>
      <c r="E1600">
        <v>201</v>
      </c>
      <c r="F1600">
        <v>95</v>
      </c>
      <c r="G1600">
        <v>45</v>
      </c>
      <c r="H1600">
        <v>100</v>
      </c>
      <c r="I1600">
        <v>835</v>
      </c>
      <c r="J1600">
        <v>2</v>
      </c>
      <c r="K1600">
        <v>3</v>
      </c>
      <c r="L1600">
        <v>3</v>
      </c>
      <c r="M1600">
        <v>7</v>
      </c>
      <c r="N1600">
        <v>2</v>
      </c>
    </row>
    <row r="1601" spans="1:14" hidden="1" x14ac:dyDescent="0.3">
      <c r="A1601">
        <v>2620</v>
      </c>
      <c r="B1601">
        <v>27</v>
      </c>
      <c r="C1601">
        <v>789</v>
      </c>
      <c r="D1601">
        <v>49</v>
      </c>
      <c r="E1601">
        <v>311</v>
      </c>
      <c r="F1601">
        <v>598</v>
      </c>
      <c r="G1601">
        <v>32</v>
      </c>
      <c r="H1601">
        <v>130</v>
      </c>
      <c r="I1601">
        <v>1649</v>
      </c>
      <c r="J1601">
        <v>1</v>
      </c>
      <c r="K1601">
        <v>7</v>
      </c>
      <c r="L1601">
        <v>5</v>
      </c>
      <c r="M1601">
        <v>8</v>
      </c>
      <c r="N1601">
        <v>4</v>
      </c>
    </row>
    <row r="1602" spans="1:14" hidden="1" x14ac:dyDescent="0.3">
      <c r="A1602">
        <v>2774</v>
      </c>
      <c r="B1602">
        <v>27</v>
      </c>
      <c r="C1602">
        <v>789</v>
      </c>
      <c r="D1602">
        <v>49</v>
      </c>
      <c r="E1602">
        <v>311</v>
      </c>
      <c r="F1602">
        <v>598</v>
      </c>
      <c r="G1602">
        <v>32</v>
      </c>
      <c r="H1602">
        <v>130</v>
      </c>
      <c r="I1602">
        <v>1649</v>
      </c>
      <c r="J1602">
        <v>1</v>
      </c>
      <c r="K1602">
        <v>7</v>
      </c>
      <c r="L1602">
        <v>5</v>
      </c>
      <c r="M1602">
        <v>8</v>
      </c>
      <c r="N1602">
        <v>4</v>
      </c>
    </row>
    <row r="1603" spans="1:14" hidden="1" x14ac:dyDescent="0.3">
      <c r="A1603">
        <v>1951</v>
      </c>
      <c r="B1603">
        <v>27</v>
      </c>
      <c r="C1603">
        <v>949</v>
      </c>
      <c r="D1603">
        <v>300</v>
      </c>
      <c r="E1603">
        <v>875</v>
      </c>
      <c r="F1603">
        <v>98</v>
      </c>
      <c r="G1603">
        <v>300</v>
      </c>
      <c r="H1603">
        <v>98</v>
      </c>
      <c r="I1603">
        <v>2424</v>
      </c>
      <c r="J1603">
        <v>1</v>
      </c>
      <c r="K1603">
        <v>3</v>
      </c>
      <c r="L1603">
        <v>4</v>
      </c>
      <c r="M1603">
        <v>10</v>
      </c>
      <c r="N1603">
        <v>1</v>
      </c>
    </row>
    <row r="1604" spans="1:14" hidden="1" x14ac:dyDescent="0.3">
      <c r="A1604">
        <v>2486</v>
      </c>
      <c r="B1604">
        <v>27</v>
      </c>
      <c r="C1604">
        <v>949</v>
      </c>
      <c r="D1604">
        <v>300</v>
      </c>
      <c r="E1604">
        <v>875</v>
      </c>
      <c r="F1604">
        <v>98</v>
      </c>
      <c r="G1604">
        <v>300</v>
      </c>
      <c r="H1604">
        <v>98</v>
      </c>
      <c r="I1604">
        <v>2424</v>
      </c>
      <c r="J1604">
        <v>1</v>
      </c>
      <c r="K1604">
        <v>3</v>
      </c>
      <c r="L1604">
        <v>4</v>
      </c>
      <c r="M1604">
        <v>10</v>
      </c>
      <c r="N1604">
        <v>1</v>
      </c>
    </row>
    <row r="1605" spans="1:14" hidden="1" x14ac:dyDescent="0.3">
      <c r="A1605">
        <v>1417</v>
      </c>
      <c r="B1605">
        <v>27</v>
      </c>
      <c r="C1605">
        <v>1020</v>
      </c>
      <c r="D1605">
        <v>154</v>
      </c>
      <c r="E1605">
        <v>932</v>
      </c>
      <c r="F1605">
        <v>28</v>
      </c>
      <c r="G1605">
        <v>89</v>
      </c>
      <c r="H1605">
        <v>266</v>
      </c>
      <c r="I1605">
        <v>1956</v>
      </c>
      <c r="J1605">
        <v>1</v>
      </c>
      <c r="K1605">
        <v>8</v>
      </c>
      <c r="L1605">
        <v>3</v>
      </c>
      <c r="M1605">
        <v>13</v>
      </c>
      <c r="N1605">
        <v>4</v>
      </c>
    </row>
    <row r="1606" spans="1:14" hidden="1" x14ac:dyDescent="0.3">
      <c r="A1606">
        <v>2843</v>
      </c>
      <c r="B1606">
        <v>27</v>
      </c>
      <c r="C1606">
        <v>1214</v>
      </c>
      <c r="D1606">
        <v>0</v>
      </c>
      <c r="E1606">
        <v>222</v>
      </c>
      <c r="F1606">
        <v>34</v>
      </c>
      <c r="G1606">
        <v>13</v>
      </c>
      <c r="H1606">
        <v>85</v>
      </c>
      <c r="I1606">
        <v>1398</v>
      </c>
      <c r="J1606">
        <v>4</v>
      </c>
      <c r="K1606">
        <v>9</v>
      </c>
      <c r="L1606">
        <v>0</v>
      </c>
      <c r="M1606">
        <v>4</v>
      </c>
      <c r="N1606">
        <v>10</v>
      </c>
    </row>
    <row r="1607" spans="1:14" hidden="1" x14ac:dyDescent="0.3">
      <c r="A1607">
        <v>1104</v>
      </c>
      <c r="B1607">
        <v>27</v>
      </c>
      <c r="C1607">
        <v>1447</v>
      </c>
      <c r="D1607">
        <v>0</v>
      </c>
      <c r="E1607">
        <v>58</v>
      </c>
      <c r="F1607">
        <v>0</v>
      </c>
      <c r="G1607">
        <v>0</v>
      </c>
      <c r="H1607">
        <v>165</v>
      </c>
      <c r="I1607">
        <v>1340</v>
      </c>
      <c r="J1607">
        <v>3</v>
      </c>
      <c r="K1607">
        <v>8</v>
      </c>
      <c r="L1607">
        <v>1</v>
      </c>
      <c r="M1607">
        <v>8</v>
      </c>
      <c r="N1607">
        <v>6</v>
      </c>
    </row>
    <row r="1608" spans="1:14" hidden="1" x14ac:dyDescent="0.3">
      <c r="A1608">
        <v>1827</v>
      </c>
      <c r="B1608">
        <v>27</v>
      </c>
      <c r="C1608">
        <v>1587</v>
      </c>
      <c r="D1608">
        <v>239</v>
      </c>
      <c r="E1608">
        <v>1047</v>
      </c>
      <c r="F1608">
        <v>0</v>
      </c>
      <c r="G1608">
        <v>118</v>
      </c>
      <c r="H1608">
        <v>538</v>
      </c>
      <c r="I1608">
        <v>2452</v>
      </c>
      <c r="J1608">
        <v>2</v>
      </c>
      <c r="K1608">
        <v>3</v>
      </c>
      <c r="L1608">
        <v>6</v>
      </c>
      <c r="M1608">
        <v>8</v>
      </c>
      <c r="N1608">
        <v>3</v>
      </c>
    </row>
    <row r="1609" spans="1:14" hidden="1" x14ac:dyDescent="0.3">
      <c r="A1609">
        <v>2945</v>
      </c>
      <c r="B1609">
        <v>27</v>
      </c>
      <c r="C1609">
        <v>1882</v>
      </c>
      <c r="D1609">
        <v>0</v>
      </c>
      <c r="E1609">
        <v>556</v>
      </c>
      <c r="F1609">
        <v>103</v>
      </c>
      <c r="G1609">
        <v>131</v>
      </c>
      <c r="H1609">
        <v>73</v>
      </c>
      <c r="I1609">
        <v>2600</v>
      </c>
      <c r="J1609">
        <v>2</v>
      </c>
      <c r="K1609">
        <v>6</v>
      </c>
      <c r="L1609">
        <v>3</v>
      </c>
      <c r="M1609">
        <v>5</v>
      </c>
      <c r="N1609">
        <v>4</v>
      </c>
    </row>
    <row r="1610" spans="1:14" hidden="1" x14ac:dyDescent="0.3">
      <c r="A1610">
        <v>1352</v>
      </c>
      <c r="B1610">
        <v>27</v>
      </c>
      <c r="C1610">
        <v>1990</v>
      </c>
      <c r="D1610">
        <v>79</v>
      </c>
      <c r="E1610">
        <v>1311</v>
      </c>
      <c r="F1610">
        <v>361</v>
      </c>
      <c r="G1610">
        <v>318</v>
      </c>
      <c r="H1610">
        <v>556</v>
      </c>
      <c r="I1610">
        <v>3501</v>
      </c>
      <c r="J1610">
        <v>1</v>
      </c>
      <c r="K1610">
        <v>4</v>
      </c>
      <c r="L1610">
        <v>3</v>
      </c>
      <c r="M1610">
        <v>8</v>
      </c>
      <c r="N1610">
        <v>3</v>
      </c>
    </row>
    <row r="1611" spans="1:14" hidden="1" x14ac:dyDescent="0.3">
      <c r="A1611">
        <v>2057</v>
      </c>
      <c r="B1611">
        <v>27</v>
      </c>
      <c r="C1611">
        <v>2149</v>
      </c>
      <c r="D1611">
        <v>94</v>
      </c>
      <c r="E1611">
        <v>230</v>
      </c>
      <c r="F1611">
        <v>125</v>
      </c>
      <c r="G1611">
        <v>94</v>
      </c>
      <c r="H1611">
        <v>94</v>
      </c>
      <c r="I1611">
        <v>2598</v>
      </c>
      <c r="J1611">
        <v>1</v>
      </c>
      <c r="K1611">
        <v>6</v>
      </c>
      <c r="L1611">
        <v>7</v>
      </c>
      <c r="M1611">
        <v>11</v>
      </c>
      <c r="N1611">
        <v>2</v>
      </c>
    </row>
    <row r="1612" spans="1:14" hidden="1" x14ac:dyDescent="0.3">
      <c r="A1612">
        <v>1215</v>
      </c>
      <c r="B1612">
        <v>27</v>
      </c>
      <c r="C1612">
        <v>2314</v>
      </c>
      <c r="D1612">
        <v>59</v>
      </c>
      <c r="E1612">
        <v>600</v>
      </c>
      <c r="F1612">
        <v>0</v>
      </c>
      <c r="G1612">
        <v>0</v>
      </c>
      <c r="H1612">
        <v>271</v>
      </c>
      <c r="I1612">
        <v>2702</v>
      </c>
      <c r="J1612">
        <v>3</v>
      </c>
      <c r="K1612">
        <v>2</v>
      </c>
      <c r="L1612">
        <v>2</v>
      </c>
      <c r="M1612">
        <v>11</v>
      </c>
      <c r="N1612">
        <v>8</v>
      </c>
    </row>
    <row r="1613" spans="1:14" hidden="1" x14ac:dyDescent="0.3">
      <c r="A1613">
        <v>1684</v>
      </c>
      <c r="B1613">
        <v>27</v>
      </c>
      <c r="C1613">
        <v>2496</v>
      </c>
      <c r="D1613">
        <v>67</v>
      </c>
      <c r="E1613">
        <v>742</v>
      </c>
      <c r="F1613">
        <v>44</v>
      </c>
      <c r="G1613">
        <v>34</v>
      </c>
      <c r="H1613">
        <v>34</v>
      </c>
      <c r="I1613">
        <v>3350</v>
      </c>
      <c r="J1613">
        <v>1</v>
      </c>
      <c r="K1613">
        <v>3</v>
      </c>
      <c r="L1613">
        <v>4</v>
      </c>
      <c r="M1613">
        <v>7</v>
      </c>
      <c r="N1613">
        <v>1</v>
      </c>
    </row>
    <row r="1614" spans="1:14" hidden="1" x14ac:dyDescent="0.3">
      <c r="A1614">
        <v>1559</v>
      </c>
      <c r="B1614">
        <v>27</v>
      </c>
      <c r="C1614">
        <v>2744</v>
      </c>
      <c r="D1614">
        <v>31</v>
      </c>
      <c r="E1614">
        <v>376</v>
      </c>
      <c r="F1614">
        <v>0</v>
      </c>
      <c r="G1614">
        <v>0</v>
      </c>
      <c r="H1614">
        <v>63</v>
      </c>
      <c r="I1614">
        <v>3089</v>
      </c>
      <c r="J1614">
        <v>3</v>
      </c>
      <c r="K1614">
        <v>6</v>
      </c>
      <c r="L1614">
        <v>4</v>
      </c>
      <c r="M1614">
        <v>8</v>
      </c>
      <c r="N1614">
        <v>5</v>
      </c>
    </row>
    <row r="1615" spans="1:14" hidden="1" x14ac:dyDescent="0.3">
      <c r="A1615">
        <v>1851</v>
      </c>
      <c r="B1615">
        <v>27</v>
      </c>
      <c r="C1615">
        <v>3173</v>
      </c>
      <c r="D1615">
        <v>0</v>
      </c>
      <c r="E1615">
        <v>961</v>
      </c>
      <c r="F1615">
        <v>56</v>
      </c>
      <c r="G1615">
        <v>0</v>
      </c>
      <c r="H1615">
        <v>0</v>
      </c>
      <c r="I1615">
        <v>4190</v>
      </c>
      <c r="J1615">
        <v>1</v>
      </c>
      <c r="K1615">
        <v>5</v>
      </c>
      <c r="L1615">
        <v>7</v>
      </c>
      <c r="M1615">
        <v>4</v>
      </c>
      <c r="N1615">
        <v>3</v>
      </c>
    </row>
    <row r="1616" spans="1:14" hidden="1" x14ac:dyDescent="0.3">
      <c r="A1616">
        <v>1657</v>
      </c>
      <c r="B1616">
        <v>26</v>
      </c>
      <c r="C1616">
        <v>5</v>
      </c>
      <c r="D1616">
        <v>5</v>
      </c>
      <c r="E1616">
        <v>24</v>
      </c>
      <c r="F1616">
        <v>0</v>
      </c>
      <c r="G1616">
        <v>14</v>
      </c>
      <c r="H1616">
        <v>5</v>
      </c>
      <c r="I1616">
        <v>43</v>
      </c>
      <c r="J1616">
        <v>1</v>
      </c>
      <c r="K1616">
        <v>1</v>
      </c>
      <c r="L1616">
        <v>0</v>
      </c>
      <c r="M1616">
        <v>2</v>
      </c>
      <c r="N1616">
        <v>8</v>
      </c>
    </row>
    <row r="1617" spans="1:14" hidden="1" x14ac:dyDescent="0.3">
      <c r="A1617">
        <v>1691</v>
      </c>
      <c r="B1617">
        <v>26</v>
      </c>
      <c r="C1617">
        <v>5</v>
      </c>
      <c r="D1617">
        <v>15</v>
      </c>
      <c r="E1617">
        <v>20</v>
      </c>
      <c r="F1617">
        <v>10</v>
      </c>
      <c r="G1617">
        <v>10</v>
      </c>
      <c r="H1617">
        <v>30</v>
      </c>
      <c r="I1617">
        <v>30</v>
      </c>
      <c r="J1617">
        <v>1</v>
      </c>
      <c r="K1617">
        <v>1</v>
      </c>
      <c r="L1617">
        <v>0</v>
      </c>
      <c r="M1617">
        <v>2</v>
      </c>
      <c r="N1617">
        <v>8</v>
      </c>
    </row>
    <row r="1618" spans="1:14" hidden="1" x14ac:dyDescent="0.3">
      <c r="A1618">
        <v>2652</v>
      </c>
      <c r="B1618">
        <v>26</v>
      </c>
      <c r="C1618">
        <v>7</v>
      </c>
      <c r="D1618">
        <v>7</v>
      </c>
      <c r="E1618">
        <v>29</v>
      </c>
      <c r="F1618">
        <v>80</v>
      </c>
      <c r="G1618">
        <v>66</v>
      </c>
      <c r="H1618">
        <v>73</v>
      </c>
      <c r="I1618">
        <v>117</v>
      </c>
      <c r="J1618">
        <v>1</v>
      </c>
      <c r="K1618">
        <v>1</v>
      </c>
      <c r="L1618">
        <v>0</v>
      </c>
      <c r="M1618">
        <v>3</v>
      </c>
      <c r="N1618">
        <v>8</v>
      </c>
    </row>
    <row r="1619" spans="1:14" hidden="1" x14ac:dyDescent="0.3">
      <c r="A1619">
        <v>3108</v>
      </c>
      <c r="B1619">
        <v>26</v>
      </c>
      <c r="C1619">
        <v>12</v>
      </c>
      <c r="D1619">
        <v>0</v>
      </c>
      <c r="E1619">
        <v>56</v>
      </c>
      <c r="F1619">
        <v>19</v>
      </c>
      <c r="G1619">
        <v>37</v>
      </c>
      <c r="H1619">
        <v>12</v>
      </c>
      <c r="I1619">
        <v>111</v>
      </c>
      <c r="J1619">
        <v>1</v>
      </c>
      <c r="K1619">
        <v>1</v>
      </c>
      <c r="L1619">
        <v>0</v>
      </c>
      <c r="M1619">
        <v>3</v>
      </c>
      <c r="N1619">
        <v>8</v>
      </c>
    </row>
    <row r="1620" spans="1:14" hidden="1" x14ac:dyDescent="0.3">
      <c r="A1620">
        <v>1004</v>
      </c>
      <c r="B1620">
        <v>26</v>
      </c>
      <c r="C1620">
        <v>52</v>
      </c>
      <c r="D1620">
        <v>19</v>
      </c>
      <c r="E1620">
        <v>95</v>
      </c>
      <c r="F1620">
        <v>48</v>
      </c>
      <c r="G1620">
        <v>14</v>
      </c>
      <c r="H1620">
        <v>24</v>
      </c>
      <c r="I1620">
        <v>204</v>
      </c>
      <c r="J1620">
        <v>2</v>
      </c>
      <c r="K1620">
        <v>2</v>
      </c>
      <c r="L1620">
        <v>0</v>
      </c>
      <c r="M1620">
        <v>4</v>
      </c>
      <c r="N1620">
        <v>6</v>
      </c>
    </row>
    <row r="1621" spans="1:14" hidden="1" x14ac:dyDescent="0.3">
      <c r="A1621">
        <v>1027</v>
      </c>
      <c r="B1621">
        <v>26</v>
      </c>
      <c r="C1621">
        <v>130</v>
      </c>
      <c r="D1621">
        <v>7</v>
      </c>
      <c r="E1621">
        <v>151</v>
      </c>
      <c r="F1621">
        <v>72</v>
      </c>
      <c r="G1621">
        <v>76</v>
      </c>
      <c r="H1621">
        <v>36</v>
      </c>
      <c r="I1621">
        <v>400</v>
      </c>
      <c r="J1621">
        <v>2</v>
      </c>
      <c r="K1621">
        <v>2</v>
      </c>
      <c r="L1621">
        <v>1</v>
      </c>
      <c r="M1621">
        <v>4</v>
      </c>
      <c r="N1621">
        <v>3</v>
      </c>
    </row>
    <row r="1622" spans="1:14" hidden="1" x14ac:dyDescent="0.3">
      <c r="A1622">
        <v>1722</v>
      </c>
      <c r="B1622">
        <v>26</v>
      </c>
      <c r="C1622">
        <v>151</v>
      </c>
      <c r="D1622">
        <v>8</v>
      </c>
      <c r="E1622">
        <v>97</v>
      </c>
      <c r="F1622">
        <v>15</v>
      </c>
      <c r="G1622">
        <v>12</v>
      </c>
      <c r="H1622">
        <v>93</v>
      </c>
      <c r="I1622">
        <v>189</v>
      </c>
      <c r="J1622">
        <v>2</v>
      </c>
      <c r="K1622">
        <v>3</v>
      </c>
      <c r="L1622">
        <v>0</v>
      </c>
      <c r="M1622">
        <v>3</v>
      </c>
      <c r="N1622">
        <v>8</v>
      </c>
    </row>
    <row r="1623" spans="1:14" hidden="1" x14ac:dyDescent="0.3">
      <c r="A1623">
        <v>2196</v>
      </c>
      <c r="B1623">
        <v>26</v>
      </c>
      <c r="C1623">
        <v>162</v>
      </c>
      <c r="D1623">
        <v>30</v>
      </c>
      <c r="E1623">
        <v>152</v>
      </c>
      <c r="F1623">
        <v>10</v>
      </c>
      <c r="G1623">
        <v>51</v>
      </c>
      <c r="H1623">
        <v>67</v>
      </c>
      <c r="I1623">
        <v>337</v>
      </c>
      <c r="J1623">
        <v>4</v>
      </c>
      <c r="K1623">
        <v>2</v>
      </c>
      <c r="L1623">
        <v>1</v>
      </c>
      <c r="M1623">
        <v>4</v>
      </c>
      <c r="N1623">
        <v>6</v>
      </c>
    </row>
    <row r="1624" spans="1:14" hidden="1" x14ac:dyDescent="0.3">
      <c r="A1624">
        <v>2453</v>
      </c>
      <c r="B1624">
        <v>26</v>
      </c>
      <c r="C1624">
        <v>195</v>
      </c>
      <c r="D1624">
        <v>0</v>
      </c>
      <c r="E1624">
        <v>35</v>
      </c>
      <c r="F1624">
        <v>0</v>
      </c>
      <c r="G1624">
        <v>3</v>
      </c>
      <c r="H1624">
        <v>0</v>
      </c>
      <c r="I1624">
        <v>232</v>
      </c>
      <c r="J1624">
        <v>1</v>
      </c>
      <c r="K1624">
        <v>2</v>
      </c>
      <c r="L1624">
        <v>1</v>
      </c>
      <c r="M1624">
        <v>3</v>
      </c>
      <c r="N1624">
        <v>3</v>
      </c>
    </row>
    <row r="1625" spans="1:14" hidden="1" x14ac:dyDescent="0.3">
      <c r="A1625">
        <v>1554</v>
      </c>
      <c r="B1625">
        <v>26</v>
      </c>
      <c r="C1625">
        <v>316</v>
      </c>
      <c r="D1625">
        <v>0</v>
      </c>
      <c r="E1625">
        <v>342</v>
      </c>
      <c r="F1625">
        <v>158</v>
      </c>
      <c r="G1625">
        <v>32</v>
      </c>
      <c r="H1625">
        <v>342</v>
      </c>
      <c r="I1625">
        <v>506</v>
      </c>
      <c r="J1625">
        <v>5</v>
      </c>
      <c r="K1625">
        <v>5</v>
      </c>
      <c r="L1625">
        <v>1</v>
      </c>
      <c r="M1625">
        <v>5</v>
      </c>
      <c r="N1625">
        <v>6</v>
      </c>
    </row>
    <row r="1626" spans="1:14" hidden="1" x14ac:dyDescent="0.3">
      <c r="A1626">
        <v>2726</v>
      </c>
      <c r="B1626">
        <v>26</v>
      </c>
      <c r="C1626">
        <v>316</v>
      </c>
      <c r="D1626">
        <v>0</v>
      </c>
      <c r="E1626">
        <v>342</v>
      </c>
      <c r="F1626">
        <v>158</v>
      </c>
      <c r="G1626">
        <v>32</v>
      </c>
      <c r="H1626">
        <v>342</v>
      </c>
      <c r="I1626">
        <v>506</v>
      </c>
      <c r="J1626">
        <v>5</v>
      </c>
      <c r="K1626">
        <v>5</v>
      </c>
      <c r="L1626">
        <v>1</v>
      </c>
      <c r="M1626">
        <v>5</v>
      </c>
      <c r="N1626">
        <v>6</v>
      </c>
    </row>
    <row r="1627" spans="1:14" hidden="1" x14ac:dyDescent="0.3">
      <c r="A1627">
        <v>3091</v>
      </c>
      <c r="B1627">
        <v>26</v>
      </c>
      <c r="C1627">
        <v>326</v>
      </c>
      <c r="D1627">
        <v>7</v>
      </c>
      <c r="E1627">
        <v>36</v>
      </c>
      <c r="F1627">
        <v>13</v>
      </c>
      <c r="G1627">
        <v>0</v>
      </c>
      <c r="H1627">
        <v>53</v>
      </c>
      <c r="I1627">
        <v>329</v>
      </c>
      <c r="J1627">
        <v>3</v>
      </c>
      <c r="K1627">
        <v>3</v>
      </c>
      <c r="L1627">
        <v>0</v>
      </c>
      <c r="M1627">
        <v>4</v>
      </c>
      <c r="N1627">
        <v>8</v>
      </c>
    </row>
    <row r="1628" spans="1:14" hidden="1" x14ac:dyDescent="0.3">
      <c r="A1628">
        <v>1682</v>
      </c>
      <c r="B1628">
        <v>26</v>
      </c>
      <c r="C1628">
        <v>509</v>
      </c>
      <c r="D1628">
        <v>295</v>
      </c>
      <c r="E1628">
        <v>425</v>
      </c>
      <c r="F1628">
        <v>36</v>
      </c>
      <c r="G1628">
        <v>154</v>
      </c>
      <c r="H1628">
        <v>55</v>
      </c>
      <c r="I1628">
        <v>1363</v>
      </c>
      <c r="J1628">
        <v>2</v>
      </c>
      <c r="K1628">
        <v>8</v>
      </c>
      <c r="L1628">
        <v>2</v>
      </c>
      <c r="M1628">
        <v>8</v>
      </c>
      <c r="N1628">
        <v>4</v>
      </c>
    </row>
    <row r="1629" spans="1:14" hidden="1" x14ac:dyDescent="0.3">
      <c r="A1629">
        <v>1466</v>
      </c>
      <c r="B1629">
        <v>26</v>
      </c>
      <c r="C1629">
        <v>566</v>
      </c>
      <c r="D1629">
        <v>62</v>
      </c>
      <c r="E1629">
        <v>144</v>
      </c>
      <c r="F1629">
        <v>103</v>
      </c>
      <c r="G1629">
        <v>45</v>
      </c>
      <c r="H1629">
        <v>295</v>
      </c>
      <c r="I1629">
        <v>624</v>
      </c>
      <c r="J1629">
        <v>2</v>
      </c>
      <c r="K1629">
        <v>6</v>
      </c>
      <c r="L1629">
        <v>2</v>
      </c>
      <c r="M1629">
        <v>2</v>
      </c>
      <c r="N1629">
        <v>9</v>
      </c>
    </row>
    <row r="1630" spans="1:14" hidden="1" x14ac:dyDescent="0.3">
      <c r="A1630">
        <v>2356</v>
      </c>
      <c r="B1630">
        <v>26</v>
      </c>
      <c r="C1630">
        <v>964</v>
      </c>
      <c r="D1630">
        <v>0</v>
      </c>
      <c r="E1630">
        <v>97</v>
      </c>
      <c r="F1630">
        <v>11</v>
      </c>
      <c r="G1630">
        <v>8</v>
      </c>
      <c r="H1630">
        <v>19</v>
      </c>
      <c r="I1630">
        <v>1061</v>
      </c>
      <c r="J1630">
        <v>6</v>
      </c>
      <c r="K1630">
        <v>4</v>
      </c>
      <c r="L1630">
        <v>2</v>
      </c>
      <c r="M1630">
        <v>8</v>
      </c>
      <c r="N1630">
        <v>5</v>
      </c>
    </row>
    <row r="1631" spans="1:14" hidden="1" x14ac:dyDescent="0.3">
      <c r="A1631">
        <v>1003</v>
      </c>
      <c r="B1631">
        <v>26</v>
      </c>
      <c r="C1631">
        <v>1021</v>
      </c>
      <c r="D1631">
        <v>117</v>
      </c>
      <c r="E1631">
        <v>304</v>
      </c>
      <c r="F1631">
        <v>266</v>
      </c>
      <c r="G1631">
        <v>50</v>
      </c>
      <c r="H1631">
        <v>101</v>
      </c>
      <c r="I1631">
        <v>1658</v>
      </c>
      <c r="J1631">
        <v>1</v>
      </c>
      <c r="K1631">
        <v>8</v>
      </c>
      <c r="L1631">
        <v>2</v>
      </c>
      <c r="M1631">
        <v>10</v>
      </c>
      <c r="N1631">
        <v>4</v>
      </c>
    </row>
    <row r="1632" spans="1:14" hidden="1" x14ac:dyDescent="0.3">
      <c r="A1632">
        <v>1720</v>
      </c>
      <c r="B1632">
        <v>26</v>
      </c>
      <c r="C1632">
        <v>1318</v>
      </c>
      <c r="D1632">
        <v>345</v>
      </c>
      <c r="E1632">
        <v>1287</v>
      </c>
      <c r="F1632">
        <v>202</v>
      </c>
      <c r="G1632">
        <v>62</v>
      </c>
      <c r="H1632">
        <v>251</v>
      </c>
      <c r="I1632">
        <v>2963</v>
      </c>
      <c r="J1632">
        <v>2</v>
      </c>
      <c r="K1632">
        <v>7</v>
      </c>
      <c r="L1632">
        <v>5</v>
      </c>
      <c r="M1632">
        <v>6</v>
      </c>
      <c r="N1632">
        <v>4</v>
      </c>
    </row>
    <row r="1633" spans="1:14" hidden="1" x14ac:dyDescent="0.3">
      <c r="A1633">
        <v>1058</v>
      </c>
      <c r="B1633">
        <v>26</v>
      </c>
      <c r="C1633">
        <v>1369</v>
      </c>
      <c r="D1633">
        <v>18</v>
      </c>
      <c r="E1633">
        <v>351</v>
      </c>
      <c r="F1633">
        <v>97</v>
      </c>
      <c r="G1633">
        <v>37</v>
      </c>
      <c r="H1633">
        <v>442</v>
      </c>
      <c r="I1633">
        <v>1429</v>
      </c>
      <c r="J1633">
        <v>4</v>
      </c>
      <c r="K1633">
        <v>8</v>
      </c>
      <c r="L1633">
        <v>2</v>
      </c>
      <c r="M1633">
        <v>10</v>
      </c>
      <c r="N1633">
        <v>7</v>
      </c>
    </row>
    <row r="1634" spans="1:14" hidden="1" x14ac:dyDescent="0.3">
      <c r="A1634">
        <v>2545</v>
      </c>
      <c r="B1634">
        <v>26</v>
      </c>
      <c r="C1634">
        <v>1707</v>
      </c>
      <c r="D1634">
        <v>21</v>
      </c>
      <c r="E1634">
        <v>419</v>
      </c>
      <c r="F1634">
        <v>28</v>
      </c>
      <c r="G1634">
        <v>44</v>
      </c>
      <c r="H1634">
        <v>154</v>
      </c>
      <c r="I1634">
        <v>2065</v>
      </c>
      <c r="J1634">
        <v>11</v>
      </c>
      <c r="K1634">
        <v>6</v>
      </c>
      <c r="L1634">
        <v>3</v>
      </c>
      <c r="M1634">
        <v>5</v>
      </c>
      <c r="N1634">
        <v>4</v>
      </c>
    </row>
    <row r="1635" spans="1:14" hidden="1" x14ac:dyDescent="0.3">
      <c r="A1635">
        <v>2577</v>
      </c>
      <c r="B1635">
        <v>26</v>
      </c>
      <c r="C1635">
        <v>2283</v>
      </c>
      <c r="D1635">
        <v>228</v>
      </c>
      <c r="E1635">
        <v>1368</v>
      </c>
      <c r="F1635">
        <v>533</v>
      </c>
      <c r="G1635">
        <v>318</v>
      </c>
      <c r="H1635">
        <v>228</v>
      </c>
      <c r="I1635">
        <v>4503</v>
      </c>
      <c r="J1635">
        <v>1</v>
      </c>
      <c r="K1635">
        <v>4</v>
      </c>
      <c r="L1635">
        <v>7</v>
      </c>
      <c r="M1635">
        <v>12</v>
      </c>
      <c r="N1635">
        <v>2</v>
      </c>
    </row>
    <row r="1636" spans="1:14" hidden="1" x14ac:dyDescent="0.3">
      <c r="A1636">
        <v>1407</v>
      </c>
      <c r="B1636">
        <v>26</v>
      </c>
      <c r="C1636">
        <v>2379</v>
      </c>
      <c r="D1636">
        <v>150</v>
      </c>
      <c r="E1636">
        <v>228</v>
      </c>
      <c r="F1636">
        <v>64</v>
      </c>
      <c r="G1636">
        <v>201</v>
      </c>
      <c r="H1636">
        <v>150</v>
      </c>
      <c r="I1636">
        <v>2872</v>
      </c>
      <c r="J1636">
        <v>1</v>
      </c>
      <c r="K1636">
        <v>3</v>
      </c>
      <c r="L1636">
        <v>4</v>
      </c>
      <c r="M1636">
        <v>8</v>
      </c>
      <c r="N1636">
        <v>1</v>
      </c>
    </row>
    <row r="1637" spans="1:14" hidden="1" x14ac:dyDescent="0.3">
      <c r="A1637">
        <v>2201</v>
      </c>
      <c r="B1637">
        <v>25</v>
      </c>
      <c r="C1637">
        <v>12</v>
      </c>
      <c r="D1637">
        <v>548</v>
      </c>
      <c r="E1637">
        <v>37</v>
      </c>
      <c r="F1637">
        <v>49</v>
      </c>
      <c r="G1637">
        <v>73</v>
      </c>
      <c r="H1637">
        <v>512</v>
      </c>
      <c r="I1637">
        <v>207</v>
      </c>
      <c r="J1637">
        <v>3</v>
      </c>
      <c r="K1637">
        <v>3</v>
      </c>
      <c r="L1637">
        <v>1</v>
      </c>
      <c r="M1637">
        <v>3</v>
      </c>
      <c r="N1637">
        <v>8</v>
      </c>
    </row>
    <row r="1638" spans="1:14" hidden="1" x14ac:dyDescent="0.3">
      <c r="A1638">
        <v>1984</v>
      </c>
      <c r="B1638">
        <v>25</v>
      </c>
      <c r="C1638">
        <v>22</v>
      </c>
      <c r="D1638">
        <v>65</v>
      </c>
      <c r="E1638">
        <v>60</v>
      </c>
      <c r="F1638">
        <v>16</v>
      </c>
      <c r="G1638">
        <v>71</v>
      </c>
      <c r="H1638">
        <v>82</v>
      </c>
      <c r="I1638">
        <v>153</v>
      </c>
      <c r="J1638">
        <v>2</v>
      </c>
      <c r="K1638">
        <v>2</v>
      </c>
      <c r="L1638">
        <v>0</v>
      </c>
      <c r="M1638">
        <v>3</v>
      </c>
      <c r="N1638">
        <v>8</v>
      </c>
    </row>
    <row r="1639" spans="1:14" hidden="1" x14ac:dyDescent="0.3">
      <c r="A1639">
        <v>2913</v>
      </c>
      <c r="B1639">
        <v>25</v>
      </c>
      <c r="C1639">
        <v>31</v>
      </c>
      <c r="D1639">
        <v>8</v>
      </c>
      <c r="E1639">
        <v>16</v>
      </c>
      <c r="F1639">
        <v>0</v>
      </c>
      <c r="G1639">
        <v>0</v>
      </c>
      <c r="H1639">
        <v>4</v>
      </c>
      <c r="I1639">
        <v>51</v>
      </c>
      <c r="J1639">
        <v>1</v>
      </c>
      <c r="K1639">
        <v>0</v>
      </c>
      <c r="L1639">
        <v>0</v>
      </c>
      <c r="M1639">
        <v>3</v>
      </c>
      <c r="N1639">
        <v>5</v>
      </c>
    </row>
    <row r="1640" spans="1:14" hidden="1" x14ac:dyDescent="0.3">
      <c r="A1640">
        <v>1648</v>
      </c>
      <c r="B1640">
        <v>25</v>
      </c>
      <c r="C1640">
        <v>45</v>
      </c>
      <c r="D1640">
        <v>0</v>
      </c>
      <c r="E1640">
        <v>10</v>
      </c>
      <c r="F1640">
        <v>0</v>
      </c>
      <c r="G1640">
        <v>0</v>
      </c>
      <c r="H1640">
        <v>10</v>
      </c>
      <c r="I1640">
        <v>45</v>
      </c>
      <c r="J1640">
        <v>1</v>
      </c>
      <c r="K1640">
        <v>1</v>
      </c>
      <c r="L1640">
        <v>0</v>
      </c>
      <c r="M1640">
        <v>2</v>
      </c>
      <c r="N1640">
        <v>7</v>
      </c>
    </row>
    <row r="1641" spans="1:14" hidden="1" x14ac:dyDescent="0.3">
      <c r="A1641">
        <v>3118</v>
      </c>
      <c r="B1641">
        <v>25</v>
      </c>
      <c r="C1641">
        <v>106</v>
      </c>
      <c r="D1641">
        <v>3</v>
      </c>
      <c r="E1641">
        <v>48</v>
      </c>
      <c r="F1641">
        <v>0</v>
      </c>
      <c r="G1641">
        <v>3</v>
      </c>
      <c r="H1641">
        <v>3</v>
      </c>
      <c r="I1641">
        <v>157</v>
      </c>
      <c r="J1641">
        <v>2</v>
      </c>
      <c r="K1641">
        <v>2</v>
      </c>
      <c r="L1641">
        <v>0</v>
      </c>
      <c r="M1641">
        <v>3</v>
      </c>
      <c r="N1641">
        <v>7</v>
      </c>
    </row>
    <row r="1642" spans="1:14" hidden="1" x14ac:dyDescent="0.3">
      <c r="A1642">
        <v>1901</v>
      </c>
      <c r="B1642">
        <v>25</v>
      </c>
      <c r="C1642">
        <v>121</v>
      </c>
      <c r="D1642">
        <v>0</v>
      </c>
      <c r="E1642">
        <v>6</v>
      </c>
      <c r="F1642">
        <v>0</v>
      </c>
      <c r="G1642">
        <v>0</v>
      </c>
      <c r="H1642">
        <v>19</v>
      </c>
      <c r="I1642">
        <v>108</v>
      </c>
      <c r="J1642">
        <v>1</v>
      </c>
      <c r="K1642">
        <v>1</v>
      </c>
      <c r="L1642">
        <v>0</v>
      </c>
      <c r="M1642">
        <v>3</v>
      </c>
      <c r="N1642">
        <v>7</v>
      </c>
    </row>
    <row r="1643" spans="1:14" hidden="1" x14ac:dyDescent="0.3">
      <c r="A1643">
        <v>2438</v>
      </c>
      <c r="B1643">
        <v>25</v>
      </c>
      <c r="C1643">
        <v>121</v>
      </c>
      <c r="D1643">
        <v>0</v>
      </c>
      <c r="E1643">
        <v>6</v>
      </c>
      <c r="F1643">
        <v>0</v>
      </c>
      <c r="G1643">
        <v>0</v>
      </c>
      <c r="H1643">
        <v>19</v>
      </c>
      <c r="I1643">
        <v>108</v>
      </c>
      <c r="J1643">
        <v>1</v>
      </c>
      <c r="K1643">
        <v>1</v>
      </c>
      <c r="L1643">
        <v>0</v>
      </c>
      <c r="M1643">
        <v>3</v>
      </c>
      <c r="N1643">
        <v>7</v>
      </c>
    </row>
    <row r="1644" spans="1:14" hidden="1" x14ac:dyDescent="0.3">
      <c r="A1644">
        <v>2796</v>
      </c>
      <c r="B1644">
        <v>25</v>
      </c>
      <c r="C1644">
        <v>181</v>
      </c>
      <c r="D1644">
        <v>0</v>
      </c>
      <c r="E1644">
        <v>29</v>
      </c>
      <c r="F1644">
        <v>0</v>
      </c>
      <c r="G1644">
        <v>0</v>
      </c>
      <c r="H1644">
        <v>10</v>
      </c>
      <c r="I1644">
        <v>201</v>
      </c>
      <c r="J1644">
        <v>2</v>
      </c>
      <c r="K1644">
        <v>2</v>
      </c>
      <c r="L1644">
        <v>0</v>
      </c>
      <c r="M1644">
        <v>3</v>
      </c>
      <c r="N1644">
        <v>7</v>
      </c>
    </row>
    <row r="1645" spans="1:14" hidden="1" x14ac:dyDescent="0.3">
      <c r="A1645">
        <v>3164</v>
      </c>
      <c r="B1645">
        <v>25</v>
      </c>
      <c r="C1645">
        <v>185</v>
      </c>
      <c r="D1645">
        <v>23</v>
      </c>
      <c r="E1645">
        <v>159</v>
      </c>
      <c r="F1645">
        <v>33</v>
      </c>
      <c r="G1645">
        <v>7</v>
      </c>
      <c r="H1645">
        <v>60</v>
      </c>
      <c r="I1645">
        <v>347</v>
      </c>
      <c r="J1645">
        <v>1</v>
      </c>
      <c r="K1645">
        <v>3</v>
      </c>
      <c r="L1645">
        <v>0</v>
      </c>
      <c r="M1645">
        <v>4</v>
      </c>
      <c r="N1645">
        <v>7</v>
      </c>
    </row>
    <row r="1646" spans="1:14" hidden="1" x14ac:dyDescent="0.3">
      <c r="A1646">
        <v>1939</v>
      </c>
      <c r="B1646">
        <v>25</v>
      </c>
      <c r="C1646">
        <v>186</v>
      </c>
      <c r="D1646">
        <v>5</v>
      </c>
      <c r="E1646">
        <v>40</v>
      </c>
      <c r="F1646">
        <v>5</v>
      </c>
      <c r="G1646">
        <v>5</v>
      </c>
      <c r="H1646">
        <v>16</v>
      </c>
      <c r="I1646">
        <v>226</v>
      </c>
      <c r="J1646">
        <v>2</v>
      </c>
      <c r="K1646">
        <v>2</v>
      </c>
      <c r="L1646">
        <v>0</v>
      </c>
      <c r="M1646">
        <v>4</v>
      </c>
      <c r="N1646">
        <v>5</v>
      </c>
    </row>
    <row r="1647" spans="1:14" hidden="1" x14ac:dyDescent="0.3">
      <c r="A1647">
        <v>1446</v>
      </c>
      <c r="B1647">
        <v>25</v>
      </c>
      <c r="C1647">
        <v>334</v>
      </c>
      <c r="D1647">
        <v>0</v>
      </c>
      <c r="E1647">
        <v>18</v>
      </c>
      <c r="F1647">
        <v>6</v>
      </c>
      <c r="G1647">
        <v>3</v>
      </c>
      <c r="H1647">
        <v>42</v>
      </c>
      <c r="I1647">
        <v>319</v>
      </c>
      <c r="J1647">
        <v>2</v>
      </c>
      <c r="K1647">
        <v>3</v>
      </c>
      <c r="L1647">
        <v>1</v>
      </c>
      <c r="M1647">
        <v>3</v>
      </c>
      <c r="N1647">
        <v>6</v>
      </c>
    </row>
    <row r="1648" spans="1:14" hidden="1" x14ac:dyDescent="0.3">
      <c r="A1648">
        <v>3066</v>
      </c>
      <c r="B1648">
        <v>25</v>
      </c>
      <c r="C1648">
        <v>506</v>
      </c>
      <c r="D1648">
        <v>11</v>
      </c>
      <c r="E1648">
        <v>74</v>
      </c>
      <c r="F1648">
        <v>23</v>
      </c>
      <c r="G1648">
        <v>11</v>
      </c>
      <c r="H1648">
        <v>125</v>
      </c>
      <c r="I1648">
        <v>500</v>
      </c>
      <c r="J1648">
        <v>5</v>
      </c>
      <c r="K1648">
        <v>4</v>
      </c>
      <c r="L1648">
        <v>1</v>
      </c>
      <c r="M1648">
        <v>5</v>
      </c>
      <c r="N1648">
        <v>6</v>
      </c>
    </row>
    <row r="1649" spans="1:14" hidden="1" x14ac:dyDescent="0.3">
      <c r="A1649">
        <v>1836</v>
      </c>
      <c r="B1649">
        <v>25</v>
      </c>
      <c r="C1649">
        <v>703</v>
      </c>
      <c r="D1649">
        <v>528</v>
      </c>
      <c r="E1649">
        <v>804</v>
      </c>
      <c r="F1649">
        <v>621</v>
      </c>
      <c r="G1649">
        <v>24</v>
      </c>
      <c r="H1649">
        <v>451</v>
      </c>
      <c r="I1649">
        <v>2229</v>
      </c>
      <c r="J1649">
        <v>7</v>
      </c>
      <c r="K1649">
        <v>10</v>
      </c>
      <c r="L1649">
        <v>2</v>
      </c>
      <c r="M1649">
        <v>12</v>
      </c>
      <c r="N1649">
        <v>7</v>
      </c>
    </row>
    <row r="1650" spans="1:14" hidden="1" x14ac:dyDescent="0.3">
      <c r="A1650">
        <v>2456</v>
      </c>
      <c r="B1650">
        <v>25</v>
      </c>
      <c r="C1650">
        <v>703</v>
      </c>
      <c r="D1650">
        <v>528</v>
      </c>
      <c r="E1650">
        <v>804</v>
      </c>
      <c r="F1650">
        <v>621</v>
      </c>
      <c r="G1650">
        <v>24</v>
      </c>
      <c r="H1650">
        <v>451</v>
      </c>
      <c r="I1650">
        <v>2229</v>
      </c>
      <c r="J1650">
        <v>7</v>
      </c>
      <c r="K1650">
        <v>10</v>
      </c>
      <c r="L1650">
        <v>2</v>
      </c>
      <c r="M1650">
        <v>12</v>
      </c>
      <c r="N1650">
        <v>7</v>
      </c>
    </row>
    <row r="1651" spans="1:14" hidden="1" x14ac:dyDescent="0.3">
      <c r="A1651">
        <v>1983</v>
      </c>
      <c r="B1651">
        <v>25</v>
      </c>
      <c r="C1651">
        <v>968</v>
      </c>
      <c r="D1651">
        <v>44</v>
      </c>
      <c r="E1651">
        <v>400</v>
      </c>
      <c r="F1651">
        <v>78</v>
      </c>
      <c r="G1651">
        <v>14</v>
      </c>
      <c r="H1651">
        <v>505</v>
      </c>
      <c r="I1651">
        <v>999</v>
      </c>
      <c r="J1651">
        <v>5</v>
      </c>
      <c r="K1651">
        <v>8</v>
      </c>
      <c r="L1651">
        <v>5</v>
      </c>
      <c r="M1651">
        <v>4</v>
      </c>
      <c r="N1651">
        <v>8</v>
      </c>
    </row>
    <row r="1652" spans="1:14" hidden="1" x14ac:dyDescent="0.3">
      <c r="A1652">
        <v>2389</v>
      </c>
      <c r="B1652">
        <v>25</v>
      </c>
      <c r="C1652">
        <v>1136</v>
      </c>
      <c r="D1652">
        <v>208</v>
      </c>
      <c r="E1652">
        <v>1165</v>
      </c>
      <c r="F1652">
        <v>542</v>
      </c>
      <c r="G1652">
        <v>90</v>
      </c>
      <c r="H1652">
        <v>58</v>
      </c>
      <c r="I1652">
        <v>3083</v>
      </c>
      <c r="J1652">
        <v>1</v>
      </c>
      <c r="K1652">
        <v>5</v>
      </c>
      <c r="L1652">
        <v>10</v>
      </c>
      <c r="M1652">
        <v>5</v>
      </c>
      <c r="N1652">
        <v>1</v>
      </c>
    </row>
    <row r="1653" spans="1:14" hidden="1" x14ac:dyDescent="0.3">
      <c r="A1653">
        <v>1108</v>
      </c>
      <c r="B1653">
        <v>25</v>
      </c>
      <c r="C1653">
        <v>1150</v>
      </c>
      <c r="D1653">
        <v>208</v>
      </c>
      <c r="E1653">
        <v>1707</v>
      </c>
      <c r="F1653">
        <v>317</v>
      </c>
      <c r="G1653">
        <v>172</v>
      </c>
      <c r="H1653">
        <v>69</v>
      </c>
      <c r="I1653">
        <v>3485</v>
      </c>
      <c r="J1653">
        <v>0</v>
      </c>
      <c r="K1653">
        <v>4</v>
      </c>
      <c r="L1653">
        <v>6</v>
      </c>
      <c r="M1653">
        <v>5</v>
      </c>
      <c r="N1653">
        <v>1</v>
      </c>
    </row>
    <row r="1654" spans="1:14" hidden="1" x14ac:dyDescent="0.3">
      <c r="A1654">
        <v>3142</v>
      </c>
      <c r="B1654">
        <v>25</v>
      </c>
      <c r="C1654">
        <v>1586</v>
      </c>
      <c r="D1654">
        <v>0</v>
      </c>
      <c r="E1654">
        <v>177</v>
      </c>
      <c r="F1654">
        <v>0</v>
      </c>
      <c r="G1654">
        <v>18</v>
      </c>
      <c r="H1654">
        <v>71</v>
      </c>
      <c r="I1654">
        <v>1710</v>
      </c>
      <c r="J1654">
        <v>2</v>
      </c>
      <c r="K1654">
        <v>9</v>
      </c>
      <c r="L1654">
        <v>3</v>
      </c>
      <c r="M1654">
        <v>8</v>
      </c>
      <c r="N1654">
        <v>6</v>
      </c>
    </row>
    <row r="1655" spans="1:14" hidden="1" x14ac:dyDescent="0.3">
      <c r="A1655">
        <v>1575</v>
      </c>
      <c r="B1655">
        <v>25</v>
      </c>
      <c r="C1655">
        <v>1703</v>
      </c>
      <c r="D1655">
        <v>382</v>
      </c>
      <c r="E1655">
        <v>1662</v>
      </c>
      <c r="F1655">
        <v>221</v>
      </c>
      <c r="G1655">
        <v>340</v>
      </c>
      <c r="H1655">
        <v>42</v>
      </c>
      <c r="I1655">
        <v>4266</v>
      </c>
      <c r="J1655">
        <v>0</v>
      </c>
      <c r="K1655">
        <v>5</v>
      </c>
      <c r="L1655">
        <v>11</v>
      </c>
      <c r="M1655">
        <v>5</v>
      </c>
      <c r="N1655">
        <v>2</v>
      </c>
    </row>
    <row r="1656" spans="1:14" hidden="1" x14ac:dyDescent="0.3">
      <c r="A1656">
        <v>1977</v>
      </c>
      <c r="B1656">
        <v>25</v>
      </c>
      <c r="C1656">
        <v>1849</v>
      </c>
      <c r="D1656">
        <v>0</v>
      </c>
      <c r="E1656">
        <v>1267</v>
      </c>
      <c r="F1656">
        <v>221</v>
      </c>
      <c r="G1656">
        <v>135</v>
      </c>
      <c r="H1656">
        <v>0</v>
      </c>
      <c r="I1656">
        <v>3472</v>
      </c>
      <c r="J1656">
        <v>1</v>
      </c>
      <c r="K1656">
        <v>8</v>
      </c>
      <c r="L1656">
        <v>4</v>
      </c>
      <c r="M1656">
        <v>10</v>
      </c>
      <c r="N1656">
        <v>6</v>
      </c>
    </row>
    <row r="1657" spans="1:14" hidden="1" x14ac:dyDescent="0.3">
      <c r="A1657">
        <v>3014</v>
      </c>
      <c r="B1657">
        <v>25</v>
      </c>
      <c r="C1657">
        <v>2229</v>
      </c>
      <c r="D1657">
        <v>405</v>
      </c>
      <c r="E1657">
        <v>849</v>
      </c>
      <c r="F1657">
        <v>528</v>
      </c>
      <c r="G1657">
        <v>160</v>
      </c>
      <c r="H1657">
        <v>205</v>
      </c>
      <c r="I1657">
        <v>3966</v>
      </c>
      <c r="J1657">
        <v>1</v>
      </c>
      <c r="K1657">
        <v>10</v>
      </c>
      <c r="L1657">
        <v>3</v>
      </c>
      <c r="M1657">
        <v>10</v>
      </c>
      <c r="N1657">
        <v>6</v>
      </c>
    </row>
    <row r="1658" spans="1:14" hidden="1" x14ac:dyDescent="0.3">
      <c r="A1658">
        <v>2168</v>
      </c>
      <c r="B1658">
        <v>25</v>
      </c>
      <c r="C1658">
        <v>2349</v>
      </c>
      <c r="D1658">
        <v>0</v>
      </c>
      <c r="E1658">
        <v>264</v>
      </c>
      <c r="F1658">
        <v>0</v>
      </c>
      <c r="G1658">
        <v>0</v>
      </c>
      <c r="H1658">
        <v>52</v>
      </c>
      <c r="I1658">
        <v>2561</v>
      </c>
      <c r="J1658">
        <v>1</v>
      </c>
      <c r="K1658">
        <v>6</v>
      </c>
      <c r="L1658">
        <v>6</v>
      </c>
      <c r="M1658">
        <v>13</v>
      </c>
      <c r="N1658">
        <v>4</v>
      </c>
    </row>
    <row r="1659" spans="1:14" hidden="1" x14ac:dyDescent="0.3">
      <c r="A1659">
        <v>1738</v>
      </c>
      <c r="B1659">
        <v>25</v>
      </c>
      <c r="C1659">
        <v>2425</v>
      </c>
      <c r="D1659">
        <v>27</v>
      </c>
      <c r="E1659">
        <v>274</v>
      </c>
      <c r="F1659">
        <v>35</v>
      </c>
      <c r="G1659">
        <v>0</v>
      </c>
      <c r="H1659">
        <v>412</v>
      </c>
      <c r="I1659">
        <v>2349</v>
      </c>
      <c r="J1659">
        <v>5</v>
      </c>
      <c r="K1659">
        <v>3</v>
      </c>
      <c r="L1659">
        <v>4</v>
      </c>
      <c r="M1659">
        <v>8</v>
      </c>
      <c r="N1659">
        <v>8</v>
      </c>
    </row>
    <row r="1660" spans="1:14" hidden="1" x14ac:dyDescent="0.3">
      <c r="A1660">
        <v>2681</v>
      </c>
      <c r="B1660">
        <v>25</v>
      </c>
      <c r="C1660">
        <v>2602</v>
      </c>
      <c r="D1660">
        <v>32</v>
      </c>
      <c r="E1660">
        <v>525</v>
      </c>
      <c r="F1660">
        <v>43</v>
      </c>
      <c r="G1660">
        <v>65</v>
      </c>
      <c r="H1660">
        <v>32</v>
      </c>
      <c r="I1660">
        <v>3235</v>
      </c>
      <c r="J1660">
        <v>4</v>
      </c>
      <c r="K1660">
        <v>7</v>
      </c>
      <c r="L1660">
        <v>8</v>
      </c>
      <c r="M1660">
        <v>13</v>
      </c>
      <c r="N1660">
        <v>6</v>
      </c>
    </row>
    <row r="1661" spans="1:14" hidden="1" x14ac:dyDescent="0.3">
      <c r="A1661">
        <v>3207</v>
      </c>
      <c r="B1661">
        <v>24</v>
      </c>
      <c r="C1661">
        <v>0</v>
      </c>
      <c r="D1661">
        <v>0</v>
      </c>
      <c r="E1661">
        <v>0</v>
      </c>
      <c r="F1661">
        <v>0</v>
      </c>
      <c r="G1661">
        <v>0</v>
      </c>
      <c r="H1661">
        <v>0</v>
      </c>
      <c r="I1661">
        <v>0</v>
      </c>
      <c r="J1661">
        <v>3</v>
      </c>
      <c r="K1661">
        <v>7</v>
      </c>
      <c r="L1661">
        <v>6</v>
      </c>
      <c r="M1661">
        <v>6</v>
      </c>
      <c r="N1661">
        <v>4</v>
      </c>
    </row>
    <row r="1662" spans="1:14" hidden="1" x14ac:dyDescent="0.3">
      <c r="A1662">
        <v>1400</v>
      </c>
      <c r="B1662">
        <v>24</v>
      </c>
      <c r="C1662">
        <v>12</v>
      </c>
      <c r="D1662">
        <v>30</v>
      </c>
      <c r="E1662">
        <v>54</v>
      </c>
      <c r="F1662">
        <v>169</v>
      </c>
      <c r="G1662">
        <v>36</v>
      </c>
      <c r="H1662">
        <v>169</v>
      </c>
      <c r="I1662">
        <v>133</v>
      </c>
      <c r="J1662">
        <v>3</v>
      </c>
      <c r="K1662">
        <v>2</v>
      </c>
      <c r="L1662">
        <v>1</v>
      </c>
      <c r="M1662">
        <v>3</v>
      </c>
      <c r="N1662">
        <v>5</v>
      </c>
    </row>
    <row r="1663" spans="1:14" hidden="1" x14ac:dyDescent="0.3">
      <c r="A1663">
        <v>1711</v>
      </c>
      <c r="B1663">
        <v>24</v>
      </c>
      <c r="C1663">
        <v>30</v>
      </c>
      <c r="D1663">
        <v>0</v>
      </c>
      <c r="E1663">
        <v>11</v>
      </c>
      <c r="F1663">
        <v>0</v>
      </c>
      <c r="G1663">
        <v>0</v>
      </c>
      <c r="H1663">
        <v>0</v>
      </c>
      <c r="I1663">
        <v>42</v>
      </c>
      <c r="J1663">
        <v>1</v>
      </c>
      <c r="K1663">
        <v>0</v>
      </c>
      <c r="L1663">
        <v>0</v>
      </c>
      <c r="M1663">
        <v>3</v>
      </c>
      <c r="N1663">
        <v>5</v>
      </c>
    </row>
    <row r="1664" spans="1:14" hidden="1" x14ac:dyDescent="0.3">
      <c r="A1664">
        <v>2157</v>
      </c>
      <c r="B1664">
        <v>24</v>
      </c>
      <c r="C1664">
        <v>32</v>
      </c>
      <c r="D1664">
        <v>0</v>
      </c>
      <c r="E1664">
        <v>32</v>
      </c>
      <c r="F1664">
        <v>0</v>
      </c>
      <c r="G1664">
        <v>0</v>
      </c>
      <c r="H1664">
        <v>8</v>
      </c>
      <c r="I1664">
        <v>56</v>
      </c>
      <c r="J1664">
        <v>1</v>
      </c>
      <c r="K1664">
        <v>1</v>
      </c>
      <c r="L1664">
        <v>0</v>
      </c>
      <c r="M1664">
        <v>2</v>
      </c>
      <c r="N1664">
        <v>8</v>
      </c>
    </row>
    <row r="1665" spans="1:14" hidden="1" x14ac:dyDescent="0.3">
      <c r="A1665">
        <v>1246</v>
      </c>
      <c r="B1665">
        <v>24</v>
      </c>
      <c r="C1665">
        <v>38</v>
      </c>
      <c r="D1665">
        <v>0</v>
      </c>
      <c r="E1665">
        <v>14</v>
      </c>
      <c r="F1665">
        <v>0</v>
      </c>
      <c r="G1665">
        <v>0</v>
      </c>
      <c r="H1665">
        <v>7</v>
      </c>
      <c r="I1665">
        <v>45</v>
      </c>
      <c r="J1665">
        <v>1</v>
      </c>
      <c r="K1665">
        <v>1</v>
      </c>
      <c r="L1665">
        <v>0</v>
      </c>
      <c r="M1665">
        <v>2</v>
      </c>
      <c r="N1665">
        <v>8</v>
      </c>
    </row>
    <row r="1666" spans="1:14" hidden="1" x14ac:dyDescent="0.3">
      <c r="A1666">
        <v>1183</v>
      </c>
      <c r="B1666">
        <v>24</v>
      </c>
      <c r="C1666">
        <v>42</v>
      </c>
      <c r="D1666">
        <v>0</v>
      </c>
      <c r="E1666">
        <v>42</v>
      </c>
      <c r="F1666">
        <v>13</v>
      </c>
      <c r="G1666">
        <v>4</v>
      </c>
      <c r="H1666">
        <v>29</v>
      </c>
      <c r="I1666">
        <v>71</v>
      </c>
      <c r="J1666">
        <v>2</v>
      </c>
      <c r="K1666">
        <v>1</v>
      </c>
      <c r="L1666">
        <v>1</v>
      </c>
      <c r="M1666">
        <v>2</v>
      </c>
      <c r="N1666">
        <v>8</v>
      </c>
    </row>
    <row r="1667" spans="1:14" hidden="1" x14ac:dyDescent="0.3">
      <c r="A1667">
        <v>2590</v>
      </c>
      <c r="B1667">
        <v>24</v>
      </c>
      <c r="C1667">
        <v>42</v>
      </c>
      <c r="D1667">
        <v>0</v>
      </c>
      <c r="E1667">
        <v>42</v>
      </c>
      <c r="F1667">
        <v>13</v>
      </c>
      <c r="G1667">
        <v>4</v>
      </c>
      <c r="H1667">
        <v>29</v>
      </c>
      <c r="I1667">
        <v>71</v>
      </c>
      <c r="J1667">
        <v>2</v>
      </c>
      <c r="K1667">
        <v>1</v>
      </c>
      <c r="L1667">
        <v>1</v>
      </c>
      <c r="M1667">
        <v>2</v>
      </c>
      <c r="N1667">
        <v>8</v>
      </c>
    </row>
    <row r="1668" spans="1:14" hidden="1" x14ac:dyDescent="0.3">
      <c r="A1668">
        <v>1044</v>
      </c>
      <c r="B1668">
        <v>24</v>
      </c>
      <c r="C1668">
        <v>43</v>
      </c>
      <c r="D1668">
        <v>258</v>
      </c>
      <c r="E1668">
        <v>201</v>
      </c>
      <c r="F1668">
        <v>215</v>
      </c>
      <c r="G1668">
        <v>315</v>
      </c>
      <c r="H1668">
        <v>717</v>
      </c>
      <c r="I1668">
        <v>315</v>
      </c>
      <c r="J1668">
        <v>3</v>
      </c>
      <c r="K1668">
        <v>3</v>
      </c>
      <c r="L1668">
        <v>1</v>
      </c>
      <c r="M1668">
        <v>3</v>
      </c>
      <c r="N1668">
        <v>9</v>
      </c>
    </row>
    <row r="1669" spans="1:14" hidden="1" x14ac:dyDescent="0.3">
      <c r="A1669">
        <v>2861</v>
      </c>
      <c r="B1669">
        <v>24</v>
      </c>
      <c r="C1669">
        <v>72</v>
      </c>
      <c r="D1669">
        <v>3</v>
      </c>
      <c r="E1669">
        <v>29</v>
      </c>
      <c r="F1669">
        <v>0</v>
      </c>
      <c r="G1669">
        <v>0</v>
      </c>
      <c r="H1669">
        <v>46</v>
      </c>
      <c r="I1669">
        <v>59</v>
      </c>
      <c r="J1669">
        <v>1</v>
      </c>
      <c r="K1669">
        <v>1</v>
      </c>
      <c r="L1669">
        <v>1</v>
      </c>
      <c r="M1669">
        <v>2</v>
      </c>
      <c r="N1669">
        <v>4</v>
      </c>
    </row>
    <row r="1670" spans="1:14" hidden="1" x14ac:dyDescent="0.3">
      <c r="A1670">
        <v>3180</v>
      </c>
      <c r="B1670">
        <v>24</v>
      </c>
      <c r="C1670">
        <v>83</v>
      </c>
      <c r="D1670">
        <v>7</v>
      </c>
      <c r="E1670">
        <v>62</v>
      </c>
      <c r="F1670">
        <v>7</v>
      </c>
      <c r="G1670">
        <v>4</v>
      </c>
      <c r="H1670">
        <v>0</v>
      </c>
      <c r="I1670">
        <v>163</v>
      </c>
      <c r="J1670">
        <v>2</v>
      </c>
      <c r="K1670">
        <v>2</v>
      </c>
      <c r="L1670">
        <v>0</v>
      </c>
      <c r="M1670">
        <v>3</v>
      </c>
      <c r="N1670">
        <v>7</v>
      </c>
    </row>
    <row r="1671" spans="1:14" hidden="1" x14ac:dyDescent="0.3">
      <c r="A1671">
        <v>1472</v>
      </c>
      <c r="B1671">
        <v>24</v>
      </c>
      <c r="C1671">
        <v>89</v>
      </c>
      <c r="D1671">
        <v>0</v>
      </c>
      <c r="E1671">
        <v>41</v>
      </c>
      <c r="F1671">
        <v>16</v>
      </c>
      <c r="G1671">
        <v>8</v>
      </c>
      <c r="H1671">
        <v>8</v>
      </c>
      <c r="I1671">
        <v>146</v>
      </c>
      <c r="J1671">
        <v>1</v>
      </c>
      <c r="K1671">
        <v>1</v>
      </c>
      <c r="L1671">
        <v>0</v>
      </c>
      <c r="M1671">
        <v>3</v>
      </c>
      <c r="N1671">
        <v>7</v>
      </c>
    </row>
    <row r="1672" spans="1:14" hidden="1" x14ac:dyDescent="0.3">
      <c r="A1672">
        <v>2361</v>
      </c>
      <c r="B1672">
        <v>24</v>
      </c>
      <c r="C1672">
        <v>104</v>
      </c>
      <c r="D1672">
        <v>17</v>
      </c>
      <c r="E1672">
        <v>98</v>
      </c>
      <c r="F1672">
        <v>17</v>
      </c>
      <c r="G1672">
        <v>0</v>
      </c>
      <c r="H1672">
        <v>23</v>
      </c>
      <c r="I1672">
        <v>214</v>
      </c>
      <c r="J1672">
        <v>1</v>
      </c>
      <c r="K1672">
        <v>2</v>
      </c>
      <c r="L1672">
        <v>0</v>
      </c>
      <c r="M1672">
        <v>3</v>
      </c>
      <c r="N1672">
        <v>9</v>
      </c>
    </row>
    <row r="1673" spans="1:14" hidden="1" x14ac:dyDescent="0.3">
      <c r="A1673">
        <v>3089</v>
      </c>
      <c r="B1673">
        <v>24</v>
      </c>
      <c r="C1673">
        <v>136</v>
      </c>
      <c r="D1673">
        <v>18</v>
      </c>
      <c r="E1673">
        <v>205</v>
      </c>
      <c r="F1673">
        <v>44</v>
      </c>
      <c r="G1673">
        <v>29</v>
      </c>
      <c r="H1673">
        <v>18</v>
      </c>
      <c r="I1673">
        <v>414</v>
      </c>
      <c r="J1673">
        <v>2</v>
      </c>
      <c r="K1673">
        <v>3</v>
      </c>
      <c r="L1673">
        <v>0</v>
      </c>
      <c r="M1673">
        <v>4</v>
      </c>
      <c r="N1673">
        <v>7</v>
      </c>
    </row>
    <row r="1674" spans="1:14" hidden="1" x14ac:dyDescent="0.3">
      <c r="A1674">
        <v>2098</v>
      </c>
      <c r="B1674">
        <v>24</v>
      </c>
      <c r="C1674">
        <v>331</v>
      </c>
      <c r="D1674">
        <v>147</v>
      </c>
      <c r="E1674">
        <v>203</v>
      </c>
      <c r="F1674">
        <v>240</v>
      </c>
      <c r="G1674">
        <v>105</v>
      </c>
      <c r="H1674">
        <v>575</v>
      </c>
      <c r="I1674">
        <v>451</v>
      </c>
      <c r="J1674">
        <v>1</v>
      </c>
      <c r="K1674">
        <v>3</v>
      </c>
      <c r="L1674">
        <v>5</v>
      </c>
      <c r="M1674">
        <v>3</v>
      </c>
      <c r="N1674">
        <v>6</v>
      </c>
    </row>
    <row r="1675" spans="1:14" hidden="1" x14ac:dyDescent="0.3">
      <c r="A1675">
        <v>2314</v>
      </c>
      <c r="B1675">
        <v>24</v>
      </c>
      <c r="C1675">
        <v>348</v>
      </c>
      <c r="D1675">
        <v>0</v>
      </c>
      <c r="E1675">
        <v>1025</v>
      </c>
      <c r="F1675">
        <v>0</v>
      </c>
      <c r="G1675">
        <v>269</v>
      </c>
      <c r="H1675">
        <v>160</v>
      </c>
      <c r="I1675">
        <v>1482</v>
      </c>
      <c r="J1675">
        <v>1</v>
      </c>
      <c r="K1675">
        <v>6</v>
      </c>
      <c r="L1675">
        <v>5</v>
      </c>
      <c r="M1675">
        <v>8</v>
      </c>
      <c r="N1675">
        <v>9</v>
      </c>
    </row>
    <row r="1676" spans="1:14" hidden="1" x14ac:dyDescent="0.3">
      <c r="A1676">
        <v>1685</v>
      </c>
      <c r="B1676">
        <v>24</v>
      </c>
      <c r="C1676">
        <v>383</v>
      </c>
      <c r="D1676">
        <v>65</v>
      </c>
      <c r="E1676">
        <v>72</v>
      </c>
      <c r="F1676">
        <v>55</v>
      </c>
      <c r="G1676">
        <v>48</v>
      </c>
      <c r="H1676">
        <v>17</v>
      </c>
      <c r="I1676">
        <v>605</v>
      </c>
      <c r="J1676">
        <v>3</v>
      </c>
      <c r="K1676">
        <v>4</v>
      </c>
      <c r="L1676">
        <v>1</v>
      </c>
      <c r="M1676">
        <v>4</v>
      </c>
      <c r="N1676">
        <v>7</v>
      </c>
    </row>
    <row r="1677" spans="1:14" hidden="1" x14ac:dyDescent="0.3">
      <c r="A1677">
        <v>2348</v>
      </c>
      <c r="B1677">
        <v>24</v>
      </c>
      <c r="C1677">
        <v>383</v>
      </c>
      <c r="D1677">
        <v>65</v>
      </c>
      <c r="E1677">
        <v>72</v>
      </c>
      <c r="F1677">
        <v>55</v>
      </c>
      <c r="G1677">
        <v>48</v>
      </c>
      <c r="H1677">
        <v>17</v>
      </c>
      <c r="I1677">
        <v>605</v>
      </c>
      <c r="J1677">
        <v>3</v>
      </c>
      <c r="K1677">
        <v>4</v>
      </c>
      <c r="L1677">
        <v>1</v>
      </c>
      <c r="M1677">
        <v>4</v>
      </c>
      <c r="N1677">
        <v>7</v>
      </c>
    </row>
    <row r="1678" spans="1:14" hidden="1" x14ac:dyDescent="0.3">
      <c r="A1678">
        <v>2922</v>
      </c>
      <c r="B1678">
        <v>24</v>
      </c>
      <c r="C1678">
        <v>476</v>
      </c>
      <c r="D1678">
        <v>83</v>
      </c>
      <c r="E1678">
        <v>767</v>
      </c>
      <c r="F1678">
        <v>243</v>
      </c>
      <c r="G1678">
        <v>186</v>
      </c>
      <c r="H1678">
        <v>33</v>
      </c>
      <c r="I1678">
        <v>1723</v>
      </c>
      <c r="J1678">
        <v>1</v>
      </c>
      <c r="K1678">
        <v>4</v>
      </c>
      <c r="L1678">
        <v>7</v>
      </c>
      <c r="M1678">
        <v>10</v>
      </c>
      <c r="N1678">
        <v>1</v>
      </c>
    </row>
    <row r="1679" spans="1:14" hidden="1" x14ac:dyDescent="0.3">
      <c r="A1679">
        <v>3077</v>
      </c>
      <c r="B1679">
        <v>24</v>
      </c>
      <c r="C1679">
        <v>532</v>
      </c>
      <c r="D1679">
        <v>6</v>
      </c>
      <c r="E1679">
        <v>120</v>
      </c>
      <c r="F1679">
        <v>9</v>
      </c>
      <c r="G1679">
        <v>6</v>
      </c>
      <c r="H1679">
        <v>145</v>
      </c>
      <c r="I1679">
        <v>529</v>
      </c>
      <c r="J1679">
        <v>3</v>
      </c>
      <c r="K1679">
        <v>5</v>
      </c>
      <c r="L1679">
        <v>1</v>
      </c>
      <c r="M1679">
        <v>4</v>
      </c>
      <c r="N1679">
        <v>7</v>
      </c>
    </row>
    <row r="1680" spans="1:14" hidden="1" x14ac:dyDescent="0.3">
      <c r="A1680">
        <v>1502</v>
      </c>
      <c r="B1680">
        <v>24</v>
      </c>
      <c r="C1680">
        <v>545</v>
      </c>
      <c r="D1680">
        <v>55</v>
      </c>
      <c r="E1680">
        <v>934</v>
      </c>
      <c r="F1680">
        <v>101</v>
      </c>
      <c r="G1680">
        <v>50</v>
      </c>
      <c r="H1680">
        <v>180</v>
      </c>
      <c r="I1680">
        <v>1506</v>
      </c>
      <c r="J1680">
        <v>1</v>
      </c>
      <c r="K1680">
        <v>4</v>
      </c>
      <c r="L1680">
        <v>5</v>
      </c>
      <c r="M1680">
        <v>7</v>
      </c>
      <c r="N1680">
        <v>2</v>
      </c>
    </row>
    <row r="1681" spans="1:14" hidden="1" x14ac:dyDescent="0.3">
      <c r="A1681">
        <v>2073</v>
      </c>
      <c r="B1681">
        <v>24</v>
      </c>
      <c r="C1681">
        <v>545</v>
      </c>
      <c r="D1681">
        <v>55</v>
      </c>
      <c r="E1681">
        <v>934</v>
      </c>
      <c r="F1681">
        <v>101</v>
      </c>
      <c r="G1681">
        <v>50</v>
      </c>
      <c r="H1681">
        <v>180</v>
      </c>
      <c r="I1681">
        <v>1506</v>
      </c>
      <c r="J1681">
        <v>1</v>
      </c>
      <c r="K1681">
        <v>4</v>
      </c>
      <c r="L1681">
        <v>5</v>
      </c>
      <c r="M1681">
        <v>7</v>
      </c>
      <c r="N1681">
        <v>2</v>
      </c>
    </row>
    <row r="1682" spans="1:14" hidden="1" x14ac:dyDescent="0.3">
      <c r="A1682">
        <v>1206</v>
      </c>
      <c r="B1682">
        <v>24</v>
      </c>
      <c r="C1682">
        <v>591</v>
      </c>
      <c r="D1682">
        <v>13</v>
      </c>
      <c r="E1682">
        <v>107</v>
      </c>
      <c r="F1682">
        <v>0</v>
      </c>
      <c r="G1682">
        <v>0</v>
      </c>
      <c r="H1682">
        <v>214</v>
      </c>
      <c r="I1682">
        <v>496</v>
      </c>
      <c r="J1682">
        <v>2</v>
      </c>
      <c r="K1682">
        <v>4</v>
      </c>
      <c r="L1682">
        <v>1</v>
      </c>
      <c r="M1682">
        <v>5</v>
      </c>
      <c r="N1682">
        <v>7</v>
      </c>
    </row>
    <row r="1683" spans="1:14" hidden="1" x14ac:dyDescent="0.3">
      <c r="A1683">
        <v>2437</v>
      </c>
      <c r="B1683">
        <v>24</v>
      </c>
      <c r="C1683">
        <v>790</v>
      </c>
      <c r="D1683">
        <v>161</v>
      </c>
      <c r="E1683">
        <v>482</v>
      </c>
      <c r="F1683">
        <v>210</v>
      </c>
      <c r="G1683">
        <v>14</v>
      </c>
      <c r="H1683">
        <v>79</v>
      </c>
      <c r="I1683">
        <v>1578</v>
      </c>
      <c r="J1683">
        <v>7</v>
      </c>
      <c r="K1683">
        <v>4</v>
      </c>
      <c r="L1683">
        <v>6</v>
      </c>
      <c r="M1683">
        <v>8</v>
      </c>
      <c r="N1683">
        <v>3</v>
      </c>
    </row>
    <row r="1684" spans="1:14" hidden="1" x14ac:dyDescent="0.3">
      <c r="A1684">
        <v>2633</v>
      </c>
      <c r="B1684">
        <v>24</v>
      </c>
      <c r="C1684">
        <v>848</v>
      </c>
      <c r="D1684">
        <v>48</v>
      </c>
      <c r="E1684">
        <v>478</v>
      </c>
      <c r="F1684">
        <v>251</v>
      </c>
      <c r="G1684">
        <v>48</v>
      </c>
      <c r="H1684">
        <v>400</v>
      </c>
      <c r="I1684">
        <v>1272</v>
      </c>
      <c r="J1684">
        <v>6</v>
      </c>
      <c r="K1684">
        <v>7</v>
      </c>
      <c r="L1684">
        <v>4</v>
      </c>
      <c r="M1684">
        <v>6</v>
      </c>
      <c r="N1684">
        <v>6</v>
      </c>
    </row>
    <row r="1685" spans="1:14" hidden="1" x14ac:dyDescent="0.3">
      <c r="A1685">
        <v>3192</v>
      </c>
      <c r="B1685">
        <v>24</v>
      </c>
      <c r="C1685">
        <v>1586</v>
      </c>
      <c r="D1685">
        <v>16</v>
      </c>
      <c r="E1685">
        <v>159</v>
      </c>
      <c r="F1685">
        <v>22</v>
      </c>
      <c r="G1685">
        <v>0</v>
      </c>
      <c r="H1685">
        <v>74</v>
      </c>
      <c r="I1685">
        <v>1709</v>
      </c>
      <c r="J1685">
        <v>3</v>
      </c>
      <c r="K1685">
        <v>7</v>
      </c>
      <c r="L1685">
        <v>6</v>
      </c>
      <c r="M1685">
        <v>6</v>
      </c>
      <c r="N1685">
        <v>4</v>
      </c>
    </row>
    <row r="1686" spans="1:14" hidden="1" x14ac:dyDescent="0.3">
      <c r="A1686">
        <v>1435</v>
      </c>
      <c r="B1686">
        <v>24</v>
      </c>
      <c r="C1686">
        <v>1811</v>
      </c>
      <c r="D1686">
        <v>105</v>
      </c>
      <c r="E1686">
        <v>444</v>
      </c>
      <c r="F1686">
        <v>171</v>
      </c>
      <c r="G1686">
        <v>130</v>
      </c>
      <c r="H1686">
        <v>102</v>
      </c>
      <c r="I1686">
        <v>2559</v>
      </c>
      <c r="J1686">
        <v>3</v>
      </c>
      <c r="K1686">
        <v>8</v>
      </c>
      <c r="L1686">
        <v>9</v>
      </c>
      <c r="M1686">
        <v>7</v>
      </c>
      <c r="N1686">
        <v>7</v>
      </c>
    </row>
    <row r="1687" spans="1:14" hidden="1" x14ac:dyDescent="0.3">
      <c r="A1687">
        <v>3054</v>
      </c>
      <c r="B1687">
        <v>24</v>
      </c>
      <c r="C1687">
        <v>1811</v>
      </c>
      <c r="D1687">
        <v>105</v>
      </c>
      <c r="E1687">
        <v>444</v>
      </c>
      <c r="F1687">
        <v>171</v>
      </c>
      <c r="G1687">
        <v>130</v>
      </c>
      <c r="H1687">
        <v>102</v>
      </c>
      <c r="I1687">
        <v>2559</v>
      </c>
      <c r="J1687">
        <v>3</v>
      </c>
      <c r="K1687">
        <v>8</v>
      </c>
      <c r="L1687">
        <v>9</v>
      </c>
      <c r="M1687">
        <v>7</v>
      </c>
      <c r="N1687">
        <v>7</v>
      </c>
    </row>
    <row r="1688" spans="1:14" hidden="1" x14ac:dyDescent="0.3">
      <c r="A1688">
        <v>1893</v>
      </c>
      <c r="B1688">
        <v>24</v>
      </c>
      <c r="C1688">
        <v>2776</v>
      </c>
      <c r="D1688">
        <v>0</v>
      </c>
      <c r="E1688">
        <v>207</v>
      </c>
      <c r="F1688">
        <v>0</v>
      </c>
      <c r="G1688">
        <v>0</v>
      </c>
      <c r="H1688">
        <v>507</v>
      </c>
      <c r="I1688">
        <v>2476</v>
      </c>
      <c r="J1688">
        <v>6</v>
      </c>
      <c r="K1688">
        <v>10</v>
      </c>
      <c r="L1688">
        <v>5</v>
      </c>
      <c r="M1688">
        <v>10</v>
      </c>
      <c r="N1688">
        <v>8</v>
      </c>
    </row>
    <row r="1689" spans="1:14" hidden="1" x14ac:dyDescent="0.3">
      <c r="A1689">
        <v>2889</v>
      </c>
      <c r="B1689">
        <v>24</v>
      </c>
      <c r="C1689">
        <v>2776</v>
      </c>
      <c r="D1689">
        <v>0</v>
      </c>
      <c r="E1689">
        <v>207</v>
      </c>
      <c r="F1689">
        <v>0</v>
      </c>
      <c r="G1689">
        <v>0</v>
      </c>
      <c r="H1689">
        <v>507</v>
      </c>
      <c r="I1689">
        <v>2476</v>
      </c>
      <c r="J1689">
        <v>6</v>
      </c>
      <c r="K1689">
        <v>10</v>
      </c>
      <c r="L1689">
        <v>5</v>
      </c>
      <c r="M1689">
        <v>10</v>
      </c>
      <c r="N1689">
        <v>8</v>
      </c>
    </row>
    <row r="1690" spans="1:14" hidden="1" x14ac:dyDescent="0.3">
      <c r="A1690">
        <v>3151</v>
      </c>
      <c r="B1690">
        <v>23</v>
      </c>
      <c r="C1690">
        <v>10</v>
      </c>
      <c r="D1690">
        <v>38</v>
      </c>
      <c r="E1690">
        <v>48</v>
      </c>
      <c r="F1690">
        <v>57</v>
      </c>
      <c r="G1690">
        <v>67</v>
      </c>
      <c r="H1690">
        <v>110</v>
      </c>
      <c r="I1690">
        <v>110</v>
      </c>
      <c r="J1690">
        <v>3</v>
      </c>
      <c r="K1690">
        <v>2</v>
      </c>
      <c r="L1690">
        <v>1</v>
      </c>
      <c r="M1690">
        <v>3</v>
      </c>
      <c r="N1690">
        <v>5</v>
      </c>
    </row>
    <row r="1691" spans="1:14" hidden="1" x14ac:dyDescent="0.3">
      <c r="A1691">
        <v>2401</v>
      </c>
      <c r="B1691">
        <v>23</v>
      </c>
      <c r="C1691">
        <v>14</v>
      </c>
      <c r="D1691">
        <v>82</v>
      </c>
      <c r="E1691">
        <v>118</v>
      </c>
      <c r="F1691">
        <v>50</v>
      </c>
      <c r="G1691">
        <v>36</v>
      </c>
      <c r="H1691">
        <v>55</v>
      </c>
      <c r="I1691">
        <v>246</v>
      </c>
      <c r="J1691">
        <v>3</v>
      </c>
      <c r="K1691">
        <v>2</v>
      </c>
      <c r="L1691">
        <v>0</v>
      </c>
      <c r="M1691">
        <v>4</v>
      </c>
      <c r="N1691">
        <v>7</v>
      </c>
    </row>
    <row r="1692" spans="1:14" hidden="1" x14ac:dyDescent="0.3">
      <c r="A1692">
        <v>1360</v>
      </c>
      <c r="B1692">
        <v>23</v>
      </c>
      <c r="C1692">
        <v>16</v>
      </c>
      <c r="D1692">
        <v>49</v>
      </c>
      <c r="E1692">
        <v>81</v>
      </c>
      <c r="F1692">
        <v>71</v>
      </c>
      <c r="G1692">
        <v>11</v>
      </c>
      <c r="H1692">
        <v>212</v>
      </c>
      <c r="I1692">
        <v>16</v>
      </c>
      <c r="J1692">
        <v>1</v>
      </c>
      <c r="K1692">
        <v>1</v>
      </c>
      <c r="L1692">
        <v>1</v>
      </c>
      <c r="M1692">
        <v>2</v>
      </c>
      <c r="N1692">
        <v>9</v>
      </c>
    </row>
    <row r="1693" spans="1:14" hidden="1" x14ac:dyDescent="0.3">
      <c r="A1693">
        <v>1810</v>
      </c>
      <c r="B1693">
        <v>23</v>
      </c>
      <c r="C1693">
        <v>21</v>
      </c>
      <c r="D1693">
        <v>0</v>
      </c>
      <c r="E1693">
        <v>35</v>
      </c>
      <c r="F1693">
        <v>92</v>
      </c>
      <c r="G1693">
        <v>0</v>
      </c>
      <c r="H1693">
        <v>7</v>
      </c>
      <c r="I1693">
        <v>141</v>
      </c>
      <c r="J1693">
        <v>1</v>
      </c>
      <c r="K1693">
        <v>1</v>
      </c>
      <c r="L1693">
        <v>0</v>
      </c>
      <c r="M1693">
        <v>3</v>
      </c>
      <c r="N1693">
        <v>6</v>
      </c>
    </row>
    <row r="1694" spans="1:14" hidden="1" x14ac:dyDescent="0.3">
      <c r="A1694">
        <v>1592</v>
      </c>
      <c r="B1694">
        <v>23</v>
      </c>
      <c r="C1694">
        <v>34</v>
      </c>
      <c r="D1694">
        <v>17</v>
      </c>
      <c r="E1694">
        <v>21</v>
      </c>
      <c r="F1694">
        <v>64</v>
      </c>
      <c r="G1694">
        <v>8</v>
      </c>
      <c r="H1694">
        <v>47</v>
      </c>
      <c r="I1694">
        <v>98</v>
      </c>
      <c r="J1694">
        <v>2</v>
      </c>
      <c r="K1694">
        <v>1</v>
      </c>
      <c r="L1694">
        <v>0</v>
      </c>
      <c r="M1694">
        <v>3</v>
      </c>
      <c r="N1694">
        <v>7</v>
      </c>
    </row>
    <row r="1695" spans="1:14" hidden="1" x14ac:dyDescent="0.3">
      <c r="A1695">
        <v>2318</v>
      </c>
      <c r="B1695">
        <v>23</v>
      </c>
      <c r="C1695">
        <v>45</v>
      </c>
      <c r="D1695">
        <v>21</v>
      </c>
      <c r="E1695">
        <v>24</v>
      </c>
      <c r="F1695">
        <v>0</v>
      </c>
      <c r="G1695">
        <v>10</v>
      </c>
      <c r="H1695">
        <v>10</v>
      </c>
      <c r="I1695">
        <v>91</v>
      </c>
      <c r="J1695">
        <v>1</v>
      </c>
      <c r="K1695">
        <v>1</v>
      </c>
      <c r="L1695">
        <v>0</v>
      </c>
      <c r="M1695">
        <v>3</v>
      </c>
      <c r="N1695">
        <v>6</v>
      </c>
    </row>
    <row r="1696" spans="1:14" hidden="1" x14ac:dyDescent="0.3">
      <c r="A1696">
        <v>2741</v>
      </c>
      <c r="B1696">
        <v>23</v>
      </c>
      <c r="C1696">
        <v>59</v>
      </c>
      <c r="D1696">
        <v>4</v>
      </c>
      <c r="E1696">
        <v>7</v>
      </c>
      <c r="F1696">
        <v>0</v>
      </c>
      <c r="G1696">
        <v>0</v>
      </c>
      <c r="H1696">
        <v>4</v>
      </c>
      <c r="I1696">
        <v>67</v>
      </c>
      <c r="J1696">
        <v>1</v>
      </c>
      <c r="K1696">
        <v>1</v>
      </c>
      <c r="L1696">
        <v>0</v>
      </c>
      <c r="M1696">
        <v>3</v>
      </c>
      <c r="N1696">
        <v>5</v>
      </c>
    </row>
    <row r="1697" spans="1:14" hidden="1" x14ac:dyDescent="0.3">
      <c r="A1697">
        <v>3114</v>
      </c>
      <c r="B1697">
        <v>23</v>
      </c>
      <c r="C1697">
        <v>109</v>
      </c>
      <c r="D1697">
        <v>0</v>
      </c>
      <c r="E1697">
        <v>35</v>
      </c>
      <c r="F1697">
        <v>0</v>
      </c>
      <c r="G1697">
        <v>4</v>
      </c>
      <c r="H1697">
        <v>17</v>
      </c>
      <c r="I1697">
        <v>131</v>
      </c>
      <c r="J1697">
        <v>1</v>
      </c>
      <c r="K1697">
        <v>2</v>
      </c>
      <c r="L1697">
        <v>0</v>
      </c>
      <c r="M1697">
        <v>2</v>
      </c>
      <c r="N1697">
        <v>9</v>
      </c>
    </row>
    <row r="1698" spans="1:14" hidden="1" x14ac:dyDescent="0.3">
      <c r="A1698">
        <v>2333</v>
      </c>
      <c r="B1698">
        <v>23</v>
      </c>
      <c r="C1698">
        <v>210</v>
      </c>
      <c r="D1698">
        <v>29</v>
      </c>
      <c r="E1698">
        <v>183</v>
      </c>
      <c r="F1698">
        <v>81</v>
      </c>
      <c r="G1698">
        <v>37</v>
      </c>
      <c r="H1698">
        <v>15</v>
      </c>
      <c r="I1698">
        <v>526</v>
      </c>
      <c r="J1698">
        <v>1</v>
      </c>
      <c r="K1698">
        <v>4</v>
      </c>
      <c r="L1698">
        <v>1</v>
      </c>
      <c r="M1698">
        <v>5</v>
      </c>
      <c r="N1698">
        <v>4</v>
      </c>
    </row>
    <row r="1699" spans="1:14" hidden="1" x14ac:dyDescent="0.3">
      <c r="A1699">
        <v>2594</v>
      </c>
      <c r="B1699">
        <v>23</v>
      </c>
      <c r="C1699">
        <v>210</v>
      </c>
      <c r="D1699">
        <v>29</v>
      </c>
      <c r="E1699">
        <v>183</v>
      </c>
      <c r="F1699">
        <v>81</v>
      </c>
      <c r="G1699">
        <v>37</v>
      </c>
      <c r="H1699">
        <v>15</v>
      </c>
      <c r="I1699">
        <v>526</v>
      </c>
      <c r="J1699">
        <v>1</v>
      </c>
      <c r="K1699">
        <v>4</v>
      </c>
      <c r="L1699">
        <v>1</v>
      </c>
      <c r="M1699">
        <v>5</v>
      </c>
      <c r="N1699">
        <v>4</v>
      </c>
    </row>
    <row r="1700" spans="1:14" hidden="1" x14ac:dyDescent="0.3">
      <c r="A1700">
        <v>1890</v>
      </c>
      <c r="B1700">
        <v>23</v>
      </c>
      <c r="C1700">
        <v>324</v>
      </c>
      <c r="D1700">
        <v>29</v>
      </c>
      <c r="E1700">
        <v>156</v>
      </c>
      <c r="F1700">
        <v>76</v>
      </c>
      <c r="G1700">
        <v>10</v>
      </c>
      <c r="H1700">
        <v>38</v>
      </c>
      <c r="I1700">
        <v>556</v>
      </c>
      <c r="J1700">
        <v>1</v>
      </c>
      <c r="K1700">
        <v>2</v>
      </c>
      <c r="L1700">
        <v>1</v>
      </c>
      <c r="M1700">
        <v>6</v>
      </c>
      <c r="N1700">
        <v>4</v>
      </c>
    </row>
    <row r="1701" spans="1:14" hidden="1" x14ac:dyDescent="0.3">
      <c r="A1701">
        <v>2043</v>
      </c>
      <c r="B1701">
        <v>23</v>
      </c>
      <c r="C1701">
        <v>419</v>
      </c>
      <c r="D1701">
        <v>281</v>
      </c>
      <c r="E1701">
        <v>903</v>
      </c>
      <c r="F1701">
        <v>287</v>
      </c>
      <c r="G1701">
        <v>199</v>
      </c>
      <c r="H1701">
        <v>118</v>
      </c>
      <c r="I1701">
        <v>1971</v>
      </c>
      <c r="J1701">
        <v>2</v>
      </c>
      <c r="K1701">
        <v>5</v>
      </c>
      <c r="L1701">
        <v>2</v>
      </c>
      <c r="M1701">
        <v>11</v>
      </c>
      <c r="N1701">
        <v>5</v>
      </c>
    </row>
    <row r="1702" spans="1:14" hidden="1" x14ac:dyDescent="0.3">
      <c r="A1702">
        <v>3046</v>
      </c>
      <c r="B1702">
        <v>23</v>
      </c>
      <c r="C1702">
        <v>419</v>
      </c>
      <c r="D1702">
        <v>281</v>
      </c>
      <c r="E1702">
        <v>903</v>
      </c>
      <c r="F1702">
        <v>287</v>
      </c>
      <c r="G1702">
        <v>199</v>
      </c>
      <c r="H1702">
        <v>118</v>
      </c>
      <c r="I1702">
        <v>1971</v>
      </c>
      <c r="J1702">
        <v>2</v>
      </c>
      <c r="K1702">
        <v>5</v>
      </c>
      <c r="L1702">
        <v>2</v>
      </c>
      <c r="M1702">
        <v>11</v>
      </c>
      <c r="N1702">
        <v>5</v>
      </c>
    </row>
    <row r="1703" spans="1:14" hidden="1" x14ac:dyDescent="0.3">
      <c r="A1703">
        <v>2613</v>
      </c>
      <c r="B1703">
        <v>23</v>
      </c>
      <c r="C1703">
        <v>528</v>
      </c>
      <c r="D1703">
        <v>187</v>
      </c>
      <c r="E1703">
        <v>908</v>
      </c>
      <c r="F1703">
        <v>270</v>
      </c>
      <c r="G1703">
        <v>56</v>
      </c>
      <c r="H1703">
        <v>226</v>
      </c>
      <c r="I1703">
        <v>1723</v>
      </c>
      <c r="J1703">
        <v>1</v>
      </c>
      <c r="K1703">
        <v>3</v>
      </c>
      <c r="L1703">
        <v>6</v>
      </c>
      <c r="M1703">
        <v>12</v>
      </c>
      <c r="N1703">
        <v>1</v>
      </c>
    </row>
    <row r="1704" spans="1:14" hidden="1" x14ac:dyDescent="0.3">
      <c r="A1704">
        <v>3012</v>
      </c>
      <c r="B1704">
        <v>23</v>
      </c>
      <c r="C1704">
        <v>635</v>
      </c>
      <c r="D1704">
        <v>238</v>
      </c>
      <c r="E1704">
        <v>572</v>
      </c>
      <c r="F1704">
        <v>167</v>
      </c>
      <c r="G1704">
        <v>16</v>
      </c>
      <c r="H1704">
        <v>64</v>
      </c>
      <c r="I1704">
        <v>1565</v>
      </c>
      <c r="J1704">
        <v>4</v>
      </c>
      <c r="K1704">
        <v>4</v>
      </c>
      <c r="L1704">
        <v>4</v>
      </c>
      <c r="M1704">
        <v>10</v>
      </c>
      <c r="N1704">
        <v>3</v>
      </c>
    </row>
    <row r="1705" spans="1:14" hidden="1" x14ac:dyDescent="0.3">
      <c r="A1705">
        <v>1603</v>
      </c>
      <c r="B1705">
        <v>23</v>
      </c>
      <c r="C1705">
        <v>998</v>
      </c>
      <c r="D1705">
        <v>0</v>
      </c>
      <c r="E1705">
        <v>77</v>
      </c>
      <c r="F1705">
        <v>28</v>
      </c>
      <c r="G1705">
        <v>0</v>
      </c>
      <c r="H1705">
        <v>43</v>
      </c>
      <c r="I1705">
        <v>1061</v>
      </c>
      <c r="J1705">
        <v>3</v>
      </c>
      <c r="K1705">
        <v>6</v>
      </c>
      <c r="L1705">
        <v>1</v>
      </c>
      <c r="M1705">
        <v>7</v>
      </c>
      <c r="N1705">
        <v>6</v>
      </c>
    </row>
    <row r="1706" spans="1:14" hidden="1" x14ac:dyDescent="0.3">
      <c r="A1706">
        <v>1305</v>
      </c>
      <c r="B1706">
        <v>23</v>
      </c>
      <c r="C1706">
        <v>1048</v>
      </c>
      <c r="D1706">
        <v>13</v>
      </c>
      <c r="E1706">
        <v>303</v>
      </c>
      <c r="F1706">
        <v>97</v>
      </c>
      <c r="G1706">
        <v>74</v>
      </c>
      <c r="H1706">
        <v>196</v>
      </c>
      <c r="I1706">
        <v>1338</v>
      </c>
      <c r="J1706">
        <v>3</v>
      </c>
      <c r="K1706">
        <v>3</v>
      </c>
      <c r="L1706">
        <v>3</v>
      </c>
      <c r="M1706">
        <v>12</v>
      </c>
      <c r="N1706">
        <v>2</v>
      </c>
    </row>
    <row r="1707" spans="1:14" hidden="1" x14ac:dyDescent="0.3">
      <c r="A1707">
        <v>2868</v>
      </c>
      <c r="B1707">
        <v>23</v>
      </c>
      <c r="C1707">
        <v>1680</v>
      </c>
      <c r="D1707">
        <v>18</v>
      </c>
      <c r="E1707">
        <v>147</v>
      </c>
      <c r="F1707">
        <v>0</v>
      </c>
      <c r="G1707">
        <v>0</v>
      </c>
      <c r="H1707">
        <v>73</v>
      </c>
      <c r="I1707">
        <v>1772</v>
      </c>
      <c r="J1707">
        <v>8</v>
      </c>
      <c r="K1707">
        <v>10</v>
      </c>
      <c r="L1707">
        <v>4</v>
      </c>
      <c r="M1707">
        <v>6</v>
      </c>
      <c r="N1707">
        <v>8</v>
      </c>
    </row>
    <row r="1708" spans="1:14" hidden="1" x14ac:dyDescent="0.3">
      <c r="A1708">
        <v>2052</v>
      </c>
      <c r="B1708">
        <v>23</v>
      </c>
      <c r="C1708">
        <v>1777</v>
      </c>
      <c r="D1708">
        <v>275</v>
      </c>
      <c r="E1708">
        <v>674</v>
      </c>
      <c r="F1708">
        <v>198</v>
      </c>
      <c r="G1708">
        <v>183</v>
      </c>
      <c r="H1708">
        <v>459</v>
      </c>
      <c r="I1708">
        <v>2648</v>
      </c>
      <c r="J1708">
        <v>6</v>
      </c>
      <c r="K1708">
        <v>5</v>
      </c>
      <c r="L1708">
        <v>6</v>
      </c>
      <c r="M1708">
        <v>8</v>
      </c>
      <c r="N1708">
        <v>3</v>
      </c>
    </row>
    <row r="1709" spans="1:14" hidden="1" x14ac:dyDescent="0.3">
      <c r="A1709">
        <v>2998</v>
      </c>
      <c r="B1709">
        <v>23</v>
      </c>
      <c r="C1709">
        <v>1885</v>
      </c>
      <c r="D1709">
        <v>131</v>
      </c>
      <c r="E1709">
        <v>556</v>
      </c>
      <c r="F1709">
        <v>103</v>
      </c>
      <c r="G1709">
        <v>0</v>
      </c>
      <c r="H1709">
        <v>25</v>
      </c>
      <c r="I1709">
        <v>2650</v>
      </c>
      <c r="J1709">
        <v>2</v>
      </c>
      <c r="K1709">
        <v>8</v>
      </c>
      <c r="L1709">
        <v>3</v>
      </c>
      <c r="M1709">
        <v>6</v>
      </c>
      <c r="N1709">
        <v>4</v>
      </c>
    </row>
    <row r="1710" spans="1:14" hidden="1" x14ac:dyDescent="0.3">
      <c r="A1710">
        <v>1633</v>
      </c>
      <c r="B1710">
        <v>23</v>
      </c>
      <c r="C1710">
        <v>2012</v>
      </c>
      <c r="D1710">
        <v>38</v>
      </c>
      <c r="E1710">
        <v>1431</v>
      </c>
      <c r="F1710">
        <v>252</v>
      </c>
      <c r="G1710">
        <v>231</v>
      </c>
      <c r="H1710">
        <v>76</v>
      </c>
      <c r="I1710">
        <v>3888</v>
      </c>
      <c r="J1710">
        <v>0</v>
      </c>
      <c r="K1710">
        <v>4</v>
      </c>
      <c r="L1710">
        <v>6</v>
      </c>
      <c r="M1710">
        <v>9</v>
      </c>
      <c r="N1710">
        <v>1</v>
      </c>
    </row>
    <row r="1711" spans="1:14" hidden="1" x14ac:dyDescent="0.3">
      <c r="A1711">
        <v>2094</v>
      </c>
      <c r="B1711">
        <v>23</v>
      </c>
      <c r="C1711">
        <v>2012</v>
      </c>
      <c r="D1711">
        <v>38</v>
      </c>
      <c r="E1711">
        <v>1431</v>
      </c>
      <c r="F1711">
        <v>252</v>
      </c>
      <c r="G1711">
        <v>231</v>
      </c>
      <c r="H1711">
        <v>76</v>
      </c>
      <c r="I1711">
        <v>3888</v>
      </c>
      <c r="J1711">
        <v>0</v>
      </c>
      <c r="K1711">
        <v>4</v>
      </c>
      <c r="L1711">
        <v>6</v>
      </c>
      <c r="M1711">
        <v>9</v>
      </c>
      <c r="N1711">
        <v>1</v>
      </c>
    </row>
    <row r="1712" spans="1:14" hidden="1" x14ac:dyDescent="0.3">
      <c r="A1712">
        <v>1015</v>
      </c>
      <c r="B1712">
        <v>23</v>
      </c>
      <c r="C1712">
        <v>2221</v>
      </c>
      <c r="D1712">
        <v>49</v>
      </c>
      <c r="E1712">
        <v>254</v>
      </c>
      <c r="F1712">
        <v>130</v>
      </c>
      <c r="G1712">
        <v>150</v>
      </c>
      <c r="H1712">
        <v>99</v>
      </c>
      <c r="I1712">
        <v>2704</v>
      </c>
      <c r="J1712">
        <v>1</v>
      </c>
      <c r="K1712">
        <v>7</v>
      </c>
      <c r="L1712">
        <v>6</v>
      </c>
      <c r="M1712">
        <v>12</v>
      </c>
      <c r="N1712">
        <v>3</v>
      </c>
    </row>
    <row r="1713" spans="1:14" hidden="1" x14ac:dyDescent="0.3">
      <c r="A1713">
        <v>2546</v>
      </c>
      <c r="B1713">
        <v>23</v>
      </c>
      <c r="C1713">
        <v>2221</v>
      </c>
      <c r="D1713">
        <v>49</v>
      </c>
      <c r="E1713">
        <v>254</v>
      </c>
      <c r="F1713">
        <v>130</v>
      </c>
      <c r="G1713">
        <v>150</v>
      </c>
      <c r="H1713">
        <v>99</v>
      </c>
      <c r="I1713">
        <v>2704</v>
      </c>
      <c r="J1713">
        <v>1</v>
      </c>
      <c r="K1713">
        <v>7</v>
      </c>
      <c r="L1713">
        <v>6</v>
      </c>
      <c r="M1713">
        <v>12</v>
      </c>
      <c r="N1713">
        <v>3</v>
      </c>
    </row>
    <row r="1714" spans="1:14" hidden="1" x14ac:dyDescent="0.3">
      <c r="A1714">
        <v>2288</v>
      </c>
      <c r="B1714">
        <v>23</v>
      </c>
      <c r="C1714">
        <v>2722</v>
      </c>
      <c r="D1714">
        <v>0</v>
      </c>
      <c r="E1714">
        <v>175</v>
      </c>
      <c r="F1714">
        <v>0</v>
      </c>
      <c r="G1714">
        <v>0</v>
      </c>
      <c r="H1714">
        <v>117</v>
      </c>
      <c r="I1714">
        <v>2780</v>
      </c>
      <c r="J1714">
        <v>1</v>
      </c>
      <c r="K1714">
        <v>10</v>
      </c>
      <c r="L1714">
        <v>4</v>
      </c>
      <c r="M1714">
        <v>13</v>
      </c>
      <c r="N1714">
        <v>6</v>
      </c>
    </row>
    <row r="1715" spans="1:14" hidden="1" x14ac:dyDescent="0.3">
      <c r="A1715">
        <v>2856</v>
      </c>
      <c r="B1715">
        <v>22</v>
      </c>
      <c r="C1715">
        <v>64</v>
      </c>
      <c r="D1715">
        <v>0</v>
      </c>
      <c r="E1715">
        <v>26</v>
      </c>
      <c r="F1715">
        <v>0</v>
      </c>
      <c r="G1715">
        <v>4</v>
      </c>
      <c r="H1715">
        <v>51</v>
      </c>
      <c r="I1715">
        <v>43</v>
      </c>
      <c r="J1715">
        <v>2</v>
      </c>
      <c r="K1715">
        <v>1</v>
      </c>
      <c r="L1715">
        <v>1</v>
      </c>
      <c r="M1715">
        <v>2</v>
      </c>
      <c r="N1715">
        <v>7</v>
      </c>
    </row>
    <row r="1716" spans="1:14" hidden="1" x14ac:dyDescent="0.3">
      <c r="A1716">
        <v>1480</v>
      </c>
      <c r="B1716">
        <v>22</v>
      </c>
      <c r="C1716">
        <v>81</v>
      </c>
      <c r="D1716">
        <v>3</v>
      </c>
      <c r="E1716">
        <v>25</v>
      </c>
      <c r="F1716">
        <v>6</v>
      </c>
      <c r="G1716">
        <v>0</v>
      </c>
      <c r="H1716">
        <v>6</v>
      </c>
      <c r="I1716">
        <v>109</v>
      </c>
      <c r="J1716">
        <v>1</v>
      </c>
      <c r="K1716">
        <v>2</v>
      </c>
      <c r="L1716">
        <v>0</v>
      </c>
      <c r="M1716">
        <v>3</v>
      </c>
      <c r="N1716">
        <v>3</v>
      </c>
    </row>
    <row r="1717" spans="1:14" hidden="1" x14ac:dyDescent="0.3">
      <c r="A1717">
        <v>1754</v>
      </c>
      <c r="B1717">
        <v>22</v>
      </c>
      <c r="C1717">
        <v>155</v>
      </c>
      <c r="D1717">
        <v>4</v>
      </c>
      <c r="E1717">
        <v>87</v>
      </c>
      <c r="F1717">
        <v>12</v>
      </c>
      <c r="G1717">
        <v>16</v>
      </c>
      <c r="H1717">
        <v>48</v>
      </c>
      <c r="I1717">
        <v>227</v>
      </c>
      <c r="J1717">
        <v>3</v>
      </c>
      <c r="K1717">
        <v>2</v>
      </c>
      <c r="L1717">
        <v>0</v>
      </c>
      <c r="M1717">
        <v>4</v>
      </c>
      <c r="N1717">
        <v>7</v>
      </c>
    </row>
    <row r="1718" spans="1:14" hidden="1" x14ac:dyDescent="0.3">
      <c r="A1718">
        <v>2075</v>
      </c>
      <c r="B1718">
        <v>22</v>
      </c>
      <c r="C1718">
        <v>288</v>
      </c>
      <c r="D1718">
        <v>0</v>
      </c>
      <c r="E1718">
        <v>25</v>
      </c>
      <c r="F1718">
        <v>5</v>
      </c>
      <c r="G1718">
        <v>3</v>
      </c>
      <c r="H1718">
        <v>11</v>
      </c>
      <c r="I1718">
        <v>310</v>
      </c>
      <c r="J1718">
        <v>3</v>
      </c>
      <c r="K1718">
        <v>2</v>
      </c>
      <c r="L1718">
        <v>1</v>
      </c>
      <c r="M1718">
        <v>4</v>
      </c>
      <c r="N1718">
        <v>3</v>
      </c>
    </row>
    <row r="1719" spans="1:14" hidden="1" x14ac:dyDescent="0.3">
      <c r="A1719">
        <v>1314</v>
      </c>
      <c r="B1719">
        <v>22</v>
      </c>
      <c r="C1719">
        <v>295</v>
      </c>
      <c r="D1719">
        <v>30</v>
      </c>
      <c r="E1719">
        <v>256</v>
      </c>
      <c r="F1719">
        <v>43</v>
      </c>
      <c r="G1719">
        <v>22</v>
      </c>
      <c r="H1719">
        <v>48</v>
      </c>
      <c r="I1719">
        <v>598</v>
      </c>
      <c r="J1719">
        <v>4</v>
      </c>
      <c r="K1719">
        <v>3</v>
      </c>
      <c r="L1719">
        <v>1</v>
      </c>
      <c r="M1719">
        <v>4</v>
      </c>
      <c r="N1719">
        <v>8</v>
      </c>
    </row>
    <row r="1720" spans="1:14" hidden="1" x14ac:dyDescent="0.3">
      <c r="A1720">
        <v>2169</v>
      </c>
      <c r="B1720">
        <v>22</v>
      </c>
      <c r="C1720">
        <v>451</v>
      </c>
      <c r="D1720">
        <v>4</v>
      </c>
      <c r="E1720">
        <v>117</v>
      </c>
      <c r="F1720">
        <v>54</v>
      </c>
      <c r="G1720">
        <v>4</v>
      </c>
      <c r="H1720">
        <v>17</v>
      </c>
      <c r="I1720">
        <v>614</v>
      </c>
      <c r="J1720">
        <v>2</v>
      </c>
      <c r="K1720">
        <v>3</v>
      </c>
      <c r="L1720">
        <v>1</v>
      </c>
      <c r="M1720">
        <v>4</v>
      </c>
      <c r="N1720">
        <v>8</v>
      </c>
    </row>
    <row r="1721" spans="1:14" hidden="1" x14ac:dyDescent="0.3">
      <c r="A1721">
        <v>2566</v>
      </c>
      <c r="B1721">
        <v>22</v>
      </c>
      <c r="C1721">
        <v>451</v>
      </c>
      <c r="D1721">
        <v>4</v>
      </c>
      <c r="E1721">
        <v>117</v>
      </c>
      <c r="F1721">
        <v>54</v>
      </c>
      <c r="G1721">
        <v>4</v>
      </c>
      <c r="H1721">
        <v>17</v>
      </c>
      <c r="I1721">
        <v>614</v>
      </c>
      <c r="J1721">
        <v>2</v>
      </c>
      <c r="K1721">
        <v>3</v>
      </c>
      <c r="L1721">
        <v>1</v>
      </c>
      <c r="M1721">
        <v>4</v>
      </c>
      <c r="N1721">
        <v>8</v>
      </c>
    </row>
    <row r="1722" spans="1:14" hidden="1" x14ac:dyDescent="0.3">
      <c r="A1722">
        <v>2358</v>
      </c>
      <c r="B1722">
        <v>22</v>
      </c>
      <c r="C1722">
        <v>768</v>
      </c>
      <c r="D1722">
        <v>0</v>
      </c>
      <c r="E1722">
        <v>49</v>
      </c>
      <c r="F1722">
        <v>0</v>
      </c>
      <c r="G1722">
        <v>0</v>
      </c>
      <c r="H1722">
        <v>66</v>
      </c>
      <c r="I1722">
        <v>751</v>
      </c>
      <c r="J1722">
        <v>3</v>
      </c>
      <c r="K1722">
        <v>5</v>
      </c>
      <c r="L1722">
        <v>1</v>
      </c>
      <c r="M1722">
        <v>6</v>
      </c>
      <c r="N1722">
        <v>7</v>
      </c>
    </row>
    <row r="1723" spans="1:14" hidden="1" x14ac:dyDescent="0.3">
      <c r="A1723">
        <v>2045</v>
      </c>
      <c r="B1723">
        <v>22</v>
      </c>
      <c r="C1723">
        <v>1003</v>
      </c>
      <c r="D1723">
        <v>48</v>
      </c>
      <c r="E1723">
        <v>174</v>
      </c>
      <c r="F1723">
        <v>30</v>
      </c>
      <c r="G1723">
        <v>0</v>
      </c>
      <c r="H1723">
        <v>23</v>
      </c>
      <c r="I1723">
        <v>1233</v>
      </c>
      <c r="J1723">
        <v>1</v>
      </c>
      <c r="K1723">
        <v>4</v>
      </c>
      <c r="L1723">
        <v>4</v>
      </c>
      <c r="M1723">
        <v>8</v>
      </c>
      <c r="N1723">
        <v>2</v>
      </c>
    </row>
    <row r="1724" spans="1:14" hidden="1" x14ac:dyDescent="0.3">
      <c r="A1724">
        <v>2585</v>
      </c>
      <c r="B1724">
        <v>22</v>
      </c>
      <c r="C1724">
        <v>1003</v>
      </c>
      <c r="D1724">
        <v>48</v>
      </c>
      <c r="E1724">
        <v>174</v>
      </c>
      <c r="F1724">
        <v>30</v>
      </c>
      <c r="G1724">
        <v>0</v>
      </c>
      <c r="H1724">
        <v>23</v>
      </c>
      <c r="I1724">
        <v>1233</v>
      </c>
      <c r="J1724">
        <v>1</v>
      </c>
      <c r="K1724">
        <v>4</v>
      </c>
      <c r="L1724">
        <v>4</v>
      </c>
      <c r="M1724">
        <v>8</v>
      </c>
      <c r="N1724">
        <v>2</v>
      </c>
    </row>
    <row r="1725" spans="1:14" hidden="1" x14ac:dyDescent="0.3">
      <c r="A1725">
        <v>1769</v>
      </c>
      <c r="B1725">
        <v>22</v>
      </c>
      <c r="C1725">
        <v>1074</v>
      </c>
      <c r="D1725">
        <v>30</v>
      </c>
      <c r="E1725">
        <v>410</v>
      </c>
      <c r="F1725">
        <v>82</v>
      </c>
      <c r="G1725">
        <v>13</v>
      </c>
      <c r="H1725">
        <v>456</v>
      </c>
      <c r="I1725">
        <v>1153</v>
      </c>
      <c r="J1725">
        <v>6</v>
      </c>
      <c r="K1725">
        <v>7</v>
      </c>
      <c r="L1725">
        <v>1</v>
      </c>
      <c r="M1725">
        <v>8</v>
      </c>
      <c r="N1725">
        <v>7</v>
      </c>
    </row>
    <row r="1726" spans="1:14" hidden="1" x14ac:dyDescent="0.3">
      <c r="A1726">
        <v>2251</v>
      </c>
      <c r="B1726">
        <v>22</v>
      </c>
      <c r="C1726">
        <v>2118</v>
      </c>
      <c r="D1726">
        <v>106</v>
      </c>
      <c r="E1726">
        <v>290</v>
      </c>
      <c r="F1726">
        <v>139</v>
      </c>
      <c r="G1726">
        <v>25</v>
      </c>
      <c r="H1726">
        <v>106</v>
      </c>
      <c r="I1726">
        <v>2573</v>
      </c>
      <c r="J1726">
        <v>2</v>
      </c>
      <c r="K1726">
        <v>7</v>
      </c>
      <c r="L1726">
        <v>3</v>
      </c>
      <c r="M1726">
        <v>4</v>
      </c>
      <c r="N1726">
        <v>4</v>
      </c>
    </row>
    <row r="1727" spans="1:14" hidden="1" x14ac:dyDescent="0.3">
      <c r="A1727">
        <v>1715</v>
      </c>
      <c r="B1727">
        <v>22</v>
      </c>
      <c r="C1727">
        <v>2381</v>
      </c>
      <c r="D1727">
        <v>59</v>
      </c>
      <c r="E1727">
        <v>446</v>
      </c>
      <c r="F1727">
        <v>78</v>
      </c>
      <c r="G1727">
        <v>59</v>
      </c>
      <c r="H1727">
        <v>89</v>
      </c>
      <c r="I1727">
        <v>2935</v>
      </c>
      <c r="J1727">
        <v>3</v>
      </c>
      <c r="K1727">
        <v>4</v>
      </c>
      <c r="L1727">
        <v>3</v>
      </c>
      <c r="M1727">
        <v>4</v>
      </c>
      <c r="N1727">
        <v>5</v>
      </c>
    </row>
    <row r="1728" spans="1:14" hidden="1" x14ac:dyDescent="0.3">
      <c r="A1728">
        <v>2332</v>
      </c>
      <c r="B1728">
        <v>21</v>
      </c>
      <c r="C1728">
        <v>6</v>
      </c>
      <c r="D1728">
        <v>13</v>
      </c>
      <c r="E1728">
        <v>45</v>
      </c>
      <c r="F1728">
        <v>26</v>
      </c>
      <c r="G1728">
        <v>19</v>
      </c>
      <c r="H1728">
        <v>71</v>
      </c>
      <c r="I1728">
        <v>39</v>
      </c>
      <c r="J1728">
        <v>1</v>
      </c>
      <c r="K1728">
        <v>0</v>
      </c>
      <c r="L1728">
        <v>1</v>
      </c>
      <c r="M1728">
        <v>2</v>
      </c>
      <c r="N1728">
        <v>8</v>
      </c>
    </row>
    <row r="1729" spans="1:14" hidden="1" x14ac:dyDescent="0.3">
      <c r="A1729">
        <v>2239</v>
      </c>
      <c r="B1729">
        <v>21</v>
      </c>
      <c r="C1729">
        <v>53</v>
      </c>
      <c r="D1729">
        <v>0</v>
      </c>
      <c r="E1729">
        <v>7</v>
      </c>
      <c r="F1729">
        <v>0</v>
      </c>
      <c r="G1729">
        <v>0</v>
      </c>
      <c r="H1729">
        <v>21</v>
      </c>
      <c r="I1729">
        <v>39</v>
      </c>
      <c r="J1729">
        <v>1</v>
      </c>
      <c r="K1729">
        <v>1</v>
      </c>
      <c r="L1729">
        <v>0</v>
      </c>
      <c r="M1729">
        <v>2</v>
      </c>
      <c r="N1729">
        <v>6</v>
      </c>
    </row>
    <row r="1730" spans="1:14" hidden="1" x14ac:dyDescent="0.3">
      <c r="A1730">
        <v>2370</v>
      </c>
      <c r="B1730">
        <v>21</v>
      </c>
      <c r="C1730">
        <v>61</v>
      </c>
      <c r="D1730">
        <v>0</v>
      </c>
      <c r="E1730">
        <v>26</v>
      </c>
      <c r="F1730">
        <v>0</v>
      </c>
      <c r="G1730">
        <v>0</v>
      </c>
      <c r="H1730">
        <v>0</v>
      </c>
      <c r="I1730">
        <v>87</v>
      </c>
      <c r="J1730">
        <v>2</v>
      </c>
      <c r="K1730">
        <v>2</v>
      </c>
      <c r="L1730">
        <v>0</v>
      </c>
      <c r="M1730">
        <v>3</v>
      </c>
      <c r="N1730">
        <v>5</v>
      </c>
    </row>
    <row r="1731" spans="1:14" hidden="1" x14ac:dyDescent="0.3">
      <c r="A1731">
        <v>2275</v>
      </c>
      <c r="B1731">
        <v>21</v>
      </c>
      <c r="C1731">
        <v>158</v>
      </c>
      <c r="D1731">
        <v>0</v>
      </c>
      <c r="E1731">
        <v>27</v>
      </c>
      <c r="F1731">
        <v>0</v>
      </c>
      <c r="G1731">
        <v>0</v>
      </c>
      <c r="H1731">
        <v>3</v>
      </c>
      <c r="I1731">
        <v>183</v>
      </c>
      <c r="J1731">
        <v>2</v>
      </c>
      <c r="K1731">
        <v>1</v>
      </c>
      <c r="L1731">
        <v>0</v>
      </c>
      <c r="M1731">
        <v>4</v>
      </c>
      <c r="N1731">
        <v>4</v>
      </c>
    </row>
    <row r="1732" spans="1:14" hidden="1" x14ac:dyDescent="0.3">
      <c r="A1732">
        <v>2766</v>
      </c>
      <c r="B1732">
        <v>21</v>
      </c>
      <c r="C1732">
        <v>158</v>
      </c>
      <c r="D1732">
        <v>0</v>
      </c>
      <c r="E1732">
        <v>27</v>
      </c>
      <c r="F1732">
        <v>0</v>
      </c>
      <c r="G1732">
        <v>0</v>
      </c>
      <c r="H1732">
        <v>3</v>
      </c>
      <c r="I1732">
        <v>183</v>
      </c>
      <c r="J1732">
        <v>2</v>
      </c>
      <c r="K1732">
        <v>1</v>
      </c>
      <c r="L1732">
        <v>0</v>
      </c>
      <c r="M1732">
        <v>4</v>
      </c>
      <c r="N1732">
        <v>4</v>
      </c>
    </row>
    <row r="1733" spans="1:14" hidden="1" x14ac:dyDescent="0.3">
      <c r="A1733">
        <v>2253</v>
      </c>
      <c r="B1733">
        <v>21</v>
      </c>
      <c r="C1733">
        <v>447</v>
      </c>
      <c r="D1733">
        <v>61</v>
      </c>
      <c r="E1733">
        <v>186</v>
      </c>
      <c r="F1733">
        <v>11</v>
      </c>
      <c r="G1733">
        <v>68</v>
      </c>
      <c r="H1733">
        <v>107</v>
      </c>
      <c r="I1733">
        <v>665</v>
      </c>
      <c r="J1733">
        <v>4</v>
      </c>
      <c r="K1733">
        <v>5</v>
      </c>
      <c r="L1733">
        <v>1</v>
      </c>
      <c r="M1733">
        <v>4</v>
      </c>
      <c r="N1733">
        <v>8</v>
      </c>
    </row>
    <row r="1734" spans="1:14" hidden="1" x14ac:dyDescent="0.3">
      <c r="A1734">
        <v>2497</v>
      </c>
      <c r="B1734">
        <v>21</v>
      </c>
      <c r="C1734">
        <v>612</v>
      </c>
      <c r="D1734">
        <v>238</v>
      </c>
      <c r="E1734">
        <v>2010</v>
      </c>
      <c r="F1734">
        <v>532</v>
      </c>
      <c r="G1734">
        <v>170</v>
      </c>
      <c r="H1734">
        <v>476</v>
      </c>
      <c r="I1734">
        <v>3086</v>
      </c>
      <c r="J1734">
        <v>1</v>
      </c>
      <c r="K1734">
        <v>4</v>
      </c>
      <c r="L1734">
        <v>5</v>
      </c>
      <c r="M1734">
        <v>12</v>
      </c>
      <c r="N1734">
        <v>3</v>
      </c>
    </row>
    <row r="1735" spans="1:14" hidden="1" x14ac:dyDescent="0.3">
      <c r="A1735">
        <v>2591</v>
      </c>
      <c r="B1735">
        <v>21</v>
      </c>
      <c r="C1735">
        <v>667</v>
      </c>
      <c r="D1735">
        <v>322</v>
      </c>
      <c r="E1735">
        <v>603</v>
      </c>
      <c r="F1735">
        <v>474</v>
      </c>
      <c r="G1735">
        <v>193</v>
      </c>
      <c r="H1735">
        <v>213</v>
      </c>
      <c r="I1735">
        <v>2047</v>
      </c>
      <c r="J1735">
        <v>3</v>
      </c>
      <c r="K1735">
        <v>5</v>
      </c>
      <c r="L1735">
        <v>3</v>
      </c>
      <c r="M1735">
        <v>13</v>
      </c>
      <c r="N1735">
        <v>4</v>
      </c>
    </row>
    <row r="1736" spans="1:14" hidden="1" x14ac:dyDescent="0.3">
      <c r="A1736">
        <v>3103</v>
      </c>
      <c r="B1736">
        <v>21</v>
      </c>
      <c r="C1736">
        <v>814</v>
      </c>
      <c r="D1736">
        <v>30</v>
      </c>
      <c r="E1736">
        <v>165</v>
      </c>
      <c r="F1736">
        <v>11</v>
      </c>
      <c r="G1736">
        <v>19</v>
      </c>
      <c r="H1736">
        <v>30</v>
      </c>
      <c r="I1736">
        <v>1009</v>
      </c>
      <c r="J1736">
        <v>1</v>
      </c>
      <c r="K1736">
        <v>8</v>
      </c>
      <c r="L1736">
        <v>2</v>
      </c>
      <c r="M1736">
        <v>4</v>
      </c>
      <c r="N1736">
        <v>7</v>
      </c>
    </row>
    <row r="1737" spans="1:14" hidden="1" x14ac:dyDescent="0.3">
      <c r="A1737">
        <v>2011</v>
      </c>
      <c r="B1737">
        <v>21</v>
      </c>
      <c r="C1737">
        <v>890</v>
      </c>
      <c r="D1737">
        <v>229</v>
      </c>
      <c r="E1737">
        <v>1716</v>
      </c>
      <c r="F1737">
        <v>258</v>
      </c>
      <c r="G1737">
        <v>262</v>
      </c>
      <c r="H1737">
        <v>66</v>
      </c>
      <c r="I1737">
        <v>3290</v>
      </c>
      <c r="J1737">
        <v>1</v>
      </c>
      <c r="K1737">
        <v>8</v>
      </c>
      <c r="L1737">
        <v>8</v>
      </c>
      <c r="M1737">
        <v>5</v>
      </c>
      <c r="N1737">
        <v>3</v>
      </c>
    </row>
    <row r="1738" spans="1:14" hidden="1" x14ac:dyDescent="0.3">
      <c r="A1738">
        <v>3154</v>
      </c>
      <c r="B1738">
        <v>21</v>
      </c>
      <c r="C1738">
        <v>1200</v>
      </c>
      <c r="D1738">
        <v>116</v>
      </c>
      <c r="E1738">
        <v>386</v>
      </c>
      <c r="F1738">
        <v>301</v>
      </c>
      <c r="G1738">
        <v>0</v>
      </c>
      <c r="H1738">
        <v>95</v>
      </c>
      <c r="I1738">
        <v>1907</v>
      </c>
      <c r="J1738">
        <v>1</v>
      </c>
      <c r="K1738">
        <v>8</v>
      </c>
      <c r="L1738">
        <v>3</v>
      </c>
      <c r="M1738">
        <v>11</v>
      </c>
      <c r="N1738">
        <v>3</v>
      </c>
    </row>
    <row r="1739" spans="1:14" hidden="1" x14ac:dyDescent="0.3">
      <c r="A1739">
        <v>1438</v>
      </c>
      <c r="B1739">
        <v>21</v>
      </c>
      <c r="C1739">
        <v>1275</v>
      </c>
      <c r="D1739">
        <v>48</v>
      </c>
      <c r="E1739">
        <v>916</v>
      </c>
      <c r="F1739">
        <v>63</v>
      </c>
      <c r="G1739">
        <v>118</v>
      </c>
      <c r="H1739">
        <v>23</v>
      </c>
      <c r="I1739">
        <v>2397</v>
      </c>
      <c r="J1739">
        <v>3</v>
      </c>
      <c r="K1739">
        <v>9</v>
      </c>
      <c r="L1739">
        <v>5</v>
      </c>
      <c r="M1739">
        <v>10</v>
      </c>
      <c r="N1739">
        <v>7</v>
      </c>
    </row>
    <row r="1740" spans="1:14" hidden="1" x14ac:dyDescent="0.3">
      <c r="A1740">
        <v>1201</v>
      </c>
      <c r="B1740">
        <v>21</v>
      </c>
      <c r="C1740">
        <v>1301</v>
      </c>
      <c r="D1740">
        <v>0</v>
      </c>
      <c r="E1740">
        <v>187</v>
      </c>
      <c r="F1740">
        <v>60</v>
      </c>
      <c r="G1740">
        <v>29</v>
      </c>
      <c r="H1740">
        <v>140</v>
      </c>
      <c r="I1740">
        <v>1437</v>
      </c>
      <c r="J1740">
        <v>10</v>
      </c>
      <c r="K1740">
        <v>7</v>
      </c>
      <c r="L1740">
        <v>1</v>
      </c>
      <c r="M1740">
        <v>8</v>
      </c>
      <c r="N1740">
        <v>7</v>
      </c>
    </row>
    <row r="1741" spans="1:14" hidden="1" x14ac:dyDescent="0.3">
      <c r="A1741">
        <v>2612</v>
      </c>
      <c r="B1741">
        <v>21</v>
      </c>
      <c r="C1741">
        <v>1329</v>
      </c>
      <c r="D1741">
        <v>15</v>
      </c>
      <c r="E1741">
        <v>213</v>
      </c>
      <c r="F1741">
        <v>63</v>
      </c>
      <c r="G1741">
        <v>48</v>
      </c>
      <c r="H1741">
        <v>246</v>
      </c>
      <c r="I1741">
        <v>1422</v>
      </c>
      <c r="J1741">
        <v>2</v>
      </c>
      <c r="K1741">
        <v>8</v>
      </c>
      <c r="L1741">
        <v>2</v>
      </c>
      <c r="M1741">
        <v>7</v>
      </c>
      <c r="N1741">
        <v>7</v>
      </c>
    </row>
    <row r="1742" spans="1:14" hidden="1" x14ac:dyDescent="0.3">
      <c r="A1742">
        <v>3141</v>
      </c>
      <c r="B1742">
        <v>21</v>
      </c>
      <c r="C1742">
        <v>1367</v>
      </c>
      <c r="D1742">
        <v>45</v>
      </c>
      <c r="E1742">
        <v>683</v>
      </c>
      <c r="F1742">
        <v>119</v>
      </c>
      <c r="G1742">
        <v>91</v>
      </c>
      <c r="H1742">
        <v>593</v>
      </c>
      <c r="I1742">
        <v>1713</v>
      </c>
      <c r="J1742">
        <v>3</v>
      </c>
      <c r="K1742">
        <v>6</v>
      </c>
      <c r="L1742">
        <v>3</v>
      </c>
      <c r="M1742">
        <v>5</v>
      </c>
      <c r="N1742">
        <v>3</v>
      </c>
    </row>
    <row r="1743" spans="1:14" hidden="1" x14ac:dyDescent="0.3">
      <c r="A1743">
        <v>1171</v>
      </c>
      <c r="B1743">
        <v>21</v>
      </c>
      <c r="C1743">
        <v>1548</v>
      </c>
      <c r="D1743">
        <v>65</v>
      </c>
      <c r="E1743">
        <v>487</v>
      </c>
      <c r="F1743">
        <v>85</v>
      </c>
      <c r="G1743">
        <v>42</v>
      </c>
      <c r="H1743">
        <v>352</v>
      </c>
      <c r="I1743">
        <v>1875</v>
      </c>
      <c r="J1743">
        <v>1</v>
      </c>
      <c r="K1743">
        <v>6</v>
      </c>
      <c r="L1743">
        <v>4</v>
      </c>
      <c r="M1743">
        <v>13</v>
      </c>
      <c r="N1743">
        <v>2</v>
      </c>
    </row>
    <row r="1744" spans="1:14" hidden="1" x14ac:dyDescent="0.3">
      <c r="A1744">
        <v>2722</v>
      </c>
      <c r="B1744">
        <v>21</v>
      </c>
      <c r="C1744">
        <v>1548</v>
      </c>
      <c r="D1744">
        <v>65</v>
      </c>
      <c r="E1744">
        <v>487</v>
      </c>
      <c r="F1744">
        <v>85</v>
      </c>
      <c r="G1744">
        <v>42</v>
      </c>
      <c r="H1744">
        <v>352</v>
      </c>
      <c r="I1744">
        <v>1875</v>
      </c>
      <c r="J1744">
        <v>1</v>
      </c>
      <c r="K1744">
        <v>6</v>
      </c>
      <c r="L1744">
        <v>4</v>
      </c>
      <c r="M1744">
        <v>13</v>
      </c>
      <c r="N1744">
        <v>2</v>
      </c>
    </row>
    <row r="1745" spans="1:14" hidden="1" x14ac:dyDescent="0.3">
      <c r="A1745">
        <v>2485</v>
      </c>
      <c r="B1745">
        <v>21</v>
      </c>
      <c r="C1745">
        <v>1769</v>
      </c>
      <c r="D1745">
        <v>46</v>
      </c>
      <c r="E1745">
        <v>471</v>
      </c>
      <c r="F1745">
        <v>0</v>
      </c>
      <c r="G1745">
        <v>68</v>
      </c>
      <c r="H1745">
        <v>234</v>
      </c>
      <c r="I1745">
        <v>2120</v>
      </c>
      <c r="J1745">
        <v>5</v>
      </c>
      <c r="K1745">
        <v>5</v>
      </c>
      <c r="L1745">
        <v>5</v>
      </c>
      <c r="M1745">
        <v>12</v>
      </c>
      <c r="N1745">
        <v>5</v>
      </c>
    </row>
    <row r="1746" spans="1:14" hidden="1" x14ac:dyDescent="0.3">
      <c r="A1746">
        <v>2780</v>
      </c>
      <c r="B1746">
        <v>21</v>
      </c>
      <c r="C1746">
        <v>1769</v>
      </c>
      <c r="D1746">
        <v>46</v>
      </c>
      <c r="E1746">
        <v>471</v>
      </c>
      <c r="F1746">
        <v>0</v>
      </c>
      <c r="G1746">
        <v>68</v>
      </c>
      <c r="H1746">
        <v>234</v>
      </c>
      <c r="I1746">
        <v>2120</v>
      </c>
      <c r="J1746">
        <v>5</v>
      </c>
      <c r="K1746">
        <v>5</v>
      </c>
      <c r="L1746">
        <v>5</v>
      </c>
      <c r="M1746">
        <v>12</v>
      </c>
      <c r="N1746">
        <v>5</v>
      </c>
    </row>
    <row r="1747" spans="1:14" hidden="1" x14ac:dyDescent="0.3">
      <c r="A1747">
        <v>1125</v>
      </c>
      <c r="B1747">
        <v>21</v>
      </c>
      <c r="C1747">
        <v>2060</v>
      </c>
      <c r="D1747">
        <v>36</v>
      </c>
      <c r="E1747">
        <v>1527</v>
      </c>
      <c r="F1747">
        <v>98</v>
      </c>
      <c r="G1747">
        <v>114</v>
      </c>
      <c r="H1747">
        <v>0</v>
      </c>
      <c r="I1747">
        <v>3835</v>
      </c>
      <c r="J1747">
        <v>1</v>
      </c>
      <c r="K1747">
        <v>4</v>
      </c>
      <c r="L1747">
        <v>5</v>
      </c>
      <c r="M1747">
        <v>13</v>
      </c>
      <c r="N1747">
        <v>3</v>
      </c>
    </row>
    <row r="1748" spans="1:14" hidden="1" x14ac:dyDescent="0.3">
      <c r="A1748">
        <v>1283</v>
      </c>
      <c r="B1748">
        <v>20</v>
      </c>
      <c r="C1748">
        <v>23</v>
      </c>
      <c r="D1748">
        <v>15</v>
      </c>
      <c r="E1748">
        <v>27</v>
      </c>
      <c r="F1748">
        <v>15</v>
      </c>
      <c r="G1748">
        <v>11</v>
      </c>
      <c r="H1748">
        <v>31</v>
      </c>
      <c r="I1748">
        <v>61</v>
      </c>
      <c r="J1748">
        <v>1</v>
      </c>
      <c r="K1748">
        <v>1</v>
      </c>
      <c r="L1748">
        <v>0</v>
      </c>
      <c r="M1748">
        <v>3</v>
      </c>
      <c r="N1748">
        <v>7</v>
      </c>
    </row>
    <row r="1749" spans="1:14" hidden="1" x14ac:dyDescent="0.3">
      <c r="A1749">
        <v>2444</v>
      </c>
      <c r="B1749">
        <v>20</v>
      </c>
      <c r="C1749">
        <v>31</v>
      </c>
      <c r="D1749">
        <v>0</v>
      </c>
      <c r="E1749">
        <v>10</v>
      </c>
      <c r="F1749">
        <v>0</v>
      </c>
      <c r="G1749">
        <v>0</v>
      </c>
      <c r="H1749">
        <v>3</v>
      </c>
      <c r="I1749">
        <v>38</v>
      </c>
      <c r="J1749">
        <v>1</v>
      </c>
      <c r="K1749">
        <v>0</v>
      </c>
      <c r="L1749">
        <v>0</v>
      </c>
      <c r="M1749">
        <v>3</v>
      </c>
      <c r="N1749">
        <v>3</v>
      </c>
    </row>
    <row r="1750" spans="1:14" hidden="1" x14ac:dyDescent="0.3">
      <c r="A1750">
        <v>1962</v>
      </c>
      <c r="B1750">
        <v>20</v>
      </c>
      <c r="C1750">
        <v>43</v>
      </c>
      <c r="D1750">
        <v>22</v>
      </c>
      <c r="E1750">
        <v>22</v>
      </c>
      <c r="F1750">
        <v>22</v>
      </c>
      <c r="G1750">
        <v>0</v>
      </c>
      <c r="H1750">
        <v>22</v>
      </c>
      <c r="I1750">
        <v>86</v>
      </c>
      <c r="J1750">
        <v>0</v>
      </c>
      <c r="K1750">
        <v>0</v>
      </c>
      <c r="L1750">
        <v>0</v>
      </c>
      <c r="M1750">
        <v>0</v>
      </c>
      <c r="N1750">
        <v>14</v>
      </c>
    </row>
    <row r="1751" spans="1:14" hidden="1" x14ac:dyDescent="0.3">
      <c r="A1751">
        <v>1581</v>
      </c>
      <c r="B1751">
        <v>20</v>
      </c>
      <c r="C1751">
        <v>64</v>
      </c>
      <c r="D1751">
        <v>0</v>
      </c>
      <c r="E1751">
        <v>30</v>
      </c>
      <c r="F1751">
        <v>0</v>
      </c>
      <c r="G1751">
        <v>0</v>
      </c>
      <c r="H1751">
        <v>7</v>
      </c>
      <c r="I1751">
        <v>88</v>
      </c>
      <c r="J1751">
        <v>2</v>
      </c>
      <c r="K1751">
        <v>1</v>
      </c>
      <c r="L1751">
        <v>0</v>
      </c>
      <c r="M1751">
        <v>3</v>
      </c>
      <c r="N1751">
        <v>8</v>
      </c>
    </row>
    <row r="1752" spans="1:14" hidden="1" x14ac:dyDescent="0.3">
      <c r="A1752">
        <v>1995</v>
      </c>
      <c r="B1752">
        <v>20</v>
      </c>
      <c r="C1752">
        <v>109</v>
      </c>
      <c r="D1752">
        <v>0</v>
      </c>
      <c r="E1752">
        <v>40</v>
      </c>
      <c r="F1752">
        <v>0</v>
      </c>
      <c r="G1752">
        <v>0</v>
      </c>
      <c r="H1752">
        <v>11</v>
      </c>
      <c r="I1752">
        <v>137</v>
      </c>
      <c r="J1752">
        <v>3</v>
      </c>
      <c r="K1752">
        <v>2</v>
      </c>
      <c r="L1752">
        <v>0</v>
      </c>
      <c r="M1752">
        <v>4</v>
      </c>
      <c r="N1752">
        <v>5</v>
      </c>
    </row>
    <row r="1753" spans="1:14" hidden="1" x14ac:dyDescent="0.3">
      <c r="A1753">
        <v>2451</v>
      </c>
      <c r="B1753">
        <v>20</v>
      </c>
      <c r="C1753">
        <v>242</v>
      </c>
      <c r="D1753">
        <v>28</v>
      </c>
      <c r="E1753">
        <v>91</v>
      </c>
      <c r="F1753">
        <v>42</v>
      </c>
      <c r="G1753">
        <v>25</v>
      </c>
      <c r="H1753">
        <v>42</v>
      </c>
      <c r="I1753">
        <v>386</v>
      </c>
      <c r="J1753">
        <v>2</v>
      </c>
      <c r="K1753">
        <v>3</v>
      </c>
      <c r="L1753">
        <v>0</v>
      </c>
      <c r="M1753">
        <v>4</v>
      </c>
      <c r="N1753">
        <v>7</v>
      </c>
    </row>
    <row r="1754" spans="1:14" hidden="1" x14ac:dyDescent="0.3">
      <c r="A1754">
        <v>2924</v>
      </c>
      <c r="B1754">
        <v>20</v>
      </c>
      <c r="C1754">
        <v>242</v>
      </c>
      <c r="D1754">
        <v>28</v>
      </c>
      <c r="E1754">
        <v>91</v>
      </c>
      <c r="F1754">
        <v>42</v>
      </c>
      <c r="G1754">
        <v>25</v>
      </c>
      <c r="H1754">
        <v>42</v>
      </c>
      <c r="I1754">
        <v>386</v>
      </c>
      <c r="J1754">
        <v>2</v>
      </c>
      <c r="K1754">
        <v>3</v>
      </c>
      <c r="L1754">
        <v>0</v>
      </c>
      <c r="M1754">
        <v>4</v>
      </c>
      <c r="N1754">
        <v>7</v>
      </c>
    </row>
    <row r="1755" spans="1:14" hidden="1" x14ac:dyDescent="0.3">
      <c r="A1755">
        <v>1933</v>
      </c>
      <c r="B1755">
        <v>20</v>
      </c>
      <c r="C1755">
        <v>258</v>
      </c>
      <c r="D1755">
        <v>23</v>
      </c>
      <c r="E1755">
        <v>190</v>
      </c>
      <c r="F1755">
        <v>20</v>
      </c>
      <c r="G1755">
        <v>10</v>
      </c>
      <c r="H1755">
        <v>59</v>
      </c>
      <c r="I1755">
        <v>441</v>
      </c>
      <c r="J1755">
        <v>4</v>
      </c>
      <c r="K1755">
        <v>3</v>
      </c>
      <c r="L1755">
        <v>1</v>
      </c>
      <c r="M1755">
        <v>4</v>
      </c>
      <c r="N1755">
        <v>6</v>
      </c>
    </row>
    <row r="1756" spans="1:14" hidden="1" x14ac:dyDescent="0.3">
      <c r="A1756">
        <v>1017</v>
      </c>
      <c r="B1756">
        <v>20</v>
      </c>
      <c r="C1756">
        <v>306</v>
      </c>
      <c r="D1756">
        <v>18</v>
      </c>
      <c r="E1756">
        <v>139</v>
      </c>
      <c r="F1756">
        <v>547</v>
      </c>
      <c r="G1756">
        <v>44</v>
      </c>
      <c r="H1756">
        <v>102</v>
      </c>
      <c r="I1756">
        <v>952</v>
      </c>
      <c r="J1756">
        <v>2</v>
      </c>
      <c r="K1756">
        <v>4</v>
      </c>
      <c r="L1756">
        <v>1</v>
      </c>
      <c r="M1756">
        <v>6</v>
      </c>
      <c r="N1756">
        <v>7</v>
      </c>
    </row>
    <row r="1757" spans="1:14" hidden="1" x14ac:dyDescent="0.3">
      <c r="A1757">
        <v>1269</v>
      </c>
      <c r="B1757">
        <v>20</v>
      </c>
      <c r="C1757">
        <v>306</v>
      </c>
      <c r="D1757">
        <v>18</v>
      </c>
      <c r="E1757">
        <v>139</v>
      </c>
      <c r="F1757">
        <v>547</v>
      </c>
      <c r="G1757">
        <v>44</v>
      </c>
      <c r="H1757">
        <v>102</v>
      </c>
      <c r="I1757">
        <v>952</v>
      </c>
      <c r="J1757">
        <v>2</v>
      </c>
      <c r="K1757">
        <v>4</v>
      </c>
      <c r="L1757">
        <v>1</v>
      </c>
      <c r="M1757">
        <v>6</v>
      </c>
      <c r="N1757">
        <v>7</v>
      </c>
    </row>
    <row r="1758" spans="1:14" hidden="1" x14ac:dyDescent="0.3">
      <c r="A1758">
        <v>2760</v>
      </c>
      <c r="B1758">
        <v>20</v>
      </c>
      <c r="C1758">
        <v>479</v>
      </c>
      <c r="D1758">
        <v>13</v>
      </c>
      <c r="E1758">
        <v>175</v>
      </c>
      <c r="F1758">
        <v>0</v>
      </c>
      <c r="G1758">
        <v>28</v>
      </c>
      <c r="H1758">
        <v>97</v>
      </c>
      <c r="I1758">
        <v>598</v>
      </c>
      <c r="J1758">
        <v>4</v>
      </c>
      <c r="K1758">
        <v>5</v>
      </c>
      <c r="L1758">
        <v>1</v>
      </c>
      <c r="M1758">
        <v>4</v>
      </c>
      <c r="N1758">
        <v>8</v>
      </c>
    </row>
    <row r="1759" spans="1:14" hidden="1" x14ac:dyDescent="0.3">
      <c r="A1759">
        <v>2699</v>
      </c>
      <c r="B1759">
        <v>20</v>
      </c>
      <c r="C1759">
        <v>619</v>
      </c>
      <c r="D1759">
        <v>11</v>
      </c>
      <c r="E1759">
        <v>414</v>
      </c>
      <c r="F1759">
        <v>58</v>
      </c>
      <c r="G1759">
        <v>0</v>
      </c>
      <c r="H1759">
        <v>65</v>
      </c>
      <c r="I1759">
        <v>1036</v>
      </c>
      <c r="J1759">
        <v>5</v>
      </c>
      <c r="K1759">
        <v>6</v>
      </c>
      <c r="L1759">
        <v>1</v>
      </c>
      <c r="M1759">
        <v>5</v>
      </c>
      <c r="N1759">
        <v>8</v>
      </c>
    </row>
    <row r="1760" spans="1:14" hidden="1" x14ac:dyDescent="0.3">
      <c r="A1760">
        <v>1186</v>
      </c>
      <c r="B1760">
        <v>20</v>
      </c>
      <c r="C1760">
        <v>741</v>
      </c>
      <c r="D1760">
        <v>407</v>
      </c>
      <c r="E1760">
        <v>1038</v>
      </c>
      <c r="F1760">
        <v>108</v>
      </c>
      <c r="G1760">
        <v>71</v>
      </c>
      <c r="H1760">
        <v>370</v>
      </c>
      <c r="I1760">
        <v>1994</v>
      </c>
      <c r="J1760">
        <v>1</v>
      </c>
      <c r="K1760">
        <v>5</v>
      </c>
      <c r="L1760">
        <v>6</v>
      </c>
      <c r="M1760">
        <v>5</v>
      </c>
      <c r="N1760">
        <v>2</v>
      </c>
    </row>
    <row r="1761" spans="1:14" hidden="1" x14ac:dyDescent="0.3">
      <c r="A1761">
        <v>2879</v>
      </c>
      <c r="B1761">
        <v>20</v>
      </c>
      <c r="C1761">
        <v>890</v>
      </c>
      <c r="D1761">
        <v>0</v>
      </c>
      <c r="E1761">
        <v>57</v>
      </c>
      <c r="F1761">
        <v>0</v>
      </c>
      <c r="G1761">
        <v>0</v>
      </c>
      <c r="H1761">
        <v>29</v>
      </c>
      <c r="I1761">
        <v>918</v>
      </c>
      <c r="J1761">
        <v>2</v>
      </c>
      <c r="K1761">
        <v>3</v>
      </c>
      <c r="L1761">
        <v>1</v>
      </c>
      <c r="M1761">
        <v>8</v>
      </c>
      <c r="N1761">
        <v>4</v>
      </c>
    </row>
    <row r="1762" spans="1:14" hidden="1" x14ac:dyDescent="0.3">
      <c r="A1762">
        <v>1626</v>
      </c>
      <c r="B1762">
        <v>20</v>
      </c>
      <c r="C1762">
        <v>969</v>
      </c>
      <c r="D1762">
        <v>10</v>
      </c>
      <c r="E1762">
        <v>86</v>
      </c>
      <c r="F1762">
        <v>13</v>
      </c>
      <c r="G1762">
        <v>10</v>
      </c>
      <c r="H1762">
        <v>458</v>
      </c>
      <c r="I1762">
        <v>629</v>
      </c>
      <c r="J1762">
        <v>2</v>
      </c>
      <c r="K1762">
        <v>5</v>
      </c>
      <c r="L1762">
        <v>4</v>
      </c>
      <c r="M1762">
        <v>4</v>
      </c>
      <c r="N1762">
        <v>5</v>
      </c>
    </row>
    <row r="1763" spans="1:14" hidden="1" x14ac:dyDescent="0.3">
      <c r="A1763">
        <v>2501</v>
      </c>
      <c r="B1763">
        <v>20</v>
      </c>
      <c r="C1763">
        <v>1326</v>
      </c>
      <c r="D1763">
        <v>0</v>
      </c>
      <c r="E1763">
        <v>498</v>
      </c>
      <c r="F1763">
        <v>27</v>
      </c>
      <c r="G1763">
        <v>76</v>
      </c>
      <c r="H1763">
        <v>57</v>
      </c>
      <c r="I1763">
        <v>1870</v>
      </c>
      <c r="J1763">
        <v>12</v>
      </c>
      <c r="K1763">
        <v>7</v>
      </c>
      <c r="L1763">
        <v>4</v>
      </c>
      <c r="M1763">
        <v>9</v>
      </c>
      <c r="N1763">
        <v>7</v>
      </c>
    </row>
    <row r="1764" spans="1:14" hidden="1" x14ac:dyDescent="0.3">
      <c r="A1764">
        <v>1734</v>
      </c>
      <c r="B1764">
        <v>20</v>
      </c>
      <c r="C1764">
        <v>1739</v>
      </c>
      <c r="D1764">
        <v>398</v>
      </c>
      <c r="E1764">
        <v>1540</v>
      </c>
      <c r="F1764">
        <v>92</v>
      </c>
      <c r="G1764">
        <v>60</v>
      </c>
      <c r="H1764">
        <v>98</v>
      </c>
      <c r="I1764">
        <v>3731</v>
      </c>
      <c r="J1764">
        <v>1</v>
      </c>
      <c r="K1764">
        <v>8</v>
      </c>
      <c r="L1764">
        <v>5</v>
      </c>
      <c r="M1764">
        <v>11</v>
      </c>
      <c r="N1764">
        <v>8</v>
      </c>
    </row>
    <row r="1765" spans="1:14" hidden="1" x14ac:dyDescent="0.3">
      <c r="A1765">
        <v>1510</v>
      </c>
      <c r="B1765">
        <v>20</v>
      </c>
      <c r="C1765">
        <v>2012</v>
      </c>
      <c r="D1765">
        <v>87</v>
      </c>
      <c r="E1765">
        <v>729</v>
      </c>
      <c r="F1765">
        <v>37</v>
      </c>
      <c r="G1765">
        <v>57</v>
      </c>
      <c r="H1765">
        <v>27</v>
      </c>
      <c r="I1765">
        <v>2894</v>
      </c>
      <c r="J1765">
        <v>1</v>
      </c>
      <c r="K1765">
        <v>4</v>
      </c>
      <c r="L1765">
        <v>5</v>
      </c>
      <c r="M1765">
        <v>10</v>
      </c>
      <c r="N1765">
        <v>2</v>
      </c>
    </row>
    <row r="1766" spans="1:14" hidden="1" x14ac:dyDescent="0.3">
      <c r="A1766">
        <v>1512</v>
      </c>
      <c r="B1766">
        <v>20</v>
      </c>
      <c r="C1766">
        <v>2617</v>
      </c>
      <c r="D1766">
        <v>406</v>
      </c>
      <c r="E1766">
        <v>992</v>
      </c>
      <c r="F1766">
        <v>586</v>
      </c>
      <c r="G1766">
        <v>44</v>
      </c>
      <c r="H1766">
        <v>314</v>
      </c>
      <c r="I1766">
        <v>4331</v>
      </c>
      <c r="J1766">
        <v>1</v>
      </c>
      <c r="K1766">
        <v>4</v>
      </c>
      <c r="L1766">
        <v>8</v>
      </c>
      <c r="M1766">
        <v>4</v>
      </c>
      <c r="N1766">
        <v>8</v>
      </c>
    </row>
    <row r="1767" spans="1:14" hidden="1" x14ac:dyDescent="0.3">
      <c r="A1767">
        <v>2647</v>
      </c>
      <c r="B1767">
        <v>20</v>
      </c>
      <c r="C1767">
        <v>2661</v>
      </c>
      <c r="D1767">
        <v>229</v>
      </c>
      <c r="E1767">
        <v>1513</v>
      </c>
      <c r="F1767">
        <v>117</v>
      </c>
      <c r="G1767">
        <v>90</v>
      </c>
      <c r="H1767">
        <v>90</v>
      </c>
      <c r="I1767">
        <v>4520</v>
      </c>
      <c r="J1767">
        <v>1</v>
      </c>
      <c r="K1767">
        <v>7</v>
      </c>
      <c r="L1767">
        <v>4</v>
      </c>
      <c r="M1767">
        <v>10</v>
      </c>
      <c r="N1767">
        <v>6</v>
      </c>
    </row>
    <row r="1768" spans="1:14" hidden="1" x14ac:dyDescent="0.3">
      <c r="A1768">
        <v>1151</v>
      </c>
      <c r="B1768">
        <v>20</v>
      </c>
      <c r="C1768">
        <v>3266</v>
      </c>
      <c r="D1768">
        <v>39</v>
      </c>
      <c r="E1768">
        <v>603</v>
      </c>
      <c r="F1768">
        <v>104</v>
      </c>
      <c r="G1768">
        <v>39</v>
      </c>
      <c r="H1768">
        <v>80</v>
      </c>
      <c r="I1768">
        <v>3971</v>
      </c>
      <c r="J1768">
        <v>2</v>
      </c>
      <c r="K1768">
        <v>10</v>
      </c>
      <c r="L1768">
        <v>6</v>
      </c>
      <c r="M1768">
        <v>9</v>
      </c>
      <c r="N1768">
        <v>6</v>
      </c>
    </row>
    <row r="1769" spans="1:14" hidden="1" x14ac:dyDescent="0.3">
      <c r="A1769">
        <v>2822</v>
      </c>
      <c r="B1769">
        <v>19</v>
      </c>
      <c r="C1769">
        <v>9</v>
      </c>
      <c r="D1769">
        <v>26</v>
      </c>
      <c r="E1769">
        <v>121</v>
      </c>
      <c r="F1769">
        <v>56</v>
      </c>
      <c r="G1769">
        <v>17</v>
      </c>
      <c r="H1769">
        <v>69</v>
      </c>
      <c r="I1769">
        <v>160</v>
      </c>
      <c r="J1769">
        <v>1</v>
      </c>
      <c r="K1769">
        <v>2</v>
      </c>
      <c r="L1769">
        <v>0</v>
      </c>
      <c r="M1769">
        <v>3</v>
      </c>
      <c r="N1769">
        <v>7</v>
      </c>
    </row>
    <row r="1770" spans="1:14" hidden="1" x14ac:dyDescent="0.3">
      <c r="A1770">
        <v>3017</v>
      </c>
      <c r="B1770">
        <v>19</v>
      </c>
      <c r="C1770">
        <v>27</v>
      </c>
      <c r="D1770">
        <v>27</v>
      </c>
      <c r="E1770">
        <v>67</v>
      </c>
      <c r="F1770">
        <v>44</v>
      </c>
      <c r="G1770">
        <v>22</v>
      </c>
      <c r="H1770">
        <v>9</v>
      </c>
      <c r="I1770">
        <v>178</v>
      </c>
      <c r="J1770">
        <v>2</v>
      </c>
      <c r="K1770">
        <v>2</v>
      </c>
      <c r="L1770">
        <v>0</v>
      </c>
      <c r="M1770">
        <v>3</v>
      </c>
      <c r="N1770">
        <v>6</v>
      </c>
    </row>
    <row r="1771" spans="1:14" hidden="1" x14ac:dyDescent="0.3">
      <c r="A1771">
        <v>1042</v>
      </c>
      <c r="B1771">
        <v>19</v>
      </c>
      <c r="C1771">
        <v>43</v>
      </c>
      <c r="D1771">
        <v>14</v>
      </c>
      <c r="E1771">
        <v>143</v>
      </c>
      <c r="F1771">
        <v>43</v>
      </c>
      <c r="G1771">
        <v>29</v>
      </c>
      <c r="H1771">
        <v>172</v>
      </c>
      <c r="I1771">
        <v>100</v>
      </c>
      <c r="J1771">
        <v>3</v>
      </c>
      <c r="K1771">
        <v>2</v>
      </c>
      <c r="L1771">
        <v>0</v>
      </c>
      <c r="M1771">
        <v>3</v>
      </c>
      <c r="N1771">
        <v>5</v>
      </c>
    </row>
    <row r="1772" spans="1:14" hidden="1" x14ac:dyDescent="0.3">
      <c r="A1772">
        <v>1553</v>
      </c>
      <c r="B1772">
        <v>19</v>
      </c>
      <c r="C1772">
        <v>43</v>
      </c>
      <c r="D1772">
        <v>0</v>
      </c>
      <c r="E1772">
        <v>14</v>
      </c>
      <c r="F1772">
        <v>0</v>
      </c>
      <c r="G1772">
        <v>0</v>
      </c>
      <c r="H1772">
        <v>4</v>
      </c>
      <c r="I1772">
        <v>54</v>
      </c>
      <c r="J1772">
        <v>1</v>
      </c>
      <c r="K1772">
        <v>1</v>
      </c>
      <c r="L1772">
        <v>0</v>
      </c>
      <c r="M1772">
        <v>2</v>
      </c>
      <c r="N1772">
        <v>7</v>
      </c>
    </row>
    <row r="1773" spans="1:14" hidden="1" x14ac:dyDescent="0.3">
      <c r="A1773">
        <v>1009</v>
      </c>
      <c r="B1773">
        <v>19</v>
      </c>
      <c r="C1773">
        <v>60</v>
      </c>
      <c r="D1773">
        <v>0</v>
      </c>
      <c r="E1773">
        <v>103</v>
      </c>
      <c r="F1773">
        <v>13</v>
      </c>
      <c r="G1773">
        <v>13</v>
      </c>
      <c r="H1773">
        <v>9</v>
      </c>
      <c r="I1773">
        <v>180</v>
      </c>
      <c r="J1773">
        <v>1</v>
      </c>
      <c r="K1773">
        <v>3</v>
      </c>
      <c r="L1773">
        <v>0</v>
      </c>
      <c r="M1773">
        <v>2</v>
      </c>
      <c r="N1773">
        <v>9</v>
      </c>
    </row>
    <row r="1774" spans="1:14" hidden="1" x14ac:dyDescent="0.3">
      <c r="A1774">
        <v>1392</v>
      </c>
      <c r="B1774">
        <v>19</v>
      </c>
      <c r="C1774">
        <v>60</v>
      </c>
      <c r="D1774">
        <v>0</v>
      </c>
      <c r="E1774">
        <v>103</v>
      </c>
      <c r="F1774">
        <v>13</v>
      </c>
      <c r="G1774">
        <v>13</v>
      </c>
      <c r="H1774">
        <v>9</v>
      </c>
      <c r="I1774">
        <v>180</v>
      </c>
      <c r="J1774">
        <v>1</v>
      </c>
      <c r="K1774">
        <v>3</v>
      </c>
      <c r="L1774">
        <v>0</v>
      </c>
      <c r="M1774">
        <v>2</v>
      </c>
      <c r="N1774">
        <v>9</v>
      </c>
    </row>
    <row r="1775" spans="1:14" hidden="1" x14ac:dyDescent="0.3">
      <c r="A1775">
        <v>2937</v>
      </c>
      <c r="B1775">
        <v>19</v>
      </c>
      <c r="C1775">
        <v>65</v>
      </c>
      <c r="D1775">
        <v>0</v>
      </c>
      <c r="E1775">
        <v>46</v>
      </c>
      <c r="F1775">
        <v>23</v>
      </c>
      <c r="G1775">
        <v>10</v>
      </c>
      <c r="H1775">
        <v>3</v>
      </c>
      <c r="I1775">
        <v>140</v>
      </c>
      <c r="J1775">
        <v>3</v>
      </c>
      <c r="K1775">
        <v>2</v>
      </c>
      <c r="L1775">
        <v>0</v>
      </c>
      <c r="M1775">
        <v>4</v>
      </c>
      <c r="N1775">
        <v>3</v>
      </c>
    </row>
    <row r="1776" spans="1:14" hidden="1" x14ac:dyDescent="0.3">
      <c r="A1776">
        <v>2046</v>
      </c>
      <c r="B1776">
        <v>19</v>
      </c>
      <c r="C1776">
        <v>69</v>
      </c>
      <c r="D1776">
        <v>28</v>
      </c>
      <c r="E1776">
        <v>28</v>
      </c>
      <c r="F1776">
        <v>21</v>
      </c>
      <c r="G1776">
        <v>21</v>
      </c>
      <c r="H1776">
        <v>97</v>
      </c>
      <c r="I1776">
        <v>69</v>
      </c>
      <c r="J1776">
        <v>3</v>
      </c>
      <c r="K1776">
        <v>1</v>
      </c>
      <c r="L1776">
        <v>1</v>
      </c>
      <c r="M1776">
        <v>3</v>
      </c>
      <c r="N1776">
        <v>7</v>
      </c>
    </row>
    <row r="1777" spans="1:14" hidden="1" x14ac:dyDescent="0.3">
      <c r="A1777">
        <v>1390</v>
      </c>
      <c r="B1777">
        <v>19</v>
      </c>
      <c r="C1777">
        <v>89</v>
      </c>
      <c r="D1777">
        <v>14</v>
      </c>
      <c r="E1777">
        <v>122</v>
      </c>
      <c r="F1777">
        <v>47</v>
      </c>
      <c r="G1777">
        <v>42</v>
      </c>
      <c r="H1777">
        <v>14</v>
      </c>
      <c r="I1777">
        <v>299</v>
      </c>
      <c r="J1777">
        <v>3</v>
      </c>
      <c r="K1777">
        <v>2</v>
      </c>
      <c r="L1777">
        <v>0</v>
      </c>
      <c r="M1777">
        <v>4</v>
      </c>
      <c r="N1777">
        <v>8</v>
      </c>
    </row>
    <row r="1778" spans="1:14" hidden="1" x14ac:dyDescent="0.3">
      <c r="A1778">
        <v>1705</v>
      </c>
      <c r="B1778">
        <v>19</v>
      </c>
      <c r="C1778">
        <v>100</v>
      </c>
      <c r="D1778">
        <v>0</v>
      </c>
      <c r="E1778">
        <v>172</v>
      </c>
      <c r="F1778">
        <v>186</v>
      </c>
      <c r="G1778">
        <v>100</v>
      </c>
      <c r="H1778">
        <v>459</v>
      </c>
      <c r="I1778">
        <v>100</v>
      </c>
      <c r="J1778">
        <v>5</v>
      </c>
      <c r="K1778">
        <v>4</v>
      </c>
      <c r="L1778">
        <v>1</v>
      </c>
      <c r="M1778">
        <v>2</v>
      </c>
      <c r="N1778">
        <v>9</v>
      </c>
    </row>
    <row r="1779" spans="1:14" hidden="1" x14ac:dyDescent="0.3">
      <c r="A1779">
        <v>1884</v>
      </c>
      <c r="B1779">
        <v>19</v>
      </c>
      <c r="C1779">
        <v>498</v>
      </c>
      <c r="D1779">
        <v>58</v>
      </c>
      <c r="E1779">
        <v>190</v>
      </c>
      <c r="F1779">
        <v>107</v>
      </c>
      <c r="G1779">
        <v>8</v>
      </c>
      <c r="H1779">
        <v>264</v>
      </c>
      <c r="I1779">
        <v>597</v>
      </c>
      <c r="J1779">
        <v>1</v>
      </c>
      <c r="K1779">
        <v>3</v>
      </c>
      <c r="L1779">
        <v>3</v>
      </c>
      <c r="M1779">
        <v>6</v>
      </c>
      <c r="N1779">
        <v>3</v>
      </c>
    </row>
    <row r="1780" spans="1:14" hidden="1" x14ac:dyDescent="0.3">
      <c r="A1780">
        <v>2926</v>
      </c>
      <c r="B1780">
        <v>19</v>
      </c>
      <c r="C1780">
        <v>706</v>
      </c>
      <c r="D1780">
        <v>94</v>
      </c>
      <c r="E1780">
        <v>284</v>
      </c>
      <c r="F1780">
        <v>248</v>
      </c>
      <c r="G1780">
        <v>80</v>
      </c>
      <c r="H1780">
        <v>135</v>
      </c>
      <c r="I1780">
        <v>1276</v>
      </c>
      <c r="J1780">
        <v>2</v>
      </c>
      <c r="K1780">
        <v>3</v>
      </c>
      <c r="L1780">
        <v>3</v>
      </c>
      <c r="M1780">
        <v>10</v>
      </c>
      <c r="N1780">
        <v>3</v>
      </c>
    </row>
    <row r="1781" spans="1:14" hidden="1" x14ac:dyDescent="0.3">
      <c r="A1781">
        <v>1697</v>
      </c>
      <c r="B1781">
        <v>19</v>
      </c>
      <c r="C1781">
        <v>740</v>
      </c>
      <c r="D1781">
        <v>54</v>
      </c>
      <c r="E1781">
        <v>1075</v>
      </c>
      <c r="F1781">
        <v>135</v>
      </c>
      <c r="G1781">
        <v>296</v>
      </c>
      <c r="H1781">
        <v>172</v>
      </c>
      <c r="I1781">
        <v>2128</v>
      </c>
      <c r="J1781">
        <v>1</v>
      </c>
      <c r="K1781">
        <v>5</v>
      </c>
      <c r="L1781">
        <v>3</v>
      </c>
      <c r="M1781">
        <v>8</v>
      </c>
      <c r="N1781">
        <v>2</v>
      </c>
    </row>
    <row r="1782" spans="1:14" hidden="1" x14ac:dyDescent="0.3">
      <c r="A1782">
        <v>2484</v>
      </c>
      <c r="B1782">
        <v>19</v>
      </c>
      <c r="C1782">
        <v>750</v>
      </c>
      <c r="D1782">
        <v>447</v>
      </c>
      <c r="E1782">
        <v>385</v>
      </c>
      <c r="F1782">
        <v>131</v>
      </c>
      <c r="G1782">
        <v>345</v>
      </c>
      <c r="H1782">
        <v>79</v>
      </c>
      <c r="I1782">
        <v>1979</v>
      </c>
      <c r="J1782">
        <v>1</v>
      </c>
      <c r="K1782">
        <v>2</v>
      </c>
      <c r="L1782">
        <v>8</v>
      </c>
      <c r="M1782">
        <v>13</v>
      </c>
      <c r="N1782">
        <v>1</v>
      </c>
    </row>
    <row r="1783" spans="1:14" hidden="1" x14ac:dyDescent="0.3">
      <c r="A1783">
        <v>2551</v>
      </c>
      <c r="B1783">
        <v>19</v>
      </c>
      <c r="C1783">
        <v>843</v>
      </c>
      <c r="D1783">
        <v>0</v>
      </c>
      <c r="E1783">
        <v>83</v>
      </c>
      <c r="F1783">
        <v>0</v>
      </c>
      <c r="G1783">
        <v>0</v>
      </c>
      <c r="H1783">
        <v>43</v>
      </c>
      <c r="I1783">
        <v>883</v>
      </c>
      <c r="J1783">
        <v>4</v>
      </c>
      <c r="K1783">
        <v>5</v>
      </c>
      <c r="L1783">
        <v>1</v>
      </c>
      <c r="M1783">
        <v>5</v>
      </c>
      <c r="N1783">
        <v>8</v>
      </c>
    </row>
    <row r="1784" spans="1:14" hidden="1" x14ac:dyDescent="0.3">
      <c r="A1784">
        <v>1275</v>
      </c>
      <c r="B1784">
        <v>19</v>
      </c>
      <c r="C1784">
        <v>889</v>
      </c>
      <c r="D1784">
        <v>412</v>
      </c>
      <c r="E1784">
        <v>1272</v>
      </c>
      <c r="F1784">
        <v>374</v>
      </c>
      <c r="G1784">
        <v>317</v>
      </c>
      <c r="H1784">
        <v>63</v>
      </c>
      <c r="I1784">
        <v>3201</v>
      </c>
      <c r="J1784">
        <v>1</v>
      </c>
      <c r="K1784">
        <v>5</v>
      </c>
      <c r="L1784">
        <v>11</v>
      </c>
      <c r="M1784">
        <v>5</v>
      </c>
      <c r="N1784">
        <v>3</v>
      </c>
    </row>
    <row r="1785" spans="1:14" hidden="1" x14ac:dyDescent="0.3">
      <c r="A1785">
        <v>1661</v>
      </c>
      <c r="B1785">
        <v>19</v>
      </c>
      <c r="C1785">
        <v>924</v>
      </c>
      <c r="D1785">
        <v>81</v>
      </c>
      <c r="E1785">
        <v>296</v>
      </c>
      <c r="F1785">
        <v>86</v>
      </c>
      <c r="G1785">
        <v>278</v>
      </c>
      <c r="H1785">
        <v>15</v>
      </c>
      <c r="I1785">
        <v>1651</v>
      </c>
      <c r="J1785">
        <v>1</v>
      </c>
      <c r="K1785">
        <v>3</v>
      </c>
      <c r="L1785">
        <v>3</v>
      </c>
      <c r="M1785">
        <v>13</v>
      </c>
      <c r="N1785">
        <v>2</v>
      </c>
    </row>
    <row r="1786" spans="1:14" hidden="1" x14ac:dyDescent="0.3">
      <c r="A1786">
        <v>1521</v>
      </c>
      <c r="B1786">
        <v>19</v>
      </c>
      <c r="C1786">
        <v>1067</v>
      </c>
      <c r="D1786">
        <v>347</v>
      </c>
      <c r="E1786">
        <v>671</v>
      </c>
      <c r="F1786">
        <v>149</v>
      </c>
      <c r="G1786">
        <v>138</v>
      </c>
      <c r="H1786">
        <v>69</v>
      </c>
      <c r="I1786">
        <v>2304</v>
      </c>
      <c r="J1786">
        <v>1</v>
      </c>
      <c r="K1786">
        <v>8</v>
      </c>
      <c r="L1786">
        <v>3</v>
      </c>
      <c r="M1786">
        <v>4</v>
      </c>
      <c r="N1786">
        <v>4</v>
      </c>
    </row>
    <row r="1787" spans="1:14" hidden="1" x14ac:dyDescent="0.3">
      <c r="A1787">
        <v>1106</v>
      </c>
      <c r="B1787">
        <v>19</v>
      </c>
      <c r="C1787">
        <v>1238</v>
      </c>
      <c r="D1787">
        <v>0</v>
      </c>
      <c r="E1787">
        <v>331</v>
      </c>
      <c r="F1787">
        <v>0</v>
      </c>
      <c r="G1787">
        <v>0</v>
      </c>
      <c r="H1787">
        <v>236</v>
      </c>
      <c r="I1787">
        <v>1333</v>
      </c>
      <c r="J1787">
        <v>5</v>
      </c>
      <c r="K1787">
        <v>6</v>
      </c>
      <c r="L1787">
        <v>4</v>
      </c>
      <c r="M1787">
        <v>6</v>
      </c>
      <c r="N1787">
        <v>7</v>
      </c>
    </row>
    <row r="1788" spans="1:14" hidden="1" x14ac:dyDescent="0.3">
      <c r="A1788">
        <v>1461</v>
      </c>
      <c r="B1788">
        <v>19</v>
      </c>
      <c r="C1788">
        <v>1259</v>
      </c>
      <c r="D1788">
        <v>0</v>
      </c>
      <c r="E1788">
        <v>109</v>
      </c>
      <c r="F1788">
        <v>0</v>
      </c>
      <c r="G1788">
        <v>11</v>
      </c>
      <c r="H1788">
        <v>67</v>
      </c>
      <c r="I1788">
        <v>1312</v>
      </c>
      <c r="J1788">
        <v>1</v>
      </c>
      <c r="K1788">
        <v>7</v>
      </c>
      <c r="L1788">
        <v>1</v>
      </c>
      <c r="M1788">
        <v>8</v>
      </c>
      <c r="N1788">
        <v>5</v>
      </c>
    </row>
    <row r="1789" spans="1:14" hidden="1" x14ac:dyDescent="0.3">
      <c r="A1789">
        <v>1063</v>
      </c>
      <c r="B1789">
        <v>19</v>
      </c>
      <c r="C1789">
        <v>1468</v>
      </c>
      <c r="D1789">
        <v>30</v>
      </c>
      <c r="E1789">
        <v>659</v>
      </c>
      <c r="F1789">
        <v>429</v>
      </c>
      <c r="G1789">
        <v>51</v>
      </c>
      <c r="H1789">
        <v>81</v>
      </c>
      <c r="I1789">
        <v>2556</v>
      </c>
      <c r="J1789">
        <v>1</v>
      </c>
      <c r="K1789">
        <v>11</v>
      </c>
      <c r="L1789">
        <v>10</v>
      </c>
      <c r="M1789">
        <v>10</v>
      </c>
      <c r="N1789">
        <v>5</v>
      </c>
    </row>
    <row r="1790" spans="1:14" hidden="1" x14ac:dyDescent="0.3">
      <c r="A1790">
        <v>2139</v>
      </c>
      <c r="B1790">
        <v>19</v>
      </c>
      <c r="C1790">
        <v>1487</v>
      </c>
      <c r="D1790">
        <v>181</v>
      </c>
      <c r="E1790">
        <v>1091</v>
      </c>
      <c r="F1790">
        <v>278</v>
      </c>
      <c r="G1790">
        <v>29</v>
      </c>
      <c r="H1790">
        <v>29</v>
      </c>
      <c r="I1790">
        <v>3036</v>
      </c>
      <c r="J1790">
        <v>1</v>
      </c>
      <c r="K1790">
        <v>3</v>
      </c>
      <c r="L1790">
        <v>2</v>
      </c>
      <c r="M1790">
        <v>5</v>
      </c>
      <c r="N1790">
        <v>1</v>
      </c>
    </row>
    <row r="1791" spans="1:14" hidden="1" x14ac:dyDescent="0.3">
      <c r="A1791">
        <v>2588</v>
      </c>
      <c r="B1791">
        <v>19</v>
      </c>
      <c r="C1791">
        <v>2132</v>
      </c>
      <c r="D1791">
        <v>472</v>
      </c>
      <c r="E1791">
        <v>1466</v>
      </c>
      <c r="F1791">
        <v>61</v>
      </c>
      <c r="G1791">
        <v>64</v>
      </c>
      <c r="H1791">
        <v>196</v>
      </c>
      <c r="I1791">
        <v>3999</v>
      </c>
      <c r="J1791">
        <v>1</v>
      </c>
      <c r="K1791">
        <v>6</v>
      </c>
      <c r="L1791">
        <v>3</v>
      </c>
      <c r="M1791">
        <v>9</v>
      </c>
      <c r="N1791">
        <v>4</v>
      </c>
    </row>
    <row r="1792" spans="1:14" hidden="1" x14ac:dyDescent="0.3">
      <c r="A1792">
        <v>1503</v>
      </c>
      <c r="B1792">
        <v>19</v>
      </c>
      <c r="C1792">
        <v>2326</v>
      </c>
      <c r="D1792">
        <v>301</v>
      </c>
      <c r="E1792">
        <v>1506</v>
      </c>
      <c r="F1792">
        <v>56</v>
      </c>
      <c r="G1792">
        <v>85</v>
      </c>
      <c r="H1792">
        <v>0</v>
      </c>
      <c r="I1792">
        <v>4274</v>
      </c>
      <c r="J1792">
        <v>1</v>
      </c>
      <c r="K1792">
        <v>6</v>
      </c>
      <c r="L1792">
        <v>3</v>
      </c>
      <c r="M1792">
        <v>10</v>
      </c>
      <c r="N1792">
        <v>3</v>
      </c>
    </row>
    <row r="1793" spans="1:14" hidden="1" x14ac:dyDescent="0.3">
      <c r="A1793">
        <v>2221</v>
      </c>
      <c r="B1793">
        <v>18</v>
      </c>
      <c r="C1793">
        <v>5</v>
      </c>
      <c r="D1793">
        <v>29</v>
      </c>
      <c r="E1793">
        <v>10</v>
      </c>
      <c r="F1793">
        <v>15</v>
      </c>
      <c r="G1793">
        <v>29</v>
      </c>
      <c r="H1793">
        <v>15</v>
      </c>
      <c r="I1793">
        <v>73</v>
      </c>
      <c r="J1793">
        <v>1</v>
      </c>
      <c r="K1793">
        <v>1</v>
      </c>
      <c r="L1793">
        <v>0</v>
      </c>
      <c r="M1793">
        <v>3</v>
      </c>
      <c r="N1793">
        <v>7</v>
      </c>
    </row>
    <row r="1794" spans="1:14" hidden="1" x14ac:dyDescent="0.3">
      <c r="A1794">
        <v>1455</v>
      </c>
      <c r="B1794">
        <v>18</v>
      </c>
      <c r="C1794">
        <v>7</v>
      </c>
      <c r="D1794">
        <v>0</v>
      </c>
      <c r="E1794">
        <v>29</v>
      </c>
      <c r="F1794">
        <v>7</v>
      </c>
      <c r="G1794">
        <v>7</v>
      </c>
      <c r="H1794">
        <v>11</v>
      </c>
      <c r="I1794">
        <v>40</v>
      </c>
      <c r="J1794">
        <v>1</v>
      </c>
      <c r="K1794">
        <v>1</v>
      </c>
      <c r="L1794">
        <v>0</v>
      </c>
      <c r="M1794">
        <v>2</v>
      </c>
      <c r="N1794">
        <v>8</v>
      </c>
    </row>
    <row r="1795" spans="1:14" hidden="1" x14ac:dyDescent="0.3">
      <c r="A1795">
        <v>2650</v>
      </c>
      <c r="B1795">
        <v>18</v>
      </c>
      <c r="C1795">
        <v>48</v>
      </c>
      <c r="D1795">
        <v>48</v>
      </c>
      <c r="E1795">
        <v>131</v>
      </c>
      <c r="F1795">
        <v>143</v>
      </c>
      <c r="G1795">
        <v>65</v>
      </c>
      <c r="H1795">
        <v>54</v>
      </c>
      <c r="I1795">
        <v>381</v>
      </c>
      <c r="J1795">
        <v>1</v>
      </c>
      <c r="K1795">
        <v>1</v>
      </c>
      <c r="L1795">
        <v>1</v>
      </c>
      <c r="M1795">
        <v>4</v>
      </c>
      <c r="N1795">
        <v>4</v>
      </c>
    </row>
    <row r="1796" spans="1:14" hidden="1" x14ac:dyDescent="0.3">
      <c r="A1796">
        <v>2714</v>
      </c>
      <c r="B1796">
        <v>18</v>
      </c>
      <c r="C1796">
        <v>74</v>
      </c>
      <c r="D1796">
        <v>3</v>
      </c>
      <c r="E1796">
        <v>37</v>
      </c>
      <c r="F1796">
        <v>0</v>
      </c>
      <c r="G1796">
        <v>17</v>
      </c>
      <c r="H1796">
        <v>10</v>
      </c>
      <c r="I1796">
        <v>121</v>
      </c>
      <c r="J1796">
        <v>1</v>
      </c>
      <c r="K1796">
        <v>1</v>
      </c>
      <c r="L1796">
        <v>0</v>
      </c>
      <c r="M1796">
        <v>3</v>
      </c>
      <c r="N1796">
        <v>8</v>
      </c>
    </row>
    <row r="1797" spans="1:14" hidden="1" x14ac:dyDescent="0.3">
      <c r="A1797">
        <v>3152</v>
      </c>
      <c r="B1797">
        <v>18</v>
      </c>
      <c r="C1797">
        <v>81</v>
      </c>
      <c r="D1797">
        <v>0</v>
      </c>
      <c r="E1797">
        <v>26</v>
      </c>
      <c r="F1797">
        <v>9</v>
      </c>
      <c r="G1797">
        <v>0</v>
      </c>
      <c r="H1797">
        <v>0</v>
      </c>
      <c r="I1797">
        <v>115</v>
      </c>
      <c r="J1797">
        <v>1</v>
      </c>
      <c r="K1797">
        <v>1</v>
      </c>
      <c r="L1797">
        <v>0</v>
      </c>
      <c r="M1797">
        <v>3</v>
      </c>
      <c r="N1797">
        <v>4</v>
      </c>
    </row>
    <row r="1798" spans="1:14" hidden="1" x14ac:dyDescent="0.3">
      <c r="A1798">
        <v>1271</v>
      </c>
      <c r="B1798">
        <v>18</v>
      </c>
      <c r="C1798">
        <v>85</v>
      </c>
      <c r="D1798">
        <v>0</v>
      </c>
      <c r="E1798">
        <v>26</v>
      </c>
      <c r="F1798">
        <v>0</v>
      </c>
      <c r="G1798">
        <v>0</v>
      </c>
      <c r="H1798">
        <v>10</v>
      </c>
      <c r="I1798">
        <v>101</v>
      </c>
      <c r="J1798">
        <v>2</v>
      </c>
      <c r="K1798">
        <v>2</v>
      </c>
      <c r="L1798">
        <v>0</v>
      </c>
      <c r="M1798">
        <v>3</v>
      </c>
      <c r="N1798">
        <v>5</v>
      </c>
    </row>
    <row r="1799" spans="1:14" hidden="1" x14ac:dyDescent="0.3">
      <c r="A1799">
        <v>2082</v>
      </c>
      <c r="B1799">
        <v>18</v>
      </c>
      <c r="C1799">
        <v>199</v>
      </c>
      <c r="D1799">
        <v>154</v>
      </c>
      <c r="E1799">
        <v>310</v>
      </c>
      <c r="F1799">
        <v>228</v>
      </c>
      <c r="G1799">
        <v>26</v>
      </c>
      <c r="H1799">
        <v>128</v>
      </c>
      <c r="I1799">
        <v>788</v>
      </c>
      <c r="J1799">
        <v>2</v>
      </c>
      <c r="K1799">
        <v>4</v>
      </c>
      <c r="L1799">
        <v>1</v>
      </c>
      <c r="M1799">
        <v>7</v>
      </c>
      <c r="N1799">
        <v>5</v>
      </c>
    </row>
    <row r="1800" spans="1:14" hidden="1" x14ac:dyDescent="0.3">
      <c r="A1800">
        <v>1380</v>
      </c>
      <c r="B1800">
        <v>18</v>
      </c>
      <c r="C1800">
        <v>315</v>
      </c>
      <c r="D1800">
        <v>3</v>
      </c>
      <c r="E1800">
        <v>138</v>
      </c>
      <c r="F1800">
        <v>39</v>
      </c>
      <c r="G1800">
        <v>10</v>
      </c>
      <c r="H1800">
        <v>105</v>
      </c>
      <c r="I1800">
        <v>400</v>
      </c>
      <c r="J1800">
        <v>4</v>
      </c>
      <c r="K1800">
        <v>3</v>
      </c>
      <c r="L1800">
        <v>1</v>
      </c>
      <c r="M1800">
        <v>4</v>
      </c>
      <c r="N1800">
        <v>8</v>
      </c>
    </row>
    <row r="1801" spans="1:14" hidden="1" x14ac:dyDescent="0.3">
      <c r="A1801">
        <v>1079</v>
      </c>
      <c r="B1801">
        <v>18</v>
      </c>
      <c r="C1801">
        <v>363</v>
      </c>
      <c r="D1801">
        <v>51</v>
      </c>
      <c r="E1801">
        <v>945</v>
      </c>
      <c r="F1801">
        <v>60</v>
      </c>
      <c r="G1801">
        <v>145</v>
      </c>
      <c r="H1801">
        <v>169</v>
      </c>
      <c r="I1801">
        <v>1395</v>
      </c>
      <c r="J1801">
        <v>1</v>
      </c>
      <c r="K1801">
        <v>3</v>
      </c>
      <c r="L1801">
        <v>10</v>
      </c>
      <c r="M1801">
        <v>13</v>
      </c>
      <c r="N1801">
        <v>1</v>
      </c>
    </row>
    <row r="1802" spans="1:14" hidden="1" x14ac:dyDescent="0.3">
      <c r="A1802">
        <v>2560</v>
      </c>
      <c r="B1802">
        <v>18</v>
      </c>
      <c r="C1802">
        <v>363</v>
      </c>
      <c r="D1802">
        <v>51</v>
      </c>
      <c r="E1802">
        <v>945</v>
      </c>
      <c r="F1802">
        <v>60</v>
      </c>
      <c r="G1802">
        <v>145</v>
      </c>
      <c r="H1802">
        <v>169</v>
      </c>
      <c r="I1802">
        <v>1395</v>
      </c>
      <c r="J1802">
        <v>1</v>
      </c>
      <c r="K1802">
        <v>3</v>
      </c>
      <c r="L1802">
        <v>10</v>
      </c>
      <c r="M1802">
        <v>13</v>
      </c>
      <c r="N1802">
        <v>1</v>
      </c>
    </row>
    <row r="1803" spans="1:14" hidden="1" x14ac:dyDescent="0.3">
      <c r="A1803">
        <v>2264</v>
      </c>
      <c r="B1803">
        <v>18</v>
      </c>
      <c r="C1803">
        <v>397</v>
      </c>
      <c r="D1803">
        <v>214</v>
      </c>
      <c r="E1803">
        <v>717</v>
      </c>
      <c r="F1803">
        <v>119</v>
      </c>
      <c r="G1803">
        <v>91</v>
      </c>
      <c r="H1803">
        <v>165</v>
      </c>
      <c r="I1803">
        <v>1374</v>
      </c>
      <c r="J1803">
        <v>2</v>
      </c>
      <c r="K1803">
        <v>7</v>
      </c>
      <c r="L1803">
        <v>1</v>
      </c>
      <c r="M1803">
        <v>7</v>
      </c>
      <c r="N1803">
        <v>8</v>
      </c>
    </row>
    <row r="1804" spans="1:14" hidden="1" x14ac:dyDescent="0.3">
      <c r="A1804">
        <v>2397</v>
      </c>
      <c r="B1804">
        <v>18</v>
      </c>
      <c r="C1804">
        <v>704</v>
      </c>
      <c r="D1804">
        <v>434</v>
      </c>
      <c r="E1804">
        <v>187</v>
      </c>
      <c r="F1804">
        <v>96</v>
      </c>
      <c r="G1804">
        <v>20</v>
      </c>
      <c r="H1804">
        <v>620</v>
      </c>
      <c r="I1804">
        <v>820</v>
      </c>
      <c r="J1804">
        <v>1</v>
      </c>
      <c r="K1804">
        <v>2</v>
      </c>
      <c r="L1804">
        <v>10</v>
      </c>
      <c r="M1804">
        <v>10</v>
      </c>
      <c r="N1804">
        <v>1</v>
      </c>
    </row>
    <row r="1805" spans="1:14" hidden="1" x14ac:dyDescent="0.3">
      <c r="A1805">
        <v>2624</v>
      </c>
      <c r="B1805">
        <v>18</v>
      </c>
      <c r="C1805">
        <v>734</v>
      </c>
      <c r="D1805">
        <v>385</v>
      </c>
      <c r="E1805">
        <v>1647</v>
      </c>
      <c r="F1805">
        <v>94</v>
      </c>
      <c r="G1805">
        <v>33</v>
      </c>
      <c r="H1805">
        <v>349</v>
      </c>
      <c r="I1805">
        <v>2544</v>
      </c>
      <c r="J1805">
        <v>1</v>
      </c>
      <c r="K1805">
        <v>7</v>
      </c>
      <c r="L1805">
        <v>5</v>
      </c>
      <c r="M1805">
        <v>7</v>
      </c>
      <c r="N1805">
        <v>6</v>
      </c>
    </row>
    <row r="1806" spans="1:14" hidden="1" x14ac:dyDescent="0.3">
      <c r="A1806">
        <v>2948</v>
      </c>
      <c r="B1806">
        <v>18</v>
      </c>
      <c r="C1806">
        <v>901</v>
      </c>
      <c r="D1806">
        <v>79</v>
      </c>
      <c r="E1806">
        <v>252</v>
      </c>
      <c r="F1806">
        <v>14</v>
      </c>
      <c r="G1806">
        <v>79</v>
      </c>
      <c r="H1806">
        <v>173</v>
      </c>
      <c r="I1806">
        <v>1153</v>
      </c>
      <c r="J1806">
        <v>2</v>
      </c>
      <c r="K1806">
        <v>6</v>
      </c>
      <c r="L1806">
        <v>3</v>
      </c>
      <c r="M1806">
        <v>5</v>
      </c>
      <c r="N1806">
        <v>7</v>
      </c>
    </row>
    <row r="1807" spans="1:14" hidden="1" x14ac:dyDescent="0.3">
      <c r="A1807">
        <v>1101</v>
      </c>
      <c r="B1807">
        <v>18</v>
      </c>
      <c r="C1807">
        <v>964</v>
      </c>
      <c r="D1807">
        <v>412</v>
      </c>
      <c r="E1807">
        <v>225</v>
      </c>
      <c r="F1807">
        <v>66</v>
      </c>
      <c r="G1807">
        <v>47</v>
      </c>
      <c r="H1807">
        <v>91</v>
      </c>
      <c r="I1807">
        <v>1622</v>
      </c>
      <c r="J1807">
        <v>1</v>
      </c>
      <c r="K1807">
        <v>5</v>
      </c>
      <c r="L1807">
        <v>4</v>
      </c>
      <c r="M1807">
        <v>4</v>
      </c>
      <c r="N1807">
        <v>2</v>
      </c>
    </row>
    <row r="1808" spans="1:14" hidden="1" x14ac:dyDescent="0.3">
      <c r="A1808">
        <v>1057</v>
      </c>
      <c r="B1808">
        <v>18</v>
      </c>
      <c r="C1808">
        <v>1130</v>
      </c>
      <c r="D1808">
        <v>45</v>
      </c>
      <c r="E1808">
        <v>255</v>
      </c>
      <c r="F1808">
        <v>40</v>
      </c>
      <c r="G1808">
        <v>45</v>
      </c>
      <c r="H1808">
        <v>15</v>
      </c>
      <c r="I1808">
        <v>1500</v>
      </c>
      <c r="J1808">
        <v>4</v>
      </c>
      <c r="K1808">
        <v>4</v>
      </c>
      <c r="L1808">
        <v>2</v>
      </c>
      <c r="M1808">
        <v>12</v>
      </c>
      <c r="N1808">
        <v>3</v>
      </c>
    </row>
    <row r="1809" spans="1:14" hidden="1" x14ac:dyDescent="0.3">
      <c r="A1809">
        <v>1337</v>
      </c>
      <c r="B1809">
        <v>18</v>
      </c>
      <c r="C1809">
        <v>1303</v>
      </c>
      <c r="D1809">
        <v>217</v>
      </c>
      <c r="E1809">
        <v>979</v>
      </c>
      <c r="F1809">
        <v>284</v>
      </c>
      <c r="G1809">
        <v>0</v>
      </c>
      <c r="H1809">
        <v>53</v>
      </c>
      <c r="I1809">
        <v>2731</v>
      </c>
      <c r="J1809">
        <v>1</v>
      </c>
      <c r="K1809">
        <v>3</v>
      </c>
      <c r="L1809">
        <v>4</v>
      </c>
      <c r="M1809">
        <v>10</v>
      </c>
      <c r="N1809">
        <v>1</v>
      </c>
    </row>
    <row r="1810" spans="1:14" hidden="1" x14ac:dyDescent="0.3">
      <c r="A1810">
        <v>1199</v>
      </c>
      <c r="B1810">
        <v>18</v>
      </c>
      <c r="C1810">
        <v>1399</v>
      </c>
      <c r="D1810">
        <v>50</v>
      </c>
      <c r="E1810">
        <v>728</v>
      </c>
      <c r="F1810">
        <v>75</v>
      </c>
      <c r="G1810">
        <v>233</v>
      </c>
      <c r="H1810">
        <v>27</v>
      </c>
      <c r="I1810">
        <v>2458</v>
      </c>
      <c r="J1810">
        <v>1</v>
      </c>
      <c r="K1810">
        <v>4</v>
      </c>
      <c r="L1810">
        <v>6</v>
      </c>
      <c r="M1810">
        <v>9</v>
      </c>
      <c r="N1810">
        <v>1</v>
      </c>
    </row>
    <row r="1811" spans="1:14" hidden="1" x14ac:dyDescent="0.3">
      <c r="A1811">
        <v>1323</v>
      </c>
      <c r="B1811">
        <v>18</v>
      </c>
      <c r="C1811">
        <v>1887</v>
      </c>
      <c r="D1811">
        <v>134</v>
      </c>
      <c r="E1811">
        <v>1257</v>
      </c>
      <c r="F1811">
        <v>88</v>
      </c>
      <c r="G1811">
        <v>55</v>
      </c>
      <c r="H1811">
        <v>269</v>
      </c>
      <c r="I1811">
        <v>3153</v>
      </c>
      <c r="J1811">
        <v>1</v>
      </c>
      <c r="K1811">
        <v>7</v>
      </c>
      <c r="L1811">
        <v>6</v>
      </c>
      <c r="M1811">
        <v>8</v>
      </c>
      <c r="N1811">
        <v>3</v>
      </c>
    </row>
    <row r="1812" spans="1:14" hidden="1" x14ac:dyDescent="0.3">
      <c r="A1812">
        <v>2165</v>
      </c>
      <c r="B1812">
        <v>17</v>
      </c>
      <c r="C1812">
        <v>19</v>
      </c>
      <c r="D1812">
        <v>5</v>
      </c>
      <c r="E1812">
        <v>52</v>
      </c>
      <c r="F1812">
        <v>0</v>
      </c>
      <c r="G1812">
        <v>0</v>
      </c>
      <c r="H1812">
        <v>5</v>
      </c>
      <c r="I1812">
        <v>71</v>
      </c>
      <c r="J1812">
        <v>1</v>
      </c>
      <c r="K1812">
        <v>1</v>
      </c>
      <c r="L1812">
        <v>0</v>
      </c>
      <c r="M1812">
        <v>2</v>
      </c>
      <c r="N1812">
        <v>7</v>
      </c>
    </row>
    <row r="1813" spans="1:14" hidden="1" x14ac:dyDescent="0.3">
      <c r="A1813">
        <v>1436</v>
      </c>
      <c r="B1813">
        <v>17</v>
      </c>
      <c r="C1813">
        <v>53</v>
      </c>
      <c r="D1813">
        <v>8</v>
      </c>
      <c r="E1813">
        <v>113</v>
      </c>
      <c r="F1813">
        <v>30</v>
      </c>
      <c r="G1813">
        <v>8</v>
      </c>
      <c r="H1813">
        <v>11</v>
      </c>
      <c r="I1813">
        <v>199</v>
      </c>
      <c r="J1813">
        <v>1</v>
      </c>
      <c r="K1813">
        <v>2</v>
      </c>
      <c r="L1813">
        <v>0</v>
      </c>
      <c r="M1813">
        <v>4</v>
      </c>
      <c r="N1813">
        <v>5</v>
      </c>
    </row>
    <row r="1814" spans="1:14" hidden="1" x14ac:dyDescent="0.3">
      <c r="A1814">
        <v>2614</v>
      </c>
      <c r="B1814">
        <v>17</v>
      </c>
      <c r="C1814">
        <v>78</v>
      </c>
      <c r="D1814">
        <v>3</v>
      </c>
      <c r="E1814">
        <v>33</v>
      </c>
      <c r="F1814">
        <v>7</v>
      </c>
      <c r="G1814">
        <v>0</v>
      </c>
      <c r="H1814">
        <v>13</v>
      </c>
      <c r="I1814">
        <v>108</v>
      </c>
      <c r="J1814">
        <v>2</v>
      </c>
      <c r="K1814">
        <v>2</v>
      </c>
      <c r="L1814">
        <v>0</v>
      </c>
      <c r="M1814">
        <v>3</v>
      </c>
      <c r="N1814">
        <v>5</v>
      </c>
    </row>
    <row r="1815" spans="1:14" hidden="1" x14ac:dyDescent="0.3">
      <c r="A1815">
        <v>2368</v>
      </c>
      <c r="B1815">
        <v>17</v>
      </c>
      <c r="C1815">
        <v>89</v>
      </c>
      <c r="D1815">
        <v>4</v>
      </c>
      <c r="E1815">
        <v>46</v>
      </c>
      <c r="F1815">
        <v>0</v>
      </c>
      <c r="G1815">
        <v>0</v>
      </c>
      <c r="H1815">
        <v>11</v>
      </c>
      <c r="I1815">
        <v>129</v>
      </c>
      <c r="J1815">
        <v>1</v>
      </c>
      <c r="K1815">
        <v>1</v>
      </c>
      <c r="L1815">
        <v>0</v>
      </c>
      <c r="M1815">
        <v>3</v>
      </c>
      <c r="N1815">
        <v>7</v>
      </c>
    </row>
    <row r="1816" spans="1:14" hidden="1" x14ac:dyDescent="0.3">
      <c r="A1816">
        <v>1162</v>
      </c>
      <c r="B1816">
        <v>17</v>
      </c>
      <c r="C1816">
        <v>232</v>
      </c>
      <c r="D1816">
        <v>0</v>
      </c>
      <c r="E1816">
        <v>17</v>
      </c>
      <c r="F1816">
        <v>0</v>
      </c>
      <c r="G1816">
        <v>0</v>
      </c>
      <c r="H1816">
        <v>17</v>
      </c>
      <c r="I1816">
        <v>232</v>
      </c>
      <c r="J1816">
        <v>2</v>
      </c>
      <c r="K1816">
        <v>2</v>
      </c>
      <c r="L1816">
        <v>1</v>
      </c>
      <c r="M1816">
        <v>3</v>
      </c>
      <c r="N1816">
        <v>5</v>
      </c>
    </row>
    <row r="1817" spans="1:14" hidden="1" x14ac:dyDescent="0.3">
      <c r="A1817">
        <v>1100</v>
      </c>
      <c r="B1817">
        <v>17</v>
      </c>
      <c r="C1817">
        <v>273</v>
      </c>
      <c r="D1817">
        <v>11</v>
      </c>
      <c r="E1817">
        <v>111</v>
      </c>
      <c r="F1817">
        <v>14</v>
      </c>
      <c r="G1817">
        <v>14</v>
      </c>
      <c r="H1817">
        <v>97</v>
      </c>
      <c r="I1817">
        <v>327</v>
      </c>
      <c r="J1817">
        <v>2</v>
      </c>
      <c r="K1817">
        <v>3</v>
      </c>
      <c r="L1817">
        <v>1</v>
      </c>
      <c r="M1817">
        <v>3</v>
      </c>
      <c r="N1817">
        <v>7</v>
      </c>
    </row>
    <row r="1818" spans="1:14" hidden="1" x14ac:dyDescent="0.3">
      <c r="A1818">
        <v>1831</v>
      </c>
      <c r="B1818">
        <v>17</v>
      </c>
      <c r="C1818">
        <v>680</v>
      </c>
      <c r="D1818">
        <v>6</v>
      </c>
      <c r="E1818">
        <v>76</v>
      </c>
      <c r="F1818">
        <v>21</v>
      </c>
      <c r="G1818">
        <v>0</v>
      </c>
      <c r="H1818">
        <v>334</v>
      </c>
      <c r="I1818">
        <v>449</v>
      </c>
      <c r="J1818">
        <v>2</v>
      </c>
      <c r="K1818">
        <v>5</v>
      </c>
      <c r="L1818">
        <v>3</v>
      </c>
      <c r="M1818">
        <v>3</v>
      </c>
      <c r="N1818">
        <v>6</v>
      </c>
    </row>
    <row r="1819" spans="1:14" hidden="1" x14ac:dyDescent="0.3">
      <c r="A1819">
        <v>1273</v>
      </c>
      <c r="B1819">
        <v>17</v>
      </c>
      <c r="C1819">
        <v>708</v>
      </c>
      <c r="D1819">
        <v>228</v>
      </c>
      <c r="E1819">
        <v>536</v>
      </c>
      <c r="F1819">
        <v>349</v>
      </c>
      <c r="G1819">
        <v>172</v>
      </c>
      <c r="H1819">
        <v>172</v>
      </c>
      <c r="I1819">
        <v>1821</v>
      </c>
      <c r="J1819">
        <v>1</v>
      </c>
      <c r="K1819">
        <v>6</v>
      </c>
      <c r="L1819">
        <v>3</v>
      </c>
      <c r="M1819">
        <v>13</v>
      </c>
      <c r="N1819">
        <v>3</v>
      </c>
    </row>
    <row r="1820" spans="1:14" hidden="1" x14ac:dyDescent="0.3">
      <c r="A1820">
        <v>2466</v>
      </c>
      <c r="B1820">
        <v>17</v>
      </c>
      <c r="C1820">
        <v>708</v>
      </c>
      <c r="D1820">
        <v>111</v>
      </c>
      <c r="E1820">
        <v>819</v>
      </c>
      <c r="F1820">
        <v>146</v>
      </c>
      <c r="G1820">
        <v>111</v>
      </c>
      <c r="H1820">
        <v>56</v>
      </c>
      <c r="I1820">
        <v>1839</v>
      </c>
      <c r="J1820">
        <v>10</v>
      </c>
      <c r="K1820">
        <v>7</v>
      </c>
      <c r="L1820">
        <v>4</v>
      </c>
      <c r="M1820">
        <v>9</v>
      </c>
      <c r="N1820">
        <v>5</v>
      </c>
    </row>
    <row r="1821" spans="1:14" hidden="1" x14ac:dyDescent="0.3">
      <c r="A1821">
        <v>3174</v>
      </c>
      <c r="B1821">
        <v>17</v>
      </c>
      <c r="C1821">
        <v>710</v>
      </c>
      <c r="D1821">
        <v>340</v>
      </c>
      <c r="E1821">
        <v>1306</v>
      </c>
      <c r="F1821">
        <v>480</v>
      </c>
      <c r="G1821">
        <v>113</v>
      </c>
      <c r="H1821">
        <v>77</v>
      </c>
      <c r="I1821">
        <v>2874</v>
      </c>
      <c r="J1821">
        <v>4</v>
      </c>
      <c r="K1821">
        <v>9</v>
      </c>
      <c r="L1821">
        <v>3</v>
      </c>
      <c r="M1821">
        <v>4</v>
      </c>
      <c r="N1821">
        <v>7</v>
      </c>
    </row>
    <row r="1822" spans="1:14" hidden="1" x14ac:dyDescent="0.3">
      <c r="A1822">
        <v>1710</v>
      </c>
      <c r="B1822">
        <v>17</v>
      </c>
      <c r="C1822">
        <v>870</v>
      </c>
      <c r="D1822">
        <v>46</v>
      </c>
      <c r="E1822">
        <v>279</v>
      </c>
      <c r="F1822">
        <v>125</v>
      </c>
      <c r="G1822">
        <v>59</v>
      </c>
      <c r="H1822">
        <v>387</v>
      </c>
      <c r="I1822">
        <v>993</v>
      </c>
      <c r="J1822">
        <v>1</v>
      </c>
      <c r="K1822">
        <v>11</v>
      </c>
      <c r="L1822">
        <v>6</v>
      </c>
      <c r="M1822">
        <v>8</v>
      </c>
      <c r="N1822">
        <v>4</v>
      </c>
    </row>
    <row r="1823" spans="1:14" hidden="1" x14ac:dyDescent="0.3">
      <c r="A1823">
        <v>2089</v>
      </c>
      <c r="B1823">
        <v>17</v>
      </c>
      <c r="C1823">
        <v>988</v>
      </c>
      <c r="D1823">
        <v>81</v>
      </c>
      <c r="E1823">
        <v>177</v>
      </c>
      <c r="F1823">
        <v>53</v>
      </c>
      <c r="G1823">
        <v>81</v>
      </c>
      <c r="H1823">
        <v>40</v>
      </c>
      <c r="I1823">
        <v>1340</v>
      </c>
      <c r="J1823">
        <v>2</v>
      </c>
      <c r="K1823">
        <v>6</v>
      </c>
      <c r="L1823">
        <v>2</v>
      </c>
      <c r="M1823">
        <v>9</v>
      </c>
      <c r="N1823">
        <v>5</v>
      </c>
    </row>
    <row r="1824" spans="1:14" hidden="1" x14ac:dyDescent="0.3">
      <c r="A1824">
        <v>2386</v>
      </c>
      <c r="B1824">
        <v>17</v>
      </c>
      <c r="C1824">
        <v>1030</v>
      </c>
      <c r="D1824">
        <v>17</v>
      </c>
      <c r="E1824">
        <v>581</v>
      </c>
      <c r="F1824">
        <v>168</v>
      </c>
      <c r="G1824">
        <v>112</v>
      </c>
      <c r="H1824">
        <v>37</v>
      </c>
      <c r="I1824">
        <v>1872</v>
      </c>
      <c r="J1824">
        <v>1</v>
      </c>
      <c r="K1824">
        <v>7</v>
      </c>
      <c r="L1824">
        <v>2</v>
      </c>
      <c r="M1824">
        <v>12</v>
      </c>
      <c r="N1824">
        <v>4</v>
      </c>
    </row>
    <row r="1825" spans="1:14" hidden="1" x14ac:dyDescent="0.3">
      <c r="A1825">
        <v>1965</v>
      </c>
      <c r="B1825">
        <v>17</v>
      </c>
      <c r="C1825">
        <v>1509</v>
      </c>
      <c r="D1825">
        <v>376</v>
      </c>
      <c r="E1825">
        <v>242</v>
      </c>
      <c r="F1825">
        <v>430</v>
      </c>
      <c r="G1825">
        <v>94</v>
      </c>
      <c r="H1825">
        <v>517</v>
      </c>
      <c r="I1825">
        <v>2133</v>
      </c>
      <c r="J1825">
        <v>1</v>
      </c>
      <c r="K1825">
        <v>5</v>
      </c>
      <c r="L1825">
        <v>11</v>
      </c>
      <c r="M1825">
        <v>6</v>
      </c>
      <c r="N1825">
        <v>3</v>
      </c>
    </row>
    <row r="1826" spans="1:14" hidden="1" x14ac:dyDescent="0.3">
      <c r="A1826">
        <v>1778</v>
      </c>
      <c r="B1826">
        <v>17</v>
      </c>
      <c r="C1826">
        <v>1555</v>
      </c>
      <c r="D1826">
        <v>117</v>
      </c>
      <c r="E1826">
        <v>564</v>
      </c>
      <c r="F1826">
        <v>122</v>
      </c>
      <c r="G1826">
        <v>21</v>
      </c>
      <c r="H1826">
        <v>471</v>
      </c>
      <c r="I1826">
        <v>1909</v>
      </c>
      <c r="J1826">
        <v>3</v>
      </c>
      <c r="K1826">
        <v>11</v>
      </c>
      <c r="L1826">
        <v>4</v>
      </c>
      <c r="M1826">
        <v>8</v>
      </c>
      <c r="N1826">
        <v>8</v>
      </c>
    </row>
    <row r="1827" spans="1:14" hidden="1" x14ac:dyDescent="0.3">
      <c r="A1827">
        <v>1658</v>
      </c>
      <c r="B1827">
        <v>17</v>
      </c>
      <c r="C1827">
        <v>2239</v>
      </c>
      <c r="D1827">
        <v>27</v>
      </c>
      <c r="E1827">
        <v>323</v>
      </c>
      <c r="F1827">
        <v>71</v>
      </c>
      <c r="G1827">
        <v>27</v>
      </c>
      <c r="H1827">
        <v>80</v>
      </c>
      <c r="I1827">
        <v>2607</v>
      </c>
      <c r="J1827">
        <v>3</v>
      </c>
      <c r="K1827">
        <v>10</v>
      </c>
      <c r="L1827">
        <v>3</v>
      </c>
      <c r="M1827">
        <v>5</v>
      </c>
      <c r="N1827">
        <v>5</v>
      </c>
    </row>
    <row r="1828" spans="1:14" hidden="1" x14ac:dyDescent="0.3">
      <c r="A1828">
        <v>2305</v>
      </c>
      <c r="B1828">
        <v>17</v>
      </c>
      <c r="C1828">
        <v>2860</v>
      </c>
      <c r="D1828">
        <v>0</v>
      </c>
      <c r="E1828">
        <v>558</v>
      </c>
      <c r="F1828">
        <v>45</v>
      </c>
      <c r="G1828">
        <v>33</v>
      </c>
      <c r="H1828">
        <v>486</v>
      </c>
      <c r="I1828">
        <v>3009</v>
      </c>
      <c r="J1828">
        <v>6</v>
      </c>
      <c r="K1828">
        <v>6</v>
      </c>
      <c r="L1828">
        <v>3</v>
      </c>
      <c r="M1828">
        <v>13</v>
      </c>
      <c r="N1828">
        <v>7</v>
      </c>
    </row>
    <row r="1829" spans="1:14" hidden="1" x14ac:dyDescent="0.3">
      <c r="A1829">
        <v>1450</v>
      </c>
      <c r="B1829">
        <v>17</v>
      </c>
      <c r="C1829">
        <v>2885</v>
      </c>
      <c r="D1829">
        <v>40</v>
      </c>
      <c r="E1829">
        <v>962</v>
      </c>
      <c r="F1829">
        <v>54</v>
      </c>
      <c r="G1829">
        <v>79</v>
      </c>
      <c r="H1829">
        <v>40</v>
      </c>
      <c r="I1829">
        <v>3980</v>
      </c>
      <c r="J1829">
        <v>1</v>
      </c>
      <c r="K1829">
        <v>5</v>
      </c>
      <c r="L1829">
        <v>6</v>
      </c>
      <c r="M1829">
        <v>5</v>
      </c>
      <c r="N1829">
        <v>2</v>
      </c>
    </row>
    <row r="1830" spans="1:14" hidden="1" x14ac:dyDescent="0.3">
      <c r="A1830">
        <v>1197</v>
      </c>
      <c r="B1830">
        <v>17</v>
      </c>
      <c r="C1830">
        <v>2984</v>
      </c>
      <c r="D1830">
        <v>122</v>
      </c>
      <c r="E1830">
        <v>816</v>
      </c>
      <c r="F1830">
        <v>107</v>
      </c>
      <c r="G1830">
        <v>82</v>
      </c>
      <c r="H1830">
        <v>490</v>
      </c>
      <c r="I1830">
        <v>3622</v>
      </c>
      <c r="J1830">
        <v>5</v>
      </c>
      <c r="K1830">
        <v>11</v>
      </c>
      <c r="L1830">
        <v>4</v>
      </c>
      <c r="M1830">
        <v>9</v>
      </c>
      <c r="N1830">
        <v>8</v>
      </c>
    </row>
    <row r="1831" spans="1:14" hidden="1" x14ac:dyDescent="0.3">
      <c r="A1831">
        <v>2836</v>
      </c>
      <c r="B1831">
        <v>16</v>
      </c>
      <c r="C1831">
        <v>0</v>
      </c>
      <c r="D1831">
        <v>0</v>
      </c>
      <c r="E1831">
        <v>0</v>
      </c>
      <c r="F1831">
        <v>58</v>
      </c>
      <c r="G1831">
        <v>19</v>
      </c>
      <c r="H1831">
        <v>58</v>
      </c>
      <c r="I1831">
        <v>19</v>
      </c>
      <c r="J1831">
        <v>1</v>
      </c>
      <c r="K1831">
        <v>1</v>
      </c>
      <c r="L1831">
        <v>0</v>
      </c>
      <c r="M1831">
        <v>2</v>
      </c>
      <c r="N1831">
        <v>6</v>
      </c>
    </row>
    <row r="1832" spans="1:14" hidden="1" x14ac:dyDescent="0.3">
      <c r="A1832">
        <v>3085</v>
      </c>
      <c r="B1832">
        <v>16</v>
      </c>
      <c r="C1832">
        <v>0</v>
      </c>
      <c r="D1832">
        <v>32</v>
      </c>
      <c r="E1832">
        <v>23</v>
      </c>
      <c r="F1832">
        <v>120</v>
      </c>
      <c r="G1832">
        <v>9</v>
      </c>
      <c r="H1832">
        <v>78</v>
      </c>
      <c r="I1832">
        <v>106</v>
      </c>
      <c r="J1832">
        <v>2</v>
      </c>
      <c r="K1832">
        <v>2</v>
      </c>
      <c r="L1832">
        <v>0</v>
      </c>
      <c r="M1832">
        <v>3</v>
      </c>
      <c r="N1832">
        <v>7</v>
      </c>
    </row>
    <row r="1833" spans="1:14" hidden="1" x14ac:dyDescent="0.3">
      <c r="A1833">
        <v>2538</v>
      </c>
      <c r="B1833">
        <v>16</v>
      </c>
      <c r="C1833">
        <v>25</v>
      </c>
      <c r="D1833">
        <v>15</v>
      </c>
      <c r="E1833">
        <v>20</v>
      </c>
      <c r="F1833">
        <v>20</v>
      </c>
      <c r="G1833">
        <v>5</v>
      </c>
      <c r="H1833">
        <v>0</v>
      </c>
      <c r="I1833">
        <v>86</v>
      </c>
      <c r="J1833">
        <v>1</v>
      </c>
      <c r="K1833">
        <v>1</v>
      </c>
      <c r="L1833">
        <v>0</v>
      </c>
      <c r="M1833">
        <v>2</v>
      </c>
      <c r="N1833">
        <v>8</v>
      </c>
    </row>
    <row r="1834" spans="1:14" hidden="1" x14ac:dyDescent="0.3">
      <c r="A1834">
        <v>2413</v>
      </c>
      <c r="B1834">
        <v>16</v>
      </c>
      <c r="C1834">
        <v>29</v>
      </c>
      <c r="D1834">
        <v>24</v>
      </c>
      <c r="E1834">
        <v>29</v>
      </c>
      <c r="F1834">
        <v>24</v>
      </c>
      <c r="G1834">
        <v>12</v>
      </c>
      <c r="H1834">
        <v>59</v>
      </c>
      <c r="I1834">
        <v>59</v>
      </c>
      <c r="J1834">
        <v>1</v>
      </c>
      <c r="K1834">
        <v>0</v>
      </c>
      <c r="L1834">
        <v>1</v>
      </c>
      <c r="M1834">
        <v>2</v>
      </c>
      <c r="N1834">
        <v>7</v>
      </c>
    </row>
    <row r="1835" spans="1:14" hidden="1" x14ac:dyDescent="0.3">
      <c r="A1835">
        <v>1861</v>
      </c>
      <c r="B1835">
        <v>16</v>
      </c>
      <c r="C1835">
        <v>30</v>
      </c>
      <c r="D1835">
        <v>50</v>
      </c>
      <c r="E1835">
        <v>60</v>
      </c>
      <c r="F1835">
        <v>15</v>
      </c>
      <c r="G1835">
        <v>76</v>
      </c>
      <c r="H1835">
        <v>202</v>
      </c>
      <c r="I1835">
        <v>30</v>
      </c>
      <c r="J1835">
        <v>3</v>
      </c>
      <c r="K1835">
        <v>3</v>
      </c>
      <c r="L1835">
        <v>1</v>
      </c>
      <c r="M1835">
        <v>2</v>
      </c>
      <c r="N1835">
        <v>8</v>
      </c>
    </row>
    <row r="1836" spans="1:14" hidden="1" x14ac:dyDescent="0.3">
      <c r="A1836">
        <v>2032</v>
      </c>
      <c r="B1836">
        <v>16</v>
      </c>
      <c r="C1836">
        <v>36</v>
      </c>
      <c r="D1836">
        <v>0</v>
      </c>
      <c r="E1836">
        <v>13</v>
      </c>
      <c r="F1836">
        <v>0</v>
      </c>
      <c r="G1836">
        <v>0</v>
      </c>
      <c r="H1836">
        <v>4</v>
      </c>
      <c r="I1836">
        <v>45</v>
      </c>
      <c r="J1836">
        <v>1</v>
      </c>
      <c r="K1836">
        <v>1</v>
      </c>
      <c r="L1836">
        <v>0</v>
      </c>
      <c r="M1836">
        <v>2</v>
      </c>
      <c r="N1836">
        <v>8</v>
      </c>
    </row>
    <row r="1837" spans="1:14" hidden="1" x14ac:dyDescent="0.3">
      <c r="A1837">
        <v>3057</v>
      </c>
      <c r="B1837">
        <v>16</v>
      </c>
      <c r="C1837">
        <v>68</v>
      </c>
      <c r="D1837">
        <v>47</v>
      </c>
      <c r="E1837">
        <v>64</v>
      </c>
      <c r="F1837">
        <v>8</v>
      </c>
      <c r="G1837">
        <v>0</v>
      </c>
      <c r="H1837">
        <v>51</v>
      </c>
      <c r="I1837">
        <v>136</v>
      </c>
      <c r="J1837">
        <v>2</v>
      </c>
      <c r="K1837">
        <v>1</v>
      </c>
      <c r="L1837">
        <v>1</v>
      </c>
      <c r="M1837">
        <v>4</v>
      </c>
      <c r="N1837">
        <v>3</v>
      </c>
    </row>
    <row r="1838" spans="1:14" hidden="1" x14ac:dyDescent="0.3">
      <c r="A1838">
        <v>2876</v>
      </c>
      <c r="B1838">
        <v>16</v>
      </c>
      <c r="C1838">
        <v>83</v>
      </c>
      <c r="D1838">
        <v>28</v>
      </c>
      <c r="E1838">
        <v>77</v>
      </c>
      <c r="F1838">
        <v>0</v>
      </c>
      <c r="G1838">
        <v>22</v>
      </c>
      <c r="H1838">
        <v>61</v>
      </c>
      <c r="I1838">
        <v>149</v>
      </c>
      <c r="J1838">
        <v>1</v>
      </c>
      <c r="K1838">
        <v>1</v>
      </c>
      <c r="L1838">
        <v>0</v>
      </c>
      <c r="M1838">
        <v>3</v>
      </c>
      <c r="N1838">
        <v>7</v>
      </c>
    </row>
    <row r="1839" spans="1:14" hidden="1" x14ac:dyDescent="0.3">
      <c r="A1839">
        <v>1862</v>
      </c>
      <c r="B1839">
        <v>16</v>
      </c>
      <c r="C1839">
        <v>102</v>
      </c>
      <c r="D1839">
        <v>4</v>
      </c>
      <c r="E1839">
        <v>53</v>
      </c>
      <c r="F1839">
        <v>15</v>
      </c>
      <c r="G1839">
        <v>4</v>
      </c>
      <c r="H1839">
        <v>80</v>
      </c>
      <c r="I1839">
        <v>99</v>
      </c>
      <c r="J1839">
        <v>2</v>
      </c>
      <c r="K1839">
        <v>2</v>
      </c>
      <c r="L1839">
        <v>0</v>
      </c>
      <c r="M1839">
        <v>3</v>
      </c>
      <c r="N1839">
        <v>8</v>
      </c>
    </row>
    <row r="1840" spans="1:14" hidden="1" x14ac:dyDescent="0.3">
      <c r="A1840">
        <v>3123</v>
      </c>
      <c r="B1840">
        <v>16</v>
      </c>
      <c r="C1840">
        <v>107</v>
      </c>
      <c r="D1840">
        <v>12</v>
      </c>
      <c r="E1840">
        <v>95</v>
      </c>
      <c r="F1840">
        <v>16</v>
      </c>
      <c r="G1840">
        <v>29</v>
      </c>
      <c r="H1840">
        <v>12</v>
      </c>
      <c r="I1840">
        <v>247</v>
      </c>
      <c r="J1840">
        <v>2</v>
      </c>
      <c r="K1840">
        <v>2</v>
      </c>
      <c r="L1840">
        <v>0</v>
      </c>
      <c r="M1840">
        <v>4</v>
      </c>
      <c r="N1840">
        <v>6</v>
      </c>
    </row>
    <row r="1841" spans="1:14" hidden="1" x14ac:dyDescent="0.3">
      <c r="A1841">
        <v>2953</v>
      </c>
      <c r="B1841">
        <v>16</v>
      </c>
      <c r="C1841">
        <v>108</v>
      </c>
      <c r="D1841">
        <v>4</v>
      </c>
      <c r="E1841">
        <v>63</v>
      </c>
      <c r="F1841">
        <v>0</v>
      </c>
      <c r="G1841">
        <v>11</v>
      </c>
      <c r="H1841">
        <v>48</v>
      </c>
      <c r="I1841">
        <v>138</v>
      </c>
      <c r="J1841">
        <v>1</v>
      </c>
      <c r="K1841">
        <v>2</v>
      </c>
      <c r="L1841">
        <v>1</v>
      </c>
      <c r="M1841">
        <v>2</v>
      </c>
      <c r="N1841">
        <v>8</v>
      </c>
    </row>
    <row r="1842" spans="1:14" hidden="1" x14ac:dyDescent="0.3">
      <c r="A1842">
        <v>1172</v>
      </c>
      <c r="B1842">
        <v>16</v>
      </c>
      <c r="C1842">
        <v>201</v>
      </c>
      <c r="D1842">
        <v>4</v>
      </c>
      <c r="E1842">
        <v>26</v>
      </c>
      <c r="F1842">
        <v>0</v>
      </c>
      <c r="G1842">
        <v>0</v>
      </c>
      <c r="H1842">
        <v>51</v>
      </c>
      <c r="I1842">
        <v>180</v>
      </c>
      <c r="J1842">
        <v>1</v>
      </c>
      <c r="K1842">
        <v>1</v>
      </c>
      <c r="L1842">
        <v>1</v>
      </c>
      <c r="M1842">
        <v>3</v>
      </c>
      <c r="N1842">
        <v>6</v>
      </c>
    </row>
    <row r="1843" spans="1:14" hidden="1" x14ac:dyDescent="0.3">
      <c r="A1843">
        <v>2753</v>
      </c>
      <c r="B1843">
        <v>16</v>
      </c>
      <c r="C1843">
        <v>251</v>
      </c>
      <c r="D1843">
        <v>0</v>
      </c>
      <c r="E1843">
        <v>64</v>
      </c>
      <c r="F1843">
        <v>0</v>
      </c>
      <c r="G1843">
        <v>0</v>
      </c>
      <c r="H1843">
        <v>46</v>
      </c>
      <c r="I1843">
        <v>269</v>
      </c>
      <c r="J1843">
        <v>1</v>
      </c>
      <c r="K1843">
        <v>3</v>
      </c>
      <c r="L1843">
        <v>1</v>
      </c>
      <c r="M1843">
        <v>2</v>
      </c>
      <c r="N1843">
        <v>7</v>
      </c>
    </row>
    <row r="1844" spans="1:14" hidden="1" x14ac:dyDescent="0.3">
      <c r="A1844">
        <v>2410</v>
      </c>
      <c r="B1844">
        <v>16</v>
      </c>
      <c r="C1844">
        <v>311</v>
      </c>
      <c r="D1844">
        <v>63</v>
      </c>
      <c r="E1844">
        <v>162</v>
      </c>
      <c r="F1844">
        <v>7</v>
      </c>
      <c r="G1844">
        <v>162</v>
      </c>
      <c r="H1844">
        <v>5</v>
      </c>
      <c r="I1844">
        <v>699</v>
      </c>
      <c r="J1844">
        <v>5</v>
      </c>
      <c r="K1844">
        <v>6</v>
      </c>
      <c r="L1844">
        <v>1</v>
      </c>
      <c r="M1844">
        <v>5</v>
      </c>
      <c r="N1844">
        <v>7</v>
      </c>
    </row>
    <row r="1845" spans="1:14" hidden="1" x14ac:dyDescent="0.3">
      <c r="A1845">
        <v>2135</v>
      </c>
      <c r="B1845">
        <v>16</v>
      </c>
      <c r="C1845">
        <v>461</v>
      </c>
      <c r="D1845">
        <v>17</v>
      </c>
      <c r="E1845">
        <v>105</v>
      </c>
      <c r="F1845">
        <v>17</v>
      </c>
      <c r="G1845">
        <v>37</v>
      </c>
      <c r="H1845">
        <v>37</v>
      </c>
      <c r="I1845">
        <v>600</v>
      </c>
      <c r="J1845">
        <v>2</v>
      </c>
      <c r="K1845">
        <v>1</v>
      </c>
      <c r="L1845">
        <v>3</v>
      </c>
      <c r="M1845">
        <v>6</v>
      </c>
      <c r="N1845">
        <v>1</v>
      </c>
    </row>
    <row r="1846" spans="1:14" hidden="1" x14ac:dyDescent="0.3">
      <c r="A1846">
        <v>2062</v>
      </c>
      <c r="B1846">
        <v>16</v>
      </c>
      <c r="C1846">
        <v>640</v>
      </c>
      <c r="D1846">
        <v>37</v>
      </c>
      <c r="E1846">
        <v>465</v>
      </c>
      <c r="F1846">
        <v>78</v>
      </c>
      <c r="G1846">
        <v>48</v>
      </c>
      <c r="H1846">
        <v>60</v>
      </c>
      <c r="I1846">
        <v>1210</v>
      </c>
      <c r="J1846">
        <v>6</v>
      </c>
      <c r="K1846">
        <v>7</v>
      </c>
      <c r="L1846">
        <v>2</v>
      </c>
      <c r="M1846">
        <v>4</v>
      </c>
      <c r="N1846">
        <v>9</v>
      </c>
    </row>
    <row r="1847" spans="1:14" hidden="1" x14ac:dyDescent="0.3">
      <c r="A1847">
        <v>1006</v>
      </c>
      <c r="B1847">
        <v>16</v>
      </c>
      <c r="C1847">
        <v>1352</v>
      </c>
      <c r="D1847">
        <v>109</v>
      </c>
      <c r="E1847">
        <v>255</v>
      </c>
      <c r="F1847">
        <v>0</v>
      </c>
      <c r="G1847">
        <v>109</v>
      </c>
      <c r="H1847">
        <v>36</v>
      </c>
      <c r="I1847">
        <v>1789</v>
      </c>
      <c r="J1847">
        <v>2</v>
      </c>
      <c r="K1847">
        <v>6</v>
      </c>
      <c r="L1847">
        <v>4</v>
      </c>
      <c r="M1847">
        <v>10</v>
      </c>
      <c r="N1847">
        <v>6</v>
      </c>
    </row>
    <row r="1848" spans="1:14" hidden="1" x14ac:dyDescent="0.3">
      <c r="A1848">
        <v>2835</v>
      </c>
      <c r="B1848">
        <v>16</v>
      </c>
      <c r="C1848">
        <v>1630</v>
      </c>
      <c r="D1848">
        <v>86</v>
      </c>
      <c r="E1848">
        <v>304</v>
      </c>
      <c r="F1848">
        <v>169</v>
      </c>
      <c r="G1848">
        <v>20</v>
      </c>
      <c r="H1848">
        <v>64</v>
      </c>
      <c r="I1848">
        <v>2144</v>
      </c>
      <c r="J1848">
        <v>1</v>
      </c>
      <c r="K1848">
        <v>5</v>
      </c>
      <c r="L1848">
        <v>3</v>
      </c>
      <c r="M1848">
        <v>5</v>
      </c>
      <c r="N1848">
        <v>3</v>
      </c>
    </row>
    <row r="1849" spans="1:14" hidden="1" x14ac:dyDescent="0.3">
      <c r="A1849">
        <v>2065</v>
      </c>
      <c r="B1849">
        <v>16</v>
      </c>
      <c r="C1849">
        <v>2136</v>
      </c>
      <c r="D1849">
        <v>133</v>
      </c>
      <c r="E1849">
        <v>1960</v>
      </c>
      <c r="F1849">
        <v>230</v>
      </c>
      <c r="G1849">
        <v>88</v>
      </c>
      <c r="H1849">
        <v>310</v>
      </c>
      <c r="I1849">
        <v>4238</v>
      </c>
      <c r="J1849">
        <v>1</v>
      </c>
      <c r="K1849">
        <v>5</v>
      </c>
      <c r="L1849">
        <v>8</v>
      </c>
      <c r="M1849">
        <v>6</v>
      </c>
      <c r="N1849">
        <v>3</v>
      </c>
    </row>
    <row r="1850" spans="1:14" hidden="1" x14ac:dyDescent="0.3">
      <c r="A1850">
        <v>2474</v>
      </c>
      <c r="B1850">
        <v>16</v>
      </c>
      <c r="C1850">
        <v>2229</v>
      </c>
      <c r="D1850">
        <v>134</v>
      </c>
      <c r="E1850">
        <v>606</v>
      </c>
      <c r="F1850">
        <v>218</v>
      </c>
      <c r="G1850">
        <v>235</v>
      </c>
      <c r="H1850">
        <v>34</v>
      </c>
      <c r="I1850">
        <v>3388</v>
      </c>
      <c r="J1850">
        <v>4</v>
      </c>
      <c r="K1850">
        <v>9</v>
      </c>
      <c r="L1850">
        <v>5</v>
      </c>
      <c r="M1850">
        <v>7</v>
      </c>
      <c r="N1850">
        <v>5</v>
      </c>
    </row>
    <row r="1851" spans="1:14" hidden="1" x14ac:dyDescent="0.3">
      <c r="A1851">
        <v>2434</v>
      </c>
      <c r="B1851">
        <v>16</v>
      </c>
      <c r="C1851">
        <v>2690</v>
      </c>
      <c r="D1851">
        <v>141</v>
      </c>
      <c r="E1851">
        <v>1510</v>
      </c>
      <c r="F1851">
        <v>184</v>
      </c>
      <c r="G1851">
        <v>236</v>
      </c>
      <c r="H1851">
        <v>93</v>
      </c>
      <c r="I1851">
        <v>4668</v>
      </c>
      <c r="J1851">
        <v>0</v>
      </c>
      <c r="K1851">
        <v>6</v>
      </c>
      <c r="L1851">
        <v>7</v>
      </c>
      <c r="M1851">
        <v>12</v>
      </c>
      <c r="N1851">
        <v>2</v>
      </c>
    </row>
    <row r="1852" spans="1:14" hidden="1" x14ac:dyDescent="0.3">
      <c r="A1852">
        <v>1258</v>
      </c>
      <c r="B1852">
        <v>15</v>
      </c>
      <c r="C1852">
        <v>66</v>
      </c>
      <c r="D1852">
        <v>29</v>
      </c>
      <c r="E1852">
        <v>95</v>
      </c>
      <c r="F1852">
        <v>0</v>
      </c>
      <c r="G1852">
        <v>33</v>
      </c>
      <c r="H1852">
        <v>25</v>
      </c>
      <c r="I1852">
        <v>199</v>
      </c>
      <c r="J1852">
        <v>3</v>
      </c>
      <c r="K1852">
        <v>3</v>
      </c>
      <c r="L1852">
        <v>0</v>
      </c>
      <c r="M1852">
        <v>4</v>
      </c>
      <c r="N1852">
        <v>5</v>
      </c>
    </row>
    <row r="1853" spans="1:14" hidden="1" x14ac:dyDescent="0.3">
      <c r="A1853">
        <v>2170</v>
      </c>
      <c r="B1853">
        <v>15</v>
      </c>
      <c r="C1853">
        <v>86</v>
      </c>
      <c r="D1853">
        <v>6</v>
      </c>
      <c r="E1853">
        <v>22</v>
      </c>
      <c r="F1853">
        <v>0</v>
      </c>
      <c r="G1853">
        <v>6</v>
      </c>
      <c r="H1853">
        <v>41</v>
      </c>
      <c r="I1853">
        <v>79</v>
      </c>
      <c r="J1853">
        <v>1</v>
      </c>
      <c r="K1853">
        <v>1</v>
      </c>
      <c r="L1853">
        <v>0</v>
      </c>
      <c r="M1853">
        <v>3</v>
      </c>
      <c r="N1853">
        <v>5</v>
      </c>
    </row>
    <row r="1854" spans="1:14" hidden="1" x14ac:dyDescent="0.3">
      <c r="A1854">
        <v>2213</v>
      </c>
      <c r="B1854">
        <v>15</v>
      </c>
      <c r="C1854">
        <v>91</v>
      </c>
      <c r="D1854">
        <v>17</v>
      </c>
      <c r="E1854">
        <v>27</v>
      </c>
      <c r="F1854">
        <v>27</v>
      </c>
      <c r="G1854">
        <v>10</v>
      </c>
      <c r="H1854">
        <v>41</v>
      </c>
      <c r="I1854">
        <v>132</v>
      </c>
      <c r="J1854">
        <v>3</v>
      </c>
      <c r="K1854">
        <v>3</v>
      </c>
      <c r="L1854">
        <v>0</v>
      </c>
      <c r="M1854">
        <v>4</v>
      </c>
      <c r="N1854">
        <v>4</v>
      </c>
    </row>
    <row r="1855" spans="1:14" hidden="1" x14ac:dyDescent="0.3">
      <c r="A1855">
        <v>2810</v>
      </c>
      <c r="B1855">
        <v>15</v>
      </c>
      <c r="C1855">
        <v>191</v>
      </c>
      <c r="D1855">
        <v>17</v>
      </c>
      <c r="E1855">
        <v>82</v>
      </c>
      <c r="F1855">
        <v>14</v>
      </c>
      <c r="G1855">
        <v>0</v>
      </c>
      <c r="H1855">
        <v>10</v>
      </c>
      <c r="I1855">
        <v>293</v>
      </c>
      <c r="J1855">
        <v>3</v>
      </c>
      <c r="K1855">
        <v>2</v>
      </c>
      <c r="L1855">
        <v>1</v>
      </c>
      <c r="M1855">
        <v>3</v>
      </c>
      <c r="N1855">
        <v>5</v>
      </c>
    </row>
    <row r="1856" spans="1:14" hidden="1" x14ac:dyDescent="0.3">
      <c r="A1856">
        <v>2745</v>
      </c>
      <c r="B1856">
        <v>15</v>
      </c>
      <c r="C1856">
        <v>197</v>
      </c>
      <c r="D1856">
        <v>15</v>
      </c>
      <c r="E1856">
        <v>148</v>
      </c>
      <c r="F1856">
        <v>49</v>
      </c>
      <c r="G1856">
        <v>34</v>
      </c>
      <c r="H1856">
        <v>54</v>
      </c>
      <c r="I1856">
        <v>389</v>
      </c>
      <c r="J1856">
        <v>3</v>
      </c>
      <c r="K1856">
        <v>3</v>
      </c>
      <c r="L1856">
        <v>0</v>
      </c>
      <c r="M1856">
        <v>3</v>
      </c>
      <c r="N1856">
        <v>9</v>
      </c>
    </row>
    <row r="1857" spans="1:14" hidden="1" x14ac:dyDescent="0.3">
      <c r="A1857">
        <v>2956</v>
      </c>
      <c r="B1857">
        <v>15</v>
      </c>
      <c r="C1857">
        <v>197</v>
      </c>
      <c r="D1857">
        <v>15</v>
      </c>
      <c r="E1857">
        <v>148</v>
      </c>
      <c r="F1857">
        <v>49</v>
      </c>
      <c r="G1857">
        <v>34</v>
      </c>
      <c r="H1857">
        <v>54</v>
      </c>
      <c r="I1857">
        <v>389</v>
      </c>
      <c r="J1857">
        <v>3</v>
      </c>
      <c r="K1857">
        <v>3</v>
      </c>
      <c r="L1857">
        <v>0</v>
      </c>
      <c r="M1857">
        <v>3</v>
      </c>
      <c r="N1857">
        <v>9</v>
      </c>
    </row>
    <row r="1858" spans="1:14" hidden="1" x14ac:dyDescent="0.3">
      <c r="A1858">
        <v>2323</v>
      </c>
      <c r="B1858">
        <v>15</v>
      </c>
      <c r="C1858">
        <v>201</v>
      </c>
      <c r="D1858">
        <v>0</v>
      </c>
      <c r="E1858">
        <v>50</v>
      </c>
      <c r="F1858">
        <v>145</v>
      </c>
      <c r="G1858">
        <v>25</v>
      </c>
      <c r="H1858">
        <v>113</v>
      </c>
      <c r="I1858">
        <v>308</v>
      </c>
      <c r="J1858">
        <v>1</v>
      </c>
      <c r="K1858">
        <v>1</v>
      </c>
      <c r="L1858">
        <v>0</v>
      </c>
      <c r="M1858">
        <v>4</v>
      </c>
      <c r="N1858">
        <v>6</v>
      </c>
    </row>
    <row r="1859" spans="1:14" hidden="1" x14ac:dyDescent="0.3">
      <c r="A1859">
        <v>2891</v>
      </c>
      <c r="B1859">
        <v>15</v>
      </c>
      <c r="C1859">
        <v>201</v>
      </c>
      <c r="D1859">
        <v>0</v>
      </c>
      <c r="E1859">
        <v>50</v>
      </c>
      <c r="F1859">
        <v>145</v>
      </c>
      <c r="G1859">
        <v>25</v>
      </c>
      <c r="H1859">
        <v>113</v>
      </c>
      <c r="I1859">
        <v>308</v>
      </c>
      <c r="J1859">
        <v>1</v>
      </c>
      <c r="K1859">
        <v>1</v>
      </c>
      <c r="L1859">
        <v>0</v>
      </c>
      <c r="M1859">
        <v>4</v>
      </c>
      <c r="N1859">
        <v>6</v>
      </c>
    </row>
    <row r="1860" spans="1:14" hidden="1" x14ac:dyDescent="0.3">
      <c r="A1860">
        <v>3172</v>
      </c>
      <c r="B1860">
        <v>15</v>
      </c>
      <c r="C1860">
        <v>201</v>
      </c>
      <c r="D1860">
        <v>0</v>
      </c>
      <c r="E1860">
        <v>50</v>
      </c>
      <c r="F1860">
        <v>145</v>
      </c>
      <c r="G1860">
        <v>25</v>
      </c>
      <c r="H1860">
        <v>113</v>
      </c>
      <c r="I1860">
        <v>308</v>
      </c>
      <c r="J1860">
        <v>1</v>
      </c>
      <c r="K1860">
        <v>1</v>
      </c>
      <c r="L1860">
        <v>0</v>
      </c>
      <c r="M1860">
        <v>4</v>
      </c>
      <c r="N1860">
        <v>6</v>
      </c>
    </row>
    <row r="1861" spans="1:14" hidden="1" x14ac:dyDescent="0.3">
      <c r="A1861">
        <v>3117</v>
      </c>
      <c r="B1861">
        <v>15</v>
      </c>
      <c r="C1861">
        <v>237</v>
      </c>
      <c r="D1861">
        <v>0</v>
      </c>
      <c r="E1861">
        <v>43</v>
      </c>
      <c r="F1861">
        <v>10</v>
      </c>
      <c r="G1861">
        <v>3</v>
      </c>
      <c r="H1861">
        <v>0</v>
      </c>
      <c r="I1861">
        <v>294</v>
      </c>
      <c r="J1861">
        <v>2</v>
      </c>
      <c r="K1861">
        <v>1</v>
      </c>
      <c r="L1861">
        <v>1</v>
      </c>
      <c r="M1861">
        <v>4</v>
      </c>
      <c r="N1861">
        <v>4</v>
      </c>
    </row>
    <row r="1862" spans="1:14" hidden="1" x14ac:dyDescent="0.3">
      <c r="A1862">
        <v>2102</v>
      </c>
      <c r="B1862">
        <v>15</v>
      </c>
      <c r="C1862">
        <v>308</v>
      </c>
      <c r="D1862">
        <v>0</v>
      </c>
      <c r="E1862">
        <v>175</v>
      </c>
      <c r="F1862">
        <v>8</v>
      </c>
      <c r="G1862">
        <v>4</v>
      </c>
      <c r="H1862">
        <v>25</v>
      </c>
      <c r="I1862">
        <v>471</v>
      </c>
      <c r="J1862">
        <v>2</v>
      </c>
      <c r="K1862">
        <v>2</v>
      </c>
      <c r="L1862">
        <v>1</v>
      </c>
      <c r="M1862">
        <v>4</v>
      </c>
      <c r="N1862">
        <v>7</v>
      </c>
    </row>
    <row r="1863" spans="1:14" hidden="1" x14ac:dyDescent="0.3">
      <c r="A1863">
        <v>2851</v>
      </c>
      <c r="B1863">
        <v>15</v>
      </c>
      <c r="C1863">
        <v>403</v>
      </c>
      <c r="D1863">
        <v>286</v>
      </c>
      <c r="E1863">
        <v>978</v>
      </c>
      <c r="F1863">
        <v>435</v>
      </c>
      <c r="G1863">
        <v>378</v>
      </c>
      <c r="H1863">
        <v>882</v>
      </c>
      <c r="I1863">
        <v>1598</v>
      </c>
      <c r="J1863">
        <v>3</v>
      </c>
      <c r="K1863">
        <v>9</v>
      </c>
      <c r="L1863">
        <v>1</v>
      </c>
      <c r="M1863">
        <v>8</v>
      </c>
      <c r="N1863">
        <v>9</v>
      </c>
    </row>
    <row r="1864" spans="1:14" hidden="1" x14ac:dyDescent="0.3">
      <c r="A1864">
        <v>1098</v>
      </c>
      <c r="B1864">
        <v>15</v>
      </c>
      <c r="C1864">
        <v>437</v>
      </c>
      <c r="D1864">
        <v>3</v>
      </c>
      <c r="E1864">
        <v>97</v>
      </c>
      <c r="F1864">
        <v>6</v>
      </c>
      <c r="G1864">
        <v>3</v>
      </c>
      <c r="H1864">
        <v>21</v>
      </c>
      <c r="I1864">
        <v>525</v>
      </c>
      <c r="J1864">
        <v>4</v>
      </c>
      <c r="K1864">
        <v>4</v>
      </c>
      <c r="L1864">
        <v>1</v>
      </c>
      <c r="M1864">
        <v>4</v>
      </c>
      <c r="N1864">
        <v>7</v>
      </c>
    </row>
    <row r="1865" spans="1:14" hidden="1" x14ac:dyDescent="0.3">
      <c r="A1865">
        <v>1589</v>
      </c>
      <c r="B1865">
        <v>15</v>
      </c>
      <c r="C1865">
        <v>490</v>
      </c>
      <c r="D1865">
        <v>56</v>
      </c>
      <c r="E1865">
        <v>256</v>
      </c>
      <c r="F1865">
        <v>11</v>
      </c>
      <c r="G1865">
        <v>17</v>
      </c>
      <c r="H1865">
        <v>356</v>
      </c>
      <c r="I1865">
        <v>473</v>
      </c>
      <c r="J1865">
        <v>4</v>
      </c>
      <c r="K1865">
        <v>5</v>
      </c>
      <c r="L1865">
        <v>1</v>
      </c>
      <c r="M1865">
        <v>2</v>
      </c>
      <c r="N1865">
        <v>10</v>
      </c>
    </row>
    <row r="1866" spans="1:14" hidden="1" x14ac:dyDescent="0.3">
      <c r="A1866">
        <v>2791</v>
      </c>
      <c r="B1866">
        <v>15</v>
      </c>
      <c r="C1866">
        <v>1088</v>
      </c>
      <c r="D1866">
        <v>95</v>
      </c>
      <c r="E1866">
        <v>287</v>
      </c>
      <c r="F1866">
        <v>273</v>
      </c>
      <c r="G1866">
        <v>208</v>
      </c>
      <c r="H1866">
        <v>114</v>
      </c>
      <c r="I1866">
        <v>1838</v>
      </c>
      <c r="J1866">
        <v>2</v>
      </c>
      <c r="K1866">
        <v>9</v>
      </c>
      <c r="L1866">
        <v>2</v>
      </c>
      <c r="M1866">
        <v>9</v>
      </c>
      <c r="N1866">
        <v>5</v>
      </c>
    </row>
    <row r="1867" spans="1:14" hidden="1" x14ac:dyDescent="0.3">
      <c r="A1867">
        <v>1801</v>
      </c>
      <c r="B1867">
        <v>15</v>
      </c>
      <c r="C1867">
        <v>1939</v>
      </c>
      <c r="D1867">
        <v>122</v>
      </c>
      <c r="E1867">
        <v>1856</v>
      </c>
      <c r="F1867">
        <v>53</v>
      </c>
      <c r="G1867">
        <v>164</v>
      </c>
      <c r="H1867">
        <v>39</v>
      </c>
      <c r="I1867">
        <v>4096</v>
      </c>
      <c r="J1867">
        <v>1</v>
      </c>
      <c r="K1867">
        <v>5</v>
      </c>
      <c r="L1867">
        <v>4</v>
      </c>
      <c r="M1867">
        <v>8</v>
      </c>
      <c r="N1867">
        <v>3</v>
      </c>
    </row>
    <row r="1868" spans="1:14" hidden="1" x14ac:dyDescent="0.3">
      <c r="A1868">
        <v>2991</v>
      </c>
      <c r="B1868">
        <v>14</v>
      </c>
      <c r="C1868">
        <v>11</v>
      </c>
      <c r="D1868">
        <v>11</v>
      </c>
      <c r="E1868">
        <v>52</v>
      </c>
      <c r="F1868">
        <v>56</v>
      </c>
      <c r="G1868">
        <v>78</v>
      </c>
      <c r="H1868">
        <v>37</v>
      </c>
      <c r="I1868">
        <v>171</v>
      </c>
      <c r="J1868">
        <v>1</v>
      </c>
      <c r="K1868">
        <v>2</v>
      </c>
      <c r="L1868">
        <v>1</v>
      </c>
      <c r="M1868">
        <v>2</v>
      </c>
      <c r="N1868">
        <v>9</v>
      </c>
    </row>
    <row r="1869" spans="1:14" hidden="1" x14ac:dyDescent="0.3">
      <c r="A1869">
        <v>2490</v>
      </c>
      <c r="B1869">
        <v>14</v>
      </c>
      <c r="C1869">
        <v>12</v>
      </c>
      <c r="D1869">
        <v>69</v>
      </c>
      <c r="E1869">
        <v>58</v>
      </c>
      <c r="F1869">
        <v>35</v>
      </c>
      <c r="G1869">
        <v>75</v>
      </c>
      <c r="H1869">
        <v>173</v>
      </c>
      <c r="I1869">
        <v>75</v>
      </c>
      <c r="J1869">
        <v>1</v>
      </c>
      <c r="K1869">
        <v>3</v>
      </c>
      <c r="L1869">
        <v>1</v>
      </c>
      <c r="M1869">
        <v>2</v>
      </c>
      <c r="N1869">
        <v>8</v>
      </c>
    </row>
    <row r="1870" spans="1:14" hidden="1" x14ac:dyDescent="0.3">
      <c r="A1870">
        <v>1426</v>
      </c>
      <c r="B1870">
        <v>14</v>
      </c>
      <c r="C1870">
        <v>20</v>
      </c>
      <c r="D1870">
        <v>7</v>
      </c>
      <c r="E1870">
        <v>13</v>
      </c>
      <c r="F1870">
        <v>26</v>
      </c>
      <c r="G1870">
        <v>20</v>
      </c>
      <c r="H1870">
        <v>7</v>
      </c>
      <c r="I1870">
        <v>78</v>
      </c>
      <c r="J1870">
        <v>1</v>
      </c>
      <c r="K1870">
        <v>0</v>
      </c>
      <c r="L1870">
        <v>0</v>
      </c>
      <c r="M1870">
        <v>3</v>
      </c>
      <c r="N1870">
        <v>5</v>
      </c>
    </row>
    <row r="1871" spans="1:14" hidden="1" x14ac:dyDescent="0.3">
      <c r="A1871">
        <v>2597</v>
      </c>
      <c r="B1871">
        <v>14</v>
      </c>
      <c r="C1871">
        <v>25</v>
      </c>
      <c r="D1871">
        <v>101</v>
      </c>
      <c r="E1871">
        <v>126</v>
      </c>
      <c r="F1871">
        <v>0</v>
      </c>
      <c r="G1871">
        <v>107</v>
      </c>
      <c r="H1871">
        <v>126</v>
      </c>
      <c r="I1871">
        <v>234</v>
      </c>
      <c r="J1871">
        <v>3</v>
      </c>
      <c r="K1871">
        <v>2</v>
      </c>
      <c r="L1871">
        <v>0</v>
      </c>
      <c r="M1871">
        <v>4</v>
      </c>
      <c r="N1871">
        <v>8</v>
      </c>
    </row>
    <row r="1872" spans="1:14" hidden="1" x14ac:dyDescent="0.3">
      <c r="A1872">
        <v>1322</v>
      </c>
      <c r="B1872">
        <v>14</v>
      </c>
      <c r="C1872">
        <v>43</v>
      </c>
      <c r="D1872">
        <v>9</v>
      </c>
      <c r="E1872">
        <v>68</v>
      </c>
      <c r="F1872">
        <v>47</v>
      </c>
      <c r="G1872">
        <v>9</v>
      </c>
      <c r="H1872">
        <v>89</v>
      </c>
      <c r="I1872">
        <v>85</v>
      </c>
      <c r="J1872">
        <v>1</v>
      </c>
      <c r="K1872">
        <v>1</v>
      </c>
      <c r="L1872">
        <v>0</v>
      </c>
      <c r="M1872">
        <v>3</v>
      </c>
      <c r="N1872">
        <v>8</v>
      </c>
    </row>
    <row r="1873" spans="1:14" hidden="1" x14ac:dyDescent="0.3">
      <c r="A1873">
        <v>1404</v>
      </c>
      <c r="B1873">
        <v>14</v>
      </c>
      <c r="C1873">
        <v>70</v>
      </c>
      <c r="D1873">
        <v>11</v>
      </c>
      <c r="E1873">
        <v>70</v>
      </c>
      <c r="F1873">
        <v>11</v>
      </c>
      <c r="G1873">
        <v>4</v>
      </c>
      <c r="H1873">
        <v>11</v>
      </c>
      <c r="I1873">
        <v>154</v>
      </c>
      <c r="J1873">
        <v>2</v>
      </c>
      <c r="K1873">
        <v>2</v>
      </c>
      <c r="L1873">
        <v>0</v>
      </c>
      <c r="M1873">
        <v>3</v>
      </c>
      <c r="N1873">
        <v>7</v>
      </c>
    </row>
    <row r="1874" spans="1:14" hidden="1" x14ac:dyDescent="0.3">
      <c r="A1874">
        <v>2499</v>
      </c>
      <c r="B1874">
        <v>14</v>
      </c>
      <c r="C1874">
        <v>70</v>
      </c>
      <c r="D1874">
        <v>11</v>
      </c>
      <c r="E1874">
        <v>70</v>
      </c>
      <c r="F1874">
        <v>11</v>
      </c>
      <c r="G1874">
        <v>4</v>
      </c>
      <c r="H1874">
        <v>11</v>
      </c>
      <c r="I1874">
        <v>154</v>
      </c>
      <c r="J1874">
        <v>2</v>
      </c>
      <c r="K1874">
        <v>2</v>
      </c>
      <c r="L1874">
        <v>0</v>
      </c>
      <c r="M1874">
        <v>3</v>
      </c>
      <c r="N1874">
        <v>7</v>
      </c>
    </row>
    <row r="1875" spans="1:14" hidden="1" x14ac:dyDescent="0.3">
      <c r="A1875">
        <v>1366</v>
      </c>
      <c r="B1875">
        <v>14</v>
      </c>
      <c r="C1875">
        <v>200</v>
      </c>
      <c r="D1875">
        <v>56</v>
      </c>
      <c r="E1875">
        <v>446</v>
      </c>
      <c r="F1875">
        <v>362</v>
      </c>
      <c r="G1875">
        <v>186</v>
      </c>
      <c r="H1875">
        <v>256</v>
      </c>
      <c r="I1875">
        <v>994</v>
      </c>
      <c r="J1875">
        <v>3</v>
      </c>
      <c r="K1875">
        <v>4</v>
      </c>
      <c r="L1875">
        <v>1</v>
      </c>
      <c r="M1875">
        <v>6</v>
      </c>
      <c r="N1875">
        <v>7</v>
      </c>
    </row>
    <row r="1876" spans="1:14" hidden="1" x14ac:dyDescent="0.3">
      <c r="A1876">
        <v>1994</v>
      </c>
      <c r="B1876">
        <v>14</v>
      </c>
      <c r="C1876">
        <v>248</v>
      </c>
      <c r="D1876">
        <v>0</v>
      </c>
      <c r="E1876">
        <v>83</v>
      </c>
      <c r="F1876">
        <v>28</v>
      </c>
      <c r="G1876">
        <v>0</v>
      </c>
      <c r="H1876">
        <v>47</v>
      </c>
      <c r="I1876">
        <v>311</v>
      </c>
      <c r="J1876">
        <v>1</v>
      </c>
      <c r="K1876">
        <v>3</v>
      </c>
      <c r="L1876">
        <v>0</v>
      </c>
      <c r="M1876">
        <v>3</v>
      </c>
      <c r="N1876">
        <v>8</v>
      </c>
    </row>
    <row r="1877" spans="1:14" hidden="1" x14ac:dyDescent="0.3">
      <c r="A1877">
        <v>2293</v>
      </c>
      <c r="B1877">
        <v>14</v>
      </c>
      <c r="C1877">
        <v>488</v>
      </c>
      <c r="D1877">
        <v>379</v>
      </c>
      <c r="E1877">
        <v>488</v>
      </c>
      <c r="F1877">
        <v>96</v>
      </c>
      <c r="G1877">
        <v>379</v>
      </c>
      <c r="H1877">
        <v>86</v>
      </c>
      <c r="I1877">
        <v>1743</v>
      </c>
      <c r="J1877">
        <v>5</v>
      </c>
      <c r="K1877">
        <v>4</v>
      </c>
      <c r="L1877">
        <v>7</v>
      </c>
      <c r="M1877">
        <v>10</v>
      </c>
      <c r="N1877">
        <v>2</v>
      </c>
    </row>
    <row r="1878" spans="1:14" hidden="1" x14ac:dyDescent="0.3">
      <c r="A1878">
        <v>2823</v>
      </c>
      <c r="B1878">
        <v>14</v>
      </c>
      <c r="C1878">
        <v>1047</v>
      </c>
      <c r="D1878">
        <v>0</v>
      </c>
      <c r="E1878">
        <v>145</v>
      </c>
      <c r="F1878">
        <v>16</v>
      </c>
      <c r="G1878">
        <v>11</v>
      </c>
      <c r="H1878">
        <v>109</v>
      </c>
      <c r="I1878">
        <v>1110</v>
      </c>
      <c r="J1878">
        <v>3</v>
      </c>
      <c r="K1878">
        <v>8</v>
      </c>
      <c r="L1878">
        <v>1</v>
      </c>
      <c r="M1878">
        <v>6</v>
      </c>
      <c r="N1878">
        <v>6</v>
      </c>
    </row>
    <row r="1879" spans="1:14" hidden="1" x14ac:dyDescent="0.3">
      <c r="A1879">
        <v>2543</v>
      </c>
      <c r="B1879">
        <v>14</v>
      </c>
      <c r="C1879">
        <v>1068</v>
      </c>
      <c r="D1879">
        <v>35</v>
      </c>
      <c r="E1879">
        <v>398</v>
      </c>
      <c r="F1879">
        <v>331</v>
      </c>
      <c r="G1879">
        <v>54</v>
      </c>
      <c r="H1879">
        <v>72</v>
      </c>
      <c r="I1879">
        <v>1813</v>
      </c>
      <c r="J1879">
        <v>2</v>
      </c>
      <c r="K1879">
        <v>5</v>
      </c>
      <c r="L1879">
        <v>4</v>
      </c>
      <c r="M1879">
        <v>12</v>
      </c>
      <c r="N1879">
        <v>2</v>
      </c>
    </row>
    <row r="1880" spans="1:14" hidden="1" x14ac:dyDescent="0.3">
      <c r="A1880">
        <v>1421</v>
      </c>
      <c r="B1880">
        <v>14</v>
      </c>
      <c r="C1880">
        <v>1176</v>
      </c>
      <c r="D1880">
        <v>12</v>
      </c>
      <c r="E1880">
        <v>103</v>
      </c>
      <c r="F1880">
        <v>18</v>
      </c>
      <c r="G1880">
        <v>0</v>
      </c>
      <c r="H1880">
        <v>65</v>
      </c>
      <c r="I1880">
        <v>1244</v>
      </c>
      <c r="J1880">
        <v>2</v>
      </c>
      <c r="K1880">
        <v>9</v>
      </c>
      <c r="L1880">
        <v>1</v>
      </c>
      <c r="M1880">
        <v>5</v>
      </c>
      <c r="N1880">
        <v>8</v>
      </c>
    </row>
    <row r="1881" spans="1:14" hidden="1" x14ac:dyDescent="0.3">
      <c r="A1881">
        <v>3138</v>
      </c>
      <c r="B1881">
        <v>14</v>
      </c>
      <c r="C1881">
        <v>1202</v>
      </c>
      <c r="D1881">
        <v>12</v>
      </c>
      <c r="E1881">
        <v>78</v>
      </c>
      <c r="F1881">
        <v>32</v>
      </c>
      <c r="G1881">
        <v>12</v>
      </c>
      <c r="H1881">
        <v>51</v>
      </c>
      <c r="I1881">
        <v>1285</v>
      </c>
      <c r="J1881">
        <v>1</v>
      </c>
      <c r="K1881">
        <v>9</v>
      </c>
      <c r="L1881">
        <v>1</v>
      </c>
      <c r="M1881">
        <v>7</v>
      </c>
      <c r="N1881">
        <v>6</v>
      </c>
    </row>
    <row r="1882" spans="1:14" hidden="1" x14ac:dyDescent="0.3">
      <c r="A1882">
        <v>2279</v>
      </c>
      <c r="B1882">
        <v>14</v>
      </c>
      <c r="C1882">
        <v>1268</v>
      </c>
      <c r="D1882">
        <v>180</v>
      </c>
      <c r="E1882">
        <v>1414</v>
      </c>
      <c r="F1882">
        <v>470</v>
      </c>
      <c r="G1882">
        <v>398</v>
      </c>
      <c r="H1882">
        <v>216</v>
      </c>
      <c r="I1882">
        <v>3514</v>
      </c>
      <c r="J1882">
        <v>1</v>
      </c>
      <c r="K1882">
        <v>4</v>
      </c>
      <c r="L1882">
        <v>6</v>
      </c>
      <c r="M1882">
        <v>4</v>
      </c>
      <c r="N1882">
        <v>1</v>
      </c>
    </row>
    <row r="1883" spans="1:14" hidden="1" x14ac:dyDescent="0.3">
      <c r="A1883">
        <v>2134</v>
      </c>
      <c r="B1883">
        <v>14</v>
      </c>
      <c r="C1883">
        <v>1712</v>
      </c>
      <c r="D1883">
        <v>77</v>
      </c>
      <c r="E1883">
        <v>1610</v>
      </c>
      <c r="F1883">
        <v>86</v>
      </c>
      <c r="G1883">
        <v>302</v>
      </c>
      <c r="H1883">
        <v>251</v>
      </c>
      <c r="I1883">
        <v>3535</v>
      </c>
      <c r="J1883">
        <v>1</v>
      </c>
      <c r="K1883">
        <v>5</v>
      </c>
      <c r="L1883">
        <v>9</v>
      </c>
      <c r="M1883">
        <v>11</v>
      </c>
      <c r="N1883">
        <v>2</v>
      </c>
    </row>
    <row r="1884" spans="1:14" hidden="1" x14ac:dyDescent="0.3">
      <c r="A1884">
        <v>1177</v>
      </c>
      <c r="B1884">
        <v>14</v>
      </c>
      <c r="C1884">
        <v>1840</v>
      </c>
      <c r="D1884">
        <v>71</v>
      </c>
      <c r="E1884">
        <v>1262</v>
      </c>
      <c r="F1884">
        <v>329</v>
      </c>
      <c r="G1884">
        <v>179</v>
      </c>
      <c r="H1884">
        <v>35</v>
      </c>
      <c r="I1884">
        <v>3645</v>
      </c>
      <c r="J1884">
        <v>1</v>
      </c>
      <c r="K1884">
        <v>4</v>
      </c>
      <c r="L1884">
        <v>10</v>
      </c>
      <c r="M1884">
        <v>9</v>
      </c>
      <c r="N1884">
        <v>2</v>
      </c>
    </row>
    <row r="1885" spans="1:14" hidden="1" x14ac:dyDescent="0.3">
      <c r="A1885">
        <v>2344</v>
      </c>
      <c r="B1885">
        <v>14</v>
      </c>
      <c r="C1885">
        <v>1850</v>
      </c>
      <c r="D1885">
        <v>19</v>
      </c>
      <c r="E1885">
        <v>185</v>
      </c>
      <c r="F1885">
        <v>0</v>
      </c>
      <c r="G1885">
        <v>19</v>
      </c>
      <c r="H1885">
        <v>62</v>
      </c>
      <c r="I1885">
        <v>2011</v>
      </c>
      <c r="J1885">
        <v>4</v>
      </c>
      <c r="K1885">
        <v>2</v>
      </c>
      <c r="L1885">
        <v>2</v>
      </c>
      <c r="M1885">
        <v>7</v>
      </c>
      <c r="N1885">
        <v>8</v>
      </c>
    </row>
    <row r="1886" spans="1:14" hidden="1" x14ac:dyDescent="0.3">
      <c r="A1886">
        <v>1362</v>
      </c>
      <c r="B1886">
        <v>14</v>
      </c>
      <c r="C1886">
        <v>2613</v>
      </c>
      <c r="D1886">
        <v>60</v>
      </c>
      <c r="E1886">
        <v>243</v>
      </c>
      <c r="F1886">
        <v>80</v>
      </c>
      <c r="G1886">
        <v>60</v>
      </c>
      <c r="H1886">
        <v>393</v>
      </c>
      <c r="I1886">
        <v>2663</v>
      </c>
      <c r="J1886">
        <v>2</v>
      </c>
      <c r="K1886">
        <v>3</v>
      </c>
      <c r="L1886">
        <v>5</v>
      </c>
      <c r="M1886">
        <v>10</v>
      </c>
      <c r="N1886">
        <v>6</v>
      </c>
    </row>
    <row r="1887" spans="1:14" hidden="1" x14ac:dyDescent="0.3">
      <c r="A1887">
        <v>1328</v>
      </c>
      <c r="B1887">
        <v>13</v>
      </c>
      <c r="C1887">
        <v>5</v>
      </c>
      <c r="D1887">
        <v>28</v>
      </c>
      <c r="E1887">
        <v>33</v>
      </c>
      <c r="F1887">
        <v>0</v>
      </c>
      <c r="G1887">
        <v>5</v>
      </c>
      <c r="H1887">
        <v>14</v>
      </c>
      <c r="I1887">
        <v>56</v>
      </c>
      <c r="J1887">
        <v>1</v>
      </c>
      <c r="K1887">
        <v>1</v>
      </c>
      <c r="L1887">
        <v>0</v>
      </c>
      <c r="M1887">
        <v>2</v>
      </c>
      <c r="N1887">
        <v>8</v>
      </c>
    </row>
    <row r="1888" spans="1:14" hidden="1" x14ac:dyDescent="0.3">
      <c r="A1888">
        <v>3132</v>
      </c>
      <c r="B1888">
        <v>13</v>
      </c>
      <c r="C1888">
        <v>8</v>
      </c>
      <c r="D1888">
        <v>23</v>
      </c>
      <c r="E1888">
        <v>23</v>
      </c>
      <c r="F1888">
        <v>60</v>
      </c>
      <c r="G1888">
        <v>8</v>
      </c>
      <c r="H1888">
        <v>98</v>
      </c>
      <c r="I1888">
        <v>23</v>
      </c>
      <c r="J1888">
        <v>2</v>
      </c>
      <c r="K1888">
        <v>1</v>
      </c>
      <c r="L1888">
        <v>0</v>
      </c>
      <c r="M1888">
        <v>3</v>
      </c>
      <c r="N1888">
        <v>7</v>
      </c>
    </row>
    <row r="1889" spans="1:14" hidden="1" x14ac:dyDescent="0.3">
      <c r="A1889">
        <v>1451</v>
      </c>
      <c r="B1889">
        <v>13</v>
      </c>
      <c r="C1889">
        <v>17</v>
      </c>
      <c r="D1889">
        <v>4</v>
      </c>
      <c r="E1889">
        <v>21</v>
      </c>
      <c r="F1889">
        <v>8</v>
      </c>
      <c r="G1889">
        <v>0</v>
      </c>
      <c r="H1889">
        <v>12</v>
      </c>
      <c r="I1889">
        <v>37</v>
      </c>
      <c r="J1889">
        <v>1</v>
      </c>
      <c r="K1889">
        <v>1</v>
      </c>
      <c r="L1889">
        <v>0</v>
      </c>
      <c r="M1889">
        <v>2</v>
      </c>
      <c r="N1889">
        <v>8</v>
      </c>
    </row>
    <row r="1890" spans="1:14" hidden="1" x14ac:dyDescent="0.3">
      <c r="A1890">
        <v>3111</v>
      </c>
      <c r="B1890">
        <v>13</v>
      </c>
      <c r="C1890">
        <v>21</v>
      </c>
      <c r="D1890">
        <v>126</v>
      </c>
      <c r="E1890">
        <v>58</v>
      </c>
      <c r="F1890">
        <v>84</v>
      </c>
      <c r="G1890">
        <v>5</v>
      </c>
      <c r="H1890">
        <v>131</v>
      </c>
      <c r="I1890">
        <v>163</v>
      </c>
      <c r="J1890">
        <v>1</v>
      </c>
      <c r="K1890">
        <v>2</v>
      </c>
      <c r="L1890">
        <v>0</v>
      </c>
      <c r="M1890">
        <v>4</v>
      </c>
      <c r="N1890">
        <v>6</v>
      </c>
    </row>
    <row r="1891" spans="1:14" hidden="1" x14ac:dyDescent="0.3">
      <c r="A1891">
        <v>1361</v>
      </c>
      <c r="B1891">
        <v>13</v>
      </c>
      <c r="C1891">
        <v>43</v>
      </c>
      <c r="D1891">
        <v>17</v>
      </c>
      <c r="E1891">
        <v>60</v>
      </c>
      <c r="F1891">
        <v>17</v>
      </c>
      <c r="G1891">
        <v>17</v>
      </c>
      <c r="H1891">
        <v>4</v>
      </c>
      <c r="I1891">
        <v>151</v>
      </c>
      <c r="J1891">
        <v>1</v>
      </c>
      <c r="K1891">
        <v>1</v>
      </c>
      <c r="L1891">
        <v>0</v>
      </c>
      <c r="M1891">
        <v>3</v>
      </c>
      <c r="N1891">
        <v>8</v>
      </c>
    </row>
    <row r="1892" spans="1:14" hidden="1" x14ac:dyDescent="0.3">
      <c r="A1892">
        <v>1427</v>
      </c>
      <c r="B1892">
        <v>13</v>
      </c>
      <c r="C1892">
        <v>43</v>
      </c>
      <c r="D1892">
        <v>17</v>
      </c>
      <c r="E1892">
        <v>60</v>
      </c>
      <c r="F1892">
        <v>17</v>
      </c>
      <c r="G1892">
        <v>17</v>
      </c>
      <c r="H1892">
        <v>4</v>
      </c>
      <c r="I1892">
        <v>151</v>
      </c>
      <c r="J1892">
        <v>1</v>
      </c>
      <c r="K1892">
        <v>1</v>
      </c>
      <c r="L1892">
        <v>0</v>
      </c>
      <c r="M1892">
        <v>3</v>
      </c>
      <c r="N1892">
        <v>8</v>
      </c>
    </row>
    <row r="1893" spans="1:14" hidden="1" x14ac:dyDescent="0.3">
      <c r="A1893">
        <v>2147</v>
      </c>
      <c r="B1893">
        <v>13</v>
      </c>
      <c r="C1893">
        <v>58</v>
      </c>
      <c r="D1893">
        <v>40</v>
      </c>
      <c r="E1893">
        <v>55</v>
      </c>
      <c r="F1893">
        <v>30</v>
      </c>
      <c r="G1893">
        <v>21</v>
      </c>
      <c r="H1893">
        <v>24</v>
      </c>
      <c r="I1893">
        <v>179</v>
      </c>
      <c r="J1893">
        <v>1</v>
      </c>
      <c r="K1893">
        <v>1</v>
      </c>
      <c r="L1893">
        <v>1</v>
      </c>
      <c r="M1893">
        <v>3</v>
      </c>
      <c r="N1893">
        <v>3</v>
      </c>
    </row>
    <row r="1894" spans="1:14" hidden="1" x14ac:dyDescent="0.3">
      <c r="A1894">
        <v>1134</v>
      </c>
      <c r="B1894">
        <v>13</v>
      </c>
      <c r="C1894">
        <v>108</v>
      </c>
      <c r="D1894">
        <v>115</v>
      </c>
      <c r="E1894">
        <v>139</v>
      </c>
      <c r="F1894">
        <v>247</v>
      </c>
      <c r="G1894">
        <v>54</v>
      </c>
      <c r="H1894">
        <v>393</v>
      </c>
      <c r="I1894">
        <v>271</v>
      </c>
      <c r="J1894">
        <v>3</v>
      </c>
      <c r="K1894">
        <v>4</v>
      </c>
      <c r="L1894">
        <v>2</v>
      </c>
      <c r="M1894">
        <v>3</v>
      </c>
      <c r="N1894">
        <v>7</v>
      </c>
    </row>
    <row r="1895" spans="1:14" hidden="1" x14ac:dyDescent="0.3">
      <c r="A1895">
        <v>1178</v>
      </c>
      <c r="B1895">
        <v>13</v>
      </c>
      <c r="C1895">
        <v>134</v>
      </c>
      <c r="D1895">
        <v>3</v>
      </c>
      <c r="E1895">
        <v>57</v>
      </c>
      <c r="F1895">
        <v>10</v>
      </c>
      <c r="G1895">
        <v>0</v>
      </c>
      <c r="H1895">
        <v>13</v>
      </c>
      <c r="I1895">
        <v>191</v>
      </c>
      <c r="J1895">
        <v>2</v>
      </c>
      <c r="K1895">
        <v>2</v>
      </c>
      <c r="L1895">
        <v>0</v>
      </c>
      <c r="M1895">
        <v>3</v>
      </c>
      <c r="N1895">
        <v>7</v>
      </c>
    </row>
    <row r="1896" spans="1:14" hidden="1" x14ac:dyDescent="0.3">
      <c r="A1896">
        <v>2875</v>
      </c>
      <c r="B1896">
        <v>13</v>
      </c>
      <c r="C1896">
        <v>134</v>
      </c>
      <c r="D1896">
        <v>3</v>
      </c>
      <c r="E1896">
        <v>57</v>
      </c>
      <c r="F1896">
        <v>10</v>
      </c>
      <c r="G1896">
        <v>0</v>
      </c>
      <c r="H1896">
        <v>13</v>
      </c>
      <c r="I1896">
        <v>191</v>
      </c>
      <c r="J1896">
        <v>2</v>
      </c>
      <c r="K1896">
        <v>2</v>
      </c>
      <c r="L1896">
        <v>0</v>
      </c>
      <c r="M1896">
        <v>3</v>
      </c>
      <c r="N1896">
        <v>7</v>
      </c>
    </row>
    <row r="1897" spans="1:14" hidden="1" x14ac:dyDescent="0.3">
      <c r="A1897">
        <v>1113</v>
      </c>
      <c r="B1897">
        <v>13</v>
      </c>
      <c r="C1897">
        <v>138</v>
      </c>
      <c r="D1897">
        <v>12</v>
      </c>
      <c r="E1897">
        <v>118</v>
      </c>
      <c r="F1897">
        <v>0</v>
      </c>
      <c r="G1897">
        <v>16</v>
      </c>
      <c r="H1897">
        <v>41</v>
      </c>
      <c r="I1897">
        <v>244</v>
      </c>
      <c r="J1897">
        <v>3</v>
      </c>
      <c r="K1897">
        <v>2</v>
      </c>
      <c r="L1897">
        <v>1</v>
      </c>
      <c r="M1897">
        <v>3</v>
      </c>
      <c r="N1897">
        <v>5</v>
      </c>
    </row>
    <row r="1898" spans="1:14" hidden="1" x14ac:dyDescent="0.3">
      <c r="A1898">
        <v>2087</v>
      </c>
      <c r="B1898">
        <v>13</v>
      </c>
      <c r="C1898">
        <v>157</v>
      </c>
      <c r="D1898">
        <v>0</v>
      </c>
      <c r="E1898">
        <v>24</v>
      </c>
      <c r="F1898">
        <v>0</v>
      </c>
      <c r="G1898">
        <v>0</v>
      </c>
      <c r="H1898">
        <v>6</v>
      </c>
      <c r="I1898">
        <v>175</v>
      </c>
      <c r="J1898">
        <v>1</v>
      </c>
      <c r="K1898">
        <v>2</v>
      </c>
      <c r="L1898">
        <v>0</v>
      </c>
      <c r="M1898">
        <v>3</v>
      </c>
      <c r="N1898">
        <v>5</v>
      </c>
    </row>
    <row r="1899" spans="1:14" hidden="1" x14ac:dyDescent="0.3">
      <c r="A1899">
        <v>1660</v>
      </c>
      <c r="B1899">
        <v>13</v>
      </c>
      <c r="C1899">
        <v>211</v>
      </c>
      <c r="D1899">
        <v>15</v>
      </c>
      <c r="E1899">
        <v>286</v>
      </c>
      <c r="F1899">
        <v>64</v>
      </c>
      <c r="G1899">
        <v>4</v>
      </c>
      <c r="H1899">
        <v>68</v>
      </c>
      <c r="I1899">
        <v>512</v>
      </c>
      <c r="J1899">
        <v>4</v>
      </c>
      <c r="K1899">
        <v>4</v>
      </c>
      <c r="L1899">
        <v>1</v>
      </c>
      <c r="M1899">
        <v>3</v>
      </c>
      <c r="N1899">
        <v>9</v>
      </c>
    </row>
    <row r="1900" spans="1:14" hidden="1" x14ac:dyDescent="0.3">
      <c r="A1900">
        <v>2317</v>
      </c>
      <c r="B1900">
        <v>13</v>
      </c>
      <c r="C1900">
        <v>250</v>
      </c>
      <c r="D1900">
        <v>8</v>
      </c>
      <c r="E1900">
        <v>151</v>
      </c>
      <c r="F1900">
        <v>15</v>
      </c>
      <c r="G1900">
        <v>11</v>
      </c>
      <c r="H1900">
        <v>53</v>
      </c>
      <c r="I1900">
        <v>383</v>
      </c>
      <c r="J1900">
        <v>1</v>
      </c>
      <c r="K1900">
        <v>3</v>
      </c>
      <c r="L1900">
        <v>1</v>
      </c>
      <c r="M1900">
        <v>3</v>
      </c>
      <c r="N1900">
        <v>6</v>
      </c>
    </row>
    <row r="1901" spans="1:14" hidden="1" x14ac:dyDescent="0.3">
      <c r="A1901">
        <v>1547</v>
      </c>
      <c r="B1901">
        <v>13</v>
      </c>
      <c r="C1901">
        <v>336</v>
      </c>
      <c r="D1901">
        <v>336</v>
      </c>
      <c r="E1901">
        <v>674</v>
      </c>
      <c r="F1901">
        <v>437</v>
      </c>
      <c r="G1901">
        <v>315</v>
      </c>
      <c r="H1901">
        <v>216</v>
      </c>
      <c r="I1901">
        <v>1880</v>
      </c>
      <c r="J1901">
        <v>5</v>
      </c>
      <c r="K1901">
        <v>6</v>
      </c>
      <c r="L1901">
        <v>3</v>
      </c>
      <c r="M1901">
        <v>12</v>
      </c>
      <c r="N1901">
        <v>4</v>
      </c>
    </row>
    <row r="1902" spans="1:14" hidden="1" x14ac:dyDescent="0.3">
      <c r="A1902">
        <v>1615</v>
      </c>
      <c r="B1902">
        <v>13</v>
      </c>
      <c r="C1902">
        <v>336</v>
      </c>
      <c r="D1902">
        <v>336</v>
      </c>
      <c r="E1902">
        <v>674</v>
      </c>
      <c r="F1902">
        <v>437</v>
      </c>
      <c r="G1902">
        <v>315</v>
      </c>
      <c r="H1902">
        <v>216</v>
      </c>
      <c r="I1902">
        <v>1880</v>
      </c>
      <c r="J1902">
        <v>5</v>
      </c>
      <c r="K1902">
        <v>6</v>
      </c>
      <c r="L1902">
        <v>3</v>
      </c>
      <c r="M1902">
        <v>12</v>
      </c>
      <c r="N1902">
        <v>4</v>
      </c>
    </row>
    <row r="1903" spans="1:14" hidden="1" x14ac:dyDescent="0.3">
      <c r="A1903">
        <v>2771</v>
      </c>
      <c r="B1903">
        <v>13</v>
      </c>
      <c r="C1903">
        <v>424</v>
      </c>
      <c r="D1903">
        <v>125</v>
      </c>
      <c r="E1903">
        <v>234</v>
      </c>
      <c r="F1903">
        <v>0</v>
      </c>
      <c r="G1903">
        <v>117</v>
      </c>
      <c r="H1903">
        <v>135</v>
      </c>
      <c r="I1903">
        <v>764</v>
      </c>
      <c r="J1903">
        <v>1</v>
      </c>
      <c r="K1903">
        <v>3</v>
      </c>
      <c r="L1903">
        <v>2</v>
      </c>
      <c r="M1903">
        <v>8</v>
      </c>
      <c r="N1903">
        <v>3</v>
      </c>
    </row>
    <row r="1904" spans="1:14" hidden="1" x14ac:dyDescent="0.3">
      <c r="A1904">
        <v>1255</v>
      </c>
      <c r="B1904">
        <v>13</v>
      </c>
      <c r="C1904">
        <v>432</v>
      </c>
      <c r="D1904">
        <v>175</v>
      </c>
      <c r="E1904">
        <v>707</v>
      </c>
      <c r="F1904">
        <v>384</v>
      </c>
      <c r="G1904">
        <v>353</v>
      </c>
      <c r="H1904">
        <v>275</v>
      </c>
      <c r="I1904">
        <v>1776</v>
      </c>
      <c r="J1904">
        <v>1</v>
      </c>
      <c r="K1904">
        <v>3</v>
      </c>
      <c r="L1904">
        <v>3</v>
      </c>
      <c r="M1904">
        <v>6</v>
      </c>
      <c r="N1904">
        <v>1</v>
      </c>
    </row>
    <row r="1905" spans="1:14" hidden="1" x14ac:dyDescent="0.3">
      <c r="A1905">
        <v>1300</v>
      </c>
      <c r="B1905">
        <v>13</v>
      </c>
      <c r="C1905">
        <v>526</v>
      </c>
      <c r="D1905">
        <v>0</v>
      </c>
      <c r="E1905">
        <v>80</v>
      </c>
      <c r="F1905">
        <v>9</v>
      </c>
      <c r="G1905">
        <v>6</v>
      </c>
      <c r="H1905">
        <v>48</v>
      </c>
      <c r="I1905">
        <v>572</v>
      </c>
      <c r="J1905">
        <v>6</v>
      </c>
      <c r="K1905">
        <v>3</v>
      </c>
      <c r="L1905">
        <v>1</v>
      </c>
      <c r="M1905">
        <v>6</v>
      </c>
      <c r="N1905">
        <v>4</v>
      </c>
    </row>
    <row r="1906" spans="1:14" hidden="1" x14ac:dyDescent="0.3">
      <c r="A1906">
        <v>2802</v>
      </c>
      <c r="B1906">
        <v>13</v>
      </c>
      <c r="C1906">
        <v>678</v>
      </c>
      <c r="D1906">
        <v>61</v>
      </c>
      <c r="E1906">
        <v>1586</v>
      </c>
      <c r="F1906">
        <v>492</v>
      </c>
      <c r="G1906">
        <v>55</v>
      </c>
      <c r="H1906">
        <v>378</v>
      </c>
      <c r="I1906">
        <v>2494</v>
      </c>
      <c r="J1906">
        <v>1</v>
      </c>
      <c r="K1906">
        <v>4</v>
      </c>
      <c r="L1906">
        <v>6</v>
      </c>
      <c r="M1906">
        <v>5</v>
      </c>
      <c r="N1906">
        <v>2</v>
      </c>
    </row>
    <row r="1907" spans="1:14" hidden="1" x14ac:dyDescent="0.3">
      <c r="A1907">
        <v>2929</v>
      </c>
      <c r="B1907">
        <v>13</v>
      </c>
      <c r="C1907">
        <v>885</v>
      </c>
      <c r="D1907">
        <v>10</v>
      </c>
      <c r="E1907">
        <v>233</v>
      </c>
      <c r="F1907">
        <v>29</v>
      </c>
      <c r="G1907">
        <v>21</v>
      </c>
      <c r="H1907">
        <v>34</v>
      </c>
      <c r="I1907">
        <v>1144</v>
      </c>
      <c r="J1907">
        <v>1</v>
      </c>
      <c r="K1907">
        <v>4</v>
      </c>
      <c r="L1907">
        <v>2</v>
      </c>
      <c r="M1907">
        <v>9</v>
      </c>
      <c r="N1907">
        <v>4</v>
      </c>
    </row>
    <row r="1908" spans="1:14" hidden="1" x14ac:dyDescent="0.3">
      <c r="A1908">
        <v>2840</v>
      </c>
      <c r="B1908">
        <v>13</v>
      </c>
      <c r="C1908">
        <v>1299</v>
      </c>
      <c r="D1908">
        <v>61</v>
      </c>
      <c r="E1908">
        <v>189</v>
      </c>
      <c r="F1908">
        <v>40</v>
      </c>
      <c r="G1908">
        <v>0</v>
      </c>
      <c r="H1908">
        <v>157</v>
      </c>
      <c r="I1908">
        <v>1432</v>
      </c>
      <c r="J1908">
        <v>11</v>
      </c>
      <c r="K1908">
        <v>8</v>
      </c>
      <c r="L1908">
        <v>3</v>
      </c>
      <c r="M1908">
        <v>7</v>
      </c>
      <c r="N1908">
        <v>7</v>
      </c>
    </row>
    <row r="1909" spans="1:14" hidden="1" x14ac:dyDescent="0.3">
      <c r="A1909">
        <v>1743</v>
      </c>
      <c r="B1909">
        <v>13</v>
      </c>
      <c r="C1909">
        <v>1473</v>
      </c>
      <c r="D1909">
        <v>244</v>
      </c>
      <c r="E1909">
        <v>890</v>
      </c>
      <c r="F1909">
        <v>399</v>
      </c>
      <c r="G1909">
        <v>153</v>
      </c>
      <c r="H1909">
        <v>91</v>
      </c>
      <c r="I1909">
        <v>3068</v>
      </c>
      <c r="J1909">
        <v>1</v>
      </c>
      <c r="K1909">
        <v>6</v>
      </c>
      <c r="L1909">
        <v>4</v>
      </c>
      <c r="M1909">
        <v>10</v>
      </c>
      <c r="N1909">
        <v>3</v>
      </c>
    </row>
    <row r="1910" spans="1:14" hidden="1" x14ac:dyDescent="0.3">
      <c r="A1910">
        <v>2300</v>
      </c>
      <c r="B1910">
        <v>13</v>
      </c>
      <c r="C1910">
        <v>1731</v>
      </c>
      <c r="D1910">
        <v>191</v>
      </c>
      <c r="E1910">
        <v>1193</v>
      </c>
      <c r="F1910">
        <v>76</v>
      </c>
      <c r="G1910">
        <v>153</v>
      </c>
      <c r="H1910">
        <v>307</v>
      </c>
      <c r="I1910">
        <v>3037</v>
      </c>
      <c r="J1910">
        <v>1</v>
      </c>
      <c r="K1910">
        <v>5</v>
      </c>
      <c r="L1910">
        <v>9</v>
      </c>
      <c r="M1910">
        <v>12</v>
      </c>
      <c r="N1910">
        <v>3</v>
      </c>
    </row>
    <row r="1911" spans="1:14" hidden="1" x14ac:dyDescent="0.3">
      <c r="A1911">
        <v>2261</v>
      </c>
      <c r="B1911">
        <v>13</v>
      </c>
      <c r="C1911">
        <v>1855</v>
      </c>
      <c r="D1911">
        <v>420</v>
      </c>
      <c r="E1911">
        <v>1560</v>
      </c>
      <c r="F1911">
        <v>329</v>
      </c>
      <c r="G1911">
        <v>125</v>
      </c>
      <c r="H1911">
        <v>547</v>
      </c>
      <c r="I1911">
        <v>3742</v>
      </c>
      <c r="J1911">
        <v>1</v>
      </c>
      <c r="K1911">
        <v>4</v>
      </c>
      <c r="L1911">
        <v>6</v>
      </c>
      <c r="M1911">
        <v>8</v>
      </c>
      <c r="N1911">
        <v>2</v>
      </c>
    </row>
    <row r="1912" spans="1:14" hidden="1" x14ac:dyDescent="0.3">
      <c r="A1912">
        <v>1967</v>
      </c>
      <c r="B1912">
        <v>13</v>
      </c>
      <c r="C1912">
        <v>2268</v>
      </c>
      <c r="D1912">
        <v>206</v>
      </c>
      <c r="E1912">
        <v>1443</v>
      </c>
      <c r="F1912">
        <v>109</v>
      </c>
      <c r="G1912">
        <v>122</v>
      </c>
      <c r="H1912">
        <v>82</v>
      </c>
      <c r="I1912">
        <v>4066</v>
      </c>
      <c r="J1912">
        <v>1</v>
      </c>
      <c r="K1912">
        <v>5</v>
      </c>
      <c r="L1912">
        <v>6</v>
      </c>
      <c r="M1912">
        <v>7</v>
      </c>
      <c r="N1912">
        <v>2</v>
      </c>
    </row>
    <row r="1913" spans="1:14" hidden="1" x14ac:dyDescent="0.3">
      <c r="A1913">
        <v>1073</v>
      </c>
      <c r="B1913">
        <v>12</v>
      </c>
      <c r="C1913">
        <v>5</v>
      </c>
      <c r="D1913">
        <v>0</v>
      </c>
      <c r="E1913">
        <v>24</v>
      </c>
      <c r="F1913">
        <v>0</v>
      </c>
      <c r="G1913">
        <v>14</v>
      </c>
      <c r="H1913">
        <v>43</v>
      </c>
      <c r="I1913">
        <v>0</v>
      </c>
      <c r="J1913">
        <v>1</v>
      </c>
      <c r="K1913">
        <v>0</v>
      </c>
      <c r="L1913">
        <v>0</v>
      </c>
      <c r="M1913">
        <v>3</v>
      </c>
      <c r="N1913">
        <v>3</v>
      </c>
    </row>
    <row r="1914" spans="1:14" hidden="1" x14ac:dyDescent="0.3">
      <c r="A1914">
        <v>2271</v>
      </c>
      <c r="B1914">
        <v>12</v>
      </c>
      <c r="C1914">
        <v>7</v>
      </c>
      <c r="D1914">
        <v>15</v>
      </c>
      <c r="E1914">
        <v>37</v>
      </c>
      <c r="F1914">
        <v>44</v>
      </c>
      <c r="G1914">
        <v>0</v>
      </c>
      <c r="H1914">
        <v>22</v>
      </c>
      <c r="I1914">
        <v>81</v>
      </c>
      <c r="J1914">
        <v>1</v>
      </c>
      <c r="K1914">
        <v>1</v>
      </c>
      <c r="L1914">
        <v>0</v>
      </c>
      <c r="M1914">
        <v>2</v>
      </c>
      <c r="N1914">
        <v>7</v>
      </c>
    </row>
    <row r="1915" spans="1:14" hidden="1" x14ac:dyDescent="0.3">
      <c r="A1915">
        <v>1143</v>
      </c>
      <c r="B1915">
        <v>12</v>
      </c>
      <c r="C1915">
        <v>20</v>
      </c>
      <c r="D1915">
        <v>27</v>
      </c>
      <c r="E1915">
        <v>94</v>
      </c>
      <c r="F1915">
        <v>75</v>
      </c>
      <c r="G1915">
        <v>55</v>
      </c>
      <c r="H1915">
        <v>79</v>
      </c>
      <c r="I1915">
        <v>192</v>
      </c>
      <c r="J1915">
        <v>4</v>
      </c>
      <c r="K1915">
        <v>3</v>
      </c>
      <c r="L1915">
        <v>0</v>
      </c>
      <c r="M1915">
        <v>4</v>
      </c>
      <c r="N1915">
        <v>6</v>
      </c>
    </row>
    <row r="1916" spans="1:14" hidden="1" x14ac:dyDescent="0.3">
      <c r="A1916">
        <v>1823</v>
      </c>
      <c r="B1916">
        <v>12</v>
      </c>
      <c r="C1916">
        <v>20</v>
      </c>
      <c r="D1916">
        <v>27</v>
      </c>
      <c r="E1916">
        <v>94</v>
      </c>
      <c r="F1916">
        <v>75</v>
      </c>
      <c r="G1916">
        <v>55</v>
      </c>
      <c r="H1916">
        <v>79</v>
      </c>
      <c r="I1916">
        <v>192</v>
      </c>
      <c r="J1916">
        <v>4</v>
      </c>
      <c r="K1916">
        <v>3</v>
      </c>
      <c r="L1916">
        <v>0</v>
      </c>
      <c r="M1916">
        <v>4</v>
      </c>
      <c r="N1916">
        <v>6</v>
      </c>
    </row>
    <row r="1917" spans="1:14" hidden="1" x14ac:dyDescent="0.3">
      <c r="A1917">
        <v>1579</v>
      </c>
      <c r="B1917">
        <v>12</v>
      </c>
      <c r="C1917">
        <v>40</v>
      </c>
      <c r="D1917">
        <v>27</v>
      </c>
      <c r="E1917">
        <v>108</v>
      </c>
      <c r="F1917">
        <v>20</v>
      </c>
      <c r="G1917">
        <v>67</v>
      </c>
      <c r="H1917">
        <v>202</v>
      </c>
      <c r="I1917">
        <v>61</v>
      </c>
      <c r="J1917">
        <v>3</v>
      </c>
      <c r="K1917">
        <v>3</v>
      </c>
      <c r="L1917">
        <v>1</v>
      </c>
      <c r="M1917">
        <v>2</v>
      </c>
      <c r="N1917">
        <v>7</v>
      </c>
    </row>
    <row r="1918" spans="1:14" hidden="1" x14ac:dyDescent="0.3">
      <c r="A1918">
        <v>1943</v>
      </c>
      <c r="B1918">
        <v>12</v>
      </c>
      <c r="C1918">
        <v>48</v>
      </c>
      <c r="D1918">
        <v>24</v>
      </c>
      <c r="E1918">
        <v>31</v>
      </c>
      <c r="F1918">
        <v>21</v>
      </c>
      <c r="G1918">
        <v>55</v>
      </c>
      <c r="H1918">
        <v>41</v>
      </c>
      <c r="I1918">
        <v>138</v>
      </c>
      <c r="J1918">
        <v>2</v>
      </c>
      <c r="K1918">
        <v>2</v>
      </c>
      <c r="L1918">
        <v>0</v>
      </c>
      <c r="M1918">
        <v>3</v>
      </c>
      <c r="N1918">
        <v>6</v>
      </c>
    </row>
    <row r="1919" spans="1:14" hidden="1" x14ac:dyDescent="0.3">
      <c r="A1919">
        <v>2539</v>
      </c>
      <c r="B1919">
        <v>12</v>
      </c>
      <c r="C1919">
        <v>160</v>
      </c>
      <c r="D1919">
        <v>223</v>
      </c>
      <c r="E1919">
        <v>626</v>
      </c>
      <c r="F1919">
        <v>417</v>
      </c>
      <c r="G1919">
        <v>273</v>
      </c>
      <c r="H1919">
        <v>86</v>
      </c>
      <c r="I1919">
        <v>1613</v>
      </c>
      <c r="J1919">
        <v>1</v>
      </c>
      <c r="K1919">
        <v>5</v>
      </c>
      <c r="L1919">
        <v>10</v>
      </c>
      <c r="M1919">
        <v>5</v>
      </c>
      <c r="N1919">
        <v>1</v>
      </c>
    </row>
    <row r="1920" spans="1:14" hidden="1" x14ac:dyDescent="0.3">
      <c r="A1920">
        <v>1744</v>
      </c>
      <c r="B1920">
        <v>12</v>
      </c>
      <c r="C1920">
        <v>162</v>
      </c>
      <c r="D1920">
        <v>4</v>
      </c>
      <c r="E1920">
        <v>37</v>
      </c>
      <c r="F1920">
        <v>8</v>
      </c>
      <c r="G1920">
        <v>4</v>
      </c>
      <c r="H1920">
        <v>142</v>
      </c>
      <c r="I1920">
        <v>75</v>
      </c>
      <c r="J1920">
        <v>1</v>
      </c>
      <c r="K1920">
        <v>2</v>
      </c>
      <c r="L1920">
        <v>1</v>
      </c>
      <c r="M1920">
        <v>2</v>
      </c>
      <c r="N1920">
        <v>7</v>
      </c>
    </row>
    <row r="1921" spans="1:14" hidden="1" x14ac:dyDescent="0.3">
      <c r="A1921">
        <v>3182</v>
      </c>
      <c r="B1921">
        <v>12</v>
      </c>
      <c r="C1921">
        <v>238</v>
      </c>
      <c r="D1921">
        <v>79</v>
      </c>
      <c r="E1921">
        <v>139</v>
      </c>
      <c r="F1921">
        <v>20</v>
      </c>
      <c r="G1921">
        <v>60</v>
      </c>
      <c r="H1921">
        <v>99</v>
      </c>
      <c r="I1921">
        <v>437</v>
      </c>
      <c r="J1921">
        <v>0</v>
      </c>
      <c r="K1921">
        <v>1</v>
      </c>
      <c r="L1921">
        <v>0</v>
      </c>
      <c r="M1921">
        <v>0</v>
      </c>
      <c r="N1921">
        <v>13</v>
      </c>
    </row>
    <row r="1922" spans="1:14" hidden="1" x14ac:dyDescent="0.3">
      <c r="A1922">
        <v>2811</v>
      </c>
      <c r="B1922">
        <v>12</v>
      </c>
      <c r="C1922">
        <v>469</v>
      </c>
      <c r="D1922">
        <v>43</v>
      </c>
      <c r="E1922">
        <v>1024</v>
      </c>
      <c r="F1922">
        <v>359</v>
      </c>
      <c r="G1922">
        <v>319</v>
      </c>
      <c r="H1922">
        <v>148</v>
      </c>
      <c r="I1922">
        <v>2065</v>
      </c>
      <c r="J1922">
        <v>1</v>
      </c>
      <c r="K1922">
        <v>2</v>
      </c>
      <c r="L1922">
        <v>9</v>
      </c>
      <c r="M1922">
        <v>13</v>
      </c>
      <c r="N1922">
        <v>1</v>
      </c>
    </row>
    <row r="1923" spans="1:14" hidden="1" x14ac:dyDescent="0.3">
      <c r="A1923">
        <v>1296</v>
      </c>
      <c r="B1923">
        <v>12</v>
      </c>
      <c r="C1923">
        <v>515</v>
      </c>
      <c r="D1923">
        <v>7</v>
      </c>
      <c r="E1923">
        <v>154</v>
      </c>
      <c r="F1923">
        <v>67</v>
      </c>
      <c r="G1923">
        <v>13</v>
      </c>
      <c r="H1923">
        <v>50</v>
      </c>
      <c r="I1923">
        <v>705</v>
      </c>
      <c r="J1923">
        <v>1</v>
      </c>
      <c r="K1923">
        <v>4</v>
      </c>
      <c r="L1923">
        <v>2</v>
      </c>
      <c r="M1923">
        <v>4</v>
      </c>
      <c r="N1923">
        <v>4</v>
      </c>
    </row>
    <row r="1924" spans="1:14" hidden="1" x14ac:dyDescent="0.3">
      <c r="A1924">
        <v>1859</v>
      </c>
      <c r="B1924">
        <v>12</v>
      </c>
      <c r="C1924">
        <v>835</v>
      </c>
      <c r="D1924">
        <v>147</v>
      </c>
      <c r="E1924">
        <v>1227</v>
      </c>
      <c r="F1924">
        <v>192</v>
      </c>
      <c r="G1924">
        <v>97</v>
      </c>
      <c r="H1924">
        <v>147</v>
      </c>
      <c r="I1924">
        <v>2351</v>
      </c>
      <c r="J1924">
        <v>1</v>
      </c>
      <c r="K1924">
        <v>6</v>
      </c>
      <c r="L1924">
        <v>9</v>
      </c>
      <c r="M1924">
        <v>12</v>
      </c>
      <c r="N1924">
        <v>1</v>
      </c>
    </row>
    <row r="1925" spans="1:14" hidden="1" x14ac:dyDescent="0.3">
      <c r="A1925">
        <v>1420</v>
      </c>
      <c r="B1925">
        <v>12</v>
      </c>
      <c r="C1925">
        <v>888</v>
      </c>
      <c r="D1925">
        <v>87</v>
      </c>
      <c r="E1925">
        <v>674</v>
      </c>
      <c r="F1925">
        <v>70</v>
      </c>
      <c r="G1925">
        <v>70</v>
      </c>
      <c r="H1925">
        <v>35</v>
      </c>
      <c r="I1925">
        <v>1753</v>
      </c>
      <c r="J1925">
        <v>3</v>
      </c>
      <c r="K1925">
        <v>6</v>
      </c>
      <c r="L1925">
        <v>2</v>
      </c>
      <c r="M1925">
        <v>12</v>
      </c>
      <c r="N1925">
        <v>5</v>
      </c>
    </row>
    <row r="1926" spans="1:14" hidden="1" x14ac:dyDescent="0.3">
      <c r="A1926">
        <v>1796</v>
      </c>
      <c r="B1926">
        <v>12</v>
      </c>
      <c r="C1926">
        <v>946</v>
      </c>
      <c r="D1926">
        <v>23</v>
      </c>
      <c r="E1926">
        <v>209</v>
      </c>
      <c r="F1926">
        <v>48</v>
      </c>
      <c r="G1926">
        <v>10</v>
      </c>
      <c r="H1926">
        <v>10</v>
      </c>
      <c r="I1926">
        <v>1225</v>
      </c>
      <c r="J1926">
        <v>2</v>
      </c>
      <c r="K1926">
        <v>5</v>
      </c>
      <c r="L1926">
        <v>4</v>
      </c>
      <c r="M1926">
        <v>7</v>
      </c>
      <c r="N1926">
        <v>3</v>
      </c>
    </row>
    <row r="1927" spans="1:14" hidden="1" x14ac:dyDescent="0.3">
      <c r="A1927">
        <v>2331</v>
      </c>
      <c r="B1927">
        <v>12</v>
      </c>
      <c r="C1927">
        <v>1016</v>
      </c>
      <c r="D1927">
        <v>0</v>
      </c>
      <c r="E1927">
        <v>1093</v>
      </c>
      <c r="F1927">
        <v>440</v>
      </c>
      <c r="G1927">
        <v>155</v>
      </c>
      <c r="H1927">
        <v>339</v>
      </c>
      <c r="I1927">
        <v>2365</v>
      </c>
      <c r="J1927">
        <v>1</v>
      </c>
      <c r="K1927">
        <v>6</v>
      </c>
      <c r="L1927">
        <v>6</v>
      </c>
      <c r="M1927">
        <v>4</v>
      </c>
      <c r="N1927">
        <v>2</v>
      </c>
    </row>
    <row r="1928" spans="1:14" hidden="1" x14ac:dyDescent="0.3">
      <c r="A1928">
        <v>1546</v>
      </c>
      <c r="B1928">
        <v>12</v>
      </c>
      <c r="C1928">
        <v>1115</v>
      </c>
      <c r="D1928">
        <v>60</v>
      </c>
      <c r="E1928">
        <v>317</v>
      </c>
      <c r="F1928">
        <v>326</v>
      </c>
      <c r="G1928">
        <v>0</v>
      </c>
      <c r="H1928">
        <v>89</v>
      </c>
      <c r="I1928">
        <v>1729</v>
      </c>
      <c r="J1928">
        <v>2</v>
      </c>
      <c r="K1928">
        <v>8</v>
      </c>
      <c r="L1928">
        <v>3</v>
      </c>
      <c r="M1928">
        <v>13</v>
      </c>
      <c r="N1928">
        <v>4</v>
      </c>
    </row>
    <row r="1929" spans="1:14" hidden="1" x14ac:dyDescent="0.3">
      <c r="A1929">
        <v>1617</v>
      </c>
      <c r="B1929">
        <v>12</v>
      </c>
      <c r="C1929">
        <v>1127</v>
      </c>
      <c r="D1929">
        <v>48</v>
      </c>
      <c r="E1929">
        <v>1604</v>
      </c>
      <c r="F1929">
        <v>92</v>
      </c>
      <c r="G1929">
        <v>434</v>
      </c>
      <c r="H1929">
        <v>173</v>
      </c>
      <c r="I1929">
        <v>3132</v>
      </c>
      <c r="J1929">
        <v>1</v>
      </c>
      <c r="K1929">
        <v>6</v>
      </c>
      <c r="L1929">
        <v>7</v>
      </c>
      <c r="M1929">
        <v>7</v>
      </c>
      <c r="N1929">
        <v>3</v>
      </c>
    </row>
    <row r="1930" spans="1:14" hidden="1" x14ac:dyDescent="0.3">
      <c r="A1930">
        <v>2063</v>
      </c>
      <c r="B1930">
        <v>12</v>
      </c>
      <c r="C1930">
        <v>1276</v>
      </c>
      <c r="D1930">
        <v>95</v>
      </c>
      <c r="E1930">
        <v>1238</v>
      </c>
      <c r="F1930">
        <v>145</v>
      </c>
      <c r="G1930">
        <v>187</v>
      </c>
      <c r="H1930">
        <v>224</v>
      </c>
      <c r="I1930">
        <v>2717</v>
      </c>
      <c r="J1930">
        <v>1</v>
      </c>
      <c r="K1930">
        <v>5</v>
      </c>
      <c r="L1930">
        <v>6</v>
      </c>
      <c r="M1930">
        <v>4</v>
      </c>
      <c r="N1930">
        <v>3</v>
      </c>
    </row>
    <row r="1931" spans="1:14" hidden="1" x14ac:dyDescent="0.3">
      <c r="A1931">
        <v>2193</v>
      </c>
      <c r="B1931">
        <v>12</v>
      </c>
      <c r="C1931">
        <v>1436</v>
      </c>
      <c r="D1931">
        <v>87</v>
      </c>
      <c r="E1931">
        <v>556</v>
      </c>
      <c r="F1931">
        <v>115</v>
      </c>
      <c r="G1931">
        <v>78</v>
      </c>
      <c r="H1931">
        <v>175</v>
      </c>
      <c r="I1931">
        <v>2098</v>
      </c>
      <c r="J1931">
        <v>2</v>
      </c>
      <c r="K1931">
        <v>7</v>
      </c>
      <c r="L1931">
        <v>11</v>
      </c>
      <c r="M1931">
        <v>11</v>
      </c>
      <c r="N1931">
        <v>4</v>
      </c>
    </row>
    <row r="1932" spans="1:14" hidden="1" x14ac:dyDescent="0.3">
      <c r="A1932">
        <v>2661</v>
      </c>
      <c r="B1932">
        <v>12</v>
      </c>
      <c r="C1932">
        <v>1514</v>
      </c>
      <c r="D1932">
        <v>113</v>
      </c>
      <c r="E1932">
        <v>1929</v>
      </c>
      <c r="F1932">
        <v>48</v>
      </c>
      <c r="G1932">
        <v>188</v>
      </c>
      <c r="H1932">
        <v>188</v>
      </c>
      <c r="I1932">
        <v>3604</v>
      </c>
      <c r="J1932">
        <v>1</v>
      </c>
      <c r="K1932">
        <v>4</v>
      </c>
      <c r="L1932">
        <v>6</v>
      </c>
      <c r="M1932">
        <v>5</v>
      </c>
      <c r="N1932">
        <v>2</v>
      </c>
    </row>
    <row r="1933" spans="1:14" hidden="1" x14ac:dyDescent="0.3">
      <c r="A1933">
        <v>1056</v>
      </c>
      <c r="B1933">
        <v>12</v>
      </c>
      <c r="C1933">
        <v>1652</v>
      </c>
      <c r="D1933">
        <v>60</v>
      </c>
      <c r="E1933">
        <v>1248</v>
      </c>
      <c r="F1933">
        <v>160</v>
      </c>
      <c r="G1933">
        <v>30</v>
      </c>
      <c r="H1933">
        <v>186</v>
      </c>
      <c r="I1933">
        <v>2965</v>
      </c>
      <c r="J1933">
        <v>1</v>
      </c>
      <c r="K1933">
        <v>3</v>
      </c>
      <c r="L1933">
        <v>6</v>
      </c>
      <c r="M1933">
        <v>11</v>
      </c>
      <c r="N1933">
        <v>1</v>
      </c>
    </row>
    <row r="1934" spans="1:14" hidden="1" x14ac:dyDescent="0.3">
      <c r="A1934">
        <v>3189</v>
      </c>
      <c r="B1934">
        <v>12</v>
      </c>
      <c r="C1934">
        <v>1652</v>
      </c>
      <c r="D1934">
        <v>60</v>
      </c>
      <c r="E1934">
        <v>1248</v>
      </c>
      <c r="F1934">
        <v>160</v>
      </c>
      <c r="G1934">
        <v>30</v>
      </c>
      <c r="H1934">
        <v>186</v>
      </c>
      <c r="I1934">
        <v>2965</v>
      </c>
      <c r="J1934">
        <v>1</v>
      </c>
      <c r="K1934">
        <v>3</v>
      </c>
      <c r="L1934">
        <v>6</v>
      </c>
      <c r="M1934">
        <v>11</v>
      </c>
      <c r="N1934">
        <v>1</v>
      </c>
    </row>
    <row r="1935" spans="1:14" hidden="1" x14ac:dyDescent="0.3">
      <c r="A1935">
        <v>2328</v>
      </c>
      <c r="B1935">
        <v>12</v>
      </c>
      <c r="C1935">
        <v>1674</v>
      </c>
      <c r="D1935">
        <v>18</v>
      </c>
      <c r="E1935">
        <v>219</v>
      </c>
      <c r="F1935">
        <v>0</v>
      </c>
      <c r="G1935">
        <v>78</v>
      </c>
      <c r="H1935">
        <v>99</v>
      </c>
      <c r="I1935">
        <v>1891</v>
      </c>
      <c r="J1935">
        <v>3</v>
      </c>
      <c r="K1935">
        <v>10</v>
      </c>
      <c r="L1935">
        <v>4</v>
      </c>
      <c r="M1935">
        <v>7</v>
      </c>
      <c r="N1935">
        <v>6</v>
      </c>
    </row>
    <row r="1936" spans="1:14" hidden="1" x14ac:dyDescent="0.3">
      <c r="A1936">
        <v>3113</v>
      </c>
      <c r="B1936">
        <v>12</v>
      </c>
      <c r="C1936">
        <v>2074</v>
      </c>
      <c r="D1936">
        <v>164</v>
      </c>
      <c r="E1936">
        <v>387</v>
      </c>
      <c r="F1936">
        <v>107</v>
      </c>
      <c r="G1936">
        <v>82</v>
      </c>
      <c r="H1936">
        <v>221</v>
      </c>
      <c r="I1936">
        <v>2592</v>
      </c>
      <c r="J1936">
        <v>1</v>
      </c>
      <c r="K1936">
        <v>11</v>
      </c>
      <c r="L1936">
        <v>3</v>
      </c>
      <c r="M1936">
        <v>4</v>
      </c>
      <c r="N1936">
        <v>4</v>
      </c>
    </row>
    <row r="1937" spans="1:14" hidden="1" x14ac:dyDescent="0.3">
      <c r="A1937">
        <v>1693</v>
      </c>
      <c r="B1937">
        <v>11</v>
      </c>
      <c r="C1937">
        <v>24</v>
      </c>
      <c r="D1937">
        <v>40</v>
      </c>
      <c r="E1937">
        <v>84</v>
      </c>
      <c r="F1937">
        <v>76</v>
      </c>
      <c r="G1937">
        <v>56</v>
      </c>
      <c r="H1937">
        <v>168</v>
      </c>
      <c r="I1937">
        <v>112</v>
      </c>
      <c r="J1937">
        <v>2</v>
      </c>
      <c r="K1937">
        <v>2</v>
      </c>
      <c r="L1937">
        <v>1</v>
      </c>
      <c r="M1937">
        <v>3</v>
      </c>
      <c r="N1937">
        <v>6</v>
      </c>
    </row>
    <row r="1938" spans="1:14" hidden="1" x14ac:dyDescent="0.3">
      <c r="A1938">
        <v>2325</v>
      </c>
      <c r="B1938">
        <v>11</v>
      </c>
      <c r="C1938">
        <v>24</v>
      </c>
      <c r="D1938">
        <v>40</v>
      </c>
      <c r="E1938">
        <v>84</v>
      </c>
      <c r="F1938">
        <v>76</v>
      </c>
      <c r="G1938">
        <v>56</v>
      </c>
      <c r="H1938">
        <v>168</v>
      </c>
      <c r="I1938">
        <v>112</v>
      </c>
      <c r="J1938">
        <v>2</v>
      </c>
      <c r="K1938">
        <v>2</v>
      </c>
      <c r="L1938">
        <v>1</v>
      </c>
      <c r="M1938">
        <v>3</v>
      </c>
      <c r="N1938">
        <v>6</v>
      </c>
    </row>
    <row r="1939" spans="1:14" hidden="1" x14ac:dyDescent="0.3">
      <c r="A1939">
        <v>2417</v>
      </c>
      <c r="B1939">
        <v>11</v>
      </c>
      <c r="C1939">
        <v>34</v>
      </c>
      <c r="D1939">
        <v>4</v>
      </c>
      <c r="E1939">
        <v>15</v>
      </c>
      <c r="F1939">
        <v>11</v>
      </c>
      <c r="G1939">
        <v>7</v>
      </c>
      <c r="H1939">
        <v>11</v>
      </c>
      <c r="I1939">
        <v>60</v>
      </c>
      <c r="J1939">
        <v>1</v>
      </c>
      <c r="K1939">
        <v>1</v>
      </c>
      <c r="L1939">
        <v>0</v>
      </c>
      <c r="M1939">
        <v>2</v>
      </c>
      <c r="N1939">
        <v>6</v>
      </c>
    </row>
    <row r="1940" spans="1:14" hidden="1" x14ac:dyDescent="0.3">
      <c r="A1940">
        <v>1256</v>
      </c>
      <c r="B1940">
        <v>11</v>
      </c>
      <c r="C1940">
        <v>55</v>
      </c>
      <c r="D1940">
        <v>39</v>
      </c>
      <c r="E1940">
        <v>105</v>
      </c>
      <c r="F1940">
        <v>44</v>
      </c>
      <c r="G1940">
        <v>11</v>
      </c>
      <c r="H1940">
        <v>116</v>
      </c>
      <c r="I1940">
        <v>138</v>
      </c>
      <c r="J1940">
        <v>2</v>
      </c>
      <c r="K1940">
        <v>2</v>
      </c>
      <c r="L1940">
        <v>2</v>
      </c>
      <c r="M1940">
        <v>2</v>
      </c>
      <c r="N1940">
        <v>6</v>
      </c>
    </row>
    <row r="1941" spans="1:14" hidden="1" x14ac:dyDescent="0.3">
      <c r="A1941">
        <v>1821</v>
      </c>
      <c r="B1941">
        <v>11</v>
      </c>
      <c r="C1941">
        <v>71</v>
      </c>
      <c r="D1941">
        <v>24</v>
      </c>
      <c r="E1941">
        <v>59</v>
      </c>
      <c r="F1941">
        <v>47</v>
      </c>
      <c r="G1941">
        <v>32</v>
      </c>
      <c r="H1941">
        <v>67</v>
      </c>
      <c r="I1941">
        <v>165</v>
      </c>
      <c r="J1941">
        <v>3</v>
      </c>
      <c r="K1941">
        <v>2</v>
      </c>
      <c r="L1941">
        <v>1</v>
      </c>
      <c r="M1941">
        <v>3</v>
      </c>
      <c r="N1941">
        <v>5</v>
      </c>
    </row>
    <row r="1942" spans="1:14" hidden="1" x14ac:dyDescent="0.3">
      <c r="A1942">
        <v>2765</v>
      </c>
      <c r="B1942">
        <v>11</v>
      </c>
      <c r="C1942">
        <v>71</v>
      </c>
      <c r="D1942">
        <v>24</v>
      </c>
      <c r="E1942">
        <v>59</v>
      </c>
      <c r="F1942">
        <v>47</v>
      </c>
      <c r="G1942">
        <v>32</v>
      </c>
      <c r="H1942">
        <v>67</v>
      </c>
      <c r="I1942">
        <v>165</v>
      </c>
      <c r="J1942">
        <v>3</v>
      </c>
      <c r="K1942">
        <v>2</v>
      </c>
      <c r="L1942">
        <v>1</v>
      </c>
      <c r="M1942">
        <v>3</v>
      </c>
      <c r="N1942">
        <v>5</v>
      </c>
    </row>
    <row r="1943" spans="1:14" hidden="1" x14ac:dyDescent="0.3">
      <c r="A1943">
        <v>1277</v>
      </c>
      <c r="B1943">
        <v>11</v>
      </c>
      <c r="C1943">
        <v>82</v>
      </c>
      <c r="D1943">
        <v>25</v>
      </c>
      <c r="E1943">
        <v>20</v>
      </c>
      <c r="F1943">
        <v>0</v>
      </c>
      <c r="G1943">
        <v>37</v>
      </c>
      <c r="H1943">
        <v>49</v>
      </c>
      <c r="I1943">
        <v>114</v>
      </c>
      <c r="J1943">
        <v>1</v>
      </c>
      <c r="K1943">
        <v>1</v>
      </c>
      <c r="L1943">
        <v>0</v>
      </c>
      <c r="M1943">
        <v>3</v>
      </c>
      <c r="N1943">
        <v>7</v>
      </c>
    </row>
    <row r="1944" spans="1:14" hidden="1" x14ac:dyDescent="0.3">
      <c r="A1944">
        <v>1325</v>
      </c>
      <c r="B1944">
        <v>11</v>
      </c>
      <c r="C1944">
        <v>126</v>
      </c>
      <c r="D1944">
        <v>109</v>
      </c>
      <c r="E1944">
        <v>130</v>
      </c>
      <c r="F1944">
        <v>38</v>
      </c>
      <c r="G1944">
        <v>10</v>
      </c>
      <c r="H1944">
        <v>61</v>
      </c>
      <c r="I1944">
        <v>352</v>
      </c>
      <c r="J1944">
        <v>1</v>
      </c>
      <c r="K1944">
        <v>2</v>
      </c>
      <c r="L1944">
        <v>1</v>
      </c>
      <c r="M1944">
        <v>4</v>
      </c>
      <c r="N1944">
        <v>6</v>
      </c>
    </row>
    <row r="1945" spans="1:14" hidden="1" x14ac:dyDescent="0.3">
      <c r="A1945">
        <v>1198</v>
      </c>
      <c r="B1945">
        <v>11</v>
      </c>
      <c r="C1945">
        <v>228</v>
      </c>
      <c r="D1945">
        <v>76</v>
      </c>
      <c r="E1945">
        <v>216</v>
      </c>
      <c r="F1945">
        <v>206</v>
      </c>
      <c r="G1945">
        <v>13</v>
      </c>
      <c r="H1945">
        <v>25</v>
      </c>
      <c r="I1945">
        <v>713</v>
      </c>
      <c r="J1945">
        <v>5</v>
      </c>
      <c r="K1945">
        <v>3</v>
      </c>
      <c r="L1945">
        <v>1</v>
      </c>
      <c r="M1945">
        <v>6</v>
      </c>
      <c r="N1945">
        <v>4</v>
      </c>
    </row>
    <row r="1946" spans="1:14" hidden="1" x14ac:dyDescent="0.3">
      <c r="A1946">
        <v>1894</v>
      </c>
      <c r="B1946">
        <v>11</v>
      </c>
      <c r="C1946">
        <v>240</v>
      </c>
      <c r="D1946">
        <v>11</v>
      </c>
      <c r="E1946">
        <v>255</v>
      </c>
      <c r="F1946">
        <v>30</v>
      </c>
      <c r="G1946">
        <v>34</v>
      </c>
      <c r="H1946">
        <v>107</v>
      </c>
      <c r="I1946">
        <v>464</v>
      </c>
      <c r="J1946">
        <v>2</v>
      </c>
      <c r="K1946">
        <v>3</v>
      </c>
      <c r="L1946">
        <v>1</v>
      </c>
      <c r="M1946">
        <v>4</v>
      </c>
      <c r="N1946">
        <v>7</v>
      </c>
    </row>
    <row r="1947" spans="1:14" hidden="1" x14ac:dyDescent="0.3">
      <c r="A1947">
        <v>2375</v>
      </c>
      <c r="B1947">
        <v>11</v>
      </c>
      <c r="C1947">
        <v>296</v>
      </c>
      <c r="D1947">
        <v>189</v>
      </c>
      <c r="E1947">
        <v>234</v>
      </c>
      <c r="F1947">
        <v>192</v>
      </c>
      <c r="G1947">
        <v>0</v>
      </c>
      <c r="H1947">
        <v>323</v>
      </c>
      <c r="I1947">
        <v>589</v>
      </c>
      <c r="J1947">
        <v>2</v>
      </c>
      <c r="K1947">
        <v>6</v>
      </c>
      <c r="L1947">
        <v>2</v>
      </c>
      <c r="M1947">
        <v>4</v>
      </c>
      <c r="N1947">
        <v>7</v>
      </c>
    </row>
    <row r="1948" spans="1:14" hidden="1" x14ac:dyDescent="0.3">
      <c r="A1948">
        <v>3107</v>
      </c>
      <c r="B1948">
        <v>11</v>
      </c>
      <c r="C1948">
        <v>308</v>
      </c>
      <c r="D1948">
        <v>13</v>
      </c>
      <c r="E1948">
        <v>163</v>
      </c>
      <c r="F1948">
        <v>18</v>
      </c>
      <c r="G1948">
        <v>9</v>
      </c>
      <c r="H1948">
        <v>281</v>
      </c>
      <c r="I1948">
        <v>229</v>
      </c>
      <c r="J1948">
        <v>4</v>
      </c>
      <c r="K1948">
        <v>3</v>
      </c>
      <c r="L1948">
        <v>2</v>
      </c>
      <c r="M1948">
        <v>2</v>
      </c>
      <c r="N1948">
        <v>9</v>
      </c>
    </row>
    <row r="1949" spans="1:14" hidden="1" x14ac:dyDescent="0.3">
      <c r="A1949">
        <v>2603</v>
      </c>
      <c r="B1949">
        <v>11</v>
      </c>
      <c r="C1949">
        <v>423</v>
      </c>
      <c r="D1949">
        <v>457</v>
      </c>
      <c r="E1949">
        <v>488</v>
      </c>
      <c r="F1949">
        <v>244</v>
      </c>
      <c r="G1949">
        <v>151</v>
      </c>
      <c r="H1949">
        <v>303</v>
      </c>
      <c r="I1949">
        <v>1462</v>
      </c>
      <c r="J1949">
        <v>1</v>
      </c>
      <c r="K1949">
        <v>6</v>
      </c>
      <c r="L1949">
        <v>2</v>
      </c>
      <c r="M1949">
        <v>8</v>
      </c>
      <c r="N1949">
        <v>6</v>
      </c>
    </row>
    <row r="1950" spans="1:14" hidden="1" x14ac:dyDescent="0.3">
      <c r="A1950">
        <v>3048</v>
      </c>
      <c r="B1950">
        <v>11</v>
      </c>
      <c r="C1950">
        <v>458</v>
      </c>
      <c r="D1950">
        <v>153</v>
      </c>
      <c r="E1950">
        <v>613</v>
      </c>
      <c r="F1950">
        <v>33</v>
      </c>
      <c r="G1950">
        <v>137</v>
      </c>
      <c r="H1950">
        <v>137</v>
      </c>
      <c r="I1950">
        <v>1257</v>
      </c>
      <c r="J1950">
        <v>2</v>
      </c>
      <c r="K1950">
        <v>5</v>
      </c>
      <c r="L1950">
        <v>5</v>
      </c>
      <c r="M1950">
        <v>7</v>
      </c>
      <c r="N1950">
        <v>4</v>
      </c>
    </row>
    <row r="1951" spans="1:14" hidden="1" x14ac:dyDescent="0.3">
      <c r="A1951">
        <v>2806</v>
      </c>
      <c r="B1951">
        <v>11</v>
      </c>
      <c r="C1951">
        <v>513</v>
      </c>
      <c r="D1951">
        <v>0</v>
      </c>
      <c r="E1951">
        <v>71</v>
      </c>
      <c r="F1951">
        <v>6</v>
      </c>
      <c r="G1951">
        <v>3</v>
      </c>
      <c r="H1951">
        <v>100</v>
      </c>
      <c r="I1951">
        <v>494</v>
      </c>
      <c r="J1951">
        <v>3</v>
      </c>
      <c r="K1951">
        <v>4</v>
      </c>
      <c r="L1951">
        <v>1</v>
      </c>
      <c r="M1951">
        <v>4</v>
      </c>
      <c r="N1951">
        <v>7</v>
      </c>
    </row>
    <row r="1952" spans="1:14" hidden="1" x14ac:dyDescent="0.3">
      <c r="A1952">
        <v>2006</v>
      </c>
      <c r="B1952">
        <v>11</v>
      </c>
      <c r="C1952">
        <v>558</v>
      </c>
      <c r="D1952">
        <v>147</v>
      </c>
      <c r="E1952">
        <v>477</v>
      </c>
      <c r="F1952">
        <v>322</v>
      </c>
      <c r="G1952">
        <v>214</v>
      </c>
      <c r="H1952">
        <v>230</v>
      </c>
      <c r="I1952">
        <v>1488</v>
      </c>
      <c r="J1952">
        <v>3</v>
      </c>
      <c r="K1952">
        <v>5</v>
      </c>
      <c r="L1952">
        <v>4</v>
      </c>
      <c r="M1952">
        <v>9</v>
      </c>
      <c r="N1952">
        <v>4</v>
      </c>
    </row>
    <row r="1953" spans="1:14" hidden="1" x14ac:dyDescent="0.3">
      <c r="A1953">
        <v>2564</v>
      </c>
      <c r="B1953">
        <v>11</v>
      </c>
      <c r="C1953">
        <v>610</v>
      </c>
      <c r="D1953">
        <v>23</v>
      </c>
      <c r="E1953">
        <v>174</v>
      </c>
      <c r="F1953">
        <v>31</v>
      </c>
      <c r="G1953">
        <v>8</v>
      </c>
      <c r="H1953">
        <v>8</v>
      </c>
      <c r="I1953">
        <v>838</v>
      </c>
      <c r="J1953">
        <v>7</v>
      </c>
      <c r="K1953">
        <v>3</v>
      </c>
      <c r="L1953">
        <v>2</v>
      </c>
      <c r="M1953">
        <v>5</v>
      </c>
      <c r="N1953">
        <v>7</v>
      </c>
    </row>
    <row r="1954" spans="1:14" hidden="1" x14ac:dyDescent="0.3">
      <c r="A1954">
        <v>2467</v>
      </c>
      <c r="B1954">
        <v>11</v>
      </c>
      <c r="C1954">
        <v>696</v>
      </c>
      <c r="D1954">
        <v>0</v>
      </c>
      <c r="E1954">
        <v>133</v>
      </c>
      <c r="F1954">
        <v>10</v>
      </c>
      <c r="G1954">
        <v>7</v>
      </c>
      <c r="H1954">
        <v>50</v>
      </c>
      <c r="I1954">
        <v>796</v>
      </c>
      <c r="J1954">
        <v>4</v>
      </c>
      <c r="K1954">
        <v>6</v>
      </c>
      <c r="L1954">
        <v>1</v>
      </c>
      <c r="M1954">
        <v>4</v>
      </c>
      <c r="N1954">
        <v>8</v>
      </c>
    </row>
    <row r="1955" spans="1:14" hidden="1" x14ac:dyDescent="0.3">
      <c r="A1955">
        <v>1370</v>
      </c>
      <c r="B1955">
        <v>11</v>
      </c>
      <c r="C1955">
        <v>1031</v>
      </c>
      <c r="D1955">
        <v>36</v>
      </c>
      <c r="E1955">
        <v>174</v>
      </c>
      <c r="F1955">
        <v>13</v>
      </c>
      <c r="G1955">
        <v>10</v>
      </c>
      <c r="H1955">
        <v>351</v>
      </c>
      <c r="I1955">
        <v>913</v>
      </c>
      <c r="J1955">
        <v>3</v>
      </c>
      <c r="K1955">
        <v>7</v>
      </c>
      <c r="L1955">
        <v>3</v>
      </c>
      <c r="M1955">
        <v>4</v>
      </c>
      <c r="N1955">
        <v>7</v>
      </c>
    </row>
    <row r="1956" spans="1:14" hidden="1" x14ac:dyDescent="0.3">
      <c r="A1956">
        <v>2137</v>
      </c>
      <c r="B1956">
        <v>11</v>
      </c>
      <c r="C1956">
        <v>1085</v>
      </c>
      <c r="D1956">
        <v>29</v>
      </c>
      <c r="E1956">
        <v>355</v>
      </c>
      <c r="F1956">
        <v>60</v>
      </c>
      <c r="G1956">
        <v>44</v>
      </c>
      <c r="H1956">
        <v>60</v>
      </c>
      <c r="I1956">
        <v>1513</v>
      </c>
      <c r="J1956">
        <v>10</v>
      </c>
      <c r="K1956">
        <v>5</v>
      </c>
      <c r="L1956">
        <v>2</v>
      </c>
      <c r="M1956">
        <v>9</v>
      </c>
      <c r="N1956">
        <v>7</v>
      </c>
    </row>
    <row r="1957" spans="1:14" hidden="1" x14ac:dyDescent="0.3">
      <c r="A1957">
        <v>1388</v>
      </c>
      <c r="B1957">
        <v>11</v>
      </c>
      <c r="C1957">
        <v>1165</v>
      </c>
      <c r="D1957">
        <v>0</v>
      </c>
      <c r="E1957">
        <v>73</v>
      </c>
      <c r="F1957">
        <v>0</v>
      </c>
      <c r="G1957">
        <v>0</v>
      </c>
      <c r="H1957">
        <v>11</v>
      </c>
      <c r="I1957">
        <v>1227</v>
      </c>
      <c r="J1957">
        <v>9</v>
      </c>
      <c r="K1957">
        <v>6</v>
      </c>
      <c r="L1957">
        <v>3</v>
      </c>
      <c r="M1957">
        <v>6</v>
      </c>
      <c r="N1957">
        <v>7</v>
      </c>
    </row>
    <row r="1958" spans="1:14" hidden="1" x14ac:dyDescent="0.3">
      <c r="A1958">
        <v>2611</v>
      </c>
      <c r="B1958">
        <v>11</v>
      </c>
      <c r="C1958">
        <v>1680</v>
      </c>
      <c r="D1958">
        <v>0</v>
      </c>
      <c r="E1958">
        <v>187</v>
      </c>
      <c r="F1958">
        <v>0</v>
      </c>
      <c r="G1958">
        <v>0</v>
      </c>
      <c r="H1958">
        <v>94</v>
      </c>
      <c r="I1958">
        <v>1774</v>
      </c>
      <c r="J1958">
        <v>6</v>
      </c>
      <c r="K1958">
        <v>11</v>
      </c>
      <c r="L1958">
        <v>2</v>
      </c>
      <c r="M1958">
        <v>7</v>
      </c>
      <c r="N1958">
        <v>8</v>
      </c>
    </row>
    <row r="1959" spans="1:14" hidden="1" x14ac:dyDescent="0.3">
      <c r="A1959">
        <v>1401</v>
      </c>
      <c r="B1959">
        <v>11</v>
      </c>
      <c r="C1959">
        <v>2171</v>
      </c>
      <c r="D1959">
        <v>58</v>
      </c>
      <c r="E1959">
        <v>634</v>
      </c>
      <c r="F1959">
        <v>117</v>
      </c>
      <c r="G1959">
        <v>58</v>
      </c>
      <c r="H1959">
        <v>58</v>
      </c>
      <c r="I1959">
        <v>2981</v>
      </c>
      <c r="J1959">
        <v>1</v>
      </c>
      <c r="K1959">
        <v>2</v>
      </c>
      <c r="L1959">
        <v>7</v>
      </c>
      <c r="M1959">
        <v>11</v>
      </c>
      <c r="N1959">
        <v>5</v>
      </c>
    </row>
    <row r="1960" spans="1:14" hidden="1" x14ac:dyDescent="0.3">
      <c r="A1960">
        <v>2178</v>
      </c>
      <c r="B1960">
        <v>11</v>
      </c>
      <c r="C1960">
        <v>2339</v>
      </c>
      <c r="D1960">
        <v>83</v>
      </c>
      <c r="E1960">
        <v>332</v>
      </c>
      <c r="F1960">
        <v>36</v>
      </c>
      <c r="G1960">
        <v>0</v>
      </c>
      <c r="H1960">
        <v>27</v>
      </c>
      <c r="I1960">
        <v>2764</v>
      </c>
      <c r="J1960">
        <v>2</v>
      </c>
      <c r="K1960">
        <v>5</v>
      </c>
      <c r="L1960">
        <v>2</v>
      </c>
      <c r="M1960">
        <v>10</v>
      </c>
      <c r="N1960">
        <v>8</v>
      </c>
    </row>
    <row r="1961" spans="1:14" hidden="1" x14ac:dyDescent="0.3">
      <c r="A1961">
        <v>1474</v>
      </c>
      <c r="B1961">
        <v>11</v>
      </c>
      <c r="C1961">
        <v>2652</v>
      </c>
      <c r="D1961">
        <v>43</v>
      </c>
      <c r="E1961">
        <v>1346</v>
      </c>
      <c r="F1961">
        <v>224</v>
      </c>
      <c r="G1961">
        <v>172</v>
      </c>
      <c r="H1961">
        <v>304</v>
      </c>
      <c r="I1961">
        <v>4134</v>
      </c>
      <c r="J1961">
        <v>2</v>
      </c>
      <c r="K1961">
        <v>2</v>
      </c>
      <c r="L1961">
        <v>5</v>
      </c>
      <c r="M1961">
        <v>12</v>
      </c>
      <c r="N1961">
        <v>6</v>
      </c>
    </row>
    <row r="1962" spans="1:14" hidden="1" x14ac:dyDescent="0.3">
      <c r="A1962">
        <v>1814</v>
      </c>
      <c r="B1962">
        <v>10</v>
      </c>
      <c r="C1962">
        <v>10</v>
      </c>
      <c r="D1962">
        <v>25</v>
      </c>
      <c r="E1962">
        <v>35</v>
      </c>
      <c r="F1962">
        <v>0</v>
      </c>
      <c r="G1962">
        <v>90</v>
      </c>
      <c r="H1962">
        <v>90</v>
      </c>
      <c r="I1962">
        <v>70</v>
      </c>
      <c r="J1962">
        <v>2</v>
      </c>
      <c r="K1962">
        <v>2</v>
      </c>
      <c r="L1962">
        <v>0</v>
      </c>
      <c r="M1962">
        <v>3</v>
      </c>
      <c r="N1962">
        <v>7</v>
      </c>
    </row>
    <row r="1963" spans="1:14" hidden="1" x14ac:dyDescent="0.3">
      <c r="A1963">
        <v>2794</v>
      </c>
      <c r="B1963">
        <v>10</v>
      </c>
      <c r="C1963">
        <v>20</v>
      </c>
      <c r="D1963">
        <v>0</v>
      </c>
      <c r="E1963">
        <v>12</v>
      </c>
      <c r="F1963">
        <v>0</v>
      </c>
      <c r="G1963">
        <v>0</v>
      </c>
      <c r="H1963">
        <v>4</v>
      </c>
      <c r="I1963">
        <v>28</v>
      </c>
      <c r="J1963">
        <v>1</v>
      </c>
      <c r="K1963">
        <v>1</v>
      </c>
      <c r="L1963">
        <v>0</v>
      </c>
      <c r="M1963">
        <v>2</v>
      </c>
      <c r="N1963">
        <v>7</v>
      </c>
    </row>
    <row r="1964" spans="1:14" hidden="1" x14ac:dyDescent="0.3">
      <c r="A1964">
        <v>2700</v>
      </c>
      <c r="B1964">
        <v>10</v>
      </c>
      <c r="C1964">
        <v>35</v>
      </c>
      <c r="D1964">
        <v>49</v>
      </c>
      <c r="E1964">
        <v>217</v>
      </c>
      <c r="F1964">
        <v>105</v>
      </c>
      <c r="G1964">
        <v>28</v>
      </c>
      <c r="H1964">
        <v>49</v>
      </c>
      <c r="I1964">
        <v>385</v>
      </c>
      <c r="J1964">
        <v>3</v>
      </c>
      <c r="K1964">
        <v>2</v>
      </c>
      <c r="L1964">
        <v>1</v>
      </c>
      <c r="M1964">
        <v>3</v>
      </c>
      <c r="N1964">
        <v>6</v>
      </c>
    </row>
    <row r="1965" spans="1:14" hidden="1" x14ac:dyDescent="0.3">
      <c r="A1965">
        <v>2341</v>
      </c>
      <c r="B1965">
        <v>10</v>
      </c>
      <c r="C1965">
        <v>41</v>
      </c>
      <c r="D1965">
        <v>27</v>
      </c>
      <c r="E1965">
        <v>95</v>
      </c>
      <c r="F1965">
        <v>54</v>
      </c>
      <c r="G1965">
        <v>54</v>
      </c>
      <c r="H1965">
        <v>149</v>
      </c>
      <c r="I1965">
        <v>122</v>
      </c>
      <c r="J1965">
        <v>2</v>
      </c>
      <c r="K1965">
        <v>2</v>
      </c>
      <c r="L1965">
        <v>1</v>
      </c>
      <c r="M1965">
        <v>2</v>
      </c>
      <c r="N1965">
        <v>8</v>
      </c>
    </row>
    <row r="1966" spans="1:14" hidden="1" x14ac:dyDescent="0.3">
      <c r="A1966">
        <v>2058</v>
      </c>
      <c r="B1966">
        <v>10</v>
      </c>
      <c r="C1966">
        <v>42</v>
      </c>
      <c r="D1966">
        <v>5</v>
      </c>
      <c r="E1966">
        <v>33</v>
      </c>
      <c r="F1966">
        <v>0</v>
      </c>
      <c r="G1966">
        <v>14</v>
      </c>
      <c r="H1966">
        <v>9</v>
      </c>
      <c r="I1966">
        <v>85</v>
      </c>
      <c r="J1966">
        <v>2</v>
      </c>
      <c r="K1966">
        <v>1</v>
      </c>
      <c r="L1966">
        <v>0</v>
      </c>
      <c r="M1966">
        <v>3</v>
      </c>
      <c r="N1966">
        <v>7</v>
      </c>
    </row>
    <row r="1967" spans="1:14" hidden="1" x14ac:dyDescent="0.3">
      <c r="A1967">
        <v>2363</v>
      </c>
      <c r="B1967">
        <v>10</v>
      </c>
      <c r="C1967">
        <v>42</v>
      </c>
      <c r="D1967">
        <v>5</v>
      </c>
      <c r="E1967">
        <v>33</v>
      </c>
      <c r="F1967">
        <v>0</v>
      </c>
      <c r="G1967">
        <v>14</v>
      </c>
      <c r="H1967">
        <v>9</v>
      </c>
      <c r="I1967">
        <v>85</v>
      </c>
      <c r="J1967">
        <v>2</v>
      </c>
      <c r="K1967">
        <v>1</v>
      </c>
      <c r="L1967">
        <v>0</v>
      </c>
      <c r="M1967">
        <v>3</v>
      </c>
      <c r="N1967">
        <v>7</v>
      </c>
    </row>
    <row r="1968" spans="1:14" hidden="1" x14ac:dyDescent="0.3">
      <c r="A1968">
        <v>2097</v>
      </c>
      <c r="B1968">
        <v>10</v>
      </c>
      <c r="C1968">
        <v>64</v>
      </c>
      <c r="D1968">
        <v>8</v>
      </c>
      <c r="E1968">
        <v>72</v>
      </c>
      <c r="F1968">
        <v>12</v>
      </c>
      <c r="G1968">
        <v>0</v>
      </c>
      <c r="H1968">
        <v>95</v>
      </c>
      <c r="I1968">
        <v>60</v>
      </c>
      <c r="J1968">
        <v>1</v>
      </c>
      <c r="K1968">
        <v>1</v>
      </c>
      <c r="L1968">
        <v>1</v>
      </c>
      <c r="M1968">
        <v>2</v>
      </c>
      <c r="N1968">
        <v>8</v>
      </c>
    </row>
    <row r="1969" spans="1:14" hidden="1" x14ac:dyDescent="0.3">
      <c r="A1969">
        <v>1318</v>
      </c>
      <c r="B1969">
        <v>10</v>
      </c>
      <c r="C1969">
        <v>88</v>
      </c>
      <c r="D1969">
        <v>4</v>
      </c>
      <c r="E1969">
        <v>50</v>
      </c>
      <c r="F1969">
        <v>8</v>
      </c>
      <c r="G1969">
        <v>8</v>
      </c>
      <c r="H1969">
        <v>69</v>
      </c>
      <c r="I1969">
        <v>88</v>
      </c>
      <c r="J1969">
        <v>1</v>
      </c>
      <c r="K1969">
        <v>1</v>
      </c>
      <c r="L1969">
        <v>1</v>
      </c>
      <c r="M1969">
        <v>2</v>
      </c>
      <c r="N1969">
        <v>7</v>
      </c>
    </row>
    <row r="1970" spans="1:14" hidden="1" x14ac:dyDescent="0.3">
      <c r="A1970">
        <v>1690</v>
      </c>
      <c r="B1970">
        <v>10</v>
      </c>
      <c r="C1970">
        <v>88</v>
      </c>
      <c r="D1970">
        <v>4</v>
      </c>
      <c r="E1970">
        <v>50</v>
      </c>
      <c r="F1970">
        <v>8</v>
      </c>
      <c r="G1970">
        <v>8</v>
      </c>
      <c r="H1970">
        <v>69</v>
      </c>
      <c r="I1970">
        <v>88</v>
      </c>
      <c r="J1970">
        <v>1</v>
      </c>
      <c r="K1970">
        <v>1</v>
      </c>
      <c r="L1970">
        <v>1</v>
      </c>
      <c r="M1970">
        <v>2</v>
      </c>
      <c r="N1970">
        <v>7</v>
      </c>
    </row>
    <row r="1971" spans="1:14" hidden="1" x14ac:dyDescent="0.3">
      <c r="A1971">
        <v>2273</v>
      </c>
      <c r="B1971">
        <v>10</v>
      </c>
      <c r="C1971">
        <v>100</v>
      </c>
      <c r="D1971">
        <v>17</v>
      </c>
      <c r="E1971">
        <v>80</v>
      </c>
      <c r="F1971">
        <v>20</v>
      </c>
      <c r="G1971">
        <v>10</v>
      </c>
      <c r="H1971">
        <v>27</v>
      </c>
      <c r="I1971">
        <v>199</v>
      </c>
      <c r="J1971">
        <v>2</v>
      </c>
      <c r="K1971">
        <v>2</v>
      </c>
      <c r="L1971">
        <v>0</v>
      </c>
      <c r="M1971">
        <v>4</v>
      </c>
      <c r="N1971">
        <v>5</v>
      </c>
    </row>
    <row r="1972" spans="1:14" hidden="1" x14ac:dyDescent="0.3">
      <c r="A1972">
        <v>2440</v>
      </c>
      <c r="B1972">
        <v>10</v>
      </c>
      <c r="C1972">
        <v>137</v>
      </c>
      <c r="D1972">
        <v>0</v>
      </c>
      <c r="E1972">
        <v>46</v>
      </c>
      <c r="F1972">
        <v>9</v>
      </c>
      <c r="G1972">
        <v>0</v>
      </c>
      <c r="H1972">
        <v>23</v>
      </c>
      <c r="I1972">
        <v>169</v>
      </c>
      <c r="J1972">
        <v>1</v>
      </c>
      <c r="K1972">
        <v>1</v>
      </c>
      <c r="L1972">
        <v>0</v>
      </c>
      <c r="M1972">
        <v>3</v>
      </c>
      <c r="N1972">
        <v>7</v>
      </c>
    </row>
    <row r="1973" spans="1:14" hidden="1" x14ac:dyDescent="0.3">
      <c r="A1973">
        <v>1569</v>
      </c>
      <c r="B1973">
        <v>10</v>
      </c>
      <c r="C1973">
        <v>146</v>
      </c>
      <c r="D1973">
        <v>5</v>
      </c>
      <c r="E1973">
        <v>61</v>
      </c>
      <c r="F1973">
        <v>33</v>
      </c>
      <c r="G1973">
        <v>9</v>
      </c>
      <c r="H1973">
        <v>43</v>
      </c>
      <c r="I1973">
        <v>213</v>
      </c>
      <c r="J1973">
        <v>4</v>
      </c>
      <c r="K1973">
        <v>2</v>
      </c>
      <c r="L1973">
        <v>1</v>
      </c>
      <c r="M1973">
        <v>4</v>
      </c>
      <c r="N1973">
        <v>4</v>
      </c>
    </row>
    <row r="1974" spans="1:14" hidden="1" x14ac:dyDescent="0.3">
      <c r="A1974">
        <v>1121</v>
      </c>
      <c r="B1974">
        <v>10</v>
      </c>
      <c r="C1974">
        <v>310</v>
      </c>
      <c r="D1974">
        <v>150</v>
      </c>
      <c r="E1974">
        <v>189</v>
      </c>
      <c r="F1974">
        <v>168</v>
      </c>
      <c r="G1974">
        <v>230</v>
      </c>
      <c r="H1974">
        <v>150</v>
      </c>
      <c r="I1974">
        <v>898</v>
      </c>
      <c r="J1974">
        <v>5</v>
      </c>
      <c r="K1974">
        <v>5</v>
      </c>
      <c r="L1974">
        <v>4</v>
      </c>
      <c r="M1974">
        <v>5</v>
      </c>
      <c r="N1974">
        <v>5</v>
      </c>
    </row>
    <row r="1975" spans="1:14" hidden="1" x14ac:dyDescent="0.3">
      <c r="A1975">
        <v>1560</v>
      </c>
      <c r="B1975">
        <v>10</v>
      </c>
      <c r="C1975">
        <v>345</v>
      </c>
      <c r="D1975">
        <v>0</v>
      </c>
      <c r="E1975">
        <v>65</v>
      </c>
      <c r="F1975">
        <v>38</v>
      </c>
      <c r="G1975">
        <v>0</v>
      </c>
      <c r="H1975">
        <v>88</v>
      </c>
      <c r="I1975">
        <v>360</v>
      </c>
      <c r="J1975">
        <v>3</v>
      </c>
      <c r="K1975">
        <v>4</v>
      </c>
      <c r="L1975">
        <v>1</v>
      </c>
      <c r="M1975">
        <v>3</v>
      </c>
      <c r="N1975">
        <v>7</v>
      </c>
    </row>
    <row r="1976" spans="1:14" hidden="1" x14ac:dyDescent="0.3">
      <c r="A1976">
        <v>1885</v>
      </c>
      <c r="B1976">
        <v>10</v>
      </c>
      <c r="C1976">
        <v>407</v>
      </c>
      <c r="D1976">
        <v>19</v>
      </c>
      <c r="E1976">
        <v>240</v>
      </c>
      <c r="F1976">
        <v>0</v>
      </c>
      <c r="G1976">
        <v>19</v>
      </c>
      <c r="H1976">
        <v>76</v>
      </c>
      <c r="I1976">
        <v>610</v>
      </c>
      <c r="J1976">
        <v>5</v>
      </c>
      <c r="K1976">
        <v>4</v>
      </c>
      <c r="L1976">
        <v>1</v>
      </c>
      <c r="M1976">
        <v>6</v>
      </c>
      <c r="N1976">
        <v>5</v>
      </c>
    </row>
    <row r="1977" spans="1:14" hidden="1" x14ac:dyDescent="0.3">
      <c r="A1977">
        <v>2249</v>
      </c>
      <c r="B1977">
        <v>10</v>
      </c>
      <c r="C1977">
        <v>463</v>
      </c>
      <c r="D1977">
        <v>3</v>
      </c>
      <c r="E1977">
        <v>105</v>
      </c>
      <c r="F1977">
        <v>6</v>
      </c>
      <c r="G1977">
        <v>3</v>
      </c>
      <c r="H1977">
        <v>3</v>
      </c>
      <c r="I1977">
        <v>578</v>
      </c>
      <c r="J1977">
        <v>1</v>
      </c>
      <c r="K1977">
        <v>4</v>
      </c>
      <c r="L1977">
        <v>1</v>
      </c>
      <c r="M1977">
        <v>4</v>
      </c>
      <c r="N1977">
        <v>6</v>
      </c>
    </row>
    <row r="1978" spans="1:14" hidden="1" x14ac:dyDescent="0.3">
      <c r="A1978">
        <v>1123</v>
      </c>
      <c r="B1978">
        <v>10</v>
      </c>
      <c r="C1978">
        <v>557</v>
      </c>
      <c r="D1978">
        <v>250</v>
      </c>
      <c r="E1978">
        <v>446</v>
      </c>
      <c r="F1978">
        <v>54</v>
      </c>
      <c r="G1978">
        <v>97</v>
      </c>
      <c r="H1978">
        <v>307</v>
      </c>
      <c r="I1978">
        <v>1098</v>
      </c>
      <c r="J1978">
        <v>1</v>
      </c>
      <c r="K1978">
        <v>7</v>
      </c>
      <c r="L1978">
        <v>2</v>
      </c>
      <c r="M1978">
        <v>9</v>
      </c>
      <c r="N1978">
        <v>4</v>
      </c>
    </row>
    <row r="1979" spans="1:14" hidden="1" x14ac:dyDescent="0.3">
      <c r="A1979">
        <v>3130</v>
      </c>
      <c r="B1979">
        <v>10</v>
      </c>
      <c r="C1979">
        <v>623</v>
      </c>
      <c r="D1979">
        <v>59</v>
      </c>
      <c r="E1979">
        <v>346</v>
      </c>
      <c r="F1979">
        <v>156</v>
      </c>
      <c r="G1979">
        <v>47</v>
      </c>
      <c r="H1979">
        <v>59</v>
      </c>
      <c r="I1979">
        <v>1171</v>
      </c>
      <c r="J1979">
        <v>6</v>
      </c>
      <c r="K1979">
        <v>5</v>
      </c>
      <c r="L1979">
        <v>1</v>
      </c>
      <c r="M1979">
        <v>8</v>
      </c>
      <c r="N1979">
        <v>6</v>
      </c>
    </row>
    <row r="1980" spans="1:14" hidden="1" x14ac:dyDescent="0.3">
      <c r="A1980">
        <v>3166</v>
      </c>
      <c r="B1980">
        <v>10</v>
      </c>
      <c r="C1980">
        <v>885</v>
      </c>
      <c r="D1980">
        <v>0</v>
      </c>
      <c r="E1980">
        <v>113</v>
      </c>
      <c r="F1980">
        <v>39</v>
      </c>
      <c r="G1980">
        <v>0</v>
      </c>
      <c r="H1980">
        <v>453</v>
      </c>
      <c r="I1980">
        <v>584</v>
      </c>
      <c r="J1980">
        <v>7</v>
      </c>
      <c r="K1980">
        <v>5</v>
      </c>
      <c r="L1980">
        <v>4</v>
      </c>
      <c r="M1980">
        <v>4</v>
      </c>
      <c r="N1980">
        <v>6</v>
      </c>
    </row>
    <row r="1981" spans="1:14" hidden="1" x14ac:dyDescent="0.3">
      <c r="A1981">
        <v>1887</v>
      </c>
      <c r="B1981">
        <v>10</v>
      </c>
      <c r="C1981">
        <v>1001</v>
      </c>
      <c r="D1981">
        <v>60</v>
      </c>
      <c r="E1981">
        <v>1883</v>
      </c>
      <c r="F1981">
        <v>63</v>
      </c>
      <c r="G1981">
        <v>39</v>
      </c>
      <c r="H1981">
        <v>80</v>
      </c>
      <c r="I1981">
        <v>2966</v>
      </c>
      <c r="J1981">
        <v>0</v>
      </c>
      <c r="K1981">
        <v>7</v>
      </c>
      <c r="L1981">
        <v>4</v>
      </c>
      <c r="M1981">
        <v>7</v>
      </c>
      <c r="N1981">
        <v>2</v>
      </c>
    </row>
    <row r="1982" spans="1:14" hidden="1" x14ac:dyDescent="0.3">
      <c r="A1982">
        <v>2535</v>
      </c>
      <c r="B1982">
        <v>10</v>
      </c>
      <c r="C1982">
        <v>1290</v>
      </c>
      <c r="D1982">
        <v>213</v>
      </c>
      <c r="E1982">
        <v>407</v>
      </c>
      <c r="F1982">
        <v>167</v>
      </c>
      <c r="G1982">
        <v>107</v>
      </c>
      <c r="H1982">
        <v>323</v>
      </c>
      <c r="I1982">
        <v>1862</v>
      </c>
      <c r="J1982">
        <v>3</v>
      </c>
      <c r="K1982">
        <v>7</v>
      </c>
      <c r="L1982">
        <v>3</v>
      </c>
      <c r="M1982">
        <v>13</v>
      </c>
      <c r="N1982">
        <v>5</v>
      </c>
    </row>
    <row r="1983" spans="1:14" hidden="1" x14ac:dyDescent="0.3">
      <c r="A1983">
        <v>3032</v>
      </c>
      <c r="B1983">
        <v>10</v>
      </c>
      <c r="C1983">
        <v>1290</v>
      </c>
      <c r="D1983">
        <v>213</v>
      </c>
      <c r="E1983">
        <v>407</v>
      </c>
      <c r="F1983">
        <v>167</v>
      </c>
      <c r="G1983">
        <v>107</v>
      </c>
      <c r="H1983">
        <v>323</v>
      </c>
      <c r="I1983">
        <v>1862</v>
      </c>
      <c r="J1983">
        <v>3</v>
      </c>
      <c r="K1983">
        <v>7</v>
      </c>
      <c r="L1983">
        <v>3</v>
      </c>
      <c r="M1983">
        <v>13</v>
      </c>
      <c r="N1983">
        <v>5</v>
      </c>
    </row>
    <row r="1984" spans="1:14" hidden="1" x14ac:dyDescent="0.3">
      <c r="A1984">
        <v>1321</v>
      </c>
      <c r="B1984">
        <v>10</v>
      </c>
      <c r="C1984">
        <v>1850</v>
      </c>
      <c r="D1984">
        <v>355</v>
      </c>
      <c r="E1984">
        <v>680</v>
      </c>
      <c r="F1984">
        <v>167</v>
      </c>
      <c r="G1984">
        <v>225</v>
      </c>
      <c r="H1984">
        <v>70</v>
      </c>
      <c r="I1984">
        <v>3208</v>
      </c>
      <c r="J1984">
        <v>1</v>
      </c>
      <c r="K1984">
        <v>11</v>
      </c>
      <c r="L1984">
        <v>4</v>
      </c>
      <c r="M1984">
        <v>6</v>
      </c>
      <c r="N1984">
        <v>4</v>
      </c>
    </row>
    <row r="1985" spans="1:14" hidden="1" x14ac:dyDescent="0.3">
      <c r="A1985">
        <v>2334</v>
      </c>
      <c r="B1985">
        <v>10</v>
      </c>
      <c r="C1985">
        <v>2014</v>
      </c>
      <c r="D1985">
        <v>61</v>
      </c>
      <c r="E1985">
        <v>1123</v>
      </c>
      <c r="F1985">
        <v>303</v>
      </c>
      <c r="G1985">
        <v>71</v>
      </c>
      <c r="H1985">
        <v>232</v>
      </c>
      <c r="I1985">
        <v>3340</v>
      </c>
      <c r="J1985">
        <v>1</v>
      </c>
      <c r="K1985">
        <v>6</v>
      </c>
      <c r="L1985">
        <v>6</v>
      </c>
      <c r="M1985">
        <v>7</v>
      </c>
      <c r="N1985">
        <v>4</v>
      </c>
    </row>
    <row r="1986" spans="1:14" hidden="1" x14ac:dyDescent="0.3">
      <c r="A1986">
        <v>2839</v>
      </c>
      <c r="B1986">
        <v>10</v>
      </c>
      <c r="C1986">
        <v>2014</v>
      </c>
      <c r="D1986">
        <v>61</v>
      </c>
      <c r="E1986">
        <v>1123</v>
      </c>
      <c r="F1986">
        <v>303</v>
      </c>
      <c r="G1986">
        <v>71</v>
      </c>
      <c r="H1986">
        <v>232</v>
      </c>
      <c r="I1986">
        <v>3340</v>
      </c>
      <c r="J1986">
        <v>1</v>
      </c>
      <c r="K1986">
        <v>6</v>
      </c>
      <c r="L1986">
        <v>6</v>
      </c>
      <c r="M1986">
        <v>7</v>
      </c>
      <c r="N1986">
        <v>4</v>
      </c>
    </row>
    <row r="1987" spans="1:14" hidden="1" x14ac:dyDescent="0.3">
      <c r="A1987">
        <v>1145</v>
      </c>
      <c r="B1987">
        <v>10</v>
      </c>
      <c r="C1987">
        <v>2434</v>
      </c>
      <c r="D1987">
        <v>63</v>
      </c>
      <c r="E1987">
        <v>657</v>
      </c>
      <c r="F1987">
        <v>83</v>
      </c>
      <c r="G1987">
        <v>32</v>
      </c>
      <c r="H1987">
        <v>103</v>
      </c>
      <c r="I1987">
        <v>3167</v>
      </c>
      <c r="J1987">
        <v>1</v>
      </c>
      <c r="K1987">
        <v>10</v>
      </c>
      <c r="L1987">
        <v>4</v>
      </c>
      <c r="M1987">
        <v>6</v>
      </c>
      <c r="N1987">
        <v>4</v>
      </c>
    </row>
    <row r="1988" spans="1:14" hidden="1" x14ac:dyDescent="0.3">
      <c r="A1988">
        <v>3211</v>
      </c>
      <c r="B1988">
        <v>9</v>
      </c>
      <c r="C1988">
        <v>8</v>
      </c>
      <c r="D1988">
        <v>-5</v>
      </c>
      <c r="E1988">
        <v>21</v>
      </c>
      <c r="F1988">
        <v>54</v>
      </c>
      <c r="G1988">
        <v>0</v>
      </c>
      <c r="H1988">
        <v>46</v>
      </c>
      <c r="I1988">
        <v>43</v>
      </c>
      <c r="J1988">
        <v>2</v>
      </c>
      <c r="K1988">
        <v>2</v>
      </c>
      <c r="L1988">
        <v>1</v>
      </c>
      <c r="M1988">
        <v>2</v>
      </c>
      <c r="N1988">
        <v>7</v>
      </c>
    </row>
    <row r="1989" spans="1:14" x14ac:dyDescent="0.3">
      <c r="A1989">
        <v>2873</v>
      </c>
      <c r="B1989">
        <v>9</v>
      </c>
      <c r="C1989">
        <v>11</v>
      </c>
      <c r="D1989">
        <v>4</v>
      </c>
      <c r="E1989">
        <v>6</v>
      </c>
      <c r="F1989">
        <v>2</v>
      </c>
      <c r="G1989">
        <v>492</v>
      </c>
      <c r="H1989">
        <v>6</v>
      </c>
      <c r="I1989">
        <v>509</v>
      </c>
      <c r="J1989">
        <v>0</v>
      </c>
      <c r="K1989">
        <v>27</v>
      </c>
      <c r="L1989">
        <v>0</v>
      </c>
      <c r="M1989">
        <v>0</v>
      </c>
      <c r="N1989">
        <v>1</v>
      </c>
    </row>
    <row r="1990" spans="1:14" hidden="1" x14ac:dyDescent="0.3">
      <c r="A1990">
        <v>3196</v>
      </c>
      <c r="B1990">
        <v>9</v>
      </c>
      <c r="C1990">
        <v>15</v>
      </c>
      <c r="D1990">
        <v>10</v>
      </c>
      <c r="E1990">
        <v>41</v>
      </c>
      <c r="F1990">
        <v>102</v>
      </c>
      <c r="G1990">
        <v>0</v>
      </c>
      <c r="H1990">
        <v>87</v>
      </c>
      <c r="I1990">
        <v>81</v>
      </c>
      <c r="J1990">
        <v>2</v>
      </c>
      <c r="K1990">
        <v>2</v>
      </c>
      <c r="L1990">
        <v>1</v>
      </c>
      <c r="M1990">
        <v>2</v>
      </c>
      <c r="N1990">
        <v>7</v>
      </c>
    </row>
    <row r="1991" spans="1:14" hidden="1" x14ac:dyDescent="0.3">
      <c r="A1991">
        <v>1700</v>
      </c>
      <c r="B1991">
        <v>9</v>
      </c>
      <c r="C1991">
        <v>26</v>
      </c>
      <c r="D1991">
        <v>6</v>
      </c>
      <c r="E1991">
        <v>16</v>
      </c>
      <c r="F1991">
        <v>10</v>
      </c>
      <c r="G1991">
        <v>0</v>
      </c>
      <c r="H1991">
        <v>10</v>
      </c>
      <c r="I1991">
        <v>48</v>
      </c>
      <c r="J1991">
        <v>1</v>
      </c>
      <c r="K1991">
        <v>1</v>
      </c>
      <c r="L1991">
        <v>0</v>
      </c>
      <c r="M1991">
        <v>2</v>
      </c>
      <c r="N1991">
        <v>7</v>
      </c>
    </row>
    <row r="1992" spans="1:14" hidden="1" x14ac:dyDescent="0.3">
      <c r="A1992">
        <v>3125</v>
      </c>
      <c r="B1992">
        <v>9</v>
      </c>
      <c r="C1992">
        <v>43</v>
      </c>
      <c r="D1992">
        <v>8</v>
      </c>
      <c r="E1992">
        <v>27</v>
      </c>
      <c r="F1992">
        <v>16</v>
      </c>
      <c r="G1992">
        <v>8</v>
      </c>
      <c r="H1992">
        <v>8</v>
      </c>
      <c r="I1992">
        <v>94</v>
      </c>
      <c r="J1992">
        <v>1</v>
      </c>
      <c r="K1992">
        <v>1</v>
      </c>
      <c r="L1992">
        <v>0</v>
      </c>
      <c r="M1992">
        <v>3</v>
      </c>
      <c r="N1992">
        <v>3</v>
      </c>
    </row>
    <row r="1993" spans="1:14" hidden="1" x14ac:dyDescent="0.3">
      <c r="A1993">
        <v>1577</v>
      </c>
      <c r="B1993">
        <v>9</v>
      </c>
      <c r="C1993">
        <v>48</v>
      </c>
      <c r="D1993">
        <v>24</v>
      </c>
      <c r="E1993">
        <v>8</v>
      </c>
      <c r="F1993">
        <v>44</v>
      </c>
      <c r="G1993">
        <v>8</v>
      </c>
      <c r="H1993">
        <v>64</v>
      </c>
      <c r="I1993">
        <v>68</v>
      </c>
      <c r="J1993">
        <v>1</v>
      </c>
      <c r="K1993">
        <v>1</v>
      </c>
      <c r="L1993">
        <v>0</v>
      </c>
      <c r="M1993">
        <v>3</v>
      </c>
      <c r="N1993">
        <v>4</v>
      </c>
    </row>
    <row r="1994" spans="1:14" hidden="1" x14ac:dyDescent="0.3">
      <c r="A1994">
        <v>2019</v>
      </c>
      <c r="B1994">
        <v>9</v>
      </c>
      <c r="C1994">
        <v>166</v>
      </c>
      <c r="D1994">
        <v>11</v>
      </c>
      <c r="E1994">
        <v>33</v>
      </c>
      <c r="F1994">
        <v>15</v>
      </c>
      <c r="G1994">
        <v>15</v>
      </c>
      <c r="H1994">
        <v>26</v>
      </c>
      <c r="I1994">
        <v>214</v>
      </c>
      <c r="J1994">
        <v>1</v>
      </c>
      <c r="K1994">
        <v>1</v>
      </c>
      <c r="L1994">
        <v>2</v>
      </c>
      <c r="M1994">
        <v>2</v>
      </c>
      <c r="N1994">
        <v>6</v>
      </c>
    </row>
    <row r="1995" spans="1:14" hidden="1" x14ac:dyDescent="0.3">
      <c r="A1995">
        <v>2717</v>
      </c>
      <c r="B1995">
        <v>9</v>
      </c>
      <c r="C1995">
        <v>179</v>
      </c>
      <c r="D1995">
        <v>61</v>
      </c>
      <c r="E1995">
        <v>93</v>
      </c>
      <c r="F1995">
        <v>6</v>
      </c>
      <c r="G1995">
        <v>45</v>
      </c>
      <c r="H1995">
        <v>80</v>
      </c>
      <c r="I1995">
        <v>303</v>
      </c>
      <c r="J1995">
        <v>1</v>
      </c>
      <c r="K1995">
        <v>3</v>
      </c>
      <c r="L1995">
        <v>1</v>
      </c>
      <c r="M1995">
        <v>3</v>
      </c>
      <c r="N1995">
        <v>8</v>
      </c>
    </row>
    <row r="1996" spans="1:14" hidden="1" x14ac:dyDescent="0.3">
      <c r="A1996">
        <v>1500</v>
      </c>
      <c r="B1996">
        <v>9</v>
      </c>
      <c r="C1996">
        <v>243</v>
      </c>
      <c r="D1996">
        <v>0</v>
      </c>
      <c r="E1996">
        <v>172</v>
      </c>
      <c r="F1996">
        <v>15</v>
      </c>
      <c r="G1996">
        <v>11</v>
      </c>
      <c r="H1996">
        <v>75</v>
      </c>
      <c r="I1996">
        <v>367</v>
      </c>
      <c r="J1996">
        <v>4</v>
      </c>
      <c r="K1996">
        <v>3</v>
      </c>
      <c r="L1996">
        <v>1</v>
      </c>
      <c r="M1996">
        <v>3</v>
      </c>
      <c r="N1996">
        <v>8</v>
      </c>
    </row>
    <row r="1997" spans="1:14" hidden="1" x14ac:dyDescent="0.3">
      <c r="A1997">
        <v>2732</v>
      </c>
      <c r="B1997">
        <v>9</v>
      </c>
      <c r="C1997">
        <v>281</v>
      </c>
      <c r="D1997">
        <v>4</v>
      </c>
      <c r="E1997">
        <v>211</v>
      </c>
      <c r="F1997">
        <v>14</v>
      </c>
      <c r="G1997">
        <v>21</v>
      </c>
      <c r="H1997">
        <v>56</v>
      </c>
      <c r="I1997">
        <v>475</v>
      </c>
      <c r="J1997">
        <v>2</v>
      </c>
      <c r="K1997">
        <v>5</v>
      </c>
      <c r="L1997">
        <v>1</v>
      </c>
      <c r="M1997">
        <v>2</v>
      </c>
      <c r="N1997">
        <v>9</v>
      </c>
    </row>
    <row r="1998" spans="1:14" hidden="1" x14ac:dyDescent="0.3">
      <c r="A1998">
        <v>1630</v>
      </c>
      <c r="B1998">
        <v>9</v>
      </c>
      <c r="C1998">
        <v>351</v>
      </c>
      <c r="D1998">
        <v>17</v>
      </c>
      <c r="E1998">
        <v>205</v>
      </c>
      <c r="F1998">
        <v>22</v>
      </c>
      <c r="G1998">
        <v>11</v>
      </c>
      <c r="H1998">
        <v>53</v>
      </c>
      <c r="I1998">
        <v>553</v>
      </c>
      <c r="J1998">
        <v>1</v>
      </c>
      <c r="K1998">
        <v>3</v>
      </c>
      <c r="L1998">
        <v>1</v>
      </c>
      <c r="M1998">
        <v>6</v>
      </c>
      <c r="N1998">
        <v>4</v>
      </c>
    </row>
    <row r="1999" spans="1:14" hidden="1" x14ac:dyDescent="0.3">
      <c r="A1999">
        <v>2593</v>
      </c>
      <c r="B1999">
        <v>9</v>
      </c>
      <c r="C1999">
        <v>435</v>
      </c>
      <c r="D1999">
        <v>30</v>
      </c>
      <c r="E1999">
        <v>272</v>
      </c>
      <c r="F1999">
        <v>41</v>
      </c>
      <c r="G1999">
        <v>30</v>
      </c>
      <c r="H1999">
        <v>47</v>
      </c>
      <c r="I1999">
        <v>762</v>
      </c>
      <c r="J1999">
        <v>2</v>
      </c>
      <c r="K1999">
        <v>3</v>
      </c>
      <c r="L1999">
        <v>2</v>
      </c>
      <c r="M1999">
        <v>7</v>
      </c>
      <c r="N1999">
        <v>3</v>
      </c>
    </row>
    <row r="2000" spans="1:14" hidden="1" x14ac:dyDescent="0.3">
      <c r="A2000">
        <v>1548</v>
      </c>
      <c r="B2000">
        <v>9</v>
      </c>
      <c r="C2000">
        <v>531</v>
      </c>
      <c r="D2000">
        <v>55</v>
      </c>
      <c r="E2000">
        <v>247</v>
      </c>
      <c r="F2000">
        <v>85</v>
      </c>
      <c r="G2000">
        <v>18</v>
      </c>
      <c r="H2000">
        <v>73</v>
      </c>
      <c r="I2000">
        <v>863</v>
      </c>
      <c r="J2000">
        <v>3</v>
      </c>
      <c r="K2000">
        <v>3</v>
      </c>
      <c r="L2000">
        <v>2</v>
      </c>
      <c r="M2000">
        <v>7</v>
      </c>
      <c r="N2000">
        <v>3</v>
      </c>
    </row>
    <row r="2001" spans="1:14" hidden="1" x14ac:dyDescent="0.3">
      <c r="A2001">
        <v>1251</v>
      </c>
      <c r="B2001">
        <v>9</v>
      </c>
      <c r="C2001">
        <v>581</v>
      </c>
      <c r="D2001">
        <v>7</v>
      </c>
      <c r="E2001">
        <v>233</v>
      </c>
      <c r="F2001">
        <v>10</v>
      </c>
      <c r="G2001">
        <v>7</v>
      </c>
      <c r="H2001">
        <v>66</v>
      </c>
      <c r="I2001">
        <v>772</v>
      </c>
      <c r="J2001">
        <v>6</v>
      </c>
      <c r="K2001">
        <v>5</v>
      </c>
      <c r="L2001">
        <v>2</v>
      </c>
      <c r="M2001">
        <v>4</v>
      </c>
      <c r="N2001">
        <v>8</v>
      </c>
    </row>
    <row r="2002" spans="1:14" hidden="1" x14ac:dyDescent="0.3">
      <c r="A2002">
        <v>1637</v>
      </c>
      <c r="B2002">
        <v>9</v>
      </c>
      <c r="C2002">
        <v>662</v>
      </c>
      <c r="D2002">
        <v>9</v>
      </c>
      <c r="E2002">
        <v>302</v>
      </c>
      <c r="F2002">
        <v>79</v>
      </c>
      <c r="G2002">
        <v>0</v>
      </c>
      <c r="H2002">
        <v>51</v>
      </c>
      <c r="I2002">
        <v>1001</v>
      </c>
      <c r="J2002">
        <v>2</v>
      </c>
      <c r="K2002">
        <v>7</v>
      </c>
      <c r="L2002">
        <v>1</v>
      </c>
      <c r="M2002">
        <v>5</v>
      </c>
      <c r="N2002">
        <v>8</v>
      </c>
    </row>
    <row r="2003" spans="1:14" hidden="1" x14ac:dyDescent="0.3">
      <c r="A2003">
        <v>2059</v>
      </c>
      <c r="B2003">
        <v>9</v>
      </c>
      <c r="C2003">
        <v>702</v>
      </c>
      <c r="D2003">
        <v>42</v>
      </c>
      <c r="E2003">
        <v>231</v>
      </c>
      <c r="F2003">
        <v>57</v>
      </c>
      <c r="G2003">
        <v>30</v>
      </c>
      <c r="H2003">
        <v>126</v>
      </c>
      <c r="I2003">
        <v>936</v>
      </c>
      <c r="J2003">
        <v>2</v>
      </c>
      <c r="K2003">
        <v>4</v>
      </c>
      <c r="L2003">
        <v>1</v>
      </c>
      <c r="M2003">
        <v>8</v>
      </c>
      <c r="N2003">
        <v>5</v>
      </c>
    </row>
    <row r="2004" spans="1:14" hidden="1" x14ac:dyDescent="0.3">
      <c r="A2004">
        <v>1483</v>
      </c>
      <c r="B2004">
        <v>9</v>
      </c>
      <c r="C2004">
        <v>982</v>
      </c>
      <c r="D2004">
        <v>35</v>
      </c>
      <c r="E2004">
        <v>552</v>
      </c>
      <c r="F2004">
        <v>230</v>
      </c>
      <c r="G2004">
        <v>35</v>
      </c>
      <c r="H2004">
        <v>53</v>
      </c>
      <c r="I2004">
        <v>1783</v>
      </c>
      <c r="J2004">
        <v>1</v>
      </c>
      <c r="K2004">
        <v>4</v>
      </c>
      <c r="L2004">
        <v>3</v>
      </c>
      <c r="M2004">
        <v>13</v>
      </c>
      <c r="N2004">
        <v>2</v>
      </c>
    </row>
    <row r="2005" spans="1:14" hidden="1" x14ac:dyDescent="0.3">
      <c r="A2005">
        <v>2450</v>
      </c>
      <c r="B2005">
        <v>9</v>
      </c>
      <c r="C2005">
        <v>1166</v>
      </c>
      <c r="D2005">
        <v>89</v>
      </c>
      <c r="E2005">
        <v>1070</v>
      </c>
      <c r="F2005">
        <v>84</v>
      </c>
      <c r="G2005">
        <v>30</v>
      </c>
      <c r="H2005">
        <v>388</v>
      </c>
      <c r="I2005">
        <v>2051</v>
      </c>
      <c r="J2005">
        <v>2</v>
      </c>
      <c r="K2005">
        <v>6</v>
      </c>
      <c r="L2005">
        <v>6</v>
      </c>
      <c r="M2005">
        <v>7</v>
      </c>
      <c r="N2005">
        <v>4</v>
      </c>
    </row>
    <row r="2006" spans="1:14" hidden="1" x14ac:dyDescent="0.3">
      <c r="A2006">
        <v>2436</v>
      </c>
      <c r="B2006">
        <v>9</v>
      </c>
      <c r="C2006">
        <v>1291</v>
      </c>
      <c r="D2006">
        <v>13</v>
      </c>
      <c r="E2006">
        <v>53</v>
      </c>
      <c r="F2006">
        <v>18</v>
      </c>
      <c r="G2006">
        <v>13</v>
      </c>
      <c r="H2006">
        <v>25</v>
      </c>
      <c r="I2006">
        <v>1362</v>
      </c>
      <c r="J2006">
        <v>4</v>
      </c>
      <c r="K2006">
        <v>7</v>
      </c>
      <c r="L2006">
        <v>3</v>
      </c>
      <c r="M2006">
        <v>7</v>
      </c>
      <c r="N2006">
        <v>5</v>
      </c>
    </row>
    <row r="2007" spans="1:14" hidden="1" x14ac:dyDescent="0.3">
      <c r="A2007">
        <v>1753</v>
      </c>
      <c r="B2007">
        <v>9</v>
      </c>
      <c r="C2007">
        <v>1310</v>
      </c>
      <c r="D2007">
        <v>17</v>
      </c>
      <c r="E2007">
        <v>304</v>
      </c>
      <c r="F2007">
        <v>94</v>
      </c>
      <c r="G2007">
        <v>87</v>
      </c>
      <c r="H2007">
        <v>374</v>
      </c>
      <c r="I2007">
        <v>1437</v>
      </c>
      <c r="J2007">
        <v>8</v>
      </c>
      <c r="K2007">
        <v>7</v>
      </c>
      <c r="L2007">
        <v>3</v>
      </c>
      <c r="M2007">
        <v>7</v>
      </c>
      <c r="N2007">
        <v>8</v>
      </c>
    </row>
    <row r="2008" spans="1:14" hidden="1" x14ac:dyDescent="0.3">
      <c r="A2008">
        <v>1074</v>
      </c>
      <c r="B2008">
        <v>9</v>
      </c>
      <c r="C2008">
        <v>1607</v>
      </c>
      <c r="D2008">
        <v>0</v>
      </c>
      <c r="E2008">
        <v>178</v>
      </c>
      <c r="F2008">
        <v>0</v>
      </c>
      <c r="G2008">
        <v>0</v>
      </c>
      <c r="H2008">
        <v>142</v>
      </c>
      <c r="I2008">
        <v>1643</v>
      </c>
      <c r="J2008">
        <v>2</v>
      </c>
      <c r="K2008">
        <v>10</v>
      </c>
      <c r="L2008">
        <v>1</v>
      </c>
      <c r="M2008">
        <v>8</v>
      </c>
      <c r="N2008">
        <v>8</v>
      </c>
    </row>
    <row r="2009" spans="1:14" hidden="1" x14ac:dyDescent="0.3">
      <c r="A2009">
        <v>2362</v>
      </c>
      <c r="B2009">
        <v>9</v>
      </c>
      <c r="C2009">
        <v>2066</v>
      </c>
      <c r="D2009">
        <v>50</v>
      </c>
      <c r="E2009">
        <v>1446</v>
      </c>
      <c r="F2009">
        <v>106</v>
      </c>
      <c r="G2009">
        <v>40</v>
      </c>
      <c r="H2009">
        <v>248</v>
      </c>
      <c r="I2009">
        <v>3460</v>
      </c>
      <c r="J2009">
        <v>0</v>
      </c>
      <c r="K2009">
        <v>5</v>
      </c>
      <c r="L2009">
        <v>10</v>
      </c>
      <c r="M2009">
        <v>5</v>
      </c>
      <c r="N2009">
        <v>1</v>
      </c>
    </row>
    <row r="2010" spans="1:14" hidden="1" x14ac:dyDescent="0.3">
      <c r="A2010">
        <v>1153</v>
      </c>
      <c r="B2010">
        <v>9</v>
      </c>
      <c r="C2010">
        <v>2351</v>
      </c>
      <c r="D2010">
        <v>28</v>
      </c>
      <c r="E2010">
        <v>564</v>
      </c>
      <c r="F2010">
        <v>38</v>
      </c>
      <c r="G2010">
        <v>28</v>
      </c>
      <c r="H2010">
        <v>28</v>
      </c>
      <c r="I2010">
        <v>2980</v>
      </c>
      <c r="J2010">
        <v>1</v>
      </c>
      <c r="K2010">
        <v>5</v>
      </c>
      <c r="L2010">
        <v>4</v>
      </c>
      <c r="M2010">
        <v>10</v>
      </c>
      <c r="N2010">
        <v>2</v>
      </c>
    </row>
    <row r="2011" spans="1:14" hidden="1" x14ac:dyDescent="0.3">
      <c r="A2011">
        <v>1527</v>
      </c>
      <c r="B2011">
        <v>9</v>
      </c>
      <c r="C2011">
        <v>3234</v>
      </c>
      <c r="D2011">
        <v>42</v>
      </c>
      <c r="E2011">
        <v>882</v>
      </c>
      <c r="F2011">
        <v>0</v>
      </c>
      <c r="G2011">
        <v>42</v>
      </c>
      <c r="H2011">
        <v>0</v>
      </c>
      <c r="I2011">
        <v>4199</v>
      </c>
      <c r="J2011">
        <v>1</v>
      </c>
      <c r="K2011">
        <v>7</v>
      </c>
      <c r="L2011">
        <v>6</v>
      </c>
      <c r="M2011">
        <v>6</v>
      </c>
      <c r="N2011">
        <v>3</v>
      </c>
    </row>
    <row r="2012" spans="1:14" hidden="1" x14ac:dyDescent="0.3">
      <c r="A2012">
        <v>1898</v>
      </c>
      <c r="B2012">
        <v>9</v>
      </c>
      <c r="C2012">
        <v>3234</v>
      </c>
      <c r="D2012">
        <v>42</v>
      </c>
      <c r="E2012">
        <v>882</v>
      </c>
      <c r="F2012">
        <v>0</v>
      </c>
      <c r="G2012">
        <v>42</v>
      </c>
      <c r="H2012">
        <v>0</v>
      </c>
      <c r="I2012">
        <v>4199</v>
      </c>
      <c r="J2012">
        <v>1</v>
      </c>
      <c r="K2012">
        <v>7</v>
      </c>
      <c r="L2012">
        <v>6</v>
      </c>
      <c r="M2012">
        <v>6</v>
      </c>
      <c r="N2012">
        <v>3</v>
      </c>
    </row>
    <row r="2013" spans="1:14" hidden="1" x14ac:dyDescent="0.3">
      <c r="A2013">
        <v>1764</v>
      </c>
      <c r="B2013">
        <v>8</v>
      </c>
      <c r="C2013">
        <v>4</v>
      </c>
      <c r="D2013">
        <v>13</v>
      </c>
      <c r="E2013">
        <v>34</v>
      </c>
      <c r="F2013">
        <v>9</v>
      </c>
      <c r="G2013">
        <v>21</v>
      </c>
      <c r="H2013">
        <v>21</v>
      </c>
      <c r="I2013">
        <v>60</v>
      </c>
      <c r="J2013">
        <v>1</v>
      </c>
      <c r="K2013">
        <v>1</v>
      </c>
      <c r="L2013">
        <v>0</v>
      </c>
      <c r="M2013">
        <v>2</v>
      </c>
      <c r="N2013">
        <v>7</v>
      </c>
    </row>
    <row r="2014" spans="1:14" hidden="1" x14ac:dyDescent="0.3">
      <c r="A2014">
        <v>1409</v>
      </c>
      <c r="B2014">
        <v>8</v>
      </c>
      <c r="C2014">
        <v>31</v>
      </c>
      <c r="D2014">
        <v>0</v>
      </c>
      <c r="E2014">
        <v>21</v>
      </c>
      <c r="F2014">
        <v>6</v>
      </c>
      <c r="G2014">
        <v>0</v>
      </c>
      <c r="H2014">
        <v>3</v>
      </c>
      <c r="I2014">
        <v>55</v>
      </c>
      <c r="J2014">
        <v>1</v>
      </c>
      <c r="K2014">
        <v>1</v>
      </c>
      <c r="L2014">
        <v>0</v>
      </c>
      <c r="M2014">
        <v>2</v>
      </c>
      <c r="N2014">
        <v>8</v>
      </c>
    </row>
    <row r="2015" spans="1:14" hidden="1" x14ac:dyDescent="0.3">
      <c r="A2015">
        <v>1741</v>
      </c>
      <c r="B2015">
        <v>8</v>
      </c>
      <c r="C2015">
        <v>42</v>
      </c>
      <c r="D2015">
        <v>19</v>
      </c>
      <c r="E2015">
        <v>84</v>
      </c>
      <c r="F2015">
        <v>46</v>
      </c>
      <c r="G2015">
        <v>19</v>
      </c>
      <c r="H2015">
        <v>42</v>
      </c>
      <c r="I2015">
        <v>168</v>
      </c>
      <c r="J2015">
        <v>2</v>
      </c>
      <c r="K2015">
        <v>3</v>
      </c>
      <c r="L2015">
        <v>0</v>
      </c>
      <c r="M2015">
        <v>3</v>
      </c>
      <c r="N2015">
        <v>7</v>
      </c>
    </row>
    <row r="2016" spans="1:14" hidden="1" x14ac:dyDescent="0.3">
      <c r="A2016">
        <v>2604</v>
      </c>
      <c r="B2016">
        <v>8</v>
      </c>
      <c r="C2016">
        <v>98</v>
      </c>
      <c r="D2016">
        <v>0</v>
      </c>
      <c r="E2016">
        <v>141</v>
      </c>
      <c r="F2016">
        <v>18</v>
      </c>
      <c r="G2016">
        <v>12</v>
      </c>
      <c r="H2016">
        <v>61</v>
      </c>
      <c r="I2016">
        <v>209</v>
      </c>
      <c r="J2016">
        <v>3</v>
      </c>
      <c r="K2016">
        <v>4</v>
      </c>
      <c r="L2016">
        <v>1</v>
      </c>
      <c r="M2016">
        <v>2</v>
      </c>
      <c r="N2016">
        <v>7</v>
      </c>
    </row>
    <row r="2017" spans="1:14" hidden="1" x14ac:dyDescent="0.3">
      <c r="A2017">
        <v>1953</v>
      </c>
      <c r="B2017">
        <v>8</v>
      </c>
      <c r="C2017">
        <v>118</v>
      </c>
      <c r="D2017">
        <v>37</v>
      </c>
      <c r="E2017">
        <v>221</v>
      </c>
      <c r="F2017">
        <v>59</v>
      </c>
      <c r="G2017">
        <v>52</v>
      </c>
      <c r="H2017">
        <v>191</v>
      </c>
      <c r="I2017">
        <v>295</v>
      </c>
      <c r="J2017">
        <v>3</v>
      </c>
      <c r="K2017">
        <v>3</v>
      </c>
      <c r="L2017">
        <v>0</v>
      </c>
      <c r="M2017">
        <v>4</v>
      </c>
      <c r="N2017">
        <v>8</v>
      </c>
    </row>
    <row r="2018" spans="1:14" hidden="1" x14ac:dyDescent="0.3">
      <c r="A2018">
        <v>2311</v>
      </c>
      <c r="B2018">
        <v>8</v>
      </c>
      <c r="C2018">
        <v>223</v>
      </c>
      <c r="D2018">
        <v>174</v>
      </c>
      <c r="E2018">
        <v>305</v>
      </c>
      <c r="F2018">
        <v>217</v>
      </c>
      <c r="G2018">
        <v>46</v>
      </c>
      <c r="H2018">
        <v>0</v>
      </c>
      <c r="I2018">
        <v>964</v>
      </c>
      <c r="J2018">
        <v>5</v>
      </c>
      <c r="K2018">
        <v>6</v>
      </c>
      <c r="L2018">
        <v>1</v>
      </c>
      <c r="M2018">
        <v>5</v>
      </c>
      <c r="N2018">
        <v>9</v>
      </c>
    </row>
    <row r="2019" spans="1:14" hidden="1" x14ac:dyDescent="0.3">
      <c r="A2019">
        <v>1032</v>
      </c>
      <c r="B2019">
        <v>8</v>
      </c>
      <c r="C2019">
        <v>302</v>
      </c>
      <c r="D2019">
        <v>38</v>
      </c>
      <c r="E2019">
        <v>302</v>
      </c>
      <c r="F2019">
        <v>104</v>
      </c>
      <c r="G2019">
        <v>69</v>
      </c>
      <c r="H2019">
        <v>135</v>
      </c>
      <c r="I2019">
        <v>679</v>
      </c>
      <c r="J2019">
        <v>6</v>
      </c>
      <c r="K2019">
        <v>4</v>
      </c>
      <c r="L2019">
        <v>1</v>
      </c>
      <c r="M2019">
        <v>6</v>
      </c>
      <c r="N2019">
        <v>6</v>
      </c>
    </row>
    <row r="2020" spans="1:14" hidden="1" x14ac:dyDescent="0.3">
      <c r="A2020">
        <v>2601</v>
      </c>
      <c r="B2020">
        <v>8</v>
      </c>
      <c r="C2020">
        <v>612</v>
      </c>
      <c r="D2020">
        <v>6</v>
      </c>
      <c r="E2020">
        <v>17</v>
      </c>
      <c r="F2020">
        <v>0</v>
      </c>
      <c r="G2020">
        <v>0</v>
      </c>
      <c r="H2020">
        <v>25</v>
      </c>
      <c r="I2020">
        <v>609</v>
      </c>
      <c r="J2020">
        <v>2</v>
      </c>
      <c r="K2020">
        <v>5</v>
      </c>
      <c r="L2020">
        <v>1</v>
      </c>
      <c r="M2020">
        <v>4</v>
      </c>
      <c r="N2020">
        <v>7</v>
      </c>
    </row>
    <row r="2021" spans="1:14" hidden="1" x14ac:dyDescent="0.3">
      <c r="A2021">
        <v>2197</v>
      </c>
      <c r="B2021">
        <v>8</v>
      </c>
      <c r="C2021">
        <v>732</v>
      </c>
      <c r="D2021">
        <v>218</v>
      </c>
      <c r="E2021">
        <v>231</v>
      </c>
      <c r="F2021">
        <v>84</v>
      </c>
      <c r="G2021">
        <v>37</v>
      </c>
      <c r="H2021">
        <v>89</v>
      </c>
      <c r="I2021">
        <v>1212</v>
      </c>
      <c r="J2021">
        <v>1</v>
      </c>
      <c r="K2021">
        <v>4</v>
      </c>
      <c r="L2021">
        <v>2</v>
      </c>
      <c r="M2021">
        <v>10</v>
      </c>
      <c r="N2021">
        <v>3</v>
      </c>
    </row>
    <row r="2022" spans="1:14" hidden="1" x14ac:dyDescent="0.3">
      <c r="A2022">
        <v>2759</v>
      </c>
      <c r="B2022">
        <v>8</v>
      </c>
      <c r="C2022">
        <v>774</v>
      </c>
      <c r="D2022">
        <v>128</v>
      </c>
      <c r="E2022">
        <v>233</v>
      </c>
      <c r="F2022">
        <v>31</v>
      </c>
      <c r="G2022">
        <v>12</v>
      </c>
      <c r="H2022">
        <v>58</v>
      </c>
      <c r="I2022">
        <v>1120</v>
      </c>
      <c r="J2022">
        <v>5</v>
      </c>
      <c r="K2022">
        <v>5</v>
      </c>
      <c r="L2022">
        <v>2</v>
      </c>
      <c r="M2022">
        <v>5</v>
      </c>
      <c r="N2022">
        <v>8</v>
      </c>
    </row>
    <row r="2023" spans="1:14" hidden="1" x14ac:dyDescent="0.3">
      <c r="A2023">
        <v>2947</v>
      </c>
      <c r="B2023">
        <v>8</v>
      </c>
      <c r="C2023">
        <v>774</v>
      </c>
      <c r="D2023">
        <v>128</v>
      </c>
      <c r="E2023">
        <v>233</v>
      </c>
      <c r="F2023">
        <v>31</v>
      </c>
      <c r="G2023">
        <v>12</v>
      </c>
      <c r="H2023">
        <v>58</v>
      </c>
      <c r="I2023">
        <v>1120</v>
      </c>
      <c r="J2023">
        <v>5</v>
      </c>
      <c r="K2023">
        <v>5</v>
      </c>
      <c r="L2023">
        <v>2</v>
      </c>
      <c r="M2023">
        <v>5</v>
      </c>
      <c r="N2023">
        <v>8</v>
      </c>
    </row>
    <row r="2024" spans="1:14" hidden="1" x14ac:dyDescent="0.3">
      <c r="A2024">
        <v>2158</v>
      </c>
      <c r="B2024">
        <v>8</v>
      </c>
      <c r="C2024">
        <v>786</v>
      </c>
      <c r="D2024">
        <v>60</v>
      </c>
      <c r="E2024">
        <v>182</v>
      </c>
      <c r="F2024">
        <v>176</v>
      </c>
      <c r="G2024">
        <v>60</v>
      </c>
      <c r="H2024">
        <v>71</v>
      </c>
      <c r="I2024">
        <v>1192</v>
      </c>
      <c r="J2024">
        <v>2</v>
      </c>
      <c r="K2024">
        <v>3</v>
      </c>
      <c r="L2024">
        <v>2</v>
      </c>
      <c r="M2024">
        <v>10</v>
      </c>
      <c r="N2024">
        <v>3</v>
      </c>
    </row>
    <row r="2025" spans="1:14" hidden="1" x14ac:dyDescent="0.3">
      <c r="A2025">
        <v>1877</v>
      </c>
      <c r="B2025">
        <v>8</v>
      </c>
      <c r="C2025">
        <v>809</v>
      </c>
      <c r="D2025">
        <v>148</v>
      </c>
      <c r="E2025">
        <v>412</v>
      </c>
      <c r="F2025">
        <v>195</v>
      </c>
      <c r="G2025">
        <v>131</v>
      </c>
      <c r="H2025">
        <v>346</v>
      </c>
      <c r="I2025">
        <v>1349</v>
      </c>
      <c r="J2025">
        <v>1</v>
      </c>
      <c r="K2025">
        <v>6</v>
      </c>
      <c r="L2025">
        <v>9</v>
      </c>
      <c r="M2025">
        <v>4</v>
      </c>
      <c r="N2025">
        <v>5</v>
      </c>
    </row>
    <row r="2026" spans="1:14" hidden="1" x14ac:dyDescent="0.3">
      <c r="A2026">
        <v>2541</v>
      </c>
      <c r="B2026">
        <v>8</v>
      </c>
      <c r="C2026">
        <v>827</v>
      </c>
      <c r="D2026">
        <v>34</v>
      </c>
      <c r="E2026">
        <v>271</v>
      </c>
      <c r="F2026">
        <v>46</v>
      </c>
      <c r="G2026">
        <v>9</v>
      </c>
      <c r="H2026">
        <v>68</v>
      </c>
      <c r="I2026">
        <v>1120</v>
      </c>
      <c r="J2026">
        <v>2</v>
      </c>
      <c r="K2026">
        <v>6</v>
      </c>
      <c r="L2026">
        <v>3</v>
      </c>
      <c r="M2026">
        <v>5</v>
      </c>
      <c r="N2026">
        <v>5</v>
      </c>
    </row>
    <row r="2027" spans="1:14" hidden="1" x14ac:dyDescent="0.3">
      <c r="A2027">
        <v>3204</v>
      </c>
      <c r="B2027">
        <v>8</v>
      </c>
      <c r="C2027">
        <v>1046</v>
      </c>
      <c r="D2027">
        <v>73</v>
      </c>
      <c r="E2027">
        <v>523</v>
      </c>
      <c r="F2027">
        <v>196</v>
      </c>
      <c r="G2027">
        <v>73</v>
      </c>
      <c r="H2027">
        <v>149</v>
      </c>
      <c r="I2027">
        <v>1762</v>
      </c>
      <c r="J2027">
        <v>2</v>
      </c>
      <c r="K2027">
        <v>6</v>
      </c>
      <c r="L2027">
        <v>5</v>
      </c>
      <c r="M2027">
        <v>10</v>
      </c>
      <c r="N2027">
        <v>3</v>
      </c>
    </row>
    <row r="2028" spans="1:14" hidden="1" x14ac:dyDescent="0.3">
      <c r="A2028">
        <v>3219</v>
      </c>
      <c r="B2028">
        <v>8</v>
      </c>
      <c r="C2028">
        <v>1054</v>
      </c>
      <c r="D2028">
        <v>74</v>
      </c>
      <c r="E2028">
        <v>527</v>
      </c>
      <c r="F2028">
        <v>197</v>
      </c>
      <c r="G2028">
        <v>74</v>
      </c>
      <c r="H2028">
        <v>150</v>
      </c>
      <c r="I2028">
        <v>1775</v>
      </c>
      <c r="J2028">
        <v>2</v>
      </c>
      <c r="K2028">
        <v>6</v>
      </c>
      <c r="L2028">
        <v>5</v>
      </c>
      <c r="M2028">
        <v>10</v>
      </c>
      <c r="N2028">
        <v>3</v>
      </c>
    </row>
    <row r="2029" spans="1:14" hidden="1" x14ac:dyDescent="0.3">
      <c r="A2029">
        <v>3153</v>
      </c>
      <c r="B2029">
        <v>8</v>
      </c>
      <c r="C2029">
        <v>1313</v>
      </c>
      <c r="D2029">
        <v>352</v>
      </c>
      <c r="E2029">
        <v>537</v>
      </c>
      <c r="F2029">
        <v>154</v>
      </c>
      <c r="G2029">
        <v>22</v>
      </c>
      <c r="H2029">
        <v>139</v>
      </c>
      <c r="I2029">
        <v>2239</v>
      </c>
      <c r="J2029">
        <v>4</v>
      </c>
      <c r="K2029">
        <v>7</v>
      </c>
      <c r="L2029">
        <v>4</v>
      </c>
      <c r="M2029">
        <v>13</v>
      </c>
      <c r="N2029">
        <v>5</v>
      </c>
    </row>
    <row r="2030" spans="1:14" hidden="1" x14ac:dyDescent="0.3">
      <c r="A2030">
        <v>1230</v>
      </c>
      <c r="B2030">
        <v>8</v>
      </c>
      <c r="C2030">
        <v>1318</v>
      </c>
      <c r="D2030">
        <v>361</v>
      </c>
      <c r="E2030">
        <v>1186</v>
      </c>
      <c r="F2030">
        <v>514</v>
      </c>
      <c r="G2030">
        <v>31</v>
      </c>
      <c r="H2030">
        <v>427</v>
      </c>
      <c r="I2030">
        <v>2982</v>
      </c>
      <c r="J2030">
        <v>1</v>
      </c>
      <c r="K2030">
        <v>3</v>
      </c>
      <c r="L2030">
        <v>9</v>
      </c>
      <c r="M2030">
        <v>9</v>
      </c>
      <c r="N2030">
        <v>2</v>
      </c>
    </row>
    <row r="2031" spans="1:14" hidden="1" x14ac:dyDescent="0.3">
      <c r="A2031">
        <v>1784</v>
      </c>
      <c r="B2031">
        <v>8</v>
      </c>
      <c r="C2031">
        <v>1339</v>
      </c>
      <c r="D2031">
        <v>327</v>
      </c>
      <c r="E2031">
        <v>504</v>
      </c>
      <c r="F2031">
        <v>33</v>
      </c>
      <c r="G2031">
        <v>327</v>
      </c>
      <c r="H2031">
        <v>49</v>
      </c>
      <c r="I2031">
        <v>2481</v>
      </c>
      <c r="J2031">
        <v>1</v>
      </c>
      <c r="K2031">
        <v>6</v>
      </c>
      <c r="L2031">
        <v>8</v>
      </c>
      <c r="M2031">
        <v>13</v>
      </c>
      <c r="N2031">
        <v>2</v>
      </c>
    </row>
    <row r="2032" spans="1:14" hidden="1" x14ac:dyDescent="0.3">
      <c r="A2032">
        <v>1059</v>
      </c>
      <c r="B2032">
        <v>8</v>
      </c>
      <c r="C2032">
        <v>1353</v>
      </c>
      <c r="D2032">
        <v>0</v>
      </c>
      <c r="E2032">
        <v>119</v>
      </c>
      <c r="F2032">
        <v>0</v>
      </c>
      <c r="G2032">
        <v>15</v>
      </c>
      <c r="H2032">
        <v>15</v>
      </c>
      <c r="I2032">
        <v>1472</v>
      </c>
      <c r="J2032">
        <v>1</v>
      </c>
      <c r="K2032">
        <v>7</v>
      </c>
      <c r="L2032">
        <v>3</v>
      </c>
      <c r="M2032">
        <v>8</v>
      </c>
      <c r="N2032">
        <v>5</v>
      </c>
    </row>
    <row r="2033" spans="1:14" hidden="1" x14ac:dyDescent="0.3">
      <c r="A2033">
        <v>1747</v>
      </c>
      <c r="B2033">
        <v>8</v>
      </c>
      <c r="C2033">
        <v>1370</v>
      </c>
      <c r="D2033">
        <v>119</v>
      </c>
      <c r="E2033">
        <v>2096</v>
      </c>
      <c r="F2033">
        <v>576</v>
      </c>
      <c r="G2033">
        <v>0</v>
      </c>
      <c r="H2033">
        <v>201</v>
      </c>
      <c r="I2033">
        <v>3960</v>
      </c>
      <c r="J2033">
        <v>1</v>
      </c>
      <c r="K2033">
        <v>3</v>
      </c>
      <c r="L2033">
        <v>6</v>
      </c>
      <c r="M2033">
        <v>7</v>
      </c>
      <c r="N2033">
        <v>2</v>
      </c>
    </row>
    <row r="2034" spans="1:14" hidden="1" x14ac:dyDescent="0.3">
      <c r="A2034">
        <v>1920</v>
      </c>
      <c r="B2034">
        <v>8</v>
      </c>
      <c r="C2034">
        <v>1559</v>
      </c>
      <c r="D2034">
        <v>19</v>
      </c>
      <c r="E2034">
        <v>202</v>
      </c>
      <c r="F2034">
        <v>292</v>
      </c>
      <c r="G2034">
        <v>40</v>
      </c>
      <c r="H2034">
        <v>40</v>
      </c>
      <c r="I2034">
        <v>2071</v>
      </c>
      <c r="J2034">
        <v>2</v>
      </c>
      <c r="K2034">
        <v>8</v>
      </c>
      <c r="L2034">
        <v>4</v>
      </c>
      <c r="M2034">
        <v>9</v>
      </c>
      <c r="N2034">
        <v>6</v>
      </c>
    </row>
    <row r="2035" spans="1:14" hidden="1" x14ac:dyDescent="0.3">
      <c r="A2035">
        <v>2853</v>
      </c>
      <c r="B2035">
        <v>8</v>
      </c>
      <c r="C2035">
        <v>1617</v>
      </c>
      <c r="D2035">
        <v>22</v>
      </c>
      <c r="E2035">
        <v>584</v>
      </c>
      <c r="F2035">
        <v>122</v>
      </c>
      <c r="G2035">
        <v>46</v>
      </c>
      <c r="H2035">
        <v>139</v>
      </c>
      <c r="I2035">
        <v>2252</v>
      </c>
      <c r="J2035">
        <v>2</v>
      </c>
      <c r="K2035">
        <v>7</v>
      </c>
      <c r="L2035">
        <v>7</v>
      </c>
      <c r="M2035">
        <v>10</v>
      </c>
      <c r="N2035">
        <v>4</v>
      </c>
    </row>
    <row r="2036" spans="1:14" hidden="1" x14ac:dyDescent="0.3">
      <c r="A2036">
        <v>1721</v>
      </c>
      <c r="B2036">
        <v>8</v>
      </c>
      <c r="C2036">
        <v>2427</v>
      </c>
      <c r="D2036">
        <v>26</v>
      </c>
      <c r="E2036">
        <v>220</v>
      </c>
      <c r="F2036">
        <v>33</v>
      </c>
      <c r="G2036">
        <v>54</v>
      </c>
      <c r="H2036">
        <v>54</v>
      </c>
      <c r="I2036">
        <v>2706</v>
      </c>
      <c r="J2036">
        <v>4</v>
      </c>
      <c r="K2036">
        <v>6</v>
      </c>
      <c r="L2036">
        <v>9</v>
      </c>
      <c r="M2036">
        <v>11</v>
      </c>
      <c r="N2036">
        <v>5</v>
      </c>
    </row>
    <row r="2037" spans="1:14" hidden="1" x14ac:dyDescent="0.3">
      <c r="A2037">
        <v>2965</v>
      </c>
      <c r="B2037">
        <v>8</v>
      </c>
      <c r="C2037">
        <v>2589</v>
      </c>
      <c r="D2037">
        <v>88</v>
      </c>
      <c r="E2037">
        <v>1403</v>
      </c>
      <c r="F2037">
        <v>344</v>
      </c>
      <c r="G2037">
        <v>88</v>
      </c>
      <c r="H2037">
        <v>130</v>
      </c>
      <c r="I2037">
        <v>4381</v>
      </c>
      <c r="J2037">
        <v>1</v>
      </c>
      <c r="K2037">
        <v>5</v>
      </c>
      <c r="L2037">
        <v>5</v>
      </c>
      <c r="M2037">
        <v>8</v>
      </c>
      <c r="N2037">
        <v>3</v>
      </c>
    </row>
    <row r="2038" spans="1:14" hidden="1" x14ac:dyDescent="0.3">
      <c r="A2038">
        <v>2936</v>
      </c>
      <c r="B2038">
        <v>8</v>
      </c>
      <c r="C2038">
        <v>3502</v>
      </c>
      <c r="D2038">
        <v>38</v>
      </c>
      <c r="E2038">
        <v>307</v>
      </c>
      <c r="F2038">
        <v>0</v>
      </c>
      <c r="G2038">
        <v>0</v>
      </c>
      <c r="H2038">
        <v>383</v>
      </c>
      <c r="I2038">
        <v>3464</v>
      </c>
      <c r="J2038">
        <v>1</v>
      </c>
      <c r="K2038">
        <v>5</v>
      </c>
      <c r="L2038">
        <v>3</v>
      </c>
      <c r="M2038">
        <v>6</v>
      </c>
      <c r="N2038">
        <v>6</v>
      </c>
    </row>
    <row r="2039" spans="1:14" hidden="1" x14ac:dyDescent="0.3">
      <c r="A2039">
        <v>3190</v>
      </c>
      <c r="B2039">
        <v>7</v>
      </c>
      <c r="C2039">
        <v>29</v>
      </c>
      <c r="D2039">
        <v>115</v>
      </c>
      <c r="E2039">
        <v>158</v>
      </c>
      <c r="F2039">
        <v>43</v>
      </c>
      <c r="G2039">
        <v>115</v>
      </c>
      <c r="H2039">
        <v>301</v>
      </c>
      <c r="I2039">
        <v>158</v>
      </c>
      <c r="J2039">
        <v>4</v>
      </c>
      <c r="K2039">
        <v>3</v>
      </c>
      <c r="L2039">
        <v>2</v>
      </c>
      <c r="M2039">
        <v>2</v>
      </c>
      <c r="N2039">
        <v>7</v>
      </c>
    </row>
    <row r="2040" spans="1:14" hidden="1" x14ac:dyDescent="0.3">
      <c r="A2040">
        <v>2679</v>
      </c>
      <c r="B2040">
        <v>7</v>
      </c>
      <c r="C2040">
        <v>68</v>
      </c>
      <c r="D2040">
        <v>192</v>
      </c>
      <c r="E2040">
        <v>181</v>
      </c>
      <c r="F2040">
        <v>68</v>
      </c>
      <c r="G2040">
        <v>181</v>
      </c>
      <c r="H2040">
        <v>474</v>
      </c>
      <c r="I2040">
        <v>214</v>
      </c>
      <c r="J2040">
        <v>4</v>
      </c>
      <c r="K2040">
        <v>3</v>
      </c>
      <c r="L2040">
        <v>1</v>
      </c>
      <c r="M2040">
        <v>3</v>
      </c>
      <c r="N2040">
        <v>8</v>
      </c>
    </row>
    <row r="2041" spans="1:14" hidden="1" x14ac:dyDescent="0.3">
      <c r="A2041">
        <v>1432</v>
      </c>
      <c r="B2041">
        <v>7</v>
      </c>
      <c r="C2041">
        <v>72</v>
      </c>
      <c r="D2041">
        <v>36</v>
      </c>
      <c r="E2041">
        <v>57</v>
      </c>
      <c r="F2041">
        <v>57</v>
      </c>
      <c r="G2041">
        <v>0</v>
      </c>
      <c r="H2041">
        <v>26</v>
      </c>
      <c r="I2041">
        <v>196</v>
      </c>
      <c r="J2041">
        <v>2</v>
      </c>
      <c r="K2041">
        <v>2</v>
      </c>
      <c r="L2041">
        <v>0</v>
      </c>
      <c r="M2041">
        <v>3</v>
      </c>
      <c r="N2041">
        <v>8</v>
      </c>
    </row>
    <row r="2042" spans="1:14" hidden="1" x14ac:dyDescent="0.3">
      <c r="A2042">
        <v>2895</v>
      </c>
      <c r="B2042">
        <v>7</v>
      </c>
      <c r="C2042">
        <v>95</v>
      </c>
      <c r="D2042">
        <v>17</v>
      </c>
      <c r="E2042">
        <v>21</v>
      </c>
      <c r="F2042">
        <v>41</v>
      </c>
      <c r="G2042">
        <v>21</v>
      </c>
      <c r="H2042">
        <v>95</v>
      </c>
      <c r="I2042">
        <v>99</v>
      </c>
      <c r="J2042">
        <v>1</v>
      </c>
      <c r="K2042">
        <v>1</v>
      </c>
      <c r="L2042">
        <v>0</v>
      </c>
      <c r="M2042">
        <v>4</v>
      </c>
      <c r="N2042">
        <v>3</v>
      </c>
    </row>
    <row r="2043" spans="1:14" hidden="1" x14ac:dyDescent="0.3">
      <c r="A2043">
        <v>2820</v>
      </c>
      <c r="B2043">
        <v>7</v>
      </c>
      <c r="C2043">
        <v>385</v>
      </c>
      <c r="D2043">
        <v>45</v>
      </c>
      <c r="E2043">
        <v>587</v>
      </c>
      <c r="F2043">
        <v>0</v>
      </c>
      <c r="G2043">
        <v>45</v>
      </c>
      <c r="H2043">
        <v>136</v>
      </c>
      <c r="I2043">
        <v>927</v>
      </c>
      <c r="J2043">
        <v>1</v>
      </c>
      <c r="K2043">
        <v>6</v>
      </c>
      <c r="L2043">
        <v>10</v>
      </c>
      <c r="M2043">
        <v>6</v>
      </c>
      <c r="N2043">
        <v>5</v>
      </c>
    </row>
    <row r="2044" spans="1:14" hidden="1" x14ac:dyDescent="0.3">
      <c r="A2044">
        <v>2366</v>
      </c>
      <c r="B2044">
        <v>7</v>
      </c>
      <c r="C2044">
        <v>452</v>
      </c>
      <c r="D2044">
        <v>0</v>
      </c>
      <c r="E2044">
        <v>217</v>
      </c>
      <c r="F2044">
        <v>37</v>
      </c>
      <c r="G2044">
        <v>20</v>
      </c>
      <c r="H2044">
        <v>203</v>
      </c>
      <c r="I2044">
        <v>523</v>
      </c>
      <c r="J2044">
        <v>6</v>
      </c>
      <c r="K2044">
        <v>4</v>
      </c>
      <c r="L2044">
        <v>4</v>
      </c>
      <c r="M2044">
        <v>3</v>
      </c>
      <c r="N2044">
        <v>5</v>
      </c>
    </row>
    <row r="2045" spans="1:14" hidden="1" x14ac:dyDescent="0.3">
      <c r="A2045">
        <v>2701</v>
      </c>
      <c r="B2045">
        <v>7</v>
      </c>
      <c r="C2045">
        <v>650</v>
      </c>
      <c r="D2045">
        <v>7</v>
      </c>
      <c r="E2045">
        <v>187</v>
      </c>
      <c r="F2045">
        <v>0</v>
      </c>
      <c r="G2045">
        <v>0</v>
      </c>
      <c r="H2045">
        <v>0</v>
      </c>
      <c r="I2045">
        <v>844</v>
      </c>
      <c r="J2045">
        <v>5</v>
      </c>
      <c r="K2045">
        <v>4</v>
      </c>
      <c r="L2045">
        <v>1</v>
      </c>
      <c r="M2045">
        <v>6</v>
      </c>
      <c r="N2045">
        <v>8</v>
      </c>
    </row>
    <row r="2046" spans="1:14" hidden="1" x14ac:dyDescent="0.3">
      <c r="A2046">
        <v>2750</v>
      </c>
      <c r="B2046">
        <v>7</v>
      </c>
      <c r="C2046">
        <v>650</v>
      </c>
      <c r="D2046">
        <v>7</v>
      </c>
      <c r="E2046">
        <v>187</v>
      </c>
      <c r="F2046">
        <v>0</v>
      </c>
      <c r="G2046">
        <v>0</v>
      </c>
      <c r="H2046">
        <v>0</v>
      </c>
      <c r="I2046">
        <v>844</v>
      </c>
      <c r="J2046">
        <v>5</v>
      </c>
      <c r="K2046">
        <v>4</v>
      </c>
      <c r="L2046">
        <v>1</v>
      </c>
      <c r="M2046">
        <v>6</v>
      </c>
      <c r="N2046">
        <v>8</v>
      </c>
    </row>
    <row r="2047" spans="1:14" hidden="1" x14ac:dyDescent="0.3">
      <c r="A2047">
        <v>1979</v>
      </c>
      <c r="B2047">
        <v>7</v>
      </c>
      <c r="C2047">
        <v>1111</v>
      </c>
      <c r="D2047">
        <v>72</v>
      </c>
      <c r="E2047">
        <v>845</v>
      </c>
      <c r="F2047">
        <v>376</v>
      </c>
      <c r="G2047">
        <v>119</v>
      </c>
      <c r="H2047">
        <v>185</v>
      </c>
      <c r="I2047">
        <v>2337</v>
      </c>
      <c r="J2047">
        <v>3</v>
      </c>
      <c r="K2047">
        <v>8</v>
      </c>
      <c r="L2047">
        <v>8</v>
      </c>
      <c r="M2047">
        <v>6</v>
      </c>
      <c r="N2047">
        <v>6</v>
      </c>
    </row>
    <row r="2048" spans="1:14" hidden="1" x14ac:dyDescent="0.3">
      <c r="A2048">
        <v>2047</v>
      </c>
      <c r="B2048">
        <v>7</v>
      </c>
      <c r="C2048">
        <v>1165</v>
      </c>
      <c r="D2048">
        <v>257</v>
      </c>
      <c r="E2048">
        <v>1490</v>
      </c>
      <c r="F2048">
        <v>294</v>
      </c>
      <c r="G2048">
        <v>97</v>
      </c>
      <c r="H2048">
        <v>323</v>
      </c>
      <c r="I2048">
        <v>2979</v>
      </c>
      <c r="J2048">
        <v>1</v>
      </c>
      <c r="K2048">
        <v>4</v>
      </c>
      <c r="L2048">
        <v>10</v>
      </c>
      <c r="M2048">
        <v>8</v>
      </c>
      <c r="N2048">
        <v>1</v>
      </c>
    </row>
    <row r="2049" spans="1:14" hidden="1" x14ac:dyDescent="0.3">
      <c r="A2049">
        <v>1374</v>
      </c>
      <c r="B2049">
        <v>7</v>
      </c>
      <c r="C2049">
        <v>1252</v>
      </c>
      <c r="D2049">
        <v>282</v>
      </c>
      <c r="E2049">
        <v>1656</v>
      </c>
      <c r="F2049">
        <v>70</v>
      </c>
      <c r="G2049">
        <v>282</v>
      </c>
      <c r="H2049">
        <v>120</v>
      </c>
      <c r="I2049">
        <v>3422</v>
      </c>
      <c r="J2049">
        <v>0</v>
      </c>
      <c r="K2049">
        <v>5</v>
      </c>
      <c r="L2049">
        <v>6</v>
      </c>
      <c r="M2049">
        <v>8</v>
      </c>
      <c r="N2049">
        <v>1</v>
      </c>
    </row>
    <row r="2050" spans="1:14" hidden="1" x14ac:dyDescent="0.3">
      <c r="A2050">
        <v>1870</v>
      </c>
      <c r="B2050">
        <v>7</v>
      </c>
      <c r="C2050">
        <v>2103</v>
      </c>
      <c r="D2050">
        <v>148</v>
      </c>
      <c r="E2050">
        <v>511</v>
      </c>
      <c r="F2050">
        <v>193</v>
      </c>
      <c r="G2050">
        <v>89</v>
      </c>
      <c r="H2050">
        <v>118</v>
      </c>
      <c r="I2050">
        <v>2925</v>
      </c>
      <c r="J2050">
        <v>2</v>
      </c>
      <c r="K2050">
        <v>2</v>
      </c>
      <c r="L2050">
        <v>6</v>
      </c>
      <c r="M2050">
        <v>10</v>
      </c>
      <c r="N2050">
        <v>5</v>
      </c>
    </row>
    <row r="2051" spans="1:14" hidden="1" x14ac:dyDescent="0.3">
      <c r="A2051">
        <v>2615</v>
      </c>
      <c r="B2051">
        <v>6</v>
      </c>
      <c r="C2051">
        <v>38</v>
      </c>
      <c r="D2051">
        <v>4</v>
      </c>
      <c r="E2051">
        <v>21</v>
      </c>
      <c r="F2051">
        <v>17</v>
      </c>
      <c r="G2051">
        <v>21</v>
      </c>
      <c r="H2051">
        <v>30</v>
      </c>
      <c r="I2051">
        <v>73</v>
      </c>
      <c r="J2051">
        <v>1</v>
      </c>
      <c r="K2051">
        <v>1</v>
      </c>
      <c r="L2051">
        <v>0</v>
      </c>
      <c r="M2051">
        <v>3</v>
      </c>
      <c r="N2051">
        <v>7</v>
      </c>
    </row>
    <row r="2052" spans="1:14" hidden="1" x14ac:dyDescent="0.3">
      <c r="A2052">
        <v>3122</v>
      </c>
      <c r="B2052">
        <v>6</v>
      </c>
      <c r="C2052">
        <v>38</v>
      </c>
      <c r="D2052">
        <v>4</v>
      </c>
      <c r="E2052">
        <v>21</v>
      </c>
      <c r="F2052">
        <v>17</v>
      </c>
      <c r="G2052">
        <v>21</v>
      </c>
      <c r="H2052">
        <v>30</v>
      </c>
      <c r="I2052">
        <v>73</v>
      </c>
      <c r="J2052">
        <v>1</v>
      </c>
      <c r="K2052">
        <v>1</v>
      </c>
      <c r="L2052">
        <v>0</v>
      </c>
      <c r="M2052">
        <v>3</v>
      </c>
      <c r="N2052">
        <v>7</v>
      </c>
    </row>
    <row r="2053" spans="1:14" hidden="1" x14ac:dyDescent="0.3">
      <c r="A2053">
        <v>1281</v>
      </c>
      <c r="B2053">
        <v>6</v>
      </c>
      <c r="C2053">
        <v>39</v>
      </c>
      <c r="D2053">
        <v>4</v>
      </c>
      <c r="E2053">
        <v>13</v>
      </c>
      <c r="F2053">
        <v>0</v>
      </c>
      <c r="G2053">
        <v>17</v>
      </c>
      <c r="H2053">
        <v>35</v>
      </c>
      <c r="I2053">
        <v>39</v>
      </c>
      <c r="J2053">
        <v>1</v>
      </c>
      <c r="K2053">
        <v>0</v>
      </c>
      <c r="L2053">
        <v>0</v>
      </c>
      <c r="M2053">
        <v>3</v>
      </c>
      <c r="N2053">
        <v>6</v>
      </c>
    </row>
    <row r="2054" spans="1:14" hidden="1" x14ac:dyDescent="0.3">
      <c r="A2054">
        <v>3001</v>
      </c>
      <c r="B2054">
        <v>6</v>
      </c>
      <c r="C2054">
        <v>39</v>
      </c>
      <c r="D2054">
        <v>4</v>
      </c>
      <c r="E2054">
        <v>13</v>
      </c>
      <c r="F2054">
        <v>0</v>
      </c>
      <c r="G2054">
        <v>17</v>
      </c>
      <c r="H2054">
        <v>35</v>
      </c>
      <c r="I2054">
        <v>39</v>
      </c>
      <c r="J2054">
        <v>1</v>
      </c>
      <c r="K2054">
        <v>0</v>
      </c>
      <c r="L2054">
        <v>0</v>
      </c>
      <c r="M2054">
        <v>3</v>
      </c>
      <c r="N2054">
        <v>6</v>
      </c>
    </row>
    <row r="2055" spans="1:14" hidden="1" x14ac:dyDescent="0.3">
      <c r="A2055">
        <v>1307</v>
      </c>
      <c r="B2055">
        <v>6</v>
      </c>
      <c r="C2055">
        <v>50</v>
      </c>
      <c r="D2055">
        <v>0</v>
      </c>
      <c r="E2055">
        <v>9</v>
      </c>
      <c r="F2055">
        <v>0</v>
      </c>
      <c r="G2055">
        <v>0</v>
      </c>
      <c r="H2055">
        <v>3</v>
      </c>
      <c r="I2055">
        <v>56</v>
      </c>
      <c r="J2055">
        <v>1</v>
      </c>
      <c r="K2055">
        <v>1</v>
      </c>
      <c r="L2055">
        <v>0</v>
      </c>
      <c r="M2055">
        <v>2</v>
      </c>
      <c r="N2055">
        <v>7</v>
      </c>
    </row>
    <row r="2056" spans="1:14" hidden="1" x14ac:dyDescent="0.3">
      <c r="A2056">
        <v>1486</v>
      </c>
      <c r="B2056">
        <v>6</v>
      </c>
      <c r="C2056">
        <v>82</v>
      </c>
      <c r="D2056">
        <v>184</v>
      </c>
      <c r="E2056">
        <v>107</v>
      </c>
      <c r="F2056">
        <v>102</v>
      </c>
      <c r="G2056">
        <v>317</v>
      </c>
      <c r="H2056">
        <v>553</v>
      </c>
      <c r="I2056">
        <v>241</v>
      </c>
      <c r="J2056">
        <v>1</v>
      </c>
      <c r="K2056">
        <v>4</v>
      </c>
      <c r="L2056">
        <v>1</v>
      </c>
      <c r="M2056">
        <v>3</v>
      </c>
      <c r="N2056">
        <v>8</v>
      </c>
    </row>
    <row r="2057" spans="1:14" hidden="1" x14ac:dyDescent="0.3">
      <c r="A2057">
        <v>2018</v>
      </c>
      <c r="B2057">
        <v>6</v>
      </c>
      <c r="C2057">
        <v>214</v>
      </c>
      <c r="D2057">
        <v>0</v>
      </c>
      <c r="E2057">
        <v>50</v>
      </c>
      <c r="F2057">
        <v>0</v>
      </c>
      <c r="G2057">
        <v>0</v>
      </c>
      <c r="H2057">
        <v>25</v>
      </c>
      <c r="I2057">
        <v>240</v>
      </c>
      <c r="J2057">
        <v>3</v>
      </c>
      <c r="K2057">
        <v>2</v>
      </c>
      <c r="L2057">
        <v>0</v>
      </c>
      <c r="M2057">
        <v>4</v>
      </c>
      <c r="N2057">
        <v>7</v>
      </c>
    </row>
    <row r="2058" spans="1:14" hidden="1" x14ac:dyDescent="0.3">
      <c r="A2058">
        <v>2979</v>
      </c>
      <c r="B2058">
        <v>6</v>
      </c>
      <c r="C2058">
        <v>214</v>
      </c>
      <c r="D2058">
        <v>0</v>
      </c>
      <c r="E2058">
        <v>50</v>
      </c>
      <c r="F2058">
        <v>0</v>
      </c>
      <c r="G2058">
        <v>0</v>
      </c>
      <c r="H2058">
        <v>25</v>
      </c>
      <c r="I2058">
        <v>240</v>
      </c>
      <c r="J2058">
        <v>3</v>
      </c>
      <c r="K2058">
        <v>2</v>
      </c>
      <c r="L2058">
        <v>0</v>
      </c>
      <c r="M2058">
        <v>4</v>
      </c>
      <c r="N2058">
        <v>7</v>
      </c>
    </row>
    <row r="2059" spans="1:14" hidden="1" x14ac:dyDescent="0.3">
      <c r="A2059">
        <v>2680</v>
      </c>
      <c r="B2059">
        <v>6</v>
      </c>
      <c r="C2059">
        <v>253</v>
      </c>
      <c r="D2059">
        <v>22</v>
      </c>
      <c r="E2059">
        <v>250</v>
      </c>
      <c r="F2059">
        <v>7</v>
      </c>
      <c r="G2059">
        <v>11</v>
      </c>
      <c r="H2059">
        <v>11</v>
      </c>
      <c r="I2059">
        <v>532</v>
      </c>
      <c r="J2059">
        <v>3</v>
      </c>
      <c r="K2059">
        <v>3</v>
      </c>
      <c r="L2059">
        <v>1</v>
      </c>
      <c r="M2059">
        <v>4</v>
      </c>
      <c r="N2059">
        <v>7</v>
      </c>
    </row>
    <row r="2060" spans="1:14" hidden="1" x14ac:dyDescent="0.3">
      <c r="A2060">
        <v>1620</v>
      </c>
      <c r="B2060">
        <v>6</v>
      </c>
      <c r="C2060">
        <v>336</v>
      </c>
      <c r="D2060">
        <v>286</v>
      </c>
      <c r="E2060">
        <v>192</v>
      </c>
      <c r="F2060">
        <v>22</v>
      </c>
      <c r="G2060">
        <v>122</v>
      </c>
      <c r="H2060">
        <v>133</v>
      </c>
      <c r="I2060">
        <v>826</v>
      </c>
      <c r="J2060">
        <v>1</v>
      </c>
      <c r="K2060">
        <v>4</v>
      </c>
      <c r="L2060">
        <v>2</v>
      </c>
      <c r="M2060">
        <v>7</v>
      </c>
      <c r="N2060">
        <v>4</v>
      </c>
    </row>
    <row r="2061" spans="1:14" hidden="1" x14ac:dyDescent="0.3">
      <c r="A2061">
        <v>2718</v>
      </c>
      <c r="B2061">
        <v>6</v>
      </c>
      <c r="C2061">
        <v>734</v>
      </c>
      <c r="D2061">
        <v>56</v>
      </c>
      <c r="E2061">
        <v>1819</v>
      </c>
      <c r="F2061">
        <v>199</v>
      </c>
      <c r="G2061">
        <v>63</v>
      </c>
      <c r="H2061">
        <v>463</v>
      </c>
      <c r="I2061">
        <v>2408</v>
      </c>
      <c r="J2061">
        <v>1</v>
      </c>
      <c r="K2061">
        <v>6</v>
      </c>
      <c r="L2061">
        <v>5</v>
      </c>
      <c r="M2061">
        <v>13</v>
      </c>
      <c r="N2061">
        <v>4</v>
      </c>
    </row>
    <row r="2062" spans="1:14" hidden="1" x14ac:dyDescent="0.3">
      <c r="A2062">
        <v>1602</v>
      </c>
      <c r="B2062">
        <v>6</v>
      </c>
      <c r="C2062">
        <v>765</v>
      </c>
      <c r="D2062">
        <v>34</v>
      </c>
      <c r="E2062">
        <v>355</v>
      </c>
      <c r="F2062">
        <v>81</v>
      </c>
      <c r="G2062">
        <v>47</v>
      </c>
      <c r="H2062">
        <v>111</v>
      </c>
      <c r="I2062">
        <v>1172</v>
      </c>
      <c r="J2062">
        <v>5</v>
      </c>
      <c r="K2062">
        <v>1</v>
      </c>
      <c r="L2062">
        <v>2</v>
      </c>
      <c r="M2062">
        <v>9</v>
      </c>
      <c r="N2062">
        <v>2</v>
      </c>
    </row>
    <row r="2063" spans="1:14" hidden="1" x14ac:dyDescent="0.3">
      <c r="A2063">
        <v>1495</v>
      </c>
      <c r="B2063">
        <v>6</v>
      </c>
      <c r="C2063">
        <v>865</v>
      </c>
      <c r="D2063">
        <v>221</v>
      </c>
      <c r="E2063">
        <v>799</v>
      </c>
      <c r="F2063">
        <v>229</v>
      </c>
      <c r="G2063">
        <v>154</v>
      </c>
      <c r="H2063">
        <v>242</v>
      </c>
      <c r="I2063">
        <v>2026</v>
      </c>
      <c r="J2063">
        <v>1</v>
      </c>
      <c r="K2063">
        <v>6</v>
      </c>
      <c r="L2063">
        <v>4</v>
      </c>
      <c r="M2063">
        <v>12</v>
      </c>
      <c r="N2063">
        <v>3</v>
      </c>
    </row>
    <row r="2064" spans="1:14" hidden="1" x14ac:dyDescent="0.3">
      <c r="A2064">
        <v>2180</v>
      </c>
      <c r="B2064">
        <v>6</v>
      </c>
      <c r="C2064">
        <v>917</v>
      </c>
      <c r="D2064">
        <v>382</v>
      </c>
      <c r="E2064">
        <v>304</v>
      </c>
      <c r="F2064">
        <v>697</v>
      </c>
      <c r="G2064">
        <v>406</v>
      </c>
      <c r="H2064">
        <v>178</v>
      </c>
      <c r="I2064">
        <v>2528</v>
      </c>
      <c r="J2064">
        <v>3</v>
      </c>
      <c r="K2064">
        <v>6</v>
      </c>
      <c r="L2064">
        <v>6</v>
      </c>
      <c r="M2064">
        <v>12</v>
      </c>
      <c r="N2064">
        <v>5</v>
      </c>
    </row>
    <row r="2065" spans="1:14" hidden="1" x14ac:dyDescent="0.3">
      <c r="A2065">
        <v>2761</v>
      </c>
      <c r="B2065">
        <v>6</v>
      </c>
      <c r="C2065">
        <v>1142</v>
      </c>
      <c r="D2065">
        <v>0</v>
      </c>
      <c r="E2065">
        <v>115</v>
      </c>
      <c r="F2065">
        <v>33</v>
      </c>
      <c r="G2065">
        <v>24</v>
      </c>
      <c r="H2065">
        <v>210</v>
      </c>
      <c r="I2065">
        <v>1105</v>
      </c>
      <c r="J2065">
        <v>5</v>
      </c>
      <c r="K2065">
        <v>6</v>
      </c>
      <c r="L2065">
        <v>3</v>
      </c>
      <c r="M2065">
        <v>6</v>
      </c>
      <c r="N2065">
        <v>6</v>
      </c>
    </row>
    <row r="2066" spans="1:14" hidden="1" x14ac:dyDescent="0.3">
      <c r="A2066">
        <v>2694</v>
      </c>
      <c r="B2066">
        <v>6</v>
      </c>
      <c r="C2066">
        <v>1296</v>
      </c>
      <c r="D2066">
        <v>171</v>
      </c>
      <c r="E2066">
        <v>516</v>
      </c>
      <c r="F2066">
        <v>28</v>
      </c>
      <c r="G2066">
        <v>149</v>
      </c>
      <c r="H2066">
        <v>300</v>
      </c>
      <c r="I2066">
        <v>1859</v>
      </c>
      <c r="J2066">
        <v>4</v>
      </c>
      <c r="K2066">
        <v>7</v>
      </c>
      <c r="L2066">
        <v>5</v>
      </c>
      <c r="M2066">
        <v>9</v>
      </c>
      <c r="N2066">
        <v>6</v>
      </c>
    </row>
    <row r="2067" spans="1:14" hidden="1" x14ac:dyDescent="0.3">
      <c r="A2067">
        <v>1341</v>
      </c>
      <c r="B2067">
        <v>6</v>
      </c>
      <c r="C2067">
        <v>1380</v>
      </c>
      <c r="D2067">
        <v>157</v>
      </c>
      <c r="E2067">
        <v>1932</v>
      </c>
      <c r="F2067">
        <v>207</v>
      </c>
      <c r="G2067">
        <v>315</v>
      </c>
      <c r="H2067">
        <v>118</v>
      </c>
      <c r="I2067">
        <v>3873</v>
      </c>
      <c r="J2067">
        <v>1</v>
      </c>
      <c r="K2067">
        <v>3</v>
      </c>
      <c r="L2067">
        <v>3</v>
      </c>
      <c r="M2067">
        <v>8</v>
      </c>
      <c r="N2067">
        <v>1</v>
      </c>
    </row>
    <row r="2068" spans="1:14" hidden="1" x14ac:dyDescent="0.3">
      <c r="A2068">
        <v>1748</v>
      </c>
      <c r="B2068">
        <v>6</v>
      </c>
      <c r="C2068">
        <v>1477</v>
      </c>
      <c r="D2068">
        <v>241</v>
      </c>
      <c r="E2068">
        <v>723</v>
      </c>
      <c r="F2068">
        <v>315</v>
      </c>
      <c r="G2068">
        <v>330</v>
      </c>
      <c r="H2068">
        <v>300</v>
      </c>
      <c r="I2068">
        <v>2786</v>
      </c>
      <c r="J2068">
        <v>1</v>
      </c>
      <c r="K2068">
        <v>11</v>
      </c>
      <c r="L2068">
        <v>5</v>
      </c>
      <c r="M2068">
        <v>12</v>
      </c>
      <c r="N2068">
        <v>6</v>
      </c>
    </row>
    <row r="2069" spans="1:14" hidden="1" x14ac:dyDescent="0.3">
      <c r="A2069">
        <v>1910</v>
      </c>
      <c r="B2069">
        <v>6</v>
      </c>
      <c r="C2069">
        <v>1871</v>
      </c>
      <c r="D2069">
        <v>197</v>
      </c>
      <c r="E2069">
        <v>1147</v>
      </c>
      <c r="F2069">
        <v>42</v>
      </c>
      <c r="G2069">
        <v>32</v>
      </c>
      <c r="H2069">
        <v>197</v>
      </c>
      <c r="I2069">
        <v>3092</v>
      </c>
      <c r="J2069">
        <v>1</v>
      </c>
      <c r="K2069">
        <v>6</v>
      </c>
      <c r="L2069">
        <v>9</v>
      </c>
      <c r="M2069">
        <v>5</v>
      </c>
      <c r="N2069">
        <v>3</v>
      </c>
    </row>
    <row r="2070" spans="1:14" hidden="1" x14ac:dyDescent="0.3">
      <c r="A2070">
        <v>3056</v>
      </c>
      <c r="B2070">
        <v>6</v>
      </c>
      <c r="C2070">
        <v>1881</v>
      </c>
      <c r="D2070">
        <v>164</v>
      </c>
      <c r="E2070">
        <v>856</v>
      </c>
      <c r="F2070">
        <v>257</v>
      </c>
      <c r="G2070">
        <v>164</v>
      </c>
      <c r="H2070">
        <v>97</v>
      </c>
      <c r="I2070">
        <v>3226</v>
      </c>
      <c r="J2070">
        <v>1</v>
      </c>
      <c r="K2070">
        <v>6</v>
      </c>
      <c r="L2070">
        <v>9</v>
      </c>
      <c r="M2070">
        <v>7</v>
      </c>
      <c r="N2070">
        <v>2</v>
      </c>
    </row>
    <row r="2071" spans="1:14" hidden="1" x14ac:dyDescent="0.3">
      <c r="A2071">
        <v>1971</v>
      </c>
      <c r="B2071">
        <v>6</v>
      </c>
      <c r="C2071">
        <v>2809</v>
      </c>
      <c r="D2071">
        <v>37</v>
      </c>
      <c r="E2071">
        <v>674</v>
      </c>
      <c r="F2071">
        <v>98</v>
      </c>
      <c r="G2071">
        <v>150</v>
      </c>
      <c r="H2071">
        <v>111</v>
      </c>
      <c r="I2071">
        <v>3656</v>
      </c>
      <c r="J2071">
        <v>1</v>
      </c>
      <c r="K2071">
        <v>2</v>
      </c>
      <c r="L2071">
        <v>4</v>
      </c>
      <c r="M2071">
        <v>10</v>
      </c>
      <c r="N2071">
        <v>1</v>
      </c>
    </row>
    <row r="2072" spans="1:14" hidden="1" x14ac:dyDescent="0.3">
      <c r="A2072">
        <v>1076</v>
      </c>
      <c r="B2072">
        <v>5</v>
      </c>
      <c r="C2072">
        <v>19</v>
      </c>
      <c r="D2072">
        <v>5</v>
      </c>
      <c r="E2072">
        <v>24</v>
      </c>
      <c r="F2072">
        <v>10</v>
      </c>
      <c r="G2072">
        <v>0</v>
      </c>
      <c r="H2072">
        <v>19</v>
      </c>
      <c r="I2072">
        <v>38</v>
      </c>
      <c r="J2072">
        <v>1</v>
      </c>
      <c r="K2072">
        <v>1</v>
      </c>
      <c r="L2072">
        <v>0</v>
      </c>
      <c r="M2072">
        <v>2</v>
      </c>
      <c r="N2072">
        <v>7</v>
      </c>
    </row>
    <row r="2073" spans="1:14" hidden="1" x14ac:dyDescent="0.3">
      <c r="A2073">
        <v>1766</v>
      </c>
      <c r="B2073">
        <v>5</v>
      </c>
      <c r="C2073">
        <v>24</v>
      </c>
      <c r="D2073">
        <v>71</v>
      </c>
      <c r="E2073">
        <v>29</v>
      </c>
      <c r="F2073">
        <v>18</v>
      </c>
      <c r="G2073">
        <v>94</v>
      </c>
      <c r="H2073">
        <v>100</v>
      </c>
      <c r="I2073">
        <v>136</v>
      </c>
      <c r="J2073">
        <v>2</v>
      </c>
      <c r="K2073">
        <v>2</v>
      </c>
      <c r="L2073">
        <v>0</v>
      </c>
      <c r="M2073">
        <v>3</v>
      </c>
      <c r="N2073">
        <v>7</v>
      </c>
    </row>
    <row r="2074" spans="1:14" hidden="1" x14ac:dyDescent="0.3">
      <c r="A2074">
        <v>3074</v>
      </c>
      <c r="B2074">
        <v>5</v>
      </c>
      <c r="C2074">
        <v>24</v>
      </c>
      <c r="D2074">
        <v>71</v>
      </c>
      <c r="E2074">
        <v>29</v>
      </c>
      <c r="F2074">
        <v>18</v>
      </c>
      <c r="G2074">
        <v>94</v>
      </c>
      <c r="H2074">
        <v>100</v>
      </c>
      <c r="I2074">
        <v>136</v>
      </c>
      <c r="J2074">
        <v>2</v>
      </c>
      <c r="K2074">
        <v>2</v>
      </c>
      <c r="L2074">
        <v>0</v>
      </c>
      <c r="M2074">
        <v>3</v>
      </c>
      <c r="N2074">
        <v>7</v>
      </c>
    </row>
    <row r="2075" spans="1:14" hidden="1" x14ac:dyDescent="0.3">
      <c r="A2075">
        <v>2357</v>
      </c>
      <c r="B2075">
        <v>5</v>
      </c>
      <c r="C2075">
        <v>28</v>
      </c>
      <c r="D2075">
        <v>74</v>
      </c>
      <c r="E2075">
        <v>80</v>
      </c>
      <c r="F2075">
        <v>0</v>
      </c>
      <c r="G2075">
        <v>28</v>
      </c>
      <c r="H2075">
        <v>176</v>
      </c>
      <c r="I2075">
        <v>34</v>
      </c>
      <c r="J2075">
        <v>2</v>
      </c>
      <c r="K2075">
        <v>2</v>
      </c>
      <c r="L2075">
        <v>1</v>
      </c>
      <c r="M2075">
        <v>2</v>
      </c>
      <c r="N2075">
        <v>6</v>
      </c>
    </row>
    <row r="2076" spans="1:14" hidden="1" x14ac:dyDescent="0.3">
      <c r="A2076">
        <v>1193</v>
      </c>
      <c r="B2076">
        <v>5</v>
      </c>
      <c r="C2076">
        <v>38</v>
      </c>
      <c r="D2076">
        <v>25</v>
      </c>
      <c r="E2076">
        <v>6</v>
      </c>
      <c r="F2076">
        <v>44</v>
      </c>
      <c r="G2076">
        <v>13</v>
      </c>
      <c r="H2076">
        <v>94</v>
      </c>
      <c r="I2076">
        <v>31</v>
      </c>
      <c r="J2076">
        <v>1</v>
      </c>
      <c r="K2076">
        <v>0</v>
      </c>
      <c r="L2076">
        <v>1</v>
      </c>
      <c r="M2076">
        <v>2</v>
      </c>
      <c r="N2076">
        <v>6</v>
      </c>
    </row>
    <row r="2077" spans="1:14" hidden="1" x14ac:dyDescent="0.3">
      <c r="A2077">
        <v>2522</v>
      </c>
      <c r="B2077">
        <v>5</v>
      </c>
      <c r="C2077">
        <v>43</v>
      </c>
      <c r="D2077">
        <v>51</v>
      </c>
      <c r="E2077">
        <v>51</v>
      </c>
      <c r="F2077">
        <v>107</v>
      </c>
      <c r="G2077">
        <v>4</v>
      </c>
      <c r="H2077">
        <v>86</v>
      </c>
      <c r="I2077">
        <v>172</v>
      </c>
      <c r="J2077">
        <v>1</v>
      </c>
      <c r="K2077">
        <v>2</v>
      </c>
      <c r="L2077">
        <v>0</v>
      </c>
      <c r="M2077">
        <v>3</v>
      </c>
      <c r="N2077">
        <v>6</v>
      </c>
    </row>
    <row r="2078" spans="1:14" hidden="1" x14ac:dyDescent="0.3">
      <c r="A2078">
        <v>2280</v>
      </c>
      <c r="B2078">
        <v>5</v>
      </c>
      <c r="C2078">
        <v>86</v>
      </c>
      <c r="D2078">
        <v>72</v>
      </c>
      <c r="E2078">
        <v>57</v>
      </c>
      <c r="F2078">
        <v>186</v>
      </c>
      <c r="G2078">
        <v>57</v>
      </c>
      <c r="H2078">
        <v>358</v>
      </c>
      <c r="I2078">
        <v>100</v>
      </c>
      <c r="J2078">
        <v>4</v>
      </c>
      <c r="K2078">
        <v>2</v>
      </c>
      <c r="L2078">
        <v>1</v>
      </c>
      <c r="M2078">
        <v>3</v>
      </c>
      <c r="N2078">
        <v>6</v>
      </c>
    </row>
    <row r="2079" spans="1:14" hidden="1" x14ac:dyDescent="0.3">
      <c r="A2079">
        <v>2673</v>
      </c>
      <c r="B2079">
        <v>5</v>
      </c>
      <c r="C2079">
        <v>99</v>
      </c>
      <c r="D2079">
        <v>0</v>
      </c>
      <c r="E2079">
        <v>7</v>
      </c>
      <c r="F2079">
        <v>0</v>
      </c>
      <c r="G2079">
        <v>0</v>
      </c>
      <c r="H2079">
        <v>3</v>
      </c>
      <c r="I2079">
        <v>102</v>
      </c>
      <c r="J2079">
        <v>1</v>
      </c>
      <c r="K2079">
        <v>1</v>
      </c>
      <c r="L2079">
        <v>0</v>
      </c>
      <c r="M2079">
        <v>3</v>
      </c>
      <c r="N2079">
        <v>7</v>
      </c>
    </row>
    <row r="2080" spans="1:14" hidden="1" x14ac:dyDescent="0.3">
      <c r="A2080">
        <v>2516</v>
      </c>
      <c r="B2080">
        <v>5</v>
      </c>
      <c r="C2080">
        <v>136</v>
      </c>
      <c r="D2080">
        <v>17</v>
      </c>
      <c r="E2080">
        <v>99</v>
      </c>
      <c r="F2080">
        <v>17</v>
      </c>
      <c r="G2080">
        <v>8</v>
      </c>
      <c r="H2080">
        <v>21</v>
      </c>
      <c r="I2080">
        <v>256</v>
      </c>
      <c r="J2080">
        <v>2</v>
      </c>
      <c r="K2080">
        <v>3</v>
      </c>
      <c r="L2080">
        <v>0</v>
      </c>
      <c r="M2080">
        <v>4</v>
      </c>
      <c r="N2080">
        <v>7</v>
      </c>
    </row>
    <row r="2081" spans="1:14" hidden="1" x14ac:dyDescent="0.3">
      <c r="A2081">
        <v>1239</v>
      </c>
      <c r="B2081">
        <v>5</v>
      </c>
      <c r="C2081">
        <v>332</v>
      </c>
      <c r="D2081">
        <v>292</v>
      </c>
      <c r="E2081">
        <v>876</v>
      </c>
      <c r="F2081">
        <v>63</v>
      </c>
      <c r="G2081">
        <v>339</v>
      </c>
      <c r="H2081">
        <v>292</v>
      </c>
      <c r="I2081">
        <v>1611</v>
      </c>
      <c r="J2081">
        <v>1</v>
      </c>
      <c r="K2081">
        <v>6</v>
      </c>
      <c r="L2081">
        <v>9</v>
      </c>
      <c r="M2081">
        <v>13</v>
      </c>
      <c r="N2081">
        <v>2</v>
      </c>
    </row>
    <row r="2082" spans="1:14" hidden="1" x14ac:dyDescent="0.3">
      <c r="A2082">
        <v>1840</v>
      </c>
      <c r="B2082">
        <v>5</v>
      </c>
      <c r="C2082">
        <v>1300</v>
      </c>
      <c r="D2082">
        <v>43</v>
      </c>
      <c r="E2082">
        <v>758</v>
      </c>
      <c r="F2082">
        <v>63</v>
      </c>
      <c r="G2082">
        <v>65</v>
      </c>
      <c r="H2082">
        <v>72</v>
      </c>
      <c r="I2082">
        <v>2158</v>
      </c>
      <c r="J2082">
        <v>1</v>
      </c>
      <c r="K2082">
        <v>6</v>
      </c>
      <c r="L2082">
        <v>9</v>
      </c>
      <c r="M2082">
        <v>10</v>
      </c>
      <c r="N2082">
        <v>2</v>
      </c>
    </row>
    <row r="2083" spans="1:14" hidden="1" x14ac:dyDescent="0.3">
      <c r="A2083">
        <v>2663</v>
      </c>
      <c r="B2083">
        <v>5</v>
      </c>
      <c r="C2083">
        <v>1338</v>
      </c>
      <c r="D2083">
        <v>71</v>
      </c>
      <c r="E2083">
        <v>559</v>
      </c>
      <c r="F2083">
        <v>315</v>
      </c>
      <c r="G2083">
        <v>217</v>
      </c>
      <c r="H2083">
        <v>217</v>
      </c>
      <c r="I2083">
        <v>2282</v>
      </c>
      <c r="J2083">
        <v>4</v>
      </c>
      <c r="K2083">
        <v>8</v>
      </c>
      <c r="L2083">
        <v>3</v>
      </c>
      <c r="M2083">
        <v>12</v>
      </c>
      <c r="N2083">
        <v>6</v>
      </c>
    </row>
    <row r="2084" spans="1:14" hidden="1" x14ac:dyDescent="0.3">
      <c r="A2084">
        <v>3003</v>
      </c>
      <c r="B2084">
        <v>5</v>
      </c>
      <c r="C2084">
        <v>1562</v>
      </c>
      <c r="D2084">
        <v>24</v>
      </c>
      <c r="E2084">
        <v>670</v>
      </c>
      <c r="F2084">
        <v>96</v>
      </c>
      <c r="G2084">
        <v>147</v>
      </c>
      <c r="H2084">
        <v>126</v>
      </c>
      <c r="I2084">
        <v>2373</v>
      </c>
      <c r="J2084">
        <v>4</v>
      </c>
      <c r="K2084">
        <v>10</v>
      </c>
      <c r="L2084">
        <v>5</v>
      </c>
      <c r="M2084">
        <v>7</v>
      </c>
      <c r="N2084">
        <v>8</v>
      </c>
    </row>
    <row r="2085" spans="1:14" hidden="1" x14ac:dyDescent="0.3">
      <c r="A2085">
        <v>3063</v>
      </c>
      <c r="B2085">
        <v>5</v>
      </c>
      <c r="C2085">
        <v>1562</v>
      </c>
      <c r="D2085">
        <v>24</v>
      </c>
      <c r="E2085">
        <v>670</v>
      </c>
      <c r="F2085">
        <v>96</v>
      </c>
      <c r="G2085">
        <v>147</v>
      </c>
      <c r="H2085">
        <v>126</v>
      </c>
      <c r="I2085">
        <v>2373</v>
      </c>
      <c r="J2085">
        <v>4</v>
      </c>
      <c r="K2085">
        <v>10</v>
      </c>
      <c r="L2085">
        <v>5</v>
      </c>
      <c r="M2085">
        <v>7</v>
      </c>
      <c r="N2085">
        <v>8</v>
      </c>
    </row>
    <row r="2086" spans="1:14" hidden="1" x14ac:dyDescent="0.3">
      <c r="A2086">
        <v>2504</v>
      </c>
      <c r="B2086">
        <v>5</v>
      </c>
      <c r="C2086">
        <v>1843</v>
      </c>
      <c r="D2086">
        <v>113</v>
      </c>
      <c r="E2086">
        <v>1317</v>
      </c>
      <c r="F2086">
        <v>99</v>
      </c>
      <c r="G2086">
        <v>414</v>
      </c>
      <c r="H2086">
        <v>113</v>
      </c>
      <c r="I2086">
        <v>3673</v>
      </c>
      <c r="J2086">
        <v>1</v>
      </c>
      <c r="K2086">
        <v>4</v>
      </c>
      <c r="L2086">
        <v>6</v>
      </c>
      <c r="M2086">
        <v>4</v>
      </c>
      <c r="N2086">
        <v>3</v>
      </c>
    </row>
    <row r="2087" spans="1:14" hidden="1" x14ac:dyDescent="0.3">
      <c r="A2087">
        <v>2257</v>
      </c>
      <c r="B2087">
        <v>4</v>
      </c>
      <c r="C2087">
        <v>11</v>
      </c>
      <c r="D2087">
        <v>7</v>
      </c>
      <c r="E2087">
        <v>40</v>
      </c>
      <c r="F2087">
        <v>7</v>
      </c>
      <c r="G2087">
        <v>7</v>
      </c>
      <c r="H2087">
        <v>37</v>
      </c>
      <c r="I2087">
        <v>37</v>
      </c>
      <c r="J2087">
        <v>1</v>
      </c>
      <c r="K2087">
        <v>1</v>
      </c>
      <c r="L2087">
        <v>0</v>
      </c>
      <c r="M2087">
        <v>2</v>
      </c>
      <c r="N2087">
        <v>6</v>
      </c>
    </row>
    <row r="2088" spans="1:14" hidden="1" x14ac:dyDescent="0.3">
      <c r="A2088">
        <v>1041</v>
      </c>
      <c r="B2088">
        <v>4</v>
      </c>
      <c r="C2088">
        <v>50</v>
      </c>
      <c r="D2088">
        <v>0</v>
      </c>
      <c r="E2088">
        <v>33</v>
      </c>
      <c r="F2088">
        <v>17</v>
      </c>
      <c r="G2088">
        <v>6</v>
      </c>
      <c r="H2088">
        <v>17</v>
      </c>
      <c r="I2088">
        <v>89</v>
      </c>
      <c r="J2088">
        <v>1</v>
      </c>
      <c r="K2088">
        <v>0</v>
      </c>
      <c r="L2088">
        <v>0</v>
      </c>
      <c r="M2088">
        <v>3</v>
      </c>
      <c r="N2088">
        <v>5</v>
      </c>
    </row>
    <row r="2089" spans="1:14" hidden="1" x14ac:dyDescent="0.3">
      <c r="A2089">
        <v>2960</v>
      </c>
      <c r="B2089">
        <v>4</v>
      </c>
      <c r="C2089">
        <v>50</v>
      </c>
      <c r="D2089">
        <v>0</v>
      </c>
      <c r="E2089">
        <v>33</v>
      </c>
      <c r="F2089">
        <v>17</v>
      </c>
      <c r="G2089">
        <v>6</v>
      </c>
      <c r="H2089">
        <v>17</v>
      </c>
      <c r="I2089">
        <v>89</v>
      </c>
      <c r="J2089">
        <v>1</v>
      </c>
      <c r="K2089">
        <v>0</v>
      </c>
      <c r="L2089">
        <v>0</v>
      </c>
      <c r="M2089">
        <v>3</v>
      </c>
      <c r="N2089">
        <v>5</v>
      </c>
    </row>
    <row r="2090" spans="1:14" hidden="1" x14ac:dyDescent="0.3">
      <c r="A2090">
        <v>2552</v>
      </c>
      <c r="B2090">
        <v>4</v>
      </c>
      <c r="C2090">
        <v>112</v>
      </c>
      <c r="D2090">
        <v>10</v>
      </c>
      <c r="E2090">
        <v>215</v>
      </c>
      <c r="F2090">
        <v>32</v>
      </c>
      <c r="G2090">
        <v>26</v>
      </c>
      <c r="H2090">
        <v>77</v>
      </c>
      <c r="I2090">
        <v>318</v>
      </c>
      <c r="J2090">
        <v>1</v>
      </c>
      <c r="K2090">
        <v>3</v>
      </c>
      <c r="L2090">
        <v>1</v>
      </c>
      <c r="M2090">
        <v>3</v>
      </c>
      <c r="N2090">
        <v>6</v>
      </c>
    </row>
    <row r="2091" spans="1:14" hidden="1" x14ac:dyDescent="0.3">
      <c r="A2091">
        <v>1544</v>
      </c>
      <c r="B2091">
        <v>4</v>
      </c>
      <c r="C2091">
        <v>121</v>
      </c>
      <c r="D2091">
        <v>32</v>
      </c>
      <c r="E2091">
        <v>48</v>
      </c>
      <c r="F2091">
        <v>32</v>
      </c>
      <c r="G2091">
        <v>32</v>
      </c>
      <c r="H2091">
        <v>48</v>
      </c>
      <c r="I2091">
        <v>217</v>
      </c>
      <c r="J2091">
        <v>1</v>
      </c>
      <c r="K2091">
        <v>2</v>
      </c>
      <c r="L2091">
        <v>0</v>
      </c>
      <c r="M2091">
        <v>4</v>
      </c>
      <c r="N2091">
        <v>5</v>
      </c>
    </row>
    <row r="2092" spans="1:14" hidden="1" x14ac:dyDescent="0.3">
      <c r="A2092">
        <v>2493</v>
      </c>
      <c r="B2092">
        <v>4</v>
      </c>
      <c r="C2092">
        <v>121</v>
      </c>
      <c r="D2092">
        <v>32</v>
      </c>
      <c r="E2092">
        <v>48</v>
      </c>
      <c r="F2092">
        <v>32</v>
      </c>
      <c r="G2092">
        <v>32</v>
      </c>
      <c r="H2092">
        <v>48</v>
      </c>
      <c r="I2092">
        <v>217</v>
      </c>
      <c r="J2092">
        <v>1</v>
      </c>
      <c r="K2092">
        <v>2</v>
      </c>
      <c r="L2092">
        <v>0</v>
      </c>
      <c r="M2092">
        <v>4</v>
      </c>
      <c r="N2092">
        <v>5</v>
      </c>
    </row>
    <row r="2093" spans="1:14" hidden="1" x14ac:dyDescent="0.3">
      <c r="A2093">
        <v>1161</v>
      </c>
      <c r="B2093">
        <v>4</v>
      </c>
      <c r="C2093">
        <v>253</v>
      </c>
      <c r="D2093">
        <v>21</v>
      </c>
      <c r="E2093">
        <v>72</v>
      </c>
      <c r="F2093">
        <v>6</v>
      </c>
      <c r="G2093">
        <v>9</v>
      </c>
      <c r="H2093">
        <v>81</v>
      </c>
      <c r="I2093">
        <v>280</v>
      </c>
      <c r="J2093">
        <v>1</v>
      </c>
      <c r="K2093">
        <v>3</v>
      </c>
      <c r="L2093">
        <v>1</v>
      </c>
      <c r="M2093">
        <v>3</v>
      </c>
      <c r="N2093">
        <v>6</v>
      </c>
    </row>
    <row r="2094" spans="1:14" hidden="1" x14ac:dyDescent="0.3">
      <c r="A2094">
        <v>2378</v>
      </c>
      <c r="B2094">
        <v>4</v>
      </c>
      <c r="C2094">
        <v>354</v>
      </c>
      <c r="D2094">
        <v>4</v>
      </c>
      <c r="E2094">
        <v>150</v>
      </c>
      <c r="F2094">
        <v>22</v>
      </c>
      <c r="G2094">
        <v>7</v>
      </c>
      <c r="H2094">
        <v>150</v>
      </c>
      <c r="I2094">
        <v>387</v>
      </c>
      <c r="J2094">
        <v>2</v>
      </c>
      <c r="K2094">
        <v>4</v>
      </c>
      <c r="L2094">
        <v>1</v>
      </c>
      <c r="M2094">
        <v>3</v>
      </c>
      <c r="N2094">
        <v>7</v>
      </c>
    </row>
    <row r="2095" spans="1:14" hidden="1" x14ac:dyDescent="0.3">
      <c r="A2095">
        <v>1538</v>
      </c>
      <c r="B2095">
        <v>4</v>
      </c>
      <c r="C2095">
        <v>398</v>
      </c>
      <c r="D2095">
        <v>62</v>
      </c>
      <c r="E2095">
        <v>1156</v>
      </c>
      <c r="F2095">
        <v>247</v>
      </c>
      <c r="G2095">
        <v>274</v>
      </c>
      <c r="H2095">
        <v>105</v>
      </c>
      <c r="I2095">
        <v>2033</v>
      </c>
      <c r="J2095">
        <v>1</v>
      </c>
      <c r="K2095">
        <v>3</v>
      </c>
      <c r="L2095">
        <v>8</v>
      </c>
      <c r="M2095">
        <v>13</v>
      </c>
      <c r="N2095">
        <v>1</v>
      </c>
    </row>
    <row r="2096" spans="1:14" hidden="1" x14ac:dyDescent="0.3">
      <c r="A2096">
        <v>1026</v>
      </c>
      <c r="B2096">
        <v>4</v>
      </c>
      <c r="C2096">
        <v>497</v>
      </c>
      <c r="D2096">
        <v>11</v>
      </c>
      <c r="E2096">
        <v>86</v>
      </c>
      <c r="F2096">
        <v>9</v>
      </c>
      <c r="G2096">
        <v>17</v>
      </c>
      <c r="H2096">
        <v>118</v>
      </c>
      <c r="I2096">
        <v>503</v>
      </c>
      <c r="J2096">
        <v>4</v>
      </c>
      <c r="K2096">
        <v>5</v>
      </c>
      <c r="L2096">
        <v>1</v>
      </c>
      <c r="M2096">
        <v>4</v>
      </c>
      <c r="N2096">
        <v>7</v>
      </c>
    </row>
    <row r="2097" spans="1:14" hidden="1" x14ac:dyDescent="0.3">
      <c r="A2097">
        <v>1064</v>
      </c>
      <c r="B2097">
        <v>4</v>
      </c>
      <c r="C2097">
        <v>604</v>
      </c>
      <c r="D2097">
        <v>120</v>
      </c>
      <c r="E2097">
        <v>389</v>
      </c>
      <c r="F2097">
        <v>17</v>
      </c>
      <c r="G2097">
        <v>201</v>
      </c>
      <c r="H2097">
        <v>267</v>
      </c>
      <c r="I2097">
        <v>1065</v>
      </c>
      <c r="J2097">
        <v>1</v>
      </c>
      <c r="K2097">
        <v>5</v>
      </c>
      <c r="L2097">
        <v>2</v>
      </c>
      <c r="M2097">
        <v>10</v>
      </c>
      <c r="N2097">
        <v>4</v>
      </c>
    </row>
    <row r="2098" spans="1:14" hidden="1" x14ac:dyDescent="0.3">
      <c r="A2098">
        <v>1146</v>
      </c>
      <c r="B2098">
        <v>4</v>
      </c>
      <c r="C2098">
        <v>636</v>
      </c>
      <c r="D2098">
        <v>18</v>
      </c>
      <c r="E2098">
        <v>207</v>
      </c>
      <c r="F2098">
        <v>12</v>
      </c>
      <c r="G2098">
        <v>36</v>
      </c>
      <c r="H2098">
        <v>9</v>
      </c>
      <c r="I2098">
        <v>900</v>
      </c>
      <c r="J2098">
        <v>3</v>
      </c>
      <c r="K2098">
        <v>6</v>
      </c>
      <c r="L2098">
        <v>1</v>
      </c>
      <c r="M2098">
        <v>5</v>
      </c>
      <c r="N2098">
        <v>7</v>
      </c>
    </row>
    <row r="2099" spans="1:14" hidden="1" x14ac:dyDescent="0.3">
      <c r="A2099">
        <v>3006</v>
      </c>
      <c r="B2099">
        <v>4</v>
      </c>
      <c r="C2099">
        <v>784</v>
      </c>
      <c r="D2099">
        <v>87</v>
      </c>
      <c r="E2099">
        <v>801</v>
      </c>
      <c r="F2099">
        <v>114</v>
      </c>
      <c r="G2099">
        <v>17</v>
      </c>
      <c r="H2099">
        <v>356</v>
      </c>
      <c r="I2099">
        <v>1448</v>
      </c>
      <c r="J2099">
        <v>3</v>
      </c>
      <c r="K2099">
        <v>7</v>
      </c>
      <c r="L2099">
        <v>2</v>
      </c>
      <c r="M2099">
        <v>11</v>
      </c>
      <c r="N2099">
        <v>5</v>
      </c>
    </row>
    <row r="2100" spans="1:14" hidden="1" x14ac:dyDescent="0.3">
      <c r="A2100">
        <v>2055</v>
      </c>
      <c r="B2100">
        <v>4</v>
      </c>
      <c r="C2100">
        <v>906</v>
      </c>
      <c r="D2100">
        <v>31</v>
      </c>
      <c r="E2100">
        <v>94</v>
      </c>
      <c r="F2100">
        <v>13</v>
      </c>
      <c r="G2100">
        <v>31</v>
      </c>
      <c r="H2100">
        <v>393</v>
      </c>
      <c r="I2100">
        <v>683</v>
      </c>
      <c r="J2100">
        <v>1</v>
      </c>
      <c r="K2100">
        <v>6</v>
      </c>
      <c r="L2100">
        <v>1</v>
      </c>
      <c r="M2100">
        <v>6</v>
      </c>
      <c r="N2100">
        <v>6</v>
      </c>
    </row>
    <row r="2101" spans="1:14" hidden="1" x14ac:dyDescent="0.3">
      <c r="A2101">
        <v>2970</v>
      </c>
      <c r="B2101">
        <v>4</v>
      </c>
      <c r="C2101">
        <v>912</v>
      </c>
      <c r="D2101">
        <v>43</v>
      </c>
      <c r="E2101">
        <v>254</v>
      </c>
      <c r="F2101">
        <v>106</v>
      </c>
      <c r="G2101">
        <v>206</v>
      </c>
      <c r="H2101">
        <v>126</v>
      </c>
      <c r="I2101">
        <v>1394</v>
      </c>
      <c r="J2101">
        <v>0</v>
      </c>
      <c r="K2101">
        <v>7</v>
      </c>
      <c r="L2101">
        <v>6</v>
      </c>
      <c r="M2101">
        <v>8</v>
      </c>
      <c r="N2101">
        <v>2</v>
      </c>
    </row>
    <row r="2102" spans="1:14" hidden="1" x14ac:dyDescent="0.3">
      <c r="A2102">
        <v>2101</v>
      </c>
      <c r="B2102">
        <v>4</v>
      </c>
      <c r="C2102">
        <v>921</v>
      </c>
      <c r="D2102">
        <v>68</v>
      </c>
      <c r="E2102">
        <v>520</v>
      </c>
      <c r="F2102">
        <v>203</v>
      </c>
      <c r="G2102">
        <v>68</v>
      </c>
      <c r="H2102">
        <v>51</v>
      </c>
      <c r="I2102">
        <v>1728</v>
      </c>
      <c r="J2102">
        <v>2</v>
      </c>
      <c r="K2102">
        <v>6</v>
      </c>
      <c r="L2102">
        <v>5</v>
      </c>
      <c r="M2102">
        <v>9</v>
      </c>
      <c r="N2102">
        <v>3</v>
      </c>
    </row>
    <row r="2103" spans="1:14" hidden="1" x14ac:dyDescent="0.3">
      <c r="A2103">
        <v>1572</v>
      </c>
      <c r="B2103">
        <v>4</v>
      </c>
      <c r="C2103">
        <v>1140</v>
      </c>
      <c r="D2103">
        <v>11</v>
      </c>
      <c r="E2103">
        <v>86</v>
      </c>
      <c r="F2103">
        <v>17</v>
      </c>
      <c r="G2103">
        <v>11</v>
      </c>
      <c r="H2103">
        <v>86</v>
      </c>
      <c r="I2103">
        <v>1180</v>
      </c>
      <c r="J2103">
        <v>3</v>
      </c>
      <c r="K2103">
        <v>7</v>
      </c>
      <c r="L2103">
        <v>1</v>
      </c>
      <c r="M2103">
        <v>7</v>
      </c>
      <c r="N2103">
        <v>7</v>
      </c>
    </row>
    <row r="2104" spans="1:14" hidden="1" x14ac:dyDescent="0.3">
      <c r="A2104">
        <v>1033</v>
      </c>
      <c r="B2104">
        <v>4</v>
      </c>
      <c r="C2104">
        <v>1184</v>
      </c>
      <c r="D2104">
        <v>84</v>
      </c>
      <c r="E2104">
        <v>1157</v>
      </c>
      <c r="F2104">
        <v>292</v>
      </c>
      <c r="G2104">
        <v>167</v>
      </c>
      <c r="H2104">
        <v>54</v>
      </c>
      <c r="I2104">
        <v>2830</v>
      </c>
      <c r="J2104">
        <v>1</v>
      </c>
      <c r="K2104">
        <v>3</v>
      </c>
      <c r="L2104">
        <v>5</v>
      </c>
      <c r="M2104">
        <v>9</v>
      </c>
      <c r="N2104">
        <v>7</v>
      </c>
    </row>
    <row r="2105" spans="1:14" hidden="1" x14ac:dyDescent="0.3">
      <c r="A2105">
        <v>2515</v>
      </c>
      <c r="B2105">
        <v>4</v>
      </c>
      <c r="C2105">
        <v>1204</v>
      </c>
      <c r="D2105">
        <v>108</v>
      </c>
      <c r="E2105">
        <v>1261</v>
      </c>
      <c r="F2105">
        <v>215</v>
      </c>
      <c r="G2105">
        <v>0</v>
      </c>
      <c r="H2105">
        <v>245</v>
      </c>
      <c r="I2105">
        <v>2543</v>
      </c>
      <c r="J2105">
        <v>3</v>
      </c>
      <c r="K2105">
        <v>11</v>
      </c>
      <c r="L2105">
        <v>2</v>
      </c>
      <c r="M2105">
        <v>12</v>
      </c>
      <c r="N2105">
        <v>7</v>
      </c>
    </row>
    <row r="2106" spans="1:14" hidden="1" x14ac:dyDescent="0.3">
      <c r="A2106">
        <v>3119</v>
      </c>
      <c r="B2106">
        <v>4</v>
      </c>
      <c r="C2106">
        <v>1213</v>
      </c>
      <c r="D2106">
        <v>78</v>
      </c>
      <c r="E2106">
        <v>2076</v>
      </c>
      <c r="F2106">
        <v>560</v>
      </c>
      <c r="G2106">
        <v>117</v>
      </c>
      <c r="H2106">
        <v>313</v>
      </c>
      <c r="I2106">
        <v>3731</v>
      </c>
      <c r="J2106">
        <v>2</v>
      </c>
      <c r="K2106">
        <v>5</v>
      </c>
      <c r="L2106">
        <v>3</v>
      </c>
      <c r="M2106">
        <v>6</v>
      </c>
      <c r="N2106">
        <v>4</v>
      </c>
    </row>
    <row r="2107" spans="1:14" hidden="1" x14ac:dyDescent="0.3">
      <c r="A2107">
        <v>2789</v>
      </c>
      <c r="B2107">
        <v>4</v>
      </c>
      <c r="C2107">
        <v>1268</v>
      </c>
      <c r="D2107">
        <v>165</v>
      </c>
      <c r="E2107">
        <v>716</v>
      </c>
      <c r="F2107">
        <v>358</v>
      </c>
      <c r="G2107">
        <v>329</v>
      </c>
      <c r="H2107">
        <v>358</v>
      </c>
      <c r="I2107">
        <v>2478</v>
      </c>
      <c r="J2107">
        <v>3</v>
      </c>
      <c r="K2107">
        <v>5</v>
      </c>
      <c r="L2107">
        <v>4</v>
      </c>
      <c r="M2107">
        <v>8</v>
      </c>
      <c r="N2107">
        <v>2</v>
      </c>
    </row>
    <row r="2108" spans="1:14" hidden="1" x14ac:dyDescent="0.3">
      <c r="A2108">
        <v>3134</v>
      </c>
      <c r="B2108">
        <v>4</v>
      </c>
      <c r="C2108">
        <v>1268</v>
      </c>
      <c r="D2108">
        <v>165</v>
      </c>
      <c r="E2108">
        <v>716</v>
      </c>
      <c r="F2108">
        <v>358</v>
      </c>
      <c r="G2108">
        <v>329</v>
      </c>
      <c r="H2108">
        <v>358</v>
      </c>
      <c r="I2108">
        <v>2478</v>
      </c>
      <c r="J2108">
        <v>3</v>
      </c>
      <c r="K2108">
        <v>5</v>
      </c>
      <c r="L2108">
        <v>4</v>
      </c>
      <c r="M2108">
        <v>8</v>
      </c>
      <c r="N2108">
        <v>2</v>
      </c>
    </row>
    <row r="2109" spans="1:14" hidden="1" x14ac:dyDescent="0.3">
      <c r="A2109">
        <v>2312</v>
      </c>
      <c r="B2109">
        <v>4</v>
      </c>
      <c r="C2109">
        <v>1706</v>
      </c>
      <c r="D2109">
        <v>86</v>
      </c>
      <c r="E2109">
        <v>521</v>
      </c>
      <c r="F2109">
        <v>413</v>
      </c>
      <c r="G2109">
        <v>230</v>
      </c>
      <c r="H2109">
        <v>403</v>
      </c>
      <c r="I2109">
        <v>2553</v>
      </c>
      <c r="J2109">
        <v>3</v>
      </c>
      <c r="K2109">
        <v>7</v>
      </c>
      <c r="L2109">
        <v>4</v>
      </c>
      <c r="M2109">
        <v>7</v>
      </c>
      <c r="N2109">
        <v>4</v>
      </c>
    </row>
    <row r="2110" spans="1:14" hidden="1" x14ac:dyDescent="0.3">
      <c r="A2110">
        <v>1403</v>
      </c>
      <c r="B2110">
        <v>4</v>
      </c>
      <c r="C2110">
        <v>1824</v>
      </c>
      <c r="D2110">
        <v>0</v>
      </c>
      <c r="E2110">
        <v>302</v>
      </c>
      <c r="F2110">
        <v>57</v>
      </c>
      <c r="G2110">
        <v>0</v>
      </c>
      <c r="H2110">
        <v>85</v>
      </c>
      <c r="I2110">
        <v>2099</v>
      </c>
      <c r="J2110">
        <v>9</v>
      </c>
      <c r="K2110">
        <v>10</v>
      </c>
      <c r="L2110">
        <v>2</v>
      </c>
      <c r="M2110">
        <v>8</v>
      </c>
      <c r="N2110">
        <v>8</v>
      </c>
    </row>
    <row r="2111" spans="1:14" hidden="1" x14ac:dyDescent="0.3">
      <c r="A2111">
        <v>1131</v>
      </c>
      <c r="B2111">
        <v>4</v>
      </c>
      <c r="C2111">
        <v>1872</v>
      </c>
      <c r="D2111">
        <v>0</v>
      </c>
      <c r="E2111">
        <v>588</v>
      </c>
      <c r="F2111">
        <v>33</v>
      </c>
      <c r="G2111">
        <v>51</v>
      </c>
      <c r="H2111">
        <v>127</v>
      </c>
      <c r="I2111">
        <v>2417</v>
      </c>
      <c r="J2111">
        <v>2</v>
      </c>
      <c r="K2111">
        <v>3</v>
      </c>
      <c r="L2111">
        <v>5</v>
      </c>
      <c r="M2111">
        <v>7</v>
      </c>
      <c r="N2111">
        <v>7</v>
      </c>
    </row>
    <row r="2112" spans="1:14" hidden="1" x14ac:dyDescent="0.3">
      <c r="A2112">
        <v>1470</v>
      </c>
      <c r="B2112">
        <v>4</v>
      </c>
      <c r="C2112">
        <v>1872</v>
      </c>
      <c r="D2112">
        <v>0</v>
      </c>
      <c r="E2112">
        <v>588</v>
      </c>
      <c r="F2112">
        <v>33</v>
      </c>
      <c r="G2112">
        <v>51</v>
      </c>
      <c r="H2112">
        <v>127</v>
      </c>
      <c r="I2112">
        <v>2417</v>
      </c>
      <c r="J2112">
        <v>2</v>
      </c>
      <c r="K2112">
        <v>3</v>
      </c>
      <c r="L2112">
        <v>5</v>
      </c>
      <c r="M2112">
        <v>7</v>
      </c>
      <c r="N2112">
        <v>7</v>
      </c>
    </row>
    <row r="2113" spans="1:14" hidden="1" x14ac:dyDescent="0.3">
      <c r="A2113">
        <v>2850</v>
      </c>
      <c r="B2113">
        <v>3</v>
      </c>
      <c r="C2113">
        <v>5</v>
      </c>
      <c r="D2113">
        <v>42</v>
      </c>
      <c r="E2113">
        <v>31</v>
      </c>
      <c r="F2113">
        <v>21</v>
      </c>
      <c r="G2113">
        <v>42</v>
      </c>
      <c r="H2113">
        <v>83</v>
      </c>
      <c r="I2113">
        <v>57</v>
      </c>
      <c r="J2113">
        <v>1</v>
      </c>
      <c r="K2113">
        <v>1</v>
      </c>
      <c r="L2113">
        <v>0</v>
      </c>
      <c r="M2113">
        <v>3</v>
      </c>
      <c r="N2113">
        <v>7</v>
      </c>
    </row>
    <row r="2114" spans="1:14" hidden="1" x14ac:dyDescent="0.3">
      <c r="A2114">
        <v>2727</v>
      </c>
      <c r="B2114">
        <v>3</v>
      </c>
      <c r="C2114">
        <v>12</v>
      </c>
      <c r="D2114">
        <v>17</v>
      </c>
      <c r="E2114">
        <v>29</v>
      </c>
      <c r="F2114">
        <v>62</v>
      </c>
      <c r="G2114">
        <v>33</v>
      </c>
      <c r="H2114">
        <v>46</v>
      </c>
      <c r="I2114">
        <v>108</v>
      </c>
      <c r="J2114">
        <v>1</v>
      </c>
      <c r="K2114">
        <v>1</v>
      </c>
      <c r="L2114">
        <v>0</v>
      </c>
      <c r="M2114">
        <v>3</v>
      </c>
      <c r="N2114">
        <v>7</v>
      </c>
    </row>
    <row r="2115" spans="1:14" hidden="1" x14ac:dyDescent="0.3">
      <c r="A2115">
        <v>2067</v>
      </c>
      <c r="B2115">
        <v>3</v>
      </c>
      <c r="C2115">
        <v>21</v>
      </c>
      <c r="D2115">
        <v>5</v>
      </c>
      <c r="E2115">
        <v>36</v>
      </c>
      <c r="F2115">
        <v>10</v>
      </c>
      <c r="G2115">
        <v>5</v>
      </c>
      <c r="H2115">
        <v>10</v>
      </c>
      <c r="I2115">
        <v>67</v>
      </c>
      <c r="J2115">
        <v>2</v>
      </c>
      <c r="K2115">
        <v>1</v>
      </c>
      <c r="L2115">
        <v>0</v>
      </c>
      <c r="M2115">
        <v>3</v>
      </c>
      <c r="N2115">
        <v>4</v>
      </c>
    </row>
    <row r="2116" spans="1:14" hidden="1" x14ac:dyDescent="0.3">
      <c r="A2116">
        <v>1618</v>
      </c>
      <c r="B2116">
        <v>3</v>
      </c>
      <c r="C2116">
        <v>44</v>
      </c>
      <c r="D2116">
        <v>0</v>
      </c>
      <c r="E2116">
        <v>3</v>
      </c>
      <c r="F2116">
        <v>0</v>
      </c>
      <c r="G2116">
        <v>0</v>
      </c>
      <c r="H2116">
        <v>3</v>
      </c>
      <c r="I2116">
        <v>44</v>
      </c>
      <c r="J2116">
        <v>1</v>
      </c>
      <c r="K2116">
        <v>1</v>
      </c>
      <c r="L2116">
        <v>0</v>
      </c>
      <c r="M2116">
        <v>2</v>
      </c>
      <c r="N2116">
        <v>7</v>
      </c>
    </row>
    <row r="2117" spans="1:14" hidden="1" x14ac:dyDescent="0.3">
      <c r="A2117">
        <v>2395</v>
      </c>
      <c r="B2117">
        <v>3</v>
      </c>
      <c r="C2117">
        <v>101</v>
      </c>
      <c r="D2117">
        <v>15</v>
      </c>
      <c r="E2117">
        <v>81</v>
      </c>
      <c r="F2117">
        <v>0</v>
      </c>
      <c r="G2117">
        <v>20</v>
      </c>
      <c r="H2117">
        <v>5</v>
      </c>
      <c r="I2117">
        <v>212</v>
      </c>
      <c r="J2117">
        <v>3</v>
      </c>
      <c r="K2117">
        <v>2</v>
      </c>
      <c r="L2117">
        <v>0</v>
      </c>
      <c r="M2117">
        <v>4</v>
      </c>
      <c r="N2117">
        <v>6</v>
      </c>
    </row>
    <row r="2118" spans="1:14" hidden="1" x14ac:dyDescent="0.3">
      <c r="A2118">
        <v>1312</v>
      </c>
      <c r="B2118">
        <v>3</v>
      </c>
      <c r="C2118">
        <v>103</v>
      </c>
      <c r="D2118">
        <v>5</v>
      </c>
      <c r="E2118">
        <v>51</v>
      </c>
      <c r="F2118">
        <v>0</v>
      </c>
      <c r="G2118">
        <v>5</v>
      </c>
      <c r="H2118">
        <v>9</v>
      </c>
      <c r="I2118">
        <v>154</v>
      </c>
      <c r="J2118">
        <v>1</v>
      </c>
      <c r="K2118">
        <v>1</v>
      </c>
      <c r="L2118">
        <v>0</v>
      </c>
      <c r="M2118">
        <v>3</v>
      </c>
      <c r="N2118">
        <v>7</v>
      </c>
    </row>
    <row r="2119" spans="1:14" hidden="1" x14ac:dyDescent="0.3">
      <c r="A2119">
        <v>1148</v>
      </c>
      <c r="B2119">
        <v>3</v>
      </c>
      <c r="C2119">
        <v>118</v>
      </c>
      <c r="D2119">
        <v>31</v>
      </c>
      <c r="E2119">
        <v>160</v>
      </c>
      <c r="F2119">
        <v>28</v>
      </c>
      <c r="G2119">
        <v>79</v>
      </c>
      <c r="H2119">
        <v>39</v>
      </c>
      <c r="I2119">
        <v>376</v>
      </c>
      <c r="J2119">
        <v>1</v>
      </c>
      <c r="K2119">
        <v>1</v>
      </c>
      <c r="L2119">
        <v>1</v>
      </c>
      <c r="M2119">
        <v>6</v>
      </c>
      <c r="N2119">
        <v>2</v>
      </c>
    </row>
    <row r="2120" spans="1:14" hidden="1" x14ac:dyDescent="0.3">
      <c r="A2120">
        <v>2958</v>
      </c>
      <c r="B2120">
        <v>3</v>
      </c>
      <c r="C2120">
        <v>168</v>
      </c>
      <c r="D2120">
        <v>3</v>
      </c>
      <c r="E2120">
        <v>119</v>
      </c>
      <c r="F2120">
        <v>16</v>
      </c>
      <c r="G2120">
        <v>14</v>
      </c>
      <c r="H2120">
        <v>60</v>
      </c>
      <c r="I2120">
        <v>260</v>
      </c>
      <c r="J2120">
        <v>1</v>
      </c>
      <c r="K2120">
        <v>2</v>
      </c>
      <c r="L2120">
        <v>1</v>
      </c>
      <c r="M2120">
        <v>4</v>
      </c>
      <c r="N2120">
        <v>4</v>
      </c>
    </row>
    <row r="2121" spans="1:14" hidden="1" x14ac:dyDescent="0.3">
      <c r="A2121">
        <v>3075</v>
      </c>
      <c r="B2121">
        <v>3</v>
      </c>
      <c r="C2121">
        <v>168</v>
      </c>
      <c r="D2121">
        <v>3</v>
      </c>
      <c r="E2121">
        <v>119</v>
      </c>
      <c r="F2121">
        <v>16</v>
      </c>
      <c r="G2121">
        <v>14</v>
      </c>
      <c r="H2121">
        <v>60</v>
      </c>
      <c r="I2121">
        <v>260</v>
      </c>
      <c r="J2121">
        <v>1</v>
      </c>
      <c r="K2121">
        <v>2</v>
      </c>
      <c r="L2121">
        <v>1</v>
      </c>
      <c r="M2121">
        <v>4</v>
      </c>
      <c r="N2121">
        <v>4</v>
      </c>
    </row>
    <row r="2122" spans="1:14" hidden="1" x14ac:dyDescent="0.3">
      <c r="A2122">
        <v>1675</v>
      </c>
      <c r="B2122">
        <v>3</v>
      </c>
      <c r="C2122">
        <v>208</v>
      </c>
      <c r="D2122">
        <v>3</v>
      </c>
      <c r="E2122">
        <v>62</v>
      </c>
      <c r="F2122">
        <v>0</v>
      </c>
      <c r="G2122">
        <v>6</v>
      </c>
      <c r="H2122">
        <v>96</v>
      </c>
      <c r="I2122">
        <v>183</v>
      </c>
      <c r="J2122">
        <v>3</v>
      </c>
      <c r="K2122">
        <v>2</v>
      </c>
      <c r="L2122">
        <v>2</v>
      </c>
      <c r="M2122">
        <v>2</v>
      </c>
      <c r="N2122">
        <v>7</v>
      </c>
    </row>
    <row r="2123" spans="1:14" hidden="1" x14ac:dyDescent="0.3">
      <c r="A2123">
        <v>2921</v>
      </c>
      <c r="B2123">
        <v>3</v>
      </c>
      <c r="C2123">
        <v>374</v>
      </c>
      <c r="D2123">
        <v>498</v>
      </c>
      <c r="E2123">
        <v>1185</v>
      </c>
      <c r="F2123">
        <v>529</v>
      </c>
      <c r="G2123">
        <v>67</v>
      </c>
      <c r="H2123">
        <v>374</v>
      </c>
      <c r="I2123">
        <v>2280</v>
      </c>
      <c r="J2123">
        <v>2</v>
      </c>
      <c r="K2123">
        <v>3</v>
      </c>
      <c r="L2123">
        <v>8</v>
      </c>
      <c r="M2123">
        <v>7</v>
      </c>
      <c r="N2123">
        <v>2</v>
      </c>
    </row>
    <row r="2124" spans="1:14" hidden="1" x14ac:dyDescent="0.3">
      <c r="A2124">
        <v>1751</v>
      </c>
      <c r="B2124">
        <v>3</v>
      </c>
      <c r="C2124">
        <v>430</v>
      </c>
      <c r="D2124">
        <v>76</v>
      </c>
      <c r="E2124">
        <v>831</v>
      </c>
      <c r="F2124">
        <v>181</v>
      </c>
      <c r="G2124">
        <v>76</v>
      </c>
      <c r="H2124">
        <v>215</v>
      </c>
      <c r="I2124">
        <v>1380</v>
      </c>
      <c r="J2124">
        <v>2</v>
      </c>
      <c r="K2124">
        <v>5</v>
      </c>
      <c r="L2124">
        <v>2</v>
      </c>
      <c r="M2124">
        <v>12</v>
      </c>
      <c r="N2124">
        <v>2</v>
      </c>
    </row>
    <row r="2125" spans="1:14" hidden="1" x14ac:dyDescent="0.3">
      <c r="A2125">
        <v>2911</v>
      </c>
      <c r="B2125">
        <v>3</v>
      </c>
      <c r="C2125">
        <v>434</v>
      </c>
      <c r="D2125">
        <v>62</v>
      </c>
      <c r="E2125">
        <v>569</v>
      </c>
      <c r="F2125">
        <v>110</v>
      </c>
      <c r="G2125">
        <v>85</v>
      </c>
      <c r="H2125">
        <v>23</v>
      </c>
      <c r="I2125">
        <v>1237</v>
      </c>
      <c r="J2125">
        <v>5</v>
      </c>
      <c r="K2125">
        <v>4</v>
      </c>
      <c r="L2125">
        <v>2</v>
      </c>
      <c r="M2125">
        <v>9</v>
      </c>
      <c r="N2125">
        <v>4</v>
      </c>
    </row>
    <row r="2126" spans="1:14" hidden="1" x14ac:dyDescent="0.3">
      <c r="A2126">
        <v>1670</v>
      </c>
      <c r="B2126">
        <v>3</v>
      </c>
      <c r="C2126">
        <v>634</v>
      </c>
      <c r="D2126">
        <v>210</v>
      </c>
      <c r="E2126">
        <v>1364</v>
      </c>
      <c r="F2126">
        <v>154</v>
      </c>
      <c r="G2126">
        <v>22</v>
      </c>
      <c r="H2126">
        <v>163</v>
      </c>
      <c r="I2126">
        <v>2220</v>
      </c>
      <c r="J2126">
        <v>1</v>
      </c>
      <c r="K2126">
        <v>4</v>
      </c>
      <c r="L2126">
        <v>6</v>
      </c>
      <c r="M2126">
        <v>4</v>
      </c>
      <c r="N2126">
        <v>2</v>
      </c>
    </row>
    <row r="2127" spans="1:14" hidden="1" x14ac:dyDescent="0.3">
      <c r="A2127">
        <v>2309</v>
      </c>
      <c r="B2127">
        <v>3</v>
      </c>
      <c r="C2127">
        <v>827</v>
      </c>
      <c r="D2127">
        <v>127</v>
      </c>
      <c r="E2127">
        <v>1265</v>
      </c>
      <c r="F2127">
        <v>235</v>
      </c>
      <c r="G2127">
        <v>180</v>
      </c>
      <c r="H2127">
        <v>232</v>
      </c>
      <c r="I2127">
        <v>2401</v>
      </c>
      <c r="J2127">
        <v>1</v>
      </c>
      <c r="K2127">
        <v>8</v>
      </c>
      <c r="L2127">
        <v>3</v>
      </c>
      <c r="M2127">
        <v>5</v>
      </c>
      <c r="N2127">
        <v>4</v>
      </c>
    </row>
    <row r="2128" spans="1:14" hidden="1" x14ac:dyDescent="0.3">
      <c r="A2128">
        <v>1082</v>
      </c>
      <c r="B2128">
        <v>3</v>
      </c>
      <c r="C2128">
        <v>872</v>
      </c>
      <c r="D2128">
        <v>18</v>
      </c>
      <c r="E2128">
        <v>110</v>
      </c>
      <c r="F2128">
        <v>0</v>
      </c>
      <c r="G2128">
        <v>9</v>
      </c>
      <c r="H2128">
        <v>101</v>
      </c>
      <c r="I2128">
        <v>907</v>
      </c>
      <c r="J2128">
        <v>4</v>
      </c>
      <c r="K2128">
        <v>6</v>
      </c>
      <c r="L2128">
        <v>1</v>
      </c>
      <c r="M2128">
        <v>6</v>
      </c>
      <c r="N2128">
        <v>7</v>
      </c>
    </row>
    <row r="2129" spans="1:14" hidden="1" x14ac:dyDescent="0.3">
      <c r="A2129">
        <v>1039</v>
      </c>
      <c r="B2129">
        <v>3</v>
      </c>
      <c r="C2129">
        <v>947</v>
      </c>
      <c r="D2129">
        <v>171</v>
      </c>
      <c r="E2129">
        <v>1206</v>
      </c>
      <c r="F2129">
        <v>184</v>
      </c>
      <c r="G2129">
        <v>400</v>
      </c>
      <c r="H2129">
        <v>229</v>
      </c>
      <c r="I2129">
        <v>2680</v>
      </c>
      <c r="J2129">
        <v>2</v>
      </c>
      <c r="K2129">
        <v>8</v>
      </c>
      <c r="L2129">
        <v>6</v>
      </c>
      <c r="M2129">
        <v>5</v>
      </c>
      <c r="N2129">
        <v>4</v>
      </c>
    </row>
    <row r="2130" spans="1:14" hidden="1" x14ac:dyDescent="0.3">
      <c r="A2130">
        <v>2571</v>
      </c>
      <c r="B2130">
        <v>3</v>
      </c>
      <c r="C2130">
        <v>987</v>
      </c>
      <c r="D2130">
        <v>9</v>
      </c>
      <c r="E2130">
        <v>153</v>
      </c>
      <c r="F2130">
        <v>12</v>
      </c>
      <c r="G2130">
        <v>9</v>
      </c>
      <c r="H2130">
        <v>129</v>
      </c>
      <c r="I2130">
        <v>1042</v>
      </c>
      <c r="J2130">
        <v>5</v>
      </c>
      <c r="K2130">
        <v>7</v>
      </c>
      <c r="L2130">
        <v>1</v>
      </c>
      <c r="M2130">
        <v>6</v>
      </c>
      <c r="N2130">
        <v>8</v>
      </c>
    </row>
    <row r="2131" spans="1:14" hidden="1" x14ac:dyDescent="0.3">
      <c r="A2131">
        <v>3145</v>
      </c>
      <c r="B2131">
        <v>3</v>
      </c>
      <c r="C2131">
        <v>987</v>
      </c>
      <c r="D2131">
        <v>9</v>
      </c>
      <c r="E2131">
        <v>153</v>
      </c>
      <c r="F2131">
        <v>12</v>
      </c>
      <c r="G2131">
        <v>9</v>
      </c>
      <c r="H2131">
        <v>129</v>
      </c>
      <c r="I2131">
        <v>1042</v>
      </c>
      <c r="J2131">
        <v>5</v>
      </c>
      <c r="K2131">
        <v>7</v>
      </c>
      <c r="L2131">
        <v>1</v>
      </c>
      <c r="M2131">
        <v>6</v>
      </c>
      <c r="N2131">
        <v>8</v>
      </c>
    </row>
    <row r="2132" spans="1:14" hidden="1" x14ac:dyDescent="0.3">
      <c r="A2132">
        <v>3170</v>
      </c>
      <c r="B2132">
        <v>3</v>
      </c>
      <c r="C2132">
        <v>987</v>
      </c>
      <c r="D2132">
        <v>9</v>
      </c>
      <c r="E2132">
        <v>153</v>
      </c>
      <c r="F2132">
        <v>12</v>
      </c>
      <c r="G2132">
        <v>9</v>
      </c>
      <c r="H2132">
        <v>129</v>
      </c>
      <c r="I2132">
        <v>1042</v>
      </c>
      <c r="J2132">
        <v>5</v>
      </c>
      <c r="K2132">
        <v>7</v>
      </c>
      <c r="L2132">
        <v>1</v>
      </c>
      <c r="M2132">
        <v>6</v>
      </c>
      <c r="N2132">
        <v>8</v>
      </c>
    </row>
    <row r="2133" spans="1:14" hidden="1" x14ac:dyDescent="0.3">
      <c r="A2133">
        <v>2028</v>
      </c>
      <c r="B2133">
        <v>3</v>
      </c>
      <c r="C2133">
        <v>1064</v>
      </c>
      <c r="D2133">
        <v>221</v>
      </c>
      <c r="E2133">
        <v>765</v>
      </c>
      <c r="F2133">
        <v>386</v>
      </c>
      <c r="G2133">
        <v>122</v>
      </c>
      <c r="H2133">
        <v>23</v>
      </c>
      <c r="I2133">
        <v>2535</v>
      </c>
      <c r="J2133">
        <v>1</v>
      </c>
      <c r="K2133">
        <v>7</v>
      </c>
      <c r="L2133">
        <v>7</v>
      </c>
      <c r="M2133">
        <v>12</v>
      </c>
      <c r="N2133">
        <v>3</v>
      </c>
    </row>
    <row r="2134" spans="1:14" hidden="1" x14ac:dyDescent="0.3">
      <c r="A2134">
        <v>2013</v>
      </c>
      <c r="B2134">
        <v>3</v>
      </c>
      <c r="C2134">
        <v>1125</v>
      </c>
      <c r="D2134">
        <v>199</v>
      </c>
      <c r="E2134">
        <v>874</v>
      </c>
      <c r="F2134">
        <v>260</v>
      </c>
      <c r="G2134">
        <v>123</v>
      </c>
      <c r="H2134">
        <v>98</v>
      </c>
      <c r="I2134">
        <v>2483</v>
      </c>
      <c r="J2134">
        <v>1</v>
      </c>
      <c r="K2134">
        <v>4</v>
      </c>
      <c r="L2134">
        <v>4</v>
      </c>
      <c r="M2134">
        <v>7</v>
      </c>
      <c r="N2134">
        <v>2</v>
      </c>
    </row>
    <row r="2135" spans="1:14" hidden="1" x14ac:dyDescent="0.3">
      <c r="A2135">
        <v>2431</v>
      </c>
      <c r="B2135">
        <v>3</v>
      </c>
      <c r="C2135">
        <v>1125</v>
      </c>
      <c r="D2135">
        <v>199</v>
      </c>
      <c r="E2135">
        <v>874</v>
      </c>
      <c r="F2135">
        <v>260</v>
      </c>
      <c r="G2135">
        <v>123</v>
      </c>
      <c r="H2135">
        <v>98</v>
      </c>
      <c r="I2135">
        <v>2483</v>
      </c>
      <c r="J2135">
        <v>1</v>
      </c>
      <c r="K2135">
        <v>4</v>
      </c>
      <c r="L2135">
        <v>4</v>
      </c>
      <c r="M2135">
        <v>7</v>
      </c>
      <c r="N2135">
        <v>2</v>
      </c>
    </row>
    <row r="2136" spans="1:14" hidden="1" x14ac:dyDescent="0.3">
      <c r="A2136">
        <v>1210</v>
      </c>
      <c r="B2136">
        <v>3</v>
      </c>
      <c r="C2136">
        <v>1190</v>
      </c>
      <c r="D2136">
        <v>16</v>
      </c>
      <c r="E2136">
        <v>352</v>
      </c>
      <c r="F2136">
        <v>43</v>
      </c>
      <c r="G2136">
        <v>0</v>
      </c>
      <c r="H2136">
        <v>32</v>
      </c>
      <c r="I2136">
        <v>1570</v>
      </c>
      <c r="J2136">
        <v>2</v>
      </c>
      <c r="K2136">
        <v>6</v>
      </c>
      <c r="L2136">
        <v>3</v>
      </c>
      <c r="M2136">
        <v>11</v>
      </c>
      <c r="N2136">
        <v>3</v>
      </c>
    </row>
    <row r="2137" spans="1:14" hidden="1" x14ac:dyDescent="0.3">
      <c r="A2137">
        <v>2848</v>
      </c>
      <c r="B2137">
        <v>3</v>
      </c>
      <c r="C2137">
        <v>1336</v>
      </c>
      <c r="D2137">
        <v>51</v>
      </c>
      <c r="E2137">
        <v>351</v>
      </c>
      <c r="F2137">
        <v>0</v>
      </c>
      <c r="G2137">
        <v>16</v>
      </c>
      <c r="H2137">
        <v>69</v>
      </c>
      <c r="I2137">
        <v>1684</v>
      </c>
      <c r="J2137">
        <v>6</v>
      </c>
      <c r="K2137">
        <v>6</v>
      </c>
      <c r="L2137">
        <v>2</v>
      </c>
      <c r="M2137">
        <v>11</v>
      </c>
      <c r="N2137">
        <v>6</v>
      </c>
    </row>
    <row r="2138" spans="1:14" hidden="1" x14ac:dyDescent="0.3">
      <c r="A2138">
        <v>2153</v>
      </c>
      <c r="B2138">
        <v>3</v>
      </c>
      <c r="C2138">
        <v>2026</v>
      </c>
      <c r="D2138">
        <v>195</v>
      </c>
      <c r="E2138">
        <v>1284</v>
      </c>
      <c r="F2138">
        <v>202</v>
      </c>
      <c r="G2138">
        <v>232</v>
      </c>
      <c r="H2138">
        <v>77</v>
      </c>
      <c r="I2138">
        <v>3862</v>
      </c>
      <c r="J2138">
        <v>1</v>
      </c>
      <c r="K2138">
        <v>8</v>
      </c>
      <c r="L2138">
        <v>2</v>
      </c>
      <c r="M2138">
        <v>5</v>
      </c>
      <c r="N2138">
        <v>5</v>
      </c>
    </row>
    <row r="2139" spans="1:14" hidden="1" x14ac:dyDescent="0.3">
      <c r="A2139">
        <v>3097</v>
      </c>
      <c r="B2139">
        <v>3</v>
      </c>
      <c r="C2139">
        <v>2255</v>
      </c>
      <c r="D2139">
        <v>160</v>
      </c>
      <c r="E2139">
        <v>740</v>
      </c>
      <c r="F2139">
        <v>0</v>
      </c>
      <c r="G2139">
        <v>63</v>
      </c>
      <c r="H2139">
        <v>30</v>
      </c>
      <c r="I2139">
        <v>3187</v>
      </c>
      <c r="J2139">
        <v>4</v>
      </c>
      <c r="K2139">
        <v>8</v>
      </c>
      <c r="L2139">
        <v>4</v>
      </c>
      <c r="M2139">
        <v>7</v>
      </c>
      <c r="N2139">
        <v>6</v>
      </c>
    </row>
    <row r="2140" spans="1:14" hidden="1" x14ac:dyDescent="0.3">
      <c r="A2140">
        <v>2041</v>
      </c>
      <c r="B2140">
        <v>3</v>
      </c>
      <c r="C2140">
        <v>2848</v>
      </c>
      <c r="D2140">
        <v>0</v>
      </c>
      <c r="E2140">
        <v>117</v>
      </c>
      <c r="F2140">
        <v>0</v>
      </c>
      <c r="G2140">
        <v>0</v>
      </c>
      <c r="H2140">
        <v>88</v>
      </c>
      <c r="I2140">
        <v>2876</v>
      </c>
      <c r="J2140">
        <v>11</v>
      </c>
      <c r="K2140">
        <v>3</v>
      </c>
      <c r="L2140">
        <v>4</v>
      </c>
      <c r="M2140">
        <v>10</v>
      </c>
      <c r="N2140">
        <v>8</v>
      </c>
    </row>
    <row r="2141" spans="1:14" hidden="1" x14ac:dyDescent="0.3">
      <c r="A2141">
        <v>2322</v>
      </c>
      <c r="B2141">
        <v>3</v>
      </c>
      <c r="C2141">
        <v>2848</v>
      </c>
      <c r="D2141">
        <v>0</v>
      </c>
      <c r="E2141">
        <v>117</v>
      </c>
      <c r="F2141">
        <v>0</v>
      </c>
      <c r="G2141">
        <v>0</v>
      </c>
      <c r="H2141">
        <v>88</v>
      </c>
      <c r="I2141">
        <v>2876</v>
      </c>
      <c r="J2141">
        <v>11</v>
      </c>
      <c r="K2141">
        <v>3</v>
      </c>
      <c r="L2141">
        <v>4</v>
      </c>
      <c r="M2141">
        <v>10</v>
      </c>
      <c r="N2141">
        <v>8</v>
      </c>
    </row>
    <row r="2142" spans="1:14" hidden="1" x14ac:dyDescent="0.3">
      <c r="A2142">
        <v>2900</v>
      </c>
      <c r="B2142">
        <v>2</v>
      </c>
      <c r="C2142">
        <v>11</v>
      </c>
      <c r="D2142">
        <v>22</v>
      </c>
      <c r="E2142">
        <v>49</v>
      </c>
      <c r="F2142">
        <v>0</v>
      </c>
      <c r="G2142">
        <v>22</v>
      </c>
      <c r="H2142">
        <v>27</v>
      </c>
      <c r="I2142">
        <v>76</v>
      </c>
      <c r="J2142">
        <v>1</v>
      </c>
      <c r="K2142">
        <v>1</v>
      </c>
      <c r="L2142">
        <v>0</v>
      </c>
      <c r="M2142">
        <v>3</v>
      </c>
      <c r="N2142">
        <v>5</v>
      </c>
    </row>
    <row r="2143" spans="1:14" hidden="1" x14ac:dyDescent="0.3">
      <c r="A2143">
        <v>2495</v>
      </c>
      <c r="B2143">
        <v>2</v>
      </c>
      <c r="C2143">
        <v>14</v>
      </c>
      <c r="D2143">
        <v>79</v>
      </c>
      <c r="E2143">
        <v>121</v>
      </c>
      <c r="F2143">
        <v>93</v>
      </c>
      <c r="G2143">
        <v>5</v>
      </c>
      <c r="H2143">
        <v>182</v>
      </c>
      <c r="I2143">
        <v>131</v>
      </c>
      <c r="J2143">
        <v>2</v>
      </c>
      <c r="K2143">
        <v>2</v>
      </c>
      <c r="L2143">
        <v>0</v>
      </c>
      <c r="M2143">
        <v>3</v>
      </c>
      <c r="N2143">
        <v>9</v>
      </c>
    </row>
    <row r="2144" spans="1:14" hidden="1" x14ac:dyDescent="0.3">
      <c r="A2144">
        <v>1204</v>
      </c>
      <c r="B2144">
        <v>2</v>
      </c>
      <c r="C2144">
        <v>35</v>
      </c>
      <c r="D2144">
        <v>0</v>
      </c>
      <c r="E2144">
        <v>12</v>
      </c>
      <c r="F2144">
        <v>0</v>
      </c>
      <c r="G2144">
        <v>0</v>
      </c>
      <c r="H2144">
        <v>3</v>
      </c>
      <c r="I2144">
        <v>44</v>
      </c>
      <c r="J2144">
        <v>1</v>
      </c>
      <c r="K2144">
        <v>1</v>
      </c>
      <c r="L2144">
        <v>0</v>
      </c>
      <c r="M2144">
        <v>2</v>
      </c>
      <c r="N2144">
        <v>8</v>
      </c>
    </row>
    <row r="2145" spans="1:14" hidden="1" x14ac:dyDescent="0.3">
      <c r="A2145">
        <v>3160</v>
      </c>
      <c r="B2145">
        <v>2</v>
      </c>
      <c r="C2145">
        <v>42</v>
      </c>
      <c r="D2145">
        <v>5</v>
      </c>
      <c r="E2145">
        <v>9</v>
      </c>
      <c r="F2145">
        <v>14</v>
      </c>
      <c r="G2145">
        <v>9</v>
      </c>
      <c r="H2145">
        <v>0</v>
      </c>
      <c r="I2145">
        <v>79</v>
      </c>
      <c r="J2145">
        <v>1</v>
      </c>
      <c r="K2145">
        <v>0</v>
      </c>
      <c r="L2145">
        <v>0</v>
      </c>
      <c r="M2145">
        <v>3</v>
      </c>
      <c r="N2145">
        <v>6</v>
      </c>
    </row>
    <row r="2146" spans="1:14" hidden="1" x14ac:dyDescent="0.3">
      <c r="A2146">
        <v>2304</v>
      </c>
      <c r="B2146">
        <v>2</v>
      </c>
      <c r="C2146">
        <v>45</v>
      </c>
      <c r="D2146">
        <v>64</v>
      </c>
      <c r="E2146">
        <v>84</v>
      </c>
      <c r="F2146">
        <v>103</v>
      </c>
      <c r="G2146">
        <v>0</v>
      </c>
      <c r="H2146">
        <v>26</v>
      </c>
      <c r="I2146">
        <v>270</v>
      </c>
      <c r="J2146">
        <v>2</v>
      </c>
      <c r="K2146">
        <v>3</v>
      </c>
      <c r="L2146">
        <v>0</v>
      </c>
      <c r="M2146">
        <v>3</v>
      </c>
      <c r="N2146">
        <v>8</v>
      </c>
    </row>
    <row r="2147" spans="1:14" hidden="1" x14ac:dyDescent="0.3">
      <c r="A2147">
        <v>2025</v>
      </c>
      <c r="B2147">
        <v>2</v>
      </c>
      <c r="C2147">
        <v>54</v>
      </c>
      <c r="D2147">
        <v>0</v>
      </c>
      <c r="E2147">
        <v>62</v>
      </c>
      <c r="F2147">
        <v>0</v>
      </c>
      <c r="G2147">
        <v>0</v>
      </c>
      <c r="H2147">
        <v>23</v>
      </c>
      <c r="I2147">
        <v>93</v>
      </c>
      <c r="J2147">
        <v>1</v>
      </c>
      <c r="K2147">
        <v>1</v>
      </c>
      <c r="L2147">
        <v>1</v>
      </c>
      <c r="M2147">
        <v>2</v>
      </c>
      <c r="N2147">
        <v>6</v>
      </c>
    </row>
    <row r="2148" spans="1:14" hidden="1" x14ac:dyDescent="0.3">
      <c r="A2148">
        <v>1485</v>
      </c>
      <c r="B2148">
        <v>2</v>
      </c>
      <c r="C2148">
        <v>86</v>
      </c>
      <c r="D2148">
        <v>0</v>
      </c>
      <c r="E2148">
        <v>12</v>
      </c>
      <c r="F2148">
        <v>0</v>
      </c>
      <c r="G2148">
        <v>0</v>
      </c>
      <c r="H2148">
        <v>0</v>
      </c>
      <c r="I2148">
        <v>98</v>
      </c>
      <c r="J2148">
        <v>1</v>
      </c>
      <c r="K2148">
        <v>1</v>
      </c>
      <c r="L2148">
        <v>0</v>
      </c>
      <c r="M2148">
        <v>3</v>
      </c>
      <c r="N2148">
        <v>5</v>
      </c>
    </row>
    <row r="2149" spans="1:14" hidden="1" x14ac:dyDescent="0.3">
      <c r="A2149">
        <v>1837</v>
      </c>
      <c r="B2149">
        <v>2</v>
      </c>
      <c r="C2149">
        <v>122</v>
      </c>
      <c r="D2149">
        <v>0</v>
      </c>
      <c r="E2149">
        <v>25</v>
      </c>
      <c r="F2149">
        <v>0</v>
      </c>
      <c r="G2149">
        <v>0</v>
      </c>
      <c r="H2149">
        <v>0</v>
      </c>
      <c r="I2149">
        <v>147</v>
      </c>
      <c r="J2149">
        <v>1</v>
      </c>
      <c r="K2149">
        <v>1</v>
      </c>
      <c r="L2149">
        <v>0</v>
      </c>
      <c r="M2149">
        <v>3</v>
      </c>
      <c r="N2149">
        <v>7</v>
      </c>
    </row>
    <row r="2150" spans="1:14" hidden="1" x14ac:dyDescent="0.3">
      <c r="A2150">
        <v>1358</v>
      </c>
      <c r="B2150">
        <v>2</v>
      </c>
      <c r="C2150">
        <v>137</v>
      </c>
      <c r="D2150">
        <v>14</v>
      </c>
      <c r="E2150">
        <v>79</v>
      </c>
      <c r="F2150">
        <v>11</v>
      </c>
      <c r="G2150">
        <v>11</v>
      </c>
      <c r="H2150">
        <v>11</v>
      </c>
      <c r="I2150">
        <v>241</v>
      </c>
      <c r="J2150">
        <v>3</v>
      </c>
      <c r="K2150">
        <v>3</v>
      </c>
      <c r="L2150">
        <v>0</v>
      </c>
      <c r="M2150">
        <v>3</v>
      </c>
      <c r="N2150">
        <v>8</v>
      </c>
    </row>
    <row r="2151" spans="1:14" hidden="1" x14ac:dyDescent="0.3">
      <c r="A2151">
        <v>2074</v>
      </c>
      <c r="B2151">
        <v>2</v>
      </c>
      <c r="C2151">
        <v>137</v>
      </c>
      <c r="D2151">
        <v>14</v>
      </c>
      <c r="E2151">
        <v>79</v>
      </c>
      <c r="F2151">
        <v>11</v>
      </c>
      <c r="G2151">
        <v>11</v>
      </c>
      <c r="H2151">
        <v>11</v>
      </c>
      <c r="I2151">
        <v>241</v>
      </c>
      <c r="J2151">
        <v>3</v>
      </c>
      <c r="K2151">
        <v>3</v>
      </c>
      <c r="L2151">
        <v>0</v>
      </c>
      <c r="M2151">
        <v>3</v>
      </c>
      <c r="N2151">
        <v>8</v>
      </c>
    </row>
    <row r="2152" spans="1:14" hidden="1" x14ac:dyDescent="0.3">
      <c r="A2152">
        <v>2245</v>
      </c>
      <c r="B2152">
        <v>2</v>
      </c>
      <c r="C2152">
        <v>144</v>
      </c>
      <c r="D2152">
        <v>0</v>
      </c>
      <c r="E2152">
        <v>37</v>
      </c>
      <c r="F2152">
        <v>0</v>
      </c>
      <c r="G2152">
        <v>6</v>
      </c>
      <c r="H2152">
        <v>72</v>
      </c>
      <c r="I2152">
        <v>115</v>
      </c>
      <c r="J2152">
        <v>2</v>
      </c>
      <c r="K2152">
        <v>2</v>
      </c>
      <c r="L2152">
        <v>1</v>
      </c>
      <c r="M2152">
        <v>2</v>
      </c>
      <c r="N2152">
        <v>7</v>
      </c>
    </row>
    <row r="2153" spans="1:14" hidden="1" x14ac:dyDescent="0.3">
      <c r="A2153">
        <v>2628</v>
      </c>
      <c r="B2153">
        <v>2</v>
      </c>
      <c r="C2153">
        <v>196</v>
      </c>
      <c r="D2153">
        <v>16</v>
      </c>
      <c r="E2153">
        <v>110</v>
      </c>
      <c r="F2153">
        <v>24</v>
      </c>
      <c r="G2153">
        <v>12</v>
      </c>
      <c r="H2153">
        <v>102</v>
      </c>
      <c r="I2153">
        <v>255</v>
      </c>
      <c r="J2153">
        <v>3</v>
      </c>
      <c r="K2153">
        <v>3</v>
      </c>
      <c r="L2153">
        <v>1</v>
      </c>
      <c r="M2153">
        <v>2</v>
      </c>
      <c r="N2153">
        <v>9</v>
      </c>
    </row>
    <row r="2154" spans="1:14" hidden="1" x14ac:dyDescent="0.3">
      <c r="A2154">
        <v>2952</v>
      </c>
      <c r="B2154">
        <v>2</v>
      </c>
      <c r="C2154">
        <v>210</v>
      </c>
      <c r="D2154">
        <v>0</v>
      </c>
      <c r="E2154">
        <v>65</v>
      </c>
      <c r="F2154">
        <v>7</v>
      </c>
      <c r="G2154">
        <v>0</v>
      </c>
      <c r="H2154">
        <v>36</v>
      </c>
      <c r="I2154">
        <v>246</v>
      </c>
      <c r="J2154">
        <v>4</v>
      </c>
      <c r="K2154">
        <v>3</v>
      </c>
      <c r="L2154">
        <v>0</v>
      </c>
      <c r="M2154">
        <v>4</v>
      </c>
      <c r="N2154">
        <v>7</v>
      </c>
    </row>
    <row r="2155" spans="1:14" hidden="1" x14ac:dyDescent="0.3">
      <c r="A2155">
        <v>1259</v>
      </c>
      <c r="B2155">
        <v>2</v>
      </c>
      <c r="C2155">
        <v>437</v>
      </c>
      <c r="D2155">
        <v>0</v>
      </c>
      <c r="E2155">
        <v>112</v>
      </c>
      <c r="F2155">
        <v>16</v>
      </c>
      <c r="G2155">
        <v>5</v>
      </c>
      <c r="H2155">
        <v>34</v>
      </c>
      <c r="I2155">
        <v>536</v>
      </c>
      <c r="J2155">
        <v>2</v>
      </c>
      <c r="K2155">
        <v>4</v>
      </c>
      <c r="L2155">
        <v>2</v>
      </c>
      <c r="M2155">
        <v>4</v>
      </c>
      <c r="N2155">
        <v>5</v>
      </c>
    </row>
    <row r="2156" spans="1:14" hidden="1" x14ac:dyDescent="0.3">
      <c r="A2156">
        <v>2783</v>
      </c>
      <c r="B2156">
        <v>2</v>
      </c>
      <c r="C2156">
        <v>615</v>
      </c>
      <c r="D2156">
        <v>107</v>
      </c>
      <c r="E2156">
        <v>2067</v>
      </c>
      <c r="F2156">
        <v>472</v>
      </c>
      <c r="G2156">
        <v>48</v>
      </c>
      <c r="H2156">
        <v>36</v>
      </c>
      <c r="I2156">
        <v>3274</v>
      </c>
      <c r="J2156">
        <v>1</v>
      </c>
      <c r="K2156">
        <v>4</v>
      </c>
      <c r="L2156">
        <v>6</v>
      </c>
      <c r="M2156">
        <v>6</v>
      </c>
      <c r="N2156">
        <v>1</v>
      </c>
    </row>
    <row r="2157" spans="1:14" hidden="1" x14ac:dyDescent="0.3">
      <c r="A2157">
        <v>3059</v>
      </c>
      <c r="B2157">
        <v>2</v>
      </c>
      <c r="C2157">
        <v>658</v>
      </c>
      <c r="D2157">
        <v>20</v>
      </c>
      <c r="E2157">
        <v>402</v>
      </c>
      <c r="F2157">
        <v>29</v>
      </c>
      <c r="G2157">
        <v>9</v>
      </c>
      <c r="H2157">
        <v>32</v>
      </c>
      <c r="I2157">
        <v>1086</v>
      </c>
      <c r="J2157">
        <v>7</v>
      </c>
      <c r="K2157">
        <v>5</v>
      </c>
      <c r="L2157">
        <v>1</v>
      </c>
      <c r="M2157">
        <v>8</v>
      </c>
      <c r="N2157">
        <v>7</v>
      </c>
    </row>
    <row r="2158" spans="1:14" hidden="1" x14ac:dyDescent="0.3">
      <c r="A2158">
        <v>1956</v>
      </c>
      <c r="B2158">
        <v>2</v>
      </c>
      <c r="C2158">
        <v>698</v>
      </c>
      <c r="D2158">
        <v>18</v>
      </c>
      <c r="E2158">
        <v>893</v>
      </c>
      <c r="F2158">
        <v>329</v>
      </c>
      <c r="G2158">
        <v>77</v>
      </c>
      <c r="H2158">
        <v>18</v>
      </c>
      <c r="I2158">
        <v>1997</v>
      </c>
      <c r="J2158">
        <v>1</v>
      </c>
      <c r="K2158">
        <v>2</v>
      </c>
      <c r="L2158">
        <v>8</v>
      </c>
      <c r="M2158">
        <v>13</v>
      </c>
      <c r="N2158">
        <v>0</v>
      </c>
    </row>
    <row r="2159" spans="1:14" hidden="1" x14ac:dyDescent="0.3">
      <c r="A2159">
        <v>1825</v>
      </c>
      <c r="B2159">
        <v>2</v>
      </c>
      <c r="C2159">
        <v>801</v>
      </c>
      <c r="D2159">
        <v>111</v>
      </c>
      <c r="E2159">
        <v>953</v>
      </c>
      <c r="F2159">
        <v>296</v>
      </c>
      <c r="G2159">
        <v>77</v>
      </c>
      <c r="H2159">
        <v>119</v>
      </c>
      <c r="I2159">
        <v>2119</v>
      </c>
      <c r="J2159">
        <v>1</v>
      </c>
      <c r="K2159">
        <v>3</v>
      </c>
      <c r="L2159">
        <v>6</v>
      </c>
      <c r="M2159">
        <v>7</v>
      </c>
      <c r="N2159">
        <v>1</v>
      </c>
    </row>
    <row r="2160" spans="1:14" hidden="1" x14ac:dyDescent="0.3">
      <c r="A2160">
        <v>2321</v>
      </c>
      <c r="B2160">
        <v>2</v>
      </c>
      <c r="C2160">
        <v>868</v>
      </c>
      <c r="D2160">
        <v>20</v>
      </c>
      <c r="E2160">
        <v>202</v>
      </c>
      <c r="F2160">
        <v>0</v>
      </c>
      <c r="G2160">
        <v>33</v>
      </c>
      <c r="H2160">
        <v>338</v>
      </c>
      <c r="I2160">
        <v>785</v>
      </c>
      <c r="J2160">
        <v>3</v>
      </c>
      <c r="K2160">
        <v>5</v>
      </c>
      <c r="L2160">
        <v>2</v>
      </c>
      <c r="M2160">
        <v>6</v>
      </c>
      <c r="N2160">
        <v>5</v>
      </c>
    </row>
    <row r="2161" spans="1:14" hidden="1" x14ac:dyDescent="0.3">
      <c r="A2161">
        <v>2308</v>
      </c>
      <c r="B2161">
        <v>2</v>
      </c>
      <c r="C2161">
        <v>1088</v>
      </c>
      <c r="D2161">
        <v>179</v>
      </c>
      <c r="E2161">
        <v>422</v>
      </c>
      <c r="F2161">
        <v>65</v>
      </c>
      <c r="G2161">
        <v>49</v>
      </c>
      <c r="H2161">
        <v>4256</v>
      </c>
      <c r="I2161">
        <v>-2453</v>
      </c>
      <c r="J2161">
        <v>0</v>
      </c>
      <c r="K2161">
        <v>1</v>
      </c>
      <c r="L2161">
        <v>0</v>
      </c>
      <c r="M2161">
        <v>1</v>
      </c>
      <c r="N2161">
        <v>17</v>
      </c>
    </row>
    <row r="2162" spans="1:14" hidden="1" x14ac:dyDescent="0.3">
      <c r="A2162">
        <v>1444</v>
      </c>
      <c r="B2162">
        <v>2</v>
      </c>
      <c r="C2162">
        <v>1383</v>
      </c>
      <c r="D2162">
        <v>0</v>
      </c>
      <c r="E2162">
        <v>681</v>
      </c>
      <c r="F2162">
        <v>85</v>
      </c>
      <c r="G2162">
        <v>42</v>
      </c>
      <c r="H2162">
        <v>175</v>
      </c>
      <c r="I2162">
        <v>2017</v>
      </c>
      <c r="J2162">
        <v>4</v>
      </c>
      <c r="K2162">
        <v>2</v>
      </c>
      <c r="L2162">
        <v>2</v>
      </c>
      <c r="M2162">
        <v>8</v>
      </c>
      <c r="N2162">
        <v>7</v>
      </c>
    </row>
    <row r="2163" spans="1:14" hidden="1" x14ac:dyDescent="0.3">
      <c r="A2163">
        <v>1385</v>
      </c>
      <c r="B2163">
        <v>2</v>
      </c>
      <c r="C2163">
        <v>1420</v>
      </c>
      <c r="D2163">
        <v>244</v>
      </c>
      <c r="E2163">
        <v>291</v>
      </c>
      <c r="F2163">
        <v>319</v>
      </c>
      <c r="G2163">
        <v>98</v>
      </c>
      <c r="H2163">
        <v>49</v>
      </c>
      <c r="I2163">
        <v>2324</v>
      </c>
      <c r="J2163">
        <v>1</v>
      </c>
      <c r="K2163">
        <v>9</v>
      </c>
      <c r="L2163">
        <v>4</v>
      </c>
      <c r="M2163">
        <v>9</v>
      </c>
      <c r="N2163">
        <v>5</v>
      </c>
    </row>
    <row r="2164" spans="1:14" hidden="1" x14ac:dyDescent="0.3">
      <c r="A2164">
        <v>1048</v>
      </c>
      <c r="B2164">
        <v>2</v>
      </c>
      <c r="C2164">
        <v>1471</v>
      </c>
      <c r="D2164">
        <v>84</v>
      </c>
      <c r="E2164">
        <v>1766</v>
      </c>
      <c r="F2164">
        <v>61</v>
      </c>
      <c r="G2164">
        <v>378</v>
      </c>
      <c r="H2164">
        <v>72</v>
      </c>
      <c r="I2164">
        <v>3687</v>
      </c>
      <c r="J2164">
        <v>1</v>
      </c>
      <c r="K2164">
        <v>6</v>
      </c>
      <c r="L2164">
        <v>9</v>
      </c>
      <c r="M2164">
        <v>13</v>
      </c>
      <c r="N2164">
        <v>3</v>
      </c>
    </row>
    <row r="2165" spans="1:14" hidden="1" x14ac:dyDescent="0.3">
      <c r="A2165">
        <v>2371</v>
      </c>
      <c r="B2165">
        <v>2</v>
      </c>
      <c r="C2165">
        <v>1595</v>
      </c>
      <c r="D2165">
        <v>18</v>
      </c>
      <c r="E2165">
        <v>295</v>
      </c>
      <c r="F2165">
        <v>77</v>
      </c>
      <c r="G2165">
        <v>0</v>
      </c>
      <c r="H2165">
        <v>38</v>
      </c>
      <c r="I2165">
        <v>1947</v>
      </c>
      <c r="J2165">
        <v>2</v>
      </c>
      <c r="K2165">
        <v>6</v>
      </c>
      <c r="L2165">
        <v>3</v>
      </c>
      <c r="M2165">
        <v>12</v>
      </c>
      <c r="N2165">
        <v>5</v>
      </c>
    </row>
    <row r="2166" spans="1:14" hidden="1" x14ac:dyDescent="0.3">
      <c r="A2166">
        <v>2574</v>
      </c>
      <c r="B2166">
        <v>2</v>
      </c>
      <c r="C2166">
        <v>1706</v>
      </c>
      <c r="D2166">
        <v>247</v>
      </c>
      <c r="E2166">
        <v>713</v>
      </c>
      <c r="F2166">
        <v>323</v>
      </c>
      <c r="G2166">
        <v>185</v>
      </c>
      <c r="H2166">
        <v>81</v>
      </c>
      <c r="I2166">
        <v>3093</v>
      </c>
      <c r="J2166">
        <v>1</v>
      </c>
      <c r="K2166">
        <v>2</v>
      </c>
      <c r="L2166">
        <v>5</v>
      </c>
      <c r="M2166">
        <v>13</v>
      </c>
      <c r="N2166">
        <v>6</v>
      </c>
    </row>
    <row r="2167" spans="1:14" hidden="1" x14ac:dyDescent="0.3">
      <c r="A2167">
        <v>1219</v>
      </c>
      <c r="B2167">
        <v>2</v>
      </c>
      <c r="C2167">
        <v>2182</v>
      </c>
      <c r="D2167">
        <v>169</v>
      </c>
      <c r="E2167">
        <v>408</v>
      </c>
      <c r="F2167">
        <v>400</v>
      </c>
      <c r="G2167">
        <v>306</v>
      </c>
      <c r="H2167">
        <v>60</v>
      </c>
      <c r="I2167">
        <v>3405</v>
      </c>
      <c r="J2167">
        <v>1</v>
      </c>
      <c r="K2167">
        <v>6</v>
      </c>
      <c r="L2167">
        <v>3</v>
      </c>
      <c r="M2167">
        <v>4</v>
      </c>
      <c r="N2167">
        <v>7</v>
      </c>
    </row>
    <row r="2168" spans="1:14" hidden="1" x14ac:dyDescent="0.3">
      <c r="A2168">
        <v>3143</v>
      </c>
      <c r="B2168">
        <v>2</v>
      </c>
      <c r="C2168">
        <v>2431</v>
      </c>
      <c r="D2168">
        <v>84</v>
      </c>
      <c r="E2168">
        <v>1172</v>
      </c>
      <c r="F2168">
        <v>437</v>
      </c>
      <c r="G2168">
        <v>208</v>
      </c>
      <c r="H2168">
        <v>292</v>
      </c>
      <c r="I2168">
        <v>4040</v>
      </c>
      <c r="J2168">
        <v>1</v>
      </c>
      <c r="K2168">
        <v>5</v>
      </c>
      <c r="L2168">
        <v>6</v>
      </c>
      <c r="M2168">
        <v>7</v>
      </c>
      <c r="N2168">
        <v>2</v>
      </c>
    </row>
    <row r="2169" spans="1:14" hidden="1" x14ac:dyDescent="0.3">
      <c r="A2169">
        <v>2928</v>
      </c>
      <c r="B2169">
        <v>2</v>
      </c>
      <c r="C2169">
        <v>3061</v>
      </c>
      <c r="D2169">
        <v>250</v>
      </c>
      <c r="E2169">
        <v>1556</v>
      </c>
      <c r="F2169">
        <v>67</v>
      </c>
      <c r="G2169">
        <v>50</v>
      </c>
      <c r="H2169">
        <v>0</v>
      </c>
      <c r="I2169">
        <v>4984</v>
      </c>
      <c r="J2169">
        <v>1</v>
      </c>
      <c r="K2169">
        <v>10</v>
      </c>
      <c r="L2169">
        <v>4</v>
      </c>
      <c r="M2169">
        <v>8</v>
      </c>
      <c r="N2169">
        <v>8</v>
      </c>
    </row>
    <row r="2170" spans="1:14" hidden="1" x14ac:dyDescent="0.3">
      <c r="A2170">
        <v>2188</v>
      </c>
      <c r="B2170">
        <v>1</v>
      </c>
      <c r="C2170">
        <v>6</v>
      </c>
      <c r="D2170">
        <v>77</v>
      </c>
      <c r="E2170">
        <v>58</v>
      </c>
      <c r="F2170">
        <v>0</v>
      </c>
      <c r="G2170">
        <v>90</v>
      </c>
      <c r="H2170">
        <v>45</v>
      </c>
      <c r="I2170">
        <v>187</v>
      </c>
      <c r="J2170">
        <v>1</v>
      </c>
      <c r="K2170">
        <v>2</v>
      </c>
      <c r="L2170">
        <v>0</v>
      </c>
      <c r="M2170">
        <v>3</v>
      </c>
      <c r="N2170">
        <v>7</v>
      </c>
    </row>
    <row r="2171" spans="1:14" hidden="1" x14ac:dyDescent="0.3">
      <c r="A2171">
        <v>2034</v>
      </c>
      <c r="B2171">
        <v>1</v>
      </c>
      <c r="C2171">
        <v>19</v>
      </c>
      <c r="D2171">
        <v>10</v>
      </c>
      <c r="E2171">
        <v>58</v>
      </c>
      <c r="F2171">
        <v>34</v>
      </c>
      <c r="G2171">
        <v>24</v>
      </c>
      <c r="H2171">
        <v>126</v>
      </c>
      <c r="I2171">
        <v>19</v>
      </c>
      <c r="J2171">
        <v>2</v>
      </c>
      <c r="K2171">
        <v>1</v>
      </c>
      <c r="L2171">
        <v>2</v>
      </c>
      <c r="M2171">
        <v>2</v>
      </c>
      <c r="N2171">
        <v>6</v>
      </c>
    </row>
    <row r="2172" spans="1:14" hidden="1" x14ac:dyDescent="0.3">
      <c r="A2172">
        <v>2621</v>
      </c>
      <c r="B2172">
        <v>1</v>
      </c>
      <c r="C2172">
        <v>25</v>
      </c>
      <c r="D2172">
        <v>4</v>
      </c>
      <c r="E2172">
        <v>21</v>
      </c>
      <c r="F2172">
        <v>0</v>
      </c>
      <c r="G2172">
        <v>11</v>
      </c>
      <c r="H2172">
        <v>11</v>
      </c>
      <c r="I2172">
        <v>50</v>
      </c>
      <c r="J2172">
        <v>1</v>
      </c>
      <c r="K2172">
        <v>0</v>
      </c>
      <c r="L2172">
        <v>0</v>
      </c>
      <c r="M2172">
        <v>3</v>
      </c>
      <c r="N2172">
        <v>4</v>
      </c>
    </row>
    <row r="2173" spans="1:14" hidden="1" x14ac:dyDescent="0.3">
      <c r="A2173">
        <v>2396</v>
      </c>
      <c r="B2173">
        <v>1</v>
      </c>
      <c r="C2173">
        <v>27</v>
      </c>
      <c r="D2173">
        <v>0</v>
      </c>
      <c r="E2173">
        <v>4</v>
      </c>
      <c r="F2173">
        <v>0</v>
      </c>
      <c r="G2173">
        <v>0</v>
      </c>
      <c r="H2173">
        <v>0</v>
      </c>
      <c r="I2173">
        <v>31</v>
      </c>
      <c r="J2173">
        <v>1</v>
      </c>
      <c r="K2173">
        <v>1</v>
      </c>
      <c r="L2173">
        <v>0</v>
      </c>
      <c r="M2173">
        <v>2</v>
      </c>
      <c r="N2173">
        <v>6</v>
      </c>
    </row>
    <row r="2174" spans="1:14" hidden="1" x14ac:dyDescent="0.3">
      <c r="A2174">
        <v>1999</v>
      </c>
      <c r="B2174">
        <v>1</v>
      </c>
      <c r="C2174">
        <v>53</v>
      </c>
      <c r="D2174">
        <v>12</v>
      </c>
      <c r="E2174">
        <v>25</v>
      </c>
      <c r="F2174">
        <v>25</v>
      </c>
      <c r="G2174">
        <v>20</v>
      </c>
      <c r="H2174">
        <v>25</v>
      </c>
      <c r="I2174">
        <v>111</v>
      </c>
      <c r="J2174">
        <v>1</v>
      </c>
      <c r="K2174">
        <v>1</v>
      </c>
      <c r="L2174">
        <v>0</v>
      </c>
      <c r="M2174">
        <v>3</v>
      </c>
      <c r="N2174">
        <v>8</v>
      </c>
    </row>
    <row r="2175" spans="1:14" hidden="1" x14ac:dyDescent="0.3">
      <c r="A2175">
        <v>1792</v>
      </c>
      <c r="B2175">
        <v>1</v>
      </c>
      <c r="C2175">
        <v>68</v>
      </c>
      <c r="D2175">
        <v>11</v>
      </c>
      <c r="E2175">
        <v>97</v>
      </c>
      <c r="F2175">
        <v>34</v>
      </c>
      <c r="G2175">
        <v>6</v>
      </c>
      <c r="H2175">
        <v>57</v>
      </c>
      <c r="I2175">
        <v>159</v>
      </c>
      <c r="J2175">
        <v>2</v>
      </c>
      <c r="K2175">
        <v>2</v>
      </c>
      <c r="L2175">
        <v>0</v>
      </c>
      <c r="M2175">
        <v>3</v>
      </c>
      <c r="N2175">
        <v>8</v>
      </c>
    </row>
    <row r="2176" spans="1:14" hidden="1" x14ac:dyDescent="0.3">
      <c r="A2176">
        <v>3071</v>
      </c>
      <c r="B2176">
        <v>1</v>
      </c>
      <c r="C2176">
        <v>101</v>
      </c>
      <c r="D2176">
        <v>23</v>
      </c>
      <c r="E2176">
        <v>62</v>
      </c>
      <c r="F2176">
        <v>54</v>
      </c>
      <c r="G2176">
        <v>31</v>
      </c>
      <c r="H2176">
        <v>124</v>
      </c>
      <c r="I2176">
        <v>147</v>
      </c>
      <c r="J2176">
        <v>2</v>
      </c>
      <c r="K2176">
        <v>1</v>
      </c>
      <c r="L2176">
        <v>0</v>
      </c>
      <c r="M2176">
        <v>3</v>
      </c>
      <c r="N2176">
        <v>9</v>
      </c>
    </row>
    <row r="2177" spans="1:14" hidden="1" x14ac:dyDescent="0.3">
      <c r="A2177">
        <v>1970</v>
      </c>
      <c r="B2177">
        <v>1</v>
      </c>
      <c r="C2177">
        <v>103</v>
      </c>
      <c r="D2177">
        <v>0</v>
      </c>
      <c r="E2177">
        <v>46</v>
      </c>
      <c r="F2177">
        <v>0</v>
      </c>
      <c r="G2177">
        <v>4</v>
      </c>
      <c r="H2177">
        <v>19</v>
      </c>
      <c r="I2177">
        <v>134</v>
      </c>
      <c r="J2177">
        <v>2</v>
      </c>
      <c r="K2177">
        <v>2</v>
      </c>
      <c r="L2177">
        <v>0</v>
      </c>
      <c r="M2177">
        <v>3</v>
      </c>
      <c r="N2177">
        <v>5</v>
      </c>
    </row>
    <row r="2178" spans="1:14" hidden="1" x14ac:dyDescent="0.3">
      <c r="A2178">
        <v>2754</v>
      </c>
      <c r="B2178">
        <v>1</v>
      </c>
      <c r="C2178">
        <v>180</v>
      </c>
      <c r="D2178">
        <v>56</v>
      </c>
      <c r="E2178">
        <v>283</v>
      </c>
      <c r="F2178">
        <v>349</v>
      </c>
      <c r="G2178">
        <v>225</v>
      </c>
      <c r="H2178">
        <v>73</v>
      </c>
      <c r="I2178">
        <v>1019</v>
      </c>
      <c r="J2178">
        <v>1</v>
      </c>
      <c r="K2178">
        <v>2</v>
      </c>
      <c r="L2178">
        <v>3</v>
      </c>
      <c r="M2178">
        <v>13</v>
      </c>
      <c r="N2178">
        <v>1</v>
      </c>
    </row>
    <row r="2179" spans="1:14" hidden="1" x14ac:dyDescent="0.3">
      <c r="A2179">
        <v>2986</v>
      </c>
      <c r="B2179">
        <v>1</v>
      </c>
      <c r="C2179">
        <v>334</v>
      </c>
      <c r="D2179">
        <v>4</v>
      </c>
      <c r="E2179">
        <v>117</v>
      </c>
      <c r="F2179">
        <v>46</v>
      </c>
      <c r="G2179">
        <v>43</v>
      </c>
      <c r="H2179">
        <v>43</v>
      </c>
      <c r="I2179">
        <v>501</v>
      </c>
      <c r="J2179">
        <v>3</v>
      </c>
      <c r="K2179">
        <v>4</v>
      </c>
      <c r="L2179">
        <v>0</v>
      </c>
      <c r="M2179">
        <v>4</v>
      </c>
      <c r="N2179">
        <v>8</v>
      </c>
    </row>
    <row r="2180" spans="1:14" hidden="1" x14ac:dyDescent="0.3">
      <c r="A2180">
        <v>3076</v>
      </c>
      <c r="B2180">
        <v>1</v>
      </c>
      <c r="C2180">
        <v>375</v>
      </c>
      <c r="D2180">
        <v>83</v>
      </c>
      <c r="E2180">
        <v>424</v>
      </c>
      <c r="F2180">
        <v>0</v>
      </c>
      <c r="G2180">
        <v>0</v>
      </c>
      <c r="H2180">
        <v>296</v>
      </c>
      <c r="I2180">
        <v>586</v>
      </c>
      <c r="J2180">
        <v>2</v>
      </c>
      <c r="K2180">
        <v>7</v>
      </c>
      <c r="L2180">
        <v>2</v>
      </c>
      <c r="M2180">
        <v>8</v>
      </c>
      <c r="N2180">
        <v>5</v>
      </c>
    </row>
    <row r="2181" spans="1:14" hidden="1" x14ac:dyDescent="0.3">
      <c r="A2181">
        <v>1391</v>
      </c>
      <c r="B2181">
        <v>1</v>
      </c>
      <c r="C2181">
        <v>391</v>
      </c>
      <c r="D2181">
        <v>18</v>
      </c>
      <c r="E2181">
        <v>202</v>
      </c>
      <c r="F2181">
        <v>33</v>
      </c>
      <c r="G2181">
        <v>18</v>
      </c>
      <c r="H2181">
        <v>25</v>
      </c>
      <c r="I2181">
        <v>635</v>
      </c>
      <c r="J2181">
        <v>3</v>
      </c>
      <c r="K2181">
        <v>5</v>
      </c>
      <c r="L2181">
        <v>1</v>
      </c>
      <c r="M2181">
        <v>5</v>
      </c>
      <c r="N2181">
        <v>6</v>
      </c>
    </row>
    <row r="2182" spans="1:14" hidden="1" x14ac:dyDescent="0.3">
      <c r="A2182">
        <v>1793</v>
      </c>
      <c r="B2182">
        <v>1</v>
      </c>
      <c r="C2182">
        <v>435</v>
      </c>
      <c r="D2182">
        <v>412</v>
      </c>
      <c r="E2182">
        <v>606</v>
      </c>
      <c r="F2182">
        <v>118</v>
      </c>
      <c r="G2182">
        <v>71</v>
      </c>
      <c r="H2182">
        <v>76</v>
      </c>
      <c r="I2182">
        <v>1567</v>
      </c>
      <c r="J2182">
        <v>1</v>
      </c>
      <c r="K2182">
        <v>5</v>
      </c>
      <c r="L2182">
        <v>4</v>
      </c>
      <c r="M2182">
        <v>6</v>
      </c>
      <c r="N2182">
        <v>2</v>
      </c>
    </row>
    <row r="2183" spans="1:14" hidden="1" x14ac:dyDescent="0.3">
      <c r="A2183">
        <v>2355</v>
      </c>
      <c r="B2183">
        <v>1</v>
      </c>
      <c r="C2183">
        <v>862</v>
      </c>
      <c r="D2183">
        <v>30</v>
      </c>
      <c r="E2183">
        <v>116</v>
      </c>
      <c r="F2183">
        <v>0</v>
      </c>
      <c r="G2183">
        <v>40</v>
      </c>
      <c r="H2183">
        <v>82</v>
      </c>
      <c r="I2183">
        <v>965</v>
      </c>
      <c r="J2183">
        <v>4</v>
      </c>
      <c r="K2183">
        <v>7</v>
      </c>
      <c r="L2183">
        <v>2</v>
      </c>
      <c r="M2183">
        <v>4</v>
      </c>
      <c r="N2183">
        <v>8</v>
      </c>
    </row>
    <row r="2184" spans="1:14" hidden="1" x14ac:dyDescent="0.3">
      <c r="A2184">
        <v>2489</v>
      </c>
      <c r="B2184">
        <v>1</v>
      </c>
      <c r="C2184">
        <v>955</v>
      </c>
      <c r="D2184">
        <v>95</v>
      </c>
      <c r="E2184">
        <v>1594</v>
      </c>
      <c r="F2184">
        <v>165</v>
      </c>
      <c r="G2184">
        <v>445</v>
      </c>
      <c r="H2184">
        <v>445</v>
      </c>
      <c r="I2184">
        <v>2808</v>
      </c>
      <c r="J2184">
        <v>1</v>
      </c>
      <c r="K2184">
        <v>4</v>
      </c>
      <c r="L2184">
        <v>8</v>
      </c>
      <c r="M2184">
        <v>9</v>
      </c>
      <c r="N2184">
        <v>2</v>
      </c>
    </row>
    <row r="2185" spans="1:14" hidden="1" x14ac:dyDescent="0.3">
      <c r="A2185">
        <v>1413</v>
      </c>
      <c r="B2185">
        <v>1</v>
      </c>
      <c r="C2185">
        <v>994</v>
      </c>
      <c r="D2185">
        <v>0</v>
      </c>
      <c r="E2185">
        <v>497</v>
      </c>
      <c r="F2185">
        <v>255</v>
      </c>
      <c r="G2185">
        <v>453</v>
      </c>
      <c r="H2185">
        <v>453</v>
      </c>
      <c r="I2185">
        <v>1747</v>
      </c>
      <c r="J2185">
        <v>2</v>
      </c>
      <c r="K2185">
        <v>5</v>
      </c>
      <c r="L2185">
        <v>5</v>
      </c>
      <c r="M2185">
        <v>12</v>
      </c>
      <c r="N2185">
        <v>3</v>
      </c>
    </row>
    <row r="2186" spans="1:14" hidden="1" x14ac:dyDescent="0.3">
      <c r="A2186">
        <v>1066</v>
      </c>
      <c r="B2186">
        <v>1</v>
      </c>
      <c r="C2186">
        <v>1236</v>
      </c>
      <c r="D2186">
        <v>90</v>
      </c>
      <c r="E2186">
        <v>1147</v>
      </c>
      <c r="F2186">
        <v>471</v>
      </c>
      <c r="G2186">
        <v>150</v>
      </c>
      <c r="H2186">
        <v>30</v>
      </c>
      <c r="I2186">
        <v>3064</v>
      </c>
      <c r="J2186">
        <v>3</v>
      </c>
      <c r="K2186">
        <v>4</v>
      </c>
      <c r="L2186">
        <v>8</v>
      </c>
      <c r="M2186">
        <v>6</v>
      </c>
      <c r="N2186">
        <v>3</v>
      </c>
    </row>
    <row r="2187" spans="1:14" hidden="1" x14ac:dyDescent="0.3">
      <c r="A2187">
        <v>1835</v>
      </c>
      <c r="B2187">
        <v>1</v>
      </c>
      <c r="C2187">
        <v>1288</v>
      </c>
      <c r="D2187">
        <v>0</v>
      </c>
      <c r="E2187">
        <v>66</v>
      </c>
      <c r="F2187">
        <v>0</v>
      </c>
      <c r="G2187">
        <v>0</v>
      </c>
      <c r="H2187">
        <v>54</v>
      </c>
      <c r="I2187">
        <v>1300</v>
      </c>
      <c r="J2187">
        <v>3</v>
      </c>
      <c r="K2187">
        <v>7</v>
      </c>
      <c r="L2187">
        <v>1</v>
      </c>
      <c r="M2187">
        <v>7</v>
      </c>
      <c r="N2187">
        <v>8</v>
      </c>
    </row>
    <row r="2188" spans="1:14" hidden="1" x14ac:dyDescent="0.3">
      <c r="A2188">
        <v>2828</v>
      </c>
      <c r="B2188">
        <v>1</v>
      </c>
      <c r="C2188">
        <v>1378</v>
      </c>
      <c r="D2188">
        <v>432</v>
      </c>
      <c r="E2188">
        <v>2086</v>
      </c>
      <c r="F2188">
        <v>51</v>
      </c>
      <c r="G2188">
        <v>0</v>
      </c>
      <c r="H2188">
        <v>77</v>
      </c>
      <c r="I2188">
        <v>3870</v>
      </c>
      <c r="J2188">
        <v>1</v>
      </c>
      <c r="K2188">
        <v>4</v>
      </c>
      <c r="L2188">
        <v>5</v>
      </c>
      <c r="M2188">
        <v>4</v>
      </c>
      <c r="N2188">
        <v>3</v>
      </c>
    </row>
    <row r="2189" spans="1:14" hidden="1" x14ac:dyDescent="0.3">
      <c r="A2189">
        <v>1701</v>
      </c>
      <c r="B2189">
        <v>1</v>
      </c>
      <c r="C2189">
        <v>1566</v>
      </c>
      <c r="D2189">
        <v>21</v>
      </c>
      <c r="E2189">
        <v>582</v>
      </c>
      <c r="F2189">
        <v>0</v>
      </c>
      <c r="G2189">
        <v>65</v>
      </c>
      <c r="H2189">
        <v>21</v>
      </c>
      <c r="I2189">
        <v>2213</v>
      </c>
      <c r="J2189">
        <v>2</v>
      </c>
      <c r="K2189">
        <v>5</v>
      </c>
      <c r="L2189">
        <v>4</v>
      </c>
      <c r="M2189">
        <v>5</v>
      </c>
      <c r="N2189">
        <v>4</v>
      </c>
    </row>
    <row r="2190" spans="1:14" hidden="1" x14ac:dyDescent="0.3">
      <c r="A2190">
        <v>2092</v>
      </c>
      <c r="B2190">
        <v>1</v>
      </c>
      <c r="C2190">
        <v>1577</v>
      </c>
      <c r="D2190">
        <v>100</v>
      </c>
      <c r="E2190">
        <v>256</v>
      </c>
      <c r="F2190">
        <v>67</v>
      </c>
      <c r="G2190">
        <v>356</v>
      </c>
      <c r="H2190">
        <v>100</v>
      </c>
      <c r="I2190">
        <v>2255</v>
      </c>
      <c r="J2190">
        <v>1</v>
      </c>
      <c r="K2190">
        <v>8</v>
      </c>
      <c r="L2190">
        <v>2</v>
      </c>
      <c r="M2190">
        <v>5</v>
      </c>
      <c r="N2190">
        <v>5</v>
      </c>
    </row>
    <row r="2191" spans="1:14" hidden="1" x14ac:dyDescent="0.3">
      <c r="A2191">
        <v>1982</v>
      </c>
      <c r="B2191">
        <v>1</v>
      </c>
      <c r="C2191">
        <v>2635</v>
      </c>
      <c r="D2191">
        <v>43</v>
      </c>
      <c r="E2191">
        <v>921</v>
      </c>
      <c r="F2191">
        <v>217</v>
      </c>
      <c r="G2191">
        <v>41</v>
      </c>
      <c r="H2191">
        <v>41</v>
      </c>
      <c r="I2191">
        <v>3816</v>
      </c>
      <c r="J2191">
        <v>1</v>
      </c>
      <c r="K2191">
        <v>4</v>
      </c>
      <c r="L2191">
        <v>3</v>
      </c>
      <c r="M2191">
        <v>4</v>
      </c>
      <c r="N2191">
        <v>1</v>
      </c>
    </row>
    <row r="2192" spans="1:14" hidden="1" x14ac:dyDescent="0.3">
      <c r="A2192">
        <v>1414</v>
      </c>
      <c r="B2192">
        <v>1</v>
      </c>
      <c r="C2192">
        <v>2719</v>
      </c>
      <c r="D2192">
        <v>35</v>
      </c>
      <c r="E2192">
        <v>760</v>
      </c>
      <c r="F2192">
        <v>94</v>
      </c>
      <c r="G2192">
        <v>35</v>
      </c>
      <c r="H2192">
        <v>35</v>
      </c>
      <c r="I2192">
        <v>3607</v>
      </c>
      <c r="J2192">
        <v>1</v>
      </c>
      <c r="K2192">
        <v>2</v>
      </c>
      <c r="L2192">
        <v>4</v>
      </c>
      <c r="M2192">
        <v>9</v>
      </c>
      <c r="N2192">
        <v>4</v>
      </c>
    </row>
    <row r="2193" spans="1:14" hidden="1" x14ac:dyDescent="0.3">
      <c r="A2193">
        <v>1396</v>
      </c>
      <c r="B2193">
        <v>1</v>
      </c>
      <c r="C2193">
        <v>3005</v>
      </c>
      <c r="D2193">
        <v>0</v>
      </c>
      <c r="E2193">
        <v>511</v>
      </c>
      <c r="F2193">
        <v>95</v>
      </c>
      <c r="G2193">
        <v>73</v>
      </c>
      <c r="H2193">
        <v>35</v>
      </c>
      <c r="I2193">
        <v>3649</v>
      </c>
      <c r="J2193">
        <v>3</v>
      </c>
      <c r="K2193">
        <v>11</v>
      </c>
      <c r="L2193">
        <v>9</v>
      </c>
      <c r="M2193">
        <v>12</v>
      </c>
      <c r="N2193">
        <v>6</v>
      </c>
    </row>
    <row r="2194" spans="1:14" hidden="1" x14ac:dyDescent="0.3">
      <c r="A2194">
        <v>1791</v>
      </c>
      <c r="B2194">
        <v>0</v>
      </c>
      <c r="C2194">
        <v>14</v>
      </c>
      <c r="D2194">
        <v>47</v>
      </c>
      <c r="E2194">
        <v>38</v>
      </c>
      <c r="F2194">
        <v>14</v>
      </c>
      <c r="G2194">
        <v>76</v>
      </c>
      <c r="H2194">
        <v>151</v>
      </c>
      <c r="I2194">
        <v>38</v>
      </c>
      <c r="J2194">
        <v>1</v>
      </c>
      <c r="K2194">
        <v>1</v>
      </c>
      <c r="L2194">
        <v>1</v>
      </c>
      <c r="M2194">
        <v>2</v>
      </c>
      <c r="N2194">
        <v>6</v>
      </c>
    </row>
    <row r="2195" spans="1:14" hidden="1" x14ac:dyDescent="0.3">
      <c r="A2195">
        <v>1150</v>
      </c>
      <c r="B2195">
        <v>0</v>
      </c>
      <c r="C2195">
        <v>21</v>
      </c>
      <c r="D2195">
        <v>0</v>
      </c>
      <c r="E2195">
        <v>13</v>
      </c>
      <c r="F2195">
        <v>0</v>
      </c>
      <c r="G2195">
        <v>0</v>
      </c>
      <c r="H2195">
        <v>21</v>
      </c>
      <c r="I2195">
        <v>13</v>
      </c>
      <c r="J2195">
        <v>1</v>
      </c>
      <c r="K2195">
        <v>1</v>
      </c>
      <c r="L2195">
        <v>0</v>
      </c>
      <c r="M2195">
        <v>2</v>
      </c>
      <c r="N2195">
        <v>7</v>
      </c>
    </row>
    <row r="2196" spans="1:14" hidden="1" x14ac:dyDescent="0.3">
      <c r="A2196">
        <v>1535</v>
      </c>
      <c r="B2196">
        <v>0</v>
      </c>
      <c r="C2196">
        <v>34</v>
      </c>
      <c r="D2196">
        <v>91</v>
      </c>
      <c r="E2196">
        <v>136</v>
      </c>
      <c r="F2196">
        <v>62</v>
      </c>
      <c r="G2196">
        <v>0</v>
      </c>
      <c r="H2196">
        <v>192</v>
      </c>
      <c r="I2196">
        <v>130</v>
      </c>
      <c r="J2196">
        <v>2</v>
      </c>
      <c r="K2196">
        <v>3</v>
      </c>
      <c r="L2196">
        <v>1</v>
      </c>
      <c r="M2196">
        <v>2</v>
      </c>
      <c r="N2196">
        <v>7</v>
      </c>
    </row>
    <row r="2197" spans="1:14" hidden="1" x14ac:dyDescent="0.3">
      <c r="A2197">
        <v>1062</v>
      </c>
      <c r="B2197">
        <v>0</v>
      </c>
      <c r="C2197">
        <v>41</v>
      </c>
      <c r="D2197">
        <v>0</v>
      </c>
      <c r="E2197">
        <v>4</v>
      </c>
      <c r="F2197">
        <v>0</v>
      </c>
      <c r="G2197">
        <v>0</v>
      </c>
      <c r="H2197">
        <v>0</v>
      </c>
      <c r="I2197">
        <v>45</v>
      </c>
      <c r="J2197">
        <v>1</v>
      </c>
      <c r="K2197">
        <v>1</v>
      </c>
      <c r="L2197">
        <v>0</v>
      </c>
      <c r="M2197">
        <v>2</v>
      </c>
      <c r="N2197">
        <v>7</v>
      </c>
    </row>
    <row r="2198" spans="1:14" hidden="1" x14ac:dyDescent="0.3">
      <c r="A2198">
        <v>2009</v>
      </c>
      <c r="B2198">
        <v>0</v>
      </c>
      <c r="C2198">
        <v>74</v>
      </c>
      <c r="D2198">
        <v>0</v>
      </c>
      <c r="E2198">
        <v>8</v>
      </c>
      <c r="F2198">
        <v>0</v>
      </c>
      <c r="G2198">
        <v>0</v>
      </c>
      <c r="H2198">
        <v>8</v>
      </c>
      <c r="I2198">
        <v>74</v>
      </c>
      <c r="J2198">
        <v>1</v>
      </c>
      <c r="K2198">
        <v>1</v>
      </c>
      <c r="L2198">
        <v>0</v>
      </c>
      <c r="M2198">
        <v>3</v>
      </c>
      <c r="N2198">
        <v>4</v>
      </c>
    </row>
    <row r="2199" spans="1:14" hidden="1" x14ac:dyDescent="0.3">
      <c r="A2199">
        <v>1739</v>
      </c>
      <c r="B2199">
        <v>0</v>
      </c>
      <c r="C2199">
        <v>138</v>
      </c>
      <c r="D2199">
        <v>7</v>
      </c>
      <c r="E2199">
        <v>80</v>
      </c>
      <c r="F2199">
        <v>0</v>
      </c>
      <c r="G2199">
        <v>14</v>
      </c>
      <c r="H2199">
        <v>80</v>
      </c>
      <c r="I2199">
        <v>159</v>
      </c>
      <c r="J2199">
        <v>2</v>
      </c>
      <c r="K2199">
        <v>2</v>
      </c>
      <c r="L2199">
        <v>1</v>
      </c>
      <c r="M2199">
        <v>3</v>
      </c>
      <c r="N2199">
        <v>4</v>
      </c>
    </row>
    <row r="2200" spans="1:14" hidden="1" x14ac:dyDescent="0.3">
      <c r="A2200">
        <v>1092</v>
      </c>
      <c r="B2200">
        <v>0</v>
      </c>
      <c r="C2200">
        <v>164</v>
      </c>
      <c r="D2200">
        <v>3</v>
      </c>
      <c r="E2200">
        <v>15</v>
      </c>
      <c r="F2200">
        <v>6</v>
      </c>
      <c r="G2200">
        <v>3</v>
      </c>
      <c r="H2200">
        <v>31</v>
      </c>
      <c r="I2200">
        <v>161</v>
      </c>
      <c r="J2200">
        <v>2</v>
      </c>
      <c r="K2200">
        <v>2</v>
      </c>
      <c r="L2200">
        <v>0</v>
      </c>
      <c r="M2200">
        <v>3</v>
      </c>
      <c r="N2200">
        <v>8</v>
      </c>
    </row>
    <row r="2201" spans="1:14" hidden="1" x14ac:dyDescent="0.3">
      <c r="A2201">
        <v>2181</v>
      </c>
      <c r="B2201">
        <v>0</v>
      </c>
      <c r="C2201">
        <v>178</v>
      </c>
      <c r="D2201">
        <v>17</v>
      </c>
      <c r="E2201">
        <v>161</v>
      </c>
      <c r="F2201">
        <v>37</v>
      </c>
      <c r="G2201">
        <v>37</v>
      </c>
      <c r="H2201">
        <v>62</v>
      </c>
      <c r="I2201">
        <v>367</v>
      </c>
      <c r="J2201">
        <v>4</v>
      </c>
      <c r="K2201">
        <v>2</v>
      </c>
      <c r="L2201">
        <v>1</v>
      </c>
      <c r="M2201">
        <v>5</v>
      </c>
      <c r="N2201">
        <v>4</v>
      </c>
    </row>
    <row r="2202" spans="1:14" hidden="1" x14ac:dyDescent="0.3">
      <c r="A2202">
        <v>2809</v>
      </c>
      <c r="B2202">
        <v>0</v>
      </c>
      <c r="C2202">
        <v>178</v>
      </c>
      <c r="D2202">
        <v>17</v>
      </c>
      <c r="E2202">
        <v>161</v>
      </c>
      <c r="F2202">
        <v>37</v>
      </c>
      <c r="G2202">
        <v>37</v>
      </c>
      <c r="H2202">
        <v>62</v>
      </c>
      <c r="I2202">
        <v>367</v>
      </c>
      <c r="J2202">
        <v>4</v>
      </c>
      <c r="K2202">
        <v>2</v>
      </c>
      <c r="L2202">
        <v>1</v>
      </c>
      <c r="M2202">
        <v>5</v>
      </c>
      <c r="N2202">
        <v>4</v>
      </c>
    </row>
    <row r="2203" spans="1:14" hidden="1" x14ac:dyDescent="0.3">
      <c r="A2203">
        <v>1520</v>
      </c>
      <c r="B2203">
        <v>0</v>
      </c>
      <c r="C2203">
        <v>252</v>
      </c>
      <c r="D2203">
        <v>0</v>
      </c>
      <c r="E2203">
        <v>35</v>
      </c>
      <c r="F2203">
        <v>0</v>
      </c>
      <c r="G2203">
        <v>0</v>
      </c>
      <c r="H2203">
        <v>23</v>
      </c>
      <c r="I2203">
        <v>265</v>
      </c>
      <c r="J2203">
        <v>1</v>
      </c>
      <c r="K2203">
        <v>2</v>
      </c>
      <c r="L2203">
        <v>1</v>
      </c>
      <c r="M2203">
        <v>3</v>
      </c>
      <c r="N2203">
        <v>5</v>
      </c>
    </row>
    <row r="2204" spans="1:14" hidden="1" x14ac:dyDescent="0.3">
      <c r="A2204">
        <v>2026</v>
      </c>
      <c r="B2204">
        <v>0</v>
      </c>
      <c r="C2204">
        <v>321</v>
      </c>
      <c r="D2204">
        <v>4</v>
      </c>
      <c r="E2204">
        <v>149</v>
      </c>
      <c r="F2204">
        <v>0</v>
      </c>
      <c r="G2204">
        <v>4</v>
      </c>
      <c r="H2204">
        <v>12</v>
      </c>
      <c r="I2204">
        <v>466</v>
      </c>
      <c r="J2204">
        <v>3</v>
      </c>
      <c r="K2204">
        <v>2</v>
      </c>
      <c r="L2204">
        <v>1</v>
      </c>
      <c r="M2204">
        <v>4</v>
      </c>
      <c r="N2204">
        <v>7</v>
      </c>
    </row>
    <row r="2205" spans="1:14" hidden="1" x14ac:dyDescent="0.3">
      <c r="A2205">
        <v>2349</v>
      </c>
      <c r="B2205">
        <v>0</v>
      </c>
      <c r="C2205">
        <v>333</v>
      </c>
      <c r="D2205">
        <v>27</v>
      </c>
      <c r="E2205">
        <v>147</v>
      </c>
      <c r="F2205">
        <v>37</v>
      </c>
      <c r="G2205">
        <v>5</v>
      </c>
      <c r="H2205">
        <v>75</v>
      </c>
      <c r="I2205">
        <v>475</v>
      </c>
      <c r="J2205">
        <v>1</v>
      </c>
      <c r="K2205">
        <v>3</v>
      </c>
      <c r="L2205">
        <v>2</v>
      </c>
      <c r="M2205">
        <v>5</v>
      </c>
      <c r="N2205">
        <v>2</v>
      </c>
    </row>
    <row r="2206" spans="1:14" hidden="1" x14ac:dyDescent="0.3">
      <c r="A2206">
        <v>1375</v>
      </c>
      <c r="B2206">
        <v>0</v>
      </c>
      <c r="C2206">
        <v>364</v>
      </c>
      <c r="D2206">
        <v>10</v>
      </c>
      <c r="E2206">
        <v>159</v>
      </c>
      <c r="F2206">
        <v>0</v>
      </c>
      <c r="G2206">
        <v>34</v>
      </c>
      <c r="H2206">
        <v>10</v>
      </c>
      <c r="I2206">
        <v>556</v>
      </c>
      <c r="J2206">
        <v>2</v>
      </c>
      <c r="K2206">
        <v>3</v>
      </c>
      <c r="L2206">
        <v>1</v>
      </c>
      <c r="M2206">
        <v>6</v>
      </c>
      <c r="N2206">
        <v>4</v>
      </c>
    </row>
    <row r="2207" spans="1:14" hidden="1" x14ac:dyDescent="0.3">
      <c r="A2207">
        <v>2950</v>
      </c>
      <c r="B2207">
        <v>0</v>
      </c>
      <c r="C2207">
        <v>377</v>
      </c>
      <c r="D2207">
        <v>94</v>
      </c>
      <c r="E2207">
        <v>283</v>
      </c>
      <c r="F2207">
        <v>47</v>
      </c>
      <c r="G2207">
        <v>94</v>
      </c>
      <c r="H2207">
        <v>7570</v>
      </c>
      <c r="I2207">
        <v>-6674</v>
      </c>
      <c r="J2207">
        <v>0</v>
      </c>
      <c r="K2207">
        <v>25</v>
      </c>
      <c r="L2207">
        <v>0</v>
      </c>
      <c r="M2207">
        <v>0</v>
      </c>
      <c r="N2207">
        <v>1</v>
      </c>
    </row>
    <row r="2208" spans="1:14" hidden="1" x14ac:dyDescent="0.3">
      <c r="A2208">
        <v>1331</v>
      </c>
      <c r="B2208">
        <v>0</v>
      </c>
      <c r="C2208">
        <v>412</v>
      </c>
      <c r="D2208">
        <v>227</v>
      </c>
      <c r="E2208">
        <v>826</v>
      </c>
      <c r="F2208">
        <v>242</v>
      </c>
      <c r="G2208">
        <v>412</v>
      </c>
      <c r="H2208">
        <v>475</v>
      </c>
      <c r="I2208">
        <v>1643</v>
      </c>
      <c r="J2208">
        <v>1</v>
      </c>
      <c r="K2208">
        <v>4</v>
      </c>
      <c r="L2208">
        <v>4</v>
      </c>
      <c r="M2208">
        <v>6</v>
      </c>
      <c r="N2208">
        <v>1</v>
      </c>
    </row>
    <row r="2209" spans="1:14" hidden="1" x14ac:dyDescent="0.3">
      <c r="A2209">
        <v>3169</v>
      </c>
      <c r="B2209">
        <v>0</v>
      </c>
      <c r="C2209">
        <v>727</v>
      </c>
      <c r="D2209">
        <v>57</v>
      </c>
      <c r="E2209">
        <v>820</v>
      </c>
      <c r="F2209">
        <v>178</v>
      </c>
      <c r="G2209">
        <v>22</v>
      </c>
      <c r="H2209">
        <v>120</v>
      </c>
      <c r="I2209">
        <v>1683</v>
      </c>
      <c r="J2209">
        <v>4</v>
      </c>
      <c r="K2209">
        <v>8</v>
      </c>
      <c r="L2209">
        <v>8</v>
      </c>
      <c r="M2209">
        <v>6</v>
      </c>
      <c r="N2209">
        <v>6</v>
      </c>
    </row>
    <row r="2210" spans="1:14" hidden="1" x14ac:dyDescent="0.3">
      <c r="A2210">
        <v>2631</v>
      </c>
      <c r="B2210">
        <v>0</v>
      </c>
      <c r="C2210">
        <v>794</v>
      </c>
      <c r="D2210">
        <v>34</v>
      </c>
      <c r="E2210">
        <v>283</v>
      </c>
      <c r="F2210">
        <v>15</v>
      </c>
      <c r="G2210">
        <v>11</v>
      </c>
      <c r="H2210">
        <v>112</v>
      </c>
      <c r="I2210">
        <v>1026</v>
      </c>
      <c r="J2210">
        <v>3</v>
      </c>
      <c r="K2210">
        <v>5</v>
      </c>
      <c r="L2210">
        <v>2</v>
      </c>
      <c r="M2210">
        <v>5</v>
      </c>
      <c r="N2210">
        <v>7</v>
      </c>
    </row>
    <row r="2211" spans="1:14" hidden="1" x14ac:dyDescent="0.3">
      <c r="A2211">
        <v>2070</v>
      </c>
      <c r="B2211">
        <v>0</v>
      </c>
      <c r="C2211">
        <v>805</v>
      </c>
      <c r="D2211">
        <v>311</v>
      </c>
      <c r="E2211">
        <v>984</v>
      </c>
      <c r="F2211">
        <v>575</v>
      </c>
      <c r="G2211">
        <v>77</v>
      </c>
      <c r="H2211">
        <v>103</v>
      </c>
      <c r="I2211">
        <v>2649</v>
      </c>
      <c r="J2211">
        <v>1</v>
      </c>
      <c r="K2211">
        <v>4</v>
      </c>
      <c r="L2211">
        <v>7</v>
      </c>
      <c r="M2211">
        <v>5</v>
      </c>
      <c r="N2211">
        <v>2</v>
      </c>
    </row>
    <row r="2212" spans="1:14" hidden="1" x14ac:dyDescent="0.3">
      <c r="A2212">
        <v>1847</v>
      </c>
      <c r="B2212">
        <v>0</v>
      </c>
      <c r="C2212">
        <v>908</v>
      </c>
      <c r="D2212">
        <v>36</v>
      </c>
      <c r="E2212">
        <v>224</v>
      </c>
      <c r="F2212">
        <v>83</v>
      </c>
      <c r="G2212">
        <v>23</v>
      </c>
      <c r="H2212">
        <v>23</v>
      </c>
      <c r="I2212">
        <v>1251</v>
      </c>
      <c r="J2212">
        <v>3</v>
      </c>
      <c r="K2212">
        <v>5</v>
      </c>
      <c r="L2212">
        <v>1</v>
      </c>
      <c r="M2212">
        <v>8</v>
      </c>
      <c r="N2212">
        <v>5</v>
      </c>
    </row>
    <row r="2213" spans="1:14" hidden="1" x14ac:dyDescent="0.3">
      <c r="A2213">
        <v>2653</v>
      </c>
      <c r="B2213">
        <v>0</v>
      </c>
      <c r="C2213">
        <v>930</v>
      </c>
      <c r="D2213">
        <v>0</v>
      </c>
      <c r="E2213">
        <v>220</v>
      </c>
      <c r="F2213">
        <v>0</v>
      </c>
      <c r="G2213">
        <v>0</v>
      </c>
      <c r="H2213">
        <v>69</v>
      </c>
      <c r="I2213">
        <v>1081</v>
      </c>
      <c r="J2213">
        <v>2</v>
      </c>
      <c r="K2213">
        <v>5</v>
      </c>
      <c r="L2213">
        <v>1</v>
      </c>
      <c r="M2213">
        <v>8</v>
      </c>
      <c r="N2213">
        <v>7</v>
      </c>
    </row>
    <row r="2214" spans="1:14" hidden="1" x14ac:dyDescent="0.3">
      <c r="A2214">
        <v>1023</v>
      </c>
      <c r="B2214">
        <v>0</v>
      </c>
      <c r="C2214">
        <v>972</v>
      </c>
      <c r="D2214">
        <v>0</v>
      </c>
      <c r="E2214">
        <v>258</v>
      </c>
      <c r="F2214">
        <v>53</v>
      </c>
      <c r="G2214">
        <v>81</v>
      </c>
      <c r="H2214">
        <v>13</v>
      </c>
      <c r="I2214">
        <v>1351</v>
      </c>
      <c r="J2214">
        <v>3</v>
      </c>
      <c r="K2214">
        <v>6</v>
      </c>
      <c r="L2214">
        <v>2</v>
      </c>
      <c r="M2214">
        <v>9</v>
      </c>
      <c r="N2214">
        <v>4</v>
      </c>
    </row>
    <row r="2215" spans="1:14" hidden="1" x14ac:dyDescent="0.3">
      <c r="A2215">
        <v>1832</v>
      </c>
      <c r="B2215">
        <v>0</v>
      </c>
      <c r="C2215">
        <v>972</v>
      </c>
      <c r="D2215">
        <v>0</v>
      </c>
      <c r="E2215">
        <v>258</v>
      </c>
      <c r="F2215">
        <v>53</v>
      </c>
      <c r="G2215">
        <v>81</v>
      </c>
      <c r="H2215">
        <v>13</v>
      </c>
      <c r="I2215">
        <v>1351</v>
      </c>
      <c r="J2215">
        <v>3</v>
      </c>
      <c r="K2215">
        <v>6</v>
      </c>
      <c r="L2215">
        <v>2</v>
      </c>
      <c r="M2215">
        <v>9</v>
      </c>
      <c r="N2215">
        <v>4</v>
      </c>
    </row>
    <row r="2216" spans="1:14" hidden="1" x14ac:dyDescent="0.3">
      <c r="A2216">
        <v>3024</v>
      </c>
      <c r="B2216">
        <v>0</v>
      </c>
      <c r="C2216">
        <v>1005</v>
      </c>
      <c r="D2216">
        <v>58</v>
      </c>
      <c r="E2216">
        <v>1195</v>
      </c>
      <c r="F2216">
        <v>163</v>
      </c>
      <c r="G2216">
        <v>219</v>
      </c>
      <c r="H2216">
        <v>58</v>
      </c>
      <c r="I2216">
        <v>2582</v>
      </c>
      <c r="J2216">
        <v>1</v>
      </c>
      <c r="K2216">
        <v>5</v>
      </c>
      <c r="L2216">
        <v>6</v>
      </c>
      <c r="M2216">
        <v>10</v>
      </c>
      <c r="N2216">
        <v>1</v>
      </c>
    </row>
    <row r="2217" spans="1:14" hidden="1" x14ac:dyDescent="0.3">
      <c r="A2217">
        <v>2513</v>
      </c>
      <c r="B2217">
        <v>0</v>
      </c>
      <c r="C2217">
        <v>1067</v>
      </c>
      <c r="D2217">
        <v>203</v>
      </c>
      <c r="E2217">
        <v>1092</v>
      </c>
      <c r="F2217">
        <v>198</v>
      </c>
      <c r="G2217">
        <v>50</v>
      </c>
      <c r="H2217">
        <v>252</v>
      </c>
      <c r="I2217">
        <v>2356</v>
      </c>
      <c r="J2217">
        <v>1</v>
      </c>
      <c r="K2217">
        <v>3</v>
      </c>
      <c r="L2217">
        <v>6</v>
      </c>
      <c r="M2217">
        <v>6</v>
      </c>
      <c r="N2217">
        <v>1</v>
      </c>
    </row>
    <row r="2218" spans="1:14" hidden="1" x14ac:dyDescent="0.3">
      <c r="A2218">
        <v>1803</v>
      </c>
      <c r="B2218">
        <v>0</v>
      </c>
      <c r="C2218">
        <v>1277</v>
      </c>
      <c r="D2218">
        <v>14</v>
      </c>
      <c r="E2218">
        <v>176</v>
      </c>
      <c r="F2218">
        <v>19</v>
      </c>
      <c r="G2218">
        <v>0</v>
      </c>
      <c r="H2218">
        <v>102</v>
      </c>
      <c r="I2218">
        <v>1384</v>
      </c>
      <c r="J2218">
        <v>1</v>
      </c>
      <c r="K2218">
        <v>7</v>
      </c>
      <c r="L2218">
        <v>3</v>
      </c>
      <c r="M2218">
        <v>7</v>
      </c>
      <c r="N2218">
        <v>5</v>
      </c>
    </row>
    <row r="2219" spans="1:14" hidden="1" x14ac:dyDescent="0.3">
      <c r="A2219">
        <v>2128</v>
      </c>
      <c r="B2219">
        <v>0</v>
      </c>
      <c r="C2219">
        <v>1288</v>
      </c>
      <c r="D2219">
        <v>0</v>
      </c>
      <c r="E2219">
        <v>485</v>
      </c>
      <c r="F2219">
        <v>23</v>
      </c>
      <c r="G2219">
        <v>54</v>
      </c>
      <c r="H2219">
        <v>91</v>
      </c>
      <c r="I2219">
        <v>1759</v>
      </c>
      <c r="J2219">
        <v>12</v>
      </c>
      <c r="K2219">
        <v>9</v>
      </c>
      <c r="L2219">
        <v>2</v>
      </c>
      <c r="M2219">
        <v>8</v>
      </c>
      <c r="N2219">
        <v>8</v>
      </c>
    </row>
    <row r="2220" spans="1:14" hidden="1" x14ac:dyDescent="0.3">
      <c r="A2220">
        <v>2142</v>
      </c>
      <c r="B2220">
        <v>0</v>
      </c>
      <c r="C2220">
        <v>1288</v>
      </c>
      <c r="D2220">
        <v>0</v>
      </c>
      <c r="E2220">
        <v>485</v>
      </c>
      <c r="F2220">
        <v>23</v>
      </c>
      <c r="G2220">
        <v>54</v>
      </c>
      <c r="H2220">
        <v>91</v>
      </c>
      <c r="I2220">
        <v>1759</v>
      </c>
      <c r="J2220">
        <v>12</v>
      </c>
      <c r="K2220">
        <v>9</v>
      </c>
      <c r="L2220">
        <v>2</v>
      </c>
      <c r="M2220">
        <v>8</v>
      </c>
      <c r="N2220">
        <v>8</v>
      </c>
    </row>
    <row r="2221" spans="1:14" hidden="1" x14ac:dyDescent="0.3">
      <c r="A2221">
        <v>1730</v>
      </c>
      <c r="B2221">
        <v>0</v>
      </c>
      <c r="C2221">
        <v>1979</v>
      </c>
      <c r="D2221">
        <v>206</v>
      </c>
      <c r="E2221">
        <v>648</v>
      </c>
      <c r="F2221">
        <v>39</v>
      </c>
      <c r="G2221">
        <v>87</v>
      </c>
      <c r="H2221">
        <v>167</v>
      </c>
      <c r="I2221">
        <v>2792</v>
      </c>
      <c r="J2221">
        <v>1</v>
      </c>
      <c r="K2221">
        <v>10</v>
      </c>
      <c r="L2221">
        <v>10</v>
      </c>
      <c r="M2221">
        <v>7</v>
      </c>
      <c r="N2221">
        <v>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221"/>
  <sheetViews>
    <sheetView topLeftCell="C1" workbookViewId="0">
      <selection activeCell="J1" activeCellId="4" sqref="G1 H1 I1 F1 J1"/>
    </sheetView>
  </sheetViews>
  <sheetFormatPr defaultRowHeight="14.4" x14ac:dyDescent="0.3"/>
  <cols>
    <col min="2" max="2" width="9" customWidth="1"/>
    <col min="6" max="6" width="10.109375" customWidth="1"/>
    <col min="7" max="7" width="9.33203125" customWidth="1"/>
    <col min="9" max="9" width="10.21875" customWidth="1"/>
    <col min="12" max="12" width="10.44140625" customWidth="1"/>
    <col min="15" max="15" width="14.88671875" bestFit="1" customWidth="1"/>
    <col min="16" max="16" width="14.88671875" customWidth="1"/>
    <col min="17" max="17" width="11.88671875" bestFit="1" customWidth="1"/>
    <col min="18" max="18" width="11.88671875" customWidth="1"/>
    <col min="19" max="19" width="15.777343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440</v>
      </c>
      <c r="P1" t="s">
        <v>441</v>
      </c>
      <c r="Q1" t="s">
        <v>20</v>
      </c>
      <c r="R1" t="s">
        <v>21</v>
      </c>
      <c r="S1" t="s">
        <v>22</v>
      </c>
      <c r="T1" t="s">
        <v>14</v>
      </c>
    </row>
    <row r="2" spans="1:20" x14ac:dyDescent="0.3">
      <c r="A2">
        <v>2873</v>
      </c>
      <c r="B2">
        <v>213734</v>
      </c>
      <c r="C2">
        <v>0</v>
      </c>
      <c r="D2">
        <v>0</v>
      </c>
      <c r="E2">
        <v>75</v>
      </c>
      <c r="F2">
        <v>0</v>
      </c>
      <c r="G2">
        <v>0</v>
      </c>
      <c r="H2">
        <v>1</v>
      </c>
      <c r="I2">
        <v>0</v>
      </c>
      <c r="J2">
        <v>0</v>
      </c>
      <c r="K2">
        <v>0</v>
      </c>
      <c r="L2">
        <v>0</v>
      </c>
      <c r="M2">
        <v>0</v>
      </c>
      <c r="N2">
        <v>1</v>
      </c>
      <c r="O2" t="str" cm="1">
        <f t="array" ref="O2">_xlfn.IFS(Table1[[#This Row],[Divorced]]=1, "Divorced", Table1[[#This Row],[Married]]=1, "Married", Table1[[#This Row],[Single]]=1, "Single", Table1[[#This Row],[Together]]=1, "Together", Table1[[#This Row],[Widow]]=1, "Widow")</f>
        <v>Single</v>
      </c>
      <c r="P2" t="str" cm="1">
        <f t="array" ref="P2">_xlfn.IFS(Table1[[#This Row],[Basic]]=1, "Basic", Table1[[#This Row],[Graduate]]=1, "Graduate", Table1[[#This Row],[Master]]=1, "Master", Table1[[#This Row],[PhD]]=1, "PhD", AND(Table1[[#This Row],[Basic]]=0, Table1[[#This Row],[Graduate]]=0, Table1[[#This Row],[Master]]=0, Table1[[#This Row],[PhD]]=0), "NA")</f>
        <v>PhD</v>
      </c>
      <c r="Q2" t="e">
        <f>_xlfn.XLOOKUP(Table1[[#This Row],[ID]], Table2[ID],#REF!, "Not Found", 0)</f>
        <v>#REF!</v>
      </c>
      <c r="R2" t="e">
        <f>_xlfn.XLOOKUP(Table1[[#This Row],[ID]], Table2[ID],#REF!, "Not Found", 0)</f>
        <v>#REF!</v>
      </c>
      <c r="S2" s="3">
        <f>_xlfn.XLOOKUP(Table1[[#This Row],[ID]], Table2[ID], Table2[Enrollment], "Not Found", 0)</f>
        <v>43841</v>
      </c>
      <c r="T2" t="s">
        <v>434</v>
      </c>
    </row>
    <row r="3" spans="1:20" x14ac:dyDescent="0.3">
      <c r="A3">
        <v>1629</v>
      </c>
      <c r="B3">
        <v>205471</v>
      </c>
      <c r="C3">
        <v>0</v>
      </c>
      <c r="D3">
        <v>0</v>
      </c>
      <c r="E3">
        <v>50</v>
      </c>
      <c r="F3">
        <v>0</v>
      </c>
      <c r="G3">
        <v>0</v>
      </c>
      <c r="H3">
        <v>0</v>
      </c>
      <c r="I3">
        <v>1</v>
      </c>
      <c r="J3">
        <v>0</v>
      </c>
      <c r="K3">
        <v>0</v>
      </c>
      <c r="L3">
        <v>1</v>
      </c>
      <c r="M3">
        <v>0</v>
      </c>
      <c r="N3">
        <v>0</v>
      </c>
      <c r="O3" t="str" cm="1">
        <f t="array" ref="O3">_xlfn.IFS(Table1[[#This Row],[Divorced]]=1, "Divorced", Table1[[#This Row],[Married]]=1, "Married", Table1[[#This Row],[Single]]=1, "Single", Table1[[#This Row],[Together]]=1, "Together", Table1[[#This Row],[Widow]]=1, "Widow")</f>
        <v>Together</v>
      </c>
      <c r="P3" t="str" cm="1">
        <f t="array" ref="P3">_xlfn.IFS(Table1[[#This Row],[Basic]]=1, "Basic", Table1[[#This Row],[Graduate]]=1, "Graduate", Table1[[#This Row],[Master]]=1, "Master", Table1[[#This Row],[PhD]]=1, "PhD", AND(Table1[[#This Row],[Basic]]=0, Table1[[#This Row],[Graduate]]=0, Table1[[#This Row],[Master]]=0, Table1[[#This Row],[PhD]]=0), "NA")</f>
        <v>Graduate</v>
      </c>
      <c r="Q3" t="e">
        <f>_xlfn.XLOOKUP(Table1[[#This Row],[ID]], Table2[ID],#REF!, "Not Found", 0)</f>
        <v>#REF!</v>
      </c>
      <c r="R3" t="e">
        <f>_xlfn.XLOOKUP(Table1[[#This Row],[ID]], Table2[ID],#REF!, "Not Found", 0)</f>
        <v>#REF!</v>
      </c>
      <c r="S3" s="3" t="str">
        <f>_xlfn.XLOOKUP(Table1[[#This Row],[ID]], Table2[ID], Table2[Enrollment], "Not Found", 0)</f>
        <v>6/28/2019</v>
      </c>
      <c r="T3" t="s">
        <v>435</v>
      </c>
    </row>
    <row r="4" spans="1:20" x14ac:dyDescent="0.3">
      <c r="A4">
        <v>1239</v>
      </c>
      <c r="B4">
        <v>202692</v>
      </c>
      <c r="C4">
        <v>0</v>
      </c>
      <c r="D4">
        <v>0</v>
      </c>
      <c r="E4">
        <v>46</v>
      </c>
      <c r="F4">
        <v>1</v>
      </c>
      <c r="G4">
        <v>0</v>
      </c>
      <c r="H4">
        <v>0</v>
      </c>
      <c r="I4">
        <v>0</v>
      </c>
      <c r="J4">
        <v>0</v>
      </c>
      <c r="K4">
        <v>0</v>
      </c>
      <c r="L4">
        <v>1</v>
      </c>
      <c r="M4">
        <v>0</v>
      </c>
      <c r="N4">
        <v>0</v>
      </c>
      <c r="O4" t="str" cm="1">
        <f t="array" ref="O4">_xlfn.IFS(Table1[[#This Row],[Divorced]]=1, "Divorced", Table1[[#This Row],[Married]]=1, "Married", Table1[[#This Row],[Single]]=1, "Single", Table1[[#This Row],[Together]]=1, "Together", Table1[[#This Row],[Widow]]=1, "Widow")</f>
        <v>Divorced</v>
      </c>
      <c r="P4" t="str" cm="1">
        <f t="array" ref="P4">_xlfn.IFS(Table1[[#This Row],[Basic]]=1, "Basic", Table1[[#This Row],[Graduate]]=1, "Graduate", Table1[[#This Row],[Master]]=1, "Master", Table1[[#This Row],[PhD]]=1, "PhD", AND(Table1[[#This Row],[Basic]]=0, Table1[[#This Row],[Graduate]]=0, Table1[[#This Row],[Master]]=0, Table1[[#This Row],[PhD]]=0), "NA")</f>
        <v>Graduate</v>
      </c>
      <c r="Q4" t="e">
        <f>_xlfn.XLOOKUP(Table1[[#This Row],[ID]], Table2[ID],#REF!, "Not Found", 0)</f>
        <v>#REF!</v>
      </c>
      <c r="R4" t="e">
        <f>_xlfn.XLOOKUP(Table1[[#This Row],[ID]], Table2[ID],#REF!, "Not Found", 0)</f>
        <v>#REF!</v>
      </c>
      <c r="S4" s="3">
        <f>_xlfn.XLOOKUP(Table1[[#This Row],[ID]], Table2[ID], Table2[Enrollment], "Not Found", 0)</f>
        <v>43747</v>
      </c>
      <c r="T4" t="s">
        <v>435</v>
      </c>
    </row>
    <row r="5" spans="1:20" x14ac:dyDescent="0.3">
      <c r="A5">
        <v>1191</v>
      </c>
      <c r="B5">
        <v>202160</v>
      </c>
      <c r="C5">
        <v>0</v>
      </c>
      <c r="D5">
        <v>0</v>
      </c>
      <c r="E5">
        <v>43</v>
      </c>
      <c r="F5">
        <v>0</v>
      </c>
      <c r="G5">
        <v>0</v>
      </c>
      <c r="H5">
        <v>0</v>
      </c>
      <c r="I5">
        <v>1</v>
      </c>
      <c r="J5">
        <v>0</v>
      </c>
      <c r="K5">
        <v>0</v>
      </c>
      <c r="L5">
        <v>0</v>
      </c>
      <c r="M5">
        <v>0</v>
      </c>
      <c r="N5">
        <v>1</v>
      </c>
      <c r="O5" t="str" cm="1">
        <f t="array" ref="O5">_xlfn.IFS(Table1[[#This Row],[Divorced]]=1, "Divorced", Table1[[#This Row],[Married]]=1, "Married", Table1[[#This Row],[Single]]=1, "Single", Table1[[#This Row],[Together]]=1, "Together", Table1[[#This Row],[Widow]]=1, "Widow")</f>
        <v>Together</v>
      </c>
      <c r="P5" t="str" cm="1">
        <f t="array" ref="P5">_xlfn.IFS(Table1[[#This Row],[Basic]]=1, "Basic", Table1[[#This Row],[Graduate]]=1, "Graduate", Table1[[#This Row],[Master]]=1, "Master", Table1[[#This Row],[PhD]]=1, "PhD", AND(Table1[[#This Row],[Basic]]=0, Table1[[#This Row],[Graduate]]=0, Table1[[#This Row],[Master]]=0, Table1[[#This Row],[PhD]]=0), "NA")</f>
        <v>PhD</v>
      </c>
      <c r="Q5" t="e">
        <f>_xlfn.XLOOKUP(Table1[[#This Row],[ID]], Table2[ID],#REF!, "Not Found", 0)</f>
        <v>#REF!</v>
      </c>
      <c r="R5" t="e">
        <f>_xlfn.XLOOKUP(Table1[[#This Row],[ID]], Table2[ID],#REF!, "Not Found", 0)</f>
        <v>#REF!</v>
      </c>
      <c r="S5" s="3">
        <f>_xlfn.XLOOKUP(Table1[[#This Row],[ID]], Table2[ID], Table2[Enrollment], "Not Found", 0)</f>
        <v>43712</v>
      </c>
      <c r="T5" t="s">
        <v>435</v>
      </c>
    </row>
    <row r="6" spans="1:20" x14ac:dyDescent="0.3">
      <c r="A6">
        <v>1116</v>
      </c>
      <c r="B6">
        <v>201970</v>
      </c>
      <c r="C6">
        <v>0</v>
      </c>
      <c r="D6">
        <v>0</v>
      </c>
      <c r="E6">
        <v>37</v>
      </c>
      <c r="F6">
        <v>0</v>
      </c>
      <c r="G6">
        <v>0</v>
      </c>
      <c r="H6">
        <v>1</v>
      </c>
      <c r="I6">
        <v>0</v>
      </c>
      <c r="J6">
        <v>0</v>
      </c>
      <c r="K6">
        <v>0</v>
      </c>
      <c r="L6">
        <v>1</v>
      </c>
      <c r="M6">
        <v>0</v>
      </c>
      <c r="N6">
        <v>0</v>
      </c>
      <c r="O6" t="str" cm="1">
        <f t="array" ref="O6">_xlfn.IFS(Table1[[#This Row],[Divorced]]=1, "Divorced", Table1[[#This Row],[Married]]=1, "Married", Table1[[#This Row],[Single]]=1, "Single", Table1[[#This Row],[Together]]=1, "Together", Table1[[#This Row],[Widow]]=1, "Widow")</f>
        <v>Single</v>
      </c>
      <c r="P6" t="str" cm="1">
        <f t="array" ref="P6">_xlfn.IFS(Table1[[#This Row],[Basic]]=1, "Basic", Table1[[#This Row],[Graduate]]=1, "Graduate", Table1[[#This Row],[Master]]=1, "Master", Table1[[#This Row],[PhD]]=1, "PhD", AND(Table1[[#This Row],[Basic]]=0, Table1[[#This Row],[Graduate]]=0, Table1[[#This Row],[Master]]=0, Table1[[#This Row],[PhD]]=0), "NA")</f>
        <v>Graduate</v>
      </c>
      <c r="Q6" t="e">
        <f>_xlfn.XLOOKUP(Table1[[#This Row],[ID]], Table2[ID],#REF!, "Not Found", 0)</f>
        <v>#REF!</v>
      </c>
      <c r="R6" t="e">
        <f>_xlfn.XLOOKUP(Table1[[#This Row],[ID]], Table2[ID],#REF!, "Not Found", 0)</f>
        <v>#REF!</v>
      </c>
      <c r="S6" s="3" t="str">
        <f>_xlfn.XLOOKUP(Table1[[#This Row],[ID]], Table2[ID], Table2[Enrollment], "Not Found", 0)</f>
        <v>8/17/2019</v>
      </c>
      <c r="T6" t="s">
        <v>436</v>
      </c>
    </row>
    <row r="7" spans="1:20" x14ac:dyDescent="0.3">
      <c r="A7">
        <v>1633</v>
      </c>
      <c r="B7">
        <v>198777</v>
      </c>
      <c r="C7">
        <v>0</v>
      </c>
      <c r="D7">
        <v>0</v>
      </c>
      <c r="E7">
        <v>60</v>
      </c>
      <c r="F7">
        <v>0</v>
      </c>
      <c r="G7">
        <v>0</v>
      </c>
      <c r="H7">
        <v>1</v>
      </c>
      <c r="I7">
        <v>0</v>
      </c>
      <c r="J7">
        <v>0</v>
      </c>
      <c r="K7">
        <v>0</v>
      </c>
      <c r="L7">
        <v>0</v>
      </c>
      <c r="M7">
        <v>1</v>
      </c>
      <c r="N7">
        <v>0</v>
      </c>
      <c r="O7" t="str" cm="1">
        <f t="array" ref="O7">_xlfn.IFS(Table1[[#This Row],[Divorced]]=1, "Divorced", Table1[[#This Row],[Married]]=1, "Married", Table1[[#This Row],[Single]]=1, "Single", Table1[[#This Row],[Together]]=1, "Together", Table1[[#This Row],[Widow]]=1, "Widow")</f>
        <v>Single</v>
      </c>
      <c r="P7" t="str" cm="1">
        <f t="array" ref="P7">_xlfn.IFS(Table1[[#This Row],[Basic]]=1, "Basic", Table1[[#This Row],[Graduate]]=1, "Graduate", Table1[[#This Row],[Master]]=1, "Master", Table1[[#This Row],[PhD]]=1, "PhD", AND(Table1[[#This Row],[Basic]]=0, Table1[[#This Row],[Graduate]]=0, Table1[[#This Row],[Master]]=0, Table1[[#This Row],[PhD]]=0), "NA")</f>
        <v>Master</v>
      </c>
      <c r="Q7" t="e">
        <f>_xlfn.XLOOKUP(Table1[[#This Row],[ID]], Table2[ID],#REF!, "Not Found", 0)</f>
        <v>#REF!</v>
      </c>
      <c r="R7" t="e">
        <f>_xlfn.XLOOKUP(Table1[[#This Row],[ID]], Table2[ID],#REF!, "Not Found", 0)</f>
        <v>#REF!</v>
      </c>
      <c r="S7" s="3" t="str">
        <f>_xlfn.XLOOKUP(Table1[[#This Row],[ID]], Table2[ID], Table2[Enrollment], "Not Found", 0)</f>
        <v>7/24/2020</v>
      </c>
      <c r="T7" t="s">
        <v>437</v>
      </c>
    </row>
    <row r="8" spans="1:20" x14ac:dyDescent="0.3">
      <c r="A8">
        <v>2094</v>
      </c>
      <c r="B8">
        <v>198777</v>
      </c>
      <c r="C8">
        <v>0</v>
      </c>
      <c r="D8">
        <v>0</v>
      </c>
      <c r="E8">
        <v>60</v>
      </c>
      <c r="F8">
        <v>0</v>
      </c>
      <c r="G8">
        <v>0</v>
      </c>
      <c r="H8">
        <v>1</v>
      </c>
      <c r="I8">
        <v>0</v>
      </c>
      <c r="J8">
        <v>0</v>
      </c>
      <c r="K8">
        <v>0</v>
      </c>
      <c r="L8">
        <v>0</v>
      </c>
      <c r="M8">
        <v>1</v>
      </c>
      <c r="N8">
        <v>0</v>
      </c>
      <c r="O8" t="str" cm="1">
        <f t="array" ref="O8">_xlfn.IFS(Table1[[#This Row],[Divorced]]=1, "Divorced", Table1[[#This Row],[Married]]=1, "Married", Table1[[#This Row],[Single]]=1, "Single", Table1[[#This Row],[Together]]=1, "Together", Table1[[#This Row],[Widow]]=1, "Widow")</f>
        <v>Single</v>
      </c>
      <c r="P8" t="str" cm="1">
        <f t="array" ref="P8">_xlfn.IFS(Table1[[#This Row],[Basic]]=1, "Basic", Table1[[#This Row],[Graduate]]=1, "Graduate", Table1[[#This Row],[Master]]=1, "Master", Table1[[#This Row],[PhD]]=1, "PhD", AND(Table1[[#This Row],[Basic]]=0, Table1[[#This Row],[Graduate]]=0, Table1[[#This Row],[Master]]=0, Table1[[#This Row],[PhD]]=0), "NA")</f>
        <v>Master</v>
      </c>
      <c r="Q8" t="e">
        <f>_xlfn.XLOOKUP(Table1[[#This Row],[ID]], Table2[ID],#REF!, "Not Found", 0)</f>
        <v>#REF!</v>
      </c>
      <c r="R8" t="e">
        <f>_xlfn.XLOOKUP(Table1[[#This Row],[ID]], Table2[ID],#REF!, "Not Found", 0)</f>
        <v>#REF!</v>
      </c>
      <c r="S8" s="3" t="str">
        <f>_xlfn.XLOOKUP(Table1[[#This Row],[ID]], Table2[ID], Table2[Enrollment], "Not Found", 0)</f>
        <v>7/24/2020</v>
      </c>
      <c r="T8" t="s">
        <v>436</v>
      </c>
    </row>
    <row r="9" spans="1:20" x14ac:dyDescent="0.3">
      <c r="A9">
        <v>2987</v>
      </c>
      <c r="B9">
        <v>196876</v>
      </c>
      <c r="C9">
        <v>0</v>
      </c>
      <c r="D9">
        <v>0</v>
      </c>
      <c r="E9">
        <v>43</v>
      </c>
      <c r="F9">
        <v>0</v>
      </c>
      <c r="G9">
        <v>0</v>
      </c>
      <c r="H9">
        <v>0</v>
      </c>
      <c r="I9">
        <v>1</v>
      </c>
      <c r="J9">
        <v>0</v>
      </c>
      <c r="K9">
        <v>0</v>
      </c>
      <c r="L9">
        <v>1</v>
      </c>
      <c r="M9">
        <v>0</v>
      </c>
      <c r="N9">
        <v>0</v>
      </c>
      <c r="O9" t="str" cm="1">
        <f t="array" ref="O9">_xlfn.IFS(Table1[[#This Row],[Divorced]]=1, "Divorced", Table1[[#This Row],[Married]]=1, "Married", Table1[[#This Row],[Single]]=1, "Single", Table1[[#This Row],[Together]]=1, "Together", Table1[[#This Row],[Widow]]=1, "Widow")</f>
        <v>Together</v>
      </c>
      <c r="P9" t="str" cm="1">
        <f t="array" ref="P9">_xlfn.IFS(Table1[[#This Row],[Basic]]=1, "Basic", Table1[[#This Row],[Graduate]]=1, "Graduate", Table1[[#This Row],[Master]]=1, "Master", Table1[[#This Row],[PhD]]=1, "PhD", AND(Table1[[#This Row],[Basic]]=0, Table1[[#This Row],[Graduate]]=0, Table1[[#This Row],[Master]]=0, Table1[[#This Row],[PhD]]=0), "NA")</f>
        <v>Graduate</v>
      </c>
      <c r="Q9" t="e">
        <f>_xlfn.XLOOKUP(Table1[[#This Row],[ID]], Table2[ID],#REF!, "Not Found", 0)</f>
        <v>#REF!</v>
      </c>
      <c r="R9" t="e">
        <f>_xlfn.XLOOKUP(Table1[[#This Row],[ID]], Table2[ID],#REF!, "Not Found", 0)</f>
        <v>#REF!</v>
      </c>
      <c r="S9" s="3">
        <f>_xlfn.XLOOKUP(Table1[[#This Row],[ID]], Table2[ID], Table2[Enrollment], "Not Found", 0)</f>
        <v>44136</v>
      </c>
      <c r="T9" t="s">
        <v>434</v>
      </c>
    </row>
    <row r="10" spans="1:20" x14ac:dyDescent="0.3">
      <c r="A10">
        <v>2933</v>
      </c>
      <c r="B10">
        <v>196843</v>
      </c>
      <c r="C10">
        <v>0</v>
      </c>
      <c r="D10">
        <v>0</v>
      </c>
      <c r="E10">
        <v>30</v>
      </c>
      <c r="F10">
        <v>0</v>
      </c>
      <c r="G10">
        <v>0</v>
      </c>
      <c r="H10">
        <v>1</v>
      </c>
      <c r="I10">
        <v>0</v>
      </c>
      <c r="J10">
        <v>0</v>
      </c>
      <c r="K10">
        <v>0</v>
      </c>
      <c r="L10">
        <v>1</v>
      </c>
      <c r="M10">
        <v>0</v>
      </c>
      <c r="N10">
        <v>0</v>
      </c>
      <c r="O10" t="str" cm="1">
        <f t="array" ref="O10">_xlfn.IFS(Table1[[#This Row],[Divorced]]=1, "Divorced", Table1[[#This Row],[Married]]=1, "Married", Table1[[#This Row],[Single]]=1, "Single", Table1[[#This Row],[Together]]=1, "Together", Table1[[#This Row],[Widow]]=1, "Widow")</f>
        <v>Single</v>
      </c>
      <c r="P10" t="str" cm="1">
        <f t="array" ref="P10">_xlfn.IFS(Table1[[#This Row],[Basic]]=1, "Basic", Table1[[#This Row],[Graduate]]=1, "Graduate", Table1[[#This Row],[Master]]=1, "Master", Table1[[#This Row],[PhD]]=1, "PhD", AND(Table1[[#This Row],[Basic]]=0, Table1[[#This Row],[Graduate]]=0, Table1[[#This Row],[Master]]=0, Table1[[#This Row],[PhD]]=0), "NA")</f>
        <v>Graduate</v>
      </c>
      <c r="Q10" t="e">
        <f>_xlfn.XLOOKUP(Table1[[#This Row],[ID]], Table2[ID],#REF!, "Not Found", 0)</f>
        <v>#REF!</v>
      </c>
      <c r="R10" t="e">
        <f>_xlfn.XLOOKUP(Table1[[#This Row],[ID]], Table2[ID],#REF!, "Not Found", 0)</f>
        <v>#REF!</v>
      </c>
      <c r="S10" s="3" t="str">
        <f>_xlfn.XLOOKUP(Table1[[#This Row],[ID]], Table2[ID], Table2[Enrollment], "Not Found", 0)</f>
        <v>9/28/2019</v>
      </c>
      <c r="T10" t="s">
        <v>434</v>
      </c>
    </row>
    <row r="11" spans="1:20" x14ac:dyDescent="0.3">
      <c r="A11">
        <v>2970</v>
      </c>
      <c r="B11">
        <v>196547</v>
      </c>
      <c r="C11">
        <v>0</v>
      </c>
      <c r="D11">
        <v>0</v>
      </c>
      <c r="E11">
        <v>40</v>
      </c>
      <c r="F11">
        <v>0</v>
      </c>
      <c r="G11">
        <v>1</v>
      </c>
      <c r="H11">
        <v>0</v>
      </c>
      <c r="I11">
        <v>0</v>
      </c>
      <c r="J11">
        <v>0</v>
      </c>
      <c r="K11">
        <v>0</v>
      </c>
      <c r="L11">
        <v>0</v>
      </c>
      <c r="M11">
        <v>0</v>
      </c>
      <c r="N11">
        <v>0</v>
      </c>
      <c r="O11" t="str" cm="1">
        <f t="array" ref="O11">_xlfn.IFS(Table1[[#This Row],[Divorced]]=1, "Divorced", Table1[[#This Row],[Married]]=1, "Married", Table1[[#This Row],[Single]]=1, "Single", Table1[[#This Row],[Together]]=1, "Together", Table1[[#This Row],[Widow]]=1, "Widow")</f>
        <v>Married</v>
      </c>
      <c r="P11" t="str" cm="1">
        <f t="array" ref="P11">_xlfn.IFS(Table1[[#This Row],[Basic]]=1, "Basic", Table1[[#This Row],[Graduate]]=1, "Graduate", Table1[[#This Row],[Master]]=1, "Master", Table1[[#This Row],[PhD]]=1, "PhD", AND(Table1[[#This Row],[Basic]]=0, Table1[[#This Row],[Graduate]]=0, Table1[[#This Row],[Master]]=0, Table1[[#This Row],[PhD]]=0), "NA")</f>
        <v>NA</v>
      </c>
      <c r="Q11" t="e">
        <f>_xlfn.XLOOKUP(Table1[[#This Row],[ID]], Table2[ID],#REF!, "Not Found", 0)</f>
        <v>#REF!</v>
      </c>
      <c r="R11" t="e">
        <f>_xlfn.XLOOKUP(Table1[[#This Row],[ID]], Table2[ID],#REF!, "Not Found", 0)</f>
        <v>#REF!</v>
      </c>
      <c r="S11" s="3" t="str">
        <f>_xlfn.XLOOKUP(Table1[[#This Row],[ID]], Table2[ID], Table2[Enrollment], "Not Found", 0)</f>
        <v>10/27/2020</v>
      </c>
      <c r="T11" t="s">
        <v>436</v>
      </c>
    </row>
    <row r="12" spans="1:20" x14ac:dyDescent="0.3">
      <c r="A12">
        <v>1895</v>
      </c>
      <c r="B12">
        <v>195529</v>
      </c>
      <c r="C12">
        <v>0</v>
      </c>
      <c r="D12">
        <v>0</v>
      </c>
      <c r="E12">
        <v>26</v>
      </c>
      <c r="F12">
        <v>0</v>
      </c>
      <c r="G12">
        <v>0</v>
      </c>
      <c r="H12">
        <v>1</v>
      </c>
      <c r="I12">
        <v>0</v>
      </c>
      <c r="J12">
        <v>0</v>
      </c>
      <c r="K12">
        <v>0</v>
      </c>
      <c r="L12">
        <v>1</v>
      </c>
      <c r="M12">
        <v>0</v>
      </c>
      <c r="N12">
        <v>0</v>
      </c>
      <c r="O12" t="str" cm="1">
        <f t="array" ref="O12">_xlfn.IFS(Table1[[#This Row],[Divorced]]=1, "Divorced", Table1[[#This Row],[Married]]=1, "Married", Table1[[#This Row],[Single]]=1, "Single", Table1[[#This Row],[Together]]=1, "Together", Table1[[#This Row],[Widow]]=1, "Widow")</f>
        <v>Single</v>
      </c>
      <c r="P12" t="str" cm="1">
        <f t="array" ref="P12">_xlfn.IFS(Table1[[#This Row],[Basic]]=1, "Basic", Table1[[#This Row],[Graduate]]=1, "Graduate", Table1[[#This Row],[Master]]=1, "Master", Table1[[#This Row],[PhD]]=1, "PhD", AND(Table1[[#This Row],[Basic]]=0, Table1[[#This Row],[Graduate]]=0, Table1[[#This Row],[Master]]=0, Table1[[#This Row],[PhD]]=0), "NA")</f>
        <v>Graduate</v>
      </c>
      <c r="Q12" t="e">
        <f>_xlfn.XLOOKUP(Table1[[#This Row],[ID]], Table2[ID],#REF!, "Not Found", 0)</f>
        <v>#REF!</v>
      </c>
      <c r="R12" t="e">
        <f>_xlfn.XLOOKUP(Table1[[#This Row],[ID]], Table2[ID],#REF!, "Not Found", 0)</f>
        <v>#REF!</v>
      </c>
      <c r="S12" s="3">
        <f>_xlfn.XLOOKUP(Table1[[#This Row],[ID]], Table2[ID], Table2[Enrollment], "Not Found", 0)</f>
        <v>43743</v>
      </c>
      <c r="T12" t="s">
        <v>434</v>
      </c>
    </row>
    <row r="13" spans="1:20" x14ac:dyDescent="0.3">
      <c r="A13">
        <v>1982</v>
      </c>
      <c r="B13">
        <v>195169</v>
      </c>
      <c r="C13">
        <v>0</v>
      </c>
      <c r="D13">
        <v>0</v>
      </c>
      <c r="E13">
        <v>33</v>
      </c>
      <c r="F13">
        <v>0</v>
      </c>
      <c r="G13">
        <v>0</v>
      </c>
      <c r="H13">
        <v>1</v>
      </c>
      <c r="I13">
        <v>0</v>
      </c>
      <c r="J13">
        <v>0</v>
      </c>
      <c r="K13">
        <v>0</v>
      </c>
      <c r="L13">
        <v>0</v>
      </c>
      <c r="M13">
        <v>0</v>
      </c>
      <c r="N13">
        <v>1</v>
      </c>
      <c r="O13" t="str" cm="1">
        <f t="array" ref="O13">_xlfn.IFS(Table1[[#This Row],[Divorced]]=1, "Divorced", Table1[[#This Row],[Married]]=1, "Married", Table1[[#This Row],[Single]]=1, "Single", Table1[[#This Row],[Together]]=1, "Together", Table1[[#This Row],[Widow]]=1, "Widow")</f>
        <v>Single</v>
      </c>
      <c r="P13" t="str" cm="1">
        <f t="array" ref="P13">_xlfn.IFS(Table1[[#This Row],[Basic]]=1, "Basic", Table1[[#This Row],[Graduate]]=1, "Graduate", Table1[[#This Row],[Master]]=1, "Master", Table1[[#This Row],[PhD]]=1, "PhD", AND(Table1[[#This Row],[Basic]]=0, Table1[[#This Row],[Graduate]]=0, Table1[[#This Row],[Master]]=0, Table1[[#This Row],[PhD]]=0), "NA")</f>
        <v>PhD</v>
      </c>
      <c r="Q13" t="e">
        <f>_xlfn.XLOOKUP(Table1[[#This Row],[ID]], Table2[ID],#REF!, "Not Found", 0)</f>
        <v>#REF!</v>
      </c>
      <c r="R13" t="e">
        <f>_xlfn.XLOOKUP(Table1[[#This Row],[ID]], Table2[ID],#REF!, "Not Found", 0)</f>
        <v>#REF!</v>
      </c>
      <c r="S13" s="3" t="str">
        <f>_xlfn.XLOOKUP(Table1[[#This Row],[ID]], Table2[ID], Table2[Enrollment], "Not Found", 0)</f>
        <v>3/15/2020</v>
      </c>
      <c r="T13" t="s">
        <v>438</v>
      </c>
    </row>
    <row r="14" spans="1:20" x14ac:dyDescent="0.3">
      <c r="A14">
        <v>2449</v>
      </c>
      <c r="B14">
        <v>194871</v>
      </c>
      <c r="C14">
        <v>0</v>
      </c>
      <c r="D14">
        <v>2</v>
      </c>
      <c r="E14">
        <v>51</v>
      </c>
      <c r="F14">
        <v>0</v>
      </c>
      <c r="G14">
        <v>1</v>
      </c>
      <c r="H14">
        <v>0</v>
      </c>
      <c r="I14">
        <v>0</v>
      </c>
      <c r="J14">
        <v>0</v>
      </c>
      <c r="K14">
        <v>0</v>
      </c>
      <c r="L14">
        <v>0</v>
      </c>
      <c r="M14">
        <v>0</v>
      </c>
      <c r="N14">
        <v>1</v>
      </c>
      <c r="O14" t="str" cm="1">
        <f t="array" ref="O14">_xlfn.IFS(Table1[[#This Row],[Divorced]]=1, "Divorced", Table1[[#This Row],[Married]]=1, "Married", Table1[[#This Row],[Single]]=1, "Single", Table1[[#This Row],[Together]]=1, "Together", Table1[[#This Row],[Widow]]=1, "Widow")</f>
        <v>Married</v>
      </c>
      <c r="P14" t="str" cm="1">
        <f t="array" ref="P14">_xlfn.IFS(Table1[[#This Row],[Basic]]=1, "Basic", Table1[[#This Row],[Graduate]]=1, "Graduate", Table1[[#This Row],[Master]]=1, "Master", Table1[[#This Row],[PhD]]=1, "PhD", AND(Table1[[#This Row],[Basic]]=0, Table1[[#This Row],[Graduate]]=0, Table1[[#This Row],[Master]]=0, Table1[[#This Row],[PhD]]=0), "NA")</f>
        <v>PhD</v>
      </c>
      <c r="Q14" t="e">
        <f>_xlfn.XLOOKUP(Table1[[#This Row],[ID]], Table2[ID],#REF!, "Not Found", 0)</f>
        <v>#REF!</v>
      </c>
      <c r="R14" t="e">
        <f>_xlfn.XLOOKUP(Table1[[#This Row],[ID]], Table2[ID],#REF!, "Not Found", 0)</f>
        <v>#REF!</v>
      </c>
      <c r="S14" s="3">
        <f>_xlfn.XLOOKUP(Table1[[#This Row],[ID]], Table2[ID], Table2[Enrollment], "Not Found", 0)</f>
        <v>43618</v>
      </c>
      <c r="T14" t="s">
        <v>437</v>
      </c>
    </row>
    <row r="15" spans="1:20" x14ac:dyDescent="0.3">
      <c r="A15">
        <v>2957</v>
      </c>
      <c r="B15">
        <v>194642</v>
      </c>
      <c r="C15">
        <v>0</v>
      </c>
      <c r="D15">
        <v>0</v>
      </c>
      <c r="E15">
        <v>69</v>
      </c>
      <c r="F15">
        <v>0</v>
      </c>
      <c r="G15">
        <v>1</v>
      </c>
      <c r="H15">
        <v>0</v>
      </c>
      <c r="I15">
        <v>0</v>
      </c>
      <c r="J15">
        <v>0</v>
      </c>
      <c r="K15">
        <v>0</v>
      </c>
      <c r="L15">
        <v>1</v>
      </c>
      <c r="M15">
        <v>0</v>
      </c>
      <c r="N15">
        <v>0</v>
      </c>
      <c r="O15" t="str" cm="1">
        <f t="array" ref="O15">_xlfn.IFS(Table1[[#This Row],[Divorced]]=1, "Divorced", Table1[[#This Row],[Married]]=1, "Married", Table1[[#This Row],[Single]]=1, "Single", Table1[[#This Row],[Together]]=1, "Together", Table1[[#This Row],[Widow]]=1, "Widow")</f>
        <v>Married</v>
      </c>
      <c r="P15" t="str" cm="1">
        <f t="array" ref="P15">_xlfn.IFS(Table1[[#This Row],[Basic]]=1, "Basic", Table1[[#This Row],[Graduate]]=1, "Graduate", Table1[[#This Row],[Master]]=1, "Master", Table1[[#This Row],[PhD]]=1, "PhD", AND(Table1[[#This Row],[Basic]]=0, Table1[[#This Row],[Graduate]]=0, Table1[[#This Row],[Master]]=0, Table1[[#This Row],[PhD]]=0), "NA")</f>
        <v>Graduate</v>
      </c>
      <c r="Q15" t="e">
        <f>_xlfn.XLOOKUP(Table1[[#This Row],[ID]], Table2[ID],#REF!, "Not Found", 0)</f>
        <v>#REF!</v>
      </c>
      <c r="R15" t="e">
        <f>_xlfn.XLOOKUP(Table1[[#This Row],[ID]], Table2[ID],#REF!, "Not Found", 0)</f>
        <v>#REF!</v>
      </c>
      <c r="S15" s="3" t="str">
        <f>_xlfn.XLOOKUP(Table1[[#This Row],[ID]], Table2[ID], Table2[Enrollment], "Not Found", 0)</f>
        <v>7/19/2020</v>
      </c>
      <c r="T15" t="s">
        <v>434</v>
      </c>
    </row>
    <row r="16" spans="1:20" x14ac:dyDescent="0.3">
      <c r="A16">
        <v>2968</v>
      </c>
      <c r="B16">
        <v>194472</v>
      </c>
      <c r="C16">
        <v>0</v>
      </c>
      <c r="D16">
        <v>1</v>
      </c>
      <c r="E16">
        <v>62</v>
      </c>
      <c r="F16">
        <v>0</v>
      </c>
      <c r="G16">
        <v>0</v>
      </c>
      <c r="H16">
        <v>1</v>
      </c>
      <c r="I16">
        <v>0</v>
      </c>
      <c r="J16">
        <v>0</v>
      </c>
      <c r="K16">
        <v>0</v>
      </c>
      <c r="L16">
        <v>1</v>
      </c>
      <c r="M16">
        <v>0</v>
      </c>
      <c r="N16">
        <v>0</v>
      </c>
      <c r="O16" t="str" cm="1">
        <f t="array" ref="O16">_xlfn.IFS(Table1[[#This Row],[Divorced]]=1, "Divorced", Table1[[#This Row],[Married]]=1, "Married", Table1[[#This Row],[Single]]=1, "Single", Table1[[#This Row],[Together]]=1, "Together", Table1[[#This Row],[Widow]]=1, "Widow")</f>
        <v>Single</v>
      </c>
      <c r="P16" t="str" cm="1">
        <f t="array" ref="P16">_xlfn.IFS(Table1[[#This Row],[Basic]]=1, "Basic", Table1[[#This Row],[Graduate]]=1, "Graduate", Table1[[#This Row],[Master]]=1, "Master", Table1[[#This Row],[PhD]]=1, "PhD", AND(Table1[[#This Row],[Basic]]=0, Table1[[#This Row],[Graduate]]=0, Table1[[#This Row],[Master]]=0, Table1[[#This Row],[PhD]]=0), "NA")</f>
        <v>Graduate</v>
      </c>
      <c r="Q16" t="e">
        <f>_xlfn.XLOOKUP(Table1[[#This Row],[ID]], Table2[ID],#REF!, "Not Found", 0)</f>
        <v>#REF!</v>
      </c>
      <c r="R16" t="e">
        <f>_xlfn.XLOOKUP(Table1[[#This Row],[ID]], Table2[ID],#REF!, "Not Found", 0)</f>
        <v>#REF!</v>
      </c>
      <c r="S16" s="3">
        <f>_xlfn.XLOOKUP(Table1[[#This Row],[ID]], Table2[ID], Table2[Enrollment], "Not Found", 0)</f>
        <v>44021</v>
      </c>
      <c r="T16" t="s">
        <v>439</v>
      </c>
    </row>
    <row r="17" spans="1:20" x14ac:dyDescent="0.3">
      <c r="A17">
        <v>1924</v>
      </c>
      <c r="B17">
        <v>194384</v>
      </c>
      <c r="C17">
        <v>0</v>
      </c>
      <c r="D17">
        <v>0</v>
      </c>
      <c r="E17">
        <v>67</v>
      </c>
      <c r="F17">
        <v>0</v>
      </c>
      <c r="G17">
        <v>0</v>
      </c>
      <c r="H17">
        <v>0</v>
      </c>
      <c r="I17">
        <v>1</v>
      </c>
      <c r="J17">
        <v>0</v>
      </c>
      <c r="K17">
        <v>0</v>
      </c>
      <c r="L17">
        <v>1</v>
      </c>
      <c r="M17">
        <v>0</v>
      </c>
      <c r="N17">
        <v>0</v>
      </c>
      <c r="O17" t="str" cm="1">
        <f t="array" ref="O17">_xlfn.IFS(Table1[[#This Row],[Divorced]]=1, "Divorced", Table1[[#This Row],[Married]]=1, "Married", Table1[[#This Row],[Single]]=1, "Single", Table1[[#This Row],[Together]]=1, "Together", Table1[[#This Row],[Widow]]=1, "Widow")</f>
        <v>Together</v>
      </c>
      <c r="P17" t="str" cm="1">
        <f t="array" ref="P17">_xlfn.IFS(Table1[[#This Row],[Basic]]=1, "Basic", Table1[[#This Row],[Graduate]]=1, "Graduate", Table1[[#This Row],[Master]]=1, "Master", Table1[[#This Row],[PhD]]=1, "PhD", AND(Table1[[#This Row],[Basic]]=0, Table1[[#This Row],[Graduate]]=0, Table1[[#This Row],[Master]]=0, Table1[[#This Row],[PhD]]=0), "NA")</f>
        <v>Graduate</v>
      </c>
      <c r="Q17" t="e">
        <f>_xlfn.XLOOKUP(Table1[[#This Row],[ID]], Table2[ID],#REF!, "Not Found", 0)</f>
        <v>#REF!</v>
      </c>
      <c r="R17" t="e">
        <f>_xlfn.XLOOKUP(Table1[[#This Row],[ID]], Table2[ID],#REF!, "Not Found", 0)</f>
        <v>#REF!</v>
      </c>
      <c r="S17" s="3">
        <f>_xlfn.XLOOKUP(Table1[[#This Row],[ID]], Table2[ID], Table2[Enrollment], "Not Found", 0)</f>
        <v>43716</v>
      </c>
      <c r="T17" t="s">
        <v>439</v>
      </c>
    </row>
    <row r="18" spans="1:20" x14ac:dyDescent="0.3">
      <c r="A18">
        <v>2281</v>
      </c>
      <c r="B18">
        <v>194384</v>
      </c>
      <c r="C18">
        <v>0</v>
      </c>
      <c r="D18">
        <v>0</v>
      </c>
      <c r="E18">
        <v>67</v>
      </c>
      <c r="F18">
        <v>0</v>
      </c>
      <c r="G18">
        <v>0</v>
      </c>
      <c r="H18">
        <v>0</v>
      </c>
      <c r="I18">
        <v>1</v>
      </c>
      <c r="J18">
        <v>0</v>
      </c>
      <c r="K18">
        <v>0</v>
      </c>
      <c r="L18">
        <v>1</v>
      </c>
      <c r="M18">
        <v>0</v>
      </c>
      <c r="N18">
        <v>0</v>
      </c>
      <c r="O18" t="str" cm="1">
        <f t="array" ref="O18">_xlfn.IFS(Table1[[#This Row],[Divorced]]=1, "Divorced", Table1[[#This Row],[Married]]=1, "Married", Table1[[#This Row],[Single]]=1, "Single", Table1[[#This Row],[Together]]=1, "Together", Table1[[#This Row],[Widow]]=1, "Widow")</f>
        <v>Together</v>
      </c>
      <c r="P18" t="str" cm="1">
        <f t="array" ref="P18">_xlfn.IFS(Table1[[#This Row],[Basic]]=1, "Basic", Table1[[#This Row],[Graduate]]=1, "Graduate", Table1[[#This Row],[Master]]=1, "Master", Table1[[#This Row],[PhD]]=1, "PhD", AND(Table1[[#This Row],[Basic]]=0, Table1[[#This Row],[Graduate]]=0, Table1[[#This Row],[Master]]=0, Table1[[#This Row],[PhD]]=0), "NA")</f>
        <v>Graduate</v>
      </c>
      <c r="Q18" t="e">
        <f>_xlfn.XLOOKUP(Table1[[#This Row],[ID]], Table2[ID],#REF!, "Not Found", 0)</f>
        <v>#REF!</v>
      </c>
      <c r="R18" t="e">
        <f>_xlfn.XLOOKUP(Table1[[#This Row],[ID]], Table2[ID],#REF!, "Not Found", 0)</f>
        <v>#REF!</v>
      </c>
      <c r="S18" s="3">
        <f>_xlfn.XLOOKUP(Table1[[#This Row],[ID]], Table2[ID], Table2[Enrollment], "Not Found", 0)</f>
        <v>43716</v>
      </c>
      <c r="T18" t="s">
        <v>437</v>
      </c>
    </row>
    <row r="19" spans="1:20" x14ac:dyDescent="0.3">
      <c r="A19">
        <v>2434</v>
      </c>
      <c r="B19">
        <v>193790</v>
      </c>
      <c r="C19">
        <v>0</v>
      </c>
      <c r="D19">
        <v>0</v>
      </c>
      <c r="E19">
        <v>50</v>
      </c>
      <c r="F19">
        <v>0</v>
      </c>
      <c r="G19">
        <v>0</v>
      </c>
      <c r="H19">
        <v>1</v>
      </c>
      <c r="I19">
        <v>0</v>
      </c>
      <c r="J19">
        <v>0</v>
      </c>
      <c r="K19">
        <v>0</v>
      </c>
      <c r="L19">
        <v>1</v>
      </c>
      <c r="M19">
        <v>0</v>
      </c>
      <c r="N19">
        <v>0</v>
      </c>
      <c r="O19" t="str" cm="1">
        <f t="array" ref="O19">_xlfn.IFS(Table1[[#This Row],[Divorced]]=1, "Divorced", Table1[[#This Row],[Married]]=1, "Married", Table1[[#This Row],[Single]]=1, "Single", Table1[[#This Row],[Together]]=1, "Together", Table1[[#This Row],[Widow]]=1, "Widow")</f>
        <v>Single</v>
      </c>
      <c r="P19" t="str" cm="1">
        <f t="array" ref="P19">_xlfn.IFS(Table1[[#This Row],[Basic]]=1, "Basic", Table1[[#This Row],[Graduate]]=1, "Graduate", Table1[[#This Row],[Master]]=1, "Master", Table1[[#This Row],[PhD]]=1, "PhD", AND(Table1[[#This Row],[Basic]]=0, Table1[[#This Row],[Graduate]]=0, Table1[[#This Row],[Master]]=0, Table1[[#This Row],[PhD]]=0), "NA")</f>
        <v>Graduate</v>
      </c>
      <c r="Q19" t="e">
        <f>_xlfn.XLOOKUP(Table1[[#This Row],[ID]], Table2[ID],#REF!, "Not Found", 0)</f>
        <v>#REF!</v>
      </c>
      <c r="R19" t="e">
        <f>_xlfn.XLOOKUP(Table1[[#This Row],[ID]], Table2[ID],#REF!, "Not Found", 0)</f>
        <v>#REF!</v>
      </c>
      <c r="S19" s="3" t="str">
        <f>_xlfn.XLOOKUP(Table1[[#This Row],[ID]], Table2[ID], Table2[Enrollment], "Not Found", 0)</f>
        <v>7/19/2020</v>
      </c>
      <c r="T19" t="s">
        <v>439</v>
      </c>
    </row>
    <row r="20" spans="1:20" x14ac:dyDescent="0.3">
      <c r="A20">
        <v>1807</v>
      </c>
      <c r="B20">
        <v>193404</v>
      </c>
      <c r="C20">
        <v>1</v>
      </c>
      <c r="D20">
        <v>2</v>
      </c>
      <c r="E20">
        <v>66</v>
      </c>
      <c r="F20">
        <v>0</v>
      </c>
      <c r="G20">
        <v>1</v>
      </c>
      <c r="H20">
        <v>0</v>
      </c>
      <c r="I20">
        <v>0</v>
      </c>
      <c r="J20">
        <v>0</v>
      </c>
      <c r="K20">
        <v>0</v>
      </c>
      <c r="L20">
        <v>1</v>
      </c>
      <c r="M20">
        <v>0</v>
      </c>
      <c r="N20">
        <v>0</v>
      </c>
      <c r="O20" t="str" cm="1">
        <f t="array" ref="O20">_xlfn.IFS(Table1[[#This Row],[Divorced]]=1, "Divorced", Table1[[#This Row],[Married]]=1, "Married", Table1[[#This Row],[Single]]=1, "Single", Table1[[#This Row],[Together]]=1, "Together", Table1[[#This Row],[Widow]]=1, "Widow")</f>
        <v>Married</v>
      </c>
      <c r="P20" t="str" cm="1">
        <f t="array" ref="P20">_xlfn.IFS(Table1[[#This Row],[Basic]]=1, "Basic", Table1[[#This Row],[Graduate]]=1, "Graduate", Table1[[#This Row],[Master]]=1, "Master", Table1[[#This Row],[PhD]]=1, "PhD", AND(Table1[[#This Row],[Basic]]=0, Table1[[#This Row],[Graduate]]=0, Table1[[#This Row],[Master]]=0, Table1[[#This Row],[PhD]]=0), "NA")</f>
        <v>Graduate</v>
      </c>
      <c r="Q20" t="e">
        <f>_xlfn.XLOOKUP(Table1[[#This Row],[ID]], Table2[ID],#REF!, "Not Found", 0)</f>
        <v>#REF!</v>
      </c>
      <c r="R20" t="e">
        <f>_xlfn.XLOOKUP(Table1[[#This Row],[ID]], Table2[ID],#REF!, "Not Found", 0)</f>
        <v>#REF!</v>
      </c>
      <c r="S20" s="3">
        <f>_xlfn.XLOOKUP(Table1[[#This Row],[ID]], Table2[ID], Table2[Enrollment], "Not Found", 0)</f>
        <v>43809</v>
      </c>
      <c r="T20" t="s">
        <v>437</v>
      </c>
    </row>
    <row r="21" spans="1:20" x14ac:dyDescent="0.3">
      <c r="A21">
        <v>1408</v>
      </c>
      <c r="B21">
        <v>193027</v>
      </c>
      <c r="C21">
        <v>0</v>
      </c>
      <c r="D21">
        <v>0</v>
      </c>
      <c r="E21">
        <v>79</v>
      </c>
      <c r="F21">
        <v>0</v>
      </c>
      <c r="G21">
        <v>1</v>
      </c>
      <c r="H21">
        <v>0</v>
      </c>
      <c r="I21">
        <v>0</v>
      </c>
      <c r="J21">
        <v>0</v>
      </c>
      <c r="K21">
        <v>0</v>
      </c>
      <c r="L21">
        <v>0</v>
      </c>
      <c r="M21">
        <v>0</v>
      </c>
      <c r="N21">
        <v>1</v>
      </c>
      <c r="O21" t="str" cm="1">
        <f t="array" ref="O21">_xlfn.IFS(Table1[[#This Row],[Divorced]]=1, "Divorced", Table1[[#This Row],[Married]]=1, "Married", Table1[[#This Row],[Single]]=1, "Single", Table1[[#This Row],[Together]]=1, "Together", Table1[[#This Row],[Widow]]=1, "Widow")</f>
        <v>Married</v>
      </c>
      <c r="P21" t="str" cm="1">
        <f t="array" ref="P21">_xlfn.IFS(Table1[[#This Row],[Basic]]=1, "Basic", Table1[[#This Row],[Graduate]]=1, "Graduate", Table1[[#This Row],[Master]]=1, "Master", Table1[[#This Row],[PhD]]=1, "PhD", AND(Table1[[#This Row],[Basic]]=0, Table1[[#This Row],[Graduate]]=0, Table1[[#This Row],[Master]]=0, Table1[[#This Row],[PhD]]=0), "NA")</f>
        <v>PhD</v>
      </c>
      <c r="Q21" t="e">
        <f>_xlfn.XLOOKUP(Table1[[#This Row],[ID]], Table2[ID],#REF!, "Not Found", 0)</f>
        <v>#REF!</v>
      </c>
      <c r="R21" t="e">
        <f>_xlfn.XLOOKUP(Table1[[#This Row],[ID]], Table2[ID],#REF!, "Not Found", 0)</f>
        <v>#REF!</v>
      </c>
      <c r="S21" s="3" t="str">
        <f>_xlfn.XLOOKUP(Table1[[#This Row],[ID]], Table2[ID], Table2[Enrollment], "Not Found", 0)</f>
        <v>9/18/2019</v>
      </c>
      <c r="T21" t="s">
        <v>439</v>
      </c>
    </row>
    <row r="22" spans="1:20" x14ac:dyDescent="0.3">
      <c r="A22">
        <v>1947</v>
      </c>
      <c r="B22">
        <v>192955</v>
      </c>
      <c r="C22">
        <v>0</v>
      </c>
      <c r="D22">
        <v>0</v>
      </c>
      <c r="E22">
        <v>47</v>
      </c>
      <c r="F22">
        <v>0</v>
      </c>
      <c r="G22">
        <v>1</v>
      </c>
      <c r="H22">
        <v>0</v>
      </c>
      <c r="I22">
        <v>0</v>
      </c>
      <c r="J22">
        <v>0</v>
      </c>
      <c r="K22">
        <v>0</v>
      </c>
      <c r="L22">
        <v>1</v>
      </c>
      <c r="M22">
        <v>0</v>
      </c>
      <c r="N22">
        <v>0</v>
      </c>
      <c r="O22" t="str" cm="1">
        <f t="array" ref="O22">_xlfn.IFS(Table1[[#This Row],[Divorced]]=1, "Divorced", Table1[[#This Row],[Married]]=1, "Married", Table1[[#This Row],[Single]]=1, "Single", Table1[[#This Row],[Together]]=1, "Together", Table1[[#This Row],[Widow]]=1, "Widow")</f>
        <v>Married</v>
      </c>
      <c r="P22" t="str" cm="1">
        <f t="array" ref="P22">_xlfn.IFS(Table1[[#This Row],[Basic]]=1, "Basic", Table1[[#This Row],[Graduate]]=1, "Graduate", Table1[[#This Row],[Master]]=1, "Master", Table1[[#This Row],[PhD]]=1, "PhD", AND(Table1[[#This Row],[Basic]]=0, Table1[[#This Row],[Graduate]]=0, Table1[[#This Row],[Master]]=0, Table1[[#This Row],[PhD]]=0), "NA")</f>
        <v>Graduate</v>
      </c>
      <c r="Q22" t="e">
        <f>_xlfn.XLOOKUP(Table1[[#This Row],[ID]], Table2[ID],#REF!, "Not Found", 0)</f>
        <v>#REF!</v>
      </c>
      <c r="R22" t="e">
        <f>_xlfn.XLOOKUP(Table1[[#This Row],[ID]], Table2[ID],#REF!, "Not Found", 0)</f>
        <v>#REF!</v>
      </c>
      <c r="S22" s="3" t="str">
        <f>_xlfn.XLOOKUP(Table1[[#This Row],[ID]], Table2[ID], Table2[Enrollment], "Not Found", 0)</f>
        <v>1/24/2020</v>
      </c>
      <c r="T22" t="s">
        <v>435</v>
      </c>
    </row>
    <row r="23" spans="1:20" x14ac:dyDescent="0.3">
      <c r="A23">
        <v>1410</v>
      </c>
      <c r="B23">
        <v>192910</v>
      </c>
      <c r="C23">
        <v>0</v>
      </c>
      <c r="D23">
        <v>0</v>
      </c>
      <c r="E23">
        <v>34</v>
      </c>
      <c r="F23">
        <v>0</v>
      </c>
      <c r="G23">
        <v>1</v>
      </c>
      <c r="H23">
        <v>0</v>
      </c>
      <c r="I23">
        <v>0</v>
      </c>
      <c r="J23">
        <v>0</v>
      </c>
      <c r="K23">
        <v>0</v>
      </c>
      <c r="L23">
        <v>1</v>
      </c>
      <c r="M23">
        <v>0</v>
      </c>
      <c r="N23">
        <v>0</v>
      </c>
      <c r="O23" t="str" cm="1">
        <f t="array" ref="O23">_xlfn.IFS(Table1[[#This Row],[Divorced]]=1, "Divorced", Table1[[#This Row],[Married]]=1, "Married", Table1[[#This Row],[Single]]=1, "Single", Table1[[#This Row],[Together]]=1, "Together", Table1[[#This Row],[Widow]]=1, "Widow")</f>
        <v>Married</v>
      </c>
      <c r="P23" t="str" cm="1">
        <f t="array" ref="P23">_xlfn.IFS(Table1[[#This Row],[Basic]]=1, "Basic", Table1[[#This Row],[Graduate]]=1, "Graduate", Table1[[#This Row],[Master]]=1, "Master", Table1[[#This Row],[PhD]]=1, "PhD", AND(Table1[[#This Row],[Basic]]=0, Table1[[#This Row],[Graduate]]=0, Table1[[#This Row],[Master]]=0, Table1[[#This Row],[PhD]]=0), "NA")</f>
        <v>Graduate</v>
      </c>
      <c r="Q23" t="e">
        <f>_xlfn.XLOOKUP(Table1[[#This Row],[ID]], Table2[ID],#REF!, "Not Found", 0)</f>
        <v>#REF!</v>
      </c>
      <c r="R23" t="e">
        <f>_xlfn.XLOOKUP(Table1[[#This Row],[ID]], Table2[ID],#REF!, "Not Found", 0)</f>
        <v>#REF!</v>
      </c>
      <c r="S23" s="3" t="str">
        <f>_xlfn.XLOOKUP(Table1[[#This Row],[ID]], Table2[ID], Table2[Enrollment], "Not Found", 0)</f>
        <v>9/28/2020</v>
      </c>
      <c r="T23" t="s">
        <v>436</v>
      </c>
    </row>
    <row r="24" spans="1:20" x14ac:dyDescent="0.3">
      <c r="A24">
        <v>1130</v>
      </c>
      <c r="B24">
        <v>192859</v>
      </c>
      <c r="C24">
        <v>0</v>
      </c>
      <c r="D24">
        <v>0</v>
      </c>
      <c r="E24">
        <v>28</v>
      </c>
      <c r="F24">
        <v>0</v>
      </c>
      <c r="G24">
        <v>0</v>
      </c>
      <c r="H24">
        <v>1</v>
      </c>
      <c r="I24">
        <v>0</v>
      </c>
      <c r="J24">
        <v>0</v>
      </c>
      <c r="K24">
        <v>0</v>
      </c>
      <c r="L24">
        <v>0</v>
      </c>
      <c r="M24">
        <v>1</v>
      </c>
      <c r="N24">
        <v>0</v>
      </c>
      <c r="O24" t="str" cm="1">
        <f t="array" ref="O24">_xlfn.IFS(Table1[[#This Row],[Divorced]]=1, "Divorced", Table1[[#This Row],[Married]]=1, "Married", Table1[[#This Row],[Single]]=1, "Single", Table1[[#This Row],[Together]]=1, "Together", Table1[[#This Row],[Widow]]=1, "Widow")</f>
        <v>Single</v>
      </c>
      <c r="P24" t="str" cm="1">
        <f t="array" ref="P24">_xlfn.IFS(Table1[[#This Row],[Basic]]=1, "Basic", Table1[[#This Row],[Graduate]]=1, "Graduate", Table1[[#This Row],[Master]]=1, "Master", Table1[[#This Row],[PhD]]=1, "PhD", AND(Table1[[#This Row],[Basic]]=0, Table1[[#This Row],[Graduate]]=0, Table1[[#This Row],[Master]]=0, Table1[[#This Row],[PhD]]=0), "NA")</f>
        <v>Master</v>
      </c>
      <c r="Q24" t="e">
        <f>_xlfn.XLOOKUP(Table1[[#This Row],[ID]], Table2[ID],#REF!, "Not Found", 0)</f>
        <v>#REF!</v>
      </c>
      <c r="R24" t="e">
        <f>_xlfn.XLOOKUP(Table1[[#This Row],[ID]], Table2[ID],#REF!, "Not Found", 0)</f>
        <v>#REF!</v>
      </c>
      <c r="S24" s="3" t="str">
        <f>_xlfn.XLOOKUP(Table1[[#This Row],[ID]], Table2[ID], Table2[Enrollment], "Not Found", 0)</f>
        <v>3/26/2019</v>
      </c>
      <c r="T24" t="s">
        <v>438</v>
      </c>
    </row>
    <row r="25" spans="1:20" x14ac:dyDescent="0.3">
      <c r="A25">
        <v>2885</v>
      </c>
      <c r="B25">
        <v>192556</v>
      </c>
      <c r="C25">
        <v>0</v>
      </c>
      <c r="D25">
        <v>0</v>
      </c>
      <c r="E25">
        <v>60</v>
      </c>
      <c r="F25">
        <v>0</v>
      </c>
      <c r="G25">
        <v>0</v>
      </c>
      <c r="H25">
        <v>0</v>
      </c>
      <c r="I25">
        <v>1</v>
      </c>
      <c r="J25">
        <v>0</v>
      </c>
      <c r="K25">
        <v>0</v>
      </c>
      <c r="L25">
        <v>0</v>
      </c>
      <c r="M25">
        <v>0</v>
      </c>
      <c r="N25">
        <v>0</v>
      </c>
      <c r="O25" t="str" cm="1">
        <f t="array" ref="O25">_xlfn.IFS(Table1[[#This Row],[Divorced]]=1, "Divorced", Table1[[#This Row],[Married]]=1, "Married", Table1[[#This Row],[Single]]=1, "Single", Table1[[#This Row],[Together]]=1, "Together", Table1[[#This Row],[Widow]]=1, "Widow")</f>
        <v>Together</v>
      </c>
      <c r="P25" t="str" cm="1">
        <f t="array" ref="P25">_xlfn.IFS(Table1[[#This Row],[Basic]]=1, "Basic", Table1[[#This Row],[Graduate]]=1, "Graduate", Table1[[#This Row],[Master]]=1, "Master", Table1[[#This Row],[PhD]]=1, "PhD", AND(Table1[[#This Row],[Basic]]=0, Table1[[#This Row],[Graduate]]=0, Table1[[#This Row],[Master]]=0, Table1[[#This Row],[PhD]]=0), "NA")</f>
        <v>NA</v>
      </c>
      <c r="Q25" t="e">
        <f>_xlfn.XLOOKUP(Table1[[#This Row],[ID]], Table2[ID],#REF!, "Not Found", 0)</f>
        <v>#REF!</v>
      </c>
      <c r="R25" t="e">
        <f>_xlfn.XLOOKUP(Table1[[#This Row],[ID]], Table2[ID],#REF!, "Not Found", 0)</f>
        <v>#REF!</v>
      </c>
      <c r="S25" s="3" t="str">
        <f>_xlfn.XLOOKUP(Table1[[#This Row],[ID]], Table2[ID], Table2[Enrollment], "Not Found", 0)</f>
        <v>9/24/2020</v>
      </c>
      <c r="T25" t="s">
        <v>434</v>
      </c>
    </row>
    <row r="26" spans="1:20" x14ac:dyDescent="0.3">
      <c r="A26">
        <v>2408</v>
      </c>
      <c r="B26">
        <v>192533</v>
      </c>
      <c r="C26">
        <v>0</v>
      </c>
      <c r="D26">
        <v>0</v>
      </c>
      <c r="E26">
        <v>35</v>
      </c>
      <c r="F26">
        <v>0</v>
      </c>
      <c r="G26">
        <v>1</v>
      </c>
      <c r="H26">
        <v>0</v>
      </c>
      <c r="I26">
        <v>0</v>
      </c>
      <c r="J26">
        <v>0</v>
      </c>
      <c r="K26">
        <v>0</v>
      </c>
      <c r="L26">
        <v>1</v>
      </c>
      <c r="M26">
        <v>0</v>
      </c>
      <c r="N26">
        <v>0</v>
      </c>
      <c r="O26" t="str" cm="1">
        <f t="array" ref="O26">_xlfn.IFS(Table1[[#This Row],[Divorced]]=1, "Divorced", Table1[[#This Row],[Married]]=1, "Married", Table1[[#This Row],[Single]]=1, "Single", Table1[[#This Row],[Together]]=1, "Together", Table1[[#This Row],[Widow]]=1, "Widow")</f>
        <v>Married</v>
      </c>
      <c r="P26" t="str" cm="1">
        <f t="array" ref="P26">_xlfn.IFS(Table1[[#This Row],[Basic]]=1, "Basic", Table1[[#This Row],[Graduate]]=1, "Graduate", Table1[[#This Row],[Master]]=1, "Master", Table1[[#This Row],[PhD]]=1, "PhD", AND(Table1[[#This Row],[Basic]]=0, Table1[[#This Row],[Graduate]]=0, Table1[[#This Row],[Master]]=0, Table1[[#This Row],[PhD]]=0), "NA")</f>
        <v>Graduate</v>
      </c>
      <c r="Q26" t="e">
        <f>_xlfn.XLOOKUP(Table1[[#This Row],[ID]], Table2[ID],#REF!, "Not Found", 0)</f>
        <v>#REF!</v>
      </c>
      <c r="R26" t="e">
        <f>_xlfn.XLOOKUP(Table1[[#This Row],[ID]], Table2[ID],#REF!, "Not Found", 0)</f>
        <v>#REF!</v>
      </c>
      <c r="S26" s="3" t="str">
        <f>_xlfn.XLOOKUP(Table1[[#This Row],[ID]], Table2[ID], Table2[Enrollment], "Not Found", 0)</f>
        <v>5/25/2020</v>
      </c>
      <c r="T26" t="s">
        <v>438</v>
      </c>
    </row>
    <row r="27" spans="1:20" x14ac:dyDescent="0.3">
      <c r="A27">
        <v>2696</v>
      </c>
      <c r="B27">
        <v>192491</v>
      </c>
      <c r="C27">
        <v>0</v>
      </c>
      <c r="D27">
        <v>0</v>
      </c>
      <c r="E27">
        <v>37</v>
      </c>
      <c r="F27">
        <v>0</v>
      </c>
      <c r="G27">
        <v>1</v>
      </c>
      <c r="H27">
        <v>0</v>
      </c>
      <c r="I27">
        <v>0</v>
      </c>
      <c r="J27">
        <v>0</v>
      </c>
      <c r="K27">
        <v>0</v>
      </c>
      <c r="L27">
        <v>0</v>
      </c>
      <c r="M27">
        <v>0</v>
      </c>
      <c r="N27">
        <v>1</v>
      </c>
      <c r="O27" t="str" cm="1">
        <f t="array" ref="O27">_xlfn.IFS(Table1[[#This Row],[Divorced]]=1, "Divorced", Table1[[#This Row],[Married]]=1, "Married", Table1[[#This Row],[Single]]=1, "Single", Table1[[#This Row],[Together]]=1, "Together", Table1[[#This Row],[Widow]]=1, "Widow")</f>
        <v>Married</v>
      </c>
      <c r="P27" t="str" cm="1">
        <f t="array" ref="P27">_xlfn.IFS(Table1[[#This Row],[Basic]]=1, "Basic", Table1[[#This Row],[Graduate]]=1, "Graduate", Table1[[#This Row],[Master]]=1, "Master", Table1[[#This Row],[PhD]]=1, "PhD", AND(Table1[[#This Row],[Basic]]=0, Table1[[#This Row],[Graduate]]=0, Table1[[#This Row],[Master]]=0, Table1[[#This Row],[PhD]]=0), "NA")</f>
        <v>PhD</v>
      </c>
      <c r="Q27" t="e">
        <f>_xlfn.XLOOKUP(Table1[[#This Row],[ID]], Table2[ID],#REF!, "Not Found", 0)</f>
        <v>#REF!</v>
      </c>
      <c r="R27" t="e">
        <f>_xlfn.XLOOKUP(Table1[[#This Row],[ID]], Table2[ID],#REF!, "Not Found", 0)</f>
        <v>#REF!</v>
      </c>
      <c r="S27" s="3">
        <f>_xlfn.XLOOKUP(Table1[[#This Row],[ID]], Table2[ID], Table2[Enrollment], "Not Found", 0)</f>
        <v>43626</v>
      </c>
      <c r="T27" t="s">
        <v>438</v>
      </c>
    </row>
    <row r="28" spans="1:20" x14ac:dyDescent="0.3">
      <c r="A28">
        <v>2362</v>
      </c>
      <c r="B28">
        <v>192344</v>
      </c>
      <c r="C28">
        <v>0</v>
      </c>
      <c r="D28">
        <v>0</v>
      </c>
      <c r="E28">
        <v>72</v>
      </c>
      <c r="F28">
        <v>0</v>
      </c>
      <c r="G28">
        <v>1</v>
      </c>
      <c r="H28">
        <v>0</v>
      </c>
      <c r="I28">
        <v>0</v>
      </c>
      <c r="J28">
        <v>0</v>
      </c>
      <c r="K28">
        <v>0</v>
      </c>
      <c r="L28">
        <v>1</v>
      </c>
      <c r="M28">
        <v>0</v>
      </c>
      <c r="N28">
        <v>0</v>
      </c>
      <c r="O28" t="str" cm="1">
        <f t="array" ref="O28">_xlfn.IFS(Table1[[#This Row],[Divorced]]=1, "Divorced", Table1[[#This Row],[Married]]=1, "Married", Table1[[#This Row],[Single]]=1, "Single", Table1[[#This Row],[Together]]=1, "Together", Table1[[#This Row],[Widow]]=1, "Widow")</f>
        <v>Married</v>
      </c>
      <c r="P28" t="str" cm="1">
        <f t="array" ref="P28">_xlfn.IFS(Table1[[#This Row],[Basic]]=1, "Basic", Table1[[#This Row],[Graduate]]=1, "Graduate", Table1[[#This Row],[Master]]=1, "Master", Table1[[#This Row],[PhD]]=1, "PhD", AND(Table1[[#This Row],[Basic]]=0, Table1[[#This Row],[Graduate]]=0, Table1[[#This Row],[Master]]=0, Table1[[#This Row],[PhD]]=0), "NA")</f>
        <v>Graduate</v>
      </c>
      <c r="Q28" t="e">
        <f>_xlfn.XLOOKUP(Table1[[#This Row],[ID]], Table2[ID],#REF!, "Not Found", 0)</f>
        <v>#REF!</v>
      </c>
      <c r="R28" t="e">
        <f>_xlfn.XLOOKUP(Table1[[#This Row],[ID]], Table2[ID],#REF!, "Not Found", 0)</f>
        <v>#REF!</v>
      </c>
      <c r="S28" s="3" t="str">
        <f>_xlfn.XLOOKUP(Table1[[#This Row],[ID]], Table2[ID], Table2[Enrollment], "Not Found", 0)</f>
        <v>6/21/2020</v>
      </c>
      <c r="T28" t="s">
        <v>439</v>
      </c>
    </row>
    <row r="29" spans="1:20" x14ac:dyDescent="0.3">
      <c r="A29">
        <v>1575</v>
      </c>
      <c r="B29">
        <v>192163</v>
      </c>
      <c r="C29">
        <v>0</v>
      </c>
      <c r="D29">
        <v>0</v>
      </c>
      <c r="E29">
        <v>45</v>
      </c>
      <c r="F29">
        <v>0</v>
      </c>
      <c r="G29">
        <v>1</v>
      </c>
      <c r="H29">
        <v>0</v>
      </c>
      <c r="I29">
        <v>0</v>
      </c>
      <c r="J29">
        <v>0</v>
      </c>
      <c r="K29">
        <v>0</v>
      </c>
      <c r="L29">
        <v>0</v>
      </c>
      <c r="M29">
        <v>1</v>
      </c>
      <c r="N29">
        <v>0</v>
      </c>
      <c r="O29" t="str" cm="1">
        <f t="array" ref="O29">_xlfn.IFS(Table1[[#This Row],[Divorced]]=1, "Divorced", Table1[[#This Row],[Married]]=1, "Married", Table1[[#This Row],[Single]]=1, "Single", Table1[[#This Row],[Together]]=1, "Together", Table1[[#This Row],[Widow]]=1, "Widow")</f>
        <v>Married</v>
      </c>
      <c r="P29" t="str" cm="1">
        <f t="array" ref="P29">_xlfn.IFS(Table1[[#This Row],[Basic]]=1, "Basic", Table1[[#This Row],[Graduate]]=1, "Graduate", Table1[[#This Row],[Master]]=1, "Master", Table1[[#This Row],[PhD]]=1, "PhD", AND(Table1[[#This Row],[Basic]]=0, Table1[[#This Row],[Graduate]]=0, Table1[[#This Row],[Master]]=0, Table1[[#This Row],[PhD]]=0), "NA")</f>
        <v>Master</v>
      </c>
      <c r="Q29" t="e">
        <f>_xlfn.XLOOKUP(Table1[[#This Row],[ID]], Table2[ID],#REF!, "Not Found", 0)</f>
        <v>#REF!</v>
      </c>
      <c r="R29" t="e">
        <f>_xlfn.XLOOKUP(Table1[[#This Row],[ID]], Table2[ID],#REF!, "Not Found", 0)</f>
        <v>#REF!</v>
      </c>
      <c r="S29" s="3" t="str">
        <f>_xlfn.XLOOKUP(Table1[[#This Row],[ID]], Table2[ID], Table2[Enrollment], "Not Found", 0)</f>
        <v>5/19/2019</v>
      </c>
      <c r="T29" t="s">
        <v>435</v>
      </c>
    </row>
    <row r="30" spans="1:20" x14ac:dyDescent="0.3">
      <c r="A30">
        <v>1795</v>
      </c>
      <c r="B30">
        <v>191820</v>
      </c>
      <c r="C30">
        <v>0</v>
      </c>
      <c r="D30">
        <v>0</v>
      </c>
      <c r="E30">
        <v>34</v>
      </c>
      <c r="F30">
        <v>0</v>
      </c>
      <c r="G30">
        <v>0</v>
      </c>
      <c r="H30">
        <v>0</v>
      </c>
      <c r="I30">
        <v>1</v>
      </c>
      <c r="J30">
        <v>0</v>
      </c>
      <c r="K30">
        <v>0</v>
      </c>
      <c r="L30">
        <v>0</v>
      </c>
      <c r="M30">
        <v>0</v>
      </c>
      <c r="N30">
        <v>1</v>
      </c>
      <c r="O30" t="str" cm="1">
        <f t="array" ref="O30">_xlfn.IFS(Table1[[#This Row],[Divorced]]=1, "Divorced", Table1[[#This Row],[Married]]=1, "Married", Table1[[#This Row],[Single]]=1, "Single", Table1[[#This Row],[Together]]=1, "Together", Table1[[#This Row],[Widow]]=1, "Widow")</f>
        <v>Together</v>
      </c>
      <c r="P30" t="str" cm="1">
        <f t="array" ref="P30">_xlfn.IFS(Table1[[#This Row],[Basic]]=1, "Basic", Table1[[#This Row],[Graduate]]=1, "Graduate", Table1[[#This Row],[Master]]=1, "Master", Table1[[#This Row],[PhD]]=1, "PhD", AND(Table1[[#This Row],[Basic]]=0, Table1[[#This Row],[Graduate]]=0, Table1[[#This Row],[Master]]=0, Table1[[#This Row],[PhD]]=0), "NA")</f>
        <v>PhD</v>
      </c>
      <c r="Q30" t="e">
        <f>_xlfn.XLOOKUP(Table1[[#This Row],[ID]], Table2[ID],#REF!, "Not Found", 0)</f>
        <v>#REF!</v>
      </c>
      <c r="R30" t="e">
        <f>_xlfn.XLOOKUP(Table1[[#This Row],[ID]], Table2[ID],#REF!, "Not Found", 0)</f>
        <v>#REF!</v>
      </c>
      <c r="S30" s="3" t="str">
        <f>_xlfn.XLOOKUP(Table1[[#This Row],[ID]], Table2[ID], Table2[Enrollment], "Not Found", 0)</f>
        <v>4/29/2020</v>
      </c>
      <c r="T30" t="s">
        <v>437</v>
      </c>
    </row>
    <row r="31" spans="1:20" x14ac:dyDescent="0.3">
      <c r="A31">
        <v>2967</v>
      </c>
      <c r="B31">
        <v>191712</v>
      </c>
      <c r="C31">
        <v>0</v>
      </c>
      <c r="D31">
        <v>0</v>
      </c>
      <c r="E31">
        <v>73</v>
      </c>
      <c r="F31">
        <v>0</v>
      </c>
      <c r="G31">
        <v>0</v>
      </c>
      <c r="H31">
        <v>1</v>
      </c>
      <c r="I31">
        <v>0</v>
      </c>
      <c r="J31">
        <v>0</v>
      </c>
      <c r="K31">
        <v>0</v>
      </c>
      <c r="L31">
        <v>0</v>
      </c>
      <c r="M31">
        <v>1</v>
      </c>
      <c r="N31">
        <v>0</v>
      </c>
      <c r="O31" t="str" cm="1">
        <f t="array" ref="O31">_xlfn.IFS(Table1[[#This Row],[Divorced]]=1, "Divorced", Table1[[#This Row],[Married]]=1, "Married", Table1[[#This Row],[Single]]=1, "Single", Table1[[#This Row],[Together]]=1, "Together", Table1[[#This Row],[Widow]]=1, "Widow")</f>
        <v>Single</v>
      </c>
      <c r="P31" t="str" cm="1">
        <f t="array" ref="P31">_xlfn.IFS(Table1[[#This Row],[Basic]]=1, "Basic", Table1[[#This Row],[Graduate]]=1, "Graduate", Table1[[#This Row],[Master]]=1, "Master", Table1[[#This Row],[PhD]]=1, "PhD", AND(Table1[[#This Row],[Basic]]=0, Table1[[#This Row],[Graduate]]=0, Table1[[#This Row],[Master]]=0, Table1[[#This Row],[PhD]]=0), "NA")</f>
        <v>Master</v>
      </c>
      <c r="Q31" t="e">
        <f>_xlfn.XLOOKUP(Table1[[#This Row],[ID]], Table2[ID],#REF!, "Not Found", 0)</f>
        <v>#REF!</v>
      </c>
      <c r="R31" t="e">
        <f>_xlfn.XLOOKUP(Table1[[#This Row],[ID]], Table2[ID],#REF!, "Not Found", 0)</f>
        <v>#REF!</v>
      </c>
      <c r="S31" s="3" t="str">
        <f>_xlfn.XLOOKUP(Table1[[#This Row],[ID]], Table2[ID], Table2[Enrollment], "Not Found", 0)</f>
        <v>3/23/2020</v>
      </c>
      <c r="T31" t="s">
        <v>435</v>
      </c>
    </row>
    <row r="32" spans="1:20" x14ac:dyDescent="0.3">
      <c r="A32">
        <v>2012</v>
      </c>
      <c r="B32">
        <v>191700</v>
      </c>
      <c r="C32">
        <v>0</v>
      </c>
      <c r="D32">
        <v>0</v>
      </c>
      <c r="E32">
        <v>49</v>
      </c>
      <c r="F32">
        <v>0</v>
      </c>
      <c r="G32">
        <v>0</v>
      </c>
      <c r="H32">
        <v>1</v>
      </c>
      <c r="I32">
        <v>0</v>
      </c>
      <c r="J32">
        <v>0</v>
      </c>
      <c r="K32">
        <v>0</v>
      </c>
      <c r="L32">
        <v>1</v>
      </c>
      <c r="M32">
        <v>0</v>
      </c>
      <c r="N32">
        <v>0</v>
      </c>
      <c r="O32" t="str" cm="1">
        <f t="array" ref="O32">_xlfn.IFS(Table1[[#This Row],[Divorced]]=1, "Divorced", Table1[[#This Row],[Married]]=1, "Married", Table1[[#This Row],[Single]]=1, "Single", Table1[[#This Row],[Together]]=1, "Together", Table1[[#This Row],[Widow]]=1, "Widow")</f>
        <v>Single</v>
      </c>
      <c r="P32" t="str" cm="1">
        <f t="array" ref="P32">_xlfn.IFS(Table1[[#This Row],[Basic]]=1, "Basic", Table1[[#This Row],[Graduate]]=1, "Graduate", Table1[[#This Row],[Master]]=1, "Master", Table1[[#This Row],[PhD]]=1, "PhD", AND(Table1[[#This Row],[Basic]]=0, Table1[[#This Row],[Graduate]]=0, Table1[[#This Row],[Master]]=0, Table1[[#This Row],[PhD]]=0), "NA")</f>
        <v>Graduate</v>
      </c>
      <c r="Q32" t="e">
        <f>_xlfn.XLOOKUP(Table1[[#This Row],[ID]], Table2[ID],#REF!, "Not Found", 0)</f>
        <v>#REF!</v>
      </c>
      <c r="R32" t="e">
        <f>_xlfn.XLOOKUP(Table1[[#This Row],[ID]], Table2[ID],#REF!, "Not Found", 0)</f>
        <v>#REF!</v>
      </c>
      <c r="S32" s="3" t="str">
        <f>_xlfn.XLOOKUP(Table1[[#This Row],[ID]], Table2[ID], Table2[Enrollment], "Not Found", 0)</f>
        <v>6/24/2019</v>
      </c>
      <c r="T32" t="s">
        <v>438</v>
      </c>
    </row>
    <row r="33" spans="1:20" x14ac:dyDescent="0.3">
      <c r="A33">
        <v>2897</v>
      </c>
      <c r="B33">
        <v>191249</v>
      </c>
      <c r="C33">
        <v>0</v>
      </c>
      <c r="D33">
        <v>0</v>
      </c>
      <c r="E33">
        <v>64</v>
      </c>
      <c r="F33">
        <v>0</v>
      </c>
      <c r="G33">
        <v>0</v>
      </c>
      <c r="H33">
        <v>1</v>
      </c>
      <c r="I33">
        <v>0</v>
      </c>
      <c r="J33">
        <v>0</v>
      </c>
      <c r="K33">
        <v>0</v>
      </c>
      <c r="L33">
        <v>1</v>
      </c>
      <c r="M33">
        <v>0</v>
      </c>
      <c r="N33">
        <v>0</v>
      </c>
      <c r="O33" t="str" cm="1">
        <f t="array" ref="O33">_xlfn.IFS(Table1[[#This Row],[Divorced]]=1, "Divorced", Table1[[#This Row],[Married]]=1, "Married", Table1[[#This Row],[Single]]=1, "Single", Table1[[#This Row],[Together]]=1, "Together", Table1[[#This Row],[Widow]]=1, "Widow")</f>
        <v>Single</v>
      </c>
      <c r="P33" t="str" cm="1">
        <f t="array" ref="P33">_xlfn.IFS(Table1[[#This Row],[Basic]]=1, "Basic", Table1[[#This Row],[Graduate]]=1, "Graduate", Table1[[#This Row],[Master]]=1, "Master", Table1[[#This Row],[PhD]]=1, "PhD", AND(Table1[[#This Row],[Basic]]=0, Table1[[#This Row],[Graduate]]=0, Table1[[#This Row],[Master]]=0, Table1[[#This Row],[PhD]]=0), "NA")</f>
        <v>Graduate</v>
      </c>
      <c r="Q33" t="e">
        <f>_xlfn.XLOOKUP(Table1[[#This Row],[ID]], Table2[ID],#REF!, "Not Found", 0)</f>
        <v>#REF!</v>
      </c>
      <c r="R33" t="e">
        <f>_xlfn.XLOOKUP(Table1[[#This Row],[ID]], Table2[ID],#REF!, "Not Found", 0)</f>
        <v>#REF!</v>
      </c>
      <c r="S33" s="3" t="str">
        <f>_xlfn.XLOOKUP(Table1[[#This Row],[ID]], Table2[ID], Table2[Enrollment], "Not Found", 0)</f>
        <v>3/27/2019</v>
      </c>
      <c r="T33" t="s">
        <v>434</v>
      </c>
    </row>
    <row r="34" spans="1:20" x14ac:dyDescent="0.3">
      <c r="A34">
        <v>3135</v>
      </c>
      <c r="B34">
        <v>191172</v>
      </c>
      <c r="C34">
        <v>0</v>
      </c>
      <c r="D34">
        <v>0</v>
      </c>
      <c r="E34">
        <v>30</v>
      </c>
      <c r="F34">
        <v>0</v>
      </c>
      <c r="G34">
        <v>0</v>
      </c>
      <c r="H34">
        <v>1</v>
      </c>
      <c r="I34">
        <v>0</v>
      </c>
      <c r="J34">
        <v>0</v>
      </c>
      <c r="K34">
        <v>0</v>
      </c>
      <c r="L34">
        <v>0</v>
      </c>
      <c r="M34">
        <v>1</v>
      </c>
      <c r="N34">
        <v>0</v>
      </c>
      <c r="O34" t="str" cm="1">
        <f t="array" ref="O34">_xlfn.IFS(Table1[[#This Row],[Divorced]]=1, "Divorced", Table1[[#This Row],[Married]]=1, "Married", Table1[[#This Row],[Single]]=1, "Single", Table1[[#This Row],[Together]]=1, "Together", Table1[[#This Row],[Widow]]=1, "Widow")</f>
        <v>Single</v>
      </c>
      <c r="P34" t="str" cm="1">
        <f t="array" ref="P34">_xlfn.IFS(Table1[[#This Row],[Basic]]=1, "Basic", Table1[[#This Row],[Graduate]]=1, "Graduate", Table1[[#This Row],[Master]]=1, "Master", Table1[[#This Row],[PhD]]=1, "PhD", AND(Table1[[#This Row],[Basic]]=0, Table1[[#This Row],[Graduate]]=0, Table1[[#This Row],[Master]]=0, Table1[[#This Row],[PhD]]=0), "NA")</f>
        <v>Master</v>
      </c>
      <c r="Q34" t="e">
        <f>_xlfn.XLOOKUP(Table1[[#This Row],[ID]], Table2[ID],#REF!, "Not Found", 0)</f>
        <v>#REF!</v>
      </c>
      <c r="R34" t="e">
        <f>_xlfn.XLOOKUP(Table1[[#This Row],[ID]], Table2[ID],#REF!, "Not Found", 0)</f>
        <v>#REF!</v>
      </c>
      <c r="S34" s="3">
        <f>_xlfn.XLOOKUP(Table1[[#This Row],[ID]], Table2[ID], Table2[Enrollment], "Not Found", 0)</f>
        <v>43474</v>
      </c>
      <c r="T34" t="s">
        <v>435</v>
      </c>
    </row>
    <row r="35" spans="1:20" x14ac:dyDescent="0.3">
      <c r="A35">
        <v>1402</v>
      </c>
      <c r="B35">
        <v>191065</v>
      </c>
      <c r="C35">
        <v>0</v>
      </c>
      <c r="D35">
        <v>0</v>
      </c>
      <c r="E35">
        <v>39</v>
      </c>
      <c r="F35">
        <v>0</v>
      </c>
      <c r="G35">
        <v>0</v>
      </c>
      <c r="H35">
        <v>1</v>
      </c>
      <c r="I35">
        <v>0</v>
      </c>
      <c r="J35">
        <v>0</v>
      </c>
      <c r="K35">
        <v>0</v>
      </c>
      <c r="L35">
        <v>1</v>
      </c>
      <c r="M35">
        <v>0</v>
      </c>
      <c r="N35">
        <v>0</v>
      </c>
      <c r="O35" t="str" cm="1">
        <f t="array" ref="O35">_xlfn.IFS(Table1[[#This Row],[Divorced]]=1, "Divorced", Table1[[#This Row],[Married]]=1, "Married", Table1[[#This Row],[Single]]=1, "Single", Table1[[#This Row],[Together]]=1, "Together", Table1[[#This Row],[Widow]]=1, "Widow")</f>
        <v>Single</v>
      </c>
      <c r="P35" t="str" cm="1">
        <f t="array" ref="P35">_xlfn.IFS(Table1[[#This Row],[Basic]]=1, "Basic", Table1[[#This Row],[Graduate]]=1, "Graduate", Table1[[#This Row],[Master]]=1, "Master", Table1[[#This Row],[PhD]]=1, "PhD", AND(Table1[[#This Row],[Basic]]=0, Table1[[#This Row],[Graduate]]=0, Table1[[#This Row],[Master]]=0, Table1[[#This Row],[PhD]]=0), "NA")</f>
        <v>Graduate</v>
      </c>
      <c r="Q35" t="e">
        <f>_xlfn.XLOOKUP(Table1[[#This Row],[ID]], Table2[ID],#REF!, "Not Found", 0)</f>
        <v>#REF!</v>
      </c>
      <c r="R35" t="e">
        <f>_xlfn.XLOOKUP(Table1[[#This Row],[ID]], Table2[ID],#REF!, "Not Found", 0)</f>
        <v>#REF!</v>
      </c>
      <c r="S35" s="3" t="str">
        <f>_xlfn.XLOOKUP(Table1[[#This Row],[ID]], Table2[ID], Table2[Enrollment], "Not Found", 0)</f>
        <v>7/30/2019</v>
      </c>
      <c r="T35" t="s">
        <v>439</v>
      </c>
    </row>
    <row r="36" spans="1:20" x14ac:dyDescent="0.3">
      <c r="A36">
        <v>2872</v>
      </c>
      <c r="B36">
        <v>190933</v>
      </c>
      <c r="C36">
        <v>0</v>
      </c>
      <c r="D36">
        <v>0</v>
      </c>
      <c r="E36">
        <v>66</v>
      </c>
      <c r="F36">
        <v>0</v>
      </c>
      <c r="G36">
        <v>0</v>
      </c>
      <c r="H36">
        <v>1</v>
      </c>
      <c r="I36">
        <v>0</v>
      </c>
      <c r="J36">
        <v>0</v>
      </c>
      <c r="K36">
        <v>0</v>
      </c>
      <c r="L36">
        <v>0</v>
      </c>
      <c r="M36">
        <v>0</v>
      </c>
      <c r="N36">
        <v>1</v>
      </c>
      <c r="O36" t="str" cm="1">
        <f t="array" ref="O36">_xlfn.IFS(Table1[[#This Row],[Divorced]]=1, "Divorced", Table1[[#This Row],[Married]]=1, "Married", Table1[[#This Row],[Single]]=1, "Single", Table1[[#This Row],[Together]]=1, "Together", Table1[[#This Row],[Widow]]=1, "Widow")</f>
        <v>Single</v>
      </c>
      <c r="P36" t="str" cm="1">
        <f t="array" ref="P36">_xlfn.IFS(Table1[[#This Row],[Basic]]=1, "Basic", Table1[[#This Row],[Graduate]]=1, "Graduate", Table1[[#This Row],[Master]]=1, "Master", Table1[[#This Row],[PhD]]=1, "PhD", AND(Table1[[#This Row],[Basic]]=0, Table1[[#This Row],[Graduate]]=0, Table1[[#This Row],[Master]]=0, Table1[[#This Row],[PhD]]=0), "NA")</f>
        <v>PhD</v>
      </c>
      <c r="Q36" t="e">
        <f>_xlfn.XLOOKUP(Table1[[#This Row],[ID]], Table2[ID],#REF!, "Not Found", 0)</f>
        <v>#REF!</v>
      </c>
      <c r="R36" t="e">
        <f>_xlfn.XLOOKUP(Table1[[#This Row],[ID]], Table2[ID],#REF!, "Not Found", 0)</f>
        <v>#REF!</v>
      </c>
      <c r="S36" s="3">
        <f>_xlfn.XLOOKUP(Table1[[#This Row],[ID]], Table2[ID], Table2[Enrollment], "Not Found", 0)</f>
        <v>43930</v>
      </c>
      <c r="T36" t="s">
        <v>439</v>
      </c>
    </row>
    <row r="37" spans="1:20" x14ac:dyDescent="0.3">
      <c r="A37">
        <v>2313</v>
      </c>
      <c r="B37">
        <v>190842</v>
      </c>
      <c r="C37">
        <v>0</v>
      </c>
      <c r="D37">
        <v>0</v>
      </c>
      <c r="E37">
        <v>72</v>
      </c>
      <c r="F37">
        <v>0</v>
      </c>
      <c r="G37">
        <v>0</v>
      </c>
      <c r="H37">
        <v>1</v>
      </c>
      <c r="I37">
        <v>0</v>
      </c>
      <c r="J37">
        <v>0</v>
      </c>
      <c r="K37">
        <v>0</v>
      </c>
      <c r="L37">
        <v>1</v>
      </c>
      <c r="M37">
        <v>0</v>
      </c>
      <c r="N37">
        <v>0</v>
      </c>
      <c r="O37" t="str" cm="1">
        <f t="array" ref="O37">_xlfn.IFS(Table1[[#This Row],[Divorced]]=1, "Divorced", Table1[[#This Row],[Married]]=1, "Married", Table1[[#This Row],[Single]]=1, "Single", Table1[[#This Row],[Together]]=1, "Together", Table1[[#This Row],[Widow]]=1, "Widow")</f>
        <v>Single</v>
      </c>
      <c r="P37" t="str" cm="1">
        <f t="array" ref="P37">_xlfn.IFS(Table1[[#This Row],[Basic]]=1, "Basic", Table1[[#This Row],[Graduate]]=1, "Graduate", Table1[[#This Row],[Master]]=1, "Master", Table1[[#This Row],[PhD]]=1, "PhD", AND(Table1[[#This Row],[Basic]]=0, Table1[[#This Row],[Graduate]]=0, Table1[[#This Row],[Master]]=0, Table1[[#This Row],[PhD]]=0), "NA")</f>
        <v>Graduate</v>
      </c>
      <c r="Q37" t="e">
        <f>_xlfn.XLOOKUP(Table1[[#This Row],[ID]], Table2[ID],#REF!, "Not Found", 0)</f>
        <v>#REF!</v>
      </c>
      <c r="R37" t="e">
        <f>_xlfn.XLOOKUP(Table1[[#This Row],[ID]], Table2[ID],#REF!, "Not Found", 0)</f>
        <v>#REF!</v>
      </c>
      <c r="S37" s="3">
        <f>_xlfn.XLOOKUP(Table1[[#This Row],[ID]], Table2[ID], Table2[Enrollment], "Not Found", 0)</f>
        <v>43891</v>
      </c>
      <c r="T37" t="s">
        <v>435</v>
      </c>
    </row>
    <row r="38" spans="1:20" x14ac:dyDescent="0.3">
      <c r="A38">
        <v>1108</v>
      </c>
      <c r="B38">
        <v>190765</v>
      </c>
      <c r="C38">
        <v>0</v>
      </c>
      <c r="D38">
        <v>0</v>
      </c>
      <c r="E38">
        <v>50</v>
      </c>
      <c r="F38">
        <v>0</v>
      </c>
      <c r="G38">
        <v>1</v>
      </c>
      <c r="H38">
        <v>0</v>
      </c>
      <c r="I38">
        <v>0</v>
      </c>
      <c r="J38">
        <v>0</v>
      </c>
      <c r="K38">
        <v>0</v>
      </c>
      <c r="L38">
        <v>1</v>
      </c>
      <c r="M38">
        <v>0</v>
      </c>
      <c r="N38">
        <v>0</v>
      </c>
      <c r="O38" t="str" cm="1">
        <f t="array" ref="O38">_xlfn.IFS(Table1[[#This Row],[Divorced]]=1, "Divorced", Table1[[#This Row],[Married]]=1, "Married", Table1[[#This Row],[Single]]=1, "Single", Table1[[#This Row],[Together]]=1, "Together", Table1[[#This Row],[Widow]]=1, "Widow")</f>
        <v>Married</v>
      </c>
      <c r="P38" t="str" cm="1">
        <f t="array" ref="P38">_xlfn.IFS(Table1[[#This Row],[Basic]]=1, "Basic", Table1[[#This Row],[Graduate]]=1, "Graduate", Table1[[#This Row],[Master]]=1, "Master", Table1[[#This Row],[PhD]]=1, "PhD", AND(Table1[[#This Row],[Basic]]=0, Table1[[#This Row],[Graduate]]=0, Table1[[#This Row],[Master]]=0, Table1[[#This Row],[PhD]]=0), "NA")</f>
        <v>Graduate</v>
      </c>
      <c r="Q38" t="e">
        <f>_xlfn.XLOOKUP(Table1[[#This Row],[ID]], Table2[ID],#REF!, "Not Found", 0)</f>
        <v>#REF!</v>
      </c>
      <c r="R38" t="e">
        <f>_xlfn.XLOOKUP(Table1[[#This Row],[ID]], Table2[ID],#REF!, "Not Found", 0)</f>
        <v>#REF!</v>
      </c>
      <c r="S38" s="3" t="str">
        <f>_xlfn.XLOOKUP(Table1[[#This Row],[ID]], Table2[ID], Table2[Enrollment], "Not Found", 0)</f>
        <v>6/30/2020</v>
      </c>
      <c r="T38" t="s">
        <v>439</v>
      </c>
    </row>
    <row r="39" spans="1:20" x14ac:dyDescent="0.3">
      <c r="A39">
        <v>2242</v>
      </c>
      <c r="B39">
        <v>190687</v>
      </c>
      <c r="C39">
        <v>0</v>
      </c>
      <c r="D39">
        <v>0</v>
      </c>
      <c r="E39">
        <v>37</v>
      </c>
      <c r="F39">
        <v>1</v>
      </c>
      <c r="G39">
        <v>0</v>
      </c>
      <c r="H39">
        <v>0</v>
      </c>
      <c r="I39">
        <v>0</v>
      </c>
      <c r="J39">
        <v>0</v>
      </c>
      <c r="K39">
        <v>0</v>
      </c>
      <c r="L39">
        <v>0</v>
      </c>
      <c r="M39">
        <v>0</v>
      </c>
      <c r="N39">
        <v>1</v>
      </c>
      <c r="O39" t="str" cm="1">
        <f t="array" ref="O39">_xlfn.IFS(Table1[[#This Row],[Divorced]]=1, "Divorced", Table1[[#This Row],[Married]]=1, "Married", Table1[[#This Row],[Single]]=1, "Single", Table1[[#This Row],[Together]]=1, "Together", Table1[[#This Row],[Widow]]=1, "Widow")</f>
        <v>Divorced</v>
      </c>
      <c r="P39" t="str" cm="1">
        <f t="array" ref="P39">_xlfn.IFS(Table1[[#This Row],[Basic]]=1, "Basic", Table1[[#This Row],[Graduate]]=1, "Graduate", Table1[[#This Row],[Master]]=1, "Master", Table1[[#This Row],[PhD]]=1, "PhD", AND(Table1[[#This Row],[Basic]]=0, Table1[[#This Row],[Graduate]]=0, Table1[[#This Row],[Master]]=0, Table1[[#This Row],[PhD]]=0), "NA")</f>
        <v>PhD</v>
      </c>
      <c r="Q39" t="e">
        <f>_xlfn.XLOOKUP(Table1[[#This Row],[ID]], Table2[ID],#REF!, "Not Found", 0)</f>
        <v>#REF!</v>
      </c>
      <c r="R39" t="e">
        <f>_xlfn.XLOOKUP(Table1[[#This Row],[ID]], Table2[ID],#REF!, "Not Found", 0)</f>
        <v>#REF!</v>
      </c>
      <c r="S39" s="3" t="str">
        <f>_xlfn.XLOOKUP(Table1[[#This Row],[ID]], Table2[ID], Table2[Enrollment], "Not Found", 0)</f>
        <v>10/27/2019</v>
      </c>
      <c r="T39" t="s">
        <v>439</v>
      </c>
    </row>
    <row r="40" spans="1:20" x14ac:dyDescent="0.3">
      <c r="A40">
        <v>2160</v>
      </c>
      <c r="B40">
        <v>190638</v>
      </c>
      <c r="C40">
        <v>0</v>
      </c>
      <c r="D40">
        <v>0</v>
      </c>
      <c r="E40">
        <v>29</v>
      </c>
      <c r="F40">
        <v>0</v>
      </c>
      <c r="G40">
        <v>0</v>
      </c>
      <c r="H40">
        <v>1</v>
      </c>
      <c r="I40">
        <v>0</v>
      </c>
      <c r="J40">
        <v>0</v>
      </c>
      <c r="K40">
        <v>0</v>
      </c>
      <c r="L40">
        <v>0</v>
      </c>
      <c r="M40">
        <v>1</v>
      </c>
      <c r="N40">
        <v>0</v>
      </c>
      <c r="O40" t="str" cm="1">
        <f t="array" ref="O40">_xlfn.IFS(Table1[[#This Row],[Divorced]]=1, "Divorced", Table1[[#This Row],[Married]]=1, "Married", Table1[[#This Row],[Single]]=1, "Single", Table1[[#This Row],[Together]]=1, "Together", Table1[[#This Row],[Widow]]=1, "Widow")</f>
        <v>Single</v>
      </c>
      <c r="P40" t="str" cm="1">
        <f t="array" ref="P40">_xlfn.IFS(Table1[[#This Row],[Basic]]=1, "Basic", Table1[[#This Row],[Graduate]]=1, "Graduate", Table1[[#This Row],[Master]]=1, "Master", Table1[[#This Row],[PhD]]=1, "PhD", AND(Table1[[#This Row],[Basic]]=0, Table1[[#This Row],[Graduate]]=0, Table1[[#This Row],[Master]]=0, Table1[[#This Row],[PhD]]=0), "NA")</f>
        <v>Master</v>
      </c>
      <c r="Q40" t="e">
        <f>_xlfn.XLOOKUP(Table1[[#This Row],[ID]], Table2[ID],#REF!, "Not Found", 0)</f>
        <v>#REF!</v>
      </c>
      <c r="R40" t="e">
        <f>_xlfn.XLOOKUP(Table1[[#This Row],[ID]], Table2[ID],#REF!, "Not Found", 0)</f>
        <v>#REF!</v>
      </c>
      <c r="S40" s="3" t="str">
        <f>_xlfn.XLOOKUP(Table1[[#This Row],[ID]], Table2[ID], Table2[Enrollment], "Not Found", 0)</f>
        <v>7/20/2020</v>
      </c>
      <c r="T40" t="s">
        <v>436</v>
      </c>
    </row>
    <row r="41" spans="1:20" x14ac:dyDescent="0.3">
      <c r="A41">
        <v>2548</v>
      </c>
      <c r="B41">
        <v>190638</v>
      </c>
      <c r="C41">
        <v>0</v>
      </c>
      <c r="D41">
        <v>0</v>
      </c>
      <c r="E41">
        <v>29</v>
      </c>
      <c r="F41">
        <v>0</v>
      </c>
      <c r="G41">
        <v>0</v>
      </c>
      <c r="H41">
        <v>1</v>
      </c>
      <c r="I41">
        <v>0</v>
      </c>
      <c r="J41">
        <v>0</v>
      </c>
      <c r="K41">
        <v>0</v>
      </c>
      <c r="L41">
        <v>0</v>
      </c>
      <c r="M41">
        <v>1</v>
      </c>
      <c r="N41">
        <v>0</v>
      </c>
      <c r="O41" t="str" cm="1">
        <f t="array" ref="O41">_xlfn.IFS(Table1[[#This Row],[Divorced]]=1, "Divorced", Table1[[#This Row],[Married]]=1, "Married", Table1[[#This Row],[Single]]=1, "Single", Table1[[#This Row],[Together]]=1, "Together", Table1[[#This Row],[Widow]]=1, "Widow")</f>
        <v>Single</v>
      </c>
      <c r="P41" t="str" cm="1">
        <f t="array" ref="P41">_xlfn.IFS(Table1[[#This Row],[Basic]]=1, "Basic", Table1[[#This Row],[Graduate]]=1, "Graduate", Table1[[#This Row],[Master]]=1, "Master", Table1[[#This Row],[PhD]]=1, "PhD", AND(Table1[[#This Row],[Basic]]=0, Table1[[#This Row],[Graduate]]=0, Table1[[#This Row],[Master]]=0, Table1[[#This Row],[PhD]]=0), "NA")</f>
        <v>Master</v>
      </c>
      <c r="Q41" t="e">
        <f>_xlfn.XLOOKUP(Table1[[#This Row],[ID]], Table2[ID],#REF!, "Not Found", 0)</f>
        <v>#REF!</v>
      </c>
      <c r="R41" t="e">
        <f>_xlfn.XLOOKUP(Table1[[#This Row],[ID]], Table2[ID],#REF!, "Not Found", 0)</f>
        <v>#REF!</v>
      </c>
      <c r="S41" s="3" t="str">
        <f>_xlfn.XLOOKUP(Table1[[#This Row],[ID]], Table2[ID], Table2[Enrollment], "Not Found", 0)</f>
        <v>7/20/2020</v>
      </c>
      <c r="T41" t="s">
        <v>439</v>
      </c>
    </row>
    <row r="42" spans="1:20" x14ac:dyDescent="0.3">
      <c r="A42">
        <v>2783</v>
      </c>
      <c r="B42">
        <v>190369</v>
      </c>
      <c r="C42">
        <v>0</v>
      </c>
      <c r="D42">
        <v>0</v>
      </c>
      <c r="E42">
        <v>64</v>
      </c>
      <c r="F42">
        <v>0</v>
      </c>
      <c r="G42">
        <v>1</v>
      </c>
      <c r="H42">
        <v>0</v>
      </c>
      <c r="I42">
        <v>0</v>
      </c>
      <c r="J42">
        <v>0</v>
      </c>
      <c r="K42">
        <v>0</v>
      </c>
      <c r="L42">
        <v>1</v>
      </c>
      <c r="M42">
        <v>0</v>
      </c>
      <c r="N42">
        <v>0</v>
      </c>
      <c r="O42" t="str" cm="1">
        <f t="array" ref="O42">_xlfn.IFS(Table1[[#This Row],[Divorced]]=1, "Divorced", Table1[[#This Row],[Married]]=1, "Married", Table1[[#This Row],[Single]]=1, "Single", Table1[[#This Row],[Together]]=1, "Together", Table1[[#This Row],[Widow]]=1, "Widow")</f>
        <v>Married</v>
      </c>
      <c r="P42" t="str" cm="1">
        <f t="array" ref="P42">_xlfn.IFS(Table1[[#This Row],[Basic]]=1, "Basic", Table1[[#This Row],[Graduate]]=1, "Graduate", Table1[[#This Row],[Master]]=1, "Master", Table1[[#This Row],[PhD]]=1, "PhD", AND(Table1[[#This Row],[Basic]]=0, Table1[[#This Row],[Graduate]]=0, Table1[[#This Row],[Master]]=0, Table1[[#This Row],[PhD]]=0), "NA")</f>
        <v>Graduate</v>
      </c>
      <c r="Q42" t="e">
        <f>_xlfn.XLOOKUP(Table1[[#This Row],[ID]], Table2[ID],#REF!, "Not Found", 0)</f>
        <v>#REF!</v>
      </c>
      <c r="R42" t="e">
        <f>_xlfn.XLOOKUP(Table1[[#This Row],[ID]], Table2[ID],#REF!, "Not Found", 0)</f>
        <v>#REF!</v>
      </c>
      <c r="S42" s="3">
        <f>_xlfn.XLOOKUP(Table1[[#This Row],[ID]], Table2[ID], Table2[Enrollment], "Not Found", 0)</f>
        <v>43871</v>
      </c>
      <c r="T42" t="s">
        <v>434</v>
      </c>
    </row>
    <row r="43" spans="1:20" x14ac:dyDescent="0.3">
      <c r="A43">
        <v>1374</v>
      </c>
      <c r="B43">
        <v>190300</v>
      </c>
      <c r="C43">
        <v>0</v>
      </c>
      <c r="D43">
        <v>0</v>
      </c>
      <c r="E43">
        <v>41</v>
      </c>
      <c r="F43">
        <v>0</v>
      </c>
      <c r="G43">
        <v>0</v>
      </c>
      <c r="H43">
        <v>0</v>
      </c>
      <c r="I43">
        <v>1</v>
      </c>
      <c r="J43">
        <v>0</v>
      </c>
      <c r="K43">
        <v>0</v>
      </c>
      <c r="L43">
        <v>1</v>
      </c>
      <c r="M43">
        <v>0</v>
      </c>
      <c r="N43">
        <v>0</v>
      </c>
      <c r="O43" t="str" cm="1">
        <f t="array" ref="O43">_xlfn.IFS(Table1[[#This Row],[Divorced]]=1, "Divorced", Table1[[#This Row],[Married]]=1, "Married", Table1[[#This Row],[Single]]=1, "Single", Table1[[#This Row],[Together]]=1, "Together", Table1[[#This Row],[Widow]]=1, "Widow")</f>
        <v>Together</v>
      </c>
      <c r="P43" t="str" cm="1">
        <f t="array" ref="P43">_xlfn.IFS(Table1[[#This Row],[Basic]]=1, "Basic", Table1[[#This Row],[Graduate]]=1, "Graduate", Table1[[#This Row],[Master]]=1, "Master", Table1[[#This Row],[PhD]]=1, "PhD", AND(Table1[[#This Row],[Basic]]=0, Table1[[#This Row],[Graduate]]=0, Table1[[#This Row],[Master]]=0, Table1[[#This Row],[PhD]]=0), "NA")</f>
        <v>Graduate</v>
      </c>
      <c r="Q43" t="e">
        <f>_xlfn.XLOOKUP(Table1[[#This Row],[ID]], Table2[ID],#REF!, "Not Found", 0)</f>
        <v>#REF!</v>
      </c>
      <c r="R43" t="e">
        <f>_xlfn.XLOOKUP(Table1[[#This Row],[ID]], Table2[ID],#REF!, "Not Found", 0)</f>
        <v>#REF!</v>
      </c>
      <c r="S43" s="3">
        <f>_xlfn.XLOOKUP(Table1[[#This Row],[ID]], Table2[ID], Table2[Enrollment], "Not Found", 0)</f>
        <v>44080</v>
      </c>
      <c r="T43" t="s">
        <v>436</v>
      </c>
    </row>
    <row r="44" spans="1:20" x14ac:dyDescent="0.3">
      <c r="A44">
        <v>2697</v>
      </c>
      <c r="B44">
        <v>190273</v>
      </c>
      <c r="C44">
        <v>0</v>
      </c>
      <c r="D44">
        <v>0</v>
      </c>
      <c r="E44">
        <v>29</v>
      </c>
      <c r="F44">
        <v>0</v>
      </c>
      <c r="G44">
        <v>0</v>
      </c>
      <c r="H44">
        <v>1</v>
      </c>
      <c r="I44">
        <v>0</v>
      </c>
      <c r="J44">
        <v>0</v>
      </c>
      <c r="K44">
        <v>0</v>
      </c>
      <c r="L44">
        <v>1</v>
      </c>
      <c r="M44">
        <v>0</v>
      </c>
      <c r="N44">
        <v>0</v>
      </c>
      <c r="O44" t="str" cm="1">
        <f t="array" ref="O44">_xlfn.IFS(Table1[[#This Row],[Divorced]]=1, "Divorced", Table1[[#This Row],[Married]]=1, "Married", Table1[[#This Row],[Single]]=1, "Single", Table1[[#This Row],[Together]]=1, "Together", Table1[[#This Row],[Widow]]=1, "Widow")</f>
        <v>Single</v>
      </c>
      <c r="P44" t="str" cm="1">
        <f t="array" ref="P44">_xlfn.IFS(Table1[[#This Row],[Basic]]=1, "Basic", Table1[[#This Row],[Graduate]]=1, "Graduate", Table1[[#This Row],[Master]]=1, "Master", Table1[[#This Row],[PhD]]=1, "PhD", AND(Table1[[#This Row],[Basic]]=0, Table1[[#This Row],[Graduate]]=0, Table1[[#This Row],[Master]]=0, Table1[[#This Row],[PhD]]=0), "NA")</f>
        <v>Graduate</v>
      </c>
      <c r="Q44" t="e">
        <f>_xlfn.XLOOKUP(Table1[[#This Row],[ID]], Table2[ID],#REF!, "Not Found", 0)</f>
        <v>#REF!</v>
      </c>
      <c r="R44" t="e">
        <f>_xlfn.XLOOKUP(Table1[[#This Row],[ID]], Table2[ID],#REF!, "Not Found", 0)</f>
        <v>#REF!</v>
      </c>
      <c r="S44" s="3" t="str">
        <f>_xlfn.XLOOKUP(Table1[[#This Row],[ID]], Table2[ID], Table2[Enrollment], "Not Found", 0)</f>
        <v>5/20/2020</v>
      </c>
      <c r="T44" t="s">
        <v>435</v>
      </c>
    </row>
    <row r="45" spans="1:20" x14ac:dyDescent="0.3">
      <c r="A45">
        <v>1684</v>
      </c>
      <c r="B45">
        <v>190247</v>
      </c>
      <c r="C45">
        <v>0</v>
      </c>
      <c r="D45">
        <v>0</v>
      </c>
      <c r="E45">
        <v>32</v>
      </c>
      <c r="F45">
        <v>0</v>
      </c>
      <c r="G45">
        <v>0</v>
      </c>
      <c r="H45">
        <v>1</v>
      </c>
      <c r="I45">
        <v>0</v>
      </c>
      <c r="J45">
        <v>0</v>
      </c>
      <c r="K45">
        <v>0</v>
      </c>
      <c r="L45">
        <v>0</v>
      </c>
      <c r="M45">
        <v>1</v>
      </c>
      <c r="N45">
        <v>0</v>
      </c>
      <c r="O45" t="str" cm="1">
        <f t="array" ref="O45">_xlfn.IFS(Table1[[#This Row],[Divorced]]=1, "Divorced", Table1[[#This Row],[Married]]=1, "Married", Table1[[#This Row],[Single]]=1, "Single", Table1[[#This Row],[Together]]=1, "Together", Table1[[#This Row],[Widow]]=1, "Widow")</f>
        <v>Single</v>
      </c>
      <c r="P45" t="str" cm="1">
        <f t="array" ref="P45">_xlfn.IFS(Table1[[#This Row],[Basic]]=1, "Basic", Table1[[#This Row],[Graduate]]=1, "Graduate", Table1[[#This Row],[Master]]=1, "Master", Table1[[#This Row],[PhD]]=1, "PhD", AND(Table1[[#This Row],[Basic]]=0, Table1[[#This Row],[Graduate]]=0, Table1[[#This Row],[Master]]=0, Table1[[#This Row],[PhD]]=0), "NA")</f>
        <v>Master</v>
      </c>
      <c r="Q45" t="e">
        <f>_xlfn.XLOOKUP(Table1[[#This Row],[ID]], Table2[ID],#REF!, "Not Found", 0)</f>
        <v>#REF!</v>
      </c>
      <c r="R45" t="e">
        <f>_xlfn.XLOOKUP(Table1[[#This Row],[ID]], Table2[ID],#REF!, "Not Found", 0)</f>
        <v>#REF!</v>
      </c>
      <c r="S45" s="3">
        <f>_xlfn.XLOOKUP(Table1[[#This Row],[ID]], Table2[ID], Table2[Enrollment], "Not Found", 0)</f>
        <v>43900</v>
      </c>
      <c r="T45" t="s">
        <v>439</v>
      </c>
    </row>
    <row r="46" spans="1:20" x14ac:dyDescent="0.3">
      <c r="A46">
        <v>2577</v>
      </c>
      <c r="B46">
        <v>190226</v>
      </c>
      <c r="C46">
        <v>0</v>
      </c>
      <c r="D46">
        <v>0</v>
      </c>
      <c r="E46">
        <v>64</v>
      </c>
      <c r="F46">
        <v>0</v>
      </c>
      <c r="G46">
        <v>1</v>
      </c>
      <c r="H46">
        <v>0</v>
      </c>
      <c r="I46">
        <v>0</v>
      </c>
      <c r="J46">
        <v>0</v>
      </c>
      <c r="K46">
        <v>0</v>
      </c>
      <c r="L46">
        <v>0</v>
      </c>
      <c r="M46">
        <v>1</v>
      </c>
      <c r="N46">
        <v>0</v>
      </c>
      <c r="O46" t="str" cm="1">
        <f t="array" ref="O46">_xlfn.IFS(Table1[[#This Row],[Divorced]]=1, "Divorced", Table1[[#This Row],[Married]]=1, "Married", Table1[[#This Row],[Single]]=1, "Single", Table1[[#This Row],[Together]]=1, "Together", Table1[[#This Row],[Widow]]=1, "Widow")</f>
        <v>Married</v>
      </c>
      <c r="P46" t="str" cm="1">
        <f t="array" ref="P46">_xlfn.IFS(Table1[[#This Row],[Basic]]=1, "Basic", Table1[[#This Row],[Graduate]]=1, "Graduate", Table1[[#This Row],[Master]]=1, "Master", Table1[[#This Row],[PhD]]=1, "PhD", AND(Table1[[#This Row],[Basic]]=0, Table1[[#This Row],[Graduate]]=0, Table1[[#This Row],[Master]]=0, Table1[[#This Row],[PhD]]=0), "NA")</f>
        <v>Master</v>
      </c>
      <c r="Q46" t="e">
        <f>_xlfn.XLOOKUP(Table1[[#This Row],[ID]], Table2[ID],#REF!, "Not Found", 0)</f>
        <v>#REF!</v>
      </c>
      <c r="R46" t="e">
        <f>_xlfn.XLOOKUP(Table1[[#This Row],[ID]], Table2[ID],#REF!, "Not Found", 0)</f>
        <v>#REF!</v>
      </c>
      <c r="S46" s="3">
        <f>_xlfn.XLOOKUP(Table1[[#This Row],[ID]], Table2[ID], Table2[Enrollment], "Not Found", 0)</f>
        <v>43527</v>
      </c>
      <c r="T46" t="s">
        <v>435</v>
      </c>
    </row>
    <row r="47" spans="1:20" x14ac:dyDescent="0.3">
      <c r="A47">
        <v>3136</v>
      </c>
      <c r="B47">
        <v>190000</v>
      </c>
      <c r="C47">
        <v>0</v>
      </c>
      <c r="D47">
        <v>0</v>
      </c>
      <c r="E47">
        <v>36</v>
      </c>
      <c r="F47">
        <v>0</v>
      </c>
      <c r="G47">
        <v>1</v>
      </c>
      <c r="H47">
        <v>0</v>
      </c>
      <c r="I47">
        <v>0</v>
      </c>
      <c r="J47">
        <v>0</v>
      </c>
      <c r="K47">
        <v>0</v>
      </c>
      <c r="L47">
        <v>1</v>
      </c>
      <c r="M47">
        <v>0</v>
      </c>
      <c r="N47">
        <v>0</v>
      </c>
      <c r="O47" t="str" cm="1">
        <f t="array" ref="O47">_xlfn.IFS(Table1[[#This Row],[Divorced]]=1, "Divorced", Table1[[#This Row],[Married]]=1, "Married", Table1[[#This Row],[Single]]=1, "Single", Table1[[#This Row],[Together]]=1, "Together", Table1[[#This Row],[Widow]]=1, "Widow")</f>
        <v>Married</v>
      </c>
      <c r="P47" t="str" cm="1">
        <f t="array" ref="P47">_xlfn.IFS(Table1[[#This Row],[Basic]]=1, "Basic", Table1[[#This Row],[Graduate]]=1, "Graduate", Table1[[#This Row],[Master]]=1, "Master", Table1[[#This Row],[PhD]]=1, "PhD", AND(Table1[[#This Row],[Basic]]=0, Table1[[#This Row],[Graduate]]=0, Table1[[#This Row],[Master]]=0, Table1[[#This Row],[PhD]]=0), "NA")</f>
        <v>Graduate</v>
      </c>
      <c r="Q47" t="e">
        <f>_xlfn.XLOOKUP(Table1[[#This Row],[ID]], Table2[ID],#REF!, "Not Found", 0)</f>
        <v>#REF!</v>
      </c>
      <c r="R47" t="e">
        <f>_xlfn.XLOOKUP(Table1[[#This Row],[ID]], Table2[ID],#REF!, "Not Found", 0)</f>
        <v>#REF!</v>
      </c>
      <c r="S47" s="3" t="str">
        <f>_xlfn.XLOOKUP(Table1[[#This Row],[ID]], Table2[ID], Table2[Enrollment], "Not Found", 0)</f>
        <v>5/29/2020</v>
      </c>
      <c r="T47" t="s">
        <v>439</v>
      </c>
    </row>
    <row r="48" spans="1:20" x14ac:dyDescent="0.3">
      <c r="A48">
        <v>1710</v>
      </c>
      <c r="B48">
        <v>189891</v>
      </c>
      <c r="C48">
        <v>0</v>
      </c>
      <c r="D48">
        <v>0</v>
      </c>
      <c r="E48">
        <v>29</v>
      </c>
      <c r="F48">
        <v>0</v>
      </c>
      <c r="G48">
        <v>0</v>
      </c>
      <c r="H48">
        <v>0</v>
      </c>
      <c r="I48">
        <v>1</v>
      </c>
      <c r="J48">
        <v>0</v>
      </c>
      <c r="K48">
        <v>0</v>
      </c>
      <c r="L48">
        <v>1</v>
      </c>
      <c r="M48">
        <v>0</v>
      </c>
      <c r="N48">
        <v>0</v>
      </c>
      <c r="O48" t="str" cm="1">
        <f t="array" ref="O48">_xlfn.IFS(Table1[[#This Row],[Divorced]]=1, "Divorced", Table1[[#This Row],[Married]]=1, "Married", Table1[[#This Row],[Single]]=1, "Single", Table1[[#This Row],[Together]]=1, "Together", Table1[[#This Row],[Widow]]=1, "Widow")</f>
        <v>Together</v>
      </c>
      <c r="P48" t="str" cm="1">
        <f t="array" ref="P48">_xlfn.IFS(Table1[[#This Row],[Basic]]=1, "Basic", Table1[[#This Row],[Graduate]]=1, "Graduate", Table1[[#This Row],[Master]]=1, "Master", Table1[[#This Row],[PhD]]=1, "PhD", AND(Table1[[#This Row],[Basic]]=0, Table1[[#This Row],[Graduate]]=0, Table1[[#This Row],[Master]]=0, Table1[[#This Row],[PhD]]=0), "NA")</f>
        <v>Graduate</v>
      </c>
      <c r="Q48" t="e">
        <f>_xlfn.XLOOKUP(Table1[[#This Row],[ID]], Table2[ID],#REF!, "Not Found", 0)</f>
        <v>#REF!</v>
      </c>
      <c r="R48" t="e">
        <f>_xlfn.XLOOKUP(Table1[[#This Row],[ID]], Table2[ID],#REF!, "Not Found", 0)</f>
        <v>#REF!</v>
      </c>
      <c r="S48" s="3" t="str">
        <f>_xlfn.XLOOKUP(Table1[[#This Row],[ID]], Table2[ID], Table2[Enrollment], "Not Found", 0)</f>
        <v>9/20/2019</v>
      </c>
      <c r="T48" t="s">
        <v>436</v>
      </c>
    </row>
    <row r="49" spans="1:20" x14ac:dyDescent="0.3">
      <c r="A49">
        <v>1715</v>
      </c>
      <c r="B49">
        <v>189694</v>
      </c>
      <c r="C49">
        <v>1</v>
      </c>
      <c r="D49">
        <v>1</v>
      </c>
      <c r="E49">
        <v>47</v>
      </c>
      <c r="F49">
        <v>1</v>
      </c>
      <c r="G49">
        <v>0</v>
      </c>
      <c r="H49">
        <v>0</v>
      </c>
      <c r="I49">
        <v>0</v>
      </c>
      <c r="J49">
        <v>0</v>
      </c>
      <c r="K49">
        <v>0</v>
      </c>
      <c r="L49">
        <v>1</v>
      </c>
      <c r="M49">
        <v>0</v>
      </c>
      <c r="N49">
        <v>0</v>
      </c>
      <c r="O49" t="str" cm="1">
        <f t="array" ref="O49">_xlfn.IFS(Table1[[#This Row],[Divorced]]=1, "Divorced", Table1[[#This Row],[Married]]=1, "Married", Table1[[#This Row],[Single]]=1, "Single", Table1[[#This Row],[Together]]=1, "Together", Table1[[#This Row],[Widow]]=1, "Widow")</f>
        <v>Divorced</v>
      </c>
      <c r="P49" t="str" cm="1">
        <f t="array" ref="P49">_xlfn.IFS(Table1[[#This Row],[Basic]]=1, "Basic", Table1[[#This Row],[Graduate]]=1, "Graduate", Table1[[#This Row],[Master]]=1, "Master", Table1[[#This Row],[PhD]]=1, "PhD", AND(Table1[[#This Row],[Basic]]=0, Table1[[#This Row],[Graduate]]=0, Table1[[#This Row],[Master]]=0, Table1[[#This Row],[PhD]]=0), "NA")</f>
        <v>Graduate</v>
      </c>
      <c r="Q49" t="e">
        <f>_xlfn.XLOOKUP(Table1[[#This Row],[ID]], Table2[ID],#REF!, "Not Found", 0)</f>
        <v>#REF!</v>
      </c>
      <c r="R49" t="e">
        <f>_xlfn.XLOOKUP(Table1[[#This Row],[ID]], Table2[ID],#REF!, "Not Found", 0)</f>
        <v>#REF!</v>
      </c>
      <c r="S49" s="3" t="str">
        <f>_xlfn.XLOOKUP(Table1[[#This Row],[ID]], Table2[ID], Table2[Enrollment], "Not Found", 0)</f>
        <v>3/15/2020</v>
      </c>
      <c r="T49" t="s">
        <v>434</v>
      </c>
    </row>
    <row r="50" spans="1:20" x14ac:dyDescent="0.3">
      <c r="A50">
        <v>3158</v>
      </c>
      <c r="B50">
        <v>189616</v>
      </c>
      <c r="C50">
        <v>0</v>
      </c>
      <c r="D50">
        <v>0</v>
      </c>
      <c r="E50">
        <v>37</v>
      </c>
      <c r="F50">
        <v>0</v>
      </c>
      <c r="G50">
        <v>0</v>
      </c>
      <c r="H50">
        <v>1</v>
      </c>
      <c r="I50">
        <v>0</v>
      </c>
      <c r="J50">
        <v>0</v>
      </c>
      <c r="K50">
        <v>0</v>
      </c>
      <c r="L50">
        <v>0</v>
      </c>
      <c r="M50">
        <v>1</v>
      </c>
      <c r="N50">
        <v>0</v>
      </c>
      <c r="O50" t="str" cm="1">
        <f t="array" ref="O50">_xlfn.IFS(Table1[[#This Row],[Divorced]]=1, "Divorced", Table1[[#This Row],[Married]]=1, "Married", Table1[[#This Row],[Single]]=1, "Single", Table1[[#This Row],[Together]]=1, "Together", Table1[[#This Row],[Widow]]=1, "Widow")</f>
        <v>Single</v>
      </c>
      <c r="P50" t="str" cm="1">
        <f t="array" ref="P50">_xlfn.IFS(Table1[[#This Row],[Basic]]=1, "Basic", Table1[[#This Row],[Graduate]]=1, "Graduate", Table1[[#This Row],[Master]]=1, "Master", Table1[[#This Row],[PhD]]=1, "PhD", AND(Table1[[#This Row],[Basic]]=0, Table1[[#This Row],[Graduate]]=0, Table1[[#This Row],[Master]]=0, Table1[[#This Row],[PhD]]=0), "NA")</f>
        <v>Master</v>
      </c>
      <c r="Q50" t="e">
        <f>_xlfn.XLOOKUP(Table1[[#This Row],[ID]], Table2[ID],#REF!, "Not Found", 0)</f>
        <v>#REF!</v>
      </c>
      <c r="R50" t="e">
        <f>_xlfn.XLOOKUP(Table1[[#This Row],[ID]], Table2[ID],#REF!, "Not Found", 0)</f>
        <v>#REF!</v>
      </c>
      <c r="S50" s="3">
        <f>_xlfn.XLOOKUP(Table1[[#This Row],[ID]], Table2[ID], Table2[Enrollment], "Not Found", 0)</f>
        <v>43504</v>
      </c>
      <c r="T50" t="s">
        <v>438</v>
      </c>
    </row>
    <row r="51" spans="1:20" x14ac:dyDescent="0.3">
      <c r="A51">
        <v>1440</v>
      </c>
      <c r="B51">
        <v>189572</v>
      </c>
      <c r="C51">
        <v>0</v>
      </c>
      <c r="D51">
        <v>0</v>
      </c>
      <c r="E51">
        <v>54</v>
      </c>
      <c r="F51">
        <v>0</v>
      </c>
      <c r="G51">
        <v>0</v>
      </c>
      <c r="H51">
        <v>1</v>
      </c>
      <c r="I51">
        <v>0</v>
      </c>
      <c r="J51">
        <v>0</v>
      </c>
      <c r="K51">
        <v>0</v>
      </c>
      <c r="L51">
        <v>0</v>
      </c>
      <c r="M51">
        <v>0</v>
      </c>
      <c r="N51">
        <v>0</v>
      </c>
      <c r="O51" t="str" cm="1">
        <f t="array" ref="O51">_xlfn.IFS(Table1[[#This Row],[Divorced]]=1, "Divorced", Table1[[#This Row],[Married]]=1, "Married", Table1[[#This Row],[Single]]=1, "Single", Table1[[#This Row],[Together]]=1, "Together", Table1[[#This Row],[Widow]]=1, "Widow")</f>
        <v>Single</v>
      </c>
      <c r="P51" t="str" cm="1">
        <f t="array" ref="P51">_xlfn.IFS(Table1[[#This Row],[Basic]]=1, "Basic", Table1[[#This Row],[Graduate]]=1, "Graduate", Table1[[#This Row],[Master]]=1, "Master", Table1[[#This Row],[PhD]]=1, "PhD", AND(Table1[[#This Row],[Basic]]=0, Table1[[#This Row],[Graduate]]=0, Table1[[#This Row],[Master]]=0, Table1[[#This Row],[PhD]]=0), "NA")</f>
        <v>NA</v>
      </c>
      <c r="Q51" t="e">
        <f>_xlfn.XLOOKUP(Table1[[#This Row],[ID]], Table2[ID],#REF!, "Not Found", 0)</f>
        <v>#REF!</v>
      </c>
      <c r="R51" t="e">
        <f>_xlfn.XLOOKUP(Table1[[#This Row],[ID]], Table2[ID],#REF!, "Not Found", 0)</f>
        <v>#REF!</v>
      </c>
      <c r="S51" s="3" t="str">
        <f>_xlfn.XLOOKUP(Table1[[#This Row],[ID]], Table2[ID], Table2[Enrollment], "Not Found", 0)</f>
        <v>2/20/2019</v>
      </c>
      <c r="T51" t="s">
        <v>436</v>
      </c>
    </row>
    <row r="52" spans="1:20" x14ac:dyDescent="0.3">
      <c r="A52">
        <v>1497</v>
      </c>
      <c r="B52">
        <v>189120</v>
      </c>
      <c r="C52">
        <v>0</v>
      </c>
      <c r="D52">
        <v>0</v>
      </c>
      <c r="E52">
        <v>61</v>
      </c>
      <c r="F52">
        <v>0</v>
      </c>
      <c r="G52">
        <v>0</v>
      </c>
      <c r="H52">
        <v>0</v>
      </c>
      <c r="I52">
        <v>1</v>
      </c>
      <c r="J52">
        <v>0</v>
      </c>
      <c r="K52">
        <v>0</v>
      </c>
      <c r="L52">
        <v>0</v>
      </c>
      <c r="M52">
        <v>1</v>
      </c>
      <c r="N52">
        <v>0</v>
      </c>
      <c r="O52" t="str" cm="1">
        <f t="array" ref="O52">_xlfn.IFS(Table1[[#This Row],[Divorced]]=1, "Divorced", Table1[[#This Row],[Married]]=1, "Married", Table1[[#This Row],[Single]]=1, "Single", Table1[[#This Row],[Together]]=1, "Together", Table1[[#This Row],[Widow]]=1, "Widow")</f>
        <v>Together</v>
      </c>
      <c r="P52" t="str" cm="1">
        <f t="array" ref="P52">_xlfn.IFS(Table1[[#This Row],[Basic]]=1, "Basic", Table1[[#This Row],[Graduate]]=1, "Graduate", Table1[[#This Row],[Master]]=1, "Master", Table1[[#This Row],[PhD]]=1, "PhD", AND(Table1[[#This Row],[Basic]]=0, Table1[[#This Row],[Graduate]]=0, Table1[[#This Row],[Master]]=0, Table1[[#This Row],[PhD]]=0), "NA")</f>
        <v>Master</v>
      </c>
      <c r="Q52" t="e">
        <f>_xlfn.XLOOKUP(Table1[[#This Row],[ID]], Table2[ID],#REF!, "Not Found", 0)</f>
        <v>#REF!</v>
      </c>
      <c r="R52" t="e">
        <f>_xlfn.XLOOKUP(Table1[[#This Row],[ID]], Table2[ID],#REF!, "Not Found", 0)</f>
        <v>#REF!</v>
      </c>
      <c r="S52" s="3" t="str">
        <f>_xlfn.XLOOKUP(Table1[[#This Row],[ID]], Table2[ID], Table2[Enrollment], "Not Found", 0)</f>
        <v>8/21/2020</v>
      </c>
      <c r="T52" t="s">
        <v>435</v>
      </c>
    </row>
    <row r="53" spans="1:20" x14ac:dyDescent="0.3">
      <c r="A53">
        <v>1101</v>
      </c>
      <c r="B53">
        <v>189058</v>
      </c>
      <c r="C53">
        <v>0</v>
      </c>
      <c r="D53">
        <v>0</v>
      </c>
      <c r="E53">
        <v>60</v>
      </c>
      <c r="F53">
        <v>0</v>
      </c>
      <c r="G53">
        <v>1</v>
      </c>
      <c r="H53">
        <v>0</v>
      </c>
      <c r="I53">
        <v>0</v>
      </c>
      <c r="J53">
        <v>0</v>
      </c>
      <c r="K53">
        <v>0</v>
      </c>
      <c r="L53">
        <v>0</v>
      </c>
      <c r="M53">
        <v>1</v>
      </c>
      <c r="N53">
        <v>0</v>
      </c>
      <c r="O53" t="str" cm="1">
        <f t="array" ref="O53">_xlfn.IFS(Table1[[#This Row],[Divorced]]=1, "Divorced", Table1[[#This Row],[Married]]=1, "Married", Table1[[#This Row],[Single]]=1, "Single", Table1[[#This Row],[Together]]=1, "Together", Table1[[#This Row],[Widow]]=1, "Widow")</f>
        <v>Married</v>
      </c>
      <c r="P53" t="str" cm="1">
        <f t="array" ref="P53">_xlfn.IFS(Table1[[#This Row],[Basic]]=1, "Basic", Table1[[#This Row],[Graduate]]=1, "Graduate", Table1[[#This Row],[Master]]=1, "Master", Table1[[#This Row],[PhD]]=1, "PhD", AND(Table1[[#This Row],[Basic]]=0, Table1[[#This Row],[Graduate]]=0, Table1[[#This Row],[Master]]=0, Table1[[#This Row],[PhD]]=0), "NA")</f>
        <v>Master</v>
      </c>
      <c r="Q53" t="e">
        <f>_xlfn.XLOOKUP(Table1[[#This Row],[ID]], Table2[ID],#REF!, "Not Found", 0)</f>
        <v>#REF!</v>
      </c>
      <c r="R53" t="e">
        <f>_xlfn.XLOOKUP(Table1[[#This Row],[ID]], Table2[ID],#REF!, "Not Found", 0)</f>
        <v>#REF!</v>
      </c>
      <c r="S53" s="3" t="str">
        <f>_xlfn.XLOOKUP(Table1[[#This Row],[ID]], Table2[ID], Table2[Enrollment], "Not Found", 0)</f>
        <v>5/14/2019</v>
      </c>
      <c r="T53" t="s">
        <v>435</v>
      </c>
    </row>
    <row r="54" spans="1:20" x14ac:dyDescent="0.3">
      <c r="A54">
        <v>2866</v>
      </c>
      <c r="B54">
        <v>188420</v>
      </c>
      <c r="C54">
        <v>0</v>
      </c>
      <c r="D54">
        <v>0</v>
      </c>
      <c r="E54">
        <v>31</v>
      </c>
      <c r="F54">
        <v>0</v>
      </c>
      <c r="G54">
        <v>0</v>
      </c>
      <c r="H54">
        <v>0</v>
      </c>
      <c r="I54">
        <v>1</v>
      </c>
      <c r="J54">
        <v>0</v>
      </c>
      <c r="K54">
        <v>0</v>
      </c>
      <c r="L54">
        <v>0</v>
      </c>
      <c r="M54">
        <v>1</v>
      </c>
      <c r="N54">
        <v>0</v>
      </c>
      <c r="O54" t="str" cm="1">
        <f t="array" ref="O54">_xlfn.IFS(Table1[[#This Row],[Divorced]]=1, "Divorced", Table1[[#This Row],[Married]]=1, "Married", Table1[[#This Row],[Single]]=1, "Single", Table1[[#This Row],[Together]]=1, "Together", Table1[[#This Row],[Widow]]=1, "Widow")</f>
        <v>Together</v>
      </c>
      <c r="P54" t="str" cm="1">
        <f t="array" ref="P54">_xlfn.IFS(Table1[[#This Row],[Basic]]=1, "Basic", Table1[[#This Row],[Graduate]]=1, "Graduate", Table1[[#This Row],[Master]]=1, "Master", Table1[[#This Row],[PhD]]=1, "PhD", AND(Table1[[#This Row],[Basic]]=0, Table1[[#This Row],[Graduate]]=0, Table1[[#This Row],[Master]]=0, Table1[[#This Row],[PhD]]=0), "NA")</f>
        <v>Master</v>
      </c>
      <c r="Q54" t="e">
        <f>_xlfn.XLOOKUP(Table1[[#This Row],[ID]], Table2[ID],#REF!, "Not Found", 0)</f>
        <v>#REF!</v>
      </c>
      <c r="R54" t="e">
        <f>_xlfn.XLOOKUP(Table1[[#This Row],[ID]], Table2[ID],#REF!, "Not Found", 0)</f>
        <v>#REF!</v>
      </c>
      <c r="S54" s="3">
        <f>_xlfn.XLOOKUP(Table1[[#This Row],[ID]], Table2[ID], Table2[Enrollment], "Not Found", 0)</f>
        <v>43992</v>
      </c>
      <c r="T54" t="s">
        <v>439</v>
      </c>
    </row>
    <row r="55" spans="1:20" x14ac:dyDescent="0.3">
      <c r="A55">
        <v>2056</v>
      </c>
      <c r="B55">
        <v>188347</v>
      </c>
      <c r="C55">
        <v>0</v>
      </c>
      <c r="D55">
        <v>0</v>
      </c>
      <c r="E55">
        <v>59</v>
      </c>
      <c r="F55">
        <v>0</v>
      </c>
      <c r="G55">
        <v>0</v>
      </c>
      <c r="H55">
        <v>0</v>
      </c>
      <c r="I55">
        <v>1</v>
      </c>
      <c r="J55">
        <v>0</v>
      </c>
      <c r="K55">
        <v>0</v>
      </c>
      <c r="L55">
        <v>1</v>
      </c>
      <c r="M55">
        <v>0</v>
      </c>
      <c r="N55">
        <v>0</v>
      </c>
      <c r="O55" t="str" cm="1">
        <f t="array" ref="O55">_xlfn.IFS(Table1[[#This Row],[Divorced]]=1, "Divorced", Table1[[#This Row],[Married]]=1, "Married", Table1[[#This Row],[Single]]=1, "Single", Table1[[#This Row],[Together]]=1, "Together", Table1[[#This Row],[Widow]]=1, "Widow")</f>
        <v>Together</v>
      </c>
      <c r="P55" t="str" cm="1">
        <f t="array" ref="P55">_xlfn.IFS(Table1[[#This Row],[Basic]]=1, "Basic", Table1[[#This Row],[Graduate]]=1, "Graduate", Table1[[#This Row],[Master]]=1, "Master", Table1[[#This Row],[PhD]]=1, "PhD", AND(Table1[[#This Row],[Basic]]=0, Table1[[#This Row],[Graduate]]=0, Table1[[#This Row],[Master]]=0, Table1[[#This Row],[PhD]]=0), "NA")</f>
        <v>Graduate</v>
      </c>
      <c r="Q55" t="e">
        <f>_xlfn.XLOOKUP(Table1[[#This Row],[ID]], Table2[ID],#REF!, "Not Found", 0)</f>
        <v>#REF!</v>
      </c>
      <c r="R55" t="e">
        <f>_xlfn.XLOOKUP(Table1[[#This Row],[ID]], Table2[ID],#REF!, "Not Found", 0)</f>
        <v>#REF!</v>
      </c>
      <c r="S55" s="3">
        <f>_xlfn.XLOOKUP(Table1[[#This Row],[ID]], Table2[ID], Table2[Enrollment], "Not Found", 0)</f>
        <v>43689</v>
      </c>
      <c r="T55" t="s">
        <v>439</v>
      </c>
    </row>
    <row r="56" spans="1:20" x14ac:dyDescent="0.3">
      <c r="A56">
        <v>3179</v>
      </c>
      <c r="B56">
        <v>188325</v>
      </c>
      <c r="C56">
        <v>0</v>
      </c>
      <c r="D56">
        <v>0</v>
      </c>
      <c r="E56">
        <v>39</v>
      </c>
      <c r="F56">
        <v>0</v>
      </c>
      <c r="G56">
        <v>0</v>
      </c>
      <c r="H56">
        <v>0</v>
      </c>
      <c r="I56">
        <v>1</v>
      </c>
      <c r="J56">
        <v>0</v>
      </c>
      <c r="K56">
        <v>0</v>
      </c>
      <c r="L56">
        <v>1</v>
      </c>
      <c r="M56">
        <v>0</v>
      </c>
      <c r="N56">
        <v>0</v>
      </c>
      <c r="O56" t="str" cm="1">
        <f t="array" ref="O56">_xlfn.IFS(Table1[[#This Row],[Divorced]]=1, "Divorced", Table1[[#This Row],[Married]]=1, "Married", Table1[[#This Row],[Single]]=1, "Single", Table1[[#This Row],[Together]]=1, "Together", Table1[[#This Row],[Widow]]=1, "Widow")</f>
        <v>Together</v>
      </c>
      <c r="P56" t="str" cm="1">
        <f t="array" ref="P56">_xlfn.IFS(Table1[[#This Row],[Basic]]=1, "Basic", Table1[[#This Row],[Graduate]]=1, "Graduate", Table1[[#This Row],[Master]]=1, "Master", Table1[[#This Row],[PhD]]=1, "PhD", AND(Table1[[#This Row],[Basic]]=0, Table1[[#This Row],[Graduate]]=0, Table1[[#This Row],[Master]]=0, Table1[[#This Row],[PhD]]=0), "NA")</f>
        <v>Graduate</v>
      </c>
      <c r="Q56" t="e">
        <f>_xlfn.XLOOKUP(Table1[[#This Row],[ID]], Table2[ID],#REF!, "Not Found", 0)</f>
        <v>#REF!</v>
      </c>
      <c r="R56" t="e">
        <f>_xlfn.XLOOKUP(Table1[[#This Row],[ID]], Table2[ID],#REF!, "Not Found", 0)</f>
        <v>#REF!</v>
      </c>
      <c r="S56" s="3">
        <f>_xlfn.XLOOKUP(Table1[[#This Row],[ID]], Table2[ID], Table2[Enrollment], "Not Found", 0)</f>
        <v>44172</v>
      </c>
      <c r="T56" t="s">
        <v>434</v>
      </c>
    </row>
    <row r="57" spans="1:20" x14ac:dyDescent="0.3">
      <c r="A57">
        <v>1063</v>
      </c>
      <c r="B57">
        <v>188194</v>
      </c>
      <c r="C57">
        <v>0</v>
      </c>
      <c r="D57">
        <v>1</v>
      </c>
      <c r="E57">
        <v>41</v>
      </c>
      <c r="F57">
        <v>0</v>
      </c>
      <c r="G57">
        <v>0</v>
      </c>
      <c r="H57">
        <v>1</v>
      </c>
      <c r="I57">
        <v>0</v>
      </c>
      <c r="J57">
        <v>0</v>
      </c>
      <c r="K57">
        <v>0</v>
      </c>
      <c r="L57">
        <v>0</v>
      </c>
      <c r="M57">
        <v>0</v>
      </c>
      <c r="N57">
        <v>0</v>
      </c>
      <c r="O57" t="str" cm="1">
        <f t="array" ref="O57">_xlfn.IFS(Table1[[#This Row],[Divorced]]=1, "Divorced", Table1[[#This Row],[Married]]=1, "Married", Table1[[#This Row],[Single]]=1, "Single", Table1[[#This Row],[Together]]=1, "Together", Table1[[#This Row],[Widow]]=1, "Widow")</f>
        <v>Single</v>
      </c>
      <c r="P57" t="str" cm="1">
        <f t="array" ref="P57">_xlfn.IFS(Table1[[#This Row],[Basic]]=1, "Basic", Table1[[#This Row],[Graduate]]=1, "Graduate", Table1[[#This Row],[Master]]=1, "Master", Table1[[#This Row],[PhD]]=1, "PhD", AND(Table1[[#This Row],[Basic]]=0, Table1[[#This Row],[Graduate]]=0, Table1[[#This Row],[Master]]=0, Table1[[#This Row],[PhD]]=0), "NA")</f>
        <v>NA</v>
      </c>
      <c r="Q57" t="e">
        <f>_xlfn.XLOOKUP(Table1[[#This Row],[ID]], Table2[ID],#REF!, "Not Found", 0)</f>
        <v>#REF!</v>
      </c>
      <c r="R57" t="e">
        <f>_xlfn.XLOOKUP(Table1[[#This Row],[ID]], Table2[ID],#REF!, "Not Found", 0)</f>
        <v>#REF!</v>
      </c>
      <c r="S57" s="3" t="str">
        <f>_xlfn.XLOOKUP(Table1[[#This Row],[ID]], Table2[ID], Table2[Enrollment], "Not Found", 0)</f>
        <v>8/23/2020</v>
      </c>
      <c r="T57" t="s">
        <v>437</v>
      </c>
    </row>
    <row r="58" spans="1:20" x14ac:dyDescent="0.3">
      <c r="A58">
        <v>2314</v>
      </c>
      <c r="B58">
        <v>188097</v>
      </c>
      <c r="C58">
        <v>1</v>
      </c>
      <c r="D58">
        <v>0</v>
      </c>
      <c r="E58">
        <v>42</v>
      </c>
      <c r="F58">
        <v>0</v>
      </c>
      <c r="G58">
        <v>1</v>
      </c>
      <c r="H58">
        <v>0</v>
      </c>
      <c r="I58">
        <v>0</v>
      </c>
      <c r="J58">
        <v>0</v>
      </c>
      <c r="K58">
        <v>0</v>
      </c>
      <c r="L58">
        <v>0</v>
      </c>
      <c r="M58">
        <v>1</v>
      </c>
      <c r="N58">
        <v>0</v>
      </c>
      <c r="O58" t="str" cm="1">
        <f t="array" ref="O58">_xlfn.IFS(Table1[[#This Row],[Divorced]]=1, "Divorced", Table1[[#This Row],[Married]]=1, "Married", Table1[[#This Row],[Single]]=1, "Single", Table1[[#This Row],[Together]]=1, "Together", Table1[[#This Row],[Widow]]=1, "Widow")</f>
        <v>Married</v>
      </c>
      <c r="P58" t="str" cm="1">
        <f t="array" ref="P58">_xlfn.IFS(Table1[[#This Row],[Basic]]=1, "Basic", Table1[[#This Row],[Graduate]]=1, "Graduate", Table1[[#This Row],[Master]]=1, "Master", Table1[[#This Row],[PhD]]=1, "PhD", AND(Table1[[#This Row],[Basic]]=0, Table1[[#This Row],[Graduate]]=0, Table1[[#This Row],[Master]]=0, Table1[[#This Row],[PhD]]=0), "NA")</f>
        <v>Master</v>
      </c>
      <c r="Q58" t="e">
        <f>_xlfn.XLOOKUP(Table1[[#This Row],[ID]], Table2[ID],#REF!, "Not Found", 0)</f>
        <v>#REF!</v>
      </c>
      <c r="R58" t="e">
        <f>_xlfn.XLOOKUP(Table1[[#This Row],[ID]], Table2[ID],#REF!, "Not Found", 0)</f>
        <v>#REF!</v>
      </c>
      <c r="S58" s="3" t="str">
        <f>_xlfn.XLOOKUP(Table1[[#This Row],[ID]], Table2[ID], Table2[Enrollment], "Not Found", 0)</f>
        <v>1/23/2019</v>
      </c>
      <c r="T58" t="s">
        <v>439</v>
      </c>
    </row>
    <row r="59" spans="1:20" x14ac:dyDescent="0.3">
      <c r="A59">
        <v>1543</v>
      </c>
      <c r="B59">
        <v>187771</v>
      </c>
      <c r="C59">
        <v>0</v>
      </c>
      <c r="D59">
        <v>1</v>
      </c>
      <c r="E59">
        <v>61</v>
      </c>
      <c r="F59">
        <v>0</v>
      </c>
      <c r="G59">
        <v>0</v>
      </c>
      <c r="H59">
        <v>0</v>
      </c>
      <c r="I59">
        <v>1</v>
      </c>
      <c r="J59">
        <v>0</v>
      </c>
      <c r="K59">
        <v>0</v>
      </c>
      <c r="L59">
        <v>1</v>
      </c>
      <c r="M59">
        <v>0</v>
      </c>
      <c r="N59">
        <v>0</v>
      </c>
      <c r="O59" t="str" cm="1">
        <f t="array" ref="O59">_xlfn.IFS(Table1[[#This Row],[Divorced]]=1, "Divorced", Table1[[#This Row],[Married]]=1, "Married", Table1[[#This Row],[Single]]=1, "Single", Table1[[#This Row],[Together]]=1, "Together", Table1[[#This Row],[Widow]]=1, "Widow")</f>
        <v>Together</v>
      </c>
      <c r="P59" t="str" cm="1">
        <f t="array" ref="P59">_xlfn.IFS(Table1[[#This Row],[Basic]]=1, "Basic", Table1[[#This Row],[Graduate]]=1, "Graduate", Table1[[#This Row],[Master]]=1, "Master", Table1[[#This Row],[PhD]]=1, "PhD", AND(Table1[[#This Row],[Basic]]=0, Table1[[#This Row],[Graduate]]=0, Table1[[#This Row],[Master]]=0, Table1[[#This Row],[PhD]]=0), "NA")</f>
        <v>Graduate</v>
      </c>
      <c r="Q59" t="e">
        <f>_xlfn.XLOOKUP(Table1[[#This Row],[ID]], Table2[ID],#REF!, "Not Found", 0)</f>
        <v>#REF!</v>
      </c>
      <c r="R59" t="e">
        <f>_xlfn.XLOOKUP(Table1[[#This Row],[ID]], Table2[ID],#REF!, "Not Found", 0)</f>
        <v>#REF!</v>
      </c>
      <c r="S59" s="3" t="str">
        <f>_xlfn.XLOOKUP(Table1[[#This Row],[ID]], Table2[ID], Table2[Enrollment], "Not Found", 0)</f>
        <v>10/27/2019</v>
      </c>
      <c r="T59" t="s">
        <v>437</v>
      </c>
    </row>
    <row r="60" spans="1:20" x14ac:dyDescent="0.3">
      <c r="A60">
        <v>1805</v>
      </c>
      <c r="B60">
        <v>187771</v>
      </c>
      <c r="C60">
        <v>0</v>
      </c>
      <c r="D60">
        <v>1</v>
      </c>
      <c r="E60">
        <v>61</v>
      </c>
      <c r="F60">
        <v>0</v>
      </c>
      <c r="G60">
        <v>0</v>
      </c>
      <c r="H60">
        <v>0</v>
      </c>
      <c r="I60">
        <v>1</v>
      </c>
      <c r="J60">
        <v>0</v>
      </c>
      <c r="K60">
        <v>0</v>
      </c>
      <c r="L60">
        <v>1</v>
      </c>
      <c r="M60">
        <v>0</v>
      </c>
      <c r="N60">
        <v>0</v>
      </c>
      <c r="O60" t="str" cm="1">
        <f t="array" ref="O60">_xlfn.IFS(Table1[[#This Row],[Divorced]]=1, "Divorced", Table1[[#This Row],[Married]]=1, "Married", Table1[[#This Row],[Single]]=1, "Single", Table1[[#This Row],[Together]]=1, "Together", Table1[[#This Row],[Widow]]=1, "Widow")</f>
        <v>Together</v>
      </c>
      <c r="P60" t="str" cm="1">
        <f t="array" ref="P60">_xlfn.IFS(Table1[[#This Row],[Basic]]=1, "Basic", Table1[[#This Row],[Graduate]]=1, "Graduate", Table1[[#This Row],[Master]]=1, "Master", Table1[[#This Row],[PhD]]=1, "PhD", AND(Table1[[#This Row],[Basic]]=0, Table1[[#This Row],[Graduate]]=0, Table1[[#This Row],[Master]]=0, Table1[[#This Row],[PhD]]=0), "NA")</f>
        <v>Graduate</v>
      </c>
      <c r="Q60" t="e">
        <f>_xlfn.XLOOKUP(Table1[[#This Row],[ID]], Table2[ID],#REF!, "Not Found", 0)</f>
        <v>#REF!</v>
      </c>
      <c r="R60" t="e">
        <f>_xlfn.XLOOKUP(Table1[[#This Row],[ID]], Table2[ID],#REF!, "Not Found", 0)</f>
        <v>#REF!</v>
      </c>
      <c r="S60" s="3" t="str">
        <f>_xlfn.XLOOKUP(Table1[[#This Row],[ID]], Table2[ID], Table2[Enrollment], "Not Found", 0)</f>
        <v>10/27/2019</v>
      </c>
      <c r="T60" t="s">
        <v>434</v>
      </c>
    </row>
    <row r="61" spans="1:20" x14ac:dyDescent="0.3">
      <c r="A61">
        <v>2468</v>
      </c>
      <c r="B61">
        <v>187679</v>
      </c>
      <c r="C61">
        <v>0</v>
      </c>
      <c r="D61">
        <v>0</v>
      </c>
      <c r="E61">
        <v>32</v>
      </c>
      <c r="F61">
        <v>0</v>
      </c>
      <c r="G61">
        <v>0</v>
      </c>
      <c r="H61">
        <v>0</v>
      </c>
      <c r="I61">
        <v>1</v>
      </c>
      <c r="J61">
        <v>0</v>
      </c>
      <c r="K61">
        <v>0</v>
      </c>
      <c r="L61">
        <v>1</v>
      </c>
      <c r="M61">
        <v>0</v>
      </c>
      <c r="N61">
        <v>0</v>
      </c>
      <c r="O61" t="str" cm="1">
        <f t="array" ref="O61">_xlfn.IFS(Table1[[#This Row],[Divorced]]=1, "Divorced", Table1[[#This Row],[Married]]=1, "Married", Table1[[#This Row],[Single]]=1, "Single", Table1[[#This Row],[Together]]=1, "Together", Table1[[#This Row],[Widow]]=1, "Widow")</f>
        <v>Together</v>
      </c>
      <c r="P61" t="str" cm="1">
        <f t="array" ref="P61">_xlfn.IFS(Table1[[#This Row],[Basic]]=1, "Basic", Table1[[#This Row],[Graduate]]=1, "Graduate", Table1[[#This Row],[Master]]=1, "Master", Table1[[#This Row],[PhD]]=1, "PhD", AND(Table1[[#This Row],[Basic]]=0, Table1[[#This Row],[Graduate]]=0, Table1[[#This Row],[Master]]=0, Table1[[#This Row],[PhD]]=0), "NA")</f>
        <v>Graduate</v>
      </c>
      <c r="Q61" t="e">
        <f>_xlfn.XLOOKUP(Table1[[#This Row],[ID]], Table2[ID],#REF!, "Not Found", 0)</f>
        <v>#REF!</v>
      </c>
      <c r="R61" t="e">
        <f>_xlfn.XLOOKUP(Table1[[#This Row],[ID]], Table2[ID],#REF!, "Not Found", 0)</f>
        <v>#REF!</v>
      </c>
      <c r="S61" s="3">
        <f>_xlfn.XLOOKUP(Table1[[#This Row],[ID]], Table2[ID], Table2[Enrollment], "Not Found", 0)</f>
        <v>43831</v>
      </c>
      <c r="T61" t="s">
        <v>438</v>
      </c>
    </row>
    <row r="62" spans="1:20" x14ac:dyDescent="0.3">
      <c r="A62">
        <v>1697</v>
      </c>
      <c r="B62">
        <v>187305</v>
      </c>
      <c r="C62">
        <v>0</v>
      </c>
      <c r="D62">
        <v>0</v>
      </c>
      <c r="E62">
        <v>60</v>
      </c>
      <c r="F62">
        <v>1</v>
      </c>
      <c r="G62">
        <v>0</v>
      </c>
      <c r="H62">
        <v>0</v>
      </c>
      <c r="I62">
        <v>0</v>
      </c>
      <c r="J62">
        <v>0</v>
      </c>
      <c r="K62">
        <v>0</v>
      </c>
      <c r="L62">
        <v>0</v>
      </c>
      <c r="M62">
        <v>0</v>
      </c>
      <c r="N62">
        <v>0</v>
      </c>
      <c r="O62" t="str" cm="1">
        <f t="array" ref="O62">_xlfn.IFS(Table1[[#This Row],[Divorced]]=1, "Divorced", Table1[[#This Row],[Married]]=1, "Married", Table1[[#This Row],[Single]]=1, "Single", Table1[[#This Row],[Together]]=1, "Together", Table1[[#This Row],[Widow]]=1, "Widow")</f>
        <v>Divorced</v>
      </c>
      <c r="P62" t="str" cm="1">
        <f t="array" ref="P62">_xlfn.IFS(Table1[[#This Row],[Basic]]=1, "Basic", Table1[[#This Row],[Graduate]]=1, "Graduate", Table1[[#This Row],[Master]]=1, "Master", Table1[[#This Row],[PhD]]=1, "PhD", AND(Table1[[#This Row],[Basic]]=0, Table1[[#This Row],[Graduate]]=0, Table1[[#This Row],[Master]]=0, Table1[[#This Row],[PhD]]=0), "NA")</f>
        <v>NA</v>
      </c>
      <c r="Q62" t="e">
        <f>_xlfn.XLOOKUP(Table1[[#This Row],[ID]], Table2[ID],#REF!, "Not Found", 0)</f>
        <v>#REF!</v>
      </c>
      <c r="R62" t="e">
        <f>_xlfn.XLOOKUP(Table1[[#This Row],[ID]], Table2[ID],#REF!, "Not Found", 0)</f>
        <v>#REF!</v>
      </c>
      <c r="S62" s="3" t="str">
        <f>_xlfn.XLOOKUP(Table1[[#This Row],[ID]], Table2[ID], Table2[Enrollment], "Not Found", 0)</f>
        <v>2/28/2019</v>
      </c>
      <c r="T62" t="s">
        <v>434</v>
      </c>
    </row>
    <row r="63" spans="1:20" x14ac:dyDescent="0.3">
      <c r="A63">
        <v>1096</v>
      </c>
      <c r="B63">
        <v>187195</v>
      </c>
      <c r="C63">
        <v>0</v>
      </c>
      <c r="D63">
        <v>0</v>
      </c>
      <c r="E63">
        <v>61</v>
      </c>
      <c r="F63">
        <v>0</v>
      </c>
      <c r="G63">
        <v>1</v>
      </c>
      <c r="H63">
        <v>0</v>
      </c>
      <c r="I63">
        <v>0</v>
      </c>
      <c r="J63">
        <v>0</v>
      </c>
      <c r="K63">
        <v>0</v>
      </c>
      <c r="L63">
        <v>1</v>
      </c>
      <c r="M63">
        <v>0</v>
      </c>
      <c r="N63">
        <v>0</v>
      </c>
      <c r="O63" t="str" cm="1">
        <f t="array" ref="O63">_xlfn.IFS(Table1[[#This Row],[Divorced]]=1, "Divorced", Table1[[#This Row],[Married]]=1, "Married", Table1[[#This Row],[Single]]=1, "Single", Table1[[#This Row],[Together]]=1, "Together", Table1[[#This Row],[Widow]]=1, "Widow")</f>
        <v>Married</v>
      </c>
      <c r="P63" t="str" cm="1">
        <f t="array" ref="P63">_xlfn.IFS(Table1[[#This Row],[Basic]]=1, "Basic", Table1[[#This Row],[Graduate]]=1, "Graduate", Table1[[#This Row],[Master]]=1, "Master", Table1[[#This Row],[PhD]]=1, "PhD", AND(Table1[[#This Row],[Basic]]=0, Table1[[#This Row],[Graduate]]=0, Table1[[#This Row],[Master]]=0, Table1[[#This Row],[PhD]]=0), "NA")</f>
        <v>Graduate</v>
      </c>
      <c r="Q63" t="e">
        <f>_xlfn.XLOOKUP(Table1[[#This Row],[ID]], Table2[ID],#REF!, "Not Found", 0)</f>
        <v>#REF!</v>
      </c>
      <c r="R63" t="e">
        <f>_xlfn.XLOOKUP(Table1[[#This Row],[ID]], Table2[ID],#REF!, "Not Found", 0)</f>
        <v>#REF!</v>
      </c>
      <c r="S63" s="3">
        <f>_xlfn.XLOOKUP(Table1[[#This Row],[ID]], Table2[ID], Table2[Enrollment], "Not Found", 0)</f>
        <v>44175</v>
      </c>
      <c r="T63" t="s">
        <v>439</v>
      </c>
    </row>
    <row r="64" spans="1:20" x14ac:dyDescent="0.3">
      <c r="A64">
        <v>2496</v>
      </c>
      <c r="B64">
        <v>187188</v>
      </c>
      <c r="C64">
        <v>0</v>
      </c>
      <c r="D64">
        <v>0</v>
      </c>
      <c r="E64">
        <v>37</v>
      </c>
      <c r="F64">
        <v>0</v>
      </c>
      <c r="G64">
        <v>0</v>
      </c>
      <c r="H64">
        <v>1</v>
      </c>
      <c r="I64">
        <v>0</v>
      </c>
      <c r="J64">
        <v>0</v>
      </c>
      <c r="K64">
        <v>0</v>
      </c>
      <c r="L64">
        <v>0</v>
      </c>
      <c r="M64">
        <v>0</v>
      </c>
      <c r="N64">
        <v>1</v>
      </c>
      <c r="O64" t="str" cm="1">
        <f t="array" ref="O64">_xlfn.IFS(Table1[[#This Row],[Divorced]]=1, "Divorced", Table1[[#This Row],[Married]]=1, "Married", Table1[[#This Row],[Single]]=1, "Single", Table1[[#This Row],[Together]]=1, "Together", Table1[[#This Row],[Widow]]=1, "Widow")</f>
        <v>Single</v>
      </c>
      <c r="P64" t="str" cm="1">
        <f t="array" ref="P64">_xlfn.IFS(Table1[[#This Row],[Basic]]=1, "Basic", Table1[[#This Row],[Graduate]]=1, "Graduate", Table1[[#This Row],[Master]]=1, "Master", Table1[[#This Row],[PhD]]=1, "PhD", AND(Table1[[#This Row],[Basic]]=0, Table1[[#This Row],[Graduate]]=0, Table1[[#This Row],[Master]]=0, Table1[[#This Row],[PhD]]=0), "NA")</f>
        <v>PhD</v>
      </c>
      <c r="Q64" t="e">
        <f>_xlfn.XLOOKUP(Table1[[#This Row],[ID]], Table2[ID],#REF!, "Not Found", 0)</f>
        <v>#REF!</v>
      </c>
      <c r="R64" t="e">
        <f>_xlfn.XLOOKUP(Table1[[#This Row],[ID]], Table2[ID],#REF!, "Not Found", 0)</f>
        <v>#REF!</v>
      </c>
      <c r="S64" s="3">
        <f>_xlfn.XLOOKUP(Table1[[#This Row],[ID]], Table2[ID], Table2[Enrollment], "Not Found", 0)</f>
        <v>43688</v>
      </c>
      <c r="T64" t="s">
        <v>436</v>
      </c>
    </row>
    <row r="65" spans="1:20" x14ac:dyDescent="0.3">
      <c r="A65">
        <v>2057</v>
      </c>
      <c r="B65">
        <v>187171</v>
      </c>
      <c r="C65">
        <v>0</v>
      </c>
      <c r="D65">
        <v>0</v>
      </c>
      <c r="E65">
        <v>39</v>
      </c>
      <c r="F65">
        <v>0</v>
      </c>
      <c r="G65">
        <v>1</v>
      </c>
      <c r="H65">
        <v>0</v>
      </c>
      <c r="I65">
        <v>0</v>
      </c>
      <c r="J65">
        <v>0</v>
      </c>
      <c r="K65">
        <v>0</v>
      </c>
      <c r="L65">
        <v>0</v>
      </c>
      <c r="M65">
        <v>0</v>
      </c>
      <c r="N65">
        <v>1</v>
      </c>
      <c r="O65" t="str" cm="1">
        <f t="array" ref="O65">_xlfn.IFS(Table1[[#This Row],[Divorced]]=1, "Divorced", Table1[[#This Row],[Married]]=1, "Married", Table1[[#This Row],[Single]]=1, "Single", Table1[[#This Row],[Together]]=1, "Together", Table1[[#This Row],[Widow]]=1, "Widow")</f>
        <v>Married</v>
      </c>
      <c r="P65" t="str" cm="1">
        <f t="array" ref="P65">_xlfn.IFS(Table1[[#This Row],[Basic]]=1, "Basic", Table1[[#This Row],[Graduate]]=1, "Graduate", Table1[[#This Row],[Master]]=1, "Master", Table1[[#This Row],[PhD]]=1, "PhD", AND(Table1[[#This Row],[Basic]]=0, Table1[[#This Row],[Graduate]]=0, Table1[[#This Row],[Master]]=0, Table1[[#This Row],[PhD]]=0), "NA")</f>
        <v>PhD</v>
      </c>
      <c r="Q65" t="e">
        <f>_xlfn.XLOOKUP(Table1[[#This Row],[ID]], Table2[ID],#REF!, "Not Found", 0)</f>
        <v>#REF!</v>
      </c>
      <c r="R65" t="e">
        <f>_xlfn.XLOOKUP(Table1[[#This Row],[ID]], Table2[ID],#REF!, "Not Found", 0)</f>
        <v>#REF!</v>
      </c>
      <c r="S65" s="3">
        <f>_xlfn.XLOOKUP(Table1[[#This Row],[ID]], Table2[ID], Table2[Enrollment], "Not Found", 0)</f>
        <v>43626</v>
      </c>
      <c r="T65" t="s">
        <v>434</v>
      </c>
    </row>
    <row r="66" spans="1:20" x14ac:dyDescent="0.3">
      <c r="A66">
        <v>3055</v>
      </c>
      <c r="B66">
        <v>187000</v>
      </c>
      <c r="C66">
        <v>0</v>
      </c>
      <c r="D66">
        <v>0</v>
      </c>
      <c r="E66">
        <v>28</v>
      </c>
      <c r="F66">
        <v>0</v>
      </c>
      <c r="G66">
        <v>1</v>
      </c>
      <c r="H66">
        <v>0</v>
      </c>
      <c r="I66">
        <v>0</v>
      </c>
      <c r="J66">
        <v>0</v>
      </c>
      <c r="K66">
        <v>0</v>
      </c>
      <c r="L66">
        <v>0</v>
      </c>
      <c r="M66">
        <v>0</v>
      </c>
      <c r="N66">
        <v>0</v>
      </c>
      <c r="O66" t="str" cm="1">
        <f t="array" ref="O66">_xlfn.IFS(Table1[[#This Row],[Divorced]]=1, "Divorced", Table1[[#This Row],[Married]]=1, "Married", Table1[[#This Row],[Single]]=1, "Single", Table1[[#This Row],[Together]]=1, "Together", Table1[[#This Row],[Widow]]=1, "Widow")</f>
        <v>Married</v>
      </c>
      <c r="P66" t="str" cm="1">
        <f t="array" ref="P66">_xlfn.IFS(Table1[[#This Row],[Basic]]=1, "Basic", Table1[[#This Row],[Graduate]]=1, "Graduate", Table1[[#This Row],[Master]]=1, "Master", Table1[[#This Row],[PhD]]=1, "PhD", AND(Table1[[#This Row],[Basic]]=0, Table1[[#This Row],[Graduate]]=0, Table1[[#This Row],[Master]]=0, Table1[[#This Row],[PhD]]=0), "NA")</f>
        <v>NA</v>
      </c>
      <c r="Q66" t="e">
        <f>_xlfn.XLOOKUP(Table1[[#This Row],[ID]], Table2[ID],#REF!, "Not Found", 0)</f>
        <v>#REF!</v>
      </c>
      <c r="R66" t="e">
        <f>_xlfn.XLOOKUP(Table1[[#This Row],[ID]], Table2[ID],#REF!, "Not Found", 0)</f>
        <v>#REF!</v>
      </c>
      <c r="S66" s="3" t="str">
        <f>_xlfn.XLOOKUP(Table1[[#This Row],[ID]], Table2[ID], Table2[Enrollment], "Not Found", 0)</f>
        <v>5/22/2019</v>
      </c>
      <c r="T66" t="s">
        <v>437</v>
      </c>
    </row>
    <row r="67" spans="1:20" x14ac:dyDescent="0.3">
      <c r="A67">
        <v>2862</v>
      </c>
      <c r="B67">
        <v>186979</v>
      </c>
      <c r="C67">
        <v>0</v>
      </c>
      <c r="D67">
        <v>0</v>
      </c>
      <c r="E67">
        <v>49</v>
      </c>
      <c r="F67">
        <v>1</v>
      </c>
      <c r="G67">
        <v>0</v>
      </c>
      <c r="H67">
        <v>0</v>
      </c>
      <c r="I67">
        <v>0</v>
      </c>
      <c r="J67">
        <v>0</v>
      </c>
      <c r="K67">
        <v>0</v>
      </c>
      <c r="L67">
        <v>0</v>
      </c>
      <c r="M67">
        <v>0</v>
      </c>
      <c r="N67">
        <v>1</v>
      </c>
      <c r="O67" t="str" cm="1">
        <f t="array" ref="O67">_xlfn.IFS(Table1[[#This Row],[Divorced]]=1, "Divorced", Table1[[#This Row],[Married]]=1, "Married", Table1[[#This Row],[Single]]=1, "Single", Table1[[#This Row],[Together]]=1, "Together", Table1[[#This Row],[Widow]]=1, "Widow")</f>
        <v>Divorced</v>
      </c>
      <c r="P67" t="str" cm="1">
        <f t="array" ref="P67">_xlfn.IFS(Table1[[#This Row],[Basic]]=1, "Basic", Table1[[#This Row],[Graduate]]=1, "Graduate", Table1[[#This Row],[Master]]=1, "Master", Table1[[#This Row],[PhD]]=1, "PhD", AND(Table1[[#This Row],[Basic]]=0, Table1[[#This Row],[Graduate]]=0, Table1[[#This Row],[Master]]=0, Table1[[#This Row],[PhD]]=0), "NA")</f>
        <v>PhD</v>
      </c>
      <c r="Q67" t="e">
        <f>_xlfn.XLOOKUP(Table1[[#This Row],[ID]], Table2[ID],#REF!, "Not Found", 0)</f>
        <v>#REF!</v>
      </c>
      <c r="R67" t="e">
        <f>_xlfn.XLOOKUP(Table1[[#This Row],[ID]], Table2[ID],#REF!, "Not Found", 0)</f>
        <v>#REF!</v>
      </c>
      <c r="S67" s="3" t="str">
        <f>_xlfn.XLOOKUP(Table1[[#This Row],[ID]], Table2[ID], Table2[Enrollment], "Not Found", 0)</f>
        <v>4/13/2020</v>
      </c>
      <c r="T67" t="s">
        <v>436</v>
      </c>
    </row>
    <row r="68" spans="1:20" x14ac:dyDescent="0.3">
      <c r="A68">
        <v>1668</v>
      </c>
      <c r="B68">
        <v>186857</v>
      </c>
      <c r="C68">
        <v>0</v>
      </c>
      <c r="D68">
        <v>0</v>
      </c>
      <c r="E68">
        <v>48</v>
      </c>
      <c r="F68">
        <v>0</v>
      </c>
      <c r="G68">
        <v>0</v>
      </c>
      <c r="H68">
        <v>1</v>
      </c>
      <c r="I68">
        <v>0</v>
      </c>
      <c r="J68">
        <v>0</v>
      </c>
      <c r="K68">
        <v>0</v>
      </c>
      <c r="L68">
        <v>0</v>
      </c>
      <c r="M68">
        <v>0</v>
      </c>
      <c r="N68">
        <v>1</v>
      </c>
      <c r="O68" t="str" cm="1">
        <f t="array" ref="O68">_xlfn.IFS(Table1[[#This Row],[Divorced]]=1, "Divorced", Table1[[#This Row],[Married]]=1, "Married", Table1[[#This Row],[Single]]=1, "Single", Table1[[#This Row],[Together]]=1, "Together", Table1[[#This Row],[Widow]]=1, "Widow")</f>
        <v>Single</v>
      </c>
      <c r="P68" t="str" cm="1">
        <f t="array" ref="P68">_xlfn.IFS(Table1[[#This Row],[Basic]]=1, "Basic", Table1[[#This Row],[Graduate]]=1, "Graduate", Table1[[#This Row],[Master]]=1, "Master", Table1[[#This Row],[PhD]]=1, "PhD", AND(Table1[[#This Row],[Basic]]=0, Table1[[#This Row],[Graduate]]=0, Table1[[#This Row],[Master]]=0, Table1[[#This Row],[PhD]]=0), "NA")</f>
        <v>PhD</v>
      </c>
      <c r="Q68" t="e">
        <f>_xlfn.XLOOKUP(Table1[[#This Row],[ID]], Table2[ID],#REF!, "Not Found", 0)</f>
        <v>#REF!</v>
      </c>
      <c r="R68" t="e">
        <f>_xlfn.XLOOKUP(Table1[[#This Row],[ID]], Table2[ID],#REF!, "Not Found", 0)</f>
        <v>#REF!</v>
      </c>
      <c r="S68" s="3" t="str">
        <f>_xlfn.XLOOKUP(Table1[[#This Row],[ID]], Table2[ID], Table2[Enrollment], "Not Found", 0)</f>
        <v>2/17/2019</v>
      </c>
      <c r="T68" t="s">
        <v>436</v>
      </c>
    </row>
    <row r="69" spans="1:20" x14ac:dyDescent="0.3">
      <c r="A69">
        <v>1865</v>
      </c>
      <c r="B69">
        <v>186857</v>
      </c>
      <c r="C69">
        <v>0</v>
      </c>
      <c r="D69">
        <v>0</v>
      </c>
      <c r="E69">
        <v>48</v>
      </c>
      <c r="F69">
        <v>0</v>
      </c>
      <c r="G69">
        <v>0</v>
      </c>
      <c r="H69">
        <v>1</v>
      </c>
      <c r="I69">
        <v>0</v>
      </c>
      <c r="J69">
        <v>0</v>
      </c>
      <c r="K69">
        <v>0</v>
      </c>
      <c r="L69">
        <v>0</v>
      </c>
      <c r="M69">
        <v>0</v>
      </c>
      <c r="N69">
        <v>1</v>
      </c>
      <c r="O69" t="str" cm="1">
        <f t="array" ref="O69">_xlfn.IFS(Table1[[#This Row],[Divorced]]=1, "Divorced", Table1[[#This Row],[Married]]=1, "Married", Table1[[#This Row],[Single]]=1, "Single", Table1[[#This Row],[Together]]=1, "Together", Table1[[#This Row],[Widow]]=1, "Widow")</f>
        <v>Single</v>
      </c>
      <c r="P69" t="str" cm="1">
        <f t="array" ref="P69">_xlfn.IFS(Table1[[#This Row],[Basic]]=1, "Basic", Table1[[#This Row],[Graduate]]=1, "Graduate", Table1[[#This Row],[Master]]=1, "Master", Table1[[#This Row],[PhD]]=1, "PhD", AND(Table1[[#This Row],[Basic]]=0, Table1[[#This Row],[Graduate]]=0, Table1[[#This Row],[Master]]=0, Table1[[#This Row],[PhD]]=0), "NA")</f>
        <v>PhD</v>
      </c>
      <c r="Q69" t="e">
        <f>_xlfn.XLOOKUP(Table1[[#This Row],[ID]], Table2[ID],#REF!, "Not Found", 0)</f>
        <v>#REF!</v>
      </c>
      <c r="R69" t="e">
        <f>_xlfn.XLOOKUP(Table1[[#This Row],[ID]], Table2[ID],#REF!, "Not Found", 0)</f>
        <v>#REF!</v>
      </c>
      <c r="S69" s="3" t="str">
        <f>_xlfn.XLOOKUP(Table1[[#This Row],[ID]], Table2[ID], Table2[Enrollment], "Not Found", 0)</f>
        <v>2/17/2019</v>
      </c>
      <c r="T69" t="s">
        <v>434</v>
      </c>
    </row>
    <row r="70" spans="1:20" x14ac:dyDescent="0.3">
      <c r="A70">
        <v>2820</v>
      </c>
      <c r="B70">
        <v>186836</v>
      </c>
      <c r="C70">
        <v>0</v>
      </c>
      <c r="D70">
        <v>0</v>
      </c>
      <c r="E70">
        <v>45</v>
      </c>
      <c r="F70">
        <v>0</v>
      </c>
      <c r="G70">
        <v>1</v>
      </c>
      <c r="H70">
        <v>0</v>
      </c>
      <c r="I70">
        <v>0</v>
      </c>
      <c r="J70">
        <v>0</v>
      </c>
      <c r="K70">
        <v>0</v>
      </c>
      <c r="L70">
        <v>0</v>
      </c>
      <c r="M70">
        <v>0</v>
      </c>
      <c r="N70">
        <v>1</v>
      </c>
      <c r="O70" t="str" cm="1">
        <f t="array" ref="O70">_xlfn.IFS(Table1[[#This Row],[Divorced]]=1, "Divorced", Table1[[#This Row],[Married]]=1, "Married", Table1[[#This Row],[Single]]=1, "Single", Table1[[#This Row],[Together]]=1, "Together", Table1[[#This Row],[Widow]]=1, "Widow")</f>
        <v>Married</v>
      </c>
      <c r="P70" t="str" cm="1">
        <f t="array" ref="P70">_xlfn.IFS(Table1[[#This Row],[Basic]]=1, "Basic", Table1[[#This Row],[Graduate]]=1, "Graduate", Table1[[#This Row],[Master]]=1, "Master", Table1[[#This Row],[PhD]]=1, "PhD", AND(Table1[[#This Row],[Basic]]=0, Table1[[#This Row],[Graduate]]=0, Table1[[#This Row],[Master]]=0, Table1[[#This Row],[PhD]]=0), "NA")</f>
        <v>PhD</v>
      </c>
      <c r="Q70" t="e">
        <f>_xlfn.XLOOKUP(Table1[[#This Row],[ID]], Table2[ID],#REF!, "Not Found", 0)</f>
        <v>#REF!</v>
      </c>
      <c r="R70" t="e">
        <f>_xlfn.XLOOKUP(Table1[[#This Row],[ID]], Table2[ID],#REF!, "Not Found", 0)</f>
        <v>#REF!</v>
      </c>
      <c r="S70" s="3" t="str">
        <f>_xlfn.XLOOKUP(Table1[[#This Row],[ID]], Table2[ID], Table2[Enrollment], "Not Found", 0)</f>
        <v>2/17/2019</v>
      </c>
      <c r="T70" t="s">
        <v>436</v>
      </c>
    </row>
    <row r="71" spans="1:20" x14ac:dyDescent="0.3">
      <c r="A71">
        <v>1186</v>
      </c>
      <c r="B71">
        <v>186718</v>
      </c>
      <c r="C71">
        <v>0</v>
      </c>
      <c r="D71">
        <v>0</v>
      </c>
      <c r="E71">
        <v>66</v>
      </c>
      <c r="F71">
        <v>0</v>
      </c>
      <c r="G71">
        <v>1</v>
      </c>
      <c r="H71">
        <v>0</v>
      </c>
      <c r="I71">
        <v>0</v>
      </c>
      <c r="J71">
        <v>0</v>
      </c>
      <c r="K71">
        <v>0</v>
      </c>
      <c r="L71">
        <v>1</v>
      </c>
      <c r="M71">
        <v>0</v>
      </c>
      <c r="N71">
        <v>0</v>
      </c>
      <c r="O71" t="str" cm="1">
        <f t="array" ref="O71">_xlfn.IFS(Table1[[#This Row],[Divorced]]=1, "Divorced", Table1[[#This Row],[Married]]=1, "Married", Table1[[#This Row],[Single]]=1, "Single", Table1[[#This Row],[Together]]=1, "Together", Table1[[#This Row],[Widow]]=1, "Widow")</f>
        <v>Married</v>
      </c>
      <c r="P71" t="str" cm="1">
        <f t="array" ref="P71">_xlfn.IFS(Table1[[#This Row],[Basic]]=1, "Basic", Table1[[#This Row],[Graduate]]=1, "Graduate", Table1[[#This Row],[Master]]=1, "Master", Table1[[#This Row],[PhD]]=1, "PhD", AND(Table1[[#This Row],[Basic]]=0, Table1[[#This Row],[Graduate]]=0, Table1[[#This Row],[Master]]=0, Table1[[#This Row],[PhD]]=0), "NA")</f>
        <v>Graduate</v>
      </c>
      <c r="Q71" t="e">
        <f>_xlfn.XLOOKUP(Table1[[#This Row],[ID]], Table2[ID],#REF!, "Not Found", 0)</f>
        <v>#REF!</v>
      </c>
      <c r="R71" t="e">
        <f>_xlfn.XLOOKUP(Table1[[#This Row],[ID]], Table2[ID],#REF!, "Not Found", 0)</f>
        <v>#REF!</v>
      </c>
      <c r="S71" s="3" t="str">
        <f>_xlfn.XLOOKUP(Table1[[#This Row],[ID]], Table2[ID], Table2[Enrollment], "Not Found", 0)</f>
        <v>6/24/2019</v>
      </c>
      <c r="T71" t="s">
        <v>439</v>
      </c>
    </row>
    <row r="72" spans="1:20" x14ac:dyDescent="0.3">
      <c r="A72">
        <v>2646</v>
      </c>
      <c r="B72">
        <v>186610</v>
      </c>
      <c r="C72">
        <v>0</v>
      </c>
      <c r="D72">
        <v>0</v>
      </c>
      <c r="E72">
        <v>69</v>
      </c>
      <c r="F72">
        <v>0</v>
      </c>
      <c r="G72">
        <v>0</v>
      </c>
      <c r="H72">
        <v>0</v>
      </c>
      <c r="I72">
        <v>1</v>
      </c>
      <c r="J72">
        <v>0</v>
      </c>
      <c r="K72">
        <v>0</v>
      </c>
      <c r="L72">
        <v>1</v>
      </c>
      <c r="M72">
        <v>0</v>
      </c>
      <c r="N72">
        <v>0</v>
      </c>
      <c r="O72" t="str" cm="1">
        <f t="array" ref="O72">_xlfn.IFS(Table1[[#This Row],[Divorced]]=1, "Divorced", Table1[[#This Row],[Married]]=1, "Married", Table1[[#This Row],[Single]]=1, "Single", Table1[[#This Row],[Together]]=1, "Together", Table1[[#This Row],[Widow]]=1, "Widow")</f>
        <v>Together</v>
      </c>
      <c r="P72" t="str" cm="1">
        <f t="array" ref="P72">_xlfn.IFS(Table1[[#This Row],[Basic]]=1, "Basic", Table1[[#This Row],[Graduate]]=1, "Graduate", Table1[[#This Row],[Master]]=1, "Master", Table1[[#This Row],[PhD]]=1, "PhD", AND(Table1[[#This Row],[Basic]]=0, Table1[[#This Row],[Graduate]]=0, Table1[[#This Row],[Master]]=0, Table1[[#This Row],[PhD]]=0), "NA")</f>
        <v>Graduate</v>
      </c>
      <c r="Q72" t="e">
        <f>_xlfn.XLOOKUP(Table1[[#This Row],[ID]], Table2[ID],#REF!, "Not Found", 0)</f>
        <v>#REF!</v>
      </c>
      <c r="R72" t="e">
        <f>_xlfn.XLOOKUP(Table1[[#This Row],[ID]], Table2[ID],#REF!, "Not Found", 0)</f>
        <v>#REF!</v>
      </c>
      <c r="S72" s="3">
        <f>_xlfn.XLOOKUP(Table1[[#This Row],[ID]], Table2[ID], Table2[Enrollment], "Not Found", 0)</f>
        <v>44106</v>
      </c>
      <c r="T72" t="s">
        <v>436</v>
      </c>
    </row>
    <row r="73" spans="1:20" x14ac:dyDescent="0.3">
      <c r="A73">
        <v>2672</v>
      </c>
      <c r="B73">
        <v>186580</v>
      </c>
      <c r="C73">
        <v>0</v>
      </c>
      <c r="D73">
        <v>0</v>
      </c>
      <c r="E73">
        <v>37</v>
      </c>
      <c r="F73">
        <v>0</v>
      </c>
      <c r="G73">
        <v>1</v>
      </c>
      <c r="H73">
        <v>0</v>
      </c>
      <c r="I73">
        <v>0</v>
      </c>
      <c r="J73">
        <v>0</v>
      </c>
      <c r="K73">
        <v>0</v>
      </c>
      <c r="L73">
        <v>0</v>
      </c>
      <c r="M73">
        <v>0</v>
      </c>
      <c r="N73">
        <v>1</v>
      </c>
      <c r="O73" t="str" cm="1">
        <f t="array" ref="O73">_xlfn.IFS(Table1[[#This Row],[Divorced]]=1, "Divorced", Table1[[#This Row],[Married]]=1, "Married", Table1[[#This Row],[Single]]=1, "Single", Table1[[#This Row],[Together]]=1, "Together", Table1[[#This Row],[Widow]]=1, "Widow")</f>
        <v>Married</v>
      </c>
      <c r="P73" t="str" cm="1">
        <f t="array" ref="P73">_xlfn.IFS(Table1[[#This Row],[Basic]]=1, "Basic", Table1[[#This Row],[Graduate]]=1, "Graduate", Table1[[#This Row],[Master]]=1, "Master", Table1[[#This Row],[PhD]]=1, "PhD", AND(Table1[[#This Row],[Basic]]=0, Table1[[#This Row],[Graduate]]=0, Table1[[#This Row],[Master]]=0, Table1[[#This Row],[PhD]]=0), "NA")</f>
        <v>PhD</v>
      </c>
      <c r="Q73" t="e">
        <f>_xlfn.XLOOKUP(Table1[[#This Row],[ID]], Table2[ID],#REF!, "Not Found", 0)</f>
        <v>#REF!</v>
      </c>
      <c r="R73" t="e">
        <f>_xlfn.XLOOKUP(Table1[[#This Row],[ID]], Table2[ID],#REF!, "Not Found", 0)</f>
        <v>#REF!</v>
      </c>
      <c r="S73" s="3">
        <f>_xlfn.XLOOKUP(Table1[[#This Row],[ID]], Table2[ID], Table2[Enrollment], "Not Found", 0)</f>
        <v>43563</v>
      </c>
      <c r="T73" t="s">
        <v>438</v>
      </c>
    </row>
    <row r="74" spans="1:20" x14ac:dyDescent="0.3">
      <c r="A74">
        <v>1887</v>
      </c>
      <c r="B74">
        <v>186429</v>
      </c>
      <c r="C74">
        <v>0</v>
      </c>
      <c r="D74">
        <v>0</v>
      </c>
      <c r="E74">
        <v>59</v>
      </c>
      <c r="F74">
        <v>0</v>
      </c>
      <c r="G74">
        <v>0</v>
      </c>
      <c r="H74">
        <v>1</v>
      </c>
      <c r="I74">
        <v>0</v>
      </c>
      <c r="J74">
        <v>0</v>
      </c>
      <c r="K74">
        <v>0</v>
      </c>
      <c r="L74">
        <v>1</v>
      </c>
      <c r="M74">
        <v>0</v>
      </c>
      <c r="N74">
        <v>0</v>
      </c>
      <c r="O74" t="str" cm="1">
        <f t="array" ref="O74">_xlfn.IFS(Table1[[#This Row],[Divorced]]=1, "Divorced", Table1[[#This Row],[Married]]=1, "Married", Table1[[#This Row],[Single]]=1, "Single", Table1[[#This Row],[Together]]=1, "Together", Table1[[#This Row],[Widow]]=1, "Widow")</f>
        <v>Single</v>
      </c>
      <c r="P74" t="str" cm="1">
        <f t="array" ref="P74">_xlfn.IFS(Table1[[#This Row],[Basic]]=1, "Basic", Table1[[#This Row],[Graduate]]=1, "Graduate", Table1[[#This Row],[Master]]=1, "Master", Table1[[#This Row],[PhD]]=1, "PhD", AND(Table1[[#This Row],[Basic]]=0, Table1[[#This Row],[Graduate]]=0, Table1[[#This Row],[Master]]=0, Table1[[#This Row],[PhD]]=0), "NA")</f>
        <v>Graduate</v>
      </c>
      <c r="Q74" t="e">
        <f>_xlfn.XLOOKUP(Table1[[#This Row],[ID]], Table2[ID],#REF!, "Not Found", 0)</f>
        <v>#REF!</v>
      </c>
      <c r="R74" t="e">
        <f>_xlfn.XLOOKUP(Table1[[#This Row],[ID]], Table2[ID],#REF!, "Not Found", 0)</f>
        <v>#REF!</v>
      </c>
      <c r="S74" s="3" t="str">
        <f>_xlfn.XLOOKUP(Table1[[#This Row],[ID]], Table2[ID], Table2[Enrollment], "Not Found", 0)</f>
        <v>4/27/2020</v>
      </c>
      <c r="T74" t="s">
        <v>435</v>
      </c>
    </row>
    <row r="75" spans="1:20" x14ac:dyDescent="0.3">
      <c r="A75">
        <v>1859</v>
      </c>
      <c r="B75">
        <v>186424</v>
      </c>
      <c r="C75">
        <v>0</v>
      </c>
      <c r="D75">
        <v>0</v>
      </c>
      <c r="E75">
        <v>64</v>
      </c>
      <c r="F75">
        <v>0</v>
      </c>
      <c r="G75">
        <v>0</v>
      </c>
      <c r="H75">
        <v>1</v>
      </c>
      <c r="I75">
        <v>0</v>
      </c>
      <c r="J75">
        <v>0</v>
      </c>
      <c r="K75">
        <v>0</v>
      </c>
      <c r="L75">
        <v>0</v>
      </c>
      <c r="M75">
        <v>1</v>
      </c>
      <c r="N75">
        <v>0</v>
      </c>
      <c r="O75" t="str" cm="1">
        <f t="array" ref="O75">_xlfn.IFS(Table1[[#This Row],[Divorced]]=1, "Divorced", Table1[[#This Row],[Married]]=1, "Married", Table1[[#This Row],[Single]]=1, "Single", Table1[[#This Row],[Together]]=1, "Together", Table1[[#This Row],[Widow]]=1, "Widow")</f>
        <v>Single</v>
      </c>
      <c r="P75" t="str" cm="1">
        <f t="array" ref="P75">_xlfn.IFS(Table1[[#This Row],[Basic]]=1, "Basic", Table1[[#This Row],[Graduate]]=1, "Graduate", Table1[[#This Row],[Master]]=1, "Master", Table1[[#This Row],[PhD]]=1, "PhD", AND(Table1[[#This Row],[Basic]]=0, Table1[[#This Row],[Graduate]]=0, Table1[[#This Row],[Master]]=0, Table1[[#This Row],[PhD]]=0), "NA")</f>
        <v>Master</v>
      </c>
      <c r="Q75" t="e">
        <f>_xlfn.XLOOKUP(Table1[[#This Row],[ID]], Table2[ID],#REF!, "Not Found", 0)</f>
        <v>#REF!</v>
      </c>
      <c r="R75" t="e">
        <f>_xlfn.XLOOKUP(Table1[[#This Row],[ID]], Table2[ID],#REF!, "Not Found", 0)</f>
        <v>#REF!</v>
      </c>
      <c r="S75" s="3">
        <f>_xlfn.XLOOKUP(Table1[[#This Row],[ID]], Table2[ID], Table2[Enrollment], "Not Found", 0)</f>
        <v>44083</v>
      </c>
      <c r="T75" t="s">
        <v>434</v>
      </c>
    </row>
    <row r="76" spans="1:20" x14ac:dyDescent="0.3">
      <c r="A76">
        <v>2107</v>
      </c>
      <c r="B76">
        <v>186358</v>
      </c>
      <c r="C76">
        <v>1</v>
      </c>
      <c r="D76">
        <v>1</v>
      </c>
      <c r="E76">
        <v>54</v>
      </c>
      <c r="F76">
        <v>0</v>
      </c>
      <c r="G76">
        <v>0</v>
      </c>
      <c r="H76">
        <v>1</v>
      </c>
      <c r="I76">
        <v>0</v>
      </c>
      <c r="J76">
        <v>0</v>
      </c>
      <c r="K76">
        <v>0</v>
      </c>
      <c r="L76">
        <v>1</v>
      </c>
      <c r="M76">
        <v>0</v>
      </c>
      <c r="N76">
        <v>0</v>
      </c>
      <c r="O76" t="str" cm="1">
        <f t="array" ref="O76">_xlfn.IFS(Table1[[#This Row],[Divorced]]=1, "Divorced", Table1[[#This Row],[Married]]=1, "Married", Table1[[#This Row],[Single]]=1, "Single", Table1[[#This Row],[Together]]=1, "Together", Table1[[#This Row],[Widow]]=1, "Widow")</f>
        <v>Single</v>
      </c>
      <c r="P76" t="str" cm="1">
        <f t="array" ref="P76">_xlfn.IFS(Table1[[#This Row],[Basic]]=1, "Basic", Table1[[#This Row],[Graduate]]=1, "Graduate", Table1[[#This Row],[Master]]=1, "Master", Table1[[#This Row],[PhD]]=1, "PhD", AND(Table1[[#This Row],[Basic]]=0, Table1[[#This Row],[Graduate]]=0, Table1[[#This Row],[Master]]=0, Table1[[#This Row],[PhD]]=0), "NA")</f>
        <v>Graduate</v>
      </c>
      <c r="Q76" t="e">
        <f>_xlfn.XLOOKUP(Table1[[#This Row],[ID]], Table2[ID],#REF!, "Not Found", 0)</f>
        <v>#REF!</v>
      </c>
      <c r="R76" t="e">
        <f>_xlfn.XLOOKUP(Table1[[#This Row],[ID]], Table2[ID],#REF!, "Not Found", 0)</f>
        <v>#REF!</v>
      </c>
      <c r="S76" s="3" t="str">
        <f>_xlfn.XLOOKUP(Table1[[#This Row],[ID]], Table2[ID], Table2[Enrollment], "Not Found", 0)</f>
        <v>1/13/2019</v>
      </c>
      <c r="T76" t="s">
        <v>437</v>
      </c>
    </row>
    <row r="77" spans="1:20" x14ac:dyDescent="0.3">
      <c r="A77">
        <v>1132</v>
      </c>
      <c r="B77">
        <v>186111</v>
      </c>
      <c r="C77">
        <v>0</v>
      </c>
      <c r="D77">
        <v>0</v>
      </c>
      <c r="E77">
        <v>58</v>
      </c>
      <c r="F77">
        <v>0</v>
      </c>
      <c r="G77">
        <v>1</v>
      </c>
      <c r="H77">
        <v>0</v>
      </c>
      <c r="I77">
        <v>0</v>
      </c>
      <c r="J77">
        <v>0</v>
      </c>
      <c r="K77">
        <v>0</v>
      </c>
      <c r="L77">
        <v>1</v>
      </c>
      <c r="M77">
        <v>0</v>
      </c>
      <c r="N77">
        <v>0</v>
      </c>
      <c r="O77" t="str" cm="1">
        <f t="array" ref="O77">_xlfn.IFS(Table1[[#This Row],[Divorced]]=1, "Divorced", Table1[[#This Row],[Married]]=1, "Married", Table1[[#This Row],[Single]]=1, "Single", Table1[[#This Row],[Together]]=1, "Together", Table1[[#This Row],[Widow]]=1, "Widow")</f>
        <v>Married</v>
      </c>
      <c r="P77" t="str" cm="1">
        <f t="array" ref="P77">_xlfn.IFS(Table1[[#This Row],[Basic]]=1, "Basic", Table1[[#This Row],[Graduate]]=1, "Graduate", Table1[[#This Row],[Master]]=1, "Master", Table1[[#This Row],[PhD]]=1, "PhD", AND(Table1[[#This Row],[Basic]]=0, Table1[[#This Row],[Graduate]]=0, Table1[[#This Row],[Master]]=0, Table1[[#This Row],[PhD]]=0), "NA")</f>
        <v>Graduate</v>
      </c>
      <c r="Q77" t="e">
        <f>_xlfn.XLOOKUP(Table1[[#This Row],[ID]], Table2[ID],#REF!, "Not Found", 0)</f>
        <v>#REF!</v>
      </c>
      <c r="R77" t="e">
        <f>_xlfn.XLOOKUP(Table1[[#This Row],[ID]], Table2[ID],#REF!, "Not Found", 0)</f>
        <v>#REF!</v>
      </c>
      <c r="S77" s="3" t="str">
        <f>_xlfn.XLOOKUP(Table1[[#This Row],[ID]], Table2[ID], Table2[Enrollment], "Not Found", 0)</f>
        <v>9/24/2019</v>
      </c>
      <c r="T77" t="s">
        <v>439</v>
      </c>
    </row>
    <row r="78" spans="1:20" x14ac:dyDescent="0.3">
      <c r="A78">
        <v>1105</v>
      </c>
      <c r="B78">
        <v>186037</v>
      </c>
      <c r="C78">
        <v>0</v>
      </c>
      <c r="D78">
        <v>0</v>
      </c>
      <c r="E78">
        <v>29</v>
      </c>
      <c r="F78">
        <v>0</v>
      </c>
      <c r="G78">
        <v>0</v>
      </c>
      <c r="H78">
        <v>1</v>
      </c>
      <c r="I78">
        <v>0</v>
      </c>
      <c r="J78">
        <v>0</v>
      </c>
      <c r="K78">
        <v>0</v>
      </c>
      <c r="L78">
        <v>1</v>
      </c>
      <c r="M78">
        <v>0</v>
      </c>
      <c r="N78">
        <v>0</v>
      </c>
      <c r="O78" t="str" cm="1">
        <f t="array" ref="O78">_xlfn.IFS(Table1[[#This Row],[Divorced]]=1, "Divorced", Table1[[#This Row],[Married]]=1, "Married", Table1[[#This Row],[Single]]=1, "Single", Table1[[#This Row],[Together]]=1, "Together", Table1[[#This Row],[Widow]]=1, "Widow")</f>
        <v>Single</v>
      </c>
      <c r="P78" t="str" cm="1">
        <f t="array" ref="P78">_xlfn.IFS(Table1[[#This Row],[Basic]]=1, "Basic", Table1[[#This Row],[Graduate]]=1, "Graduate", Table1[[#This Row],[Master]]=1, "Master", Table1[[#This Row],[PhD]]=1, "PhD", AND(Table1[[#This Row],[Basic]]=0, Table1[[#This Row],[Graduate]]=0, Table1[[#This Row],[Master]]=0, Table1[[#This Row],[PhD]]=0), "NA")</f>
        <v>Graduate</v>
      </c>
      <c r="Q78" t="e">
        <f>_xlfn.XLOOKUP(Table1[[#This Row],[ID]], Table2[ID],#REF!, "Not Found", 0)</f>
        <v>#REF!</v>
      </c>
      <c r="R78" t="e">
        <f>_xlfn.XLOOKUP(Table1[[#This Row],[ID]], Table2[ID],#REF!, "Not Found", 0)</f>
        <v>#REF!</v>
      </c>
      <c r="S78" s="3">
        <f>_xlfn.XLOOKUP(Table1[[#This Row],[ID]], Table2[ID], Table2[Enrollment], "Not Found", 0)</f>
        <v>43714</v>
      </c>
      <c r="T78" t="s">
        <v>437</v>
      </c>
    </row>
    <row r="79" spans="1:20" x14ac:dyDescent="0.3">
      <c r="A79">
        <v>2071</v>
      </c>
      <c r="B79">
        <v>185844</v>
      </c>
      <c r="C79">
        <v>0</v>
      </c>
      <c r="D79">
        <v>0</v>
      </c>
      <c r="E79">
        <v>47</v>
      </c>
      <c r="F79">
        <v>0</v>
      </c>
      <c r="G79">
        <v>1</v>
      </c>
      <c r="H79">
        <v>0</v>
      </c>
      <c r="I79">
        <v>0</v>
      </c>
      <c r="J79">
        <v>0</v>
      </c>
      <c r="K79">
        <v>0</v>
      </c>
      <c r="L79">
        <v>0</v>
      </c>
      <c r="M79">
        <v>0</v>
      </c>
      <c r="N79">
        <v>1</v>
      </c>
      <c r="O79" t="str" cm="1">
        <f t="array" ref="O79">_xlfn.IFS(Table1[[#This Row],[Divorced]]=1, "Divorced", Table1[[#This Row],[Married]]=1, "Married", Table1[[#This Row],[Single]]=1, "Single", Table1[[#This Row],[Together]]=1, "Together", Table1[[#This Row],[Widow]]=1, "Widow")</f>
        <v>Married</v>
      </c>
      <c r="P79" t="str" cm="1">
        <f t="array" ref="P79">_xlfn.IFS(Table1[[#This Row],[Basic]]=1, "Basic", Table1[[#This Row],[Graduate]]=1, "Graduate", Table1[[#This Row],[Master]]=1, "Master", Table1[[#This Row],[PhD]]=1, "PhD", AND(Table1[[#This Row],[Basic]]=0, Table1[[#This Row],[Graduate]]=0, Table1[[#This Row],[Master]]=0, Table1[[#This Row],[PhD]]=0), "NA")</f>
        <v>PhD</v>
      </c>
      <c r="Q79" t="e">
        <f>_xlfn.XLOOKUP(Table1[[#This Row],[ID]], Table2[ID],#REF!, "Not Found", 0)</f>
        <v>#REF!</v>
      </c>
      <c r="R79" t="e">
        <f>_xlfn.XLOOKUP(Table1[[#This Row],[ID]], Table2[ID],#REF!, "Not Found", 0)</f>
        <v>#REF!</v>
      </c>
      <c r="S79" s="3">
        <f>_xlfn.XLOOKUP(Table1[[#This Row],[ID]], Table2[ID], Table2[Enrollment], "Not Found", 0)</f>
        <v>43872</v>
      </c>
      <c r="T79" t="s">
        <v>437</v>
      </c>
    </row>
    <row r="80" spans="1:20" x14ac:dyDescent="0.3">
      <c r="A80">
        <v>2944</v>
      </c>
      <c r="B80">
        <v>185738</v>
      </c>
      <c r="C80">
        <v>0</v>
      </c>
      <c r="D80">
        <v>0</v>
      </c>
      <c r="E80">
        <v>42</v>
      </c>
      <c r="F80">
        <v>0</v>
      </c>
      <c r="G80">
        <v>0</v>
      </c>
      <c r="H80">
        <v>0</v>
      </c>
      <c r="I80">
        <v>1</v>
      </c>
      <c r="J80">
        <v>0</v>
      </c>
      <c r="K80">
        <v>0</v>
      </c>
      <c r="L80">
        <v>0</v>
      </c>
      <c r="M80">
        <v>1</v>
      </c>
      <c r="N80">
        <v>0</v>
      </c>
      <c r="O80" t="str" cm="1">
        <f t="array" ref="O80">_xlfn.IFS(Table1[[#This Row],[Divorced]]=1, "Divorced", Table1[[#This Row],[Married]]=1, "Married", Table1[[#This Row],[Single]]=1, "Single", Table1[[#This Row],[Together]]=1, "Together", Table1[[#This Row],[Widow]]=1, "Widow")</f>
        <v>Together</v>
      </c>
      <c r="P80" t="str" cm="1">
        <f t="array" ref="P80">_xlfn.IFS(Table1[[#This Row],[Basic]]=1, "Basic", Table1[[#This Row],[Graduate]]=1, "Graduate", Table1[[#This Row],[Master]]=1, "Master", Table1[[#This Row],[PhD]]=1, "PhD", AND(Table1[[#This Row],[Basic]]=0, Table1[[#This Row],[Graduate]]=0, Table1[[#This Row],[Master]]=0, Table1[[#This Row],[PhD]]=0), "NA")</f>
        <v>Master</v>
      </c>
      <c r="Q80" t="e">
        <f>_xlfn.XLOOKUP(Table1[[#This Row],[ID]], Table2[ID],#REF!, "Not Found", 0)</f>
        <v>#REF!</v>
      </c>
      <c r="R80" t="e">
        <f>_xlfn.XLOOKUP(Table1[[#This Row],[ID]], Table2[ID],#REF!, "Not Found", 0)</f>
        <v>#REF!</v>
      </c>
      <c r="S80" s="3" t="str">
        <f>_xlfn.XLOOKUP(Table1[[#This Row],[ID]], Table2[ID], Table2[Enrollment], "Not Found", 0)</f>
        <v>6/29/2020</v>
      </c>
      <c r="T80" t="s">
        <v>439</v>
      </c>
    </row>
    <row r="81" spans="1:20" x14ac:dyDescent="0.3">
      <c r="A81">
        <v>1840</v>
      </c>
      <c r="B81">
        <v>185710</v>
      </c>
      <c r="C81">
        <v>0</v>
      </c>
      <c r="D81">
        <v>0</v>
      </c>
      <c r="E81">
        <v>31</v>
      </c>
      <c r="F81">
        <v>0</v>
      </c>
      <c r="G81">
        <v>1</v>
      </c>
      <c r="H81">
        <v>0</v>
      </c>
      <c r="I81">
        <v>0</v>
      </c>
      <c r="J81">
        <v>0</v>
      </c>
      <c r="K81">
        <v>0</v>
      </c>
      <c r="L81">
        <v>0</v>
      </c>
      <c r="M81">
        <v>0</v>
      </c>
      <c r="N81">
        <v>0</v>
      </c>
      <c r="O81" t="str" cm="1">
        <f t="array" ref="O81">_xlfn.IFS(Table1[[#This Row],[Divorced]]=1, "Divorced", Table1[[#This Row],[Married]]=1, "Married", Table1[[#This Row],[Single]]=1, "Single", Table1[[#This Row],[Together]]=1, "Together", Table1[[#This Row],[Widow]]=1, "Widow")</f>
        <v>Married</v>
      </c>
      <c r="P81" t="str" cm="1">
        <f t="array" ref="P81">_xlfn.IFS(Table1[[#This Row],[Basic]]=1, "Basic", Table1[[#This Row],[Graduate]]=1, "Graduate", Table1[[#This Row],[Master]]=1, "Master", Table1[[#This Row],[PhD]]=1, "PhD", AND(Table1[[#This Row],[Basic]]=0, Table1[[#This Row],[Graduate]]=0, Table1[[#This Row],[Master]]=0, Table1[[#This Row],[PhD]]=0), "NA")</f>
        <v>NA</v>
      </c>
      <c r="Q81" t="e">
        <f>_xlfn.XLOOKUP(Table1[[#This Row],[ID]], Table2[ID],#REF!, "Not Found", 0)</f>
        <v>#REF!</v>
      </c>
      <c r="R81" t="e">
        <f>_xlfn.XLOOKUP(Table1[[#This Row],[ID]], Table2[ID],#REF!, "Not Found", 0)</f>
        <v>#REF!</v>
      </c>
      <c r="S81" s="3">
        <f>_xlfn.XLOOKUP(Table1[[#This Row],[ID]], Table2[ID], Table2[Enrollment], "Not Found", 0)</f>
        <v>43748</v>
      </c>
      <c r="T81" t="s">
        <v>439</v>
      </c>
    </row>
    <row r="82" spans="1:20" x14ac:dyDescent="0.3">
      <c r="A82">
        <v>2118</v>
      </c>
      <c r="B82">
        <v>185696</v>
      </c>
      <c r="C82">
        <v>0</v>
      </c>
      <c r="D82">
        <v>0</v>
      </c>
      <c r="E82">
        <v>58</v>
      </c>
      <c r="F82">
        <v>1</v>
      </c>
      <c r="G82">
        <v>0</v>
      </c>
      <c r="H82">
        <v>0</v>
      </c>
      <c r="I82">
        <v>0</v>
      </c>
      <c r="J82">
        <v>0</v>
      </c>
      <c r="K82">
        <v>0</v>
      </c>
      <c r="L82">
        <v>0</v>
      </c>
      <c r="M82">
        <v>0</v>
      </c>
      <c r="N82">
        <v>1</v>
      </c>
      <c r="O82" t="str" cm="1">
        <f t="array" ref="O82">_xlfn.IFS(Table1[[#This Row],[Divorced]]=1, "Divorced", Table1[[#This Row],[Married]]=1, "Married", Table1[[#This Row],[Single]]=1, "Single", Table1[[#This Row],[Together]]=1, "Together", Table1[[#This Row],[Widow]]=1, "Widow")</f>
        <v>Divorced</v>
      </c>
      <c r="P82" t="str" cm="1">
        <f t="array" ref="P82">_xlfn.IFS(Table1[[#This Row],[Basic]]=1, "Basic", Table1[[#This Row],[Graduate]]=1, "Graduate", Table1[[#This Row],[Master]]=1, "Master", Table1[[#This Row],[PhD]]=1, "PhD", AND(Table1[[#This Row],[Basic]]=0, Table1[[#This Row],[Graduate]]=0, Table1[[#This Row],[Master]]=0, Table1[[#This Row],[PhD]]=0), "NA")</f>
        <v>PhD</v>
      </c>
      <c r="Q82" t="e">
        <f>_xlfn.XLOOKUP(Table1[[#This Row],[ID]], Table2[ID],#REF!, "Not Found", 0)</f>
        <v>#REF!</v>
      </c>
      <c r="R82" t="e">
        <f>_xlfn.XLOOKUP(Table1[[#This Row],[ID]], Table2[ID],#REF!, "Not Found", 0)</f>
        <v>#REF!</v>
      </c>
      <c r="S82" s="3">
        <f>_xlfn.XLOOKUP(Table1[[#This Row],[ID]], Table2[ID], Table2[Enrollment], "Not Found", 0)</f>
        <v>43687</v>
      </c>
      <c r="T82" t="s">
        <v>436</v>
      </c>
    </row>
    <row r="83" spans="1:20" x14ac:dyDescent="0.3">
      <c r="A83">
        <v>2329</v>
      </c>
      <c r="B83">
        <v>185696</v>
      </c>
      <c r="C83">
        <v>0</v>
      </c>
      <c r="D83">
        <v>0</v>
      </c>
      <c r="E83">
        <v>58</v>
      </c>
      <c r="F83">
        <v>1</v>
      </c>
      <c r="G83">
        <v>0</v>
      </c>
      <c r="H83">
        <v>0</v>
      </c>
      <c r="I83">
        <v>0</v>
      </c>
      <c r="J83">
        <v>0</v>
      </c>
      <c r="K83">
        <v>0</v>
      </c>
      <c r="L83">
        <v>0</v>
      </c>
      <c r="M83">
        <v>0</v>
      </c>
      <c r="N83">
        <v>1</v>
      </c>
      <c r="O83" t="str" cm="1">
        <f t="array" ref="O83">_xlfn.IFS(Table1[[#This Row],[Divorced]]=1, "Divorced", Table1[[#This Row],[Married]]=1, "Married", Table1[[#This Row],[Single]]=1, "Single", Table1[[#This Row],[Together]]=1, "Together", Table1[[#This Row],[Widow]]=1, "Widow")</f>
        <v>Divorced</v>
      </c>
      <c r="P83" t="str" cm="1">
        <f t="array" ref="P83">_xlfn.IFS(Table1[[#This Row],[Basic]]=1, "Basic", Table1[[#This Row],[Graduate]]=1, "Graduate", Table1[[#This Row],[Master]]=1, "Master", Table1[[#This Row],[PhD]]=1, "PhD", AND(Table1[[#This Row],[Basic]]=0, Table1[[#This Row],[Graduate]]=0, Table1[[#This Row],[Master]]=0, Table1[[#This Row],[PhD]]=0), "NA")</f>
        <v>PhD</v>
      </c>
      <c r="Q83" t="e">
        <f>_xlfn.XLOOKUP(Table1[[#This Row],[ID]], Table2[ID],#REF!, "Not Found", 0)</f>
        <v>#REF!</v>
      </c>
      <c r="R83" t="e">
        <f>_xlfn.XLOOKUP(Table1[[#This Row],[ID]], Table2[ID],#REF!, "Not Found", 0)</f>
        <v>#REF!</v>
      </c>
      <c r="S83" s="3">
        <f>_xlfn.XLOOKUP(Table1[[#This Row],[ID]], Table2[ID], Table2[Enrollment], "Not Found", 0)</f>
        <v>43687</v>
      </c>
      <c r="T83" t="s">
        <v>437</v>
      </c>
    </row>
    <row r="84" spans="1:20" x14ac:dyDescent="0.3">
      <c r="A84">
        <v>1094</v>
      </c>
      <c r="B84">
        <v>185693</v>
      </c>
      <c r="C84">
        <v>0</v>
      </c>
      <c r="D84">
        <v>1</v>
      </c>
      <c r="E84">
        <v>41</v>
      </c>
      <c r="F84">
        <v>0</v>
      </c>
      <c r="G84">
        <v>0</v>
      </c>
      <c r="H84">
        <v>0</v>
      </c>
      <c r="I84">
        <v>1</v>
      </c>
      <c r="J84">
        <v>0</v>
      </c>
      <c r="K84">
        <v>0</v>
      </c>
      <c r="L84">
        <v>1</v>
      </c>
      <c r="M84">
        <v>0</v>
      </c>
      <c r="N84">
        <v>0</v>
      </c>
      <c r="O84" t="str" cm="1">
        <f t="array" ref="O84">_xlfn.IFS(Table1[[#This Row],[Divorced]]=1, "Divorced", Table1[[#This Row],[Married]]=1, "Married", Table1[[#This Row],[Single]]=1, "Single", Table1[[#This Row],[Together]]=1, "Together", Table1[[#This Row],[Widow]]=1, "Widow")</f>
        <v>Together</v>
      </c>
      <c r="P84" t="str" cm="1">
        <f t="array" ref="P84">_xlfn.IFS(Table1[[#This Row],[Basic]]=1, "Basic", Table1[[#This Row],[Graduate]]=1, "Graduate", Table1[[#This Row],[Master]]=1, "Master", Table1[[#This Row],[PhD]]=1, "PhD", AND(Table1[[#This Row],[Basic]]=0, Table1[[#This Row],[Graduate]]=0, Table1[[#This Row],[Master]]=0, Table1[[#This Row],[PhD]]=0), "NA")</f>
        <v>Graduate</v>
      </c>
      <c r="Q84" t="e">
        <f>_xlfn.XLOOKUP(Table1[[#This Row],[ID]], Table2[ID],#REF!, "Not Found", 0)</f>
        <v>#REF!</v>
      </c>
      <c r="R84" t="e">
        <f>_xlfn.XLOOKUP(Table1[[#This Row],[ID]], Table2[ID],#REF!, "Not Found", 0)</f>
        <v>#REF!</v>
      </c>
      <c r="S84" s="3" t="str">
        <f>_xlfn.XLOOKUP(Table1[[#This Row],[ID]], Table2[ID], Table2[Enrollment], "Not Found", 0)</f>
        <v>9/25/2019</v>
      </c>
      <c r="T84" t="s">
        <v>438</v>
      </c>
    </row>
    <row r="85" spans="1:20" x14ac:dyDescent="0.3">
      <c r="A85">
        <v>1971</v>
      </c>
      <c r="B85">
        <v>185683</v>
      </c>
      <c r="C85">
        <v>0</v>
      </c>
      <c r="D85">
        <v>0</v>
      </c>
      <c r="E85">
        <v>66</v>
      </c>
      <c r="F85">
        <v>1</v>
      </c>
      <c r="G85">
        <v>0</v>
      </c>
      <c r="H85">
        <v>0</v>
      </c>
      <c r="I85">
        <v>0</v>
      </c>
      <c r="J85">
        <v>0</v>
      </c>
      <c r="K85">
        <v>0</v>
      </c>
      <c r="L85">
        <v>1</v>
      </c>
      <c r="M85">
        <v>0</v>
      </c>
      <c r="N85">
        <v>0</v>
      </c>
      <c r="O85" t="str" cm="1">
        <f t="array" ref="O85">_xlfn.IFS(Table1[[#This Row],[Divorced]]=1, "Divorced", Table1[[#This Row],[Married]]=1, "Married", Table1[[#This Row],[Single]]=1, "Single", Table1[[#This Row],[Together]]=1, "Together", Table1[[#This Row],[Widow]]=1, "Widow")</f>
        <v>Divorced</v>
      </c>
      <c r="P85" t="str" cm="1">
        <f t="array" ref="P85">_xlfn.IFS(Table1[[#This Row],[Basic]]=1, "Basic", Table1[[#This Row],[Graduate]]=1, "Graduate", Table1[[#This Row],[Master]]=1, "Master", Table1[[#This Row],[PhD]]=1, "PhD", AND(Table1[[#This Row],[Basic]]=0, Table1[[#This Row],[Graduate]]=0, Table1[[#This Row],[Master]]=0, Table1[[#This Row],[PhD]]=0), "NA")</f>
        <v>Graduate</v>
      </c>
      <c r="Q85" t="e">
        <f>_xlfn.XLOOKUP(Table1[[#This Row],[ID]], Table2[ID],#REF!, "Not Found", 0)</f>
        <v>#REF!</v>
      </c>
      <c r="R85" t="e">
        <f>_xlfn.XLOOKUP(Table1[[#This Row],[ID]], Table2[ID],#REF!, "Not Found", 0)</f>
        <v>#REF!</v>
      </c>
      <c r="S85" s="3" t="str">
        <f>_xlfn.XLOOKUP(Table1[[#This Row],[ID]], Table2[ID], Table2[Enrollment], "Not Found", 0)</f>
        <v>8/25/2020</v>
      </c>
      <c r="T85" t="s">
        <v>435</v>
      </c>
    </row>
    <row r="86" spans="1:20" x14ac:dyDescent="0.3">
      <c r="A86">
        <v>1530</v>
      </c>
      <c r="B86">
        <v>185620</v>
      </c>
      <c r="C86">
        <v>0</v>
      </c>
      <c r="D86">
        <v>0</v>
      </c>
      <c r="E86">
        <v>56</v>
      </c>
      <c r="F86">
        <v>0</v>
      </c>
      <c r="G86">
        <v>0</v>
      </c>
      <c r="H86">
        <v>0</v>
      </c>
      <c r="I86">
        <v>0</v>
      </c>
      <c r="J86">
        <v>1</v>
      </c>
      <c r="K86">
        <v>0</v>
      </c>
      <c r="L86">
        <v>1</v>
      </c>
      <c r="M86">
        <v>0</v>
      </c>
      <c r="N86">
        <v>0</v>
      </c>
      <c r="O86" t="str" cm="1">
        <f t="array" ref="O86">_xlfn.IFS(Table1[[#This Row],[Divorced]]=1, "Divorced", Table1[[#This Row],[Married]]=1, "Married", Table1[[#This Row],[Single]]=1, "Single", Table1[[#This Row],[Together]]=1, "Together", Table1[[#This Row],[Widow]]=1, "Widow")</f>
        <v>Widow</v>
      </c>
      <c r="P86" t="str" cm="1">
        <f t="array" ref="P86">_xlfn.IFS(Table1[[#This Row],[Basic]]=1, "Basic", Table1[[#This Row],[Graduate]]=1, "Graduate", Table1[[#This Row],[Master]]=1, "Master", Table1[[#This Row],[PhD]]=1, "PhD", AND(Table1[[#This Row],[Basic]]=0, Table1[[#This Row],[Graduate]]=0, Table1[[#This Row],[Master]]=0, Table1[[#This Row],[PhD]]=0), "NA")</f>
        <v>Graduate</v>
      </c>
      <c r="Q86" t="e">
        <f>_xlfn.XLOOKUP(Table1[[#This Row],[ID]], Table2[ID],#REF!, "Not Found", 0)</f>
        <v>#REF!</v>
      </c>
      <c r="R86" t="e">
        <f>_xlfn.XLOOKUP(Table1[[#This Row],[ID]], Table2[ID],#REF!, "Not Found", 0)</f>
        <v>#REF!</v>
      </c>
      <c r="S86" s="3" t="str">
        <f>_xlfn.XLOOKUP(Table1[[#This Row],[ID]], Table2[ID], Table2[Enrollment], "Not Found", 0)</f>
        <v>6/13/2020</v>
      </c>
      <c r="T86" t="s">
        <v>436</v>
      </c>
    </row>
    <row r="87" spans="1:20" x14ac:dyDescent="0.3">
      <c r="A87">
        <v>2114</v>
      </c>
      <c r="B87">
        <v>185606</v>
      </c>
      <c r="C87">
        <v>0</v>
      </c>
      <c r="D87">
        <v>1</v>
      </c>
      <c r="E87">
        <v>44</v>
      </c>
      <c r="F87">
        <v>0</v>
      </c>
      <c r="G87">
        <v>0</v>
      </c>
      <c r="H87">
        <v>0</v>
      </c>
      <c r="I87">
        <v>1</v>
      </c>
      <c r="J87">
        <v>0</v>
      </c>
      <c r="K87">
        <v>0</v>
      </c>
      <c r="L87">
        <v>1</v>
      </c>
      <c r="M87">
        <v>0</v>
      </c>
      <c r="N87">
        <v>0</v>
      </c>
      <c r="O87" t="str" cm="1">
        <f t="array" ref="O87">_xlfn.IFS(Table1[[#This Row],[Divorced]]=1, "Divorced", Table1[[#This Row],[Married]]=1, "Married", Table1[[#This Row],[Single]]=1, "Single", Table1[[#This Row],[Together]]=1, "Together", Table1[[#This Row],[Widow]]=1, "Widow")</f>
        <v>Together</v>
      </c>
      <c r="P87" t="str" cm="1">
        <f t="array" ref="P87">_xlfn.IFS(Table1[[#This Row],[Basic]]=1, "Basic", Table1[[#This Row],[Graduate]]=1, "Graduate", Table1[[#This Row],[Master]]=1, "Master", Table1[[#This Row],[PhD]]=1, "PhD", AND(Table1[[#This Row],[Basic]]=0, Table1[[#This Row],[Graduate]]=0, Table1[[#This Row],[Master]]=0, Table1[[#This Row],[PhD]]=0), "NA")</f>
        <v>Graduate</v>
      </c>
      <c r="Q87" t="e">
        <f>_xlfn.XLOOKUP(Table1[[#This Row],[ID]], Table2[ID],#REF!, "Not Found", 0)</f>
        <v>#REF!</v>
      </c>
      <c r="R87" t="e">
        <f>_xlfn.XLOOKUP(Table1[[#This Row],[ID]], Table2[ID],#REF!, "Not Found", 0)</f>
        <v>#REF!</v>
      </c>
      <c r="S87" s="3" t="str">
        <f>_xlfn.XLOOKUP(Table1[[#This Row],[ID]], Table2[ID], Table2[Enrollment], "Not Found", 0)</f>
        <v>4/19/2019</v>
      </c>
      <c r="T87" t="s">
        <v>438</v>
      </c>
    </row>
    <row r="88" spans="1:20" x14ac:dyDescent="0.3">
      <c r="A88">
        <v>2250</v>
      </c>
      <c r="B88">
        <v>185485</v>
      </c>
      <c r="C88">
        <v>0</v>
      </c>
      <c r="D88">
        <v>0</v>
      </c>
      <c r="E88">
        <v>62</v>
      </c>
      <c r="F88">
        <v>0</v>
      </c>
      <c r="G88">
        <v>0</v>
      </c>
      <c r="H88">
        <v>1</v>
      </c>
      <c r="I88">
        <v>0</v>
      </c>
      <c r="J88">
        <v>0</v>
      </c>
      <c r="K88">
        <v>0</v>
      </c>
      <c r="L88">
        <v>0</v>
      </c>
      <c r="M88">
        <v>0</v>
      </c>
      <c r="N88">
        <v>0</v>
      </c>
      <c r="O88" t="str" cm="1">
        <f t="array" ref="O88">_xlfn.IFS(Table1[[#This Row],[Divorced]]=1, "Divorced", Table1[[#This Row],[Married]]=1, "Married", Table1[[#This Row],[Single]]=1, "Single", Table1[[#This Row],[Together]]=1, "Together", Table1[[#This Row],[Widow]]=1, "Widow")</f>
        <v>Single</v>
      </c>
      <c r="P88" t="str" cm="1">
        <f t="array" ref="P88">_xlfn.IFS(Table1[[#This Row],[Basic]]=1, "Basic", Table1[[#This Row],[Graduate]]=1, "Graduate", Table1[[#This Row],[Master]]=1, "Master", Table1[[#This Row],[PhD]]=1, "PhD", AND(Table1[[#This Row],[Basic]]=0, Table1[[#This Row],[Graduate]]=0, Table1[[#This Row],[Master]]=0, Table1[[#This Row],[PhD]]=0), "NA")</f>
        <v>NA</v>
      </c>
      <c r="Q88" t="e">
        <f>_xlfn.XLOOKUP(Table1[[#This Row],[ID]], Table2[ID],#REF!, "Not Found", 0)</f>
        <v>#REF!</v>
      </c>
      <c r="R88" t="e">
        <f>_xlfn.XLOOKUP(Table1[[#This Row],[ID]], Table2[ID],#REF!, "Not Found", 0)</f>
        <v>#REF!</v>
      </c>
      <c r="S88" s="3" t="str">
        <f>_xlfn.XLOOKUP(Table1[[#This Row],[ID]], Table2[ID], Table2[Enrollment], "Not Found", 0)</f>
        <v>11/25/2020</v>
      </c>
      <c r="T88" t="s">
        <v>436</v>
      </c>
    </row>
    <row r="89" spans="1:20" x14ac:dyDescent="0.3">
      <c r="A89">
        <v>2748</v>
      </c>
      <c r="B89">
        <v>185431</v>
      </c>
      <c r="C89">
        <v>0</v>
      </c>
      <c r="D89">
        <v>0</v>
      </c>
      <c r="E89">
        <v>68</v>
      </c>
      <c r="F89">
        <v>0</v>
      </c>
      <c r="G89">
        <v>0</v>
      </c>
      <c r="H89">
        <v>0</v>
      </c>
      <c r="I89">
        <v>1</v>
      </c>
      <c r="J89">
        <v>0</v>
      </c>
      <c r="K89">
        <v>0</v>
      </c>
      <c r="L89">
        <v>0</v>
      </c>
      <c r="M89">
        <v>0</v>
      </c>
      <c r="N89">
        <v>1</v>
      </c>
      <c r="O89" t="str" cm="1">
        <f t="array" ref="O89">_xlfn.IFS(Table1[[#This Row],[Divorced]]=1, "Divorced", Table1[[#This Row],[Married]]=1, "Married", Table1[[#This Row],[Single]]=1, "Single", Table1[[#This Row],[Together]]=1, "Together", Table1[[#This Row],[Widow]]=1, "Widow")</f>
        <v>Together</v>
      </c>
      <c r="P89" t="str" cm="1">
        <f t="array" ref="P89">_xlfn.IFS(Table1[[#This Row],[Basic]]=1, "Basic", Table1[[#This Row],[Graduate]]=1, "Graduate", Table1[[#This Row],[Master]]=1, "Master", Table1[[#This Row],[PhD]]=1, "PhD", AND(Table1[[#This Row],[Basic]]=0, Table1[[#This Row],[Graduate]]=0, Table1[[#This Row],[Master]]=0, Table1[[#This Row],[PhD]]=0), "NA")</f>
        <v>PhD</v>
      </c>
      <c r="Q89" t="e">
        <f>_xlfn.XLOOKUP(Table1[[#This Row],[ID]], Table2[ID],#REF!, "Not Found", 0)</f>
        <v>#REF!</v>
      </c>
      <c r="R89" t="e">
        <f>_xlfn.XLOOKUP(Table1[[#This Row],[ID]], Table2[ID],#REF!, "Not Found", 0)</f>
        <v>#REF!</v>
      </c>
      <c r="S89" s="3" t="str">
        <f>_xlfn.XLOOKUP(Table1[[#This Row],[ID]], Table2[ID], Table2[Enrollment], "Not Found", 0)</f>
        <v>11/13/2019</v>
      </c>
      <c r="T89" t="s">
        <v>436</v>
      </c>
    </row>
    <row r="90" spans="1:20" x14ac:dyDescent="0.3">
      <c r="A90">
        <v>1886</v>
      </c>
      <c r="B90">
        <v>185072</v>
      </c>
      <c r="C90">
        <v>0</v>
      </c>
      <c r="D90">
        <v>0</v>
      </c>
      <c r="E90">
        <v>43</v>
      </c>
      <c r="F90">
        <v>0</v>
      </c>
      <c r="G90">
        <v>0</v>
      </c>
      <c r="H90">
        <v>1</v>
      </c>
      <c r="I90">
        <v>0</v>
      </c>
      <c r="J90">
        <v>0</v>
      </c>
      <c r="K90">
        <v>0</v>
      </c>
      <c r="L90">
        <v>1</v>
      </c>
      <c r="M90">
        <v>0</v>
      </c>
      <c r="N90">
        <v>0</v>
      </c>
      <c r="O90" t="str" cm="1">
        <f t="array" ref="O90">_xlfn.IFS(Table1[[#This Row],[Divorced]]=1, "Divorced", Table1[[#This Row],[Married]]=1, "Married", Table1[[#This Row],[Single]]=1, "Single", Table1[[#This Row],[Together]]=1, "Together", Table1[[#This Row],[Widow]]=1, "Widow")</f>
        <v>Single</v>
      </c>
      <c r="P90" t="str" cm="1">
        <f t="array" ref="P90">_xlfn.IFS(Table1[[#This Row],[Basic]]=1, "Basic", Table1[[#This Row],[Graduate]]=1, "Graduate", Table1[[#This Row],[Master]]=1, "Master", Table1[[#This Row],[PhD]]=1, "PhD", AND(Table1[[#This Row],[Basic]]=0, Table1[[#This Row],[Graduate]]=0, Table1[[#This Row],[Master]]=0, Table1[[#This Row],[PhD]]=0), "NA")</f>
        <v>Graduate</v>
      </c>
      <c r="Q90" t="e">
        <f>_xlfn.XLOOKUP(Table1[[#This Row],[ID]], Table2[ID],#REF!, "Not Found", 0)</f>
        <v>#REF!</v>
      </c>
      <c r="R90" t="e">
        <f>_xlfn.XLOOKUP(Table1[[#This Row],[ID]], Table2[ID],#REF!, "Not Found", 0)</f>
        <v>#REF!</v>
      </c>
      <c r="S90" s="3" t="str">
        <f>_xlfn.XLOOKUP(Table1[[#This Row],[ID]], Table2[ID], Table2[Enrollment], "Not Found", 0)</f>
        <v>9/13/2020</v>
      </c>
      <c r="T90" t="s">
        <v>438</v>
      </c>
    </row>
    <row r="91" spans="1:20" x14ac:dyDescent="0.3">
      <c r="A91">
        <v>2816</v>
      </c>
      <c r="B91">
        <v>184953</v>
      </c>
      <c r="C91">
        <v>0</v>
      </c>
      <c r="D91">
        <v>0</v>
      </c>
      <c r="E91">
        <v>67</v>
      </c>
      <c r="F91">
        <v>0</v>
      </c>
      <c r="G91">
        <v>0</v>
      </c>
      <c r="H91">
        <v>0</v>
      </c>
      <c r="I91">
        <v>0</v>
      </c>
      <c r="J91">
        <v>1</v>
      </c>
      <c r="K91">
        <v>0</v>
      </c>
      <c r="L91">
        <v>0</v>
      </c>
      <c r="M91">
        <v>1</v>
      </c>
      <c r="N91">
        <v>0</v>
      </c>
      <c r="O91" t="str" cm="1">
        <f t="array" ref="O91">_xlfn.IFS(Table1[[#This Row],[Divorced]]=1, "Divorced", Table1[[#This Row],[Married]]=1, "Married", Table1[[#This Row],[Single]]=1, "Single", Table1[[#This Row],[Together]]=1, "Together", Table1[[#This Row],[Widow]]=1, "Widow")</f>
        <v>Widow</v>
      </c>
      <c r="P91" t="str" cm="1">
        <f t="array" ref="P91">_xlfn.IFS(Table1[[#This Row],[Basic]]=1, "Basic", Table1[[#This Row],[Graduate]]=1, "Graduate", Table1[[#This Row],[Master]]=1, "Master", Table1[[#This Row],[PhD]]=1, "PhD", AND(Table1[[#This Row],[Basic]]=0, Table1[[#This Row],[Graduate]]=0, Table1[[#This Row],[Master]]=0, Table1[[#This Row],[PhD]]=0), "NA")</f>
        <v>Master</v>
      </c>
      <c r="Q91" t="e">
        <f>_xlfn.XLOOKUP(Table1[[#This Row],[ID]], Table2[ID],#REF!, "Not Found", 0)</f>
        <v>#REF!</v>
      </c>
      <c r="R91" t="e">
        <f>_xlfn.XLOOKUP(Table1[[#This Row],[ID]], Table2[ID],#REF!, "Not Found", 0)</f>
        <v>#REF!</v>
      </c>
      <c r="S91" s="3">
        <f>_xlfn.XLOOKUP(Table1[[#This Row],[ID]], Table2[ID], Table2[Enrollment], "Not Found", 0)</f>
        <v>43688</v>
      </c>
      <c r="T91" t="s">
        <v>438</v>
      </c>
    </row>
    <row r="92" spans="1:20" x14ac:dyDescent="0.3">
      <c r="A92">
        <v>2218</v>
      </c>
      <c r="B92">
        <v>184906</v>
      </c>
      <c r="C92">
        <v>0</v>
      </c>
      <c r="D92">
        <v>0</v>
      </c>
      <c r="E92">
        <v>48</v>
      </c>
      <c r="F92">
        <v>0</v>
      </c>
      <c r="G92">
        <v>0</v>
      </c>
      <c r="H92">
        <v>0</v>
      </c>
      <c r="I92">
        <v>1</v>
      </c>
      <c r="J92">
        <v>0</v>
      </c>
      <c r="K92">
        <v>0</v>
      </c>
      <c r="L92">
        <v>1</v>
      </c>
      <c r="M92">
        <v>0</v>
      </c>
      <c r="N92">
        <v>0</v>
      </c>
      <c r="O92" t="str" cm="1">
        <f t="array" ref="O92">_xlfn.IFS(Table1[[#This Row],[Divorced]]=1, "Divorced", Table1[[#This Row],[Married]]=1, "Married", Table1[[#This Row],[Single]]=1, "Single", Table1[[#This Row],[Together]]=1, "Together", Table1[[#This Row],[Widow]]=1, "Widow")</f>
        <v>Together</v>
      </c>
      <c r="P92" t="str" cm="1">
        <f t="array" ref="P92">_xlfn.IFS(Table1[[#This Row],[Basic]]=1, "Basic", Table1[[#This Row],[Graduate]]=1, "Graduate", Table1[[#This Row],[Master]]=1, "Master", Table1[[#This Row],[PhD]]=1, "PhD", AND(Table1[[#This Row],[Basic]]=0, Table1[[#This Row],[Graduate]]=0, Table1[[#This Row],[Master]]=0, Table1[[#This Row],[PhD]]=0), "NA")</f>
        <v>Graduate</v>
      </c>
      <c r="Q92" t="e">
        <f>_xlfn.XLOOKUP(Table1[[#This Row],[ID]], Table2[ID],#REF!, "Not Found", 0)</f>
        <v>#REF!</v>
      </c>
      <c r="R92" t="e">
        <f>_xlfn.XLOOKUP(Table1[[#This Row],[ID]], Table2[ID],#REF!, "Not Found", 0)</f>
        <v>#REF!</v>
      </c>
      <c r="S92" s="3">
        <f>_xlfn.XLOOKUP(Table1[[#This Row],[ID]], Table2[ID], Table2[Enrollment], "Not Found", 0)</f>
        <v>44107</v>
      </c>
      <c r="T92" t="s">
        <v>439</v>
      </c>
    </row>
    <row r="93" spans="1:20" x14ac:dyDescent="0.3">
      <c r="A93">
        <v>3094</v>
      </c>
      <c r="B93">
        <v>184906</v>
      </c>
      <c r="C93">
        <v>0</v>
      </c>
      <c r="D93">
        <v>0</v>
      </c>
      <c r="E93">
        <v>48</v>
      </c>
      <c r="F93">
        <v>0</v>
      </c>
      <c r="G93">
        <v>0</v>
      </c>
      <c r="H93">
        <v>0</v>
      </c>
      <c r="I93">
        <v>1</v>
      </c>
      <c r="J93">
        <v>0</v>
      </c>
      <c r="K93">
        <v>0</v>
      </c>
      <c r="L93">
        <v>1</v>
      </c>
      <c r="M93">
        <v>0</v>
      </c>
      <c r="N93">
        <v>0</v>
      </c>
      <c r="O93" t="str" cm="1">
        <f t="array" ref="O93">_xlfn.IFS(Table1[[#This Row],[Divorced]]=1, "Divorced", Table1[[#This Row],[Married]]=1, "Married", Table1[[#This Row],[Single]]=1, "Single", Table1[[#This Row],[Together]]=1, "Together", Table1[[#This Row],[Widow]]=1, "Widow")</f>
        <v>Together</v>
      </c>
      <c r="P93" t="str" cm="1">
        <f t="array" ref="P93">_xlfn.IFS(Table1[[#This Row],[Basic]]=1, "Basic", Table1[[#This Row],[Graduate]]=1, "Graduate", Table1[[#This Row],[Master]]=1, "Master", Table1[[#This Row],[PhD]]=1, "PhD", AND(Table1[[#This Row],[Basic]]=0, Table1[[#This Row],[Graduate]]=0, Table1[[#This Row],[Master]]=0, Table1[[#This Row],[PhD]]=0), "NA")</f>
        <v>Graduate</v>
      </c>
      <c r="Q93" t="e">
        <f>_xlfn.XLOOKUP(Table1[[#This Row],[ID]], Table2[ID],#REF!, "Not Found", 0)</f>
        <v>#REF!</v>
      </c>
      <c r="R93" t="e">
        <f>_xlfn.XLOOKUP(Table1[[#This Row],[ID]], Table2[ID],#REF!, "Not Found", 0)</f>
        <v>#REF!</v>
      </c>
      <c r="S93" s="3">
        <f>_xlfn.XLOOKUP(Table1[[#This Row],[ID]], Table2[ID], Table2[Enrollment], "Not Found", 0)</f>
        <v>44107</v>
      </c>
      <c r="T93" t="s">
        <v>439</v>
      </c>
    </row>
    <row r="94" spans="1:20" x14ac:dyDescent="0.3">
      <c r="A94">
        <v>1414</v>
      </c>
      <c r="B94">
        <v>184865</v>
      </c>
      <c r="C94">
        <v>0</v>
      </c>
      <c r="D94">
        <v>0</v>
      </c>
      <c r="E94">
        <v>59</v>
      </c>
      <c r="F94">
        <v>0</v>
      </c>
      <c r="G94">
        <v>0</v>
      </c>
      <c r="H94">
        <v>1</v>
      </c>
      <c r="I94">
        <v>0</v>
      </c>
      <c r="J94">
        <v>0</v>
      </c>
      <c r="K94">
        <v>0</v>
      </c>
      <c r="L94">
        <v>0</v>
      </c>
      <c r="M94">
        <v>0</v>
      </c>
      <c r="N94">
        <v>1</v>
      </c>
      <c r="O94" t="str" cm="1">
        <f t="array" ref="O94">_xlfn.IFS(Table1[[#This Row],[Divorced]]=1, "Divorced", Table1[[#This Row],[Married]]=1, "Married", Table1[[#This Row],[Single]]=1, "Single", Table1[[#This Row],[Together]]=1, "Together", Table1[[#This Row],[Widow]]=1, "Widow")</f>
        <v>Single</v>
      </c>
      <c r="P94" t="str" cm="1">
        <f t="array" ref="P94">_xlfn.IFS(Table1[[#This Row],[Basic]]=1, "Basic", Table1[[#This Row],[Graduate]]=1, "Graduate", Table1[[#This Row],[Master]]=1, "Master", Table1[[#This Row],[PhD]]=1, "PhD", AND(Table1[[#This Row],[Basic]]=0, Table1[[#This Row],[Graduate]]=0, Table1[[#This Row],[Master]]=0, Table1[[#This Row],[PhD]]=0), "NA")</f>
        <v>PhD</v>
      </c>
      <c r="Q94" t="e">
        <f>_xlfn.XLOOKUP(Table1[[#This Row],[ID]], Table2[ID],#REF!, "Not Found", 0)</f>
        <v>#REF!</v>
      </c>
      <c r="R94" t="e">
        <f>_xlfn.XLOOKUP(Table1[[#This Row],[ID]], Table2[ID],#REF!, "Not Found", 0)</f>
        <v>#REF!</v>
      </c>
      <c r="S94" s="3" t="str">
        <f>_xlfn.XLOOKUP(Table1[[#This Row],[ID]], Table2[ID], Table2[Enrollment], "Not Found", 0)</f>
        <v>10/14/2019</v>
      </c>
      <c r="T94" t="s">
        <v>439</v>
      </c>
    </row>
    <row r="95" spans="1:20" x14ac:dyDescent="0.3">
      <c r="A95">
        <v>1331</v>
      </c>
      <c r="B95">
        <v>184835</v>
      </c>
      <c r="C95">
        <v>0</v>
      </c>
      <c r="D95">
        <v>0</v>
      </c>
      <c r="E95">
        <v>50</v>
      </c>
      <c r="F95">
        <v>1</v>
      </c>
      <c r="G95">
        <v>0</v>
      </c>
      <c r="H95">
        <v>0</v>
      </c>
      <c r="I95">
        <v>0</v>
      </c>
      <c r="J95">
        <v>0</v>
      </c>
      <c r="K95">
        <v>0</v>
      </c>
      <c r="L95">
        <v>1</v>
      </c>
      <c r="M95">
        <v>0</v>
      </c>
      <c r="N95">
        <v>0</v>
      </c>
      <c r="O95" t="str" cm="1">
        <f t="array" ref="O95">_xlfn.IFS(Table1[[#This Row],[Divorced]]=1, "Divorced", Table1[[#This Row],[Married]]=1, "Married", Table1[[#This Row],[Single]]=1, "Single", Table1[[#This Row],[Together]]=1, "Together", Table1[[#This Row],[Widow]]=1, "Widow")</f>
        <v>Divorced</v>
      </c>
      <c r="P95" t="str" cm="1">
        <f t="array" ref="P95">_xlfn.IFS(Table1[[#This Row],[Basic]]=1, "Basic", Table1[[#This Row],[Graduate]]=1, "Graduate", Table1[[#This Row],[Master]]=1, "Master", Table1[[#This Row],[PhD]]=1, "PhD", AND(Table1[[#This Row],[Basic]]=0, Table1[[#This Row],[Graduate]]=0, Table1[[#This Row],[Master]]=0, Table1[[#This Row],[PhD]]=0), "NA")</f>
        <v>Graduate</v>
      </c>
      <c r="Q95" t="e">
        <f>_xlfn.XLOOKUP(Table1[[#This Row],[ID]], Table2[ID],#REF!, "Not Found", 0)</f>
        <v>#REF!</v>
      </c>
      <c r="R95" t="e">
        <f>_xlfn.XLOOKUP(Table1[[#This Row],[ID]], Table2[ID],#REF!, "Not Found", 0)</f>
        <v>#REF!</v>
      </c>
      <c r="S95" s="3" t="str">
        <f>_xlfn.XLOOKUP(Table1[[#This Row],[ID]], Table2[ID], Table2[Enrollment], "Not Found", 0)</f>
        <v>11/20/2020</v>
      </c>
      <c r="T95" t="s">
        <v>434</v>
      </c>
    </row>
    <row r="96" spans="1:20" x14ac:dyDescent="0.3">
      <c r="A96">
        <v>1028</v>
      </c>
      <c r="B96">
        <v>184618</v>
      </c>
      <c r="C96">
        <v>0</v>
      </c>
      <c r="D96">
        <v>0</v>
      </c>
      <c r="E96">
        <v>55</v>
      </c>
      <c r="F96">
        <v>0</v>
      </c>
      <c r="G96">
        <v>1</v>
      </c>
      <c r="H96">
        <v>0</v>
      </c>
      <c r="I96">
        <v>0</v>
      </c>
      <c r="J96">
        <v>0</v>
      </c>
      <c r="K96">
        <v>0</v>
      </c>
      <c r="L96">
        <v>0</v>
      </c>
      <c r="M96">
        <v>0</v>
      </c>
      <c r="N96">
        <v>1</v>
      </c>
      <c r="O96" t="str" cm="1">
        <f t="array" ref="O96">_xlfn.IFS(Table1[[#This Row],[Divorced]]=1, "Divorced", Table1[[#This Row],[Married]]=1, "Married", Table1[[#This Row],[Single]]=1, "Single", Table1[[#This Row],[Together]]=1, "Together", Table1[[#This Row],[Widow]]=1, "Widow")</f>
        <v>Married</v>
      </c>
      <c r="P96" t="str" cm="1">
        <f t="array" ref="P96">_xlfn.IFS(Table1[[#This Row],[Basic]]=1, "Basic", Table1[[#This Row],[Graduate]]=1, "Graduate", Table1[[#This Row],[Master]]=1, "Master", Table1[[#This Row],[PhD]]=1, "PhD", AND(Table1[[#This Row],[Basic]]=0, Table1[[#This Row],[Graduate]]=0, Table1[[#This Row],[Master]]=0, Table1[[#This Row],[PhD]]=0), "NA")</f>
        <v>PhD</v>
      </c>
      <c r="Q96" t="e">
        <f>_xlfn.XLOOKUP(Table1[[#This Row],[ID]], Table2[ID],#REF!, "Not Found", 0)</f>
        <v>#REF!</v>
      </c>
      <c r="R96" t="e">
        <f>_xlfn.XLOOKUP(Table1[[#This Row],[ID]], Table2[ID],#REF!, "Not Found", 0)</f>
        <v>#REF!</v>
      </c>
      <c r="S96" s="3" t="str">
        <f>_xlfn.XLOOKUP(Table1[[#This Row],[ID]], Table2[ID], Table2[Enrollment], "Not Found", 0)</f>
        <v>4/28/2020</v>
      </c>
      <c r="T96" t="s">
        <v>438</v>
      </c>
    </row>
    <row r="97" spans="1:20" x14ac:dyDescent="0.3">
      <c r="A97">
        <v>2187</v>
      </c>
      <c r="B97">
        <v>184618</v>
      </c>
      <c r="C97">
        <v>0</v>
      </c>
      <c r="D97">
        <v>0</v>
      </c>
      <c r="E97">
        <v>55</v>
      </c>
      <c r="F97">
        <v>0</v>
      </c>
      <c r="G97">
        <v>1</v>
      </c>
      <c r="H97">
        <v>0</v>
      </c>
      <c r="I97">
        <v>0</v>
      </c>
      <c r="J97">
        <v>0</v>
      </c>
      <c r="K97">
        <v>0</v>
      </c>
      <c r="L97">
        <v>0</v>
      </c>
      <c r="M97">
        <v>0</v>
      </c>
      <c r="N97">
        <v>1</v>
      </c>
      <c r="O97" t="str" cm="1">
        <f t="array" ref="O97">_xlfn.IFS(Table1[[#This Row],[Divorced]]=1, "Divorced", Table1[[#This Row],[Married]]=1, "Married", Table1[[#This Row],[Single]]=1, "Single", Table1[[#This Row],[Together]]=1, "Together", Table1[[#This Row],[Widow]]=1, "Widow")</f>
        <v>Married</v>
      </c>
      <c r="P97" t="str" cm="1">
        <f t="array" ref="P97">_xlfn.IFS(Table1[[#This Row],[Basic]]=1, "Basic", Table1[[#This Row],[Graduate]]=1, "Graduate", Table1[[#This Row],[Master]]=1, "Master", Table1[[#This Row],[PhD]]=1, "PhD", AND(Table1[[#This Row],[Basic]]=0, Table1[[#This Row],[Graduate]]=0, Table1[[#This Row],[Master]]=0, Table1[[#This Row],[PhD]]=0), "NA")</f>
        <v>PhD</v>
      </c>
      <c r="Q97" t="e">
        <f>_xlfn.XLOOKUP(Table1[[#This Row],[ID]], Table2[ID],#REF!, "Not Found", 0)</f>
        <v>#REF!</v>
      </c>
      <c r="R97" t="e">
        <f>_xlfn.XLOOKUP(Table1[[#This Row],[ID]], Table2[ID],#REF!, "Not Found", 0)</f>
        <v>#REF!</v>
      </c>
      <c r="S97" s="3" t="str">
        <f>_xlfn.XLOOKUP(Table1[[#This Row],[ID]], Table2[ID], Table2[Enrollment], "Not Found", 0)</f>
        <v>4/28/2020</v>
      </c>
      <c r="T97" t="s">
        <v>435</v>
      </c>
    </row>
    <row r="98" spans="1:20" x14ac:dyDescent="0.3">
      <c r="A98">
        <v>1619</v>
      </c>
      <c r="B98">
        <v>184574</v>
      </c>
      <c r="C98">
        <v>0</v>
      </c>
      <c r="D98">
        <v>0</v>
      </c>
      <c r="E98">
        <v>68</v>
      </c>
      <c r="F98">
        <v>0</v>
      </c>
      <c r="G98">
        <v>0</v>
      </c>
      <c r="H98">
        <v>1</v>
      </c>
      <c r="I98">
        <v>0</v>
      </c>
      <c r="J98">
        <v>0</v>
      </c>
      <c r="K98">
        <v>0</v>
      </c>
      <c r="L98">
        <v>1</v>
      </c>
      <c r="M98">
        <v>0</v>
      </c>
      <c r="N98">
        <v>0</v>
      </c>
      <c r="O98" t="str" cm="1">
        <f t="array" ref="O98">_xlfn.IFS(Table1[[#This Row],[Divorced]]=1, "Divorced", Table1[[#This Row],[Married]]=1, "Married", Table1[[#This Row],[Single]]=1, "Single", Table1[[#This Row],[Together]]=1, "Together", Table1[[#This Row],[Widow]]=1, "Widow")</f>
        <v>Single</v>
      </c>
      <c r="P98" t="str" cm="1">
        <f t="array" ref="P98">_xlfn.IFS(Table1[[#This Row],[Basic]]=1, "Basic", Table1[[#This Row],[Graduate]]=1, "Graduate", Table1[[#This Row],[Master]]=1, "Master", Table1[[#This Row],[PhD]]=1, "PhD", AND(Table1[[#This Row],[Basic]]=0, Table1[[#This Row],[Graduate]]=0, Table1[[#This Row],[Master]]=0, Table1[[#This Row],[PhD]]=0), "NA")</f>
        <v>Graduate</v>
      </c>
      <c r="Q98" t="e">
        <f>_xlfn.XLOOKUP(Table1[[#This Row],[ID]], Table2[ID],#REF!, "Not Found", 0)</f>
        <v>#REF!</v>
      </c>
      <c r="R98" t="e">
        <f>_xlfn.XLOOKUP(Table1[[#This Row],[ID]], Table2[ID],#REF!, "Not Found", 0)</f>
        <v>#REF!</v>
      </c>
      <c r="S98" s="3">
        <f>_xlfn.XLOOKUP(Table1[[#This Row],[ID]], Table2[ID], Table2[Enrollment], "Not Found", 0)</f>
        <v>43719</v>
      </c>
      <c r="T98" t="s">
        <v>434</v>
      </c>
    </row>
    <row r="99" spans="1:20" x14ac:dyDescent="0.3">
      <c r="A99">
        <v>2068</v>
      </c>
      <c r="B99">
        <v>184460</v>
      </c>
      <c r="C99">
        <v>0</v>
      </c>
      <c r="D99">
        <v>0</v>
      </c>
      <c r="E99">
        <v>62</v>
      </c>
      <c r="F99">
        <v>0</v>
      </c>
      <c r="G99">
        <v>0</v>
      </c>
      <c r="H99">
        <v>0</v>
      </c>
      <c r="I99">
        <v>1</v>
      </c>
      <c r="J99">
        <v>0</v>
      </c>
      <c r="K99">
        <v>0</v>
      </c>
      <c r="L99">
        <v>0</v>
      </c>
      <c r="M99">
        <v>0</v>
      </c>
      <c r="N99">
        <v>1</v>
      </c>
      <c r="O99" t="str" cm="1">
        <f t="array" ref="O99">_xlfn.IFS(Table1[[#This Row],[Divorced]]=1, "Divorced", Table1[[#This Row],[Married]]=1, "Married", Table1[[#This Row],[Single]]=1, "Single", Table1[[#This Row],[Together]]=1, "Together", Table1[[#This Row],[Widow]]=1, "Widow")</f>
        <v>Together</v>
      </c>
      <c r="P99" t="str" cm="1">
        <f t="array" ref="P99">_xlfn.IFS(Table1[[#This Row],[Basic]]=1, "Basic", Table1[[#This Row],[Graduate]]=1, "Graduate", Table1[[#This Row],[Master]]=1, "Master", Table1[[#This Row],[PhD]]=1, "PhD", AND(Table1[[#This Row],[Basic]]=0, Table1[[#This Row],[Graduate]]=0, Table1[[#This Row],[Master]]=0, Table1[[#This Row],[PhD]]=0), "NA")</f>
        <v>PhD</v>
      </c>
      <c r="Q99" t="e">
        <f>_xlfn.XLOOKUP(Table1[[#This Row],[ID]], Table2[ID],#REF!, "Not Found", 0)</f>
        <v>#REF!</v>
      </c>
      <c r="R99" t="e">
        <f>_xlfn.XLOOKUP(Table1[[#This Row],[ID]], Table2[ID],#REF!, "Not Found", 0)</f>
        <v>#REF!</v>
      </c>
      <c r="S99" s="3">
        <f>_xlfn.XLOOKUP(Table1[[#This Row],[ID]], Table2[ID], Table2[Enrollment], "Not Found", 0)</f>
        <v>43775</v>
      </c>
      <c r="T99" t="s">
        <v>439</v>
      </c>
    </row>
    <row r="100" spans="1:20" x14ac:dyDescent="0.3">
      <c r="A100">
        <v>1951</v>
      </c>
      <c r="B100">
        <v>184219</v>
      </c>
      <c r="C100">
        <v>0</v>
      </c>
      <c r="D100">
        <v>0</v>
      </c>
      <c r="E100">
        <v>32</v>
      </c>
      <c r="F100">
        <v>0</v>
      </c>
      <c r="G100">
        <v>1</v>
      </c>
      <c r="H100">
        <v>0</v>
      </c>
      <c r="I100">
        <v>0</v>
      </c>
      <c r="J100">
        <v>0</v>
      </c>
      <c r="K100">
        <v>0</v>
      </c>
      <c r="L100">
        <v>1</v>
      </c>
      <c r="M100">
        <v>0</v>
      </c>
      <c r="N100">
        <v>0</v>
      </c>
      <c r="O100" t="str" cm="1">
        <f t="array" ref="O100">_xlfn.IFS(Table1[[#This Row],[Divorced]]=1, "Divorced", Table1[[#This Row],[Married]]=1, "Married", Table1[[#This Row],[Single]]=1, "Single", Table1[[#This Row],[Together]]=1, "Together", Table1[[#This Row],[Widow]]=1, "Widow")</f>
        <v>Married</v>
      </c>
      <c r="P100" t="str" cm="1">
        <f t="array" ref="P100">_xlfn.IFS(Table1[[#This Row],[Basic]]=1, "Basic", Table1[[#This Row],[Graduate]]=1, "Graduate", Table1[[#This Row],[Master]]=1, "Master", Table1[[#This Row],[PhD]]=1, "PhD", AND(Table1[[#This Row],[Basic]]=0, Table1[[#This Row],[Graduate]]=0, Table1[[#This Row],[Master]]=0, Table1[[#This Row],[PhD]]=0), "NA")</f>
        <v>Graduate</v>
      </c>
      <c r="Q100" t="e">
        <f>_xlfn.XLOOKUP(Table1[[#This Row],[ID]], Table2[ID],#REF!, "Not Found", 0)</f>
        <v>#REF!</v>
      </c>
      <c r="R100" t="e">
        <f>_xlfn.XLOOKUP(Table1[[#This Row],[ID]], Table2[ID],#REF!, "Not Found", 0)</f>
        <v>#REF!</v>
      </c>
      <c r="S100" s="3">
        <f>_xlfn.XLOOKUP(Table1[[#This Row],[ID]], Table2[ID], Table2[Enrollment], "Not Found", 0)</f>
        <v>44081</v>
      </c>
      <c r="T100" t="s">
        <v>437</v>
      </c>
    </row>
    <row r="101" spans="1:20" x14ac:dyDescent="0.3">
      <c r="A101">
        <v>2486</v>
      </c>
      <c r="B101">
        <v>184219</v>
      </c>
      <c r="C101">
        <v>0</v>
      </c>
      <c r="D101">
        <v>0</v>
      </c>
      <c r="E101">
        <v>32</v>
      </c>
      <c r="F101">
        <v>0</v>
      </c>
      <c r="G101">
        <v>1</v>
      </c>
      <c r="H101">
        <v>0</v>
      </c>
      <c r="I101">
        <v>0</v>
      </c>
      <c r="J101">
        <v>0</v>
      </c>
      <c r="K101">
        <v>0</v>
      </c>
      <c r="L101">
        <v>1</v>
      </c>
      <c r="M101">
        <v>0</v>
      </c>
      <c r="N101">
        <v>0</v>
      </c>
      <c r="O101" t="str" cm="1">
        <f t="array" ref="O101">_xlfn.IFS(Table1[[#This Row],[Divorced]]=1, "Divorced", Table1[[#This Row],[Married]]=1, "Married", Table1[[#This Row],[Single]]=1, "Single", Table1[[#This Row],[Together]]=1, "Together", Table1[[#This Row],[Widow]]=1, "Widow")</f>
        <v>Married</v>
      </c>
      <c r="P101" t="str" cm="1">
        <f t="array" ref="P101">_xlfn.IFS(Table1[[#This Row],[Basic]]=1, "Basic", Table1[[#This Row],[Graduate]]=1, "Graduate", Table1[[#This Row],[Master]]=1, "Master", Table1[[#This Row],[PhD]]=1, "PhD", AND(Table1[[#This Row],[Basic]]=0, Table1[[#This Row],[Graduate]]=0, Table1[[#This Row],[Master]]=0, Table1[[#This Row],[PhD]]=0), "NA")</f>
        <v>Graduate</v>
      </c>
      <c r="Q101" t="e">
        <f>_xlfn.XLOOKUP(Table1[[#This Row],[ID]], Table2[ID],#REF!, "Not Found", 0)</f>
        <v>#REF!</v>
      </c>
      <c r="R101" t="e">
        <f>_xlfn.XLOOKUP(Table1[[#This Row],[ID]], Table2[ID],#REF!, "Not Found", 0)</f>
        <v>#REF!</v>
      </c>
      <c r="S101" s="3">
        <f>_xlfn.XLOOKUP(Table1[[#This Row],[ID]], Table2[ID], Table2[Enrollment], "Not Found", 0)</f>
        <v>44081</v>
      </c>
      <c r="T101" t="s">
        <v>438</v>
      </c>
    </row>
    <row r="102" spans="1:20" x14ac:dyDescent="0.3">
      <c r="A102">
        <v>1609</v>
      </c>
      <c r="B102">
        <v>184196</v>
      </c>
      <c r="C102">
        <v>0</v>
      </c>
      <c r="D102">
        <v>1</v>
      </c>
      <c r="E102">
        <v>45</v>
      </c>
      <c r="F102">
        <v>0</v>
      </c>
      <c r="G102">
        <v>0</v>
      </c>
      <c r="H102">
        <v>1</v>
      </c>
      <c r="I102">
        <v>0</v>
      </c>
      <c r="J102">
        <v>0</v>
      </c>
      <c r="K102">
        <v>0</v>
      </c>
      <c r="L102">
        <v>1</v>
      </c>
      <c r="M102">
        <v>0</v>
      </c>
      <c r="N102">
        <v>0</v>
      </c>
      <c r="O102" t="str" cm="1">
        <f t="array" ref="O102">_xlfn.IFS(Table1[[#This Row],[Divorced]]=1, "Divorced", Table1[[#This Row],[Married]]=1, "Married", Table1[[#This Row],[Single]]=1, "Single", Table1[[#This Row],[Together]]=1, "Together", Table1[[#This Row],[Widow]]=1, "Widow")</f>
        <v>Single</v>
      </c>
      <c r="P102" t="str" cm="1">
        <f t="array" ref="P102">_xlfn.IFS(Table1[[#This Row],[Basic]]=1, "Basic", Table1[[#This Row],[Graduate]]=1, "Graduate", Table1[[#This Row],[Master]]=1, "Master", Table1[[#This Row],[PhD]]=1, "PhD", AND(Table1[[#This Row],[Basic]]=0, Table1[[#This Row],[Graduate]]=0, Table1[[#This Row],[Master]]=0, Table1[[#This Row],[PhD]]=0), "NA")</f>
        <v>Graduate</v>
      </c>
      <c r="Q102" t="e">
        <f>_xlfn.XLOOKUP(Table1[[#This Row],[ID]], Table2[ID],#REF!, "Not Found", 0)</f>
        <v>#REF!</v>
      </c>
      <c r="R102" t="e">
        <f>_xlfn.XLOOKUP(Table1[[#This Row],[ID]], Table2[ID],#REF!, "Not Found", 0)</f>
        <v>#REF!</v>
      </c>
      <c r="S102" s="3">
        <f>_xlfn.XLOOKUP(Table1[[#This Row],[ID]], Table2[ID], Table2[Enrollment], "Not Found", 0)</f>
        <v>43688</v>
      </c>
      <c r="T102" t="s">
        <v>437</v>
      </c>
    </row>
    <row r="103" spans="1:20" x14ac:dyDescent="0.3">
      <c r="A103">
        <v>1527</v>
      </c>
      <c r="B103">
        <v>184169</v>
      </c>
      <c r="C103">
        <v>0</v>
      </c>
      <c r="D103">
        <v>0</v>
      </c>
      <c r="E103">
        <v>38</v>
      </c>
      <c r="F103">
        <v>0</v>
      </c>
      <c r="G103">
        <v>1</v>
      </c>
      <c r="H103">
        <v>0</v>
      </c>
      <c r="I103">
        <v>0</v>
      </c>
      <c r="J103">
        <v>0</v>
      </c>
      <c r="K103">
        <v>0</v>
      </c>
      <c r="L103">
        <v>0</v>
      </c>
      <c r="M103">
        <v>0</v>
      </c>
      <c r="N103">
        <v>1</v>
      </c>
      <c r="O103" t="str" cm="1">
        <f t="array" ref="O103">_xlfn.IFS(Table1[[#This Row],[Divorced]]=1, "Divorced", Table1[[#This Row],[Married]]=1, "Married", Table1[[#This Row],[Single]]=1, "Single", Table1[[#This Row],[Together]]=1, "Together", Table1[[#This Row],[Widow]]=1, "Widow")</f>
        <v>Married</v>
      </c>
      <c r="P103" t="str" cm="1">
        <f t="array" ref="P103">_xlfn.IFS(Table1[[#This Row],[Basic]]=1, "Basic", Table1[[#This Row],[Graduate]]=1, "Graduate", Table1[[#This Row],[Master]]=1, "Master", Table1[[#This Row],[PhD]]=1, "PhD", AND(Table1[[#This Row],[Basic]]=0, Table1[[#This Row],[Graduate]]=0, Table1[[#This Row],[Master]]=0, Table1[[#This Row],[PhD]]=0), "NA")</f>
        <v>PhD</v>
      </c>
      <c r="Q103" t="e">
        <f>_xlfn.XLOOKUP(Table1[[#This Row],[ID]], Table2[ID],#REF!, "Not Found", 0)</f>
        <v>#REF!</v>
      </c>
      <c r="R103" t="e">
        <f>_xlfn.XLOOKUP(Table1[[#This Row],[ID]], Table2[ID],#REF!, "Not Found", 0)</f>
        <v>#REF!</v>
      </c>
      <c r="S103" s="3">
        <f>_xlfn.XLOOKUP(Table1[[#This Row],[ID]], Table2[ID], Table2[Enrollment], "Not Found", 0)</f>
        <v>44166</v>
      </c>
      <c r="T103" t="s">
        <v>435</v>
      </c>
    </row>
    <row r="104" spans="1:20" x14ac:dyDescent="0.3">
      <c r="A104">
        <v>1898</v>
      </c>
      <c r="B104">
        <v>184169</v>
      </c>
      <c r="C104">
        <v>0</v>
      </c>
      <c r="D104">
        <v>0</v>
      </c>
      <c r="E104">
        <v>38</v>
      </c>
      <c r="F104">
        <v>0</v>
      </c>
      <c r="G104">
        <v>1</v>
      </c>
      <c r="H104">
        <v>0</v>
      </c>
      <c r="I104">
        <v>0</v>
      </c>
      <c r="J104">
        <v>0</v>
      </c>
      <c r="K104">
        <v>0</v>
      </c>
      <c r="L104">
        <v>0</v>
      </c>
      <c r="M104">
        <v>0</v>
      </c>
      <c r="N104">
        <v>1</v>
      </c>
      <c r="O104" t="str" cm="1">
        <f t="array" ref="O104">_xlfn.IFS(Table1[[#This Row],[Divorced]]=1, "Divorced", Table1[[#This Row],[Married]]=1, "Married", Table1[[#This Row],[Single]]=1, "Single", Table1[[#This Row],[Together]]=1, "Together", Table1[[#This Row],[Widow]]=1, "Widow")</f>
        <v>Married</v>
      </c>
      <c r="P104" t="str" cm="1">
        <f t="array" ref="P104">_xlfn.IFS(Table1[[#This Row],[Basic]]=1, "Basic", Table1[[#This Row],[Graduate]]=1, "Graduate", Table1[[#This Row],[Master]]=1, "Master", Table1[[#This Row],[PhD]]=1, "PhD", AND(Table1[[#This Row],[Basic]]=0, Table1[[#This Row],[Graduate]]=0, Table1[[#This Row],[Master]]=0, Table1[[#This Row],[PhD]]=0), "NA")</f>
        <v>PhD</v>
      </c>
      <c r="Q104" t="e">
        <f>_xlfn.XLOOKUP(Table1[[#This Row],[ID]], Table2[ID],#REF!, "Not Found", 0)</f>
        <v>#REF!</v>
      </c>
      <c r="R104" t="e">
        <f>_xlfn.XLOOKUP(Table1[[#This Row],[ID]], Table2[ID],#REF!, "Not Found", 0)</f>
        <v>#REF!</v>
      </c>
      <c r="S104" s="3">
        <f>_xlfn.XLOOKUP(Table1[[#This Row],[ID]], Table2[ID], Table2[Enrollment], "Not Found", 0)</f>
        <v>44166</v>
      </c>
      <c r="T104" t="s">
        <v>438</v>
      </c>
    </row>
    <row r="105" spans="1:20" x14ac:dyDescent="0.3">
      <c r="A105">
        <v>3155</v>
      </c>
      <c r="B105">
        <v>184117</v>
      </c>
      <c r="C105">
        <v>0</v>
      </c>
      <c r="D105">
        <v>0</v>
      </c>
      <c r="E105">
        <v>64</v>
      </c>
      <c r="F105">
        <v>0</v>
      </c>
      <c r="G105">
        <v>1</v>
      </c>
      <c r="H105">
        <v>0</v>
      </c>
      <c r="I105">
        <v>0</v>
      </c>
      <c r="J105">
        <v>0</v>
      </c>
      <c r="K105">
        <v>0</v>
      </c>
      <c r="L105">
        <v>0</v>
      </c>
      <c r="M105">
        <v>0</v>
      </c>
      <c r="N105">
        <v>1</v>
      </c>
      <c r="O105" t="str" cm="1">
        <f t="array" ref="O105">_xlfn.IFS(Table1[[#This Row],[Divorced]]=1, "Divorced", Table1[[#This Row],[Married]]=1, "Married", Table1[[#This Row],[Single]]=1, "Single", Table1[[#This Row],[Together]]=1, "Together", Table1[[#This Row],[Widow]]=1, "Widow")</f>
        <v>Married</v>
      </c>
      <c r="P105" t="str" cm="1">
        <f t="array" ref="P105">_xlfn.IFS(Table1[[#This Row],[Basic]]=1, "Basic", Table1[[#This Row],[Graduate]]=1, "Graduate", Table1[[#This Row],[Master]]=1, "Master", Table1[[#This Row],[PhD]]=1, "PhD", AND(Table1[[#This Row],[Basic]]=0, Table1[[#This Row],[Graduate]]=0, Table1[[#This Row],[Master]]=0, Table1[[#This Row],[PhD]]=0), "NA")</f>
        <v>PhD</v>
      </c>
      <c r="Q105" t="e">
        <f>_xlfn.XLOOKUP(Table1[[#This Row],[ID]], Table2[ID],#REF!, "Not Found", 0)</f>
        <v>#REF!</v>
      </c>
      <c r="R105" t="e">
        <f>_xlfn.XLOOKUP(Table1[[#This Row],[ID]], Table2[ID],#REF!, "Not Found", 0)</f>
        <v>#REF!</v>
      </c>
      <c r="S105" s="3" t="str">
        <f>_xlfn.XLOOKUP(Table1[[#This Row],[ID]], Table2[ID], Table2[Enrollment], "Not Found", 0)</f>
        <v>10/15/2020</v>
      </c>
      <c r="T105" t="s">
        <v>434</v>
      </c>
    </row>
    <row r="106" spans="1:20" x14ac:dyDescent="0.3">
      <c r="A106">
        <v>1617</v>
      </c>
      <c r="B106">
        <v>183917</v>
      </c>
      <c r="C106">
        <v>0</v>
      </c>
      <c r="D106">
        <v>0</v>
      </c>
      <c r="E106">
        <v>47</v>
      </c>
      <c r="F106">
        <v>0</v>
      </c>
      <c r="G106">
        <v>0</v>
      </c>
      <c r="H106">
        <v>1</v>
      </c>
      <c r="I106">
        <v>0</v>
      </c>
      <c r="J106">
        <v>0</v>
      </c>
      <c r="K106">
        <v>0</v>
      </c>
      <c r="L106">
        <v>1</v>
      </c>
      <c r="M106">
        <v>0</v>
      </c>
      <c r="N106">
        <v>0</v>
      </c>
      <c r="O106" t="str" cm="1">
        <f t="array" ref="O106">_xlfn.IFS(Table1[[#This Row],[Divorced]]=1, "Divorced", Table1[[#This Row],[Married]]=1, "Married", Table1[[#This Row],[Single]]=1, "Single", Table1[[#This Row],[Together]]=1, "Together", Table1[[#This Row],[Widow]]=1, "Widow")</f>
        <v>Single</v>
      </c>
      <c r="P106" t="str" cm="1">
        <f t="array" ref="P106">_xlfn.IFS(Table1[[#This Row],[Basic]]=1, "Basic", Table1[[#This Row],[Graduate]]=1, "Graduate", Table1[[#This Row],[Master]]=1, "Master", Table1[[#This Row],[PhD]]=1, "PhD", AND(Table1[[#This Row],[Basic]]=0, Table1[[#This Row],[Graduate]]=0, Table1[[#This Row],[Master]]=0, Table1[[#This Row],[PhD]]=0), "NA")</f>
        <v>Graduate</v>
      </c>
      <c r="Q106" t="e">
        <f>_xlfn.XLOOKUP(Table1[[#This Row],[ID]], Table2[ID],#REF!, "Not Found", 0)</f>
        <v>#REF!</v>
      </c>
      <c r="R106" t="e">
        <f>_xlfn.XLOOKUP(Table1[[#This Row],[ID]], Table2[ID],#REF!, "Not Found", 0)</f>
        <v>#REF!</v>
      </c>
      <c r="S106" s="3" t="str">
        <f>_xlfn.XLOOKUP(Table1[[#This Row],[ID]], Table2[ID], Table2[Enrollment], "Not Found", 0)</f>
        <v>9/23/2019</v>
      </c>
      <c r="T106" t="s">
        <v>435</v>
      </c>
    </row>
    <row r="107" spans="1:20" x14ac:dyDescent="0.3">
      <c r="A107">
        <v>2922</v>
      </c>
      <c r="B107">
        <v>183891</v>
      </c>
      <c r="C107">
        <v>0</v>
      </c>
      <c r="D107">
        <v>1</v>
      </c>
      <c r="E107">
        <v>46</v>
      </c>
      <c r="F107">
        <v>0</v>
      </c>
      <c r="G107">
        <v>1</v>
      </c>
      <c r="H107">
        <v>0</v>
      </c>
      <c r="I107">
        <v>0</v>
      </c>
      <c r="J107">
        <v>0</v>
      </c>
      <c r="K107">
        <v>0</v>
      </c>
      <c r="L107">
        <v>0</v>
      </c>
      <c r="M107">
        <v>1</v>
      </c>
      <c r="N107">
        <v>0</v>
      </c>
      <c r="O107" t="str" cm="1">
        <f t="array" ref="O107">_xlfn.IFS(Table1[[#This Row],[Divorced]]=1, "Divorced", Table1[[#This Row],[Married]]=1, "Married", Table1[[#This Row],[Single]]=1, "Single", Table1[[#This Row],[Together]]=1, "Together", Table1[[#This Row],[Widow]]=1, "Widow")</f>
        <v>Married</v>
      </c>
      <c r="P107" t="str" cm="1">
        <f t="array" ref="P107">_xlfn.IFS(Table1[[#This Row],[Basic]]=1, "Basic", Table1[[#This Row],[Graduate]]=1, "Graduate", Table1[[#This Row],[Master]]=1, "Master", Table1[[#This Row],[PhD]]=1, "PhD", AND(Table1[[#This Row],[Basic]]=0, Table1[[#This Row],[Graduate]]=0, Table1[[#This Row],[Master]]=0, Table1[[#This Row],[PhD]]=0), "NA")</f>
        <v>Master</v>
      </c>
      <c r="Q107" t="e">
        <f>_xlfn.XLOOKUP(Table1[[#This Row],[ID]], Table2[ID],#REF!, "Not Found", 0)</f>
        <v>#REF!</v>
      </c>
      <c r="R107" t="e">
        <f>_xlfn.XLOOKUP(Table1[[#This Row],[ID]], Table2[ID],#REF!, "Not Found", 0)</f>
        <v>#REF!</v>
      </c>
      <c r="S107" s="3" t="str">
        <f>_xlfn.XLOOKUP(Table1[[#This Row],[ID]], Table2[ID], Table2[Enrollment], "Not Found", 0)</f>
        <v>11/24/2020</v>
      </c>
      <c r="T107" t="s">
        <v>436</v>
      </c>
    </row>
    <row r="108" spans="1:20" x14ac:dyDescent="0.3">
      <c r="A108">
        <v>1726</v>
      </c>
      <c r="B108">
        <v>183844</v>
      </c>
      <c r="C108">
        <v>0</v>
      </c>
      <c r="D108">
        <v>0</v>
      </c>
      <c r="E108">
        <v>68</v>
      </c>
      <c r="F108">
        <v>0</v>
      </c>
      <c r="G108">
        <v>0</v>
      </c>
      <c r="H108">
        <v>0</v>
      </c>
      <c r="I108">
        <v>1</v>
      </c>
      <c r="J108">
        <v>0</v>
      </c>
      <c r="K108">
        <v>0</v>
      </c>
      <c r="L108">
        <v>1</v>
      </c>
      <c r="M108">
        <v>0</v>
      </c>
      <c r="N108">
        <v>0</v>
      </c>
      <c r="O108" t="str" cm="1">
        <f t="array" ref="O108">_xlfn.IFS(Table1[[#This Row],[Divorced]]=1, "Divorced", Table1[[#This Row],[Married]]=1, "Married", Table1[[#This Row],[Single]]=1, "Single", Table1[[#This Row],[Together]]=1, "Together", Table1[[#This Row],[Widow]]=1, "Widow")</f>
        <v>Together</v>
      </c>
      <c r="P108" t="str" cm="1">
        <f t="array" ref="P108">_xlfn.IFS(Table1[[#This Row],[Basic]]=1, "Basic", Table1[[#This Row],[Graduate]]=1, "Graduate", Table1[[#This Row],[Master]]=1, "Master", Table1[[#This Row],[PhD]]=1, "PhD", AND(Table1[[#This Row],[Basic]]=0, Table1[[#This Row],[Graduate]]=0, Table1[[#This Row],[Master]]=0, Table1[[#This Row],[PhD]]=0), "NA")</f>
        <v>Graduate</v>
      </c>
      <c r="Q108" t="e">
        <f>_xlfn.XLOOKUP(Table1[[#This Row],[ID]], Table2[ID],#REF!, "Not Found", 0)</f>
        <v>#REF!</v>
      </c>
      <c r="R108" t="e">
        <f>_xlfn.XLOOKUP(Table1[[#This Row],[ID]], Table2[ID],#REF!, "Not Found", 0)</f>
        <v>#REF!</v>
      </c>
      <c r="S108" s="3" t="str">
        <f>_xlfn.XLOOKUP(Table1[[#This Row],[ID]], Table2[ID], Table2[Enrollment], "Not Found", 0)</f>
        <v>10/17/2019</v>
      </c>
      <c r="T108" t="s">
        <v>439</v>
      </c>
    </row>
    <row r="109" spans="1:20" x14ac:dyDescent="0.3">
      <c r="A109">
        <v>1988</v>
      </c>
      <c r="B109">
        <v>183844</v>
      </c>
      <c r="C109">
        <v>0</v>
      </c>
      <c r="D109">
        <v>0</v>
      </c>
      <c r="E109">
        <v>68</v>
      </c>
      <c r="F109">
        <v>0</v>
      </c>
      <c r="G109">
        <v>0</v>
      </c>
      <c r="H109">
        <v>0</v>
      </c>
      <c r="I109">
        <v>1</v>
      </c>
      <c r="J109">
        <v>0</v>
      </c>
      <c r="K109">
        <v>0</v>
      </c>
      <c r="L109">
        <v>1</v>
      </c>
      <c r="M109">
        <v>0</v>
      </c>
      <c r="N109">
        <v>0</v>
      </c>
      <c r="O109" t="str" cm="1">
        <f t="array" ref="O109">_xlfn.IFS(Table1[[#This Row],[Divorced]]=1, "Divorced", Table1[[#This Row],[Married]]=1, "Married", Table1[[#This Row],[Single]]=1, "Single", Table1[[#This Row],[Together]]=1, "Together", Table1[[#This Row],[Widow]]=1, "Widow")</f>
        <v>Together</v>
      </c>
      <c r="P109" t="str" cm="1">
        <f t="array" ref="P109">_xlfn.IFS(Table1[[#This Row],[Basic]]=1, "Basic", Table1[[#This Row],[Graduate]]=1, "Graduate", Table1[[#This Row],[Master]]=1, "Master", Table1[[#This Row],[PhD]]=1, "PhD", AND(Table1[[#This Row],[Basic]]=0, Table1[[#This Row],[Graduate]]=0, Table1[[#This Row],[Master]]=0, Table1[[#This Row],[PhD]]=0), "NA")</f>
        <v>Graduate</v>
      </c>
      <c r="Q109" t="e">
        <f>_xlfn.XLOOKUP(Table1[[#This Row],[ID]], Table2[ID],#REF!, "Not Found", 0)</f>
        <v>#REF!</v>
      </c>
      <c r="R109" t="e">
        <f>_xlfn.XLOOKUP(Table1[[#This Row],[ID]], Table2[ID],#REF!, "Not Found", 0)</f>
        <v>#REF!</v>
      </c>
      <c r="S109" s="3" t="str">
        <f>_xlfn.XLOOKUP(Table1[[#This Row],[ID]], Table2[ID], Table2[Enrollment], "Not Found", 0)</f>
        <v>10/17/2019</v>
      </c>
      <c r="T109" t="s">
        <v>438</v>
      </c>
    </row>
    <row r="110" spans="1:20" x14ac:dyDescent="0.3">
      <c r="A110">
        <v>2443</v>
      </c>
      <c r="B110">
        <v>183844</v>
      </c>
      <c r="C110">
        <v>0</v>
      </c>
      <c r="D110">
        <v>0</v>
      </c>
      <c r="E110">
        <v>68</v>
      </c>
      <c r="F110">
        <v>0</v>
      </c>
      <c r="G110">
        <v>0</v>
      </c>
      <c r="H110">
        <v>0</v>
      </c>
      <c r="I110">
        <v>1</v>
      </c>
      <c r="J110">
        <v>0</v>
      </c>
      <c r="K110">
        <v>0</v>
      </c>
      <c r="L110">
        <v>1</v>
      </c>
      <c r="M110">
        <v>0</v>
      </c>
      <c r="N110">
        <v>0</v>
      </c>
      <c r="O110" t="str" cm="1">
        <f t="array" ref="O110">_xlfn.IFS(Table1[[#This Row],[Divorced]]=1, "Divorced", Table1[[#This Row],[Married]]=1, "Married", Table1[[#This Row],[Single]]=1, "Single", Table1[[#This Row],[Together]]=1, "Together", Table1[[#This Row],[Widow]]=1, "Widow")</f>
        <v>Together</v>
      </c>
      <c r="P110" t="str" cm="1">
        <f t="array" ref="P110">_xlfn.IFS(Table1[[#This Row],[Basic]]=1, "Basic", Table1[[#This Row],[Graduate]]=1, "Graduate", Table1[[#This Row],[Master]]=1, "Master", Table1[[#This Row],[PhD]]=1, "PhD", AND(Table1[[#This Row],[Basic]]=0, Table1[[#This Row],[Graduate]]=0, Table1[[#This Row],[Master]]=0, Table1[[#This Row],[PhD]]=0), "NA")</f>
        <v>Graduate</v>
      </c>
      <c r="Q110" t="e">
        <f>_xlfn.XLOOKUP(Table1[[#This Row],[ID]], Table2[ID],#REF!, "Not Found", 0)</f>
        <v>#REF!</v>
      </c>
      <c r="R110" t="e">
        <f>_xlfn.XLOOKUP(Table1[[#This Row],[ID]], Table2[ID],#REF!, "Not Found", 0)</f>
        <v>#REF!</v>
      </c>
      <c r="S110" s="3" t="str">
        <f>_xlfn.XLOOKUP(Table1[[#This Row],[ID]], Table2[ID], Table2[Enrollment], "Not Found", 0)</f>
        <v>10/17/2019</v>
      </c>
      <c r="T110" t="s">
        <v>437</v>
      </c>
    </row>
    <row r="111" spans="1:20" x14ac:dyDescent="0.3">
      <c r="A111">
        <v>1165</v>
      </c>
      <c r="B111">
        <v>183837</v>
      </c>
      <c r="C111">
        <v>0</v>
      </c>
      <c r="D111">
        <v>0</v>
      </c>
      <c r="E111">
        <v>72</v>
      </c>
      <c r="F111">
        <v>0</v>
      </c>
      <c r="G111">
        <v>1</v>
      </c>
      <c r="H111">
        <v>0</v>
      </c>
      <c r="I111">
        <v>0</v>
      </c>
      <c r="J111">
        <v>0</v>
      </c>
      <c r="K111">
        <v>0</v>
      </c>
      <c r="L111">
        <v>0</v>
      </c>
      <c r="M111">
        <v>0</v>
      </c>
      <c r="N111">
        <v>1</v>
      </c>
      <c r="O111" t="str" cm="1">
        <f t="array" ref="O111">_xlfn.IFS(Table1[[#This Row],[Divorced]]=1, "Divorced", Table1[[#This Row],[Married]]=1, "Married", Table1[[#This Row],[Single]]=1, "Single", Table1[[#This Row],[Together]]=1, "Together", Table1[[#This Row],[Widow]]=1, "Widow")</f>
        <v>Married</v>
      </c>
      <c r="P111" t="str" cm="1">
        <f t="array" ref="P111">_xlfn.IFS(Table1[[#This Row],[Basic]]=1, "Basic", Table1[[#This Row],[Graduate]]=1, "Graduate", Table1[[#This Row],[Master]]=1, "Master", Table1[[#This Row],[PhD]]=1, "PhD", AND(Table1[[#This Row],[Basic]]=0, Table1[[#This Row],[Graduate]]=0, Table1[[#This Row],[Master]]=0, Table1[[#This Row],[PhD]]=0), "NA")</f>
        <v>PhD</v>
      </c>
      <c r="Q111" t="e">
        <f>_xlfn.XLOOKUP(Table1[[#This Row],[ID]], Table2[ID],#REF!, "Not Found", 0)</f>
        <v>#REF!</v>
      </c>
      <c r="R111" t="e">
        <f>_xlfn.XLOOKUP(Table1[[#This Row],[ID]], Table2[ID],#REF!, "Not Found", 0)</f>
        <v>#REF!</v>
      </c>
      <c r="S111" s="3" t="str">
        <f>_xlfn.XLOOKUP(Table1[[#This Row],[ID]], Table2[ID], Table2[Enrollment], "Not Found", 0)</f>
        <v>5/23/2019</v>
      </c>
      <c r="T111" t="s">
        <v>437</v>
      </c>
    </row>
    <row r="112" spans="1:20" x14ac:dyDescent="0.3">
      <c r="A112">
        <v>2081</v>
      </c>
      <c r="B112">
        <v>183829</v>
      </c>
      <c r="C112">
        <v>0</v>
      </c>
      <c r="D112">
        <v>0</v>
      </c>
      <c r="E112">
        <v>45</v>
      </c>
      <c r="F112">
        <v>1</v>
      </c>
      <c r="G112">
        <v>0</v>
      </c>
      <c r="H112">
        <v>0</v>
      </c>
      <c r="I112">
        <v>0</v>
      </c>
      <c r="J112">
        <v>0</v>
      </c>
      <c r="K112">
        <v>0</v>
      </c>
      <c r="L112">
        <v>1</v>
      </c>
      <c r="M112">
        <v>0</v>
      </c>
      <c r="N112">
        <v>0</v>
      </c>
      <c r="O112" t="str" cm="1">
        <f t="array" ref="O112">_xlfn.IFS(Table1[[#This Row],[Divorced]]=1, "Divorced", Table1[[#This Row],[Married]]=1, "Married", Table1[[#This Row],[Single]]=1, "Single", Table1[[#This Row],[Together]]=1, "Together", Table1[[#This Row],[Widow]]=1, "Widow")</f>
        <v>Divorced</v>
      </c>
      <c r="P112" t="str" cm="1">
        <f t="array" ref="P112">_xlfn.IFS(Table1[[#This Row],[Basic]]=1, "Basic", Table1[[#This Row],[Graduate]]=1, "Graduate", Table1[[#This Row],[Master]]=1, "Master", Table1[[#This Row],[PhD]]=1, "PhD", AND(Table1[[#This Row],[Basic]]=0, Table1[[#This Row],[Graduate]]=0, Table1[[#This Row],[Master]]=0, Table1[[#This Row],[PhD]]=0), "NA")</f>
        <v>Graduate</v>
      </c>
      <c r="Q112" t="e">
        <f>_xlfn.XLOOKUP(Table1[[#This Row],[ID]], Table2[ID],#REF!, "Not Found", 0)</f>
        <v>#REF!</v>
      </c>
      <c r="R112" t="e">
        <f>_xlfn.XLOOKUP(Table1[[#This Row],[ID]], Table2[ID],#REF!, "Not Found", 0)</f>
        <v>#REF!</v>
      </c>
      <c r="S112" s="3" t="str">
        <f>_xlfn.XLOOKUP(Table1[[#This Row],[ID]], Table2[ID], Table2[Enrollment], "Not Found", 0)</f>
        <v>3/14/2020</v>
      </c>
      <c r="T112" t="s">
        <v>434</v>
      </c>
    </row>
    <row r="113" spans="1:20" x14ac:dyDescent="0.3">
      <c r="A113">
        <v>2246</v>
      </c>
      <c r="B113">
        <v>183829</v>
      </c>
      <c r="C113">
        <v>0</v>
      </c>
      <c r="D113">
        <v>0</v>
      </c>
      <c r="E113">
        <v>45</v>
      </c>
      <c r="F113">
        <v>1</v>
      </c>
      <c r="G113">
        <v>0</v>
      </c>
      <c r="H113">
        <v>0</v>
      </c>
      <c r="I113">
        <v>0</v>
      </c>
      <c r="J113">
        <v>0</v>
      </c>
      <c r="K113">
        <v>0</v>
      </c>
      <c r="L113">
        <v>1</v>
      </c>
      <c r="M113">
        <v>0</v>
      </c>
      <c r="N113">
        <v>0</v>
      </c>
      <c r="O113" t="str" cm="1">
        <f t="array" ref="O113">_xlfn.IFS(Table1[[#This Row],[Divorced]]=1, "Divorced", Table1[[#This Row],[Married]]=1, "Married", Table1[[#This Row],[Single]]=1, "Single", Table1[[#This Row],[Together]]=1, "Together", Table1[[#This Row],[Widow]]=1, "Widow")</f>
        <v>Divorced</v>
      </c>
      <c r="P113" t="str" cm="1">
        <f t="array" ref="P113">_xlfn.IFS(Table1[[#This Row],[Basic]]=1, "Basic", Table1[[#This Row],[Graduate]]=1, "Graduate", Table1[[#This Row],[Master]]=1, "Master", Table1[[#This Row],[PhD]]=1, "PhD", AND(Table1[[#This Row],[Basic]]=0, Table1[[#This Row],[Graduate]]=0, Table1[[#This Row],[Master]]=0, Table1[[#This Row],[PhD]]=0), "NA")</f>
        <v>Graduate</v>
      </c>
      <c r="Q113" t="e">
        <f>_xlfn.XLOOKUP(Table1[[#This Row],[ID]], Table2[ID],#REF!, "Not Found", 0)</f>
        <v>#REF!</v>
      </c>
      <c r="R113" t="e">
        <f>_xlfn.XLOOKUP(Table1[[#This Row],[ID]], Table2[ID],#REF!, "Not Found", 0)</f>
        <v>#REF!</v>
      </c>
      <c r="S113" s="3" t="str">
        <f>_xlfn.XLOOKUP(Table1[[#This Row],[ID]], Table2[ID], Table2[Enrollment], "Not Found", 0)</f>
        <v>3/14/2020</v>
      </c>
      <c r="T113" t="s">
        <v>438</v>
      </c>
    </row>
    <row r="114" spans="1:20" x14ac:dyDescent="0.3">
      <c r="A114">
        <v>1205</v>
      </c>
      <c r="B114">
        <v>183790</v>
      </c>
      <c r="C114">
        <v>0</v>
      </c>
      <c r="D114">
        <v>0</v>
      </c>
      <c r="E114">
        <v>72</v>
      </c>
      <c r="F114">
        <v>0</v>
      </c>
      <c r="G114">
        <v>1</v>
      </c>
      <c r="H114">
        <v>0</v>
      </c>
      <c r="I114">
        <v>0</v>
      </c>
      <c r="J114">
        <v>0</v>
      </c>
      <c r="K114">
        <v>0</v>
      </c>
      <c r="L114">
        <v>0</v>
      </c>
      <c r="M114">
        <v>1</v>
      </c>
      <c r="N114">
        <v>0</v>
      </c>
      <c r="O114" t="str" cm="1">
        <f t="array" ref="O114">_xlfn.IFS(Table1[[#This Row],[Divorced]]=1, "Divorced", Table1[[#This Row],[Married]]=1, "Married", Table1[[#This Row],[Single]]=1, "Single", Table1[[#This Row],[Together]]=1, "Together", Table1[[#This Row],[Widow]]=1, "Widow")</f>
        <v>Married</v>
      </c>
      <c r="P114" t="str" cm="1">
        <f t="array" ref="P114">_xlfn.IFS(Table1[[#This Row],[Basic]]=1, "Basic", Table1[[#This Row],[Graduate]]=1, "Graduate", Table1[[#This Row],[Master]]=1, "Master", Table1[[#This Row],[PhD]]=1, "PhD", AND(Table1[[#This Row],[Basic]]=0, Table1[[#This Row],[Graduate]]=0, Table1[[#This Row],[Master]]=0, Table1[[#This Row],[PhD]]=0), "NA")</f>
        <v>Master</v>
      </c>
      <c r="Q114" t="e">
        <f>_xlfn.XLOOKUP(Table1[[#This Row],[ID]], Table2[ID],#REF!, "Not Found", 0)</f>
        <v>#REF!</v>
      </c>
      <c r="R114" t="e">
        <f>_xlfn.XLOOKUP(Table1[[#This Row],[ID]], Table2[ID],#REF!, "Not Found", 0)</f>
        <v>#REF!</v>
      </c>
      <c r="S114" s="3" t="str">
        <f>_xlfn.XLOOKUP(Table1[[#This Row],[ID]], Table2[ID], Table2[Enrollment], "Not Found", 0)</f>
        <v>4/21/2020</v>
      </c>
      <c r="T114" t="s">
        <v>434</v>
      </c>
    </row>
    <row r="115" spans="1:20" x14ac:dyDescent="0.3">
      <c r="A115">
        <v>1956</v>
      </c>
      <c r="B115">
        <v>183715</v>
      </c>
      <c r="C115">
        <v>0</v>
      </c>
      <c r="D115">
        <v>0</v>
      </c>
      <c r="E115">
        <v>58</v>
      </c>
      <c r="F115">
        <v>0</v>
      </c>
      <c r="G115">
        <v>1</v>
      </c>
      <c r="H115">
        <v>0</v>
      </c>
      <c r="I115">
        <v>0</v>
      </c>
      <c r="J115">
        <v>0</v>
      </c>
      <c r="K115">
        <v>0</v>
      </c>
      <c r="L115">
        <v>1</v>
      </c>
      <c r="M115">
        <v>0</v>
      </c>
      <c r="N115">
        <v>0</v>
      </c>
      <c r="O115" t="str" cm="1">
        <f t="array" ref="O115">_xlfn.IFS(Table1[[#This Row],[Divorced]]=1, "Divorced", Table1[[#This Row],[Married]]=1, "Married", Table1[[#This Row],[Single]]=1, "Single", Table1[[#This Row],[Together]]=1, "Together", Table1[[#This Row],[Widow]]=1, "Widow")</f>
        <v>Married</v>
      </c>
      <c r="P115" t="str" cm="1">
        <f t="array" ref="P115">_xlfn.IFS(Table1[[#This Row],[Basic]]=1, "Basic", Table1[[#This Row],[Graduate]]=1, "Graduate", Table1[[#This Row],[Master]]=1, "Master", Table1[[#This Row],[PhD]]=1, "PhD", AND(Table1[[#This Row],[Basic]]=0, Table1[[#This Row],[Graduate]]=0, Table1[[#This Row],[Master]]=0, Table1[[#This Row],[PhD]]=0), "NA")</f>
        <v>Graduate</v>
      </c>
      <c r="Q115" t="e">
        <f>_xlfn.XLOOKUP(Table1[[#This Row],[ID]], Table2[ID],#REF!, "Not Found", 0)</f>
        <v>#REF!</v>
      </c>
      <c r="R115" t="e">
        <f>_xlfn.XLOOKUP(Table1[[#This Row],[ID]], Table2[ID],#REF!, "Not Found", 0)</f>
        <v>#REF!</v>
      </c>
      <c r="S115" s="3">
        <f>_xlfn.XLOOKUP(Table1[[#This Row],[ID]], Table2[ID], Table2[Enrollment], "Not Found", 0)</f>
        <v>44111</v>
      </c>
      <c r="T115" t="s">
        <v>436</v>
      </c>
    </row>
    <row r="116" spans="1:20" x14ac:dyDescent="0.3">
      <c r="A116">
        <v>1373</v>
      </c>
      <c r="B116">
        <v>183664</v>
      </c>
      <c r="C116">
        <v>1</v>
      </c>
      <c r="D116">
        <v>1</v>
      </c>
      <c r="E116">
        <v>52</v>
      </c>
      <c r="F116">
        <v>1</v>
      </c>
      <c r="G116">
        <v>0</v>
      </c>
      <c r="H116">
        <v>0</v>
      </c>
      <c r="I116">
        <v>0</v>
      </c>
      <c r="J116">
        <v>0</v>
      </c>
      <c r="K116">
        <v>0</v>
      </c>
      <c r="L116">
        <v>0</v>
      </c>
      <c r="M116">
        <v>0</v>
      </c>
      <c r="N116">
        <v>1</v>
      </c>
      <c r="O116" t="str" cm="1">
        <f t="array" ref="O116">_xlfn.IFS(Table1[[#This Row],[Divorced]]=1, "Divorced", Table1[[#This Row],[Married]]=1, "Married", Table1[[#This Row],[Single]]=1, "Single", Table1[[#This Row],[Together]]=1, "Together", Table1[[#This Row],[Widow]]=1, "Widow")</f>
        <v>Divorced</v>
      </c>
      <c r="P116" t="str" cm="1">
        <f t="array" ref="P116">_xlfn.IFS(Table1[[#This Row],[Basic]]=1, "Basic", Table1[[#This Row],[Graduate]]=1, "Graduate", Table1[[#This Row],[Master]]=1, "Master", Table1[[#This Row],[PhD]]=1, "PhD", AND(Table1[[#This Row],[Basic]]=0, Table1[[#This Row],[Graduate]]=0, Table1[[#This Row],[Master]]=0, Table1[[#This Row],[PhD]]=0), "NA")</f>
        <v>PhD</v>
      </c>
      <c r="Q116" t="e">
        <f>_xlfn.XLOOKUP(Table1[[#This Row],[ID]], Table2[ID],#REF!, "Not Found", 0)</f>
        <v>#REF!</v>
      </c>
      <c r="R116" t="e">
        <f>_xlfn.XLOOKUP(Table1[[#This Row],[ID]], Table2[ID],#REF!, "Not Found", 0)</f>
        <v>#REF!</v>
      </c>
      <c r="S116" s="3" t="str">
        <f>_xlfn.XLOOKUP(Table1[[#This Row],[ID]], Table2[ID], Table2[Enrollment], "Not Found", 0)</f>
        <v>10/13/2019</v>
      </c>
      <c r="T116" t="s">
        <v>434</v>
      </c>
    </row>
    <row r="117" spans="1:20" x14ac:dyDescent="0.3">
      <c r="A117">
        <v>2047</v>
      </c>
      <c r="B117">
        <v>183528</v>
      </c>
      <c r="C117">
        <v>0</v>
      </c>
      <c r="D117">
        <v>0</v>
      </c>
      <c r="E117">
        <v>28</v>
      </c>
      <c r="F117">
        <v>0</v>
      </c>
      <c r="G117">
        <v>0</v>
      </c>
      <c r="H117">
        <v>1</v>
      </c>
      <c r="I117">
        <v>0</v>
      </c>
      <c r="J117">
        <v>0</v>
      </c>
      <c r="K117">
        <v>0</v>
      </c>
      <c r="L117">
        <v>1</v>
      </c>
      <c r="M117">
        <v>0</v>
      </c>
      <c r="N117">
        <v>0</v>
      </c>
      <c r="O117" t="str" cm="1">
        <f t="array" ref="O117">_xlfn.IFS(Table1[[#This Row],[Divorced]]=1, "Divorced", Table1[[#This Row],[Married]]=1, "Married", Table1[[#This Row],[Single]]=1, "Single", Table1[[#This Row],[Together]]=1, "Together", Table1[[#This Row],[Widow]]=1, "Widow")</f>
        <v>Single</v>
      </c>
      <c r="P117" t="str" cm="1">
        <f t="array" ref="P117">_xlfn.IFS(Table1[[#This Row],[Basic]]=1, "Basic", Table1[[#This Row],[Graduate]]=1, "Graduate", Table1[[#This Row],[Master]]=1, "Master", Table1[[#This Row],[PhD]]=1, "PhD", AND(Table1[[#This Row],[Basic]]=0, Table1[[#This Row],[Graduate]]=0, Table1[[#This Row],[Master]]=0, Table1[[#This Row],[PhD]]=0), "NA")</f>
        <v>Graduate</v>
      </c>
      <c r="Q117" t="e">
        <f>_xlfn.XLOOKUP(Table1[[#This Row],[ID]], Table2[ID],#REF!, "Not Found", 0)</f>
        <v>#REF!</v>
      </c>
      <c r="R117" t="e">
        <f>_xlfn.XLOOKUP(Table1[[#This Row],[ID]], Table2[ID],#REF!, "Not Found", 0)</f>
        <v>#REF!</v>
      </c>
      <c r="S117" s="3">
        <f>_xlfn.XLOOKUP(Table1[[#This Row],[ID]], Table2[ID], Table2[Enrollment], "Not Found", 0)</f>
        <v>43961</v>
      </c>
      <c r="T117" t="s">
        <v>437</v>
      </c>
    </row>
    <row r="118" spans="1:20" x14ac:dyDescent="0.3">
      <c r="A118">
        <v>2685</v>
      </c>
      <c r="B118">
        <v>183512</v>
      </c>
      <c r="C118">
        <v>0</v>
      </c>
      <c r="D118">
        <v>0</v>
      </c>
      <c r="E118">
        <v>34</v>
      </c>
      <c r="F118">
        <v>0</v>
      </c>
      <c r="G118">
        <v>1</v>
      </c>
      <c r="H118">
        <v>0</v>
      </c>
      <c r="I118">
        <v>0</v>
      </c>
      <c r="J118">
        <v>0</v>
      </c>
      <c r="K118">
        <v>0</v>
      </c>
      <c r="L118">
        <v>1</v>
      </c>
      <c r="M118">
        <v>0</v>
      </c>
      <c r="N118">
        <v>0</v>
      </c>
      <c r="O118" t="str" cm="1">
        <f t="array" ref="O118">_xlfn.IFS(Table1[[#This Row],[Divorced]]=1, "Divorced", Table1[[#This Row],[Married]]=1, "Married", Table1[[#This Row],[Single]]=1, "Single", Table1[[#This Row],[Together]]=1, "Together", Table1[[#This Row],[Widow]]=1, "Widow")</f>
        <v>Married</v>
      </c>
      <c r="P118" t="str" cm="1">
        <f t="array" ref="P118">_xlfn.IFS(Table1[[#This Row],[Basic]]=1, "Basic", Table1[[#This Row],[Graduate]]=1, "Graduate", Table1[[#This Row],[Master]]=1, "Master", Table1[[#This Row],[PhD]]=1, "PhD", AND(Table1[[#This Row],[Basic]]=0, Table1[[#This Row],[Graduate]]=0, Table1[[#This Row],[Master]]=0, Table1[[#This Row],[PhD]]=0), "NA")</f>
        <v>Graduate</v>
      </c>
      <c r="Q118" t="e">
        <f>_xlfn.XLOOKUP(Table1[[#This Row],[ID]], Table2[ID],#REF!, "Not Found", 0)</f>
        <v>#REF!</v>
      </c>
      <c r="R118" t="e">
        <f>_xlfn.XLOOKUP(Table1[[#This Row],[ID]], Table2[ID],#REF!, "Not Found", 0)</f>
        <v>#REF!</v>
      </c>
      <c r="S118" s="3" t="str">
        <f>_xlfn.XLOOKUP(Table1[[#This Row],[ID]], Table2[ID], Table2[Enrollment], "Not Found", 0)</f>
        <v>11/21/2020</v>
      </c>
      <c r="T118" t="s">
        <v>435</v>
      </c>
    </row>
    <row r="119" spans="1:20" x14ac:dyDescent="0.3">
      <c r="A119">
        <v>1731</v>
      </c>
      <c r="B119">
        <v>183443</v>
      </c>
      <c r="C119">
        <v>0</v>
      </c>
      <c r="D119">
        <v>0</v>
      </c>
      <c r="E119">
        <v>48</v>
      </c>
      <c r="F119">
        <v>0</v>
      </c>
      <c r="G119">
        <v>0</v>
      </c>
      <c r="H119">
        <v>0</v>
      </c>
      <c r="I119">
        <v>1</v>
      </c>
      <c r="J119">
        <v>0</v>
      </c>
      <c r="K119">
        <v>0</v>
      </c>
      <c r="L119">
        <v>0</v>
      </c>
      <c r="M119">
        <v>0</v>
      </c>
      <c r="N119">
        <v>1</v>
      </c>
      <c r="O119" t="str" cm="1">
        <f t="array" ref="O119">_xlfn.IFS(Table1[[#This Row],[Divorced]]=1, "Divorced", Table1[[#This Row],[Married]]=1, "Married", Table1[[#This Row],[Single]]=1, "Single", Table1[[#This Row],[Together]]=1, "Together", Table1[[#This Row],[Widow]]=1, "Widow")</f>
        <v>Together</v>
      </c>
      <c r="P119" t="str" cm="1">
        <f t="array" ref="P119">_xlfn.IFS(Table1[[#This Row],[Basic]]=1, "Basic", Table1[[#This Row],[Graduate]]=1, "Graduate", Table1[[#This Row],[Master]]=1, "Master", Table1[[#This Row],[PhD]]=1, "PhD", AND(Table1[[#This Row],[Basic]]=0, Table1[[#This Row],[Graduate]]=0, Table1[[#This Row],[Master]]=0, Table1[[#This Row],[PhD]]=0), "NA")</f>
        <v>PhD</v>
      </c>
      <c r="Q119" t="e">
        <f>_xlfn.XLOOKUP(Table1[[#This Row],[ID]], Table2[ID],#REF!, "Not Found", 0)</f>
        <v>#REF!</v>
      </c>
      <c r="R119" t="e">
        <f>_xlfn.XLOOKUP(Table1[[#This Row],[ID]], Table2[ID],#REF!, "Not Found", 0)</f>
        <v>#REF!</v>
      </c>
      <c r="S119" s="3">
        <f>_xlfn.XLOOKUP(Table1[[#This Row],[ID]], Table2[ID], Table2[Enrollment], "Not Found", 0)</f>
        <v>43988</v>
      </c>
      <c r="T119" t="s">
        <v>435</v>
      </c>
    </row>
    <row r="120" spans="1:20" x14ac:dyDescent="0.3">
      <c r="A120">
        <v>3016</v>
      </c>
      <c r="B120">
        <v>183273</v>
      </c>
      <c r="C120">
        <v>1</v>
      </c>
      <c r="D120">
        <v>2</v>
      </c>
      <c r="E120">
        <v>50</v>
      </c>
      <c r="F120">
        <v>0</v>
      </c>
      <c r="G120">
        <v>0</v>
      </c>
      <c r="H120">
        <v>1</v>
      </c>
      <c r="I120">
        <v>0</v>
      </c>
      <c r="J120">
        <v>0</v>
      </c>
      <c r="K120">
        <v>0</v>
      </c>
      <c r="L120">
        <v>1</v>
      </c>
      <c r="M120">
        <v>0</v>
      </c>
      <c r="N120">
        <v>0</v>
      </c>
      <c r="O120" t="str" cm="1">
        <f t="array" ref="O120">_xlfn.IFS(Table1[[#This Row],[Divorced]]=1, "Divorced", Table1[[#This Row],[Married]]=1, "Married", Table1[[#This Row],[Single]]=1, "Single", Table1[[#This Row],[Together]]=1, "Together", Table1[[#This Row],[Widow]]=1, "Widow")</f>
        <v>Single</v>
      </c>
      <c r="P120" t="str" cm="1">
        <f t="array" ref="P120">_xlfn.IFS(Table1[[#This Row],[Basic]]=1, "Basic", Table1[[#This Row],[Graduate]]=1, "Graduate", Table1[[#This Row],[Master]]=1, "Master", Table1[[#This Row],[PhD]]=1, "PhD", AND(Table1[[#This Row],[Basic]]=0, Table1[[#This Row],[Graduate]]=0, Table1[[#This Row],[Master]]=0, Table1[[#This Row],[PhD]]=0), "NA")</f>
        <v>Graduate</v>
      </c>
      <c r="Q120" t="e">
        <f>_xlfn.XLOOKUP(Table1[[#This Row],[ID]], Table2[ID],#REF!, "Not Found", 0)</f>
        <v>#REF!</v>
      </c>
      <c r="R120" t="e">
        <f>_xlfn.XLOOKUP(Table1[[#This Row],[ID]], Table2[ID],#REF!, "Not Found", 0)</f>
        <v>#REF!</v>
      </c>
      <c r="S120" s="3">
        <f>_xlfn.XLOOKUP(Table1[[#This Row],[ID]], Table2[ID], Table2[Enrollment], "Not Found", 0)</f>
        <v>43499</v>
      </c>
      <c r="T120" t="s">
        <v>439</v>
      </c>
    </row>
    <row r="121" spans="1:20" x14ac:dyDescent="0.3">
      <c r="A121">
        <v>2825</v>
      </c>
      <c r="B121">
        <v>183257</v>
      </c>
      <c r="C121">
        <v>0</v>
      </c>
      <c r="D121">
        <v>0</v>
      </c>
      <c r="E121">
        <v>25</v>
      </c>
      <c r="F121">
        <v>0</v>
      </c>
      <c r="G121">
        <v>0</v>
      </c>
      <c r="H121">
        <v>1</v>
      </c>
      <c r="I121">
        <v>0</v>
      </c>
      <c r="J121">
        <v>0</v>
      </c>
      <c r="K121">
        <v>0</v>
      </c>
      <c r="L121">
        <v>0</v>
      </c>
      <c r="M121">
        <v>0</v>
      </c>
      <c r="N121">
        <v>0</v>
      </c>
      <c r="O121" t="str" cm="1">
        <f t="array" ref="O121">_xlfn.IFS(Table1[[#This Row],[Divorced]]=1, "Divorced", Table1[[#This Row],[Married]]=1, "Married", Table1[[#This Row],[Single]]=1, "Single", Table1[[#This Row],[Together]]=1, "Together", Table1[[#This Row],[Widow]]=1, "Widow")</f>
        <v>Single</v>
      </c>
      <c r="P121" t="str" cm="1">
        <f t="array" ref="P121">_xlfn.IFS(Table1[[#This Row],[Basic]]=1, "Basic", Table1[[#This Row],[Graduate]]=1, "Graduate", Table1[[#This Row],[Master]]=1, "Master", Table1[[#This Row],[PhD]]=1, "PhD", AND(Table1[[#This Row],[Basic]]=0, Table1[[#This Row],[Graduate]]=0, Table1[[#This Row],[Master]]=0, Table1[[#This Row],[PhD]]=0), "NA")</f>
        <v>NA</v>
      </c>
      <c r="Q121" t="e">
        <f>_xlfn.XLOOKUP(Table1[[#This Row],[ID]], Table2[ID],#REF!, "Not Found", 0)</f>
        <v>#REF!</v>
      </c>
      <c r="R121" t="e">
        <f>_xlfn.XLOOKUP(Table1[[#This Row],[ID]], Table2[ID],#REF!, "Not Found", 0)</f>
        <v>#REF!</v>
      </c>
      <c r="S121" s="3" t="str">
        <f>_xlfn.XLOOKUP(Table1[[#This Row],[ID]], Table2[ID], Table2[Enrollment], "Not Found", 0)</f>
        <v>2/23/2019</v>
      </c>
      <c r="T121" t="s">
        <v>434</v>
      </c>
    </row>
    <row r="122" spans="1:20" x14ac:dyDescent="0.3">
      <c r="A122">
        <v>1468</v>
      </c>
      <c r="B122">
        <v>183151</v>
      </c>
      <c r="C122">
        <v>0</v>
      </c>
      <c r="D122">
        <v>0</v>
      </c>
      <c r="E122">
        <v>60</v>
      </c>
      <c r="F122">
        <v>0</v>
      </c>
      <c r="G122">
        <v>0</v>
      </c>
      <c r="H122">
        <v>0</v>
      </c>
      <c r="I122">
        <v>1</v>
      </c>
      <c r="J122">
        <v>0</v>
      </c>
      <c r="K122">
        <v>0</v>
      </c>
      <c r="L122">
        <v>0</v>
      </c>
      <c r="M122">
        <v>1</v>
      </c>
      <c r="N122">
        <v>0</v>
      </c>
      <c r="O122" t="str" cm="1">
        <f t="array" ref="O122">_xlfn.IFS(Table1[[#This Row],[Divorced]]=1, "Divorced", Table1[[#This Row],[Married]]=1, "Married", Table1[[#This Row],[Single]]=1, "Single", Table1[[#This Row],[Together]]=1, "Together", Table1[[#This Row],[Widow]]=1, "Widow")</f>
        <v>Together</v>
      </c>
      <c r="P122" t="str" cm="1">
        <f t="array" ref="P122">_xlfn.IFS(Table1[[#This Row],[Basic]]=1, "Basic", Table1[[#This Row],[Graduate]]=1, "Graduate", Table1[[#This Row],[Master]]=1, "Master", Table1[[#This Row],[PhD]]=1, "PhD", AND(Table1[[#This Row],[Basic]]=0, Table1[[#This Row],[Graduate]]=0, Table1[[#This Row],[Master]]=0, Table1[[#This Row],[PhD]]=0), "NA")</f>
        <v>Master</v>
      </c>
      <c r="Q122" t="e">
        <f>_xlfn.XLOOKUP(Table1[[#This Row],[ID]], Table2[ID],#REF!, "Not Found", 0)</f>
        <v>#REF!</v>
      </c>
      <c r="R122" t="e">
        <f>_xlfn.XLOOKUP(Table1[[#This Row],[ID]], Table2[ID],#REF!, "Not Found", 0)</f>
        <v>#REF!</v>
      </c>
      <c r="S122" s="3" t="str">
        <f>_xlfn.XLOOKUP(Table1[[#This Row],[ID]], Table2[ID], Table2[Enrollment], "Not Found", 0)</f>
        <v>3/17/2019</v>
      </c>
      <c r="T122" t="s">
        <v>439</v>
      </c>
    </row>
    <row r="123" spans="1:20" x14ac:dyDescent="0.3">
      <c r="A123">
        <v>2269</v>
      </c>
      <c r="B123">
        <v>183151</v>
      </c>
      <c r="C123">
        <v>0</v>
      </c>
      <c r="D123">
        <v>0</v>
      </c>
      <c r="E123">
        <v>48</v>
      </c>
      <c r="F123">
        <v>0</v>
      </c>
      <c r="G123">
        <v>1</v>
      </c>
      <c r="H123">
        <v>0</v>
      </c>
      <c r="I123">
        <v>0</v>
      </c>
      <c r="J123">
        <v>0</v>
      </c>
      <c r="K123">
        <v>0</v>
      </c>
      <c r="L123">
        <v>0</v>
      </c>
      <c r="M123">
        <v>1</v>
      </c>
      <c r="N123">
        <v>0</v>
      </c>
      <c r="O123" t="str" cm="1">
        <f t="array" ref="O123">_xlfn.IFS(Table1[[#This Row],[Divorced]]=1, "Divorced", Table1[[#This Row],[Married]]=1, "Married", Table1[[#This Row],[Single]]=1, "Single", Table1[[#This Row],[Together]]=1, "Together", Table1[[#This Row],[Widow]]=1, "Widow")</f>
        <v>Married</v>
      </c>
      <c r="P123" t="str" cm="1">
        <f t="array" ref="P123">_xlfn.IFS(Table1[[#This Row],[Basic]]=1, "Basic", Table1[[#This Row],[Graduate]]=1, "Graduate", Table1[[#This Row],[Master]]=1, "Master", Table1[[#This Row],[PhD]]=1, "PhD", AND(Table1[[#This Row],[Basic]]=0, Table1[[#This Row],[Graduate]]=0, Table1[[#This Row],[Master]]=0, Table1[[#This Row],[PhD]]=0), "NA")</f>
        <v>Master</v>
      </c>
      <c r="Q123" t="e">
        <f>_xlfn.XLOOKUP(Table1[[#This Row],[ID]], Table2[ID],#REF!, "Not Found", 0)</f>
        <v>#REF!</v>
      </c>
      <c r="R123" t="e">
        <f>_xlfn.XLOOKUP(Table1[[#This Row],[ID]], Table2[ID],#REF!, "Not Found", 0)</f>
        <v>#REF!</v>
      </c>
      <c r="S123" s="3" t="str">
        <f>_xlfn.XLOOKUP(Table1[[#This Row],[ID]], Table2[ID], Table2[Enrollment], "Not Found", 0)</f>
        <v>7/18/2019</v>
      </c>
      <c r="T123" t="s">
        <v>437</v>
      </c>
    </row>
    <row r="124" spans="1:20" x14ac:dyDescent="0.3">
      <c r="A124">
        <v>2134</v>
      </c>
      <c r="B124">
        <v>183145</v>
      </c>
      <c r="C124">
        <v>0</v>
      </c>
      <c r="D124">
        <v>0</v>
      </c>
      <c r="E124">
        <v>46</v>
      </c>
      <c r="F124">
        <v>0</v>
      </c>
      <c r="G124">
        <v>0</v>
      </c>
      <c r="H124">
        <v>0</v>
      </c>
      <c r="I124">
        <v>1</v>
      </c>
      <c r="J124">
        <v>0</v>
      </c>
      <c r="K124">
        <v>0</v>
      </c>
      <c r="L124">
        <v>1</v>
      </c>
      <c r="M124">
        <v>0</v>
      </c>
      <c r="N124">
        <v>0</v>
      </c>
      <c r="O124" t="str" cm="1">
        <f t="array" ref="O124">_xlfn.IFS(Table1[[#This Row],[Divorced]]=1, "Divorced", Table1[[#This Row],[Married]]=1, "Married", Table1[[#This Row],[Single]]=1, "Single", Table1[[#This Row],[Together]]=1, "Together", Table1[[#This Row],[Widow]]=1, "Widow")</f>
        <v>Together</v>
      </c>
      <c r="P124" t="str" cm="1">
        <f t="array" ref="P124">_xlfn.IFS(Table1[[#This Row],[Basic]]=1, "Basic", Table1[[#This Row],[Graduate]]=1, "Graduate", Table1[[#This Row],[Master]]=1, "Master", Table1[[#This Row],[PhD]]=1, "PhD", AND(Table1[[#This Row],[Basic]]=0, Table1[[#This Row],[Graduate]]=0, Table1[[#This Row],[Master]]=0, Table1[[#This Row],[PhD]]=0), "NA")</f>
        <v>Graduate</v>
      </c>
      <c r="Q124" t="e">
        <f>_xlfn.XLOOKUP(Table1[[#This Row],[ID]], Table2[ID],#REF!, "Not Found", 0)</f>
        <v>#REF!</v>
      </c>
      <c r="R124" t="e">
        <f>_xlfn.XLOOKUP(Table1[[#This Row],[ID]], Table2[ID],#REF!, "Not Found", 0)</f>
        <v>#REF!</v>
      </c>
      <c r="S124" s="3" t="str">
        <f>_xlfn.XLOOKUP(Table1[[#This Row],[ID]], Table2[ID], Table2[Enrollment], "Not Found", 0)</f>
        <v>2/27/2019</v>
      </c>
      <c r="T124" t="s">
        <v>439</v>
      </c>
    </row>
    <row r="125" spans="1:20" x14ac:dyDescent="0.3">
      <c r="A125">
        <v>1905</v>
      </c>
      <c r="B125">
        <v>183033</v>
      </c>
      <c r="C125">
        <v>1</v>
      </c>
      <c r="D125">
        <v>0</v>
      </c>
      <c r="E125">
        <v>34</v>
      </c>
      <c r="F125">
        <v>0</v>
      </c>
      <c r="G125">
        <v>0</v>
      </c>
      <c r="H125">
        <v>0</v>
      </c>
      <c r="I125">
        <v>1</v>
      </c>
      <c r="J125">
        <v>0</v>
      </c>
      <c r="K125">
        <v>0</v>
      </c>
      <c r="L125">
        <v>1</v>
      </c>
      <c r="M125">
        <v>0</v>
      </c>
      <c r="N125">
        <v>0</v>
      </c>
      <c r="O125" t="str" cm="1">
        <f t="array" ref="O125">_xlfn.IFS(Table1[[#This Row],[Divorced]]=1, "Divorced", Table1[[#This Row],[Married]]=1, "Married", Table1[[#This Row],[Single]]=1, "Single", Table1[[#This Row],[Together]]=1, "Together", Table1[[#This Row],[Widow]]=1, "Widow")</f>
        <v>Together</v>
      </c>
      <c r="P125" t="str" cm="1">
        <f t="array" ref="P125">_xlfn.IFS(Table1[[#This Row],[Basic]]=1, "Basic", Table1[[#This Row],[Graduate]]=1, "Graduate", Table1[[#This Row],[Master]]=1, "Master", Table1[[#This Row],[PhD]]=1, "PhD", AND(Table1[[#This Row],[Basic]]=0, Table1[[#This Row],[Graduate]]=0, Table1[[#This Row],[Master]]=0, Table1[[#This Row],[PhD]]=0), "NA")</f>
        <v>Graduate</v>
      </c>
      <c r="Q125" t="e">
        <f>_xlfn.XLOOKUP(Table1[[#This Row],[ID]], Table2[ID],#REF!, "Not Found", 0)</f>
        <v>#REF!</v>
      </c>
      <c r="R125" t="e">
        <f>_xlfn.XLOOKUP(Table1[[#This Row],[ID]], Table2[ID],#REF!, "Not Found", 0)</f>
        <v>#REF!</v>
      </c>
      <c r="S125" s="3" t="str">
        <f>_xlfn.XLOOKUP(Table1[[#This Row],[ID]], Table2[ID], Table2[Enrollment], "Not Found", 0)</f>
        <v>10/22/2020</v>
      </c>
      <c r="T125" t="s">
        <v>435</v>
      </c>
    </row>
    <row r="126" spans="1:20" x14ac:dyDescent="0.3">
      <c r="A126">
        <v>1323</v>
      </c>
      <c r="B126">
        <v>183003</v>
      </c>
      <c r="C126">
        <v>0</v>
      </c>
      <c r="D126">
        <v>0</v>
      </c>
      <c r="E126">
        <v>55</v>
      </c>
      <c r="F126">
        <v>0</v>
      </c>
      <c r="G126">
        <v>0</v>
      </c>
      <c r="H126">
        <v>0</v>
      </c>
      <c r="I126">
        <v>1</v>
      </c>
      <c r="J126">
        <v>0</v>
      </c>
      <c r="K126">
        <v>0</v>
      </c>
      <c r="L126">
        <v>1</v>
      </c>
      <c r="M126">
        <v>0</v>
      </c>
      <c r="N126">
        <v>0</v>
      </c>
      <c r="O126" t="str" cm="1">
        <f t="array" ref="O126">_xlfn.IFS(Table1[[#This Row],[Divorced]]=1, "Divorced", Table1[[#This Row],[Married]]=1, "Married", Table1[[#This Row],[Single]]=1, "Single", Table1[[#This Row],[Together]]=1, "Together", Table1[[#This Row],[Widow]]=1, "Widow")</f>
        <v>Together</v>
      </c>
      <c r="P126" t="str" cm="1">
        <f t="array" ref="P126">_xlfn.IFS(Table1[[#This Row],[Basic]]=1, "Basic", Table1[[#This Row],[Graduate]]=1, "Graduate", Table1[[#This Row],[Master]]=1, "Master", Table1[[#This Row],[PhD]]=1, "PhD", AND(Table1[[#This Row],[Basic]]=0, Table1[[#This Row],[Graduate]]=0, Table1[[#This Row],[Master]]=0, Table1[[#This Row],[PhD]]=0), "NA")</f>
        <v>Graduate</v>
      </c>
      <c r="Q126" t="e">
        <f>_xlfn.XLOOKUP(Table1[[#This Row],[ID]], Table2[ID],#REF!, "Not Found", 0)</f>
        <v>#REF!</v>
      </c>
      <c r="R126" t="e">
        <f>_xlfn.XLOOKUP(Table1[[#This Row],[ID]], Table2[ID],#REF!, "Not Found", 0)</f>
        <v>#REF!</v>
      </c>
      <c r="S126" s="3">
        <f>_xlfn.XLOOKUP(Table1[[#This Row],[ID]], Table2[ID], Table2[Enrollment], "Not Found", 0)</f>
        <v>43685</v>
      </c>
      <c r="T126" t="s">
        <v>435</v>
      </c>
    </row>
    <row r="127" spans="1:20" x14ac:dyDescent="0.3">
      <c r="A127">
        <v>1015</v>
      </c>
      <c r="B127">
        <v>182800</v>
      </c>
      <c r="C127">
        <v>0</v>
      </c>
      <c r="D127">
        <v>0</v>
      </c>
      <c r="E127">
        <v>74</v>
      </c>
      <c r="F127">
        <v>0</v>
      </c>
      <c r="G127">
        <v>0</v>
      </c>
      <c r="H127">
        <v>1</v>
      </c>
      <c r="I127">
        <v>0</v>
      </c>
      <c r="J127">
        <v>0</v>
      </c>
      <c r="K127">
        <v>0</v>
      </c>
      <c r="L127">
        <v>0</v>
      </c>
      <c r="M127">
        <v>0</v>
      </c>
      <c r="N127">
        <v>1</v>
      </c>
      <c r="O127" t="str" cm="1">
        <f t="array" ref="O127">_xlfn.IFS(Table1[[#This Row],[Divorced]]=1, "Divorced", Table1[[#This Row],[Married]]=1, "Married", Table1[[#This Row],[Single]]=1, "Single", Table1[[#This Row],[Together]]=1, "Together", Table1[[#This Row],[Widow]]=1, "Widow")</f>
        <v>Single</v>
      </c>
      <c r="P127" t="str" cm="1">
        <f t="array" ref="P127">_xlfn.IFS(Table1[[#This Row],[Basic]]=1, "Basic", Table1[[#This Row],[Graduate]]=1, "Graduate", Table1[[#This Row],[Master]]=1, "Master", Table1[[#This Row],[PhD]]=1, "PhD", AND(Table1[[#This Row],[Basic]]=0, Table1[[#This Row],[Graduate]]=0, Table1[[#This Row],[Master]]=0, Table1[[#This Row],[PhD]]=0), "NA")</f>
        <v>PhD</v>
      </c>
      <c r="Q127" t="e">
        <f>_xlfn.XLOOKUP(Table1[[#This Row],[ID]], Table2[ID],#REF!, "Not Found", 0)</f>
        <v>#REF!</v>
      </c>
      <c r="R127" t="e">
        <f>_xlfn.XLOOKUP(Table1[[#This Row],[ID]], Table2[ID],#REF!, "Not Found", 0)</f>
        <v>#REF!</v>
      </c>
      <c r="S127" s="3">
        <f>_xlfn.XLOOKUP(Table1[[#This Row],[ID]], Table2[ID], Table2[Enrollment], "Not Found", 0)</f>
        <v>43470</v>
      </c>
      <c r="T127" t="s">
        <v>437</v>
      </c>
    </row>
    <row r="128" spans="1:20" x14ac:dyDescent="0.3">
      <c r="A128">
        <v>2546</v>
      </c>
      <c r="B128">
        <v>182800</v>
      </c>
      <c r="C128">
        <v>0</v>
      </c>
      <c r="D128">
        <v>0</v>
      </c>
      <c r="E128">
        <v>74</v>
      </c>
      <c r="F128">
        <v>0</v>
      </c>
      <c r="G128">
        <v>0</v>
      </c>
      <c r="H128">
        <v>1</v>
      </c>
      <c r="I128">
        <v>0</v>
      </c>
      <c r="J128">
        <v>0</v>
      </c>
      <c r="K128">
        <v>0</v>
      </c>
      <c r="L128">
        <v>0</v>
      </c>
      <c r="M128">
        <v>0</v>
      </c>
      <c r="N128">
        <v>1</v>
      </c>
      <c r="O128" t="str" cm="1">
        <f t="array" ref="O128">_xlfn.IFS(Table1[[#This Row],[Divorced]]=1, "Divorced", Table1[[#This Row],[Married]]=1, "Married", Table1[[#This Row],[Single]]=1, "Single", Table1[[#This Row],[Together]]=1, "Together", Table1[[#This Row],[Widow]]=1, "Widow")</f>
        <v>Single</v>
      </c>
      <c r="P128" t="str" cm="1">
        <f t="array" ref="P128">_xlfn.IFS(Table1[[#This Row],[Basic]]=1, "Basic", Table1[[#This Row],[Graduate]]=1, "Graduate", Table1[[#This Row],[Master]]=1, "Master", Table1[[#This Row],[PhD]]=1, "PhD", AND(Table1[[#This Row],[Basic]]=0, Table1[[#This Row],[Graduate]]=0, Table1[[#This Row],[Master]]=0, Table1[[#This Row],[PhD]]=0), "NA")</f>
        <v>PhD</v>
      </c>
      <c r="Q128" t="e">
        <f>_xlfn.XLOOKUP(Table1[[#This Row],[ID]], Table2[ID],#REF!, "Not Found", 0)</f>
        <v>#REF!</v>
      </c>
      <c r="R128" t="e">
        <f>_xlfn.XLOOKUP(Table1[[#This Row],[ID]], Table2[ID],#REF!, "Not Found", 0)</f>
        <v>#REF!</v>
      </c>
      <c r="S128" s="3">
        <f>_xlfn.XLOOKUP(Table1[[#This Row],[ID]], Table2[ID], Table2[Enrollment], "Not Found", 0)</f>
        <v>43470</v>
      </c>
      <c r="T128" t="s">
        <v>438</v>
      </c>
    </row>
    <row r="129" spans="1:20" x14ac:dyDescent="0.3">
      <c r="A129">
        <v>2829</v>
      </c>
      <c r="B129">
        <v>182733</v>
      </c>
      <c r="C129">
        <v>0</v>
      </c>
      <c r="D129">
        <v>0</v>
      </c>
      <c r="E129">
        <v>36</v>
      </c>
      <c r="F129">
        <v>0</v>
      </c>
      <c r="G129">
        <v>0</v>
      </c>
      <c r="H129">
        <v>1</v>
      </c>
      <c r="I129">
        <v>0</v>
      </c>
      <c r="J129">
        <v>0</v>
      </c>
      <c r="K129">
        <v>0</v>
      </c>
      <c r="L129">
        <v>0</v>
      </c>
      <c r="M129">
        <v>0</v>
      </c>
      <c r="N129">
        <v>1</v>
      </c>
      <c r="O129" t="str" cm="1">
        <f t="array" ref="O129">_xlfn.IFS(Table1[[#This Row],[Divorced]]=1, "Divorced", Table1[[#This Row],[Married]]=1, "Married", Table1[[#This Row],[Single]]=1, "Single", Table1[[#This Row],[Together]]=1, "Together", Table1[[#This Row],[Widow]]=1, "Widow")</f>
        <v>Single</v>
      </c>
      <c r="P129" t="str" cm="1">
        <f t="array" ref="P129">_xlfn.IFS(Table1[[#This Row],[Basic]]=1, "Basic", Table1[[#This Row],[Graduate]]=1, "Graduate", Table1[[#This Row],[Master]]=1, "Master", Table1[[#This Row],[PhD]]=1, "PhD", AND(Table1[[#This Row],[Basic]]=0, Table1[[#This Row],[Graduate]]=0, Table1[[#This Row],[Master]]=0, Table1[[#This Row],[PhD]]=0), "NA")</f>
        <v>PhD</v>
      </c>
      <c r="Q129" t="e">
        <f>_xlfn.XLOOKUP(Table1[[#This Row],[ID]], Table2[ID],#REF!, "Not Found", 0)</f>
        <v>#REF!</v>
      </c>
      <c r="R129" t="e">
        <f>_xlfn.XLOOKUP(Table1[[#This Row],[ID]], Table2[ID],#REF!, "Not Found", 0)</f>
        <v>#REF!</v>
      </c>
      <c r="S129" s="3" t="str">
        <f>_xlfn.XLOOKUP(Table1[[#This Row],[ID]], Table2[ID], Table2[Enrollment], "Not Found", 0)</f>
        <v>2/15/2020</v>
      </c>
      <c r="T129" t="s">
        <v>435</v>
      </c>
    </row>
    <row r="130" spans="1:20" x14ac:dyDescent="0.3">
      <c r="A130">
        <v>1784</v>
      </c>
      <c r="B130">
        <v>182716</v>
      </c>
      <c r="C130">
        <v>0</v>
      </c>
      <c r="D130">
        <v>0</v>
      </c>
      <c r="E130">
        <v>76</v>
      </c>
      <c r="F130">
        <v>0</v>
      </c>
      <c r="G130">
        <v>0</v>
      </c>
      <c r="H130">
        <v>1</v>
      </c>
      <c r="I130">
        <v>0</v>
      </c>
      <c r="J130">
        <v>0</v>
      </c>
      <c r="K130">
        <v>0</v>
      </c>
      <c r="L130">
        <v>0</v>
      </c>
      <c r="M130">
        <v>0</v>
      </c>
      <c r="N130">
        <v>1</v>
      </c>
      <c r="O130" t="str" cm="1">
        <f t="array" ref="O130">_xlfn.IFS(Table1[[#This Row],[Divorced]]=1, "Divorced", Table1[[#This Row],[Married]]=1, "Married", Table1[[#This Row],[Single]]=1, "Single", Table1[[#This Row],[Together]]=1, "Together", Table1[[#This Row],[Widow]]=1, "Widow")</f>
        <v>Single</v>
      </c>
      <c r="P130" t="str" cm="1">
        <f t="array" ref="P130">_xlfn.IFS(Table1[[#This Row],[Basic]]=1, "Basic", Table1[[#This Row],[Graduate]]=1, "Graduate", Table1[[#This Row],[Master]]=1, "Master", Table1[[#This Row],[PhD]]=1, "PhD", AND(Table1[[#This Row],[Basic]]=0, Table1[[#This Row],[Graduate]]=0, Table1[[#This Row],[Master]]=0, Table1[[#This Row],[PhD]]=0), "NA")</f>
        <v>PhD</v>
      </c>
      <c r="Q130" t="e">
        <f>_xlfn.XLOOKUP(Table1[[#This Row],[ID]], Table2[ID],#REF!, "Not Found", 0)</f>
        <v>#REF!</v>
      </c>
      <c r="R130" t="e">
        <f>_xlfn.XLOOKUP(Table1[[#This Row],[ID]], Table2[ID],#REF!, "Not Found", 0)</f>
        <v>#REF!</v>
      </c>
      <c r="S130" s="3">
        <f>_xlfn.XLOOKUP(Table1[[#This Row],[ID]], Table2[ID], Table2[Enrollment], "Not Found", 0)</f>
        <v>44139</v>
      </c>
      <c r="T130" t="s">
        <v>438</v>
      </c>
    </row>
    <row r="131" spans="1:20" x14ac:dyDescent="0.3">
      <c r="A131">
        <v>2420</v>
      </c>
      <c r="B131">
        <v>182657</v>
      </c>
      <c r="C131">
        <v>0</v>
      </c>
      <c r="D131">
        <v>0</v>
      </c>
      <c r="E131">
        <v>74</v>
      </c>
      <c r="F131">
        <v>0</v>
      </c>
      <c r="G131">
        <v>0</v>
      </c>
      <c r="H131">
        <v>0</v>
      </c>
      <c r="I131">
        <v>1</v>
      </c>
      <c r="J131">
        <v>0</v>
      </c>
      <c r="K131">
        <v>0</v>
      </c>
      <c r="L131">
        <v>1</v>
      </c>
      <c r="M131">
        <v>0</v>
      </c>
      <c r="N131">
        <v>0</v>
      </c>
      <c r="O131" t="str" cm="1">
        <f t="array" ref="O131">_xlfn.IFS(Table1[[#This Row],[Divorced]]=1, "Divorced", Table1[[#This Row],[Married]]=1, "Married", Table1[[#This Row],[Single]]=1, "Single", Table1[[#This Row],[Together]]=1, "Together", Table1[[#This Row],[Widow]]=1, "Widow")</f>
        <v>Together</v>
      </c>
      <c r="P131" t="str" cm="1">
        <f t="array" ref="P131">_xlfn.IFS(Table1[[#This Row],[Basic]]=1, "Basic", Table1[[#This Row],[Graduate]]=1, "Graduate", Table1[[#This Row],[Master]]=1, "Master", Table1[[#This Row],[PhD]]=1, "PhD", AND(Table1[[#This Row],[Basic]]=0, Table1[[#This Row],[Graduate]]=0, Table1[[#This Row],[Master]]=0, Table1[[#This Row],[PhD]]=0), "NA")</f>
        <v>Graduate</v>
      </c>
      <c r="Q131" t="e">
        <f>_xlfn.XLOOKUP(Table1[[#This Row],[ID]], Table2[ID],#REF!, "Not Found", 0)</f>
        <v>#REF!</v>
      </c>
      <c r="R131" t="e">
        <f>_xlfn.XLOOKUP(Table1[[#This Row],[ID]], Table2[ID],#REF!, "Not Found", 0)</f>
        <v>#REF!</v>
      </c>
      <c r="S131" s="3">
        <f>_xlfn.XLOOKUP(Table1[[#This Row],[ID]], Table2[ID], Table2[Enrollment], "Not Found", 0)</f>
        <v>43893</v>
      </c>
      <c r="T131" t="s">
        <v>438</v>
      </c>
    </row>
    <row r="132" spans="1:20" x14ac:dyDescent="0.3">
      <c r="A132">
        <v>1329</v>
      </c>
      <c r="B132">
        <v>182623</v>
      </c>
      <c r="C132">
        <v>0</v>
      </c>
      <c r="D132">
        <v>0</v>
      </c>
      <c r="E132">
        <v>68</v>
      </c>
      <c r="F132">
        <v>1</v>
      </c>
      <c r="G132">
        <v>0</v>
      </c>
      <c r="H132">
        <v>0</v>
      </c>
      <c r="I132">
        <v>0</v>
      </c>
      <c r="J132">
        <v>0</v>
      </c>
      <c r="K132">
        <v>0</v>
      </c>
      <c r="L132">
        <v>1</v>
      </c>
      <c r="M132">
        <v>0</v>
      </c>
      <c r="N132">
        <v>0</v>
      </c>
      <c r="O132" t="str" cm="1">
        <f t="array" ref="O132">_xlfn.IFS(Table1[[#This Row],[Divorced]]=1, "Divorced", Table1[[#This Row],[Married]]=1, "Married", Table1[[#This Row],[Single]]=1, "Single", Table1[[#This Row],[Together]]=1, "Together", Table1[[#This Row],[Widow]]=1, "Widow")</f>
        <v>Divorced</v>
      </c>
      <c r="P132" t="str" cm="1">
        <f t="array" ref="P132">_xlfn.IFS(Table1[[#This Row],[Basic]]=1, "Basic", Table1[[#This Row],[Graduate]]=1, "Graduate", Table1[[#This Row],[Master]]=1, "Master", Table1[[#This Row],[PhD]]=1, "PhD", AND(Table1[[#This Row],[Basic]]=0, Table1[[#This Row],[Graduate]]=0, Table1[[#This Row],[Master]]=0, Table1[[#This Row],[PhD]]=0), "NA")</f>
        <v>Graduate</v>
      </c>
      <c r="Q132" t="e">
        <f>_xlfn.XLOOKUP(Table1[[#This Row],[ID]], Table2[ID],#REF!, "Not Found", 0)</f>
        <v>#REF!</v>
      </c>
      <c r="R132" t="e">
        <f>_xlfn.XLOOKUP(Table1[[#This Row],[ID]], Table2[ID],#REF!, "Not Found", 0)</f>
        <v>#REF!</v>
      </c>
      <c r="S132" s="3" t="str">
        <f>_xlfn.XLOOKUP(Table1[[#This Row],[ID]], Table2[ID], Table2[Enrollment], "Not Found", 0)</f>
        <v>4/16/2020</v>
      </c>
      <c r="T132" t="s">
        <v>435</v>
      </c>
    </row>
    <row r="133" spans="1:20" x14ac:dyDescent="0.3">
      <c r="A133">
        <v>1407</v>
      </c>
      <c r="B133">
        <v>182584</v>
      </c>
      <c r="C133">
        <v>0</v>
      </c>
      <c r="D133">
        <v>0</v>
      </c>
      <c r="E133">
        <v>46</v>
      </c>
      <c r="F133">
        <v>0</v>
      </c>
      <c r="G133">
        <v>1</v>
      </c>
      <c r="H133">
        <v>0</v>
      </c>
      <c r="I133">
        <v>0</v>
      </c>
      <c r="J133">
        <v>0</v>
      </c>
      <c r="K133">
        <v>0</v>
      </c>
      <c r="L133">
        <v>0</v>
      </c>
      <c r="M133">
        <v>1</v>
      </c>
      <c r="N133">
        <v>0</v>
      </c>
      <c r="O133" t="str" cm="1">
        <f t="array" ref="O133">_xlfn.IFS(Table1[[#This Row],[Divorced]]=1, "Divorced", Table1[[#This Row],[Married]]=1, "Married", Table1[[#This Row],[Single]]=1, "Single", Table1[[#This Row],[Together]]=1, "Together", Table1[[#This Row],[Widow]]=1, "Widow")</f>
        <v>Married</v>
      </c>
      <c r="P133" t="str" cm="1">
        <f t="array" ref="P133">_xlfn.IFS(Table1[[#This Row],[Basic]]=1, "Basic", Table1[[#This Row],[Graduate]]=1, "Graduate", Table1[[#This Row],[Master]]=1, "Master", Table1[[#This Row],[PhD]]=1, "PhD", AND(Table1[[#This Row],[Basic]]=0, Table1[[#This Row],[Graduate]]=0, Table1[[#This Row],[Master]]=0, Table1[[#This Row],[PhD]]=0), "NA")</f>
        <v>Master</v>
      </c>
      <c r="Q133" t="e">
        <f>_xlfn.XLOOKUP(Table1[[#This Row],[ID]], Table2[ID],#REF!, "Not Found", 0)</f>
        <v>#REF!</v>
      </c>
      <c r="R133" t="e">
        <f>_xlfn.XLOOKUP(Table1[[#This Row],[ID]], Table2[ID],#REF!, "Not Found", 0)</f>
        <v>#REF!</v>
      </c>
      <c r="S133" s="3">
        <f>_xlfn.XLOOKUP(Table1[[#This Row],[ID]], Table2[ID], Table2[Enrollment], "Not Found", 0)</f>
        <v>43719</v>
      </c>
      <c r="T133" t="s">
        <v>435</v>
      </c>
    </row>
    <row r="134" spans="1:20" x14ac:dyDescent="0.3">
      <c r="A134">
        <v>1050</v>
      </c>
      <c r="B134">
        <v>182582</v>
      </c>
      <c r="C134">
        <v>0</v>
      </c>
      <c r="D134">
        <v>0</v>
      </c>
      <c r="E134">
        <v>43</v>
      </c>
      <c r="F134">
        <v>1</v>
      </c>
      <c r="G134">
        <v>0</v>
      </c>
      <c r="H134">
        <v>0</v>
      </c>
      <c r="I134">
        <v>0</v>
      </c>
      <c r="J134">
        <v>0</v>
      </c>
      <c r="K134">
        <v>0</v>
      </c>
      <c r="L134">
        <v>1</v>
      </c>
      <c r="M134">
        <v>0</v>
      </c>
      <c r="N134">
        <v>0</v>
      </c>
      <c r="O134" t="str" cm="1">
        <f t="array" ref="O134">_xlfn.IFS(Table1[[#This Row],[Divorced]]=1, "Divorced", Table1[[#This Row],[Married]]=1, "Married", Table1[[#This Row],[Single]]=1, "Single", Table1[[#This Row],[Together]]=1, "Together", Table1[[#This Row],[Widow]]=1, "Widow")</f>
        <v>Divorced</v>
      </c>
      <c r="P134" t="str" cm="1">
        <f t="array" ref="P134">_xlfn.IFS(Table1[[#This Row],[Basic]]=1, "Basic", Table1[[#This Row],[Graduate]]=1, "Graduate", Table1[[#This Row],[Master]]=1, "Master", Table1[[#This Row],[PhD]]=1, "PhD", AND(Table1[[#This Row],[Basic]]=0, Table1[[#This Row],[Graduate]]=0, Table1[[#This Row],[Master]]=0, Table1[[#This Row],[PhD]]=0), "NA")</f>
        <v>Graduate</v>
      </c>
      <c r="Q134" t="e">
        <f>_xlfn.XLOOKUP(Table1[[#This Row],[ID]], Table2[ID],#REF!, "Not Found", 0)</f>
        <v>#REF!</v>
      </c>
      <c r="R134" t="e">
        <f>_xlfn.XLOOKUP(Table1[[#This Row],[ID]], Table2[ID],#REF!, "Not Found", 0)</f>
        <v>#REF!</v>
      </c>
      <c r="S134" s="3">
        <f>_xlfn.XLOOKUP(Table1[[#This Row],[ID]], Table2[ID], Table2[Enrollment], "Not Found", 0)</f>
        <v>44146</v>
      </c>
      <c r="T134" t="s">
        <v>436</v>
      </c>
    </row>
    <row r="135" spans="1:20" x14ac:dyDescent="0.3">
      <c r="A135">
        <v>1957</v>
      </c>
      <c r="B135">
        <v>182576</v>
      </c>
      <c r="C135">
        <v>0</v>
      </c>
      <c r="D135">
        <v>0</v>
      </c>
      <c r="E135">
        <v>61</v>
      </c>
      <c r="F135">
        <v>0</v>
      </c>
      <c r="G135">
        <v>0</v>
      </c>
      <c r="H135">
        <v>0</v>
      </c>
      <c r="I135">
        <v>1</v>
      </c>
      <c r="J135">
        <v>0</v>
      </c>
      <c r="K135">
        <v>0</v>
      </c>
      <c r="L135">
        <v>0</v>
      </c>
      <c r="M135">
        <v>1</v>
      </c>
      <c r="N135">
        <v>0</v>
      </c>
      <c r="O135" t="str" cm="1">
        <f t="array" ref="O135">_xlfn.IFS(Table1[[#This Row],[Divorced]]=1, "Divorced", Table1[[#This Row],[Married]]=1, "Married", Table1[[#This Row],[Single]]=1, "Single", Table1[[#This Row],[Together]]=1, "Together", Table1[[#This Row],[Widow]]=1, "Widow")</f>
        <v>Together</v>
      </c>
      <c r="P135" t="str" cm="1">
        <f t="array" ref="P135">_xlfn.IFS(Table1[[#This Row],[Basic]]=1, "Basic", Table1[[#This Row],[Graduate]]=1, "Graduate", Table1[[#This Row],[Master]]=1, "Master", Table1[[#This Row],[PhD]]=1, "PhD", AND(Table1[[#This Row],[Basic]]=0, Table1[[#This Row],[Graduate]]=0, Table1[[#This Row],[Master]]=0, Table1[[#This Row],[PhD]]=0), "NA")</f>
        <v>Master</v>
      </c>
      <c r="Q135" t="e">
        <f>_xlfn.XLOOKUP(Table1[[#This Row],[ID]], Table2[ID],#REF!, "Not Found", 0)</f>
        <v>#REF!</v>
      </c>
      <c r="R135" t="e">
        <f>_xlfn.XLOOKUP(Table1[[#This Row],[ID]], Table2[ID],#REF!, "Not Found", 0)</f>
        <v>#REF!</v>
      </c>
      <c r="S135" s="3">
        <f>_xlfn.XLOOKUP(Table1[[#This Row],[ID]], Table2[ID], Table2[Enrollment], "Not Found", 0)</f>
        <v>43617</v>
      </c>
      <c r="T135" t="s">
        <v>437</v>
      </c>
    </row>
    <row r="136" spans="1:20" x14ac:dyDescent="0.3">
      <c r="A136">
        <v>2698</v>
      </c>
      <c r="B136">
        <v>182571</v>
      </c>
      <c r="C136">
        <v>0</v>
      </c>
      <c r="D136">
        <v>0</v>
      </c>
      <c r="E136">
        <v>58</v>
      </c>
      <c r="F136">
        <v>0</v>
      </c>
      <c r="G136">
        <v>0</v>
      </c>
      <c r="H136">
        <v>0</v>
      </c>
      <c r="I136">
        <v>0</v>
      </c>
      <c r="J136">
        <v>1</v>
      </c>
      <c r="K136">
        <v>0</v>
      </c>
      <c r="L136">
        <v>0</v>
      </c>
      <c r="M136">
        <v>0</v>
      </c>
      <c r="N136">
        <v>1</v>
      </c>
      <c r="O136" t="str" cm="1">
        <f t="array" ref="O136">_xlfn.IFS(Table1[[#This Row],[Divorced]]=1, "Divorced", Table1[[#This Row],[Married]]=1, "Married", Table1[[#This Row],[Single]]=1, "Single", Table1[[#This Row],[Together]]=1, "Together", Table1[[#This Row],[Widow]]=1, "Widow")</f>
        <v>Widow</v>
      </c>
      <c r="P136" t="str" cm="1">
        <f t="array" ref="P136">_xlfn.IFS(Table1[[#This Row],[Basic]]=1, "Basic", Table1[[#This Row],[Graduate]]=1, "Graduate", Table1[[#This Row],[Master]]=1, "Master", Table1[[#This Row],[PhD]]=1, "PhD", AND(Table1[[#This Row],[Basic]]=0, Table1[[#This Row],[Graduate]]=0, Table1[[#This Row],[Master]]=0, Table1[[#This Row],[PhD]]=0), "NA")</f>
        <v>PhD</v>
      </c>
      <c r="Q136" t="e">
        <f>_xlfn.XLOOKUP(Table1[[#This Row],[ID]], Table2[ID],#REF!, "Not Found", 0)</f>
        <v>#REF!</v>
      </c>
      <c r="R136" t="e">
        <f>_xlfn.XLOOKUP(Table1[[#This Row],[ID]], Table2[ID],#REF!, "Not Found", 0)</f>
        <v>#REF!</v>
      </c>
      <c r="S136" s="3">
        <f>_xlfn.XLOOKUP(Table1[[#This Row],[ID]], Table2[ID], Table2[Enrollment], "Not Found", 0)</f>
        <v>43991</v>
      </c>
      <c r="T136" t="s">
        <v>439</v>
      </c>
    </row>
    <row r="137" spans="1:20" x14ac:dyDescent="0.3">
      <c r="A137">
        <v>1825</v>
      </c>
      <c r="B137">
        <v>182504</v>
      </c>
      <c r="C137">
        <v>0</v>
      </c>
      <c r="D137">
        <v>0</v>
      </c>
      <c r="E137">
        <v>60</v>
      </c>
      <c r="F137">
        <v>0</v>
      </c>
      <c r="G137">
        <v>1</v>
      </c>
      <c r="H137">
        <v>0</v>
      </c>
      <c r="I137">
        <v>0</v>
      </c>
      <c r="J137">
        <v>0</v>
      </c>
      <c r="K137">
        <v>0</v>
      </c>
      <c r="L137">
        <v>0</v>
      </c>
      <c r="M137">
        <v>0</v>
      </c>
      <c r="N137">
        <v>0</v>
      </c>
      <c r="O137" t="str" cm="1">
        <f t="array" ref="O137">_xlfn.IFS(Table1[[#This Row],[Divorced]]=1, "Divorced", Table1[[#This Row],[Married]]=1, "Married", Table1[[#This Row],[Single]]=1, "Single", Table1[[#This Row],[Together]]=1, "Together", Table1[[#This Row],[Widow]]=1, "Widow")</f>
        <v>Married</v>
      </c>
      <c r="P137" t="str" cm="1">
        <f t="array" ref="P137">_xlfn.IFS(Table1[[#This Row],[Basic]]=1, "Basic", Table1[[#This Row],[Graduate]]=1, "Graduate", Table1[[#This Row],[Master]]=1, "Master", Table1[[#This Row],[PhD]]=1, "PhD", AND(Table1[[#This Row],[Basic]]=0, Table1[[#This Row],[Graduate]]=0, Table1[[#This Row],[Master]]=0, Table1[[#This Row],[PhD]]=0), "NA")</f>
        <v>NA</v>
      </c>
      <c r="Q137" t="e">
        <f>_xlfn.XLOOKUP(Table1[[#This Row],[ID]], Table2[ID],#REF!, "Not Found", 0)</f>
        <v>#REF!</v>
      </c>
      <c r="R137" t="e">
        <f>_xlfn.XLOOKUP(Table1[[#This Row],[ID]], Table2[ID],#REF!, "Not Found", 0)</f>
        <v>#REF!</v>
      </c>
      <c r="S137" s="3">
        <f>_xlfn.XLOOKUP(Table1[[#This Row],[ID]], Table2[ID], Table2[Enrollment], "Not Found", 0)</f>
        <v>43831</v>
      </c>
      <c r="T137" t="s">
        <v>437</v>
      </c>
    </row>
    <row r="138" spans="1:20" x14ac:dyDescent="0.3">
      <c r="A138">
        <v>1279</v>
      </c>
      <c r="B138">
        <v>182497</v>
      </c>
      <c r="C138">
        <v>0</v>
      </c>
      <c r="D138">
        <v>0</v>
      </c>
      <c r="E138">
        <v>40</v>
      </c>
      <c r="F138">
        <v>0</v>
      </c>
      <c r="G138">
        <v>1</v>
      </c>
      <c r="H138">
        <v>0</v>
      </c>
      <c r="I138">
        <v>0</v>
      </c>
      <c r="J138">
        <v>0</v>
      </c>
      <c r="K138">
        <v>0</v>
      </c>
      <c r="L138">
        <v>1</v>
      </c>
      <c r="M138">
        <v>0</v>
      </c>
      <c r="N138">
        <v>0</v>
      </c>
      <c r="O138" t="str" cm="1">
        <f t="array" ref="O138">_xlfn.IFS(Table1[[#This Row],[Divorced]]=1, "Divorced", Table1[[#This Row],[Married]]=1, "Married", Table1[[#This Row],[Single]]=1, "Single", Table1[[#This Row],[Together]]=1, "Together", Table1[[#This Row],[Widow]]=1, "Widow")</f>
        <v>Married</v>
      </c>
      <c r="P138" t="str" cm="1">
        <f t="array" ref="P138">_xlfn.IFS(Table1[[#This Row],[Basic]]=1, "Basic", Table1[[#This Row],[Graduate]]=1, "Graduate", Table1[[#This Row],[Master]]=1, "Master", Table1[[#This Row],[PhD]]=1, "PhD", AND(Table1[[#This Row],[Basic]]=0, Table1[[#This Row],[Graduate]]=0, Table1[[#This Row],[Master]]=0, Table1[[#This Row],[PhD]]=0), "NA")</f>
        <v>Graduate</v>
      </c>
      <c r="Q138" t="e">
        <f>_xlfn.XLOOKUP(Table1[[#This Row],[ID]], Table2[ID],#REF!, "Not Found", 0)</f>
        <v>#REF!</v>
      </c>
      <c r="R138" t="e">
        <f>_xlfn.XLOOKUP(Table1[[#This Row],[ID]], Table2[ID],#REF!, "Not Found", 0)</f>
        <v>#REF!</v>
      </c>
      <c r="S138" s="3">
        <f>_xlfn.XLOOKUP(Table1[[#This Row],[ID]], Table2[ID], Table2[Enrollment], "Not Found", 0)</f>
        <v>43650</v>
      </c>
      <c r="T138" t="s">
        <v>437</v>
      </c>
    </row>
    <row r="139" spans="1:20" x14ac:dyDescent="0.3">
      <c r="A139">
        <v>2558</v>
      </c>
      <c r="B139">
        <v>182460</v>
      </c>
      <c r="C139">
        <v>0</v>
      </c>
      <c r="D139">
        <v>0</v>
      </c>
      <c r="E139">
        <v>70</v>
      </c>
      <c r="F139">
        <v>1</v>
      </c>
      <c r="G139">
        <v>0</v>
      </c>
      <c r="H139">
        <v>0</v>
      </c>
      <c r="I139">
        <v>0</v>
      </c>
      <c r="J139">
        <v>0</v>
      </c>
      <c r="K139">
        <v>0</v>
      </c>
      <c r="L139">
        <v>1</v>
      </c>
      <c r="M139">
        <v>0</v>
      </c>
      <c r="N139">
        <v>0</v>
      </c>
      <c r="O139" t="str" cm="1">
        <f t="array" ref="O139">_xlfn.IFS(Table1[[#This Row],[Divorced]]=1, "Divorced", Table1[[#This Row],[Married]]=1, "Married", Table1[[#This Row],[Single]]=1, "Single", Table1[[#This Row],[Together]]=1, "Together", Table1[[#This Row],[Widow]]=1, "Widow")</f>
        <v>Divorced</v>
      </c>
      <c r="P139" t="str" cm="1">
        <f t="array" ref="P139">_xlfn.IFS(Table1[[#This Row],[Basic]]=1, "Basic", Table1[[#This Row],[Graduate]]=1, "Graduate", Table1[[#This Row],[Master]]=1, "Master", Table1[[#This Row],[PhD]]=1, "PhD", AND(Table1[[#This Row],[Basic]]=0, Table1[[#This Row],[Graduate]]=0, Table1[[#This Row],[Master]]=0, Table1[[#This Row],[PhD]]=0), "NA")</f>
        <v>Graduate</v>
      </c>
      <c r="Q139" t="e">
        <f>_xlfn.XLOOKUP(Table1[[#This Row],[ID]], Table2[ID],#REF!, "Not Found", 0)</f>
        <v>#REF!</v>
      </c>
      <c r="R139" t="e">
        <f>_xlfn.XLOOKUP(Table1[[#This Row],[ID]], Table2[ID],#REF!, "Not Found", 0)</f>
        <v>#REF!</v>
      </c>
      <c r="S139" s="3">
        <f>_xlfn.XLOOKUP(Table1[[#This Row],[ID]], Table2[ID], Table2[Enrollment], "Not Found", 0)</f>
        <v>44048</v>
      </c>
      <c r="T139" t="s">
        <v>438</v>
      </c>
    </row>
    <row r="140" spans="1:20" x14ac:dyDescent="0.3">
      <c r="A140">
        <v>2708</v>
      </c>
      <c r="B140">
        <v>182427</v>
      </c>
      <c r="C140">
        <v>0</v>
      </c>
      <c r="D140">
        <v>0</v>
      </c>
      <c r="E140">
        <v>54</v>
      </c>
      <c r="F140">
        <v>0</v>
      </c>
      <c r="G140">
        <v>0</v>
      </c>
      <c r="H140">
        <v>0</v>
      </c>
      <c r="I140">
        <v>1</v>
      </c>
      <c r="J140">
        <v>0</v>
      </c>
      <c r="K140">
        <v>0</v>
      </c>
      <c r="L140">
        <v>1</v>
      </c>
      <c r="M140">
        <v>0</v>
      </c>
      <c r="N140">
        <v>0</v>
      </c>
      <c r="O140" t="str" cm="1">
        <f t="array" ref="O140">_xlfn.IFS(Table1[[#This Row],[Divorced]]=1, "Divorced", Table1[[#This Row],[Married]]=1, "Married", Table1[[#This Row],[Single]]=1, "Single", Table1[[#This Row],[Together]]=1, "Together", Table1[[#This Row],[Widow]]=1, "Widow")</f>
        <v>Together</v>
      </c>
      <c r="P140" t="str" cm="1">
        <f t="array" ref="P140">_xlfn.IFS(Table1[[#This Row],[Basic]]=1, "Basic", Table1[[#This Row],[Graduate]]=1, "Graduate", Table1[[#This Row],[Master]]=1, "Master", Table1[[#This Row],[PhD]]=1, "PhD", AND(Table1[[#This Row],[Basic]]=0, Table1[[#This Row],[Graduate]]=0, Table1[[#This Row],[Master]]=0, Table1[[#This Row],[PhD]]=0), "NA")</f>
        <v>Graduate</v>
      </c>
      <c r="Q140" t="e">
        <f>_xlfn.XLOOKUP(Table1[[#This Row],[ID]], Table2[ID],#REF!, "Not Found", 0)</f>
        <v>#REF!</v>
      </c>
      <c r="R140" t="e">
        <f>_xlfn.XLOOKUP(Table1[[#This Row],[ID]], Table2[ID],#REF!, "Not Found", 0)</f>
        <v>#REF!</v>
      </c>
      <c r="S140" s="3" t="str">
        <f>_xlfn.XLOOKUP(Table1[[#This Row],[ID]], Table2[ID], Table2[Enrollment], "Not Found", 0)</f>
        <v>8/16/2020</v>
      </c>
      <c r="T140" t="s">
        <v>438</v>
      </c>
    </row>
    <row r="141" spans="1:20" x14ac:dyDescent="0.3">
      <c r="A141">
        <v>1052</v>
      </c>
      <c r="B141">
        <v>182384</v>
      </c>
      <c r="C141">
        <v>0</v>
      </c>
      <c r="D141">
        <v>0</v>
      </c>
      <c r="E141">
        <v>65</v>
      </c>
      <c r="F141">
        <v>0</v>
      </c>
      <c r="G141">
        <v>0</v>
      </c>
      <c r="H141">
        <v>0</v>
      </c>
      <c r="I141">
        <v>1</v>
      </c>
      <c r="J141">
        <v>0</v>
      </c>
      <c r="K141">
        <v>0</v>
      </c>
      <c r="L141">
        <v>0</v>
      </c>
      <c r="M141">
        <v>1</v>
      </c>
      <c r="N141">
        <v>0</v>
      </c>
      <c r="O141" t="str" cm="1">
        <f t="array" ref="O141">_xlfn.IFS(Table1[[#This Row],[Divorced]]=1, "Divorced", Table1[[#This Row],[Married]]=1, "Married", Table1[[#This Row],[Single]]=1, "Single", Table1[[#This Row],[Together]]=1, "Together", Table1[[#This Row],[Widow]]=1, "Widow")</f>
        <v>Together</v>
      </c>
      <c r="P141" t="str" cm="1">
        <f t="array" ref="P141">_xlfn.IFS(Table1[[#This Row],[Basic]]=1, "Basic", Table1[[#This Row],[Graduate]]=1, "Graduate", Table1[[#This Row],[Master]]=1, "Master", Table1[[#This Row],[PhD]]=1, "PhD", AND(Table1[[#This Row],[Basic]]=0, Table1[[#This Row],[Graduate]]=0, Table1[[#This Row],[Master]]=0, Table1[[#This Row],[PhD]]=0), "NA")</f>
        <v>Master</v>
      </c>
      <c r="Q141" t="e">
        <f>_xlfn.XLOOKUP(Table1[[#This Row],[ID]], Table2[ID],#REF!, "Not Found", 0)</f>
        <v>#REF!</v>
      </c>
      <c r="R141" t="e">
        <f>_xlfn.XLOOKUP(Table1[[#This Row],[ID]], Table2[ID],#REF!, "Not Found", 0)</f>
        <v>#REF!</v>
      </c>
      <c r="S141" s="3" t="str">
        <f>_xlfn.XLOOKUP(Table1[[#This Row],[ID]], Table2[ID], Table2[Enrollment], "Not Found", 0)</f>
        <v>4/26/2019</v>
      </c>
      <c r="T141" t="s">
        <v>438</v>
      </c>
    </row>
    <row r="142" spans="1:20" x14ac:dyDescent="0.3">
      <c r="A142">
        <v>1833</v>
      </c>
      <c r="B142">
        <v>182347</v>
      </c>
      <c r="C142">
        <v>0</v>
      </c>
      <c r="D142">
        <v>0</v>
      </c>
      <c r="E142">
        <v>63</v>
      </c>
      <c r="F142">
        <v>0</v>
      </c>
      <c r="G142">
        <v>1</v>
      </c>
      <c r="H142">
        <v>0</v>
      </c>
      <c r="I142">
        <v>0</v>
      </c>
      <c r="J142">
        <v>0</v>
      </c>
      <c r="K142">
        <v>0</v>
      </c>
      <c r="L142">
        <v>0</v>
      </c>
      <c r="M142">
        <v>0</v>
      </c>
      <c r="N142">
        <v>0</v>
      </c>
      <c r="O142" t="str" cm="1">
        <f t="array" ref="O142">_xlfn.IFS(Table1[[#This Row],[Divorced]]=1, "Divorced", Table1[[#This Row],[Married]]=1, "Married", Table1[[#This Row],[Single]]=1, "Single", Table1[[#This Row],[Together]]=1, "Together", Table1[[#This Row],[Widow]]=1, "Widow")</f>
        <v>Married</v>
      </c>
      <c r="P142" t="str" cm="1">
        <f t="array" ref="P142">_xlfn.IFS(Table1[[#This Row],[Basic]]=1, "Basic", Table1[[#This Row],[Graduate]]=1, "Graduate", Table1[[#This Row],[Master]]=1, "Master", Table1[[#This Row],[PhD]]=1, "PhD", AND(Table1[[#This Row],[Basic]]=0, Table1[[#This Row],[Graduate]]=0, Table1[[#This Row],[Master]]=0, Table1[[#This Row],[PhD]]=0), "NA")</f>
        <v>NA</v>
      </c>
      <c r="Q142" t="e">
        <f>_xlfn.XLOOKUP(Table1[[#This Row],[ID]], Table2[ID],#REF!, "Not Found", 0)</f>
        <v>#REF!</v>
      </c>
      <c r="R142" t="e">
        <f>_xlfn.XLOOKUP(Table1[[#This Row],[ID]], Table2[ID],#REF!, "Not Found", 0)</f>
        <v>#REF!</v>
      </c>
      <c r="S142" s="3" t="str">
        <f>_xlfn.XLOOKUP(Table1[[#This Row],[ID]], Table2[ID], Table2[Enrollment], "Not Found", 0)</f>
        <v>4/13/2019</v>
      </c>
      <c r="T142" t="s">
        <v>435</v>
      </c>
    </row>
    <row r="143" spans="1:20" x14ac:dyDescent="0.3">
      <c r="A143">
        <v>3161</v>
      </c>
      <c r="B143">
        <v>182347</v>
      </c>
      <c r="C143">
        <v>0</v>
      </c>
      <c r="D143">
        <v>0</v>
      </c>
      <c r="E143">
        <v>63</v>
      </c>
      <c r="F143">
        <v>0</v>
      </c>
      <c r="G143">
        <v>1</v>
      </c>
      <c r="H143">
        <v>0</v>
      </c>
      <c r="I143">
        <v>0</v>
      </c>
      <c r="J143">
        <v>0</v>
      </c>
      <c r="K143">
        <v>0</v>
      </c>
      <c r="L143">
        <v>0</v>
      </c>
      <c r="M143">
        <v>0</v>
      </c>
      <c r="N143">
        <v>0</v>
      </c>
      <c r="O143" t="str" cm="1">
        <f t="array" ref="O143">_xlfn.IFS(Table1[[#This Row],[Divorced]]=1, "Divorced", Table1[[#This Row],[Married]]=1, "Married", Table1[[#This Row],[Single]]=1, "Single", Table1[[#This Row],[Together]]=1, "Together", Table1[[#This Row],[Widow]]=1, "Widow")</f>
        <v>Married</v>
      </c>
      <c r="P143" t="str" cm="1">
        <f t="array" ref="P143">_xlfn.IFS(Table1[[#This Row],[Basic]]=1, "Basic", Table1[[#This Row],[Graduate]]=1, "Graduate", Table1[[#This Row],[Master]]=1, "Master", Table1[[#This Row],[PhD]]=1, "PhD", AND(Table1[[#This Row],[Basic]]=0, Table1[[#This Row],[Graduate]]=0, Table1[[#This Row],[Master]]=0, Table1[[#This Row],[PhD]]=0), "NA")</f>
        <v>NA</v>
      </c>
      <c r="Q143" t="e">
        <f>_xlfn.XLOOKUP(Table1[[#This Row],[ID]], Table2[ID],#REF!, "Not Found", 0)</f>
        <v>#REF!</v>
      </c>
      <c r="R143" t="e">
        <f>_xlfn.XLOOKUP(Table1[[#This Row],[ID]], Table2[ID],#REF!, "Not Found", 0)</f>
        <v>#REF!</v>
      </c>
      <c r="S143" s="3" t="str">
        <f>_xlfn.XLOOKUP(Table1[[#This Row],[ID]], Table2[ID], Table2[Enrollment], "Not Found", 0)</f>
        <v>4/13/2019</v>
      </c>
      <c r="T143" t="s">
        <v>434</v>
      </c>
    </row>
    <row r="144" spans="1:20" x14ac:dyDescent="0.3">
      <c r="A144">
        <v>3096</v>
      </c>
      <c r="B144">
        <v>182333</v>
      </c>
      <c r="C144">
        <v>0</v>
      </c>
      <c r="D144">
        <v>0</v>
      </c>
      <c r="E144">
        <v>34</v>
      </c>
      <c r="F144">
        <v>0</v>
      </c>
      <c r="G144">
        <v>1</v>
      </c>
      <c r="H144">
        <v>0</v>
      </c>
      <c r="I144">
        <v>0</v>
      </c>
      <c r="J144">
        <v>0</v>
      </c>
      <c r="K144">
        <v>0</v>
      </c>
      <c r="L144">
        <v>0</v>
      </c>
      <c r="M144">
        <v>0</v>
      </c>
      <c r="N144">
        <v>1</v>
      </c>
      <c r="O144" t="str" cm="1">
        <f t="array" ref="O144">_xlfn.IFS(Table1[[#This Row],[Divorced]]=1, "Divorced", Table1[[#This Row],[Married]]=1, "Married", Table1[[#This Row],[Single]]=1, "Single", Table1[[#This Row],[Together]]=1, "Together", Table1[[#This Row],[Widow]]=1, "Widow")</f>
        <v>Married</v>
      </c>
      <c r="P144" t="str" cm="1">
        <f t="array" ref="P144">_xlfn.IFS(Table1[[#This Row],[Basic]]=1, "Basic", Table1[[#This Row],[Graduate]]=1, "Graduate", Table1[[#This Row],[Master]]=1, "Master", Table1[[#This Row],[PhD]]=1, "PhD", AND(Table1[[#This Row],[Basic]]=0, Table1[[#This Row],[Graduate]]=0, Table1[[#This Row],[Master]]=0, Table1[[#This Row],[PhD]]=0), "NA")</f>
        <v>PhD</v>
      </c>
      <c r="Q144" t="e">
        <f>_xlfn.XLOOKUP(Table1[[#This Row],[ID]], Table2[ID],#REF!, "Not Found", 0)</f>
        <v>#REF!</v>
      </c>
      <c r="R144" t="e">
        <f>_xlfn.XLOOKUP(Table1[[#This Row],[ID]], Table2[ID],#REF!, "Not Found", 0)</f>
        <v>#REF!</v>
      </c>
      <c r="S144" s="3">
        <f>_xlfn.XLOOKUP(Table1[[#This Row],[ID]], Table2[ID], Table2[Enrollment], "Not Found", 0)</f>
        <v>43564</v>
      </c>
      <c r="T144" t="s">
        <v>436</v>
      </c>
    </row>
    <row r="145" spans="1:20" x14ac:dyDescent="0.3">
      <c r="A145">
        <v>3078</v>
      </c>
      <c r="B145">
        <v>182332</v>
      </c>
      <c r="C145">
        <v>0</v>
      </c>
      <c r="D145">
        <v>0</v>
      </c>
      <c r="E145">
        <v>59</v>
      </c>
      <c r="F145">
        <v>0</v>
      </c>
      <c r="G145">
        <v>0</v>
      </c>
      <c r="H145">
        <v>1</v>
      </c>
      <c r="I145">
        <v>0</v>
      </c>
      <c r="J145">
        <v>0</v>
      </c>
      <c r="K145">
        <v>0</v>
      </c>
      <c r="L145">
        <v>1</v>
      </c>
      <c r="M145">
        <v>0</v>
      </c>
      <c r="N145">
        <v>0</v>
      </c>
      <c r="O145" t="str" cm="1">
        <f t="array" ref="O145">_xlfn.IFS(Table1[[#This Row],[Divorced]]=1, "Divorced", Table1[[#This Row],[Married]]=1, "Married", Table1[[#This Row],[Single]]=1, "Single", Table1[[#This Row],[Together]]=1, "Together", Table1[[#This Row],[Widow]]=1, "Widow")</f>
        <v>Single</v>
      </c>
      <c r="P145" t="str" cm="1">
        <f t="array" ref="P145">_xlfn.IFS(Table1[[#This Row],[Basic]]=1, "Basic", Table1[[#This Row],[Graduate]]=1, "Graduate", Table1[[#This Row],[Master]]=1, "Master", Table1[[#This Row],[PhD]]=1, "PhD", AND(Table1[[#This Row],[Basic]]=0, Table1[[#This Row],[Graduate]]=0, Table1[[#This Row],[Master]]=0, Table1[[#This Row],[PhD]]=0), "NA")</f>
        <v>Graduate</v>
      </c>
      <c r="Q145" t="e">
        <f>_xlfn.XLOOKUP(Table1[[#This Row],[ID]], Table2[ID],#REF!, "Not Found", 0)</f>
        <v>#REF!</v>
      </c>
      <c r="R145" t="e">
        <f>_xlfn.XLOOKUP(Table1[[#This Row],[ID]], Table2[ID],#REF!, "Not Found", 0)</f>
        <v>#REF!</v>
      </c>
      <c r="S145" s="3" t="str">
        <f>_xlfn.XLOOKUP(Table1[[#This Row],[ID]], Table2[ID], Table2[Enrollment], "Not Found", 0)</f>
        <v>2/22/2019</v>
      </c>
      <c r="T145" t="s">
        <v>436</v>
      </c>
    </row>
    <row r="146" spans="1:20" x14ac:dyDescent="0.3">
      <c r="A146">
        <v>2844</v>
      </c>
      <c r="B146">
        <v>182326</v>
      </c>
      <c r="C146">
        <v>0</v>
      </c>
      <c r="D146">
        <v>0</v>
      </c>
      <c r="E146">
        <v>43</v>
      </c>
      <c r="F146">
        <v>0</v>
      </c>
      <c r="G146">
        <v>0</v>
      </c>
      <c r="H146">
        <v>0</v>
      </c>
      <c r="I146">
        <v>1</v>
      </c>
      <c r="J146">
        <v>0</v>
      </c>
      <c r="K146">
        <v>0</v>
      </c>
      <c r="L146">
        <v>0</v>
      </c>
      <c r="M146">
        <v>0</v>
      </c>
      <c r="N146">
        <v>0</v>
      </c>
      <c r="O146" t="str" cm="1">
        <f t="array" ref="O146">_xlfn.IFS(Table1[[#This Row],[Divorced]]=1, "Divorced", Table1[[#This Row],[Married]]=1, "Married", Table1[[#This Row],[Single]]=1, "Single", Table1[[#This Row],[Together]]=1, "Together", Table1[[#This Row],[Widow]]=1, "Widow")</f>
        <v>Together</v>
      </c>
      <c r="P146" t="str" cm="1">
        <f t="array" ref="P146">_xlfn.IFS(Table1[[#This Row],[Basic]]=1, "Basic", Table1[[#This Row],[Graduate]]=1, "Graduate", Table1[[#This Row],[Master]]=1, "Master", Table1[[#This Row],[PhD]]=1, "PhD", AND(Table1[[#This Row],[Basic]]=0, Table1[[#This Row],[Graduate]]=0, Table1[[#This Row],[Master]]=0, Table1[[#This Row],[PhD]]=0), "NA")</f>
        <v>NA</v>
      </c>
      <c r="Q146" t="e">
        <f>_xlfn.XLOOKUP(Table1[[#This Row],[ID]], Table2[ID],#REF!, "Not Found", 0)</f>
        <v>#REF!</v>
      </c>
      <c r="R146" t="e">
        <f>_xlfn.XLOOKUP(Table1[[#This Row],[ID]], Table2[ID],#REF!, "Not Found", 0)</f>
        <v>#REF!</v>
      </c>
      <c r="S146" s="3" t="str">
        <f>_xlfn.XLOOKUP(Table1[[#This Row],[ID]], Table2[ID], Table2[Enrollment], "Not Found", 0)</f>
        <v>8/14/2020</v>
      </c>
      <c r="T146" t="s">
        <v>436</v>
      </c>
    </row>
    <row r="147" spans="1:20" x14ac:dyDescent="0.3">
      <c r="A147">
        <v>1725</v>
      </c>
      <c r="B147">
        <v>182224</v>
      </c>
      <c r="C147">
        <v>0</v>
      </c>
      <c r="D147">
        <v>0</v>
      </c>
      <c r="E147">
        <v>56</v>
      </c>
      <c r="F147">
        <v>0</v>
      </c>
      <c r="G147">
        <v>1</v>
      </c>
      <c r="H147">
        <v>0</v>
      </c>
      <c r="I147">
        <v>0</v>
      </c>
      <c r="J147">
        <v>0</v>
      </c>
      <c r="K147">
        <v>0</v>
      </c>
      <c r="L147">
        <v>1</v>
      </c>
      <c r="M147">
        <v>0</v>
      </c>
      <c r="N147">
        <v>0</v>
      </c>
      <c r="O147" t="str" cm="1">
        <f t="array" ref="O147">_xlfn.IFS(Table1[[#This Row],[Divorced]]=1, "Divorced", Table1[[#This Row],[Married]]=1, "Married", Table1[[#This Row],[Single]]=1, "Single", Table1[[#This Row],[Together]]=1, "Together", Table1[[#This Row],[Widow]]=1, "Widow")</f>
        <v>Married</v>
      </c>
      <c r="P147" t="str" cm="1">
        <f t="array" ref="P147">_xlfn.IFS(Table1[[#This Row],[Basic]]=1, "Basic", Table1[[#This Row],[Graduate]]=1, "Graduate", Table1[[#This Row],[Master]]=1, "Master", Table1[[#This Row],[PhD]]=1, "PhD", AND(Table1[[#This Row],[Basic]]=0, Table1[[#This Row],[Graduate]]=0, Table1[[#This Row],[Master]]=0, Table1[[#This Row],[PhD]]=0), "NA")</f>
        <v>Graduate</v>
      </c>
      <c r="Q147" t="e">
        <f>_xlfn.XLOOKUP(Table1[[#This Row],[ID]], Table2[ID],#REF!, "Not Found", 0)</f>
        <v>#REF!</v>
      </c>
      <c r="R147" t="e">
        <f>_xlfn.XLOOKUP(Table1[[#This Row],[ID]], Table2[ID],#REF!, "Not Found", 0)</f>
        <v>#REF!</v>
      </c>
      <c r="S147" s="3">
        <f>_xlfn.XLOOKUP(Table1[[#This Row],[ID]], Table2[ID], Table2[Enrollment], "Not Found", 0)</f>
        <v>43837</v>
      </c>
      <c r="T147" t="s">
        <v>435</v>
      </c>
    </row>
    <row r="148" spans="1:20" x14ac:dyDescent="0.3">
      <c r="A148">
        <v>1967</v>
      </c>
      <c r="B148">
        <v>182170</v>
      </c>
      <c r="C148">
        <v>0</v>
      </c>
      <c r="D148">
        <v>0</v>
      </c>
      <c r="E148">
        <v>42</v>
      </c>
      <c r="F148">
        <v>0</v>
      </c>
      <c r="G148">
        <v>1</v>
      </c>
      <c r="H148">
        <v>0</v>
      </c>
      <c r="I148">
        <v>0</v>
      </c>
      <c r="J148">
        <v>0</v>
      </c>
      <c r="K148">
        <v>0</v>
      </c>
      <c r="L148">
        <v>0</v>
      </c>
      <c r="M148">
        <v>0</v>
      </c>
      <c r="N148">
        <v>1</v>
      </c>
      <c r="O148" t="str" cm="1">
        <f t="array" ref="O148">_xlfn.IFS(Table1[[#This Row],[Divorced]]=1, "Divorced", Table1[[#This Row],[Married]]=1, "Married", Table1[[#This Row],[Single]]=1, "Single", Table1[[#This Row],[Together]]=1, "Together", Table1[[#This Row],[Widow]]=1, "Widow")</f>
        <v>Married</v>
      </c>
      <c r="P148" t="str" cm="1">
        <f t="array" ref="P148">_xlfn.IFS(Table1[[#This Row],[Basic]]=1, "Basic", Table1[[#This Row],[Graduate]]=1, "Graduate", Table1[[#This Row],[Master]]=1, "Master", Table1[[#This Row],[PhD]]=1, "PhD", AND(Table1[[#This Row],[Basic]]=0, Table1[[#This Row],[Graduate]]=0, Table1[[#This Row],[Master]]=0, Table1[[#This Row],[PhD]]=0), "NA")</f>
        <v>PhD</v>
      </c>
      <c r="Q148" t="e">
        <f>_xlfn.XLOOKUP(Table1[[#This Row],[ID]], Table2[ID],#REF!, "Not Found", 0)</f>
        <v>#REF!</v>
      </c>
      <c r="R148" t="e">
        <f>_xlfn.XLOOKUP(Table1[[#This Row],[ID]], Table2[ID],#REF!, "Not Found", 0)</f>
        <v>#REF!</v>
      </c>
      <c r="S148" s="3">
        <f>_xlfn.XLOOKUP(Table1[[#This Row],[ID]], Table2[ID], Table2[Enrollment], "Not Found", 0)</f>
        <v>43835</v>
      </c>
      <c r="T148" t="s">
        <v>434</v>
      </c>
    </row>
    <row r="149" spans="1:20" x14ac:dyDescent="0.3">
      <c r="A149">
        <v>2767</v>
      </c>
      <c r="B149">
        <v>182122</v>
      </c>
      <c r="C149">
        <v>0</v>
      </c>
      <c r="D149">
        <v>0</v>
      </c>
      <c r="E149">
        <v>58</v>
      </c>
      <c r="F149">
        <v>0</v>
      </c>
      <c r="G149">
        <v>0</v>
      </c>
      <c r="H149">
        <v>0</v>
      </c>
      <c r="I149">
        <v>1</v>
      </c>
      <c r="J149">
        <v>0</v>
      </c>
      <c r="K149">
        <v>0</v>
      </c>
      <c r="L149">
        <v>0</v>
      </c>
      <c r="M149">
        <v>0</v>
      </c>
      <c r="N149">
        <v>0</v>
      </c>
      <c r="O149" t="str" cm="1">
        <f t="array" ref="O149">_xlfn.IFS(Table1[[#This Row],[Divorced]]=1, "Divorced", Table1[[#This Row],[Married]]=1, "Married", Table1[[#This Row],[Single]]=1, "Single", Table1[[#This Row],[Together]]=1, "Together", Table1[[#This Row],[Widow]]=1, "Widow")</f>
        <v>Together</v>
      </c>
      <c r="P149" t="str" cm="1">
        <f t="array" ref="P149">_xlfn.IFS(Table1[[#This Row],[Basic]]=1, "Basic", Table1[[#This Row],[Graduate]]=1, "Graduate", Table1[[#This Row],[Master]]=1, "Master", Table1[[#This Row],[PhD]]=1, "PhD", AND(Table1[[#This Row],[Basic]]=0, Table1[[#This Row],[Graduate]]=0, Table1[[#This Row],[Master]]=0, Table1[[#This Row],[PhD]]=0), "NA")</f>
        <v>NA</v>
      </c>
      <c r="Q149" t="e">
        <f>_xlfn.XLOOKUP(Table1[[#This Row],[ID]], Table2[ID],#REF!, "Not Found", 0)</f>
        <v>#REF!</v>
      </c>
      <c r="R149" t="e">
        <f>_xlfn.XLOOKUP(Table1[[#This Row],[ID]], Table2[ID],#REF!, "Not Found", 0)</f>
        <v>#REF!</v>
      </c>
      <c r="S149" s="3" t="str">
        <f>_xlfn.XLOOKUP(Table1[[#This Row],[ID]], Table2[ID], Table2[Enrollment], "Not Found", 0)</f>
        <v>1/20/2020</v>
      </c>
      <c r="T149" t="s">
        <v>437</v>
      </c>
    </row>
    <row r="150" spans="1:20" x14ac:dyDescent="0.3">
      <c r="A150">
        <v>1866</v>
      </c>
      <c r="B150">
        <v>182072</v>
      </c>
      <c r="C150">
        <v>0</v>
      </c>
      <c r="D150">
        <v>0</v>
      </c>
      <c r="E150">
        <v>50</v>
      </c>
      <c r="F150">
        <v>0</v>
      </c>
      <c r="G150">
        <v>0</v>
      </c>
      <c r="H150">
        <v>0</v>
      </c>
      <c r="I150">
        <v>1</v>
      </c>
      <c r="J150">
        <v>0</v>
      </c>
      <c r="K150">
        <v>0</v>
      </c>
      <c r="L150">
        <v>0</v>
      </c>
      <c r="M150">
        <v>0</v>
      </c>
      <c r="N150">
        <v>1</v>
      </c>
      <c r="O150" t="str" cm="1">
        <f t="array" ref="O150">_xlfn.IFS(Table1[[#This Row],[Divorced]]=1, "Divorced", Table1[[#This Row],[Married]]=1, "Married", Table1[[#This Row],[Single]]=1, "Single", Table1[[#This Row],[Together]]=1, "Together", Table1[[#This Row],[Widow]]=1, "Widow")</f>
        <v>Together</v>
      </c>
      <c r="P150" t="str" cm="1">
        <f t="array" ref="P150">_xlfn.IFS(Table1[[#This Row],[Basic]]=1, "Basic", Table1[[#This Row],[Graduate]]=1, "Graduate", Table1[[#This Row],[Master]]=1, "Master", Table1[[#This Row],[PhD]]=1, "PhD", AND(Table1[[#This Row],[Basic]]=0, Table1[[#This Row],[Graduate]]=0, Table1[[#This Row],[Master]]=0, Table1[[#This Row],[PhD]]=0), "NA")</f>
        <v>PhD</v>
      </c>
      <c r="Q150" t="e">
        <f>_xlfn.XLOOKUP(Table1[[#This Row],[ID]], Table2[ID],#REF!, "Not Found", 0)</f>
        <v>#REF!</v>
      </c>
      <c r="R150" t="e">
        <f>_xlfn.XLOOKUP(Table1[[#This Row],[ID]], Table2[ID],#REF!, "Not Found", 0)</f>
        <v>#REF!</v>
      </c>
      <c r="S150" s="3">
        <f>_xlfn.XLOOKUP(Table1[[#This Row],[ID]], Table2[ID], Table2[Enrollment], "Not Found", 0)</f>
        <v>43658</v>
      </c>
      <c r="T150" t="s">
        <v>436</v>
      </c>
    </row>
    <row r="151" spans="1:20" x14ac:dyDescent="0.3">
      <c r="A151">
        <v>2502</v>
      </c>
      <c r="B151">
        <v>182032</v>
      </c>
      <c r="C151">
        <v>0</v>
      </c>
      <c r="D151">
        <v>0</v>
      </c>
      <c r="E151">
        <v>72</v>
      </c>
      <c r="F151">
        <v>0</v>
      </c>
      <c r="G151">
        <v>0</v>
      </c>
      <c r="H151">
        <v>0</v>
      </c>
      <c r="I151">
        <v>0</v>
      </c>
      <c r="J151">
        <v>1</v>
      </c>
      <c r="K151">
        <v>0</v>
      </c>
      <c r="L151">
        <v>0</v>
      </c>
      <c r="M151">
        <v>0</v>
      </c>
      <c r="N151">
        <v>1</v>
      </c>
      <c r="O151" t="str" cm="1">
        <f t="array" ref="O151">_xlfn.IFS(Table1[[#This Row],[Divorced]]=1, "Divorced", Table1[[#This Row],[Married]]=1, "Married", Table1[[#This Row],[Single]]=1, "Single", Table1[[#This Row],[Together]]=1, "Together", Table1[[#This Row],[Widow]]=1, "Widow")</f>
        <v>Widow</v>
      </c>
      <c r="P151" t="str" cm="1">
        <f t="array" ref="P151">_xlfn.IFS(Table1[[#This Row],[Basic]]=1, "Basic", Table1[[#This Row],[Graduate]]=1, "Graduate", Table1[[#This Row],[Master]]=1, "Master", Table1[[#This Row],[PhD]]=1, "PhD", AND(Table1[[#This Row],[Basic]]=0, Table1[[#This Row],[Graduate]]=0, Table1[[#This Row],[Master]]=0, Table1[[#This Row],[PhD]]=0), "NA")</f>
        <v>PhD</v>
      </c>
      <c r="Q151" t="e">
        <f>_xlfn.XLOOKUP(Table1[[#This Row],[ID]], Table2[ID],#REF!, "Not Found", 0)</f>
        <v>#REF!</v>
      </c>
      <c r="R151" t="e">
        <f>_xlfn.XLOOKUP(Table1[[#This Row],[ID]], Table2[ID],#REF!, "Not Found", 0)</f>
        <v>#REF!</v>
      </c>
      <c r="S151" s="3">
        <f>_xlfn.XLOOKUP(Table1[[#This Row],[ID]], Table2[ID], Table2[Enrollment], "Not Found", 0)</f>
        <v>44083</v>
      </c>
      <c r="T151" t="s">
        <v>436</v>
      </c>
    </row>
    <row r="152" spans="1:20" x14ac:dyDescent="0.3">
      <c r="A152">
        <v>3185</v>
      </c>
      <c r="B152">
        <v>182032</v>
      </c>
      <c r="C152">
        <v>0</v>
      </c>
      <c r="D152">
        <v>0</v>
      </c>
      <c r="E152">
        <v>72</v>
      </c>
      <c r="F152">
        <v>0</v>
      </c>
      <c r="G152">
        <v>0</v>
      </c>
      <c r="H152">
        <v>0</v>
      </c>
      <c r="I152">
        <v>0</v>
      </c>
      <c r="J152">
        <v>1</v>
      </c>
      <c r="K152">
        <v>0</v>
      </c>
      <c r="L152">
        <v>0</v>
      </c>
      <c r="M152">
        <v>0</v>
      </c>
      <c r="N152">
        <v>1</v>
      </c>
      <c r="O152" t="str" cm="1">
        <f t="array" ref="O152">_xlfn.IFS(Table1[[#This Row],[Divorced]]=1, "Divorced", Table1[[#This Row],[Married]]=1, "Married", Table1[[#This Row],[Single]]=1, "Single", Table1[[#This Row],[Together]]=1, "Together", Table1[[#This Row],[Widow]]=1, "Widow")</f>
        <v>Widow</v>
      </c>
      <c r="P152" t="str" cm="1">
        <f t="array" ref="P152">_xlfn.IFS(Table1[[#This Row],[Basic]]=1, "Basic", Table1[[#This Row],[Graduate]]=1, "Graduate", Table1[[#This Row],[Master]]=1, "Master", Table1[[#This Row],[PhD]]=1, "PhD", AND(Table1[[#This Row],[Basic]]=0, Table1[[#This Row],[Graduate]]=0, Table1[[#This Row],[Master]]=0, Table1[[#This Row],[PhD]]=0), "NA")</f>
        <v>PhD</v>
      </c>
      <c r="Q152" t="e">
        <f>_xlfn.XLOOKUP(Table1[[#This Row],[ID]], Table2[ID],#REF!, "Not Found", 0)</f>
        <v>#REF!</v>
      </c>
      <c r="R152" t="e">
        <f>_xlfn.XLOOKUP(Table1[[#This Row],[ID]], Table2[ID],#REF!, "Not Found", 0)</f>
        <v>#REF!</v>
      </c>
      <c r="S152" s="3">
        <f>_xlfn.XLOOKUP(Table1[[#This Row],[ID]], Table2[ID], Table2[Enrollment], "Not Found", 0)</f>
        <v>44083</v>
      </c>
      <c r="T152" t="s">
        <v>434</v>
      </c>
    </row>
    <row r="153" spans="1:20" x14ac:dyDescent="0.3">
      <c r="A153">
        <v>1923</v>
      </c>
      <c r="B153">
        <v>182025</v>
      </c>
      <c r="C153">
        <v>0</v>
      </c>
      <c r="D153">
        <v>0</v>
      </c>
      <c r="E153">
        <v>37</v>
      </c>
      <c r="F153">
        <v>1</v>
      </c>
      <c r="G153">
        <v>0</v>
      </c>
      <c r="H153">
        <v>0</v>
      </c>
      <c r="I153">
        <v>0</v>
      </c>
      <c r="J153">
        <v>0</v>
      </c>
      <c r="K153">
        <v>0</v>
      </c>
      <c r="L153">
        <v>1</v>
      </c>
      <c r="M153">
        <v>0</v>
      </c>
      <c r="N153">
        <v>0</v>
      </c>
      <c r="O153" t="str" cm="1">
        <f t="array" ref="O153">_xlfn.IFS(Table1[[#This Row],[Divorced]]=1, "Divorced", Table1[[#This Row],[Married]]=1, "Married", Table1[[#This Row],[Single]]=1, "Single", Table1[[#This Row],[Together]]=1, "Together", Table1[[#This Row],[Widow]]=1, "Widow")</f>
        <v>Divorced</v>
      </c>
      <c r="P153" t="str" cm="1">
        <f t="array" ref="P153">_xlfn.IFS(Table1[[#This Row],[Basic]]=1, "Basic", Table1[[#This Row],[Graduate]]=1, "Graduate", Table1[[#This Row],[Master]]=1, "Master", Table1[[#This Row],[PhD]]=1, "PhD", AND(Table1[[#This Row],[Basic]]=0, Table1[[#This Row],[Graduate]]=0, Table1[[#This Row],[Master]]=0, Table1[[#This Row],[PhD]]=0), "NA")</f>
        <v>Graduate</v>
      </c>
      <c r="Q153" t="e">
        <f>_xlfn.XLOOKUP(Table1[[#This Row],[ID]], Table2[ID],#REF!, "Not Found", 0)</f>
        <v>#REF!</v>
      </c>
      <c r="R153" t="e">
        <f>_xlfn.XLOOKUP(Table1[[#This Row],[ID]], Table2[ID],#REF!, "Not Found", 0)</f>
        <v>#REF!</v>
      </c>
      <c r="S153" s="3">
        <f>_xlfn.XLOOKUP(Table1[[#This Row],[ID]], Table2[ID], Table2[Enrollment], "Not Found", 0)</f>
        <v>43507</v>
      </c>
      <c r="T153" t="s">
        <v>435</v>
      </c>
    </row>
    <row r="154" spans="1:20" x14ac:dyDescent="0.3">
      <c r="A154">
        <v>1772</v>
      </c>
      <c r="B154">
        <v>182017</v>
      </c>
      <c r="C154">
        <v>0</v>
      </c>
      <c r="D154">
        <v>0</v>
      </c>
      <c r="E154">
        <v>63</v>
      </c>
      <c r="F154">
        <v>0</v>
      </c>
      <c r="G154">
        <v>1</v>
      </c>
      <c r="H154">
        <v>0</v>
      </c>
      <c r="I154">
        <v>0</v>
      </c>
      <c r="J154">
        <v>0</v>
      </c>
      <c r="K154">
        <v>0</v>
      </c>
      <c r="L154">
        <v>0</v>
      </c>
      <c r="M154">
        <v>0</v>
      </c>
      <c r="N154">
        <v>1</v>
      </c>
      <c r="O154" t="str" cm="1">
        <f t="array" ref="O154">_xlfn.IFS(Table1[[#This Row],[Divorced]]=1, "Divorced", Table1[[#This Row],[Married]]=1, "Married", Table1[[#This Row],[Single]]=1, "Single", Table1[[#This Row],[Together]]=1, "Together", Table1[[#This Row],[Widow]]=1, "Widow")</f>
        <v>Married</v>
      </c>
      <c r="P154" t="str" cm="1">
        <f t="array" ref="P154">_xlfn.IFS(Table1[[#This Row],[Basic]]=1, "Basic", Table1[[#This Row],[Graduate]]=1, "Graduate", Table1[[#This Row],[Master]]=1, "Master", Table1[[#This Row],[PhD]]=1, "PhD", AND(Table1[[#This Row],[Basic]]=0, Table1[[#This Row],[Graduate]]=0, Table1[[#This Row],[Master]]=0, Table1[[#This Row],[PhD]]=0), "NA")</f>
        <v>PhD</v>
      </c>
      <c r="Q154" t="e">
        <f>_xlfn.XLOOKUP(Table1[[#This Row],[ID]], Table2[ID],#REF!, "Not Found", 0)</f>
        <v>#REF!</v>
      </c>
      <c r="R154" t="e">
        <f>_xlfn.XLOOKUP(Table1[[#This Row],[ID]], Table2[ID],#REF!, "Not Found", 0)</f>
        <v>#REF!</v>
      </c>
      <c r="S154" s="3" t="str">
        <f>_xlfn.XLOOKUP(Table1[[#This Row],[ID]], Table2[ID], Table2[Enrollment], "Not Found", 0)</f>
        <v>4/14/2019</v>
      </c>
      <c r="T154" t="s">
        <v>438</v>
      </c>
    </row>
    <row r="155" spans="1:20" x14ac:dyDescent="0.3">
      <c r="A155">
        <v>2627</v>
      </c>
      <c r="B155">
        <v>182014</v>
      </c>
      <c r="C155">
        <v>0</v>
      </c>
      <c r="D155">
        <v>0</v>
      </c>
      <c r="E155">
        <v>59</v>
      </c>
      <c r="F155">
        <v>0</v>
      </c>
      <c r="G155">
        <v>0</v>
      </c>
      <c r="H155">
        <v>1</v>
      </c>
      <c r="I155">
        <v>0</v>
      </c>
      <c r="J155">
        <v>0</v>
      </c>
      <c r="K155">
        <v>0</v>
      </c>
      <c r="L155">
        <v>1</v>
      </c>
      <c r="M155">
        <v>0</v>
      </c>
      <c r="N155">
        <v>0</v>
      </c>
      <c r="O155" t="str" cm="1">
        <f t="array" ref="O155">_xlfn.IFS(Table1[[#This Row],[Divorced]]=1, "Divorced", Table1[[#This Row],[Married]]=1, "Married", Table1[[#This Row],[Single]]=1, "Single", Table1[[#This Row],[Together]]=1, "Together", Table1[[#This Row],[Widow]]=1, "Widow")</f>
        <v>Single</v>
      </c>
      <c r="P155" t="str" cm="1">
        <f t="array" ref="P155">_xlfn.IFS(Table1[[#This Row],[Basic]]=1, "Basic", Table1[[#This Row],[Graduate]]=1, "Graduate", Table1[[#This Row],[Master]]=1, "Master", Table1[[#This Row],[PhD]]=1, "PhD", AND(Table1[[#This Row],[Basic]]=0, Table1[[#This Row],[Graduate]]=0, Table1[[#This Row],[Master]]=0, Table1[[#This Row],[PhD]]=0), "NA")</f>
        <v>Graduate</v>
      </c>
      <c r="Q155" t="e">
        <f>_xlfn.XLOOKUP(Table1[[#This Row],[ID]], Table2[ID],#REF!, "Not Found", 0)</f>
        <v>#REF!</v>
      </c>
      <c r="R155" t="e">
        <f>_xlfn.XLOOKUP(Table1[[#This Row],[ID]], Table2[ID],#REF!, "Not Found", 0)</f>
        <v>#REF!</v>
      </c>
      <c r="S155" s="3" t="str">
        <f>_xlfn.XLOOKUP(Table1[[#This Row],[ID]], Table2[ID], Table2[Enrollment], "Not Found", 0)</f>
        <v>1/25/2019</v>
      </c>
      <c r="T155" t="s">
        <v>434</v>
      </c>
    </row>
    <row r="156" spans="1:20" x14ac:dyDescent="0.3">
      <c r="A156">
        <v>1219</v>
      </c>
      <c r="B156">
        <v>181975</v>
      </c>
      <c r="C156">
        <v>0</v>
      </c>
      <c r="D156">
        <v>1</v>
      </c>
      <c r="E156">
        <v>58</v>
      </c>
      <c r="F156">
        <v>1</v>
      </c>
      <c r="G156">
        <v>0</v>
      </c>
      <c r="H156">
        <v>0</v>
      </c>
      <c r="I156">
        <v>0</v>
      </c>
      <c r="J156">
        <v>0</v>
      </c>
      <c r="K156">
        <v>0</v>
      </c>
      <c r="L156">
        <v>0</v>
      </c>
      <c r="M156">
        <v>0</v>
      </c>
      <c r="N156">
        <v>0</v>
      </c>
      <c r="O156" t="str" cm="1">
        <f t="array" ref="O156">_xlfn.IFS(Table1[[#This Row],[Divorced]]=1, "Divorced", Table1[[#This Row],[Married]]=1, "Married", Table1[[#This Row],[Single]]=1, "Single", Table1[[#This Row],[Together]]=1, "Together", Table1[[#This Row],[Widow]]=1, "Widow")</f>
        <v>Divorced</v>
      </c>
      <c r="P156" t="str" cm="1">
        <f t="array" ref="P156">_xlfn.IFS(Table1[[#This Row],[Basic]]=1, "Basic", Table1[[#This Row],[Graduate]]=1, "Graduate", Table1[[#This Row],[Master]]=1, "Master", Table1[[#This Row],[PhD]]=1, "PhD", AND(Table1[[#This Row],[Basic]]=0, Table1[[#This Row],[Graduate]]=0, Table1[[#This Row],[Master]]=0, Table1[[#This Row],[PhD]]=0), "NA")</f>
        <v>NA</v>
      </c>
      <c r="Q156" t="e">
        <f>_xlfn.XLOOKUP(Table1[[#This Row],[ID]], Table2[ID],#REF!, "Not Found", 0)</f>
        <v>#REF!</v>
      </c>
      <c r="R156" t="e">
        <f>_xlfn.XLOOKUP(Table1[[#This Row],[ID]], Table2[ID],#REF!, "Not Found", 0)</f>
        <v>#REF!</v>
      </c>
      <c r="S156" s="3">
        <f>_xlfn.XLOOKUP(Table1[[#This Row],[ID]], Table2[ID], Table2[Enrollment], "Not Found", 0)</f>
        <v>43805</v>
      </c>
      <c r="T156" t="s">
        <v>437</v>
      </c>
    </row>
    <row r="157" spans="1:20" x14ac:dyDescent="0.3">
      <c r="A157">
        <v>3067</v>
      </c>
      <c r="B157">
        <v>181929</v>
      </c>
      <c r="C157">
        <v>1</v>
      </c>
      <c r="D157">
        <v>0</v>
      </c>
      <c r="E157">
        <v>44</v>
      </c>
      <c r="F157">
        <v>0</v>
      </c>
      <c r="G157">
        <v>1</v>
      </c>
      <c r="H157">
        <v>0</v>
      </c>
      <c r="I157">
        <v>0</v>
      </c>
      <c r="J157">
        <v>0</v>
      </c>
      <c r="K157">
        <v>0</v>
      </c>
      <c r="L157">
        <v>0</v>
      </c>
      <c r="M157">
        <v>1</v>
      </c>
      <c r="N157">
        <v>0</v>
      </c>
      <c r="O157" t="str" cm="1">
        <f t="array" ref="O157">_xlfn.IFS(Table1[[#This Row],[Divorced]]=1, "Divorced", Table1[[#This Row],[Married]]=1, "Married", Table1[[#This Row],[Single]]=1, "Single", Table1[[#This Row],[Together]]=1, "Together", Table1[[#This Row],[Widow]]=1, "Widow")</f>
        <v>Married</v>
      </c>
      <c r="P157" t="str" cm="1">
        <f t="array" ref="P157">_xlfn.IFS(Table1[[#This Row],[Basic]]=1, "Basic", Table1[[#This Row],[Graduate]]=1, "Graduate", Table1[[#This Row],[Master]]=1, "Master", Table1[[#This Row],[PhD]]=1, "PhD", AND(Table1[[#This Row],[Basic]]=0, Table1[[#This Row],[Graduate]]=0, Table1[[#This Row],[Master]]=0, Table1[[#This Row],[PhD]]=0), "NA")</f>
        <v>Master</v>
      </c>
      <c r="Q157" t="e">
        <f>_xlfn.XLOOKUP(Table1[[#This Row],[ID]], Table2[ID],#REF!, "Not Found", 0)</f>
        <v>#REF!</v>
      </c>
      <c r="R157" t="e">
        <f>_xlfn.XLOOKUP(Table1[[#This Row],[ID]], Table2[ID],#REF!, "Not Found", 0)</f>
        <v>#REF!</v>
      </c>
      <c r="S157" s="3">
        <f>_xlfn.XLOOKUP(Table1[[#This Row],[ID]], Table2[ID], Table2[Enrollment], "Not Found", 0)</f>
        <v>43619</v>
      </c>
      <c r="T157" t="s">
        <v>437</v>
      </c>
    </row>
    <row r="158" spans="1:20" x14ac:dyDescent="0.3">
      <c r="A158">
        <v>2300</v>
      </c>
      <c r="B158">
        <v>181843</v>
      </c>
      <c r="C158">
        <v>0</v>
      </c>
      <c r="D158">
        <v>0</v>
      </c>
      <c r="E158">
        <v>60</v>
      </c>
      <c r="F158">
        <v>0</v>
      </c>
      <c r="G158">
        <v>1</v>
      </c>
      <c r="H158">
        <v>0</v>
      </c>
      <c r="I158">
        <v>0</v>
      </c>
      <c r="J158">
        <v>0</v>
      </c>
      <c r="K158">
        <v>0</v>
      </c>
      <c r="L158">
        <v>0</v>
      </c>
      <c r="M158">
        <v>1</v>
      </c>
      <c r="N158">
        <v>0</v>
      </c>
      <c r="O158" t="str" cm="1">
        <f t="array" ref="O158">_xlfn.IFS(Table1[[#This Row],[Divorced]]=1, "Divorced", Table1[[#This Row],[Married]]=1, "Married", Table1[[#This Row],[Single]]=1, "Single", Table1[[#This Row],[Together]]=1, "Together", Table1[[#This Row],[Widow]]=1, "Widow")</f>
        <v>Married</v>
      </c>
      <c r="P158" t="str" cm="1">
        <f t="array" ref="P158">_xlfn.IFS(Table1[[#This Row],[Basic]]=1, "Basic", Table1[[#This Row],[Graduate]]=1, "Graduate", Table1[[#This Row],[Master]]=1, "Master", Table1[[#This Row],[PhD]]=1, "PhD", AND(Table1[[#This Row],[Basic]]=0, Table1[[#This Row],[Graduate]]=0, Table1[[#This Row],[Master]]=0, Table1[[#This Row],[PhD]]=0), "NA")</f>
        <v>Master</v>
      </c>
      <c r="Q158" t="e">
        <f>_xlfn.XLOOKUP(Table1[[#This Row],[ID]], Table2[ID],#REF!, "Not Found", 0)</f>
        <v>#REF!</v>
      </c>
      <c r="R158" t="e">
        <f>_xlfn.XLOOKUP(Table1[[#This Row],[ID]], Table2[ID],#REF!, "Not Found", 0)</f>
        <v>#REF!</v>
      </c>
      <c r="S158" s="3" t="str">
        <f>_xlfn.XLOOKUP(Table1[[#This Row],[ID]], Table2[ID], Table2[Enrollment], "Not Found", 0)</f>
        <v>9/27/2019</v>
      </c>
      <c r="T158" t="s">
        <v>438</v>
      </c>
    </row>
    <row r="159" spans="1:20" x14ac:dyDescent="0.3">
      <c r="A159">
        <v>2720</v>
      </c>
      <c r="B159">
        <v>181795</v>
      </c>
      <c r="C159">
        <v>0</v>
      </c>
      <c r="D159">
        <v>0</v>
      </c>
      <c r="E159">
        <v>68</v>
      </c>
      <c r="F159">
        <v>0</v>
      </c>
      <c r="G159">
        <v>1</v>
      </c>
      <c r="H159">
        <v>0</v>
      </c>
      <c r="I159">
        <v>0</v>
      </c>
      <c r="J159">
        <v>0</v>
      </c>
      <c r="K159">
        <v>0</v>
      </c>
      <c r="L159">
        <v>1</v>
      </c>
      <c r="M159">
        <v>0</v>
      </c>
      <c r="N159">
        <v>0</v>
      </c>
      <c r="O159" t="str" cm="1">
        <f t="array" ref="O159">_xlfn.IFS(Table1[[#This Row],[Divorced]]=1, "Divorced", Table1[[#This Row],[Married]]=1, "Married", Table1[[#This Row],[Single]]=1, "Single", Table1[[#This Row],[Together]]=1, "Together", Table1[[#This Row],[Widow]]=1, "Widow")</f>
        <v>Married</v>
      </c>
      <c r="P159" t="str" cm="1">
        <f t="array" ref="P159">_xlfn.IFS(Table1[[#This Row],[Basic]]=1, "Basic", Table1[[#This Row],[Graduate]]=1, "Graduate", Table1[[#This Row],[Master]]=1, "Master", Table1[[#This Row],[PhD]]=1, "PhD", AND(Table1[[#This Row],[Basic]]=0, Table1[[#This Row],[Graduate]]=0, Table1[[#This Row],[Master]]=0, Table1[[#This Row],[PhD]]=0), "NA")</f>
        <v>Graduate</v>
      </c>
      <c r="Q159" t="e">
        <f>_xlfn.XLOOKUP(Table1[[#This Row],[ID]], Table2[ID],#REF!, "Not Found", 0)</f>
        <v>#REF!</v>
      </c>
      <c r="R159" t="e">
        <f>_xlfn.XLOOKUP(Table1[[#This Row],[ID]], Table2[ID],#REF!, "Not Found", 0)</f>
        <v>#REF!</v>
      </c>
      <c r="S159" s="3">
        <f>_xlfn.XLOOKUP(Table1[[#This Row],[ID]], Table2[ID], Table2[Enrollment], "Not Found", 0)</f>
        <v>43500</v>
      </c>
      <c r="T159" t="s">
        <v>438</v>
      </c>
    </row>
    <row r="160" spans="1:20" x14ac:dyDescent="0.3">
      <c r="A160">
        <v>1545</v>
      </c>
      <c r="B160">
        <v>181741</v>
      </c>
      <c r="C160">
        <v>0</v>
      </c>
      <c r="D160">
        <v>0</v>
      </c>
      <c r="E160">
        <v>40</v>
      </c>
      <c r="F160">
        <v>0</v>
      </c>
      <c r="G160">
        <v>0</v>
      </c>
      <c r="H160">
        <v>1</v>
      </c>
      <c r="I160">
        <v>0</v>
      </c>
      <c r="J160">
        <v>0</v>
      </c>
      <c r="K160">
        <v>0</v>
      </c>
      <c r="L160">
        <v>1</v>
      </c>
      <c r="M160">
        <v>0</v>
      </c>
      <c r="N160">
        <v>0</v>
      </c>
      <c r="O160" t="str" cm="1">
        <f t="array" ref="O160">_xlfn.IFS(Table1[[#This Row],[Divorced]]=1, "Divorced", Table1[[#This Row],[Married]]=1, "Married", Table1[[#This Row],[Single]]=1, "Single", Table1[[#This Row],[Together]]=1, "Together", Table1[[#This Row],[Widow]]=1, "Widow")</f>
        <v>Single</v>
      </c>
      <c r="P160" t="str" cm="1">
        <f t="array" ref="P160">_xlfn.IFS(Table1[[#This Row],[Basic]]=1, "Basic", Table1[[#This Row],[Graduate]]=1, "Graduate", Table1[[#This Row],[Master]]=1, "Master", Table1[[#This Row],[PhD]]=1, "PhD", AND(Table1[[#This Row],[Basic]]=0, Table1[[#This Row],[Graduate]]=0, Table1[[#This Row],[Master]]=0, Table1[[#This Row],[PhD]]=0), "NA")</f>
        <v>Graduate</v>
      </c>
      <c r="Q160" t="e">
        <f>_xlfn.XLOOKUP(Table1[[#This Row],[ID]], Table2[ID],#REF!, "Not Found", 0)</f>
        <v>#REF!</v>
      </c>
      <c r="R160" t="e">
        <f>_xlfn.XLOOKUP(Table1[[#This Row],[ID]], Table2[ID],#REF!, "Not Found", 0)</f>
        <v>#REF!</v>
      </c>
      <c r="S160" s="3" t="str">
        <f>_xlfn.XLOOKUP(Table1[[#This Row],[ID]], Table2[ID], Table2[Enrollment], "Not Found", 0)</f>
        <v>11/21/2019</v>
      </c>
      <c r="T160" t="s">
        <v>435</v>
      </c>
    </row>
    <row r="161" spans="1:20" x14ac:dyDescent="0.3">
      <c r="A161">
        <v>1818</v>
      </c>
      <c r="B161">
        <v>181702</v>
      </c>
      <c r="C161">
        <v>0</v>
      </c>
      <c r="D161">
        <v>0</v>
      </c>
      <c r="E161">
        <v>40</v>
      </c>
      <c r="F161">
        <v>1</v>
      </c>
      <c r="G161">
        <v>0</v>
      </c>
      <c r="H161">
        <v>0</v>
      </c>
      <c r="I161">
        <v>0</v>
      </c>
      <c r="J161">
        <v>0</v>
      </c>
      <c r="K161">
        <v>0</v>
      </c>
      <c r="L161">
        <v>1</v>
      </c>
      <c r="M161">
        <v>0</v>
      </c>
      <c r="N161">
        <v>0</v>
      </c>
      <c r="O161" t="str" cm="1">
        <f t="array" ref="O161">_xlfn.IFS(Table1[[#This Row],[Divorced]]=1, "Divorced", Table1[[#This Row],[Married]]=1, "Married", Table1[[#This Row],[Single]]=1, "Single", Table1[[#This Row],[Together]]=1, "Together", Table1[[#This Row],[Widow]]=1, "Widow")</f>
        <v>Divorced</v>
      </c>
      <c r="P161" t="str" cm="1">
        <f t="array" ref="P161">_xlfn.IFS(Table1[[#This Row],[Basic]]=1, "Basic", Table1[[#This Row],[Graduate]]=1, "Graduate", Table1[[#This Row],[Master]]=1, "Master", Table1[[#This Row],[PhD]]=1, "PhD", AND(Table1[[#This Row],[Basic]]=0, Table1[[#This Row],[Graduate]]=0, Table1[[#This Row],[Master]]=0, Table1[[#This Row],[PhD]]=0), "NA")</f>
        <v>Graduate</v>
      </c>
      <c r="Q161" t="e">
        <f>_xlfn.XLOOKUP(Table1[[#This Row],[ID]], Table2[ID],#REF!, "Not Found", 0)</f>
        <v>#REF!</v>
      </c>
      <c r="R161" t="e">
        <f>_xlfn.XLOOKUP(Table1[[#This Row],[ID]], Table2[ID],#REF!, "Not Found", 0)</f>
        <v>#REF!</v>
      </c>
      <c r="S161" s="3" t="str">
        <f>_xlfn.XLOOKUP(Table1[[#This Row],[ID]], Table2[ID], Table2[Enrollment], "Not Found", 0)</f>
        <v>2/28/2019</v>
      </c>
      <c r="T161" t="s">
        <v>436</v>
      </c>
    </row>
    <row r="162" spans="1:20" x14ac:dyDescent="0.3">
      <c r="A162">
        <v>1538</v>
      </c>
      <c r="B162">
        <v>181698</v>
      </c>
      <c r="C162">
        <v>0</v>
      </c>
      <c r="D162">
        <v>0</v>
      </c>
      <c r="E162">
        <v>71</v>
      </c>
      <c r="F162">
        <v>0</v>
      </c>
      <c r="G162">
        <v>1</v>
      </c>
      <c r="H162">
        <v>0</v>
      </c>
      <c r="I162">
        <v>0</v>
      </c>
      <c r="J162">
        <v>0</v>
      </c>
      <c r="K162">
        <v>0</v>
      </c>
      <c r="L162">
        <v>0</v>
      </c>
      <c r="M162">
        <v>1</v>
      </c>
      <c r="N162">
        <v>0</v>
      </c>
      <c r="O162" t="str" cm="1">
        <f t="array" ref="O162">_xlfn.IFS(Table1[[#This Row],[Divorced]]=1, "Divorced", Table1[[#This Row],[Married]]=1, "Married", Table1[[#This Row],[Single]]=1, "Single", Table1[[#This Row],[Together]]=1, "Together", Table1[[#This Row],[Widow]]=1, "Widow")</f>
        <v>Married</v>
      </c>
      <c r="P162" t="str" cm="1">
        <f t="array" ref="P162">_xlfn.IFS(Table1[[#This Row],[Basic]]=1, "Basic", Table1[[#This Row],[Graduate]]=1, "Graduate", Table1[[#This Row],[Master]]=1, "Master", Table1[[#This Row],[PhD]]=1, "PhD", AND(Table1[[#This Row],[Basic]]=0, Table1[[#This Row],[Graduate]]=0, Table1[[#This Row],[Master]]=0, Table1[[#This Row],[PhD]]=0), "NA")</f>
        <v>Master</v>
      </c>
      <c r="Q162" t="e">
        <f>_xlfn.XLOOKUP(Table1[[#This Row],[ID]], Table2[ID],#REF!, "Not Found", 0)</f>
        <v>#REF!</v>
      </c>
      <c r="R162" t="e">
        <f>_xlfn.XLOOKUP(Table1[[#This Row],[ID]], Table2[ID],#REF!, "Not Found", 0)</f>
        <v>#REF!</v>
      </c>
      <c r="S162" s="3">
        <f>_xlfn.XLOOKUP(Table1[[#This Row],[ID]], Table2[ID], Table2[Enrollment], "Not Found", 0)</f>
        <v>44169</v>
      </c>
      <c r="T162" t="s">
        <v>438</v>
      </c>
    </row>
    <row r="163" spans="1:20" x14ac:dyDescent="0.3">
      <c r="A163">
        <v>2092</v>
      </c>
      <c r="B163">
        <v>181698</v>
      </c>
      <c r="C163">
        <v>0</v>
      </c>
      <c r="D163">
        <v>0</v>
      </c>
      <c r="E163">
        <v>37</v>
      </c>
      <c r="F163">
        <v>0</v>
      </c>
      <c r="G163">
        <v>0</v>
      </c>
      <c r="H163">
        <v>1</v>
      </c>
      <c r="I163">
        <v>0</v>
      </c>
      <c r="J163">
        <v>0</v>
      </c>
      <c r="K163">
        <v>0</v>
      </c>
      <c r="L163">
        <v>0</v>
      </c>
      <c r="M163">
        <v>0</v>
      </c>
      <c r="N163">
        <v>0</v>
      </c>
      <c r="O163" t="str" cm="1">
        <f t="array" ref="O163">_xlfn.IFS(Table1[[#This Row],[Divorced]]=1, "Divorced", Table1[[#This Row],[Married]]=1, "Married", Table1[[#This Row],[Single]]=1, "Single", Table1[[#This Row],[Together]]=1, "Together", Table1[[#This Row],[Widow]]=1, "Widow")</f>
        <v>Single</v>
      </c>
      <c r="P163" t="str" cm="1">
        <f t="array" ref="P163">_xlfn.IFS(Table1[[#This Row],[Basic]]=1, "Basic", Table1[[#This Row],[Graduate]]=1, "Graduate", Table1[[#This Row],[Master]]=1, "Master", Table1[[#This Row],[PhD]]=1, "PhD", AND(Table1[[#This Row],[Basic]]=0, Table1[[#This Row],[Graduate]]=0, Table1[[#This Row],[Master]]=0, Table1[[#This Row],[PhD]]=0), "NA")</f>
        <v>NA</v>
      </c>
      <c r="Q163" t="e">
        <f>_xlfn.XLOOKUP(Table1[[#This Row],[ID]], Table2[ID],#REF!, "Not Found", 0)</f>
        <v>#REF!</v>
      </c>
      <c r="R163" t="e">
        <f>_xlfn.XLOOKUP(Table1[[#This Row],[ID]], Table2[ID],#REF!, "Not Found", 0)</f>
        <v>#REF!</v>
      </c>
      <c r="S163" s="3">
        <f>_xlfn.XLOOKUP(Table1[[#This Row],[ID]], Table2[ID], Table2[Enrollment], "Not Found", 0)</f>
        <v>43624</v>
      </c>
      <c r="T163" t="s">
        <v>439</v>
      </c>
    </row>
    <row r="164" spans="1:20" x14ac:dyDescent="0.3">
      <c r="A164">
        <v>2150</v>
      </c>
      <c r="B164">
        <v>181657</v>
      </c>
      <c r="C164">
        <v>0</v>
      </c>
      <c r="D164">
        <v>0</v>
      </c>
      <c r="E164">
        <v>51</v>
      </c>
      <c r="F164">
        <v>0</v>
      </c>
      <c r="G164">
        <v>0</v>
      </c>
      <c r="H164">
        <v>1</v>
      </c>
      <c r="I164">
        <v>0</v>
      </c>
      <c r="J164">
        <v>0</v>
      </c>
      <c r="K164">
        <v>0</v>
      </c>
      <c r="L164">
        <v>1</v>
      </c>
      <c r="M164">
        <v>0</v>
      </c>
      <c r="N164">
        <v>0</v>
      </c>
      <c r="O164" t="str" cm="1">
        <f t="array" ref="O164">_xlfn.IFS(Table1[[#This Row],[Divorced]]=1, "Divorced", Table1[[#This Row],[Married]]=1, "Married", Table1[[#This Row],[Single]]=1, "Single", Table1[[#This Row],[Together]]=1, "Together", Table1[[#This Row],[Widow]]=1, "Widow")</f>
        <v>Single</v>
      </c>
      <c r="P164" t="str" cm="1">
        <f t="array" ref="P164">_xlfn.IFS(Table1[[#This Row],[Basic]]=1, "Basic", Table1[[#This Row],[Graduate]]=1, "Graduate", Table1[[#This Row],[Master]]=1, "Master", Table1[[#This Row],[PhD]]=1, "PhD", AND(Table1[[#This Row],[Basic]]=0, Table1[[#This Row],[Graduate]]=0, Table1[[#This Row],[Master]]=0, Table1[[#This Row],[PhD]]=0), "NA")</f>
        <v>Graduate</v>
      </c>
      <c r="Q164" t="e">
        <f>_xlfn.XLOOKUP(Table1[[#This Row],[ID]], Table2[ID],#REF!, "Not Found", 0)</f>
        <v>#REF!</v>
      </c>
      <c r="R164" t="e">
        <f>_xlfn.XLOOKUP(Table1[[#This Row],[ID]], Table2[ID],#REF!, "Not Found", 0)</f>
        <v>#REF!</v>
      </c>
      <c r="S164" s="3" t="str">
        <f>_xlfn.XLOOKUP(Table1[[#This Row],[ID]], Table2[ID], Table2[Enrollment], "Not Found", 0)</f>
        <v>6/28/2020</v>
      </c>
      <c r="T164" t="s">
        <v>438</v>
      </c>
    </row>
    <row r="165" spans="1:20" x14ac:dyDescent="0.3">
      <c r="A165">
        <v>2553</v>
      </c>
      <c r="B165">
        <v>181574</v>
      </c>
      <c r="C165">
        <v>0</v>
      </c>
      <c r="D165">
        <v>0</v>
      </c>
      <c r="E165">
        <v>73</v>
      </c>
      <c r="F165">
        <v>0</v>
      </c>
      <c r="G165">
        <v>0</v>
      </c>
      <c r="H165">
        <v>0</v>
      </c>
      <c r="I165">
        <v>1</v>
      </c>
      <c r="J165">
        <v>0</v>
      </c>
      <c r="K165">
        <v>0</v>
      </c>
      <c r="L165">
        <v>0</v>
      </c>
      <c r="M165">
        <v>0</v>
      </c>
      <c r="N165">
        <v>1</v>
      </c>
      <c r="O165" t="str" cm="1">
        <f t="array" ref="O165">_xlfn.IFS(Table1[[#This Row],[Divorced]]=1, "Divorced", Table1[[#This Row],[Married]]=1, "Married", Table1[[#This Row],[Single]]=1, "Single", Table1[[#This Row],[Together]]=1, "Together", Table1[[#This Row],[Widow]]=1, "Widow")</f>
        <v>Together</v>
      </c>
      <c r="P165" t="str" cm="1">
        <f t="array" ref="P165">_xlfn.IFS(Table1[[#This Row],[Basic]]=1, "Basic", Table1[[#This Row],[Graduate]]=1, "Graduate", Table1[[#This Row],[Master]]=1, "Master", Table1[[#This Row],[PhD]]=1, "PhD", AND(Table1[[#This Row],[Basic]]=0, Table1[[#This Row],[Graduate]]=0, Table1[[#This Row],[Master]]=0, Table1[[#This Row],[PhD]]=0), "NA")</f>
        <v>PhD</v>
      </c>
      <c r="Q165" t="e">
        <f>_xlfn.XLOOKUP(Table1[[#This Row],[ID]], Table2[ID],#REF!, "Not Found", 0)</f>
        <v>#REF!</v>
      </c>
      <c r="R165" t="e">
        <f>_xlfn.XLOOKUP(Table1[[#This Row],[ID]], Table2[ID],#REF!, "Not Found", 0)</f>
        <v>#REF!</v>
      </c>
      <c r="S165" s="3">
        <f>_xlfn.XLOOKUP(Table1[[#This Row],[ID]], Table2[ID], Table2[Enrollment], "Not Found", 0)</f>
        <v>43871</v>
      </c>
      <c r="T165" t="s">
        <v>435</v>
      </c>
    </row>
    <row r="166" spans="1:20" x14ac:dyDescent="0.3">
      <c r="A166">
        <v>3144</v>
      </c>
      <c r="B166">
        <v>181380</v>
      </c>
      <c r="C166">
        <v>0</v>
      </c>
      <c r="D166">
        <v>0</v>
      </c>
      <c r="E166">
        <v>53</v>
      </c>
      <c r="F166">
        <v>1</v>
      </c>
      <c r="G166">
        <v>0</v>
      </c>
      <c r="H166">
        <v>0</v>
      </c>
      <c r="I166">
        <v>0</v>
      </c>
      <c r="J166">
        <v>0</v>
      </c>
      <c r="K166">
        <v>0</v>
      </c>
      <c r="L166">
        <v>0</v>
      </c>
      <c r="M166">
        <v>1</v>
      </c>
      <c r="N166">
        <v>0</v>
      </c>
      <c r="O166" t="str" cm="1">
        <f t="array" ref="O166">_xlfn.IFS(Table1[[#This Row],[Divorced]]=1, "Divorced", Table1[[#This Row],[Married]]=1, "Married", Table1[[#This Row],[Single]]=1, "Single", Table1[[#This Row],[Together]]=1, "Together", Table1[[#This Row],[Widow]]=1, "Widow")</f>
        <v>Divorced</v>
      </c>
      <c r="P166" t="str" cm="1">
        <f t="array" ref="P166">_xlfn.IFS(Table1[[#This Row],[Basic]]=1, "Basic", Table1[[#This Row],[Graduate]]=1, "Graduate", Table1[[#This Row],[Master]]=1, "Master", Table1[[#This Row],[PhD]]=1, "PhD", AND(Table1[[#This Row],[Basic]]=0, Table1[[#This Row],[Graduate]]=0, Table1[[#This Row],[Master]]=0, Table1[[#This Row],[PhD]]=0), "NA")</f>
        <v>Master</v>
      </c>
      <c r="Q166" t="e">
        <f>_xlfn.XLOOKUP(Table1[[#This Row],[ID]], Table2[ID],#REF!, "Not Found", 0)</f>
        <v>#REF!</v>
      </c>
      <c r="R166" t="e">
        <f>_xlfn.XLOOKUP(Table1[[#This Row],[ID]], Table2[ID],#REF!, "Not Found", 0)</f>
        <v>#REF!</v>
      </c>
      <c r="S166" s="3" t="str">
        <f>_xlfn.XLOOKUP(Table1[[#This Row],[ID]], Table2[ID], Table2[Enrollment], "Not Found", 0)</f>
        <v>5/29/2019</v>
      </c>
      <c r="T166" t="s">
        <v>436</v>
      </c>
    </row>
    <row r="167" spans="1:20" x14ac:dyDescent="0.3">
      <c r="A167">
        <v>1079</v>
      </c>
      <c r="B167">
        <v>181361</v>
      </c>
      <c r="C167">
        <v>0</v>
      </c>
      <c r="D167">
        <v>0</v>
      </c>
      <c r="E167">
        <v>33</v>
      </c>
      <c r="F167">
        <v>1</v>
      </c>
      <c r="G167">
        <v>0</v>
      </c>
      <c r="H167">
        <v>0</v>
      </c>
      <c r="I167">
        <v>0</v>
      </c>
      <c r="J167">
        <v>0</v>
      </c>
      <c r="K167">
        <v>0</v>
      </c>
      <c r="L167">
        <v>1</v>
      </c>
      <c r="M167">
        <v>0</v>
      </c>
      <c r="N167">
        <v>0</v>
      </c>
      <c r="O167" t="str" cm="1">
        <f t="array" ref="O167">_xlfn.IFS(Table1[[#This Row],[Divorced]]=1, "Divorced", Table1[[#This Row],[Married]]=1, "Married", Table1[[#This Row],[Single]]=1, "Single", Table1[[#This Row],[Together]]=1, "Together", Table1[[#This Row],[Widow]]=1, "Widow")</f>
        <v>Divorced</v>
      </c>
      <c r="P167" t="str" cm="1">
        <f t="array" ref="P167">_xlfn.IFS(Table1[[#This Row],[Basic]]=1, "Basic", Table1[[#This Row],[Graduate]]=1, "Graduate", Table1[[#This Row],[Master]]=1, "Master", Table1[[#This Row],[PhD]]=1, "PhD", AND(Table1[[#This Row],[Basic]]=0, Table1[[#This Row],[Graduate]]=0, Table1[[#This Row],[Master]]=0, Table1[[#This Row],[PhD]]=0), "NA")</f>
        <v>Graduate</v>
      </c>
      <c r="Q167" t="e">
        <f>_xlfn.XLOOKUP(Table1[[#This Row],[ID]], Table2[ID],#REF!, "Not Found", 0)</f>
        <v>#REF!</v>
      </c>
      <c r="R167" t="e">
        <f>_xlfn.XLOOKUP(Table1[[#This Row],[ID]], Table2[ID],#REF!, "Not Found", 0)</f>
        <v>#REF!</v>
      </c>
      <c r="S167" s="3">
        <f>_xlfn.XLOOKUP(Table1[[#This Row],[ID]], Table2[ID], Table2[Enrollment], "Not Found", 0)</f>
        <v>43838</v>
      </c>
      <c r="T167" t="s">
        <v>434</v>
      </c>
    </row>
    <row r="168" spans="1:20" x14ac:dyDescent="0.3">
      <c r="A168">
        <v>2560</v>
      </c>
      <c r="B168">
        <v>181361</v>
      </c>
      <c r="C168">
        <v>0</v>
      </c>
      <c r="D168">
        <v>0</v>
      </c>
      <c r="E168">
        <v>33</v>
      </c>
      <c r="F168">
        <v>1</v>
      </c>
      <c r="G168">
        <v>0</v>
      </c>
      <c r="H168">
        <v>0</v>
      </c>
      <c r="I168">
        <v>0</v>
      </c>
      <c r="J168">
        <v>0</v>
      </c>
      <c r="K168">
        <v>0</v>
      </c>
      <c r="L168">
        <v>1</v>
      </c>
      <c r="M168">
        <v>0</v>
      </c>
      <c r="N168">
        <v>0</v>
      </c>
      <c r="O168" t="str" cm="1">
        <f t="array" ref="O168">_xlfn.IFS(Table1[[#This Row],[Divorced]]=1, "Divorced", Table1[[#This Row],[Married]]=1, "Married", Table1[[#This Row],[Single]]=1, "Single", Table1[[#This Row],[Together]]=1, "Together", Table1[[#This Row],[Widow]]=1, "Widow")</f>
        <v>Divorced</v>
      </c>
      <c r="P168" t="str" cm="1">
        <f t="array" ref="P168">_xlfn.IFS(Table1[[#This Row],[Basic]]=1, "Basic", Table1[[#This Row],[Graduate]]=1, "Graduate", Table1[[#This Row],[Master]]=1, "Master", Table1[[#This Row],[PhD]]=1, "PhD", AND(Table1[[#This Row],[Basic]]=0, Table1[[#This Row],[Graduate]]=0, Table1[[#This Row],[Master]]=0, Table1[[#This Row],[PhD]]=0), "NA")</f>
        <v>Graduate</v>
      </c>
      <c r="Q168" t="e">
        <f>_xlfn.XLOOKUP(Table1[[#This Row],[ID]], Table2[ID],#REF!, "Not Found", 0)</f>
        <v>#REF!</v>
      </c>
      <c r="R168" t="e">
        <f>_xlfn.XLOOKUP(Table1[[#This Row],[ID]], Table2[ID],#REF!, "Not Found", 0)</f>
        <v>#REF!</v>
      </c>
      <c r="S168" s="3">
        <f>_xlfn.XLOOKUP(Table1[[#This Row],[ID]], Table2[ID], Table2[Enrollment], "Not Found", 0)</f>
        <v>43838</v>
      </c>
      <c r="T168" t="s">
        <v>439</v>
      </c>
    </row>
    <row r="169" spans="1:20" x14ac:dyDescent="0.3">
      <c r="A169">
        <v>1881</v>
      </c>
      <c r="B169">
        <v>181320</v>
      </c>
      <c r="C169">
        <v>0</v>
      </c>
      <c r="D169">
        <v>0</v>
      </c>
      <c r="E169">
        <v>62</v>
      </c>
      <c r="F169">
        <v>0</v>
      </c>
      <c r="G169">
        <v>1</v>
      </c>
      <c r="H169">
        <v>0</v>
      </c>
      <c r="I169">
        <v>0</v>
      </c>
      <c r="J169">
        <v>0</v>
      </c>
      <c r="K169">
        <v>0</v>
      </c>
      <c r="L169">
        <v>1</v>
      </c>
      <c r="M169">
        <v>0</v>
      </c>
      <c r="N169">
        <v>0</v>
      </c>
      <c r="O169" t="str" cm="1">
        <f t="array" ref="O169">_xlfn.IFS(Table1[[#This Row],[Divorced]]=1, "Divorced", Table1[[#This Row],[Married]]=1, "Married", Table1[[#This Row],[Single]]=1, "Single", Table1[[#This Row],[Together]]=1, "Together", Table1[[#This Row],[Widow]]=1, "Widow")</f>
        <v>Married</v>
      </c>
      <c r="P169" t="str" cm="1">
        <f t="array" ref="P169">_xlfn.IFS(Table1[[#This Row],[Basic]]=1, "Basic", Table1[[#This Row],[Graduate]]=1, "Graduate", Table1[[#This Row],[Master]]=1, "Master", Table1[[#This Row],[PhD]]=1, "PhD", AND(Table1[[#This Row],[Basic]]=0, Table1[[#This Row],[Graduate]]=0, Table1[[#This Row],[Master]]=0, Table1[[#This Row],[PhD]]=0), "NA")</f>
        <v>Graduate</v>
      </c>
      <c r="Q169" t="e">
        <f>_xlfn.XLOOKUP(Table1[[#This Row],[ID]], Table2[ID],#REF!, "Not Found", 0)</f>
        <v>#REF!</v>
      </c>
      <c r="R169" t="e">
        <f>_xlfn.XLOOKUP(Table1[[#This Row],[ID]], Table2[ID],#REF!, "Not Found", 0)</f>
        <v>#REF!</v>
      </c>
      <c r="S169" s="3" t="str">
        <f>_xlfn.XLOOKUP(Table1[[#This Row],[ID]], Table2[ID], Table2[Enrollment], "Not Found", 0)</f>
        <v>7/14/2019</v>
      </c>
      <c r="T169" t="s">
        <v>435</v>
      </c>
    </row>
    <row r="170" spans="1:20" x14ac:dyDescent="0.3">
      <c r="A170">
        <v>1658</v>
      </c>
      <c r="B170">
        <v>181300</v>
      </c>
      <c r="C170">
        <v>0</v>
      </c>
      <c r="D170">
        <v>1</v>
      </c>
      <c r="E170">
        <v>57</v>
      </c>
      <c r="F170">
        <v>0</v>
      </c>
      <c r="G170">
        <v>1</v>
      </c>
      <c r="H170">
        <v>0</v>
      </c>
      <c r="I170">
        <v>0</v>
      </c>
      <c r="J170">
        <v>0</v>
      </c>
      <c r="K170">
        <v>0</v>
      </c>
      <c r="L170">
        <v>0</v>
      </c>
      <c r="M170">
        <v>0</v>
      </c>
      <c r="N170">
        <v>1</v>
      </c>
      <c r="O170" t="str" cm="1">
        <f t="array" ref="O170">_xlfn.IFS(Table1[[#This Row],[Divorced]]=1, "Divorced", Table1[[#This Row],[Married]]=1, "Married", Table1[[#This Row],[Single]]=1, "Single", Table1[[#This Row],[Together]]=1, "Together", Table1[[#This Row],[Widow]]=1, "Widow")</f>
        <v>Married</v>
      </c>
      <c r="P170" t="str" cm="1">
        <f t="array" ref="P170">_xlfn.IFS(Table1[[#This Row],[Basic]]=1, "Basic", Table1[[#This Row],[Graduate]]=1, "Graduate", Table1[[#This Row],[Master]]=1, "Master", Table1[[#This Row],[PhD]]=1, "PhD", AND(Table1[[#This Row],[Basic]]=0, Table1[[#This Row],[Graduate]]=0, Table1[[#This Row],[Master]]=0, Table1[[#This Row],[PhD]]=0), "NA")</f>
        <v>PhD</v>
      </c>
      <c r="Q170" t="e">
        <f>_xlfn.XLOOKUP(Table1[[#This Row],[ID]], Table2[ID],#REF!, "Not Found", 0)</f>
        <v>#REF!</v>
      </c>
      <c r="R170" t="e">
        <f>_xlfn.XLOOKUP(Table1[[#This Row],[ID]], Table2[ID],#REF!, "Not Found", 0)</f>
        <v>#REF!</v>
      </c>
      <c r="S170" s="3">
        <f>_xlfn.XLOOKUP(Table1[[#This Row],[ID]], Table2[ID], Table2[Enrollment], "Not Found", 0)</f>
        <v>43620</v>
      </c>
      <c r="T170" t="s">
        <v>438</v>
      </c>
    </row>
    <row r="171" spans="1:20" x14ac:dyDescent="0.3">
      <c r="A171">
        <v>1431</v>
      </c>
      <c r="B171">
        <v>181246</v>
      </c>
      <c r="C171">
        <v>0</v>
      </c>
      <c r="D171">
        <v>0</v>
      </c>
      <c r="E171">
        <v>56</v>
      </c>
      <c r="F171">
        <v>0</v>
      </c>
      <c r="G171">
        <v>0</v>
      </c>
      <c r="H171">
        <v>1</v>
      </c>
      <c r="I171">
        <v>0</v>
      </c>
      <c r="J171">
        <v>0</v>
      </c>
      <c r="K171">
        <v>0</v>
      </c>
      <c r="L171">
        <v>1</v>
      </c>
      <c r="M171">
        <v>0</v>
      </c>
      <c r="N171">
        <v>0</v>
      </c>
      <c r="O171" t="str" cm="1">
        <f t="array" ref="O171">_xlfn.IFS(Table1[[#This Row],[Divorced]]=1, "Divorced", Table1[[#This Row],[Married]]=1, "Married", Table1[[#This Row],[Single]]=1, "Single", Table1[[#This Row],[Together]]=1, "Together", Table1[[#This Row],[Widow]]=1, "Widow")</f>
        <v>Single</v>
      </c>
      <c r="P171" t="str" cm="1">
        <f t="array" ref="P171">_xlfn.IFS(Table1[[#This Row],[Basic]]=1, "Basic", Table1[[#This Row],[Graduate]]=1, "Graduate", Table1[[#This Row],[Master]]=1, "Master", Table1[[#This Row],[PhD]]=1, "PhD", AND(Table1[[#This Row],[Basic]]=0, Table1[[#This Row],[Graduate]]=0, Table1[[#This Row],[Master]]=0, Table1[[#This Row],[PhD]]=0), "NA")</f>
        <v>Graduate</v>
      </c>
      <c r="Q171" t="e">
        <f>_xlfn.XLOOKUP(Table1[[#This Row],[ID]], Table2[ID],#REF!, "Not Found", 0)</f>
        <v>#REF!</v>
      </c>
      <c r="R171" t="e">
        <f>_xlfn.XLOOKUP(Table1[[#This Row],[ID]], Table2[ID],#REF!, "Not Found", 0)</f>
        <v>#REF!</v>
      </c>
      <c r="S171" s="3">
        <f>_xlfn.XLOOKUP(Table1[[#This Row],[ID]], Table2[ID], Table2[Enrollment], "Not Found", 0)</f>
        <v>43927</v>
      </c>
      <c r="T171" t="s">
        <v>435</v>
      </c>
    </row>
    <row r="172" spans="1:20" x14ac:dyDescent="0.3">
      <c r="A172">
        <v>1491</v>
      </c>
      <c r="B172">
        <v>181217</v>
      </c>
      <c r="C172">
        <v>0</v>
      </c>
      <c r="D172">
        <v>0</v>
      </c>
      <c r="E172">
        <v>31</v>
      </c>
      <c r="F172">
        <v>0</v>
      </c>
      <c r="G172">
        <v>0</v>
      </c>
      <c r="H172">
        <v>1</v>
      </c>
      <c r="I172">
        <v>0</v>
      </c>
      <c r="J172">
        <v>0</v>
      </c>
      <c r="K172">
        <v>0</v>
      </c>
      <c r="L172">
        <v>1</v>
      </c>
      <c r="M172">
        <v>0</v>
      </c>
      <c r="N172">
        <v>0</v>
      </c>
      <c r="O172" t="str" cm="1">
        <f t="array" ref="O172">_xlfn.IFS(Table1[[#This Row],[Divorced]]=1, "Divorced", Table1[[#This Row],[Married]]=1, "Married", Table1[[#This Row],[Single]]=1, "Single", Table1[[#This Row],[Together]]=1, "Together", Table1[[#This Row],[Widow]]=1, "Widow")</f>
        <v>Single</v>
      </c>
      <c r="P172" t="str" cm="1">
        <f t="array" ref="P172">_xlfn.IFS(Table1[[#This Row],[Basic]]=1, "Basic", Table1[[#This Row],[Graduate]]=1, "Graduate", Table1[[#This Row],[Master]]=1, "Master", Table1[[#This Row],[PhD]]=1, "PhD", AND(Table1[[#This Row],[Basic]]=0, Table1[[#This Row],[Graduate]]=0, Table1[[#This Row],[Master]]=0, Table1[[#This Row],[PhD]]=0), "NA")</f>
        <v>Graduate</v>
      </c>
      <c r="Q172" t="e">
        <f>_xlfn.XLOOKUP(Table1[[#This Row],[ID]], Table2[ID],#REF!, "Not Found", 0)</f>
        <v>#REF!</v>
      </c>
      <c r="R172" t="e">
        <f>_xlfn.XLOOKUP(Table1[[#This Row],[ID]], Table2[ID],#REF!, "Not Found", 0)</f>
        <v>#REF!</v>
      </c>
      <c r="S172" s="3" t="str">
        <f>_xlfn.XLOOKUP(Table1[[#This Row],[ID]], Table2[ID], Table2[Enrollment], "Not Found", 0)</f>
        <v>12/24/2019</v>
      </c>
      <c r="T172" t="s">
        <v>435</v>
      </c>
    </row>
    <row r="173" spans="1:20" x14ac:dyDescent="0.3">
      <c r="A173">
        <v>2664</v>
      </c>
      <c r="B173">
        <v>181217</v>
      </c>
      <c r="C173">
        <v>0</v>
      </c>
      <c r="D173">
        <v>0</v>
      </c>
      <c r="E173">
        <v>31</v>
      </c>
      <c r="F173">
        <v>0</v>
      </c>
      <c r="G173">
        <v>0</v>
      </c>
      <c r="H173">
        <v>1</v>
      </c>
      <c r="I173">
        <v>0</v>
      </c>
      <c r="J173">
        <v>0</v>
      </c>
      <c r="K173">
        <v>0</v>
      </c>
      <c r="L173">
        <v>1</v>
      </c>
      <c r="M173">
        <v>0</v>
      </c>
      <c r="N173">
        <v>0</v>
      </c>
      <c r="O173" t="str" cm="1">
        <f t="array" ref="O173">_xlfn.IFS(Table1[[#This Row],[Divorced]]=1, "Divorced", Table1[[#This Row],[Married]]=1, "Married", Table1[[#This Row],[Single]]=1, "Single", Table1[[#This Row],[Together]]=1, "Together", Table1[[#This Row],[Widow]]=1, "Widow")</f>
        <v>Single</v>
      </c>
      <c r="P173" t="str" cm="1">
        <f t="array" ref="P173">_xlfn.IFS(Table1[[#This Row],[Basic]]=1, "Basic", Table1[[#This Row],[Graduate]]=1, "Graduate", Table1[[#This Row],[Master]]=1, "Master", Table1[[#This Row],[PhD]]=1, "PhD", AND(Table1[[#This Row],[Basic]]=0, Table1[[#This Row],[Graduate]]=0, Table1[[#This Row],[Master]]=0, Table1[[#This Row],[PhD]]=0), "NA")</f>
        <v>Graduate</v>
      </c>
      <c r="Q173" t="e">
        <f>_xlfn.XLOOKUP(Table1[[#This Row],[ID]], Table2[ID],#REF!, "Not Found", 0)</f>
        <v>#REF!</v>
      </c>
      <c r="R173" t="e">
        <f>_xlfn.XLOOKUP(Table1[[#This Row],[ID]], Table2[ID],#REF!, "Not Found", 0)</f>
        <v>#REF!</v>
      </c>
      <c r="S173" s="3" t="str">
        <f>_xlfn.XLOOKUP(Table1[[#This Row],[ID]], Table2[ID], Table2[Enrollment], "Not Found", 0)</f>
        <v>12/24/2019</v>
      </c>
      <c r="T173" t="s">
        <v>436</v>
      </c>
    </row>
    <row r="174" spans="1:20" x14ac:dyDescent="0.3">
      <c r="A174">
        <v>1826</v>
      </c>
      <c r="B174">
        <v>181205</v>
      </c>
      <c r="C174">
        <v>0</v>
      </c>
      <c r="D174">
        <v>0</v>
      </c>
      <c r="E174">
        <v>50</v>
      </c>
      <c r="F174">
        <v>0</v>
      </c>
      <c r="G174">
        <v>0</v>
      </c>
      <c r="H174">
        <v>0</v>
      </c>
      <c r="I174">
        <v>1</v>
      </c>
      <c r="J174">
        <v>0</v>
      </c>
      <c r="K174">
        <v>0</v>
      </c>
      <c r="L174">
        <v>1</v>
      </c>
      <c r="M174">
        <v>0</v>
      </c>
      <c r="N174">
        <v>0</v>
      </c>
      <c r="O174" t="str" cm="1">
        <f t="array" ref="O174">_xlfn.IFS(Table1[[#This Row],[Divorced]]=1, "Divorced", Table1[[#This Row],[Married]]=1, "Married", Table1[[#This Row],[Single]]=1, "Single", Table1[[#This Row],[Together]]=1, "Together", Table1[[#This Row],[Widow]]=1, "Widow")</f>
        <v>Together</v>
      </c>
      <c r="P174" t="str" cm="1">
        <f t="array" ref="P174">_xlfn.IFS(Table1[[#This Row],[Basic]]=1, "Basic", Table1[[#This Row],[Graduate]]=1, "Graduate", Table1[[#This Row],[Master]]=1, "Master", Table1[[#This Row],[PhD]]=1, "PhD", AND(Table1[[#This Row],[Basic]]=0, Table1[[#This Row],[Graduate]]=0, Table1[[#This Row],[Master]]=0, Table1[[#This Row],[PhD]]=0), "NA")</f>
        <v>Graduate</v>
      </c>
      <c r="Q174" t="e">
        <f>_xlfn.XLOOKUP(Table1[[#This Row],[ID]], Table2[ID],#REF!, "Not Found", 0)</f>
        <v>#REF!</v>
      </c>
      <c r="R174" t="e">
        <f>_xlfn.XLOOKUP(Table1[[#This Row],[ID]], Table2[ID],#REF!, "Not Found", 0)</f>
        <v>#REF!</v>
      </c>
      <c r="S174" s="3" t="str">
        <f>_xlfn.XLOOKUP(Table1[[#This Row],[ID]], Table2[ID], Table2[Enrollment], "Not Found", 0)</f>
        <v>6/19/2020</v>
      </c>
      <c r="T174" t="s">
        <v>438</v>
      </c>
    </row>
    <row r="175" spans="1:20" x14ac:dyDescent="0.3">
      <c r="A175">
        <v>1499</v>
      </c>
      <c r="B175">
        <v>181169</v>
      </c>
      <c r="C175">
        <v>0</v>
      </c>
      <c r="D175">
        <v>0</v>
      </c>
      <c r="E175">
        <v>45</v>
      </c>
      <c r="F175">
        <v>0</v>
      </c>
      <c r="G175">
        <v>0</v>
      </c>
      <c r="H175">
        <v>1</v>
      </c>
      <c r="I175">
        <v>0</v>
      </c>
      <c r="J175">
        <v>0</v>
      </c>
      <c r="K175">
        <v>0</v>
      </c>
      <c r="L175">
        <v>0</v>
      </c>
      <c r="M175">
        <v>1</v>
      </c>
      <c r="N175">
        <v>0</v>
      </c>
      <c r="O175" t="str" cm="1">
        <f t="array" ref="O175">_xlfn.IFS(Table1[[#This Row],[Divorced]]=1, "Divorced", Table1[[#This Row],[Married]]=1, "Married", Table1[[#This Row],[Single]]=1, "Single", Table1[[#This Row],[Together]]=1, "Together", Table1[[#This Row],[Widow]]=1, "Widow")</f>
        <v>Single</v>
      </c>
      <c r="P175" t="str" cm="1">
        <f t="array" ref="P175">_xlfn.IFS(Table1[[#This Row],[Basic]]=1, "Basic", Table1[[#This Row],[Graduate]]=1, "Graduate", Table1[[#This Row],[Master]]=1, "Master", Table1[[#This Row],[PhD]]=1, "PhD", AND(Table1[[#This Row],[Basic]]=0, Table1[[#This Row],[Graduate]]=0, Table1[[#This Row],[Master]]=0, Table1[[#This Row],[PhD]]=0), "NA")</f>
        <v>Master</v>
      </c>
      <c r="Q175" t="e">
        <f>_xlfn.XLOOKUP(Table1[[#This Row],[ID]], Table2[ID],#REF!, "Not Found", 0)</f>
        <v>#REF!</v>
      </c>
      <c r="R175" t="e">
        <f>_xlfn.XLOOKUP(Table1[[#This Row],[ID]], Table2[ID],#REF!, "Not Found", 0)</f>
        <v>#REF!</v>
      </c>
      <c r="S175" s="3" t="str">
        <f>_xlfn.XLOOKUP(Table1[[#This Row],[ID]], Table2[ID], Table2[Enrollment], "Not Found", 0)</f>
        <v>9/19/2019</v>
      </c>
      <c r="T175" t="s">
        <v>434</v>
      </c>
    </row>
    <row r="176" spans="1:20" x14ac:dyDescent="0.3">
      <c r="A176">
        <v>1593</v>
      </c>
      <c r="B176">
        <v>181168</v>
      </c>
      <c r="C176">
        <v>0</v>
      </c>
      <c r="D176">
        <v>0</v>
      </c>
      <c r="E176">
        <v>55</v>
      </c>
      <c r="F176">
        <v>0</v>
      </c>
      <c r="G176">
        <v>1</v>
      </c>
      <c r="H176">
        <v>0</v>
      </c>
      <c r="I176">
        <v>0</v>
      </c>
      <c r="J176">
        <v>0</v>
      </c>
      <c r="K176">
        <v>0</v>
      </c>
      <c r="L176">
        <v>1</v>
      </c>
      <c r="M176">
        <v>0</v>
      </c>
      <c r="N176">
        <v>0</v>
      </c>
      <c r="O176" t="str" cm="1">
        <f t="array" ref="O176">_xlfn.IFS(Table1[[#This Row],[Divorced]]=1, "Divorced", Table1[[#This Row],[Married]]=1, "Married", Table1[[#This Row],[Single]]=1, "Single", Table1[[#This Row],[Together]]=1, "Together", Table1[[#This Row],[Widow]]=1, "Widow")</f>
        <v>Married</v>
      </c>
      <c r="P176" t="str" cm="1">
        <f t="array" ref="P176">_xlfn.IFS(Table1[[#This Row],[Basic]]=1, "Basic", Table1[[#This Row],[Graduate]]=1, "Graduate", Table1[[#This Row],[Master]]=1, "Master", Table1[[#This Row],[PhD]]=1, "PhD", AND(Table1[[#This Row],[Basic]]=0, Table1[[#This Row],[Graduate]]=0, Table1[[#This Row],[Master]]=0, Table1[[#This Row],[PhD]]=0), "NA")</f>
        <v>Graduate</v>
      </c>
      <c r="Q176" t="e">
        <f>_xlfn.XLOOKUP(Table1[[#This Row],[ID]], Table2[ID],#REF!, "Not Found", 0)</f>
        <v>#REF!</v>
      </c>
      <c r="R176" t="e">
        <f>_xlfn.XLOOKUP(Table1[[#This Row],[ID]], Table2[ID],#REF!, "Not Found", 0)</f>
        <v>#REF!</v>
      </c>
      <c r="S176" s="3">
        <f>_xlfn.XLOOKUP(Table1[[#This Row],[ID]], Table2[ID], Table2[Enrollment], "Not Found", 0)</f>
        <v>44145</v>
      </c>
      <c r="T176" t="s">
        <v>435</v>
      </c>
    </row>
    <row r="177" spans="1:20" x14ac:dyDescent="0.3">
      <c r="A177">
        <v>2287</v>
      </c>
      <c r="B177">
        <v>181051</v>
      </c>
      <c r="C177">
        <v>0</v>
      </c>
      <c r="D177">
        <v>0</v>
      </c>
      <c r="E177">
        <v>55</v>
      </c>
      <c r="F177">
        <v>0</v>
      </c>
      <c r="G177">
        <v>1</v>
      </c>
      <c r="H177">
        <v>0</v>
      </c>
      <c r="I177">
        <v>0</v>
      </c>
      <c r="J177">
        <v>0</v>
      </c>
      <c r="K177">
        <v>0</v>
      </c>
      <c r="L177">
        <v>0</v>
      </c>
      <c r="M177">
        <v>0</v>
      </c>
      <c r="N177">
        <v>1</v>
      </c>
      <c r="O177" t="str" cm="1">
        <f t="array" ref="O177">_xlfn.IFS(Table1[[#This Row],[Divorced]]=1, "Divorced", Table1[[#This Row],[Married]]=1, "Married", Table1[[#This Row],[Single]]=1, "Single", Table1[[#This Row],[Together]]=1, "Together", Table1[[#This Row],[Widow]]=1, "Widow")</f>
        <v>Married</v>
      </c>
      <c r="P177" t="str" cm="1">
        <f t="array" ref="P177">_xlfn.IFS(Table1[[#This Row],[Basic]]=1, "Basic", Table1[[#This Row],[Graduate]]=1, "Graduate", Table1[[#This Row],[Master]]=1, "Master", Table1[[#This Row],[PhD]]=1, "PhD", AND(Table1[[#This Row],[Basic]]=0, Table1[[#This Row],[Graduate]]=0, Table1[[#This Row],[Master]]=0, Table1[[#This Row],[PhD]]=0), "NA")</f>
        <v>PhD</v>
      </c>
      <c r="Q177" t="e">
        <f>_xlfn.XLOOKUP(Table1[[#This Row],[ID]], Table2[ID],#REF!, "Not Found", 0)</f>
        <v>#REF!</v>
      </c>
      <c r="R177" t="e">
        <f>_xlfn.XLOOKUP(Table1[[#This Row],[ID]], Table2[ID],#REF!, "Not Found", 0)</f>
        <v>#REF!</v>
      </c>
      <c r="S177" s="3" t="str">
        <f>_xlfn.XLOOKUP(Table1[[#This Row],[ID]], Table2[ID], Table2[Enrollment], "Not Found", 0)</f>
        <v>10/27/2020</v>
      </c>
      <c r="T177" t="s">
        <v>437</v>
      </c>
    </row>
    <row r="178" spans="1:20" x14ac:dyDescent="0.3">
      <c r="A178">
        <v>3024</v>
      </c>
      <c r="B178">
        <v>181044</v>
      </c>
      <c r="C178">
        <v>0</v>
      </c>
      <c r="D178">
        <v>0</v>
      </c>
      <c r="E178">
        <v>73</v>
      </c>
      <c r="F178">
        <v>0</v>
      </c>
      <c r="G178">
        <v>1</v>
      </c>
      <c r="H178">
        <v>0</v>
      </c>
      <c r="I178">
        <v>0</v>
      </c>
      <c r="J178">
        <v>0</v>
      </c>
      <c r="K178">
        <v>0</v>
      </c>
      <c r="L178">
        <v>0</v>
      </c>
      <c r="M178">
        <v>0</v>
      </c>
      <c r="N178">
        <v>0</v>
      </c>
      <c r="O178" t="str" cm="1">
        <f t="array" ref="O178">_xlfn.IFS(Table1[[#This Row],[Divorced]]=1, "Divorced", Table1[[#This Row],[Married]]=1, "Married", Table1[[#This Row],[Single]]=1, "Single", Table1[[#This Row],[Together]]=1, "Together", Table1[[#This Row],[Widow]]=1, "Widow")</f>
        <v>Married</v>
      </c>
      <c r="P178" t="str" cm="1">
        <f t="array" ref="P178">_xlfn.IFS(Table1[[#This Row],[Basic]]=1, "Basic", Table1[[#This Row],[Graduate]]=1, "Graduate", Table1[[#This Row],[Master]]=1, "Master", Table1[[#This Row],[PhD]]=1, "PhD", AND(Table1[[#This Row],[Basic]]=0, Table1[[#This Row],[Graduate]]=0, Table1[[#This Row],[Master]]=0, Table1[[#This Row],[PhD]]=0), "NA")</f>
        <v>NA</v>
      </c>
      <c r="Q178" t="e">
        <f>_xlfn.XLOOKUP(Table1[[#This Row],[ID]], Table2[ID],#REF!, "Not Found", 0)</f>
        <v>#REF!</v>
      </c>
      <c r="R178" t="e">
        <f>_xlfn.XLOOKUP(Table1[[#This Row],[ID]], Table2[ID],#REF!, "Not Found", 0)</f>
        <v>#REF!</v>
      </c>
      <c r="S178" s="3">
        <f>_xlfn.XLOOKUP(Table1[[#This Row],[ID]], Table2[ID], Table2[Enrollment], "Not Found", 0)</f>
        <v>43867</v>
      </c>
      <c r="T178" t="s">
        <v>436</v>
      </c>
    </row>
    <row r="179" spans="1:20" x14ac:dyDescent="0.3">
      <c r="A179">
        <v>1809</v>
      </c>
      <c r="B179">
        <v>180995</v>
      </c>
      <c r="C179">
        <v>0</v>
      </c>
      <c r="D179">
        <v>1</v>
      </c>
      <c r="E179">
        <v>62</v>
      </c>
      <c r="F179">
        <v>0</v>
      </c>
      <c r="G179">
        <v>0</v>
      </c>
      <c r="H179">
        <v>0</v>
      </c>
      <c r="I179">
        <v>0</v>
      </c>
      <c r="J179">
        <v>1</v>
      </c>
      <c r="K179">
        <v>0</v>
      </c>
      <c r="L179">
        <v>0</v>
      </c>
      <c r="M179">
        <v>0</v>
      </c>
      <c r="N179">
        <v>1</v>
      </c>
      <c r="O179" t="str" cm="1">
        <f t="array" ref="O179">_xlfn.IFS(Table1[[#This Row],[Divorced]]=1, "Divorced", Table1[[#This Row],[Married]]=1, "Married", Table1[[#This Row],[Single]]=1, "Single", Table1[[#This Row],[Together]]=1, "Together", Table1[[#This Row],[Widow]]=1, "Widow")</f>
        <v>Widow</v>
      </c>
      <c r="P179" t="str" cm="1">
        <f t="array" ref="P179">_xlfn.IFS(Table1[[#This Row],[Basic]]=1, "Basic", Table1[[#This Row],[Graduate]]=1, "Graduate", Table1[[#This Row],[Master]]=1, "Master", Table1[[#This Row],[PhD]]=1, "PhD", AND(Table1[[#This Row],[Basic]]=0, Table1[[#This Row],[Graduate]]=0, Table1[[#This Row],[Master]]=0, Table1[[#This Row],[PhD]]=0), "NA")</f>
        <v>PhD</v>
      </c>
      <c r="Q179" t="e">
        <f>_xlfn.XLOOKUP(Table1[[#This Row],[ID]], Table2[ID],#REF!, "Not Found", 0)</f>
        <v>#REF!</v>
      </c>
      <c r="R179" t="e">
        <f>_xlfn.XLOOKUP(Table1[[#This Row],[ID]], Table2[ID],#REF!, "Not Found", 0)</f>
        <v>#REF!</v>
      </c>
      <c r="S179" s="3" t="str">
        <f>_xlfn.XLOOKUP(Table1[[#This Row],[ID]], Table2[ID], Table2[Enrollment], "Not Found", 0)</f>
        <v>10/16/2019</v>
      </c>
      <c r="T179" t="s">
        <v>435</v>
      </c>
    </row>
    <row r="180" spans="1:20" x14ac:dyDescent="0.3">
      <c r="A180">
        <v>2899</v>
      </c>
      <c r="B180">
        <v>180982</v>
      </c>
      <c r="C180">
        <v>1</v>
      </c>
      <c r="D180">
        <v>1</v>
      </c>
      <c r="E180">
        <v>61</v>
      </c>
      <c r="F180">
        <v>0</v>
      </c>
      <c r="G180">
        <v>0</v>
      </c>
      <c r="H180">
        <v>1</v>
      </c>
      <c r="I180">
        <v>0</v>
      </c>
      <c r="J180">
        <v>0</v>
      </c>
      <c r="K180">
        <v>0</v>
      </c>
      <c r="L180">
        <v>1</v>
      </c>
      <c r="M180">
        <v>0</v>
      </c>
      <c r="N180">
        <v>0</v>
      </c>
      <c r="O180" t="str" cm="1">
        <f t="array" ref="O180">_xlfn.IFS(Table1[[#This Row],[Divorced]]=1, "Divorced", Table1[[#This Row],[Married]]=1, "Married", Table1[[#This Row],[Single]]=1, "Single", Table1[[#This Row],[Together]]=1, "Together", Table1[[#This Row],[Widow]]=1, "Widow")</f>
        <v>Single</v>
      </c>
      <c r="P180" t="str" cm="1">
        <f t="array" ref="P180">_xlfn.IFS(Table1[[#This Row],[Basic]]=1, "Basic", Table1[[#This Row],[Graduate]]=1, "Graduate", Table1[[#This Row],[Master]]=1, "Master", Table1[[#This Row],[PhD]]=1, "PhD", AND(Table1[[#This Row],[Basic]]=0, Table1[[#This Row],[Graduate]]=0, Table1[[#This Row],[Master]]=0, Table1[[#This Row],[PhD]]=0), "NA")</f>
        <v>Graduate</v>
      </c>
      <c r="Q180" t="e">
        <f>_xlfn.XLOOKUP(Table1[[#This Row],[ID]], Table2[ID],#REF!, "Not Found", 0)</f>
        <v>#REF!</v>
      </c>
      <c r="R180" t="e">
        <f>_xlfn.XLOOKUP(Table1[[#This Row],[ID]], Table2[ID],#REF!, "Not Found", 0)</f>
        <v>#REF!</v>
      </c>
      <c r="S180" s="3" t="str">
        <f>_xlfn.XLOOKUP(Table1[[#This Row],[ID]], Table2[ID], Table2[Enrollment], "Not Found", 0)</f>
        <v>6/15/2019</v>
      </c>
      <c r="T180" t="s">
        <v>437</v>
      </c>
    </row>
    <row r="181" spans="1:20" x14ac:dyDescent="0.3">
      <c r="A181">
        <v>1734</v>
      </c>
      <c r="B181">
        <v>180952</v>
      </c>
      <c r="C181">
        <v>0</v>
      </c>
      <c r="D181">
        <v>0</v>
      </c>
      <c r="E181">
        <v>51</v>
      </c>
      <c r="F181">
        <v>0</v>
      </c>
      <c r="G181">
        <v>1</v>
      </c>
      <c r="H181">
        <v>0</v>
      </c>
      <c r="I181">
        <v>0</v>
      </c>
      <c r="J181">
        <v>0</v>
      </c>
      <c r="K181">
        <v>0</v>
      </c>
      <c r="L181">
        <v>1</v>
      </c>
      <c r="M181">
        <v>0</v>
      </c>
      <c r="N181">
        <v>0</v>
      </c>
      <c r="O181" t="str" cm="1">
        <f t="array" ref="O181">_xlfn.IFS(Table1[[#This Row],[Divorced]]=1, "Divorced", Table1[[#This Row],[Married]]=1, "Married", Table1[[#This Row],[Single]]=1, "Single", Table1[[#This Row],[Together]]=1, "Together", Table1[[#This Row],[Widow]]=1, "Widow")</f>
        <v>Married</v>
      </c>
      <c r="P181" t="str" cm="1">
        <f t="array" ref="P181">_xlfn.IFS(Table1[[#This Row],[Basic]]=1, "Basic", Table1[[#This Row],[Graduate]]=1, "Graduate", Table1[[#This Row],[Master]]=1, "Master", Table1[[#This Row],[PhD]]=1, "PhD", AND(Table1[[#This Row],[Basic]]=0, Table1[[#This Row],[Graduate]]=0, Table1[[#This Row],[Master]]=0, Table1[[#This Row],[PhD]]=0), "NA")</f>
        <v>Graduate</v>
      </c>
      <c r="Q181" t="e">
        <f>_xlfn.XLOOKUP(Table1[[#This Row],[ID]], Table2[ID],#REF!, "Not Found", 0)</f>
        <v>#REF!</v>
      </c>
      <c r="R181" t="e">
        <f>_xlfn.XLOOKUP(Table1[[#This Row],[ID]], Table2[ID],#REF!, "Not Found", 0)</f>
        <v>#REF!</v>
      </c>
      <c r="S181" s="3">
        <f>_xlfn.XLOOKUP(Table1[[#This Row],[ID]], Table2[ID], Table2[Enrollment], "Not Found", 0)</f>
        <v>43593</v>
      </c>
      <c r="T181" t="s">
        <v>436</v>
      </c>
    </row>
    <row r="182" spans="1:20" x14ac:dyDescent="0.3">
      <c r="A182">
        <v>1292</v>
      </c>
      <c r="B182">
        <v>180950</v>
      </c>
      <c r="C182">
        <v>0</v>
      </c>
      <c r="D182">
        <v>0</v>
      </c>
      <c r="E182">
        <v>59</v>
      </c>
      <c r="F182">
        <v>0</v>
      </c>
      <c r="G182">
        <v>1</v>
      </c>
      <c r="H182">
        <v>0</v>
      </c>
      <c r="I182">
        <v>0</v>
      </c>
      <c r="J182">
        <v>0</v>
      </c>
      <c r="K182">
        <v>0</v>
      </c>
      <c r="L182">
        <v>0</v>
      </c>
      <c r="M182">
        <v>1</v>
      </c>
      <c r="N182">
        <v>0</v>
      </c>
      <c r="O182" t="str" cm="1">
        <f t="array" ref="O182">_xlfn.IFS(Table1[[#This Row],[Divorced]]=1, "Divorced", Table1[[#This Row],[Married]]=1, "Married", Table1[[#This Row],[Single]]=1, "Single", Table1[[#This Row],[Together]]=1, "Together", Table1[[#This Row],[Widow]]=1, "Widow")</f>
        <v>Married</v>
      </c>
      <c r="P182" t="str" cm="1">
        <f t="array" ref="P182">_xlfn.IFS(Table1[[#This Row],[Basic]]=1, "Basic", Table1[[#This Row],[Graduate]]=1, "Graduate", Table1[[#This Row],[Master]]=1, "Master", Table1[[#This Row],[PhD]]=1, "PhD", AND(Table1[[#This Row],[Basic]]=0, Table1[[#This Row],[Graduate]]=0, Table1[[#This Row],[Master]]=0, Table1[[#This Row],[PhD]]=0), "NA")</f>
        <v>Master</v>
      </c>
      <c r="Q182" t="e">
        <f>_xlfn.XLOOKUP(Table1[[#This Row],[ID]], Table2[ID],#REF!, "Not Found", 0)</f>
        <v>#REF!</v>
      </c>
      <c r="R182" t="e">
        <f>_xlfn.XLOOKUP(Table1[[#This Row],[ID]], Table2[ID],#REF!, "Not Found", 0)</f>
        <v>#REF!</v>
      </c>
      <c r="S182" s="3">
        <f>_xlfn.XLOOKUP(Table1[[#This Row],[ID]], Table2[ID], Table2[Enrollment], "Not Found", 0)</f>
        <v>43505</v>
      </c>
      <c r="T182" t="s">
        <v>438</v>
      </c>
    </row>
    <row r="183" spans="1:20" x14ac:dyDescent="0.3">
      <c r="A183">
        <v>2078</v>
      </c>
      <c r="B183">
        <v>180910</v>
      </c>
      <c r="C183">
        <v>0</v>
      </c>
      <c r="D183">
        <v>0</v>
      </c>
      <c r="E183">
        <v>34</v>
      </c>
      <c r="F183">
        <v>0</v>
      </c>
      <c r="G183">
        <v>0</v>
      </c>
      <c r="H183">
        <v>1</v>
      </c>
      <c r="I183">
        <v>0</v>
      </c>
      <c r="J183">
        <v>0</v>
      </c>
      <c r="K183">
        <v>0</v>
      </c>
      <c r="L183">
        <v>0</v>
      </c>
      <c r="M183">
        <v>0</v>
      </c>
      <c r="N183">
        <v>0</v>
      </c>
      <c r="O183" t="str" cm="1">
        <f t="array" ref="O183">_xlfn.IFS(Table1[[#This Row],[Divorced]]=1, "Divorced", Table1[[#This Row],[Married]]=1, "Married", Table1[[#This Row],[Single]]=1, "Single", Table1[[#This Row],[Together]]=1, "Together", Table1[[#This Row],[Widow]]=1, "Widow")</f>
        <v>Single</v>
      </c>
      <c r="P183" t="str" cm="1">
        <f t="array" ref="P183">_xlfn.IFS(Table1[[#This Row],[Basic]]=1, "Basic", Table1[[#This Row],[Graduate]]=1, "Graduate", Table1[[#This Row],[Master]]=1, "Master", Table1[[#This Row],[PhD]]=1, "PhD", AND(Table1[[#This Row],[Basic]]=0, Table1[[#This Row],[Graduate]]=0, Table1[[#This Row],[Master]]=0, Table1[[#This Row],[PhD]]=0), "NA")</f>
        <v>NA</v>
      </c>
      <c r="Q183" t="e">
        <f>_xlfn.XLOOKUP(Table1[[#This Row],[ID]], Table2[ID],#REF!, "Not Found", 0)</f>
        <v>#REF!</v>
      </c>
      <c r="R183" t="e">
        <f>_xlfn.XLOOKUP(Table1[[#This Row],[ID]], Table2[ID],#REF!, "Not Found", 0)</f>
        <v>#REF!</v>
      </c>
      <c r="S183" s="3">
        <f>_xlfn.XLOOKUP(Table1[[#This Row],[ID]], Table2[ID], Table2[Enrollment], "Not Found", 0)</f>
        <v>43650</v>
      </c>
      <c r="T183" t="s">
        <v>438</v>
      </c>
    </row>
    <row r="184" spans="1:20" x14ac:dyDescent="0.3">
      <c r="A184">
        <v>2927</v>
      </c>
      <c r="B184">
        <v>180872</v>
      </c>
      <c r="C184">
        <v>0</v>
      </c>
      <c r="D184">
        <v>0</v>
      </c>
      <c r="E184">
        <v>69</v>
      </c>
      <c r="F184">
        <v>0</v>
      </c>
      <c r="G184">
        <v>0</v>
      </c>
      <c r="H184">
        <v>1</v>
      </c>
      <c r="I184">
        <v>0</v>
      </c>
      <c r="J184">
        <v>0</v>
      </c>
      <c r="K184">
        <v>0</v>
      </c>
      <c r="L184">
        <v>1</v>
      </c>
      <c r="M184">
        <v>0</v>
      </c>
      <c r="N184">
        <v>0</v>
      </c>
      <c r="O184" t="str" cm="1">
        <f t="array" ref="O184">_xlfn.IFS(Table1[[#This Row],[Divorced]]=1, "Divorced", Table1[[#This Row],[Married]]=1, "Married", Table1[[#This Row],[Single]]=1, "Single", Table1[[#This Row],[Together]]=1, "Together", Table1[[#This Row],[Widow]]=1, "Widow")</f>
        <v>Single</v>
      </c>
      <c r="P184" t="str" cm="1">
        <f t="array" ref="P184">_xlfn.IFS(Table1[[#This Row],[Basic]]=1, "Basic", Table1[[#This Row],[Graduate]]=1, "Graduate", Table1[[#This Row],[Master]]=1, "Master", Table1[[#This Row],[PhD]]=1, "PhD", AND(Table1[[#This Row],[Basic]]=0, Table1[[#This Row],[Graduate]]=0, Table1[[#This Row],[Master]]=0, Table1[[#This Row],[PhD]]=0), "NA")</f>
        <v>Graduate</v>
      </c>
      <c r="Q184" t="e">
        <f>_xlfn.XLOOKUP(Table1[[#This Row],[ID]], Table2[ID],#REF!, "Not Found", 0)</f>
        <v>#REF!</v>
      </c>
      <c r="R184" t="e">
        <f>_xlfn.XLOOKUP(Table1[[#This Row],[ID]], Table2[ID],#REF!, "Not Found", 0)</f>
        <v>#REF!</v>
      </c>
      <c r="S184" s="3" t="str">
        <f>_xlfn.XLOOKUP(Table1[[#This Row],[ID]], Table2[ID], Table2[Enrollment], "Not Found", 0)</f>
        <v>10/16/2020</v>
      </c>
      <c r="T184" t="s">
        <v>434</v>
      </c>
    </row>
    <row r="185" spans="1:20" x14ac:dyDescent="0.3">
      <c r="A185">
        <v>1856</v>
      </c>
      <c r="B185">
        <v>180812</v>
      </c>
      <c r="C185">
        <v>0</v>
      </c>
      <c r="D185">
        <v>0</v>
      </c>
      <c r="E185">
        <v>67</v>
      </c>
      <c r="F185">
        <v>0</v>
      </c>
      <c r="G185">
        <v>0</v>
      </c>
      <c r="H185">
        <v>0</v>
      </c>
      <c r="I185">
        <v>1</v>
      </c>
      <c r="J185">
        <v>0</v>
      </c>
      <c r="K185">
        <v>0</v>
      </c>
      <c r="L185">
        <v>1</v>
      </c>
      <c r="M185">
        <v>0</v>
      </c>
      <c r="N185">
        <v>0</v>
      </c>
      <c r="O185" t="str" cm="1">
        <f t="array" ref="O185">_xlfn.IFS(Table1[[#This Row],[Divorced]]=1, "Divorced", Table1[[#This Row],[Married]]=1, "Married", Table1[[#This Row],[Single]]=1, "Single", Table1[[#This Row],[Together]]=1, "Together", Table1[[#This Row],[Widow]]=1, "Widow")</f>
        <v>Together</v>
      </c>
      <c r="P185" t="str" cm="1">
        <f t="array" ref="P185">_xlfn.IFS(Table1[[#This Row],[Basic]]=1, "Basic", Table1[[#This Row],[Graduate]]=1, "Graduate", Table1[[#This Row],[Master]]=1, "Master", Table1[[#This Row],[PhD]]=1, "PhD", AND(Table1[[#This Row],[Basic]]=0, Table1[[#This Row],[Graduate]]=0, Table1[[#This Row],[Master]]=0, Table1[[#This Row],[PhD]]=0), "NA")</f>
        <v>Graduate</v>
      </c>
      <c r="Q185" t="e">
        <f>_xlfn.XLOOKUP(Table1[[#This Row],[ID]], Table2[ID],#REF!, "Not Found", 0)</f>
        <v>#REF!</v>
      </c>
      <c r="R185" t="e">
        <f>_xlfn.XLOOKUP(Table1[[#This Row],[ID]], Table2[ID],#REF!, "Not Found", 0)</f>
        <v>#REF!</v>
      </c>
      <c r="S185" s="3" t="str">
        <f>_xlfn.XLOOKUP(Table1[[#This Row],[ID]], Table2[ID], Table2[Enrollment], "Not Found", 0)</f>
        <v>2/22/2020</v>
      </c>
      <c r="T185" t="s">
        <v>438</v>
      </c>
    </row>
    <row r="186" spans="1:20" x14ac:dyDescent="0.3">
      <c r="A186">
        <v>1965</v>
      </c>
      <c r="B186">
        <v>180763</v>
      </c>
      <c r="C186">
        <v>0</v>
      </c>
      <c r="D186">
        <v>0</v>
      </c>
      <c r="E186">
        <v>70</v>
      </c>
      <c r="F186">
        <v>0</v>
      </c>
      <c r="G186">
        <v>1</v>
      </c>
      <c r="H186">
        <v>0</v>
      </c>
      <c r="I186">
        <v>0</v>
      </c>
      <c r="J186">
        <v>0</v>
      </c>
      <c r="K186">
        <v>0</v>
      </c>
      <c r="L186">
        <v>1</v>
      </c>
      <c r="M186">
        <v>0</v>
      </c>
      <c r="N186">
        <v>0</v>
      </c>
      <c r="O186" t="str" cm="1">
        <f t="array" ref="O186">_xlfn.IFS(Table1[[#This Row],[Divorced]]=1, "Divorced", Table1[[#This Row],[Married]]=1, "Married", Table1[[#This Row],[Single]]=1, "Single", Table1[[#This Row],[Together]]=1, "Together", Table1[[#This Row],[Widow]]=1, "Widow")</f>
        <v>Married</v>
      </c>
      <c r="P186" t="str" cm="1">
        <f t="array" ref="P186">_xlfn.IFS(Table1[[#This Row],[Basic]]=1, "Basic", Table1[[#This Row],[Graduate]]=1, "Graduate", Table1[[#This Row],[Master]]=1, "Master", Table1[[#This Row],[PhD]]=1, "PhD", AND(Table1[[#This Row],[Basic]]=0, Table1[[#This Row],[Graduate]]=0, Table1[[#This Row],[Master]]=0, Table1[[#This Row],[PhD]]=0), "NA")</f>
        <v>Graduate</v>
      </c>
      <c r="Q186" t="e">
        <f>_xlfn.XLOOKUP(Table1[[#This Row],[ID]], Table2[ID],#REF!, "Not Found", 0)</f>
        <v>#REF!</v>
      </c>
      <c r="R186" t="e">
        <f>_xlfn.XLOOKUP(Table1[[#This Row],[ID]], Table2[ID],#REF!, "Not Found", 0)</f>
        <v>#REF!</v>
      </c>
      <c r="S186" s="3" t="str">
        <f>_xlfn.XLOOKUP(Table1[[#This Row],[ID]], Table2[ID], Table2[Enrollment], "Not Found", 0)</f>
        <v>1/20/2020</v>
      </c>
      <c r="T186" t="s">
        <v>435</v>
      </c>
    </row>
    <row r="187" spans="1:20" x14ac:dyDescent="0.3">
      <c r="A187">
        <v>2803</v>
      </c>
      <c r="B187">
        <v>180739</v>
      </c>
      <c r="C187">
        <v>0</v>
      </c>
      <c r="D187">
        <v>0</v>
      </c>
      <c r="E187">
        <v>62</v>
      </c>
      <c r="F187">
        <v>0</v>
      </c>
      <c r="G187">
        <v>1</v>
      </c>
      <c r="H187">
        <v>0</v>
      </c>
      <c r="I187">
        <v>0</v>
      </c>
      <c r="J187">
        <v>0</v>
      </c>
      <c r="K187">
        <v>0</v>
      </c>
      <c r="L187">
        <v>0</v>
      </c>
      <c r="M187">
        <v>1</v>
      </c>
      <c r="N187">
        <v>0</v>
      </c>
      <c r="O187" t="str" cm="1">
        <f t="array" ref="O187">_xlfn.IFS(Table1[[#This Row],[Divorced]]=1, "Divorced", Table1[[#This Row],[Married]]=1, "Married", Table1[[#This Row],[Single]]=1, "Single", Table1[[#This Row],[Together]]=1, "Together", Table1[[#This Row],[Widow]]=1, "Widow")</f>
        <v>Married</v>
      </c>
      <c r="P187" t="str" cm="1">
        <f t="array" ref="P187">_xlfn.IFS(Table1[[#This Row],[Basic]]=1, "Basic", Table1[[#This Row],[Graduate]]=1, "Graduate", Table1[[#This Row],[Master]]=1, "Master", Table1[[#This Row],[PhD]]=1, "PhD", AND(Table1[[#This Row],[Basic]]=0, Table1[[#This Row],[Graduate]]=0, Table1[[#This Row],[Master]]=0, Table1[[#This Row],[PhD]]=0), "NA")</f>
        <v>Master</v>
      </c>
      <c r="Q187" t="e">
        <f>_xlfn.XLOOKUP(Table1[[#This Row],[ID]], Table2[ID],#REF!, "Not Found", 0)</f>
        <v>#REF!</v>
      </c>
      <c r="R187" t="e">
        <f>_xlfn.XLOOKUP(Table1[[#This Row],[ID]], Table2[ID],#REF!, "Not Found", 0)</f>
        <v>#REF!</v>
      </c>
      <c r="S187" s="3" t="str">
        <f>_xlfn.XLOOKUP(Table1[[#This Row],[ID]], Table2[ID], Table2[Enrollment], "Not Found", 0)</f>
        <v>10/28/2019</v>
      </c>
      <c r="T187" t="s">
        <v>437</v>
      </c>
    </row>
    <row r="188" spans="1:20" x14ac:dyDescent="0.3">
      <c r="A188">
        <v>2338</v>
      </c>
      <c r="B188">
        <v>180695</v>
      </c>
      <c r="C188">
        <v>0</v>
      </c>
      <c r="D188">
        <v>0</v>
      </c>
      <c r="E188">
        <v>57</v>
      </c>
      <c r="F188">
        <v>0</v>
      </c>
      <c r="G188">
        <v>0</v>
      </c>
      <c r="H188">
        <v>1</v>
      </c>
      <c r="I188">
        <v>0</v>
      </c>
      <c r="J188">
        <v>0</v>
      </c>
      <c r="K188">
        <v>0</v>
      </c>
      <c r="L188">
        <v>1</v>
      </c>
      <c r="M188">
        <v>0</v>
      </c>
      <c r="N188">
        <v>0</v>
      </c>
      <c r="O188" t="str" cm="1">
        <f t="array" ref="O188">_xlfn.IFS(Table1[[#This Row],[Divorced]]=1, "Divorced", Table1[[#This Row],[Married]]=1, "Married", Table1[[#This Row],[Single]]=1, "Single", Table1[[#This Row],[Together]]=1, "Together", Table1[[#This Row],[Widow]]=1, "Widow")</f>
        <v>Single</v>
      </c>
      <c r="P188" t="str" cm="1">
        <f t="array" ref="P188">_xlfn.IFS(Table1[[#This Row],[Basic]]=1, "Basic", Table1[[#This Row],[Graduate]]=1, "Graduate", Table1[[#This Row],[Master]]=1, "Master", Table1[[#This Row],[PhD]]=1, "PhD", AND(Table1[[#This Row],[Basic]]=0, Table1[[#This Row],[Graduate]]=0, Table1[[#This Row],[Master]]=0, Table1[[#This Row],[PhD]]=0), "NA")</f>
        <v>Graduate</v>
      </c>
      <c r="Q188" t="e">
        <f>_xlfn.XLOOKUP(Table1[[#This Row],[ID]], Table2[ID],#REF!, "Not Found", 0)</f>
        <v>#REF!</v>
      </c>
      <c r="R188" t="e">
        <f>_xlfn.XLOOKUP(Table1[[#This Row],[ID]], Table2[ID],#REF!, "Not Found", 0)</f>
        <v>#REF!</v>
      </c>
      <c r="S188" s="3">
        <f>_xlfn.XLOOKUP(Table1[[#This Row],[ID]], Table2[ID], Table2[Enrollment], "Not Found", 0)</f>
        <v>43927</v>
      </c>
      <c r="T188" t="s">
        <v>439</v>
      </c>
    </row>
    <row r="189" spans="1:20" x14ac:dyDescent="0.3">
      <c r="A189">
        <v>2144</v>
      </c>
      <c r="B189">
        <v>180685</v>
      </c>
      <c r="C189">
        <v>0</v>
      </c>
      <c r="D189">
        <v>0</v>
      </c>
      <c r="E189">
        <v>26</v>
      </c>
      <c r="F189">
        <v>0</v>
      </c>
      <c r="G189">
        <v>0</v>
      </c>
      <c r="H189">
        <v>0</v>
      </c>
      <c r="I189">
        <v>1</v>
      </c>
      <c r="J189">
        <v>0</v>
      </c>
      <c r="K189">
        <v>0</v>
      </c>
      <c r="L189">
        <v>1</v>
      </c>
      <c r="M189">
        <v>0</v>
      </c>
      <c r="N189">
        <v>0</v>
      </c>
      <c r="O189" t="str" cm="1">
        <f t="array" ref="O189">_xlfn.IFS(Table1[[#This Row],[Divorced]]=1, "Divorced", Table1[[#This Row],[Married]]=1, "Married", Table1[[#This Row],[Single]]=1, "Single", Table1[[#This Row],[Together]]=1, "Together", Table1[[#This Row],[Widow]]=1, "Widow")</f>
        <v>Together</v>
      </c>
      <c r="P189" t="str" cm="1">
        <f t="array" ref="P189">_xlfn.IFS(Table1[[#This Row],[Basic]]=1, "Basic", Table1[[#This Row],[Graduate]]=1, "Graduate", Table1[[#This Row],[Master]]=1, "Master", Table1[[#This Row],[PhD]]=1, "PhD", AND(Table1[[#This Row],[Basic]]=0, Table1[[#This Row],[Graduate]]=0, Table1[[#This Row],[Master]]=0, Table1[[#This Row],[PhD]]=0), "NA")</f>
        <v>Graduate</v>
      </c>
      <c r="Q189" t="e">
        <f>_xlfn.XLOOKUP(Table1[[#This Row],[ID]], Table2[ID],#REF!, "Not Found", 0)</f>
        <v>#REF!</v>
      </c>
      <c r="R189" t="e">
        <f>_xlfn.XLOOKUP(Table1[[#This Row],[ID]], Table2[ID],#REF!, "Not Found", 0)</f>
        <v>#REF!</v>
      </c>
      <c r="S189" s="3" t="str">
        <f>_xlfn.XLOOKUP(Table1[[#This Row],[ID]], Table2[ID], Table2[Enrollment], "Not Found", 0)</f>
        <v>1/27/2019</v>
      </c>
      <c r="T189" t="s">
        <v>438</v>
      </c>
    </row>
    <row r="190" spans="1:20" x14ac:dyDescent="0.3">
      <c r="A190">
        <v>3181</v>
      </c>
      <c r="B190">
        <v>180617</v>
      </c>
      <c r="C190">
        <v>0</v>
      </c>
      <c r="D190">
        <v>0</v>
      </c>
      <c r="E190">
        <v>25</v>
      </c>
      <c r="F190">
        <v>0</v>
      </c>
      <c r="G190">
        <v>0</v>
      </c>
      <c r="H190">
        <v>1</v>
      </c>
      <c r="I190">
        <v>0</v>
      </c>
      <c r="J190">
        <v>0</v>
      </c>
      <c r="K190">
        <v>0</v>
      </c>
      <c r="L190">
        <v>0</v>
      </c>
      <c r="M190">
        <v>0</v>
      </c>
      <c r="N190">
        <v>0</v>
      </c>
      <c r="O190" t="str" cm="1">
        <f t="array" ref="O190">_xlfn.IFS(Table1[[#This Row],[Divorced]]=1, "Divorced", Table1[[#This Row],[Married]]=1, "Married", Table1[[#This Row],[Single]]=1, "Single", Table1[[#This Row],[Together]]=1, "Together", Table1[[#This Row],[Widow]]=1, "Widow")</f>
        <v>Single</v>
      </c>
      <c r="P190" t="str" cm="1">
        <f t="array" ref="P190">_xlfn.IFS(Table1[[#This Row],[Basic]]=1, "Basic", Table1[[#This Row],[Graduate]]=1, "Graduate", Table1[[#This Row],[Master]]=1, "Master", Table1[[#This Row],[PhD]]=1, "PhD", AND(Table1[[#This Row],[Basic]]=0, Table1[[#This Row],[Graduate]]=0, Table1[[#This Row],[Master]]=0, Table1[[#This Row],[PhD]]=0), "NA")</f>
        <v>NA</v>
      </c>
      <c r="Q190" t="e">
        <f>_xlfn.XLOOKUP(Table1[[#This Row],[ID]], Table2[ID],#REF!, "Not Found", 0)</f>
        <v>#REF!</v>
      </c>
      <c r="R190" t="e">
        <f>_xlfn.XLOOKUP(Table1[[#This Row],[ID]], Table2[ID],#REF!, "Not Found", 0)</f>
        <v>#REF!</v>
      </c>
      <c r="S190" s="3" t="str">
        <f>_xlfn.XLOOKUP(Table1[[#This Row],[ID]], Table2[ID], Table2[Enrollment], "Not Found", 0)</f>
        <v>3/19/2019</v>
      </c>
      <c r="T190" t="s">
        <v>437</v>
      </c>
    </row>
    <row r="191" spans="1:20" x14ac:dyDescent="0.3">
      <c r="A191">
        <v>2389</v>
      </c>
      <c r="B191">
        <v>180589</v>
      </c>
      <c r="C191">
        <v>0</v>
      </c>
      <c r="D191">
        <v>0</v>
      </c>
      <c r="E191">
        <v>76</v>
      </c>
      <c r="F191">
        <v>0</v>
      </c>
      <c r="G191">
        <v>1</v>
      </c>
      <c r="H191">
        <v>0</v>
      </c>
      <c r="I191">
        <v>0</v>
      </c>
      <c r="J191">
        <v>0</v>
      </c>
      <c r="K191">
        <v>0</v>
      </c>
      <c r="L191">
        <v>1</v>
      </c>
      <c r="M191">
        <v>0</v>
      </c>
      <c r="N191">
        <v>0</v>
      </c>
      <c r="O191" t="str" cm="1">
        <f t="array" ref="O191">_xlfn.IFS(Table1[[#This Row],[Divorced]]=1, "Divorced", Table1[[#This Row],[Married]]=1, "Married", Table1[[#This Row],[Single]]=1, "Single", Table1[[#This Row],[Together]]=1, "Together", Table1[[#This Row],[Widow]]=1, "Widow")</f>
        <v>Married</v>
      </c>
      <c r="P191" t="str" cm="1">
        <f t="array" ref="P191">_xlfn.IFS(Table1[[#This Row],[Basic]]=1, "Basic", Table1[[#This Row],[Graduate]]=1, "Graduate", Table1[[#This Row],[Master]]=1, "Master", Table1[[#This Row],[PhD]]=1, "PhD", AND(Table1[[#This Row],[Basic]]=0, Table1[[#This Row],[Graduate]]=0, Table1[[#This Row],[Master]]=0, Table1[[#This Row],[PhD]]=0), "NA")</f>
        <v>Graduate</v>
      </c>
      <c r="Q191" t="e">
        <f>_xlfn.XLOOKUP(Table1[[#This Row],[ID]], Table2[ID],#REF!, "Not Found", 0)</f>
        <v>#REF!</v>
      </c>
      <c r="R191" t="e">
        <f>_xlfn.XLOOKUP(Table1[[#This Row],[ID]], Table2[ID],#REF!, "Not Found", 0)</f>
        <v>#REF!</v>
      </c>
      <c r="S191" s="3" t="str">
        <f>_xlfn.XLOOKUP(Table1[[#This Row],[ID]], Table2[ID], Table2[Enrollment], "Not Found", 0)</f>
        <v>6/28/2020</v>
      </c>
      <c r="T191" t="s">
        <v>437</v>
      </c>
    </row>
    <row r="192" spans="1:20" x14ac:dyDescent="0.3">
      <c r="A192">
        <v>1955</v>
      </c>
      <c r="B192">
        <v>180573</v>
      </c>
      <c r="C192">
        <v>0</v>
      </c>
      <c r="D192">
        <v>0</v>
      </c>
      <c r="E192">
        <v>49</v>
      </c>
      <c r="F192">
        <v>0</v>
      </c>
      <c r="G192">
        <v>0</v>
      </c>
      <c r="H192">
        <v>0</v>
      </c>
      <c r="I192">
        <v>1</v>
      </c>
      <c r="J192">
        <v>0</v>
      </c>
      <c r="K192">
        <v>0</v>
      </c>
      <c r="L192">
        <v>0</v>
      </c>
      <c r="M192">
        <v>1</v>
      </c>
      <c r="N192">
        <v>0</v>
      </c>
      <c r="O192" t="str" cm="1">
        <f t="array" ref="O192">_xlfn.IFS(Table1[[#This Row],[Divorced]]=1, "Divorced", Table1[[#This Row],[Married]]=1, "Married", Table1[[#This Row],[Single]]=1, "Single", Table1[[#This Row],[Together]]=1, "Together", Table1[[#This Row],[Widow]]=1, "Widow")</f>
        <v>Together</v>
      </c>
      <c r="P192" t="str" cm="1">
        <f t="array" ref="P192">_xlfn.IFS(Table1[[#This Row],[Basic]]=1, "Basic", Table1[[#This Row],[Graduate]]=1, "Graduate", Table1[[#This Row],[Master]]=1, "Master", Table1[[#This Row],[PhD]]=1, "PhD", AND(Table1[[#This Row],[Basic]]=0, Table1[[#This Row],[Graduate]]=0, Table1[[#This Row],[Master]]=0, Table1[[#This Row],[PhD]]=0), "NA")</f>
        <v>Master</v>
      </c>
      <c r="Q192" t="e">
        <f>_xlfn.XLOOKUP(Table1[[#This Row],[ID]], Table2[ID],#REF!, "Not Found", 0)</f>
        <v>#REF!</v>
      </c>
      <c r="R192" t="e">
        <f>_xlfn.XLOOKUP(Table1[[#This Row],[ID]], Table2[ID],#REF!, "Not Found", 0)</f>
        <v>#REF!</v>
      </c>
      <c r="S192" s="3" t="str">
        <f>_xlfn.XLOOKUP(Table1[[#This Row],[ID]], Table2[ID], Table2[Enrollment], "Not Found", 0)</f>
        <v>3/21/2019</v>
      </c>
      <c r="T192" t="s">
        <v>434</v>
      </c>
    </row>
    <row r="193" spans="1:20" x14ac:dyDescent="0.3">
      <c r="A193">
        <v>2887</v>
      </c>
      <c r="B193">
        <v>180573</v>
      </c>
      <c r="C193">
        <v>0</v>
      </c>
      <c r="D193">
        <v>0</v>
      </c>
      <c r="E193">
        <v>49</v>
      </c>
      <c r="F193">
        <v>0</v>
      </c>
      <c r="G193">
        <v>0</v>
      </c>
      <c r="H193">
        <v>0</v>
      </c>
      <c r="I193">
        <v>1</v>
      </c>
      <c r="J193">
        <v>0</v>
      </c>
      <c r="K193">
        <v>0</v>
      </c>
      <c r="L193">
        <v>0</v>
      </c>
      <c r="M193">
        <v>1</v>
      </c>
      <c r="N193">
        <v>0</v>
      </c>
      <c r="O193" t="str" cm="1">
        <f t="array" ref="O193">_xlfn.IFS(Table1[[#This Row],[Divorced]]=1, "Divorced", Table1[[#This Row],[Married]]=1, "Married", Table1[[#This Row],[Single]]=1, "Single", Table1[[#This Row],[Together]]=1, "Together", Table1[[#This Row],[Widow]]=1, "Widow")</f>
        <v>Together</v>
      </c>
      <c r="P193" t="str" cm="1">
        <f t="array" ref="P193">_xlfn.IFS(Table1[[#This Row],[Basic]]=1, "Basic", Table1[[#This Row],[Graduate]]=1, "Graduate", Table1[[#This Row],[Master]]=1, "Master", Table1[[#This Row],[PhD]]=1, "PhD", AND(Table1[[#This Row],[Basic]]=0, Table1[[#This Row],[Graduate]]=0, Table1[[#This Row],[Master]]=0, Table1[[#This Row],[PhD]]=0), "NA")</f>
        <v>Master</v>
      </c>
      <c r="Q193" t="e">
        <f>_xlfn.XLOOKUP(Table1[[#This Row],[ID]], Table2[ID],#REF!, "Not Found", 0)</f>
        <v>#REF!</v>
      </c>
      <c r="R193" t="e">
        <f>_xlfn.XLOOKUP(Table1[[#This Row],[ID]], Table2[ID],#REF!, "Not Found", 0)</f>
        <v>#REF!</v>
      </c>
      <c r="S193" s="3" t="str">
        <f>_xlfn.XLOOKUP(Table1[[#This Row],[ID]], Table2[ID], Table2[Enrollment], "Not Found", 0)</f>
        <v>3/21/2019</v>
      </c>
      <c r="T193" t="s">
        <v>437</v>
      </c>
    </row>
    <row r="194" spans="1:20" x14ac:dyDescent="0.3">
      <c r="A194">
        <v>1164</v>
      </c>
      <c r="B194">
        <v>180427</v>
      </c>
      <c r="C194">
        <v>0</v>
      </c>
      <c r="D194">
        <v>1</v>
      </c>
      <c r="E194">
        <v>45</v>
      </c>
      <c r="F194">
        <v>0</v>
      </c>
      <c r="G194">
        <v>1</v>
      </c>
      <c r="H194">
        <v>0</v>
      </c>
      <c r="I194">
        <v>0</v>
      </c>
      <c r="J194">
        <v>0</v>
      </c>
      <c r="K194">
        <v>0</v>
      </c>
      <c r="L194">
        <v>0</v>
      </c>
      <c r="M194">
        <v>0</v>
      </c>
      <c r="N194">
        <v>1</v>
      </c>
      <c r="O194" t="str" cm="1">
        <f t="array" ref="O194">_xlfn.IFS(Table1[[#This Row],[Divorced]]=1, "Divorced", Table1[[#This Row],[Married]]=1, "Married", Table1[[#This Row],[Single]]=1, "Single", Table1[[#This Row],[Together]]=1, "Together", Table1[[#This Row],[Widow]]=1, "Widow")</f>
        <v>Married</v>
      </c>
      <c r="P194" t="str" cm="1">
        <f t="array" ref="P194">_xlfn.IFS(Table1[[#This Row],[Basic]]=1, "Basic", Table1[[#This Row],[Graduate]]=1, "Graduate", Table1[[#This Row],[Master]]=1, "Master", Table1[[#This Row],[PhD]]=1, "PhD", AND(Table1[[#This Row],[Basic]]=0, Table1[[#This Row],[Graduate]]=0, Table1[[#This Row],[Master]]=0, Table1[[#This Row],[PhD]]=0), "NA")</f>
        <v>PhD</v>
      </c>
      <c r="Q194" t="e">
        <f>_xlfn.XLOOKUP(Table1[[#This Row],[ID]], Table2[ID],#REF!, "Not Found", 0)</f>
        <v>#REF!</v>
      </c>
      <c r="R194" t="e">
        <f>_xlfn.XLOOKUP(Table1[[#This Row],[ID]], Table2[ID],#REF!, "Not Found", 0)</f>
        <v>#REF!</v>
      </c>
      <c r="S194" s="3" t="str">
        <f>_xlfn.XLOOKUP(Table1[[#This Row],[ID]], Table2[ID], Table2[Enrollment], "Not Found", 0)</f>
        <v>2/17/2019</v>
      </c>
      <c r="T194" t="s">
        <v>436</v>
      </c>
    </row>
    <row r="195" spans="1:20" x14ac:dyDescent="0.3">
      <c r="A195">
        <v>2688</v>
      </c>
      <c r="B195">
        <v>180398</v>
      </c>
      <c r="C195">
        <v>0</v>
      </c>
      <c r="D195">
        <v>0</v>
      </c>
      <c r="E195">
        <v>54</v>
      </c>
      <c r="F195">
        <v>0</v>
      </c>
      <c r="G195">
        <v>1</v>
      </c>
      <c r="H195">
        <v>0</v>
      </c>
      <c r="I195">
        <v>0</v>
      </c>
      <c r="J195">
        <v>0</v>
      </c>
      <c r="K195">
        <v>0</v>
      </c>
      <c r="L195">
        <v>1</v>
      </c>
      <c r="M195">
        <v>0</v>
      </c>
      <c r="N195">
        <v>0</v>
      </c>
      <c r="O195" t="str" cm="1">
        <f t="array" ref="O195">_xlfn.IFS(Table1[[#This Row],[Divorced]]=1, "Divorced", Table1[[#This Row],[Married]]=1, "Married", Table1[[#This Row],[Single]]=1, "Single", Table1[[#This Row],[Together]]=1, "Together", Table1[[#This Row],[Widow]]=1, "Widow")</f>
        <v>Married</v>
      </c>
      <c r="P195" t="str" cm="1">
        <f t="array" ref="P195">_xlfn.IFS(Table1[[#This Row],[Basic]]=1, "Basic", Table1[[#This Row],[Graduate]]=1, "Graduate", Table1[[#This Row],[Master]]=1, "Master", Table1[[#This Row],[PhD]]=1, "PhD", AND(Table1[[#This Row],[Basic]]=0, Table1[[#This Row],[Graduate]]=0, Table1[[#This Row],[Master]]=0, Table1[[#This Row],[PhD]]=0), "NA")</f>
        <v>Graduate</v>
      </c>
      <c r="Q195" t="e">
        <f>_xlfn.XLOOKUP(Table1[[#This Row],[ID]], Table2[ID],#REF!, "Not Found", 0)</f>
        <v>#REF!</v>
      </c>
      <c r="R195" t="e">
        <f>_xlfn.XLOOKUP(Table1[[#This Row],[ID]], Table2[ID],#REF!, "Not Found", 0)</f>
        <v>#REF!</v>
      </c>
      <c r="S195" s="3" t="str">
        <f>_xlfn.XLOOKUP(Table1[[#This Row],[ID]], Table2[ID], Table2[Enrollment], "Not Found", 0)</f>
        <v>4/17/2019</v>
      </c>
      <c r="T195" t="s">
        <v>436</v>
      </c>
    </row>
    <row r="196" spans="1:20" x14ac:dyDescent="0.3">
      <c r="A196">
        <v>1707</v>
      </c>
      <c r="B196">
        <v>180395</v>
      </c>
      <c r="C196">
        <v>0</v>
      </c>
      <c r="D196">
        <v>0</v>
      </c>
      <c r="E196">
        <v>65</v>
      </c>
      <c r="F196">
        <v>0</v>
      </c>
      <c r="G196">
        <v>1</v>
      </c>
      <c r="H196">
        <v>0</v>
      </c>
      <c r="I196">
        <v>0</v>
      </c>
      <c r="J196">
        <v>0</v>
      </c>
      <c r="K196">
        <v>0</v>
      </c>
      <c r="L196">
        <v>1</v>
      </c>
      <c r="M196">
        <v>0</v>
      </c>
      <c r="N196">
        <v>0</v>
      </c>
      <c r="O196" t="str" cm="1">
        <f t="array" ref="O196">_xlfn.IFS(Table1[[#This Row],[Divorced]]=1, "Divorced", Table1[[#This Row],[Married]]=1, "Married", Table1[[#This Row],[Single]]=1, "Single", Table1[[#This Row],[Together]]=1, "Together", Table1[[#This Row],[Widow]]=1, "Widow")</f>
        <v>Married</v>
      </c>
      <c r="P196" t="str" cm="1">
        <f t="array" ref="P196">_xlfn.IFS(Table1[[#This Row],[Basic]]=1, "Basic", Table1[[#This Row],[Graduate]]=1, "Graduate", Table1[[#This Row],[Master]]=1, "Master", Table1[[#This Row],[PhD]]=1, "PhD", AND(Table1[[#This Row],[Basic]]=0, Table1[[#This Row],[Graduate]]=0, Table1[[#This Row],[Master]]=0, Table1[[#This Row],[PhD]]=0), "NA")</f>
        <v>Graduate</v>
      </c>
      <c r="Q196" t="e">
        <f>_xlfn.XLOOKUP(Table1[[#This Row],[ID]], Table2[ID],#REF!, "Not Found", 0)</f>
        <v>#REF!</v>
      </c>
      <c r="R196" t="e">
        <f>_xlfn.XLOOKUP(Table1[[#This Row],[ID]], Table2[ID],#REF!, "Not Found", 0)</f>
        <v>#REF!</v>
      </c>
      <c r="S196" s="3" t="str">
        <f>_xlfn.XLOOKUP(Table1[[#This Row],[ID]], Table2[ID], Table2[Enrollment], "Not Found", 0)</f>
        <v>4/29/2020</v>
      </c>
      <c r="T196" t="s">
        <v>435</v>
      </c>
    </row>
    <row r="197" spans="1:20" x14ac:dyDescent="0.3">
      <c r="A197">
        <v>2724</v>
      </c>
      <c r="B197">
        <v>180360</v>
      </c>
      <c r="C197">
        <v>0</v>
      </c>
      <c r="D197">
        <v>0</v>
      </c>
      <c r="E197">
        <v>71</v>
      </c>
      <c r="F197">
        <v>0</v>
      </c>
      <c r="G197">
        <v>1</v>
      </c>
      <c r="H197">
        <v>0</v>
      </c>
      <c r="I197">
        <v>0</v>
      </c>
      <c r="J197">
        <v>0</v>
      </c>
      <c r="K197">
        <v>0</v>
      </c>
      <c r="L197">
        <v>0</v>
      </c>
      <c r="M197">
        <v>0</v>
      </c>
      <c r="N197">
        <v>1</v>
      </c>
      <c r="O197" t="str" cm="1">
        <f t="array" ref="O197">_xlfn.IFS(Table1[[#This Row],[Divorced]]=1, "Divorced", Table1[[#This Row],[Married]]=1, "Married", Table1[[#This Row],[Single]]=1, "Single", Table1[[#This Row],[Together]]=1, "Together", Table1[[#This Row],[Widow]]=1, "Widow")</f>
        <v>Married</v>
      </c>
      <c r="P197" t="str" cm="1">
        <f t="array" ref="P197">_xlfn.IFS(Table1[[#This Row],[Basic]]=1, "Basic", Table1[[#This Row],[Graduate]]=1, "Graduate", Table1[[#This Row],[Master]]=1, "Master", Table1[[#This Row],[PhD]]=1, "PhD", AND(Table1[[#This Row],[Basic]]=0, Table1[[#This Row],[Graduate]]=0, Table1[[#This Row],[Master]]=0, Table1[[#This Row],[PhD]]=0), "NA")</f>
        <v>PhD</v>
      </c>
      <c r="Q197" t="e">
        <f>_xlfn.XLOOKUP(Table1[[#This Row],[ID]], Table2[ID],#REF!, "Not Found", 0)</f>
        <v>#REF!</v>
      </c>
      <c r="R197" t="e">
        <f>_xlfn.XLOOKUP(Table1[[#This Row],[ID]], Table2[ID],#REF!, "Not Found", 0)</f>
        <v>#REF!</v>
      </c>
      <c r="S197" s="3">
        <f>_xlfn.XLOOKUP(Table1[[#This Row],[ID]], Table2[ID], Table2[Enrollment], "Not Found", 0)</f>
        <v>43685</v>
      </c>
      <c r="T197" t="s">
        <v>436</v>
      </c>
    </row>
    <row r="198" spans="1:20" x14ac:dyDescent="0.3">
      <c r="A198">
        <v>2811</v>
      </c>
      <c r="B198">
        <v>180336</v>
      </c>
      <c r="C198">
        <v>0</v>
      </c>
      <c r="D198">
        <v>0</v>
      </c>
      <c r="E198">
        <v>50</v>
      </c>
      <c r="F198">
        <v>0</v>
      </c>
      <c r="G198">
        <v>1</v>
      </c>
      <c r="H198">
        <v>0</v>
      </c>
      <c r="I198">
        <v>0</v>
      </c>
      <c r="J198">
        <v>0</v>
      </c>
      <c r="K198">
        <v>0</v>
      </c>
      <c r="L198">
        <v>0</v>
      </c>
      <c r="M198">
        <v>0</v>
      </c>
      <c r="N198">
        <v>1</v>
      </c>
      <c r="O198" t="str" cm="1">
        <f t="array" ref="O198">_xlfn.IFS(Table1[[#This Row],[Divorced]]=1, "Divorced", Table1[[#This Row],[Married]]=1, "Married", Table1[[#This Row],[Single]]=1, "Single", Table1[[#This Row],[Together]]=1, "Together", Table1[[#This Row],[Widow]]=1, "Widow")</f>
        <v>Married</v>
      </c>
      <c r="P198" t="str" cm="1">
        <f t="array" ref="P198">_xlfn.IFS(Table1[[#This Row],[Basic]]=1, "Basic", Table1[[#This Row],[Graduate]]=1, "Graduate", Table1[[#This Row],[Master]]=1, "Master", Table1[[#This Row],[PhD]]=1, "PhD", AND(Table1[[#This Row],[Basic]]=0, Table1[[#This Row],[Graduate]]=0, Table1[[#This Row],[Master]]=0, Table1[[#This Row],[PhD]]=0), "NA")</f>
        <v>PhD</v>
      </c>
      <c r="Q198" t="e">
        <f>_xlfn.XLOOKUP(Table1[[#This Row],[ID]], Table2[ID],#REF!, "Not Found", 0)</f>
        <v>#REF!</v>
      </c>
      <c r="R198" t="e">
        <f>_xlfn.XLOOKUP(Table1[[#This Row],[ID]], Table2[ID],#REF!, "Not Found", 0)</f>
        <v>#REF!</v>
      </c>
      <c r="S198" s="3" t="str">
        <f>_xlfn.XLOOKUP(Table1[[#This Row],[ID]], Table2[ID], Table2[Enrollment], "Not Found", 0)</f>
        <v>2/14/2020</v>
      </c>
      <c r="T198" t="s">
        <v>435</v>
      </c>
    </row>
    <row r="199" spans="1:20" x14ac:dyDescent="0.3">
      <c r="A199">
        <v>1149</v>
      </c>
      <c r="B199">
        <v>180317</v>
      </c>
      <c r="C199">
        <v>0</v>
      </c>
      <c r="D199">
        <v>0</v>
      </c>
      <c r="E199">
        <v>65</v>
      </c>
      <c r="F199">
        <v>0</v>
      </c>
      <c r="G199">
        <v>0</v>
      </c>
      <c r="H199">
        <v>1</v>
      </c>
      <c r="I199">
        <v>0</v>
      </c>
      <c r="J199">
        <v>0</v>
      </c>
      <c r="K199">
        <v>0</v>
      </c>
      <c r="L199">
        <v>1</v>
      </c>
      <c r="M199">
        <v>0</v>
      </c>
      <c r="N199">
        <v>0</v>
      </c>
      <c r="O199" t="str" cm="1">
        <f t="array" ref="O199">_xlfn.IFS(Table1[[#This Row],[Divorced]]=1, "Divorced", Table1[[#This Row],[Married]]=1, "Married", Table1[[#This Row],[Single]]=1, "Single", Table1[[#This Row],[Together]]=1, "Together", Table1[[#This Row],[Widow]]=1, "Widow")</f>
        <v>Single</v>
      </c>
      <c r="P199" t="str" cm="1">
        <f t="array" ref="P199">_xlfn.IFS(Table1[[#This Row],[Basic]]=1, "Basic", Table1[[#This Row],[Graduate]]=1, "Graduate", Table1[[#This Row],[Master]]=1, "Master", Table1[[#This Row],[PhD]]=1, "PhD", AND(Table1[[#This Row],[Basic]]=0, Table1[[#This Row],[Graduate]]=0, Table1[[#This Row],[Master]]=0, Table1[[#This Row],[PhD]]=0), "NA")</f>
        <v>Graduate</v>
      </c>
      <c r="Q199" t="e">
        <f>_xlfn.XLOOKUP(Table1[[#This Row],[ID]], Table2[ID],#REF!, "Not Found", 0)</f>
        <v>#REF!</v>
      </c>
      <c r="R199" t="e">
        <f>_xlfn.XLOOKUP(Table1[[#This Row],[ID]], Table2[ID],#REF!, "Not Found", 0)</f>
        <v>#REF!</v>
      </c>
      <c r="S199" s="3" t="str">
        <f>_xlfn.XLOOKUP(Table1[[#This Row],[ID]], Table2[ID], Table2[Enrollment], "Not Found", 0)</f>
        <v>1/25/2020</v>
      </c>
      <c r="T199" t="s">
        <v>435</v>
      </c>
    </row>
    <row r="200" spans="1:20" x14ac:dyDescent="0.3">
      <c r="A200">
        <v>1503</v>
      </c>
      <c r="B200">
        <v>180184</v>
      </c>
      <c r="C200">
        <v>0</v>
      </c>
      <c r="D200">
        <v>0</v>
      </c>
      <c r="E200">
        <v>76</v>
      </c>
      <c r="F200">
        <v>0</v>
      </c>
      <c r="G200">
        <v>1</v>
      </c>
      <c r="H200">
        <v>0</v>
      </c>
      <c r="I200">
        <v>0</v>
      </c>
      <c r="J200">
        <v>0</v>
      </c>
      <c r="K200">
        <v>0</v>
      </c>
      <c r="L200">
        <v>0</v>
      </c>
      <c r="M200">
        <v>1</v>
      </c>
      <c r="N200">
        <v>0</v>
      </c>
      <c r="O200" t="str" cm="1">
        <f t="array" ref="O200">_xlfn.IFS(Table1[[#This Row],[Divorced]]=1, "Divorced", Table1[[#This Row],[Married]]=1, "Married", Table1[[#This Row],[Single]]=1, "Single", Table1[[#This Row],[Together]]=1, "Together", Table1[[#This Row],[Widow]]=1, "Widow")</f>
        <v>Married</v>
      </c>
      <c r="P200" t="str" cm="1">
        <f t="array" ref="P200">_xlfn.IFS(Table1[[#This Row],[Basic]]=1, "Basic", Table1[[#This Row],[Graduate]]=1, "Graduate", Table1[[#This Row],[Master]]=1, "Master", Table1[[#This Row],[PhD]]=1, "PhD", AND(Table1[[#This Row],[Basic]]=0, Table1[[#This Row],[Graduate]]=0, Table1[[#This Row],[Master]]=0, Table1[[#This Row],[PhD]]=0), "NA")</f>
        <v>Master</v>
      </c>
      <c r="Q200" t="e">
        <f>_xlfn.XLOOKUP(Table1[[#This Row],[ID]], Table2[ID],#REF!, "Not Found", 0)</f>
        <v>#REF!</v>
      </c>
      <c r="R200" t="e">
        <f>_xlfn.XLOOKUP(Table1[[#This Row],[ID]], Table2[ID],#REF!, "Not Found", 0)</f>
        <v>#REF!</v>
      </c>
      <c r="S200" s="3">
        <f>_xlfn.XLOOKUP(Table1[[#This Row],[ID]], Table2[ID], Table2[Enrollment], "Not Found", 0)</f>
        <v>43959</v>
      </c>
      <c r="T200" t="s">
        <v>435</v>
      </c>
    </row>
    <row r="201" spans="1:20" x14ac:dyDescent="0.3">
      <c r="A201">
        <v>3065</v>
      </c>
      <c r="B201">
        <v>180144</v>
      </c>
      <c r="C201">
        <v>0</v>
      </c>
      <c r="D201">
        <v>0</v>
      </c>
      <c r="E201">
        <v>45</v>
      </c>
      <c r="F201">
        <v>0</v>
      </c>
      <c r="G201">
        <v>0</v>
      </c>
      <c r="H201">
        <v>0</v>
      </c>
      <c r="I201">
        <v>1</v>
      </c>
      <c r="J201">
        <v>0</v>
      </c>
      <c r="K201">
        <v>0</v>
      </c>
      <c r="L201">
        <v>1</v>
      </c>
      <c r="M201">
        <v>0</v>
      </c>
      <c r="N201">
        <v>0</v>
      </c>
      <c r="O201" t="str" cm="1">
        <f t="array" ref="O201">_xlfn.IFS(Table1[[#This Row],[Divorced]]=1, "Divorced", Table1[[#This Row],[Married]]=1, "Married", Table1[[#This Row],[Single]]=1, "Single", Table1[[#This Row],[Together]]=1, "Together", Table1[[#This Row],[Widow]]=1, "Widow")</f>
        <v>Together</v>
      </c>
      <c r="P201" t="str" cm="1">
        <f t="array" ref="P201">_xlfn.IFS(Table1[[#This Row],[Basic]]=1, "Basic", Table1[[#This Row],[Graduate]]=1, "Graduate", Table1[[#This Row],[Master]]=1, "Master", Table1[[#This Row],[PhD]]=1, "PhD", AND(Table1[[#This Row],[Basic]]=0, Table1[[#This Row],[Graduate]]=0, Table1[[#This Row],[Master]]=0, Table1[[#This Row],[PhD]]=0), "NA")</f>
        <v>Graduate</v>
      </c>
      <c r="Q201" t="e">
        <f>_xlfn.XLOOKUP(Table1[[#This Row],[ID]], Table2[ID],#REF!, "Not Found", 0)</f>
        <v>#REF!</v>
      </c>
      <c r="R201" t="e">
        <f>_xlfn.XLOOKUP(Table1[[#This Row],[ID]], Table2[ID],#REF!, "Not Found", 0)</f>
        <v>#REF!</v>
      </c>
      <c r="S201" s="3">
        <f>_xlfn.XLOOKUP(Table1[[#This Row],[ID]], Table2[ID], Table2[Enrollment], "Not Found", 0)</f>
        <v>43985</v>
      </c>
      <c r="T201" t="s">
        <v>434</v>
      </c>
    </row>
    <row r="202" spans="1:20" x14ac:dyDescent="0.3">
      <c r="A202">
        <v>2647</v>
      </c>
      <c r="B202">
        <v>180141</v>
      </c>
      <c r="C202">
        <v>0</v>
      </c>
      <c r="D202">
        <v>0</v>
      </c>
      <c r="E202">
        <v>34</v>
      </c>
      <c r="F202">
        <v>0</v>
      </c>
      <c r="G202">
        <v>1</v>
      </c>
      <c r="H202">
        <v>0</v>
      </c>
      <c r="I202">
        <v>0</v>
      </c>
      <c r="J202">
        <v>0</v>
      </c>
      <c r="K202">
        <v>0</v>
      </c>
      <c r="L202">
        <v>0</v>
      </c>
      <c r="M202">
        <v>1</v>
      </c>
      <c r="N202">
        <v>0</v>
      </c>
      <c r="O202" t="str" cm="1">
        <f t="array" ref="O202">_xlfn.IFS(Table1[[#This Row],[Divorced]]=1, "Divorced", Table1[[#This Row],[Married]]=1, "Married", Table1[[#This Row],[Single]]=1, "Single", Table1[[#This Row],[Together]]=1, "Together", Table1[[#This Row],[Widow]]=1, "Widow")</f>
        <v>Married</v>
      </c>
      <c r="P202" t="str" cm="1">
        <f t="array" ref="P202">_xlfn.IFS(Table1[[#This Row],[Basic]]=1, "Basic", Table1[[#This Row],[Graduate]]=1, "Graduate", Table1[[#This Row],[Master]]=1, "Master", Table1[[#This Row],[PhD]]=1, "PhD", AND(Table1[[#This Row],[Basic]]=0, Table1[[#This Row],[Graduate]]=0, Table1[[#This Row],[Master]]=0, Table1[[#This Row],[PhD]]=0), "NA")</f>
        <v>Master</v>
      </c>
      <c r="Q202" t="e">
        <f>_xlfn.XLOOKUP(Table1[[#This Row],[ID]], Table2[ID],#REF!, "Not Found", 0)</f>
        <v>#REF!</v>
      </c>
      <c r="R202" t="e">
        <f>_xlfn.XLOOKUP(Table1[[#This Row],[ID]], Table2[ID],#REF!, "Not Found", 0)</f>
        <v>#REF!</v>
      </c>
      <c r="S202" s="3" t="str">
        <f>_xlfn.XLOOKUP(Table1[[#This Row],[ID]], Table2[ID], Table2[Enrollment], "Not Found", 0)</f>
        <v>6/18/2019</v>
      </c>
      <c r="T202" t="s">
        <v>437</v>
      </c>
    </row>
    <row r="203" spans="1:20" x14ac:dyDescent="0.3">
      <c r="A203">
        <v>1233</v>
      </c>
      <c r="B203">
        <v>180134</v>
      </c>
      <c r="C203">
        <v>1</v>
      </c>
      <c r="D203">
        <v>0</v>
      </c>
      <c r="E203">
        <v>48</v>
      </c>
      <c r="F203">
        <v>0</v>
      </c>
      <c r="G203">
        <v>1</v>
      </c>
      <c r="H203">
        <v>0</v>
      </c>
      <c r="I203">
        <v>0</v>
      </c>
      <c r="J203">
        <v>0</v>
      </c>
      <c r="K203">
        <v>0</v>
      </c>
      <c r="L203">
        <v>1</v>
      </c>
      <c r="M203">
        <v>0</v>
      </c>
      <c r="N203">
        <v>0</v>
      </c>
      <c r="O203" t="str" cm="1">
        <f t="array" ref="O203">_xlfn.IFS(Table1[[#This Row],[Divorced]]=1, "Divorced", Table1[[#This Row],[Married]]=1, "Married", Table1[[#This Row],[Single]]=1, "Single", Table1[[#This Row],[Together]]=1, "Together", Table1[[#This Row],[Widow]]=1, "Widow")</f>
        <v>Married</v>
      </c>
      <c r="P203" t="str" cm="1">
        <f t="array" ref="P203">_xlfn.IFS(Table1[[#This Row],[Basic]]=1, "Basic", Table1[[#This Row],[Graduate]]=1, "Graduate", Table1[[#This Row],[Master]]=1, "Master", Table1[[#This Row],[PhD]]=1, "PhD", AND(Table1[[#This Row],[Basic]]=0, Table1[[#This Row],[Graduate]]=0, Table1[[#This Row],[Master]]=0, Table1[[#This Row],[PhD]]=0), "NA")</f>
        <v>Graduate</v>
      </c>
      <c r="Q203" t="e">
        <f>_xlfn.XLOOKUP(Table1[[#This Row],[ID]], Table2[ID],#REF!, "Not Found", 0)</f>
        <v>#REF!</v>
      </c>
      <c r="R203" t="e">
        <f>_xlfn.XLOOKUP(Table1[[#This Row],[ID]], Table2[ID],#REF!, "Not Found", 0)</f>
        <v>#REF!</v>
      </c>
      <c r="S203" s="3" t="str">
        <f>_xlfn.XLOOKUP(Table1[[#This Row],[ID]], Table2[ID], Table2[Enrollment], "Not Found", 0)</f>
        <v>10/25/2019</v>
      </c>
      <c r="T203" t="s">
        <v>435</v>
      </c>
    </row>
    <row r="204" spans="1:20" x14ac:dyDescent="0.3">
      <c r="A204">
        <v>2387</v>
      </c>
      <c r="B204">
        <v>180134</v>
      </c>
      <c r="C204">
        <v>1</v>
      </c>
      <c r="D204">
        <v>0</v>
      </c>
      <c r="E204">
        <v>48</v>
      </c>
      <c r="F204">
        <v>0</v>
      </c>
      <c r="G204">
        <v>1</v>
      </c>
      <c r="H204">
        <v>0</v>
      </c>
      <c r="I204">
        <v>0</v>
      </c>
      <c r="J204">
        <v>0</v>
      </c>
      <c r="K204">
        <v>0</v>
      </c>
      <c r="L204">
        <v>1</v>
      </c>
      <c r="M204">
        <v>0</v>
      </c>
      <c r="N204">
        <v>0</v>
      </c>
      <c r="O204" t="str" cm="1">
        <f t="array" ref="O204">_xlfn.IFS(Table1[[#This Row],[Divorced]]=1, "Divorced", Table1[[#This Row],[Married]]=1, "Married", Table1[[#This Row],[Single]]=1, "Single", Table1[[#This Row],[Together]]=1, "Together", Table1[[#This Row],[Widow]]=1, "Widow")</f>
        <v>Married</v>
      </c>
      <c r="P204" t="str" cm="1">
        <f t="array" ref="P204">_xlfn.IFS(Table1[[#This Row],[Basic]]=1, "Basic", Table1[[#This Row],[Graduate]]=1, "Graduate", Table1[[#This Row],[Master]]=1, "Master", Table1[[#This Row],[PhD]]=1, "PhD", AND(Table1[[#This Row],[Basic]]=0, Table1[[#This Row],[Graduate]]=0, Table1[[#This Row],[Master]]=0, Table1[[#This Row],[PhD]]=0), "NA")</f>
        <v>Graduate</v>
      </c>
      <c r="Q204" t="e">
        <f>_xlfn.XLOOKUP(Table1[[#This Row],[ID]], Table2[ID],#REF!, "Not Found", 0)</f>
        <v>#REF!</v>
      </c>
      <c r="R204" t="e">
        <f>_xlfn.XLOOKUP(Table1[[#This Row],[ID]], Table2[ID],#REF!, "Not Found", 0)</f>
        <v>#REF!</v>
      </c>
      <c r="S204" s="3" t="str">
        <f>_xlfn.XLOOKUP(Table1[[#This Row],[ID]], Table2[ID], Table2[Enrollment], "Not Found", 0)</f>
        <v>10/25/2019</v>
      </c>
      <c r="T204" t="s">
        <v>434</v>
      </c>
    </row>
    <row r="205" spans="1:20" x14ac:dyDescent="0.3">
      <c r="A205">
        <v>1401</v>
      </c>
      <c r="B205">
        <v>180134</v>
      </c>
      <c r="C205">
        <v>0</v>
      </c>
      <c r="D205">
        <v>0</v>
      </c>
      <c r="E205">
        <v>26</v>
      </c>
      <c r="F205">
        <v>0</v>
      </c>
      <c r="G205">
        <v>0</v>
      </c>
      <c r="H205">
        <v>0</v>
      </c>
      <c r="I205">
        <v>1</v>
      </c>
      <c r="J205">
        <v>0</v>
      </c>
      <c r="K205">
        <v>0</v>
      </c>
      <c r="L205">
        <v>1</v>
      </c>
      <c r="M205">
        <v>0</v>
      </c>
      <c r="N205">
        <v>0</v>
      </c>
      <c r="O205" t="str" cm="1">
        <f t="array" ref="O205">_xlfn.IFS(Table1[[#This Row],[Divorced]]=1, "Divorced", Table1[[#This Row],[Married]]=1, "Married", Table1[[#This Row],[Single]]=1, "Single", Table1[[#This Row],[Together]]=1, "Together", Table1[[#This Row],[Widow]]=1, "Widow")</f>
        <v>Together</v>
      </c>
      <c r="P205" t="str" cm="1">
        <f t="array" ref="P205">_xlfn.IFS(Table1[[#This Row],[Basic]]=1, "Basic", Table1[[#This Row],[Graduate]]=1, "Graduate", Table1[[#This Row],[Master]]=1, "Master", Table1[[#This Row],[PhD]]=1, "PhD", AND(Table1[[#This Row],[Basic]]=0, Table1[[#This Row],[Graduate]]=0, Table1[[#This Row],[Master]]=0, Table1[[#This Row],[PhD]]=0), "NA")</f>
        <v>Graduate</v>
      </c>
      <c r="Q205" t="e">
        <f>_xlfn.XLOOKUP(Table1[[#This Row],[ID]], Table2[ID],#REF!, "Not Found", 0)</f>
        <v>#REF!</v>
      </c>
      <c r="R205" t="e">
        <f>_xlfn.XLOOKUP(Table1[[#This Row],[ID]], Table2[ID],#REF!, "Not Found", 0)</f>
        <v>#REF!</v>
      </c>
      <c r="S205" s="3" t="str">
        <f>_xlfn.XLOOKUP(Table1[[#This Row],[ID]], Table2[ID], Table2[Enrollment], "Not Found", 0)</f>
        <v>7/21/2020</v>
      </c>
      <c r="T205" t="s">
        <v>435</v>
      </c>
    </row>
    <row r="206" spans="1:20" x14ac:dyDescent="0.3">
      <c r="A206">
        <v>1253</v>
      </c>
      <c r="B206">
        <v>180124</v>
      </c>
      <c r="C206">
        <v>0</v>
      </c>
      <c r="D206">
        <v>0</v>
      </c>
      <c r="E206">
        <v>57</v>
      </c>
      <c r="F206">
        <v>0</v>
      </c>
      <c r="G206">
        <v>1</v>
      </c>
      <c r="H206">
        <v>0</v>
      </c>
      <c r="I206">
        <v>0</v>
      </c>
      <c r="J206">
        <v>0</v>
      </c>
      <c r="K206">
        <v>0</v>
      </c>
      <c r="L206">
        <v>1</v>
      </c>
      <c r="M206">
        <v>0</v>
      </c>
      <c r="N206">
        <v>0</v>
      </c>
      <c r="O206" t="str" cm="1">
        <f t="array" ref="O206">_xlfn.IFS(Table1[[#This Row],[Divorced]]=1, "Divorced", Table1[[#This Row],[Married]]=1, "Married", Table1[[#This Row],[Single]]=1, "Single", Table1[[#This Row],[Together]]=1, "Together", Table1[[#This Row],[Widow]]=1, "Widow")</f>
        <v>Married</v>
      </c>
      <c r="P206" t="str" cm="1">
        <f t="array" ref="P206">_xlfn.IFS(Table1[[#This Row],[Basic]]=1, "Basic", Table1[[#This Row],[Graduate]]=1, "Graduate", Table1[[#This Row],[Master]]=1, "Master", Table1[[#This Row],[PhD]]=1, "PhD", AND(Table1[[#This Row],[Basic]]=0, Table1[[#This Row],[Graduate]]=0, Table1[[#This Row],[Master]]=0, Table1[[#This Row],[PhD]]=0), "NA")</f>
        <v>Graduate</v>
      </c>
      <c r="Q206" t="e">
        <f>_xlfn.XLOOKUP(Table1[[#This Row],[ID]], Table2[ID],#REF!, "Not Found", 0)</f>
        <v>#REF!</v>
      </c>
      <c r="R206" t="e">
        <f>_xlfn.XLOOKUP(Table1[[#This Row],[ID]], Table2[ID],#REF!, "Not Found", 0)</f>
        <v>#REF!</v>
      </c>
      <c r="S206" s="3" t="str">
        <f>_xlfn.XLOOKUP(Table1[[#This Row],[ID]], Table2[ID], Table2[Enrollment], "Not Found", 0)</f>
        <v>11/30/2020</v>
      </c>
      <c r="T206" t="s">
        <v>434</v>
      </c>
    </row>
    <row r="207" spans="1:20" x14ac:dyDescent="0.3">
      <c r="A207">
        <v>1447</v>
      </c>
      <c r="B207">
        <v>180124</v>
      </c>
      <c r="C207">
        <v>0</v>
      </c>
      <c r="D207">
        <v>0</v>
      </c>
      <c r="E207">
        <v>57</v>
      </c>
      <c r="F207">
        <v>0</v>
      </c>
      <c r="G207">
        <v>1</v>
      </c>
      <c r="H207">
        <v>0</v>
      </c>
      <c r="I207">
        <v>0</v>
      </c>
      <c r="J207">
        <v>0</v>
      </c>
      <c r="K207">
        <v>0</v>
      </c>
      <c r="L207">
        <v>1</v>
      </c>
      <c r="M207">
        <v>0</v>
      </c>
      <c r="N207">
        <v>0</v>
      </c>
      <c r="O207" t="str" cm="1">
        <f t="array" ref="O207">_xlfn.IFS(Table1[[#This Row],[Divorced]]=1, "Divorced", Table1[[#This Row],[Married]]=1, "Married", Table1[[#This Row],[Single]]=1, "Single", Table1[[#This Row],[Together]]=1, "Together", Table1[[#This Row],[Widow]]=1, "Widow")</f>
        <v>Married</v>
      </c>
      <c r="P207" t="str" cm="1">
        <f t="array" ref="P207">_xlfn.IFS(Table1[[#This Row],[Basic]]=1, "Basic", Table1[[#This Row],[Graduate]]=1, "Graduate", Table1[[#This Row],[Master]]=1, "Master", Table1[[#This Row],[PhD]]=1, "PhD", AND(Table1[[#This Row],[Basic]]=0, Table1[[#This Row],[Graduate]]=0, Table1[[#This Row],[Master]]=0, Table1[[#This Row],[PhD]]=0), "NA")</f>
        <v>Graduate</v>
      </c>
      <c r="Q207" t="e">
        <f>_xlfn.XLOOKUP(Table1[[#This Row],[ID]], Table2[ID],#REF!, "Not Found", 0)</f>
        <v>#REF!</v>
      </c>
      <c r="R207" t="e">
        <f>_xlfn.XLOOKUP(Table1[[#This Row],[ID]], Table2[ID],#REF!, "Not Found", 0)</f>
        <v>#REF!</v>
      </c>
      <c r="S207" s="3" t="str">
        <f>_xlfn.XLOOKUP(Table1[[#This Row],[ID]], Table2[ID], Table2[Enrollment], "Not Found", 0)</f>
        <v>11/30/2020</v>
      </c>
      <c r="T207" t="s">
        <v>437</v>
      </c>
    </row>
    <row r="208" spans="1:20" x14ac:dyDescent="0.3">
      <c r="A208">
        <v>1185</v>
      </c>
      <c r="B208">
        <v>180067</v>
      </c>
      <c r="C208">
        <v>0</v>
      </c>
      <c r="D208">
        <v>0</v>
      </c>
      <c r="E208">
        <v>66</v>
      </c>
      <c r="F208">
        <v>0</v>
      </c>
      <c r="G208">
        <v>1</v>
      </c>
      <c r="H208">
        <v>0</v>
      </c>
      <c r="I208">
        <v>0</v>
      </c>
      <c r="J208">
        <v>0</v>
      </c>
      <c r="K208">
        <v>0</v>
      </c>
      <c r="L208">
        <v>1</v>
      </c>
      <c r="M208">
        <v>0</v>
      </c>
      <c r="N208">
        <v>0</v>
      </c>
      <c r="O208" t="str" cm="1">
        <f t="array" ref="O208">_xlfn.IFS(Table1[[#This Row],[Divorced]]=1, "Divorced", Table1[[#This Row],[Married]]=1, "Married", Table1[[#This Row],[Single]]=1, "Single", Table1[[#This Row],[Together]]=1, "Together", Table1[[#This Row],[Widow]]=1, "Widow")</f>
        <v>Married</v>
      </c>
      <c r="P208" t="str" cm="1">
        <f t="array" ref="P208">_xlfn.IFS(Table1[[#This Row],[Basic]]=1, "Basic", Table1[[#This Row],[Graduate]]=1, "Graduate", Table1[[#This Row],[Master]]=1, "Master", Table1[[#This Row],[PhD]]=1, "PhD", AND(Table1[[#This Row],[Basic]]=0, Table1[[#This Row],[Graduate]]=0, Table1[[#This Row],[Master]]=0, Table1[[#This Row],[PhD]]=0), "NA")</f>
        <v>Graduate</v>
      </c>
      <c r="Q208" t="e">
        <f>_xlfn.XLOOKUP(Table1[[#This Row],[ID]], Table2[ID],#REF!, "Not Found", 0)</f>
        <v>#REF!</v>
      </c>
      <c r="R208" t="e">
        <f>_xlfn.XLOOKUP(Table1[[#This Row],[ID]], Table2[ID],#REF!, "Not Found", 0)</f>
        <v>#REF!</v>
      </c>
      <c r="S208" s="3" t="str">
        <f>_xlfn.XLOOKUP(Table1[[#This Row],[ID]], Table2[ID], Table2[Enrollment], "Not Found", 0)</f>
        <v>2/24/2020</v>
      </c>
      <c r="T208" t="s">
        <v>435</v>
      </c>
    </row>
    <row r="209" spans="1:20" x14ac:dyDescent="0.3">
      <c r="A209">
        <v>1039</v>
      </c>
      <c r="B209">
        <v>180011</v>
      </c>
      <c r="C209">
        <v>0</v>
      </c>
      <c r="D209">
        <v>1</v>
      </c>
      <c r="E209">
        <v>40</v>
      </c>
      <c r="F209">
        <v>0</v>
      </c>
      <c r="G209">
        <v>1</v>
      </c>
      <c r="H209">
        <v>0</v>
      </c>
      <c r="I209">
        <v>0</v>
      </c>
      <c r="J209">
        <v>0</v>
      </c>
      <c r="K209">
        <v>0</v>
      </c>
      <c r="L209">
        <v>1</v>
      </c>
      <c r="M209">
        <v>0</v>
      </c>
      <c r="N209">
        <v>0</v>
      </c>
      <c r="O209" t="str" cm="1">
        <f t="array" ref="O209">_xlfn.IFS(Table1[[#This Row],[Divorced]]=1, "Divorced", Table1[[#This Row],[Married]]=1, "Married", Table1[[#This Row],[Single]]=1, "Single", Table1[[#This Row],[Together]]=1, "Together", Table1[[#This Row],[Widow]]=1, "Widow")</f>
        <v>Married</v>
      </c>
      <c r="P209" t="str" cm="1">
        <f t="array" ref="P209">_xlfn.IFS(Table1[[#This Row],[Basic]]=1, "Basic", Table1[[#This Row],[Graduate]]=1, "Graduate", Table1[[#This Row],[Master]]=1, "Master", Table1[[#This Row],[PhD]]=1, "PhD", AND(Table1[[#This Row],[Basic]]=0, Table1[[#This Row],[Graduate]]=0, Table1[[#This Row],[Master]]=0, Table1[[#This Row],[PhD]]=0), "NA")</f>
        <v>Graduate</v>
      </c>
      <c r="Q209" t="e">
        <f>_xlfn.XLOOKUP(Table1[[#This Row],[ID]], Table2[ID],#REF!, "Not Found", 0)</f>
        <v>#REF!</v>
      </c>
      <c r="R209" t="e">
        <f>_xlfn.XLOOKUP(Table1[[#This Row],[ID]], Table2[ID],#REF!, "Not Found", 0)</f>
        <v>#REF!</v>
      </c>
      <c r="S209" s="3">
        <f>_xlfn.XLOOKUP(Table1[[#This Row],[ID]], Table2[ID], Table2[Enrollment], "Not Found", 0)</f>
        <v>43565</v>
      </c>
      <c r="T209" t="s">
        <v>437</v>
      </c>
    </row>
    <row r="210" spans="1:20" x14ac:dyDescent="0.3">
      <c r="A210">
        <v>1275</v>
      </c>
      <c r="B210">
        <v>179946</v>
      </c>
      <c r="C210">
        <v>0</v>
      </c>
      <c r="D210">
        <v>0</v>
      </c>
      <c r="E210">
        <v>54</v>
      </c>
      <c r="F210">
        <v>0</v>
      </c>
      <c r="G210">
        <v>0</v>
      </c>
      <c r="H210">
        <v>0</v>
      </c>
      <c r="I210">
        <v>0</v>
      </c>
      <c r="J210">
        <v>1</v>
      </c>
      <c r="K210">
        <v>0</v>
      </c>
      <c r="L210">
        <v>1</v>
      </c>
      <c r="M210">
        <v>0</v>
      </c>
      <c r="N210">
        <v>0</v>
      </c>
      <c r="O210" t="str" cm="1">
        <f t="array" ref="O210">_xlfn.IFS(Table1[[#This Row],[Divorced]]=1, "Divorced", Table1[[#This Row],[Married]]=1, "Married", Table1[[#This Row],[Single]]=1, "Single", Table1[[#This Row],[Together]]=1, "Together", Table1[[#This Row],[Widow]]=1, "Widow")</f>
        <v>Widow</v>
      </c>
      <c r="P210" t="str" cm="1">
        <f t="array" ref="P210">_xlfn.IFS(Table1[[#This Row],[Basic]]=1, "Basic", Table1[[#This Row],[Graduate]]=1, "Graduate", Table1[[#This Row],[Master]]=1, "Master", Table1[[#This Row],[PhD]]=1, "PhD", AND(Table1[[#This Row],[Basic]]=0, Table1[[#This Row],[Graduate]]=0, Table1[[#This Row],[Master]]=0, Table1[[#This Row],[PhD]]=0), "NA")</f>
        <v>Graduate</v>
      </c>
      <c r="Q210" t="e">
        <f>_xlfn.XLOOKUP(Table1[[#This Row],[ID]], Table2[ID],#REF!, "Not Found", 0)</f>
        <v>#REF!</v>
      </c>
      <c r="R210" t="e">
        <f>_xlfn.XLOOKUP(Table1[[#This Row],[ID]], Table2[ID],#REF!, "Not Found", 0)</f>
        <v>#REF!</v>
      </c>
      <c r="S210" s="3" t="str">
        <f>_xlfn.XLOOKUP(Table1[[#This Row],[ID]], Table2[ID], Table2[Enrollment], "Not Found", 0)</f>
        <v>10/16/2020</v>
      </c>
      <c r="T210" t="s">
        <v>435</v>
      </c>
    </row>
    <row r="211" spans="1:20" x14ac:dyDescent="0.3">
      <c r="A211">
        <v>1043</v>
      </c>
      <c r="B211">
        <v>179941</v>
      </c>
      <c r="C211">
        <v>0</v>
      </c>
      <c r="D211">
        <v>0</v>
      </c>
      <c r="E211">
        <v>44</v>
      </c>
      <c r="F211">
        <v>0</v>
      </c>
      <c r="G211">
        <v>0</v>
      </c>
      <c r="H211">
        <v>1</v>
      </c>
      <c r="I211">
        <v>0</v>
      </c>
      <c r="J211">
        <v>0</v>
      </c>
      <c r="K211">
        <v>0</v>
      </c>
      <c r="L211">
        <v>1</v>
      </c>
      <c r="M211">
        <v>0</v>
      </c>
      <c r="N211">
        <v>0</v>
      </c>
      <c r="O211" t="str" cm="1">
        <f t="array" ref="O211">_xlfn.IFS(Table1[[#This Row],[Divorced]]=1, "Divorced", Table1[[#This Row],[Married]]=1, "Married", Table1[[#This Row],[Single]]=1, "Single", Table1[[#This Row],[Together]]=1, "Together", Table1[[#This Row],[Widow]]=1, "Widow")</f>
        <v>Single</v>
      </c>
      <c r="P211" t="str" cm="1">
        <f t="array" ref="P211">_xlfn.IFS(Table1[[#This Row],[Basic]]=1, "Basic", Table1[[#This Row],[Graduate]]=1, "Graduate", Table1[[#This Row],[Master]]=1, "Master", Table1[[#This Row],[PhD]]=1, "PhD", AND(Table1[[#This Row],[Basic]]=0, Table1[[#This Row],[Graduate]]=0, Table1[[#This Row],[Master]]=0, Table1[[#This Row],[PhD]]=0), "NA")</f>
        <v>Graduate</v>
      </c>
      <c r="Q211" t="e">
        <f>_xlfn.XLOOKUP(Table1[[#This Row],[ID]], Table2[ID],#REF!, "Not Found", 0)</f>
        <v>#REF!</v>
      </c>
      <c r="R211" t="e">
        <f>_xlfn.XLOOKUP(Table1[[#This Row],[ID]], Table2[ID],#REF!, "Not Found", 0)</f>
        <v>#REF!</v>
      </c>
      <c r="S211" s="3">
        <f>_xlfn.XLOOKUP(Table1[[#This Row],[ID]], Table2[ID], Table2[Enrollment], "Not Found", 0)</f>
        <v>43873</v>
      </c>
      <c r="T211" t="s">
        <v>434</v>
      </c>
    </row>
    <row r="212" spans="1:20" x14ac:dyDescent="0.3">
      <c r="A212">
        <v>1216</v>
      </c>
      <c r="B212">
        <v>179930</v>
      </c>
      <c r="C212">
        <v>0</v>
      </c>
      <c r="D212">
        <v>0</v>
      </c>
      <c r="E212">
        <v>48</v>
      </c>
      <c r="F212">
        <v>0</v>
      </c>
      <c r="G212">
        <v>1</v>
      </c>
      <c r="H212">
        <v>0</v>
      </c>
      <c r="I212">
        <v>0</v>
      </c>
      <c r="J212">
        <v>0</v>
      </c>
      <c r="K212">
        <v>0</v>
      </c>
      <c r="L212">
        <v>0</v>
      </c>
      <c r="M212">
        <v>0</v>
      </c>
      <c r="N212">
        <v>1</v>
      </c>
      <c r="O212" t="str" cm="1">
        <f t="array" ref="O212">_xlfn.IFS(Table1[[#This Row],[Divorced]]=1, "Divorced", Table1[[#This Row],[Married]]=1, "Married", Table1[[#This Row],[Single]]=1, "Single", Table1[[#This Row],[Together]]=1, "Together", Table1[[#This Row],[Widow]]=1, "Widow")</f>
        <v>Married</v>
      </c>
      <c r="P212" t="str" cm="1">
        <f t="array" ref="P212">_xlfn.IFS(Table1[[#This Row],[Basic]]=1, "Basic", Table1[[#This Row],[Graduate]]=1, "Graduate", Table1[[#This Row],[Master]]=1, "Master", Table1[[#This Row],[PhD]]=1, "PhD", AND(Table1[[#This Row],[Basic]]=0, Table1[[#This Row],[Graduate]]=0, Table1[[#This Row],[Master]]=0, Table1[[#This Row],[PhD]]=0), "NA")</f>
        <v>PhD</v>
      </c>
      <c r="Q212" t="e">
        <f>_xlfn.XLOOKUP(Table1[[#This Row],[ID]], Table2[ID],#REF!, "Not Found", 0)</f>
        <v>#REF!</v>
      </c>
      <c r="R212" t="e">
        <f>_xlfn.XLOOKUP(Table1[[#This Row],[ID]], Table2[ID],#REF!, "Not Found", 0)</f>
        <v>#REF!</v>
      </c>
      <c r="S212" s="3" t="str">
        <f>_xlfn.XLOOKUP(Table1[[#This Row],[ID]], Table2[ID], Table2[Enrollment], "Not Found", 0)</f>
        <v>1/13/2019</v>
      </c>
      <c r="T212" t="s">
        <v>439</v>
      </c>
    </row>
    <row r="213" spans="1:20" x14ac:dyDescent="0.3">
      <c r="A213">
        <v>1541</v>
      </c>
      <c r="B213">
        <v>179908</v>
      </c>
      <c r="C213">
        <v>0</v>
      </c>
      <c r="D213">
        <v>0</v>
      </c>
      <c r="E213">
        <v>38</v>
      </c>
      <c r="F213">
        <v>0</v>
      </c>
      <c r="G213">
        <v>1</v>
      </c>
      <c r="H213">
        <v>0</v>
      </c>
      <c r="I213">
        <v>0</v>
      </c>
      <c r="J213">
        <v>0</v>
      </c>
      <c r="K213">
        <v>0</v>
      </c>
      <c r="L213">
        <v>1</v>
      </c>
      <c r="M213">
        <v>0</v>
      </c>
      <c r="N213">
        <v>0</v>
      </c>
      <c r="O213" t="str" cm="1">
        <f t="array" ref="O213">_xlfn.IFS(Table1[[#This Row],[Divorced]]=1, "Divorced", Table1[[#This Row],[Married]]=1, "Married", Table1[[#This Row],[Single]]=1, "Single", Table1[[#This Row],[Together]]=1, "Together", Table1[[#This Row],[Widow]]=1, "Widow")</f>
        <v>Married</v>
      </c>
      <c r="P213" t="str" cm="1">
        <f t="array" ref="P213">_xlfn.IFS(Table1[[#This Row],[Basic]]=1, "Basic", Table1[[#This Row],[Graduate]]=1, "Graduate", Table1[[#This Row],[Master]]=1, "Master", Table1[[#This Row],[PhD]]=1, "PhD", AND(Table1[[#This Row],[Basic]]=0, Table1[[#This Row],[Graduate]]=0, Table1[[#This Row],[Master]]=0, Table1[[#This Row],[PhD]]=0), "NA")</f>
        <v>Graduate</v>
      </c>
      <c r="Q213" t="e">
        <f>_xlfn.XLOOKUP(Table1[[#This Row],[ID]], Table2[ID],#REF!, "Not Found", 0)</f>
        <v>#REF!</v>
      </c>
      <c r="R213" t="e">
        <f>_xlfn.XLOOKUP(Table1[[#This Row],[ID]], Table2[ID],#REF!, "Not Found", 0)</f>
        <v>#REF!</v>
      </c>
      <c r="S213" s="3">
        <f>_xlfn.XLOOKUP(Table1[[#This Row],[ID]], Table2[ID], Table2[Enrollment], "Not Found", 0)</f>
        <v>43747</v>
      </c>
      <c r="T213" t="s">
        <v>434</v>
      </c>
    </row>
    <row r="214" spans="1:20" x14ac:dyDescent="0.3">
      <c r="A214">
        <v>2539</v>
      </c>
      <c r="B214">
        <v>179865</v>
      </c>
      <c r="C214">
        <v>0</v>
      </c>
      <c r="D214">
        <v>1</v>
      </c>
      <c r="E214">
        <v>66</v>
      </c>
      <c r="F214">
        <v>1</v>
      </c>
      <c r="G214">
        <v>0</v>
      </c>
      <c r="H214">
        <v>0</v>
      </c>
      <c r="I214">
        <v>0</v>
      </c>
      <c r="J214">
        <v>0</v>
      </c>
      <c r="K214">
        <v>0</v>
      </c>
      <c r="L214">
        <v>1</v>
      </c>
      <c r="M214">
        <v>0</v>
      </c>
      <c r="N214">
        <v>0</v>
      </c>
      <c r="O214" t="str" cm="1">
        <f t="array" ref="O214">_xlfn.IFS(Table1[[#This Row],[Divorced]]=1, "Divorced", Table1[[#This Row],[Married]]=1, "Married", Table1[[#This Row],[Single]]=1, "Single", Table1[[#This Row],[Together]]=1, "Together", Table1[[#This Row],[Widow]]=1, "Widow")</f>
        <v>Divorced</v>
      </c>
      <c r="P214" t="str" cm="1">
        <f t="array" ref="P214">_xlfn.IFS(Table1[[#This Row],[Basic]]=1, "Basic", Table1[[#This Row],[Graduate]]=1, "Graduate", Table1[[#This Row],[Master]]=1, "Master", Table1[[#This Row],[PhD]]=1, "PhD", AND(Table1[[#This Row],[Basic]]=0, Table1[[#This Row],[Graduate]]=0, Table1[[#This Row],[Master]]=0, Table1[[#This Row],[PhD]]=0), "NA")</f>
        <v>Graduate</v>
      </c>
      <c r="Q214" t="e">
        <f>_xlfn.XLOOKUP(Table1[[#This Row],[ID]], Table2[ID],#REF!, "Not Found", 0)</f>
        <v>#REF!</v>
      </c>
      <c r="R214" t="e">
        <f>_xlfn.XLOOKUP(Table1[[#This Row],[ID]], Table2[ID],#REF!, "Not Found", 0)</f>
        <v>#REF!</v>
      </c>
      <c r="S214" s="3" t="str">
        <f>_xlfn.XLOOKUP(Table1[[#This Row],[ID]], Table2[ID], Table2[Enrollment], "Not Found", 0)</f>
        <v>11/22/2020</v>
      </c>
      <c r="T214" t="s">
        <v>437</v>
      </c>
    </row>
    <row r="215" spans="1:20" x14ac:dyDescent="0.3">
      <c r="A215">
        <v>3056</v>
      </c>
      <c r="B215">
        <v>179823</v>
      </c>
      <c r="C215">
        <v>0</v>
      </c>
      <c r="D215">
        <v>1</v>
      </c>
      <c r="E215">
        <v>61</v>
      </c>
      <c r="F215">
        <v>0</v>
      </c>
      <c r="G215">
        <v>1</v>
      </c>
      <c r="H215">
        <v>0</v>
      </c>
      <c r="I215">
        <v>0</v>
      </c>
      <c r="J215">
        <v>0</v>
      </c>
      <c r="K215">
        <v>0</v>
      </c>
      <c r="L215">
        <v>1</v>
      </c>
      <c r="M215">
        <v>0</v>
      </c>
      <c r="N215">
        <v>0</v>
      </c>
      <c r="O215" t="str" cm="1">
        <f t="array" ref="O215">_xlfn.IFS(Table1[[#This Row],[Divorced]]=1, "Divorced", Table1[[#This Row],[Married]]=1, "Married", Table1[[#This Row],[Single]]=1, "Single", Table1[[#This Row],[Together]]=1, "Together", Table1[[#This Row],[Widow]]=1, "Widow")</f>
        <v>Married</v>
      </c>
      <c r="P215" t="str" cm="1">
        <f t="array" ref="P215">_xlfn.IFS(Table1[[#This Row],[Basic]]=1, "Basic", Table1[[#This Row],[Graduate]]=1, "Graduate", Table1[[#This Row],[Master]]=1, "Master", Table1[[#This Row],[PhD]]=1, "PhD", AND(Table1[[#This Row],[Basic]]=0, Table1[[#This Row],[Graduate]]=0, Table1[[#This Row],[Master]]=0, Table1[[#This Row],[PhD]]=0), "NA")</f>
        <v>Graduate</v>
      </c>
      <c r="Q215" t="e">
        <f>_xlfn.XLOOKUP(Table1[[#This Row],[ID]], Table2[ID],#REF!, "Not Found", 0)</f>
        <v>#REF!</v>
      </c>
      <c r="R215" t="e">
        <f>_xlfn.XLOOKUP(Table1[[#This Row],[ID]], Table2[ID],#REF!, "Not Found", 0)</f>
        <v>#REF!</v>
      </c>
      <c r="S215" s="3">
        <f>_xlfn.XLOOKUP(Table1[[#This Row],[ID]], Table2[ID], Table2[Enrollment], "Not Found", 0)</f>
        <v>43930</v>
      </c>
      <c r="T215" t="s">
        <v>438</v>
      </c>
    </row>
    <row r="216" spans="1:20" x14ac:dyDescent="0.3">
      <c r="A216">
        <v>2077</v>
      </c>
      <c r="B216">
        <v>179803</v>
      </c>
      <c r="C216">
        <v>0</v>
      </c>
      <c r="D216">
        <v>1</v>
      </c>
      <c r="E216">
        <v>62</v>
      </c>
      <c r="F216">
        <v>1</v>
      </c>
      <c r="G216">
        <v>0</v>
      </c>
      <c r="H216">
        <v>0</v>
      </c>
      <c r="I216">
        <v>0</v>
      </c>
      <c r="J216">
        <v>0</v>
      </c>
      <c r="K216">
        <v>0</v>
      </c>
      <c r="L216">
        <v>1</v>
      </c>
      <c r="M216">
        <v>0</v>
      </c>
      <c r="N216">
        <v>0</v>
      </c>
      <c r="O216" t="str" cm="1">
        <f t="array" ref="O216">_xlfn.IFS(Table1[[#This Row],[Divorced]]=1, "Divorced", Table1[[#This Row],[Married]]=1, "Married", Table1[[#This Row],[Single]]=1, "Single", Table1[[#This Row],[Together]]=1, "Together", Table1[[#This Row],[Widow]]=1, "Widow")</f>
        <v>Divorced</v>
      </c>
      <c r="P216" t="str" cm="1">
        <f t="array" ref="P216">_xlfn.IFS(Table1[[#This Row],[Basic]]=1, "Basic", Table1[[#This Row],[Graduate]]=1, "Graduate", Table1[[#This Row],[Master]]=1, "Master", Table1[[#This Row],[PhD]]=1, "PhD", AND(Table1[[#This Row],[Basic]]=0, Table1[[#This Row],[Graduate]]=0, Table1[[#This Row],[Master]]=0, Table1[[#This Row],[PhD]]=0), "NA")</f>
        <v>Graduate</v>
      </c>
      <c r="Q216" t="e">
        <f>_xlfn.XLOOKUP(Table1[[#This Row],[ID]], Table2[ID],#REF!, "Not Found", 0)</f>
        <v>#REF!</v>
      </c>
      <c r="R216" t="e">
        <f>_xlfn.XLOOKUP(Table1[[#This Row],[ID]], Table2[ID],#REF!, "Not Found", 0)</f>
        <v>#REF!</v>
      </c>
      <c r="S216" s="3">
        <f>_xlfn.XLOOKUP(Table1[[#This Row],[ID]], Table2[ID], Table2[Enrollment], "Not Found", 0)</f>
        <v>43993</v>
      </c>
      <c r="T216" t="s">
        <v>437</v>
      </c>
    </row>
    <row r="217" spans="1:20" x14ac:dyDescent="0.3">
      <c r="A217">
        <v>1570</v>
      </c>
      <c r="B217">
        <v>179800</v>
      </c>
      <c r="C217">
        <v>0</v>
      </c>
      <c r="D217">
        <v>0</v>
      </c>
      <c r="E217">
        <v>65</v>
      </c>
      <c r="F217">
        <v>0</v>
      </c>
      <c r="G217">
        <v>0</v>
      </c>
      <c r="H217">
        <v>0</v>
      </c>
      <c r="I217">
        <v>0</v>
      </c>
      <c r="J217">
        <v>1</v>
      </c>
      <c r="K217">
        <v>0</v>
      </c>
      <c r="L217">
        <v>1</v>
      </c>
      <c r="M217">
        <v>0</v>
      </c>
      <c r="N217">
        <v>0</v>
      </c>
      <c r="O217" t="str" cm="1">
        <f t="array" ref="O217">_xlfn.IFS(Table1[[#This Row],[Divorced]]=1, "Divorced", Table1[[#This Row],[Married]]=1, "Married", Table1[[#This Row],[Single]]=1, "Single", Table1[[#This Row],[Together]]=1, "Together", Table1[[#This Row],[Widow]]=1, "Widow")</f>
        <v>Widow</v>
      </c>
      <c r="P217" t="str" cm="1">
        <f t="array" ref="P217">_xlfn.IFS(Table1[[#This Row],[Basic]]=1, "Basic", Table1[[#This Row],[Graduate]]=1, "Graduate", Table1[[#This Row],[Master]]=1, "Master", Table1[[#This Row],[PhD]]=1, "PhD", AND(Table1[[#This Row],[Basic]]=0, Table1[[#This Row],[Graduate]]=0, Table1[[#This Row],[Master]]=0, Table1[[#This Row],[PhD]]=0), "NA")</f>
        <v>Graduate</v>
      </c>
      <c r="Q217" t="e">
        <f>_xlfn.XLOOKUP(Table1[[#This Row],[ID]], Table2[ID],#REF!, "Not Found", 0)</f>
        <v>#REF!</v>
      </c>
      <c r="R217" t="e">
        <f>_xlfn.XLOOKUP(Table1[[#This Row],[ID]], Table2[ID],#REF!, "Not Found", 0)</f>
        <v>#REF!</v>
      </c>
      <c r="S217" s="3" t="str">
        <f>_xlfn.XLOOKUP(Table1[[#This Row],[ID]], Table2[ID], Table2[Enrollment], "Not Found", 0)</f>
        <v>2/28/2019</v>
      </c>
      <c r="T217" t="s">
        <v>439</v>
      </c>
    </row>
    <row r="218" spans="1:20" x14ac:dyDescent="0.3">
      <c r="A218">
        <v>1225</v>
      </c>
      <c r="B218">
        <v>179761</v>
      </c>
      <c r="C218">
        <v>0</v>
      </c>
      <c r="D218">
        <v>1</v>
      </c>
      <c r="E218">
        <v>62</v>
      </c>
      <c r="F218">
        <v>0</v>
      </c>
      <c r="G218">
        <v>0</v>
      </c>
      <c r="H218">
        <v>1</v>
      </c>
      <c r="I218">
        <v>0</v>
      </c>
      <c r="J218">
        <v>0</v>
      </c>
      <c r="K218">
        <v>0</v>
      </c>
      <c r="L218">
        <v>0</v>
      </c>
      <c r="M218">
        <v>0</v>
      </c>
      <c r="N218">
        <v>1</v>
      </c>
      <c r="O218" t="str" cm="1">
        <f t="array" ref="O218">_xlfn.IFS(Table1[[#This Row],[Divorced]]=1, "Divorced", Table1[[#This Row],[Married]]=1, "Married", Table1[[#This Row],[Single]]=1, "Single", Table1[[#This Row],[Together]]=1, "Together", Table1[[#This Row],[Widow]]=1, "Widow")</f>
        <v>Single</v>
      </c>
      <c r="P218" t="str" cm="1">
        <f t="array" ref="P218">_xlfn.IFS(Table1[[#This Row],[Basic]]=1, "Basic", Table1[[#This Row],[Graduate]]=1, "Graduate", Table1[[#This Row],[Master]]=1, "Master", Table1[[#This Row],[PhD]]=1, "PhD", AND(Table1[[#This Row],[Basic]]=0, Table1[[#This Row],[Graduate]]=0, Table1[[#This Row],[Master]]=0, Table1[[#This Row],[PhD]]=0), "NA")</f>
        <v>PhD</v>
      </c>
      <c r="Q218" t="e">
        <f>_xlfn.XLOOKUP(Table1[[#This Row],[ID]], Table2[ID],#REF!, "Not Found", 0)</f>
        <v>#REF!</v>
      </c>
      <c r="R218" t="e">
        <f>_xlfn.XLOOKUP(Table1[[#This Row],[ID]], Table2[ID],#REF!, "Not Found", 0)</f>
        <v>#REF!</v>
      </c>
      <c r="S218" s="3">
        <f>_xlfn.XLOOKUP(Table1[[#This Row],[ID]], Table2[ID], Table2[Enrollment], "Not Found", 0)</f>
        <v>44107</v>
      </c>
      <c r="T218" t="s">
        <v>437</v>
      </c>
    </row>
    <row r="219" spans="1:20" x14ac:dyDescent="0.3">
      <c r="A219">
        <v>2787</v>
      </c>
      <c r="B219">
        <v>179734</v>
      </c>
      <c r="C219">
        <v>0</v>
      </c>
      <c r="D219">
        <v>0</v>
      </c>
      <c r="E219">
        <v>51</v>
      </c>
      <c r="F219">
        <v>0</v>
      </c>
      <c r="G219">
        <v>1</v>
      </c>
      <c r="H219">
        <v>0</v>
      </c>
      <c r="I219">
        <v>0</v>
      </c>
      <c r="J219">
        <v>0</v>
      </c>
      <c r="K219">
        <v>0</v>
      </c>
      <c r="L219">
        <v>0</v>
      </c>
      <c r="M219">
        <v>1</v>
      </c>
      <c r="N219">
        <v>0</v>
      </c>
      <c r="O219" t="str" cm="1">
        <f t="array" ref="O219">_xlfn.IFS(Table1[[#This Row],[Divorced]]=1, "Divorced", Table1[[#This Row],[Married]]=1, "Married", Table1[[#This Row],[Single]]=1, "Single", Table1[[#This Row],[Together]]=1, "Together", Table1[[#This Row],[Widow]]=1, "Widow")</f>
        <v>Married</v>
      </c>
      <c r="P219" t="str" cm="1">
        <f t="array" ref="P219">_xlfn.IFS(Table1[[#This Row],[Basic]]=1, "Basic", Table1[[#This Row],[Graduate]]=1, "Graduate", Table1[[#This Row],[Master]]=1, "Master", Table1[[#This Row],[PhD]]=1, "PhD", AND(Table1[[#This Row],[Basic]]=0, Table1[[#This Row],[Graduate]]=0, Table1[[#This Row],[Master]]=0, Table1[[#This Row],[PhD]]=0), "NA")</f>
        <v>Master</v>
      </c>
      <c r="Q219" t="e">
        <f>_xlfn.XLOOKUP(Table1[[#This Row],[ID]], Table2[ID],#REF!, "Not Found", 0)</f>
        <v>#REF!</v>
      </c>
      <c r="R219" t="e">
        <f>_xlfn.XLOOKUP(Table1[[#This Row],[ID]], Table2[ID],#REF!, "Not Found", 0)</f>
        <v>#REF!</v>
      </c>
      <c r="S219" s="3">
        <f>_xlfn.XLOOKUP(Table1[[#This Row],[ID]], Table2[ID], Table2[Enrollment], "Not Found", 0)</f>
        <v>43873</v>
      </c>
      <c r="T219" t="s">
        <v>435</v>
      </c>
    </row>
    <row r="220" spans="1:20" x14ac:dyDescent="0.3">
      <c r="A220">
        <v>1969</v>
      </c>
      <c r="B220">
        <v>179689</v>
      </c>
      <c r="C220">
        <v>0</v>
      </c>
      <c r="D220">
        <v>0</v>
      </c>
      <c r="E220">
        <v>44</v>
      </c>
      <c r="F220">
        <v>0</v>
      </c>
      <c r="G220">
        <v>0</v>
      </c>
      <c r="H220">
        <v>1</v>
      </c>
      <c r="I220">
        <v>0</v>
      </c>
      <c r="J220">
        <v>0</v>
      </c>
      <c r="K220">
        <v>0</v>
      </c>
      <c r="L220">
        <v>0</v>
      </c>
      <c r="M220">
        <v>0</v>
      </c>
      <c r="N220">
        <v>0</v>
      </c>
      <c r="O220" t="str" cm="1">
        <f t="array" ref="O220">_xlfn.IFS(Table1[[#This Row],[Divorced]]=1, "Divorced", Table1[[#This Row],[Married]]=1, "Married", Table1[[#This Row],[Single]]=1, "Single", Table1[[#This Row],[Together]]=1, "Together", Table1[[#This Row],[Widow]]=1, "Widow")</f>
        <v>Single</v>
      </c>
      <c r="P220" t="str" cm="1">
        <f t="array" ref="P220">_xlfn.IFS(Table1[[#This Row],[Basic]]=1, "Basic", Table1[[#This Row],[Graduate]]=1, "Graduate", Table1[[#This Row],[Master]]=1, "Master", Table1[[#This Row],[PhD]]=1, "PhD", AND(Table1[[#This Row],[Basic]]=0, Table1[[#This Row],[Graduate]]=0, Table1[[#This Row],[Master]]=0, Table1[[#This Row],[PhD]]=0), "NA")</f>
        <v>NA</v>
      </c>
      <c r="Q220" t="e">
        <f>_xlfn.XLOOKUP(Table1[[#This Row],[ID]], Table2[ID],#REF!, "Not Found", 0)</f>
        <v>#REF!</v>
      </c>
      <c r="R220" t="e">
        <f>_xlfn.XLOOKUP(Table1[[#This Row],[ID]], Table2[ID],#REF!, "Not Found", 0)</f>
        <v>#REF!</v>
      </c>
      <c r="S220" s="3" t="str">
        <f>_xlfn.XLOOKUP(Table1[[#This Row],[ID]], Table2[ID], Table2[Enrollment], "Not Found", 0)</f>
        <v>10/17/2019</v>
      </c>
      <c r="T220" t="s">
        <v>437</v>
      </c>
    </row>
    <row r="221" spans="1:20" x14ac:dyDescent="0.3">
      <c r="A221">
        <v>1911</v>
      </c>
      <c r="B221">
        <v>179632</v>
      </c>
      <c r="C221">
        <v>0</v>
      </c>
      <c r="D221">
        <v>0</v>
      </c>
      <c r="E221">
        <v>46</v>
      </c>
      <c r="F221">
        <v>0</v>
      </c>
      <c r="G221">
        <v>0</v>
      </c>
      <c r="H221">
        <v>0</v>
      </c>
      <c r="I221">
        <v>1</v>
      </c>
      <c r="J221">
        <v>0</v>
      </c>
      <c r="K221">
        <v>0</v>
      </c>
      <c r="L221">
        <v>0</v>
      </c>
      <c r="M221">
        <v>0</v>
      </c>
      <c r="N221">
        <v>1</v>
      </c>
      <c r="O221" t="str" cm="1">
        <f t="array" ref="O221">_xlfn.IFS(Table1[[#This Row],[Divorced]]=1, "Divorced", Table1[[#This Row],[Married]]=1, "Married", Table1[[#This Row],[Single]]=1, "Single", Table1[[#This Row],[Together]]=1, "Together", Table1[[#This Row],[Widow]]=1, "Widow")</f>
        <v>Together</v>
      </c>
      <c r="P221" t="str" cm="1">
        <f t="array" ref="P221">_xlfn.IFS(Table1[[#This Row],[Basic]]=1, "Basic", Table1[[#This Row],[Graduate]]=1, "Graduate", Table1[[#This Row],[Master]]=1, "Master", Table1[[#This Row],[PhD]]=1, "PhD", AND(Table1[[#This Row],[Basic]]=0, Table1[[#This Row],[Graduate]]=0, Table1[[#This Row],[Master]]=0, Table1[[#This Row],[PhD]]=0), "NA")</f>
        <v>PhD</v>
      </c>
      <c r="Q221" t="e">
        <f>_xlfn.XLOOKUP(Table1[[#This Row],[ID]], Table2[ID],#REF!, "Not Found", 0)</f>
        <v>#REF!</v>
      </c>
      <c r="R221" t="e">
        <f>_xlfn.XLOOKUP(Table1[[#This Row],[ID]], Table2[ID],#REF!, "Not Found", 0)</f>
        <v>#REF!</v>
      </c>
      <c r="S221" s="3">
        <f>_xlfn.XLOOKUP(Table1[[#This Row],[ID]], Table2[ID], Table2[Enrollment], "Not Found", 0)</f>
        <v>44174</v>
      </c>
      <c r="T221" t="s">
        <v>435</v>
      </c>
    </row>
    <row r="222" spans="1:20" x14ac:dyDescent="0.3">
      <c r="A222">
        <v>1118</v>
      </c>
      <c r="B222">
        <v>179607</v>
      </c>
      <c r="C222">
        <v>0</v>
      </c>
      <c r="D222">
        <v>0</v>
      </c>
      <c r="E222">
        <v>36</v>
      </c>
      <c r="F222">
        <v>0</v>
      </c>
      <c r="G222">
        <v>0</v>
      </c>
      <c r="H222">
        <v>1</v>
      </c>
      <c r="I222">
        <v>0</v>
      </c>
      <c r="J222">
        <v>0</v>
      </c>
      <c r="K222">
        <v>0</v>
      </c>
      <c r="L222">
        <v>1</v>
      </c>
      <c r="M222">
        <v>0</v>
      </c>
      <c r="N222">
        <v>0</v>
      </c>
      <c r="O222" t="str" cm="1">
        <f t="array" ref="O222">_xlfn.IFS(Table1[[#This Row],[Divorced]]=1, "Divorced", Table1[[#This Row],[Married]]=1, "Married", Table1[[#This Row],[Single]]=1, "Single", Table1[[#This Row],[Together]]=1, "Together", Table1[[#This Row],[Widow]]=1, "Widow")</f>
        <v>Single</v>
      </c>
      <c r="P222" t="str" cm="1">
        <f t="array" ref="P222">_xlfn.IFS(Table1[[#This Row],[Basic]]=1, "Basic", Table1[[#This Row],[Graduate]]=1, "Graduate", Table1[[#This Row],[Master]]=1, "Master", Table1[[#This Row],[PhD]]=1, "PhD", AND(Table1[[#This Row],[Basic]]=0, Table1[[#This Row],[Graduate]]=0, Table1[[#This Row],[Master]]=0, Table1[[#This Row],[PhD]]=0), "NA")</f>
        <v>Graduate</v>
      </c>
      <c r="Q222" t="e">
        <f>_xlfn.XLOOKUP(Table1[[#This Row],[ID]], Table2[ID],#REF!, "Not Found", 0)</f>
        <v>#REF!</v>
      </c>
      <c r="R222" t="e">
        <f>_xlfn.XLOOKUP(Table1[[#This Row],[ID]], Table2[ID],#REF!, "Not Found", 0)</f>
        <v>#REF!</v>
      </c>
      <c r="S222" s="3" t="str">
        <f>_xlfn.XLOOKUP(Table1[[#This Row],[ID]], Table2[ID], Table2[Enrollment], "Not Found", 0)</f>
        <v>9/26/2019</v>
      </c>
      <c r="T222" t="s">
        <v>438</v>
      </c>
    </row>
    <row r="223" spans="1:20" x14ac:dyDescent="0.3">
      <c r="A223">
        <v>1083</v>
      </c>
      <c r="B223">
        <v>179593</v>
      </c>
      <c r="C223">
        <v>0</v>
      </c>
      <c r="D223">
        <v>0</v>
      </c>
      <c r="E223">
        <v>47</v>
      </c>
      <c r="F223">
        <v>0</v>
      </c>
      <c r="G223">
        <v>1</v>
      </c>
      <c r="H223">
        <v>0</v>
      </c>
      <c r="I223">
        <v>0</v>
      </c>
      <c r="J223">
        <v>0</v>
      </c>
      <c r="K223">
        <v>0</v>
      </c>
      <c r="L223">
        <v>1</v>
      </c>
      <c r="M223">
        <v>0</v>
      </c>
      <c r="N223">
        <v>0</v>
      </c>
      <c r="O223" t="str" cm="1">
        <f t="array" ref="O223">_xlfn.IFS(Table1[[#This Row],[Divorced]]=1, "Divorced", Table1[[#This Row],[Married]]=1, "Married", Table1[[#This Row],[Single]]=1, "Single", Table1[[#This Row],[Together]]=1, "Together", Table1[[#This Row],[Widow]]=1, "Widow")</f>
        <v>Married</v>
      </c>
      <c r="P223" t="str" cm="1">
        <f t="array" ref="P223">_xlfn.IFS(Table1[[#This Row],[Basic]]=1, "Basic", Table1[[#This Row],[Graduate]]=1, "Graduate", Table1[[#This Row],[Master]]=1, "Master", Table1[[#This Row],[PhD]]=1, "PhD", AND(Table1[[#This Row],[Basic]]=0, Table1[[#This Row],[Graduate]]=0, Table1[[#This Row],[Master]]=0, Table1[[#This Row],[PhD]]=0), "NA")</f>
        <v>Graduate</v>
      </c>
      <c r="Q223" t="e">
        <f>_xlfn.XLOOKUP(Table1[[#This Row],[ID]], Table2[ID],#REF!, "Not Found", 0)</f>
        <v>#REF!</v>
      </c>
      <c r="R223" t="e">
        <f>_xlfn.XLOOKUP(Table1[[#This Row],[ID]], Table2[ID],#REF!, "Not Found", 0)</f>
        <v>#REF!</v>
      </c>
      <c r="S223" s="3" t="str">
        <f>_xlfn.XLOOKUP(Table1[[#This Row],[ID]], Table2[ID], Table2[Enrollment], "Not Found", 0)</f>
        <v>10/16/2020</v>
      </c>
      <c r="T223" t="s">
        <v>435</v>
      </c>
    </row>
    <row r="224" spans="1:20" x14ac:dyDescent="0.3">
      <c r="A224">
        <v>2015</v>
      </c>
      <c r="B224">
        <v>179593</v>
      </c>
      <c r="C224">
        <v>0</v>
      </c>
      <c r="D224">
        <v>0</v>
      </c>
      <c r="E224">
        <v>47</v>
      </c>
      <c r="F224">
        <v>0</v>
      </c>
      <c r="G224">
        <v>1</v>
      </c>
      <c r="H224">
        <v>0</v>
      </c>
      <c r="I224">
        <v>0</v>
      </c>
      <c r="J224">
        <v>0</v>
      </c>
      <c r="K224">
        <v>0</v>
      </c>
      <c r="L224">
        <v>1</v>
      </c>
      <c r="M224">
        <v>0</v>
      </c>
      <c r="N224">
        <v>0</v>
      </c>
      <c r="O224" t="str" cm="1">
        <f t="array" ref="O224">_xlfn.IFS(Table1[[#This Row],[Divorced]]=1, "Divorced", Table1[[#This Row],[Married]]=1, "Married", Table1[[#This Row],[Single]]=1, "Single", Table1[[#This Row],[Together]]=1, "Together", Table1[[#This Row],[Widow]]=1, "Widow")</f>
        <v>Married</v>
      </c>
      <c r="P224" t="str" cm="1">
        <f t="array" ref="P224">_xlfn.IFS(Table1[[#This Row],[Basic]]=1, "Basic", Table1[[#This Row],[Graduate]]=1, "Graduate", Table1[[#This Row],[Master]]=1, "Master", Table1[[#This Row],[PhD]]=1, "PhD", AND(Table1[[#This Row],[Basic]]=0, Table1[[#This Row],[Graduate]]=0, Table1[[#This Row],[Master]]=0, Table1[[#This Row],[PhD]]=0), "NA")</f>
        <v>Graduate</v>
      </c>
      <c r="Q224" t="e">
        <f>_xlfn.XLOOKUP(Table1[[#This Row],[ID]], Table2[ID],#REF!, "Not Found", 0)</f>
        <v>#REF!</v>
      </c>
      <c r="R224" t="e">
        <f>_xlfn.XLOOKUP(Table1[[#This Row],[ID]], Table2[ID],#REF!, "Not Found", 0)</f>
        <v>#REF!</v>
      </c>
      <c r="S224" s="3" t="str">
        <f>_xlfn.XLOOKUP(Table1[[#This Row],[ID]], Table2[ID], Table2[Enrollment], "Not Found", 0)</f>
        <v>10/16/2020</v>
      </c>
      <c r="T224" t="s">
        <v>434</v>
      </c>
    </row>
    <row r="225" spans="1:20" x14ac:dyDescent="0.3">
      <c r="A225">
        <v>1350</v>
      </c>
      <c r="B225">
        <v>179530</v>
      </c>
      <c r="C225">
        <v>0</v>
      </c>
      <c r="D225">
        <v>0</v>
      </c>
      <c r="E225">
        <v>60</v>
      </c>
      <c r="F225">
        <v>0</v>
      </c>
      <c r="G225">
        <v>1</v>
      </c>
      <c r="H225">
        <v>0</v>
      </c>
      <c r="I225">
        <v>0</v>
      </c>
      <c r="J225">
        <v>0</v>
      </c>
      <c r="K225">
        <v>0</v>
      </c>
      <c r="L225">
        <v>1</v>
      </c>
      <c r="M225">
        <v>0</v>
      </c>
      <c r="N225">
        <v>0</v>
      </c>
      <c r="O225" t="str" cm="1">
        <f t="array" ref="O225">_xlfn.IFS(Table1[[#This Row],[Divorced]]=1, "Divorced", Table1[[#This Row],[Married]]=1, "Married", Table1[[#This Row],[Single]]=1, "Single", Table1[[#This Row],[Together]]=1, "Together", Table1[[#This Row],[Widow]]=1, "Widow")</f>
        <v>Married</v>
      </c>
      <c r="P225" t="str" cm="1">
        <f t="array" ref="P225">_xlfn.IFS(Table1[[#This Row],[Basic]]=1, "Basic", Table1[[#This Row],[Graduate]]=1, "Graduate", Table1[[#This Row],[Master]]=1, "Master", Table1[[#This Row],[PhD]]=1, "PhD", AND(Table1[[#This Row],[Basic]]=0, Table1[[#This Row],[Graduate]]=0, Table1[[#This Row],[Master]]=0, Table1[[#This Row],[PhD]]=0), "NA")</f>
        <v>Graduate</v>
      </c>
      <c r="Q225" t="e">
        <f>_xlfn.XLOOKUP(Table1[[#This Row],[ID]], Table2[ID],#REF!, "Not Found", 0)</f>
        <v>#REF!</v>
      </c>
      <c r="R225" t="e">
        <f>_xlfn.XLOOKUP(Table1[[#This Row],[ID]], Table2[ID],#REF!, "Not Found", 0)</f>
        <v>#REF!</v>
      </c>
      <c r="S225" s="3" t="str">
        <f>_xlfn.XLOOKUP(Table1[[#This Row],[ID]], Table2[ID], Table2[Enrollment], "Not Found", 0)</f>
        <v>10/22/2019</v>
      </c>
      <c r="T225" t="s">
        <v>436</v>
      </c>
    </row>
    <row r="226" spans="1:20" x14ac:dyDescent="0.3">
      <c r="A226">
        <v>2489</v>
      </c>
      <c r="B226">
        <v>179529</v>
      </c>
      <c r="C226">
        <v>0</v>
      </c>
      <c r="D226">
        <v>0</v>
      </c>
      <c r="E226">
        <v>34</v>
      </c>
      <c r="F226">
        <v>0</v>
      </c>
      <c r="G226">
        <v>1</v>
      </c>
      <c r="H226">
        <v>0</v>
      </c>
      <c r="I226">
        <v>0</v>
      </c>
      <c r="J226">
        <v>0</v>
      </c>
      <c r="K226">
        <v>0</v>
      </c>
      <c r="L226">
        <v>1</v>
      </c>
      <c r="M226">
        <v>0</v>
      </c>
      <c r="N226">
        <v>0</v>
      </c>
      <c r="O226" t="str" cm="1">
        <f t="array" ref="O226">_xlfn.IFS(Table1[[#This Row],[Divorced]]=1, "Divorced", Table1[[#This Row],[Married]]=1, "Married", Table1[[#This Row],[Single]]=1, "Single", Table1[[#This Row],[Together]]=1, "Together", Table1[[#This Row],[Widow]]=1, "Widow")</f>
        <v>Married</v>
      </c>
      <c r="P226" t="str" cm="1">
        <f t="array" ref="P226">_xlfn.IFS(Table1[[#This Row],[Basic]]=1, "Basic", Table1[[#This Row],[Graduate]]=1, "Graduate", Table1[[#This Row],[Master]]=1, "Master", Table1[[#This Row],[PhD]]=1, "PhD", AND(Table1[[#This Row],[Basic]]=0, Table1[[#This Row],[Graduate]]=0, Table1[[#This Row],[Master]]=0, Table1[[#This Row],[PhD]]=0), "NA")</f>
        <v>Graduate</v>
      </c>
      <c r="Q226" t="e">
        <f>_xlfn.XLOOKUP(Table1[[#This Row],[ID]], Table2[ID],#REF!, "Not Found", 0)</f>
        <v>#REF!</v>
      </c>
      <c r="R226" t="e">
        <f>_xlfn.XLOOKUP(Table1[[#This Row],[ID]], Table2[ID],#REF!, "Not Found", 0)</f>
        <v>#REF!</v>
      </c>
      <c r="S226" s="3">
        <f>_xlfn.XLOOKUP(Table1[[#This Row],[ID]], Table2[ID], Table2[Enrollment], "Not Found", 0)</f>
        <v>43840</v>
      </c>
      <c r="T226" t="s">
        <v>434</v>
      </c>
    </row>
    <row r="227" spans="1:20" x14ac:dyDescent="0.3">
      <c r="A227">
        <v>2063</v>
      </c>
      <c r="B227">
        <v>179456</v>
      </c>
      <c r="C227">
        <v>0</v>
      </c>
      <c r="D227">
        <v>0</v>
      </c>
      <c r="E227">
        <v>64</v>
      </c>
      <c r="F227">
        <v>0</v>
      </c>
      <c r="G227">
        <v>1</v>
      </c>
      <c r="H227">
        <v>0</v>
      </c>
      <c r="I227">
        <v>0</v>
      </c>
      <c r="J227">
        <v>0</v>
      </c>
      <c r="K227">
        <v>0</v>
      </c>
      <c r="L227">
        <v>1</v>
      </c>
      <c r="M227">
        <v>0</v>
      </c>
      <c r="N227">
        <v>0</v>
      </c>
      <c r="O227" t="str" cm="1">
        <f t="array" ref="O227">_xlfn.IFS(Table1[[#This Row],[Divorced]]=1, "Divorced", Table1[[#This Row],[Married]]=1, "Married", Table1[[#This Row],[Single]]=1, "Single", Table1[[#This Row],[Together]]=1, "Together", Table1[[#This Row],[Widow]]=1, "Widow")</f>
        <v>Married</v>
      </c>
      <c r="P227" t="str" cm="1">
        <f t="array" ref="P227">_xlfn.IFS(Table1[[#This Row],[Basic]]=1, "Basic", Table1[[#This Row],[Graduate]]=1, "Graduate", Table1[[#This Row],[Master]]=1, "Master", Table1[[#This Row],[PhD]]=1, "PhD", AND(Table1[[#This Row],[Basic]]=0, Table1[[#This Row],[Graduate]]=0, Table1[[#This Row],[Master]]=0, Table1[[#This Row],[PhD]]=0), "NA")</f>
        <v>Graduate</v>
      </c>
      <c r="Q227" t="e">
        <f>_xlfn.XLOOKUP(Table1[[#This Row],[ID]], Table2[ID],#REF!, "Not Found", 0)</f>
        <v>#REF!</v>
      </c>
      <c r="R227" t="e">
        <f>_xlfn.XLOOKUP(Table1[[#This Row],[ID]], Table2[ID],#REF!, "Not Found", 0)</f>
        <v>#REF!</v>
      </c>
      <c r="S227" s="3" t="str">
        <f>_xlfn.XLOOKUP(Table1[[#This Row],[ID]], Table2[ID], Table2[Enrollment], "Not Found", 0)</f>
        <v>1/27/2019</v>
      </c>
      <c r="T227" t="s">
        <v>434</v>
      </c>
    </row>
    <row r="228" spans="1:20" x14ac:dyDescent="0.3">
      <c r="A228">
        <v>2462</v>
      </c>
      <c r="B228">
        <v>179419</v>
      </c>
      <c r="C228">
        <v>0</v>
      </c>
      <c r="D228">
        <v>0</v>
      </c>
      <c r="E228">
        <v>50</v>
      </c>
      <c r="F228">
        <v>0</v>
      </c>
      <c r="G228">
        <v>0</v>
      </c>
      <c r="H228">
        <v>0</v>
      </c>
      <c r="I228">
        <v>1</v>
      </c>
      <c r="J228">
        <v>0</v>
      </c>
      <c r="K228">
        <v>0</v>
      </c>
      <c r="L228">
        <v>0</v>
      </c>
      <c r="M228">
        <v>1</v>
      </c>
      <c r="N228">
        <v>0</v>
      </c>
      <c r="O228" t="str" cm="1">
        <f t="array" ref="O228">_xlfn.IFS(Table1[[#This Row],[Divorced]]=1, "Divorced", Table1[[#This Row],[Married]]=1, "Married", Table1[[#This Row],[Single]]=1, "Single", Table1[[#This Row],[Together]]=1, "Together", Table1[[#This Row],[Widow]]=1, "Widow")</f>
        <v>Together</v>
      </c>
      <c r="P228" t="str" cm="1">
        <f t="array" ref="P228">_xlfn.IFS(Table1[[#This Row],[Basic]]=1, "Basic", Table1[[#This Row],[Graduate]]=1, "Graduate", Table1[[#This Row],[Master]]=1, "Master", Table1[[#This Row],[PhD]]=1, "PhD", AND(Table1[[#This Row],[Basic]]=0, Table1[[#This Row],[Graduate]]=0, Table1[[#This Row],[Master]]=0, Table1[[#This Row],[PhD]]=0), "NA")</f>
        <v>Master</v>
      </c>
      <c r="Q228" t="e">
        <f>_xlfn.XLOOKUP(Table1[[#This Row],[ID]], Table2[ID],#REF!, "Not Found", 0)</f>
        <v>#REF!</v>
      </c>
      <c r="R228" t="e">
        <f>_xlfn.XLOOKUP(Table1[[#This Row],[ID]], Table2[ID],#REF!, "Not Found", 0)</f>
        <v>#REF!</v>
      </c>
      <c r="S228" s="3" t="str">
        <f>_xlfn.XLOOKUP(Table1[[#This Row],[ID]], Table2[ID], Table2[Enrollment], "Not Found", 0)</f>
        <v>11/26/2020</v>
      </c>
      <c r="T228" t="s">
        <v>438</v>
      </c>
    </row>
    <row r="229" spans="1:20" x14ac:dyDescent="0.3">
      <c r="A229">
        <v>2139</v>
      </c>
      <c r="B229">
        <v>179410</v>
      </c>
      <c r="C229">
        <v>0</v>
      </c>
      <c r="D229">
        <v>0</v>
      </c>
      <c r="E229">
        <v>59</v>
      </c>
      <c r="F229">
        <v>0</v>
      </c>
      <c r="G229">
        <v>1</v>
      </c>
      <c r="H229">
        <v>0</v>
      </c>
      <c r="I229">
        <v>0</v>
      </c>
      <c r="J229">
        <v>0</v>
      </c>
      <c r="K229">
        <v>0</v>
      </c>
      <c r="L229">
        <v>1</v>
      </c>
      <c r="M229">
        <v>0</v>
      </c>
      <c r="N229">
        <v>0</v>
      </c>
      <c r="O229" t="str" cm="1">
        <f t="array" ref="O229">_xlfn.IFS(Table1[[#This Row],[Divorced]]=1, "Divorced", Table1[[#This Row],[Married]]=1, "Married", Table1[[#This Row],[Single]]=1, "Single", Table1[[#This Row],[Together]]=1, "Together", Table1[[#This Row],[Widow]]=1, "Widow")</f>
        <v>Married</v>
      </c>
      <c r="P229" t="str" cm="1">
        <f t="array" ref="P229">_xlfn.IFS(Table1[[#This Row],[Basic]]=1, "Basic", Table1[[#This Row],[Graduate]]=1, "Graduate", Table1[[#This Row],[Master]]=1, "Master", Table1[[#This Row],[PhD]]=1, "PhD", AND(Table1[[#This Row],[Basic]]=0, Table1[[#This Row],[Graduate]]=0, Table1[[#This Row],[Master]]=0, Table1[[#This Row],[PhD]]=0), "NA")</f>
        <v>Graduate</v>
      </c>
      <c r="Q229" t="e">
        <f>_xlfn.XLOOKUP(Table1[[#This Row],[ID]], Table2[ID],#REF!, "Not Found", 0)</f>
        <v>#REF!</v>
      </c>
      <c r="R229" t="e">
        <f>_xlfn.XLOOKUP(Table1[[#This Row],[ID]], Table2[ID],#REF!, "Not Found", 0)</f>
        <v>#REF!</v>
      </c>
      <c r="S229" s="3">
        <f>_xlfn.XLOOKUP(Table1[[#This Row],[ID]], Table2[ID], Table2[Enrollment], "Not Found", 0)</f>
        <v>43872</v>
      </c>
      <c r="T229" t="s">
        <v>435</v>
      </c>
    </row>
    <row r="230" spans="1:20" x14ac:dyDescent="0.3">
      <c r="A230">
        <v>3062</v>
      </c>
      <c r="B230">
        <v>179244</v>
      </c>
      <c r="C230">
        <v>0</v>
      </c>
      <c r="D230">
        <v>0</v>
      </c>
      <c r="E230">
        <v>27</v>
      </c>
      <c r="F230">
        <v>0</v>
      </c>
      <c r="G230">
        <v>0</v>
      </c>
      <c r="H230">
        <v>1</v>
      </c>
      <c r="I230">
        <v>0</v>
      </c>
      <c r="J230">
        <v>0</v>
      </c>
      <c r="K230">
        <v>0</v>
      </c>
      <c r="L230">
        <v>1</v>
      </c>
      <c r="M230">
        <v>0</v>
      </c>
      <c r="N230">
        <v>0</v>
      </c>
      <c r="O230" t="str" cm="1">
        <f t="array" ref="O230">_xlfn.IFS(Table1[[#This Row],[Divorced]]=1, "Divorced", Table1[[#This Row],[Married]]=1, "Married", Table1[[#This Row],[Single]]=1, "Single", Table1[[#This Row],[Together]]=1, "Together", Table1[[#This Row],[Widow]]=1, "Widow")</f>
        <v>Single</v>
      </c>
      <c r="P230" t="str" cm="1">
        <f t="array" ref="P230">_xlfn.IFS(Table1[[#This Row],[Basic]]=1, "Basic", Table1[[#This Row],[Graduate]]=1, "Graduate", Table1[[#This Row],[Master]]=1, "Master", Table1[[#This Row],[PhD]]=1, "PhD", AND(Table1[[#This Row],[Basic]]=0, Table1[[#This Row],[Graduate]]=0, Table1[[#This Row],[Master]]=0, Table1[[#This Row],[PhD]]=0), "NA")</f>
        <v>Graduate</v>
      </c>
      <c r="Q230" t="e">
        <f>_xlfn.XLOOKUP(Table1[[#This Row],[ID]], Table2[ID],#REF!, "Not Found", 0)</f>
        <v>#REF!</v>
      </c>
      <c r="R230" t="e">
        <f>_xlfn.XLOOKUP(Table1[[#This Row],[ID]], Table2[ID],#REF!, "Not Found", 0)</f>
        <v>#REF!</v>
      </c>
      <c r="S230" s="3" t="str">
        <f>_xlfn.XLOOKUP(Table1[[#This Row],[ID]], Table2[ID], Table2[Enrollment], "Not Found", 0)</f>
        <v>5/26/2019</v>
      </c>
      <c r="T230" t="s">
        <v>438</v>
      </c>
    </row>
    <row r="231" spans="1:20" x14ac:dyDescent="0.3">
      <c r="A231">
        <v>2971</v>
      </c>
      <c r="B231">
        <v>179205</v>
      </c>
      <c r="C231">
        <v>0</v>
      </c>
      <c r="D231">
        <v>0</v>
      </c>
      <c r="E231">
        <v>45</v>
      </c>
      <c r="F231">
        <v>0</v>
      </c>
      <c r="G231">
        <v>1</v>
      </c>
      <c r="H231">
        <v>0</v>
      </c>
      <c r="I231">
        <v>0</v>
      </c>
      <c r="J231">
        <v>0</v>
      </c>
      <c r="K231">
        <v>0</v>
      </c>
      <c r="L231">
        <v>1</v>
      </c>
      <c r="M231">
        <v>0</v>
      </c>
      <c r="N231">
        <v>0</v>
      </c>
      <c r="O231" t="str" cm="1">
        <f t="array" ref="O231">_xlfn.IFS(Table1[[#This Row],[Divorced]]=1, "Divorced", Table1[[#This Row],[Married]]=1, "Married", Table1[[#This Row],[Single]]=1, "Single", Table1[[#This Row],[Together]]=1, "Together", Table1[[#This Row],[Widow]]=1, "Widow")</f>
        <v>Married</v>
      </c>
      <c r="P231" t="str" cm="1">
        <f t="array" ref="P231">_xlfn.IFS(Table1[[#This Row],[Basic]]=1, "Basic", Table1[[#This Row],[Graduate]]=1, "Graduate", Table1[[#This Row],[Master]]=1, "Master", Table1[[#This Row],[PhD]]=1, "PhD", AND(Table1[[#This Row],[Basic]]=0, Table1[[#This Row],[Graduate]]=0, Table1[[#This Row],[Master]]=0, Table1[[#This Row],[PhD]]=0), "NA")</f>
        <v>Graduate</v>
      </c>
      <c r="Q231" t="e">
        <f>_xlfn.XLOOKUP(Table1[[#This Row],[ID]], Table2[ID],#REF!, "Not Found", 0)</f>
        <v>#REF!</v>
      </c>
      <c r="R231" t="e">
        <f>_xlfn.XLOOKUP(Table1[[#This Row],[ID]], Table2[ID],#REF!, "Not Found", 0)</f>
        <v>#REF!</v>
      </c>
      <c r="S231" s="3">
        <f>_xlfn.XLOOKUP(Table1[[#This Row],[ID]], Table2[ID], Table2[Enrollment], "Not Found", 0)</f>
        <v>43526</v>
      </c>
      <c r="T231" t="s">
        <v>437</v>
      </c>
    </row>
    <row r="232" spans="1:20" x14ac:dyDescent="0.3">
      <c r="A232">
        <v>3143</v>
      </c>
      <c r="B232">
        <v>179174</v>
      </c>
      <c r="C232">
        <v>0</v>
      </c>
      <c r="D232">
        <v>0</v>
      </c>
      <c r="E232">
        <v>45</v>
      </c>
      <c r="F232">
        <v>0</v>
      </c>
      <c r="G232">
        <v>1</v>
      </c>
      <c r="H232">
        <v>0</v>
      </c>
      <c r="I232">
        <v>0</v>
      </c>
      <c r="J232">
        <v>0</v>
      </c>
      <c r="K232">
        <v>0</v>
      </c>
      <c r="L232">
        <v>0</v>
      </c>
      <c r="M232">
        <v>0</v>
      </c>
      <c r="N232">
        <v>1</v>
      </c>
      <c r="O232" t="str" cm="1">
        <f t="array" ref="O232">_xlfn.IFS(Table1[[#This Row],[Divorced]]=1, "Divorced", Table1[[#This Row],[Married]]=1, "Married", Table1[[#This Row],[Single]]=1, "Single", Table1[[#This Row],[Together]]=1, "Together", Table1[[#This Row],[Widow]]=1, "Widow")</f>
        <v>Married</v>
      </c>
      <c r="P232" t="str" cm="1">
        <f t="array" ref="P232">_xlfn.IFS(Table1[[#This Row],[Basic]]=1, "Basic", Table1[[#This Row],[Graduate]]=1, "Graduate", Table1[[#This Row],[Master]]=1, "Master", Table1[[#This Row],[PhD]]=1, "PhD", AND(Table1[[#This Row],[Basic]]=0, Table1[[#This Row],[Graduate]]=0, Table1[[#This Row],[Master]]=0, Table1[[#This Row],[PhD]]=0), "NA")</f>
        <v>PhD</v>
      </c>
      <c r="Q232" t="e">
        <f>_xlfn.XLOOKUP(Table1[[#This Row],[ID]], Table2[ID],#REF!, "Not Found", 0)</f>
        <v>#REF!</v>
      </c>
      <c r="R232" t="e">
        <f>_xlfn.XLOOKUP(Table1[[#This Row],[ID]], Table2[ID],#REF!, "Not Found", 0)</f>
        <v>#REF!</v>
      </c>
      <c r="S232" s="3" t="str">
        <f>_xlfn.XLOOKUP(Table1[[#This Row],[ID]], Table2[ID], Table2[Enrollment], "Not Found", 0)</f>
        <v>6/18/2019</v>
      </c>
      <c r="T232" t="s">
        <v>434</v>
      </c>
    </row>
    <row r="233" spans="1:20" x14ac:dyDescent="0.3">
      <c r="A233">
        <v>1742</v>
      </c>
      <c r="B233">
        <v>179146</v>
      </c>
      <c r="C233">
        <v>1</v>
      </c>
      <c r="D233">
        <v>1</v>
      </c>
      <c r="E233">
        <v>53</v>
      </c>
      <c r="F233">
        <v>0</v>
      </c>
      <c r="G233">
        <v>0</v>
      </c>
      <c r="H233">
        <v>1</v>
      </c>
      <c r="I233">
        <v>0</v>
      </c>
      <c r="J233">
        <v>0</v>
      </c>
      <c r="K233">
        <v>0</v>
      </c>
      <c r="L233">
        <v>1</v>
      </c>
      <c r="M233">
        <v>0</v>
      </c>
      <c r="N233">
        <v>0</v>
      </c>
      <c r="O233" t="str" cm="1">
        <f t="array" ref="O233">_xlfn.IFS(Table1[[#This Row],[Divorced]]=1, "Divorced", Table1[[#This Row],[Married]]=1, "Married", Table1[[#This Row],[Single]]=1, "Single", Table1[[#This Row],[Together]]=1, "Together", Table1[[#This Row],[Widow]]=1, "Widow")</f>
        <v>Single</v>
      </c>
      <c r="P233" t="str" cm="1">
        <f t="array" ref="P233">_xlfn.IFS(Table1[[#This Row],[Basic]]=1, "Basic", Table1[[#This Row],[Graduate]]=1, "Graduate", Table1[[#This Row],[Master]]=1, "Master", Table1[[#This Row],[PhD]]=1, "PhD", AND(Table1[[#This Row],[Basic]]=0, Table1[[#This Row],[Graduate]]=0, Table1[[#This Row],[Master]]=0, Table1[[#This Row],[PhD]]=0), "NA")</f>
        <v>Graduate</v>
      </c>
      <c r="Q233" t="e">
        <f>_xlfn.XLOOKUP(Table1[[#This Row],[ID]], Table2[ID],#REF!, "Not Found", 0)</f>
        <v>#REF!</v>
      </c>
      <c r="R233" t="e">
        <f>_xlfn.XLOOKUP(Table1[[#This Row],[ID]], Table2[ID],#REF!, "Not Found", 0)</f>
        <v>#REF!</v>
      </c>
      <c r="S233" s="3" t="str">
        <f>_xlfn.XLOOKUP(Table1[[#This Row],[ID]], Table2[ID], Table2[Enrollment], "Not Found", 0)</f>
        <v>9/28/2020</v>
      </c>
      <c r="T233" t="s">
        <v>438</v>
      </c>
    </row>
    <row r="234" spans="1:20" x14ac:dyDescent="0.3">
      <c r="A234">
        <v>2711</v>
      </c>
      <c r="B234">
        <v>179146</v>
      </c>
      <c r="C234">
        <v>1</v>
      </c>
      <c r="D234">
        <v>1</v>
      </c>
      <c r="E234">
        <v>53</v>
      </c>
      <c r="F234">
        <v>0</v>
      </c>
      <c r="G234">
        <v>0</v>
      </c>
      <c r="H234">
        <v>1</v>
      </c>
      <c r="I234">
        <v>0</v>
      </c>
      <c r="J234">
        <v>0</v>
      </c>
      <c r="K234">
        <v>0</v>
      </c>
      <c r="L234">
        <v>1</v>
      </c>
      <c r="M234">
        <v>0</v>
      </c>
      <c r="N234">
        <v>0</v>
      </c>
      <c r="O234" t="str" cm="1">
        <f t="array" ref="O234">_xlfn.IFS(Table1[[#This Row],[Divorced]]=1, "Divorced", Table1[[#This Row],[Married]]=1, "Married", Table1[[#This Row],[Single]]=1, "Single", Table1[[#This Row],[Together]]=1, "Together", Table1[[#This Row],[Widow]]=1, "Widow")</f>
        <v>Single</v>
      </c>
      <c r="P234" t="str" cm="1">
        <f t="array" ref="P234">_xlfn.IFS(Table1[[#This Row],[Basic]]=1, "Basic", Table1[[#This Row],[Graduate]]=1, "Graduate", Table1[[#This Row],[Master]]=1, "Master", Table1[[#This Row],[PhD]]=1, "PhD", AND(Table1[[#This Row],[Basic]]=0, Table1[[#This Row],[Graduate]]=0, Table1[[#This Row],[Master]]=0, Table1[[#This Row],[PhD]]=0), "NA")</f>
        <v>Graduate</v>
      </c>
      <c r="Q234" t="e">
        <f>_xlfn.XLOOKUP(Table1[[#This Row],[ID]], Table2[ID],#REF!, "Not Found", 0)</f>
        <v>#REF!</v>
      </c>
      <c r="R234" t="e">
        <f>_xlfn.XLOOKUP(Table1[[#This Row],[ID]], Table2[ID],#REF!, "Not Found", 0)</f>
        <v>#REF!</v>
      </c>
      <c r="S234" s="3" t="str">
        <f>_xlfn.XLOOKUP(Table1[[#This Row],[ID]], Table2[ID], Table2[Enrollment], "Not Found", 0)</f>
        <v>9/28/2020</v>
      </c>
      <c r="T234" t="s">
        <v>434</v>
      </c>
    </row>
    <row r="235" spans="1:20" x14ac:dyDescent="0.3">
      <c r="A235">
        <v>1048</v>
      </c>
      <c r="B235">
        <v>179143</v>
      </c>
      <c r="C235">
        <v>0</v>
      </c>
      <c r="D235">
        <v>0</v>
      </c>
      <c r="E235">
        <v>56</v>
      </c>
      <c r="F235">
        <v>0</v>
      </c>
      <c r="G235">
        <v>1</v>
      </c>
      <c r="H235">
        <v>0</v>
      </c>
      <c r="I235">
        <v>0</v>
      </c>
      <c r="J235">
        <v>0</v>
      </c>
      <c r="K235">
        <v>0</v>
      </c>
      <c r="L235">
        <v>0</v>
      </c>
      <c r="M235">
        <v>1</v>
      </c>
      <c r="N235">
        <v>0</v>
      </c>
      <c r="O235" t="str" cm="1">
        <f t="array" ref="O235">_xlfn.IFS(Table1[[#This Row],[Divorced]]=1, "Divorced", Table1[[#This Row],[Married]]=1, "Married", Table1[[#This Row],[Single]]=1, "Single", Table1[[#This Row],[Together]]=1, "Together", Table1[[#This Row],[Widow]]=1, "Widow")</f>
        <v>Married</v>
      </c>
      <c r="P235" t="str" cm="1">
        <f t="array" ref="P235">_xlfn.IFS(Table1[[#This Row],[Basic]]=1, "Basic", Table1[[#This Row],[Graduate]]=1, "Graduate", Table1[[#This Row],[Master]]=1, "Master", Table1[[#This Row],[PhD]]=1, "PhD", AND(Table1[[#This Row],[Basic]]=0, Table1[[#This Row],[Graduate]]=0, Table1[[#This Row],[Master]]=0, Table1[[#This Row],[PhD]]=0), "NA")</f>
        <v>Master</v>
      </c>
      <c r="Q235" t="e">
        <f>_xlfn.XLOOKUP(Table1[[#This Row],[ID]], Table2[ID],#REF!, "Not Found", 0)</f>
        <v>#REF!</v>
      </c>
      <c r="R235" t="e">
        <f>_xlfn.XLOOKUP(Table1[[#This Row],[ID]], Table2[ID],#REF!, "Not Found", 0)</f>
        <v>#REF!</v>
      </c>
      <c r="S235" s="3" t="str">
        <f>_xlfn.XLOOKUP(Table1[[#This Row],[ID]], Table2[ID], Table2[Enrollment], "Not Found", 0)</f>
        <v>1/16/2019</v>
      </c>
      <c r="T235" t="s">
        <v>439</v>
      </c>
    </row>
    <row r="236" spans="1:20" x14ac:dyDescent="0.3">
      <c r="A236">
        <v>1474</v>
      </c>
      <c r="B236">
        <v>178952</v>
      </c>
      <c r="C236">
        <v>0</v>
      </c>
      <c r="D236">
        <v>1</v>
      </c>
      <c r="E236">
        <v>62</v>
      </c>
      <c r="F236">
        <v>0</v>
      </c>
      <c r="G236">
        <v>0</v>
      </c>
      <c r="H236">
        <v>0</v>
      </c>
      <c r="I236">
        <v>1</v>
      </c>
      <c r="J236">
        <v>0</v>
      </c>
      <c r="K236">
        <v>0</v>
      </c>
      <c r="L236">
        <v>0</v>
      </c>
      <c r="M236">
        <v>0</v>
      </c>
      <c r="N236">
        <v>1</v>
      </c>
      <c r="O236" t="str" cm="1">
        <f t="array" ref="O236">_xlfn.IFS(Table1[[#This Row],[Divorced]]=1, "Divorced", Table1[[#This Row],[Married]]=1, "Married", Table1[[#This Row],[Single]]=1, "Single", Table1[[#This Row],[Together]]=1, "Together", Table1[[#This Row],[Widow]]=1, "Widow")</f>
        <v>Together</v>
      </c>
      <c r="P236" t="str" cm="1">
        <f t="array" ref="P236">_xlfn.IFS(Table1[[#This Row],[Basic]]=1, "Basic", Table1[[#This Row],[Graduate]]=1, "Graduate", Table1[[#This Row],[Master]]=1, "Master", Table1[[#This Row],[PhD]]=1, "PhD", AND(Table1[[#This Row],[Basic]]=0, Table1[[#This Row],[Graduate]]=0, Table1[[#This Row],[Master]]=0, Table1[[#This Row],[PhD]]=0), "NA")</f>
        <v>PhD</v>
      </c>
      <c r="Q236" t="e">
        <f>_xlfn.XLOOKUP(Table1[[#This Row],[ID]], Table2[ID],#REF!, "Not Found", 0)</f>
        <v>#REF!</v>
      </c>
      <c r="R236" t="e">
        <f>_xlfn.XLOOKUP(Table1[[#This Row],[ID]], Table2[ID],#REF!, "Not Found", 0)</f>
        <v>#REF!</v>
      </c>
      <c r="S236" s="3">
        <f>_xlfn.XLOOKUP(Table1[[#This Row],[ID]], Table2[ID], Table2[Enrollment], "Not Found", 0)</f>
        <v>43468</v>
      </c>
      <c r="T236" t="s">
        <v>439</v>
      </c>
    </row>
    <row r="237" spans="1:20" x14ac:dyDescent="0.3">
      <c r="A237">
        <v>1752</v>
      </c>
      <c r="B237">
        <v>178939</v>
      </c>
      <c r="C237">
        <v>0</v>
      </c>
      <c r="D237">
        <v>0</v>
      </c>
      <c r="E237">
        <v>69</v>
      </c>
      <c r="F237">
        <v>0</v>
      </c>
      <c r="G237">
        <v>1</v>
      </c>
      <c r="H237">
        <v>0</v>
      </c>
      <c r="I237">
        <v>0</v>
      </c>
      <c r="J237">
        <v>0</v>
      </c>
      <c r="K237">
        <v>0</v>
      </c>
      <c r="L237">
        <v>0</v>
      </c>
      <c r="M237">
        <v>0</v>
      </c>
      <c r="N237">
        <v>1</v>
      </c>
      <c r="O237" t="str" cm="1">
        <f t="array" ref="O237">_xlfn.IFS(Table1[[#This Row],[Divorced]]=1, "Divorced", Table1[[#This Row],[Married]]=1, "Married", Table1[[#This Row],[Single]]=1, "Single", Table1[[#This Row],[Together]]=1, "Together", Table1[[#This Row],[Widow]]=1, "Widow")</f>
        <v>Married</v>
      </c>
      <c r="P237" t="str" cm="1">
        <f t="array" ref="P237">_xlfn.IFS(Table1[[#This Row],[Basic]]=1, "Basic", Table1[[#This Row],[Graduate]]=1, "Graduate", Table1[[#This Row],[Master]]=1, "Master", Table1[[#This Row],[PhD]]=1, "PhD", AND(Table1[[#This Row],[Basic]]=0, Table1[[#This Row],[Graduate]]=0, Table1[[#This Row],[Master]]=0, Table1[[#This Row],[PhD]]=0), "NA")</f>
        <v>PhD</v>
      </c>
      <c r="Q237" t="e">
        <f>_xlfn.XLOOKUP(Table1[[#This Row],[ID]], Table2[ID],#REF!, "Not Found", 0)</f>
        <v>#REF!</v>
      </c>
      <c r="R237" t="e">
        <f>_xlfn.XLOOKUP(Table1[[#This Row],[ID]], Table2[ID],#REF!, "Not Found", 0)</f>
        <v>#REF!</v>
      </c>
      <c r="S237" s="3" t="str">
        <f>_xlfn.XLOOKUP(Table1[[#This Row],[ID]], Table2[ID], Table2[Enrollment], "Not Found", 0)</f>
        <v>5/18/2020</v>
      </c>
      <c r="T237" t="s">
        <v>436</v>
      </c>
    </row>
    <row r="238" spans="1:20" x14ac:dyDescent="0.3">
      <c r="A238">
        <v>2484</v>
      </c>
      <c r="B238">
        <v>178931</v>
      </c>
      <c r="C238">
        <v>0</v>
      </c>
      <c r="D238">
        <v>0</v>
      </c>
      <c r="E238">
        <v>49</v>
      </c>
      <c r="F238">
        <v>0</v>
      </c>
      <c r="G238">
        <v>1</v>
      </c>
      <c r="H238">
        <v>0</v>
      </c>
      <c r="I238">
        <v>0</v>
      </c>
      <c r="J238">
        <v>0</v>
      </c>
      <c r="K238">
        <v>0</v>
      </c>
      <c r="L238">
        <v>0</v>
      </c>
      <c r="M238">
        <v>0</v>
      </c>
      <c r="N238">
        <v>1</v>
      </c>
      <c r="O238" t="str" cm="1">
        <f t="array" ref="O238">_xlfn.IFS(Table1[[#This Row],[Divorced]]=1, "Divorced", Table1[[#This Row],[Married]]=1, "Married", Table1[[#This Row],[Single]]=1, "Single", Table1[[#This Row],[Together]]=1, "Together", Table1[[#This Row],[Widow]]=1, "Widow")</f>
        <v>Married</v>
      </c>
      <c r="P238" t="str" cm="1">
        <f t="array" ref="P238">_xlfn.IFS(Table1[[#This Row],[Basic]]=1, "Basic", Table1[[#This Row],[Graduate]]=1, "Graduate", Table1[[#This Row],[Master]]=1, "Master", Table1[[#This Row],[PhD]]=1, "PhD", AND(Table1[[#This Row],[Basic]]=0, Table1[[#This Row],[Graduate]]=0, Table1[[#This Row],[Master]]=0, Table1[[#This Row],[PhD]]=0), "NA")</f>
        <v>PhD</v>
      </c>
      <c r="Q238" t="e">
        <f>_xlfn.XLOOKUP(Table1[[#This Row],[ID]], Table2[ID],#REF!, "Not Found", 0)</f>
        <v>#REF!</v>
      </c>
      <c r="R238" t="e">
        <f>_xlfn.XLOOKUP(Table1[[#This Row],[ID]], Table2[ID],#REF!, "Not Found", 0)</f>
        <v>#REF!</v>
      </c>
      <c r="S238" s="3" t="str">
        <f>_xlfn.XLOOKUP(Table1[[#This Row],[ID]], Table2[ID], Table2[Enrollment], "Not Found", 0)</f>
        <v>3/31/2020</v>
      </c>
      <c r="T238" t="s">
        <v>436</v>
      </c>
    </row>
    <row r="239" spans="1:20" x14ac:dyDescent="0.3">
      <c r="A239">
        <v>1681</v>
      </c>
      <c r="B239">
        <v>178901</v>
      </c>
      <c r="C239">
        <v>0</v>
      </c>
      <c r="D239">
        <v>1</v>
      </c>
      <c r="E239">
        <v>47</v>
      </c>
      <c r="F239">
        <v>1</v>
      </c>
      <c r="G239">
        <v>0</v>
      </c>
      <c r="H239">
        <v>0</v>
      </c>
      <c r="I239">
        <v>0</v>
      </c>
      <c r="J239">
        <v>0</v>
      </c>
      <c r="K239">
        <v>0</v>
      </c>
      <c r="L239">
        <v>1</v>
      </c>
      <c r="M239">
        <v>0</v>
      </c>
      <c r="N239">
        <v>0</v>
      </c>
      <c r="O239" t="str" cm="1">
        <f t="array" ref="O239">_xlfn.IFS(Table1[[#This Row],[Divorced]]=1, "Divorced", Table1[[#This Row],[Married]]=1, "Married", Table1[[#This Row],[Single]]=1, "Single", Table1[[#This Row],[Together]]=1, "Together", Table1[[#This Row],[Widow]]=1, "Widow")</f>
        <v>Divorced</v>
      </c>
      <c r="P239" t="str" cm="1">
        <f t="array" ref="P239">_xlfn.IFS(Table1[[#This Row],[Basic]]=1, "Basic", Table1[[#This Row],[Graduate]]=1, "Graduate", Table1[[#This Row],[Master]]=1, "Master", Table1[[#This Row],[PhD]]=1, "PhD", AND(Table1[[#This Row],[Basic]]=0, Table1[[#This Row],[Graduate]]=0, Table1[[#This Row],[Master]]=0, Table1[[#This Row],[PhD]]=0), "NA")</f>
        <v>Graduate</v>
      </c>
      <c r="Q239" t="e">
        <f>_xlfn.XLOOKUP(Table1[[#This Row],[ID]], Table2[ID],#REF!, "Not Found", 0)</f>
        <v>#REF!</v>
      </c>
      <c r="R239" t="e">
        <f>_xlfn.XLOOKUP(Table1[[#This Row],[ID]], Table2[ID],#REF!, "Not Found", 0)</f>
        <v>#REF!</v>
      </c>
      <c r="S239" s="3" t="str">
        <f>_xlfn.XLOOKUP(Table1[[#This Row],[ID]], Table2[ID], Table2[Enrollment], "Not Found", 0)</f>
        <v>2/22/2020</v>
      </c>
      <c r="T239" t="s">
        <v>437</v>
      </c>
    </row>
    <row r="240" spans="1:20" x14ac:dyDescent="0.3">
      <c r="A240">
        <v>1469</v>
      </c>
      <c r="B240">
        <v>178825</v>
      </c>
      <c r="C240">
        <v>0</v>
      </c>
      <c r="D240">
        <v>0</v>
      </c>
      <c r="E240">
        <v>56</v>
      </c>
      <c r="F240">
        <v>1</v>
      </c>
      <c r="G240">
        <v>0</v>
      </c>
      <c r="H240">
        <v>0</v>
      </c>
      <c r="I240">
        <v>0</v>
      </c>
      <c r="J240">
        <v>0</v>
      </c>
      <c r="K240">
        <v>0</v>
      </c>
      <c r="L240">
        <v>0</v>
      </c>
      <c r="M240">
        <v>0</v>
      </c>
      <c r="N240">
        <v>1</v>
      </c>
      <c r="O240" t="str" cm="1">
        <f t="array" ref="O240">_xlfn.IFS(Table1[[#This Row],[Divorced]]=1, "Divorced", Table1[[#This Row],[Married]]=1, "Married", Table1[[#This Row],[Single]]=1, "Single", Table1[[#This Row],[Together]]=1, "Together", Table1[[#This Row],[Widow]]=1, "Widow")</f>
        <v>Divorced</v>
      </c>
      <c r="P240" t="str" cm="1">
        <f t="array" ref="P240">_xlfn.IFS(Table1[[#This Row],[Basic]]=1, "Basic", Table1[[#This Row],[Graduate]]=1, "Graduate", Table1[[#This Row],[Master]]=1, "Master", Table1[[#This Row],[PhD]]=1, "PhD", AND(Table1[[#This Row],[Basic]]=0, Table1[[#This Row],[Graduate]]=0, Table1[[#This Row],[Master]]=0, Table1[[#This Row],[PhD]]=0), "NA")</f>
        <v>PhD</v>
      </c>
      <c r="Q240" t="e">
        <f>_xlfn.XLOOKUP(Table1[[#This Row],[ID]], Table2[ID],#REF!, "Not Found", 0)</f>
        <v>#REF!</v>
      </c>
      <c r="R240" t="e">
        <f>_xlfn.XLOOKUP(Table1[[#This Row],[ID]], Table2[ID],#REF!, "Not Found", 0)</f>
        <v>#REF!</v>
      </c>
      <c r="S240" s="3" t="str">
        <f>_xlfn.XLOOKUP(Table1[[#This Row],[ID]], Table2[ID], Table2[Enrollment], "Not Found", 0)</f>
        <v>2/19/2019</v>
      </c>
      <c r="T240" t="s">
        <v>434</v>
      </c>
    </row>
    <row r="241" spans="1:20" x14ac:dyDescent="0.3">
      <c r="A241">
        <v>2661</v>
      </c>
      <c r="B241">
        <v>178789</v>
      </c>
      <c r="C241">
        <v>0</v>
      </c>
      <c r="D241">
        <v>0</v>
      </c>
      <c r="E241">
        <v>40</v>
      </c>
      <c r="F241">
        <v>1</v>
      </c>
      <c r="G241">
        <v>0</v>
      </c>
      <c r="H241">
        <v>0</v>
      </c>
      <c r="I241">
        <v>0</v>
      </c>
      <c r="J241">
        <v>0</v>
      </c>
      <c r="K241">
        <v>0</v>
      </c>
      <c r="L241">
        <v>0</v>
      </c>
      <c r="M241">
        <v>1</v>
      </c>
      <c r="N241">
        <v>0</v>
      </c>
      <c r="O241" t="str" cm="1">
        <f t="array" ref="O241">_xlfn.IFS(Table1[[#This Row],[Divorced]]=1, "Divorced", Table1[[#This Row],[Married]]=1, "Married", Table1[[#This Row],[Single]]=1, "Single", Table1[[#This Row],[Together]]=1, "Together", Table1[[#This Row],[Widow]]=1, "Widow")</f>
        <v>Divorced</v>
      </c>
      <c r="P241" t="str" cm="1">
        <f t="array" ref="P241">_xlfn.IFS(Table1[[#This Row],[Basic]]=1, "Basic", Table1[[#This Row],[Graduate]]=1, "Graduate", Table1[[#This Row],[Master]]=1, "Master", Table1[[#This Row],[PhD]]=1, "PhD", AND(Table1[[#This Row],[Basic]]=0, Table1[[#This Row],[Graduate]]=0, Table1[[#This Row],[Master]]=0, Table1[[#This Row],[PhD]]=0), "NA")</f>
        <v>Master</v>
      </c>
      <c r="Q241" t="e">
        <f>_xlfn.XLOOKUP(Table1[[#This Row],[ID]], Table2[ID],#REF!, "Not Found", 0)</f>
        <v>#REF!</v>
      </c>
      <c r="R241" t="e">
        <f>_xlfn.XLOOKUP(Table1[[#This Row],[ID]], Table2[ID],#REF!, "Not Found", 0)</f>
        <v>#REF!</v>
      </c>
      <c r="S241" s="3" t="str">
        <f>_xlfn.XLOOKUP(Table1[[#This Row],[ID]], Table2[ID], Table2[Enrollment], "Not Found", 0)</f>
        <v>1/13/2019</v>
      </c>
      <c r="T241" t="s">
        <v>435</v>
      </c>
    </row>
    <row r="242" spans="1:20" x14ac:dyDescent="0.3">
      <c r="A242">
        <v>1631</v>
      </c>
      <c r="B242">
        <v>178710</v>
      </c>
      <c r="C242">
        <v>0</v>
      </c>
      <c r="D242">
        <v>1</v>
      </c>
      <c r="E242">
        <v>43</v>
      </c>
      <c r="F242">
        <v>0</v>
      </c>
      <c r="G242">
        <v>1</v>
      </c>
      <c r="H242">
        <v>0</v>
      </c>
      <c r="I242">
        <v>0</v>
      </c>
      <c r="J242">
        <v>0</v>
      </c>
      <c r="K242">
        <v>0</v>
      </c>
      <c r="L242">
        <v>0</v>
      </c>
      <c r="M242">
        <v>1</v>
      </c>
      <c r="N242">
        <v>0</v>
      </c>
      <c r="O242" t="str" cm="1">
        <f t="array" ref="O242">_xlfn.IFS(Table1[[#This Row],[Divorced]]=1, "Divorced", Table1[[#This Row],[Married]]=1, "Married", Table1[[#This Row],[Single]]=1, "Single", Table1[[#This Row],[Together]]=1, "Together", Table1[[#This Row],[Widow]]=1, "Widow")</f>
        <v>Married</v>
      </c>
      <c r="P242" t="str" cm="1">
        <f t="array" ref="P242">_xlfn.IFS(Table1[[#This Row],[Basic]]=1, "Basic", Table1[[#This Row],[Graduate]]=1, "Graduate", Table1[[#This Row],[Master]]=1, "Master", Table1[[#This Row],[PhD]]=1, "PhD", AND(Table1[[#This Row],[Basic]]=0, Table1[[#This Row],[Graduate]]=0, Table1[[#This Row],[Master]]=0, Table1[[#This Row],[PhD]]=0), "NA")</f>
        <v>Master</v>
      </c>
      <c r="Q242" t="e">
        <f>_xlfn.XLOOKUP(Table1[[#This Row],[ID]], Table2[ID],#REF!, "Not Found", 0)</f>
        <v>#REF!</v>
      </c>
      <c r="R242" t="e">
        <f>_xlfn.XLOOKUP(Table1[[#This Row],[ID]], Table2[ID],#REF!, "Not Found", 0)</f>
        <v>#REF!</v>
      </c>
      <c r="S242" s="3" t="str">
        <f>_xlfn.XLOOKUP(Table1[[#This Row],[ID]], Table2[ID], Table2[Enrollment], "Not Found", 0)</f>
        <v>10/27/2020</v>
      </c>
      <c r="T242" t="s">
        <v>434</v>
      </c>
    </row>
    <row r="243" spans="1:20" x14ac:dyDescent="0.3">
      <c r="A243">
        <v>2261</v>
      </c>
      <c r="B243">
        <v>178687</v>
      </c>
      <c r="C243">
        <v>0</v>
      </c>
      <c r="D243">
        <v>0</v>
      </c>
      <c r="E243">
        <v>37</v>
      </c>
      <c r="F243">
        <v>0</v>
      </c>
      <c r="G243">
        <v>0</v>
      </c>
      <c r="H243">
        <v>0</v>
      </c>
      <c r="I243">
        <v>1</v>
      </c>
      <c r="J243">
        <v>0</v>
      </c>
      <c r="K243">
        <v>0</v>
      </c>
      <c r="L243">
        <v>1</v>
      </c>
      <c r="M243">
        <v>0</v>
      </c>
      <c r="N243">
        <v>0</v>
      </c>
      <c r="O243" t="str" cm="1">
        <f t="array" ref="O243">_xlfn.IFS(Table1[[#This Row],[Divorced]]=1, "Divorced", Table1[[#This Row],[Married]]=1, "Married", Table1[[#This Row],[Single]]=1, "Single", Table1[[#This Row],[Together]]=1, "Together", Table1[[#This Row],[Widow]]=1, "Widow")</f>
        <v>Together</v>
      </c>
      <c r="P243" t="str" cm="1">
        <f t="array" ref="P243">_xlfn.IFS(Table1[[#This Row],[Basic]]=1, "Basic", Table1[[#This Row],[Graduate]]=1, "Graduate", Table1[[#This Row],[Master]]=1, "Master", Table1[[#This Row],[PhD]]=1, "PhD", AND(Table1[[#This Row],[Basic]]=0, Table1[[#This Row],[Graduate]]=0, Table1[[#This Row],[Master]]=0, Table1[[#This Row],[PhD]]=0), "NA")</f>
        <v>Graduate</v>
      </c>
      <c r="Q243" t="e">
        <f>_xlfn.XLOOKUP(Table1[[#This Row],[ID]], Table2[ID],#REF!, "Not Found", 0)</f>
        <v>#REF!</v>
      </c>
      <c r="R243" t="e">
        <f>_xlfn.XLOOKUP(Table1[[#This Row],[ID]], Table2[ID],#REF!, "Not Found", 0)</f>
        <v>#REF!</v>
      </c>
      <c r="S243" s="3" t="str">
        <f>_xlfn.XLOOKUP(Table1[[#This Row],[ID]], Table2[ID], Table2[Enrollment], "Not Found", 0)</f>
        <v>1/14/2019</v>
      </c>
      <c r="T243" t="s">
        <v>434</v>
      </c>
    </row>
    <row r="244" spans="1:20" x14ac:dyDescent="0.3">
      <c r="A244">
        <v>1481</v>
      </c>
      <c r="B244">
        <v>178642</v>
      </c>
      <c r="C244">
        <v>0</v>
      </c>
      <c r="D244">
        <v>1</v>
      </c>
      <c r="E244">
        <v>49</v>
      </c>
      <c r="F244">
        <v>0</v>
      </c>
      <c r="G244">
        <v>0</v>
      </c>
      <c r="H244">
        <v>0</v>
      </c>
      <c r="I244">
        <v>1</v>
      </c>
      <c r="J244">
        <v>0</v>
      </c>
      <c r="K244">
        <v>0</v>
      </c>
      <c r="L244">
        <v>0</v>
      </c>
      <c r="M244">
        <v>0</v>
      </c>
      <c r="N244">
        <v>1</v>
      </c>
      <c r="O244" t="str" cm="1">
        <f t="array" ref="O244">_xlfn.IFS(Table1[[#This Row],[Divorced]]=1, "Divorced", Table1[[#This Row],[Married]]=1, "Married", Table1[[#This Row],[Single]]=1, "Single", Table1[[#This Row],[Together]]=1, "Together", Table1[[#This Row],[Widow]]=1, "Widow")</f>
        <v>Together</v>
      </c>
      <c r="P244" t="str" cm="1">
        <f t="array" ref="P244">_xlfn.IFS(Table1[[#This Row],[Basic]]=1, "Basic", Table1[[#This Row],[Graduate]]=1, "Graduate", Table1[[#This Row],[Master]]=1, "Master", Table1[[#This Row],[PhD]]=1, "PhD", AND(Table1[[#This Row],[Basic]]=0, Table1[[#This Row],[Graduate]]=0, Table1[[#This Row],[Master]]=0, Table1[[#This Row],[PhD]]=0), "NA")</f>
        <v>PhD</v>
      </c>
      <c r="Q244" t="e">
        <f>_xlfn.XLOOKUP(Table1[[#This Row],[ID]], Table2[ID],#REF!, "Not Found", 0)</f>
        <v>#REF!</v>
      </c>
      <c r="R244" t="e">
        <f>_xlfn.XLOOKUP(Table1[[#This Row],[ID]], Table2[ID],#REF!, "Not Found", 0)</f>
        <v>#REF!</v>
      </c>
      <c r="S244" s="3" t="str">
        <f>_xlfn.XLOOKUP(Table1[[#This Row],[ID]], Table2[ID], Table2[Enrollment], "Not Found", 0)</f>
        <v>9/26/2019</v>
      </c>
      <c r="T244" t="s">
        <v>434</v>
      </c>
    </row>
    <row r="245" spans="1:20" x14ac:dyDescent="0.3">
      <c r="A245">
        <v>1344</v>
      </c>
      <c r="B245">
        <v>178618</v>
      </c>
      <c r="C245">
        <v>0</v>
      </c>
      <c r="D245">
        <v>0</v>
      </c>
      <c r="E245">
        <v>63</v>
      </c>
      <c r="F245">
        <v>0</v>
      </c>
      <c r="G245">
        <v>1</v>
      </c>
      <c r="H245">
        <v>0</v>
      </c>
      <c r="I245">
        <v>0</v>
      </c>
      <c r="J245">
        <v>0</v>
      </c>
      <c r="K245">
        <v>0</v>
      </c>
      <c r="L245">
        <v>1</v>
      </c>
      <c r="M245">
        <v>0</v>
      </c>
      <c r="N245">
        <v>0</v>
      </c>
      <c r="O245" t="str" cm="1">
        <f t="array" ref="O245">_xlfn.IFS(Table1[[#This Row],[Divorced]]=1, "Divorced", Table1[[#This Row],[Married]]=1, "Married", Table1[[#This Row],[Single]]=1, "Single", Table1[[#This Row],[Together]]=1, "Together", Table1[[#This Row],[Widow]]=1, "Widow")</f>
        <v>Married</v>
      </c>
      <c r="P245" t="str" cm="1">
        <f t="array" ref="P245">_xlfn.IFS(Table1[[#This Row],[Basic]]=1, "Basic", Table1[[#This Row],[Graduate]]=1, "Graduate", Table1[[#This Row],[Master]]=1, "Master", Table1[[#This Row],[PhD]]=1, "PhD", AND(Table1[[#This Row],[Basic]]=0, Table1[[#This Row],[Graduate]]=0, Table1[[#This Row],[Master]]=0, Table1[[#This Row],[PhD]]=0), "NA")</f>
        <v>Graduate</v>
      </c>
      <c r="Q245" t="e">
        <f>_xlfn.XLOOKUP(Table1[[#This Row],[ID]], Table2[ID],#REF!, "Not Found", 0)</f>
        <v>#REF!</v>
      </c>
      <c r="R245" t="e">
        <f>_xlfn.XLOOKUP(Table1[[#This Row],[ID]], Table2[ID],#REF!, "Not Found", 0)</f>
        <v>#REF!</v>
      </c>
      <c r="S245" s="3">
        <f>_xlfn.XLOOKUP(Table1[[#This Row],[ID]], Table2[ID], Table2[Enrollment], "Not Found", 0)</f>
        <v>43588</v>
      </c>
      <c r="T245" t="s">
        <v>436</v>
      </c>
    </row>
    <row r="246" spans="1:20" x14ac:dyDescent="0.3">
      <c r="A246">
        <v>2171</v>
      </c>
      <c r="B246">
        <v>178579</v>
      </c>
      <c r="C246">
        <v>0</v>
      </c>
      <c r="D246">
        <v>0</v>
      </c>
      <c r="E246">
        <v>50</v>
      </c>
      <c r="F246">
        <v>1</v>
      </c>
      <c r="G246">
        <v>0</v>
      </c>
      <c r="H246">
        <v>0</v>
      </c>
      <c r="I246">
        <v>0</v>
      </c>
      <c r="J246">
        <v>0</v>
      </c>
      <c r="K246">
        <v>0</v>
      </c>
      <c r="L246">
        <v>0</v>
      </c>
      <c r="M246">
        <v>1</v>
      </c>
      <c r="N246">
        <v>0</v>
      </c>
      <c r="O246" t="str" cm="1">
        <f t="array" ref="O246">_xlfn.IFS(Table1[[#This Row],[Divorced]]=1, "Divorced", Table1[[#This Row],[Married]]=1, "Married", Table1[[#This Row],[Single]]=1, "Single", Table1[[#This Row],[Together]]=1, "Together", Table1[[#This Row],[Widow]]=1, "Widow")</f>
        <v>Divorced</v>
      </c>
      <c r="P246" t="str" cm="1">
        <f t="array" ref="P246">_xlfn.IFS(Table1[[#This Row],[Basic]]=1, "Basic", Table1[[#This Row],[Graduate]]=1, "Graduate", Table1[[#This Row],[Master]]=1, "Master", Table1[[#This Row],[PhD]]=1, "PhD", AND(Table1[[#This Row],[Basic]]=0, Table1[[#This Row],[Graduate]]=0, Table1[[#This Row],[Master]]=0, Table1[[#This Row],[PhD]]=0), "NA")</f>
        <v>Master</v>
      </c>
      <c r="Q246" t="e">
        <f>_xlfn.XLOOKUP(Table1[[#This Row],[ID]], Table2[ID],#REF!, "Not Found", 0)</f>
        <v>#REF!</v>
      </c>
      <c r="R246" t="e">
        <f>_xlfn.XLOOKUP(Table1[[#This Row],[ID]], Table2[ID],#REF!, "Not Found", 0)</f>
        <v>#REF!</v>
      </c>
      <c r="S246" s="3" t="str">
        <f>_xlfn.XLOOKUP(Table1[[#This Row],[ID]], Table2[ID], Table2[Enrollment], "Not Found", 0)</f>
        <v>5/29/2019</v>
      </c>
      <c r="T246" t="s">
        <v>434</v>
      </c>
    </row>
    <row r="247" spans="1:20" x14ac:dyDescent="0.3">
      <c r="A247">
        <v>2279</v>
      </c>
      <c r="B247">
        <v>178569</v>
      </c>
      <c r="C247">
        <v>0</v>
      </c>
      <c r="D247">
        <v>0</v>
      </c>
      <c r="E247">
        <v>74</v>
      </c>
      <c r="F247">
        <v>0</v>
      </c>
      <c r="G247">
        <v>1</v>
      </c>
      <c r="H247">
        <v>0</v>
      </c>
      <c r="I247">
        <v>0</v>
      </c>
      <c r="J247">
        <v>0</v>
      </c>
      <c r="K247">
        <v>0</v>
      </c>
      <c r="L247">
        <v>1</v>
      </c>
      <c r="M247">
        <v>0</v>
      </c>
      <c r="N247">
        <v>0</v>
      </c>
      <c r="O247" t="str" cm="1">
        <f t="array" ref="O247">_xlfn.IFS(Table1[[#This Row],[Divorced]]=1, "Divorced", Table1[[#This Row],[Married]]=1, "Married", Table1[[#This Row],[Single]]=1, "Single", Table1[[#This Row],[Together]]=1, "Together", Table1[[#This Row],[Widow]]=1, "Widow")</f>
        <v>Married</v>
      </c>
      <c r="P247" t="str" cm="1">
        <f t="array" ref="P247">_xlfn.IFS(Table1[[#This Row],[Basic]]=1, "Basic", Table1[[#This Row],[Graduate]]=1, "Graduate", Table1[[#This Row],[Master]]=1, "Master", Table1[[#This Row],[PhD]]=1, "PhD", AND(Table1[[#This Row],[Basic]]=0, Table1[[#This Row],[Graduate]]=0, Table1[[#This Row],[Master]]=0, Table1[[#This Row],[PhD]]=0), "NA")</f>
        <v>Graduate</v>
      </c>
      <c r="Q247" t="e">
        <f>_xlfn.XLOOKUP(Table1[[#This Row],[ID]], Table2[ID],#REF!, "Not Found", 0)</f>
        <v>#REF!</v>
      </c>
      <c r="R247" t="e">
        <f>_xlfn.XLOOKUP(Table1[[#This Row],[ID]], Table2[ID],#REF!, "Not Found", 0)</f>
        <v>#REF!</v>
      </c>
      <c r="S247" s="3" t="str">
        <f>_xlfn.XLOOKUP(Table1[[#This Row],[ID]], Table2[ID], Table2[Enrollment], "Not Found", 0)</f>
        <v>7/26/2020</v>
      </c>
      <c r="T247" t="s">
        <v>434</v>
      </c>
    </row>
    <row r="248" spans="1:20" x14ac:dyDescent="0.3">
      <c r="A248">
        <v>3113</v>
      </c>
      <c r="B248">
        <v>178499</v>
      </c>
      <c r="C248">
        <v>0</v>
      </c>
      <c r="D248">
        <v>0</v>
      </c>
      <c r="E248">
        <v>63</v>
      </c>
      <c r="F248">
        <v>0</v>
      </c>
      <c r="G248">
        <v>0</v>
      </c>
      <c r="H248">
        <v>1</v>
      </c>
      <c r="I248">
        <v>0</v>
      </c>
      <c r="J248">
        <v>0</v>
      </c>
      <c r="K248">
        <v>0</v>
      </c>
      <c r="L248">
        <v>1</v>
      </c>
      <c r="M248">
        <v>0</v>
      </c>
      <c r="N248">
        <v>0</v>
      </c>
      <c r="O248" t="str" cm="1">
        <f t="array" ref="O248">_xlfn.IFS(Table1[[#This Row],[Divorced]]=1, "Divorced", Table1[[#This Row],[Married]]=1, "Married", Table1[[#This Row],[Single]]=1, "Single", Table1[[#This Row],[Together]]=1, "Together", Table1[[#This Row],[Widow]]=1, "Widow")</f>
        <v>Single</v>
      </c>
      <c r="P248" t="str" cm="1">
        <f t="array" ref="P248">_xlfn.IFS(Table1[[#This Row],[Basic]]=1, "Basic", Table1[[#This Row],[Graduate]]=1, "Graduate", Table1[[#This Row],[Master]]=1, "Master", Table1[[#This Row],[PhD]]=1, "PhD", AND(Table1[[#This Row],[Basic]]=0, Table1[[#This Row],[Graduate]]=0, Table1[[#This Row],[Master]]=0, Table1[[#This Row],[PhD]]=0), "NA")</f>
        <v>Graduate</v>
      </c>
      <c r="Q248" t="e">
        <f>_xlfn.XLOOKUP(Table1[[#This Row],[ID]], Table2[ID],#REF!, "Not Found", 0)</f>
        <v>#REF!</v>
      </c>
      <c r="R248" t="e">
        <f>_xlfn.XLOOKUP(Table1[[#This Row],[ID]], Table2[ID],#REF!, "Not Found", 0)</f>
        <v>#REF!</v>
      </c>
      <c r="S248" s="3" t="str">
        <f>_xlfn.XLOOKUP(Table1[[#This Row],[ID]], Table2[ID], Table2[Enrollment], "Not Found", 0)</f>
        <v>4/29/2020</v>
      </c>
      <c r="T248" t="s">
        <v>434</v>
      </c>
    </row>
    <row r="249" spans="1:20" x14ac:dyDescent="0.3">
      <c r="A249">
        <v>1090</v>
      </c>
      <c r="B249">
        <v>178497</v>
      </c>
      <c r="C249">
        <v>0</v>
      </c>
      <c r="D249">
        <v>0</v>
      </c>
      <c r="E249">
        <v>69</v>
      </c>
      <c r="F249">
        <v>0</v>
      </c>
      <c r="G249">
        <v>1</v>
      </c>
      <c r="H249">
        <v>0</v>
      </c>
      <c r="I249">
        <v>0</v>
      </c>
      <c r="J249">
        <v>0</v>
      </c>
      <c r="K249">
        <v>0</v>
      </c>
      <c r="L249">
        <v>0</v>
      </c>
      <c r="M249">
        <v>0</v>
      </c>
      <c r="N249">
        <v>0</v>
      </c>
      <c r="O249" t="str" cm="1">
        <f t="array" ref="O249">_xlfn.IFS(Table1[[#This Row],[Divorced]]=1, "Divorced", Table1[[#This Row],[Married]]=1, "Married", Table1[[#This Row],[Single]]=1, "Single", Table1[[#This Row],[Together]]=1, "Together", Table1[[#This Row],[Widow]]=1, "Widow")</f>
        <v>Married</v>
      </c>
      <c r="P249" t="str" cm="1">
        <f t="array" ref="P249">_xlfn.IFS(Table1[[#This Row],[Basic]]=1, "Basic", Table1[[#This Row],[Graduate]]=1, "Graduate", Table1[[#This Row],[Master]]=1, "Master", Table1[[#This Row],[PhD]]=1, "PhD", AND(Table1[[#This Row],[Basic]]=0, Table1[[#This Row],[Graduate]]=0, Table1[[#This Row],[Master]]=0, Table1[[#This Row],[PhD]]=0), "NA")</f>
        <v>NA</v>
      </c>
      <c r="Q249" t="e">
        <f>_xlfn.XLOOKUP(Table1[[#This Row],[ID]], Table2[ID],#REF!, "Not Found", 0)</f>
        <v>#REF!</v>
      </c>
      <c r="R249" t="e">
        <f>_xlfn.XLOOKUP(Table1[[#This Row],[ID]], Table2[ID],#REF!, "Not Found", 0)</f>
        <v>#REF!</v>
      </c>
      <c r="S249" s="3">
        <f>_xlfn.XLOOKUP(Table1[[#This Row],[ID]], Table2[ID], Table2[Enrollment], "Not Found", 0)</f>
        <v>44017</v>
      </c>
      <c r="T249" t="s">
        <v>439</v>
      </c>
    </row>
    <row r="250" spans="1:20" x14ac:dyDescent="0.3">
      <c r="A250">
        <v>1168</v>
      </c>
      <c r="B250">
        <v>178497</v>
      </c>
      <c r="C250">
        <v>0</v>
      </c>
      <c r="D250">
        <v>0</v>
      </c>
      <c r="E250">
        <v>69</v>
      </c>
      <c r="F250">
        <v>0</v>
      </c>
      <c r="G250">
        <v>1</v>
      </c>
      <c r="H250">
        <v>0</v>
      </c>
      <c r="I250">
        <v>0</v>
      </c>
      <c r="J250">
        <v>0</v>
      </c>
      <c r="K250">
        <v>0</v>
      </c>
      <c r="L250">
        <v>0</v>
      </c>
      <c r="M250">
        <v>0</v>
      </c>
      <c r="N250">
        <v>0</v>
      </c>
      <c r="O250" t="str" cm="1">
        <f t="array" ref="O250">_xlfn.IFS(Table1[[#This Row],[Divorced]]=1, "Divorced", Table1[[#This Row],[Married]]=1, "Married", Table1[[#This Row],[Single]]=1, "Single", Table1[[#This Row],[Together]]=1, "Together", Table1[[#This Row],[Widow]]=1, "Widow")</f>
        <v>Married</v>
      </c>
      <c r="P250" t="str" cm="1">
        <f t="array" ref="P250">_xlfn.IFS(Table1[[#This Row],[Basic]]=1, "Basic", Table1[[#This Row],[Graduate]]=1, "Graduate", Table1[[#This Row],[Master]]=1, "Master", Table1[[#This Row],[PhD]]=1, "PhD", AND(Table1[[#This Row],[Basic]]=0, Table1[[#This Row],[Graduate]]=0, Table1[[#This Row],[Master]]=0, Table1[[#This Row],[PhD]]=0), "NA")</f>
        <v>NA</v>
      </c>
      <c r="Q250" t="e">
        <f>_xlfn.XLOOKUP(Table1[[#This Row],[ID]], Table2[ID],#REF!, "Not Found", 0)</f>
        <v>#REF!</v>
      </c>
      <c r="R250" t="e">
        <f>_xlfn.XLOOKUP(Table1[[#This Row],[ID]], Table2[ID],#REF!, "Not Found", 0)</f>
        <v>#REF!</v>
      </c>
      <c r="S250" s="3">
        <f>_xlfn.XLOOKUP(Table1[[#This Row],[ID]], Table2[ID], Table2[Enrollment], "Not Found", 0)</f>
        <v>44017</v>
      </c>
      <c r="T250" t="s">
        <v>439</v>
      </c>
    </row>
    <row r="251" spans="1:20" x14ac:dyDescent="0.3">
      <c r="A251">
        <v>1680</v>
      </c>
      <c r="B251">
        <v>178468</v>
      </c>
      <c r="C251">
        <v>0</v>
      </c>
      <c r="D251">
        <v>0</v>
      </c>
      <c r="E251">
        <v>60</v>
      </c>
      <c r="F251">
        <v>0</v>
      </c>
      <c r="G251">
        <v>0</v>
      </c>
      <c r="H251">
        <v>0</v>
      </c>
      <c r="I251">
        <v>1</v>
      </c>
      <c r="J251">
        <v>0</v>
      </c>
      <c r="K251">
        <v>0</v>
      </c>
      <c r="L251">
        <v>1</v>
      </c>
      <c r="M251">
        <v>0</v>
      </c>
      <c r="N251">
        <v>0</v>
      </c>
      <c r="O251" t="str" cm="1">
        <f t="array" ref="O251">_xlfn.IFS(Table1[[#This Row],[Divorced]]=1, "Divorced", Table1[[#This Row],[Married]]=1, "Married", Table1[[#This Row],[Single]]=1, "Single", Table1[[#This Row],[Together]]=1, "Together", Table1[[#This Row],[Widow]]=1, "Widow")</f>
        <v>Together</v>
      </c>
      <c r="P251" t="str" cm="1">
        <f t="array" ref="P251">_xlfn.IFS(Table1[[#This Row],[Basic]]=1, "Basic", Table1[[#This Row],[Graduate]]=1, "Graduate", Table1[[#This Row],[Master]]=1, "Master", Table1[[#This Row],[PhD]]=1, "PhD", AND(Table1[[#This Row],[Basic]]=0, Table1[[#This Row],[Graduate]]=0, Table1[[#This Row],[Master]]=0, Table1[[#This Row],[PhD]]=0), "NA")</f>
        <v>Graduate</v>
      </c>
      <c r="Q251" t="e">
        <f>_xlfn.XLOOKUP(Table1[[#This Row],[ID]], Table2[ID],#REF!, "Not Found", 0)</f>
        <v>#REF!</v>
      </c>
      <c r="R251" t="e">
        <f>_xlfn.XLOOKUP(Table1[[#This Row],[ID]], Table2[ID],#REF!, "Not Found", 0)</f>
        <v>#REF!</v>
      </c>
      <c r="S251" s="3" t="str">
        <f>_xlfn.XLOOKUP(Table1[[#This Row],[ID]], Table2[ID], Table2[Enrollment], "Not Found", 0)</f>
        <v>9/13/2020</v>
      </c>
      <c r="T251" t="s">
        <v>436</v>
      </c>
    </row>
    <row r="252" spans="1:20" x14ac:dyDescent="0.3">
      <c r="A252">
        <v>2419</v>
      </c>
      <c r="B252">
        <v>178427</v>
      </c>
      <c r="C252">
        <v>0</v>
      </c>
      <c r="D252">
        <v>0</v>
      </c>
      <c r="E252">
        <v>72</v>
      </c>
      <c r="F252">
        <v>0</v>
      </c>
      <c r="G252">
        <v>0</v>
      </c>
      <c r="H252">
        <v>0</v>
      </c>
      <c r="I252">
        <v>0</v>
      </c>
      <c r="J252">
        <v>1</v>
      </c>
      <c r="K252">
        <v>0</v>
      </c>
      <c r="L252">
        <v>0</v>
      </c>
      <c r="M252">
        <v>1</v>
      </c>
      <c r="N252">
        <v>0</v>
      </c>
      <c r="O252" t="str" cm="1">
        <f t="array" ref="O252">_xlfn.IFS(Table1[[#This Row],[Divorced]]=1, "Divorced", Table1[[#This Row],[Married]]=1, "Married", Table1[[#This Row],[Single]]=1, "Single", Table1[[#This Row],[Together]]=1, "Together", Table1[[#This Row],[Widow]]=1, "Widow")</f>
        <v>Widow</v>
      </c>
      <c r="P252" t="str" cm="1">
        <f t="array" ref="P252">_xlfn.IFS(Table1[[#This Row],[Basic]]=1, "Basic", Table1[[#This Row],[Graduate]]=1, "Graduate", Table1[[#This Row],[Master]]=1, "Master", Table1[[#This Row],[PhD]]=1, "PhD", AND(Table1[[#This Row],[Basic]]=0, Table1[[#This Row],[Graduate]]=0, Table1[[#This Row],[Master]]=0, Table1[[#This Row],[PhD]]=0), "NA")</f>
        <v>Master</v>
      </c>
      <c r="Q252" t="e">
        <f>_xlfn.XLOOKUP(Table1[[#This Row],[ID]], Table2[ID],#REF!, "Not Found", 0)</f>
        <v>#REF!</v>
      </c>
      <c r="R252" t="e">
        <f>_xlfn.XLOOKUP(Table1[[#This Row],[ID]], Table2[ID],#REF!, "Not Found", 0)</f>
        <v>#REF!</v>
      </c>
      <c r="S252" s="3" t="str">
        <f>_xlfn.XLOOKUP(Table1[[#This Row],[ID]], Table2[ID], Table2[Enrollment], "Not Found", 0)</f>
        <v>3/31/2019</v>
      </c>
      <c r="T252" t="s">
        <v>437</v>
      </c>
    </row>
    <row r="253" spans="1:20" x14ac:dyDescent="0.3">
      <c r="A253">
        <v>1891</v>
      </c>
      <c r="B253">
        <v>178420</v>
      </c>
      <c r="C253">
        <v>0</v>
      </c>
      <c r="D253">
        <v>0</v>
      </c>
      <c r="E253">
        <v>54</v>
      </c>
      <c r="F253">
        <v>0</v>
      </c>
      <c r="G253">
        <v>0</v>
      </c>
      <c r="H253">
        <v>1</v>
      </c>
      <c r="I253">
        <v>0</v>
      </c>
      <c r="J253">
        <v>0</v>
      </c>
      <c r="K253">
        <v>0</v>
      </c>
      <c r="L253">
        <v>0</v>
      </c>
      <c r="M253">
        <v>0</v>
      </c>
      <c r="N253">
        <v>1</v>
      </c>
      <c r="O253" t="str" cm="1">
        <f t="array" ref="O253">_xlfn.IFS(Table1[[#This Row],[Divorced]]=1, "Divorced", Table1[[#This Row],[Married]]=1, "Married", Table1[[#This Row],[Single]]=1, "Single", Table1[[#This Row],[Together]]=1, "Together", Table1[[#This Row],[Widow]]=1, "Widow")</f>
        <v>Single</v>
      </c>
      <c r="P253" t="str" cm="1">
        <f t="array" ref="P253">_xlfn.IFS(Table1[[#This Row],[Basic]]=1, "Basic", Table1[[#This Row],[Graduate]]=1, "Graduate", Table1[[#This Row],[Master]]=1, "Master", Table1[[#This Row],[PhD]]=1, "PhD", AND(Table1[[#This Row],[Basic]]=0, Table1[[#This Row],[Graduate]]=0, Table1[[#This Row],[Master]]=0, Table1[[#This Row],[PhD]]=0), "NA")</f>
        <v>PhD</v>
      </c>
      <c r="Q253" t="e">
        <f>_xlfn.XLOOKUP(Table1[[#This Row],[ID]], Table2[ID],#REF!, "Not Found", 0)</f>
        <v>#REF!</v>
      </c>
      <c r="R253" t="e">
        <f>_xlfn.XLOOKUP(Table1[[#This Row],[ID]], Table2[ID],#REF!, "Not Found", 0)</f>
        <v>#REF!</v>
      </c>
      <c r="S253" s="3">
        <f>_xlfn.XLOOKUP(Table1[[#This Row],[ID]], Table2[ID], Table2[Enrollment], "Not Found", 0)</f>
        <v>43567</v>
      </c>
      <c r="T253" t="s">
        <v>437</v>
      </c>
    </row>
    <row r="254" spans="1:20" x14ac:dyDescent="0.3">
      <c r="A254">
        <v>2775</v>
      </c>
      <c r="B254">
        <v>178416</v>
      </c>
      <c r="C254">
        <v>0</v>
      </c>
      <c r="D254">
        <v>1</v>
      </c>
      <c r="E254">
        <v>44</v>
      </c>
      <c r="F254">
        <v>0</v>
      </c>
      <c r="G254">
        <v>0</v>
      </c>
      <c r="H254">
        <v>0</v>
      </c>
      <c r="I254">
        <v>1</v>
      </c>
      <c r="J254">
        <v>0</v>
      </c>
      <c r="K254">
        <v>0</v>
      </c>
      <c r="L254">
        <v>1</v>
      </c>
      <c r="M254">
        <v>0</v>
      </c>
      <c r="N254">
        <v>0</v>
      </c>
      <c r="O254" t="str" cm="1">
        <f t="array" ref="O254">_xlfn.IFS(Table1[[#This Row],[Divorced]]=1, "Divorced", Table1[[#This Row],[Married]]=1, "Married", Table1[[#This Row],[Single]]=1, "Single", Table1[[#This Row],[Together]]=1, "Together", Table1[[#This Row],[Widow]]=1, "Widow")</f>
        <v>Together</v>
      </c>
      <c r="P254" t="str" cm="1">
        <f t="array" ref="P254">_xlfn.IFS(Table1[[#This Row],[Basic]]=1, "Basic", Table1[[#This Row],[Graduate]]=1, "Graduate", Table1[[#This Row],[Master]]=1, "Master", Table1[[#This Row],[PhD]]=1, "PhD", AND(Table1[[#This Row],[Basic]]=0, Table1[[#This Row],[Graduate]]=0, Table1[[#This Row],[Master]]=0, Table1[[#This Row],[PhD]]=0), "NA")</f>
        <v>Graduate</v>
      </c>
      <c r="Q254" t="e">
        <f>_xlfn.XLOOKUP(Table1[[#This Row],[ID]], Table2[ID],#REF!, "Not Found", 0)</f>
        <v>#REF!</v>
      </c>
      <c r="R254" t="e">
        <f>_xlfn.XLOOKUP(Table1[[#This Row],[ID]], Table2[ID],#REF!, "Not Found", 0)</f>
        <v>#REF!</v>
      </c>
      <c r="S254" s="3">
        <f>_xlfn.XLOOKUP(Table1[[#This Row],[ID]], Table2[ID], Table2[Enrollment], "Not Found", 0)</f>
        <v>43842</v>
      </c>
      <c r="T254" t="s">
        <v>435</v>
      </c>
    </row>
    <row r="255" spans="1:20" x14ac:dyDescent="0.3">
      <c r="A255">
        <v>2802</v>
      </c>
      <c r="B255">
        <v>178394</v>
      </c>
      <c r="C255">
        <v>0</v>
      </c>
      <c r="D255">
        <v>0</v>
      </c>
      <c r="E255">
        <v>34</v>
      </c>
      <c r="F255">
        <v>0</v>
      </c>
      <c r="G255">
        <v>0</v>
      </c>
      <c r="H255">
        <v>0</v>
      </c>
      <c r="I255">
        <v>1</v>
      </c>
      <c r="J255">
        <v>0</v>
      </c>
      <c r="K255">
        <v>0</v>
      </c>
      <c r="L255">
        <v>1</v>
      </c>
      <c r="M255">
        <v>0</v>
      </c>
      <c r="N255">
        <v>0</v>
      </c>
      <c r="O255" t="str" cm="1">
        <f t="array" ref="O255">_xlfn.IFS(Table1[[#This Row],[Divorced]]=1, "Divorced", Table1[[#This Row],[Married]]=1, "Married", Table1[[#This Row],[Single]]=1, "Single", Table1[[#This Row],[Together]]=1, "Together", Table1[[#This Row],[Widow]]=1, "Widow")</f>
        <v>Together</v>
      </c>
      <c r="P255" t="str" cm="1">
        <f t="array" ref="P255">_xlfn.IFS(Table1[[#This Row],[Basic]]=1, "Basic", Table1[[#This Row],[Graduate]]=1, "Graduate", Table1[[#This Row],[Master]]=1, "Master", Table1[[#This Row],[PhD]]=1, "PhD", AND(Table1[[#This Row],[Basic]]=0, Table1[[#This Row],[Graduate]]=0, Table1[[#This Row],[Master]]=0, Table1[[#This Row],[PhD]]=0), "NA")</f>
        <v>Graduate</v>
      </c>
      <c r="Q255" t="e">
        <f>_xlfn.XLOOKUP(Table1[[#This Row],[ID]], Table2[ID],#REF!, "Not Found", 0)</f>
        <v>#REF!</v>
      </c>
      <c r="R255" t="e">
        <f>_xlfn.XLOOKUP(Table1[[#This Row],[ID]], Table2[ID],#REF!, "Not Found", 0)</f>
        <v>#REF!</v>
      </c>
      <c r="S255" s="3" t="str">
        <f>_xlfn.XLOOKUP(Table1[[#This Row],[ID]], Table2[ID], Table2[Enrollment], "Not Found", 0)</f>
        <v>7/23/2019</v>
      </c>
      <c r="T255" t="s">
        <v>436</v>
      </c>
    </row>
    <row r="256" spans="1:20" x14ac:dyDescent="0.3">
      <c r="A256">
        <v>1806</v>
      </c>
      <c r="B256">
        <v>178353</v>
      </c>
      <c r="C256">
        <v>0</v>
      </c>
      <c r="D256">
        <v>1</v>
      </c>
      <c r="E256">
        <v>61</v>
      </c>
      <c r="F256">
        <v>1</v>
      </c>
      <c r="G256">
        <v>0</v>
      </c>
      <c r="H256">
        <v>0</v>
      </c>
      <c r="I256">
        <v>0</v>
      </c>
      <c r="J256">
        <v>0</v>
      </c>
      <c r="K256">
        <v>0</v>
      </c>
      <c r="L256">
        <v>0</v>
      </c>
      <c r="M256">
        <v>0</v>
      </c>
      <c r="N256">
        <v>0</v>
      </c>
      <c r="O256" t="str" cm="1">
        <f t="array" ref="O256">_xlfn.IFS(Table1[[#This Row],[Divorced]]=1, "Divorced", Table1[[#This Row],[Married]]=1, "Married", Table1[[#This Row],[Single]]=1, "Single", Table1[[#This Row],[Together]]=1, "Together", Table1[[#This Row],[Widow]]=1, "Widow")</f>
        <v>Divorced</v>
      </c>
      <c r="P256" t="str" cm="1">
        <f t="array" ref="P256">_xlfn.IFS(Table1[[#This Row],[Basic]]=1, "Basic", Table1[[#This Row],[Graduate]]=1, "Graduate", Table1[[#This Row],[Master]]=1, "Master", Table1[[#This Row],[PhD]]=1, "PhD", AND(Table1[[#This Row],[Basic]]=0, Table1[[#This Row],[Graduate]]=0, Table1[[#This Row],[Master]]=0, Table1[[#This Row],[PhD]]=0), "NA")</f>
        <v>NA</v>
      </c>
      <c r="Q256" t="e">
        <f>_xlfn.XLOOKUP(Table1[[#This Row],[ID]], Table2[ID],#REF!, "Not Found", 0)</f>
        <v>#REF!</v>
      </c>
      <c r="R256" t="e">
        <f>_xlfn.XLOOKUP(Table1[[#This Row],[ID]], Table2[ID],#REF!, "Not Found", 0)</f>
        <v>#REF!</v>
      </c>
      <c r="S256" s="3" t="str">
        <f>_xlfn.XLOOKUP(Table1[[#This Row],[ID]], Table2[ID], Table2[Enrollment], "Not Found", 0)</f>
        <v>9/21/2019</v>
      </c>
      <c r="T256" t="s">
        <v>436</v>
      </c>
    </row>
    <row r="257" spans="1:20" x14ac:dyDescent="0.3">
      <c r="A257">
        <v>1878</v>
      </c>
      <c r="B257">
        <v>178331</v>
      </c>
      <c r="C257">
        <v>0</v>
      </c>
      <c r="D257">
        <v>1</v>
      </c>
      <c r="E257">
        <v>62</v>
      </c>
      <c r="F257">
        <v>1</v>
      </c>
      <c r="G257">
        <v>0</v>
      </c>
      <c r="H257">
        <v>0</v>
      </c>
      <c r="I257">
        <v>0</v>
      </c>
      <c r="J257">
        <v>0</v>
      </c>
      <c r="K257">
        <v>0</v>
      </c>
      <c r="L257">
        <v>1</v>
      </c>
      <c r="M257">
        <v>0</v>
      </c>
      <c r="N257">
        <v>0</v>
      </c>
      <c r="O257" t="str" cm="1">
        <f t="array" ref="O257">_xlfn.IFS(Table1[[#This Row],[Divorced]]=1, "Divorced", Table1[[#This Row],[Married]]=1, "Married", Table1[[#This Row],[Single]]=1, "Single", Table1[[#This Row],[Together]]=1, "Together", Table1[[#This Row],[Widow]]=1, "Widow")</f>
        <v>Divorced</v>
      </c>
      <c r="P257" t="str" cm="1">
        <f t="array" ref="P257">_xlfn.IFS(Table1[[#This Row],[Basic]]=1, "Basic", Table1[[#This Row],[Graduate]]=1, "Graduate", Table1[[#This Row],[Master]]=1, "Master", Table1[[#This Row],[PhD]]=1, "PhD", AND(Table1[[#This Row],[Basic]]=0, Table1[[#This Row],[Graduate]]=0, Table1[[#This Row],[Master]]=0, Table1[[#This Row],[PhD]]=0), "NA")</f>
        <v>Graduate</v>
      </c>
      <c r="Q257" t="e">
        <f>_xlfn.XLOOKUP(Table1[[#This Row],[ID]], Table2[ID],#REF!, "Not Found", 0)</f>
        <v>#REF!</v>
      </c>
      <c r="R257" t="e">
        <f>_xlfn.XLOOKUP(Table1[[#This Row],[ID]], Table2[ID],#REF!, "Not Found", 0)</f>
        <v>#REF!</v>
      </c>
      <c r="S257" s="3" t="str">
        <f>_xlfn.XLOOKUP(Table1[[#This Row],[ID]], Table2[ID], Table2[Enrollment], "Not Found", 0)</f>
        <v>6/29/2020</v>
      </c>
      <c r="T257" t="s">
        <v>436</v>
      </c>
    </row>
    <row r="258" spans="1:20" x14ac:dyDescent="0.3">
      <c r="A258">
        <v>1743</v>
      </c>
      <c r="B258">
        <v>178285</v>
      </c>
      <c r="C258">
        <v>0</v>
      </c>
      <c r="D258">
        <v>0</v>
      </c>
      <c r="E258">
        <v>32</v>
      </c>
      <c r="F258">
        <v>0</v>
      </c>
      <c r="G258">
        <v>1</v>
      </c>
      <c r="H258">
        <v>0</v>
      </c>
      <c r="I258">
        <v>0</v>
      </c>
      <c r="J258">
        <v>0</v>
      </c>
      <c r="K258">
        <v>0</v>
      </c>
      <c r="L258">
        <v>0</v>
      </c>
      <c r="M258">
        <v>1</v>
      </c>
      <c r="N258">
        <v>0</v>
      </c>
      <c r="O258" t="str" cm="1">
        <f t="array" ref="O258">_xlfn.IFS(Table1[[#This Row],[Divorced]]=1, "Divorced", Table1[[#This Row],[Married]]=1, "Married", Table1[[#This Row],[Single]]=1, "Single", Table1[[#This Row],[Together]]=1, "Together", Table1[[#This Row],[Widow]]=1, "Widow")</f>
        <v>Married</v>
      </c>
      <c r="P258" t="str" cm="1">
        <f t="array" ref="P258">_xlfn.IFS(Table1[[#This Row],[Basic]]=1, "Basic", Table1[[#This Row],[Graduate]]=1, "Graduate", Table1[[#This Row],[Master]]=1, "Master", Table1[[#This Row],[PhD]]=1, "PhD", AND(Table1[[#This Row],[Basic]]=0, Table1[[#This Row],[Graduate]]=0, Table1[[#This Row],[Master]]=0, Table1[[#This Row],[PhD]]=0), "NA")</f>
        <v>Master</v>
      </c>
      <c r="Q258" t="e">
        <f>_xlfn.XLOOKUP(Table1[[#This Row],[ID]], Table2[ID],#REF!, "Not Found", 0)</f>
        <v>#REF!</v>
      </c>
      <c r="R258" t="e">
        <f>_xlfn.XLOOKUP(Table1[[#This Row],[ID]], Table2[ID],#REF!, "Not Found", 0)</f>
        <v>#REF!</v>
      </c>
      <c r="S258" s="3">
        <f>_xlfn.XLOOKUP(Table1[[#This Row],[ID]], Table2[ID], Table2[Enrollment], "Not Found", 0)</f>
        <v>43894</v>
      </c>
      <c r="T258" t="s">
        <v>435</v>
      </c>
    </row>
    <row r="259" spans="1:20" x14ac:dyDescent="0.3">
      <c r="A259">
        <v>3072</v>
      </c>
      <c r="B259">
        <v>178128</v>
      </c>
      <c r="C259">
        <v>0</v>
      </c>
      <c r="D259">
        <v>1</v>
      </c>
      <c r="E259">
        <v>46</v>
      </c>
      <c r="F259">
        <v>0</v>
      </c>
      <c r="G259">
        <v>1</v>
      </c>
      <c r="H259">
        <v>0</v>
      </c>
      <c r="I259">
        <v>0</v>
      </c>
      <c r="J259">
        <v>0</v>
      </c>
      <c r="K259">
        <v>0</v>
      </c>
      <c r="L259">
        <v>0</v>
      </c>
      <c r="M259">
        <v>0</v>
      </c>
      <c r="N259">
        <v>1</v>
      </c>
      <c r="O259" t="str" cm="1">
        <f t="array" ref="O259">_xlfn.IFS(Table1[[#This Row],[Divorced]]=1, "Divorced", Table1[[#This Row],[Married]]=1, "Married", Table1[[#This Row],[Single]]=1, "Single", Table1[[#This Row],[Together]]=1, "Together", Table1[[#This Row],[Widow]]=1, "Widow")</f>
        <v>Married</v>
      </c>
      <c r="P259" t="str" cm="1">
        <f t="array" ref="P259">_xlfn.IFS(Table1[[#This Row],[Basic]]=1, "Basic", Table1[[#This Row],[Graduate]]=1, "Graduate", Table1[[#This Row],[Master]]=1, "Master", Table1[[#This Row],[PhD]]=1, "PhD", AND(Table1[[#This Row],[Basic]]=0, Table1[[#This Row],[Graduate]]=0, Table1[[#This Row],[Master]]=0, Table1[[#This Row],[PhD]]=0), "NA")</f>
        <v>PhD</v>
      </c>
      <c r="Q259" t="e">
        <f>_xlfn.XLOOKUP(Table1[[#This Row],[ID]], Table2[ID],#REF!, "Not Found", 0)</f>
        <v>#REF!</v>
      </c>
      <c r="R259" t="e">
        <f>_xlfn.XLOOKUP(Table1[[#This Row],[ID]], Table2[ID],#REF!, "Not Found", 0)</f>
        <v>#REF!</v>
      </c>
      <c r="S259" s="3" t="str">
        <f>_xlfn.XLOOKUP(Table1[[#This Row],[ID]], Table2[ID], Table2[Enrollment], "Not Found", 0)</f>
        <v>7/26/2020</v>
      </c>
      <c r="T259" t="s">
        <v>436</v>
      </c>
    </row>
    <row r="260" spans="1:20" x14ac:dyDescent="0.3">
      <c r="A260">
        <v>2557</v>
      </c>
      <c r="B260">
        <v>178093</v>
      </c>
      <c r="C260">
        <v>0</v>
      </c>
      <c r="D260">
        <v>0</v>
      </c>
      <c r="E260">
        <v>73</v>
      </c>
      <c r="F260">
        <v>0</v>
      </c>
      <c r="G260">
        <v>0</v>
      </c>
      <c r="H260">
        <v>0</v>
      </c>
      <c r="I260">
        <v>1</v>
      </c>
      <c r="J260">
        <v>0</v>
      </c>
      <c r="K260">
        <v>0</v>
      </c>
      <c r="L260">
        <v>0</v>
      </c>
      <c r="M260">
        <v>1</v>
      </c>
      <c r="N260">
        <v>0</v>
      </c>
      <c r="O260" t="str" cm="1">
        <f t="array" ref="O260">_xlfn.IFS(Table1[[#This Row],[Divorced]]=1, "Divorced", Table1[[#This Row],[Married]]=1, "Married", Table1[[#This Row],[Single]]=1, "Single", Table1[[#This Row],[Together]]=1, "Together", Table1[[#This Row],[Widow]]=1, "Widow")</f>
        <v>Together</v>
      </c>
      <c r="P260" t="str" cm="1">
        <f t="array" ref="P260">_xlfn.IFS(Table1[[#This Row],[Basic]]=1, "Basic", Table1[[#This Row],[Graduate]]=1, "Graduate", Table1[[#This Row],[Master]]=1, "Master", Table1[[#This Row],[PhD]]=1, "PhD", AND(Table1[[#This Row],[Basic]]=0, Table1[[#This Row],[Graduate]]=0, Table1[[#This Row],[Master]]=0, Table1[[#This Row],[PhD]]=0), "NA")</f>
        <v>Master</v>
      </c>
      <c r="Q260" t="e">
        <f>_xlfn.XLOOKUP(Table1[[#This Row],[ID]], Table2[ID],#REF!, "Not Found", 0)</f>
        <v>#REF!</v>
      </c>
      <c r="R260" t="e">
        <f>_xlfn.XLOOKUP(Table1[[#This Row],[ID]], Table2[ID],#REF!, "Not Found", 0)</f>
        <v>#REF!</v>
      </c>
      <c r="S260" s="3" t="str">
        <f>_xlfn.XLOOKUP(Table1[[#This Row],[ID]], Table2[ID], Table2[Enrollment], "Not Found", 0)</f>
        <v>5/17/2020</v>
      </c>
      <c r="T260" t="s">
        <v>437</v>
      </c>
    </row>
    <row r="261" spans="1:20" x14ac:dyDescent="0.3">
      <c r="A261">
        <v>2179</v>
      </c>
      <c r="B261">
        <v>178075</v>
      </c>
      <c r="C261">
        <v>0</v>
      </c>
      <c r="D261">
        <v>0</v>
      </c>
      <c r="E261">
        <v>48</v>
      </c>
      <c r="F261">
        <v>0</v>
      </c>
      <c r="G261">
        <v>1</v>
      </c>
      <c r="H261">
        <v>0</v>
      </c>
      <c r="I261">
        <v>0</v>
      </c>
      <c r="J261">
        <v>0</v>
      </c>
      <c r="K261">
        <v>0</v>
      </c>
      <c r="L261">
        <v>0</v>
      </c>
      <c r="M261">
        <v>0</v>
      </c>
      <c r="N261">
        <v>1</v>
      </c>
      <c r="O261" t="str" cm="1">
        <f t="array" ref="O261">_xlfn.IFS(Table1[[#This Row],[Divorced]]=1, "Divorced", Table1[[#This Row],[Married]]=1, "Married", Table1[[#This Row],[Single]]=1, "Single", Table1[[#This Row],[Together]]=1, "Together", Table1[[#This Row],[Widow]]=1, "Widow")</f>
        <v>Married</v>
      </c>
      <c r="P261" t="str" cm="1">
        <f t="array" ref="P261">_xlfn.IFS(Table1[[#This Row],[Basic]]=1, "Basic", Table1[[#This Row],[Graduate]]=1, "Graduate", Table1[[#This Row],[Master]]=1, "Master", Table1[[#This Row],[PhD]]=1, "PhD", AND(Table1[[#This Row],[Basic]]=0, Table1[[#This Row],[Graduate]]=0, Table1[[#This Row],[Master]]=0, Table1[[#This Row],[PhD]]=0), "NA")</f>
        <v>PhD</v>
      </c>
      <c r="Q261" t="e">
        <f>_xlfn.XLOOKUP(Table1[[#This Row],[ID]], Table2[ID],#REF!, "Not Found", 0)</f>
        <v>#REF!</v>
      </c>
      <c r="R261" t="e">
        <f>_xlfn.XLOOKUP(Table1[[#This Row],[ID]], Table2[ID],#REF!, "Not Found", 0)</f>
        <v>#REF!</v>
      </c>
      <c r="S261" s="3">
        <f>_xlfn.XLOOKUP(Table1[[#This Row],[ID]], Table2[ID], Table2[Enrollment], "Not Found", 0)</f>
        <v>44083</v>
      </c>
      <c r="T261" t="s">
        <v>437</v>
      </c>
    </row>
    <row r="262" spans="1:20" x14ac:dyDescent="0.3">
      <c r="A262">
        <v>2422</v>
      </c>
      <c r="B262">
        <v>178041</v>
      </c>
      <c r="C262">
        <v>0</v>
      </c>
      <c r="D262">
        <v>0</v>
      </c>
      <c r="E262">
        <v>49</v>
      </c>
      <c r="F262">
        <v>0</v>
      </c>
      <c r="G262">
        <v>1</v>
      </c>
      <c r="H262">
        <v>0</v>
      </c>
      <c r="I262">
        <v>0</v>
      </c>
      <c r="J262">
        <v>0</v>
      </c>
      <c r="K262">
        <v>0</v>
      </c>
      <c r="L262">
        <v>0</v>
      </c>
      <c r="M262">
        <v>0</v>
      </c>
      <c r="N262">
        <v>0</v>
      </c>
      <c r="O262" t="str" cm="1">
        <f t="array" ref="O262">_xlfn.IFS(Table1[[#This Row],[Divorced]]=1, "Divorced", Table1[[#This Row],[Married]]=1, "Married", Table1[[#This Row],[Single]]=1, "Single", Table1[[#This Row],[Together]]=1, "Together", Table1[[#This Row],[Widow]]=1, "Widow")</f>
        <v>Married</v>
      </c>
      <c r="P262" t="str" cm="1">
        <f t="array" ref="P262">_xlfn.IFS(Table1[[#This Row],[Basic]]=1, "Basic", Table1[[#This Row],[Graduate]]=1, "Graduate", Table1[[#This Row],[Master]]=1, "Master", Table1[[#This Row],[PhD]]=1, "PhD", AND(Table1[[#This Row],[Basic]]=0, Table1[[#This Row],[Graduate]]=0, Table1[[#This Row],[Master]]=0, Table1[[#This Row],[PhD]]=0), "NA")</f>
        <v>NA</v>
      </c>
      <c r="Q262" t="e">
        <f>_xlfn.XLOOKUP(Table1[[#This Row],[ID]], Table2[ID],#REF!, "Not Found", 0)</f>
        <v>#REF!</v>
      </c>
      <c r="R262" t="e">
        <f>_xlfn.XLOOKUP(Table1[[#This Row],[ID]], Table2[ID],#REF!, "Not Found", 0)</f>
        <v>#REF!</v>
      </c>
      <c r="S262" s="3" t="str">
        <f>_xlfn.XLOOKUP(Table1[[#This Row],[ID]], Table2[ID], Table2[Enrollment], "Not Found", 0)</f>
        <v>5/23/2019</v>
      </c>
      <c r="T262" t="s">
        <v>439</v>
      </c>
    </row>
    <row r="263" spans="1:20" x14ac:dyDescent="0.3">
      <c r="A263">
        <v>1981</v>
      </c>
      <c r="B263">
        <v>178028</v>
      </c>
      <c r="C263">
        <v>0</v>
      </c>
      <c r="D263">
        <v>1</v>
      </c>
      <c r="E263">
        <v>64</v>
      </c>
      <c r="F263">
        <v>0</v>
      </c>
      <c r="G263">
        <v>0</v>
      </c>
      <c r="H263">
        <v>0</v>
      </c>
      <c r="I263">
        <v>0</v>
      </c>
      <c r="J263">
        <v>1</v>
      </c>
      <c r="K263">
        <v>0</v>
      </c>
      <c r="L263">
        <v>0</v>
      </c>
      <c r="M263">
        <v>0</v>
      </c>
      <c r="N263">
        <v>1</v>
      </c>
      <c r="O263" t="str" cm="1">
        <f t="array" ref="O263">_xlfn.IFS(Table1[[#This Row],[Divorced]]=1, "Divorced", Table1[[#This Row],[Married]]=1, "Married", Table1[[#This Row],[Single]]=1, "Single", Table1[[#This Row],[Together]]=1, "Together", Table1[[#This Row],[Widow]]=1, "Widow")</f>
        <v>Widow</v>
      </c>
      <c r="P263" t="str" cm="1">
        <f t="array" ref="P263">_xlfn.IFS(Table1[[#This Row],[Basic]]=1, "Basic", Table1[[#This Row],[Graduate]]=1, "Graduate", Table1[[#This Row],[Master]]=1, "Master", Table1[[#This Row],[PhD]]=1, "PhD", AND(Table1[[#This Row],[Basic]]=0, Table1[[#This Row],[Graduate]]=0, Table1[[#This Row],[Master]]=0, Table1[[#This Row],[PhD]]=0), "NA")</f>
        <v>PhD</v>
      </c>
      <c r="Q263" t="e">
        <f>_xlfn.XLOOKUP(Table1[[#This Row],[ID]], Table2[ID],#REF!, "Not Found", 0)</f>
        <v>#REF!</v>
      </c>
      <c r="R263" t="e">
        <f>_xlfn.XLOOKUP(Table1[[#This Row],[ID]], Table2[ID],#REF!, "Not Found", 0)</f>
        <v>#REF!</v>
      </c>
      <c r="S263" s="3" t="str">
        <f>_xlfn.XLOOKUP(Table1[[#This Row],[ID]], Table2[ID], Table2[Enrollment], "Not Found", 0)</f>
        <v>2/15/2019</v>
      </c>
      <c r="T263" t="s">
        <v>437</v>
      </c>
    </row>
    <row r="264" spans="1:20" x14ac:dyDescent="0.3">
      <c r="A264">
        <v>2734</v>
      </c>
      <c r="B264">
        <v>177981</v>
      </c>
      <c r="C264">
        <v>1</v>
      </c>
      <c r="D264">
        <v>0</v>
      </c>
      <c r="E264">
        <v>48</v>
      </c>
      <c r="F264">
        <v>0</v>
      </c>
      <c r="G264">
        <v>1</v>
      </c>
      <c r="H264">
        <v>0</v>
      </c>
      <c r="I264">
        <v>0</v>
      </c>
      <c r="J264">
        <v>0</v>
      </c>
      <c r="K264">
        <v>0</v>
      </c>
      <c r="L264">
        <v>1</v>
      </c>
      <c r="M264">
        <v>0</v>
      </c>
      <c r="N264">
        <v>0</v>
      </c>
      <c r="O264" t="str" cm="1">
        <f t="array" ref="O264">_xlfn.IFS(Table1[[#This Row],[Divorced]]=1, "Divorced", Table1[[#This Row],[Married]]=1, "Married", Table1[[#This Row],[Single]]=1, "Single", Table1[[#This Row],[Together]]=1, "Together", Table1[[#This Row],[Widow]]=1, "Widow")</f>
        <v>Married</v>
      </c>
      <c r="P264" t="str" cm="1">
        <f t="array" ref="P264">_xlfn.IFS(Table1[[#This Row],[Basic]]=1, "Basic", Table1[[#This Row],[Graduate]]=1, "Graduate", Table1[[#This Row],[Master]]=1, "Master", Table1[[#This Row],[PhD]]=1, "PhD", AND(Table1[[#This Row],[Basic]]=0, Table1[[#This Row],[Graduate]]=0, Table1[[#This Row],[Master]]=0, Table1[[#This Row],[PhD]]=0), "NA")</f>
        <v>Graduate</v>
      </c>
      <c r="Q264" t="e">
        <f>_xlfn.XLOOKUP(Table1[[#This Row],[ID]], Table2[ID],#REF!, "Not Found", 0)</f>
        <v>#REF!</v>
      </c>
      <c r="R264" t="e">
        <f>_xlfn.XLOOKUP(Table1[[#This Row],[ID]], Table2[ID],#REF!, "Not Found", 0)</f>
        <v>#REF!</v>
      </c>
      <c r="S264" s="3" t="str">
        <f>_xlfn.XLOOKUP(Table1[[#This Row],[ID]], Table2[ID], Table2[Enrollment], "Not Found", 0)</f>
        <v>10/31/2019</v>
      </c>
      <c r="T264" t="s">
        <v>439</v>
      </c>
    </row>
    <row r="265" spans="1:20" x14ac:dyDescent="0.3">
      <c r="A265">
        <v>1199</v>
      </c>
      <c r="B265">
        <v>177972</v>
      </c>
      <c r="C265">
        <v>0</v>
      </c>
      <c r="D265">
        <v>0</v>
      </c>
      <c r="E265">
        <v>66</v>
      </c>
      <c r="F265">
        <v>0</v>
      </c>
      <c r="G265">
        <v>0</v>
      </c>
      <c r="H265">
        <v>0</v>
      </c>
      <c r="I265">
        <v>1</v>
      </c>
      <c r="J265">
        <v>0</v>
      </c>
      <c r="K265">
        <v>0</v>
      </c>
      <c r="L265">
        <v>1</v>
      </c>
      <c r="M265">
        <v>0</v>
      </c>
      <c r="N265">
        <v>0</v>
      </c>
      <c r="O265" t="str" cm="1">
        <f t="array" ref="O265">_xlfn.IFS(Table1[[#This Row],[Divorced]]=1, "Divorced", Table1[[#This Row],[Married]]=1, "Married", Table1[[#This Row],[Single]]=1, "Single", Table1[[#This Row],[Together]]=1, "Together", Table1[[#This Row],[Widow]]=1, "Widow")</f>
        <v>Together</v>
      </c>
      <c r="P265" t="str" cm="1">
        <f t="array" ref="P265">_xlfn.IFS(Table1[[#This Row],[Basic]]=1, "Basic", Table1[[#This Row],[Graduate]]=1, "Graduate", Table1[[#This Row],[Master]]=1, "Master", Table1[[#This Row],[PhD]]=1, "PhD", AND(Table1[[#This Row],[Basic]]=0, Table1[[#This Row],[Graduate]]=0, Table1[[#This Row],[Master]]=0, Table1[[#This Row],[PhD]]=0), "NA")</f>
        <v>Graduate</v>
      </c>
      <c r="Q265" t="e">
        <f>_xlfn.XLOOKUP(Table1[[#This Row],[ID]], Table2[ID],#REF!, "Not Found", 0)</f>
        <v>#REF!</v>
      </c>
      <c r="R265" t="e">
        <f>_xlfn.XLOOKUP(Table1[[#This Row],[ID]], Table2[ID],#REF!, "Not Found", 0)</f>
        <v>#REF!</v>
      </c>
      <c r="S265" s="3" t="str">
        <f>_xlfn.XLOOKUP(Table1[[#This Row],[ID]], Table2[ID], Table2[Enrollment], "Not Found", 0)</f>
        <v>8/22/2020</v>
      </c>
      <c r="T265" t="s">
        <v>434</v>
      </c>
    </row>
    <row r="266" spans="1:20" x14ac:dyDescent="0.3">
      <c r="A266">
        <v>1264</v>
      </c>
      <c r="B266">
        <v>177882</v>
      </c>
      <c r="C266">
        <v>0</v>
      </c>
      <c r="D266">
        <v>0</v>
      </c>
      <c r="E266">
        <v>39</v>
      </c>
      <c r="F266">
        <v>0</v>
      </c>
      <c r="G266">
        <v>0</v>
      </c>
      <c r="H266">
        <v>0</v>
      </c>
      <c r="I266">
        <v>1</v>
      </c>
      <c r="J266">
        <v>0</v>
      </c>
      <c r="K266">
        <v>0</v>
      </c>
      <c r="L266">
        <v>0</v>
      </c>
      <c r="M266">
        <v>1</v>
      </c>
      <c r="N266">
        <v>0</v>
      </c>
      <c r="O266" t="str" cm="1">
        <f t="array" ref="O266">_xlfn.IFS(Table1[[#This Row],[Divorced]]=1, "Divorced", Table1[[#This Row],[Married]]=1, "Married", Table1[[#This Row],[Single]]=1, "Single", Table1[[#This Row],[Together]]=1, "Together", Table1[[#This Row],[Widow]]=1, "Widow")</f>
        <v>Together</v>
      </c>
      <c r="P266" t="str" cm="1">
        <f t="array" ref="P266">_xlfn.IFS(Table1[[#This Row],[Basic]]=1, "Basic", Table1[[#This Row],[Graduate]]=1, "Graduate", Table1[[#This Row],[Master]]=1, "Master", Table1[[#This Row],[PhD]]=1, "PhD", AND(Table1[[#This Row],[Basic]]=0, Table1[[#This Row],[Graduate]]=0, Table1[[#This Row],[Master]]=0, Table1[[#This Row],[PhD]]=0), "NA")</f>
        <v>Master</v>
      </c>
      <c r="Q266" t="e">
        <f>_xlfn.XLOOKUP(Table1[[#This Row],[ID]], Table2[ID],#REF!, "Not Found", 0)</f>
        <v>#REF!</v>
      </c>
      <c r="R266" t="e">
        <f>_xlfn.XLOOKUP(Table1[[#This Row],[ID]], Table2[ID],#REF!, "Not Found", 0)</f>
        <v>#REF!</v>
      </c>
      <c r="S266" s="3">
        <f>_xlfn.XLOOKUP(Table1[[#This Row],[ID]], Table2[ID], Table2[Enrollment], "Not Found", 0)</f>
        <v>43931</v>
      </c>
      <c r="T266" t="s">
        <v>439</v>
      </c>
    </row>
    <row r="267" spans="1:20" x14ac:dyDescent="0.3">
      <c r="A267">
        <v>2888</v>
      </c>
      <c r="B267">
        <v>177870</v>
      </c>
      <c r="C267">
        <v>0</v>
      </c>
      <c r="D267">
        <v>1</v>
      </c>
      <c r="E267">
        <v>53</v>
      </c>
      <c r="F267">
        <v>0</v>
      </c>
      <c r="G267">
        <v>1</v>
      </c>
      <c r="H267">
        <v>0</v>
      </c>
      <c r="I267">
        <v>0</v>
      </c>
      <c r="J267">
        <v>0</v>
      </c>
      <c r="K267">
        <v>0</v>
      </c>
      <c r="L267">
        <v>1</v>
      </c>
      <c r="M267">
        <v>0</v>
      </c>
      <c r="N267">
        <v>0</v>
      </c>
      <c r="O267" t="str" cm="1">
        <f t="array" ref="O267">_xlfn.IFS(Table1[[#This Row],[Divorced]]=1, "Divorced", Table1[[#This Row],[Married]]=1, "Married", Table1[[#This Row],[Single]]=1, "Single", Table1[[#This Row],[Together]]=1, "Together", Table1[[#This Row],[Widow]]=1, "Widow")</f>
        <v>Married</v>
      </c>
      <c r="P267" t="str" cm="1">
        <f t="array" ref="P267">_xlfn.IFS(Table1[[#This Row],[Basic]]=1, "Basic", Table1[[#This Row],[Graduate]]=1, "Graduate", Table1[[#This Row],[Master]]=1, "Master", Table1[[#This Row],[PhD]]=1, "PhD", AND(Table1[[#This Row],[Basic]]=0, Table1[[#This Row],[Graduate]]=0, Table1[[#This Row],[Master]]=0, Table1[[#This Row],[PhD]]=0), "NA")</f>
        <v>Graduate</v>
      </c>
      <c r="Q267" t="e">
        <f>_xlfn.XLOOKUP(Table1[[#This Row],[ID]], Table2[ID],#REF!, "Not Found", 0)</f>
        <v>#REF!</v>
      </c>
      <c r="R267" t="e">
        <f>_xlfn.XLOOKUP(Table1[[#This Row],[ID]], Table2[ID],#REF!, "Not Found", 0)</f>
        <v>#REF!</v>
      </c>
      <c r="S267" s="3" t="str">
        <f>_xlfn.XLOOKUP(Table1[[#This Row],[ID]], Table2[ID], Table2[Enrollment], "Not Found", 0)</f>
        <v>1/27/2019</v>
      </c>
      <c r="T267" t="s">
        <v>438</v>
      </c>
    </row>
    <row r="268" spans="1:20" x14ac:dyDescent="0.3">
      <c r="A268">
        <v>1510</v>
      </c>
      <c r="B268">
        <v>177863</v>
      </c>
      <c r="C268">
        <v>0</v>
      </c>
      <c r="D268">
        <v>0</v>
      </c>
      <c r="E268">
        <v>62</v>
      </c>
      <c r="F268">
        <v>0</v>
      </c>
      <c r="G268">
        <v>0</v>
      </c>
      <c r="H268">
        <v>0</v>
      </c>
      <c r="I268">
        <v>1</v>
      </c>
      <c r="J268">
        <v>0</v>
      </c>
      <c r="K268">
        <v>0</v>
      </c>
      <c r="L268">
        <v>0</v>
      </c>
      <c r="M268">
        <v>0</v>
      </c>
      <c r="N268">
        <v>1</v>
      </c>
      <c r="O268" t="str" cm="1">
        <f t="array" ref="O268">_xlfn.IFS(Table1[[#This Row],[Divorced]]=1, "Divorced", Table1[[#This Row],[Married]]=1, "Married", Table1[[#This Row],[Single]]=1, "Single", Table1[[#This Row],[Together]]=1, "Together", Table1[[#This Row],[Widow]]=1, "Widow")</f>
        <v>Together</v>
      </c>
      <c r="P268" t="str" cm="1">
        <f t="array" ref="P268">_xlfn.IFS(Table1[[#This Row],[Basic]]=1, "Basic", Table1[[#This Row],[Graduate]]=1, "Graduate", Table1[[#This Row],[Master]]=1, "Master", Table1[[#This Row],[PhD]]=1, "PhD", AND(Table1[[#This Row],[Basic]]=0, Table1[[#This Row],[Graduate]]=0, Table1[[#This Row],[Master]]=0, Table1[[#This Row],[PhD]]=0), "NA")</f>
        <v>PhD</v>
      </c>
      <c r="Q268" t="e">
        <f>_xlfn.XLOOKUP(Table1[[#This Row],[ID]], Table2[ID],#REF!, "Not Found", 0)</f>
        <v>#REF!</v>
      </c>
      <c r="R268" t="e">
        <f>_xlfn.XLOOKUP(Table1[[#This Row],[ID]], Table2[ID],#REF!, "Not Found", 0)</f>
        <v>#REF!</v>
      </c>
      <c r="S268" s="3">
        <f>_xlfn.XLOOKUP(Table1[[#This Row],[ID]], Table2[ID], Table2[Enrollment], "Not Found", 0)</f>
        <v>43895</v>
      </c>
      <c r="T268" t="s">
        <v>439</v>
      </c>
    </row>
    <row r="269" spans="1:20" x14ac:dyDescent="0.3">
      <c r="A269">
        <v>1669</v>
      </c>
      <c r="B269">
        <v>177845</v>
      </c>
      <c r="C269">
        <v>0</v>
      </c>
      <c r="D269">
        <v>0</v>
      </c>
      <c r="E269">
        <v>31</v>
      </c>
      <c r="F269">
        <v>0</v>
      </c>
      <c r="G269">
        <v>0</v>
      </c>
      <c r="H269">
        <v>0</v>
      </c>
      <c r="I269">
        <v>1</v>
      </c>
      <c r="J269">
        <v>0</v>
      </c>
      <c r="K269">
        <v>0</v>
      </c>
      <c r="L269">
        <v>0</v>
      </c>
      <c r="M269">
        <v>0</v>
      </c>
      <c r="N269">
        <v>1</v>
      </c>
      <c r="O269" t="str" cm="1">
        <f t="array" ref="O269">_xlfn.IFS(Table1[[#This Row],[Divorced]]=1, "Divorced", Table1[[#This Row],[Married]]=1, "Married", Table1[[#This Row],[Single]]=1, "Single", Table1[[#This Row],[Together]]=1, "Together", Table1[[#This Row],[Widow]]=1, "Widow")</f>
        <v>Together</v>
      </c>
      <c r="P269" t="str" cm="1">
        <f t="array" ref="P269">_xlfn.IFS(Table1[[#This Row],[Basic]]=1, "Basic", Table1[[#This Row],[Graduate]]=1, "Graduate", Table1[[#This Row],[Master]]=1, "Master", Table1[[#This Row],[PhD]]=1, "PhD", AND(Table1[[#This Row],[Basic]]=0, Table1[[#This Row],[Graduate]]=0, Table1[[#This Row],[Master]]=0, Table1[[#This Row],[PhD]]=0), "NA")</f>
        <v>PhD</v>
      </c>
      <c r="Q269" t="e">
        <f>_xlfn.XLOOKUP(Table1[[#This Row],[ID]], Table2[ID],#REF!, "Not Found", 0)</f>
        <v>#REF!</v>
      </c>
      <c r="R269" t="e">
        <f>_xlfn.XLOOKUP(Table1[[#This Row],[ID]], Table2[ID],#REF!, "Not Found", 0)</f>
        <v>#REF!</v>
      </c>
      <c r="S269" s="3" t="str">
        <f>_xlfn.XLOOKUP(Table1[[#This Row],[ID]], Table2[ID], Table2[Enrollment], "Not Found", 0)</f>
        <v>10/20/2020</v>
      </c>
      <c r="T269" t="s">
        <v>437</v>
      </c>
    </row>
    <row r="270" spans="1:20" x14ac:dyDescent="0.3">
      <c r="A270">
        <v>2233</v>
      </c>
      <c r="B270">
        <v>177766</v>
      </c>
      <c r="C270">
        <v>0</v>
      </c>
      <c r="D270">
        <v>1</v>
      </c>
      <c r="E270">
        <v>53</v>
      </c>
      <c r="F270">
        <v>0</v>
      </c>
      <c r="G270">
        <v>1</v>
      </c>
      <c r="H270">
        <v>0</v>
      </c>
      <c r="I270">
        <v>0</v>
      </c>
      <c r="J270">
        <v>0</v>
      </c>
      <c r="K270">
        <v>0</v>
      </c>
      <c r="L270">
        <v>0</v>
      </c>
      <c r="M270">
        <v>0</v>
      </c>
      <c r="N270">
        <v>1</v>
      </c>
      <c r="O270" t="str" cm="1">
        <f t="array" ref="O270">_xlfn.IFS(Table1[[#This Row],[Divorced]]=1, "Divorced", Table1[[#This Row],[Married]]=1, "Married", Table1[[#This Row],[Single]]=1, "Single", Table1[[#This Row],[Together]]=1, "Together", Table1[[#This Row],[Widow]]=1, "Widow")</f>
        <v>Married</v>
      </c>
      <c r="P270" t="str" cm="1">
        <f t="array" ref="P270">_xlfn.IFS(Table1[[#This Row],[Basic]]=1, "Basic", Table1[[#This Row],[Graduate]]=1, "Graduate", Table1[[#This Row],[Master]]=1, "Master", Table1[[#This Row],[PhD]]=1, "PhD", AND(Table1[[#This Row],[Basic]]=0, Table1[[#This Row],[Graduate]]=0, Table1[[#This Row],[Master]]=0, Table1[[#This Row],[PhD]]=0), "NA")</f>
        <v>PhD</v>
      </c>
      <c r="Q270" t="e">
        <f>_xlfn.XLOOKUP(Table1[[#This Row],[ID]], Table2[ID],#REF!, "Not Found", 0)</f>
        <v>#REF!</v>
      </c>
      <c r="R270" t="e">
        <f>_xlfn.XLOOKUP(Table1[[#This Row],[ID]], Table2[ID],#REF!, "Not Found", 0)</f>
        <v>#REF!</v>
      </c>
      <c r="S270" s="3" t="str">
        <f>_xlfn.XLOOKUP(Table1[[#This Row],[ID]], Table2[ID], Table2[Enrollment], "Not Found", 0)</f>
        <v>7/30/2019</v>
      </c>
      <c r="T270" t="s">
        <v>437</v>
      </c>
    </row>
    <row r="271" spans="1:20" x14ac:dyDescent="0.3">
      <c r="A271">
        <v>2644</v>
      </c>
      <c r="B271">
        <v>177766</v>
      </c>
      <c r="C271">
        <v>0</v>
      </c>
      <c r="D271">
        <v>1</v>
      </c>
      <c r="E271">
        <v>53</v>
      </c>
      <c r="F271">
        <v>0</v>
      </c>
      <c r="G271">
        <v>1</v>
      </c>
      <c r="H271">
        <v>0</v>
      </c>
      <c r="I271">
        <v>0</v>
      </c>
      <c r="J271">
        <v>0</v>
      </c>
      <c r="K271">
        <v>0</v>
      </c>
      <c r="L271">
        <v>0</v>
      </c>
      <c r="M271">
        <v>0</v>
      </c>
      <c r="N271">
        <v>1</v>
      </c>
      <c r="O271" t="str" cm="1">
        <f t="array" ref="O271">_xlfn.IFS(Table1[[#This Row],[Divorced]]=1, "Divorced", Table1[[#This Row],[Married]]=1, "Married", Table1[[#This Row],[Single]]=1, "Single", Table1[[#This Row],[Together]]=1, "Together", Table1[[#This Row],[Widow]]=1, "Widow")</f>
        <v>Married</v>
      </c>
      <c r="P271" t="str" cm="1">
        <f t="array" ref="P271">_xlfn.IFS(Table1[[#This Row],[Basic]]=1, "Basic", Table1[[#This Row],[Graduate]]=1, "Graduate", Table1[[#This Row],[Master]]=1, "Master", Table1[[#This Row],[PhD]]=1, "PhD", AND(Table1[[#This Row],[Basic]]=0, Table1[[#This Row],[Graduate]]=0, Table1[[#This Row],[Master]]=0, Table1[[#This Row],[PhD]]=0), "NA")</f>
        <v>PhD</v>
      </c>
      <c r="Q271" t="e">
        <f>_xlfn.XLOOKUP(Table1[[#This Row],[ID]], Table2[ID],#REF!, "Not Found", 0)</f>
        <v>#REF!</v>
      </c>
      <c r="R271" t="e">
        <f>_xlfn.XLOOKUP(Table1[[#This Row],[ID]], Table2[ID],#REF!, "Not Found", 0)</f>
        <v>#REF!</v>
      </c>
      <c r="S271" s="3" t="str">
        <f>_xlfn.XLOOKUP(Table1[[#This Row],[ID]], Table2[ID], Table2[Enrollment], "Not Found", 0)</f>
        <v>7/30/2019</v>
      </c>
      <c r="T271" t="s">
        <v>439</v>
      </c>
    </row>
    <row r="272" spans="1:20" x14ac:dyDescent="0.3">
      <c r="A272">
        <v>1627</v>
      </c>
      <c r="B272">
        <v>177632</v>
      </c>
      <c r="C272">
        <v>0</v>
      </c>
      <c r="D272">
        <v>0</v>
      </c>
      <c r="E272">
        <v>73</v>
      </c>
      <c r="F272">
        <v>0</v>
      </c>
      <c r="G272">
        <v>0</v>
      </c>
      <c r="H272">
        <v>0</v>
      </c>
      <c r="I272">
        <v>1</v>
      </c>
      <c r="J272">
        <v>0</v>
      </c>
      <c r="K272">
        <v>0</v>
      </c>
      <c r="L272">
        <v>0</v>
      </c>
      <c r="M272">
        <v>1</v>
      </c>
      <c r="N272">
        <v>0</v>
      </c>
      <c r="O272" t="str" cm="1">
        <f t="array" ref="O272">_xlfn.IFS(Table1[[#This Row],[Divorced]]=1, "Divorced", Table1[[#This Row],[Married]]=1, "Married", Table1[[#This Row],[Single]]=1, "Single", Table1[[#This Row],[Together]]=1, "Together", Table1[[#This Row],[Widow]]=1, "Widow")</f>
        <v>Together</v>
      </c>
      <c r="P272" t="str" cm="1">
        <f t="array" ref="P272">_xlfn.IFS(Table1[[#This Row],[Basic]]=1, "Basic", Table1[[#This Row],[Graduate]]=1, "Graduate", Table1[[#This Row],[Master]]=1, "Master", Table1[[#This Row],[PhD]]=1, "PhD", AND(Table1[[#This Row],[Basic]]=0, Table1[[#This Row],[Graduate]]=0, Table1[[#This Row],[Master]]=0, Table1[[#This Row],[PhD]]=0), "NA")</f>
        <v>Master</v>
      </c>
      <c r="Q272" t="e">
        <f>_xlfn.XLOOKUP(Table1[[#This Row],[ID]], Table2[ID],#REF!, "Not Found", 0)</f>
        <v>#REF!</v>
      </c>
      <c r="R272" t="e">
        <f>_xlfn.XLOOKUP(Table1[[#This Row],[ID]], Table2[ID],#REF!, "Not Found", 0)</f>
        <v>#REF!</v>
      </c>
      <c r="S272" s="3" t="str">
        <f>_xlfn.XLOOKUP(Table1[[#This Row],[ID]], Table2[ID], Table2[Enrollment], "Not Found", 0)</f>
        <v>8/15/2019</v>
      </c>
      <c r="T272" t="s">
        <v>437</v>
      </c>
    </row>
    <row r="273" spans="1:20" x14ac:dyDescent="0.3">
      <c r="A273">
        <v>1210</v>
      </c>
      <c r="B273">
        <v>177622</v>
      </c>
      <c r="C273">
        <v>0</v>
      </c>
      <c r="D273">
        <v>2</v>
      </c>
      <c r="E273">
        <v>50</v>
      </c>
      <c r="F273">
        <v>0</v>
      </c>
      <c r="G273">
        <v>0</v>
      </c>
      <c r="H273">
        <v>0</v>
      </c>
      <c r="I273">
        <v>1</v>
      </c>
      <c r="J273">
        <v>0</v>
      </c>
      <c r="K273">
        <v>0</v>
      </c>
      <c r="L273">
        <v>0</v>
      </c>
      <c r="M273">
        <v>0</v>
      </c>
      <c r="N273">
        <v>1</v>
      </c>
      <c r="O273" t="str" cm="1">
        <f t="array" ref="O273">_xlfn.IFS(Table1[[#This Row],[Divorced]]=1, "Divorced", Table1[[#This Row],[Married]]=1, "Married", Table1[[#This Row],[Single]]=1, "Single", Table1[[#This Row],[Together]]=1, "Together", Table1[[#This Row],[Widow]]=1, "Widow")</f>
        <v>Together</v>
      </c>
      <c r="P273" t="str" cm="1">
        <f t="array" ref="P273">_xlfn.IFS(Table1[[#This Row],[Basic]]=1, "Basic", Table1[[#This Row],[Graduate]]=1, "Graduate", Table1[[#This Row],[Master]]=1, "Master", Table1[[#This Row],[PhD]]=1, "PhD", AND(Table1[[#This Row],[Basic]]=0, Table1[[#This Row],[Graduate]]=0, Table1[[#This Row],[Master]]=0, Table1[[#This Row],[PhD]]=0), "NA")</f>
        <v>PhD</v>
      </c>
      <c r="Q273" t="e">
        <f>_xlfn.XLOOKUP(Table1[[#This Row],[ID]], Table2[ID],#REF!, "Not Found", 0)</f>
        <v>#REF!</v>
      </c>
      <c r="R273" t="e">
        <f>_xlfn.XLOOKUP(Table1[[#This Row],[ID]], Table2[ID],#REF!, "Not Found", 0)</f>
        <v>#REF!</v>
      </c>
      <c r="S273" s="3" t="str">
        <f>_xlfn.XLOOKUP(Table1[[#This Row],[ID]], Table2[ID], Table2[Enrollment], "Not Found", 0)</f>
        <v>9/18/2020</v>
      </c>
      <c r="T273" t="s">
        <v>439</v>
      </c>
    </row>
    <row r="274" spans="1:20" x14ac:dyDescent="0.3">
      <c r="A274">
        <v>3040</v>
      </c>
      <c r="B274">
        <v>177610</v>
      </c>
      <c r="C274">
        <v>0</v>
      </c>
      <c r="D274">
        <v>1</v>
      </c>
      <c r="E274">
        <v>68</v>
      </c>
      <c r="F274">
        <v>0</v>
      </c>
      <c r="G274">
        <v>1</v>
      </c>
      <c r="H274">
        <v>0</v>
      </c>
      <c r="I274">
        <v>0</v>
      </c>
      <c r="J274">
        <v>0</v>
      </c>
      <c r="K274">
        <v>0</v>
      </c>
      <c r="L274">
        <v>0</v>
      </c>
      <c r="M274">
        <v>0</v>
      </c>
      <c r="N274">
        <v>1</v>
      </c>
      <c r="O274" t="str" cm="1">
        <f t="array" ref="O274">_xlfn.IFS(Table1[[#This Row],[Divorced]]=1, "Divorced", Table1[[#This Row],[Married]]=1, "Married", Table1[[#This Row],[Single]]=1, "Single", Table1[[#This Row],[Together]]=1, "Together", Table1[[#This Row],[Widow]]=1, "Widow")</f>
        <v>Married</v>
      </c>
      <c r="P274" t="str" cm="1">
        <f t="array" ref="P274">_xlfn.IFS(Table1[[#This Row],[Basic]]=1, "Basic", Table1[[#This Row],[Graduate]]=1, "Graduate", Table1[[#This Row],[Master]]=1, "Master", Table1[[#This Row],[PhD]]=1, "PhD", AND(Table1[[#This Row],[Basic]]=0, Table1[[#This Row],[Graduate]]=0, Table1[[#This Row],[Master]]=0, Table1[[#This Row],[PhD]]=0), "NA")</f>
        <v>PhD</v>
      </c>
      <c r="Q274" t="e">
        <f>_xlfn.XLOOKUP(Table1[[#This Row],[ID]], Table2[ID],#REF!, "Not Found", 0)</f>
        <v>#REF!</v>
      </c>
      <c r="R274" t="e">
        <f>_xlfn.XLOOKUP(Table1[[#This Row],[ID]], Table2[ID],#REF!, "Not Found", 0)</f>
        <v>#REF!</v>
      </c>
      <c r="S274" s="3">
        <f>_xlfn.XLOOKUP(Table1[[#This Row],[ID]], Table2[ID], Table2[Enrollment], "Not Found", 0)</f>
        <v>43589</v>
      </c>
      <c r="T274" t="s">
        <v>439</v>
      </c>
    </row>
    <row r="275" spans="1:20" x14ac:dyDescent="0.3">
      <c r="A275">
        <v>2898</v>
      </c>
      <c r="B275">
        <v>177598</v>
      </c>
      <c r="C275">
        <v>0</v>
      </c>
      <c r="D275">
        <v>0</v>
      </c>
      <c r="E275">
        <v>77</v>
      </c>
      <c r="F275">
        <v>0</v>
      </c>
      <c r="G275">
        <v>0</v>
      </c>
      <c r="H275">
        <v>1</v>
      </c>
      <c r="I275">
        <v>0</v>
      </c>
      <c r="J275">
        <v>0</v>
      </c>
      <c r="K275">
        <v>0</v>
      </c>
      <c r="L275">
        <v>0</v>
      </c>
      <c r="M275">
        <v>1</v>
      </c>
      <c r="N275">
        <v>0</v>
      </c>
      <c r="O275" t="str" cm="1">
        <f t="array" ref="O275">_xlfn.IFS(Table1[[#This Row],[Divorced]]=1, "Divorced", Table1[[#This Row],[Married]]=1, "Married", Table1[[#This Row],[Single]]=1, "Single", Table1[[#This Row],[Together]]=1, "Together", Table1[[#This Row],[Widow]]=1, "Widow")</f>
        <v>Single</v>
      </c>
      <c r="P275" t="str" cm="1">
        <f t="array" ref="P275">_xlfn.IFS(Table1[[#This Row],[Basic]]=1, "Basic", Table1[[#This Row],[Graduate]]=1, "Graduate", Table1[[#This Row],[Master]]=1, "Master", Table1[[#This Row],[PhD]]=1, "PhD", AND(Table1[[#This Row],[Basic]]=0, Table1[[#This Row],[Graduate]]=0, Table1[[#This Row],[Master]]=0, Table1[[#This Row],[PhD]]=0), "NA")</f>
        <v>Master</v>
      </c>
      <c r="Q275" t="e">
        <f>_xlfn.XLOOKUP(Table1[[#This Row],[ID]], Table2[ID],#REF!, "Not Found", 0)</f>
        <v>#REF!</v>
      </c>
      <c r="R275" t="e">
        <f>_xlfn.XLOOKUP(Table1[[#This Row],[ID]], Table2[ID],#REF!, "Not Found", 0)</f>
        <v>#REF!</v>
      </c>
      <c r="S275" s="3">
        <f>_xlfn.XLOOKUP(Table1[[#This Row],[ID]], Table2[ID], Table2[Enrollment], "Not Found", 0)</f>
        <v>44015</v>
      </c>
      <c r="T275" t="s">
        <v>436</v>
      </c>
    </row>
    <row r="276" spans="1:20" x14ac:dyDescent="0.3">
      <c r="A276">
        <v>1907</v>
      </c>
      <c r="B276">
        <v>177583</v>
      </c>
      <c r="C276">
        <v>0</v>
      </c>
      <c r="D276">
        <v>0</v>
      </c>
      <c r="E276">
        <v>42</v>
      </c>
      <c r="F276">
        <v>0</v>
      </c>
      <c r="G276">
        <v>1</v>
      </c>
      <c r="H276">
        <v>0</v>
      </c>
      <c r="I276">
        <v>0</v>
      </c>
      <c r="J276">
        <v>0</v>
      </c>
      <c r="K276">
        <v>0</v>
      </c>
      <c r="L276">
        <v>1</v>
      </c>
      <c r="M276">
        <v>0</v>
      </c>
      <c r="N276">
        <v>0</v>
      </c>
      <c r="O276" t="str" cm="1">
        <f t="array" ref="O276">_xlfn.IFS(Table1[[#This Row],[Divorced]]=1, "Divorced", Table1[[#This Row],[Married]]=1, "Married", Table1[[#This Row],[Single]]=1, "Single", Table1[[#This Row],[Together]]=1, "Together", Table1[[#This Row],[Widow]]=1, "Widow")</f>
        <v>Married</v>
      </c>
      <c r="P276" t="str" cm="1">
        <f t="array" ref="P276">_xlfn.IFS(Table1[[#This Row],[Basic]]=1, "Basic", Table1[[#This Row],[Graduate]]=1, "Graduate", Table1[[#This Row],[Master]]=1, "Master", Table1[[#This Row],[PhD]]=1, "PhD", AND(Table1[[#This Row],[Basic]]=0, Table1[[#This Row],[Graduate]]=0, Table1[[#This Row],[Master]]=0, Table1[[#This Row],[PhD]]=0), "NA")</f>
        <v>Graduate</v>
      </c>
      <c r="Q276" t="e">
        <f>_xlfn.XLOOKUP(Table1[[#This Row],[ID]], Table2[ID],#REF!, "Not Found", 0)</f>
        <v>#REF!</v>
      </c>
      <c r="R276" t="e">
        <f>_xlfn.XLOOKUP(Table1[[#This Row],[ID]], Table2[ID],#REF!, "Not Found", 0)</f>
        <v>#REF!</v>
      </c>
      <c r="S276" s="3" t="str">
        <f>_xlfn.XLOOKUP(Table1[[#This Row],[ID]], Table2[ID], Table2[Enrollment], "Not Found", 0)</f>
        <v>7/17/2020</v>
      </c>
      <c r="T276" t="s">
        <v>434</v>
      </c>
    </row>
    <row r="277" spans="1:20" x14ac:dyDescent="0.3">
      <c r="A277">
        <v>1991</v>
      </c>
      <c r="B277">
        <v>177568</v>
      </c>
      <c r="C277">
        <v>0</v>
      </c>
      <c r="D277">
        <v>1</v>
      </c>
      <c r="E277">
        <v>41</v>
      </c>
      <c r="F277">
        <v>0</v>
      </c>
      <c r="G277">
        <v>0</v>
      </c>
      <c r="H277">
        <v>0</v>
      </c>
      <c r="I277">
        <v>1</v>
      </c>
      <c r="J277">
        <v>0</v>
      </c>
      <c r="K277">
        <v>0</v>
      </c>
      <c r="L277">
        <v>1</v>
      </c>
      <c r="M277">
        <v>0</v>
      </c>
      <c r="N277">
        <v>0</v>
      </c>
      <c r="O277" t="str" cm="1">
        <f t="array" ref="O277">_xlfn.IFS(Table1[[#This Row],[Divorced]]=1, "Divorced", Table1[[#This Row],[Married]]=1, "Married", Table1[[#This Row],[Single]]=1, "Single", Table1[[#This Row],[Together]]=1, "Together", Table1[[#This Row],[Widow]]=1, "Widow")</f>
        <v>Together</v>
      </c>
      <c r="P277" t="str" cm="1">
        <f t="array" ref="P277">_xlfn.IFS(Table1[[#This Row],[Basic]]=1, "Basic", Table1[[#This Row],[Graduate]]=1, "Graduate", Table1[[#This Row],[Master]]=1, "Master", Table1[[#This Row],[PhD]]=1, "PhD", AND(Table1[[#This Row],[Basic]]=0, Table1[[#This Row],[Graduate]]=0, Table1[[#This Row],[Master]]=0, Table1[[#This Row],[PhD]]=0), "NA")</f>
        <v>Graduate</v>
      </c>
      <c r="Q277" t="e">
        <f>_xlfn.XLOOKUP(Table1[[#This Row],[ID]], Table2[ID],#REF!, "Not Found", 0)</f>
        <v>#REF!</v>
      </c>
      <c r="R277" t="e">
        <f>_xlfn.XLOOKUP(Table1[[#This Row],[ID]], Table2[ID],#REF!, "Not Found", 0)</f>
        <v>#REF!</v>
      </c>
      <c r="S277" s="3" t="str">
        <f>_xlfn.XLOOKUP(Table1[[#This Row],[ID]], Table2[ID], Table2[Enrollment], "Not Found", 0)</f>
        <v>1/30/2019</v>
      </c>
      <c r="T277" t="s">
        <v>434</v>
      </c>
    </row>
    <row r="278" spans="1:20" x14ac:dyDescent="0.3">
      <c r="A278">
        <v>2686</v>
      </c>
      <c r="B278">
        <v>177520</v>
      </c>
      <c r="C278">
        <v>0</v>
      </c>
      <c r="D278">
        <v>1</v>
      </c>
      <c r="E278">
        <v>61</v>
      </c>
      <c r="F278">
        <v>0</v>
      </c>
      <c r="G278">
        <v>1</v>
      </c>
      <c r="H278">
        <v>0</v>
      </c>
      <c r="I278">
        <v>0</v>
      </c>
      <c r="J278">
        <v>0</v>
      </c>
      <c r="K278">
        <v>0</v>
      </c>
      <c r="L278">
        <v>0</v>
      </c>
      <c r="M278">
        <v>1</v>
      </c>
      <c r="N278">
        <v>0</v>
      </c>
      <c r="O278" t="str" cm="1">
        <f t="array" ref="O278">_xlfn.IFS(Table1[[#This Row],[Divorced]]=1, "Divorced", Table1[[#This Row],[Married]]=1, "Married", Table1[[#This Row],[Single]]=1, "Single", Table1[[#This Row],[Together]]=1, "Together", Table1[[#This Row],[Widow]]=1, "Widow")</f>
        <v>Married</v>
      </c>
      <c r="P278" t="str" cm="1">
        <f t="array" ref="P278">_xlfn.IFS(Table1[[#This Row],[Basic]]=1, "Basic", Table1[[#This Row],[Graduate]]=1, "Graduate", Table1[[#This Row],[Master]]=1, "Master", Table1[[#This Row],[PhD]]=1, "PhD", AND(Table1[[#This Row],[Basic]]=0, Table1[[#This Row],[Graduate]]=0, Table1[[#This Row],[Master]]=0, Table1[[#This Row],[PhD]]=0), "NA")</f>
        <v>Master</v>
      </c>
      <c r="Q278" t="e">
        <f>_xlfn.XLOOKUP(Table1[[#This Row],[ID]], Table2[ID],#REF!, "Not Found", 0)</f>
        <v>#REF!</v>
      </c>
      <c r="R278" t="e">
        <f>_xlfn.XLOOKUP(Table1[[#This Row],[ID]], Table2[ID],#REF!, "Not Found", 0)</f>
        <v>#REF!</v>
      </c>
      <c r="S278" s="3">
        <f>_xlfn.XLOOKUP(Table1[[#This Row],[ID]], Table2[ID], Table2[Enrollment], "Not Found", 0)</f>
        <v>43863</v>
      </c>
      <c r="T278" t="s">
        <v>439</v>
      </c>
    </row>
    <row r="279" spans="1:20" x14ac:dyDescent="0.3">
      <c r="A279">
        <v>1294</v>
      </c>
      <c r="B279">
        <v>177457</v>
      </c>
      <c r="C279">
        <v>0</v>
      </c>
      <c r="D279">
        <v>0</v>
      </c>
      <c r="E279">
        <v>73</v>
      </c>
      <c r="F279">
        <v>0</v>
      </c>
      <c r="G279">
        <v>0</v>
      </c>
      <c r="H279">
        <v>1</v>
      </c>
      <c r="I279">
        <v>0</v>
      </c>
      <c r="J279">
        <v>0</v>
      </c>
      <c r="K279">
        <v>0</v>
      </c>
      <c r="L279">
        <v>1</v>
      </c>
      <c r="M279">
        <v>0</v>
      </c>
      <c r="N279">
        <v>0</v>
      </c>
      <c r="O279" t="str" cm="1">
        <f t="array" ref="O279">_xlfn.IFS(Table1[[#This Row],[Divorced]]=1, "Divorced", Table1[[#This Row],[Married]]=1, "Married", Table1[[#This Row],[Single]]=1, "Single", Table1[[#This Row],[Together]]=1, "Together", Table1[[#This Row],[Widow]]=1, "Widow")</f>
        <v>Single</v>
      </c>
      <c r="P279" t="str" cm="1">
        <f t="array" ref="P279">_xlfn.IFS(Table1[[#This Row],[Basic]]=1, "Basic", Table1[[#This Row],[Graduate]]=1, "Graduate", Table1[[#This Row],[Master]]=1, "Master", Table1[[#This Row],[PhD]]=1, "PhD", AND(Table1[[#This Row],[Basic]]=0, Table1[[#This Row],[Graduate]]=0, Table1[[#This Row],[Master]]=0, Table1[[#This Row],[PhD]]=0), "NA")</f>
        <v>Graduate</v>
      </c>
      <c r="Q279" t="e">
        <f>_xlfn.XLOOKUP(Table1[[#This Row],[ID]], Table2[ID],#REF!, "Not Found", 0)</f>
        <v>#REF!</v>
      </c>
      <c r="R279" t="e">
        <f>_xlfn.XLOOKUP(Table1[[#This Row],[ID]], Table2[ID],#REF!, "Not Found", 0)</f>
        <v>#REF!</v>
      </c>
      <c r="S279" s="3">
        <f>_xlfn.XLOOKUP(Table1[[#This Row],[ID]], Table2[ID], Table2[Enrollment], "Not Found", 0)</f>
        <v>44082</v>
      </c>
      <c r="T279" t="s">
        <v>439</v>
      </c>
    </row>
    <row r="280" spans="1:20" x14ac:dyDescent="0.3">
      <c r="A280">
        <v>2712</v>
      </c>
      <c r="B280">
        <v>177437</v>
      </c>
      <c r="C280">
        <v>0</v>
      </c>
      <c r="D280">
        <v>0</v>
      </c>
      <c r="E280">
        <v>57</v>
      </c>
      <c r="F280">
        <v>0</v>
      </c>
      <c r="G280">
        <v>1</v>
      </c>
      <c r="H280">
        <v>0</v>
      </c>
      <c r="I280">
        <v>0</v>
      </c>
      <c r="J280">
        <v>0</v>
      </c>
      <c r="K280">
        <v>0</v>
      </c>
      <c r="L280">
        <v>1</v>
      </c>
      <c r="M280">
        <v>0</v>
      </c>
      <c r="N280">
        <v>0</v>
      </c>
      <c r="O280" t="str" cm="1">
        <f t="array" ref="O280">_xlfn.IFS(Table1[[#This Row],[Divorced]]=1, "Divorced", Table1[[#This Row],[Married]]=1, "Married", Table1[[#This Row],[Single]]=1, "Single", Table1[[#This Row],[Together]]=1, "Together", Table1[[#This Row],[Widow]]=1, "Widow")</f>
        <v>Married</v>
      </c>
      <c r="P280" t="str" cm="1">
        <f t="array" ref="P280">_xlfn.IFS(Table1[[#This Row],[Basic]]=1, "Basic", Table1[[#This Row],[Graduate]]=1, "Graduate", Table1[[#This Row],[Master]]=1, "Master", Table1[[#This Row],[PhD]]=1, "PhD", AND(Table1[[#This Row],[Basic]]=0, Table1[[#This Row],[Graduate]]=0, Table1[[#This Row],[Master]]=0, Table1[[#This Row],[PhD]]=0), "NA")</f>
        <v>Graduate</v>
      </c>
      <c r="Q280" t="e">
        <f>_xlfn.XLOOKUP(Table1[[#This Row],[ID]], Table2[ID],#REF!, "Not Found", 0)</f>
        <v>#REF!</v>
      </c>
      <c r="R280" t="e">
        <f>_xlfn.XLOOKUP(Table1[[#This Row],[ID]], Table2[ID],#REF!, "Not Found", 0)</f>
        <v>#REF!</v>
      </c>
      <c r="S280" s="3">
        <f>_xlfn.XLOOKUP(Table1[[#This Row],[ID]], Table2[ID], Table2[Enrollment], "Not Found", 0)</f>
        <v>43866</v>
      </c>
      <c r="T280" t="s">
        <v>436</v>
      </c>
    </row>
    <row r="281" spans="1:20" x14ac:dyDescent="0.3">
      <c r="A281">
        <v>2302</v>
      </c>
      <c r="B281">
        <v>177382</v>
      </c>
      <c r="C281">
        <v>0</v>
      </c>
      <c r="D281">
        <v>1</v>
      </c>
      <c r="E281">
        <v>52</v>
      </c>
      <c r="F281">
        <v>0</v>
      </c>
      <c r="G281">
        <v>0</v>
      </c>
      <c r="H281">
        <v>0</v>
      </c>
      <c r="I281">
        <v>1</v>
      </c>
      <c r="J281">
        <v>0</v>
      </c>
      <c r="K281">
        <v>0</v>
      </c>
      <c r="L281">
        <v>1</v>
      </c>
      <c r="M281">
        <v>0</v>
      </c>
      <c r="N281">
        <v>0</v>
      </c>
      <c r="O281" t="str" cm="1">
        <f t="array" ref="O281">_xlfn.IFS(Table1[[#This Row],[Divorced]]=1, "Divorced", Table1[[#This Row],[Married]]=1, "Married", Table1[[#This Row],[Single]]=1, "Single", Table1[[#This Row],[Together]]=1, "Together", Table1[[#This Row],[Widow]]=1, "Widow")</f>
        <v>Together</v>
      </c>
      <c r="P281" t="str" cm="1">
        <f t="array" ref="P281">_xlfn.IFS(Table1[[#This Row],[Basic]]=1, "Basic", Table1[[#This Row],[Graduate]]=1, "Graduate", Table1[[#This Row],[Master]]=1, "Master", Table1[[#This Row],[PhD]]=1, "PhD", AND(Table1[[#This Row],[Basic]]=0, Table1[[#This Row],[Graduate]]=0, Table1[[#This Row],[Master]]=0, Table1[[#This Row],[PhD]]=0), "NA")</f>
        <v>Graduate</v>
      </c>
      <c r="Q281" t="e">
        <f>_xlfn.XLOOKUP(Table1[[#This Row],[ID]], Table2[ID],#REF!, "Not Found", 0)</f>
        <v>#REF!</v>
      </c>
      <c r="R281" t="e">
        <f>_xlfn.XLOOKUP(Table1[[#This Row],[ID]], Table2[ID],#REF!, "Not Found", 0)</f>
        <v>#REF!</v>
      </c>
      <c r="S281" s="3" t="str">
        <f>_xlfn.XLOOKUP(Table1[[#This Row],[ID]], Table2[ID], Table2[Enrollment], "Not Found", 0)</f>
        <v>6/13/2020</v>
      </c>
      <c r="T281" t="s">
        <v>439</v>
      </c>
    </row>
    <row r="282" spans="1:20" x14ac:dyDescent="0.3">
      <c r="A282">
        <v>1120</v>
      </c>
      <c r="B282">
        <v>177376</v>
      </c>
      <c r="C282">
        <v>1</v>
      </c>
      <c r="D282">
        <v>1</v>
      </c>
      <c r="E282">
        <v>64</v>
      </c>
      <c r="F282">
        <v>0</v>
      </c>
      <c r="G282">
        <v>0</v>
      </c>
      <c r="H282">
        <v>0</v>
      </c>
      <c r="I282">
        <v>1</v>
      </c>
      <c r="J282">
        <v>0</v>
      </c>
      <c r="K282">
        <v>0</v>
      </c>
      <c r="L282">
        <v>0</v>
      </c>
      <c r="M282">
        <v>0</v>
      </c>
      <c r="N282">
        <v>1</v>
      </c>
      <c r="O282" t="str" cm="1">
        <f t="array" ref="O282">_xlfn.IFS(Table1[[#This Row],[Divorced]]=1, "Divorced", Table1[[#This Row],[Married]]=1, "Married", Table1[[#This Row],[Single]]=1, "Single", Table1[[#This Row],[Together]]=1, "Together", Table1[[#This Row],[Widow]]=1, "Widow")</f>
        <v>Together</v>
      </c>
      <c r="P282" t="str" cm="1">
        <f t="array" ref="P282">_xlfn.IFS(Table1[[#This Row],[Basic]]=1, "Basic", Table1[[#This Row],[Graduate]]=1, "Graduate", Table1[[#This Row],[Master]]=1, "Master", Table1[[#This Row],[PhD]]=1, "PhD", AND(Table1[[#This Row],[Basic]]=0, Table1[[#This Row],[Graduate]]=0, Table1[[#This Row],[Master]]=0, Table1[[#This Row],[PhD]]=0), "NA")</f>
        <v>PhD</v>
      </c>
      <c r="Q282" t="e">
        <f>_xlfn.XLOOKUP(Table1[[#This Row],[ID]], Table2[ID],#REF!, "Not Found", 0)</f>
        <v>#REF!</v>
      </c>
      <c r="R282" t="e">
        <f>_xlfn.XLOOKUP(Table1[[#This Row],[ID]], Table2[ID],#REF!, "Not Found", 0)</f>
        <v>#REF!</v>
      </c>
      <c r="S282" s="3" t="str">
        <f>_xlfn.XLOOKUP(Table1[[#This Row],[ID]], Table2[ID], Table2[Enrollment], "Not Found", 0)</f>
        <v>10/14/2020</v>
      </c>
      <c r="T282" t="s">
        <v>439</v>
      </c>
    </row>
    <row r="283" spans="1:20" x14ac:dyDescent="0.3">
      <c r="A283">
        <v>1655</v>
      </c>
      <c r="B283">
        <v>177353</v>
      </c>
      <c r="C283">
        <v>0</v>
      </c>
      <c r="D283">
        <v>1</v>
      </c>
      <c r="E283">
        <v>40</v>
      </c>
      <c r="F283">
        <v>0</v>
      </c>
      <c r="G283">
        <v>1</v>
      </c>
      <c r="H283">
        <v>0</v>
      </c>
      <c r="I283">
        <v>0</v>
      </c>
      <c r="J283">
        <v>0</v>
      </c>
      <c r="K283">
        <v>0</v>
      </c>
      <c r="L283">
        <v>1</v>
      </c>
      <c r="M283">
        <v>0</v>
      </c>
      <c r="N283">
        <v>0</v>
      </c>
      <c r="O283" t="str" cm="1">
        <f t="array" ref="O283">_xlfn.IFS(Table1[[#This Row],[Divorced]]=1, "Divorced", Table1[[#This Row],[Married]]=1, "Married", Table1[[#This Row],[Single]]=1, "Single", Table1[[#This Row],[Together]]=1, "Together", Table1[[#This Row],[Widow]]=1, "Widow")</f>
        <v>Married</v>
      </c>
      <c r="P283" t="str" cm="1">
        <f t="array" ref="P283">_xlfn.IFS(Table1[[#This Row],[Basic]]=1, "Basic", Table1[[#This Row],[Graduate]]=1, "Graduate", Table1[[#This Row],[Master]]=1, "Master", Table1[[#This Row],[PhD]]=1, "PhD", AND(Table1[[#This Row],[Basic]]=0, Table1[[#This Row],[Graduate]]=0, Table1[[#This Row],[Master]]=0, Table1[[#This Row],[PhD]]=0), "NA")</f>
        <v>Graduate</v>
      </c>
      <c r="Q283" t="e">
        <f>_xlfn.XLOOKUP(Table1[[#This Row],[ID]], Table2[ID],#REF!, "Not Found", 0)</f>
        <v>#REF!</v>
      </c>
      <c r="R283" t="e">
        <f>_xlfn.XLOOKUP(Table1[[#This Row],[ID]], Table2[ID],#REF!, "Not Found", 0)</f>
        <v>#REF!</v>
      </c>
      <c r="S283" s="3" t="str">
        <f>_xlfn.XLOOKUP(Table1[[#This Row],[ID]], Table2[ID], Table2[Enrollment], "Not Found", 0)</f>
        <v>5/22/2020</v>
      </c>
      <c r="T283" t="s">
        <v>434</v>
      </c>
    </row>
    <row r="284" spans="1:20" x14ac:dyDescent="0.3">
      <c r="A284">
        <v>2427</v>
      </c>
      <c r="B284">
        <v>177343</v>
      </c>
      <c r="C284">
        <v>0</v>
      </c>
      <c r="D284">
        <v>0</v>
      </c>
      <c r="E284">
        <v>55</v>
      </c>
      <c r="F284">
        <v>0</v>
      </c>
      <c r="G284">
        <v>1</v>
      </c>
      <c r="H284">
        <v>0</v>
      </c>
      <c r="I284">
        <v>0</v>
      </c>
      <c r="J284">
        <v>0</v>
      </c>
      <c r="K284">
        <v>0</v>
      </c>
      <c r="L284">
        <v>1</v>
      </c>
      <c r="M284">
        <v>0</v>
      </c>
      <c r="N284">
        <v>0</v>
      </c>
      <c r="O284" t="str" cm="1">
        <f t="array" ref="O284">_xlfn.IFS(Table1[[#This Row],[Divorced]]=1, "Divorced", Table1[[#This Row],[Married]]=1, "Married", Table1[[#This Row],[Single]]=1, "Single", Table1[[#This Row],[Together]]=1, "Together", Table1[[#This Row],[Widow]]=1, "Widow")</f>
        <v>Married</v>
      </c>
      <c r="P284" t="str" cm="1">
        <f t="array" ref="P284">_xlfn.IFS(Table1[[#This Row],[Basic]]=1, "Basic", Table1[[#This Row],[Graduate]]=1, "Graduate", Table1[[#This Row],[Master]]=1, "Master", Table1[[#This Row],[PhD]]=1, "PhD", AND(Table1[[#This Row],[Basic]]=0, Table1[[#This Row],[Graduate]]=0, Table1[[#This Row],[Master]]=0, Table1[[#This Row],[PhD]]=0), "NA")</f>
        <v>Graduate</v>
      </c>
      <c r="Q284" t="e">
        <f>_xlfn.XLOOKUP(Table1[[#This Row],[ID]], Table2[ID],#REF!, "Not Found", 0)</f>
        <v>#REF!</v>
      </c>
      <c r="R284" t="e">
        <f>_xlfn.XLOOKUP(Table1[[#This Row],[ID]], Table2[ID],#REF!, "Not Found", 0)</f>
        <v>#REF!</v>
      </c>
      <c r="S284" s="3" t="str">
        <f>_xlfn.XLOOKUP(Table1[[#This Row],[ID]], Table2[ID], Table2[Enrollment], "Not Found", 0)</f>
        <v>11/13/2020</v>
      </c>
      <c r="T284" t="s">
        <v>435</v>
      </c>
    </row>
    <row r="285" spans="1:20" x14ac:dyDescent="0.3">
      <c r="A285">
        <v>1102</v>
      </c>
      <c r="B285">
        <v>177298</v>
      </c>
      <c r="C285">
        <v>0</v>
      </c>
      <c r="D285">
        <v>1</v>
      </c>
      <c r="E285">
        <v>41</v>
      </c>
      <c r="F285">
        <v>0</v>
      </c>
      <c r="G285">
        <v>0</v>
      </c>
      <c r="H285">
        <v>0</v>
      </c>
      <c r="I285">
        <v>1</v>
      </c>
      <c r="J285">
        <v>0</v>
      </c>
      <c r="K285">
        <v>0</v>
      </c>
      <c r="L285">
        <v>1</v>
      </c>
      <c r="M285">
        <v>0</v>
      </c>
      <c r="N285">
        <v>0</v>
      </c>
      <c r="O285" t="str" cm="1">
        <f t="array" ref="O285">_xlfn.IFS(Table1[[#This Row],[Divorced]]=1, "Divorced", Table1[[#This Row],[Married]]=1, "Married", Table1[[#This Row],[Single]]=1, "Single", Table1[[#This Row],[Together]]=1, "Together", Table1[[#This Row],[Widow]]=1, "Widow")</f>
        <v>Together</v>
      </c>
      <c r="P285" t="str" cm="1">
        <f t="array" ref="P285">_xlfn.IFS(Table1[[#This Row],[Basic]]=1, "Basic", Table1[[#This Row],[Graduate]]=1, "Graduate", Table1[[#This Row],[Master]]=1, "Master", Table1[[#This Row],[PhD]]=1, "PhD", AND(Table1[[#This Row],[Basic]]=0, Table1[[#This Row],[Graduate]]=0, Table1[[#This Row],[Master]]=0, Table1[[#This Row],[PhD]]=0), "NA")</f>
        <v>Graduate</v>
      </c>
      <c r="Q285" t="e">
        <f>_xlfn.XLOOKUP(Table1[[#This Row],[ID]], Table2[ID],#REF!, "Not Found", 0)</f>
        <v>#REF!</v>
      </c>
      <c r="R285" t="e">
        <f>_xlfn.XLOOKUP(Table1[[#This Row],[ID]], Table2[ID],#REF!, "Not Found", 0)</f>
        <v>#REF!</v>
      </c>
      <c r="S285" s="3">
        <f>_xlfn.XLOOKUP(Table1[[#This Row],[ID]], Table2[ID], Table2[Enrollment], "Not Found", 0)</f>
        <v>44047</v>
      </c>
      <c r="T285" t="s">
        <v>439</v>
      </c>
    </row>
    <row r="286" spans="1:20" x14ac:dyDescent="0.3">
      <c r="A286">
        <v>2764</v>
      </c>
      <c r="B286">
        <v>177298</v>
      </c>
      <c r="C286">
        <v>0</v>
      </c>
      <c r="D286">
        <v>1</v>
      </c>
      <c r="E286">
        <v>41</v>
      </c>
      <c r="F286">
        <v>0</v>
      </c>
      <c r="G286">
        <v>0</v>
      </c>
      <c r="H286">
        <v>0</v>
      </c>
      <c r="I286">
        <v>1</v>
      </c>
      <c r="J286">
        <v>0</v>
      </c>
      <c r="K286">
        <v>0</v>
      </c>
      <c r="L286">
        <v>1</v>
      </c>
      <c r="M286">
        <v>0</v>
      </c>
      <c r="N286">
        <v>0</v>
      </c>
      <c r="O286" t="str" cm="1">
        <f t="array" ref="O286">_xlfn.IFS(Table1[[#This Row],[Divorced]]=1, "Divorced", Table1[[#This Row],[Married]]=1, "Married", Table1[[#This Row],[Single]]=1, "Single", Table1[[#This Row],[Together]]=1, "Together", Table1[[#This Row],[Widow]]=1, "Widow")</f>
        <v>Together</v>
      </c>
      <c r="P286" t="str" cm="1">
        <f t="array" ref="P286">_xlfn.IFS(Table1[[#This Row],[Basic]]=1, "Basic", Table1[[#This Row],[Graduate]]=1, "Graduate", Table1[[#This Row],[Master]]=1, "Master", Table1[[#This Row],[PhD]]=1, "PhD", AND(Table1[[#This Row],[Basic]]=0, Table1[[#This Row],[Graduate]]=0, Table1[[#This Row],[Master]]=0, Table1[[#This Row],[PhD]]=0), "NA")</f>
        <v>Graduate</v>
      </c>
      <c r="Q286" t="e">
        <f>_xlfn.XLOOKUP(Table1[[#This Row],[ID]], Table2[ID],#REF!, "Not Found", 0)</f>
        <v>#REF!</v>
      </c>
      <c r="R286" t="e">
        <f>_xlfn.XLOOKUP(Table1[[#This Row],[ID]], Table2[ID],#REF!, "Not Found", 0)</f>
        <v>#REF!</v>
      </c>
      <c r="S286" s="3">
        <f>_xlfn.XLOOKUP(Table1[[#This Row],[ID]], Table2[ID], Table2[Enrollment], "Not Found", 0)</f>
        <v>44047</v>
      </c>
      <c r="T286" t="s">
        <v>439</v>
      </c>
    </row>
    <row r="287" spans="1:20" x14ac:dyDescent="0.3">
      <c r="A287">
        <v>2203</v>
      </c>
      <c r="B287">
        <v>177297</v>
      </c>
      <c r="C287">
        <v>0</v>
      </c>
      <c r="D287">
        <v>0</v>
      </c>
      <c r="E287">
        <v>63</v>
      </c>
      <c r="F287">
        <v>1</v>
      </c>
      <c r="G287">
        <v>0</v>
      </c>
      <c r="H287">
        <v>0</v>
      </c>
      <c r="I287">
        <v>0</v>
      </c>
      <c r="J287">
        <v>0</v>
      </c>
      <c r="K287">
        <v>0</v>
      </c>
      <c r="L287">
        <v>0</v>
      </c>
      <c r="M287">
        <v>0</v>
      </c>
      <c r="N287">
        <v>0</v>
      </c>
      <c r="O287" t="str" cm="1">
        <f t="array" ref="O287">_xlfn.IFS(Table1[[#This Row],[Divorced]]=1, "Divorced", Table1[[#This Row],[Married]]=1, "Married", Table1[[#This Row],[Single]]=1, "Single", Table1[[#This Row],[Together]]=1, "Together", Table1[[#This Row],[Widow]]=1, "Widow")</f>
        <v>Divorced</v>
      </c>
      <c r="P287" t="str" cm="1">
        <f t="array" ref="P287">_xlfn.IFS(Table1[[#This Row],[Basic]]=1, "Basic", Table1[[#This Row],[Graduate]]=1, "Graduate", Table1[[#This Row],[Master]]=1, "Master", Table1[[#This Row],[PhD]]=1, "PhD", AND(Table1[[#This Row],[Basic]]=0, Table1[[#This Row],[Graduate]]=0, Table1[[#This Row],[Master]]=0, Table1[[#This Row],[PhD]]=0), "NA")</f>
        <v>NA</v>
      </c>
      <c r="Q287" t="e">
        <f>_xlfn.XLOOKUP(Table1[[#This Row],[ID]], Table2[ID],#REF!, "Not Found", 0)</f>
        <v>#REF!</v>
      </c>
      <c r="R287" t="e">
        <f>_xlfn.XLOOKUP(Table1[[#This Row],[ID]], Table2[ID],#REF!, "Not Found", 0)</f>
        <v>#REF!</v>
      </c>
      <c r="S287" s="3">
        <f>_xlfn.XLOOKUP(Table1[[#This Row],[ID]], Table2[ID], Table2[Enrollment], "Not Found", 0)</f>
        <v>43531</v>
      </c>
      <c r="T287" t="s">
        <v>437</v>
      </c>
    </row>
    <row r="288" spans="1:20" x14ac:dyDescent="0.3">
      <c r="A288">
        <v>2942</v>
      </c>
      <c r="B288">
        <v>177226</v>
      </c>
      <c r="C288">
        <v>0</v>
      </c>
      <c r="D288">
        <v>1</v>
      </c>
      <c r="E288">
        <v>57</v>
      </c>
      <c r="F288">
        <v>0</v>
      </c>
      <c r="G288">
        <v>0</v>
      </c>
      <c r="H288">
        <v>0</v>
      </c>
      <c r="I288">
        <v>1</v>
      </c>
      <c r="J288">
        <v>0</v>
      </c>
      <c r="K288">
        <v>0</v>
      </c>
      <c r="L288">
        <v>1</v>
      </c>
      <c r="M288">
        <v>0</v>
      </c>
      <c r="N288">
        <v>0</v>
      </c>
      <c r="O288" t="str" cm="1">
        <f t="array" ref="O288">_xlfn.IFS(Table1[[#This Row],[Divorced]]=1, "Divorced", Table1[[#This Row],[Married]]=1, "Married", Table1[[#This Row],[Single]]=1, "Single", Table1[[#This Row],[Together]]=1, "Together", Table1[[#This Row],[Widow]]=1, "Widow")</f>
        <v>Together</v>
      </c>
      <c r="P288" t="str" cm="1">
        <f t="array" ref="P288">_xlfn.IFS(Table1[[#This Row],[Basic]]=1, "Basic", Table1[[#This Row],[Graduate]]=1, "Graduate", Table1[[#This Row],[Master]]=1, "Master", Table1[[#This Row],[PhD]]=1, "PhD", AND(Table1[[#This Row],[Basic]]=0, Table1[[#This Row],[Graduate]]=0, Table1[[#This Row],[Master]]=0, Table1[[#This Row],[PhD]]=0), "NA")</f>
        <v>Graduate</v>
      </c>
      <c r="Q288" t="e">
        <f>_xlfn.XLOOKUP(Table1[[#This Row],[ID]], Table2[ID],#REF!, "Not Found", 0)</f>
        <v>#REF!</v>
      </c>
      <c r="R288" t="e">
        <f>_xlfn.XLOOKUP(Table1[[#This Row],[ID]], Table2[ID],#REF!, "Not Found", 0)</f>
        <v>#REF!</v>
      </c>
      <c r="S288" s="3">
        <f>_xlfn.XLOOKUP(Table1[[#This Row],[ID]], Table2[ID], Table2[Enrollment], "Not Found", 0)</f>
        <v>43929</v>
      </c>
      <c r="T288" t="s">
        <v>438</v>
      </c>
    </row>
    <row r="289" spans="1:20" x14ac:dyDescent="0.3">
      <c r="A289">
        <v>2149</v>
      </c>
      <c r="B289">
        <v>177142</v>
      </c>
      <c r="C289">
        <v>0</v>
      </c>
      <c r="D289">
        <v>0</v>
      </c>
      <c r="E289">
        <v>72</v>
      </c>
      <c r="F289">
        <v>0</v>
      </c>
      <c r="G289">
        <v>1</v>
      </c>
      <c r="H289">
        <v>0</v>
      </c>
      <c r="I289">
        <v>0</v>
      </c>
      <c r="J289">
        <v>0</v>
      </c>
      <c r="K289">
        <v>0</v>
      </c>
      <c r="L289">
        <v>1</v>
      </c>
      <c r="M289">
        <v>0</v>
      </c>
      <c r="N289">
        <v>0</v>
      </c>
      <c r="O289" t="str" cm="1">
        <f t="array" ref="O289">_xlfn.IFS(Table1[[#This Row],[Divorced]]=1, "Divorced", Table1[[#This Row],[Married]]=1, "Married", Table1[[#This Row],[Single]]=1, "Single", Table1[[#This Row],[Together]]=1, "Together", Table1[[#This Row],[Widow]]=1, "Widow")</f>
        <v>Married</v>
      </c>
      <c r="P289" t="str" cm="1">
        <f t="array" ref="P289">_xlfn.IFS(Table1[[#This Row],[Basic]]=1, "Basic", Table1[[#This Row],[Graduate]]=1, "Graduate", Table1[[#This Row],[Master]]=1, "Master", Table1[[#This Row],[PhD]]=1, "PhD", AND(Table1[[#This Row],[Basic]]=0, Table1[[#This Row],[Graduate]]=0, Table1[[#This Row],[Master]]=0, Table1[[#This Row],[PhD]]=0), "NA")</f>
        <v>Graduate</v>
      </c>
      <c r="Q289" t="e">
        <f>_xlfn.XLOOKUP(Table1[[#This Row],[ID]], Table2[ID],#REF!, "Not Found", 0)</f>
        <v>#REF!</v>
      </c>
      <c r="R289" t="e">
        <f>_xlfn.XLOOKUP(Table1[[#This Row],[ID]], Table2[ID],#REF!, "Not Found", 0)</f>
        <v>#REF!</v>
      </c>
      <c r="S289" s="3">
        <f>_xlfn.XLOOKUP(Table1[[#This Row],[ID]], Table2[ID], Table2[Enrollment], "Not Found", 0)</f>
        <v>43535</v>
      </c>
      <c r="T289" t="s">
        <v>437</v>
      </c>
    </row>
    <row r="290" spans="1:20" x14ac:dyDescent="0.3">
      <c r="A290">
        <v>2193</v>
      </c>
      <c r="B290">
        <v>177044</v>
      </c>
      <c r="C290">
        <v>0</v>
      </c>
      <c r="D290">
        <v>1</v>
      </c>
      <c r="E290">
        <v>48</v>
      </c>
      <c r="F290">
        <v>0</v>
      </c>
      <c r="G290">
        <v>0</v>
      </c>
      <c r="H290">
        <v>0</v>
      </c>
      <c r="I290">
        <v>1</v>
      </c>
      <c r="J290">
        <v>0</v>
      </c>
      <c r="K290">
        <v>0</v>
      </c>
      <c r="L290">
        <v>1</v>
      </c>
      <c r="M290">
        <v>0</v>
      </c>
      <c r="N290">
        <v>0</v>
      </c>
      <c r="O290" t="str" cm="1">
        <f t="array" ref="O290">_xlfn.IFS(Table1[[#This Row],[Divorced]]=1, "Divorced", Table1[[#This Row],[Married]]=1, "Married", Table1[[#This Row],[Single]]=1, "Single", Table1[[#This Row],[Together]]=1, "Together", Table1[[#This Row],[Widow]]=1, "Widow")</f>
        <v>Together</v>
      </c>
      <c r="P290" t="str" cm="1">
        <f t="array" ref="P290">_xlfn.IFS(Table1[[#This Row],[Basic]]=1, "Basic", Table1[[#This Row],[Graduate]]=1, "Graduate", Table1[[#This Row],[Master]]=1, "Master", Table1[[#This Row],[PhD]]=1, "PhD", AND(Table1[[#This Row],[Basic]]=0, Table1[[#This Row],[Graduate]]=0, Table1[[#This Row],[Master]]=0, Table1[[#This Row],[PhD]]=0), "NA")</f>
        <v>Graduate</v>
      </c>
      <c r="Q290" t="e">
        <f>_xlfn.XLOOKUP(Table1[[#This Row],[ID]], Table2[ID],#REF!, "Not Found", 0)</f>
        <v>#REF!</v>
      </c>
      <c r="R290" t="e">
        <f>_xlfn.XLOOKUP(Table1[[#This Row],[ID]], Table2[ID],#REF!, "Not Found", 0)</f>
        <v>#REF!</v>
      </c>
      <c r="S290" s="3">
        <f>_xlfn.XLOOKUP(Table1[[#This Row],[ID]], Table2[ID], Table2[Enrollment], "Not Found", 0)</f>
        <v>43865</v>
      </c>
      <c r="T290" t="s">
        <v>435</v>
      </c>
    </row>
    <row r="291" spans="1:20" x14ac:dyDescent="0.3">
      <c r="A291">
        <v>2028</v>
      </c>
      <c r="B291">
        <v>177037</v>
      </c>
      <c r="C291">
        <v>0</v>
      </c>
      <c r="D291">
        <v>1</v>
      </c>
      <c r="E291">
        <v>60</v>
      </c>
      <c r="F291">
        <v>0</v>
      </c>
      <c r="G291">
        <v>1</v>
      </c>
      <c r="H291">
        <v>0</v>
      </c>
      <c r="I291">
        <v>0</v>
      </c>
      <c r="J291">
        <v>0</v>
      </c>
      <c r="K291">
        <v>0</v>
      </c>
      <c r="L291">
        <v>0</v>
      </c>
      <c r="M291">
        <v>0</v>
      </c>
      <c r="N291">
        <v>1</v>
      </c>
      <c r="O291" t="str" cm="1">
        <f t="array" ref="O291">_xlfn.IFS(Table1[[#This Row],[Divorced]]=1, "Divorced", Table1[[#This Row],[Married]]=1, "Married", Table1[[#This Row],[Single]]=1, "Single", Table1[[#This Row],[Together]]=1, "Together", Table1[[#This Row],[Widow]]=1, "Widow")</f>
        <v>Married</v>
      </c>
      <c r="P291" t="str" cm="1">
        <f t="array" ref="P291">_xlfn.IFS(Table1[[#This Row],[Basic]]=1, "Basic", Table1[[#This Row],[Graduate]]=1, "Graduate", Table1[[#This Row],[Master]]=1, "Master", Table1[[#This Row],[PhD]]=1, "PhD", AND(Table1[[#This Row],[Basic]]=0, Table1[[#This Row],[Graduate]]=0, Table1[[#This Row],[Master]]=0, Table1[[#This Row],[PhD]]=0), "NA")</f>
        <v>PhD</v>
      </c>
      <c r="Q291" t="e">
        <f>_xlfn.XLOOKUP(Table1[[#This Row],[ID]], Table2[ID],#REF!, "Not Found", 0)</f>
        <v>#REF!</v>
      </c>
      <c r="R291" t="e">
        <f>_xlfn.XLOOKUP(Table1[[#This Row],[ID]], Table2[ID],#REF!, "Not Found", 0)</f>
        <v>#REF!</v>
      </c>
      <c r="S291" s="3" t="str">
        <f>_xlfn.XLOOKUP(Table1[[#This Row],[ID]], Table2[ID], Table2[Enrollment], "Not Found", 0)</f>
        <v>3/19/2020</v>
      </c>
      <c r="T291" t="s">
        <v>436</v>
      </c>
    </row>
    <row r="292" spans="1:20" x14ac:dyDescent="0.3">
      <c r="A292">
        <v>2998</v>
      </c>
      <c r="B292">
        <v>177027</v>
      </c>
      <c r="C292">
        <v>0</v>
      </c>
      <c r="D292">
        <v>1</v>
      </c>
      <c r="E292">
        <v>68</v>
      </c>
      <c r="F292">
        <v>0</v>
      </c>
      <c r="G292">
        <v>1</v>
      </c>
      <c r="H292">
        <v>0</v>
      </c>
      <c r="I292">
        <v>0</v>
      </c>
      <c r="J292">
        <v>0</v>
      </c>
      <c r="K292">
        <v>0</v>
      </c>
      <c r="L292">
        <v>0</v>
      </c>
      <c r="M292">
        <v>1</v>
      </c>
      <c r="N292">
        <v>0</v>
      </c>
      <c r="O292" t="str" cm="1">
        <f t="array" ref="O292">_xlfn.IFS(Table1[[#This Row],[Divorced]]=1, "Divorced", Table1[[#This Row],[Married]]=1, "Married", Table1[[#This Row],[Single]]=1, "Single", Table1[[#This Row],[Together]]=1, "Together", Table1[[#This Row],[Widow]]=1, "Widow")</f>
        <v>Married</v>
      </c>
      <c r="P292" t="str" cm="1">
        <f t="array" ref="P292">_xlfn.IFS(Table1[[#This Row],[Basic]]=1, "Basic", Table1[[#This Row],[Graduate]]=1, "Graduate", Table1[[#This Row],[Master]]=1, "Master", Table1[[#This Row],[PhD]]=1, "PhD", AND(Table1[[#This Row],[Basic]]=0, Table1[[#This Row],[Graduate]]=0, Table1[[#This Row],[Master]]=0, Table1[[#This Row],[PhD]]=0), "NA")</f>
        <v>Master</v>
      </c>
      <c r="Q292" t="e">
        <f>_xlfn.XLOOKUP(Table1[[#This Row],[ID]], Table2[ID],#REF!, "Not Found", 0)</f>
        <v>#REF!</v>
      </c>
      <c r="R292" t="e">
        <f>_xlfn.XLOOKUP(Table1[[#This Row],[ID]], Table2[ID],#REF!, "Not Found", 0)</f>
        <v>#REF!</v>
      </c>
      <c r="S292" s="3">
        <f>_xlfn.XLOOKUP(Table1[[#This Row],[ID]], Table2[ID], Table2[Enrollment], "Not Found", 0)</f>
        <v>44172</v>
      </c>
      <c r="T292" t="s">
        <v>439</v>
      </c>
    </row>
    <row r="293" spans="1:20" x14ac:dyDescent="0.3">
      <c r="A293">
        <v>2464</v>
      </c>
      <c r="B293">
        <v>176998</v>
      </c>
      <c r="C293">
        <v>0</v>
      </c>
      <c r="D293">
        <v>1</v>
      </c>
      <c r="E293">
        <v>65</v>
      </c>
      <c r="F293">
        <v>0</v>
      </c>
      <c r="G293">
        <v>1</v>
      </c>
      <c r="H293">
        <v>0</v>
      </c>
      <c r="I293">
        <v>0</v>
      </c>
      <c r="J293">
        <v>0</v>
      </c>
      <c r="K293">
        <v>0</v>
      </c>
      <c r="L293">
        <v>1</v>
      </c>
      <c r="M293">
        <v>0</v>
      </c>
      <c r="N293">
        <v>0</v>
      </c>
      <c r="O293" t="str" cm="1">
        <f t="array" ref="O293">_xlfn.IFS(Table1[[#This Row],[Divorced]]=1, "Divorced", Table1[[#This Row],[Married]]=1, "Married", Table1[[#This Row],[Single]]=1, "Single", Table1[[#This Row],[Together]]=1, "Together", Table1[[#This Row],[Widow]]=1, "Widow")</f>
        <v>Married</v>
      </c>
      <c r="P293" t="str" cm="1">
        <f t="array" ref="P293">_xlfn.IFS(Table1[[#This Row],[Basic]]=1, "Basic", Table1[[#This Row],[Graduate]]=1, "Graduate", Table1[[#This Row],[Master]]=1, "Master", Table1[[#This Row],[PhD]]=1, "PhD", AND(Table1[[#This Row],[Basic]]=0, Table1[[#This Row],[Graduate]]=0, Table1[[#This Row],[Master]]=0, Table1[[#This Row],[PhD]]=0), "NA")</f>
        <v>Graduate</v>
      </c>
      <c r="Q293" t="e">
        <f>_xlfn.XLOOKUP(Table1[[#This Row],[ID]], Table2[ID],#REF!, "Not Found", 0)</f>
        <v>#REF!</v>
      </c>
      <c r="R293" t="e">
        <f>_xlfn.XLOOKUP(Table1[[#This Row],[ID]], Table2[ID],#REF!, "Not Found", 0)</f>
        <v>#REF!</v>
      </c>
      <c r="S293" s="3" t="str">
        <f>_xlfn.XLOOKUP(Table1[[#This Row],[ID]], Table2[ID], Table2[Enrollment], "Not Found", 0)</f>
        <v>6/18/2019</v>
      </c>
      <c r="T293" t="s">
        <v>439</v>
      </c>
    </row>
    <row r="294" spans="1:20" x14ac:dyDescent="0.3">
      <c r="A294">
        <v>1018</v>
      </c>
      <c r="B294">
        <v>176995</v>
      </c>
      <c r="C294">
        <v>0</v>
      </c>
      <c r="D294">
        <v>1</v>
      </c>
      <c r="E294">
        <v>71</v>
      </c>
      <c r="F294">
        <v>0</v>
      </c>
      <c r="G294">
        <v>1</v>
      </c>
      <c r="H294">
        <v>0</v>
      </c>
      <c r="I294">
        <v>0</v>
      </c>
      <c r="J294">
        <v>0</v>
      </c>
      <c r="K294">
        <v>0</v>
      </c>
      <c r="L294">
        <v>0</v>
      </c>
      <c r="M294">
        <v>1</v>
      </c>
      <c r="N294">
        <v>0</v>
      </c>
      <c r="O294" t="str" cm="1">
        <f t="array" ref="O294">_xlfn.IFS(Table1[[#This Row],[Divorced]]=1, "Divorced", Table1[[#This Row],[Married]]=1, "Married", Table1[[#This Row],[Single]]=1, "Single", Table1[[#This Row],[Together]]=1, "Together", Table1[[#This Row],[Widow]]=1, "Widow")</f>
        <v>Married</v>
      </c>
      <c r="P294" t="str" cm="1">
        <f t="array" ref="P294">_xlfn.IFS(Table1[[#This Row],[Basic]]=1, "Basic", Table1[[#This Row],[Graduate]]=1, "Graduate", Table1[[#This Row],[Master]]=1, "Master", Table1[[#This Row],[PhD]]=1, "PhD", AND(Table1[[#This Row],[Basic]]=0, Table1[[#This Row],[Graduate]]=0, Table1[[#This Row],[Master]]=0, Table1[[#This Row],[PhD]]=0), "NA")</f>
        <v>Master</v>
      </c>
      <c r="Q294" t="e">
        <f>_xlfn.XLOOKUP(Table1[[#This Row],[ID]], Table2[ID],#REF!, "Not Found", 0)</f>
        <v>#REF!</v>
      </c>
      <c r="R294" t="e">
        <f>_xlfn.XLOOKUP(Table1[[#This Row],[ID]], Table2[ID],#REF!, "Not Found", 0)</f>
        <v>#REF!</v>
      </c>
      <c r="S294" s="3">
        <f>_xlfn.XLOOKUP(Table1[[#This Row],[ID]], Table2[ID], Table2[Enrollment], "Not Found", 0)</f>
        <v>43505</v>
      </c>
      <c r="T294" t="s">
        <v>439</v>
      </c>
    </row>
    <row r="295" spans="1:20" x14ac:dyDescent="0.3">
      <c r="A295">
        <v>1521</v>
      </c>
      <c r="B295">
        <v>176982</v>
      </c>
      <c r="C295">
        <v>0</v>
      </c>
      <c r="D295">
        <v>0</v>
      </c>
      <c r="E295">
        <v>53</v>
      </c>
      <c r="F295">
        <v>1</v>
      </c>
      <c r="G295">
        <v>0</v>
      </c>
      <c r="H295">
        <v>0</v>
      </c>
      <c r="I295">
        <v>0</v>
      </c>
      <c r="J295">
        <v>0</v>
      </c>
      <c r="K295">
        <v>0</v>
      </c>
      <c r="L295">
        <v>1</v>
      </c>
      <c r="M295">
        <v>0</v>
      </c>
      <c r="N295">
        <v>0</v>
      </c>
      <c r="O295" t="str" cm="1">
        <f t="array" ref="O295">_xlfn.IFS(Table1[[#This Row],[Divorced]]=1, "Divorced", Table1[[#This Row],[Married]]=1, "Married", Table1[[#This Row],[Single]]=1, "Single", Table1[[#This Row],[Together]]=1, "Together", Table1[[#This Row],[Widow]]=1, "Widow")</f>
        <v>Divorced</v>
      </c>
      <c r="P295" t="str" cm="1">
        <f t="array" ref="P295">_xlfn.IFS(Table1[[#This Row],[Basic]]=1, "Basic", Table1[[#This Row],[Graduate]]=1, "Graduate", Table1[[#This Row],[Master]]=1, "Master", Table1[[#This Row],[PhD]]=1, "PhD", AND(Table1[[#This Row],[Basic]]=0, Table1[[#This Row],[Graduate]]=0, Table1[[#This Row],[Master]]=0, Table1[[#This Row],[PhD]]=0), "NA")</f>
        <v>Graduate</v>
      </c>
      <c r="Q295" t="e">
        <f>_xlfn.XLOOKUP(Table1[[#This Row],[ID]], Table2[ID],#REF!, "Not Found", 0)</f>
        <v>#REF!</v>
      </c>
      <c r="R295" t="e">
        <f>_xlfn.XLOOKUP(Table1[[#This Row],[ID]], Table2[ID],#REF!, "Not Found", 0)</f>
        <v>#REF!</v>
      </c>
      <c r="S295" s="3" t="str">
        <f>_xlfn.XLOOKUP(Table1[[#This Row],[ID]], Table2[ID], Table2[Enrollment], "Not Found", 0)</f>
        <v>7/22/2020</v>
      </c>
      <c r="T295" t="s">
        <v>435</v>
      </c>
    </row>
    <row r="296" spans="1:20" x14ac:dyDescent="0.3">
      <c r="A296">
        <v>2930</v>
      </c>
      <c r="B296">
        <v>176842</v>
      </c>
      <c r="C296">
        <v>0</v>
      </c>
      <c r="D296">
        <v>0</v>
      </c>
      <c r="E296">
        <v>70</v>
      </c>
      <c r="F296">
        <v>0</v>
      </c>
      <c r="G296">
        <v>0</v>
      </c>
      <c r="H296">
        <v>0</v>
      </c>
      <c r="I296">
        <v>0</v>
      </c>
      <c r="J296">
        <v>1</v>
      </c>
      <c r="K296">
        <v>0</v>
      </c>
      <c r="L296">
        <v>0</v>
      </c>
      <c r="M296">
        <v>0</v>
      </c>
      <c r="N296">
        <v>1</v>
      </c>
      <c r="O296" t="str" cm="1">
        <f t="array" ref="O296">_xlfn.IFS(Table1[[#This Row],[Divorced]]=1, "Divorced", Table1[[#This Row],[Married]]=1, "Married", Table1[[#This Row],[Single]]=1, "Single", Table1[[#This Row],[Together]]=1, "Together", Table1[[#This Row],[Widow]]=1, "Widow")</f>
        <v>Widow</v>
      </c>
      <c r="P296" t="str" cm="1">
        <f t="array" ref="P296">_xlfn.IFS(Table1[[#This Row],[Basic]]=1, "Basic", Table1[[#This Row],[Graduate]]=1, "Graduate", Table1[[#This Row],[Master]]=1, "Master", Table1[[#This Row],[PhD]]=1, "PhD", AND(Table1[[#This Row],[Basic]]=0, Table1[[#This Row],[Graduate]]=0, Table1[[#This Row],[Master]]=0, Table1[[#This Row],[PhD]]=0), "NA")</f>
        <v>PhD</v>
      </c>
      <c r="Q296" t="e">
        <f>_xlfn.XLOOKUP(Table1[[#This Row],[ID]], Table2[ID],#REF!, "Not Found", 0)</f>
        <v>#REF!</v>
      </c>
      <c r="R296" t="e">
        <f>_xlfn.XLOOKUP(Table1[[#This Row],[ID]], Table2[ID],#REF!, "Not Found", 0)</f>
        <v>#REF!</v>
      </c>
      <c r="S296" s="3">
        <f>_xlfn.XLOOKUP(Table1[[#This Row],[ID]], Table2[ID], Table2[Enrollment], "Not Found", 0)</f>
        <v>44022</v>
      </c>
      <c r="T296" t="s">
        <v>438</v>
      </c>
    </row>
    <row r="297" spans="1:20" x14ac:dyDescent="0.3">
      <c r="A297">
        <v>2527</v>
      </c>
      <c r="B297">
        <v>176800</v>
      </c>
      <c r="C297">
        <v>0</v>
      </c>
      <c r="D297">
        <v>0</v>
      </c>
      <c r="E297">
        <v>55</v>
      </c>
      <c r="F297">
        <v>0</v>
      </c>
      <c r="G297">
        <v>1</v>
      </c>
      <c r="H297">
        <v>0</v>
      </c>
      <c r="I297">
        <v>0</v>
      </c>
      <c r="J297">
        <v>0</v>
      </c>
      <c r="K297">
        <v>0</v>
      </c>
      <c r="L297">
        <v>0</v>
      </c>
      <c r="M297">
        <v>0</v>
      </c>
      <c r="N297">
        <v>0</v>
      </c>
      <c r="O297" t="str" cm="1">
        <f t="array" ref="O297">_xlfn.IFS(Table1[[#This Row],[Divorced]]=1, "Divorced", Table1[[#This Row],[Married]]=1, "Married", Table1[[#This Row],[Single]]=1, "Single", Table1[[#This Row],[Together]]=1, "Together", Table1[[#This Row],[Widow]]=1, "Widow")</f>
        <v>Married</v>
      </c>
      <c r="P297" t="str" cm="1">
        <f t="array" ref="P297">_xlfn.IFS(Table1[[#This Row],[Basic]]=1, "Basic", Table1[[#This Row],[Graduate]]=1, "Graduate", Table1[[#This Row],[Master]]=1, "Master", Table1[[#This Row],[PhD]]=1, "PhD", AND(Table1[[#This Row],[Basic]]=0, Table1[[#This Row],[Graduate]]=0, Table1[[#This Row],[Master]]=0, Table1[[#This Row],[PhD]]=0), "NA")</f>
        <v>NA</v>
      </c>
      <c r="Q297" t="e">
        <f>_xlfn.XLOOKUP(Table1[[#This Row],[ID]], Table2[ID],#REF!, "Not Found", 0)</f>
        <v>#REF!</v>
      </c>
      <c r="R297" t="e">
        <f>_xlfn.XLOOKUP(Table1[[#This Row],[ID]], Table2[ID],#REF!, "Not Found", 0)</f>
        <v>#REF!</v>
      </c>
      <c r="S297" s="3">
        <f>_xlfn.XLOOKUP(Table1[[#This Row],[ID]], Table2[ID], Table2[Enrollment], "Not Found", 0)</f>
        <v>44173</v>
      </c>
      <c r="T297" t="s">
        <v>437</v>
      </c>
    </row>
    <row r="298" spans="1:20" x14ac:dyDescent="0.3">
      <c r="A298">
        <v>2091</v>
      </c>
      <c r="B298">
        <v>176773</v>
      </c>
      <c r="C298">
        <v>0</v>
      </c>
      <c r="D298">
        <v>0</v>
      </c>
      <c r="E298">
        <v>66</v>
      </c>
      <c r="F298">
        <v>1</v>
      </c>
      <c r="G298">
        <v>0</v>
      </c>
      <c r="H298">
        <v>0</v>
      </c>
      <c r="I298">
        <v>0</v>
      </c>
      <c r="J298">
        <v>0</v>
      </c>
      <c r="K298">
        <v>0</v>
      </c>
      <c r="L298">
        <v>1</v>
      </c>
      <c r="M298">
        <v>0</v>
      </c>
      <c r="N298">
        <v>0</v>
      </c>
      <c r="O298" t="str" cm="1">
        <f t="array" ref="O298">_xlfn.IFS(Table1[[#This Row],[Divorced]]=1, "Divorced", Table1[[#This Row],[Married]]=1, "Married", Table1[[#This Row],[Single]]=1, "Single", Table1[[#This Row],[Together]]=1, "Together", Table1[[#This Row],[Widow]]=1, "Widow")</f>
        <v>Divorced</v>
      </c>
      <c r="P298" t="str" cm="1">
        <f t="array" ref="P298">_xlfn.IFS(Table1[[#This Row],[Basic]]=1, "Basic", Table1[[#This Row],[Graduate]]=1, "Graduate", Table1[[#This Row],[Master]]=1, "Master", Table1[[#This Row],[PhD]]=1, "PhD", AND(Table1[[#This Row],[Basic]]=0, Table1[[#This Row],[Graduate]]=0, Table1[[#This Row],[Master]]=0, Table1[[#This Row],[PhD]]=0), "NA")</f>
        <v>Graduate</v>
      </c>
      <c r="Q298" t="e">
        <f>_xlfn.XLOOKUP(Table1[[#This Row],[ID]], Table2[ID],#REF!, "Not Found", 0)</f>
        <v>#REF!</v>
      </c>
      <c r="R298" t="e">
        <f>_xlfn.XLOOKUP(Table1[[#This Row],[ID]], Table2[ID],#REF!, "Not Found", 0)</f>
        <v>#REF!</v>
      </c>
      <c r="S298" s="3">
        <f>_xlfn.XLOOKUP(Table1[[#This Row],[ID]], Table2[ID], Table2[Enrollment], "Not Found", 0)</f>
        <v>43504</v>
      </c>
      <c r="T298" t="s">
        <v>435</v>
      </c>
    </row>
    <row r="299" spans="1:20" x14ac:dyDescent="0.3">
      <c r="A299">
        <v>2240</v>
      </c>
      <c r="B299">
        <v>176653</v>
      </c>
      <c r="C299">
        <v>0</v>
      </c>
      <c r="D299">
        <v>0</v>
      </c>
      <c r="E299">
        <v>51</v>
      </c>
      <c r="F299">
        <v>0</v>
      </c>
      <c r="G299">
        <v>0</v>
      </c>
      <c r="H299">
        <v>0</v>
      </c>
      <c r="I299">
        <v>1</v>
      </c>
      <c r="J299">
        <v>0</v>
      </c>
      <c r="K299">
        <v>0</v>
      </c>
      <c r="L299">
        <v>1</v>
      </c>
      <c r="M299">
        <v>0</v>
      </c>
      <c r="N299">
        <v>0</v>
      </c>
      <c r="O299" t="str" cm="1">
        <f t="array" ref="O299">_xlfn.IFS(Table1[[#This Row],[Divorced]]=1, "Divorced", Table1[[#This Row],[Married]]=1, "Married", Table1[[#This Row],[Single]]=1, "Single", Table1[[#This Row],[Together]]=1, "Together", Table1[[#This Row],[Widow]]=1, "Widow")</f>
        <v>Together</v>
      </c>
      <c r="P299" t="str" cm="1">
        <f t="array" ref="P299">_xlfn.IFS(Table1[[#This Row],[Basic]]=1, "Basic", Table1[[#This Row],[Graduate]]=1, "Graduate", Table1[[#This Row],[Master]]=1, "Master", Table1[[#This Row],[PhD]]=1, "PhD", AND(Table1[[#This Row],[Basic]]=0, Table1[[#This Row],[Graduate]]=0, Table1[[#This Row],[Master]]=0, Table1[[#This Row],[PhD]]=0), "NA")</f>
        <v>Graduate</v>
      </c>
      <c r="Q299" t="e">
        <f>_xlfn.XLOOKUP(Table1[[#This Row],[ID]], Table2[ID],#REF!, "Not Found", 0)</f>
        <v>#REF!</v>
      </c>
      <c r="R299" t="e">
        <f>_xlfn.XLOOKUP(Table1[[#This Row],[ID]], Table2[ID],#REF!, "Not Found", 0)</f>
        <v>#REF!</v>
      </c>
      <c r="S299" s="3" t="str">
        <f>_xlfn.XLOOKUP(Table1[[#This Row],[ID]], Table2[ID], Table2[Enrollment], "Not Found", 0)</f>
        <v>1/21/2020</v>
      </c>
      <c r="T299" t="s">
        <v>438</v>
      </c>
    </row>
    <row r="300" spans="1:20" x14ac:dyDescent="0.3">
      <c r="A300">
        <v>1873</v>
      </c>
      <c r="B300">
        <v>176630</v>
      </c>
      <c r="C300">
        <v>0</v>
      </c>
      <c r="D300">
        <v>0</v>
      </c>
      <c r="E300">
        <v>37</v>
      </c>
      <c r="F300">
        <v>0</v>
      </c>
      <c r="G300">
        <v>1</v>
      </c>
      <c r="H300">
        <v>0</v>
      </c>
      <c r="I300">
        <v>0</v>
      </c>
      <c r="J300">
        <v>0</v>
      </c>
      <c r="K300">
        <v>0</v>
      </c>
      <c r="L300">
        <v>1</v>
      </c>
      <c r="M300">
        <v>0</v>
      </c>
      <c r="N300">
        <v>0</v>
      </c>
      <c r="O300" t="str" cm="1">
        <f t="array" ref="O300">_xlfn.IFS(Table1[[#This Row],[Divorced]]=1, "Divorced", Table1[[#This Row],[Married]]=1, "Married", Table1[[#This Row],[Single]]=1, "Single", Table1[[#This Row],[Together]]=1, "Together", Table1[[#This Row],[Widow]]=1, "Widow")</f>
        <v>Married</v>
      </c>
      <c r="P300" t="str" cm="1">
        <f t="array" ref="P300">_xlfn.IFS(Table1[[#This Row],[Basic]]=1, "Basic", Table1[[#This Row],[Graduate]]=1, "Graduate", Table1[[#This Row],[Master]]=1, "Master", Table1[[#This Row],[PhD]]=1, "PhD", AND(Table1[[#This Row],[Basic]]=0, Table1[[#This Row],[Graduate]]=0, Table1[[#This Row],[Master]]=0, Table1[[#This Row],[PhD]]=0), "NA")</f>
        <v>Graduate</v>
      </c>
      <c r="Q300" t="e">
        <f>_xlfn.XLOOKUP(Table1[[#This Row],[ID]], Table2[ID],#REF!, "Not Found", 0)</f>
        <v>#REF!</v>
      </c>
      <c r="R300" t="e">
        <f>_xlfn.XLOOKUP(Table1[[#This Row],[ID]], Table2[ID],#REF!, "Not Found", 0)</f>
        <v>#REF!</v>
      </c>
      <c r="S300" s="3" t="str">
        <f>_xlfn.XLOOKUP(Table1[[#This Row],[ID]], Table2[ID], Table2[Enrollment], "Not Found", 0)</f>
        <v>6/20/2020</v>
      </c>
      <c r="T300" t="s">
        <v>437</v>
      </c>
    </row>
    <row r="301" spans="1:20" x14ac:dyDescent="0.3">
      <c r="A301">
        <v>2223</v>
      </c>
      <c r="B301">
        <v>176624</v>
      </c>
      <c r="C301">
        <v>0</v>
      </c>
      <c r="D301">
        <v>1</v>
      </c>
      <c r="E301">
        <v>58</v>
      </c>
      <c r="F301">
        <v>0</v>
      </c>
      <c r="G301">
        <v>0</v>
      </c>
      <c r="H301">
        <v>1</v>
      </c>
      <c r="I301">
        <v>0</v>
      </c>
      <c r="J301">
        <v>0</v>
      </c>
      <c r="K301">
        <v>0</v>
      </c>
      <c r="L301">
        <v>1</v>
      </c>
      <c r="M301">
        <v>0</v>
      </c>
      <c r="N301">
        <v>0</v>
      </c>
      <c r="O301" t="str" cm="1">
        <f t="array" ref="O301">_xlfn.IFS(Table1[[#This Row],[Divorced]]=1, "Divorced", Table1[[#This Row],[Married]]=1, "Married", Table1[[#This Row],[Single]]=1, "Single", Table1[[#This Row],[Together]]=1, "Together", Table1[[#This Row],[Widow]]=1, "Widow")</f>
        <v>Single</v>
      </c>
      <c r="P301" t="str" cm="1">
        <f t="array" ref="P301">_xlfn.IFS(Table1[[#This Row],[Basic]]=1, "Basic", Table1[[#This Row],[Graduate]]=1, "Graduate", Table1[[#This Row],[Master]]=1, "Master", Table1[[#This Row],[PhD]]=1, "PhD", AND(Table1[[#This Row],[Basic]]=0, Table1[[#This Row],[Graduate]]=0, Table1[[#This Row],[Master]]=0, Table1[[#This Row],[PhD]]=0), "NA")</f>
        <v>Graduate</v>
      </c>
      <c r="Q301" t="e">
        <f>_xlfn.XLOOKUP(Table1[[#This Row],[ID]], Table2[ID],#REF!, "Not Found", 0)</f>
        <v>#REF!</v>
      </c>
      <c r="R301" t="e">
        <f>_xlfn.XLOOKUP(Table1[[#This Row],[ID]], Table2[ID],#REF!, "Not Found", 0)</f>
        <v>#REF!</v>
      </c>
      <c r="S301" s="3" t="str">
        <f>_xlfn.XLOOKUP(Table1[[#This Row],[ID]], Table2[ID], Table2[Enrollment], "Not Found", 0)</f>
        <v>10/28/2020</v>
      </c>
      <c r="T301" t="s">
        <v>435</v>
      </c>
    </row>
    <row r="302" spans="1:20" x14ac:dyDescent="0.3">
      <c r="A302">
        <v>1696</v>
      </c>
      <c r="B302">
        <v>176618</v>
      </c>
      <c r="C302">
        <v>0</v>
      </c>
      <c r="D302">
        <v>0</v>
      </c>
      <c r="E302">
        <v>45</v>
      </c>
      <c r="F302">
        <v>0</v>
      </c>
      <c r="G302">
        <v>1</v>
      </c>
      <c r="H302">
        <v>0</v>
      </c>
      <c r="I302">
        <v>0</v>
      </c>
      <c r="J302">
        <v>0</v>
      </c>
      <c r="K302">
        <v>0</v>
      </c>
      <c r="L302">
        <v>0</v>
      </c>
      <c r="M302">
        <v>0</v>
      </c>
      <c r="N302">
        <v>1</v>
      </c>
      <c r="O302" t="str" cm="1">
        <f t="array" ref="O302">_xlfn.IFS(Table1[[#This Row],[Divorced]]=1, "Divorced", Table1[[#This Row],[Married]]=1, "Married", Table1[[#This Row],[Single]]=1, "Single", Table1[[#This Row],[Together]]=1, "Together", Table1[[#This Row],[Widow]]=1, "Widow")</f>
        <v>Married</v>
      </c>
      <c r="P302" t="str" cm="1">
        <f t="array" ref="P302">_xlfn.IFS(Table1[[#This Row],[Basic]]=1, "Basic", Table1[[#This Row],[Graduate]]=1, "Graduate", Table1[[#This Row],[Master]]=1, "Master", Table1[[#This Row],[PhD]]=1, "PhD", AND(Table1[[#This Row],[Basic]]=0, Table1[[#This Row],[Graduate]]=0, Table1[[#This Row],[Master]]=0, Table1[[#This Row],[PhD]]=0), "NA")</f>
        <v>PhD</v>
      </c>
      <c r="Q302" t="e">
        <f>_xlfn.XLOOKUP(Table1[[#This Row],[ID]], Table2[ID],#REF!, "Not Found", 0)</f>
        <v>#REF!</v>
      </c>
      <c r="R302" t="e">
        <f>_xlfn.XLOOKUP(Table1[[#This Row],[ID]], Table2[ID],#REF!, "Not Found", 0)</f>
        <v>#REF!</v>
      </c>
      <c r="S302" s="3" t="str">
        <f>_xlfn.XLOOKUP(Table1[[#This Row],[ID]], Table2[ID], Table2[Enrollment], "Not Found", 0)</f>
        <v>5/14/2019</v>
      </c>
      <c r="T302" t="s">
        <v>439</v>
      </c>
    </row>
    <row r="303" spans="1:20" x14ac:dyDescent="0.3">
      <c r="A303">
        <v>2330</v>
      </c>
      <c r="B303">
        <v>176542</v>
      </c>
      <c r="C303">
        <v>0</v>
      </c>
      <c r="D303">
        <v>0</v>
      </c>
      <c r="E303">
        <v>64</v>
      </c>
      <c r="F303">
        <v>0</v>
      </c>
      <c r="G303">
        <v>0</v>
      </c>
      <c r="H303">
        <v>0</v>
      </c>
      <c r="I303">
        <v>1</v>
      </c>
      <c r="J303">
        <v>0</v>
      </c>
      <c r="K303">
        <v>0</v>
      </c>
      <c r="L303">
        <v>0</v>
      </c>
      <c r="M303">
        <v>0</v>
      </c>
      <c r="N303">
        <v>1</v>
      </c>
      <c r="O303" t="str" cm="1">
        <f t="array" ref="O303">_xlfn.IFS(Table1[[#This Row],[Divorced]]=1, "Divorced", Table1[[#This Row],[Married]]=1, "Married", Table1[[#This Row],[Single]]=1, "Single", Table1[[#This Row],[Together]]=1, "Together", Table1[[#This Row],[Widow]]=1, "Widow")</f>
        <v>Together</v>
      </c>
      <c r="P303" t="str" cm="1">
        <f t="array" ref="P303">_xlfn.IFS(Table1[[#This Row],[Basic]]=1, "Basic", Table1[[#This Row],[Graduate]]=1, "Graduate", Table1[[#This Row],[Master]]=1, "Master", Table1[[#This Row],[PhD]]=1, "PhD", AND(Table1[[#This Row],[Basic]]=0, Table1[[#This Row],[Graduate]]=0, Table1[[#This Row],[Master]]=0, Table1[[#This Row],[PhD]]=0), "NA")</f>
        <v>PhD</v>
      </c>
      <c r="Q303" t="e">
        <f>_xlfn.XLOOKUP(Table1[[#This Row],[ID]], Table2[ID],#REF!, "Not Found", 0)</f>
        <v>#REF!</v>
      </c>
      <c r="R303" t="e">
        <f>_xlfn.XLOOKUP(Table1[[#This Row],[ID]], Table2[ID],#REF!, "Not Found", 0)</f>
        <v>#REF!</v>
      </c>
      <c r="S303" s="3">
        <f>_xlfn.XLOOKUP(Table1[[#This Row],[ID]], Table2[ID], Table2[Enrollment], "Not Found", 0)</f>
        <v>43564</v>
      </c>
      <c r="T303" t="s">
        <v>438</v>
      </c>
    </row>
    <row r="304" spans="1:20" x14ac:dyDescent="0.3">
      <c r="A304">
        <v>2863</v>
      </c>
      <c r="B304">
        <v>176532</v>
      </c>
      <c r="C304">
        <v>1</v>
      </c>
      <c r="D304">
        <v>1</v>
      </c>
      <c r="E304">
        <v>45</v>
      </c>
      <c r="F304">
        <v>0</v>
      </c>
      <c r="G304">
        <v>0</v>
      </c>
      <c r="H304">
        <v>0</v>
      </c>
      <c r="I304">
        <v>1</v>
      </c>
      <c r="J304">
        <v>0</v>
      </c>
      <c r="K304">
        <v>0</v>
      </c>
      <c r="L304">
        <v>1</v>
      </c>
      <c r="M304">
        <v>0</v>
      </c>
      <c r="N304">
        <v>0</v>
      </c>
      <c r="O304" t="str" cm="1">
        <f t="array" ref="O304">_xlfn.IFS(Table1[[#This Row],[Divorced]]=1, "Divorced", Table1[[#This Row],[Married]]=1, "Married", Table1[[#This Row],[Single]]=1, "Single", Table1[[#This Row],[Together]]=1, "Together", Table1[[#This Row],[Widow]]=1, "Widow")</f>
        <v>Together</v>
      </c>
      <c r="P304" t="str" cm="1">
        <f t="array" ref="P304">_xlfn.IFS(Table1[[#This Row],[Basic]]=1, "Basic", Table1[[#This Row],[Graduate]]=1, "Graduate", Table1[[#This Row],[Master]]=1, "Master", Table1[[#This Row],[PhD]]=1, "PhD", AND(Table1[[#This Row],[Basic]]=0, Table1[[#This Row],[Graduate]]=0, Table1[[#This Row],[Master]]=0, Table1[[#This Row],[PhD]]=0), "NA")</f>
        <v>Graduate</v>
      </c>
      <c r="Q304" t="e">
        <f>_xlfn.XLOOKUP(Table1[[#This Row],[ID]], Table2[ID],#REF!, "Not Found", 0)</f>
        <v>#REF!</v>
      </c>
      <c r="R304" t="e">
        <f>_xlfn.XLOOKUP(Table1[[#This Row],[ID]], Table2[ID],#REF!, "Not Found", 0)</f>
        <v>#REF!</v>
      </c>
      <c r="S304" s="3" t="str">
        <f>_xlfn.XLOOKUP(Table1[[#This Row],[ID]], Table2[ID], Table2[Enrollment], "Not Found", 0)</f>
        <v>2/14/2020</v>
      </c>
      <c r="T304" t="s">
        <v>437</v>
      </c>
    </row>
    <row r="305" spans="1:20" x14ac:dyDescent="0.3">
      <c r="A305">
        <v>3023</v>
      </c>
      <c r="B305">
        <v>176467</v>
      </c>
      <c r="C305">
        <v>1</v>
      </c>
      <c r="D305">
        <v>0</v>
      </c>
      <c r="E305">
        <v>50</v>
      </c>
      <c r="F305">
        <v>0</v>
      </c>
      <c r="G305">
        <v>0</v>
      </c>
      <c r="H305">
        <v>1</v>
      </c>
      <c r="I305">
        <v>0</v>
      </c>
      <c r="J305">
        <v>0</v>
      </c>
      <c r="K305">
        <v>0</v>
      </c>
      <c r="L305">
        <v>1</v>
      </c>
      <c r="M305">
        <v>0</v>
      </c>
      <c r="N305">
        <v>0</v>
      </c>
      <c r="O305" t="str" cm="1">
        <f t="array" ref="O305">_xlfn.IFS(Table1[[#This Row],[Divorced]]=1, "Divorced", Table1[[#This Row],[Married]]=1, "Married", Table1[[#This Row],[Single]]=1, "Single", Table1[[#This Row],[Together]]=1, "Together", Table1[[#This Row],[Widow]]=1, "Widow")</f>
        <v>Single</v>
      </c>
      <c r="P305" t="str" cm="1">
        <f t="array" ref="P305">_xlfn.IFS(Table1[[#This Row],[Basic]]=1, "Basic", Table1[[#This Row],[Graduate]]=1, "Graduate", Table1[[#This Row],[Master]]=1, "Master", Table1[[#This Row],[PhD]]=1, "PhD", AND(Table1[[#This Row],[Basic]]=0, Table1[[#This Row],[Graduate]]=0, Table1[[#This Row],[Master]]=0, Table1[[#This Row],[PhD]]=0), "NA")</f>
        <v>Graduate</v>
      </c>
      <c r="Q305" t="e">
        <f>_xlfn.XLOOKUP(Table1[[#This Row],[ID]], Table2[ID],#REF!, "Not Found", 0)</f>
        <v>#REF!</v>
      </c>
      <c r="R305" t="e">
        <f>_xlfn.XLOOKUP(Table1[[#This Row],[ID]], Table2[ID],#REF!, "Not Found", 0)</f>
        <v>#REF!</v>
      </c>
      <c r="S305" s="3" t="str">
        <f>_xlfn.XLOOKUP(Table1[[#This Row],[ID]], Table2[ID], Table2[Enrollment], "Not Found", 0)</f>
        <v>1/22/2019</v>
      </c>
      <c r="T305" t="s">
        <v>434</v>
      </c>
    </row>
    <row r="306" spans="1:20" x14ac:dyDescent="0.3">
      <c r="A306">
        <v>2574</v>
      </c>
      <c r="B306">
        <v>176445</v>
      </c>
      <c r="C306">
        <v>1</v>
      </c>
      <c r="D306">
        <v>0</v>
      </c>
      <c r="E306">
        <v>49</v>
      </c>
      <c r="F306">
        <v>0</v>
      </c>
      <c r="G306">
        <v>1</v>
      </c>
      <c r="H306">
        <v>0</v>
      </c>
      <c r="I306">
        <v>0</v>
      </c>
      <c r="J306">
        <v>0</v>
      </c>
      <c r="K306">
        <v>0</v>
      </c>
      <c r="L306">
        <v>1</v>
      </c>
      <c r="M306">
        <v>0</v>
      </c>
      <c r="N306">
        <v>0</v>
      </c>
      <c r="O306" t="str" cm="1">
        <f t="array" ref="O306">_xlfn.IFS(Table1[[#This Row],[Divorced]]=1, "Divorced", Table1[[#This Row],[Married]]=1, "Married", Table1[[#This Row],[Single]]=1, "Single", Table1[[#This Row],[Together]]=1, "Together", Table1[[#This Row],[Widow]]=1, "Widow")</f>
        <v>Married</v>
      </c>
      <c r="P306" t="str" cm="1">
        <f t="array" ref="P306">_xlfn.IFS(Table1[[#This Row],[Basic]]=1, "Basic", Table1[[#This Row],[Graduate]]=1, "Graduate", Table1[[#This Row],[Master]]=1, "Master", Table1[[#This Row],[PhD]]=1, "PhD", AND(Table1[[#This Row],[Basic]]=0, Table1[[#This Row],[Graduate]]=0, Table1[[#This Row],[Master]]=0, Table1[[#This Row],[PhD]]=0), "NA")</f>
        <v>Graduate</v>
      </c>
      <c r="Q306" t="e">
        <f>_xlfn.XLOOKUP(Table1[[#This Row],[ID]], Table2[ID],#REF!, "Not Found", 0)</f>
        <v>#REF!</v>
      </c>
      <c r="R306" t="e">
        <f>_xlfn.XLOOKUP(Table1[[#This Row],[ID]], Table2[ID],#REF!, "Not Found", 0)</f>
        <v>#REF!</v>
      </c>
      <c r="S306" s="3">
        <f>_xlfn.XLOOKUP(Table1[[#This Row],[ID]], Table2[ID], Table2[Enrollment], "Not Found", 0)</f>
        <v>43588</v>
      </c>
      <c r="T306" t="s">
        <v>436</v>
      </c>
    </row>
    <row r="307" spans="1:20" x14ac:dyDescent="0.3">
      <c r="A307">
        <v>1801</v>
      </c>
      <c r="B307">
        <v>176412</v>
      </c>
      <c r="C307">
        <v>0</v>
      </c>
      <c r="D307">
        <v>0</v>
      </c>
      <c r="E307">
        <v>40</v>
      </c>
      <c r="F307">
        <v>0</v>
      </c>
      <c r="G307">
        <v>0</v>
      </c>
      <c r="H307">
        <v>1</v>
      </c>
      <c r="I307">
        <v>0</v>
      </c>
      <c r="J307">
        <v>0</v>
      </c>
      <c r="K307">
        <v>0</v>
      </c>
      <c r="L307">
        <v>0</v>
      </c>
      <c r="M307">
        <v>0</v>
      </c>
      <c r="N307">
        <v>1</v>
      </c>
      <c r="O307" t="str" cm="1">
        <f t="array" ref="O307">_xlfn.IFS(Table1[[#This Row],[Divorced]]=1, "Divorced", Table1[[#This Row],[Married]]=1, "Married", Table1[[#This Row],[Single]]=1, "Single", Table1[[#This Row],[Together]]=1, "Together", Table1[[#This Row],[Widow]]=1, "Widow")</f>
        <v>Single</v>
      </c>
      <c r="P307" t="str" cm="1">
        <f t="array" ref="P307">_xlfn.IFS(Table1[[#This Row],[Basic]]=1, "Basic", Table1[[#This Row],[Graduate]]=1, "Graduate", Table1[[#This Row],[Master]]=1, "Master", Table1[[#This Row],[PhD]]=1, "PhD", AND(Table1[[#This Row],[Basic]]=0, Table1[[#This Row],[Graduate]]=0, Table1[[#This Row],[Master]]=0, Table1[[#This Row],[PhD]]=0), "NA")</f>
        <v>PhD</v>
      </c>
      <c r="Q307" t="e">
        <f>_xlfn.XLOOKUP(Table1[[#This Row],[ID]], Table2[ID],#REF!, "Not Found", 0)</f>
        <v>#REF!</v>
      </c>
      <c r="R307" t="e">
        <f>_xlfn.XLOOKUP(Table1[[#This Row],[ID]], Table2[ID],#REF!, "Not Found", 0)</f>
        <v>#REF!</v>
      </c>
      <c r="S307" s="3">
        <f>_xlfn.XLOOKUP(Table1[[#This Row],[ID]], Table2[ID], Table2[Enrollment], "Not Found", 0)</f>
        <v>43748</v>
      </c>
      <c r="T307" t="s">
        <v>437</v>
      </c>
    </row>
    <row r="308" spans="1:20" x14ac:dyDescent="0.3">
      <c r="A308">
        <v>3027</v>
      </c>
      <c r="B308">
        <v>176320</v>
      </c>
      <c r="C308">
        <v>0</v>
      </c>
      <c r="D308">
        <v>1</v>
      </c>
      <c r="E308">
        <v>61</v>
      </c>
      <c r="F308">
        <v>0</v>
      </c>
      <c r="G308">
        <v>0</v>
      </c>
      <c r="H308">
        <v>0</v>
      </c>
      <c r="I308">
        <v>0</v>
      </c>
      <c r="J308">
        <v>1</v>
      </c>
      <c r="K308">
        <v>0</v>
      </c>
      <c r="L308">
        <v>1</v>
      </c>
      <c r="M308">
        <v>0</v>
      </c>
      <c r="N308">
        <v>0</v>
      </c>
      <c r="O308" t="str" cm="1">
        <f t="array" ref="O308">_xlfn.IFS(Table1[[#This Row],[Divorced]]=1, "Divorced", Table1[[#This Row],[Married]]=1, "Married", Table1[[#This Row],[Single]]=1, "Single", Table1[[#This Row],[Together]]=1, "Together", Table1[[#This Row],[Widow]]=1, "Widow")</f>
        <v>Widow</v>
      </c>
      <c r="P308" t="str" cm="1">
        <f t="array" ref="P308">_xlfn.IFS(Table1[[#This Row],[Basic]]=1, "Basic", Table1[[#This Row],[Graduate]]=1, "Graduate", Table1[[#This Row],[Master]]=1, "Master", Table1[[#This Row],[PhD]]=1, "PhD", AND(Table1[[#This Row],[Basic]]=0, Table1[[#This Row],[Graduate]]=0, Table1[[#This Row],[Master]]=0, Table1[[#This Row],[PhD]]=0), "NA")</f>
        <v>Graduate</v>
      </c>
      <c r="Q308" t="e">
        <f>_xlfn.XLOOKUP(Table1[[#This Row],[ID]], Table2[ID],#REF!, "Not Found", 0)</f>
        <v>#REF!</v>
      </c>
      <c r="R308" t="e">
        <f>_xlfn.XLOOKUP(Table1[[#This Row],[ID]], Table2[ID],#REF!, "Not Found", 0)</f>
        <v>#REF!</v>
      </c>
      <c r="S308" s="3" t="str">
        <f>_xlfn.XLOOKUP(Table1[[#This Row],[ID]], Table2[ID], Table2[Enrollment], "Not Found", 0)</f>
        <v>11/26/2020</v>
      </c>
      <c r="T308" t="s">
        <v>435</v>
      </c>
    </row>
    <row r="309" spans="1:20" x14ac:dyDescent="0.3">
      <c r="A309">
        <v>3154</v>
      </c>
      <c r="B309">
        <v>176234</v>
      </c>
      <c r="C309">
        <v>0</v>
      </c>
      <c r="D309">
        <v>1</v>
      </c>
      <c r="E309">
        <v>48</v>
      </c>
      <c r="F309">
        <v>0</v>
      </c>
      <c r="G309">
        <v>1</v>
      </c>
      <c r="H309">
        <v>0</v>
      </c>
      <c r="I309">
        <v>0</v>
      </c>
      <c r="J309">
        <v>0</v>
      </c>
      <c r="K309">
        <v>0</v>
      </c>
      <c r="L309">
        <v>0</v>
      </c>
      <c r="M309">
        <v>1</v>
      </c>
      <c r="N309">
        <v>0</v>
      </c>
      <c r="O309" t="str" cm="1">
        <f t="array" ref="O309">_xlfn.IFS(Table1[[#This Row],[Divorced]]=1, "Divorced", Table1[[#This Row],[Married]]=1, "Married", Table1[[#This Row],[Single]]=1, "Single", Table1[[#This Row],[Together]]=1, "Together", Table1[[#This Row],[Widow]]=1, "Widow")</f>
        <v>Married</v>
      </c>
      <c r="P309" t="str" cm="1">
        <f t="array" ref="P309">_xlfn.IFS(Table1[[#This Row],[Basic]]=1, "Basic", Table1[[#This Row],[Graduate]]=1, "Graduate", Table1[[#This Row],[Master]]=1, "Master", Table1[[#This Row],[PhD]]=1, "PhD", AND(Table1[[#This Row],[Basic]]=0, Table1[[#This Row],[Graduate]]=0, Table1[[#This Row],[Master]]=0, Table1[[#This Row],[PhD]]=0), "NA")</f>
        <v>Master</v>
      </c>
      <c r="Q309" t="e">
        <f>_xlfn.XLOOKUP(Table1[[#This Row],[ID]], Table2[ID],#REF!, "Not Found", 0)</f>
        <v>#REF!</v>
      </c>
      <c r="R309" t="e">
        <f>_xlfn.XLOOKUP(Table1[[#This Row],[ID]], Table2[ID],#REF!, "Not Found", 0)</f>
        <v>#REF!</v>
      </c>
      <c r="S309" s="3" t="str">
        <f>_xlfn.XLOOKUP(Table1[[#This Row],[ID]], Table2[ID], Table2[Enrollment], "Not Found", 0)</f>
        <v>7/13/2020</v>
      </c>
      <c r="T309" t="s">
        <v>439</v>
      </c>
    </row>
    <row r="310" spans="1:20" x14ac:dyDescent="0.3">
      <c r="A310">
        <v>1624</v>
      </c>
      <c r="B310">
        <v>176140</v>
      </c>
      <c r="C310">
        <v>0</v>
      </c>
      <c r="D310">
        <v>0</v>
      </c>
      <c r="E310">
        <v>72</v>
      </c>
      <c r="F310">
        <v>0</v>
      </c>
      <c r="G310">
        <v>0</v>
      </c>
      <c r="H310">
        <v>0</v>
      </c>
      <c r="I310">
        <v>1</v>
      </c>
      <c r="J310">
        <v>0</v>
      </c>
      <c r="K310">
        <v>0</v>
      </c>
      <c r="L310">
        <v>0</v>
      </c>
      <c r="M310">
        <v>0</v>
      </c>
      <c r="N310">
        <v>1</v>
      </c>
      <c r="O310" t="str" cm="1">
        <f t="array" ref="O310">_xlfn.IFS(Table1[[#This Row],[Divorced]]=1, "Divorced", Table1[[#This Row],[Married]]=1, "Married", Table1[[#This Row],[Single]]=1, "Single", Table1[[#This Row],[Together]]=1, "Together", Table1[[#This Row],[Widow]]=1, "Widow")</f>
        <v>Together</v>
      </c>
      <c r="P310" t="str" cm="1">
        <f t="array" ref="P310">_xlfn.IFS(Table1[[#This Row],[Basic]]=1, "Basic", Table1[[#This Row],[Graduate]]=1, "Graduate", Table1[[#This Row],[Master]]=1, "Master", Table1[[#This Row],[PhD]]=1, "PhD", AND(Table1[[#This Row],[Basic]]=0, Table1[[#This Row],[Graduate]]=0, Table1[[#This Row],[Master]]=0, Table1[[#This Row],[PhD]]=0), "NA")</f>
        <v>PhD</v>
      </c>
      <c r="Q310" t="e">
        <f>_xlfn.XLOOKUP(Table1[[#This Row],[ID]], Table2[ID],#REF!, "Not Found", 0)</f>
        <v>#REF!</v>
      </c>
      <c r="R310" t="e">
        <f>_xlfn.XLOOKUP(Table1[[#This Row],[ID]], Table2[ID],#REF!, "Not Found", 0)</f>
        <v>#REF!</v>
      </c>
      <c r="S310" s="3" t="str">
        <f>_xlfn.XLOOKUP(Table1[[#This Row],[ID]], Table2[ID], Table2[Enrollment], "Not Found", 0)</f>
        <v>10/17/2020</v>
      </c>
      <c r="T310" t="s">
        <v>439</v>
      </c>
    </row>
    <row r="311" spans="1:20" x14ac:dyDescent="0.3">
      <c r="A311">
        <v>2024</v>
      </c>
      <c r="B311">
        <v>176081</v>
      </c>
      <c r="C311">
        <v>0</v>
      </c>
      <c r="D311">
        <v>0</v>
      </c>
      <c r="E311">
        <v>58</v>
      </c>
      <c r="F311">
        <v>0</v>
      </c>
      <c r="G311">
        <v>0</v>
      </c>
      <c r="H311">
        <v>0</v>
      </c>
      <c r="I311">
        <v>1</v>
      </c>
      <c r="J311">
        <v>0</v>
      </c>
      <c r="K311">
        <v>0</v>
      </c>
      <c r="L311">
        <v>1</v>
      </c>
      <c r="M311">
        <v>0</v>
      </c>
      <c r="N311">
        <v>0</v>
      </c>
      <c r="O311" t="str" cm="1">
        <f t="array" ref="O311">_xlfn.IFS(Table1[[#This Row],[Divorced]]=1, "Divorced", Table1[[#This Row],[Married]]=1, "Married", Table1[[#This Row],[Single]]=1, "Single", Table1[[#This Row],[Together]]=1, "Together", Table1[[#This Row],[Widow]]=1, "Widow")</f>
        <v>Together</v>
      </c>
      <c r="P311" t="str" cm="1">
        <f t="array" ref="P311">_xlfn.IFS(Table1[[#This Row],[Basic]]=1, "Basic", Table1[[#This Row],[Graduate]]=1, "Graduate", Table1[[#This Row],[Master]]=1, "Master", Table1[[#This Row],[PhD]]=1, "PhD", AND(Table1[[#This Row],[Basic]]=0, Table1[[#This Row],[Graduate]]=0, Table1[[#This Row],[Master]]=0, Table1[[#This Row],[PhD]]=0), "NA")</f>
        <v>Graduate</v>
      </c>
      <c r="Q311" t="e">
        <f>_xlfn.XLOOKUP(Table1[[#This Row],[ID]], Table2[ID],#REF!, "Not Found", 0)</f>
        <v>#REF!</v>
      </c>
      <c r="R311" t="e">
        <f>_xlfn.XLOOKUP(Table1[[#This Row],[ID]], Table2[ID],#REF!, "Not Found", 0)</f>
        <v>#REF!</v>
      </c>
      <c r="S311" s="3" t="str">
        <f>_xlfn.XLOOKUP(Table1[[#This Row],[ID]], Table2[ID], Table2[Enrollment], "Not Found", 0)</f>
        <v>10/27/2020</v>
      </c>
      <c r="T311" t="s">
        <v>438</v>
      </c>
    </row>
    <row r="312" spans="1:20" x14ac:dyDescent="0.3">
      <c r="A312">
        <v>2529</v>
      </c>
      <c r="B312">
        <v>176081</v>
      </c>
      <c r="C312">
        <v>0</v>
      </c>
      <c r="D312">
        <v>0</v>
      </c>
      <c r="E312">
        <v>58</v>
      </c>
      <c r="F312">
        <v>0</v>
      </c>
      <c r="G312">
        <v>0</v>
      </c>
      <c r="H312">
        <v>0</v>
      </c>
      <c r="I312">
        <v>1</v>
      </c>
      <c r="J312">
        <v>0</v>
      </c>
      <c r="K312">
        <v>0</v>
      </c>
      <c r="L312">
        <v>1</v>
      </c>
      <c r="M312">
        <v>0</v>
      </c>
      <c r="N312">
        <v>0</v>
      </c>
      <c r="O312" t="str" cm="1">
        <f t="array" ref="O312">_xlfn.IFS(Table1[[#This Row],[Divorced]]=1, "Divorced", Table1[[#This Row],[Married]]=1, "Married", Table1[[#This Row],[Single]]=1, "Single", Table1[[#This Row],[Together]]=1, "Together", Table1[[#This Row],[Widow]]=1, "Widow")</f>
        <v>Together</v>
      </c>
      <c r="P312" t="str" cm="1">
        <f t="array" ref="P312">_xlfn.IFS(Table1[[#This Row],[Basic]]=1, "Basic", Table1[[#This Row],[Graduate]]=1, "Graduate", Table1[[#This Row],[Master]]=1, "Master", Table1[[#This Row],[PhD]]=1, "PhD", AND(Table1[[#This Row],[Basic]]=0, Table1[[#This Row],[Graduate]]=0, Table1[[#This Row],[Master]]=0, Table1[[#This Row],[PhD]]=0), "NA")</f>
        <v>Graduate</v>
      </c>
      <c r="Q312" t="e">
        <f>_xlfn.XLOOKUP(Table1[[#This Row],[ID]], Table2[ID],#REF!, "Not Found", 0)</f>
        <v>#REF!</v>
      </c>
      <c r="R312" t="e">
        <f>_xlfn.XLOOKUP(Table1[[#This Row],[ID]], Table2[ID],#REF!, "Not Found", 0)</f>
        <v>#REF!</v>
      </c>
      <c r="S312" s="3" t="str">
        <f>_xlfn.XLOOKUP(Table1[[#This Row],[ID]], Table2[ID], Table2[Enrollment], "Not Found", 0)</f>
        <v>10/27/2020</v>
      </c>
      <c r="T312" t="s">
        <v>435</v>
      </c>
    </row>
    <row r="313" spans="1:20" x14ac:dyDescent="0.3">
      <c r="A313">
        <v>3068</v>
      </c>
      <c r="B313">
        <v>176068</v>
      </c>
      <c r="C313">
        <v>0</v>
      </c>
      <c r="D313">
        <v>1</v>
      </c>
      <c r="E313">
        <v>45</v>
      </c>
      <c r="F313">
        <v>0</v>
      </c>
      <c r="G313">
        <v>1</v>
      </c>
      <c r="H313">
        <v>0</v>
      </c>
      <c r="I313">
        <v>0</v>
      </c>
      <c r="J313">
        <v>0</v>
      </c>
      <c r="K313">
        <v>0</v>
      </c>
      <c r="L313">
        <v>1</v>
      </c>
      <c r="M313">
        <v>0</v>
      </c>
      <c r="N313">
        <v>0</v>
      </c>
      <c r="O313" t="str" cm="1">
        <f t="array" ref="O313">_xlfn.IFS(Table1[[#This Row],[Divorced]]=1, "Divorced", Table1[[#This Row],[Married]]=1, "Married", Table1[[#This Row],[Single]]=1, "Single", Table1[[#This Row],[Together]]=1, "Together", Table1[[#This Row],[Widow]]=1, "Widow")</f>
        <v>Married</v>
      </c>
      <c r="P313" t="str" cm="1">
        <f t="array" ref="P313">_xlfn.IFS(Table1[[#This Row],[Basic]]=1, "Basic", Table1[[#This Row],[Graduate]]=1, "Graduate", Table1[[#This Row],[Master]]=1, "Master", Table1[[#This Row],[PhD]]=1, "PhD", AND(Table1[[#This Row],[Basic]]=0, Table1[[#This Row],[Graduate]]=0, Table1[[#This Row],[Master]]=0, Table1[[#This Row],[PhD]]=0), "NA")</f>
        <v>Graduate</v>
      </c>
      <c r="Q313" t="e">
        <f>_xlfn.XLOOKUP(Table1[[#This Row],[ID]], Table2[ID],#REF!, "Not Found", 0)</f>
        <v>#REF!</v>
      </c>
      <c r="R313" t="e">
        <f>_xlfn.XLOOKUP(Table1[[#This Row],[ID]], Table2[ID],#REF!, "Not Found", 0)</f>
        <v>#REF!</v>
      </c>
      <c r="S313" s="3">
        <f>_xlfn.XLOOKUP(Table1[[#This Row],[ID]], Table2[ID], Table2[Enrollment], "Not Found", 0)</f>
        <v>43621</v>
      </c>
      <c r="T313" t="s">
        <v>438</v>
      </c>
    </row>
    <row r="314" spans="1:20" x14ac:dyDescent="0.3">
      <c r="A314">
        <v>2086</v>
      </c>
      <c r="B314">
        <v>176045</v>
      </c>
      <c r="C314">
        <v>0</v>
      </c>
      <c r="D314">
        <v>0</v>
      </c>
      <c r="E314">
        <v>60</v>
      </c>
      <c r="F314">
        <v>0</v>
      </c>
      <c r="G314">
        <v>0</v>
      </c>
      <c r="H314">
        <v>1</v>
      </c>
      <c r="I314">
        <v>0</v>
      </c>
      <c r="J314">
        <v>0</v>
      </c>
      <c r="K314">
        <v>0</v>
      </c>
      <c r="L314">
        <v>0</v>
      </c>
      <c r="M314">
        <v>0</v>
      </c>
      <c r="N314">
        <v>1</v>
      </c>
      <c r="O314" t="str" cm="1">
        <f t="array" ref="O314">_xlfn.IFS(Table1[[#This Row],[Divorced]]=1, "Divorced", Table1[[#This Row],[Married]]=1, "Married", Table1[[#This Row],[Single]]=1, "Single", Table1[[#This Row],[Together]]=1, "Together", Table1[[#This Row],[Widow]]=1, "Widow")</f>
        <v>Single</v>
      </c>
      <c r="P314" t="str" cm="1">
        <f t="array" ref="P314">_xlfn.IFS(Table1[[#This Row],[Basic]]=1, "Basic", Table1[[#This Row],[Graduate]]=1, "Graduate", Table1[[#This Row],[Master]]=1, "Master", Table1[[#This Row],[PhD]]=1, "PhD", AND(Table1[[#This Row],[Basic]]=0, Table1[[#This Row],[Graduate]]=0, Table1[[#This Row],[Master]]=0, Table1[[#This Row],[PhD]]=0), "NA")</f>
        <v>PhD</v>
      </c>
      <c r="Q314" t="e">
        <f>_xlfn.XLOOKUP(Table1[[#This Row],[ID]], Table2[ID],#REF!, "Not Found", 0)</f>
        <v>#REF!</v>
      </c>
      <c r="R314" t="e">
        <f>_xlfn.XLOOKUP(Table1[[#This Row],[ID]], Table2[ID],#REF!, "Not Found", 0)</f>
        <v>#REF!</v>
      </c>
      <c r="S314" s="3" t="str">
        <f>_xlfn.XLOOKUP(Table1[[#This Row],[ID]], Table2[ID], Table2[Enrollment], "Not Found", 0)</f>
        <v>4/21/2020</v>
      </c>
      <c r="T314" t="s">
        <v>439</v>
      </c>
    </row>
    <row r="315" spans="1:20" x14ac:dyDescent="0.3">
      <c r="A315">
        <v>1476</v>
      </c>
      <c r="B315">
        <v>176005</v>
      </c>
      <c r="C315">
        <v>0</v>
      </c>
      <c r="D315">
        <v>0</v>
      </c>
      <c r="E315">
        <v>65</v>
      </c>
      <c r="F315">
        <v>0</v>
      </c>
      <c r="G315">
        <v>0</v>
      </c>
      <c r="H315">
        <v>0</v>
      </c>
      <c r="I315">
        <v>1</v>
      </c>
      <c r="J315">
        <v>0</v>
      </c>
      <c r="K315">
        <v>0</v>
      </c>
      <c r="L315">
        <v>1</v>
      </c>
      <c r="M315">
        <v>0</v>
      </c>
      <c r="N315">
        <v>0</v>
      </c>
      <c r="O315" t="str" cm="1">
        <f t="array" ref="O315">_xlfn.IFS(Table1[[#This Row],[Divorced]]=1, "Divorced", Table1[[#This Row],[Married]]=1, "Married", Table1[[#This Row],[Single]]=1, "Single", Table1[[#This Row],[Together]]=1, "Together", Table1[[#This Row],[Widow]]=1, "Widow")</f>
        <v>Together</v>
      </c>
      <c r="P315" t="str" cm="1">
        <f t="array" ref="P315">_xlfn.IFS(Table1[[#This Row],[Basic]]=1, "Basic", Table1[[#This Row],[Graduate]]=1, "Graduate", Table1[[#This Row],[Master]]=1, "Master", Table1[[#This Row],[PhD]]=1, "PhD", AND(Table1[[#This Row],[Basic]]=0, Table1[[#This Row],[Graduate]]=0, Table1[[#This Row],[Master]]=0, Table1[[#This Row],[PhD]]=0), "NA")</f>
        <v>Graduate</v>
      </c>
      <c r="Q315" t="e">
        <f>_xlfn.XLOOKUP(Table1[[#This Row],[ID]], Table2[ID],#REF!, "Not Found", 0)</f>
        <v>#REF!</v>
      </c>
      <c r="R315" t="e">
        <f>_xlfn.XLOOKUP(Table1[[#This Row],[ID]], Table2[ID],#REF!, "Not Found", 0)</f>
        <v>#REF!</v>
      </c>
      <c r="S315" s="3" t="str">
        <f>_xlfn.XLOOKUP(Table1[[#This Row],[ID]], Table2[ID], Table2[Enrollment], "Not Found", 0)</f>
        <v>7/30/2019</v>
      </c>
      <c r="T315" t="s">
        <v>436</v>
      </c>
    </row>
    <row r="316" spans="1:20" x14ac:dyDescent="0.3">
      <c r="A316">
        <v>1189</v>
      </c>
      <c r="B316">
        <v>175922</v>
      </c>
      <c r="C316">
        <v>0</v>
      </c>
      <c r="D316">
        <v>0</v>
      </c>
      <c r="E316">
        <v>52</v>
      </c>
      <c r="F316">
        <v>0</v>
      </c>
      <c r="G316">
        <v>0</v>
      </c>
      <c r="H316">
        <v>1</v>
      </c>
      <c r="I316">
        <v>0</v>
      </c>
      <c r="J316">
        <v>0</v>
      </c>
      <c r="K316">
        <v>0</v>
      </c>
      <c r="L316">
        <v>1</v>
      </c>
      <c r="M316">
        <v>0</v>
      </c>
      <c r="N316">
        <v>0</v>
      </c>
      <c r="O316" t="str" cm="1">
        <f t="array" ref="O316">_xlfn.IFS(Table1[[#This Row],[Divorced]]=1, "Divorced", Table1[[#This Row],[Married]]=1, "Married", Table1[[#This Row],[Single]]=1, "Single", Table1[[#This Row],[Together]]=1, "Together", Table1[[#This Row],[Widow]]=1, "Widow")</f>
        <v>Single</v>
      </c>
      <c r="P316" t="str" cm="1">
        <f t="array" ref="P316">_xlfn.IFS(Table1[[#This Row],[Basic]]=1, "Basic", Table1[[#This Row],[Graduate]]=1, "Graduate", Table1[[#This Row],[Master]]=1, "Master", Table1[[#This Row],[PhD]]=1, "PhD", AND(Table1[[#This Row],[Basic]]=0, Table1[[#This Row],[Graduate]]=0, Table1[[#This Row],[Master]]=0, Table1[[#This Row],[PhD]]=0), "NA")</f>
        <v>Graduate</v>
      </c>
      <c r="Q316" t="e">
        <f>_xlfn.XLOOKUP(Table1[[#This Row],[ID]], Table2[ID],#REF!, "Not Found", 0)</f>
        <v>#REF!</v>
      </c>
      <c r="R316" t="e">
        <f>_xlfn.XLOOKUP(Table1[[#This Row],[ID]], Table2[ID],#REF!, "Not Found", 0)</f>
        <v>#REF!</v>
      </c>
      <c r="S316" s="3" t="str">
        <f>_xlfn.XLOOKUP(Table1[[#This Row],[ID]], Table2[ID], Table2[Enrollment], "Not Found", 0)</f>
        <v>5/15/2020</v>
      </c>
      <c r="T316" t="s">
        <v>437</v>
      </c>
    </row>
    <row r="317" spans="1:20" x14ac:dyDescent="0.3">
      <c r="A317">
        <v>2909</v>
      </c>
      <c r="B317">
        <v>175903</v>
      </c>
      <c r="C317">
        <v>0</v>
      </c>
      <c r="D317">
        <v>1</v>
      </c>
      <c r="E317">
        <v>69</v>
      </c>
      <c r="F317">
        <v>0</v>
      </c>
      <c r="G317">
        <v>1</v>
      </c>
      <c r="H317">
        <v>0</v>
      </c>
      <c r="I317">
        <v>0</v>
      </c>
      <c r="J317">
        <v>0</v>
      </c>
      <c r="K317">
        <v>0</v>
      </c>
      <c r="L317">
        <v>1</v>
      </c>
      <c r="M317">
        <v>0</v>
      </c>
      <c r="N317">
        <v>0</v>
      </c>
      <c r="O317" t="str" cm="1">
        <f t="array" ref="O317">_xlfn.IFS(Table1[[#This Row],[Divorced]]=1, "Divorced", Table1[[#This Row],[Married]]=1, "Married", Table1[[#This Row],[Single]]=1, "Single", Table1[[#This Row],[Together]]=1, "Together", Table1[[#This Row],[Widow]]=1, "Widow")</f>
        <v>Married</v>
      </c>
      <c r="P317" t="str" cm="1">
        <f t="array" ref="P317">_xlfn.IFS(Table1[[#This Row],[Basic]]=1, "Basic", Table1[[#This Row],[Graduate]]=1, "Graduate", Table1[[#This Row],[Master]]=1, "Master", Table1[[#This Row],[PhD]]=1, "PhD", AND(Table1[[#This Row],[Basic]]=0, Table1[[#This Row],[Graduate]]=0, Table1[[#This Row],[Master]]=0, Table1[[#This Row],[PhD]]=0), "NA")</f>
        <v>Graduate</v>
      </c>
      <c r="Q317" t="e">
        <f>_xlfn.XLOOKUP(Table1[[#This Row],[ID]], Table2[ID],#REF!, "Not Found", 0)</f>
        <v>#REF!</v>
      </c>
      <c r="R317" t="e">
        <f>_xlfn.XLOOKUP(Table1[[#This Row],[ID]], Table2[ID],#REF!, "Not Found", 0)</f>
        <v>#REF!</v>
      </c>
      <c r="S317" s="3" t="str">
        <f>_xlfn.XLOOKUP(Table1[[#This Row],[ID]], Table2[ID], Table2[Enrollment], "Not Found", 0)</f>
        <v>9/13/2019</v>
      </c>
      <c r="T317" t="s">
        <v>434</v>
      </c>
    </row>
    <row r="318" spans="1:20" x14ac:dyDescent="0.3">
      <c r="A318">
        <v>1399</v>
      </c>
      <c r="B318">
        <v>175865</v>
      </c>
      <c r="C318">
        <v>0</v>
      </c>
      <c r="D318">
        <v>0</v>
      </c>
      <c r="E318">
        <v>77</v>
      </c>
      <c r="F318">
        <v>0</v>
      </c>
      <c r="G318">
        <v>1</v>
      </c>
      <c r="H318">
        <v>0</v>
      </c>
      <c r="I318">
        <v>0</v>
      </c>
      <c r="J318">
        <v>0</v>
      </c>
      <c r="K318">
        <v>0</v>
      </c>
      <c r="L318">
        <v>0</v>
      </c>
      <c r="M318">
        <v>0</v>
      </c>
      <c r="N318">
        <v>1</v>
      </c>
      <c r="O318" t="str" cm="1">
        <f t="array" ref="O318">_xlfn.IFS(Table1[[#This Row],[Divorced]]=1, "Divorced", Table1[[#This Row],[Married]]=1, "Married", Table1[[#This Row],[Single]]=1, "Single", Table1[[#This Row],[Together]]=1, "Together", Table1[[#This Row],[Widow]]=1, "Widow")</f>
        <v>Married</v>
      </c>
      <c r="P318" t="str" cm="1">
        <f t="array" ref="P318">_xlfn.IFS(Table1[[#This Row],[Basic]]=1, "Basic", Table1[[#This Row],[Graduate]]=1, "Graduate", Table1[[#This Row],[Master]]=1, "Master", Table1[[#This Row],[PhD]]=1, "PhD", AND(Table1[[#This Row],[Basic]]=0, Table1[[#This Row],[Graduate]]=0, Table1[[#This Row],[Master]]=0, Table1[[#This Row],[PhD]]=0), "NA")</f>
        <v>PhD</v>
      </c>
      <c r="Q318" t="e">
        <f>_xlfn.XLOOKUP(Table1[[#This Row],[ID]], Table2[ID],#REF!, "Not Found", 0)</f>
        <v>#REF!</v>
      </c>
      <c r="R318" t="e">
        <f>_xlfn.XLOOKUP(Table1[[#This Row],[ID]], Table2[ID],#REF!, "Not Found", 0)</f>
        <v>#REF!</v>
      </c>
      <c r="S318" s="3">
        <f>_xlfn.XLOOKUP(Table1[[#This Row],[ID]], Table2[ID], Table2[Enrollment], "Not Found", 0)</f>
        <v>43930</v>
      </c>
      <c r="T318" t="s">
        <v>437</v>
      </c>
    </row>
    <row r="319" spans="1:20" x14ac:dyDescent="0.3">
      <c r="A319">
        <v>1072</v>
      </c>
      <c r="B319">
        <v>175825</v>
      </c>
      <c r="C319">
        <v>0</v>
      </c>
      <c r="D319">
        <v>0</v>
      </c>
      <c r="E319">
        <v>44</v>
      </c>
      <c r="F319">
        <v>0</v>
      </c>
      <c r="G319">
        <v>0</v>
      </c>
      <c r="H319">
        <v>1</v>
      </c>
      <c r="I319">
        <v>0</v>
      </c>
      <c r="J319">
        <v>0</v>
      </c>
      <c r="K319">
        <v>0</v>
      </c>
      <c r="L319">
        <v>1</v>
      </c>
      <c r="M319">
        <v>0</v>
      </c>
      <c r="N319">
        <v>0</v>
      </c>
      <c r="O319" t="str" cm="1">
        <f t="array" ref="O319">_xlfn.IFS(Table1[[#This Row],[Divorced]]=1, "Divorced", Table1[[#This Row],[Married]]=1, "Married", Table1[[#This Row],[Single]]=1, "Single", Table1[[#This Row],[Together]]=1, "Together", Table1[[#This Row],[Widow]]=1, "Widow")</f>
        <v>Single</v>
      </c>
      <c r="P319" t="str" cm="1">
        <f t="array" ref="P319">_xlfn.IFS(Table1[[#This Row],[Basic]]=1, "Basic", Table1[[#This Row],[Graduate]]=1, "Graduate", Table1[[#This Row],[Master]]=1, "Master", Table1[[#This Row],[PhD]]=1, "PhD", AND(Table1[[#This Row],[Basic]]=0, Table1[[#This Row],[Graduate]]=0, Table1[[#This Row],[Master]]=0, Table1[[#This Row],[PhD]]=0), "NA")</f>
        <v>Graduate</v>
      </c>
      <c r="Q319" t="e">
        <f>_xlfn.XLOOKUP(Table1[[#This Row],[ID]], Table2[ID],#REF!, "Not Found", 0)</f>
        <v>#REF!</v>
      </c>
      <c r="R319" t="e">
        <f>_xlfn.XLOOKUP(Table1[[#This Row],[ID]], Table2[ID],#REF!, "Not Found", 0)</f>
        <v>#REF!</v>
      </c>
      <c r="S319" s="3" t="str">
        <f>_xlfn.XLOOKUP(Table1[[#This Row],[ID]], Table2[ID], Table2[Enrollment], "Not Found", 0)</f>
        <v>3/19/2019</v>
      </c>
      <c r="T319" t="s">
        <v>439</v>
      </c>
    </row>
    <row r="320" spans="1:20" x14ac:dyDescent="0.3">
      <c r="A320">
        <v>2565</v>
      </c>
      <c r="B320">
        <v>175794</v>
      </c>
      <c r="C320">
        <v>0</v>
      </c>
      <c r="D320">
        <v>0</v>
      </c>
      <c r="E320">
        <v>33</v>
      </c>
      <c r="F320">
        <v>0</v>
      </c>
      <c r="G320">
        <v>1</v>
      </c>
      <c r="H320">
        <v>0</v>
      </c>
      <c r="I320">
        <v>0</v>
      </c>
      <c r="J320">
        <v>0</v>
      </c>
      <c r="K320">
        <v>0</v>
      </c>
      <c r="L320">
        <v>1</v>
      </c>
      <c r="M320">
        <v>0</v>
      </c>
      <c r="N320">
        <v>0</v>
      </c>
      <c r="O320" t="str" cm="1">
        <f t="array" ref="O320">_xlfn.IFS(Table1[[#This Row],[Divorced]]=1, "Divorced", Table1[[#This Row],[Married]]=1, "Married", Table1[[#This Row],[Single]]=1, "Single", Table1[[#This Row],[Together]]=1, "Together", Table1[[#This Row],[Widow]]=1, "Widow")</f>
        <v>Married</v>
      </c>
      <c r="P320" t="str" cm="1">
        <f t="array" ref="P320">_xlfn.IFS(Table1[[#This Row],[Basic]]=1, "Basic", Table1[[#This Row],[Graduate]]=1, "Graduate", Table1[[#This Row],[Master]]=1, "Master", Table1[[#This Row],[PhD]]=1, "PhD", AND(Table1[[#This Row],[Basic]]=0, Table1[[#This Row],[Graduate]]=0, Table1[[#This Row],[Master]]=0, Table1[[#This Row],[PhD]]=0), "NA")</f>
        <v>Graduate</v>
      </c>
      <c r="Q320" t="e">
        <f>_xlfn.XLOOKUP(Table1[[#This Row],[ID]], Table2[ID],#REF!, "Not Found", 0)</f>
        <v>#REF!</v>
      </c>
      <c r="R320" t="e">
        <f>_xlfn.XLOOKUP(Table1[[#This Row],[ID]], Table2[ID],#REF!, "Not Found", 0)</f>
        <v>#REF!</v>
      </c>
      <c r="S320" s="3" t="str">
        <f>_xlfn.XLOOKUP(Table1[[#This Row],[ID]], Table2[ID], Table2[Enrollment], "Not Found", 0)</f>
        <v>5/30/2020</v>
      </c>
      <c r="T320" t="s">
        <v>435</v>
      </c>
    </row>
    <row r="321" spans="1:20" x14ac:dyDescent="0.3">
      <c r="A321">
        <v>1056</v>
      </c>
      <c r="B321">
        <v>175777</v>
      </c>
      <c r="C321">
        <v>0</v>
      </c>
      <c r="D321">
        <v>0</v>
      </c>
      <c r="E321">
        <v>38</v>
      </c>
      <c r="F321">
        <v>0</v>
      </c>
      <c r="G321">
        <v>0</v>
      </c>
      <c r="H321">
        <v>1</v>
      </c>
      <c r="I321">
        <v>0</v>
      </c>
      <c r="J321">
        <v>0</v>
      </c>
      <c r="K321">
        <v>0</v>
      </c>
      <c r="L321">
        <v>0</v>
      </c>
      <c r="M321">
        <v>1</v>
      </c>
      <c r="N321">
        <v>0</v>
      </c>
      <c r="O321" t="str" cm="1">
        <f t="array" ref="O321">_xlfn.IFS(Table1[[#This Row],[Divorced]]=1, "Divorced", Table1[[#This Row],[Married]]=1, "Married", Table1[[#This Row],[Single]]=1, "Single", Table1[[#This Row],[Together]]=1, "Together", Table1[[#This Row],[Widow]]=1, "Widow")</f>
        <v>Single</v>
      </c>
      <c r="P321" t="str" cm="1">
        <f t="array" ref="P321">_xlfn.IFS(Table1[[#This Row],[Basic]]=1, "Basic", Table1[[#This Row],[Graduate]]=1, "Graduate", Table1[[#This Row],[Master]]=1, "Master", Table1[[#This Row],[PhD]]=1, "PhD", AND(Table1[[#This Row],[Basic]]=0, Table1[[#This Row],[Graduate]]=0, Table1[[#This Row],[Master]]=0, Table1[[#This Row],[PhD]]=0), "NA")</f>
        <v>Master</v>
      </c>
      <c r="Q321" t="e">
        <f>_xlfn.XLOOKUP(Table1[[#This Row],[ID]], Table2[ID],#REF!, "Not Found", 0)</f>
        <v>#REF!</v>
      </c>
      <c r="R321" t="e">
        <f>_xlfn.XLOOKUP(Table1[[#This Row],[ID]], Table2[ID],#REF!, "Not Found", 0)</f>
        <v>#REF!</v>
      </c>
      <c r="S321" s="3">
        <f>_xlfn.XLOOKUP(Table1[[#This Row],[ID]], Table2[ID], Table2[Enrollment], "Not Found", 0)</f>
        <v>43720</v>
      </c>
      <c r="T321" t="s">
        <v>436</v>
      </c>
    </row>
    <row r="322" spans="1:20" x14ac:dyDescent="0.3">
      <c r="A322">
        <v>3189</v>
      </c>
      <c r="B322">
        <v>175777</v>
      </c>
      <c r="C322">
        <v>0</v>
      </c>
      <c r="D322">
        <v>0</v>
      </c>
      <c r="E322">
        <v>38</v>
      </c>
      <c r="F322">
        <v>0</v>
      </c>
      <c r="G322">
        <v>0</v>
      </c>
      <c r="H322">
        <v>1</v>
      </c>
      <c r="I322">
        <v>0</v>
      </c>
      <c r="J322">
        <v>0</v>
      </c>
      <c r="K322">
        <v>0</v>
      </c>
      <c r="L322">
        <v>0</v>
      </c>
      <c r="M322">
        <v>1</v>
      </c>
      <c r="N322">
        <v>0</v>
      </c>
      <c r="O322" t="str" cm="1">
        <f t="array" ref="O322">_xlfn.IFS(Table1[[#This Row],[Divorced]]=1, "Divorced", Table1[[#This Row],[Married]]=1, "Married", Table1[[#This Row],[Single]]=1, "Single", Table1[[#This Row],[Together]]=1, "Together", Table1[[#This Row],[Widow]]=1, "Widow")</f>
        <v>Single</v>
      </c>
      <c r="P322" t="str" cm="1">
        <f t="array" ref="P322">_xlfn.IFS(Table1[[#This Row],[Basic]]=1, "Basic", Table1[[#This Row],[Graduate]]=1, "Graduate", Table1[[#This Row],[Master]]=1, "Master", Table1[[#This Row],[PhD]]=1, "PhD", AND(Table1[[#This Row],[Basic]]=0, Table1[[#This Row],[Graduate]]=0, Table1[[#This Row],[Master]]=0, Table1[[#This Row],[PhD]]=0), "NA")</f>
        <v>Master</v>
      </c>
      <c r="Q322" t="e">
        <f>_xlfn.XLOOKUP(Table1[[#This Row],[ID]], Table2[ID],#REF!, "Not Found", 0)</f>
        <v>#REF!</v>
      </c>
      <c r="R322" t="e">
        <f>_xlfn.XLOOKUP(Table1[[#This Row],[ID]], Table2[ID],#REF!, "Not Found", 0)</f>
        <v>#REF!</v>
      </c>
      <c r="S322" s="3">
        <f>_xlfn.XLOOKUP(Table1[[#This Row],[ID]], Table2[ID], Table2[Enrollment], "Not Found", 0)</f>
        <v>43720</v>
      </c>
      <c r="T322" t="s">
        <v>435</v>
      </c>
    </row>
    <row r="323" spans="1:20" x14ac:dyDescent="0.3">
      <c r="A323">
        <v>2620</v>
      </c>
      <c r="B323">
        <v>175774</v>
      </c>
      <c r="C323">
        <v>1</v>
      </c>
      <c r="D323">
        <v>0</v>
      </c>
      <c r="E323">
        <v>39</v>
      </c>
      <c r="F323">
        <v>0</v>
      </c>
      <c r="G323">
        <v>0</v>
      </c>
      <c r="H323">
        <v>0</v>
      </c>
      <c r="I323">
        <v>1</v>
      </c>
      <c r="J323">
        <v>0</v>
      </c>
      <c r="K323">
        <v>0</v>
      </c>
      <c r="L323">
        <v>0</v>
      </c>
      <c r="M323">
        <v>0</v>
      </c>
      <c r="N323">
        <v>0</v>
      </c>
      <c r="O323" t="str" cm="1">
        <f t="array" ref="O323">_xlfn.IFS(Table1[[#This Row],[Divorced]]=1, "Divorced", Table1[[#This Row],[Married]]=1, "Married", Table1[[#This Row],[Single]]=1, "Single", Table1[[#This Row],[Together]]=1, "Together", Table1[[#This Row],[Widow]]=1, "Widow")</f>
        <v>Together</v>
      </c>
      <c r="P323" t="str" cm="1">
        <f t="array" ref="P323">_xlfn.IFS(Table1[[#This Row],[Basic]]=1, "Basic", Table1[[#This Row],[Graduate]]=1, "Graduate", Table1[[#This Row],[Master]]=1, "Master", Table1[[#This Row],[PhD]]=1, "PhD", AND(Table1[[#This Row],[Basic]]=0, Table1[[#This Row],[Graduate]]=0, Table1[[#This Row],[Master]]=0, Table1[[#This Row],[PhD]]=0), "NA")</f>
        <v>NA</v>
      </c>
      <c r="Q323" t="e">
        <f>_xlfn.XLOOKUP(Table1[[#This Row],[ID]], Table2[ID],#REF!, "Not Found", 0)</f>
        <v>#REF!</v>
      </c>
      <c r="R323" t="e">
        <f>_xlfn.XLOOKUP(Table1[[#This Row],[ID]], Table2[ID],#REF!, "Not Found", 0)</f>
        <v>#REF!</v>
      </c>
      <c r="S323" s="3">
        <f>_xlfn.XLOOKUP(Table1[[#This Row],[ID]], Table2[ID], Table2[Enrollment], "Not Found", 0)</f>
        <v>43992</v>
      </c>
      <c r="T323" t="s">
        <v>439</v>
      </c>
    </row>
    <row r="324" spans="1:20" x14ac:dyDescent="0.3">
      <c r="A324">
        <v>2774</v>
      </c>
      <c r="B324">
        <v>175774</v>
      </c>
      <c r="C324">
        <v>1</v>
      </c>
      <c r="D324">
        <v>0</v>
      </c>
      <c r="E324">
        <v>39</v>
      </c>
      <c r="F324">
        <v>0</v>
      </c>
      <c r="G324">
        <v>0</v>
      </c>
      <c r="H324">
        <v>0</v>
      </c>
      <c r="I324">
        <v>1</v>
      </c>
      <c r="J324">
        <v>0</v>
      </c>
      <c r="K324">
        <v>0</v>
      </c>
      <c r="L324">
        <v>0</v>
      </c>
      <c r="M324">
        <v>0</v>
      </c>
      <c r="N324">
        <v>0</v>
      </c>
      <c r="O324" t="str" cm="1">
        <f t="array" ref="O324">_xlfn.IFS(Table1[[#This Row],[Divorced]]=1, "Divorced", Table1[[#This Row],[Married]]=1, "Married", Table1[[#This Row],[Single]]=1, "Single", Table1[[#This Row],[Together]]=1, "Together", Table1[[#This Row],[Widow]]=1, "Widow")</f>
        <v>Together</v>
      </c>
      <c r="P324" t="str" cm="1">
        <f t="array" ref="P324">_xlfn.IFS(Table1[[#This Row],[Basic]]=1, "Basic", Table1[[#This Row],[Graduate]]=1, "Graduate", Table1[[#This Row],[Master]]=1, "Master", Table1[[#This Row],[PhD]]=1, "PhD", AND(Table1[[#This Row],[Basic]]=0, Table1[[#This Row],[Graduate]]=0, Table1[[#This Row],[Master]]=0, Table1[[#This Row],[PhD]]=0), "NA")</f>
        <v>NA</v>
      </c>
      <c r="Q324" t="e">
        <f>_xlfn.XLOOKUP(Table1[[#This Row],[ID]], Table2[ID],#REF!, "Not Found", 0)</f>
        <v>#REF!</v>
      </c>
      <c r="R324" t="e">
        <f>_xlfn.XLOOKUP(Table1[[#This Row],[ID]], Table2[ID],#REF!, "Not Found", 0)</f>
        <v>#REF!</v>
      </c>
      <c r="S324" s="3">
        <f>_xlfn.XLOOKUP(Table1[[#This Row],[ID]], Table2[ID], Table2[Enrollment], "Not Found", 0)</f>
        <v>43992</v>
      </c>
      <c r="T324" t="s">
        <v>438</v>
      </c>
    </row>
    <row r="325" spans="1:20" x14ac:dyDescent="0.3">
      <c r="A325">
        <v>1968</v>
      </c>
      <c r="B325">
        <v>175759</v>
      </c>
      <c r="C325">
        <v>0</v>
      </c>
      <c r="D325">
        <v>0</v>
      </c>
      <c r="E325">
        <v>51</v>
      </c>
      <c r="F325">
        <v>0</v>
      </c>
      <c r="G325">
        <v>1</v>
      </c>
      <c r="H325">
        <v>0</v>
      </c>
      <c r="I325">
        <v>0</v>
      </c>
      <c r="J325">
        <v>0</v>
      </c>
      <c r="K325">
        <v>0</v>
      </c>
      <c r="L325">
        <v>1</v>
      </c>
      <c r="M325">
        <v>0</v>
      </c>
      <c r="N325">
        <v>0</v>
      </c>
      <c r="O325" t="str" cm="1">
        <f t="array" ref="O325">_xlfn.IFS(Table1[[#This Row],[Divorced]]=1, "Divorced", Table1[[#This Row],[Married]]=1, "Married", Table1[[#This Row],[Single]]=1, "Single", Table1[[#This Row],[Together]]=1, "Together", Table1[[#This Row],[Widow]]=1, "Widow")</f>
        <v>Married</v>
      </c>
      <c r="P325" t="str" cm="1">
        <f t="array" ref="P325">_xlfn.IFS(Table1[[#This Row],[Basic]]=1, "Basic", Table1[[#This Row],[Graduate]]=1, "Graduate", Table1[[#This Row],[Master]]=1, "Master", Table1[[#This Row],[PhD]]=1, "PhD", AND(Table1[[#This Row],[Basic]]=0, Table1[[#This Row],[Graduate]]=0, Table1[[#This Row],[Master]]=0, Table1[[#This Row],[PhD]]=0), "NA")</f>
        <v>Graduate</v>
      </c>
      <c r="Q325" t="e">
        <f>_xlfn.XLOOKUP(Table1[[#This Row],[ID]], Table2[ID],#REF!, "Not Found", 0)</f>
        <v>#REF!</v>
      </c>
      <c r="R325" t="e">
        <f>_xlfn.XLOOKUP(Table1[[#This Row],[ID]], Table2[ID],#REF!, "Not Found", 0)</f>
        <v>#REF!</v>
      </c>
      <c r="S325" s="3" t="str">
        <f>_xlfn.XLOOKUP(Table1[[#This Row],[ID]], Table2[ID], Table2[Enrollment], "Not Found", 0)</f>
        <v>3/31/2020</v>
      </c>
      <c r="T325" t="s">
        <v>436</v>
      </c>
    </row>
    <row r="326" spans="1:20" x14ac:dyDescent="0.3">
      <c r="A326">
        <v>1241</v>
      </c>
      <c r="B326">
        <v>175702</v>
      </c>
      <c r="C326">
        <v>1</v>
      </c>
      <c r="D326">
        <v>1</v>
      </c>
      <c r="E326">
        <v>53</v>
      </c>
      <c r="F326">
        <v>0</v>
      </c>
      <c r="G326">
        <v>0</v>
      </c>
      <c r="H326">
        <v>0</v>
      </c>
      <c r="I326">
        <v>1</v>
      </c>
      <c r="J326">
        <v>0</v>
      </c>
      <c r="K326">
        <v>0</v>
      </c>
      <c r="L326">
        <v>1</v>
      </c>
      <c r="M326">
        <v>0</v>
      </c>
      <c r="N326">
        <v>0</v>
      </c>
      <c r="O326" t="str" cm="1">
        <f t="array" ref="O326">_xlfn.IFS(Table1[[#This Row],[Divorced]]=1, "Divorced", Table1[[#This Row],[Married]]=1, "Married", Table1[[#This Row],[Single]]=1, "Single", Table1[[#This Row],[Together]]=1, "Together", Table1[[#This Row],[Widow]]=1, "Widow")</f>
        <v>Together</v>
      </c>
      <c r="P326" t="str" cm="1">
        <f t="array" ref="P326">_xlfn.IFS(Table1[[#This Row],[Basic]]=1, "Basic", Table1[[#This Row],[Graduate]]=1, "Graduate", Table1[[#This Row],[Master]]=1, "Master", Table1[[#This Row],[PhD]]=1, "PhD", AND(Table1[[#This Row],[Basic]]=0, Table1[[#This Row],[Graduate]]=0, Table1[[#This Row],[Master]]=0, Table1[[#This Row],[PhD]]=0), "NA")</f>
        <v>Graduate</v>
      </c>
      <c r="Q326" t="e">
        <f>_xlfn.XLOOKUP(Table1[[#This Row],[ID]], Table2[ID],#REF!, "Not Found", 0)</f>
        <v>#REF!</v>
      </c>
      <c r="R326" t="e">
        <f>_xlfn.XLOOKUP(Table1[[#This Row],[ID]], Table2[ID],#REF!, "Not Found", 0)</f>
        <v>#REF!</v>
      </c>
      <c r="S326" s="3">
        <f>_xlfn.XLOOKUP(Table1[[#This Row],[ID]], Table2[ID], Table2[Enrollment], "Not Found", 0)</f>
        <v>43526</v>
      </c>
      <c r="T326" t="s">
        <v>434</v>
      </c>
    </row>
    <row r="327" spans="1:20" x14ac:dyDescent="0.3">
      <c r="A327">
        <v>2776</v>
      </c>
      <c r="B327">
        <v>175702</v>
      </c>
      <c r="C327">
        <v>0</v>
      </c>
      <c r="D327">
        <v>1</v>
      </c>
      <c r="E327">
        <v>46</v>
      </c>
      <c r="F327">
        <v>0</v>
      </c>
      <c r="G327">
        <v>0</v>
      </c>
      <c r="H327">
        <v>0</v>
      </c>
      <c r="I327">
        <v>1</v>
      </c>
      <c r="J327">
        <v>0</v>
      </c>
      <c r="K327">
        <v>0</v>
      </c>
      <c r="L327">
        <v>1</v>
      </c>
      <c r="M327">
        <v>0</v>
      </c>
      <c r="N327">
        <v>0</v>
      </c>
      <c r="O327" t="str" cm="1">
        <f t="array" ref="O327">_xlfn.IFS(Table1[[#This Row],[Divorced]]=1, "Divorced", Table1[[#This Row],[Married]]=1, "Married", Table1[[#This Row],[Single]]=1, "Single", Table1[[#This Row],[Together]]=1, "Together", Table1[[#This Row],[Widow]]=1, "Widow")</f>
        <v>Together</v>
      </c>
      <c r="P327" t="str" cm="1">
        <f t="array" ref="P327">_xlfn.IFS(Table1[[#This Row],[Basic]]=1, "Basic", Table1[[#This Row],[Graduate]]=1, "Graduate", Table1[[#This Row],[Master]]=1, "Master", Table1[[#This Row],[PhD]]=1, "PhD", AND(Table1[[#This Row],[Basic]]=0, Table1[[#This Row],[Graduate]]=0, Table1[[#This Row],[Master]]=0, Table1[[#This Row],[PhD]]=0), "NA")</f>
        <v>Graduate</v>
      </c>
      <c r="Q327" t="e">
        <f>_xlfn.XLOOKUP(Table1[[#This Row],[ID]], Table2[ID],#REF!, "Not Found", 0)</f>
        <v>#REF!</v>
      </c>
      <c r="R327" t="e">
        <f>_xlfn.XLOOKUP(Table1[[#This Row],[ID]], Table2[ID],#REF!, "Not Found", 0)</f>
        <v>#REF!</v>
      </c>
      <c r="S327" s="3" t="str">
        <f>_xlfn.XLOOKUP(Table1[[#This Row],[ID]], Table2[ID], Table2[Enrollment], "Not Found", 0)</f>
        <v>3/21/2019</v>
      </c>
      <c r="T327" t="s">
        <v>439</v>
      </c>
    </row>
    <row r="328" spans="1:20" x14ac:dyDescent="0.3">
      <c r="A328">
        <v>1321</v>
      </c>
      <c r="B328">
        <v>175693</v>
      </c>
      <c r="C328">
        <v>0</v>
      </c>
      <c r="D328">
        <v>0</v>
      </c>
      <c r="E328">
        <v>52</v>
      </c>
      <c r="F328">
        <v>1</v>
      </c>
      <c r="G328">
        <v>0</v>
      </c>
      <c r="H328">
        <v>0</v>
      </c>
      <c r="I328">
        <v>0</v>
      </c>
      <c r="J328">
        <v>0</v>
      </c>
      <c r="K328">
        <v>0</v>
      </c>
      <c r="L328">
        <v>1</v>
      </c>
      <c r="M328">
        <v>0</v>
      </c>
      <c r="N328">
        <v>0</v>
      </c>
      <c r="O328" t="str" cm="1">
        <f t="array" ref="O328">_xlfn.IFS(Table1[[#This Row],[Divorced]]=1, "Divorced", Table1[[#This Row],[Married]]=1, "Married", Table1[[#This Row],[Single]]=1, "Single", Table1[[#This Row],[Together]]=1, "Together", Table1[[#This Row],[Widow]]=1, "Widow")</f>
        <v>Divorced</v>
      </c>
      <c r="P328" t="str" cm="1">
        <f t="array" ref="P328">_xlfn.IFS(Table1[[#This Row],[Basic]]=1, "Basic", Table1[[#This Row],[Graduate]]=1, "Graduate", Table1[[#This Row],[Master]]=1, "Master", Table1[[#This Row],[PhD]]=1, "PhD", AND(Table1[[#This Row],[Basic]]=0, Table1[[#This Row],[Graduate]]=0, Table1[[#This Row],[Master]]=0, Table1[[#This Row],[PhD]]=0), "NA")</f>
        <v>Graduate</v>
      </c>
      <c r="Q328" t="e">
        <f>_xlfn.XLOOKUP(Table1[[#This Row],[ID]], Table2[ID],#REF!, "Not Found", 0)</f>
        <v>#REF!</v>
      </c>
      <c r="R328" t="e">
        <f>_xlfn.XLOOKUP(Table1[[#This Row],[ID]], Table2[ID],#REF!, "Not Found", 0)</f>
        <v>#REF!</v>
      </c>
      <c r="S328" s="3" t="str">
        <f>_xlfn.XLOOKUP(Table1[[#This Row],[ID]], Table2[ID], Table2[Enrollment], "Not Found", 0)</f>
        <v>5/13/2019</v>
      </c>
      <c r="T328" t="s">
        <v>437</v>
      </c>
    </row>
    <row r="329" spans="1:20" x14ac:dyDescent="0.3">
      <c r="A329">
        <v>1735</v>
      </c>
      <c r="B329">
        <v>175507</v>
      </c>
      <c r="C329">
        <v>0</v>
      </c>
      <c r="D329">
        <v>0</v>
      </c>
      <c r="E329">
        <v>41</v>
      </c>
      <c r="F329">
        <v>0</v>
      </c>
      <c r="G329">
        <v>0</v>
      </c>
      <c r="H329">
        <v>0</v>
      </c>
      <c r="I329">
        <v>1</v>
      </c>
      <c r="J329">
        <v>0</v>
      </c>
      <c r="K329">
        <v>0</v>
      </c>
      <c r="L329">
        <v>1</v>
      </c>
      <c r="M329">
        <v>0</v>
      </c>
      <c r="N329">
        <v>0</v>
      </c>
      <c r="O329" t="str" cm="1">
        <f t="array" ref="O329">_xlfn.IFS(Table1[[#This Row],[Divorced]]=1, "Divorced", Table1[[#This Row],[Married]]=1, "Married", Table1[[#This Row],[Single]]=1, "Single", Table1[[#This Row],[Together]]=1, "Together", Table1[[#This Row],[Widow]]=1, "Widow")</f>
        <v>Together</v>
      </c>
      <c r="P329" t="str" cm="1">
        <f t="array" ref="P329">_xlfn.IFS(Table1[[#This Row],[Basic]]=1, "Basic", Table1[[#This Row],[Graduate]]=1, "Graduate", Table1[[#This Row],[Master]]=1, "Master", Table1[[#This Row],[PhD]]=1, "PhD", AND(Table1[[#This Row],[Basic]]=0, Table1[[#This Row],[Graduate]]=0, Table1[[#This Row],[Master]]=0, Table1[[#This Row],[PhD]]=0), "NA")</f>
        <v>Graduate</v>
      </c>
      <c r="Q329" t="e">
        <f>_xlfn.XLOOKUP(Table1[[#This Row],[ID]], Table2[ID],#REF!, "Not Found", 0)</f>
        <v>#REF!</v>
      </c>
      <c r="R329" t="e">
        <f>_xlfn.XLOOKUP(Table1[[#This Row],[ID]], Table2[ID],#REF!, "Not Found", 0)</f>
        <v>#REF!</v>
      </c>
      <c r="S329" s="3">
        <f>_xlfn.XLOOKUP(Table1[[#This Row],[ID]], Table2[ID], Table2[Enrollment], "Not Found", 0)</f>
        <v>43992</v>
      </c>
      <c r="T329" t="s">
        <v>437</v>
      </c>
    </row>
    <row r="330" spans="1:20" x14ac:dyDescent="0.3">
      <c r="A330">
        <v>2365</v>
      </c>
      <c r="B330">
        <v>175507</v>
      </c>
      <c r="C330">
        <v>0</v>
      </c>
      <c r="D330">
        <v>0</v>
      </c>
      <c r="E330">
        <v>41</v>
      </c>
      <c r="F330">
        <v>0</v>
      </c>
      <c r="G330">
        <v>0</v>
      </c>
      <c r="H330">
        <v>0</v>
      </c>
      <c r="I330">
        <v>1</v>
      </c>
      <c r="J330">
        <v>0</v>
      </c>
      <c r="K330">
        <v>0</v>
      </c>
      <c r="L330">
        <v>1</v>
      </c>
      <c r="M330">
        <v>0</v>
      </c>
      <c r="N330">
        <v>0</v>
      </c>
      <c r="O330" t="str" cm="1">
        <f t="array" ref="O330">_xlfn.IFS(Table1[[#This Row],[Divorced]]=1, "Divorced", Table1[[#This Row],[Married]]=1, "Married", Table1[[#This Row],[Single]]=1, "Single", Table1[[#This Row],[Together]]=1, "Together", Table1[[#This Row],[Widow]]=1, "Widow")</f>
        <v>Together</v>
      </c>
      <c r="P330" t="str" cm="1">
        <f t="array" ref="P330">_xlfn.IFS(Table1[[#This Row],[Basic]]=1, "Basic", Table1[[#This Row],[Graduate]]=1, "Graduate", Table1[[#This Row],[Master]]=1, "Master", Table1[[#This Row],[PhD]]=1, "PhD", AND(Table1[[#This Row],[Basic]]=0, Table1[[#This Row],[Graduate]]=0, Table1[[#This Row],[Master]]=0, Table1[[#This Row],[PhD]]=0), "NA")</f>
        <v>Graduate</v>
      </c>
      <c r="Q330" t="e">
        <f>_xlfn.XLOOKUP(Table1[[#This Row],[ID]], Table2[ID],#REF!, "Not Found", 0)</f>
        <v>#REF!</v>
      </c>
      <c r="R330" t="e">
        <f>_xlfn.XLOOKUP(Table1[[#This Row],[ID]], Table2[ID],#REF!, "Not Found", 0)</f>
        <v>#REF!</v>
      </c>
      <c r="S330" s="3">
        <f>_xlfn.XLOOKUP(Table1[[#This Row],[ID]], Table2[ID], Table2[Enrollment], "Not Found", 0)</f>
        <v>43992</v>
      </c>
      <c r="T330" t="s">
        <v>437</v>
      </c>
    </row>
    <row r="331" spans="1:20" x14ac:dyDescent="0.3">
      <c r="A331">
        <v>2460</v>
      </c>
      <c r="B331">
        <v>175484</v>
      </c>
      <c r="C331">
        <v>0</v>
      </c>
      <c r="D331">
        <v>1</v>
      </c>
      <c r="E331">
        <v>44</v>
      </c>
      <c r="F331">
        <v>0</v>
      </c>
      <c r="G331">
        <v>0</v>
      </c>
      <c r="H331">
        <v>0</v>
      </c>
      <c r="I331">
        <v>1</v>
      </c>
      <c r="J331">
        <v>0</v>
      </c>
      <c r="K331">
        <v>0</v>
      </c>
      <c r="L331">
        <v>0</v>
      </c>
      <c r="M331">
        <v>0</v>
      </c>
      <c r="N331">
        <v>0</v>
      </c>
      <c r="O331" t="str" cm="1">
        <f t="array" ref="O331">_xlfn.IFS(Table1[[#This Row],[Divorced]]=1, "Divorced", Table1[[#This Row],[Married]]=1, "Married", Table1[[#This Row],[Single]]=1, "Single", Table1[[#This Row],[Together]]=1, "Together", Table1[[#This Row],[Widow]]=1, "Widow")</f>
        <v>Together</v>
      </c>
      <c r="P331" t="str" cm="1">
        <f t="array" ref="P331">_xlfn.IFS(Table1[[#This Row],[Basic]]=1, "Basic", Table1[[#This Row],[Graduate]]=1, "Graduate", Table1[[#This Row],[Master]]=1, "Master", Table1[[#This Row],[PhD]]=1, "PhD", AND(Table1[[#This Row],[Basic]]=0, Table1[[#This Row],[Graduate]]=0, Table1[[#This Row],[Master]]=0, Table1[[#This Row],[PhD]]=0), "NA")</f>
        <v>NA</v>
      </c>
      <c r="Q331" t="e">
        <f>_xlfn.XLOOKUP(Table1[[#This Row],[ID]], Table2[ID],#REF!, "Not Found", 0)</f>
        <v>#REF!</v>
      </c>
      <c r="R331" t="e">
        <f>_xlfn.XLOOKUP(Table1[[#This Row],[ID]], Table2[ID],#REF!, "Not Found", 0)</f>
        <v>#REF!</v>
      </c>
      <c r="S331" s="3">
        <f>_xlfn.XLOOKUP(Table1[[#This Row],[ID]], Table2[ID], Table2[Enrollment], "Not Found", 0)</f>
        <v>43647</v>
      </c>
      <c r="T331" t="s">
        <v>436</v>
      </c>
    </row>
    <row r="332" spans="1:20" x14ac:dyDescent="0.3">
      <c r="A332">
        <v>1977</v>
      </c>
      <c r="B332">
        <v>175437</v>
      </c>
      <c r="C332">
        <v>0</v>
      </c>
      <c r="D332">
        <v>0</v>
      </c>
      <c r="E332">
        <v>42</v>
      </c>
      <c r="F332">
        <v>0</v>
      </c>
      <c r="G332">
        <v>0</v>
      </c>
      <c r="H332">
        <v>0</v>
      </c>
      <c r="I332">
        <v>1</v>
      </c>
      <c r="J332">
        <v>0</v>
      </c>
      <c r="K332">
        <v>0</v>
      </c>
      <c r="L332">
        <v>1</v>
      </c>
      <c r="M332">
        <v>0</v>
      </c>
      <c r="N332">
        <v>0</v>
      </c>
      <c r="O332" t="str" cm="1">
        <f t="array" ref="O332">_xlfn.IFS(Table1[[#This Row],[Divorced]]=1, "Divorced", Table1[[#This Row],[Married]]=1, "Married", Table1[[#This Row],[Single]]=1, "Single", Table1[[#This Row],[Together]]=1, "Together", Table1[[#This Row],[Widow]]=1, "Widow")</f>
        <v>Together</v>
      </c>
      <c r="P332" t="str" cm="1">
        <f t="array" ref="P332">_xlfn.IFS(Table1[[#This Row],[Basic]]=1, "Basic", Table1[[#This Row],[Graduate]]=1, "Graduate", Table1[[#This Row],[Master]]=1, "Master", Table1[[#This Row],[PhD]]=1, "PhD", AND(Table1[[#This Row],[Basic]]=0, Table1[[#This Row],[Graduate]]=0, Table1[[#This Row],[Master]]=0, Table1[[#This Row],[PhD]]=0), "NA")</f>
        <v>Graduate</v>
      </c>
      <c r="Q332" t="e">
        <f>_xlfn.XLOOKUP(Table1[[#This Row],[ID]], Table2[ID],#REF!, "Not Found", 0)</f>
        <v>#REF!</v>
      </c>
      <c r="R332" t="e">
        <f>_xlfn.XLOOKUP(Table1[[#This Row],[ID]], Table2[ID],#REF!, "Not Found", 0)</f>
        <v>#REF!</v>
      </c>
      <c r="S332" s="3" t="str">
        <f>_xlfn.XLOOKUP(Table1[[#This Row],[ID]], Table2[ID], Table2[Enrollment], "Not Found", 0)</f>
        <v>4/15/2020</v>
      </c>
      <c r="T332" t="s">
        <v>435</v>
      </c>
    </row>
    <row r="333" spans="1:20" x14ac:dyDescent="0.3">
      <c r="A333">
        <v>1411</v>
      </c>
      <c r="B333">
        <v>175433</v>
      </c>
      <c r="C333">
        <v>1</v>
      </c>
      <c r="D333">
        <v>0</v>
      </c>
      <c r="E333">
        <v>31</v>
      </c>
      <c r="F333">
        <v>0</v>
      </c>
      <c r="G333">
        <v>1</v>
      </c>
      <c r="H333">
        <v>0</v>
      </c>
      <c r="I333">
        <v>0</v>
      </c>
      <c r="J333">
        <v>0</v>
      </c>
      <c r="K333">
        <v>0</v>
      </c>
      <c r="L333">
        <v>1</v>
      </c>
      <c r="M333">
        <v>0</v>
      </c>
      <c r="N333">
        <v>0</v>
      </c>
      <c r="O333" t="str" cm="1">
        <f t="array" ref="O333">_xlfn.IFS(Table1[[#This Row],[Divorced]]=1, "Divorced", Table1[[#This Row],[Married]]=1, "Married", Table1[[#This Row],[Single]]=1, "Single", Table1[[#This Row],[Together]]=1, "Together", Table1[[#This Row],[Widow]]=1, "Widow")</f>
        <v>Married</v>
      </c>
      <c r="P333" t="str" cm="1">
        <f t="array" ref="P333">_xlfn.IFS(Table1[[#This Row],[Basic]]=1, "Basic", Table1[[#This Row],[Graduate]]=1, "Graduate", Table1[[#This Row],[Master]]=1, "Master", Table1[[#This Row],[PhD]]=1, "PhD", AND(Table1[[#This Row],[Basic]]=0, Table1[[#This Row],[Graduate]]=0, Table1[[#This Row],[Master]]=0, Table1[[#This Row],[PhD]]=0), "NA")</f>
        <v>Graduate</v>
      </c>
      <c r="Q333" t="e">
        <f>_xlfn.XLOOKUP(Table1[[#This Row],[ID]], Table2[ID],#REF!, "Not Found", 0)</f>
        <v>#REF!</v>
      </c>
      <c r="R333" t="e">
        <f>_xlfn.XLOOKUP(Table1[[#This Row],[ID]], Table2[ID],#REF!, "Not Found", 0)</f>
        <v>#REF!</v>
      </c>
      <c r="S333" s="3">
        <f>_xlfn.XLOOKUP(Table1[[#This Row],[ID]], Table2[ID], Table2[Enrollment], "Not Found", 0)</f>
        <v>44083</v>
      </c>
      <c r="T333" t="s">
        <v>437</v>
      </c>
    </row>
    <row r="334" spans="1:20" x14ac:dyDescent="0.3">
      <c r="A334">
        <v>2065</v>
      </c>
      <c r="B334">
        <v>175345</v>
      </c>
      <c r="C334">
        <v>0</v>
      </c>
      <c r="D334">
        <v>0</v>
      </c>
      <c r="E334">
        <v>50</v>
      </c>
      <c r="F334">
        <v>0</v>
      </c>
      <c r="G334">
        <v>0</v>
      </c>
      <c r="H334">
        <v>1</v>
      </c>
      <c r="I334">
        <v>0</v>
      </c>
      <c r="J334">
        <v>0</v>
      </c>
      <c r="K334">
        <v>0</v>
      </c>
      <c r="L334">
        <v>0</v>
      </c>
      <c r="M334">
        <v>1</v>
      </c>
      <c r="N334">
        <v>0</v>
      </c>
      <c r="O334" t="str" cm="1">
        <f t="array" ref="O334">_xlfn.IFS(Table1[[#This Row],[Divorced]]=1, "Divorced", Table1[[#This Row],[Married]]=1, "Married", Table1[[#This Row],[Single]]=1, "Single", Table1[[#This Row],[Together]]=1, "Together", Table1[[#This Row],[Widow]]=1, "Widow")</f>
        <v>Single</v>
      </c>
      <c r="P334" t="str" cm="1">
        <f t="array" ref="P334">_xlfn.IFS(Table1[[#This Row],[Basic]]=1, "Basic", Table1[[#This Row],[Graduate]]=1, "Graduate", Table1[[#This Row],[Master]]=1, "Master", Table1[[#This Row],[PhD]]=1, "PhD", AND(Table1[[#This Row],[Basic]]=0, Table1[[#This Row],[Graduate]]=0, Table1[[#This Row],[Master]]=0, Table1[[#This Row],[PhD]]=0), "NA")</f>
        <v>Master</v>
      </c>
      <c r="Q334" t="e">
        <f>_xlfn.XLOOKUP(Table1[[#This Row],[ID]], Table2[ID],#REF!, "Not Found", 0)</f>
        <v>#REF!</v>
      </c>
      <c r="R334" t="e">
        <f>_xlfn.XLOOKUP(Table1[[#This Row],[ID]], Table2[ID],#REF!, "Not Found", 0)</f>
        <v>#REF!</v>
      </c>
      <c r="S334" s="3">
        <f>_xlfn.XLOOKUP(Table1[[#This Row],[ID]], Table2[ID], Table2[Enrollment], "Not Found", 0)</f>
        <v>43745</v>
      </c>
      <c r="T334" t="s">
        <v>437</v>
      </c>
    </row>
    <row r="335" spans="1:20" x14ac:dyDescent="0.3">
      <c r="A335">
        <v>2709</v>
      </c>
      <c r="B335">
        <v>175342</v>
      </c>
      <c r="C335">
        <v>0</v>
      </c>
      <c r="D335">
        <v>1</v>
      </c>
      <c r="E335">
        <v>62</v>
      </c>
      <c r="F335">
        <v>0</v>
      </c>
      <c r="G335">
        <v>0</v>
      </c>
      <c r="H335">
        <v>1</v>
      </c>
      <c r="I335">
        <v>0</v>
      </c>
      <c r="J335">
        <v>0</v>
      </c>
      <c r="K335">
        <v>0</v>
      </c>
      <c r="L335">
        <v>0</v>
      </c>
      <c r="M335">
        <v>0</v>
      </c>
      <c r="N335">
        <v>0</v>
      </c>
      <c r="O335" t="str" cm="1">
        <f t="array" ref="O335">_xlfn.IFS(Table1[[#This Row],[Divorced]]=1, "Divorced", Table1[[#This Row],[Married]]=1, "Married", Table1[[#This Row],[Single]]=1, "Single", Table1[[#This Row],[Together]]=1, "Together", Table1[[#This Row],[Widow]]=1, "Widow")</f>
        <v>Single</v>
      </c>
      <c r="P335" t="str" cm="1">
        <f t="array" ref="P335">_xlfn.IFS(Table1[[#This Row],[Basic]]=1, "Basic", Table1[[#This Row],[Graduate]]=1, "Graduate", Table1[[#This Row],[Master]]=1, "Master", Table1[[#This Row],[PhD]]=1, "PhD", AND(Table1[[#This Row],[Basic]]=0, Table1[[#This Row],[Graduate]]=0, Table1[[#This Row],[Master]]=0, Table1[[#This Row],[PhD]]=0), "NA")</f>
        <v>NA</v>
      </c>
      <c r="Q335" t="e">
        <f>_xlfn.XLOOKUP(Table1[[#This Row],[ID]], Table2[ID],#REF!, "Not Found", 0)</f>
        <v>#REF!</v>
      </c>
      <c r="R335" t="e">
        <f>_xlfn.XLOOKUP(Table1[[#This Row],[ID]], Table2[ID],#REF!, "Not Found", 0)</f>
        <v>#REF!</v>
      </c>
      <c r="S335" s="3">
        <f>_xlfn.XLOOKUP(Table1[[#This Row],[ID]], Table2[ID], Table2[Enrollment], "Not Found", 0)</f>
        <v>43779</v>
      </c>
      <c r="T335" t="s">
        <v>435</v>
      </c>
    </row>
    <row r="336" spans="1:20" x14ac:dyDescent="0.3">
      <c r="A336">
        <v>3011</v>
      </c>
      <c r="B336">
        <v>175330</v>
      </c>
      <c r="C336">
        <v>1</v>
      </c>
      <c r="D336">
        <v>1</v>
      </c>
      <c r="E336">
        <v>43</v>
      </c>
      <c r="F336">
        <v>0</v>
      </c>
      <c r="G336">
        <v>1</v>
      </c>
      <c r="H336">
        <v>0</v>
      </c>
      <c r="I336">
        <v>0</v>
      </c>
      <c r="J336">
        <v>0</v>
      </c>
      <c r="K336">
        <v>0</v>
      </c>
      <c r="L336">
        <v>1</v>
      </c>
      <c r="M336">
        <v>0</v>
      </c>
      <c r="N336">
        <v>0</v>
      </c>
      <c r="O336" t="str" cm="1">
        <f t="array" ref="O336">_xlfn.IFS(Table1[[#This Row],[Divorced]]=1, "Divorced", Table1[[#This Row],[Married]]=1, "Married", Table1[[#This Row],[Single]]=1, "Single", Table1[[#This Row],[Together]]=1, "Together", Table1[[#This Row],[Widow]]=1, "Widow")</f>
        <v>Married</v>
      </c>
      <c r="P336" t="str" cm="1">
        <f t="array" ref="P336">_xlfn.IFS(Table1[[#This Row],[Basic]]=1, "Basic", Table1[[#This Row],[Graduate]]=1, "Graduate", Table1[[#This Row],[Master]]=1, "Master", Table1[[#This Row],[PhD]]=1, "PhD", AND(Table1[[#This Row],[Basic]]=0, Table1[[#This Row],[Graduate]]=0, Table1[[#This Row],[Master]]=0, Table1[[#This Row],[PhD]]=0), "NA")</f>
        <v>Graduate</v>
      </c>
      <c r="Q336" t="e">
        <f>_xlfn.XLOOKUP(Table1[[#This Row],[ID]], Table2[ID],#REF!, "Not Found", 0)</f>
        <v>#REF!</v>
      </c>
      <c r="R336" t="e">
        <f>_xlfn.XLOOKUP(Table1[[#This Row],[ID]], Table2[ID],#REF!, "Not Found", 0)</f>
        <v>#REF!</v>
      </c>
      <c r="S336" s="3">
        <f>_xlfn.XLOOKUP(Table1[[#This Row],[ID]], Table2[ID], Table2[Enrollment], "Not Found", 0)</f>
        <v>43772</v>
      </c>
      <c r="T336" t="s">
        <v>434</v>
      </c>
    </row>
    <row r="337" spans="1:20" x14ac:dyDescent="0.3">
      <c r="A337">
        <v>2543</v>
      </c>
      <c r="B337">
        <v>175315</v>
      </c>
      <c r="C337">
        <v>0</v>
      </c>
      <c r="D337">
        <v>1</v>
      </c>
      <c r="E337">
        <v>66</v>
      </c>
      <c r="F337">
        <v>0</v>
      </c>
      <c r="G337">
        <v>0</v>
      </c>
      <c r="H337">
        <v>0</v>
      </c>
      <c r="I337">
        <v>1</v>
      </c>
      <c r="J337">
        <v>0</v>
      </c>
      <c r="K337">
        <v>0</v>
      </c>
      <c r="L337">
        <v>1</v>
      </c>
      <c r="M337">
        <v>0</v>
      </c>
      <c r="N337">
        <v>0</v>
      </c>
      <c r="O337" t="str" cm="1">
        <f t="array" ref="O337">_xlfn.IFS(Table1[[#This Row],[Divorced]]=1, "Divorced", Table1[[#This Row],[Married]]=1, "Married", Table1[[#This Row],[Single]]=1, "Single", Table1[[#This Row],[Together]]=1, "Together", Table1[[#This Row],[Widow]]=1, "Widow")</f>
        <v>Together</v>
      </c>
      <c r="P337" t="str" cm="1">
        <f t="array" ref="P337">_xlfn.IFS(Table1[[#This Row],[Basic]]=1, "Basic", Table1[[#This Row],[Graduate]]=1, "Graduate", Table1[[#This Row],[Master]]=1, "Master", Table1[[#This Row],[PhD]]=1, "PhD", AND(Table1[[#This Row],[Basic]]=0, Table1[[#This Row],[Graduate]]=0, Table1[[#This Row],[Master]]=0, Table1[[#This Row],[PhD]]=0), "NA")</f>
        <v>Graduate</v>
      </c>
      <c r="Q337" t="e">
        <f>_xlfn.XLOOKUP(Table1[[#This Row],[ID]], Table2[ID],#REF!, "Not Found", 0)</f>
        <v>#REF!</v>
      </c>
      <c r="R337" t="e">
        <f>_xlfn.XLOOKUP(Table1[[#This Row],[ID]], Table2[ID],#REF!, "Not Found", 0)</f>
        <v>#REF!</v>
      </c>
      <c r="S337" s="3" t="str">
        <f>_xlfn.XLOOKUP(Table1[[#This Row],[ID]], Table2[ID], Table2[Enrollment], "Not Found", 0)</f>
        <v>9/19/2020</v>
      </c>
      <c r="T337" t="s">
        <v>434</v>
      </c>
    </row>
    <row r="338" spans="1:20" x14ac:dyDescent="0.3">
      <c r="A338">
        <v>2545</v>
      </c>
      <c r="B338">
        <v>175283</v>
      </c>
      <c r="C338">
        <v>1</v>
      </c>
      <c r="D338">
        <v>2</v>
      </c>
      <c r="E338">
        <v>63</v>
      </c>
      <c r="F338">
        <v>0</v>
      </c>
      <c r="G338">
        <v>1</v>
      </c>
      <c r="H338">
        <v>0</v>
      </c>
      <c r="I338">
        <v>0</v>
      </c>
      <c r="J338">
        <v>0</v>
      </c>
      <c r="K338">
        <v>0</v>
      </c>
      <c r="L338">
        <v>0</v>
      </c>
      <c r="M338">
        <v>0</v>
      </c>
      <c r="N338">
        <v>1</v>
      </c>
      <c r="O338" t="str" cm="1">
        <f t="array" ref="O338">_xlfn.IFS(Table1[[#This Row],[Divorced]]=1, "Divorced", Table1[[#This Row],[Married]]=1, "Married", Table1[[#This Row],[Single]]=1, "Single", Table1[[#This Row],[Together]]=1, "Together", Table1[[#This Row],[Widow]]=1, "Widow")</f>
        <v>Married</v>
      </c>
      <c r="P338" t="str" cm="1">
        <f t="array" ref="P338">_xlfn.IFS(Table1[[#This Row],[Basic]]=1, "Basic", Table1[[#This Row],[Graduate]]=1, "Graduate", Table1[[#This Row],[Master]]=1, "Master", Table1[[#This Row],[PhD]]=1, "PhD", AND(Table1[[#This Row],[Basic]]=0, Table1[[#This Row],[Graduate]]=0, Table1[[#This Row],[Master]]=0, Table1[[#This Row],[PhD]]=0), "NA")</f>
        <v>PhD</v>
      </c>
      <c r="Q338" t="e">
        <f>_xlfn.XLOOKUP(Table1[[#This Row],[ID]], Table2[ID],#REF!, "Not Found", 0)</f>
        <v>#REF!</v>
      </c>
      <c r="R338" t="e">
        <f>_xlfn.XLOOKUP(Table1[[#This Row],[ID]], Table2[ID],#REF!, "Not Found", 0)</f>
        <v>#REF!</v>
      </c>
      <c r="S338" s="3">
        <f>_xlfn.XLOOKUP(Table1[[#This Row],[ID]], Table2[ID], Table2[Enrollment], "Not Found", 0)</f>
        <v>43474</v>
      </c>
      <c r="T338" t="s">
        <v>437</v>
      </c>
    </row>
    <row r="339" spans="1:20" x14ac:dyDescent="0.3">
      <c r="A339">
        <v>1273</v>
      </c>
      <c r="B339">
        <v>175278</v>
      </c>
      <c r="C339">
        <v>0</v>
      </c>
      <c r="D339">
        <v>0</v>
      </c>
      <c r="E339">
        <v>68</v>
      </c>
      <c r="F339">
        <v>0</v>
      </c>
      <c r="G339">
        <v>0</v>
      </c>
      <c r="H339">
        <v>0</v>
      </c>
      <c r="I339">
        <v>1</v>
      </c>
      <c r="J339">
        <v>0</v>
      </c>
      <c r="K339">
        <v>0</v>
      </c>
      <c r="L339">
        <v>1</v>
      </c>
      <c r="M339">
        <v>0</v>
      </c>
      <c r="N339">
        <v>0</v>
      </c>
      <c r="O339" t="str" cm="1">
        <f t="array" ref="O339">_xlfn.IFS(Table1[[#This Row],[Divorced]]=1, "Divorced", Table1[[#This Row],[Married]]=1, "Married", Table1[[#This Row],[Single]]=1, "Single", Table1[[#This Row],[Together]]=1, "Together", Table1[[#This Row],[Widow]]=1, "Widow")</f>
        <v>Together</v>
      </c>
      <c r="P339" t="str" cm="1">
        <f t="array" ref="P339">_xlfn.IFS(Table1[[#This Row],[Basic]]=1, "Basic", Table1[[#This Row],[Graduate]]=1, "Graduate", Table1[[#This Row],[Master]]=1, "Master", Table1[[#This Row],[PhD]]=1, "PhD", AND(Table1[[#This Row],[Basic]]=0, Table1[[#This Row],[Graduate]]=0, Table1[[#This Row],[Master]]=0, Table1[[#This Row],[PhD]]=0), "NA")</f>
        <v>Graduate</v>
      </c>
      <c r="Q339" t="e">
        <f>_xlfn.XLOOKUP(Table1[[#This Row],[ID]], Table2[ID],#REF!, "Not Found", 0)</f>
        <v>#REF!</v>
      </c>
      <c r="R339" t="e">
        <f>_xlfn.XLOOKUP(Table1[[#This Row],[ID]], Table2[ID],#REF!, "Not Found", 0)</f>
        <v>#REF!</v>
      </c>
      <c r="S339" s="3">
        <f>_xlfn.XLOOKUP(Table1[[#This Row],[ID]], Table2[ID], Table2[Enrollment], "Not Found", 0)</f>
        <v>43623</v>
      </c>
      <c r="T339" t="s">
        <v>437</v>
      </c>
    </row>
    <row r="340" spans="1:20" x14ac:dyDescent="0.3">
      <c r="A340">
        <v>1385</v>
      </c>
      <c r="B340">
        <v>175276</v>
      </c>
      <c r="C340">
        <v>0</v>
      </c>
      <c r="D340">
        <v>0</v>
      </c>
      <c r="E340">
        <v>55</v>
      </c>
      <c r="F340">
        <v>0</v>
      </c>
      <c r="G340">
        <v>0</v>
      </c>
      <c r="H340">
        <v>0</v>
      </c>
      <c r="I340">
        <v>1</v>
      </c>
      <c r="J340">
        <v>0</v>
      </c>
      <c r="K340">
        <v>0</v>
      </c>
      <c r="L340">
        <v>1</v>
      </c>
      <c r="M340">
        <v>0</v>
      </c>
      <c r="N340">
        <v>0</v>
      </c>
      <c r="O340" t="str" cm="1">
        <f t="array" ref="O340">_xlfn.IFS(Table1[[#This Row],[Divorced]]=1, "Divorced", Table1[[#This Row],[Married]]=1, "Married", Table1[[#This Row],[Single]]=1, "Single", Table1[[#This Row],[Together]]=1, "Together", Table1[[#This Row],[Widow]]=1, "Widow")</f>
        <v>Together</v>
      </c>
      <c r="P340" t="str" cm="1">
        <f t="array" ref="P340">_xlfn.IFS(Table1[[#This Row],[Basic]]=1, "Basic", Table1[[#This Row],[Graduate]]=1, "Graduate", Table1[[#This Row],[Master]]=1, "Master", Table1[[#This Row],[PhD]]=1, "PhD", AND(Table1[[#This Row],[Basic]]=0, Table1[[#This Row],[Graduate]]=0, Table1[[#This Row],[Master]]=0, Table1[[#This Row],[PhD]]=0), "NA")</f>
        <v>Graduate</v>
      </c>
      <c r="Q340" t="e">
        <f>_xlfn.XLOOKUP(Table1[[#This Row],[ID]], Table2[ID],#REF!, "Not Found", 0)</f>
        <v>#REF!</v>
      </c>
      <c r="R340" t="e">
        <f>_xlfn.XLOOKUP(Table1[[#This Row],[ID]], Table2[ID],#REF!, "Not Found", 0)</f>
        <v>#REF!</v>
      </c>
      <c r="S340" s="3">
        <f>_xlfn.XLOOKUP(Table1[[#This Row],[ID]], Table2[ID], Table2[Enrollment], "Not Found", 0)</f>
        <v>43558</v>
      </c>
      <c r="T340" t="s">
        <v>434</v>
      </c>
    </row>
    <row r="341" spans="1:20" x14ac:dyDescent="0.3">
      <c r="A341">
        <v>1450</v>
      </c>
      <c r="B341">
        <v>175261</v>
      </c>
      <c r="C341">
        <v>0</v>
      </c>
      <c r="D341">
        <v>0</v>
      </c>
      <c r="E341">
        <v>65</v>
      </c>
      <c r="F341">
        <v>0</v>
      </c>
      <c r="G341">
        <v>0</v>
      </c>
      <c r="H341">
        <v>0</v>
      </c>
      <c r="I341">
        <v>1</v>
      </c>
      <c r="J341">
        <v>0</v>
      </c>
      <c r="K341">
        <v>0</v>
      </c>
      <c r="L341">
        <v>0</v>
      </c>
      <c r="M341">
        <v>0</v>
      </c>
      <c r="N341">
        <v>1</v>
      </c>
      <c r="O341" t="str" cm="1">
        <f t="array" ref="O341">_xlfn.IFS(Table1[[#This Row],[Divorced]]=1, "Divorced", Table1[[#This Row],[Married]]=1, "Married", Table1[[#This Row],[Single]]=1, "Single", Table1[[#This Row],[Together]]=1, "Together", Table1[[#This Row],[Widow]]=1, "Widow")</f>
        <v>Together</v>
      </c>
      <c r="P341" t="str" cm="1">
        <f t="array" ref="P341">_xlfn.IFS(Table1[[#This Row],[Basic]]=1, "Basic", Table1[[#This Row],[Graduate]]=1, "Graduate", Table1[[#This Row],[Master]]=1, "Master", Table1[[#This Row],[PhD]]=1, "PhD", AND(Table1[[#This Row],[Basic]]=0, Table1[[#This Row],[Graduate]]=0, Table1[[#This Row],[Master]]=0, Table1[[#This Row],[PhD]]=0), "NA")</f>
        <v>PhD</v>
      </c>
      <c r="Q341" t="e">
        <f>_xlfn.XLOOKUP(Table1[[#This Row],[ID]], Table2[ID],#REF!, "Not Found", 0)</f>
        <v>#REF!</v>
      </c>
      <c r="R341" t="e">
        <f>_xlfn.XLOOKUP(Table1[[#This Row],[ID]], Table2[ID],#REF!, "Not Found", 0)</f>
        <v>#REF!</v>
      </c>
      <c r="S341" s="3" t="str">
        <f>_xlfn.XLOOKUP(Table1[[#This Row],[ID]], Table2[ID], Table2[Enrollment], "Not Found", 0)</f>
        <v>9/28/2019</v>
      </c>
      <c r="T341" t="s">
        <v>439</v>
      </c>
    </row>
    <row r="342" spans="1:20" x14ac:dyDescent="0.3">
      <c r="A342">
        <v>1071</v>
      </c>
      <c r="B342">
        <v>175251</v>
      </c>
      <c r="C342">
        <v>0</v>
      </c>
      <c r="D342">
        <v>0</v>
      </c>
      <c r="E342">
        <v>48</v>
      </c>
      <c r="F342">
        <v>0</v>
      </c>
      <c r="G342">
        <v>1</v>
      </c>
      <c r="H342">
        <v>0</v>
      </c>
      <c r="I342">
        <v>0</v>
      </c>
      <c r="J342">
        <v>0</v>
      </c>
      <c r="K342">
        <v>0</v>
      </c>
      <c r="L342">
        <v>0</v>
      </c>
      <c r="M342">
        <v>1</v>
      </c>
      <c r="N342">
        <v>0</v>
      </c>
      <c r="O342" t="str" cm="1">
        <f t="array" ref="O342">_xlfn.IFS(Table1[[#This Row],[Divorced]]=1, "Divorced", Table1[[#This Row],[Married]]=1, "Married", Table1[[#This Row],[Single]]=1, "Single", Table1[[#This Row],[Together]]=1, "Together", Table1[[#This Row],[Widow]]=1, "Widow")</f>
        <v>Married</v>
      </c>
      <c r="P342" t="str" cm="1">
        <f t="array" ref="P342">_xlfn.IFS(Table1[[#This Row],[Basic]]=1, "Basic", Table1[[#This Row],[Graduate]]=1, "Graduate", Table1[[#This Row],[Master]]=1, "Master", Table1[[#This Row],[PhD]]=1, "PhD", AND(Table1[[#This Row],[Basic]]=0, Table1[[#This Row],[Graduate]]=0, Table1[[#This Row],[Master]]=0, Table1[[#This Row],[PhD]]=0), "NA")</f>
        <v>Master</v>
      </c>
      <c r="Q342" t="e">
        <f>_xlfn.XLOOKUP(Table1[[#This Row],[ID]], Table2[ID],#REF!, "Not Found", 0)</f>
        <v>#REF!</v>
      </c>
      <c r="R342" t="e">
        <f>_xlfn.XLOOKUP(Table1[[#This Row],[ID]], Table2[ID],#REF!, "Not Found", 0)</f>
        <v>#REF!</v>
      </c>
      <c r="S342" s="3">
        <f>_xlfn.XLOOKUP(Table1[[#This Row],[ID]], Table2[ID], Table2[Enrollment], "Not Found", 0)</f>
        <v>43467</v>
      </c>
      <c r="T342" t="s">
        <v>435</v>
      </c>
    </row>
    <row r="343" spans="1:20" x14ac:dyDescent="0.3">
      <c r="A343">
        <v>1417</v>
      </c>
      <c r="B343">
        <v>175236</v>
      </c>
      <c r="C343">
        <v>0</v>
      </c>
      <c r="D343">
        <v>1</v>
      </c>
      <c r="E343">
        <v>56</v>
      </c>
      <c r="F343">
        <v>0</v>
      </c>
      <c r="G343">
        <v>1</v>
      </c>
      <c r="H343">
        <v>0</v>
      </c>
      <c r="I343">
        <v>0</v>
      </c>
      <c r="J343">
        <v>0</v>
      </c>
      <c r="K343">
        <v>0</v>
      </c>
      <c r="L343">
        <v>1</v>
      </c>
      <c r="M343">
        <v>0</v>
      </c>
      <c r="N343">
        <v>0</v>
      </c>
      <c r="O343" t="str" cm="1">
        <f t="array" ref="O343">_xlfn.IFS(Table1[[#This Row],[Divorced]]=1, "Divorced", Table1[[#This Row],[Married]]=1, "Married", Table1[[#This Row],[Single]]=1, "Single", Table1[[#This Row],[Together]]=1, "Together", Table1[[#This Row],[Widow]]=1, "Widow")</f>
        <v>Married</v>
      </c>
      <c r="P343" t="str" cm="1">
        <f t="array" ref="P343">_xlfn.IFS(Table1[[#This Row],[Basic]]=1, "Basic", Table1[[#This Row],[Graduate]]=1, "Graduate", Table1[[#This Row],[Master]]=1, "Master", Table1[[#This Row],[PhD]]=1, "PhD", AND(Table1[[#This Row],[Basic]]=0, Table1[[#This Row],[Graduate]]=0, Table1[[#This Row],[Master]]=0, Table1[[#This Row],[PhD]]=0), "NA")</f>
        <v>Graduate</v>
      </c>
      <c r="Q343" t="e">
        <f>_xlfn.XLOOKUP(Table1[[#This Row],[ID]], Table2[ID],#REF!, "Not Found", 0)</f>
        <v>#REF!</v>
      </c>
      <c r="R343" t="e">
        <f>_xlfn.XLOOKUP(Table1[[#This Row],[ID]], Table2[ID],#REF!, "Not Found", 0)</f>
        <v>#REF!</v>
      </c>
      <c r="S343" s="3">
        <f>_xlfn.XLOOKUP(Table1[[#This Row],[ID]], Table2[ID], Table2[Enrollment], "Not Found", 0)</f>
        <v>43835</v>
      </c>
      <c r="T343" t="s">
        <v>437</v>
      </c>
    </row>
    <row r="344" spans="1:20" x14ac:dyDescent="0.3">
      <c r="A344">
        <v>2345</v>
      </c>
      <c r="B344">
        <v>175154</v>
      </c>
      <c r="C344">
        <v>0</v>
      </c>
      <c r="D344">
        <v>1</v>
      </c>
      <c r="E344">
        <v>62</v>
      </c>
      <c r="F344">
        <v>0</v>
      </c>
      <c r="G344">
        <v>0</v>
      </c>
      <c r="H344">
        <v>1</v>
      </c>
      <c r="I344">
        <v>0</v>
      </c>
      <c r="J344">
        <v>0</v>
      </c>
      <c r="K344">
        <v>0</v>
      </c>
      <c r="L344">
        <v>0</v>
      </c>
      <c r="M344">
        <v>1</v>
      </c>
      <c r="N344">
        <v>0</v>
      </c>
      <c r="O344" t="str" cm="1">
        <f t="array" ref="O344">_xlfn.IFS(Table1[[#This Row],[Divorced]]=1, "Divorced", Table1[[#This Row],[Married]]=1, "Married", Table1[[#This Row],[Single]]=1, "Single", Table1[[#This Row],[Together]]=1, "Together", Table1[[#This Row],[Widow]]=1, "Widow")</f>
        <v>Single</v>
      </c>
      <c r="P344" t="str" cm="1">
        <f t="array" ref="P344">_xlfn.IFS(Table1[[#This Row],[Basic]]=1, "Basic", Table1[[#This Row],[Graduate]]=1, "Graduate", Table1[[#This Row],[Master]]=1, "Master", Table1[[#This Row],[PhD]]=1, "PhD", AND(Table1[[#This Row],[Basic]]=0, Table1[[#This Row],[Graduate]]=0, Table1[[#This Row],[Master]]=0, Table1[[#This Row],[PhD]]=0), "NA")</f>
        <v>Master</v>
      </c>
      <c r="Q344" t="e">
        <f>_xlfn.XLOOKUP(Table1[[#This Row],[ID]], Table2[ID],#REF!, "Not Found", 0)</f>
        <v>#REF!</v>
      </c>
      <c r="R344" t="e">
        <f>_xlfn.XLOOKUP(Table1[[#This Row],[ID]], Table2[ID],#REF!, "Not Found", 0)</f>
        <v>#REF!</v>
      </c>
      <c r="S344" s="3">
        <f>_xlfn.XLOOKUP(Table1[[#This Row],[ID]], Table2[ID], Table2[Enrollment], "Not Found", 0)</f>
        <v>43710</v>
      </c>
      <c r="T344" t="s">
        <v>434</v>
      </c>
    </row>
    <row r="345" spans="1:20" x14ac:dyDescent="0.3">
      <c r="A345">
        <v>1745</v>
      </c>
      <c r="B345">
        <v>175127</v>
      </c>
      <c r="C345">
        <v>0</v>
      </c>
      <c r="D345">
        <v>0</v>
      </c>
      <c r="E345">
        <v>68</v>
      </c>
      <c r="F345">
        <v>0</v>
      </c>
      <c r="G345">
        <v>0</v>
      </c>
      <c r="H345">
        <v>1</v>
      </c>
      <c r="I345">
        <v>0</v>
      </c>
      <c r="J345">
        <v>0</v>
      </c>
      <c r="K345">
        <v>0</v>
      </c>
      <c r="L345">
        <v>1</v>
      </c>
      <c r="M345">
        <v>0</v>
      </c>
      <c r="N345">
        <v>0</v>
      </c>
      <c r="O345" t="str" cm="1">
        <f t="array" ref="O345">_xlfn.IFS(Table1[[#This Row],[Divorced]]=1, "Divorced", Table1[[#This Row],[Married]]=1, "Married", Table1[[#This Row],[Single]]=1, "Single", Table1[[#This Row],[Together]]=1, "Together", Table1[[#This Row],[Widow]]=1, "Widow")</f>
        <v>Single</v>
      </c>
      <c r="P345" t="str" cm="1">
        <f t="array" ref="P345">_xlfn.IFS(Table1[[#This Row],[Basic]]=1, "Basic", Table1[[#This Row],[Graduate]]=1, "Graduate", Table1[[#This Row],[Master]]=1, "Master", Table1[[#This Row],[PhD]]=1, "PhD", AND(Table1[[#This Row],[Basic]]=0, Table1[[#This Row],[Graduate]]=0, Table1[[#This Row],[Master]]=0, Table1[[#This Row],[PhD]]=0), "NA")</f>
        <v>Graduate</v>
      </c>
      <c r="Q345" t="e">
        <f>_xlfn.XLOOKUP(Table1[[#This Row],[ID]], Table2[ID],#REF!, "Not Found", 0)</f>
        <v>#REF!</v>
      </c>
      <c r="R345" t="e">
        <f>_xlfn.XLOOKUP(Table1[[#This Row],[ID]], Table2[ID],#REF!, "Not Found", 0)</f>
        <v>#REF!</v>
      </c>
      <c r="S345" s="3" t="str">
        <f>_xlfn.XLOOKUP(Table1[[#This Row],[ID]], Table2[ID], Table2[Enrollment], "Not Found", 0)</f>
        <v>10/26/2020</v>
      </c>
      <c r="T345" t="s">
        <v>434</v>
      </c>
    </row>
    <row r="346" spans="1:20" x14ac:dyDescent="0.3">
      <c r="A346">
        <v>1915</v>
      </c>
      <c r="B346">
        <v>175127</v>
      </c>
      <c r="C346">
        <v>0</v>
      </c>
      <c r="D346">
        <v>0</v>
      </c>
      <c r="E346">
        <v>68</v>
      </c>
      <c r="F346">
        <v>0</v>
      </c>
      <c r="G346">
        <v>0</v>
      </c>
      <c r="H346">
        <v>1</v>
      </c>
      <c r="I346">
        <v>0</v>
      </c>
      <c r="J346">
        <v>0</v>
      </c>
      <c r="K346">
        <v>0</v>
      </c>
      <c r="L346">
        <v>1</v>
      </c>
      <c r="M346">
        <v>0</v>
      </c>
      <c r="N346">
        <v>0</v>
      </c>
      <c r="O346" t="str" cm="1">
        <f t="array" ref="O346">_xlfn.IFS(Table1[[#This Row],[Divorced]]=1, "Divorced", Table1[[#This Row],[Married]]=1, "Married", Table1[[#This Row],[Single]]=1, "Single", Table1[[#This Row],[Together]]=1, "Together", Table1[[#This Row],[Widow]]=1, "Widow")</f>
        <v>Single</v>
      </c>
      <c r="P346" t="str" cm="1">
        <f t="array" ref="P346">_xlfn.IFS(Table1[[#This Row],[Basic]]=1, "Basic", Table1[[#This Row],[Graduate]]=1, "Graduate", Table1[[#This Row],[Master]]=1, "Master", Table1[[#This Row],[PhD]]=1, "PhD", AND(Table1[[#This Row],[Basic]]=0, Table1[[#This Row],[Graduate]]=0, Table1[[#This Row],[Master]]=0, Table1[[#This Row],[PhD]]=0), "NA")</f>
        <v>Graduate</v>
      </c>
      <c r="Q346" t="e">
        <f>_xlfn.XLOOKUP(Table1[[#This Row],[ID]], Table2[ID],#REF!, "Not Found", 0)</f>
        <v>#REF!</v>
      </c>
      <c r="R346" t="e">
        <f>_xlfn.XLOOKUP(Table1[[#This Row],[ID]], Table2[ID],#REF!, "Not Found", 0)</f>
        <v>#REF!</v>
      </c>
      <c r="S346" s="3" t="str">
        <f>_xlfn.XLOOKUP(Table1[[#This Row],[ID]], Table2[ID], Table2[Enrollment], "Not Found", 0)</f>
        <v>10/26/2020</v>
      </c>
      <c r="T346" t="s">
        <v>437</v>
      </c>
    </row>
    <row r="347" spans="1:20" x14ac:dyDescent="0.3">
      <c r="A347">
        <v>1892</v>
      </c>
      <c r="B347">
        <v>175114</v>
      </c>
      <c r="C347">
        <v>0</v>
      </c>
      <c r="D347">
        <v>0</v>
      </c>
      <c r="E347">
        <v>28</v>
      </c>
      <c r="F347">
        <v>0</v>
      </c>
      <c r="G347">
        <v>0</v>
      </c>
      <c r="H347">
        <v>0</v>
      </c>
      <c r="I347">
        <v>1</v>
      </c>
      <c r="J347">
        <v>0</v>
      </c>
      <c r="K347">
        <v>0</v>
      </c>
      <c r="L347">
        <v>1</v>
      </c>
      <c r="M347">
        <v>0</v>
      </c>
      <c r="N347">
        <v>0</v>
      </c>
      <c r="O347" t="str" cm="1">
        <f t="array" ref="O347">_xlfn.IFS(Table1[[#This Row],[Divorced]]=1, "Divorced", Table1[[#This Row],[Married]]=1, "Married", Table1[[#This Row],[Single]]=1, "Single", Table1[[#This Row],[Together]]=1, "Together", Table1[[#This Row],[Widow]]=1, "Widow")</f>
        <v>Together</v>
      </c>
      <c r="P347" t="str" cm="1">
        <f t="array" ref="P347">_xlfn.IFS(Table1[[#This Row],[Basic]]=1, "Basic", Table1[[#This Row],[Graduate]]=1, "Graduate", Table1[[#This Row],[Master]]=1, "Master", Table1[[#This Row],[PhD]]=1, "PhD", AND(Table1[[#This Row],[Basic]]=0, Table1[[#This Row],[Graduate]]=0, Table1[[#This Row],[Master]]=0, Table1[[#This Row],[PhD]]=0), "NA")</f>
        <v>Graduate</v>
      </c>
      <c r="Q347" t="e">
        <f>_xlfn.XLOOKUP(Table1[[#This Row],[ID]], Table2[ID],#REF!, "Not Found", 0)</f>
        <v>#REF!</v>
      </c>
      <c r="R347" t="e">
        <f>_xlfn.XLOOKUP(Table1[[#This Row],[ID]], Table2[ID],#REF!, "Not Found", 0)</f>
        <v>#REF!</v>
      </c>
      <c r="S347" s="3" t="str">
        <f>_xlfn.XLOOKUP(Table1[[#This Row],[ID]], Table2[ID], Table2[Enrollment], "Not Found", 0)</f>
        <v>4/13/2020</v>
      </c>
      <c r="T347" t="s">
        <v>438</v>
      </c>
    </row>
    <row r="348" spans="1:20" x14ac:dyDescent="0.3">
      <c r="A348">
        <v>1398</v>
      </c>
      <c r="B348">
        <v>175072</v>
      </c>
      <c r="C348">
        <v>0</v>
      </c>
      <c r="D348">
        <v>1</v>
      </c>
      <c r="E348">
        <v>58</v>
      </c>
      <c r="F348">
        <v>0</v>
      </c>
      <c r="G348">
        <v>0</v>
      </c>
      <c r="H348">
        <v>0</v>
      </c>
      <c r="I348">
        <v>1</v>
      </c>
      <c r="J348">
        <v>0</v>
      </c>
      <c r="K348">
        <v>0</v>
      </c>
      <c r="L348">
        <v>1</v>
      </c>
      <c r="M348">
        <v>0</v>
      </c>
      <c r="N348">
        <v>0</v>
      </c>
      <c r="O348" t="str" cm="1">
        <f t="array" ref="O348">_xlfn.IFS(Table1[[#This Row],[Divorced]]=1, "Divorced", Table1[[#This Row],[Married]]=1, "Married", Table1[[#This Row],[Single]]=1, "Single", Table1[[#This Row],[Together]]=1, "Together", Table1[[#This Row],[Widow]]=1, "Widow")</f>
        <v>Together</v>
      </c>
      <c r="P348" t="str" cm="1">
        <f t="array" ref="P348">_xlfn.IFS(Table1[[#This Row],[Basic]]=1, "Basic", Table1[[#This Row],[Graduate]]=1, "Graduate", Table1[[#This Row],[Master]]=1, "Master", Table1[[#This Row],[PhD]]=1, "PhD", AND(Table1[[#This Row],[Basic]]=0, Table1[[#This Row],[Graduate]]=0, Table1[[#This Row],[Master]]=0, Table1[[#This Row],[PhD]]=0), "NA")</f>
        <v>Graduate</v>
      </c>
      <c r="Q348" t="e">
        <f>_xlfn.XLOOKUP(Table1[[#This Row],[ID]], Table2[ID],#REF!, "Not Found", 0)</f>
        <v>#REF!</v>
      </c>
      <c r="R348" t="e">
        <f>_xlfn.XLOOKUP(Table1[[#This Row],[ID]], Table2[ID],#REF!, "Not Found", 0)</f>
        <v>#REF!</v>
      </c>
      <c r="S348" s="3" t="str">
        <f>_xlfn.XLOOKUP(Table1[[#This Row],[ID]], Table2[ID], Table2[Enrollment], "Not Found", 0)</f>
        <v>6/30/2019</v>
      </c>
      <c r="T348" t="s">
        <v>436</v>
      </c>
    </row>
    <row r="349" spans="1:20" x14ac:dyDescent="0.3">
      <c r="A349">
        <v>2206</v>
      </c>
      <c r="B349">
        <v>175032</v>
      </c>
      <c r="C349">
        <v>0</v>
      </c>
      <c r="D349">
        <v>1</v>
      </c>
      <c r="E349">
        <v>61</v>
      </c>
      <c r="F349">
        <v>0</v>
      </c>
      <c r="G349">
        <v>1</v>
      </c>
      <c r="H349">
        <v>0</v>
      </c>
      <c r="I349">
        <v>0</v>
      </c>
      <c r="J349">
        <v>0</v>
      </c>
      <c r="K349">
        <v>0</v>
      </c>
      <c r="L349">
        <v>0</v>
      </c>
      <c r="M349">
        <v>0</v>
      </c>
      <c r="N349">
        <v>1</v>
      </c>
      <c r="O349" t="str" cm="1">
        <f t="array" ref="O349">_xlfn.IFS(Table1[[#This Row],[Divorced]]=1, "Divorced", Table1[[#This Row],[Married]]=1, "Married", Table1[[#This Row],[Single]]=1, "Single", Table1[[#This Row],[Together]]=1, "Together", Table1[[#This Row],[Widow]]=1, "Widow")</f>
        <v>Married</v>
      </c>
      <c r="P349" t="str" cm="1">
        <f t="array" ref="P349">_xlfn.IFS(Table1[[#This Row],[Basic]]=1, "Basic", Table1[[#This Row],[Graduate]]=1, "Graduate", Table1[[#This Row],[Master]]=1, "Master", Table1[[#This Row],[PhD]]=1, "PhD", AND(Table1[[#This Row],[Basic]]=0, Table1[[#This Row],[Graduate]]=0, Table1[[#This Row],[Master]]=0, Table1[[#This Row],[PhD]]=0), "NA")</f>
        <v>PhD</v>
      </c>
      <c r="Q349" t="e">
        <f>_xlfn.XLOOKUP(Table1[[#This Row],[ID]], Table2[ID],#REF!, "Not Found", 0)</f>
        <v>#REF!</v>
      </c>
      <c r="R349" t="e">
        <f>_xlfn.XLOOKUP(Table1[[#This Row],[ID]], Table2[ID],#REF!, "Not Found", 0)</f>
        <v>#REF!</v>
      </c>
      <c r="S349" s="3">
        <f>_xlfn.XLOOKUP(Table1[[#This Row],[ID]], Table2[ID], Table2[Enrollment], "Not Found", 0)</f>
        <v>43534</v>
      </c>
      <c r="T349" t="s">
        <v>439</v>
      </c>
    </row>
    <row r="350" spans="1:20" x14ac:dyDescent="0.3">
      <c r="A350">
        <v>1234</v>
      </c>
      <c r="B350">
        <v>175027</v>
      </c>
      <c r="C350">
        <v>0</v>
      </c>
      <c r="D350">
        <v>1</v>
      </c>
      <c r="E350">
        <v>67</v>
      </c>
      <c r="F350">
        <v>0</v>
      </c>
      <c r="G350">
        <v>1</v>
      </c>
      <c r="H350">
        <v>0</v>
      </c>
      <c r="I350">
        <v>0</v>
      </c>
      <c r="J350">
        <v>0</v>
      </c>
      <c r="K350">
        <v>0</v>
      </c>
      <c r="L350">
        <v>1</v>
      </c>
      <c r="M350">
        <v>0</v>
      </c>
      <c r="N350">
        <v>0</v>
      </c>
      <c r="O350" t="str" cm="1">
        <f t="array" ref="O350">_xlfn.IFS(Table1[[#This Row],[Divorced]]=1, "Divorced", Table1[[#This Row],[Married]]=1, "Married", Table1[[#This Row],[Single]]=1, "Single", Table1[[#This Row],[Together]]=1, "Together", Table1[[#This Row],[Widow]]=1, "Widow")</f>
        <v>Married</v>
      </c>
      <c r="P350" t="str" cm="1">
        <f t="array" ref="P350">_xlfn.IFS(Table1[[#This Row],[Basic]]=1, "Basic", Table1[[#This Row],[Graduate]]=1, "Graduate", Table1[[#This Row],[Master]]=1, "Master", Table1[[#This Row],[PhD]]=1, "PhD", AND(Table1[[#This Row],[Basic]]=0, Table1[[#This Row],[Graduate]]=0, Table1[[#This Row],[Master]]=0, Table1[[#This Row],[PhD]]=0), "NA")</f>
        <v>Graduate</v>
      </c>
      <c r="Q350" t="e">
        <f>_xlfn.XLOOKUP(Table1[[#This Row],[ID]], Table2[ID],#REF!, "Not Found", 0)</f>
        <v>#REF!</v>
      </c>
      <c r="R350" t="e">
        <f>_xlfn.XLOOKUP(Table1[[#This Row],[ID]], Table2[ID],#REF!, "Not Found", 0)</f>
        <v>#REF!</v>
      </c>
      <c r="S350" s="3" t="str">
        <f>_xlfn.XLOOKUP(Table1[[#This Row],[ID]], Table2[ID], Table2[Enrollment], "Not Found", 0)</f>
        <v>6/16/2019</v>
      </c>
      <c r="T350" t="s">
        <v>439</v>
      </c>
    </row>
    <row r="351" spans="1:20" x14ac:dyDescent="0.3">
      <c r="A351">
        <v>1708</v>
      </c>
      <c r="B351">
        <v>175012</v>
      </c>
      <c r="C351">
        <v>0</v>
      </c>
      <c r="D351">
        <v>0</v>
      </c>
      <c r="E351">
        <v>44</v>
      </c>
      <c r="F351">
        <v>1</v>
      </c>
      <c r="G351">
        <v>0</v>
      </c>
      <c r="H351">
        <v>0</v>
      </c>
      <c r="I351">
        <v>0</v>
      </c>
      <c r="J351">
        <v>0</v>
      </c>
      <c r="K351">
        <v>0</v>
      </c>
      <c r="L351">
        <v>0</v>
      </c>
      <c r="M351">
        <v>1</v>
      </c>
      <c r="N351">
        <v>0</v>
      </c>
      <c r="O351" t="str" cm="1">
        <f t="array" ref="O351">_xlfn.IFS(Table1[[#This Row],[Divorced]]=1, "Divorced", Table1[[#This Row],[Married]]=1, "Married", Table1[[#This Row],[Single]]=1, "Single", Table1[[#This Row],[Together]]=1, "Together", Table1[[#This Row],[Widow]]=1, "Widow")</f>
        <v>Divorced</v>
      </c>
      <c r="P351" t="str" cm="1">
        <f t="array" ref="P351">_xlfn.IFS(Table1[[#This Row],[Basic]]=1, "Basic", Table1[[#This Row],[Graduate]]=1, "Graduate", Table1[[#This Row],[Master]]=1, "Master", Table1[[#This Row],[PhD]]=1, "PhD", AND(Table1[[#This Row],[Basic]]=0, Table1[[#This Row],[Graduate]]=0, Table1[[#This Row],[Master]]=0, Table1[[#This Row],[PhD]]=0), "NA")</f>
        <v>Master</v>
      </c>
      <c r="Q351" t="e">
        <f>_xlfn.XLOOKUP(Table1[[#This Row],[ID]], Table2[ID],#REF!, "Not Found", 0)</f>
        <v>#REF!</v>
      </c>
      <c r="R351" t="e">
        <f>_xlfn.XLOOKUP(Table1[[#This Row],[ID]], Table2[ID],#REF!, "Not Found", 0)</f>
        <v>#REF!</v>
      </c>
      <c r="S351" s="3">
        <f>_xlfn.XLOOKUP(Table1[[#This Row],[ID]], Table2[ID], Table2[Enrollment], "Not Found", 0)</f>
        <v>43837</v>
      </c>
      <c r="T351" t="s">
        <v>439</v>
      </c>
    </row>
    <row r="352" spans="1:20" x14ac:dyDescent="0.3">
      <c r="A352">
        <v>1747</v>
      </c>
      <c r="B352">
        <v>174985</v>
      </c>
      <c r="C352">
        <v>0</v>
      </c>
      <c r="D352">
        <v>0</v>
      </c>
      <c r="E352">
        <v>43</v>
      </c>
      <c r="F352">
        <v>0</v>
      </c>
      <c r="G352">
        <v>1</v>
      </c>
      <c r="H352">
        <v>0</v>
      </c>
      <c r="I352">
        <v>0</v>
      </c>
      <c r="J352">
        <v>0</v>
      </c>
      <c r="K352">
        <v>0</v>
      </c>
      <c r="L352">
        <v>1</v>
      </c>
      <c r="M352">
        <v>0</v>
      </c>
      <c r="N352">
        <v>0</v>
      </c>
      <c r="O352" t="str" cm="1">
        <f t="array" ref="O352">_xlfn.IFS(Table1[[#This Row],[Divorced]]=1, "Divorced", Table1[[#This Row],[Married]]=1, "Married", Table1[[#This Row],[Single]]=1, "Single", Table1[[#This Row],[Together]]=1, "Together", Table1[[#This Row],[Widow]]=1, "Widow")</f>
        <v>Married</v>
      </c>
      <c r="P352" t="str" cm="1">
        <f t="array" ref="P352">_xlfn.IFS(Table1[[#This Row],[Basic]]=1, "Basic", Table1[[#This Row],[Graduate]]=1, "Graduate", Table1[[#This Row],[Master]]=1, "Master", Table1[[#This Row],[PhD]]=1, "PhD", AND(Table1[[#This Row],[Basic]]=0, Table1[[#This Row],[Graduate]]=0, Table1[[#This Row],[Master]]=0, Table1[[#This Row],[PhD]]=0), "NA")</f>
        <v>Graduate</v>
      </c>
      <c r="Q352" t="e">
        <f>_xlfn.XLOOKUP(Table1[[#This Row],[ID]], Table2[ID],#REF!, "Not Found", 0)</f>
        <v>#REF!</v>
      </c>
      <c r="R352" t="e">
        <f>_xlfn.XLOOKUP(Table1[[#This Row],[ID]], Table2[ID],#REF!, "Not Found", 0)</f>
        <v>#REF!</v>
      </c>
      <c r="S352" s="3" t="str">
        <f>_xlfn.XLOOKUP(Table1[[#This Row],[ID]], Table2[ID], Table2[Enrollment], "Not Found", 0)</f>
        <v>2/16/2019</v>
      </c>
      <c r="T352" t="s">
        <v>437</v>
      </c>
    </row>
    <row r="353" spans="1:20" x14ac:dyDescent="0.3">
      <c r="A353">
        <v>2194</v>
      </c>
      <c r="B353">
        <v>174918</v>
      </c>
      <c r="C353">
        <v>0</v>
      </c>
      <c r="D353">
        <v>0</v>
      </c>
      <c r="E353">
        <v>51</v>
      </c>
      <c r="F353">
        <v>0</v>
      </c>
      <c r="G353">
        <v>0</v>
      </c>
      <c r="H353">
        <v>0</v>
      </c>
      <c r="I353">
        <v>1</v>
      </c>
      <c r="J353">
        <v>0</v>
      </c>
      <c r="K353">
        <v>0</v>
      </c>
      <c r="L353">
        <v>1</v>
      </c>
      <c r="M353">
        <v>0</v>
      </c>
      <c r="N353">
        <v>0</v>
      </c>
      <c r="O353" t="str" cm="1">
        <f t="array" ref="O353">_xlfn.IFS(Table1[[#This Row],[Divorced]]=1, "Divorced", Table1[[#This Row],[Married]]=1, "Married", Table1[[#This Row],[Single]]=1, "Single", Table1[[#This Row],[Together]]=1, "Together", Table1[[#This Row],[Widow]]=1, "Widow")</f>
        <v>Together</v>
      </c>
      <c r="P353" t="str" cm="1">
        <f t="array" ref="P353">_xlfn.IFS(Table1[[#This Row],[Basic]]=1, "Basic", Table1[[#This Row],[Graduate]]=1, "Graduate", Table1[[#This Row],[Master]]=1, "Master", Table1[[#This Row],[PhD]]=1, "PhD", AND(Table1[[#This Row],[Basic]]=0, Table1[[#This Row],[Graduate]]=0, Table1[[#This Row],[Master]]=0, Table1[[#This Row],[PhD]]=0), "NA")</f>
        <v>Graduate</v>
      </c>
      <c r="Q353" t="e">
        <f>_xlfn.XLOOKUP(Table1[[#This Row],[ID]], Table2[ID],#REF!, "Not Found", 0)</f>
        <v>#REF!</v>
      </c>
      <c r="R353" t="e">
        <f>_xlfn.XLOOKUP(Table1[[#This Row],[ID]], Table2[ID],#REF!, "Not Found", 0)</f>
        <v>#REF!</v>
      </c>
      <c r="S353" s="3" t="str">
        <f>_xlfn.XLOOKUP(Table1[[#This Row],[ID]], Table2[ID], Table2[Enrollment], "Not Found", 0)</f>
        <v>8/17/2019</v>
      </c>
      <c r="T353" t="s">
        <v>439</v>
      </c>
    </row>
    <row r="354" spans="1:20" x14ac:dyDescent="0.3">
      <c r="A354">
        <v>2517</v>
      </c>
      <c r="B354">
        <v>174881</v>
      </c>
      <c r="C354">
        <v>1</v>
      </c>
      <c r="D354">
        <v>1</v>
      </c>
      <c r="E354">
        <v>59</v>
      </c>
      <c r="F354">
        <v>0</v>
      </c>
      <c r="G354">
        <v>0</v>
      </c>
      <c r="H354">
        <v>0</v>
      </c>
      <c r="I354">
        <v>1</v>
      </c>
      <c r="J354">
        <v>0</v>
      </c>
      <c r="K354">
        <v>0</v>
      </c>
      <c r="L354">
        <v>0</v>
      </c>
      <c r="M354">
        <v>1</v>
      </c>
      <c r="N354">
        <v>0</v>
      </c>
      <c r="O354" t="str" cm="1">
        <f t="array" ref="O354">_xlfn.IFS(Table1[[#This Row],[Divorced]]=1, "Divorced", Table1[[#This Row],[Married]]=1, "Married", Table1[[#This Row],[Single]]=1, "Single", Table1[[#This Row],[Together]]=1, "Together", Table1[[#This Row],[Widow]]=1, "Widow")</f>
        <v>Together</v>
      </c>
      <c r="P354" t="str" cm="1">
        <f t="array" ref="P354">_xlfn.IFS(Table1[[#This Row],[Basic]]=1, "Basic", Table1[[#This Row],[Graduate]]=1, "Graduate", Table1[[#This Row],[Master]]=1, "Master", Table1[[#This Row],[PhD]]=1, "PhD", AND(Table1[[#This Row],[Basic]]=0, Table1[[#This Row],[Graduate]]=0, Table1[[#This Row],[Master]]=0, Table1[[#This Row],[PhD]]=0), "NA")</f>
        <v>Master</v>
      </c>
      <c r="Q354" t="e">
        <f>_xlfn.XLOOKUP(Table1[[#This Row],[ID]], Table2[ID],#REF!, "Not Found", 0)</f>
        <v>#REF!</v>
      </c>
      <c r="R354" t="e">
        <f>_xlfn.XLOOKUP(Table1[[#This Row],[ID]], Table2[ID],#REF!, "Not Found", 0)</f>
        <v>#REF!</v>
      </c>
      <c r="S354" s="3" t="str">
        <f>_xlfn.XLOOKUP(Table1[[#This Row],[ID]], Table2[ID], Table2[Enrollment], "Not Found", 0)</f>
        <v>8/13/2019</v>
      </c>
      <c r="T354" t="s">
        <v>435</v>
      </c>
    </row>
    <row r="355" spans="1:20" x14ac:dyDescent="0.3">
      <c r="A355">
        <v>2703</v>
      </c>
      <c r="B355">
        <v>174881</v>
      </c>
      <c r="C355">
        <v>1</v>
      </c>
      <c r="D355">
        <v>1</v>
      </c>
      <c r="E355">
        <v>59</v>
      </c>
      <c r="F355">
        <v>0</v>
      </c>
      <c r="G355">
        <v>0</v>
      </c>
      <c r="H355">
        <v>0</v>
      </c>
      <c r="I355">
        <v>1</v>
      </c>
      <c r="J355">
        <v>0</v>
      </c>
      <c r="K355">
        <v>0</v>
      </c>
      <c r="L355">
        <v>0</v>
      </c>
      <c r="M355">
        <v>1</v>
      </c>
      <c r="N355">
        <v>0</v>
      </c>
      <c r="O355" t="str" cm="1">
        <f t="array" ref="O355">_xlfn.IFS(Table1[[#This Row],[Divorced]]=1, "Divorced", Table1[[#This Row],[Married]]=1, "Married", Table1[[#This Row],[Single]]=1, "Single", Table1[[#This Row],[Together]]=1, "Together", Table1[[#This Row],[Widow]]=1, "Widow")</f>
        <v>Together</v>
      </c>
      <c r="P355" t="str" cm="1">
        <f t="array" ref="P355">_xlfn.IFS(Table1[[#This Row],[Basic]]=1, "Basic", Table1[[#This Row],[Graduate]]=1, "Graduate", Table1[[#This Row],[Master]]=1, "Master", Table1[[#This Row],[PhD]]=1, "PhD", AND(Table1[[#This Row],[Basic]]=0, Table1[[#This Row],[Graduate]]=0, Table1[[#This Row],[Master]]=0, Table1[[#This Row],[PhD]]=0), "NA")</f>
        <v>Master</v>
      </c>
      <c r="Q355" t="e">
        <f>_xlfn.XLOOKUP(Table1[[#This Row],[ID]], Table2[ID],#REF!, "Not Found", 0)</f>
        <v>#REF!</v>
      </c>
      <c r="R355" t="e">
        <f>_xlfn.XLOOKUP(Table1[[#This Row],[ID]], Table2[ID],#REF!, "Not Found", 0)</f>
        <v>#REF!</v>
      </c>
      <c r="S355" s="3" t="str">
        <f>_xlfn.XLOOKUP(Table1[[#This Row],[ID]], Table2[ID], Table2[Enrollment], "Not Found", 0)</f>
        <v>8/13/2019</v>
      </c>
      <c r="T355" t="s">
        <v>435</v>
      </c>
    </row>
    <row r="356" spans="1:20" x14ac:dyDescent="0.3">
      <c r="A356">
        <v>3131</v>
      </c>
      <c r="B356">
        <v>174859</v>
      </c>
      <c r="C356">
        <v>0</v>
      </c>
      <c r="D356">
        <v>0</v>
      </c>
      <c r="E356">
        <v>71</v>
      </c>
      <c r="F356">
        <v>0</v>
      </c>
      <c r="G356">
        <v>0</v>
      </c>
      <c r="H356">
        <v>0</v>
      </c>
      <c r="I356">
        <v>0</v>
      </c>
      <c r="J356">
        <v>1</v>
      </c>
      <c r="K356">
        <v>0</v>
      </c>
      <c r="L356">
        <v>0</v>
      </c>
      <c r="M356">
        <v>0</v>
      </c>
      <c r="N356">
        <v>0</v>
      </c>
      <c r="O356" t="str" cm="1">
        <f t="array" ref="O356">_xlfn.IFS(Table1[[#This Row],[Divorced]]=1, "Divorced", Table1[[#This Row],[Married]]=1, "Married", Table1[[#This Row],[Single]]=1, "Single", Table1[[#This Row],[Together]]=1, "Together", Table1[[#This Row],[Widow]]=1, "Widow")</f>
        <v>Widow</v>
      </c>
      <c r="P356" t="str" cm="1">
        <f t="array" ref="P356">_xlfn.IFS(Table1[[#This Row],[Basic]]=1, "Basic", Table1[[#This Row],[Graduate]]=1, "Graduate", Table1[[#This Row],[Master]]=1, "Master", Table1[[#This Row],[PhD]]=1, "PhD", AND(Table1[[#This Row],[Basic]]=0, Table1[[#This Row],[Graduate]]=0, Table1[[#This Row],[Master]]=0, Table1[[#This Row],[PhD]]=0), "NA")</f>
        <v>NA</v>
      </c>
      <c r="Q356" t="e">
        <f>_xlfn.XLOOKUP(Table1[[#This Row],[ID]], Table2[ID],#REF!, "Not Found", 0)</f>
        <v>#REF!</v>
      </c>
      <c r="R356" t="e">
        <f>_xlfn.XLOOKUP(Table1[[#This Row],[ID]], Table2[ID],#REF!, "Not Found", 0)</f>
        <v>#REF!</v>
      </c>
      <c r="S356" s="3">
        <f>_xlfn.XLOOKUP(Table1[[#This Row],[ID]], Table2[ID], Table2[Enrollment], "Not Found", 0)</f>
        <v>43688</v>
      </c>
      <c r="T356" t="s">
        <v>434</v>
      </c>
    </row>
    <row r="357" spans="1:20" x14ac:dyDescent="0.3">
      <c r="A357">
        <v>1065</v>
      </c>
      <c r="B357">
        <v>174854</v>
      </c>
      <c r="C357">
        <v>1</v>
      </c>
      <c r="D357">
        <v>2</v>
      </c>
      <c r="E357">
        <v>50</v>
      </c>
      <c r="F357">
        <v>0</v>
      </c>
      <c r="G357">
        <v>0</v>
      </c>
      <c r="H357">
        <v>0</v>
      </c>
      <c r="I357">
        <v>1</v>
      </c>
      <c r="J357">
        <v>0</v>
      </c>
      <c r="K357">
        <v>0</v>
      </c>
      <c r="L357">
        <v>1</v>
      </c>
      <c r="M357">
        <v>0</v>
      </c>
      <c r="N357">
        <v>0</v>
      </c>
      <c r="O357" t="str" cm="1">
        <f t="array" ref="O357">_xlfn.IFS(Table1[[#This Row],[Divorced]]=1, "Divorced", Table1[[#This Row],[Married]]=1, "Married", Table1[[#This Row],[Single]]=1, "Single", Table1[[#This Row],[Together]]=1, "Together", Table1[[#This Row],[Widow]]=1, "Widow")</f>
        <v>Together</v>
      </c>
      <c r="P357" t="str" cm="1">
        <f t="array" ref="P357">_xlfn.IFS(Table1[[#This Row],[Basic]]=1, "Basic", Table1[[#This Row],[Graduate]]=1, "Graduate", Table1[[#This Row],[Master]]=1, "Master", Table1[[#This Row],[PhD]]=1, "PhD", AND(Table1[[#This Row],[Basic]]=0, Table1[[#This Row],[Graduate]]=0, Table1[[#This Row],[Master]]=0, Table1[[#This Row],[PhD]]=0), "NA")</f>
        <v>Graduate</v>
      </c>
      <c r="Q357" t="e">
        <f>_xlfn.XLOOKUP(Table1[[#This Row],[ID]], Table2[ID],#REF!, "Not Found", 0)</f>
        <v>#REF!</v>
      </c>
      <c r="R357" t="e">
        <f>_xlfn.XLOOKUP(Table1[[#This Row],[ID]], Table2[ID],#REF!, "Not Found", 0)</f>
        <v>#REF!</v>
      </c>
      <c r="S357" s="3" t="str">
        <f>_xlfn.XLOOKUP(Table1[[#This Row],[ID]], Table2[ID], Table2[Enrollment], "Not Found", 0)</f>
        <v>9/13/2019</v>
      </c>
      <c r="T357" t="s">
        <v>435</v>
      </c>
    </row>
    <row r="358" spans="1:20" x14ac:dyDescent="0.3">
      <c r="A358">
        <v>1701</v>
      </c>
      <c r="B358">
        <v>174806</v>
      </c>
      <c r="C358">
        <v>0</v>
      </c>
      <c r="D358">
        <v>1</v>
      </c>
      <c r="E358">
        <v>55</v>
      </c>
      <c r="F358">
        <v>0</v>
      </c>
      <c r="G358">
        <v>1</v>
      </c>
      <c r="H358">
        <v>0</v>
      </c>
      <c r="I358">
        <v>0</v>
      </c>
      <c r="J358">
        <v>0</v>
      </c>
      <c r="K358">
        <v>0</v>
      </c>
      <c r="L358">
        <v>0</v>
      </c>
      <c r="M358">
        <v>1</v>
      </c>
      <c r="N358">
        <v>0</v>
      </c>
      <c r="O358" t="str" cm="1">
        <f t="array" ref="O358">_xlfn.IFS(Table1[[#This Row],[Divorced]]=1, "Divorced", Table1[[#This Row],[Married]]=1, "Married", Table1[[#This Row],[Single]]=1, "Single", Table1[[#This Row],[Together]]=1, "Together", Table1[[#This Row],[Widow]]=1, "Widow")</f>
        <v>Married</v>
      </c>
      <c r="P358" t="str" cm="1">
        <f t="array" ref="P358">_xlfn.IFS(Table1[[#This Row],[Basic]]=1, "Basic", Table1[[#This Row],[Graduate]]=1, "Graduate", Table1[[#This Row],[Master]]=1, "Master", Table1[[#This Row],[PhD]]=1, "PhD", AND(Table1[[#This Row],[Basic]]=0, Table1[[#This Row],[Graduate]]=0, Table1[[#This Row],[Master]]=0, Table1[[#This Row],[PhD]]=0), "NA")</f>
        <v>Master</v>
      </c>
      <c r="Q358" t="e">
        <f>_xlfn.XLOOKUP(Table1[[#This Row],[ID]], Table2[ID],#REF!, "Not Found", 0)</f>
        <v>#REF!</v>
      </c>
      <c r="R358" t="e">
        <f>_xlfn.XLOOKUP(Table1[[#This Row],[ID]], Table2[ID],#REF!, "Not Found", 0)</f>
        <v>#REF!</v>
      </c>
      <c r="S358" s="3" t="str">
        <f>_xlfn.XLOOKUP(Table1[[#This Row],[ID]], Table2[ID], Table2[Enrollment], "Not Found", 0)</f>
        <v>5/26/2019</v>
      </c>
      <c r="T358" t="s">
        <v>435</v>
      </c>
    </row>
    <row r="359" spans="1:20" x14ac:dyDescent="0.3">
      <c r="A359">
        <v>2293</v>
      </c>
      <c r="B359">
        <v>174805</v>
      </c>
      <c r="C359">
        <v>0</v>
      </c>
      <c r="D359">
        <v>1</v>
      </c>
      <c r="E359">
        <v>65</v>
      </c>
      <c r="F359">
        <v>0</v>
      </c>
      <c r="G359">
        <v>0</v>
      </c>
      <c r="H359">
        <v>0</v>
      </c>
      <c r="I359">
        <v>1</v>
      </c>
      <c r="J359">
        <v>0</v>
      </c>
      <c r="K359">
        <v>0</v>
      </c>
      <c r="L359">
        <v>0</v>
      </c>
      <c r="M359">
        <v>0</v>
      </c>
      <c r="N359">
        <v>0</v>
      </c>
      <c r="O359" t="str" cm="1">
        <f t="array" ref="O359">_xlfn.IFS(Table1[[#This Row],[Divorced]]=1, "Divorced", Table1[[#This Row],[Married]]=1, "Married", Table1[[#This Row],[Single]]=1, "Single", Table1[[#This Row],[Together]]=1, "Together", Table1[[#This Row],[Widow]]=1, "Widow")</f>
        <v>Together</v>
      </c>
      <c r="P359" t="str" cm="1">
        <f t="array" ref="P359">_xlfn.IFS(Table1[[#This Row],[Basic]]=1, "Basic", Table1[[#This Row],[Graduate]]=1, "Graduate", Table1[[#This Row],[Master]]=1, "Master", Table1[[#This Row],[PhD]]=1, "PhD", AND(Table1[[#This Row],[Basic]]=0, Table1[[#This Row],[Graduate]]=0, Table1[[#This Row],[Master]]=0, Table1[[#This Row],[PhD]]=0), "NA")</f>
        <v>NA</v>
      </c>
      <c r="Q359" t="e">
        <f>_xlfn.XLOOKUP(Table1[[#This Row],[ID]], Table2[ID],#REF!, "Not Found", 0)</f>
        <v>#REF!</v>
      </c>
      <c r="R359" t="e">
        <f>_xlfn.XLOOKUP(Table1[[#This Row],[ID]], Table2[ID],#REF!, "Not Found", 0)</f>
        <v>#REF!</v>
      </c>
      <c r="S359" s="3">
        <f>_xlfn.XLOOKUP(Table1[[#This Row],[ID]], Table2[ID], Table2[Enrollment], "Not Found", 0)</f>
        <v>44169</v>
      </c>
      <c r="T359" t="s">
        <v>437</v>
      </c>
    </row>
    <row r="360" spans="1:20" x14ac:dyDescent="0.3">
      <c r="A360">
        <v>2234</v>
      </c>
      <c r="B360">
        <v>174716</v>
      </c>
      <c r="C360">
        <v>0</v>
      </c>
      <c r="D360">
        <v>1</v>
      </c>
      <c r="E360">
        <v>48</v>
      </c>
      <c r="F360">
        <v>0</v>
      </c>
      <c r="G360">
        <v>1</v>
      </c>
      <c r="H360">
        <v>0</v>
      </c>
      <c r="I360">
        <v>0</v>
      </c>
      <c r="J360">
        <v>0</v>
      </c>
      <c r="K360">
        <v>0</v>
      </c>
      <c r="L360">
        <v>1</v>
      </c>
      <c r="M360">
        <v>0</v>
      </c>
      <c r="N360">
        <v>0</v>
      </c>
      <c r="O360" t="str" cm="1">
        <f t="array" ref="O360">_xlfn.IFS(Table1[[#This Row],[Divorced]]=1, "Divorced", Table1[[#This Row],[Married]]=1, "Married", Table1[[#This Row],[Single]]=1, "Single", Table1[[#This Row],[Together]]=1, "Together", Table1[[#This Row],[Widow]]=1, "Widow")</f>
        <v>Married</v>
      </c>
      <c r="P360" t="str" cm="1">
        <f t="array" ref="P360">_xlfn.IFS(Table1[[#This Row],[Basic]]=1, "Basic", Table1[[#This Row],[Graduate]]=1, "Graduate", Table1[[#This Row],[Master]]=1, "Master", Table1[[#This Row],[PhD]]=1, "PhD", AND(Table1[[#This Row],[Basic]]=0, Table1[[#This Row],[Graduate]]=0, Table1[[#This Row],[Master]]=0, Table1[[#This Row],[PhD]]=0), "NA")</f>
        <v>Graduate</v>
      </c>
      <c r="Q360" t="e">
        <f>_xlfn.XLOOKUP(Table1[[#This Row],[ID]], Table2[ID],#REF!, "Not Found", 0)</f>
        <v>#REF!</v>
      </c>
      <c r="R360" t="e">
        <f>_xlfn.XLOOKUP(Table1[[#This Row],[ID]], Table2[ID],#REF!, "Not Found", 0)</f>
        <v>#REF!</v>
      </c>
      <c r="S360" s="3" t="str">
        <f>_xlfn.XLOOKUP(Table1[[#This Row],[ID]], Table2[ID], Table2[Enrollment], "Not Found", 0)</f>
        <v>2/17/2020</v>
      </c>
      <c r="T360" t="s">
        <v>438</v>
      </c>
    </row>
    <row r="361" spans="1:20" x14ac:dyDescent="0.3">
      <c r="A361">
        <v>1900</v>
      </c>
      <c r="B361">
        <v>174637</v>
      </c>
      <c r="C361">
        <v>0</v>
      </c>
      <c r="D361">
        <v>0</v>
      </c>
      <c r="E361">
        <v>66</v>
      </c>
      <c r="F361">
        <v>0</v>
      </c>
      <c r="G361">
        <v>0</v>
      </c>
      <c r="H361">
        <v>1</v>
      </c>
      <c r="I361">
        <v>0</v>
      </c>
      <c r="J361">
        <v>0</v>
      </c>
      <c r="K361">
        <v>0</v>
      </c>
      <c r="L361">
        <v>0</v>
      </c>
      <c r="M361">
        <v>0</v>
      </c>
      <c r="N361">
        <v>1</v>
      </c>
      <c r="O361" t="str" cm="1">
        <f t="array" ref="O361">_xlfn.IFS(Table1[[#This Row],[Divorced]]=1, "Divorced", Table1[[#This Row],[Married]]=1, "Married", Table1[[#This Row],[Single]]=1, "Single", Table1[[#This Row],[Together]]=1, "Together", Table1[[#This Row],[Widow]]=1, "Widow")</f>
        <v>Single</v>
      </c>
      <c r="P361" t="str" cm="1">
        <f t="array" ref="P361">_xlfn.IFS(Table1[[#This Row],[Basic]]=1, "Basic", Table1[[#This Row],[Graduate]]=1, "Graduate", Table1[[#This Row],[Master]]=1, "Master", Table1[[#This Row],[PhD]]=1, "PhD", AND(Table1[[#This Row],[Basic]]=0, Table1[[#This Row],[Graduate]]=0, Table1[[#This Row],[Master]]=0, Table1[[#This Row],[PhD]]=0), "NA")</f>
        <v>PhD</v>
      </c>
      <c r="Q361" t="e">
        <f>_xlfn.XLOOKUP(Table1[[#This Row],[ID]], Table2[ID],#REF!, "Not Found", 0)</f>
        <v>#REF!</v>
      </c>
      <c r="R361" t="e">
        <f>_xlfn.XLOOKUP(Table1[[#This Row],[ID]], Table2[ID],#REF!, "Not Found", 0)</f>
        <v>#REF!</v>
      </c>
      <c r="S361" s="3" t="str">
        <f>_xlfn.XLOOKUP(Table1[[#This Row],[ID]], Table2[ID], Table2[Enrollment], "Not Found", 0)</f>
        <v>10/23/2019</v>
      </c>
      <c r="T361" t="s">
        <v>439</v>
      </c>
    </row>
    <row r="362" spans="1:20" x14ac:dyDescent="0.3">
      <c r="A362">
        <v>2011</v>
      </c>
      <c r="B362">
        <v>174538</v>
      </c>
      <c r="C362">
        <v>0</v>
      </c>
      <c r="D362">
        <v>0</v>
      </c>
      <c r="E362">
        <v>49</v>
      </c>
      <c r="F362">
        <v>0</v>
      </c>
      <c r="G362">
        <v>0</v>
      </c>
      <c r="H362">
        <v>0</v>
      </c>
      <c r="I362">
        <v>1</v>
      </c>
      <c r="J362">
        <v>0</v>
      </c>
      <c r="K362">
        <v>0</v>
      </c>
      <c r="L362">
        <v>1</v>
      </c>
      <c r="M362">
        <v>0</v>
      </c>
      <c r="N362">
        <v>0</v>
      </c>
      <c r="O362" t="str" cm="1">
        <f t="array" ref="O362">_xlfn.IFS(Table1[[#This Row],[Divorced]]=1, "Divorced", Table1[[#This Row],[Married]]=1, "Married", Table1[[#This Row],[Single]]=1, "Single", Table1[[#This Row],[Together]]=1, "Together", Table1[[#This Row],[Widow]]=1, "Widow")</f>
        <v>Together</v>
      </c>
      <c r="P362" t="str" cm="1">
        <f t="array" ref="P362">_xlfn.IFS(Table1[[#This Row],[Basic]]=1, "Basic", Table1[[#This Row],[Graduate]]=1, "Graduate", Table1[[#This Row],[Master]]=1, "Master", Table1[[#This Row],[PhD]]=1, "PhD", AND(Table1[[#This Row],[Basic]]=0, Table1[[#This Row],[Graduate]]=0, Table1[[#This Row],[Master]]=0, Table1[[#This Row],[PhD]]=0), "NA")</f>
        <v>Graduate</v>
      </c>
      <c r="Q362" t="e">
        <f>_xlfn.XLOOKUP(Table1[[#This Row],[ID]], Table2[ID],#REF!, "Not Found", 0)</f>
        <v>#REF!</v>
      </c>
      <c r="R362" t="e">
        <f>_xlfn.XLOOKUP(Table1[[#This Row],[ID]], Table2[ID],#REF!, "Not Found", 0)</f>
        <v>#REF!</v>
      </c>
      <c r="S362" s="3">
        <f>_xlfn.XLOOKUP(Table1[[#This Row],[ID]], Table2[ID], Table2[Enrollment], "Not Found", 0)</f>
        <v>43567</v>
      </c>
      <c r="T362" t="s">
        <v>437</v>
      </c>
    </row>
    <row r="363" spans="1:20" x14ac:dyDescent="0.3">
      <c r="A363">
        <v>2940</v>
      </c>
      <c r="B363">
        <v>174485</v>
      </c>
      <c r="C363">
        <v>0</v>
      </c>
      <c r="D363">
        <v>0</v>
      </c>
      <c r="E363">
        <v>73</v>
      </c>
      <c r="F363">
        <v>0</v>
      </c>
      <c r="G363">
        <v>0</v>
      </c>
      <c r="H363">
        <v>0</v>
      </c>
      <c r="I363">
        <v>1</v>
      </c>
      <c r="J363">
        <v>0</v>
      </c>
      <c r="K363">
        <v>0</v>
      </c>
      <c r="L363">
        <v>1</v>
      </c>
      <c r="M363">
        <v>0</v>
      </c>
      <c r="N363">
        <v>0</v>
      </c>
      <c r="O363" t="str" cm="1">
        <f t="array" ref="O363">_xlfn.IFS(Table1[[#This Row],[Divorced]]=1, "Divorced", Table1[[#This Row],[Married]]=1, "Married", Table1[[#This Row],[Single]]=1, "Single", Table1[[#This Row],[Together]]=1, "Together", Table1[[#This Row],[Widow]]=1, "Widow")</f>
        <v>Together</v>
      </c>
      <c r="P363" t="str" cm="1">
        <f t="array" ref="P363">_xlfn.IFS(Table1[[#This Row],[Basic]]=1, "Basic", Table1[[#This Row],[Graduate]]=1, "Graduate", Table1[[#This Row],[Master]]=1, "Master", Table1[[#This Row],[PhD]]=1, "PhD", AND(Table1[[#This Row],[Basic]]=0, Table1[[#This Row],[Graduate]]=0, Table1[[#This Row],[Master]]=0, Table1[[#This Row],[PhD]]=0), "NA")</f>
        <v>Graduate</v>
      </c>
      <c r="Q363" t="e">
        <f>_xlfn.XLOOKUP(Table1[[#This Row],[ID]], Table2[ID],#REF!, "Not Found", 0)</f>
        <v>#REF!</v>
      </c>
      <c r="R363" t="e">
        <f>_xlfn.XLOOKUP(Table1[[#This Row],[ID]], Table2[ID],#REF!, "Not Found", 0)</f>
        <v>#REF!</v>
      </c>
      <c r="S363" s="3" t="str">
        <f>_xlfn.XLOOKUP(Table1[[#This Row],[ID]], Table2[ID], Table2[Enrollment], "Not Found", 0)</f>
        <v>1/29/2020</v>
      </c>
      <c r="T363" t="s">
        <v>436</v>
      </c>
    </row>
    <row r="364" spans="1:20" x14ac:dyDescent="0.3">
      <c r="A364">
        <v>1376</v>
      </c>
      <c r="B364">
        <v>174293</v>
      </c>
      <c r="C364">
        <v>0</v>
      </c>
      <c r="D364">
        <v>0</v>
      </c>
      <c r="E364">
        <v>27</v>
      </c>
      <c r="F364">
        <v>0</v>
      </c>
      <c r="G364">
        <v>0</v>
      </c>
      <c r="H364">
        <v>1</v>
      </c>
      <c r="I364">
        <v>0</v>
      </c>
      <c r="J364">
        <v>0</v>
      </c>
      <c r="K364">
        <v>0</v>
      </c>
      <c r="L364">
        <v>1</v>
      </c>
      <c r="M364">
        <v>0</v>
      </c>
      <c r="N364">
        <v>0</v>
      </c>
      <c r="O364" t="str" cm="1">
        <f t="array" ref="O364">_xlfn.IFS(Table1[[#This Row],[Divorced]]=1, "Divorced", Table1[[#This Row],[Married]]=1, "Married", Table1[[#This Row],[Single]]=1, "Single", Table1[[#This Row],[Together]]=1, "Together", Table1[[#This Row],[Widow]]=1, "Widow")</f>
        <v>Single</v>
      </c>
      <c r="P364" t="str" cm="1">
        <f t="array" ref="P364">_xlfn.IFS(Table1[[#This Row],[Basic]]=1, "Basic", Table1[[#This Row],[Graduate]]=1, "Graduate", Table1[[#This Row],[Master]]=1, "Master", Table1[[#This Row],[PhD]]=1, "PhD", AND(Table1[[#This Row],[Basic]]=0, Table1[[#This Row],[Graduate]]=0, Table1[[#This Row],[Master]]=0, Table1[[#This Row],[PhD]]=0), "NA")</f>
        <v>Graduate</v>
      </c>
      <c r="Q364" t="e">
        <f>_xlfn.XLOOKUP(Table1[[#This Row],[ID]], Table2[ID],#REF!, "Not Found", 0)</f>
        <v>#REF!</v>
      </c>
      <c r="R364" t="e">
        <f>_xlfn.XLOOKUP(Table1[[#This Row],[ID]], Table2[ID],#REF!, "Not Found", 0)</f>
        <v>#REF!</v>
      </c>
      <c r="S364" s="3">
        <f>_xlfn.XLOOKUP(Table1[[#This Row],[ID]], Table2[ID], Table2[Enrollment], "Not Found", 0)</f>
        <v>44053</v>
      </c>
      <c r="T364" t="s">
        <v>438</v>
      </c>
    </row>
    <row r="365" spans="1:20" x14ac:dyDescent="0.3">
      <c r="A365">
        <v>1909</v>
      </c>
      <c r="B365">
        <v>174293</v>
      </c>
      <c r="C365">
        <v>0</v>
      </c>
      <c r="D365">
        <v>0</v>
      </c>
      <c r="E365">
        <v>27</v>
      </c>
      <c r="F365">
        <v>0</v>
      </c>
      <c r="G365">
        <v>0</v>
      </c>
      <c r="H365">
        <v>1</v>
      </c>
      <c r="I365">
        <v>0</v>
      </c>
      <c r="J365">
        <v>0</v>
      </c>
      <c r="K365">
        <v>0</v>
      </c>
      <c r="L365">
        <v>1</v>
      </c>
      <c r="M365">
        <v>0</v>
      </c>
      <c r="N365">
        <v>0</v>
      </c>
      <c r="O365" t="str" cm="1">
        <f t="array" ref="O365">_xlfn.IFS(Table1[[#This Row],[Divorced]]=1, "Divorced", Table1[[#This Row],[Married]]=1, "Married", Table1[[#This Row],[Single]]=1, "Single", Table1[[#This Row],[Together]]=1, "Together", Table1[[#This Row],[Widow]]=1, "Widow")</f>
        <v>Single</v>
      </c>
      <c r="P365" t="str" cm="1">
        <f t="array" ref="P365">_xlfn.IFS(Table1[[#This Row],[Basic]]=1, "Basic", Table1[[#This Row],[Graduate]]=1, "Graduate", Table1[[#This Row],[Master]]=1, "Master", Table1[[#This Row],[PhD]]=1, "PhD", AND(Table1[[#This Row],[Basic]]=0, Table1[[#This Row],[Graduate]]=0, Table1[[#This Row],[Master]]=0, Table1[[#This Row],[PhD]]=0), "NA")</f>
        <v>Graduate</v>
      </c>
      <c r="Q365" t="e">
        <f>_xlfn.XLOOKUP(Table1[[#This Row],[ID]], Table2[ID],#REF!, "Not Found", 0)</f>
        <v>#REF!</v>
      </c>
      <c r="R365" t="e">
        <f>_xlfn.XLOOKUP(Table1[[#This Row],[ID]], Table2[ID],#REF!, "Not Found", 0)</f>
        <v>#REF!</v>
      </c>
      <c r="S365" s="3">
        <f>_xlfn.XLOOKUP(Table1[[#This Row],[ID]], Table2[ID], Table2[Enrollment], "Not Found", 0)</f>
        <v>44053</v>
      </c>
      <c r="T365" t="s">
        <v>437</v>
      </c>
    </row>
    <row r="366" spans="1:20" x14ac:dyDescent="0.3">
      <c r="A366">
        <v>2830</v>
      </c>
      <c r="B366">
        <v>174290</v>
      </c>
      <c r="C366">
        <v>0</v>
      </c>
      <c r="D366">
        <v>1</v>
      </c>
      <c r="E366">
        <v>49</v>
      </c>
      <c r="F366">
        <v>1</v>
      </c>
      <c r="G366">
        <v>0</v>
      </c>
      <c r="H366">
        <v>0</v>
      </c>
      <c r="I366">
        <v>0</v>
      </c>
      <c r="J366">
        <v>0</v>
      </c>
      <c r="K366">
        <v>0</v>
      </c>
      <c r="L366">
        <v>0</v>
      </c>
      <c r="M366">
        <v>1</v>
      </c>
      <c r="N366">
        <v>0</v>
      </c>
      <c r="O366" t="str" cm="1">
        <f t="array" ref="O366">_xlfn.IFS(Table1[[#This Row],[Divorced]]=1, "Divorced", Table1[[#This Row],[Married]]=1, "Married", Table1[[#This Row],[Single]]=1, "Single", Table1[[#This Row],[Together]]=1, "Together", Table1[[#This Row],[Widow]]=1, "Widow")</f>
        <v>Divorced</v>
      </c>
      <c r="P366" t="str" cm="1">
        <f t="array" ref="P366">_xlfn.IFS(Table1[[#This Row],[Basic]]=1, "Basic", Table1[[#This Row],[Graduate]]=1, "Graduate", Table1[[#This Row],[Master]]=1, "Master", Table1[[#This Row],[PhD]]=1, "PhD", AND(Table1[[#This Row],[Basic]]=0, Table1[[#This Row],[Graduate]]=0, Table1[[#This Row],[Master]]=0, Table1[[#This Row],[PhD]]=0), "NA")</f>
        <v>Master</v>
      </c>
      <c r="Q366" t="e">
        <f>_xlfn.XLOOKUP(Table1[[#This Row],[ID]], Table2[ID],#REF!, "Not Found", 0)</f>
        <v>#REF!</v>
      </c>
      <c r="R366" t="e">
        <f>_xlfn.XLOOKUP(Table1[[#This Row],[ID]], Table2[ID],#REF!, "Not Found", 0)</f>
        <v>#REF!</v>
      </c>
      <c r="S366" s="3" t="str">
        <f>_xlfn.XLOOKUP(Table1[[#This Row],[ID]], Table2[ID], Table2[Enrollment], "Not Found", 0)</f>
        <v>1/17/2020</v>
      </c>
      <c r="T366" t="s">
        <v>439</v>
      </c>
    </row>
    <row r="367" spans="1:20" x14ac:dyDescent="0.3">
      <c r="A367">
        <v>2567</v>
      </c>
      <c r="B367">
        <v>174268</v>
      </c>
      <c r="C367">
        <v>0</v>
      </c>
      <c r="D367">
        <v>0</v>
      </c>
      <c r="E367">
        <v>65</v>
      </c>
      <c r="F367">
        <v>0</v>
      </c>
      <c r="G367">
        <v>1</v>
      </c>
      <c r="H367">
        <v>0</v>
      </c>
      <c r="I367">
        <v>0</v>
      </c>
      <c r="J367">
        <v>0</v>
      </c>
      <c r="K367">
        <v>0</v>
      </c>
      <c r="L367">
        <v>1</v>
      </c>
      <c r="M367">
        <v>0</v>
      </c>
      <c r="N367">
        <v>0</v>
      </c>
      <c r="O367" t="str" cm="1">
        <f t="array" ref="O367">_xlfn.IFS(Table1[[#This Row],[Divorced]]=1, "Divorced", Table1[[#This Row],[Married]]=1, "Married", Table1[[#This Row],[Single]]=1, "Single", Table1[[#This Row],[Together]]=1, "Together", Table1[[#This Row],[Widow]]=1, "Widow")</f>
        <v>Married</v>
      </c>
      <c r="P367" t="str" cm="1">
        <f t="array" ref="P367">_xlfn.IFS(Table1[[#This Row],[Basic]]=1, "Basic", Table1[[#This Row],[Graduate]]=1, "Graduate", Table1[[#This Row],[Master]]=1, "Master", Table1[[#This Row],[PhD]]=1, "PhD", AND(Table1[[#This Row],[Basic]]=0, Table1[[#This Row],[Graduate]]=0, Table1[[#This Row],[Master]]=0, Table1[[#This Row],[PhD]]=0), "NA")</f>
        <v>Graduate</v>
      </c>
      <c r="Q367" t="e">
        <f>_xlfn.XLOOKUP(Table1[[#This Row],[ID]], Table2[ID],#REF!, "Not Found", 0)</f>
        <v>#REF!</v>
      </c>
      <c r="R367" t="e">
        <f>_xlfn.XLOOKUP(Table1[[#This Row],[ID]], Table2[ID],#REF!, "Not Found", 0)</f>
        <v>#REF!</v>
      </c>
      <c r="S367" s="3" t="str">
        <f>_xlfn.XLOOKUP(Table1[[#This Row],[ID]], Table2[ID], Table2[Enrollment], "Not Found", 0)</f>
        <v>7/22/2019</v>
      </c>
      <c r="T367" t="s">
        <v>434</v>
      </c>
    </row>
    <row r="368" spans="1:20" x14ac:dyDescent="0.3">
      <c r="A368">
        <v>1758</v>
      </c>
      <c r="B368">
        <v>174250</v>
      </c>
      <c r="C368">
        <v>0</v>
      </c>
      <c r="D368">
        <v>0</v>
      </c>
      <c r="E368">
        <v>62</v>
      </c>
      <c r="F368">
        <v>0</v>
      </c>
      <c r="G368">
        <v>0</v>
      </c>
      <c r="H368">
        <v>0</v>
      </c>
      <c r="I368">
        <v>1</v>
      </c>
      <c r="J368">
        <v>0</v>
      </c>
      <c r="K368">
        <v>0</v>
      </c>
      <c r="L368">
        <v>0</v>
      </c>
      <c r="M368">
        <v>0</v>
      </c>
      <c r="N368">
        <v>1</v>
      </c>
      <c r="O368" t="str" cm="1">
        <f t="array" ref="O368">_xlfn.IFS(Table1[[#This Row],[Divorced]]=1, "Divorced", Table1[[#This Row],[Married]]=1, "Married", Table1[[#This Row],[Single]]=1, "Single", Table1[[#This Row],[Together]]=1, "Together", Table1[[#This Row],[Widow]]=1, "Widow")</f>
        <v>Together</v>
      </c>
      <c r="P368" t="str" cm="1">
        <f t="array" ref="P368">_xlfn.IFS(Table1[[#This Row],[Basic]]=1, "Basic", Table1[[#This Row],[Graduate]]=1, "Graduate", Table1[[#This Row],[Master]]=1, "Master", Table1[[#This Row],[PhD]]=1, "PhD", AND(Table1[[#This Row],[Basic]]=0, Table1[[#This Row],[Graduate]]=0, Table1[[#This Row],[Master]]=0, Table1[[#This Row],[PhD]]=0), "NA")</f>
        <v>PhD</v>
      </c>
      <c r="Q368" t="e">
        <f>_xlfn.XLOOKUP(Table1[[#This Row],[ID]], Table2[ID],#REF!, "Not Found", 0)</f>
        <v>#REF!</v>
      </c>
      <c r="R368" t="e">
        <f>_xlfn.XLOOKUP(Table1[[#This Row],[ID]], Table2[ID],#REF!, "Not Found", 0)</f>
        <v>#REF!</v>
      </c>
      <c r="S368" s="3">
        <f>_xlfn.XLOOKUP(Table1[[#This Row],[ID]], Table2[ID], Table2[Enrollment], "Not Found", 0)</f>
        <v>43868</v>
      </c>
      <c r="T368" t="s">
        <v>436</v>
      </c>
    </row>
    <row r="369" spans="1:20" x14ac:dyDescent="0.3">
      <c r="A369">
        <v>2153</v>
      </c>
      <c r="B369">
        <v>174214</v>
      </c>
      <c r="C369">
        <v>0</v>
      </c>
      <c r="D369">
        <v>0</v>
      </c>
      <c r="E369">
        <v>30</v>
      </c>
      <c r="F369">
        <v>0</v>
      </c>
      <c r="G369">
        <v>1</v>
      </c>
      <c r="H369">
        <v>0</v>
      </c>
      <c r="I369">
        <v>0</v>
      </c>
      <c r="J369">
        <v>0</v>
      </c>
      <c r="K369">
        <v>0</v>
      </c>
      <c r="L369">
        <v>0</v>
      </c>
      <c r="M369">
        <v>0</v>
      </c>
      <c r="N369">
        <v>1</v>
      </c>
      <c r="O369" t="str" cm="1">
        <f t="array" ref="O369">_xlfn.IFS(Table1[[#This Row],[Divorced]]=1, "Divorced", Table1[[#This Row],[Married]]=1, "Married", Table1[[#This Row],[Single]]=1, "Single", Table1[[#This Row],[Together]]=1, "Together", Table1[[#This Row],[Widow]]=1, "Widow")</f>
        <v>Married</v>
      </c>
      <c r="P369" t="str" cm="1">
        <f t="array" ref="P369">_xlfn.IFS(Table1[[#This Row],[Basic]]=1, "Basic", Table1[[#This Row],[Graduate]]=1, "Graduate", Table1[[#This Row],[Master]]=1, "Master", Table1[[#This Row],[PhD]]=1, "PhD", AND(Table1[[#This Row],[Basic]]=0, Table1[[#This Row],[Graduate]]=0, Table1[[#This Row],[Master]]=0, Table1[[#This Row],[PhD]]=0), "NA")</f>
        <v>PhD</v>
      </c>
      <c r="Q369" t="e">
        <f>_xlfn.XLOOKUP(Table1[[#This Row],[ID]], Table2[ID],#REF!, "Not Found", 0)</f>
        <v>#REF!</v>
      </c>
      <c r="R369" t="e">
        <f>_xlfn.XLOOKUP(Table1[[#This Row],[ID]], Table2[ID],#REF!, "Not Found", 0)</f>
        <v>#REF!</v>
      </c>
      <c r="S369" s="3" t="str">
        <f>_xlfn.XLOOKUP(Table1[[#This Row],[ID]], Table2[ID], Table2[Enrollment], "Not Found", 0)</f>
        <v>1/31/2019</v>
      </c>
      <c r="T369" t="s">
        <v>434</v>
      </c>
    </row>
    <row r="370" spans="1:20" x14ac:dyDescent="0.3">
      <c r="A370">
        <v>2238</v>
      </c>
      <c r="B370">
        <v>174190</v>
      </c>
      <c r="C370">
        <v>0</v>
      </c>
      <c r="D370">
        <v>1</v>
      </c>
      <c r="E370">
        <v>45</v>
      </c>
      <c r="F370">
        <v>0</v>
      </c>
      <c r="G370">
        <v>1</v>
      </c>
      <c r="H370">
        <v>0</v>
      </c>
      <c r="I370">
        <v>0</v>
      </c>
      <c r="J370">
        <v>0</v>
      </c>
      <c r="K370">
        <v>0</v>
      </c>
      <c r="L370">
        <v>1</v>
      </c>
      <c r="M370">
        <v>0</v>
      </c>
      <c r="N370">
        <v>0</v>
      </c>
      <c r="O370" t="str" cm="1">
        <f t="array" ref="O370">_xlfn.IFS(Table1[[#This Row],[Divorced]]=1, "Divorced", Table1[[#This Row],[Married]]=1, "Married", Table1[[#This Row],[Single]]=1, "Single", Table1[[#This Row],[Together]]=1, "Together", Table1[[#This Row],[Widow]]=1, "Widow")</f>
        <v>Married</v>
      </c>
      <c r="P370" t="str" cm="1">
        <f t="array" ref="P370">_xlfn.IFS(Table1[[#This Row],[Basic]]=1, "Basic", Table1[[#This Row],[Graduate]]=1, "Graduate", Table1[[#This Row],[Master]]=1, "Master", Table1[[#This Row],[PhD]]=1, "PhD", AND(Table1[[#This Row],[Basic]]=0, Table1[[#This Row],[Graduate]]=0, Table1[[#This Row],[Master]]=0, Table1[[#This Row],[PhD]]=0), "NA")</f>
        <v>Graduate</v>
      </c>
      <c r="Q370" t="e">
        <f>_xlfn.XLOOKUP(Table1[[#This Row],[ID]], Table2[ID],#REF!, "Not Found", 0)</f>
        <v>#REF!</v>
      </c>
      <c r="R370" t="e">
        <f>_xlfn.XLOOKUP(Table1[[#This Row],[ID]], Table2[ID],#REF!, "Not Found", 0)</f>
        <v>#REF!</v>
      </c>
      <c r="S370" s="3" t="str">
        <f>_xlfn.XLOOKUP(Table1[[#This Row],[ID]], Table2[ID], Table2[Enrollment], "Not Found", 0)</f>
        <v>10/16/2020</v>
      </c>
      <c r="T370" t="s">
        <v>436</v>
      </c>
    </row>
    <row r="371" spans="1:20" x14ac:dyDescent="0.3">
      <c r="A371">
        <v>1153</v>
      </c>
      <c r="B371">
        <v>174165</v>
      </c>
      <c r="C371">
        <v>0</v>
      </c>
      <c r="D371">
        <v>0</v>
      </c>
      <c r="E371">
        <v>45</v>
      </c>
      <c r="F371">
        <v>1</v>
      </c>
      <c r="G371">
        <v>0</v>
      </c>
      <c r="H371">
        <v>0</v>
      </c>
      <c r="I371">
        <v>0</v>
      </c>
      <c r="J371">
        <v>0</v>
      </c>
      <c r="K371">
        <v>0</v>
      </c>
      <c r="L371">
        <v>0</v>
      </c>
      <c r="M371">
        <v>0</v>
      </c>
      <c r="N371">
        <v>1</v>
      </c>
      <c r="O371" t="str" cm="1">
        <f t="array" ref="O371">_xlfn.IFS(Table1[[#This Row],[Divorced]]=1, "Divorced", Table1[[#This Row],[Married]]=1, "Married", Table1[[#This Row],[Single]]=1, "Single", Table1[[#This Row],[Together]]=1, "Together", Table1[[#This Row],[Widow]]=1, "Widow")</f>
        <v>Divorced</v>
      </c>
      <c r="P371" t="str" cm="1">
        <f t="array" ref="P371">_xlfn.IFS(Table1[[#This Row],[Basic]]=1, "Basic", Table1[[#This Row],[Graduate]]=1, "Graduate", Table1[[#This Row],[Master]]=1, "Master", Table1[[#This Row],[PhD]]=1, "PhD", AND(Table1[[#This Row],[Basic]]=0, Table1[[#This Row],[Graduate]]=0, Table1[[#This Row],[Master]]=0, Table1[[#This Row],[PhD]]=0), "NA")</f>
        <v>PhD</v>
      </c>
      <c r="Q371" t="e">
        <f>_xlfn.XLOOKUP(Table1[[#This Row],[ID]], Table2[ID],#REF!, "Not Found", 0)</f>
        <v>#REF!</v>
      </c>
      <c r="R371" t="e">
        <f>_xlfn.XLOOKUP(Table1[[#This Row],[ID]], Table2[ID],#REF!, "Not Found", 0)</f>
        <v>#REF!</v>
      </c>
      <c r="S371" s="3">
        <f>_xlfn.XLOOKUP(Table1[[#This Row],[ID]], Table2[ID], Table2[Enrollment], "Not Found", 0)</f>
        <v>43626</v>
      </c>
      <c r="T371" t="s">
        <v>437</v>
      </c>
    </row>
    <row r="372" spans="1:20" x14ac:dyDescent="0.3">
      <c r="A372">
        <v>1908</v>
      </c>
      <c r="B372">
        <v>174116</v>
      </c>
      <c r="C372">
        <v>0</v>
      </c>
      <c r="D372">
        <v>0</v>
      </c>
      <c r="E372">
        <v>38</v>
      </c>
      <c r="F372">
        <v>0</v>
      </c>
      <c r="G372">
        <v>0</v>
      </c>
      <c r="H372">
        <v>1</v>
      </c>
      <c r="I372">
        <v>0</v>
      </c>
      <c r="J372">
        <v>0</v>
      </c>
      <c r="K372">
        <v>0</v>
      </c>
      <c r="L372">
        <v>0</v>
      </c>
      <c r="M372">
        <v>0</v>
      </c>
      <c r="N372">
        <v>0</v>
      </c>
      <c r="O372" t="str" cm="1">
        <f t="array" ref="O372">_xlfn.IFS(Table1[[#This Row],[Divorced]]=1, "Divorced", Table1[[#This Row],[Married]]=1, "Married", Table1[[#This Row],[Single]]=1, "Single", Table1[[#This Row],[Together]]=1, "Together", Table1[[#This Row],[Widow]]=1, "Widow")</f>
        <v>Single</v>
      </c>
      <c r="P372" t="str" cm="1">
        <f t="array" ref="P372">_xlfn.IFS(Table1[[#This Row],[Basic]]=1, "Basic", Table1[[#This Row],[Graduate]]=1, "Graduate", Table1[[#This Row],[Master]]=1, "Master", Table1[[#This Row],[PhD]]=1, "PhD", AND(Table1[[#This Row],[Basic]]=0, Table1[[#This Row],[Graduate]]=0, Table1[[#This Row],[Master]]=0, Table1[[#This Row],[PhD]]=0), "NA")</f>
        <v>NA</v>
      </c>
      <c r="Q372" t="e">
        <f>_xlfn.XLOOKUP(Table1[[#This Row],[ID]], Table2[ID],#REF!, "Not Found", 0)</f>
        <v>#REF!</v>
      </c>
      <c r="R372" t="e">
        <f>_xlfn.XLOOKUP(Table1[[#This Row],[ID]], Table2[ID],#REF!, "Not Found", 0)</f>
        <v>#REF!</v>
      </c>
      <c r="S372" s="3">
        <f>_xlfn.XLOOKUP(Table1[[#This Row],[ID]], Table2[ID], Table2[Enrollment], "Not Found", 0)</f>
        <v>43957</v>
      </c>
      <c r="T372" t="s">
        <v>436</v>
      </c>
    </row>
    <row r="373" spans="1:20" x14ac:dyDescent="0.3">
      <c r="A373">
        <v>1177</v>
      </c>
      <c r="B373">
        <v>174068</v>
      </c>
      <c r="C373">
        <v>0</v>
      </c>
      <c r="D373">
        <v>0</v>
      </c>
      <c r="E373">
        <v>44</v>
      </c>
      <c r="F373">
        <v>0</v>
      </c>
      <c r="G373">
        <v>1</v>
      </c>
      <c r="H373">
        <v>0</v>
      </c>
      <c r="I373">
        <v>0</v>
      </c>
      <c r="J373">
        <v>0</v>
      </c>
      <c r="K373">
        <v>0</v>
      </c>
      <c r="L373">
        <v>1</v>
      </c>
      <c r="M373">
        <v>0</v>
      </c>
      <c r="N373">
        <v>0</v>
      </c>
      <c r="O373" t="str" cm="1">
        <f t="array" ref="O373">_xlfn.IFS(Table1[[#This Row],[Divorced]]=1, "Divorced", Table1[[#This Row],[Married]]=1, "Married", Table1[[#This Row],[Single]]=1, "Single", Table1[[#This Row],[Together]]=1, "Together", Table1[[#This Row],[Widow]]=1, "Widow")</f>
        <v>Married</v>
      </c>
      <c r="P373" t="str" cm="1">
        <f t="array" ref="P373">_xlfn.IFS(Table1[[#This Row],[Basic]]=1, "Basic", Table1[[#This Row],[Graduate]]=1, "Graduate", Table1[[#This Row],[Master]]=1, "Master", Table1[[#This Row],[PhD]]=1, "PhD", AND(Table1[[#This Row],[Basic]]=0, Table1[[#This Row],[Graduate]]=0, Table1[[#This Row],[Master]]=0, Table1[[#This Row],[PhD]]=0), "NA")</f>
        <v>Graduate</v>
      </c>
      <c r="Q373" t="e">
        <f>_xlfn.XLOOKUP(Table1[[#This Row],[ID]], Table2[ID],#REF!, "Not Found", 0)</f>
        <v>#REF!</v>
      </c>
      <c r="R373" t="e">
        <f>_xlfn.XLOOKUP(Table1[[#This Row],[ID]], Table2[ID],#REF!, "Not Found", 0)</f>
        <v>#REF!</v>
      </c>
      <c r="S373" s="3" t="str">
        <f>_xlfn.XLOOKUP(Table1[[#This Row],[ID]], Table2[ID], Table2[Enrollment], "Not Found", 0)</f>
        <v>8/24/2019</v>
      </c>
      <c r="T373" t="s">
        <v>437</v>
      </c>
    </row>
    <row r="374" spans="1:20" x14ac:dyDescent="0.3">
      <c r="A374">
        <v>2504</v>
      </c>
      <c r="B374">
        <v>174004</v>
      </c>
      <c r="C374">
        <v>0</v>
      </c>
      <c r="D374">
        <v>0</v>
      </c>
      <c r="E374">
        <v>33</v>
      </c>
      <c r="F374">
        <v>0</v>
      </c>
      <c r="G374">
        <v>0</v>
      </c>
      <c r="H374">
        <v>1</v>
      </c>
      <c r="I374">
        <v>0</v>
      </c>
      <c r="J374">
        <v>0</v>
      </c>
      <c r="K374">
        <v>0</v>
      </c>
      <c r="L374">
        <v>0</v>
      </c>
      <c r="M374">
        <v>0</v>
      </c>
      <c r="N374">
        <v>1</v>
      </c>
      <c r="O374" t="str" cm="1">
        <f t="array" ref="O374">_xlfn.IFS(Table1[[#This Row],[Divorced]]=1, "Divorced", Table1[[#This Row],[Married]]=1, "Married", Table1[[#This Row],[Single]]=1, "Single", Table1[[#This Row],[Together]]=1, "Together", Table1[[#This Row],[Widow]]=1, "Widow")</f>
        <v>Single</v>
      </c>
      <c r="P374" t="str" cm="1">
        <f t="array" ref="P374">_xlfn.IFS(Table1[[#This Row],[Basic]]=1, "Basic", Table1[[#This Row],[Graduate]]=1, "Graduate", Table1[[#This Row],[Master]]=1, "Master", Table1[[#This Row],[PhD]]=1, "PhD", AND(Table1[[#This Row],[Basic]]=0, Table1[[#This Row],[Graduate]]=0, Table1[[#This Row],[Master]]=0, Table1[[#This Row],[PhD]]=0), "NA")</f>
        <v>PhD</v>
      </c>
      <c r="Q374" t="e">
        <f>_xlfn.XLOOKUP(Table1[[#This Row],[ID]], Table2[ID],#REF!, "Not Found", 0)</f>
        <v>#REF!</v>
      </c>
      <c r="R374" t="e">
        <f>_xlfn.XLOOKUP(Table1[[#This Row],[ID]], Table2[ID],#REF!, "Not Found", 0)</f>
        <v>#REF!</v>
      </c>
      <c r="S374" s="3" t="str">
        <f>_xlfn.XLOOKUP(Table1[[#This Row],[ID]], Table2[ID], Table2[Enrollment], "Not Found", 0)</f>
        <v>7/31/2020</v>
      </c>
      <c r="T374" t="s">
        <v>438</v>
      </c>
    </row>
    <row r="375" spans="1:20" x14ac:dyDescent="0.3">
      <c r="A375">
        <v>1779</v>
      </c>
      <c r="B375">
        <v>173926</v>
      </c>
      <c r="C375">
        <v>0</v>
      </c>
      <c r="D375">
        <v>0</v>
      </c>
      <c r="E375">
        <v>47</v>
      </c>
      <c r="F375">
        <v>0</v>
      </c>
      <c r="G375">
        <v>0</v>
      </c>
      <c r="H375">
        <v>0</v>
      </c>
      <c r="I375">
        <v>1</v>
      </c>
      <c r="J375">
        <v>0</v>
      </c>
      <c r="K375">
        <v>0</v>
      </c>
      <c r="L375">
        <v>1</v>
      </c>
      <c r="M375">
        <v>0</v>
      </c>
      <c r="N375">
        <v>0</v>
      </c>
      <c r="O375" t="str" cm="1">
        <f t="array" ref="O375">_xlfn.IFS(Table1[[#This Row],[Divorced]]=1, "Divorced", Table1[[#This Row],[Married]]=1, "Married", Table1[[#This Row],[Single]]=1, "Single", Table1[[#This Row],[Together]]=1, "Together", Table1[[#This Row],[Widow]]=1, "Widow")</f>
        <v>Together</v>
      </c>
      <c r="P375" t="str" cm="1">
        <f t="array" ref="P375">_xlfn.IFS(Table1[[#This Row],[Basic]]=1, "Basic", Table1[[#This Row],[Graduate]]=1, "Graduate", Table1[[#This Row],[Master]]=1, "Master", Table1[[#This Row],[PhD]]=1, "PhD", AND(Table1[[#This Row],[Basic]]=0, Table1[[#This Row],[Graduate]]=0, Table1[[#This Row],[Master]]=0, Table1[[#This Row],[PhD]]=0), "NA")</f>
        <v>Graduate</v>
      </c>
      <c r="Q375" t="e">
        <f>_xlfn.XLOOKUP(Table1[[#This Row],[ID]], Table2[ID],#REF!, "Not Found", 0)</f>
        <v>#REF!</v>
      </c>
      <c r="R375" t="e">
        <f>_xlfn.XLOOKUP(Table1[[#This Row],[ID]], Table2[ID],#REF!, "Not Found", 0)</f>
        <v>#REF!</v>
      </c>
      <c r="S375" s="3">
        <f>_xlfn.XLOOKUP(Table1[[#This Row],[ID]], Table2[ID], Table2[Enrollment], "Not Found", 0)</f>
        <v>43654</v>
      </c>
      <c r="T375" t="s">
        <v>435</v>
      </c>
    </row>
    <row r="376" spans="1:20" x14ac:dyDescent="0.3">
      <c r="A376">
        <v>2428</v>
      </c>
      <c r="B376">
        <v>173892</v>
      </c>
      <c r="C376">
        <v>0</v>
      </c>
      <c r="D376">
        <v>0</v>
      </c>
      <c r="E376">
        <v>67</v>
      </c>
      <c r="F376">
        <v>0</v>
      </c>
      <c r="G376">
        <v>0</v>
      </c>
      <c r="H376">
        <v>1</v>
      </c>
      <c r="I376">
        <v>0</v>
      </c>
      <c r="J376">
        <v>0</v>
      </c>
      <c r="K376">
        <v>0</v>
      </c>
      <c r="L376">
        <v>1</v>
      </c>
      <c r="M376">
        <v>0</v>
      </c>
      <c r="N376">
        <v>0</v>
      </c>
      <c r="O376" t="str" cm="1">
        <f t="array" ref="O376">_xlfn.IFS(Table1[[#This Row],[Divorced]]=1, "Divorced", Table1[[#This Row],[Married]]=1, "Married", Table1[[#This Row],[Single]]=1, "Single", Table1[[#This Row],[Together]]=1, "Together", Table1[[#This Row],[Widow]]=1, "Widow")</f>
        <v>Single</v>
      </c>
      <c r="P376" t="str" cm="1">
        <f t="array" ref="P376">_xlfn.IFS(Table1[[#This Row],[Basic]]=1, "Basic", Table1[[#This Row],[Graduate]]=1, "Graduate", Table1[[#This Row],[Master]]=1, "Master", Table1[[#This Row],[PhD]]=1, "PhD", AND(Table1[[#This Row],[Basic]]=0, Table1[[#This Row],[Graduate]]=0, Table1[[#This Row],[Master]]=0, Table1[[#This Row],[PhD]]=0), "NA")</f>
        <v>Graduate</v>
      </c>
      <c r="Q376" t="e">
        <f>_xlfn.XLOOKUP(Table1[[#This Row],[ID]], Table2[ID],#REF!, "Not Found", 0)</f>
        <v>#REF!</v>
      </c>
      <c r="R376" t="e">
        <f>_xlfn.XLOOKUP(Table1[[#This Row],[ID]], Table2[ID],#REF!, "Not Found", 0)</f>
        <v>#REF!</v>
      </c>
      <c r="S376" s="3" t="str">
        <f>_xlfn.XLOOKUP(Table1[[#This Row],[ID]], Table2[ID], Table2[Enrollment], "Not Found", 0)</f>
        <v>4/19/2020</v>
      </c>
      <c r="T376" t="s">
        <v>439</v>
      </c>
    </row>
    <row r="377" spans="1:20" x14ac:dyDescent="0.3">
      <c r="A377">
        <v>3171</v>
      </c>
      <c r="B377">
        <v>173807</v>
      </c>
      <c r="C377">
        <v>0</v>
      </c>
      <c r="D377">
        <v>1</v>
      </c>
      <c r="E377">
        <v>42</v>
      </c>
      <c r="F377">
        <v>0</v>
      </c>
      <c r="G377">
        <v>1</v>
      </c>
      <c r="H377">
        <v>0</v>
      </c>
      <c r="I377">
        <v>0</v>
      </c>
      <c r="J377">
        <v>0</v>
      </c>
      <c r="K377">
        <v>0</v>
      </c>
      <c r="L377">
        <v>1</v>
      </c>
      <c r="M377">
        <v>0</v>
      </c>
      <c r="N377">
        <v>0</v>
      </c>
      <c r="O377" t="str" cm="1">
        <f t="array" ref="O377">_xlfn.IFS(Table1[[#This Row],[Divorced]]=1, "Divorced", Table1[[#This Row],[Married]]=1, "Married", Table1[[#This Row],[Single]]=1, "Single", Table1[[#This Row],[Together]]=1, "Together", Table1[[#This Row],[Widow]]=1, "Widow")</f>
        <v>Married</v>
      </c>
      <c r="P377" t="str" cm="1">
        <f t="array" ref="P377">_xlfn.IFS(Table1[[#This Row],[Basic]]=1, "Basic", Table1[[#This Row],[Graduate]]=1, "Graduate", Table1[[#This Row],[Master]]=1, "Master", Table1[[#This Row],[PhD]]=1, "PhD", AND(Table1[[#This Row],[Basic]]=0, Table1[[#This Row],[Graduate]]=0, Table1[[#This Row],[Master]]=0, Table1[[#This Row],[PhD]]=0), "NA")</f>
        <v>Graduate</v>
      </c>
      <c r="Q377" t="e">
        <f>_xlfn.XLOOKUP(Table1[[#This Row],[ID]], Table2[ID],#REF!, "Not Found", 0)</f>
        <v>#REF!</v>
      </c>
      <c r="R377" t="e">
        <f>_xlfn.XLOOKUP(Table1[[#This Row],[ID]], Table2[ID],#REF!, "Not Found", 0)</f>
        <v>#REF!</v>
      </c>
      <c r="S377" s="3">
        <f>_xlfn.XLOOKUP(Table1[[#This Row],[ID]], Table2[ID], Table2[Enrollment], "Not Found", 0)</f>
        <v>43714</v>
      </c>
      <c r="T377" t="s">
        <v>435</v>
      </c>
    </row>
    <row r="378" spans="1:20" x14ac:dyDescent="0.3">
      <c r="A378">
        <v>3162</v>
      </c>
      <c r="B378">
        <v>173803</v>
      </c>
      <c r="C378">
        <v>0</v>
      </c>
      <c r="D378">
        <v>1</v>
      </c>
      <c r="E378">
        <v>63</v>
      </c>
      <c r="F378">
        <v>0</v>
      </c>
      <c r="G378">
        <v>1</v>
      </c>
      <c r="H378">
        <v>0</v>
      </c>
      <c r="I378">
        <v>0</v>
      </c>
      <c r="J378">
        <v>0</v>
      </c>
      <c r="K378">
        <v>0</v>
      </c>
      <c r="L378">
        <v>1</v>
      </c>
      <c r="M378">
        <v>0</v>
      </c>
      <c r="N378">
        <v>0</v>
      </c>
      <c r="O378" t="str" cm="1">
        <f t="array" ref="O378">_xlfn.IFS(Table1[[#This Row],[Divorced]]=1, "Divorced", Table1[[#This Row],[Married]]=1, "Married", Table1[[#This Row],[Single]]=1, "Single", Table1[[#This Row],[Together]]=1, "Together", Table1[[#This Row],[Widow]]=1, "Widow")</f>
        <v>Married</v>
      </c>
      <c r="P378" t="str" cm="1">
        <f t="array" ref="P378">_xlfn.IFS(Table1[[#This Row],[Basic]]=1, "Basic", Table1[[#This Row],[Graduate]]=1, "Graduate", Table1[[#This Row],[Master]]=1, "Master", Table1[[#This Row],[PhD]]=1, "PhD", AND(Table1[[#This Row],[Basic]]=0, Table1[[#This Row],[Graduate]]=0, Table1[[#This Row],[Master]]=0, Table1[[#This Row],[PhD]]=0), "NA")</f>
        <v>Graduate</v>
      </c>
      <c r="Q378" t="e">
        <f>_xlfn.XLOOKUP(Table1[[#This Row],[ID]], Table2[ID],#REF!, "Not Found", 0)</f>
        <v>#REF!</v>
      </c>
      <c r="R378" t="e">
        <f>_xlfn.XLOOKUP(Table1[[#This Row],[ID]], Table2[ID],#REF!, "Not Found", 0)</f>
        <v>#REF!</v>
      </c>
      <c r="S378" s="3">
        <f>_xlfn.XLOOKUP(Table1[[#This Row],[ID]], Table2[ID], Table2[Enrollment], "Not Found", 0)</f>
        <v>43617</v>
      </c>
      <c r="T378" t="s">
        <v>436</v>
      </c>
    </row>
    <row r="379" spans="1:20" x14ac:dyDescent="0.3">
      <c r="A379">
        <v>2674</v>
      </c>
      <c r="B379">
        <v>173705</v>
      </c>
      <c r="C379">
        <v>0</v>
      </c>
      <c r="D379">
        <v>2</v>
      </c>
      <c r="E379">
        <v>69</v>
      </c>
      <c r="F379">
        <v>0</v>
      </c>
      <c r="G379">
        <v>0</v>
      </c>
      <c r="H379">
        <v>0</v>
      </c>
      <c r="I379">
        <v>0</v>
      </c>
      <c r="J379">
        <v>1</v>
      </c>
      <c r="K379">
        <v>0</v>
      </c>
      <c r="L379">
        <v>0</v>
      </c>
      <c r="M379">
        <v>1</v>
      </c>
      <c r="N379">
        <v>0</v>
      </c>
      <c r="O379" t="str" cm="1">
        <f t="array" ref="O379">_xlfn.IFS(Table1[[#This Row],[Divorced]]=1, "Divorced", Table1[[#This Row],[Married]]=1, "Married", Table1[[#This Row],[Single]]=1, "Single", Table1[[#This Row],[Together]]=1, "Together", Table1[[#This Row],[Widow]]=1, "Widow")</f>
        <v>Widow</v>
      </c>
      <c r="P379" t="str" cm="1">
        <f t="array" ref="P379">_xlfn.IFS(Table1[[#This Row],[Basic]]=1, "Basic", Table1[[#This Row],[Graduate]]=1, "Graduate", Table1[[#This Row],[Master]]=1, "Master", Table1[[#This Row],[PhD]]=1, "PhD", AND(Table1[[#This Row],[Basic]]=0, Table1[[#This Row],[Graduate]]=0, Table1[[#This Row],[Master]]=0, Table1[[#This Row],[PhD]]=0), "NA")</f>
        <v>Master</v>
      </c>
      <c r="Q379" t="e">
        <f>_xlfn.XLOOKUP(Table1[[#This Row],[ID]], Table2[ID],#REF!, "Not Found", 0)</f>
        <v>#REF!</v>
      </c>
      <c r="R379" t="e">
        <f>_xlfn.XLOOKUP(Table1[[#This Row],[ID]], Table2[ID],#REF!, "Not Found", 0)</f>
        <v>#REF!</v>
      </c>
      <c r="S379" s="3">
        <f>_xlfn.XLOOKUP(Table1[[#This Row],[ID]], Table2[ID], Table2[Enrollment], "Not Found", 0)</f>
        <v>44082</v>
      </c>
      <c r="T379" t="s">
        <v>439</v>
      </c>
    </row>
    <row r="380" spans="1:20" x14ac:dyDescent="0.3">
      <c r="A380">
        <v>1622</v>
      </c>
      <c r="B380">
        <v>173691</v>
      </c>
      <c r="C380">
        <v>0</v>
      </c>
      <c r="D380">
        <v>1</v>
      </c>
      <c r="E380">
        <v>49</v>
      </c>
      <c r="F380">
        <v>0</v>
      </c>
      <c r="G380">
        <v>1</v>
      </c>
      <c r="H380">
        <v>0</v>
      </c>
      <c r="I380">
        <v>0</v>
      </c>
      <c r="J380">
        <v>0</v>
      </c>
      <c r="K380">
        <v>0</v>
      </c>
      <c r="L380">
        <v>1</v>
      </c>
      <c r="M380">
        <v>0</v>
      </c>
      <c r="N380">
        <v>0</v>
      </c>
      <c r="O380" t="str" cm="1">
        <f t="array" ref="O380">_xlfn.IFS(Table1[[#This Row],[Divorced]]=1, "Divorced", Table1[[#This Row],[Married]]=1, "Married", Table1[[#This Row],[Single]]=1, "Single", Table1[[#This Row],[Together]]=1, "Together", Table1[[#This Row],[Widow]]=1, "Widow")</f>
        <v>Married</v>
      </c>
      <c r="P380" t="str" cm="1">
        <f t="array" ref="P380">_xlfn.IFS(Table1[[#This Row],[Basic]]=1, "Basic", Table1[[#This Row],[Graduate]]=1, "Graduate", Table1[[#This Row],[Master]]=1, "Master", Table1[[#This Row],[PhD]]=1, "PhD", AND(Table1[[#This Row],[Basic]]=0, Table1[[#This Row],[Graduate]]=0, Table1[[#This Row],[Master]]=0, Table1[[#This Row],[PhD]]=0), "NA")</f>
        <v>Graduate</v>
      </c>
      <c r="Q380" t="e">
        <f>_xlfn.XLOOKUP(Table1[[#This Row],[ID]], Table2[ID],#REF!, "Not Found", 0)</f>
        <v>#REF!</v>
      </c>
      <c r="R380" t="e">
        <f>_xlfn.XLOOKUP(Table1[[#This Row],[ID]], Table2[ID],#REF!, "Not Found", 0)</f>
        <v>#REF!</v>
      </c>
      <c r="S380" s="3">
        <f>_xlfn.XLOOKUP(Table1[[#This Row],[ID]], Table2[ID], Table2[Enrollment], "Not Found", 0)</f>
        <v>44169</v>
      </c>
      <c r="T380" t="s">
        <v>438</v>
      </c>
    </row>
    <row r="381" spans="1:20" x14ac:dyDescent="0.3">
      <c r="A381">
        <v>1230</v>
      </c>
      <c r="B381">
        <v>173687</v>
      </c>
      <c r="C381">
        <v>0</v>
      </c>
      <c r="D381">
        <v>0</v>
      </c>
      <c r="E381">
        <v>30</v>
      </c>
      <c r="F381">
        <v>0</v>
      </c>
      <c r="G381">
        <v>1</v>
      </c>
      <c r="H381">
        <v>0</v>
      </c>
      <c r="I381">
        <v>0</v>
      </c>
      <c r="J381">
        <v>0</v>
      </c>
      <c r="K381">
        <v>0</v>
      </c>
      <c r="L381">
        <v>1</v>
      </c>
      <c r="M381">
        <v>0</v>
      </c>
      <c r="N381">
        <v>0</v>
      </c>
      <c r="O381" t="str" cm="1">
        <f t="array" ref="O381">_xlfn.IFS(Table1[[#This Row],[Divorced]]=1, "Divorced", Table1[[#This Row],[Married]]=1, "Married", Table1[[#This Row],[Single]]=1, "Single", Table1[[#This Row],[Together]]=1, "Together", Table1[[#This Row],[Widow]]=1, "Widow")</f>
        <v>Married</v>
      </c>
      <c r="P381" t="str" cm="1">
        <f t="array" ref="P381">_xlfn.IFS(Table1[[#This Row],[Basic]]=1, "Basic", Table1[[#This Row],[Graduate]]=1, "Graduate", Table1[[#This Row],[Master]]=1, "Master", Table1[[#This Row],[PhD]]=1, "PhD", AND(Table1[[#This Row],[Basic]]=0, Table1[[#This Row],[Graduate]]=0, Table1[[#This Row],[Master]]=0, Table1[[#This Row],[PhD]]=0), "NA")</f>
        <v>Graduate</v>
      </c>
      <c r="Q381" t="e">
        <f>_xlfn.XLOOKUP(Table1[[#This Row],[ID]], Table2[ID],#REF!, "Not Found", 0)</f>
        <v>#REF!</v>
      </c>
      <c r="R381" t="e">
        <f>_xlfn.XLOOKUP(Table1[[#This Row],[ID]], Table2[ID],#REF!, "Not Found", 0)</f>
        <v>#REF!</v>
      </c>
      <c r="S381" s="3">
        <f>_xlfn.XLOOKUP(Table1[[#This Row],[ID]], Table2[ID], Table2[Enrollment], "Not Found", 0)</f>
        <v>43926</v>
      </c>
      <c r="T381" t="s">
        <v>436</v>
      </c>
    </row>
    <row r="382" spans="1:20" x14ac:dyDescent="0.3">
      <c r="A382">
        <v>2488</v>
      </c>
      <c r="B382">
        <v>173538</v>
      </c>
      <c r="C382">
        <v>0</v>
      </c>
      <c r="D382">
        <v>1</v>
      </c>
      <c r="E382">
        <v>55</v>
      </c>
      <c r="F382">
        <v>0</v>
      </c>
      <c r="G382">
        <v>1</v>
      </c>
      <c r="H382">
        <v>0</v>
      </c>
      <c r="I382">
        <v>0</v>
      </c>
      <c r="J382">
        <v>0</v>
      </c>
      <c r="K382">
        <v>0</v>
      </c>
      <c r="L382">
        <v>1</v>
      </c>
      <c r="M382">
        <v>0</v>
      </c>
      <c r="N382">
        <v>0</v>
      </c>
      <c r="O382" t="str" cm="1">
        <f t="array" ref="O382">_xlfn.IFS(Table1[[#This Row],[Divorced]]=1, "Divorced", Table1[[#This Row],[Married]]=1, "Married", Table1[[#This Row],[Single]]=1, "Single", Table1[[#This Row],[Together]]=1, "Together", Table1[[#This Row],[Widow]]=1, "Widow")</f>
        <v>Married</v>
      </c>
      <c r="P382" t="str" cm="1">
        <f t="array" ref="P382">_xlfn.IFS(Table1[[#This Row],[Basic]]=1, "Basic", Table1[[#This Row],[Graduate]]=1, "Graduate", Table1[[#This Row],[Master]]=1, "Master", Table1[[#This Row],[PhD]]=1, "PhD", AND(Table1[[#This Row],[Basic]]=0, Table1[[#This Row],[Graduate]]=0, Table1[[#This Row],[Master]]=0, Table1[[#This Row],[PhD]]=0), "NA")</f>
        <v>Graduate</v>
      </c>
      <c r="Q382" t="e">
        <f>_xlfn.XLOOKUP(Table1[[#This Row],[ID]], Table2[ID],#REF!, "Not Found", 0)</f>
        <v>#REF!</v>
      </c>
      <c r="R382" t="e">
        <f>_xlfn.XLOOKUP(Table1[[#This Row],[ID]], Table2[ID],#REF!, "Not Found", 0)</f>
        <v>#REF!</v>
      </c>
      <c r="S382" s="3">
        <f>_xlfn.XLOOKUP(Table1[[#This Row],[ID]], Table2[ID], Table2[Enrollment], "Not Found", 0)</f>
        <v>43501</v>
      </c>
      <c r="T382" t="s">
        <v>439</v>
      </c>
    </row>
    <row r="383" spans="1:20" x14ac:dyDescent="0.3">
      <c r="A383">
        <v>1227</v>
      </c>
      <c r="B383">
        <v>173455</v>
      </c>
      <c r="C383">
        <v>0</v>
      </c>
      <c r="D383">
        <v>0</v>
      </c>
      <c r="E383">
        <v>52</v>
      </c>
      <c r="F383">
        <v>0</v>
      </c>
      <c r="G383">
        <v>0</v>
      </c>
      <c r="H383">
        <v>0</v>
      </c>
      <c r="I383">
        <v>0</v>
      </c>
      <c r="J383">
        <v>1</v>
      </c>
      <c r="K383">
        <v>0</v>
      </c>
      <c r="L383">
        <v>1</v>
      </c>
      <c r="M383">
        <v>0</v>
      </c>
      <c r="N383">
        <v>0</v>
      </c>
      <c r="O383" t="str" cm="1">
        <f t="array" ref="O383">_xlfn.IFS(Table1[[#This Row],[Divorced]]=1, "Divorced", Table1[[#This Row],[Married]]=1, "Married", Table1[[#This Row],[Single]]=1, "Single", Table1[[#This Row],[Together]]=1, "Together", Table1[[#This Row],[Widow]]=1, "Widow")</f>
        <v>Widow</v>
      </c>
      <c r="P383" t="str" cm="1">
        <f t="array" ref="P383">_xlfn.IFS(Table1[[#This Row],[Basic]]=1, "Basic", Table1[[#This Row],[Graduate]]=1, "Graduate", Table1[[#This Row],[Master]]=1, "Master", Table1[[#This Row],[PhD]]=1, "PhD", AND(Table1[[#This Row],[Basic]]=0, Table1[[#This Row],[Graduate]]=0, Table1[[#This Row],[Master]]=0, Table1[[#This Row],[PhD]]=0), "NA")</f>
        <v>Graduate</v>
      </c>
      <c r="Q383" t="e">
        <f>_xlfn.XLOOKUP(Table1[[#This Row],[ID]], Table2[ID],#REF!, "Not Found", 0)</f>
        <v>#REF!</v>
      </c>
      <c r="R383" t="e">
        <f>_xlfn.XLOOKUP(Table1[[#This Row],[ID]], Table2[ID],#REF!, "Not Found", 0)</f>
        <v>#REF!</v>
      </c>
      <c r="S383" s="3">
        <f>_xlfn.XLOOKUP(Table1[[#This Row],[ID]], Table2[ID], Table2[Enrollment], "Not Found", 0)</f>
        <v>43894</v>
      </c>
      <c r="T383" t="s">
        <v>435</v>
      </c>
    </row>
    <row r="384" spans="1:20" x14ac:dyDescent="0.3">
      <c r="A384">
        <v>1505</v>
      </c>
      <c r="B384">
        <v>173454</v>
      </c>
      <c r="C384">
        <v>0</v>
      </c>
      <c r="D384">
        <v>0</v>
      </c>
      <c r="E384">
        <v>33</v>
      </c>
      <c r="F384">
        <v>0</v>
      </c>
      <c r="G384">
        <v>0</v>
      </c>
      <c r="H384">
        <v>1</v>
      </c>
      <c r="I384">
        <v>0</v>
      </c>
      <c r="J384">
        <v>0</v>
      </c>
      <c r="K384">
        <v>0</v>
      </c>
      <c r="L384">
        <v>0</v>
      </c>
      <c r="M384">
        <v>1</v>
      </c>
      <c r="N384">
        <v>0</v>
      </c>
      <c r="O384" t="str" cm="1">
        <f t="array" ref="O384">_xlfn.IFS(Table1[[#This Row],[Divorced]]=1, "Divorced", Table1[[#This Row],[Married]]=1, "Married", Table1[[#This Row],[Single]]=1, "Single", Table1[[#This Row],[Together]]=1, "Together", Table1[[#This Row],[Widow]]=1, "Widow")</f>
        <v>Single</v>
      </c>
      <c r="P384" t="str" cm="1">
        <f t="array" ref="P384">_xlfn.IFS(Table1[[#This Row],[Basic]]=1, "Basic", Table1[[#This Row],[Graduate]]=1, "Graduate", Table1[[#This Row],[Master]]=1, "Master", Table1[[#This Row],[PhD]]=1, "PhD", AND(Table1[[#This Row],[Basic]]=0, Table1[[#This Row],[Graduate]]=0, Table1[[#This Row],[Master]]=0, Table1[[#This Row],[PhD]]=0), "NA")</f>
        <v>Master</v>
      </c>
      <c r="Q384" t="e">
        <f>_xlfn.XLOOKUP(Table1[[#This Row],[ID]], Table2[ID],#REF!, "Not Found", 0)</f>
        <v>#REF!</v>
      </c>
      <c r="R384" t="e">
        <f>_xlfn.XLOOKUP(Table1[[#This Row],[ID]], Table2[ID],#REF!, "Not Found", 0)</f>
        <v>#REF!</v>
      </c>
      <c r="S384" s="3">
        <f>_xlfn.XLOOKUP(Table1[[#This Row],[ID]], Table2[ID], Table2[Enrollment], "Not Found", 0)</f>
        <v>43959</v>
      </c>
      <c r="T384" t="s">
        <v>434</v>
      </c>
    </row>
    <row r="385" spans="1:20" x14ac:dyDescent="0.3">
      <c r="A385">
        <v>2243</v>
      </c>
      <c r="B385">
        <v>173450</v>
      </c>
      <c r="C385">
        <v>0</v>
      </c>
      <c r="D385">
        <v>0</v>
      </c>
      <c r="E385">
        <v>38</v>
      </c>
      <c r="F385">
        <v>0</v>
      </c>
      <c r="G385">
        <v>0</v>
      </c>
      <c r="H385">
        <v>0</v>
      </c>
      <c r="I385">
        <v>1</v>
      </c>
      <c r="J385">
        <v>0</v>
      </c>
      <c r="K385">
        <v>0</v>
      </c>
      <c r="L385">
        <v>0</v>
      </c>
      <c r="M385">
        <v>1</v>
      </c>
      <c r="N385">
        <v>0</v>
      </c>
      <c r="O385" t="str" cm="1">
        <f t="array" ref="O385">_xlfn.IFS(Table1[[#This Row],[Divorced]]=1, "Divorced", Table1[[#This Row],[Married]]=1, "Married", Table1[[#This Row],[Single]]=1, "Single", Table1[[#This Row],[Together]]=1, "Together", Table1[[#This Row],[Widow]]=1, "Widow")</f>
        <v>Together</v>
      </c>
      <c r="P385" t="str" cm="1">
        <f t="array" ref="P385">_xlfn.IFS(Table1[[#This Row],[Basic]]=1, "Basic", Table1[[#This Row],[Graduate]]=1, "Graduate", Table1[[#This Row],[Master]]=1, "Master", Table1[[#This Row],[PhD]]=1, "PhD", AND(Table1[[#This Row],[Basic]]=0, Table1[[#This Row],[Graduate]]=0, Table1[[#This Row],[Master]]=0, Table1[[#This Row],[PhD]]=0), "NA")</f>
        <v>Master</v>
      </c>
      <c r="Q385" t="e">
        <f>_xlfn.XLOOKUP(Table1[[#This Row],[ID]], Table2[ID],#REF!, "Not Found", 0)</f>
        <v>#REF!</v>
      </c>
      <c r="R385" t="e">
        <f>_xlfn.XLOOKUP(Table1[[#This Row],[ID]], Table2[ID],#REF!, "Not Found", 0)</f>
        <v>#REF!</v>
      </c>
      <c r="S385" s="3">
        <f>_xlfn.XLOOKUP(Table1[[#This Row],[ID]], Table2[ID], Table2[Enrollment], "Not Found", 0)</f>
        <v>44140</v>
      </c>
      <c r="T385" t="s">
        <v>434</v>
      </c>
    </row>
    <row r="386" spans="1:20" x14ac:dyDescent="0.3">
      <c r="A386">
        <v>1123</v>
      </c>
      <c r="B386">
        <v>173448</v>
      </c>
      <c r="C386">
        <v>0</v>
      </c>
      <c r="D386">
        <v>0</v>
      </c>
      <c r="E386">
        <v>51</v>
      </c>
      <c r="F386">
        <v>0</v>
      </c>
      <c r="G386">
        <v>1</v>
      </c>
      <c r="H386">
        <v>0</v>
      </c>
      <c r="I386">
        <v>0</v>
      </c>
      <c r="J386">
        <v>0</v>
      </c>
      <c r="K386">
        <v>0</v>
      </c>
      <c r="L386">
        <v>1</v>
      </c>
      <c r="M386">
        <v>0</v>
      </c>
      <c r="N386">
        <v>0</v>
      </c>
      <c r="O386" t="str" cm="1">
        <f t="array" ref="O386">_xlfn.IFS(Table1[[#This Row],[Divorced]]=1, "Divorced", Table1[[#This Row],[Married]]=1, "Married", Table1[[#This Row],[Single]]=1, "Single", Table1[[#This Row],[Together]]=1, "Together", Table1[[#This Row],[Widow]]=1, "Widow")</f>
        <v>Married</v>
      </c>
      <c r="P386" t="str" cm="1">
        <f t="array" ref="P386">_xlfn.IFS(Table1[[#This Row],[Basic]]=1, "Basic", Table1[[#This Row],[Graduate]]=1, "Graduate", Table1[[#This Row],[Master]]=1, "Master", Table1[[#This Row],[PhD]]=1, "PhD", AND(Table1[[#This Row],[Basic]]=0, Table1[[#This Row],[Graduate]]=0, Table1[[#This Row],[Master]]=0, Table1[[#This Row],[PhD]]=0), "NA")</f>
        <v>Graduate</v>
      </c>
      <c r="Q386" t="e">
        <f>_xlfn.XLOOKUP(Table1[[#This Row],[ID]], Table2[ID],#REF!, "Not Found", 0)</f>
        <v>#REF!</v>
      </c>
      <c r="R386" t="e">
        <f>_xlfn.XLOOKUP(Table1[[#This Row],[ID]], Table2[ID],#REF!, "Not Found", 0)</f>
        <v>#REF!</v>
      </c>
      <c r="S386" s="3" t="str">
        <f>_xlfn.XLOOKUP(Table1[[#This Row],[ID]], Table2[ID], Table2[Enrollment], "Not Found", 0)</f>
        <v>7/17/2020</v>
      </c>
      <c r="T386" t="s">
        <v>437</v>
      </c>
    </row>
    <row r="387" spans="1:20" x14ac:dyDescent="0.3">
      <c r="A387">
        <v>2877</v>
      </c>
      <c r="B387">
        <v>173395</v>
      </c>
      <c r="C387">
        <v>0</v>
      </c>
      <c r="D387">
        <v>0</v>
      </c>
      <c r="E387">
        <v>33</v>
      </c>
      <c r="F387">
        <v>0</v>
      </c>
      <c r="G387">
        <v>1</v>
      </c>
      <c r="H387">
        <v>0</v>
      </c>
      <c r="I387">
        <v>0</v>
      </c>
      <c r="J387">
        <v>0</v>
      </c>
      <c r="K387">
        <v>0</v>
      </c>
      <c r="L387">
        <v>0</v>
      </c>
      <c r="M387">
        <v>1</v>
      </c>
      <c r="N387">
        <v>0</v>
      </c>
      <c r="O387" t="str" cm="1">
        <f t="array" ref="O387">_xlfn.IFS(Table1[[#This Row],[Divorced]]=1, "Divorced", Table1[[#This Row],[Married]]=1, "Married", Table1[[#This Row],[Single]]=1, "Single", Table1[[#This Row],[Together]]=1, "Together", Table1[[#This Row],[Widow]]=1, "Widow")</f>
        <v>Married</v>
      </c>
      <c r="P387" t="str" cm="1">
        <f t="array" ref="P387">_xlfn.IFS(Table1[[#This Row],[Basic]]=1, "Basic", Table1[[#This Row],[Graduate]]=1, "Graduate", Table1[[#This Row],[Master]]=1, "Master", Table1[[#This Row],[PhD]]=1, "PhD", AND(Table1[[#This Row],[Basic]]=0, Table1[[#This Row],[Graduate]]=0, Table1[[#This Row],[Master]]=0, Table1[[#This Row],[PhD]]=0), "NA")</f>
        <v>Master</v>
      </c>
      <c r="Q387" t="e">
        <f>_xlfn.XLOOKUP(Table1[[#This Row],[ID]], Table2[ID],#REF!, "Not Found", 0)</f>
        <v>#REF!</v>
      </c>
      <c r="R387" t="e">
        <f>_xlfn.XLOOKUP(Table1[[#This Row],[ID]], Table2[ID],#REF!, "Not Found", 0)</f>
        <v>#REF!</v>
      </c>
      <c r="S387" s="3" t="str">
        <f>_xlfn.XLOOKUP(Table1[[#This Row],[ID]], Table2[ID], Table2[Enrollment], "Not Found", 0)</f>
        <v>8/22/2020</v>
      </c>
      <c r="T387" t="s">
        <v>435</v>
      </c>
    </row>
    <row r="388" spans="1:20" x14ac:dyDescent="0.3">
      <c r="A388">
        <v>2915</v>
      </c>
      <c r="B388">
        <v>173356</v>
      </c>
      <c r="C388">
        <v>0</v>
      </c>
      <c r="D388">
        <v>0</v>
      </c>
      <c r="E388">
        <v>36</v>
      </c>
      <c r="F388">
        <v>0</v>
      </c>
      <c r="G388">
        <v>1</v>
      </c>
      <c r="H388">
        <v>0</v>
      </c>
      <c r="I388">
        <v>0</v>
      </c>
      <c r="J388">
        <v>0</v>
      </c>
      <c r="K388">
        <v>0</v>
      </c>
      <c r="L388">
        <v>0</v>
      </c>
      <c r="M388">
        <v>0</v>
      </c>
      <c r="N388">
        <v>1</v>
      </c>
      <c r="O388" t="str" cm="1">
        <f t="array" ref="O388">_xlfn.IFS(Table1[[#This Row],[Divorced]]=1, "Divorced", Table1[[#This Row],[Married]]=1, "Married", Table1[[#This Row],[Single]]=1, "Single", Table1[[#This Row],[Together]]=1, "Together", Table1[[#This Row],[Widow]]=1, "Widow")</f>
        <v>Married</v>
      </c>
      <c r="P388" t="str" cm="1">
        <f t="array" ref="P388">_xlfn.IFS(Table1[[#This Row],[Basic]]=1, "Basic", Table1[[#This Row],[Graduate]]=1, "Graduate", Table1[[#This Row],[Master]]=1, "Master", Table1[[#This Row],[PhD]]=1, "PhD", AND(Table1[[#This Row],[Basic]]=0, Table1[[#This Row],[Graduate]]=0, Table1[[#This Row],[Master]]=0, Table1[[#This Row],[PhD]]=0), "NA")</f>
        <v>PhD</v>
      </c>
      <c r="Q388" t="e">
        <f>_xlfn.XLOOKUP(Table1[[#This Row],[ID]], Table2[ID],#REF!, "Not Found", 0)</f>
        <v>#REF!</v>
      </c>
      <c r="R388" t="e">
        <f>_xlfn.XLOOKUP(Table1[[#This Row],[ID]], Table2[ID],#REF!, "Not Found", 0)</f>
        <v>#REF!</v>
      </c>
      <c r="S388" s="3" t="str">
        <f>_xlfn.XLOOKUP(Table1[[#This Row],[ID]], Table2[ID], Table2[Enrollment], "Not Found", 0)</f>
        <v>7/13/2020</v>
      </c>
      <c r="T388" t="s">
        <v>434</v>
      </c>
    </row>
    <row r="389" spans="1:20" x14ac:dyDescent="0.3">
      <c r="A389">
        <v>1793</v>
      </c>
      <c r="B389">
        <v>173170</v>
      </c>
      <c r="C389">
        <v>0</v>
      </c>
      <c r="D389">
        <v>0</v>
      </c>
      <c r="E389">
        <v>45</v>
      </c>
      <c r="F389">
        <v>0</v>
      </c>
      <c r="G389">
        <v>0</v>
      </c>
      <c r="H389">
        <v>1</v>
      </c>
      <c r="I389">
        <v>0</v>
      </c>
      <c r="J389">
        <v>0</v>
      </c>
      <c r="K389">
        <v>0</v>
      </c>
      <c r="L389">
        <v>1</v>
      </c>
      <c r="M389">
        <v>0</v>
      </c>
      <c r="N389">
        <v>0</v>
      </c>
      <c r="O389" t="str" cm="1">
        <f t="array" ref="O389">_xlfn.IFS(Table1[[#This Row],[Divorced]]=1, "Divorced", Table1[[#This Row],[Married]]=1, "Married", Table1[[#This Row],[Single]]=1, "Single", Table1[[#This Row],[Together]]=1, "Together", Table1[[#This Row],[Widow]]=1, "Widow")</f>
        <v>Single</v>
      </c>
      <c r="P389" t="str" cm="1">
        <f t="array" ref="P389">_xlfn.IFS(Table1[[#This Row],[Basic]]=1, "Basic", Table1[[#This Row],[Graduate]]=1, "Graduate", Table1[[#This Row],[Master]]=1, "Master", Table1[[#This Row],[PhD]]=1, "PhD", AND(Table1[[#This Row],[Basic]]=0, Table1[[#This Row],[Graduate]]=0, Table1[[#This Row],[Master]]=0, Table1[[#This Row],[PhD]]=0), "NA")</f>
        <v>Graduate</v>
      </c>
      <c r="Q389" t="e">
        <f>_xlfn.XLOOKUP(Table1[[#This Row],[ID]], Table2[ID],#REF!, "Not Found", 0)</f>
        <v>#REF!</v>
      </c>
      <c r="R389" t="e">
        <f>_xlfn.XLOOKUP(Table1[[#This Row],[ID]], Table2[ID],#REF!, "Not Found", 0)</f>
        <v>#REF!</v>
      </c>
      <c r="S389" s="3">
        <f>_xlfn.XLOOKUP(Table1[[#This Row],[ID]], Table2[ID], Table2[Enrollment], "Not Found", 0)</f>
        <v>43932</v>
      </c>
      <c r="T389" t="s">
        <v>434</v>
      </c>
    </row>
    <row r="390" spans="1:20" x14ac:dyDescent="0.3">
      <c r="A390">
        <v>1897</v>
      </c>
      <c r="B390">
        <v>173113</v>
      </c>
      <c r="C390">
        <v>0</v>
      </c>
      <c r="D390">
        <v>0</v>
      </c>
      <c r="E390">
        <v>60</v>
      </c>
      <c r="F390">
        <v>0</v>
      </c>
      <c r="G390">
        <v>0</v>
      </c>
      <c r="H390">
        <v>0</v>
      </c>
      <c r="I390">
        <v>1</v>
      </c>
      <c r="J390">
        <v>0</v>
      </c>
      <c r="K390">
        <v>0</v>
      </c>
      <c r="L390">
        <v>0</v>
      </c>
      <c r="M390">
        <v>1</v>
      </c>
      <c r="N390">
        <v>0</v>
      </c>
      <c r="O390" t="str" cm="1">
        <f t="array" ref="O390">_xlfn.IFS(Table1[[#This Row],[Divorced]]=1, "Divorced", Table1[[#This Row],[Married]]=1, "Married", Table1[[#This Row],[Single]]=1, "Single", Table1[[#This Row],[Together]]=1, "Together", Table1[[#This Row],[Widow]]=1, "Widow")</f>
        <v>Together</v>
      </c>
      <c r="P390" t="str" cm="1">
        <f t="array" ref="P390">_xlfn.IFS(Table1[[#This Row],[Basic]]=1, "Basic", Table1[[#This Row],[Graduate]]=1, "Graduate", Table1[[#This Row],[Master]]=1, "Master", Table1[[#This Row],[PhD]]=1, "PhD", AND(Table1[[#This Row],[Basic]]=0, Table1[[#This Row],[Graduate]]=0, Table1[[#This Row],[Master]]=0, Table1[[#This Row],[PhD]]=0), "NA")</f>
        <v>Master</v>
      </c>
      <c r="Q390" t="e">
        <f>_xlfn.XLOOKUP(Table1[[#This Row],[ID]], Table2[ID],#REF!, "Not Found", 0)</f>
        <v>#REF!</v>
      </c>
      <c r="R390" t="e">
        <f>_xlfn.XLOOKUP(Table1[[#This Row],[ID]], Table2[ID],#REF!, "Not Found", 0)</f>
        <v>#REF!</v>
      </c>
      <c r="S390" s="3">
        <f>_xlfn.XLOOKUP(Table1[[#This Row],[ID]], Table2[ID], Table2[Enrollment], "Not Found", 0)</f>
        <v>43836</v>
      </c>
      <c r="T390" t="s">
        <v>437</v>
      </c>
    </row>
    <row r="391" spans="1:20" x14ac:dyDescent="0.3">
      <c r="A391">
        <v>1640</v>
      </c>
      <c r="B391">
        <v>173059</v>
      </c>
      <c r="C391">
        <v>0</v>
      </c>
      <c r="D391">
        <v>1</v>
      </c>
      <c r="E391">
        <v>73</v>
      </c>
      <c r="F391">
        <v>0</v>
      </c>
      <c r="G391">
        <v>0</v>
      </c>
      <c r="H391">
        <v>0</v>
      </c>
      <c r="I391">
        <v>1</v>
      </c>
      <c r="J391">
        <v>0</v>
      </c>
      <c r="K391">
        <v>0</v>
      </c>
      <c r="L391">
        <v>0</v>
      </c>
      <c r="M391">
        <v>0</v>
      </c>
      <c r="N391">
        <v>1</v>
      </c>
      <c r="O391" t="str" cm="1">
        <f t="array" ref="O391">_xlfn.IFS(Table1[[#This Row],[Divorced]]=1, "Divorced", Table1[[#This Row],[Married]]=1, "Married", Table1[[#This Row],[Single]]=1, "Single", Table1[[#This Row],[Together]]=1, "Together", Table1[[#This Row],[Widow]]=1, "Widow")</f>
        <v>Together</v>
      </c>
      <c r="P391" t="str" cm="1">
        <f t="array" ref="P391">_xlfn.IFS(Table1[[#This Row],[Basic]]=1, "Basic", Table1[[#This Row],[Graduate]]=1, "Graduate", Table1[[#This Row],[Master]]=1, "Master", Table1[[#This Row],[PhD]]=1, "PhD", AND(Table1[[#This Row],[Basic]]=0, Table1[[#This Row],[Graduate]]=0, Table1[[#This Row],[Master]]=0, Table1[[#This Row],[PhD]]=0), "NA")</f>
        <v>PhD</v>
      </c>
      <c r="Q391" t="e">
        <f>_xlfn.XLOOKUP(Table1[[#This Row],[ID]], Table2[ID],#REF!, "Not Found", 0)</f>
        <v>#REF!</v>
      </c>
      <c r="R391" t="e">
        <f>_xlfn.XLOOKUP(Table1[[#This Row],[ID]], Table2[ID],#REF!, "Not Found", 0)</f>
        <v>#REF!</v>
      </c>
      <c r="S391" s="3">
        <f>_xlfn.XLOOKUP(Table1[[#This Row],[ID]], Table2[ID], Table2[Enrollment], "Not Found", 0)</f>
        <v>43953</v>
      </c>
      <c r="T391" t="s">
        <v>438</v>
      </c>
    </row>
    <row r="392" spans="1:20" x14ac:dyDescent="0.3">
      <c r="A392">
        <v>2606</v>
      </c>
      <c r="B392">
        <v>173059</v>
      </c>
      <c r="C392">
        <v>0</v>
      </c>
      <c r="D392">
        <v>1</v>
      </c>
      <c r="E392">
        <v>73</v>
      </c>
      <c r="F392">
        <v>0</v>
      </c>
      <c r="G392">
        <v>0</v>
      </c>
      <c r="H392">
        <v>0</v>
      </c>
      <c r="I392">
        <v>1</v>
      </c>
      <c r="J392">
        <v>0</v>
      </c>
      <c r="K392">
        <v>0</v>
      </c>
      <c r="L392">
        <v>0</v>
      </c>
      <c r="M392">
        <v>0</v>
      </c>
      <c r="N392">
        <v>1</v>
      </c>
      <c r="O392" t="str" cm="1">
        <f t="array" ref="O392">_xlfn.IFS(Table1[[#This Row],[Divorced]]=1, "Divorced", Table1[[#This Row],[Married]]=1, "Married", Table1[[#This Row],[Single]]=1, "Single", Table1[[#This Row],[Together]]=1, "Together", Table1[[#This Row],[Widow]]=1, "Widow")</f>
        <v>Together</v>
      </c>
      <c r="P392" t="str" cm="1">
        <f t="array" ref="P392">_xlfn.IFS(Table1[[#This Row],[Basic]]=1, "Basic", Table1[[#This Row],[Graduate]]=1, "Graduate", Table1[[#This Row],[Master]]=1, "Master", Table1[[#This Row],[PhD]]=1, "PhD", AND(Table1[[#This Row],[Basic]]=0, Table1[[#This Row],[Graduate]]=0, Table1[[#This Row],[Master]]=0, Table1[[#This Row],[PhD]]=0), "NA")</f>
        <v>PhD</v>
      </c>
      <c r="Q392" t="e">
        <f>_xlfn.XLOOKUP(Table1[[#This Row],[ID]], Table2[ID],#REF!, "Not Found", 0)</f>
        <v>#REF!</v>
      </c>
      <c r="R392" t="e">
        <f>_xlfn.XLOOKUP(Table1[[#This Row],[ID]], Table2[ID],#REF!, "Not Found", 0)</f>
        <v>#REF!</v>
      </c>
      <c r="S392" s="3">
        <f>_xlfn.XLOOKUP(Table1[[#This Row],[ID]], Table2[ID], Table2[Enrollment], "Not Found", 0)</f>
        <v>43953</v>
      </c>
      <c r="T392" t="s">
        <v>438</v>
      </c>
    </row>
    <row r="393" spans="1:20" x14ac:dyDescent="0.3">
      <c r="A393">
        <v>2965</v>
      </c>
      <c r="B393">
        <v>172968</v>
      </c>
      <c r="C393">
        <v>0</v>
      </c>
      <c r="D393">
        <v>0</v>
      </c>
      <c r="E393">
        <v>57</v>
      </c>
      <c r="F393">
        <v>1</v>
      </c>
      <c r="G393">
        <v>0</v>
      </c>
      <c r="H393">
        <v>0</v>
      </c>
      <c r="I393">
        <v>0</v>
      </c>
      <c r="J393">
        <v>0</v>
      </c>
      <c r="K393">
        <v>0</v>
      </c>
      <c r="L393">
        <v>0</v>
      </c>
      <c r="M393">
        <v>0</v>
      </c>
      <c r="N393">
        <v>1</v>
      </c>
      <c r="O393" t="str" cm="1">
        <f t="array" ref="O393">_xlfn.IFS(Table1[[#This Row],[Divorced]]=1, "Divorced", Table1[[#This Row],[Married]]=1, "Married", Table1[[#This Row],[Single]]=1, "Single", Table1[[#This Row],[Together]]=1, "Together", Table1[[#This Row],[Widow]]=1, "Widow")</f>
        <v>Divorced</v>
      </c>
      <c r="P393" t="str" cm="1">
        <f t="array" ref="P393">_xlfn.IFS(Table1[[#This Row],[Basic]]=1, "Basic", Table1[[#This Row],[Graduate]]=1, "Graduate", Table1[[#This Row],[Master]]=1, "Master", Table1[[#This Row],[PhD]]=1, "PhD", AND(Table1[[#This Row],[Basic]]=0, Table1[[#This Row],[Graduate]]=0, Table1[[#This Row],[Master]]=0, Table1[[#This Row],[PhD]]=0), "NA")</f>
        <v>PhD</v>
      </c>
      <c r="Q393" t="e">
        <f>_xlfn.XLOOKUP(Table1[[#This Row],[ID]], Table2[ID],#REF!, "Not Found", 0)</f>
        <v>#REF!</v>
      </c>
      <c r="R393" t="e">
        <f>_xlfn.XLOOKUP(Table1[[#This Row],[ID]], Table2[ID],#REF!, "Not Found", 0)</f>
        <v>#REF!</v>
      </c>
      <c r="S393" s="3" t="str">
        <f>_xlfn.XLOOKUP(Table1[[#This Row],[ID]], Table2[ID], Table2[Enrollment], "Not Found", 0)</f>
        <v>5/22/2020</v>
      </c>
      <c r="T393" t="s">
        <v>437</v>
      </c>
    </row>
    <row r="394" spans="1:20" x14ac:dyDescent="0.3">
      <c r="A394">
        <v>3076</v>
      </c>
      <c r="B394">
        <v>172967</v>
      </c>
      <c r="C394">
        <v>0</v>
      </c>
      <c r="D394">
        <v>1</v>
      </c>
      <c r="E394">
        <v>50</v>
      </c>
      <c r="F394">
        <v>1</v>
      </c>
      <c r="G394">
        <v>0</v>
      </c>
      <c r="H394">
        <v>0</v>
      </c>
      <c r="I394">
        <v>0</v>
      </c>
      <c r="J394">
        <v>0</v>
      </c>
      <c r="K394">
        <v>0</v>
      </c>
      <c r="L394">
        <v>1</v>
      </c>
      <c r="M394">
        <v>0</v>
      </c>
      <c r="N394">
        <v>0</v>
      </c>
      <c r="O394" t="str" cm="1">
        <f t="array" ref="O394">_xlfn.IFS(Table1[[#This Row],[Divorced]]=1, "Divorced", Table1[[#This Row],[Married]]=1, "Married", Table1[[#This Row],[Single]]=1, "Single", Table1[[#This Row],[Together]]=1, "Together", Table1[[#This Row],[Widow]]=1, "Widow")</f>
        <v>Divorced</v>
      </c>
      <c r="P394" t="str" cm="1">
        <f t="array" ref="P394">_xlfn.IFS(Table1[[#This Row],[Basic]]=1, "Basic", Table1[[#This Row],[Graduate]]=1, "Graduate", Table1[[#This Row],[Master]]=1, "Master", Table1[[#This Row],[PhD]]=1, "PhD", AND(Table1[[#This Row],[Basic]]=0, Table1[[#This Row],[Graduate]]=0, Table1[[#This Row],[Master]]=0, Table1[[#This Row],[PhD]]=0), "NA")</f>
        <v>Graduate</v>
      </c>
      <c r="Q394" t="e">
        <f>_xlfn.XLOOKUP(Table1[[#This Row],[ID]], Table2[ID],#REF!, "Not Found", 0)</f>
        <v>#REF!</v>
      </c>
      <c r="R394" t="e">
        <f>_xlfn.XLOOKUP(Table1[[#This Row],[ID]], Table2[ID],#REF!, "Not Found", 0)</f>
        <v>#REF!</v>
      </c>
      <c r="S394" s="3" t="str">
        <f>_xlfn.XLOOKUP(Table1[[#This Row],[ID]], Table2[ID], Table2[Enrollment], "Not Found", 0)</f>
        <v>5/22/2019</v>
      </c>
      <c r="T394" t="s">
        <v>439</v>
      </c>
    </row>
    <row r="395" spans="1:20" x14ac:dyDescent="0.3">
      <c r="A395">
        <v>1255</v>
      </c>
      <c r="B395">
        <v>172940</v>
      </c>
      <c r="C395">
        <v>0</v>
      </c>
      <c r="D395">
        <v>0</v>
      </c>
      <c r="E395">
        <v>50</v>
      </c>
      <c r="F395">
        <v>0</v>
      </c>
      <c r="G395">
        <v>1</v>
      </c>
      <c r="H395">
        <v>0</v>
      </c>
      <c r="I395">
        <v>0</v>
      </c>
      <c r="J395">
        <v>0</v>
      </c>
      <c r="K395">
        <v>0</v>
      </c>
      <c r="L395">
        <v>1</v>
      </c>
      <c r="M395">
        <v>0</v>
      </c>
      <c r="N395">
        <v>0</v>
      </c>
      <c r="O395" t="str" cm="1">
        <f t="array" ref="O395">_xlfn.IFS(Table1[[#This Row],[Divorced]]=1, "Divorced", Table1[[#This Row],[Married]]=1, "Married", Table1[[#This Row],[Single]]=1, "Single", Table1[[#This Row],[Together]]=1, "Together", Table1[[#This Row],[Widow]]=1, "Widow")</f>
        <v>Married</v>
      </c>
      <c r="P395" t="str" cm="1">
        <f t="array" ref="P395">_xlfn.IFS(Table1[[#This Row],[Basic]]=1, "Basic", Table1[[#This Row],[Graduate]]=1, "Graduate", Table1[[#This Row],[Master]]=1, "Master", Table1[[#This Row],[PhD]]=1, "PhD", AND(Table1[[#This Row],[Basic]]=0, Table1[[#This Row],[Graduate]]=0, Table1[[#This Row],[Master]]=0, Table1[[#This Row],[PhD]]=0), "NA")</f>
        <v>Graduate</v>
      </c>
      <c r="Q395" t="e">
        <f>_xlfn.XLOOKUP(Table1[[#This Row],[ID]], Table2[ID],#REF!, "Not Found", 0)</f>
        <v>#REF!</v>
      </c>
      <c r="R395" t="e">
        <f>_xlfn.XLOOKUP(Table1[[#This Row],[ID]], Table2[ID],#REF!, "Not Found", 0)</f>
        <v>#REF!</v>
      </c>
      <c r="S395" s="3" t="str">
        <f>_xlfn.XLOOKUP(Table1[[#This Row],[ID]], Table2[ID], Table2[Enrollment], "Not Found", 0)</f>
        <v>11/24/2019</v>
      </c>
      <c r="T395" t="s">
        <v>437</v>
      </c>
    </row>
    <row r="396" spans="1:20" x14ac:dyDescent="0.3">
      <c r="A396">
        <v>1586</v>
      </c>
      <c r="B396">
        <v>172906</v>
      </c>
      <c r="C396">
        <v>0</v>
      </c>
      <c r="D396">
        <v>0</v>
      </c>
      <c r="E396">
        <v>65</v>
      </c>
      <c r="F396">
        <v>0</v>
      </c>
      <c r="G396">
        <v>0</v>
      </c>
      <c r="H396">
        <v>1</v>
      </c>
      <c r="I396">
        <v>0</v>
      </c>
      <c r="J396">
        <v>0</v>
      </c>
      <c r="K396">
        <v>0</v>
      </c>
      <c r="L396">
        <v>1</v>
      </c>
      <c r="M396">
        <v>0</v>
      </c>
      <c r="N396">
        <v>0</v>
      </c>
      <c r="O396" t="str" cm="1">
        <f t="array" ref="O396">_xlfn.IFS(Table1[[#This Row],[Divorced]]=1, "Divorced", Table1[[#This Row],[Married]]=1, "Married", Table1[[#This Row],[Single]]=1, "Single", Table1[[#This Row],[Together]]=1, "Together", Table1[[#This Row],[Widow]]=1, "Widow")</f>
        <v>Single</v>
      </c>
      <c r="P396" t="str" cm="1">
        <f t="array" ref="P396">_xlfn.IFS(Table1[[#This Row],[Basic]]=1, "Basic", Table1[[#This Row],[Graduate]]=1, "Graduate", Table1[[#This Row],[Master]]=1, "Master", Table1[[#This Row],[PhD]]=1, "PhD", AND(Table1[[#This Row],[Basic]]=0, Table1[[#This Row],[Graduate]]=0, Table1[[#This Row],[Master]]=0, Table1[[#This Row],[PhD]]=0), "NA")</f>
        <v>Graduate</v>
      </c>
      <c r="Q396" t="e">
        <f>_xlfn.XLOOKUP(Table1[[#This Row],[ID]], Table2[ID],#REF!, "Not Found", 0)</f>
        <v>#REF!</v>
      </c>
      <c r="R396" t="e">
        <f>_xlfn.XLOOKUP(Table1[[#This Row],[ID]], Table2[ID],#REF!, "Not Found", 0)</f>
        <v>#REF!</v>
      </c>
      <c r="S396" s="3" t="str">
        <f>_xlfn.XLOOKUP(Table1[[#This Row],[ID]], Table2[ID], Table2[Enrollment], "Not Found", 0)</f>
        <v>2/22/2020</v>
      </c>
      <c r="T396" t="s">
        <v>438</v>
      </c>
    </row>
    <row r="397" spans="1:20" x14ac:dyDescent="0.3">
      <c r="A397">
        <v>2852</v>
      </c>
      <c r="B397">
        <v>172905</v>
      </c>
      <c r="C397">
        <v>0</v>
      </c>
      <c r="D397">
        <v>0</v>
      </c>
      <c r="E397">
        <v>62</v>
      </c>
      <c r="F397">
        <v>0</v>
      </c>
      <c r="G397">
        <v>1</v>
      </c>
      <c r="H397">
        <v>0</v>
      </c>
      <c r="I397">
        <v>0</v>
      </c>
      <c r="J397">
        <v>0</v>
      </c>
      <c r="K397">
        <v>0</v>
      </c>
      <c r="L397">
        <v>1</v>
      </c>
      <c r="M397">
        <v>0</v>
      </c>
      <c r="N397">
        <v>0</v>
      </c>
      <c r="O397" t="str" cm="1">
        <f t="array" ref="O397">_xlfn.IFS(Table1[[#This Row],[Divorced]]=1, "Divorced", Table1[[#This Row],[Married]]=1, "Married", Table1[[#This Row],[Single]]=1, "Single", Table1[[#This Row],[Together]]=1, "Together", Table1[[#This Row],[Widow]]=1, "Widow")</f>
        <v>Married</v>
      </c>
      <c r="P397" t="str" cm="1">
        <f t="array" ref="P397">_xlfn.IFS(Table1[[#This Row],[Basic]]=1, "Basic", Table1[[#This Row],[Graduate]]=1, "Graduate", Table1[[#This Row],[Master]]=1, "Master", Table1[[#This Row],[PhD]]=1, "PhD", AND(Table1[[#This Row],[Basic]]=0, Table1[[#This Row],[Graduate]]=0, Table1[[#This Row],[Master]]=0, Table1[[#This Row],[PhD]]=0), "NA")</f>
        <v>Graduate</v>
      </c>
      <c r="Q397" t="e">
        <f>_xlfn.XLOOKUP(Table1[[#This Row],[ID]], Table2[ID],#REF!, "Not Found", 0)</f>
        <v>#REF!</v>
      </c>
      <c r="R397" t="e">
        <f>_xlfn.XLOOKUP(Table1[[#This Row],[ID]], Table2[ID],#REF!, "Not Found", 0)</f>
        <v>#REF!</v>
      </c>
      <c r="S397" s="3" t="str">
        <f>_xlfn.XLOOKUP(Table1[[#This Row],[ID]], Table2[ID], Table2[Enrollment], "Not Found", 0)</f>
        <v>6/27/2020</v>
      </c>
      <c r="T397" t="s">
        <v>438</v>
      </c>
    </row>
    <row r="398" spans="1:20" x14ac:dyDescent="0.3">
      <c r="A398">
        <v>2115</v>
      </c>
      <c r="B398">
        <v>172903</v>
      </c>
      <c r="C398">
        <v>0</v>
      </c>
      <c r="D398">
        <v>0</v>
      </c>
      <c r="E398">
        <v>35</v>
      </c>
      <c r="F398">
        <v>0</v>
      </c>
      <c r="G398">
        <v>0</v>
      </c>
      <c r="H398">
        <v>1</v>
      </c>
      <c r="I398">
        <v>0</v>
      </c>
      <c r="J398">
        <v>0</v>
      </c>
      <c r="K398">
        <v>0</v>
      </c>
      <c r="L398">
        <v>1</v>
      </c>
      <c r="M398">
        <v>0</v>
      </c>
      <c r="N398">
        <v>0</v>
      </c>
      <c r="O398" t="str" cm="1">
        <f t="array" ref="O398">_xlfn.IFS(Table1[[#This Row],[Divorced]]=1, "Divorced", Table1[[#This Row],[Married]]=1, "Married", Table1[[#This Row],[Single]]=1, "Single", Table1[[#This Row],[Together]]=1, "Together", Table1[[#This Row],[Widow]]=1, "Widow")</f>
        <v>Single</v>
      </c>
      <c r="P398" t="str" cm="1">
        <f t="array" ref="P398">_xlfn.IFS(Table1[[#This Row],[Basic]]=1, "Basic", Table1[[#This Row],[Graduate]]=1, "Graduate", Table1[[#This Row],[Master]]=1, "Master", Table1[[#This Row],[PhD]]=1, "PhD", AND(Table1[[#This Row],[Basic]]=0, Table1[[#This Row],[Graduate]]=0, Table1[[#This Row],[Master]]=0, Table1[[#This Row],[PhD]]=0), "NA")</f>
        <v>Graduate</v>
      </c>
      <c r="Q398" t="e">
        <f>_xlfn.XLOOKUP(Table1[[#This Row],[ID]], Table2[ID],#REF!, "Not Found", 0)</f>
        <v>#REF!</v>
      </c>
      <c r="R398" t="e">
        <f>_xlfn.XLOOKUP(Table1[[#This Row],[ID]], Table2[ID],#REF!, "Not Found", 0)</f>
        <v>#REF!</v>
      </c>
      <c r="S398" s="3">
        <f>_xlfn.XLOOKUP(Table1[[#This Row],[ID]], Table2[ID], Table2[Enrollment], "Not Found", 0)</f>
        <v>43925</v>
      </c>
      <c r="T398" t="s">
        <v>435</v>
      </c>
    </row>
    <row r="399" spans="1:20" x14ac:dyDescent="0.3">
      <c r="A399">
        <v>2305</v>
      </c>
      <c r="B399">
        <v>172828</v>
      </c>
      <c r="C399">
        <v>0</v>
      </c>
      <c r="D399">
        <v>1</v>
      </c>
      <c r="E399">
        <v>58</v>
      </c>
      <c r="F399">
        <v>0</v>
      </c>
      <c r="G399">
        <v>1</v>
      </c>
      <c r="H399">
        <v>0</v>
      </c>
      <c r="I399">
        <v>0</v>
      </c>
      <c r="J399">
        <v>0</v>
      </c>
      <c r="K399">
        <v>0</v>
      </c>
      <c r="L399">
        <v>0</v>
      </c>
      <c r="M399">
        <v>1</v>
      </c>
      <c r="N399">
        <v>0</v>
      </c>
      <c r="O399" t="str" cm="1">
        <f t="array" ref="O399">_xlfn.IFS(Table1[[#This Row],[Divorced]]=1, "Divorced", Table1[[#This Row],[Married]]=1, "Married", Table1[[#This Row],[Single]]=1, "Single", Table1[[#This Row],[Together]]=1, "Together", Table1[[#This Row],[Widow]]=1, "Widow")</f>
        <v>Married</v>
      </c>
      <c r="P399" t="str" cm="1">
        <f t="array" ref="P399">_xlfn.IFS(Table1[[#This Row],[Basic]]=1, "Basic", Table1[[#This Row],[Graduate]]=1, "Graduate", Table1[[#This Row],[Master]]=1, "Master", Table1[[#This Row],[PhD]]=1, "PhD", AND(Table1[[#This Row],[Basic]]=0, Table1[[#This Row],[Graduate]]=0, Table1[[#This Row],[Master]]=0, Table1[[#This Row],[PhD]]=0), "NA")</f>
        <v>Master</v>
      </c>
      <c r="Q399" t="e">
        <f>_xlfn.XLOOKUP(Table1[[#This Row],[ID]], Table2[ID],#REF!, "Not Found", 0)</f>
        <v>#REF!</v>
      </c>
      <c r="R399" t="e">
        <f>_xlfn.XLOOKUP(Table1[[#This Row],[ID]], Table2[ID],#REF!, "Not Found", 0)</f>
        <v>#REF!</v>
      </c>
      <c r="S399" s="3" t="str">
        <f>_xlfn.XLOOKUP(Table1[[#This Row],[ID]], Table2[ID], Table2[Enrollment], "Not Found", 0)</f>
        <v>7/22/2019</v>
      </c>
      <c r="T399" t="s">
        <v>437</v>
      </c>
    </row>
    <row r="400" spans="1:20" x14ac:dyDescent="0.3">
      <c r="A400">
        <v>1515</v>
      </c>
      <c r="B400">
        <v>172679</v>
      </c>
      <c r="C400">
        <v>0</v>
      </c>
      <c r="D400">
        <v>1</v>
      </c>
      <c r="E400">
        <v>51</v>
      </c>
      <c r="F400">
        <v>0</v>
      </c>
      <c r="G400">
        <v>0</v>
      </c>
      <c r="H400">
        <v>1</v>
      </c>
      <c r="I400">
        <v>0</v>
      </c>
      <c r="J400">
        <v>0</v>
      </c>
      <c r="K400">
        <v>0</v>
      </c>
      <c r="L400">
        <v>1</v>
      </c>
      <c r="M400">
        <v>0</v>
      </c>
      <c r="N400">
        <v>0</v>
      </c>
      <c r="O400" t="str" cm="1">
        <f t="array" ref="O400">_xlfn.IFS(Table1[[#This Row],[Divorced]]=1, "Divorced", Table1[[#This Row],[Married]]=1, "Married", Table1[[#This Row],[Single]]=1, "Single", Table1[[#This Row],[Together]]=1, "Together", Table1[[#This Row],[Widow]]=1, "Widow")</f>
        <v>Single</v>
      </c>
      <c r="P400" t="str" cm="1">
        <f t="array" ref="P400">_xlfn.IFS(Table1[[#This Row],[Basic]]=1, "Basic", Table1[[#This Row],[Graduate]]=1, "Graduate", Table1[[#This Row],[Master]]=1, "Master", Table1[[#This Row],[PhD]]=1, "PhD", AND(Table1[[#This Row],[Basic]]=0, Table1[[#This Row],[Graduate]]=0, Table1[[#This Row],[Master]]=0, Table1[[#This Row],[PhD]]=0), "NA")</f>
        <v>Graduate</v>
      </c>
      <c r="Q400" t="e">
        <f>_xlfn.XLOOKUP(Table1[[#This Row],[ID]], Table2[ID],#REF!, "Not Found", 0)</f>
        <v>#REF!</v>
      </c>
      <c r="R400" t="e">
        <f>_xlfn.XLOOKUP(Table1[[#This Row],[ID]], Table2[ID],#REF!, "Not Found", 0)</f>
        <v>#REF!</v>
      </c>
      <c r="S400" s="3" t="str">
        <f>_xlfn.XLOOKUP(Table1[[#This Row],[ID]], Table2[ID], Table2[Enrollment], "Not Found", 0)</f>
        <v>2/23/2020</v>
      </c>
      <c r="T400" t="s">
        <v>435</v>
      </c>
    </row>
    <row r="401" spans="1:20" x14ac:dyDescent="0.3">
      <c r="A401">
        <v>2943</v>
      </c>
      <c r="B401">
        <v>172643</v>
      </c>
      <c r="C401">
        <v>0</v>
      </c>
      <c r="D401">
        <v>0</v>
      </c>
      <c r="E401">
        <v>71</v>
      </c>
      <c r="F401">
        <v>0</v>
      </c>
      <c r="G401">
        <v>0</v>
      </c>
      <c r="H401">
        <v>0</v>
      </c>
      <c r="I401">
        <v>0</v>
      </c>
      <c r="J401">
        <v>1</v>
      </c>
      <c r="K401">
        <v>0</v>
      </c>
      <c r="L401">
        <v>1</v>
      </c>
      <c r="M401">
        <v>0</v>
      </c>
      <c r="N401">
        <v>0</v>
      </c>
      <c r="O401" t="str" cm="1">
        <f t="array" ref="O401">_xlfn.IFS(Table1[[#This Row],[Divorced]]=1, "Divorced", Table1[[#This Row],[Married]]=1, "Married", Table1[[#This Row],[Single]]=1, "Single", Table1[[#This Row],[Together]]=1, "Together", Table1[[#This Row],[Widow]]=1, "Widow")</f>
        <v>Widow</v>
      </c>
      <c r="P401" t="str" cm="1">
        <f t="array" ref="P401">_xlfn.IFS(Table1[[#This Row],[Basic]]=1, "Basic", Table1[[#This Row],[Graduate]]=1, "Graduate", Table1[[#This Row],[Master]]=1, "Master", Table1[[#This Row],[PhD]]=1, "PhD", AND(Table1[[#This Row],[Basic]]=0, Table1[[#This Row],[Graduate]]=0, Table1[[#This Row],[Master]]=0, Table1[[#This Row],[PhD]]=0), "NA")</f>
        <v>Graduate</v>
      </c>
      <c r="Q401" t="e">
        <f>_xlfn.XLOOKUP(Table1[[#This Row],[ID]], Table2[ID],#REF!, "Not Found", 0)</f>
        <v>#REF!</v>
      </c>
      <c r="R401" t="e">
        <f>_xlfn.XLOOKUP(Table1[[#This Row],[ID]], Table2[ID],#REF!, "Not Found", 0)</f>
        <v>#REF!</v>
      </c>
      <c r="S401" s="3">
        <f>_xlfn.XLOOKUP(Table1[[#This Row],[ID]], Table2[ID], Table2[Enrollment], "Not Found", 0)</f>
        <v>43563</v>
      </c>
      <c r="T401" t="s">
        <v>435</v>
      </c>
    </row>
    <row r="402" spans="1:20" x14ac:dyDescent="0.3">
      <c r="A402">
        <v>1607</v>
      </c>
      <c r="B402">
        <v>172635</v>
      </c>
      <c r="C402">
        <v>0</v>
      </c>
      <c r="D402">
        <v>0</v>
      </c>
      <c r="E402">
        <v>65</v>
      </c>
      <c r="F402">
        <v>0</v>
      </c>
      <c r="G402">
        <v>1</v>
      </c>
      <c r="H402">
        <v>0</v>
      </c>
      <c r="I402">
        <v>0</v>
      </c>
      <c r="J402">
        <v>0</v>
      </c>
      <c r="K402">
        <v>0</v>
      </c>
      <c r="L402">
        <v>0</v>
      </c>
      <c r="M402">
        <v>0</v>
      </c>
      <c r="N402">
        <v>0</v>
      </c>
      <c r="O402" t="str" cm="1">
        <f t="array" ref="O402">_xlfn.IFS(Table1[[#This Row],[Divorced]]=1, "Divorced", Table1[[#This Row],[Married]]=1, "Married", Table1[[#This Row],[Single]]=1, "Single", Table1[[#This Row],[Together]]=1, "Together", Table1[[#This Row],[Widow]]=1, "Widow")</f>
        <v>Married</v>
      </c>
      <c r="P402" t="str" cm="1">
        <f t="array" ref="P402">_xlfn.IFS(Table1[[#This Row],[Basic]]=1, "Basic", Table1[[#This Row],[Graduate]]=1, "Graduate", Table1[[#This Row],[Master]]=1, "Master", Table1[[#This Row],[PhD]]=1, "PhD", AND(Table1[[#This Row],[Basic]]=0, Table1[[#This Row],[Graduate]]=0, Table1[[#This Row],[Master]]=0, Table1[[#This Row],[PhD]]=0), "NA")</f>
        <v>NA</v>
      </c>
      <c r="Q402" t="e">
        <f>_xlfn.XLOOKUP(Table1[[#This Row],[ID]], Table2[ID],#REF!, "Not Found", 0)</f>
        <v>#REF!</v>
      </c>
      <c r="R402" t="e">
        <f>_xlfn.XLOOKUP(Table1[[#This Row],[ID]], Table2[ID],#REF!, "Not Found", 0)</f>
        <v>#REF!</v>
      </c>
      <c r="S402" s="3">
        <f>_xlfn.XLOOKUP(Table1[[#This Row],[ID]], Table2[ID], Table2[Enrollment], "Not Found", 0)</f>
        <v>43688</v>
      </c>
      <c r="T402" t="s">
        <v>434</v>
      </c>
    </row>
    <row r="403" spans="1:20" x14ac:dyDescent="0.3">
      <c r="A403">
        <v>2648</v>
      </c>
      <c r="B403">
        <v>172635</v>
      </c>
      <c r="C403">
        <v>0</v>
      </c>
      <c r="D403">
        <v>0</v>
      </c>
      <c r="E403">
        <v>65</v>
      </c>
      <c r="F403">
        <v>0</v>
      </c>
      <c r="G403">
        <v>1</v>
      </c>
      <c r="H403">
        <v>0</v>
      </c>
      <c r="I403">
        <v>0</v>
      </c>
      <c r="J403">
        <v>0</v>
      </c>
      <c r="K403">
        <v>0</v>
      </c>
      <c r="L403">
        <v>0</v>
      </c>
      <c r="M403">
        <v>0</v>
      </c>
      <c r="N403">
        <v>0</v>
      </c>
      <c r="O403" t="str" cm="1">
        <f t="array" ref="O403">_xlfn.IFS(Table1[[#This Row],[Divorced]]=1, "Divorced", Table1[[#This Row],[Married]]=1, "Married", Table1[[#This Row],[Single]]=1, "Single", Table1[[#This Row],[Together]]=1, "Together", Table1[[#This Row],[Widow]]=1, "Widow")</f>
        <v>Married</v>
      </c>
      <c r="P403" t="str" cm="1">
        <f t="array" ref="P403">_xlfn.IFS(Table1[[#This Row],[Basic]]=1, "Basic", Table1[[#This Row],[Graduate]]=1, "Graduate", Table1[[#This Row],[Master]]=1, "Master", Table1[[#This Row],[PhD]]=1, "PhD", AND(Table1[[#This Row],[Basic]]=0, Table1[[#This Row],[Graduate]]=0, Table1[[#This Row],[Master]]=0, Table1[[#This Row],[PhD]]=0), "NA")</f>
        <v>NA</v>
      </c>
      <c r="Q403" t="e">
        <f>_xlfn.XLOOKUP(Table1[[#This Row],[ID]], Table2[ID],#REF!, "Not Found", 0)</f>
        <v>#REF!</v>
      </c>
      <c r="R403" t="e">
        <f>_xlfn.XLOOKUP(Table1[[#This Row],[ID]], Table2[ID],#REF!, "Not Found", 0)</f>
        <v>#REF!</v>
      </c>
      <c r="S403" s="3">
        <f>_xlfn.XLOOKUP(Table1[[#This Row],[ID]], Table2[ID], Table2[Enrollment], "Not Found", 0)</f>
        <v>43688</v>
      </c>
      <c r="T403" t="s">
        <v>438</v>
      </c>
    </row>
    <row r="404" spans="1:20" x14ac:dyDescent="0.3">
      <c r="A404">
        <v>2918</v>
      </c>
      <c r="B404">
        <v>172570</v>
      </c>
      <c r="C404">
        <v>0</v>
      </c>
      <c r="D404">
        <v>0</v>
      </c>
      <c r="E404">
        <v>36</v>
      </c>
      <c r="F404">
        <v>0</v>
      </c>
      <c r="G404">
        <v>1</v>
      </c>
      <c r="H404">
        <v>0</v>
      </c>
      <c r="I404">
        <v>0</v>
      </c>
      <c r="J404">
        <v>0</v>
      </c>
      <c r="K404">
        <v>0</v>
      </c>
      <c r="L404">
        <v>1</v>
      </c>
      <c r="M404">
        <v>0</v>
      </c>
      <c r="N404">
        <v>0</v>
      </c>
      <c r="O404" t="str" cm="1">
        <f t="array" ref="O404">_xlfn.IFS(Table1[[#This Row],[Divorced]]=1, "Divorced", Table1[[#This Row],[Married]]=1, "Married", Table1[[#This Row],[Single]]=1, "Single", Table1[[#This Row],[Together]]=1, "Together", Table1[[#This Row],[Widow]]=1, "Widow")</f>
        <v>Married</v>
      </c>
      <c r="P404" t="str" cm="1">
        <f t="array" ref="P404">_xlfn.IFS(Table1[[#This Row],[Basic]]=1, "Basic", Table1[[#This Row],[Graduate]]=1, "Graduate", Table1[[#This Row],[Master]]=1, "Master", Table1[[#This Row],[PhD]]=1, "PhD", AND(Table1[[#This Row],[Basic]]=0, Table1[[#This Row],[Graduate]]=0, Table1[[#This Row],[Master]]=0, Table1[[#This Row],[PhD]]=0), "NA")</f>
        <v>Graduate</v>
      </c>
      <c r="Q404" t="e">
        <f>_xlfn.XLOOKUP(Table1[[#This Row],[ID]], Table2[ID],#REF!, "Not Found", 0)</f>
        <v>#REF!</v>
      </c>
      <c r="R404" t="e">
        <f>_xlfn.XLOOKUP(Table1[[#This Row],[ID]], Table2[ID],#REF!, "Not Found", 0)</f>
        <v>#REF!</v>
      </c>
      <c r="S404" s="3" t="str">
        <f>_xlfn.XLOOKUP(Table1[[#This Row],[ID]], Table2[ID], Table2[Enrollment], "Not Found", 0)</f>
        <v>9/29/2020</v>
      </c>
      <c r="T404" t="s">
        <v>438</v>
      </c>
    </row>
    <row r="405" spans="1:20" x14ac:dyDescent="0.3">
      <c r="A405">
        <v>1046</v>
      </c>
      <c r="B405">
        <v>172550</v>
      </c>
      <c r="C405">
        <v>1</v>
      </c>
      <c r="D405">
        <v>1</v>
      </c>
      <c r="E405">
        <v>66</v>
      </c>
      <c r="F405">
        <v>0</v>
      </c>
      <c r="G405">
        <v>1</v>
      </c>
      <c r="H405">
        <v>0</v>
      </c>
      <c r="I405">
        <v>0</v>
      </c>
      <c r="J405">
        <v>0</v>
      </c>
      <c r="K405">
        <v>0</v>
      </c>
      <c r="L405">
        <v>0</v>
      </c>
      <c r="M405">
        <v>0</v>
      </c>
      <c r="N405">
        <v>1</v>
      </c>
      <c r="O405" t="str" cm="1">
        <f t="array" ref="O405">_xlfn.IFS(Table1[[#This Row],[Divorced]]=1, "Divorced", Table1[[#This Row],[Married]]=1, "Married", Table1[[#This Row],[Single]]=1, "Single", Table1[[#This Row],[Together]]=1, "Together", Table1[[#This Row],[Widow]]=1, "Widow")</f>
        <v>Married</v>
      </c>
      <c r="P405" t="str" cm="1">
        <f t="array" ref="P405">_xlfn.IFS(Table1[[#This Row],[Basic]]=1, "Basic", Table1[[#This Row],[Graduate]]=1, "Graduate", Table1[[#This Row],[Master]]=1, "Master", Table1[[#This Row],[PhD]]=1, "PhD", AND(Table1[[#This Row],[Basic]]=0, Table1[[#This Row],[Graduate]]=0, Table1[[#This Row],[Master]]=0, Table1[[#This Row],[PhD]]=0), "NA")</f>
        <v>PhD</v>
      </c>
      <c r="Q405" t="e">
        <f>_xlfn.XLOOKUP(Table1[[#This Row],[ID]], Table2[ID],#REF!, "Not Found", 0)</f>
        <v>#REF!</v>
      </c>
      <c r="R405" t="e">
        <f>_xlfn.XLOOKUP(Table1[[#This Row],[ID]], Table2[ID],#REF!, "Not Found", 0)</f>
        <v>#REF!</v>
      </c>
      <c r="S405" s="3" t="str">
        <f>_xlfn.XLOOKUP(Table1[[#This Row],[ID]], Table2[ID], Table2[Enrollment], "Not Found", 0)</f>
        <v>4/15/2019</v>
      </c>
      <c r="T405" t="s">
        <v>438</v>
      </c>
    </row>
    <row r="406" spans="1:20" x14ac:dyDescent="0.3">
      <c r="A406">
        <v>1790</v>
      </c>
      <c r="B406">
        <v>172504</v>
      </c>
      <c r="C406">
        <v>0</v>
      </c>
      <c r="D406">
        <v>1</v>
      </c>
      <c r="E406">
        <v>48</v>
      </c>
      <c r="F406">
        <v>0</v>
      </c>
      <c r="G406">
        <v>0</v>
      </c>
      <c r="H406">
        <v>1</v>
      </c>
      <c r="I406">
        <v>0</v>
      </c>
      <c r="J406">
        <v>0</v>
      </c>
      <c r="K406">
        <v>0</v>
      </c>
      <c r="L406">
        <v>1</v>
      </c>
      <c r="M406">
        <v>0</v>
      </c>
      <c r="N406">
        <v>0</v>
      </c>
      <c r="O406" t="str" cm="1">
        <f t="array" ref="O406">_xlfn.IFS(Table1[[#This Row],[Divorced]]=1, "Divorced", Table1[[#This Row],[Married]]=1, "Married", Table1[[#This Row],[Single]]=1, "Single", Table1[[#This Row],[Together]]=1, "Together", Table1[[#This Row],[Widow]]=1, "Widow")</f>
        <v>Single</v>
      </c>
      <c r="P406" t="str" cm="1">
        <f t="array" ref="P406">_xlfn.IFS(Table1[[#This Row],[Basic]]=1, "Basic", Table1[[#This Row],[Graduate]]=1, "Graduate", Table1[[#This Row],[Master]]=1, "Master", Table1[[#This Row],[PhD]]=1, "PhD", AND(Table1[[#This Row],[Basic]]=0, Table1[[#This Row],[Graduate]]=0, Table1[[#This Row],[Master]]=0, Table1[[#This Row],[PhD]]=0), "NA")</f>
        <v>Graduate</v>
      </c>
      <c r="Q406" t="e">
        <f>_xlfn.XLOOKUP(Table1[[#This Row],[ID]], Table2[ID],#REF!, "Not Found", 0)</f>
        <v>#REF!</v>
      </c>
      <c r="R406" t="e">
        <f>_xlfn.XLOOKUP(Table1[[#This Row],[ID]], Table2[ID],#REF!, "Not Found", 0)</f>
        <v>#REF!</v>
      </c>
      <c r="S406" s="3">
        <f>_xlfn.XLOOKUP(Table1[[#This Row],[ID]], Table2[ID], Table2[Enrollment], "Not Found", 0)</f>
        <v>43778</v>
      </c>
      <c r="T406" t="s">
        <v>438</v>
      </c>
    </row>
    <row r="407" spans="1:20" x14ac:dyDescent="0.3">
      <c r="A407">
        <v>1209</v>
      </c>
      <c r="B407">
        <v>172460</v>
      </c>
      <c r="C407">
        <v>0</v>
      </c>
      <c r="D407">
        <v>0</v>
      </c>
      <c r="E407">
        <v>51</v>
      </c>
      <c r="F407">
        <v>0</v>
      </c>
      <c r="G407">
        <v>1</v>
      </c>
      <c r="H407">
        <v>0</v>
      </c>
      <c r="I407">
        <v>0</v>
      </c>
      <c r="J407">
        <v>0</v>
      </c>
      <c r="K407">
        <v>0</v>
      </c>
      <c r="L407">
        <v>1</v>
      </c>
      <c r="M407">
        <v>0</v>
      </c>
      <c r="N407">
        <v>0</v>
      </c>
      <c r="O407" t="str" cm="1">
        <f t="array" ref="O407">_xlfn.IFS(Table1[[#This Row],[Divorced]]=1, "Divorced", Table1[[#This Row],[Married]]=1, "Married", Table1[[#This Row],[Single]]=1, "Single", Table1[[#This Row],[Together]]=1, "Together", Table1[[#This Row],[Widow]]=1, "Widow")</f>
        <v>Married</v>
      </c>
      <c r="P407" t="str" cm="1">
        <f t="array" ref="P407">_xlfn.IFS(Table1[[#This Row],[Basic]]=1, "Basic", Table1[[#This Row],[Graduate]]=1, "Graduate", Table1[[#This Row],[Master]]=1, "Master", Table1[[#This Row],[PhD]]=1, "PhD", AND(Table1[[#This Row],[Basic]]=0, Table1[[#This Row],[Graduate]]=0, Table1[[#This Row],[Master]]=0, Table1[[#This Row],[PhD]]=0), "NA")</f>
        <v>Graduate</v>
      </c>
      <c r="Q407" t="e">
        <f>_xlfn.XLOOKUP(Table1[[#This Row],[ID]], Table2[ID],#REF!, "Not Found", 0)</f>
        <v>#REF!</v>
      </c>
      <c r="R407" t="e">
        <f>_xlfn.XLOOKUP(Table1[[#This Row],[ID]], Table2[ID],#REF!, "Not Found", 0)</f>
        <v>#REF!</v>
      </c>
      <c r="S407" s="3" t="str">
        <f>_xlfn.XLOOKUP(Table1[[#This Row],[ID]], Table2[ID], Table2[Enrollment], "Not Found", 0)</f>
        <v>4/20/2020</v>
      </c>
      <c r="T407" t="s">
        <v>435</v>
      </c>
    </row>
    <row r="408" spans="1:20" x14ac:dyDescent="0.3">
      <c r="A408">
        <v>1902</v>
      </c>
      <c r="B408">
        <v>172354</v>
      </c>
      <c r="C408">
        <v>0</v>
      </c>
      <c r="D408">
        <v>0</v>
      </c>
      <c r="E408">
        <v>27</v>
      </c>
      <c r="F408">
        <v>0</v>
      </c>
      <c r="G408">
        <v>0</v>
      </c>
      <c r="H408">
        <v>1</v>
      </c>
      <c r="I408">
        <v>0</v>
      </c>
      <c r="J408">
        <v>0</v>
      </c>
      <c r="K408">
        <v>0</v>
      </c>
      <c r="L408">
        <v>1</v>
      </c>
      <c r="M408">
        <v>0</v>
      </c>
      <c r="N408">
        <v>0</v>
      </c>
      <c r="O408" t="str" cm="1">
        <f t="array" ref="O408">_xlfn.IFS(Table1[[#This Row],[Divorced]]=1, "Divorced", Table1[[#This Row],[Married]]=1, "Married", Table1[[#This Row],[Single]]=1, "Single", Table1[[#This Row],[Together]]=1, "Together", Table1[[#This Row],[Widow]]=1, "Widow")</f>
        <v>Single</v>
      </c>
      <c r="P408" t="str" cm="1">
        <f t="array" ref="P408">_xlfn.IFS(Table1[[#This Row],[Basic]]=1, "Basic", Table1[[#This Row],[Graduate]]=1, "Graduate", Table1[[#This Row],[Master]]=1, "Master", Table1[[#This Row],[PhD]]=1, "PhD", AND(Table1[[#This Row],[Basic]]=0, Table1[[#This Row],[Graduate]]=0, Table1[[#This Row],[Master]]=0, Table1[[#This Row],[PhD]]=0), "NA")</f>
        <v>Graduate</v>
      </c>
      <c r="Q408" t="e">
        <f>_xlfn.XLOOKUP(Table1[[#This Row],[ID]], Table2[ID],#REF!, "Not Found", 0)</f>
        <v>#REF!</v>
      </c>
      <c r="R408" t="e">
        <f>_xlfn.XLOOKUP(Table1[[#This Row],[ID]], Table2[ID],#REF!, "Not Found", 0)</f>
        <v>#REF!</v>
      </c>
      <c r="S408" s="3" t="str">
        <f>_xlfn.XLOOKUP(Table1[[#This Row],[ID]], Table2[ID], Table2[Enrollment], "Not Found", 0)</f>
        <v>9/22/2019</v>
      </c>
      <c r="T408" t="s">
        <v>436</v>
      </c>
    </row>
    <row r="409" spans="1:20" x14ac:dyDescent="0.3">
      <c r="A409">
        <v>2928</v>
      </c>
      <c r="B409">
        <v>172335</v>
      </c>
      <c r="C409">
        <v>0</v>
      </c>
      <c r="D409">
        <v>0</v>
      </c>
      <c r="E409">
        <v>44</v>
      </c>
      <c r="F409">
        <v>0</v>
      </c>
      <c r="G409">
        <v>0</v>
      </c>
      <c r="H409">
        <v>0</v>
      </c>
      <c r="I409">
        <v>1</v>
      </c>
      <c r="J409">
        <v>0</v>
      </c>
      <c r="K409">
        <v>0</v>
      </c>
      <c r="L409">
        <v>0</v>
      </c>
      <c r="M409">
        <v>0</v>
      </c>
      <c r="N409">
        <v>1</v>
      </c>
      <c r="O409" t="str" cm="1">
        <f t="array" ref="O409">_xlfn.IFS(Table1[[#This Row],[Divorced]]=1, "Divorced", Table1[[#This Row],[Married]]=1, "Married", Table1[[#This Row],[Single]]=1, "Single", Table1[[#This Row],[Together]]=1, "Together", Table1[[#This Row],[Widow]]=1, "Widow")</f>
        <v>Together</v>
      </c>
      <c r="P409" t="str" cm="1">
        <f t="array" ref="P409">_xlfn.IFS(Table1[[#This Row],[Basic]]=1, "Basic", Table1[[#This Row],[Graduate]]=1, "Graduate", Table1[[#This Row],[Master]]=1, "Master", Table1[[#This Row],[PhD]]=1, "PhD", AND(Table1[[#This Row],[Basic]]=0, Table1[[#This Row],[Graduate]]=0, Table1[[#This Row],[Master]]=0, Table1[[#This Row],[PhD]]=0), "NA")</f>
        <v>PhD</v>
      </c>
      <c r="Q409" t="e">
        <f>_xlfn.XLOOKUP(Table1[[#This Row],[ID]], Table2[ID],#REF!, "Not Found", 0)</f>
        <v>#REF!</v>
      </c>
      <c r="R409" t="e">
        <f>_xlfn.XLOOKUP(Table1[[#This Row],[ID]], Table2[ID],#REF!, "Not Found", 0)</f>
        <v>#REF!</v>
      </c>
      <c r="S409" s="3" t="str">
        <f>_xlfn.XLOOKUP(Table1[[#This Row],[ID]], Table2[ID], Table2[Enrollment], "Not Found", 0)</f>
        <v>1/18/2019</v>
      </c>
      <c r="T409" t="s">
        <v>436</v>
      </c>
    </row>
    <row r="410" spans="1:20" x14ac:dyDescent="0.3">
      <c r="A410">
        <v>3100</v>
      </c>
      <c r="B410">
        <v>172309</v>
      </c>
      <c r="C410">
        <v>0</v>
      </c>
      <c r="D410">
        <v>0</v>
      </c>
      <c r="E410">
        <v>44</v>
      </c>
      <c r="F410">
        <v>0</v>
      </c>
      <c r="G410">
        <v>0</v>
      </c>
      <c r="H410">
        <v>1</v>
      </c>
      <c r="I410">
        <v>0</v>
      </c>
      <c r="J410">
        <v>0</v>
      </c>
      <c r="K410">
        <v>0</v>
      </c>
      <c r="L410">
        <v>0</v>
      </c>
      <c r="M410">
        <v>1</v>
      </c>
      <c r="N410">
        <v>0</v>
      </c>
      <c r="O410" t="str" cm="1">
        <f t="array" ref="O410">_xlfn.IFS(Table1[[#This Row],[Divorced]]=1, "Divorced", Table1[[#This Row],[Married]]=1, "Married", Table1[[#This Row],[Single]]=1, "Single", Table1[[#This Row],[Together]]=1, "Together", Table1[[#This Row],[Widow]]=1, "Widow")</f>
        <v>Single</v>
      </c>
      <c r="P410" t="str" cm="1">
        <f t="array" ref="P410">_xlfn.IFS(Table1[[#This Row],[Basic]]=1, "Basic", Table1[[#This Row],[Graduate]]=1, "Graduate", Table1[[#This Row],[Master]]=1, "Master", Table1[[#This Row],[PhD]]=1, "PhD", AND(Table1[[#This Row],[Basic]]=0, Table1[[#This Row],[Graduate]]=0, Table1[[#This Row],[Master]]=0, Table1[[#This Row],[PhD]]=0), "NA")</f>
        <v>Master</v>
      </c>
      <c r="Q410" t="e">
        <f>_xlfn.XLOOKUP(Table1[[#This Row],[ID]], Table2[ID],#REF!, "Not Found", 0)</f>
        <v>#REF!</v>
      </c>
      <c r="R410" t="e">
        <f>_xlfn.XLOOKUP(Table1[[#This Row],[ID]], Table2[ID],#REF!, "Not Found", 0)</f>
        <v>#REF!</v>
      </c>
      <c r="S410" s="3" t="str">
        <f>_xlfn.XLOOKUP(Table1[[#This Row],[ID]], Table2[ID], Table2[Enrollment], "Not Found", 0)</f>
        <v>8/16/2019</v>
      </c>
      <c r="T410" t="s">
        <v>439</v>
      </c>
    </row>
    <row r="411" spans="1:20" x14ac:dyDescent="0.3">
      <c r="A411">
        <v>1605</v>
      </c>
      <c r="B411">
        <v>172298</v>
      </c>
      <c r="C411">
        <v>0</v>
      </c>
      <c r="D411">
        <v>0</v>
      </c>
      <c r="E411">
        <v>71</v>
      </c>
      <c r="F411">
        <v>0</v>
      </c>
      <c r="G411">
        <v>0</v>
      </c>
      <c r="H411">
        <v>0</v>
      </c>
      <c r="I411">
        <v>0</v>
      </c>
      <c r="J411">
        <v>1</v>
      </c>
      <c r="K411">
        <v>0</v>
      </c>
      <c r="L411">
        <v>1</v>
      </c>
      <c r="M411">
        <v>0</v>
      </c>
      <c r="N411">
        <v>0</v>
      </c>
      <c r="O411" t="str" cm="1">
        <f t="array" ref="O411">_xlfn.IFS(Table1[[#This Row],[Divorced]]=1, "Divorced", Table1[[#This Row],[Married]]=1, "Married", Table1[[#This Row],[Single]]=1, "Single", Table1[[#This Row],[Together]]=1, "Together", Table1[[#This Row],[Widow]]=1, "Widow")</f>
        <v>Widow</v>
      </c>
      <c r="P411" t="str" cm="1">
        <f t="array" ref="P411">_xlfn.IFS(Table1[[#This Row],[Basic]]=1, "Basic", Table1[[#This Row],[Graduate]]=1, "Graduate", Table1[[#This Row],[Master]]=1, "Master", Table1[[#This Row],[PhD]]=1, "PhD", AND(Table1[[#This Row],[Basic]]=0, Table1[[#This Row],[Graduate]]=0, Table1[[#This Row],[Master]]=0, Table1[[#This Row],[PhD]]=0), "NA")</f>
        <v>Graduate</v>
      </c>
      <c r="Q411" t="e">
        <f>_xlfn.XLOOKUP(Table1[[#This Row],[ID]], Table2[ID],#REF!, "Not Found", 0)</f>
        <v>#REF!</v>
      </c>
      <c r="R411" t="e">
        <f>_xlfn.XLOOKUP(Table1[[#This Row],[ID]], Table2[ID],#REF!, "Not Found", 0)</f>
        <v>#REF!</v>
      </c>
      <c r="S411" s="3" t="str">
        <f>_xlfn.XLOOKUP(Table1[[#This Row],[ID]], Table2[ID], Table2[Enrollment], "Not Found", 0)</f>
        <v>8/14/2020</v>
      </c>
      <c r="T411" t="s">
        <v>435</v>
      </c>
    </row>
    <row r="412" spans="1:20" x14ac:dyDescent="0.3">
      <c r="A412">
        <v>2792</v>
      </c>
      <c r="B412">
        <v>172282</v>
      </c>
      <c r="C412">
        <v>0</v>
      </c>
      <c r="D412">
        <v>0</v>
      </c>
      <c r="E412">
        <v>69</v>
      </c>
      <c r="F412">
        <v>0</v>
      </c>
      <c r="G412">
        <v>0</v>
      </c>
      <c r="H412">
        <v>1</v>
      </c>
      <c r="I412">
        <v>0</v>
      </c>
      <c r="J412">
        <v>0</v>
      </c>
      <c r="K412">
        <v>0</v>
      </c>
      <c r="L412">
        <v>1</v>
      </c>
      <c r="M412">
        <v>0</v>
      </c>
      <c r="N412">
        <v>0</v>
      </c>
      <c r="O412" t="str" cm="1">
        <f t="array" ref="O412">_xlfn.IFS(Table1[[#This Row],[Divorced]]=1, "Divorced", Table1[[#This Row],[Married]]=1, "Married", Table1[[#This Row],[Single]]=1, "Single", Table1[[#This Row],[Together]]=1, "Together", Table1[[#This Row],[Widow]]=1, "Widow")</f>
        <v>Single</v>
      </c>
      <c r="P412" t="str" cm="1">
        <f t="array" ref="P412">_xlfn.IFS(Table1[[#This Row],[Basic]]=1, "Basic", Table1[[#This Row],[Graduate]]=1, "Graduate", Table1[[#This Row],[Master]]=1, "Master", Table1[[#This Row],[PhD]]=1, "PhD", AND(Table1[[#This Row],[Basic]]=0, Table1[[#This Row],[Graduate]]=0, Table1[[#This Row],[Master]]=0, Table1[[#This Row],[PhD]]=0), "NA")</f>
        <v>Graduate</v>
      </c>
      <c r="Q412" t="e">
        <f>_xlfn.XLOOKUP(Table1[[#This Row],[ID]], Table2[ID],#REF!, "Not Found", 0)</f>
        <v>#REF!</v>
      </c>
      <c r="R412" t="e">
        <f>_xlfn.XLOOKUP(Table1[[#This Row],[ID]], Table2[ID],#REF!, "Not Found", 0)</f>
        <v>#REF!</v>
      </c>
      <c r="S412" s="3" t="str">
        <f>_xlfn.XLOOKUP(Table1[[#This Row],[ID]], Table2[ID], Table2[Enrollment], "Not Found", 0)</f>
        <v>12/24/2019</v>
      </c>
      <c r="T412" t="s">
        <v>438</v>
      </c>
    </row>
    <row r="413" spans="1:20" x14ac:dyDescent="0.3">
      <c r="A413">
        <v>1760</v>
      </c>
      <c r="B413">
        <v>172258</v>
      </c>
      <c r="C413">
        <v>0</v>
      </c>
      <c r="D413">
        <v>1</v>
      </c>
      <c r="E413">
        <v>49</v>
      </c>
      <c r="F413">
        <v>0</v>
      </c>
      <c r="G413">
        <v>0</v>
      </c>
      <c r="H413">
        <v>1</v>
      </c>
      <c r="I413">
        <v>0</v>
      </c>
      <c r="J413">
        <v>0</v>
      </c>
      <c r="K413">
        <v>0</v>
      </c>
      <c r="L413">
        <v>1</v>
      </c>
      <c r="M413">
        <v>0</v>
      </c>
      <c r="N413">
        <v>0</v>
      </c>
      <c r="O413" t="str" cm="1">
        <f t="array" ref="O413">_xlfn.IFS(Table1[[#This Row],[Divorced]]=1, "Divorced", Table1[[#This Row],[Married]]=1, "Married", Table1[[#This Row],[Single]]=1, "Single", Table1[[#This Row],[Together]]=1, "Together", Table1[[#This Row],[Widow]]=1, "Widow")</f>
        <v>Single</v>
      </c>
      <c r="P413" t="str" cm="1">
        <f t="array" ref="P413">_xlfn.IFS(Table1[[#This Row],[Basic]]=1, "Basic", Table1[[#This Row],[Graduate]]=1, "Graduate", Table1[[#This Row],[Master]]=1, "Master", Table1[[#This Row],[PhD]]=1, "PhD", AND(Table1[[#This Row],[Basic]]=0, Table1[[#This Row],[Graduate]]=0, Table1[[#This Row],[Master]]=0, Table1[[#This Row],[PhD]]=0), "NA")</f>
        <v>Graduate</v>
      </c>
      <c r="Q413" t="e">
        <f>_xlfn.XLOOKUP(Table1[[#This Row],[ID]], Table2[ID],#REF!, "Not Found", 0)</f>
        <v>#REF!</v>
      </c>
      <c r="R413" t="e">
        <f>_xlfn.XLOOKUP(Table1[[#This Row],[ID]], Table2[ID],#REF!, "Not Found", 0)</f>
        <v>#REF!</v>
      </c>
      <c r="S413" s="3" t="str">
        <f>_xlfn.XLOOKUP(Table1[[#This Row],[ID]], Table2[ID], Table2[Enrollment], "Not Found", 0)</f>
        <v>2/17/2020</v>
      </c>
      <c r="T413" t="s">
        <v>438</v>
      </c>
    </row>
    <row r="414" spans="1:20" x14ac:dyDescent="0.3">
      <c r="A414">
        <v>2039</v>
      </c>
      <c r="B414">
        <v>172228</v>
      </c>
      <c r="C414">
        <v>0</v>
      </c>
      <c r="D414">
        <v>0</v>
      </c>
      <c r="E414">
        <v>68</v>
      </c>
      <c r="F414">
        <v>0</v>
      </c>
      <c r="G414">
        <v>0</v>
      </c>
      <c r="H414">
        <v>1</v>
      </c>
      <c r="I414">
        <v>0</v>
      </c>
      <c r="J414">
        <v>0</v>
      </c>
      <c r="K414">
        <v>0</v>
      </c>
      <c r="L414">
        <v>1</v>
      </c>
      <c r="M414">
        <v>0</v>
      </c>
      <c r="N414">
        <v>0</v>
      </c>
      <c r="O414" t="str" cm="1">
        <f t="array" ref="O414">_xlfn.IFS(Table1[[#This Row],[Divorced]]=1, "Divorced", Table1[[#This Row],[Married]]=1, "Married", Table1[[#This Row],[Single]]=1, "Single", Table1[[#This Row],[Together]]=1, "Together", Table1[[#This Row],[Widow]]=1, "Widow")</f>
        <v>Single</v>
      </c>
      <c r="P414" t="str" cm="1">
        <f t="array" ref="P414">_xlfn.IFS(Table1[[#This Row],[Basic]]=1, "Basic", Table1[[#This Row],[Graduate]]=1, "Graduate", Table1[[#This Row],[Master]]=1, "Master", Table1[[#This Row],[PhD]]=1, "PhD", AND(Table1[[#This Row],[Basic]]=0, Table1[[#This Row],[Graduate]]=0, Table1[[#This Row],[Master]]=0, Table1[[#This Row],[PhD]]=0), "NA")</f>
        <v>Graduate</v>
      </c>
      <c r="Q414" t="e">
        <f>_xlfn.XLOOKUP(Table1[[#This Row],[ID]], Table2[ID],#REF!, "Not Found", 0)</f>
        <v>#REF!</v>
      </c>
      <c r="R414" t="e">
        <f>_xlfn.XLOOKUP(Table1[[#This Row],[ID]], Table2[ID],#REF!, "Not Found", 0)</f>
        <v>#REF!</v>
      </c>
      <c r="S414" s="3">
        <f>_xlfn.XLOOKUP(Table1[[#This Row],[ID]], Table2[ID], Table2[Enrollment], "Not Found", 0)</f>
        <v>43560</v>
      </c>
      <c r="T414" t="s">
        <v>434</v>
      </c>
    </row>
    <row r="415" spans="1:20" x14ac:dyDescent="0.3">
      <c r="A415">
        <v>3087</v>
      </c>
      <c r="B415">
        <v>172217</v>
      </c>
      <c r="C415">
        <v>0</v>
      </c>
      <c r="D415">
        <v>0</v>
      </c>
      <c r="E415">
        <v>58</v>
      </c>
      <c r="F415">
        <v>0</v>
      </c>
      <c r="G415">
        <v>0</v>
      </c>
      <c r="H415">
        <v>1</v>
      </c>
      <c r="I415">
        <v>0</v>
      </c>
      <c r="J415">
        <v>0</v>
      </c>
      <c r="K415">
        <v>0</v>
      </c>
      <c r="L415">
        <v>0</v>
      </c>
      <c r="M415">
        <v>1</v>
      </c>
      <c r="N415">
        <v>0</v>
      </c>
      <c r="O415" t="str" cm="1">
        <f t="array" ref="O415">_xlfn.IFS(Table1[[#This Row],[Divorced]]=1, "Divorced", Table1[[#This Row],[Married]]=1, "Married", Table1[[#This Row],[Single]]=1, "Single", Table1[[#This Row],[Together]]=1, "Together", Table1[[#This Row],[Widow]]=1, "Widow")</f>
        <v>Single</v>
      </c>
      <c r="P415" t="str" cm="1">
        <f t="array" ref="P415">_xlfn.IFS(Table1[[#This Row],[Basic]]=1, "Basic", Table1[[#This Row],[Graduate]]=1, "Graduate", Table1[[#This Row],[Master]]=1, "Master", Table1[[#This Row],[PhD]]=1, "PhD", AND(Table1[[#This Row],[Basic]]=0, Table1[[#This Row],[Graduate]]=0, Table1[[#This Row],[Master]]=0, Table1[[#This Row],[PhD]]=0), "NA")</f>
        <v>Master</v>
      </c>
      <c r="Q415" t="e">
        <f>_xlfn.XLOOKUP(Table1[[#This Row],[ID]], Table2[ID],#REF!, "Not Found", 0)</f>
        <v>#REF!</v>
      </c>
      <c r="R415" t="e">
        <f>_xlfn.XLOOKUP(Table1[[#This Row],[ID]], Table2[ID],#REF!, "Not Found", 0)</f>
        <v>#REF!</v>
      </c>
      <c r="S415" s="3" t="str">
        <f>_xlfn.XLOOKUP(Table1[[#This Row],[ID]], Table2[ID], Table2[Enrollment], "Not Found", 0)</f>
        <v>9/15/2019</v>
      </c>
      <c r="T415" t="s">
        <v>435</v>
      </c>
    </row>
    <row r="416" spans="1:20" x14ac:dyDescent="0.3">
      <c r="A416">
        <v>1704</v>
      </c>
      <c r="B416">
        <v>172190</v>
      </c>
      <c r="C416">
        <v>0</v>
      </c>
      <c r="D416">
        <v>0</v>
      </c>
      <c r="E416">
        <v>55</v>
      </c>
      <c r="F416">
        <v>0</v>
      </c>
      <c r="G416">
        <v>1</v>
      </c>
      <c r="H416">
        <v>0</v>
      </c>
      <c r="I416">
        <v>0</v>
      </c>
      <c r="J416">
        <v>0</v>
      </c>
      <c r="K416">
        <v>0</v>
      </c>
      <c r="L416">
        <v>1</v>
      </c>
      <c r="M416">
        <v>0</v>
      </c>
      <c r="N416">
        <v>0</v>
      </c>
      <c r="O416" t="str" cm="1">
        <f t="array" ref="O416">_xlfn.IFS(Table1[[#This Row],[Divorced]]=1, "Divorced", Table1[[#This Row],[Married]]=1, "Married", Table1[[#This Row],[Single]]=1, "Single", Table1[[#This Row],[Together]]=1, "Together", Table1[[#This Row],[Widow]]=1, "Widow")</f>
        <v>Married</v>
      </c>
      <c r="P416" t="str" cm="1">
        <f t="array" ref="P416">_xlfn.IFS(Table1[[#This Row],[Basic]]=1, "Basic", Table1[[#This Row],[Graduate]]=1, "Graduate", Table1[[#This Row],[Master]]=1, "Master", Table1[[#This Row],[PhD]]=1, "PhD", AND(Table1[[#This Row],[Basic]]=0, Table1[[#This Row],[Graduate]]=0, Table1[[#This Row],[Master]]=0, Table1[[#This Row],[PhD]]=0), "NA")</f>
        <v>Graduate</v>
      </c>
      <c r="Q416" t="e">
        <f>_xlfn.XLOOKUP(Table1[[#This Row],[ID]], Table2[ID],#REF!, "Not Found", 0)</f>
        <v>#REF!</v>
      </c>
      <c r="R416" t="e">
        <f>_xlfn.XLOOKUP(Table1[[#This Row],[ID]], Table2[ID],#REF!, "Not Found", 0)</f>
        <v>#REF!</v>
      </c>
      <c r="S416" s="3" t="str">
        <f>_xlfn.XLOOKUP(Table1[[#This Row],[ID]], Table2[ID], Table2[Enrollment], "Not Found", 0)</f>
        <v>7/21/2019</v>
      </c>
      <c r="T416" t="s">
        <v>436</v>
      </c>
    </row>
    <row r="417" spans="1:20" x14ac:dyDescent="0.3">
      <c r="A417">
        <v>2827</v>
      </c>
      <c r="B417">
        <v>172159</v>
      </c>
      <c r="C417">
        <v>0</v>
      </c>
      <c r="D417">
        <v>0</v>
      </c>
      <c r="E417">
        <v>42</v>
      </c>
      <c r="F417">
        <v>0</v>
      </c>
      <c r="G417">
        <v>1</v>
      </c>
      <c r="H417">
        <v>0</v>
      </c>
      <c r="I417">
        <v>0</v>
      </c>
      <c r="J417">
        <v>0</v>
      </c>
      <c r="K417">
        <v>0</v>
      </c>
      <c r="L417">
        <v>0</v>
      </c>
      <c r="M417">
        <v>0</v>
      </c>
      <c r="N417">
        <v>1</v>
      </c>
      <c r="O417" t="str" cm="1">
        <f t="array" ref="O417">_xlfn.IFS(Table1[[#This Row],[Divorced]]=1, "Divorced", Table1[[#This Row],[Married]]=1, "Married", Table1[[#This Row],[Single]]=1, "Single", Table1[[#This Row],[Together]]=1, "Together", Table1[[#This Row],[Widow]]=1, "Widow")</f>
        <v>Married</v>
      </c>
      <c r="P417" t="str" cm="1">
        <f t="array" ref="P417">_xlfn.IFS(Table1[[#This Row],[Basic]]=1, "Basic", Table1[[#This Row],[Graduate]]=1, "Graduate", Table1[[#This Row],[Master]]=1, "Master", Table1[[#This Row],[PhD]]=1, "PhD", AND(Table1[[#This Row],[Basic]]=0, Table1[[#This Row],[Graduate]]=0, Table1[[#This Row],[Master]]=0, Table1[[#This Row],[PhD]]=0), "NA")</f>
        <v>PhD</v>
      </c>
      <c r="Q417" t="e">
        <f>_xlfn.XLOOKUP(Table1[[#This Row],[ID]], Table2[ID],#REF!, "Not Found", 0)</f>
        <v>#REF!</v>
      </c>
      <c r="R417" t="e">
        <f>_xlfn.XLOOKUP(Table1[[#This Row],[ID]], Table2[ID],#REF!, "Not Found", 0)</f>
        <v>#REF!</v>
      </c>
      <c r="S417" s="3">
        <f>_xlfn.XLOOKUP(Table1[[#This Row],[ID]], Table2[ID], Table2[Enrollment], "Not Found", 0)</f>
        <v>43589</v>
      </c>
      <c r="T417" t="s">
        <v>437</v>
      </c>
    </row>
    <row r="418" spans="1:20" x14ac:dyDescent="0.3">
      <c r="A418">
        <v>2738</v>
      </c>
      <c r="B418">
        <v>172117</v>
      </c>
      <c r="C418">
        <v>0</v>
      </c>
      <c r="D418">
        <v>1</v>
      </c>
      <c r="E418">
        <v>43</v>
      </c>
      <c r="F418">
        <v>0</v>
      </c>
      <c r="G418">
        <v>1</v>
      </c>
      <c r="H418">
        <v>0</v>
      </c>
      <c r="I418">
        <v>0</v>
      </c>
      <c r="J418">
        <v>0</v>
      </c>
      <c r="K418">
        <v>0</v>
      </c>
      <c r="L418">
        <v>1</v>
      </c>
      <c r="M418">
        <v>0</v>
      </c>
      <c r="N418">
        <v>0</v>
      </c>
      <c r="O418" t="str" cm="1">
        <f t="array" ref="O418">_xlfn.IFS(Table1[[#This Row],[Divorced]]=1, "Divorced", Table1[[#This Row],[Married]]=1, "Married", Table1[[#This Row],[Single]]=1, "Single", Table1[[#This Row],[Together]]=1, "Together", Table1[[#This Row],[Widow]]=1, "Widow")</f>
        <v>Married</v>
      </c>
      <c r="P418" t="str" cm="1">
        <f t="array" ref="P418">_xlfn.IFS(Table1[[#This Row],[Basic]]=1, "Basic", Table1[[#This Row],[Graduate]]=1, "Graduate", Table1[[#This Row],[Master]]=1, "Master", Table1[[#This Row],[PhD]]=1, "PhD", AND(Table1[[#This Row],[Basic]]=0, Table1[[#This Row],[Graduate]]=0, Table1[[#This Row],[Master]]=0, Table1[[#This Row],[PhD]]=0), "NA")</f>
        <v>Graduate</v>
      </c>
      <c r="Q418" t="e">
        <f>_xlfn.XLOOKUP(Table1[[#This Row],[ID]], Table2[ID],#REF!, "Not Found", 0)</f>
        <v>#REF!</v>
      </c>
      <c r="R418" t="e">
        <f>_xlfn.XLOOKUP(Table1[[#This Row],[ID]], Table2[ID],#REF!, "Not Found", 0)</f>
        <v>#REF!</v>
      </c>
      <c r="S418" s="3" t="str">
        <f>_xlfn.XLOOKUP(Table1[[#This Row],[ID]], Table2[ID], Table2[Enrollment], "Not Found", 0)</f>
        <v>1/25/2020</v>
      </c>
      <c r="T418" t="s">
        <v>438</v>
      </c>
    </row>
    <row r="419" spans="1:20" x14ac:dyDescent="0.3">
      <c r="A419">
        <v>1337</v>
      </c>
      <c r="B419">
        <v>172099</v>
      </c>
      <c r="C419">
        <v>0</v>
      </c>
      <c r="D419">
        <v>0</v>
      </c>
      <c r="E419">
        <v>46</v>
      </c>
      <c r="F419">
        <v>0</v>
      </c>
      <c r="G419">
        <v>1</v>
      </c>
      <c r="H419">
        <v>0</v>
      </c>
      <c r="I419">
        <v>0</v>
      </c>
      <c r="J419">
        <v>0</v>
      </c>
      <c r="K419">
        <v>0</v>
      </c>
      <c r="L419">
        <v>1</v>
      </c>
      <c r="M419">
        <v>0</v>
      </c>
      <c r="N419">
        <v>0</v>
      </c>
      <c r="O419" t="str" cm="1">
        <f t="array" ref="O419">_xlfn.IFS(Table1[[#This Row],[Divorced]]=1, "Divorced", Table1[[#This Row],[Married]]=1, "Married", Table1[[#This Row],[Single]]=1, "Single", Table1[[#This Row],[Together]]=1, "Together", Table1[[#This Row],[Widow]]=1, "Widow")</f>
        <v>Married</v>
      </c>
      <c r="P419" t="str" cm="1">
        <f t="array" ref="P419">_xlfn.IFS(Table1[[#This Row],[Basic]]=1, "Basic", Table1[[#This Row],[Graduate]]=1, "Graduate", Table1[[#This Row],[Master]]=1, "Master", Table1[[#This Row],[PhD]]=1, "PhD", AND(Table1[[#This Row],[Basic]]=0, Table1[[#This Row],[Graduate]]=0, Table1[[#This Row],[Master]]=0, Table1[[#This Row],[PhD]]=0), "NA")</f>
        <v>Graduate</v>
      </c>
      <c r="Q419" t="e">
        <f>_xlfn.XLOOKUP(Table1[[#This Row],[ID]], Table2[ID],#REF!, "Not Found", 0)</f>
        <v>#REF!</v>
      </c>
      <c r="R419" t="e">
        <f>_xlfn.XLOOKUP(Table1[[#This Row],[ID]], Table2[ID],#REF!, "Not Found", 0)</f>
        <v>#REF!</v>
      </c>
      <c r="S419" s="3">
        <f>_xlfn.XLOOKUP(Table1[[#This Row],[ID]], Table2[ID], Table2[Enrollment], "Not Found", 0)</f>
        <v>43528</v>
      </c>
      <c r="T419" t="s">
        <v>434</v>
      </c>
    </row>
    <row r="420" spans="1:20" x14ac:dyDescent="0.3">
      <c r="A420">
        <v>2789</v>
      </c>
      <c r="B420">
        <v>172071</v>
      </c>
      <c r="C420">
        <v>0</v>
      </c>
      <c r="D420">
        <v>1</v>
      </c>
      <c r="E420">
        <v>66</v>
      </c>
      <c r="F420">
        <v>1</v>
      </c>
      <c r="G420">
        <v>0</v>
      </c>
      <c r="H420">
        <v>0</v>
      </c>
      <c r="I420">
        <v>0</v>
      </c>
      <c r="J420">
        <v>0</v>
      </c>
      <c r="K420">
        <v>0</v>
      </c>
      <c r="L420">
        <v>1</v>
      </c>
      <c r="M420">
        <v>0</v>
      </c>
      <c r="N420">
        <v>0</v>
      </c>
      <c r="O420" t="str" cm="1">
        <f t="array" ref="O420">_xlfn.IFS(Table1[[#This Row],[Divorced]]=1, "Divorced", Table1[[#This Row],[Married]]=1, "Married", Table1[[#This Row],[Single]]=1, "Single", Table1[[#This Row],[Together]]=1, "Together", Table1[[#This Row],[Widow]]=1, "Widow")</f>
        <v>Divorced</v>
      </c>
      <c r="P420" t="str" cm="1">
        <f t="array" ref="P420">_xlfn.IFS(Table1[[#This Row],[Basic]]=1, "Basic", Table1[[#This Row],[Graduate]]=1, "Graduate", Table1[[#This Row],[Master]]=1, "Master", Table1[[#This Row],[PhD]]=1, "PhD", AND(Table1[[#This Row],[Basic]]=0, Table1[[#This Row],[Graduate]]=0, Table1[[#This Row],[Master]]=0, Table1[[#This Row],[PhD]]=0), "NA")</f>
        <v>Graduate</v>
      </c>
      <c r="Q420" t="e">
        <f>_xlfn.XLOOKUP(Table1[[#This Row],[ID]], Table2[ID],#REF!, "Not Found", 0)</f>
        <v>#REF!</v>
      </c>
      <c r="R420" t="e">
        <f>_xlfn.XLOOKUP(Table1[[#This Row],[ID]], Table2[ID],#REF!, "Not Found", 0)</f>
        <v>#REF!</v>
      </c>
      <c r="S420" s="3" t="str">
        <f>_xlfn.XLOOKUP(Table1[[#This Row],[ID]], Table2[ID], Table2[Enrollment], "Not Found", 0)</f>
        <v>7/22/2019</v>
      </c>
      <c r="T420" t="s">
        <v>434</v>
      </c>
    </row>
    <row r="421" spans="1:20" x14ac:dyDescent="0.3">
      <c r="A421">
        <v>3134</v>
      </c>
      <c r="B421">
        <v>172071</v>
      </c>
      <c r="C421">
        <v>0</v>
      </c>
      <c r="D421">
        <v>1</v>
      </c>
      <c r="E421">
        <v>66</v>
      </c>
      <c r="F421">
        <v>1</v>
      </c>
      <c r="G421">
        <v>0</v>
      </c>
      <c r="H421">
        <v>0</v>
      </c>
      <c r="I421">
        <v>0</v>
      </c>
      <c r="J421">
        <v>0</v>
      </c>
      <c r="K421">
        <v>0</v>
      </c>
      <c r="L421">
        <v>1</v>
      </c>
      <c r="M421">
        <v>0</v>
      </c>
      <c r="N421">
        <v>0</v>
      </c>
      <c r="O421" t="str" cm="1">
        <f t="array" ref="O421">_xlfn.IFS(Table1[[#This Row],[Divorced]]=1, "Divorced", Table1[[#This Row],[Married]]=1, "Married", Table1[[#This Row],[Single]]=1, "Single", Table1[[#This Row],[Together]]=1, "Together", Table1[[#This Row],[Widow]]=1, "Widow")</f>
        <v>Divorced</v>
      </c>
      <c r="P421" t="str" cm="1">
        <f t="array" ref="P421">_xlfn.IFS(Table1[[#This Row],[Basic]]=1, "Basic", Table1[[#This Row],[Graduate]]=1, "Graduate", Table1[[#This Row],[Master]]=1, "Master", Table1[[#This Row],[PhD]]=1, "PhD", AND(Table1[[#This Row],[Basic]]=0, Table1[[#This Row],[Graduate]]=0, Table1[[#This Row],[Master]]=0, Table1[[#This Row],[PhD]]=0), "NA")</f>
        <v>Graduate</v>
      </c>
      <c r="Q421" t="e">
        <f>_xlfn.XLOOKUP(Table1[[#This Row],[ID]], Table2[ID],#REF!, "Not Found", 0)</f>
        <v>#REF!</v>
      </c>
      <c r="R421" t="e">
        <f>_xlfn.XLOOKUP(Table1[[#This Row],[ID]], Table2[ID],#REF!, "Not Found", 0)</f>
        <v>#REF!</v>
      </c>
      <c r="S421" s="3" t="str">
        <f>_xlfn.XLOOKUP(Table1[[#This Row],[ID]], Table2[ID], Table2[Enrollment], "Not Found", 0)</f>
        <v>7/22/2019</v>
      </c>
      <c r="T421" t="s">
        <v>438</v>
      </c>
    </row>
    <row r="422" spans="1:20" x14ac:dyDescent="0.3">
      <c r="A422">
        <v>2634</v>
      </c>
      <c r="B422">
        <v>172066</v>
      </c>
      <c r="C422">
        <v>0</v>
      </c>
      <c r="D422">
        <v>0</v>
      </c>
      <c r="E422">
        <v>39</v>
      </c>
      <c r="F422">
        <v>0</v>
      </c>
      <c r="G422">
        <v>0</v>
      </c>
      <c r="H422">
        <v>1</v>
      </c>
      <c r="I422">
        <v>0</v>
      </c>
      <c r="J422">
        <v>0</v>
      </c>
      <c r="K422">
        <v>0</v>
      </c>
      <c r="L422">
        <v>1</v>
      </c>
      <c r="M422">
        <v>0</v>
      </c>
      <c r="N422">
        <v>0</v>
      </c>
      <c r="O422" t="str" cm="1">
        <f t="array" ref="O422">_xlfn.IFS(Table1[[#This Row],[Divorced]]=1, "Divorced", Table1[[#This Row],[Married]]=1, "Married", Table1[[#This Row],[Single]]=1, "Single", Table1[[#This Row],[Together]]=1, "Together", Table1[[#This Row],[Widow]]=1, "Widow")</f>
        <v>Single</v>
      </c>
      <c r="P422" t="str" cm="1">
        <f t="array" ref="P422">_xlfn.IFS(Table1[[#This Row],[Basic]]=1, "Basic", Table1[[#This Row],[Graduate]]=1, "Graduate", Table1[[#This Row],[Master]]=1, "Master", Table1[[#This Row],[PhD]]=1, "PhD", AND(Table1[[#This Row],[Basic]]=0, Table1[[#This Row],[Graduate]]=0, Table1[[#This Row],[Master]]=0, Table1[[#This Row],[PhD]]=0), "NA")</f>
        <v>Graduate</v>
      </c>
      <c r="Q422" t="e">
        <f>_xlfn.XLOOKUP(Table1[[#This Row],[ID]], Table2[ID],#REF!, "Not Found", 0)</f>
        <v>#REF!</v>
      </c>
      <c r="R422" t="e">
        <f>_xlfn.XLOOKUP(Table1[[#This Row],[ID]], Table2[ID],#REF!, "Not Found", 0)</f>
        <v>#REF!</v>
      </c>
      <c r="S422" s="3" t="str">
        <f>_xlfn.XLOOKUP(Table1[[#This Row],[ID]], Table2[ID], Table2[Enrollment], "Not Found", 0)</f>
        <v>11/27/2020</v>
      </c>
      <c r="T422" t="s">
        <v>436</v>
      </c>
    </row>
    <row r="423" spans="1:20" x14ac:dyDescent="0.3">
      <c r="A423">
        <v>1751</v>
      </c>
      <c r="B423">
        <v>172063</v>
      </c>
      <c r="C423">
        <v>0</v>
      </c>
      <c r="D423">
        <v>1</v>
      </c>
      <c r="E423">
        <v>41</v>
      </c>
      <c r="F423">
        <v>0</v>
      </c>
      <c r="G423">
        <v>1</v>
      </c>
      <c r="H423">
        <v>0</v>
      </c>
      <c r="I423">
        <v>0</v>
      </c>
      <c r="J423">
        <v>0</v>
      </c>
      <c r="K423">
        <v>0</v>
      </c>
      <c r="L423">
        <v>1</v>
      </c>
      <c r="M423">
        <v>0</v>
      </c>
      <c r="N423">
        <v>0</v>
      </c>
      <c r="O423" t="str" cm="1">
        <f t="array" ref="O423">_xlfn.IFS(Table1[[#This Row],[Divorced]]=1, "Divorced", Table1[[#This Row],[Married]]=1, "Married", Table1[[#This Row],[Single]]=1, "Single", Table1[[#This Row],[Together]]=1, "Together", Table1[[#This Row],[Widow]]=1, "Widow")</f>
        <v>Married</v>
      </c>
      <c r="P423" t="str" cm="1">
        <f t="array" ref="P423">_xlfn.IFS(Table1[[#This Row],[Basic]]=1, "Basic", Table1[[#This Row],[Graduate]]=1, "Graduate", Table1[[#This Row],[Master]]=1, "Master", Table1[[#This Row],[PhD]]=1, "PhD", AND(Table1[[#This Row],[Basic]]=0, Table1[[#This Row],[Graduate]]=0, Table1[[#This Row],[Master]]=0, Table1[[#This Row],[PhD]]=0), "NA")</f>
        <v>Graduate</v>
      </c>
      <c r="Q423" t="e">
        <f>_xlfn.XLOOKUP(Table1[[#This Row],[ID]], Table2[ID],#REF!, "Not Found", 0)</f>
        <v>#REF!</v>
      </c>
      <c r="R423" t="e">
        <f>_xlfn.XLOOKUP(Table1[[#This Row],[ID]], Table2[ID],#REF!, "Not Found", 0)</f>
        <v>#REF!</v>
      </c>
      <c r="S423" s="3">
        <f>_xlfn.XLOOKUP(Table1[[#This Row],[ID]], Table2[ID], Table2[Enrollment], "Not Found", 0)</f>
        <v>43689</v>
      </c>
      <c r="T423" t="s">
        <v>434</v>
      </c>
    </row>
    <row r="424" spans="1:20" x14ac:dyDescent="0.3">
      <c r="A424">
        <v>1716</v>
      </c>
      <c r="B424">
        <v>172025</v>
      </c>
      <c r="C424">
        <v>0</v>
      </c>
      <c r="D424">
        <v>0</v>
      </c>
      <c r="E424">
        <v>71</v>
      </c>
      <c r="F424">
        <v>0</v>
      </c>
      <c r="G424">
        <v>1</v>
      </c>
      <c r="H424">
        <v>0</v>
      </c>
      <c r="I424">
        <v>0</v>
      </c>
      <c r="J424">
        <v>0</v>
      </c>
      <c r="K424">
        <v>0</v>
      </c>
      <c r="L424">
        <v>1</v>
      </c>
      <c r="M424">
        <v>0</v>
      </c>
      <c r="N424">
        <v>0</v>
      </c>
      <c r="O424" t="str" cm="1">
        <f t="array" ref="O424">_xlfn.IFS(Table1[[#This Row],[Divorced]]=1, "Divorced", Table1[[#This Row],[Married]]=1, "Married", Table1[[#This Row],[Single]]=1, "Single", Table1[[#This Row],[Together]]=1, "Together", Table1[[#This Row],[Widow]]=1, "Widow")</f>
        <v>Married</v>
      </c>
      <c r="P424" t="str" cm="1">
        <f t="array" ref="P424">_xlfn.IFS(Table1[[#This Row],[Basic]]=1, "Basic", Table1[[#This Row],[Graduate]]=1, "Graduate", Table1[[#This Row],[Master]]=1, "Master", Table1[[#This Row],[PhD]]=1, "PhD", AND(Table1[[#This Row],[Basic]]=0, Table1[[#This Row],[Graduate]]=0, Table1[[#This Row],[Master]]=0, Table1[[#This Row],[PhD]]=0), "NA")</f>
        <v>Graduate</v>
      </c>
      <c r="Q424" t="e">
        <f>_xlfn.XLOOKUP(Table1[[#This Row],[ID]], Table2[ID],#REF!, "Not Found", 0)</f>
        <v>#REF!</v>
      </c>
      <c r="R424" t="e">
        <f>_xlfn.XLOOKUP(Table1[[#This Row],[ID]], Table2[ID],#REF!, "Not Found", 0)</f>
        <v>#REF!</v>
      </c>
      <c r="S424" s="3">
        <f>_xlfn.XLOOKUP(Table1[[#This Row],[ID]], Table2[ID], Table2[Enrollment], "Not Found", 0)</f>
        <v>43900</v>
      </c>
      <c r="T424" t="s">
        <v>436</v>
      </c>
    </row>
    <row r="425" spans="1:20" x14ac:dyDescent="0.3">
      <c r="A425">
        <v>1352</v>
      </c>
      <c r="B425">
        <v>172025</v>
      </c>
      <c r="C425">
        <v>0</v>
      </c>
      <c r="D425">
        <v>0</v>
      </c>
      <c r="E425">
        <v>58</v>
      </c>
      <c r="F425">
        <v>0</v>
      </c>
      <c r="G425">
        <v>0</v>
      </c>
      <c r="H425">
        <v>0</v>
      </c>
      <c r="I425">
        <v>1</v>
      </c>
      <c r="J425">
        <v>0</v>
      </c>
      <c r="K425">
        <v>0</v>
      </c>
      <c r="L425">
        <v>1</v>
      </c>
      <c r="M425">
        <v>0</v>
      </c>
      <c r="N425">
        <v>0</v>
      </c>
      <c r="O425" t="str" cm="1">
        <f t="array" ref="O425">_xlfn.IFS(Table1[[#This Row],[Divorced]]=1, "Divorced", Table1[[#This Row],[Married]]=1, "Married", Table1[[#This Row],[Single]]=1, "Single", Table1[[#This Row],[Together]]=1, "Together", Table1[[#This Row],[Widow]]=1, "Widow")</f>
        <v>Together</v>
      </c>
      <c r="P425" t="str" cm="1">
        <f t="array" ref="P425">_xlfn.IFS(Table1[[#This Row],[Basic]]=1, "Basic", Table1[[#This Row],[Graduate]]=1, "Graduate", Table1[[#This Row],[Master]]=1, "Master", Table1[[#This Row],[PhD]]=1, "PhD", AND(Table1[[#This Row],[Basic]]=0, Table1[[#This Row],[Graduate]]=0, Table1[[#This Row],[Master]]=0, Table1[[#This Row],[PhD]]=0), "NA")</f>
        <v>Graduate</v>
      </c>
      <c r="Q425" t="e">
        <f>_xlfn.XLOOKUP(Table1[[#This Row],[ID]], Table2[ID],#REF!, "Not Found", 0)</f>
        <v>#REF!</v>
      </c>
      <c r="R425" t="e">
        <f>_xlfn.XLOOKUP(Table1[[#This Row],[ID]], Table2[ID],#REF!, "Not Found", 0)</f>
        <v>#REF!</v>
      </c>
      <c r="S425" s="3" t="str">
        <f>_xlfn.XLOOKUP(Table1[[#This Row],[ID]], Table2[ID], Table2[Enrollment], "Not Found", 0)</f>
        <v>4/24/2019</v>
      </c>
      <c r="T425" t="s">
        <v>438</v>
      </c>
    </row>
    <row r="426" spans="1:20" x14ac:dyDescent="0.3">
      <c r="A426">
        <v>2514</v>
      </c>
      <c r="B426">
        <v>171969</v>
      </c>
      <c r="C426">
        <v>0</v>
      </c>
      <c r="D426">
        <v>1</v>
      </c>
      <c r="E426">
        <v>49</v>
      </c>
      <c r="F426">
        <v>0</v>
      </c>
      <c r="G426">
        <v>1</v>
      </c>
      <c r="H426">
        <v>0</v>
      </c>
      <c r="I426">
        <v>0</v>
      </c>
      <c r="J426">
        <v>0</v>
      </c>
      <c r="K426">
        <v>0</v>
      </c>
      <c r="L426">
        <v>0</v>
      </c>
      <c r="M426">
        <v>0</v>
      </c>
      <c r="N426">
        <v>1</v>
      </c>
      <c r="O426" t="str" cm="1">
        <f t="array" ref="O426">_xlfn.IFS(Table1[[#This Row],[Divorced]]=1, "Divorced", Table1[[#This Row],[Married]]=1, "Married", Table1[[#This Row],[Single]]=1, "Single", Table1[[#This Row],[Together]]=1, "Together", Table1[[#This Row],[Widow]]=1, "Widow")</f>
        <v>Married</v>
      </c>
      <c r="P426" t="str" cm="1">
        <f t="array" ref="P426">_xlfn.IFS(Table1[[#This Row],[Basic]]=1, "Basic", Table1[[#This Row],[Graduate]]=1, "Graduate", Table1[[#This Row],[Master]]=1, "Master", Table1[[#This Row],[PhD]]=1, "PhD", AND(Table1[[#This Row],[Basic]]=0, Table1[[#This Row],[Graduate]]=0, Table1[[#This Row],[Master]]=0, Table1[[#This Row],[PhD]]=0), "NA")</f>
        <v>PhD</v>
      </c>
      <c r="Q426" t="e">
        <f>_xlfn.XLOOKUP(Table1[[#This Row],[ID]], Table2[ID],#REF!, "Not Found", 0)</f>
        <v>#REF!</v>
      </c>
      <c r="R426" t="e">
        <f>_xlfn.XLOOKUP(Table1[[#This Row],[ID]], Table2[ID],#REF!, "Not Found", 0)</f>
        <v>#REF!</v>
      </c>
      <c r="S426" s="3" t="str">
        <f>_xlfn.XLOOKUP(Table1[[#This Row],[ID]], Table2[ID], Table2[Enrollment], "Not Found", 0)</f>
        <v>3/23/2019</v>
      </c>
      <c r="T426" t="s">
        <v>436</v>
      </c>
    </row>
    <row r="427" spans="1:20" x14ac:dyDescent="0.3">
      <c r="A427">
        <v>3141</v>
      </c>
      <c r="B427">
        <v>171965</v>
      </c>
      <c r="C427">
        <v>0</v>
      </c>
      <c r="D427">
        <v>1</v>
      </c>
      <c r="E427">
        <v>69</v>
      </c>
      <c r="F427">
        <v>0</v>
      </c>
      <c r="G427">
        <v>1</v>
      </c>
      <c r="H427">
        <v>0</v>
      </c>
      <c r="I427">
        <v>0</v>
      </c>
      <c r="J427">
        <v>0</v>
      </c>
      <c r="K427">
        <v>0</v>
      </c>
      <c r="L427">
        <v>1</v>
      </c>
      <c r="M427">
        <v>0</v>
      </c>
      <c r="N427">
        <v>0</v>
      </c>
      <c r="O427" t="str" cm="1">
        <f t="array" ref="O427">_xlfn.IFS(Table1[[#This Row],[Divorced]]=1, "Divorced", Table1[[#This Row],[Married]]=1, "Married", Table1[[#This Row],[Single]]=1, "Single", Table1[[#This Row],[Together]]=1, "Together", Table1[[#This Row],[Widow]]=1, "Widow")</f>
        <v>Married</v>
      </c>
      <c r="P427" t="str" cm="1">
        <f t="array" ref="P427">_xlfn.IFS(Table1[[#This Row],[Basic]]=1, "Basic", Table1[[#This Row],[Graduate]]=1, "Graduate", Table1[[#This Row],[Master]]=1, "Master", Table1[[#This Row],[PhD]]=1, "PhD", AND(Table1[[#This Row],[Basic]]=0, Table1[[#This Row],[Graduate]]=0, Table1[[#This Row],[Master]]=0, Table1[[#This Row],[PhD]]=0), "NA")</f>
        <v>Graduate</v>
      </c>
      <c r="Q427" t="e">
        <f>_xlfn.XLOOKUP(Table1[[#This Row],[ID]], Table2[ID],#REF!, "Not Found", 0)</f>
        <v>#REF!</v>
      </c>
      <c r="R427" t="e">
        <f>_xlfn.XLOOKUP(Table1[[#This Row],[ID]], Table2[ID],#REF!, "Not Found", 0)</f>
        <v>#REF!</v>
      </c>
      <c r="S427" s="3">
        <f>_xlfn.XLOOKUP(Table1[[#This Row],[ID]], Table2[ID], Table2[Enrollment], "Not Found", 0)</f>
        <v>43891</v>
      </c>
      <c r="T427" t="s">
        <v>435</v>
      </c>
    </row>
    <row r="428" spans="1:20" x14ac:dyDescent="0.3">
      <c r="A428">
        <v>2985</v>
      </c>
      <c r="B428">
        <v>171964</v>
      </c>
      <c r="C428">
        <v>0</v>
      </c>
      <c r="D428">
        <v>0</v>
      </c>
      <c r="E428">
        <v>62</v>
      </c>
      <c r="F428">
        <v>1</v>
      </c>
      <c r="G428">
        <v>0</v>
      </c>
      <c r="H428">
        <v>0</v>
      </c>
      <c r="I428">
        <v>0</v>
      </c>
      <c r="J428">
        <v>0</v>
      </c>
      <c r="K428">
        <v>0</v>
      </c>
      <c r="L428">
        <v>1</v>
      </c>
      <c r="M428">
        <v>0</v>
      </c>
      <c r="N428">
        <v>0</v>
      </c>
      <c r="O428" t="str" cm="1">
        <f t="array" ref="O428">_xlfn.IFS(Table1[[#This Row],[Divorced]]=1, "Divorced", Table1[[#This Row],[Married]]=1, "Married", Table1[[#This Row],[Single]]=1, "Single", Table1[[#This Row],[Together]]=1, "Together", Table1[[#This Row],[Widow]]=1, "Widow")</f>
        <v>Divorced</v>
      </c>
      <c r="P428" t="str" cm="1">
        <f t="array" ref="P428">_xlfn.IFS(Table1[[#This Row],[Basic]]=1, "Basic", Table1[[#This Row],[Graduate]]=1, "Graduate", Table1[[#This Row],[Master]]=1, "Master", Table1[[#This Row],[PhD]]=1, "PhD", AND(Table1[[#This Row],[Basic]]=0, Table1[[#This Row],[Graduate]]=0, Table1[[#This Row],[Master]]=0, Table1[[#This Row],[PhD]]=0), "NA")</f>
        <v>Graduate</v>
      </c>
      <c r="Q428" t="e">
        <f>_xlfn.XLOOKUP(Table1[[#This Row],[ID]], Table2[ID],#REF!, "Not Found", 0)</f>
        <v>#REF!</v>
      </c>
      <c r="R428" t="e">
        <f>_xlfn.XLOOKUP(Table1[[#This Row],[ID]], Table2[ID],#REF!, "Not Found", 0)</f>
        <v>#REF!</v>
      </c>
      <c r="S428" s="3" t="str">
        <f>_xlfn.XLOOKUP(Table1[[#This Row],[ID]], Table2[ID], Table2[Enrollment], "Not Found", 0)</f>
        <v>10/25/2019</v>
      </c>
      <c r="T428" t="s">
        <v>435</v>
      </c>
    </row>
    <row r="429" spans="1:20" x14ac:dyDescent="0.3">
      <c r="A429">
        <v>1335</v>
      </c>
      <c r="B429">
        <v>171952</v>
      </c>
      <c r="C429">
        <v>1</v>
      </c>
      <c r="D429">
        <v>0</v>
      </c>
      <c r="E429">
        <v>34</v>
      </c>
      <c r="F429">
        <v>0</v>
      </c>
      <c r="G429">
        <v>1</v>
      </c>
      <c r="H429">
        <v>0</v>
      </c>
      <c r="I429">
        <v>0</v>
      </c>
      <c r="J429">
        <v>0</v>
      </c>
      <c r="K429">
        <v>0</v>
      </c>
      <c r="L429">
        <v>1</v>
      </c>
      <c r="M429">
        <v>0</v>
      </c>
      <c r="N429">
        <v>0</v>
      </c>
      <c r="O429" t="str" cm="1">
        <f t="array" ref="O429">_xlfn.IFS(Table1[[#This Row],[Divorced]]=1, "Divorced", Table1[[#This Row],[Married]]=1, "Married", Table1[[#This Row],[Single]]=1, "Single", Table1[[#This Row],[Together]]=1, "Together", Table1[[#This Row],[Widow]]=1, "Widow")</f>
        <v>Married</v>
      </c>
      <c r="P429" t="str" cm="1">
        <f t="array" ref="P429">_xlfn.IFS(Table1[[#This Row],[Basic]]=1, "Basic", Table1[[#This Row],[Graduate]]=1, "Graduate", Table1[[#This Row],[Master]]=1, "Master", Table1[[#This Row],[PhD]]=1, "PhD", AND(Table1[[#This Row],[Basic]]=0, Table1[[#This Row],[Graduate]]=0, Table1[[#This Row],[Master]]=0, Table1[[#This Row],[PhD]]=0), "NA")</f>
        <v>Graduate</v>
      </c>
      <c r="Q429" t="e">
        <f>_xlfn.XLOOKUP(Table1[[#This Row],[ID]], Table2[ID],#REF!, "Not Found", 0)</f>
        <v>#REF!</v>
      </c>
      <c r="R429" t="e">
        <f>_xlfn.XLOOKUP(Table1[[#This Row],[ID]], Table2[ID],#REF!, "Not Found", 0)</f>
        <v>#REF!</v>
      </c>
      <c r="S429" s="3" t="str">
        <f>_xlfn.XLOOKUP(Table1[[#This Row],[ID]], Table2[ID], Table2[Enrollment], "Not Found", 0)</f>
        <v>6/17/2019</v>
      </c>
      <c r="T429" t="s">
        <v>435</v>
      </c>
    </row>
    <row r="430" spans="1:20" x14ac:dyDescent="0.3">
      <c r="A430">
        <v>1686</v>
      </c>
      <c r="B430">
        <v>171952</v>
      </c>
      <c r="C430">
        <v>1</v>
      </c>
      <c r="D430">
        <v>0</v>
      </c>
      <c r="E430">
        <v>34</v>
      </c>
      <c r="F430">
        <v>0</v>
      </c>
      <c r="G430">
        <v>1</v>
      </c>
      <c r="H430">
        <v>0</v>
      </c>
      <c r="I430">
        <v>0</v>
      </c>
      <c r="J430">
        <v>0</v>
      </c>
      <c r="K430">
        <v>0</v>
      </c>
      <c r="L430">
        <v>1</v>
      </c>
      <c r="M430">
        <v>0</v>
      </c>
      <c r="N430">
        <v>0</v>
      </c>
      <c r="O430" t="str" cm="1">
        <f t="array" ref="O430">_xlfn.IFS(Table1[[#This Row],[Divorced]]=1, "Divorced", Table1[[#This Row],[Married]]=1, "Married", Table1[[#This Row],[Single]]=1, "Single", Table1[[#This Row],[Together]]=1, "Together", Table1[[#This Row],[Widow]]=1, "Widow")</f>
        <v>Married</v>
      </c>
      <c r="P430" t="str" cm="1">
        <f t="array" ref="P430">_xlfn.IFS(Table1[[#This Row],[Basic]]=1, "Basic", Table1[[#This Row],[Graduate]]=1, "Graduate", Table1[[#This Row],[Master]]=1, "Master", Table1[[#This Row],[PhD]]=1, "PhD", AND(Table1[[#This Row],[Basic]]=0, Table1[[#This Row],[Graduate]]=0, Table1[[#This Row],[Master]]=0, Table1[[#This Row],[PhD]]=0), "NA")</f>
        <v>Graduate</v>
      </c>
      <c r="Q430" t="e">
        <f>_xlfn.XLOOKUP(Table1[[#This Row],[ID]], Table2[ID],#REF!, "Not Found", 0)</f>
        <v>#REF!</v>
      </c>
      <c r="R430" t="e">
        <f>_xlfn.XLOOKUP(Table1[[#This Row],[ID]], Table2[ID],#REF!, "Not Found", 0)</f>
        <v>#REF!</v>
      </c>
      <c r="S430" s="3" t="str">
        <f>_xlfn.XLOOKUP(Table1[[#This Row],[ID]], Table2[ID], Table2[Enrollment], "Not Found", 0)</f>
        <v>6/17/2019</v>
      </c>
      <c r="T430" t="s">
        <v>436</v>
      </c>
    </row>
    <row r="431" spans="1:20" x14ac:dyDescent="0.3">
      <c r="A431">
        <v>3044</v>
      </c>
      <c r="B431">
        <v>171866</v>
      </c>
      <c r="C431">
        <v>0</v>
      </c>
      <c r="D431">
        <v>1</v>
      </c>
      <c r="E431">
        <v>64</v>
      </c>
      <c r="F431">
        <v>0</v>
      </c>
      <c r="G431">
        <v>1</v>
      </c>
      <c r="H431">
        <v>0</v>
      </c>
      <c r="I431">
        <v>0</v>
      </c>
      <c r="J431">
        <v>0</v>
      </c>
      <c r="K431">
        <v>0</v>
      </c>
      <c r="L431">
        <v>1</v>
      </c>
      <c r="M431">
        <v>0</v>
      </c>
      <c r="N431">
        <v>0</v>
      </c>
      <c r="O431" t="str" cm="1">
        <f t="array" ref="O431">_xlfn.IFS(Table1[[#This Row],[Divorced]]=1, "Divorced", Table1[[#This Row],[Married]]=1, "Married", Table1[[#This Row],[Single]]=1, "Single", Table1[[#This Row],[Together]]=1, "Together", Table1[[#This Row],[Widow]]=1, "Widow")</f>
        <v>Married</v>
      </c>
      <c r="P431" t="str" cm="1">
        <f t="array" ref="P431">_xlfn.IFS(Table1[[#This Row],[Basic]]=1, "Basic", Table1[[#This Row],[Graduate]]=1, "Graduate", Table1[[#This Row],[Master]]=1, "Master", Table1[[#This Row],[PhD]]=1, "PhD", AND(Table1[[#This Row],[Basic]]=0, Table1[[#This Row],[Graduate]]=0, Table1[[#This Row],[Master]]=0, Table1[[#This Row],[PhD]]=0), "NA")</f>
        <v>Graduate</v>
      </c>
      <c r="Q431" t="e">
        <f>_xlfn.XLOOKUP(Table1[[#This Row],[ID]], Table2[ID],#REF!, "Not Found", 0)</f>
        <v>#REF!</v>
      </c>
      <c r="R431" t="e">
        <f>_xlfn.XLOOKUP(Table1[[#This Row],[ID]], Table2[ID],#REF!, "Not Found", 0)</f>
        <v>#REF!</v>
      </c>
      <c r="S431" s="3" t="str">
        <f>_xlfn.XLOOKUP(Table1[[#This Row],[ID]], Table2[ID], Table2[Enrollment], "Not Found", 0)</f>
        <v>5/31/2020</v>
      </c>
      <c r="T431" t="s">
        <v>438</v>
      </c>
    </row>
    <row r="432" spans="1:20" x14ac:dyDescent="0.3">
      <c r="A432">
        <v>2582</v>
      </c>
      <c r="B432">
        <v>171855</v>
      </c>
      <c r="C432">
        <v>0</v>
      </c>
      <c r="D432">
        <v>1</v>
      </c>
      <c r="E432">
        <v>43</v>
      </c>
      <c r="F432">
        <v>0</v>
      </c>
      <c r="G432">
        <v>1</v>
      </c>
      <c r="H432">
        <v>0</v>
      </c>
      <c r="I432">
        <v>0</v>
      </c>
      <c r="J432">
        <v>0</v>
      </c>
      <c r="K432">
        <v>0</v>
      </c>
      <c r="L432">
        <v>1</v>
      </c>
      <c r="M432">
        <v>0</v>
      </c>
      <c r="N432">
        <v>0</v>
      </c>
      <c r="O432" t="str" cm="1">
        <f t="array" ref="O432">_xlfn.IFS(Table1[[#This Row],[Divorced]]=1, "Divorced", Table1[[#This Row],[Married]]=1, "Married", Table1[[#This Row],[Single]]=1, "Single", Table1[[#This Row],[Together]]=1, "Together", Table1[[#This Row],[Widow]]=1, "Widow")</f>
        <v>Married</v>
      </c>
      <c r="P432" t="str" cm="1">
        <f t="array" ref="P432">_xlfn.IFS(Table1[[#This Row],[Basic]]=1, "Basic", Table1[[#This Row],[Graduate]]=1, "Graduate", Table1[[#This Row],[Master]]=1, "Master", Table1[[#This Row],[PhD]]=1, "PhD", AND(Table1[[#This Row],[Basic]]=0, Table1[[#This Row],[Graduate]]=0, Table1[[#This Row],[Master]]=0, Table1[[#This Row],[PhD]]=0), "NA")</f>
        <v>Graduate</v>
      </c>
      <c r="Q432" t="e">
        <f>_xlfn.XLOOKUP(Table1[[#This Row],[ID]], Table2[ID],#REF!, "Not Found", 0)</f>
        <v>#REF!</v>
      </c>
      <c r="R432" t="e">
        <f>_xlfn.XLOOKUP(Table1[[#This Row],[ID]], Table2[ID],#REF!, "Not Found", 0)</f>
        <v>#REF!</v>
      </c>
      <c r="S432" s="3" t="str">
        <f>_xlfn.XLOOKUP(Table1[[#This Row],[ID]], Table2[ID], Table2[Enrollment], "Not Found", 0)</f>
        <v>6/23/2019</v>
      </c>
      <c r="T432" t="s">
        <v>438</v>
      </c>
    </row>
    <row r="433" spans="1:20" x14ac:dyDescent="0.3">
      <c r="A433">
        <v>2316</v>
      </c>
      <c r="B433">
        <v>171853</v>
      </c>
      <c r="C433">
        <v>0</v>
      </c>
      <c r="D433">
        <v>0</v>
      </c>
      <c r="E433">
        <v>38</v>
      </c>
      <c r="F433">
        <v>0</v>
      </c>
      <c r="G433">
        <v>0</v>
      </c>
      <c r="H433">
        <v>0</v>
      </c>
      <c r="I433">
        <v>1</v>
      </c>
      <c r="J433">
        <v>0</v>
      </c>
      <c r="K433">
        <v>0</v>
      </c>
      <c r="L433">
        <v>1</v>
      </c>
      <c r="M433">
        <v>0</v>
      </c>
      <c r="N433">
        <v>0</v>
      </c>
      <c r="O433" t="str" cm="1">
        <f t="array" ref="O433">_xlfn.IFS(Table1[[#This Row],[Divorced]]=1, "Divorced", Table1[[#This Row],[Married]]=1, "Married", Table1[[#This Row],[Single]]=1, "Single", Table1[[#This Row],[Together]]=1, "Together", Table1[[#This Row],[Widow]]=1, "Widow")</f>
        <v>Together</v>
      </c>
      <c r="P433" t="str" cm="1">
        <f t="array" ref="P433">_xlfn.IFS(Table1[[#This Row],[Basic]]=1, "Basic", Table1[[#This Row],[Graduate]]=1, "Graduate", Table1[[#This Row],[Master]]=1, "Master", Table1[[#This Row],[PhD]]=1, "PhD", AND(Table1[[#This Row],[Basic]]=0, Table1[[#This Row],[Graduate]]=0, Table1[[#This Row],[Master]]=0, Table1[[#This Row],[PhD]]=0), "NA")</f>
        <v>Graduate</v>
      </c>
      <c r="Q433" t="e">
        <f>_xlfn.XLOOKUP(Table1[[#This Row],[ID]], Table2[ID],#REF!, "Not Found", 0)</f>
        <v>#REF!</v>
      </c>
      <c r="R433" t="e">
        <f>_xlfn.XLOOKUP(Table1[[#This Row],[ID]], Table2[ID],#REF!, "Not Found", 0)</f>
        <v>#REF!</v>
      </c>
      <c r="S433" s="3" t="str">
        <f>_xlfn.XLOOKUP(Table1[[#This Row],[ID]], Table2[ID], Table2[Enrollment], "Not Found", 0)</f>
        <v>10/13/2019</v>
      </c>
      <c r="T433" t="s">
        <v>436</v>
      </c>
    </row>
    <row r="434" spans="1:20" x14ac:dyDescent="0.3">
      <c r="A434">
        <v>2742</v>
      </c>
      <c r="B434">
        <v>171853</v>
      </c>
      <c r="C434">
        <v>0</v>
      </c>
      <c r="D434">
        <v>0</v>
      </c>
      <c r="E434">
        <v>38</v>
      </c>
      <c r="F434">
        <v>0</v>
      </c>
      <c r="G434">
        <v>0</v>
      </c>
      <c r="H434">
        <v>0</v>
      </c>
      <c r="I434">
        <v>1</v>
      </c>
      <c r="J434">
        <v>0</v>
      </c>
      <c r="K434">
        <v>0</v>
      </c>
      <c r="L434">
        <v>1</v>
      </c>
      <c r="M434">
        <v>0</v>
      </c>
      <c r="N434">
        <v>0</v>
      </c>
      <c r="O434" t="str" cm="1">
        <f t="array" ref="O434">_xlfn.IFS(Table1[[#This Row],[Divorced]]=1, "Divorced", Table1[[#This Row],[Married]]=1, "Married", Table1[[#This Row],[Single]]=1, "Single", Table1[[#This Row],[Together]]=1, "Together", Table1[[#This Row],[Widow]]=1, "Widow")</f>
        <v>Together</v>
      </c>
      <c r="P434" t="str" cm="1">
        <f t="array" ref="P434">_xlfn.IFS(Table1[[#This Row],[Basic]]=1, "Basic", Table1[[#This Row],[Graduate]]=1, "Graduate", Table1[[#This Row],[Master]]=1, "Master", Table1[[#This Row],[PhD]]=1, "PhD", AND(Table1[[#This Row],[Basic]]=0, Table1[[#This Row],[Graduate]]=0, Table1[[#This Row],[Master]]=0, Table1[[#This Row],[PhD]]=0), "NA")</f>
        <v>Graduate</v>
      </c>
      <c r="Q434" t="e">
        <f>_xlfn.XLOOKUP(Table1[[#This Row],[ID]], Table2[ID],#REF!, "Not Found", 0)</f>
        <v>#REF!</v>
      </c>
      <c r="R434" t="e">
        <f>_xlfn.XLOOKUP(Table1[[#This Row],[ID]], Table2[ID],#REF!, "Not Found", 0)</f>
        <v>#REF!</v>
      </c>
      <c r="S434" s="3" t="str">
        <f>_xlfn.XLOOKUP(Table1[[#This Row],[ID]], Table2[ID], Table2[Enrollment], "Not Found", 0)</f>
        <v>10/13/2019</v>
      </c>
      <c r="T434" t="s">
        <v>436</v>
      </c>
    </row>
    <row r="435" spans="1:20" x14ac:dyDescent="0.3">
      <c r="A435">
        <v>2259</v>
      </c>
      <c r="B435">
        <v>171847</v>
      </c>
      <c r="C435">
        <v>0</v>
      </c>
      <c r="D435">
        <v>0</v>
      </c>
      <c r="E435">
        <v>42</v>
      </c>
      <c r="F435">
        <v>1</v>
      </c>
      <c r="G435">
        <v>0</v>
      </c>
      <c r="H435">
        <v>0</v>
      </c>
      <c r="I435">
        <v>0</v>
      </c>
      <c r="J435">
        <v>0</v>
      </c>
      <c r="K435">
        <v>0</v>
      </c>
      <c r="L435">
        <v>1</v>
      </c>
      <c r="M435">
        <v>0</v>
      </c>
      <c r="N435">
        <v>0</v>
      </c>
      <c r="O435" t="str" cm="1">
        <f t="array" ref="O435">_xlfn.IFS(Table1[[#This Row],[Divorced]]=1, "Divorced", Table1[[#This Row],[Married]]=1, "Married", Table1[[#This Row],[Single]]=1, "Single", Table1[[#This Row],[Together]]=1, "Together", Table1[[#This Row],[Widow]]=1, "Widow")</f>
        <v>Divorced</v>
      </c>
      <c r="P435" t="str" cm="1">
        <f t="array" ref="P435">_xlfn.IFS(Table1[[#This Row],[Basic]]=1, "Basic", Table1[[#This Row],[Graduate]]=1, "Graduate", Table1[[#This Row],[Master]]=1, "Master", Table1[[#This Row],[PhD]]=1, "PhD", AND(Table1[[#This Row],[Basic]]=0, Table1[[#This Row],[Graduate]]=0, Table1[[#This Row],[Master]]=0, Table1[[#This Row],[PhD]]=0), "NA")</f>
        <v>Graduate</v>
      </c>
      <c r="Q435" t="e">
        <f>_xlfn.XLOOKUP(Table1[[#This Row],[ID]], Table2[ID],#REF!, "Not Found", 0)</f>
        <v>#REF!</v>
      </c>
      <c r="R435" t="e">
        <f>_xlfn.XLOOKUP(Table1[[#This Row],[ID]], Table2[ID],#REF!, "Not Found", 0)</f>
        <v>#REF!</v>
      </c>
      <c r="S435" s="3" t="str">
        <f>_xlfn.XLOOKUP(Table1[[#This Row],[ID]], Table2[ID], Table2[Enrollment], "Not Found", 0)</f>
        <v>2/26/2019</v>
      </c>
      <c r="T435" t="s">
        <v>435</v>
      </c>
    </row>
    <row r="436" spans="1:20" x14ac:dyDescent="0.3">
      <c r="A436">
        <v>2096</v>
      </c>
      <c r="B436">
        <v>171819</v>
      </c>
      <c r="C436">
        <v>0</v>
      </c>
      <c r="D436">
        <v>1</v>
      </c>
      <c r="E436">
        <v>49</v>
      </c>
      <c r="F436">
        <v>0</v>
      </c>
      <c r="G436">
        <v>0</v>
      </c>
      <c r="H436">
        <v>0</v>
      </c>
      <c r="I436">
        <v>1</v>
      </c>
      <c r="J436">
        <v>0</v>
      </c>
      <c r="K436">
        <v>0</v>
      </c>
      <c r="L436">
        <v>1</v>
      </c>
      <c r="M436">
        <v>0</v>
      </c>
      <c r="N436">
        <v>0</v>
      </c>
      <c r="O436" t="str" cm="1">
        <f t="array" ref="O436">_xlfn.IFS(Table1[[#This Row],[Divorced]]=1, "Divorced", Table1[[#This Row],[Married]]=1, "Married", Table1[[#This Row],[Single]]=1, "Single", Table1[[#This Row],[Together]]=1, "Together", Table1[[#This Row],[Widow]]=1, "Widow")</f>
        <v>Together</v>
      </c>
      <c r="P436" t="str" cm="1">
        <f t="array" ref="P436">_xlfn.IFS(Table1[[#This Row],[Basic]]=1, "Basic", Table1[[#This Row],[Graduate]]=1, "Graduate", Table1[[#This Row],[Master]]=1, "Master", Table1[[#This Row],[PhD]]=1, "PhD", AND(Table1[[#This Row],[Basic]]=0, Table1[[#This Row],[Graduate]]=0, Table1[[#This Row],[Master]]=0, Table1[[#This Row],[PhD]]=0), "NA")</f>
        <v>Graduate</v>
      </c>
      <c r="Q436" t="e">
        <f>_xlfn.XLOOKUP(Table1[[#This Row],[ID]], Table2[ID],#REF!, "Not Found", 0)</f>
        <v>#REF!</v>
      </c>
      <c r="R436" t="e">
        <f>_xlfn.XLOOKUP(Table1[[#This Row],[ID]], Table2[ID],#REF!, "Not Found", 0)</f>
        <v>#REF!</v>
      </c>
      <c r="S436" s="3">
        <f>_xlfn.XLOOKUP(Table1[[#This Row],[ID]], Table2[ID], Table2[Enrollment], "Not Found", 0)</f>
        <v>43863</v>
      </c>
      <c r="T436" t="s">
        <v>438</v>
      </c>
    </row>
    <row r="437" spans="1:20" x14ac:dyDescent="0.3">
      <c r="A437">
        <v>1917</v>
      </c>
      <c r="B437">
        <v>171796</v>
      </c>
      <c r="C437">
        <v>0</v>
      </c>
      <c r="D437">
        <v>0</v>
      </c>
      <c r="E437">
        <v>49</v>
      </c>
      <c r="F437">
        <v>0</v>
      </c>
      <c r="G437">
        <v>0</v>
      </c>
      <c r="H437">
        <v>0</v>
      </c>
      <c r="I437">
        <v>1</v>
      </c>
      <c r="J437">
        <v>0</v>
      </c>
      <c r="K437">
        <v>0</v>
      </c>
      <c r="L437">
        <v>1</v>
      </c>
      <c r="M437">
        <v>0</v>
      </c>
      <c r="N437">
        <v>0</v>
      </c>
      <c r="O437" t="str" cm="1">
        <f t="array" ref="O437">_xlfn.IFS(Table1[[#This Row],[Divorced]]=1, "Divorced", Table1[[#This Row],[Married]]=1, "Married", Table1[[#This Row],[Single]]=1, "Single", Table1[[#This Row],[Together]]=1, "Together", Table1[[#This Row],[Widow]]=1, "Widow")</f>
        <v>Together</v>
      </c>
      <c r="P437" t="str" cm="1">
        <f t="array" ref="P437">_xlfn.IFS(Table1[[#This Row],[Basic]]=1, "Basic", Table1[[#This Row],[Graduate]]=1, "Graduate", Table1[[#This Row],[Master]]=1, "Master", Table1[[#This Row],[PhD]]=1, "PhD", AND(Table1[[#This Row],[Basic]]=0, Table1[[#This Row],[Graduate]]=0, Table1[[#This Row],[Master]]=0, Table1[[#This Row],[PhD]]=0), "NA")</f>
        <v>Graduate</v>
      </c>
      <c r="Q437" t="e">
        <f>_xlfn.XLOOKUP(Table1[[#This Row],[ID]], Table2[ID],#REF!, "Not Found", 0)</f>
        <v>#REF!</v>
      </c>
      <c r="R437" t="e">
        <f>_xlfn.XLOOKUP(Table1[[#This Row],[ID]], Table2[ID],#REF!, "Not Found", 0)</f>
        <v>#REF!</v>
      </c>
      <c r="S437" s="3" t="str">
        <f>_xlfn.XLOOKUP(Table1[[#This Row],[ID]], Table2[ID], Table2[Enrollment], "Not Found", 0)</f>
        <v>3/30/2020</v>
      </c>
      <c r="T437" t="s">
        <v>435</v>
      </c>
    </row>
    <row r="438" spans="1:20" x14ac:dyDescent="0.3">
      <c r="A438">
        <v>2474</v>
      </c>
      <c r="B438">
        <v>171706</v>
      </c>
      <c r="C438">
        <v>0</v>
      </c>
      <c r="D438">
        <v>1</v>
      </c>
      <c r="E438">
        <v>61</v>
      </c>
      <c r="F438">
        <v>0</v>
      </c>
      <c r="G438">
        <v>0</v>
      </c>
      <c r="H438">
        <v>0</v>
      </c>
      <c r="I438">
        <v>1</v>
      </c>
      <c r="J438">
        <v>0</v>
      </c>
      <c r="K438">
        <v>0</v>
      </c>
      <c r="L438">
        <v>1</v>
      </c>
      <c r="M438">
        <v>0</v>
      </c>
      <c r="N438">
        <v>0</v>
      </c>
      <c r="O438" t="str" cm="1">
        <f t="array" ref="O438">_xlfn.IFS(Table1[[#This Row],[Divorced]]=1, "Divorced", Table1[[#This Row],[Married]]=1, "Married", Table1[[#This Row],[Single]]=1, "Single", Table1[[#This Row],[Together]]=1, "Together", Table1[[#This Row],[Widow]]=1, "Widow")</f>
        <v>Together</v>
      </c>
      <c r="P438" t="str" cm="1">
        <f t="array" ref="P438">_xlfn.IFS(Table1[[#This Row],[Basic]]=1, "Basic", Table1[[#This Row],[Graduate]]=1, "Graduate", Table1[[#This Row],[Master]]=1, "Master", Table1[[#This Row],[PhD]]=1, "PhD", AND(Table1[[#This Row],[Basic]]=0, Table1[[#This Row],[Graduate]]=0, Table1[[#This Row],[Master]]=0, Table1[[#This Row],[PhD]]=0), "NA")</f>
        <v>Graduate</v>
      </c>
      <c r="Q438" t="e">
        <f>_xlfn.XLOOKUP(Table1[[#This Row],[ID]], Table2[ID],#REF!, "Not Found", 0)</f>
        <v>#REF!</v>
      </c>
      <c r="R438" t="e">
        <f>_xlfn.XLOOKUP(Table1[[#This Row],[ID]], Table2[ID],#REF!, "Not Found", 0)</f>
        <v>#REF!</v>
      </c>
      <c r="S438" s="3" t="str">
        <f>_xlfn.XLOOKUP(Table1[[#This Row],[ID]], Table2[ID], Table2[Enrollment], "Not Found", 0)</f>
        <v>4/20/2019</v>
      </c>
      <c r="T438" t="s">
        <v>438</v>
      </c>
    </row>
    <row r="439" spans="1:20" x14ac:dyDescent="0.3">
      <c r="A439">
        <v>2070</v>
      </c>
      <c r="B439">
        <v>171691</v>
      </c>
      <c r="C439">
        <v>0</v>
      </c>
      <c r="D439">
        <v>0</v>
      </c>
      <c r="E439">
        <v>62</v>
      </c>
      <c r="F439">
        <v>0</v>
      </c>
      <c r="G439">
        <v>0</v>
      </c>
      <c r="H439">
        <v>1</v>
      </c>
      <c r="I439">
        <v>0</v>
      </c>
      <c r="J439">
        <v>0</v>
      </c>
      <c r="K439">
        <v>0</v>
      </c>
      <c r="L439">
        <v>0</v>
      </c>
      <c r="M439">
        <v>0</v>
      </c>
      <c r="N439">
        <v>1</v>
      </c>
      <c r="O439" t="str" cm="1">
        <f t="array" ref="O439">_xlfn.IFS(Table1[[#This Row],[Divorced]]=1, "Divorced", Table1[[#This Row],[Married]]=1, "Married", Table1[[#This Row],[Single]]=1, "Single", Table1[[#This Row],[Together]]=1, "Together", Table1[[#This Row],[Widow]]=1, "Widow")</f>
        <v>Single</v>
      </c>
      <c r="P439" t="str" cm="1">
        <f t="array" ref="P439">_xlfn.IFS(Table1[[#This Row],[Basic]]=1, "Basic", Table1[[#This Row],[Graduate]]=1, "Graduate", Table1[[#This Row],[Master]]=1, "Master", Table1[[#This Row],[PhD]]=1, "PhD", AND(Table1[[#This Row],[Basic]]=0, Table1[[#This Row],[Graduate]]=0, Table1[[#This Row],[Master]]=0, Table1[[#This Row],[PhD]]=0), "NA")</f>
        <v>PhD</v>
      </c>
      <c r="Q439" t="e">
        <f>_xlfn.XLOOKUP(Table1[[#This Row],[ID]], Table2[ID],#REF!, "Not Found", 0)</f>
        <v>#REF!</v>
      </c>
      <c r="R439" t="e">
        <f>_xlfn.XLOOKUP(Table1[[#This Row],[ID]], Table2[ID],#REF!, "Not Found", 0)</f>
        <v>#REF!</v>
      </c>
      <c r="S439" s="3" t="str">
        <f>_xlfn.XLOOKUP(Table1[[#This Row],[ID]], Table2[ID], Table2[Enrollment], "Not Found", 0)</f>
        <v>8/21/2020</v>
      </c>
      <c r="T439" t="s">
        <v>436</v>
      </c>
    </row>
    <row r="440" spans="1:20" x14ac:dyDescent="0.3">
      <c r="A440">
        <v>2936</v>
      </c>
      <c r="B440">
        <v>171670</v>
      </c>
      <c r="C440">
        <v>0</v>
      </c>
      <c r="D440">
        <v>0</v>
      </c>
      <c r="E440">
        <v>58</v>
      </c>
      <c r="F440">
        <v>0</v>
      </c>
      <c r="G440">
        <v>0</v>
      </c>
      <c r="H440">
        <v>0</v>
      </c>
      <c r="I440">
        <v>0</v>
      </c>
      <c r="J440">
        <v>1</v>
      </c>
      <c r="K440">
        <v>0</v>
      </c>
      <c r="L440">
        <v>0</v>
      </c>
      <c r="M440">
        <v>0</v>
      </c>
      <c r="N440">
        <v>1</v>
      </c>
      <c r="O440" t="str" cm="1">
        <f t="array" ref="O440">_xlfn.IFS(Table1[[#This Row],[Divorced]]=1, "Divorced", Table1[[#This Row],[Married]]=1, "Married", Table1[[#This Row],[Single]]=1, "Single", Table1[[#This Row],[Together]]=1, "Together", Table1[[#This Row],[Widow]]=1, "Widow")</f>
        <v>Widow</v>
      </c>
      <c r="P440" t="str" cm="1">
        <f t="array" ref="P440">_xlfn.IFS(Table1[[#This Row],[Basic]]=1, "Basic", Table1[[#This Row],[Graduate]]=1, "Graduate", Table1[[#This Row],[Master]]=1, "Master", Table1[[#This Row],[PhD]]=1, "PhD", AND(Table1[[#This Row],[Basic]]=0, Table1[[#This Row],[Graduate]]=0, Table1[[#This Row],[Master]]=0, Table1[[#This Row],[PhD]]=0), "NA")</f>
        <v>PhD</v>
      </c>
      <c r="Q440" t="e">
        <f>_xlfn.XLOOKUP(Table1[[#This Row],[ID]], Table2[ID],#REF!, "Not Found", 0)</f>
        <v>#REF!</v>
      </c>
      <c r="R440" t="e">
        <f>_xlfn.XLOOKUP(Table1[[#This Row],[ID]], Table2[ID],#REF!, "Not Found", 0)</f>
        <v>#REF!</v>
      </c>
      <c r="S440" s="3" t="str">
        <f>_xlfn.XLOOKUP(Table1[[#This Row],[ID]], Table2[ID], Table2[Enrollment], "Not Found", 0)</f>
        <v>12/14/2019</v>
      </c>
      <c r="T440" t="s">
        <v>438</v>
      </c>
    </row>
    <row r="441" spans="1:20" x14ac:dyDescent="0.3">
      <c r="A441">
        <v>2284</v>
      </c>
      <c r="B441">
        <v>171626</v>
      </c>
      <c r="C441">
        <v>0</v>
      </c>
      <c r="D441">
        <v>0</v>
      </c>
      <c r="E441">
        <v>41</v>
      </c>
      <c r="F441">
        <v>0</v>
      </c>
      <c r="G441">
        <v>1</v>
      </c>
      <c r="H441">
        <v>0</v>
      </c>
      <c r="I441">
        <v>0</v>
      </c>
      <c r="J441">
        <v>0</v>
      </c>
      <c r="K441">
        <v>0</v>
      </c>
      <c r="L441">
        <v>1</v>
      </c>
      <c r="M441">
        <v>0</v>
      </c>
      <c r="N441">
        <v>0</v>
      </c>
      <c r="O441" t="str" cm="1">
        <f t="array" ref="O441">_xlfn.IFS(Table1[[#This Row],[Divorced]]=1, "Divorced", Table1[[#This Row],[Married]]=1, "Married", Table1[[#This Row],[Single]]=1, "Single", Table1[[#This Row],[Together]]=1, "Together", Table1[[#This Row],[Widow]]=1, "Widow")</f>
        <v>Married</v>
      </c>
      <c r="P441" t="str" cm="1">
        <f t="array" ref="P441">_xlfn.IFS(Table1[[#This Row],[Basic]]=1, "Basic", Table1[[#This Row],[Graduate]]=1, "Graduate", Table1[[#This Row],[Master]]=1, "Master", Table1[[#This Row],[PhD]]=1, "PhD", AND(Table1[[#This Row],[Basic]]=0, Table1[[#This Row],[Graduate]]=0, Table1[[#This Row],[Master]]=0, Table1[[#This Row],[PhD]]=0), "NA")</f>
        <v>Graduate</v>
      </c>
      <c r="Q441" t="e">
        <f>_xlfn.XLOOKUP(Table1[[#This Row],[ID]], Table2[ID],#REF!, "Not Found", 0)</f>
        <v>#REF!</v>
      </c>
      <c r="R441" t="e">
        <f>_xlfn.XLOOKUP(Table1[[#This Row],[ID]], Table2[ID],#REF!, "Not Found", 0)</f>
        <v>#REF!</v>
      </c>
      <c r="S441" s="3">
        <f>_xlfn.XLOOKUP(Table1[[#This Row],[ID]], Table2[ID], Table2[Enrollment], "Not Found", 0)</f>
        <v>43681</v>
      </c>
      <c r="T441" t="s">
        <v>439</v>
      </c>
    </row>
    <row r="442" spans="1:20" x14ac:dyDescent="0.3">
      <c r="A442">
        <v>1003</v>
      </c>
      <c r="B442">
        <v>171613</v>
      </c>
      <c r="C442">
        <v>0</v>
      </c>
      <c r="D442">
        <v>0</v>
      </c>
      <c r="E442">
        <v>55</v>
      </c>
      <c r="F442">
        <v>0</v>
      </c>
      <c r="G442">
        <v>0</v>
      </c>
      <c r="H442">
        <v>0</v>
      </c>
      <c r="I442">
        <v>1</v>
      </c>
      <c r="J442">
        <v>0</v>
      </c>
      <c r="K442">
        <v>0</v>
      </c>
      <c r="L442">
        <v>1</v>
      </c>
      <c r="M442">
        <v>0</v>
      </c>
      <c r="N442">
        <v>0</v>
      </c>
      <c r="O442" t="str" cm="1">
        <f t="array" ref="O442">_xlfn.IFS(Table1[[#This Row],[Divorced]]=1, "Divorced", Table1[[#This Row],[Married]]=1, "Married", Table1[[#This Row],[Single]]=1, "Single", Table1[[#This Row],[Together]]=1, "Together", Table1[[#This Row],[Widow]]=1, "Widow")</f>
        <v>Together</v>
      </c>
      <c r="P442" t="str" cm="1">
        <f t="array" ref="P442">_xlfn.IFS(Table1[[#This Row],[Basic]]=1, "Basic", Table1[[#This Row],[Graduate]]=1, "Graduate", Table1[[#This Row],[Master]]=1, "Master", Table1[[#This Row],[PhD]]=1, "PhD", AND(Table1[[#This Row],[Basic]]=0, Table1[[#This Row],[Graduate]]=0, Table1[[#This Row],[Master]]=0, Table1[[#This Row],[PhD]]=0), "NA")</f>
        <v>Graduate</v>
      </c>
      <c r="Q442" t="e">
        <f>_xlfn.XLOOKUP(Table1[[#This Row],[ID]], Table2[ID],#REF!, "Not Found", 0)</f>
        <v>#REF!</v>
      </c>
      <c r="R442" t="e">
        <f>_xlfn.XLOOKUP(Table1[[#This Row],[ID]], Table2[ID],#REF!, "Not Found", 0)</f>
        <v>#REF!</v>
      </c>
      <c r="S442" s="3" t="str">
        <f>_xlfn.XLOOKUP(Table1[[#This Row],[ID]], Table2[ID], Table2[Enrollment], "Not Found", 0)</f>
        <v>1/26/2020</v>
      </c>
      <c r="T442" t="s">
        <v>437</v>
      </c>
    </row>
    <row r="443" spans="1:20" x14ac:dyDescent="0.3">
      <c r="A443">
        <v>2309</v>
      </c>
      <c r="B443">
        <v>171604</v>
      </c>
      <c r="C443">
        <v>0</v>
      </c>
      <c r="D443">
        <v>0</v>
      </c>
      <c r="E443">
        <v>75</v>
      </c>
      <c r="F443">
        <v>0</v>
      </c>
      <c r="G443">
        <v>0</v>
      </c>
      <c r="H443">
        <v>0</v>
      </c>
      <c r="I443">
        <v>1</v>
      </c>
      <c r="J443">
        <v>0</v>
      </c>
      <c r="K443">
        <v>0</v>
      </c>
      <c r="L443">
        <v>0</v>
      </c>
      <c r="M443">
        <v>0</v>
      </c>
      <c r="N443">
        <v>1</v>
      </c>
      <c r="O443" t="str" cm="1">
        <f t="array" ref="O443">_xlfn.IFS(Table1[[#This Row],[Divorced]]=1, "Divorced", Table1[[#This Row],[Married]]=1, "Married", Table1[[#This Row],[Single]]=1, "Single", Table1[[#This Row],[Together]]=1, "Together", Table1[[#This Row],[Widow]]=1, "Widow")</f>
        <v>Together</v>
      </c>
      <c r="P443" t="str" cm="1">
        <f t="array" ref="P443">_xlfn.IFS(Table1[[#This Row],[Basic]]=1, "Basic", Table1[[#This Row],[Graduate]]=1, "Graduate", Table1[[#This Row],[Master]]=1, "Master", Table1[[#This Row],[PhD]]=1, "PhD", AND(Table1[[#This Row],[Basic]]=0, Table1[[#This Row],[Graduate]]=0, Table1[[#This Row],[Master]]=0, Table1[[#This Row],[PhD]]=0), "NA")</f>
        <v>PhD</v>
      </c>
      <c r="Q443" t="e">
        <f>_xlfn.XLOOKUP(Table1[[#This Row],[ID]], Table2[ID],#REF!, "Not Found", 0)</f>
        <v>#REF!</v>
      </c>
      <c r="R443" t="e">
        <f>_xlfn.XLOOKUP(Table1[[#This Row],[ID]], Table2[ID],#REF!, "Not Found", 0)</f>
        <v>#REF!</v>
      </c>
      <c r="S443" s="3" t="str">
        <f>_xlfn.XLOOKUP(Table1[[#This Row],[ID]], Table2[ID], Table2[Enrollment], "Not Found", 0)</f>
        <v>4/23/2020</v>
      </c>
      <c r="T443" t="s">
        <v>434</v>
      </c>
    </row>
    <row r="444" spans="1:20" x14ac:dyDescent="0.3">
      <c r="A444">
        <v>1546</v>
      </c>
      <c r="B444">
        <v>171499</v>
      </c>
      <c r="C444">
        <v>0</v>
      </c>
      <c r="D444">
        <v>1</v>
      </c>
      <c r="E444">
        <v>49</v>
      </c>
      <c r="F444">
        <v>0</v>
      </c>
      <c r="G444">
        <v>0</v>
      </c>
      <c r="H444">
        <v>0</v>
      </c>
      <c r="I444">
        <v>1</v>
      </c>
      <c r="J444">
        <v>0</v>
      </c>
      <c r="K444">
        <v>0</v>
      </c>
      <c r="L444">
        <v>0</v>
      </c>
      <c r="M444">
        <v>1</v>
      </c>
      <c r="N444">
        <v>0</v>
      </c>
      <c r="O444" t="str" cm="1">
        <f t="array" ref="O444">_xlfn.IFS(Table1[[#This Row],[Divorced]]=1, "Divorced", Table1[[#This Row],[Married]]=1, "Married", Table1[[#This Row],[Single]]=1, "Single", Table1[[#This Row],[Together]]=1, "Together", Table1[[#This Row],[Widow]]=1, "Widow")</f>
        <v>Together</v>
      </c>
      <c r="P444" t="str" cm="1">
        <f t="array" ref="P444">_xlfn.IFS(Table1[[#This Row],[Basic]]=1, "Basic", Table1[[#This Row],[Graduate]]=1, "Graduate", Table1[[#This Row],[Master]]=1, "Master", Table1[[#This Row],[PhD]]=1, "PhD", AND(Table1[[#This Row],[Basic]]=0, Table1[[#This Row],[Graduate]]=0, Table1[[#This Row],[Master]]=0, Table1[[#This Row],[PhD]]=0), "NA")</f>
        <v>Master</v>
      </c>
      <c r="Q444" t="e">
        <f>_xlfn.XLOOKUP(Table1[[#This Row],[ID]], Table2[ID],#REF!, "Not Found", 0)</f>
        <v>#REF!</v>
      </c>
      <c r="R444" t="e">
        <f>_xlfn.XLOOKUP(Table1[[#This Row],[ID]], Table2[ID],#REF!, "Not Found", 0)</f>
        <v>#REF!</v>
      </c>
      <c r="S444" s="3" t="str">
        <f>_xlfn.XLOOKUP(Table1[[#This Row],[ID]], Table2[ID], Table2[Enrollment], "Not Found", 0)</f>
        <v>11/30/2019</v>
      </c>
      <c r="T444" t="s">
        <v>439</v>
      </c>
    </row>
    <row r="445" spans="1:20" x14ac:dyDescent="0.3">
      <c r="A445">
        <v>1117</v>
      </c>
      <c r="B445">
        <v>171488</v>
      </c>
      <c r="C445">
        <v>0</v>
      </c>
      <c r="D445">
        <v>0</v>
      </c>
      <c r="E445">
        <v>55</v>
      </c>
      <c r="F445">
        <v>0</v>
      </c>
      <c r="G445">
        <v>0</v>
      </c>
      <c r="H445">
        <v>0</v>
      </c>
      <c r="I445">
        <v>1</v>
      </c>
      <c r="J445">
        <v>0</v>
      </c>
      <c r="K445">
        <v>0</v>
      </c>
      <c r="L445">
        <v>0</v>
      </c>
      <c r="M445">
        <v>0</v>
      </c>
      <c r="N445">
        <v>0</v>
      </c>
      <c r="O445" t="str" cm="1">
        <f t="array" ref="O445">_xlfn.IFS(Table1[[#This Row],[Divorced]]=1, "Divorced", Table1[[#This Row],[Married]]=1, "Married", Table1[[#This Row],[Single]]=1, "Single", Table1[[#This Row],[Together]]=1, "Together", Table1[[#This Row],[Widow]]=1, "Widow")</f>
        <v>Together</v>
      </c>
      <c r="P445" t="str" cm="1">
        <f t="array" ref="P445">_xlfn.IFS(Table1[[#This Row],[Basic]]=1, "Basic", Table1[[#This Row],[Graduate]]=1, "Graduate", Table1[[#This Row],[Master]]=1, "Master", Table1[[#This Row],[PhD]]=1, "PhD", AND(Table1[[#This Row],[Basic]]=0, Table1[[#This Row],[Graduate]]=0, Table1[[#This Row],[Master]]=0, Table1[[#This Row],[PhD]]=0), "NA")</f>
        <v>NA</v>
      </c>
      <c r="Q445" t="e">
        <f>_xlfn.XLOOKUP(Table1[[#This Row],[ID]], Table2[ID],#REF!, "Not Found", 0)</f>
        <v>#REF!</v>
      </c>
      <c r="R445" t="e">
        <f>_xlfn.XLOOKUP(Table1[[#This Row],[ID]], Table2[ID],#REF!, "Not Found", 0)</f>
        <v>#REF!</v>
      </c>
      <c r="S445" s="3" t="str">
        <f>_xlfn.XLOOKUP(Table1[[#This Row],[ID]], Table2[ID], Table2[Enrollment], "Not Found", 0)</f>
        <v>7/26/2019</v>
      </c>
      <c r="T445" t="s">
        <v>437</v>
      </c>
    </row>
    <row r="446" spans="1:20" x14ac:dyDescent="0.3">
      <c r="A446">
        <v>1761</v>
      </c>
      <c r="B446">
        <v>171466</v>
      </c>
      <c r="C446">
        <v>0</v>
      </c>
      <c r="D446">
        <v>0</v>
      </c>
      <c r="E446">
        <v>46</v>
      </c>
      <c r="F446">
        <v>0</v>
      </c>
      <c r="G446">
        <v>0</v>
      </c>
      <c r="H446">
        <v>1</v>
      </c>
      <c r="I446">
        <v>0</v>
      </c>
      <c r="J446">
        <v>0</v>
      </c>
      <c r="K446">
        <v>0</v>
      </c>
      <c r="L446">
        <v>0</v>
      </c>
      <c r="M446">
        <v>0</v>
      </c>
      <c r="N446">
        <v>1</v>
      </c>
      <c r="O446" t="str" cm="1">
        <f t="array" ref="O446">_xlfn.IFS(Table1[[#This Row],[Divorced]]=1, "Divorced", Table1[[#This Row],[Married]]=1, "Married", Table1[[#This Row],[Single]]=1, "Single", Table1[[#This Row],[Together]]=1, "Together", Table1[[#This Row],[Widow]]=1, "Widow")</f>
        <v>Single</v>
      </c>
      <c r="P446" t="str" cm="1">
        <f t="array" ref="P446">_xlfn.IFS(Table1[[#This Row],[Basic]]=1, "Basic", Table1[[#This Row],[Graduate]]=1, "Graduate", Table1[[#This Row],[Master]]=1, "Master", Table1[[#This Row],[PhD]]=1, "PhD", AND(Table1[[#This Row],[Basic]]=0, Table1[[#This Row],[Graduate]]=0, Table1[[#This Row],[Master]]=0, Table1[[#This Row],[PhD]]=0), "NA")</f>
        <v>PhD</v>
      </c>
      <c r="Q446" t="e">
        <f>_xlfn.XLOOKUP(Table1[[#This Row],[ID]], Table2[ID],#REF!, "Not Found", 0)</f>
        <v>#REF!</v>
      </c>
      <c r="R446" t="e">
        <f>_xlfn.XLOOKUP(Table1[[#This Row],[ID]], Table2[ID],#REF!, "Not Found", 0)</f>
        <v>#REF!</v>
      </c>
      <c r="S446" s="3">
        <f>_xlfn.XLOOKUP(Table1[[#This Row],[ID]], Table2[ID], Table2[Enrollment], "Not Found", 0)</f>
        <v>44083</v>
      </c>
      <c r="T446" t="s">
        <v>435</v>
      </c>
    </row>
    <row r="447" spans="1:20" x14ac:dyDescent="0.3">
      <c r="A447">
        <v>2312</v>
      </c>
      <c r="B447">
        <v>171434</v>
      </c>
      <c r="C447">
        <v>0</v>
      </c>
      <c r="D447">
        <v>1</v>
      </c>
      <c r="E447">
        <v>58</v>
      </c>
      <c r="F447">
        <v>0</v>
      </c>
      <c r="G447">
        <v>1</v>
      </c>
      <c r="H447">
        <v>0</v>
      </c>
      <c r="I447">
        <v>0</v>
      </c>
      <c r="J447">
        <v>0</v>
      </c>
      <c r="K447">
        <v>0</v>
      </c>
      <c r="L447">
        <v>1</v>
      </c>
      <c r="M447">
        <v>0</v>
      </c>
      <c r="N447">
        <v>0</v>
      </c>
      <c r="O447" t="str" cm="1">
        <f t="array" ref="O447">_xlfn.IFS(Table1[[#This Row],[Divorced]]=1, "Divorced", Table1[[#This Row],[Married]]=1, "Married", Table1[[#This Row],[Single]]=1, "Single", Table1[[#This Row],[Together]]=1, "Together", Table1[[#This Row],[Widow]]=1, "Widow")</f>
        <v>Married</v>
      </c>
      <c r="P447" t="str" cm="1">
        <f t="array" ref="P447">_xlfn.IFS(Table1[[#This Row],[Basic]]=1, "Basic", Table1[[#This Row],[Graduate]]=1, "Graduate", Table1[[#This Row],[Master]]=1, "Master", Table1[[#This Row],[PhD]]=1, "PhD", AND(Table1[[#This Row],[Basic]]=0, Table1[[#This Row],[Graduate]]=0, Table1[[#This Row],[Master]]=0, Table1[[#This Row],[PhD]]=0), "NA")</f>
        <v>Graduate</v>
      </c>
      <c r="Q447" t="e">
        <f>_xlfn.XLOOKUP(Table1[[#This Row],[ID]], Table2[ID],#REF!, "Not Found", 0)</f>
        <v>#REF!</v>
      </c>
      <c r="R447" t="e">
        <f>_xlfn.XLOOKUP(Table1[[#This Row],[ID]], Table2[ID],#REF!, "Not Found", 0)</f>
        <v>#REF!</v>
      </c>
      <c r="S447" s="3" t="str">
        <f>_xlfn.XLOOKUP(Table1[[#This Row],[ID]], Table2[ID], Table2[Enrollment], "Not Found", 0)</f>
        <v>2/23/2020</v>
      </c>
      <c r="T447" t="s">
        <v>438</v>
      </c>
    </row>
    <row r="448" spans="1:20" x14ac:dyDescent="0.3">
      <c r="A448">
        <v>1682</v>
      </c>
      <c r="B448">
        <v>171427</v>
      </c>
      <c r="C448">
        <v>2</v>
      </c>
      <c r="D448">
        <v>0</v>
      </c>
      <c r="E448">
        <v>42</v>
      </c>
      <c r="F448">
        <v>0</v>
      </c>
      <c r="G448">
        <v>1</v>
      </c>
      <c r="H448">
        <v>0</v>
      </c>
      <c r="I448">
        <v>0</v>
      </c>
      <c r="J448">
        <v>0</v>
      </c>
      <c r="K448">
        <v>0</v>
      </c>
      <c r="L448">
        <v>1</v>
      </c>
      <c r="M448">
        <v>0</v>
      </c>
      <c r="N448">
        <v>0</v>
      </c>
      <c r="O448" t="str" cm="1">
        <f t="array" ref="O448">_xlfn.IFS(Table1[[#This Row],[Divorced]]=1, "Divorced", Table1[[#This Row],[Married]]=1, "Married", Table1[[#This Row],[Single]]=1, "Single", Table1[[#This Row],[Together]]=1, "Together", Table1[[#This Row],[Widow]]=1, "Widow")</f>
        <v>Married</v>
      </c>
      <c r="P448" t="str" cm="1">
        <f t="array" ref="P448">_xlfn.IFS(Table1[[#This Row],[Basic]]=1, "Basic", Table1[[#This Row],[Graduate]]=1, "Graduate", Table1[[#This Row],[Master]]=1, "Master", Table1[[#This Row],[PhD]]=1, "PhD", AND(Table1[[#This Row],[Basic]]=0, Table1[[#This Row],[Graduate]]=0, Table1[[#This Row],[Master]]=0, Table1[[#This Row],[PhD]]=0), "NA")</f>
        <v>Graduate</v>
      </c>
      <c r="Q448" t="e">
        <f>_xlfn.XLOOKUP(Table1[[#This Row],[ID]], Table2[ID],#REF!, "Not Found", 0)</f>
        <v>#REF!</v>
      </c>
      <c r="R448" t="e">
        <f>_xlfn.XLOOKUP(Table1[[#This Row],[ID]], Table2[ID],#REF!, "Not Found", 0)</f>
        <v>#REF!</v>
      </c>
      <c r="S448" s="3" t="str">
        <f>_xlfn.XLOOKUP(Table1[[#This Row],[ID]], Table2[ID], Table2[Enrollment], "Not Found", 0)</f>
        <v>8/16/2020</v>
      </c>
      <c r="T448" t="s">
        <v>438</v>
      </c>
    </row>
    <row r="449" spans="1:20" x14ac:dyDescent="0.3">
      <c r="A449">
        <v>1816</v>
      </c>
      <c r="B449">
        <v>171391</v>
      </c>
      <c r="C449">
        <v>0</v>
      </c>
      <c r="D449">
        <v>1</v>
      </c>
      <c r="E449">
        <v>64</v>
      </c>
      <c r="F449">
        <v>0</v>
      </c>
      <c r="G449">
        <v>1</v>
      </c>
      <c r="H449">
        <v>0</v>
      </c>
      <c r="I449">
        <v>0</v>
      </c>
      <c r="J449">
        <v>0</v>
      </c>
      <c r="K449">
        <v>0</v>
      </c>
      <c r="L449">
        <v>1</v>
      </c>
      <c r="M449">
        <v>0</v>
      </c>
      <c r="N449">
        <v>0</v>
      </c>
      <c r="O449" t="str" cm="1">
        <f t="array" ref="O449">_xlfn.IFS(Table1[[#This Row],[Divorced]]=1, "Divorced", Table1[[#This Row],[Married]]=1, "Married", Table1[[#This Row],[Single]]=1, "Single", Table1[[#This Row],[Together]]=1, "Together", Table1[[#This Row],[Widow]]=1, "Widow")</f>
        <v>Married</v>
      </c>
      <c r="P449" t="str" cm="1">
        <f t="array" ref="P449">_xlfn.IFS(Table1[[#This Row],[Basic]]=1, "Basic", Table1[[#This Row],[Graduate]]=1, "Graduate", Table1[[#This Row],[Master]]=1, "Master", Table1[[#This Row],[PhD]]=1, "PhD", AND(Table1[[#This Row],[Basic]]=0, Table1[[#This Row],[Graduate]]=0, Table1[[#This Row],[Master]]=0, Table1[[#This Row],[PhD]]=0), "NA")</f>
        <v>Graduate</v>
      </c>
      <c r="Q449" t="e">
        <f>_xlfn.XLOOKUP(Table1[[#This Row],[ID]], Table2[ID],#REF!, "Not Found", 0)</f>
        <v>#REF!</v>
      </c>
      <c r="R449" t="e">
        <f>_xlfn.XLOOKUP(Table1[[#This Row],[ID]], Table2[ID],#REF!, "Not Found", 0)</f>
        <v>#REF!</v>
      </c>
      <c r="S449" s="3">
        <f>_xlfn.XLOOKUP(Table1[[#This Row],[ID]], Table2[ID], Table2[Enrollment], "Not Found", 0)</f>
        <v>43533</v>
      </c>
      <c r="T449" t="s">
        <v>439</v>
      </c>
    </row>
    <row r="450" spans="1:20" x14ac:dyDescent="0.3">
      <c r="A450">
        <v>1502</v>
      </c>
      <c r="B450">
        <v>171367</v>
      </c>
      <c r="C450">
        <v>0</v>
      </c>
      <c r="D450">
        <v>0</v>
      </c>
      <c r="E450">
        <v>61</v>
      </c>
      <c r="F450">
        <v>0</v>
      </c>
      <c r="G450">
        <v>0</v>
      </c>
      <c r="H450">
        <v>0</v>
      </c>
      <c r="I450">
        <v>1</v>
      </c>
      <c r="J450">
        <v>0</v>
      </c>
      <c r="K450">
        <v>0</v>
      </c>
      <c r="L450">
        <v>1</v>
      </c>
      <c r="M450">
        <v>0</v>
      </c>
      <c r="N450">
        <v>0</v>
      </c>
      <c r="O450" t="str" cm="1">
        <f t="array" ref="O450">_xlfn.IFS(Table1[[#This Row],[Divorced]]=1, "Divorced", Table1[[#This Row],[Married]]=1, "Married", Table1[[#This Row],[Single]]=1, "Single", Table1[[#This Row],[Together]]=1, "Together", Table1[[#This Row],[Widow]]=1, "Widow")</f>
        <v>Together</v>
      </c>
      <c r="P450" t="str" cm="1">
        <f t="array" ref="P450">_xlfn.IFS(Table1[[#This Row],[Basic]]=1, "Basic", Table1[[#This Row],[Graduate]]=1, "Graduate", Table1[[#This Row],[Master]]=1, "Master", Table1[[#This Row],[PhD]]=1, "PhD", AND(Table1[[#This Row],[Basic]]=0, Table1[[#This Row],[Graduate]]=0, Table1[[#This Row],[Master]]=0, Table1[[#This Row],[PhD]]=0), "NA")</f>
        <v>Graduate</v>
      </c>
      <c r="Q450" t="e">
        <f>_xlfn.XLOOKUP(Table1[[#This Row],[ID]], Table2[ID],#REF!, "Not Found", 0)</f>
        <v>#REF!</v>
      </c>
      <c r="R450" t="e">
        <f>_xlfn.XLOOKUP(Table1[[#This Row],[ID]], Table2[ID],#REF!, "Not Found", 0)</f>
        <v>#REF!</v>
      </c>
      <c r="S450" s="3" t="str">
        <f>_xlfn.XLOOKUP(Table1[[#This Row],[ID]], Table2[ID], Table2[Enrollment], "Not Found", 0)</f>
        <v>1/28/2020</v>
      </c>
      <c r="T450" t="s">
        <v>438</v>
      </c>
    </row>
    <row r="451" spans="1:20" x14ac:dyDescent="0.3">
      <c r="A451">
        <v>2073</v>
      </c>
      <c r="B451">
        <v>171367</v>
      </c>
      <c r="C451">
        <v>0</v>
      </c>
      <c r="D451">
        <v>0</v>
      </c>
      <c r="E451">
        <v>61</v>
      </c>
      <c r="F451">
        <v>0</v>
      </c>
      <c r="G451">
        <v>0</v>
      </c>
      <c r="H451">
        <v>0</v>
      </c>
      <c r="I451">
        <v>1</v>
      </c>
      <c r="J451">
        <v>0</v>
      </c>
      <c r="K451">
        <v>0</v>
      </c>
      <c r="L451">
        <v>1</v>
      </c>
      <c r="M451">
        <v>0</v>
      </c>
      <c r="N451">
        <v>0</v>
      </c>
      <c r="O451" t="str" cm="1">
        <f t="array" ref="O451">_xlfn.IFS(Table1[[#This Row],[Divorced]]=1, "Divorced", Table1[[#This Row],[Married]]=1, "Married", Table1[[#This Row],[Single]]=1, "Single", Table1[[#This Row],[Together]]=1, "Together", Table1[[#This Row],[Widow]]=1, "Widow")</f>
        <v>Together</v>
      </c>
      <c r="P451" t="str" cm="1">
        <f t="array" ref="P451">_xlfn.IFS(Table1[[#This Row],[Basic]]=1, "Basic", Table1[[#This Row],[Graduate]]=1, "Graduate", Table1[[#This Row],[Master]]=1, "Master", Table1[[#This Row],[PhD]]=1, "PhD", AND(Table1[[#This Row],[Basic]]=0, Table1[[#This Row],[Graduate]]=0, Table1[[#This Row],[Master]]=0, Table1[[#This Row],[PhD]]=0), "NA")</f>
        <v>Graduate</v>
      </c>
      <c r="Q451" t="e">
        <f>_xlfn.XLOOKUP(Table1[[#This Row],[ID]], Table2[ID],#REF!, "Not Found", 0)</f>
        <v>#REF!</v>
      </c>
      <c r="R451" t="e">
        <f>_xlfn.XLOOKUP(Table1[[#This Row],[ID]], Table2[ID],#REF!, "Not Found", 0)</f>
        <v>#REF!</v>
      </c>
      <c r="S451" s="3" t="str">
        <f>_xlfn.XLOOKUP(Table1[[#This Row],[ID]], Table2[ID], Table2[Enrollment], "Not Found", 0)</f>
        <v>1/28/2020</v>
      </c>
      <c r="T451" t="s">
        <v>435</v>
      </c>
    </row>
    <row r="452" spans="1:20" x14ac:dyDescent="0.3">
      <c r="A452">
        <v>2999</v>
      </c>
      <c r="B452">
        <v>171322</v>
      </c>
      <c r="C452">
        <v>0</v>
      </c>
      <c r="D452">
        <v>1</v>
      </c>
      <c r="E452">
        <v>55</v>
      </c>
      <c r="F452">
        <v>0</v>
      </c>
      <c r="G452">
        <v>1</v>
      </c>
      <c r="H452">
        <v>0</v>
      </c>
      <c r="I452">
        <v>0</v>
      </c>
      <c r="J452">
        <v>0</v>
      </c>
      <c r="K452">
        <v>0</v>
      </c>
      <c r="L452">
        <v>0</v>
      </c>
      <c r="M452">
        <v>0</v>
      </c>
      <c r="N452">
        <v>1</v>
      </c>
      <c r="O452" t="str" cm="1">
        <f t="array" ref="O452">_xlfn.IFS(Table1[[#This Row],[Divorced]]=1, "Divorced", Table1[[#This Row],[Married]]=1, "Married", Table1[[#This Row],[Single]]=1, "Single", Table1[[#This Row],[Together]]=1, "Together", Table1[[#This Row],[Widow]]=1, "Widow")</f>
        <v>Married</v>
      </c>
      <c r="P452" t="str" cm="1">
        <f t="array" ref="P452">_xlfn.IFS(Table1[[#This Row],[Basic]]=1, "Basic", Table1[[#This Row],[Graduate]]=1, "Graduate", Table1[[#This Row],[Master]]=1, "Master", Table1[[#This Row],[PhD]]=1, "PhD", AND(Table1[[#This Row],[Basic]]=0, Table1[[#This Row],[Graduate]]=0, Table1[[#This Row],[Master]]=0, Table1[[#This Row],[PhD]]=0), "NA")</f>
        <v>PhD</v>
      </c>
      <c r="Q452" t="e">
        <f>_xlfn.XLOOKUP(Table1[[#This Row],[ID]], Table2[ID],#REF!, "Not Found", 0)</f>
        <v>#REF!</v>
      </c>
      <c r="R452" t="e">
        <f>_xlfn.XLOOKUP(Table1[[#This Row],[ID]], Table2[ID],#REF!, "Not Found", 0)</f>
        <v>#REF!</v>
      </c>
      <c r="S452" s="3" t="str">
        <f>_xlfn.XLOOKUP(Table1[[#This Row],[ID]], Table2[ID], Table2[Enrollment], "Not Found", 0)</f>
        <v>7/24/2019</v>
      </c>
      <c r="T452" t="s">
        <v>434</v>
      </c>
    </row>
    <row r="453" spans="1:20" x14ac:dyDescent="0.3">
      <c r="A453">
        <v>3061</v>
      </c>
      <c r="B453">
        <v>171322</v>
      </c>
      <c r="C453">
        <v>0</v>
      </c>
      <c r="D453">
        <v>1</v>
      </c>
      <c r="E453">
        <v>44</v>
      </c>
      <c r="F453">
        <v>0</v>
      </c>
      <c r="G453">
        <v>0</v>
      </c>
      <c r="H453">
        <v>0</v>
      </c>
      <c r="I453">
        <v>1</v>
      </c>
      <c r="J453">
        <v>0</v>
      </c>
      <c r="K453">
        <v>0</v>
      </c>
      <c r="L453">
        <v>1</v>
      </c>
      <c r="M453">
        <v>0</v>
      </c>
      <c r="N453">
        <v>0</v>
      </c>
      <c r="O453" t="str" cm="1">
        <f t="array" ref="O453">_xlfn.IFS(Table1[[#This Row],[Divorced]]=1, "Divorced", Table1[[#This Row],[Married]]=1, "Married", Table1[[#This Row],[Single]]=1, "Single", Table1[[#This Row],[Together]]=1, "Together", Table1[[#This Row],[Widow]]=1, "Widow")</f>
        <v>Together</v>
      </c>
      <c r="P453" t="str" cm="1">
        <f t="array" ref="P453">_xlfn.IFS(Table1[[#This Row],[Basic]]=1, "Basic", Table1[[#This Row],[Graduate]]=1, "Graduate", Table1[[#This Row],[Master]]=1, "Master", Table1[[#This Row],[PhD]]=1, "PhD", AND(Table1[[#This Row],[Basic]]=0, Table1[[#This Row],[Graduate]]=0, Table1[[#This Row],[Master]]=0, Table1[[#This Row],[PhD]]=0), "NA")</f>
        <v>Graduate</v>
      </c>
      <c r="Q453" t="e">
        <f>_xlfn.XLOOKUP(Table1[[#This Row],[ID]], Table2[ID],#REF!, "Not Found", 0)</f>
        <v>#REF!</v>
      </c>
      <c r="R453" t="e">
        <f>_xlfn.XLOOKUP(Table1[[#This Row],[ID]], Table2[ID],#REF!, "Not Found", 0)</f>
        <v>#REF!</v>
      </c>
      <c r="S453" s="3">
        <f>_xlfn.XLOOKUP(Table1[[#This Row],[ID]], Table2[ID], Table2[Enrollment], "Not Found", 0)</f>
        <v>43992</v>
      </c>
      <c r="T453" t="s">
        <v>437</v>
      </c>
    </row>
    <row r="454" spans="1:20" x14ac:dyDescent="0.3">
      <c r="A454">
        <v>2758</v>
      </c>
      <c r="B454">
        <v>171232</v>
      </c>
      <c r="C454">
        <v>0</v>
      </c>
      <c r="D454">
        <v>1</v>
      </c>
      <c r="E454">
        <v>61</v>
      </c>
      <c r="F454">
        <v>0</v>
      </c>
      <c r="G454">
        <v>0</v>
      </c>
      <c r="H454">
        <v>0</v>
      </c>
      <c r="I454">
        <v>1</v>
      </c>
      <c r="J454">
        <v>0</v>
      </c>
      <c r="K454">
        <v>0</v>
      </c>
      <c r="L454">
        <v>1</v>
      </c>
      <c r="M454">
        <v>0</v>
      </c>
      <c r="N454">
        <v>0</v>
      </c>
      <c r="O454" t="str" cm="1">
        <f t="array" ref="O454">_xlfn.IFS(Table1[[#This Row],[Divorced]]=1, "Divorced", Table1[[#This Row],[Married]]=1, "Married", Table1[[#This Row],[Single]]=1, "Single", Table1[[#This Row],[Together]]=1, "Together", Table1[[#This Row],[Widow]]=1, "Widow")</f>
        <v>Together</v>
      </c>
      <c r="P454" t="str" cm="1">
        <f t="array" ref="P454">_xlfn.IFS(Table1[[#This Row],[Basic]]=1, "Basic", Table1[[#This Row],[Graduate]]=1, "Graduate", Table1[[#This Row],[Master]]=1, "Master", Table1[[#This Row],[PhD]]=1, "PhD", AND(Table1[[#This Row],[Basic]]=0, Table1[[#This Row],[Graduate]]=0, Table1[[#This Row],[Master]]=0, Table1[[#This Row],[PhD]]=0), "NA")</f>
        <v>Graduate</v>
      </c>
      <c r="Q454" t="e">
        <f>_xlfn.XLOOKUP(Table1[[#This Row],[ID]], Table2[ID],#REF!, "Not Found", 0)</f>
        <v>#REF!</v>
      </c>
      <c r="R454" t="e">
        <f>_xlfn.XLOOKUP(Table1[[#This Row],[ID]], Table2[ID],#REF!, "Not Found", 0)</f>
        <v>#REF!</v>
      </c>
      <c r="S454" s="3">
        <f>_xlfn.XLOOKUP(Table1[[#This Row],[ID]], Table2[ID], Table2[Enrollment], "Not Found", 0)</f>
        <v>43926</v>
      </c>
      <c r="T454" t="s">
        <v>439</v>
      </c>
    </row>
    <row r="455" spans="1:20" x14ac:dyDescent="0.3">
      <c r="A455">
        <v>1728</v>
      </c>
      <c r="B455">
        <v>171163</v>
      </c>
      <c r="C455">
        <v>0</v>
      </c>
      <c r="D455">
        <v>0</v>
      </c>
      <c r="E455">
        <v>25</v>
      </c>
      <c r="F455">
        <v>0</v>
      </c>
      <c r="G455">
        <v>0</v>
      </c>
      <c r="H455">
        <v>1</v>
      </c>
      <c r="I455">
        <v>0</v>
      </c>
      <c r="J455">
        <v>0</v>
      </c>
      <c r="K455">
        <v>0</v>
      </c>
      <c r="L455">
        <v>1</v>
      </c>
      <c r="M455">
        <v>0</v>
      </c>
      <c r="N455">
        <v>0</v>
      </c>
      <c r="O455" t="str" cm="1">
        <f t="array" ref="O455">_xlfn.IFS(Table1[[#This Row],[Divorced]]=1, "Divorced", Table1[[#This Row],[Married]]=1, "Married", Table1[[#This Row],[Single]]=1, "Single", Table1[[#This Row],[Together]]=1, "Together", Table1[[#This Row],[Widow]]=1, "Widow")</f>
        <v>Single</v>
      </c>
      <c r="P455" t="str" cm="1">
        <f t="array" ref="P455">_xlfn.IFS(Table1[[#This Row],[Basic]]=1, "Basic", Table1[[#This Row],[Graduate]]=1, "Graduate", Table1[[#This Row],[Master]]=1, "Master", Table1[[#This Row],[PhD]]=1, "PhD", AND(Table1[[#This Row],[Basic]]=0, Table1[[#This Row],[Graduate]]=0, Table1[[#This Row],[Master]]=0, Table1[[#This Row],[PhD]]=0), "NA")</f>
        <v>Graduate</v>
      </c>
      <c r="Q455" t="e">
        <f>_xlfn.XLOOKUP(Table1[[#This Row],[ID]], Table2[ID],#REF!, "Not Found", 0)</f>
        <v>#REF!</v>
      </c>
      <c r="R455" t="e">
        <f>_xlfn.XLOOKUP(Table1[[#This Row],[ID]], Table2[ID],#REF!, "Not Found", 0)</f>
        <v>#REF!</v>
      </c>
      <c r="S455" s="3" t="str">
        <f>_xlfn.XLOOKUP(Table1[[#This Row],[ID]], Table2[ID], Table2[Enrollment], "Not Found", 0)</f>
        <v>8/13/2020</v>
      </c>
      <c r="T455" t="s">
        <v>436</v>
      </c>
    </row>
    <row r="456" spans="1:20" x14ac:dyDescent="0.3">
      <c r="A456">
        <v>3031</v>
      </c>
      <c r="B456">
        <v>171128</v>
      </c>
      <c r="C456">
        <v>1</v>
      </c>
      <c r="D456">
        <v>0</v>
      </c>
      <c r="E456">
        <v>47</v>
      </c>
      <c r="F456">
        <v>1</v>
      </c>
      <c r="G456">
        <v>0</v>
      </c>
      <c r="H456">
        <v>0</v>
      </c>
      <c r="I456">
        <v>0</v>
      </c>
      <c r="J456">
        <v>0</v>
      </c>
      <c r="K456">
        <v>0</v>
      </c>
      <c r="L456">
        <v>1</v>
      </c>
      <c r="M456">
        <v>0</v>
      </c>
      <c r="N456">
        <v>0</v>
      </c>
      <c r="O456" t="str" cm="1">
        <f t="array" ref="O456">_xlfn.IFS(Table1[[#This Row],[Divorced]]=1, "Divorced", Table1[[#This Row],[Married]]=1, "Married", Table1[[#This Row],[Single]]=1, "Single", Table1[[#This Row],[Together]]=1, "Together", Table1[[#This Row],[Widow]]=1, "Widow")</f>
        <v>Divorced</v>
      </c>
      <c r="P456" t="str" cm="1">
        <f t="array" ref="P456">_xlfn.IFS(Table1[[#This Row],[Basic]]=1, "Basic", Table1[[#This Row],[Graduate]]=1, "Graduate", Table1[[#This Row],[Master]]=1, "Master", Table1[[#This Row],[PhD]]=1, "PhD", AND(Table1[[#This Row],[Basic]]=0, Table1[[#This Row],[Graduate]]=0, Table1[[#This Row],[Master]]=0, Table1[[#This Row],[PhD]]=0), "NA")</f>
        <v>Graduate</v>
      </c>
      <c r="Q456" t="e">
        <f>_xlfn.XLOOKUP(Table1[[#This Row],[ID]], Table2[ID],#REF!, "Not Found", 0)</f>
        <v>#REF!</v>
      </c>
      <c r="R456" t="e">
        <f>_xlfn.XLOOKUP(Table1[[#This Row],[ID]], Table2[ID],#REF!, "Not Found", 0)</f>
        <v>#REF!</v>
      </c>
      <c r="S456" s="3" t="str">
        <f>_xlfn.XLOOKUP(Table1[[#This Row],[ID]], Table2[ID], Table2[Enrollment], "Not Found", 0)</f>
        <v>3/13/2019</v>
      </c>
      <c r="T456" t="s">
        <v>437</v>
      </c>
    </row>
    <row r="457" spans="1:20" x14ac:dyDescent="0.3">
      <c r="A457">
        <v>1334</v>
      </c>
      <c r="B457">
        <v>171113</v>
      </c>
      <c r="C457">
        <v>0</v>
      </c>
      <c r="D457">
        <v>1</v>
      </c>
      <c r="E457">
        <v>63</v>
      </c>
      <c r="F457">
        <v>0</v>
      </c>
      <c r="G457">
        <v>1</v>
      </c>
      <c r="H457">
        <v>0</v>
      </c>
      <c r="I457">
        <v>0</v>
      </c>
      <c r="J457">
        <v>0</v>
      </c>
      <c r="K457">
        <v>0</v>
      </c>
      <c r="L457">
        <v>1</v>
      </c>
      <c r="M457">
        <v>0</v>
      </c>
      <c r="N457">
        <v>0</v>
      </c>
      <c r="O457" t="str" cm="1">
        <f t="array" ref="O457">_xlfn.IFS(Table1[[#This Row],[Divorced]]=1, "Divorced", Table1[[#This Row],[Married]]=1, "Married", Table1[[#This Row],[Single]]=1, "Single", Table1[[#This Row],[Together]]=1, "Together", Table1[[#This Row],[Widow]]=1, "Widow")</f>
        <v>Married</v>
      </c>
      <c r="P457" t="str" cm="1">
        <f t="array" ref="P457">_xlfn.IFS(Table1[[#This Row],[Basic]]=1, "Basic", Table1[[#This Row],[Graduate]]=1, "Graduate", Table1[[#This Row],[Master]]=1, "Master", Table1[[#This Row],[PhD]]=1, "PhD", AND(Table1[[#This Row],[Basic]]=0, Table1[[#This Row],[Graduate]]=0, Table1[[#This Row],[Master]]=0, Table1[[#This Row],[PhD]]=0), "NA")</f>
        <v>Graduate</v>
      </c>
      <c r="Q457" t="e">
        <f>_xlfn.XLOOKUP(Table1[[#This Row],[ID]], Table2[ID],#REF!, "Not Found", 0)</f>
        <v>#REF!</v>
      </c>
      <c r="R457" t="e">
        <f>_xlfn.XLOOKUP(Table1[[#This Row],[ID]], Table2[ID],#REF!, "Not Found", 0)</f>
        <v>#REF!</v>
      </c>
      <c r="S457" s="3" t="str">
        <f>_xlfn.XLOOKUP(Table1[[#This Row],[ID]], Table2[ID], Table2[Enrollment], "Not Found", 0)</f>
        <v>5/23/2020</v>
      </c>
      <c r="T457" t="s">
        <v>438</v>
      </c>
    </row>
    <row r="458" spans="1:20" x14ac:dyDescent="0.3">
      <c r="A458">
        <v>2704</v>
      </c>
      <c r="B458">
        <v>171107</v>
      </c>
      <c r="C458">
        <v>0</v>
      </c>
      <c r="D458">
        <v>1</v>
      </c>
      <c r="E458">
        <v>69</v>
      </c>
      <c r="F458">
        <v>0</v>
      </c>
      <c r="G458">
        <v>1</v>
      </c>
      <c r="H458">
        <v>0</v>
      </c>
      <c r="I458">
        <v>0</v>
      </c>
      <c r="J458">
        <v>0</v>
      </c>
      <c r="K458">
        <v>0</v>
      </c>
      <c r="L458">
        <v>1</v>
      </c>
      <c r="M458">
        <v>0</v>
      </c>
      <c r="N458">
        <v>0</v>
      </c>
      <c r="O458" t="str" cm="1">
        <f t="array" ref="O458">_xlfn.IFS(Table1[[#This Row],[Divorced]]=1, "Divorced", Table1[[#This Row],[Married]]=1, "Married", Table1[[#This Row],[Single]]=1, "Single", Table1[[#This Row],[Together]]=1, "Together", Table1[[#This Row],[Widow]]=1, "Widow")</f>
        <v>Married</v>
      </c>
      <c r="P458" t="str" cm="1">
        <f t="array" ref="P458">_xlfn.IFS(Table1[[#This Row],[Basic]]=1, "Basic", Table1[[#This Row],[Graduate]]=1, "Graduate", Table1[[#This Row],[Master]]=1, "Master", Table1[[#This Row],[PhD]]=1, "PhD", AND(Table1[[#This Row],[Basic]]=0, Table1[[#This Row],[Graduate]]=0, Table1[[#This Row],[Master]]=0, Table1[[#This Row],[PhD]]=0), "NA")</f>
        <v>Graduate</v>
      </c>
      <c r="Q458" t="e">
        <f>_xlfn.XLOOKUP(Table1[[#This Row],[ID]], Table2[ID],#REF!, "Not Found", 0)</f>
        <v>#REF!</v>
      </c>
      <c r="R458" t="e">
        <f>_xlfn.XLOOKUP(Table1[[#This Row],[ID]], Table2[ID],#REF!, "Not Found", 0)</f>
        <v>#REF!</v>
      </c>
      <c r="S458" s="3" t="str">
        <f>_xlfn.XLOOKUP(Table1[[#This Row],[ID]], Table2[ID], Table2[Enrollment], "Not Found", 0)</f>
        <v>7/25/2019</v>
      </c>
      <c r="T458" t="s">
        <v>439</v>
      </c>
    </row>
    <row r="459" spans="1:20" x14ac:dyDescent="0.3">
      <c r="A459">
        <v>1683</v>
      </c>
      <c r="B459">
        <v>171022</v>
      </c>
      <c r="C459">
        <v>0</v>
      </c>
      <c r="D459">
        <v>1</v>
      </c>
      <c r="E459">
        <v>42</v>
      </c>
      <c r="F459">
        <v>1</v>
      </c>
      <c r="G459">
        <v>0</v>
      </c>
      <c r="H459">
        <v>0</v>
      </c>
      <c r="I459">
        <v>0</v>
      </c>
      <c r="J459">
        <v>0</v>
      </c>
      <c r="K459">
        <v>0</v>
      </c>
      <c r="L459">
        <v>1</v>
      </c>
      <c r="M459">
        <v>0</v>
      </c>
      <c r="N459">
        <v>0</v>
      </c>
      <c r="O459" t="str" cm="1">
        <f t="array" ref="O459">_xlfn.IFS(Table1[[#This Row],[Divorced]]=1, "Divorced", Table1[[#This Row],[Married]]=1, "Married", Table1[[#This Row],[Single]]=1, "Single", Table1[[#This Row],[Together]]=1, "Together", Table1[[#This Row],[Widow]]=1, "Widow")</f>
        <v>Divorced</v>
      </c>
      <c r="P459" t="str" cm="1">
        <f t="array" ref="P459">_xlfn.IFS(Table1[[#This Row],[Basic]]=1, "Basic", Table1[[#This Row],[Graduate]]=1, "Graduate", Table1[[#This Row],[Master]]=1, "Master", Table1[[#This Row],[PhD]]=1, "PhD", AND(Table1[[#This Row],[Basic]]=0, Table1[[#This Row],[Graduate]]=0, Table1[[#This Row],[Master]]=0, Table1[[#This Row],[PhD]]=0), "NA")</f>
        <v>Graduate</v>
      </c>
      <c r="Q459" t="e">
        <f>_xlfn.XLOOKUP(Table1[[#This Row],[ID]], Table2[ID],#REF!, "Not Found", 0)</f>
        <v>#REF!</v>
      </c>
      <c r="R459" t="e">
        <f>_xlfn.XLOOKUP(Table1[[#This Row],[ID]], Table2[ID],#REF!, "Not Found", 0)</f>
        <v>#REF!</v>
      </c>
      <c r="S459" s="3" t="str">
        <f>_xlfn.XLOOKUP(Table1[[#This Row],[ID]], Table2[ID], Table2[Enrollment], "Not Found", 0)</f>
        <v>7/18/2020</v>
      </c>
      <c r="T459" t="s">
        <v>435</v>
      </c>
    </row>
    <row r="460" spans="1:20" x14ac:dyDescent="0.3">
      <c r="A460">
        <v>1610</v>
      </c>
      <c r="B460">
        <v>170971</v>
      </c>
      <c r="C460">
        <v>0</v>
      </c>
      <c r="D460">
        <v>1</v>
      </c>
      <c r="E460">
        <v>60</v>
      </c>
      <c r="F460">
        <v>0</v>
      </c>
      <c r="G460">
        <v>0</v>
      </c>
      <c r="H460">
        <v>0</v>
      </c>
      <c r="I460">
        <v>1</v>
      </c>
      <c r="J460">
        <v>0</v>
      </c>
      <c r="K460">
        <v>0</v>
      </c>
      <c r="L460">
        <v>1</v>
      </c>
      <c r="M460">
        <v>0</v>
      </c>
      <c r="N460">
        <v>0</v>
      </c>
      <c r="O460" t="str" cm="1">
        <f t="array" ref="O460">_xlfn.IFS(Table1[[#This Row],[Divorced]]=1, "Divorced", Table1[[#This Row],[Married]]=1, "Married", Table1[[#This Row],[Single]]=1, "Single", Table1[[#This Row],[Together]]=1, "Together", Table1[[#This Row],[Widow]]=1, "Widow")</f>
        <v>Together</v>
      </c>
      <c r="P460" t="str" cm="1">
        <f t="array" ref="P460">_xlfn.IFS(Table1[[#This Row],[Basic]]=1, "Basic", Table1[[#This Row],[Graduate]]=1, "Graduate", Table1[[#This Row],[Master]]=1, "Master", Table1[[#This Row],[PhD]]=1, "PhD", AND(Table1[[#This Row],[Basic]]=0, Table1[[#This Row],[Graduate]]=0, Table1[[#This Row],[Master]]=0, Table1[[#This Row],[PhD]]=0), "NA")</f>
        <v>Graduate</v>
      </c>
      <c r="Q460" t="e">
        <f>_xlfn.XLOOKUP(Table1[[#This Row],[ID]], Table2[ID],#REF!, "Not Found", 0)</f>
        <v>#REF!</v>
      </c>
      <c r="R460" t="e">
        <f>_xlfn.XLOOKUP(Table1[[#This Row],[ID]], Table2[ID],#REF!, "Not Found", 0)</f>
        <v>#REF!</v>
      </c>
      <c r="S460" s="3" t="str">
        <f>_xlfn.XLOOKUP(Table1[[#This Row],[ID]], Table2[ID], Table2[Enrollment], "Not Found", 0)</f>
        <v>2/26/2019</v>
      </c>
      <c r="T460" t="s">
        <v>438</v>
      </c>
    </row>
    <row r="461" spans="1:20" x14ac:dyDescent="0.3">
      <c r="A461">
        <v>1202</v>
      </c>
      <c r="B461">
        <v>170951</v>
      </c>
      <c r="C461">
        <v>0</v>
      </c>
      <c r="D461">
        <v>0</v>
      </c>
      <c r="E461">
        <v>35</v>
      </c>
      <c r="F461">
        <v>0</v>
      </c>
      <c r="G461">
        <v>1</v>
      </c>
      <c r="H461">
        <v>0</v>
      </c>
      <c r="I461">
        <v>0</v>
      </c>
      <c r="J461">
        <v>0</v>
      </c>
      <c r="K461">
        <v>0</v>
      </c>
      <c r="L461">
        <v>1</v>
      </c>
      <c r="M461">
        <v>0</v>
      </c>
      <c r="N461">
        <v>0</v>
      </c>
      <c r="O461" t="str" cm="1">
        <f t="array" ref="O461">_xlfn.IFS(Table1[[#This Row],[Divorced]]=1, "Divorced", Table1[[#This Row],[Married]]=1, "Married", Table1[[#This Row],[Single]]=1, "Single", Table1[[#This Row],[Together]]=1, "Together", Table1[[#This Row],[Widow]]=1, "Widow")</f>
        <v>Married</v>
      </c>
      <c r="P461" t="str" cm="1">
        <f t="array" ref="P461">_xlfn.IFS(Table1[[#This Row],[Basic]]=1, "Basic", Table1[[#This Row],[Graduate]]=1, "Graduate", Table1[[#This Row],[Master]]=1, "Master", Table1[[#This Row],[PhD]]=1, "PhD", AND(Table1[[#This Row],[Basic]]=0, Table1[[#This Row],[Graduate]]=0, Table1[[#This Row],[Master]]=0, Table1[[#This Row],[PhD]]=0), "NA")</f>
        <v>Graduate</v>
      </c>
      <c r="Q461" t="e">
        <f>_xlfn.XLOOKUP(Table1[[#This Row],[ID]], Table2[ID],#REF!, "Not Found", 0)</f>
        <v>#REF!</v>
      </c>
      <c r="R461" t="e">
        <f>_xlfn.XLOOKUP(Table1[[#This Row],[ID]], Table2[ID],#REF!, "Not Found", 0)</f>
        <v>#REF!</v>
      </c>
      <c r="S461" s="3">
        <f>_xlfn.XLOOKUP(Table1[[#This Row],[ID]], Table2[ID], Table2[Enrollment], "Not Found", 0)</f>
        <v>43718</v>
      </c>
      <c r="T461" t="s">
        <v>438</v>
      </c>
    </row>
    <row r="462" spans="1:20" x14ac:dyDescent="0.3">
      <c r="A462">
        <v>2896</v>
      </c>
      <c r="B462">
        <v>170932</v>
      </c>
      <c r="C462">
        <v>0</v>
      </c>
      <c r="D462">
        <v>1</v>
      </c>
      <c r="E462">
        <v>48</v>
      </c>
      <c r="F462">
        <v>0</v>
      </c>
      <c r="G462">
        <v>1</v>
      </c>
      <c r="H462">
        <v>0</v>
      </c>
      <c r="I462">
        <v>0</v>
      </c>
      <c r="J462">
        <v>0</v>
      </c>
      <c r="K462">
        <v>0</v>
      </c>
      <c r="L462">
        <v>0</v>
      </c>
      <c r="M462">
        <v>0</v>
      </c>
      <c r="N462">
        <v>0</v>
      </c>
      <c r="O462" t="str" cm="1">
        <f t="array" ref="O462">_xlfn.IFS(Table1[[#This Row],[Divorced]]=1, "Divorced", Table1[[#This Row],[Married]]=1, "Married", Table1[[#This Row],[Single]]=1, "Single", Table1[[#This Row],[Together]]=1, "Together", Table1[[#This Row],[Widow]]=1, "Widow")</f>
        <v>Married</v>
      </c>
      <c r="P462" t="str" cm="1">
        <f t="array" ref="P462">_xlfn.IFS(Table1[[#This Row],[Basic]]=1, "Basic", Table1[[#This Row],[Graduate]]=1, "Graduate", Table1[[#This Row],[Master]]=1, "Master", Table1[[#This Row],[PhD]]=1, "PhD", AND(Table1[[#This Row],[Basic]]=0, Table1[[#This Row],[Graduate]]=0, Table1[[#This Row],[Master]]=0, Table1[[#This Row],[PhD]]=0), "NA")</f>
        <v>NA</v>
      </c>
      <c r="Q462" t="e">
        <f>_xlfn.XLOOKUP(Table1[[#This Row],[ID]], Table2[ID],#REF!, "Not Found", 0)</f>
        <v>#REF!</v>
      </c>
      <c r="R462" t="e">
        <f>_xlfn.XLOOKUP(Table1[[#This Row],[ID]], Table2[ID],#REF!, "Not Found", 0)</f>
        <v>#REF!</v>
      </c>
      <c r="S462" s="3" t="str">
        <f>_xlfn.XLOOKUP(Table1[[#This Row],[ID]], Table2[ID], Table2[Enrollment], "Not Found", 0)</f>
        <v>6/25/2020</v>
      </c>
      <c r="T462" t="s">
        <v>439</v>
      </c>
    </row>
    <row r="463" spans="1:20" x14ac:dyDescent="0.3">
      <c r="A463">
        <v>1997</v>
      </c>
      <c r="B463">
        <v>170924</v>
      </c>
      <c r="C463">
        <v>0</v>
      </c>
      <c r="D463">
        <v>0</v>
      </c>
      <c r="E463">
        <v>55</v>
      </c>
      <c r="F463">
        <v>0</v>
      </c>
      <c r="G463">
        <v>1</v>
      </c>
      <c r="H463">
        <v>0</v>
      </c>
      <c r="I463">
        <v>0</v>
      </c>
      <c r="J463">
        <v>0</v>
      </c>
      <c r="K463">
        <v>0</v>
      </c>
      <c r="L463">
        <v>0</v>
      </c>
      <c r="M463">
        <v>0</v>
      </c>
      <c r="N463">
        <v>0</v>
      </c>
      <c r="O463" t="str" cm="1">
        <f t="array" ref="O463">_xlfn.IFS(Table1[[#This Row],[Divorced]]=1, "Divorced", Table1[[#This Row],[Married]]=1, "Married", Table1[[#This Row],[Single]]=1, "Single", Table1[[#This Row],[Together]]=1, "Together", Table1[[#This Row],[Widow]]=1, "Widow")</f>
        <v>Married</v>
      </c>
      <c r="P463" t="str" cm="1">
        <f t="array" ref="P463">_xlfn.IFS(Table1[[#This Row],[Basic]]=1, "Basic", Table1[[#This Row],[Graduate]]=1, "Graduate", Table1[[#This Row],[Master]]=1, "Master", Table1[[#This Row],[PhD]]=1, "PhD", AND(Table1[[#This Row],[Basic]]=0, Table1[[#This Row],[Graduate]]=0, Table1[[#This Row],[Master]]=0, Table1[[#This Row],[PhD]]=0), "NA")</f>
        <v>NA</v>
      </c>
      <c r="Q463" t="e">
        <f>_xlfn.XLOOKUP(Table1[[#This Row],[ID]], Table2[ID],#REF!, "Not Found", 0)</f>
        <v>#REF!</v>
      </c>
      <c r="R463" t="e">
        <f>_xlfn.XLOOKUP(Table1[[#This Row],[ID]], Table2[ID],#REF!, "Not Found", 0)</f>
        <v>#REF!</v>
      </c>
      <c r="S463" s="3">
        <f>_xlfn.XLOOKUP(Table1[[#This Row],[ID]], Table2[ID], Table2[Enrollment], "Not Found", 0)</f>
        <v>44144</v>
      </c>
      <c r="T463" t="s">
        <v>434</v>
      </c>
    </row>
    <row r="464" spans="1:20" x14ac:dyDescent="0.3">
      <c r="A464">
        <v>2031</v>
      </c>
      <c r="B464">
        <v>170924</v>
      </c>
      <c r="C464">
        <v>0</v>
      </c>
      <c r="D464">
        <v>0</v>
      </c>
      <c r="E464">
        <v>55</v>
      </c>
      <c r="F464">
        <v>0</v>
      </c>
      <c r="G464">
        <v>1</v>
      </c>
      <c r="H464">
        <v>0</v>
      </c>
      <c r="I464">
        <v>0</v>
      </c>
      <c r="J464">
        <v>0</v>
      </c>
      <c r="K464">
        <v>0</v>
      </c>
      <c r="L464">
        <v>0</v>
      </c>
      <c r="M464">
        <v>0</v>
      </c>
      <c r="N464">
        <v>0</v>
      </c>
      <c r="O464" t="str" cm="1">
        <f t="array" ref="O464">_xlfn.IFS(Table1[[#This Row],[Divorced]]=1, "Divorced", Table1[[#This Row],[Married]]=1, "Married", Table1[[#This Row],[Single]]=1, "Single", Table1[[#This Row],[Together]]=1, "Together", Table1[[#This Row],[Widow]]=1, "Widow")</f>
        <v>Married</v>
      </c>
      <c r="P464" t="str" cm="1">
        <f t="array" ref="P464">_xlfn.IFS(Table1[[#This Row],[Basic]]=1, "Basic", Table1[[#This Row],[Graduate]]=1, "Graduate", Table1[[#This Row],[Master]]=1, "Master", Table1[[#This Row],[PhD]]=1, "PhD", AND(Table1[[#This Row],[Basic]]=0, Table1[[#This Row],[Graduate]]=0, Table1[[#This Row],[Master]]=0, Table1[[#This Row],[PhD]]=0), "NA")</f>
        <v>NA</v>
      </c>
      <c r="Q464" t="e">
        <f>_xlfn.XLOOKUP(Table1[[#This Row],[ID]], Table2[ID],#REF!, "Not Found", 0)</f>
        <v>#REF!</v>
      </c>
      <c r="R464" t="e">
        <f>_xlfn.XLOOKUP(Table1[[#This Row],[ID]], Table2[ID],#REF!, "Not Found", 0)</f>
        <v>#REF!</v>
      </c>
      <c r="S464" s="3">
        <f>_xlfn.XLOOKUP(Table1[[#This Row],[ID]], Table2[ID], Table2[Enrollment], "Not Found", 0)</f>
        <v>44144</v>
      </c>
      <c r="T464" t="s">
        <v>435</v>
      </c>
    </row>
    <row r="465" spans="1:20" x14ac:dyDescent="0.3">
      <c r="A465">
        <v>1299</v>
      </c>
      <c r="B465">
        <v>170893</v>
      </c>
      <c r="C465">
        <v>0</v>
      </c>
      <c r="D465">
        <v>0</v>
      </c>
      <c r="E465">
        <v>44</v>
      </c>
      <c r="F465">
        <v>0</v>
      </c>
      <c r="G465">
        <v>0</v>
      </c>
      <c r="H465">
        <v>1</v>
      </c>
      <c r="I465">
        <v>0</v>
      </c>
      <c r="J465">
        <v>0</v>
      </c>
      <c r="K465">
        <v>0</v>
      </c>
      <c r="L465">
        <v>0</v>
      </c>
      <c r="M465">
        <v>1</v>
      </c>
      <c r="N465">
        <v>0</v>
      </c>
      <c r="O465" t="str" cm="1">
        <f t="array" ref="O465">_xlfn.IFS(Table1[[#This Row],[Divorced]]=1, "Divorced", Table1[[#This Row],[Married]]=1, "Married", Table1[[#This Row],[Single]]=1, "Single", Table1[[#This Row],[Together]]=1, "Together", Table1[[#This Row],[Widow]]=1, "Widow")</f>
        <v>Single</v>
      </c>
      <c r="P465" t="str" cm="1">
        <f t="array" ref="P465">_xlfn.IFS(Table1[[#This Row],[Basic]]=1, "Basic", Table1[[#This Row],[Graduate]]=1, "Graduate", Table1[[#This Row],[Master]]=1, "Master", Table1[[#This Row],[PhD]]=1, "PhD", AND(Table1[[#This Row],[Basic]]=0, Table1[[#This Row],[Graduate]]=0, Table1[[#This Row],[Master]]=0, Table1[[#This Row],[PhD]]=0), "NA")</f>
        <v>Master</v>
      </c>
      <c r="Q465" t="e">
        <f>_xlfn.XLOOKUP(Table1[[#This Row],[ID]], Table2[ID],#REF!, "Not Found", 0)</f>
        <v>#REF!</v>
      </c>
      <c r="R465" t="e">
        <f>_xlfn.XLOOKUP(Table1[[#This Row],[ID]], Table2[ID],#REF!, "Not Found", 0)</f>
        <v>#REF!</v>
      </c>
      <c r="S465" s="3" t="str">
        <f>_xlfn.XLOOKUP(Table1[[#This Row],[ID]], Table2[ID], Table2[Enrollment], "Not Found", 0)</f>
        <v>7/14/2019</v>
      </c>
      <c r="T465" t="s">
        <v>435</v>
      </c>
    </row>
    <row r="466" spans="1:20" x14ac:dyDescent="0.3">
      <c r="A466">
        <v>2838</v>
      </c>
      <c r="B466">
        <v>170886</v>
      </c>
      <c r="C466">
        <v>1</v>
      </c>
      <c r="D466">
        <v>0</v>
      </c>
      <c r="E466">
        <v>49</v>
      </c>
      <c r="F466">
        <v>0</v>
      </c>
      <c r="G466">
        <v>1</v>
      </c>
      <c r="H466">
        <v>0</v>
      </c>
      <c r="I466">
        <v>0</v>
      </c>
      <c r="J466">
        <v>0</v>
      </c>
      <c r="K466">
        <v>0</v>
      </c>
      <c r="L466">
        <v>1</v>
      </c>
      <c r="M466">
        <v>0</v>
      </c>
      <c r="N466">
        <v>0</v>
      </c>
      <c r="O466" t="str" cm="1">
        <f t="array" ref="O466">_xlfn.IFS(Table1[[#This Row],[Divorced]]=1, "Divorced", Table1[[#This Row],[Married]]=1, "Married", Table1[[#This Row],[Single]]=1, "Single", Table1[[#This Row],[Together]]=1, "Together", Table1[[#This Row],[Widow]]=1, "Widow")</f>
        <v>Married</v>
      </c>
      <c r="P466" t="str" cm="1">
        <f t="array" ref="P466">_xlfn.IFS(Table1[[#This Row],[Basic]]=1, "Basic", Table1[[#This Row],[Graduate]]=1, "Graduate", Table1[[#This Row],[Master]]=1, "Master", Table1[[#This Row],[PhD]]=1, "PhD", AND(Table1[[#This Row],[Basic]]=0, Table1[[#This Row],[Graduate]]=0, Table1[[#This Row],[Master]]=0, Table1[[#This Row],[PhD]]=0), "NA")</f>
        <v>Graduate</v>
      </c>
      <c r="Q466" t="e">
        <f>_xlfn.XLOOKUP(Table1[[#This Row],[ID]], Table2[ID],#REF!, "Not Found", 0)</f>
        <v>#REF!</v>
      </c>
      <c r="R466" t="e">
        <f>_xlfn.XLOOKUP(Table1[[#This Row],[ID]], Table2[ID],#REF!, "Not Found", 0)</f>
        <v>#REF!</v>
      </c>
      <c r="S466" s="3" t="str">
        <f>_xlfn.XLOOKUP(Table1[[#This Row],[ID]], Table2[ID], Table2[Enrollment], "Not Found", 0)</f>
        <v>3/20/2020</v>
      </c>
      <c r="T466" t="s">
        <v>436</v>
      </c>
    </row>
    <row r="467" spans="1:20" x14ac:dyDescent="0.3">
      <c r="A467">
        <v>2410</v>
      </c>
      <c r="B467">
        <v>170844</v>
      </c>
      <c r="C467">
        <v>1</v>
      </c>
      <c r="D467">
        <v>1</v>
      </c>
      <c r="E467">
        <v>53</v>
      </c>
      <c r="F467">
        <v>1</v>
      </c>
      <c r="G467">
        <v>0</v>
      </c>
      <c r="H467">
        <v>0</v>
      </c>
      <c r="I467">
        <v>0</v>
      </c>
      <c r="J467">
        <v>0</v>
      </c>
      <c r="K467">
        <v>0</v>
      </c>
      <c r="L467">
        <v>1</v>
      </c>
      <c r="M467">
        <v>0</v>
      </c>
      <c r="N467">
        <v>0</v>
      </c>
      <c r="O467" t="str" cm="1">
        <f t="array" ref="O467">_xlfn.IFS(Table1[[#This Row],[Divorced]]=1, "Divorced", Table1[[#This Row],[Married]]=1, "Married", Table1[[#This Row],[Single]]=1, "Single", Table1[[#This Row],[Together]]=1, "Together", Table1[[#This Row],[Widow]]=1, "Widow")</f>
        <v>Divorced</v>
      </c>
      <c r="P467" t="str" cm="1">
        <f t="array" ref="P467">_xlfn.IFS(Table1[[#This Row],[Basic]]=1, "Basic", Table1[[#This Row],[Graduate]]=1, "Graduate", Table1[[#This Row],[Master]]=1, "Master", Table1[[#This Row],[PhD]]=1, "PhD", AND(Table1[[#This Row],[Basic]]=0, Table1[[#This Row],[Graduate]]=0, Table1[[#This Row],[Master]]=0, Table1[[#This Row],[PhD]]=0), "NA")</f>
        <v>Graduate</v>
      </c>
      <c r="Q467" t="e">
        <f>_xlfn.XLOOKUP(Table1[[#This Row],[ID]], Table2[ID],#REF!, "Not Found", 0)</f>
        <v>#REF!</v>
      </c>
      <c r="R467" t="e">
        <f>_xlfn.XLOOKUP(Table1[[#This Row],[ID]], Table2[ID],#REF!, "Not Found", 0)</f>
        <v>#REF!</v>
      </c>
      <c r="S467" s="3">
        <f>_xlfn.XLOOKUP(Table1[[#This Row],[ID]], Table2[ID], Table2[Enrollment], "Not Found", 0)</f>
        <v>43955</v>
      </c>
      <c r="T467" t="s">
        <v>439</v>
      </c>
    </row>
    <row r="468" spans="1:20" x14ac:dyDescent="0.3">
      <c r="A468">
        <v>1437</v>
      </c>
      <c r="B468">
        <v>170829</v>
      </c>
      <c r="C468">
        <v>1</v>
      </c>
      <c r="D468">
        <v>1</v>
      </c>
      <c r="E468">
        <v>40</v>
      </c>
      <c r="F468">
        <v>0</v>
      </c>
      <c r="G468">
        <v>1</v>
      </c>
      <c r="H468">
        <v>0</v>
      </c>
      <c r="I468">
        <v>0</v>
      </c>
      <c r="J468">
        <v>0</v>
      </c>
      <c r="K468">
        <v>0</v>
      </c>
      <c r="L468">
        <v>0</v>
      </c>
      <c r="M468">
        <v>0</v>
      </c>
      <c r="N468">
        <v>0</v>
      </c>
      <c r="O468" t="str" cm="1">
        <f t="array" ref="O468">_xlfn.IFS(Table1[[#This Row],[Divorced]]=1, "Divorced", Table1[[#This Row],[Married]]=1, "Married", Table1[[#This Row],[Single]]=1, "Single", Table1[[#This Row],[Together]]=1, "Together", Table1[[#This Row],[Widow]]=1, "Widow")</f>
        <v>Married</v>
      </c>
      <c r="P468" t="str" cm="1">
        <f t="array" ref="P468">_xlfn.IFS(Table1[[#This Row],[Basic]]=1, "Basic", Table1[[#This Row],[Graduate]]=1, "Graduate", Table1[[#This Row],[Master]]=1, "Master", Table1[[#This Row],[PhD]]=1, "PhD", AND(Table1[[#This Row],[Basic]]=0, Table1[[#This Row],[Graduate]]=0, Table1[[#This Row],[Master]]=0, Table1[[#This Row],[PhD]]=0), "NA")</f>
        <v>NA</v>
      </c>
      <c r="Q468" t="e">
        <f>_xlfn.XLOOKUP(Table1[[#This Row],[ID]], Table2[ID],#REF!, "Not Found", 0)</f>
        <v>#REF!</v>
      </c>
      <c r="R468" t="e">
        <f>_xlfn.XLOOKUP(Table1[[#This Row],[ID]], Table2[ID],#REF!, "Not Found", 0)</f>
        <v>#REF!</v>
      </c>
      <c r="S468" s="3">
        <f>_xlfn.XLOOKUP(Table1[[#This Row],[ID]], Table2[ID], Table2[Enrollment], "Not Found", 0)</f>
        <v>44017</v>
      </c>
      <c r="T468" t="s">
        <v>435</v>
      </c>
    </row>
    <row r="469" spans="1:20" x14ac:dyDescent="0.3">
      <c r="A469">
        <v>2920</v>
      </c>
      <c r="B469">
        <v>170792</v>
      </c>
      <c r="C469">
        <v>0</v>
      </c>
      <c r="D469">
        <v>0</v>
      </c>
      <c r="E469">
        <v>69</v>
      </c>
      <c r="F469">
        <v>0</v>
      </c>
      <c r="G469">
        <v>0</v>
      </c>
      <c r="H469">
        <v>0</v>
      </c>
      <c r="I469">
        <v>0</v>
      </c>
      <c r="J469">
        <v>1</v>
      </c>
      <c r="K469">
        <v>0</v>
      </c>
      <c r="L469">
        <v>1</v>
      </c>
      <c r="M469">
        <v>0</v>
      </c>
      <c r="N469">
        <v>0</v>
      </c>
      <c r="O469" t="str" cm="1">
        <f t="array" ref="O469">_xlfn.IFS(Table1[[#This Row],[Divorced]]=1, "Divorced", Table1[[#This Row],[Married]]=1, "Married", Table1[[#This Row],[Single]]=1, "Single", Table1[[#This Row],[Together]]=1, "Together", Table1[[#This Row],[Widow]]=1, "Widow")</f>
        <v>Widow</v>
      </c>
      <c r="P469" t="str" cm="1">
        <f t="array" ref="P469">_xlfn.IFS(Table1[[#This Row],[Basic]]=1, "Basic", Table1[[#This Row],[Graduate]]=1, "Graduate", Table1[[#This Row],[Master]]=1, "Master", Table1[[#This Row],[PhD]]=1, "PhD", AND(Table1[[#This Row],[Basic]]=0, Table1[[#This Row],[Graduate]]=0, Table1[[#This Row],[Master]]=0, Table1[[#This Row],[PhD]]=0), "NA")</f>
        <v>Graduate</v>
      </c>
      <c r="Q469" t="e">
        <f>_xlfn.XLOOKUP(Table1[[#This Row],[ID]], Table2[ID],#REF!, "Not Found", 0)</f>
        <v>#REF!</v>
      </c>
      <c r="R469" t="e">
        <f>_xlfn.XLOOKUP(Table1[[#This Row],[ID]], Table2[ID],#REF!, "Not Found", 0)</f>
        <v>#REF!</v>
      </c>
      <c r="S469" s="3" t="str">
        <f>_xlfn.XLOOKUP(Table1[[#This Row],[ID]], Table2[ID], Table2[Enrollment], "Not Found", 0)</f>
        <v>7/14/2019</v>
      </c>
      <c r="T469" t="s">
        <v>439</v>
      </c>
    </row>
    <row r="470" spans="1:20" x14ac:dyDescent="0.3">
      <c r="A470">
        <v>1378</v>
      </c>
      <c r="B470">
        <v>170777</v>
      </c>
      <c r="C470">
        <v>0</v>
      </c>
      <c r="D470">
        <v>1</v>
      </c>
      <c r="E470">
        <v>52</v>
      </c>
      <c r="F470">
        <v>0</v>
      </c>
      <c r="G470">
        <v>1</v>
      </c>
      <c r="H470">
        <v>0</v>
      </c>
      <c r="I470">
        <v>0</v>
      </c>
      <c r="J470">
        <v>0</v>
      </c>
      <c r="K470">
        <v>0</v>
      </c>
      <c r="L470">
        <v>0</v>
      </c>
      <c r="M470">
        <v>1</v>
      </c>
      <c r="N470">
        <v>0</v>
      </c>
      <c r="O470" t="str" cm="1">
        <f t="array" ref="O470">_xlfn.IFS(Table1[[#This Row],[Divorced]]=1, "Divorced", Table1[[#This Row],[Married]]=1, "Married", Table1[[#This Row],[Single]]=1, "Single", Table1[[#This Row],[Together]]=1, "Together", Table1[[#This Row],[Widow]]=1, "Widow")</f>
        <v>Married</v>
      </c>
      <c r="P470" t="str" cm="1">
        <f t="array" ref="P470">_xlfn.IFS(Table1[[#This Row],[Basic]]=1, "Basic", Table1[[#This Row],[Graduate]]=1, "Graduate", Table1[[#This Row],[Master]]=1, "Master", Table1[[#This Row],[PhD]]=1, "PhD", AND(Table1[[#This Row],[Basic]]=0, Table1[[#This Row],[Graduate]]=0, Table1[[#This Row],[Master]]=0, Table1[[#This Row],[PhD]]=0), "NA")</f>
        <v>Master</v>
      </c>
      <c r="Q470" t="e">
        <f>_xlfn.XLOOKUP(Table1[[#This Row],[ID]], Table2[ID],#REF!, "Not Found", 0)</f>
        <v>#REF!</v>
      </c>
      <c r="R470" t="e">
        <f>_xlfn.XLOOKUP(Table1[[#This Row],[ID]], Table2[ID],#REF!, "Not Found", 0)</f>
        <v>#REF!</v>
      </c>
      <c r="S470" s="3">
        <f>_xlfn.XLOOKUP(Table1[[#This Row],[ID]], Table2[ID], Table2[Enrollment], "Not Found", 0)</f>
        <v>43838</v>
      </c>
      <c r="T470" t="s">
        <v>439</v>
      </c>
    </row>
    <row r="471" spans="1:20" x14ac:dyDescent="0.3">
      <c r="A471">
        <v>2052</v>
      </c>
      <c r="B471">
        <v>170713</v>
      </c>
      <c r="C471">
        <v>0</v>
      </c>
      <c r="D471">
        <v>1</v>
      </c>
      <c r="E471">
        <v>54</v>
      </c>
      <c r="F471">
        <v>0</v>
      </c>
      <c r="G471">
        <v>0</v>
      </c>
      <c r="H471">
        <v>0</v>
      </c>
      <c r="I471">
        <v>1</v>
      </c>
      <c r="J471">
        <v>0</v>
      </c>
      <c r="K471">
        <v>0</v>
      </c>
      <c r="L471">
        <v>1</v>
      </c>
      <c r="M471">
        <v>0</v>
      </c>
      <c r="N471">
        <v>0</v>
      </c>
      <c r="O471" t="str" cm="1">
        <f t="array" ref="O471">_xlfn.IFS(Table1[[#This Row],[Divorced]]=1, "Divorced", Table1[[#This Row],[Married]]=1, "Married", Table1[[#This Row],[Single]]=1, "Single", Table1[[#This Row],[Together]]=1, "Together", Table1[[#This Row],[Widow]]=1, "Widow")</f>
        <v>Together</v>
      </c>
      <c r="P471" t="str" cm="1">
        <f t="array" ref="P471">_xlfn.IFS(Table1[[#This Row],[Basic]]=1, "Basic", Table1[[#This Row],[Graduate]]=1, "Graduate", Table1[[#This Row],[Master]]=1, "Master", Table1[[#This Row],[PhD]]=1, "PhD", AND(Table1[[#This Row],[Basic]]=0, Table1[[#This Row],[Graduate]]=0, Table1[[#This Row],[Master]]=0, Table1[[#This Row],[PhD]]=0), "NA")</f>
        <v>Graduate</v>
      </c>
      <c r="Q471" t="e">
        <f>_xlfn.XLOOKUP(Table1[[#This Row],[ID]], Table2[ID],#REF!, "Not Found", 0)</f>
        <v>#REF!</v>
      </c>
      <c r="R471" t="e">
        <f>_xlfn.XLOOKUP(Table1[[#This Row],[ID]], Table2[ID],#REF!, "Not Found", 0)</f>
        <v>#REF!</v>
      </c>
      <c r="S471" s="3">
        <f>_xlfn.XLOOKUP(Table1[[#This Row],[ID]], Table2[ID], Table2[Enrollment], "Not Found", 0)</f>
        <v>43743</v>
      </c>
      <c r="T471" t="s">
        <v>436</v>
      </c>
    </row>
    <row r="472" spans="1:20" x14ac:dyDescent="0.3">
      <c r="A472">
        <v>1060</v>
      </c>
      <c r="B472">
        <v>170666</v>
      </c>
      <c r="C472">
        <v>0</v>
      </c>
      <c r="D472">
        <v>0</v>
      </c>
      <c r="E472">
        <v>72</v>
      </c>
      <c r="F472">
        <v>0</v>
      </c>
      <c r="G472">
        <v>0</v>
      </c>
      <c r="H472">
        <v>0</v>
      </c>
      <c r="I472">
        <v>1</v>
      </c>
      <c r="J472">
        <v>0</v>
      </c>
      <c r="K472">
        <v>0</v>
      </c>
      <c r="L472">
        <v>1</v>
      </c>
      <c r="M472">
        <v>0</v>
      </c>
      <c r="N472">
        <v>0</v>
      </c>
      <c r="O472" t="str" cm="1">
        <f t="array" ref="O472">_xlfn.IFS(Table1[[#This Row],[Divorced]]=1, "Divorced", Table1[[#This Row],[Married]]=1, "Married", Table1[[#This Row],[Single]]=1, "Single", Table1[[#This Row],[Together]]=1, "Together", Table1[[#This Row],[Widow]]=1, "Widow")</f>
        <v>Together</v>
      </c>
      <c r="P472" t="str" cm="1">
        <f t="array" ref="P472">_xlfn.IFS(Table1[[#This Row],[Basic]]=1, "Basic", Table1[[#This Row],[Graduate]]=1, "Graduate", Table1[[#This Row],[Master]]=1, "Master", Table1[[#This Row],[PhD]]=1, "PhD", AND(Table1[[#This Row],[Basic]]=0, Table1[[#This Row],[Graduate]]=0, Table1[[#This Row],[Master]]=0, Table1[[#This Row],[PhD]]=0), "NA")</f>
        <v>Graduate</v>
      </c>
      <c r="Q472" t="e">
        <f>_xlfn.XLOOKUP(Table1[[#This Row],[ID]], Table2[ID],#REF!, "Not Found", 0)</f>
        <v>#REF!</v>
      </c>
      <c r="R472" t="e">
        <f>_xlfn.XLOOKUP(Table1[[#This Row],[ID]], Table2[ID],#REF!, "Not Found", 0)</f>
        <v>#REF!</v>
      </c>
      <c r="S472" s="3">
        <f>_xlfn.XLOOKUP(Table1[[#This Row],[ID]], Table2[ID], Table2[Enrollment], "Not Found", 0)</f>
        <v>44170</v>
      </c>
      <c r="T472" t="s">
        <v>439</v>
      </c>
    </row>
    <row r="473" spans="1:20" x14ac:dyDescent="0.3">
      <c r="A473">
        <v>1941</v>
      </c>
      <c r="B473">
        <v>170647</v>
      </c>
      <c r="C473">
        <v>0</v>
      </c>
      <c r="D473">
        <v>1</v>
      </c>
      <c r="E473">
        <v>53</v>
      </c>
      <c r="F473">
        <v>1</v>
      </c>
      <c r="G473">
        <v>0</v>
      </c>
      <c r="H473">
        <v>0</v>
      </c>
      <c r="I473">
        <v>0</v>
      </c>
      <c r="J473">
        <v>0</v>
      </c>
      <c r="K473">
        <v>0</v>
      </c>
      <c r="L473">
        <v>1</v>
      </c>
      <c r="M473">
        <v>0</v>
      </c>
      <c r="N473">
        <v>0</v>
      </c>
      <c r="O473" t="str" cm="1">
        <f t="array" ref="O473">_xlfn.IFS(Table1[[#This Row],[Divorced]]=1, "Divorced", Table1[[#This Row],[Married]]=1, "Married", Table1[[#This Row],[Single]]=1, "Single", Table1[[#This Row],[Together]]=1, "Together", Table1[[#This Row],[Widow]]=1, "Widow")</f>
        <v>Divorced</v>
      </c>
      <c r="P473" t="str" cm="1">
        <f t="array" ref="P473">_xlfn.IFS(Table1[[#This Row],[Basic]]=1, "Basic", Table1[[#This Row],[Graduate]]=1, "Graduate", Table1[[#This Row],[Master]]=1, "Master", Table1[[#This Row],[PhD]]=1, "PhD", AND(Table1[[#This Row],[Basic]]=0, Table1[[#This Row],[Graduate]]=0, Table1[[#This Row],[Master]]=0, Table1[[#This Row],[PhD]]=0), "NA")</f>
        <v>Graduate</v>
      </c>
      <c r="Q473" t="e">
        <f>_xlfn.XLOOKUP(Table1[[#This Row],[ID]], Table2[ID],#REF!, "Not Found", 0)</f>
        <v>#REF!</v>
      </c>
      <c r="R473" t="e">
        <f>_xlfn.XLOOKUP(Table1[[#This Row],[ID]], Table2[ID],#REF!, "Not Found", 0)</f>
        <v>#REF!</v>
      </c>
      <c r="S473" s="3" t="str">
        <f>_xlfn.XLOOKUP(Table1[[#This Row],[ID]], Table2[ID], Table2[Enrollment], "Not Found", 0)</f>
        <v>2/26/2019</v>
      </c>
      <c r="T473" t="s">
        <v>435</v>
      </c>
    </row>
    <row r="474" spans="1:20" x14ac:dyDescent="0.3">
      <c r="A474">
        <v>2855</v>
      </c>
      <c r="B474">
        <v>170643</v>
      </c>
      <c r="C474">
        <v>0</v>
      </c>
      <c r="D474">
        <v>0</v>
      </c>
      <c r="E474">
        <v>36</v>
      </c>
      <c r="F474">
        <v>0</v>
      </c>
      <c r="G474">
        <v>1</v>
      </c>
      <c r="H474">
        <v>0</v>
      </c>
      <c r="I474">
        <v>0</v>
      </c>
      <c r="J474">
        <v>0</v>
      </c>
      <c r="K474">
        <v>0</v>
      </c>
      <c r="L474">
        <v>0</v>
      </c>
      <c r="M474">
        <v>0</v>
      </c>
      <c r="N474">
        <v>1</v>
      </c>
      <c r="O474" t="str" cm="1">
        <f t="array" ref="O474">_xlfn.IFS(Table1[[#This Row],[Divorced]]=1, "Divorced", Table1[[#This Row],[Married]]=1, "Married", Table1[[#This Row],[Single]]=1, "Single", Table1[[#This Row],[Together]]=1, "Together", Table1[[#This Row],[Widow]]=1, "Widow")</f>
        <v>Married</v>
      </c>
      <c r="P474" t="str" cm="1">
        <f t="array" ref="P474">_xlfn.IFS(Table1[[#This Row],[Basic]]=1, "Basic", Table1[[#This Row],[Graduate]]=1, "Graduate", Table1[[#This Row],[Master]]=1, "Master", Table1[[#This Row],[PhD]]=1, "PhD", AND(Table1[[#This Row],[Basic]]=0, Table1[[#This Row],[Graduate]]=0, Table1[[#This Row],[Master]]=0, Table1[[#This Row],[PhD]]=0), "NA")</f>
        <v>PhD</v>
      </c>
      <c r="Q474" t="e">
        <f>_xlfn.XLOOKUP(Table1[[#This Row],[ID]], Table2[ID],#REF!, "Not Found", 0)</f>
        <v>#REF!</v>
      </c>
      <c r="R474" t="e">
        <f>_xlfn.XLOOKUP(Table1[[#This Row],[ID]], Table2[ID],#REF!, "Not Found", 0)</f>
        <v>#REF!</v>
      </c>
      <c r="S474" s="3" t="str">
        <f>_xlfn.XLOOKUP(Table1[[#This Row],[ID]], Table2[ID], Table2[Enrollment], "Not Found", 0)</f>
        <v>3/22/2019</v>
      </c>
      <c r="T474" t="s">
        <v>434</v>
      </c>
    </row>
    <row r="475" spans="1:20" x14ac:dyDescent="0.3">
      <c r="A475">
        <v>2578</v>
      </c>
      <c r="B475">
        <v>170638</v>
      </c>
      <c r="C475">
        <v>0</v>
      </c>
      <c r="D475">
        <v>0</v>
      </c>
      <c r="E475">
        <v>65</v>
      </c>
      <c r="F475">
        <v>1</v>
      </c>
      <c r="G475">
        <v>0</v>
      </c>
      <c r="H475">
        <v>0</v>
      </c>
      <c r="I475">
        <v>0</v>
      </c>
      <c r="J475">
        <v>0</v>
      </c>
      <c r="K475">
        <v>0</v>
      </c>
      <c r="L475">
        <v>0</v>
      </c>
      <c r="M475">
        <v>1</v>
      </c>
      <c r="N475">
        <v>0</v>
      </c>
      <c r="O475" t="str" cm="1">
        <f t="array" ref="O475">_xlfn.IFS(Table1[[#This Row],[Divorced]]=1, "Divorced", Table1[[#This Row],[Married]]=1, "Married", Table1[[#This Row],[Single]]=1, "Single", Table1[[#This Row],[Together]]=1, "Together", Table1[[#This Row],[Widow]]=1, "Widow")</f>
        <v>Divorced</v>
      </c>
      <c r="P475" t="str" cm="1">
        <f t="array" ref="P475">_xlfn.IFS(Table1[[#This Row],[Basic]]=1, "Basic", Table1[[#This Row],[Graduate]]=1, "Graduate", Table1[[#This Row],[Master]]=1, "Master", Table1[[#This Row],[PhD]]=1, "PhD", AND(Table1[[#This Row],[Basic]]=0, Table1[[#This Row],[Graduate]]=0, Table1[[#This Row],[Master]]=0, Table1[[#This Row],[PhD]]=0), "NA")</f>
        <v>Master</v>
      </c>
      <c r="Q475" t="e">
        <f>_xlfn.XLOOKUP(Table1[[#This Row],[ID]], Table2[ID],#REF!, "Not Found", 0)</f>
        <v>#REF!</v>
      </c>
      <c r="R475" t="e">
        <f>_xlfn.XLOOKUP(Table1[[#This Row],[ID]], Table2[ID],#REF!, "Not Found", 0)</f>
        <v>#REF!</v>
      </c>
      <c r="S475" s="3">
        <f>_xlfn.XLOOKUP(Table1[[#This Row],[ID]], Table2[ID], Table2[Enrollment], "Not Found", 0)</f>
        <v>43627</v>
      </c>
      <c r="T475" t="s">
        <v>439</v>
      </c>
    </row>
    <row r="476" spans="1:20" x14ac:dyDescent="0.3">
      <c r="A476">
        <v>2902</v>
      </c>
      <c r="B476">
        <v>170617</v>
      </c>
      <c r="C476">
        <v>0</v>
      </c>
      <c r="D476">
        <v>0</v>
      </c>
      <c r="E476">
        <v>50</v>
      </c>
      <c r="F476">
        <v>0</v>
      </c>
      <c r="G476">
        <v>1</v>
      </c>
      <c r="H476">
        <v>0</v>
      </c>
      <c r="I476">
        <v>0</v>
      </c>
      <c r="J476">
        <v>0</v>
      </c>
      <c r="K476">
        <v>0</v>
      </c>
      <c r="L476">
        <v>1</v>
      </c>
      <c r="M476">
        <v>0</v>
      </c>
      <c r="N476">
        <v>0</v>
      </c>
      <c r="O476" t="str" cm="1">
        <f t="array" ref="O476">_xlfn.IFS(Table1[[#This Row],[Divorced]]=1, "Divorced", Table1[[#This Row],[Married]]=1, "Married", Table1[[#This Row],[Single]]=1, "Single", Table1[[#This Row],[Together]]=1, "Together", Table1[[#This Row],[Widow]]=1, "Widow")</f>
        <v>Married</v>
      </c>
      <c r="P476" t="str" cm="1">
        <f t="array" ref="P476">_xlfn.IFS(Table1[[#This Row],[Basic]]=1, "Basic", Table1[[#This Row],[Graduate]]=1, "Graduate", Table1[[#This Row],[Master]]=1, "Master", Table1[[#This Row],[PhD]]=1, "PhD", AND(Table1[[#This Row],[Basic]]=0, Table1[[#This Row],[Graduate]]=0, Table1[[#This Row],[Master]]=0, Table1[[#This Row],[PhD]]=0), "NA")</f>
        <v>Graduate</v>
      </c>
      <c r="Q476" t="e">
        <f>_xlfn.XLOOKUP(Table1[[#This Row],[ID]], Table2[ID],#REF!, "Not Found", 0)</f>
        <v>#REF!</v>
      </c>
      <c r="R476" t="e">
        <f>_xlfn.XLOOKUP(Table1[[#This Row],[ID]], Table2[ID],#REF!, "Not Found", 0)</f>
        <v>#REF!</v>
      </c>
      <c r="S476" s="3" t="str">
        <f>_xlfn.XLOOKUP(Table1[[#This Row],[ID]], Table2[ID], Table2[Enrollment], "Not Found", 0)</f>
        <v>11/28/2019</v>
      </c>
      <c r="T476" t="s">
        <v>439</v>
      </c>
    </row>
    <row r="477" spans="1:20" x14ac:dyDescent="0.3">
      <c r="A477">
        <v>2036</v>
      </c>
      <c r="B477">
        <v>170596</v>
      </c>
      <c r="C477">
        <v>0</v>
      </c>
      <c r="D477">
        <v>0</v>
      </c>
      <c r="E477">
        <v>35</v>
      </c>
      <c r="F477">
        <v>0</v>
      </c>
      <c r="G477">
        <v>0</v>
      </c>
      <c r="H477">
        <v>1</v>
      </c>
      <c r="I477">
        <v>0</v>
      </c>
      <c r="J477">
        <v>0</v>
      </c>
      <c r="K477">
        <v>0</v>
      </c>
      <c r="L477">
        <v>1</v>
      </c>
      <c r="M477">
        <v>0</v>
      </c>
      <c r="N477">
        <v>0</v>
      </c>
      <c r="O477" t="str" cm="1">
        <f t="array" ref="O477">_xlfn.IFS(Table1[[#This Row],[Divorced]]=1, "Divorced", Table1[[#This Row],[Married]]=1, "Married", Table1[[#This Row],[Single]]=1, "Single", Table1[[#This Row],[Together]]=1, "Together", Table1[[#This Row],[Widow]]=1, "Widow")</f>
        <v>Single</v>
      </c>
      <c r="P477" t="str" cm="1">
        <f t="array" ref="P477">_xlfn.IFS(Table1[[#This Row],[Basic]]=1, "Basic", Table1[[#This Row],[Graduate]]=1, "Graduate", Table1[[#This Row],[Master]]=1, "Master", Table1[[#This Row],[PhD]]=1, "PhD", AND(Table1[[#This Row],[Basic]]=0, Table1[[#This Row],[Graduate]]=0, Table1[[#This Row],[Master]]=0, Table1[[#This Row],[PhD]]=0), "NA")</f>
        <v>Graduate</v>
      </c>
      <c r="Q477" t="e">
        <f>_xlfn.XLOOKUP(Table1[[#This Row],[ID]], Table2[ID],#REF!, "Not Found", 0)</f>
        <v>#REF!</v>
      </c>
      <c r="R477" t="e">
        <f>_xlfn.XLOOKUP(Table1[[#This Row],[ID]], Table2[ID],#REF!, "Not Found", 0)</f>
        <v>#REF!</v>
      </c>
      <c r="S477" s="3">
        <f>_xlfn.XLOOKUP(Table1[[#This Row],[ID]], Table2[ID], Table2[Enrollment], "Not Found", 0)</f>
        <v>43802</v>
      </c>
      <c r="T477" t="s">
        <v>438</v>
      </c>
    </row>
    <row r="478" spans="1:20" x14ac:dyDescent="0.3">
      <c r="A478">
        <v>2747</v>
      </c>
      <c r="B478">
        <v>170596</v>
      </c>
      <c r="C478">
        <v>0</v>
      </c>
      <c r="D478">
        <v>0</v>
      </c>
      <c r="E478">
        <v>35</v>
      </c>
      <c r="F478">
        <v>0</v>
      </c>
      <c r="G478">
        <v>0</v>
      </c>
      <c r="H478">
        <v>1</v>
      </c>
      <c r="I478">
        <v>0</v>
      </c>
      <c r="J478">
        <v>0</v>
      </c>
      <c r="K478">
        <v>0</v>
      </c>
      <c r="L478">
        <v>1</v>
      </c>
      <c r="M478">
        <v>0</v>
      </c>
      <c r="N478">
        <v>0</v>
      </c>
      <c r="O478" t="str" cm="1">
        <f t="array" ref="O478">_xlfn.IFS(Table1[[#This Row],[Divorced]]=1, "Divorced", Table1[[#This Row],[Married]]=1, "Married", Table1[[#This Row],[Single]]=1, "Single", Table1[[#This Row],[Together]]=1, "Together", Table1[[#This Row],[Widow]]=1, "Widow")</f>
        <v>Single</v>
      </c>
      <c r="P478" t="str" cm="1">
        <f t="array" ref="P478">_xlfn.IFS(Table1[[#This Row],[Basic]]=1, "Basic", Table1[[#This Row],[Graduate]]=1, "Graduate", Table1[[#This Row],[Master]]=1, "Master", Table1[[#This Row],[PhD]]=1, "PhD", AND(Table1[[#This Row],[Basic]]=0, Table1[[#This Row],[Graduate]]=0, Table1[[#This Row],[Master]]=0, Table1[[#This Row],[PhD]]=0), "NA")</f>
        <v>Graduate</v>
      </c>
      <c r="Q478" t="e">
        <f>_xlfn.XLOOKUP(Table1[[#This Row],[ID]], Table2[ID],#REF!, "Not Found", 0)</f>
        <v>#REF!</v>
      </c>
      <c r="R478" t="e">
        <f>_xlfn.XLOOKUP(Table1[[#This Row],[ID]], Table2[ID],#REF!, "Not Found", 0)</f>
        <v>#REF!</v>
      </c>
      <c r="S478" s="3">
        <f>_xlfn.XLOOKUP(Table1[[#This Row],[ID]], Table2[ID], Table2[Enrollment], "Not Found", 0)</f>
        <v>43802</v>
      </c>
      <c r="T478" t="s">
        <v>434</v>
      </c>
    </row>
    <row r="479" spans="1:20" x14ac:dyDescent="0.3">
      <c r="A479">
        <v>2101</v>
      </c>
      <c r="B479">
        <v>170566</v>
      </c>
      <c r="C479">
        <v>0</v>
      </c>
      <c r="D479">
        <v>1</v>
      </c>
      <c r="E479">
        <v>52</v>
      </c>
      <c r="F479">
        <v>0</v>
      </c>
      <c r="G479">
        <v>0</v>
      </c>
      <c r="H479">
        <v>1</v>
      </c>
      <c r="I479">
        <v>0</v>
      </c>
      <c r="J479">
        <v>0</v>
      </c>
      <c r="K479">
        <v>0</v>
      </c>
      <c r="L479">
        <v>1</v>
      </c>
      <c r="M479">
        <v>0</v>
      </c>
      <c r="N479">
        <v>0</v>
      </c>
      <c r="O479" t="str" cm="1">
        <f t="array" ref="O479">_xlfn.IFS(Table1[[#This Row],[Divorced]]=1, "Divorced", Table1[[#This Row],[Married]]=1, "Married", Table1[[#This Row],[Single]]=1, "Single", Table1[[#This Row],[Together]]=1, "Together", Table1[[#This Row],[Widow]]=1, "Widow")</f>
        <v>Single</v>
      </c>
      <c r="P479" t="str" cm="1">
        <f t="array" ref="P479">_xlfn.IFS(Table1[[#This Row],[Basic]]=1, "Basic", Table1[[#This Row],[Graduate]]=1, "Graduate", Table1[[#This Row],[Master]]=1, "Master", Table1[[#This Row],[PhD]]=1, "PhD", AND(Table1[[#This Row],[Basic]]=0, Table1[[#This Row],[Graduate]]=0, Table1[[#This Row],[Master]]=0, Table1[[#This Row],[PhD]]=0), "NA")</f>
        <v>Graduate</v>
      </c>
      <c r="Q479" t="e">
        <f>_xlfn.XLOOKUP(Table1[[#This Row],[ID]], Table2[ID],#REF!, "Not Found", 0)</f>
        <v>#REF!</v>
      </c>
      <c r="R479" t="e">
        <f>_xlfn.XLOOKUP(Table1[[#This Row],[ID]], Table2[ID],#REF!, "Not Found", 0)</f>
        <v>#REF!</v>
      </c>
      <c r="S479" s="3">
        <f>_xlfn.XLOOKUP(Table1[[#This Row],[ID]], Table2[ID], Table2[Enrollment], "Not Found", 0)</f>
        <v>44168</v>
      </c>
      <c r="T479" t="s">
        <v>437</v>
      </c>
    </row>
    <row r="480" spans="1:20" x14ac:dyDescent="0.3">
      <c r="A480">
        <v>1718</v>
      </c>
      <c r="B480">
        <v>170545</v>
      </c>
      <c r="C480">
        <v>0</v>
      </c>
      <c r="D480">
        <v>1</v>
      </c>
      <c r="E480">
        <v>68</v>
      </c>
      <c r="F480">
        <v>0</v>
      </c>
      <c r="G480">
        <v>0</v>
      </c>
      <c r="H480">
        <v>0</v>
      </c>
      <c r="I480">
        <v>1</v>
      </c>
      <c r="J480">
        <v>0</v>
      </c>
      <c r="K480">
        <v>0</v>
      </c>
      <c r="L480">
        <v>0</v>
      </c>
      <c r="M480">
        <v>1</v>
      </c>
      <c r="N480">
        <v>0</v>
      </c>
      <c r="O480" t="str" cm="1">
        <f t="array" ref="O480">_xlfn.IFS(Table1[[#This Row],[Divorced]]=1, "Divorced", Table1[[#This Row],[Married]]=1, "Married", Table1[[#This Row],[Single]]=1, "Single", Table1[[#This Row],[Together]]=1, "Together", Table1[[#This Row],[Widow]]=1, "Widow")</f>
        <v>Together</v>
      </c>
      <c r="P480" t="str" cm="1">
        <f t="array" ref="P480">_xlfn.IFS(Table1[[#This Row],[Basic]]=1, "Basic", Table1[[#This Row],[Graduate]]=1, "Graduate", Table1[[#This Row],[Master]]=1, "Master", Table1[[#This Row],[PhD]]=1, "PhD", AND(Table1[[#This Row],[Basic]]=0, Table1[[#This Row],[Graduate]]=0, Table1[[#This Row],[Master]]=0, Table1[[#This Row],[PhD]]=0), "NA")</f>
        <v>Master</v>
      </c>
      <c r="Q480" t="e">
        <f>_xlfn.XLOOKUP(Table1[[#This Row],[ID]], Table2[ID],#REF!, "Not Found", 0)</f>
        <v>#REF!</v>
      </c>
      <c r="R480" t="e">
        <f>_xlfn.XLOOKUP(Table1[[#This Row],[ID]], Table2[ID],#REF!, "Not Found", 0)</f>
        <v>#REF!</v>
      </c>
      <c r="S480" s="3">
        <f>_xlfn.XLOOKUP(Table1[[#This Row],[ID]], Table2[ID], Table2[Enrollment], "Not Found", 0)</f>
        <v>44023</v>
      </c>
      <c r="T480" t="s">
        <v>438</v>
      </c>
    </row>
    <row r="481" spans="1:20" x14ac:dyDescent="0.3">
      <c r="A481">
        <v>2331</v>
      </c>
      <c r="B481">
        <v>170515</v>
      </c>
      <c r="C481">
        <v>0</v>
      </c>
      <c r="D481">
        <v>0</v>
      </c>
      <c r="E481">
        <v>27</v>
      </c>
      <c r="F481">
        <v>0</v>
      </c>
      <c r="G481">
        <v>0</v>
      </c>
      <c r="H481">
        <v>1</v>
      </c>
      <c r="I481">
        <v>0</v>
      </c>
      <c r="J481">
        <v>0</v>
      </c>
      <c r="K481">
        <v>0</v>
      </c>
      <c r="L481">
        <v>1</v>
      </c>
      <c r="M481">
        <v>0</v>
      </c>
      <c r="N481">
        <v>0</v>
      </c>
      <c r="O481" t="str" cm="1">
        <f t="array" ref="O481">_xlfn.IFS(Table1[[#This Row],[Divorced]]=1, "Divorced", Table1[[#This Row],[Married]]=1, "Married", Table1[[#This Row],[Single]]=1, "Single", Table1[[#This Row],[Together]]=1, "Together", Table1[[#This Row],[Widow]]=1, "Widow")</f>
        <v>Single</v>
      </c>
      <c r="P481" t="str" cm="1">
        <f t="array" ref="P481">_xlfn.IFS(Table1[[#This Row],[Basic]]=1, "Basic", Table1[[#This Row],[Graduate]]=1, "Graduate", Table1[[#This Row],[Master]]=1, "Master", Table1[[#This Row],[PhD]]=1, "PhD", AND(Table1[[#This Row],[Basic]]=0, Table1[[#This Row],[Graduate]]=0, Table1[[#This Row],[Master]]=0, Table1[[#This Row],[PhD]]=0), "NA")</f>
        <v>Graduate</v>
      </c>
      <c r="Q481" t="e">
        <f>_xlfn.XLOOKUP(Table1[[#This Row],[ID]], Table2[ID],#REF!, "Not Found", 0)</f>
        <v>#REF!</v>
      </c>
      <c r="R481" t="e">
        <f>_xlfn.XLOOKUP(Table1[[#This Row],[ID]], Table2[ID],#REF!, "Not Found", 0)</f>
        <v>#REF!</v>
      </c>
      <c r="S481" s="3" t="str">
        <f>_xlfn.XLOOKUP(Table1[[#This Row],[ID]], Table2[ID], Table2[Enrollment], "Not Found", 0)</f>
        <v>3/27/2020</v>
      </c>
      <c r="T481" t="s">
        <v>435</v>
      </c>
    </row>
    <row r="482" spans="1:20" x14ac:dyDescent="0.3">
      <c r="A482">
        <v>1507</v>
      </c>
      <c r="B482">
        <v>170503</v>
      </c>
      <c r="C482">
        <v>0</v>
      </c>
      <c r="D482">
        <v>0</v>
      </c>
      <c r="E482">
        <v>67</v>
      </c>
      <c r="F482">
        <v>0</v>
      </c>
      <c r="G482">
        <v>1</v>
      </c>
      <c r="H482">
        <v>0</v>
      </c>
      <c r="I482">
        <v>0</v>
      </c>
      <c r="J482">
        <v>0</v>
      </c>
      <c r="K482">
        <v>0</v>
      </c>
      <c r="L482">
        <v>1</v>
      </c>
      <c r="M482">
        <v>0</v>
      </c>
      <c r="N482">
        <v>0</v>
      </c>
      <c r="O482" t="str" cm="1">
        <f t="array" ref="O482">_xlfn.IFS(Table1[[#This Row],[Divorced]]=1, "Divorced", Table1[[#This Row],[Married]]=1, "Married", Table1[[#This Row],[Single]]=1, "Single", Table1[[#This Row],[Together]]=1, "Together", Table1[[#This Row],[Widow]]=1, "Widow")</f>
        <v>Married</v>
      </c>
      <c r="P482" t="str" cm="1">
        <f t="array" ref="P482">_xlfn.IFS(Table1[[#This Row],[Basic]]=1, "Basic", Table1[[#This Row],[Graduate]]=1, "Graduate", Table1[[#This Row],[Master]]=1, "Master", Table1[[#This Row],[PhD]]=1, "PhD", AND(Table1[[#This Row],[Basic]]=0, Table1[[#This Row],[Graduate]]=0, Table1[[#This Row],[Master]]=0, Table1[[#This Row],[PhD]]=0), "NA")</f>
        <v>Graduate</v>
      </c>
      <c r="Q482" t="e">
        <f>_xlfn.XLOOKUP(Table1[[#This Row],[ID]], Table2[ID],#REF!, "Not Found", 0)</f>
        <v>#REF!</v>
      </c>
      <c r="R482" t="e">
        <f>_xlfn.XLOOKUP(Table1[[#This Row],[ID]], Table2[ID],#REF!, "Not Found", 0)</f>
        <v>#REF!</v>
      </c>
      <c r="S482" s="3">
        <f>_xlfn.XLOOKUP(Table1[[#This Row],[ID]], Table2[ID], Table2[Enrollment], "Not Found", 0)</f>
        <v>43649</v>
      </c>
      <c r="T482" t="s">
        <v>437</v>
      </c>
    </row>
    <row r="483" spans="1:20" x14ac:dyDescent="0.3">
      <c r="A483">
        <v>2655</v>
      </c>
      <c r="B483">
        <v>170440</v>
      </c>
      <c r="C483">
        <v>0</v>
      </c>
      <c r="D483">
        <v>0</v>
      </c>
      <c r="E483">
        <v>42</v>
      </c>
      <c r="F483">
        <v>0</v>
      </c>
      <c r="G483">
        <v>0</v>
      </c>
      <c r="H483">
        <v>0</v>
      </c>
      <c r="I483">
        <v>1</v>
      </c>
      <c r="J483">
        <v>0</v>
      </c>
      <c r="K483">
        <v>0</v>
      </c>
      <c r="L483">
        <v>1</v>
      </c>
      <c r="M483">
        <v>0</v>
      </c>
      <c r="N483">
        <v>0</v>
      </c>
      <c r="O483" t="str" cm="1">
        <f t="array" ref="O483">_xlfn.IFS(Table1[[#This Row],[Divorced]]=1, "Divorced", Table1[[#This Row],[Married]]=1, "Married", Table1[[#This Row],[Single]]=1, "Single", Table1[[#This Row],[Together]]=1, "Together", Table1[[#This Row],[Widow]]=1, "Widow")</f>
        <v>Together</v>
      </c>
      <c r="P483" t="str" cm="1">
        <f t="array" ref="P483">_xlfn.IFS(Table1[[#This Row],[Basic]]=1, "Basic", Table1[[#This Row],[Graduate]]=1, "Graduate", Table1[[#This Row],[Master]]=1, "Master", Table1[[#This Row],[PhD]]=1, "PhD", AND(Table1[[#This Row],[Basic]]=0, Table1[[#This Row],[Graduate]]=0, Table1[[#This Row],[Master]]=0, Table1[[#This Row],[PhD]]=0), "NA")</f>
        <v>Graduate</v>
      </c>
      <c r="Q483" t="e">
        <f>_xlfn.XLOOKUP(Table1[[#This Row],[ID]], Table2[ID],#REF!, "Not Found", 0)</f>
        <v>#REF!</v>
      </c>
      <c r="R483" t="e">
        <f>_xlfn.XLOOKUP(Table1[[#This Row],[ID]], Table2[ID],#REF!, "Not Found", 0)</f>
        <v>#REF!</v>
      </c>
      <c r="S483" s="3" t="str">
        <f>_xlfn.XLOOKUP(Table1[[#This Row],[ID]], Table2[ID], Table2[Enrollment], "Not Found", 0)</f>
        <v>3/14/2020</v>
      </c>
      <c r="T483" t="s">
        <v>435</v>
      </c>
    </row>
    <row r="484" spans="1:20" x14ac:dyDescent="0.3">
      <c r="A484">
        <v>1777</v>
      </c>
      <c r="B484">
        <v>170421</v>
      </c>
      <c r="C484">
        <v>0</v>
      </c>
      <c r="D484">
        <v>1</v>
      </c>
      <c r="E484">
        <v>66</v>
      </c>
      <c r="F484">
        <v>0</v>
      </c>
      <c r="G484">
        <v>1</v>
      </c>
      <c r="H484">
        <v>0</v>
      </c>
      <c r="I484">
        <v>0</v>
      </c>
      <c r="J484">
        <v>0</v>
      </c>
      <c r="K484">
        <v>0</v>
      </c>
      <c r="L484">
        <v>0</v>
      </c>
      <c r="M484">
        <v>0</v>
      </c>
      <c r="N484">
        <v>1</v>
      </c>
      <c r="O484" t="str" cm="1">
        <f t="array" ref="O484">_xlfn.IFS(Table1[[#This Row],[Divorced]]=1, "Divorced", Table1[[#This Row],[Married]]=1, "Married", Table1[[#This Row],[Single]]=1, "Single", Table1[[#This Row],[Together]]=1, "Together", Table1[[#This Row],[Widow]]=1, "Widow")</f>
        <v>Married</v>
      </c>
      <c r="P484" t="str" cm="1">
        <f t="array" ref="P484">_xlfn.IFS(Table1[[#This Row],[Basic]]=1, "Basic", Table1[[#This Row],[Graduate]]=1, "Graduate", Table1[[#This Row],[Master]]=1, "Master", Table1[[#This Row],[PhD]]=1, "PhD", AND(Table1[[#This Row],[Basic]]=0, Table1[[#This Row],[Graduate]]=0, Table1[[#This Row],[Master]]=0, Table1[[#This Row],[PhD]]=0), "NA")</f>
        <v>PhD</v>
      </c>
      <c r="Q484" t="e">
        <f>_xlfn.XLOOKUP(Table1[[#This Row],[ID]], Table2[ID],#REF!, "Not Found", 0)</f>
        <v>#REF!</v>
      </c>
      <c r="R484" t="e">
        <f>_xlfn.XLOOKUP(Table1[[#This Row],[ID]], Table2[ID],#REF!, "Not Found", 0)</f>
        <v>#REF!</v>
      </c>
      <c r="S484" s="3">
        <f>_xlfn.XLOOKUP(Table1[[#This Row],[ID]], Table2[ID], Table2[Enrollment], "Not Found", 0)</f>
        <v>43873</v>
      </c>
      <c r="T484" t="s">
        <v>437</v>
      </c>
    </row>
    <row r="485" spans="1:20" x14ac:dyDescent="0.3">
      <c r="A485">
        <v>2461</v>
      </c>
      <c r="B485">
        <v>170379</v>
      </c>
      <c r="C485">
        <v>0</v>
      </c>
      <c r="D485">
        <v>1</v>
      </c>
      <c r="E485">
        <v>44</v>
      </c>
      <c r="F485">
        <v>0</v>
      </c>
      <c r="G485">
        <v>0</v>
      </c>
      <c r="H485">
        <v>1</v>
      </c>
      <c r="I485">
        <v>0</v>
      </c>
      <c r="J485">
        <v>0</v>
      </c>
      <c r="K485">
        <v>0</v>
      </c>
      <c r="L485">
        <v>0</v>
      </c>
      <c r="M485">
        <v>1</v>
      </c>
      <c r="N485">
        <v>0</v>
      </c>
      <c r="O485" t="str" cm="1">
        <f t="array" ref="O485">_xlfn.IFS(Table1[[#This Row],[Divorced]]=1, "Divorced", Table1[[#This Row],[Married]]=1, "Married", Table1[[#This Row],[Single]]=1, "Single", Table1[[#This Row],[Together]]=1, "Together", Table1[[#This Row],[Widow]]=1, "Widow")</f>
        <v>Single</v>
      </c>
      <c r="P485" t="str" cm="1">
        <f t="array" ref="P485">_xlfn.IFS(Table1[[#This Row],[Basic]]=1, "Basic", Table1[[#This Row],[Graduate]]=1, "Graduate", Table1[[#This Row],[Master]]=1, "Master", Table1[[#This Row],[PhD]]=1, "PhD", AND(Table1[[#This Row],[Basic]]=0, Table1[[#This Row],[Graduate]]=0, Table1[[#This Row],[Master]]=0, Table1[[#This Row],[PhD]]=0), "NA")</f>
        <v>Master</v>
      </c>
      <c r="Q485" t="e">
        <f>_xlfn.XLOOKUP(Table1[[#This Row],[ID]], Table2[ID],#REF!, "Not Found", 0)</f>
        <v>#REF!</v>
      </c>
      <c r="R485" t="e">
        <f>_xlfn.XLOOKUP(Table1[[#This Row],[ID]], Table2[ID],#REF!, "Not Found", 0)</f>
        <v>#REF!</v>
      </c>
      <c r="S485" s="3">
        <f>_xlfn.XLOOKUP(Table1[[#This Row],[ID]], Table2[ID], Table2[Enrollment], "Not Found", 0)</f>
        <v>43685</v>
      </c>
      <c r="T485" t="s">
        <v>437</v>
      </c>
    </row>
    <row r="486" spans="1:20" x14ac:dyDescent="0.3">
      <c r="A486">
        <v>1151</v>
      </c>
      <c r="B486">
        <v>170356</v>
      </c>
      <c r="C486">
        <v>0</v>
      </c>
      <c r="D486">
        <v>0</v>
      </c>
      <c r="E486">
        <v>75</v>
      </c>
      <c r="F486">
        <v>0</v>
      </c>
      <c r="G486">
        <v>1</v>
      </c>
      <c r="H486">
        <v>0</v>
      </c>
      <c r="I486">
        <v>0</v>
      </c>
      <c r="J486">
        <v>0</v>
      </c>
      <c r="K486">
        <v>0</v>
      </c>
      <c r="L486">
        <v>0</v>
      </c>
      <c r="M486">
        <v>0</v>
      </c>
      <c r="N486">
        <v>1</v>
      </c>
      <c r="O486" t="str" cm="1">
        <f t="array" ref="O486">_xlfn.IFS(Table1[[#This Row],[Divorced]]=1, "Divorced", Table1[[#This Row],[Married]]=1, "Married", Table1[[#This Row],[Single]]=1, "Single", Table1[[#This Row],[Together]]=1, "Together", Table1[[#This Row],[Widow]]=1, "Widow")</f>
        <v>Married</v>
      </c>
      <c r="P486" t="str" cm="1">
        <f t="array" ref="P486">_xlfn.IFS(Table1[[#This Row],[Basic]]=1, "Basic", Table1[[#This Row],[Graduate]]=1, "Graduate", Table1[[#This Row],[Master]]=1, "Master", Table1[[#This Row],[PhD]]=1, "PhD", AND(Table1[[#This Row],[Basic]]=0, Table1[[#This Row],[Graduate]]=0, Table1[[#This Row],[Master]]=0, Table1[[#This Row],[PhD]]=0), "NA")</f>
        <v>PhD</v>
      </c>
      <c r="Q486" t="e">
        <f>_xlfn.XLOOKUP(Table1[[#This Row],[ID]], Table2[ID],#REF!, "Not Found", 0)</f>
        <v>#REF!</v>
      </c>
      <c r="R486" t="e">
        <f>_xlfn.XLOOKUP(Table1[[#This Row],[ID]], Table2[ID],#REF!, "Not Found", 0)</f>
        <v>#REF!</v>
      </c>
      <c r="S486" s="3">
        <f>_xlfn.XLOOKUP(Table1[[#This Row],[ID]], Table2[ID], Table2[Enrollment], "Not Found", 0)</f>
        <v>43803</v>
      </c>
      <c r="T486" t="s">
        <v>434</v>
      </c>
    </row>
    <row r="487" spans="1:20" x14ac:dyDescent="0.3">
      <c r="A487">
        <v>1659</v>
      </c>
      <c r="B487">
        <v>170337</v>
      </c>
      <c r="C487">
        <v>0</v>
      </c>
      <c r="D487">
        <v>0</v>
      </c>
      <c r="E487">
        <v>41</v>
      </c>
      <c r="F487">
        <v>0</v>
      </c>
      <c r="G487">
        <v>0</v>
      </c>
      <c r="H487">
        <v>1</v>
      </c>
      <c r="I487">
        <v>0</v>
      </c>
      <c r="J487">
        <v>0</v>
      </c>
      <c r="K487">
        <v>0</v>
      </c>
      <c r="L487">
        <v>1</v>
      </c>
      <c r="M487">
        <v>0</v>
      </c>
      <c r="N487">
        <v>0</v>
      </c>
      <c r="O487" t="str" cm="1">
        <f t="array" ref="O487">_xlfn.IFS(Table1[[#This Row],[Divorced]]=1, "Divorced", Table1[[#This Row],[Married]]=1, "Married", Table1[[#This Row],[Single]]=1, "Single", Table1[[#This Row],[Together]]=1, "Together", Table1[[#This Row],[Widow]]=1, "Widow")</f>
        <v>Single</v>
      </c>
      <c r="P487" t="str" cm="1">
        <f t="array" ref="P487">_xlfn.IFS(Table1[[#This Row],[Basic]]=1, "Basic", Table1[[#This Row],[Graduate]]=1, "Graduate", Table1[[#This Row],[Master]]=1, "Master", Table1[[#This Row],[PhD]]=1, "PhD", AND(Table1[[#This Row],[Basic]]=0, Table1[[#This Row],[Graduate]]=0, Table1[[#This Row],[Master]]=0, Table1[[#This Row],[PhD]]=0), "NA")</f>
        <v>Graduate</v>
      </c>
      <c r="Q487" t="e">
        <f>_xlfn.XLOOKUP(Table1[[#This Row],[ID]], Table2[ID],#REF!, "Not Found", 0)</f>
        <v>#REF!</v>
      </c>
      <c r="R487" t="e">
        <f>_xlfn.XLOOKUP(Table1[[#This Row],[ID]], Table2[ID],#REF!, "Not Found", 0)</f>
        <v>#REF!</v>
      </c>
      <c r="S487" s="3">
        <f>_xlfn.XLOOKUP(Table1[[#This Row],[ID]], Table2[ID], Table2[Enrollment], "Not Found", 0)</f>
        <v>44049</v>
      </c>
      <c r="T487" t="s">
        <v>435</v>
      </c>
    </row>
    <row r="488" spans="1:20" x14ac:dyDescent="0.3">
      <c r="A488">
        <v>2718</v>
      </c>
      <c r="B488">
        <v>170321</v>
      </c>
      <c r="C488">
        <v>0</v>
      </c>
      <c r="D488">
        <v>0</v>
      </c>
      <c r="E488">
        <v>73</v>
      </c>
      <c r="F488">
        <v>0</v>
      </c>
      <c r="G488">
        <v>0</v>
      </c>
      <c r="H488">
        <v>0</v>
      </c>
      <c r="I488">
        <v>1</v>
      </c>
      <c r="J488">
        <v>0</v>
      </c>
      <c r="K488">
        <v>0</v>
      </c>
      <c r="L488">
        <v>1</v>
      </c>
      <c r="M488">
        <v>0</v>
      </c>
      <c r="N488">
        <v>0</v>
      </c>
      <c r="O488" t="str" cm="1">
        <f t="array" ref="O488">_xlfn.IFS(Table1[[#This Row],[Divorced]]=1, "Divorced", Table1[[#This Row],[Married]]=1, "Married", Table1[[#This Row],[Single]]=1, "Single", Table1[[#This Row],[Together]]=1, "Together", Table1[[#This Row],[Widow]]=1, "Widow")</f>
        <v>Together</v>
      </c>
      <c r="P488" t="str" cm="1">
        <f t="array" ref="P488">_xlfn.IFS(Table1[[#This Row],[Basic]]=1, "Basic", Table1[[#This Row],[Graduate]]=1, "Graduate", Table1[[#This Row],[Master]]=1, "Master", Table1[[#This Row],[PhD]]=1, "PhD", AND(Table1[[#This Row],[Basic]]=0, Table1[[#This Row],[Graduate]]=0, Table1[[#This Row],[Master]]=0, Table1[[#This Row],[PhD]]=0), "NA")</f>
        <v>Graduate</v>
      </c>
      <c r="Q488" t="e">
        <f>_xlfn.XLOOKUP(Table1[[#This Row],[ID]], Table2[ID],#REF!, "Not Found", 0)</f>
        <v>#REF!</v>
      </c>
      <c r="R488" t="e">
        <f>_xlfn.XLOOKUP(Table1[[#This Row],[ID]], Table2[ID],#REF!, "Not Found", 0)</f>
        <v>#REF!</v>
      </c>
      <c r="S488" s="3" t="str">
        <f>_xlfn.XLOOKUP(Table1[[#This Row],[ID]], Table2[ID], Table2[Enrollment], "Not Found", 0)</f>
        <v>6/23/2019</v>
      </c>
      <c r="T488" t="s">
        <v>436</v>
      </c>
    </row>
    <row r="489" spans="1:20" x14ac:dyDescent="0.3">
      <c r="A489">
        <v>2854</v>
      </c>
      <c r="B489">
        <v>170300</v>
      </c>
      <c r="C489">
        <v>1</v>
      </c>
      <c r="D489">
        <v>0</v>
      </c>
      <c r="E489">
        <v>45</v>
      </c>
      <c r="F489">
        <v>1</v>
      </c>
      <c r="G489">
        <v>0</v>
      </c>
      <c r="H489">
        <v>0</v>
      </c>
      <c r="I489">
        <v>0</v>
      </c>
      <c r="J489">
        <v>0</v>
      </c>
      <c r="K489">
        <v>0</v>
      </c>
      <c r="L489">
        <v>1</v>
      </c>
      <c r="M489">
        <v>0</v>
      </c>
      <c r="N489">
        <v>0</v>
      </c>
      <c r="O489" t="str" cm="1">
        <f t="array" ref="O489">_xlfn.IFS(Table1[[#This Row],[Divorced]]=1, "Divorced", Table1[[#This Row],[Married]]=1, "Married", Table1[[#This Row],[Single]]=1, "Single", Table1[[#This Row],[Together]]=1, "Together", Table1[[#This Row],[Widow]]=1, "Widow")</f>
        <v>Divorced</v>
      </c>
      <c r="P489" t="str" cm="1">
        <f t="array" ref="P489">_xlfn.IFS(Table1[[#This Row],[Basic]]=1, "Basic", Table1[[#This Row],[Graduate]]=1, "Graduate", Table1[[#This Row],[Master]]=1, "Master", Table1[[#This Row],[PhD]]=1, "PhD", AND(Table1[[#This Row],[Basic]]=0, Table1[[#This Row],[Graduate]]=0, Table1[[#This Row],[Master]]=0, Table1[[#This Row],[PhD]]=0), "NA")</f>
        <v>Graduate</v>
      </c>
      <c r="Q489" t="e">
        <f>_xlfn.XLOOKUP(Table1[[#This Row],[ID]], Table2[ID],#REF!, "Not Found", 0)</f>
        <v>#REF!</v>
      </c>
      <c r="R489" t="e">
        <f>_xlfn.XLOOKUP(Table1[[#This Row],[ID]], Table2[ID],#REF!, "Not Found", 0)</f>
        <v>#REF!</v>
      </c>
      <c r="S489" s="3" t="str">
        <f>_xlfn.XLOOKUP(Table1[[#This Row],[ID]], Table2[ID], Table2[Enrollment], "Not Found", 0)</f>
        <v>12/20/2019</v>
      </c>
      <c r="T489" t="s">
        <v>439</v>
      </c>
    </row>
    <row r="490" spans="1:20" x14ac:dyDescent="0.3">
      <c r="A490">
        <v>1053</v>
      </c>
      <c r="B490">
        <v>170287</v>
      </c>
      <c r="C490">
        <v>0</v>
      </c>
      <c r="D490">
        <v>0</v>
      </c>
      <c r="E490">
        <v>54</v>
      </c>
      <c r="F490">
        <v>1</v>
      </c>
      <c r="G490">
        <v>0</v>
      </c>
      <c r="H490">
        <v>0</v>
      </c>
      <c r="I490">
        <v>0</v>
      </c>
      <c r="J490">
        <v>0</v>
      </c>
      <c r="K490">
        <v>0</v>
      </c>
      <c r="L490">
        <v>1</v>
      </c>
      <c r="M490">
        <v>0</v>
      </c>
      <c r="N490">
        <v>0</v>
      </c>
      <c r="O490" t="str" cm="1">
        <f t="array" ref="O490">_xlfn.IFS(Table1[[#This Row],[Divorced]]=1, "Divorced", Table1[[#This Row],[Married]]=1, "Married", Table1[[#This Row],[Single]]=1, "Single", Table1[[#This Row],[Together]]=1, "Together", Table1[[#This Row],[Widow]]=1, "Widow")</f>
        <v>Divorced</v>
      </c>
      <c r="P490" t="str" cm="1">
        <f t="array" ref="P490">_xlfn.IFS(Table1[[#This Row],[Basic]]=1, "Basic", Table1[[#This Row],[Graduate]]=1, "Graduate", Table1[[#This Row],[Master]]=1, "Master", Table1[[#This Row],[PhD]]=1, "PhD", AND(Table1[[#This Row],[Basic]]=0, Table1[[#This Row],[Graduate]]=0, Table1[[#This Row],[Master]]=0, Table1[[#This Row],[PhD]]=0), "NA")</f>
        <v>Graduate</v>
      </c>
      <c r="Q490" t="e">
        <f>_xlfn.XLOOKUP(Table1[[#This Row],[ID]], Table2[ID],#REF!, "Not Found", 0)</f>
        <v>#REF!</v>
      </c>
      <c r="R490" t="e">
        <f>_xlfn.XLOOKUP(Table1[[#This Row],[ID]], Table2[ID],#REF!, "Not Found", 0)</f>
        <v>#REF!</v>
      </c>
      <c r="S490" s="3">
        <f>_xlfn.XLOOKUP(Table1[[#This Row],[ID]], Table2[ID], Table2[Enrollment], "Not Found", 0)</f>
        <v>43655</v>
      </c>
      <c r="T490" t="s">
        <v>435</v>
      </c>
    </row>
    <row r="491" spans="1:20" x14ac:dyDescent="0.3">
      <c r="A491">
        <v>2535</v>
      </c>
      <c r="B491">
        <v>170179</v>
      </c>
      <c r="C491">
        <v>0</v>
      </c>
      <c r="D491">
        <v>1</v>
      </c>
      <c r="E491">
        <v>44</v>
      </c>
      <c r="F491">
        <v>1</v>
      </c>
      <c r="G491">
        <v>0</v>
      </c>
      <c r="H491">
        <v>0</v>
      </c>
      <c r="I491">
        <v>0</v>
      </c>
      <c r="J491">
        <v>0</v>
      </c>
      <c r="K491">
        <v>0</v>
      </c>
      <c r="L491">
        <v>0</v>
      </c>
      <c r="M491">
        <v>0</v>
      </c>
      <c r="N491">
        <v>1</v>
      </c>
      <c r="O491" t="str" cm="1">
        <f t="array" ref="O491">_xlfn.IFS(Table1[[#This Row],[Divorced]]=1, "Divorced", Table1[[#This Row],[Married]]=1, "Married", Table1[[#This Row],[Single]]=1, "Single", Table1[[#This Row],[Together]]=1, "Together", Table1[[#This Row],[Widow]]=1, "Widow")</f>
        <v>Divorced</v>
      </c>
      <c r="P491" t="str" cm="1">
        <f t="array" ref="P491">_xlfn.IFS(Table1[[#This Row],[Basic]]=1, "Basic", Table1[[#This Row],[Graduate]]=1, "Graduate", Table1[[#This Row],[Master]]=1, "Master", Table1[[#This Row],[PhD]]=1, "PhD", AND(Table1[[#This Row],[Basic]]=0, Table1[[#This Row],[Graduate]]=0, Table1[[#This Row],[Master]]=0, Table1[[#This Row],[PhD]]=0), "NA")</f>
        <v>PhD</v>
      </c>
      <c r="Q491" t="e">
        <f>_xlfn.XLOOKUP(Table1[[#This Row],[ID]], Table2[ID],#REF!, "Not Found", 0)</f>
        <v>#REF!</v>
      </c>
      <c r="R491" t="e">
        <f>_xlfn.XLOOKUP(Table1[[#This Row],[ID]], Table2[ID],#REF!, "Not Found", 0)</f>
        <v>#REF!</v>
      </c>
      <c r="S491" s="3" t="str">
        <f>_xlfn.XLOOKUP(Table1[[#This Row],[ID]], Table2[ID], Table2[Enrollment], "Not Found", 0)</f>
        <v>12/26/2019</v>
      </c>
      <c r="T491" t="s">
        <v>435</v>
      </c>
    </row>
    <row r="492" spans="1:20" x14ac:dyDescent="0.3">
      <c r="A492">
        <v>3032</v>
      </c>
      <c r="B492">
        <v>170179</v>
      </c>
      <c r="C492">
        <v>0</v>
      </c>
      <c r="D492">
        <v>1</v>
      </c>
      <c r="E492">
        <v>44</v>
      </c>
      <c r="F492">
        <v>1</v>
      </c>
      <c r="G492">
        <v>0</v>
      </c>
      <c r="H492">
        <v>0</v>
      </c>
      <c r="I492">
        <v>0</v>
      </c>
      <c r="J492">
        <v>0</v>
      </c>
      <c r="K492">
        <v>0</v>
      </c>
      <c r="L492">
        <v>0</v>
      </c>
      <c r="M492">
        <v>0</v>
      </c>
      <c r="N492">
        <v>1</v>
      </c>
      <c r="O492" t="str" cm="1">
        <f t="array" ref="O492">_xlfn.IFS(Table1[[#This Row],[Divorced]]=1, "Divorced", Table1[[#This Row],[Married]]=1, "Married", Table1[[#This Row],[Single]]=1, "Single", Table1[[#This Row],[Together]]=1, "Together", Table1[[#This Row],[Widow]]=1, "Widow")</f>
        <v>Divorced</v>
      </c>
      <c r="P492" t="str" cm="1">
        <f t="array" ref="P492">_xlfn.IFS(Table1[[#This Row],[Basic]]=1, "Basic", Table1[[#This Row],[Graduate]]=1, "Graduate", Table1[[#This Row],[Master]]=1, "Master", Table1[[#This Row],[PhD]]=1, "PhD", AND(Table1[[#This Row],[Basic]]=0, Table1[[#This Row],[Graduate]]=0, Table1[[#This Row],[Master]]=0, Table1[[#This Row],[PhD]]=0), "NA")</f>
        <v>PhD</v>
      </c>
      <c r="Q492" t="e">
        <f>_xlfn.XLOOKUP(Table1[[#This Row],[ID]], Table2[ID],#REF!, "Not Found", 0)</f>
        <v>#REF!</v>
      </c>
      <c r="R492" t="e">
        <f>_xlfn.XLOOKUP(Table1[[#This Row],[ID]], Table2[ID],#REF!, "Not Found", 0)</f>
        <v>#REF!</v>
      </c>
      <c r="S492" s="3" t="str">
        <f>_xlfn.XLOOKUP(Table1[[#This Row],[ID]], Table2[ID], Table2[Enrollment], "Not Found", 0)</f>
        <v>12/26/2019</v>
      </c>
      <c r="T492" t="s">
        <v>438</v>
      </c>
    </row>
    <row r="493" spans="1:20" x14ac:dyDescent="0.3">
      <c r="A493">
        <v>1445</v>
      </c>
      <c r="B493">
        <v>170165</v>
      </c>
      <c r="C493">
        <v>0</v>
      </c>
      <c r="D493">
        <v>0</v>
      </c>
      <c r="E493">
        <v>71</v>
      </c>
      <c r="F493">
        <v>0</v>
      </c>
      <c r="G493">
        <v>0</v>
      </c>
      <c r="H493">
        <v>0</v>
      </c>
      <c r="I493">
        <v>0</v>
      </c>
      <c r="J493">
        <v>1</v>
      </c>
      <c r="K493">
        <v>0</v>
      </c>
      <c r="L493">
        <v>1</v>
      </c>
      <c r="M493">
        <v>0</v>
      </c>
      <c r="N493">
        <v>0</v>
      </c>
      <c r="O493" t="str" cm="1">
        <f t="array" ref="O493">_xlfn.IFS(Table1[[#This Row],[Divorced]]=1, "Divorced", Table1[[#This Row],[Married]]=1, "Married", Table1[[#This Row],[Single]]=1, "Single", Table1[[#This Row],[Together]]=1, "Together", Table1[[#This Row],[Widow]]=1, "Widow")</f>
        <v>Widow</v>
      </c>
      <c r="P493" t="str" cm="1">
        <f t="array" ref="P493">_xlfn.IFS(Table1[[#This Row],[Basic]]=1, "Basic", Table1[[#This Row],[Graduate]]=1, "Graduate", Table1[[#This Row],[Master]]=1, "Master", Table1[[#This Row],[PhD]]=1, "PhD", AND(Table1[[#This Row],[Basic]]=0, Table1[[#This Row],[Graduate]]=0, Table1[[#This Row],[Master]]=0, Table1[[#This Row],[PhD]]=0), "NA")</f>
        <v>Graduate</v>
      </c>
      <c r="Q493" t="e">
        <f>_xlfn.XLOOKUP(Table1[[#This Row],[ID]], Table2[ID],#REF!, "Not Found", 0)</f>
        <v>#REF!</v>
      </c>
      <c r="R493" t="e">
        <f>_xlfn.XLOOKUP(Table1[[#This Row],[ID]], Table2[ID],#REF!, "Not Found", 0)</f>
        <v>#REF!</v>
      </c>
      <c r="S493" s="3" t="str">
        <f>_xlfn.XLOOKUP(Table1[[#This Row],[ID]], Table2[ID], Table2[Enrollment], "Not Found", 0)</f>
        <v>2/27/2020</v>
      </c>
      <c r="T493" t="s">
        <v>434</v>
      </c>
    </row>
    <row r="494" spans="1:20" x14ac:dyDescent="0.3">
      <c r="A494">
        <v>1851</v>
      </c>
      <c r="B494">
        <v>170123</v>
      </c>
      <c r="C494">
        <v>0</v>
      </c>
      <c r="D494">
        <v>0</v>
      </c>
      <c r="E494">
        <v>37</v>
      </c>
      <c r="F494">
        <v>0</v>
      </c>
      <c r="G494">
        <v>0</v>
      </c>
      <c r="H494">
        <v>0</v>
      </c>
      <c r="I494">
        <v>1</v>
      </c>
      <c r="J494">
        <v>0</v>
      </c>
      <c r="K494">
        <v>0</v>
      </c>
      <c r="L494">
        <v>0</v>
      </c>
      <c r="M494">
        <v>0</v>
      </c>
      <c r="N494">
        <v>1</v>
      </c>
      <c r="O494" t="str" cm="1">
        <f t="array" ref="O494">_xlfn.IFS(Table1[[#This Row],[Divorced]]=1, "Divorced", Table1[[#This Row],[Married]]=1, "Married", Table1[[#This Row],[Single]]=1, "Single", Table1[[#This Row],[Together]]=1, "Together", Table1[[#This Row],[Widow]]=1, "Widow")</f>
        <v>Together</v>
      </c>
      <c r="P494" t="str" cm="1">
        <f t="array" ref="P494">_xlfn.IFS(Table1[[#This Row],[Basic]]=1, "Basic", Table1[[#This Row],[Graduate]]=1, "Graduate", Table1[[#This Row],[Master]]=1, "Master", Table1[[#This Row],[PhD]]=1, "PhD", AND(Table1[[#This Row],[Basic]]=0, Table1[[#This Row],[Graduate]]=0, Table1[[#This Row],[Master]]=0, Table1[[#This Row],[PhD]]=0), "NA")</f>
        <v>PhD</v>
      </c>
      <c r="Q494" t="e">
        <f>_xlfn.XLOOKUP(Table1[[#This Row],[ID]], Table2[ID],#REF!, "Not Found", 0)</f>
        <v>#REF!</v>
      </c>
      <c r="R494" t="e">
        <f>_xlfn.XLOOKUP(Table1[[#This Row],[ID]], Table2[ID],#REF!, "Not Found", 0)</f>
        <v>#REF!</v>
      </c>
      <c r="S494" s="3">
        <f>_xlfn.XLOOKUP(Table1[[#This Row],[ID]], Table2[ID], Table2[Enrollment], "Not Found", 0)</f>
        <v>43924</v>
      </c>
      <c r="T494" t="s">
        <v>435</v>
      </c>
    </row>
    <row r="495" spans="1:20" x14ac:dyDescent="0.3">
      <c r="A495">
        <v>2833</v>
      </c>
      <c r="B495">
        <v>170116</v>
      </c>
      <c r="C495">
        <v>0</v>
      </c>
      <c r="D495">
        <v>0</v>
      </c>
      <c r="E495">
        <v>48</v>
      </c>
      <c r="F495">
        <v>0</v>
      </c>
      <c r="G495">
        <v>1</v>
      </c>
      <c r="H495">
        <v>0</v>
      </c>
      <c r="I495">
        <v>0</v>
      </c>
      <c r="J495">
        <v>0</v>
      </c>
      <c r="K495">
        <v>0</v>
      </c>
      <c r="L495">
        <v>0</v>
      </c>
      <c r="M495">
        <v>0</v>
      </c>
      <c r="N495">
        <v>1</v>
      </c>
      <c r="O495" t="str" cm="1">
        <f t="array" ref="O495">_xlfn.IFS(Table1[[#This Row],[Divorced]]=1, "Divorced", Table1[[#This Row],[Married]]=1, "Married", Table1[[#This Row],[Single]]=1, "Single", Table1[[#This Row],[Together]]=1, "Together", Table1[[#This Row],[Widow]]=1, "Widow")</f>
        <v>Married</v>
      </c>
      <c r="P495" t="str" cm="1">
        <f t="array" ref="P495">_xlfn.IFS(Table1[[#This Row],[Basic]]=1, "Basic", Table1[[#This Row],[Graduate]]=1, "Graduate", Table1[[#This Row],[Master]]=1, "Master", Table1[[#This Row],[PhD]]=1, "PhD", AND(Table1[[#This Row],[Basic]]=0, Table1[[#This Row],[Graduate]]=0, Table1[[#This Row],[Master]]=0, Table1[[#This Row],[PhD]]=0), "NA")</f>
        <v>PhD</v>
      </c>
      <c r="Q495" t="e">
        <f>_xlfn.XLOOKUP(Table1[[#This Row],[ID]], Table2[ID],#REF!, "Not Found", 0)</f>
        <v>#REF!</v>
      </c>
      <c r="R495" t="e">
        <f>_xlfn.XLOOKUP(Table1[[#This Row],[ID]], Table2[ID],#REF!, "Not Found", 0)</f>
        <v>#REF!</v>
      </c>
      <c r="S495" s="3">
        <f>_xlfn.XLOOKUP(Table1[[#This Row],[ID]], Table2[ID], Table2[Enrollment], "Not Found", 0)</f>
        <v>43531</v>
      </c>
      <c r="T495" t="s">
        <v>437</v>
      </c>
    </row>
    <row r="496" spans="1:20" x14ac:dyDescent="0.3">
      <c r="A496">
        <v>2178</v>
      </c>
      <c r="B496">
        <v>170091</v>
      </c>
      <c r="C496">
        <v>1</v>
      </c>
      <c r="D496">
        <v>0</v>
      </c>
      <c r="E496">
        <v>51</v>
      </c>
      <c r="F496">
        <v>0</v>
      </c>
      <c r="G496">
        <v>1</v>
      </c>
      <c r="H496">
        <v>0</v>
      </c>
      <c r="I496">
        <v>0</v>
      </c>
      <c r="J496">
        <v>0</v>
      </c>
      <c r="K496">
        <v>0</v>
      </c>
      <c r="L496">
        <v>0</v>
      </c>
      <c r="M496">
        <v>1</v>
      </c>
      <c r="N496">
        <v>0</v>
      </c>
      <c r="O496" t="str" cm="1">
        <f t="array" ref="O496">_xlfn.IFS(Table1[[#This Row],[Divorced]]=1, "Divorced", Table1[[#This Row],[Married]]=1, "Married", Table1[[#This Row],[Single]]=1, "Single", Table1[[#This Row],[Together]]=1, "Together", Table1[[#This Row],[Widow]]=1, "Widow")</f>
        <v>Married</v>
      </c>
      <c r="P496" t="str" cm="1">
        <f t="array" ref="P496">_xlfn.IFS(Table1[[#This Row],[Basic]]=1, "Basic", Table1[[#This Row],[Graduate]]=1, "Graduate", Table1[[#This Row],[Master]]=1, "Master", Table1[[#This Row],[PhD]]=1, "PhD", AND(Table1[[#This Row],[Basic]]=0, Table1[[#This Row],[Graduate]]=0, Table1[[#This Row],[Master]]=0, Table1[[#This Row],[PhD]]=0), "NA")</f>
        <v>Master</v>
      </c>
      <c r="Q496" t="e">
        <f>_xlfn.XLOOKUP(Table1[[#This Row],[ID]], Table2[ID],#REF!, "Not Found", 0)</f>
        <v>#REF!</v>
      </c>
      <c r="R496" t="e">
        <f>_xlfn.XLOOKUP(Table1[[#This Row],[ID]], Table2[ID],#REF!, "Not Found", 0)</f>
        <v>#REF!</v>
      </c>
      <c r="S496" s="3">
        <f>_xlfn.XLOOKUP(Table1[[#This Row],[ID]], Table2[ID], Table2[Enrollment], "Not Found", 0)</f>
        <v>43594</v>
      </c>
      <c r="T496" t="s">
        <v>436</v>
      </c>
    </row>
    <row r="497" spans="1:20" x14ac:dyDescent="0.3">
      <c r="A497">
        <v>2935</v>
      </c>
      <c r="B497">
        <v>170053</v>
      </c>
      <c r="C497">
        <v>0</v>
      </c>
      <c r="D497">
        <v>1</v>
      </c>
      <c r="E497">
        <v>55</v>
      </c>
      <c r="F497">
        <v>0</v>
      </c>
      <c r="G497">
        <v>1</v>
      </c>
      <c r="H497">
        <v>0</v>
      </c>
      <c r="I497">
        <v>0</v>
      </c>
      <c r="J497">
        <v>0</v>
      </c>
      <c r="K497">
        <v>0</v>
      </c>
      <c r="L497">
        <v>0</v>
      </c>
      <c r="M497">
        <v>1</v>
      </c>
      <c r="N497">
        <v>0</v>
      </c>
      <c r="O497" t="str" cm="1">
        <f t="array" ref="O497">_xlfn.IFS(Table1[[#This Row],[Divorced]]=1, "Divorced", Table1[[#This Row],[Married]]=1, "Married", Table1[[#This Row],[Single]]=1, "Single", Table1[[#This Row],[Together]]=1, "Together", Table1[[#This Row],[Widow]]=1, "Widow")</f>
        <v>Married</v>
      </c>
      <c r="P497" t="str" cm="1">
        <f t="array" ref="P497">_xlfn.IFS(Table1[[#This Row],[Basic]]=1, "Basic", Table1[[#This Row],[Graduate]]=1, "Graduate", Table1[[#This Row],[Master]]=1, "Master", Table1[[#This Row],[PhD]]=1, "PhD", AND(Table1[[#This Row],[Basic]]=0, Table1[[#This Row],[Graduate]]=0, Table1[[#This Row],[Master]]=0, Table1[[#This Row],[PhD]]=0), "NA")</f>
        <v>Master</v>
      </c>
      <c r="Q497" t="e">
        <f>_xlfn.XLOOKUP(Table1[[#This Row],[ID]], Table2[ID],#REF!, "Not Found", 0)</f>
        <v>#REF!</v>
      </c>
      <c r="R497" t="e">
        <f>_xlfn.XLOOKUP(Table1[[#This Row],[ID]], Table2[ID],#REF!, "Not Found", 0)</f>
        <v>#REF!</v>
      </c>
      <c r="S497" s="3">
        <f>_xlfn.XLOOKUP(Table1[[#This Row],[ID]], Table2[ID], Table2[Enrollment], "Not Found", 0)</f>
        <v>43689</v>
      </c>
      <c r="T497" t="s">
        <v>437</v>
      </c>
    </row>
    <row r="498" spans="1:20" x14ac:dyDescent="0.3">
      <c r="A498">
        <v>2710</v>
      </c>
      <c r="B498">
        <v>170044</v>
      </c>
      <c r="C498">
        <v>0</v>
      </c>
      <c r="D498">
        <v>1</v>
      </c>
      <c r="E498">
        <v>66</v>
      </c>
      <c r="F498">
        <v>1</v>
      </c>
      <c r="G498">
        <v>0</v>
      </c>
      <c r="H498">
        <v>0</v>
      </c>
      <c r="I498">
        <v>0</v>
      </c>
      <c r="J498">
        <v>0</v>
      </c>
      <c r="K498">
        <v>0</v>
      </c>
      <c r="L498">
        <v>1</v>
      </c>
      <c r="M498">
        <v>0</v>
      </c>
      <c r="N498">
        <v>0</v>
      </c>
      <c r="O498" t="str" cm="1">
        <f t="array" ref="O498">_xlfn.IFS(Table1[[#This Row],[Divorced]]=1, "Divorced", Table1[[#This Row],[Married]]=1, "Married", Table1[[#This Row],[Single]]=1, "Single", Table1[[#This Row],[Together]]=1, "Together", Table1[[#This Row],[Widow]]=1, "Widow")</f>
        <v>Divorced</v>
      </c>
      <c r="P498" t="str" cm="1">
        <f t="array" ref="P498">_xlfn.IFS(Table1[[#This Row],[Basic]]=1, "Basic", Table1[[#This Row],[Graduate]]=1, "Graduate", Table1[[#This Row],[Master]]=1, "Master", Table1[[#This Row],[PhD]]=1, "PhD", AND(Table1[[#This Row],[Basic]]=0, Table1[[#This Row],[Graduate]]=0, Table1[[#This Row],[Master]]=0, Table1[[#This Row],[PhD]]=0), "NA")</f>
        <v>Graduate</v>
      </c>
      <c r="Q498" t="e">
        <f>_xlfn.XLOOKUP(Table1[[#This Row],[ID]], Table2[ID],#REF!, "Not Found", 0)</f>
        <v>#REF!</v>
      </c>
      <c r="R498" t="e">
        <f>_xlfn.XLOOKUP(Table1[[#This Row],[ID]], Table2[ID],#REF!, "Not Found", 0)</f>
        <v>#REF!</v>
      </c>
      <c r="S498" s="3" t="str">
        <f>_xlfn.XLOOKUP(Table1[[#This Row],[ID]], Table2[ID], Table2[Enrollment], "Not Found", 0)</f>
        <v>7/26/2019</v>
      </c>
      <c r="T498" t="s">
        <v>439</v>
      </c>
    </row>
    <row r="499" spans="1:20" x14ac:dyDescent="0.3">
      <c r="A499">
        <v>2424</v>
      </c>
      <c r="B499">
        <v>170038</v>
      </c>
      <c r="C499">
        <v>0</v>
      </c>
      <c r="D499">
        <v>0</v>
      </c>
      <c r="E499">
        <v>38</v>
      </c>
      <c r="F499">
        <v>0</v>
      </c>
      <c r="G499">
        <v>0</v>
      </c>
      <c r="H499">
        <v>0</v>
      </c>
      <c r="I499">
        <v>1</v>
      </c>
      <c r="J499">
        <v>0</v>
      </c>
      <c r="K499">
        <v>0</v>
      </c>
      <c r="L499">
        <v>0</v>
      </c>
      <c r="M499">
        <v>0</v>
      </c>
      <c r="N499">
        <v>1</v>
      </c>
      <c r="O499" t="str" cm="1">
        <f t="array" ref="O499">_xlfn.IFS(Table1[[#This Row],[Divorced]]=1, "Divorced", Table1[[#This Row],[Married]]=1, "Married", Table1[[#This Row],[Single]]=1, "Single", Table1[[#This Row],[Together]]=1, "Together", Table1[[#This Row],[Widow]]=1, "Widow")</f>
        <v>Together</v>
      </c>
      <c r="P499" t="str" cm="1">
        <f t="array" ref="P499">_xlfn.IFS(Table1[[#This Row],[Basic]]=1, "Basic", Table1[[#This Row],[Graduate]]=1, "Graduate", Table1[[#This Row],[Master]]=1, "Master", Table1[[#This Row],[PhD]]=1, "PhD", AND(Table1[[#This Row],[Basic]]=0, Table1[[#This Row],[Graduate]]=0, Table1[[#This Row],[Master]]=0, Table1[[#This Row],[PhD]]=0), "NA")</f>
        <v>PhD</v>
      </c>
      <c r="Q499" t="e">
        <f>_xlfn.XLOOKUP(Table1[[#This Row],[ID]], Table2[ID],#REF!, "Not Found", 0)</f>
        <v>#REF!</v>
      </c>
      <c r="R499" t="e">
        <f>_xlfn.XLOOKUP(Table1[[#This Row],[ID]], Table2[ID],#REF!, "Not Found", 0)</f>
        <v>#REF!</v>
      </c>
      <c r="S499" s="3" t="str">
        <f>_xlfn.XLOOKUP(Table1[[#This Row],[ID]], Table2[ID], Table2[Enrollment], "Not Found", 0)</f>
        <v>3/31/2020</v>
      </c>
      <c r="T499" t="s">
        <v>436</v>
      </c>
    </row>
    <row r="500" spans="1:20" x14ac:dyDescent="0.3">
      <c r="A500">
        <v>3035</v>
      </c>
      <c r="B500">
        <v>170038</v>
      </c>
      <c r="C500">
        <v>0</v>
      </c>
      <c r="D500">
        <v>0</v>
      </c>
      <c r="E500">
        <v>38</v>
      </c>
      <c r="F500">
        <v>0</v>
      </c>
      <c r="G500">
        <v>0</v>
      </c>
      <c r="H500">
        <v>0</v>
      </c>
      <c r="I500">
        <v>1</v>
      </c>
      <c r="J500">
        <v>0</v>
      </c>
      <c r="K500">
        <v>0</v>
      </c>
      <c r="L500">
        <v>0</v>
      </c>
      <c r="M500">
        <v>0</v>
      </c>
      <c r="N500">
        <v>1</v>
      </c>
      <c r="O500" t="str" cm="1">
        <f t="array" ref="O500">_xlfn.IFS(Table1[[#This Row],[Divorced]]=1, "Divorced", Table1[[#This Row],[Married]]=1, "Married", Table1[[#This Row],[Single]]=1, "Single", Table1[[#This Row],[Together]]=1, "Together", Table1[[#This Row],[Widow]]=1, "Widow")</f>
        <v>Together</v>
      </c>
      <c r="P500" t="str" cm="1">
        <f t="array" ref="P500">_xlfn.IFS(Table1[[#This Row],[Basic]]=1, "Basic", Table1[[#This Row],[Graduate]]=1, "Graduate", Table1[[#This Row],[Master]]=1, "Master", Table1[[#This Row],[PhD]]=1, "PhD", AND(Table1[[#This Row],[Basic]]=0, Table1[[#This Row],[Graduate]]=0, Table1[[#This Row],[Master]]=0, Table1[[#This Row],[PhD]]=0), "NA")</f>
        <v>PhD</v>
      </c>
      <c r="Q500" t="e">
        <f>_xlfn.XLOOKUP(Table1[[#This Row],[ID]], Table2[ID],#REF!, "Not Found", 0)</f>
        <v>#REF!</v>
      </c>
      <c r="R500" t="e">
        <f>_xlfn.XLOOKUP(Table1[[#This Row],[ID]], Table2[ID],#REF!, "Not Found", 0)</f>
        <v>#REF!</v>
      </c>
      <c r="S500" s="3" t="str">
        <f>_xlfn.XLOOKUP(Table1[[#This Row],[ID]], Table2[ID], Table2[Enrollment], "Not Found", 0)</f>
        <v>3/31/2020</v>
      </c>
      <c r="T500" t="s">
        <v>434</v>
      </c>
    </row>
    <row r="501" spans="1:20" x14ac:dyDescent="0.3">
      <c r="A501">
        <v>2231</v>
      </c>
      <c r="B501">
        <v>169969</v>
      </c>
      <c r="C501">
        <v>0</v>
      </c>
      <c r="D501">
        <v>0</v>
      </c>
      <c r="E501">
        <v>55</v>
      </c>
      <c r="F501">
        <v>0</v>
      </c>
      <c r="G501">
        <v>1</v>
      </c>
      <c r="H501">
        <v>0</v>
      </c>
      <c r="I501">
        <v>0</v>
      </c>
      <c r="J501">
        <v>0</v>
      </c>
      <c r="K501">
        <v>0</v>
      </c>
      <c r="L501">
        <v>0</v>
      </c>
      <c r="M501">
        <v>0</v>
      </c>
      <c r="N501">
        <v>1</v>
      </c>
      <c r="O501" t="str" cm="1">
        <f t="array" ref="O501">_xlfn.IFS(Table1[[#This Row],[Divorced]]=1, "Divorced", Table1[[#This Row],[Married]]=1, "Married", Table1[[#This Row],[Single]]=1, "Single", Table1[[#This Row],[Together]]=1, "Together", Table1[[#This Row],[Widow]]=1, "Widow")</f>
        <v>Married</v>
      </c>
      <c r="P501" t="str" cm="1">
        <f t="array" ref="P501">_xlfn.IFS(Table1[[#This Row],[Basic]]=1, "Basic", Table1[[#This Row],[Graduate]]=1, "Graduate", Table1[[#This Row],[Master]]=1, "Master", Table1[[#This Row],[PhD]]=1, "PhD", AND(Table1[[#This Row],[Basic]]=0, Table1[[#This Row],[Graduate]]=0, Table1[[#This Row],[Master]]=0, Table1[[#This Row],[PhD]]=0), "NA")</f>
        <v>PhD</v>
      </c>
      <c r="Q501" t="e">
        <f>_xlfn.XLOOKUP(Table1[[#This Row],[ID]], Table2[ID],#REF!, "Not Found", 0)</f>
        <v>#REF!</v>
      </c>
      <c r="R501" t="e">
        <f>_xlfn.XLOOKUP(Table1[[#This Row],[ID]], Table2[ID],#REF!, "Not Found", 0)</f>
        <v>#REF!</v>
      </c>
      <c r="S501" s="3">
        <f>_xlfn.XLOOKUP(Table1[[#This Row],[ID]], Table2[ID], Table2[Enrollment], "Not Found", 0)</f>
        <v>43832</v>
      </c>
      <c r="T501" t="s">
        <v>434</v>
      </c>
    </row>
    <row r="502" spans="1:20" x14ac:dyDescent="0.3">
      <c r="A502">
        <v>2846</v>
      </c>
      <c r="B502">
        <v>169932</v>
      </c>
      <c r="C502">
        <v>0</v>
      </c>
      <c r="D502">
        <v>1</v>
      </c>
      <c r="E502">
        <v>56</v>
      </c>
      <c r="F502">
        <v>1</v>
      </c>
      <c r="G502">
        <v>0</v>
      </c>
      <c r="H502">
        <v>0</v>
      </c>
      <c r="I502">
        <v>0</v>
      </c>
      <c r="J502">
        <v>0</v>
      </c>
      <c r="K502">
        <v>0</v>
      </c>
      <c r="L502">
        <v>1</v>
      </c>
      <c r="M502">
        <v>0</v>
      </c>
      <c r="N502">
        <v>0</v>
      </c>
      <c r="O502" t="str" cm="1">
        <f t="array" ref="O502">_xlfn.IFS(Table1[[#This Row],[Divorced]]=1, "Divorced", Table1[[#This Row],[Married]]=1, "Married", Table1[[#This Row],[Single]]=1, "Single", Table1[[#This Row],[Together]]=1, "Together", Table1[[#This Row],[Widow]]=1, "Widow")</f>
        <v>Divorced</v>
      </c>
      <c r="P502" t="str" cm="1">
        <f t="array" ref="P502">_xlfn.IFS(Table1[[#This Row],[Basic]]=1, "Basic", Table1[[#This Row],[Graduate]]=1, "Graduate", Table1[[#This Row],[Master]]=1, "Master", Table1[[#This Row],[PhD]]=1, "PhD", AND(Table1[[#This Row],[Basic]]=0, Table1[[#This Row],[Graduate]]=0, Table1[[#This Row],[Master]]=0, Table1[[#This Row],[PhD]]=0), "NA")</f>
        <v>Graduate</v>
      </c>
      <c r="Q502" t="e">
        <f>_xlfn.XLOOKUP(Table1[[#This Row],[ID]], Table2[ID],#REF!, "Not Found", 0)</f>
        <v>#REF!</v>
      </c>
      <c r="R502" t="e">
        <f>_xlfn.XLOOKUP(Table1[[#This Row],[ID]], Table2[ID],#REF!, "Not Found", 0)</f>
        <v>#REF!</v>
      </c>
      <c r="S502" s="3" t="str">
        <f>_xlfn.XLOOKUP(Table1[[#This Row],[ID]], Table2[ID], Table2[Enrollment], "Not Found", 0)</f>
        <v>11/17/2019</v>
      </c>
      <c r="T502" t="s">
        <v>438</v>
      </c>
    </row>
    <row r="503" spans="1:20" x14ac:dyDescent="0.3">
      <c r="A503">
        <v>2497</v>
      </c>
      <c r="B503">
        <v>169930</v>
      </c>
      <c r="C503">
        <v>0</v>
      </c>
      <c r="D503">
        <v>0</v>
      </c>
      <c r="E503">
        <v>49</v>
      </c>
      <c r="F503">
        <v>0</v>
      </c>
      <c r="G503">
        <v>0</v>
      </c>
      <c r="H503">
        <v>0</v>
      </c>
      <c r="I503">
        <v>1</v>
      </c>
      <c r="J503">
        <v>0</v>
      </c>
      <c r="K503">
        <v>0</v>
      </c>
      <c r="L503">
        <v>1</v>
      </c>
      <c r="M503">
        <v>0</v>
      </c>
      <c r="N503">
        <v>0</v>
      </c>
      <c r="O503" t="str" cm="1">
        <f t="array" ref="O503">_xlfn.IFS(Table1[[#This Row],[Divorced]]=1, "Divorced", Table1[[#This Row],[Married]]=1, "Married", Table1[[#This Row],[Single]]=1, "Single", Table1[[#This Row],[Together]]=1, "Together", Table1[[#This Row],[Widow]]=1, "Widow")</f>
        <v>Together</v>
      </c>
      <c r="P503" t="str" cm="1">
        <f t="array" ref="P503">_xlfn.IFS(Table1[[#This Row],[Basic]]=1, "Basic", Table1[[#This Row],[Graduate]]=1, "Graduate", Table1[[#This Row],[Master]]=1, "Master", Table1[[#This Row],[PhD]]=1, "PhD", AND(Table1[[#This Row],[Basic]]=0, Table1[[#This Row],[Graduate]]=0, Table1[[#This Row],[Master]]=0, Table1[[#This Row],[PhD]]=0), "NA")</f>
        <v>Graduate</v>
      </c>
      <c r="Q503" t="e">
        <f>_xlfn.XLOOKUP(Table1[[#This Row],[ID]], Table2[ID],#REF!, "Not Found", 0)</f>
        <v>#REF!</v>
      </c>
      <c r="R503" t="e">
        <f>_xlfn.XLOOKUP(Table1[[#This Row],[ID]], Table2[ID],#REF!, "Not Found", 0)</f>
        <v>#REF!</v>
      </c>
      <c r="S503" s="3" t="str">
        <f>_xlfn.XLOOKUP(Table1[[#This Row],[ID]], Table2[ID], Table2[Enrollment], "Not Found", 0)</f>
        <v>10/31/2019</v>
      </c>
      <c r="T503" t="s">
        <v>437</v>
      </c>
    </row>
    <row r="504" spans="1:20" x14ac:dyDescent="0.3">
      <c r="A504">
        <v>2723</v>
      </c>
      <c r="B504">
        <v>169901</v>
      </c>
      <c r="C504">
        <v>0</v>
      </c>
      <c r="D504">
        <v>1</v>
      </c>
      <c r="E504">
        <v>51</v>
      </c>
      <c r="F504">
        <v>1</v>
      </c>
      <c r="G504">
        <v>0</v>
      </c>
      <c r="H504">
        <v>0</v>
      </c>
      <c r="I504">
        <v>0</v>
      </c>
      <c r="J504">
        <v>0</v>
      </c>
      <c r="K504">
        <v>0</v>
      </c>
      <c r="L504">
        <v>1</v>
      </c>
      <c r="M504">
        <v>0</v>
      </c>
      <c r="N504">
        <v>0</v>
      </c>
      <c r="O504" t="str" cm="1">
        <f t="array" ref="O504">_xlfn.IFS(Table1[[#This Row],[Divorced]]=1, "Divorced", Table1[[#This Row],[Married]]=1, "Married", Table1[[#This Row],[Single]]=1, "Single", Table1[[#This Row],[Together]]=1, "Together", Table1[[#This Row],[Widow]]=1, "Widow")</f>
        <v>Divorced</v>
      </c>
      <c r="P504" t="str" cm="1">
        <f t="array" ref="P504">_xlfn.IFS(Table1[[#This Row],[Basic]]=1, "Basic", Table1[[#This Row],[Graduate]]=1, "Graduate", Table1[[#This Row],[Master]]=1, "Master", Table1[[#This Row],[PhD]]=1, "PhD", AND(Table1[[#This Row],[Basic]]=0, Table1[[#This Row],[Graduate]]=0, Table1[[#This Row],[Master]]=0, Table1[[#This Row],[PhD]]=0), "NA")</f>
        <v>Graduate</v>
      </c>
      <c r="Q504" t="e">
        <f>_xlfn.XLOOKUP(Table1[[#This Row],[ID]], Table2[ID],#REF!, "Not Found", 0)</f>
        <v>#REF!</v>
      </c>
      <c r="R504" t="e">
        <f>_xlfn.XLOOKUP(Table1[[#This Row],[ID]], Table2[ID],#REF!, "Not Found", 0)</f>
        <v>#REF!</v>
      </c>
      <c r="S504" s="3">
        <f>_xlfn.XLOOKUP(Table1[[#This Row],[ID]], Table2[ID], Table2[Enrollment], "Not Found", 0)</f>
        <v>43535</v>
      </c>
      <c r="T504" t="s">
        <v>434</v>
      </c>
    </row>
    <row r="505" spans="1:20" x14ac:dyDescent="0.3">
      <c r="A505">
        <v>1576</v>
      </c>
      <c r="B505">
        <v>169882</v>
      </c>
      <c r="C505">
        <v>0</v>
      </c>
      <c r="D505">
        <v>0</v>
      </c>
      <c r="E505">
        <v>55</v>
      </c>
      <c r="F505">
        <v>0</v>
      </c>
      <c r="G505">
        <v>0</v>
      </c>
      <c r="H505">
        <v>1</v>
      </c>
      <c r="I505">
        <v>0</v>
      </c>
      <c r="J505">
        <v>0</v>
      </c>
      <c r="K505">
        <v>0</v>
      </c>
      <c r="L505">
        <v>0</v>
      </c>
      <c r="M505">
        <v>1</v>
      </c>
      <c r="N505">
        <v>0</v>
      </c>
      <c r="O505" t="str" cm="1">
        <f t="array" ref="O505">_xlfn.IFS(Table1[[#This Row],[Divorced]]=1, "Divorced", Table1[[#This Row],[Married]]=1, "Married", Table1[[#This Row],[Single]]=1, "Single", Table1[[#This Row],[Together]]=1, "Together", Table1[[#This Row],[Widow]]=1, "Widow")</f>
        <v>Single</v>
      </c>
      <c r="P505" t="str" cm="1">
        <f t="array" ref="P505">_xlfn.IFS(Table1[[#This Row],[Basic]]=1, "Basic", Table1[[#This Row],[Graduate]]=1, "Graduate", Table1[[#This Row],[Master]]=1, "Master", Table1[[#This Row],[PhD]]=1, "PhD", AND(Table1[[#This Row],[Basic]]=0, Table1[[#This Row],[Graduate]]=0, Table1[[#This Row],[Master]]=0, Table1[[#This Row],[PhD]]=0), "NA")</f>
        <v>Master</v>
      </c>
      <c r="Q505" t="e">
        <f>_xlfn.XLOOKUP(Table1[[#This Row],[ID]], Table2[ID],#REF!, "Not Found", 0)</f>
        <v>#REF!</v>
      </c>
      <c r="R505" t="e">
        <f>_xlfn.XLOOKUP(Table1[[#This Row],[ID]], Table2[ID],#REF!, "Not Found", 0)</f>
        <v>#REF!</v>
      </c>
      <c r="S505" s="3" t="str">
        <f>_xlfn.XLOOKUP(Table1[[#This Row],[ID]], Table2[ID], Table2[Enrollment], "Not Found", 0)</f>
        <v>4/16/2020</v>
      </c>
      <c r="T505" t="s">
        <v>439</v>
      </c>
    </row>
    <row r="506" spans="1:20" x14ac:dyDescent="0.3">
      <c r="A506">
        <v>1265</v>
      </c>
      <c r="B506">
        <v>169867</v>
      </c>
      <c r="C506">
        <v>0</v>
      </c>
      <c r="D506">
        <v>0</v>
      </c>
      <c r="E506">
        <v>34</v>
      </c>
      <c r="F506">
        <v>0</v>
      </c>
      <c r="G506">
        <v>0</v>
      </c>
      <c r="H506">
        <v>1</v>
      </c>
      <c r="I506">
        <v>0</v>
      </c>
      <c r="J506">
        <v>0</v>
      </c>
      <c r="K506">
        <v>0</v>
      </c>
      <c r="L506">
        <v>0</v>
      </c>
      <c r="M506">
        <v>0</v>
      </c>
      <c r="N506">
        <v>1</v>
      </c>
      <c r="O506" t="str" cm="1">
        <f t="array" ref="O506">_xlfn.IFS(Table1[[#This Row],[Divorced]]=1, "Divorced", Table1[[#This Row],[Married]]=1, "Married", Table1[[#This Row],[Single]]=1, "Single", Table1[[#This Row],[Together]]=1, "Together", Table1[[#This Row],[Widow]]=1, "Widow")</f>
        <v>Single</v>
      </c>
      <c r="P506" t="str" cm="1">
        <f t="array" ref="P506">_xlfn.IFS(Table1[[#This Row],[Basic]]=1, "Basic", Table1[[#This Row],[Graduate]]=1, "Graduate", Table1[[#This Row],[Master]]=1, "Master", Table1[[#This Row],[PhD]]=1, "PhD", AND(Table1[[#This Row],[Basic]]=0, Table1[[#This Row],[Graduate]]=0, Table1[[#This Row],[Master]]=0, Table1[[#This Row],[PhD]]=0), "NA")</f>
        <v>PhD</v>
      </c>
      <c r="Q506" t="e">
        <f>_xlfn.XLOOKUP(Table1[[#This Row],[ID]], Table2[ID],#REF!, "Not Found", 0)</f>
        <v>#REF!</v>
      </c>
      <c r="R506" t="e">
        <f>_xlfn.XLOOKUP(Table1[[#This Row],[ID]], Table2[ID],#REF!, "Not Found", 0)</f>
        <v>#REF!</v>
      </c>
      <c r="S506" s="3">
        <f>_xlfn.XLOOKUP(Table1[[#This Row],[ID]], Table2[ID], Table2[Enrollment], "Not Found", 0)</f>
        <v>43655</v>
      </c>
      <c r="T506" t="s">
        <v>434</v>
      </c>
    </row>
    <row r="507" spans="1:20" x14ac:dyDescent="0.3">
      <c r="A507">
        <v>3086</v>
      </c>
      <c r="B507">
        <v>169805</v>
      </c>
      <c r="C507">
        <v>0</v>
      </c>
      <c r="D507">
        <v>1</v>
      </c>
      <c r="E507">
        <v>68</v>
      </c>
      <c r="F507">
        <v>0</v>
      </c>
      <c r="G507">
        <v>0</v>
      </c>
      <c r="H507">
        <v>0</v>
      </c>
      <c r="I507">
        <v>1</v>
      </c>
      <c r="J507">
        <v>0</v>
      </c>
      <c r="K507">
        <v>0</v>
      </c>
      <c r="L507">
        <v>0</v>
      </c>
      <c r="M507">
        <v>0</v>
      </c>
      <c r="N507">
        <v>1</v>
      </c>
      <c r="O507" t="str" cm="1">
        <f t="array" ref="O507">_xlfn.IFS(Table1[[#This Row],[Divorced]]=1, "Divorced", Table1[[#This Row],[Married]]=1, "Married", Table1[[#This Row],[Single]]=1, "Single", Table1[[#This Row],[Together]]=1, "Together", Table1[[#This Row],[Widow]]=1, "Widow")</f>
        <v>Together</v>
      </c>
      <c r="P507" t="str" cm="1">
        <f t="array" ref="P507">_xlfn.IFS(Table1[[#This Row],[Basic]]=1, "Basic", Table1[[#This Row],[Graduate]]=1, "Graduate", Table1[[#This Row],[Master]]=1, "Master", Table1[[#This Row],[PhD]]=1, "PhD", AND(Table1[[#This Row],[Basic]]=0, Table1[[#This Row],[Graduate]]=0, Table1[[#This Row],[Master]]=0, Table1[[#This Row],[PhD]]=0), "NA")</f>
        <v>PhD</v>
      </c>
      <c r="Q507" t="e">
        <f>_xlfn.XLOOKUP(Table1[[#This Row],[ID]], Table2[ID],#REF!, "Not Found", 0)</f>
        <v>#REF!</v>
      </c>
      <c r="R507" t="e">
        <f>_xlfn.XLOOKUP(Table1[[#This Row],[ID]], Table2[ID],#REF!, "Not Found", 0)</f>
        <v>#REF!</v>
      </c>
      <c r="S507" s="3" t="str">
        <f>_xlfn.XLOOKUP(Table1[[#This Row],[ID]], Table2[ID], Table2[Enrollment], "Not Found", 0)</f>
        <v>6/27/2020</v>
      </c>
      <c r="T507" t="s">
        <v>438</v>
      </c>
    </row>
    <row r="508" spans="1:20" x14ac:dyDescent="0.3">
      <c r="A508">
        <v>1336</v>
      </c>
      <c r="B508">
        <v>169759</v>
      </c>
      <c r="C508">
        <v>0</v>
      </c>
      <c r="D508">
        <v>0</v>
      </c>
      <c r="E508">
        <v>54</v>
      </c>
      <c r="F508">
        <v>0</v>
      </c>
      <c r="G508">
        <v>0</v>
      </c>
      <c r="H508">
        <v>1</v>
      </c>
      <c r="I508">
        <v>0</v>
      </c>
      <c r="J508">
        <v>0</v>
      </c>
      <c r="K508">
        <v>0</v>
      </c>
      <c r="L508">
        <v>0</v>
      </c>
      <c r="M508">
        <v>0</v>
      </c>
      <c r="N508">
        <v>1</v>
      </c>
      <c r="O508" t="str" cm="1">
        <f t="array" ref="O508">_xlfn.IFS(Table1[[#This Row],[Divorced]]=1, "Divorced", Table1[[#This Row],[Married]]=1, "Married", Table1[[#This Row],[Single]]=1, "Single", Table1[[#This Row],[Together]]=1, "Together", Table1[[#This Row],[Widow]]=1, "Widow")</f>
        <v>Single</v>
      </c>
      <c r="P508" t="str" cm="1">
        <f t="array" ref="P508">_xlfn.IFS(Table1[[#This Row],[Basic]]=1, "Basic", Table1[[#This Row],[Graduate]]=1, "Graduate", Table1[[#This Row],[Master]]=1, "Master", Table1[[#This Row],[PhD]]=1, "PhD", AND(Table1[[#This Row],[Basic]]=0, Table1[[#This Row],[Graduate]]=0, Table1[[#This Row],[Master]]=0, Table1[[#This Row],[PhD]]=0), "NA")</f>
        <v>PhD</v>
      </c>
      <c r="Q508" t="e">
        <f>_xlfn.XLOOKUP(Table1[[#This Row],[ID]], Table2[ID],#REF!, "Not Found", 0)</f>
        <v>#REF!</v>
      </c>
      <c r="R508" t="e">
        <f>_xlfn.XLOOKUP(Table1[[#This Row],[ID]], Table2[ID],#REF!, "Not Found", 0)</f>
        <v>#REF!</v>
      </c>
      <c r="S508" s="3">
        <f>_xlfn.XLOOKUP(Table1[[#This Row],[ID]], Table2[ID], Table2[Enrollment], "Not Found", 0)</f>
        <v>43894</v>
      </c>
      <c r="T508" t="s">
        <v>439</v>
      </c>
    </row>
    <row r="509" spans="1:20" x14ac:dyDescent="0.3">
      <c r="A509">
        <v>2613</v>
      </c>
      <c r="B509">
        <v>169755</v>
      </c>
      <c r="C509">
        <v>0</v>
      </c>
      <c r="D509">
        <v>0</v>
      </c>
      <c r="E509">
        <v>75</v>
      </c>
      <c r="F509">
        <v>0</v>
      </c>
      <c r="G509">
        <v>1</v>
      </c>
      <c r="H509">
        <v>0</v>
      </c>
      <c r="I509">
        <v>0</v>
      </c>
      <c r="J509">
        <v>0</v>
      </c>
      <c r="K509">
        <v>0</v>
      </c>
      <c r="L509">
        <v>1</v>
      </c>
      <c r="M509">
        <v>0</v>
      </c>
      <c r="N509">
        <v>0</v>
      </c>
      <c r="O509" t="str" cm="1">
        <f t="array" ref="O509">_xlfn.IFS(Table1[[#This Row],[Divorced]]=1, "Divorced", Table1[[#This Row],[Married]]=1, "Married", Table1[[#This Row],[Single]]=1, "Single", Table1[[#This Row],[Together]]=1, "Together", Table1[[#This Row],[Widow]]=1, "Widow")</f>
        <v>Married</v>
      </c>
      <c r="P509" t="str" cm="1">
        <f t="array" ref="P509">_xlfn.IFS(Table1[[#This Row],[Basic]]=1, "Basic", Table1[[#This Row],[Graduate]]=1, "Graduate", Table1[[#This Row],[Master]]=1, "Master", Table1[[#This Row],[PhD]]=1, "PhD", AND(Table1[[#This Row],[Basic]]=0, Table1[[#This Row],[Graduate]]=0, Table1[[#This Row],[Master]]=0, Table1[[#This Row],[PhD]]=0), "NA")</f>
        <v>Graduate</v>
      </c>
      <c r="Q509" t="e">
        <f>_xlfn.XLOOKUP(Table1[[#This Row],[ID]], Table2[ID],#REF!, "Not Found", 0)</f>
        <v>#REF!</v>
      </c>
      <c r="R509" t="e">
        <f>_xlfn.XLOOKUP(Table1[[#This Row],[ID]], Table2[ID],#REF!, "Not Found", 0)</f>
        <v>#REF!</v>
      </c>
      <c r="S509" s="3">
        <f>_xlfn.XLOOKUP(Table1[[#This Row],[ID]], Table2[ID], Table2[Enrollment], "Not Found", 0)</f>
        <v>44046</v>
      </c>
      <c r="T509" t="s">
        <v>435</v>
      </c>
    </row>
    <row r="510" spans="1:20" x14ac:dyDescent="0.3">
      <c r="A510">
        <v>2869</v>
      </c>
      <c r="B510">
        <v>169719</v>
      </c>
      <c r="C510">
        <v>0</v>
      </c>
      <c r="D510">
        <v>0</v>
      </c>
      <c r="E510">
        <v>46</v>
      </c>
      <c r="F510">
        <v>0</v>
      </c>
      <c r="G510">
        <v>0</v>
      </c>
      <c r="H510">
        <v>1</v>
      </c>
      <c r="I510">
        <v>0</v>
      </c>
      <c r="J510">
        <v>0</v>
      </c>
      <c r="K510">
        <v>0</v>
      </c>
      <c r="L510">
        <v>1</v>
      </c>
      <c r="M510">
        <v>0</v>
      </c>
      <c r="N510">
        <v>0</v>
      </c>
      <c r="O510" t="str" cm="1">
        <f t="array" ref="O510">_xlfn.IFS(Table1[[#This Row],[Divorced]]=1, "Divorced", Table1[[#This Row],[Married]]=1, "Married", Table1[[#This Row],[Single]]=1, "Single", Table1[[#This Row],[Together]]=1, "Together", Table1[[#This Row],[Widow]]=1, "Widow")</f>
        <v>Single</v>
      </c>
      <c r="P510" t="str" cm="1">
        <f t="array" ref="P510">_xlfn.IFS(Table1[[#This Row],[Basic]]=1, "Basic", Table1[[#This Row],[Graduate]]=1, "Graduate", Table1[[#This Row],[Master]]=1, "Master", Table1[[#This Row],[PhD]]=1, "PhD", AND(Table1[[#This Row],[Basic]]=0, Table1[[#This Row],[Graduate]]=0, Table1[[#This Row],[Master]]=0, Table1[[#This Row],[PhD]]=0), "NA")</f>
        <v>Graduate</v>
      </c>
      <c r="Q510" t="e">
        <f>_xlfn.XLOOKUP(Table1[[#This Row],[ID]], Table2[ID],#REF!, "Not Found", 0)</f>
        <v>#REF!</v>
      </c>
      <c r="R510" t="e">
        <f>_xlfn.XLOOKUP(Table1[[#This Row],[ID]], Table2[ID],#REF!, "Not Found", 0)</f>
        <v>#REF!</v>
      </c>
      <c r="S510" s="3" t="str">
        <f>_xlfn.XLOOKUP(Table1[[#This Row],[ID]], Table2[ID], Table2[Enrollment], "Not Found", 0)</f>
        <v>10/30/2020</v>
      </c>
      <c r="T510" t="s">
        <v>437</v>
      </c>
    </row>
    <row r="511" spans="1:20" x14ac:dyDescent="0.3">
      <c r="A511">
        <v>2853</v>
      </c>
      <c r="B511">
        <v>169702</v>
      </c>
      <c r="C511">
        <v>0</v>
      </c>
      <c r="D511">
        <v>1</v>
      </c>
      <c r="E511">
        <v>69</v>
      </c>
      <c r="F511">
        <v>0</v>
      </c>
      <c r="G511">
        <v>0</v>
      </c>
      <c r="H511">
        <v>0</v>
      </c>
      <c r="I511">
        <v>1</v>
      </c>
      <c r="J511">
        <v>0</v>
      </c>
      <c r="K511">
        <v>0</v>
      </c>
      <c r="L511">
        <v>0</v>
      </c>
      <c r="M511">
        <v>0</v>
      </c>
      <c r="N511">
        <v>1</v>
      </c>
      <c r="O511" t="str" cm="1">
        <f t="array" ref="O511">_xlfn.IFS(Table1[[#This Row],[Divorced]]=1, "Divorced", Table1[[#This Row],[Married]]=1, "Married", Table1[[#This Row],[Single]]=1, "Single", Table1[[#This Row],[Together]]=1, "Together", Table1[[#This Row],[Widow]]=1, "Widow")</f>
        <v>Together</v>
      </c>
      <c r="P511" t="str" cm="1">
        <f t="array" ref="P511">_xlfn.IFS(Table1[[#This Row],[Basic]]=1, "Basic", Table1[[#This Row],[Graduate]]=1, "Graduate", Table1[[#This Row],[Master]]=1, "Master", Table1[[#This Row],[PhD]]=1, "PhD", AND(Table1[[#This Row],[Basic]]=0, Table1[[#This Row],[Graduate]]=0, Table1[[#This Row],[Master]]=0, Table1[[#This Row],[PhD]]=0), "NA")</f>
        <v>PhD</v>
      </c>
      <c r="Q511" t="e">
        <f>_xlfn.XLOOKUP(Table1[[#This Row],[ID]], Table2[ID],#REF!, "Not Found", 0)</f>
        <v>#REF!</v>
      </c>
      <c r="R511" t="e">
        <f>_xlfn.XLOOKUP(Table1[[#This Row],[ID]], Table2[ID],#REF!, "Not Found", 0)</f>
        <v>#REF!</v>
      </c>
      <c r="S511" s="3" t="str">
        <f>_xlfn.XLOOKUP(Table1[[#This Row],[ID]], Table2[ID], Table2[Enrollment], "Not Found", 0)</f>
        <v>7/27/2019</v>
      </c>
      <c r="T511" t="s">
        <v>435</v>
      </c>
    </row>
    <row r="512" spans="1:20" x14ac:dyDescent="0.3">
      <c r="A512">
        <v>1248</v>
      </c>
      <c r="B512">
        <v>169674</v>
      </c>
      <c r="C512">
        <v>0</v>
      </c>
      <c r="D512">
        <v>2</v>
      </c>
      <c r="E512">
        <v>52</v>
      </c>
      <c r="F512">
        <v>1</v>
      </c>
      <c r="G512">
        <v>0</v>
      </c>
      <c r="H512">
        <v>0</v>
      </c>
      <c r="I512">
        <v>0</v>
      </c>
      <c r="J512">
        <v>0</v>
      </c>
      <c r="K512">
        <v>0</v>
      </c>
      <c r="L512">
        <v>0</v>
      </c>
      <c r="M512">
        <v>0</v>
      </c>
      <c r="N512">
        <v>1</v>
      </c>
      <c r="O512" t="str" cm="1">
        <f t="array" ref="O512">_xlfn.IFS(Table1[[#This Row],[Divorced]]=1, "Divorced", Table1[[#This Row],[Married]]=1, "Married", Table1[[#This Row],[Single]]=1, "Single", Table1[[#This Row],[Together]]=1, "Together", Table1[[#This Row],[Widow]]=1, "Widow")</f>
        <v>Divorced</v>
      </c>
      <c r="P512" t="str" cm="1">
        <f t="array" ref="P512">_xlfn.IFS(Table1[[#This Row],[Basic]]=1, "Basic", Table1[[#This Row],[Graduate]]=1, "Graduate", Table1[[#This Row],[Master]]=1, "Master", Table1[[#This Row],[PhD]]=1, "PhD", AND(Table1[[#This Row],[Basic]]=0, Table1[[#This Row],[Graduate]]=0, Table1[[#This Row],[Master]]=0, Table1[[#This Row],[PhD]]=0), "NA")</f>
        <v>PhD</v>
      </c>
      <c r="Q512" t="e">
        <f>_xlfn.XLOOKUP(Table1[[#This Row],[ID]], Table2[ID],#REF!, "Not Found", 0)</f>
        <v>#REF!</v>
      </c>
      <c r="R512" t="e">
        <f>_xlfn.XLOOKUP(Table1[[#This Row],[ID]], Table2[ID],#REF!, "Not Found", 0)</f>
        <v>#REF!</v>
      </c>
      <c r="S512" s="3" t="str">
        <f>_xlfn.XLOOKUP(Table1[[#This Row],[ID]], Table2[ID], Table2[Enrollment], "Not Found", 0)</f>
        <v>10/27/2019</v>
      </c>
      <c r="T512" t="s">
        <v>436</v>
      </c>
    </row>
    <row r="513" spans="1:20" x14ac:dyDescent="0.3">
      <c r="A513">
        <v>1184</v>
      </c>
      <c r="B513">
        <v>169661</v>
      </c>
      <c r="C513">
        <v>0</v>
      </c>
      <c r="D513">
        <v>0</v>
      </c>
      <c r="E513">
        <v>40</v>
      </c>
      <c r="F513">
        <v>0</v>
      </c>
      <c r="G513">
        <v>1</v>
      </c>
      <c r="H513">
        <v>0</v>
      </c>
      <c r="I513">
        <v>0</v>
      </c>
      <c r="J513">
        <v>0</v>
      </c>
      <c r="K513">
        <v>0</v>
      </c>
      <c r="L513">
        <v>0</v>
      </c>
      <c r="M513">
        <v>1</v>
      </c>
      <c r="N513">
        <v>0</v>
      </c>
      <c r="O513" t="str" cm="1">
        <f t="array" ref="O513">_xlfn.IFS(Table1[[#This Row],[Divorced]]=1, "Divorced", Table1[[#This Row],[Married]]=1, "Married", Table1[[#This Row],[Single]]=1, "Single", Table1[[#This Row],[Together]]=1, "Together", Table1[[#This Row],[Widow]]=1, "Widow")</f>
        <v>Married</v>
      </c>
      <c r="P513" t="str" cm="1">
        <f t="array" ref="P513">_xlfn.IFS(Table1[[#This Row],[Basic]]=1, "Basic", Table1[[#This Row],[Graduate]]=1, "Graduate", Table1[[#This Row],[Master]]=1, "Master", Table1[[#This Row],[PhD]]=1, "PhD", AND(Table1[[#This Row],[Basic]]=0, Table1[[#This Row],[Graduate]]=0, Table1[[#This Row],[Master]]=0, Table1[[#This Row],[PhD]]=0), "NA")</f>
        <v>Master</v>
      </c>
      <c r="Q513" t="e">
        <f>_xlfn.XLOOKUP(Table1[[#This Row],[ID]], Table2[ID],#REF!, "Not Found", 0)</f>
        <v>#REF!</v>
      </c>
      <c r="R513" t="e">
        <f>_xlfn.XLOOKUP(Table1[[#This Row],[ID]], Table2[ID],#REF!, "Not Found", 0)</f>
        <v>#REF!</v>
      </c>
      <c r="S513" s="3" t="str">
        <f>_xlfn.XLOOKUP(Table1[[#This Row],[ID]], Table2[ID], Table2[Enrollment], "Not Found", 0)</f>
        <v>10/17/2020</v>
      </c>
      <c r="T513" t="s">
        <v>438</v>
      </c>
    </row>
    <row r="514" spans="1:20" x14ac:dyDescent="0.3">
      <c r="A514">
        <v>2335</v>
      </c>
      <c r="B514">
        <v>169627</v>
      </c>
      <c r="C514">
        <v>0</v>
      </c>
      <c r="D514">
        <v>1</v>
      </c>
      <c r="E514">
        <v>58</v>
      </c>
      <c r="F514">
        <v>0</v>
      </c>
      <c r="G514">
        <v>0</v>
      </c>
      <c r="H514">
        <v>1</v>
      </c>
      <c r="I514">
        <v>0</v>
      </c>
      <c r="J514">
        <v>0</v>
      </c>
      <c r="K514">
        <v>0</v>
      </c>
      <c r="L514">
        <v>1</v>
      </c>
      <c r="M514">
        <v>0</v>
      </c>
      <c r="N514">
        <v>0</v>
      </c>
      <c r="O514" t="str" cm="1">
        <f t="array" ref="O514">_xlfn.IFS(Table1[[#This Row],[Divorced]]=1, "Divorced", Table1[[#This Row],[Married]]=1, "Married", Table1[[#This Row],[Single]]=1, "Single", Table1[[#This Row],[Together]]=1, "Together", Table1[[#This Row],[Widow]]=1, "Widow")</f>
        <v>Single</v>
      </c>
      <c r="P514" t="str" cm="1">
        <f t="array" ref="P514">_xlfn.IFS(Table1[[#This Row],[Basic]]=1, "Basic", Table1[[#This Row],[Graduate]]=1, "Graduate", Table1[[#This Row],[Master]]=1, "Master", Table1[[#This Row],[PhD]]=1, "PhD", AND(Table1[[#This Row],[Basic]]=0, Table1[[#This Row],[Graduate]]=0, Table1[[#This Row],[Master]]=0, Table1[[#This Row],[PhD]]=0), "NA")</f>
        <v>Graduate</v>
      </c>
      <c r="Q514" t="e">
        <f>_xlfn.XLOOKUP(Table1[[#This Row],[ID]], Table2[ID],#REF!, "Not Found", 0)</f>
        <v>#REF!</v>
      </c>
      <c r="R514" t="e">
        <f>_xlfn.XLOOKUP(Table1[[#This Row],[ID]], Table2[ID],#REF!, "Not Found", 0)</f>
        <v>#REF!</v>
      </c>
      <c r="S514" s="3" t="str">
        <f>_xlfn.XLOOKUP(Table1[[#This Row],[ID]], Table2[ID], Table2[Enrollment], "Not Found", 0)</f>
        <v>8/22/2019</v>
      </c>
      <c r="T514" t="s">
        <v>437</v>
      </c>
    </row>
    <row r="515" spans="1:20" x14ac:dyDescent="0.3">
      <c r="A515">
        <v>3220</v>
      </c>
      <c r="B515">
        <v>169534</v>
      </c>
      <c r="C515">
        <v>1</v>
      </c>
      <c r="D515">
        <v>1</v>
      </c>
      <c r="E515">
        <v>0</v>
      </c>
      <c r="F515">
        <v>0</v>
      </c>
      <c r="G515">
        <v>1</v>
      </c>
      <c r="H515">
        <v>0</v>
      </c>
      <c r="I515">
        <v>0</v>
      </c>
      <c r="J515">
        <v>0</v>
      </c>
      <c r="K515">
        <v>0</v>
      </c>
      <c r="L515">
        <v>0</v>
      </c>
      <c r="M515">
        <v>0</v>
      </c>
      <c r="N515">
        <v>1</v>
      </c>
      <c r="O515" t="str" cm="1">
        <f t="array" ref="O515">_xlfn.IFS(Table1[[#This Row],[Divorced]]=1, "Divorced", Table1[[#This Row],[Married]]=1, "Married", Table1[[#This Row],[Single]]=1, "Single", Table1[[#This Row],[Together]]=1, "Together", Table1[[#This Row],[Widow]]=1, "Widow")</f>
        <v>Married</v>
      </c>
      <c r="P515" t="str" cm="1">
        <f t="array" ref="P515">_xlfn.IFS(Table1[[#This Row],[Basic]]=1, "Basic", Table1[[#This Row],[Graduate]]=1, "Graduate", Table1[[#This Row],[Master]]=1, "Master", Table1[[#This Row],[PhD]]=1, "PhD", AND(Table1[[#This Row],[Basic]]=0, Table1[[#This Row],[Graduate]]=0, Table1[[#This Row],[Master]]=0, Table1[[#This Row],[PhD]]=0), "NA")</f>
        <v>PhD</v>
      </c>
      <c r="Q515" t="e">
        <f>_xlfn.XLOOKUP(Table1[[#This Row],[ID]], Table2[ID],#REF!, "Not Found", 0)</f>
        <v>#REF!</v>
      </c>
      <c r="R515" t="e">
        <f>_xlfn.XLOOKUP(Table1[[#This Row],[ID]], Table2[ID],#REF!, "Not Found", 0)</f>
        <v>#REF!</v>
      </c>
      <c r="S515" s="3" t="str">
        <f>_xlfn.XLOOKUP(Table1[[#This Row],[ID]], Table2[ID], Table2[Enrollment], "Not Found", 0)</f>
        <v>3/22/2019</v>
      </c>
      <c r="T515" t="s">
        <v>439</v>
      </c>
    </row>
    <row r="516" spans="1:20" x14ac:dyDescent="0.3">
      <c r="A516">
        <v>3047</v>
      </c>
      <c r="B516">
        <v>169520</v>
      </c>
      <c r="C516">
        <v>0</v>
      </c>
      <c r="D516">
        <v>0</v>
      </c>
      <c r="E516">
        <v>37</v>
      </c>
      <c r="F516">
        <v>0</v>
      </c>
      <c r="G516">
        <v>1</v>
      </c>
      <c r="H516">
        <v>0</v>
      </c>
      <c r="I516">
        <v>0</v>
      </c>
      <c r="J516">
        <v>0</v>
      </c>
      <c r="K516">
        <v>0</v>
      </c>
      <c r="L516">
        <v>1</v>
      </c>
      <c r="M516">
        <v>0</v>
      </c>
      <c r="N516">
        <v>0</v>
      </c>
      <c r="O516" t="str" cm="1">
        <f t="array" ref="O516">_xlfn.IFS(Table1[[#This Row],[Divorced]]=1, "Divorced", Table1[[#This Row],[Married]]=1, "Married", Table1[[#This Row],[Single]]=1, "Single", Table1[[#This Row],[Together]]=1, "Together", Table1[[#This Row],[Widow]]=1, "Widow")</f>
        <v>Married</v>
      </c>
      <c r="P516" t="str" cm="1">
        <f t="array" ref="P516">_xlfn.IFS(Table1[[#This Row],[Basic]]=1, "Basic", Table1[[#This Row],[Graduate]]=1, "Graduate", Table1[[#This Row],[Master]]=1, "Master", Table1[[#This Row],[PhD]]=1, "PhD", AND(Table1[[#This Row],[Basic]]=0, Table1[[#This Row],[Graduate]]=0, Table1[[#This Row],[Master]]=0, Table1[[#This Row],[PhD]]=0), "NA")</f>
        <v>Graduate</v>
      </c>
      <c r="Q516" t="e">
        <f>_xlfn.XLOOKUP(Table1[[#This Row],[ID]], Table2[ID],#REF!, "Not Found", 0)</f>
        <v>#REF!</v>
      </c>
      <c r="R516" t="e">
        <f>_xlfn.XLOOKUP(Table1[[#This Row],[ID]], Table2[ID],#REF!, "Not Found", 0)</f>
        <v>#REF!</v>
      </c>
      <c r="S516" s="3">
        <f>_xlfn.XLOOKUP(Table1[[#This Row],[ID]], Table2[ID], Table2[Enrollment], "Not Found", 0)</f>
        <v>43811</v>
      </c>
      <c r="T516" t="s">
        <v>434</v>
      </c>
    </row>
    <row r="517" spans="1:20" x14ac:dyDescent="0.3">
      <c r="A517">
        <v>1207</v>
      </c>
      <c r="B517">
        <v>169508</v>
      </c>
      <c r="C517">
        <v>1</v>
      </c>
      <c r="D517">
        <v>0</v>
      </c>
      <c r="E517">
        <v>40</v>
      </c>
      <c r="F517">
        <v>0</v>
      </c>
      <c r="G517">
        <v>0</v>
      </c>
      <c r="H517">
        <v>0</v>
      </c>
      <c r="I517">
        <v>1</v>
      </c>
      <c r="J517">
        <v>0</v>
      </c>
      <c r="K517">
        <v>0</v>
      </c>
      <c r="L517">
        <v>1</v>
      </c>
      <c r="M517">
        <v>0</v>
      </c>
      <c r="N517">
        <v>0</v>
      </c>
      <c r="O517" t="str" cm="1">
        <f t="array" ref="O517">_xlfn.IFS(Table1[[#This Row],[Divorced]]=1, "Divorced", Table1[[#This Row],[Married]]=1, "Married", Table1[[#This Row],[Single]]=1, "Single", Table1[[#This Row],[Together]]=1, "Together", Table1[[#This Row],[Widow]]=1, "Widow")</f>
        <v>Together</v>
      </c>
      <c r="P517" t="str" cm="1">
        <f t="array" ref="P517">_xlfn.IFS(Table1[[#This Row],[Basic]]=1, "Basic", Table1[[#This Row],[Graduate]]=1, "Graduate", Table1[[#This Row],[Master]]=1, "Master", Table1[[#This Row],[PhD]]=1, "PhD", AND(Table1[[#This Row],[Basic]]=0, Table1[[#This Row],[Graduate]]=0, Table1[[#This Row],[Master]]=0, Table1[[#This Row],[PhD]]=0), "NA")</f>
        <v>Graduate</v>
      </c>
      <c r="Q517" t="e">
        <f>_xlfn.XLOOKUP(Table1[[#This Row],[ID]], Table2[ID],#REF!, "Not Found", 0)</f>
        <v>#REF!</v>
      </c>
      <c r="R517" t="e">
        <f>_xlfn.XLOOKUP(Table1[[#This Row],[ID]], Table2[ID],#REF!, "Not Found", 0)</f>
        <v>#REF!</v>
      </c>
      <c r="S517" s="3" t="str">
        <f>_xlfn.XLOOKUP(Table1[[#This Row],[ID]], Table2[ID], Table2[Enrollment], "Not Found", 0)</f>
        <v>4/21/2019</v>
      </c>
      <c r="T517" t="s">
        <v>437</v>
      </c>
    </row>
    <row r="518" spans="1:20" x14ac:dyDescent="0.3">
      <c r="A518">
        <v>1670</v>
      </c>
      <c r="B518">
        <v>169476</v>
      </c>
      <c r="C518">
        <v>0</v>
      </c>
      <c r="D518">
        <v>0</v>
      </c>
      <c r="E518">
        <v>51</v>
      </c>
      <c r="F518">
        <v>0</v>
      </c>
      <c r="G518">
        <v>0</v>
      </c>
      <c r="H518">
        <v>0</v>
      </c>
      <c r="I518">
        <v>1</v>
      </c>
      <c r="J518">
        <v>0</v>
      </c>
      <c r="K518">
        <v>0</v>
      </c>
      <c r="L518">
        <v>0</v>
      </c>
      <c r="M518">
        <v>0</v>
      </c>
      <c r="N518">
        <v>1</v>
      </c>
      <c r="O518" t="str" cm="1">
        <f t="array" ref="O518">_xlfn.IFS(Table1[[#This Row],[Divorced]]=1, "Divorced", Table1[[#This Row],[Married]]=1, "Married", Table1[[#This Row],[Single]]=1, "Single", Table1[[#This Row],[Together]]=1, "Together", Table1[[#This Row],[Widow]]=1, "Widow")</f>
        <v>Together</v>
      </c>
      <c r="P518" t="str" cm="1">
        <f t="array" ref="P518">_xlfn.IFS(Table1[[#This Row],[Basic]]=1, "Basic", Table1[[#This Row],[Graduate]]=1, "Graduate", Table1[[#This Row],[Master]]=1, "Master", Table1[[#This Row],[PhD]]=1, "PhD", AND(Table1[[#This Row],[Basic]]=0, Table1[[#This Row],[Graduate]]=0, Table1[[#This Row],[Master]]=0, Table1[[#This Row],[PhD]]=0), "NA")</f>
        <v>PhD</v>
      </c>
      <c r="Q518" t="e">
        <f>_xlfn.XLOOKUP(Table1[[#This Row],[ID]], Table2[ID],#REF!, "Not Found", 0)</f>
        <v>#REF!</v>
      </c>
      <c r="R518" t="e">
        <f>_xlfn.XLOOKUP(Table1[[#This Row],[ID]], Table2[ID],#REF!, "Not Found", 0)</f>
        <v>#REF!</v>
      </c>
      <c r="S518" s="3">
        <f>_xlfn.XLOOKUP(Table1[[#This Row],[ID]], Table2[ID], Table2[Enrollment], "Not Found", 0)</f>
        <v>43985</v>
      </c>
      <c r="T518" t="s">
        <v>438</v>
      </c>
    </row>
    <row r="519" spans="1:20" x14ac:dyDescent="0.3">
      <c r="A519">
        <v>2425</v>
      </c>
      <c r="B519">
        <v>169401</v>
      </c>
      <c r="C519">
        <v>0</v>
      </c>
      <c r="D519">
        <v>1</v>
      </c>
      <c r="E519">
        <v>47</v>
      </c>
      <c r="F519">
        <v>0</v>
      </c>
      <c r="G519">
        <v>0</v>
      </c>
      <c r="H519">
        <v>0</v>
      </c>
      <c r="I519">
        <v>1</v>
      </c>
      <c r="J519">
        <v>0</v>
      </c>
      <c r="K519">
        <v>0</v>
      </c>
      <c r="L519">
        <v>0</v>
      </c>
      <c r="M519">
        <v>0</v>
      </c>
      <c r="N519">
        <v>0</v>
      </c>
      <c r="O519" t="str" cm="1">
        <f t="array" ref="O519">_xlfn.IFS(Table1[[#This Row],[Divorced]]=1, "Divorced", Table1[[#This Row],[Married]]=1, "Married", Table1[[#This Row],[Single]]=1, "Single", Table1[[#This Row],[Together]]=1, "Together", Table1[[#This Row],[Widow]]=1, "Widow")</f>
        <v>Together</v>
      </c>
      <c r="P519" t="str" cm="1">
        <f t="array" ref="P519">_xlfn.IFS(Table1[[#This Row],[Basic]]=1, "Basic", Table1[[#This Row],[Graduate]]=1, "Graduate", Table1[[#This Row],[Master]]=1, "Master", Table1[[#This Row],[PhD]]=1, "PhD", AND(Table1[[#This Row],[Basic]]=0, Table1[[#This Row],[Graduate]]=0, Table1[[#This Row],[Master]]=0, Table1[[#This Row],[PhD]]=0), "NA")</f>
        <v>NA</v>
      </c>
      <c r="Q519" t="e">
        <f>_xlfn.XLOOKUP(Table1[[#This Row],[ID]], Table2[ID],#REF!, "Not Found", 0)</f>
        <v>#REF!</v>
      </c>
      <c r="R519" t="e">
        <f>_xlfn.XLOOKUP(Table1[[#This Row],[ID]], Table2[ID],#REF!, "Not Found", 0)</f>
        <v>#REF!</v>
      </c>
      <c r="S519" s="3" t="str">
        <f>_xlfn.XLOOKUP(Table1[[#This Row],[ID]], Table2[ID], Table2[Enrollment], "Not Found", 0)</f>
        <v>8/27/2020</v>
      </c>
      <c r="T519" t="s">
        <v>437</v>
      </c>
    </row>
    <row r="520" spans="1:20" x14ac:dyDescent="0.3">
      <c r="A520">
        <v>2386</v>
      </c>
      <c r="B520">
        <v>169389</v>
      </c>
      <c r="C520">
        <v>0</v>
      </c>
      <c r="D520">
        <v>1</v>
      </c>
      <c r="E520">
        <v>43</v>
      </c>
      <c r="F520">
        <v>0</v>
      </c>
      <c r="G520">
        <v>1</v>
      </c>
      <c r="H520">
        <v>0</v>
      </c>
      <c r="I520">
        <v>0</v>
      </c>
      <c r="J520">
        <v>0</v>
      </c>
      <c r="K520">
        <v>0</v>
      </c>
      <c r="L520">
        <v>0</v>
      </c>
      <c r="M520">
        <v>0</v>
      </c>
      <c r="N520">
        <v>1</v>
      </c>
      <c r="O520" t="str" cm="1">
        <f t="array" ref="O520">_xlfn.IFS(Table1[[#This Row],[Divorced]]=1, "Divorced", Table1[[#This Row],[Married]]=1, "Married", Table1[[#This Row],[Single]]=1, "Single", Table1[[#This Row],[Together]]=1, "Together", Table1[[#This Row],[Widow]]=1, "Widow")</f>
        <v>Married</v>
      </c>
      <c r="P520" t="str" cm="1">
        <f t="array" ref="P520">_xlfn.IFS(Table1[[#This Row],[Basic]]=1, "Basic", Table1[[#This Row],[Graduate]]=1, "Graduate", Table1[[#This Row],[Master]]=1, "Master", Table1[[#This Row],[PhD]]=1, "PhD", AND(Table1[[#This Row],[Basic]]=0, Table1[[#This Row],[Graduate]]=0, Table1[[#This Row],[Master]]=0, Table1[[#This Row],[PhD]]=0), "NA")</f>
        <v>PhD</v>
      </c>
      <c r="Q520" t="e">
        <f>_xlfn.XLOOKUP(Table1[[#This Row],[ID]], Table2[ID],#REF!, "Not Found", 0)</f>
        <v>#REF!</v>
      </c>
      <c r="R520" t="e">
        <f>_xlfn.XLOOKUP(Table1[[#This Row],[ID]], Table2[ID],#REF!, "Not Found", 0)</f>
        <v>#REF!</v>
      </c>
      <c r="S520" s="3">
        <f>_xlfn.XLOOKUP(Table1[[#This Row],[ID]], Table2[ID], Table2[Enrollment], "Not Found", 0)</f>
        <v>43588</v>
      </c>
      <c r="T520" t="s">
        <v>439</v>
      </c>
    </row>
    <row r="521" spans="1:20" x14ac:dyDescent="0.3">
      <c r="A521">
        <v>1145</v>
      </c>
      <c r="B521">
        <v>169372</v>
      </c>
      <c r="C521">
        <v>0</v>
      </c>
      <c r="D521">
        <v>0</v>
      </c>
      <c r="E521">
        <v>71</v>
      </c>
      <c r="F521">
        <v>0</v>
      </c>
      <c r="G521">
        <v>0</v>
      </c>
      <c r="H521">
        <v>0</v>
      </c>
      <c r="I521">
        <v>1</v>
      </c>
      <c r="J521">
        <v>0</v>
      </c>
      <c r="K521">
        <v>0</v>
      </c>
      <c r="L521">
        <v>1</v>
      </c>
      <c r="M521">
        <v>0</v>
      </c>
      <c r="N521">
        <v>0</v>
      </c>
      <c r="O521" t="str" cm="1">
        <f t="array" ref="O521">_xlfn.IFS(Table1[[#This Row],[Divorced]]=1, "Divorced", Table1[[#This Row],[Married]]=1, "Married", Table1[[#This Row],[Single]]=1, "Single", Table1[[#This Row],[Together]]=1, "Together", Table1[[#This Row],[Widow]]=1, "Widow")</f>
        <v>Together</v>
      </c>
      <c r="P521" t="str" cm="1">
        <f t="array" ref="P521">_xlfn.IFS(Table1[[#This Row],[Basic]]=1, "Basic", Table1[[#This Row],[Graduate]]=1, "Graduate", Table1[[#This Row],[Master]]=1, "Master", Table1[[#This Row],[PhD]]=1, "PhD", AND(Table1[[#This Row],[Basic]]=0, Table1[[#This Row],[Graduate]]=0, Table1[[#This Row],[Master]]=0, Table1[[#This Row],[PhD]]=0), "NA")</f>
        <v>Graduate</v>
      </c>
      <c r="Q521" t="e">
        <f>_xlfn.XLOOKUP(Table1[[#This Row],[ID]], Table2[ID],#REF!, "Not Found", 0)</f>
        <v>#REF!</v>
      </c>
      <c r="R521" t="e">
        <f>_xlfn.XLOOKUP(Table1[[#This Row],[ID]], Table2[ID],#REF!, "Not Found", 0)</f>
        <v>#REF!</v>
      </c>
      <c r="S521" s="3" t="str">
        <f>_xlfn.XLOOKUP(Table1[[#This Row],[ID]], Table2[ID], Table2[Enrollment], "Not Found", 0)</f>
        <v>7/27/2019</v>
      </c>
      <c r="T521" t="s">
        <v>434</v>
      </c>
    </row>
    <row r="522" spans="1:20" x14ac:dyDescent="0.3">
      <c r="A522">
        <v>2508</v>
      </c>
      <c r="B522">
        <v>169283</v>
      </c>
      <c r="C522">
        <v>0</v>
      </c>
      <c r="D522">
        <v>1</v>
      </c>
      <c r="E522">
        <v>45</v>
      </c>
      <c r="F522">
        <v>0</v>
      </c>
      <c r="G522">
        <v>1</v>
      </c>
      <c r="H522">
        <v>0</v>
      </c>
      <c r="I522">
        <v>0</v>
      </c>
      <c r="J522">
        <v>0</v>
      </c>
      <c r="K522">
        <v>0</v>
      </c>
      <c r="L522">
        <v>0</v>
      </c>
      <c r="M522">
        <v>0</v>
      </c>
      <c r="N522">
        <v>1</v>
      </c>
      <c r="O522" t="str" cm="1">
        <f t="array" ref="O522">_xlfn.IFS(Table1[[#This Row],[Divorced]]=1, "Divorced", Table1[[#This Row],[Married]]=1, "Married", Table1[[#This Row],[Single]]=1, "Single", Table1[[#This Row],[Together]]=1, "Together", Table1[[#This Row],[Widow]]=1, "Widow")</f>
        <v>Married</v>
      </c>
      <c r="P522" t="str" cm="1">
        <f t="array" ref="P522">_xlfn.IFS(Table1[[#This Row],[Basic]]=1, "Basic", Table1[[#This Row],[Graduate]]=1, "Graduate", Table1[[#This Row],[Master]]=1, "Master", Table1[[#This Row],[PhD]]=1, "PhD", AND(Table1[[#This Row],[Basic]]=0, Table1[[#This Row],[Graduate]]=0, Table1[[#This Row],[Master]]=0, Table1[[#This Row],[PhD]]=0), "NA")</f>
        <v>PhD</v>
      </c>
      <c r="Q522" t="e">
        <f>_xlfn.XLOOKUP(Table1[[#This Row],[ID]], Table2[ID],#REF!, "Not Found", 0)</f>
        <v>#REF!</v>
      </c>
      <c r="R522" t="e">
        <f>_xlfn.XLOOKUP(Table1[[#This Row],[ID]], Table2[ID],#REF!, "Not Found", 0)</f>
        <v>#REF!</v>
      </c>
      <c r="S522" s="3" t="str">
        <f>_xlfn.XLOOKUP(Table1[[#This Row],[ID]], Table2[ID], Table2[Enrollment], "Not Found", 0)</f>
        <v>11/18/2020</v>
      </c>
      <c r="T522" t="s">
        <v>436</v>
      </c>
    </row>
    <row r="523" spans="1:20" x14ac:dyDescent="0.3">
      <c r="A523">
        <v>1257</v>
      </c>
      <c r="B523">
        <v>169267</v>
      </c>
      <c r="C523">
        <v>0</v>
      </c>
      <c r="D523">
        <v>0</v>
      </c>
      <c r="E523">
        <v>67</v>
      </c>
      <c r="F523">
        <v>0</v>
      </c>
      <c r="G523">
        <v>0</v>
      </c>
      <c r="H523">
        <v>1</v>
      </c>
      <c r="I523">
        <v>0</v>
      </c>
      <c r="J523">
        <v>0</v>
      </c>
      <c r="K523">
        <v>0</v>
      </c>
      <c r="L523">
        <v>1</v>
      </c>
      <c r="M523">
        <v>0</v>
      </c>
      <c r="N523">
        <v>0</v>
      </c>
      <c r="O523" t="str" cm="1">
        <f t="array" ref="O523">_xlfn.IFS(Table1[[#This Row],[Divorced]]=1, "Divorced", Table1[[#This Row],[Married]]=1, "Married", Table1[[#This Row],[Single]]=1, "Single", Table1[[#This Row],[Together]]=1, "Together", Table1[[#This Row],[Widow]]=1, "Widow")</f>
        <v>Single</v>
      </c>
      <c r="P523" t="str" cm="1">
        <f t="array" ref="P523">_xlfn.IFS(Table1[[#This Row],[Basic]]=1, "Basic", Table1[[#This Row],[Graduate]]=1, "Graduate", Table1[[#This Row],[Master]]=1, "Master", Table1[[#This Row],[PhD]]=1, "PhD", AND(Table1[[#This Row],[Basic]]=0, Table1[[#This Row],[Graduate]]=0, Table1[[#This Row],[Master]]=0, Table1[[#This Row],[PhD]]=0), "NA")</f>
        <v>Graduate</v>
      </c>
      <c r="Q523" t="e">
        <f>_xlfn.XLOOKUP(Table1[[#This Row],[ID]], Table2[ID],#REF!, "Not Found", 0)</f>
        <v>#REF!</v>
      </c>
      <c r="R523" t="e">
        <f>_xlfn.XLOOKUP(Table1[[#This Row],[ID]], Table2[ID],#REF!, "Not Found", 0)</f>
        <v>#REF!</v>
      </c>
      <c r="S523" s="3" t="str">
        <f>_xlfn.XLOOKUP(Table1[[#This Row],[ID]], Table2[ID], Table2[Enrollment], "Not Found", 0)</f>
        <v>2/27/2019</v>
      </c>
      <c r="T523" t="s">
        <v>435</v>
      </c>
    </row>
    <row r="524" spans="1:20" x14ac:dyDescent="0.3">
      <c r="A524">
        <v>3138</v>
      </c>
      <c r="B524">
        <v>169263</v>
      </c>
      <c r="C524">
        <v>0</v>
      </c>
      <c r="D524">
        <v>1</v>
      </c>
      <c r="E524">
        <v>55</v>
      </c>
      <c r="F524">
        <v>0</v>
      </c>
      <c r="G524">
        <v>0</v>
      </c>
      <c r="H524">
        <v>1</v>
      </c>
      <c r="I524">
        <v>0</v>
      </c>
      <c r="J524">
        <v>0</v>
      </c>
      <c r="K524">
        <v>0</v>
      </c>
      <c r="L524">
        <v>1</v>
      </c>
      <c r="M524">
        <v>0</v>
      </c>
      <c r="N524">
        <v>0</v>
      </c>
      <c r="O524" t="str" cm="1">
        <f t="array" ref="O524">_xlfn.IFS(Table1[[#This Row],[Divorced]]=1, "Divorced", Table1[[#This Row],[Married]]=1, "Married", Table1[[#This Row],[Single]]=1, "Single", Table1[[#This Row],[Together]]=1, "Together", Table1[[#This Row],[Widow]]=1, "Widow")</f>
        <v>Single</v>
      </c>
      <c r="P524" t="str" cm="1">
        <f t="array" ref="P524">_xlfn.IFS(Table1[[#This Row],[Basic]]=1, "Basic", Table1[[#This Row],[Graduate]]=1, "Graduate", Table1[[#This Row],[Master]]=1, "Master", Table1[[#This Row],[PhD]]=1, "PhD", AND(Table1[[#This Row],[Basic]]=0, Table1[[#This Row],[Graduate]]=0, Table1[[#This Row],[Master]]=0, Table1[[#This Row],[PhD]]=0), "NA")</f>
        <v>Graduate</v>
      </c>
      <c r="Q524" t="e">
        <f>_xlfn.XLOOKUP(Table1[[#This Row],[ID]], Table2[ID],#REF!, "Not Found", 0)</f>
        <v>#REF!</v>
      </c>
      <c r="R524" t="e">
        <f>_xlfn.XLOOKUP(Table1[[#This Row],[ID]], Table2[ID],#REF!, "Not Found", 0)</f>
        <v>#REF!</v>
      </c>
      <c r="S524" s="3">
        <f>_xlfn.XLOOKUP(Table1[[#This Row],[ID]], Table2[ID], Table2[Enrollment], "Not Found", 0)</f>
        <v>44082</v>
      </c>
      <c r="T524" t="s">
        <v>436</v>
      </c>
    </row>
    <row r="525" spans="1:20" x14ac:dyDescent="0.3">
      <c r="A525">
        <v>3204</v>
      </c>
      <c r="B525">
        <v>169245</v>
      </c>
      <c r="C525">
        <v>0</v>
      </c>
      <c r="D525">
        <v>1</v>
      </c>
      <c r="E525">
        <v>64</v>
      </c>
      <c r="F525">
        <v>0</v>
      </c>
      <c r="G525">
        <v>0</v>
      </c>
      <c r="H525">
        <v>0</v>
      </c>
      <c r="I525">
        <v>1</v>
      </c>
      <c r="J525">
        <v>0</v>
      </c>
      <c r="K525">
        <v>0</v>
      </c>
      <c r="L525">
        <v>0</v>
      </c>
      <c r="M525">
        <v>1</v>
      </c>
      <c r="N525">
        <v>0</v>
      </c>
      <c r="O525" t="str" cm="1">
        <f t="array" ref="O525">_xlfn.IFS(Table1[[#This Row],[Divorced]]=1, "Divorced", Table1[[#This Row],[Married]]=1, "Married", Table1[[#This Row],[Single]]=1, "Single", Table1[[#This Row],[Together]]=1, "Together", Table1[[#This Row],[Widow]]=1, "Widow")</f>
        <v>Together</v>
      </c>
      <c r="P525" t="str" cm="1">
        <f t="array" ref="P525">_xlfn.IFS(Table1[[#This Row],[Basic]]=1, "Basic", Table1[[#This Row],[Graduate]]=1, "Graduate", Table1[[#This Row],[Master]]=1, "Master", Table1[[#This Row],[PhD]]=1, "PhD", AND(Table1[[#This Row],[Basic]]=0, Table1[[#This Row],[Graduate]]=0, Table1[[#This Row],[Master]]=0, Table1[[#This Row],[PhD]]=0), "NA")</f>
        <v>Master</v>
      </c>
      <c r="Q525" t="e">
        <f>_xlfn.XLOOKUP(Table1[[#This Row],[ID]], Table2[ID],#REF!, "Not Found", 0)</f>
        <v>#REF!</v>
      </c>
      <c r="R525" t="e">
        <f>_xlfn.XLOOKUP(Table1[[#This Row],[ID]], Table2[ID],#REF!, "Not Found", 0)</f>
        <v>#REF!</v>
      </c>
      <c r="S525" s="3" t="str">
        <f>_xlfn.XLOOKUP(Table1[[#This Row],[ID]], Table2[ID], Table2[Enrollment], "Not Found", 0)</f>
        <v>6/30/2020</v>
      </c>
      <c r="T525" t="s">
        <v>436</v>
      </c>
    </row>
    <row r="526" spans="1:20" x14ac:dyDescent="0.3">
      <c r="A526">
        <v>3119</v>
      </c>
      <c r="B526">
        <v>169209</v>
      </c>
      <c r="C526">
        <v>0</v>
      </c>
      <c r="D526">
        <v>0</v>
      </c>
      <c r="E526">
        <v>48</v>
      </c>
      <c r="F526">
        <v>0</v>
      </c>
      <c r="G526">
        <v>1</v>
      </c>
      <c r="H526">
        <v>0</v>
      </c>
      <c r="I526">
        <v>0</v>
      </c>
      <c r="J526">
        <v>0</v>
      </c>
      <c r="K526">
        <v>0</v>
      </c>
      <c r="L526">
        <v>1</v>
      </c>
      <c r="M526">
        <v>0</v>
      </c>
      <c r="N526">
        <v>0</v>
      </c>
      <c r="O526" t="str" cm="1">
        <f t="array" ref="O526">_xlfn.IFS(Table1[[#This Row],[Divorced]]=1, "Divorced", Table1[[#This Row],[Married]]=1, "Married", Table1[[#This Row],[Single]]=1, "Single", Table1[[#This Row],[Together]]=1, "Together", Table1[[#This Row],[Widow]]=1, "Widow")</f>
        <v>Married</v>
      </c>
      <c r="P526" t="str" cm="1">
        <f t="array" ref="P526">_xlfn.IFS(Table1[[#This Row],[Basic]]=1, "Basic", Table1[[#This Row],[Graduate]]=1, "Graduate", Table1[[#This Row],[Master]]=1, "Master", Table1[[#This Row],[PhD]]=1, "PhD", AND(Table1[[#This Row],[Basic]]=0, Table1[[#This Row],[Graduate]]=0, Table1[[#This Row],[Master]]=0, Table1[[#This Row],[PhD]]=0), "NA")</f>
        <v>Graduate</v>
      </c>
      <c r="Q526" t="e">
        <f>_xlfn.XLOOKUP(Table1[[#This Row],[ID]], Table2[ID],#REF!, "Not Found", 0)</f>
        <v>#REF!</v>
      </c>
      <c r="R526" t="e">
        <f>_xlfn.XLOOKUP(Table1[[#This Row],[ID]], Table2[ID],#REF!, "Not Found", 0)</f>
        <v>#REF!</v>
      </c>
      <c r="S526" s="3" t="str">
        <f>_xlfn.XLOOKUP(Table1[[#This Row],[ID]], Table2[ID], Table2[Enrollment], "Not Found", 0)</f>
        <v>2/22/2019</v>
      </c>
      <c r="T526" t="s">
        <v>434</v>
      </c>
    </row>
    <row r="527" spans="1:20" x14ac:dyDescent="0.3">
      <c r="A527">
        <v>1188</v>
      </c>
      <c r="B527">
        <v>169142</v>
      </c>
      <c r="C527">
        <v>0</v>
      </c>
      <c r="D527">
        <v>1</v>
      </c>
      <c r="E527">
        <v>68</v>
      </c>
      <c r="F527">
        <v>1</v>
      </c>
      <c r="G527">
        <v>0</v>
      </c>
      <c r="H527">
        <v>0</v>
      </c>
      <c r="I527">
        <v>0</v>
      </c>
      <c r="J527">
        <v>0</v>
      </c>
      <c r="K527">
        <v>0</v>
      </c>
      <c r="L527">
        <v>1</v>
      </c>
      <c r="M527">
        <v>0</v>
      </c>
      <c r="N527">
        <v>0</v>
      </c>
      <c r="O527" t="str" cm="1">
        <f t="array" ref="O527">_xlfn.IFS(Table1[[#This Row],[Divorced]]=1, "Divorced", Table1[[#This Row],[Married]]=1, "Married", Table1[[#This Row],[Single]]=1, "Single", Table1[[#This Row],[Together]]=1, "Together", Table1[[#This Row],[Widow]]=1, "Widow")</f>
        <v>Divorced</v>
      </c>
      <c r="P527" t="str" cm="1">
        <f t="array" ref="P527">_xlfn.IFS(Table1[[#This Row],[Basic]]=1, "Basic", Table1[[#This Row],[Graduate]]=1, "Graduate", Table1[[#This Row],[Master]]=1, "Master", Table1[[#This Row],[PhD]]=1, "PhD", AND(Table1[[#This Row],[Basic]]=0, Table1[[#This Row],[Graduate]]=0, Table1[[#This Row],[Master]]=0, Table1[[#This Row],[PhD]]=0), "NA")</f>
        <v>Graduate</v>
      </c>
      <c r="Q527" t="e">
        <f>_xlfn.XLOOKUP(Table1[[#This Row],[ID]], Table2[ID],#REF!, "Not Found", 0)</f>
        <v>#REF!</v>
      </c>
      <c r="R527" t="e">
        <f>_xlfn.XLOOKUP(Table1[[#This Row],[ID]], Table2[ID],#REF!, "Not Found", 0)</f>
        <v>#REF!</v>
      </c>
      <c r="S527" s="3">
        <f>_xlfn.XLOOKUP(Table1[[#This Row],[ID]], Table2[ID], Table2[Enrollment], "Not Found", 0)</f>
        <v>43902</v>
      </c>
      <c r="T527" t="s">
        <v>436</v>
      </c>
    </row>
    <row r="528" spans="1:20" x14ac:dyDescent="0.3">
      <c r="A528">
        <v>2333</v>
      </c>
      <c r="B528">
        <v>169139</v>
      </c>
      <c r="C528">
        <v>0</v>
      </c>
      <c r="D528">
        <v>1</v>
      </c>
      <c r="E528">
        <v>55</v>
      </c>
      <c r="F528">
        <v>0</v>
      </c>
      <c r="G528">
        <v>1</v>
      </c>
      <c r="H528">
        <v>0</v>
      </c>
      <c r="I528">
        <v>0</v>
      </c>
      <c r="J528">
        <v>0</v>
      </c>
      <c r="K528">
        <v>0</v>
      </c>
      <c r="L528">
        <v>1</v>
      </c>
      <c r="M528">
        <v>0</v>
      </c>
      <c r="N528">
        <v>0</v>
      </c>
      <c r="O528" t="str" cm="1">
        <f t="array" ref="O528">_xlfn.IFS(Table1[[#This Row],[Divorced]]=1, "Divorced", Table1[[#This Row],[Married]]=1, "Married", Table1[[#This Row],[Single]]=1, "Single", Table1[[#This Row],[Together]]=1, "Together", Table1[[#This Row],[Widow]]=1, "Widow")</f>
        <v>Married</v>
      </c>
      <c r="P528" t="str" cm="1">
        <f t="array" ref="P528">_xlfn.IFS(Table1[[#This Row],[Basic]]=1, "Basic", Table1[[#This Row],[Graduate]]=1, "Graduate", Table1[[#This Row],[Master]]=1, "Master", Table1[[#This Row],[PhD]]=1, "PhD", AND(Table1[[#This Row],[Basic]]=0, Table1[[#This Row],[Graduate]]=0, Table1[[#This Row],[Master]]=0, Table1[[#This Row],[PhD]]=0), "NA")</f>
        <v>Graduate</v>
      </c>
      <c r="Q528" t="e">
        <f>_xlfn.XLOOKUP(Table1[[#This Row],[ID]], Table2[ID],#REF!, "Not Found", 0)</f>
        <v>#REF!</v>
      </c>
      <c r="R528" t="e">
        <f>_xlfn.XLOOKUP(Table1[[#This Row],[ID]], Table2[ID],#REF!, "Not Found", 0)</f>
        <v>#REF!</v>
      </c>
      <c r="S528" s="3">
        <f>_xlfn.XLOOKUP(Table1[[#This Row],[ID]], Table2[ID], Table2[Enrollment], "Not Found", 0)</f>
        <v>43897</v>
      </c>
      <c r="T528" t="s">
        <v>434</v>
      </c>
    </row>
    <row r="529" spans="1:20" x14ac:dyDescent="0.3">
      <c r="A529">
        <v>2594</v>
      </c>
      <c r="B529">
        <v>169139</v>
      </c>
      <c r="C529">
        <v>0</v>
      </c>
      <c r="D529">
        <v>1</v>
      </c>
      <c r="E529">
        <v>55</v>
      </c>
      <c r="F529">
        <v>0</v>
      </c>
      <c r="G529">
        <v>1</v>
      </c>
      <c r="H529">
        <v>0</v>
      </c>
      <c r="I529">
        <v>0</v>
      </c>
      <c r="J529">
        <v>0</v>
      </c>
      <c r="K529">
        <v>0</v>
      </c>
      <c r="L529">
        <v>1</v>
      </c>
      <c r="M529">
        <v>0</v>
      </c>
      <c r="N529">
        <v>0</v>
      </c>
      <c r="O529" t="str" cm="1">
        <f t="array" ref="O529">_xlfn.IFS(Table1[[#This Row],[Divorced]]=1, "Divorced", Table1[[#This Row],[Married]]=1, "Married", Table1[[#This Row],[Single]]=1, "Single", Table1[[#This Row],[Together]]=1, "Together", Table1[[#This Row],[Widow]]=1, "Widow")</f>
        <v>Married</v>
      </c>
      <c r="P529" t="str" cm="1">
        <f t="array" ref="P529">_xlfn.IFS(Table1[[#This Row],[Basic]]=1, "Basic", Table1[[#This Row],[Graduate]]=1, "Graduate", Table1[[#This Row],[Master]]=1, "Master", Table1[[#This Row],[PhD]]=1, "PhD", AND(Table1[[#This Row],[Basic]]=0, Table1[[#This Row],[Graduate]]=0, Table1[[#This Row],[Master]]=0, Table1[[#This Row],[PhD]]=0), "NA")</f>
        <v>Graduate</v>
      </c>
      <c r="Q529" t="e">
        <f>_xlfn.XLOOKUP(Table1[[#This Row],[ID]], Table2[ID],#REF!, "Not Found", 0)</f>
        <v>#REF!</v>
      </c>
      <c r="R529" t="e">
        <f>_xlfn.XLOOKUP(Table1[[#This Row],[ID]], Table2[ID],#REF!, "Not Found", 0)</f>
        <v>#REF!</v>
      </c>
      <c r="S529" s="3">
        <f>_xlfn.XLOOKUP(Table1[[#This Row],[ID]], Table2[ID], Table2[Enrollment], "Not Found", 0)</f>
        <v>43897</v>
      </c>
      <c r="T529" t="s">
        <v>438</v>
      </c>
    </row>
    <row r="530" spans="1:20" x14ac:dyDescent="0.3">
      <c r="A530">
        <v>2334</v>
      </c>
      <c r="B530">
        <v>169109</v>
      </c>
      <c r="C530">
        <v>0</v>
      </c>
      <c r="D530">
        <v>0</v>
      </c>
      <c r="E530">
        <v>38</v>
      </c>
      <c r="F530">
        <v>0</v>
      </c>
      <c r="G530">
        <v>1</v>
      </c>
      <c r="H530">
        <v>0</v>
      </c>
      <c r="I530">
        <v>0</v>
      </c>
      <c r="J530">
        <v>0</v>
      </c>
      <c r="K530">
        <v>0</v>
      </c>
      <c r="L530">
        <v>1</v>
      </c>
      <c r="M530">
        <v>0</v>
      </c>
      <c r="N530">
        <v>0</v>
      </c>
      <c r="O530" t="str" cm="1">
        <f t="array" ref="O530">_xlfn.IFS(Table1[[#This Row],[Divorced]]=1, "Divorced", Table1[[#This Row],[Married]]=1, "Married", Table1[[#This Row],[Single]]=1, "Single", Table1[[#This Row],[Together]]=1, "Together", Table1[[#This Row],[Widow]]=1, "Widow")</f>
        <v>Married</v>
      </c>
      <c r="P530" t="str" cm="1">
        <f t="array" ref="P530">_xlfn.IFS(Table1[[#This Row],[Basic]]=1, "Basic", Table1[[#This Row],[Graduate]]=1, "Graduate", Table1[[#This Row],[Master]]=1, "Master", Table1[[#This Row],[PhD]]=1, "PhD", AND(Table1[[#This Row],[Basic]]=0, Table1[[#This Row],[Graduate]]=0, Table1[[#This Row],[Master]]=0, Table1[[#This Row],[PhD]]=0), "NA")</f>
        <v>Graduate</v>
      </c>
      <c r="Q530" t="e">
        <f>_xlfn.XLOOKUP(Table1[[#This Row],[ID]], Table2[ID],#REF!, "Not Found", 0)</f>
        <v>#REF!</v>
      </c>
      <c r="R530" t="e">
        <f>_xlfn.XLOOKUP(Table1[[#This Row],[ID]], Table2[ID],#REF!, "Not Found", 0)</f>
        <v>#REF!</v>
      </c>
      <c r="S530" s="3" t="str">
        <f>_xlfn.XLOOKUP(Table1[[#This Row],[ID]], Table2[ID], Table2[Enrollment], "Not Found", 0)</f>
        <v>4/16/2019</v>
      </c>
      <c r="T530" t="s">
        <v>436</v>
      </c>
    </row>
    <row r="531" spans="1:20" x14ac:dyDescent="0.3">
      <c r="A531">
        <v>2839</v>
      </c>
      <c r="B531">
        <v>169109</v>
      </c>
      <c r="C531">
        <v>0</v>
      </c>
      <c r="D531">
        <v>0</v>
      </c>
      <c r="E531">
        <v>38</v>
      </c>
      <c r="F531">
        <v>0</v>
      </c>
      <c r="G531">
        <v>1</v>
      </c>
      <c r="H531">
        <v>0</v>
      </c>
      <c r="I531">
        <v>0</v>
      </c>
      <c r="J531">
        <v>0</v>
      </c>
      <c r="K531">
        <v>0</v>
      </c>
      <c r="L531">
        <v>1</v>
      </c>
      <c r="M531">
        <v>0</v>
      </c>
      <c r="N531">
        <v>0</v>
      </c>
      <c r="O531" t="str" cm="1">
        <f t="array" ref="O531">_xlfn.IFS(Table1[[#This Row],[Divorced]]=1, "Divorced", Table1[[#This Row],[Married]]=1, "Married", Table1[[#This Row],[Single]]=1, "Single", Table1[[#This Row],[Together]]=1, "Together", Table1[[#This Row],[Widow]]=1, "Widow")</f>
        <v>Married</v>
      </c>
      <c r="P531" t="str" cm="1">
        <f t="array" ref="P531">_xlfn.IFS(Table1[[#This Row],[Basic]]=1, "Basic", Table1[[#This Row],[Graduate]]=1, "Graduate", Table1[[#This Row],[Master]]=1, "Master", Table1[[#This Row],[PhD]]=1, "PhD", AND(Table1[[#This Row],[Basic]]=0, Table1[[#This Row],[Graduate]]=0, Table1[[#This Row],[Master]]=0, Table1[[#This Row],[PhD]]=0), "NA")</f>
        <v>Graduate</v>
      </c>
      <c r="Q531" t="e">
        <f>_xlfn.XLOOKUP(Table1[[#This Row],[ID]], Table2[ID],#REF!, "Not Found", 0)</f>
        <v>#REF!</v>
      </c>
      <c r="R531" t="e">
        <f>_xlfn.XLOOKUP(Table1[[#This Row],[ID]], Table2[ID],#REF!, "Not Found", 0)</f>
        <v>#REF!</v>
      </c>
      <c r="S531" s="3" t="str">
        <f>_xlfn.XLOOKUP(Table1[[#This Row],[ID]], Table2[ID], Table2[Enrollment], "Not Found", 0)</f>
        <v>4/16/2019</v>
      </c>
      <c r="T531" t="s">
        <v>437</v>
      </c>
    </row>
    <row r="532" spans="1:20" x14ac:dyDescent="0.3">
      <c r="A532">
        <v>2033</v>
      </c>
      <c r="B532">
        <v>169098</v>
      </c>
      <c r="C532">
        <v>0</v>
      </c>
      <c r="D532">
        <v>0</v>
      </c>
      <c r="E532">
        <v>71</v>
      </c>
      <c r="F532">
        <v>0</v>
      </c>
      <c r="G532">
        <v>1</v>
      </c>
      <c r="H532">
        <v>0</v>
      </c>
      <c r="I532">
        <v>0</v>
      </c>
      <c r="J532">
        <v>0</v>
      </c>
      <c r="K532">
        <v>0</v>
      </c>
      <c r="L532">
        <v>0</v>
      </c>
      <c r="M532">
        <v>0</v>
      </c>
      <c r="N532">
        <v>1</v>
      </c>
      <c r="O532" t="str" cm="1">
        <f t="array" ref="O532">_xlfn.IFS(Table1[[#This Row],[Divorced]]=1, "Divorced", Table1[[#This Row],[Married]]=1, "Married", Table1[[#This Row],[Single]]=1, "Single", Table1[[#This Row],[Together]]=1, "Together", Table1[[#This Row],[Widow]]=1, "Widow")</f>
        <v>Married</v>
      </c>
      <c r="P532" t="str" cm="1">
        <f t="array" ref="P532">_xlfn.IFS(Table1[[#This Row],[Basic]]=1, "Basic", Table1[[#This Row],[Graduate]]=1, "Graduate", Table1[[#This Row],[Master]]=1, "Master", Table1[[#This Row],[PhD]]=1, "PhD", AND(Table1[[#This Row],[Basic]]=0, Table1[[#This Row],[Graduate]]=0, Table1[[#This Row],[Master]]=0, Table1[[#This Row],[PhD]]=0), "NA")</f>
        <v>PhD</v>
      </c>
      <c r="Q532" t="e">
        <f>_xlfn.XLOOKUP(Table1[[#This Row],[ID]], Table2[ID],#REF!, "Not Found", 0)</f>
        <v>#REF!</v>
      </c>
      <c r="R532" t="e">
        <f>_xlfn.XLOOKUP(Table1[[#This Row],[ID]], Table2[ID],#REF!, "Not Found", 0)</f>
        <v>#REF!</v>
      </c>
      <c r="S532" s="3" t="str">
        <f>_xlfn.XLOOKUP(Table1[[#This Row],[ID]], Table2[ID], Table2[Enrollment], "Not Found", 0)</f>
        <v>7/24/2019</v>
      </c>
      <c r="T532" t="s">
        <v>434</v>
      </c>
    </row>
    <row r="533" spans="1:20" x14ac:dyDescent="0.3">
      <c r="A533">
        <v>1064</v>
      </c>
      <c r="B533">
        <v>169096</v>
      </c>
      <c r="C533">
        <v>0</v>
      </c>
      <c r="D533">
        <v>1</v>
      </c>
      <c r="E533">
        <v>62</v>
      </c>
      <c r="F533">
        <v>0</v>
      </c>
      <c r="G533">
        <v>0</v>
      </c>
      <c r="H533">
        <v>0</v>
      </c>
      <c r="I533">
        <v>1</v>
      </c>
      <c r="J533">
        <v>0</v>
      </c>
      <c r="K533">
        <v>0</v>
      </c>
      <c r="L533">
        <v>1</v>
      </c>
      <c r="M533">
        <v>0</v>
      </c>
      <c r="N533">
        <v>0</v>
      </c>
      <c r="O533" t="str" cm="1">
        <f t="array" ref="O533">_xlfn.IFS(Table1[[#This Row],[Divorced]]=1, "Divorced", Table1[[#This Row],[Married]]=1, "Married", Table1[[#This Row],[Single]]=1, "Single", Table1[[#This Row],[Together]]=1, "Together", Table1[[#This Row],[Widow]]=1, "Widow")</f>
        <v>Together</v>
      </c>
      <c r="P533" t="str" cm="1">
        <f t="array" ref="P533">_xlfn.IFS(Table1[[#This Row],[Basic]]=1, "Basic", Table1[[#This Row],[Graduate]]=1, "Graduate", Table1[[#This Row],[Master]]=1, "Master", Table1[[#This Row],[PhD]]=1, "PhD", AND(Table1[[#This Row],[Basic]]=0, Table1[[#This Row],[Graduate]]=0, Table1[[#This Row],[Master]]=0, Table1[[#This Row],[PhD]]=0), "NA")</f>
        <v>Graduate</v>
      </c>
      <c r="Q533" t="e">
        <f>_xlfn.XLOOKUP(Table1[[#This Row],[ID]], Table2[ID],#REF!, "Not Found", 0)</f>
        <v>#REF!</v>
      </c>
      <c r="R533" t="e">
        <f>_xlfn.XLOOKUP(Table1[[#This Row],[ID]], Table2[ID],#REF!, "Not Found", 0)</f>
        <v>#REF!</v>
      </c>
      <c r="S533" s="3">
        <f>_xlfn.XLOOKUP(Table1[[#This Row],[ID]], Table2[ID], Table2[Enrollment], "Not Found", 0)</f>
        <v>43893</v>
      </c>
      <c r="T533" t="s">
        <v>438</v>
      </c>
    </row>
    <row r="534" spans="1:20" x14ac:dyDescent="0.3">
      <c r="A534">
        <v>1613</v>
      </c>
      <c r="B534">
        <v>169084</v>
      </c>
      <c r="C534">
        <v>1</v>
      </c>
      <c r="D534">
        <v>0</v>
      </c>
      <c r="E534">
        <v>50</v>
      </c>
      <c r="F534">
        <v>0</v>
      </c>
      <c r="G534">
        <v>1</v>
      </c>
      <c r="H534">
        <v>0</v>
      </c>
      <c r="I534">
        <v>0</v>
      </c>
      <c r="J534">
        <v>0</v>
      </c>
      <c r="K534">
        <v>0</v>
      </c>
      <c r="L534">
        <v>0</v>
      </c>
      <c r="M534">
        <v>0</v>
      </c>
      <c r="N534">
        <v>1</v>
      </c>
      <c r="O534" t="str" cm="1">
        <f t="array" ref="O534">_xlfn.IFS(Table1[[#This Row],[Divorced]]=1, "Divorced", Table1[[#This Row],[Married]]=1, "Married", Table1[[#This Row],[Single]]=1, "Single", Table1[[#This Row],[Together]]=1, "Together", Table1[[#This Row],[Widow]]=1, "Widow")</f>
        <v>Married</v>
      </c>
      <c r="P534" t="str" cm="1">
        <f t="array" ref="P534">_xlfn.IFS(Table1[[#This Row],[Basic]]=1, "Basic", Table1[[#This Row],[Graduate]]=1, "Graduate", Table1[[#This Row],[Master]]=1, "Master", Table1[[#This Row],[PhD]]=1, "PhD", AND(Table1[[#This Row],[Basic]]=0, Table1[[#This Row],[Graduate]]=0, Table1[[#This Row],[Master]]=0, Table1[[#This Row],[PhD]]=0), "NA")</f>
        <v>PhD</v>
      </c>
      <c r="Q534" t="e">
        <f>_xlfn.XLOOKUP(Table1[[#This Row],[ID]], Table2[ID],#REF!, "Not Found", 0)</f>
        <v>#REF!</v>
      </c>
      <c r="R534" t="e">
        <f>_xlfn.XLOOKUP(Table1[[#This Row],[ID]], Table2[ID],#REF!, "Not Found", 0)</f>
        <v>#REF!</v>
      </c>
      <c r="S534" s="3" t="str">
        <f>_xlfn.XLOOKUP(Table1[[#This Row],[ID]], Table2[ID], Table2[Enrollment], "Not Found", 0)</f>
        <v>4/25/2020</v>
      </c>
      <c r="T534" t="s">
        <v>434</v>
      </c>
    </row>
    <row r="535" spans="1:20" x14ac:dyDescent="0.3">
      <c r="A535">
        <v>2643</v>
      </c>
      <c r="B535">
        <v>169084</v>
      </c>
      <c r="C535">
        <v>1</v>
      </c>
      <c r="D535">
        <v>0</v>
      </c>
      <c r="E535">
        <v>50</v>
      </c>
      <c r="F535">
        <v>0</v>
      </c>
      <c r="G535">
        <v>1</v>
      </c>
      <c r="H535">
        <v>0</v>
      </c>
      <c r="I535">
        <v>0</v>
      </c>
      <c r="J535">
        <v>0</v>
      </c>
      <c r="K535">
        <v>0</v>
      </c>
      <c r="L535">
        <v>0</v>
      </c>
      <c r="M535">
        <v>0</v>
      </c>
      <c r="N535">
        <v>1</v>
      </c>
      <c r="O535" t="str" cm="1">
        <f t="array" ref="O535">_xlfn.IFS(Table1[[#This Row],[Divorced]]=1, "Divorced", Table1[[#This Row],[Married]]=1, "Married", Table1[[#This Row],[Single]]=1, "Single", Table1[[#This Row],[Together]]=1, "Together", Table1[[#This Row],[Widow]]=1, "Widow")</f>
        <v>Married</v>
      </c>
      <c r="P535" t="str" cm="1">
        <f t="array" ref="P535">_xlfn.IFS(Table1[[#This Row],[Basic]]=1, "Basic", Table1[[#This Row],[Graduate]]=1, "Graduate", Table1[[#This Row],[Master]]=1, "Master", Table1[[#This Row],[PhD]]=1, "PhD", AND(Table1[[#This Row],[Basic]]=0, Table1[[#This Row],[Graduate]]=0, Table1[[#This Row],[Master]]=0, Table1[[#This Row],[PhD]]=0), "NA")</f>
        <v>PhD</v>
      </c>
      <c r="Q535" t="e">
        <f>_xlfn.XLOOKUP(Table1[[#This Row],[ID]], Table2[ID],#REF!, "Not Found", 0)</f>
        <v>#REF!</v>
      </c>
      <c r="R535" t="e">
        <f>_xlfn.XLOOKUP(Table1[[#This Row],[ID]], Table2[ID],#REF!, "Not Found", 0)</f>
        <v>#REF!</v>
      </c>
      <c r="S535" s="3" t="str">
        <f>_xlfn.XLOOKUP(Table1[[#This Row],[ID]], Table2[ID], Table2[Enrollment], "Not Found", 0)</f>
        <v>4/25/2020</v>
      </c>
      <c r="T535" t="s">
        <v>435</v>
      </c>
    </row>
    <row r="536" spans="1:20" x14ac:dyDescent="0.3">
      <c r="A536">
        <v>2835</v>
      </c>
      <c r="B536">
        <v>169063</v>
      </c>
      <c r="C536">
        <v>0</v>
      </c>
      <c r="D536">
        <v>1</v>
      </c>
      <c r="E536">
        <v>54</v>
      </c>
      <c r="F536">
        <v>0</v>
      </c>
      <c r="G536">
        <v>1</v>
      </c>
      <c r="H536">
        <v>0</v>
      </c>
      <c r="I536">
        <v>0</v>
      </c>
      <c r="J536">
        <v>0</v>
      </c>
      <c r="K536">
        <v>0</v>
      </c>
      <c r="L536">
        <v>0</v>
      </c>
      <c r="M536">
        <v>0</v>
      </c>
      <c r="N536">
        <v>1</v>
      </c>
      <c r="O536" t="str" cm="1">
        <f t="array" ref="O536">_xlfn.IFS(Table1[[#This Row],[Divorced]]=1, "Divorced", Table1[[#This Row],[Married]]=1, "Married", Table1[[#This Row],[Single]]=1, "Single", Table1[[#This Row],[Together]]=1, "Together", Table1[[#This Row],[Widow]]=1, "Widow")</f>
        <v>Married</v>
      </c>
      <c r="P536" t="str" cm="1">
        <f t="array" ref="P536">_xlfn.IFS(Table1[[#This Row],[Basic]]=1, "Basic", Table1[[#This Row],[Graduate]]=1, "Graduate", Table1[[#This Row],[Master]]=1, "Master", Table1[[#This Row],[PhD]]=1, "PhD", AND(Table1[[#This Row],[Basic]]=0, Table1[[#This Row],[Graduate]]=0, Table1[[#This Row],[Master]]=0, Table1[[#This Row],[PhD]]=0), "NA")</f>
        <v>PhD</v>
      </c>
      <c r="Q536" t="e">
        <f>_xlfn.XLOOKUP(Table1[[#This Row],[ID]], Table2[ID],#REF!, "Not Found", 0)</f>
        <v>#REF!</v>
      </c>
      <c r="R536" t="e">
        <f>_xlfn.XLOOKUP(Table1[[#This Row],[ID]], Table2[ID],#REF!, "Not Found", 0)</f>
        <v>#REF!</v>
      </c>
      <c r="S536" s="3" t="str">
        <f>_xlfn.XLOOKUP(Table1[[#This Row],[ID]], Table2[ID], Table2[Enrollment], "Not Found", 0)</f>
        <v>4/14/2019</v>
      </c>
      <c r="T536" t="s">
        <v>435</v>
      </c>
    </row>
    <row r="537" spans="1:20" x14ac:dyDescent="0.3">
      <c r="A537">
        <v>2649</v>
      </c>
      <c r="B537">
        <v>169016</v>
      </c>
      <c r="C537">
        <v>0</v>
      </c>
      <c r="D537">
        <v>1</v>
      </c>
      <c r="E537">
        <v>50</v>
      </c>
      <c r="F537">
        <v>0</v>
      </c>
      <c r="G537">
        <v>1</v>
      </c>
      <c r="H537">
        <v>0</v>
      </c>
      <c r="I537">
        <v>0</v>
      </c>
      <c r="J537">
        <v>0</v>
      </c>
      <c r="K537">
        <v>0</v>
      </c>
      <c r="L537">
        <v>1</v>
      </c>
      <c r="M537">
        <v>0</v>
      </c>
      <c r="N537">
        <v>0</v>
      </c>
      <c r="O537" t="str" cm="1">
        <f t="array" ref="O537">_xlfn.IFS(Table1[[#This Row],[Divorced]]=1, "Divorced", Table1[[#This Row],[Married]]=1, "Married", Table1[[#This Row],[Single]]=1, "Single", Table1[[#This Row],[Together]]=1, "Together", Table1[[#This Row],[Widow]]=1, "Widow")</f>
        <v>Married</v>
      </c>
      <c r="P537" t="str" cm="1">
        <f t="array" ref="P537">_xlfn.IFS(Table1[[#This Row],[Basic]]=1, "Basic", Table1[[#This Row],[Graduate]]=1, "Graduate", Table1[[#This Row],[Master]]=1, "Master", Table1[[#This Row],[PhD]]=1, "PhD", AND(Table1[[#This Row],[Basic]]=0, Table1[[#This Row],[Graduate]]=0, Table1[[#This Row],[Master]]=0, Table1[[#This Row],[PhD]]=0), "NA")</f>
        <v>Graduate</v>
      </c>
      <c r="Q537" t="e">
        <f>_xlfn.XLOOKUP(Table1[[#This Row],[ID]], Table2[ID],#REF!, "Not Found", 0)</f>
        <v>#REF!</v>
      </c>
      <c r="R537" t="e">
        <f>_xlfn.XLOOKUP(Table1[[#This Row],[ID]], Table2[ID],#REF!, "Not Found", 0)</f>
        <v>#REF!</v>
      </c>
      <c r="S537" s="3" t="str">
        <f>_xlfn.XLOOKUP(Table1[[#This Row],[ID]], Table2[ID], Table2[Enrollment], "Not Found", 0)</f>
        <v>4/29/2019</v>
      </c>
      <c r="T537" t="s">
        <v>435</v>
      </c>
    </row>
    <row r="538" spans="1:20" x14ac:dyDescent="0.3">
      <c r="A538">
        <v>2983</v>
      </c>
      <c r="B538">
        <v>168805</v>
      </c>
      <c r="C538">
        <v>0</v>
      </c>
      <c r="D538">
        <v>1</v>
      </c>
      <c r="E538">
        <v>61</v>
      </c>
      <c r="F538">
        <v>1</v>
      </c>
      <c r="G538">
        <v>0</v>
      </c>
      <c r="H538">
        <v>0</v>
      </c>
      <c r="I538">
        <v>0</v>
      </c>
      <c r="J538">
        <v>0</v>
      </c>
      <c r="K538">
        <v>0</v>
      </c>
      <c r="L538">
        <v>0</v>
      </c>
      <c r="M538">
        <v>0</v>
      </c>
      <c r="N538">
        <v>1</v>
      </c>
      <c r="O538" t="str" cm="1">
        <f t="array" ref="O538">_xlfn.IFS(Table1[[#This Row],[Divorced]]=1, "Divorced", Table1[[#This Row],[Married]]=1, "Married", Table1[[#This Row],[Single]]=1, "Single", Table1[[#This Row],[Together]]=1, "Together", Table1[[#This Row],[Widow]]=1, "Widow")</f>
        <v>Divorced</v>
      </c>
      <c r="P538" t="str" cm="1">
        <f t="array" ref="P538">_xlfn.IFS(Table1[[#This Row],[Basic]]=1, "Basic", Table1[[#This Row],[Graduate]]=1, "Graduate", Table1[[#This Row],[Master]]=1, "Master", Table1[[#This Row],[PhD]]=1, "PhD", AND(Table1[[#This Row],[Basic]]=0, Table1[[#This Row],[Graduate]]=0, Table1[[#This Row],[Master]]=0, Table1[[#This Row],[PhD]]=0), "NA")</f>
        <v>PhD</v>
      </c>
      <c r="Q538" t="e">
        <f>_xlfn.XLOOKUP(Table1[[#This Row],[ID]], Table2[ID],#REF!, "Not Found", 0)</f>
        <v>#REF!</v>
      </c>
      <c r="R538" t="e">
        <f>_xlfn.XLOOKUP(Table1[[#This Row],[ID]], Table2[ID],#REF!, "Not Found", 0)</f>
        <v>#REF!</v>
      </c>
      <c r="S538" s="3" t="str">
        <f>_xlfn.XLOOKUP(Table1[[#This Row],[ID]], Table2[ID], Table2[Enrollment], "Not Found", 0)</f>
        <v>2/22/2020</v>
      </c>
      <c r="T538" t="s">
        <v>437</v>
      </c>
    </row>
    <row r="539" spans="1:20" x14ac:dyDescent="0.3">
      <c r="A539">
        <v>1663</v>
      </c>
      <c r="B539">
        <v>168743</v>
      </c>
      <c r="C539">
        <v>0</v>
      </c>
      <c r="D539">
        <v>0</v>
      </c>
      <c r="E539">
        <v>53</v>
      </c>
      <c r="F539">
        <v>1</v>
      </c>
      <c r="G539">
        <v>0</v>
      </c>
      <c r="H539">
        <v>0</v>
      </c>
      <c r="I539">
        <v>0</v>
      </c>
      <c r="J539">
        <v>0</v>
      </c>
      <c r="K539">
        <v>0</v>
      </c>
      <c r="L539">
        <v>1</v>
      </c>
      <c r="M539">
        <v>0</v>
      </c>
      <c r="N539">
        <v>0</v>
      </c>
      <c r="O539" t="str" cm="1">
        <f t="array" ref="O539">_xlfn.IFS(Table1[[#This Row],[Divorced]]=1, "Divorced", Table1[[#This Row],[Married]]=1, "Married", Table1[[#This Row],[Single]]=1, "Single", Table1[[#This Row],[Together]]=1, "Together", Table1[[#This Row],[Widow]]=1, "Widow")</f>
        <v>Divorced</v>
      </c>
      <c r="P539" t="str" cm="1">
        <f t="array" ref="P539">_xlfn.IFS(Table1[[#This Row],[Basic]]=1, "Basic", Table1[[#This Row],[Graduate]]=1, "Graduate", Table1[[#This Row],[Master]]=1, "Master", Table1[[#This Row],[PhD]]=1, "PhD", AND(Table1[[#This Row],[Basic]]=0, Table1[[#This Row],[Graduate]]=0, Table1[[#This Row],[Master]]=0, Table1[[#This Row],[PhD]]=0), "NA")</f>
        <v>Graduate</v>
      </c>
      <c r="Q539" t="e">
        <f>_xlfn.XLOOKUP(Table1[[#This Row],[ID]], Table2[ID],#REF!, "Not Found", 0)</f>
        <v>#REF!</v>
      </c>
      <c r="R539" t="e">
        <f>_xlfn.XLOOKUP(Table1[[#This Row],[ID]], Table2[ID],#REF!, "Not Found", 0)</f>
        <v>#REF!</v>
      </c>
      <c r="S539" s="3">
        <f>_xlfn.XLOOKUP(Table1[[#This Row],[ID]], Table2[ID], Table2[Enrollment], "Not Found", 0)</f>
        <v>43557</v>
      </c>
      <c r="T539" t="s">
        <v>437</v>
      </c>
    </row>
    <row r="540" spans="1:20" x14ac:dyDescent="0.3">
      <c r="A540">
        <v>2013</v>
      </c>
      <c r="B540">
        <v>168695</v>
      </c>
      <c r="C540">
        <v>0</v>
      </c>
      <c r="D540">
        <v>0</v>
      </c>
      <c r="E540">
        <v>51</v>
      </c>
      <c r="F540">
        <v>0</v>
      </c>
      <c r="G540">
        <v>0</v>
      </c>
      <c r="H540">
        <v>0</v>
      </c>
      <c r="I540">
        <v>1</v>
      </c>
      <c r="J540">
        <v>0</v>
      </c>
      <c r="K540">
        <v>0</v>
      </c>
      <c r="L540">
        <v>1</v>
      </c>
      <c r="M540">
        <v>0</v>
      </c>
      <c r="N540">
        <v>0</v>
      </c>
      <c r="O540" t="str" cm="1">
        <f t="array" ref="O540">_xlfn.IFS(Table1[[#This Row],[Divorced]]=1, "Divorced", Table1[[#This Row],[Married]]=1, "Married", Table1[[#This Row],[Single]]=1, "Single", Table1[[#This Row],[Together]]=1, "Together", Table1[[#This Row],[Widow]]=1, "Widow")</f>
        <v>Together</v>
      </c>
      <c r="P540" t="str" cm="1">
        <f t="array" ref="P540">_xlfn.IFS(Table1[[#This Row],[Basic]]=1, "Basic", Table1[[#This Row],[Graduate]]=1, "Graduate", Table1[[#This Row],[Master]]=1, "Master", Table1[[#This Row],[PhD]]=1, "PhD", AND(Table1[[#This Row],[Basic]]=0, Table1[[#This Row],[Graduate]]=0, Table1[[#This Row],[Master]]=0, Table1[[#This Row],[PhD]]=0), "NA")</f>
        <v>Graduate</v>
      </c>
      <c r="Q540" t="e">
        <f>_xlfn.XLOOKUP(Table1[[#This Row],[ID]], Table2[ID],#REF!, "Not Found", 0)</f>
        <v>#REF!</v>
      </c>
      <c r="R540" t="e">
        <f>_xlfn.XLOOKUP(Table1[[#This Row],[ID]], Table2[ID],#REF!, "Not Found", 0)</f>
        <v>#REF!</v>
      </c>
      <c r="S540" s="3" t="str">
        <f>_xlfn.XLOOKUP(Table1[[#This Row],[ID]], Table2[ID], Table2[Enrollment], "Not Found", 0)</f>
        <v>11/29/2020</v>
      </c>
      <c r="T540" t="s">
        <v>435</v>
      </c>
    </row>
    <row r="541" spans="1:20" x14ac:dyDescent="0.3">
      <c r="A541">
        <v>2431</v>
      </c>
      <c r="B541">
        <v>168695</v>
      </c>
      <c r="C541">
        <v>0</v>
      </c>
      <c r="D541">
        <v>0</v>
      </c>
      <c r="E541">
        <v>51</v>
      </c>
      <c r="F541">
        <v>0</v>
      </c>
      <c r="G541">
        <v>0</v>
      </c>
      <c r="H541">
        <v>0</v>
      </c>
      <c r="I541">
        <v>1</v>
      </c>
      <c r="J541">
        <v>0</v>
      </c>
      <c r="K541">
        <v>0</v>
      </c>
      <c r="L541">
        <v>1</v>
      </c>
      <c r="M541">
        <v>0</v>
      </c>
      <c r="N541">
        <v>0</v>
      </c>
      <c r="O541" t="str" cm="1">
        <f t="array" ref="O541">_xlfn.IFS(Table1[[#This Row],[Divorced]]=1, "Divorced", Table1[[#This Row],[Married]]=1, "Married", Table1[[#This Row],[Single]]=1, "Single", Table1[[#This Row],[Together]]=1, "Together", Table1[[#This Row],[Widow]]=1, "Widow")</f>
        <v>Together</v>
      </c>
      <c r="P541" t="str" cm="1">
        <f t="array" ref="P541">_xlfn.IFS(Table1[[#This Row],[Basic]]=1, "Basic", Table1[[#This Row],[Graduate]]=1, "Graduate", Table1[[#This Row],[Master]]=1, "Master", Table1[[#This Row],[PhD]]=1, "PhD", AND(Table1[[#This Row],[Basic]]=0, Table1[[#This Row],[Graduate]]=0, Table1[[#This Row],[Master]]=0, Table1[[#This Row],[PhD]]=0), "NA")</f>
        <v>Graduate</v>
      </c>
      <c r="Q541" t="e">
        <f>_xlfn.XLOOKUP(Table1[[#This Row],[ID]], Table2[ID],#REF!, "Not Found", 0)</f>
        <v>#REF!</v>
      </c>
      <c r="R541" t="e">
        <f>_xlfn.XLOOKUP(Table1[[#This Row],[ID]], Table2[ID],#REF!, "Not Found", 0)</f>
        <v>#REF!</v>
      </c>
      <c r="S541" s="3" t="str">
        <f>_xlfn.XLOOKUP(Table1[[#This Row],[ID]], Table2[ID], Table2[Enrollment], "Not Found", 0)</f>
        <v>11/29/2020</v>
      </c>
      <c r="T541" t="s">
        <v>437</v>
      </c>
    </row>
    <row r="542" spans="1:20" x14ac:dyDescent="0.3">
      <c r="A542">
        <v>1379</v>
      </c>
      <c r="B542">
        <v>168682</v>
      </c>
      <c r="C542">
        <v>0</v>
      </c>
      <c r="D542">
        <v>0</v>
      </c>
      <c r="E542">
        <v>29</v>
      </c>
      <c r="F542">
        <v>0</v>
      </c>
      <c r="G542">
        <v>0</v>
      </c>
      <c r="H542">
        <v>0</v>
      </c>
      <c r="I542">
        <v>1</v>
      </c>
      <c r="J542">
        <v>0</v>
      </c>
      <c r="K542">
        <v>0</v>
      </c>
      <c r="L542">
        <v>0</v>
      </c>
      <c r="M542">
        <v>0</v>
      </c>
      <c r="N542">
        <v>1</v>
      </c>
      <c r="O542" t="str" cm="1">
        <f t="array" ref="O542">_xlfn.IFS(Table1[[#This Row],[Divorced]]=1, "Divorced", Table1[[#This Row],[Married]]=1, "Married", Table1[[#This Row],[Single]]=1, "Single", Table1[[#This Row],[Together]]=1, "Together", Table1[[#This Row],[Widow]]=1, "Widow")</f>
        <v>Together</v>
      </c>
      <c r="P542" t="str" cm="1">
        <f t="array" ref="P542">_xlfn.IFS(Table1[[#This Row],[Basic]]=1, "Basic", Table1[[#This Row],[Graduate]]=1, "Graduate", Table1[[#This Row],[Master]]=1, "Master", Table1[[#This Row],[PhD]]=1, "PhD", AND(Table1[[#This Row],[Basic]]=0, Table1[[#This Row],[Graduate]]=0, Table1[[#This Row],[Master]]=0, Table1[[#This Row],[PhD]]=0), "NA")</f>
        <v>PhD</v>
      </c>
      <c r="Q542" t="e">
        <f>_xlfn.XLOOKUP(Table1[[#This Row],[ID]], Table2[ID],#REF!, "Not Found", 0)</f>
        <v>#REF!</v>
      </c>
      <c r="R542" t="e">
        <f>_xlfn.XLOOKUP(Table1[[#This Row],[ID]], Table2[ID],#REF!, "Not Found", 0)</f>
        <v>#REF!</v>
      </c>
      <c r="S542" s="3">
        <f>_xlfn.XLOOKUP(Table1[[#This Row],[ID]], Table2[ID], Table2[Enrollment], "Not Found", 0)</f>
        <v>44168</v>
      </c>
      <c r="T542" t="s">
        <v>434</v>
      </c>
    </row>
    <row r="543" spans="1:20" x14ac:dyDescent="0.3">
      <c r="A543">
        <v>2199</v>
      </c>
      <c r="B543">
        <v>168682</v>
      </c>
      <c r="C543">
        <v>0</v>
      </c>
      <c r="D543">
        <v>0</v>
      </c>
      <c r="E543">
        <v>29</v>
      </c>
      <c r="F543">
        <v>0</v>
      </c>
      <c r="G543">
        <v>0</v>
      </c>
      <c r="H543">
        <v>0</v>
      </c>
      <c r="I543">
        <v>1</v>
      </c>
      <c r="J543">
        <v>0</v>
      </c>
      <c r="K543">
        <v>0</v>
      </c>
      <c r="L543">
        <v>0</v>
      </c>
      <c r="M543">
        <v>0</v>
      </c>
      <c r="N543">
        <v>1</v>
      </c>
      <c r="O543" t="str" cm="1">
        <f t="array" ref="O543">_xlfn.IFS(Table1[[#This Row],[Divorced]]=1, "Divorced", Table1[[#This Row],[Married]]=1, "Married", Table1[[#This Row],[Single]]=1, "Single", Table1[[#This Row],[Together]]=1, "Together", Table1[[#This Row],[Widow]]=1, "Widow")</f>
        <v>Together</v>
      </c>
      <c r="P543" t="str" cm="1">
        <f t="array" ref="P543">_xlfn.IFS(Table1[[#This Row],[Basic]]=1, "Basic", Table1[[#This Row],[Graduate]]=1, "Graduate", Table1[[#This Row],[Master]]=1, "Master", Table1[[#This Row],[PhD]]=1, "PhD", AND(Table1[[#This Row],[Basic]]=0, Table1[[#This Row],[Graduate]]=0, Table1[[#This Row],[Master]]=0, Table1[[#This Row],[PhD]]=0), "NA")</f>
        <v>PhD</v>
      </c>
      <c r="Q543" t="e">
        <f>_xlfn.XLOOKUP(Table1[[#This Row],[ID]], Table2[ID],#REF!, "Not Found", 0)</f>
        <v>#REF!</v>
      </c>
      <c r="R543" t="e">
        <f>_xlfn.XLOOKUP(Table1[[#This Row],[ID]], Table2[ID],#REF!, "Not Found", 0)</f>
        <v>#REF!</v>
      </c>
      <c r="S543" s="3">
        <f>_xlfn.XLOOKUP(Table1[[#This Row],[ID]], Table2[ID], Table2[Enrollment], "Not Found", 0)</f>
        <v>44168</v>
      </c>
      <c r="T543" t="s">
        <v>435</v>
      </c>
    </row>
    <row r="544" spans="1:20" x14ac:dyDescent="0.3">
      <c r="A544">
        <v>1033</v>
      </c>
      <c r="B544">
        <v>168657</v>
      </c>
      <c r="C544">
        <v>0</v>
      </c>
      <c r="D544">
        <v>0</v>
      </c>
      <c r="E544">
        <v>74</v>
      </c>
      <c r="F544">
        <v>0</v>
      </c>
      <c r="G544">
        <v>1</v>
      </c>
      <c r="H544">
        <v>0</v>
      </c>
      <c r="I544">
        <v>0</v>
      </c>
      <c r="J544">
        <v>0</v>
      </c>
      <c r="K544">
        <v>0</v>
      </c>
      <c r="L544">
        <v>0</v>
      </c>
      <c r="M544">
        <v>1</v>
      </c>
      <c r="N544">
        <v>0</v>
      </c>
      <c r="O544" t="str" cm="1">
        <f t="array" ref="O544">_xlfn.IFS(Table1[[#This Row],[Divorced]]=1, "Divorced", Table1[[#This Row],[Married]]=1, "Married", Table1[[#This Row],[Single]]=1, "Single", Table1[[#This Row],[Together]]=1, "Together", Table1[[#This Row],[Widow]]=1, "Widow")</f>
        <v>Married</v>
      </c>
      <c r="P544" t="str" cm="1">
        <f t="array" ref="P544">_xlfn.IFS(Table1[[#This Row],[Basic]]=1, "Basic", Table1[[#This Row],[Graduate]]=1, "Graduate", Table1[[#This Row],[Master]]=1, "Master", Table1[[#This Row],[PhD]]=1, "PhD", AND(Table1[[#This Row],[Basic]]=0, Table1[[#This Row],[Graduate]]=0, Table1[[#This Row],[Master]]=0, Table1[[#This Row],[PhD]]=0), "NA")</f>
        <v>Master</v>
      </c>
      <c r="Q544" t="e">
        <f>_xlfn.XLOOKUP(Table1[[#This Row],[ID]], Table2[ID],#REF!, "Not Found", 0)</f>
        <v>#REF!</v>
      </c>
      <c r="R544" t="e">
        <f>_xlfn.XLOOKUP(Table1[[#This Row],[ID]], Table2[ID],#REF!, "Not Found", 0)</f>
        <v>#REF!</v>
      </c>
      <c r="S544" s="3" t="str">
        <f>_xlfn.XLOOKUP(Table1[[#This Row],[ID]], Table2[ID], Table2[Enrollment], "Not Found", 0)</f>
        <v>7/28/2019</v>
      </c>
      <c r="T544" t="s">
        <v>437</v>
      </c>
    </row>
    <row r="545" spans="1:20" x14ac:dyDescent="0.3">
      <c r="A545">
        <v>1324</v>
      </c>
      <c r="B545">
        <v>168655</v>
      </c>
      <c r="C545">
        <v>0</v>
      </c>
      <c r="D545">
        <v>0</v>
      </c>
      <c r="E545">
        <v>32</v>
      </c>
      <c r="F545">
        <v>0</v>
      </c>
      <c r="G545">
        <v>0</v>
      </c>
      <c r="H545">
        <v>1</v>
      </c>
      <c r="I545">
        <v>0</v>
      </c>
      <c r="J545">
        <v>0</v>
      </c>
      <c r="K545">
        <v>0</v>
      </c>
      <c r="L545">
        <v>1</v>
      </c>
      <c r="M545">
        <v>0</v>
      </c>
      <c r="N545">
        <v>0</v>
      </c>
      <c r="O545" t="str" cm="1">
        <f t="array" ref="O545">_xlfn.IFS(Table1[[#This Row],[Divorced]]=1, "Divorced", Table1[[#This Row],[Married]]=1, "Married", Table1[[#This Row],[Single]]=1, "Single", Table1[[#This Row],[Together]]=1, "Together", Table1[[#This Row],[Widow]]=1, "Widow")</f>
        <v>Single</v>
      </c>
      <c r="P545" t="str" cm="1">
        <f t="array" ref="P545">_xlfn.IFS(Table1[[#This Row],[Basic]]=1, "Basic", Table1[[#This Row],[Graduate]]=1, "Graduate", Table1[[#This Row],[Master]]=1, "Master", Table1[[#This Row],[PhD]]=1, "PhD", AND(Table1[[#This Row],[Basic]]=0, Table1[[#This Row],[Graduate]]=0, Table1[[#This Row],[Master]]=0, Table1[[#This Row],[PhD]]=0), "NA")</f>
        <v>Graduate</v>
      </c>
      <c r="Q545" t="e">
        <f>_xlfn.XLOOKUP(Table1[[#This Row],[ID]], Table2[ID],#REF!, "Not Found", 0)</f>
        <v>#REF!</v>
      </c>
      <c r="R545" t="e">
        <f>_xlfn.XLOOKUP(Table1[[#This Row],[ID]], Table2[ID],#REF!, "Not Found", 0)</f>
        <v>#REF!</v>
      </c>
      <c r="S545" s="3" t="str">
        <f>_xlfn.XLOOKUP(Table1[[#This Row],[ID]], Table2[ID], Table2[Enrollment], "Not Found", 0)</f>
        <v>1/15/2019</v>
      </c>
      <c r="T545" t="s">
        <v>439</v>
      </c>
    </row>
    <row r="546" spans="1:20" x14ac:dyDescent="0.3">
      <c r="A546">
        <v>2586</v>
      </c>
      <c r="B546">
        <v>168655</v>
      </c>
      <c r="C546">
        <v>0</v>
      </c>
      <c r="D546">
        <v>0</v>
      </c>
      <c r="E546">
        <v>32</v>
      </c>
      <c r="F546">
        <v>0</v>
      </c>
      <c r="G546">
        <v>0</v>
      </c>
      <c r="H546">
        <v>1</v>
      </c>
      <c r="I546">
        <v>0</v>
      </c>
      <c r="J546">
        <v>0</v>
      </c>
      <c r="K546">
        <v>0</v>
      </c>
      <c r="L546">
        <v>1</v>
      </c>
      <c r="M546">
        <v>0</v>
      </c>
      <c r="N546">
        <v>0</v>
      </c>
      <c r="O546" t="str" cm="1">
        <f t="array" ref="O546">_xlfn.IFS(Table1[[#This Row],[Divorced]]=1, "Divorced", Table1[[#This Row],[Married]]=1, "Married", Table1[[#This Row],[Single]]=1, "Single", Table1[[#This Row],[Together]]=1, "Together", Table1[[#This Row],[Widow]]=1, "Widow")</f>
        <v>Single</v>
      </c>
      <c r="P546" t="str" cm="1">
        <f t="array" ref="P546">_xlfn.IFS(Table1[[#This Row],[Basic]]=1, "Basic", Table1[[#This Row],[Graduate]]=1, "Graduate", Table1[[#This Row],[Master]]=1, "Master", Table1[[#This Row],[PhD]]=1, "PhD", AND(Table1[[#This Row],[Basic]]=0, Table1[[#This Row],[Graduate]]=0, Table1[[#This Row],[Master]]=0, Table1[[#This Row],[PhD]]=0), "NA")</f>
        <v>Graduate</v>
      </c>
      <c r="Q546" t="e">
        <f>_xlfn.XLOOKUP(Table1[[#This Row],[ID]], Table2[ID],#REF!, "Not Found", 0)</f>
        <v>#REF!</v>
      </c>
      <c r="R546" t="e">
        <f>_xlfn.XLOOKUP(Table1[[#This Row],[ID]], Table2[ID],#REF!, "Not Found", 0)</f>
        <v>#REF!</v>
      </c>
      <c r="S546" s="3" t="str">
        <f>_xlfn.XLOOKUP(Table1[[#This Row],[ID]], Table2[ID], Table2[Enrollment], "Not Found", 0)</f>
        <v>1/15/2019</v>
      </c>
      <c r="T546" t="s">
        <v>436</v>
      </c>
    </row>
    <row r="547" spans="1:20" x14ac:dyDescent="0.3">
      <c r="A547">
        <v>1285</v>
      </c>
      <c r="B547">
        <v>168627</v>
      </c>
      <c r="C547">
        <v>0</v>
      </c>
      <c r="D547">
        <v>0</v>
      </c>
      <c r="E547">
        <v>38</v>
      </c>
      <c r="F547">
        <v>0</v>
      </c>
      <c r="G547">
        <v>0</v>
      </c>
      <c r="H547">
        <v>1</v>
      </c>
      <c r="I547">
        <v>0</v>
      </c>
      <c r="J547">
        <v>0</v>
      </c>
      <c r="K547">
        <v>0</v>
      </c>
      <c r="L547">
        <v>1</v>
      </c>
      <c r="M547">
        <v>0</v>
      </c>
      <c r="N547">
        <v>0</v>
      </c>
      <c r="O547" t="str" cm="1">
        <f t="array" ref="O547">_xlfn.IFS(Table1[[#This Row],[Divorced]]=1, "Divorced", Table1[[#This Row],[Married]]=1, "Married", Table1[[#This Row],[Single]]=1, "Single", Table1[[#This Row],[Together]]=1, "Together", Table1[[#This Row],[Widow]]=1, "Widow")</f>
        <v>Single</v>
      </c>
      <c r="P547" t="str" cm="1">
        <f t="array" ref="P547">_xlfn.IFS(Table1[[#This Row],[Basic]]=1, "Basic", Table1[[#This Row],[Graduate]]=1, "Graduate", Table1[[#This Row],[Master]]=1, "Master", Table1[[#This Row],[PhD]]=1, "PhD", AND(Table1[[#This Row],[Basic]]=0, Table1[[#This Row],[Graduate]]=0, Table1[[#This Row],[Master]]=0, Table1[[#This Row],[PhD]]=0), "NA")</f>
        <v>Graduate</v>
      </c>
      <c r="Q547" t="e">
        <f>_xlfn.XLOOKUP(Table1[[#This Row],[ID]], Table2[ID],#REF!, "Not Found", 0)</f>
        <v>#REF!</v>
      </c>
      <c r="R547" t="e">
        <f>_xlfn.XLOOKUP(Table1[[#This Row],[ID]], Table2[ID],#REF!, "Not Found", 0)</f>
        <v>#REF!</v>
      </c>
      <c r="S547" s="3" t="str">
        <f>_xlfn.XLOOKUP(Table1[[#This Row],[ID]], Table2[ID], Table2[Enrollment], "Not Found", 0)</f>
        <v>6/19/2019</v>
      </c>
      <c r="T547" t="s">
        <v>437</v>
      </c>
    </row>
    <row r="548" spans="1:20" x14ac:dyDescent="0.3">
      <c r="A548">
        <v>2475</v>
      </c>
      <c r="B548">
        <v>168487</v>
      </c>
      <c r="C548">
        <v>0</v>
      </c>
      <c r="D548">
        <v>0</v>
      </c>
      <c r="E548">
        <v>32</v>
      </c>
      <c r="F548">
        <v>0</v>
      </c>
      <c r="G548">
        <v>1</v>
      </c>
      <c r="H548">
        <v>0</v>
      </c>
      <c r="I548">
        <v>0</v>
      </c>
      <c r="J548">
        <v>0</v>
      </c>
      <c r="K548">
        <v>0</v>
      </c>
      <c r="L548">
        <v>1</v>
      </c>
      <c r="M548">
        <v>0</v>
      </c>
      <c r="N548">
        <v>0</v>
      </c>
      <c r="O548" t="str" cm="1">
        <f t="array" ref="O548">_xlfn.IFS(Table1[[#This Row],[Divorced]]=1, "Divorced", Table1[[#This Row],[Married]]=1, "Married", Table1[[#This Row],[Single]]=1, "Single", Table1[[#This Row],[Together]]=1, "Together", Table1[[#This Row],[Widow]]=1, "Widow")</f>
        <v>Married</v>
      </c>
      <c r="P548" t="str" cm="1">
        <f t="array" ref="P548">_xlfn.IFS(Table1[[#This Row],[Basic]]=1, "Basic", Table1[[#This Row],[Graduate]]=1, "Graduate", Table1[[#This Row],[Master]]=1, "Master", Table1[[#This Row],[PhD]]=1, "PhD", AND(Table1[[#This Row],[Basic]]=0, Table1[[#This Row],[Graduate]]=0, Table1[[#This Row],[Master]]=0, Table1[[#This Row],[PhD]]=0), "NA")</f>
        <v>Graduate</v>
      </c>
      <c r="Q548" t="e">
        <f>_xlfn.XLOOKUP(Table1[[#This Row],[ID]], Table2[ID],#REF!, "Not Found", 0)</f>
        <v>#REF!</v>
      </c>
      <c r="R548" t="e">
        <f>_xlfn.XLOOKUP(Table1[[#This Row],[ID]], Table2[ID],#REF!, "Not Found", 0)</f>
        <v>#REF!</v>
      </c>
      <c r="S548" s="3" t="str">
        <f>_xlfn.XLOOKUP(Table1[[#This Row],[ID]], Table2[ID], Table2[Enrollment], "Not Found", 0)</f>
        <v>6/20/2019</v>
      </c>
      <c r="T548" t="s">
        <v>435</v>
      </c>
    </row>
    <row r="549" spans="1:20" x14ac:dyDescent="0.3">
      <c r="A549">
        <v>3053</v>
      </c>
      <c r="B549">
        <v>168487</v>
      </c>
      <c r="C549">
        <v>0</v>
      </c>
      <c r="D549">
        <v>0</v>
      </c>
      <c r="E549">
        <v>32</v>
      </c>
      <c r="F549">
        <v>0</v>
      </c>
      <c r="G549">
        <v>1</v>
      </c>
      <c r="H549">
        <v>0</v>
      </c>
      <c r="I549">
        <v>0</v>
      </c>
      <c r="J549">
        <v>0</v>
      </c>
      <c r="K549">
        <v>0</v>
      </c>
      <c r="L549">
        <v>1</v>
      </c>
      <c r="M549">
        <v>0</v>
      </c>
      <c r="N549">
        <v>0</v>
      </c>
      <c r="O549" t="str" cm="1">
        <f t="array" ref="O549">_xlfn.IFS(Table1[[#This Row],[Divorced]]=1, "Divorced", Table1[[#This Row],[Married]]=1, "Married", Table1[[#This Row],[Single]]=1, "Single", Table1[[#This Row],[Together]]=1, "Together", Table1[[#This Row],[Widow]]=1, "Widow")</f>
        <v>Married</v>
      </c>
      <c r="P549" t="str" cm="1">
        <f t="array" ref="P549">_xlfn.IFS(Table1[[#This Row],[Basic]]=1, "Basic", Table1[[#This Row],[Graduate]]=1, "Graduate", Table1[[#This Row],[Master]]=1, "Master", Table1[[#This Row],[PhD]]=1, "PhD", AND(Table1[[#This Row],[Basic]]=0, Table1[[#This Row],[Graduate]]=0, Table1[[#This Row],[Master]]=0, Table1[[#This Row],[PhD]]=0), "NA")</f>
        <v>Graduate</v>
      </c>
      <c r="Q549" t="e">
        <f>_xlfn.XLOOKUP(Table1[[#This Row],[ID]], Table2[ID],#REF!, "Not Found", 0)</f>
        <v>#REF!</v>
      </c>
      <c r="R549" t="e">
        <f>_xlfn.XLOOKUP(Table1[[#This Row],[ID]], Table2[ID],#REF!, "Not Found", 0)</f>
        <v>#REF!</v>
      </c>
      <c r="S549" s="3" t="str">
        <f>_xlfn.XLOOKUP(Table1[[#This Row],[ID]], Table2[ID], Table2[Enrollment], "Not Found", 0)</f>
        <v>6/20/2019</v>
      </c>
      <c r="T549" t="s">
        <v>434</v>
      </c>
    </row>
    <row r="550" spans="1:20" x14ac:dyDescent="0.3">
      <c r="A550">
        <v>1341</v>
      </c>
      <c r="B550">
        <v>168462</v>
      </c>
      <c r="C550">
        <v>0</v>
      </c>
      <c r="D550">
        <v>0</v>
      </c>
      <c r="E550">
        <v>51</v>
      </c>
      <c r="F550">
        <v>0</v>
      </c>
      <c r="G550">
        <v>1</v>
      </c>
      <c r="H550">
        <v>0</v>
      </c>
      <c r="I550">
        <v>0</v>
      </c>
      <c r="J550">
        <v>0</v>
      </c>
      <c r="K550">
        <v>0</v>
      </c>
      <c r="L550">
        <v>0</v>
      </c>
      <c r="M550">
        <v>0</v>
      </c>
      <c r="N550">
        <v>1</v>
      </c>
      <c r="O550" t="str" cm="1">
        <f t="array" ref="O550">_xlfn.IFS(Table1[[#This Row],[Divorced]]=1, "Divorced", Table1[[#This Row],[Married]]=1, "Married", Table1[[#This Row],[Single]]=1, "Single", Table1[[#This Row],[Together]]=1, "Together", Table1[[#This Row],[Widow]]=1, "Widow")</f>
        <v>Married</v>
      </c>
      <c r="P550" t="str" cm="1">
        <f t="array" ref="P550">_xlfn.IFS(Table1[[#This Row],[Basic]]=1, "Basic", Table1[[#This Row],[Graduate]]=1, "Graduate", Table1[[#This Row],[Master]]=1, "Master", Table1[[#This Row],[PhD]]=1, "PhD", AND(Table1[[#This Row],[Basic]]=0, Table1[[#This Row],[Graduate]]=0, Table1[[#This Row],[Master]]=0, Table1[[#This Row],[PhD]]=0), "NA")</f>
        <v>PhD</v>
      </c>
      <c r="Q550" t="e">
        <f>_xlfn.XLOOKUP(Table1[[#This Row],[ID]], Table2[ID],#REF!, "Not Found", 0)</f>
        <v>#REF!</v>
      </c>
      <c r="R550" t="e">
        <f>_xlfn.XLOOKUP(Table1[[#This Row],[ID]], Table2[ID],#REF!, "Not Found", 0)</f>
        <v>#REF!</v>
      </c>
      <c r="S550" s="3" t="str">
        <f>_xlfn.XLOOKUP(Table1[[#This Row],[ID]], Table2[ID], Table2[Enrollment], "Not Found", 0)</f>
        <v>5/19/2019</v>
      </c>
      <c r="T550" t="s">
        <v>435</v>
      </c>
    </row>
    <row r="551" spans="1:20" x14ac:dyDescent="0.3">
      <c r="A551">
        <v>3219</v>
      </c>
      <c r="B551">
        <v>168423</v>
      </c>
      <c r="C551">
        <v>0</v>
      </c>
      <c r="D551">
        <v>1</v>
      </c>
      <c r="E551">
        <v>-64</v>
      </c>
      <c r="F551">
        <v>0</v>
      </c>
      <c r="G551">
        <v>0</v>
      </c>
      <c r="H551">
        <v>0</v>
      </c>
      <c r="I551">
        <v>1</v>
      </c>
      <c r="J551">
        <v>0</v>
      </c>
      <c r="K551">
        <v>0</v>
      </c>
      <c r="L551">
        <v>0</v>
      </c>
      <c r="M551">
        <v>1</v>
      </c>
      <c r="N551">
        <v>0</v>
      </c>
      <c r="O551" t="str" cm="1">
        <f t="array" ref="O551">_xlfn.IFS(Table1[[#This Row],[Divorced]]=1, "Divorced", Table1[[#This Row],[Married]]=1, "Married", Table1[[#This Row],[Single]]=1, "Single", Table1[[#This Row],[Together]]=1, "Together", Table1[[#This Row],[Widow]]=1, "Widow")</f>
        <v>Together</v>
      </c>
      <c r="P551" t="str" cm="1">
        <f t="array" ref="P551">_xlfn.IFS(Table1[[#This Row],[Basic]]=1, "Basic", Table1[[#This Row],[Graduate]]=1, "Graduate", Table1[[#This Row],[Master]]=1, "Master", Table1[[#This Row],[PhD]]=1, "PhD", AND(Table1[[#This Row],[Basic]]=0, Table1[[#This Row],[Graduate]]=0, Table1[[#This Row],[Master]]=0, Table1[[#This Row],[PhD]]=0), "NA")</f>
        <v>Master</v>
      </c>
      <c r="Q551" t="e">
        <f>_xlfn.XLOOKUP(Table1[[#This Row],[ID]], Table2[ID],#REF!, "Not Found", 0)</f>
        <v>#REF!</v>
      </c>
      <c r="R551" t="e">
        <f>_xlfn.XLOOKUP(Table1[[#This Row],[ID]], Table2[ID],#REF!, "Not Found", 0)</f>
        <v>#REF!</v>
      </c>
      <c r="S551" s="3" t="str">
        <f>_xlfn.XLOOKUP(Table1[[#This Row],[ID]], Table2[ID], Table2[Enrollment], "Not Found", 0)</f>
        <v>6/30/2020</v>
      </c>
      <c r="T551" t="s">
        <v>435</v>
      </c>
    </row>
    <row r="552" spans="1:20" x14ac:dyDescent="0.3">
      <c r="A552">
        <v>1910</v>
      </c>
      <c r="B552">
        <v>168397</v>
      </c>
      <c r="C552">
        <v>0</v>
      </c>
      <c r="D552">
        <v>1</v>
      </c>
      <c r="E552">
        <v>44</v>
      </c>
      <c r="F552">
        <v>0</v>
      </c>
      <c r="G552">
        <v>1</v>
      </c>
      <c r="H552">
        <v>0</v>
      </c>
      <c r="I552">
        <v>0</v>
      </c>
      <c r="J552">
        <v>0</v>
      </c>
      <c r="K552">
        <v>0</v>
      </c>
      <c r="L552">
        <v>0</v>
      </c>
      <c r="M552">
        <v>0</v>
      </c>
      <c r="N552">
        <v>1</v>
      </c>
      <c r="O552" t="str" cm="1">
        <f t="array" ref="O552">_xlfn.IFS(Table1[[#This Row],[Divorced]]=1, "Divorced", Table1[[#This Row],[Married]]=1, "Married", Table1[[#This Row],[Single]]=1, "Single", Table1[[#This Row],[Together]]=1, "Together", Table1[[#This Row],[Widow]]=1, "Widow")</f>
        <v>Married</v>
      </c>
      <c r="P552" t="str" cm="1">
        <f t="array" ref="P552">_xlfn.IFS(Table1[[#This Row],[Basic]]=1, "Basic", Table1[[#This Row],[Graduate]]=1, "Graduate", Table1[[#This Row],[Master]]=1, "Master", Table1[[#This Row],[PhD]]=1, "PhD", AND(Table1[[#This Row],[Basic]]=0, Table1[[#This Row],[Graduate]]=0, Table1[[#This Row],[Master]]=0, Table1[[#This Row],[PhD]]=0), "NA")</f>
        <v>PhD</v>
      </c>
      <c r="Q552" t="e">
        <f>_xlfn.XLOOKUP(Table1[[#This Row],[ID]], Table2[ID],#REF!, "Not Found", 0)</f>
        <v>#REF!</v>
      </c>
      <c r="R552" t="e">
        <f>_xlfn.XLOOKUP(Table1[[#This Row],[ID]], Table2[ID],#REF!, "Not Found", 0)</f>
        <v>#REF!</v>
      </c>
      <c r="S552" s="3" t="str">
        <f>_xlfn.XLOOKUP(Table1[[#This Row],[ID]], Table2[ID], Table2[Enrollment], "Not Found", 0)</f>
        <v>4/23/2020</v>
      </c>
      <c r="T552" t="s">
        <v>438</v>
      </c>
    </row>
    <row r="553" spans="1:20" x14ac:dyDescent="0.3">
      <c r="A553">
        <v>1133</v>
      </c>
      <c r="B553">
        <v>168352</v>
      </c>
      <c r="C553">
        <v>0</v>
      </c>
      <c r="D553">
        <v>1</v>
      </c>
      <c r="E553">
        <v>46</v>
      </c>
      <c r="F553">
        <v>0</v>
      </c>
      <c r="G553">
        <v>0</v>
      </c>
      <c r="H553">
        <v>1</v>
      </c>
      <c r="I553">
        <v>0</v>
      </c>
      <c r="J553">
        <v>0</v>
      </c>
      <c r="K553">
        <v>0</v>
      </c>
      <c r="L553">
        <v>0</v>
      </c>
      <c r="M553">
        <v>0</v>
      </c>
      <c r="N553">
        <v>1</v>
      </c>
      <c r="O553" t="str" cm="1">
        <f t="array" ref="O553">_xlfn.IFS(Table1[[#This Row],[Divorced]]=1, "Divorced", Table1[[#This Row],[Married]]=1, "Married", Table1[[#This Row],[Single]]=1, "Single", Table1[[#This Row],[Together]]=1, "Together", Table1[[#This Row],[Widow]]=1, "Widow")</f>
        <v>Single</v>
      </c>
      <c r="P553" t="str" cm="1">
        <f t="array" ref="P553">_xlfn.IFS(Table1[[#This Row],[Basic]]=1, "Basic", Table1[[#This Row],[Graduate]]=1, "Graduate", Table1[[#This Row],[Master]]=1, "Master", Table1[[#This Row],[PhD]]=1, "PhD", AND(Table1[[#This Row],[Basic]]=0, Table1[[#This Row],[Graduate]]=0, Table1[[#This Row],[Master]]=0, Table1[[#This Row],[PhD]]=0), "NA")</f>
        <v>PhD</v>
      </c>
      <c r="Q553" t="e">
        <f>_xlfn.XLOOKUP(Table1[[#This Row],[ID]], Table2[ID],#REF!, "Not Found", 0)</f>
        <v>#REF!</v>
      </c>
      <c r="R553" t="e">
        <f>_xlfn.XLOOKUP(Table1[[#This Row],[ID]], Table2[ID],#REF!, "Not Found", 0)</f>
        <v>#REF!</v>
      </c>
      <c r="S553" s="3">
        <f>_xlfn.XLOOKUP(Table1[[#This Row],[ID]], Table2[ID], Table2[Enrollment], "Not Found", 0)</f>
        <v>43863</v>
      </c>
      <c r="T553" t="s">
        <v>434</v>
      </c>
    </row>
    <row r="554" spans="1:20" x14ac:dyDescent="0.3">
      <c r="A554">
        <v>2010</v>
      </c>
      <c r="B554">
        <v>168316</v>
      </c>
      <c r="C554">
        <v>0</v>
      </c>
      <c r="D554">
        <v>1</v>
      </c>
      <c r="E554">
        <v>56</v>
      </c>
      <c r="F554">
        <v>0</v>
      </c>
      <c r="G554">
        <v>0</v>
      </c>
      <c r="H554">
        <v>0</v>
      </c>
      <c r="I554">
        <v>1</v>
      </c>
      <c r="J554">
        <v>0</v>
      </c>
      <c r="K554">
        <v>0</v>
      </c>
      <c r="L554">
        <v>0</v>
      </c>
      <c r="M554">
        <v>0</v>
      </c>
      <c r="N554">
        <v>0</v>
      </c>
      <c r="O554" t="str" cm="1">
        <f t="array" ref="O554">_xlfn.IFS(Table1[[#This Row],[Divorced]]=1, "Divorced", Table1[[#This Row],[Married]]=1, "Married", Table1[[#This Row],[Single]]=1, "Single", Table1[[#This Row],[Together]]=1, "Together", Table1[[#This Row],[Widow]]=1, "Widow")</f>
        <v>Together</v>
      </c>
      <c r="P554" t="str" cm="1">
        <f t="array" ref="P554">_xlfn.IFS(Table1[[#This Row],[Basic]]=1, "Basic", Table1[[#This Row],[Graduate]]=1, "Graduate", Table1[[#This Row],[Master]]=1, "Master", Table1[[#This Row],[PhD]]=1, "PhD", AND(Table1[[#This Row],[Basic]]=0, Table1[[#This Row],[Graduate]]=0, Table1[[#This Row],[Master]]=0, Table1[[#This Row],[PhD]]=0), "NA")</f>
        <v>NA</v>
      </c>
      <c r="Q554" t="e">
        <f>_xlfn.XLOOKUP(Table1[[#This Row],[ID]], Table2[ID],#REF!, "Not Found", 0)</f>
        <v>#REF!</v>
      </c>
      <c r="R554" t="e">
        <f>_xlfn.XLOOKUP(Table1[[#This Row],[ID]], Table2[ID],#REF!, "Not Found", 0)</f>
        <v>#REF!</v>
      </c>
      <c r="S554" s="3">
        <f>_xlfn.XLOOKUP(Table1[[#This Row],[ID]], Table2[ID], Table2[Enrollment], "Not Found", 0)</f>
        <v>43773</v>
      </c>
      <c r="T554" t="s">
        <v>436</v>
      </c>
    </row>
    <row r="555" spans="1:20" x14ac:dyDescent="0.3">
      <c r="A555">
        <v>2989</v>
      </c>
      <c r="B555">
        <v>168281</v>
      </c>
      <c r="C555">
        <v>0</v>
      </c>
      <c r="D555">
        <v>0</v>
      </c>
      <c r="E555">
        <v>62</v>
      </c>
      <c r="F555">
        <v>0</v>
      </c>
      <c r="G555">
        <v>0</v>
      </c>
      <c r="H555">
        <v>1</v>
      </c>
      <c r="I555">
        <v>0</v>
      </c>
      <c r="J555">
        <v>0</v>
      </c>
      <c r="K555">
        <v>0</v>
      </c>
      <c r="L555">
        <v>1</v>
      </c>
      <c r="M555">
        <v>0</v>
      </c>
      <c r="N555">
        <v>0</v>
      </c>
      <c r="O555" t="str" cm="1">
        <f t="array" ref="O555">_xlfn.IFS(Table1[[#This Row],[Divorced]]=1, "Divorced", Table1[[#This Row],[Married]]=1, "Married", Table1[[#This Row],[Single]]=1, "Single", Table1[[#This Row],[Together]]=1, "Together", Table1[[#This Row],[Widow]]=1, "Widow")</f>
        <v>Single</v>
      </c>
      <c r="P555" t="str" cm="1">
        <f t="array" ref="P555">_xlfn.IFS(Table1[[#This Row],[Basic]]=1, "Basic", Table1[[#This Row],[Graduate]]=1, "Graduate", Table1[[#This Row],[Master]]=1, "Master", Table1[[#This Row],[PhD]]=1, "PhD", AND(Table1[[#This Row],[Basic]]=0, Table1[[#This Row],[Graduate]]=0, Table1[[#This Row],[Master]]=0, Table1[[#This Row],[PhD]]=0), "NA")</f>
        <v>Graduate</v>
      </c>
      <c r="Q555" t="e">
        <f>_xlfn.XLOOKUP(Table1[[#This Row],[ID]], Table2[ID],#REF!, "Not Found", 0)</f>
        <v>#REF!</v>
      </c>
      <c r="R555" t="e">
        <f>_xlfn.XLOOKUP(Table1[[#This Row],[ID]], Table2[ID],#REF!, "Not Found", 0)</f>
        <v>#REF!</v>
      </c>
      <c r="S555" s="3">
        <f>_xlfn.XLOOKUP(Table1[[#This Row],[ID]], Table2[ID], Table2[Enrollment], "Not Found", 0)</f>
        <v>43800</v>
      </c>
      <c r="T555" t="s">
        <v>437</v>
      </c>
    </row>
    <row r="556" spans="1:20" x14ac:dyDescent="0.3">
      <c r="A556">
        <v>1928</v>
      </c>
      <c r="B556">
        <v>168274</v>
      </c>
      <c r="C556">
        <v>1</v>
      </c>
      <c r="D556">
        <v>1</v>
      </c>
      <c r="E556">
        <v>41</v>
      </c>
      <c r="F556">
        <v>1</v>
      </c>
      <c r="G556">
        <v>0</v>
      </c>
      <c r="H556">
        <v>0</v>
      </c>
      <c r="I556">
        <v>0</v>
      </c>
      <c r="J556">
        <v>0</v>
      </c>
      <c r="K556">
        <v>0</v>
      </c>
      <c r="L556">
        <v>1</v>
      </c>
      <c r="M556">
        <v>0</v>
      </c>
      <c r="N556">
        <v>0</v>
      </c>
      <c r="O556" t="str" cm="1">
        <f t="array" ref="O556">_xlfn.IFS(Table1[[#This Row],[Divorced]]=1, "Divorced", Table1[[#This Row],[Married]]=1, "Married", Table1[[#This Row],[Single]]=1, "Single", Table1[[#This Row],[Together]]=1, "Together", Table1[[#This Row],[Widow]]=1, "Widow")</f>
        <v>Divorced</v>
      </c>
      <c r="P556" t="str" cm="1">
        <f t="array" ref="P556">_xlfn.IFS(Table1[[#This Row],[Basic]]=1, "Basic", Table1[[#This Row],[Graduate]]=1, "Graduate", Table1[[#This Row],[Master]]=1, "Master", Table1[[#This Row],[PhD]]=1, "PhD", AND(Table1[[#This Row],[Basic]]=0, Table1[[#This Row],[Graduate]]=0, Table1[[#This Row],[Master]]=0, Table1[[#This Row],[PhD]]=0), "NA")</f>
        <v>Graduate</v>
      </c>
      <c r="Q556" t="e">
        <f>_xlfn.XLOOKUP(Table1[[#This Row],[ID]], Table2[ID],#REF!, "Not Found", 0)</f>
        <v>#REF!</v>
      </c>
      <c r="R556" t="e">
        <f>_xlfn.XLOOKUP(Table1[[#This Row],[ID]], Table2[ID],#REF!, "Not Found", 0)</f>
        <v>#REF!</v>
      </c>
      <c r="S556" s="3">
        <f>_xlfn.XLOOKUP(Table1[[#This Row],[ID]], Table2[ID], Table2[Enrollment], "Not Found", 0)</f>
        <v>43985</v>
      </c>
      <c r="T556" t="s">
        <v>438</v>
      </c>
    </row>
    <row r="557" spans="1:20" x14ac:dyDescent="0.3">
      <c r="A557">
        <v>2818</v>
      </c>
      <c r="B557">
        <v>168148</v>
      </c>
      <c r="C557">
        <v>0</v>
      </c>
      <c r="D557">
        <v>0</v>
      </c>
      <c r="E557">
        <v>63</v>
      </c>
      <c r="F557">
        <v>0</v>
      </c>
      <c r="G557">
        <v>0</v>
      </c>
      <c r="H557">
        <v>0</v>
      </c>
      <c r="I557">
        <v>1</v>
      </c>
      <c r="J557">
        <v>0</v>
      </c>
      <c r="K557">
        <v>0</v>
      </c>
      <c r="L557">
        <v>0</v>
      </c>
      <c r="M557">
        <v>1</v>
      </c>
      <c r="N557">
        <v>0</v>
      </c>
      <c r="O557" t="str" cm="1">
        <f t="array" ref="O557">_xlfn.IFS(Table1[[#This Row],[Divorced]]=1, "Divorced", Table1[[#This Row],[Married]]=1, "Married", Table1[[#This Row],[Single]]=1, "Single", Table1[[#This Row],[Together]]=1, "Together", Table1[[#This Row],[Widow]]=1, "Widow")</f>
        <v>Together</v>
      </c>
      <c r="P557" t="str" cm="1">
        <f t="array" ref="P557">_xlfn.IFS(Table1[[#This Row],[Basic]]=1, "Basic", Table1[[#This Row],[Graduate]]=1, "Graduate", Table1[[#This Row],[Master]]=1, "Master", Table1[[#This Row],[PhD]]=1, "PhD", AND(Table1[[#This Row],[Basic]]=0, Table1[[#This Row],[Graduate]]=0, Table1[[#This Row],[Master]]=0, Table1[[#This Row],[PhD]]=0), "NA")</f>
        <v>Master</v>
      </c>
      <c r="Q557" t="e">
        <f>_xlfn.XLOOKUP(Table1[[#This Row],[ID]], Table2[ID],#REF!, "Not Found", 0)</f>
        <v>#REF!</v>
      </c>
      <c r="R557" t="e">
        <f>_xlfn.XLOOKUP(Table1[[#This Row],[ID]], Table2[ID],#REF!, "Not Found", 0)</f>
        <v>#REF!</v>
      </c>
      <c r="S557" s="3">
        <f>_xlfn.XLOOKUP(Table1[[#This Row],[ID]], Table2[ID], Table2[Enrollment], "Not Found", 0)</f>
        <v>43953</v>
      </c>
      <c r="T557" t="s">
        <v>439</v>
      </c>
    </row>
    <row r="558" spans="1:20" x14ac:dyDescent="0.3">
      <c r="A558">
        <v>2132</v>
      </c>
      <c r="B558">
        <v>168142</v>
      </c>
      <c r="C558">
        <v>0</v>
      </c>
      <c r="D558">
        <v>1</v>
      </c>
      <c r="E558">
        <v>56</v>
      </c>
      <c r="F558">
        <v>0</v>
      </c>
      <c r="G558">
        <v>0</v>
      </c>
      <c r="H558">
        <v>0</v>
      </c>
      <c r="I558">
        <v>1</v>
      </c>
      <c r="J558">
        <v>0</v>
      </c>
      <c r="K558">
        <v>0</v>
      </c>
      <c r="L558">
        <v>1</v>
      </c>
      <c r="M558">
        <v>0</v>
      </c>
      <c r="N558">
        <v>0</v>
      </c>
      <c r="O558" t="str" cm="1">
        <f t="array" ref="O558">_xlfn.IFS(Table1[[#This Row],[Divorced]]=1, "Divorced", Table1[[#This Row],[Married]]=1, "Married", Table1[[#This Row],[Single]]=1, "Single", Table1[[#This Row],[Together]]=1, "Together", Table1[[#This Row],[Widow]]=1, "Widow")</f>
        <v>Together</v>
      </c>
      <c r="P558" t="str" cm="1">
        <f t="array" ref="P558">_xlfn.IFS(Table1[[#This Row],[Basic]]=1, "Basic", Table1[[#This Row],[Graduate]]=1, "Graduate", Table1[[#This Row],[Master]]=1, "Master", Table1[[#This Row],[PhD]]=1, "PhD", AND(Table1[[#This Row],[Basic]]=0, Table1[[#This Row],[Graduate]]=0, Table1[[#This Row],[Master]]=0, Table1[[#This Row],[PhD]]=0), "NA")</f>
        <v>Graduate</v>
      </c>
      <c r="Q558" t="e">
        <f>_xlfn.XLOOKUP(Table1[[#This Row],[ID]], Table2[ID],#REF!, "Not Found", 0)</f>
        <v>#REF!</v>
      </c>
      <c r="R558" t="e">
        <f>_xlfn.XLOOKUP(Table1[[#This Row],[ID]], Table2[ID],#REF!, "Not Found", 0)</f>
        <v>#REF!</v>
      </c>
      <c r="S558" s="3">
        <f>_xlfn.XLOOKUP(Table1[[#This Row],[ID]], Table2[ID], Table2[Enrollment], "Not Found", 0)</f>
        <v>43526</v>
      </c>
      <c r="T558" t="s">
        <v>438</v>
      </c>
    </row>
    <row r="559" spans="1:20" x14ac:dyDescent="0.3">
      <c r="A559">
        <v>1103</v>
      </c>
      <c r="B559">
        <v>168126</v>
      </c>
      <c r="C559">
        <v>0</v>
      </c>
      <c r="D559">
        <v>0</v>
      </c>
      <c r="E559">
        <v>29</v>
      </c>
      <c r="F559">
        <v>0</v>
      </c>
      <c r="G559">
        <v>0</v>
      </c>
      <c r="H559">
        <v>1</v>
      </c>
      <c r="I559">
        <v>0</v>
      </c>
      <c r="J559">
        <v>0</v>
      </c>
      <c r="K559">
        <v>0</v>
      </c>
      <c r="L559">
        <v>0</v>
      </c>
      <c r="M559">
        <v>0</v>
      </c>
      <c r="N559">
        <v>1</v>
      </c>
      <c r="O559" t="str" cm="1">
        <f t="array" ref="O559">_xlfn.IFS(Table1[[#This Row],[Divorced]]=1, "Divorced", Table1[[#This Row],[Married]]=1, "Married", Table1[[#This Row],[Single]]=1, "Single", Table1[[#This Row],[Together]]=1, "Together", Table1[[#This Row],[Widow]]=1, "Widow")</f>
        <v>Single</v>
      </c>
      <c r="P559" t="str" cm="1">
        <f t="array" ref="P559">_xlfn.IFS(Table1[[#This Row],[Basic]]=1, "Basic", Table1[[#This Row],[Graduate]]=1, "Graduate", Table1[[#This Row],[Master]]=1, "Master", Table1[[#This Row],[PhD]]=1, "PhD", AND(Table1[[#This Row],[Basic]]=0, Table1[[#This Row],[Graduate]]=0, Table1[[#This Row],[Master]]=0, Table1[[#This Row],[PhD]]=0), "NA")</f>
        <v>PhD</v>
      </c>
      <c r="Q559" t="e">
        <f>_xlfn.XLOOKUP(Table1[[#This Row],[ID]], Table2[ID],#REF!, "Not Found", 0)</f>
        <v>#REF!</v>
      </c>
      <c r="R559" t="e">
        <f>_xlfn.XLOOKUP(Table1[[#This Row],[ID]], Table2[ID],#REF!, "Not Found", 0)</f>
        <v>#REF!</v>
      </c>
      <c r="S559" s="3" t="str">
        <f>_xlfn.XLOOKUP(Table1[[#This Row],[ID]], Table2[ID], Table2[Enrollment], "Not Found", 0)</f>
        <v>4/17/2019</v>
      </c>
      <c r="T559" t="s">
        <v>434</v>
      </c>
    </row>
    <row r="560" spans="1:20" x14ac:dyDescent="0.3">
      <c r="A560">
        <v>1662</v>
      </c>
      <c r="B560">
        <v>168118</v>
      </c>
      <c r="C560">
        <v>0</v>
      </c>
      <c r="D560">
        <v>1</v>
      </c>
      <c r="E560">
        <v>57</v>
      </c>
      <c r="F560">
        <v>1</v>
      </c>
      <c r="G560">
        <v>0</v>
      </c>
      <c r="H560">
        <v>0</v>
      </c>
      <c r="I560">
        <v>0</v>
      </c>
      <c r="J560">
        <v>0</v>
      </c>
      <c r="K560">
        <v>0</v>
      </c>
      <c r="L560">
        <v>1</v>
      </c>
      <c r="M560">
        <v>0</v>
      </c>
      <c r="N560">
        <v>0</v>
      </c>
      <c r="O560" t="str" cm="1">
        <f t="array" ref="O560">_xlfn.IFS(Table1[[#This Row],[Divorced]]=1, "Divorced", Table1[[#This Row],[Married]]=1, "Married", Table1[[#This Row],[Single]]=1, "Single", Table1[[#This Row],[Together]]=1, "Together", Table1[[#This Row],[Widow]]=1, "Widow")</f>
        <v>Divorced</v>
      </c>
      <c r="P560" t="str" cm="1">
        <f t="array" ref="P560">_xlfn.IFS(Table1[[#This Row],[Basic]]=1, "Basic", Table1[[#This Row],[Graduate]]=1, "Graduate", Table1[[#This Row],[Master]]=1, "Master", Table1[[#This Row],[PhD]]=1, "PhD", AND(Table1[[#This Row],[Basic]]=0, Table1[[#This Row],[Graduate]]=0, Table1[[#This Row],[Master]]=0, Table1[[#This Row],[PhD]]=0), "NA")</f>
        <v>Graduate</v>
      </c>
      <c r="Q560" t="e">
        <f>_xlfn.XLOOKUP(Table1[[#This Row],[ID]], Table2[ID],#REF!, "Not Found", 0)</f>
        <v>#REF!</v>
      </c>
      <c r="R560" t="e">
        <f>_xlfn.XLOOKUP(Table1[[#This Row],[ID]], Table2[ID],#REF!, "Not Found", 0)</f>
        <v>#REF!</v>
      </c>
      <c r="S560" s="3" t="str">
        <f>_xlfn.XLOOKUP(Table1[[#This Row],[ID]], Table2[ID], Table2[Enrollment], "Not Found", 0)</f>
        <v>3/24/2020</v>
      </c>
      <c r="T560" t="s">
        <v>436</v>
      </c>
    </row>
    <row r="561" spans="1:20" x14ac:dyDescent="0.3">
      <c r="A561">
        <v>2235</v>
      </c>
      <c r="B561">
        <v>168118</v>
      </c>
      <c r="C561">
        <v>0</v>
      </c>
      <c r="D561">
        <v>1</v>
      </c>
      <c r="E561">
        <v>57</v>
      </c>
      <c r="F561">
        <v>1</v>
      </c>
      <c r="G561">
        <v>0</v>
      </c>
      <c r="H561">
        <v>0</v>
      </c>
      <c r="I561">
        <v>0</v>
      </c>
      <c r="J561">
        <v>0</v>
      </c>
      <c r="K561">
        <v>0</v>
      </c>
      <c r="L561">
        <v>1</v>
      </c>
      <c r="M561">
        <v>0</v>
      </c>
      <c r="N561">
        <v>0</v>
      </c>
      <c r="O561" t="str" cm="1">
        <f t="array" ref="O561">_xlfn.IFS(Table1[[#This Row],[Divorced]]=1, "Divorced", Table1[[#This Row],[Married]]=1, "Married", Table1[[#This Row],[Single]]=1, "Single", Table1[[#This Row],[Together]]=1, "Together", Table1[[#This Row],[Widow]]=1, "Widow")</f>
        <v>Divorced</v>
      </c>
      <c r="P561" t="str" cm="1">
        <f t="array" ref="P561">_xlfn.IFS(Table1[[#This Row],[Basic]]=1, "Basic", Table1[[#This Row],[Graduate]]=1, "Graduate", Table1[[#This Row],[Master]]=1, "Master", Table1[[#This Row],[PhD]]=1, "PhD", AND(Table1[[#This Row],[Basic]]=0, Table1[[#This Row],[Graduate]]=0, Table1[[#This Row],[Master]]=0, Table1[[#This Row],[PhD]]=0), "NA")</f>
        <v>Graduate</v>
      </c>
      <c r="Q561" t="e">
        <f>_xlfn.XLOOKUP(Table1[[#This Row],[ID]], Table2[ID],#REF!, "Not Found", 0)</f>
        <v>#REF!</v>
      </c>
      <c r="R561" t="e">
        <f>_xlfn.XLOOKUP(Table1[[#This Row],[ID]], Table2[ID],#REF!, "Not Found", 0)</f>
        <v>#REF!</v>
      </c>
      <c r="S561" s="3" t="str">
        <f>_xlfn.XLOOKUP(Table1[[#This Row],[ID]], Table2[ID], Table2[Enrollment], "Not Found", 0)</f>
        <v>3/24/2020</v>
      </c>
      <c r="T561" t="s">
        <v>435</v>
      </c>
    </row>
    <row r="562" spans="1:20" x14ac:dyDescent="0.3">
      <c r="A562">
        <v>3005</v>
      </c>
      <c r="B562">
        <v>168117</v>
      </c>
      <c r="C562">
        <v>0</v>
      </c>
      <c r="D562">
        <v>1</v>
      </c>
      <c r="E562">
        <v>73</v>
      </c>
      <c r="F562">
        <v>0</v>
      </c>
      <c r="G562">
        <v>0</v>
      </c>
      <c r="H562">
        <v>0</v>
      </c>
      <c r="I562">
        <v>0</v>
      </c>
      <c r="J562">
        <v>1</v>
      </c>
      <c r="K562">
        <v>0</v>
      </c>
      <c r="L562">
        <v>0</v>
      </c>
      <c r="M562">
        <v>0</v>
      </c>
      <c r="N562">
        <v>1</v>
      </c>
      <c r="O562" t="str" cm="1">
        <f t="array" ref="O562">_xlfn.IFS(Table1[[#This Row],[Divorced]]=1, "Divorced", Table1[[#This Row],[Married]]=1, "Married", Table1[[#This Row],[Single]]=1, "Single", Table1[[#This Row],[Together]]=1, "Together", Table1[[#This Row],[Widow]]=1, "Widow")</f>
        <v>Widow</v>
      </c>
      <c r="P562" t="str" cm="1">
        <f t="array" ref="P562">_xlfn.IFS(Table1[[#This Row],[Basic]]=1, "Basic", Table1[[#This Row],[Graduate]]=1, "Graduate", Table1[[#This Row],[Master]]=1, "Master", Table1[[#This Row],[PhD]]=1, "PhD", AND(Table1[[#This Row],[Basic]]=0, Table1[[#This Row],[Graduate]]=0, Table1[[#This Row],[Master]]=0, Table1[[#This Row],[PhD]]=0), "NA")</f>
        <v>PhD</v>
      </c>
      <c r="Q562" t="e">
        <f>_xlfn.XLOOKUP(Table1[[#This Row],[ID]], Table2[ID],#REF!, "Not Found", 0)</f>
        <v>#REF!</v>
      </c>
      <c r="R562" t="e">
        <f>_xlfn.XLOOKUP(Table1[[#This Row],[ID]], Table2[ID],#REF!, "Not Found", 0)</f>
        <v>#REF!</v>
      </c>
      <c r="S562" s="3" t="str">
        <f>_xlfn.XLOOKUP(Table1[[#This Row],[ID]], Table2[ID], Table2[Enrollment], "Not Found", 0)</f>
        <v>8/15/2019</v>
      </c>
      <c r="T562" t="s">
        <v>434</v>
      </c>
    </row>
    <row r="563" spans="1:20" x14ac:dyDescent="0.3">
      <c r="A563">
        <v>1870</v>
      </c>
      <c r="B563">
        <v>168092</v>
      </c>
      <c r="C563">
        <v>0</v>
      </c>
      <c r="D563">
        <v>0</v>
      </c>
      <c r="E563">
        <v>42</v>
      </c>
      <c r="F563">
        <v>0</v>
      </c>
      <c r="G563">
        <v>0</v>
      </c>
      <c r="H563">
        <v>1</v>
      </c>
      <c r="I563">
        <v>0</v>
      </c>
      <c r="J563">
        <v>0</v>
      </c>
      <c r="K563">
        <v>0</v>
      </c>
      <c r="L563">
        <v>0</v>
      </c>
      <c r="M563">
        <v>1</v>
      </c>
      <c r="N563">
        <v>0</v>
      </c>
      <c r="O563" t="str" cm="1">
        <f t="array" ref="O563">_xlfn.IFS(Table1[[#This Row],[Divorced]]=1, "Divorced", Table1[[#This Row],[Married]]=1, "Married", Table1[[#This Row],[Single]]=1, "Single", Table1[[#This Row],[Together]]=1, "Together", Table1[[#This Row],[Widow]]=1, "Widow")</f>
        <v>Single</v>
      </c>
      <c r="P563" t="str" cm="1">
        <f t="array" ref="P563">_xlfn.IFS(Table1[[#This Row],[Basic]]=1, "Basic", Table1[[#This Row],[Graduate]]=1, "Graduate", Table1[[#This Row],[Master]]=1, "Master", Table1[[#This Row],[PhD]]=1, "PhD", AND(Table1[[#This Row],[Basic]]=0, Table1[[#This Row],[Graduate]]=0, Table1[[#This Row],[Master]]=0, Table1[[#This Row],[PhD]]=0), "NA")</f>
        <v>Master</v>
      </c>
      <c r="Q563" t="e">
        <f>_xlfn.XLOOKUP(Table1[[#This Row],[ID]], Table2[ID],#REF!, "Not Found", 0)</f>
        <v>#REF!</v>
      </c>
      <c r="R563" t="e">
        <f>_xlfn.XLOOKUP(Table1[[#This Row],[ID]], Table2[ID],#REF!, "Not Found", 0)</f>
        <v>#REF!</v>
      </c>
      <c r="S563" s="3" t="str">
        <f>_xlfn.XLOOKUP(Table1[[#This Row],[ID]], Table2[ID], Table2[Enrollment], "Not Found", 0)</f>
        <v>5/22/2020</v>
      </c>
      <c r="T563" t="s">
        <v>439</v>
      </c>
    </row>
    <row r="564" spans="1:20" x14ac:dyDescent="0.3">
      <c r="A564">
        <v>1482</v>
      </c>
      <c r="B564">
        <v>167911</v>
      </c>
      <c r="C564">
        <v>0</v>
      </c>
      <c r="D564">
        <v>1</v>
      </c>
      <c r="E564">
        <v>71</v>
      </c>
      <c r="F564">
        <v>0</v>
      </c>
      <c r="G564">
        <v>0</v>
      </c>
      <c r="H564">
        <v>0</v>
      </c>
      <c r="I564">
        <v>1</v>
      </c>
      <c r="J564">
        <v>0</v>
      </c>
      <c r="K564">
        <v>0</v>
      </c>
      <c r="L564">
        <v>0</v>
      </c>
      <c r="M564">
        <v>0</v>
      </c>
      <c r="N564">
        <v>1</v>
      </c>
      <c r="O564" t="str" cm="1">
        <f t="array" ref="O564">_xlfn.IFS(Table1[[#This Row],[Divorced]]=1, "Divorced", Table1[[#This Row],[Married]]=1, "Married", Table1[[#This Row],[Single]]=1, "Single", Table1[[#This Row],[Together]]=1, "Together", Table1[[#This Row],[Widow]]=1, "Widow")</f>
        <v>Together</v>
      </c>
      <c r="P564" t="str" cm="1">
        <f t="array" ref="P564">_xlfn.IFS(Table1[[#This Row],[Basic]]=1, "Basic", Table1[[#This Row],[Graduate]]=1, "Graduate", Table1[[#This Row],[Master]]=1, "Master", Table1[[#This Row],[PhD]]=1, "PhD", AND(Table1[[#This Row],[Basic]]=0, Table1[[#This Row],[Graduate]]=0, Table1[[#This Row],[Master]]=0, Table1[[#This Row],[PhD]]=0), "NA")</f>
        <v>PhD</v>
      </c>
      <c r="Q564" t="e">
        <f>_xlfn.XLOOKUP(Table1[[#This Row],[ID]], Table2[ID],#REF!, "Not Found", 0)</f>
        <v>#REF!</v>
      </c>
      <c r="R564" t="e">
        <f>_xlfn.XLOOKUP(Table1[[#This Row],[ID]], Table2[ID],#REF!, "Not Found", 0)</f>
        <v>#REF!</v>
      </c>
      <c r="S564" s="3" t="str">
        <f>_xlfn.XLOOKUP(Table1[[#This Row],[ID]], Table2[ID], Table2[Enrollment], "Not Found", 0)</f>
        <v>10/26/2020</v>
      </c>
      <c r="T564" t="s">
        <v>436</v>
      </c>
    </row>
    <row r="565" spans="1:20" x14ac:dyDescent="0.3">
      <c r="A565">
        <v>3070</v>
      </c>
      <c r="B565">
        <v>167911</v>
      </c>
      <c r="C565">
        <v>0</v>
      </c>
      <c r="D565">
        <v>1</v>
      </c>
      <c r="E565">
        <v>71</v>
      </c>
      <c r="F565">
        <v>0</v>
      </c>
      <c r="G565">
        <v>0</v>
      </c>
      <c r="H565">
        <v>0</v>
      </c>
      <c r="I565">
        <v>1</v>
      </c>
      <c r="J565">
        <v>0</v>
      </c>
      <c r="K565">
        <v>0</v>
      </c>
      <c r="L565">
        <v>0</v>
      </c>
      <c r="M565">
        <v>0</v>
      </c>
      <c r="N565">
        <v>1</v>
      </c>
      <c r="O565" t="str" cm="1">
        <f t="array" ref="O565">_xlfn.IFS(Table1[[#This Row],[Divorced]]=1, "Divorced", Table1[[#This Row],[Married]]=1, "Married", Table1[[#This Row],[Single]]=1, "Single", Table1[[#This Row],[Together]]=1, "Together", Table1[[#This Row],[Widow]]=1, "Widow")</f>
        <v>Together</v>
      </c>
      <c r="P565" t="str" cm="1">
        <f t="array" ref="P565">_xlfn.IFS(Table1[[#This Row],[Basic]]=1, "Basic", Table1[[#This Row],[Graduate]]=1, "Graduate", Table1[[#This Row],[Master]]=1, "Master", Table1[[#This Row],[PhD]]=1, "PhD", AND(Table1[[#This Row],[Basic]]=0, Table1[[#This Row],[Graduate]]=0, Table1[[#This Row],[Master]]=0, Table1[[#This Row],[PhD]]=0), "NA")</f>
        <v>PhD</v>
      </c>
      <c r="Q565" t="e">
        <f>_xlfn.XLOOKUP(Table1[[#This Row],[ID]], Table2[ID],#REF!, "Not Found", 0)</f>
        <v>#REF!</v>
      </c>
      <c r="R565" t="e">
        <f>_xlfn.XLOOKUP(Table1[[#This Row],[ID]], Table2[ID],#REF!, "Not Found", 0)</f>
        <v>#REF!</v>
      </c>
      <c r="S565" s="3" t="str">
        <f>_xlfn.XLOOKUP(Table1[[#This Row],[ID]], Table2[ID], Table2[Enrollment], "Not Found", 0)</f>
        <v>10/26/2020</v>
      </c>
      <c r="T565" t="s">
        <v>439</v>
      </c>
    </row>
    <row r="566" spans="1:20" x14ac:dyDescent="0.3">
      <c r="A566">
        <v>1930</v>
      </c>
      <c r="B566">
        <v>167893</v>
      </c>
      <c r="C566">
        <v>0</v>
      </c>
      <c r="D566">
        <v>1</v>
      </c>
      <c r="E566">
        <v>45</v>
      </c>
      <c r="F566">
        <v>1</v>
      </c>
      <c r="G566">
        <v>0</v>
      </c>
      <c r="H566">
        <v>0</v>
      </c>
      <c r="I566">
        <v>0</v>
      </c>
      <c r="J566">
        <v>0</v>
      </c>
      <c r="K566">
        <v>0</v>
      </c>
      <c r="L566">
        <v>0</v>
      </c>
      <c r="M566">
        <v>0</v>
      </c>
      <c r="N566">
        <v>0</v>
      </c>
      <c r="O566" t="str" cm="1">
        <f t="array" ref="O566">_xlfn.IFS(Table1[[#This Row],[Divorced]]=1, "Divorced", Table1[[#This Row],[Married]]=1, "Married", Table1[[#This Row],[Single]]=1, "Single", Table1[[#This Row],[Together]]=1, "Together", Table1[[#This Row],[Widow]]=1, "Widow")</f>
        <v>Divorced</v>
      </c>
      <c r="P566" t="str" cm="1">
        <f t="array" ref="P566">_xlfn.IFS(Table1[[#This Row],[Basic]]=1, "Basic", Table1[[#This Row],[Graduate]]=1, "Graduate", Table1[[#This Row],[Master]]=1, "Master", Table1[[#This Row],[PhD]]=1, "PhD", AND(Table1[[#This Row],[Basic]]=0, Table1[[#This Row],[Graduate]]=0, Table1[[#This Row],[Master]]=0, Table1[[#This Row],[PhD]]=0), "NA")</f>
        <v>NA</v>
      </c>
      <c r="Q566" t="e">
        <f>_xlfn.XLOOKUP(Table1[[#This Row],[ID]], Table2[ID],#REF!, "Not Found", 0)</f>
        <v>#REF!</v>
      </c>
      <c r="R566" t="e">
        <f>_xlfn.XLOOKUP(Table1[[#This Row],[ID]], Table2[ID],#REF!, "Not Found", 0)</f>
        <v>#REF!</v>
      </c>
      <c r="S566" s="3">
        <f>_xlfn.XLOOKUP(Table1[[#This Row],[ID]], Table2[ID], Table2[Enrollment], "Not Found", 0)</f>
        <v>43680</v>
      </c>
      <c r="T566" t="s">
        <v>439</v>
      </c>
    </row>
    <row r="567" spans="1:20" x14ac:dyDescent="0.3">
      <c r="A567">
        <v>2513</v>
      </c>
      <c r="B567">
        <v>167786</v>
      </c>
      <c r="C567">
        <v>0</v>
      </c>
      <c r="D567">
        <v>0</v>
      </c>
      <c r="E567">
        <v>61</v>
      </c>
      <c r="F567">
        <v>0</v>
      </c>
      <c r="G567">
        <v>0</v>
      </c>
      <c r="H567">
        <v>0</v>
      </c>
      <c r="I567">
        <v>0</v>
      </c>
      <c r="J567">
        <v>1</v>
      </c>
      <c r="K567">
        <v>0</v>
      </c>
      <c r="L567">
        <v>0</v>
      </c>
      <c r="M567">
        <v>0</v>
      </c>
      <c r="N567">
        <v>1</v>
      </c>
      <c r="O567" t="str" cm="1">
        <f t="array" ref="O567">_xlfn.IFS(Table1[[#This Row],[Divorced]]=1, "Divorced", Table1[[#This Row],[Married]]=1, "Married", Table1[[#This Row],[Single]]=1, "Single", Table1[[#This Row],[Together]]=1, "Together", Table1[[#This Row],[Widow]]=1, "Widow")</f>
        <v>Widow</v>
      </c>
      <c r="P567" t="str" cm="1">
        <f t="array" ref="P567">_xlfn.IFS(Table1[[#This Row],[Basic]]=1, "Basic", Table1[[#This Row],[Graduate]]=1, "Graduate", Table1[[#This Row],[Master]]=1, "Master", Table1[[#This Row],[PhD]]=1, "PhD", AND(Table1[[#This Row],[Basic]]=0, Table1[[#This Row],[Graduate]]=0, Table1[[#This Row],[Master]]=0, Table1[[#This Row],[PhD]]=0), "NA")</f>
        <v>PhD</v>
      </c>
      <c r="Q567" t="e">
        <f>_xlfn.XLOOKUP(Table1[[#This Row],[ID]], Table2[ID],#REF!, "Not Found", 0)</f>
        <v>#REF!</v>
      </c>
      <c r="R567" t="e">
        <f>_xlfn.XLOOKUP(Table1[[#This Row],[ID]], Table2[ID],#REF!, "Not Found", 0)</f>
        <v>#REF!</v>
      </c>
      <c r="S567" s="3" t="str">
        <f>_xlfn.XLOOKUP(Table1[[#This Row],[ID]], Table2[ID], Table2[Enrollment], "Not Found", 0)</f>
        <v>5/13/2020</v>
      </c>
      <c r="T567" t="s">
        <v>434</v>
      </c>
    </row>
    <row r="568" spans="1:20" x14ac:dyDescent="0.3">
      <c r="A568">
        <v>3153</v>
      </c>
      <c r="B568">
        <v>167716</v>
      </c>
      <c r="C568">
        <v>0</v>
      </c>
      <c r="D568">
        <v>1</v>
      </c>
      <c r="E568">
        <v>60</v>
      </c>
      <c r="F568">
        <v>0</v>
      </c>
      <c r="G568">
        <v>1</v>
      </c>
      <c r="H568">
        <v>0</v>
      </c>
      <c r="I568">
        <v>0</v>
      </c>
      <c r="J568">
        <v>0</v>
      </c>
      <c r="K568">
        <v>0</v>
      </c>
      <c r="L568">
        <v>1</v>
      </c>
      <c r="M568">
        <v>0</v>
      </c>
      <c r="N568">
        <v>0</v>
      </c>
      <c r="O568" t="str" cm="1">
        <f t="array" ref="O568">_xlfn.IFS(Table1[[#This Row],[Divorced]]=1, "Divorced", Table1[[#This Row],[Married]]=1, "Married", Table1[[#This Row],[Single]]=1, "Single", Table1[[#This Row],[Together]]=1, "Together", Table1[[#This Row],[Widow]]=1, "Widow")</f>
        <v>Married</v>
      </c>
      <c r="P568" t="str" cm="1">
        <f t="array" ref="P568">_xlfn.IFS(Table1[[#This Row],[Basic]]=1, "Basic", Table1[[#This Row],[Graduate]]=1, "Graduate", Table1[[#This Row],[Master]]=1, "Master", Table1[[#This Row],[PhD]]=1, "PhD", AND(Table1[[#This Row],[Basic]]=0, Table1[[#This Row],[Graduate]]=0, Table1[[#This Row],[Master]]=0, Table1[[#This Row],[PhD]]=0), "NA")</f>
        <v>Graduate</v>
      </c>
      <c r="Q568" t="e">
        <f>_xlfn.XLOOKUP(Table1[[#This Row],[ID]], Table2[ID],#REF!, "Not Found", 0)</f>
        <v>#REF!</v>
      </c>
      <c r="R568" t="e">
        <f>_xlfn.XLOOKUP(Table1[[#This Row],[ID]], Table2[ID],#REF!, "Not Found", 0)</f>
        <v>#REF!</v>
      </c>
      <c r="S568" s="3" t="str">
        <f>_xlfn.XLOOKUP(Table1[[#This Row],[ID]], Table2[ID], Table2[Enrollment], "Not Found", 0)</f>
        <v>6/17/2019</v>
      </c>
      <c r="T568" t="s">
        <v>435</v>
      </c>
    </row>
    <row r="569" spans="1:20" x14ac:dyDescent="0.3">
      <c r="A569">
        <v>1059</v>
      </c>
      <c r="B569">
        <v>167680</v>
      </c>
      <c r="C569">
        <v>0</v>
      </c>
      <c r="D569">
        <v>1</v>
      </c>
      <c r="E569">
        <v>69</v>
      </c>
      <c r="F569">
        <v>0</v>
      </c>
      <c r="G569">
        <v>0</v>
      </c>
      <c r="H569">
        <v>0</v>
      </c>
      <c r="I569">
        <v>0</v>
      </c>
      <c r="J569">
        <v>1</v>
      </c>
      <c r="K569">
        <v>0</v>
      </c>
      <c r="L569">
        <v>0</v>
      </c>
      <c r="M569">
        <v>0</v>
      </c>
      <c r="N569">
        <v>1</v>
      </c>
      <c r="O569" t="str" cm="1">
        <f t="array" ref="O569">_xlfn.IFS(Table1[[#This Row],[Divorced]]=1, "Divorced", Table1[[#This Row],[Married]]=1, "Married", Table1[[#This Row],[Single]]=1, "Single", Table1[[#This Row],[Together]]=1, "Together", Table1[[#This Row],[Widow]]=1, "Widow")</f>
        <v>Widow</v>
      </c>
      <c r="P569" t="str" cm="1">
        <f t="array" ref="P569">_xlfn.IFS(Table1[[#This Row],[Basic]]=1, "Basic", Table1[[#This Row],[Graduate]]=1, "Graduate", Table1[[#This Row],[Master]]=1, "Master", Table1[[#This Row],[PhD]]=1, "PhD", AND(Table1[[#This Row],[Basic]]=0, Table1[[#This Row],[Graduate]]=0, Table1[[#This Row],[Master]]=0, Table1[[#This Row],[PhD]]=0), "NA")</f>
        <v>PhD</v>
      </c>
      <c r="Q569" t="e">
        <f>_xlfn.XLOOKUP(Table1[[#This Row],[ID]], Table2[ID],#REF!, "Not Found", 0)</f>
        <v>#REF!</v>
      </c>
      <c r="R569" t="e">
        <f>_xlfn.XLOOKUP(Table1[[#This Row],[ID]], Table2[ID],#REF!, "Not Found", 0)</f>
        <v>#REF!</v>
      </c>
      <c r="S569" s="3" t="str">
        <f>_xlfn.XLOOKUP(Table1[[#This Row],[ID]], Table2[ID], Table2[Enrollment], "Not Found", 0)</f>
        <v>11/16/2019</v>
      </c>
      <c r="T569" t="s">
        <v>435</v>
      </c>
    </row>
    <row r="570" spans="1:20" x14ac:dyDescent="0.3">
      <c r="A570">
        <v>2040</v>
      </c>
      <c r="B570">
        <v>167605</v>
      </c>
      <c r="C570">
        <v>0</v>
      </c>
      <c r="D570">
        <v>0</v>
      </c>
      <c r="E570">
        <v>33</v>
      </c>
      <c r="F570">
        <v>0</v>
      </c>
      <c r="G570">
        <v>0</v>
      </c>
      <c r="H570">
        <v>0</v>
      </c>
      <c r="I570">
        <v>1</v>
      </c>
      <c r="J570">
        <v>0</v>
      </c>
      <c r="K570">
        <v>0</v>
      </c>
      <c r="L570">
        <v>1</v>
      </c>
      <c r="M570">
        <v>0</v>
      </c>
      <c r="N570">
        <v>0</v>
      </c>
      <c r="O570" t="str" cm="1">
        <f t="array" ref="O570">_xlfn.IFS(Table1[[#This Row],[Divorced]]=1, "Divorced", Table1[[#This Row],[Married]]=1, "Married", Table1[[#This Row],[Single]]=1, "Single", Table1[[#This Row],[Together]]=1, "Together", Table1[[#This Row],[Widow]]=1, "Widow")</f>
        <v>Together</v>
      </c>
      <c r="P570" t="str" cm="1">
        <f t="array" ref="P570">_xlfn.IFS(Table1[[#This Row],[Basic]]=1, "Basic", Table1[[#This Row],[Graduate]]=1, "Graduate", Table1[[#This Row],[Master]]=1, "Master", Table1[[#This Row],[PhD]]=1, "PhD", AND(Table1[[#This Row],[Basic]]=0, Table1[[#This Row],[Graduate]]=0, Table1[[#This Row],[Master]]=0, Table1[[#This Row],[PhD]]=0), "NA")</f>
        <v>Graduate</v>
      </c>
      <c r="Q570" t="e">
        <f>_xlfn.XLOOKUP(Table1[[#This Row],[ID]], Table2[ID],#REF!, "Not Found", 0)</f>
        <v>#REF!</v>
      </c>
      <c r="R570" t="e">
        <f>_xlfn.XLOOKUP(Table1[[#This Row],[ID]], Table2[ID],#REF!, "Not Found", 0)</f>
        <v>#REF!</v>
      </c>
      <c r="S570" s="3">
        <f>_xlfn.XLOOKUP(Table1[[#This Row],[ID]], Table2[ID], Table2[Enrollment], "Not Found", 0)</f>
        <v>43594</v>
      </c>
      <c r="T570" t="s">
        <v>436</v>
      </c>
    </row>
    <row r="571" spans="1:20" x14ac:dyDescent="0.3">
      <c r="A571">
        <v>1235</v>
      </c>
      <c r="B571">
        <v>167546</v>
      </c>
      <c r="C571">
        <v>0</v>
      </c>
      <c r="D571">
        <v>0</v>
      </c>
      <c r="E571">
        <v>32</v>
      </c>
      <c r="F571">
        <v>0</v>
      </c>
      <c r="G571">
        <v>1</v>
      </c>
      <c r="H571">
        <v>0</v>
      </c>
      <c r="I571">
        <v>0</v>
      </c>
      <c r="J571">
        <v>0</v>
      </c>
      <c r="K571">
        <v>0</v>
      </c>
      <c r="L571">
        <v>0</v>
      </c>
      <c r="M571">
        <v>0</v>
      </c>
      <c r="N571">
        <v>1</v>
      </c>
      <c r="O571" t="str" cm="1">
        <f t="array" ref="O571">_xlfn.IFS(Table1[[#This Row],[Divorced]]=1, "Divorced", Table1[[#This Row],[Married]]=1, "Married", Table1[[#This Row],[Single]]=1, "Single", Table1[[#This Row],[Together]]=1, "Together", Table1[[#This Row],[Widow]]=1, "Widow")</f>
        <v>Married</v>
      </c>
      <c r="P571" t="str" cm="1">
        <f t="array" ref="P571">_xlfn.IFS(Table1[[#This Row],[Basic]]=1, "Basic", Table1[[#This Row],[Graduate]]=1, "Graduate", Table1[[#This Row],[Master]]=1, "Master", Table1[[#This Row],[PhD]]=1, "PhD", AND(Table1[[#This Row],[Basic]]=0, Table1[[#This Row],[Graduate]]=0, Table1[[#This Row],[Master]]=0, Table1[[#This Row],[PhD]]=0), "NA")</f>
        <v>PhD</v>
      </c>
      <c r="Q571" t="e">
        <f>_xlfn.XLOOKUP(Table1[[#This Row],[ID]], Table2[ID],#REF!, "Not Found", 0)</f>
        <v>#REF!</v>
      </c>
      <c r="R571" t="e">
        <f>_xlfn.XLOOKUP(Table1[[#This Row],[ID]], Table2[ID],#REF!, "Not Found", 0)</f>
        <v>#REF!</v>
      </c>
      <c r="S571" s="3">
        <f>_xlfn.XLOOKUP(Table1[[#This Row],[ID]], Table2[ID], Table2[Enrollment], "Not Found", 0)</f>
        <v>43587</v>
      </c>
      <c r="T571" t="s">
        <v>434</v>
      </c>
    </row>
    <row r="572" spans="1:20" x14ac:dyDescent="0.3">
      <c r="A572">
        <v>2865</v>
      </c>
      <c r="B572">
        <v>167546</v>
      </c>
      <c r="C572">
        <v>0</v>
      </c>
      <c r="D572">
        <v>0</v>
      </c>
      <c r="E572">
        <v>32</v>
      </c>
      <c r="F572">
        <v>0</v>
      </c>
      <c r="G572">
        <v>1</v>
      </c>
      <c r="H572">
        <v>0</v>
      </c>
      <c r="I572">
        <v>0</v>
      </c>
      <c r="J572">
        <v>0</v>
      </c>
      <c r="K572">
        <v>0</v>
      </c>
      <c r="L572">
        <v>0</v>
      </c>
      <c r="M572">
        <v>0</v>
      </c>
      <c r="N572">
        <v>1</v>
      </c>
      <c r="O572" t="str" cm="1">
        <f t="array" ref="O572">_xlfn.IFS(Table1[[#This Row],[Divorced]]=1, "Divorced", Table1[[#This Row],[Married]]=1, "Married", Table1[[#This Row],[Single]]=1, "Single", Table1[[#This Row],[Together]]=1, "Together", Table1[[#This Row],[Widow]]=1, "Widow")</f>
        <v>Married</v>
      </c>
      <c r="P572" t="str" cm="1">
        <f t="array" ref="P572">_xlfn.IFS(Table1[[#This Row],[Basic]]=1, "Basic", Table1[[#This Row],[Graduate]]=1, "Graduate", Table1[[#This Row],[Master]]=1, "Master", Table1[[#This Row],[PhD]]=1, "PhD", AND(Table1[[#This Row],[Basic]]=0, Table1[[#This Row],[Graduate]]=0, Table1[[#This Row],[Master]]=0, Table1[[#This Row],[PhD]]=0), "NA")</f>
        <v>PhD</v>
      </c>
      <c r="Q572" t="e">
        <f>_xlfn.XLOOKUP(Table1[[#This Row],[ID]], Table2[ID],#REF!, "Not Found", 0)</f>
        <v>#REF!</v>
      </c>
      <c r="R572" t="e">
        <f>_xlfn.XLOOKUP(Table1[[#This Row],[ID]], Table2[ID],#REF!, "Not Found", 0)</f>
        <v>#REF!</v>
      </c>
      <c r="S572" s="3">
        <f>_xlfn.XLOOKUP(Table1[[#This Row],[ID]], Table2[ID], Table2[Enrollment], "Not Found", 0)</f>
        <v>43587</v>
      </c>
      <c r="T572" t="s">
        <v>435</v>
      </c>
    </row>
    <row r="573" spans="1:20" x14ac:dyDescent="0.3">
      <c r="A573">
        <v>1918</v>
      </c>
      <c r="B573">
        <v>167536</v>
      </c>
      <c r="C573">
        <v>0</v>
      </c>
      <c r="D573">
        <v>1</v>
      </c>
      <c r="E573">
        <v>50</v>
      </c>
      <c r="F573">
        <v>0</v>
      </c>
      <c r="G573">
        <v>1</v>
      </c>
      <c r="H573">
        <v>0</v>
      </c>
      <c r="I573">
        <v>0</v>
      </c>
      <c r="J573">
        <v>0</v>
      </c>
      <c r="K573">
        <v>0</v>
      </c>
      <c r="L573">
        <v>0</v>
      </c>
      <c r="M573">
        <v>0</v>
      </c>
      <c r="N573">
        <v>1</v>
      </c>
      <c r="O573" t="str" cm="1">
        <f t="array" ref="O573">_xlfn.IFS(Table1[[#This Row],[Divorced]]=1, "Divorced", Table1[[#This Row],[Married]]=1, "Married", Table1[[#This Row],[Single]]=1, "Single", Table1[[#This Row],[Together]]=1, "Together", Table1[[#This Row],[Widow]]=1, "Widow")</f>
        <v>Married</v>
      </c>
      <c r="P573" t="str" cm="1">
        <f t="array" ref="P573">_xlfn.IFS(Table1[[#This Row],[Basic]]=1, "Basic", Table1[[#This Row],[Graduate]]=1, "Graduate", Table1[[#This Row],[Master]]=1, "Master", Table1[[#This Row],[PhD]]=1, "PhD", AND(Table1[[#This Row],[Basic]]=0, Table1[[#This Row],[Graduate]]=0, Table1[[#This Row],[Master]]=0, Table1[[#This Row],[PhD]]=0), "NA")</f>
        <v>PhD</v>
      </c>
      <c r="Q573" t="e">
        <f>_xlfn.XLOOKUP(Table1[[#This Row],[ID]], Table2[ID],#REF!, "Not Found", 0)</f>
        <v>#REF!</v>
      </c>
      <c r="R573" t="e">
        <f>_xlfn.XLOOKUP(Table1[[#This Row],[ID]], Table2[ID],#REF!, "Not Found", 0)</f>
        <v>#REF!</v>
      </c>
      <c r="S573" s="3" t="str">
        <f>_xlfn.XLOOKUP(Table1[[#This Row],[ID]], Table2[ID], Table2[Enrollment], "Not Found", 0)</f>
        <v>10/27/2019</v>
      </c>
      <c r="T573" t="s">
        <v>439</v>
      </c>
    </row>
    <row r="574" spans="1:20" x14ac:dyDescent="0.3">
      <c r="A574">
        <v>2974</v>
      </c>
      <c r="B574">
        <v>167506</v>
      </c>
      <c r="C574">
        <v>0</v>
      </c>
      <c r="D574">
        <v>1</v>
      </c>
      <c r="E574">
        <v>40</v>
      </c>
      <c r="F574">
        <v>0</v>
      </c>
      <c r="G574">
        <v>0</v>
      </c>
      <c r="H574">
        <v>1</v>
      </c>
      <c r="I574">
        <v>0</v>
      </c>
      <c r="J574">
        <v>0</v>
      </c>
      <c r="K574">
        <v>0</v>
      </c>
      <c r="L574">
        <v>0</v>
      </c>
      <c r="M574">
        <v>0</v>
      </c>
      <c r="N574">
        <v>0</v>
      </c>
      <c r="O574" t="str" cm="1">
        <f t="array" ref="O574">_xlfn.IFS(Table1[[#This Row],[Divorced]]=1, "Divorced", Table1[[#This Row],[Married]]=1, "Married", Table1[[#This Row],[Single]]=1, "Single", Table1[[#This Row],[Together]]=1, "Together", Table1[[#This Row],[Widow]]=1, "Widow")</f>
        <v>Single</v>
      </c>
      <c r="P574" t="str" cm="1">
        <f t="array" ref="P574">_xlfn.IFS(Table1[[#This Row],[Basic]]=1, "Basic", Table1[[#This Row],[Graduate]]=1, "Graduate", Table1[[#This Row],[Master]]=1, "Master", Table1[[#This Row],[PhD]]=1, "PhD", AND(Table1[[#This Row],[Basic]]=0, Table1[[#This Row],[Graduate]]=0, Table1[[#This Row],[Master]]=0, Table1[[#This Row],[PhD]]=0), "NA")</f>
        <v>NA</v>
      </c>
      <c r="Q574" t="e">
        <f>_xlfn.XLOOKUP(Table1[[#This Row],[ID]], Table2[ID],#REF!, "Not Found", 0)</f>
        <v>#REF!</v>
      </c>
      <c r="R574" t="e">
        <f>_xlfn.XLOOKUP(Table1[[#This Row],[ID]], Table2[ID],#REF!, "Not Found", 0)</f>
        <v>#REF!</v>
      </c>
      <c r="S574" s="3">
        <f>_xlfn.XLOOKUP(Table1[[#This Row],[ID]], Table2[ID], Table2[Enrollment], "Not Found", 0)</f>
        <v>44049</v>
      </c>
      <c r="T574" t="s">
        <v>439</v>
      </c>
    </row>
    <row r="575" spans="1:20" x14ac:dyDescent="0.3">
      <c r="A575">
        <v>2906</v>
      </c>
      <c r="B575">
        <v>167472</v>
      </c>
      <c r="C575">
        <v>0</v>
      </c>
      <c r="D575">
        <v>1</v>
      </c>
      <c r="E575">
        <v>73</v>
      </c>
      <c r="F575">
        <v>0</v>
      </c>
      <c r="G575">
        <v>1</v>
      </c>
      <c r="H575">
        <v>0</v>
      </c>
      <c r="I575">
        <v>0</v>
      </c>
      <c r="J575">
        <v>0</v>
      </c>
      <c r="K575">
        <v>0</v>
      </c>
      <c r="L575">
        <v>0</v>
      </c>
      <c r="M575">
        <v>0</v>
      </c>
      <c r="N575">
        <v>1</v>
      </c>
      <c r="O575" t="str" cm="1">
        <f t="array" ref="O575">_xlfn.IFS(Table1[[#This Row],[Divorced]]=1, "Divorced", Table1[[#This Row],[Married]]=1, "Married", Table1[[#This Row],[Single]]=1, "Single", Table1[[#This Row],[Together]]=1, "Together", Table1[[#This Row],[Widow]]=1, "Widow")</f>
        <v>Married</v>
      </c>
      <c r="P575" t="str" cm="1">
        <f t="array" ref="P575">_xlfn.IFS(Table1[[#This Row],[Basic]]=1, "Basic", Table1[[#This Row],[Graduate]]=1, "Graduate", Table1[[#This Row],[Master]]=1, "Master", Table1[[#This Row],[PhD]]=1, "PhD", AND(Table1[[#This Row],[Basic]]=0, Table1[[#This Row],[Graduate]]=0, Table1[[#This Row],[Master]]=0, Table1[[#This Row],[PhD]]=0), "NA")</f>
        <v>PhD</v>
      </c>
      <c r="Q575" t="e">
        <f>_xlfn.XLOOKUP(Table1[[#This Row],[ID]], Table2[ID],#REF!, "Not Found", 0)</f>
        <v>#REF!</v>
      </c>
      <c r="R575" t="e">
        <f>_xlfn.XLOOKUP(Table1[[#This Row],[ID]], Table2[ID],#REF!, "Not Found", 0)</f>
        <v>#REF!</v>
      </c>
      <c r="S575" s="3">
        <f>_xlfn.XLOOKUP(Table1[[#This Row],[ID]], Table2[ID], Table2[Enrollment], "Not Found", 0)</f>
        <v>43924</v>
      </c>
      <c r="T575" t="s">
        <v>438</v>
      </c>
    </row>
    <row r="576" spans="1:20" x14ac:dyDescent="0.3">
      <c r="A576">
        <v>1635</v>
      </c>
      <c r="B576">
        <v>167445</v>
      </c>
      <c r="C576">
        <v>0</v>
      </c>
      <c r="D576">
        <v>1</v>
      </c>
      <c r="E576">
        <v>46</v>
      </c>
      <c r="F576">
        <v>0</v>
      </c>
      <c r="G576">
        <v>1</v>
      </c>
      <c r="H576">
        <v>0</v>
      </c>
      <c r="I576">
        <v>0</v>
      </c>
      <c r="J576">
        <v>0</v>
      </c>
      <c r="K576">
        <v>0</v>
      </c>
      <c r="L576">
        <v>1</v>
      </c>
      <c r="M576">
        <v>0</v>
      </c>
      <c r="N576">
        <v>0</v>
      </c>
      <c r="O576" t="str" cm="1">
        <f t="array" ref="O576">_xlfn.IFS(Table1[[#This Row],[Divorced]]=1, "Divorced", Table1[[#This Row],[Married]]=1, "Married", Table1[[#This Row],[Single]]=1, "Single", Table1[[#This Row],[Together]]=1, "Together", Table1[[#This Row],[Widow]]=1, "Widow")</f>
        <v>Married</v>
      </c>
      <c r="P576" t="str" cm="1">
        <f t="array" ref="P576">_xlfn.IFS(Table1[[#This Row],[Basic]]=1, "Basic", Table1[[#This Row],[Graduate]]=1, "Graduate", Table1[[#This Row],[Master]]=1, "Master", Table1[[#This Row],[PhD]]=1, "PhD", AND(Table1[[#This Row],[Basic]]=0, Table1[[#This Row],[Graduate]]=0, Table1[[#This Row],[Master]]=0, Table1[[#This Row],[PhD]]=0), "NA")</f>
        <v>Graduate</v>
      </c>
      <c r="Q576" t="e">
        <f>_xlfn.XLOOKUP(Table1[[#This Row],[ID]], Table2[ID],#REF!, "Not Found", 0)</f>
        <v>#REF!</v>
      </c>
      <c r="R576" t="e">
        <f>_xlfn.XLOOKUP(Table1[[#This Row],[ID]], Table2[ID],#REF!, "Not Found", 0)</f>
        <v>#REF!</v>
      </c>
      <c r="S576" s="3" t="str">
        <f>_xlfn.XLOOKUP(Table1[[#This Row],[ID]], Table2[ID], Table2[Enrollment], "Not Found", 0)</f>
        <v>1/17/2019</v>
      </c>
      <c r="T576" t="s">
        <v>435</v>
      </c>
    </row>
    <row r="577" spans="1:20" x14ac:dyDescent="0.3">
      <c r="A577">
        <v>2530</v>
      </c>
      <c r="B577">
        <v>167445</v>
      </c>
      <c r="C577">
        <v>0</v>
      </c>
      <c r="D577">
        <v>1</v>
      </c>
      <c r="E577">
        <v>46</v>
      </c>
      <c r="F577">
        <v>0</v>
      </c>
      <c r="G577">
        <v>1</v>
      </c>
      <c r="H577">
        <v>0</v>
      </c>
      <c r="I577">
        <v>0</v>
      </c>
      <c r="J577">
        <v>0</v>
      </c>
      <c r="K577">
        <v>0</v>
      </c>
      <c r="L577">
        <v>1</v>
      </c>
      <c r="M577">
        <v>0</v>
      </c>
      <c r="N577">
        <v>0</v>
      </c>
      <c r="O577" t="str" cm="1">
        <f t="array" ref="O577">_xlfn.IFS(Table1[[#This Row],[Divorced]]=1, "Divorced", Table1[[#This Row],[Married]]=1, "Married", Table1[[#This Row],[Single]]=1, "Single", Table1[[#This Row],[Together]]=1, "Together", Table1[[#This Row],[Widow]]=1, "Widow")</f>
        <v>Married</v>
      </c>
      <c r="P577" t="str" cm="1">
        <f t="array" ref="P577">_xlfn.IFS(Table1[[#This Row],[Basic]]=1, "Basic", Table1[[#This Row],[Graduate]]=1, "Graduate", Table1[[#This Row],[Master]]=1, "Master", Table1[[#This Row],[PhD]]=1, "PhD", AND(Table1[[#This Row],[Basic]]=0, Table1[[#This Row],[Graduate]]=0, Table1[[#This Row],[Master]]=0, Table1[[#This Row],[PhD]]=0), "NA")</f>
        <v>Graduate</v>
      </c>
      <c r="Q577" t="e">
        <f>_xlfn.XLOOKUP(Table1[[#This Row],[ID]], Table2[ID],#REF!, "Not Found", 0)</f>
        <v>#REF!</v>
      </c>
      <c r="R577" t="e">
        <f>_xlfn.XLOOKUP(Table1[[#This Row],[ID]], Table2[ID],#REF!, "Not Found", 0)</f>
        <v>#REF!</v>
      </c>
      <c r="S577" s="3" t="str">
        <f>_xlfn.XLOOKUP(Table1[[#This Row],[ID]], Table2[ID], Table2[Enrollment], "Not Found", 0)</f>
        <v>1/17/2019</v>
      </c>
      <c r="T577" t="s">
        <v>439</v>
      </c>
    </row>
    <row r="578" spans="1:20" x14ac:dyDescent="0.3">
      <c r="A578">
        <v>3037</v>
      </c>
      <c r="B578">
        <v>167445</v>
      </c>
      <c r="C578">
        <v>0</v>
      </c>
      <c r="D578">
        <v>1</v>
      </c>
      <c r="E578">
        <v>46</v>
      </c>
      <c r="F578">
        <v>0</v>
      </c>
      <c r="G578">
        <v>1</v>
      </c>
      <c r="H578">
        <v>0</v>
      </c>
      <c r="I578">
        <v>0</v>
      </c>
      <c r="J578">
        <v>0</v>
      </c>
      <c r="K578">
        <v>0</v>
      </c>
      <c r="L578">
        <v>1</v>
      </c>
      <c r="M578">
        <v>0</v>
      </c>
      <c r="N578">
        <v>0</v>
      </c>
      <c r="O578" t="str" cm="1">
        <f t="array" ref="O578">_xlfn.IFS(Table1[[#This Row],[Divorced]]=1, "Divorced", Table1[[#This Row],[Married]]=1, "Married", Table1[[#This Row],[Single]]=1, "Single", Table1[[#This Row],[Together]]=1, "Together", Table1[[#This Row],[Widow]]=1, "Widow")</f>
        <v>Married</v>
      </c>
      <c r="P578" t="str" cm="1">
        <f t="array" ref="P578">_xlfn.IFS(Table1[[#This Row],[Basic]]=1, "Basic", Table1[[#This Row],[Graduate]]=1, "Graduate", Table1[[#This Row],[Master]]=1, "Master", Table1[[#This Row],[PhD]]=1, "PhD", AND(Table1[[#This Row],[Basic]]=0, Table1[[#This Row],[Graduate]]=0, Table1[[#This Row],[Master]]=0, Table1[[#This Row],[PhD]]=0), "NA")</f>
        <v>Graduate</v>
      </c>
      <c r="Q578" t="e">
        <f>_xlfn.XLOOKUP(Table1[[#This Row],[ID]], Table2[ID],#REF!, "Not Found", 0)</f>
        <v>#REF!</v>
      </c>
      <c r="R578" t="e">
        <f>_xlfn.XLOOKUP(Table1[[#This Row],[ID]], Table2[ID],#REF!, "Not Found", 0)</f>
        <v>#REF!</v>
      </c>
      <c r="S578" s="3" t="str">
        <f>_xlfn.XLOOKUP(Table1[[#This Row],[ID]], Table2[ID], Table2[Enrollment], "Not Found", 0)</f>
        <v>1/17/2019</v>
      </c>
      <c r="T578" t="s">
        <v>437</v>
      </c>
    </row>
    <row r="579" spans="1:20" x14ac:dyDescent="0.3">
      <c r="A579">
        <v>2232</v>
      </c>
      <c r="B579">
        <v>167433</v>
      </c>
      <c r="C579">
        <v>0</v>
      </c>
      <c r="D579">
        <v>2</v>
      </c>
      <c r="E579">
        <v>68</v>
      </c>
      <c r="F579">
        <v>0</v>
      </c>
      <c r="G579">
        <v>1</v>
      </c>
      <c r="H579">
        <v>0</v>
      </c>
      <c r="I579">
        <v>0</v>
      </c>
      <c r="J579">
        <v>0</v>
      </c>
      <c r="K579">
        <v>0</v>
      </c>
      <c r="L579">
        <v>1</v>
      </c>
      <c r="M579">
        <v>0</v>
      </c>
      <c r="N579">
        <v>0</v>
      </c>
      <c r="O579" t="str" cm="1">
        <f t="array" ref="O579">_xlfn.IFS(Table1[[#This Row],[Divorced]]=1, "Divorced", Table1[[#This Row],[Married]]=1, "Married", Table1[[#This Row],[Single]]=1, "Single", Table1[[#This Row],[Together]]=1, "Together", Table1[[#This Row],[Widow]]=1, "Widow")</f>
        <v>Married</v>
      </c>
      <c r="P579" t="str" cm="1">
        <f t="array" ref="P579">_xlfn.IFS(Table1[[#This Row],[Basic]]=1, "Basic", Table1[[#This Row],[Graduate]]=1, "Graduate", Table1[[#This Row],[Master]]=1, "Master", Table1[[#This Row],[PhD]]=1, "PhD", AND(Table1[[#This Row],[Basic]]=0, Table1[[#This Row],[Graduate]]=0, Table1[[#This Row],[Master]]=0, Table1[[#This Row],[PhD]]=0), "NA")</f>
        <v>Graduate</v>
      </c>
      <c r="Q579" t="e">
        <f>_xlfn.XLOOKUP(Table1[[#This Row],[ID]], Table2[ID],#REF!, "Not Found", 0)</f>
        <v>#REF!</v>
      </c>
      <c r="R579" t="e">
        <f>_xlfn.XLOOKUP(Table1[[#This Row],[ID]], Table2[ID],#REF!, "Not Found", 0)</f>
        <v>#REF!</v>
      </c>
      <c r="S579" s="3" t="str">
        <f>_xlfn.XLOOKUP(Table1[[#This Row],[ID]], Table2[ID], Table2[Enrollment], "Not Found", 0)</f>
        <v>12/21/2019</v>
      </c>
      <c r="T579" t="s">
        <v>436</v>
      </c>
    </row>
    <row r="580" spans="1:20" x14ac:dyDescent="0.3">
      <c r="A580">
        <v>1717</v>
      </c>
      <c r="B580">
        <v>167432</v>
      </c>
      <c r="C580">
        <v>0</v>
      </c>
      <c r="D580">
        <v>1</v>
      </c>
      <c r="E580">
        <v>47</v>
      </c>
      <c r="F580">
        <v>0</v>
      </c>
      <c r="G580">
        <v>1</v>
      </c>
      <c r="H580">
        <v>0</v>
      </c>
      <c r="I580">
        <v>0</v>
      </c>
      <c r="J580">
        <v>0</v>
      </c>
      <c r="K580">
        <v>0</v>
      </c>
      <c r="L580">
        <v>1</v>
      </c>
      <c r="M580">
        <v>0</v>
      </c>
      <c r="N580">
        <v>0</v>
      </c>
      <c r="O580" t="str" cm="1">
        <f t="array" ref="O580">_xlfn.IFS(Table1[[#This Row],[Divorced]]=1, "Divorced", Table1[[#This Row],[Married]]=1, "Married", Table1[[#This Row],[Single]]=1, "Single", Table1[[#This Row],[Together]]=1, "Together", Table1[[#This Row],[Widow]]=1, "Widow")</f>
        <v>Married</v>
      </c>
      <c r="P580" t="str" cm="1">
        <f t="array" ref="P580">_xlfn.IFS(Table1[[#This Row],[Basic]]=1, "Basic", Table1[[#This Row],[Graduate]]=1, "Graduate", Table1[[#This Row],[Master]]=1, "Master", Table1[[#This Row],[PhD]]=1, "PhD", AND(Table1[[#This Row],[Basic]]=0, Table1[[#This Row],[Graduate]]=0, Table1[[#This Row],[Master]]=0, Table1[[#This Row],[PhD]]=0), "NA")</f>
        <v>Graduate</v>
      </c>
      <c r="Q580" t="e">
        <f>_xlfn.XLOOKUP(Table1[[#This Row],[ID]], Table2[ID],#REF!, "Not Found", 0)</f>
        <v>#REF!</v>
      </c>
      <c r="R580" t="e">
        <f>_xlfn.XLOOKUP(Table1[[#This Row],[ID]], Table2[ID],#REF!, "Not Found", 0)</f>
        <v>#REF!</v>
      </c>
      <c r="S580" s="3">
        <f>_xlfn.XLOOKUP(Table1[[#This Row],[ID]], Table2[ID], Table2[Enrollment], "Not Found", 0)</f>
        <v>43533</v>
      </c>
      <c r="T580" t="s">
        <v>437</v>
      </c>
    </row>
    <row r="581" spans="1:20" x14ac:dyDescent="0.3">
      <c r="A581">
        <v>1748</v>
      </c>
      <c r="B581">
        <v>167430</v>
      </c>
      <c r="C581">
        <v>0</v>
      </c>
      <c r="D581">
        <v>0</v>
      </c>
      <c r="E581">
        <v>33</v>
      </c>
      <c r="F581">
        <v>0</v>
      </c>
      <c r="G581">
        <v>0</v>
      </c>
      <c r="H581">
        <v>0</v>
      </c>
      <c r="I581">
        <v>1</v>
      </c>
      <c r="J581">
        <v>0</v>
      </c>
      <c r="K581">
        <v>0</v>
      </c>
      <c r="L581">
        <v>1</v>
      </c>
      <c r="M581">
        <v>0</v>
      </c>
      <c r="N581">
        <v>0</v>
      </c>
      <c r="O581" t="str" cm="1">
        <f t="array" ref="O581">_xlfn.IFS(Table1[[#This Row],[Divorced]]=1, "Divorced", Table1[[#This Row],[Married]]=1, "Married", Table1[[#This Row],[Single]]=1, "Single", Table1[[#This Row],[Together]]=1, "Together", Table1[[#This Row],[Widow]]=1, "Widow")</f>
        <v>Together</v>
      </c>
      <c r="P581" t="str" cm="1">
        <f t="array" ref="P581">_xlfn.IFS(Table1[[#This Row],[Basic]]=1, "Basic", Table1[[#This Row],[Graduate]]=1, "Graduate", Table1[[#This Row],[Master]]=1, "Master", Table1[[#This Row],[PhD]]=1, "PhD", AND(Table1[[#This Row],[Basic]]=0, Table1[[#This Row],[Graduate]]=0, Table1[[#This Row],[Master]]=0, Table1[[#This Row],[PhD]]=0), "NA")</f>
        <v>Graduate</v>
      </c>
      <c r="Q581" t="e">
        <f>_xlfn.XLOOKUP(Table1[[#This Row],[ID]], Table2[ID],#REF!, "Not Found", 0)</f>
        <v>#REF!</v>
      </c>
      <c r="R581" t="e">
        <f>_xlfn.XLOOKUP(Table1[[#This Row],[ID]], Table2[ID],#REF!, "Not Found", 0)</f>
        <v>#REF!</v>
      </c>
      <c r="S581" s="3">
        <f>_xlfn.XLOOKUP(Table1[[#This Row],[ID]], Table2[ID], Table2[Enrollment], "Not Found", 0)</f>
        <v>43740</v>
      </c>
      <c r="T581" t="s">
        <v>438</v>
      </c>
    </row>
    <row r="582" spans="1:20" x14ac:dyDescent="0.3">
      <c r="A582">
        <v>2445</v>
      </c>
      <c r="B582">
        <v>167419</v>
      </c>
      <c r="C582">
        <v>0</v>
      </c>
      <c r="D582">
        <v>1</v>
      </c>
      <c r="E582">
        <v>50</v>
      </c>
      <c r="F582">
        <v>0</v>
      </c>
      <c r="G582">
        <v>0</v>
      </c>
      <c r="H582">
        <v>0</v>
      </c>
      <c r="I582">
        <v>1</v>
      </c>
      <c r="J582">
        <v>0</v>
      </c>
      <c r="K582">
        <v>0</v>
      </c>
      <c r="L582">
        <v>1</v>
      </c>
      <c r="M582">
        <v>0</v>
      </c>
      <c r="N582">
        <v>0</v>
      </c>
      <c r="O582" t="str" cm="1">
        <f t="array" ref="O582">_xlfn.IFS(Table1[[#This Row],[Divorced]]=1, "Divorced", Table1[[#This Row],[Married]]=1, "Married", Table1[[#This Row],[Single]]=1, "Single", Table1[[#This Row],[Together]]=1, "Together", Table1[[#This Row],[Widow]]=1, "Widow")</f>
        <v>Together</v>
      </c>
      <c r="P582" t="str" cm="1">
        <f t="array" ref="P582">_xlfn.IFS(Table1[[#This Row],[Basic]]=1, "Basic", Table1[[#This Row],[Graduate]]=1, "Graduate", Table1[[#This Row],[Master]]=1, "Master", Table1[[#This Row],[PhD]]=1, "PhD", AND(Table1[[#This Row],[Basic]]=0, Table1[[#This Row],[Graduate]]=0, Table1[[#This Row],[Master]]=0, Table1[[#This Row],[PhD]]=0), "NA")</f>
        <v>Graduate</v>
      </c>
      <c r="Q582" t="e">
        <f>_xlfn.XLOOKUP(Table1[[#This Row],[ID]], Table2[ID],#REF!, "Not Found", 0)</f>
        <v>#REF!</v>
      </c>
      <c r="R582" t="e">
        <f>_xlfn.XLOOKUP(Table1[[#This Row],[ID]], Table2[ID],#REF!, "Not Found", 0)</f>
        <v>#REF!</v>
      </c>
      <c r="S582" s="3" t="str">
        <f>_xlfn.XLOOKUP(Table1[[#This Row],[ID]], Table2[ID], Table2[Enrollment], "Not Found", 0)</f>
        <v>6/23/2019</v>
      </c>
      <c r="T582" t="s">
        <v>435</v>
      </c>
    </row>
    <row r="583" spans="1:20" x14ac:dyDescent="0.3">
      <c r="A583">
        <v>2886</v>
      </c>
      <c r="B583">
        <v>167384</v>
      </c>
      <c r="C583">
        <v>0</v>
      </c>
      <c r="D583">
        <v>1</v>
      </c>
      <c r="E583">
        <v>50</v>
      </c>
      <c r="F583">
        <v>0</v>
      </c>
      <c r="G583">
        <v>0</v>
      </c>
      <c r="H583">
        <v>1</v>
      </c>
      <c r="I583">
        <v>0</v>
      </c>
      <c r="J583">
        <v>0</v>
      </c>
      <c r="K583">
        <v>0</v>
      </c>
      <c r="L583">
        <v>1</v>
      </c>
      <c r="M583">
        <v>0</v>
      </c>
      <c r="N583">
        <v>0</v>
      </c>
      <c r="O583" t="str" cm="1">
        <f t="array" ref="O583">_xlfn.IFS(Table1[[#This Row],[Divorced]]=1, "Divorced", Table1[[#This Row],[Married]]=1, "Married", Table1[[#This Row],[Single]]=1, "Single", Table1[[#This Row],[Together]]=1, "Together", Table1[[#This Row],[Widow]]=1, "Widow")</f>
        <v>Single</v>
      </c>
      <c r="P583" t="str" cm="1">
        <f t="array" ref="P583">_xlfn.IFS(Table1[[#This Row],[Basic]]=1, "Basic", Table1[[#This Row],[Graduate]]=1, "Graduate", Table1[[#This Row],[Master]]=1, "Master", Table1[[#This Row],[PhD]]=1, "PhD", AND(Table1[[#This Row],[Basic]]=0, Table1[[#This Row],[Graduate]]=0, Table1[[#This Row],[Master]]=0, Table1[[#This Row],[PhD]]=0), "NA")</f>
        <v>Graduate</v>
      </c>
      <c r="Q583" t="e">
        <f>_xlfn.XLOOKUP(Table1[[#This Row],[ID]], Table2[ID],#REF!, "Not Found", 0)</f>
        <v>#REF!</v>
      </c>
      <c r="R583" t="e">
        <f>_xlfn.XLOOKUP(Table1[[#This Row],[ID]], Table2[ID],#REF!, "Not Found", 0)</f>
        <v>#REF!</v>
      </c>
      <c r="S583" s="3" t="str">
        <f>_xlfn.XLOOKUP(Table1[[#This Row],[ID]], Table2[ID], Table2[Enrollment], "Not Found", 0)</f>
        <v>4/17/2019</v>
      </c>
      <c r="T583" t="s">
        <v>436</v>
      </c>
    </row>
    <row r="584" spans="1:20" x14ac:dyDescent="0.3">
      <c r="A584">
        <v>2111</v>
      </c>
      <c r="B584">
        <v>167381</v>
      </c>
      <c r="C584">
        <v>0</v>
      </c>
      <c r="D584">
        <v>1</v>
      </c>
      <c r="E584">
        <v>69</v>
      </c>
      <c r="F584">
        <v>0</v>
      </c>
      <c r="G584">
        <v>1</v>
      </c>
      <c r="H584">
        <v>0</v>
      </c>
      <c r="I584">
        <v>0</v>
      </c>
      <c r="J584">
        <v>0</v>
      </c>
      <c r="K584">
        <v>0</v>
      </c>
      <c r="L584">
        <v>0</v>
      </c>
      <c r="M584">
        <v>1</v>
      </c>
      <c r="N584">
        <v>0</v>
      </c>
      <c r="O584" t="str" cm="1">
        <f t="array" ref="O584">_xlfn.IFS(Table1[[#This Row],[Divorced]]=1, "Divorced", Table1[[#This Row],[Married]]=1, "Married", Table1[[#This Row],[Single]]=1, "Single", Table1[[#This Row],[Together]]=1, "Together", Table1[[#This Row],[Widow]]=1, "Widow")</f>
        <v>Married</v>
      </c>
      <c r="P584" t="str" cm="1">
        <f t="array" ref="P584">_xlfn.IFS(Table1[[#This Row],[Basic]]=1, "Basic", Table1[[#This Row],[Graduate]]=1, "Graduate", Table1[[#This Row],[Master]]=1, "Master", Table1[[#This Row],[PhD]]=1, "PhD", AND(Table1[[#This Row],[Basic]]=0, Table1[[#This Row],[Graduate]]=0, Table1[[#This Row],[Master]]=0, Table1[[#This Row],[PhD]]=0), "NA")</f>
        <v>Master</v>
      </c>
      <c r="Q584" t="e">
        <f>_xlfn.XLOOKUP(Table1[[#This Row],[ID]], Table2[ID],#REF!, "Not Found", 0)</f>
        <v>#REF!</v>
      </c>
      <c r="R584" t="e">
        <f>_xlfn.XLOOKUP(Table1[[#This Row],[ID]], Table2[ID],#REF!, "Not Found", 0)</f>
        <v>#REF!</v>
      </c>
      <c r="S584" s="3" t="str">
        <f>_xlfn.XLOOKUP(Table1[[#This Row],[ID]], Table2[ID], Table2[Enrollment], "Not Found", 0)</f>
        <v>6/22/2019</v>
      </c>
      <c r="T584" t="s">
        <v>434</v>
      </c>
    </row>
    <row r="585" spans="1:20" x14ac:dyDescent="0.3">
      <c r="A585">
        <v>2172</v>
      </c>
      <c r="B585">
        <v>167369</v>
      </c>
      <c r="C585">
        <v>0</v>
      </c>
      <c r="D585">
        <v>1</v>
      </c>
      <c r="E585">
        <v>51</v>
      </c>
      <c r="F585">
        <v>0</v>
      </c>
      <c r="G585">
        <v>0</v>
      </c>
      <c r="H585">
        <v>0</v>
      </c>
      <c r="I585">
        <v>0</v>
      </c>
      <c r="J585">
        <v>1</v>
      </c>
      <c r="K585">
        <v>0</v>
      </c>
      <c r="L585">
        <v>0</v>
      </c>
      <c r="M585">
        <v>1</v>
      </c>
      <c r="N585">
        <v>0</v>
      </c>
      <c r="O585" t="str" cm="1">
        <f t="array" ref="O585">_xlfn.IFS(Table1[[#This Row],[Divorced]]=1, "Divorced", Table1[[#This Row],[Married]]=1, "Married", Table1[[#This Row],[Single]]=1, "Single", Table1[[#This Row],[Together]]=1, "Together", Table1[[#This Row],[Widow]]=1, "Widow")</f>
        <v>Widow</v>
      </c>
      <c r="P585" t="str" cm="1">
        <f t="array" ref="P585">_xlfn.IFS(Table1[[#This Row],[Basic]]=1, "Basic", Table1[[#This Row],[Graduate]]=1, "Graduate", Table1[[#This Row],[Master]]=1, "Master", Table1[[#This Row],[PhD]]=1, "PhD", AND(Table1[[#This Row],[Basic]]=0, Table1[[#This Row],[Graduate]]=0, Table1[[#This Row],[Master]]=0, Table1[[#This Row],[PhD]]=0), "NA")</f>
        <v>Master</v>
      </c>
      <c r="Q585" t="e">
        <f>_xlfn.XLOOKUP(Table1[[#This Row],[ID]], Table2[ID],#REF!, "Not Found", 0)</f>
        <v>#REF!</v>
      </c>
      <c r="R585" t="e">
        <f>_xlfn.XLOOKUP(Table1[[#This Row],[ID]], Table2[ID],#REF!, "Not Found", 0)</f>
        <v>#REF!</v>
      </c>
      <c r="S585" s="3" t="str">
        <f>_xlfn.XLOOKUP(Table1[[#This Row],[ID]], Table2[ID], Table2[Enrollment], "Not Found", 0)</f>
        <v>4/24/2019</v>
      </c>
      <c r="T585" t="s">
        <v>436</v>
      </c>
    </row>
    <row r="586" spans="1:20" x14ac:dyDescent="0.3">
      <c r="A586">
        <v>1035</v>
      </c>
      <c r="B586">
        <v>167353</v>
      </c>
      <c r="C586">
        <v>0</v>
      </c>
      <c r="D586">
        <v>1</v>
      </c>
      <c r="E586">
        <v>50</v>
      </c>
      <c r="F586">
        <v>0</v>
      </c>
      <c r="G586">
        <v>1</v>
      </c>
      <c r="H586">
        <v>0</v>
      </c>
      <c r="I586">
        <v>0</v>
      </c>
      <c r="J586">
        <v>0</v>
      </c>
      <c r="K586">
        <v>0</v>
      </c>
      <c r="L586">
        <v>0</v>
      </c>
      <c r="M586">
        <v>0</v>
      </c>
      <c r="N586">
        <v>1</v>
      </c>
      <c r="O586" t="str" cm="1">
        <f t="array" ref="O586">_xlfn.IFS(Table1[[#This Row],[Divorced]]=1, "Divorced", Table1[[#This Row],[Married]]=1, "Married", Table1[[#This Row],[Single]]=1, "Single", Table1[[#This Row],[Together]]=1, "Together", Table1[[#This Row],[Widow]]=1, "Widow")</f>
        <v>Married</v>
      </c>
      <c r="P586" t="str" cm="1">
        <f t="array" ref="P586">_xlfn.IFS(Table1[[#This Row],[Basic]]=1, "Basic", Table1[[#This Row],[Graduate]]=1, "Graduate", Table1[[#This Row],[Master]]=1, "Master", Table1[[#This Row],[PhD]]=1, "PhD", AND(Table1[[#This Row],[Basic]]=0, Table1[[#This Row],[Graduate]]=0, Table1[[#This Row],[Master]]=0, Table1[[#This Row],[PhD]]=0), "NA")</f>
        <v>PhD</v>
      </c>
      <c r="Q586" t="e">
        <f>_xlfn.XLOOKUP(Table1[[#This Row],[ID]], Table2[ID],#REF!, "Not Found", 0)</f>
        <v>#REF!</v>
      </c>
      <c r="R586" t="e">
        <f>_xlfn.XLOOKUP(Table1[[#This Row],[ID]], Table2[ID],#REF!, "Not Found", 0)</f>
        <v>#REF!</v>
      </c>
      <c r="S586" s="3">
        <f>_xlfn.XLOOKUP(Table1[[#This Row],[ID]], Table2[ID], Table2[Enrollment], "Not Found", 0)</f>
        <v>43988</v>
      </c>
      <c r="T586" t="s">
        <v>435</v>
      </c>
    </row>
    <row r="587" spans="1:20" x14ac:dyDescent="0.3">
      <c r="A587">
        <v>3218</v>
      </c>
      <c r="B587">
        <v>167312</v>
      </c>
      <c r="C587">
        <v>0</v>
      </c>
      <c r="D587">
        <v>0</v>
      </c>
      <c r="E587">
        <v>1</v>
      </c>
      <c r="F587">
        <v>1</v>
      </c>
      <c r="G587">
        <v>0</v>
      </c>
      <c r="H587">
        <v>0</v>
      </c>
      <c r="I587">
        <v>0</v>
      </c>
      <c r="J587">
        <v>0</v>
      </c>
      <c r="K587">
        <v>0</v>
      </c>
      <c r="L587">
        <v>1</v>
      </c>
      <c r="M587">
        <v>0</v>
      </c>
      <c r="N587">
        <v>0</v>
      </c>
      <c r="O587" t="str" cm="1">
        <f t="array" ref="O587">_xlfn.IFS(Table1[[#This Row],[Divorced]]=1, "Divorced", Table1[[#This Row],[Married]]=1, "Married", Table1[[#This Row],[Single]]=1, "Single", Table1[[#This Row],[Together]]=1, "Together", Table1[[#This Row],[Widow]]=1, "Widow")</f>
        <v>Divorced</v>
      </c>
      <c r="P587" t="str" cm="1">
        <f t="array" ref="P587">_xlfn.IFS(Table1[[#This Row],[Basic]]=1, "Basic", Table1[[#This Row],[Graduate]]=1, "Graduate", Table1[[#This Row],[Master]]=1, "Master", Table1[[#This Row],[PhD]]=1, "PhD", AND(Table1[[#This Row],[Basic]]=0, Table1[[#This Row],[Graduate]]=0, Table1[[#This Row],[Master]]=0, Table1[[#This Row],[PhD]]=0), "NA")</f>
        <v>Graduate</v>
      </c>
      <c r="Q587" t="e">
        <f>_xlfn.XLOOKUP(Table1[[#This Row],[ID]], Table2[ID],#REF!, "Not Found", 0)</f>
        <v>#REF!</v>
      </c>
      <c r="R587" t="e">
        <f>_xlfn.XLOOKUP(Table1[[#This Row],[ID]], Table2[ID],#REF!, "Not Found", 0)</f>
        <v>#REF!</v>
      </c>
      <c r="S587" s="3">
        <f>_xlfn.XLOOKUP(Table1[[#This Row],[ID]], Table2[ID], Table2[Enrollment], "Not Found", 0)</f>
        <v>43837</v>
      </c>
      <c r="T587" t="s">
        <v>438</v>
      </c>
    </row>
    <row r="588" spans="1:20" x14ac:dyDescent="0.3">
      <c r="A588">
        <v>1416</v>
      </c>
      <c r="B588">
        <v>167309</v>
      </c>
      <c r="C588">
        <v>1</v>
      </c>
      <c r="D588">
        <v>1</v>
      </c>
      <c r="E588">
        <v>53</v>
      </c>
      <c r="F588">
        <v>0</v>
      </c>
      <c r="G588">
        <v>0</v>
      </c>
      <c r="H588">
        <v>0</v>
      </c>
      <c r="I588">
        <v>1</v>
      </c>
      <c r="J588">
        <v>0</v>
      </c>
      <c r="K588">
        <v>0</v>
      </c>
      <c r="L588">
        <v>0</v>
      </c>
      <c r="M588">
        <v>0</v>
      </c>
      <c r="N588">
        <v>0</v>
      </c>
      <c r="O588" t="str" cm="1">
        <f t="array" ref="O588">_xlfn.IFS(Table1[[#This Row],[Divorced]]=1, "Divorced", Table1[[#This Row],[Married]]=1, "Married", Table1[[#This Row],[Single]]=1, "Single", Table1[[#This Row],[Together]]=1, "Together", Table1[[#This Row],[Widow]]=1, "Widow")</f>
        <v>Together</v>
      </c>
      <c r="P588" t="str" cm="1">
        <f t="array" ref="P588">_xlfn.IFS(Table1[[#This Row],[Basic]]=1, "Basic", Table1[[#This Row],[Graduate]]=1, "Graduate", Table1[[#This Row],[Master]]=1, "Master", Table1[[#This Row],[PhD]]=1, "PhD", AND(Table1[[#This Row],[Basic]]=0, Table1[[#This Row],[Graduate]]=0, Table1[[#This Row],[Master]]=0, Table1[[#This Row],[PhD]]=0), "NA")</f>
        <v>NA</v>
      </c>
      <c r="Q588" t="e">
        <f>_xlfn.XLOOKUP(Table1[[#This Row],[ID]], Table2[ID],#REF!, "Not Found", 0)</f>
        <v>#REF!</v>
      </c>
      <c r="R588" t="e">
        <f>_xlfn.XLOOKUP(Table1[[#This Row],[ID]], Table2[ID],#REF!, "Not Found", 0)</f>
        <v>#REF!</v>
      </c>
      <c r="S588" s="3" t="str">
        <f>_xlfn.XLOOKUP(Table1[[#This Row],[ID]], Table2[ID], Table2[Enrollment], "Not Found", 0)</f>
        <v>6/30/2019</v>
      </c>
      <c r="T588" t="s">
        <v>436</v>
      </c>
    </row>
    <row r="589" spans="1:20" x14ac:dyDescent="0.3">
      <c r="A589">
        <v>1420</v>
      </c>
      <c r="B589">
        <v>167272</v>
      </c>
      <c r="C589">
        <v>0</v>
      </c>
      <c r="D589">
        <v>1</v>
      </c>
      <c r="E589">
        <v>54</v>
      </c>
      <c r="F589">
        <v>1</v>
      </c>
      <c r="G589">
        <v>0</v>
      </c>
      <c r="H589">
        <v>0</v>
      </c>
      <c r="I589">
        <v>0</v>
      </c>
      <c r="J589">
        <v>0</v>
      </c>
      <c r="K589">
        <v>0</v>
      </c>
      <c r="L589">
        <v>1</v>
      </c>
      <c r="M589">
        <v>0</v>
      </c>
      <c r="N589">
        <v>0</v>
      </c>
      <c r="O589" t="str" cm="1">
        <f t="array" ref="O589">_xlfn.IFS(Table1[[#This Row],[Divorced]]=1, "Divorced", Table1[[#This Row],[Married]]=1, "Married", Table1[[#This Row],[Single]]=1, "Single", Table1[[#This Row],[Together]]=1, "Together", Table1[[#This Row],[Widow]]=1, "Widow")</f>
        <v>Divorced</v>
      </c>
      <c r="P589" t="str" cm="1">
        <f t="array" ref="P589">_xlfn.IFS(Table1[[#This Row],[Basic]]=1, "Basic", Table1[[#This Row],[Graduate]]=1, "Graduate", Table1[[#This Row],[Master]]=1, "Master", Table1[[#This Row],[PhD]]=1, "PhD", AND(Table1[[#This Row],[Basic]]=0, Table1[[#This Row],[Graduate]]=0, Table1[[#This Row],[Master]]=0, Table1[[#This Row],[PhD]]=0), "NA")</f>
        <v>Graduate</v>
      </c>
      <c r="Q589" t="e">
        <f>_xlfn.XLOOKUP(Table1[[#This Row],[ID]], Table2[ID],#REF!, "Not Found", 0)</f>
        <v>#REF!</v>
      </c>
      <c r="R589" t="e">
        <f>_xlfn.XLOOKUP(Table1[[#This Row],[ID]], Table2[ID],#REF!, "Not Found", 0)</f>
        <v>#REF!</v>
      </c>
      <c r="S589" s="3" t="str">
        <f>_xlfn.XLOOKUP(Table1[[#This Row],[ID]], Table2[ID], Table2[Enrollment], "Not Found", 0)</f>
        <v>5/27/2020</v>
      </c>
      <c r="T589" t="s">
        <v>439</v>
      </c>
    </row>
    <row r="590" spans="1:20" x14ac:dyDescent="0.3">
      <c r="A590">
        <v>2349</v>
      </c>
      <c r="B590">
        <v>167267</v>
      </c>
      <c r="C590">
        <v>0</v>
      </c>
      <c r="D590">
        <v>1</v>
      </c>
      <c r="E590">
        <v>62</v>
      </c>
      <c r="F590">
        <v>0</v>
      </c>
      <c r="G590">
        <v>1</v>
      </c>
      <c r="H590">
        <v>0</v>
      </c>
      <c r="I590">
        <v>0</v>
      </c>
      <c r="J590">
        <v>0</v>
      </c>
      <c r="K590">
        <v>0</v>
      </c>
      <c r="L590">
        <v>1</v>
      </c>
      <c r="M590">
        <v>0</v>
      </c>
      <c r="N590">
        <v>0</v>
      </c>
      <c r="O590" t="str" cm="1">
        <f t="array" ref="O590">_xlfn.IFS(Table1[[#This Row],[Divorced]]=1, "Divorced", Table1[[#This Row],[Married]]=1, "Married", Table1[[#This Row],[Single]]=1, "Single", Table1[[#This Row],[Together]]=1, "Together", Table1[[#This Row],[Widow]]=1, "Widow")</f>
        <v>Married</v>
      </c>
      <c r="P590" t="str" cm="1">
        <f t="array" ref="P590">_xlfn.IFS(Table1[[#This Row],[Basic]]=1, "Basic", Table1[[#This Row],[Graduate]]=1, "Graduate", Table1[[#This Row],[Master]]=1, "Master", Table1[[#This Row],[PhD]]=1, "PhD", AND(Table1[[#This Row],[Basic]]=0, Table1[[#This Row],[Graduate]]=0, Table1[[#This Row],[Master]]=0, Table1[[#This Row],[PhD]]=0), "NA")</f>
        <v>Graduate</v>
      </c>
      <c r="Q590" t="e">
        <f>_xlfn.XLOOKUP(Table1[[#This Row],[ID]], Table2[ID],#REF!, "Not Found", 0)</f>
        <v>#REF!</v>
      </c>
      <c r="R590" t="e">
        <f>_xlfn.XLOOKUP(Table1[[#This Row],[ID]], Table2[ID],#REF!, "Not Found", 0)</f>
        <v>#REF!</v>
      </c>
      <c r="S590" s="3" t="str">
        <f>_xlfn.XLOOKUP(Table1[[#This Row],[ID]], Table2[ID], Table2[Enrollment], "Not Found", 0)</f>
        <v>10/17/2020</v>
      </c>
      <c r="T590" t="s">
        <v>435</v>
      </c>
    </row>
    <row r="591" spans="1:20" x14ac:dyDescent="0.3">
      <c r="A591">
        <v>3006</v>
      </c>
      <c r="B591">
        <v>167225</v>
      </c>
      <c r="C591">
        <v>0</v>
      </c>
      <c r="D591">
        <v>1</v>
      </c>
      <c r="E591">
        <v>65</v>
      </c>
      <c r="F591">
        <v>0</v>
      </c>
      <c r="G591">
        <v>1</v>
      </c>
      <c r="H591">
        <v>0</v>
      </c>
      <c r="I591">
        <v>0</v>
      </c>
      <c r="J591">
        <v>0</v>
      </c>
      <c r="K591">
        <v>0</v>
      </c>
      <c r="L591">
        <v>1</v>
      </c>
      <c r="M591">
        <v>0</v>
      </c>
      <c r="N591">
        <v>0</v>
      </c>
      <c r="O591" t="str" cm="1">
        <f t="array" ref="O591">_xlfn.IFS(Table1[[#This Row],[Divorced]]=1, "Divorced", Table1[[#This Row],[Married]]=1, "Married", Table1[[#This Row],[Single]]=1, "Single", Table1[[#This Row],[Together]]=1, "Together", Table1[[#This Row],[Widow]]=1, "Widow")</f>
        <v>Married</v>
      </c>
      <c r="P591" t="str" cm="1">
        <f t="array" ref="P591">_xlfn.IFS(Table1[[#This Row],[Basic]]=1, "Basic", Table1[[#This Row],[Graduate]]=1, "Graduate", Table1[[#This Row],[Master]]=1, "Master", Table1[[#This Row],[PhD]]=1, "PhD", AND(Table1[[#This Row],[Basic]]=0, Table1[[#This Row],[Graduate]]=0, Table1[[#This Row],[Master]]=0, Table1[[#This Row],[PhD]]=0), "NA")</f>
        <v>Graduate</v>
      </c>
      <c r="Q591" t="e">
        <f>_xlfn.XLOOKUP(Table1[[#This Row],[ID]], Table2[ID],#REF!, "Not Found", 0)</f>
        <v>#REF!</v>
      </c>
      <c r="R591" t="e">
        <f>_xlfn.XLOOKUP(Table1[[#This Row],[ID]], Table2[ID],#REF!, "Not Found", 0)</f>
        <v>#REF!</v>
      </c>
      <c r="S591" s="3">
        <f>_xlfn.XLOOKUP(Table1[[#This Row],[ID]], Table2[ID], Table2[Enrollment], "Not Found", 0)</f>
        <v>43866</v>
      </c>
      <c r="T591" t="s">
        <v>436</v>
      </c>
    </row>
    <row r="592" spans="1:20" x14ac:dyDescent="0.3">
      <c r="A592">
        <v>2740</v>
      </c>
      <c r="B592">
        <v>167131</v>
      </c>
      <c r="C592">
        <v>0</v>
      </c>
      <c r="D592">
        <v>1</v>
      </c>
      <c r="E592">
        <v>64</v>
      </c>
      <c r="F592">
        <v>0</v>
      </c>
      <c r="G592">
        <v>1</v>
      </c>
      <c r="H592">
        <v>0</v>
      </c>
      <c r="I592">
        <v>0</v>
      </c>
      <c r="J592">
        <v>0</v>
      </c>
      <c r="K592">
        <v>0</v>
      </c>
      <c r="L592">
        <v>1</v>
      </c>
      <c r="M592">
        <v>0</v>
      </c>
      <c r="N592">
        <v>0</v>
      </c>
      <c r="O592" t="str" cm="1">
        <f t="array" ref="O592">_xlfn.IFS(Table1[[#This Row],[Divorced]]=1, "Divorced", Table1[[#This Row],[Married]]=1, "Married", Table1[[#This Row],[Single]]=1, "Single", Table1[[#This Row],[Together]]=1, "Together", Table1[[#This Row],[Widow]]=1, "Widow")</f>
        <v>Married</v>
      </c>
      <c r="P592" t="str" cm="1">
        <f t="array" ref="P592">_xlfn.IFS(Table1[[#This Row],[Basic]]=1, "Basic", Table1[[#This Row],[Graduate]]=1, "Graduate", Table1[[#This Row],[Master]]=1, "Master", Table1[[#This Row],[PhD]]=1, "PhD", AND(Table1[[#This Row],[Basic]]=0, Table1[[#This Row],[Graduate]]=0, Table1[[#This Row],[Master]]=0, Table1[[#This Row],[PhD]]=0), "NA")</f>
        <v>Graduate</v>
      </c>
      <c r="Q592" t="e">
        <f>_xlfn.XLOOKUP(Table1[[#This Row],[ID]], Table2[ID],#REF!, "Not Found", 0)</f>
        <v>#REF!</v>
      </c>
      <c r="R592" t="e">
        <f>_xlfn.XLOOKUP(Table1[[#This Row],[ID]], Table2[ID],#REF!, "Not Found", 0)</f>
        <v>#REF!</v>
      </c>
      <c r="S592" s="3" t="str">
        <f>_xlfn.XLOOKUP(Table1[[#This Row],[ID]], Table2[ID], Table2[Enrollment], "Not Found", 0)</f>
        <v>8/31/2019</v>
      </c>
      <c r="T592" t="s">
        <v>439</v>
      </c>
    </row>
    <row r="593" spans="1:20" x14ac:dyDescent="0.3">
      <c r="A593">
        <v>2383</v>
      </c>
      <c r="B593">
        <v>167087</v>
      </c>
      <c r="C593">
        <v>0</v>
      </c>
      <c r="D593">
        <v>1</v>
      </c>
      <c r="E593">
        <v>67</v>
      </c>
      <c r="F593">
        <v>0</v>
      </c>
      <c r="G593">
        <v>1</v>
      </c>
      <c r="H593">
        <v>0</v>
      </c>
      <c r="I593">
        <v>0</v>
      </c>
      <c r="J593">
        <v>0</v>
      </c>
      <c r="K593">
        <v>0</v>
      </c>
      <c r="L593">
        <v>0</v>
      </c>
      <c r="M593">
        <v>1</v>
      </c>
      <c r="N593">
        <v>0</v>
      </c>
      <c r="O593" t="str" cm="1">
        <f t="array" ref="O593">_xlfn.IFS(Table1[[#This Row],[Divorced]]=1, "Divorced", Table1[[#This Row],[Married]]=1, "Married", Table1[[#This Row],[Single]]=1, "Single", Table1[[#This Row],[Together]]=1, "Together", Table1[[#This Row],[Widow]]=1, "Widow")</f>
        <v>Married</v>
      </c>
      <c r="P593" t="str" cm="1">
        <f t="array" ref="P593">_xlfn.IFS(Table1[[#This Row],[Basic]]=1, "Basic", Table1[[#This Row],[Graduate]]=1, "Graduate", Table1[[#This Row],[Master]]=1, "Master", Table1[[#This Row],[PhD]]=1, "PhD", AND(Table1[[#This Row],[Basic]]=0, Table1[[#This Row],[Graduate]]=0, Table1[[#This Row],[Master]]=0, Table1[[#This Row],[PhD]]=0), "NA")</f>
        <v>Master</v>
      </c>
      <c r="Q593" t="e">
        <f>_xlfn.XLOOKUP(Table1[[#This Row],[ID]], Table2[ID],#REF!, "Not Found", 0)</f>
        <v>#REF!</v>
      </c>
      <c r="R593" t="e">
        <f>_xlfn.XLOOKUP(Table1[[#This Row],[ID]], Table2[ID],#REF!, "Not Found", 0)</f>
        <v>#REF!</v>
      </c>
      <c r="S593" s="3" t="str">
        <f>_xlfn.XLOOKUP(Table1[[#This Row],[ID]], Table2[ID], Table2[Enrollment], "Not Found", 0)</f>
        <v>5/23/2020</v>
      </c>
      <c r="T593" t="s">
        <v>437</v>
      </c>
    </row>
    <row r="594" spans="1:20" x14ac:dyDescent="0.3">
      <c r="A594">
        <v>3038</v>
      </c>
      <c r="B594">
        <v>167046</v>
      </c>
      <c r="C594">
        <v>0</v>
      </c>
      <c r="D594">
        <v>1</v>
      </c>
      <c r="E594">
        <v>69</v>
      </c>
      <c r="F594">
        <v>0</v>
      </c>
      <c r="G594">
        <v>0</v>
      </c>
      <c r="H594">
        <v>0</v>
      </c>
      <c r="I594">
        <v>0</v>
      </c>
      <c r="J594">
        <v>1</v>
      </c>
      <c r="K594">
        <v>0</v>
      </c>
      <c r="L594">
        <v>1</v>
      </c>
      <c r="M594">
        <v>0</v>
      </c>
      <c r="N594">
        <v>0</v>
      </c>
      <c r="O594" t="str" cm="1">
        <f t="array" ref="O594">_xlfn.IFS(Table1[[#This Row],[Divorced]]=1, "Divorced", Table1[[#This Row],[Married]]=1, "Married", Table1[[#This Row],[Single]]=1, "Single", Table1[[#This Row],[Together]]=1, "Together", Table1[[#This Row],[Widow]]=1, "Widow")</f>
        <v>Widow</v>
      </c>
      <c r="P594" t="str" cm="1">
        <f t="array" ref="P594">_xlfn.IFS(Table1[[#This Row],[Basic]]=1, "Basic", Table1[[#This Row],[Graduate]]=1, "Graduate", Table1[[#This Row],[Master]]=1, "Master", Table1[[#This Row],[PhD]]=1, "PhD", AND(Table1[[#This Row],[Basic]]=0, Table1[[#This Row],[Graduate]]=0, Table1[[#This Row],[Master]]=0, Table1[[#This Row],[PhD]]=0), "NA")</f>
        <v>Graduate</v>
      </c>
      <c r="Q594" t="e">
        <f>_xlfn.XLOOKUP(Table1[[#This Row],[ID]], Table2[ID],#REF!, "Not Found", 0)</f>
        <v>#REF!</v>
      </c>
      <c r="R594" t="e">
        <f>_xlfn.XLOOKUP(Table1[[#This Row],[ID]], Table2[ID],#REF!, "Not Found", 0)</f>
        <v>#REF!</v>
      </c>
      <c r="S594" s="3" t="str">
        <f>_xlfn.XLOOKUP(Table1[[#This Row],[ID]], Table2[ID], Table2[Enrollment], "Not Found", 0)</f>
        <v>6/13/2019</v>
      </c>
      <c r="T594" t="s">
        <v>438</v>
      </c>
    </row>
    <row r="595" spans="1:20" x14ac:dyDescent="0.3">
      <c r="A595">
        <v>2050</v>
      </c>
      <c r="B595">
        <v>167023</v>
      </c>
      <c r="C595">
        <v>0</v>
      </c>
      <c r="D595">
        <v>0</v>
      </c>
      <c r="E595">
        <v>42</v>
      </c>
      <c r="F595">
        <v>0</v>
      </c>
      <c r="G595">
        <v>1</v>
      </c>
      <c r="H595">
        <v>0</v>
      </c>
      <c r="I595">
        <v>0</v>
      </c>
      <c r="J595">
        <v>0</v>
      </c>
      <c r="K595">
        <v>0</v>
      </c>
      <c r="L595">
        <v>1</v>
      </c>
      <c r="M595">
        <v>0</v>
      </c>
      <c r="N595">
        <v>0</v>
      </c>
      <c r="O595" t="str" cm="1">
        <f t="array" ref="O595">_xlfn.IFS(Table1[[#This Row],[Divorced]]=1, "Divorced", Table1[[#This Row],[Married]]=1, "Married", Table1[[#This Row],[Single]]=1, "Single", Table1[[#This Row],[Together]]=1, "Together", Table1[[#This Row],[Widow]]=1, "Widow")</f>
        <v>Married</v>
      </c>
      <c r="P595" t="str" cm="1">
        <f t="array" ref="P595">_xlfn.IFS(Table1[[#This Row],[Basic]]=1, "Basic", Table1[[#This Row],[Graduate]]=1, "Graduate", Table1[[#This Row],[Master]]=1, "Master", Table1[[#This Row],[PhD]]=1, "PhD", AND(Table1[[#This Row],[Basic]]=0, Table1[[#This Row],[Graduate]]=0, Table1[[#This Row],[Master]]=0, Table1[[#This Row],[PhD]]=0), "NA")</f>
        <v>Graduate</v>
      </c>
      <c r="Q595" t="e">
        <f>_xlfn.XLOOKUP(Table1[[#This Row],[ID]], Table2[ID],#REF!, "Not Found", 0)</f>
        <v>#REF!</v>
      </c>
      <c r="R595" t="e">
        <f>_xlfn.XLOOKUP(Table1[[#This Row],[ID]], Table2[ID],#REF!, "Not Found", 0)</f>
        <v>#REF!</v>
      </c>
      <c r="S595" s="3">
        <f>_xlfn.XLOOKUP(Table1[[#This Row],[ID]], Table2[ID], Table2[Enrollment], "Not Found", 0)</f>
        <v>44051</v>
      </c>
      <c r="T595" t="s">
        <v>439</v>
      </c>
    </row>
    <row r="596" spans="1:20" x14ac:dyDescent="0.3">
      <c r="A596">
        <v>1066</v>
      </c>
      <c r="B596">
        <v>166991</v>
      </c>
      <c r="C596">
        <v>0</v>
      </c>
      <c r="D596">
        <v>0</v>
      </c>
      <c r="E596">
        <v>66</v>
      </c>
      <c r="F596">
        <v>0</v>
      </c>
      <c r="G596">
        <v>1</v>
      </c>
      <c r="H596">
        <v>0</v>
      </c>
      <c r="I596">
        <v>0</v>
      </c>
      <c r="J596">
        <v>0</v>
      </c>
      <c r="K596">
        <v>0</v>
      </c>
      <c r="L596">
        <v>0</v>
      </c>
      <c r="M596">
        <v>1</v>
      </c>
      <c r="N596">
        <v>0</v>
      </c>
      <c r="O596" t="str" cm="1">
        <f t="array" ref="O596">_xlfn.IFS(Table1[[#This Row],[Divorced]]=1, "Divorced", Table1[[#This Row],[Married]]=1, "Married", Table1[[#This Row],[Single]]=1, "Single", Table1[[#This Row],[Together]]=1, "Together", Table1[[#This Row],[Widow]]=1, "Widow")</f>
        <v>Married</v>
      </c>
      <c r="P596" t="str" cm="1">
        <f t="array" ref="P596">_xlfn.IFS(Table1[[#This Row],[Basic]]=1, "Basic", Table1[[#This Row],[Graduate]]=1, "Graduate", Table1[[#This Row],[Master]]=1, "Master", Table1[[#This Row],[PhD]]=1, "PhD", AND(Table1[[#This Row],[Basic]]=0, Table1[[#This Row],[Graduate]]=0, Table1[[#This Row],[Master]]=0, Table1[[#This Row],[PhD]]=0), "NA")</f>
        <v>Master</v>
      </c>
      <c r="Q596" t="e">
        <f>_xlfn.XLOOKUP(Table1[[#This Row],[ID]], Table2[ID],#REF!, "Not Found", 0)</f>
        <v>#REF!</v>
      </c>
      <c r="R596" t="e">
        <f>_xlfn.XLOOKUP(Table1[[#This Row],[ID]], Table2[ID],#REF!, "Not Found", 0)</f>
        <v>#REF!</v>
      </c>
      <c r="S596" s="3" t="str">
        <f>_xlfn.XLOOKUP(Table1[[#This Row],[ID]], Table2[ID], Table2[Enrollment], "Not Found", 0)</f>
        <v>2/16/2019</v>
      </c>
      <c r="T596" t="s">
        <v>439</v>
      </c>
    </row>
    <row r="597" spans="1:20" x14ac:dyDescent="0.3">
      <c r="A597">
        <v>1180</v>
      </c>
      <c r="B597">
        <v>166973</v>
      </c>
      <c r="C597">
        <v>0</v>
      </c>
      <c r="D597">
        <v>0</v>
      </c>
      <c r="E597">
        <v>31</v>
      </c>
      <c r="F597">
        <v>0</v>
      </c>
      <c r="G597">
        <v>0</v>
      </c>
      <c r="H597">
        <v>0</v>
      </c>
      <c r="I597">
        <v>1</v>
      </c>
      <c r="J597">
        <v>0</v>
      </c>
      <c r="K597">
        <v>0</v>
      </c>
      <c r="L597">
        <v>0</v>
      </c>
      <c r="M597">
        <v>0</v>
      </c>
      <c r="N597">
        <v>1</v>
      </c>
      <c r="O597" t="str" cm="1">
        <f t="array" ref="O597">_xlfn.IFS(Table1[[#This Row],[Divorced]]=1, "Divorced", Table1[[#This Row],[Married]]=1, "Married", Table1[[#This Row],[Single]]=1, "Single", Table1[[#This Row],[Together]]=1, "Together", Table1[[#This Row],[Widow]]=1, "Widow")</f>
        <v>Together</v>
      </c>
      <c r="P597" t="str" cm="1">
        <f t="array" ref="P597">_xlfn.IFS(Table1[[#This Row],[Basic]]=1, "Basic", Table1[[#This Row],[Graduate]]=1, "Graduate", Table1[[#This Row],[Master]]=1, "Master", Table1[[#This Row],[PhD]]=1, "PhD", AND(Table1[[#This Row],[Basic]]=0, Table1[[#This Row],[Graduate]]=0, Table1[[#This Row],[Master]]=0, Table1[[#This Row],[PhD]]=0), "NA")</f>
        <v>PhD</v>
      </c>
      <c r="Q597" t="e">
        <f>_xlfn.XLOOKUP(Table1[[#This Row],[ID]], Table2[ID],#REF!, "Not Found", 0)</f>
        <v>#REF!</v>
      </c>
      <c r="R597" t="e">
        <f>_xlfn.XLOOKUP(Table1[[#This Row],[ID]], Table2[ID],#REF!, "Not Found", 0)</f>
        <v>#REF!</v>
      </c>
      <c r="S597" s="3" t="str">
        <f>_xlfn.XLOOKUP(Table1[[#This Row],[ID]], Table2[ID], Table2[Enrollment], "Not Found", 0)</f>
        <v>10/22/2019</v>
      </c>
      <c r="T597" t="s">
        <v>439</v>
      </c>
    </row>
    <row r="598" spans="1:20" x14ac:dyDescent="0.3">
      <c r="A598">
        <v>1157</v>
      </c>
      <c r="B598">
        <v>166951</v>
      </c>
      <c r="C598">
        <v>0</v>
      </c>
      <c r="D598">
        <v>0</v>
      </c>
      <c r="E598">
        <v>32</v>
      </c>
      <c r="F598">
        <v>0</v>
      </c>
      <c r="G598">
        <v>0</v>
      </c>
      <c r="H598">
        <v>1</v>
      </c>
      <c r="I598">
        <v>0</v>
      </c>
      <c r="J598">
        <v>0</v>
      </c>
      <c r="K598">
        <v>0</v>
      </c>
      <c r="L598">
        <v>1</v>
      </c>
      <c r="M598">
        <v>0</v>
      </c>
      <c r="N598">
        <v>0</v>
      </c>
      <c r="O598" t="str" cm="1">
        <f t="array" ref="O598">_xlfn.IFS(Table1[[#This Row],[Divorced]]=1, "Divorced", Table1[[#This Row],[Married]]=1, "Married", Table1[[#This Row],[Single]]=1, "Single", Table1[[#This Row],[Together]]=1, "Together", Table1[[#This Row],[Widow]]=1, "Widow")</f>
        <v>Single</v>
      </c>
      <c r="P598" t="str" cm="1">
        <f t="array" ref="P598">_xlfn.IFS(Table1[[#This Row],[Basic]]=1, "Basic", Table1[[#This Row],[Graduate]]=1, "Graduate", Table1[[#This Row],[Master]]=1, "Master", Table1[[#This Row],[PhD]]=1, "PhD", AND(Table1[[#This Row],[Basic]]=0, Table1[[#This Row],[Graduate]]=0, Table1[[#This Row],[Master]]=0, Table1[[#This Row],[PhD]]=0), "NA")</f>
        <v>Graduate</v>
      </c>
      <c r="Q598" t="e">
        <f>_xlfn.XLOOKUP(Table1[[#This Row],[ID]], Table2[ID],#REF!, "Not Found", 0)</f>
        <v>#REF!</v>
      </c>
      <c r="R598" t="e">
        <f>_xlfn.XLOOKUP(Table1[[#This Row],[ID]], Table2[ID],#REF!, "Not Found", 0)</f>
        <v>#REF!</v>
      </c>
      <c r="S598" s="3">
        <f>_xlfn.XLOOKUP(Table1[[#This Row],[ID]], Table2[ID], Table2[Enrollment], "Not Found", 0)</f>
        <v>44047</v>
      </c>
      <c r="T598" t="s">
        <v>434</v>
      </c>
    </row>
    <row r="599" spans="1:20" x14ac:dyDescent="0.3">
      <c r="A599">
        <v>1632</v>
      </c>
      <c r="B599">
        <v>166886</v>
      </c>
      <c r="C599">
        <v>0</v>
      </c>
      <c r="D599">
        <v>1</v>
      </c>
      <c r="E599">
        <v>62</v>
      </c>
      <c r="F599">
        <v>0</v>
      </c>
      <c r="G599">
        <v>0</v>
      </c>
      <c r="H599">
        <v>0</v>
      </c>
      <c r="I599">
        <v>1</v>
      </c>
      <c r="J599">
        <v>0</v>
      </c>
      <c r="K599">
        <v>0</v>
      </c>
      <c r="L599">
        <v>1</v>
      </c>
      <c r="M599">
        <v>0</v>
      </c>
      <c r="N599">
        <v>0</v>
      </c>
      <c r="O599" t="str" cm="1">
        <f t="array" ref="O599">_xlfn.IFS(Table1[[#This Row],[Divorced]]=1, "Divorced", Table1[[#This Row],[Married]]=1, "Married", Table1[[#This Row],[Single]]=1, "Single", Table1[[#This Row],[Together]]=1, "Together", Table1[[#This Row],[Widow]]=1, "Widow")</f>
        <v>Together</v>
      </c>
      <c r="P599" t="str" cm="1">
        <f t="array" ref="P599">_xlfn.IFS(Table1[[#This Row],[Basic]]=1, "Basic", Table1[[#This Row],[Graduate]]=1, "Graduate", Table1[[#This Row],[Master]]=1, "Master", Table1[[#This Row],[PhD]]=1, "PhD", AND(Table1[[#This Row],[Basic]]=0, Table1[[#This Row],[Graduate]]=0, Table1[[#This Row],[Master]]=0, Table1[[#This Row],[PhD]]=0), "NA")</f>
        <v>Graduate</v>
      </c>
      <c r="Q599" t="e">
        <f>_xlfn.XLOOKUP(Table1[[#This Row],[ID]], Table2[ID],#REF!, "Not Found", 0)</f>
        <v>#REF!</v>
      </c>
      <c r="R599" t="e">
        <f>_xlfn.XLOOKUP(Table1[[#This Row],[ID]], Table2[ID],#REF!, "Not Found", 0)</f>
        <v>#REF!</v>
      </c>
      <c r="S599" s="3" t="str">
        <f>_xlfn.XLOOKUP(Table1[[#This Row],[ID]], Table2[ID], Table2[Enrollment], "Not Found", 0)</f>
        <v>2/21/2020</v>
      </c>
      <c r="T599" t="s">
        <v>436</v>
      </c>
    </row>
    <row r="600" spans="1:20" x14ac:dyDescent="0.3">
      <c r="A600">
        <v>1171</v>
      </c>
      <c r="B600">
        <v>166835</v>
      </c>
      <c r="C600">
        <v>0</v>
      </c>
      <c r="D600">
        <v>0</v>
      </c>
      <c r="E600">
        <v>74</v>
      </c>
      <c r="F600">
        <v>0</v>
      </c>
      <c r="G600">
        <v>1</v>
      </c>
      <c r="H600">
        <v>0</v>
      </c>
      <c r="I600">
        <v>0</v>
      </c>
      <c r="J600">
        <v>0</v>
      </c>
      <c r="K600">
        <v>0</v>
      </c>
      <c r="L600">
        <v>0</v>
      </c>
      <c r="M600">
        <v>1</v>
      </c>
      <c r="N600">
        <v>0</v>
      </c>
      <c r="O600" t="str" cm="1">
        <f t="array" ref="O600">_xlfn.IFS(Table1[[#This Row],[Divorced]]=1, "Divorced", Table1[[#This Row],[Married]]=1, "Married", Table1[[#This Row],[Single]]=1, "Single", Table1[[#This Row],[Together]]=1, "Together", Table1[[#This Row],[Widow]]=1, "Widow")</f>
        <v>Married</v>
      </c>
      <c r="P600" t="str" cm="1">
        <f t="array" ref="P600">_xlfn.IFS(Table1[[#This Row],[Basic]]=1, "Basic", Table1[[#This Row],[Graduate]]=1, "Graduate", Table1[[#This Row],[Master]]=1, "Master", Table1[[#This Row],[PhD]]=1, "PhD", AND(Table1[[#This Row],[Basic]]=0, Table1[[#This Row],[Graduate]]=0, Table1[[#This Row],[Master]]=0, Table1[[#This Row],[PhD]]=0), "NA")</f>
        <v>Master</v>
      </c>
      <c r="Q600" t="e">
        <f>_xlfn.XLOOKUP(Table1[[#This Row],[ID]], Table2[ID],#REF!, "Not Found", 0)</f>
        <v>#REF!</v>
      </c>
      <c r="R600" t="e">
        <f>_xlfn.XLOOKUP(Table1[[#This Row],[ID]], Table2[ID],#REF!, "Not Found", 0)</f>
        <v>#REF!</v>
      </c>
      <c r="S600" s="3">
        <f>_xlfn.XLOOKUP(Table1[[#This Row],[ID]], Table2[ID], Table2[Enrollment], "Not Found", 0)</f>
        <v>43924</v>
      </c>
      <c r="T600" t="s">
        <v>437</v>
      </c>
    </row>
    <row r="601" spans="1:20" x14ac:dyDescent="0.3">
      <c r="A601">
        <v>2722</v>
      </c>
      <c r="B601">
        <v>166835</v>
      </c>
      <c r="C601">
        <v>0</v>
      </c>
      <c r="D601">
        <v>0</v>
      </c>
      <c r="E601">
        <v>74</v>
      </c>
      <c r="F601">
        <v>0</v>
      </c>
      <c r="G601">
        <v>1</v>
      </c>
      <c r="H601">
        <v>0</v>
      </c>
      <c r="I601">
        <v>0</v>
      </c>
      <c r="J601">
        <v>0</v>
      </c>
      <c r="K601">
        <v>0</v>
      </c>
      <c r="L601">
        <v>0</v>
      </c>
      <c r="M601">
        <v>1</v>
      </c>
      <c r="N601">
        <v>0</v>
      </c>
      <c r="O601" t="str" cm="1">
        <f t="array" ref="O601">_xlfn.IFS(Table1[[#This Row],[Divorced]]=1, "Divorced", Table1[[#This Row],[Married]]=1, "Married", Table1[[#This Row],[Single]]=1, "Single", Table1[[#This Row],[Together]]=1, "Together", Table1[[#This Row],[Widow]]=1, "Widow")</f>
        <v>Married</v>
      </c>
      <c r="P601" t="str" cm="1">
        <f t="array" ref="P601">_xlfn.IFS(Table1[[#This Row],[Basic]]=1, "Basic", Table1[[#This Row],[Graduate]]=1, "Graduate", Table1[[#This Row],[Master]]=1, "Master", Table1[[#This Row],[PhD]]=1, "PhD", AND(Table1[[#This Row],[Basic]]=0, Table1[[#This Row],[Graduate]]=0, Table1[[#This Row],[Master]]=0, Table1[[#This Row],[PhD]]=0), "NA")</f>
        <v>Master</v>
      </c>
      <c r="Q601" t="e">
        <f>_xlfn.XLOOKUP(Table1[[#This Row],[ID]], Table2[ID],#REF!, "Not Found", 0)</f>
        <v>#REF!</v>
      </c>
      <c r="R601" t="e">
        <f>_xlfn.XLOOKUP(Table1[[#This Row],[ID]], Table2[ID],#REF!, "Not Found", 0)</f>
        <v>#REF!</v>
      </c>
      <c r="S601" s="3">
        <f>_xlfn.XLOOKUP(Table1[[#This Row],[ID]], Table2[ID], Table2[Enrollment], "Not Found", 0)</f>
        <v>43924</v>
      </c>
      <c r="T601" t="s">
        <v>439</v>
      </c>
    </row>
    <row r="602" spans="1:20" x14ac:dyDescent="0.3">
      <c r="A602">
        <v>1883</v>
      </c>
      <c r="B602">
        <v>166825</v>
      </c>
      <c r="C602">
        <v>0</v>
      </c>
      <c r="D602">
        <v>0</v>
      </c>
      <c r="E602">
        <v>53</v>
      </c>
      <c r="F602">
        <v>0</v>
      </c>
      <c r="G602">
        <v>0</v>
      </c>
      <c r="H602">
        <v>0</v>
      </c>
      <c r="I602">
        <v>1</v>
      </c>
      <c r="J602">
        <v>0</v>
      </c>
      <c r="K602">
        <v>0</v>
      </c>
      <c r="L602">
        <v>1</v>
      </c>
      <c r="M602">
        <v>0</v>
      </c>
      <c r="N602">
        <v>0</v>
      </c>
      <c r="O602" t="str" cm="1">
        <f t="array" ref="O602">_xlfn.IFS(Table1[[#This Row],[Divorced]]=1, "Divorced", Table1[[#This Row],[Married]]=1, "Married", Table1[[#This Row],[Single]]=1, "Single", Table1[[#This Row],[Together]]=1, "Together", Table1[[#This Row],[Widow]]=1, "Widow")</f>
        <v>Together</v>
      </c>
      <c r="P602" t="str" cm="1">
        <f t="array" ref="P602">_xlfn.IFS(Table1[[#This Row],[Basic]]=1, "Basic", Table1[[#This Row],[Graduate]]=1, "Graduate", Table1[[#This Row],[Master]]=1, "Master", Table1[[#This Row],[PhD]]=1, "PhD", AND(Table1[[#This Row],[Basic]]=0, Table1[[#This Row],[Graduate]]=0, Table1[[#This Row],[Master]]=0, Table1[[#This Row],[PhD]]=0), "NA")</f>
        <v>Graduate</v>
      </c>
      <c r="Q602" t="e">
        <f>_xlfn.XLOOKUP(Table1[[#This Row],[ID]], Table2[ID],#REF!, "Not Found", 0)</f>
        <v>#REF!</v>
      </c>
      <c r="R602" t="e">
        <f>_xlfn.XLOOKUP(Table1[[#This Row],[ID]], Table2[ID],#REF!, "Not Found", 0)</f>
        <v>#REF!</v>
      </c>
      <c r="S602" s="3" t="str">
        <f>_xlfn.XLOOKUP(Table1[[#This Row],[ID]], Table2[ID], Table2[Enrollment], "Not Found", 0)</f>
        <v>12/19/2019</v>
      </c>
      <c r="T602" t="s">
        <v>434</v>
      </c>
    </row>
    <row r="603" spans="1:20" x14ac:dyDescent="0.3">
      <c r="A603">
        <v>1654</v>
      </c>
      <c r="B603">
        <v>166731</v>
      </c>
      <c r="C603">
        <v>0</v>
      </c>
      <c r="D603">
        <v>1</v>
      </c>
      <c r="E603">
        <v>50</v>
      </c>
      <c r="F603">
        <v>0</v>
      </c>
      <c r="G603">
        <v>0</v>
      </c>
      <c r="H603">
        <v>0</v>
      </c>
      <c r="I603">
        <v>0</v>
      </c>
      <c r="J603">
        <v>1</v>
      </c>
      <c r="K603">
        <v>0</v>
      </c>
      <c r="L603">
        <v>1</v>
      </c>
      <c r="M603">
        <v>0</v>
      </c>
      <c r="N603">
        <v>0</v>
      </c>
      <c r="O603" t="str" cm="1">
        <f t="array" ref="O603">_xlfn.IFS(Table1[[#This Row],[Divorced]]=1, "Divorced", Table1[[#This Row],[Married]]=1, "Married", Table1[[#This Row],[Single]]=1, "Single", Table1[[#This Row],[Together]]=1, "Together", Table1[[#This Row],[Widow]]=1, "Widow")</f>
        <v>Widow</v>
      </c>
      <c r="P603" t="str" cm="1">
        <f t="array" ref="P603">_xlfn.IFS(Table1[[#This Row],[Basic]]=1, "Basic", Table1[[#This Row],[Graduate]]=1, "Graduate", Table1[[#This Row],[Master]]=1, "Master", Table1[[#This Row],[PhD]]=1, "PhD", AND(Table1[[#This Row],[Basic]]=0, Table1[[#This Row],[Graduate]]=0, Table1[[#This Row],[Master]]=0, Table1[[#This Row],[PhD]]=0), "NA")</f>
        <v>Graduate</v>
      </c>
      <c r="Q603" t="e">
        <f>_xlfn.XLOOKUP(Table1[[#This Row],[ID]], Table2[ID],#REF!, "Not Found", 0)</f>
        <v>#REF!</v>
      </c>
      <c r="R603" t="e">
        <f>_xlfn.XLOOKUP(Table1[[#This Row],[ID]], Table2[ID],#REF!, "Not Found", 0)</f>
        <v>#REF!</v>
      </c>
      <c r="S603" s="3" t="str">
        <f>_xlfn.XLOOKUP(Table1[[#This Row],[ID]], Table2[ID], Table2[Enrollment], "Not Found", 0)</f>
        <v>2/17/2019</v>
      </c>
      <c r="T603" t="s">
        <v>439</v>
      </c>
    </row>
    <row r="604" spans="1:20" x14ac:dyDescent="0.3">
      <c r="A604">
        <v>2154</v>
      </c>
      <c r="B604">
        <v>166726</v>
      </c>
      <c r="C604">
        <v>1</v>
      </c>
      <c r="D604">
        <v>1</v>
      </c>
      <c r="E604">
        <v>63</v>
      </c>
      <c r="F604">
        <v>0</v>
      </c>
      <c r="G604">
        <v>1</v>
      </c>
      <c r="H604">
        <v>0</v>
      </c>
      <c r="I604">
        <v>0</v>
      </c>
      <c r="J604">
        <v>0</v>
      </c>
      <c r="K604">
        <v>0</v>
      </c>
      <c r="L604">
        <v>0</v>
      </c>
      <c r="M604">
        <v>1</v>
      </c>
      <c r="N604">
        <v>0</v>
      </c>
      <c r="O604" t="str" cm="1">
        <f t="array" ref="O604">_xlfn.IFS(Table1[[#This Row],[Divorced]]=1, "Divorced", Table1[[#This Row],[Married]]=1, "Married", Table1[[#This Row],[Single]]=1, "Single", Table1[[#This Row],[Together]]=1, "Together", Table1[[#This Row],[Widow]]=1, "Widow")</f>
        <v>Married</v>
      </c>
      <c r="P604" t="str" cm="1">
        <f t="array" ref="P604">_xlfn.IFS(Table1[[#This Row],[Basic]]=1, "Basic", Table1[[#This Row],[Graduate]]=1, "Graduate", Table1[[#This Row],[Master]]=1, "Master", Table1[[#This Row],[PhD]]=1, "PhD", AND(Table1[[#This Row],[Basic]]=0, Table1[[#This Row],[Graduate]]=0, Table1[[#This Row],[Master]]=0, Table1[[#This Row],[PhD]]=0), "NA")</f>
        <v>Master</v>
      </c>
      <c r="Q604" t="e">
        <f>_xlfn.XLOOKUP(Table1[[#This Row],[ID]], Table2[ID],#REF!, "Not Found", 0)</f>
        <v>#REF!</v>
      </c>
      <c r="R604" t="e">
        <f>_xlfn.XLOOKUP(Table1[[#This Row],[ID]], Table2[ID],#REF!, "Not Found", 0)</f>
        <v>#REF!</v>
      </c>
      <c r="S604" s="3" t="str">
        <f>_xlfn.XLOOKUP(Table1[[#This Row],[ID]], Table2[ID], Table2[Enrollment], "Not Found", 0)</f>
        <v>6/18/2020</v>
      </c>
      <c r="T604" t="s">
        <v>436</v>
      </c>
    </row>
    <row r="605" spans="1:20" x14ac:dyDescent="0.3">
      <c r="A605">
        <v>1443</v>
      </c>
      <c r="B605">
        <v>166664</v>
      </c>
      <c r="C605">
        <v>0</v>
      </c>
      <c r="D605">
        <v>0</v>
      </c>
      <c r="E605">
        <v>38</v>
      </c>
      <c r="F605">
        <v>0</v>
      </c>
      <c r="G605">
        <v>0</v>
      </c>
      <c r="H605">
        <v>0</v>
      </c>
      <c r="I605">
        <v>1</v>
      </c>
      <c r="J605">
        <v>0</v>
      </c>
      <c r="K605">
        <v>0</v>
      </c>
      <c r="L605">
        <v>0</v>
      </c>
      <c r="M605">
        <v>0</v>
      </c>
      <c r="N605">
        <v>0</v>
      </c>
      <c r="O605" t="str" cm="1">
        <f t="array" ref="O605">_xlfn.IFS(Table1[[#This Row],[Divorced]]=1, "Divorced", Table1[[#This Row],[Married]]=1, "Married", Table1[[#This Row],[Single]]=1, "Single", Table1[[#This Row],[Together]]=1, "Together", Table1[[#This Row],[Widow]]=1, "Widow")</f>
        <v>Together</v>
      </c>
      <c r="P605" t="str" cm="1">
        <f t="array" ref="P605">_xlfn.IFS(Table1[[#This Row],[Basic]]=1, "Basic", Table1[[#This Row],[Graduate]]=1, "Graduate", Table1[[#This Row],[Master]]=1, "Master", Table1[[#This Row],[PhD]]=1, "PhD", AND(Table1[[#This Row],[Basic]]=0, Table1[[#This Row],[Graduate]]=0, Table1[[#This Row],[Master]]=0, Table1[[#This Row],[PhD]]=0), "NA")</f>
        <v>NA</v>
      </c>
      <c r="Q605" t="e">
        <f>_xlfn.XLOOKUP(Table1[[#This Row],[ID]], Table2[ID],#REF!, "Not Found", 0)</f>
        <v>#REF!</v>
      </c>
      <c r="R605" t="e">
        <f>_xlfn.XLOOKUP(Table1[[#This Row],[ID]], Table2[ID],#REF!, "Not Found", 0)</f>
        <v>#REF!</v>
      </c>
      <c r="S605" s="3">
        <f>_xlfn.XLOOKUP(Table1[[#This Row],[ID]], Table2[ID], Table2[Enrollment], "Not Found", 0)</f>
        <v>43499</v>
      </c>
      <c r="T605" t="s">
        <v>435</v>
      </c>
    </row>
    <row r="606" spans="1:20" x14ac:dyDescent="0.3">
      <c r="A606">
        <v>2598</v>
      </c>
      <c r="B606">
        <v>166664</v>
      </c>
      <c r="C606">
        <v>0</v>
      </c>
      <c r="D606">
        <v>0</v>
      </c>
      <c r="E606">
        <v>38</v>
      </c>
      <c r="F606">
        <v>0</v>
      </c>
      <c r="G606">
        <v>0</v>
      </c>
      <c r="H606">
        <v>0</v>
      </c>
      <c r="I606">
        <v>1</v>
      </c>
      <c r="J606">
        <v>0</v>
      </c>
      <c r="K606">
        <v>0</v>
      </c>
      <c r="L606">
        <v>0</v>
      </c>
      <c r="M606">
        <v>0</v>
      </c>
      <c r="N606">
        <v>0</v>
      </c>
      <c r="O606" t="str" cm="1">
        <f t="array" ref="O606">_xlfn.IFS(Table1[[#This Row],[Divorced]]=1, "Divorced", Table1[[#This Row],[Married]]=1, "Married", Table1[[#This Row],[Single]]=1, "Single", Table1[[#This Row],[Together]]=1, "Together", Table1[[#This Row],[Widow]]=1, "Widow")</f>
        <v>Together</v>
      </c>
      <c r="P606" t="str" cm="1">
        <f t="array" ref="P606">_xlfn.IFS(Table1[[#This Row],[Basic]]=1, "Basic", Table1[[#This Row],[Graduate]]=1, "Graduate", Table1[[#This Row],[Master]]=1, "Master", Table1[[#This Row],[PhD]]=1, "PhD", AND(Table1[[#This Row],[Basic]]=0, Table1[[#This Row],[Graduate]]=0, Table1[[#This Row],[Master]]=0, Table1[[#This Row],[PhD]]=0), "NA")</f>
        <v>NA</v>
      </c>
      <c r="Q606" t="e">
        <f>_xlfn.XLOOKUP(Table1[[#This Row],[ID]], Table2[ID],#REF!, "Not Found", 0)</f>
        <v>#REF!</v>
      </c>
      <c r="R606" t="e">
        <f>_xlfn.XLOOKUP(Table1[[#This Row],[ID]], Table2[ID],#REF!, "Not Found", 0)</f>
        <v>#REF!</v>
      </c>
      <c r="S606" s="3">
        <f>_xlfn.XLOOKUP(Table1[[#This Row],[ID]], Table2[ID], Table2[Enrollment], "Not Found", 0)</f>
        <v>43499</v>
      </c>
      <c r="T606" t="s">
        <v>436</v>
      </c>
    </row>
    <row r="607" spans="1:20" x14ac:dyDescent="0.3">
      <c r="A607">
        <v>1057</v>
      </c>
      <c r="B607">
        <v>166653</v>
      </c>
      <c r="C607">
        <v>1</v>
      </c>
      <c r="D607">
        <v>1</v>
      </c>
      <c r="E607">
        <v>45</v>
      </c>
      <c r="F607">
        <v>0</v>
      </c>
      <c r="G607">
        <v>0</v>
      </c>
      <c r="H607">
        <v>0</v>
      </c>
      <c r="I607">
        <v>1</v>
      </c>
      <c r="J607">
        <v>0</v>
      </c>
      <c r="K607">
        <v>0</v>
      </c>
      <c r="L607">
        <v>1</v>
      </c>
      <c r="M607">
        <v>0</v>
      </c>
      <c r="N607">
        <v>0</v>
      </c>
      <c r="O607" t="str" cm="1">
        <f t="array" ref="O607">_xlfn.IFS(Table1[[#This Row],[Divorced]]=1, "Divorced", Table1[[#This Row],[Married]]=1, "Married", Table1[[#This Row],[Single]]=1, "Single", Table1[[#This Row],[Together]]=1, "Together", Table1[[#This Row],[Widow]]=1, "Widow")</f>
        <v>Together</v>
      </c>
      <c r="P607" t="str" cm="1">
        <f t="array" ref="P607">_xlfn.IFS(Table1[[#This Row],[Basic]]=1, "Basic", Table1[[#This Row],[Graduate]]=1, "Graduate", Table1[[#This Row],[Master]]=1, "Master", Table1[[#This Row],[PhD]]=1, "PhD", AND(Table1[[#This Row],[Basic]]=0, Table1[[#This Row],[Graduate]]=0, Table1[[#This Row],[Master]]=0, Table1[[#This Row],[PhD]]=0), "NA")</f>
        <v>Graduate</v>
      </c>
      <c r="Q607" t="e">
        <f>_xlfn.XLOOKUP(Table1[[#This Row],[ID]], Table2[ID],#REF!, "Not Found", 0)</f>
        <v>#REF!</v>
      </c>
      <c r="R607" t="e">
        <f>_xlfn.XLOOKUP(Table1[[#This Row],[ID]], Table2[ID],#REF!, "Not Found", 0)</f>
        <v>#REF!</v>
      </c>
      <c r="S607" s="3">
        <f>_xlfn.XLOOKUP(Table1[[#This Row],[ID]], Table2[ID], Table2[Enrollment], "Not Found", 0)</f>
        <v>43801</v>
      </c>
      <c r="T607" t="s">
        <v>437</v>
      </c>
    </row>
    <row r="608" spans="1:20" x14ac:dyDescent="0.3">
      <c r="A608">
        <v>2185</v>
      </c>
      <c r="B608">
        <v>166636</v>
      </c>
      <c r="C608">
        <v>0</v>
      </c>
      <c r="D608">
        <v>0</v>
      </c>
      <c r="E608">
        <v>63</v>
      </c>
      <c r="F608">
        <v>0</v>
      </c>
      <c r="G608">
        <v>0</v>
      </c>
      <c r="H608">
        <v>0</v>
      </c>
      <c r="I608">
        <v>1</v>
      </c>
      <c r="J608">
        <v>0</v>
      </c>
      <c r="K608">
        <v>0</v>
      </c>
      <c r="L608">
        <v>0</v>
      </c>
      <c r="M608">
        <v>1</v>
      </c>
      <c r="N608">
        <v>0</v>
      </c>
      <c r="O608" t="str" cm="1">
        <f t="array" ref="O608">_xlfn.IFS(Table1[[#This Row],[Divorced]]=1, "Divorced", Table1[[#This Row],[Married]]=1, "Married", Table1[[#This Row],[Single]]=1, "Single", Table1[[#This Row],[Together]]=1, "Together", Table1[[#This Row],[Widow]]=1, "Widow")</f>
        <v>Together</v>
      </c>
      <c r="P608" t="str" cm="1">
        <f t="array" ref="P608">_xlfn.IFS(Table1[[#This Row],[Basic]]=1, "Basic", Table1[[#This Row],[Graduate]]=1, "Graduate", Table1[[#This Row],[Master]]=1, "Master", Table1[[#This Row],[PhD]]=1, "PhD", AND(Table1[[#This Row],[Basic]]=0, Table1[[#This Row],[Graduate]]=0, Table1[[#This Row],[Master]]=0, Table1[[#This Row],[PhD]]=0), "NA")</f>
        <v>Master</v>
      </c>
      <c r="Q608" t="e">
        <f>_xlfn.XLOOKUP(Table1[[#This Row],[ID]], Table2[ID],#REF!, "Not Found", 0)</f>
        <v>#REF!</v>
      </c>
      <c r="R608" t="e">
        <f>_xlfn.XLOOKUP(Table1[[#This Row],[ID]], Table2[ID],#REF!, "Not Found", 0)</f>
        <v>#REF!</v>
      </c>
      <c r="S608" s="3" t="str">
        <f>_xlfn.XLOOKUP(Table1[[#This Row],[ID]], Table2[ID], Table2[Enrollment], "Not Found", 0)</f>
        <v>1/22/2020</v>
      </c>
      <c r="T608" t="s">
        <v>437</v>
      </c>
    </row>
    <row r="609" spans="1:20" x14ac:dyDescent="0.3">
      <c r="A609">
        <v>1449</v>
      </c>
      <c r="B609">
        <v>166582</v>
      </c>
      <c r="C609">
        <v>0</v>
      </c>
      <c r="D609">
        <v>0</v>
      </c>
      <c r="E609">
        <v>51</v>
      </c>
      <c r="F609">
        <v>0</v>
      </c>
      <c r="G609">
        <v>0</v>
      </c>
      <c r="H609">
        <v>1</v>
      </c>
      <c r="I609">
        <v>0</v>
      </c>
      <c r="J609">
        <v>0</v>
      </c>
      <c r="K609">
        <v>0</v>
      </c>
      <c r="L609">
        <v>0</v>
      </c>
      <c r="M609">
        <v>0</v>
      </c>
      <c r="N609">
        <v>1</v>
      </c>
      <c r="O609" t="str" cm="1">
        <f t="array" ref="O609">_xlfn.IFS(Table1[[#This Row],[Divorced]]=1, "Divorced", Table1[[#This Row],[Married]]=1, "Married", Table1[[#This Row],[Single]]=1, "Single", Table1[[#This Row],[Together]]=1, "Together", Table1[[#This Row],[Widow]]=1, "Widow")</f>
        <v>Single</v>
      </c>
      <c r="P609" t="str" cm="1">
        <f t="array" ref="P609">_xlfn.IFS(Table1[[#This Row],[Basic]]=1, "Basic", Table1[[#This Row],[Graduate]]=1, "Graduate", Table1[[#This Row],[Master]]=1, "Master", Table1[[#This Row],[PhD]]=1, "PhD", AND(Table1[[#This Row],[Basic]]=0, Table1[[#This Row],[Graduate]]=0, Table1[[#This Row],[Master]]=0, Table1[[#This Row],[PhD]]=0), "NA")</f>
        <v>PhD</v>
      </c>
      <c r="Q609" t="e">
        <f>_xlfn.XLOOKUP(Table1[[#This Row],[ID]], Table2[ID],#REF!, "Not Found", 0)</f>
        <v>#REF!</v>
      </c>
      <c r="R609" t="e">
        <f>_xlfn.XLOOKUP(Table1[[#This Row],[ID]], Table2[ID],#REF!, "Not Found", 0)</f>
        <v>#REF!</v>
      </c>
      <c r="S609" s="3">
        <f>_xlfn.XLOOKUP(Table1[[#This Row],[ID]], Table2[ID], Table2[Enrollment], "Not Found", 0)</f>
        <v>44020</v>
      </c>
      <c r="T609" t="s">
        <v>435</v>
      </c>
    </row>
    <row r="610" spans="1:20" x14ac:dyDescent="0.3">
      <c r="A610">
        <v>1550</v>
      </c>
      <c r="B610">
        <v>166565</v>
      </c>
      <c r="C610">
        <v>0</v>
      </c>
      <c r="D610">
        <v>1</v>
      </c>
      <c r="E610">
        <v>58</v>
      </c>
      <c r="F610">
        <v>0</v>
      </c>
      <c r="G610">
        <v>0</v>
      </c>
      <c r="H610">
        <v>1</v>
      </c>
      <c r="I610">
        <v>0</v>
      </c>
      <c r="J610">
        <v>0</v>
      </c>
      <c r="K610">
        <v>0</v>
      </c>
      <c r="L610">
        <v>1</v>
      </c>
      <c r="M610">
        <v>0</v>
      </c>
      <c r="N610">
        <v>0</v>
      </c>
      <c r="O610" t="str" cm="1">
        <f t="array" ref="O610">_xlfn.IFS(Table1[[#This Row],[Divorced]]=1, "Divorced", Table1[[#This Row],[Married]]=1, "Married", Table1[[#This Row],[Single]]=1, "Single", Table1[[#This Row],[Together]]=1, "Together", Table1[[#This Row],[Widow]]=1, "Widow")</f>
        <v>Single</v>
      </c>
      <c r="P610" t="str" cm="1">
        <f t="array" ref="P610">_xlfn.IFS(Table1[[#This Row],[Basic]]=1, "Basic", Table1[[#This Row],[Graduate]]=1, "Graduate", Table1[[#This Row],[Master]]=1, "Master", Table1[[#This Row],[PhD]]=1, "PhD", AND(Table1[[#This Row],[Basic]]=0, Table1[[#This Row],[Graduate]]=0, Table1[[#This Row],[Master]]=0, Table1[[#This Row],[PhD]]=0), "NA")</f>
        <v>Graduate</v>
      </c>
      <c r="Q610" t="e">
        <f>_xlfn.XLOOKUP(Table1[[#This Row],[ID]], Table2[ID],#REF!, "Not Found", 0)</f>
        <v>#REF!</v>
      </c>
      <c r="R610" t="e">
        <f>_xlfn.XLOOKUP(Table1[[#This Row],[ID]], Table2[ID],#REF!, "Not Found", 0)</f>
        <v>#REF!</v>
      </c>
      <c r="S610" s="3">
        <f>_xlfn.XLOOKUP(Table1[[#This Row],[ID]], Table2[ID], Table2[Enrollment], "Not Found", 0)</f>
        <v>43804</v>
      </c>
      <c r="T610" t="s">
        <v>438</v>
      </c>
    </row>
    <row r="611" spans="1:20" x14ac:dyDescent="0.3">
      <c r="A611">
        <v>1303</v>
      </c>
      <c r="B611">
        <v>166503</v>
      </c>
      <c r="C611">
        <v>1</v>
      </c>
      <c r="D611">
        <v>0</v>
      </c>
      <c r="E611">
        <v>35</v>
      </c>
      <c r="F611">
        <v>0</v>
      </c>
      <c r="G611">
        <v>0</v>
      </c>
      <c r="H611">
        <v>1</v>
      </c>
      <c r="I611">
        <v>0</v>
      </c>
      <c r="J611">
        <v>0</v>
      </c>
      <c r="K611">
        <v>0</v>
      </c>
      <c r="L611">
        <v>1</v>
      </c>
      <c r="M611">
        <v>0</v>
      </c>
      <c r="N611">
        <v>0</v>
      </c>
      <c r="O611" t="str" cm="1">
        <f t="array" ref="O611">_xlfn.IFS(Table1[[#This Row],[Divorced]]=1, "Divorced", Table1[[#This Row],[Married]]=1, "Married", Table1[[#This Row],[Single]]=1, "Single", Table1[[#This Row],[Together]]=1, "Together", Table1[[#This Row],[Widow]]=1, "Widow")</f>
        <v>Single</v>
      </c>
      <c r="P611" t="str" cm="1">
        <f t="array" ref="P611">_xlfn.IFS(Table1[[#This Row],[Basic]]=1, "Basic", Table1[[#This Row],[Graduate]]=1, "Graduate", Table1[[#This Row],[Master]]=1, "Master", Table1[[#This Row],[PhD]]=1, "PhD", AND(Table1[[#This Row],[Basic]]=0, Table1[[#This Row],[Graduate]]=0, Table1[[#This Row],[Master]]=0, Table1[[#This Row],[PhD]]=0), "NA")</f>
        <v>Graduate</v>
      </c>
      <c r="Q611" t="e">
        <f>_xlfn.XLOOKUP(Table1[[#This Row],[ID]], Table2[ID],#REF!, "Not Found", 0)</f>
        <v>#REF!</v>
      </c>
      <c r="R611" t="e">
        <f>_xlfn.XLOOKUP(Table1[[#This Row],[ID]], Table2[ID],#REF!, "Not Found", 0)</f>
        <v>#REF!</v>
      </c>
      <c r="S611" s="3" t="str">
        <f>_xlfn.XLOOKUP(Table1[[#This Row],[ID]], Table2[ID], Table2[Enrollment], "Not Found", 0)</f>
        <v>1/19/2019</v>
      </c>
      <c r="T611" t="s">
        <v>437</v>
      </c>
    </row>
    <row r="612" spans="1:20" x14ac:dyDescent="0.3">
      <c r="A612">
        <v>2090</v>
      </c>
      <c r="B612">
        <v>166480</v>
      </c>
      <c r="C612">
        <v>1</v>
      </c>
      <c r="D612">
        <v>1</v>
      </c>
      <c r="E612">
        <v>55</v>
      </c>
      <c r="F612">
        <v>0</v>
      </c>
      <c r="G612">
        <v>1</v>
      </c>
      <c r="H612">
        <v>0</v>
      </c>
      <c r="I612">
        <v>0</v>
      </c>
      <c r="J612">
        <v>0</v>
      </c>
      <c r="K612">
        <v>0</v>
      </c>
      <c r="L612">
        <v>1</v>
      </c>
      <c r="M612">
        <v>0</v>
      </c>
      <c r="N612">
        <v>0</v>
      </c>
      <c r="O612" t="str" cm="1">
        <f t="array" ref="O612">_xlfn.IFS(Table1[[#This Row],[Divorced]]=1, "Divorced", Table1[[#This Row],[Married]]=1, "Married", Table1[[#This Row],[Single]]=1, "Single", Table1[[#This Row],[Together]]=1, "Together", Table1[[#This Row],[Widow]]=1, "Widow")</f>
        <v>Married</v>
      </c>
      <c r="P612" t="str" cm="1">
        <f t="array" ref="P612">_xlfn.IFS(Table1[[#This Row],[Basic]]=1, "Basic", Table1[[#This Row],[Graduate]]=1, "Graduate", Table1[[#This Row],[Master]]=1, "Master", Table1[[#This Row],[PhD]]=1, "PhD", AND(Table1[[#This Row],[Basic]]=0, Table1[[#This Row],[Graduate]]=0, Table1[[#This Row],[Master]]=0, Table1[[#This Row],[PhD]]=0), "NA")</f>
        <v>Graduate</v>
      </c>
      <c r="Q612" t="e">
        <f>_xlfn.XLOOKUP(Table1[[#This Row],[ID]], Table2[ID],#REF!, "Not Found", 0)</f>
        <v>#REF!</v>
      </c>
      <c r="R612" t="e">
        <f>_xlfn.XLOOKUP(Table1[[#This Row],[ID]], Table2[ID],#REF!, "Not Found", 0)</f>
        <v>#REF!</v>
      </c>
      <c r="S612" s="3">
        <f>_xlfn.XLOOKUP(Table1[[#This Row],[ID]], Table2[ID], Table2[Enrollment], "Not Found", 0)</f>
        <v>43932</v>
      </c>
      <c r="T612" t="s">
        <v>438</v>
      </c>
    </row>
    <row r="613" spans="1:20" x14ac:dyDescent="0.3">
      <c r="A613">
        <v>3084</v>
      </c>
      <c r="B613">
        <v>166476</v>
      </c>
      <c r="C613">
        <v>0</v>
      </c>
      <c r="D613">
        <v>1</v>
      </c>
      <c r="E613">
        <v>51</v>
      </c>
      <c r="F613">
        <v>0</v>
      </c>
      <c r="G613">
        <v>0</v>
      </c>
      <c r="H613">
        <v>0</v>
      </c>
      <c r="I613">
        <v>1</v>
      </c>
      <c r="J613">
        <v>0</v>
      </c>
      <c r="K613">
        <v>0</v>
      </c>
      <c r="L613">
        <v>0</v>
      </c>
      <c r="M613">
        <v>1</v>
      </c>
      <c r="N613">
        <v>0</v>
      </c>
      <c r="O613" t="str" cm="1">
        <f t="array" ref="O613">_xlfn.IFS(Table1[[#This Row],[Divorced]]=1, "Divorced", Table1[[#This Row],[Married]]=1, "Married", Table1[[#This Row],[Single]]=1, "Single", Table1[[#This Row],[Together]]=1, "Together", Table1[[#This Row],[Widow]]=1, "Widow")</f>
        <v>Together</v>
      </c>
      <c r="P613" t="str" cm="1">
        <f t="array" ref="P613">_xlfn.IFS(Table1[[#This Row],[Basic]]=1, "Basic", Table1[[#This Row],[Graduate]]=1, "Graduate", Table1[[#This Row],[Master]]=1, "Master", Table1[[#This Row],[PhD]]=1, "PhD", AND(Table1[[#This Row],[Basic]]=0, Table1[[#This Row],[Graduate]]=0, Table1[[#This Row],[Master]]=0, Table1[[#This Row],[PhD]]=0), "NA")</f>
        <v>Master</v>
      </c>
      <c r="Q613" t="e">
        <f>_xlfn.XLOOKUP(Table1[[#This Row],[ID]], Table2[ID],#REF!, "Not Found", 0)</f>
        <v>#REF!</v>
      </c>
      <c r="R613" t="e">
        <f>_xlfn.XLOOKUP(Table1[[#This Row],[ID]], Table2[ID],#REF!, "Not Found", 0)</f>
        <v>#REF!</v>
      </c>
      <c r="S613" s="3">
        <f>_xlfn.XLOOKUP(Table1[[#This Row],[ID]], Table2[ID], Table2[Enrollment], "Not Found", 0)</f>
        <v>44109</v>
      </c>
      <c r="T613" t="s">
        <v>436</v>
      </c>
    </row>
    <row r="614" spans="1:20" x14ac:dyDescent="0.3">
      <c r="A614">
        <v>1667</v>
      </c>
      <c r="B614">
        <v>166476</v>
      </c>
      <c r="C614">
        <v>0</v>
      </c>
      <c r="D614">
        <v>1</v>
      </c>
      <c r="E614">
        <v>44</v>
      </c>
      <c r="F614">
        <v>1</v>
      </c>
      <c r="G614">
        <v>0</v>
      </c>
      <c r="H614">
        <v>0</v>
      </c>
      <c r="I614">
        <v>0</v>
      </c>
      <c r="J614">
        <v>0</v>
      </c>
      <c r="K614">
        <v>0</v>
      </c>
      <c r="L614">
        <v>0</v>
      </c>
      <c r="M614">
        <v>0</v>
      </c>
      <c r="N614">
        <v>1</v>
      </c>
      <c r="O614" t="str" cm="1">
        <f t="array" ref="O614">_xlfn.IFS(Table1[[#This Row],[Divorced]]=1, "Divorced", Table1[[#This Row],[Married]]=1, "Married", Table1[[#This Row],[Single]]=1, "Single", Table1[[#This Row],[Together]]=1, "Together", Table1[[#This Row],[Widow]]=1, "Widow")</f>
        <v>Divorced</v>
      </c>
      <c r="P614" t="str" cm="1">
        <f t="array" ref="P614">_xlfn.IFS(Table1[[#This Row],[Basic]]=1, "Basic", Table1[[#This Row],[Graduate]]=1, "Graduate", Table1[[#This Row],[Master]]=1, "Master", Table1[[#This Row],[PhD]]=1, "PhD", AND(Table1[[#This Row],[Basic]]=0, Table1[[#This Row],[Graduate]]=0, Table1[[#This Row],[Master]]=0, Table1[[#This Row],[PhD]]=0), "NA")</f>
        <v>PhD</v>
      </c>
      <c r="Q614" t="e">
        <f>_xlfn.XLOOKUP(Table1[[#This Row],[ID]], Table2[ID],#REF!, "Not Found", 0)</f>
        <v>#REF!</v>
      </c>
      <c r="R614" t="e">
        <f>_xlfn.XLOOKUP(Table1[[#This Row],[ID]], Table2[ID],#REF!, "Not Found", 0)</f>
        <v>#REF!</v>
      </c>
      <c r="S614" s="3">
        <f>_xlfn.XLOOKUP(Table1[[#This Row],[ID]], Table2[ID], Table2[Enrollment], "Not Found", 0)</f>
        <v>43807</v>
      </c>
      <c r="T614" t="s">
        <v>434</v>
      </c>
    </row>
    <row r="615" spans="1:20" x14ac:dyDescent="0.3">
      <c r="A615">
        <v>1396</v>
      </c>
      <c r="B615">
        <v>166465</v>
      </c>
      <c r="C615">
        <v>0</v>
      </c>
      <c r="D615">
        <v>1</v>
      </c>
      <c r="E615">
        <v>65</v>
      </c>
      <c r="F615">
        <v>0</v>
      </c>
      <c r="G615">
        <v>1</v>
      </c>
      <c r="H615">
        <v>0</v>
      </c>
      <c r="I615">
        <v>0</v>
      </c>
      <c r="J615">
        <v>0</v>
      </c>
      <c r="K615">
        <v>0</v>
      </c>
      <c r="L615">
        <v>0</v>
      </c>
      <c r="M615">
        <v>0</v>
      </c>
      <c r="N615">
        <v>1</v>
      </c>
      <c r="O615" t="str" cm="1">
        <f t="array" ref="O615">_xlfn.IFS(Table1[[#This Row],[Divorced]]=1, "Divorced", Table1[[#This Row],[Married]]=1, "Married", Table1[[#This Row],[Single]]=1, "Single", Table1[[#This Row],[Together]]=1, "Together", Table1[[#This Row],[Widow]]=1, "Widow")</f>
        <v>Married</v>
      </c>
      <c r="P615" t="str" cm="1">
        <f t="array" ref="P615">_xlfn.IFS(Table1[[#This Row],[Basic]]=1, "Basic", Table1[[#This Row],[Graduate]]=1, "Graduate", Table1[[#This Row],[Master]]=1, "Master", Table1[[#This Row],[PhD]]=1, "PhD", AND(Table1[[#This Row],[Basic]]=0, Table1[[#This Row],[Graduate]]=0, Table1[[#This Row],[Master]]=0, Table1[[#This Row],[PhD]]=0), "NA")</f>
        <v>PhD</v>
      </c>
      <c r="Q615" t="e">
        <f>_xlfn.XLOOKUP(Table1[[#This Row],[ID]], Table2[ID],#REF!, "Not Found", 0)</f>
        <v>#REF!</v>
      </c>
      <c r="R615" t="e">
        <f>_xlfn.XLOOKUP(Table1[[#This Row],[ID]], Table2[ID],#REF!, "Not Found", 0)</f>
        <v>#REF!</v>
      </c>
      <c r="S615" s="3">
        <f>_xlfn.XLOOKUP(Table1[[#This Row],[ID]], Table2[ID], Table2[Enrollment], "Not Found", 0)</f>
        <v>43564</v>
      </c>
      <c r="T615" t="s">
        <v>439</v>
      </c>
    </row>
    <row r="616" spans="1:20" x14ac:dyDescent="0.3">
      <c r="A616">
        <v>1362</v>
      </c>
      <c r="B616">
        <v>166426</v>
      </c>
      <c r="C616">
        <v>0</v>
      </c>
      <c r="D616">
        <v>1</v>
      </c>
      <c r="E616">
        <v>59</v>
      </c>
      <c r="F616">
        <v>0</v>
      </c>
      <c r="G616">
        <v>0</v>
      </c>
      <c r="H616">
        <v>0</v>
      </c>
      <c r="I616">
        <v>1</v>
      </c>
      <c r="J616">
        <v>0</v>
      </c>
      <c r="K616">
        <v>0</v>
      </c>
      <c r="L616">
        <v>0</v>
      </c>
      <c r="M616">
        <v>0</v>
      </c>
      <c r="N616">
        <v>1</v>
      </c>
      <c r="O616" t="str" cm="1">
        <f t="array" ref="O616">_xlfn.IFS(Table1[[#This Row],[Divorced]]=1, "Divorced", Table1[[#This Row],[Married]]=1, "Married", Table1[[#This Row],[Single]]=1, "Single", Table1[[#This Row],[Together]]=1, "Together", Table1[[#This Row],[Widow]]=1, "Widow")</f>
        <v>Together</v>
      </c>
      <c r="P616" t="str" cm="1">
        <f t="array" ref="P616">_xlfn.IFS(Table1[[#This Row],[Basic]]=1, "Basic", Table1[[#This Row],[Graduate]]=1, "Graduate", Table1[[#This Row],[Master]]=1, "Master", Table1[[#This Row],[PhD]]=1, "PhD", AND(Table1[[#This Row],[Basic]]=0, Table1[[#This Row],[Graduate]]=0, Table1[[#This Row],[Master]]=0, Table1[[#This Row],[PhD]]=0), "NA")</f>
        <v>PhD</v>
      </c>
      <c r="Q616" t="e">
        <f>_xlfn.XLOOKUP(Table1[[#This Row],[ID]], Table2[ID],#REF!, "Not Found", 0)</f>
        <v>#REF!</v>
      </c>
      <c r="R616" t="e">
        <f>_xlfn.XLOOKUP(Table1[[#This Row],[ID]], Table2[ID],#REF!, "Not Found", 0)</f>
        <v>#REF!</v>
      </c>
      <c r="S616" s="3">
        <f>_xlfn.XLOOKUP(Table1[[#This Row],[ID]], Table2[ID], Table2[Enrollment], "Not Found", 0)</f>
        <v>44046</v>
      </c>
      <c r="T616" t="s">
        <v>436</v>
      </c>
    </row>
    <row r="617" spans="1:20" x14ac:dyDescent="0.3">
      <c r="A617">
        <v>1689</v>
      </c>
      <c r="B617">
        <v>166375</v>
      </c>
      <c r="C617">
        <v>0</v>
      </c>
      <c r="D617">
        <v>1</v>
      </c>
      <c r="E617">
        <v>72</v>
      </c>
      <c r="F617">
        <v>0</v>
      </c>
      <c r="G617">
        <v>0</v>
      </c>
      <c r="H617">
        <v>0</v>
      </c>
      <c r="I617">
        <v>1</v>
      </c>
      <c r="J617">
        <v>0</v>
      </c>
      <c r="K617">
        <v>0</v>
      </c>
      <c r="L617">
        <v>0</v>
      </c>
      <c r="M617">
        <v>0</v>
      </c>
      <c r="N617">
        <v>1</v>
      </c>
      <c r="O617" t="str" cm="1">
        <f t="array" ref="O617">_xlfn.IFS(Table1[[#This Row],[Divorced]]=1, "Divorced", Table1[[#This Row],[Married]]=1, "Married", Table1[[#This Row],[Single]]=1, "Single", Table1[[#This Row],[Together]]=1, "Together", Table1[[#This Row],[Widow]]=1, "Widow")</f>
        <v>Together</v>
      </c>
      <c r="P617" t="str" cm="1">
        <f t="array" ref="P617">_xlfn.IFS(Table1[[#This Row],[Basic]]=1, "Basic", Table1[[#This Row],[Graduate]]=1, "Graduate", Table1[[#This Row],[Master]]=1, "Master", Table1[[#This Row],[PhD]]=1, "PhD", AND(Table1[[#This Row],[Basic]]=0, Table1[[#This Row],[Graduate]]=0, Table1[[#This Row],[Master]]=0, Table1[[#This Row],[PhD]]=0), "NA")</f>
        <v>PhD</v>
      </c>
      <c r="Q617" t="e">
        <f>_xlfn.XLOOKUP(Table1[[#This Row],[ID]], Table2[ID],#REF!, "Not Found", 0)</f>
        <v>#REF!</v>
      </c>
      <c r="R617" t="e">
        <f>_xlfn.XLOOKUP(Table1[[#This Row],[ID]], Table2[ID],#REF!, "Not Found", 0)</f>
        <v>#REF!</v>
      </c>
      <c r="S617" s="3" t="str">
        <f>_xlfn.XLOOKUP(Table1[[#This Row],[ID]], Table2[ID], Table2[Enrollment], "Not Found", 0)</f>
        <v>4/27/2020</v>
      </c>
      <c r="T617" t="s">
        <v>435</v>
      </c>
    </row>
    <row r="618" spans="1:20" x14ac:dyDescent="0.3">
      <c r="A618">
        <v>1051</v>
      </c>
      <c r="B618">
        <v>166373</v>
      </c>
      <c r="C618">
        <v>1</v>
      </c>
      <c r="D618">
        <v>1</v>
      </c>
      <c r="E618">
        <v>42</v>
      </c>
      <c r="F618">
        <v>0</v>
      </c>
      <c r="G618">
        <v>1</v>
      </c>
      <c r="H618">
        <v>0</v>
      </c>
      <c r="I618">
        <v>0</v>
      </c>
      <c r="J618">
        <v>0</v>
      </c>
      <c r="K618">
        <v>0</v>
      </c>
      <c r="L618">
        <v>1</v>
      </c>
      <c r="M618">
        <v>0</v>
      </c>
      <c r="N618">
        <v>0</v>
      </c>
      <c r="O618" t="str" cm="1">
        <f t="array" ref="O618">_xlfn.IFS(Table1[[#This Row],[Divorced]]=1, "Divorced", Table1[[#This Row],[Married]]=1, "Married", Table1[[#This Row],[Single]]=1, "Single", Table1[[#This Row],[Together]]=1, "Together", Table1[[#This Row],[Widow]]=1, "Widow")</f>
        <v>Married</v>
      </c>
      <c r="P618" t="str" cm="1">
        <f t="array" ref="P618">_xlfn.IFS(Table1[[#This Row],[Basic]]=1, "Basic", Table1[[#This Row],[Graduate]]=1, "Graduate", Table1[[#This Row],[Master]]=1, "Master", Table1[[#This Row],[PhD]]=1, "PhD", AND(Table1[[#This Row],[Basic]]=0, Table1[[#This Row],[Graduate]]=0, Table1[[#This Row],[Master]]=0, Table1[[#This Row],[PhD]]=0), "NA")</f>
        <v>Graduate</v>
      </c>
      <c r="Q618" t="e">
        <f>_xlfn.XLOOKUP(Table1[[#This Row],[ID]], Table2[ID],#REF!, "Not Found", 0)</f>
        <v>#REF!</v>
      </c>
      <c r="R618" t="e">
        <f>_xlfn.XLOOKUP(Table1[[#This Row],[ID]], Table2[ID],#REF!, "Not Found", 0)</f>
        <v>#REF!</v>
      </c>
      <c r="S618" s="3" t="str">
        <f>_xlfn.XLOOKUP(Table1[[#This Row],[ID]], Table2[ID], Table2[Enrollment], "Not Found", 0)</f>
        <v>11/17/2019</v>
      </c>
      <c r="T618" t="s">
        <v>437</v>
      </c>
    </row>
    <row r="619" spans="1:20" x14ac:dyDescent="0.3">
      <c r="A619">
        <v>1713</v>
      </c>
      <c r="B619">
        <v>166373</v>
      </c>
      <c r="C619">
        <v>1</v>
      </c>
      <c r="D619">
        <v>1</v>
      </c>
      <c r="E619">
        <v>42</v>
      </c>
      <c r="F619">
        <v>0</v>
      </c>
      <c r="G619">
        <v>1</v>
      </c>
      <c r="H619">
        <v>0</v>
      </c>
      <c r="I619">
        <v>0</v>
      </c>
      <c r="J619">
        <v>0</v>
      </c>
      <c r="K619">
        <v>0</v>
      </c>
      <c r="L619">
        <v>1</v>
      </c>
      <c r="M619">
        <v>0</v>
      </c>
      <c r="N619">
        <v>0</v>
      </c>
      <c r="O619" t="str" cm="1">
        <f t="array" ref="O619">_xlfn.IFS(Table1[[#This Row],[Divorced]]=1, "Divorced", Table1[[#This Row],[Married]]=1, "Married", Table1[[#This Row],[Single]]=1, "Single", Table1[[#This Row],[Together]]=1, "Together", Table1[[#This Row],[Widow]]=1, "Widow")</f>
        <v>Married</v>
      </c>
      <c r="P619" t="str" cm="1">
        <f t="array" ref="P619">_xlfn.IFS(Table1[[#This Row],[Basic]]=1, "Basic", Table1[[#This Row],[Graduate]]=1, "Graduate", Table1[[#This Row],[Master]]=1, "Master", Table1[[#This Row],[PhD]]=1, "PhD", AND(Table1[[#This Row],[Basic]]=0, Table1[[#This Row],[Graduate]]=0, Table1[[#This Row],[Master]]=0, Table1[[#This Row],[PhD]]=0), "NA")</f>
        <v>Graduate</v>
      </c>
      <c r="Q619" t="e">
        <f>_xlfn.XLOOKUP(Table1[[#This Row],[ID]], Table2[ID],#REF!, "Not Found", 0)</f>
        <v>#REF!</v>
      </c>
      <c r="R619" t="e">
        <f>_xlfn.XLOOKUP(Table1[[#This Row],[ID]], Table2[ID],#REF!, "Not Found", 0)</f>
        <v>#REF!</v>
      </c>
      <c r="S619" s="3" t="str">
        <f>_xlfn.XLOOKUP(Table1[[#This Row],[ID]], Table2[ID], Table2[Enrollment], "Not Found", 0)</f>
        <v>11/17/2019</v>
      </c>
      <c r="T619" t="s">
        <v>435</v>
      </c>
    </row>
    <row r="620" spans="1:20" x14ac:dyDescent="0.3">
      <c r="A620">
        <v>1317</v>
      </c>
      <c r="B620">
        <v>166334</v>
      </c>
      <c r="C620">
        <v>0</v>
      </c>
      <c r="D620">
        <v>1</v>
      </c>
      <c r="E620">
        <v>64</v>
      </c>
      <c r="F620">
        <v>0</v>
      </c>
      <c r="G620">
        <v>1</v>
      </c>
      <c r="H620">
        <v>0</v>
      </c>
      <c r="I620">
        <v>0</v>
      </c>
      <c r="J620">
        <v>0</v>
      </c>
      <c r="K620">
        <v>0</v>
      </c>
      <c r="L620">
        <v>0</v>
      </c>
      <c r="M620">
        <v>0</v>
      </c>
      <c r="N620">
        <v>1</v>
      </c>
      <c r="O620" t="str" cm="1">
        <f t="array" ref="O620">_xlfn.IFS(Table1[[#This Row],[Divorced]]=1, "Divorced", Table1[[#This Row],[Married]]=1, "Married", Table1[[#This Row],[Single]]=1, "Single", Table1[[#This Row],[Together]]=1, "Together", Table1[[#This Row],[Widow]]=1, "Widow")</f>
        <v>Married</v>
      </c>
      <c r="P620" t="str" cm="1">
        <f t="array" ref="P620">_xlfn.IFS(Table1[[#This Row],[Basic]]=1, "Basic", Table1[[#This Row],[Graduate]]=1, "Graduate", Table1[[#This Row],[Master]]=1, "Master", Table1[[#This Row],[PhD]]=1, "PhD", AND(Table1[[#This Row],[Basic]]=0, Table1[[#This Row],[Graduate]]=0, Table1[[#This Row],[Master]]=0, Table1[[#This Row],[PhD]]=0), "NA")</f>
        <v>PhD</v>
      </c>
      <c r="Q620" t="e">
        <f>_xlfn.XLOOKUP(Table1[[#This Row],[ID]], Table2[ID],#REF!, "Not Found", 0)</f>
        <v>#REF!</v>
      </c>
      <c r="R620" t="e">
        <f>_xlfn.XLOOKUP(Table1[[#This Row],[ID]], Table2[ID],#REF!, "Not Found", 0)</f>
        <v>#REF!</v>
      </c>
      <c r="S620" s="3">
        <f>_xlfn.XLOOKUP(Table1[[#This Row],[ID]], Table2[ID], Table2[Enrollment], "Not Found", 0)</f>
        <v>43686</v>
      </c>
      <c r="T620" t="s">
        <v>435</v>
      </c>
    </row>
    <row r="621" spans="1:20" x14ac:dyDescent="0.3">
      <c r="A621">
        <v>1262</v>
      </c>
      <c r="B621">
        <v>166313</v>
      </c>
      <c r="C621">
        <v>0</v>
      </c>
      <c r="D621">
        <v>1</v>
      </c>
      <c r="E621">
        <v>57</v>
      </c>
      <c r="F621">
        <v>0</v>
      </c>
      <c r="G621">
        <v>0</v>
      </c>
      <c r="H621">
        <v>0</v>
      </c>
      <c r="I621">
        <v>1</v>
      </c>
      <c r="J621">
        <v>0</v>
      </c>
      <c r="K621">
        <v>0</v>
      </c>
      <c r="L621">
        <v>0</v>
      </c>
      <c r="M621">
        <v>0</v>
      </c>
      <c r="N621">
        <v>1</v>
      </c>
      <c r="O621" t="str" cm="1">
        <f t="array" ref="O621">_xlfn.IFS(Table1[[#This Row],[Divorced]]=1, "Divorced", Table1[[#This Row],[Married]]=1, "Married", Table1[[#This Row],[Single]]=1, "Single", Table1[[#This Row],[Together]]=1, "Together", Table1[[#This Row],[Widow]]=1, "Widow")</f>
        <v>Together</v>
      </c>
      <c r="P621" t="str" cm="1">
        <f t="array" ref="P621">_xlfn.IFS(Table1[[#This Row],[Basic]]=1, "Basic", Table1[[#This Row],[Graduate]]=1, "Graduate", Table1[[#This Row],[Master]]=1, "Master", Table1[[#This Row],[PhD]]=1, "PhD", AND(Table1[[#This Row],[Basic]]=0, Table1[[#This Row],[Graduate]]=0, Table1[[#This Row],[Master]]=0, Table1[[#This Row],[PhD]]=0), "NA")</f>
        <v>PhD</v>
      </c>
      <c r="Q621" t="e">
        <f>_xlfn.XLOOKUP(Table1[[#This Row],[ID]], Table2[ID],#REF!, "Not Found", 0)</f>
        <v>#REF!</v>
      </c>
      <c r="R621" t="e">
        <f>_xlfn.XLOOKUP(Table1[[#This Row],[ID]], Table2[ID],#REF!, "Not Found", 0)</f>
        <v>#REF!</v>
      </c>
      <c r="S621" s="3" t="str">
        <f>_xlfn.XLOOKUP(Table1[[#This Row],[ID]], Table2[ID], Table2[Enrollment], "Not Found", 0)</f>
        <v>2/21/2020</v>
      </c>
      <c r="T621" t="s">
        <v>438</v>
      </c>
    </row>
    <row r="622" spans="1:20" x14ac:dyDescent="0.3">
      <c r="A622">
        <v>2256</v>
      </c>
      <c r="B622">
        <v>166303</v>
      </c>
      <c r="C622">
        <v>0</v>
      </c>
      <c r="D622">
        <v>1</v>
      </c>
      <c r="E622">
        <v>49</v>
      </c>
      <c r="F622">
        <v>0</v>
      </c>
      <c r="G622">
        <v>1</v>
      </c>
      <c r="H622">
        <v>0</v>
      </c>
      <c r="I622">
        <v>0</v>
      </c>
      <c r="J622">
        <v>0</v>
      </c>
      <c r="K622">
        <v>0</v>
      </c>
      <c r="L622">
        <v>1</v>
      </c>
      <c r="M622">
        <v>0</v>
      </c>
      <c r="N622">
        <v>0</v>
      </c>
      <c r="O622" t="str" cm="1">
        <f t="array" ref="O622">_xlfn.IFS(Table1[[#This Row],[Divorced]]=1, "Divorced", Table1[[#This Row],[Married]]=1, "Married", Table1[[#This Row],[Single]]=1, "Single", Table1[[#This Row],[Together]]=1, "Together", Table1[[#This Row],[Widow]]=1, "Widow")</f>
        <v>Married</v>
      </c>
      <c r="P622" t="str" cm="1">
        <f t="array" ref="P622">_xlfn.IFS(Table1[[#This Row],[Basic]]=1, "Basic", Table1[[#This Row],[Graduate]]=1, "Graduate", Table1[[#This Row],[Master]]=1, "Master", Table1[[#This Row],[PhD]]=1, "PhD", AND(Table1[[#This Row],[Basic]]=0, Table1[[#This Row],[Graduate]]=0, Table1[[#This Row],[Master]]=0, Table1[[#This Row],[PhD]]=0), "NA")</f>
        <v>Graduate</v>
      </c>
      <c r="Q622" t="e">
        <f>_xlfn.XLOOKUP(Table1[[#This Row],[ID]], Table2[ID],#REF!, "Not Found", 0)</f>
        <v>#REF!</v>
      </c>
      <c r="R622" t="e">
        <f>_xlfn.XLOOKUP(Table1[[#This Row],[ID]], Table2[ID],#REF!, "Not Found", 0)</f>
        <v>#REF!</v>
      </c>
      <c r="S622" s="3">
        <f>_xlfn.XLOOKUP(Table1[[#This Row],[ID]], Table2[ID], Table2[Enrollment], "Not Found", 0)</f>
        <v>43532</v>
      </c>
      <c r="T622" t="s">
        <v>436</v>
      </c>
    </row>
    <row r="623" spans="1:20" x14ac:dyDescent="0.3">
      <c r="A623">
        <v>2061</v>
      </c>
      <c r="B623">
        <v>166294</v>
      </c>
      <c r="C623">
        <v>0</v>
      </c>
      <c r="D623">
        <v>0</v>
      </c>
      <c r="E623">
        <v>55</v>
      </c>
      <c r="F623">
        <v>0</v>
      </c>
      <c r="G623">
        <v>0</v>
      </c>
      <c r="H623">
        <v>1</v>
      </c>
      <c r="I623">
        <v>0</v>
      </c>
      <c r="J623">
        <v>0</v>
      </c>
      <c r="K623">
        <v>0</v>
      </c>
      <c r="L623">
        <v>1</v>
      </c>
      <c r="M623">
        <v>0</v>
      </c>
      <c r="N623">
        <v>0</v>
      </c>
      <c r="O623" t="str" cm="1">
        <f t="array" ref="O623">_xlfn.IFS(Table1[[#This Row],[Divorced]]=1, "Divorced", Table1[[#This Row],[Married]]=1, "Married", Table1[[#This Row],[Single]]=1, "Single", Table1[[#This Row],[Together]]=1, "Together", Table1[[#This Row],[Widow]]=1, "Widow")</f>
        <v>Single</v>
      </c>
      <c r="P623" t="str" cm="1">
        <f t="array" ref="P623">_xlfn.IFS(Table1[[#This Row],[Basic]]=1, "Basic", Table1[[#This Row],[Graduate]]=1, "Graduate", Table1[[#This Row],[Master]]=1, "Master", Table1[[#This Row],[PhD]]=1, "PhD", AND(Table1[[#This Row],[Basic]]=0, Table1[[#This Row],[Graduate]]=0, Table1[[#This Row],[Master]]=0, Table1[[#This Row],[PhD]]=0), "NA")</f>
        <v>Graduate</v>
      </c>
      <c r="Q623" t="e">
        <f>_xlfn.XLOOKUP(Table1[[#This Row],[ID]], Table2[ID],#REF!, "Not Found", 0)</f>
        <v>#REF!</v>
      </c>
      <c r="R623" t="e">
        <f>_xlfn.XLOOKUP(Table1[[#This Row],[ID]], Table2[ID],#REF!, "Not Found", 0)</f>
        <v>#REF!</v>
      </c>
      <c r="S623" s="3" t="str">
        <f>_xlfn.XLOOKUP(Table1[[#This Row],[ID]], Table2[ID], Table2[Enrollment], "Not Found", 0)</f>
        <v>8/21/2020</v>
      </c>
      <c r="T623" t="s">
        <v>435</v>
      </c>
    </row>
    <row r="624" spans="1:20" x14ac:dyDescent="0.3">
      <c r="A624">
        <v>3217</v>
      </c>
      <c r="B624">
        <v>166201</v>
      </c>
      <c r="C624">
        <v>2</v>
      </c>
      <c r="D624">
        <v>1</v>
      </c>
      <c r="E624">
        <v>74</v>
      </c>
      <c r="F624">
        <v>0</v>
      </c>
      <c r="G624">
        <v>0</v>
      </c>
      <c r="H624">
        <v>0</v>
      </c>
      <c r="I624">
        <v>1</v>
      </c>
      <c r="J624">
        <v>0</v>
      </c>
      <c r="K624">
        <v>0</v>
      </c>
      <c r="L624">
        <v>0</v>
      </c>
      <c r="M624">
        <v>0</v>
      </c>
      <c r="N624">
        <v>1</v>
      </c>
      <c r="O624" t="str" cm="1">
        <f t="array" ref="O624">_xlfn.IFS(Table1[[#This Row],[Divorced]]=1, "Divorced", Table1[[#This Row],[Married]]=1, "Married", Table1[[#This Row],[Single]]=1, "Single", Table1[[#This Row],[Together]]=1, "Together", Table1[[#This Row],[Widow]]=1, "Widow")</f>
        <v>Together</v>
      </c>
      <c r="P624" t="str" cm="1">
        <f t="array" ref="P624">_xlfn.IFS(Table1[[#This Row],[Basic]]=1, "Basic", Table1[[#This Row],[Graduate]]=1, "Graduate", Table1[[#This Row],[Master]]=1, "Master", Table1[[#This Row],[PhD]]=1, "PhD", AND(Table1[[#This Row],[Basic]]=0, Table1[[#This Row],[Graduate]]=0, Table1[[#This Row],[Master]]=0, Table1[[#This Row],[PhD]]=0), "NA")</f>
        <v>PhD</v>
      </c>
      <c r="Q624" t="e">
        <f>_xlfn.XLOOKUP(Table1[[#This Row],[ID]], Table2[ID],#REF!, "Not Found", 0)</f>
        <v>#REF!</v>
      </c>
      <c r="R624" t="e">
        <f>_xlfn.XLOOKUP(Table1[[#This Row],[ID]], Table2[ID],#REF!, "Not Found", 0)</f>
        <v>#REF!</v>
      </c>
      <c r="S624" s="3" t="str">
        <f>_xlfn.XLOOKUP(Table1[[#This Row],[ID]], Table2[ID], Table2[Enrollment], "Not Found", 0)</f>
        <v>11/14/2020</v>
      </c>
      <c r="T624" t="s">
        <v>437</v>
      </c>
    </row>
    <row r="625" spans="1:20" x14ac:dyDescent="0.3">
      <c r="A625">
        <v>2524</v>
      </c>
      <c r="B625">
        <v>166033</v>
      </c>
      <c r="C625">
        <v>0</v>
      </c>
      <c r="D625">
        <v>1</v>
      </c>
      <c r="E625">
        <v>63</v>
      </c>
      <c r="F625">
        <v>0</v>
      </c>
      <c r="G625">
        <v>0</v>
      </c>
      <c r="H625">
        <v>0</v>
      </c>
      <c r="I625">
        <v>0</v>
      </c>
      <c r="J625">
        <v>1</v>
      </c>
      <c r="K625">
        <v>0</v>
      </c>
      <c r="L625">
        <v>1</v>
      </c>
      <c r="M625">
        <v>0</v>
      </c>
      <c r="N625">
        <v>0</v>
      </c>
      <c r="O625" t="str" cm="1">
        <f t="array" ref="O625">_xlfn.IFS(Table1[[#This Row],[Divorced]]=1, "Divorced", Table1[[#This Row],[Married]]=1, "Married", Table1[[#This Row],[Single]]=1, "Single", Table1[[#This Row],[Together]]=1, "Together", Table1[[#This Row],[Widow]]=1, "Widow")</f>
        <v>Widow</v>
      </c>
      <c r="P625" t="str" cm="1">
        <f t="array" ref="P625">_xlfn.IFS(Table1[[#This Row],[Basic]]=1, "Basic", Table1[[#This Row],[Graduate]]=1, "Graduate", Table1[[#This Row],[Master]]=1, "Master", Table1[[#This Row],[PhD]]=1, "PhD", AND(Table1[[#This Row],[Basic]]=0, Table1[[#This Row],[Graduate]]=0, Table1[[#This Row],[Master]]=0, Table1[[#This Row],[PhD]]=0), "NA")</f>
        <v>Graduate</v>
      </c>
      <c r="Q625" t="e">
        <f>_xlfn.XLOOKUP(Table1[[#This Row],[ID]], Table2[ID],#REF!, "Not Found", 0)</f>
        <v>#REF!</v>
      </c>
      <c r="R625" t="e">
        <f>_xlfn.XLOOKUP(Table1[[#This Row],[ID]], Table2[ID],#REF!, "Not Found", 0)</f>
        <v>#REF!</v>
      </c>
      <c r="S625" s="3" t="str">
        <f>_xlfn.XLOOKUP(Table1[[#This Row],[ID]], Table2[ID], Table2[Enrollment], "Not Found", 0)</f>
        <v>6/27/2019</v>
      </c>
      <c r="T625" t="s">
        <v>439</v>
      </c>
    </row>
    <row r="626" spans="1:20" x14ac:dyDescent="0.3">
      <c r="A626">
        <v>2224</v>
      </c>
      <c r="B626">
        <v>166000</v>
      </c>
      <c r="C626">
        <v>0</v>
      </c>
      <c r="D626">
        <v>0</v>
      </c>
      <c r="E626">
        <v>73</v>
      </c>
      <c r="F626">
        <v>0</v>
      </c>
      <c r="G626">
        <v>0</v>
      </c>
      <c r="H626">
        <v>0</v>
      </c>
      <c r="I626">
        <v>1</v>
      </c>
      <c r="J626">
        <v>0</v>
      </c>
      <c r="K626">
        <v>0</v>
      </c>
      <c r="L626">
        <v>0</v>
      </c>
      <c r="M626">
        <v>1</v>
      </c>
      <c r="N626">
        <v>0</v>
      </c>
      <c r="O626" t="str" cm="1">
        <f t="array" ref="O626">_xlfn.IFS(Table1[[#This Row],[Divorced]]=1, "Divorced", Table1[[#This Row],[Married]]=1, "Married", Table1[[#This Row],[Single]]=1, "Single", Table1[[#This Row],[Together]]=1, "Together", Table1[[#This Row],[Widow]]=1, "Widow")</f>
        <v>Together</v>
      </c>
      <c r="P626" t="str" cm="1">
        <f t="array" ref="P626">_xlfn.IFS(Table1[[#This Row],[Basic]]=1, "Basic", Table1[[#This Row],[Graduate]]=1, "Graduate", Table1[[#This Row],[Master]]=1, "Master", Table1[[#This Row],[PhD]]=1, "PhD", AND(Table1[[#This Row],[Basic]]=0, Table1[[#This Row],[Graduate]]=0, Table1[[#This Row],[Master]]=0, Table1[[#This Row],[PhD]]=0), "NA")</f>
        <v>Master</v>
      </c>
      <c r="Q626" t="e">
        <f>_xlfn.XLOOKUP(Table1[[#This Row],[ID]], Table2[ID],#REF!, "Not Found", 0)</f>
        <v>#REF!</v>
      </c>
      <c r="R626" t="e">
        <f>_xlfn.XLOOKUP(Table1[[#This Row],[ID]], Table2[ID],#REF!, "Not Found", 0)</f>
        <v>#REF!</v>
      </c>
      <c r="S626" s="3" t="str">
        <f>_xlfn.XLOOKUP(Table1[[#This Row],[ID]], Table2[ID], Table2[Enrollment], "Not Found", 0)</f>
        <v>9/24/2020</v>
      </c>
      <c r="T626" t="s">
        <v>439</v>
      </c>
    </row>
    <row r="627" spans="1:20" x14ac:dyDescent="0.3">
      <c r="A627">
        <v>1438</v>
      </c>
      <c r="B627">
        <v>165991</v>
      </c>
      <c r="C627">
        <v>0</v>
      </c>
      <c r="D627">
        <v>1</v>
      </c>
      <c r="E627">
        <v>44</v>
      </c>
      <c r="F627">
        <v>0</v>
      </c>
      <c r="G627">
        <v>1</v>
      </c>
      <c r="H627">
        <v>0</v>
      </c>
      <c r="I627">
        <v>0</v>
      </c>
      <c r="J627">
        <v>0</v>
      </c>
      <c r="K627">
        <v>0</v>
      </c>
      <c r="L627">
        <v>1</v>
      </c>
      <c r="M627">
        <v>0</v>
      </c>
      <c r="N627">
        <v>0</v>
      </c>
      <c r="O627" t="str" cm="1">
        <f t="array" ref="O627">_xlfn.IFS(Table1[[#This Row],[Divorced]]=1, "Divorced", Table1[[#This Row],[Married]]=1, "Married", Table1[[#This Row],[Single]]=1, "Single", Table1[[#This Row],[Together]]=1, "Together", Table1[[#This Row],[Widow]]=1, "Widow")</f>
        <v>Married</v>
      </c>
      <c r="P627" t="str" cm="1">
        <f t="array" ref="P627">_xlfn.IFS(Table1[[#This Row],[Basic]]=1, "Basic", Table1[[#This Row],[Graduate]]=1, "Graduate", Table1[[#This Row],[Master]]=1, "Master", Table1[[#This Row],[PhD]]=1, "PhD", AND(Table1[[#This Row],[Basic]]=0, Table1[[#This Row],[Graduate]]=0, Table1[[#This Row],[Master]]=0, Table1[[#This Row],[PhD]]=0), "NA")</f>
        <v>Graduate</v>
      </c>
      <c r="Q627" t="e">
        <f>_xlfn.XLOOKUP(Table1[[#This Row],[ID]], Table2[ID],#REF!, "Not Found", 0)</f>
        <v>#REF!</v>
      </c>
      <c r="R627" t="e">
        <f>_xlfn.XLOOKUP(Table1[[#This Row],[ID]], Table2[ID],#REF!, "Not Found", 0)</f>
        <v>#REF!</v>
      </c>
      <c r="S627" s="3">
        <f>_xlfn.XLOOKUP(Table1[[#This Row],[ID]], Table2[ID], Table2[Enrollment], "Not Found", 0)</f>
        <v>43801</v>
      </c>
      <c r="T627" t="s">
        <v>439</v>
      </c>
    </row>
    <row r="628" spans="1:20" x14ac:dyDescent="0.3">
      <c r="A628">
        <v>1796</v>
      </c>
      <c r="B628">
        <v>165968</v>
      </c>
      <c r="C628">
        <v>0</v>
      </c>
      <c r="D628">
        <v>1</v>
      </c>
      <c r="E628">
        <v>50</v>
      </c>
      <c r="F628">
        <v>0</v>
      </c>
      <c r="G628">
        <v>0</v>
      </c>
      <c r="H628">
        <v>0</v>
      </c>
      <c r="I628">
        <v>1</v>
      </c>
      <c r="J628">
        <v>0</v>
      </c>
      <c r="K628">
        <v>0</v>
      </c>
      <c r="L628">
        <v>0</v>
      </c>
      <c r="M628">
        <v>0</v>
      </c>
      <c r="N628">
        <v>1</v>
      </c>
      <c r="O628" t="str" cm="1">
        <f t="array" ref="O628">_xlfn.IFS(Table1[[#This Row],[Divorced]]=1, "Divorced", Table1[[#This Row],[Married]]=1, "Married", Table1[[#This Row],[Single]]=1, "Single", Table1[[#This Row],[Together]]=1, "Together", Table1[[#This Row],[Widow]]=1, "Widow")</f>
        <v>Together</v>
      </c>
      <c r="P628" t="str" cm="1">
        <f t="array" ref="P628">_xlfn.IFS(Table1[[#This Row],[Basic]]=1, "Basic", Table1[[#This Row],[Graduate]]=1, "Graduate", Table1[[#This Row],[Master]]=1, "Master", Table1[[#This Row],[PhD]]=1, "PhD", AND(Table1[[#This Row],[Basic]]=0, Table1[[#This Row],[Graduate]]=0, Table1[[#This Row],[Master]]=0, Table1[[#This Row],[PhD]]=0), "NA")</f>
        <v>PhD</v>
      </c>
      <c r="Q628" t="e">
        <f>_xlfn.XLOOKUP(Table1[[#This Row],[ID]], Table2[ID],#REF!, "Not Found", 0)</f>
        <v>#REF!</v>
      </c>
      <c r="R628" t="e">
        <f>_xlfn.XLOOKUP(Table1[[#This Row],[ID]], Table2[ID],#REF!, "Not Found", 0)</f>
        <v>#REF!</v>
      </c>
      <c r="S628" s="3" t="str">
        <f>_xlfn.XLOOKUP(Table1[[#This Row],[ID]], Table2[ID], Table2[Enrollment], "Not Found", 0)</f>
        <v>10/16/2020</v>
      </c>
      <c r="T628" t="s">
        <v>438</v>
      </c>
    </row>
    <row r="629" spans="1:20" x14ac:dyDescent="0.3">
      <c r="A629">
        <v>1095</v>
      </c>
      <c r="B629">
        <v>165846</v>
      </c>
      <c r="C629">
        <v>0</v>
      </c>
      <c r="D629">
        <v>0</v>
      </c>
      <c r="E629">
        <v>75</v>
      </c>
      <c r="F629">
        <v>0</v>
      </c>
      <c r="G629">
        <v>1</v>
      </c>
      <c r="H629">
        <v>0</v>
      </c>
      <c r="I629">
        <v>0</v>
      </c>
      <c r="J629">
        <v>0</v>
      </c>
      <c r="K629">
        <v>0</v>
      </c>
      <c r="L629">
        <v>0</v>
      </c>
      <c r="M629">
        <v>0</v>
      </c>
      <c r="N629">
        <v>1</v>
      </c>
      <c r="O629" t="str" cm="1">
        <f t="array" ref="O629">_xlfn.IFS(Table1[[#This Row],[Divorced]]=1, "Divorced", Table1[[#This Row],[Married]]=1, "Married", Table1[[#This Row],[Single]]=1, "Single", Table1[[#This Row],[Together]]=1, "Together", Table1[[#This Row],[Widow]]=1, "Widow")</f>
        <v>Married</v>
      </c>
      <c r="P629" t="str" cm="1">
        <f t="array" ref="P629">_xlfn.IFS(Table1[[#This Row],[Basic]]=1, "Basic", Table1[[#This Row],[Graduate]]=1, "Graduate", Table1[[#This Row],[Master]]=1, "Master", Table1[[#This Row],[PhD]]=1, "PhD", AND(Table1[[#This Row],[Basic]]=0, Table1[[#This Row],[Graduate]]=0, Table1[[#This Row],[Master]]=0, Table1[[#This Row],[PhD]]=0), "NA")</f>
        <v>PhD</v>
      </c>
      <c r="Q629" t="e">
        <f>_xlfn.XLOOKUP(Table1[[#This Row],[ID]], Table2[ID],#REF!, "Not Found", 0)</f>
        <v>#REF!</v>
      </c>
      <c r="R629" t="e">
        <f>_xlfn.XLOOKUP(Table1[[#This Row],[ID]], Table2[ID],#REF!, "Not Found", 0)</f>
        <v>#REF!</v>
      </c>
      <c r="S629" s="3" t="str">
        <f>_xlfn.XLOOKUP(Table1[[#This Row],[ID]], Table2[ID], Table2[Enrollment], "Not Found", 0)</f>
        <v>10/22/2019</v>
      </c>
      <c r="T629" t="s">
        <v>435</v>
      </c>
    </row>
    <row r="630" spans="1:20" x14ac:dyDescent="0.3">
      <c r="A630">
        <v>2518</v>
      </c>
      <c r="B630">
        <v>165819</v>
      </c>
      <c r="C630">
        <v>0</v>
      </c>
      <c r="D630">
        <v>0</v>
      </c>
      <c r="E630">
        <v>42</v>
      </c>
      <c r="F630">
        <v>0</v>
      </c>
      <c r="G630">
        <v>1</v>
      </c>
      <c r="H630">
        <v>0</v>
      </c>
      <c r="I630">
        <v>0</v>
      </c>
      <c r="J630">
        <v>0</v>
      </c>
      <c r="K630">
        <v>0</v>
      </c>
      <c r="L630">
        <v>1</v>
      </c>
      <c r="M630">
        <v>0</v>
      </c>
      <c r="N630">
        <v>0</v>
      </c>
      <c r="O630" t="str" cm="1">
        <f t="array" ref="O630">_xlfn.IFS(Table1[[#This Row],[Divorced]]=1, "Divorced", Table1[[#This Row],[Married]]=1, "Married", Table1[[#This Row],[Single]]=1, "Single", Table1[[#This Row],[Together]]=1, "Together", Table1[[#This Row],[Widow]]=1, "Widow")</f>
        <v>Married</v>
      </c>
      <c r="P630" t="str" cm="1">
        <f t="array" ref="P630">_xlfn.IFS(Table1[[#This Row],[Basic]]=1, "Basic", Table1[[#This Row],[Graduate]]=1, "Graduate", Table1[[#This Row],[Master]]=1, "Master", Table1[[#This Row],[PhD]]=1, "PhD", AND(Table1[[#This Row],[Basic]]=0, Table1[[#This Row],[Graduate]]=0, Table1[[#This Row],[Master]]=0, Table1[[#This Row],[PhD]]=0), "NA")</f>
        <v>Graduate</v>
      </c>
      <c r="Q630" t="e">
        <f>_xlfn.XLOOKUP(Table1[[#This Row],[ID]], Table2[ID],#REF!, "Not Found", 0)</f>
        <v>#REF!</v>
      </c>
      <c r="R630" t="e">
        <f>_xlfn.XLOOKUP(Table1[[#This Row],[ID]], Table2[ID],#REF!, "Not Found", 0)</f>
        <v>#REF!</v>
      </c>
      <c r="S630" s="3">
        <f>_xlfn.XLOOKUP(Table1[[#This Row],[ID]], Table2[ID], Table2[Enrollment], "Not Found", 0)</f>
        <v>43621</v>
      </c>
      <c r="T630" t="s">
        <v>439</v>
      </c>
    </row>
    <row r="631" spans="1:20" x14ac:dyDescent="0.3">
      <c r="A631">
        <v>2984</v>
      </c>
      <c r="B631">
        <v>165814</v>
      </c>
      <c r="C631">
        <v>0</v>
      </c>
      <c r="D631">
        <v>1</v>
      </c>
      <c r="E631">
        <v>54</v>
      </c>
      <c r="F631">
        <v>0</v>
      </c>
      <c r="G631">
        <v>0</v>
      </c>
      <c r="H631">
        <v>0</v>
      </c>
      <c r="I631">
        <v>1</v>
      </c>
      <c r="J631">
        <v>0</v>
      </c>
      <c r="K631">
        <v>0</v>
      </c>
      <c r="L631">
        <v>0</v>
      </c>
      <c r="M631">
        <v>0</v>
      </c>
      <c r="N631">
        <v>1</v>
      </c>
      <c r="O631" t="str" cm="1">
        <f t="array" ref="O631">_xlfn.IFS(Table1[[#This Row],[Divorced]]=1, "Divorced", Table1[[#This Row],[Married]]=1, "Married", Table1[[#This Row],[Single]]=1, "Single", Table1[[#This Row],[Together]]=1, "Together", Table1[[#This Row],[Widow]]=1, "Widow")</f>
        <v>Together</v>
      </c>
      <c r="P631" t="str" cm="1">
        <f t="array" ref="P631">_xlfn.IFS(Table1[[#This Row],[Basic]]=1, "Basic", Table1[[#This Row],[Graduate]]=1, "Graduate", Table1[[#This Row],[Master]]=1, "Master", Table1[[#This Row],[PhD]]=1, "PhD", AND(Table1[[#This Row],[Basic]]=0, Table1[[#This Row],[Graduate]]=0, Table1[[#This Row],[Master]]=0, Table1[[#This Row],[PhD]]=0), "NA")</f>
        <v>PhD</v>
      </c>
      <c r="Q631" t="e">
        <f>_xlfn.XLOOKUP(Table1[[#This Row],[ID]], Table2[ID],#REF!, "Not Found", 0)</f>
        <v>#REF!</v>
      </c>
      <c r="R631" t="e">
        <f>_xlfn.XLOOKUP(Table1[[#This Row],[ID]], Table2[ID],#REF!, "Not Found", 0)</f>
        <v>#REF!</v>
      </c>
      <c r="S631" s="3">
        <f>_xlfn.XLOOKUP(Table1[[#This Row],[ID]], Table2[ID], Table2[Enrollment], "Not Found", 0)</f>
        <v>43990</v>
      </c>
      <c r="T631" t="s">
        <v>438</v>
      </c>
    </row>
    <row r="632" spans="1:20" x14ac:dyDescent="0.3">
      <c r="A632">
        <v>1391</v>
      </c>
      <c r="B632">
        <v>165808</v>
      </c>
      <c r="C632">
        <v>1</v>
      </c>
      <c r="D632">
        <v>1</v>
      </c>
      <c r="E632">
        <v>49</v>
      </c>
      <c r="F632">
        <v>1</v>
      </c>
      <c r="G632">
        <v>0</v>
      </c>
      <c r="H632">
        <v>0</v>
      </c>
      <c r="I632">
        <v>0</v>
      </c>
      <c r="J632">
        <v>0</v>
      </c>
      <c r="K632">
        <v>0</v>
      </c>
      <c r="L632">
        <v>0</v>
      </c>
      <c r="M632">
        <v>0</v>
      </c>
      <c r="N632">
        <v>1</v>
      </c>
      <c r="O632" t="str" cm="1">
        <f t="array" ref="O632">_xlfn.IFS(Table1[[#This Row],[Divorced]]=1, "Divorced", Table1[[#This Row],[Married]]=1, "Married", Table1[[#This Row],[Single]]=1, "Single", Table1[[#This Row],[Together]]=1, "Together", Table1[[#This Row],[Widow]]=1, "Widow")</f>
        <v>Divorced</v>
      </c>
      <c r="P632" t="str" cm="1">
        <f t="array" ref="P632">_xlfn.IFS(Table1[[#This Row],[Basic]]=1, "Basic", Table1[[#This Row],[Graduate]]=1, "Graduate", Table1[[#This Row],[Master]]=1, "Master", Table1[[#This Row],[PhD]]=1, "PhD", AND(Table1[[#This Row],[Basic]]=0, Table1[[#This Row],[Graduate]]=0, Table1[[#This Row],[Master]]=0, Table1[[#This Row],[PhD]]=0), "NA")</f>
        <v>PhD</v>
      </c>
      <c r="Q632" t="e">
        <f>_xlfn.XLOOKUP(Table1[[#This Row],[ID]], Table2[ID],#REF!, "Not Found", 0)</f>
        <v>#REF!</v>
      </c>
      <c r="R632" t="e">
        <f>_xlfn.XLOOKUP(Table1[[#This Row],[ID]], Table2[ID],#REF!, "Not Found", 0)</f>
        <v>#REF!</v>
      </c>
      <c r="S632" s="3">
        <f>_xlfn.XLOOKUP(Table1[[#This Row],[ID]], Table2[ID], Table2[Enrollment], "Not Found", 0)</f>
        <v>43901</v>
      </c>
      <c r="T632" t="s">
        <v>434</v>
      </c>
    </row>
    <row r="633" spans="1:20" x14ac:dyDescent="0.3">
      <c r="A633">
        <v>1666</v>
      </c>
      <c r="B633">
        <v>165777</v>
      </c>
      <c r="C633">
        <v>0</v>
      </c>
      <c r="D633">
        <v>0</v>
      </c>
      <c r="E633">
        <v>53</v>
      </c>
      <c r="F633">
        <v>0</v>
      </c>
      <c r="G633">
        <v>0</v>
      </c>
      <c r="H633">
        <v>0</v>
      </c>
      <c r="I633">
        <v>1</v>
      </c>
      <c r="J633">
        <v>0</v>
      </c>
      <c r="K633">
        <v>0</v>
      </c>
      <c r="L633">
        <v>1</v>
      </c>
      <c r="M633">
        <v>0</v>
      </c>
      <c r="N633">
        <v>0</v>
      </c>
      <c r="O633" t="str" cm="1">
        <f t="array" ref="O633">_xlfn.IFS(Table1[[#This Row],[Divorced]]=1, "Divorced", Table1[[#This Row],[Married]]=1, "Married", Table1[[#This Row],[Single]]=1, "Single", Table1[[#This Row],[Together]]=1, "Together", Table1[[#This Row],[Widow]]=1, "Widow")</f>
        <v>Together</v>
      </c>
      <c r="P633" t="str" cm="1">
        <f t="array" ref="P633">_xlfn.IFS(Table1[[#This Row],[Basic]]=1, "Basic", Table1[[#This Row],[Graduate]]=1, "Graduate", Table1[[#This Row],[Master]]=1, "Master", Table1[[#This Row],[PhD]]=1, "PhD", AND(Table1[[#This Row],[Basic]]=0, Table1[[#This Row],[Graduate]]=0, Table1[[#This Row],[Master]]=0, Table1[[#This Row],[PhD]]=0), "NA")</f>
        <v>Graduate</v>
      </c>
      <c r="Q633" t="e">
        <f>_xlfn.XLOOKUP(Table1[[#This Row],[ID]], Table2[ID],#REF!, "Not Found", 0)</f>
        <v>#REF!</v>
      </c>
      <c r="R633" t="e">
        <f>_xlfn.XLOOKUP(Table1[[#This Row],[ID]], Table2[ID],#REF!, "Not Found", 0)</f>
        <v>#REF!</v>
      </c>
      <c r="S633" s="3" t="str">
        <f>_xlfn.XLOOKUP(Table1[[#This Row],[ID]], Table2[ID], Table2[Enrollment], "Not Found", 0)</f>
        <v>5/25/2020</v>
      </c>
      <c r="T633" t="s">
        <v>439</v>
      </c>
    </row>
    <row r="634" spans="1:20" x14ac:dyDescent="0.3">
      <c r="A634">
        <v>2192</v>
      </c>
      <c r="B634">
        <v>165748</v>
      </c>
      <c r="C634">
        <v>0</v>
      </c>
      <c r="D634">
        <v>1</v>
      </c>
      <c r="E634">
        <v>65</v>
      </c>
      <c r="F634">
        <v>0</v>
      </c>
      <c r="G634">
        <v>0</v>
      </c>
      <c r="H634">
        <v>0</v>
      </c>
      <c r="I634">
        <v>1</v>
      </c>
      <c r="J634">
        <v>0</v>
      </c>
      <c r="K634">
        <v>0</v>
      </c>
      <c r="L634">
        <v>1</v>
      </c>
      <c r="M634">
        <v>0</v>
      </c>
      <c r="N634">
        <v>0</v>
      </c>
      <c r="O634" t="str" cm="1">
        <f t="array" ref="O634">_xlfn.IFS(Table1[[#This Row],[Divorced]]=1, "Divorced", Table1[[#This Row],[Married]]=1, "Married", Table1[[#This Row],[Single]]=1, "Single", Table1[[#This Row],[Together]]=1, "Together", Table1[[#This Row],[Widow]]=1, "Widow")</f>
        <v>Together</v>
      </c>
      <c r="P634" t="str" cm="1">
        <f t="array" ref="P634">_xlfn.IFS(Table1[[#This Row],[Basic]]=1, "Basic", Table1[[#This Row],[Graduate]]=1, "Graduate", Table1[[#This Row],[Master]]=1, "Master", Table1[[#This Row],[PhD]]=1, "PhD", AND(Table1[[#This Row],[Basic]]=0, Table1[[#This Row],[Graduate]]=0, Table1[[#This Row],[Master]]=0, Table1[[#This Row],[PhD]]=0), "NA")</f>
        <v>Graduate</v>
      </c>
      <c r="Q634" t="e">
        <f>_xlfn.XLOOKUP(Table1[[#This Row],[ID]], Table2[ID],#REF!, "Not Found", 0)</f>
        <v>#REF!</v>
      </c>
      <c r="R634" t="e">
        <f>_xlfn.XLOOKUP(Table1[[#This Row],[ID]], Table2[ID],#REF!, "Not Found", 0)</f>
        <v>#REF!</v>
      </c>
      <c r="S634" s="3" t="str">
        <f>_xlfn.XLOOKUP(Table1[[#This Row],[ID]], Table2[ID], Table2[Enrollment], "Not Found", 0)</f>
        <v>9/20/2019</v>
      </c>
      <c r="T634" t="s">
        <v>438</v>
      </c>
    </row>
    <row r="635" spans="1:20" x14ac:dyDescent="0.3">
      <c r="A635">
        <v>1141</v>
      </c>
      <c r="B635">
        <v>165747</v>
      </c>
      <c r="C635">
        <v>0</v>
      </c>
      <c r="D635">
        <v>1</v>
      </c>
      <c r="E635">
        <v>51</v>
      </c>
      <c r="F635">
        <v>0</v>
      </c>
      <c r="G635">
        <v>1</v>
      </c>
      <c r="H635">
        <v>0</v>
      </c>
      <c r="I635">
        <v>0</v>
      </c>
      <c r="J635">
        <v>0</v>
      </c>
      <c r="K635">
        <v>0</v>
      </c>
      <c r="L635">
        <v>1</v>
      </c>
      <c r="M635">
        <v>0</v>
      </c>
      <c r="N635">
        <v>0</v>
      </c>
      <c r="O635" t="str" cm="1">
        <f t="array" ref="O635">_xlfn.IFS(Table1[[#This Row],[Divorced]]=1, "Divorced", Table1[[#This Row],[Married]]=1, "Married", Table1[[#This Row],[Single]]=1, "Single", Table1[[#This Row],[Together]]=1, "Together", Table1[[#This Row],[Widow]]=1, "Widow")</f>
        <v>Married</v>
      </c>
      <c r="P635" t="str" cm="1">
        <f t="array" ref="P635">_xlfn.IFS(Table1[[#This Row],[Basic]]=1, "Basic", Table1[[#This Row],[Graduate]]=1, "Graduate", Table1[[#This Row],[Master]]=1, "Master", Table1[[#This Row],[PhD]]=1, "PhD", AND(Table1[[#This Row],[Basic]]=0, Table1[[#This Row],[Graduate]]=0, Table1[[#This Row],[Master]]=0, Table1[[#This Row],[PhD]]=0), "NA")</f>
        <v>Graduate</v>
      </c>
      <c r="Q635" t="e">
        <f>_xlfn.XLOOKUP(Table1[[#This Row],[ID]], Table2[ID],#REF!, "Not Found", 0)</f>
        <v>#REF!</v>
      </c>
      <c r="R635" t="e">
        <f>_xlfn.XLOOKUP(Table1[[#This Row],[ID]], Table2[ID],#REF!, "Not Found", 0)</f>
        <v>#REF!</v>
      </c>
      <c r="S635" s="3">
        <f>_xlfn.XLOOKUP(Table1[[#This Row],[ID]], Table2[ID], Table2[Enrollment], "Not Found", 0)</f>
        <v>44143</v>
      </c>
      <c r="T635" t="s">
        <v>437</v>
      </c>
    </row>
    <row r="636" spans="1:20" x14ac:dyDescent="0.3">
      <c r="A636">
        <v>2819</v>
      </c>
      <c r="B636">
        <v>165735</v>
      </c>
      <c r="C636">
        <v>1</v>
      </c>
      <c r="D636">
        <v>1</v>
      </c>
      <c r="E636">
        <v>55</v>
      </c>
      <c r="F636">
        <v>0</v>
      </c>
      <c r="G636">
        <v>0</v>
      </c>
      <c r="H636">
        <v>0</v>
      </c>
      <c r="I636">
        <v>1</v>
      </c>
      <c r="J636">
        <v>0</v>
      </c>
      <c r="K636">
        <v>0</v>
      </c>
      <c r="L636">
        <v>0</v>
      </c>
      <c r="M636">
        <v>1</v>
      </c>
      <c r="N636">
        <v>0</v>
      </c>
      <c r="O636" t="str" cm="1">
        <f t="array" ref="O636">_xlfn.IFS(Table1[[#This Row],[Divorced]]=1, "Divorced", Table1[[#This Row],[Married]]=1, "Married", Table1[[#This Row],[Single]]=1, "Single", Table1[[#This Row],[Together]]=1, "Together", Table1[[#This Row],[Widow]]=1, "Widow")</f>
        <v>Together</v>
      </c>
      <c r="P636" t="str" cm="1">
        <f t="array" ref="P636">_xlfn.IFS(Table1[[#This Row],[Basic]]=1, "Basic", Table1[[#This Row],[Graduate]]=1, "Graduate", Table1[[#This Row],[Master]]=1, "Master", Table1[[#This Row],[PhD]]=1, "PhD", AND(Table1[[#This Row],[Basic]]=0, Table1[[#This Row],[Graduate]]=0, Table1[[#This Row],[Master]]=0, Table1[[#This Row],[PhD]]=0), "NA")</f>
        <v>Master</v>
      </c>
      <c r="Q636" t="e">
        <f>_xlfn.XLOOKUP(Table1[[#This Row],[ID]], Table2[ID],#REF!, "Not Found", 0)</f>
        <v>#REF!</v>
      </c>
      <c r="R636" t="e">
        <f>_xlfn.XLOOKUP(Table1[[#This Row],[ID]], Table2[ID],#REF!, "Not Found", 0)</f>
        <v>#REF!</v>
      </c>
      <c r="S636" s="3" t="str">
        <f>_xlfn.XLOOKUP(Table1[[#This Row],[ID]], Table2[ID], Table2[Enrollment], "Not Found", 0)</f>
        <v>5/13/2020</v>
      </c>
      <c r="T636" t="s">
        <v>434</v>
      </c>
    </row>
    <row r="637" spans="1:20" x14ac:dyDescent="0.3">
      <c r="A637">
        <v>3139</v>
      </c>
      <c r="B637">
        <v>165706</v>
      </c>
      <c r="C637">
        <v>0</v>
      </c>
      <c r="D637">
        <v>0</v>
      </c>
      <c r="E637">
        <v>50</v>
      </c>
      <c r="F637">
        <v>1</v>
      </c>
      <c r="G637">
        <v>0</v>
      </c>
      <c r="H637">
        <v>0</v>
      </c>
      <c r="I637">
        <v>0</v>
      </c>
      <c r="J637">
        <v>0</v>
      </c>
      <c r="K637">
        <v>0</v>
      </c>
      <c r="L637">
        <v>0</v>
      </c>
      <c r="M637">
        <v>0</v>
      </c>
      <c r="N637">
        <v>0</v>
      </c>
      <c r="O637" t="str" cm="1">
        <f t="array" ref="O637">_xlfn.IFS(Table1[[#This Row],[Divorced]]=1, "Divorced", Table1[[#This Row],[Married]]=1, "Married", Table1[[#This Row],[Single]]=1, "Single", Table1[[#This Row],[Together]]=1, "Together", Table1[[#This Row],[Widow]]=1, "Widow")</f>
        <v>Divorced</v>
      </c>
      <c r="P637" t="str" cm="1">
        <f t="array" ref="P637">_xlfn.IFS(Table1[[#This Row],[Basic]]=1, "Basic", Table1[[#This Row],[Graduate]]=1, "Graduate", Table1[[#This Row],[Master]]=1, "Master", Table1[[#This Row],[PhD]]=1, "PhD", AND(Table1[[#This Row],[Basic]]=0, Table1[[#This Row],[Graduate]]=0, Table1[[#This Row],[Master]]=0, Table1[[#This Row],[PhD]]=0), "NA")</f>
        <v>NA</v>
      </c>
      <c r="Q637" t="e">
        <f>_xlfn.XLOOKUP(Table1[[#This Row],[ID]], Table2[ID],#REF!, "Not Found", 0)</f>
        <v>#REF!</v>
      </c>
      <c r="R637" t="e">
        <f>_xlfn.XLOOKUP(Table1[[#This Row],[ID]], Table2[ID],#REF!, "Not Found", 0)</f>
        <v>#REF!</v>
      </c>
      <c r="S637" s="3">
        <f>_xlfn.XLOOKUP(Table1[[#This Row],[ID]], Table2[ID], Table2[Enrollment], "Not Found", 0)</f>
        <v>43536</v>
      </c>
      <c r="T637" t="s">
        <v>437</v>
      </c>
    </row>
    <row r="638" spans="1:20" x14ac:dyDescent="0.3">
      <c r="A638">
        <v>2397</v>
      </c>
      <c r="B638">
        <v>165704</v>
      </c>
      <c r="C638">
        <v>0</v>
      </c>
      <c r="D638">
        <v>0</v>
      </c>
      <c r="E638">
        <v>48</v>
      </c>
      <c r="F638">
        <v>0</v>
      </c>
      <c r="G638">
        <v>0</v>
      </c>
      <c r="H638">
        <v>1</v>
      </c>
      <c r="I638">
        <v>0</v>
      </c>
      <c r="J638">
        <v>0</v>
      </c>
      <c r="K638">
        <v>0</v>
      </c>
      <c r="L638">
        <v>0</v>
      </c>
      <c r="M638">
        <v>0</v>
      </c>
      <c r="N638">
        <v>0</v>
      </c>
      <c r="O638" t="str" cm="1">
        <f t="array" ref="O638">_xlfn.IFS(Table1[[#This Row],[Divorced]]=1, "Divorced", Table1[[#This Row],[Married]]=1, "Married", Table1[[#This Row],[Single]]=1, "Single", Table1[[#This Row],[Together]]=1, "Together", Table1[[#This Row],[Widow]]=1, "Widow")</f>
        <v>Single</v>
      </c>
      <c r="P638" t="str" cm="1">
        <f t="array" ref="P638">_xlfn.IFS(Table1[[#This Row],[Basic]]=1, "Basic", Table1[[#This Row],[Graduate]]=1, "Graduate", Table1[[#This Row],[Master]]=1, "Master", Table1[[#This Row],[PhD]]=1, "PhD", AND(Table1[[#This Row],[Basic]]=0, Table1[[#This Row],[Graduate]]=0, Table1[[#This Row],[Master]]=0, Table1[[#This Row],[PhD]]=0), "NA")</f>
        <v>NA</v>
      </c>
      <c r="Q638" t="e">
        <f>_xlfn.XLOOKUP(Table1[[#This Row],[ID]], Table2[ID],#REF!, "Not Found", 0)</f>
        <v>#REF!</v>
      </c>
      <c r="R638" t="e">
        <f>_xlfn.XLOOKUP(Table1[[#This Row],[ID]], Table2[ID],#REF!, "Not Found", 0)</f>
        <v>#REF!</v>
      </c>
      <c r="S638" s="3" t="str">
        <f>_xlfn.XLOOKUP(Table1[[#This Row],[ID]], Table2[ID], Table2[Enrollment], "Not Found", 0)</f>
        <v>3/19/2020</v>
      </c>
      <c r="T638" t="s">
        <v>435</v>
      </c>
    </row>
    <row r="639" spans="1:20" x14ac:dyDescent="0.3">
      <c r="A639">
        <v>2290</v>
      </c>
      <c r="B639">
        <v>165695</v>
      </c>
      <c r="C639">
        <v>0</v>
      </c>
      <c r="D639">
        <v>1</v>
      </c>
      <c r="E639">
        <v>60</v>
      </c>
      <c r="F639">
        <v>0</v>
      </c>
      <c r="G639">
        <v>1</v>
      </c>
      <c r="H639">
        <v>0</v>
      </c>
      <c r="I639">
        <v>0</v>
      </c>
      <c r="J639">
        <v>0</v>
      </c>
      <c r="K639">
        <v>0</v>
      </c>
      <c r="L639">
        <v>0</v>
      </c>
      <c r="M639">
        <v>0</v>
      </c>
      <c r="N639">
        <v>1</v>
      </c>
      <c r="O639" t="str" cm="1">
        <f t="array" ref="O639">_xlfn.IFS(Table1[[#This Row],[Divorced]]=1, "Divorced", Table1[[#This Row],[Married]]=1, "Married", Table1[[#This Row],[Single]]=1, "Single", Table1[[#This Row],[Together]]=1, "Together", Table1[[#This Row],[Widow]]=1, "Widow")</f>
        <v>Married</v>
      </c>
      <c r="P639" t="str" cm="1">
        <f t="array" ref="P639">_xlfn.IFS(Table1[[#This Row],[Basic]]=1, "Basic", Table1[[#This Row],[Graduate]]=1, "Graduate", Table1[[#This Row],[Master]]=1, "Master", Table1[[#This Row],[PhD]]=1, "PhD", AND(Table1[[#This Row],[Basic]]=0, Table1[[#This Row],[Graduate]]=0, Table1[[#This Row],[Master]]=0, Table1[[#This Row],[PhD]]=0), "NA")</f>
        <v>PhD</v>
      </c>
      <c r="Q639" t="e">
        <f>_xlfn.XLOOKUP(Table1[[#This Row],[ID]], Table2[ID],#REF!, "Not Found", 0)</f>
        <v>#REF!</v>
      </c>
      <c r="R639" t="e">
        <f>_xlfn.XLOOKUP(Table1[[#This Row],[ID]], Table2[ID],#REF!, "Not Found", 0)</f>
        <v>#REF!</v>
      </c>
      <c r="S639" s="3">
        <f>_xlfn.XLOOKUP(Table1[[#This Row],[ID]], Table2[ID], Table2[Enrollment], "Not Found", 0)</f>
        <v>44019</v>
      </c>
      <c r="T639" t="s">
        <v>439</v>
      </c>
    </row>
    <row r="640" spans="1:20" x14ac:dyDescent="0.3">
      <c r="A640">
        <v>1799</v>
      </c>
      <c r="B640">
        <v>165685</v>
      </c>
      <c r="C640">
        <v>0</v>
      </c>
      <c r="D640">
        <v>1</v>
      </c>
      <c r="E640">
        <v>48</v>
      </c>
      <c r="F640">
        <v>0</v>
      </c>
      <c r="G640">
        <v>1</v>
      </c>
      <c r="H640">
        <v>0</v>
      </c>
      <c r="I640">
        <v>0</v>
      </c>
      <c r="J640">
        <v>0</v>
      </c>
      <c r="K640">
        <v>0</v>
      </c>
      <c r="L640">
        <v>1</v>
      </c>
      <c r="M640">
        <v>0</v>
      </c>
      <c r="N640">
        <v>0</v>
      </c>
      <c r="O640" t="str" cm="1">
        <f t="array" ref="O640">_xlfn.IFS(Table1[[#This Row],[Divorced]]=1, "Divorced", Table1[[#This Row],[Married]]=1, "Married", Table1[[#This Row],[Single]]=1, "Single", Table1[[#This Row],[Together]]=1, "Together", Table1[[#This Row],[Widow]]=1, "Widow")</f>
        <v>Married</v>
      </c>
      <c r="P640" t="str" cm="1">
        <f t="array" ref="P640">_xlfn.IFS(Table1[[#This Row],[Basic]]=1, "Basic", Table1[[#This Row],[Graduate]]=1, "Graduate", Table1[[#This Row],[Master]]=1, "Master", Table1[[#This Row],[PhD]]=1, "PhD", AND(Table1[[#This Row],[Basic]]=0, Table1[[#This Row],[Graduate]]=0, Table1[[#This Row],[Master]]=0, Table1[[#This Row],[PhD]]=0), "NA")</f>
        <v>Graduate</v>
      </c>
      <c r="Q640" t="e">
        <f>_xlfn.XLOOKUP(Table1[[#This Row],[ID]], Table2[ID],#REF!, "Not Found", 0)</f>
        <v>#REF!</v>
      </c>
      <c r="R640" t="e">
        <f>_xlfn.XLOOKUP(Table1[[#This Row],[ID]], Table2[ID],#REF!, "Not Found", 0)</f>
        <v>#REF!</v>
      </c>
      <c r="S640" s="3">
        <f>_xlfn.XLOOKUP(Table1[[#This Row],[ID]], Table2[ID], Table2[Enrollment], "Not Found", 0)</f>
        <v>43870</v>
      </c>
      <c r="T640" t="s">
        <v>434</v>
      </c>
    </row>
    <row r="641" spans="1:20" x14ac:dyDescent="0.3">
      <c r="A641">
        <v>2377</v>
      </c>
      <c r="B641">
        <v>165685</v>
      </c>
      <c r="C641">
        <v>0</v>
      </c>
      <c r="D641">
        <v>1</v>
      </c>
      <c r="E641">
        <v>48</v>
      </c>
      <c r="F641">
        <v>0</v>
      </c>
      <c r="G641">
        <v>1</v>
      </c>
      <c r="H641">
        <v>0</v>
      </c>
      <c r="I641">
        <v>0</v>
      </c>
      <c r="J641">
        <v>0</v>
      </c>
      <c r="K641">
        <v>0</v>
      </c>
      <c r="L641">
        <v>1</v>
      </c>
      <c r="M641">
        <v>0</v>
      </c>
      <c r="N641">
        <v>0</v>
      </c>
      <c r="O641" t="str" cm="1">
        <f t="array" ref="O641">_xlfn.IFS(Table1[[#This Row],[Divorced]]=1, "Divorced", Table1[[#This Row],[Married]]=1, "Married", Table1[[#This Row],[Single]]=1, "Single", Table1[[#This Row],[Together]]=1, "Together", Table1[[#This Row],[Widow]]=1, "Widow")</f>
        <v>Married</v>
      </c>
      <c r="P641" t="str" cm="1">
        <f t="array" ref="P641">_xlfn.IFS(Table1[[#This Row],[Basic]]=1, "Basic", Table1[[#This Row],[Graduate]]=1, "Graduate", Table1[[#This Row],[Master]]=1, "Master", Table1[[#This Row],[PhD]]=1, "PhD", AND(Table1[[#This Row],[Basic]]=0, Table1[[#This Row],[Graduate]]=0, Table1[[#This Row],[Master]]=0, Table1[[#This Row],[PhD]]=0), "NA")</f>
        <v>Graduate</v>
      </c>
      <c r="Q641" t="e">
        <f>_xlfn.XLOOKUP(Table1[[#This Row],[ID]], Table2[ID],#REF!, "Not Found", 0)</f>
        <v>#REF!</v>
      </c>
      <c r="R641" t="e">
        <f>_xlfn.XLOOKUP(Table1[[#This Row],[ID]], Table2[ID],#REF!, "Not Found", 0)</f>
        <v>#REF!</v>
      </c>
      <c r="S641" s="3">
        <f>_xlfn.XLOOKUP(Table1[[#This Row],[ID]], Table2[ID], Table2[Enrollment], "Not Found", 0)</f>
        <v>43870</v>
      </c>
      <c r="T641" t="s">
        <v>437</v>
      </c>
    </row>
    <row r="642" spans="1:20" x14ac:dyDescent="0.3">
      <c r="A642">
        <v>1490</v>
      </c>
      <c r="B642">
        <v>165665</v>
      </c>
      <c r="C642">
        <v>0</v>
      </c>
      <c r="D642">
        <v>1</v>
      </c>
      <c r="E642">
        <v>44</v>
      </c>
      <c r="F642">
        <v>0</v>
      </c>
      <c r="G642">
        <v>1</v>
      </c>
      <c r="H642">
        <v>0</v>
      </c>
      <c r="I642">
        <v>0</v>
      </c>
      <c r="J642">
        <v>0</v>
      </c>
      <c r="K642">
        <v>0</v>
      </c>
      <c r="L642">
        <v>1</v>
      </c>
      <c r="M642">
        <v>0</v>
      </c>
      <c r="N642">
        <v>0</v>
      </c>
      <c r="O642" t="str" cm="1">
        <f t="array" ref="O642">_xlfn.IFS(Table1[[#This Row],[Divorced]]=1, "Divorced", Table1[[#This Row],[Married]]=1, "Married", Table1[[#This Row],[Single]]=1, "Single", Table1[[#This Row],[Together]]=1, "Together", Table1[[#This Row],[Widow]]=1, "Widow")</f>
        <v>Married</v>
      </c>
      <c r="P642" t="str" cm="1">
        <f t="array" ref="P642">_xlfn.IFS(Table1[[#This Row],[Basic]]=1, "Basic", Table1[[#This Row],[Graduate]]=1, "Graduate", Table1[[#This Row],[Master]]=1, "Master", Table1[[#This Row],[PhD]]=1, "PhD", AND(Table1[[#This Row],[Basic]]=0, Table1[[#This Row],[Graduate]]=0, Table1[[#This Row],[Master]]=0, Table1[[#This Row],[PhD]]=0), "NA")</f>
        <v>Graduate</v>
      </c>
      <c r="Q642" t="e">
        <f>_xlfn.XLOOKUP(Table1[[#This Row],[ID]], Table2[ID],#REF!, "Not Found", 0)</f>
        <v>#REF!</v>
      </c>
      <c r="R642" t="e">
        <f>_xlfn.XLOOKUP(Table1[[#This Row],[ID]], Table2[ID],#REF!, "Not Found", 0)</f>
        <v>#REF!</v>
      </c>
      <c r="S642" s="3">
        <f>_xlfn.XLOOKUP(Table1[[#This Row],[ID]], Table2[ID], Table2[Enrollment], "Not Found", 0)</f>
        <v>44048</v>
      </c>
      <c r="T642" t="s">
        <v>438</v>
      </c>
    </row>
    <row r="643" spans="1:20" x14ac:dyDescent="0.3">
      <c r="A643">
        <v>1270</v>
      </c>
      <c r="B643">
        <v>165640</v>
      </c>
      <c r="C643">
        <v>0</v>
      </c>
      <c r="D643">
        <v>1</v>
      </c>
      <c r="E643">
        <v>46</v>
      </c>
      <c r="F643">
        <v>0</v>
      </c>
      <c r="G643">
        <v>0</v>
      </c>
      <c r="H643">
        <v>0</v>
      </c>
      <c r="I643">
        <v>1</v>
      </c>
      <c r="J643">
        <v>0</v>
      </c>
      <c r="K643">
        <v>0</v>
      </c>
      <c r="L643">
        <v>0</v>
      </c>
      <c r="M643">
        <v>0</v>
      </c>
      <c r="N643">
        <v>1</v>
      </c>
      <c r="O643" t="str" cm="1">
        <f t="array" ref="O643">_xlfn.IFS(Table1[[#This Row],[Divorced]]=1, "Divorced", Table1[[#This Row],[Married]]=1, "Married", Table1[[#This Row],[Single]]=1, "Single", Table1[[#This Row],[Together]]=1, "Together", Table1[[#This Row],[Widow]]=1, "Widow")</f>
        <v>Together</v>
      </c>
      <c r="P643" t="str" cm="1">
        <f t="array" ref="P643">_xlfn.IFS(Table1[[#This Row],[Basic]]=1, "Basic", Table1[[#This Row],[Graduate]]=1, "Graduate", Table1[[#This Row],[Master]]=1, "Master", Table1[[#This Row],[PhD]]=1, "PhD", AND(Table1[[#This Row],[Basic]]=0, Table1[[#This Row],[Graduate]]=0, Table1[[#This Row],[Master]]=0, Table1[[#This Row],[PhD]]=0), "NA")</f>
        <v>PhD</v>
      </c>
      <c r="Q643" t="e">
        <f>_xlfn.XLOOKUP(Table1[[#This Row],[ID]], Table2[ID],#REF!, "Not Found", 0)</f>
        <v>#REF!</v>
      </c>
      <c r="R643" t="e">
        <f>_xlfn.XLOOKUP(Table1[[#This Row],[ID]], Table2[ID],#REF!, "Not Found", 0)</f>
        <v>#REF!</v>
      </c>
      <c r="S643" s="3">
        <f>_xlfn.XLOOKUP(Table1[[#This Row],[ID]], Table2[ID], Table2[Enrollment], "Not Found", 0)</f>
        <v>43959</v>
      </c>
      <c r="T643" t="s">
        <v>439</v>
      </c>
    </row>
    <row r="644" spans="1:20" x14ac:dyDescent="0.3">
      <c r="A644">
        <v>1987</v>
      </c>
      <c r="B644">
        <v>165569</v>
      </c>
      <c r="C644">
        <v>0</v>
      </c>
      <c r="D644">
        <v>1</v>
      </c>
      <c r="E644">
        <v>67</v>
      </c>
      <c r="F644">
        <v>0</v>
      </c>
      <c r="G644">
        <v>1</v>
      </c>
      <c r="H644">
        <v>0</v>
      </c>
      <c r="I644">
        <v>0</v>
      </c>
      <c r="J644">
        <v>0</v>
      </c>
      <c r="K644">
        <v>0</v>
      </c>
      <c r="L644">
        <v>0</v>
      </c>
      <c r="M644">
        <v>1</v>
      </c>
      <c r="N644">
        <v>0</v>
      </c>
      <c r="O644" t="str" cm="1">
        <f t="array" ref="O644">_xlfn.IFS(Table1[[#This Row],[Divorced]]=1, "Divorced", Table1[[#This Row],[Married]]=1, "Married", Table1[[#This Row],[Single]]=1, "Single", Table1[[#This Row],[Together]]=1, "Together", Table1[[#This Row],[Widow]]=1, "Widow")</f>
        <v>Married</v>
      </c>
      <c r="P644" t="str" cm="1">
        <f t="array" ref="P644">_xlfn.IFS(Table1[[#This Row],[Basic]]=1, "Basic", Table1[[#This Row],[Graduate]]=1, "Graduate", Table1[[#This Row],[Master]]=1, "Master", Table1[[#This Row],[PhD]]=1, "PhD", AND(Table1[[#This Row],[Basic]]=0, Table1[[#This Row],[Graduate]]=0, Table1[[#This Row],[Master]]=0, Table1[[#This Row],[PhD]]=0), "NA")</f>
        <v>Master</v>
      </c>
      <c r="Q644" t="e">
        <f>_xlfn.XLOOKUP(Table1[[#This Row],[ID]], Table2[ID],#REF!, "Not Found", 0)</f>
        <v>#REF!</v>
      </c>
      <c r="R644" t="e">
        <f>_xlfn.XLOOKUP(Table1[[#This Row],[ID]], Table2[ID],#REF!, "Not Found", 0)</f>
        <v>#REF!</v>
      </c>
      <c r="S644" s="3">
        <f>_xlfn.XLOOKUP(Table1[[#This Row],[ID]], Table2[ID], Table2[Enrollment], "Not Found", 0)</f>
        <v>43803</v>
      </c>
      <c r="T644" t="s">
        <v>437</v>
      </c>
    </row>
    <row r="645" spans="1:20" x14ac:dyDescent="0.3">
      <c r="A645">
        <v>2045</v>
      </c>
      <c r="B645">
        <v>165526</v>
      </c>
      <c r="C645">
        <v>0</v>
      </c>
      <c r="D645">
        <v>1</v>
      </c>
      <c r="E645">
        <v>56</v>
      </c>
      <c r="F645">
        <v>0</v>
      </c>
      <c r="G645">
        <v>1</v>
      </c>
      <c r="H645">
        <v>0</v>
      </c>
      <c r="I645">
        <v>0</v>
      </c>
      <c r="J645">
        <v>0</v>
      </c>
      <c r="K645">
        <v>0</v>
      </c>
      <c r="L645">
        <v>0</v>
      </c>
      <c r="M645">
        <v>0</v>
      </c>
      <c r="N645">
        <v>1</v>
      </c>
      <c r="O645" t="str" cm="1">
        <f t="array" ref="O645">_xlfn.IFS(Table1[[#This Row],[Divorced]]=1, "Divorced", Table1[[#This Row],[Married]]=1, "Married", Table1[[#This Row],[Single]]=1, "Single", Table1[[#This Row],[Together]]=1, "Together", Table1[[#This Row],[Widow]]=1, "Widow")</f>
        <v>Married</v>
      </c>
      <c r="P645" t="str" cm="1">
        <f t="array" ref="P645">_xlfn.IFS(Table1[[#This Row],[Basic]]=1, "Basic", Table1[[#This Row],[Graduate]]=1, "Graduate", Table1[[#This Row],[Master]]=1, "Master", Table1[[#This Row],[PhD]]=1, "PhD", AND(Table1[[#This Row],[Basic]]=0, Table1[[#This Row],[Graduate]]=0, Table1[[#This Row],[Master]]=0, Table1[[#This Row],[PhD]]=0), "NA")</f>
        <v>PhD</v>
      </c>
      <c r="Q645" t="e">
        <f>_xlfn.XLOOKUP(Table1[[#This Row],[ID]], Table2[ID],#REF!, "Not Found", 0)</f>
        <v>#REF!</v>
      </c>
      <c r="R645" t="e">
        <f>_xlfn.XLOOKUP(Table1[[#This Row],[ID]], Table2[ID],#REF!, "Not Found", 0)</f>
        <v>#REF!</v>
      </c>
      <c r="S645" s="3" t="str">
        <f>_xlfn.XLOOKUP(Table1[[#This Row],[ID]], Table2[ID], Table2[Enrollment], "Not Found", 0)</f>
        <v>9/15/2020</v>
      </c>
      <c r="T645" t="s">
        <v>434</v>
      </c>
    </row>
    <row r="646" spans="1:20" x14ac:dyDescent="0.3">
      <c r="A646">
        <v>2585</v>
      </c>
      <c r="B646">
        <v>165526</v>
      </c>
      <c r="C646">
        <v>0</v>
      </c>
      <c r="D646">
        <v>1</v>
      </c>
      <c r="E646">
        <v>56</v>
      </c>
      <c r="F646">
        <v>0</v>
      </c>
      <c r="G646">
        <v>1</v>
      </c>
      <c r="H646">
        <v>0</v>
      </c>
      <c r="I646">
        <v>0</v>
      </c>
      <c r="J646">
        <v>0</v>
      </c>
      <c r="K646">
        <v>0</v>
      </c>
      <c r="L646">
        <v>0</v>
      </c>
      <c r="M646">
        <v>0</v>
      </c>
      <c r="N646">
        <v>1</v>
      </c>
      <c r="O646" t="str" cm="1">
        <f t="array" ref="O646">_xlfn.IFS(Table1[[#This Row],[Divorced]]=1, "Divorced", Table1[[#This Row],[Married]]=1, "Married", Table1[[#This Row],[Single]]=1, "Single", Table1[[#This Row],[Together]]=1, "Together", Table1[[#This Row],[Widow]]=1, "Widow")</f>
        <v>Married</v>
      </c>
      <c r="P646" t="str" cm="1">
        <f t="array" ref="P646">_xlfn.IFS(Table1[[#This Row],[Basic]]=1, "Basic", Table1[[#This Row],[Graduate]]=1, "Graduate", Table1[[#This Row],[Master]]=1, "Master", Table1[[#This Row],[PhD]]=1, "PhD", AND(Table1[[#This Row],[Basic]]=0, Table1[[#This Row],[Graduate]]=0, Table1[[#This Row],[Master]]=0, Table1[[#This Row],[PhD]]=0), "NA")</f>
        <v>PhD</v>
      </c>
      <c r="Q646" t="e">
        <f>_xlfn.XLOOKUP(Table1[[#This Row],[ID]], Table2[ID],#REF!, "Not Found", 0)</f>
        <v>#REF!</v>
      </c>
      <c r="R646" t="e">
        <f>_xlfn.XLOOKUP(Table1[[#This Row],[ID]], Table2[ID],#REF!, "Not Found", 0)</f>
        <v>#REF!</v>
      </c>
      <c r="S646" s="3" t="str">
        <f>_xlfn.XLOOKUP(Table1[[#This Row],[ID]], Table2[ID], Table2[Enrollment], "Not Found", 0)</f>
        <v>9/15/2020</v>
      </c>
      <c r="T646" t="s">
        <v>434</v>
      </c>
    </row>
    <row r="647" spans="1:20" x14ac:dyDescent="0.3">
      <c r="A647">
        <v>2471</v>
      </c>
      <c r="B647">
        <v>165492</v>
      </c>
      <c r="C647">
        <v>0</v>
      </c>
      <c r="D647">
        <v>0</v>
      </c>
      <c r="E647">
        <v>61</v>
      </c>
      <c r="F647">
        <v>0</v>
      </c>
      <c r="G647">
        <v>1</v>
      </c>
      <c r="H647">
        <v>0</v>
      </c>
      <c r="I647">
        <v>0</v>
      </c>
      <c r="J647">
        <v>0</v>
      </c>
      <c r="K647">
        <v>0</v>
      </c>
      <c r="L647">
        <v>1</v>
      </c>
      <c r="M647">
        <v>0</v>
      </c>
      <c r="N647">
        <v>0</v>
      </c>
      <c r="O647" t="str" cm="1">
        <f t="array" ref="O647">_xlfn.IFS(Table1[[#This Row],[Divorced]]=1, "Divorced", Table1[[#This Row],[Married]]=1, "Married", Table1[[#This Row],[Single]]=1, "Single", Table1[[#This Row],[Together]]=1, "Together", Table1[[#This Row],[Widow]]=1, "Widow")</f>
        <v>Married</v>
      </c>
      <c r="P647" t="str" cm="1">
        <f t="array" ref="P647">_xlfn.IFS(Table1[[#This Row],[Basic]]=1, "Basic", Table1[[#This Row],[Graduate]]=1, "Graduate", Table1[[#This Row],[Master]]=1, "Master", Table1[[#This Row],[PhD]]=1, "PhD", AND(Table1[[#This Row],[Basic]]=0, Table1[[#This Row],[Graduate]]=0, Table1[[#This Row],[Master]]=0, Table1[[#This Row],[PhD]]=0), "NA")</f>
        <v>Graduate</v>
      </c>
      <c r="Q647" t="e">
        <f>_xlfn.XLOOKUP(Table1[[#This Row],[ID]], Table2[ID],#REF!, "Not Found", 0)</f>
        <v>#REF!</v>
      </c>
      <c r="R647" t="e">
        <f>_xlfn.XLOOKUP(Table1[[#This Row],[ID]], Table2[ID],#REF!, "Not Found", 0)</f>
        <v>#REF!</v>
      </c>
      <c r="S647" s="3">
        <f>_xlfn.XLOOKUP(Table1[[#This Row],[ID]], Table2[ID], Table2[Enrollment], "Not Found", 0)</f>
        <v>43868</v>
      </c>
      <c r="T647" t="s">
        <v>434</v>
      </c>
    </row>
    <row r="648" spans="1:20" x14ac:dyDescent="0.3">
      <c r="A648">
        <v>1614</v>
      </c>
      <c r="B648">
        <v>165488</v>
      </c>
      <c r="C648">
        <v>0</v>
      </c>
      <c r="D648">
        <v>0</v>
      </c>
      <c r="E648">
        <v>62</v>
      </c>
      <c r="F648">
        <v>0</v>
      </c>
      <c r="G648">
        <v>0</v>
      </c>
      <c r="H648">
        <v>0</v>
      </c>
      <c r="I648">
        <v>1</v>
      </c>
      <c r="J648">
        <v>0</v>
      </c>
      <c r="K648">
        <v>0</v>
      </c>
      <c r="L648">
        <v>0</v>
      </c>
      <c r="M648">
        <v>0</v>
      </c>
      <c r="N648">
        <v>1</v>
      </c>
      <c r="O648" t="str" cm="1">
        <f t="array" ref="O648">_xlfn.IFS(Table1[[#This Row],[Divorced]]=1, "Divorced", Table1[[#This Row],[Married]]=1, "Married", Table1[[#This Row],[Single]]=1, "Single", Table1[[#This Row],[Together]]=1, "Together", Table1[[#This Row],[Widow]]=1, "Widow")</f>
        <v>Together</v>
      </c>
      <c r="P648" t="str" cm="1">
        <f t="array" ref="P648">_xlfn.IFS(Table1[[#This Row],[Basic]]=1, "Basic", Table1[[#This Row],[Graduate]]=1, "Graduate", Table1[[#This Row],[Master]]=1, "Master", Table1[[#This Row],[PhD]]=1, "PhD", AND(Table1[[#This Row],[Basic]]=0, Table1[[#This Row],[Graduate]]=0, Table1[[#This Row],[Master]]=0, Table1[[#This Row],[PhD]]=0), "NA")</f>
        <v>PhD</v>
      </c>
      <c r="Q648" t="e">
        <f>_xlfn.XLOOKUP(Table1[[#This Row],[ID]], Table2[ID],#REF!, "Not Found", 0)</f>
        <v>#REF!</v>
      </c>
      <c r="R648" t="e">
        <f>_xlfn.XLOOKUP(Table1[[#This Row],[ID]], Table2[ID],#REF!, "Not Found", 0)</f>
        <v>#REF!</v>
      </c>
      <c r="S648" s="3" t="str">
        <f>_xlfn.XLOOKUP(Table1[[#This Row],[ID]], Table2[ID], Table2[Enrollment], "Not Found", 0)</f>
        <v>11/17/2020</v>
      </c>
      <c r="T648" t="s">
        <v>436</v>
      </c>
    </row>
    <row r="649" spans="1:20" x14ac:dyDescent="0.3">
      <c r="A649">
        <v>3102</v>
      </c>
      <c r="B649">
        <v>165487</v>
      </c>
      <c r="C649">
        <v>0</v>
      </c>
      <c r="D649">
        <v>0</v>
      </c>
      <c r="E649">
        <v>63</v>
      </c>
      <c r="F649">
        <v>0</v>
      </c>
      <c r="G649">
        <v>0</v>
      </c>
      <c r="H649">
        <v>1</v>
      </c>
      <c r="I649">
        <v>0</v>
      </c>
      <c r="J649">
        <v>0</v>
      </c>
      <c r="K649">
        <v>0</v>
      </c>
      <c r="L649">
        <v>0</v>
      </c>
      <c r="M649">
        <v>1</v>
      </c>
      <c r="N649">
        <v>0</v>
      </c>
      <c r="O649" t="str" cm="1">
        <f t="array" ref="O649">_xlfn.IFS(Table1[[#This Row],[Divorced]]=1, "Divorced", Table1[[#This Row],[Married]]=1, "Married", Table1[[#This Row],[Single]]=1, "Single", Table1[[#This Row],[Together]]=1, "Together", Table1[[#This Row],[Widow]]=1, "Widow")</f>
        <v>Single</v>
      </c>
      <c r="P649" t="str" cm="1">
        <f t="array" ref="P649">_xlfn.IFS(Table1[[#This Row],[Basic]]=1, "Basic", Table1[[#This Row],[Graduate]]=1, "Graduate", Table1[[#This Row],[Master]]=1, "Master", Table1[[#This Row],[PhD]]=1, "PhD", AND(Table1[[#This Row],[Basic]]=0, Table1[[#This Row],[Graduate]]=0, Table1[[#This Row],[Master]]=0, Table1[[#This Row],[PhD]]=0), "NA")</f>
        <v>Master</v>
      </c>
      <c r="Q649" t="e">
        <f>_xlfn.XLOOKUP(Table1[[#This Row],[ID]], Table2[ID],#REF!, "Not Found", 0)</f>
        <v>#REF!</v>
      </c>
      <c r="R649" t="e">
        <f>_xlfn.XLOOKUP(Table1[[#This Row],[ID]], Table2[ID],#REF!, "Not Found", 0)</f>
        <v>#REF!</v>
      </c>
      <c r="S649" s="3" t="str">
        <f>_xlfn.XLOOKUP(Table1[[#This Row],[ID]], Table2[ID], Table2[Enrollment], "Not Found", 0)</f>
        <v>6/16/2020</v>
      </c>
      <c r="T649" t="s">
        <v>436</v>
      </c>
    </row>
    <row r="650" spans="1:20" x14ac:dyDescent="0.3">
      <c r="A650">
        <v>3156</v>
      </c>
      <c r="B650">
        <v>165487</v>
      </c>
      <c r="C650">
        <v>0</v>
      </c>
      <c r="D650">
        <v>0</v>
      </c>
      <c r="E650">
        <v>63</v>
      </c>
      <c r="F650">
        <v>0</v>
      </c>
      <c r="G650">
        <v>0</v>
      </c>
      <c r="H650">
        <v>0</v>
      </c>
      <c r="I650">
        <v>1</v>
      </c>
      <c r="J650">
        <v>0</v>
      </c>
      <c r="K650">
        <v>0</v>
      </c>
      <c r="L650">
        <v>0</v>
      </c>
      <c r="M650">
        <v>1</v>
      </c>
      <c r="N650">
        <v>0</v>
      </c>
      <c r="O650" t="str" cm="1">
        <f t="array" ref="O650">_xlfn.IFS(Table1[[#This Row],[Divorced]]=1, "Divorced", Table1[[#This Row],[Married]]=1, "Married", Table1[[#This Row],[Single]]=1, "Single", Table1[[#This Row],[Together]]=1, "Together", Table1[[#This Row],[Widow]]=1, "Widow")</f>
        <v>Together</v>
      </c>
      <c r="P650" t="str" cm="1">
        <f t="array" ref="P650">_xlfn.IFS(Table1[[#This Row],[Basic]]=1, "Basic", Table1[[#This Row],[Graduate]]=1, "Graduate", Table1[[#This Row],[Master]]=1, "Master", Table1[[#This Row],[PhD]]=1, "PhD", AND(Table1[[#This Row],[Basic]]=0, Table1[[#This Row],[Graduate]]=0, Table1[[#This Row],[Master]]=0, Table1[[#This Row],[PhD]]=0), "NA")</f>
        <v>Master</v>
      </c>
      <c r="Q650" t="e">
        <f>_xlfn.XLOOKUP(Table1[[#This Row],[ID]], Table2[ID],#REF!, "Not Found", 0)</f>
        <v>#REF!</v>
      </c>
      <c r="R650" t="e">
        <f>_xlfn.XLOOKUP(Table1[[#This Row],[ID]], Table2[ID],#REF!, "Not Found", 0)</f>
        <v>#REF!</v>
      </c>
      <c r="S650" s="3" t="str">
        <f>_xlfn.XLOOKUP(Table1[[#This Row],[ID]], Table2[ID], Table2[Enrollment], "Not Found", 0)</f>
        <v>6/16/2020</v>
      </c>
      <c r="T650" t="s">
        <v>436</v>
      </c>
    </row>
    <row r="651" spans="1:20" x14ac:dyDescent="0.3">
      <c r="A651">
        <v>1047</v>
      </c>
      <c r="B651">
        <v>165486</v>
      </c>
      <c r="C651">
        <v>0</v>
      </c>
      <c r="D651">
        <v>1</v>
      </c>
      <c r="E651">
        <v>63</v>
      </c>
      <c r="F651">
        <v>0</v>
      </c>
      <c r="G651">
        <v>0</v>
      </c>
      <c r="H651">
        <v>0</v>
      </c>
      <c r="I651">
        <v>0</v>
      </c>
      <c r="J651">
        <v>1</v>
      </c>
      <c r="K651">
        <v>0</v>
      </c>
      <c r="L651">
        <v>1</v>
      </c>
      <c r="M651">
        <v>0</v>
      </c>
      <c r="N651">
        <v>0</v>
      </c>
      <c r="O651" t="str" cm="1">
        <f t="array" ref="O651">_xlfn.IFS(Table1[[#This Row],[Divorced]]=1, "Divorced", Table1[[#This Row],[Married]]=1, "Married", Table1[[#This Row],[Single]]=1, "Single", Table1[[#This Row],[Together]]=1, "Together", Table1[[#This Row],[Widow]]=1, "Widow")</f>
        <v>Widow</v>
      </c>
      <c r="P651" t="str" cm="1">
        <f t="array" ref="P651">_xlfn.IFS(Table1[[#This Row],[Basic]]=1, "Basic", Table1[[#This Row],[Graduate]]=1, "Graduate", Table1[[#This Row],[Master]]=1, "Master", Table1[[#This Row],[PhD]]=1, "PhD", AND(Table1[[#This Row],[Basic]]=0, Table1[[#This Row],[Graduate]]=0, Table1[[#This Row],[Master]]=0, Table1[[#This Row],[PhD]]=0), "NA")</f>
        <v>Graduate</v>
      </c>
      <c r="Q651" t="e">
        <f>_xlfn.XLOOKUP(Table1[[#This Row],[ID]], Table2[ID],#REF!, "Not Found", 0)</f>
        <v>#REF!</v>
      </c>
      <c r="R651" t="e">
        <f>_xlfn.XLOOKUP(Table1[[#This Row],[ID]], Table2[ID],#REF!, "Not Found", 0)</f>
        <v>#REF!</v>
      </c>
      <c r="S651" s="3" t="str">
        <f>_xlfn.XLOOKUP(Table1[[#This Row],[ID]], Table2[ID], Table2[Enrollment], "Not Found", 0)</f>
        <v>10/16/2020</v>
      </c>
      <c r="T651" t="s">
        <v>435</v>
      </c>
    </row>
    <row r="652" spans="1:20" x14ac:dyDescent="0.3">
      <c r="A652">
        <v>2089</v>
      </c>
      <c r="B652">
        <v>165463</v>
      </c>
      <c r="C652">
        <v>1</v>
      </c>
      <c r="D652">
        <v>0</v>
      </c>
      <c r="E652">
        <v>46</v>
      </c>
      <c r="F652">
        <v>0</v>
      </c>
      <c r="G652">
        <v>1</v>
      </c>
      <c r="H652">
        <v>0</v>
      </c>
      <c r="I652">
        <v>0</v>
      </c>
      <c r="J652">
        <v>0</v>
      </c>
      <c r="K652">
        <v>0</v>
      </c>
      <c r="L652">
        <v>0</v>
      </c>
      <c r="M652">
        <v>0</v>
      </c>
      <c r="N652">
        <v>0</v>
      </c>
      <c r="O652" t="str" cm="1">
        <f t="array" ref="O652">_xlfn.IFS(Table1[[#This Row],[Divorced]]=1, "Divorced", Table1[[#This Row],[Married]]=1, "Married", Table1[[#This Row],[Single]]=1, "Single", Table1[[#This Row],[Together]]=1, "Together", Table1[[#This Row],[Widow]]=1, "Widow")</f>
        <v>Married</v>
      </c>
      <c r="P652" t="str" cm="1">
        <f t="array" ref="P652">_xlfn.IFS(Table1[[#This Row],[Basic]]=1, "Basic", Table1[[#This Row],[Graduate]]=1, "Graduate", Table1[[#This Row],[Master]]=1, "Master", Table1[[#This Row],[PhD]]=1, "PhD", AND(Table1[[#This Row],[Basic]]=0, Table1[[#This Row],[Graduate]]=0, Table1[[#This Row],[Master]]=0, Table1[[#This Row],[PhD]]=0), "NA")</f>
        <v>NA</v>
      </c>
      <c r="Q652" t="e">
        <f>_xlfn.XLOOKUP(Table1[[#This Row],[ID]], Table2[ID],#REF!, "Not Found", 0)</f>
        <v>#REF!</v>
      </c>
      <c r="R652" t="e">
        <f>_xlfn.XLOOKUP(Table1[[#This Row],[ID]], Table2[ID],#REF!, "Not Found", 0)</f>
        <v>#REF!</v>
      </c>
      <c r="S652" s="3">
        <f>_xlfn.XLOOKUP(Table1[[#This Row],[ID]], Table2[ID], Table2[Enrollment], "Not Found", 0)</f>
        <v>43989</v>
      </c>
      <c r="T652" t="s">
        <v>437</v>
      </c>
    </row>
    <row r="653" spans="1:20" x14ac:dyDescent="0.3">
      <c r="A653">
        <v>2754</v>
      </c>
      <c r="B653">
        <v>165370</v>
      </c>
      <c r="C653">
        <v>0</v>
      </c>
      <c r="D653">
        <v>0</v>
      </c>
      <c r="E653">
        <v>36</v>
      </c>
      <c r="F653">
        <v>0</v>
      </c>
      <c r="G653">
        <v>1</v>
      </c>
      <c r="H653">
        <v>0</v>
      </c>
      <c r="I653">
        <v>0</v>
      </c>
      <c r="J653">
        <v>0</v>
      </c>
      <c r="K653">
        <v>0</v>
      </c>
      <c r="L653">
        <v>0</v>
      </c>
      <c r="M653">
        <v>0</v>
      </c>
      <c r="N653">
        <v>0</v>
      </c>
      <c r="O653" t="str" cm="1">
        <f t="array" ref="O653">_xlfn.IFS(Table1[[#This Row],[Divorced]]=1, "Divorced", Table1[[#This Row],[Married]]=1, "Married", Table1[[#This Row],[Single]]=1, "Single", Table1[[#This Row],[Together]]=1, "Together", Table1[[#This Row],[Widow]]=1, "Widow")</f>
        <v>Married</v>
      </c>
      <c r="P653" t="str" cm="1">
        <f t="array" ref="P653">_xlfn.IFS(Table1[[#This Row],[Basic]]=1, "Basic", Table1[[#This Row],[Graduate]]=1, "Graduate", Table1[[#This Row],[Master]]=1, "Master", Table1[[#This Row],[PhD]]=1, "PhD", AND(Table1[[#This Row],[Basic]]=0, Table1[[#This Row],[Graduate]]=0, Table1[[#This Row],[Master]]=0, Table1[[#This Row],[PhD]]=0), "NA")</f>
        <v>NA</v>
      </c>
      <c r="Q653" t="e">
        <f>_xlfn.XLOOKUP(Table1[[#This Row],[ID]], Table2[ID],#REF!, "Not Found", 0)</f>
        <v>#REF!</v>
      </c>
      <c r="R653" t="e">
        <f>_xlfn.XLOOKUP(Table1[[#This Row],[ID]], Table2[ID],#REF!, "Not Found", 0)</f>
        <v>#REF!</v>
      </c>
      <c r="S653" s="3">
        <f>_xlfn.XLOOKUP(Table1[[#This Row],[ID]], Table2[ID], Table2[Enrollment], "Not Found", 0)</f>
        <v>43983</v>
      </c>
      <c r="T653" t="s">
        <v>436</v>
      </c>
    </row>
    <row r="654" spans="1:20" x14ac:dyDescent="0.3">
      <c r="A654">
        <v>1966</v>
      </c>
      <c r="B654">
        <v>165352</v>
      </c>
      <c r="C654">
        <v>0</v>
      </c>
      <c r="D654">
        <v>1</v>
      </c>
      <c r="E654">
        <v>46</v>
      </c>
      <c r="F654">
        <v>0</v>
      </c>
      <c r="G654">
        <v>1</v>
      </c>
      <c r="H654">
        <v>0</v>
      </c>
      <c r="I654">
        <v>0</v>
      </c>
      <c r="J654">
        <v>0</v>
      </c>
      <c r="K654">
        <v>0</v>
      </c>
      <c r="L654">
        <v>0</v>
      </c>
      <c r="M654">
        <v>0</v>
      </c>
      <c r="N654">
        <v>1</v>
      </c>
      <c r="O654" t="str" cm="1">
        <f t="array" ref="O654">_xlfn.IFS(Table1[[#This Row],[Divorced]]=1, "Divorced", Table1[[#This Row],[Married]]=1, "Married", Table1[[#This Row],[Single]]=1, "Single", Table1[[#This Row],[Together]]=1, "Together", Table1[[#This Row],[Widow]]=1, "Widow")</f>
        <v>Married</v>
      </c>
      <c r="P654" t="str" cm="1">
        <f t="array" ref="P654">_xlfn.IFS(Table1[[#This Row],[Basic]]=1, "Basic", Table1[[#This Row],[Graduate]]=1, "Graduate", Table1[[#This Row],[Master]]=1, "Master", Table1[[#This Row],[PhD]]=1, "PhD", AND(Table1[[#This Row],[Basic]]=0, Table1[[#This Row],[Graduate]]=0, Table1[[#This Row],[Master]]=0, Table1[[#This Row],[PhD]]=0), "NA")</f>
        <v>PhD</v>
      </c>
      <c r="Q654" t="e">
        <f>_xlfn.XLOOKUP(Table1[[#This Row],[ID]], Table2[ID],#REF!, "Not Found", 0)</f>
        <v>#REF!</v>
      </c>
      <c r="R654" t="e">
        <f>_xlfn.XLOOKUP(Table1[[#This Row],[ID]], Table2[ID],#REF!, "Not Found", 0)</f>
        <v>#REF!</v>
      </c>
      <c r="S654" s="3" t="str">
        <f>_xlfn.XLOOKUP(Table1[[#This Row],[ID]], Table2[ID], Table2[Enrollment], "Not Found", 0)</f>
        <v>1/26/2020</v>
      </c>
      <c r="T654" t="s">
        <v>439</v>
      </c>
    </row>
    <row r="655" spans="1:20" x14ac:dyDescent="0.3">
      <c r="A655">
        <v>3112</v>
      </c>
      <c r="B655">
        <v>165333</v>
      </c>
      <c r="C655">
        <v>0</v>
      </c>
      <c r="D655">
        <v>1</v>
      </c>
      <c r="E655">
        <v>47</v>
      </c>
      <c r="F655">
        <v>0</v>
      </c>
      <c r="G655">
        <v>0</v>
      </c>
      <c r="H655">
        <v>1</v>
      </c>
      <c r="I655">
        <v>0</v>
      </c>
      <c r="J655">
        <v>0</v>
      </c>
      <c r="K655">
        <v>0</v>
      </c>
      <c r="L655">
        <v>1</v>
      </c>
      <c r="M655">
        <v>0</v>
      </c>
      <c r="N655">
        <v>0</v>
      </c>
      <c r="O655" t="str" cm="1">
        <f t="array" ref="O655">_xlfn.IFS(Table1[[#This Row],[Divorced]]=1, "Divorced", Table1[[#This Row],[Married]]=1, "Married", Table1[[#This Row],[Single]]=1, "Single", Table1[[#This Row],[Together]]=1, "Together", Table1[[#This Row],[Widow]]=1, "Widow")</f>
        <v>Single</v>
      </c>
      <c r="P655" t="str" cm="1">
        <f t="array" ref="P655">_xlfn.IFS(Table1[[#This Row],[Basic]]=1, "Basic", Table1[[#This Row],[Graduate]]=1, "Graduate", Table1[[#This Row],[Master]]=1, "Master", Table1[[#This Row],[PhD]]=1, "PhD", AND(Table1[[#This Row],[Basic]]=0, Table1[[#This Row],[Graduate]]=0, Table1[[#This Row],[Master]]=0, Table1[[#This Row],[PhD]]=0), "NA")</f>
        <v>Graduate</v>
      </c>
      <c r="Q655" t="e">
        <f>_xlfn.XLOOKUP(Table1[[#This Row],[ID]], Table2[ID],#REF!, "Not Found", 0)</f>
        <v>#REF!</v>
      </c>
      <c r="R655" t="e">
        <f>_xlfn.XLOOKUP(Table1[[#This Row],[ID]], Table2[ID],#REF!, "Not Found", 0)</f>
        <v>#REF!</v>
      </c>
      <c r="S655" s="3" t="str">
        <f>_xlfn.XLOOKUP(Table1[[#This Row],[ID]], Table2[ID], Table2[Enrollment], "Not Found", 0)</f>
        <v>6/23/2020</v>
      </c>
      <c r="T655" t="s">
        <v>439</v>
      </c>
    </row>
    <row r="656" spans="1:20" x14ac:dyDescent="0.3">
      <c r="A656">
        <v>1023</v>
      </c>
      <c r="B656">
        <v>165324</v>
      </c>
      <c r="C656">
        <v>0</v>
      </c>
      <c r="D656">
        <v>1</v>
      </c>
      <c r="E656">
        <v>66</v>
      </c>
      <c r="F656">
        <v>0</v>
      </c>
      <c r="G656">
        <v>1</v>
      </c>
      <c r="H656">
        <v>0</v>
      </c>
      <c r="I656">
        <v>0</v>
      </c>
      <c r="J656">
        <v>0</v>
      </c>
      <c r="K656">
        <v>0</v>
      </c>
      <c r="L656">
        <v>0</v>
      </c>
      <c r="M656">
        <v>0</v>
      </c>
      <c r="N656">
        <v>1</v>
      </c>
      <c r="O656" t="str" cm="1">
        <f t="array" ref="O656">_xlfn.IFS(Table1[[#This Row],[Divorced]]=1, "Divorced", Table1[[#This Row],[Married]]=1, "Married", Table1[[#This Row],[Single]]=1, "Single", Table1[[#This Row],[Together]]=1, "Together", Table1[[#This Row],[Widow]]=1, "Widow")</f>
        <v>Married</v>
      </c>
      <c r="P656" t="str" cm="1">
        <f t="array" ref="P656">_xlfn.IFS(Table1[[#This Row],[Basic]]=1, "Basic", Table1[[#This Row],[Graduate]]=1, "Graduate", Table1[[#This Row],[Master]]=1, "Master", Table1[[#This Row],[PhD]]=1, "PhD", AND(Table1[[#This Row],[Basic]]=0, Table1[[#This Row],[Graduate]]=0, Table1[[#This Row],[Master]]=0, Table1[[#This Row],[PhD]]=0), "NA")</f>
        <v>PhD</v>
      </c>
      <c r="Q656" t="e">
        <f>_xlfn.XLOOKUP(Table1[[#This Row],[ID]], Table2[ID],#REF!, "Not Found", 0)</f>
        <v>#REF!</v>
      </c>
      <c r="R656" t="e">
        <f>_xlfn.XLOOKUP(Table1[[#This Row],[ID]], Table2[ID],#REF!, "Not Found", 0)</f>
        <v>#REF!</v>
      </c>
      <c r="S656" s="3" t="str">
        <f>_xlfn.XLOOKUP(Table1[[#This Row],[ID]], Table2[ID], Table2[Enrollment], "Not Found", 0)</f>
        <v>6/17/2020</v>
      </c>
      <c r="T656" t="s">
        <v>435</v>
      </c>
    </row>
    <row r="657" spans="1:20" x14ac:dyDescent="0.3">
      <c r="A657">
        <v>1832</v>
      </c>
      <c r="B657">
        <v>165324</v>
      </c>
      <c r="C657">
        <v>0</v>
      </c>
      <c r="D657">
        <v>1</v>
      </c>
      <c r="E657">
        <v>66</v>
      </c>
      <c r="F657">
        <v>0</v>
      </c>
      <c r="G657">
        <v>1</v>
      </c>
      <c r="H657">
        <v>0</v>
      </c>
      <c r="I657">
        <v>0</v>
      </c>
      <c r="J657">
        <v>0</v>
      </c>
      <c r="K657">
        <v>0</v>
      </c>
      <c r="L657">
        <v>0</v>
      </c>
      <c r="M657">
        <v>0</v>
      </c>
      <c r="N657">
        <v>1</v>
      </c>
      <c r="O657" t="str" cm="1">
        <f t="array" ref="O657">_xlfn.IFS(Table1[[#This Row],[Divorced]]=1, "Divorced", Table1[[#This Row],[Married]]=1, "Married", Table1[[#This Row],[Single]]=1, "Single", Table1[[#This Row],[Together]]=1, "Together", Table1[[#This Row],[Widow]]=1, "Widow")</f>
        <v>Married</v>
      </c>
      <c r="P657" t="str" cm="1">
        <f t="array" ref="P657">_xlfn.IFS(Table1[[#This Row],[Basic]]=1, "Basic", Table1[[#This Row],[Graduate]]=1, "Graduate", Table1[[#This Row],[Master]]=1, "Master", Table1[[#This Row],[PhD]]=1, "PhD", AND(Table1[[#This Row],[Basic]]=0, Table1[[#This Row],[Graduate]]=0, Table1[[#This Row],[Master]]=0, Table1[[#This Row],[PhD]]=0), "NA")</f>
        <v>PhD</v>
      </c>
      <c r="Q657" t="e">
        <f>_xlfn.XLOOKUP(Table1[[#This Row],[ID]], Table2[ID],#REF!, "Not Found", 0)</f>
        <v>#REF!</v>
      </c>
      <c r="R657" t="e">
        <f>_xlfn.XLOOKUP(Table1[[#This Row],[ID]], Table2[ID],#REF!, "Not Found", 0)</f>
        <v>#REF!</v>
      </c>
      <c r="S657" s="3" t="str">
        <f>_xlfn.XLOOKUP(Table1[[#This Row],[ID]], Table2[ID], Table2[Enrollment], "Not Found", 0)</f>
        <v>6/17/2020</v>
      </c>
      <c r="T657" t="s">
        <v>438</v>
      </c>
    </row>
    <row r="658" spans="1:20" x14ac:dyDescent="0.3">
      <c r="A658">
        <v>1517</v>
      </c>
      <c r="B658">
        <v>165316</v>
      </c>
      <c r="C658">
        <v>1</v>
      </c>
      <c r="D658">
        <v>1</v>
      </c>
      <c r="E658">
        <v>58</v>
      </c>
      <c r="F658">
        <v>0</v>
      </c>
      <c r="G658">
        <v>1</v>
      </c>
      <c r="H658">
        <v>0</v>
      </c>
      <c r="I658">
        <v>0</v>
      </c>
      <c r="J658">
        <v>0</v>
      </c>
      <c r="K658">
        <v>0</v>
      </c>
      <c r="L658">
        <v>1</v>
      </c>
      <c r="M658">
        <v>0</v>
      </c>
      <c r="N658">
        <v>0</v>
      </c>
      <c r="O658" t="str" cm="1">
        <f t="array" ref="O658">_xlfn.IFS(Table1[[#This Row],[Divorced]]=1, "Divorced", Table1[[#This Row],[Married]]=1, "Married", Table1[[#This Row],[Single]]=1, "Single", Table1[[#This Row],[Together]]=1, "Together", Table1[[#This Row],[Widow]]=1, "Widow")</f>
        <v>Married</v>
      </c>
      <c r="P658" t="str" cm="1">
        <f t="array" ref="P658">_xlfn.IFS(Table1[[#This Row],[Basic]]=1, "Basic", Table1[[#This Row],[Graduate]]=1, "Graduate", Table1[[#This Row],[Master]]=1, "Master", Table1[[#This Row],[PhD]]=1, "PhD", AND(Table1[[#This Row],[Basic]]=0, Table1[[#This Row],[Graduate]]=0, Table1[[#This Row],[Master]]=0, Table1[[#This Row],[PhD]]=0), "NA")</f>
        <v>Graduate</v>
      </c>
      <c r="Q658" t="e">
        <f>_xlfn.XLOOKUP(Table1[[#This Row],[ID]], Table2[ID],#REF!, "Not Found", 0)</f>
        <v>#REF!</v>
      </c>
      <c r="R658" t="e">
        <f>_xlfn.XLOOKUP(Table1[[#This Row],[ID]], Table2[ID],#REF!, "Not Found", 0)</f>
        <v>#REF!</v>
      </c>
      <c r="S658" s="3" t="str">
        <f>_xlfn.XLOOKUP(Table1[[#This Row],[ID]], Table2[ID], Table2[Enrollment], "Not Found", 0)</f>
        <v>9/29/2019</v>
      </c>
      <c r="T658" t="s">
        <v>434</v>
      </c>
    </row>
    <row r="659" spans="1:20" x14ac:dyDescent="0.3">
      <c r="A659">
        <v>3022</v>
      </c>
      <c r="B659">
        <v>165308</v>
      </c>
      <c r="C659">
        <v>0</v>
      </c>
      <c r="D659">
        <v>0</v>
      </c>
      <c r="E659">
        <v>47</v>
      </c>
      <c r="F659">
        <v>0</v>
      </c>
      <c r="G659">
        <v>1</v>
      </c>
      <c r="H659">
        <v>0</v>
      </c>
      <c r="I659">
        <v>0</v>
      </c>
      <c r="J659">
        <v>0</v>
      </c>
      <c r="K659">
        <v>0</v>
      </c>
      <c r="L659">
        <v>1</v>
      </c>
      <c r="M659">
        <v>0</v>
      </c>
      <c r="N659">
        <v>0</v>
      </c>
      <c r="O659" t="str" cm="1">
        <f t="array" ref="O659">_xlfn.IFS(Table1[[#This Row],[Divorced]]=1, "Divorced", Table1[[#This Row],[Married]]=1, "Married", Table1[[#This Row],[Single]]=1, "Single", Table1[[#This Row],[Together]]=1, "Together", Table1[[#This Row],[Widow]]=1, "Widow")</f>
        <v>Married</v>
      </c>
      <c r="P659" t="str" cm="1">
        <f t="array" ref="P659">_xlfn.IFS(Table1[[#This Row],[Basic]]=1, "Basic", Table1[[#This Row],[Graduate]]=1, "Graduate", Table1[[#This Row],[Master]]=1, "Master", Table1[[#This Row],[PhD]]=1, "PhD", AND(Table1[[#This Row],[Basic]]=0, Table1[[#This Row],[Graduate]]=0, Table1[[#This Row],[Master]]=0, Table1[[#This Row],[PhD]]=0), "NA")</f>
        <v>Graduate</v>
      </c>
      <c r="Q659" t="e">
        <f>_xlfn.XLOOKUP(Table1[[#This Row],[ID]], Table2[ID],#REF!, "Not Found", 0)</f>
        <v>#REF!</v>
      </c>
      <c r="R659" t="e">
        <f>_xlfn.XLOOKUP(Table1[[#This Row],[ID]], Table2[ID],#REF!, "Not Found", 0)</f>
        <v>#REF!</v>
      </c>
      <c r="S659" s="3" t="str">
        <f>_xlfn.XLOOKUP(Table1[[#This Row],[ID]], Table2[ID], Table2[Enrollment], "Not Found", 0)</f>
        <v>2/16/2020</v>
      </c>
      <c r="T659" t="s">
        <v>439</v>
      </c>
    </row>
    <row r="660" spans="1:20" x14ac:dyDescent="0.3">
      <c r="A660">
        <v>1661</v>
      </c>
      <c r="B660">
        <v>165295</v>
      </c>
      <c r="C660">
        <v>0</v>
      </c>
      <c r="D660">
        <v>0</v>
      </c>
      <c r="E660">
        <v>40</v>
      </c>
      <c r="F660">
        <v>0</v>
      </c>
      <c r="G660">
        <v>0</v>
      </c>
      <c r="H660">
        <v>1</v>
      </c>
      <c r="I660">
        <v>0</v>
      </c>
      <c r="J660">
        <v>0</v>
      </c>
      <c r="K660">
        <v>0</v>
      </c>
      <c r="L660">
        <v>0</v>
      </c>
      <c r="M660">
        <v>0</v>
      </c>
      <c r="N660">
        <v>1</v>
      </c>
      <c r="O660" t="str" cm="1">
        <f t="array" ref="O660">_xlfn.IFS(Table1[[#This Row],[Divorced]]=1, "Divorced", Table1[[#This Row],[Married]]=1, "Married", Table1[[#This Row],[Single]]=1, "Single", Table1[[#This Row],[Together]]=1, "Together", Table1[[#This Row],[Widow]]=1, "Widow")</f>
        <v>Single</v>
      </c>
      <c r="P660" t="str" cm="1">
        <f t="array" ref="P660">_xlfn.IFS(Table1[[#This Row],[Basic]]=1, "Basic", Table1[[#This Row],[Graduate]]=1, "Graduate", Table1[[#This Row],[Master]]=1, "Master", Table1[[#This Row],[PhD]]=1, "PhD", AND(Table1[[#This Row],[Basic]]=0, Table1[[#This Row],[Graduate]]=0, Table1[[#This Row],[Master]]=0, Table1[[#This Row],[PhD]]=0), "NA")</f>
        <v>PhD</v>
      </c>
      <c r="Q660" t="e">
        <f>_xlfn.XLOOKUP(Table1[[#This Row],[ID]], Table2[ID],#REF!, "Not Found", 0)</f>
        <v>#REF!</v>
      </c>
      <c r="R660" t="e">
        <f>_xlfn.XLOOKUP(Table1[[#This Row],[ID]], Table2[ID],#REF!, "Not Found", 0)</f>
        <v>#REF!</v>
      </c>
      <c r="S660" s="3" t="str">
        <f>_xlfn.XLOOKUP(Table1[[#This Row],[ID]], Table2[ID], Table2[Enrollment], "Not Found", 0)</f>
        <v>5/29/2020</v>
      </c>
      <c r="T660" t="s">
        <v>434</v>
      </c>
    </row>
    <row r="661" spans="1:20" x14ac:dyDescent="0.3">
      <c r="A661">
        <v>1483</v>
      </c>
      <c r="B661">
        <v>165275</v>
      </c>
      <c r="C661">
        <v>0</v>
      </c>
      <c r="D661">
        <v>0</v>
      </c>
      <c r="E661">
        <v>76</v>
      </c>
      <c r="F661">
        <v>0</v>
      </c>
      <c r="G661">
        <v>1</v>
      </c>
      <c r="H661">
        <v>0</v>
      </c>
      <c r="I661">
        <v>0</v>
      </c>
      <c r="J661">
        <v>0</v>
      </c>
      <c r="K661">
        <v>0</v>
      </c>
      <c r="L661">
        <v>1</v>
      </c>
      <c r="M661">
        <v>0</v>
      </c>
      <c r="N661">
        <v>0</v>
      </c>
      <c r="O661" t="str" cm="1">
        <f t="array" ref="O661">_xlfn.IFS(Table1[[#This Row],[Divorced]]=1, "Divorced", Table1[[#This Row],[Married]]=1, "Married", Table1[[#This Row],[Single]]=1, "Single", Table1[[#This Row],[Together]]=1, "Together", Table1[[#This Row],[Widow]]=1, "Widow")</f>
        <v>Married</v>
      </c>
      <c r="P661" t="str" cm="1">
        <f t="array" ref="P661">_xlfn.IFS(Table1[[#This Row],[Basic]]=1, "Basic", Table1[[#This Row],[Graduate]]=1, "Graduate", Table1[[#This Row],[Master]]=1, "Master", Table1[[#This Row],[PhD]]=1, "PhD", AND(Table1[[#This Row],[Basic]]=0, Table1[[#This Row],[Graduate]]=0, Table1[[#This Row],[Master]]=0, Table1[[#This Row],[PhD]]=0), "NA")</f>
        <v>Graduate</v>
      </c>
      <c r="Q661" t="e">
        <f>_xlfn.XLOOKUP(Table1[[#This Row],[ID]], Table2[ID],#REF!, "Not Found", 0)</f>
        <v>#REF!</v>
      </c>
      <c r="R661" t="e">
        <f>_xlfn.XLOOKUP(Table1[[#This Row],[ID]], Table2[ID],#REF!, "Not Found", 0)</f>
        <v>#REF!</v>
      </c>
      <c r="S661" s="3">
        <f>_xlfn.XLOOKUP(Table1[[#This Row],[ID]], Table2[ID], Table2[Enrollment], "Not Found", 0)</f>
        <v>43686</v>
      </c>
      <c r="T661" t="s">
        <v>437</v>
      </c>
    </row>
    <row r="662" spans="1:20" x14ac:dyDescent="0.3">
      <c r="A662">
        <v>3097</v>
      </c>
      <c r="B662">
        <v>165220</v>
      </c>
      <c r="C662">
        <v>0</v>
      </c>
      <c r="D662">
        <v>0</v>
      </c>
      <c r="E662">
        <v>55</v>
      </c>
      <c r="F662">
        <v>0</v>
      </c>
      <c r="G662">
        <v>0</v>
      </c>
      <c r="H662">
        <v>0</v>
      </c>
      <c r="I662">
        <v>1</v>
      </c>
      <c r="J662">
        <v>0</v>
      </c>
      <c r="K662">
        <v>0</v>
      </c>
      <c r="L662">
        <v>0</v>
      </c>
      <c r="M662">
        <v>0</v>
      </c>
      <c r="N662">
        <v>1</v>
      </c>
      <c r="O662" t="str" cm="1">
        <f t="array" ref="O662">_xlfn.IFS(Table1[[#This Row],[Divorced]]=1, "Divorced", Table1[[#This Row],[Married]]=1, "Married", Table1[[#This Row],[Single]]=1, "Single", Table1[[#This Row],[Together]]=1, "Together", Table1[[#This Row],[Widow]]=1, "Widow")</f>
        <v>Together</v>
      </c>
      <c r="P662" t="str" cm="1">
        <f t="array" ref="P662">_xlfn.IFS(Table1[[#This Row],[Basic]]=1, "Basic", Table1[[#This Row],[Graduate]]=1, "Graduate", Table1[[#This Row],[Master]]=1, "Master", Table1[[#This Row],[PhD]]=1, "PhD", AND(Table1[[#This Row],[Basic]]=0, Table1[[#This Row],[Graduate]]=0, Table1[[#This Row],[Master]]=0, Table1[[#This Row],[PhD]]=0), "NA")</f>
        <v>PhD</v>
      </c>
      <c r="Q662" t="e">
        <f>_xlfn.XLOOKUP(Table1[[#This Row],[ID]], Table2[ID],#REF!, "Not Found", 0)</f>
        <v>#REF!</v>
      </c>
      <c r="R662" t="e">
        <f>_xlfn.XLOOKUP(Table1[[#This Row],[ID]], Table2[ID],#REF!, "Not Found", 0)</f>
        <v>#REF!</v>
      </c>
      <c r="S662" s="3">
        <f>_xlfn.XLOOKUP(Table1[[#This Row],[ID]], Table2[ID], Table2[Enrollment], "Not Found", 0)</f>
        <v>43679</v>
      </c>
      <c r="T662" t="s">
        <v>437</v>
      </c>
    </row>
    <row r="663" spans="1:20" x14ac:dyDescent="0.3">
      <c r="A663">
        <v>3142</v>
      </c>
      <c r="B663">
        <v>165210</v>
      </c>
      <c r="C663">
        <v>0</v>
      </c>
      <c r="D663">
        <v>1</v>
      </c>
      <c r="E663">
        <v>65</v>
      </c>
      <c r="F663">
        <v>0</v>
      </c>
      <c r="G663">
        <v>1</v>
      </c>
      <c r="H663">
        <v>0</v>
      </c>
      <c r="I663">
        <v>0</v>
      </c>
      <c r="J663">
        <v>0</v>
      </c>
      <c r="K663">
        <v>0</v>
      </c>
      <c r="L663">
        <v>1</v>
      </c>
      <c r="M663">
        <v>0</v>
      </c>
      <c r="N663">
        <v>0</v>
      </c>
      <c r="O663" t="str" cm="1">
        <f t="array" ref="O663">_xlfn.IFS(Table1[[#This Row],[Divorced]]=1, "Divorced", Table1[[#This Row],[Married]]=1, "Married", Table1[[#This Row],[Single]]=1, "Single", Table1[[#This Row],[Together]]=1, "Together", Table1[[#This Row],[Widow]]=1, "Widow")</f>
        <v>Married</v>
      </c>
      <c r="P663" t="str" cm="1">
        <f t="array" ref="P663">_xlfn.IFS(Table1[[#This Row],[Basic]]=1, "Basic", Table1[[#This Row],[Graduate]]=1, "Graduate", Table1[[#This Row],[Master]]=1, "Master", Table1[[#This Row],[PhD]]=1, "PhD", AND(Table1[[#This Row],[Basic]]=0, Table1[[#This Row],[Graduate]]=0, Table1[[#This Row],[Master]]=0, Table1[[#This Row],[PhD]]=0), "NA")</f>
        <v>Graduate</v>
      </c>
      <c r="Q663" t="e">
        <f>_xlfn.XLOOKUP(Table1[[#This Row],[ID]], Table2[ID],#REF!, "Not Found", 0)</f>
        <v>#REF!</v>
      </c>
      <c r="R663" t="e">
        <f>_xlfn.XLOOKUP(Table1[[#This Row],[ID]], Table2[ID],#REF!, "Not Found", 0)</f>
        <v>#REF!</v>
      </c>
      <c r="S663" s="3" t="str">
        <f>_xlfn.XLOOKUP(Table1[[#This Row],[ID]], Table2[ID], Table2[Enrollment], "Not Found", 0)</f>
        <v>8/14/2020</v>
      </c>
      <c r="T663" t="s">
        <v>439</v>
      </c>
    </row>
    <row r="664" spans="1:20" x14ac:dyDescent="0.3">
      <c r="A664">
        <v>2042</v>
      </c>
      <c r="B664">
        <v>165196</v>
      </c>
      <c r="C664">
        <v>0</v>
      </c>
      <c r="D664">
        <v>2</v>
      </c>
      <c r="E664">
        <v>62</v>
      </c>
      <c r="F664">
        <v>0</v>
      </c>
      <c r="G664">
        <v>0</v>
      </c>
      <c r="H664">
        <v>0</v>
      </c>
      <c r="I664">
        <v>1</v>
      </c>
      <c r="J664">
        <v>0</v>
      </c>
      <c r="K664">
        <v>0</v>
      </c>
      <c r="L664">
        <v>1</v>
      </c>
      <c r="M664">
        <v>0</v>
      </c>
      <c r="N664">
        <v>0</v>
      </c>
      <c r="O664" t="str" cm="1">
        <f t="array" ref="O664">_xlfn.IFS(Table1[[#This Row],[Divorced]]=1, "Divorced", Table1[[#This Row],[Married]]=1, "Married", Table1[[#This Row],[Single]]=1, "Single", Table1[[#This Row],[Together]]=1, "Together", Table1[[#This Row],[Widow]]=1, "Widow")</f>
        <v>Together</v>
      </c>
      <c r="P664" t="str" cm="1">
        <f t="array" ref="P664">_xlfn.IFS(Table1[[#This Row],[Basic]]=1, "Basic", Table1[[#This Row],[Graduate]]=1, "Graduate", Table1[[#This Row],[Master]]=1, "Master", Table1[[#This Row],[PhD]]=1, "PhD", AND(Table1[[#This Row],[Basic]]=0, Table1[[#This Row],[Graduate]]=0, Table1[[#This Row],[Master]]=0, Table1[[#This Row],[PhD]]=0), "NA")</f>
        <v>Graduate</v>
      </c>
      <c r="Q664" t="e">
        <f>_xlfn.XLOOKUP(Table1[[#This Row],[ID]], Table2[ID],#REF!, "Not Found", 0)</f>
        <v>#REF!</v>
      </c>
      <c r="R664" t="e">
        <f>_xlfn.XLOOKUP(Table1[[#This Row],[ID]], Table2[ID],#REF!, "Not Found", 0)</f>
        <v>#REF!</v>
      </c>
      <c r="S664" s="3" t="str">
        <f>_xlfn.XLOOKUP(Table1[[#This Row],[ID]], Table2[ID], Table2[Enrollment], "Not Found", 0)</f>
        <v>12/30/2019</v>
      </c>
      <c r="T664" t="s">
        <v>438</v>
      </c>
    </row>
    <row r="665" spans="1:20" x14ac:dyDescent="0.3">
      <c r="A665">
        <v>1236</v>
      </c>
      <c r="B665">
        <v>165176</v>
      </c>
      <c r="C665">
        <v>0</v>
      </c>
      <c r="D665">
        <v>1</v>
      </c>
      <c r="E665">
        <v>51</v>
      </c>
      <c r="F665">
        <v>0</v>
      </c>
      <c r="G665">
        <v>0</v>
      </c>
      <c r="H665">
        <v>0</v>
      </c>
      <c r="I665">
        <v>1</v>
      </c>
      <c r="J665">
        <v>0</v>
      </c>
      <c r="K665">
        <v>0</v>
      </c>
      <c r="L665">
        <v>0</v>
      </c>
      <c r="M665">
        <v>1</v>
      </c>
      <c r="N665">
        <v>0</v>
      </c>
      <c r="O665" t="str" cm="1">
        <f t="array" ref="O665">_xlfn.IFS(Table1[[#This Row],[Divorced]]=1, "Divorced", Table1[[#This Row],[Married]]=1, "Married", Table1[[#This Row],[Single]]=1, "Single", Table1[[#This Row],[Together]]=1, "Together", Table1[[#This Row],[Widow]]=1, "Widow")</f>
        <v>Together</v>
      </c>
      <c r="P665" t="str" cm="1">
        <f t="array" ref="P665">_xlfn.IFS(Table1[[#This Row],[Basic]]=1, "Basic", Table1[[#This Row],[Graduate]]=1, "Graduate", Table1[[#This Row],[Master]]=1, "Master", Table1[[#This Row],[PhD]]=1, "PhD", AND(Table1[[#This Row],[Basic]]=0, Table1[[#This Row],[Graduate]]=0, Table1[[#This Row],[Master]]=0, Table1[[#This Row],[PhD]]=0), "NA")</f>
        <v>Master</v>
      </c>
      <c r="Q665" t="e">
        <f>_xlfn.XLOOKUP(Table1[[#This Row],[ID]], Table2[ID],#REF!, "Not Found", 0)</f>
        <v>#REF!</v>
      </c>
      <c r="R665" t="e">
        <f>_xlfn.XLOOKUP(Table1[[#This Row],[ID]], Table2[ID],#REF!, "Not Found", 0)</f>
        <v>#REF!</v>
      </c>
      <c r="S665" s="3">
        <f>_xlfn.XLOOKUP(Table1[[#This Row],[ID]], Table2[ID], Table2[Enrollment], "Not Found", 0)</f>
        <v>43589</v>
      </c>
      <c r="T665" t="s">
        <v>436</v>
      </c>
    </row>
    <row r="666" spans="1:20" x14ac:dyDescent="0.3">
      <c r="A666">
        <v>2288</v>
      </c>
      <c r="B666">
        <v>165169</v>
      </c>
      <c r="C666">
        <v>0</v>
      </c>
      <c r="D666">
        <v>0</v>
      </c>
      <c r="E666">
        <v>38</v>
      </c>
      <c r="F666">
        <v>0</v>
      </c>
      <c r="G666">
        <v>1</v>
      </c>
      <c r="H666">
        <v>0</v>
      </c>
      <c r="I666">
        <v>0</v>
      </c>
      <c r="J666">
        <v>0</v>
      </c>
      <c r="K666">
        <v>0</v>
      </c>
      <c r="L666">
        <v>1</v>
      </c>
      <c r="M666">
        <v>0</v>
      </c>
      <c r="N666">
        <v>0</v>
      </c>
      <c r="O666" t="str" cm="1">
        <f t="array" ref="O666">_xlfn.IFS(Table1[[#This Row],[Divorced]]=1, "Divorced", Table1[[#This Row],[Married]]=1, "Married", Table1[[#This Row],[Single]]=1, "Single", Table1[[#This Row],[Together]]=1, "Together", Table1[[#This Row],[Widow]]=1, "Widow")</f>
        <v>Married</v>
      </c>
      <c r="P666" t="str" cm="1">
        <f t="array" ref="P666">_xlfn.IFS(Table1[[#This Row],[Basic]]=1, "Basic", Table1[[#This Row],[Graduate]]=1, "Graduate", Table1[[#This Row],[Master]]=1, "Master", Table1[[#This Row],[PhD]]=1, "PhD", AND(Table1[[#This Row],[Basic]]=0, Table1[[#This Row],[Graduate]]=0, Table1[[#This Row],[Master]]=0, Table1[[#This Row],[PhD]]=0), "NA")</f>
        <v>Graduate</v>
      </c>
      <c r="Q666" t="e">
        <f>_xlfn.XLOOKUP(Table1[[#This Row],[ID]], Table2[ID],#REF!, "Not Found", 0)</f>
        <v>#REF!</v>
      </c>
      <c r="R666" t="e">
        <f>_xlfn.XLOOKUP(Table1[[#This Row],[ID]], Table2[ID],#REF!, "Not Found", 0)</f>
        <v>#REF!</v>
      </c>
      <c r="S666" s="3" t="str">
        <f>_xlfn.XLOOKUP(Table1[[#This Row],[ID]], Table2[ID], Table2[Enrollment], "Not Found", 0)</f>
        <v>6/20/2020</v>
      </c>
      <c r="T666" t="s">
        <v>438</v>
      </c>
    </row>
    <row r="667" spans="1:20" x14ac:dyDescent="0.3">
      <c r="A667">
        <v>2450</v>
      </c>
      <c r="B667">
        <v>165148</v>
      </c>
      <c r="C667">
        <v>0</v>
      </c>
      <c r="D667">
        <v>1</v>
      </c>
      <c r="E667">
        <v>62</v>
      </c>
      <c r="F667">
        <v>0</v>
      </c>
      <c r="G667">
        <v>1</v>
      </c>
      <c r="H667">
        <v>0</v>
      </c>
      <c r="I667">
        <v>0</v>
      </c>
      <c r="J667">
        <v>0</v>
      </c>
      <c r="K667">
        <v>0</v>
      </c>
      <c r="L667">
        <v>1</v>
      </c>
      <c r="M667">
        <v>0</v>
      </c>
      <c r="N667">
        <v>0</v>
      </c>
      <c r="O667" t="str" cm="1">
        <f t="array" ref="O667">_xlfn.IFS(Table1[[#This Row],[Divorced]]=1, "Divorced", Table1[[#This Row],[Married]]=1, "Married", Table1[[#This Row],[Single]]=1, "Single", Table1[[#This Row],[Together]]=1, "Together", Table1[[#This Row],[Widow]]=1, "Widow")</f>
        <v>Married</v>
      </c>
      <c r="P667" t="str" cm="1">
        <f t="array" ref="P667">_xlfn.IFS(Table1[[#This Row],[Basic]]=1, "Basic", Table1[[#This Row],[Graduate]]=1, "Graduate", Table1[[#This Row],[Master]]=1, "Master", Table1[[#This Row],[PhD]]=1, "PhD", AND(Table1[[#This Row],[Basic]]=0, Table1[[#This Row],[Graduate]]=0, Table1[[#This Row],[Master]]=0, Table1[[#This Row],[PhD]]=0), "NA")</f>
        <v>Graduate</v>
      </c>
      <c r="Q667" t="e">
        <f>_xlfn.XLOOKUP(Table1[[#This Row],[ID]], Table2[ID],#REF!, "Not Found", 0)</f>
        <v>#REF!</v>
      </c>
      <c r="R667" t="e">
        <f>_xlfn.XLOOKUP(Table1[[#This Row],[ID]], Table2[ID],#REF!, "Not Found", 0)</f>
        <v>#REF!</v>
      </c>
      <c r="S667" s="3" t="str">
        <f>_xlfn.XLOOKUP(Table1[[#This Row],[ID]], Table2[ID], Table2[Enrollment], "Not Found", 0)</f>
        <v>4/23/2019</v>
      </c>
      <c r="T667" t="s">
        <v>438</v>
      </c>
    </row>
    <row r="668" spans="1:20" x14ac:dyDescent="0.3">
      <c r="A668">
        <v>2230</v>
      </c>
      <c r="B668">
        <v>165106</v>
      </c>
      <c r="C668">
        <v>0</v>
      </c>
      <c r="D668">
        <v>1</v>
      </c>
      <c r="E668">
        <v>45</v>
      </c>
      <c r="F668">
        <v>0</v>
      </c>
      <c r="G668">
        <v>1</v>
      </c>
      <c r="H668">
        <v>0</v>
      </c>
      <c r="I668">
        <v>0</v>
      </c>
      <c r="J668">
        <v>0</v>
      </c>
      <c r="K668">
        <v>0</v>
      </c>
      <c r="L668">
        <v>1</v>
      </c>
      <c r="M668">
        <v>0</v>
      </c>
      <c r="N668">
        <v>0</v>
      </c>
      <c r="O668" t="str" cm="1">
        <f t="array" ref="O668">_xlfn.IFS(Table1[[#This Row],[Divorced]]=1, "Divorced", Table1[[#This Row],[Married]]=1, "Married", Table1[[#This Row],[Single]]=1, "Single", Table1[[#This Row],[Together]]=1, "Together", Table1[[#This Row],[Widow]]=1, "Widow")</f>
        <v>Married</v>
      </c>
      <c r="P668" t="str" cm="1">
        <f t="array" ref="P668">_xlfn.IFS(Table1[[#This Row],[Basic]]=1, "Basic", Table1[[#This Row],[Graduate]]=1, "Graduate", Table1[[#This Row],[Master]]=1, "Master", Table1[[#This Row],[PhD]]=1, "PhD", AND(Table1[[#This Row],[Basic]]=0, Table1[[#This Row],[Graduate]]=0, Table1[[#This Row],[Master]]=0, Table1[[#This Row],[PhD]]=0), "NA")</f>
        <v>Graduate</v>
      </c>
      <c r="Q668" t="e">
        <f>_xlfn.XLOOKUP(Table1[[#This Row],[ID]], Table2[ID],#REF!, "Not Found", 0)</f>
        <v>#REF!</v>
      </c>
      <c r="R668" t="e">
        <f>_xlfn.XLOOKUP(Table1[[#This Row],[ID]], Table2[ID],#REF!, "Not Found", 0)</f>
        <v>#REF!</v>
      </c>
      <c r="S668" s="3" t="str">
        <f>_xlfn.XLOOKUP(Table1[[#This Row],[ID]], Table2[ID], Table2[Enrollment], "Not Found", 0)</f>
        <v>10/28/2020</v>
      </c>
      <c r="T668" t="s">
        <v>439</v>
      </c>
    </row>
    <row r="669" spans="1:20" x14ac:dyDescent="0.3">
      <c r="A669">
        <v>1131</v>
      </c>
      <c r="B669">
        <v>165104</v>
      </c>
      <c r="C669">
        <v>0</v>
      </c>
      <c r="D669">
        <v>1</v>
      </c>
      <c r="E669">
        <v>44</v>
      </c>
      <c r="F669">
        <v>0</v>
      </c>
      <c r="G669">
        <v>0</v>
      </c>
      <c r="H669">
        <v>0</v>
      </c>
      <c r="I669">
        <v>1</v>
      </c>
      <c r="J669">
        <v>0</v>
      </c>
      <c r="K669">
        <v>0</v>
      </c>
      <c r="L669">
        <v>0</v>
      </c>
      <c r="M669">
        <v>1</v>
      </c>
      <c r="N669">
        <v>0</v>
      </c>
      <c r="O669" t="str" cm="1">
        <f t="array" ref="O669">_xlfn.IFS(Table1[[#This Row],[Divorced]]=1, "Divorced", Table1[[#This Row],[Married]]=1, "Married", Table1[[#This Row],[Single]]=1, "Single", Table1[[#This Row],[Together]]=1, "Together", Table1[[#This Row],[Widow]]=1, "Widow")</f>
        <v>Together</v>
      </c>
      <c r="P669" t="str" cm="1">
        <f t="array" ref="P669">_xlfn.IFS(Table1[[#This Row],[Basic]]=1, "Basic", Table1[[#This Row],[Graduate]]=1, "Graduate", Table1[[#This Row],[Master]]=1, "Master", Table1[[#This Row],[PhD]]=1, "PhD", AND(Table1[[#This Row],[Basic]]=0, Table1[[#This Row],[Graduate]]=0, Table1[[#This Row],[Master]]=0, Table1[[#This Row],[PhD]]=0), "NA")</f>
        <v>Master</v>
      </c>
      <c r="Q669" t="e">
        <f>_xlfn.XLOOKUP(Table1[[#This Row],[ID]], Table2[ID],#REF!, "Not Found", 0)</f>
        <v>#REF!</v>
      </c>
      <c r="R669" t="e">
        <f>_xlfn.XLOOKUP(Table1[[#This Row],[ID]], Table2[ID],#REF!, "Not Found", 0)</f>
        <v>#REF!</v>
      </c>
      <c r="S669" s="3" t="str">
        <f>_xlfn.XLOOKUP(Table1[[#This Row],[ID]], Table2[ID], Table2[Enrollment], "Not Found", 0)</f>
        <v>4/20/2020</v>
      </c>
      <c r="T669" t="s">
        <v>435</v>
      </c>
    </row>
    <row r="670" spans="1:20" x14ac:dyDescent="0.3">
      <c r="A670">
        <v>1470</v>
      </c>
      <c r="B670">
        <v>165104</v>
      </c>
      <c r="C670">
        <v>0</v>
      </c>
      <c r="D670">
        <v>1</v>
      </c>
      <c r="E670">
        <v>44</v>
      </c>
      <c r="F670">
        <v>0</v>
      </c>
      <c r="G670">
        <v>0</v>
      </c>
      <c r="H670">
        <v>0</v>
      </c>
      <c r="I670">
        <v>1</v>
      </c>
      <c r="J670">
        <v>0</v>
      </c>
      <c r="K670">
        <v>0</v>
      </c>
      <c r="L670">
        <v>0</v>
      </c>
      <c r="M670">
        <v>1</v>
      </c>
      <c r="N670">
        <v>0</v>
      </c>
      <c r="O670" t="str" cm="1">
        <f t="array" ref="O670">_xlfn.IFS(Table1[[#This Row],[Divorced]]=1, "Divorced", Table1[[#This Row],[Married]]=1, "Married", Table1[[#This Row],[Single]]=1, "Single", Table1[[#This Row],[Together]]=1, "Together", Table1[[#This Row],[Widow]]=1, "Widow")</f>
        <v>Together</v>
      </c>
      <c r="P670" t="str" cm="1">
        <f t="array" ref="P670">_xlfn.IFS(Table1[[#This Row],[Basic]]=1, "Basic", Table1[[#This Row],[Graduate]]=1, "Graduate", Table1[[#This Row],[Master]]=1, "Master", Table1[[#This Row],[PhD]]=1, "PhD", AND(Table1[[#This Row],[Basic]]=0, Table1[[#This Row],[Graduate]]=0, Table1[[#This Row],[Master]]=0, Table1[[#This Row],[PhD]]=0), "NA")</f>
        <v>Master</v>
      </c>
      <c r="Q670" t="e">
        <f>_xlfn.XLOOKUP(Table1[[#This Row],[ID]], Table2[ID],#REF!, "Not Found", 0)</f>
        <v>#REF!</v>
      </c>
      <c r="R670" t="e">
        <f>_xlfn.XLOOKUP(Table1[[#This Row],[ID]], Table2[ID],#REF!, "Not Found", 0)</f>
        <v>#REF!</v>
      </c>
      <c r="S670" s="3" t="str">
        <f>_xlfn.XLOOKUP(Table1[[#This Row],[ID]], Table2[ID], Table2[Enrollment], "Not Found", 0)</f>
        <v>4/20/2020</v>
      </c>
      <c r="T670" t="s">
        <v>436</v>
      </c>
    </row>
    <row r="671" spans="1:20" x14ac:dyDescent="0.3">
      <c r="A671">
        <v>3216</v>
      </c>
      <c r="B671">
        <v>165090</v>
      </c>
      <c r="C671">
        <v>0</v>
      </c>
      <c r="D671">
        <v>1</v>
      </c>
      <c r="E671">
        <v>53</v>
      </c>
      <c r="F671">
        <v>0</v>
      </c>
      <c r="G671">
        <v>1</v>
      </c>
      <c r="H671">
        <v>0</v>
      </c>
      <c r="I671">
        <v>0</v>
      </c>
      <c r="J671">
        <v>0</v>
      </c>
      <c r="K671">
        <v>0</v>
      </c>
      <c r="L671">
        <v>1</v>
      </c>
      <c r="M671">
        <v>0</v>
      </c>
      <c r="N671">
        <v>0</v>
      </c>
      <c r="O671" t="str" cm="1">
        <f t="array" ref="O671">_xlfn.IFS(Table1[[#This Row],[Divorced]]=1, "Divorced", Table1[[#This Row],[Married]]=1, "Married", Table1[[#This Row],[Single]]=1, "Single", Table1[[#This Row],[Together]]=1, "Together", Table1[[#This Row],[Widow]]=1, "Widow")</f>
        <v>Married</v>
      </c>
      <c r="P671" t="str" cm="1">
        <f t="array" ref="P671">_xlfn.IFS(Table1[[#This Row],[Basic]]=1, "Basic", Table1[[#This Row],[Graduate]]=1, "Graduate", Table1[[#This Row],[Master]]=1, "Master", Table1[[#This Row],[PhD]]=1, "PhD", AND(Table1[[#This Row],[Basic]]=0, Table1[[#This Row],[Graduate]]=0, Table1[[#This Row],[Master]]=0, Table1[[#This Row],[PhD]]=0), "NA")</f>
        <v>Graduate</v>
      </c>
      <c r="Q671" t="e">
        <f>_xlfn.XLOOKUP(Table1[[#This Row],[ID]], Table2[ID],#REF!, "Not Found", 0)</f>
        <v>#REF!</v>
      </c>
      <c r="R671" t="e">
        <f>_xlfn.XLOOKUP(Table1[[#This Row],[ID]], Table2[ID],#REF!, "Not Found", 0)</f>
        <v>#REF!</v>
      </c>
      <c r="S671" s="3" t="str">
        <f>_xlfn.XLOOKUP(Table1[[#This Row],[ID]], Table2[ID], Table2[Enrollment], "Not Found", 0)</f>
        <v>11/18/2019</v>
      </c>
      <c r="T671" t="s">
        <v>436</v>
      </c>
    </row>
    <row r="672" spans="1:20" x14ac:dyDescent="0.3">
      <c r="A672">
        <v>1342</v>
      </c>
      <c r="B672">
        <v>165073</v>
      </c>
      <c r="C672">
        <v>0</v>
      </c>
      <c r="D672">
        <v>0</v>
      </c>
      <c r="E672">
        <v>77</v>
      </c>
      <c r="F672">
        <v>0</v>
      </c>
      <c r="G672">
        <v>1</v>
      </c>
      <c r="H672">
        <v>0</v>
      </c>
      <c r="I672">
        <v>0</v>
      </c>
      <c r="J672">
        <v>0</v>
      </c>
      <c r="K672">
        <v>0</v>
      </c>
      <c r="L672">
        <v>0</v>
      </c>
      <c r="M672">
        <v>1</v>
      </c>
      <c r="N672">
        <v>0</v>
      </c>
      <c r="O672" t="str" cm="1">
        <f t="array" ref="O672">_xlfn.IFS(Table1[[#This Row],[Divorced]]=1, "Divorced", Table1[[#This Row],[Married]]=1, "Married", Table1[[#This Row],[Single]]=1, "Single", Table1[[#This Row],[Together]]=1, "Together", Table1[[#This Row],[Widow]]=1, "Widow")</f>
        <v>Married</v>
      </c>
      <c r="P672" t="str" cm="1">
        <f t="array" ref="P672">_xlfn.IFS(Table1[[#This Row],[Basic]]=1, "Basic", Table1[[#This Row],[Graduate]]=1, "Graduate", Table1[[#This Row],[Master]]=1, "Master", Table1[[#This Row],[PhD]]=1, "PhD", AND(Table1[[#This Row],[Basic]]=0, Table1[[#This Row],[Graduate]]=0, Table1[[#This Row],[Master]]=0, Table1[[#This Row],[PhD]]=0), "NA")</f>
        <v>Master</v>
      </c>
      <c r="Q672" t="e">
        <f>_xlfn.XLOOKUP(Table1[[#This Row],[ID]], Table2[ID],#REF!, "Not Found", 0)</f>
        <v>#REF!</v>
      </c>
      <c r="R672" t="e">
        <f>_xlfn.XLOOKUP(Table1[[#This Row],[ID]], Table2[ID],#REF!, "Not Found", 0)</f>
        <v>#REF!</v>
      </c>
      <c r="S672" s="3" t="str">
        <f>_xlfn.XLOOKUP(Table1[[#This Row],[ID]], Table2[ID], Table2[Enrollment], "Not Found", 0)</f>
        <v>1/25/2020</v>
      </c>
      <c r="T672" t="s">
        <v>439</v>
      </c>
    </row>
    <row r="673" spans="1:20" x14ac:dyDescent="0.3">
      <c r="A673">
        <v>1067</v>
      </c>
      <c r="B673">
        <v>165031</v>
      </c>
      <c r="C673">
        <v>0</v>
      </c>
      <c r="D673">
        <v>1</v>
      </c>
      <c r="E673">
        <v>61</v>
      </c>
      <c r="F673">
        <v>0</v>
      </c>
      <c r="G673">
        <v>1</v>
      </c>
      <c r="H673">
        <v>0</v>
      </c>
      <c r="I673">
        <v>0</v>
      </c>
      <c r="J673">
        <v>0</v>
      </c>
      <c r="K673">
        <v>0</v>
      </c>
      <c r="L673">
        <v>1</v>
      </c>
      <c r="M673">
        <v>0</v>
      </c>
      <c r="N673">
        <v>0</v>
      </c>
      <c r="O673" t="str" cm="1">
        <f t="array" ref="O673">_xlfn.IFS(Table1[[#This Row],[Divorced]]=1, "Divorced", Table1[[#This Row],[Married]]=1, "Married", Table1[[#This Row],[Single]]=1, "Single", Table1[[#This Row],[Together]]=1, "Together", Table1[[#This Row],[Widow]]=1, "Widow")</f>
        <v>Married</v>
      </c>
      <c r="P673" t="str" cm="1">
        <f t="array" ref="P673">_xlfn.IFS(Table1[[#This Row],[Basic]]=1, "Basic", Table1[[#This Row],[Graduate]]=1, "Graduate", Table1[[#This Row],[Master]]=1, "Master", Table1[[#This Row],[PhD]]=1, "PhD", AND(Table1[[#This Row],[Basic]]=0, Table1[[#This Row],[Graduate]]=0, Table1[[#This Row],[Master]]=0, Table1[[#This Row],[PhD]]=0), "NA")</f>
        <v>Graduate</v>
      </c>
      <c r="Q673" t="e">
        <f>_xlfn.XLOOKUP(Table1[[#This Row],[ID]], Table2[ID],#REF!, "Not Found", 0)</f>
        <v>#REF!</v>
      </c>
      <c r="R673" t="e">
        <f>_xlfn.XLOOKUP(Table1[[#This Row],[ID]], Table2[ID],#REF!, "Not Found", 0)</f>
        <v>#REF!</v>
      </c>
      <c r="S673" s="3" t="str">
        <f>_xlfn.XLOOKUP(Table1[[#This Row],[ID]], Table2[ID], Table2[Enrollment], "Not Found", 0)</f>
        <v>8/22/2019</v>
      </c>
      <c r="T673" t="s">
        <v>434</v>
      </c>
    </row>
    <row r="674" spans="1:20" x14ac:dyDescent="0.3">
      <c r="A674">
        <v>1228</v>
      </c>
      <c r="B674">
        <v>164961</v>
      </c>
      <c r="C674">
        <v>0</v>
      </c>
      <c r="D674">
        <v>1</v>
      </c>
      <c r="E674">
        <v>62</v>
      </c>
      <c r="F674">
        <v>0</v>
      </c>
      <c r="G674">
        <v>0</v>
      </c>
      <c r="H674">
        <v>0</v>
      </c>
      <c r="I674">
        <v>1</v>
      </c>
      <c r="J674">
        <v>0</v>
      </c>
      <c r="K674">
        <v>0</v>
      </c>
      <c r="L674">
        <v>1</v>
      </c>
      <c r="M674">
        <v>0</v>
      </c>
      <c r="N674">
        <v>0</v>
      </c>
      <c r="O674" t="str" cm="1">
        <f t="array" ref="O674">_xlfn.IFS(Table1[[#This Row],[Divorced]]=1, "Divorced", Table1[[#This Row],[Married]]=1, "Married", Table1[[#This Row],[Single]]=1, "Single", Table1[[#This Row],[Together]]=1, "Together", Table1[[#This Row],[Widow]]=1, "Widow")</f>
        <v>Together</v>
      </c>
      <c r="P674" t="str" cm="1">
        <f t="array" ref="P674">_xlfn.IFS(Table1[[#This Row],[Basic]]=1, "Basic", Table1[[#This Row],[Graduate]]=1, "Graduate", Table1[[#This Row],[Master]]=1, "Master", Table1[[#This Row],[PhD]]=1, "PhD", AND(Table1[[#This Row],[Basic]]=0, Table1[[#This Row],[Graduate]]=0, Table1[[#This Row],[Master]]=0, Table1[[#This Row],[PhD]]=0), "NA")</f>
        <v>Graduate</v>
      </c>
      <c r="Q674" t="e">
        <f>_xlfn.XLOOKUP(Table1[[#This Row],[ID]], Table2[ID],#REF!, "Not Found", 0)</f>
        <v>#REF!</v>
      </c>
      <c r="R674" t="e">
        <f>_xlfn.XLOOKUP(Table1[[#This Row],[ID]], Table2[ID],#REF!, "Not Found", 0)</f>
        <v>#REF!</v>
      </c>
      <c r="S674" s="3" t="str">
        <f>_xlfn.XLOOKUP(Table1[[#This Row],[ID]], Table2[ID], Table2[Enrollment], "Not Found", 0)</f>
        <v>5/30/2019</v>
      </c>
      <c r="T674" t="s">
        <v>439</v>
      </c>
    </row>
    <row r="675" spans="1:20" x14ac:dyDescent="0.3">
      <c r="A675">
        <v>1913</v>
      </c>
      <c r="B675">
        <v>164950</v>
      </c>
      <c r="C675">
        <v>0</v>
      </c>
      <c r="D675">
        <v>1</v>
      </c>
      <c r="E675">
        <v>69</v>
      </c>
      <c r="F675">
        <v>0</v>
      </c>
      <c r="G675">
        <v>0</v>
      </c>
      <c r="H675">
        <v>1</v>
      </c>
      <c r="I675">
        <v>0</v>
      </c>
      <c r="J675">
        <v>0</v>
      </c>
      <c r="K675">
        <v>0</v>
      </c>
      <c r="L675">
        <v>0</v>
      </c>
      <c r="M675">
        <v>0</v>
      </c>
      <c r="N675">
        <v>1</v>
      </c>
      <c r="O675" t="str" cm="1">
        <f t="array" ref="O675">_xlfn.IFS(Table1[[#This Row],[Divorced]]=1, "Divorced", Table1[[#This Row],[Married]]=1, "Married", Table1[[#This Row],[Single]]=1, "Single", Table1[[#This Row],[Together]]=1, "Together", Table1[[#This Row],[Widow]]=1, "Widow")</f>
        <v>Single</v>
      </c>
      <c r="P675" t="str" cm="1">
        <f t="array" ref="P675">_xlfn.IFS(Table1[[#This Row],[Basic]]=1, "Basic", Table1[[#This Row],[Graduate]]=1, "Graduate", Table1[[#This Row],[Master]]=1, "Master", Table1[[#This Row],[PhD]]=1, "PhD", AND(Table1[[#This Row],[Basic]]=0, Table1[[#This Row],[Graduate]]=0, Table1[[#This Row],[Master]]=0, Table1[[#This Row],[PhD]]=0), "NA")</f>
        <v>PhD</v>
      </c>
      <c r="Q675" t="e">
        <f>_xlfn.XLOOKUP(Table1[[#This Row],[ID]], Table2[ID],#REF!, "Not Found", 0)</f>
        <v>#REF!</v>
      </c>
      <c r="R675" t="e">
        <f>_xlfn.XLOOKUP(Table1[[#This Row],[ID]], Table2[ID],#REF!, "Not Found", 0)</f>
        <v>#REF!</v>
      </c>
      <c r="S675" s="3" t="str">
        <f>_xlfn.XLOOKUP(Table1[[#This Row],[ID]], Table2[ID], Table2[Enrollment], "Not Found", 0)</f>
        <v>1/17/2019</v>
      </c>
      <c r="T675" t="s">
        <v>434</v>
      </c>
    </row>
    <row r="676" spans="1:20" x14ac:dyDescent="0.3">
      <c r="A676">
        <v>2637</v>
      </c>
      <c r="B676">
        <v>164892</v>
      </c>
      <c r="C676">
        <v>0</v>
      </c>
      <c r="D676">
        <v>1</v>
      </c>
      <c r="E676">
        <v>44</v>
      </c>
      <c r="F676">
        <v>1</v>
      </c>
      <c r="G676">
        <v>0</v>
      </c>
      <c r="H676">
        <v>0</v>
      </c>
      <c r="I676">
        <v>0</v>
      </c>
      <c r="J676">
        <v>0</v>
      </c>
      <c r="K676">
        <v>0</v>
      </c>
      <c r="L676">
        <v>1</v>
      </c>
      <c r="M676">
        <v>0</v>
      </c>
      <c r="N676">
        <v>0</v>
      </c>
      <c r="O676" t="str" cm="1">
        <f t="array" ref="O676">_xlfn.IFS(Table1[[#This Row],[Divorced]]=1, "Divorced", Table1[[#This Row],[Married]]=1, "Married", Table1[[#This Row],[Single]]=1, "Single", Table1[[#This Row],[Together]]=1, "Together", Table1[[#This Row],[Widow]]=1, "Widow")</f>
        <v>Divorced</v>
      </c>
      <c r="P676" t="str" cm="1">
        <f t="array" ref="P676">_xlfn.IFS(Table1[[#This Row],[Basic]]=1, "Basic", Table1[[#This Row],[Graduate]]=1, "Graduate", Table1[[#This Row],[Master]]=1, "Master", Table1[[#This Row],[PhD]]=1, "PhD", AND(Table1[[#This Row],[Basic]]=0, Table1[[#This Row],[Graduate]]=0, Table1[[#This Row],[Master]]=0, Table1[[#This Row],[PhD]]=0), "NA")</f>
        <v>Graduate</v>
      </c>
      <c r="Q676" t="e">
        <f>_xlfn.XLOOKUP(Table1[[#This Row],[ID]], Table2[ID],#REF!, "Not Found", 0)</f>
        <v>#REF!</v>
      </c>
      <c r="R676" t="e">
        <f>_xlfn.XLOOKUP(Table1[[#This Row],[ID]], Table2[ID],#REF!, "Not Found", 0)</f>
        <v>#REF!</v>
      </c>
      <c r="S676" s="3">
        <f>_xlfn.XLOOKUP(Table1[[#This Row],[ID]], Table2[ID], Table2[Enrollment], "Not Found", 0)</f>
        <v>43872</v>
      </c>
      <c r="T676" t="s">
        <v>435</v>
      </c>
    </row>
    <row r="677" spans="1:20" x14ac:dyDescent="0.3">
      <c r="A677">
        <v>2436</v>
      </c>
      <c r="B677">
        <v>164866</v>
      </c>
      <c r="C677">
        <v>0</v>
      </c>
      <c r="D677">
        <v>1</v>
      </c>
      <c r="E677">
        <v>70</v>
      </c>
      <c r="F677">
        <v>0</v>
      </c>
      <c r="G677">
        <v>0</v>
      </c>
      <c r="H677">
        <v>0</v>
      </c>
      <c r="I677">
        <v>0</v>
      </c>
      <c r="J677">
        <v>1</v>
      </c>
      <c r="K677">
        <v>0</v>
      </c>
      <c r="L677">
        <v>0</v>
      </c>
      <c r="M677">
        <v>1</v>
      </c>
      <c r="N677">
        <v>0</v>
      </c>
      <c r="O677" t="str" cm="1">
        <f t="array" ref="O677">_xlfn.IFS(Table1[[#This Row],[Divorced]]=1, "Divorced", Table1[[#This Row],[Married]]=1, "Married", Table1[[#This Row],[Single]]=1, "Single", Table1[[#This Row],[Together]]=1, "Together", Table1[[#This Row],[Widow]]=1, "Widow")</f>
        <v>Widow</v>
      </c>
      <c r="P677" t="str" cm="1">
        <f t="array" ref="P677">_xlfn.IFS(Table1[[#This Row],[Basic]]=1, "Basic", Table1[[#This Row],[Graduate]]=1, "Graduate", Table1[[#This Row],[Master]]=1, "Master", Table1[[#This Row],[PhD]]=1, "PhD", AND(Table1[[#This Row],[Basic]]=0, Table1[[#This Row],[Graduate]]=0, Table1[[#This Row],[Master]]=0, Table1[[#This Row],[PhD]]=0), "NA")</f>
        <v>Master</v>
      </c>
      <c r="Q677" t="e">
        <f>_xlfn.XLOOKUP(Table1[[#This Row],[ID]], Table2[ID],#REF!, "Not Found", 0)</f>
        <v>#REF!</v>
      </c>
      <c r="R677" t="e">
        <f>_xlfn.XLOOKUP(Table1[[#This Row],[ID]], Table2[ID],#REF!, "Not Found", 0)</f>
        <v>#REF!</v>
      </c>
      <c r="S677" s="3">
        <f>_xlfn.XLOOKUP(Table1[[#This Row],[ID]], Table2[ID], Table2[Enrollment], "Not Found", 0)</f>
        <v>43868</v>
      </c>
      <c r="T677" t="s">
        <v>436</v>
      </c>
    </row>
    <row r="678" spans="1:20" x14ac:dyDescent="0.3">
      <c r="A678">
        <v>2291</v>
      </c>
      <c r="B678">
        <v>164857</v>
      </c>
      <c r="C678">
        <v>0</v>
      </c>
      <c r="D678">
        <v>0</v>
      </c>
      <c r="E678">
        <v>64</v>
      </c>
      <c r="F678">
        <v>0</v>
      </c>
      <c r="G678">
        <v>0</v>
      </c>
      <c r="H678">
        <v>1</v>
      </c>
      <c r="I678">
        <v>0</v>
      </c>
      <c r="J678">
        <v>0</v>
      </c>
      <c r="K678">
        <v>0</v>
      </c>
      <c r="L678">
        <v>0</v>
      </c>
      <c r="M678">
        <v>1</v>
      </c>
      <c r="N678">
        <v>0</v>
      </c>
      <c r="O678" t="str" cm="1">
        <f t="array" ref="O678">_xlfn.IFS(Table1[[#This Row],[Divorced]]=1, "Divorced", Table1[[#This Row],[Married]]=1, "Married", Table1[[#This Row],[Single]]=1, "Single", Table1[[#This Row],[Together]]=1, "Together", Table1[[#This Row],[Widow]]=1, "Widow")</f>
        <v>Single</v>
      </c>
      <c r="P678" t="str" cm="1">
        <f t="array" ref="P678">_xlfn.IFS(Table1[[#This Row],[Basic]]=1, "Basic", Table1[[#This Row],[Graduate]]=1, "Graduate", Table1[[#This Row],[Master]]=1, "Master", Table1[[#This Row],[PhD]]=1, "PhD", AND(Table1[[#This Row],[Basic]]=0, Table1[[#This Row],[Graduate]]=0, Table1[[#This Row],[Master]]=0, Table1[[#This Row],[PhD]]=0), "NA")</f>
        <v>Master</v>
      </c>
      <c r="Q678" t="e">
        <f>_xlfn.XLOOKUP(Table1[[#This Row],[ID]], Table2[ID],#REF!, "Not Found", 0)</f>
        <v>#REF!</v>
      </c>
      <c r="R678" t="e">
        <f>_xlfn.XLOOKUP(Table1[[#This Row],[ID]], Table2[ID],#REF!, "Not Found", 0)</f>
        <v>#REF!</v>
      </c>
      <c r="S678" s="3" t="str">
        <f>_xlfn.XLOOKUP(Table1[[#This Row],[ID]], Table2[ID], Table2[Enrollment], "Not Found", 0)</f>
        <v>4/30/2019</v>
      </c>
      <c r="T678" t="s">
        <v>434</v>
      </c>
    </row>
    <row r="679" spans="1:20" x14ac:dyDescent="0.3">
      <c r="A679">
        <v>2452</v>
      </c>
      <c r="B679">
        <v>164857</v>
      </c>
      <c r="C679">
        <v>0</v>
      </c>
      <c r="D679">
        <v>0</v>
      </c>
      <c r="E679">
        <v>64</v>
      </c>
      <c r="F679">
        <v>0</v>
      </c>
      <c r="G679">
        <v>0</v>
      </c>
      <c r="H679">
        <v>1</v>
      </c>
      <c r="I679">
        <v>0</v>
      </c>
      <c r="J679">
        <v>0</v>
      </c>
      <c r="K679">
        <v>0</v>
      </c>
      <c r="L679">
        <v>0</v>
      </c>
      <c r="M679">
        <v>1</v>
      </c>
      <c r="N679">
        <v>0</v>
      </c>
      <c r="O679" t="str" cm="1">
        <f t="array" ref="O679">_xlfn.IFS(Table1[[#This Row],[Divorced]]=1, "Divorced", Table1[[#This Row],[Married]]=1, "Married", Table1[[#This Row],[Single]]=1, "Single", Table1[[#This Row],[Together]]=1, "Together", Table1[[#This Row],[Widow]]=1, "Widow")</f>
        <v>Single</v>
      </c>
      <c r="P679" t="str" cm="1">
        <f t="array" ref="P679">_xlfn.IFS(Table1[[#This Row],[Basic]]=1, "Basic", Table1[[#This Row],[Graduate]]=1, "Graduate", Table1[[#This Row],[Master]]=1, "Master", Table1[[#This Row],[PhD]]=1, "PhD", AND(Table1[[#This Row],[Basic]]=0, Table1[[#This Row],[Graduate]]=0, Table1[[#This Row],[Master]]=0, Table1[[#This Row],[PhD]]=0), "NA")</f>
        <v>Master</v>
      </c>
      <c r="Q679" t="e">
        <f>_xlfn.XLOOKUP(Table1[[#This Row],[ID]], Table2[ID],#REF!, "Not Found", 0)</f>
        <v>#REF!</v>
      </c>
      <c r="R679" t="e">
        <f>_xlfn.XLOOKUP(Table1[[#This Row],[ID]], Table2[ID],#REF!, "Not Found", 0)</f>
        <v>#REF!</v>
      </c>
      <c r="S679" s="3" t="str">
        <f>_xlfn.XLOOKUP(Table1[[#This Row],[ID]], Table2[ID], Table2[Enrollment], "Not Found", 0)</f>
        <v>4/30/2019</v>
      </c>
      <c r="T679" t="s">
        <v>439</v>
      </c>
    </row>
    <row r="680" spans="1:20" x14ac:dyDescent="0.3">
      <c r="A680">
        <v>2903</v>
      </c>
      <c r="B680">
        <v>164849</v>
      </c>
      <c r="C680">
        <v>0</v>
      </c>
      <c r="D680">
        <v>0</v>
      </c>
      <c r="E680">
        <v>63</v>
      </c>
      <c r="F680">
        <v>0</v>
      </c>
      <c r="G680">
        <v>0</v>
      </c>
      <c r="H680">
        <v>1</v>
      </c>
      <c r="I680">
        <v>0</v>
      </c>
      <c r="J680">
        <v>0</v>
      </c>
      <c r="K680">
        <v>0</v>
      </c>
      <c r="L680">
        <v>1</v>
      </c>
      <c r="M680">
        <v>0</v>
      </c>
      <c r="N680">
        <v>0</v>
      </c>
      <c r="O680" t="str" cm="1">
        <f t="array" ref="O680">_xlfn.IFS(Table1[[#This Row],[Divorced]]=1, "Divorced", Table1[[#This Row],[Married]]=1, "Married", Table1[[#This Row],[Single]]=1, "Single", Table1[[#This Row],[Together]]=1, "Together", Table1[[#This Row],[Widow]]=1, "Widow")</f>
        <v>Single</v>
      </c>
      <c r="P680" t="str" cm="1">
        <f t="array" ref="P680">_xlfn.IFS(Table1[[#This Row],[Basic]]=1, "Basic", Table1[[#This Row],[Graduate]]=1, "Graduate", Table1[[#This Row],[Master]]=1, "Master", Table1[[#This Row],[PhD]]=1, "PhD", AND(Table1[[#This Row],[Basic]]=0, Table1[[#This Row],[Graduate]]=0, Table1[[#This Row],[Master]]=0, Table1[[#This Row],[PhD]]=0), "NA")</f>
        <v>Graduate</v>
      </c>
      <c r="Q680" t="e">
        <f>_xlfn.XLOOKUP(Table1[[#This Row],[ID]], Table2[ID],#REF!, "Not Found", 0)</f>
        <v>#REF!</v>
      </c>
      <c r="R680" t="e">
        <f>_xlfn.XLOOKUP(Table1[[#This Row],[ID]], Table2[ID],#REF!, "Not Found", 0)</f>
        <v>#REF!</v>
      </c>
      <c r="S680" s="3" t="str">
        <f>_xlfn.XLOOKUP(Table1[[#This Row],[ID]], Table2[ID], Table2[Enrollment], "Not Found", 0)</f>
        <v>4/20/2019</v>
      </c>
      <c r="T680" t="s">
        <v>434</v>
      </c>
    </row>
    <row r="681" spans="1:20" x14ac:dyDescent="0.3">
      <c r="A681">
        <v>1921</v>
      </c>
      <c r="B681">
        <v>164831</v>
      </c>
      <c r="C681">
        <v>1</v>
      </c>
      <c r="D681">
        <v>1</v>
      </c>
      <c r="E681">
        <v>68</v>
      </c>
      <c r="F681">
        <v>0</v>
      </c>
      <c r="G681">
        <v>0</v>
      </c>
      <c r="H681">
        <v>1</v>
      </c>
      <c r="I681">
        <v>0</v>
      </c>
      <c r="J681">
        <v>0</v>
      </c>
      <c r="K681">
        <v>0</v>
      </c>
      <c r="L681">
        <v>0</v>
      </c>
      <c r="M681">
        <v>0</v>
      </c>
      <c r="N681">
        <v>0</v>
      </c>
      <c r="O681" t="str" cm="1">
        <f t="array" ref="O681">_xlfn.IFS(Table1[[#This Row],[Divorced]]=1, "Divorced", Table1[[#This Row],[Married]]=1, "Married", Table1[[#This Row],[Single]]=1, "Single", Table1[[#This Row],[Together]]=1, "Together", Table1[[#This Row],[Widow]]=1, "Widow")</f>
        <v>Single</v>
      </c>
      <c r="P681" t="str" cm="1">
        <f t="array" ref="P681">_xlfn.IFS(Table1[[#This Row],[Basic]]=1, "Basic", Table1[[#This Row],[Graduate]]=1, "Graduate", Table1[[#This Row],[Master]]=1, "Master", Table1[[#This Row],[PhD]]=1, "PhD", AND(Table1[[#This Row],[Basic]]=0, Table1[[#This Row],[Graduate]]=0, Table1[[#This Row],[Master]]=0, Table1[[#This Row],[PhD]]=0), "NA")</f>
        <v>NA</v>
      </c>
      <c r="Q681" t="e">
        <f>_xlfn.XLOOKUP(Table1[[#This Row],[ID]], Table2[ID],#REF!, "Not Found", 0)</f>
        <v>#REF!</v>
      </c>
      <c r="R681" t="e">
        <f>_xlfn.XLOOKUP(Table1[[#This Row],[ID]], Table2[ID],#REF!, "Not Found", 0)</f>
        <v>#REF!</v>
      </c>
      <c r="S681" s="3" t="str">
        <f>_xlfn.XLOOKUP(Table1[[#This Row],[ID]], Table2[ID], Table2[Enrollment], "Not Found", 0)</f>
        <v>11/15/2019</v>
      </c>
      <c r="T681" t="s">
        <v>437</v>
      </c>
    </row>
    <row r="682" spans="1:20" x14ac:dyDescent="0.3">
      <c r="A682">
        <v>2683</v>
      </c>
      <c r="B682">
        <v>164813</v>
      </c>
      <c r="C682">
        <v>1</v>
      </c>
      <c r="D682">
        <v>0</v>
      </c>
      <c r="E682">
        <v>42</v>
      </c>
      <c r="F682">
        <v>0</v>
      </c>
      <c r="G682">
        <v>1</v>
      </c>
      <c r="H682">
        <v>0</v>
      </c>
      <c r="I682">
        <v>0</v>
      </c>
      <c r="J682">
        <v>0</v>
      </c>
      <c r="K682">
        <v>0</v>
      </c>
      <c r="L682">
        <v>1</v>
      </c>
      <c r="M682">
        <v>0</v>
      </c>
      <c r="N682">
        <v>0</v>
      </c>
      <c r="O682" t="str" cm="1">
        <f t="array" ref="O682">_xlfn.IFS(Table1[[#This Row],[Divorced]]=1, "Divorced", Table1[[#This Row],[Married]]=1, "Married", Table1[[#This Row],[Single]]=1, "Single", Table1[[#This Row],[Together]]=1, "Together", Table1[[#This Row],[Widow]]=1, "Widow")</f>
        <v>Married</v>
      </c>
      <c r="P682" t="str" cm="1">
        <f t="array" ref="P682">_xlfn.IFS(Table1[[#This Row],[Basic]]=1, "Basic", Table1[[#This Row],[Graduate]]=1, "Graduate", Table1[[#This Row],[Master]]=1, "Master", Table1[[#This Row],[PhD]]=1, "PhD", AND(Table1[[#This Row],[Basic]]=0, Table1[[#This Row],[Graduate]]=0, Table1[[#This Row],[Master]]=0, Table1[[#This Row],[PhD]]=0), "NA")</f>
        <v>Graduate</v>
      </c>
      <c r="Q682" t="e">
        <f>_xlfn.XLOOKUP(Table1[[#This Row],[ID]], Table2[ID],#REF!, "Not Found", 0)</f>
        <v>#REF!</v>
      </c>
      <c r="R682" t="e">
        <f>_xlfn.XLOOKUP(Table1[[#This Row],[ID]], Table2[ID],#REF!, "Not Found", 0)</f>
        <v>#REF!</v>
      </c>
      <c r="S682" s="3">
        <f>_xlfn.XLOOKUP(Table1[[#This Row],[ID]], Table2[ID], Table2[Enrollment], "Not Found", 0)</f>
        <v>44049</v>
      </c>
      <c r="T682" t="s">
        <v>437</v>
      </c>
    </row>
    <row r="683" spans="1:20" x14ac:dyDescent="0.3">
      <c r="A683">
        <v>1305</v>
      </c>
      <c r="B683">
        <v>164795</v>
      </c>
      <c r="C683">
        <v>0</v>
      </c>
      <c r="D683">
        <v>1</v>
      </c>
      <c r="E683">
        <v>49</v>
      </c>
      <c r="F683">
        <v>0</v>
      </c>
      <c r="G683">
        <v>1</v>
      </c>
      <c r="H683">
        <v>0</v>
      </c>
      <c r="I683">
        <v>0</v>
      </c>
      <c r="J683">
        <v>0</v>
      </c>
      <c r="K683">
        <v>0</v>
      </c>
      <c r="L683">
        <v>1</v>
      </c>
      <c r="M683">
        <v>0</v>
      </c>
      <c r="N683">
        <v>0</v>
      </c>
      <c r="O683" t="str" cm="1">
        <f t="array" ref="O683">_xlfn.IFS(Table1[[#This Row],[Divorced]]=1, "Divorced", Table1[[#This Row],[Married]]=1, "Married", Table1[[#This Row],[Single]]=1, "Single", Table1[[#This Row],[Together]]=1, "Together", Table1[[#This Row],[Widow]]=1, "Widow")</f>
        <v>Married</v>
      </c>
      <c r="P683" t="str" cm="1">
        <f t="array" ref="P683">_xlfn.IFS(Table1[[#This Row],[Basic]]=1, "Basic", Table1[[#This Row],[Graduate]]=1, "Graduate", Table1[[#This Row],[Master]]=1, "Master", Table1[[#This Row],[PhD]]=1, "PhD", AND(Table1[[#This Row],[Basic]]=0, Table1[[#This Row],[Graduate]]=0, Table1[[#This Row],[Master]]=0, Table1[[#This Row],[PhD]]=0), "NA")</f>
        <v>Graduate</v>
      </c>
      <c r="Q683" t="e">
        <f>_xlfn.XLOOKUP(Table1[[#This Row],[ID]], Table2[ID],#REF!, "Not Found", 0)</f>
        <v>#REF!</v>
      </c>
      <c r="R683" t="e">
        <f>_xlfn.XLOOKUP(Table1[[#This Row],[ID]], Table2[ID],#REF!, "Not Found", 0)</f>
        <v>#REF!</v>
      </c>
      <c r="S683" s="3" t="str">
        <f>_xlfn.XLOOKUP(Table1[[#This Row],[ID]], Table2[ID], Table2[Enrollment], "Not Found", 0)</f>
        <v>6/24/2019</v>
      </c>
      <c r="T683" t="s">
        <v>435</v>
      </c>
    </row>
    <row r="684" spans="1:20" x14ac:dyDescent="0.3">
      <c r="A684">
        <v>2216</v>
      </c>
      <c r="B684">
        <v>164722</v>
      </c>
      <c r="C684">
        <v>1</v>
      </c>
      <c r="D684">
        <v>0</v>
      </c>
      <c r="E684">
        <v>49</v>
      </c>
      <c r="F684">
        <v>0</v>
      </c>
      <c r="G684">
        <v>1</v>
      </c>
      <c r="H684">
        <v>0</v>
      </c>
      <c r="I684">
        <v>0</v>
      </c>
      <c r="J684">
        <v>0</v>
      </c>
      <c r="K684">
        <v>0</v>
      </c>
      <c r="L684">
        <v>1</v>
      </c>
      <c r="M684">
        <v>0</v>
      </c>
      <c r="N684">
        <v>0</v>
      </c>
      <c r="O684" t="str" cm="1">
        <f t="array" ref="O684">_xlfn.IFS(Table1[[#This Row],[Divorced]]=1, "Divorced", Table1[[#This Row],[Married]]=1, "Married", Table1[[#This Row],[Single]]=1, "Single", Table1[[#This Row],[Together]]=1, "Together", Table1[[#This Row],[Widow]]=1, "Widow")</f>
        <v>Married</v>
      </c>
      <c r="P684" t="str" cm="1">
        <f t="array" ref="P684">_xlfn.IFS(Table1[[#This Row],[Basic]]=1, "Basic", Table1[[#This Row],[Graduate]]=1, "Graduate", Table1[[#This Row],[Master]]=1, "Master", Table1[[#This Row],[PhD]]=1, "PhD", AND(Table1[[#This Row],[Basic]]=0, Table1[[#This Row],[Graduate]]=0, Table1[[#This Row],[Master]]=0, Table1[[#This Row],[PhD]]=0), "NA")</f>
        <v>Graduate</v>
      </c>
      <c r="Q684" t="e">
        <f>_xlfn.XLOOKUP(Table1[[#This Row],[ID]], Table2[ID],#REF!, "Not Found", 0)</f>
        <v>#REF!</v>
      </c>
      <c r="R684" t="e">
        <f>_xlfn.XLOOKUP(Table1[[#This Row],[ID]], Table2[ID],#REF!, "Not Found", 0)</f>
        <v>#REF!</v>
      </c>
      <c r="S684" s="3" t="str">
        <f>_xlfn.XLOOKUP(Table1[[#This Row],[ID]], Table2[ID], Table2[Enrollment], "Not Found", 0)</f>
        <v>10/30/2020</v>
      </c>
      <c r="T684" t="s">
        <v>438</v>
      </c>
    </row>
    <row r="685" spans="1:20" x14ac:dyDescent="0.3">
      <c r="A685">
        <v>3048</v>
      </c>
      <c r="B685">
        <v>164713</v>
      </c>
      <c r="C685">
        <v>1</v>
      </c>
      <c r="D685">
        <v>0</v>
      </c>
      <c r="E685">
        <v>50</v>
      </c>
      <c r="F685">
        <v>1</v>
      </c>
      <c r="G685">
        <v>0</v>
      </c>
      <c r="H685">
        <v>0</v>
      </c>
      <c r="I685">
        <v>0</v>
      </c>
      <c r="J685">
        <v>0</v>
      </c>
      <c r="K685">
        <v>0</v>
      </c>
      <c r="L685">
        <v>1</v>
      </c>
      <c r="M685">
        <v>0</v>
      </c>
      <c r="N685">
        <v>0</v>
      </c>
      <c r="O685" t="str" cm="1">
        <f t="array" ref="O685">_xlfn.IFS(Table1[[#This Row],[Divorced]]=1, "Divorced", Table1[[#This Row],[Married]]=1, "Married", Table1[[#This Row],[Single]]=1, "Single", Table1[[#This Row],[Together]]=1, "Together", Table1[[#This Row],[Widow]]=1, "Widow")</f>
        <v>Divorced</v>
      </c>
      <c r="P685" t="str" cm="1">
        <f t="array" ref="P685">_xlfn.IFS(Table1[[#This Row],[Basic]]=1, "Basic", Table1[[#This Row],[Graduate]]=1, "Graduate", Table1[[#This Row],[Master]]=1, "Master", Table1[[#This Row],[PhD]]=1, "PhD", AND(Table1[[#This Row],[Basic]]=0, Table1[[#This Row],[Graduate]]=0, Table1[[#This Row],[Master]]=0, Table1[[#This Row],[PhD]]=0), "NA")</f>
        <v>Graduate</v>
      </c>
      <c r="Q685" t="e">
        <f>_xlfn.XLOOKUP(Table1[[#This Row],[ID]], Table2[ID],#REF!, "Not Found", 0)</f>
        <v>#REF!</v>
      </c>
      <c r="R685" t="e">
        <f>_xlfn.XLOOKUP(Table1[[#This Row],[ID]], Table2[ID],#REF!, "Not Found", 0)</f>
        <v>#REF!</v>
      </c>
      <c r="S685" s="3" t="str">
        <f>_xlfn.XLOOKUP(Table1[[#This Row],[ID]], Table2[ID], Table2[Enrollment], "Not Found", 0)</f>
        <v>7/14/2020</v>
      </c>
      <c r="T685" t="s">
        <v>436</v>
      </c>
    </row>
    <row r="686" spans="1:20" x14ac:dyDescent="0.3">
      <c r="A686">
        <v>2757</v>
      </c>
      <c r="B686">
        <v>164590</v>
      </c>
      <c r="C686">
        <v>0</v>
      </c>
      <c r="D686">
        <v>0</v>
      </c>
      <c r="E686">
        <v>52</v>
      </c>
      <c r="F686">
        <v>0</v>
      </c>
      <c r="G686">
        <v>1</v>
      </c>
      <c r="H686">
        <v>0</v>
      </c>
      <c r="I686">
        <v>0</v>
      </c>
      <c r="J686">
        <v>0</v>
      </c>
      <c r="K686">
        <v>0</v>
      </c>
      <c r="L686">
        <v>1</v>
      </c>
      <c r="M686">
        <v>0</v>
      </c>
      <c r="N686">
        <v>0</v>
      </c>
      <c r="O686" t="str" cm="1">
        <f t="array" ref="O686">_xlfn.IFS(Table1[[#This Row],[Divorced]]=1, "Divorced", Table1[[#This Row],[Married]]=1, "Married", Table1[[#This Row],[Single]]=1, "Single", Table1[[#This Row],[Together]]=1, "Together", Table1[[#This Row],[Widow]]=1, "Widow")</f>
        <v>Married</v>
      </c>
      <c r="P686" t="str" cm="1">
        <f t="array" ref="P686">_xlfn.IFS(Table1[[#This Row],[Basic]]=1, "Basic", Table1[[#This Row],[Graduate]]=1, "Graduate", Table1[[#This Row],[Master]]=1, "Master", Table1[[#This Row],[PhD]]=1, "PhD", AND(Table1[[#This Row],[Basic]]=0, Table1[[#This Row],[Graduate]]=0, Table1[[#This Row],[Master]]=0, Table1[[#This Row],[PhD]]=0), "NA")</f>
        <v>Graduate</v>
      </c>
      <c r="Q686" t="e">
        <f>_xlfn.XLOOKUP(Table1[[#This Row],[ID]], Table2[ID],#REF!, "Not Found", 0)</f>
        <v>#REF!</v>
      </c>
      <c r="R686" t="e">
        <f>_xlfn.XLOOKUP(Table1[[#This Row],[ID]], Table2[ID],#REF!, "Not Found", 0)</f>
        <v>#REF!</v>
      </c>
      <c r="S686" s="3" t="str">
        <f>_xlfn.XLOOKUP(Table1[[#This Row],[ID]], Table2[ID], Table2[Enrollment], "Not Found", 0)</f>
        <v>3/21/2019</v>
      </c>
      <c r="T686" t="s">
        <v>435</v>
      </c>
    </row>
    <row r="687" spans="1:20" x14ac:dyDescent="0.3">
      <c r="A687">
        <v>1975</v>
      </c>
      <c r="B687">
        <v>164587</v>
      </c>
      <c r="C687">
        <v>1</v>
      </c>
      <c r="D687">
        <v>1</v>
      </c>
      <c r="E687">
        <v>66</v>
      </c>
      <c r="F687">
        <v>1</v>
      </c>
      <c r="G687">
        <v>0</v>
      </c>
      <c r="H687">
        <v>0</v>
      </c>
      <c r="I687">
        <v>0</v>
      </c>
      <c r="J687">
        <v>0</v>
      </c>
      <c r="K687">
        <v>0</v>
      </c>
      <c r="L687">
        <v>1</v>
      </c>
      <c r="M687">
        <v>0</v>
      </c>
      <c r="N687">
        <v>0</v>
      </c>
      <c r="O687" t="str" cm="1">
        <f t="array" ref="O687">_xlfn.IFS(Table1[[#This Row],[Divorced]]=1, "Divorced", Table1[[#This Row],[Married]]=1, "Married", Table1[[#This Row],[Single]]=1, "Single", Table1[[#This Row],[Together]]=1, "Together", Table1[[#This Row],[Widow]]=1, "Widow")</f>
        <v>Divorced</v>
      </c>
      <c r="P687" t="str" cm="1">
        <f t="array" ref="P687">_xlfn.IFS(Table1[[#This Row],[Basic]]=1, "Basic", Table1[[#This Row],[Graduate]]=1, "Graduate", Table1[[#This Row],[Master]]=1, "Master", Table1[[#This Row],[PhD]]=1, "PhD", AND(Table1[[#This Row],[Basic]]=0, Table1[[#This Row],[Graduate]]=0, Table1[[#This Row],[Master]]=0, Table1[[#This Row],[PhD]]=0), "NA")</f>
        <v>Graduate</v>
      </c>
      <c r="Q687" t="e">
        <f>_xlfn.XLOOKUP(Table1[[#This Row],[ID]], Table2[ID],#REF!, "Not Found", 0)</f>
        <v>#REF!</v>
      </c>
      <c r="R687" t="e">
        <f>_xlfn.XLOOKUP(Table1[[#This Row],[ID]], Table2[ID],#REF!, "Not Found", 0)</f>
        <v>#REF!</v>
      </c>
      <c r="S687" s="3" t="str">
        <f>_xlfn.XLOOKUP(Table1[[#This Row],[ID]], Table2[ID], Table2[Enrollment], "Not Found", 0)</f>
        <v>11/26/2020</v>
      </c>
      <c r="T687" t="s">
        <v>437</v>
      </c>
    </row>
    <row r="688" spans="1:20" x14ac:dyDescent="0.3">
      <c r="A688">
        <v>2588</v>
      </c>
      <c r="B688">
        <v>164509</v>
      </c>
      <c r="C688">
        <v>0</v>
      </c>
      <c r="D688">
        <v>0</v>
      </c>
      <c r="E688">
        <v>30</v>
      </c>
      <c r="F688">
        <v>0</v>
      </c>
      <c r="G688">
        <v>0</v>
      </c>
      <c r="H688">
        <v>1</v>
      </c>
      <c r="I688">
        <v>0</v>
      </c>
      <c r="J688">
        <v>0</v>
      </c>
      <c r="K688">
        <v>0</v>
      </c>
      <c r="L688">
        <v>1</v>
      </c>
      <c r="M688">
        <v>0</v>
      </c>
      <c r="N688">
        <v>0</v>
      </c>
      <c r="O688" t="str" cm="1">
        <f t="array" ref="O688">_xlfn.IFS(Table1[[#This Row],[Divorced]]=1, "Divorced", Table1[[#This Row],[Married]]=1, "Married", Table1[[#This Row],[Single]]=1, "Single", Table1[[#This Row],[Together]]=1, "Together", Table1[[#This Row],[Widow]]=1, "Widow")</f>
        <v>Single</v>
      </c>
      <c r="P688" t="str" cm="1">
        <f t="array" ref="P688">_xlfn.IFS(Table1[[#This Row],[Basic]]=1, "Basic", Table1[[#This Row],[Graduate]]=1, "Graduate", Table1[[#This Row],[Master]]=1, "Master", Table1[[#This Row],[PhD]]=1, "PhD", AND(Table1[[#This Row],[Basic]]=0, Table1[[#This Row],[Graduate]]=0, Table1[[#This Row],[Master]]=0, Table1[[#This Row],[PhD]]=0), "NA")</f>
        <v>Graduate</v>
      </c>
      <c r="Q688" t="e">
        <f>_xlfn.XLOOKUP(Table1[[#This Row],[ID]], Table2[ID],#REF!, "Not Found", 0)</f>
        <v>#REF!</v>
      </c>
      <c r="R688" t="e">
        <f>_xlfn.XLOOKUP(Table1[[#This Row],[ID]], Table2[ID],#REF!, "Not Found", 0)</f>
        <v>#REF!</v>
      </c>
      <c r="S688" s="3" t="str">
        <f>_xlfn.XLOOKUP(Table1[[#This Row],[ID]], Table2[ID], Table2[Enrollment], "Not Found", 0)</f>
        <v>1/22/2020</v>
      </c>
      <c r="T688" t="s">
        <v>438</v>
      </c>
    </row>
    <row r="689" spans="1:20" x14ac:dyDescent="0.3">
      <c r="A689">
        <v>2003</v>
      </c>
      <c r="B689">
        <v>164504</v>
      </c>
      <c r="C689">
        <v>1</v>
      </c>
      <c r="D689">
        <v>2</v>
      </c>
      <c r="E689">
        <v>67</v>
      </c>
      <c r="F689">
        <v>0</v>
      </c>
      <c r="G689">
        <v>0</v>
      </c>
      <c r="H689">
        <v>0</v>
      </c>
      <c r="I689">
        <v>1</v>
      </c>
      <c r="J689">
        <v>0</v>
      </c>
      <c r="K689">
        <v>0</v>
      </c>
      <c r="L689">
        <v>0</v>
      </c>
      <c r="M689">
        <v>0</v>
      </c>
      <c r="N689">
        <v>1</v>
      </c>
      <c r="O689" t="str" cm="1">
        <f t="array" ref="O689">_xlfn.IFS(Table1[[#This Row],[Divorced]]=1, "Divorced", Table1[[#This Row],[Married]]=1, "Married", Table1[[#This Row],[Single]]=1, "Single", Table1[[#This Row],[Together]]=1, "Together", Table1[[#This Row],[Widow]]=1, "Widow")</f>
        <v>Together</v>
      </c>
      <c r="P689" t="str" cm="1">
        <f t="array" ref="P689">_xlfn.IFS(Table1[[#This Row],[Basic]]=1, "Basic", Table1[[#This Row],[Graduate]]=1, "Graduate", Table1[[#This Row],[Master]]=1, "Master", Table1[[#This Row],[PhD]]=1, "PhD", AND(Table1[[#This Row],[Basic]]=0, Table1[[#This Row],[Graduate]]=0, Table1[[#This Row],[Master]]=0, Table1[[#This Row],[PhD]]=0), "NA")</f>
        <v>PhD</v>
      </c>
      <c r="Q689" t="e">
        <f>_xlfn.XLOOKUP(Table1[[#This Row],[ID]], Table2[ID],#REF!, "Not Found", 0)</f>
        <v>#REF!</v>
      </c>
      <c r="R689" t="e">
        <f>_xlfn.XLOOKUP(Table1[[#This Row],[ID]], Table2[ID],#REF!, "Not Found", 0)</f>
        <v>#REF!</v>
      </c>
      <c r="S689" s="3">
        <f>_xlfn.XLOOKUP(Table1[[#This Row],[ID]], Table2[ID], Table2[Enrollment], "Not Found", 0)</f>
        <v>43716</v>
      </c>
      <c r="T689" t="s">
        <v>434</v>
      </c>
    </row>
    <row r="690" spans="1:20" x14ac:dyDescent="0.3">
      <c r="A690">
        <v>1197</v>
      </c>
      <c r="B690">
        <v>164497</v>
      </c>
      <c r="C690">
        <v>0</v>
      </c>
      <c r="D690">
        <v>1</v>
      </c>
      <c r="E690">
        <v>66</v>
      </c>
      <c r="F690">
        <v>1</v>
      </c>
      <c r="G690">
        <v>0</v>
      </c>
      <c r="H690">
        <v>0</v>
      </c>
      <c r="I690">
        <v>0</v>
      </c>
      <c r="J690">
        <v>0</v>
      </c>
      <c r="K690">
        <v>0</v>
      </c>
      <c r="L690">
        <v>1</v>
      </c>
      <c r="M690">
        <v>0</v>
      </c>
      <c r="N690">
        <v>0</v>
      </c>
      <c r="O690" t="str" cm="1">
        <f t="array" ref="O690">_xlfn.IFS(Table1[[#This Row],[Divorced]]=1, "Divorced", Table1[[#This Row],[Married]]=1, "Married", Table1[[#This Row],[Single]]=1, "Single", Table1[[#This Row],[Together]]=1, "Together", Table1[[#This Row],[Widow]]=1, "Widow")</f>
        <v>Divorced</v>
      </c>
      <c r="P690" t="str" cm="1">
        <f t="array" ref="P690">_xlfn.IFS(Table1[[#This Row],[Basic]]=1, "Basic", Table1[[#This Row],[Graduate]]=1, "Graduate", Table1[[#This Row],[Master]]=1, "Master", Table1[[#This Row],[PhD]]=1, "PhD", AND(Table1[[#This Row],[Basic]]=0, Table1[[#This Row],[Graduate]]=0, Table1[[#This Row],[Master]]=0, Table1[[#This Row],[PhD]]=0), "NA")</f>
        <v>Graduate</v>
      </c>
      <c r="Q690" t="e">
        <f>_xlfn.XLOOKUP(Table1[[#This Row],[ID]], Table2[ID],#REF!, "Not Found", 0)</f>
        <v>#REF!</v>
      </c>
      <c r="R690" t="e">
        <f>_xlfn.XLOOKUP(Table1[[#This Row],[ID]], Table2[ID],#REF!, "Not Found", 0)</f>
        <v>#REF!</v>
      </c>
      <c r="S690" s="3" t="str">
        <f>_xlfn.XLOOKUP(Table1[[#This Row],[ID]], Table2[ID], Table2[Enrollment], "Not Found", 0)</f>
        <v>2/15/2019</v>
      </c>
      <c r="T690" t="s">
        <v>435</v>
      </c>
    </row>
    <row r="691" spans="1:20" x14ac:dyDescent="0.3">
      <c r="A691">
        <v>2941</v>
      </c>
      <c r="B691">
        <v>164474</v>
      </c>
      <c r="C691">
        <v>0</v>
      </c>
      <c r="D691">
        <v>1</v>
      </c>
      <c r="E691">
        <v>48</v>
      </c>
      <c r="F691">
        <v>0</v>
      </c>
      <c r="G691">
        <v>0</v>
      </c>
      <c r="H691">
        <v>0</v>
      </c>
      <c r="I691">
        <v>1</v>
      </c>
      <c r="J691">
        <v>0</v>
      </c>
      <c r="K691">
        <v>0</v>
      </c>
      <c r="L691">
        <v>1</v>
      </c>
      <c r="M691">
        <v>0</v>
      </c>
      <c r="N691">
        <v>0</v>
      </c>
      <c r="O691" t="str" cm="1">
        <f t="array" ref="O691">_xlfn.IFS(Table1[[#This Row],[Divorced]]=1, "Divorced", Table1[[#This Row],[Married]]=1, "Married", Table1[[#This Row],[Single]]=1, "Single", Table1[[#This Row],[Together]]=1, "Together", Table1[[#This Row],[Widow]]=1, "Widow")</f>
        <v>Together</v>
      </c>
      <c r="P691" t="str" cm="1">
        <f t="array" ref="P691">_xlfn.IFS(Table1[[#This Row],[Basic]]=1, "Basic", Table1[[#This Row],[Graduate]]=1, "Graduate", Table1[[#This Row],[Master]]=1, "Master", Table1[[#This Row],[PhD]]=1, "PhD", AND(Table1[[#This Row],[Basic]]=0, Table1[[#This Row],[Graduate]]=0, Table1[[#This Row],[Master]]=0, Table1[[#This Row],[PhD]]=0), "NA")</f>
        <v>Graduate</v>
      </c>
      <c r="Q691" t="e">
        <f>_xlfn.XLOOKUP(Table1[[#This Row],[ID]], Table2[ID],#REF!, "Not Found", 0)</f>
        <v>#REF!</v>
      </c>
      <c r="R691" t="e">
        <f>_xlfn.XLOOKUP(Table1[[#This Row],[ID]], Table2[ID],#REF!, "Not Found", 0)</f>
        <v>#REF!</v>
      </c>
      <c r="S691" s="3" t="str">
        <f>_xlfn.XLOOKUP(Table1[[#This Row],[ID]], Table2[ID], Table2[Enrollment], "Not Found", 0)</f>
        <v>3/28/2020</v>
      </c>
      <c r="T691" t="s">
        <v>437</v>
      </c>
    </row>
    <row r="692" spans="1:20" x14ac:dyDescent="0.3">
      <c r="A692">
        <v>1974</v>
      </c>
      <c r="B692">
        <v>164449</v>
      </c>
      <c r="C692">
        <v>1</v>
      </c>
      <c r="D692">
        <v>0</v>
      </c>
      <c r="E692">
        <v>31</v>
      </c>
      <c r="F692">
        <v>0</v>
      </c>
      <c r="G692">
        <v>0</v>
      </c>
      <c r="H692">
        <v>1</v>
      </c>
      <c r="I692">
        <v>0</v>
      </c>
      <c r="J692">
        <v>0</v>
      </c>
      <c r="K692">
        <v>0</v>
      </c>
      <c r="L692">
        <v>1</v>
      </c>
      <c r="M692">
        <v>0</v>
      </c>
      <c r="N692">
        <v>0</v>
      </c>
      <c r="O692" t="str" cm="1">
        <f t="array" ref="O692">_xlfn.IFS(Table1[[#This Row],[Divorced]]=1, "Divorced", Table1[[#This Row],[Married]]=1, "Married", Table1[[#This Row],[Single]]=1, "Single", Table1[[#This Row],[Together]]=1, "Together", Table1[[#This Row],[Widow]]=1, "Widow")</f>
        <v>Single</v>
      </c>
      <c r="P692" t="str" cm="1">
        <f t="array" ref="P692">_xlfn.IFS(Table1[[#This Row],[Basic]]=1, "Basic", Table1[[#This Row],[Graduate]]=1, "Graduate", Table1[[#This Row],[Master]]=1, "Master", Table1[[#This Row],[PhD]]=1, "PhD", AND(Table1[[#This Row],[Basic]]=0, Table1[[#This Row],[Graduate]]=0, Table1[[#This Row],[Master]]=0, Table1[[#This Row],[PhD]]=0), "NA")</f>
        <v>Graduate</v>
      </c>
      <c r="Q692" t="e">
        <f>_xlfn.XLOOKUP(Table1[[#This Row],[ID]], Table2[ID],#REF!, "Not Found", 0)</f>
        <v>#REF!</v>
      </c>
      <c r="R692" t="e">
        <f>_xlfn.XLOOKUP(Table1[[#This Row],[ID]], Table2[ID],#REF!, "Not Found", 0)</f>
        <v>#REF!</v>
      </c>
      <c r="S692" s="3" t="str">
        <f>_xlfn.XLOOKUP(Table1[[#This Row],[ID]], Table2[ID], Table2[Enrollment], "Not Found", 0)</f>
        <v>7/25/2020</v>
      </c>
      <c r="T692" t="s">
        <v>436</v>
      </c>
    </row>
    <row r="693" spans="1:20" x14ac:dyDescent="0.3">
      <c r="A693">
        <v>1557</v>
      </c>
      <c r="B693">
        <v>164413</v>
      </c>
      <c r="C693">
        <v>0</v>
      </c>
      <c r="D693">
        <v>1</v>
      </c>
      <c r="E693">
        <v>50</v>
      </c>
      <c r="F693">
        <v>0</v>
      </c>
      <c r="G693">
        <v>0</v>
      </c>
      <c r="H693">
        <v>0</v>
      </c>
      <c r="I693">
        <v>1</v>
      </c>
      <c r="J693">
        <v>0</v>
      </c>
      <c r="K693">
        <v>0</v>
      </c>
      <c r="L693">
        <v>0</v>
      </c>
      <c r="M693">
        <v>0</v>
      </c>
      <c r="N693">
        <v>1</v>
      </c>
      <c r="O693" t="str" cm="1">
        <f t="array" ref="O693">_xlfn.IFS(Table1[[#This Row],[Divorced]]=1, "Divorced", Table1[[#This Row],[Married]]=1, "Married", Table1[[#This Row],[Single]]=1, "Single", Table1[[#This Row],[Together]]=1, "Together", Table1[[#This Row],[Widow]]=1, "Widow")</f>
        <v>Together</v>
      </c>
      <c r="P693" t="str" cm="1">
        <f t="array" ref="P693">_xlfn.IFS(Table1[[#This Row],[Basic]]=1, "Basic", Table1[[#This Row],[Graduate]]=1, "Graduate", Table1[[#This Row],[Master]]=1, "Master", Table1[[#This Row],[PhD]]=1, "PhD", AND(Table1[[#This Row],[Basic]]=0, Table1[[#This Row],[Graduate]]=0, Table1[[#This Row],[Master]]=0, Table1[[#This Row],[PhD]]=0), "NA")</f>
        <v>PhD</v>
      </c>
      <c r="Q693" t="e">
        <f>_xlfn.XLOOKUP(Table1[[#This Row],[ID]], Table2[ID],#REF!, "Not Found", 0)</f>
        <v>#REF!</v>
      </c>
      <c r="R693" t="e">
        <f>_xlfn.XLOOKUP(Table1[[#This Row],[ID]], Table2[ID],#REF!, "Not Found", 0)</f>
        <v>#REF!</v>
      </c>
      <c r="S693" s="3">
        <f>_xlfn.XLOOKUP(Table1[[#This Row],[ID]], Table2[ID], Table2[Enrollment], "Not Found", 0)</f>
        <v>43983</v>
      </c>
      <c r="T693" t="s">
        <v>435</v>
      </c>
    </row>
    <row r="694" spans="1:20" x14ac:dyDescent="0.3">
      <c r="A694">
        <v>1487</v>
      </c>
      <c r="B694">
        <v>164355</v>
      </c>
      <c r="C694">
        <v>1</v>
      </c>
      <c r="D694">
        <v>0</v>
      </c>
      <c r="E694">
        <v>35</v>
      </c>
      <c r="F694">
        <v>0</v>
      </c>
      <c r="G694">
        <v>1</v>
      </c>
      <c r="H694">
        <v>0</v>
      </c>
      <c r="I694">
        <v>0</v>
      </c>
      <c r="J694">
        <v>0</v>
      </c>
      <c r="K694">
        <v>0</v>
      </c>
      <c r="L694">
        <v>0</v>
      </c>
      <c r="M694">
        <v>0</v>
      </c>
      <c r="N694">
        <v>1</v>
      </c>
      <c r="O694" t="str" cm="1">
        <f t="array" ref="O694">_xlfn.IFS(Table1[[#This Row],[Divorced]]=1, "Divorced", Table1[[#This Row],[Married]]=1, "Married", Table1[[#This Row],[Single]]=1, "Single", Table1[[#This Row],[Together]]=1, "Together", Table1[[#This Row],[Widow]]=1, "Widow")</f>
        <v>Married</v>
      </c>
      <c r="P694" t="str" cm="1">
        <f t="array" ref="P694">_xlfn.IFS(Table1[[#This Row],[Basic]]=1, "Basic", Table1[[#This Row],[Graduate]]=1, "Graduate", Table1[[#This Row],[Master]]=1, "Master", Table1[[#This Row],[PhD]]=1, "PhD", AND(Table1[[#This Row],[Basic]]=0, Table1[[#This Row],[Graduate]]=0, Table1[[#This Row],[Master]]=0, Table1[[#This Row],[PhD]]=0), "NA")</f>
        <v>PhD</v>
      </c>
      <c r="Q694" t="e">
        <f>_xlfn.XLOOKUP(Table1[[#This Row],[ID]], Table2[ID],#REF!, "Not Found", 0)</f>
        <v>#REF!</v>
      </c>
      <c r="R694" t="e">
        <f>_xlfn.XLOOKUP(Table1[[#This Row],[ID]], Table2[ID],#REF!, "Not Found", 0)</f>
        <v>#REF!</v>
      </c>
      <c r="S694" s="3" t="str">
        <f>_xlfn.XLOOKUP(Table1[[#This Row],[ID]], Table2[ID], Table2[Enrollment], "Not Found", 0)</f>
        <v>1/29/2019</v>
      </c>
      <c r="T694" t="s">
        <v>434</v>
      </c>
    </row>
    <row r="695" spans="1:20" x14ac:dyDescent="0.3">
      <c r="A695">
        <v>1308</v>
      </c>
      <c r="B695">
        <v>164325</v>
      </c>
      <c r="C695">
        <v>0</v>
      </c>
      <c r="D695">
        <v>1</v>
      </c>
      <c r="E695">
        <v>59</v>
      </c>
      <c r="F695">
        <v>1</v>
      </c>
      <c r="G695">
        <v>0</v>
      </c>
      <c r="H695">
        <v>0</v>
      </c>
      <c r="I695">
        <v>0</v>
      </c>
      <c r="J695">
        <v>0</v>
      </c>
      <c r="K695">
        <v>0</v>
      </c>
      <c r="L695">
        <v>0</v>
      </c>
      <c r="M695">
        <v>0</v>
      </c>
      <c r="N695">
        <v>1</v>
      </c>
      <c r="O695" t="str" cm="1">
        <f t="array" ref="O695">_xlfn.IFS(Table1[[#This Row],[Divorced]]=1, "Divorced", Table1[[#This Row],[Married]]=1, "Married", Table1[[#This Row],[Single]]=1, "Single", Table1[[#This Row],[Together]]=1, "Together", Table1[[#This Row],[Widow]]=1, "Widow")</f>
        <v>Divorced</v>
      </c>
      <c r="P695" t="str" cm="1">
        <f t="array" ref="P695">_xlfn.IFS(Table1[[#This Row],[Basic]]=1, "Basic", Table1[[#This Row],[Graduate]]=1, "Graduate", Table1[[#This Row],[Master]]=1, "Master", Table1[[#This Row],[PhD]]=1, "PhD", AND(Table1[[#This Row],[Basic]]=0, Table1[[#This Row],[Graduate]]=0, Table1[[#This Row],[Master]]=0, Table1[[#This Row],[PhD]]=0), "NA")</f>
        <v>PhD</v>
      </c>
      <c r="Q695" t="e">
        <f>_xlfn.XLOOKUP(Table1[[#This Row],[ID]], Table2[ID],#REF!, "Not Found", 0)</f>
        <v>#REF!</v>
      </c>
      <c r="R695" t="e">
        <f>_xlfn.XLOOKUP(Table1[[#This Row],[ID]], Table2[ID],#REF!, "Not Found", 0)</f>
        <v>#REF!</v>
      </c>
      <c r="S695" s="3" t="str">
        <f>_xlfn.XLOOKUP(Table1[[#This Row],[ID]], Table2[ID], Table2[Enrollment], "Not Found", 0)</f>
        <v>7/15/2019</v>
      </c>
      <c r="T695" t="s">
        <v>436</v>
      </c>
    </row>
    <row r="696" spans="1:20" x14ac:dyDescent="0.3">
      <c r="A696">
        <v>2828</v>
      </c>
      <c r="B696">
        <v>164260</v>
      </c>
      <c r="C696">
        <v>0</v>
      </c>
      <c r="D696">
        <v>0</v>
      </c>
      <c r="E696">
        <v>59</v>
      </c>
      <c r="F696">
        <v>0</v>
      </c>
      <c r="G696">
        <v>0</v>
      </c>
      <c r="H696">
        <v>0</v>
      </c>
      <c r="I696">
        <v>1</v>
      </c>
      <c r="J696">
        <v>0</v>
      </c>
      <c r="K696">
        <v>0</v>
      </c>
      <c r="L696">
        <v>1</v>
      </c>
      <c r="M696">
        <v>0</v>
      </c>
      <c r="N696">
        <v>0</v>
      </c>
      <c r="O696" t="str" cm="1">
        <f t="array" ref="O696">_xlfn.IFS(Table1[[#This Row],[Divorced]]=1, "Divorced", Table1[[#This Row],[Married]]=1, "Married", Table1[[#This Row],[Single]]=1, "Single", Table1[[#This Row],[Together]]=1, "Together", Table1[[#This Row],[Widow]]=1, "Widow")</f>
        <v>Together</v>
      </c>
      <c r="P696" t="str" cm="1">
        <f t="array" ref="P696">_xlfn.IFS(Table1[[#This Row],[Basic]]=1, "Basic", Table1[[#This Row],[Graduate]]=1, "Graduate", Table1[[#This Row],[Master]]=1, "Master", Table1[[#This Row],[PhD]]=1, "PhD", AND(Table1[[#This Row],[Basic]]=0, Table1[[#This Row],[Graduate]]=0, Table1[[#This Row],[Master]]=0, Table1[[#This Row],[PhD]]=0), "NA")</f>
        <v>Graduate</v>
      </c>
      <c r="Q696" t="e">
        <f>_xlfn.XLOOKUP(Table1[[#This Row],[ID]], Table2[ID],#REF!, "Not Found", 0)</f>
        <v>#REF!</v>
      </c>
      <c r="R696" t="e">
        <f>_xlfn.XLOOKUP(Table1[[#This Row],[ID]], Table2[ID],#REF!, "Not Found", 0)</f>
        <v>#REF!</v>
      </c>
      <c r="S696" s="3" t="str">
        <f>_xlfn.XLOOKUP(Table1[[#This Row],[ID]], Table2[ID], Table2[Enrollment], "Not Found", 0)</f>
        <v>6/18/2019</v>
      </c>
      <c r="T696" t="s">
        <v>438</v>
      </c>
    </row>
    <row r="697" spans="1:20" x14ac:dyDescent="0.3">
      <c r="A697">
        <v>2252</v>
      </c>
      <c r="B697">
        <v>164191</v>
      </c>
      <c r="C697">
        <v>0</v>
      </c>
      <c r="D697">
        <v>1</v>
      </c>
      <c r="E697">
        <v>57</v>
      </c>
      <c r="F697">
        <v>0</v>
      </c>
      <c r="G697">
        <v>0</v>
      </c>
      <c r="H697">
        <v>1</v>
      </c>
      <c r="I697">
        <v>0</v>
      </c>
      <c r="J697">
        <v>0</v>
      </c>
      <c r="K697">
        <v>0</v>
      </c>
      <c r="L697">
        <v>0</v>
      </c>
      <c r="M697">
        <v>1</v>
      </c>
      <c r="N697">
        <v>0</v>
      </c>
      <c r="O697" t="str" cm="1">
        <f t="array" ref="O697">_xlfn.IFS(Table1[[#This Row],[Divorced]]=1, "Divorced", Table1[[#This Row],[Married]]=1, "Married", Table1[[#This Row],[Single]]=1, "Single", Table1[[#This Row],[Together]]=1, "Together", Table1[[#This Row],[Widow]]=1, "Widow")</f>
        <v>Single</v>
      </c>
      <c r="P697" t="str" cm="1">
        <f t="array" ref="P697">_xlfn.IFS(Table1[[#This Row],[Basic]]=1, "Basic", Table1[[#This Row],[Graduate]]=1, "Graduate", Table1[[#This Row],[Master]]=1, "Master", Table1[[#This Row],[PhD]]=1, "PhD", AND(Table1[[#This Row],[Basic]]=0, Table1[[#This Row],[Graduate]]=0, Table1[[#This Row],[Master]]=0, Table1[[#This Row],[PhD]]=0), "NA")</f>
        <v>Master</v>
      </c>
      <c r="Q697" t="e">
        <f>_xlfn.XLOOKUP(Table1[[#This Row],[ID]], Table2[ID],#REF!, "Not Found", 0)</f>
        <v>#REF!</v>
      </c>
      <c r="R697" t="e">
        <f>_xlfn.XLOOKUP(Table1[[#This Row],[ID]], Table2[ID],#REF!, "Not Found", 0)</f>
        <v>#REF!</v>
      </c>
      <c r="S697" s="3" t="str">
        <f>_xlfn.XLOOKUP(Table1[[#This Row],[ID]], Table2[ID], Table2[Enrollment], "Not Found", 0)</f>
        <v>6/29/2019</v>
      </c>
      <c r="T697" t="s">
        <v>438</v>
      </c>
    </row>
    <row r="698" spans="1:20" x14ac:dyDescent="0.3">
      <c r="A698">
        <v>2048</v>
      </c>
      <c r="B698">
        <v>164176</v>
      </c>
      <c r="C698">
        <v>0</v>
      </c>
      <c r="D698">
        <v>1</v>
      </c>
      <c r="E698">
        <v>55</v>
      </c>
      <c r="F698">
        <v>1</v>
      </c>
      <c r="G698">
        <v>0</v>
      </c>
      <c r="H698">
        <v>0</v>
      </c>
      <c r="I698">
        <v>0</v>
      </c>
      <c r="J698">
        <v>0</v>
      </c>
      <c r="K698">
        <v>0</v>
      </c>
      <c r="L698">
        <v>0</v>
      </c>
      <c r="M698">
        <v>0</v>
      </c>
      <c r="N698">
        <v>0</v>
      </c>
      <c r="O698" t="str" cm="1">
        <f t="array" ref="O698">_xlfn.IFS(Table1[[#This Row],[Divorced]]=1, "Divorced", Table1[[#This Row],[Married]]=1, "Married", Table1[[#This Row],[Single]]=1, "Single", Table1[[#This Row],[Together]]=1, "Together", Table1[[#This Row],[Widow]]=1, "Widow")</f>
        <v>Divorced</v>
      </c>
      <c r="P698" t="str" cm="1">
        <f t="array" ref="P698">_xlfn.IFS(Table1[[#This Row],[Basic]]=1, "Basic", Table1[[#This Row],[Graduate]]=1, "Graduate", Table1[[#This Row],[Master]]=1, "Master", Table1[[#This Row],[PhD]]=1, "PhD", AND(Table1[[#This Row],[Basic]]=0, Table1[[#This Row],[Graduate]]=0, Table1[[#This Row],[Master]]=0, Table1[[#This Row],[PhD]]=0), "NA")</f>
        <v>NA</v>
      </c>
      <c r="Q698" t="e">
        <f>_xlfn.XLOOKUP(Table1[[#This Row],[ID]], Table2[ID],#REF!, "Not Found", 0)</f>
        <v>#REF!</v>
      </c>
      <c r="R698" t="e">
        <f>_xlfn.XLOOKUP(Table1[[#This Row],[ID]], Table2[ID],#REF!, "Not Found", 0)</f>
        <v>#REF!</v>
      </c>
      <c r="S698" s="3">
        <f>_xlfn.XLOOKUP(Table1[[#This Row],[ID]], Table2[ID], Table2[Enrollment], "Not Found", 0)</f>
        <v>43678</v>
      </c>
      <c r="T698" t="s">
        <v>438</v>
      </c>
    </row>
    <row r="699" spans="1:20" x14ac:dyDescent="0.3">
      <c r="A699">
        <v>2617</v>
      </c>
      <c r="B699">
        <v>164140</v>
      </c>
      <c r="C699">
        <v>0</v>
      </c>
      <c r="D699">
        <v>2</v>
      </c>
      <c r="E699">
        <v>56</v>
      </c>
      <c r="F699">
        <v>1</v>
      </c>
      <c r="G699">
        <v>0</v>
      </c>
      <c r="H699">
        <v>0</v>
      </c>
      <c r="I699">
        <v>0</v>
      </c>
      <c r="J699">
        <v>0</v>
      </c>
      <c r="K699">
        <v>0</v>
      </c>
      <c r="L699">
        <v>0</v>
      </c>
      <c r="M699">
        <v>0</v>
      </c>
      <c r="N699">
        <v>1</v>
      </c>
      <c r="O699" t="str" cm="1">
        <f t="array" ref="O699">_xlfn.IFS(Table1[[#This Row],[Divorced]]=1, "Divorced", Table1[[#This Row],[Married]]=1, "Married", Table1[[#This Row],[Single]]=1, "Single", Table1[[#This Row],[Together]]=1, "Together", Table1[[#This Row],[Widow]]=1, "Widow")</f>
        <v>Divorced</v>
      </c>
      <c r="P699" t="str" cm="1">
        <f t="array" ref="P699">_xlfn.IFS(Table1[[#This Row],[Basic]]=1, "Basic", Table1[[#This Row],[Graduate]]=1, "Graduate", Table1[[#This Row],[Master]]=1, "Master", Table1[[#This Row],[PhD]]=1, "PhD", AND(Table1[[#This Row],[Basic]]=0, Table1[[#This Row],[Graduate]]=0, Table1[[#This Row],[Master]]=0, Table1[[#This Row],[PhD]]=0), "NA")</f>
        <v>PhD</v>
      </c>
      <c r="Q699" t="e">
        <f>_xlfn.XLOOKUP(Table1[[#This Row],[ID]], Table2[ID],#REF!, "Not Found", 0)</f>
        <v>#REF!</v>
      </c>
      <c r="R699" t="e">
        <f>_xlfn.XLOOKUP(Table1[[#This Row],[ID]], Table2[ID],#REF!, "Not Found", 0)</f>
        <v>#REF!</v>
      </c>
      <c r="S699" s="3" t="str">
        <f>_xlfn.XLOOKUP(Table1[[#This Row],[ID]], Table2[ID], Table2[Enrollment], "Not Found", 0)</f>
        <v>2/28/2020</v>
      </c>
      <c r="T699" t="s">
        <v>437</v>
      </c>
    </row>
    <row r="700" spans="1:20" x14ac:dyDescent="0.3">
      <c r="A700">
        <v>1721</v>
      </c>
      <c r="B700">
        <v>164108</v>
      </c>
      <c r="C700">
        <v>0</v>
      </c>
      <c r="D700">
        <v>1</v>
      </c>
      <c r="E700">
        <v>67</v>
      </c>
      <c r="F700">
        <v>0</v>
      </c>
      <c r="G700">
        <v>0</v>
      </c>
      <c r="H700">
        <v>1</v>
      </c>
      <c r="I700">
        <v>0</v>
      </c>
      <c r="J700">
        <v>0</v>
      </c>
      <c r="K700">
        <v>0</v>
      </c>
      <c r="L700">
        <v>0</v>
      </c>
      <c r="M700">
        <v>0</v>
      </c>
      <c r="N700">
        <v>1</v>
      </c>
      <c r="O700" t="str" cm="1">
        <f t="array" ref="O700">_xlfn.IFS(Table1[[#This Row],[Divorced]]=1, "Divorced", Table1[[#This Row],[Married]]=1, "Married", Table1[[#This Row],[Single]]=1, "Single", Table1[[#This Row],[Together]]=1, "Together", Table1[[#This Row],[Widow]]=1, "Widow")</f>
        <v>Single</v>
      </c>
      <c r="P700" t="str" cm="1">
        <f t="array" ref="P700">_xlfn.IFS(Table1[[#This Row],[Basic]]=1, "Basic", Table1[[#This Row],[Graduate]]=1, "Graduate", Table1[[#This Row],[Master]]=1, "Master", Table1[[#This Row],[PhD]]=1, "PhD", AND(Table1[[#This Row],[Basic]]=0, Table1[[#This Row],[Graduate]]=0, Table1[[#This Row],[Master]]=0, Table1[[#This Row],[PhD]]=0), "NA")</f>
        <v>PhD</v>
      </c>
      <c r="Q700" t="e">
        <f>_xlfn.XLOOKUP(Table1[[#This Row],[ID]], Table2[ID],#REF!, "Not Found", 0)</f>
        <v>#REF!</v>
      </c>
      <c r="R700" t="e">
        <f>_xlfn.XLOOKUP(Table1[[#This Row],[ID]], Table2[ID],#REF!, "Not Found", 0)</f>
        <v>#REF!</v>
      </c>
      <c r="S700" s="3" t="str">
        <f>_xlfn.XLOOKUP(Table1[[#This Row],[ID]], Table2[ID], Table2[Enrollment], "Not Found", 0)</f>
        <v>8/28/2019</v>
      </c>
      <c r="T700" t="s">
        <v>434</v>
      </c>
    </row>
    <row r="701" spans="1:20" x14ac:dyDescent="0.3">
      <c r="A701">
        <v>1295</v>
      </c>
      <c r="B701">
        <v>164100</v>
      </c>
      <c r="C701">
        <v>0</v>
      </c>
      <c r="D701">
        <v>1</v>
      </c>
      <c r="E701">
        <v>56</v>
      </c>
      <c r="F701">
        <v>0</v>
      </c>
      <c r="G701">
        <v>1</v>
      </c>
      <c r="H701">
        <v>0</v>
      </c>
      <c r="I701">
        <v>0</v>
      </c>
      <c r="J701">
        <v>0</v>
      </c>
      <c r="K701">
        <v>0</v>
      </c>
      <c r="L701">
        <v>0</v>
      </c>
      <c r="M701">
        <v>1</v>
      </c>
      <c r="N701">
        <v>0</v>
      </c>
      <c r="O701" t="str" cm="1">
        <f t="array" ref="O701">_xlfn.IFS(Table1[[#This Row],[Divorced]]=1, "Divorced", Table1[[#This Row],[Married]]=1, "Married", Table1[[#This Row],[Single]]=1, "Single", Table1[[#This Row],[Together]]=1, "Together", Table1[[#This Row],[Widow]]=1, "Widow")</f>
        <v>Married</v>
      </c>
      <c r="P701" t="str" cm="1">
        <f t="array" ref="P701">_xlfn.IFS(Table1[[#This Row],[Basic]]=1, "Basic", Table1[[#This Row],[Graduate]]=1, "Graduate", Table1[[#This Row],[Master]]=1, "Master", Table1[[#This Row],[PhD]]=1, "PhD", AND(Table1[[#This Row],[Basic]]=0, Table1[[#This Row],[Graduate]]=0, Table1[[#This Row],[Master]]=0, Table1[[#This Row],[PhD]]=0), "NA")</f>
        <v>Master</v>
      </c>
      <c r="Q701" t="e">
        <f>_xlfn.XLOOKUP(Table1[[#This Row],[ID]], Table2[ID],#REF!, "Not Found", 0)</f>
        <v>#REF!</v>
      </c>
      <c r="R701" t="e">
        <f>_xlfn.XLOOKUP(Table1[[#This Row],[ID]], Table2[ID],#REF!, "Not Found", 0)</f>
        <v>#REF!</v>
      </c>
      <c r="S701" s="3" t="str">
        <f>_xlfn.XLOOKUP(Table1[[#This Row],[ID]], Table2[ID], Table2[Enrollment], "Not Found", 0)</f>
        <v>2/15/2020</v>
      </c>
      <c r="T701" t="s">
        <v>434</v>
      </c>
    </row>
    <row r="702" spans="1:20" x14ac:dyDescent="0.3">
      <c r="A702">
        <v>1877</v>
      </c>
      <c r="B702">
        <v>164090</v>
      </c>
      <c r="C702">
        <v>0</v>
      </c>
      <c r="D702">
        <v>1</v>
      </c>
      <c r="E702">
        <v>64</v>
      </c>
      <c r="F702">
        <v>0</v>
      </c>
      <c r="G702">
        <v>0</v>
      </c>
      <c r="H702">
        <v>0</v>
      </c>
      <c r="I702">
        <v>1</v>
      </c>
      <c r="J702">
        <v>0</v>
      </c>
      <c r="K702">
        <v>0</v>
      </c>
      <c r="L702">
        <v>1</v>
      </c>
      <c r="M702">
        <v>0</v>
      </c>
      <c r="N702">
        <v>0</v>
      </c>
      <c r="O702" t="str" cm="1">
        <f t="array" ref="O702">_xlfn.IFS(Table1[[#This Row],[Divorced]]=1, "Divorced", Table1[[#This Row],[Married]]=1, "Married", Table1[[#This Row],[Single]]=1, "Single", Table1[[#This Row],[Together]]=1, "Together", Table1[[#This Row],[Widow]]=1, "Widow")</f>
        <v>Together</v>
      </c>
      <c r="P702" t="str" cm="1">
        <f t="array" ref="P702">_xlfn.IFS(Table1[[#This Row],[Basic]]=1, "Basic", Table1[[#This Row],[Graduate]]=1, "Graduate", Table1[[#This Row],[Master]]=1, "Master", Table1[[#This Row],[PhD]]=1, "PhD", AND(Table1[[#This Row],[Basic]]=0, Table1[[#This Row],[Graduate]]=0, Table1[[#This Row],[Master]]=0, Table1[[#This Row],[PhD]]=0), "NA")</f>
        <v>Graduate</v>
      </c>
      <c r="Q702" t="e">
        <f>_xlfn.XLOOKUP(Table1[[#This Row],[ID]], Table2[ID],#REF!, "Not Found", 0)</f>
        <v>#REF!</v>
      </c>
      <c r="R702" t="e">
        <f>_xlfn.XLOOKUP(Table1[[#This Row],[ID]], Table2[ID],#REF!, "Not Found", 0)</f>
        <v>#REF!</v>
      </c>
      <c r="S702" s="3">
        <f>_xlfn.XLOOKUP(Table1[[#This Row],[ID]], Table2[ID], Table2[Enrollment], "Not Found", 0)</f>
        <v>44166</v>
      </c>
      <c r="T702" t="s">
        <v>434</v>
      </c>
    </row>
    <row r="703" spans="1:20" x14ac:dyDescent="0.3">
      <c r="A703">
        <v>2463</v>
      </c>
      <c r="B703">
        <v>164014</v>
      </c>
      <c r="C703">
        <v>2</v>
      </c>
      <c r="D703">
        <v>1</v>
      </c>
      <c r="E703">
        <v>74</v>
      </c>
      <c r="F703">
        <v>0</v>
      </c>
      <c r="G703">
        <v>0</v>
      </c>
      <c r="H703">
        <v>0</v>
      </c>
      <c r="I703">
        <v>1</v>
      </c>
      <c r="J703">
        <v>0</v>
      </c>
      <c r="K703">
        <v>0</v>
      </c>
      <c r="L703">
        <v>0</v>
      </c>
      <c r="M703">
        <v>0</v>
      </c>
      <c r="N703">
        <v>1</v>
      </c>
      <c r="O703" t="str" cm="1">
        <f t="array" ref="O703">_xlfn.IFS(Table1[[#This Row],[Divorced]]=1, "Divorced", Table1[[#This Row],[Married]]=1, "Married", Table1[[#This Row],[Single]]=1, "Single", Table1[[#This Row],[Together]]=1, "Together", Table1[[#This Row],[Widow]]=1, "Widow")</f>
        <v>Together</v>
      </c>
      <c r="P703" t="str" cm="1">
        <f t="array" ref="P703">_xlfn.IFS(Table1[[#This Row],[Basic]]=1, "Basic", Table1[[#This Row],[Graduate]]=1, "Graduate", Table1[[#This Row],[Master]]=1, "Master", Table1[[#This Row],[PhD]]=1, "PhD", AND(Table1[[#This Row],[Basic]]=0, Table1[[#This Row],[Graduate]]=0, Table1[[#This Row],[Master]]=0, Table1[[#This Row],[PhD]]=0), "NA")</f>
        <v>PhD</v>
      </c>
      <c r="Q703" t="e">
        <f>_xlfn.XLOOKUP(Table1[[#This Row],[ID]], Table2[ID],#REF!, "Not Found", 0)</f>
        <v>#REF!</v>
      </c>
      <c r="R703" t="e">
        <f>_xlfn.XLOOKUP(Table1[[#This Row],[ID]], Table2[ID],#REF!, "Not Found", 0)</f>
        <v>#REF!</v>
      </c>
      <c r="S703" s="3" t="str">
        <f>_xlfn.XLOOKUP(Table1[[#This Row],[ID]], Table2[ID], Table2[Enrollment], "Not Found", 0)</f>
        <v>11/14/2020</v>
      </c>
      <c r="T703" t="s">
        <v>435</v>
      </c>
    </row>
    <row r="704" spans="1:20" x14ac:dyDescent="0.3">
      <c r="A704">
        <v>3202</v>
      </c>
      <c r="B704">
        <v>164014</v>
      </c>
      <c r="C704">
        <v>2</v>
      </c>
      <c r="D704">
        <v>1</v>
      </c>
      <c r="E704">
        <v>74</v>
      </c>
      <c r="F704">
        <v>0</v>
      </c>
      <c r="G704">
        <v>0</v>
      </c>
      <c r="H704">
        <v>0</v>
      </c>
      <c r="I704">
        <v>1</v>
      </c>
      <c r="J704">
        <v>0</v>
      </c>
      <c r="K704">
        <v>0</v>
      </c>
      <c r="L704">
        <v>0</v>
      </c>
      <c r="M704">
        <v>0</v>
      </c>
      <c r="N704">
        <v>1</v>
      </c>
      <c r="O704" t="str" cm="1">
        <f t="array" ref="O704">_xlfn.IFS(Table1[[#This Row],[Divorced]]=1, "Divorced", Table1[[#This Row],[Married]]=1, "Married", Table1[[#This Row],[Single]]=1, "Single", Table1[[#This Row],[Together]]=1, "Together", Table1[[#This Row],[Widow]]=1, "Widow")</f>
        <v>Together</v>
      </c>
      <c r="P704" t="str" cm="1">
        <f t="array" ref="P704">_xlfn.IFS(Table1[[#This Row],[Basic]]=1, "Basic", Table1[[#This Row],[Graduate]]=1, "Graduate", Table1[[#This Row],[Master]]=1, "Master", Table1[[#This Row],[PhD]]=1, "PhD", AND(Table1[[#This Row],[Basic]]=0, Table1[[#This Row],[Graduate]]=0, Table1[[#This Row],[Master]]=0, Table1[[#This Row],[PhD]]=0), "NA")</f>
        <v>PhD</v>
      </c>
      <c r="Q704" t="e">
        <f>_xlfn.XLOOKUP(Table1[[#This Row],[ID]], Table2[ID],#REF!, "Not Found", 0)</f>
        <v>#REF!</v>
      </c>
      <c r="R704" t="e">
        <f>_xlfn.XLOOKUP(Table1[[#This Row],[ID]], Table2[ID],#REF!, "Not Found", 0)</f>
        <v>#REF!</v>
      </c>
      <c r="S704" s="3" t="str">
        <f>_xlfn.XLOOKUP(Table1[[#This Row],[ID]], Table2[ID], Table2[Enrollment], "Not Found", 0)</f>
        <v>11/14/2020</v>
      </c>
      <c r="T704" t="s">
        <v>439</v>
      </c>
    </row>
    <row r="705" spans="1:20" x14ac:dyDescent="0.3">
      <c r="A705">
        <v>2110</v>
      </c>
      <c r="B705">
        <v>163998</v>
      </c>
      <c r="C705">
        <v>0</v>
      </c>
      <c r="D705">
        <v>0</v>
      </c>
      <c r="E705">
        <v>68</v>
      </c>
      <c r="F705">
        <v>1</v>
      </c>
      <c r="G705">
        <v>0</v>
      </c>
      <c r="H705">
        <v>0</v>
      </c>
      <c r="I705">
        <v>0</v>
      </c>
      <c r="J705">
        <v>0</v>
      </c>
      <c r="K705">
        <v>0</v>
      </c>
      <c r="L705">
        <v>0</v>
      </c>
      <c r="M705">
        <v>0</v>
      </c>
      <c r="N705">
        <v>0</v>
      </c>
      <c r="O705" t="str" cm="1">
        <f t="array" ref="O705">_xlfn.IFS(Table1[[#This Row],[Divorced]]=1, "Divorced", Table1[[#This Row],[Married]]=1, "Married", Table1[[#This Row],[Single]]=1, "Single", Table1[[#This Row],[Together]]=1, "Together", Table1[[#This Row],[Widow]]=1, "Widow")</f>
        <v>Divorced</v>
      </c>
      <c r="P705" t="str" cm="1">
        <f t="array" ref="P705">_xlfn.IFS(Table1[[#This Row],[Basic]]=1, "Basic", Table1[[#This Row],[Graduate]]=1, "Graduate", Table1[[#This Row],[Master]]=1, "Master", Table1[[#This Row],[PhD]]=1, "PhD", AND(Table1[[#This Row],[Basic]]=0, Table1[[#This Row],[Graduate]]=0, Table1[[#This Row],[Master]]=0, Table1[[#This Row],[PhD]]=0), "NA")</f>
        <v>NA</v>
      </c>
      <c r="Q705" t="e">
        <f>_xlfn.XLOOKUP(Table1[[#This Row],[ID]], Table2[ID],#REF!, "Not Found", 0)</f>
        <v>#REF!</v>
      </c>
      <c r="R705" t="e">
        <f>_xlfn.XLOOKUP(Table1[[#This Row],[ID]], Table2[ID],#REF!, "Not Found", 0)</f>
        <v>#REF!</v>
      </c>
      <c r="S705" s="3" t="str">
        <f>_xlfn.XLOOKUP(Table1[[#This Row],[ID]], Table2[ID], Table2[Enrollment], "Not Found", 0)</f>
        <v>5/26/2020</v>
      </c>
      <c r="T705" t="s">
        <v>439</v>
      </c>
    </row>
    <row r="706" spans="1:20" x14ac:dyDescent="0.3">
      <c r="A706">
        <v>3215</v>
      </c>
      <c r="B706">
        <v>163979</v>
      </c>
      <c r="C706">
        <v>1</v>
      </c>
      <c r="D706">
        <v>0</v>
      </c>
      <c r="E706">
        <v>46</v>
      </c>
      <c r="F706">
        <v>0</v>
      </c>
      <c r="G706">
        <v>1</v>
      </c>
      <c r="H706">
        <v>0</v>
      </c>
      <c r="I706">
        <v>0</v>
      </c>
      <c r="J706">
        <v>0</v>
      </c>
      <c r="K706">
        <v>0</v>
      </c>
      <c r="L706">
        <v>1</v>
      </c>
      <c r="M706">
        <v>0</v>
      </c>
      <c r="N706">
        <v>0</v>
      </c>
      <c r="O706" t="str" cm="1">
        <f t="array" ref="O706">_xlfn.IFS(Table1[[#This Row],[Divorced]]=1, "Divorced", Table1[[#This Row],[Married]]=1, "Married", Table1[[#This Row],[Single]]=1, "Single", Table1[[#This Row],[Together]]=1, "Together", Table1[[#This Row],[Widow]]=1, "Widow")</f>
        <v>Married</v>
      </c>
      <c r="P706" t="str" cm="1">
        <f t="array" ref="P706">_xlfn.IFS(Table1[[#This Row],[Basic]]=1, "Basic", Table1[[#This Row],[Graduate]]=1, "Graduate", Table1[[#This Row],[Master]]=1, "Master", Table1[[#This Row],[PhD]]=1, "PhD", AND(Table1[[#This Row],[Basic]]=0, Table1[[#This Row],[Graduate]]=0, Table1[[#This Row],[Master]]=0, Table1[[#This Row],[PhD]]=0), "NA")</f>
        <v>Graduate</v>
      </c>
      <c r="Q706" t="e">
        <f>_xlfn.XLOOKUP(Table1[[#This Row],[ID]], Table2[ID],#REF!, "Not Found", 0)</f>
        <v>#REF!</v>
      </c>
      <c r="R706" t="e">
        <f>_xlfn.XLOOKUP(Table1[[#This Row],[ID]], Table2[ID],#REF!, "Not Found", 0)</f>
        <v>#REF!</v>
      </c>
      <c r="S706" s="3">
        <f>_xlfn.XLOOKUP(Table1[[#This Row],[ID]], Table2[ID], Table2[Enrollment], "Not Found", 0)</f>
        <v>43628</v>
      </c>
      <c r="T706" t="s">
        <v>434</v>
      </c>
    </row>
    <row r="707" spans="1:20" x14ac:dyDescent="0.3">
      <c r="A707">
        <v>2542</v>
      </c>
      <c r="B707">
        <v>163972</v>
      </c>
      <c r="C707">
        <v>0</v>
      </c>
      <c r="D707">
        <v>1</v>
      </c>
      <c r="E707">
        <v>56</v>
      </c>
      <c r="F707">
        <v>0</v>
      </c>
      <c r="G707">
        <v>0</v>
      </c>
      <c r="H707">
        <v>1</v>
      </c>
      <c r="I707">
        <v>0</v>
      </c>
      <c r="J707">
        <v>0</v>
      </c>
      <c r="K707">
        <v>0</v>
      </c>
      <c r="L707">
        <v>0</v>
      </c>
      <c r="M707">
        <v>1</v>
      </c>
      <c r="N707">
        <v>0</v>
      </c>
      <c r="O707" t="str" cm="1">
        <f t="array" ref="O707">_xlfn.IFS(Table1[[#This Row],[Divorced]]=1, "Divorced", Table1[[#This Row],[Married]]=1, "Married", Table1[[#This Row],[Single]]=1, "Single", Table1[[#This Row],[Together]]=1, "Together", Table1[[#This Row],[Widow]]=1, "Widow")</f>
        <v>Single</v>
      </c>
      <c r="P707" t="str" cm="1">
        <f t="array" ref="P707">_xlfn.IFS(Table1[[#This Row],[Basic]]=1, "Basic", Table1[[#This Row],[Graduate]]=1, "Graduate", Table1[[#This Row],[Master]]=1, "Master", Table1[[#This Row],[PhD]]=1, "PhD", AND(Table1[[#This Row],[Basic]]=0, Table1[[#This Row],[Graduate]]=0, Table1[[#This Row],[Master]]=0, Table1[[#This Row],[PhD]]=0), "NA")</f>
        <v>Master</v>
      </c>
      <c r="Q707" t="e">
        <f>_xlfn.XLOOKUP(Table1[[#This Row],[ID]], Table2[ID],#REF!, "Not Found", 0)</f>
        <v>#REF!</v>
      </c>
      <c r="R707" t="e">
        <f>_xlfn.XLOOKUP(Table1[[#This Row],[ID]], Table2[ID],#REF!, "Not Found", 0)</f>
        <v>#REF!</v>
      </c>
      <c r="S707" s="3">
        <f>_xlfn.XLOOKUP(Table1[[#This Row],[ID]], Table2[ID], Table2[Enrollment], "Not Found", 0)</f>
        <v>43713</v>
      </c>
      <c r="T707" t="s">
        <v>439</v>
      </c>
    </row>
    <row r="708" spans="1:20" x14ac:dyDescent="0.3">
      <c r="A708">
        <v>2798</v>
      </c>
      <c r="B708">
        <v>163967</v>
      </c>
      <c r="C708">
        <v>0</v>
      </c>
      <c r="D708">
        <v>1</v>
      </c>
      <c r="E708">
        <v>52</v>
      </c>
      <c r="F708">
        <v>0</v>
      </c>
      <c r="G708">
        <v>1</v>
      </c>
      <c r="H708">
        <v>0</v>
      </c>
      <c r="I708">
        <v>0</v>
      </c>
      <c r="J708">
        <v>0</v>
      </c>
      <c r="K708">
        <v>0</v>
      </c>
      <c r="L708">
        <v>1</v>
      </c>
      <c r="M708">
        <v>0</v>
      </c>
      <c r="N708">
        <v>0</v>
      </c>
      <c r="O708" t="str" cm="1">
        <f t="array" ref="O708">_xlfn.IFS(Table1[[#This Row],[Divorced]]=1, "Divorced", Table1[[#This Row],[Married]]=1, "Married", Table1[[#This Row],[Single]]=1, "Single", Table1[[#This Row],[Together]]=1, "Together", Table1[[#This Row],[Widow]]=1, "Widow")</f>
        <v>Married</v>
      </c>
      <c r="P708" t="str" cm="1">
        <f t="array" ref="P708">_xlfn.IFS(Table1[[#This Row],[Basic]]=1, "Basic", Table1[[#This Row],[Graduate]]=1, "Graduate", Table1[[#This Row],[Master]]=1, "Master", Table1[[#This Row],[PhD]]=1, "PhD", AND(Table1[[#This Row],[Basic]]=0, Table1[[#This Row],[Graduate]]=0, Table1[[#This Row],[Master]]=0, Table1[[#This Row],[PhD]]=0), "NA")</f>
        <v>Graduate</v>
      </c>
      <c r="Q708" t="e">
        <f>_xlfn.XLOOKUP(Table1[[#This Row],[ID]], Table2[ID],#REF!, "Not Found", 0)</f>
        <v>#REF!</v>
      </c>
      <c r="R708" t="e">
        <f>_xlfn.XLOOKUP(Table1[[#This Row],[ID]], Table2[ID],#REF!, "Not Found", 0)</f>
        <v>#REF!</v>
      </c>
      <c r="S708" s="3" t="str">
        <f>_xlfn.XLOOKUP(Table1[[#This Row],[ID]], Table2[ID], Table2[Enrollment], "Not Found", 0)</f>
        <v>1/14/2020</v>
      </c>
      <c r="T708" t="s">
        <v>438</v>
      </c>
    </row>
    <row r="709" spans="1:20" x14ac:dyDescent="0.3">
      <c r="A709">
        <v>2528</v>
      </c>
      <c r="B709">
        <v>163943</v>
      </c>
      <c r="C709">
        <v>0</v>
      </c>
      <c r="D709">
        <v>1</v>
      </c>
      <c r="E709">
        <v>64</v>
      </c>
      <c r="F709">
        <v>0</v>
      </c>
      <c r="G709">
        <v>1</v>
      </c>
      <c r="H709">
        <v>0</v>
      </c>
      <c r="I709">
        <v>0</v>
      </c>
      <c r="J709">
        <v>0</v>
      </c>
      <c r="K709">
        <v>0</v>
      </c>
      <c r="L709">
        <v>1</v>
      </c>
      <c r="M709">
        <v>0</v>
      </c>
      <c r="N709">
        <v>0</v>
      </c>
      <c r="O709" t="str" cm="1">
        <f t="array" ref="O709">_xlfn.IFS(Table1[[#This Row],[Divorced]]=1, "Divorced", Table1[[#This Row],[Married]]=1, "Married", Table1[[#This Row],[Single]]=1, "Single", Table1[[#This Row],[Together]]=1, "Together", Table1[[#This Row],[Widow]]=1, "Widow")</f>
        <v>Married</v>
      </c>
      <c r="P709" t="str" cm="1">
        <f t="array" ref="P709">_xlfn.IFS(Table1[[#This Row],[Basic]]=1, "Basic", Table1[[#This Row],[Graduate]]=1, "Graduate", Table1[[#This Row],[Master]]=1, "Master", Table1[[#This Row],[PhD]]=1, "PhD", AND(Table1[[#This Row],[Basic]]=0, Table1[[#This Row],[Graduate]]=0, Table1[[#This Row],[Master]]=0, Table1[[#This Row],[PhD]]=0), "NA")</f>
        <v>Graduate</v>
      </c>
      <c r="Q709" t="e">
        <f>_xlfn.XLOOKUP(Table1[[#This Row],[ID]], Table2[ID],#REF!, "Not Found", 0)</f>
        <v>#REF!</v>
      </c>
      <c r="R709" t="e">
        <f>_xlfn.XLOOKUP(Table1[[#This Row],[ID]], Table2[ID],#REF!, "Not Found", 0)</f>
        <v>#REF!</v>
      </c>
      <c r="S709" s="3">
        <f>_xlfn.XLOOKUP(Table1[[#This Row],[ID]], Table2[ID], Table2[Enrollment], "Not Found", 0)</f>
        <v>43648</v>
      </c>
      <c r="T709" t="s">
        <v>438</v>
      </c>
    </row>
    <row r="710" spans="1:20" x14ac:dyDescent="0.3">
      <c r="A710">
        <v>2371</v>
      </c>
      <c r="B710">
        <v>163915</v>
      </c>
      <c r="C710">
        <v>0</v>
      </c>
      <c r="D710">
        <v>2</v>
      </c>
      <c r="E710">
        <v>64</v>
      </c>
      <c r="F710">
        <v>0</v>
      </c>
      <c r="G710">
        <v>1</v>
      </c>
      <c r="H710">
        <v>0</v>
      </c>
      <c r="I710">
        <v>0</v>
      </c>
      <c r="J710">
        <v>0</v>
      </c>
      <c r="K710">
        <v>0</v>
      </c>
      <c r="L710">
        <v>0</v>
      </c>
      <c r="M710">
        <v>1</v>
      </c>
      <c r="N710">
        <v>0</v>
      </c>
      <c r="O710" t="str" cm="1">
        <f t="array" ref="O710">_xlfn.IFS(Table1[[#This Row],[Divorced]]=1, "Divorced", Table1[[#This Row],[Married]]=1, "Married", Table1[[#This Row],[Single]]=1, "Single", Table1[[#This Row],[Together]]=1, "Together", Table1[[#This Row],[Widow]]=1, "Widow")</f>
        <v>Married</v>
      </c>
      <c r="P710" t="str" cm="1">
        <f t="array" ref="P710">_xlfn.IFS(Table1[[#This Row],[Basic]]=1, "Basic", Table1[[#This Row],[Graduate]]=1, "Graduate", Table1[[#This Row],[Master]]=1, "Master", Table1[[#This Row],[PhD]]=1, "PhD", AND(Table1[[#This Row],[Basic]]=0, Table1[[#This Row],[Graduate]]=0, Table1[[#This Row],[Master]]=0, Table1[[#This Row],[PhD]]=0), "NA")</f>
        <v>Master</v>
      </c>
      <c r="Q710" t="e">
        <f>_xlfn.XLOOKUP(Table1[[#This Row],[ID]], Table2[ID],#REF!, "Not Found", 0)</f>
        <v>#REF!</v>
      </c>
      <c r="R710" t="e">
        <f>_xlfn.XLOOKUP(Table1[[#This Row],[ID]], Table2[ID],#REF!, "Not Found", 0)</f>
        <v>#REF!</v>
      </c>
      <c r="S710" s="3">
        <f>_xlfn.XLOOKUP(Table1[[#This Row],[ID]], Table2[ID], Table2[Enrollment], "Not Found", 0)</f>
        <v>43922</v>
      </c>
      <c r="T710" t="s">
        <v>437</v>
      </c>
    </row>
    <row r="711" spans="1:20" x14ac:dyDescent="0.3">
      <c r="A711">
        <v>1212</v>
      </c>
      <c r="B711">
        <v>163887</v>
      </c>
      <c r="C711">
        <v>0</v>
      </c>
      <c r="D711">
        <v>1</v>
      </c>
      <c r="E711">
        <v>58</v>
      </c>
      <c r="F711">
        <v>1</v>
      </c>
      <c r="G711">
        <v>0</v>
      </c>
      <c r="H711">
        <v>0</v>
      </c>
      <c r="I711">
        <v>0</v>
      </c>
      <c r="J711">
        <v>0</v>
      </c>
      <c r="K711">
        <v>0</v>
      </c>
      <c r="L711">
        <v>1</v>
      </c>
      <c r="M711">
        <v>0</v>
      </c>
      <c r="N711">
        <v>0</v>
      </c>
      <c r="O711" t="str" cm="1">
        <f t="array" ref="O711">_xlfn.IFS(Table1[[#This Row],[Divorced]]=1, "Divorced", Table1[[#This Row],[Married]]=1, "Married", Table1[[#This Row],[Single]]=1, "Single", Table1[[#This Row],[Together]]=1, "Together", Table1[[#This Row],[Widow]]=1, "Widow")</f>
        <v>Divorced</v>
      </c>
      <c r="P711" t="str" cm="1">
        <f t="array" ref="P711">_xlfn.IFS(Table1[[#This Row],[Basic]]=1, "Basic", Table1[[#This Row],[Graduate]]=1, "Graduate", Table1[[#This Row],[Master]]=1, "Master", Table1[[#This Row],[PhD]]=1, "PhD", AND(Table1[[#This Row],[Basic]]=0, Table1[[#This Row],[Graduate]]=0, Table1[[#This Row],[Master]]=0, Table1[[#This Row],[PhD]]=0), "NA")</f>
        <v>Graduate</v>
      </c>
      <c r="Q711" t="e">
        <f>_xlfn.XLOOKUP(Table1[[#This Row],[ID]], Table2[ID],#REF!, "Not Found", 0)</f>
        <v>#REF!</v>
      </c>
      <c r="R711" t="e">
        <f>_xlfn.XLOOKUP(Table1[[#This Row],[ID]], Table2[ID],#REF!, "Not Found", 0)</f>
        <v>#REF!</v>
      </c>
      <c r="S711" s="3" t="str">
        <f>_xlfn.XLOOKUP(Table1[[#This Row],[ID]], Table2[ID], Table2[Enrollment], "Not Found", 0)</f>
        <v>2/13/2019</v>
      </c>
      <c r="T711" t="s">
        <v>436</v>
      </c>
    </row>
    <row r="712" spans="1:20" x14ac:dyDescent="0.3">
      <c r="A712">
        <v>1736</v>
      </c>
      <c r="B712">
        <v>163855</v>
      </c>
      <c r="C712">
        <v>0</v>
      </c>
      <c r="D712">
        <v>0</v>
      </c>
      <c r="E712">
        <v>42</v>
      </c>
      <c r="F712">
        <v>0</v>
      </c>
      <c r="G712">
        <v>0</v>
      </c>
      <c r="H712">
        <v>0</v>
      </c>
      <c r="I712">
        <v>1</v>
      </c>
      <c r="J712">
        <v>0</v>
      </c>
      <c r="K712">
        <v>0</v>
      </c>
      <c r="L712">
        <v>0</v>
      </c>
      <c r="M712">
        <v>0</v>
      </c>
      <c r="N712">
        <v>0</v>
      </c>
      <c r="O712" t="str" cm="1">
        <f t="array" ref="O712">_xlfn.IFS(Table1[[#This Row],[Divorced]]=1, "Divorced", Table1[[#This Row],[Married]]=1, "Married", Table1[[#This Row],[Single]]=1, "Single", Table1[[#This Row],[Together]]=1, "Together", Table1[[#This Row],[Widow]]=1, "Widow")</f>
        <v>Together</v>
      </c>
      <c r="P712" t="str" cm="1">
        <f t="array" ref="P712">_xlfn.IFS(Table1[[#This Row],[Basic]]=1, "Basic", Table1[[#This Row],[Graduate]]=1, "Graduate", Table1[[#This Row],[Master]]=1, "Master", Table1[[#This Row],[PhD]]=1, "PhD", AND(Table1[[#This Row],[Basic]]=0, Table1[[#This Row],[Graduate]]=0, Table1[[#This Row],[Master]]=0, Table1[[#This Row],[PhD]]=0), "NA")</f>
        <v>NA</v>
      </c>
      <c r="Q712" t="e">
        <f>_xlfn.XLOOKUP(Table1[[#This Row],[ID]], Table2[ID],#REF!, "Not Found", 0)</f>
        <v>#REF!</v>
      </c>
      <c r="R712" t="e">
        <f>_xlfn.XLOOKUP(Table1[[#This Row],[ID]], Table2[ID],#REF!, "Not Found", 0)</f>
        <v>#REF!</v>
      </c>
      <c r="S712" s="3" t="str">
        <f>_xlfn.XLOOKUP(Table1[[#This Row],[ID]], Table2[ID], Table2[Enrollment], "Not Found", 0)</f>
        <v>7/17/2019</v>
      </c>
      <c r="T712" t="s">
        <v>438</v>
      </c>
    </row>
    <row r="713" spans="1:20" x14ac:dyDescent="0.3">
      <c r="A713">
        <v>1266</v>
      </c>
      <c r="B713">
        <v>163841</v>
      </c>
      <c r="C713">
        <v>0</v>
      </c>
      <c r="D713">
        <v>1</v>
      </c>
      <c r="E713">
        <v>52</v>
      </c>
      <c r="F713">
        <v>1</v>
      </c>
      <c r="G713">
        <v>0</v>
      </c>
      <c r="H713">
        <v>0</v>
      </c>
      <c r="I713">
        <v>0</v>
      </c>
      <c r="J713">
        <v>0</v>
      </c>
      <c r="K713">
        <v>0</v>
      </c>
      <c r="L713">
        <v>0</v>
      </c>
      <c r="M713">
        <v>1</v>
      </c>
      <c r="N713">
        <v>0</v>
      </c>
      <c r="O713" t="str" cm="1">
        <f t="array" ref="O713">_xlfn.IFS(Table1[[#This Row],[Divorced]]=1, "Divorced", Table1[[#This Row],[Married]]=1, "Married", Table1[[#This Row],[Single]]=1, "Single", Table1[[#This Row],[Together]]=1, "Together", Table1[[#This Row],[Widow]]=1, "Widow")</f>
        <v>Divorced</v>
      </c>
      <c r="P713" t="str" cm="1">
        <f t="array" ref="P713">_xlfn.IFS(Table1[[#This Row],[Basic]]=1, "Basic", Table1[[#This Row],[Graduate]]=1, "Graduate", Table1[[#This Row],[Master]]=1, "Master", Table1[[#This Row],[PhD]]=1, "PhD", AND(Table1[[#This Row],[Basic]]=0, Table1[[#This Row],[Graduate]]=0, Table1[[#This Row],[Master]]=0, Table1[[#This Row],[PhD]]=0), "NA")</f>
        <v>Master</v>
      </c>
      <c r="Q713" t="e">
        <f>_xlfn.XLOOKUP(Table1[[#This Row],[ID]], Table2[ID],#REF!, "Not Found", 0)</f>
        <v>#REF!</v>
      </c>
      <c r="R713" t="e">
        <f>_xlfn.XLOOKUP(Table1[[#This Row],[ID]], Table2[ID],#REF!, "Not Found", 0)</f>
        <v>#REF!</v>
      </c>
      <c r="S713" s="3" t="str">
        <f>_xlfn.XLOOKUP(Table1[[#This Row],[ID]], Table2[ID], Table2[Enrollment], "Not Found", 0)</f>
        <v>9/26/2019</v>
      </c>
      <c r="T713" t="s">
        <v>436</v>
      </c>
    </row>
    <row r="714" spans="1:20" x14ac:dyDescent="0.3">
      <c r="A714">
        <v>2176</v>
      </c>
      <c r="B714">
        <v>163841</v>
      </c>
      <c r="C714">
        <v>0</v>
      </c>
      <c r="D714">
        <v>1</v>
      </c>
      <c r="E714">
        <v>52</v>
      </c>
      <c r="F714">
        <v>1</v>
      </c>
      <c r="G714">
        <v>0</v>
      </c>
      <c r="H714">
        <v>0</v>
      </c>
      <c r="I714">
        <v>0</v>
      </c>
      <c r="J714">
        <v>0</v>
      </c>
      <c r="K714">
        <v>0</v>
      </c>
      <c r="L714">
        <v>0</v>
      </c>
      <c r="M714">
        <v>1</v>
      </c>
      <c r="N714">
        <v>0</v>
      </c>
      <c r="O714" t="str" cm="1">
        <f t="array" ref="O714">_xlfn.IFS(Table1[[#This Row],[Divorced]]=1, "Divorced", Table1[[#This Row],[Married]]=1, "Married", Table1[[#This Row],[Single]]=1, "Single", Table1[[#This Row],[Together]]=1, "Together", Table1[[#This Row],[Widow]]=1, "Widow")</f>
        <v>Divorced</v>
      </c>
      <c r="P714" t="str" cm="1">
        <f t="array" ref="P714">_xlfn.IFS(Table1[[#This Row],[Basic]]=1, "Basic", Table1[[#This Row],[Graduate]]=1, "Graduate", Table1[[#This Row],[Master]]=1, "Master", Table1[[#This Row],[PhD]]=1, "PhD", AND(Table1[[#This Row],[Basic]]=0, Table1[[#This Row],[Graduate]]=0, Table1[[#This Row],[Master]]=0, Table1[[#This Row],[PhD]]=0), "NA")</f>
        <v>Master</v>
      </c>
      <c r="Q714" t="e">
        <f>_xlfn.XLOOKUP(Table1[[#This Row],[ID]], Table2[ID],#REF!, "Not Found", 0)</f>
        <v>#REF!</v>
      </c>
      <c r="R714" t="e">
        <f>_xlfn.XLOOKUP(Table1[[#This Row],[ID]], Table2[ID],#REF!, "Not Found", 0)</f>
        <v>#REF!</v>
      </c>
      <c r="S714" s="3" t="str">
        <f>_xlfn.XLOOKUP(Table1[[#This Row],[ID]], Table2[ID], Table2[Enrollment], "Not Found", 0)</f>
        <v>9/26/2019</v>
      </c>
      <c r="T714" t="s">
        <v>439</v>
      </c>
    </row>
    <row r="715" spans="1:20" x14ac:dyDescent="0.3">
      <c r="A715">
        <v>2374</v>
      </c>
      <c r="B715">
        <v>163841</v>
      </c>
      <c r="C715">
        <v>0</v>
      </c>
      <c r="D715">
        <v>1</v>
      </c>
      <c r="E715">
        <v>52</v>
      </c>
      <c r="F715">
        <v>1</v>
      </c>
      <c r="G715">
        <v>0</v>
      </c>
      <c r="H715">
        <v>0</v>
      </c>
      <c r="I715">
        <v>0</v>
      </c>
      <c r="J715">
        <v>0</v>
      </c>
      <c r="K715">
        <v>0</v>
      </c>
      <c r="L715">
        <v>0</v>
      </c>
      <c r="M715">
        <v>1</v>
      </c>
      <c r="N715">
        <v>0</v>
      </c>
      <c r="O715" t="str" cm="1">
        <f t="array" ref="O715">_xlfn.IFS(Table1[[#This Row],[Divorced]]=1, "Divorced", Table1[[#This Row],[Married]]=1, "Married", Table1[[#This Row],[Single]]=1, "Single", Table1[[#This Row],[Together]]=1, "Together", Table1[[#This Row],[Widow]]=1, "Widow")</f>
        <v>Divorced</v>
      </c>
      <c r="P715" t="str" cm="1">
        <f t="array" ref="P715">_xlfn.IFS(Table1[[#This Row],[Basic]]=1, "Basic", Table1[[#This Row],[Graduate]]=1, "Graduate", Table1[[#This Row],[Master]]=1, "Master", Table1[[#This Row],[PhD]]=1, "PhD", AND(Table1[[#This Row],[Basic]]=0, Table1[[#This Row],[Graduate]]=0, Table1[[#This Row],[Master]]=0, Table1[[#This Row],[PhD]]=0), "NA")</f>
        <v>Master</v>
      </c>
      <c r="Q715" t="e">
        <f>_xlfn.XLOOKUP(Table1[[#This Row],[ID]], Table2[ID],#REF!, "Not Found", 0)</f>
        <v>#REF!</v>
      </c>
      <c r="R715" t="e">
        <f>_xlfn.XLOOKUP(Table1[[#This Row],[ID]], Table2[ID],#REF!, "Not Found", 0)</f>
        <v>#REF!</v>
      </c>
      <c r="S715" s="3" t="str">
        <f>_xlfn.XLOOKUP(Table1[[#This Row],[ID]], Table2[ID], Table2[Enrollment], "Not Found", 0)</f>
        <v>9/26/2019</v>
      </c>
      <c r="T715" t="s">
        <v>439</v>
      </c>
    </row>
    <row r="716" spans="1:20" x14ac:dyDescent="0.3">
      <c r="A716">
        <v>1357</v>
      </c>
      <c r="B716">
        <v>163810</v>
      </c>
      <c r="C716">
        <v>0</v>
      </c>
      <c r="D716">
        <v>1</v>
      </c>
      <c r="E716">
        <v>54</v>
      </c>
      <c r="F716">
        <v>0</v>
      </c>
      <c r="G716">
        <v>0</v>
      </c>
      <c r="H716">
        <v>1</v>
      </c>
      <c r="I716">
        <v>0</v>
      </c>
      <c r="J716">
        <v>0</v>
      </c>
      <c r="K716">
        <v>0</v>
      </c>
      <c r="L716">
        <v>1</v>
      </c>
      <c r="M716">
        <v>0</v>
      </c>
      <c r="N716">
        <v>0</v>
      </c>
      <c r="O716" t="str" cm="1">
        <f t="array" ref="O716">_xlfn.IFS(Table1[[#This Row],[Divorced]]=1, "Divorced", Table1[[#This Row],[Married]]=1, "Married", Table1[[#This Row],[Single]]=1, "Single", Table1[[#This Row],[Together]]=1, "Together", Table1[[#This Row],[Widow]]=1, "Widow")</f>
        <v>Single</v>
      </c>
      <c r="P716" t="str" cm="1">
        <f t="array" ref="P716">_xlfn.IFS(Table1[[#This Row],[Basic]]=1, "Basic", Table1[[#This Row],[Graduate]]=1, "Graduate", Table1[[#This Row],[Master]]=1, "Master", Table1[[#This Row],[PhD]]=1, "PhD", AND(Table1[[#This Row],[Basic]]=0, Table1[[#This Row],[Graduate]]=0, Table1[[#This Row],[Master]]=0, Table1[[#This Row],[PhD]]=0), "NA")</f>
        <v>Graduate</v>
      </c>
      <c r="Q716" t="e">
        <f>_xlfn.XLOOKUP(Table1[[#This Row],[ID]], Table2[ID],#REF!, "Not Found", 0)</f>
        <v>#REF!</v>
      </c>
      <c r="R716" t="e">
        <f>_xlfn.XLOOKUP(Table1[[#This Row],[ID]], Table2[ID],#REF!, "Not Found", 0)</f>
        <v>#REF!</v>
      </c>
      <c r="S716" s="3" t="str">
        <f>_xlfn.XLOOKUP(Table1[[#This Row],[ID]], Table2[ID], Table2[Enrollment], "Not Found", 0)</f>
        <v>4/18/2019</v>
      </c>
      <c r="T716" t="s">
        <v>437</v>
      </c>
    </row>
    <row r="717" spans="1:20" x14ac:dyDescent="0.3">
      <c r="A717">
        <v>2398</v>
      </c>
      <c r="B717">
        <v>163810</v>
      </c>
      <c r="C717">
        <v>0</v>
      </c>
      <c r="D717">
        <v>1</v>
      </c>
      <c r="E717">
        <v>54</v>
      </c>
      <c r="F717">
        <v>0</v>
      </c>
      <c r="G717">
        <v>0</v>
      </c>
      <c r="H717">
        <v>1</v>
      </c>
      <c r="I717">
        <v>0</v>
      </c>
      <c r="J717">
        <v>0</v>
      </c>
      <c r="K717">
        <v>0</v>
      </c>
      <c r="L717">
        <v>1</v>
      </c>
      <c r="M717">
        <v>0</v>
      </c>
      <c r="N717">
        <v>0</v>
      </c>
      <c r="O717" t="str" cm="1">
        <f t="array" ref="O717">_xlfn.IFS(Table1[[#This Row],[Divorced]]=1, "Divorced", Table1[[#This Row],[Married]]=1, "Married", Table1[[#This Row],[Single]]=1, "Single", Table1[[#This Row],[Together]]=1, "Together", Table1[[#This Row],[Widow]]=1, "Widow")</f>
        <v>Single</v>
      </c>
      <c r="P717" t="str" cm="1">
        <f t="array" ref="P717">_xlfn.IFS(Table1[[#This Row],[Basic]]=1, "Basic", Table1[[#This Row],[Graduate]]=1, "Graduate", Table1[[#This Row],[Master]]=1, "Master", Table1[[#This Row],[PhD]]=1, "PhD", AND(Table1[[#This Row],[Basic]]=0, Table1[[#This Row],[Graduate]]=0, Table1[[#This Row],[Master]]=0, Table1[[#This Row],[PhD]]=0), "NA")</f>
        <v>Graduate</v>
      </c>
      <c r="Q717" t="e">
        <f>_xlfn.XLOOKUP(Table1[[#This Row],[ID]], Table2[ID],#REF!, "Not Found", 0)</f>
        <v>#REF!</v>
      </c>
      <c r="R717" t="e">
        <f>_xlfn.XLOOKUP(Table1[[#This Row],[ID]], Table2[ID],#REF!, "Not Found", 0)</f>
        <v>#REF!</v>
      </c>
      <c r="S717" s="3" t="str">
        <f>_xlfn.XLOOKUP(Table1[[#This Row],[ID]], Table2[ID], Table2[Enrollment], "Not Found", 0)</f>
        <v>4/18/2019</v>
      </c>
      <c r="T717" t="s">
        <v>439</v>
      </c>
    </row>
    <row r="718" spans="1:20" x14ac:dyDescent="0.3">
      <c r="A718">
        <v>3194</v>
      </c>
      <c r="B718">
        <v>163777</v>
      </c>
      <c r="C718">
        <v>1</v>
      </c>
      <c r="D718">
        <v>1</v>
      </c>
      <c r="E718">
        <v>41</v>
      </c>
      <c r="F718">
        <v>0</v>
      </c>
      <c r="G718">
        <v>1</v>
      </c>
      <c r="H718">
        <v>0</v>
      </c>
      <c r="I718">
        <v>0</v>
      </c>
      <c r="J718">
        <v>0</v>
      </c>
      <c r="K718">
        <v>0</v>
      </c>
      <c r="L718">
        <v>1</v>
      </c>
      <c r="M718">
        <v>0</v>
      </c>
      <c r="N718">
        <v>0</v>
      </c>
      <c r="O718" t="str" cm="1">
        <f t="array" ref="O718">_xlfn.IFS(Table1[[#This Row],[Divorced]]=1, "Divorced", Table1[[#This Row],[Married]]=1, "Married", Table1[[#This Row],[Single]]=1, "Single", Table1[[#This Row],[Together]]=1, "Together", Table1[[#This Row],[Widow]]=1, "Widow")</f>
        <v>Married</v>
      </c>
      <c r="P718" t="str" cm="1">
        <f t="array" ref="P718">_xlfn.IFS(Table1[[#This Row],[Basic]]=1, "Basic", Table1[[#This Row],[Graduate]]=1, "Graduate", Table1[[#This Row],[Master]]=1, "Master", Table1[[#This Row],[PhD]]=1, "PhD", AND(Table1[[#This Row],[Basic]]=0, Table1[[#This Row],[Graduate]]=0, Table1[[#This Row],[Master]]=0, Table1[[#This Row],[PhD]]=0), "NA")</f>
        <v>Graduate</v>
      </c>
      <c r="Q718" t="e">
        <f>_xlfn.XLOOKUP(Table1[[#This Row],[ID]], Table2[ID],#REF!, "Not Found", 0)</f>
        <v>#REF!</v>
      </c>
      <c r="R718" t="e">
        <f>_xlfn.XLOOKUP(Table1[[#This Row],[ID]], Table2[ID],#REF!, "Not Found", 0)</f>
        <v>#REF!</v>
      </c>
      <c r="S718" s="3" t="str">
        <f>_xlfn.XLOOKUP(Table1[[#This Row],[ID]], Table2[ID], Table2[Enrollment], "Not Found", 0)</f>
        <v>8/29/2019</v>
      </c>
      <c r="T718" t="s">
        <v>438</v>
      </c>
    </row>
    <row r="719" spans="1:20" x14ac:dyDescent="0.3">
      <c r="A719">
        <v>1190</v>
      </c>
      <c r="B719">
        <v>163693</v>
      </c>
      <c r="C719">
        <v>0</v>
      </c>
      <c r="D719">
        <v>1</v>
      </c>
      <c r="E719">
        <v>42</v>
      </c>
      <c r="F719">
        <v>1</v>
      </c>
      <c r="G719">
        <v>0</v>
      </c>
      <c r="H719">
        <v>0</v>
      </c>
      <c r="I719">
        <v>0</v>
      </c>
      <c r="J719">
        <v>0</v>
      </c>
      <c r="K719">
        <v>0</v>
      </c>
      <c r="L719">
        <v>1</v>
      </c>
      <c r="M719">
        <v>0</v>
      </c>
      <c r="N719">
        <v>0</v>
      </c>
      <c r="O719" t="str" cm="1">
        <f t="array" ref="O719">_xlfn.IFS(Table1[[#This Row],[Divorced]]=1, "Divorced", Table1[[#This Row],[Married]]=1, "Married", Table1[[#This Row],[Single]]=1, "Single", Table1[[#This Row],[Together]]=1, "Together", Table1[[#This Row],[Widow]]=1, "Widow")</f>
        <v>Divorced</v>
      </c>
      <c r="P719" t="str" cm="1">
        <f t="array" ref="P719">_xlfn.IFS(Table1[[#This Row],[Basic]]=1, "Basic", Table1[[#This Row],[Graduate]]=1, "Graduate", Table1[[#This Row],[Master]]=1, "Master", Table1[[#This Row],[PhD]]=1, "PhD", AND(Table1[[#This Row],[Basic]]=0, Table1[[#This Row],[Graduate]]=0, Table1[[#This Row],[Master]]=0, Table1[[#This Row],[PhD]]=0), "NA")</f>
        <v>Graduate</v>
      </c>
      <c r="Q719" t="e">
        <f>_xlfn.XLOOKUP(Table1[[#This Row],[ID]], Table2[ID],#REF!, "Not Found", 0)</f>
        <v>#REF!</v>
      </c>
      <c r="R719" t="e">
        <f>_xlfn.XLOOKUP(Table1[[#This Row],[ID]], Table2[ID],#REF!, "Not Found", 0)</f>
        <v>#REF!</v>
      </c>
      <c r="S719" s="3" t="str">
        <f>_xlfn.XLOOKUP(Table1[[#This Row],[ID]], Table2[ID], Table2[Enrollment], "Not Found", 0)</f>
        <v>3/20/2020</v>
      </c>
      <c r="T719" t="s">
        <v>438</v>
      </c>
    </row>
    <row r="720" spans="1:20" x14ac:dyDescent="0.3">
      <c r="A720">
        <v>1964</v>
      </c>
      <c r="B720">
        <v>163693</v>
      </c>
      <c r="C720">
        <v>0</v>
      </c>
      <c r="D720">
        <v>1</v>
      </c>
      <c r="E720">
        <v>42</v>
      </c>
      <c r="F720">
        <v>1</v>
      </c>
      <c r="G720">
        <v>0</v>
      </c>
      <c r="H720">
        <v>0</v>
      </c>
      <c r="I720">
        <v>0</v>
      </c>
      <c r="J720">
        <v>0</v>
      </c>
      <c r="K720">
        <v>0</v>
      </c>
      <c r="L720">
        <v>1</v>
      </c>
      <c r="M720">
        <v>0</v>
      </c>
      <c r="N720">
        <v>0</v>
      </c>
      <c r="O720" t="str" cm="1">
        <f t="array" ref="O720">_xlfn.IFS(Table1[[#This Row],[Divorced]]=1, "Divorced", Table1[[#This Row],[Married]]=1, "Married", Table1[[#This Row],[Single]]=1, "Single", Table1[[#This Row],[Together]]=1, "Together", Table1[[#This Row],[Widow]]=1, "Widow")</f>
        <v>Divorced</v>
      </c>
      <c r="P720" t="str" cm="1">
        <f t="array" ref="P720">_xlfn.IFS(Table1[[#This Row],[Basic]]=1, "Basic", Table1[[#This Row],[Graduate]]=1, "Graduate", Table1[[#This Row],[Master]]=1, "Master", Table1[[#This Row],[PhD]]=1, "PhD", AND(Table1[[#This Row],[Basic]]=0, Table1[[#This Row],[Graduate]]=0, Table1[[#This Row],[Master]]=0, Table1[[#This Row],[PhD]]=0), "NA")</f>
        <v>Graduate</v>
      </c>
      <c r="Q720" t="e">
        <f>_xlfn.XLOOKUP(Table1[[#This Row],[ID]], Table2[ID],#REF!, "Not Found", 0)</f>
        <v>#REF!</v>
      </c>
      <c r="R720" t="e">
        <f>_xlfn.XLOOKUP(Table1[[#This Row],[ID]], Table2[ID],#REF!, "Not Found", 0)</f>
        <v>#REF!</v>
      </c>
      <c r="S720" s="3" t="str">
        <f>_xlfn.XLOOKUP(Table1[[#This Row],[ID]], Table2[ID], Table2[Enrollment], "Not Found", 0)</f>
        <v>3/20/2020</v>
      </c>
      <c r="T720" t="s">
        <v>438</v>
      </c>
    </row>
    <row r="721" spans="1:20" x14ac:dyDescent="0.3">
      <c r="A721">
        <v>2981</v>
      </c>
      <c r="B721">
        <v>163684</v>
      </c>
      <c r="C721">
        <v>0</v>
      </c>
      <c r="D721">
        <v>1</v>
      </c>
      <c r="E721">
        <v>50</v>
      </c>
      <c r="F721">
        <v>0</v>
      </c>
      <c r="G721">
        <v>1</v>
      </c>
      <c r="H721">
        <v>0</v>
      </c>
      <c r="I721">
        <v>0</v>
      </c>
      <c r="J721">
        <v>0</v>
      </c>
      <c r="K721">
        <v>0</v>
      </c>
      <c r="L721">
        <v>1</v>
      </c>
      <c r="M721">
        <v>0</v>
      </c>
      <c r="N721">
        <v>0</v>
      </c>
      <c r="O721" t="str" cm="1">
        <f t="array" ref="O721">_xlfn.IFS(Table1[[#This Row],[Divorced]]=1, "Divorced", Table1[[#This Row],[Married]]=1, "Married", Table1[[#This Row],[Single]]=1, "Single", Table1[[#This Row],[Together]]=1, "Together", Table1[[#This Row],[Widow]]=1, "Widow")</f>
        <v>Married</v>
      </c>
      <c r="P721" t="str" cm="1">
        <f t="array" ref="P721">_xlfn.IFS(Table1[[#This Row],[Basic]]=1, "Basic", Table1[[#This Row],[Graduate]]=1, "Graduate", Table1[[#This Row],[Master]]=1, "Master", Table1[[#This Row],[PhD]]=1, "PhD", AND(Table1[[#This Row],[Basic]]=0, Table1[[#This Row],[Graduate]]=0, Table1[[#This Row],[Master]]=0, Table1[[#This Row],[PhD]]=0), "NA")</f>
        <v>Graduate</v>
      </c>
      <c r="Q721" t="e">
        <f>_xlfn.XLOOKUP(Table1[[#This Row],[ID]], Table2[ID],#REF!, "Not Found", 0)</f>
        <v>#REF!</v>
      </c>
      <c r="R721" t="e">
        <f>_xlfn.XLOOKUP(Table1[[#This Row],[ID]], Table2[ID],#REF!, "Not Found", 0)</f>
        <v>#REF!</v>
      </c>
      <c r="S721" s="3">
        <f>_xlfn.XLOOKUP(Table1[[#This Row],[ID]], Table2[ID], Table2[Enrollment], "Not Found", 0)</f>
        <v>43529</v>
      </c>
      <c r="T721" t="s">
        <v>434</v>
      </c>
    </row>
    <row r="722" spans="1:20" x14ac:dyDescent="0.3">
      <c r="A722">
        <v>1730</v>
      </c>
      <c r="B722">
        <v>163564</v>
      </c>
      <c r="C722">
        <v>0</v>
      </c>
      <c r="D722">
        <v>0</v>
      </c>
      <c r="E722">
        <v>66</v>
      </c>
      <c r="F722">
        <v>0</v>
      </c>
      <c r="G722">
        <v>1</v>
      </c>
      <c r="H722">
        <v>0</v>
      </c>
      <c r="I722">
        <v>0</v>
      </c>
      <c r="J722">
        <v>0</v>
      </c>
      <c r="K722">
        <v>0</v>
      </c>
      <c r="L722">
        <v>0</v>
      </c>
      <c r="M722">
        <v>0</v>
      </c>
      <c r="N722">
        <v>0</v>
      </c>
      <c r="O722" t="str" cm="1">
        <f t="array" ref="O722">_xlfn.IFS(Table1[[#This Row],[Divorced]]=1, "Divorced", Table1[[#This Row],[Married]]=1, "Married", Table1[[#This Row],[Single]]=1, "Single", Table1[[#This Row],[Together]]=1, "Together", Table1[[#This Row],[Widow]]=1, "Widow")</f>
        <v>Married</v>
      </c>
      <c r="P722" t="str" cm="1">
        <f t="array" ref="P722">_xlfn.IFS(Table1[[#This Row],[Basic]]=1, "Basic", Table1[[#This Row],[Graduate]]=1, "Graduate", Table1[[#This Row],[Master]]=1, "Master", Table1[[#This Row],[PhD]]=1, "PhD", AND(Table1[[#This Row],[Basic]]=0, Table1[[#This Row],[Graduate]]=0, Table1[[#This Row],[Master]]=0, Table1[[#This Row],[PhD]]=0), "NA")</f>
        <v>NA</v>
      </c>
      <c r="Q722" t="e">
        <f>_xlfn.XLOOKUP(Table1[[#This Row],[ID]], Table2[ID],#REF!, "Not Found", 0)</f>
        <v>#REF!</v>
      </c>
      <c r="R722" t="e">
        <f>_xlfn.XLOOKUP(Table1[[#This Row],[ID]], Table2[ID],#REF!, "Not Found", 0)</f>
        <v>#REF!</v>
      </c>
      <c r="S722" s="3">
        <f>_xlfn.XLOOKUP(Table1[[#This Row],[ID]], Table2[ID], Table2[Enrollment], "Not Found", 0)</f>
        <v>43958</v>
      </c>
      <c r="T722" t="s">
        <v>438</v>
      </c>
    </row>
    <row r="723" spans="1:20" x14ac:dyDescent="0.3">
      <c r="A723">
        <v>3116</v>
      </c>
      <c r="B723">
        <v>163516</v>
      </c>
      <c r="C723">
        <v>1</v>
      </c>
      <c r="D723">
        <v>1</v>
      </c>
      <c r="E723">
        <v>47</v>
      </c>
      <c r="F723">
        <v>0</v>
      </c>
      <c r="G723">
        <v>0</v>
      </c>
      <c r="H723">
        <v>0</v>
      </c>
      <c r="I723">
        <v>1</v>
      </c>
      <c r="J723">
        <v>0</v>
      </c>
      <c r="K723">
        <v>0</v>
      </c>
      <c r="L723">
        <v>0</v>
      </c>
      <c r="M723">
        <v>0</v>
      </c>
      <c r="N723">
        <v>1</v>
      </c>
      <c r="O723" t="str" cm="1">
        <f t="array" ref="O723">_xlfn.IFS(Table1[[#This Row],[Divorced]]=1, "Divorced", Table1[[#This Row],[Married]]=1, "Married", Table1[[#This Row],[Single]]=1, "Single", Table1[[#This Row],[Together]]=1, "Together", Table1[[#This Row],[Widow]]=1, "Widow")</f>
        <v>Together</v>
      </c>
      <c r="P723" t="str" cm="1">
        <f t="array" ref="P723">_xlfn.IFS(Table1[[#This Row],[Basic]]=1, "Basic", Table1[[#This Row],[Graduate]]=1, "Graduate", Table1[[#This Row],[Master]]=1, "Master", Table1[[#This Row],[PhD]]=1, "PhD", AND(Table1[[#This Row],[Basic]]=0, Table1[[#This Row],[Graduate]]=0, Table1[[#This Row],[Master]]=0, Table1[[#This Row],[PhD]]=0), "NA")</f>
        <v>PhD</v>
      </c>
      <c r="Q723" t="e">
        <f>_xlfn.XLOOKUP(Table1[[#This Row],[ID]], Table2[ID],#REF!, "Not Found", 0)</f>
        <v>#REF!</v>
      </c>
      <c r="R723" t="e">
        <f>_xlfn.XLOOKUP(Table1[[#This Row],[ID]], Table2[ID],#REF!, "Not Found", 0)</f>
        <v>#REF!</v>
      </c>
      <c r="S723" s="3">
        <f>_xlfn.XLOOKUP(Table1[[#This Row],[ID]], Table2[ID], Table2[Enrollment], "Not Found", 0)</f>
        <v>43781</v>
      </c>
      <c r="T723" t="s">
        <v>438</v>
      </c>
    </row>
    <row r="724" spans="1:20" x14ac:dyDescent="0.3">
      <c r="A724">
        <v>2773</v>
      </c>
      <c r="B724">
        <v>163404</v>
      </c>
      <c r="C724">
        <v>0</v>
      </c>
      <c r="D724">
        <v>2</v>
      </c>
      <c r="E724">
        <v>56</v>
      </c>
      <c r="F724">
        <v>0</v>
      </c>
      <c r="G724">
        <v>0</v>
      </c>
      <c r="H724">
        <v>0</v>
      </c>
      <c r="I724">
        <v>1</v>
      </c>
      <c r="J724">
        <v>0</v>
      </c>
      <c r="K724">
        <v>0</v>
      </c>
      <c r="L724">
        <v>1</v>
      </c>
      <c r="M724">
        <v>0</v>
      </c>
      <c r="N724">
        <v>0</v>
      </c>
      <c r="O724" t="str" cm="1">
        <f t="array" ref="O724">_xlfn.IFS(Table1[[#This Row],[Divorced]]=1, "Divorced", Table1[[#This Row],[Married]]=1, "Married", Table1[[#This Row],[Single]]=1, "Single", Table1[[#This Row],[Together]]=1, "Together", Table1[[#This Row],[Widow]]=1, "Widow")</f>
        <v>Together</v>
      </c>
      <c r="P724" t="str" cm="1">
        <f t="array" ref="P724">_xlfn.IFS(Table1[[#This Row],[Basic]]=1, "Basic", Table1[[#This Row],[Graduate]]=1, "Graduate", Table1[[#This Row],[Master]]=1, "Master", Table1[[#This Row],[PhD]]=1, "PhD", AND(Table1[[#This Row],[Basic]]=0, Table1[[#This Row],[Graduate]]=0, Table1[[#This Row],[Master]]=0, Table1[[#This Row],[PhD]]=0), "NA")</f>
        <v>Graduate</v>
      </c>
      <c r="Q724" t="e">
        <f>_xlfn.XLOOKUP(Table1[[#This Row],[ID]], Table2[ID],#REF!, "Not Found", 0)</f>
        <v>#REF!</v>
      </c>
      <c r="R724" t="e">
        <f>_xlfn.XLOOKUP(Table1[[#This Row],[ID]], Table2[ID],#REF!, "Not Found", 0)</f>
        <v>#REF!</v>
      </c>
      <c r="S724" s="3">
        <f>_xlfn.XLOOKUP(Table1[[#This Row],[ID]], Table2[ID], Table2[Enrollment], "Not Found", 0)</f>
        <v>44115</v>
      </c>
      <c r="T724" t="s">
        <v>437</v>
      </c>
    </row>
    <row r="725" spans="1:20" x14ac:dyDescent="0.3">
      <c r="A725">
        <v>1371</v>
      </c>
      <c r="B725">
        <v>163381</v>
      </c>
      <c r="C725">
        <v>0</v>
      </c>
      <c r="D725">
        <v>1</v>
      </c>
      <c r="E725">
        <v>60</v>
      </c>
      <c r="F725">
        <v>0</v>
      </c>
      <c r="G725">
        <v>0</v>
      </c>
      <c r="H725">
        <v>0</v>
      </c>
      <c r="I725">
        <v>1</v>
      </c>
      <c r="J725">
        <v>0</v>
      </c>
      <c r="K725">
        <v>0</v>
      </c>
      <c r="L725">
        <v>1</v>
      </c>
      <c r="M725">
        <v>0</v>
      </c>
      <c r="N725">
        <v>0</v>
      </c>
      <c r="O725" t="str" cm="1">
        <f t="array" ref="O725">_xlfn.IFS(Table1[[#This Row],[Divorced]]=1, "Divorced", Table1[[#This Row],[Married]]=1, "Married", Table1[[#This Row],[Single]]=1, "Single", Table1[[#This Row],[Together]]=1, "Together", Table1[[#This Row],[Widow]]=1, "Widow")</f>
        <v>Together</v>
      </c>
      <c r="P725" t="str" cm="1">
        <f t="array" ref="P725">_xlfn.IFS(Table1[[#This Row],[Basic]]=1, "Basic", Table1[[#This Row],[Graduate]]=1, "Graduate", Table1[[#This Row],[Master]]=1, "Master", Table1[[#This Row],[PhD]]=1, "PhD", AND(Table1[[#This Row],[Basic]]=0, Table1[[#This Row],[Graduate]]=0, Table1[[#This Row],[Master]]=0, Table1[[#This Row],[PhD]]=0), "NA")</f>
        <v>Graduate</v>
      </c>
      <c r="Q725" t="e">
        <f>_xlfn.XLOOKUP(Table1[[#This Row],[ID]], Table2[ID],#REF!, "Not Found", 0)</f>
        <v>#REF!</v>
      </c>
      <c r="R725" t="e">
        <f>_xlfn.XLOOKUP(Table1[[#This Row],[ID]], Table2[ID],#REF!, "Not Found", 0)</f>
        <v>#REF!</v>
      </c>
      <c r="S725" s="3">
        <f>_xlfn.XLOOKUP(Table1[[#This Row],[ID]], Table2[ID], Table2[Enrollment], "Not Found", 0)</f>
        <v>43802</v>
      </c>
      <c r="T725" t="s">
        <v>435</v>
      </c>
    </row>
    <row r="726" spans="1:20" x14ac:dyDescent="0.3">
      <c r="A726">
        <v>1623</v>
      </c>
      <c r="B726">
        <v>163381</v>
      </c>
      <c r="C726">
        <v>0</v>
      </c>
      <c r="D726">
        <v>1</v>
      </c>
      <c r="E726">
        <v>60</v>
      </c>
      <c r="F726">
        <v>0</v>
      </c>
      <c r="G726">
        <v>0</v>
      </c>
      <c r="H726">
        <v>0</v>
      </c>
      <c r="I726">
        <v>1</v>
      </c>
      <c r="J726">
        <v>0</v>
      </c>
      <c r="K726">
        <v>0</v>
      </c>
      <c r="L726">
        <v>1</v>
      </c>
      <c r="M726">
        <v>0</v>
      </c>
      <c r="N726">
        <v>0</v>
      </c>
      <c r="O726" t="str" cm="1">
        <f t="array" ref="O726">_xlfn.IFS(Table1[[#This Row],[Divorced]]=1, "Divorced", Table1[[#This Row],[Married]]=1, "Married", Table1[[#This Row],[Single]]=1, "Single", Table1[[#This Row],[Together]]=1, "Together", Table1[[#This Row],[Widow]]=1, "Widow")</f>
        <v>Together</v>
      </c>
      <c r="P726" t="str" cm="1">
        <f t="array" ref="P726">_xlfn.IFS(Table1[[#This Row],[Basic]]=1, "Basic", Table1[[#This Row],[Graduate]]=1, "Graduate", Table1[[#This Row],[Master]]=1, "Master", Table1[[#This Row],[PhD]]=1, "PhD", AND(Table1[[#This Row],[Basic]]=0, Table1[[#This Row],[Graduate]]=0, Table1[[#This Row],[Master]]=0, Table1[[#This Row],[PhD]]=0), "NA")</f>
        <v>Graduate</v>
      </c>
      <c r="Q726" t="e">
        <f>_xlfn.XLOOKUP(Table1[[#This Row],[ID]], Table2[ID],#REF!, "Not Found", 0)</f>
        <v>#REF!</v>
      </c>
      <c r="R726" t="e">
        <f>_xlfn.XLOOKUP(Table1[[#This Row],[ID]], Table2[ID],#REF!, "Not Found", 0)</f>
        <v>#REF!</v>
      </c>
      <c r="S726" s="3">
        <f>_xlfn.XLOOKUP(Table1[[#This Row],[ID]], Table2[ID], Table2[Enrollment], "Not Found", 0)</f>
        <v>43802</v>
      </c>
      <c r="T726" t="s">
        <v>435</v>
      </c>
    </row>
    <row r="727" spans="1:20" x14ac:dyDescent="0.3">
      <c r="A727">
        <v>1243</v>
      </c>
      <c r="B727">
        <v>163342</v>
      </c>
      <c r="C727">
        <v>0</v>
      </c>
      <c r="D727">
        <v>1</v>
      </c>
      <c r="E727">
        <v>59</v>
      </c>
      <c r="F727">
        <v>0</v>
      </c>
      <c r="G727">
        <v>0</v>
      </c>
      <c r="H727">
        <v>0</v>
      </c>
      <c r="I727">
        <v>1</v>
      </c>
      <c r="J727">
        <v>0</v>
      </c>
      <c r="K727">
        <v>0</v>
      </c>
      <c r="L727">
        <v>0</v>
      </c>
      <c r="M727">
        <v>0</v>
      </c>
      <c r="N727">
        <v>1</v>
      </c>
      <c r="O727" t="str" cm="1">
        <f t="array" ref="O727">_xlfn.IFS(Table1[[#This Row],[Divorced]]=1, "Divorced", Table1[[#This Row],[Married]]=1, "Married", Table1[[#This Row],[Single]]=1, "Single", Table1[[#This Row],[Together]]=1, "Together", Table1[[#This Row],[Widow]]=1, "Widow")</f>
        <v>Together</v>
      </c>
      <c r="P727" t="str" cm="1">
        <f t="array" ref="P727">_xlfn.IFS(Table1[[#This Row],[Basic]]=1, "Basic", Table1[[#This Row],[Graduate]]=1, "Graduate", Table1[[#This Row],[Master]]=1, "Master", Table1[[#This Row],[PhD]]=1, "PhD", AND(Table1[[#This Row],[Basic]]=0, Table1[[#This Row],[Graduate]]=0, Table1[[#This Row],[Master]]=0, Table1[[#This Row],[PhD]]=0), "NA")</f>
        <v>PhD</v>
      </c>
      <c r="Q727" t="e">
        <f>_xlfn.XLOOKUP(Table1[[#This Row],[ID]], Table2[ID],#REF!, "Not Found", 0)</f>
        <v>#REF!</v>
      </c>
      <c r="R727" t="e">
        <f>_xlfn.XLOOKUP(Table1[[#This Row],[ID]], Table2[ID],#REF!, "Not Found", 0)</f>
        <v>#REF!</v>
      </c>
      <c r="S727" s="3" t="str">
        <f>_xlfn.XLOOKUP(Table1[[#This Row],[ID]], Table2[ID], Table2[Enrollment], "Not Found", 0)</f>
        <v>3/23/2019</v>
      </c>
      <c r="T727" t="s">
        <v>437</v>
      </c>
    </row>
    <row r="728" spans="1:20" x14ac:dyDescent="0.3">
      <c r="A728">
        <v>2725</v>
      </c>
      <c r="B728">
        <v>163342</v>
      </c>
      <c r="C728">
        <v>0</v>
      </c>
      <c r="D728">
        <v>1</v>
      </c>
      <c r="E728">
        <v>59</v>
      </c>
      <c r="F728">
        <v>0</v>
      </c>
      <c r="G728">
        <v>0</v>
      </c>
      <c r="H728">
        <v>0</v>
      </c>
      <c r="I728">
        <v>1</v>
      </c>
      <c r="J728">
        <v>0</v>
      </c>
      <c r="K728">
        <v>0</v>
      </c>
      <c r="L728">
        <v>0</v>
      </c>
      <c r="M728">
        <v>0</v>
      </c>
      <c r="N728">
        <v>1</v>
      </c>
      <c r="O728" t="str" cm="1">
        <f t="array" ref="O728">_xlfn.IFS(Table1[[#This Row],[Divorced]]=1, "Divorced", Table1[[#This Row],[Married]]=1, "Married", Table1[[#This Row],[Single]]=1, "Single", Table1[[#This Row],[Together]]=1, "Together", Table1[[#This Row],[Widow]]=1, "Widow")</f>
        <v>Together</v>
      </c>
      <c r="P728" t="str" cm="1">
        <f t="array" ref="P728">_xlfn.IFS(Table1[[#This Row],[Basic]]=1, "Basic", Table1[[#This Row],[Graduate]]=1, "Graduate", Table1[[#This Row],[Master]]=1, "Master", Table1[[#This Row],[PhD]]=1, "PhD", AND(Table1[[#This Row],[Basic]]=0, Table1[[#This Row],[Graduate]]=0, Table1[[#This Row],[Master]]=0, Table1[[#This Row],[PhD]]=0), "NA")</f>
        <v>PhD</v>
      </c>
      <c r="Q728" t="e">
        <f>_xlfn.XLOOKUP(Table1[[#This Row],[ID]], Table2[ID],#REF!, "Not Found", 0)</f>
        <v>#REF!</v>
      </c>
      <c r="R728" t="e">
        <f>_xlfn.XLOOKUP(Table1[[#This Row],[ID]], Table2[ID],#REF!, "Not Found", 0)</f>
        <v>#REF!</v>
      </c>
      <c r="S728" s="3" t="str">
        <f>_xlfn.XLOOKUP(Table1[[#This Row],[ID]], Table2[ID], Table2[Enrollment], "Not Found", 0)</f>
        <v>3/23/2019</v>
      </c>
      <c r="T728" t="s">
        <v>437</v>
      </c>
    </row>
    <row r="729" spans="1:20" x14ac:dyDescent="0.3">
      <c r="A729">
        <v>2125</v>
      </c>
      <c r="B729">
        <v>163285</v>
      </c>
      <c r="C729">
        <v>0</v>
      </c>
      <c r="D729">
        <v>0</v>
      </c>
      <c r="E729">
        <v>75</v>
      </c>
      <c r="F729">
        <v>0</v>
      </c>
      <c r="G729">
        <v>0</v>
      </c>
      <c r="H729">
        <v>0</v>
      </c>
      <c r="I729">
        <v>0</v>
      </c>
      <c r="J729">
        <v>1</v>
      </c>
      <c r="K729">
        <v>0</v>
      </c>
      <c r="L729">
        <v>1</v>
      </c>
      <c r="M729">
        <v>0</v>
      </c>
      <c r="N729">
        <v>0</v>
      </c>
      <c r="O729" t="str" cm="1">
        <f t="array" ref="O729">_xlfn.IFS(Table1[[#This Row],[Divorced]]=1, "Divorced", Table1[[#This Row],[Married]]=1, "Married", Table1[[#This Row],[Single]]=1, "Single", Table1[[#This Row],[Together]]=1, "Together", Table1[[#This Row],[Widow]]=1, "Widow")</f>
        <v>Widow</v>
      </c>
      <c r="P729" t="str" cm="1">
        <f t="array" ref="P729">_xlfn.IFS(Table1[[#This Row],[Basic]]=1, "Basic", Table1[[#This Row],[Graduate]]=1, "Graduate", Table1[[#This Row],[Master]]=1, "Master", Table1[[#This Row],[PhD]]=1, "PhD", AND(Table1[[#This Row],[Basic]]=0, Table1[[#This Row],[Graduate]]=0, Table1[[#This Row],[Master]]=0, Table1[[#This Row],[PhD]]=0), "NA")</f>
        <v>Graduate</v>
      </c>
      <c r="Q729" t="e">
        <f>_xlfn.XLOOKUP(Table1[[#This Row],[ID]], Table2[ID],#REF!, "Not Found", 0)</f>
        <v>#REF!</v>
      </c>
      <c r="R729" t="e">
        <f>_xlfn.XLOOKUP(Table1[[#This Row],[ID]], Table2[ID],#REF!, "Not Found", 0)</f>
        <v>#REF!</v>
      </c>
      <c r="S729" s="3">
        <f>_xlfn.XLOOKUP(Table1[[#This Row],[ID]], Table2[ID], Table2[Enrollment], "Not Found", 0)</f>
        <v>44139</v>
      </c>
      <c r="T729" t="s">
        <v>437</v>
      </c>
    </row>
    <row r="730" spans="1:20" x14ac:dyDescent="0.3">
      <c r="A730">
        <v>2641</v>
      </c>
      <c r="B730">
        <v>163246</v>
      </c>
      <c r="C730">
        <v>0</v>
      </c>
      <c r="D730">
        <v>2</v>
      </c>
      <c r="E730">
        <v>53</v>
      </c>
      <c r="F730">
        <v>0</v>
      </c>
      <c r="G730">
        <v>1</v>
      </c>
      <c r="H730">
        <v>0</v>
      </c>
      <c r="I730">
        <v>0</v>
      </c>
      <c r="J730">
        <v>0</v>
      </c>
      <c r="K730">
        <v>0</v>
      </c>
      <c r="L730">
        <v>0</v>
      </c>
      <c r="M730">
        <v>0</v>
      </c>
      <c r="N730">
        <v>1</v>
      </c>
      <c r="O730" t="str" cm="1">
        <f t="array" ref="O730">_xlfn.IFS(Table1[[#This Row],[Divorced]]=1, "Divorced", Table1[[#This Row],[Married]]=1, "Married", Table1[[#This Row],[Single]]=1, "Single", Table1[[#This Row],[Together]]=1, "Together", Table1[[#This Row],[Widow]]=1, "Widow")</f>
        <v>Married</v>
      </c>
      <c r="P730" t="str" cm="1">
        <f t="array" ref="P730">_xlfn.IFS(Table1[[#This Row],[Basic]]=1, "Basic", Table1[[#This Row],[Graduate]]=1, "Graduate", Table1[[#This Row],[Master]]=1, "Master", Table1[[#This Row],[PhD]]=1, "PhD", AND(Table1[[#This Row],[Basic]]=0, Table1[[#This Row],[Graduate]]=0, Table1[[#This Row],[Master]]=0, Table1[[#This Row],[PhD]]=0), "NA")</f>
        <v>PhD</v>
      </c>
      <c r="Q730" t="e">
        <f>_xlfn.XLOOKUP(Table1[[#This Row],[ID]], Table2[ID],#REF!, "Not Found", 0)</f>
        <v>#REF!</v>
      </c>
      <c r="R730" t="e">
        <f>_xlfn.XLOOKUP(Table1[[#This Row],[ID]], Table2[ID],#REF!, "Not Found", 0)</f>
        <v>#REF!</v>
      </c>
      <c r="S730" s="3" t="str">
        <f>_xlfn.XLOOKUP(Table1[[#This Row],[ID]], Table2[ID], Table2[Enrollment], "Not Found", 0)</f>
        <v>1/25/2020</v>
      </c>
      <c r="T730" t="s">
        <v>437</v>
      </c>
    </row>
    <row r="731" spans="1:20" x14ac:dyDescent="0.3">
      <c r="A731">
        <v>2921</v>
      </c>
      <c r="B731">
        <v>163211</v>
      </c>
      <c r="C731">
        <v>0</v>
      </c>
      <c r="D731">
        <v>0</v>
      </c>
      <c r="E731">
        <v>38</v>
      </c>
      <c r="F731">
        <v>0</v>
      </c>
      <c r="G731">
        <v>1</v>
      </c>
      <c r="H731">
        <v>0</v>
      </c>
      <c r="I731">
        <v>0</v>
      </c>
      <c r="J731">
        <v>0</v>
      </c>
      <c r="K731">
        <v>0</v>
      </c>
      <c r="L731">
        <v>1</v>
      </c>
      <c r="M731">
        <v>0</v>
      </c>
      <c r="N731">
        <v>0</v>
      </c>
      <c r="O731" t="str" cm="1">
        <f t="array" ref="O731">_xlfn.IFS(Table1[[#This Row],[Divorced]]=1, "Divorced", Table1[[#This Row],[Married]]=1, "Married", Table1[[#This Row],[Single]]=1, "Single", Table1[[#This Row],[Together]]=1, "Together", Table1[[#This Row],[Widow]]=1, "Widow")</f>
        <v>Married</v>
      </c>
      <c r="P731" t="str" cm="1">
        <f t="array" ref="P731">_xlfn.IFS(Table1[[#This Row],[Basic]]=1, "Basic", Table1[[#This Row],[Graduate]]=1, "Graduate", Table1[[#This Row],[Master]]=1, "Master", Table1[[#This Row],[PhD]]=1, "PhD", AND(Table1[[#This Row],[Basic]]=0, Table1[[#This Row],[Graduate]]=0, Table1[[#This Row],[Master]]=0, Table1[[#This Row],[PhD]]=0), "NA")</f>
        <v>Graduate</v>
      </c>
      <c r="Q731" t="e">
        <f>_xlfn.XLOOKUP(Table1[[#This Row],[ID]], Table2[ID],#REF!, "Not Found", 0)</f>
        <v>#REF!</v>
      </c>
      <c r="R731" t="e">
        <f>_xlfn.XLOOKUP(Table1[[#This Row],[ID]], Table2[ID],#REF!, "Not Found", 0)</f>
        <v>#REF!</v>
      </c>
      <c r="S731" s="3">
        <f>_xlfn.XLOOKUP(Table1[[#This Row],[ID]], Table2[ID], Table2[Enrollment], "Not Found", 0)</f>
        <v>43712</v>
      </c>
      <c r="T731" t="s">
        <v>434</v>
      </c>
    </row>
    <row r="732" spans="1:20" x14ac:dyDescent="0.3">
      <c r="A732">
        <v>2788</v>
      </c>
      <c r="B732">
        <v>163207</v>
      </c>
      <c r="C732">
        <v>0</v>
      </c>
      <c r="D732">
        <v>0</v>
      </c>
      <c r="E732">
        <v>28</v>
      </c>
      <c r="F732">
        <v>0</v>
      </c>
      <c r="G732">
        <v>0</v>
      </c>
      <c r="H732">
        <v>0</v>
      </c>
      <c r="I732">
        <v>1</v>
      </c>
      <c r="J732">
        <v>0</v>
      </c>
      <c r="K732">
        <v>0</v>
      </c>
      <c r="L732">
        <v>1</v>
      </c>
      <c r="M732">
        <v>0</v>
      </c>
      <c r="N732">
        <v>0</v>
      </c>
      <c r="O732" t="str" cm="1">
        <f t="array" ref="O732">_xlfn.IFS(Table1[[#This Row],[Divorced]]=1, "Divorced", Table1[[#This Row],[Married]]=1, "Married", Table1[[#This Row],[Single]]=1, "Single", Table1[[#This Row],[Together]]=1, "Together", Table1[[#This Row],[Widow]]=1, "Widow")</f>
        <v>Together</v>
      </c>
      <c r="P732" t="str" cm="1">
        <f t="array" ref="P732">_xlfn.IFS(Table1[[#This Row],[Basic]]=1, "Basic", Table1[[#This Row],[Graduate]]=1, "Graduate", Table1[[#This Row],[Master]]=1, "Master", Table1[[#This Row],[PhD]]=1, "PhD", AND(Table1[[#This Row],[Basic]]=0, Table1[[#This Row],[Graduate]]=0, Table1[[#This Row],[Master]]=0, Table1[[#This Row],[PhD]]=0), "NA")</f>
        <v>Graduate</v>
      </c>
      <c r="Q732" t="e">
        <f>_xlfn.XLOOKUP(Table1[[#This Row],[ID]], Table2[ID],#REF!, "Not Found", 0)</f>
        <v>#REF!</v>
      </c>
      <c r="R732" t="e">
        <f>_xlfn.XLOOKUP(Table1[[#This Row],[ID]], Table2[ID],#REF!, "Not Found", 0)</f>
        <v>#REF!</v>
      </c>
      <c r="S732" s="3" t="str">
        <f>_xlfn.XLOOKUP(Table1[[#This Row],[ID]], Table2[ID], Table2[Enrollment], "Not Found", 0)</f>
        <v>6/27/2019</v>
      </c>
      <c r="T732" t="s">
        <v>439</v>
      </c>
    </row>
    <row r="733" spans="1:20" x14ac:dyDescent="0.3">
      <c r="A733">
        <v>2481</v>
      </c>
      <c r="B733">
        <v>163206</v>
      </c>
      <c r="C733">
        <v>0</v>
      </c>
      <c r="D733">
        <v>0</v>
      </c>
      <c r="E733">
        <v>46</v>
      </c>
      <c r="F733">
        <v>0</v>
      </c>
      <c r="G733">
        <v>1</v>
      </c>
      <c r="H733">
        <v>0</v>
      </c>
      <c r="I733">
        <v>0</v>
      </c>
      <c r="J733">
        <v>0</v>
      </c>
      <c r="K733">
        <v>0</v>
      </c>
      <c r="L733">
        <v>0</v>
      </c>
      <c r="M733">
        <v>1</v>
      </c>
      <c r="N733">
        <v>0</v>
      </c>
      <c r="O733" t="str" cm="1">
        <f t="array" ref="O733">_xlfn.IFS(Table1[[#This Row],[Divorced]]=1, "Divorced", Table1[[#This Row],[Married]]=1, "Married", Table1[[#This Row],[Single]]=1, "Single", Table1[[#This Row],[Together]]=1, "Together", Table1[[#This Row],[Widow]]=1, "Widow")</f>
        <v>Married</v>
      </c>
      <c r="P733" t="str" cm="1">
        <f t="array" ref="P733">_xlfn.IFS(Table1[[#This Row],[Basic]]=1, "Basic", Table1[[#This Row],[Graduate]]=1, "Graduate", Table1[[#This Row],[Master]]=1, "Master", Table1[[#This Row],[PhD]]=1, "PhD", AND(Table1[[#This Row],[Basic]]=0, Table1[[#This Row],[Graduate]]=0, Table1[[#This Row],[Master]]=0, Table1[[#This Row],[PhD]]=0), "NA")</f>
        <v>Master</v>
      </c>
      <c r="Q733" t="e">
        <f>_xlfn.XLOOKUP(Table1[[#This Row],[ID]], Table2[ID],#REF!, "Not Found", 0)</f>
        <v>#REF!</v>
      </c>
      <c r="R733" t="e">
        <f>_xlfn.XLOOKUP(Table1[[#This Row],[ID]], Table2[ID],#REF!, "Not Found", 0)</f>
        <v>#REF!</v>
      </c>
      <c r="S733" s="3" t="str">
        <f>_xlfn.XLOOKUP(Table1[[#This Row],[ID]], Table2[ID], Table2[Enrollment], "Not Found", 0)</f>
        <v>8/24/2020</v>
      </c>
      <c r="T733" t="s">
        <v>435</v>
      </c>
    </row>
    <row r="734" spans="1:20" x14ac:dyDescent="0.3">
      <c r="A734">
        <v>2784</v>
      </c>
      <c r="B734">
        <v>163159</v>
      </c>
      <c r="C734">
        <v>0</v>
      </c>
      <c r="D734">
        <v>0</v>
      </c>
      <c r="E734">
        <v>46</v>
      </c>
      <c r="F734">
        <v>0</v>
      </c>
      <c r="G734">
        <v>0</v>
      </c>
      <c r="H734">
        <v>1</v>
      </c>
      <c r="I734">
        <v>0</v>
      </c>
      <c r="J734">
        <v>0</v>
      </c>
      <c r="K734">
        <v>0</v>
      </c>
      <c r="L734">
        <v>0</v>
      </c>
      <c r="M734">
        <v>0</v>
      </c>
      <c r="N734">
        <v>1</v>
      </c>
      <c r="O734" t="str" cm="1">
        <f t="array" ref="O734">_xlfn.IFS(Table1[[#This Row],[Divorced]]=1, "Divorced", Table1[[#This Row],[Married]]=1, "Married", Table1[[#This Row],[Single]]=1, "Single", Table1[[#This Row],[Together]]=1, "Together", Table1[[#This Row],[Widow]]=1, "Widow")</f>
        <v>Single</v>
      </c>
      <c r="P734" t="str" cm="1">
        <f t="array" ref="P734">_xlfn.IFS(Table1[[#This Row],[Basic]]=1, "Basic", Table1[[#This Row],[Graduate]]=1, "Graduate", Table1[[#This Row],[Master]]=1, "Master", Table1[[#This Row],[PhD]]=1, "PhD", AND(Table1[[#This Row],[Basic]]=0, Table1[[#This Row],[Graduate]]=0, Table1[[#This Row],[Master]]=0, Table1[[#This Row],[PhD]]=0), "NA")</f>
        <v>PhD</v>
      </c>
      <c r="Q734" t="e">
        <f>_xlfn.XLOOKUP(Table1[[#This Row],[ID]], Table2[ID],#REF!, "Not Found", 0)</f>
        <v>#REF!</v>
      </c>
      <c r="R734" t="e">
        <f>_xlfn.XLOOKUP(Table1[[#This Row],[ID]], Table2[ID],#REF!, "Not Found", 0)</f>
        <v>#REF!</v>
      </c>
      <c r="S734" s="3">
        <f>_xlfn.XLOOKUP(Table1[[#This Row],[ID]], Table2[ID], Table2[Enrollment], "Not Found", 0)</f>
        <v>43803</v>
      </c>
      <c r="T734" t="s">
        <v>436</v>
      </c>
    </row>
    <row r="735" spans="1:20" x14ac:dyDescent="0.3">
      <c r="A735">
        <v>1621</v>
      </c>
      <c r="B735">
        <v>163120</v>
      </c>
      <c r="C735">
        <v>0</v>
      </c>
      <c r="D735">
        <v>1</v>
      </c>
      <c r="E735">
        <v>70</v>
      </c>
      <c r="F735">
        <v>1</v>
      </c>
      <c r="G735">
        <v>0</v>
      </c>
      <c r="H735">
        <v>0</v>
      </c>
      <c r="I735">
        <v>0</v>
      </c>
      <c r="J735">
        <v>0</v>
      </c>
      <c r="K735">
        <v>0</v>
      </c>
      <c r="L735">
        <v>0</v>
      </c>
      <c r="M735">
        <v>1</v>
      </c>
      <c r="N735">
        <v>0</v>
      </c>
      <c r="O735" t="str" cm="1">
        <f t="array" ref="O735">_xlfn.IFS(Table1[[#This Row],[Divorced]]=1, "Divorced", Table1[[#This Row],[Married]]=1, "Married", Table1[[#This Row],[Single]]=1, "Single", Table1[[#This Row],[Together]]=1, "Together", Table1[[#This Row],[Widow]]=1, "Widow")</f>
        <v>Divorced</v>
      </c>
      <c r="P735" t="str" cm="1">
        <f t="array" ref="P735">_xlfn.IFS(Table1[[#This Row],[Basic]]=1, "Basic", Table1[[#This Row],[Graduate]]=1, "Graduate", Table1[[#This Row],[Master]]=1, "Master", Table1[[#This Row],[PhD]]=1, "PhD", AND(Table1[[#This Row],[Basic]]=0, Table1[[#This Row],[Graduate]]=0, Table1[[#This Row],[Master]]=0, Table1[[#This Row],[PhD]]=0), "NA")</f>
        <v>Master</v>
      </c>
      <c r="Q735" t="e">
        <f>_xlfn.XLOOKUP(Table1[[#This Row],[ID]], Table2[ID],#REF!, "Not Found", 0)</f>
        <v>#REF!</v>
      </c>
      <c r="R735" t="e">
        <f>_xlfn.XLOOKUP(Table1[[#This Row],[ID]], Table2[ID],#REF!, "Not Found", 0)</f>
        <v>#REF!</v>
      </c>
      <c r="S735" s="3">
        <f>_xlfn.XLOOKUP(Table1[[#This Row],[ID]], Table2[ID], Table2[Enrollment], "Not Found", 0)</f>
        <v>43588</v>
      </c>
      <c r="T735" t="s">
        <v>437</v>
      </c>
    </row>
    <row r="736" spans="1:20" x14ac:dyDescent="0.3">
      <c r="A736">
        <v>1012</v>
      </c>
      <c r="B736">
        <v>163033</v>
      </c>
      <c r="C736">
        <v>0</v>
      </c>
      <c r="D736">
        <v>0</v>
      </c>
      <c r="E736">
        <v>61</v>
      </c>
      <c r="F736">
        <v>1</v>
      </c>
      <c r="G736">
        <v>0</v>
      </c>
      <c r="H736">
        <v>0</v>
      </c>
      <c r="I736">
        <v>0</v>
      </c>
      <c r="J736">
        <v>0</v>
      </c>
      <c r="K736">
        <v>0</v>
      </c>
      <c r="L736">
        <v>1</v>
      </c>
      <c r="M736">
        <v>0</v>
      </c>
      <c r="N736">
        <v>0</v>
      </c>
      <c r="O736" t="str" cm="1">
        <f t="array" ref="O736">_xlfn.IFS(Table1[[#This Row],[Divorced]]=1, "Divorced", Table1[[#This Row],[Married]]=1, "Married", Table1[[#This Row],[Single]]=1, "Single", Table1[[#This Row],[Together]]=1, "Together", Table1[[#This Row],[Widow]]=1, "Widow")</f>
        <v>Divorced</v>
      </c>
      <c r="P736" t="str" cm="1">
        <f t="array" ref="P736">_xlfn.IFS(Table1[[#This Row],[Basic]]=1, "Basic", Table1[[#This Row],[Graduate]]=1, "Graduate", Table1[[#This Row],[Master]]=1, "Master", Table1[[#This Row],[PhD]]=1, "PhD", AND(Table1[[#This Row],[Basic]]=0, Table1[[#This Row],[Graduate]]=0, Table1[[#This Row],[Master]]=0, Table1[[#This Row],[PhD]]=0), "NA")</f>
        <v>Graduate</v>
      </c>
      <c r="Q736" t="e">
        <f>_xlfn.XLOOKUP(Table1[[#This Row],[ID]], Table2[ID],#REF!, "Not Found", 0)</f>
        <v>#REF!</v>
      </c>
      <c r="R736" t="e">
        <f>_xlfn.XLOOKUP(Table1[[#This Row],[ID]], Table2[ID],#REF!, "Not Found", 0)</f>
        <v>#REF!</v>
      </c>
      <c r="S736" s="3" t="str">
        <f>_xlfn.XLOOKUP(Table1[[#This Row],[ID]], Table2[ID], Table2[Enrollment], "Not Found", 0)</f>
        <v>4/21/2020</v>
      </c>
      <c r="T736" t="s">
        <v>439</v>
      </c>
    </row>
    <row r="737" spans="1:20" x14ac:dyDescent="0.3">
      <c r="A737">
        <v>1121</v>
      </c>
      <c r="B737">
        <v>162998</v>
      </c>
      <c r="C737">
        <v>0</v>
      </c>
      <c r="D737">
        <v>1</v>
      </c>
      <c r="E737">
        <v>68</v>
      </c>
      <c r="F737">
        <v>0</v>
      </c>
      <c r="G737">
        <v>1</v>
      </c>
      <c r="H737">
        <v>0</v>
      </c>
      <c r="I737">
        <v>0</v>
      </c>
      <c r="J737">
        <v>0</v>
      </c>
      <c r="K737">
        <v>0</v>
      </c>
      <c r="L737">
        <v>1</v>
      </c>
      <c r="M737">
        <v>0</v>
      </c>
      <c r="N737">
        <v>0</v>
      </c>
      <c r="O737" t="str" cm="1">
        <f t="array" ref="O737">_xlfn.IFS(Table1[[#This Row],[Divorced]]=1, "Divorced", Table1[[#This Row],[Married]]=1, "Married", Table1[[#This Row],[Single]]=1, "Single", Table1[[#This Row],[Together]]=1, "Together", Table1[[#This Row],[Widow]]=1, "Widow")</f>
        <v>Married</v>
      </c>
      <c r="P737" t="str" cm="1">
        <f t="array" ref="P737">_xlfn.IFS(Table1[[#This Row],[Basic]]=1, "Basic", Table1[[#This Row],[Graduate]]=1, "Graduate", Table1[[#This Row],[Master]]=1, "Master", Table1[[#This Row],[PhD]]=1, "PhD", AND(Table1[[#This Row],[Basic]]=0, Table1[[#This Row],[Graduate]]=0, Table1[[#This Row],[Master]]=0, Table1[[#This Row],[PhD]]=0), "NA")</f>
        <v>Graduate</v>
      </c>
      <c r="Q737" t="e">
        <f>_xlfn.XLOOKUP(Table1[[#This Row],[ID]], Table2[ID],#REF!, "Not Found", 0)</f>
        <v>#REF!</v>
      </c>
      <c r="R737" t="e">
        <f>_xlfn.XLOOKUP(Table1[[#This Row],[ID]], Table2[ID],#REF!, "Not Found", 0)</f>
        <v>#REF!</v>
      </c>
      <c r="S737" s="3">
        <f>_xlfn.XLOOKUP(Table1[[#This Row],[ID]], Table2[ID], Table2[Enrollment], "Not Found", 0)</f>
        <v>43985</v>
      </c>
      <c r="T737" t="s">
        <v>434</v>
      </c>
    </row>
    <row r="738" spans="1:20" x14ac:dyDescent="0.3">
      <c r="A738">
        <v>3129</v>
      </c>
      <c r="B738">
        <v>162994</v>
      </c>
      <c r="C738">
        <v>1</v>
      </c>
      <c r="D738">
        <v>0</v>
      </c>
      <c r="E738">
        <v>40</v>
      </c>
      <c r="F738">
        <v>0</v>
      </c>
      <c r="G738">
        <v>0</v>
      </c>
      <c r="H738">
        <v>0</v>
      </c>
      <c r="I738">
        <v>1</v>
      </c>
      <c r="J738">
        <v>0</v>
      </c>
      <c r="K738">
        <v>0</v>
      </c>
      <c r="L738">
        <v>1</v>
      </c>
      <c r="M738">
        <v>0</v>
      </c>
      <c r="N738">
        <v>0</v>
      </c>
      <c r="O738" t="str" cm="1">
        <f t="array" ref="O738">_xlfn.IFS(Table1[[#This Row],[Divorced]]=1, "Divorced", Table1[[#This Row],[Married]]=1, "Married", Table1[[#This Row],[Single]]=1, "Single", Table1[[#This Row],[Together]]=1, "Together", Table1[[#This Row],[Widow]]=1, "Widow")</f>
        <v>Together</v>
      </c>
      <c r="P738" t="str" cm="1">
        <f t="array" ref="P738">_xlfn.IFS(Table1[[#This Row],[Basic]]=1, "Basic", Table1[[#This Row],[Graduate]]=1, "Graduate", Table1[[#This Row],[Master]]=1, "Master", Table1[[#This Row],[PhD]]=1, "PhD", AND(Table1[[#This Row],[Basic]]=0, Table1[[#This Row],[Graduate]]=0, Table1[[#This Row],[Master]]=0, Table1[[#This Row],[PhD]]=0), "NA")</f>
        <v>Graduate</v>
      </c>
      <c r="Q738" t="e">
        <f>_xlfn.XLOOKUP(Table1[[#This Row],[ID]], Table2[ID],#REF!, "Not Found", 0)</f>
        <v>#REF!</v>
      </c>
      <c r="R738" t="e">
        <f>_xlfn.XLOOKUP(Table1[[#This Row],[ID]], Table2[ID],#REF!, "Not Found", 0)</f>
        <v>#REF!</v>
      </c>
      <c r="S738" s="3">
        <f>_xlfn.XLOOKUP(Table1[[#This Row],[ID]], Table2[ID], Table2[Enrollment], "Not Found", 0)</f>
        <v>44051</v>
      </c>
      <c r="T738" t="s">
        <v>435</v>
      </c>
    </row>
    <row r="739" spans="1:20" x14ac:dyDescent="0.3">
      <c r="A739">
        <v>1125</v>
      </c>
      <c r="B739">
        <v>162981</v>
      </c>
      <c r="C739">
        <v>0</v>
      </c>
      <c r="D739">
        <v>0</v>
      </c>
      <c r="E739">
        <v>53</v>
      </c>
      <c r="F739">
        <v>0</v>
      </c>
      <c r="G739">
        <v>0</v>
      </c>
      <c r="H739">
        <v>0</v>
      </c>
      <c r="I739">
        <v>1</v>
      </c>
      <c r="J739">
        <v>0</v>
      </c>
      <c r="K739">
        <v>0</v>
      </c>
      <c r="L739">
        <v>0</v>
      </c>
      <c r="M739">
        <v>0</v>
      </c>
      <c r="N739">
        <v>1</v>
      </c>
      <c r="O739" t="str" cm="1">
        <f t="array" ref="O739">_xlfn.IFS(Table1[[#This Row],[Divorced]]=1, "Divorced", Table1[[#This Row],[Married]]=1, "Married", Table1[[#This Row],[Single]]=1, "Single", Table1[[#This Row],[Together]]=1, "Together", Table1[[#This Row],[Widow]]=1, "Widow")</f>
        <v>Together</v>
      </c>
      <c r="P739" t="str" cm="1">
        <f t="array" ref="P739">_xlfn.IFS(Table1[[#This Row],[Basic]]=1, "Basic", Table1[[#This Row],[Graduate]]=1, "Graduate", Table1[[#This Row],[Master]]=1, "Master", Table1[[#This Row],[PhD]]=1, "PhD", AND(Table1[[#This Row],[Basic]]=0, Table1[[#This Row],[Graduate]]=0, Table1[[#This Row],[Master]]=0, Table1[[#This Row],[PhD]]=0), "NA")</f>
        <v>PhD</v>
      </c>
      <c r="Q739" t="e">
        <f>_xlfn.XLOOKUP(Table1[[#This Row],[ID]], Table2[ID],#REF!, "Not Found", 0)</f>
        <v>#REF!</v>
      </c>
      <c r="R739" t="e">
        <f>_xlfn.XLOOKUP(Table1[[#This Row],[ID]], Table2[ID],#REF!, "Not Found", 0)</f>
        <v>#REF!</v>
      </c>
      <c r="S739" s="3" t="str">
        <f>_xlfn.XLOOKUP(Table1[[#This Row],[ID]], Table2[ID], Table2[Enrollment], "Not Found", 0)</f>
        <v>8/22/2019</v>
      </c>
      <c r="T739" t="s">
        <v>435</v>
      </c>
    </row>
    <row r="740" spans="1:20" x14ac:dyDescent="0.3">
      <c r="A740">
        <v>2237</v>
      </c>
      <c r="B740">
        <v>162972</v>
      </c>
      <c r="C740">
        <v>0</v>
      </c>
      <c r="D740">
        <v>1</v>
      </c>
      <c r="E740">
        <v>65</v>
      </c>
      <c r="F740">
        <v>0</v>
      </c>
      <c r="G740">
        <v>1</v>
      </c>
      <c r="H740">
        <v>0</v>
      </c>
      <c r="I740">
        <v>0</v>
      </c>
      <c r="J740">
        <v>0</v>
      </c>
      <c r="K740">
        <v>0</v>
      </c>
      <c r="L740">
        <v>0</v>
      </c>
      <c r="M740">
        <v>0</v>
      </c>
      <c r="N740">
        <v>0</v>
      </c>
      <c r="O740" t="str" cm="1">
        <f t="array" ref="O740">_xlfn.IFS(Table1[[#This Row],[Divorced]]=1, "Divorced", Table1[[#This Row],[Married]]=1, "Married", Table1[[#This Row],[Single]]=1, "Single", Table1[[#This Row],[Together]]=1, "Together", Table1[[#This Row],[Widow]]=1, "Widow")</f>
        <v>Married</v>
      </c>
      <c r="P740" t="str" cm="1">
        <f t="array" ref="P740">_xlfn.IFS(Table1[[#This Row],[Basic]]=1, "Basic", Table1[[#This Row],[Graduate]]=1, "Graduate", Table1[[#This Row],[Master]]=1, "Master", Table1[[#This Row],[PhD]]=1, "PhD", AND(Table1[[#This Row],[Basic]]=0, Table1[[#This Row],[Graduate]]=0, Table1[[#This Row],[Master]]=0, Table1[[#This Row],[PhD]]=0), "NA")</f>
        <v>NA</v>
      </c>
      <c r="Q740" t="e">
        <f>_xlfn.XLOOKUP(Table1[[#This Row],[ID]], Table2[ID],#REF!, "Not Found", 0)</f>
        <v>#REF!</v>
      </c>
      <c r="R740" t="e">
        <f>_xlfn.XLOOKUP(Table1[[#This Row],[ID]], Table2[ID],#REF!, "Not Found", 0)</f>
        <v>#REF!</v>
      </c>
      <c r="S740" s="3">
        <f>_xlfn.XLOOKUP(Table1[[#This Row],[ID]], Table2[ID], Table2[Enrollment], "Not Found", 0)</f>
        <v>43678</v>
      </c>
      <c r="T740" t="s">
        <v>434</v>
      </c>
    </row>
    <row r="741" spans="1:20" x14ac:dyDescent="0.3">
      <c r="A741">
        <v>2813</v>
      </c>
      <c r="B741">
        <v>162972</v>
      </c>
      <c r="C741">
        <v>0</v>
      </c>
      <c r="D741">
        <v>1</v>
      </c>
      <c r="E741">
        <v>65</v>
      </c>
      <c r="F741">
        <v>0</v>
      </c>
      <c r="G741">
        <v>1</v>
      </c>
      <c r="H741">
        <v>0</v>
      </c>
      <c r="I741">
        <v>0</v>
      </c>
      <c r="J741">
        <v>0</v>
      </c>
      <c r="K741">
        <v>0</v>
      </c>
      <c r="L741">
        <v>0</v>
      </c>
      <c r="M741">
        <v>0</v>
      </c>
      <c r="N741">
        <v>0</v>
      </c>
      <c r="O741" t="str" cm="1">
        <f t="array" ref="O741">_xlfn.IFS(Table1[[#This Row],[Divorced]]=1, "Divorced", Table1[[#This Row],[Married]]=1, "Married", Table1[[#This Row],[Single]]=1, "Single", Table1[[#This Row],[Together]]=1, "Together", Table1[[#This Row],[Widow]]=1, "Widow")</f>
        <v>Married</v>
      </c>
      <c r="P741" t="str" cm="1">
        <f t="array" ref="P741">_xlfn.IFS(Table1[[#This Row],[Basic]]=1, "Basic", Table1[[#This Row],[Graduate]]=1, "Graduate", Table1[[#This Row],[Master]]=1, "Master", Table1[[#This Row],[PhD]]=1, "PhD", AND(Table1[[#This Row],[Basic]]=0, Table1[[#This Row],[Graduate]]=0, Table1[[#This Row],[Master]]=0, Table1[[#This Row],[PhD]]=0), "NA")</f>
        <v>NA</v>
      </c>
      <c r="Q741" t="e">
        <f>_xlfn.XLOOKUP(Table1[[#This Row],[ID]], Table2[ID],#REF!, "Not Found", 0)</f>
        <v>#REF!</v>
      </c>
      <c r="R741" t="e">
        <f>_xlfn.XLOOKUP(Table1[[#This Row],[ID]], Table2[ID],#REF!, "Not Found", 0)</f>
        <v>#REF!</v>
      </c>
      <c r="S741" s="3">
        <f>_xlfn.XLOOKUP(Table1[[#This Row],[ID]], Table2[ID], Table2[Enrollment], "Not Found", 0)</f>
        <v>43678</v>
      </c>
      <c r="T741" t="s">
        <v>434</v>
      </c>
    </row>
    <row r="742" spans="1:20" x14ac:dyDescent="0.3">
      <c r="A742">
        <v>2735</v>
      </c>
      <c r="B742">
        <v>162905</v>
      </c>
      <c r="C742">
        <v>0</v>
      </c>
      <c r="D742">
        <v>1</v>
      </c>
      <c r="E742">
        <v>56</v>
      </c>
      <c r="F742">
        <v>0</v>
      </c>
      <c r="G742">
        <v>1</v>
      </c>
      <c r="H742">
        <v>0</v>
      </c>
      <c r="I742">
        <v>0</v>
      </c>
      <c r="J742">
        <v>0</v>
      </c>
      <c r="K742">
        <v>0</v>
      </c>
      <c r="L742">
        <v>0</v>
      </c>
      <c r="M742">
        <v>0</v>
      </c>
      <c r="N742">
        <v>0</v>
      </c>
      <c r="O742" t="str" cm="1">
        <f t="array" ref="O742">_xlfn.IFS(Table1[[#This Row],[Divorced]]=1, "Divorced", Table1[[#This Row],[Married]]=1, "Married", Table1[[#This Row],[Single]]=1, "Single", Table1[[#This Row],[Together]]=1, "Together", Table1[[#This Row],[Widow]]=1, "Widow")</f>
        <v>Married</v>
      </c>
      <c r="P742" t="str" cm="1">
        <f t="array" ref="P742">_xlfn.IFS(Table1[[#This Row],[Basic]]=1, "Basic", Table1[[#This Row],[Graduate]]=1, "Graduate", Table1[[#This Row],[Master]]=1, "Master", Table1[[#This Row],[PhD]]=1, "PhD", AND(Table1[[#This Row],[Basic]]=0, Table1[[#This Row],[Graduate]]=0, Table1[[#This Row],[Master]]=0, Table1[[#This Row],[PhD]]=0), "NA")</f>
        <v>NA</v>
      </c>
      <c r="Q742" t="e">
        <f>_xlfn.XLOOKUP(Table1[[#This Row],[ID]], Table2[ID],#REF!, "Not Found", 0)</f>
        <v>#REF!</v>
      </c>
      <c r="R742" t="e">
        <f>_xlfn.XLOOKUP(Table1[[#This Row],[ID]], Table2[ID],#REF!, "Not Found", 0)</f>
        <v>#REF!</v>
      </c>
      <c r="S742" s="3" t="str">
        <f>_xlfn.XLOOKUP(Table1[[#This Row],[ID]], Table2[ID], Table2[Enrollment], "Not Found", 0)</f>
        <v>2/15/2020</v>
      </c>
      <c r="T742" t="s">
        <v>434</v>
      </c>
    </row>
    <row r="743" spans="1:20" x14ac:dyDescent="0.3">
      <c r="A743">
        <v>1720</v>
      </c>
      <c r="B743">
        <v>162882</v>
      </c>
      <c r="C743">
        <v>0</v>
      </c>
      <c r="D743">
        <v>1</v>
      </c>
      <c r="E743">
        <v>51</v>
      </c>
      <c r="F743">
        <v>0</v>
      </c>
      <c r="G743">
        <v>0</v>
      </c>
      <c r="H743">
        <v>0</v>
      </c>
      <c r="I743">
        <v>1</v>
      </c>
      <c r="J743">
        <v>0</v>
      </c>
      <c r="K743">
        <v>0</v>
      </c>
      <c r="L743">
        <v>1</v>
      </c>
      <c r="M743">
        <v>0</v>
      </c>
      <c r="N743">
        <v>0</v>
      </c>
      <c r="O743" t="str" cm="1">
        <f t="array" ref="O743">_xlfn.IFS(Table1[[#This Row],[Divorced]]=1, "Divorced", Table1[[#This Row],[Married]]=1, "Married", Table1[[#This Row],[Single]]=1, "Single", Table1[[#This Row],[Together]]=1, "Together", Table1[[#This Row],[Widow]]=1, "Widow")</f>
        <v>Together</v>
      </c>
      <c r="P743" t="str" cm="1">
        <f t="array" ref="P743">_xlfn.IFS(Table1[[#This Row],[Basic]]=1, "Basic", Table1[[#This Row],[Graduate]]=1, "Graduate", Table1[[#This Row],[Master]]=1, "Master", Table1[[#This Row],[PhD]]=1, "PhD", AND(Table1[[#This Row],[Basic]]=0, Table1[[#This Row],[Graduate]]=0, Table1[[#This Row],[Master]]=0, Table1[[#This Row],[PhD]]=0), "NA")</f>
        <v>Graduate</v>
      </c>
      <c r="Q743" t="e">
        <f>_xlfn.XLOOKUP(Table1[[#This Row],[ID]], Table2[ID],#REF!, "Not Found", 0)</f>
        <v>#REF!</v>
      </c>
      <c r="R743" t="e">
        <f>_xlfn.XLOOKUP(Table1[[#This Row],[ID]], Table2[ID],#REF!, "Not Found", 0)</f>
        <v>#REF!</v>
      </c>
      <c r="S743" s="3" t="str">
        <f>_xlfn.XLOOKUP(Table1[[#This Row],[ID]], Table2[ID], Table2[Enrollment], "Not Found", 0)</f>
        <v>1/14/2019</v>
      </c>
      <c r="T743" t="s">
        <v>439</v>
      </c>
    </row>
    <row r="744" spans="1:20" x14ac:dyDescent="0.3">
      <c r="A744">
        <v>3214</v>
      </c>
      <c r="B744">
        <v>162868</v>
      </c>
      <c r="C744">
        <v>0</v>
      </c>
      <c r="D744">
        <v>0</v>
      </c>
      <c r="E744">
        <v>34</v>
      </c>
      <c r="F744">
        <v>0</v>
      </c>
      <c r="G744">
        <v>0</v>
      </c>
      <c r="H744">
        <v>1</v>
      </c>
      <c r="I744">
        <v>0</v>
      </c>
      <c r="J744">
        <v>0</v>
      </c>
      <c r="K744">
        <v>0</v>
      </c>
      <c r="L744">
        <v>1</v>
      </c>
      <c r="M744">
        <v>0</v>
      </c>
      <c r="N744">
        <v>0</v>
      </c>
      <c r="O744" t="str" cm="1">
        <f t="array" ref="O744">_xlfn.IFS(Table1[[#This Row],[Divorced]]=1, "Divorced", Table1[[#This Row],[Married]]=1, "Married", Table1[[#This Row],[Single]]=1, "Single", Table1[[#This Row],[Together]]=1, "Together", Table1[[#This Row],[Widow]]=1, "Widow")</f>
        <v>Single</v>
      </c>
      <c r="P744" t="str" cm="1">
        <f t="array" ref="P744">_xlfn.IFS(Table1[[#This Row],[Basic]]=1, "Basic", Table1[[#This Row],[Graduate]]=1, "Graduate", Table1[[#This Row],[Master]]=1, "Master", Table1[[#This Row],[PhD]]=1, "PhD", AND(Table1[[#This Row],[Basic]]=0, Table1[[#This Row],[Graduate]]=0, Table1[[#This Row],[Master]]=0, Table1[[#This Row],[PhD]]=0), "NA")</f>
        <v>Graduate</v>
      </c>
      <c r="Q744" t="e">
        <f>_xlfn.XLOOKUP(Table1[[#This Row],[ID]], Table2[ID],#REF!, "Not Found", 0)</f>
        <v>#REF!</v>
      </c>
      <c r="R744" t="e">
        <f>_xlfn.XLOOKUP(Table1[[#This Row],[ID]], Table2[ID],#REF!, "Not Found", 0)</f>
        <v>#REF!</v>
      </c>
      <c r="S744" s="3" t="str">
        <f>_xlfn.XLOOKUP(Table1[[#This Row],[ID]], Table2[ID], Table2[Enrollment], "Not Found", 0)</f>
        <v>1/22/2019</v>
      </c>
      <c r="T744" t="s">
        <v>439</v>
      </c>
    </row>
    <row r="745" spans="1:20" x14ac:dyDescent="0.3">
      <c r="A745">
        <v>1625</v>
      </c>
      <c r="B745">
        <v>162859</v>
      </c>
      <c r="C745">
        <v>0</v>
      </c>
      <c r="D745">
        <v>1</v>
      </c>
      <c r="E745">
        <v>61</v>
      </c>
      <c r="F745">
        <v>1</v>
      </c>
      <c r="G745">
        <v>0</v>
      </c>
      <c r="H745">
        <v>0</v>
      </c>
      <c r="I745">
        <v>0</v>
      </c>
      <c r="J745">
        <v>0</v>
      </c>
      <c r="K745">
        <v>0</v>
      </c>
      <c r="L745">
        <v>0</v>
      </c>
      <c r="M745">
        <v>0</v>
      </c>
      <c r="N745">
        <v>1</v>
      </c>
      <c r="O745" t="str" cm="1">
        <f t="array" ref="O745">_xlfn.IFS(Table1[[#This Row],[Divorced]]=1, "Divorced", Table1[[#This Row],[Married]]=1, "Married", Table1[[#This Row],[Single]]=1, "Single", Table1[[#This Row],[Together]]=1, "Together", Table1[[#This Row],[Widow]]=1, "Widow")</f>
        <v>Divorced</v>
      </c>
      <c r="P745" t="str" cm="1">
        <f t="array" ref="P745">_xlfn.IFS(Table1[[#This Row],[Basic]]=1, "Basic", Table1[[#This Row],[Graduate]]=1, "Graduate", Table1[[#This Row],[Master]]=1, "Master", Table1[[#This Row],[PhD]]=1, "PhD", AND(Table1[[#This Row],[Basic]]=0, Table1[[#This Row],[Graduate]]=0, Table1[[#This Row],[Master]]=0, Table1[[#This Row],[PhD]]=0), "NA")</f>
        <v>PhD</v>
      </c>
      <c r="Q745" t="e">
        <f>_xlfn.XLOOKUP(Table1[[#This Row],[ID]], Table2[ID],#REF!, "Not Found", 0)</f>
        <v>#REF!</v>
      </c>
      <c r="R745" t="e">
        <f>_xlfn.XLOOKUP(Table1[[#This Row],[ID]], Table2[ID],#REF!, "Not Found", 0)</f>
        <v>#REF!</v>
      </c>
      <c r="S745" s="3">
        <f>_xlfn.XLOOKUP(Table1[[#This Row],[ID]], Table2[ID], Table2[Enrollment], "Not Found", 0)</f>
        <v>43622</v>
      </c>
      <c r="T745" t="s">
        <v>434</v>
      </c>
    </row>
    <row r="746" spans="1:20" x14ac:dyDescent="0.3">
      <c r="A746">
        <v>1771</v>
      </c>
      <c r="B746">
        <v>162847</v>
      </c>
      <c r="C746">
        <v>0</v>
      </c>
      <c r="D746">
        <v>0</v>
      </c>
      <c r="E746">
        <v>75</v>
      </c>
      <c r="F746">
        <v>0</v>
      </c>
      <c r="G746">
        <v>0</v>
      </c>
      <c r="H746">
        <v>0</v>
      </c>
      <c r="I746">
        <v>1</v>
      </c>
      <c r="J746">
        <v>0</v>
      </c>
      <c r="K746">
        <v>0</v>
      </c>
      <c r="L746">
        <v>0</v>
      </c>
      <c r="M746">
        <v>1</v>
      </c>
      <c r="N746">
        <v>0</v>
      </c>
      <c r="O746" t="str" cm="1">
        <f t="array" ref="O746">_xlfn.IFS(Table1[[#This Row],[Divorced]]=1, "Divorced", Table1[[#This Row],[Married]]=1, "Married", Table1[[#This Row],[Single]]=1, "Single", Table1[[#This Row],[Together]]=1, "Together", Table1[[#This Row],[Widow]]=1, "Widow")</f>
        <v>Together</v>
      </c>
      <c r="P746" t="str" cm="1">
        <f t="array" ref="P746">_xlfn.IFS(Table1[[#This Row],[Basic]]=1, "Basic", Table1[[#This Row],[Graduate]]=1, "Graduate", Table1[[#This Row],[Master]]=1, "Master", Table1[[#This Row],[PhD]]=1, "PhD", AND(Table1[[#This Row],[Basic]]=0, Table1[[#This Row],[Graduate]]=0, Table1[[#This Row],[Master]]=0, Table1[[#This Row],[PhD]]=0), "NA")</f>
        <v>Master</v>
      </c>
      <c r="Q746" t="e">
        <f>_xlfn.XLOOKUP(Table1[[#This Row],[ID]], Table2[ID],#REF!, "Not Found", 0)</f>
        <v>#REF!</v>
      </c>
      <c r="R746" t="e">
        <f>_xlfn.XLOOKUP(Table1[[#This Row],[ID]], Table2[ID],#REF!, "Not Found", 0)</f>
        <v>#REF!</v>
      </c>
      <c r="S746" s="3" t="str">
        <f>_xlfn.XLOOKUP(Table1[[#This Row],[ID]], Table2[ID], Table2[Enrollment], "Not Found", 0)</f>
        <v>6/22/2019</v>
      </c>
      <c r="T746" t="s">
        <v>437</v>
      </c>
    </row>
    <row r="747" spans="1:20" x14ac:dyDescent="0.3">
      <c r="A747">
        <v>2041</v>
      </c>
      <c r="B747">
        <v>162845</v>
      </c>
      <c r="C747">
        <v>1</v>
      </c>
      <c r="D747">
        <v>1</v>
      </c>
      <c r="E747">
        <v>71</v>
      </c>
      <c r="F747">
        <v>0</v>
      </c>
      <c r="G747">
        <v>1</v>
      </c>
      <c r="H747">
        <v>0</v>
      </c>
      <c r="I747">
        <v>0</v>
      </c>
      <c r="J747">
        <v>0</v>
      </c>
      <c r="K747">
        <v>0</v>
      </c>
      <c r="L747">
        <v>0</v>
      </c>
      <c r="M747">
        <v>1</v>
      </c>
      <c r="N747">
        <v>0</v>
      </c>
      <c r="O747" t="str" cm="1">
        <f t="array" ref="O747">_xlfn.IFS(Table1[[#This Row],[Divorced]]=1, "Divorced", Table1[[#This Row],[Married]]=1, "Married", Table1[[#This Row],[Single]]=1, "Single", Table1[[#This Row],[Together]]=1, "Together", Table1[[#This Row],[Widow]]=1, "Widow")</f>
        <v>Married</v>
      </c>
      <c r="P747" t="str" cm="1">
        <f t="array" ref="P747">_xlfn.IFS(Table1[[#This Row],[Basic]]=1, "Basic", Table1[[#This Row],[Graduate]]=1, "Graduate", Table1[[#This Row],[Master]]=1, "Master", Table1[[#This Row],[PhD]]=1, "PhD", AND(Table1[[#This Row],[Basic]]=0, Table1[[#This Row],[Graduate]]=0, Table1[[#This Row],[Master]]=0, Table1[[#This Row],[PhD]]=0), "NA")</f>
        <v>Master</v>
      </c>
      <c r="Q747" t="e">
        <f>_xlfn.XLOOKUP(Table1[[#This Row],[ID]], Table2[ID],#REF!, "Not Found", 0)</f>
        <v>#REF!</v>
      </c>
      <c r="R747" t="e">
        <f>_xlfn.XLOOKUP(Table1[[#This Row],[ID]], Table2[ID],#REF!, "Not Found", 0)</f>
        <v>#REF!</v>
      </c>
      <c r="S747" s="3">
        <f>_xlfn.XLOOKUP(Table1[[#This Row],[ID]], Table2[ID], Table2[Enrollment], "Not Found", 0)</f>
        <v>43680</v>
      </c>
      <c r="T747" t="s">
        <v>437</v>
      </c>
    </row>
    <row r="748" spans="1:20" x14ac:dyDescent="0.3">
      <c r="A748">
        <v>2322</v>
      </c>
      <c r="B748">
        <v>162845</v>
      </c>
      <c r="C748">
        <v>1</v>
      </c>
      <c r="D748">
        <v>1</v>
      </c>
      <c r="E748">
        <v>71</v>
      </c>
      <c r="F748">
        <v>0</v>
      </c>
      <c r="G748">
        <v>1</v>
      </c>
      <c r="H748">
        <v>0</v>
      </c>
      <c r="I748">
        <v>0</v>
      </c>
      <c r="J748">
        <v>0</v>
      </c>
      <c r="K748">
        <v>0</v>
      </c>
      <c r="L748">
        <v>0</v>
      </c>
      <c r="M748">
        <v>1</v>
      </c>
      <c r="N748">
        <v>0</v>
      </c>
      <c r="O748" t="str" cm="1">
        <f t="array" ref="O748">_xlfn.IFS(Table1[[#This Row],[Divorced]]=1, "Divorced", Table1[[#This Row],[Married]]=1, "Married", Table1[[#This Row],[Single]]=1, "Single", Table1[[#This Row],[Together]]=1, "Together", Table1[[#This Row],[Widow]]=1, "Widow")</f>
        <v>Married</v>
      </c>
      <c r="P748" t="str" cm="1">
        <f t="array" ref="P748">_xlfn.IFS(Table1[[#This Row],[Basic]]=1, "Basic", Table1[[#This Row],[Graduate]]=1, "Graduate", Table1[[#This Row],[Master]]=1, "Master", Table1[[#This Row],[PhD]]=1, "PhD", AND(Table1[[#This Row],[Basic]]=0, Table1[[#This Row],[Graduate]]=0, Table1[[#This Row],[Master]]=0, Table1[[#This Row],[PhD]]=0), "NA")</f>
        <v>Master</v>
      </c>
      <c r="Q748" t="e">
        <f>_xlfn.XLOOKUP(Table1[[#This Row],[ID]], Table2[ID],#REF!, "Not Found", 0)</f>
        <v>#REF!</v>
      </c>
      <c r="R748" t="e">
        <f>_xlfn.XLOOKUP(Table1[[#This Row],[ID]], Table2[ID],#REF!, "Not Found", 0)</f>
        <v>#REF!</v>
      </c>
      <c r="S748" s="3">
        <f>_xlfn.XLOOKUP(Table1[[#This Row],[ID]], Table2[ID], Table2[Enrollment], "Not Found", 0)</f>
        <v>43680</v>
      </c>
      <c r="T748" t="s">
        <v>436</v>
      </c>
    </row>
    <row r="749" spans="1:20" x14ac:dyDescent="0.3">
      <c r="A749">
        <v>1896</v>
      </c>
      <c r="B749">
        <v>162820</v>
      </c>
      <c r="C749">
        <v>0</v>
      </c>
      <c r="D749">
        <v>0</v>
      </c>
      <c r="E749">
        <v>66</v>
      </c>
      <c r="F749">
        <v>0</v>
      </c>
      <c r="G749">
        <v>1</v>
      </c>
      <c r="H749">
        <v>0</v>
      </c>
      <c r="I749">
        <v>0</v>
      </c>
      <c r="J749">
        <v>0</v>
      </c>
      <c r="K749">
        <v>0</v>
      </c>
      <c r="L749">
        <v>1</v>
      </c>
      <c r="M749">
        <v>0</v>
      </c>
      <c r="N749">
        <v>0</v>
      </c>
      <c r="O749" t="str" cm="1">
        <f t="array" ref="O749">_xlfn.IFS(Table1[[#This Row],[Divorced]]=1, "Divorced", Table1[[#This Row],[Married]]=1, "Married", Table1[[#This Row],[Single]]=1, "Single", Table1[[#This Row],[Together]]=1, "Together", Table1[[#This Row],[Widow]]=1, "Widow")</f>
        <v>Married</v>
      </c>
      <c r="P749" t="str" cm="1">
        <f t="array" ref="P749">_xlfn.IFS(Table1[[#This Row],[Basic]]=1, "Basic", Table1[[#This Row],[Graduate]]=1, "Graduate", Table1[[#This Row],[Master]]=1, "Master", Table1[[#This Row],[PhD]]=1, "PhD", AND(Table1[[#This Row],[Basic]]=0, Table1[[#This Row],[Graduate]]=0, Table1[[#This Row],[Master]]=0, Table1[[#This Row],[PhD]]=0), "NA")</f>
        <v>Graduate</v>
      </c>
      <c r="Q749" t="e">
        <f>_xlfn.XLOOKUP(Table1[[#This Row],[ID]], Table2[ID],#REF!, "Not Found", 0)</f>
        <v>#REF!</v>
      </c>
      <c r="R749" t="e">
        <f>_xlfn.XLOOKUP(Table1[[#This Row],[ID]], Table2[ID],#REF!, "Not Found", 0)</f>
        <v>#REF!</v>
      </c>
      <c r="S749" s="3" t="str">
        <f>_xlfn.XLOOKUP(Table1[[#This Row],[ID]], Table2[ID], Table2[Enrollment], "Not Found", 0)</f>
        <v>10/16/2019</v>
      </c>
      <c r="T749" t="s">
        <v>436</v>
      </c>
    </row>
    <row r="750" spans="1:20" x14ac:dyDescent="0.3">
      <c r="A750">
        <v>2880</v>
      </c>
      <c r="B750">
        <v>162820</v>
      </c>
      <c r="C750">
        <v>0</v>
      </c>
      <c r="D750">
        <v>0</v>
      </c>
      <c r="E750">
        <v>66</v>
      </c>
      <c r="F750">
        <v>0</v>
      </c>
      <c r="G750">
        <v>1</v>
      </c>
      <c r="H750">
        <v>0</v>
      </c>
      <c r="I750">
        <v>0</v>
      </c>
      <c r="J750">
        <v>0</v>
      </c>
      <c r="K750">
        <v>0</v>
      </c>
      <c r="L750">
        <v>1</v>
      </c>
      <c r="M750">
        <v>0</v>
      </c>
      <c r="N750">
        <v>0</v>
      </c>
      <c r="O750" t="str" cm="1">
        <f t="array" ref="O750">_xlfn.IFS(Table1[[#This Row],[Divorced]]=1, "Divorced", Table1[[#This Row],[Married]]=1, "Married", Table1[[#This Row],[Single]]=1, "Single", Table1[[#This Row],[Together]]=1, "Together", Table1[[#This Row],[Widow]]=1, "Widow")</f>
        <v>Married</v>
      </c>
      <c r="P750" t="str" cm="1">
        <f t="array" ref="P750">_xlfn.IFS(Table1[[#This Row],[Basic]]=1, "Basic", Table1[[#This Row],[Graduate]]=1, "Graduate", Table1[[#This Row],[Master]]=1, "Master", Table1[[#This Row],[PhD]]=1, "PhD", AND(Table1[[#This Row],[Basic]]=0, Table1[[#This Row],[Graduate]]=0, Table1[[#This Row],[Master]]=0, Table1[[#This Row],[PhD]]=0), "NA")</f>
        <v>Graduate</v>
      </c>
      <c r="Q750" t="e">
        <f>_xlfn.XLOOKUP(Table1[[#This Row],[ID]], Table2[ID],#REF!, "Not Found", 0)</f>
        <v>#REF!</v>
      </c>
      <c r="R750" t="e">
        <f>_xlfn.XLOOKUP(Table1[[#This Row],[ID]], Table2[ID],#REF!, "Not Found", 0)</f>
        <v>#REF!</v>
      </c>
      <c r="S750" s="3" t="str">
        <f>_xlfn.XLOOKUP(Table1[[#This Row],[ID]], Table2[ID], Table2[Enrollment], "Not Found", 0)</f>
        <v>10/16/2019</v>
      </c>
      <c r="T750" t="s">
        <v>436</v>
      </c>
    </row>
    <row r="751" spans="1:20" x14ac:dyDescent="0.3">
      <c r="A751">
        <v>1585</v>
      </c>
      <c r="B751">
        <v>162807</v>
      </c>
      <c r="C751">
        <v>0</v>
      </c>
      <c r="D751">
        <v>1</v>
      </c>
      <c r="E751">
        <v>60</v>
      </c>
      <c r="F751">
        <v>0</v>
      </c>
      <c r="G751">
        <v>0</v>
      </c>
      <c r="H751">
        <v>0</v>
      </c>
      <c r="I751">
        <v>1</v>
      </c>
      <c r="J751">
        <v>0</v>
      </c>
      <c r="K751">
        <v>0</v>
      </c>
      <c r="L751">
        <v>1</v>
      </c>
      <c r="M751">
        <v>0</v>
      </c>
      <c r="N751">
        <v>0</v>
      </c>
      <c r="O751" t="str" cm="1">
        <f t="array" ref="O751">_xlfn.IFS(Table1[[#This Row],[Divorced]]=1, "Divorced", Table1[[#This Row],[Married]]=1, "Married", Table1[[#This Row],[Single]]=1, "Single", Table1[[#This Row],[Together]]=1, "Together", Table1[[#This Row],[Widow]]=1, "Widow")</f>
        <v>Together</v>
      </c>
      <c r="P751" t="str" cm="1">
        <f t="array" ref="P751">_xlfn.IFS(Table1[[#This Row],[Basic]]=1, "Basic", Table1[[#This Row],[Graduate]]=1, "Graduate", Table1[[#This Row],[Master]]=1, "Master", Table1[[#This Row],[PhD]]=1, "PhD", AND(Table1[[#This Row],[Basic]]=0, Table1[[#This Row],[Graduate]]=0, Table1[[#This Row],[Master]]=0, Table1[[#This Row],[PhD]]=0), "NA")</f>
        <v>Graduate</v>
      </c>
      <c r="Q751" t="e">
        <f>_xlfn.XLOOKUP(Table1[[#This Row],[ID]], Table2[ID],#REF!, "Not Found", 0)</f>
        <v>#REF!</v>
      </c>
      <c r="R751" t="e">
        <f>_xlfn.XLOOKUP(Table1[[#This Row],[ID]], Table2[ID],#REF!, "Not Found", 0)</f>
        <v>#REF!</v>
      </c>
      <c r="S751" s="3">
        <f>_xlfn.XLOOKUP(Table1[[#This Row],[ID]], Table2[ID], Table2[Enrollment], "Not Found", 0)</f>
        <v>43587</v>
      </c>
      <c r="T751" t="s">
        <v>437</v>
      </c>
    </row>
    <row r="752" spans="1:20" x14ac:dyDescent="0.3">
      <c r="A752">
        <v>2457</v>
      </c>
      <c r="B752">
        <v>162807</v>
      </c>
      <c r="C752">
        <v>0</v>
      </c>
      <c r="D752">
        <v>1</v>
      </c>
      <c r="E752">
        <v>60</v>
      </c>
      <c r="F752">
        <v>0</v>
      </c>
      <c r="G752">
        <v>0</v>
      </c>
      <c r="H752">
        <v>0</v>
      </c>
      <c r="I752">
        <v>1</v>
      </c>
      <c r="J752">
        <v>0</v>
      </c>
      <c r="K752">
        <v>0</v>
      </c>
      <c r="L752">
        <v>1</v>
      </c>
      <c r="M752">
        <v>0</v>
      </c>
      <c r="N752">
        <v>0</v>
      </c>
      <c r="O752" t="str" cm="1">
        <f t="array" ref="O752">_xlfn.IFS(Table1[[#This Row],[Divorced]]=1, "Divorced", Table1[[#This Row],[Married]]=1, "Married", Table1[[#This Row],[Single]]=1, "Single", Table1[[#This Row],[Together]]=1, "Together", Table1[[#This Row],[Widow]]=1, "Widow")</f>
        <v>Together</v>
      </c>
      <c r="P752" t="str" cm="1">
        <f t="array" ref="P752">_xlfn.IFS(Table1[[#This Row],[Basic]]=1, "Basic", Table1[[#This Row],[Graduate]]=1, "Graduate", Table1[[#This Row],[Master]]=1, "Master", Table1[[#This Row],[PhD]]=1, "PhD", AND(Table1[[#This Row],[Basic]]=0, Table1[[#This Row],[Graduate]]=0, Table1[[#This Row],[Master]]=0, Table1[[#This Row],[PhD]]=0), "NA")</f>
        <v>Graduate</v>
      </c>
      <c r="Q752" t="e">
        <f>_xlfn.XLOOKUP(Table1[[#This Row],[ID]], Table2[ID],#REF!, "Not Found", 0)</f>
        <v>#REF!</v>
      </c>
      <c r="R752" t="e">
        <f>_xlfn.XLOOKUP(Table1[[#This Row],[ID]], Table2[ID],#REF!, "Not Found", 0)</f>
        <v>#REF!</v>
      </c>
      <c r="S752" s="3">
        <f>_xlfn.XLOOKUP(Table1[[#This Row],[ID]], Table2[ID], Table2[Enrollment], "Not Found", 0)</f>
        <v>43587</v>
      </c>
      <c r="T752" t="s">
        <v>435</v>
      </c>
    </row>
    <row r="753" spans="1:20" x14ac:dyDescent="0.3">
      <c r="A753">
        <v>2858</v>
      </c>
      <c r="B753">
        <v>162772</v>
      </c>
      <c r="C753">
        <v>0</v>
      </c>
      <c r="D753">
        <v>1</v>
      </c>
      <c r="E753">
        <v>51</v>
      </c>
      <c r="F753">
        <v>0</v>
      </c>
      <c r="G753">
        <v>0</v>
      </c>
      <c r="H753">
        <v>1</v>
      </c>
      <c r="I753">
        <v>0</v>
      </c>
      <c r="J753">
        <v>0</v>
      </c>
      <c r="K753">
        <v>0</v>
      </c>
      <c r="L753">
        <v>0</v>
      </c>
      <c r="M753">
        <v>1</v>
      </c>
      <c r="N753">
        <v>0</v>
      </c>
      <c r="O753" t="str" cm="1">
        <f t="array" ref="O753">_xlfn.IFS(Table1[[#This Row],[Divorced]]=1, "Divorced", Table1[[#This Row],[Married]]=1, "Married", Table1[[#This Row],[Single]]=1, "Single", Table1[[#This Row],[Together]]=1, "Together", Table1[[#This Row],[Widow]]=1, "Widow")</f>
        <v>Single</v>
      </c>
      <c r="P753" t="str" cm="1">
        <f t="array" ref="P753">_xlfn.IFS(Table1[[#This Row],[Basic]]=1, "Basic", Table1[[#This Row],[Graduate]]=1, "Graduate", Table1[[#This Row],[Master]]=1, "Master", Table1[[#This Row],[PhD]]=1, "PhD", AND(Table1[[#This Row],[Basic]]=0, Table1[[#This Row],[Graduate]]=0, Table1[[#This Row],[Master]]=0, Table1[[#This Row],[PhD]]=0), "NA")</f>
        <v>Master</v>
      </c>
      <c r="Q753" t="e">
        <f>_xlfn.XLOOKUP(Table1[[#This Row],[ID]], Table2[ID],#REF!, "Not Found", 0)</f>
        <v>#REF!</v>
      </c>
      <c r="R753" t="e">
        <f>_xlfn.XLOOKUP(Table1[[#This Row],[ID]], Table2[ID],#REF!, "Not Found", 0)</f>
        <v>#REF!</v>
      </c>
      <c r="S753" s="3" t="str">
        <f>_xlfn.XLOOKUP(Table1[[#This Row],[ID]], Table2[ID], Table2[Enrollment], "Not Found", 0)</f>
        <v>10/24/2019</v>
      </c>
      <c r="T753" t="s">
        <v>438</v>
      </c>
    </row>
    <row r="754" spans="1:20" x14ac:dyDescent="0.3">
      <c r="A754">
        <v>1222</v>
      </c>
      <c r="B754">
        <v>162745</v>
      </c>
      <c r="C754">
        <v>0</v>
      </c>
      <c r="D754">
        <v>1</v>
      </c>
      <c r="E754">
        <v>55</v>
      </c>
      <c r="F754">
        <v>0</v>
      </c>
      <c r="G754">
        <v>1</v>
      </c>
      <c r="H754">
        <v>0</v>
      </c>
      <c r="I754">
        <v>0</v>
      </c>
      <c r="J754">
        <v>0</v>
      </c>
      <c r="K754">
        <v>0</v>
      </c>
      <c r="L754">
        <v>0</v>
      </c>
      <c r="M754">
        <v>0</v>
      </c>
      <c r="N754">
        <v>1</v>
      </c>
      <c r="O754" t="str" cm="1">
        <f t="array" ref="O754">_xlfn.IFS(Table1[[#This Row],[Divorced]]=1, "Divorced", Table1[[#This Row],[Married]]=1, "Married", Table1[[#This Row],[Single]]=1, "Single", Table1[[#This Row],[Together]]=1, "Together", Table1[[#This Row],[Widow]]=1, "Widow")</f>
        <v>Married</v>
      </c>
      <c r="P754" t="str" cm="1">
        <f t="array" ref="P754">_xlfn.IFS(Table1[[#This Row],[Basic]]=1, "Basic", Table1[[#This Row],[Graduate]]=1, "Graduate", Table1[[#This Row],[Master]]=1, "Master", Table1[[#This Row],[PhD]]=1, "PhD", AND(Table1[[#This Row],[Basic]]=0, Table1[[#This Row],[Graduate]]=0, Table1[[#This Row],[Master]]=0, Table1[[#This Row],[PhD]]=0), "NA")</f>
        <v>PhD</v>
      </c>
      <c r="Q754" t="e">
        <f>_xlfn.XLOOKUP(Table1[[#This Row],[ID]], Table2[ID],#REF!, "Not Found", 0)</f>
        <v>#REF!</v>
      </c>
      <c r="R754" t="e">
        <f>_xlfn.XLOOKUP(Table1[[#This Row],[ID]], Table2[ID],#REF!, "Not Found", 0)</f>
        <v>#REF!</v>
      </c>
      <c r="S754" s="3" t="str">
        <f>_xlfn.XLOOKUP(Table1[[#This Row],[ID]], Table2[ID], Table2[Enrollment], "Not Found", 0)</f>
        <v>8/28/2019</v>
      </c>
      <c r="T754" t="s">
        <v>439</v>
      </c>
    </row>
    <row r="755" spans="1:20" x14ac:dyDescent="0.3">
      <c r="A755">
        <v>2146</v>
      </c>
      <c r="B755">
        <v>162710</v>
      </c>
      <c r="C755">
        <v>0</v>
      </c>
      <c r="D755">
        <v>1</v>
      </c>
      <c r="E755">
        <v>48</v>
      </c>
      <c r="F755">
        <v>0</v>
      </c>
      <c r="G755">
        <v>1</v>
      </c>
      <c r="H755">
        <v>0</v>
      </c>
      <c r="I755">
        <v>0</v>
      </c>
      <c r="J755">
        <v>0</v>
      </c>
      <c r="K755">
        <v>0</v>
      </c>
      <c r="L755">
        <v>1</v>
      </c>
      <c r="M755">
        <v>0</v>
      </c>
      <c r="N755">
        <v>0</v>
      </c>
      <c r="O755" t="str" cm="1">
        <f t="array" ref="O755">_xlfn.IFS(Table1[[#This Row],[Divorced]]=1, "Divorced", Table1[[#This Row],[Married]]=1, "Married", Table1[[#This Row],[Single]]=1, "Single", Table1[[#This Row],[Together]]=1, "Together", Table1[[#This Row],[Widow]]=1, "Widow")</f>
        <v>Married</v>
      </c>
      <c r="P755" t="str" cm="1">
        <f t="array" ref="P755">_xlfn.IFS(Table1[[#This Row],[Basic]]=1, "Basic", Table1[[#This Row],[Graduate]]=1, "Graduate", Table1[[#This Row],[Master]]=1, "Master", Table1[[#This Row],[PhD]]=1, "PhD", AND(Table1[[#This Row],[Basic]]=0, Table1[[#This Row],[Graduate]]=0, Table1[[#This Row],[Master]]=0, Table1[[#This Row],[PhD]]=0), "NA")</f>
        <v>Graduate</v>
      </c>
      <c r="Q755" t="e">
        <f>_xlfn.XLOOKUP(Table1[[#This Row],[ID]], Table2[ID],#REF!, "Not Found", 0)</f>
        <v>#REF!</v>
      </c>
      <c r="R755" t="e">
        <f>_xlfn.XLOOKUP(Table1[[#This Row],[ID]], Table2[ID],#REF!, "Not Found", 0)</f>
        <v>#REF!</v>
      </c>
      <c r="S755" s="3" t="str">
        <f>_xlfn.XLOOKUP(Table1[[#This Row],[ID]], Table2[ID], Table2[Enrollment], "Not Found", 0)</f>
        <v>10/28/2019</v>
      </c>
      <c r="T755" t="s">
        <v>439</v>
      </c>
    </row>
    <row r="756" spans="1:20" x14ac:dyDescent="0.3">
      <c r="A756">
        <v>2904</v>
      </c>
      <c r="B756">
        <v>162694</v>
      </c>
      <c r="C756">
        <v>1</v>
      </c>
      <c r="D756">
        <v>1</v>
      </c>
      <c r="E756">
        <v>55</v>
      </c>
      <c r="F756">
        <v>0</v>
      </c>
      <c r="G756">
        <v>1</v>
      </c>
      <c r="H756">
        <v>0</v>
      </c>
      <c r="I756">
        <v>0</v>
      </c>
      <c r="J756">
        <v>0</v>
      </c>
      <c r="K756">
        <v>0</v>
      </c>
      <c r="L756">
        <v>0</v>
      </c>
      <c r="M756">
        <v>1</v>
      </c>
      <c r="N756">
        <v>0</v>
      </c>
      <c r="O756" t="str" cm="1">
        <f t="array" ref="O756">_xlfn.IFS(Table1[[#This Row],[Divorced]]=1, "Divorced", Table1[[#This Row],[Married]]=1, "Married", Table1[[#This Row],[Single]]=1, "Single", Table1[[#This Row],[Together]]=1, "Together", Table1[[#This Row],[Widow]]=1, "Widow")</f>
        <v>Married</v>
      </c>
      <c r="P756" t="str" cm="1">
        <f t="array" ref="P756">_xlfn.IFS(Table1[[#This Row],[Basic]]=1, "Basic", Table1[[#This Row],[Graduate]]=1, "Graduate", Table1[[#This Row],[Master]]=1, "Master", Table1[[#This Row],[PhD]]=1, "PhD", AND(Table1[[#This Row],[Basic]]=0, Table1[[#This Row],[Graduate]]=0, Table1[[#This Row],[Master]]=0, Table1[[#This Row],[PhD]]=0), "NA")</f>
        <v>Master</v>
      </c>
      <c r="Q756" t="e">
        <f>_xlfn.XLOOKUP(Table1[[#This Row],[ID]], Table2[ID],#REF!, "Not Found", 0)</f>
        <v>#REF!</v>
      </c>
      <c r="R756" t="e">
        <f>_xlfn.XLOOKUP(Table1[[#This Row],[ID]], Table2[ID],#REF!, "Not Found", 0)</f>
        <v>#REF!</v>
      </c>
      <c r="S756" s="3" t="str">
        <f>_xlfn.XLOOKUP(Table1[[#This Row],[ID]], Table2[ID], Table2[Enrollment], "Not Found", 0)</f>
        <v>11/22/2019</v>
      </c>
      <c r="T756" t="s">
        <v>436</v>
      </c>
    </row>
    <row r="757" spans="1:20" x14ac:dyDescent="0.3">
      <c r="A757">
        <v>2632</v>
      </c>
      <c r="B757">
        <v>162670</v>
      </c>
      <c r="C757">
        <v>0</v>
      </c>
      <c r="D757">
        <v>1</v>
      </c>
      <c r="E757">
        <v>66</v>
      </c>
      <c r="F757">
        <v>0</v>
      </c>
      <c r="G757">
        <v>1</v>
      </c>
      <c r="H757">
        <v>0</v>
      </c>
      <c r="I757">
        <v>0</v>
      </c>
      <c r="J757">
        <v>0</v>
      </c>
      <c r="K757">
        <v>0</v>
      </c>
      <c r="L757">
        <v>0</v>
      </c>
      <c r="M757">
        <v>0</v>
      </c>
      <c r="N757">
        <v>1</v>
      </c>
      <c r="O757" t="str" cm="1">
        <f t="array" ref="O757">_xlfn.IFS(Table1[[#This Row],[Divorced]]=1, "Divorced", Table1[[#This Row],[Married]]=1, "Married", Table1[[#This Row],[Single]]=1, "Single", Table1[[#This Row],[Together]]=1, "Together", Table1[[#This Row],[Widow]]=1, "Widow")</f>
        <v>Married</v>
      </c>
      <c r="P757" t="str" cm="1">
        <f t="array" ref="P757">_xlfn.IFS(Table1[[#This Row],[Basic]]=1, "Basic", Table1[[#This Row],[Graduate]]=1, "Graduate", Table1[[#This Row],[Master]]=1, "Master", Table1[[#This Row],[PhD]]=1, "PhD", AND(Table1[[#This Row],[Basic]]=0, Table1[[#This Row],[Graduate]]=0, Table1[[#This Row],[Master]]=0, Table1[[#This Row],[PhD]]=0), "NA")</f>
        <v>PhD</v>
      </c>
      <c r="Q757" t="e">
        <f>_xlfn.XLOOKUP(Table1[[#This Row],[ID]], Table2[ID],#REF!, "Not Found", 0)</f>
        <v>#REF!</v>
      </c>
      <c r="R757" t="e">
        <f>_xlfn.XLOOKUP(Table1[[#This Row],[ID]], Table2[ID],#REF!, "Not Found", 0)</f>
        <v>#REF!</v>
      </c>
      <c r="S757" s="3">
        <f>_xlfn.XLOOKUP(Table1[[#This Row],[ID]], Table2[ID], Table2[Enrollment], "Not Found", 0)</f>
        <v>44081</v>
      </c>
      <c r="T757" t="s">
        <v>439</v>
      </c>
    </row>
    <row r="758" spans="1:20" x14ac:dyDescent="0.3">
      <c r="A758">
        <v>3106</v>
      </c>
      <c r="B758">
        <v>162637</v>
      </c>
      <c r="C758">
        <v>0</v>
      </c>
      <c r="D758">
        <v>1</v>
      </c>
      <c r="E758">
        <v>66</v>
      </c>
      <c r="F758">
        <v>1</v>
      </c>
      <c r="G758">
        <v>0</v>
      </c>
      <c r="H758">
        <v>0</v>
      </c>
      <c r="I758">
        <v>0</v>
      </c>
      <c r="J758">
        <v>0</v>
      </c>
      <c r="K758">
        <v>0</v>
      </c>
      <c r="L758">
        <v>0</v>
      </c>
      <c r="M758">
        <v>1</v>
      </c>
      <c r="N758">
        <v>0</v>
      </c>
      <c r="O758" t="str" cm="1">
        <f t="array" ref="O758">_xlfn.IFS(Table1[[#This Row],[Divorced]]=1, "Divorced", Table1[[#This Row],[Married]]=1, "Married", Table1[[#This Row],[Single]]=1, "Single", Table1[[#This Row],[Together]]=1, "Together", Table1[[#This Row],[Widow]]=1, "Widow")</f>
        <v>Divorced</v>
      </c>
      <c r="P758" t="str" cm="1">
        <f t="array" ref="P758">_xlfn.IFS(Table1[[#This Row],[Basic]]=1, "Basic", Table1[[#This Row],[Graduate]]=1, "Graduate", Table1[[#This Row],[Master]]=1, "Master", Table1[[#This Row],[PhD]]=1, "PhD", AND(Table1[[#This Row],[Basic]]=0, Table1[[#This Row],[Graduate]]=0, Table1[[#This Row],[Master]]=0, Table1[[#This Row],[PhD]]=0), "NA")</f>
        <v>Master</v>
      </c>
      <c r="Q758" t="e">
        <f>_xlfn.XLOOKUP(Table1[[#This Row],[ID]], Table2[ID],#REF!, "Not Found", 0)</f>
        <v>#REF!</v>
      </c>
      <c r="R758" t="e">
        <f>_xlfn.XLOOKUP(Table1[[#This Row],[ID]], Table2[ID],#REF!, "Not Found", 0)</f>
        <v>#REF!</v>
      </c>
      <c r="S758" s="3">
        <f>_xlfn.XLOOKUP(Table1[[#This Row],[ID]], Table2[ID], Table2[Enrollment], "Not Found", 0)</f>
        <v>43959</v>
      </c>
      <c r="T758" t="s">
        <v>439</v>
      </c>
    </row>
    <row r="759" spans="1:20" x14ac:dyDescent="0.3">
      <c r="A759">
        <v>2795</v>
      </c>
      <c r="B759">
        <v>162568</v>
      </c>
      <c r="C759">
        <v>0</v>
      </c>
      <c r="D759">
        <v>1</v>
      </c>
      <c r="E759">
        <v>58</v>
      </c>
      <c r="F759">
        <v>0</v>
      </c>
      <c r="G759">
        <v>0</v>
      </c>
      <c r="H759">
        <v>0</v>
      </c>
      <c r="I759">
        <v>1</v>
      </c>
      <c r="J759">
        <v>0</v>
      </c>
      <c r="K759">
        <v>0</v>
      </c>
      <c r="L759">
        <v>1</v>
      </c>
      <c r="M759">
        <v>0</v>
      </c>
      <c r="N759">
        <v>0</v>
      </c>
      <c r="O759" t="str" cm="1">
        <f t="array" ref="O759">_xlfn.IFS(Table1[[#This Row],[Divorced]]=1, "Divorced", Table1[[#This Row],[Married]]=1, "Married", Table1[[#This Row],[Single]]=1, "Single", Table1[[#This Row],[Together]]=1, "Together", Table1[[#This Row],[Widow]]=1, "Widow")</f>
        <v>Together</v>
      </c>
      <c r="P759" t="str" cm="1">
        <f t="array" ref="P759">_xlfn.IFS(Table1[[#This Row],[Basic]]=1, "Basic", Table1[[#This Row],[Graduate]]=1, "Graduate", Table1[[#This Row],[Master]]=1, "Master", Table1[[#This Row],[PhD]]=1, "PhD", AND(Table1[[#This Row],[Basic]]=0, Table1[[#This Row],[Graduate]]=0, Table1[[#This Row],[Master]]=0, Table1[[#This Row],[PhD]]=0), "NA")</f>
        <v>Graduate</v>
      </c>
      <c r="Q759" t="e">
        <f>_xlfn.XLOOKUP(Table1[[#This Row],[ID]], Table2[ID],#REF!, "Not Found", 0)</f>
        <v>#REF!</v>
      </c>
      <c r="R759" t="e">
        <f>_xlfn.XLOOKUP(Table1[[#This Row],[ID]], Table2[ID],#REF!, "Not Found", 0)</f>
        <v>#REF!</v>
      </c>
      <c r="S759" s="3">
        <f>_xlfn.XLOOKUP(Table1[[#This Row],[ID]], Table2[ID], Table2[Enrollment], "Not Found", 0)</f>
        <v>44144</v>
      </c>
      <c r="T759" t="s">
        <v>434</v>
      </c>
    </row>
    <row r="760" spans="1:20" x14ac:dyDescent="0.3">
      <c r="A760">
        <v>1155</v>
      </c>
      <c r="B760">
        <v>162551</v>
      </c>
      <c r="C760">
        <v>0</v>
      </c>
      <c r="D760">
        <v>0</v>
      </c>
      <c r="E760">
        <v>67</v>
      </c>
      <c r="F760">
        <v>1</v>
      </c>
      <c r="G760">
        <v>0</v>
      </c>
      <c r="H760">
        <v>0</v>
      </c>
      <c r="I760">
        <v>0</v>
      </c>
      <c r="J760">
        <v>0</v>
      </c>
      <c r="K760">
        <v>0</v>
      </c>
      <c r="L760">
        <v>1</v>
      </c>
      <c r="M760">
        <v>0</v>
      </c>
      <c r="N760">
        <v>0</v>
      </c>
      <c r="O760" t="str" cm="1">
        <f t="array" ref="O760">_xlfn.IFS(Table1[[#This Row],[Divorced]]=1, "Divorced", Table1[[#This Row],[Married]]=1, "Married", Table1[[#This Row],[Single]]=1, "Single", Table1[[#This Row],[Together]]=1, "Together", Table1[[#This Row],[Widow]]=1, "Widow")</f>
        <v>Divorced</v>
      </c>
      <c r="P760" t="str" cm="1">
        <f t="array" ref="P760">_xlfn.IFS(Table1[[#This Row],[Basic]]=1, "Basic", Table1[[#This Row],[Graduate]]=1, "Graduate", Table1[[#This Row],[Master]]=1, "Master", Table1[[#This Row],[PhD]]=1, "PhD", AND(Table1[[#This Row],[Basic]]=0, Table1[[#This Row],[Graduate]]=0, Table1[[#This Row],[Master]]=0, Table1[[#This Row],[PhD]]=0), "NA")</f>
        <v>Graduate</v>
      </c>
      <c r="Q760" t="e">
        <f>_xlfn.XLOOKUP(Table1[[#This Row],[ID]], Table2[ID],#REF!, "Not Found", 0)</f>
        <v>#REF!</v>
      </c>
      <c r="R760" t="e">
        <f>_xlfn.XLOOKUP(Table1[[#This Row],[ID]], Table2[ID],#REF!, "Not Found", 0)</f>
        <v>#REF!</v>
      </c>
      <c r="S760" s="3" t="str">
        <f>_xlfn.XLOOKUP(Table1[[#This Row],[ID]], Table2[ID], Table2[Enrollment], "Not Found", 0)</f>
        <v>4/24/2020</v>
      </c>
      <c r="T760" t="s">
        <v>435</v>
      </c>
    </row>
    <row r="761" spans="1:20" x14ac:dyDescent="0.3">
      <c r="A761">
        <v>2771</v>
      </c>
      <c r="B761">
        <v>162535</v>
      </c>
      <c r="C761">
        <v>0</v>
      </c>
      <c r="D761">
        <v>1</v>
      </c>
      <c r="E761">
        <v>65</v>
      </c>
      <c r="F761">
        <v>0</v>
      </c>
      <c r="G761">
        <v>0</v>
      </c>
      <c r="H761">
        <v>1</v>
      </c>
      <c r="I761">
        <v>0</v>
      </c>
      <c r="J761">
        <v>0</v>
      </c>
      <c r="K761">
        <v>0</v>
      </c>
      <c r="L761">
        <v>1</v>
      </c>
      <c r="M761">
        <v>0</v>
      </c>
      <c r="N761">
        <v>0</v>
      </c>
      <c r="O761" t="str" cm="1">
        <f t="array" ref="O761">_xlfn.IFS(Table1[[#This Row],[Divorced]]=1, "Divorced", Table1[[#This Row],[Married]]=1, "Married", Table1[[#This Row],[Single]]=1, "Single", Table1[[#This Row],[Together]]=1, "Together", Table1[[#This Row],[Widow]]=1, "Widow")</f>
        <v>Single</v>
      </c>
      <c r="P761" t="str" cm="1">
        <f t="array" ref="P761">_xlfn.IFS(Table1[[#This Row],[Basic]]=1, "Basic", Table1[[#This Row],[Graduate]]=1, "Graduate", Table1[[#This Row],[Master]]=1, "Master", Table1[[#This Row],[PhD]]=1, "PhD", AND(Table1[[#This Row],[Basic]]=0, Table1[[#This Row],[Graduate]]=0, Table1[[#This Row],[Master]]=0, Table1[[#This Row],[PhD]]=0), "NA")</f>
        <v>Graduate</v>
      </c>
      <c r="Q761" t="e">
        <f>_xlfn.XLOOKUP(Table1[[#This Row],[ID]], Table2[ID],#REF!, "Not Found", 0)</f>
        <v>#REF!</v>
      </c>
      <c r="R761" t="e">
        <f>_xlfn.XLOOKUP(Table1[[#This Row],[ID]], Table2[ID],#REF!, "Not Found", 0)</f>
        <v>#REF!</v>
      </c>
      <c r="S761" s="3">
        <f>_xlfn.XLOOKUP(Table1[[#This Row],[ID]], Table2[ID], Table2[Enrollment], "Not Found", 0)</f>
        <v>44077</v>
      </c>
      <c r="T761" t="s">
        <v>434</v>
      </c>
    </row>
    <row r="762" spans="1:20" x14ac:dyDescent="0.3">
      <c r="A762">
        <v>1006</v>
      </c>
      <c r="B762">
        <v>162513</v>
      </c>
      <c r="C762">
        <v>0</v>
      </c>
      <c r="D762">
        <v>1</v>
      </c>
      <c r="E762">
        <v>53</v>
      </c>
      <c r="F762">
        <v>0</v>
      </c>
      <c r="G762">
        <v>0</v>
      </c>
      <c r="H762">
        <v>0</v>
      </c>
      <c r="I762">
        <v>1</v>
      </c>
      <c r="J762">
        <v>0</v>
      </c>
      <c r="K762">
        <v>0</v>
      </c>
      <c r="L762">
        <v>0</v>
      </c>
      <c r="M762">
        <v>1</v>
      </c>
      <c r="N762">
        <v>0</v>
      </c>
      <c r="O762" t="str" cm="1">
        <f t="array" ref="O762">_xlfn.IFS(Table1[[#This Row],[Divorced]]=1, "Divorced", Table1[[#This Row],[Married]]=1, "Married", Table1[[#This Row],[Single]]=1, "Single", Table1[[#This Row],[Together]]=1, "Together", Table1[[#This Row],[Widow]]=1, "Widow")</f>
        <v>Together</v>
      </c>
      <c r="P762" t="str" cm="1">
        <f t="array" ref="P762">_xlfn.IFS(Table1[[#This Row],[Basic]]=1, "Basic", Table1[[#This Row],[Graduate]]=1, "Graduate", Table1[[#This Row],[Master]]=1, "Master", Table1[[#This Row],[PhD]]=1, "PhD", AND(Table1[[#This Row],[Basic]]=0, Table1[[#This Row],[Graduate]]=0, Table1[[#This Row],[Master]]=0, Table1[[#This Row],[PhD]]=0), "NA")</f>
        <v>Master</v>
      </c>
      <c r="Q762" t="e">
        <f>_xlfn.XLOOKUP(Table1[[#This Row],[ID]], Table2[ID],#REF!, "Not Found", 0)</f>
        <v>#REF!</v>
      </c>
      <c r="R762" t="e">
        <f>_xlfn.XLOOKUP(Table1[[#This Row],[ID]], Table2[ID],#REF!, "Not Found", 0)</f>
        <v>#REF!</v>
      </c>
      <c r="S762" s="3" t="str">
        <f>_xlfn.XLOOKUP(Table1[[#This Row],[ID]], Table2[ID], Table2[Enrollment], "Not Found", 0)</f>
        <v>2/14/2020</v>
      </c>
      <c r="T762" t="s">
        <v>439</v>
      </c>
    </row>
    <row r="763" spans="1:20" x14ac:dyDescent="0.3">
      <c r="A763">
        <v>1459</v>
      </c>
      <c r="B763">
        <v>162503</v>
      </c>
      <c r="C763">
        <v>0</v>
      </c>
      <c r="D763">
        <v>1</v>
      </c>
      <c r="E763">
        <v>64</v>
      </c>
      <c r="F763">
        <v>0</v>
      </c>
      <c r="G763">
        <v>1</v>
      </c>
      <c r="H763">
        <v>0</v>
      </c>
      <c r="I763">
        <v>0</v>
      </c>
      <c r="J763">
        <v>0</v>
      </c>
      <c r="K763">
        <v>0</v>
      </c>
      <c r="L763">
        <v>1</v>
      </c>
      <c r="M763">
        <v>0</v>
      </c>
      <c r="N763">
        <v>0</v>
      </c>
      <c r="O763" t="str" cm="1">
        <f t="array" ref="O763">_xlfn.IFS(Table1[[#This Row],[Divorced]]=1, "Divorced", Table1[[#This Row],[Married]]=1, "Married", Table1[[#This Row],[Single]]=1, "Single", Table1[[#This Row],[Together]]=1, "Together", Table1[[#This Row],[Widow]]=1, "Widow")</f>
        <v>Married</v>
      </c>
      <c r="P763" t="str" cm="1">
        <f t="array" ref="P763">_xlfn.IFS(Table1[[#This Row],[Basic]]=1, "Basic", Table1[[#This Row],[Graduate]]=1, "Graduate", Table1[[#This Row],[Master]]=1, "Master", Table1[[#This Row],[PhD]]=1, "PhD", AND(Table1[[#This Row],[Basic]]=0, Table1[[#This Row],[Graduate]]=0, Table1[[#This Row],[Master]]=0, Table1[[#This Row],[PhD]]=0), "NA")</f>
        <v>Graduate</v>
      </c>
      <c r="Q763" t="e">
        <f>_xlfn.XLOOKUP(Table1[[#This Row],[ID]], Table2[ID],#REF!, "Not Found", 0)</f>
        <v>#REF!</v>
      </c>
      <c r="R763" t="e">
        <f>_xlfn.XLOOKUP(Table1[[#This Row],[ID]], Table2[ID],#REF!, "Not Found", 0)</f>
        <v>#REF!</v>
      </c>
      <c r="S763" s="3" t="str">
        <f>_xlfn.XLOOKUP(Table1[[#This Row],[ID]], Table2[ID], Table2[Enrollment], "Not Found", 0)</f>
        <v>7/26/2019</v>
      </c>
      <c r="T763" t="s">
        <v>437</v>
      </c>
    </row>
    <row r="764" spans="1:20" x14ac:dyDescent="0.3">
      <c r="A764">
        <v>1375</v>
      </c>
      <c r="B764">
        <v>162499</v>
      </c>
      <c r="C764">
        <v>1</v>
      </c>
      <c r="D764">
        <v>0</v>
      </c>
      <c r="E764">
        <v>41</v>
      </c>
      <c r="F764">
        <v>0</v>
      </c>
      <c r="G764">
        <v>0</v>
      </c>
      <c r="H764">
        <v>0</v>
      </c>
      <c r="I764">
        <v>1</v>
      </c>
      <c r="J764">
        <v>0</v>
      </c>
      <c r="K764">
        <v>0</v>
      </c>
      <c r="L764">
        <v>0</v>
      </c>
      <c r="M764">
        <v>1</v>
      </c>
      <c r="N764">
        <v>0</v>
      </c>
      <c r="O764" t="str" cm="1">
        <f t="array" ref="O764">_xlfn.IFS(Table1[[#This Row],[Divorced]]=1, "Divorced", Table1[[#This Row],[Married]]=1, "Married", Table1[[#This Row],[Single]]=1, "Single", Table1[[#This Row],[Together]]=1, "Together", Table1[[#This Row],[Widow]]=1, "Widow")</f>
        <v>Together</v>
      </c>
      <c r="P764" t="str" cm="1">
        <f t="array" ref="P764">_xlfn.IFS(Table1[[#This Row],[Basic]]=1, "Basic", Table1[[#This Row],[Graduate]]=1, "Graduate", Table1[[#This Row],[Master]]=1, "Master", Table1[[#This Row],[PhD]]=1, "PhD", AND(Table1[[#This Row],[Basic]]=0, Table1[[#This Row],[Graduate]]=0, Table1[[#This Row],[Master]]=0, Table1[[#This Row],[PhD]]=0), "NA")</f>
        <v>Master</v>
      </c>
      <c r="Q764" t="e">
        <f>_xlfn.XLOOKUP(Table1[[#This Row],[ID]], Table2[ID],#REF!, "Not Found", 0)</f>
        <v>#REF!</v>
      </c>
      <c r="R764" t="e">
        <f>_xlfn.XLOOKUP(Table1[[#This Row],[ID]], Table2[ID],#REF!, "Not Found", 0)</f>
        <v>#REF!</v>
      </c>
      <c r="S764" s="3" t="str">
        <f>_xlfn.XLOOKUP(Table1[[#This Row],[ID]], Table2[ID], Table2[Enrollment], "Not Found", 0)</f>
        <v>5/15/2020</v>
      </c>
      <c r="T764" t="s">
        <v>437</v>
      </c>
    </row>
    <row r="765" spans="1:20" x14ac:dyDescent="0.3">
      <c r="A765">
        <v>1547</v>
      </c>
      <c r="B765">
        <v>162466</v>
      </c>
      <c r="C765">
        <v>0</v>
      </c>
      <c r="D765">
        <v>1</v>
      </c>
      <c r="E765">
        <v>50</v>
      </c>
      <c r="F765">
        <v>0</v>
      </c>
      <c r="G765">
        <v>1</v>
      </c>
      <c r="H765">
        <v>0</v>
      </c>
      <c r="I765">
        <v>0</v>
      </c>
      <c r="J765">
        <v>0</v>
      </c>
      <c r="K765">
        <v>0</v>
      </c>
      <c r="L765">
        <v>0</v>
      </c>
      <c r="M765">
        <v>0</v>
      </c>
      <c r="N765">
        <v>0</v>
      </c>
      <c r="O765" t="str" cm="1">
        <f t="array" ref="O765">_xlfn.IFS(Table1[[#This Row],[Divorced]]=1, "Divorced", Table1[[#This Row],[Married]]=1, "Married", Table1[[#This Row],[Single]]=1, "Single", Table1[[#This Row],[Together]]=1, "Together", Table1[[#This Row],[Widow]]=1, "Widow")</f>
        <v>Married</v>
      </c>
      <c r="P765" t="str" cm="1">
        <f t="array" ref="P765">_xlfn.IFS(Table1[[#This Row],[Basic]]=1, "Basic", Table1[[#This Row],[Graduate]]=1, "Graduate", Table1[[#This Row],[Master]]=1, "Master", Table1[[#This Row],[PhD]]=1, "PhD", AND(Table1[[#This Row],[Basic]]=0, Table1[[#This Row],[Graduate]]=0, Table1[[#This Row],[Master]]=0, Table1[[#This Row],[PhD]]=0), "NA")</f>
        <v>NA</v>
      </c>
      <c r="Q765" t="e">
        <f>_xlfn.XLOOKUP(Table1[[#This Row],[ID]], Table2[ID],#REF!, "Not Found", 0)</f>
        <v>#REF!</v>
      </c>
      <c r="R765" t="e">
        <f>_xlfn.XLOOKUP(Table1[[#This Row],[ID]], Table2[ID],#REF!, "Not Found", 0)</f>
        <v>#REF!</v>
      </c>
      <c r="S765" s="3" t="str">
        <f>_xlfn.XLOOKUP(Table1[[#This Row],[ID]], Table2[ID], Table2[Enrollment], "Not Found", 0)</f>
        <v>6/21/2020</v>
      </c>
      <c r="T765" t="s">
        <v>434</v>
      </c>
    </row>
    <row r="766" spans="1:20" x14ac:dyDescent="0.3">
      <c r="A766">
        <v>1615</v>
      </c>
      <c r="B766">
        <v>162466</v>
      </c>
      <c r="C766">
        <v>0</v>
      </c>
      <c r="D766">
        <v>1</v>
      </c>
      <c r="E766">
        <v>50</v>
      </c>
      <c r="F766">
        <v>0</v>
      </c>
      <c r="G766">
        <v>1</v>
      </c>
      <c r="H766">
        <v>0</v>
      </c>
      <c r="I766">
        <v>0</v>
      </c>
      <c r="J766">
        <v>0</v>
      </c>
      <c r="K766">
        <v>0</v>
      </c>
      <c r="L766">
        <v>0</v>
      </c>
      <c r="M766">
        <v>0</v>
      </c>
      <c r="N766">
        <v>0</v>
      </c>
      <c r="O766" t="str" cm="1">
        <f t="array" ref="O766">_xlfn.IFS(Table1[[#This Row],[Divorced]]=1, "Divorced", Table1[[#This Row],[Married]]=1, "Married", Table1[[#This Row],[Single]]=1, "Single", Table1[[#This Row],[Together]]=1, "Together", Table1[[#This Row],[Widow]]=1, "Widow")</f>
        <v>Married</v>
      </c>
      <c r="P766" t="str" cm="1">
        <f t="array" ref="P766">_xlfn.IFS(Table1[[#This Row],[Basic]]=1, "Basic", Table1[[#This Row],[Graduate]]=1, "Graduate", Table1[[#This Row],[Master]]=1, "Master", Table1[[#This Row],[PhD]]=1, "PhD", AND(Table1[[#This Row],[Basic]]=0, Table1[[#This Row],[Graduate]]=0, Table1[[#This Row],[Master]]=0, Table1[[#This Row],[PhD]]=0), "NA")</f>
        <v>NA</v>
      </c>
      <c r="Q766" t="e">
        <f>_xlfn.XLOOKUP(Table1[[#This Row],[ID]], Table2[ID],#REF!, "Not Found", 0)</f>
        <v>#REF!</v>
      </c>
      <c r="R766" t="e">
        <f>_xlfn.XLOOKUP(Table1[[#This Row],[ID]], Table2[ID],#REF!, "Not Found", 0)</f>
        <v>#REF!</v>
      </c>
      <c r="S766" s="3" t="str">
        <f>_xlfn.XLOOKUP(Table1[[#This Row],[ID]], Table2[ID], Table2[Enrollment], "Not Found", 0)</f>
        <v>6/21/2020</v>
      </c>
      <c r="T766" t="s">
        <v>437</v>
      </c>
    </row>
    <row r="767" spans="1:20" x14ac:dyDescent="0.3">
      <c r="A767">
        <v>1852</v>
      </c>
      <c r="B767">
        <v>162450</v>
      </c>
      <c r="C767">
        <v>0</v>
      </c>
      <c r="D767">
        <v>1</v>
      </c>
      <c r="E767">
        <v>61</v>
      </c>
      <c r="F767">
        <v>0</v>
      </c>
      <c r="G767">
        <v>0</v>
      </c>
      <c r="H767">
        <v>1</v>
      </c>
      <c r="I767">
        <v>0</v>
      </c>
      <c r="J767">
        <v>0</v>
      </c>
      <c r="K767">
        <v>0</v>
      </c>
      <c r="L767">
        <v>1</v>
      </c>
      <c r="M767">
        <v>0</v>
      </c>
      <c r="N767">
        <v>0</v>
      </c>
      <c r="O767" t="str" cm="1">
        <f t="array" ref="O767">_xlfn.IFS(Table1[[#This Row],[Divorced]]=1, "Divorced", Table1[[#This Row],[Married]]=1, "Married", Table1[[#This Row],[Single]]=1, "Single", Table1[[#This Row],[Together]]=1, "Together", Table1[[#This Row],[Widow]]=1, "Widow")</f>
        <v>Single</v>
      </c>
      <c r="P767" t="str" cm="1">
        <f t="array" ref="P767">_xlfn.IFS(Table1[[#This Row],[Basic]]=1, "Basic", Table1[[#This Row],[Graduate]]=1, "Graduate", Table1[[#This Row],[Master]]=1, "Master", Table1[[#This Row],[PhD]]=1, "PhD", AND(Table1[[#This Row],[Basic]]=0, Table1[[#This Row],[Graduate]]=0, Table1[[#This Row],[Master]]=0, Table1[[#This Row],[PhD]]=0), "NA")</f>
        <v>Graduate</v>
      </c>
      <c r="Q767" t="e">
        <f>_xlfn.XLOOKUP(Table1[[#This Row],[ID]], Table2[ID],#REF!, "Not Found", 0)</f>
        <v>#REF!</v>
      </c>
      <c r="R767" t="e">
        <f>_xlfn.XLOOKUP(Table1[[#This Row],[ID]], Table2[ID],#REF!, "Not Found", 0)</f>
        <v>#REF!</v>
      </c>
      <c r="S767" s="3">
        <f>_xlfn.XLOOKUP(Table1[[#This Row],[ID]], Table2[ID], Table2[Enrollment], "Not Found", 0)</f>
        <v>44171</v>
      </c>
      <c r="T767" t="s">
        <v>439</v>
      </c>
    </row>
    <row r="768" spans="1:20" x14ac:dyDescent="0.3">
      <c r="A768">
        <v>2670</v>
      </c>
      <c r="B768">
        <v>162335</v>
      </c>
      <c r="C768">
        <v>0</v>
      </c>
      <c r="D768">
        <v>1</v>
      </c>
      <c r="E768">
        <v>68</v>
      </c>
      <c r="F768">
        <v>1</v>
      </c>
      <c r="G768">
        <v>0</v>
      </c>
      <c r="H768">
        <v>0</v>
      </c>
      <c r="I768">
        <v>0</v>
      </c>
      <c r="J768">
        <v>0</v>
      </c>
      <c r="K768">
        <v>0</v>
      </c>
      <c r="L768">
        <v>1</v>
      </c>
      <c r="M768">
        <v>0</v>
      </c>
      <c r="N768">
        <v>0</v>
      </c>
      <c r="O768" t="str" cm="1">
        <f t="array" ref="O768">_xlfn.IFS(Table1[[#This Row],[Divorced]]=1, "Divorced", Table1[[#This Row],[Married]]=1, "Married", Table1[[#This Row],[Single]]=1, "Single", Table1[[#This Row],[Together]]=1, "Together", Table1[[#This Row],[Widow]]=1, "Widow")</f>
        <v>Divorced</v>
      </c>
      <c r="P768" t="str" cm="1">
        <f t="array" ref="P768">_xlfn.IFS(Table1[[#This Row],[Basic]]=1, "Basic", Table1[[#This Row],[Graduate]]=1, "Graduate", Table1[[#This Row],[Master]]=1, "Master", Table1[[#This Row],[PhD]]=1, "PhD", AND(Table1[[#This Row],[Basic]]=0, Table1[[#This Row],[Graduate]]=0, Table1[[#This Row],[Master]]=0, Table1[[#This Row],[PhD]]=0), "NA")</f>
        <v>Graduate</v>
      </c>
      <c r="Q768" t="e">
        <f>_xlfn.XLOOKUP(Table1[[#This Row],[ID]], Table2[ID],#REF!, "Not Found", 0)</f>
        <v>#REF!</v>
      </c>
      <c r="R768" t="e">
        <f>_xlfn.XLOOKUP(Table1[[#This Row],[ID]], Table2[ID],#REF!, "Not Found", 0)</f>
        <v>#REF!</v>
      </c>
      <c r="S768" s="3" t="str">
        <f>_xlfn.XLOOKUP(Table1[[#This Row],[ID]], Table2[ID], Table2[Enrollment], "Not Found", 0)</f>
        <v>10/28/2019</v>
      </c>
      <c r="T768" t="s">
        <v>436</v>
      </c>
    </row>
    <row r="769" spans="1:20" x14ac:dyDescent="0.3">
      <c r="A769">
        <v>2174</v>
      </c>
      <c r="B769">
        <v>162307</v>
      </c>
      <c r="C769">
        <v>0</v>
      </c>
      <c r="D769">
        <v>1</v>
      </c>
      <c r="E769">
        <v>68</v>
      </c>
      <c r="F769">
        <v>0</v>
      </c>
      <c r="G769">
        <v>0</v>
      </c>
      <c r="H769">
        <v>1</v>
      </c>
      <c r="I769">
        <v>0</v>
      </c>
      <c r="J769">
        <v>0</v>
      </c>
      <c r="K769">
        <v>0</v>
      </c>
      <c r="L769">
        <v>1</v>
      </c>
      <c r="M769">
        <v>0</v>
      </c>
      <c r="N769">
        <v>0</v>
      </c>
      <c r="O769" t="str" cm="1">
        <f t="array" ref="O769">_xlfn.IFS(Table1[[#This Row],[Divorced]]=1, "Divorced", Table1[[#This Row],[Married]]=1, "Married", Table1[[#This Row],[Single]]=1, "Single", Table1[[#This Row],[Together]]=1, "Together", Table1[[#This Row],[Widow]]=1, "Widow")</f>
        <v>Single</v>
      </c>
      <c r="P769" t="str" cm="1">
        <f t="array" ref="P769">_xlfn.IFS(Table1[[#This Row],[Basic]]=1, "Basic", Table1[[#This Row],[Graduate]]=1, "Graduate", Table1[[#This Row],[Master]]=1, "Master", Table1[[#This Row],[PhD]]=1, "PhD", AND(Table1[[#This Row],[Basic]]=0, Table1[[#This Row],[Graduate]]=0, Table1[[#This Row],[Master]]=0, Table1[[#This Row],[PhD]]=0), "NA")</f>
        <v>Graduate</v>
      </c>
      <c r="Q769" t="e">
        <f>_xlfn.XLOOKUP(Table1[[#This Row],[ID]], Table2[ID],#REF!, "Not Found", 0)</f>
        <v>#REF!</v>
      </c>
      <c r="R769" t="e">
        <f>_xlfn.XLOOKUP(Table1[[#This Row],[ID]], Table2[ID],#REF!, "Not Found", 0)</f>
        <v>#REF!</v>
      </c>
      <c r="S769" s="3" t="str">
        <f>_xlfn.XLOOKUP(Table1[[#This Row],[ID]], Table2[ID], Table2[Enrollment], "Not Found", 0)</f>
        <v>7/24/2020</v>
      </c>
      <c r="T769" t="s">
        <v>438</v>
      </c>
    </row>
    <row r="770" spans="1:20" x14ac:dyDescent="0.3">
      <c r="A770">
        <v>1737</v>
      </c>
      <c r="B770">
        <v>162220</v>
      </c>
      <c r="C770">
        <v>0</v>
      </c>
      <c r="D770">
        <v>1</v>
      </c>
      <c r="E770">
        <v>48</v>
      </c>
      <c r="F770">
        <v>0</v>
      </c>
      <c r="G770">
        <v>0</v>
      </c>
      <c r="H770">
        <v>0</v>
      </c>
      <c r="I770">
        <v>1</v>
      </c>
      <c r="J770">
        <v>0</v>
      </c>
      <c r="K770">
        <v>0</v>
      </c>
      <c r="L770">
        <v>0</v>
      </c>
      <c r="M770">
        <v>0</v>
      </c>
      <c r="N770">
        <v>1</v>
      </c>
      <c r="O770" t="str" cm="1">
        <f t="array" ref="O770">_xlfn.IFS(Table1[[#This Row],[Divorced]]=1, "Divorced", Table1[[#This Row],[Married]]=1, "Married", Table1[[#This Row],[Single]]=1, "Single", Table1[[#This Row],[Together]]=1, "Together", Table1[[#This Row],[Widow]]=1, "Widow")</f>
        <v>Together</v>
      </c>
      <c r="P770" t="str" cm="1">
        <f t="array" ref="P770">_xlfn.IFS(Table1[[#This Row],[Basic]]=1, "Basic", Table1[[#This Row],[Graduate]]=1, "Graduate", Table1[[#This Row],[Master]]=1, "Master", Table1[[#This Row],[PhD]]=1, "PhD", AND(Table1[[#This Row],[Basic]]=0, Table1[[#This Row],[Graduate]]=0, Table1[[#This Row],[Master]]=0, Table1[[#This Row],[PhD]]=0), "NA")</f>
        <v>PhD</v>
      </c>
      <c r="Q770" t="e">
        <f>_xlfn.XLOOKUP(Table1[[#This Row],[ID]], Table2[ID],#REF!, "Not Found", 0)</f>
        <v>#REF!</v>
      </c>
      <c r="R770" t="e">
        <f>_xlfn.XLOOKUP(Table1[[#This Row],[ID]], Table2[ID],#REF!, "Not Found", 0)</f>
        <v>#REF!</v>
      </c>
      <c r="S770" s="3" t="str">
        <f>_xlfn.XLOOKUP(Table1[[#This Row],[ID]], Table2[ID], Table2[Enrollment], "Not Found", 0)</f>
        <v>1/16/2019</v>
      </c>
      <c r="T770" t="s">
        <v>435</v>
      </c>
    </row>
    <row r="771" spans="1:20" x14ac:dyDescent="0.3">
      <c r="A771">
        <v>1320</v>
      </c>
      <c r="B771">
        <v>162204</v>
      </c>
      <c r="C771">
        <v>0</v>
      </c>
      <c r="D771">
        <v>2</v>
      </c>
      <c r="E771">
        <v>60</v>
      </c>
      <c r="F771">
        <v>1</v>
      </c>
      <c r="G771">
        <v>0</v>
      </c>
      <c r="H771">
        <v>0</v>
      </c>
      <c r="I771">
        <v>0</v>
      </c>
      <c r="J771">
        <v>0</v>
      </c>
      <c r="K771">
        <v>0</v>
      </c>
      <c r="L771">
        <v>1</v>
      </c>
      <c r="M771">
        <v>0</v>
      </c>
      <c r="N771">
        <v>0</v>
      </c>
      <c r="O771" t="str" cm="1">
        <f t="array" ref="O771">_xlfn.IFS(Table1[[#This Row],[Divorced]]=1, "Divorced", Table1[[#This Row],[Married]]=1, "Married", Table1[[#This Row],[Single]]=1, "Single", Table1[[#This Row],[Together]]=1, "Together", Table1[[#This Row],[Widow]]=1, "Widow")</f>
        <v>Divorced</v>
      </c>
      <c r="P771" t="str" cm="1">
        <f t="array" ref="P771">_xlfn.IFS(Table1[[#This Row],[Basic]]=1, "Basic", Table1[[#This Row],[Graduate]]=1, "Graduate", Table1[[#This Row],[Master]]=1, "Master", Table1[[#This Row],[PhD]]=1, "PhD", AND(Table1[[#This Row],[Basic]]=0, Table1[[#This Row],[Graduate]]=0, Table1[[#This Row],[Master]]=0, Table1[[#This Row],[PhD]]=0), "NA")</f>
        <v>Graduate</v>
      </c>
      <c r="Q771" t="e">
        <f>_xlfn.XLOOKUP(Table1[[#This Row],[ID]], Table2[ID],#REF!, "Not Found", 0)</f>
        <v>#REF!</v>
      </c>
      <c r="R771" t="e">
        <f>_xlfn.XLOOKUP(Table1[[#This Row],[ID]], Table2[ID],#REF!, "Not Found", 0)</f>
        <v>#REF!</v>
      </c>
      <c r="S771" s="3" t="str">
        <f>_xlfn.XLOOKUP(Table1[[#This Row],[ID]], Table2[ID], Table2[Enrollment], "Not Found", 0)</f>
        <v>2/17/2019</v>
      </c>
      <c r="T771" t="s">
        <v>436</v>
      </c>
    </row>
    <row r="772" spans="1:20" x14ac:dyDescent="0.3">
      <c r="A772">
        <v>1310</v>
      </c>
      <c r="B772">
        <v>162187</v>
      </c>
      <c r="C772">
        <v>0</v>
      </c>
      <c r="D772">
        <v>0</v>
      </c>
      <c r="E772">
        <v>63</v>
      </c>
      <c r="F772">
        <v>0</v>
      </c>
      <c r="G772">
        <v>1</v>
      </c>
      <c r="H772">
        <v>0</v>
      </c>
      <c r="I772">
        <v>0</v>
      </c>
      <c r="J772">
        <v>0</v>
      </c>
      <c r="K772">
        <v>0</v>
      </c>
      <c r="L772">
        <v>1</v>
      </c>
      <c r="M772">
        <v>0</v>
      </c>
      <c r="N772">
        <v>0</v>
      </c>
      <c r="O772" t="str" cm="1">
        <f t="array" ref="O772">_xlfn.IFS(Table1[[#This Row],[Divorced]]=1, "Divorced", Table1[[#This Row],[Married]]=1, "Married", Table1[[#This Row],[Single]]=1, "Single", Table1[[#This Row],[Together]]=1, "Together", Table1[[#This Row],[Widow]]=1, "Widow")</f>
        <v>Married</v>
      </c>
      <c r="P772" t="str" cm="1">
        <f t="array" ref="P772">_xlfn.IFS(Table1[[#This Row],[Basic]]=1, "Basic", Table1[[#This Row],[Graduate]]=1, "Graduate", Table1[[#This Row],[Master]]=1, "Master", Table1[[#This Row],[PhD]]=1, "PhD", AND(Table1[[#This Row],[Basic]]=0, Table1[[#This Row],[Graduate]]=0, Table1[[#This Row],[Master]]=0, Table1[[#This Row],[PhD]]=0), "NA")</f>
        <v>Graduate</v>
      </c>
      <c r="Q772" t="e">
        <f>_xlfn.XLOOKUP(Table1[[#This Row],[ID]], Table2[ID],#REF!, "Not Found", 0)</f>
        <v>#REF!</v>
      </c>
      <c r="R772" t="e">
        <f>_xlfn.XLOOKUP(Table1[[#This Row],[ID]], Table2[ID],#REF!, "Not Found", 0)</f>
        <v>#REF!</v>
      </c>
      <c r="S772" s="3">
        <f>_xlfn.XLOOKUP(Table1[[#This Row],[ID]], Table2[ID], Table2[Enrollment], "Not Found", 0)</f>
        <v>43750</v>
      </c>
      <c r="T772" t="s">
        <v>438</v>
      </c>
    </row>
    <row r="773" spans="1:20" x14ac:dyDescent="0.3">
      <c r="A773">
        <v>1345</v>
      </c>
      <c r="B773">
        <v>162187</v>
      </c>
      <c r="C773">
        <v>0</v>
      </c>
      <c r="D773">
        <v>1</v>
      </c>
      <c r="E773">
        <v>51</v>
      </c>
      <c r="F773">
        <v>0</v>
      </c>
      <c r="G773">
        <v>0</v>
      </c>
      <c r="H773">
        <v>0</v>
      </c>
      <c r="I773">
        <v>0</v>
      </c>
      <c r="J773">
        <v>1</v>
      </c>
      <c r="K773">
        <v>0</v>
      </c>
      <c r="L773">
        <v>0</v>
      </c>
      <c r="M773">
        <v>0</v>
      </c>
      <c r="N773">
        <v>1</v>
      </c>
      <c r="O773" t="str" cm="1">
        <f t="array" ref="O773">_xlfn.IFS(Table1[[#This Row],[Divorced]]=1, "Divorced", Table1[[#This Row],[Married]]=1, "Married", Table1[[#This Row],[Single]]=1, "Single", Table1[[#This Row],[Together]]=1, "Together", Table1[[#This Row],[Widow]]=1, "Widow")</f>
        <v>Widow</v>
      </c>
      <c r="P773" t="str" cm="1">
        <f t="array" ref="P773">_xlfn.IFS(Table1[[#This Row],[Basic]]=1, "Basic", Table1[[#This Row],[Graduate]]=1, "Graduate", Table1[[#This Row],[Master]]=1, "Master", Table1[[#This Row],[PhD]]=1, "PhD", AND(Table1[[#This Row],[Basic]]=0, Table1[[#This Row],[Graduate]]=0, Table1[[#This Row],[Master]]=0, Table1[[#This Row],[PhD]]=0), "NA")</f>
        <v>PhD</v>
      </c>
      <c r="Q773" t="e">
        <f>_xlfn.XLOOKUP(Table1[[#This Row],[ID]], Table2[ID],#REF!, "Not Found", 0)</f>
        <v>#REF!</v>
      </c>
      <c r="R773" t="e">
        <f>_xlfn.XLOOKUP(Table1[[#This Row],[ID]], Table2[ID],#REF!, "Not Found", 0)</f>
        <v>#REF!</v>
      </c>
      <c r="S773" s="3" t="str">
        <f>_xlfn.XLOOKUP(Table1[[#This Row],[ID]], Table2[ID], Table2[Enrollment], "Not Found", 0)</f>
        <v>8/26/2020</v>
      </c>
      <c r="T773" t="s">
        <v>437</v>
      </c>
    </row>
    <row r="774" spans="1:20" x14ac:dyDescent="0.3">
      <c r="A774">
        <v>2337</v>
      </c>
      <c r="B774">
        <v>162159</v>
      </c>
      <c r="C774">
        <v>0</v>
      </c>
      <c r="D774">
        <v>0</v>
      </c>
      <c r="E774">
        <v>74</v>
      </c>
      <c r="F774">
        <v>0</v>
      </c>
      <c r="G774">
        <v>0</v>
      </c>
      <c r="H774">
        <v>1</v>
      </c>
      <c r="I774">
        <v>0</v>
      </c>
      <c r="J774">
        <v>0</v>
      </c>
      <c r="K774">
        <v>0</v>
      </c>
      <c r="L774">
        <v>0</v>
      </c>
      <c r="M774">
        <v>0</v>
      </c>
      <c r="N774">
        <v>1</v>
      </c>
      <c r="O774" t="str" cm="1">
        <f t="array" ref="O774">_xlfn.IFS(Table1[[#This Row],[Divorced]]=1, "Divorced", Table1[[#This Row],[Married]]=1, "Married", Table1[[#This Row],[Single]]=1, "Single", Table1[[#This Row],[Together]]=1, "Together", Table1[[#This Row],[Widow]]=1, "Widow")</f>
        <v>Single</v>
      </c>
      <c r="P774" t="str" cm="1">
        <f t="array" ref="P774">_xlfn.IFS(Table1[[#This Row],[Basic]]=1, "Basic", Table1[[#This Row],[Graduate]]=1, "Graduate", Table1[[#This Row],[Master]]=1, "Master", Table1[[#This Row],[PhD]]=1, "PhD", AND(Table1[[#This Row],[Basic]]=0, Table1[[#This Row],[Graduate]]=0, Table1[[#This Row],[Master]]=0, Table1[[#This Row],[PhD]]=0), "NA")</f>
        <v>PhD</v>
      </c>
      <c r="Q774" t="e">
        <f>_xlfn.XLOOKUP(Table1[[#This Row],[ID]], Table2[ID],#REF!, "Not Found", 0)</f>
        <v>#REF!</v>
      </c>
      <c r="R774" t="e">
        <f>_xlfn.XLOOKUP(Table1[[#This Row],[ID]], Table2[ID],#REF!, "Not Found", 0)</f>
        <v>#REF!</v>
      </c>
      <c r="S774" s="3">
        <f>_xlfn.XLOOKUP(Table1[[#This Row],[ID]], Table2[ID], Table2[Enrollment], "Not Found", 0)</f>
        <v>43871</v>
      </c>
      <c r="T774" t="s">
        <v>435</v>
      </c>
    </row>
    <row r="775" spans="1:20" x14ac:dyDescent="0.3">
      <c r="A775">
        <v>2328</v>
      </c>
      <c r="B775">
        <v>162061</v>
      </c>
      <c r="C775">
        <v>0</v>
      </c>
      <c r="D775">
        <v>1</v>
      </c>
      <c r="E775">
        <v>44</v>
      </c>
      <c r="F775">
        <v>0</v>
      </c>
      <c r="G775">
        <v>0</v>
      </c>
      <c r="H775">
        <v>0</v>
      </c>
      <c r="I775">
        <v>1</v>
      </c>
      <c r="J775">
        <v>0</v>
      </c>
      <c r="K775">
        <v>0</v>
      </c>
      <c r="L775">
        <v>1</v>
      </c>
      <c r="M775">
        <v>0</v>
      </c>
      <c r="N775">
        <v>0</v>
      </c>
      <c r="O775" t="str" cm="1">
        <f t="array" ref="O775">_xlfn.IFS(Table1[[#This Row],[Divorced]]=1, "Divorced", Table1[[#This Row],[Married]]=1, "Married", Table1[[#This Row],[Single]]=1, "Single", Table1[[#This Row],[Together]]=1, "Together", Table1[[#This Row],[Widow]]=1, "Widow")</f>
        <v>Together</v>
      </c>
      <c r="P775" t="str" cm="1">
        <f t="array" ref="P775">_xlfn.IFS(Table1[[#This Row],[Basic]]=1, "Basic", Table1[[#This Row],[Graduate]]=1, "Graduate", Table1[[#This Row],[Master]]=1, "Master", Table1[[#This Row],[PhD]]=1, "PhD", AND(Table1[[#This Row],[Basic]]=0, Table1[[#This Row],[Graduate]]=0, Table1[[#This Row],[Master]]=0, Table1[[#This Row],[PhD]]=0), "NA")</f>
        <v>Graduate</v>
      </c>
      <c r="Q775" t="e">
        <f>_xlfn.XLOOKUP(Table1[[#This Row],[ID]], Table2[ID],#REF!, "Not Found", 0)</f>
        <v>#REF!</v>
      </c>
      <c r="R775" t="e">
        <f>_xlfn.XLOOKUP(Table1[[#This Row],[ID]], Table2[ID],#REF!, "Not Found", 0)</f>
        <v>#REF!</v>
      </c>
      <c r="S775" s="3">
        <f>_xlfn.XLOOKUP(Table1[[#This Row],[ID]], Table2[ID], Table2[Enrollment], "Not Found", 0)</f>
        <v>43953</v>
      </c>
      <c r="T775" t="s">
        <v>436</v>
      </c>
    </row>
    <row r="776" spans="1:20" x14ac:dyDescent="0.3">
      <c r="A776">
        <v>1750</v>
      </c>
      <c r="B776">
        <v>162058</v>
      </c>
      <c r="C776">
        <v>0</v>
      </c>
      <c r="D776">
        <v>1</v>
      </c>
      <c r="E776">
        <v>64</v>
      </c>
      <c r="F776">
        <v>0</v>
      </c>
      <c r="G776">
        <v>1</v>
      </c>
      <c r="H776">
        <v>0</v>
      </c>
      <c r="I776">
        <v>0</v>
      </c>
      <c r="J776">
        <v>0</v>
      </c>
      <c r="K776">
        <v>0</v>
      </c>
      <c r="L776">
        <v>0</v>
      </c>
      <c r="M776">
        <v>1</v>
      </c>
      <c r="N776">
        <v>0</v>
      </c>
      <c r="O776" t="str" cm="1">
        <f t="array" ref="O776">_xlfn.IFS(Table1[[#This Row],[Divorced]]=1, "Divorced", Table1[[#This Row],[Married]]=1, "Married", Table1[[#This Row],[Single]]=1, "Single", Table1[[#This Row],[Together]]=1, "Together", Table1[[#This Row],[Widow]]=1, "Widow")</f>
        <v>Married</v>
      </c>
      <c r="P776" t="str" cm="1">
        <f t="array" ref="P776">_xlfn.IFS(Table1[[#This Row],[Basic]]=1, "Basic", Table1[[#This Row],[Graduate]]=1, "Graduate", Table1[[#This Row],[Master]]=1, "Master", Table1[[#This Row],[PhD]]=1, "PhD", AND(Table1[[#This Row],[Basic]]=0, Table1[[#This Row],[Graduate]]=0, Table1[[#This Row],[Master]]=0, Table1[[#This Row],[PhD]]=0), "NA")</f>
        <v>Master</v>
      </c>
      <c r="Q776" t="e">
        <f>_xlfn.XLOOKUP(Table1[[#This Row],[ID]], Table2[ID],#REF!, "Not Found", 0)</f>
        <v>#REF!</v>
      </c>
      <c r="R776" t="e">
        <f>_xlfn.XLOOKUP(Table1[[#This Row],[ID]], Table2[ID],#REF!, "Not Found", 0)</f>
        <v>#REF!</v>
      </c>
      <c r="S776" s="3" t="str">
        <f>_xlfn.XLOOKUP(Table1[[#This Row],[ID]], Table2[ID], Table2[Enrollment], "Not Found", 0)</f>
        <v>10/31/2019</v>
      </c>
      <c r="T776" t="s">
        <v>439</v>
      </c>
    </row>
    <row r="777" spans="1:20" x14ac:dyDescent="0.3">
      <c r="A777">
        <v>1462</v>
      </c>
      <c r="B777">
        <v>162010</v>
      </c>
      <c r="C777">
        <v>0</v>
      </c>
      <c r="D777">
        <v>1</v>
      </c>
      <c r="E777">
        <v>48</v>
      </c>
      <c r="F777">
        <v>0</v>
      </c>
      <c r="G777">
        <v>1</v>
      </c>
      <c r="H777">
        <v>0</v>
      </c>
      <c r="I777">
        <v>0</v>
      </c>
      <c r="J777">
        <v>0</v>
      </c>
      <c r="K777">
        <v>0</v>
      </c>
      <c r="L777">
        <v>0</v>
      </c>
      <c r="M777">
        <v>0</v>
      </c>
      <c r="N777">
        <v>1</v>
      </c>
      <c r="O777" t="str" cm="1">
        <f t="array" ref="O777">_xlfn.IFS(Table1[[#This Row],[Divorced]]=1, "Divorced", Table1[[#This Row],[Married]]=1, "Married", Table1[[#This Row],[Single]]=1, "Single", Table1[[#This Row],[Together]]=1, "Together", Table1[[#This Row],[Widow]]=1, "Widow")</f>
        <v>Married</v>
      </c>
      <c r="P777" t="str" cm="1">
        <f t="array" ref="P777">_xlfn.IFS(Table1[[#This Row],[Basic]]=1, "Basic", Table1[[#This Row],[Graduate]]=1, "Graduate", Table1[[#This Row],[Master]]=1, "Master", Table1[[#This Row],[PhD]]=1, "PhD", AND(Table1[[#This Row],[Basic]]=0, Table1[[#This Row],[Graduate]]=0, Table1[[#This Row],[Master]]=0, Table1[[#This Row],[PhD]]=0), "NA")</f>
        <v>PhD</v>
      </c>
      <c r="Q777" t="e">
        <f>_xlfn.XLOOKUP(Table1[[#This Row],[ID]], Table2[ID],#REF!, "Not Found", 0)</f>
        <v>#REF!</v>
      </c>
      <c r="R777" t="e">
        <f>_xlfn.XLOOKUP(Table1[[#This Row],[ID]], Table2[ID],#REF!, "Not Found", 0)</f>
        <v>#REF!</v>
      </c>
      <c r="S777" s="3" t="str">
        <f>_xlfn.XLOOKUP(Table1[[#This Row],[ID]], Table2[ID], Table2[Enrollment], "Not Found", 0)</f>
        <v>3/30/2019</v>
      </c>
      <c r="T777" t="s">
        <v>439</v>
      </c>
    </row>
    <row r="778" spans="1:20" x14ac:dyDescent="0.3">
      <c r="A778">
        <v>2168</v>
      </c>
      <c r="B778">
        <v>162000</v>
      </c>
      <c r="C778">
        <v>0</v>
      </c>
      <c r="D778">
        <v>1</v>
      </c>
      <c r="E778">
        <v>68</v>
      </c>
      <c r="F778">
        <v>0</v>
      </c>
      <c r="G778">
        <v>0</v>
      </c>
      <c r="H778">
        <v>1</v>
      </c>
      <c r="I778">
        <v>0</v>
      </c>
      <c r="J778">
        <v>0</v>
      </c>
      <c r="K778">
        <v>0</v>
      </c>
      <c r="L778">
        <v>0</v>
      </c>
      <c r="M778">
        <v>0</v>
      </c>
      <c r="N778">
        <v>1</v>
      </c>
      <c r="O778" t="str" cm="1">
        <f t="array" ref="O778">_xlfn.IFS(Table1[[#This Row],[Divorced]]=1, "Divorced", Table1[[#This Row],[Married]]=1, "Married", Table1[[#This Row],[Single]]=1, "Single", Table1[[#This Row],[Together]]=1, "Together", Table1[[#This Row],[Widow]]=1, "Widow")</f>
        <v>Single</v>
      </c>
      <c r="P778" t="str" cm="1">
        <f t="array" ref="P778">_xlfn.IFS(Table1[[#This Row],[Basic]]=1, "Basic", Table1[[#This Row],[Graduate]]=1, "Graduate", Table1[[#This Row],[Master]]=1, "Master", Table1[[#This Row],[PhD]]=1, "PhD", AND(Table1[[#This Row],[Basic]]=0, Table1[[#This Row],[Graduate]]=0, Table1[[#This Row],[Master]]=0, Table1[[#This Row],[PhD]]=0), "NA")</f>
        <v>PhD</v>
      </c>
      <c r="Q778" t="e">
        <f>_xlfn.XLOOKUP(Table1[[#This Row],[ID]], Table2[ID],#REF!, "Not Found", 0)</f>
        <v>#REF!</v>
      </c>
      <c r="R778" t="e">
        <f>_xlfn.XLOOKUP(Table1[[#This Row],[ID]], Table2[ID],#REF!, "Not Found", 0)</f>
        <v>#REF!</v>
      </c>
      <c r="S778" s="3" t="str">
        <f>_xlfn.XLOOKUP(Table1[[#This Row],[ID]], Table2[ID], Table2[Enrollment], "Not Found", 0)</f>
        <v>1/30/2020</v>
      </c>
      <c r="T778" t="s">
        <v>438</v>
      </c>
    </row>
    <row r="779" spans="1:20" x14ac:dyDescent="0.3">
      <c r="A779">
        <v>1559</v>
      </c>
      <c r="B779">
        <v>161996</v>
      </c>
      <c r="C779">
        <v>0</v>
      </c>
      <c r="D779">
        <v>1</v>
      </c>
      <c r="E779">
        <v>43</v>
      </c>
      <c r="F779">
        <v>0</v>
      </c>
      <c r="G779">
        <v>1</v>
      </c>
      <c r="H779">
        <v>0</v>
      </c>
      <c r="I779">
        <v>0</v>
      </c>
      <c r="J779">
        <v>0</v>
      </c>
      <c r="K779">
        <v>0</v>
      </c>
      <c r="L779">
        <v>0</v>
      </c>
      <c r="M779">
        <v>0</v>
      </c>
      <c r="N779">
        <v>1</v>
      </c>
      <c r="O779" t="str" cm="1">
        <f t="array" ref="O779">_xlfn.IFS(Table1[[#This Row],[Divorced]]=1, "Divorced", Table1[[#This Row],[Married]]=1, "Married", Table1[[#This Row],[Single]]=1, "Single", Table1[[#This Row],[Together]]=1, "Together", Table1[[#This Row],[Widow]]=1, "Widow")</f>
        <v>Married</v>
      </c>
      <c r="P779" t="str" cm="1">
        <f t="array" ref="P779">_xlfn.IFS(Table1[[#This Row],[Basic]]=1, "Basic", Table1[[#This Row],[Graduate]]=1, "Graduate", Table1[[#This Row],[Master]]=1, "Master", Table1[[#This Row],[PhD]]=1, "PhD", AND(Table1[[#This Row],[Basic]]=0, Table1[[#This Row],[Graduate]]=0, Table1[[#This Row],[Master]]=0, Table1[[#This Row],[PhD]]=0), "NA")</f>
        <v>PhD</v>
      </c>
      <c r="Q779" t="e">
        <f>_xlfn.XLOOKUP(Table1[[#This Row],[ID]], Table2[ID],#REF!, "Not Found", 0)</f>
        <v>#REF!</v>
      </c>
      <c r="R779" t="e">
        <f>_xlfn.XLOOKUP(Table1[[#This Row],[ID]], Table2[ID],#REF!, "Not Found", 0)</f>
        <v>#REF!</v>
      </c>
      <c r="S779" s="3">
        <f>_xlfn.XLOOKUP(Table1[[#This Row],[ID]], Table2[ID], Table2[Enrollment], "Not Found", 0)</f>
        <v>43684</v>
      </c>
      <c r="T779" t="s">
        <v>434</v>
      </c>
    </row>
    <row r="780" spans="1:20" x14ac:dyDescent="0.3">
      <c r="A780">
        <v>1676</v>
      </c>
      <c r="B780">
        <v>161923</v>
      </c>
      <c r="C780">
        <v>0</v>
      </c>
      <c r="D780">
        <v>2</v>
      </c>
      <c r="E780">
        <v>59</v>
      </c>
      <c r="F780">
        <v>0</v>
      </c>
      <c r="G780">
        <v>1</v>
      </c>
      <c r="H780">
        <v>0</v>
      </c>
      <c r="I780">
        <v>0</v>
      </c>
      <c r="J780">
        <v>0</v>
      </c>
      <c r="K780">
        <v>0</v>
      </c>
      <c r="L780">
        <v>0</v>
      </c>
      <c r="M780">
        <v>1</v>
      </c>
      <c r="N780">
        <v>0</v>
      </c>
      <c r="O780" t="str" cm="1">
        <f t="array" ref="O780">_xlfn.IFS(Table1[[#This Row],[Divorced]]=1, "Divorced", Table1[[#This Row],[Married]]=1, "Married", Table1[[#This Row],[Single]]=1, "Single", Table1[[#This Row],[Together]]=1, "Together", Table1[[#This Row],[Widow]]=1, "Widow")</f>
        <v>Married</v>
      </c>
      <c r="P780" t="str" cm="1">
        <f t="array" ref="P780">_xlfn.IFS(Table1[[#This Row],[Basic]]=1, "Basic", Table1[[#This Row],[Graduate]]=1, "Graduate", Table1[[#This Row],[Master]]=1, "Master", Table1[[#This Row],[PhD]]=1, "PhD", AND(Table1[[#This Row],[Basic]]=0, Table1[[#This Row],[Graduate]]=0, Table1[[#This Row],[Master]]=0, Table1[[#This Row],[PhD]]=0), "NA")</f>
        <v>Master</v>
      </c>
      <c r="Q780" t="e">
        <f>_xlfn.XLOOKUP(Table1[[#This Row],[ID]], Table2[ID],#REF!, "Not Found", 0)</f>
        <v>#REF!</v>
      </c>
      <c r="R780" t="e">
        <f>_xlfn.XLOOKUP(Table1[[#This Row],[ID]], Table2[ID],#REF!, "Not Found", 0)</f>
        <v>#REF!</v>
      </c>
      <c r="S780" s="3" t="str">
        <f>_xlfn.XLOOKUP(Table1[[#This Row],[ID]], Table2[ID], Table2[Enrollment], "Not Found", 0)</f>
        <v>12/31/2019</v>
      </c>
      <c r="T780" t="s">
        <v>438</v>
      </c>
    </row>
    <row r="781" spans="1:20" x14ac:dyDescent="0.3">
      <c r="A781">
        <v>2905</v>
      </c>
      <c r="B781">
        <v>161917</v>
      </c>
      <c r="C781">
        <v>1</v>
      </c>
      <c r="D781">
        <v>1</v>
      </c>
      <c r="E781">
        <v>46</v>
      </c>
      <c r="F781">
        <v>0</v>
      </c>
      <c r="G781">
        <v>1</v>
      </c>
      <c r="H781">
        <v>0</v>
      </c>
      <c r="I781">
        <v>0</v>
      </c>
      <c r="J781">
        <v>0</v>
      </c>
      <c r="K781">
        <v>0</v>
      </c>
      <c r="L781">
        <v>0</v>
      </c>
      <c r="M781">
        <v>0</v>
      </c>
      <c r="N781">
        <v>1</v>
      </c>
      <c r="O781" t="str" cm="1">
        <f t="array" ref="O781">_xlfn.IFS(Table1[[#This Row],[Divorced]]=1, "Divorced", Table1[[#This Row],[Married]]=1, "Married", Table1[[#This Row],[Single]]=1, "Single", Table1[[#This Row],[Together]]=1, "Together", Table1[[#This Row],[Widow]]=1, "Widow")</f>
        <v>Married</v>
      </c>
      <c r="P781" t="str" cm="1">
        <f t="array" ref="P781">_xlfn.IFS(Table1[[#This Row],[Basic]]=1, "Basic", Table1[[#This Row],[Graduate]]=1, "Graduate", Table1[[#This Row],[Master]]=1, "Master", Table1[[#This Row],[PhD]]=1, "PhD", AND(Table1[[#This Row],[Basic]]=0, Table1[[#This Row],[Graduate]]=0, Table1[[#This Row],[Master]]=0, Table1[[#This Row],[PhD]]=0), "NA")</f>
        <v>PhD</v>
      </c>
      <c r="Q781" t="e">
        <f>_xlfn.XLOOKUP(Table1[[#This Row],[ID]], Table2[ID],#REF!, "Not Found", 0)</f>
        <v>#REF!</v>
      </c>
      <c r="R781" t="e">
        <f>_xlfn.XLOOKUP(Table1[[#This Row],[ID]], Table2[ID],#REF!, "Not Found", 0)</f>
        <v>#REF!</v>
      </c>
      <c r="S781" s="3" t="str">
        <f>_xlfn.XLOOKUP(Table1[[#This Row],[ID]], Table2[ID], Table2[Enrollment], "Not Found", 0)</f>
        <v>4/26/2020</v>
      </c>
      <c r="T781" t="s">
        <v>437</v>
      </c>
    </row>
    <row r="782" spans="1:20" x14ac:dyDescent="0.3">
      <c r="A782">
        <v>1259</v>
      </c>
      <c r="B782">
        <v>161905</v>
      </c>
      <c r="C782">
        <v>0</v>
      </c>
      <c r="D782">
        <v>1</v>
      </c>
      <c r="E782">
        <v>45</v>
      </c>
      <c r="F782">
        <v>0</v>
      </c>
      <c r="G782">
        <v>0</v>
      </c>
      <c r="H782">
        <v>0</v>
      </c>
      <c r="I782">
        <v>1</v>
      </c>
      <c r="J782">
        <v>0</v>
      </c>
      <c r="K782">
        <v>0</v>
      </c>
      <c r="L782">
        <v>0</v>
      </c>
      <c r="M782">
        <v>0</v>
      </c>
      <c r="N782">
        <v>1</v>
      </c>
      <c r="O782" t="str" cm="1">
        <f t="array" ref="O782">_xlfn.IFS(Table1[[#This Row],[Divorced]]=1, "Divorced", Table1[[#This Row],[Married]]=1, "Married", Table1[[#This Row],[Single]]=1, "Single", Table1[[#This Row],[Together]]=1, "Together", Table1[[#This Row],[Widow]]=1, "Widow")</f>
        <v>Together</v>
      </c>
      <c r="P782" t="str" cm="1">
        <f t="array" ref="P782">_xlfn.IFS(Table1[[#This Row],[Basic]]=1, "Basic", Table1[[#This Row],[Graduate]]=1, "Graduate", Table1[[#This Row],[Master]]=1, "Master", Table1[[#This Row],[PhD]]=1, "PhD", AND(Table1[[#This Row],[Basic]]=0, Table1[[#This Row],[Graduate]]=0, Table1[[#This Row],[Master]]=0, Table1[[#This Row],[PhD]]=0), "NA")</f>
        <v>PhD</v>
      </c>
      <c r="Q782" t="e">
        <f>_xlfn.XLOOKUP(Table1[[#This Row],[ID]], Table2[ID],#REF!, "Not Found", 0)</f>
        <v>#REF!</v>
      </c>
      <c r="R782" t="e">
        <f>_xlfn.XLOOKUP(Table1[[#This Row],[ID]], Table2[ID],#REF!, "Not Found", 0)</f>
        <v>#REF!</v>
      </c>
      <c r="S782" s="3">
        <f>_xlfn.XLOOKUP(Table1[[#This Row],[ID]], Table2[ID], Table2[Enrollment], "Not Found", 0)</f>
        <v>44142</v>
      </c>
      <c r="T782" t="s">
        <v>434</v>
      </c>
    </row>
    <row r="783" spans="1:20" x14ac:dyDescent="0.3">
      <c r="A783">
        <v>1781</v>
      </c>
      <c r="B783">
        <v>161872</v>
      </c>
      <c r="C783">
        <v>0</v>
      </c>
      <c r="D783">
        <v>1</v>
      </c>
      <c r="E783">
        <v>50</v>
      </c>
      <c r="F783">
        <v>0</v>
      </c>
      <c r="G783">
        <v>1</v>
      </c>
      <c r="H783">
        <v>0</v>
      </c>
      <c r="I783">
        <v>0</v>
      </c>
      <c r="J783">
        <v>0</v>
      </c>
      <c r="K783">
        <v>0</v>
      </c>
      <c r="L783">
        <v>0</v>
      </c>
      <c r="M783">
        <v>1</v>
      </c>
      <c r="N783">
        <v>0</v>
      </c>
      <c r="O783" t="str" cm="1">
        <f t="array" ref="O783">_xlfn.IFS(Table1[[#This Row],[Divorced]]=1, "Divorced", Table1[[#This Row],[Married]]=1, "Married", Table1[[#This Row],[Single]]=1, "Single", Table1[[#This Row],[Together]]=1, "Together", Table1[[#This Row],[Widow]]=1, "Widow")</f>
        <v>Married</v>
      </c>
      <c r="P783" t="str" cm="1">
        <f t="array" ref="P783">_xlfn.IFS(Table1[[#This Row],[Basic]]=1, "Basic", Table1[[#This Row],[Graduate]]=1, "Graduate", Table1[[#This Row],[Master]]=1, "Master", Table1[[#This Row],[PhD]]=1, "PhD", AND(Table1[[#This Row],[Basic]]=0, Table1[[#This Row],[Graduate]]=0, Table1[[#This Row],[Master]]=0, Table1[[#This Row],[PhD]]=0), "NA")</f>
        <v>Master</v>
      </c>
      <c r="Q783" t="e">
        <f>_xlfn.XLOOKUP(Table1[[#This Row],[ID]], Table2[ID],#REF!, "Not Found", 0)</f>
        <v>#REF!</v>
      </c>
      <c r="R783" t="e">
        <f>_xlfn.XLOOKUP(Table1[[#This Row],[ID]], Table2[ID],#REF!, "Not Found", 0)</f>
        <v>#REF!</v>
      </c>
      <c r="S783" s="3" t="str">
        <f>_xlfn.XLOOKUP(Table1[[#This Row],[ID]], Table2[ID], Table2[Enrollment], "Not Found", 0)</f>
        <v>5/19/2020</v>
      </c>
      <c r="T783" t="s">
        <v>434</v>
      </c>
    </row>
    <row r="784" spans="1:20" x14ac:dyDescent="0.3">
      <c r="A784">
        <v>1512</v>
      </c>
      <c r="B784">
        <v>161839</v>
      </c>
      <c r="C784">
        <v>0</v>
      </c>
      <c r="D784">
        <v>0</v>
      </c>
      <c r="E784">
        <v>56</v>
      </c>
      <c r="F784">
        <v>0</v>
      </c>
      <c r="G784">
        <v>0</v>
      </c>
      <c r="H784">
        <v>1</v>
      </c>
      <c r="I784">
        <v>0</v>
      </c>
      <c r="J784">
        <v>0</v>
      </c>
      <c r="K784">
        <v>0</v>
      </c>
      <c r="L784">
        <v>1</v>
      </c>
      <c r="M784">
        <v>0</v>
      </c>
      <c r="N784">
        <v>0</v>
      </c>
      <c r="O784" t="str" cm="1">
        <f t="array" ref="O784">_xlfn.IFS(Table1[[#This Row],[Divorced]]=1, "Divorced", Table1[[#This Row],[Married]]=1, "Married", Table1[[#This Row],[Single]]=1, "Single", Table1[[#This Row],[Together]]=1, "Together", Table1[[#This Row],[Widow]]=1, "Widow")</f>
        <v>Single</v>
      </c>
      <c r="P784" t="str" cm="1">
        <f t="array" ref="P784">_xlfn.IFS(Table1[[#This Row],[Basic]]=1, "Basic", Table1[[#This Row],[Graduate]]=1, "Graduate", Table1[[#This Row],[Master]]=1, "Master", Table1[[#This Row],[PhD]]=1, "PhD", AND(Table1[[#This Row],[Basic]]=0, Table1[[#This Row],[Graduate]]=0, Table1[[#This Row],[Master]]=0, Table1[[#This Row],[PhD]]=0), "NA")</f>
        <v>Graduate</v>
      </c>
      <c r="Q784" t="e">
        <f>_xlfn.XLOOKUP(Table1[[#This Row],[ID]], Table2[ID],#REF!, "Not Found", 0)</f>
        <v>#REF!</v>
      </c>
      <c r="R784" t="e">
        <f>_xlfn.XLOOKUP(Table1[[#This Row],[ID]], Table2[ID],#REF!, "Not Found", 0)</f>
        <v>#REF!</v>
      </c>
      <c r="S784" s="3" t="str">
        <f>_xlfn.XLOOKUP(Table1[[#This Row],[ID]], Table2[ID], Table2[Enrollment], "Not Found", 0)</f>
        <v>1/17/2019</v>
      </c>
      <c r="T784" t="s">
        <v>436</v>
      </c>
    </row>
    <row r="785" spans="1:20" x14ac:dyDescent="0.3">
      <c r="A785">
        <v>2076</v>
      </c>
      <c r="B785">
        <v>161825</v>
      </c>
      <c r="C785">
        <v>0</v>
      </c>
      <c r="D785">
        <v>1</v>
      </c>
      <c r="E785">
        <v>41</v>
      </c>
      <c r="F785">
        <v>0</v>
      </c>
      <c r="G785">
        <v>0</v>
      </c>
      <c r="H785">
        <v>1</v>
      </c>
      <c r="I785">
        <v>0</v>
      </c>
      <c r="J785">
        <v>0</v>
      </c>
      <c r="K785">
        <v>0</v>
      </c>
      <c r="L785">
        <v>1</v>
      </c>
      <c r="M785">
        <v>0</v>
      </c>
      <c r="N785">
        <v>0</v>
      </c>
      <c r="O785" t="str" cm="1">
        <f t="array" ref="O785">_xlfn.IFS(Table1[[#This Row],[Divorced]]=1, "Divorced", Table1[[#This Row],[Married]]=1, "Married", Table1[[#This Row],[Single]]=1, "Single", Table1[[#This Row],[Together]]=1, "Together", Table1[[#This Row],[Widow]]=1, "Widow")</f>
        <v>Single</v>
      </c>
      <c r="P785" t="str" cm="1">
        <f t="array" ref="P785">_xlfn.IFS(Table1[[#This Row],[Basic]]=1, "Basic", Table1[[#This Row],[Graduate]]=1, "Graduate", Table1[[#This Row],[Master]]=1, "Master", Table1[[#This Row],[PhD]]=1, "PhD", AND(Table1[[#This Row],[Basic]]=0, Table1[[#This Row],[Graduate]]=0, Table1[[#This Row],[Master]]=0, Table1[[#This Row],[PhD]]=0), "NA")</f>
        <v>Graduate</v>
      </c>
      <c r="Q785" t="e">
        <f>_xlfn.XLOOKUP(Table1[[#This Row],[ID]], Table2[ID],#REF!, "Not Found", 0)</f>
        <v>#REF!</v>
      </c>
      <c r="R785" t="e">
        <f>_xlfn.XLOOKUP(Table1[[#This Row],[ID]], Table2[ID],#REF!, "Not Found", 0)</f>
        <v>#REF!</v>
      </c>
      <c r="S785" s="3">
        <f>_xlfn.XLOOKUP(Table1[[#This Row],[ID]], Table2[ID], Table2[Enrollment], "Not Found", 0)</f>
        <v>44166</v>
      </c>
      <c r="T785" t="s">
        <v>436</v>
      </c>
    </row>
    <row r="786" spans="1:20" x14ac:dyDescent="0.3">
      <c r="A786">
        <v>2837</v>
      </c>
      <c r="B786">
        <v>161825</v>
      </c>
      <c r="C786">
        <v>0</v>
      </c>
      <c r="D786">
        <v>1</v>
      </c>
      <c r="E786">
        <v>41</v>
      </c>
      <c r="F786">
        <v>0</v>
      </c>
      <c r="G786">
        <v>0</v>
      </c>
      <c r="H786">
        <v>1</v>
      </c>
      <c r="I786">
        <v>0</v>
      </c>
      <c r="J786">
        <v>0</v>
      </c>
      <c r="K786">
        <v>0</v>
      </c>
      <c r="L786">
        <v>1</v>
      </c>
      <c r="M786">
        <v>0</v>
      </c>
      <c r="N786">
        <v>0</v>
      </c>
      <c r="O786" t="str" cm="1">
        <f t="array" ref="O786">_xlfn.IFS(Table1[[#This Row],[Divorced]]=1, "Divorced", Table1[[#This Row],[Married]]=1, "Married", Table1[[#This Row],[Single]]=1, "Single", Table1[[#This Row],[Together]]=1, "Together", Table1[[#This Row],[Widow]]=1, "Widow")</f>
        <v>Single</v>
      </c>
      <c r="P786" t="str" cm="1">
        <f t="array" ref="P786">_xlfn.IFS(Table1[[#This Row],[Basic]]=1, "Basic", Table1[[#This Row],[Graduate]]=1, "Graduate", Table1[[#This Row],[Master]]=1, "Master", Table1[[#This Row],[PhD]]=1, "PhD", AND(Table1[[#This Row],[Basic]]=0, Table1[[#This Row],[Graduate]]=0, Table1[[#This Row],[Master]]=0, Table1[[#This Row],[PhD]]=0), "NA")</f>
        <v>Graduate</v>
      </c>
      <c r="Q786" t="e">
        <f>_xlfn.XLOOKUP(Table1[[#This Row],[ID]], Table2[ID],#REF!, "Not Found", 0)</f>
        <v>#REF!</v>
      </c>
      <c r="R786" t="e">
        <f>_xlfn.XLOOKUP(Table1[[#This Row],[ID]], Table2[ID],#REF!, "Not Found", 0)</f>
        <v>#REF!</v>
      </c>
      <c r="S786" s="3">
        <f>_xlfn.XLOOKUP(Table1[[#This Row],[ID]], Table2[ID], Table2[Enrollment], "Not Found", 0)</f>
        <v>44166</v>
      </c>
      <c r="T786" t="s">
        <v>434</v>
      </c>
    </row>
    <row r="787" spans="1:20" x14ac:dyDescent="0.3">
      <c r="A787">
        <v>1058</v>
      </c>
      <c r="B787">
        <v>161823</v>
      </c>
      <c r="C787">
        <v>0</v>
      </c>
      <c r="D787">
        <v>1</v>
      </c>
      <c r="E787">
        <v>68</v>
      </c>
      <c r="F787">
        <v>0</v>
      </c>
      <c r="G787">
        <v>0</v>
      </c>
      <c r="H787">
        <v>1</v>
      </c>
      <c r="I787">
        <v>0</v>
      </c>
      <c r="J787">
        <v>0</v>
      </c>
      <c r="K787">
        <v>0</v>
      </c>
      <c r="L787">
        <v>1</v>
      </c>
      <c r="M787">
        <v>0</v>
      </c>
      <c r="N787">
        <v>0</v>
      </c>
      <c r="O787" t="str" cm="1">
        <f t="array" ref="O787">_xlfn.IFS(Table1[[#This Row],[Divorced]]=1, "Divorced", Table1[[#This Row],[Married]]=1, "Married", Table1[[#This Row],[Single]]=1, "Single", Table1[[#This Row],[Together]]=1, "Together", Table1[[#This Row],[Widow]]=1, "Widow")</f>
        <v>Single</v>
      </c>
      <c r="P787" t="str" cm="1">
        <f t="array" ref="P787">_xlfn.IFS(Table1[[#This Row],[Basic]]=1, "Basic", Table1[[#This Row],[Graduate]]=1, "Graduate", Table1[[#This Row],[Master]]=1, "Master", Table1[[#This Row],[PhD]]=1, "PhD", AND(Table1[[#This Row],[Basic]]=0, Table1[[#This Row],[Graduate]]=0, Table1[[#This Row],[Master]]=0, Table1[[#This Row],[PhD]]=0), "NA")</f>
        <v>Graduate</v>
      </c>
      <c r="Q787" t="e">
        <f>_xlfn.XLOOKUP(Table1[[#This Row],[ID]], Table2[ID],#REF!, "Not Found", 0)</f>
        <v>#REF!</v>
      </c>
      <c r="R787" t="e">
        <f>_xlfn.XLOOKUP(Table1[[#This Row],[ID]], Table2[ID],#REF!, "Not Found", 0)</f>
        <v>#REF!</v>
      </c>
      <c r="S787" s="3" t="str">
        <f>_xlfn.XLOOKUP(Table1[[#This Row],[ID]], Table2[ID], Table2[Enrollment], "Not Found", 0)</f>
        <v>7/26/2019</v>
      </c>
      <c r="T787" t="s">
        <v>438</v>
      </c>
    </row>
    <row r="788" spans="1:20" x14ac:dyDescent="0.3">
      <c r="A788">
        <v>2929</v>
      </c>
      <c r="B788">
        <v>161798</v>
      </c>
      <c r="C788">
        <v>0</v>
      </c>
      <c r="D788">
        <v>0</v>
      </c>
      <c r="E788">
        <v>56</v>
      </c>
      <c r="F788">
        <v>0</v>
      </c>
      <c r="G788">
        <v>0</v>
      </c>
      <c r="H788">
        <v>1</v>
      </c>
      <c r="I788">
        <v>0</v>
      </c>
      <c r="J788">
        <v>0</v>
      </c>
      <c r="K788">
        <v>0</v>
      </c>
      <c r="L788">
        <v>0</v>
      </c>
      <c r="M788">
        <v>0</v>
      </c>
      <c r="N788">
        <v>1</v>
      </c>
      <c r="O788" t="str" cm="1">
        <f t="array" ref="O788">_xlfn.IFS(Table1[[#This Row],[Divorced]]=1, "Divorced", Table1[[#This Row],[Married]]=1, "Married", Table1[[#This Row],[Single]]=1, "Single", Table1[[#This Row],[Together]]=1, "Together", Table1[[#This Row],[Widow]]=1, "Widow")</f>
        <v>Single</v>
      </c>
      <c r="P788" t="str" cm="1">
        <f t="array" ref="P788">_xlfn.IFS(Table1[[#This Row],[Basic]]=1, "Basic", Table1[[#This Row],[Graduate]]=1, "Graduate", Table1[[#This Row],[Master]]=1, "Master", Table1[[#This Row],[PhD]]=1, "PhD", AND(Table1[[#This Row],[Basic]]=0, Table1[[#This Row],[Graduate]]=0, Table1[[#This Row],[Master]]=0, Table1[[#This Row],[PhD]]=0), "NA")</f>
        <v>PhD</v>
      </c>
      <c r="Q788" t="e">
        <f>_xlfn.XLOOKUP(Table1[[#This Row],[ID]], Table2[ID],#REF!, "Not Found", 0)</f>
        <v>#REF!</v>
      </c>
      <c r="R788" t="e">
        <f>_xlfn.XLOOKUP(Table1[[#This Row],[ID]], Table2[ID],#REF!, "Not Found", 0)</f>
        <v>#REF!</v>
      </c>
      <c r="S788" s="3" t="str">
        <f>_xlfn.XLOOKUP(Table1[[#This Row],[ID]], Table2[ID], Table2[Enrollment], "Not Found", 0)</f>
        <v>4/29/2020</v>
      </c>
      <c r="T788" t="s">
        <v>437</v>
      </c>
    </row>
    <row r="789" spans="1:20" x14ac:dyDescent="0.3">
      <c r="A789">
        <v>1571</v>
      </c>
      <c r="B789">
        <v>161794</v>
      </c>
      <c r="C789">
        <v>0</v>
      </c>
      <c r="D789">
        <v>1</v>
      </c>
      <c r="E789">
        <v>59</v>
      </c>
      <c r="F789">
        <v>0</v>
      </c>
      <c r="G789">
        <v>1</v>
      </c>
      <c r="H789">
        <v>0</v>
      </c>
      <c r="I789">
        <v>0</v>
      </c>
      <c r="J789">
        <v>0</v>
      </c>
      <c r="K789">
        <v>0</v>
      </c>
      <c r="L789">
        <v>0</v>
      </c>
      <c r="M789">
        <v>1</v>
      </c>
      <c r="N789">
        <v>0</v>
      </c>
      <c r="O789" t="str" cm="1">
        <f t="array" ref="O789">_xlfn.IFS(Table1[[#This Row],[Divorced]]=1, "Divorced", Table1[[#This Row],[Married]]=1, "Married", Table1[[#This Row],[Single]]=1, "Single", Table1[[#This Row],[Together]]=1, "Together", Table1[[#This Row],[Widow]]=1, "Widow")</f>
        <v>Married</v>
      </c>
      <c r="P789" t="str" cm="1">
        <f t="array" ref="P789">_xlfn.IFS(Table1[[#This Row],[Basic]]=1, "Basic", Table1[[#This Row],[Graduate]]=1, "Graduate", Table1[[#This Row],[Master]]=1, "Master", Table1[[#This Row],[PhD]]=1, "PhD", AND(Table1[[#This Row],[Basic]]=0, Table1[[#This Row],[Graduate]]=0, Table1[[#This Row],[Master]]=0, Table1[[#This Row],[PhD]]=0), "NA")</f>
        <v>Master</v>
      </c>
      <c r="Q789" t="e">
        <f>_xlfn.XLOOKUP(Table1[[#This Row],[ID]], Table2[ID],#REF!, "Not Found", 0)</f>
        <v>#REF!</v>
      </c>
      <c r="R789" t="e">
        <f>_xlfn.XLOOKUP(Table1[[#This Row],[ID]], Table2[ID],#REF!, "Not Found", 0)</f>
        <v>#REF!</v>
      </c>
      <c r="S789" s="3" t="str">
        <f>_xlfn.XLOOKUP(Table1[[#This Row],[ID]], Table2[ID], Table2[Enrollment], "Not Found", 0)</f>
        <v>2/19/2020</v>
      </c>
      <c r="T789" t="s">
        <v>434</v>
      </c>
    </row>
    <row r="790" spans="1:20" x14ac:dyDescent="0.3">
      <c r="A790">
        <v>2666</v>
      </c>
      <c r="B790">
        <v>161787</v>
      </c>
      <c r="C790">
        <v>0</v>
      </c>
      <c r="D790">
        <v>0</v>
      </c>
      <c r="E790">
        <v>33</v>
      </c>
      <c r="F790">
        <v>1</v>
      </c>
      <c r="G790">
        <v>0</v>
      </c>
      <c r="H790">
        <v>0</v>
      </c>
      <c r="I790">
        <v>0</v>
      </c>
      <c r="J790">
        <v>0</v>
      </c>
      <c r="K790">
        <v>0</v>
      </c>
      <c r="L790">
        <v>0</v>
      </c>
      <c r="M790">
        <v>1</v>
      </c>
      <c r="N790">
        <v>0</v>
      </c>
      <c r="O790" t="str" cm="1">
        <f t="array" ref="O790">_xlfn.IFS(Table1[[#This Row],[Divorced]]=1, "Divorced", Table1[[#This Row],[Married]]=1, "Married", Table1[[#This Row],[Single]]=1, "Single", Table1[[#This Row],[Together]]=1, "Together", Table1[[#This Row],[Widow]]=1, "Widow")</f>
        <v>Divorced</v>
      </c>
      <c r="P790" t="str" cm="1">
        <f t="array" ref="P790">_xlfn.IFS(Table1[[#This Row],[Basic]]=1, "Basic", Table1[[#This Row],[Graduate]]=1, "Graduate", Table1[[#This Row],[Master]]=1, "Master", Table1[[#This Row],[PhD]]=1, "PhD", AND(Table1[[#This Row],[Basic]]=0, Table1[[#This Row],[Graduate]]=0, Table1[[#This Row],[Master]]=0, Table1[[#This Row],[PhD]]=0), "NA")</f>
        <v>Master</v>
      </c>
      <c r="Q790" t="e">
        <f>_xlfn.XLOOKUP(Table1[[#This Row],[ID]], Table2[ID],#REF!, "Not Found", 0)</f>
        <v>#REF!</v>
      </c>
      <c r="R790" t="e">
        <f>_xlfn.XLOOKUP(Table1[[#This Row],[ID]], Table2[ID],#REF!, "Not Found", 0)</f>
        <v>#REF!</v>
      </c>
      <c r="S790" s="3">
        <f>_xlfn.XLOOKUP(Table1[[#This Row],[ID]], Table2[ID], Table2[Enrollment], "Not Found", 0)</f>
        <v>43781</v>
      </c>
      <c r="T790" t="s">
        <v>438</v>
      </c>
    </row>
    <row r="791" spans="1:20" x14ac:dyDescent="0.3">
      <c r="A791">
        <v>3213</v>
      </c>
      <c r="B791">
        <v>161757</v>
      </c>
      <c r="C791">
        <v>0</v>
      </c>
      <c r="D791">
        <v>0</v>
      </c>
      <c r="E791">
        <v>50</v>
      </c>
      <c r="F791">
        <v>0</v>
      </c>
      <c r="G791">
        <v>0</v>
      </c>
      <c r="H791">
        <v>1</v>
      </c>
      <c r="I791">
        <v>0</v>
      </c>
      <c r="J791">
        <v>0</v>
      </c>
      <c r="K791">
        <v>0</v>
      </c>
      <c r="L791">
        <v>0</v>
      </c>
      <c r="M791">
        <v>1</v>
      </c>
      <c r="N791">
        <v>0</v>
      </c>
      <c r="O791" t="str" cm="1">
        <f t="array" ref="O791">_xlfn.IFS(Table1[[#This Row],[Divorced]]=1, "Divorced", Table1[[#This Row],[Married]]=1, "Married", Table1[[#This Row],[Single]]=1, "Single", Table1[[#This Row],[Together]]=1, "Together", Table1[[#This Row],[Widow]]=1, "Widow")</f>
        <v>Single</v>
      </c>
      <c r="P791" t="str" cm="1">
        <f t="array" ref="P791">_xlfn.IFS(Table1[[#This Row],[Basic]]=1, "Basic", Table1[[#This Row],[Graduate]]=1, "Graduate", Table1[[#This Row],[Master]]=1, "Master", Table1[[#This Row],[PhD]]=1, "PhD", AND(Table1[[#This Row],[Basic]]=0, Table1[[#This Row],[Graduate]]=0, Table1[[#This Row],[Master]]=0, Table1[[#This Row],[PhD]]=0), "NA")</f>
        <v>Master</v>
      </c>
      <c r="Q791" t="e">
        <f>_xlfn.XLOOKUP(Table1[[#This Row],[ID]], Table2[ID],#REF!, "Not Found", 0)</f>
        <v>#REF!</v>
      </c>
      <c r="R791" t="e">
        <f>_xlfn.XLOOKUP(Table1[[#This Row],[ID]], Table2[ID],#REF!, "Not Found", 0)</f>
        <v>#REF!</v>
      </c>
      <c r="S791" s="3" t="str">
        <f>_xlfn.XLOOKUP(Table1[[#This Row],[ID]], Table2[ID], Table2[Enrollment], "Not Found", 0)</f>
        <v>1/26/2019</v>
      </c>
      <c r="T791" t="s">
        <v>435</v>
      </c>
    </row>
    <row r="792" spans="1:20" x14ac:dyDescent="0.3">
      <c r="A792">
        <v>2868</v>
      </c>
      <c r="B792">
        <v>161671</v>
      </c>
      <c r="C792">
        <v>0</v>
      </c>
      <c r="D792">
        <v>1</v>
      </c>
      <c r="E792">
        <v>52</v>
      </c>
      <c r="F792">
        <v>1</v>
      </c>
      <c r="G792">
        <v>0</v>
      </c>
      <c r="H792">
        <v>0</v>
      </c>
      <c r="I792">
        <v>0</v>
      </c>
      <c r="J792">
        <v>0</v>
      </c>
      <c r="K792">
        <v>0</v>
      </c>
      <c r="L792">
        <v>1</v>
      </c>
      <c r="M792">
        <v>0</v>
      </c>
      <c r="N792">
        <v>0</v>
      </c>
      <c r="O792" t="str" cm="1">
        <f t="array" ref="O792">_xlfn.IFS(Table1[[#This Row],[Divorced]]=1, "Divorced", Table1[[#This Row],[Married]]=1, "Married", Table1[[#This Row],[Single]]=1, "Single", Table1[[#This Row],[Together]]=1, "Together", Table1[[#This Row],[Widow]]=1, "Widow")</f>
        <v>Divorced</v>
      </c>
      <c r="P792" t="str" cm="1">
        <f t="array" ref="P792">_xlfn.IFS(Table1[[#This Row],[Basic]]=1, "Basic", Table1[[#This Row],[Graduate]]=1, "Graduate", Table1[[#This Row],[Master]]=1, "Master", Table1[[#This Row],[PhD]]=1, "PhD", AND(Table1[[#This Row],[Basic]]=0, Table1[[#This Row],[Graduate]]=0, Table1[[#This Row],[Master]]=0, Table1[[#This Row],[PhD]]=0), "NA")</f>
        <v>Graduate</v>
      </c>
      <c r="Q792" t="e">
        <f>_xlfn.XLOOKUP(Table1[[#This Row],[ID]], Table2[ID],#REF!, "Not Found", 0)</f>
        <v>#REF!</v>
      </c>
      <c r="R792" t="e">
        <f>_xlfn.XLOOKUP(Table1[[#This Row],[ID]], Table2[ID],#REF!, "Not Found", 0)</f>
        <v>#REF!</v>
      </c>
      <c r="S792" s="3">
        <f>_xlfn.XLOOKUP(Table1[[#This Row],[ID]], Table2[ID], Table2[Enrollment], "Not Found", 0)</f>
        <v>44023</v>
      </c>
      <c r="T792" t="s">
        <v>436</v>
      </c>
    </row>
    <row r="793" spans="1:20" x14ac:dyDescent="0.3">
      <c r="A793">
        <v>1827</v>
      </c>
      <c r="B793">
        <v>161618</v>
      </c>
      <c r="C793">
        <v>0</v>
      </c>
      <c r="D793">
        <v>0</v>
      </c>
      <c r="E793">
        <v>29</v>
      </c>
      <c r="F793">
        <v>0</v>
      </c>
      <c r="G793">
        <v>0</v>
      </c>
      <c r="H793">
        <v>1</v>
      </c>
      <c r="I793">
        <v>0</v>
      </c>
      <c r="J793">
        <v>0</v>
      </c>
      <c r="K793">
        <v>0</v>
      </c>
      <c r="L793">
        <v>0</v>
      </c>
      <c r="M793">
        <v>0</v>
      </c>
      <c r="N793">
        <v>0</v>
      </c>
      <c r="O793" t="str" cm="1">
        <f t="array" ref="O793">_xlfn.IFS(Table1[[#This Row],[Divorced]]=1, "Divorced", Table1[[#This Row],[Married]]=1, "Married", Table1[[#This Row],[Single]]=1, "Single", Table1[[#This Row],[Together]]=1, "Together", Table1[[#This Row],[Widow]]=1, "Widow")</f>
        <v>Single</v>
      </c>
      <c r="P793" t="str" cm="1">
        <f t="array" ref="P793">_xlfn.IFS(Table1[[#This Row],[Basic]]=1, "Basic", Table1[[#This Row],[Graduate]]=1, "Graduate", Table1[[#This Row],[Master]]=1, "Master", Table1[[#This Row],[PhD]]=1, "PhD", AND(Table1[[#This Row],[Basic]]=0, Table1[[#This Row],[Graduate]]=0, Table1[[#This Row],[Master]]=0, Table1[[#This Row],[PhD]]=0), "NA")</f>
        <v>NA</v>
      </c>
      <c r="Q793" t="e">
        <f>_xlfn.XLOOKUP(Table1[[#This Row],[ID]], Table2[ID],#REF!, "Not Found", 0)</f>
        <v>#REF!</v>
      </c>
      <c r="R793" t="e">
        <f>_xlfn.XLOOKUP(Table1[[#This Row],[ID]], Table2[ID],#REF!, "Not Found", 0)</f>
        <v>#REF!</v>
      </c>
      <c r="S793" s="3">
        <f>_xlfn.XLOOKUP(Table1[[#This Row],[ID]], Table2[ID], Table2[Enrollment], "Not Found", 0)</f>
        <v>43619</v>
      </c>
      <c r="T793" t="s">
        <v>435</v>
      </c>
    </row>
    <row r="794" spans="1:20" x14ac:dyDescent="0.3">
      <c r="A794">
        <v>2197</v>
      </c>
      <c r="B794">
        <v>161559</v>
      </c>
      <c r="C794">
        <v>0</v>
      </c>
      <c r="D794">
        <v>1</v>
      </c>
      <c r="E794">
        <v>55</v>
      </c>
      <c r="F794">
        <v>0</v>
      </c>
      <c r="G794">
        <v>0</v>
      </c>
      <c r="H794">
        <v>1</v>
      </c>
      <c r="I794">
        <v>0</v>
      </c>
      <c r="J794">
        <v>0</v>
      </c>
      <c r="K794">
        <v>0</v>
      </c>
      <c r="L794">
        <v>1</v>
      </c>
      <c r="M794">
        <v>0</v>
      </c>
      <c r="N794">
        <v>0</v>
      </c>
      <c r="O794" t="str" cm="1">
        <f t="array" ref="O794">_xlfn.IFS(Table1[[#This Row],[Divorced]]=1, "Divorced", Table1[[#This Row],[Married]]=1, "Married", Table1[[#This Row],[Single]]=1, "Single", Table1[[#This Row],[Together]]=1, "Together", Table1[[#This Row],[Widow]]=1, "Widow")</f>
        <v>Single</v>
      </c>
      <c r="P794" t="str" cm="1">
        <f t="array" ref="P794">_xlfn.IFS(Table1[[#This Row],[Basic]]=1, "Basic", Table1[[#This Row],[Graduate]]=1, "Graduate", Table1[[#This Row],[Master]]=1, "Master", Table1[[#This Row],[PhD]]=1, "PhD", AND(Table1[[#This Row],[Basic]]=0, Table1[[#This Row],[Graduate]]=0, Table1[[#This Row],[Master]]=0, Table1[[#This Row],[PhD]]=0), "NA")</f>
        <v>Graduate</v>
      </c>
      <c r="Q794" t="e">
        <f>_xlfn.XLOOKUP(Table1[[#This Row],[ID]], Table2[ID],#REF!, "Not Found", 0)</f>
        <v>#REF!</v>
      </c>
      <c r="R794" t="e">
        <f>_xlfn.XLOOKUP(Table1[[#This Row],[ID]], Table2[ID],#REF!, "Not Found", 0)</f>
        <v>#REF!</v>
      </c>
      <c r="S794" s="3" t="str">
        <f>_xlfn.XLOOKUP(Table1[[#This Row],[ID]], Table2[ID], Table2[Enrollment], "Not Found", 0)</f>
        <v>12/22/2019</v>
      </c>
      <c r="T794" t="s">
        <v>437</v>
      </c>
    </row>
    <row r="795" spans="1:20" x14ac:dyDescent="0.3">
      <c r="A795">
        <v>2563</v>
      </c>
      <c r="B795">
        <v>161482</v>
      </c>
      <c r="C795">
        <v>0</v>
      </c>
      <c r="D795">
        <v>0</v>
      </c>
      <c r="E795">
        <v>55</v>
      </c>
      <c r="F795">
        <v>0</v>
      </c>
      <c r="G795">
        <v>1</v>
      </c>
      <c r="H795">
        <v>0</v>
      </c>
      <c r="I795">
        <v>0</v>
      </c>
      <c r="J795">
        <v>0</v>
      </c>
      <c r="K795">
        <v>0</v>
      </c>
      <c r="L795">
        <v>1</v>
      </c>
      <c r="M795">
        <v>0</v>
      </c>
      <c r="N795">
        <v>0</v>
      </c>
      <c r="O795" t="str" cm="1">
        <f t="array" ref="O795">_xlfn.IFS(Table1[[#This Row],[Divorced]]=1, "Divorced", Table1[[#This Row],[Married]]=1, "Married", Table1[[#This Row],[Single]]=1, "Single", Table1[[#This Row],[Together]]=1, "Together", Table1[[#This Row],[Widow]]=1, "Widow")</f>
        <v>Married</v>
      </c>
      <c r="P795" t="str" cm="1">
        <f t="array" ref="P795">_xlfn.IFS(Table1[[#This Row],[Basic]]=1, "Basic", Table1[[#This Row],[Graduate]]=1, "Graduate", Table1[[#This Row],[Master]]=1, "Master", Table1[[#This Row],[PhD]]=1, "PhD", AND(Table1[[#This Row],[Basic]]=0, Table1[[#This Row],[Graduate]]=0, Table1[[#This Row],[Master]]=0, Table1[[#This Row],[PhD]]=0), "NA")</f>
        <v>Graduate</v>
      </c>
      <c r="Q795" t="e">
        <f>_xlfn.XLOOKUP(Table1[[#This Row],[ID]], Table2[ID],#REF!, "Not Found", 0)</f>
        <v>#REF!</v>
      </c>
      <c r="R795" t="e">
        <f>_xlfn.XLOOKUP(Table1[[#This Row],[ID]], Table2[ID],#REF!, "Not Found", 0)</f>
        <v>#REF!</v>
      </c>
      <c r="S795" s="3">
        <f>_xlfn.XLOOKUP(Table1[[#This Row],[ID]], Table2[ID], Table2[Enrollment], "Not Found", 0)</f>
        <v>43842</v>
      </c>
      <c r="T795" t="s">
        <v>437</v>
      </c>
    </row>
    <row r="796" spans="1:20" x14ac:dyDescent="0.3">
      <c r="A796">
        <v>1587</v>
      </c>
      <c r="B796">
        <v>161467</v>
      </c>
      <c r="C796">
        <v>0</v>
      </c>
      <c r="D796">
        <v>2</v>
      </c>
      <c r="E796">
        <v>72</v>
      </c>
      <c r="F796">
        <v>0</v>
      </c>
      <c r="G796">
        <v>1</v>
      </c>
      <c r="H796">
        <v>0</v>
      </c>
      <c r="I796">
        <v>0</v>
      </c>
      <c r="J796">
        <v>0</v>
      </c>
      <c r="K796">
        <v>0</v>
      </c>
      <c r="L796">
        <v>0</v>
      </c>
      <c r="M796">
        <v>0</v>
      </c>
      <c r="N796">
        <v>1</v>
      </c>
      <c r="O796" t="str" cm="1">
        <f t="array" ref="O796">_xlfn.IFS(Table1[[#This Row],[Divorced]]=1, "Divorced", Table1[[#This Row],[Married]]=1, "Married", Table1[[#This Row],[Single]]=1, "Single", Table1[[#This Row],[Together]]=1, "Together", Table1[[#This Row],[Widow]]=1, "Widow")</f>
        <v>Married</v>
      </c>
      <c r="P796" t="str" cm="1">
        <f t="array" ref="P796">_xlfn.IFS(Table1[[#This Row],[Basic]]=1, "Basic", Table1[[#This Row],[Graduate]]=1, "Graduate", Table1[[#This Row],[Master]]=1, "Master", Table1[[#This Row],[PhD]]=1, "PhD", AND(Table1[[#This Row],[Basic]]=0, Table1[[#This Row],[Graduate]]=0, Table1[[#This Row],[Master]]=0, Table1[[#This Row],[PhD]]=0), "NA")</f>
        <v>PhD</v>
      </c>
      <c r="Q796" t="e">
        <f>_xlfn.XLOOKUP(Table1[[#This Row],[ID]], Table2[ID],#REF!, "Not Found", 0)</f>
        <v>#REF!</v>
      </c>
      <c r="R796" t="e">
        <f>_xlfn.XLOOKUP(Table1[[#This Row],[ID]], Table2[ID],#REF!, "Not Found", 0)</f>
        <v>#REF!</v>
      </c>
      <c r="S796" s="3" t="str">
        <f>_xlfn.XLOOKUP(Table1[[#This Row],[ID]], Table2[ID], Table2[Enrollment], "Not Found", 0)</f>
        <v>5/16/2019</v>
      </c>
      <c r="T796" t="s">
        <v>435</v>
      </c>
    </row>
    <row r="797" spans="1:20" x14ac:dyDescent="0.3">
      <c r="A797">
        <v>1454</v>
      </c>
      <c r="B797">
        <v>161456</v>
      </c>
      <c r="C797">
        <v>0</v>
      </c>
      <c r="D797">
        <v>1</v>
      </c>
      <c r="E797">
        <v>45</v>
      </c>
      <c r="F797">
        <v>0</v>
      </c>
      <c r="G797">
        <v>1</v>
      </c>
      <c r="H797">
        <v>0</v>
      </c>
      <c r="I797">
        <v>0</v>
      </c>
      <c r="J797">
        <v>0</v>
      </c>
      <c r="K797">
        <v>0</v>
      </c>
      <c r="L797">
        <v>1</v>
      </c>
      <c r="M797">
        <v>0</v>
      </c>
      <c r="N797">
        <v>0</v>
      </c>
      <c r="O797" t="str" cm="1">
        <f t="array" ref="O797">_xlfn.IFS(Table1[[#This Row],[Divorced]]=1, "Divorced", Table1[[#This Row],[Married]]=1, "Married", Table1[[#This Row],[Single]]=1, "Single", Table1[[#This Row],[Together]]=1, "Together", Table1[[#This Row],[Widow]]=1, "Widow")</f>
        <v>Married</v>
      </c>
      <c r="P797" t="str" cm="1">
        <f t="array" ref="P797">_xlfn.IFS(Table1[[#This Row],[Basic]]=1, "Basic", Table1[[#This Row],[Graduate]]=1, "Graduate", Table1[[#This Row],[Master]]=1, "Master", Table1[[#This Row],[PhD]]=1, "PhD", AND(Table1[[#This Row],[Basic]]=0, Table1[[#This Row],[Graduate]]=0, Table1[[#This Row],[Master]]=0, Table1[[#This Row],[PhD]]=0), "NA")</f>
        <v>Graduate</v>
      </c>
      <c r="Q797" t="e">
        <f>_xlfn.XLOOKUP(Table1[[#This Row],[ID]], Table2[ID],#REF!, "Not Found", 0)</f>
        <v>#REF!</v>
      </c>
      <c r="R797" t="e">
        <f>_xlfn.XLOOKUP(Table1[[#This Row],[ID]], Table2[ID],#REF!, "Not Found", 0)</f>
        <v>#REF!</v>
      </c>
      <c r="S797" s="3">
        <f>_xlfn.XLOOKUP(Table1[[#This Row],[ID]], Table2[ID], Table2[Enrollment], "Not Found", 0)</f>
        <v>43474</v>
      </c>
      <c r="T797" t="s">
        <v>438</v>
      </c>
    </row>
    <row r="798" spans="1:20" x14ac:dyDescent="0.3">
      <c r="A798">
        <v>3014</v>
      </c>
      <c r="B798">
        <v>161416</v>
      </c>
      <c r="C798">
        <v>0</v>
      </c>
      <c r="D798">
        <v>0</v>
      </c>
      <c r="E798">
        <v>38</v>
      </c>
      <c r="F798">
        <v>0</v>
      </c>
      <c r="G798">
        <v>0</v>
      </c>
      <c r="H798">
        <v>0</v>
      </c>
      <c r="I798">
        <v>1</v>
      </c>
      <c r="J798">
        <v>0</v>
      </c>
      <c r="K798">
        <v>0</v>
      </c>
      <c r="L798">
        <v>1</v>
      </c>
      <c r="M798">
        <v>0</v>
      </c>
      <c r="N798">
        <v>0</v>
      </c>
      <c r="O798" t="str" cm="1">
        <f t="array" ref="O798">_xlfn.IFS(Table1[[#This Row],[Divorced]]=1, "Divorced", Table1[[#This Row],[Married]]=1, "Married", Table1[[#This Row],[Single]]=1, "Single", Table1[[#This Row],[Together]]=1, "Together", Table1[[#This Row],[Widow]]=1, "Widow")</f>
        <v>Together</v>
      </c>
      <c r="P798" t="str" cm="1">
        <f t="array" ref="P798">_xlfn.IFS(Table1[[#This Row],[Basic]]=1, "Basic", Table1[[#This Row],[Graduate]]=1, "Graduate", Table1[[#This Row],[Master]]=1, "Master", Table1[[#This Row],[PhD]]=1, "PhD", AND(Table1[[#This Row],[Basic]]=0, Table1[[#This Row],[Graduate]]=0, Table1[[#This Row],[Master]]=0, Table1[[#This Row],[PhD]]=0), "NA")</f>
        <v>Graduate</v>
      </c>
      <c r="Q798" t="e">
        <f>_xlfn.XLOOKUP(Table1[[#This Row],[ID]], Table2[ID],#REF!, "Not Found", 0)</f>
        <v>#REF!</v>
      </c>
      <c r="R798" t="e">
        <f>_xlfn.XLOOKUP(Table1[[#This Row],[ID]], Table2[ID],#REF!, "Not Found", 0)</f>
        <v>#REF!</v>
      </c>
      <c r="S798" s="3" t="str">
        <f>_xlfn.XLOOKUP(Table1[[#This Row],[ID]], Table2[ID], Table2[Enrollment], "Not Found", 0)</f>
        <v>7/16/2019</v>
      </c>
      <c r="T798" t="s">
        <v>438</v>
      </c>
    </row>
    <row r="799" spans="1:20" x14ac:dyDescent="0.3">
      <c r="A799">
        <v>1855</v>
      </c>
      <c r="B799">
        <v>161346</v>
      </c>
      <c r="C799">
        <v>1</v>
      </c>
      <c r="D799">
        <v>0</v>
      </c>
      <c r="E799">
        <v>42</v>
      </c>
      <c r="F799">
        <v>0</v>
      </c>
      <c r="G799">
        <v>0</v>
      </c>
      <c r="H799">
        <v>0</v>
      </c>
      <c r="I799">
        <v>1</v>
      </c>
      <c r="J799">
        <v>0</v>
      </c>
      <c r="K799">
        <v>0</v>
      </c>
      <c r="L799">
        <v>0</v>
      </c>
      <c r="M799">
        <v>1</v>
      </c>
      <c r="N799">
        <v>0</v>
      </c>
      <c r="O799" t="str" cm="1">
        <f t="array" ref="O799">_xlfn.IFS(Table1[[#This Row],[Divorced]]=1, "Divorced", Table1[[#This Row],[Married]]=1, "Married", Table1[[#This Row],[Single]]=1, "Single", Table1[[#This Row],[Together]]=1, "Together", Table1[[#This Row],[Widow]]=1, "Widow")</f>
        <v>Together</v>
      </c>
      <c r="P799" t="str" cm="1">
        <f t="array" ref="P799">_xlfn.IFS(Table1[[#This Row],[Basic]]=1, "Basic", Table1[[#This Row],[Graduate]]=1, "Graduate", Table1[[#This Row],[Master]]=1, "Master", Table1[[#This Row],[PhD]]=1, "PhD", AND(Table1[[#This Row],[Basic]]=0, Table1[[#This Row],[Graduate]]=0, Table1[[#This Row],[Master]]=0, Table1[[#This Row],[PhD]]=0), "NA")</f>
        <v>Master</v>
      </c>
      <c r="Q799" t="e">
        <f>_xlfn.XLOOKUP(Table1[[#This Row],[ID]], Table2[ID],#REF!, "Not Found", 0)</f>
        <v>#REF!</v>
      </c>
      <c r="R799" t="e">
        <f>_xlfn.XLOOKUP(Table1[[#This Row],[ID]], Table2[ID],#REF!, "Not Found", 0)</f>
        <v>#REF!</v>
      </c>
      <c r="S799" s="3">
        <f>_xlfn.XLOOKUP(Table1[[#This Row],[ID]], Table2[ID], Table2[Enrollment], "Not Found", 0)</f>
        <v>44168</v>
      </c>
      <c r="T799" t="s">
        <v>437</v>
      </c>
    </row>
    <row r="800" spans="1:20" x14ac:dyDescent="0.3">
      <c r="A800">
        <v>1122</v>
      </c>
      <c r="B800">
        <v>161331</v>
      </c>
      <c r="C800">
        <v>1</v>
      </c>
      <c r="D800">
        <v>1</v>
      </c>
      <c r="E800">
        <v>62</v>
      </c>
      <c r="F800">
        <v>0</v>
      </c>
      <c r="G800">
        <v>0</v>
      </c>
      <c r="H800">
        <v>1</v>
      </c>
      <c r="I800">
        <v>0</v>
      </c>
      <c r="J800">
        <v>0</v>
      </c>
      <c r="K800">
        <v>0</v>
      </c>
      <c r="L800">
        <v>0</v>
      </c>
      <c r="M800">
        <v>1</v>
      </c>
      <c r="N800">
        <v>0</v>
      </c>
      <c r="O800" t="str" cm="1">
        <f t="array" ref="O800">_xlfn.IFS(Table1[[#This Row],[Divorced]]=1, "Divorced", Table1[[#This Row],[Married]]=1, "Married", Table1[[#This Row],[Single]]=1, "Single", Table1[[#This Row],[Together]]=1, "Together", Table1[[#This Row],[Widow]]=1, "Widow")</f>
        <v>Single</v>
      </c>
      <c r="P800" t="str" cm="1">
        <f t="array" ref="P800">_xlfn.IFS(Table1[[#This Row],[Basic]]=1, "Basic", Table1[[#This Row],[Graduate]]=1, "Graduate", Table1[[#This Row],[Master]]=1, "Master", Table1[[#This Row],[PhD]]=1, "PhD", AND(Table1[[#This Row],[Basic]]=0, Table1[[#This Row],[Graduate]]=0, Table1[[#This Row],[Master]]=0, Table1[[#This Row],[PhD]]=0), "NA")</f>
        <v>Master</v>
      </c>
      <c r="Q800" t="e">
        <f>_xlfn.XLOOKUP(Table1[[#This Row],[ID]], Table2[ID],#REF!, "Not Found", 0)</f>
        <v>#REF!</v>
      </c>
      <c r="R800" t="e">
        <f>_xlfn.XLOOKUP(Table1[[#This Row],[ID]], Table2[ID],#REF!, "Not Found", 0)</f>
        <v>#REF!</v>
      </c>
      <c r="S800" s="3" t="str">
        <f>_xlfn.XLOOKUP(Table1[[#This Row],[ID]], Table2[ID], Table2[Enrollment], "Not Found", 0)</f>
        <v>8/15/2019</v>
      </c>
      <c r="T800" t="s">
        <v>436</v>
      </c>
    </row>
    <row r="801" spans="1:20" x14ac:dyDescent="0.3">
      <c r="A801">
        <v>1413</v>
      </c>
      <c r="B801">
        <v>161314</v>
      </c>
      <c r="C801">
        <v>0</v>
      </c>
      <c r="D801">
        <v>1</v>
      </c>
      <c r="E801">
        <v>52</v>
      </c>
      <c r="F801">
        <v>0</v>
      </c>
      <c r="G801">
        <v>1</v>
      </c>
      <c r="H801">
        <v>0</v>
      </c>
      <c r="I801">
        <v>0</v>
      </c>
      <c r="J801">
        <v>0</v>
      </c>
      <c r="K801">
        <v>0</v>
      </c>
      <c r="L801">
        <v>1</v>
      </c>
      <c r="M801">
        <v>0</v>
      </c>
      <c r="N801">
        <v>0</v>
      </c>
      <c r="O801" t="str" cm="1">
        <f t="array" ref="O801">_xlfn.IFS(Table1[[#This Row],[Divorced]]=1, "Divorced", Table1[[#This Row],[Married]]=1, "Married", Table1[[#This Row],[Single]]=1, "Single", Table1[[#This Row],[Together]]=1, "Together", Table1[[#This Row],[Widow]]=1, "Widow")</f>
        <v>Married</v>
      </c>
      <c r="P801" t="str" cm="1">
        <f t="array" ref="P801">_xlfn.IFS(Table1[[#This Row],[Basic]]=1, "Basic", Table1[[#This Row],[Graduate]]=1, "Graduate", Table1[[#This Row],[Master]]=1, "Master", Table1[[#This Row],[PhD]]=1, "PhD", AND(Table1[[#This Row],[Basic]]=0, Table1[[#This Row],[Graduate]]=0, Table1[[#This Row],[Master]]=0, Table1[[#This Row],[PhD]]=0), "NA")</f>
        <v>Graduate</v>
      </c>
      <c r="Q801" t="e">
        <f>_xlfn.XLOOKUP(Table1[[#This Row],[ID]], Table2[ID],#REF!, "Not Found", 0)</f>
        <v>#REF!</v>
      </c>
      <c r="R801" t="e">
        <f>_xlfn.XLOOKUP(Table1[[#This Row],[ID]], Table2[ID],#REF!, "Not Found", 0)</f>
        <v>#REF!</v>
      </c>
      <c r="S801" s="3" t="str">
        <f>_xlfn.XLOOKUP(Table1[[#This Row],[ID]], Table2[ID], Table2[Enrollment], "Not Found", 0)</f>
        <v>9/30/2019</v>
      </c>
      <c r="T801" t="s">
        <v>435</v>
      </c>
    </row>
    <row r="802" spans="1:20" x14ac:dyDescent="0.3">
      <c r="A802">
        <v>1176</v>
      </c>
      <c r="B802">
        <v>161286</v>
      </c>
      <c r="C802">
        <v>0</v>
      </c>
      <c r="D802">
        <v>1</v>
      </c>
      <c r="E802">
        <v>54</v>
      </c>
      <c r="F802">
        <v>0</v>
      </c>
      <c r="G802">
        <v>1</v>
      </c>
      <c r="H802">
        <v>0</v>
      </c>
      <c r="I802">
        <v>0</v>
      </c>
      <c r="J802">
        <v>0</v>
      </c>
      <c r="K802">
        <v>0</v>
      </c>
      <c r="L802">
        <v>1</v>
      </c>
      <c r="M802">
        <v>0</v>
      </c>
      <c r="N802">
        <v>0</v>
      </c>
      <c r="O802" t="str" cm="1">
        <f t="array" ref="O802">_xlfn.IFS(Table1[[#This Row],[Divorced]]=1, "Divorced", Table1[[#This Row],[Married]]=1, "Married", Table1[[#This Row],[Single]]=1, "Single", Table1[[#This Row],[Together]]=1, "Together", Table1[[#This Row],[Widow]]=1, "Widow")</f>
        <v>Married</v>
      </c>
      <c r="P802" t="str" cm="1">
        <f t="array" ref="P802">_xlfn.IFS(Table1[[#This Row],[Basic]]=1, "Basic", Table1[[#This Row],[Graduate]]=1, "Graduate", Table1[[#This Row],[Master]]=1, "Master", Table1[[#This Row],[PhD]]=1, "PhD", AND(Table1[[#This Row],[Basic]]=0, Table1[[#This Row],[Graduate]]=0, Table1[[#This Row],[Master]]=0, Table1[[#This Row],[PhD]]=0), "NA")</f>
        <v>Graduate</v>
      </c>
      <c r="Q802" t="e">
        <f>_xlfn.XLOOKUP(Table1[[#This Row],[ID]], Table2[ID],#REF!, "Not Found", 0)</f>
        <v>#REF!</v>
      </c>
      <c r="R802" t="e">
        <f>_xlfn.XLOOKUP(Table1[[#This Row],[ID]], Table2[ID],#REF!, "Not Found", 0)</f>
        <v>#REF!</v>
      </c>
      <c r="S802" s="3">
        <f>_xlfn.XLOOKUP(Table1[[#This Row],[ID]], Table2[ID], Table2[Enrollment], "Not Found", 0)</f>
        <v>44013</v>
      </c>
      <c r="T802" t="s">
        <v>436</v>
      </c>
    </row>
    <row r="803" spans="1:20" x14ac:dyDescent="0.3">
      <c r="A803">
        <v>3095</v>
      </c>
      <c r="B803">
        <v>161286</v>
      </c>
      <c r="C803">
        <v>0</v>
      </c>
      <c r="D803">
        <v>1</v>
      </c>
      <c r="E803">
        <v>54</v>
      </c>
      <c r="F803">
        <v>0</v>
      </c>
      <c r="G803">
        <v>1</v>
      </c>
      <c r="H803">
        <v>0</v>
      </c>
      <c r="I803">
        <v>0</v>
      </c>
      <c r="J803">
        <v>0</v>
      </c>
      <c r="K803">
        <v>0</v>
      </c>
      <c r="L803">
        <v>1</v>
      </c>
      <c r="M803">
        <v>0</v>
      </c>
      <c r="N803">
        <v>0</v>
      </c>
      <c r="O803" t="str" cm="1">
        <f t="array" ref="O803">_xlfn.IFS(Table1[[#This Row],[Divorced]]=1, "Divorced", Table1[[#This Row],[Married]]=1, "Married", Table1[[#This Row],[Single]]=1, "Single", Table1[[#This Row],[Together]]=1, "Together", Table1[[#This Row],[Widow]]=1, "Widow")</f>
        <v>Married</v>
      </c>
      <c r="P803" t="str" cm="1">
        <f t="array" ref="P803">_xlfn.IFS(Table1[[#This Row],[Basic]]=1, "Basic", Table1[[#This Row],[Graduate]]=1, "Graduate", Table1[[#This Row],[Master]]=1, "Master", Table1[[#This Row],[PhD]]=1, "PhD", AND(Table1[[#This Row],[Basic]]=0, Table1[[#This Row],[Graduate]]=0, Table1[[#This Row],[Master]]=0, Table1[[#This Row],[PhD]]=0), "NA")</f>
        <v>Graduate</v>
      </c>
      <c r="Q803" t="e">
        <f>_xlfn.XLOOKUP(Table1[[#This Row],[ID]], Table2[ID],#REF!, "Not Found", 0)</f>
        <v>#REF!</v>
      </c>
      <c r="R803" t="e">
        <f>_xlfn.XLOOKUP(Table1[[#This Row],[ID]], Table2[ID],#REF!, "Not Found", 0)</f>
        <v>#REF!</v>
      </c>
      <c r="S803" s="3">
        <f>_xlfn.XLOOKUP(Table1[[#This Row],[ID]], Table2[ID], Table2[Enrollment], "Not Found", 0)</f>
        <v>44013</v>
      </c>
      <c r="T803" t="s">
        <v>434</v>
      </c>
    </row>
    <row r="804" spans="1:20" x14ac:dyDescent="0.3">
      <c r="A804">
        <v>2207</v>
      </c>
      <c r="B804">
        <v>161284</v>
      </c>
      <c r="C804">
        <v>0</v>
      </c>
      <c r="D804">
        <v>0</v>
      </c>
      <c r="E804">
        <v>65</v>
      </c>
      <c r="F804">
        <v>0</v>
      </c>
      <c r="G804">
        <v>0</v>
      </c>
      <c r="H804">
        <v>1</v>
      </c>
      <c r="I804">
        <v>0</v>
      </c>
      <c r="J804">
        <v>0</v>
      </c>
      <c r="K804">
        <v>0</v>
      </c>
      <c r="L804">
        <v>0</v>
      </c>
      <c r="M804">
        <v>0</v>
      </c>
      <c r="N804">
        <v>1</v>
      </c>
      <c r="O804" t="str" cm="1">
        <f t="array" ref="O804">_xlfn.IFS(Table1[[#This Row],[Divorced]]=1, "Divorced", Table1[[#This Row],[Married]]=1, "Married", Table1[[#This Row],[Single]]=1, "Single", Table1[[#This Row],[Together]]=1, "Together", Table1[[#This Row],[Widow]]=1, "Widow")</f>
        <v>Single</v>
      </c>
      <c r="P804" t="str" cm="1">
        <f t="array" ref="P804">_xlfn.IFS(Table1[[#This Row],[Basic]]=1, "Basic", Table1[[#This Row],[Graduate]]=1, "Graduate", Table1[[#This Row],[Master]]=1, "Master", Table1[[#This Row],[PhD]]=1, "PhD", AND(Table1[[#This Row],[Basic]]=0, Table1[[#This Row],[Graduate]]=0, Table1[[#This Row],[Master]]=0, Table1[[#This Row],[PhD]]=0), "NA")</f>
        <v>PhD</v>
      </c>
      <c r="Q804" t="e">
        <f>_xlfn.XLOOKUP(Table1[[#This Row],[ID]], Table2[ID],#REF!, "Not Found", 0)</f>
        <v>#REF!</v>
      </c>
      <c r="R804" t="e">
        <f>_xlfn.XLOOKUP(Table1[[#This Row],[ID]], Table2[ID],#REF!, "Not Found", 0)</f>
        <v>#REF!</v>
      </c>
      <c r="S804" s="3" t="str">
        <f>_xlfn.XLOOKUP(Table1[[#This Row],[ID]], Table2[ID], Table2[Enrollment], "Not Found", 0)</f>
        <v>3/18/2020</v>
      </c>
      <c r="T804" t="s">
        <v>434</v>
      </c>
    </row>
    <row r="805" spans="1:20" x14ac:dyDescent="0.3">
      <c r="A805">
        <v>1638</v>
      </c>
      <c r="B805">
        <v>161278</v>
      </c>
      <c r="C805">
        <v>0</v>
      </c>
      <c r="D805">
        <v>1</v>
      </c>
      <c r="E805">
        <v>67</v>
      </c>
      <c r="F805">
        <v>0</v>
      </c>
      <c r="G805">
        <v>0</v>
      </c>
      <c r="H805">
        <v>0</v>
      </c>
      <c r="I805">
        <v>1</v>
      </c>
      <c r="J805">
        <v>0</v>
      </c>
      <c r="K805">
        <v>0</v>
      </c>
      <c r="L805">
        <v>1</v>
      </c>
      <c r="M805">
        <v>0</v>
      </c>
      <c r="N805">
        <v>0</v>
      </c>
      <c r="O805" t="str" cm="1">
        <f t="array" ref="O805">_xlfn.IFS(Table1[[#This Row],[Divorced]]=1, "Divorced", Table1[[#This Row],[Married]]=1, "Married", Table1[[#This Row],[Single]]=1, "Single", Table1[[#This Row],[Together]]=1, "Together", Table1[[#This Row],[Widow]]=1, "Widow")</f>
        <v>Together</v>
      </c>
      <c r="P805" t="str" cm="1">
        <f t="array" ref="P805">_xlfn.IFS(Table1[[#This Row],[Basic]]=1, "Basic", Table1[[#This Row],[Graduate]]=1, "Graduate", Table1[[#This Row],[Master]]=1, "Master", Table1[[#This Row],[PhD]]=1, "PhD", AND(Table1[[#This Row],[Basic]]=0, Table1[[#This Row],[Graduate]]=0, Table1[[#This Row],[Master]]=0, Table1[[#This Row],[PhD]]=0), "NA")</f>
        <v>Graduate</v>
      </c>
      <c r="Q805" t="e">
        <f>_xlfn.XLOOKUP(Table1[[#This Row],[ID]], Table2[ID],#REF!, "Not Found", 0)</f>
        <v>#REF!</v>
      </c>
      <c r="R805" t="e">
        <f>_xlfn.XLOOKUP(Table1[[#This Row],[ID]], Table2[ID],#REF!, "Not Found", 0)</f>
        <v>#REF!</v>
      </c>
      <c r="S805" s="3">
        <f>_xlfn.XLOOKUP(Table1[[#This Row],[ID]], Table2[ID], Table2[Enrollment], "Not Found", 0)</f>
        <v>44110</v>
      </c>
      <c r="T805" t="s">
        <v>436</v>
      </c>
    </row>
    <row r="806" spans="1:20" x14ac:dyDescent="0.3">
      <c r="A806">
        <v>1493</v>
      </c>
      <c r="B806">
        <v>161250</v>
      </c>
      <c r="C806">
        <v>0</v>
      </c>
      <c r="D806">
        <v>1</v>
      </c>
      <c r="E806">
        <v>61</v>
      </c>
      <c r="F806">
        <v>1</v>
      </c>
      <c r="G806">
        <v>0</v>
      </c>
      <c r="H806">
        <v>0</v>
      </c>
      <c r="I806">
        <v>0</v>
      </c>
      <c r="J806">
        <v>0</v>
      </c>
      <c r="K806">
        <v>0</v>
      </c>
      <c r="L806">
        <v>1</v>
      </c>
      <c r="M806">
        <v>0</v>
      </c>
      <c r="N806">
        <v>0</v>
      </c>
      <c r="O806" t="str" cm="1">
        <f t="array" ref="O806">_xlfn.IFS(Table1[[#This Row],[Divorced]]=1, "Divorced", Table1[[#This Row],[Married]]=1, "Married", Table1[[#This Row],[Single]]=1, "Single", Table1[[#This Row],[Together]]=1, "Together", Table1[[#This Row],[Widow]]=1, "Widow")</f>
        <v>Divorced</v>
      </c>
      <c r="P806" t="str" cm="1">
        <f t="array" ref="P806">_xlfn.IFS(Table1[[#This Row],[Basic]]=1, "Basic", Table1[[#This Row],[Graduate]]=1, "Graduate", Table1[[#This Row],[Master]]=1, "Master", Table1[[#This Row],[PhD]]=1, "PhD", AND(Table1[[#This Row],[Basic]]=0, Table1[[#This Row],[Graduate]]=0, Table1[[#This Row],[Master]]=0, Table1[[#This Row],[PhD]]=0), "NA")</f>
        <v>Graduate</v>
      </c>
      <c r="Q806" t="e">
        <f>_xlfn.XLOOKUP(Table1[[#This Row],[ID]], Table2[ID],#REF!, "Not Found", 0)</f>
        <v>#REF!</v>
      </c>
      <c r="R806" t="e">
        <f>_xlfn.XLOOKUP(Table1[[#This Row],[ID]], Table2[ID],#REF!, "Not Found", 0)</f>
        <v>#REF!</v>
      </c>
      <c r="S806" s="3" t="str">
        <f>_xlfn.XLOOKUP(Table1[[#This Row],[ID]], Table2[ID], Table2[Enrollment], "Not Found", 0)</f>
        <v>5/23/2019</v>
      </c>
      <c r="T806" t="s">
        <v>434</v>
      </c>
    </row>
    <row r="807" spans="1:20" x14ac:dyDescent="0.3">
      <c r="A807">
        <v>3201</v>
      </c>
      <c r="B807">
        <v>161223</v>
      </c>
      <c r="C807">
        <v>0</v>
      </c>
      <c r="D807">
        <v>1</v>
      </c>
      <c r="E807">
        <v>53</v>
      </c>
      <c r="F807">
        <v>0</v>
      </c>
      <c r="G807">
        <v>1</v>
      </c>
      <c r="H807">
        <v>0</v>
      </c>
      <c r="I807">
        <v>0</v>
      </c>
      <c r="J807">
        <v>0</v>
      </c>
      <c r="K807">
        <v>0</v>
      </c>
      <c r="L807">
        <v>1</v>
      </c>
      <c r="M807">
        <v>0</v>
      </c>
      <c r="N807">
        <v>0</v>
      </c>
      <c r="O807" t="str" cm="1">
        <f t="array" ref="O807">_xlfn.IFS(Table1[[#This Row],[Divorced]]=1, "Divorced", Table1[[#This Row],[Married]]=1, "Married", Table1[[#This Row],[Single]]=1, "Single", Table1[[#This Row],[Together]]=1, "Together", Table1[[#This Row],[Widow]]=1, "Widow")</f>
        <v>Married</v>
      </c>
      <c r="P807" t="str" cm="1">
        <f t="array" ref="P807">_xlfn.IFS(Table1[[#This Row],[Basic]]=1, "Basic", Table1[[#This Row],[Graduate]]=1, "Graduate", Table1[[#This Row],[Master]]=1, "Master", Table1[[#This Row],[PhD]]=1, "PhD", AND(Table1[[#This Row],[Basic]]=0, Table1[[#This Row],[Graduate]]=0, Table1[[#This Row],[Master]]=0, Table1[[#This Row],[PhD]]=0), "NA")</f>
        <v>Graduate</v>
      </c>
      <c r="Q807" t="e">
        <f>_xlfn.XLOOKUP(Table1[[#This Row],[ID]], Table2[ID],#REF!, "Not Found", 0)</f>
        <v>#REF!</v>
      </c>
      <c r="R807" t="e">
        <f>_xlfn.XLOOKUP(Table1[[#This Row],[ID]], Table2[ID],#REF!, "Not Found", 0)</f>
        <v>#REF!</v>
      </c>
      <c r="S807" s="3" t="str">
        <f>_xlfn.XLOOKUP(Table1[[#This Row],[ID]], Table2[ID], Table2[Enrollment], "Not Found", 0)</f>
        <v>11/18/2019</v>
      </c>
      <c r="T807" t="s">
        <v>435</v>
      </c>
    </row>
    <row r="808" spans="1:20" x14ac:dyDescent="0.3">
      <c r="A808">
        <v>1672</v>
      </c>
      <c r="B808">
        <v>161209</v>
      </c>
      <c r="C808">
        <v>0</v>
      </c>
      <c r="D808">
        <v>0</v>
      </c>
      <c r="E808">
        <v>50</v>
      </c>
      <c r="F808">
        <v>0</v>
      </c>
      <c r="G808">
        <v>0</v>
      </c>
      <c r="H808">
        <v>1</v>
      </c>
      <c r="I808">
        <v>0</v>
      </c>
      <c r="J808">
        <v>0</v>
      </c>
      <c r="K808">
        <v>0</v>
      </c>
      <c r="L808">
        <v>1</v>
      </c>
      <c r="M808">
        <v>0</v>
      </c>
      <c r="N808">
        <v>0</v>
      </c>
      <c r="O808" t="str" cm="1">
        <f t="array" ref="O808">_xlfn.IFS(Table1[[#This Row],[Divorced]]=1, "Divorced", Table1[[#This Row],[Married]]=1, "Married", Table1[[#This Row],[Single]]=1, "Single", Table1[[#This Row],[Together]]=1, "Together", Table1[[#This Row],[Widow]]=1, "Widow")</f>
        <v>Single</v>
      </c>
      <c r="P808" t="str" cm="1">
        <f t="array" ref="P808">_xlfn.IFS(Table1[[#This Row],[Basic]]=1, "Basic", Table1[[#This Row],[Graduate]]=1, "Graduate", Table1[[#This Row],[Master]]=1, "Master", Table1[[#This Row],[PhD]]=1, "PhD", AND(Table1[[#This Row],[Basic]]=0, Table1[[#This Row],[Graduate]]=0, Table1[[#This Row],[Master]]=0, Table1[[#This Row],[PhD]]=0), "NA")</f>
        <v>Graduate</v>
      </c>
      <c r="Q808" t="e">
        <f>_xlfn.XLOOKUP(Table1[[#This Row],[ID]], Table2[ID],#REF!, "Not Found", 0)</f>
        <v>#REF!</v>
      </c>
      <c r="R808" t="e">
        <f>_xlfn.XLOOKUP(Table1[[#This Row],[ID]], Table2[ID],#REF!, "Not Found", 0)</f>
        <v>#REF!</v>
      </c>
      <c r="S808" s="3" t="str">
        <f>_xlfn.XLOOKUP(Table1[[#This Row],[ID]], Table2[ID], Table2[Enrollment], "Not Found", 0)</f>
        <v>1/30/2020</v>
      </c>
      <c r="T808" t="s">
        <v>439</v>
      </c>
    </row>
    <row r="809" spans="1:20" x14ac:dyDescent="0.3">
      <c r="A809">
        <v>2021</v>
      </c>
      <c r="B809">
        <v>161180</v>
      </c>
      <c r="C809">
        <v>0</v>
      </c>
      <c r="D809">
        <v>1</v>
      </c>
      <c r="E809">
        <v>61</v>
      </c>
      <c r="F809">
        <v>0</v>
      </c>
      <c r="G809">
        <v>1</v>
      </c>
      <c r="H809">
        <v>0</v>
      </c>
      <c r="I809">
        <v>0</v>
      </c>
      <c r="J809">
        <v>0</v>
      </c>
      <c r="K809">
        <v>0</v>
      </c>
      <c r="L809">
        <v>1</v>
      </c>
      <c r="M809">
        <v>0</v>
      </c>
      <c r="N809">
        <v>0</v>
      </c>
      <c r="O809" t="str" cm="1">
        <f t="array" ref="O809">_xlfn.IFS(Table1[[#This Row],[Divorced]]=1, "Divorced", Table1[[#This Row],[Married]]=1, "Married", Table1[[#This Row],[Single]]=1, "Single", Table1[[#This Row],[Together]]=1, "Together", Table1[[#This Row],[Widow]]=1, "Widow")</f>
        <v>Married</v>
      </c>
      <c r="P809" t="str" cm="1">
        <f t="array" ref="P809">_xlfn.IFS(Table1[[#This Row],[Basic]]=1, "Basic", Table1[[#This Row],[Graduate]]=1, "Graduate", Table1[[#This Row],[Master]]=1, "Master", Table1[[#This Row],[PhD]]=1, "PhD", AND(Table1[[#This Row],[Basic]]=0, Table1[[#This Row],[Graduate]]=0, Table1[[#This Row],[Master]]=0, Table1[[#This Row],[PhD]]=0), "NA")</f>
        <v>Graduate</v>
      </c>
      <c r="Q809" t="e">
        <f>_xlfn.XLOOKUP(Table1[[#This Row],[ID]], Table2[ID],#REF!, "Not Found", 0)</f>
        <v>#REF!</v>
      </c>
      <c r="R809" t="e">
        <f>_xlfn.XLOOKUP(Table1[[#This Row],[ID]], Table2[ID],#REF!, "Not Found", 0)</f>
        <v>#REF!</v>
      </c>
      <c r="S809" s="3" t="str">
        <f>_xlfn.XLOOKUP(Table1[[#This Row],[ID]], Table2[ID], Table2[Enrollment], "Not Found", 0)</f>
        <v>9/27/2020</v>
      </c>
      <c r="T809" t="s">
        <v>434</v>
      </c>
    </row>
    <row r="810" spans="1:20" x14ac:dyDescent="0.3">
      <c r="A810">
        <v>1231</v>
      </c>
      <c r="B810">
        <v>161074</v>
      </c>
      <c r="C810">
        <v>0</v>
      </c>
      <c r="D810">
        <v>1</v>
      </c>
      <c r="E810">
        <v>62</v>
      </c>
      <c r="F810">
        <v>0</v>
      </c>
      <c r="G810">
        <v>1</v>
      </c>
      <c r="H810">
        <v>0</v>
      </c>
      <c r="I810">
        <v>0</v>
      </c>
      <c r="J810">
        <v>0</v>
      </c>
      <c r="K810">
        <v>0</v>
      </c>
      <c r="L810">
        <v>1</v>
      </c>
      <c r="M810">
        <v>0</v>
      </c>
      <c r="N810">
        <v>0</v>
      </c>
      <c r="O810" t="str" cm="1">
        <f t="array" ref="O810">_xlfn.IFS(Table1[[#This Row],[Divorced]]=1, "Divorced", Table1[[#This Row],[Married]]=1, "Married", Table1[[#This Row],[Single]]=1, "Single", Table1[[#This Row],[Together]]=1, "Together", Table1[[#This Row],[Widow]]=1, "Widow")</f>
        <v>Married</v>
      </c>
      <c r="P810" t="str" cm="1">
        <f t="array" ref="P810">_xlfn.IFS(Table1[[#This Row],[Basic]]=1, "Basic", Table1[[#This Row],[Graduate]]=1, "Graduate", Table1[[#This Row],[Master]]=1, "Master", Table1[[#This Row],[PhD]]=1, "PhD", AND(Table1[[#This Row],[Basic]]=0, Table1[[#This Row],[Graduate]]=0, Table1[[#This Row],[Master]]=0, Table1[[#This Row],[PhD]]=0), "NA")</f>
        <v>Graduate</v>
      </c>
      <c r="Q810" t="e">
        <f>_xlfn.XLOOKUP(Table1[[#This Row],[ID]], Table2[ID],#REF!, "Not Found", 0)</f>
        <v>#REF!</v>
      </c>
      <c r="R810" t="e">
        <f>_xlfn.XLOOKUP(Table1[[#This Row],[ID]], Table2[ID],#REF!, "Not Found", 0)</f>
        <v>#REF!</v>
      </c>
      <c r="S810" s="3" t="str">
        <f>_xlfn.XLOOKUP(Table1[[#This Row],[ID]], Table2[ID], Table2[Enrollment], "Not Found", 0)</f>
        <v>1/22/2019</v>
      </c>
      <c r="T810" t="s">
        <v>437</v>
      </c>
    </row>
    <row r="811" spans="1:20" x14ac:dyDescent="0.3">
      <c r="A811">
        <v>2675</v>
      </c>
      <c r="B811">
        <v>161064</v>
      </c>
      <c r="C811">
        <v>0</v>
      </c>
      <c r="D811">
        <v>1</v>
      </c>
      <c r="E811">
        <v>44</v>
      </c>
      <c r="F811">
        <v>0</v>
      </c>
      <c r="G811">
        <v>1</v>
      </c>
      <c r="H811">
        <v>0</v>
      </c>
      <c r="I811">
        <v>0</v>
      </c>
      <c r="J811">
        <v>0</v>
      </c>
      <c r="K811">
        <v>0</v>
      </c>
      <c r="L811">
        <v>1</v>
      </c>
      <c r="M811">
        <v>0</v>
      </c>
      <c r="N811">
        <v>0</v>
      </c>
      <c r="O811" t="str" cm="1">
        <f t="array" ref="O811">_xlfn.IFS(Table1[[#This Row],[Divorced]]=1, "Divorced", Table1[[#This Row],[Married]]=1, "Married", Table1[[#This Row],[Single]]=1, "Single", Table1[[#This Row],[Together]]=1, "Together", Table1[[#This Row],[Widow]]=1, "Widow")</f>
        <v>Married</v>
      </c>
      <c r="P811" t="str" cm="1">
        <f t="array" ref="P811">_xlfn.IFS(Table1[[#This Row],[Basic]]=1, "Basic", Table1[[#This Row],[Graduate]]=1, "Graduate", Table1[[#This Row],[Master]]=1, "Master", Table1[[#This Row],[PhD]]=1, "PhD", AND(Table1[[#This Row],[Basic]]=0, Table1[[#This Row],[Graduate]]=0, Table1[[#This Row],[Master]]=0, Table1[[#This Row],[PhD]]=0), "NA")</f>
        <v>Graduate</v>
      </c>
      <c r="Q811" t="e">
        <f>_xlfn.XLOOKUP(Table1[[#This Row],[ID]], Table2[ID],#REF!, "Not Found", 0)</f>
        <v>#REF!</v>
      </c>
      <c r="R811" t="e">
        <f>_xlfn.XLOOKUP(Table1[[#This Row],[ID]], Table2[ID],#REF!, "Not Found", 0)</f>
        <v>#REF!</v>
      </c>
      <c r="S811" s="3">
        <f>_xlfn.XLOOKUP(Table1[[#This Row],[ID]], Table2[ID], Table2[Enrollment], "Not Found", 0)</f>
        <v>43587</v>
      </c>
      <c r="T811" t="s">
        <v>434</v>
      </c>
    </row>
    <row r="812" spans="1:20" x14ac:dyDescent="0.3">
      <c r="A812">
        <v>3174</v>
      </c>
      <c r="B812">
        <v>161014</v>
      </c>
      <c r="C812">
        <v>0</v>
      </c>
      <c r="D812">
        <v>1</v>
      </c>
      <c r="E812">
        <v>40</v>
      </c>
      <c r="F812">
        <v>0</v>
      </c>
      <c r="G812">
        <v>1</v>
      </c>
      <c r="H812">
        <v>0</v>
      </c>
      <c r="I812">
        <v>0</v>
      </c>
      <c r="J812">
        <v>0</v>
      </c>
      <c r="K812">
        <v>0</v>
      </c>
      <c r="L812">
        <v>1</v>
      </c>
      <c r="M812">
        <v>0</v>
      </c>
      <c r="N812">
        <v>0</v>
      </c>
      <c r="O812" t="str" cm="1">
        <f t="array" ref="O812">_xlfn.IFS(Table1[[#This Row],[Divorced]]=1, "Divorced", Table1[[#This Row],[Married]]=1, "Married", Table1[[#This Row],[Single]]=1, "Single", Table1[[#This Row],[Together]]=1, "Together", Table1[[#This Row],[Widow]]=1, "Widow")</f>
        <v>Married</v>
      </c>
      <c r="P812" t="str" cm="1">
        <f t="array" ref="P812">_xlfn.IFS(Table1[[#This Row],[Basic]]=1, "Basic", Table1[[#This Row],[Graduate]]=1, "Graduate", Table1[[#This Row],[Master]]=1, "Master", Table1[[#This Row],[PhD]]=1, "PhD", AND(Table1[[#This Row],[Basic]]=0, Table1[[#This Row],[Graduate]]=0, Table1[[#This Row],[Master]]=0, Table1[[#This Row],[PhD]]=0), "NA")</f>
        <v>Graduate</v>
      </c>
      <c r="Q812" t="e">
        <f>_xlfn.XLOOKUP(Table1[[#This Row],[ID]], Table2[ID],#REF!, "Not Found", 0)</f>
        <v>#REF!</v>
      </c>
      <c r="R812" t="e">
        <f>_xlfn.XLOOKUP(Table1[[#This Row],[ID]], Table2[ID],#REF!, "Not Found", 0)</f>
        <v>#REF!</v>
      </c>
      <c r="S812" s="3" t="str">
        <f>_xlfn.XLOOKUP(Table1[[#This Row],[ID]], Table2[ID], Table2[Enrollment], "Not Found", 0)</f>
        <v>1/16/2019</v>
      </c>
      <c r="T812" t="s">
        <v>436</v>
      </c>
    </row>
    <row r="813" spans="1:20" x14ac:dyDescent="0.3">
      <c r="A813">
        <v>1144</v>
      </c>
      <c r="B813">
        <v>161010</v>
      </c>
      <c r="C813">
        <v>0</v>
      </c>
      <c r="D813">
        <v>1</v>
      </c>
      <c r="E813">
        <v>68</v>
      </c>
      <c r="F813">
        <v>0</v>
      </c>
      <c r="G813">
        <v>0</v>
      </c>
      <c r="H813">
        <v>0</v>
      </c>
      <c r="I813">
        <v>1</v>
      </c>
      <c r="J813">
        <v>0</v>
      </c>
      <c r="K813">
        <v>0</v>
      </c>
      <c r="L813">
        <v>0</v>
      </c>
      <c r="M813">
        <v>0</v>
      </c>
      <c r="N813">
        <v>1</v>
      </c>
      <c r="O813" t="str" cm="1">
        <f t="array" ref="O813">_xlfn.IFS(Table1[[#This Row],[Divorced]]=1, "Divorced", Table1[[#This Row],[Married]]=1, "Married", Table1[[#This Row],[Single]]=1, "Single", Table1[[#This Row],[Together]]=1, "Together", Table1[[#This Row],[Widow]]=1, "Widow")</f>
        <v>Together</v>
      </c>
      <c r="P813" t="str" cm="1">
        <f t="array" ref="P813">_xlfn.IFS(Table1[[#This Row],[Basic]]=1, "Basic", Table1[[#This Row],[Graduate]]=1, "Graduate", Table1[[#This Row],[Master]]=1, "Master", Table1[[#This Row],[PhD]]=1, "PhD", AND(Table1[[#This Row],[Basic]]=0, Table1[[#This Row],[Graduate]]=0, Table1[[#This Row],[Master]]=0, Table1[[#This Row],[PhD]]=0), "NA")</f>
        <v>PhD</v>
      </c>
      <c r="Q813" t="e">
        <f>_xlfn.XLOOKUP(Table1[[#This Row],[ID]], Table2[ID],#REF!, "Not Found", 0)</f>
        <v>#REF!</v>
      </c>
      <c r="R813" t="e">
        <f>_xlfn.XLOOKUP(Table1[[#This Row],[ID]], Table2[ID],#REF!, "Not Found", 0)</f>
        <v>#REF!</v>
      </c>
      <c r="S813" s="3" t="str">
        <f>_xlfn.XLOOKUP(Table1[[#This Row],[ID]], Table2[ID], Table2[Enrollment], "Not Found", 0)</f>
        <v>3/16/2019</v>
      </c>
      <c r="T813" t="s">
        <v>439</v>
      </c>
    </row>
    <row r="814" spans="1:20" x14ac:dyDescent="0.3">
      <c r="A814">
        <v>3140</v>
      </c>
      <c r="B814">
        <v>160934</v>
      </c>
      <c r="C814">
        <v>0</v>
      </c>
      <c r="D814">
        <v>1</v>
      </c>
      <c r="E814">
        <v>45</v>
      </c>
      <c r="F814">
        <v>0</v>
      </c>
      <c r="G814">
        <v>0</v>
      </c>
      <c r="H814">
        <v>0</v>
      </c>
      <c r="I814">
        <v>1</v>
      </c>
      <c r="J814">
        <v>0</v>
      </c>
      <c r="K814">
        <v>0</v>
      </c>
      <c r="L814">
        <v>1</v>
      </c>
      <c r="M814">
        <v>0</v>
      </c>
      <c r="N814">
        <v>0</v>
      </c>
      <c r="O814" t="str" cm="1">
        <f t="array" ref="O814">_xlfn.IFS(Table1[[#This Row],[Divorced]]=1, "Divorced", Table1[[#This Row],[Married]]=1, "Married", Table1[[#This Row],[Single]]=1, "Single", Table1[[#This Row],[Together]]=1, "Together", Table1[[#This Row],[Widow]]=1, "Widow")</f>
        <v>Together</v>
      </c>
      <c r="P814" t="str" cm="1">
        <f t="array" ref="P814">_xlfn.IFS(Table1[[#This Row],[Basic]]=1, "Basic", Table1[[#This Row],[Graduate]]=1, "Graduate", Table1[[#This Row],[Master]]=1, "Master", Table1[[#This Row],[PhD]]=1, "PhD", AND(Table1[[#This Row],[Basic]]=0, Table1[[#This Row],[Graduate]]=0, Table1[[#This Row],[Master]]=0, Table1[[#This Row],[PhD]]=0), "NA")</f>
        <v>Graduate</v>
      </c>
      <c r="Q814" t="e">
        <f>_xlfn.XLOOKUP(Table1[[#This Row],[ID]], Table2[ID],#REF!, "Not Found", 0)</f>
        <v>#REF!</v>
      </c>
      <c r="R814" t="e">
        <f>_xlfn.XLOOKUP(Table1[[#This Row],[ID]], Table2[ID],#REF!, "Not Found", 0)</f>
        <v>#REF!</v>
      </c>
      <c r="S814" s="3" t="str">
        <f>_xlfn.XLOOKUP(Table1[[#This Row],[ID]], Table2[ID], Table2[Enrollment], "Not Found", 0)</f>
        <v>6/23/2020</v>
      </c>
      <c r="T814" t="s">
        <v>438</v>
      </c>
    </row>
    <row r="815" spans="1:20" x14ac:dyDescent="0.3">
      <c r="A815">
        <v>3010</v>
      </c>
      <c r="B815">
        <v>160905</v>
      </c>
      <c r="C815">
        <v>0</v>
      </c>
      <c r="D815">
        <v>1</v>
      </c>
      <c r="E815">
        <v>70</v>
      </c>
      <c r="F815">
        <v>0</v>
      </c>
      <c r="G815">
        <v>0</v>
      </c>
      <c r="H815">
        <v>0</v>
      </c>
      <c r="I815">
        <v>1</v>
      </c>
      <c r="J815">
        <v>0</v>
      </c>
      <c r="K815">
        <v>0</v>
      </c>
      <c r="L815">
        <v>1</v>
      </c>
      <c r="M815">
        <v>0</v>
      </c>
      <c r="N815">
        <v>0</v>
      </c>
      <c r="O815" t="str" cm="1">
        <f t="array" ref="O815">_xlfn.IFS(Table1[[#This Row],[Divorced]]=1, "Divorced", Table1[[#This Row],[Married]]=1, "Married", Table1[[#This Row],[Single]]=1, "Single", Table1[[#This Row],[Together]]=1, "Together", Table1[[#This Row],[Widow]]=1, "Widow")</f>
        <v>Together</v>
      </c>
      <c r="P815" t="str" cm="1">
        <f t="array" ref="P815">_xlfn.IFS(Table1[[#This Row],[Basic]]=1, "Basic", Table1[[#This Row],[Graduate]]=1, "Graduate", Table1[[#This Row],[Master]]=1, "Master", Table1[[#This Row],[PhD]]=1, "PhD", AND(Table1[[#This Row],[Basic]]=0, Table1[[#This Row],[Graduate]]=0, Table1[[#This Row],[Master]]=0, Table1[[#This Row],[PhD]]=0), "NA")</f>
        <v>Graduate</v>
      </c>
      <c r="Q815" t="e">
        <f>_xlfn.XLOOKUP(Table1[[#This Row],[ID]], Table2[ID],#REF!, "Not Found", 0)</f>
        <v>#REF!</v>
      </c>
      <c r="R815" t="e">
        <f>_xlfn.XLOOKUP(Table1[[#This Row],[ID]], Table2[ID],#REF!, "Not Found", 0)</f>
        <v>#REF!</v>
      </c>
      <c r="S815" s="3">
        <f>_xlfn.XLOOKUP(Table1[[#This Row],[ID]], Table2[ID], Table2[Enrollment], "Not Found", 0)</f>
        <v>44140</v>
      </c>
      <c r="T815" t="s">
        <v>439</v>
      </c>
    </row>
    <row r="816" spans="1:20" x14ac:dyDescent="0.3">
      <c r="A816">
        <v>3128</v>
      </c>
      <c r="B816">
        <v>160896</v>
      </c>
      <c r="C816">
        <v>0</v>
      </c>
      <c r="D816">
        <v>1</v>
      </c>
      <c r="E816">
        <v>56</v>
      </c>
      <c r="F816">
        <v>0</v>
      </c>
      <c r="G816">
        <v>1</v>
      </c>
      <c r="H816">
        <v>0</v>
      </c>
      <c r="I816">
        <v>0</v>
      </c>
      <c r="J816">
        <v>0</v>
      </c>
      <c r="K816">
        <v>0</v>
      </c>
      <c r="L816">
        <v>0</v>
      </c>
      <c r="M816">
        <v>0</v>
      </c>
      <c r="N816">
        <v>1</v>
      </c>
      <c r="O816" t="str" cm="1">
        <f t="array" ref="O816">_xlfn.IFS(Table1[[#This Row],[Divorced]]=1, "Divorced", Table1[[#This Row],[Married]]=1, "Married", Table1[[#This Row],[Single]]=1, "Single", Table1[[#This Row],[Together]]=1, "Together", Table1[[#This Row],[Widow]]=1, "Widow")</f>
        <v>Married</v>
      </c>
      <c r="P816" t="str" cm="1">
        <f t="array" ref="P816">_xlfn.IFS(Table1[[#This Row],[Basic]]=1, "Basic", Table1[[#This Row],[Graduate]]=1, "Graduate", Table1[[#This Row],[Master]]=1, "Master", Table1[[#This Row],[PhD]]=1, "PhD", AND(Table1[[#This Row],[Basic]]=0, Table1[[#This Row],[Graduate]]=0, Table1[[#This Row],[Master]]=0, Table1[[#This Row],[PhD]]=0), "NA")</f>
        <v>PhD</v>
      </c>
      <c r="Q816" t="e">
        <f>_xlfn.XLOOKUP(Table1[[#This Row],[ID]], Table2[ID],#REF!, "Not Found", 0)</f>
        <v>#REF!</v>
      </c>
      <c r="R816" t="e">
        <f>_xlfn.XLOOKUP(Table1[[#This Row],[ID]], Table2[ID],#REF!, "Not Found", 0)</f>
        <v>#REF!</v>
      </c>
      <c r="S816" s="3" t="str">
        <f>_xlfn.XLOOKUP(Table1[[#This Row],[ID]], Table2[ID], Table2[Enrollment], "Not Found", 0)</f>
        <v>3/18/2019</v>
      </c>
      <c r="T816" t="s">
        <v>438</v>
      </c>
    </row>
    <row r="817" spans="1:20" x14ac:dyDescent="0.3">
      <c r="A817">
        <v>2285</v>
      </c>
      <c r="B817">
        <v>160894</v>
      </c>
      <c r="C817">
        <v>0</v>
      </c>
      <c r="D817">
        <v>1</v>
      </c>
      <c r="E817">
        <v>54</v>
      </c>
      <c r="F817">
        <v>0</v>
      </c>
      <c r="G817">
        <v>0</v>
      </c>
      <c r="H817">
        <v>0</v>
      </c>
      <c r="I817">
        <v>1</v>
      </c>
      <c r="J817">
        <v>0</v>
      </c>
      <c r="K817">
        <v>0</v>
      </c>
      <c r="L817">
        <v>1</v>
      </c>
      <c r="M817">
        <v>0</v>
      </c>
      <c r="N817">
        <v>0</v>
      </c>
      <c r="O817" t="str" cm="1">
        <f t="array" ref="O817">_xlfn.IFS(Table1[[#This Row],[Divorced]]=1, "Divorced", Table1[[#This Row],[Married]]=1, "Married", Table1[[#This Row],[Single]]=1, "Single", Table1[[#This Row],[Together]]=1, "Together", Table1[[#This Row],[Widow]]=1, "Widow")</f>
        <v>Together</v>
      </c>
      <c r="P817" t="str" cm="1">
        <f t="array" ref="P817">_xlfn.IFS(Table1[[#This Row],[Basic]]=1, "Basic", Table1[[#This Row],[Graduate]]=1, "Graduate", Table1[[#This Row],[Master]]=1, "Master", Table1[[#This Row],[PhD]]=1, "PhD", AND(Table1[[#This Row],[Basic]]=0, Table1[[#This Row],[Graduate]]=0, Table1[[#This Row],[Master]]=0, Table1[[#This Row],[PhD]]=0), "NA")</f>
        <v>Graduate</v>
      </c>
      <c r="Q817" t="e">
        <f>_xlfn.XLOOKUP(Table1[[#This Row],[ID]], Table2[ID],#REF!, "Not Found", 0)</f>
        <v>#REF!</v>
      </c>
      <c r="R817" t="e">
        <f>_xlfn.XLOOKUP(Table1[[#This Row],[ID]], Table2[ID],#REF!, "Not Found", 0)</f>
        <v>#REF!</v>
      </c>
      <c r="S817" s="3">
        <f>_xlfn.XLOOKUP(Table1[[#This Row],[ID]], Table2[ID], Table2[Enrollment], "Not Found", 0)</f>
        <v>43536</v>
      </c>
      <c r="T817" t="s">
        <v>434</v>
      </c>
    </row>
    <row r="818" spans="1:20" x14ac:dyDescent="0.3">
      <c r="A818">
        <v>2763</v>
      </c>
      <c r="B818">
        <v>160839</v>
      </c>
      <c r="C818">
        <v>1</v>
      </c>
      <c r="D818">
        <v>1</v>
      </c>
      <c r="E818">
        <v>41</v>
      </c>
      <c r="F818">
        <v>0</v>
      </c>
      <c r="G818">
        <v>0</v>
      </c>
      <c r="H818">
        <v>0</v>
      </c>
      <c r="I818">
        <v>1</v>
      </c>
      <c r="J818">
        <v>0</v>
      </c>
      <c r="K818">
        <v>0</v>
      </c>
      <c r="L818">
        <v>0</v>
      </c>
      <c r="M818">
        <v>0</v>
      </c>
      <c r="N818">
        <v>0</v>
      </c>
      <c r="O818" t="str" cm="1">
        <f t="array" ref="O818">_xlfn.IFS(Table1[[#This Row],[Divorced]]=1, "Divorced", Table1[[#This Row],[Married]]=1, "Married", Table1[[#This Row],[Single]]=1, "Single", Table1[[#This Row],[Together]]=1, "Together", Table1[[#This Row],[Widow]]=1, "Widow")</f>
        <v>Together</v>
      </c>
      <c r="P818" t="str" cm="1">
        <f t="array" ref="P818">_xlfn.IFS(Table1[[#This Row],[Basic]]=1, "Basic", Table1[[#This Row],[Graduate]]=1, "Graduate", Table1[[#This Row],[Master]]=1, "Master", Table1[[#This Row],[PhD]]=1, "PhD", AND(Table1[[#This Row],[Basic]]=0, Table1[[#This Row],[Graduate]]=0, Table1[[#This Row],[Master]]=0, Table1[[#This Row],[PhD]]=0), "NA")</f>
        <v>NA</v>
      </c>
      <c r="Q818" t="e">
        <f>_xlfn.XLOOKUP(Table1[[#This Row],[ID]], Table2[ID],#REF!, "Not Found", 0)</f>
        <v>#REF!</v>
      </c>
      <c r="R818" t="e">
        <f>_xlfn.XLOOKUP(Table1[[#This Row],[ID]], Table2[ID],#REF!, "Not Found", 0)</f>
        <v>#REF!</v>
      </c>
      <c r="S818" s="3">
        <f>_xlfn.XLOOKUP(Table1[[#This Row],[ID]], Table2[ID], Table2[Enrollment], "Not Found", 0)</f>
        <v>43498</v>
      </c>
      <c r="T818" t="s">
        <v>435</v>
      </c>
    </row>
    <row r="819" spans="1:20" x14ac:dyDescent="0.3">
      <c r="A819">
        <v>1263</v>
      </c>
      <c r="B819">
        <v>160714</v>
      </c>
      <c r="C819">
        <v>0</v>
      </c>
      <c r="D819">
        <v>0</v>
      </c>
      <c r="E819">
        <v>64</v>
      </c>
      <c r="F819">
        <v>0</v>
      </c>
      <c r="G819">
        <v>0</v>
      </c>
      <c r="H819">
        <v>1</v>
      </c>
      <c r="I819">
        <v>0</v>
      </c>
      <c r="J819">
        <v>0</v>
      </c>
      <c r="K819">
        <v>0</v>
      </c>
      <c r="L819">
        <v>1</v>
      </c>
      <c r="M819">
        <v>0</v>
      </c>
      <c r="N819">
        <v>0</v>
      </c>
      <c r="O819" t="str" cm="1">
        <f t="array" ref="O819">_xlfn.IFS(Table1[[#This Row],[Divorced]]=1, "Divorced", Table1[[#This Row],[Married]]=1, "Married", Table1[[#This Row],[Single]]=1, "Single", Table1[[#This Row],[Together]]=1, "Together", Table1[[#This Row],[Widow]]=1, "Widow")</f>
        <v>Single</v>
      </c>
      <c r="P819" t="str" cm="1">
        <f t="array" ref="P819">_xlfn.IFS(Table1[[#This Row],[Basic]]=1, "Basic", Table1[[#This Row],[Graduate]]=1, "Graduate", Table1[[#This Row],[Master]]=1, "Master", Table1[[#This Row],[PhD]]=1, "PhD", AND(Table1[[#This Row],[Basic]]=0, Table1[[#This Row],[Graduate]]=0, Table1[[#This Row],[Master]]=0, Table1[[#This Row],[PhD]]=0), "NA")</f>
        <v>Graduate</v>
      </c>
      <c r="Q819" t="e">
        <f>_xlfn.XLOOKUP(Table1[[#This Row],[ID]], Table2[ID],#REF!, "Not Found", 0)</f>
        <v>#REF!</v>
      </c>
      <c r="R819" t="e">
        <f>_xlfn.XLOOKUP(Table1[[#This Row],[ID]], Table2[ID],#REF!, "Not Found", 0)</f>
        <v>#REF!</v>
      </c>
      <c r="S819" s="3" t="str">
        <f>_xlfn.XLOOKUP(Table1[[#This Row],[ID]], Table2[ID], Table2[Enrollment], "Not Found", 0)</f>
        <v>6/24/2019</v>
      </c>
      <c r="T819" t="s">
        <v>435</v>
      </c>
    </row>
    <row r="820" spans="1:20" x14ac:dyDescent="0.3">
      <c r="A820">
        <v>3012</v>
      </c>
      <c r="B820">
        <v>160689</v>
      </c>
      <c r="C820">
        <v>0</v>
      </c>
      <c r="D820">
        <v>1</v>
      </c>
      <c r="E820">
        <v>69</v>
      </c>
      <c r="F820">
        <v>0</v>
      </c>
      <c r="G820">
        <v>0</v>
      </c>
      <c r="H820">
        <v>1</v>
      </c>
      <c r="I820">
        <v>0</v>
      </c>
      <c r="J820">
        <v>0</v>
      </c>
      <c r="K820">
        <v>0</v>
      </c>
      <c r="L820">
        <v>1</v>
      </c>
      <c r="M820">
        <v>0</v>
      </c>
      <c r="N820">
        <v>0</v>
      </c>
      <c r="O820" t="str" cm="1">
        <f t="array" ref="O820">_xlfn.IFS(Table1[[#This Row],[Divorced]]=1, "Divorced", Table1[[#This Row],[Married]]=1, "Married", Table1[[#This Row],[Single]]=1, "Single", Table1[[#This Row],[Together]]=1, "Together", Table1[[#This Row],[Widow]]=1, "Widow")</f>
        <v>Single</v>
      </c>
      <c r="P820" t="str" cm="1">
        <f t="array" ref="P820">_xlfn.IFS(Table1[[#This Row],[Basic]]=1, "Basic", Table1[[#This Row],[Graduate]]=1, "Graduate", Table1[[#This Row],[Master]]=1, "Master", Table1[[#This Row],[PhD]]=1, "PhD", AND(Table1[[#This Row],[Basic]]=0, Table1[[#This Row],[Graduate]]=0, Table1[[#This Row],[Master]]=0, Table1[[#This Row],[PhD]]=0), "NA")</f>
        <v>Graduate</v>
      </c>
      <c r="Q820" t="e">
        <f>_xlfn.XLOOKUP(Table1[[#This Row],[ID]], Table2[ID],#REF!, "Not Found", 0)</f>
        <v>#REF!</v>
      </c>
      <c r="R820" t="e">
        <f>_xlfn.XLOOKUP(Table1[[#This Row],[ID]], Table2[ID],#REF!, "Not Found", 0)</f>
        <v>#REF!</v>
      </c>
      <c r="S820" s="3">
        <f>_xlfn.XLOOKUP(Table1[[#This Row],[ID]], Table2[ID], Table2[Enrollment], "Not Found", 0)</f>
        <v>43627</v>
      </c>
      <c r="T820" t="s">
        <v>436</v>
      </c>
    </row>
    <row r="821" spans="1:20" x14ac:dyDescent="0.3">
      <c r="A821">
        <v>3212</v>
      </c>
      <c r="B821">
        <v>160646</v>
      </c>
      <c r="C821">
        <v>1</v>
      </c>
      <c r="D821">
        <v>0</v>
      </c>
      <c r="E821">
        <v>36</v>
      </c>
      <c r="F821">
        <v>0</v>
      </c>
      <c r="G821">
        <v>0</v>
      </c>
      <c r="H821">
        <v>1</v>
      </c>
      <c r="I821">
        <v>0</v>
      </c>
      <c r="J821">
        <v>0</v>
      </c>
      <c r="K821">
        <v>0</v>
      </c>
      <c r="L821">
        <v>1</v>
      </c>
      <c r="M821">
        <v>0</v>
      </c>
      <c r="N821">
        <v>0</v>
      </c>
      <c r="O821" t="str" cm="1">
        <f t="array" ref="O821">_xlfn.IFS(Table1[[#This Row],[Divorced]]=1, "Divorced", Table1[[#This Row],[Married]]=1, "Married", Table1[[#This Row],[Single]]=1, "Single", Table1[[#This Row],[Together]]=1, "Together", Table1[[#This Row],[Widow]]=1, "Widow")</f>
        <v>Single</v>
      </c>
      <c r="P821" t="str" cm="1">
        <f t="array" ref="P821">_xlfn.IFS(Table1[[#This Row],[Basic]]=1, "Basic", Table1[[#This Row],[Graduate]]=1, "Graduate", Table1[[#This Row],[Master]]=1, "Master", Table1[[#This Row],[PhD]]=1, "PhD", AND(Table1[[#This Row],[Basic]]=0, Table1[[#This Row],[Graduate]]=0, Table1[[#This Row],[Master]]=0, Table1[[#This Row],[PhD]]=0), "NA")</f>
        <v>Graduate</v>
      </c>
      <c r="Q821" t="e">
        <f>_xlfn.XLOOKUP(Table1[[#This Row],[ID]], Table2[ID],#REF!, "Not Found", 0)</f>
        <v>#REF!</v>
      </c>
      <c r="R821" t="e">
        <f>_xlfn.XLOOKUP(Table1[[#This Row],[ID]], Table2[ID],#REF!, "Not Found", 0)</f>
        <v>#REF!</v>
      </c>
      <c r="S821" s="3" t="str">
        <f>_xlfn.XLOOKUP(Table1[[#This Row],[ID]], Table2[ID], Table2[Enrollment], "Not Found", 0)</f>
        <v>8/21/2019</v>
      </c>
      <c r="T821" t="s">
        <v>438</v>
      </c>
    </row>
    <row r="822" spans="1:20" x14ac:dyDescent="0.3">
      <c r="A822">
        <v>1068</v>
      </c>
      <c r="B822">
        <v>160631</v>
      </c>
      <c r="C822">
        <v>1</v>
      </c>
      <c r="D822">
        <v>1</v>
      </c>
      <c r="E822">
        <v>45</v>
      </c>
      <c r="F822">
        <v>0</v>
      </c>
      <c r="G822">
        <v>1</v>
      </c>
      <c r="H822">
        <v>0</v>
      </c>
      <c r="I822">
        <v>0</v>
      </c>
      <c r="J822">
        <v>0</v>
      </c>
      <c r="K822">
        <v>0</v>
      </c>
      <c r="L822">
        <v>0</v>
      </c>
      <c r="M822">
        <v>0</v>
      </c>
      <c r="N822">
        <v>1</v>
      </c>
      <c r="O822" t="str" cm="1">
        <f t="array" ref="O822">_xlfn.IFS(Table1[[#This Row],[Divorced]]=1, "Divorced", Table1[[#This Row],[Married]]=1, "Married", Table1[[#This Row],[Single]]=1, "Single", Table1[[#This Row],[Together]]=1, "Together", Table1[[#This Row],[Widow]]=1, "Widow")</f>
        <v>Married</v>
      </c>
      <c r="P822" t="str" cm="1">
        <f t="array" ref="P822">_xlfn.IFS(Table1[[#This Row],[Basic]]=1, "Basic", Table1[[#This Row],[Graduate]]=1, "Graduate", Table1[[#This Row],[Master]]=1, "Master", Table1[[#This Row],[PhD]]=1, "PhD", AND(Table1[[#This Row],[Basic]]=0, Table1[[#This Row],[Graduate]]=0, Table1[[#This Row],[Master]]=0, Table1[[#This Row],[PhD]]=0), "NA")</f>
        <v>PhD</v>
      </c>
      <c r="Q822" t="e">
        <f>_xlfn.XLOOKUP(Table1[[#This Row],[ID]], Table2[ID],#REF!, "Not Found", 0)</f>
        <v>#REF!</v>
      </c>
      <c r="R822" t="e">
        <f>_xlfn.XLOOKUP(Table1[[#This Row],[ID]], Table2[ID],#REF!, "Not Found", 0)</f>
        <v>#REF!</v>
      </c>
      <c r="S822" s="3">
        <f>_xlfn.XLOOKUP(Table1[[#This Row],[ID]], Table2[ID], Table2[Enrollment], "Not Found", 0)</f>
        <v>43747</v>
      </c>
      <c r="T822" t="s">
        <v>436</v>
      </c>
    </row>
    <row r="823" spans="1:20" x14ac:dyDescent="0.3">
      <c r="A823">
        <v>1444</v>
      </c>
      <c r="B823">
        <v>160597</v>
      </c>
      <c r="C823">
        <v>0</v>
      </c>
      <c r="D823">
        <v>1</v>
      </c>
      <c r="E823">
        <v>56</v>
      </c>
      <c r="F823">
        <v>0</v>
      </c>
      <c r="G823">
        <v>1</v>
      </c>
      <c r="H823">
        <v>0</v>
      </c>
      <c r="I823">
        <v>0</v>
      </c>
      <c r="J823">
        <v>0</v>
      </c>
      <c r="K823">
        <v>0</v>
      </c>
      <c r="L823">
        <v>1</v>
      </c>
      <c r="M823">
        <v>0</v>
      </c>
      <c r="N823">
        <v>0</v>
      </c>
      <c r="O823" t="str" cm="1">
        <f t="array" ref="O823">_xlfn.IFS(Table1[[#This Row],[Divorced]]=1, "Divorced", Table1[[#This Row],[Married]]=1, "Married", Table1[[#This Row],[Single]]=1, "Single", Table1[[#This Row],[Together]]=1, "Together", Table1[[#This Row],[Widow]]=1, "Widow")</f>
        <v>Married</v>
      </c>
      <c r="P823" t="str" cm="1">
        <f t="array" ref="P823">_xlfn.IFS(Table1[[#This Row],[Basic]]=1, "Basic", Table1[[#This Row],[Graduate]]=1, "Graduate", Table1[[#This Row],[Master]]=1, "Master", Table1[[#This Row],[PhD]]=1, "PhD", AND(Table1[[#This Row],[Basic]]=0, Table1[[#This Row],[Graduate]]=0, Table1[[#This Row],[Master]]=0, Table1[[#This Row],[PhD]]=0), "NA")</f>
        <v>Graduate</v>
      </c>
      <c r="Q823" t="e">
        <f>_xlfn.XLOOKUP(Table1[[#This Row],[ID]], Table2[ID],#REF!, "Not Found", 0)</f>
        <v>#REF!</v>
      </c>
      <c r="R823" t="e">
        <f>_xlfn.XLOOKUP(Table1[[#This Row],[ID]], Table2[ID],#REF!, "Not Found", 0)</f>
        <v>#REF!</v>
      </c>
      <c r="S823" s="3">
        <f>_xlfn.XLOOKUP(Table1[[#This Row],[ID]], Table2[ID], Table2[Enrollment], "Not Found", 0)</f>
        <v>44018</v>
      </c>
      <c r="T823" t="s">
        <v>439</v>
      </c>
    </row>
    <row r="824" spans="1:20" x14ac:dyDescent="0.3">
      <c r="A824">
        <v>2466</v>
      </c>
      <c r="B824">
        <v>160585</v>
      </c>
      <c r="C824">
        <v>1</v>
      </c>
      <c r="D824">
        <v>1</v>
      </c>
      <c r="E824">
        <v>49</v>
      </c>
      <c r="F824">
        <v>0</v>
      </c>
      <c r="G824">
        <v>1</v>
      </c>
      <c r="H824">
        <v>0</v>
      </c>
      <c r="I824">
        <v>0</v>
      </c>
      <c r="J824">
        <v>0</v>
      </c>
      <c r="K824">
        <v>0</v>
      </c>
      <c r="L824">
        <v>0</v>
      </c>
      <c r="M824">
        <v>0</v>
      </c>
      <c r="N824">
        <v>1</v>
      </c>
      <c r="O824" t="str" cm="1">
        <f t="array" ref="O824">_xlfn.IFS(Table1[[#This Row],[Divorced]]=1, "Divorced", Table1[[#This Row],[Married]]=1, "Married", Table1[[#This Row],[Single]]=1, "Single", Table1[[#This Row],[Together]]=1, "Together", Table1[[#This Row],[Widow]]=1, "Widow")</f>
        <v>Married</v>
      </c>
      <c r="P824" t="str" cm="1">
        <f t="array" ref="P824">_xlfn.IFS(Table1[[#This Row],[Basic]]=1, "Basic", Table1[[#This Row],[Graduate]]=1, "Graduate", Table1[[#This Row],[Master]]=1, "Master", Table1[[#This Row],[PhD]]=1, "PhD", AND(Table1[[#This Row],[Basic]]=0, Table1[[#This Row],[Graduate]]=0, Table1[[#This Row],[Master]]=0, Table1[[#This Row],[PhD]]=0), "NA")</f>
        <v>PhD</v>
      </c>
      <c r="Q824" t="e">
        <f>_xlfn.XLOOKUP(Table1[[#This Row],[ID]], Table2[ID],#REF!, "Not Found", 0)</f>
        <v>#REF!</v>
      </c>
      <c r="R824" t="e">
        <f>_xlfn.XLOOKUP(Table1[[#This Row],[ID]], Table2[ID],#REF!, "Not Found", 0)</f>
        <v>#REF!</v>
      </c>
      <c r="S824" s="3" t="str">
        <f>_xlfn.XLOOKUP(Table1[[#This Row],[ID]], Table2[ID], Table2[Enrollment], "Not Found", 0)</f>
        <v>11/29/2019</v>
      </c>
      <c r="T824" t="s">
        <v>436</v>
      </c>
    </row>
    <row r="825" spans="1:20" x14ac:dyDescent="0.3">
      <c r="A825">
        <v>1920</v>
      </c>
      <c r="B825">
        <v>160554</v>
      </c>
      <c r="C825">
        <v>1</v>
      </c>
      <c r="D825">
        <v>0</v>
      </c>
      <c r="E825">
        <v>45</v>
      </c>
      <c r="F825">
        <v>1</v>
      </c>
      <c r="G825">
        <v>0</v>
      </c>
      <c r="H825">
        <v>0</v>
      </c>
      <c r="I825">
        <v>0</v>
      </c>
      <c r="J825">
        <v>0</v>
      </c>
      <c r="K825">
        <v>0</v>
      </c>
      <c r="L825">
        <v>0</v>
      </c>
      <c r="M825">
        <v>0</v>
      </c>
      <c r="N825">
        <v>1</v>
      </c>
      <c r="O825" t="str" cm="1">
        <f t="array" ref="O825">_xlfn.IFS(Table1[[#This Row],[Divorced]]=1, "Divorced", Table1[[#This Row],[Married]]=1, "Married", Table1[[#This Row],[Single]]=1, "Single", Table1[[#This Row],[Together]]=1, "Together", Table1[[#This Row],[Widow]]=1, "Widow")</f>
        <v>Divorced</v>
      </c>
      <c r="P825" t="str" cm="1">
        <f t="array" ref="P825">_xlfn.IFS(Table1[[#This Row],[Basic]]=1, "Basic", Table1[[#This Row],[Graduate]]=1, "Graduate", Table1[[#This Row],[Master]]=1, "Master", Table1[[#This Row],[PhD]]=1, "PhD", AND(Table1[[#This Row],[Basic]]=0, Table1[[#This Row],[Graduate]]=0, Table1[[#This Row],[Master]]=0, Table1[[#This Row],[PhD]]=0), "NA")</f>
        <v>PhD</v>
      </c>
      <c r="Q825" t="e">
        <f>_xlfn.XLOOKUP(Table1[[#This Row],[ID]], Table2[ID],#REF!, "Not Found", 0)</f>
        <v>#REF!</v>
      </c>
      <c r="R825" t="e">
        <f>_xlfn.XLOOKUP(Table1[[#This Row],[ID]], Table2[ID],#REF!, "Not Found", 0)</f>
        <v>#REF!</v>
      </c>
      <c r="S825" s="3" t="str">
        <f>_xlfn.XLOOKUP(Table1[[#This Row],[ID]], Table2[ID], Table2[Enrollment], "Not Found", 0)</f>
        <v>1/14/2020</v>
      </c>
      <c r="T825" t="s">
        <v>436</v>
      </c>
    </row>
    <row r="826" spans="1:20" x14ac:dyDescent="0.3">
      <c r="A826">
        <v>2376</v>
      </c>
      <c r="B826">
        <v>160544</v>
      </c>
      <c r="C826">
        <v>1</v>
      </c>
      <c r="D826">
        <v>1</v>
      </c>
      <c r="E826">
        <v>59</v>
      </c>
      <c r="F826">
        <v>0</v>
      </c>
      <c r="G826">
        <v>1</v>
      </c>
      <c r="H826">
        <v>0</v>
      </c>
      <c r="I826">
        <v>0</v>
      </c>
      <c r="J826">
        <v>0</v>
      </c>
      <c r="K826">
        <v>0</v>
      </c>
      <c r="L826">
        <v>1</v>
      </c>
      <c r="M826">
        <v>0</v>
      </c>
      <c r="N826">
        <v>0</v>
      </c>
      <c r="O826" t="str" cm="1">
        <f t="array" ref="O826">_xlfn.IFS(Table1[[#This Row],[Divorced]]=1, "Divorced", Table1[[#This Row],[Married]]=1, "Married", Table1[[#This Row],[Single]]=1, "Single", Table1[[#This Row],[Together]]=1, "Together", Table1[[#This Row],[Widow]]=1, "Widow")</f>
        <v>Married</v>
      </c>
      <c r="P826" t="str" cm="1">
        <f t="array" ref="P826">_xlfn.IFS(Table1[[#This Row],[Basic]]=1, "Basic", Table1[[#This Row],[Graduate]]=1, "Graduate", Table1[[#This Row],[Master]]=1, "Master", Table1[[#This Row],[PhD]]=1, "PhD", AND(Table1[[#This Row],[Basic]]=0, Table1[[#This Row],[Graduate]]=0, Table1[[#This Row],[Master]]=0, Table1[[#This Row],[PhD]]=0), "NA")</f>
        <v>Graduate</v>
      </c>
      <c r="Q826" t="e">
        <f>_xlfn.XLOOKUP(Table1[[#This Row],[ID]], Table2[ID],#REF!, "Not Found", 0)</f>
        <v>#REF!</v>
      </c>
      <c r="R826" t="e">
        <f>_xlfn.XLOOKUP(Table1[[#This Row],[ID]], Table2[ID],#REF!, "Not Found", 0)</f>
        <v>#REF!</v>
      </c>
      <c r="S826" s="3" t="str">
        <f>_xlfn.XLOOKUP(Table1[[#This Row],[ID]], Table2[ID], Table2[Enrollment], "Not Found", 0)</f>
        <v>1/30/2019</v>
      </c>
      <c r="T826" t="s">
        <v>436</v>
      </c>
    </row>
    <row r="827" spans="1:20" x14ac:dyDescent="0.3">
      <c r="A827">
        <v>2412</v>
      </c>
      <c r="B827">
        <v>160544</v>
      </c>
      <c r="C827">
        <v>1</v>
      </c>
      <c r="D827">
        <v>1</v>
      </c>
      <c r="E827">
        <v>59</v>
      </c>
      <c r="F827">
        <v>0</v>
      </c>
      <c r="G827">
        <v>1</v>
      </c>
      <c r="H827">
        <v>0</v>
      </c>
      <c r="I827">
        <v>0</v>
      </c>
      <c r="J827">
        <v>0</v>
      </c>
      <c r="K827">
        <v>0</v>
      </c>
      <c r="L827">
        <v>1</v>
      </c>
      <c r="M827">
        <v>0</v>
      </c>
      <c r="N827">
        <v>0</v>
      </c>
      <c r="O827" t="str" cm="1">
        <f t="array" ref="O827">_xlfn.IFS(Table1[[#This Row],[Divorced]]=1, "Divorced", Table1[[#This Row],[Married]]=1, "Married", Table1[[#This Row],[Single]]=1, "Single", Table1[[#This Row],[Together]]=1, "Together", Table1[[#This Row],[Widow]]=1, "Widow")</f>
        <v>Married</v>
      </c>
      <c r="P827" t="str" cm="1">
        <f t="array" ref="P827">_xlfn.IFS(Table1[[#This Row],[Basic]]=1, "Basic", Table1[[#This Row],[Graduate]]=1, "Graduate", Table1[[#This Row],[Master]]=1, "Master", Table1[[#This Row],[PhD]]=1, "PhD", AND(Table1[[#This Row],[Basic]]=0, Table1[[#This Row],[Graduate]]=0, Table1[[#This Row],[Master]]=0, Table1[[#This Row],[PhD]]=0), "NA")</f>
        <v>Graduate</v>
      </c>
      <c r="Q827" t="e">
        <f>_xlfn.XLOOKUP(Table1[[#This Row],[ID]], Table2[ID],#REF!, "Not Found", 0)</f>
        <v>#REF!</v>
      </c>
      <c r="R827" t="e">
        <f>_xlfn.XLOOKUP(Table1[[#This Row],[ID]], Table2[ID],#REF!, "Not Found", 0)</f>
        <v>#REF!</v>
      </c>
      <c r="S827" s="3" t="str">
        <f>_xlfn.XLOOKUP(Table1[[#This Row],[ID]], Table2[ID], Table2[Enrollment], "Not Found", 0)</f>
        <v>1/30/2019</v>
      </c>
      <c r="T827" t="s">
        <v>436</v>
      </c>
    </row>
    <row r="828" spans="1:20" x14ac:dyDescent="0.3">
      <c r="A828">
        <v>1536</v>
      </c>
      <c r="B828">
        <v>160504</v>
      </c>
      <c r="C828">
        <v>0</v>
      </c>
      <c r="D828">
        <v>1</v>
      </c>
      <c r="E828">
        <v>49</v>
      </c>
      <c r="F828">
        <v>0</v>
      </c>
      <c r="G828">
        <v>0</v>
      </c>
      <c r="H828">
        <v>1</v>
      </c>
      <c r="I828">
        <v>0</v>
      </c>
      <c r="J828">
        <v>0</v>
      </c>
      <c r="K828">
        <v>0</v>
      </c>
      <c r="L828">
        <v>0</v>
      </c>
      <c r="M828">
        <v>0</v>
      </c>
      <c r="N828">
        <v>1</v>
      </c>
      <c r="O828" t="str" cm="1">
        <f t="array" ref="O828">_xlfn.IFS(Table1[[#This Row],[Divorced]]=1, "Divorced", Table1[[#This Row],[Married]]=1, "Married", Table1[[#This Row],[Single]]=1, "Single", Table1[[#This Row],[Together]]=1, "Together", Table1[[#This Row],[Widow]]=1, "Widow")</f>
        <v>Single</v>
      </c>
      <c r="P828" t="str" cm="1">
        <f t="array" ref="P828">_xlfn.IFS(Table1[[#This Row],[Basic]]=1, "Basic", Table1[[#This Row],[Graduate]]=1, "Graduate", Table1[[#This Row],[Master]]=1, "Master", Table1[[#This Row],[PhD]]=1, "PhD", AND(Table1[[#This Row],[Basic]]=0, Table1[[#This Row],[Graduate]]=0, Table1[[#This Row],[Master]]=0, Table1[[#This Row],[PhD]]=0), "NA")</f>
        <v>PhD</v>
      </c>
      <c r="Q828" t="e">
        <f>_xlfn.XLOOKUP(Table1[[#This Row],[ID]], Table2[ID],#REF!, "Not Found", 0)</f>
        <v>#REF!</v>
      </c>
      <c r="R828" t="e">
        <f>_xlfn.XLOOKUP(Table1[[#This Row],[ID]], Table2[ID],#REF!, "Not Found", 0)</f>
        <v>#REF!</v>
      </c>
      <c r="S828" s="3" t="str">
        <f>_xlfn.XLOOKUP(Table1[[#This Row],[ID]], Table2[ID], Table2[Enrollment], "Not Found", 0)</f>
        <v>7/14/2020</v>
      </c>
      <c r="T828" t="s">
        <v>436</v>
      </c>
    </row>
    <row r="829" spans="1:20" x14ac:dyDescent="0.3">
      <c r="A829">
        <v>2881</v>
      </c>
      <c r="B829">
        <v>160491</v>
      </c>
      <c r="C829">
        <v>0</v>
      </c>
      <c r="D829">
        <v>1</v>
      </c>
      <c r="E829">
        <v>49</v>
      </c>
      <c r="F829">
        <v>0</v>
      </c>
      <c r="G829">
        <v>1</v>
      </c>
      <c r="H829">
        <v>0</v>
      </c>
      <c r="I829">
        <v>0</v>
      </c>
      <c r="J829">
        <v>0</v>
      </c>
      <c r="K829">
        <v>0</v>
      </c>
      <c r="L829">
        <v>0</v>
      </c>
      <c r="M829">
        <v>0</v>
      </c>
      <c r="N829">
        <v>1</v>
      </c>
      <c r="O829" t="str" cm="1">
        <f t="array" ref="O829">_xlfn.IFS(Table1[[#This Row],[Divorced]]=1, "Divorced", Table1[[#This Row],[Married]]=1, "Married", Table1[[#This Row],[Single]]=1, "Single", Table1[[#This Row],[Together]]=1, "Together", Table1[[#This Row],[Widow]]=1, "Widow")</f>
        <v>Married</v>
      </c>
      <c r="P829" t="str" cm="1">
        <f t="array" ref="P829">_xlfn.IFS(Table1[[#This Row],[Basic]]=1, "Basic", Table1[[#This Row],[Graduate]]=1, "Graduate", Table1[[#This Row],[Master]]=1, "Master", Table1[[#This Row],[PhD]]=1, "PhD", AND(Table1[[#This Row],[Basic]]=0, Table1[[#This Row],[Graduate]]=0, Table1[[#This Row],[Master]]=0, Table1[[#This Row],[PhD]]=0), "NA")</f>
        <v>PhD</v>
      </c>
      <c r="Q829" t="e">
        <f>_xlfn.XLOOKUP(Table1[[#This Row],[ID]], Table2[ID],#REF!, "Not Found", 0)</f>
        <v>#REF!</v>
      </c>
      <c r="R829" t="e">
        <f>_xlfn.XLOOKUP(Table1[[#This Row],[ID]], Table2[ID],#REF!, "Not Found", 0)</f>
        <v>#REF!</v>
      </c>
      <c r="S829" s="3">
        <f>_xlfn.XLOOKUP(Table1[[#This Row],[ID]], Table2[ID], Table2[Enrollment], "Not Found", 0)</f>
        <v>44137</v>
      </c>
      <c r="T829" t="s">
        <v>437</v>
      </c>
    </row>
    <row r="830" spans="1:20" x14ac:dyDescent="0.3">
      <c r="A830">
        <v>2555</v>
      </c>
      <c r="B830">
        <v>160482</v>
      </c>
      <c r="C830">
        <v>0</v>
      </c>
      <c r="D830">
        <v>1</v>
      </c>
      <c r="E830">
        <v>44</v>
      </c>
      <c r="F830">
        <v>0</v>
      </c>
      <c r="G830">
        <v>0</v>
      </c>
      <c r="H830">
        <v>1</v>
      </c>
      <c r="I830">
        <v>0</v>
      </c>
      <c r="J830">
        <v>0</v>
      </c>
      <c r="K830">
        <v>0</v>
      </c>
      <c r="L830">
        <v>0</v>
      </c>
      <c r="M830">
        <v>1</v>
      </c>
      <c r="N830">
        <v>0</v>
      </c>
      <c r="O830" t="str" cm="1">
        <f t="array" ref="O830">_xlfn.IFS(Table1[[#This Row],[Divorced]]=1, "Divorced", Table1[[#This Row],[Married]]=1, "Married", Table1[[#This Row],[Single]]=1, "Single", Table1[[#This Row],[Together]]=1, "Together", Table1[[#This Row],[Widow]]=1, "Widow")</f>
        <v>Single</v>
      </c>
      <c r="P830" t="str" cm="1">
        <f t="array" ref="P830">_xlfn.IFS(Table1[[#This Row],[Basic]]=1, "Basic", Table1[[#This Row],[Graduate]]=1, "Graduate", Table1[[#This Row],[Master]]=1, "Master", Table1[[#This Row],[PhD]]=1, "PhD", AND(Table1[[#This Row],[Basic]]=0, Table1[[#This Row],[Graduate]]=0, Table1[[#This Row],[Master]]=0, Table1[[#This Row],[PhD]]=0), "NA")</f>
        <v>Master</v>
      </c>
      <c r="Q830" t="e">
        <f>_xlfn.XLOOKUP(Table1[[#This Row],[ID]], Table2[ID],#REF!, "Not Found", 0)</f>
        <v>#REF!</v>
      </c>
      <c r="R830" t="e">
        <f>_xlfn.XLOOKUP(Table1[[#This Row],[ID]], Table2[ID],#REF!, "Not Found", 0)</f>
        <v>#REF!</v>
      </c>
      <c r="S830" s="3" t="str">
        <f>_xlfn.XLOOKUP(Table1[[#This Row],[ID]], Table2[ID], Table2[Enrollment], "Not Found", 0)</f>
        <v>6/30/2019</v>
      </c>
      <c r="T830" t="s">
        <v>434</v>
      </c>
    </row>
    <row r="831" spans="1:20" x14ac:dyDescent="0.3">
      <c r="A831">
        <v>1836</v>
      </c>
      <c r="B831">
        <v>160474</v>
      </c>
      <c r="C831">
        <v>0</v>
      </c>
      <c r="D831">
        <v>1</v>
      </c>
      <c r="E831">
        <v>41</v>
      </c>
      <c r="F831">
        <v>0</v>
      </c>
      <c r="G831">
        <v>0</v>
      </c>
      <c r="H831">
        <v>1</v>
      </c>
      <c r="I831">
        <v>0</v>
      </c>
      <c r="J831">
        <v>0</v>
      </c>
      <c r="K831">
        <v>0</v>
      </c>
      <c r="L831">
        <v>1</v>
      </c>
      <c r="M831">
        <v>0</v>
      </c>
      <c r="N831">
        <v>0</v>
      </c>
      <c r="O831" t="str" cm="1">
        <f t="array" ref="O831">_xlfn.IFS(Table1[[#This Row],[Divorced]]=1, "Divorced", Table1[[#This Row],[Married]]=1, "Married", Table1[[#This Row],[Single]]=1, "Single", Table1[[#This Row],[Together]]=1, "Together", Table1[[#This Row],[Widow]]=1, "Widow")</f>
        <v>Single</v>
      </c>
      <c r="P831" t="str" cm="1">
        <f t="array" ref="P831">_xlfn.IFS(Table1[[#This Row],[Basic]]=1, "Basic", Table1[[#This Row],[Graduate]]=1, "Graduate", Table1[[#This Row],[Master]]=1, "Master", Table1[[#This Row],[PhD]]=1, "PhD", AND(Table1[[#This Row],[Basic]]=0, Table1[[#This Row],[Graduate]]=0, Table1[[#This Row],[Master]]=0, Table1[[#This Row],[PhD]]=0), "NA")</f>
        <v>Graduate</v>
      </c>
      <c r="Q831" t="e">
        <f>_xlfn.XLOOKUP(Table1[[#This Row],[ID]], Table2[ID],#REF!, "Not Found", 0)</f>
        <v>#REF!</v>
      </c>
      <c r="R831" t="e">
        <f>_xlfn.XLOOKUP(Table1[[#This Row],[ID]], Table2[ID],#REF!, "Not Found", 0)</f>
        <v>#REF!</v>
      </c>
      <c r="S831" s="3">
        <f>_xlfn.XLOOKUP(Table1[[#This Row],[ID]], Table2[ID], Table2[Enrollment], "Not Found", 0)</f>
        <v>43625</v>
      </c>
      <c r="T831" t="s">
        <v>436</v>
      </c>
    </row>
    <row r="832" spans="1:20" x14ac:dyDescent="0.3">
      <c r="A832">
        <v>2456</v>
      </c>
      <c r="B832">
        <v>160474</v>
      </c>
      <c r="C832">
        <v>0</v>
      </c>
      <c r="D832">
        <v>1</v>
      </c>
      <c r="E832">
        <v>41</v>
      </c>
      <c r="F832">
        <v>0</v>
      </c>
      <c r="G832">
        <v>0</v>
      </c>
      <c r="H832">
        <v>1</v>
      </c>
      <c r="I832">
        <v>0</v>
      </c>
      <c r="J832">
        <v>0</v>
      </c>
      <c r="K832">
        <v>0</v>
      </c>
      <c r="L832">
        <v>1</v>
      </c>
      <c r="M832">
        <v>0</v>
      </c>
      <c r="N832">
        <v>0</v>
      </c>
      <c r="O832" t="str" cm="1">
        <f t="array" ref="O832">_xlfn.IFS(Table1[[#This Row],[Divorced]]=1, "Divorced", Table1[[#This Row],[Married]]=1, "Married", Table1[[#This Row],[Single]]=1, "Single", Table1[[#This Row],[Together]]=1, "Together", Table1[[#This Row],[Widow]]=1, "Widow")</f>
        <v>Single</v>
      </c>
      <c r="P832" t="str" cm="1">
        <f t="array" ref="P832">_xlfn.IFS(Table1[[#This Row],[Basic]]=1, "Basic", Table1[[#This Row],[Graduate]]=1, "Graduate", Table1[[#This Row],[Master]]=1, "Master", Table1[[#This Row],[PhD]]=1, "PhD", AND(Table1[[#This Row],[Basic]]=0, Table1[[#This Row],[Graduate]]=0, Table1[[#This Row],[Master]]=0, Table1[[#This Row],[PhD]]=0), "NA")</f>
        <v>Graduate</v>
      </c>
      <c r="Q832" t="e">
        <f>_xlfn.XLOOKUP(Table1[[#This Row],[ID]], Table2[ID],#REF!, "Not Found", 0)</f>
        <v>#REF!</v>
      </c>
      <c r="R832" t="e">
        <f>_xlfn.XLOOKUP(Table1[[#This Row],[ID]], Table2[ID],#REF!, "Not Found", 0)</f>
        <v>#REF!</v>
      </c>
      <c r="S832" s="3">
        <f>_xlfn.XLOOKUP(Table1[[#This Row],[ID]], Table2[ID], Table2[Enrollment], "Not Found", 0)</f>
        <v>43625</v>
      </c>
      <c r="T832" t="s">
        <v>438</v>
      </c>
    </row>
    <row r="833" spans="1:20" x14ac:dyDescent="0.3">
      <c r="A833">
        <v>2584</v>
      </c>
      <c r="B833">
        <v>160432</v>
      </c>
      <c r="C833">
        <v>0</v>
      </c>
      <c r="D833">
        <v>1</v>
      </c>
      <c r="E833">
        <v>47</v>
      </c>
      <c r="F833">
        <v>0</v>
      </c>
      <c r="G833">
        <v>1</v>
      </c>
      <c r="H833">
        <v>0</v>
      </c>
      <c r="I833">
        <v>0</v>
      </c>
      <c r="J833">
        <v>0</v>
      </c>
      <c r="K833">
        <v>0</v>
      </c>
      <c r="L833">
        <v>0</v>
      </c>
      <c r="M833">
        <v>1</v>
      </c>
      <c r="N833">
        <v>0</v>
      </c>
      <c r="O833" t="str" cm="1">
        <f t="array" ref="O833">_xlfn.IFS(Table1[[#This Row],[Divorced]]=1, "Divorced", Table1[[#This Row],[Married]]=1, "Married", Table1[[#This Row],[Single]]=1, "Single", Table1[[#This Row],[Together]]=1, "Together", Table1[[#This Row],[Widow]]=1, "Widow")</f>
        <v>Married</v>
      </c>
      <c r="P833" t="str" cm="1">
        <f t="array" ref="P833">_xlfn.IFS(Table1[[#This Row],[Basic]]=1, "Basic", Table1[[#This Row],[Graduate]]=1, "Graduate", Table1[[#This Row],[Master]]=1, "Master", Table1[[#This Row],[PhD]]=1, "PhD", AND(Table1[[#This Row],[Basic]]=0, Table1[[#This Row],[Graduate]]=0, Table1[[#This Row],[Master]]=0, Table1[[#This Row],[PhD]]=0), "NA")</f>
        <v>Master</v>
      </c>
      <c r="Q833" t="e">
        <f>_xlfn.XLOOKUP(Table1[[#This Row],[ID]], Table2[ID],#REF!, "Not Found", 0)</f>
        <v>#REF!</v>
      </c>
      <c r="R833" t="e">
        <f>_xlfn.XLOOKUP(Table1[[#This Row],[ID]], Table2[ID],#REF!, "Not Found", 0)</f>
        <v>#REF!</v>
      </c>
      <c r="S833" s="3" t="str">
        <f>_xlfn.XLOOKUP(Table1[[#This Row],[ID]], Table2[ID], Table2[Enrollment], "Not Found", 0)</f>
        <v>8/13/2020</v>
      </c>
      <c r="T833" t="s">
        <v>439</v>
      </c>
    </row>
    <row r="834" spans="1:20" x14ac:dyDescent="0.3">
      <c r="A834">
        <v>2691</v>
      </c>
      <c r="B834">
        <v>160230</v>
      </c>
      <c r="C834">
        <v>0</v>
      </c>
      <c r="D834">
        <v>1</v>
      </c>
      <c r="E834">
        <v>64</v>
      </c>
      <c r="F834">
        <v>0</v>
      </c>
      <c r="G834">
        <v>0</v>
      </c>
      <c r="H834">
        <v>1</v>
      </c>
      <c r="I834">
        <v>0</v>
      </c>
      <c r="J834">
        <v>0</v>
      </c>
      <c r="K834">
        <v>0</v>
      </c>
      <c r="L834">
        <v>1</v>
      </c>
      <c r="M834">
        <v>0</v>
      </c>
      <c r="N834">
        <v>0</v>
      </c>
      <c r="O834" t="str" cm="1">
        <f t="array" ref="O834">_xlfn.IFS(Table1[[#This Row],[Divorced]]=1, "Divorced", Table1[[#This Row],[Married]]=1, "Married", Table1[[#This Row],[Single]]=1, "Single", Table1[[#This Row],[Together]]=1, "Together", Table1[[#This Row],[Widow]]=1, "Widow")</f>
        <v>Single</v>
      </c>
      <c r="P834" t="str" cm="1">
        <f t="array" ref="P834">_xlfn.IFS(Table1[[#This Row],[Basic]]=1, "Basic", Table1[[#This Row],[Graduate]]=1, "Graduate", Table1[[#This Row],[Master]]=1, "Master", Table1[[#This Row],[PhD]]=1, "PhD", AND(Table1[[#This Row],[Basic]]=0, Table1[[#This Row],[Graduate]]=0, Table1[[#This Row],[Master]]=0, Table1[[#This Row],[PhD]]=0), "NA")</f>
        <v>Graduate</v>
      </c>
      <c r="Q834" t="e">
        <f>_xlfn.XLOOKUP(Table1[[#This Row],[ID]], Table2[ID],#REF!, "Not Found", 0)</f>
        <v>#REF!</v>
      </c>
      <c r="R834" t="e">
        <f>_xlfn.XLOOKUP(Table1[[#This Row],[ID]], Table2[ID],#REF!, "Not Found", 0)</f>
        <v>#REF!</v>
      </c>
      <c r="S834" s="3" t="str">
        <f>_xlfn.XLOOKUP(Table1[[#This Row],[ID]], Table2[ID], Table2[Enrollment], "Not Found", 0)</f>
        <v>10/25/2019</v>
      </c>
      <c r="T834" t="s">
        <v>435</v>
      </c>
    </row>
    <row r="835" spans="1:20" x14ac:dyDescent="0.3">
      <c r="A835">
        <v>2840</v>
      </c>
      <c r="B835">
        <v>160208</v>
      </c>
      <c r="C835">
        <v>1</v>
      </c>
      <c r="D835">
        <v>1</v>
      </c>
      <c r="E835">
        <v>47</v>
      </c>
      <c r="F835">
        <v>0</v>
      </c>
      <c r="G835">
        <v>0</v>
      </c>
      <c r="H835">
        <v>0</v>
      </c>
      <c r="I835">
        <v>0</v>
      </c>
      <c r="J835">
        <v>1</v>
      </c>
      <c r="K835">
        <v>0</v>
      </c>
      <c r="L835">
        <v>1</v>
      </c>
      <c r="M835">
        <v>0</v>
      </c>
      <c r="N835">
        <v>0</v>
      </c>
      <c r="O835" t="str" cm="1">
        <f t="array" ref="O835">_xlfn.IFS(Table1[[#This Row],[Divorced]]=1, "Divorced", Table1[[#This Row],[Married]]=1, "Married", Table1[[#This Row],[Single]]=1, "Single", Table1[[#This Row],[Together]]=1, "Together", Table1[[#This Row],[Widow]]=1, "Widow")</f>
        <v>Widow</v>
      </c>
      <c r="P835" t="str" cm="1">
        <f t="array" ref="P835">_xlfn.IFS(Table1[[#This Row],[Basic]]=1, "Basic", Table1[[#This Row],[Graduate]]=1, "Graduate", Table1[[#This Row],[Master]]=1, "Master", Table1[[#This Row],[PhD]]=1, "PhD", AND(Table1[[#This Row],[Basic]]=0, Table1[[#This Row],[Graduate]]=0, Table1[[#This Row],[Master]]=0, Table1[[#This Row],[PhD]]=0), "NA")</f>
        <v>Graduate</v>
      </c>
      <c r="Q835" t="e">
        <f>_xlfn.XLOOKUP(Table1[[#This Row],[ID]], Table2[ID],#REF!, "Not Found", 0)</f>
        <v>#REF!</v>
      </c>
      <c r="R835" t="e">
        <f>_xlfn.XLOOKUP(Table1[[#This Row],[ID]], Table2[ID],#REF!, "Not Found", 0)</f>
        <v>#REF!</v>
      </c>
      <c r="S835" s="3" t="str">
        <f>_xlfn.XLOOKUP(Table1[[#This Row],[ID]], Table2[ID], Table2[Enrollment], "Not Found", 0)</f>
        <v>3/14/2019</v>
      </c>
      <c r="T835" t="s">
        <v>438</v>
      </c>
    </row>
    <row r="836" spans="1:20" x14ac:dyDescent="0.3">
      <c r="A836">
        <v>2848</v>
      </c>
      <c r="B836">
        <v>160200</v>
      </c>
      <c r="C836">
        <v>0</v>
      </c>
      <c r="D836">
        <v>1</v>
      </c>
      <c r="E836">
        <v>72</v>
      </c>
      <c r="F836">
        <v>0</v>
      </c>
      <c r="G836">
        <v>0</v>
      </c>
      <c r="H836">
        <v>1</v>
      </c>
      <c r="I836">
        <v>0</v>
      </c>
      <c r="J836">
        <v>0</v>
      </c>
      <c r="K836">
        <v>0</v>
      </c>
      <c r="L836">
        <v>0</v>
      </c>
      <c r="M836">
        <v>0</v>
      </c>
      <c r="N836">
        <v>1</v>
      </c>
      <c r="O836" t="str" cm="1">
        <f t="array" ref="O836">_xlfn.IFS(Table1[[#This Row],[Divorced]]=1, "Divorced", Table1[[#This Row],[Married]]=1, "Married", Table1[[#This Row],[Single]]=1, "Single", Table1[[#This Row],[Together]]=1, "Together", Table1[[#This Row],[Widow]]=1, "Widow")</f>
        <v>Single</v>
      </c>
      <c r="P836" t="str" cm="1">
        <f t="array" ref="P836">_xlfn.IFS(Table1[[#This Row],[Basic]]=1, "Basic", Table1[[#This Row],[Graduate]]=1, "Graduate", Table1[[#This Row],[Master]]=1, "Master", Table1[[#This Row],[PhD]]=1, "PhD", AND(Table1[[#This Row],[Basic]]=0, Table1[[#This Row],[Graduate]]=0, Table1[[#This Row],[Master]]=0, Table1[[#This Row],[PhD]]=0), "NA")</f>
        <v>PhD</v>
      </c>
      <c r="Q836" t="e">
        <f>_xlfn.XLOOKUP(Table1[[#This Row],[ID]], Table2[ID],#REF!, "Not Found", 0)</f>
        <v>#REF!</v>
      </c>
      <c r="R836" t="e">
        <f>_xlfn.XLOOKUP(Table1[[#This Row],[ID]], Table2[ID],#REF!, "Not Found", 0)</f>
        <v>#REF!</v>
      </c>
      <c r="S836" s="3">
        <f>_xlfn.XLOOKUP(Table1[[#This Row],[ID]], Table2[ID], Table2[Enrollment], "Not Found", 0)</f>
        <v>43714</v>
      </c>
      <c r="T836" t="s">
        <v>439</v>
      </c>
    </row>
    <row r="837" spans="1:20" x14ac:dyDescent="0.3">
      <c r="A837">
        <v>1147</v>
      </c>
      <c r="B837">
        <v>160199</v>
      </c>
      <c r="C837">
        <v>1</v>
      </c>
      <c r="D837">
        <v>2</v>
      </c>
      <c r="E837">
        <v>42</v>
      </c>
      <c r="F837">
        <v>0</v>
      </c>
      <c r="G837">
        <v>0</v>
      </c>
      <c r="H837">
        <v>1</v>
      </c>
      <c r="I837">
        <v>0</v>
      </c>
      <c r="J837">
        <v>0</v>
      </c>
      <c r="K837">
        <v>0</v>
      </c>
      <c r="L837">
        <v>1</v>
      </c>
      <c r="M837">
        <v>0</v>
      </c>
      <c r="N837">
        <v>0</v>
      </c>
      <c r="O837" t="str" cm="1">
        <f t="array" ref="O837">_xlfn.IFS(Table1[[#This Row],[Divorced]]=1, "Divorced", Table1[[#This Row],[Married]]=1, "Married", Table1[[#This Row],[Single]]=1, "Single", Table1[[#This Row],[Together]]=1, "Together", Table1[[#This Row],[Widow]]=1, "Widow")</f>
        <v>Single</v>
      </c>
      <c r="P837" t="str" cm="1">
        <f t="array" ref="P837">_xlfn.IFS(Table1[[#This Row],[Basic]]=1, "Basic", Table1[[#This Row],[Graduate]]=1, "Graduate", Table1[[#This Row],[Master]]=1, "Master", Table1[[#This Row],[PhD]]=1, "PhD", AND(Table1[[#This Row],[Basic]]=0, Table1[[#This Row],[Graduate]]=0, Table1[[#This Row],[Master]]=0, Table1[[#This Row],[PhD]]=0), "NA")</f>
        <v>Graduate</v>
      </c>
      <c r="Q837" t="e">
        <f>_xlfn.XLOOKUP(Table1[[#This Row],[ID]], Table2[ID],#REF!, "Not Found", 0)</f>
        <v>#REF!</v>
      </c>
      <c r="R837" t="e">
        <f>_xlfn.XLOOKUP(Table1[[#This Row],[ID]], Table2[ID],#REF!, "Not Found", 0)</f>
        <v>#REF!</v>
      </c>
      <c r="S837" s="3" t="str">
        <f>_xlfn.XLOOKUP(Table1[[#This Row],[ID]], Table2[ID], Table2[Enrollment], "Not Found", 0)</f>
        <v>2/17/2020</v>
      </c>
      <c r="T837" t="s">
        <v>437</v>
      </c>
    </row>
    <row r="838" spans="1:20" x14ac:dyDescent="0.3">
      <c r="A838">
        <v>1778</v>
      </c>
      <c r="B838">
        <v>160161</v>
      </c>
      <c r="C838">
        <v>0</v>
      </c>
      <c r="D838">
        <v>1</v>
      </c>
      <c r="E838">
        <v>55</v>
      </c>
      <c r="F838">
        <v>1</v>
      </c>
      <c r="G838">
        <v>0</v>
      </c>
      <c r="H838">
        <v>0</v>
      </c>
      <c r="I838">
        <v>0</v>
      </c>
      <c r="J838">
        <v>0</v>
      </c>
      <c r="K838">
        <v>0</v>
      </c>
      <c r="L838">
        <v>0</v>
      </c>
      <c r="M838">
        <v>0</v>
      </c>
      <c r="N838">
        <v>0</v>
      </c>
      <c r="O838" t="str" cm="1">
        <f t="array" ref="O838">_xlfn.IFS(Table1[[#This Row],[Divorced]]=1, "Divorced", Table1[[#This Row],[Married]]=1, "Married", Table1[[#This Row],[Single]]=1, "Single", Table1[[#This Row],[Together]]=1, "Together", Table1[[#This Row],[Widow]]=1, "Widow")</f>
        <v>Divorced</v>
      </c>
      <c r="P838" t="str" cm="1">
        <f t="array" ref="P838">_xlfn.IFS(Table1[[#This Row],[Basic]]=1, "Basic", Table1[[#This Row],[Graduate]]=1, "Graduate", Table1[[#This Row],[Master]]=1, "Master", Table1[[#This Row],[PhD]]=1, "PhD", AND(Table1[[#This Row],[Basic]]=0, Table1[[#This Row],[Graduate]]=0, Table1[[#This Row],[Master]]=0, Table1[[#This Row],[PhD]]=0), "NA")</f>
        <v>NA</v>
      </c>
      <c r="Q838" t="e">
        <f>_xlfn.XLOOKUP(Table1[[#This Row],[ID]], Table2[ID],#REF!, "Not Found", 0)</f>
        <v>#REF!</v>
      </c>
      <c r="R838" t="e">
        <f>_xlfn.XLOOKUP(Table1[[#This Row],[ID]], Table2[ID],#REF!, "Not Found", 0)</f>
        <v>#REF!</v>
      </c>
      <c r="S838" s="3" t="str">
        <f>_xlfn.XLOOKUP(Table1[[#This Row],[ID]], Table2[ID], Table2[Enrollment], "Not Found", 0)</f>
        <v>3/30/2019</v>
      </c>
      <c r="T838" t="s">
        <v>438</v>
      </c>
    </row>
    <row r="839" spans="1:20" x14ac:dyDescent="0.3">
      <c r="A839">
        <v>1495</v>
      </c>
      <c r="B839">
        <v>160152</v>
      </c>
      <c r="C839">
        <v>0</v>
      </c>
      <c r="D839">
        <v>1</v>
      </c>
      <c r="E839">
        <v>41</v>
      </c>
      <c r="F839">
        <v>0</v>
      </c>
      <c r="G839">
        <v>0</v>
      </c>
      <c r="H839">
        <v>1</v>
      </c>
      <c r="I839">
        <v>0</v>
      </c>
      <c r="J839">
        <v>0</v>
      </c>
      <c r="K839">
        <v>0</v>
      </c>
      <c r="L839">
        <v>1</v>
      </c>
      <c r="M839">
        <v>0</v>
      </c>
      <c r="N839">
        <v>0</v>
      </c>
      <c r="O839" t="str" cm="1">
        <f t="array" ref="O839">_xlfn.IFS(Table1[[#This Row],[Divorced]]=1, "Divorced", Table1[[#This Row],[Married]]=1, "Married", Table1[[#This Row],[Single]]=1, "Single", Table1[[#This Row],[Together]]=1, "Together", Table1[[#This Row],[Widow]]=1, "Widow")</f>
        <v>Single</v>
      </c>
      <c r="P839" t="str" cm="1">
        <f t="array" ref="P839">_xlfn.IFS(Table1[[#This Row],[Basic]]=1, "Basic", Table1[[#This Row],[Graduate]]=1, "Graduate", Table1[[#This Row],[Master]]=1, "Master", Table1[[#This Row],[PhD]]=1, "PhD", AND(Table1[[#This Row],[Basic]]=0, Table1[[#This Row],[Graduate]]=0, Table1[[#This Row],[Master]]=0, Table1[[#This Row],[PhD]]=0), "NA")</f>
        <v>Graduate</v>
      </c>
      <c r="Q839" t="e">
        <f>_xlfn.XLOOKUP(Table1[[#This Row],[ID]], Table2[ID],#REF!, "Not Found", 0)</f>
        <v>#REF!</v>
      </c>
      <c r="R839" t="e">
        <f>_xlfn.XLOOKUP(Table1[[#This Row],[ID]], Table2[ID],#REF!, "Not Found", 0)</f>
        <v>#REF!</v>
      </c>
      <c r="S839" s="3">
        <f>_xlfn.XLOOKUP(Table1[[#This Row],[ID]], Table2[ID], Table2[Enrollment], "Not Found", 0)</f>
        <v>43505</v>
      </c>
      <c r="T839" t="s">
        <v>437</v>
      </c>
    </row>
    <row r="840" spans="1:20" x14ac:dyDescent="0.3">
      <c r="A840">
        <v>1471</v>
      </c>
      <c r="B840">
        <v>160093</v>
      </c>
      <c r="C840">
        <v>0</v>
      </c>
      <c r="D840">
        <v>1</v>
      </c>
      <c r="E840">
        <v>46</v>
      </c>
      <c r="F840">
        <v>0</v>
      </c>
      <c r="G840">
        <v>1</v>
      </c>
      <c r="H840">
        <v>0</v>
      </c>
      <c r="I840">
        <v>0</v>
      </c>
      <c r="J840">
        <v>0</v>
      </c>
      <c r="K840">
        <v>0</v>
      </c>
      <c r="L840">
        <v>1</v>
      </c>
      <c r="M840">
        <v>0</v>
      </c>
      <c r="N840">
        <v>0</v>
      </c>
      <c r="O840" t="str" cm="1">
        <f t="array" ref="O840">_xlfn.IFS(Table1[[#This Row],[Divorced]]=1, "Divorced", Table1[[#This Row],[Married]]=1, "Married", Table1[[#This Row],[Single]]=1, "Single", Table1[[#This Row],[Together]]=1, "Together", Table1[[#This Row],[Widow]]=1, "Widow")</f>
        <v>Married</v>
      </c>
      <c r="P840" t="str" cm="1">
        <f t="array" ref="P840">_xlfn.IFS(Table1[[#This Row],[Basic]]=1, "Basic", Table1[[#This Row],[Graduate]]=1, "Graduate", Table1[[#This Row],[Master]]=1, "Master", Table1[[#This Row],[PhD]]=1, "PhD", AND(Table1[[#This Row],[Basic]]=0, Table1[[#This Row],[Graduate]]=0, Table1[[#This Row],[Master]]=0, Table1[[#This Row],[PhD]]=0), "NA")</f>
        <v>Graduate</v>
      </c>
      <c r="Q840" t="e">
        <f>_xlfn.XLOOKUP(Table1[[#This Row],[ID]], Table2[ID],#REF!, "Not Found", 0)</f>
        <v>#REF!</v>
      </c>
      <c r="R840" t="e">
        <f>_xlfn.XLOOKUP(Table1[[#This Row],[ID]], Table2[ID],#REF!, "Not Found", 0)</f>
        <v>#REF!</v>
      </c>
      <c r="S840" s="3">
        <f>_xlfn.XLOOKUP(Table1[[#This Row],[ID]], Table2[ID], Table2[Enrollment], "Not Found", 0)</f>
        <v>43477</v>
      </c>
      <c r="T840" t="s">
        <v>437</v>
      </c>
    </row>
    <row r="841" spans="1:20" x14ac:dyDescent="0.3">
      <c r="A841">
        <v>2276</v>
      </c>
      <c r="B841">
        <v>160033</v>
      </c>
      <c r="C841">
        <v>0</v>
      </c>
      <c r="D841">
        <v>1</v>
      </c>
      <c r="E841">
        <v>66</v>
      </c>
      <c r="F841">
        <v>0</v>
      </c>
      <c r="G841">
        <v>0</v>
      </c>
      <c r="H841">
        <v>0</v>
      </c>
      <c r="I841">
        <v>1</v>
      </c>
      <c r="J841">
        <v>0</v>
      </c>
      <c r="K841">
        <v>0</v>
      </c>
      <c r="L841">
        <v>0</v>
      </c>
      <c r="M841">
        <v>1</v>
      </c>
      <c r="N841">
        <v>0</v>
      </c>
      <c r="O841" t="str" cm="1">
        <f t="array" ref="O841">_xlfn.IFS(Table1[[#This Row],[Divorced]]=1, "Divorced", Table1[[#This Row],[Married]]=1, "Married", Table1[[#This Row],[Single]]=1, "Single", Table1[[#This Row],[Together]]=1, "Together", Table1[[#This Row],[Widow]]=1, "Widow")</f>
        <v>Together</v>
      </c>
      <c r="P841" t="str" cm="1">
        <f t="array" ref="P841">_xlfn.IFS(Table1[[#This Row],[Basic]]=1, "Basic", Table1[[#This Row],[Graduate]]=1, "Graduate", Table1[[#This Row],[Master]]=1, "Master", Table1[[#This Row],[PhD]]=1, "PhD", AND(Table1[[#This Row],[Basic]]=0, Table1[[#This Row],[Graduate]]=0, Table1[[#This Row],[Master]]=0, Table1[[#This Row],[PhD]]=0), "NA")</f>
        <v>Master</v>
      </c>
      <c r="Q841" t="e">
        <f>_xlfn.XLOOKUP(Table1[[#This Row],[ID]], Table2[ID],#REF!, "Not Found", 0)</f>
        <v>#REF!</v>
      </c>
      <c r="R841" t="e">
        <f>_xlfn.XLOOKUP(Table1[[#This Row],[ID]], Table2[ID],#REF!, "Not Found", 0)</f>
        <v>#REF!</v>
      </c>
      <c r="S841" s="3">
        <f>_xlfn.XLOOKUP(Table1[[#This Row],[ID]], Table2[ID], Table2[Enrollment], "Not Found", 0)</f>
        <v>43870</v>
      </c>
      <c r="T841" t="s">
        <v>438</v>
      </c>
    </row>
    <row r="842" spans="1:20" x14ac:dyDescent="0.3">
      <c r="A842">
        <v>1338</v>
      </c>
      <c r="B842">
        <v>160000</v>
      </c>
      <c r="C842">
        <v>0</v>
      </c>
      <c r="D842">
        <v>1</v>
      </c>
      <c r="E842">
        <v>44</v>
      </c>
      <c r="F842">
        <v>0</v>
      </c>
      <c r="G842">
        <v>0</v>
      </c>
      <c r="H842">
        <v>1</v>
      </c>
      <c r="I842">
        <v>0</v>
      </c>
      <c r="J842">
        <v>0</v>
      </c>
      <c r="K842">
        <v>0</v>
      </c>
      <c r="L842">
        <v>0</v>
      </c>
      <c r="M842">
        <v>0</v>
      </c>
      <c r="N842">
        <v>1</v>
      </c>
      <c r="O842" t="str" cm="1">
        <f t="array" ref="O842">_xlfn.IFS(Table1[[#This Row],[Divorced]]=1, "Divorced", Table1[[#This Row],[Married]]=1, "Married", Table1[[#This Row],[Single]]=1, "Single", Table1[[#This Row],[Together]]=1, "Together", Table1[[#This Row],[Widow]]=1, "Widow")</f>
        <v>Single</v>
      </c>
      <c r="P842" t="str" cm="1">
        <f t="array" ref="P842">_xlfn.IFS(Table1[[#This Row],[Basic]]=1, "Basic", Table1[[#This Row],[Graduate]]=1, "Graduate", Table1[[#This Row],[Master]]=1, "Master", Table1[[#This Row],[PhD]]=1, "PhD", AND(Table1[[#This Row],[Basic]]=0, Table1[[#This Row],[Graduate]]=0, Table1[[#This Row],[Master]]=0, Table1[[#This Row],[PhD]]=0), "NA")</f>
        <v>PhD</v>
      </c>
      <c r="Q842" t="e">
        <f>_xlfn.XLOOKUP(Table1[[#This Row],[ID]], Table2[ID],#REF!, "Not Found", 0)</f>
        <v>#REF!</v>
      </c>
      <c r="R842" t="e">
        <f>_xlfn.XLOOKUP(Table1[[#This Row],[ID]], Table2[ID],#REF!, "Not Found", 0)</f>
        <v>#REF!</v>
      </c>
      <c r="S842" s="3" t="str">
        <f>_xlfn.XLOOKUP(Table1[[#This Row],[ID]], Table2[ID], Table2[Enrollment], "Not Found", 0)</f>
        <v>5/29/2019</v>
      </c>
      <c r="T842" t="s">
        <v>436</v>
      </c>
    </row>
    <row r="843" spans="1:20" x14ac:dyDescent="0.3">
      <c r="A843">
        <v>1578</v>
      </c>
      <c r="B843">
        <v>159973</v>
      </c>
      <c r="C843">
        <v>0</v>
      </c>
      <c r="D843">
        <v>0</v>
      </c>
      <c r="E843">
        <v>48</v>
      </c>
      <c r="F843">
        <v>0</v>
      </c>
      <c r="G843">
        <v>1</v>
      </c>
      <c r="H843">
        <v>0</v>
      </c>
      <c r="I843">
        <v>0</v>
      </c>
      <c r="J843">
        <v>0</v>
      </c>
      <c r="K843">
        <v>0</v>
      </c>
      <c r="L843">
        <v>0</v>
      </c>
      <c r="M843">
        <v>0</v>
      </c>
      <c r="N843">
        <v>1</v>
      </c>
      <c r="O843" t="str" cm="1">
        <f t="array" ref="O843">_xlfn.IFS(Table1[[#This Row],[Divorced]]=1, "Divorced", Table1[[#This Row],[Married]]=1, "Married", Table1[[#This Row],[Single]]=1, "Single", Table1[[#This Row],[Together]]=1, "Together", Table1[[#This Row],[Widow]]=1, "Widow")</f>
        <v>Married</v>
      </c>
      <c r="P843" t="str" cm="1">
        <f t="array" ref="P843">_xlfn.IFS(Table1[[#This Row],[Basic]]=1, "Basic", Table1[[#This Row],[Graduate]]=1, "Graduate", Table1[[#This Row],[Master]]=1, "Master", Table1[[#This Row],[PhD]]=1, "PhD", AND(Table1[[#This Row],[Basic]]=0, Table1[[#This Row],[Graduate]]=0, Table1[[#This Row],[Master]]=0, Table1[[#This Row],[PhD]]=0), "NA")</f>
        <v>PhD</v>
      </c>
      <c r="Q843" t="e">
        <f>_xlfn.XLOOKUP(Table1[[#This Row],[ID]], Table2[ID],#REF!, "Not Found", 0)</f>
        <v>#REF!</v>
      </c>
      <c r="R843" t="e">
        <f>_xlfn.XLOOKUP(Table1[[#This Row],[ID]], Table2[ID],#REF!, "Not Found", 0)</f>
        <v>#REF!</v>
      </c>
      <c r="S843" s="3" t="str">
        <f>_xlfn.XLOOKUP(Table1[[#This Row],[ID]], Table2[ID], Table2[Enrollment], "Not Found", 0)</f>
        <v>2/16/2020</v>
      </c>
      <c r="T843" t="s">
        <v>436</v>
      </c>
    </row>
    <row r="844" spans="1:20" x14ac:dyDescent="0.3">
      <c r="A844">
        <v>2053</v>
      </c>
      <c r="B844">
        <v>159925</v>
      </c>
      <c r="C844">
        <v>0</v>
      </c>
      <c r="D844">
        <v>1</v>
      </c>
      <c r="E844">
        <v>65</v>
      </c>
      <c r="F844">
        <v>0</v>
      </c>
      <c r="G844">
        <v>0</v>
      </c>
      <c r="H844">
        <v>0</v>
      </c>
      <c r="I844">
        <v>1</v>
      </c>
      <c r="J844">
        <v>0</v>
      </c>
      <c r="K844">
        <v>0</v>
      </c>
      <c r="L844">
        <v>1</v>
      </c>
      <c r="M844">
        <v>0</v>
      </c>
      <c r="N844">
        <v>0</v>
      </c>
      <c r="O844" t="str" cm="1">
        <f t="array" ref="O844">_xlfn.IFS(Table1[[#This Row],[Divorced]]=1, "Divorced", Table1[[#This Row],[Married]]=1, "Married", Table1[[#This Row],[Single]]=1, "Single", Table1[[#This Row],[Together]]=1, "Together", Table1[[#This Row],[Widow]]=1, "Widow")</f>
        <v>Together</v>
      </c>
      <c r="P844" t="str" cm="1">
        <f t="array" ref="P844">_xlfn.IFS(Table1[[#This Row],[Basic]]=1, "Basic", Table1[[#This Row],[Graduate]]=1, "Graduate", Table1[[#This Row],[Master]]=1, "Master", Table1[[#This Row],[PhD]]=1, "PhD", AND(Table1[[#This Row],[Basic]]=0, Table1[[#This Row],[Graduate]]=0, Table1[[#This Row],[Master]]=0, Table1[[#This Row],[PhD]]=0), "NA")</f>
        <v>Graduate</v>
      </c>
      <c r="Q844" t="e">
        <f>_xlfn.XLOOKUP(Table1[[#This Row],[ID]], Table2[ID],#REF!, "Not Found", 0)</f>
        <v>#REF!</v>
      </c>
      <c r="R844" t="e">
        <f>_xlfn.XLOOKUP(Table1[[#This Row],[ID]], Table2[ID],#REF!, "Not Found", 0)</f>
        <v>#REF!</v>
      </c>
      <c r="S844" s="3">
        <f>_xlfn.XLOOKUP(Table1[[#This Row],[ID]], Table2[ID], Table2[Enrollment], "Not Found", 0)</f>
        <v>43651</v>
      </c>
      <c r="T844" t="s">
        <v>437</v>
      </c>
    </row>
    <row r="845" spans="1:20" x14ac:dyDescent="0.3">
      <c r="A845">
        <v>2453</v>
      </c>
      <c r="B845">
        <v>159892</v>
      </c>
      <c r="C845">
        <v>0</v>
      </c>
      <c r="D845">
        <v>1</v>
      </c>
      <c r="E845">
        <v>50</v>
      </c>
      <c r="F845">
        <v>0</v>
      </c>
      <c r="G845">
        <v>1</v>
      </c>
      <c r="H845">
        <v>0</v>
      </c>
      <c r="I845">
        <v>0</v>
      </c>
      <c r="J845">
        <v>0</v>
      </c>
      <c r="K845">
        <v>0</v>
      </c>
      <c r="L845">
        <v>0</v>
      </c>
      <c r="M845">
        <v>0</v>
      </c>
      <c r="N845">
        <v>1</v>
      </c>
      <c r="O845" t="str" cm="1">
        <f t="array" ref="O845">_xlfn.IFS(Table1[[#This Row],[Divorced]]=1, "Divorced", Table1[[#This Row],[Married]]=1, "Married", Table1[[#This Row],[Single]]=1, "Single", Table1[[#This Row],[Together]]=1, "Together", Table1[[#This Row],[Widow]]=1, "Widow")</f>
        <v>Married</v>
      </c>
      <c r="P845" t="str" cm="1">
        <f t="array" ref="P845">_xlfn.IFS(Table1[[#This Row],[Basic]]=1, "Basic", Table1[[#This Row],[Graduate]]=1, "Graduate", Table1[[#This Row],[Master]]=1, "Master", Table1[[#This Row],[PhD]]=1, "PhD", AND(Table1[[#This Row],[Basic]]=0, Table1[[#This Row],[Graduate]]=0, Table1[[#This Row],[Master]]=0, Table1[[#This Row],[PhD]]=0), "NA")</f>
        <v>PhD</v>
      </c>
      <c r="Q845" t="e">
        <f>_xlfn.XLOOKUP(Table1[[#This Row],[ID]], Table2[ID],#REF!, "Not Found", 0)</f>
        <v>#REF!</v>
      </c>
      <c r="R845" t="e">
        <f>_xlfn.XLOOKUP(Table1[[#This Row],[ID]], Table2[ID],#REF!, "Not Found", 0)</f>
        <v>#REF!</v>
      </c>
      <c r="S845" s="3">
        <f>_xlfn.XLOOKUP(Table1[[#This Row],[ID]], Table2[ID], Table2[Enrollment], "Not Found", 0)</f>
        <v>44047</v>
      </c>
      <c r="T845" t="s">
        <v>434</v>
      </c>
    </row>
    <row r="846" spans="1:20" x14ac:dyDescent="0.3">
      <c r="A846">
        <v>2289</v>
      </c>
      <c r="B846">
        <v>159868</v>
      </c>
      <c r="C846">
        <v>0</v>
      </c>
      <c r="D846">
        <v>1</v>
      </c>
      <c r="E846">
        <v>48</v>
      </c>
      <c r="F846">
        <v>0</v>
      </c>
      <c r="G846">
        <v>0</v>
      </c>
      <c r="H846">
        <v>0</v>
      </c>
      <c r="I846">
        <v>1</v>
      </c>
      <c r="J846">
        <v>0</v>
      </c>
      <c r="K846">
        <v>0</v>
      </c>
      <c r="L846">
        <v>1</v>
      </c>
      <c r="M846">
        <v>0</v>
      </c>
      <c r="N846">
        <v>0</v>
      </c>
      <c r="O846" t="str" cm="1">
        <f t="array" ref="O846">_xlfn.IFS(Table1[[#This Row],[Divorced]]=1, "Divorced", Table1[[#This Row],[Married]]=1, "Married", Table1[[#This Row],[Single]]=1, "Single", Table1[[#This Row],[Together]]=1, "Together", Table1[[#This Row],[Widow]]=1, "Widow")</f>
        <v>Together</v>
      </c>
      <c r="P846" t="str" cm="1">
        <f t="array" ref="P846">_xlfn.IFS(Table1[[#This Row],[Basic]]=1, "Basic", Table1[[#This Row],[Graduate]]=1, "Graduate", Table1[[#This Row],[Master]]=1, "Master", Table1[[#This Row],[PhD]]=1, "PhD", AND(Table1[[#This Row],[Basic]]=0, Table1[[#This Row],[Graduate]]=0, Table1[[#This Row],[Master]]=0, Table1[[#This Row],[PhD]]=0), "NA")</f>
        <v>Graduate</v>
      </c>
      <c r="Q846" t="e">
        <f>_xlfn.XLOOKUP(Table1[[#This Row],[ID]], Table2[ID],#REF!, "Not Found", 0)</f>
        <v>#REF!</v>
      </c>
      <c r="R846" t="e">
        <f>_xlfn.XLOOKUP(Table1[[#This Row],[ID]], Table2[ID],#REF!, "Not Found", 0)</f>
        <v>#REF!</v>
      </c>
      <c r="S846" s="3" t="str">
        <f>_xlfn.XLOOKUP(Table1[[#This Row],[ID]], Table2[ID], Table2[Enrollment], "Not Found", 0)</f>
        <v>12/27/2019</v>
      </c>
      <c r="T846" t="s">
        <v>435</v>
      </c>
    </row>
    <row r="847" spans="1:20" x14ac:dyDescent="0.3">
      <c r="A847">
        <v>2611</v>
      </c>
      <c r="B847">
        <v>159821</v>
      </c>
      <c r="C847">
        <v>0</v>
      </c>
      <c r="D847">
        <v>1</v>
      </c>
      <c r="E847">
        <v>65</v>
      </c>
      <c r="F847">
        <v>0</v>
      </c>
      <c r="G847">
        <v>1</v>
      </c>
      <c r="H847">
        <v>0</v>
      </c>
      <c r="I847">
        <v>0</v>
      </c>
      <c r="J847">
        <v>0</v>
      </c>
      <c r="K847">
        <v>0</v>
      </c>
      <c r="L847">
        <v>0</v>
      </c>
      <c r="M847">
        <v>0</v>
      </c>
      <c r="N847">
        <v>1</v>
      </c>
      <c r="O847" t="str" cm="1">
        <f t="array" ref="O847">_xlfn.IFS(Table1[[#This Row],[Divorced]]=1, "Divorced", Table1[[#This Row],[Married]]=1, "Married", Table1[[#This Row],[Single]]=1, "Single", Table1[[#This Row],[Together]]=1, "Together", Table1[[#This Row],[Widow]]=1, "Widow")</f>
        <v>Married</v>
      </c>
      <c r="P847" t="str" cm="1">
        <f t="array" ref="P847">_xlfn.IFS(Table1[[#This Row],[Basic]]=1, "Basic", Table1[[#This Row],[Graduate]]=1, "Graduate", Table1[[#This Row],[Master]]=1, "Master", Table1[[#This Row],[PhD]]=1, "PhD", AND(Table1[[#This Row],[Basic]]=0, Table1[[#This Row],[Graduate]]=0, Table1[[#This Row],[Master]]=0, Table1[[#This Row],[PhD]]=0), "NA")</f>
        <v>PhD</v>
      </c>
      <c r="Q847" t="e">
        <f>_xlfn.XLOOKUP(Table1[[#This Row],[ID]], Table2[ID],#REF!, "Not Found", 0)</f>
        <v>#REF!</v>
      </c>
      <c r="R847" t="e">
        <f>_xlfn.XLOOKUP(Table1[[#This Row],[ID]], Table2[ID],#REF!, "Not Found", 0)</f>
        <v>#REF!</v>
      </c>
      <c r="S847" s="3" t="str">
        <f>_xlfn.XLOOKUP(Table1[[#This Row],[ID]], Table2[ID], Table2[Enrollment], "Not Found", 0)</f>
        <v>9/17/2019</v>
      </c>
      <c r="T847" t="s">
        <v>437</v>
      </c>
    </row>
    <row r="848" spans="1:20" x14ac:dyDescent="0.3">
      <c r="A848">
        <v>1135</v>
      </c>
      <c r="B848">
        <v>159809</v>
      </c>
      <c r="C848">
        <v>0</v>
      </c>
      <c r="D848">
        <v>2</v>
      </c>
      <c r="E848">
        <v>44</v>
      </c>
      <c r="F848">
        <v>0</v>
      </c>
      <c r="G848">
        <v>1</v>
      </c>
      <c r="H848">
        <v>0</v>
      </c>
      <c r="I848">
        <v>0</v>
      </c>
      <c r="J848">
        <v>0</v>
      </c>
      <c r="K848">
        <v>0</v>
      </c>
      <c r="L848">
        <v>1</v>
      </c>
      <c r="M848">
        <v>0</v>
      </c>
      <c r="N848">
        <v>0</v>
      </c>
      <c r="O848" t="str" cm="1">
        <f t="array" ref="O848">_xlfn.IFS(Table1[[#This Row],[Divorced]]=1, "Divorced", Table1[[#This Row],[Married]]=1, "Married", Table1[[#This Row],[Single]]=1, "Single", Table1[[#This Row],[Together]]=1, "Together", Table1[[#This Row],[Widow]]=1, "Widow")</f>
        <v>Married</v>
      </c>
      <c r="P848" t="str" cm="1">
        <f t="array" ref="P848">_xlfn.IFS(Table1[[#This Row],[Basic]]=1, "Basic", Table1[[#This Row],[Graduate]]=1, "Graduate", Table1[[#This Row],[Master]]=1, "Master", Table1[[#This Row],[PhD]]=1, "PhD", AND(Table1[[#This Row],[Basic]]=0, Table1[[#This Row],[Graduate]]=0, Table1[[#This Row],[Master]]=0, Table1[[#This Row],[PhD]]=0), "NA")</f>
        <v>Graduate</v>
      </c>
      <c r="Q848" t="e">
        <f>_xlfn.XLOOKUP(Table1[[#This Row],[ID]], Table2[ID],#REF!, "Not Found", 0)</f>
        <v>#REF!</v>
      </c>
      <c r="R848" t="e">
        <f>_xlfn.XLOOKUP(Table1[[#This Row],[ID]], Table2[ID],#REF!, "Not Found", 0)</f>
        <v>#REF!</v>
      </c>
      <c r="S848" s="3" t="str">
        <f>_xlfn.XLOOKUP(Table1[[#This Row],[ID]], Table2[ID], Table2[Enrollment], "Not Found", 0)</f>
        <v>3/25/2019</v>
      </c>
      <c r="T848" t="s">
        <v>437</v>
      </c>
    </row>
    <row r="849" spans="1:20" x14ac:dyDescent="0.3">
      <c r="A849">
        <v>1937</v>
      </c>
      <c r="B849">
        <v>159754</v>
      </c>
      <c r="C849">
        <v>0</v>
      </c>
      <c r="D849">
        <v>1</v>
      </c>
      <c r="E849">
        <v>55</v>
      </c>
      <c r="F849">
        <v>0</v>
      </c>
      <c r="G849">
        <v>1</v>
      </c>
      <c r="H849">
        <v>0</v>
      </c>
      <c r="I849">
        <v>0</v>
      </c>
      <c r="J849">
        <v>0</v>
      </c>
      <c r="K849">
        <v>0</v>
      </c>
      <c r="L849">
        <v>1</v>
      </c>
      <c r="M849">
        <v>0</v>
      </c>
      <c r="N849">
        <v>0</v>
      </c>
      <c r="O849" t="str" cm="1">
        <f t="array" ref="O849">_xlfn.IFS(Table1[[#This Row],[Divorced]]=1, "Divorced", Table1[[#This Row],[Married]]=1, "Married", Table1[[#This Row],[Single]]=1, "Single", Table1[[#This Row],[Together]]=1, "Together", Table1[[#This Row],[Widow]]=1, "Widow")</f>
        <v>Married</v>
      </c>
      <c r="P849" t="str" cm="1">
        <f t="array" ref="P849">_xlfn.IFS(Table1[[#This Row],[Basic]]=1, "Basic", Table1[[#This Row],[Graduate]]=1, "Graduate", Table1[[#This Row],[Master]]=1, "Master", Table1[[#This Row],[PhD]]=1, "PhD", AND(Table1[[#This Row],[Basic]]=0, Table1[[#This Row],[Graduate]]=0, Table1[[#This Row],[Master]]=0, Table1[[#This Row],[PhD]]=0), "NA")</f>
        <v>Graduate</v>
      </c>
      <c r="Q849" t="e">
        <f>_xlfn.XLOOKUP(Table1[[#This Row],[ID]], Table2[ID],#REF!, "Not Found", 0)</f>
        <v>#REF!</v>
      </c>
      <c r="R849" t="e">
        <f>_xlfn.XLOOKUP(Table1[[#This Row],[ID]], Table2[ID],#REF!, "Not Found", 0)</f>
        <v>#REF!</v>
      </c>
      <c r="S849" s="3">
        <f>_xlfn.XLOOKUP(Table1[[#This Row],[ID]], Table2[ID], Table2[Enrollment], "Not Found", 0)</f>
        <v>43682</v>
      </c>
      <c r="T849" t="s">
        <v>434</v>
      </c>
    </row>
    <row r="850" spans="1:20" x14ac:dyDescent="0.3">
      <c r="A850">
        <v>3127</v>
      </c>
      <c r="B850">
        <v>159686</v>
      </c>
      <c r="C850">
        <v>0</v>
      </c>
      <c r="D850">
        <v>1</v>
      </c>
      <c r="E850">
        <v>55</v>
      </c>
      <c r="F850">
        <v>0</v>
      </c>
      <c r="G850">
        <v>0</v>
      </c>
      <c r="H850">
        <v>1</v>
      </c>
      <c r="I850">
        <v>0</v>
      </c>
      <c r="J850">
        <v>0</v>
      </c>
      <c r="K850">
        <v>0</v>
      </c>
      <c r="L850">
        <v>1</v>
      </c>
      <c r="M850">
        <v>0</v>
      </c>
      <c r="N850">
        <v>0</v>
      </c>
      <c r="O850" t="str" cm="1">
        <f t="array" ref="O850">_xlfn.IFS(Table1[[#This Row],[Divorced]]=1, "Divorced", Table1[[#This Row],[Married]]=1, "Married", Table1[[#This Row],[Single]]=1, "Single", Table1[[#This Row],[Together]]=1, "Together", Table1[[#This Row],[Widow]]=1, "Widow")</f>
        <v>Single</v>
      </c>
      <c r="P850" t="str" cm="1">
        <f t="array" ref="P850">_xlfn.IFS(Table1[[#This Row],[Basic]]=1, "Basic", Table1[[#This Row],[Graduate]]=1, "Graduate", Table1[[#This Row],[Master]]=1, "Master", Table1[[#This Row],[PhD]]=1, "PhD", AND(Table1[[#This Row],[Basic]]=0, Table1[[#This Row],[Graduate]]=0, Table1[[#This Row],[Master]]=0, Table1[[#This Row],[PhD]]=0), "NA")</f>
        <v>Graduate</v>
      </c>
      <c r="Q850" t="e">
        <f>_xlfn.XLOOKUP(Table1[[#This Row],[ID]], Table2[ID],#REF!, "Not Found", 0)</f>
        <v>#REF!</v>
      </c>
      <c r="R850" t="e">
        <f>_xlfn.XLOOKUP(Table1[[#This Row],[ID]], Table2[ID],#REF!, "Not Found", 0)</f>
        <v>#REF!</v>
      </c>
      <c r="S850" s="3">
        <f>_xlfn.XLOOKUP(Table1[[#This Row],[ID]], Table2[ID], Table2[Enrollment], "Not Found", 0)</f>
        <v>43837</v>
      </c>
      <c r="T850" t="s">
        <v>437</v>
      </c>
    </row>
    <row r="851" spans="1:20" x14ac:dyDescent="0.3">
      <c r="A851">
        <v>1789</v>
      </c>
      <c r="B851">
        <v>159666</v>
      </c>
      <c r="C851">
        <v>1</v>
      </c>
      <c r="D851">
        <v>1</v>
      </c>
      <c r="E851">
        <v>48</v>
      </c>
      <c r="F851">
        <v>0</v>
      </c>
      <c r="G851">
        <v>1</v>
      </c>
      <c r="H851">
        <v>0</v>
      </c>
      <c r="I851">
        <v>0</v>
      </c>
      <c r="J851">
        <v>0</v>
      </c>
      <c r="K851">
        <v>0</v>
      </c>
      <c r="L851">
        <v>1</v>
      </c>
      <c r="M851">
        <v>0</v>
      </c>
      <c r="N851">
        <v>0</v>
      </c>
      <c r="O851" t="str" cm="1">
        <f t="array" ref="O851">_xlfn.IFS(Table1[[#This Row],[Divorced]]=1, "Divorced", Table1[[#This Row],[Married]]=1, "Married", Table1[[#This Row],[Single]]=1, "Single", Table1[[#This Row],[Together]]=1, "Together", Table1[[#This Row],[Widow]]=1, "Widow")</f>
        <v>Married</v>
      </c>
      <c r="P851" t="str" cm="1">
        <f t="array" ref="P851">_xlfn.IFS(Table1[[#This Row],[Basic]]=1, "Basic", Table1[[#This Row],[Graduate]]=1, "Graduate", Table1[[#This Row],[Master]]=1, "Master", Table1[[#This Row],[PhD]]=1, "PhD", AND(Table1[[#This Row],[Basic]]=0, Table1[[#This Row],[Graduate]]=0, Table1[[#This Row],[Master]]=0, Table1[[#This Row],[PhD]]=0), "NA")</f>
        <v>Graduate</v>
      </c>
      <c r="Q851" t="e">
        <f>_xlfn.XLOOKUP(Table1[[#This Row],[ID]], Table2[ID],#REF!, "Not Found", 0)</f>
        <v>#REF!</v>
      </c>
      <c r="R851" t="e">
        <f>_xlfn.XLOOKUP(Table1[[#This Row],[ID]], Table2[ID],#REF!, "Not Found", 0)</f>
        <v>#REF!</v>
      </c>
      <c r="S851" s="3" t="str">
        <f>_xlfn.XLOOKUP(Table1[[#This Row],[ID]], Table2[ID], Table2[Enrollment], "Not Found", 0)</f>
        <v>8/27/2019</v>
      </c>
      <c r="T851" t="s">
        <v>437</v>
      </c>
    </row>
    <row r="852" spans="1:20" x14ac:dyDescent="0.3">
      <c r="A852">
        <v>2344</v>
      </c>
      <c r="B852">
        <v>159601</v>
      </c>
      <c r="C852">
        <v>0</v>
      </c>
      <c r="D852">
        <v>1</v>
      </c>
      <c r="E852">
        <v>43</v>
      </c>
      <c r="F852">
        <v>1</v>
      </c>
      <c r="G852">
        <v>0</v>
      </c>
      <c r="H852">
        <v>0</v>
      </c>
      <c r="I852">
        <v>0</v>
      </c>
      <c r="J852">
        <v>0</v>
      </c>
      <c r="K852">
        <v>0</v>
      </c>
      <c r="L852">
        <v>0</v>
      </c>
      <c r="M852">
        <v>0</v>
      </c>
      <c r="N852">
        <v>0</v>
      </c>
      <c r="O852" t="str" cm="1">
        <f t="array" ref="O852">_xlfn.IFS(Table1[[#This Row],[Divorced]]=1, "Divorced", Table1[[#This Row],[Married]]=1, "Married", Table1[[#This Row],[Single]]=1, "Single", Table1[[#This Row],[Together]]=1, "Together", Table1[[#This Row],[Widow]]=1, "Widow")</f>
        <v>Divorced</v>
      </c>
      <c r="P852" t="str" cm="1">
        <f t="array" ref="P852">_xlfn.IFS(Table1[[#This Row],[Basic]]=1, "Basic", Table1[[#This Row],[Graduate]]=1, "Graduate", Table1[[#This Row],[Master]]=1, "Master", Table1[[#This Row],[PhD]]=1, "PhD", AND(Table1[[#This Row],[Basic]]=0, Table1[[#This Row],[Graduate]]=0, Table1[[#This Row],[Master]]=0, Table1[[#This Row],[PhD]]=0), "NA")</f>
        <v>NA</v>
      </c>
      <c r="Q852" t="e">
        <f>_xlfn.XLOOKUP(Table1[[#This Row],[ID]], Table2[ID],#REF!, "Not Found", 0)</f>
        <v>#REF!</v>
      </c>
      <c r="R852" t="e">
        <f>_xlfn.XLOOKUP(Table1[[#This Row],[ID]], Table2[ID],#REF!, "Not Found", 0)</f>
        <v>#REF!</v>
      </c>
      <c r="S852" s="3" t="str">
        <f>_xlfn.XLOOKUP(Table1[[#This Row],[ID]], Table2[ID], Table2[Enrollment], "Not Found", 0)</f>
        <v>12/30/2019</v>
      </c>
      <c r="T852" t="s">
        <v>439</v>
      </c>
    </row>
    <row r="853" spans="1:20" x14ac:dyDescent="0.3">
      <c r="A853">
        <v>2143</v>
      </c>
      <c r="B853">
        <v>159594</v>
      </c>
      <c r="C853">
        <v>0</v>
      </c>
      <c r="D853">
        <v>1</v>
      </c>
      <c r="E853">
        <v>55</v>
      </c>
      <c r="F853">
        <v>0</v>
      </c>
      <c r="G853">
        <v>1</v>
      </c>
      <c r="H853">
        <v>0</v>
      </c>
      <c r="I853">
        <v>0</v>
      </c>
      <c r="J853">
        <v>0</v>
      </c>
      <c r="K853">
        <v>0</v>
      </c>
      <c r="L853">
        <v>1</v>
      </c>
      <c r="M853">
        <v>0</v>
      </c>
      <c r="N853">
        <v>0</v>
      </c>
      <c r="O853" t="str" cm="1">
        <f t="array" ref="O853">_xlfn.IFS(Table1[[#This Row],[Divorced]]=1, "Divorced", Table1[[#This Row],[Married]]=1, "Married", Table1[[#This Row],[Single]]=1, "Single", Table1[[#This Row],[Together]]=1, "Together", Table1[[#This Row],[Widow]]=1, "Widow")</f>
        <v>Married</v>
      </c>
      <c r="P853" t="str" cm="1">
        <f t="array" ref="P853">_xlfn.IFS(Table1[[#This Row],[Basic]]=1, "Basic", Table1[[#This Row],[Graduate]]=1, "Graduate", Table1[[#This Row],[Master]]=1, "Master", Table1[[#This Row],[PhD]]=1, "PhD", AND(Table1[[#This Row],[Basic]]=0, Table1[[#This Row],[Graduate]]=0, Table1[[#This Row],[Master]]=0, Table1[[#This Row],[PhD]]=0), "NA")</f>
        <v>Graduate</v>
      </c>
      <c r="Q853" t="e">
        <f>_xlfn.XLOOKUP(Table1[[#This Row],[ID]], Table2[ID],#REF!, "Not Found", 0)</f>
        <v>#REF!</v>
      </c>
      <c r="R853" t="e">
        <f>_xlfn.XLOOKUP(Table1[[#This Row],[ID]], Table2[ID],#REF!, "Not Found", 0)</f>
        <v>#REF!</v>
      </c>
      <c r="S853" s="3" t="str">
        <f>_xlfn.XLOOKUP(Table1[[#This Row],[ID]], Table2[ID], Table2[Enrollment], "Not Found", 0)</f>
        <v>3/27/2019</v>
      </c>
      <c r="T853" t="s">
        <v>437</v>
      </c>
    </row>
    <row r="854" spans="1:20" x14ac:dyDescent="0.3">
      <c r="A854">
        <v>3211</v>
      </c>
      <c r="B854">
        <v>159535</v>
      </c>
      <c r="C854">
        <v>2</v>
      </c>
      <c r="D854">
        <v>0</v>
      </c>
      <c r="E854">
        <v>48</v>
      </c>
      <c r="F854">
        <v>0</v>
      </c>
      <c r="G854">
        <v>1</v>
      </c>
      <c r="H854">
        <v>0</v>
      </c>
      <c r="I854">
        <v>0</v>
      </c>
      <c r="J854">
        <v>0</v>
      </c>
      <c r="K854">
        <v>0</v>
      </c>
      <c r="L854">
        <v>1</v>
      </c>
      <c r="M854">
        <v>0</v>
      </c>
      <c r="N854">
        <v>0</v>
      </c>
      <c r="O854" t="str" cm="1">
        <f t="array" ref="O854">_xlfn.IFS(Table1[[#This Row],[Divorced]]=1, "Divorced", Table1[[#This Row],[Married]]=1, "Married", Table1[[#This Row],[Single]]=1, "Single", Table1[[#This Row],[Together]]=1, "Together", Table1[[#This Row],[Widow]]=1, "Widow")</f>
        <v>Married</v>
      </c>
      <c r="P854" t="str" cm="1">
        <f t="array" ref="P854">_xlfn.IFS(Table1[[#This Row],[Basic]]=1, "Basic", Table1[[#This Row],[Graduate]]=1, "Graduate", Table1[[#This Row],[Master]]=1, "Master", Table1[[#This Row],[PhD]]=1, "PhD", AND(Table1[[#This Row],[Basic]]=0, Table1[[#This Row],[Graduate]]=0, Table1[[#This Row],[Master]]=0, Table1[[#This Row],[PhD]]=0), "NA")</f>
        <v>Graduate</v>
      </c>
      <c r="Q854" t="e">
        <f>_xlfn.XLOOKUP(Table1[[#This Row],[ID]], Table2[ID],#REF!, "Not Found", 0)</f>
        <v>#REF!</v>
      </c>
      <c r="R854" t="e">
        <f>_xlfn.XLOOKUP(Table1[[#This Row],[ID]], Table2[ID],#REF!, "Not Found", 0)</f>
        <v>#REF!</v>
      </c>
      <c r="S854" s="3" t="str">
        <f>_xlfn.XLOOKUP(Table1[[#This Row],[ID]], Table2[ID], Table2[Enrollment], "Not Found", 0)</f>
        <v>10/22/2020</v>
      </c>
      <c r="T854" t="s">
        <v>437</v>
      </c>
    </row>
    <row r="855" spans="1:20" x14ac:dyDescent="0.3">
      <c r="A855">
        <v>2737</v>
      </c>
      <c r="B855">
        <v>159481</v>
      </c>
      <c r="C855">
        <v>0</v>
      </c>
      <c r="D855">
        <v>1</v>
      </c>
      <c r="E855">
        <v>45</v>
      </c>
      <c r="F855">
        <v>0</v>
      </c>
      <c r="G855">
        <v>0</v>
      </c>
      <c r="H855">
        <v>0</v>
      </c>
      <c r="I855">
        <v>1</v>
      </c>
      <c r="J855">
        <v>0</v>
      </c>
      <c r="K855">
        <v>0</v>
      </c>
      <c r="L855">
        <v>1</v>
      </c>
      <c r="M855">
        <v>0</v>
      </c>
      <c r="N855">
        <v>0</v>
      </c>
      <c r="O855" t="str" cm="1">
        <f t="array" ref="O855">_xlfn.IFS(Table1[[#This Row],[Divorced]]=1, "Divorced", Table1[[#This Row],[Married]]=1, "Married", Table1[[#This Row],[Single]]=1, "Single", Table1[[#This Row],[Together]]=1, "Together", Table1[[#This Row],[Widow]]=1, "Widow")</f>
        <v>Together</v>
      </c>
      <c r="P855" t="str" cm="1">
        <f t="array" ref="P855">_xlfn.IFS(Table1[[#This Row],[Basic]]=1, "Basic", Table1[[#This Row],[Graduate]]=1, "Graduate", Table1[[#This Row],[Master]]=1, "Master", Table1[[#This Row],[PhD]]=1, "PhD", AND(Table1[[#This Row],[Basic]]=0, Table1[[#This Row],[Graduate]]=0, Table1[[#This Row],[Master]]=0, Table1[[#This Row],[PhD]]=0), "NA")</f>
        <v>Graduate</v>
      </c>
      <c r="Q855" t="e">
        <f>_xlfn.XLOOKUP(Table1[[#This Row],[ID]], Table2[ID],#REF!, "Not Found", 0)</f>
        <v>#REF!</v>
      </c>
      <c r="R855" t="e">
        <f>_xlfn.XLOOKUP(Table1[[#This Row],[ID]], Table2[ID],#REF!, "Not Found", 0)</f>
        <v>#REF!</v>
      </c>
      <c r="S855" s="3" t="str">
        <f>_xlfn.XLOOKUP(Table1[[#This Row],[ID]], Table2[ID], Table2[Enrollment], "Not Found", 0)</f>
        <v>3/29/2020</v>
      </c>
      <c r="T855" t="s">
        <v>437</v>
      </c>
    </row>
    <row r="856" spans="1:20" x14ac:dyDescent="0.3">
      <c r="A856">
        <v>3033</v>
      </c>
      <c r="B856">
        <v>159462</v>
      </c>
      <c r="C856">
        <v>0</v>
      </c>
      <c r="D856">
        <v>1</v>
      </c>
      <c r="E856">
        <v>70</v>
      </c>
      <c r="F856">
        <v>0</v>
      </c>
      <c r="G856">
        <v>1</v>
      </c>
      <c r="H856">
        <v>0</v>
      </c>
      <c r="I856">
        <v>0</v>
      </c>
      <c r="J856">
        <v>0</v>
      </c>
      <c r="K856">
        <v>0</v>
      </c>
      <c r="L856">
        <v>1</v>
      </c>
      <c r="M856">
        <v>0</v>
      </c>
      <c r="N856">
        <v>0</v>
      </c>
      <c r="O856" t="str" cm="1">
        <f t="array" ref="O856">_xlfn.IFS(Table1[[#This Row],[Divorced]]=1, "Divorced", Table1[[#This Row],[Married]]=1, "Married", Table1[[#This Row],[Single]]=1, "Single", Table1[[#This Row],[Together]]=1, "Together", Table1[[#This Row],[Widow]]=1, "Widow")</f>
        <v>Married</v>
      </c>
      <c r="P856" t="str" cm="1">
        <f t="array" ref="P856">_xlfn.IFS(Table1[[#This Row],[Basic]]=1, "Basic", Table1[[#This Row],[Graduate]]=1, "Graduate", Table1[[#This Row],[Master]]=1, "Master", Table1[[#This Row],[PhD]]=1, "PhD", AND(Table1[[#This Row],[Basic]]=0, Table1[[#This Row],[Graduate]]=0, Table1[[#This Row],[Master]]=0, Table1[[#This Row],[PhD]]=0), "NA")</f>
        <v>Graduate</v>
      </c>
      <c r="Q856" t="e">
        <f>_xlfn.XLOOKUP(Table1[[#This Row],[ID]], Table2[ID],#REF!, "Not Found", 0)</f>
        <v>#REF!</v>
      </c>
      <c r="R856" t="e">
        <f>_xlfn.XLOOKUP(Table1[[#This Row],[ID]], Table2[ID],#REF!, "Not Found", 0)</f>
        <v>#REF!</v>
      </c>
      <c r="S856" s="3">
        <f>_xlfn.XLOOKUP(Table1[[#This Row],[ID]], Table2[ID], Table2[Enrollment], "Not Found", 0)</f>
        <v>43805</v>
      </c>
      <c r="T856" t="s">
        <v>435</v>
      </c>
    </row>
    <row r="857" spans="1:20" x14ac:dyDescent="0.3">
      <c r="A857">
        <v>1479</v>
      </c>
      <c r="B857">
        <v>159432</v>
      </c>
      <c r="C857">
        <v>0</v>
      </c>
      <c r="D857">
        <v>1</v>
      </c>
      <c r="E857">
        <v>58</v>
      </c>
      <c r="F857">
        <v>1</v>
      </c>
      <c r="G857">
        <v>0</v>
      </c>
      <c r="H857">
        <v>0</v>
      </c>
      <c r="I857">
        <v>0</v>
      </c>
      <c r="J857">
        <v>0</v>
      </c>
      <c r="K857">
        <v>0</v>
      </c>
      <c r="L857">
        <v>0</v>
      </c>
      <c r="M857">
        <v>1</v>
      </c>
      <c r="N857">
        <v>0</v>
      </c>
      <c r="O857" t="str" cm="1">
        <f t="array" ref="O857">_xlfn.IFS(Table1[[#This Row],[Divorced]]=1, "Divorced", Table1[[#This Row],[Married]]=1, "Married", Table1[[#This Row],[Single]]=1, "Single", Table1[[#This Row],[Together]]=1, "Together", Table1[[#This Row],[Widow]]=1, "Widow")</f>
        <v>Divorced</v>
      </c>
      <c r="P857" t="str" cm="1">
        <f t="array" ref="P857">_xlfn.IFS(Table1[[#This Row],[Basic]]=1, "Basic", Table1[[#This Row],[Graduate]]=1, "Graduate", Table1[[#This Row],[Master]]=1, "Master", Table1[[#This Row],[PhD]]=1, "PhD", AND(Table1[[#This Row],[Basic]]=0, Table1[[#This Row],[Graduate]]=0, Table1[[#This Row],[Master]]=0, Table1[[#This Row],[PhD]]=0), "NA")</f>
        <v>Master</v>
      </c>
      <c r="Q857" t="e">
        <f>_xlfn.XLOOKUP(Table1[[#This Row],[ID]], Table2[ID],#REF!, "Not Found", 0)</f>
        <v>#REF!</v>
      </c>
      <c r="R857" t="e">
        <f>_xlfn.XLOOKUP(Table1[[#This Row],[ID]], Table2[ID],#REF!, "Not Found", 0)</f>
        <v>#REF!</v>
      </c>
      <c r="S857" s="3" t="str">
        <f>_xlfn.XLOOKUP(Table1[[#This Row],[ID]], Table2[ID], Table2[Enrollment], "Not Found", 0)</f>
        <v>9/18/2019</v>
      </c>
      <c r="T857" t="s">
        <v>435</v>
      </c>
    </row>
    <row r="858" spans="1:20" x14ac:dyDescent="0.3">
      <c r="A858">
        <v>1996</v>
      </c>
      <c r="B858">
        <v>159412</v>
      </c>
      <c r="C858">
        <v>0</v>
      </c>
      <c r="D858">
        <v>0</v>
      </c>
      <c r="E858">
        <v>69</v>
      </c>
      <c r="F858">
        <v>0</v>
      </c>
      <c r="G858">
        <v>1</v>
      </c>
      <c r="H858">
        <v>0</v>
      </c>
      <c r="I858">
        <v>0</v>
      </c>
      <c r="J858">
        <v>0</v>
      </c>
      <c r="K858">
        <v>0</v>
      </c>
      <c r="L858">
        <v>0</v>
      </c>
      <c r="M858">
        <v>1</v>
      </c>
      <c r="N858">
        <v>0</v>
      </c>
      <c r="O858" t="str" cm="1">
        <f t="array" ref="O858">_xlfn.IFS(Table1[[#This Row],[Divorced]]=1, "Divorced", Table1[[#This Row],[Married]]=1, "Married", Table1[[#This Row],[Single]]=1, "Single", Table1[[#This Row],[Together]]=1, "Together", Table1[[#This Row],[Widow]]=1, "Widow")</f>
        <v>Married</v>
      </c>
      <c r="P858" t="str" cm="1">
        <f t="array" ref="P858">_xlfn.IFS(Table1[[#This Row],[Basic]]=1, "Basic", Table1[[#This Row],[Graduate]]=1, "Graduate", Table1[[#This Row],[Master]]=1, "Master", Table1[[#This Row],[PhD]]=1, "PhD", AND(Table1[[#This Row],[Basic]]=0, Table1[[#This Row],[Graduate]]=0, Table1[[#This Row],[Master]]=0, Table1[[#This Row],[PhD]]=0), "NA")</f>
        <v>Master</v>
      </c>
      <c r="Q858" t="e">
        <f>_xlfn.XLOOKUP(Table1[[#This Row],[ID]], Table2[ID],#REF!, "Not Found", 0)</f>
        <v>#REF!</v>
      </c>
      <c r="R858" t="e">
        <f>_xlfn.XLOOKUP(Table1[[#This Row],[ID]], Table2[ID],#REF!, "Not Found", 0)</f>
        <v>#REF!</v>
      </c>
      <c r="S858" s="3" t="str">
        <f>_xlfn.XLOOKUP(Table1[[#This Row],[ID]], Table2[ID], Table2[Enrollment], "Not Found", 0)</f>
        <v>9/23/2020</v>
      </c>
      <c r="T858" t="s">
        <v>439</v>
      </c>
    </row>
    <row r="859" spans="1:20" x14ac:dyDescent="0.3">
      <c r="A859">
        <v>2777</v>
      </c>
      <c r="B859">
        <v>159385</v>
      </c>
      <c r="C859">
        <v>1</v>
      </c>
      <c r="D859">
        <v>1</v>
      </c>
      <c r="E859">
        <v>69</v>
      </c>
      <c r="F859">
        <v>0</v>
      </c>
      <c r="G859">
        <v>0</v>
      </c>
      <c r="H859">
        <v>0</v>
      </c>
      <c r="I859">
        <v>1</v>
      </c>
      <c r="J859">
        <v>0</v>
      </c>
      <c r="K859">
        <v>0</v>
      </c>
      <c r="L859">
        <v>0</v>
      </c>
      <c r="M859">
        <v>1</v>
      </c>
      <c r="N859">
        <v>0</v>
      </c>
      <c r="O859" t="str" cm="1">
        <f t="array" ref="O859">_xlfn.IFS(Table1[[#This Row],[Divorced]]=1, "Divorced", Table1[[#This Row],[Married]]=1, "Married", Table1[[#This Row],[Single]]=1, "Single", Table1[[#This Row],[Together]]=1, "Together", Table1[[#This Row],[Widow]]=1, "Widow")</f>
        <v>Together</v>
      </c>
      <c r="P859" t="str" cm="1">
        <f t="array" ref="P859">_xlfn.IFS(Table1[[#This Row],[Basic]]=1, "Basic", Table1[[#This Row],[Graduate]]=1, "Graduate", Table1[[#This Row],[Master]]=1, "Master", Table1[[#This Row],[PhD]]=1, "PhD", AND(Table1[[#This Row],[Basic]]=0, Table1[[#This Row],[Graduate]]=0, Table1[[#This Row],[Master]]=0, Table1[[#This Row],[PhD]]=0), "NA")</f>
        <v>Master</v>
      </c>
      <c r="Q859" t="e">
        <f>_xlfn.XLOOKUP(Table1[[#This Row],[ID]], Table2[ID],#REF!, "Not Found", 0)</f>
        <v>#REF!</v>
      </c>
      <c r="R859" t="e">
        <f>_xlfn.XLOOKUP(Table1[[#This Row],[ID]], Table2[ID],#REF!, "Not Found", 0)</f>
        <v>#REF!</v>
      </c>
      <c r="S859" s="3">
        <f>_xlfn.XLOOKUP(Table1[[#This Row],[ID]], Table2[ID], Table2[Enrollment], "Not Found", 0)</f>
        <v>43534</v>
      </c>
      <c r="T859" t="s">
        <v>434</v>
      </c>
    </row>
    <row r="860" spans="1:20" x14ac:dyDescent="0.3">
      <c r="A860">
        <v>1013</v>
      </c>
      <c r="B860">
        <v>159354</v>
      </c>
      <c r="C860">
        <v>1</v>
      </c>
      <c r="D860">
        <v>1</v>
      </c>
      <c r="E860">
        <v>68</v>
      </c>
      <c r="F860">
        <v>1</v>
      </c>
      <c r="G860">
        <v>0</v>
      </c>
      <c r="H860">
        <v>0</v>
      </c>
      <c r="I860">
        <v>0</v>
      </c>
      <c r="J860">
        <v>0</v>
      </c>
      <c r="K860">
        <v>0</v>
      </c>
      <c r="L860">
        <v>0</v>
      </c>
      <c r="M860">
        <v>1</v>
      </c>
      <c r="N860">
        <v>0</v>
      </c>
      <c r="O860" t="str" cm="1">
        <f t="array" ref="O860">_xlfn.IFS(Table1[[#This Row],[Divorced]]=1, "Divorced", Table1[[#This Row],[Married]]=1, "Married", Table1[[#This Row],[Single]]=1, "Single", Table1[[#This Row],[Together]]=1, "Together", Table1[[#This Row],[Widow]]=1, "Widow")</f>
        <v>Divorced</v>
      </c>
      <c r="P860" t="str" cm="1">
        <f t="array" ref="P860">_xlfn.IFS(Table1[[#This Row],[Basic]]=1, "Basic", Table1[[#This Row],[Graduate]]=1, "Graduate", Table1[[#This Row],[Master]]=1, "Master", Table1[[#This Row],[PhD]]=1, "PhD", AND(Table1[[#This Row],[Basic]]=0, Table1[[#This Row],[Graduate]]=0, Table1[[#This Row],[Master]]=0, Table1[[#This Row],[PhD]]=0), "NA")</f>
        <v>Master</v>
      </c>
      <c r="Q860" t="e">
        <f>_xlfn.XLOOKUP(Table1[[#This Row],[ID]], Table2[ID],#REF!, "Not Found", 0)</f>
        <v>#REF!</v>
      </c>
      <c r="R860" t="e">
        <f>_xlfn.XLOOKUP(Table1[[#This Row],[ID]], Table2[ID],#REF!, "Not Found", 0)</f>
        <v>#REF!</v>
      </c>
      <c r="S860" s="3" t="str">
        <f>_xlfn.XLOOKUP(Table1[[#This Row],[ID]], Table2[ID], Table2[Enrollment], "Not Found", 0)</f>
        <v>4/21/2020</v>
      </c>
      <c r="T860" t="s">
        <v>434</v>
      </c>
    </row>
    <row r="861" spans="1:20" x14ac:dyDescent="0.3">
      <c r="A861">
        <v>1140</v>
      </c>
      <c r="B861">
        <v>159354</v>
      </c>
      <c r="C861">
        <v>0</v>
      </c>
      <c r="D861">
        <v>2</v>
      </c>
      <c r="E861">
        <v>67</v>
      </c>
      <c r="F861">
        <v>0</v>
      </c>
      <c r="G861">
        <v>1</v>
      </c>
      <c r="H861">
        <v>0</v>
      </c>
      <c r="I861">
        <v>0</v>
      </c>
      <c r="J861">
        <v>0</v>
      </c>
      <c r="K861">
        <v>0</v>
      </c>
      <c r="L861">
        <v>0</v>
      </c>
      <c r="M861">
        <v>1</v>
      </c>
      <c r="N861">
        <v>0</v>
      </c>
      <c r="O861" t="str" cm="1">
        <f t="array" ref="O861">_xlfn.IFS(Table1[[#This Row],[Divorced]]=1, "Divorced", Table1[[#This Row],[Married]]=1, "Married", Table1[[#This Row],[Single]]=1, "Single", Table1[[#This Row],[Together]]=1, "Together", Table1[[#This Row],[Widow]]=1, "Widow")</f>
        <v>Married</v>
      </c>
      <c r="P861" t="str" cm="1">
        <f t="array" ref="P861">_xlfn.IFS(Table1[[#This Row],[Basic]]=1, "Basic", Table1[[#This Row],[Graduate]]=1, "Graduate", Table1[[#This Row],[Master]]=1, "Master", Table1[[#This Row],[PhD]]=1, "PhD", AND(Table1[[#This Row],[Basic]]=0, Table1[[#This Row],[Graduate]]=0, Table1[[#This Row],[Master]]=0, Table1[[#This Row],[PhD]]=0), "NA")</f>
        <v>Master</v>
      </c>
      <c r="Q861" t="e">
        <f>_xlfn.XLOOKUP(Table1[[#This Row],[ID]], Table2[ID],#REF!, "Not Found", 0)</f>
        <v>#REF!</v>
      </c>
      <c r="R861" t="e">
        <f>_xlfn.XLOOKUP(Table1[[#This Row],[ID]], Table2[ID],#REF!, "Not Found", 0)</f>
        <v>#REF!</v>
      </c>
      <c r="S861" s="3" t="str">
        <f>_xlfn.XLOOKUP(Table1[[#This Row],[ID]], Table2[ID], Table2[Enrollment], "Not Found", 0)</f>
        <v>9/28/2020</v>
      </c>
      <c r="T861" t="s">
        <v>436</v>
      </c>
    </row>
    <row r="862" spans="1:20" x14ac:dyDescent="0.3">
      <c r="A862">
        <v>1652</v>
      </c>
      <c r="B862">
        <v>159304</v>
      </c>
      <c r="C862">
        <v>0</v>
      </c>
      <c r="D862">
        <v>1</v>
      </c>
      <c r="E862">
        <v>56</v>
      </c>
      <c r="F862">
        <v>0</v>
      </c>
      <c r="G862">
        <v>1</v>
      </c>
      <c r="H862">
        <v>0</v>
      </c>
      <c r="I862">
        <v>0</v>
      </c>
      <c r="J862">
        <v>0</v>
      </c>
      <c r="K862">
        <v>0</v>
      </c>
      <c r="L862">
        <v>0</v>
      </c>
      <c r="M862">
        <v>0</v>
      </c>
      <c r="N862">
        <v>1</v>
      </c>
      <c r="O862" t="str" cm="1">
        <f t="array" ref="O862">_xlfn.IFS(Table1[[#This Row],[Divorced]]=1, "Divorced", Table1[[#This Row],[Married]]=1, "Married", Table1[[#This Row],[Single]]=1, "Single", Table1[[#This Row],[Together]]=1, "Together", Table1[[#This Row],[Widow]]=1, "Widow")</f>
        <v>Married</v>
      </c>
      <c r="P862" t="str" cm="1">
        <f t="array" ref="P862">_xlfn.IFS(Table1[[#This Row],[Basic]]=1, "Basic", Table1[[#This Row],[Graduate]]=1, "Graduate", Table1[[#This Row],[Master]]=1, "Master", Table1[[#This Row],[PhD]]=1, "PhD", AND(Table1[[#This Row],[Basic]]=0, Table1[[#This Row],[Graduate]]=0, Table1[[#This Row],[Master]]=0, Table1[[#This Row],[PhD]]=0), "NA")</f>
        <v>PhD</v>
      </c>
      <c r="Q862" t="e">
        <f>_xlfn.XLOOKUP(Table1[[#This Row],[ID]], Table2[ID],#REF!, "Not Found", 0)</f>
        <v>#REF!</v>
      </c>
      <c r="R862" t="e">
        <f>_xlfn.XLOOKUP(Table1[[#This Row],[ID]], Table2[ID],#REF!, "Not Found", 0)</f>
        <v>#REF!</v>
      </c>
      <c r="S862" s="3">
        <f>_xlfn.XLOOKUP(Table1[[#This Row],[ID]], Table2[ID], Table2[Enrollment], "Not Found", 0)</f>
        <v>43891</v>
      </c>
      <c r="T862" t="s">
        <v>438</v>
      </c>
    </row>
    <row r="863" spans="1:20" x14ac:dyDescent="0.3">
      <c r="A863">
        <v>1327</v>
      </c>
      <c r="B863">
        <v>159292</v>
      </c>
      <c r="C863">
        <v>0</v>
      </c>
      <c r="D863">
        <v>1</v>
      </c>
      <c r="E863">
        <v>70</v>
      </c>
      <c r="F863">
        <v>0</v>
      </c>
      <c r="G863">
        <v>0</v>
      </c>
      <c r="H863">
        <v>0</v>
      </c>
      <c r="I863">
        <v>1</v>
      </c>
      <c r="J863">
        <v>0</v>
      </c>
      <c r="K863">
        <v>0</v>
      </c>
      <c r="L863">
        <v>0</v>
      </c>
      <c r="M863">
        <v>0</v>
      </c>
      <c r="N863">
        <v>1</v>
      </c>
      <c r="O863" t="str" cm="1">
        <f t="array" ref="O863">_xlfn.IFS(Table1[[#This Row],[Divorced]]=1, "Divorced", Table1[[#This Row],[Married]]=1, "Married", Table1[[#This Row],[Single]]=1, "Single", Table1[[#This Row],[Together]]=1, "Together", Table1[[#This Row],[Widow]]=1, "Widow")</f>
        <v>Together</v>
      </c>
      <c r="P863" t="str" cm="1">
        <f t="array" ref="P863">_xlfn.IFS(Table1[[#This Row],[Basic]]=1, "Basic", Table1[[#This Row],[Graduate]]=1, "Graduate", Table1[[#This Row],[Master]]=1, "Master", Table1[[#This Row],[PhD]]=1, "PhD", AND(Table1[[#This Row],[Basic]]=0, Table1[[#This Row],[Graduate]]=0, Table1[[#This Row],[Master]]=0, Table1[[#This Row],[PhD]]=0), "NA")</f>
        <v>PhD</v>
      </c>
      <c r="Q863" t="e">
        <f>_xlfn.XLOOKUP(Table1[[#This Row],[ID]], Table2[ID],#REF!, "Not Found", 0)</f>
        <v>#REF!</v>
      </c>
      <c r="R863" t="e">
        <f>_xlfn.XLOOKUP(Table1[[#This Row],[ID]], Table2[ID],#REF!, "Not Found", 0)</f>
        <v>#REF!</v>
      </c>
      <c r="S863" s="3" t="str">
        <f>_xlfn.XLOOKUP(Table1[[#This Row],[ID]], Table2[ID], Table2[Enrollment], "Not Found", 0)</f>
        <v>11/18/2019</v>
      </c>
      <c r="T863" t="s">
        <v>437</v>
      </c>
    </row>
    <row r="864" spans="1:20" x14ac:dyDescent="0.3">
      <c r="A864">
        <v>2874</v>
      </c>
      <c r="B864">
        <v>159292</v>
      </c>
      <c r="C864">
        <v>0</v>
      </c>
      <c r="D864">
        <v>1</v>
      </c>
      <c r="E864">
        <v>70</v>
      </c>
      <c r="F864">
        <v>0</v>
      </c>
      <c r="G864">
        <v>0</v>
      </c>
      <c r="H864">
        <v>0</v>
      </c>
      <c r="I864">
        <v>1</v>
      </c>
      <c r="J864">
        <v>0</v>
      </c>
      <c r="K864">
        <v>0</v>
      </c>
      <c r="L864">
        <v>0</v>
      </c>
      <c r="M864">
        <v>0</v>
      </c>
      <c r="N864">
        <v>1</v>
      </c>
      <c r="O864" t="str" cm="1">
        <f t="array" ref="O864">_xlfn.IFS(Table1[[#This Row],[Divorced]]=1, "Divorced", Table1[[#This Row],[Married]]=1, "Married", Table1[[#This Row],[Single]]=1, "Single", Table1[[#This Row],[Together]]=1, "Together", Table1[[#This Row],[Widow]]=1, "Widow")</f>
        <v>Together</v>
      </c>
      <c r="P864" t="str" cm="1">
        <f t="array" ref="P864">_xlfn.IFS(Table1[[#This Row],[Basic]]=1, "Basic", Table1[[#This Row],[Graduate]]=1, "Graduate", Table1[[#This Row],[Master]]=1, "Master", Table1[[#This Row],[PhD]]=1, "PhD", AND(Table1[[#This Row],[Basic]]=0, Table1[[#This Row],[Graduate]]=0, Table1[[#This Row],[Master]]=0, Table1[[#This Row],[PhD]]=0), "NA")</f>
        <v>PhD</v>
      </c>
      <c r="Q864" t="e">
        <f>_xlfn.XLOOKUP(Table1[[#This Row],[ID]], Table2[ID],#REF!, "Not Found", 0)</f>
        <v>#REF!</v>
      </c>
      <c r="R864" t="e">
        <f>_xlfn.XLOOKUP(Table1[[#This Row],[ID]], Table2[ID],#REF!, "Not Found", 0)</f>
        <v>#REF!</v>
      </c>
      <c r="S864" s="3" t="str">
        <f>_xlfn.XLOOKUP(Table1[[#This Row],[ID]], Table2[ID], Table2[Enrollment], "Not Found", 0)</f>
        <v>11/18/2019</v>
      </c>
      <c r="T864" t="s">
        <v>436</v>
      </c>
    </row>
    <row r="865" spans="1:20" x14ac:dyDescent="0.3">
      <c r="A865">
        <v>1653</v>
      </c>
      <c r="B865">
        <v>159247</v>
      </c>
      <c r="C865">
        <v>0</v>
      </c>
      <c r="D865">
        <v>2</v>
      </c>
      <c r="E865">
        <v>58</v>
      </c>
      <c r="F865">
        <v>0</v>
      </c>
      <c r="G865">
        <v>0</v>
      </c>
      <c r="H865">
        <v>1</v>
      </c>
      <c r="I865">
        <v>0</v>
      </c>
      <c r="J865">
        <v>0</v>
      </c>
      <c r="K865">
        <v>0</v>
      </c>
      <c r="L865">
        <v>0</v>
      </c>
      <c r="M865">
        <v>1</v>
      </c>
      <c r="N865">
        <v>0</v>
      </c>
      <c r="O865" t="str" cm="1">
        <f t="array" ref="O865">_xlfn.IFS(Table1[[#This Row],[Divorced]]=1, "Divorced", Table1[[#This Row],[Married]]=1, "Married", Table1[[#This Row],[Single]]=1, "Single", Table1[[#This Row],[Together]]=1, "Together", Table1[[#This Row],[Widow]]=1, "Widow")</f>
        <v>Single</v>
      </c>
      <c r="P865" t="str" cm="1">
        <f t="array" ref="P865">_xlfn.IFS(Table1[[#This Row],[Basic]]=1, "Basic", Table1[[#This Row],[Graduate]]=1, "Graduate", Table1[[#This Row],[Master]]=1, "Master", Table1[[#This Row],[PhD]]=1, "PhD", AND(Table1[[#This Row],[Basic]]=0, Table1[[#This Row],[Graduate]]=0, Table1[[#This Row],[Master]]=0, Table1[[#This Row],[PhD]]=0), "NA")</f>
        <v>Master</v>
      </c>
      <c r="Q865" t="e">
        <f>_xlfn.XLOOKUP(Table1[[#This Row],[ID]], Table2[ID],#REF!, "Not Found", 0)</f>
        <v>#REF!</v>
      </c>
      <c r="R865" t="e">
        <f>_xlfn.XLOOKUP(Table1[[#This Row],[ID]], Table2[ID],#REF!, "Not Found", 0)</f>
        <v>#REF!</v>
      </c>
      <c r="S865" s="3" t="str">
        <f>_xlfn.XLOOKUP(Table1[[#This Row],[ID]], Table2[ID], Table2[Enrollment], "Not Found", 0)</f>
        <v>4/14/2020</v>
      </c>
      <c r="T865" t="s">
        <v>435</v>
      </c>
    </row>
    <row r="866" spans="1:20" x14ac:dyDescent="0.3">
      <c r="A866">
        <v>2515</v>
      </c>
      <c r="B866">
        <v>159235</v>
      </c>
      <c r="C866">
        <v>1</v>
      </c>
      <c r="D866">
        <v>0</v>
      </c>
      <c r="E866">
        <v>53</v>
      </c>
      <c r="F866">
        <v>0</v>
      </c>
      <c r="G866">
        <v>0</v>
      </c>
      <c r="H866">
        <v>1</v>
      </c>
      <c r="I866">
        <v>0</v>
      </c>
      <c r="J866">
        <v>0</v>
      </c>
      <c r="K866">
        <v>0</v>
      </c>
      <c r="L866">
        <v>0</v>
      </c>
      <c r="M866">
        <v>1</v>
      </c>
      <c r="N866">
        <v>0</v>
      </c>
      <c r="O866" t="str" cm="1">
        <f t="array" ref="O866">_xlfn.IFS(Table1[[#This Row],[Divorced]]=1, "Divorced", Table1[[#This Row],[Married]]=1, "Married", Table1[[#This Row],[Single]]=1, "Single", Table1[[#This Row],[Together]]=1, "Together", Table1[[#This Row],[Widow]]=1, "Widow")</f>
        <v>Single</v>
      </c>
      <c r="P866" t="str" cm="1">
        <f t="array" ref="P866">_xlfn.IFS(Table1[[#This Row],[Basic]]=1, "Basic", Table1[[#This Row],[Graduate]]=1, "Graduate", Table1[[#This Row],[Master]]=1, "Master", Table1[[#This Row],[PhD]]=1, "PhD", AND(Table1[[#This Row],[Basic]]=0, Table1[[#This Row],[Graduate]]=0, Table1[[#This Row],[Master]]=0, Table1[[#This Row],[PhD]]=0), "NA")</f>
        <v>Master</v>
      </c>
      <c r="Q866" t="e">
        <f>_xlfn.XLOOKUP(Table1[[#This Row],[ID]], Table2[ID],#REF!, "Not Found", 0)</f>
        <v>#REF!</v>
      </c>
      <c r="R866" t="e">
        <f>_xlfn.XLOOKUP(Table1[[#This Row],[ID]], Table2[ID],#REF!, "Not Found", 0)</f>
        <v>#REF!</v>
      </c>
      <c r="S866" s="3" t="str">
        <f>_xlfn.XLOOKUP(Table1[[#This Row],[ID]], Table2[ID], Table2[Enrollment], "Not Found", 0)</f>
        <v>6/19/2019</v>
      </c>
      <c r="T866" t="s">
        <v>437</v>
      </c>
    </row>
    <row r="867" spans="1:20" x14ac:dyDescent="0.3">
      <c r="A867">
        <v>2180</v>
      </c>
      <c r="B867">
        <v>159184</v>
      </c>
      <c r="C867">
        <v>0</v>
      </c>
      <c r="D867">
        <v>1</v>
      </c>
      <c r="E867">
        <v>59</v>
      </c>
      <c r="F867">
        <v>0</v>
      </c>
      <c r="G867">
        <v>0</v>
      </c>
      <c r="H867">
        <v>0</v>
      </c>
      <c r="I867">
        <v>0</v>
      </c>
      <c r="J867">
        <v>1</v>
      </c>
      <c r="K867">
        <v>0</v>
      </c>
      <c r="L867">
        <v>0</v>
      </c>
      <c r="M867">
        <v>0</v>
      </c>
      <c r="N867">
        <v>0</v>
      </c>
      <c r="O867" t="str" cm="1">
        <f t="array" ref="O867">_xlfn.IFS(Table1[[#This Row],[Divorced]]=1, "Divorced", Table1[[#This Row],[Married]]=1, "Married", Table1[[#This Row],[Single]]=1, "Single", Table1[[#This Row],[Together]]=1, "Together", Table1[[#This Row],[Widow]]=1, "Widow")</f>
        <v>Widow</v>
      </c>
      <c r="P867" t="str" cm="1">
        <f t="array" ref="P867">_xlfn.IFS(Table1[[#This Row],[Basic]]=1, "Basic", Table1[[#This Row],[Graduate]]=1, "Graduate", Table1[[#This Row],[Master]]=1, "Master", Table1[[#This Row],[PhD]]=1, "PhD", AND(Table1[[#This Row],[Basic]]=0, Table1[[#This Row],[Graduate]]=0, Table1[[#This Row],[Master]]=0, Table1[[#This Row],[PhD]]=0), "NA")</f>
        <v>NA</v>
      </c>
      <c r="Q867" t="e">
        <f>_xlfn.XLOOKUP(Table1[[#This Row],[ID]], Table2[ID],#REF!, "Not Found", 0)</f>
        <v>#REF!</v>
      </c>
      <c r="R867" t="e">
        <f>_xlfn.XLOOKUP(Table1[[#This Row],[ID]], Table2[ID],#REF!, "Not Found", 0)</f>
        <v>#REF!</v>
      </c>
      <c r="S867" s="3" t="str">
        <f>_xlfn.XLOOKUP(Table1[[#This Row],[ID]], Table2[ID], Table2[Enrollment], "Not Found", 0)</f>
        <v>2/14/2019</v>
      </c>
      <c r="T867" t="s">
        <v>438</v>
      </c>
    </row>
    <row r="868" spans="1:20" x14ac:dyDescent="0.3">
      <c r="A868">
        <v>1702</v>
      </c>
      <c r="B868">
        <v>159111</v>
      </c>
      <c r="C868">
        <v>0</v>
      </c>
      <c r="D868">
        <v>0</v>
      </c>
      <c r="E868">
        <v>66</v>
      </c>
      <c r="F868">
        <v>0</v>
      </c>
      <c r="G868">
        <v>1</v>
      </c>
      <c r="H868">
        <v>0</v>
      </c>
      <c r="I868">
        <v>0</v>
      </c>
      <c r="J868">
        <v>0</v>
      </c>
      <c r="K868">
        <v>0</v>
      </c>
      <c r="L868">
        <v>1</v>
      </c>
      <c r="M868">
        <v>0</v>
      </c>
      <c r="N868">
        <v>0</v>
      </c>
      <c r="O868" t="str" cm="1">
        <f t="array" ref="O868">_xlfn.IFS(Table1[[#This Row],[Divorced]]=1, "Divorced", Table1[[#This Row],[Married]]=1, "Married", Table1[[#This Row],[Single]]=1, "Single", Table1[[#This Row],[Together]]=1, "Together", Table1[[#This Row],[Widow]]=1, "Widow")</f>
        <v>Married</v>
      </c>
      <c r="P868" t="str" cm="1">
        <f t="array" ref="P868">_xlfn.IFS(Table1[[#This Row],[Basic]]=1, "Basic", Table1[[#This Row],[Graduate]]=1, "Graduate", Table1[[#This Row],[Master]]=1, "Master", Table1[[#This Row],[PhD]]=1, "PhD", AND(Table1[[#This Row],[Basic]]=0, Table1[[#This Row],[Graduate]]=0, Table1[[#This Row],[Master]]=0, Table1[[#This Row],[PhD]]=0), "NA")</f>
        <v>Graduate</v>
      </c>
      <c r="Q868" t="e">
        <f>_xlfn.XLOOKUP(Table1[[#This Row],[ID]], Table2[ID],#REF!, "Not Found", 0)</f>
        <v>#REF!</v>
      </c>
      <c r="R868" t="e">
        <f>_xlfn.XLOOKUP(Table1[[#This Row],[ID]], Table2[ID],#REF!, "Not Found", 0)</f>
        <v>#REF!</v>
      </c>
      <c r="S868" s="3">
        <f>_xlfn.XLOOKUP(Table1[[#This Row],[ID]], Table2[ID], Table2[Enrollment], "Not Found", 0)</f>
        <v>43656</v>
      </c>
      <c r="T868" t="s">
        <v>439</v>
      </c>
    </row>
    <row r="869" spans="1:20" x14ac:dyDescent="0.3">
      <c r="A869">
        <v>2222</v>
      </c>
      <c r="B869">
        <v>159062</v>
      </c>
      <c r="C869">
        <v>2</v>
      </c>
      <c r="D869">
        <v>1</v>
      </c>
      <c r="E869">
        <v>53</v>
      </c>
      <c r="F869">
        <v>0</v>
      </c>
      <c r="G869">
        <v>1</v>
      </c>
      <c r="H869">
        <v>0</v>
      </c>
      <c r="I869">
        <v>0</v>
      </c>
      <c r="J869">
        <v>0</v>
      </c>
      <c r="K869">
        <v>0</v>
      </c>
      <c r="L869">
        <v>0</v>
      </c>
      <c r="M869">
        <v>0</v>
      </c>
      <c r="N869">
        <v>1</v>
      </c>
      <c r="O869" t="str" cm="1">
        <f t="array" ref="O869">_xlfn.IFS(Table1[[#This Row],[Divorced]]=1, "Divorced", Table1[[#This Row],[Married]]=1, "Married", Table1[[#This Row],[Single]]=1, "Single", Table1[[#This Row],[Together]]=1, "Together", Table1[[#This Row],[Widow]]=1, "Widow")</f>
        <v>Married</v>
      </c>
      <c r="P869" t="str" cm="1">
        <f t="array" ref="P869">_xlfn.IFS(Table1[[#This Row],[Basic]]=1, "Basic", Table1[[#This Row],[Graduate]]=1, "Graduate", Table1[[#This Row],[Master]]=1, "Master", Table1[[#This Row],[PhD]]=1, "PhD", AND(Table1[[#This Row],[Basic]]=0, Table1[[#This Row],[Graduate]]=0, Table1[[#This Row],[Master]]=0, Table1[[#This Row],[PhD]]=0), "NA")</f>
        <v>PhD</v>
      </c>
      <c r="Q869" t="e">
        <f>_xlfn.XLOOKUP(Table1[[#This Row],[ID]], Table2[ID],#REF!, "Not Found", 0)</f>
        <v>#REF!</v>
      </c>
      <c r="R869" t="e">
        <f>_xlfn.XLOOKUP(Table1[[#This Row],[ID]], Table2[ID],#REF!, "Not Found", 0)</f>
        <v>#REF!</v>
      </c>
      <c r="S869" s="3">
        <f>_xlfn.XLOOKUP(Table1[[#This Row],[ID]], Table2[ID], Table2[Enrollment], "Not Found", 0)</f>
        <v>44077</v>
      </c>
      <c r="T869" t="s">
        <v>438</v>
      </c>
    </row>
    <row r="870" spans="1:20" x14ac:dyDescent="0.3">
      <c r="A870">
        <v>2294</v>
      </c>
      <c r="B870">
        <v>159060</v>
      </c>
      <c r="C870">
        <v>1</v>
      </c>
      <c r="D870">
        <v>0</v>
      </c>
      <c r="E870">
        <v>31</v>
      </c>
      <c r="F870">
        <v>0</v>
      </c>
      <c r="G870">
        <v>1</v>
      </c>
      <c r="H870">
        <v>0</v>
      </c>
      <c r="I870">
        <v>0</v>
      </c>
      <c r="J870">
        <v>0</v>
      </c>
      <c r="K870">
        <v>0</v>
      </c>
      <c r="L870">
        <v>0</v>
      </c>
      <c r="M870">
        <v>0</v>
      </c>
      <c r="N870">
        <v>0</v>
      </c>
      <c r="O870" t="str" cm="1">
        <f t="array" ref="O870">_xlfn.IFS(Table1[[#This Row],[Divorced]]=1, "Divorced", Table1[[#This Row],[Married]]=1, "Married", Table1[[#This Row],[Single]]=1, "Single", Table1[[#This Row],[Together]]=1, "Together", Table1[[#This Row],[Widow]]=1, "Widow")</f>
        <v>Married</v>
      </c>
      <c r="P870" t="str" cm="1">
        <f t="array" ref="P870">_xlfn.IFS(Table1[[#This Row],[Basic]]=1, "Basic", Table1[[#This Row],[Graduate]]=1, "Graduate", Table1[[#This Row],[Master]]=1, "Master", Table1[[#This Row],[PhD]]=1, "PhD", AND(Table1[[#This Row],[Basic]]=0, Table1[[#This Row],[Graduate]]=0, Table1[[#This Row],[Master]]=0, Table1[[#This Row],[PhD]]=0), "NA")</f>
        <v>NA</v>
      </c>
      <c r="Q870" t="e">
        <f>_xlfn.XLOOKUP(Table1[[#This Row],[ID]], Table2[ID],#REF!, "Not Found", 0)</f>
        <v>#REF!</v>
      </c>
      <c r="R870" t="e">
        <f>_xlfn.XLOOKUP(Table1[[#This Row],[ID]], Table2[ID],#REF!, "Not Found", 0)</f>
        <v>#REF!</v>
      </c>
      <c r="S870" s="3" t="str">
        <f>_xlfn.XLOOKUP(Table1[[#This Row],[ID]], Table2[ID], Table2[Enrollment], "Not Found", 0)</f>
        <v>6/17/2020</v>
      </c>
      <c r="T870" t="s">
        <v>438</v>
      </c>
    </row>
    <row r="871" spans="1:20" x14ac:dyDescent="0.3">
      <c r="A871">
        <v>1954</v>
      </c>
      <c r="B871">
        <v>159052</v>
      </c>
      <c r="C871">
        <v>0</v>
      </c>
      <c r="D871">
        <v>1</v>
      </c>
      <c r="E871">
        <v>61</v>
      </c>
      <c r="F871">
        <v>1</v>
      </c>
      <c r="G871">
        <v>0</v>
      </c>
      <c r="H871">
        <v>0</v>
      </c>
      <c r="I871">
        <v>0</v>
      </c>
      <c r="J871">
        <v>0</v>
      </c>
      <c r="K871">
        <v>0</v>
      </c>
      <c r="L871">
        <v>0</v>
      </c>
      <c r="M871">
        <v>0</v>
      </c>
      <c r="N871">
        <v>0</v>
      </c>
      <c r="O871" t="str" cm="1">
        <f t="array" ref="O871">_xlfn.IFS(Table1[[#This Row],[Divorced]]=1, "Divorced", Table1[[#This Row],[Married]]=1, "Married", Table1[[#This Row],[Single]]=1, "Single", Table1[[#This Row],[Together]]=1, "Together", Table1[[#This Row],[Widow]]=1, "Widow")</f>
        <v>Divorced</v>
      </c>
      <c r="P871" t="str" cm="1">
        <f t="array" ref="P871">_xlfn.IFS(Table1[[#This Row],[Basic]]=1, "Basic", Table1[[#This Row],[Graduate]]=1, "Graduate", Table1[[#This Row],[Master]]=1, "Master", Table1[[#This Row],[PhD]]=1, "PhD", AND(Table1[[#This Row],[Basic]]=0, Table1[[#This Row],[Graduate]]=0, Table1[[#This Row],[Master]]=0, Table1[[#This Row],[PhD]]=0), "NA")</f>
        <v>NA</v>
      </c>
      <c r="Q871" t="e">
        <f>_xlfn.XLOOKUP(Table1[[#This Row],[ID]], Table2[ID],#REF!, "Not Found", 0)</f>
        <v>#REF!</v>
      </c>
      <c r="R871" t="e">
        <f>_xlfn.XLOOKUP(Table1[[#This Row],[ID]], Table2[ID],#REF!, "Not Found", 0)</f>
        <v>#REF!</v>
      </c>
      <c r="S871" s="3" t="str">
        <f>_xlfn.XLOOKUP(Table1[[#This Row],[ID]], Table2[ID], Table2[Enrollment], "Not Found", 0)</f>
        <v>4/23/2020</v>
      </c>
      <c r="T871" t="s">
        <v>439</v>
      </c>
    </row>
    <row r="872" spans="1:20" x14ac:dyDescent="0.3">
      <c r="A872">
        <v>1939</v>
      </c>
      <c r="B872">
        <v>159041</v>
      </c>
      <c r="C872">
        <v>1</v>
      </c>
      <c r="D872">
        <v>1</v>
      </c>
      <c r="E872">
        <v>47</v>
      </c>
      <c r="F872">
        <v>0</v>
      </c>
      <c r="G872">
        <v>1</v>
      </c>
      <c r="H872">
        <v>0</v>
      </c>
      <c r="I872">
        <v>0</v>
      </c>
      <c r="J872">
        <v>0</v>
      </c>
      <c r="K872">
        <v>0</v>
      </c>
      <c r="L872">
        <v>1</v>
      </c>
      <c r="M872">
        <v>0</v>
      </c>
      <c r="N872">
        <v>0</v>
      </c>
      <c r="O872" t="str" cm="1">
        <f t="array" ref="O872">_xlfn.IFS(Table1[[#This Row],[Divorced]]=1, "Divorced", Table1[[#This Row],[Married]]=1, "Married", Table1[[#This Row],[Single]]=1, "Single", Table1[[#This Row],[Together]]=1, "Together", Table1[[#This Row],[Widow]]=1, "Widow")</f>
        <v>Married</v>
      </c>
      <c r="P872" t="str" cm="1">
        <f t="array" ref="P872">_xlfn.IFS(Table1[[#This Row],[Basic]]=1, "Basic", Table1[[#This Row],[Graduate]]=1, "Graduate", Table1[[#This Row],[Master]]=1, "Master", Table1[[#This Row],[PhD]]=1, "PhD", AND(Table1[[#This Row],[Basic]]=0, Table1[[#This Row],[Graduate]]=0, Table1[[#This Row],[Master]]=0, Table1[[#This Row],[PhD]]=0), "NA")</f>
        <v>Graduate</v>
      </c>
      <c r="Q872" t="e">
        <f>_xlfn.XLOOKUP(Table1[[#This Row],[ID]], Table2[ID],#REF!, "Not Found", 0)</f>
        <v>#REF!</v>
      </c>
      <c r="R872" t="e">
        <f>_xlfn.XLOOKUP(Table1[[#This Row],[ID]], Table2[ID],#REF!, "Not Found", 0)</f>
        <v>#REF!</v>
      </c>
      <c r="S872" s="3">
        <f>_xlfn.XLOOKUP(Table1[[#This Row],[ID]], Table2[ID], Table2[Enrollment], "Not Found", 0)</f>
        <v>44145</v>
      </c>
      <c r="T872" t="s">
        <v>437</v>
      </c>
    </row>
    <row r="873" spans="1:20" x14ac:dyDescent="0.3">
      <c r="A873">
        <v>1885</v>
      </c>
      <c r="B873">
        <v>158917</v>
      </c>
      <c r="C873">
        <v>1</v>
      </c>
      <c r="D873">
        <v>2</v>
      </c>
      <c r="E873">
        <v>51</v>
      </c>
      <c r="F873">
        <v>0</v>
      </c>
      <c r="G873">
        <v>0</v>
      </c>
      <c r="H873">
        <v>0</v>
      </c>
      <c r="I873">
        <v>1</v>
      </c>
      <c r="J873">
        <v>0</v>
      </c>
      <c r="K873">
        <v>0</v>
      </c>
      <c r="L873">
        <v>1</v>
      </c>
      <c r="M873">
        <v>0</v>
      </c>
      <c r="N873">
        <v>0</v>
      </c>
      <c r="O873" t="str" cm="1">
        <f t="array" ref="O873">_xlfn.IFS(Table1[[#This Row],[Divorced]]=1, "Divorced", Table1[[#This Row],[Married]]=1, "Married", Table1[[#This Row],[Single]]=1, "Single", Table1[[#This Row],[Together]]=1, "Together", Table1[[#This Row],[Widow]]=1, "Widow")</f>
        <v>Together</v>
      </c>
      <c r="P873" t="str" cm="1">
        <f t="array" ref="P873">_xlfn.IFS(Table1[[#This Row],[Basic]]=1, "Basic", Table1[[#This Row],[Graduate]]=1, "Graduate", Table1[[#This Row],[Master]]=1, "Master", Table1[[#This Row],[PhD]]=1, "PhD", AND(Table1[[#This Row],[Basic]]=0, Table1[[#This Row],[Graduate]]=0, Table1[[#This Row],[Master]]=0, Table1[[#This Row],[PhD]]=0), "NA")</f>
        <v>Graduate</v>
      </c>
      <c r="Q873" t="e">
        <f>_xlfn.XLOOKUP(Table1[[#This Row],[ID]], Table2[ID],#REF!, "Not Found", 0)</f>
        <v>#REF!</v>
      </c>
      <c r="R873" t="e">
        <f>_xlfn.XLOOKUP(Table1[[#This Row],[ID]], Table2[ID],#REF!, "Not Found", 0)</f>
        <v>#REF!</v>
      </c>
      <c r="S873" s="3" t="str">
        <f>_xlfn.XLOOKUP(Table1[[#This Row],[ID]], Table2[ID], Table2[Enrollment], "Not Found", 0)</f>
        <v>8/29/2019</v>
      </c>
      <c r="T873" t="s">
        <v>437</v>
      </c>
    </row>
    <row r="874" spans="1:20" x14ac:dyDescent="0.3">
      <c r="A874">
        <v>1288</v>
      </c>
      <c r="B874">
        <v>158821</v>
      </c>
      <c r="C874">
        <v>0</v>
      </c>
      <c r="D874">
        <v>1</v>
      </c>
      <c r="E874">
        <v>64</v>
      </c>
      <c r="F874">
        <v>0</v>
      </c>
      <c r="G874">
        <v>0</v>
      </c>
      <c r="H874">
        <v>0</v>
      </c>
      <c r="I874">
        <v>1</v>
      </c>
      <c r="J874">
        <v>0</v>
      </c>
      <c r="K874">
        <v>0</v>
      </c>
      <c r="L874">
        <v>0</v>
      </c>
      <c r="M874">
        <v>0</v>
      </c>
      <c r="N874">
        <v>0</v>
      </c>
      <c r="O874" t="str" cm="1">
        <f t="array" ref="O874">_xlfn.IFS(Table1[[#This Row],[Divorced]]=1, "Divorced", Table1[[#This Row],[Married]]=1, "Married", Table1[[#This Row],[Single]]=1, "Single", Table1[[#This Row],[Together]]=1, "Together", Table1[[#This Row],[Widow]]=1, "Widow")</f>
        <v>Together</v>
      </c>
      <c r="P874" t="str" cm="1">
        <f t="array" ref="P874">_xlfn.IFS(Table1[[#This Row],[Basic]]=1, "Basic", Table1[[#This Row],[Graduate]]=1, "Graduate", Table1[[#This Row],[Master]]=1, "Master", Table1[[#This Row],[PhD]]=1, "PhD", AND(Table1[[#This Row],[Basic]]=0, Table1[[#This Row],[Graduate]]=0, Table1[[#This Row],[Master]]=0, Table1[[#This Row],[PhD]]=0), "NA")</f>
        <v>NA</v>
      </c>
      <c r="Q874" t="e">
        <f>_xlfn.XLOOKUP(Table1[[#This Row],[ID]], Table2[ID],#REF!, "Not Found", 0)</f>
        <v>#REF!</v>
      </c>
      <c r="R874" t="e">
        <f>_xlfn.XLOOKUP(Table1[[#This Row],[ID]], Table2[ID],#REF!, "Not Found", 0)</f>
        <v>#REF!</v>
      </c>
      <c r="S874" s="3" t="str">
        <f>_xlfn.XLOOKUP(Table1[[#This Row],[ID]], Table2[ID], Table2[Enrollment], "Not Found", 0)</f>
        <v>3/18/2020</v>
      </c>
      <c r="T874" t="s">
        <v>439</v>
      </c>
    </row>
    <row r="875" spans="1:20" x14ac:dyDescent="0.3">
      <c r="A875">
        <v>1699</v>
      </c>
      <c r="B875">
        <v>158710</v>
      </c>
      <c r="C875">
        <v>0</v>
      </c>
      <c r="D875">
        <v>1</v>
      </c>
      <c r="E875">
        <v>50</v>
      </c>
      <c r="F875">
        <v>1</v>
      </c>
      <c r="G875">
        <v>0</v>
      </c>
      <c r="H875">
        <v>0</v>
      </c>
      <c r="I875">
        <v>0</v>
      </c>
      <c r="J875">
        <v>0</v>
      </c>
      <c r="K875">
        <v>0</v>
      </c>
      <c r="L875">
        <v>1</v>
      </c>
      <c r="M875">
        <v>0</v>
      </c>
      <c r="N875">
        <v>0</v>
      </c>
      <c r="O875" t="str" cm="1">
        <f t="array" ref="O875">_xlfn.IFS(Table1[[#This Row],[Divorced]]=1, "Divorced", Table1[[#This Row],[Married]]=1, "Married", Table1[[#This Row],[Single]]=1, "Single", Table1[[#This Row],[Together]]=1, "Together", Table1[[#This Row],[Widow]]=1, "Widow")</f>
        <v>Divorced</v>
      </c>
      <c r="P875" t="str" cm="1">
        <f t="array" ref="P875">_xlfn.IFS(Table1[[#This Row],[Basic]]=1, "Basic", Table1[[#This Row],[Graduate]]=1, "Graduate", Table1[[#This Row],[Master]]=1, "Master", Table1[[#This Row],[PhD]]=1, "PhD", AND(Table1[[#This Row],[Basic]]=0, Table1[[#This Row],[Graduate]]=0, Table1[[#This Row],[Master]]=0, Table1[[#This Row],[PhD]]=0), "NA")</f>
        <v>Graduate</v>
      </c>
      <c r="Q875" t="e">
        <f>_xlfn.XLOOKUP(Table1[[#This Row],[ID]], Table2[ID],#REF!, "Not Found", 0)</f>
        <v>#REF!</v>
      </c>
      <c r="R875" t="e">
        <f>_xlfn.XLOOKUP(Table1[[#This Row],[ID]], Table2[ID],#REF!, "Not Found", 0)</f>
        <v>#REF!</v>
      </c>
      <c r="S875" s="3">
        <f>_xlfn.XLOOKUP(Table1[[#This Row],[ID]], Table2[ID], Table2[Enrollment], "Not Found", 0)</f>
        <v>43594</v>
      </c>
      <c r="T875" t="s">
        <v>437</v>
      </c>
    </row>
    <row r="876" spans="1:20" x14ac:dyDescent="0.3">
      <c r="A876">
        <v>3103</v>
      </c>
      <c r="B876">
        <v>158692</v>
      </c>
      <c r="C876">
        <v>0</v>
      </c>
      <c r="D876">
        <v>1</v>
      </c>
      <c r="E876">
        <v>55</v>
      </c>
      <c r="F876">
        <v>0</v>
      </c>
      <c r="G876">
        <v>1</v>
      </c>
      <c r="H876">
        <v>0</v>
      </c>
      <c r="I876">
        <v>0</v>
      </c>
      <c r="J876">
        <v>0</v>
      </c>
      <c r="K876">
        <v>0</v>
      </c>
      <c r="L876">
        <v>1</v>
      </c>
      <c r="M876">
        <v>0</v>
      </c>
      <c r="N876">
        <v>0</v>
      </c>
      <c r="O876" t="str" cm="1">
        <f t="array" ref="O876">_xlfn.IFS(Table1[[#This Row],[Divorced]]=1, "Divorced", Table1[[#This Row],[Married]]=1, "Married", Table1[[#This Row],[Single]]=1, "Single", Table1[[#This Row],[Together]]=1, "Together", Table1[[#This Row],[Widow]]=1, "Widow")</f>
        <v>Married</v>
      </c>
      <c r="P876" t="str" cm="1">
        <f t="array" ref="P876">_xlfn.IFS(Table1[[#This Row],[Basic]]=1, "Basic", Table1[[#This Row],[Graduate]]=1, "Graduate", Table1[[#This Row],[Master]]=1, "Master", Table1[[#This Row],[PhD]]=1, "PhD", AND(Table1[[#This Row],[Basic]]=0, Table1[[#This Row],[Graduate]]=0, Table1[[#This Row],[Master]]=0, Table1[[#This Row],[PhD]]=0), "NA")</f>
        <v>Graduate</v>
      </c>
      <c r="Q876" t="e">
        <f>_xlfn.XLOOKUP(Table1[[#This Row],[ID]], Table2[ID],#REF!, "Not Found", 0)</f>
        <v>#REF!</v>
      </c>
      <c r="R876" t="e">
        <f>_xlfn.XLOOKUP(Table1[[#This Row],[ID]], Table2[ID],#REF!, "Not Found", 0)</f>
        <v>#REF!</v>
      </c>
      <c r="S876" s="3">
        <f>_xlfn.XLOOKUP(Table1[[#This Row],[ID]], Table2[ID], Table2[Enrollment], "Not Found", 0)</f>
        <v>44113</v>
      </c>
      <c r="T876" t="s">
        <v>437</v>
      </c>
    </row>
    <row r="877" spans="1:20" x14ac:dyDescent="0.3">
      <c r="A877">
        <v>2623</v>
      </c>
      <c r="B877">
        <v>158684</v>
      </c>
      <c r="C877">
        <v>0</v>
      </c>
      <c r="D877">
        <v>0</v>
      </c>
      <c r="E877">
        <v>39</v>
      </c>
      <c r="F877">
        <v>0</v>
      </c>
      <c r="G877">
        <v>0</v>
      </c>
      <c r="H877">
        <v>1</v>
      </c>
      <c r="I877">
        <v>0</v>
      </c>
      <c r="J877">
        <v>0</v>
      </c>
      <c r="K877">
        <v>0</v>
      </c>
      <c r="L877">
        <v>1</v>
      </c>
      <c r="M877">
        <v>0</v>
      </c>
      <c r="N877">
        <v>0</v>
      </c>
      <c r="O877" t="str" cm="1">
        <f t="array" ref="O877">_xlfn.IFS(Table1[[#This Row],[Divorced]]=1, "Divorced", Table1[[#This Row],[Married]]=1, "Married", Table1[[#This Row],[Single]]=1, "Single", Table1[[#This Row],[Together]]=1, "Together", Table1[[#This Row],[Widow]]=1, "Widow")</f>
        <v>Single</v>
      </c>
      <c r="P877" t="str" cm="1">
        <f t="array" ref="P877">_xlfn.IFS(Table1[[#This Row],[Basic]]=1, "Basic", Table1[[#This Row],[Graduate]]=1, "Graduate", Table1[[#This Row],[Master]]=1, "Master", Table1[[#This Row],[PhD]]=1, "PhD", AND(Table1[[#This Row],[Basic]]=0, Table1[[#This Row],[Graduate]]=0, Table1[[#This Row],[Master]]=0, Table1[[#This Row],[PhD]]=0), "NA")</f>
        <v>Graduate</v>
      </c>
      <c r="Q877" t="e">
        <f>_xlfn.XLOOKUP(Table1[[#This Row],[ID]], Table2[ID],#REF!, "Not Found", 0)</f>
        <v>#REF!</v>
      </c>
      <c r="R877" t="e">
        <f>_xlfn.XLOOKUP(Table1[[#This Row],[ID]], Table2[ID],#REF!, "Not Found", 0)</f>
        <v>#REF!</v>
      </c>
      <c r="S877" s="3" t="str">
        <f>_xlfn.XLOOKUP(Table1[[#This Row],[ID]], Table2[ID], Table2[Enrollment], "Not Found", 0)</f>
        <v>11/20/2020</v>
      </c>
      <c r="T877" t="s">
        <v>437</v>
      </c>
    </row>
    <row r="878" spans="1:20" x14ac:dyDescent="0.3">
      <c r="A878">
        <v>2681</v>
      </c>
      <c r="B878">
        <v>158656</v>
      </c>
      <c r="C878">
        <v>0</v>
      </c>
      <c r="D878">
        <v>1</v>
      </c>
      <c r="E878">
        <v>64</v>
      </c>
      <c r="F878">
        <v>0</v>
      </c>
      <c r="G878">
        <v>0</v>
      </c>
      <c r="H878">
        <v>0</v>
      </c>
      <c r="I878">
        <v>1</v>
      </c>
      <c r="J878">
        <v>0</v>
      </c>
      <c r="K878">
        <v>0</v>
      </c>
      <c r="L878">
        <v>0</v>
      </c>
      <c r="M878">
        <v>1</v>
      </c>
      <c r="N878">
        <v>0</v>
      </c>
      <c r="O878" t="str" cm="1">
        <f t="array" ref="O878">_xlfn.IFS(Table1[[#This Row],[Divorced]]=1, "Divorced", Table1[[#This Row],[Married]]=1, "Married", Table1[[#This Row],[Single]]=1, "Single", Table1[[#This Row],[Together]]=1, "Together", Table1[[#This Row],[Widow]]=1, "Widow")</f>
        <v>Together</v>
      </c>
      <c r="P878" t="str" cm="1">
        <f t="array" ref="P878">_xlfn.IFS(Table1[[#This Row],[Basic]]=1, "Basic", Table1[[#This Row],[Graduate]]=1, "Graduate", Table1[[#This Row],[Master]]=1, "Master", Table1[[#This Row],[PhD]]=1, "PhD", AND(Table1[[#This Row],[Basic]]=0, Table1[[#This Row],[Graduate]]=0, Table1[[#This Row],[Master]]=0, Table1[[#This Row],[PhD]]=0), "NA")</f>
        <v>Master</v>
      </c>
      <c r="Q878" t="e">
        <f>_xlfn.XLOOKUP(Table1[[#This Row],[ID]], Table2[ID],#REF!, "Not Found", 0)</f>
        <v>#REF!</v>
      </c>
      <c r="R878" t="e">
        <f>_xlfn.XLOOKUP(Table1[[#This Row],[ID]], Table2[ID],#REF!, "Not Found", 0)</f>
        <v>#REF!</v>
      </c>
      <c r="S878" s="3" t="str">
        <f>_xlfn.XLOOKUP(Table1[[#This Row],[ID]], Table2[ID], Table2[Enrollment], "Not Found", 0)</f>
        <v>2/25/2019</v>
      </c>
      <c r="T878" t="s">
        <v>434</v>
      </c>
    </row>
    <row r="879" spans="1:20" x14ac:dyDescent="0.3">
      <c r="A879">
        <v>2958</v>
      </c>
      <c r="B879">
        <v>158646</v>
      </c>
      <c r="C879">
        <v>0</v>
      </c>
      <c r="D879">
        <v>1</v>
      </c>
      <c r="E879">
        <v>58</v>
      </c>
      <c r="F879">
        <v>0</v>
      </c>
      <c r="G879">
        <v>1</v>
      </c>
      <c r="H879">
        <v>0</v>
      </c>
      <c r="I879">
        <v>0</v>
      </c>
      <c r="J879">
        <v>0</v>
      </c>
      <c r="K879">
        <v>0</v>
      </c>
      <c r="L879">
        <v>0</v>
      </c>
      <c r="M879">
        <v>1</v>
      </c>
      <c r="N879">
        <v>0</v>
      </c>
      <c r="O879" t="str" cm="1">
        <f t="array" ref="O879">_xlfn.IFS(Table1[[#This Row],[Divorced]]=1, "Divorced", Table1[[#This Row],[Married]]=1, "Married", Table1[[#This Row],[Single]]=1, "Single", Table1[[#This Row],[Together]]=1, "Together", Table1[[#This Row],[Widow]]=1, "Widow")</f>
        <v>Married</v>
      </c>
      <c r="P879" t="str" cm="1">
        <f t="array" ref="P879">_xlfn.IFS(Table1[[#This Row],[Basic]]=1, "Basic", Table1[[#This Row],[Graduate]]=1, "Graduate", Table1[[#This Row],[Master]]=1, "Master", Table1[[#This Row],[PhD]]=1, "PhD", AND(Table1[[#This Row],[Basic]]=0, Table1[[#This Row],[Graduate]]=0, Table1[[#This Row],[Master]]=0, Table1[[#This Row],[PhD]]=0), "NA")</f>
        <v>Master</v>
      </c>
      <c r="Q879" t="e">
        <f>_xlfn.XLOOKUP(Table1[[#This Row],[ID]], Table2[ID],#REF!, "Not Found", 0)</f>
        <v>#REF!</v>
      </c>
      <c r="R879" t="e">
        <f>_xlfn.XLOOKUP(Table1[[#This Row],[ID]], Table2[ID],#REF!, "Not Found", 0)</f>
        <v>#REF!</v>
      </c>
      <c r="S879" s="3" t="str">
        <f>_xlfn.XLOOKUP(Table1[[#This Row],[ID]], Table2[ID], Table2[Enrollment], "Not Found", 0)</f>
        <v>11/15/2019</v>
      </c>
      <c r="T879" t="s">
        <v>436</v>
      </c>
    </row>
    <row r="880" spans="1:20" x14ac:dyDescent="0.3">
      <c r="A880">
        <v>3075</v>
      </c>
      <c r="B880">
        <v>158646</v>
      </c>
      <c r="C880">
        <v>0</v>
      </c>
      <c r="D880">
        <v>1</v>
      </c>
      <c r="E880">
        <v>58</v>
      </c>
      <c r="F880">
        <v>0</v>
      </c>
      <c r="G880">
        <v>1</v>
      </c>
      <c r="H880">
        <v>0</v>
      </c>
      <c r="I880">
        <v>0</v>
      </c>
      <c r="J880">
        <v>0</v>
      </c>
      <c r="K880">
        <v>0</v>
      </c>
      <c r="L880">
        <v>0</v>
      </c>
      <c r="M880">
        <v>1</v>
      </c>
      <c r="N880">
        <v>0</v>
      </c>
      <c r="O880" t="str" cm="1">
        <f t="array" ref="O880">_xlfn.IFS(Table1[[#This Row],[Divorced]]=1, "Divorced", Table1[[#This Row],[Married]]=1, "Married", Table1[[#This Row],[Single]]=1, "Single", Table1[[#This Row],[Together]]=1, "Together", Table1[[#This Row],[Widow]]=1, "Widow")</f>
        <v>Married</v>
      </c>
      <c r="P880" t="str" cm="1">
        <f t="array" ref="P880">_xlfn.IFS(Table1[[#This Row],[Basic]]=1, "Basic", Table1[[#This Row],[Graduate]]=1, "Graduate", Table1[[#This Row],[Master]]=1, "Master", Table1[[#This Row],[PhD]]=1, "PhD", AND(Table1[[#This Row],[Basic]]=0, Table1[[#This Row],[Graduate]]=0, Table1[[#This Row],[Master]]=0, Table1[[#This Row],[PhD]]=0), "NA")</f>
        <v>Master</v>
      </c>
      <c r="Q880" t="e">
        <f>_xlfn.XLOOKUP(Table1[[#This Row],[ID]], Table2[ID],#REF!, "Not Found", 0)</f>
        <v>#REF!</v>
      </c>
      <c r="R880" t="e">
        <f>_xlfn.XLOOKUP(Table1[[#This Row],[ID]], Table2[ID],#REF!, "Not Found", 0)</f>
        <v>#REF!</v>
      </c>
      <c r="S880" s="3" t="str">
        <f>_xlfn.XLOOKUP(Table1[[#This Row],[ID]], Table2[ID], Table2[Enrollment], "Not Found", 0)</f>
        <v>11/15/2019</v>
      </c>
      <c r="T880" t="s">
        <v>435</v>
      </c>
    </row>
    <row r="881" spans="1:20" x14ac:dyDescent="0.3">
      <c r="A881">
        <v>1022</v>
      </c>
      <c r="B881">
        <v>158607</v>
      </c>
      <c r="C881">
        <v>0</v>
      </c>
      <c r="D881">
        <v>1</v>
      </c>
      <c r="E881">
        <v>71</v>
      </c>
      <c r="F881">
        <v>0</v>
      </c>
      <c r="G881">
        <v>1</v>
      </c>
      <c r="H881">
        <v>0</v>
      </c>
      <c r="I881">
        <v>0</v>
      </c>
      <c r="J881">
        <v>0</v>
      </c>
      <c r="K881">
        <v>0</v>
      </c>
      <c r="L881">
        <v>0</v>
      </c>
      <c r="M881">
        <v>0</v>
      </c>
      <c r="N881">
        <v>1</v>
      </c>
      <c r="O881" t="str" cm="1">
        <f t="array" ref="O881">_xlfn.IFS(Table1[[#This Row],[Divorced]]=1, "Divorced", Table1[[#This Row],[Married]]=1, "Married", Table1[[#This Row],[Single]]=1, "Single", Table1[[#This Row],[Together]]=1, "Together", Table1[[#This Row],[Widow]]=1, "Widow")</f>
        <v>Married</v>
      </c>
      <c r="P881" t="str" cm="1">
        <f t="array" ref="P881">_xlfn.IFS(Table1[[#This Row],[Basic]]=1, "Basic", Table1[[#This Row],[Graduate]]=1, "Graduate", Table1[[#This Row],[Master]]=1, "Master", Table1[[#This Row],[PhD]]=1, "PhD", AND(Table1[[#This Row],[Basic]]=0, Table1[[#This Row],[Graduate]]=0, Table1[[#This Row],[Master]]=0, Table1[[#This Row],[PhD]]=0), "NA")</f>
        <v>PhD</v>
      </c>
      <c r="Q881" t="e">
        <f>_xlfn.XLOOKUP(Table1[[#This Row],[ID]], Table2[ID],#REF!, "Not Found", 0)</f>
        <v>#REF!</v>
      </c>
      <c r="R881" t="e">
        <f>_xlfn.XLOOKUP(Table1[[#This Row],[ID]], Table2[ID],#REF!, "Not Found", 0)</f>
        <v>#REF!</v>
      </c>
      <c r="S881" s="3" t="str">
        <f>_xlfn.XLOOKUP(Table1[[#This Row],[ID]], Table2[ID], Table2[Enrollment], "Not Found", 0)</f>
        <v>5/30/2019</v>
      </c>
      <c r="T881" t="s">
        <v>438</v>
      </c>
    </row>
    <row r="882" spans="1:20" x14ac:dyDescent="0.3">
      <c r="A882">
        <v>2501</v>
      </c>
      <c r="B882">
        <v>158597</v>
      </c>
      <c r="C882">
        <v>1</v>
      </c>
      <c r="D882">
        <v>1</v>
      </c>
      <c r="E882">
        <v>44</v>
      </c>
      <c r="F882">
        <v>0</v>
      </c>
      <c r="G882">
        <v>1</v>
      </c>
      <c r="H882">
        <v>0</v>
      </c>
      <c r="I882">
        <v>0</v>
      </c>
      <c r="J882">
        <v>0</v>
      </c>
      <c r="K882">
        <v>0</v>
      </c>
      <c r="L882">
        <v>1</v>
      </c>
      <c r="M882">
        <v>0</v>
      </c>
      <c r="N882">
        <v>0</v>
      </c>
      <c r="O882" t="str" cm="1">
        <f t="array" ref="O882">_xlfn.IFS(Table1[[#This Row],[Divorced]]=1, "Divorced", Table1[[#This Row],[Married]]=1, "Married", Table1[[#This Row],[Single]]=1, "Single", Table1[[#This Row],[Together]]=1, "Together", Table1[[#This Row],[Widow]]=1, "Widow")</f>
        <v>Married</v>
      </c>
      <c r="P882" t="str" cm="1">
        <f t="array" ref="P882">_xlfn.IFS(Table1[[#This Row],[Basic]]=1, "Basic", Table1[[#This Row],[Graduate]]=1, "Graduate", Table1[[#This Row],[Master]]=1, "Master", Table1[[#This Row],[PhD]]=1, "PhD", AND(Table1[[#This Row],[Basic]]=0, Table1[[#This Row],[Graduate]]=0, Table1[[#This Row],[Master]]=0, Table1[[#This Row],[PhD]]=0), "NA")</f>
        <v>Graduate</v>
      </c>
      <c r="Q882" t="e">
        <f>_xlfn.XLOOKUP(Table1[[#This Row],[ID]], Table2[ID],#REF!, "Not Found", 0)</f>
        <v>#REF!</v>
      </c>
      <c r="R882" t="e">
        <f>_xlfn.XLOOKUP(Table1[[#This Row],[ID]], Table2[ID],#REF!, "Not Found", 0)</f>
        <v>#REF!</v>
      </c>
      <c r="S882" s="3" t="str">
        <f>_xlfn.XLOOKUP(Table1[[#This Row],[ID]], Table2[ID], Table2[Enrollment], "Not Found", 0)</f>
        <v>4/27/2019</v>
      </c>
      <c r="T882" t="s">
        <v>434</v>
      </c>
    </row>
    <row r="883" spans="1:20" x14ac:dyDescent="0.3">
      <c r="A883">
        <v>2791</v>
      </c>
      <c r="B883">
        <v>158582</v>
      </c>
      <c r="C883">
        <v>0</v>
      </c>
      <c r="D883">
        <v>1</v>
      </c>
      <c r="E883">
        <v>38</v>
      </c>
      <c r="F883">
        <v>0</v>
      </c>
      <c r="G883">
        <v>0</v>
      </c>
      <c r="H883">
        <v>0</v>
      </c>
      <c r="I883">
        <v>1</v>
      </c>
      <c r="J883">
        <v>0</v>
      </c>
      <c r="K883">
        <v>0</v>
      </c>
      <c r="L883">
        <v>0</v>
      </c>
      <c r="M883">
        <v>0</v>
      </c>
      <c r="N883">
        <v>0</v>
      </c>
      <c r="O883" t="str" cm="1">
        <f t="array" ref="O883">_xlfn.IFS(Table1[[#This Row],[Divorced]]=1, "Divorced", Table1[[#This Row],[Married]]=1, "Married", Table1[[#This Row],[Single]]=1, "Single", Table1[[#This Row],[Together]]=1, "Together", Table1[[#This Row],[Widow]]=1, "Widow")</f>
        <v>Together</v>
      </c>
      <c r="P883" t="str" cm="1">
        <f t="array" ref="P883">_xlfn.IFS(Table1[[#This Row],[Basic]]=1, "Basic", Table1[[#This Row],[Graduate]]=1, "Graduate", Table1[[#This Row],[Master]]=1, "Master", Table1[[#This Row],[PhD]]=1, "PhD", AND(Table1[[#This Row],[Basic]]=0, Table1[[#This Row],[Graduate]]=0, Table1[[#This Row],[Master]]=0, Table1[[#This Row],[PhD]]=0), "NA")</f>
        <v>NA</v>
      </c>
      <c r="Q883" t="e">
        <f>_xlfn.XLOOKUP(Table1[[#This Row],[ID]], Table2[ID],#REF!, "Not Found", 0)</f>
        <v>#REF!</v>
      </c>
      <c r="R883" t="e">
        <f>_xlfn.XLOOKUP(Table1[[#This Row],[ID]], Table2[ID],#REF!, "Not Found", 0)</f>
        <v>#REF!</v>
      </c>
      <c r="S883" s="3">
        <f>_xlfn.XLOOKUP(Table1[[#This Row],[ID]], Table2[ID], Table2[Enrollment], "Not Found", 0)</f>
        <v>43924</v>
      </c>
      <c r="T883" t="s">
        <v>437</v>
      </c>
    </row>
    <row r="884" spans="1:20" x14ac:dyDescent="0.3">
      <c r="A884">
        <v>2340</v>
      </c>
      <c r="B884">
        <v>158554</v>
      </c>
      <c r="C884">
        <v>1</v>
      </c>
      <c r="D884">
        <v>1</v>
      </c>
      <c r="E884">
        <v>52</v>
      </c>
      <c r="F884">
        <v>0</v>
      </c>
      <c r="G884">
        <v>0</v>
      </c>
      <c r="H884">
        <v>0</v>
      </c>
      <c r="I884">
        <v>1</v>
      </c>
      <c r="J884">
        <v>0</v>
      </c>
      <c r="K884">
        <v>0</v>
      </c>
      <c r="L884">
        <v>1</v>
      </c>
      <c r="M884">
        <v>0</v>
      </c>
      <c r="N884">
        <v>0</v>
      </c>
      <c r="O884" t="str" cm="1">
        <f t="array" ref="O884">_xlfn.IFS(Table1[[#This Row],[Divorced]]=1, "Divorced", Table1[[#This Row],[Married]]=1, "Married", Table1[[#This Row],[Single]]=1, "Single", Table1[[#This Row],[Together]]=1, "Together", Table1[[#This Row],[Widow]]=1, "Widow")</f>
        <v>Together</v>
      </c>
      <c r="P884" t="str" cm="1">
        <f t="array" ref="P884">_xlfn.IFS(Table1[[#This Row],[Basic]]=1, "Basic", Table1[[#This Row],[Graduate]]=1, "Graduate", Table1[[#This Row],[Master]]=1, "Master", Table1[[#This Row],[PhD]]=1, "PhD", AND(Table1[[#This Row],[Basic]]=0, Table1[[#This Row],[Graduate]]=0, Table1[[#This Row],[Master]]=0, Table1[[#This Row],[PhD]]=0), "NA")</f>
        <v>Graduate</v>
      </c>
      <c r="Q884" t="e">
        <f>_xlfn.XLOOKUP(Table1[[#This Row],[ID]], Table2[ID],#REF!, "Not Found", 0)</f>
        <v>#REF!</v>
      </c>
      <c r="R884" t="e">
        <f>_xlfn.XLOOKUP(Table1[[#This Row],[ID]], Table2[ID],#REF!, "Not Found", 0)</f>
        <v>#REF!</v>
      </c>
      <c r="S884" s="3">
        <f>_xlfn.XLOOKUP(Table1[[#This Row],[ID]], Table2[ID], Table2[Enrollment], "Not Found", 0)</f>
        <v>43527</v>
      </c>
      <c r="T884" t="s">
        <v>436</v>
      </c>
    </row>
    <row r="885" spans="1:20" x14ac:dyDescent="0.3">
      <c r="A885">
        <v>3193</v>
      </c>
      <c r="B885">
        <v>158554</v>
      </c>
      <c r="C885">
        <v>1</v>
      </c>
      <c r="D885">
        <v>1</v>
      </c>
      <c r="E885">
        <v>52</v>
      </c>
      <c r="F885">
        <v>0</v>
      </c>
      <c r="G885">
        <v>0</v>
      </c>
      <c r="H885">
        <v>0</v>
      </c>
      <c r="I885">
        <v>1</v>
      </c>
      <c r="J885">
        <v>0</v>
      </c>
      <c r="K885">
        <v>0</v>
      </c>
      <c r="L885">
        <v>1</v>
      </c>
      <c r="M885">
        <v>0</v>
      </c>
      <c r="N885">
        <v>0</v>
      </c>
      <c r="O885" t="str" cm="1">
        <f t="array" ref="O885">_xlfn.IFS(Table1[[#This Row],[Divorced]]=1, "Divorced", Table1[[#This Row],[Married]]=1, "Married", Table1[[#This Row],[Single]]=1, "Single", Table1[[#This Row],[Together]]=1, "Together", Table1[[#This Row],[Widow]]=1, "Widow")</f>
        <v>Together</v>
      </c>
      <c r="P885" t="str" cm="1">
        <f t="array" ref="P885">_xlfn.IFS(Table1[[#This Row],[Basic]]=1, "Basic", Table1[[#This Row],[Graduate]]=1, "Graduate", Table1[[#This Row],[Master]]=1, "Master", Table1[[#This Row],[PhD]]=1, "PhD", AND(Table1[[#This Row],[Basic]]=0, Table1[[#This Row],[Graduate]]=0, Table1[[#This Row],[Master]]=0, Table1[[#This Row],[PhD]]=0), "NA")</f>
        <v>Graduate</v>
      </c>
      <c r="Q885" t="e">
        <f>_xlfn.XLOOKUP(Table1[[#This Row],[ID]], Table2[ID],#REF!, "Not Found", 0)</f>
        <v>#REF!</v>
      </c>
      <c r="R885" t="e">
        <f>_xlfn.XLOOKUP(Table1[[#This Row],[ID]], Table2[ID],#REF!, "Not Found", 0)</f>
        <v>#REF!</v>
      </c>
      <c r="S885" s="3">
        <f>_xlfn.XLOOKUP(Table1[[#This Row],[ID]], Table2[ID], Table2[Enrollment], "Not Found", 0)</f>
        <v>43527</v>
      </c>
      <c r="T885" t="s">
        <v>437</v>
      </c>
    </row>
    <row r="886" spans="1:20" x14ac:dyDescent="0.3">
      <c r="A886">
        <v>1738</v>
      </c>
      <c r="B886">
        <v>158512</v>
      </c>
      <c r="C886">
        <v>0</v>
      </c>
      <c r="D886">
        <v>1</v>
      </c>
      <c r="E886">
        <v>56</v>
      </c>
      <c r="F886">
        <v>0</v>
      </c>
      <c r="G886">
        <v>1</v>
      </c>
      <c r="H886">
        <v>0</v>
      </c>
      <c r="I886">
        <v>0</v>
      </c>
      <c r="J886">
        <v>0</v>
      </c>
      <c r="K886">
        <v>0</v>
      </c>
      <c r="L886">
        <v>1</v>
      </c>
      <c r="M886">
        <v>0</v>
      </c>
      <c r="N886">
        <v>0</v>
      </c>
      <c r="O886" t="str" cm="1">
        <f t="array" ref="O886">_xlfn.IFS(Table1[[#This Row],[Divorced]]=1, "Divorced", Table1[[#This Row],[Married]]=1, "Married", Table1[[#This Row],[Single]]=1, "Single", Table1[[#This Row],[Together]]=1, "Together", Table1[[#This Row],[Widow]]=1, "Widow")</f>
        <v>Married</v>
      </c>
      <c r="P886" t="str" cm="1">
        <f t="array" ref="P886">_xlfn.IFS(Table1[[#This Row],[Basic]]=1, "Basic", Table1[[#This Row],[Graduate]]=1, "Graduate", Table1[[#This Row],[Master]]=1, "Master", Table1[[#This Row],[PhD]]=1, "PhD", AND(Table1[[#This Row],[Basic]]=0, Table1[[#This Row],[Graduate]]=0, Table1[[#This Row],[Master]]=0, Table1[[#This Row],[PhD]]=0), "NA")</f>
        <v>Graduate</v>
      </c>
      <c r="Q886" t="e">
        <f>_xlfn.XLOOKUP(Table1[[#This Row],[ID]], Table2[ID],#REF!, "Not Found", 0)</f>
        <v>#REF!</v>
      </c>
      <c r="R886" t="e">
        <f>_xlfn.XLOOKUP(Table1[[#This Row],[ID]], Table2[ID],#REF!, "Not Found", 0)</f>
        <v>#REF!</v>
      </c>
      <c r="S886" s="3" t="str">
        <f>_xlfn.XLOOKUP(Table1[[#This Row],[ID]], Table2[ID], Table2[Enrollment], "Not Found", 0)</f>
        <v>2/24/2020</v>
      </c>
      <c r="T886" t="s">
        <v>439</v>
      </c>
    </row>
    <row r="887" spans="1:20" x14ac:dyDescent="0.3">
      <c r="A887">
        <v>2622</v>
      </c>
      <c r="B887">
        <v>158494</v>
      </c>
      <c r="C887">
        <v>0</v>
      </c>
      <c r="D887">
        <v>1</v>
      </c>
      <c r="E887">
        <v>46</v>
      </c>
      <c r="F887">
        <v>0</v>
      </c>
      <c r="G887">
        <v>1</v>
      </c>
      <c r="H887">
        <v>0</v>
      </c>
      <c r="I887">
        <v>0</v>
      </c>
      <c r="J887">
        <v>0</v>
      </c>
      <c r="K887">
        <v>0</v>
      </c>
      <c r="L887">
        <v>0</v>
      </c>
      <c r="M887">
        <v>1</v>
      </c>
      <c r="N887">
        <v>0</v>
      </c>
      <c r="O887" t="str" cm="1">
        <f t="array" ref="O887">_xlfn.IFS(Table1[[#This Row],[Divorced]]=1, "Divorced", Table1[[#This Row],[Married]]=1, "Married", Table1[[#This Row],[Single]]=1, "Single", Table1[[#This Row],[Together]]=1, "Together", Table1[[#This Row],[Widow]]=1, "Widow")</f>
        <v>Married</v>
      </c>
      <c r="P887" t="str" cm="1">
        <f t="array" ref="P887">_xlfn.IFS(Table1[[#This Row],[Basic]]=1, "Basic", Table1[[#This Row],[Graduate]]=1, "Graduate", Table1[[#This Row],[Master]]=1, "Master", Table1[[#This Row],[PhD]]=1, "PhD", AND(Table1[[#This Row],[Basic]]=0, Table1[[#This Row],[Graduate]]=0, Table1[[#This Row],[Master]]=0, Table1[[#This Row],[PhD]]=0), "NA")</f>
        <v>Master</v>
      </c>
      <c r="Q887" t="e">
        <f>_xlfn.XLOOKUP(Table1[[#This Row],[ID]], Table2[ID],#REF!, "Not Found", 0)</f>
        <v>#REF!</v>
      </c>
      <c r="R887" t="e">
        <f>_xlfn.XLOOKUP(Table1[[#This Row],[ID]], Table2[ID],#REF!, "Not Found", 0)</f>
        <v>#REF!</v>
      </c>
      <c r="S887" s="3" t="str">
        <f>_xlfn.XLOOKUP(Table1[[#This Row],[ID]], Table2[ID], Table2[Enrollment], "Not Found", 0)</f>
        <v>5/18/2020</v>
      </c>
      <c r="T887" t="s">
        <v>436</v>
      </c>
    </row>
    <row r="888" spans="1:20" x14ac:dyDescent="0.3">
      <c r="A888">
        <v>3126</v>
      </c>
      <c r="B888">
        <v>158482</v>
      </c>
      <c r="C888">
        <v>0</v>
      </c>
      <c r="D888">
        <v>1</v>
      </c>
      <c r="E888">
        <v>65</v>
      </c>
      <c r="F888">
        <v>0</v>
      </c>
      <c r="G888">
        <v>1</v>
      </c>
      <c r="H888">
        <v>0</v>
      </c>
      <c r="I888">
        <v>0</v>
      </c>
      <c r="J888">
        <v>0</v>
      </c>
      <c r="K888">
        <v>0</v>
      </c>
      <c r="L888">
        <v>0</v>
      </c>
      <c r="M888">
        <v>0</v>
      </c>
      <c r="N888">
        <v>1</v>
      </c>
      <c r="O888" t="str" cm="1">
        <f t="array" ref="O888">_xlfn.IFS(Table1[[#This Row],[Divorced]]=1, "Divorced", Table1[[#This Row],[Married]]=1, "Married", Table1[[#This Row],[Single]]=1, "Single", Table1[[#This Row],[Together]]=1, "Together", Table1[[#This Row],[Widow]]=1, "Widow")</f>
        <v>Married</v>
      </c>
      <c r="P888" t="str" cm="1">
        <f t="array" ref="P888">_xlfn.IFS(Table1[[#This Row],[Basic]]=1, "Basic", Table1[[#This Row],[Graduate]]=1, "Graduate", Table1[[#This Row],[Master]]=1, "Master", Table1[[#This Row],[PhD]]=1, "PhD", AND(Table1[[#This Row],[Basic]]=0, Table1[[#This Row],[Graduate]]=0, Table1[[#This Row],[Master]]=0, Table1[[#This Row],[PhD]]=0), "NA")</f>
        <v>PhD</v>
      </c>
      <c r="Q888" t="e">
        <f>_xlfn.XLOOKUP(Table1[[#This Row],[ID]], Table2[ID],#REF!, "Not Found", 0)</f>
        <v>#REF!</v>
      </c>
      <c r="R888" t="e">
        <f>_xlfn.XLOOKUP(Table1[[#This Row],[ID]], Table2[ID],#REF!, "Not Found", 0)</f>
        <v>#REF!</v>
      </c>
      <c r="S888" s="3" t="str">
        <f>_xlfn.XLOOKUP(Table1[[#This Row],[ID]], Table2[ID], Table2[Enrollment], "Not Found", 0)</f>
        <v>8/16/2020</v>
      </c>
      <c r="T888" t="s">
        <v>436</v>
      </c>
    </row>
    <row r="889" spans="1:20" x14ac:dyDescent="0.3">
      <c r="A889">
        <v>3210</v>
      </c>
      <c r="B889">
        <v>158424</v>
      </c>
      <c r="C889">
        <v>0</v>
      </c>
      <c r="D889">
        <v>1</v>
      </c>
      <c r="E889">
        <v>58</v>
      </c>
      <c r="F889">
        <v>0</v>
      </c>
      <c r="G889">
        <v>0</v>
      </c>
      <c r="H889">
        <v>1</v>
      </c>
      <c r="I889">
        <v>0</v>
      </c>
      <c r="J889">
        <v>0</v>
      </c>
      <c r="K889">
        <v>0</v>
      </c>
      <c r="L889">
        <v>1</v>
      </c>
      <c r="M889">
        <v>0</v>
      </c>
      <c r="N889">
        <v>0</v>
      </c>
      <c r="O889" t="str" cm="1">
        <f t="array" ref="O889">_xlfn.IFS(Table1[[#This Row],[Divorced]]=1, "Divorced", Table1[[#This Row],[Married]]=1, "Married", Table1[[#This Row],[Single]]=1, "Single", Table1[[#This Row],[Together]]=1, "Together", Table1[[#This Row],[Widow]]=1, "Widow")</f>
        <v>Single</v>
      </c>
      <c r="P889" t="str" cm="1">
        <f t="array" ref="P889">_xlfn.IFS(Table1[[#This Row],[Basic]]=1, "Basic", Table1[[#This Row],[Graduate]]=1, "Graduate", Table1[[#This Row],[Master]]=1, "Master", Table1[[#This Row],[PhD]]=1, "PhD", AND(Table1[[#This Row],[Basic]]=0, Table1[[#This Row],[Graduate]]=0, Table1[[#This Row],[Master]]=0, Table1[[#This Row],[PhD]]=0), "NA")</f>
        <v>Graduate</v>
      </c>
      <c r="Q889" t="e">
        <f>_xlfn.XLOOKUP(Table1[[#This Row],[ID]], Table2[ID],#REF!, "Not Found", 0)</f>
        <v>#REF!</v>
      </c>
      <c r="R889" t="e">
        <f>_xlfn.XLOOKUP(Table1[[#This Row],[ID]], Table2[ID],#REF!, "Not Found", 0)</f>
        <v>#REF!</v>
      </c>
      <c r="S889" s="3">
        <f>_xlfn.XLOOKUP(Table1[[#This Row],[ID]], Table2[ID], Table2[Enrollment], "Not Found", 0)</f>
        <v>43685</v>
      </c>
      <c r="T889" t="s">
        <v>436</v>
      </c>
    </row>
    <row r="890" spans="1:20" x14ac:dyDescent="0.3">
      <c r="A890">
        <v>2173</v>
      </c>
      <c r="B890">
        <v>158401</v>
      </c>
      <c r="C890">
        <v>0</v>
      </c>
      <c r="D890">
        <v>1</v>
      </c>
      <c r="E890">
        <v>60</v>
      </c>
      <c r="F890">
        <v>1</v>
      </c>
      <c r="G890">
        <v>0</v>
      </c>
      <c r="H890">
        <v>0</v>
      </c>
      <c r="I890">
        <v>0</v>
      </c>
      <c r="J890">
        <v>0</v>
      </c>
      <c r="K890">
        <v>0</v>
      </c>
      <c r="L890">
        <v>1</v>
      </c>
      <c r="M890">
        <v>0</v>
      </c>
      <c r="N890">
        <v>0</v>
      </c>
      <c r="O890" t="str" cm="1">
        <f t="array" ref="O890">_xlfn.IFS(Table1[[#This Row],[Divorced]]=1, "Divorced", Table1[[#This Row],[Married]]=1, "Married", Table1[[#This Row],[Single]]=1, "Single", Table1[[#This Row],[Together]]=1, "Together", Table1[[#This Row],[Widow]]=1, "Widow")</f>
        <v>Divorced</v>
      </c>
      <c r="P890" t="str" cm="1">
        <f t="array" ref="P890">_xlfn.IFS(Table1[[#This Row],[Basic]]=1, "Basic", Table1[[#This Row],[Graduate]]=1, "Graduate", Table1[[#This Row],[Master]]=1, "Master", Table1[[#This Row],[PhD]]=1, "PhD", AND(Table1[[#This Row],[Basic]]=0, Table1[[#This Row],[Graduate]]=0, Table1[[#This Row],[Master]]=0, Table1[[#This Row],[PhD]]=0), "NA")</f>
        <v>Graduate</v>
      </c>
      <c r="Q890" t="e">
        <f>_xlfn.XLOOKUP(Table1[[#This Row],[ID]], Table2[ID],#REF!, "Not Found", 0)</f>
        <v>#REF!</v>
      </c>
      <c r="R890" t="e">
        <f>_xlfn.XLOOKUP(Table1[[#This Row],[ID]], Table2[ID],#REF!, "Not Found", 0)</f>
        <v>#REF!</v>
      </c>
      <c r="S890" s="3" t="str">
        <f>_xlfn.XLOOKUP(Table1[[#This Row],[ID]], Table2[ID], Table2[Enrollment], "Not Found", 0)</f>
        <v>9/24/2020</v>
      </c>
      <c r="T890" t="s">
        <v>437</v>
      </c>
    </row>
    <row r="891" spans="1:20" x14ac:dyDescent="0.3">
      <c r="A891">
        <v>1694</v>
      </c>
      <c r="B891">
        <v>158398</v>
      </c>
      <c r="C891">
        <v>0</v>
      </c>
      <c r="D891">
        <v>0</v>
      </c>
      <c r="E891">
        <v>67</v>
      </c>
      <c r="F891">
        <v>0</v>
      </c>
      <c r="G891">
        <v>0</v>
      </c>
      <c r="H891">
        <v>0</v>
      </c>
      <c r="I891">
        <v>1</v>
      </c>
      <c r="J891">
        <v>0</v>
      </c>
      <c r="K891">
        <v>0</v>
      </c>
      <c r="L891">
        <v>1</v>
      </c>
      <c r="M891">
        <v>0</v>
      </c>
      <c r="N891">
        <v>0</v>
      </c>
      <c r="O891" t="str" cm="1">
        <f t="array" ref="O891">_xlfn.IFS(Table1[[#This Row],[Divorced]]=1, "Divorced", Table1[[#This Row],[Married]]=1, "Married", Table1[[#This Row],[Single]]=1, "Single", Table1[[#This Row],[Together]]=1, "Together", Table1[[#This Row],[Widow]]=1, "Widow")</f>
        <v>Together</v>
      </c>
      <c r="P891" t="str" cm="1">
        <f t="array" ref="P891">_xlfn.IFS(Table1[[#This Row],[Basic]]=1, "Basic", Table1[[#This Row],[Graduate]]=1, "Graduate", Table1[[#This Row],[Master]]=1, "Master", Table1[[#This Row],[PhD]]=1, "PhD", AND(Table1[[#This Row],[Basic]]=0, Table1[[#This Row],[Graduate]]=0, Table1[[#This Row],[Master]]=0, Table1[[#This Row],[PhD]]=0), "NA")</f>
        <v>Graduate</v>
      </c>
      <c r="Q891" t="e">
        <f>_xlfn.XLOOKUP(Table1[[#This Row],[ID]], Table2[ID],#REF!, "Not Found", 0)</f>
        <v>#REF!</v>
      </c>
      <c r="R891" t="e">
        <f>_xlfn.XLOOKUP(Table1[[#This Row],[ID]], Table2[ID],#REF!, "Not Found", 0)</f>
        <v>#REF!</v>
      </c>
      <c r="S891" s="3" t="str">
        <f>_xlfn.XLOOKUP(Table1[[#This Row],[ID]], Table2[ID], Table2[Enrollment], "Not Found", 0)</f>
        <v>10/19/2019</v>
      </c>
      <c r="T891" t="s">
        <v>438</v>
      </c>
    </row>
    <row r="892" spans="1:20" x14ac:dyDescent="0.3">
      <c r="A892">
        <v>2663</v>
      </c>
      <c r="B892">
        <v>158350</v>
      </c>
      <c r="C892">
        <v>0</v>
      </c>
      <c r="D892">
        <v>1</v>
      </c>
      <c r="E892">
        <v>49</v>
      </c>
      <c r="F892">
        <v>0</v>
      </c>
      <c r="G892">
        <v>0</v>
      </c>
      <c r="H892">
        <v>1</v>
      </c>
      <c r="I892">
        <v>0</v>
      </c>
      <c r="J892">
        <v>0</v>
      </c>
      <c r="K892">
        <v>0</v>
      </c>
      <c r="L892">
        <v>1</v>
      </c>
      <c r="M892">
        <v>0</v>
      </c>
      <c r="N892">
        <v>0</v>
      </c>
      <c r="O892" t="str" cm="1">
        <f t="array" ref="O892">_xlfn.IFS(Table1[[#This Row],[Divorced]]=1, "Divorced", Table1[[#This Row],[Married]]=1, "Married", Table1[[#This Row],[Single]]=1, "Single", Table1[[#This Row],[Together]]=1, "Together", Table1[[#This Row],[Widow]]=1, "Widow")</f>
        <v>Single</v>
      </c>
      <c r="P892" t="str" cm="1">
        <f t="array" ref="P892">_xlfn.IFS(Table1[[#This Row],[Basic]]=1, "Basic", Table1[[#This Row],[Graduate]]=1, "Graduate", Table1[[#This Row],[Master]]=1, "Master", Table1[[#This Row],[PhD]]=1, "PhD", AND(Table1[[#This Row],[Basic]]=0, Table1[[#This Row],[Graduate]]=0, Table1[[#This Row],[Master]]=0, Table1[[#This Row],[PhD]]=0), "NA")</f>
        <v>Graduate</v>
      </c>
      <c r="Q892" t="e">
        <f>_xlfn.XLOOKUP(Table1[[#This Row],[ID]], Table2[ID],#REF!, "Not Found", 0)</f>
        <v>#REF!</v>
      </c>
      <c r="R892" t="e">
        <f>_xlfn.XLOOKUP(Table1[[#This Row],[ID]], Table2[ID],#REF!, "Not Found", 0)</f>
        <v>#REF!</v>
      </c>
      <c r="S892" s="3">
        <f>_xlfn.XLOOKUP(Table1[[#This Row],[ID]], Table2[ID], Table2[Enrollment], "Not Found", 0)</f>
        <v>43775</v>
      </c>
      <c r="T892" t="s">
        <v>434</v>
      </c>
    </row>
    <row r="893" spans="1:20" x14ac:dyDescent="0.3">
      <c r="A893">
        <v>1644</v>
      </c>
      <c r="B893">
        <v>158330</v>
      </c>
      <c r="C893">
        <v>0</v>
      </c>
      <c r="D893">
        <v>1</v>
      </c>
      <c r="E893">
        <v>45</v>
      </c>
      <c r="F893">
        <v>0</v>
      </c>
      <c r="G893">
        <v>0</v>
      </c>
      <c r="H893">
        <v>0</v>
      </c>
      <c r="I893">
        <v>0</v>
      </c>
      <c r="J893">
        <v>1</v>
      </c>
      <c r="K893">
        <v>0</v>
      </c>
      <c r="L893">
        <v>1</v>
      </c>
      <c r="M893">
        <v>0</v>
      </c>
      <c r="N893">
        <v>0</v>
      </c>
      <c r="O893" t="str" cm="1">
        <f t="array" ref="O893">_xlfn.IFS(Table1[[#This Row],[Divorced]]=1, "Divorced", Table1[[#This Row],[Married]]=1, "Married", Table1[[#This Row],[Single]]=1, "Single", Table1[[#This Row],[Together]]=1, "Together", Table1[[#This Row],[Widow]]=1, "Widow")</f>
        <v>Widow</v>
      </c>
      <c r="P893" t="str" cm="1">
        <f t="array" ref="P893">_xlfn.IFS(Table1[[#This Row],[Basic]]=1, "Basic", Table1[[#This Row],[Graduate]]=1, "Graduate", Table1[[#This Row],[Master]]=1, "Master", Table1[[#This Row],[PhD]]=1, "PhD", AND(Table1[[#This Row],[Basic]]=0, Table1[[#This Row],[Graduate]]=0, Table1[[#This Row],[Master]]=0, Table1[[#This Row],[PhD]]=0), "NA")</f>
        <v>Graduate</v>
      </c>
      <c r="Q893" t="e">
        <f>_xlfn.XLOOKUP(Table1[[#This Row],[ID]], Table2[ID],#REF!, "Not Found", 0)</f>
        <v>#REF!</v>
      </c>
      <c r="R893" t="e">
        <f>_xlfn.XLOOKUP(Table1[[#This Row],[ID]], Table2[ID],#REF!, "Not Found", 0)</f>
        <v>#REF!</v>
      </c>
      <c r="S893" s="3" t="str">
        <f>_xlfn.XLOOKUP(Table1[[#This Row],[ID]], Table2[ID], Table2[Enrollment], "Not Found", 0)</f>
        <v>5/31/2020</v>
      </c>
      <c r="T893" t="s">
        <v>436</v>
      </c>
    </row>
    <row r="894" spans="1:20" x14ac:dyDescent="0.3">
      <c r="A894">
        <v>1733</v>
      </c>
      <c r="B894">
        <v>158330</v>
      </c>
      <c r="C894">
        <v>0</v>
      </c>
      <c r="D894">
        <v>1</v>
      </c>
      <c r="E894">
        <v>45</v>
      </c>
      <c r="F894">
        <v>0</v>
      </c>
      <c r="G894">
        <v>0</v>
      </c>
      <c r="H894">
        <v>0</v>
      </c>
      <c r="I894">
        <v>0</v>
      </c>
      <c r="J894">
        <v>1</v>
      </c>
      <c r="K894">
        <v>0</v>
      </c>
      <c r="L894">
        <v>1</v>
      </c>
      <c r="M894">
        <v>0</v>
      </c>
      <c r="N894">
        <v>0</v>
      </c>
      <c r="O894" t="str" cm="1">
        <f t="array" ref="O894">_xlfn.IFS(Table1[[#This Row],[Divorced]]=1, "Divorced", Table1[[#This Row],[Married]]=1, "Married", Table1[[#This Row],[Single]]=1, "Single", Table1[[#This Row],[Together]]=1, "Together", Table1[[#This Row],[Widow]]=1, "Widow")</f>
        <v>Widow</v>
      </c>
      <c r="P894" t="str" cm="1">
        <f t="array" ref="P894">_xlfn.IFS(Table1[[#This Row],[Basic]]=1, "Basic", Table1[[#This Row],[Graduate]]=1, "Graduate", Table1[[#This Row],[Master]]=1, "Master", Table1[[#This Row],[PhD]]=1, "PhD", AND(Table1[[#This Row],[Basic]]=0, Table1[[#This Row],[Graduate]]=0, Table1[[#This Row],[Master]]=0, Table1[[#This Row],[PhD]]=0), "NA")</f>
        <v>Graduate</v>
      </c>
      <c r="Q894" t="e">
        <f>_xlfn.XLOOKUP(Table1[[#This Row],[ID]], Table2[ID],#REF!, "Not Found", 0)</f>
        <v>#REF!</v>
      </c>
      <c r="R894" t="e">
        <f>_xlfn.XLOOKUP(Table1[[#This Row],[ID]], Table2[ID],#REF!, "Not Found", 0)</f>
        <v>#REF!</v>
      </c>
      <c r="S894" s="3" t="str">
        <f>_xlfn.XLOOKUP(Table1[[#This Row],[ID]], Table2[ID], Table2[Enrollment], "Not Found", 0)</f>
        <v>5/31/2020</v>
      </c>
      <c r="T894" t="s">
        <v>434</v>
      </c>
    </row>
    <row r="895" spans="1:20" x14ac:dyDescent="0.3">
      <c r="A895">
        <v>1477</v>
      </c>
      <c r="B895">
        <v>158308</v>
      </c>
      <c r="C895">
        <v>0</v>
      </c>
      <c r="D895">
        <v>1</v>
      </c>
      <c r="E895">
        <v>56</v>
      </c>
      <c r="F895">
        <v>0</v>
      </c>
      <c r="G895">
        <v>0</v>
      </c>
      <c r="H895">
        <v>1</v>
      </c>
      <c r="I895">
        <v>0</v>
      </c>
      <c r="J895">
        <v>0</v>
      </c>
      <c r="K895">
        <v>0</v>
      </c>
      <c r="L895">
        <v>0</v>
      </c>
      <c r="M895">
        <v>1</v>
      </c>
      <c r="N895">
        <v>0</v>
      </c>
      <c r="O895" t="str" cm="1">
        <f t="array" ref="O895">_xlfn.IFS(Table1[[#This Row],[Divorced]]=1, "Divorced", Table1[[#This Row],[Married]]=1, "Married", Table1[[#This Row],[Single]]=1, "Single", Table1[[#This Row],[Together]]=1, "Together", Table1[[#This Row],[Widow]]=1, "Widow")</f>
        <v>Single</v>
      </c>
      <c r="P895" t="str" cm="1">
        <f t="array" ref="P895">_xlfn.IFS(Table1[[#This Row],[Basic]]=1, "Basic", Table1[[#This Row],[Graduate]]=1, "Graduate", Table1[[#This Row],[Master]]=1, "Master", Table1[[#This Row],[PhD]]=1, "PhD", AND(Table1[[#This Row],[Basic]]=0, Table1[[#This Row],[Graduate]]=0, Table1[[#This Row],[Master]]=0, Table1[[#This Row],[PhD]]=0), "NA")</f>
        <v>Master</v>
      </c>
      <c r="Q895" t="e">
        <f>_xlfn.XLOOKUP(Table1[[#This Row],[ID]], Table2[ID],#REF!, "Not Found", 0)</f>
        <v>#REF!</v>
      </c>
      <c r="R895" t="e">
        <f>_xlfn.XLOOKUP(Table1[[#This Row],[ID]], Table2[ID],#REF!, "Not Found", 0)</f>
        <v>#REF!</v>
      </c>
      <c r="S895" s="3" t="str">
        <f>_xlfn.XLOOKUP(Table1[[#This Row],[ID]], Table2[ID], Table2[Enrollment], "Not Found", 0)</f>
        <v>6/19/2019</v>
      </c>
      <c r="T895" t="s">
        <v>437</v>
      </c>
    </row>
    <row r="896" spans="1:20" x14ac:dyDescent="0.3">
      <c r="A896">
        <v>1005</v>
      </c>
      <c r="B896">
        <v>158293</v>
      </c>
      <c r="C896">
        <v>1</v>
      </c>
      <c r="D896">
        <v>0</v>
      </c>
      <c r="E896">
        <v>39</v>
      </c>
      <c r="F896">
        <v>0</v>
      </c>
      <c r="G896">
        <v>1</v>
      </c>
      <c r="H896">
        <v>0</v>
      </c>
      <c r="I896">
        <v>0</v>
      </c>
      <c r="J896">
        <v>0</v>
      </c>
      <c r="K896">
        <v>0</v>
      </c>
      <c r="L896">
        <v>0</v>
      </c>
      <c r="M896">
        <v>0</v>
      </c>
      <c r="N896">
        <v>1</v>
      </c>
      <c r="O896" t="str" cm="1">
        <f t="array" ref="O896">_xlfn.IFS(Table1[[#This Row],[Divorced]]=1, "Divorced", Table1[[#This Row],[Married]]=1, "Married", Table1[[#This Row],[Single]]=1, "Single", Table1[[#This Row],[Together]]=1, "Together", Table1[[#This Row],[Widow]]=1, "Widow")</f>
        <v>Married</v>
      </c>
      <c r="P896" t="str" cm="1">
        <f t="array" ref="P896">_xlfn.IFS(Table1[[#This Row],[Basic]]=1, "Basic", Table1[[#This Row],[Graduate]]=1, "Graduate", Table1[[#This Row],[Master]]=1, "Master", Table1[[#This Row],[PhD]]=1, "PhD", AND(Table1[[#This Row],[Basic]]=0, Table1[[#This Row],[Graduate]]=0, Table1[[#This Row],[Master]]=0, Table1[[#This Row],[PhD]]=0), "NA")</f>
        <v>PhD</v>
      </c>
      <c r="Q896" t="e">
        <f>_xlfn.XLOOKUP(Table1[[#This Row],[ID]], Table2[ID],#REF!, "Not Found", 0)</f>
        <v>#REF!</v>
      </c>
      <c r="R896" t="e">
        <f>_xlfn.XLOOKUP(Table1[[#This Row],[ID]], Table2[ID],#REF!, "Not Found", 0)</f>
        <v>#REF!</v>
      </c>
      <c r="S896" s="3" t="str">
        <f>_xlfn.XLOOKUP(Table1[[#This Row],[ID]], Table2[ID], Table2[Enrollment], "Not Found", 0)</f>
        <v>6/25/2020</v>
      </c>
      <c r="T896" t="s">
        <v>435</v>
      </c>
    </row>
    <row r="897" spans="1:20" x14ac:dyDescent="0.3">
      <c r="A897">
        <v>3079</v>
      </c>
      <c r="B897">
        <v>158275</v>
      </c>
      <c r="C897">
        <v>1</v>
      </c>
      <c r="D897">
        <v>1</v>
      </c>
      <c r="E897">
        <v>65</v>
      </c>
      <c r="F897">
        <v>0</v>
      </c>
      <c r="G897">
        <v>0</v>
      </c>
      <c r="H897">
        <v>0</v>
      </c>
      <c r="I897">
        <v>0</v>
      </c>
      <c r="J897">
        <v>1</v>
      </c>
      <c r="K897">
        <v>0</v>
      </c>
      <c r="L897">
        <v>1</v>
      </c>
      <c r="M897">
        <v>0</v>
      </c>
      <c r="N897">
        <v>0</v>
      </c>
      <c r="O897" t="str" cm="1">
        <f t="array" ref="O897">_xlfn.IFS(Table1[[#This Row],[Divorced]]=1, "Divorced", Table1[[#This Row],[Married]]=1, "Married", Table1[[#This Row],[Single]]=1, "Single", Table1[[#This Row],[Together]]=1, "Together", Table1[[#This Row],[Widow]]=1, "Widow")</f>
        <v>Widow</v>
      </c>
      <c r="P897" t="str" cm="1">
        <f t="array" ref="P897">_xlfn.IFS(Table1[[#This Row],[Basic]]=1, "Basic", Table1[[#This Row],[Graduate]]=1, "Graduate", Table1[[#This Row],[Master]]=1, "Master", Table1[[#This Row],[PhD]]=1, "PhD", AND(Table1[[#This Row],[Basic]]=0, Table1[[#This Row],[Graduate]]=0, Table1[[#This Row],[Master]]=0, Table1[[#This Row],[PhD]]=0), "NA")</f>
        <v>Graduate</v>
      </c>
      <c r="Q897" t="e">
        <f>_xlfn.XLOOKUP(Table1[[#This Row],[ID]], Table2[ID],#REF!, "Not Found", 0)</f>
        <v>#REF!</v>
      </c>
      <c r="R897" t="e">
        <f>_xlfn.XLOOKUP(Table1[[#This Row],[ID]], Table2[ID],#REF!, "Not Found", 0)</f>
        <v>#REF!</v>
      </c>
      <c r="S897" s="3">
        <f>_xlfn.XLOOKUP(Table1[[#This Row],[ID]], Table2[ID], Table2[Enrollment], "Not Found", 0)</f>
        <v>43657</v>
      </c>
      <c r="T897" t="s">
        <v>437</v>
      </c>
    </row>
    <row r="898" spans="1:20" x14ac:dyDescent="0.3">
      <c r="A898">
        <v>2831</v>
      </c>
      <c r="B898">
        <v>158217</v>
      </c>
      <c r="C898">
        <v>2</v>
      </c>
      <c r="D898">
        <v>1</v>
      </c>
      <c r="E898">
        <v>69</v>
      </c>
      <c r="F898">
        <v>0</v>
      </c>
      <c r="G898">
        <v>0</v>
      </c>
      <c r="H898">
        <v>1</v>
      </c>
      <c r="I898">
        <v>0</v>
      </c>
      <c r="J898">
        <v>0</v>
      </c>
      <c r="K898">
        <v>0</v>
      </c>
      <c r="L898">
        <v>0</v>
      </c>
      <c r="M898">
        <v>1</v>
      </c>
      <c r="N898">
        <v>0</v>
      </c>
      <c r="O898" t="str" cm="1">
        <f t="array" ref="O898">_xlfn.IFS(Table1[[#This Row],[Divorced]]=1, "Divorced", Table1[[#This Row],[Married]]=1, "Married", Table1[[#This Row],[Single]]=1, "Single", Table1[[#This Row],[Together]]=1, "Together", Table1[[#This Row],[Widow]]=1, "Widow")</f>
        <v>Single</v>
      </c>
      <c r="P898" t="str" cm="1">
        <f t="array" ref="P898">_xlfn.IFS(Table1[[#This Row],[Basic]]=1, "Basic", Table1[[#This Row],[Graduate]]=1, "Graduate", Table1[[#This Row],[Master]]=1, "Master", Table1[[#This Row],[PhD]]=1, "PhD", AND(Table1[[#This Row],[Basic]]=0, Table1[[#This Row],[Graduate]]=0, Table1[[#This Row],[Master]]=0, Table1[[#This Row],[PhD]]=0), "NA")</f>
        <v>Master</v>
      </c>
      <c r="Q898" t="e">
        <f>_xlfn.XLOOKUP(Table1[[#This Row],[ID]], Table2[ID],#REF!, "Not Found", 0)</f>
        <v>#REF!</v>
      </c>
      <c r="R898" t="e">
        <f>_xlfn.XLOOKUP(Table1[[#This Row],[ID]], Table2[ID],#REF!, "Not Found", 0)</f>
        <v>#REF!</v>
      </c>
      <c r="S898" s="3" t="str">
        <f>_xlfn.XLOOKUP(Table1[[#This Row],[ID]], Table2[ID], Table2[Enrollment], "Not Found", 0)</f>
        <v>4/24/2019</v>
      </c>
      <c r="T898" t="s">
        <v>434</v>
      </c>
    </row>
    <row r="899" spans="1:20" x14ac:dyDescent="0.3">
      <c r="A899">
        <v>1001</v>
      </c>
      <c r="B899">
        <v>158138</v>
      </c>
      <c r="C899">
        <v>0</v>
      </c>
      <c r="D899">
        <v>0</v>
      </c>
      <c r="E899">
        <v>63</v>
      </c>
      <c r="F899">
        <v>0</v>
      </c>
      <c r="G899">
        <v>0</v>
      </c>
      <c r="H899">
        <v>1</v>
      </c>
      <c r="I899">
        <v>0</v>
      </c>
      <c r="J899">
        <v>0</v>
      </c>
      <c r="K899">
        <v>0</v>
      </c>
      <c r="L899">
        <v>1</v>
      </c>
      <c r="M899">
        <v>0</v>
      </c>
      <c r="N899">
        <v>0</v>
      </c>
      <c r="O899" t="str" cm="1">
        <f t="array" ref="O899">_xlfn.IFS(Table1[[#This Row],[Divorced]]=1, "Divorced", Table1[[#This Row],[Married]]=1, "Married", Table1[[#This Row],[Single]]=1, "Single", Table1[[#This Row],[Together]]=1, "Together", Table1[[#This Row],[Widow]]=1, "Widow")</f>
        <v>Single</v>
      </c>
      <c r="P899" t="str" cm="1">
        <f t="array" ref="P899">_xlfn.IFS(Table1[[#This Row],[Basic]]=1, "Basic", Table1[[#This Row],[Graduate]]=1, "Graduate", Table1[[#This Row],[Master]]=1, "Master", Table1[[#This Row],[PhD]]=1, "PhD", AND(Table1[[#This Row],[Basic]]=0, Table1[[#This Row],[Graduate]]=0, Table1[[#This Row],[Master]]=0, Table1[[#This Row],[PhD]]=0), "NA")</f>
        <v>Graduate</v>
      </c>
      <c r="Q899" t="e">
        <f>_xlfn.XLOOKUP(Table1[[#This Row],[ID]], Table2[ID],#REF!, "Not Found", 0)</f>
        <v>#REF!</v>
      </c>
      <c r="R899" t="e">
        <f>_xlfn.XLOOKUP(Table1[[#This Row],[ID]], Table2[ID],#REF!, "Not Found", 0)</f>
        <v>#REF!</v>
      </c>
      <c r="S899" s="3">
        <f>_xlfn.XLOOKUP(Table1[[#This Row],[ID]], Table2[ID], Table2[Enrollment], "Not Found", 0)</f>
        <v>43710</v>
      </c>
      <c r="T899" t="s">
        <v>434</v>
      </c>
    </row>
    <row r="900" spans="1:20" x14ac:dyDescent="0.3">
      <c r="A900">
        <v>2964</v>
      </c>
      <c r="B900">
        <v>158116</v>
      </c>
      <c r="C900">
        <v>0</v>
      </c>
      <c r="D900">
        <v>1</v>
      </c>
      <c r="E900">
        <v>64</v>
      </c>
      <c r="F900">
        <v>0</v>
      </c>
      <c r="G900">
        <v>1</v>
      </c>
      <c r="H900">
        <v>0</v>
      </c>
      <c r="I900">
        <v>0</v>
      </c>
      <c r="J900">
        <v>0</v>
      </c>
      <c r="K900">
        <v>0</v>
      </c>
      <c r="L900">
        <v>1</v>
      </c>
      <c r="M900">
        <v>0</v>
      </c>
      <c r="N900">
        <v>0</v>
      </c>
      <c r="O900" t="str" cm="1">
        <f t="array" ref="O900">_xlfn.IFS(Table1[[#This Row],[Divorced]]=1, "Divorced", Table1[[#This Row],[Married]]=1, "Married", Table1[[#This Row],[Single]]=1, "Single", Table1[[#This Row],[Together]]=1, "Together", Table1[[#This Row],[Widow]]=1, "Widow")</f>
        <v>Married</v>
      </c>
      <c r="P900" t="str" cm="1">
        <f t="array" ref="P900">_xlfn.IFS(Table1[[#This Row],[Basic]]=1, "Basic", Table1[[#This Row],[Graduate]]=1, "Graduate", Table1[[#This Row],[Master]]=1, "Master", Table1[[#This Row],[PhD]]=1, "PhD", AND(Table1[[#This Row],[Basic]]=0, Table1[[#This Row],[Graduate]]=0, Table1[[#This Row],[Master]]=0, Table1[[#This Row],[PhD]]=0), "NA")</f>
        <v>Graduate</v>
      </c>
      <c r="Q900" t="e">
        <f>_xlfn.XLOOKUP(Table1[[#This Row],[ID]], Table2[ID],#REF!, "Not Found", 0)</f>
        <v>#REF!</v>
      </c>
      <c r="R900" t="e">
        <f>_xlfn.XLOOKUP(Table1[[#This Row],[ID]], Table2[ID],#REF!, "Not Found", 0)</f>
        <v>#REF!</v>
      </c>
      <c r="S900" s="3" t="str">
        <f>_xlfn.XLOOKUP(Table1[[#This Row],[ID]], Table2[ID], Table2[Enrollment], "Not Found", 0)</f>
        <v>9/17/2020</v>
      </c>
      <c r="T900" t="s">
        <v>436</v>
      </c>
    </row>
    <row r="901" spans="1:20" x14ac:dyDescent="0.3">
      <c r="A901">
        <v>2182</v>
      </c>
      <c r="B901">
        <v>158113</v>
      </c>
      <c r="C901">
        <v>0</v>
      </c>
      <c r="D901">
        <v>1</v>
      </c>
      <c r="E901">
        <v>61</v>
      </c>
      <c r="F901">
        <v>0</v>
      </c>
      <c r="G901">
        <v>1</v>
      </c>
      <c r="H901">
        <v>0</v>
      </c>
      <c r="I901">
        <v>0</v>
      </c>
      <c r="J901">
        <v>0</v>
      </c>
      <c r="K901">
        <v>0</v>
      </c>
      <c r="L901">
        <v>1</v>
      </c>
      <c r="M901">
        <v>0</v>
      </c>
      <c r="N901">
        <v>0</v>
      </c>
      <c r="O901" t="str" cm="1">
        <f t="array" ref="O901">_xlfn.IFS(Table1[[#This Row],[Divorced]]=1, "Divorced", Table1[[#This Row],[Married]]=1, "Married", Table1[[#This Row],[Single]]=1, "Single", Table1[[#This Row],[Together]]=1, "Together", Table1[[#This Row],[Widow]]=1, "Widow")</f>
        <v>Married</v>
      </c>
      <c r="P901" t="str" cm="1">
        <f t="array" ref="P901">_xlfn.IFS(Table1[[#This Row],[Basic]]=1, "Basic", Table1[[#This Row],[Graduate]]=1, "Graduate", Table1[[#This Row],[Master]]=1, "Master", Table1[[#This Row],[PhD]]=1, "PhD", AND(Table1[[#This Row],[Basic]]=0, Table1[[#This Row],[Graduate]]=0, Table1[[#This Row],[Master]]=0, Table1[[#This Row],[PhD]]=0), "NA")</f>
        <v>Graduate</v>
      </c>
      <c r="Q901" t="e">
        <f>_xlfn.XLOOKUP(Table1[[#This Row],[ID]], Table2[ID],#REF!, "Not Found", 0)</f>
        <v>#REF!</v>
      </c>
      <c r="R901" t="e">
        <f>_xlfn.XLOOKUP(Table1[[#This Row],[ID]], Table2[ID],#REF!, "Not Found", 0)</f>
        <v>#REF!</v>
      </c>
      <c r="S901" s="3">
        <f>_xlfn.XLOOKUP(Table1[[#This Row],[ID]], Table2[ID], Table2[Enrollment], "Not Found", 0)</f>
        <v>43503</v>
      </c>
      <c r="T901" t="s">
        <v>439</v>
      </c>
    </row>
    <row r="902" spans="1:20" x14ac:dyDescent="0.3">
      <c r="A902">
        <v>2719</v>
      </c>
      <c r="B902">
        <v>158086</v>
      </c>
      <c r="C902">
        <v>0</v>
      </c>
      <c r="D902">
        <v>1</v>
      </c>
      <c r="E902">
        <v>51</v>
      </c>
      <c r="F902">
        <v>1</v>
      </c>
      <c r="G902">
        <v>0</v>
      </c>
      <c r="H902">
        <v>0</v>
      </c>
      <c r="I902">
        <v>0</v>
      </c>
      <c r="J902">
        <v>0</v>
      </c>
      <c r="K902">
        <v>0</v>
      </c>
      <c r="L902">
        <v>0</v>
      </c>
      <c r="M902">
        <v>0</v>
      </c>
      <c r="N902">
        <v>1</v>
      </c>
      <c r="O902" t="str" cm="1">
        <f t="array" ref="O902">_xlfn.IFS(Table1[[#This Row],[Divorced]]=1, "Divorced", Table1[[#This Row],[Married]]=1, "Married", Table1[[#This Row],[Single]]=1, "Single", Table1[[#This Row],[Together]]=1, "Together", Table1[[#This Row],[Widow]]=1, "Widow")</f>
        <v>Divorced</v>
      </c>
      <c r="P902" t="str" cm="1">
        <f t="array" ref="P902">_xlfn.IFS(Table1[[#This Row],[Basic]]=1, "Basic", Table1[[#This Row],[Graduate]]=1, "Graduate", Table1[[#This Row],[Master]]=1, "Master", Table1[[#This Row],[PhD]]=1, "PhD", AND(Table1[[#This Row],[Basic]]=0, Table1[[#This Row],[Graduate]]=0, Table1[[#This Row],[Master]]=0, Table1[[#This Row],[PhD]]=0), "NA")</f>
        <v>PhD</v>
      </c>
      <c r="Q902" t="e">
        <f>_xlfn.XLOOKUP(Table1[[#This Row],[ID]], Table2[ID],#REF!, "Not Found", 0)</f>
        <v>#REF!</v>
      </c>
      <c r="R902" t="e">
        <f>_xlfn.XLOOKUP(Table1[[#This Row],[ID]], Table2[ID],#REF!, "Not Found", 0)</f>
        <v>#REF!</v>
      </c>
      <c r="S902" s="3" t="str">
        <f>_xlfn.XLOOKUP(Table1[[#This Row],[ID]], Table2[ID], Table2[Enrollment], "Not Found", 0)</f>
        <v>6/27/2019</v>
      </c>
      <c r="T902" t="s">
        <v>437</v>
      </c>
    </row>
    <row r="903" spans="1:20" x14ac:dyDescent="0.3">
      <c r="A903">
        <v>3188</v>
      </c>
      <c r="B903">
        <v>158025</v>
      </c>
      <c r="C903">
        <v>0</v>
      </c>
      <c r="D903">
        <v>1</v>
      </c>
      <c r="E903">
        <v>41</v>
      </c>
      <c r="F903">
        <v>0</v>
      </c>
      <c r="G903">
        <v>1</v>
      </c>
      <c r="H903">
        <v>0</v>
      </c>
      <c r="I903">
        <v>0</v>
      </c>
      <c r="J903">
        <v>0</v>
      </c>
      <c r="K903">
        <v>0</v>
      </c>
      <c r="L903">
        <v>1</v>
      </c>
      <c r="M903">
        <v>0</v>
      </c>
      <c r="N903">
        <v>0</v>
      </c>
      <c r="O903" t="str" cm="1">
        <f t="array" ref="O903">_xlfn.IFS(Table1[[#This Row],[Divorced]]=1, "Divorced", Table1[[#This Row],[Married]]=1, "Married", Table1[[#This Row],[Single]]=1, "Single", Table1[[#This Row],[Together]]=1, "Together", Table1[[#This Row],[Widow]]=1, "Widow")</f>
        <v>Married</v>
      </c>
      <c r="P903" t="str" cm="1">
        <f t="array" ref="P903">_xlfn.IFS(Table1[[#This Row],[Basic]]=1, "Basic", Table1[[#This Row],[Graduate]]=1, "Graduate", Table1[[#This Row],[Master]]=1, "Master", Table1[[#This Row],[PhD]]=1, "PhD", AND(Table1[[#This Row],[Basic]]=0, Table1[[#This Row],[Graduate]]=0, Table1[[#This Row],[Master]]=0, Table1[[#This Row],[PhD]]=0), "NA")</f>
        <v>Graduate</v>
      </c>
      <c r="Q903" t="e">
        <f>_xlfn.XLOOKUP(Table1[[#This Row],[ID]], Table2[ID],#REF!, "Not Found", 0)</f>
        <v>#REF!</v>
      </c>
      <c r="R903" t="e">
        <f>_xlfn.XLOOKUP(Table1[[#This Row],[ID]], Table2[ID],#REF!, "Not Found", 0)</f>
        <v>#REF!</v>
      </c>
      <c r="S903" s="3">
        <f>_xlfn.XLOOKUP(Table1[[#This Row],[ID]], Table2[ID], Table2[Enrollment], "Not Found", 0)</f>
        <v>43866</v>
      </c>
      <c r="T903" t="s">
        <v>438</v>
      </c>
    </row>
    <row r="904" spans="1:20" x14ac:dyDescent="0.3">
      <c r="A904">
        <v>3195</v>
      </c>
      <c r="B904">
        <v>157967</v>
      </c>
      <c r="C904">
        <v>0</v>
      </c>
      <c r="D904">
        <v>1</v>
      </c>
      <c r="E904">
        <v>58</v>
      </c>
      <c r="F904">
        <v>0</v>
      </c>
      <c r="G904">
        <v>0</v>
      </c>
      <c r="H904">
        <v>1</v>
      </c>
      <c r="I904">
        <v>0</v>
      </c>
      <c r="J904">
        <v>0</v>
      </c>
      <c r="K904">
        <v>0</v>
      </c>
      <c r="L904">
        <v>1</v>
      </c>
      <c r="M904">
        <v>0</v>
      </c>
      <c r="N904">
        <v>0</v>
      </c>
      <c r="O904" t="str" cm="1">
        <f t="array" ref="O904">_xlfn.IFS(Table1[[#This Row],[Divorced]]=1, "Divorced", Table1[[#This Row],[Married]]=1, "Married", Table1[[#This Row],[Single]]=1, "Single", Table1[[#This Row],[Together]]=1, "Together", Table1[[#This Row],[Widow]]=1, "Widow")</f>
        <v>Single</v>
      </c>
      <c r="P904" t="str" cm="1">
        <f t="array" ref="P904">_xlfn.IFS(Table1[[#This Row],[Basic]]=1, "Basic", Table1[[#This Row],[Graduate]]=1, "Graduate", Table1[[#This Row],[Master]]=1, "Master", Table1[[#This Row],[PhD]]=1, "PhD", AND(Table1[[#This Row],[Basic]]=0, Table1[[#This Row],[Graduate]]=0, Table1[[#This Row],[Master]]=0, Table1[[#This Row],[PhD]]=0), "NA")</f>
        <v>Graduate</v>
      </c>
      <c r="Q904" t="e">
        <f>_xlfn.XLOOKUP(Table1[[#This Row],[ID]], Table2[ID],#REF!, "Not Found", 0)</f>
        <v>#REF!</v>
      </c>
      <c r="R904" t="e">
        <f>_xlfn.XLOOKUP(Table1[[#This Row],[ID]], Table2[ID],#REF!, "Not Found", 0)</f>
        <v>#REF!</v>
      </c>
      <c r="S904" s="3">
        <f>_xlfn.XLOOKUP(Table1[[#This Row],[ID]], Table2[ID], Table2[Enrollment], "Not Found", 0)</f>
        <v>43685</v>
      </c>
      <c r="T904" t="s">
        <v>435</v>
      </c>
    </row>
    <row r="905" spans="1:20" x14ac:dyDescent="0.3">
      <c r="A905">
        <v>1434</v>
      </c>
      <c r="B905">
        <v>157959</v>
      </c>
      <c r="C905">
        <v>0</v>
      </c>
      <c r="D905">
        <v>1</v>
      </c>
      <c r="E905">
        <v>65</v>
      </c>
      <c r="F905">
        <v>0</v>
      </c>
      <c r="G905">
        <v>0</v>
      </c>
      <c r="H905">
        <v>1</v>
      </c>
      <c r="I905">
        <v>0</v>
      </c>
      <c r="J905">
        <v>0</v>
      </c>
      <c r="K905">
        <v>0</v>
      </c>
      <c r="L905">
        <v>1</v>
      </c>
      <c r="M905">
        <v>0</v>
      </c>
      <c r="N905">
        <v>0</v>
      </c>
      <c r="O905" t="str" cm="1">
        <f t="array" ref="O905">_xlfn.IFS(Table1[[#This Row],[Divorced]]=1, "Divorced", Table1[[#This Row],[Married]]=1, "Married", Table1[[#This Row],[Single]]=1, "Single", Table1[[#This Row],[Together]]=1, "Together", Table1[[#This Row],[Widow]]=1, "Widow")</f>
        <v>Single</v>
      </c>
      <c r="P905" t="str" cm="1">
        <f t="array" ref="P905">_xlfn.IFS(Table1[[#This Row],[Basic]]=1, "Basic", Table1[[#This Row],[Graduate]]=1, "Graduate", Table1[[#This Row],[Master]]=1, "Master", Table1[[#This Row],[PhD]]=1, "PhD", AND(Table1[[#This Row],[Basic]]=0, Table1[[#This Row],[Graduate]]=0, Table1[[#This Row],[Master]]=0, Table1[[#This Row],[PhD]]=0), "NA")</f>
        <v>Graduate</v>
      </c>
      <c r="Q905" t="e">
        <f>_xlfn.XLOOKUP(Table1[[#This Row],[ID]], Table2[ID],#REF!, "Not Found", 0)</f>
        <v>#REF!</v>
      </c>
      <c r="R905" t="e">
        <f>_xlfn.XLOOKUP(Table1[[#This Row],[ID]], Table2[ID],#REF!, "Not Found", 0)</f>
        <v>#REF!</v>
      </c>
      <c r="S905" s="3">
        <f>_xlfn.XLOOKUP(Table1[[#This Row],[ID]], Table2[ID], Table2[Enrollment], "Not Found", 0)</f>
        <v>43656</v>
      </c>
      <c r="T905" t="s">
        <v>436</v>
      </c>
    </row>
    <row r="906" spans="1:20" x14ac:dyDescent="0.3">
      <c r="A906">
        <v>2437</v>
      </c>
      <c r="B906">
        <v>157957</v>
      </c>
      <c r="C906">
        <v>0</v>
      </c>
      <c r="D906">
        <v>1</v>
      </c>
      <c r="E906">
        <v>61</v>
      </c>
      <c r="F906">
        <v>0</v>
      </c>
      <c r="G906">
        <v>0</v>
      </c>
      <c r="H906">
        <v>0</v>
      </c>
      <c r="I906">
        <v>1</v>
      </c>
      <c r="J906">
        <v>0</v>
      </c>
      <c r="K906">
        <v>0</v>
      </c>
      <c r="L906">
        <v>1</v>
      </c>
      <c r="M906">
        <v>0</v>
      </c>
      <c r="N906">
        <v>0</v>
      </c>
      <c r="O906" t="str" cm="1">
        <f t="array" ref="O906">_xlfn.IFS(Table1[[#This Row],[Divorced]]=1, "Divorced", Table1[[#This Row],[Married]]=1, "Married", Table1[[#This Row],[Single]]=1, "Single", Table1[[#This Row],[Together]]=1, "Together", Table1[[#This Row],[Widow]]=1, "Widow")</f>
        <v>Together</v>
      </c>
      <c r="P906" t="str" cm="1">
        <f t="array" ref="P906">_xlfn.IFS(Table1[[#This Row],[Basic]]=1, "Basic", Table1[[#This Row],[Graduate]]=1, "Graduate", Table1[[#This Row],[Master]]=1, "Master", Table1[[#This Row],[PhD]]=1, "PhD", AND(Table1[[#This Row],[Basic]]=0, Table1[[#This Row],[Graduate]]=0, Table1[[#This Row],[Master]]=0, Table1[[#This Row],[PhD]]=0), "NA")</f>
        <v>Graduate</v>
      </c>
      <c r="Q906" t="e">
        <f>_xlfn.XLOOKUP(Table1[[#This Row],[ID]], Table2[ID],#REF!, "Not Found", 0)</f>
        <v>#REF!</v>
      </c>
      <c r="R906" t="e">
        <f>_xlfn.XLOOKUP(Table1[[#This Row],[ID]], Table2[ID],#REF!, "Not Found", 0)</f>
        <v>#REF!</v>
      </c>
      <c r="S906" s="3" t="str">
        <f>_xlfn.XLOOKUP(Table1[[#This Row],[ID]], Table2[ID], Table2[Enrollment], "Not Found", 0)</f>
        <v>1/24/2020</v>
      </c>
      <c r="T906" t="s">
        <v>437</v>
      </c>
    </row>
    <row r="907" spans="1:20" x14ac:dyDescent="0.3">
      <c r="A907">
        <v>1516</v>
      </c>
      <c r="B907">
        <v>157954</v>
      </c>
      <c r="C907">
        <v>1</v>
      </c>
      <c r="D907">
        <v>1</v>
      </c>
      <c r="E907">
        <v>43</v>
      </c>
      <c r="F907">
        <v>0</v>
      </c>
      <c r="G907">
        <v>0</v>
      </c>
      <c r="H907">
        <v>0</v>
      </c>
      <c r="I907">
        <v>1</v>
      </c>
      <c r="J907">
        <v>0</v>
      </c>
      <c r="K907">
        <v>0</v>
      </c>
      <c r="L907">
        <v>0</v>
      </c>
      <c r="M907">
        <v>1</v>
      </c>
      <c r="N907">
        <v>0</v>
      </c>
      <c r="O907" t="str" cm="1">
        <f t="array" ref="O907">_xlfn.IFS(Table1[[#This Row],[Divorced]]=1, "Divorced", Table1[[#This Row],[Married]]=1, "Married", Table1[[#This Row],[Single]]=1, "Single", Table1[[#This Row],[Together]]=1, "Together", Table1[[#This Row],[Widow]]=1, "Widow")</f>
        <v>Together</v>
      </c>
      <c r="P907" t="str" cm="1">
        <f t="array" ref="P907">_xlfn.IFS(Table1[[#This Row],[Basic]]=1, "Basic", Table1[[#This Row],[Graduate]]=1, "Graduate", Table1[[#This Row],[Master]]=1, "Master", Table1[[#This Row],[PhD]]=1, "PhD", AND(Table1[[#This Row],[Basic]]=0, Table1[[#This Row],[Graduate]]=0, Table1[[#This Row],[Master]]=0, Table1[[#This Row],[PhD]]=0), "NA")</f>
        <v>Master</v>
      </c>
      <c r="Q907" t="e">
        <f>_xlfn.XLOOKUP(Table1[[#This Row],[ID]], Table2[ID],#REF!, "Not Found", 0)</f>
        <v>#REF!</v>
      </c>
      <c r="R907" t="e">
        <f>_xlfn.XLOOKUP(Table1[[#This Row],[ID]], Table2[ID],#REF!, "Not Found", 0)</f>
        <v>#REF!</v>
      </c>
      <c r="S907" s="3" t="str">
        <f>_xlfn.XLOOKUP(Table1[[#This Row],[ID]], Table2[ID], Table2[Enrollment], "Not Found", 0)</f>
        <v>11/22/2020</v>
      </c>
      <c r="T907" t="s">
        <v>439</v>
      </c>
    </row>
    <row r="908" spans="1:20" x14ac:dyDescent="0.3">
      <c r="A908">
        <v>1927</v>
      </c>
      <c r="B908">
        <v>157937</v>
      </c>
      <c r="C908">
        <v>0</v>
      </c>
      <c r="D908">
        <v>1</v>
      </c>
      <c r="E908">
        <v>38</v>
      </c>
      <c r="F908">
        <v>0</v>
      </c>
      <c r="G908">
        <v>1</v>
      </c>
      <c r="H908">
        <v>0</v>
      </c>
      <c r="I908">
        <v>0</v>
      </c>
      <c r="J908">
        <v>0</v>
      </c>
      <c r="K908">
        <v>0</v>
      </c>
      <c r="L908">
        <v>0</v>
      </c>
      <c r="M908">
        <v>0</v>
      </c>
      <c r="N908">
        <v>0</v>
      </c>
      <c r="O908" t="str" cm="1">
        <f t="array" ref="O908">_xlfn.IFS(Table1[[#This Row],[Divorced]]=1, "Divorced", Table1[[#This Row],[Married]]=1, "Married", Table1[[#This Row],[Single]]=1, "Single", Table1[[#This Row],[Together]]=1, "Together", Table1[[#This Row],[Widow]]=1, "Widow")</f>
        <v>Married</v>
      </c>
      <c r="P908" t="str" cm="1">
        <f t="array" ref="P908">_xlfn.IFS(Table1[[#This Row],[Basic]]=1, "Basic", Table1[[#This Row],[Graduate]]=1, "Graduate", Table1[[#This Row],[Master]]=1, "Master", Table1[[#This Row],[PhD]]=1, "PhD", AND(Table1[[#This Row],[Basic]]=0, Table1[[#This Row],[Graduate]]=0, Table1[[#This Row],[Master]]=0, Table1[[#This Row],[PhD]]=0), "NA")</f>
        <v>NA</v>
      </c>
      <c r="Q908" t="e">
        <f>_xlfn.XLOOKUP(Table1[[#This Row],[ID]], Table2[ID],#REF!, "Not Found", 0)</f>
        <v>#REF!</v>
      </c>
      <c r="R908" t="e">
        <f>_xlfn.XLOOKUP(Table1[[#This Row],[ID]], Table2[ID],#REF!, "Not Found", 0)</f>
        <v>#REF!</v>
      </c>
      <c r="S908" s="3" t="str">
        <f>_xlfn.XLOOKUP(Table1[[#This Row],[ID]], Table2[ID], Table2[Enrollment], "Not Found", 0)</f>
        <v>7/23/2020</v>
      </c>
      <c r="T908" t="s">
        <v>437</v>
      </c>
    </row>
    <row r="909" spans="1:20" x14ac:dyDescent="0.3">
      <c r="A909">
        <v>1286</v>
      </c>
      <c r="B909">
        <v>157912</v>
      </c>
      <c r="C909">
        <v>0</v>
      </c>
      <c r="D909">
        <v>1</v>
      </c>
      <c r="E909">
        <v>55</v>
      </c>
      <c r="F909">
        <v>1</v>
      </c>
      <c r="G909">
        <v>0</v>
      </c>
      <c r="H909">
        <v>0</v>
      </c>
      <c r="I909">
        <v>0</v>
      </c>
      <c r="J909">
        <v>0</v>
      </c>
      <c r="K909">
        <v>0</v>
      </c>
      <c r="L909">
        <v>0</v>
      </c>
      <c r="M909">
        <v>0</v>
      </c>
      <c r="N909">
        <v>1</v>
      </c>
      <c r="O909" t="str" cm="1">
        <f t="array" ref="O909">_xlfn.IFS(Table1[[#This Row],[Divorced]]=1, "Divorced", Table1[[#This Row],[Married]]=1, "Married", Table1[[#This Row],[Single]]=1, "Single", Table1[[#This Row],[Together]]=1, "Together", Table1[[#This Row],[Widow]]=1, "Widow")</f>
        <v>Divorced</v>
      </c>
      <c r="P909" t="str" cm="1">
        <f t="array" ref="P909">_xlfn.IFS(Table1[[#This Row],[Basic]]=1, "Basic", Table1[[#This Row],[Graduate]]=1, "Graduate", Table1[[#This Row],[Master]]=1, "Master", Table1[[#This Row],[PhD]]=1, "PhD", AND(Table1[[#This Row],[Basic]]=0, Table1[[#This Row],[Graduate]]=0, Table1[[#This Row],[Master]]=0, Table1[[#This Row],[PhD]]=0), "NA")</f>
        <v>PhD</v>
      </c>
      <c r="Q909" t="e">
        <f>_xlfn.XLOOKUP(Table1[[#This Row],[ID]], Table2[ID],#REF!, "Not Found", 0)</f>
        <v>#REF!</v>
      </c>
      <c r="R909" t="e">
        <f>_xlfn.XLOOKUP(Table1[[#This Row],[ID]], Table2[ID],#REF!, "Not Found", 0)</f>
        <v>#REF!</v>
      </c>
      <c r="S909" s="3" t="str">
        <f>_xlfn.XLOOKUP(Table1[[#This Row],[ID]], Table2[ID], Table2[Enrollment], "Not Found", 0)</f>
        <v>8/21/2020</v>
      </c>
      <c r="T909" t="s">
        <v>438</v>
      </c>
    </row>
    <row r="910" spans="1:20" x14ac:dyDescent="0.3">
      <c r="A910">
        <v>1846</v>
      </c>
      <c r="B910">
        <v>157906</v>
      </c>
      <c r="C910">
        <v>0</v>
      </c>
      <c r="D910">
        <v>1</v>
      </c>
      <c r="E910">
        <v>47</v>
      </c>
      <c r="F910">
        <v>0</v>
      </c>
      <c r="G910">
        <v>0</v>
      </c>
      <c r="H910">
        <v>0</v>
      </c>
      <c r="I910">
        <v>1</v>
      </c>
      <c r="J910">
        <v>0</v>
      </c>
      <c r="K910">
        <v>0</v>
      </c>
      <c r="L910">
        <v>0</v>
      </c>
      <c r="M910">
        <v>0</v>
      </c>
      <c r="N910">
        <v>1</v>
      </c>
      <c r="O910" t="str" cm="1">
        <f t="array" ref="O910">_xlfn.IFS(Table1[[#This Row],[Divorced]]=1, "Divorced", Table1[[#This Row],[Married]]=1, "Married", Table1[[#This Row],[Single]]=1, "Single", Table1[[#This Row],[Together]]=1, "Together", Table1[[#This Row],[Widow]]=1, "Widow")</f>
        <v>Together</v>
      </c>
      <c r="P910" t="str" cm="1">
        <f t="array" ref="P910">_xlfn.IFS(Table1[[#This Row],[Basic]]=1, "Basic", Table1[[#This Row],[Graduate]]=1, "Graduate", Table1[[#This Row],[Master]]=1, "Master", Table1[[#This Row],[PhD]]=1, "PhD", AND(Table1[[#This Row],[Basic]]=0, Table1[[#This Row],[Graduate]]=0, Table1[[#This Row],[Master]]=0, Table1[[#This Row],[PhD]]=0), "NA")</f>
        <v>PhD</v>
      </c>
      <c r="Q910" t="e">
        <f>_xlfn.XLOOKUP(Table1[[#This Row],[ID]], Table2[ID],#REF!, "Not Found", 0)</f>
        <v>#REF!</v>
      </c>
      <c r="R910" t="e">
        <f>_xlfn.XLOOKUP(Table1[[#This Row],[ID]], Table2[ID],#REF!, "Not Found", 0)</f>
        <v>#REF!</v>
      </c>
      <c r="S910" s="3" t="str">
        <f>_xlfn.XLOOKUP(Table1[[#This Row],[ID]], Table2[ID], Table2[Enrollment], "Not Found", 0)</f>
        <v>11/16/2019</v>
      </c>
      <c r="T910" t="s">
        <v>439</v>
      </c>
    </row>
    <row r="911" spans="1:20" x14ac:dyDescent="0.3">
      <c r="A911">
        <v>2469</v>
      </c>
      <c r="B911">
        <v>157867</v>
      </c>
      <c r="C911">
        <v>1</v>
      </c>
      <c r="D911">
        <v>0</v>
      </c>
      <c r="E911">
        <v>42</v>
      </c>
      <c r="F911">
        <v>0</v>
      </c>
      <c r="G911">
        <v>0</v>
      </c>
      <c r="H911">
        <v>0</v>
      </c>
      <c r="I911">
        <v>1</v>
      </c>
      <c r="J911">
        <v>0</v>
      </c>
      <c r="K911">
        <v>0</v>
      </c>
      <c r="L911">
        <v>1</v>
      </c>
      <c r="M911">
        <v>0</v>
      </c>
      <c r="N911">
        <v>0</v>
      </c>
      <c r="O911" t="str" cm="1">
        <f t="array" ref="O911">_xlfn.IFS(Table1[[#This Row],[Divorced]]=1, "Divorced", Table1[[#This Row],[Married]]=1, "Married", Table1[[#This Row],[Single]]=1, "Single", Table1[[#This Row],[Together]]=1, "Together", Table1[[#This Row],[Widow]]=1, "Widow")</f>
        <v>Together</v>
      </c>
      <c r="P911" t="str" cm="1">
        <f t="array" ref="P911">_xlfn.IFS(Table1[[#This Row],[Basic]]=1, "Basic", Table1[[#This Row],[Graduate]]=1, "Graduate", Table1[[#This Row],[Master]]=1, "Master", Table1[[#This Row],[PhD]]=1, "PhD", AND(Table1[[#This Row],[Basic]]=0, Table1[[#This Row],[Graduate]]=0, Table1[[#This Row],[Master]]=0, Table1[[#This Row],[PhD]]=0), "NA")</f>
        <v>Graduate</v>
      </c>
      <c r="Q911" t="e">
        <f>_xlfn.XLOOKUP(Table1[[#This Row],[ID]], Table2[ID],#REF!, "Not Found", 0)</f>
        <v>#REF!</v>
      </c>
      <c r="R911" t="e">
        <f>_xlfn.XLOOKUP(Table1[[#This Row],[ID]], Table2[ID],#REF!, "Not Found", 0)</f>
        <v>#REF!</v>
      </c>
      <c r="S911" s="3">
        <f>_xlfn.XLOOKUP(Table1[[#This Row],[ID]], Table2[ID], Table2[Enrollment], "Not Found", 0)</f>
        <v>44015</v>
      </c>
      <c r="T911" t="s">
        <v>435</v>
      </c>
    </row>
    <row r="912" spans="1:20" x14ac:dyDescent="0.3">
      <c r="A912">
        <v>2278</v>
      </c>
      <c r="B912">
        <v>157811</v>
      </c>
      <c r="C912">
        <v>0</v>
      </c>
      <c r="D912">
        <v>1</v>
      </c>
      <c r="E912">
        <v>54</v>
      </c>
      <c r="F912">
        <v>0</v>
      </c>
      <c r="G912">
        <v>0</v>
      </c>
      <c r="H912">
        <v>0</v>
      </c>
      <c r="I912">
        <v>1</v>
      </c>
      <c r="J912">
        <v>0</v>
      </c>
      <c r="K912">
        <v>0</v>
      </c>
      <c r="L912">
        <v>1</v>
      </c>
      <c r="M912">
        <v>0</v>
      </c>
      <c r="N912">
        <v>0</v>
      </c>
      <c r="O912" t="str" cm="1">
        <f t="array" ref="O912">_xlfn.IFS(Table1[[#This Row],[Divorced]]=1, "Divorced", Table1[[#This Row],[Married]]=1, "Married", Table1[[#This Row],[Single]]=1, "Single", Table1[[#This Row],[Together]]=1, "Together", Table1[[#This Row],[Widow]]=1, "Widow")</f>
        <v>Together</v>
      </c>
      <c r="P912" t="str" cm="1">
        <f t="array" ref="P912">_xlfn.IFS(Table1[[#This Row],[Basic]]=1, "Basic", Table1[[#This Row],[Graduate]]=1, "Graduate", Table1[[#This Row],[Master]]=1, "Master", Table1[[#This Row],[PhD]]=1, "PhD", AND(Table1[[#This Row],[Basic]]=0, Table1[[#This Row],[Graduate]]=0, Table1[[#This Row],[Master]]=0, Table1[[#This Row],[PhD]]=0), "NA")</f>
        <v>Graduate</v>
      </c>
      <c r="Q912" t="e">
        <f>_xlfn.XLOOKUP(Table1[[#This Row],[ID]], Table2[ID],#REF!, "Not Found", 0)</f>
        <v>#REF!</v>
      </c>
      <c r="R912" t="e">
        <f>_xlfn.XLOOKUP(Table1[[#This Row],[ID]], Table2[ID],#REF!, "Not Found", 0)</f>
        <v>#REF!</v>
      </c>
      <c r="S912" s="3" t="str">
        <f>_xlfn.XLOOKUP(Table1[[#This Row],[ID]], Table2[ID], Table2[Enrollment], "Not Found", 0)</f>
        <v>11/29/2019</v>
      </c>
      <c r="T912" t="s">
        <v>439</v>
      </c>
    </row>
    <row r="913" spans="1:20" x14ac:dyDescent="0.3">
      <c r="A913">
        <v>2129</v>
      </c>
      <c r="B913">
        <v>157744</v>
      </c>
      <c r="C913">
        <v>0</v>
      </c>
      <c r="D913">
        <v>1</v>
      </c>
      <c r="E913">
        <v>66</v>
      </c>
      <c r="F913">
        <v>0</v>
      </c>
      <c r="G913">
        <v>1</v>
      </c>
      <c r="H913">
        <v>0</v>
      </c>
      <c r="I913">
        <v>0</v>
      </c>
      <c r="J913">
        <v>0</v>
      </c>
      <c r="K913">
        <v>0</v>
      </c>
      <c r="L913">
        <v>0</v>
      </c>
      <c r="M913">
        <v>0</v>
      </c>
      <c r="N913">
        <v>1</v>
      </c>
      <c r="O913" t="str" cm="1">
        <f t="array" ref="O913">_xlfn.IFS(Table1[[#This Row],[Divorced]]=1, "Divorced", Table1[[#This Row],[Married]]=1, "Married", Table1[[#This Row],[Single]]=1, "Single", Table1[[#This Row],[Together]]=1, "Together", Table1[[#This Row],[Widow]]=1, "Widow")</f>
        <v>Married</v>
      </c>
      <c r="P913" t="str" cm="1">
        <f t="array" ref="P913">_xlfn.IFS(Table1[[#This Row],[Basic]]=1, "Basic", Table1[[#This Row],[Graduate]]=1, "Graduate", Table1[[#This Row],[Master]]=1, "Master", Table1[[#This Row],[PhD]]=1, "PhD", AND(Table1[[#This Row],[Basic]]=0, Table1[[#This Row],[Graduate]]=0, Table1[[#This Row],[Master]]=0, Table1[[#This Row],[PhD]]=0), "NA")</f>
        <v>PhD</v>
      </c>
      <c r="Q913" t="e">
        <f>_xlfn.XLOOKUP(Table1[[#This Row],[ID]], Table2[ID],#REF!, "Not Found", 0)</f>
        <v>#REF!</v>
      </c>
      <c r="R913" t="e">
        <f>_xlfn.XLOOKUP(Table1[[#This Row],[ID]], Table2[ID],#REF!, "Not Found", 0)</f>
        <v>#REF!</v>
      </c>
      <c r="S913" s="3" t="str">
        <f>_xlfn.XLOOKUP(Table1[[#This Row],[ID]], Table2[ID], Table2[Enrollment], "Not Found", 0)</f>
        <v>4/18/2020</v>
      </c>
      <c r="T913" t="s">
        <v>434</v>
      </c>
    </row>
    <row r="914" spans="1:20" x14ac:dyDescent="0.3">
      <c r="A914">
        <v>3169</v>
      </c>
      <c r="B914">
        <v>157731</v>
      </c>
      <c r="C914">
        <v>0</v>
      </c>
      <c r="D914">
        <v>1</v>
      </c>
      <c r="E914">
        <v>51</v>
      </c>
      <c r="F914">
        <v>0</v>
      </c>
      <c r="G914">
        <v>0</v>
      </c>
      <c r="H914">
        <v>1</v>
      </c>
      <c r="I914">
        <v>0</v>
      </c>
      <c r="J914">
        <v>0</v>
      </c>
      <c r="K914">
        <v>0</v>
      </c>
      <c r="L914">
        <v>1</v>
      </c>
      <c r="M914">
        <v>0</v>
      </c>
      <c r="N914">
        <v>0</v>
      </c>
      <c r="O914" t="str" cm="1">
        <f t="array" ref="O914">_xlfn.IFS(Table1[[#This Row],[Divorced]]=1, "Divorced", Table1[[#This Row],[Married]]=1, "Married", Table1[[#This Row],[Single]]=1, "Single", Table1[[#This Row],[Together]]=1, "Together", Table1[[#This Row],[Widow]]=1, "Widow")</f>
        <v>Single</v>
      </c>
      <c r="P914" t="str" cm="1">
        <f t="array" ref="P914">_xlfn.IFS(Table1[[#This Row],[Basic]]=1, "Basic", Table1[[#This Row],[Graduate]]=1, "Graduate", Table1[[#This Row],[Master]]=1, "Master", Table1[[#This Row],[PhD]]=1, "PhD", AND(Table1[[#This Row],[Basic]]=0, Table1[[#This Row],[Graduate]]=0, Table1[[#This Row],[Master]]=0, Table1[[#This Row],[PhD]]=0), "NA")</f>
        <v>Graduate</v>
      </c>
      <c r="Q914" t="e">
        <f>_xlfn.XLOOKUP(Table1[[#This Row],[ID]], Table2[ID],#REF!, "Not Found", 0)</f>
        <v>#REF!</v>
      </c>
      <c r="R914" t="e">
        <f>_xlfn.XLOOKUP(Table1[[#This Row],[ID]], Table2[ID],#REF!, "Not Found", 0)</f>
        <v>#REF!</v>
      </c>
      <c r="S914" s="3" t="str">
        <f>_xlfn.XLOOKUP(Table1[[#This Row],[ID]], Table2[ID], Table2[Enrollment], "Not Found", 0)</f>
        <v>4/30/2019</v>
      </c>
      <c r="T914" t="s">
        <v>437</v>
      </c>
    </row>
    <row r="915" spans="1:20" x14ac:dyDescent="0.3">
      <c r="A915">
        <v>2823</v>
      </c>
      <c r="B915">
        <v>157705</v>
      </c>
      <c r="C915">
        <v>0</v>
      </c>
      <c r="D915">
        <v>1</v>
      </c>
      <c r="E915">
        <v>54</v>
      </c>
      <c r="F915">
        <v>0</v>
      </c>
      <c r="G915">
        <v>1</v>
      </c>
      <c r="H915">
        <v>0</v>
      </c>
      <c r="I915">
        <v>0</v>
      </c>
      <c r="J915">
        <v>0</v>
      </c>
      <c r="K915">
        <v>0</v>
      </c>
      <c r="L915">
        <v>0</v>
      </c>
      <c r="M915">
        <v>0</v>
      </c>
      <c r="N915">
        <v>1</v>
      </c>
      <c r="O915" t="str" cm="1">
        <f t="array" ref="O915">_xlfn.IFS(Table1[[#This Row],[Divorced]]=1, "Divorced", Table1[[#This Row],[Married]]=1, "Married", Table1[[#This Row],[Single]]=1, "Single", Table1[[#This Row],[Together]]=1, "Together", Table1[[#This Row],[Widow]]=1, "Widow")</f>
        <v>Married</v>
      </c>
      <c r="P915" t="str" cm="1">
        <f t="array" ref="P915">_xlfn.IFS(Table1[[#This Row],[Basic]]=1, "Basic", Table1[[#This Row],[Graduate]]=1, "Graduate", Table1[[#This Row],[Master]]=1, "Master", Table1[[#This Row],[PhD]]=1, "PhD", AND(Table1[[#This Row],[Basic]]=0, Table1[[#This Row],[Graduate]]=0, Table1[[#This Row],[Master]]=0, Table1[[#This Row],[PhD]]=0), "NA")</f>
        <v>PhD</v>
      </c>
      <c r="Q915" t="e">
        <f>_xlfn.XLOOKUP(Table1[[#This Row],[ID]], Table2[ID],#REF!, "Not Found", 0)</f>
        <v>#REF!</v>
      </c>
      <c r="R915" t="e">
        <f>_xlfn.XLOOKUP(Table1[[#This Row],[ID]], Table2[ID],#REF!, "Not Found", 0)</f>
        <v>#REF!</v>
      </c>
      <c r="S915" s="3" t="str">
        <f>_xlfn.XLOOKUP(Table1[[#This Row],[ID]], Table2[ID], Table2[Enrollment], "Not Found", 0)</f>
        <v>6/17/2020</v>
      </c>
      <c r="T915" t="s">
        <v>435</v>
      </c>
    </row>
    <row r="916" spans="1:20" x14ac:dyDescent="0.3">
      <c r="A916">
        <v>3192</v>
      </c>
      <c r="B916">
        <v>157642</v>
      </c>
      <c r="C916">
        <v>0</v>
      </c>
      <c r="D916">
        <v>1</v>
      </c>
      <c r="E916">
        <v>50</v>
      </c>
      <c r="F916">
        <v>0</v>
      </c>
      <c r="G916">
        <v>0</v>
      </c>
      <c r="H916">
        <v>1</v>
      </c>
      <c r="I916">
        <v>0</v>
      </c>
      <c r="J916">
        <v>0</v>
      </c>
      <c r="K916">
        <v>0</v>
      </c>
      <c r="L916">
        <v>0</v>
      </c>
      <c r="M916">
        <v>0</v>
      </c>
      <c r="N916">
        <v>1</v>
      </c>
      <c r="O916" t="str" cm="1">
        <f t="array" ref="O916">_xlfn.IFS(Table1[[#This Row],[Divorced]]=1, "Divorced", Table1[[#This Row],[Married]]=1, "Married", Table1[[#This Row],[Single]]=1, "Single", Table1[[#This Row],[Together]]=1, "Together", Table1[[#This Row],[Widow]]=1, "Widow")</f>
        <v>Single</v>
      </c>
      <c r="P916" t="str" cm="1">
        <f t="array" ref="P916">_xlfn.IFS(Table1[[#This Row],[Basic]]=1, "Basic", Table1[[#This Row],[Graduate]]=1, "Graduate", Table1[[#This Row],[Master]]=1, "Master", Table1[[#This Row],[PhD]]=1, "PhD", AND(Table1[[#This Row],[Basic]]=0, Table1[[#This Row],[Graduate]]=0, Table1[[#This Row],[Master]]=0, Table1[[#This Row],[PhD]]=0), "NA")</f>
        <v>PhD</v>
      </c>
      <c r="Q916" t="e">
        <f>_xlfn.XLOOKUP(Table1[[#This Row],[ID]], Table2[ID],#REF!, "Not Found", 0)</f>
        <v>#REF!</v>
      </c>
      <c r="R916" t="e">
        <f>_xlfn.XLOOKUP(Table1[[#This Row],[ID]], Table2[ID],#REF!, "Not Found", 0)</f>
        <v>#REF!</v>
      </c>
      <c r="S916" s="3" t="str">
        <f>_xlfn.XLOOKUP(Table1[[#This Row],[ID]], Table2[ID], Table2[Enrollment], "Not Found", 0)</f>
        <v>6/15/2020</v>
      </c>
      <c r="T916" t="s">
        <v>436</v>
      </c>
    </row>
    <row r="917" spans="1:20" x14ac:dyDescent="0.3">
      <c r="A917">
        <v>2391</v>
      </c>
      <c r="B917">
        <v>157537</v>
      </c>
      <c r="C917">
        <v>1</v>
      </c>
      <c r="D917">
        <v>0</v>
      </c>
      <c r="E917">
        <v>41</v>
      </c>
      <c r="F917">
        <v>0</v>
      </c>
      <c r="G917">
        <v>0</v>
      </c>
      <c r="H917">
        <v>1</v>
      </c>
      <c r="I917">
        <v>0</v>
      </c>
      <c r="J917">
        <v>0</v>
      </c>
      <c r="K917">
        <v>0</v>
      </c>
      <c r="L917">
        <v>1</v>
      </c>
      <c r="M917">
        <v>0</v>
      </c>
      <c r="N917">
        <v>0</v>
      </c>
      <c r="O917" t="str" cm="1">
        <f t="array" ref="O917">_xlfn.IFS(Table1[[#This Row],[Divorced]]=1, "Divorced", Table1[[#This Row],[Married]]=1, "Married", Table1[[#This Row],[Single]]=1, "Single", Table1[[#This Row],[Together]]=1, "Together", Table1[[#This Row],[Widow]]=1, "Widow")</f>
        <v>Single</v>
      </c>
      <c r="P917" t="str" cm="1">
        <f t="array" ref="P917">_xlfn.IFS(Table1[[#This Row],[Basic]]=1, "Basic", Table1[[#This Row],[Graduate]]=1, "Graduate", Table1[[#This Row],[Master]]=1, "Master", Table1[[#This Row],[PhD]]=1, "PhD", AND(Table1[[#This Row],[Basic]]=0, Table1[[#This Row],[Graduate]]=0, Table1[[#This Row],[Master]]=0, Table1[[#This Row],[PhD]]=0), "NA")</f>
        <v>Graduate</v>
      </c>
      <c r="Q917" t="e">
        <f>_xlfn.XLOOKUP(Table1[[#This Row],[ID]], Table2[ID],#REF!, "Not Found", 0)</f>
        <v>#REF!</v>
      </c>
      <c r="R917" t="e">
        <f>_xlfn.XLOOKUP(Table1[[#This Row],[ID]], Table2[ID],#REF!, "Not Found", 0)</f>
        <v>#REF!</v>
      </c>
      <c r="S917" s="3" t="str">
        <f>_xlfn.XLOOKUP(Table1[[#This Row],[ID]], Table2[ID], Table2[Enrollment], "Not Found", 0)</f>
        <v>11/15/2019</v>
      </c>
      <c r="T917" t="s">
        <v>435</v>
      </c>
    </row>
    <row r="918" spans="1:20" x14ac:dyDescent="0.3">
      <c r="A918">
        <v>2526</v>
      </c>
      <c r="B918">
        <v>157530</v>
      </c>
      <c r="C918">
        <v>0</v>
      </c>
      <c r="D918">
        <v>1</v>
      </c>
      <c r="E918">
        <v>69</v>
      </c>
      <c r="F918">
        <v>1</v>
      </c>
      <c r="G918">
        <v>0</v>
      </c>
      <c r="H918">
        <v>0</v>
      </c>
      <c r="I918">
        <v>0</v>
      </c>
      <c r="J918">
        <v>0</v>
      </c>
      <c r="K918">
        <v>0</v>
      </c>
      <c r="L918">
        <v>0</v>
      </c>
      <c r="M918">
        <v>1</v>
      </c>
      <c r="N918">
        <v>0</v>
      </c>
      <c r="O918" t="str" cm="1">
        <f t="array" ref="O918">_xlfn.IFS(Table1[[#This Row],[Divorced]]=1, "Divorced", Table1[[#This Row],[Married]]=1, "Married", Table1[[#This Row],[Single]]=1, "Single", Table1[[#This Row],[Together]]=1, "Together", Table1[[#This Row],[Widow]]=1, "Widow")</f>
        <v>Divorced</v>
      </c>
      <c r="P918" t="str" cm="1">
        <f t="array" ref="P918">_xlfn.IFS(Table1[[#This Row],[Basic]]=1, "Basic", Table1[[#This Row],[Graduate]]=1, "Graduate", Table1[[#This Row],[Master]]=1, "Master", Table1[[#This Row],[PhD]]=1, "PhD", AND(Table1[[#This Row],[Basic]]=0, Table1[[#This Row],[Graduate]]=0, Table1[[#This Row],[Master]]=0, Table1[[#This Row],[PhD]]=0), "NA")</f>
        <v>Master</v>
      </c>
      <c r="Q918" t="e">
        <f>_xlfn.XLOOKUP(Table1[[#This Row],[ID]], Table2[ID],#REF!, "Not Found", 0)</f>
        <v>#REF!</v>
      </c>
      <c r="R918" t="e">
        <f>_xlfn.XLOOKUP(Table1[[#This Row],[ID]], Table2[ID],#REF!, "Not Found", 0)</f>
        <v>#REF!</v>
      </c>
      <c r="S918" s="3" t="str">
        <f>_xlfn.XLOOKUP(Table1[[#This Row],[ID]], Table2[ID], Table2[Enrollment], "Not Found", 0)</f>
        <v>3/18/2020</v>
      </c>
      <c r="T918" t="s">
        <v>436</v>
      </c>
    </row>
    <row r="919" spans="1:20" x14ac:dyDescent="0.3">
      <c r="A919">
        <v>2131</v>
      </c>
      <c r="B919">
        <v>157513</v>
      </c>
      <c r="C919">
        <v>0</v>
      </c>
      <c r="D919">
        <v>0</v>
      </c>
      <c r="E919">
        <v>77</v>
      </c>
      <c r="F919">
        <v>0</v>
      </c>
      <c r="G919">
        <v>0</v>
      </c>
      <c r="H919">
        <v>0</v>
      </c>
      <c r="I919">
        <v>0</v>
      </c>
      <c r="J919">
        <v>1</v>
      </c>
      <c r="K919">
        <v>0</v>
      </c>
      <c r="L919">
        <v>0</v>
      </c>
      <c r="M919">
        <v>0</v>
      </c>
      <c r="N919">
        <v>1</v>
      </c>
      <c r="O919" t="str" cm="1">
        <f t="array" ref="O919">_xlfn.IFS(Table1[[#This Row],[Divorced]]=1, "Divorced", Table1[[#This Row],[Married]]=1, "Married", Table1[[#This Row],[Single]]=1, "Single", Table1[[#This Row],[Together]]=1, "Together", Table1[[#This Row],[Widow]]=1, "Widow")</f>
        <v>Widow</v>
      </c>
      <c r="P919" t="str" cm="1">
        <f t="array" ref="P919">_xlfn.IFS(Table1[[#This Row],[Basic]]=1, "Basic", Table1[[#This Row],[Graduate]]=1, "Graduate", Table1[[#This Row],[Master]]=1, "Master", Table1[[#This Row],[PhD]]=1, "PhD", AND(Table1[[#This Row],[Basic]]=0, Table1[[#This Row],[Graduate]]=0, Table1[[#This Row],[Master]]=0, Table1[[#This Row],[PhD]]=0), "NA")</f>
        <v>PhD</v>
      </c>
      <c r="Q919" t="e">
        <f>_xlfn.XLOOKUP(Table1[[#This Row],[ID]], Table2[ID],#REF!, "Not Found", 0)</f>
        <v>#REF!</v>
      </c>
      <c r="R919" t="e">
        <f>_xlfn.XLOOKUP(Table1[[#This Row],[ID]], Table2[ID],#REF!, "Not Found", 0)</f>
        <v>#REF!</v>
      </c>
      <c r="S919" s="3">
        <f>_xlfn.XLOOKUP(Table1[[#This Row],[ID]], Table2[ID], Table2[Enrollment], "Not Found", 0)</f>
        <v>43781</v>
      </c>
      <c r="T919" t="s">
        <v>437</v>
      </c>
    </row>
    <row r="920" spans="1:20" x14ac:dyDescent="0.3">
      <c r="A920">
        <v>2358</v>
      </c>
      <c r="B920">
        <v>157420</v>
      </c>
      <c r="C920">
        <v>0</v>
      </c>
      <c r="D920">
        <v>1</v>
      </c>
      <c r="E920">
        <v>49</v>
      </c>
      <c r="F920">
        <v>0</v>
      </c>
      <c r="G920">
        <v>0</v>
      </c>
      <c r="H920">
        <v>0</v>
      </c>
      <c r="I920">
        <v>1</v>
      </c>
      <c r="J920">
        <v>0</v>
      </c>
      <c r="K920">
        <v>0</v>
      </c>
      <c r="L920">
        <v>0</v>
      </c>
      <c r="M920">
        <v>1</v>
      </c>
      <c r="N920">
        <v>0</v>
      </c>
      <c r="O920" t="str" cm="1">
        <f t="array" ref="O920">_xlfn.IFS(Table1[[#This Row],[Divorced]]=1, "Divorced", Table1[[#This Row],[Married]]=1, "Married", Table1[[#This Row],[Single]]=1, "Single", Table1[[#This Row],[Together]]=1, "Together", Table1[[#This Row],[Widow]]=1, "Widow")</f>
        <v>Together</v>
      </c>
      <c r="P920" t="str" cm="1">
        <f t="array" ref="P920">_xlfn.IFS(Table1[[#This Row],[Basic]]=1, "Basic", Table1[[#This Row],[Graduate]]=1, "Graduate", Table1[[#This Row],[Master]]=1, "Master", Table1[[#This Row],[PhD]]=1, "PhD", AND(Table1[[#This Row],[Basic]]=0, Table1[[#This Row],[Graduate]]=0, Table1[[#This Row],[Master]]=0, Table1[[#This Row],[PhD]]=0), "NA")</f>
        <v>Master</v>
      </c>
      <c r="Q920" t="e">
        <f>_xlfn.XLOOKUP(Table1[[#This Row],[ID]], Table2[ID],#REF!, "Not Found", 0)</f>
        <v>#REF!</v>
      </c>
      <c r="R920" t="e">
        <f>_xlfn.XLOOKUP(Table1[[#This Row],[ID]], Table2[ID],#REF!, "Not Found", 0)</f>
        <v>#REF!</v>
      </c>
      <c r="S920" s="3" t="str">
        <f>_xlfn.XLOOKUP(Table1[[#This Row],[ID]], Table2[ID], Table2[Enrollment], "Not Found", 0)</f>
        <v>11/30/2019</v>
      </c>
      <c r="T920" t="s">
        <v>436</v>
      </c>
    </row>
    <row r="921" spans="1:20" x14ac:dyDescent="0.3">
      <c r="A921">
        <v>2350</v>
      </c>
      <c r="B921">
        <v>157338</v>
      </c>
      <c r="C921">
        <v>0</v>
      </c>
      <c r="D921">
        <v>1</v>
      </c>
      <c r="E921">
        <v>45</v>
      </c>
      <c r="F921">
        <v>0</v>
      </c>
      <c r="G921">
        <v>0</v>
      </c>
      <c r="H921">
        <v>1</v>
      </c>
      <c r="I921">
        <v>0</v>
      </c>
      <c r="J921">
        <v>0</v>
      </c>
      <c r="K921">
        <v>0</v>
      </c>
      <c r="L921">
        <v>1</v>
      </c>
      <c r="M921">
        <v>0</v>
      </c>
      <c r="N921">
        <v>0</v>
      </c>
      <c r="O921" t="str" cm="1">
        <f t="array" ref="O921">_xlfn.IFS(Table1[[#This Row],[Divorced]]=1, "Divorced", Table1[[#This Row],[Married]]=1, "Married", Table1[[#This Row],[Single]]=1, "Single", Table1[[#This Row],[Together]]=1, "Together", Table1[[#This Row],[Widow]]=1, "Widow")</f>
        <v>Single</v>
      </c>
      <c r="P921" t="str" cm="1">
        <f t="array" ref="P921">_xlfn.IFS(Table1[[#This Row],[Basic]]=1, "Basic", Table1[[#This Row],[Graduate]]=1, "Graduate", Table1[[#This Row],[Master]]=1, "Master", Table1[[#This Row],[PhD]]=1, "PhD", AND(Table1[[#This Row],[Basic]]=0, Table1[[#This Row],[Graduate]]=0, Table1[[#This Row],[Master]]=0, Table1[[#This Row],[PhD]]=0), "NA")</f>
        <v>Graduate</v>
      </c>
      <c r="Q921" t="e">
        <f>_xlfn.XLOOKUP(Table1[[#This Row],[ID]], Table2[ID],#REF!, "Not Found", 0)</f>
        <v>#REF!</v>
      </c>
      <c r="R921" t="e">
        <f>_xlfn.XLOOKUP(Table1[[#This Row],[ID]], Table2[ID],#REF!, "Not Found", 0)</f>
        <v>#REF!</v>
      </c>
      <c r="S921" s="3">
        <f>_xlfn.XLOOKUP(Table1[[#This Row],[ID]], Table2[ID], Table2[Enrollment], "Not Found", 0)</f>
        <v>43900</v>
      </c>
      <c r="T921" t="s">
        <v>439</v>
      </c>
    </row>
    <row r="922" spans="1:20" x14ac:dyDescent="0.3">
      <c r="A922">
        <v>2814</v>
      </c>
      <c r="B922">
        <v>157333</v>
      </c>
      <c r="C922">
        <v>0</v>
      </c>
      <c r="D922">
        <v>1</v>
      </c>
      <c r="E922">
        <v>66</v>
      </c>
      <c r="F922">
        <v>1</v>
      </c>
      <c r="G922">
        <v>0</v>
      </c>
      <c r="H922">
        <v>0</v>
      </c>
      <c r="I922">
        <v>0</v>
      </c>
      <c r="J922">
        <v>0</v>
      </c>
      <c r="K922">
        <v>0</v>
      </c>
      <c r="L922">
        <v>0</v>
      </c>
      <c r="M922">
        <v>0</v>
      </c>
      <c r="N922">
        <v>1</v>
      </c>
      <c r="O922" t="str" cm="1">
        <f t="array" ref="O922">_xlfn.IFS(Table1[[#This Row],[Divorced]]=1, "Divorced", Table1[[#This Row],[Married]]=1, "Married", Table1[[#This Row],[Single]]=1, "Single", Table1[[#This Row],[Together]]=1, "Together", Table1[[#This Row],[Widow]]=1, "Widow")</f>
        <v>Divorced</v>
      </c>
      <c r="P922" t="str" cm="1">
        <f t="array" ref="P922">_xlfn.IFS(Table1[[#This Row],[Basic]]=1, "Basic", Table1[[#This Row],[Graduate]]=1, "Graduate", Table1[[#This Row],[Master]]=1, "Master", Table1[[#This Row],[PhD]]=1, "PhD", AND(Table1[[#This Row],[Basic]]=0, Table1[[#This Row],[Graduate]]=0, Table1[[#This Row],[Master]]=0, Table1[[#This Row],[PhD]]=0), "NA")</f>
        <v>PhD</v>
      </c>
      <c r="Q922" t="e">
        <f>_xlfn.XLOOKUP(Table1[[#This Row],[ID]], Table2[ID],#REF!, "Not Found", 0)</f>
        <v>#REF!</v>
      </c>
      <c r="R922" t="e">
        <f>_xlfn.XLOOKUP(Table1[[#This Row],[ID]], Table2[ID],#REF!, "Not Found", 0)</f>
        <v>#REF!</v>
      </c>
      <c r="S922" s="3" t="str">
        <f>_xlfn.XLOOKUP(Table1[[#This Row],[ID]], Table2[ID], Table2[Enrollment], "Not Found", 0)</f>
        <v>2/27/2019</v>
      </c>
      <c r="T922" t="s">
        <v>436</v>
      </c>
    </row>
    <row r="923" spans="1:20" x14ac:dyDescent="0.3">
      <c r="A923">
        <v>3209</v>
      </c>
      <c r="B923">
        <v>157313</v>
      </c>
      <c r="C923">
        <v>1</v>
      </c>
      <c r="D923">
        <v>1.5</v>
      </c>
      <c r="E923">
        <v>41</v>
      </c>
      <c r="F923">
        <v>0</v>
      </c>
      <c r="G923">
        <v>1</v>
      </c>
      <c r="H923">
        <v>0</v>
      </c>
      <c r="I923">
        <v>0</v>
      </c>
      <c r="J923">
        <v>0</v>
      </c>
      <c r="K923">
        <v>0</v>
      </c>
      <c r="L923">
        <v>1</v>
      </c>
      <c r="M923">
        <v>0</v>
      </c>
      <c r="N923">
        <v>0</v>
      </c>
      <c r="O923" t="str" cm="1">
        <f t="array" ref="O923">_xlfn.IFS(Table1[[#This Row],[Divorced]]=1, "Divorced", Table1[[#This Row],[Married]]=1, "Married", Table1[[#This Row],[Single]]=1, "Single", Table1[[#This Row],[Together]]=1, "Together", Table1[[#This Row],[Widow]]=1, "Widow")</f>
        <v>Married</v>
      </c>
      <c r="P923" t="str" cm="1">
        <f t="array" ref="P923">_xlfn.IFS(Table1[[#This Row],[Basic]]=1, "Basic", Table1[[#This Row],[Graduate]]=1, "Graduate", Table1[[#This Row],[Master]]=1, "Master", Table1[[#This Row],[PhD]]=1, "PhD", AND(Table1[[#This Row],[Basic]]=0, Table1[[#This Row],[Graduate]]=0, Table1[[#This Row],[Master]]=0, Table1[[#This Row],[PhD]]=0), "NA")</f>
        <v>Graduate</v>
      </c>
      <c r="Q923" t="e">
        <f>_xlfn.XLOOKUP(Table1[[#This Row],[ID]], Table2[ID],#REF!, "Not Found", 0)</f>
        <v>#REF!</v>
      </c>
      <c r="R923" t="e">
        <f>_xlfn.XLOOKUP(Table1[[#This Row],[ID]], Table2[ID],#REF!, "Not Found", 0)</f>
        <v>#REF!</v>
      </c>
      <c r="S923" s="3" t="str">
        <f>_xlfn.XLOOKUP(Table1[[#This Row],[ID]], Table2[ID], Table2[Enrollment], "Not Found", 0)</f>
        <v>8/29/2019</v>
      </c>
      <c r="T923" t="s">
        <v>434</v>
      </c>
    </row>
    <row r="924" spans="1:20" x14ac:dyDescent="0.3">
      <c r="A924">
        <v>2140</v>
      </c>
      <c r="B924">
        <v>157304</v>
      </c>
      <c r="C924">
        <v>0</v>
      </c>
      <c r="D924">
        <v>1</v>
      </c>
      <c r="E924">
        <v>69</v>
      </c>
      <c r="F924">
        <v>0</v>
      </c>
      <c r="G924">
        <v>1</v>
      </c>
      <c r="H924">
        <v>0</v>
      </c>
      <c r="I924">
        <v>0</v>
      </c>
      <c r="J924">
        <v>0</v>
      </c>
      <c r="K924">
        <v>0</v>
      </c>
      <c r="L924">
        <v>1</v>
      </c>
      <c r="M924">
        <v>0</v>
      </c>
      <c r="N924">
        <v>0</v>
      </c>
      <c r="O924" t="str" cm="1">
        <f t="array" ref="O924">_xlfn.IFS(Table1[[#This Row],[Divorced]]=1, "Divorced", Table1[[#This Row],[Married]]=1, "Married", Table1[[#This Row],[Single]]=1, "Single", Table1[[#This Row],[Together]]=1, "Together", Table1[[#This Row],[Widow]]=1, "Widow")</f>
        <v>Married</v>
      </c>
      <c r="P924" t="str" cm="1">
        <f t="array" ref="P924">_xlfn.IFS(Table1[[#This Row],[Basic]]=1, "Basic", Table1[[#This Row],[Graduate]]=1, "Graduate", Table1[[#This Row],[Master]]=1, "Master", Table1[[#This Row],[PhD]]=1, "PhD", AND(Table1[[#This Row],[Basic]]=0, Table1[[#This Row],[Graduate]]=0, Table1[[#This Row],[Master]]=0, Table1[[#This Row],[PhD]]=0), "NA")</f>
        <v>Graduate</v>
      </c>
      <c r="Q924" t="e">
        <f>_xlfn.XLOOKUP(Table1[[#This Row],[ID]], Table2[ID],#REF!, "Not Found", 0)</f>
        <v>#REF!</v>
      </c>
      <c r="R924" t="e">
        <f>_xlfn.XLOOKUP(Table1[[#This Row],[ID]], Table2[ID],#REF!, "Not Found", 0)</f>
        <v>#REF!</v>
      </c>
      <c r="S924" s="3" t="str">
        <f>_xlfn.XLOOKUP(Table1[[#This Row],[ID]], Table2[ID], Table2[Enrollment], "Not Found", 0)</f>
        <v>8/16/2019</v>
      </c>
      <c r="T924" t="s">
        <v>439</v>
      </c>
    </row>
    <row r="925" spans="1:20" x14ac:dyDescent="0.3">
      <c r="A925">
        <v>1104</v>
      </c>
      <c r="B925">
        <v>157288</v>
      </c>
      <c r="C925">
        <v>0</v>
      </c>
      <c r="D925">
        <v>1</v>
      </c>
      <c r="E925">
        <v>57</v>
      </c>
      <c r="F925">
        <v>0</v>
      </c>
      <c r="G925">
        <v>0</v>
      </c>
      <c r="H925">
        <v>0</v>
      </c>
      <c r="I925">
        <v>1</v>
      </c>
      <c r="J925">
        <v>0</v>
      </c>
      <c r="K925">
        <v>0</v>
      </c>
      <c r="L925">
        <v>0</v>
      </c>
      <c r="M925">
        <v>1</v>
      </c>
      <c r="N925">
        <v>0</v>
      </c>
      <c r="O925" t="str" cm="1">
        <f t="array" ref="O925">_xlfn.IFS(Table1[[#This Row],[Divorced]]=1, "Divorced", Table1[[#This Row],[Married]]=1, "Married", Table1[[#This Row],[Single]]=1, "Single", Table1[[#This Row],[Together]]=1, "Together", Table1[[#This Row],[Widow]]=1, "Widow")</f>
        <v>Together</v>
      </c>
      <c r="P925" t="str" cm="1">
        <f t="array" ref="P925">_xlfn.IFS(Table1[[#This Row],[Basic]]=1, "Basic", Table1[[#This Row],[Graduate]]=1, "Graduate", Table1[[#This Row],[Master]]=1, "Master", Table1[[#This Row],[PhD]]=1, "PhD", AND(Table1[[#This Row],[Basic]]=0, Table1[[#This Row],[Graduate]]=0, Table1[[#This Row],[Master]]=0, Table1[[#This Row],[PhD]]=0), "NA")</f>
        <v>Master</v>
      </c>
      <c r="Q925" t="e">
        <f>_xlfn.XLOOKUP(Table1[[#This Row],[ID]], Table2[ID],#REF!, "Not Found", 0)</f>
        <v>#REF!</v>
      </c>
      <c r="R925" t="e">
        <f>_xlfn.XLOOKUP(Table1[[#This Row],[ID]], Table2[ID],#REF!, "Not Found", 0)</f>
        <v>#REF!</v>
      </c>
      <c r="S925" s="3" t="str">
        <f>_xlfn.XLOOKUP(Table1[[#This Row],[ID]], Table2[ID], Table2[Enrollment], "Not Found", 0)</f>
        <v>11/29/2020</v>
      </c>
      <c r="T925" t="s">
        <v>436</v>
      </c>
    </row>
    <row r="926" spans="1:20" x14ac:dyDescent="0.3">
      <c r="A926">
        <v>1522</v>
      </c>
      <c r="B926">
        <v>157247</v>
      </c>
      <c r="C926">
        <v>0</v>
      </c>
      <c r="D926">
        <v>1</v>
      </c>
      <c r="E926">
        <v>68</v>
      </c>
      <c r="F926">
        <v>0</v>
      </c>
      <c r="G926">
        <v>0</v>
      </c>
      <c r="H926">
        <v>0</v>
      </c>
      <c r="I926">
        <v>1</v>
      </c>
      <c r="J926">
        <v>0</v>
      </c>
      <c r="K926">
        <v>0</v>
      </c>
      <c r="L926">
        <v>0</v>
      </c>
      <c r="M926">
        <v>0</v>
      </c>
      <c r="N926">
        <v>0</v>
      </c>
      <c r="O926" t="str" cm="1">
        <f t="array" ref="O926">_xlfn.IFS(Table1[[#This Row],[Divorced]]=1, "Divorced", Table1[[#This Row],[Married]]=1, "Married", Table1[[#This Row],[Single]]=1, "Single", Table1[[#This Row],[Together]]=1, "Together", Table1[[#This Row],[Widow]]=1, "Widow")</f>
        <v>Together</v>
      </c>
      <c r="P926" t="str" cm="1">
        <f t="array" ref="P926">_xlfn.IFS(Table1[[#This Row],[Basic]]=1, "Basic", Table1[[#This Row],[Graduate]]=1, "Graduate", Table1[[#This Row],[Master]]=1, "Master", Table1[[#This Row],[PhD]]=1, "PhD", AND(Table1[[#This Row],[Basic]]=0, Table1[[#This Row],[Graduate]]=0, Table1[[#This Row],[Master]]=0, Table1[[#This Row],[PhD]]=0), "NA")</f>
        <v>NA</v>
      </c>
      <c r="Q926" t="e">
        <f>_xlfn.XLOOKUP(Table1[[#This Row],[ID]], Table2[ID],#REF!, "Not Found", 0)</f>
        <v>#REF!</v>
      </c>
      <c r="R926" t="e">
        <f>_xlfn.XLOOKUP(Table1[[#This Row],[ID]], Table2[ID],#REF!, "Not Found", 0)</f>
        <v>#REF!</v>
      </c>
      <c r="S926" s="3" t="str">
        <f>_xlfn.XLOOKUP(Table1[[#This Row],[ID]], Table2[ID], Table2[Enrollment], "Not Found", 0)</f>
        <v>1/13/2020</v>
      </c>
      <c r="T926" t="s">
        <v>439</v>
      </c>
    </row>
    <row r="927" spans="1:20" x14ac:dyDescent="0.3">
      <c r="A927">
        <v>2075</v>
      </c>
      <c r="B927">
        <v>157236</v>
      </c>
      <c r="C927">
        <v>1</v>
      </c>
      <c r="D927">
        <v>1</v>
      </c>
      <c r="E927">
        <v>55</v>
      </c>
      <c r="F927">
        <v>0</v>
      </c>
      <c r="G927">
        <v>1</v>
      </c>
      <c r="H927">
        <v>0</v>
      </c>
      <c r="I927">
        <v>0</v>
      </c>
      <c r="J927">
        <v>0</v>
      </c>
      <c r="K927">
        <v>0</v>
      </c>
      <c r="L927">
        <v>0</v>
      </c>
      <c r="M927">
        <v>0</v>
      </c>
      <c r="N927">
        <v>1</v>
      </c>
      <c r="O927" t="str" cm="1">
        <f t="array" ref="O927">_xlfn.IFS(Table1[[#This Row],[Divorced]]=1, "Divorced", Table1[[#This Row],[Married]]=1, "Married", Table1[[#This Row],[Single]]=1, "Single", Table1[[#This Row],[Together]]=1, "Together", Table1[[#This Row],[Widow]]=1, "Widow")</f>
        <v>Married</v>
      </c>
      <c r="P927" t="str" cm="1">
        <f t="array" ref="P927">_xlfn.IFS(Table1[[#This Row],[Basic]]=1, "Basic", Table1[[#This Row],[Graduate]]=1, "Graduate", Table1[[#This Row],[Master]]=1, "Master", Table1[[#This Row],[PhD]]=1, "PhD", AND(Table1[[#This Row],[Basic]]=0, Table1[[#This Row],[Graduate]]=0, Table1[[#This Row],[Master]]=0, Table1[[#This Row],[PhD]]=0), "NA")</f>
        <v>PhD</v>
      </c>
      <c r="Q927" t="e">
        <f>_xlfn.XLOOKUP(Table1[[#This Row],[ID]], Table2[ID],#REF!, "Not Found", 0)</f>
        <v>#REF!</v>
      </c>
      <c r="R927" t="e">
        <f>_xlfn.XLOOKUP(Table1[[#This Row],[ID]], Table2[ID],#REF!, "Not Found", 0)</f>
        <v>#REF!</v>
      </c>
      <c r="S927" s="3" t="str">
        <f>_xlfn.XLOOKUP(Table1[[#This Row],[ID]], Table2[ID], Table2[Enrollment], "Not Found", 0)</f>
        <v>8/16/2020</v>
      </c>
      <c r="T927" t="s">
        <v>434</v>
      </c>
    </row>
    <row r="928" spans="1:20" x14ac:dyDescent="0.3">
      <c r="A928">
        <v>2254</v>
      </c>
      <c r="B928">
        <v>157183</v>
      </c>
      <c r="C928">
        <v>1</v>
      </c>
      <c r="D928">
        <v>1</v>
      </c>
      <c r="E928">
        <v>54</v>
      </c>
      <c r="F928">
        <v>0</v>
      </c>
      <c r="G928">
        <v>1</v>
      </c>
      <c r="H928">
        <v>0</v>
      </c>
      <c r="I928">
        <v>0</v>
      </c>
      <c r="J928">
        <v>0</v>
      </c>
      <c r="K928">
        <v>0</v>
      </c>
      <c r="L928">
        <v>0</v>
      </c>
      <c r="M928">
        <v>1</v>
      </c>
      <c r="N928">
        <v>0</v>
      </c>
      <c r="O928" t="str" cm="1">
        <f t="array" ref="O928">_xlfn.IFS(Table1[[#This Row],[Divorced]]=1, "Divorced", Table1[[#This Row],[Married]]=1, "Married", Table1[[#This Row],[Single]]=1, "Single", Table1[[#This Row],[Together]]=1, "Together", Table1[[#This Row],[Widow]]=1, "Widow")</f>
        <v>Married</v>
      </c>
      <c r="P928" t="str" cm="1">
        <f t="array" ref="P928">_xlfn.IFS(Table1[[#This Row],[Basic]]=1, "Basic", Table1[[#This Row],[Graduate]]=1, "Graduate", Table1[[#This Row],[Master]]=1, "Master", Table1[[#This Row],[PhD]]=1, "PhD", AND(Table1[[#This Row],[Basic]]=0, Table1[[#This Row],[Graduate]]=0, Table1[[#This Row],[Master]]=0, Table1[[#This Row],[PhD]]=0), "NA")</f>
        <v>Master</v>
      </c>
      <c r="Q928" t="e">
        <f>_xlfn.XLOOKUP(Table1[[#This Row],[ID]], Table2[ID],#REF!, "Not Found", 0)</f>
        <v>#REF!</v>
      </c>
      <c r="R928" t="e">
        <f>_xlfn.XLOOKUP(Table1[[#This Row],[ID]], Table2[ID],#REF!, "Not Found", 0)</f>
        <v>#REF!</v>
      </c>
      <c r="S928" s="3" t="str">
        <f>_xlfn.XLOOKUP(Table1[[#This Row],[ID]], Table2[ID], Table2[Enrollment], "Not Found", 0)</f>
        <v>8/24/2019</v>
      </c>
      <c r="T928" t="s">
        <v>439</v>
      </c>
    </row>
    <row r="929" spans="1:20" x14ac:dyDescent="0.3">
      <c r="A929">
        <v>2624</v>
      </c>
      <c r="B929">
        <v>157136</v>
      </c>
      <c r="C929">
        <v>0</v>
      </c>
      <c r="D929">
        <v>0</v>
      </c>
      <c r="E929">
        <v>53</v>
      </c>
      <c r="F929">
        <v>1</v>
      </c>
      <c r="G929">
        <v>0</v>
      </c>
      <c r="H929">
        <v>0</v>
      </c>
      <c r="I929">
        <v>0</v>
      </c>
      <c r="J929">
        <v>0</v>
      </c>
      <c r="K929">
        <v>0</v>
      </c>
      <c r="L929">
        <v>1</v>
      </c>
      <c r="M929">
        <v>0</v>
      </c>
      <c r="N929">
        <v>0</v>
      </c>
      <c r="O929" t="str" cm="1">
        <f t="array" ref="O929">_xlfn.IFS(Table1[[#This Row],[Divorced]]=1, "Divorced", Table1[[#This Row],[Married]]=1, "Married", Table1[[#This Row],[Single]]=1, "Single", Table1[[#This Row],[Together]]=1, "Together", Table1[[#This Row],[Widow]]=1, "Widow")</f>
        <v>Divorced</v>
      </c>
      <c r="P929" t="str" cm="1">
        <f t="array" ref="P929">_xlfn.IFS(Table1[[#This Row],[Basic]]=1, "Basic", Table1[[#This Row],[Graduate]]=1, "Graduate", Table1[[#This Row],[Master]]=1, "Master", Table1[[#This Row],[PhD]]=1, "PhD", AND(Table1[[#This Row],[Basic]]=0, Table1[[#This Row],[Graduate]]=0, Table1[[#This Row],[Master]]=0, Table1[[#This Row],[PhD]]=0), "NA")</f>
        <v>Graduate</v>
      </c>
      <c r="Q929" t="e">
        <f>_xlfn.XLOOKUP(Table1[[#This Row],[ID]], Table2[ID],#REF!, "Not Found", 0)</f>
        <v>#REF!</v>
      </c>
      <c r="R929" t="e">
        <f>_xlfn.XLOOKUP(Table1[[#This Row],[ID]], Table2[ID],#REF!, "Not Found", 0)</f>
        <v>#REF!</v>
      </c>
      <c r="S929" s="3" t="str">
        <f>_xlfn.XLOOKUP(Table1[[#This Row],[ID]], Table2[ID], Table2[Enrollment], "Not Found", 0)</f>
        <v>10/23/2019</v>
      </c>
      <c r="T929" t="s">
        <v>438</v>
      </c>
    </row>
    <row r="930" spans="1:20" x14ac:dyDescent="0.3">
      <c r="A930">
        <v>2482</v>
      </c>
      <c r="B930">
        <v>157136</v>
      </c>
      <c r="C930">
        <v>1</v>
      </c>
      <c r="D930">
        <v>1</v>
      </c>
      <c r="E930">
        <v>48</v>
      </c>
      <c r="F930">
        <v>0</v>
      </c>
      <c r="G930">
        <v>1</v>
      </c>
      <c r="H930">
        <v>0</v>
      </c>
      <c r="I930">
        <v>0</v>
      </c>
      <c r="J930">
        <v>0</v>
      </c>
      <c r="K930">
        <v>0</v>
      </c>
      <c r="L930">
        <v>0</v>
      </c>
      <c r="M930">
        <v>1</v>
      </c>
      <c r="N930">
        <v>0</v>
      </c>
      <c r="O930" t="str" cm="1">
        <f t="array" ref="O930">_xlfn.IFS(Table1[[#This Row],[Divorced]]=1, "Divorced", Table1[[#This Row],[Married]]=1, "Married", Table1[[#This Row],[Single]]=1, "Single", Table1[[#This Row],[Together]]=1, "Together", Table1[[#This Row],[Widow]]=1, "Widow")</f>
        <v>Married</v>
      </c>
      <c r="P930" t="str" cm="1">
        <f t="array" ref="P930">_xlfn.IFS(Table1[[#This Row],[Basic]]=1, "Basic", Table1[[#This Row],[Graduate]]=1, "Graduate", Table1[[#This Row],[Master]]=1, "Master", Table1[[#This Row],[PhD]]=1, "PhD", AND(Table1[[#This Row],[Basic]]=0, Table1[[#This Row],[Graduate]]=0, Table1[[#This Row],[Master]]=0, Table1[[#This Row],[PhD]]=0), "NA")</f>
        <v>Master</v>
      </c>
      <c r="Q930" t="e">
        <f>_xlfn.XLOOKUP(Table1[[#This Row],[ID]], Table2[ID],#REF!, "Not Found", 0)</f>
        <v>#REF!</v>
      </c>
      <c r="R930" t="e">
        <f>_xlfn.XLOOKUP(Table1[[#This Row],[ID]], Table2[ID],#REF!, "Not Found", 0)</f>
        <v>#REF!</v>
      </c>
      <c r="S930" s="3" t="str">
        <f>_xlfn.XLOOKUP(Table1[[#This Row],[ID]], Table2[ID], Table2[Enrollment], "Not Found", 0)</f>
        <v>12/14/2019</v>
      </c>
      <c r="T930" t="s">
        <v>439</v>
      </c>
    </row>
    <row r="931" spans="1:20" x14ac:dyDescent="0.3">
      <c r="A931">
        <v>2961</v>
      </c>
      <c r="B931">
        <v>157113</v>
      </c>
      <c r="C931">
        <v>1</v>
      </c>
      <c r="D931">
        <v>1</v>
      </c>
      <c r="E931">
        <v>42</v>
      </c>
      <c r="F931">
        <v>0</v>
      </c>
      <c r="G931">
        <v>1</v>
      </c>
      <c r="H931">
        <v>0</v>
      </c>
      <c r="I931">
        <v>0</v>
      </c>
      <c r="J931">
        <v>0</v>
      </c>
      <c r="K931">
        <v>0</v>
      </c>
      <c r="L931">
        <v>1</v>
      </c>
      <c r="M931">
        <v>0</v>
      </c>
      <c r="N931">
        <v>0</v>
      </c>
      <c r="O931" t="str" cm="1">
        <f t="array" ref="O931">_xlfn.IFS(Table1[[#This Row],[Divorced]]=1, "Divorced", Table1[[#This Row],[Married]]=1, "Married", Table1[[#This Row],[Single]]=1, "Single", Table1[[#This Row],[Together]]=1, "Together", Table1[[#This Row],[Widow]]=1, "Widow")</f>
        <v>Married</v>
      </c>
      <c r="P931" t="str" cm="1">
        <f t="array" ref="P931">_xlfn.IFS(Table1[[#This Row],[Basic]]=1, "Basic", Table1[[#This Row],[Graduate]]=1, "Graduate", Table1[[#This Row],[Master]]=1, "Master", Table1[[#This Row],[PhD]]=1, "PhD", AND(Table1[[#This Row],[Basic]]=0, Table1[[#This Row],[Graduate]]=0, Table1[[#This Row],[Master]]=0, Table1[[#This Row],[PhD]]=0), "NA")</f>
        <v>Graduate</v>
      </c>
      <c r="Q931" t="e">
        <f>_xlfn.XLOOKUP(Table1[[#This Row],[ID]], Table2[ID],#REF!, "Not Found", 0)</f>
        <v>#REF!</v>
      </c>
      <c r="R931" t="e">
        <f>_xlfn.XLOOKUP(Table1[[#This Row],[ID]], Table2[ID],#REF!, "Not Found", 0)</f>
        <v>#REF!</v>
      </c>
      <c r="S931" s="3" t="str">
        <f>_xlfn.XLOOKUP(Table1[[#This Row],[ID]], Table2[ID], Table2[Enrollment], "Not Found", 0)</f>
        <v>7/14/2019</v>
      </c>
      <c r="T931" t="s">
        <v>435</v>
      </c>
    </row>
    <row r="932" spans="1:20" x14ac:dyDescent="0.3">
      <c r="A932">
        <v>2890</v>
      </c>
      <c r="B932">
        <v>157107</v>
      </c>
      <c r="C932">
        <v>0</v>
      </c>
      <c r="D932">
        <v>1</v>
      </c>
      <c r="E932">
        <v>52</v>
      </c>
      <c r="F932">
        <v>0</v>
      </c>
      <c r="G932">
        <v>0</v>
      </c>
      <c r="H932">
        <v>1</v>
      </c>
      <c r="I932">
        <v>0</v>
      </c>
      <c r="J932">
        <v>0</v>
      </c>
      <c r="K932">
        <v>0</v>
      </c>
      <c r="L932">
        <v>1</v>
      </c>
      <c r="M932">
        <v>0</v>
      </c>
      <c r="N932">
        <v>0</v>
      </c>
      <c r="O932" t="str" cm="1">
        <f t="array" ref="O932">_xlfn.IFS(Table1[[#This Row],[Divorced]]=1, "Divorced", Table1[[#This Row],[Married]]=1, "Married", Table1[[#This Row],[Single]]=1, "Single", Table1[[#This Row],[Together]]=1, "Together", Table1[[#This Row],[Widow]]=1, "Widow")</f>
        <v>Single</v>
      </c>
      <c r="P932" t="str" cm="1">
        <f t="array" ref="P932">_xlfn.IFS(Table1[[#This Row],[Basic]]=1, "Basic", Table1[[#This Row],[Graduate]]=1, "Graduate", Table1[[#This Row],[Master]]=1, "Master", Table1[[#This Row],[PhD]]=1, "PhD", AND(Table1[[#This Row],[Basic]]=0, Table1[[#This Row],[Graduate]]=0, Table1[[#This Row],[Master]]=0, Table1[[#This Row],[PhD]]=0), "NA")</f>
        <v>Graduate</v>
      </c>
      <c r="Q932" t="e">
        <f>_xlfn.XLOOKUP(Table1[[#This Row],[ID]], Table2[ID],#REF!, "Not Found", 0)</f>
        <v>#REF!</v>
      </c>
      <c r="R932" t="e">
        <f>_xlfn.XLOOKUP(Table1[[#This Row],[ID]], Table2[ID],#REF!, "Not Found", 0)</f>
        <v>#REF!</v>
      </c>
      <c r="S932" s="3" t="str">
        <f>_xlfn.XLOOKUP(Table1[[#This Row],[ID]], Table2[ID], Table2[Enrollment], "Not Found", 0)</f>
        <v>1/29/2019</v>
      </c>
      <c r="T932" t="s">
        <v>439</v>
      </c>
    </row>
    <row r="933" spans="1:20" x14ac:dyDescent="0.3">
      <c r="A933">
        <v>1884</v>
      </c>
      <c r="B933">
        <v>157100</v>
      </c>
      <c r="C933">
        <v>0</v>
      </c>
      <c r="D933">
        <v>0</v>
      </c>
      <c r="E933">
        <v>47</v>
      </c>
      <c r="F933">
        <v>0</v>
      </c>
      <c r="G933">
        <v>0</v>
      </c>
      <c r="H933">
        <v>0</v>
      </c>
      <c r="I933">
        <v>1</v>
      </c>
      <c r="J933">
        <v>0</v>
      </c>
      <c r="K933">
        <v>0</v>
      </c>
      <c r="L933">
        <v>1</v>
      </c>
      <c r="M933">
        <v>0</v>
      </c>
      <c r="N933">
        <v>0</v>
      </c>
      <c r="O933" t="str" cm="1">
        <f t="array" ref="O933">_xlfn.IFS(Table1[[#This Row],[Divorced]]=1, "Divorced", Table1[[#This Row],[Married]]=1, "Married", Table1[[#This Row],[Single]]=1, "Single", Table1[[#This Row],[Together]]=1, "Together", Table1[[#This Row],[Widow]]=1, "Widow")</f>
        <v>Together</v>
      </c>
      <c r="P933" t="str" cm="1">
        <f t="array" ref="P933">_xlfn.IFS(Table1[[#This Row],[Basic]]=1, "Basic", Table1[[#This Row],[Graduate]]=1, "Graduate", Table1[[#This Row],[Master]]=1, "Master", Table1[[#This Row],[PhD]]=1, "PhD", AND(Table1[[#This Row],[Basic]]=0, Table1[[#This Row],[Graduate]]=0, Table1[[#This Row],[Master]]=0, Table1[[#This Row],[PhD]]=0), "NA")</f>
        <v>Graduate</v>
      </c>
      <c r="Q933" t="e">
        <f>_xlfn.XLOOKUP(Table1[[#This Row],[ID]], Table2[ID],#REF!, "Not Found", 0)</f>
        <v>#REF!</v>
      </c>
      <c r="R933" t="e">
        <f>_xlfn.XLOOKUP(Table1[[#This Row],[ID]], Table2[ID],#REF!, "Not Found", 0)</f>
        <v>#REF!</v>
      </c>
      <c r="S933" s="3">
        <f>_xlfn.XLOOKUP(Table1[[#This Row],[ID]], Table2[ID], Table2[Enrollment], "Not Found", 0)</f>
        <v>44109</v>
      </c>
      <c r="T933" t="s">
        <v>436</v>
      </c>
    </row>
    <row r="934" spans="1:20" x14ac:dyDescent="0.3">
      <c r="A934">
        <v>2593</v>
      </c>
      <c r="B934">
        <v>157100</v>
      </c>
      <c r="C934">
        <v>1</v>
      </c>
      <c r="D934">
        <v>0</v>
      </c>
      <c r="E934">
        <v>33</v>
      </c>
      <c r="F934">
        <v>0</v>
      </c>
      <c r="G934">
        <v>0</v>
      </c>
      <c r="H934">
        <v>1</v>
      </c>
      <c r="I934">
        <v>0</v>
      </c>
      <c r="J934">
        <v>0</v>
      </c>
      <c r="K934">
        <v>0</v>
      </c>
      <c r="L934">
        <v>1</v>
      </c>
      <c r="M934">
        <v>0</v>
      </c>
      <c r="N934">
        <v>0</v>
      </c>
      <c r="O934" t="str" cm="1">
        <f t="array" ref="O934">_xlfn.IFS(Table1[[#This Row],[Divorced]]=1, "Divorced", Table1[[#This Row],[Married]]=1, "Married", Table1[[#This Row],[Single]]=1, "Single", Table1[[#This Row],[Together]]=1, "Together", Table1[[#This Row],[Widow]]=1, "Widow")</f>
        <v>Single</v>
      </c>
      <c r="P934" t="str" cm="1">
        <f t="array" ref="P934">_xlfn.IFS(Table1[[#This Row],[Basic]]=1, "Basic", Table1[[#This Row],[Graduate]]=1, "Graduate", Table1[[#This Row],[Master]]=1, "Master", Table1[[#This Row],[PhD]]=1, "PhD", AND(Table1[[#This Row],[Basic]]=0, Table1[[#This Row],[Graduate]]=0, Table1[[#This Row],[Master]]=0, Table1[[#This Row],[PhD]]=0), "NA")</f>
        <v>Graduate</v>
      </c>
      <c r="Q934" t="e">
        <f>_xlfn.XLOOKUP(Table1[[#This Row],[ID]], Table2[ID],#REF!, "Not Found", 0)</f>
        <v>#REF!</v>
      </c>
      <c r="R934" t="e">
        <f>_xlfn.XLOOKUP(Table1[[#This Row],[ID]], Table2[ID],#REF!, "Not Found", 0)</f>
        <v>#REF!</v>
      </c>
      <c r="S934" s="3" t="str">
        <f>_xlfn.XLOOKUP(Table1[[#This Row],[ID]], Table2[ID], Table2[Enrollment], "Not Found", 0)</f>
        <v>10/22/2020</v>
      </c>
      <c r="T934" t="s">
        <v>437</v>
      </c>
    </row>
    <row r="935" spans="1:20" x14ac:dyDescent="0.3">
      <c r="A935">
        <v>1803</v>
      </c>
      <c r="B935">
        <v>157091</v>
      </c>
      <c r="C935">
        <v>0</v>
      </c>
      <c r="D935">
        <v>0</v>
      </c>
      <c r="E935">
        <v>59</v>
      </c>
      <c r="F935">
        <v>0</v>
      </c>
      <c r="G935">
        <v>0</v>
      </c>
      <c r="H935">
        <v>1</v>
      </c>
      <c r="I935">
        <v>0</v>
      </c>
      <c r="J935">
        <v>0</v>
      </c>
      <c r="K935">
        <v>0</v>
      </c>
      <c r="L935">
        <v>1</v>
      </c>
      <c r="M935">
        <v>0</v>
      </c>
      <c r="N935">
        <v>0</v>
      </c>
      <c r="O935" t="str" cm="1">
        <f t="array" ref="O935">_xlfn.IFS(Table1[[#This Row],[Divorced]]=1, "Divorced", Table1[[#This Row],[Married]]=1, "Married", Table1[[#This Row],[Single]]=1, "Single", Table1[[#This Row],[Together]]=1, "Together", Table1[[#This Row],[Widow]]=1, "Widow")</f>
        <v>Single</v>
      </c>
      <c r="P935" t="str" cm="1">
        <f t="array" ref="P935">_xlfn.IFS(Table1[[#This Row],[Basic]]=1, "Basic", Table1[[#This Row],[Graduate]]=1, "Graduate", Table1[[#This Row],[Master]]=1, "Master", Table1[[#This Row],[PhD]]=1, "PhD", AND(Table1[[#This Row],[Basic]]=0, Table1[[#This Row],[Graduate]]=0, Table1[[#This Row],[Master]]=0, Table1[[#This Row],[PhD]]=0), "NA")</f>
        <v>Graduate</v>
      </c>
      <c r="Q935" t="e">
        <f>_xlfn.XLOOKUP(Table1[[#This Row],[ID]], Table2[ID],#REF!, "Not Found", 0)</f>
        <v>#REF!</v>
      </c>
      <c r="R935" t="e">
        <f>_xlfn.XLOOKUP(Table1[[#This Row],[ID]], Table2[ID],#REF!, "Not Found", 0)</f>
        <v>#REF!</v>
      </c>
      <c r="S935" s="3" t="str">
        <f>_xlfn.XLOOKUP(Table1[[#This Row],[ID]], Table2[ID], Table2[Enrollment], "Not Found", 0)</f>
        <v>11/19/2020</v>
      </c>
      <c r="T935" t="s">
        <v>435</v>
      </c>
    </row>
    <row r="936" spans="1:20" x14ac:dyDescent="0.3">
      <c r="A936">
        <v>2267</v>
      </c>
      <c r="B936">
        <v>157091</v>
      </c>
      <c r="C936">
        <v>0</v>
      </c>
      <c r="D936">
        <v>1</v>
      </c>
      <c r="E936">
        <v>48</v>
      </c>
      <c r="F936">
        <v>0</v>
      </c>
      <c r="G936">
        <v>1</v>
      </c>
      <c r="H936">
        <v>0</v>
      </c>
      <c r="I936">
        <v>0</v>
      </c>
      <c r="J936">
        <v>0</v>
      </c>
      <c r="K936">
        <v>0</v>
      </c>
      <c r="L936">
        <v>0</v>
      </c>
      <c r="M936">
        <v>0</v>
      </c>
      <c r="N936">
        <v>1</v>
      </c>
      <c r="O936" t="str" cm="1">
        <f t="array" ref="O936">_xlfn.IFS(Table1[[#This Row],[Divorced]]=1, "Divorced", Table1[[#This Row],[Married]]=1, "Married", Table1[[#This Row],[Single]]=1, "Single", Table1[[#This Row],[Together]]=1, "Together", Table1[[#This Row],[Widow]]=1, "Widow")</f>
        <v>Married</v>
      </c>
      <c r="P936" t="str" cm="1">
        <f t="array" ref="P936">_xlfn.IFS(Table1[[#This Row],[Basic]]=1, "Basic", Table1[[#This Row],[Graduate]]=1, "Graduate", Table1[[#This Row],[Master]]=1, "Master", Table1[[#This Row],[PhD]]=1, "PhD", AND(Table1[[#This Row],[Basic]]=0, Table1[[#This Row],[Graduate]]=0, Table1[[#This Row],[Master]]=0, Table1[[#This Row],[PhD]]=0), "NA")</f>
        <v>PhD</v>
      </c>
      <c r="Q936" t="e">
        <f>_xlfn.XLOOKUP(Table1[[#This Row],[ID]], Table2[ID],#REF!, "Not Found", 0)</f>
        <v>#REF!</v>
      </c>
      <c r="R936" t="e">
        <f>_xlfn.XLOOKUP(Table1[[#This Row],[ID]], Table2[ID],#REF!, "Not Found", 0)</f>
        <v>#REF!</v>
      </c>
      <c r="S936" s="3" t="str">
        <f>_xlfn.XLOOKUP(Table1[[#This Row],[ID]], Table2[ID], Table2[Enrollment], "Not Found", 0)</f>
        <v>4/30/2019</v>
      </c>
      <c r="T936" t="s">
        <v>434</v>
      </c>
    </row>
    <row r="937" spans="1:20" x14ac:dyDescent="0.3">
      <c r="A937">
        <v>2455</v>
      </c>
      <c r="B937">
        <v>157072</v>
      </c>
      <c r="C937">
        <v>0</v>
      </c>
      <c r="D937">
        <v>1</v>
      </c>
      <c r="E937">
        <v>59</v>
      </c>
      <c r="F937">
        <v>0</v>
      </c>
      <c r="G937">
        <v>1</v>
      </c>
      <c r="H937">
        <v>0</v>
      </c>
      <c r="I937">
        <v>0</v>
      </c>
      <c r="J937">
        <v>0</v>
      </c>
      <c r="K937">
        <v>0</v>
      </c>
      <c r="L937">
        <v>0</v>
      </c>
      <c r="M937">
        <v>0</v>
      </c>
      <c r="N937">
        <v>1</v>
      </c>
      <c r="O937" t="str" cm="1">
        <f t="array" ref="O937">_xlfn.IFS(Table1[[#This Row],[Divorced]]=1, "Divorced", Table1[[#This Row],[Married]]=1, "Married", Table1[[#This Row],[Single]]=1, "Single", Table1[[#This Row],[Together]]=1, "Together", Table1[[#This Row],[Widow]]=1, "Widow")</f>
        <v>Married</v>
      </c>
      <c r="P937" t="str" cm="1">
        <f t="array" ref="P937">_xlfn.IFS(Table1[[#This Row],[Basic]]=1, "Basic", Table1[[#This Row],[Graduate]]=1, "Graduate", Table1[[#This Row],[Master]]=1, "Master", Table1[[#This Row],[PhD]]=1, "PhD", AND(Table1[[#This Row],[Basic]]=0, Table1[[#This Row],[Graduate]]=0, Table1[[#This Row],[Master]]=0, Table1[[#This Row],[PhD]]=0), "NA")</f>
        <v>PhD</v>
      </c>
      <c r="Q937" t="e">
        <f>_xlfn.XLOOKUP(Table1[[#This Row],[ID]], Table2[ID],#REF!, "Not Found", 0)</f>
        <v>#REF!</v>
      </c>
      <c r="R937" t="e">
        <f>_xlfn.XLOOKUP(Table1[[#This Row],[ID]], Table2[ID],#REF!, "Not Found", 0)</f>
        <v>#REF!</v>
      </c>
      <c r="S937" s="3" t="str">
        <f>_xlfn.XLOOKUP(Table1[[#This Row],[ID]], Table2[ID], Table2[Enrollment], "Not Found", 0)</f>
        <v>6/30/2020</v>
      </c>
      <c r="T937" t="s">
        <v>437</v>
      </c>
    </row>
    <row r="938" spans="1:20" x14ac:dyDescent="0.3">
      <c r="A938">
        <v>2384</v>
      </c>
      <c r="B938">
        <v>157045</v>
      </c>
      <c r="C938">
        <v>0</v>
      </c>
      <c r="D938">
        <v>1</v>
      </c>
      <c r="E938">
        <v>70</v>
      </c>
      <c r="F938">
        <v>0</v>
      </c>
      <c r="G938">
        <v>1</v>
      </c>
      <c r="H938">
        <v>0</v>
      </c>
      <c r="I938">
        <v>0</v>
      </c>
      <c r="J938">
        <v>0</v>
      </c>
      <c r="K938">
        <v>0</v>
      </c>
      <c r="L938">
        <v>1</v>
      </c>
      <c r="M938">
        <v>0</v>
      </c>
      <c r="N938">
        <v>0</v>
      </c>
      <c r="O938" t="str" cm="1">
        <f t="array" ref="O938">_xlfn.IFS(Table1[[#This Row],[Divorced]]=1, "Divorced", Table1[[#This Row],[Married]]=1, "Married", Table1[[#This Row],[Single]]=1, "Single", Table1[[#This Row],[Together]]=1, "Together", Table1[[#This Row],[Widow]]=1, "Widow")</f>
        <v>Married</v>
      </c>
      <c r="P938" t="str" cm="1">
        <f t="array" ref="P938">_xlfn.IFS(Table1[[#This Row],[Basic]]=1, "Basic", Table1[[#This Row],[Graduate]]=1, "Graduate", Table1[[#This Row],[Master]]=1, "Master", Table1[[#This Row],[PhD]]=1, "PhD", AND(Table1[[#This Row],[Basic]]=0, Table1[[#This Row],[Graduate]]=0, Table1[[#This Row],[Master]]=0, Table1[[#This Row],[PhD]]=0), "NA")</f>
        <v>Graduate</v>
      </c>
      <c r="Q938" t="e">
        <f>_xlfn.XLOOKUP(Table1[[#This Row],[ID]], Table2[ID],#REF!, "Not Found", 0)</f>
        <v>#REF!</v>
      </c>
      <c r="R938" t="e">
        <f>_xlfn.XLOOKUP(Table1[[#This Row],[ID]], Table2[ID],#REF!, "Not Found", 0)</f>
        <v>#REF!</v>
      </c>
      <c r="S938" s="3" t="str">
        <f>_xlfn.XLOOKUP(Table1[[#This Row],[ID]], Table2[ID], Table2[Enrollment], "Not Found", 0)</f>
        <v>2/13/2019</v>
      </c>
      <c r="T938" t="s">
        <v>438</v>
      </c>
    </row>
    <row r="939" spans="1:20" x14ac:dyDescent="0.3">
      <c r="A939">
        <v>2506</v>
      </c>
      <c r="B939">
        <v>157036</v>
      </c>
      <c r="C939">
        <v>0</v>
      </c>
      <c r="D939">
        <v>1</v>
      </c>
      <c r="E939">
        <v>45</v>
      </c>
      <c r="F939">
        <v>0</v>
      </c>
      <c r="G939">
        <v>1</v>
      </c>
      <c r="H939">
        <v>0</v>
      </c>
      <c r="I939">
        <v>0</v>
      </c>
      <c r="J939">
        <v>0</v>
      </c>
      <c r="K939">
        <v>0</v>
      </c>
      <c r="L939">
        <v>0</v>
      </c>
      <c r="M939">
        <v>0</v>
      </c>
      <c r="N939">
        <v>0</v>
      </c>
      <c r="O939" t="str" cm="1">
        <f t="array" ref="O939">_xlfn.IFS(Table1[[#This Row],[Divorced]]=1, "Divorced", Table1[[#This Row],[Married]]=1, "Married", Table1[[#This Row],[Single]]=1, "Single", Table1[[#This Row],[Together]]=1, "Together", Table1[[#This Row],[Widow]]=1, "Widow")</f>
        <v>Married</v>
      </c>
      <c r="P939" t="str" cm="1">
        <f t="array" ref="P939">_xlfn.IFS(Table1[[#This Row],[Basic]]=1, "Basic", Table1[[#This Row],[Graduate]]=1, "Graduate", Table1[[#This Row],[Master]]=1, "Master", Table1[[#This Row],[PhD]]=1, "PhD", AND(Table1[[#This Row],[Basic]]=0, Table1[[#This Row],[Graduate]]=0, Table1[[#This Row],[Master]]=0, Table1[[#This Row],[PhD]]=0), "NA")</f>
        <v>NA</v>
      </c>
      <c r="Q939" t="e">
        <f>_xlfn.XLOOKUP(Table1[[#This Row],[ID]], Table2[ID],#REF!, "Not Found", 0)</f>
        <v>#REF!</v>
      </c>
      <c r="R939" t="e">
        <f>_xlfn.XLOOKUP(Table1[[#This Row],[ID]], Table2[ID],#REF!, "Not Found", 0)</f>
        <v>#REF!</v>
      </c>
      <c r="S939" s="3" t="str">
        <f>_xlfn.XLOOKUP(Table1[[#This Row],[ID]], Table2[ID], Table2[Enrollment], "Not Found", 0)</f>
        <v>5/18/2019</v>
      </c>
      <c r="T939" t="s">
        <v>439</v>
      </c>
    </row>
    <row r="940" spans="1:20" x14ac:dyDescent="0.3">
      <c r="A940">
        <v>3203</v>
      </c>
      <c r="B940">
        <v>156981</v>
      </c>
      <c r="C940">
        <v>0</v>
      </c>
      <c r="D940">
        <v>0</v>
      </c>
      <c r="E940">
        <v>39</v>
      </c>
      <c r="F940">
        <v>1</v>
      </c>
      <c r="G940">
        <v>0</v>
      </c>
      <c r="H940">
        <v>0</v>
      </c>
      <c r="I940">
        <v>0</v>
      </c>
      <c r="J940">
        <v>0</v>
      </c>
      <c r="K940">
        <v>0</v>
      </c>
      <c r="L940">
        <v>1</v>
      </c>
      <c r="M940">
        <v>0</v>
      </c>
      <c r="N940">
        <v>0</v>
      </c>
      <c r="O940" t="str" cm="1">
        <f t="array" ref="O940">_xlfn.IFS(Table1[[#This Row],[Divorced]]=1, "Divorced", Table1[[#This Row],[Married]]=1, "Married", Table1[[#This Row],[Single]]=1, "Single", Table1[[#This Row],[Together]]=1, "Together", Table1[[#This Row],[Widow]]=1, "Widow")</f>
        <v>Divorced</v>
      </c>
      <c r="P940" t="str" cm="1">
        <f t="array" ref="P940">_xlfn.IFS(Table1[[#This Row],[Basic]]=1, "Basic", Table1[[#This Row],[Graduate]]=1, "Graduate", Table1[[#This Row],[Master]]=1, "Master", Table1[[#This Row],[PhD]]=1, "PhD", AND(Table1[[#This Row],[Basic]]=0, Table1[[#This Row],[Graduate]]=0, Table1[[#This Row],[Master]]=0, Table1[[#This Row],[PhD]]=0), "NA")</f>
        <v>Graduate</v>
      </c>
      <c r="Q940" t="e">
        <f>_xlfn.XLOOKUP(Table1[[#This Row],[ID]], Table2[ID],#REF!, "Not Found", 0)</f>
        <v>#REF!</v>
      </c>
      <c r="R940" t="e">
        <f>_xlfn.XLOOKUP(Table1[[#This Row],[ID]], Table2[ID],#REF!, "Not Found", 0)</f>
        <v>#REF!</v>
      </c>
      <c r="S940" s="3">
        <f>_xlfn.XLOOKUP(Table1[[#This Row],[ID]], Table2[ID], Table2[Enrollment], "Not Found", 0)</f>
        <v>43837</v>
      </c>
      <c r="T940" t="s">
        <v>434</v>
      </c>
    </row>
    <row r="941" spans="1:20" x14ac:dyDescent="0.3">
      <c r="A941">
        <v>1709</v>
      </c>
      <c r="B941">
        <v>156962</v>
      </c>
      <c r="C941">
        <v>2</v>
      </c>
      <c r="D941">
        <v>1</v>
      </c>
      <c r="E941">
        <v>55</v>
      </c>
      <c r="F941">
        <v>0</v>
      </c>
      <c r="G941">
        <v>1</v>
      </c>
      <c r="H941">
        <v>0</v>
      </c>
      <c r="I941">
        <v>0</v>
      </c>
      <c r="J941">
        <v>0</v>
      </c>
      <c r="K941">
        <v>0</v>
      </c>
      <c r="L941">
        <v>0</v>
      </c>
      <c r="M941">
        <v>1</v>
      </c>
      <c r="N941">
        <v>0</v>
      </c>
      <c r="O941" t="str" cm="1">
        <f t="array" ref="O941">_xlfn.IFS(Table1[[#This Row],[Divorced]]=1, "Divorced", Table1[[#This Row],[Married]]=1, "Married", Table1[[#This Row],[Single]]=1, "Single", Table1[[#This Row],[Together]]=1, "Together", Table1[[#This Row],[Widow]]=1, "Widow")</f>
        <v>Married</v>
      </c>
      <c r="P941" t="str" cm="1">
        <f t="array" ref="P941">_xlfn.IFS(Table1[[#This Row],[Basic]]=1, "Basic", Table1[[#This Row],[Graduate]]=1, "Graduate", Table1[[#This Row],[Master]]=1, "Master", Table1[[#This Row],[PhD]]=1, "PhD", AND(Table1[[#This Row],[Basic]]=0, Table1[[#This Row],[Graduate]]=0, Table1[[#This Row],[Master]]=0, Table1[[#This Row],[PhD]]=0), "NA")</f>
        <v>Master</v>
      </c>
      <c r="Q941" t="e">
        <f>_xlfn.XLOOKUP(Table1[[#This Row],[ID]], Table2[ID],#REF!, "Not Found", 0)</f>
        <v>#REF!</v>
      </c>
      <c r="R941" t="e">
        <f>_xlfn.XLOOKUP(Table1[[#This Row],[ID]], Table2[ID],#REF!, "Not Found", 0)</f>
        <v>#REF!</v>
      </c>
      <c r="S941" s="3" t="str">
        <f>_xlfn.XLOOKUP(Table1[[#This Row],[ID]], Table2[ID], Table2[Enrollment], "Not Found", 0)</f>
        <v>3/17/2020</v>
      </c>
      <c r="T941" t="s">
        <v>434</v>
      </c>
    </row>
    <row r="942" spans="1:20" x14ac:dyDescent="0.3">
      <c r="A942">
        <v>1958</v>
      </c>
      <c r="B942">
        <v>156962</v>
      </c>
      <c r="C942">
        <v>2</v>
      </c>
      <c r="D942">
        <v>1</v>
      </c>
      <c r="E942">
        <v>55</v>
      </c>
      <c r="F942">
        <v>0</v>
      </c>
      <c r="G942">
        <v>1</v>
      </c>
      <c r="H942">
        <v>0</v>
      </c>
      <c r="I942">
        <v>0</v>
      </c>
      <c r="J942">
        <v>0</v>
      </c>
      <c r="K942">
        <v>0</v>
      </c>
      <c r="L942">
        <v>0</v>
      </c>
      <c r="M942">
        <v>1</v>
      </c>
      <c r="N942">
        <v>0</v>
      </c>
      <c r="O942" t="str" cm="1">
        <f t="array" ref="O942">_xlfn.IFS(Table1[[#This Row],[Divorced]]=1, "Divorced", Table1[[#This Row],[Married]]=1, "Married", Table1[[#This Row],[Single]]=1, "Single", Table1[[#This Row],[Together]]=1, "Together", Table1[[#This Row],[Widow]]=1, "Widow")</f>
        <v>Married</v>
      </c>
      <c r="P942" t="str" cm="1">
        <f t="array" ref="P942">_xlfn.IFS(Table1[[#This Row],[Basic]]=1, "Basic", Table1[[#This Row],[Graduate]]=1, "Graduate", Table1[[#This Row],[Master]]=1, "Master", Table1[[#This Row],[PhD]]=1, "PhD", AND(Table1[[#This Row],[Basic]]=0, Table1[[#This Row],[Graduate]]=0, Table1[[#This Row],[Master]]=0, Table1[[#This Row],[PhD]]=0), "NA")</f>
        <v>Master</v>
      </c>
      <c r="Q942" t="e">
        <f>_xlfn.XLOOKUP(Table1[[#This Row],[ID]], Table2[ID],#REF!, "Not Found", 0)</f>
        <v>#REF!</v>
      </c>
      <c r="R942" t="e">
        <f>_xlfn.XLOOKUP(Table1[[#This Row],[ID]], Table2[ID],#REF!, "Not Found", 0)</f>
        <v>#REF!</v>
      </c>
      <c r="S942" s="3" t="str">
        <f>_xlfn.XLOOKUP(Table1[[#This Row],[ID]], Table2[ID], Table2[Enrollment], "Not Found", 0)</f>
        <v>3/17/2020</v>
      </c>
      <c r="T942" t="s">
        <v>438</v>
      </c>
    </row>
    <row r="943" spans="1:20" x14ac:dyDescent="0.3">
      <c r="A943">
        <v>2926</v>
      </c>
      <c r="B943">
        <v>156939</v>
      </c>
      <c r="C943">
        <v>0</v>
      </c>
      <c r="D943">
        <v>1</v>
      </c>
      <c r="E943">
        <v>44</v>
      </c>
      <c r="F943">
        <v>0</v>
      </c>
      <c r="G943">
        <v>1</v>
      </c>
      <c r="H943">
        <v>0</v>
      </c>
      <c r="I943">
        <v>0</v>
      </c>
      <c r="J943">
        <v>0</v>
      </c>
      <c r="K943">
        <v>0</v>
      </c>
      <c r="L943">
        <v>1</v>
      </c>
      <c r="M943">
        <v>0</v>
      </c>
      <c r="N943">
        <v>0</v>
      </c>
      <c r="O943" t="str" cm="1">
        <f t="array" ref="O943">_xlfn.IFS(Table1[[#This Row],[Divorced]]=1, "Divorced", Table1[[#This Row],[Married]]=1, "Married", Table1[[#This Row],[Single]]=1, "Single", Table1[[#This Row],[Together]]=1, "Together", Table1[[#This Row],[Widow]]=1, "Widow")</f>
        <v>Married</v>
      </c>
      <c r="P943" t="str" cm="1">
        <f t="array" ref="P943">_xlfn.IFS(Table1[[#This Row],[Basic]]=1, "Basic", Table1[[#This Row],[Graduate]]=1, "Graduate", Table1[[#This Row],[Master]]=1, "Master", Table1[[#This Row],[PhD]]=1, "PhD", AND(Table1[[#This Row],[Basic]]=0, Table1[[#This Row],[Graduate]]=0, Table1[[#This Row],[Master]]=0, Table1[[#This Row],[PhD]]=0), "NA")</f>
        <v>Graduate</v>
      </c>
      <c r="Q943" t="e">
        <f>_xlfn.XLOOKUP(Table1[[#This Row],[ID]], Table2[ID],#REF!, "Not Found", 0)</f>
        <v>#REF!</v>
      </c>
      <c r="R943" t="e">
        <f>_xlfn.XLOOKUP(Table1[[#This Row],[ID]], Table2[ID],#REF!, "Not Found", 0)</f>
        <v>#REF!</v>
      </c>
      <c r="S943" s="3" t="str">
        <f>_xlfn.XLOOKUP(Table1[[#This Row],[ID]], Table2[ID], Table2[Enrollment], "Not Found", 0)</f>
        <v>2/23/2020</v>
      </c>
      <c r="T943" t="s">
        <v>439</v>
      </c>
    </row>
    <row r="944" spans="1:20" x14ac:dyDescent="0.3">
      <c r="A944">
        <v>1456</v>
      </c>
      <c r="B944">
        <v>156937</v>
      </c>
      <c r="C944">
        <v>1</v>
      </c>
      <c r="D944">
        <v>0</v>
      </c>
      <c r="E944">
        <v>39</v>
      </c>
      <c r="F944">
        <v>0</v>
      </c>
      <c r="G944">
        <v>0</v>
      </c>
      <c r="H944">
        <v>0</v>
      </c>
      <c r="I944">
        <v>1</v>
      </c>
      <c r="J944">
        <v>0</v>
      </c>
      <c r="K944">
        <v>0</v>
      </c>
      <c r="L944">
        <v>0</v>
      </c>
      <c r="M944">
        <v>0</v>
      </c>
      <c r="N944">
        <v>1</v>
      </c>
      <c r="O944" t="str" cm="1">
        <f t="array" ref="O944">_xlfn.IFS(Table1[[#This Row],[Divorced]]=1, "Divorced", Table1[[#This Row],[Married]]=1, "Married", Table1[[#This Row],[Single]]=1, "Single", Table1[[#This Row],[Together]]=1, "Together", Table1[[#This Row],[Widow]]=1, "Widow")</f>
        <v>Together</v>
      </c>
      <c r="P944" t="str" cm="1">
        <f t="array" ref="P944">_xlfn.IFS(Table1[[#This Row],[Basic]]=1, "Basic", Table1[[#This Row],[Graduate]]=1, "Graduate", Table1[[#This Row],[Master]]=1, "Master", Table1[[#This Row],[PhD]]=1, "PhD", AND(Table1[[#This Row],[Basic]]=0, Table1[[#This Row],[Graduate]]=0, Table1[[#This Row],[Master]]=0, Table1[[#This Row],[PhD]]=0), "NA")</f>
        <v>PhD</v>
      </c>
      <c r="Q944" t="e">
        <f>_xlfn.XLOOKUP(Table1[[#This Row],[ID]], Table2[ID],#REF!, "Not Found", 0)</f>
        <v>#REF!</v>
      </c>
      <c r="R944" t="e">
        <f>_xlfn.XLOOKUP(Table1[[#This Row],[ID]], Table2[ID],#REF!, "Not Found", 0)</f>
        <v>#REF!</v>
      </c>
      <c r="S944" s="3">
        <f>_xlfn.XLOOKUP(Table1[[#This Row],[ID]], Table2[ID], Table2[Enrollment], "Not Found", 0)</f>
        <v>43709</v>
      </c>
      <c r="T944" t="s">
        <v>439</v>
      </c>
    </row>
    <row r="945" spans="1:20" x14ac:dyDescent="0.3">
      <c r="A945">
        <v>1787</v>
      </c>
      <c r="B945">
        <v>156850</v>
      </c>
      <c r="C945">
        <v>0</v>
      </c>
      <c r="D945">
        <v>1</v>
      </c>
      <c r="E945">
        <v>49</v>
      </c>
      <c r="F945">
        <v>0</v>
      </c>
      <c r="G945">
        <v>1</v>
      </c>
      <c r="H945">
        <v>0</v>
      </c>
      <c r="I945">
        <v>0</v>
      </c>
      <c r="J945">
        <v>0</v>
      </c>
      <c r="K945">
        <v>0</v>
      </c>
      <c r="L945">
        <v>0</v>
      </c>
      <c r="M945">
        <v>1</v>
      </c>
      <c r="N945">
        <v>0</v>
      </c>
      <c r="O945" t="str" cm="1">
        <f t="array" ref="O945">_xlfn.IFS(Table1[[#This Row],[Divorced]]=1, "Divorced", Table1[[#This Row],[Married]]=1, "Married", Table1[[#This Row],[Single]]=1, "Single", Table1[[#This Row],[Together]]=1, "Together", Table1[[#This Row],[Widow]]=1, "Widow")</f>
        <v>Married</v>
      </c>
      <c r="P945" t="str" cm="1">
        <f t="array" ref="P945">_xlfn.IFS(Table1[[#This Row],[Basic]]=1, "Basic", Table1[[#This Row],[Graduate]]=1, "Graduate", Table1[[#This Row],[Master]]=1, "Master", Table1[[#This Row],[PhD]]=1, "PhD", AND(Table1[[#This Row],[Basic]]=0, Table1[[#This Row],[Graduate]]=0, Table1[[#This Row],[Master]]=0, Table1[[#This Row],[PhD]]=0), "NA")</f>
        <v>Master</v>
      </c>
      <c r="Q945" t="e">
        <f>_xlfn.XLOOKUP(Table1[[#This Row],[ID]], Table2[ID],#REF!, "Not Found", 0)</f>
        <v>#REF!</v>
      </c>
      <c r="R945" t="e">
        <f>_xlfn.XLOOKUP(Table1[[#This Row],[ID]], Table2[ID],#REF!, "Not Found", 0)</f>
        <v>#REF!</v>
      </c>
      <c r="S945" s="3" t="str">
        <f>_xlfn.XLOOKUP(Table1[[#This Row],[ID]], Table2[ID], Table2[Enrollment], "Not Found", 0)</f>
        <v>8/27/2020</v>
      </c>
      <c r="T945" t="s">
        <v>434</v>
      </c>
    </row>
    <row r="946" spans="1:20" x14ac:dyDescent="0.3">
      <c r="A946">
        <v>1435</v>
      </c>
      <c r="B946">
        <v>156796</v>
      </c>
      <c r="C946">
        <v>0</v>
      </c>
      <c r="D946">
        <v>1</v>
      </c>
      <c r="E946">
        <v>51</v>
      </c>
      <c r="F946">
        <v>0</v>
      </c>
      <c r="G946">
        <v>1</v>
      </c>
      <c r="H946">
        <v>0</v>
      </c>
      <c r="I946">
        <v>0</v>
      </c>
      <c r="J946">
        <v>0</v>
      </c>
      <c r="K946">
        <v>0</v>
      </c>
      <c r="L946">
        <v>1</v>
      </c>
      <c r="M946">
        <v>0</v>
      </c>
      <c r="N946">
        <v>0</v>
      </c>
      <c r="O946" t="str" cm="1">
        <f t="array" ref="O946">_xlfn.IFS(Table1[[#This Row],[Divorced]]=1, "Divorced", Table1[[#This Row],[Married]]=1, "Married", Table1[[#This Row],[Single]]=1, "Single", Table1[[#This Row],[Together]]=1, "Together", Table1[[#This Row],[Widow]]=1, "Widow")</f>
        <v>Married</v>
      </c>
      <c r="P946" t="str" cm="1">
        <f t="array" ref="P946">_xlfn.IFS(Table1[[#This Row],[Basic]]=1, "Basic", Table1[[#This Row],[Graduate]]=1, "Graduate", Table1[[#This Row],[Master]]=1, "Master", Table1[[#This Row],[PhD]]=1, "PhD", AND(Table1[[#This Row],[Basic]]=0, Table1[[#This Row],[Graduate]]=0, Table1[[#This Row],[Master]]=0, Table1[[#This Row],[PhD]]=0), "NA")</f>
        <v>Graduate</v>
      </c>
      <c r="Q946" t="e">
        <f>_xlfn.XLOOKUP(Table1[[#This Row],[ID]], Table2[ID],#REF!, "Not Found", 0)</f>
        <v>#REF!</v>
      </c>
      <c r="R946" t="e">
        <f>_xlfn.XLOOKUP(Table1[[#This Row],[ID]], Table2[ID],#REF!, "Not Found", 0)</f>
        <v>#REF!</v>
      </c>
      <c r="S946" s="3" t="str">
        <f>_xlfn.XLOOKUP(Table1[[#This Row],[ID]], Table2[ID], Table2[Enrollment], "Not Found", 0)</f>
        <v>7/24/2019</v>
      </c>
      <c r="T946" t="s">
        <v>437</v>
      </c>
    </row>
    <row r="947" spans="1:20" x14ac:dyDescent="0.3">
      <c r="A947">
        <v>3054</v>
      </c>
      <c r="B947">
        <v>156796</v>
      </c>
      <c r="C947">
        <v>0</v>
      </c>
      <c r="D947">
        <v>1</v>
      </c>
      <c r="E947">
        <v>51</v>
      </c>
      <c r="F947">
        <v>0</v>
      </c>
      <c r="G947">
        <v>1</v>
      </c>
      <c r="H947">
        <v>0</v>
      </c>
      <c r="I947">
        <v>0</v>
      </c>
      <c r="J947">
        <v>0</v>
      </c>
      <c r="K947">
        <v>0</v>
      </c>
      <c r="L947">
        <v>1</v>
      </c>
      <c r="M947">
        <v>0</v>
      </c>
      <c r="N947">
        <v>0</v>
      </c>
      <c r="O947" t="str" cm="1">
        <f t="array" ref="O947">_xlfn.IFS(Table1[[#This Row],[Divorced]]=1, "Divorced", Table1[[#This Row],[Married]]=1, "Married", Table1[[#This Row],[Single]]=1, "Single", Table1[[#This Row],[Together]]=1, "Together", Table1[[#This Row],[Widow]]=1, "Widow")</f>
        <v>Married</v>
      </c>
      <c r="P947" t="str" cm="1">
        <f t="array" ref="P947">_xlfn.IFS(Table1[[#This Row],[Basic]]=1, "Basic", Table1[[#This Row],[Graduate]]=1, "Graduate", Table1[[#This Row],[Master]]=1, "Master", Table1[[#This Row],[PhD]]=1, "PhD", AND(Table1[[#This Row],[Basic]]=0, Table1[[#This Row],[Graduate]]=0, Table1[[#This Row],[Master]]=0, Table1[[#This Row],[PhD]]=0), "NA")</f>
        <v>Graduate</v>
      </c>
      <c r="Q947" t="e">
        <f>_xlfn.XLOOKUP(Table1[[#This Row],[ID]], Table2[ID],#REF!, "Not Found", 0)</f>
        <v>#REF!</v>
      </c>
      <c r="R947" t="e">
        <f>_xlfn.XLOOKUP(Table1[[#This Row],[ID]], Table2[ID],#REF!, "Not Found", 0)</f>
        <v>#REF!</v>
      </c>
      <c r="S947" s="3" t="str">
        <f>_xlfn.XLOOKUP(Table1[[#This Row],[ID]], Table2[ID], Table2[Enrollment], "Not Found", 0)</f>
        <v>7/24/2019</v>
      </c>
      <c r="T947" t="s">
        <v>436</v>
      </c>
    </row>
    <row r="948" spans="1:20" x14ac:dyDescent="0.3">
      <c r="A948">
        <v>2080</v>
      </c>
      <c r="B948">
        <v>156775</v>
      </c>
      <c r="C948">
        <v>0</v>
      </c>
      <c r="D948">
        <v>1</v>
      </c>
      <c r="E948">
        <v>41</v>
      </c>
      <c r="F948">
        <v>0</v>
      </c>
      <c r="G948">
        <v>1</v>
      </c>
      <c r="H948">
        <v>0</v>
      </c>
      <c r="I948">
        <v>0</v>
      </c>
      <c r="J948">
        <v>0</v>
      </c>
      <c r="K948">
        <v>0</v>
      </c>
      <c r="L948">
        <v>1</v>
      </c>
      <c r="M948">
        <v>0</v>
      </c>
      <c r="N948">
        <v>0</v>
      </c>
      <c r="O948" t="str" cm="1">
        <f t="array" ref="O948">_xlfn.IFS(Table1[[#This Row],[Divorced]]=1, "Divorced", Table1[[#This Row],[Married]]=1, "Married", Table1[[#This Row],[Single]]=1, "Single", Table1[[#This Row],[Together]]=1, "Together", Table1[[#This Row],[Widow]]=1, "Widow")</f>
        <v>Married</v>
      </c>
      <c r="P948" t="str" cm="1">
        <f t="array" ref="P948">_xlfn.IFS(Table1[[#This Row],[Basic]]=1, "Basic", Table1[[#This Row],[Graduate]]=1, "Graduate", Table1[[#This Row],[Master]]=1, "Master", Table1[[#This Row],[PhD]]=1, "PhD", AND(Table1[[#This Row],[Basic]]=0, Table1[[#This Row],[Graduate]]=0, Table1[[#This Row],[Master]]=0, Table1[[#This Row],[PhD]]=0), "NA")</f>
        <v>Graduate</v>
      </c>
      <c r="Q948" t="e">
        <f>_xlfn.XLOOKUP(Table1[[#This Row],[ID]], Table2[ID],#REF!, "Not Found", 0)</f>
        <v>#REF!</v>
      </c>
      <c r="R948" t="e">
        <f>_xlfn.XLOOKUP(Table1[[#This Row],[ID]], Table2[ID],#REF!, "Not Found", 0)</f>
        <v>#REF!</v>
      </c>
      <c r="S948" s="3">
        <f>_xlfn.XLOOKUP(Table1[[#This Row],[ID]], Table2[ID], Table2[Enrollment], "Not Found", 0)</f>
        <v>43714</v>
      </c>
      <c r="T948" t="s">
        <v>439</v>
      </c>
    </row>
    <row r="949" spans="1:20" x14ac:dyDescent="0.3">
      <c r="A949">
        <v>2195</v>
      </c>
      <c r="B949">
        <v>156721</v>
      </c>
      <c r="C949">
        <v>1</v>
      </c>
      <c r="D949">
        <v>1</v>
      </c>
      <c r="E949">
        <v>48</v>
      </c>
      <c r="F949">
        <v>0</v>
      </c>
      <c r="G949">
        <v>1</v>
      </c>
      <c r="H949">
        <v>0</v>
      </c>
      <c r="I949">
        <v>0</v>
      </c>
      <c r="J949">
        <v>0</v>
      </c>
      <c r="K949">
        <v>0</v>
      </c>
      <c r="L949">
        <v>1</v>
      </c>
      <c r="M949">
        <v>0</v>
      </c>
      <c r="N949">
        <v>0</v>
      </c>
      <c r="O949" t="str" cm="1">
        <f t="array" ref="O949">_xlfn.IFS(Table1[[#This Row],[Divorced]]=1, "Divorced", Table1[[#This Row],[Married]]=1, "Married", Table1[[#This Row],[Single]]=1, "Single", Table1[[#This Row],[Together]]=1, "Together", Table1[[#This Row],[Widow]]=1, "Widow")</f>
        <v>Married</v>
      </c>
      <c r="P949" t="str" cm="1">
        <f t="array" ref="P949">_xlfn.IFS(Table1[[#This Row],[Basic]]=1, "Basic", Table1[[#This Row],[Graduate]]=1, "Graduate", Table1[[#This Row],[Master]]=1, "Master", Table1[[#This Row],[PhD]]=1, "PhD", AND(Table1[[#This Row],[Basic]]=0, Table1[[#This Row],[Graduate]]=0, Table1[[#This Row],[Master]]=0, Table1[[#This Row],[PhD]]=0), "NA")</f>
        <v>Graduate</v>
      </c>
      <c r="Q949" t="e">
        <f>_xlfn.XLOOKUP(Table1[[#This Row],[ID]], Table2[ID],#REF!, "Not Found", 0)</f>
        <v>#REF!</v>
      </c>
      <c r="R949" t="e">
        <f>_xlfn.XLOOKUP(Table1[[#This Row],[ID]], Table2[ID],#REF!, "Not Found", 0)</f>
        <v>#REF!</v>
      </c>
      <c r="S949" s="3">
        <f>_xlfn.XLOOKUP(Table1[[#This Row],[ID]], Table2[ID], Table2[Enrollment], "Not Found", 0)</f>
        <v>43650</v>
      </c>
      <c r="T949" t="s">
        <v>434</v>
      </c>
    </row>
    <row r="950" spans="1:20" x14ac:dyDescent="0.3">
      <c r="A950">
        <v>2138</v>
      </c>
      <c r="B950">
        <v>156715</v>
      </c>
      <c r="C950">
        <v>0</v>
      </c>
      <c r="D950">
        <v>0</v>
      </c>
      <c r="E950">
        <v>46</v>
      </c>
      <c r="F950">
        <v>0</v>
      </c>
      <c r="G950">
        <v>0</v>
      </c>
      <c r="H950">
        <v>0</v>
      </c>
      <c r="I950">
        <v>1</v>
      </c>
      <c r="J950">
        <v>0</v>
      </c>
      <c r="K950">
        <v>0</v>
      </c>
      <c r="L950">
        <v>1</v>
      </c>
      <c r="M950">
        <v>0</v>
      </c>
      <c r="N950">
        <v>0</v>
      </c>
      <c r="O950" t="str" cm="1">
        <f t="array" ref="O950">_xlfn.IFS(Table1[[#This Row],[Divorced]]=1, "Divorced", Table1[[#This Row],[Married]]=1, "Married", Table1[[#This Row],[Single]]=1, "Single", Table1[[#This Row],[Together]]=1, "Together", Table1[[#This Row],[Widow]]=1, "Widow")</f>
        <v>Together</v>
      </c>
      <c r="P950" t="str" cm="1">
        <f t="array" ref="P950">_xlfn.IFS(Table1[[#This Row],[Basic]]=1, "Basic", Table1[[#This Row],[Graduate]]=1, "Graduate", Table1[[#This Row],[Master]]=1, "Master", Table1[[#This Row],[PhD]]=1, "PhD", AND(Table1[[#This Row],[Basic]]=0, Table1[[#This Row],[Graduate]]=0, Table1[[#This Row],[Master]]=0, Table1[[#This Row],[PhD]]=0), "NA")</f>
        <v>Graduate</v>
      </c>
      <c r="Q950" t="e">
        <f>_xlfn.XLOOKUP(Table1[[#This Row],[ID]], Table2[ID],#REF!, "Not Found", 0)</f>
        <v>#REF!</v>
      </c>
      <c r="R950" t="e">
        <f>_xlfn.XLOOKUP(Table1[[#This Row],[ID]], Table2[ID],#REF!, "Not Found", 0)</f>
        <v>#REF!</v>
      </c>
      <c r="S950" s="3">
        <f>_xlfn.XLOOKUP(Table1[[#This Row],[ID]], Table2[ID], Table2[Enrollment], "Not Found", 0)</f>
        <v>43804</v>
      </c>
      <c r="T950" t="s">
        <v>438</v>
      </c>
    </row>
    <row r="951" spans="1:20" x14ac:dyDescent="0.3">
      <c r="A951">
        <v>1820</v>
      </c>
      <c r="B951">
        <v>156628</v>
      </c>
      <c r="C951">
        <v>0</v>
      </c>
      <c r="D951">
        <v>1</v>
      </c>
      <c r="E951">
        <v>43</v>
      </c>
      <c r="F951">
        <v>0</v>
      </c>
      <c r="G951">
        <v>0</v>
      </c>
      <c r="H951">
        <v>1</v>
      </c>
      <c r="I951">
        <v>0</v>
      </c>
      <c r="J951">
        <v>0</v>
      </c>
      <c r="K951">
        <v>0</v>
      </c>
      <c r="L951">
        <v>1</v>
      </c>
      <c r="M951">
        <v>0</v>
      </c>
      <c r="N951">
        <v>0</v>
      </c>
      <c r="O951" t="str" cm="1">
        <f t="array" ref="O951">_xlfn.IFS(Table1[[#This Row],[Divorced]]=1, "Divorced", Table1[[#This Row],[Married]]=1, "Married", Table1[[#This Row],[Single]]=1, "Single", Table1[[#This Row],[Together]]=1, "Together", Table1[[#This Row],[Widow]]=1, "Widow")</f>
        <v>Single</v>
      </c>
      <c r="P951" t="str" cm="1">
        <f t="array" ref="P951">_xlfn.IFS(Table1[[#This Row],[Basic]]=1, "Basic", Table1[[#This Row],[Graduate]]=1, "Graduate", Table1[[#This Row],[Master]]=1, "Master", Table1[[#This Row],[PhD]]=1, "PhD", AND(Table1[[#This Row],[Basic]]=0, Table1[[#This Row],[Graduate]]=0, Table1[[#This Row],[Master]]=0, Table1[[#This Row],[PhD]]=0), "NA")</f>
        <v>Graduate</v>
      </c>
      <c r="Q951" t="e">
        <f>_xlfn.XLOOKUP(Table1[[#This Row],[ID]], Table2[ID],#REF!, "Not Found", 0)</f>
        <v>#REF!</v>
      </c>
      <c r="R951" t="e">
        <f>_xlfn.XLOOKUP(Table1[[#This Row],[ID]], Table2[ID],#REF!, "Not Found", 0)</f>
        <v>#REF!</v>
      </c>
      <c r="S951" s="3" t="str">
        <f>_xlfn.XLOOKUP(Table1[[#This Row],[ID]], Table2[ID], Table2[Enrollment], "Not Found", 0)</f>
        <v>8/25/2020</v>
      </c>
      <c r="T951" t="s">
        <v>438</v>
      </c>
    </row>
    <row r="952" spans="1:20" x14ac:dyDescent="0.3">
      <c r="A952">
        <v>1813</v>
      </c>
      <c r="B952">
        <v>156575</v>
      </c>
      <c r="C952">
        <v>0</v>
      </c>
      <c r="D952">
        <v>2</v>
      </c>
      <c r="E952">
        <v>53</v>
      </c>
      <c r="F952">
        <v>0</v>
      </c>
      <c r="G952">
        <v>0</v>
      </c>
      <c r="H952">
        <v>0</v>
      </c>
      <c r="I952">
        <v>1</v>
      </c>
      <c r="J952">
        <v>0</v>
      </c>
      <c r="K952">
        <v>0</v>
      </c>
      <c r="L952">
        <v>0</v>
      </c>
      <c r="M952">
        <v>0</v>
      </c>
      <c r="N952">
        <v>1</v>
      </c>
      <c r="O952" t="str" cm="1">
        <f t="array" ref="O952">_xlfn.IFS(Table1[[#This Row],[Divorced]]=1, "Divorced", Table1[[#This Row],[Married]]=1, "Married", Table1[[#This Row],[Single]]=1, "Single", Table1[[#This Row],[Together]]=1, "Together", Table1[[#This Row],[Widow]]=1, "Widow")</f>
        <v>Together</v>
      </c>
      <c r="P952" t="str" cm="1">
        <f t="array" ref="P952">_xlfn.IFS(Table1[[#This Row],[Basic]]=1, "Basic", Table1[[#This Row],[Graduate]]=1, "Graduate", Table1[[#This Row],[Master]]=1, "Master", Table1[[#This Row],[PhD]]=1, "PhD", AND(Table1[[#This Row],[Basic]]=0, Table1[[#This Row],[Graduate]]=0, Table1[[#This Row],[Master]]=0, Table1[[#This Row],[PhD]]=0), "NA")</f>
        <v>PhD</v>
      </c>
      <c r="Q952" t="e">
        <f>_xlfn.XLOOKUP(Table1[[#This Row],[ID]], Table2[ID],#REF!, "Not Found", 0)</f>
        <v>#REF!</v>
      </c>
      <c r="R952" t="e">
        <f>_xlfn.XLOOKUP(Table1[[#This Row],[ID]], Table2[ID],#REF!, "Not Found", 0)</f>
        <v>#REF!</v>
      </c>
      <c r="S952" s="3">
        <f>_xlfn.XLOOKUP(Table1[[#This Row],[ID]], Table2[ID], Table2[Enrollment], "Not Found", 0)</f>
        <v>43748</v>
      </c>
      <c r="T952" t="s">
        <v>437</v>
      </c>
    </row>
    <row r="953" spans="1:20" x14ac:dyDescent="0.3">
      <c r="A953">
        <v>2972</v>
      </c>
      <c r="B953">
        <v>156559</v>
      </c>
      <c r="C953">
        <v>0</v>
      </c>
      <c r="D953">
        <v>1</v>
      </c>
      <c r="E953">
        <v>45</v>
      </c>
      <c r="F953">
        <v>0</v>
      </c>
      <c r="G953">
        <v>0</v>
      </c>
      <c r="H953">
        <v>0</v>
      </c>
      <c r="I953">
        <v>1</v>
      </c>
      <c r="J953">
        <v>0</v>
      </c>
      <c r="K953">
        <v>0</v>
      </c>
      <c r="L953">
        <v>0</v>
      </c>
      <c r="M953">
        <v>0</v>
      </c>
      <c r="N953">
        <v>1</v>
      </c>
      <c r="O953" t="str" cm="1">
        <f t="array" ref="O953">_xlfn.IFS(Table1[[#This Row],[Divorced]]=1, "Divorced", Table1[[#This Row],[Married]]=1, "Married", Table1[[#This Row],[Single]]=1, "Single", Table1[[#This Row],[Together]]=1, "Together", Table1[[#This Row],[Widow]]=1, "Widow")</f>
        <v>Together</v>
      </c>
      <c r="P953" t="str" cm="1">
        <f t="array" ref="P953">_xlfn.IFS(Table1[[#This Row],[Basic]]=1, "Basic", Table1[[#This Row],[Graduate]]=1, "Graduate", Table1[[#This Row],[Master]]=1, "Master", Table1[[#This Row],[PhD]]=1, "PhD", AND(Table1[[#This Row],[Basic]]=0, Table1[[#This Row],[Graduate]]=0, Table1[[#This Row],[Master]]=0, Table1[[#This Row],[PhD]]=0), "NA")</f>
        <v>PhD</v>
      </c>
      <c r="Q953" t="e">
        <f>_xlfn.XLOOKUP(Table1[[#This Row],[ID]], Table2[ID],#REF!, "Not Found", 0)</f>
        <v>#REF!</v>
      </c>
      <c r="R953" t="e">
        <f>_xlfn.XLOOKUP(Table1[[#This Row],[ID]], Table2[ID],#REF!, "Not Found", 0)</f>
        <v>#REF!</v>
      </c>
      <c r="S953" s="3">
        <f>_xlfn.XLOOKUP(Table1[[#This Row],[ID]], Table2[ID], Table2[Enrollment], "Not Found", 0)</f>
        <v>43471</v>
      </c>
      <c r="T953" t="s">
        <v>438</v>
      </c>
    </row>
    <row r="954" spans="1:20" x14ac:dyDescent="0.3">
      <c r="A954">
        <v>2625</v>
      </c>
      <c r="B954">
        <v>156551</v>
      </c>
      <c r="C954">
        <v>1</v>
      </c>
      <c r="D954">
        <v>1</v>
      </c>
      <c r="E954">
        <v>70</v>
      </c>
      <c r="F954">
        <v>0</v>
      </c>
      <c r="G954">
        <v>0</v>
      </c>
      <c r="H954">
        <v>0</v>
      </c>
      <c r="I954">
        <v>0</v>
      </c>
      <c r="J954">
        <v>1</v>
      </c>
      <c r="K954">
        <v>0</v>
      </c>
      <c r="L954">
        <v>0</v>
      </c>
      <c r="M954">
        <v>0</v>
      </c>
      <c r="N954">
        <v>1</v>
      </c>
      <c r="O954" t="str" cm="1">
        <f t="array" ref="O954">_xlfn.IFS(Table1[[#This Row],[Divorced]]=1, "Divorced", Table1[[#This Row],[Married]]=1, "Married", Table1[[#This Row],[Single]]=1, "Single", Table1[[#This Row],[Together]]=1, "Together", Table1[[#This Row],[Widow]]=1, "Widow")</f>
        <v>Widow</v>
      </c>
      <c r="P954" t="str" cm="1">
        <f t="array" ref="P954">_xlfn.IFS(Table1[[#This Row],[Basic]]=1, "Basic", Table1[[#This Row],[Graduate]]=1, "Graduate", Table1[[#This Row],[Master]]=1, "Master", Table1[[#This Row],[PhD]]=1, "PhD", AND(Table1[[#This Row],[Basic]]=0, Table1[[#This Row],[Graduate]]=0, Table1[[#This Row],[Master]]=0, Table1[[#This Row],[PhD]]=0), "NA")</f>
        <v>PhD</v>
      </c>
      <c r="Q954" t="e">
        <f>_xlfn.XLOOKUP(Table1[[#This Row],[ID]], Table2[ID],#REF!, "Not Found", 0)</f>
        <v>#REF!</v>
      </c>
      <c r="R954" t="e">
        <f>_xlfn.XLOOKUP(Table1[[#This Row],[ID]], Table2[ID],#REF!, "Not Found", 0)</f>
        <v>#REF!</v>
      </c>
      <c r="S954" s="3">
        <f>_xlfn.XLOOKUP(Table1[[#This Row],[ID]], Table2[ID], Table2[Enrollment], "Not Found", 0)</f>
        <v>44145</v>
      </c>
      <c r="T954" t="s">
        <v>435</v>
      </c>
    </row>
    <row r="955" spans="1:20" x14ac:dyDescent="0.3">
      <c r="A955">
        <v>2934</v>
      </c>
      <c r="B955">
        <v>156551</v>
      </c>
      <c r="C955">
        <v>1</v>
      </c>
      <c r="D955">
        <v>1</v>
      </c>
      <c r="E955">
        <v>70</v>
      </c>
      <c r="F955">
        <v>0</v>
      </c>
      <c r="G955">
        <v>0</v>
      </c>
      <c r="H955">
        <v>0</v>
      </c>
      <c r="I955">
        <v>0</v>
      </c>
      <c r="J955">
        <v>1</v>
      </c>
      <c r="K955">
        <v>0</v>
      </c>
      <c r="L955">
        <v>0</v>
      </c>
      <c r="M955">
        <v>0</v>
      </c>
      <c r="N955">
        <v>1</v>
      </c>
      <c r="O955" t="str" cm="1">
        <f t="array" ref="O955">_xlfn.IFS(Table1[[#This Row],[Divorced]]=1, "Divorced", Table1[[#This Row],[Married]]=1, "Married", Table1[[#This Row],[Single]]=1, "Single", Table1[[#This Row],[Together]]=1, "Together", Table1[[#This Row],[Widow]]=1, "Widow")</f>
        <v>Widow</v>
      </c>
      <c r="P955" t="str" cm="1">
        <f t="array" ref="P955">_xlfn.IFS(Table1[[#This Row],[Basic]]=1, "Basic", Table1[[#This Row],[Graduate]]=1, "Graduate", Table1[[#This Row],[Master]]=1, "Master", Table1[[#This Row],[PhD]]=1, "PhD", AND(Table1[[#This Row],[Basic]]=0, Table1[[#This Row],[Graduate]]=0, Table1[[#This Row],[Master]]=0, Table1[[#This Row],[PhD]]=0), "NA")</f>
        <v>PhD</v>
      </c>
      <c r="Q955" t="e">
        <f>_xlfn.XLOOKUP(Table1[[#This Row],[ID]], Table2[ID],#REF!, "Not Found", 0)</f>
        <v>#REF!</v>
      </c>
      <c r="R955" t="e">
        <f>_xlfn.XLOOKUP(Table1[[#This Row],[ID]], Table2[ID],#REF!, "Not Found", 0)</f>
        <v>#REF!</v>
      </c>
      <c r="S955" s="3">
        <f>_xlfn.XLOOKUP(Table1[[#This Row],[ID]], Table2[ID], Table2[Enrollment], "Not Found", 0)</f>
        <v>44145</v>
      </c>
      <c r="T955" t="s">
        <v>436</v>
      </c>
    </row>
    <row r="956" spans="1:20" x14ac:dyDescent="0.3">
      <c r="A956">
        <v>2662</v>
      </c>
      <c r="B956">
        <v>156534</v>
      </c>
      <c r="C956">
        <v>0</v>
      </c>
      <c r="D956">
        <v>1</v>
      </c>
      <c r="E956">
        <v>52</v>
      </c>
      <c r="F956">
        <v>0</v>
      </c>
      <c r="G956">
        <v>0</v>
      </c>
      <c r="H956">
        <v>0</v>
      </c>
      <c r="I956">
        <v>1</v>
      </c>
      <c r="J956">
        <v>0</v>
      </c>
      <c r="K956">
        <v>0</v>
      </c>
      <c r="L956">
        <v>1</v>
      </c>
      <c r="M956">
        <v>0</v>
      </c>
      <c r="N956">
        <v>0</v>
      </c>
      <c r="O956" t="str" cm="1">
        <f t="array" ref="O956">_xlfn.IFS(Table1[[#This Row],[Divorced]]=1, "Divorced", Table1[[#This Row],[Married]]=1, "Married", Table1[[#This Row],[Single]]=1, "Single", Table1[[#This Row],[Together]]=1, "Together", Table1[[#This Row],[Widow]]=1, "Widow")</f>
        <v>Together</v>
      </c>
      <c r="P956" t="str" cm="1">
        <f t="array" ref="P956">_xlfn.IFS(Table1[[#This Row],[Basic]]=1, "Basic", Table1[[#This Row],[Graduate]]=1, "Graduate", Table1[[#This Row],[Master]]=1, "Master", Table1[[#This Row],[PhD]]=1, "PhD", AND(Table1[[#This Row],[Basic]]=0, Table1[[#This Row],[Graduate]]=0, Table1[[#This Row],[Master]]=0, Table1[[#This Row],[PhD]]=0), "NA")</f>
        <v>Graduate</v>
      </c>
      <c r="Q956" t="e">
        <f>_xlfn.XLOOKUP(Table1[[#This Row],[ID]], Table2[ID],#REF!, "Not Found", 0)</f>
        <v>#REF!</v>
      </c>
      <c r="R956" t="e">
        <f>_xlfn.XLOOKUP(Table1[[#This Row],[ID]], Table2[ID],#REF!, "Not Found", 0)</f>
        <v>#REF!</v>
      </c>
      <c r="S956" s="3" t="str">
        <f>_xlfn.XLOOKUP(Table1[[#This Row],[ID]], Table2[ID], Table2[Enrollment], "Not Found", 0)</f>
        <v>12/28/2019</v>
      </c>
      <c r="T956" t="s">
        <v>439</v>
      </c>
    </row>
    <row r="957" spans="1:20" x14ac:dyDescent="0.3">
      <c r="A957">
        <v>2618</v>
      </c>
      <c r="B957">
        <v>156386</v>
      </c>
      <c r="C957">
        <v>1</v>
      </c>
      <c r="D957">
        <v>1</v>
      </c>
      <c r="E957">
        <v>39</v>
      </c>
      <c r="F957">
        <v>0</v>
      </c>
      <c r="G957">
        <v>0</v>
      </c>
      <c r="H957">
        <v>0</v>
      </c>
      <c r="I957">
        <v>1</v>
      </c>
      <c r="J957">
        <v>0</v>
      </c>
      <c r="K957">
        <v>0</v>
      </c>
      <c r="L957">
        <v>1</v>
      </c>
      <c r="M957">
        <v>0</v>
      </c>
      <c r="N957">
        <v>0</v>
      </c>
      <c r="O957" t="str" cm="1">
        <f t="array" ref="O957">_xlfn.IFS(Table1[[#This Row],[Divorced]]=1, "Divorced", Table1[[#This Row],[Married]]=1, "Married", Table1[[#This Row],[Single]]=1, "Single", Table1[[#This Row],[Together]]=1, "Together", Table1[[#This Row],[Widow]]=1, "Widow")</f>
        <v>Together</v>
      </c>
      <c r="P957" t="str" cm="1">
        <f t="array" ref="P957">_xlfn.IFS(Table1[[#This Row],[Basic]]=1, "Basic", Table1[[#This Row],[Graduate]]=1, "Graduate", Table1[[#This Row],[Master]]=1, "Master", Table1[[#This Row],[PhD]]=1, "PhD", AND(Table1[[#This Row],[Basic]]=0, Table1[[#This Row],[Graduate]]=0, Table1[[#This Row],[Master]]=0, Table1[[#This Row],[PhD]]=0), "NA")</f>
        <v>Graduate</v>
      </c>
      <c r="Q957" t="e">
        <f>_xlfn.XLOOKUP(Table1[[#This Row],[ID]], Table2[ID],#REF!, "Not Found", 0)</f>
        <v>#REF!</v>
      </c>
      <c r="R957" t="e">
        <f>_xlfn.XLOOKUP(Table1[[#This Row],[ID]], Table2[ID],#REF!, "Not Found", 0)</f>
        <v>#REF!</v>
      </c>
      <c r="S957" s="3">
        <f>_xlfn.XLOOKUP(Table1[[#This Row],[ID]], Table2[ID], Table2[Enrollment], "Not Found", 0)</f>
        <v>43528</v>
      </c>
      <c r="T957" t="s">
        <v>438</v>
      </c>
    </row>
    <row r="958" spans="1:20" x14ac:dyDescent="0.3">
      <c r="A958">
        <v>1983</v>
      </c>
      <c r="B958">
        <v>156337</v>
      </c>
      <c r="C958">
        <v>1</v>
      </c>
      <c r="D958">
        <v>1</v>
      </c>
      <c r="E958">
        <v>39</v>
      </c>
      <c r="F958">
        <v>0</v>
      </c>
      <c r="G958">
        <v>1</v>
      </c>
      <c r="H958">
        <v>0</v>
      </c>
      <c r="I958">
        <v>0</v>
      </c>
      <c r="J958">
        <v>0</v>
      </c>
      <c r="K958">
        <v>0</v>
      </c>
      <c r="L958">
        <v>0</v>
      </c>
      <c r="M958">
        <v>0</v>
      </c>
      <c r="N958">
        <v>0</v>
      </c>
      <c r="O958" t="str" cm="1">
        <f t="array" ref="O958">_xlfn.IFS(Table1[[#This Row],[Divorced]]=1, "Divorced", Table1[[#This Row],[Married]]=1, "Married", Table1[[#This Row],[Single]]=1, "Single", Table1[[#This Row],[Together]]=1, "Together", Table1[[#This Row],[Widow]]=1, "Widow")</f>
        <v>Married</v>
      </c>
      <c r="P958" t="str" cm="1">
        <f t="array" ref="P958">_xlfn.IFS(Table1[[#This Row],[Basic]]=1, "Basic", Table1[[#This Row],[Graduate]]=1, "Graduate", Table1[[#This Row],[Master]]=1, "Master", Table1[[#This Row],[PhD]]=1, "PhD", AND(Table1[[#This Row],[Basic]]=0, Table1[[#This Row],[Graduate]]=0, Table1[[#This Row],[Master]]=0, Table1[[#This Row],[PhD]]=0), "NA")</f>
        <v>NA</v>
      </c>
      <c r="Q958" t="e">
        <f>_xlfn.XLOOKUP(Table1[[#This Row],[ID]], Table2[ID],#REF!, "Not Found", 0)</f>
        <v>#REF!</v>
      </c>
      <c r="R958" t="e">
        <f>_xlfn.XLOOKUP(Table1[[#This Row],[ID]], Table2[ID],#REF!, "Not Found", 0)</f>
        <v>#REF!</v>
      </c>
      <c r="S958" s="3">
        <f>_xlfn.XLOOKUP(Table1[[#This Row],[ID]], Table2[ID], Table2[Enrollment], "Not Found", 0)</f>
        <v>43474</v>
      </c>
      <c r="T958" t="s">
        <v>435</v>
      </c>
    </row>
    <row r="959" spans="1:20" x14ac:dyDescent="0.3">
      <c r="A959">
        <v>2006</v>
      </c>
      <c r="B959">
        <v>156320</v>
      </c>
      <c r="C959">
        <v>0</v>
      </c>
      <c r="D959">
        <v>1</v>
      </c>
      <c r="E959">
        <v>53</v>
      </c>
      <c r="F959">
        <v>0</v>
      </c>
      <c r="G959">
        <v>1</v>
      </c>
      <c r="H959">
        <v>0</v>
      </c>
      <c r="I959">
        <v>0</v>
      </c>
      <c r="J959">
        <v>0</v>
      </c>
      <c r="K959">
        <v>0</v>
      </c>
      <c r="L959">
        <v>0</v>
      </c>
      <c r="M959">
        <v>0</v>
      </c>
      <c r="N959">
        <v>1</v>
      </c>
      <c r="O959" t="str" cm="1">
        <f t="array" ref="O959">_xlfn.IFS(Table1[[#This Row],[Divorced]]=1, "Divorced", Table1[[#This Row],[Married]]=1, "Married", Table1[[#This Row],[Single]]=1, "Single", Table1[[#This Row],[Together]]=1, "Together", Table1[[#This Row],[Widow]]=1, "Widow")</f>
        <v>Married</v>
      </c>
      <c r="P959" t="str" cm="1">
        <f t="array" ref="P959">_xlfn.IFS(Table1[[#This Row],[Basic]]=1, "Basic", Table1[[#This Row],[Graduate]]=1, "Graduate", Table1[[#This Row],[Master]]=1, "Master", Table1[[#This Row],[PhD]]=1, "PhD", AND(Table1[[#This Row],[Basic]]=0, Table1[[#This Row],[Graduate]]=0, Table1[[#This Row],[Master]]=0, Table1[[#This Row],[PhD]]=0), "NA")</f>
        <v>PhD</v>
      </c>
      <c r="Q959" t="e">
        <f>_xlfn.XLOOKUP(Table1[[#This Row],[ID]], Table2[ID],#REF!, "Not Found", 0)</f>
        <v>#REF!</v>
      </c>
      <c r="R959" t="e">
        <f>_xlfn.XLOOKUP(Table1[[#This Row],[ID]], Table2[ID],#REF!, "Not Found", 0)</f>
        <v>#REF!</v>
      </c>
      <c r="S959" s="3" t="str">
        <f>_xlfn.XLOOKUP(Table1[[#This Row],[ID]], Table2[ID], Table2[Enrollment], "Not Found", 0)</f>
        <v>9/13/2019</v>
      </c>
      <c r="T959" t="s">
        <v>438</v>
      </c>
    </row>
    <row r="960" spans="1:20" x14ac:dyDescent="0.3">
      <c r="A960">
        <v>1642</v>
      </c>
      <c r="B960">
        <v>156253</v>
      </c>
      <c r="C960">
        <v>0</v>
      </c>
      <c r="D960">
        <v>1</v>
      </c>
      <c r="E960">
        <v>57</v>
      </c>
      <c r="F960">
        <v>0</v>
      </c>
      <c r="G960">
        <v>0</v>
      </c>
      <c r="H960">
        <v>0</v>
      </c>
      <c r="I960">
        <v>1</v>
      </c>
      <c r="J960">
        <v>0</v>
      </c>
      <c r="K960">
        <v>0</v>
      </c>
      <c r="L960">
        <v>1</v>
      </c>
      <c r="M960">
        <v>0</v>
      </c>
      <c r="N960">
        <v>0</v>
      </c>
      <c r="O960" t="str" cm="1">
        <f t="array" ref="O960">_xlfn.IFS(Table1[[#This Row],[Divorced]]=1, "Divorced", Table1[[#This Row],[Married]]=1, "Married", Table1[[#This Row],[Single]]=1, "Single", Table1[[#This Row],[Together]]=1, "Together", Table1[[#This Row],[Widow]]=1, "Widow")</f>
        <v>Together</v>
      </c>
      <c r="P960" t="str" cm="1">
        <f t="array" ref="P960">_xlfn.IFS(Table1[[#This Row],[Basic]]=1, "Basic", Table1[[#This Row],[Graduate]]=1, "Graduate", Table1[[#This Row],[Master]]=1, "Master", Table1[[#This Row],[PhD]]=1, "PhD", AND(Table1[[#This Row],[Basic]]=0, Table1[[#This Row],[Graduate]]=0, Table1[[#This Row],[Master]]=0, Table1[[#This Row],[PhD]]=0), "NA")</f>
        <v>Graduate</v>
      </c>
      <c r="Q960" t="e">
        <f>_xlfn.XLOOKUP(Table1[[#This Row],[ID]], Table2[ID],#REF!, "Not Found", 0)</f>
        <v>#REF!</v>
      </c>
      <c r="R960" t="e">
        <f>_xlfn.XLOOKUP(Table1[[#This Row],[ID]], Table2[ID],#REF!, "Not Found", 0)</f>
        <v>#REF!</v>
      </c>
      <c r="S960" s="3" t="str">
        <f>_xlfn.XLOOKUP(Table1[[#This Row],[ID]], Table2[ID], Table2[Enrollment], "Not Found", 0)</f>
        <v>5/14/2019</v>
      </c>
      <c r="T960" t="s">
        <v>439</v>
      </c>
    </row>
    <row r="961" spans="1:20" x14ac:dyDescent="0.3">
      <c r="A961">
        <v>2356</v>
      </c>
      <c r="B961">
        <v>156243</v>
      </c>
      <c r="C961">
        <v>1</v>
      </c>
      <c r="D961">
        <v>2</v>
      </c>
      <c r="E961">
        <v>45</v>
      </c>
      <c r="F961">
        <v>0</v>
      </c>
      <c r="G961">
        <v>0</v>
      </c>
      <c r="H961">
        <v>1</v>
      </c>
      <c r="I961">
        <v>0</v>
      </c>
      <c r="J961">
        <v>0</v>
      </c>
      <c r="K961">
        <v>0</v>
      </c>
      <c r="L961">
        <v>1</v>
      </c>
      <c r="M961">
        <v>0</v>
      </c>
      <c r="N961">
        <v>0</v>
      </c>
      <c r="O961" t="str" cm="1">
        <f t="array" ref="O961">_xlfn.IFS(Table1[[#This Row],[Divorced]]=1, "Divorced", Table1[[#This Row],[Married]]=1, "Married", Table1[[#This Row],[Single]]=1, "Single", Table1[[#This Row],[Together]]=1, "Together", Table1[[#This Row],[Widow]]=1, "Widow")</f>
        <v>Single</v>
      </c>
      <c r="P961" t="str" cm="1">
        <f t="array" ref="P961">_xlfn.IFS(Table1[[#This Row],[Basic]]=1, "Basic", Table1[[#This Row],[Graduate]]=1, "Graduate", Table1[[#This Row],[Master]]=1, "Master", Table1[[#This Row],[PhD]]=1, "PhD", AND(Table1[[#This Row],[Basic]]=0, Table1[[#This Row],[Graduate]]=0, Table1[[#This Row],[Master]]=0, Table1[[#This Row],[PhD]]=0), "NA")</f>
        <v>Graduate</v>
      </c>
      <c r="Q961" t="e">
        <f>_xlfn.XLOOKUP(Table1[[#This Row],[ID]], Table2[ID],#REF!, "Not Found", 0)</f>
        <v>#REF!</v>
      </c>
      <c r="R961" t="e">
        <f>_xlfn.XLOOKUP(Table1[[#This Row],[ID]], Table2[ID],#REF!, "Not Found", 0)</f>
        <v>#REF!</v>
      </c>
      <c r="S961" s="3">
        <f>_xlfn.XLOOKUP(Table1[[#This Row],[ID]], Table2[ID], Table2[Enrollment], "Not Found", 0)</f>
        <v>43957</v>
      </c>
      <c r="T961" t="s">
        <v>439</v>
      </c>
    </row>
    <row r="962" spans="1:20" x14ac:dyDescent="0.3">
      <c r="A962">
        <v>2354</v>
      </c>
      <c r="B962">
        <v>156242</v>
      </c>
      <c r="C962">
        <v>0</v>
      </c>
      <c r="D962">
        <v>1</v>
      </c>
      <c r="E962">
        <v>51</v>
      </c>
      <c r="F962">
        <v>0</v>
      </c>
      <c r="G962">
        <v>1</v>
      </c>
      <c r="H962">
        <v>0</v>
      </c>
      <c r="I962">
        <v>0</v>
      </c>
      <c r="J962">
        <v>0</v>
      </c>
      <c r="K962">
        <v>0</v>
      </c>
      <c r="L962">
        <v>0</v>
      </c>
      <c r="M962">
        <v>0</v>
      </c>
      <c r="N962">
        <v>1</v>
      </c>
      <c r="O962" t="str" cm="1">
        <f t="array" ref="O962">_xlfn.IFS(Table1[[#This Row],[Divorced]]=1, "Divorced", Table1[[#This Row],[Married]]=1, "Married", Table1[[#This Row],[Single]]=1, "Single", Table1[[#This Row],[Together]]=1, "Together", Table1[[#This Row],[Widow]]=1, "Widow")</f>
        <v>Married</v>
      </c>
      <c r="P962" t="str" cm="1">
        <f t="array" ref="P962">_xlfn.IFS(Table1[[#This Row],[Basic]]=1, "Basic", Table1[[#This Row],[Graduate]]=1, "Graduate", Table1[[#This Row],[Master]]=1, "Master", Table1[[#This Row],[PhD]]=1, "PhD", AND(Table1[[#This Row],[Basic]]=0, Table1[[#This Row],[Graduate]]=0, Table1[[#This Row],[Master]]=0, Table1[[#This Row],[PhD]]=0), "NA")</f>
        <v>PhD</v>
      </c>
      <c r="Q962" t="e">
        <f>_xlfn.XLOOKUP(Table1[[#This Row],[ID]], Table2[ID],#REF!, "Not Found", 0)</f>
        <v>#REF!</v>
      </c>
      <c r="R962" t="e">
        <f>_xlfn.XLOOKUP(Table1[[#This Row],[ID]], Table2[ID],#REF!, "Not Found", 0)</f>
        <v>#REF!</v>
      </c>
      <c r="S962" s="3">
        <f>_xlfn.XLOOKUP(Table1[[#This Row],[ID]], Table2[ID], Table2[Enrollment], "Not Found", 0)</f>
        <v>43685</v>
      </c>
      <c r="T962" t="s">
        <v>438</v>
      </c>
    </row>
    <row r="963" spans="1:20" x14ac:dyDescent="0.3">
      <c r="A963">
        <v>1425</v>
      </c>
      <c r="B963">
        <v>156223</v>
      </c>
      <c r="C963">
        <v>0</v>
      </c>
      <c r="D963">
        <v>1</v>
      </c>
      <c r="E963">
        <v>72</v>
      </c>
      <c r="F963">
        <v>0</v>
      </c>
      <c r="G963">
        <v>1</v>
      </c>
      <c r="H963">
        <v>0</v>
      </c>
      <c r="I963">
        <v>0</v>
      </c>
      <c r="J963">
        <v>0</v>
      </c>
      <c r="K963">
        <v>0</v>
      </c>
      <c r="L963">
        <v>0</v>
      </c>
      <c r="M963">
        <v>0</v>
      </c>
      <c r="N963">
        <v>1</v>
      </c>
      <c r="O963" t="str" cm="1">
        <f t="array" ref="O963">_xlfn.IFS(Table1[[#This Row],[Divorced]]=1, "Divorced", Table1[[#This Row],[Married]]=1, "Married", Table1[[#This Row],[Single]]=1, "Single", Table1[[#This Row],[Together]]=1, "Together", Table1[[#This Row],[Widow]]=1, "Widow")</f>
        <v>Married</v>
      </c>
      <c r="P963" t="str" cm="1">
        <f t="array" ref="P963">_xlfn.IFS(Table1[[#This Row],[Basic]]=1, "Basic", Table1[[#This Row],[Graduate]]=1, "Graduate", Table1[[#This Row],[Master]]=1, "Master", Table1[[#This Row],[PhD]]=1, "PhD", AND(Table1[[#This Row],[Basic]]=0, Table1[[#This Row],[Graduate]]=0, Table1[[#This Row],[Master]]=0, Table1[[#This Row],[PhD]]=0), "NA")</f>
        <v>PhD</v>
      </c>
      <c r="Q963" t="e">
        <f>_xlfn.XLOOKUP(Table1[[#This Row],[ID]], Table2[ID],#REF!, "Not Found", 0)</f>
        <v>#REF!</v>
      </c>
      <c r="R963" t="e">
        <f>_xlfn.XLOOKUP(Table1[[#This Row],[ID]], Table2[ID],#REF!, "Not Found", 0)</f>
        <v>#REF!</v>
      </c>
      <c r="S963" s="3" t="str">
        <f>_xlfn.XLOOKUP(Table1[[#This Row],[ID]], Table2[ID], Table2[Enrollment], "Not Found", 0)</f>
        <v>5/26/2020</v>
      </c>
      <c r="T963" t="s">
        <v>435</v>
      </c>
    </row>
    <row r="964" spans="1:20" x14ac:dyDescent="0.3">
      <c r="A964">
        <v>3208</v>
      </c>
      <c r="B964">
        <v>156202</v>
      </c>
      <c r="C964">
        <v>0.1</v>
      </c>
      <c r="D964">
        <v>1</v>
      </c>
      <c r="E964">
        <v>52</v>
      </c>
      <c r="F964">
        <v>0</v>
      </c>
      <c r="G964">
        <v>0</v>
      </c>
      <c r="H964">
        <v>0</v>
      </c>
      <c r="I964">
        <v>1</v>
      </c>
      <c r="J964">
        <v>0</v>
      </c>
      <c r="K964">
        <v>0</v>
      </c>
      <c r="L964">
        <v>1</v>
      </c>
      <c r="M964">
        <v>0</v>
      </c>
      <c r="N964">
        <v>0</v>
      </c>
      <c r="O964" t="str" cm="1">
        <f t="array" ref="O964">_xlfn.IFS(Table1[[#This Row],[Divorced]]=1, "Divorced", Table1[[#This Row],[Married]]=1, "Married", Table1[[#This Row],[Single]]=1, "Single", Table1[[#This Row],[Together]]=1, "Together", Table1[[#This Row],[Widow]]=1, "Widow")</f>
        <v>Together</v>
      </c>
      <c r="P964" t="str" cm="1">
        <f t="array" ref="P964">_xlfn.IFS(Table1[[#This Row],[Basic]]=1, "Basic", Table1[[#This Row],[Graduate]]=1, "Graduate", Table1[[#This Row],[Master]]=1, "Master", Table1[[#This Row],[PhD]]=1, "PhD", AND(Table1[[#This Row],[Basic]]=0, Table1[[#This Row],[Graduate]]=0, Table1[[#This Row],[Master]]=0, Table1[[#This Row],[PhD]]=0), "NA")</f>
        <v>Graduate</v>
      </c>
      <c r="Q964" t="e">
        <f>_xlfn.XLOOKUP(Table1[[#This Row],[ID]], Table2[ID],#REF!, "Not Found", 0)</f>
        <v>#REF!</v>
      </c>
      <c r="R964" t="e">
        <f>_xlfn.XLOOKUP(Table1[[#This Row],[ID]], Table2[ID],#REF!, "Not Found", 0)</f>
        <v>#REF!</v>
      </c>
      <c r="S964" s="3">
        <f>_xlfn.XLOOKUP(Table1[[#This Row],[ID]], Table2[ID], Table2[Enrollment], "Not Found", 0)</f>
        <v>43527</v>
      </c>
      <c r="T964" t="s">
        <v>439</v>
      </c>
    </row>
    <row r="965" spans="1:20" x14ac:dyDescent="0.3">
      <c r="A965">
        <v>1620</v>
      </c>
      <c r="B965">
        <v>156181</v>
      </c>
      <c r="C965">
        <v>0</v>
      </c>
      <c r="D965">
        <v>1</v>
      </c>
      <c r="E965">
        <v>58</v>
      </c>
      <c r="F965">
        <v>0</v>
      </c>
      <c r="G965">
        <v>1</v>
      </c>
      <c r="H965">
        <v>0</v>
      </c>
      <c r="I965">
        <v>0</v>
      </c>
      <c r="J965">
        <v>0</v>
      </c>
      <c r="K965">
        <v>0</v>
      </c>
      <c r="L965">
        <v>1</v>
      </c>
      <c r="M965">
        <v>0</v>
      </c>
      <c r="N965">
        <v>0</v>
      </c>
      <c r="O965" t="str" cm="1">
        <f t="array" ref="O965">_xlfn.IFS(Table1[[#This Row],[Divorced]]=1, "Divorced", Table1[[#This Row],[Married]]=1, "Married", Table1[[#This Row],[Single]]=1, "Single", Table1[[#This Row],[Together]]=1, "Together", Table1[[#This Row],[Widow]]=1, "Widow")</f>
        <v>Married</v>
      </c>
      <c r="P965" t="str" cm="1">
        <f t="array" ref="P965">_xlfn.IFS(Table1[[#This Row],[Basic]]=1, "Basic", Table1[[#This Row],[Graduate]]=1, "Graduate", Table1[[#This Row],[Master]]=1, "Master", Table1[[#This Row],[PhD]]=1, "PhD", AND(Table1[[#This Row],[Basic]]=0, Table1[[#This Row],[Graduate]]=0, Table1[[#This Row],[Master]]=0, Table1[[#This Row],[PhD]]=0), "NA")</f>
        <v>Graduate</v>
      </c>
      <c r="Q965" t="e">
        <f>_xlfn.XLOOKUP(Table1[[#This Row],[ID]], Table2[ID],#REF!, "Not Found", 0)</f>
        <v>#REF!</v>
      </c>
      <c r="R965" t="e">
        <f>_xlfn.XLOOKUP(Table1[[#This Row],[ID]], Table2[ID],#REF!, "Not Found", 0)</f>
        <v>#REF!</v>
      </c>
      <c r="S965" s="3" t="str">
        <f>_xlfn.XLOOKUP(Table1[[#This Row],[ID]], Table2[ID], Table2[Enrollment], "Not Found", 0)</f>
        <v>6/15/2019</v>
      </c>
      <c r="T965" t="s">
        <v>436</v>
      </c>
    </row>
    <row r="966" spans="1:20" x14ac:dyDescent="0.3">
      <c r="A966">
        <v>1112</v>
      </c>
      <c r="B966">
        <v>156129</v>
      </c>
      <c r="C966">
        <v>0</v>
      </c>
      <c r="D966">
        <v>1</v>
      </c>
      <c r="E966">
        <v>67</v>
      </c>
      <c r="F966">
        <v>0</v>
      </c>
      <c r="G966">
        <v>0</v>
      </c>
      <c r="H966">
        <v>0</v>
      </c>
      <c r="I966">
        <v>1</v>
      </c>
      <c r="J966">
        <v>0</v>
      </c>
      <c r="K966">
        <v>0</v>
      </c>
      <c r="L966">
        <v>0</v>
      </c>
      <c r="M966">
        <v>1</v>
      </c>
      <c r="N966">
        <v>0</v>
      </c>
      <c r="O966" t="str" cm="1">
        <f t="array" ref="O966">_xlfn.IFS(Table1[[#This Row],[Divorced]]=1, "Divorced", Table1[[#This Row],[Married]]=1, "Married", Table1[[#This Row],[Single]]=1, "Single", Table1[[#This Row],[Together]]=1, "Together", Table1[[#This Row],[Widow]]=1, "Widow")</f>
        <v>Together</v>
      </c>
      <c r="P966" t="str" cm="1">
        <f t="array" ref="P966">_xlfn.IFS(Table1[[#This Row],[Basic]]=1, "Basic", Table1[[#This Row],[Graduate]]=1, "Graduate", Table1[[#This Row],[Master]]=1, "Master", Table1[[#This Row],[PhD]]=1, "PhD", AND(Table1[[#This Row],[Basic]]=0, Table1[[#This Row],[Graduate]]=0, Table1[[#This Row],[Master]]=0, Table1[[#This Row],[PhD]]=0), "NA")</f>
        <v>Master</v>
      </c>
      <c r="Q966" t="e">
        <f>_xlfn.XLOOKUP(Table1[[#This Row],[ID]], Table2[ID],#REF!, "Not Found", 0)</f>
        <v>#REF!</v>
      </c>
      <c r="R966" t="e">
        <f>_xlfn.XLOOKUP(Table1[[#This Row],[ID]], Table2[ID],#REF!, "Not Found", 0)</f>
        <v>#REF!</v>
      </c>
      <c r="S966" s="3" t="str">
        <f>_xlfn.XLOOKUP(Table1[[#This Row],[ID]], Table2[ID], Table2[Enrollment], "Not Found", 0)</f>
        <v>11/25/2019</v>
      </c>
      <c r="T966" t="s">
        <v>438</v>
      </c>
    </row>
    <row r="967" spans="1:20" x14ac:dyDescent="0.3">
      <c r="A967">
        <v>2121</v>
      </c>
      <c r="B967">
        <v>156129</v>
      </c>
      <c r="C967">
        <v>0</v>
      </c>
      <c r="D967">
        <v>1</v>
      </c>
      <c r="E967">
        <v>67</v>
      </c>
      <c r="F967">
        <v>0</v>
      </c>
      <c r="G967">
        <v>0</v>
      </c>
      <c r="H967">
        <v>0</v>
      </c>
      <c r="I967">
        <v>1</v>
      </c>
      <c r="J967">
        <v>0</v>
      </c>
      <c r="K967">
        <v>0</v>
      </c>
      <c r="L967">
        <v>0</v>
      </c>
      <c r="M967">
        <v>1</v>
      </c>
      <c r="N967">
        <v>0</v>
      </c>
      <c r="O967" t="str" cm="1">
        <f t="array" ref="O967">_xlfn.IFS(Table1[[#This Row],[Divorced]]=1, "Divorced", Table1[[#This Row],[Married]]=1, "Married", Table1[[#This Row],[Single]]=1, "Single", Table1[[#This Row],[Together]]=1, "Together", Table1[[#This Row],[Widow]]=1, "Widow")</f>
        <v>Together</v>
      </c>
      <c r="P967" t="str" cm="1">
        <f t="array" ref="P967">_xlfn.IFS(Table1[[#This Row],[Basic]]=1, "Basic", Table1[[#This Row],[Graduate]]=1, "Graduate", Table1[[#This Row],[Master]]=1, "Master", Table1[[#This Row],[PhD]]=1, "PhD", AND(Table1[[#This Row],[Basic]]=0, Table1[[#This Row],[Graduate]]=0, Table1[[#This Row],[Master]]=0, Table1[[#This Row],[PhD]]=0), "NA")</f>
        <v>Master</v>
      </c>
      <c r="Q967" t="e">
        <f>_xlfn.XLOOKUP(Table1[[#This Row],[ID]], Table2[ID],#REF!, "Not Found", 0)</f>
        <v>#REF!</v>
      </c>
      <c r="R967" t="e">
        <f>_xlfn.XLOOKUP(Table1[[#This Row],[ID]], Table2[ID],#REF!, "Not Found", 0)</f>
        <v>#REF!</v>
      </c>
      <c r="S967" s="3" t="str">
        <f>_xlfn.XLOOKUP(Table1[[#This Row],[ID]], Table2[ID], Table2[Enrollment], "Not Found", 0)</f>
        <v>11/25/2019</v>
      </c>
      <c r="T967" t="s">
        <v>435</v>
      </c>
    </row>
    <row r="968" spans="1:20" x14ac:dyDescent="0.3">
      <c r="A968">
        <v>1922</v>
      </c>
      <c r="B968">
        <v>156067</v>
      </c>
      <c r="C968">
        <v>0</v>
      </c>
      <c r="D968">
        <v>1</v>
      </c>
      <c r="E968">
        <v>58</v>
      </c>
      <c r="F968">
        <v>0</v>
      </c>
      <c r="G968">
        <v>0</v>
      </c>
      <c r="H968">
        <v>0</v>
      </c>
      <c r="I968">
        <v>1</v>
      </c>
      <c r="J968">
        <v>0</v>
      </c>
      <c r="K968">
        <v>0</v>
      </c>
      <c r="L968">
        <v>0</v>
      </c>
      <c r="M968">
        <v>0</v>
      </c>
      <c r="N968">
        <v>1</v>
      </c>
      <c r="O968" t="str" cm="1">
        <f t="array" ref="O968">_xlfn.IFS(Table1[[#This Row],[Divorced]]=1, "Divorced", Table1[[#This Row],[Married]]=1, "Married", Table1[[#This Row],[Single]]=1, "Single", Table1[[#This Row],[Together]]=1, "Together", Table1[[#This Row],[Widow]]=1, "Widow")</f>
        <v>Together</v>
      </c>
      <c r="P968" t="str" cm="1">
        <f t="array" ref="P968">_xlfn.IFS(Table1[[#This Row],[Basic]]=1, "Basic", Table1[[#This Row],[Graduate]]=1, "Graduate", Table1[[#This Row],[Master]]=1, "Master", Table1[[#This Row],[PhD]]=1, "PhD", AND(Table1[[#This Row],[Basic]]=0, Table1[[#This Row],[Graduate]]=0, Table1[[#This Row],[Master]]=0, Table1[[#This Row],[PhD]]=0), "NA")</f>
        <v>PhD</v>
      </c>
      <c r="Q968" t="e">
        <f>_xlfn.XLOOKUP(Table1[[#This Row],[ID]], Table2[ID],#REF!, "Not Found", 0)</f>
        <v>#REF!</v>
      </c>
      <c r="R968" t="e">
        <f>_xlfn.XLOOKUP(Table1[[#This Row],[ID]], Table2[ID],#REF!, "Not Found", 0)</f>
        <v>#REF!</v>
      </c>
      <c r="S968" s="3" t="str">
        <f>_xlfn.XLOOKUP(Table1[[#This Row],[ID]], Table2[ID], Table2[Enrollment], "Not Found", 0)</f>
        <v>12/25/2019</v>
      </c>
      <c r="T968" t="s">
        <v>438</v>
      </c>
    </row>
    <row r="969" spans="1:20" x14ac:dyDescent="0.3">
      <c r="A969">
        <v>1074</v>
      </c>
      <c r="B969">
        <v>156046</v>
      </c>
      <c r="C969">
        <v>0</v>
      </c>
      <c r="D969">
        <v>0</v>
      </c>
      <c r="E969">
        <v>55</v>
      </c>
      <c r="F969">
        <v>0</v>
      </c>
      <c r="G969">
        <v>0</v>
      </c>
      <c r="H969">
        <v>0</v>
      </c>
      <c r="I969">
        <v>1</v>
      </c>
      <c r="J969">
        <v>0</v>
      </c>
      <c r="K969">
        <v>0</v>
      </c>
      <c r="L969">
        <v>1</v>
      </c>
      <c r="M969">
        <v>0</v>
      </c>
      <c r="N969">
        <v>0</v>
      </c>
      <c r="O969" t="str" cm="1">
        <f t="array" ref="O969">_xlfn.IFS(Table1[[#This Row],[Divorced]]=1, "Divorced", Table1[[#This Row],[Married]]=1, "Married", Table1[[#This Row],[Single]]=1, "Single", Table1[[#This Row],[Together]]=1, "Together", Table1[[#This Row],[Widow]]=1, "Widow")</f>
        <v>Together</v>
      </c>
      <c r="P969" t="str" cm="1">
        <f t="array" ref="P969">_xlfn.IFS(Table1[[#This Row],[Basic]]=1, "Basic", Table1[[#This Row],[Graduate]]=1, "Graduate", Table1[[#This Row],[Master]]=1, "Master", Table1[[#This Row],[PhD]]=1, "PhD", AND(Table1[[#This Row],[Basic]]=0, Table1[[#This Row],[Graduate]]=0, Table1[[#This Row],[Master]]=0, Table1[[#This Row],[PhD]]=0), "NA")</f>
        <v>Graduate</v>
      </c>
      <c r="Q969" t="e">
        <f>_xlfn.XLOOKUP(Table1[[#This Row],[ID]], Table2[ID],#REF!, "Not Found", 0)</f>
        <v>#REF!</v>
      </c>
      <c r="R969" t="e">
        <f>_xlfn.XLOOKUP(Table1[[#This Row],[ID]], Table2[ID],#REF!, "Not Found", 0)</f>
        <v>#REF!</v>
      </c>
      <c r="S969" s="3">
        <f>_xlfn.XLOOKUP(Table1[[#This Row],[ID]], Table2[ID], Table2[Enrollment], "Not Found", 0)</f>
        <v>43714</v>
      </c>
      <c r="T969" t="s">
        <v>436</v>
      </c>
    </row>
    <row r="970" spans="1:20" x14ac:dyDescent="0.3">
      <c r="A970">
        <v>2251</v>
      </c>
      <c r="B970">
        <v>155956</v>
      </c>
      <c r="C970">
        <v>0</v>
      </c>
      <c r="D970">
        <v>0</v>
      </c>
      <c r="E970">
        <v>76</v>
      </c>
      <c r="F970">
        <v>0</v>
      </c>
      <c r="G970">
        <v>1</v>
      </c>
      <c r="H970">
        <v>0</v>
      </c>
      <c r="I970">
        <v>0</v>
      </c>
      <c r="J970">
        <v>0</v>
      </c>
      <c r="K970">
        <v>0</v>
      </c>
      <c r="L970">
        <v>1</v>
      </c>
      <c r="M970">
        <v>0</v>
      </c>
      <c r="N970">
        <v>0</v>
      </c>
      <c r="O970" t="str" cm="1">
        <f t="array" ref="O970">_xlfn.IFS(Table1[[#This Row],[Divorced]]=1, "Divorced", Table1[[#This Row],[Married]]=1, "Married", Table1[[#This Row],[Single]]=1, "Single", Table1[[#This Row],[Together]]=1, "Together", Table1[[#This Row],[Widow]]=1, "Widow")</f>
        <v>Married</v>
      </c>
      <c r="P970" t="str" cm="1">
        <f t="array" ref="P970">_xlfn.IFS(Table1[[#This Row],[Basic]]=1, "Basic", Table1[[#This Row],[Graduate]]=1, "Graduate", Table1[[#This Row],[Master]]=1, "Master", Table1[[#This Row],[PhD]]=1, "PhD", AND(Table1[[#This Row],[Basic]]=0, Table1[[#This Row],[Graduate]]=0, Table1[[#This Row],[Master]]=0, Table1[[#This Row],[PhD]]=0), "NA")</f>
        <v>Graduate</v>
      </c>
      <c r="Q970" t="e">
        <f>_xlfn.XLOOKUP(Table1[[#This Row],[ID]], Table2[ID],#REF!, "Not Found", 0)</f>
        <v>#REF!</v>
      </c>
      <c r="R970" t="e">
        <f>_xlfn.XLOOKUP(Table1[[#This Row],[ID]], Table2[ID],#REF!, "Not Found", 0)</f>
        <v>#REF!</v>
      </c>
      <c r="S970" s="3">
        <f>_xlfn.XLOOKUP(Table1[[#This Row],[ID]], Table2[ID], Table2[Enrollment], "Not Found", 0)</f>
        <v>44144</v>
      </c>
      <c r="T970" t="s">
        <v>437</v>
      </c>
    </row>
    <row r="971" spans="1:20" x14ac:dyDescent="0.3">
      <c r="A971">
        <v>1055</v>
      </c>
      <c r="B971">
        <v>155954</v>
      </c>
      <c r="C971">
        <v>0</v>
      </c>
      <c r="D971">
        <v>1</v>
      </c>
      <c r="E971">
        <v>52</v>
      </c>
      <c r="F971">
        <v>0</v>
      </c>
      <c r="G971">
        <v>1</v>
      </c>
      <c r="H971">
        <v>0</v>
      </c>
      <c r="I971">
        <v>0</v>
      </c>
      <c r="J971">
        <v>0</v>
      </c>
      <c r="K971">
        <v>0</v>
      </c>
      <c r="L971">
        <v>0</v>
      </c>
      <c r="M971">
        <v>0</v>
      </c>
      <c r="N971">
        <v>1</v>
      </c>
      <c r="O971" t="str" cm="1">
        <f t="array" ref="O971">_xlfn.IFS(Table1[[#This Row],[Divorced]]=1, "Divorced", Table1[[#This Row],[Married]]=1, "Married", Table1[[#This Row],[Single]]=1, "Single", Table1[[#This Row],[Together]]=1, "Together", Table1[[#This Row],[Widow]]=1, "Widow")</f>
        <v>Married</v>
      </c>
      <c r="P971" t="str" cm="1">
        <f t="array" ref="P971">_xlfn.IFS(Table1[[#This Row],[Basic]]=1, "Basic", Table1[[#This Row],[Graduate]]=1, "Graduate", Table1[[#This Row],[Master]]=1, "Master", Table1[[#This Row],[PhD]]=1, "PhD", AND(Table1[[#This Row],[Basic]]=0, Table1[[#This Row],[Graduate]]=0, Table1[[#This Row],[Master]]=0, Table1[[#This Row],[PhD]]=0), "NA")</f>
        <v>PhD</v>
      </c>
      <c r="Q971" t="e">
        <f>_xlfn.XLOOKUP(Table1[[#This Row],[ID]], Table2[ID],#REF!, "Not Found", 0)</f>
        <v>#REF!</v>
      </c>
      <c r="R971" t="e">
        <f>_xlfn.XLOOKUP(Table1[[#This Row],[ID]], Table2[ID],#REF!, "Not Found", 0)</f>
        <v>#REF!</v>
      </c>
      <c r="S971" s="3">
        <f>_xlfn.XLOOKUP(Table1[[#This Row],[ID]], Table2[ID], Table2[Enrollment], "Not Found", 0)</f>
        <v>44020</v>
      </c>
      <c r="T971" t="s">
        <v>434</v>
      </c>
    </row>
    <row r="972" spans="1:20" x14ac:dyDescent="0.3">
      <c r="A972">
        <v>1282</v>
      </c>
      <c r="B972">
        <v>155951</v>
      </c>
      <c r="C972">
        <v>0</v>
      </c>
      <c r="D972">
        <v>1</v>
      </c>
      <c r="E972">
        <v>68</v>
      </c>
      <c r="F972">
        <v>0</v>
      </c>
      <c r="G972">
        <v>0</v>
      </c>
      <c r="H972">
        <v>0</v>
      </c>
      <c r="I972">
        <v>1</v>
      </c>
      <c r="J972">
        <v>0</v>
      </c>
      <c r="K972">
        <v>0</v>
      </c>
      <c r="L972">
        <v>0</v>
      </c>
      <c r="M972">
        <v>1</v>
      </c>
      <c r="N972">
        <v>0</v>
      </c>
      <c r="O972" t="str" cm="1">
        <f t="array" ref="O972">_xlfn.IFS(Table1[[#This Row],[Divorced]]=1, "Divorced", Table1[[#This Row],[Married]]=1, "Married", Table1[[#This Row],[Single]]=1, "Single", Table1[[#This Row],[Together]]=1, "Together", Table1[[#This Row],[Widow]]=1, "Widow")</f>
        <v>Together</v>
      </c>
      <c r="P972" t="str" cm="1">
        <f t="array" ref="P972">_xlfn.IFS(Table1[[#This Row],[Basic]]=1, "Basic", Table1[[#This Row],[Graduate]]=1, "Graduate", Table1[[#This Row],[Master]]=1, "Master", Table1[[#This Row],[PhD]]=1, "PhD", AND(Table1[[#This Row],[Basic]]=0, Table1[[#This Row],[Graduate]]=0, Table1[[#This Row],[Master]]=0, Table1[[#This Row],[PhD]]=0), "NA")</f>
        <v>Master</v>
      </c>
      <c r="Q972" t="e">
        <f>_xlfn.XLOOKUP(Table1[[#This Row],[ID]], Table2[ID],#REF!, "Not Found", 0)</f>
        <v>#REF!</v>
      </c>
      <c r="R972" t="e">
        <f>_xlfn.XLOOKUP(Table1[[#This Row],[ID]], Table2[ID],#REF!, "Not Found", 0)</f>
        <v>#REF!</v>
      </c>
      <c r="S972" s="3" t="str">
        <f>_xlfn.XLOOKUP(Table1[[#This Row],[ID]], Table2[ID], Table2[Enrollment], "Not Found", 0)</f>
        <v>1/28/2019</v>
      </c>
      <c r="T972" t="s">
        <v>439</v>
      </c>
    </row>
    <row r="973" spans="1:20" x14ac:dyDescent="0.3">
      <c r="A973">
        <v>3008</v>
      </c>
      <c r="B973">
        <v>155914</v>
      </c>
      <c r="C973">
        <v>0</v>
      </c>
      <c r="D973">
        <v>1</v>
      </c>
      <c r="E973">
        <v>45</v>
      </c>
      <c r="F973">
        <v>0</v>
      </c>
      <c r="G973">
        <v>0</v>
      </c>
      <c r="H973">
        <v>0</v>
      </c>
      <c r="I973">
        <v>1</v>
      </c>
      <c r="J973">
        <v>0</v>
      </c>
      <c r="K973">
        <v>0</v>
      </c>
      <c r="L973">
        <v>1</v>
      </c>
      <c r="M973">
        <v>0</v>
      </c>
      <c r="N973">
        <v>0</v>
      </c>
      <c r="O973" t="str" cm="1">
        <f t="array" ref="O973">_xlfn.IFS(Table1[[#This Row],[Divorced]]=1, "Divorced", Table1[[#This Row],[Married]]=1, "Married", Table1[[#This Row],[Single]]=1, "Single", Table1[[#This Row],[Together]]=1, "Together", Table1[[#This Row],[Widow]]=1, "Widow")</f>
        <v>Together</v>
      </c>
      <c r="P973" t="str" cm="1">
        <f t="array" ref="P973">_xlfn.IFS(Table1[[#This Row],[Basic]]=1, "Basic", Table1[[#This Row],[Graduate]]=1, "Graduate", Table1[[#This Row],[Master]]=1, "Master", Table1[[#This Row],[PhD]]=1, "PhD", AND(Table1[[#This Row],[Basic]]=0, Table1[[#This Row],[Graduate]]=0, Table1[[#This Row],[Master]]=0, Table1[[#This Row],[PhD]]=0), "NA")</f>
        <v>Graduate</v>
      </c>
      <c r="Q973" t="e">
        <f>_xlfn.XLOOKUP(Table1[[#This Row],[ID]], Table2[ID],#REF!, "Not Found", 0)</f>
        <v>#REF!</v>
      </c>
      <c r="R973" t="e">
        <f>_xlfn.XLOOKUP(Table1[[#This Row],[ID]], Table2[ID],#REF!, "Not Found", 0)</f>
        <v>#REF!</v>
      </c>
      <c r="S973" s="3">
        <f>_xlfn.XLOOKUP(Table1[[#This Row],[ID]], Table2[ID], Table2[Enrollment], "Not Found", 0)</f>
        <v>43565</v>
      </c>
      <c r="T973" t="s">
        <v>438</v>
      </c>
    </row>
    <row r="974" spans="1:20" x14ac:dyDescent="0.3">
      <c r="A974">
        <v>1461</v>
      </c>
      <c r="B974">
        <v>155842</v>
      </c>
      <c r="C974">
        <v>0</v>
      </c>
      <c r="D974">
        <v>1</v>
      </c>
      <c r="E974">
        <v>43</v>
      </c>
      <c r="F974">
        <v>0</v>
      </c>
      <c r="G974">
        <v>1</v>
      </c>
      <c r="H974">
        <v>0</v>
      </c>
      <c r="I974">
        <v>0</v>
      </c>
      <c r="J974">
        <v>0</v>
      </c>
      <c r="K974">
        <v>0</v>
      </c>
      <c r="L974">
        <v>0</v>
      </c>
      <c r="M974">
        <v>1</v>
      </c>
      <c r="N974">
        <v>0</v>
      </c>
      <c r="O974" t="str" cm="1">
        <f t="array" ref="O974">_xlfn.IFS(Table1[[#This Row],[Divorced]]=1, "Divorced", Table1[[#This Row],[Married]]=1, "Married", Table1[[#This Row],[Single]]=1, "Single", Table1[[#This Row],[Together]]=1, "Together", Table1[[#This Row],[Widow]]=1, "Widow")</f>
        <v>Married</v>
      </c>
      <c r="P974" t="str" cm="1">
        <f t="array" ref="P974">_xlfn.IFS(Table1[[#This Row],[Basic]]=1, "Basic", Table1[[#This Row],[Graduate]]=1, "Graduate", Table1[[#This Row],[Master]]=1, "Master", Table1[[#This Row],[PhD]]=1, "PhD", AND(Table1[[#This Row],[Basic]]=0, Table1[[#This Row],[Graduate]]=0, Table1[[#This Row],[Master]]=0, Table1[[#This Row],[PhD]]=0), "NA")</f>
        <v>Master</v>
      </c>
      <c r="Q974" t="e">
        <f>_xlfn.XLOOKUP(Table1[[#This Row],[ID]], Table2[ID],#REF!, "Not Found", 0)</f>
        <v>#REF!</v>
      </c>
      <c r="R974" t="e">
        <f>_xlfn.XLOOKUP(Table1[[#This Row],[ID]], Table2[ID],#REF!, "Not Found", 0)</f>
        <v>#REF!</v>
      </c>
      <c r="S974" s="3" t="str">
        <f>_xlfn.XLOOKUP(Table1[[#This Row],[ID]], Table2[ID], Table2[Enrollment], "Not Found", 0)</f>
        <v>10/27/2020</v>
      </c>
      <c r="T974" t="s">
        <v>435</v>
      </c>
    </row>
    <row r="975" spans="1:20" x14ac:dyDescent="0.3">
      <c r="A975">
        <v>3026</v>
      </c>
      <c r="B975">
        <v>155801</v>
      </c>
      <c r="C975">
        <v>1</v>
      </c>
      <c r="D975">
        <v>1</v>
      </c>
      <c r="E975">
        <v>45</v>
      </c>
      <c r="F975">
        <v>0</v>
      </c>
      <c r="G975">
        <v>0</v>
      </c>
      <c r="H975">
        <v>1</v>
      </c>
      <c r="I975">
        <v>0</v>
      </c>
      <c r="J975">
        <v>0</v>
      </c>
      <c r="K975">
        <v>0</v>
      </c>
      <c r="L975">
        <v>1</v>
      </c>
      <c r="M975">
        <v>0</v>
      </c>
      <c r="N975">
        <v>0</v>
      </c>
      <c r="O975" t="str" cm="1">
        <f t="array" ref="O975">_xlfn.IFS(Table1[[#This Row],[Divorced]]=1, "Divorced", Table1[[#This Row],[Married]]=1, "Married", Table1[[#This Row],[Single]]=1, "Single", Table1[[#This Row],[Together]]=1, "Together", Table1[[#This Row],[Widow]]=1, "Widow")</f>
        <v>Single</v>
      </c>
      <c r="P975" t="str" cm="1">
        <f t="array" ref="P975">_xlfn.IFS(Table1[[#This Row],[Basic]]=1, "Basic", Table1[[#This Row],[Graduate]]=1, "Graduate", Table1[[#This Row],[Master]]=1, "Master", Table1[[#This Row],[PhD]]=1, "PhD", AND(Table1[[#This Row],[Basic]]=0, Table1[[#This Row],[Graduate]]=0, Table1[[#This Row],[Master]]=0, Table1[[#This Row],[PhD]]=0), "NA")</f>
        <v>Graduate</v>
      </c>
      <c r="Q975" t="e">
        <f>_xlfn.XLOOKUP(Table1[[#This Row],[ID]], Table2[ID],#REF!, "Not Found", 0)</f>
        <v>#REF!</v>
      </c>
      <c r="R975" t="e">
        <f>_xlfn.XLOOKUP(Table1[[#This Row],[ID]], Table2[ID],#REF!, "Not Found", 0)</f>
        <v>#REF!</v>
      </c>
      <c r="S975" s="3" t="str">
        <f>_xlfn.XLOOKUP(Table1[[#This Row],[ID]], Table2[ID], Table2[Enrollment], "Not Found", 0)</f>
        <v>2/27/2020</v>
      </c>
      <c r="T975" t="s">
        <v>438</v>
      </c>
    </row>
    <row r="976" spans="1:20" x14ac:dyDescent="0.3">
      <c r="A976">
        <v>2715</v>
      </c>
      <c r="B976">
        <v>155761</v>
      </c>
      <c r="C976">
        <v>0</v>
      </c>
      <c r="D976">
        <v>1</v>
      </c>
      <c r="E976">
        <v>56</v>
      </c>
      <c r="F976">
        <v>0</v>
      </c>
      <c r="G976">
        <v>0</v>
      </c>
      <c r="H976">
        <v>0</v>
      </c>
      <c r="I976">
        <v>1</v>
      </c>
      <c r="J976">
        <v>0</v>
      </c>
      <c r="K976">
        <v>0</v>
      </c>
      <c r="L976">
        <v>1</v>
      </c>
      <c r="M976">
        <v>0</v>
      </c>
      <c r="N976">
        <v>0</v>
      </c>
      <c r="O976" t="str" cm="1">
        <f t="array" ref="O976">_xlfn.IFS(Table1[[#This Row],[Divorced]]=1, "Divorced", Table1[[#This Row],[Married]]=1, "Married", Table1[[#This Row],[Single]]=1, "Single", Table1[[#This Row],[Together]]=1, "Together", Table1[[#This Row],[Widow]]=1, "Widow")</f>
        <v>Together</v>
      </c>
      <c r="P976" t="str" cm="1">
        <f t="array" ref="P976">_xlfn.IFS(Table1[[#This Row],[Basic]]=1, "Basic", Table1[[#This Row],[Graduate]]=1, "Graduate", Table1[[#This Row],[Master]]=1, "Master", Table1[[#This Row],[PhD]]=1, "PhD", AND(Table1[[#This Row],[Basic]]=0, Table1[[#This Row],[Graduate]]=0, Table1[[#This Row],[Master]]=0, Table1[[#This Row],[PhD]]=0), "NA")</f>
        <v>Graduate</v>
      </c>
      <c r="Q976" t="e">
        <f>_xlfn.XLOOKUP(Table1[[#This Row],[ID]], Table2[ID],#REF!, "Not Found", 0)</f>
        <v>#REF!</v>
      </c>
      <c r="R976" t="e">
        <f>_xlfn.XLOOKUP(Table1[[#This Row],[ID]], Table2[ID],#REF!, "Not Found", 0)</f>
        <v>#REF!</v>
      </c>
      <c r="S976" s="3" t="str">
        <f>_xlfn.XLOOKUP(Table1[[#This Row],[ID]], Table2[ID], Table2[Enrollment], "Not Found", 0)</f>
        <v>9/28/2020</v>
      </c>
      <c r="T976" t="s">
        <v>435</v>
      </c>
    </row>
    <row r="977" spans="1:20" x14ac:dyDescent="0.3">
      <c r="A977">
        <v>2492</v>
      </c>
      <c r="B977">
        <v>155759</v>
      </c>
      <c r="C977">
        <v>0</v>
      </c>
      <c r="D977">
        <v>1</v>
      </c>
      <c r="E977">
        <v>58</v>
      </c>
      <c r="F977">
        <v>0</v>
      </c>
      <c r="G977">
        <v>1</v>
      </c>
      <c r="H977">
        <v>0</v>
      </c>
      <c r="I977">
        <v>0</v>
      </c>
      <c r="J977">
        <v>0</v>
      </c>
      <c r="K977">
        <v>0</v>
      </c>
      <c r="L977">
        <v>1</v>
      </c>
      <c r="M977">
        <v>0</v>
      </c>
      <c r="N977">
        <v>0</v>
      </c>
      <c r="O977" t="str" cm="1">
        <f t="array" ref="O977">_xlfn.IFS(Table1[[#This Row],[Divorced]]=1, "Divorced", Table1[[#This Row],[Married]]=1, "Married", Table1[[#This Row],[Single]]=1, "Single", Table1[[#This Row],[Together]]=1, "Together", Table1[[#This Row],[Widow]]=1, "Widow")</f>
        <v>Married</v>
      </c>
      <c r="P977" t="str" cm="1">
        <f t="array" ref="P977">_xlfn.IFS(Table1[[#This Row],[Basic]]=1, "Basic", Table1[[#This Row],[Graduate]]=1, "Graduate", Table1[[#This Row],[Master]]=1, "Master", Table1[[#This Row],[PhD]]=1, "PhD", AND(Table1[[#This Row],[Basic]]=0, Table1[[#This Row],[Graduate]]=0, Table1[[#This Row],[Master]]=0, Table1[[#This Row],[PhD]]=0), "NA")</f>
        <v>Graduate</v>
      </c>
      <c r="Q977" t="e">
        <f>_xlfn.XLOOKUP(Table1[[#This Row],[ID]], Table2[ID],#REF!, "Not Found", 0)</f>
        <v>#REF!</v>
      </c>
      <c r="R977" t="e">
        <f>_xlfn.XLOOKUP(Table1[[#This Row],[ID]], Table2[ID],#REF!, "Not Found", 0)</f>
        <v>#REF!</v>
      </c>
      <c r="S977" s="3">
        <f>_xlfn.XLOOKUP(Table1[[#This Row],[ID]], Table2[ID], Table2[Enrollment], "Not Found", 0)</f>
        <v>43590</v>
      </c>
      <c r="T977" t="s">
        <v>438</v>
      </c>
    </row>
    <row r="978" spans="1:20" x14ac:dyDescent="0.3">
      <c r="A978">
        <v>1433</v>
      </c>
      <c r="B978">
        <v>155707</v>
      </c>
      <c r="C978">
        <v>0</v>
      </c>
      <c r="D978">
        <v>1</v>
      </c>
      <c r="E978">
        <v>67</v>
      </c>
      <c r="F978">
        <v>0</v>
      </c>
      <c r="G978">
        <v>1</v>
      </c>
      <c r="H978">
        <v>0</v>
      </c>
      <c r="I978">
        <v>0</v>
      </c>
      <c r="J978">
        <v>0</v>
      </c>
      <c r="K978">
        <v>0</v>
      </c>
      <c r="L978">
        <v>0</v>
      </c>
      <c r="M978">
        <v>0</v>
      </c>
      <c r="N978">
        <v>1</v>
      </c>
      <c r="O978" t="str" cm="1">
        <f t="array" ref="O978">_xlfn.IFS(Table1[[#This Row],[Divorced]]=1, "Divorced", Table1[[#This Row],[Married]]=1, "Married", Table1[[#This Row],[Single]]=1, "Single", Table1[[#This Row],[Together]]=1, "Together", Table1[[#This Row],[Widow]]=1, "Widow")</f>
        <v>Married</v>
      </c>
      <c r="P978" t="str" cm="1">
        <f t="array" ref="P978">_xlfn.IFS(Table1[[#This Row],[Basic]]=1, "Basic", Table1[[#This Row],[Graduate]]=1, "Graduate", Table1[[#This Row],[Master]]=1, "Master", Table1[[#This Row],[PhD]]=1, "PhD", AND(Table1[[#This Row],[Basic]]=0, Table1[[#This Row],[Graduate]]=0, Table1[[#This Row],[Master]]=0, Table1[[#This Row],[PhD]]=0), "NA")</f>
        <v>PhD</v>
      </c>
      <c r="Q978" t="e">
        <f>_xlfn.XLOOKUP(Table1[[#This Row],[ID]], Table2[ID],#REF!, "Not Found", 0)</f>
        <v>#REF!</v>
      </c>
      <c r="R978" t="e">
        <f>_xlfn.XLOOKUP(Table1[[#This Row],[ID]], Table2[ID],#REF!, "Not Found", 0)</f>
        <v>#REF!</v>
      </c>
      <c r="S978" s="3" t="str">
        <f>_xlfn.XLOOKUP(Table1[[#This Row],[ID]], Table2[ID], Table2[Enrollment], "Not Found", 0)</f>
        <v>5/28/2020</v>
      </c>
      <c r="T978" t="s">
        <v>434</v>
      </c>
    </row>
    <row r="979" spans="1:20" x14ac:dyDescent="0.3">
      <c r="A979">
        <v>2945</v>
      </c>
      <c r="B979">
        <v>155686</v>
      </c>
      <c r="C979">
        <v>0</v>
      </c>
      <c r="D979">
        <v>1</v>
      </c>
      <c r="E979">
        <v>54</v>
      </c>
      <c r="F979">
        <v>1</v>
      </c>
      <c r="G979">
        <v>0</v>
      </c>
      <c r="H979">
        <v>0</v>
      </c>
      <c r="I979">
        <v>0</v>
      </c>
      <c r="J979">
        <v>0</v>
      </c>
      <c r="K979">
        <v>0</v>
      </c>
      <c r="L979">
        <v>1</v>
      </c>
      <c r="M979">
        <v>0</v>
      </c>
      <c r="N979">
        <v>0</v>
      </c>
      <c r="O979" t="str" cm="1">
        <f t="array" ref="O979">_xlfn.IFS(Table1[[#This Row],[Divorced]]=1, "Divorced", Table1[[#This Row],[Married]]=1, "Married", Table1[[#This Row],[Single]]=1, "Single", Table1[[#This Row],[Together]]=1, "Together", Table1[[#This Row],[Widow]]=1, "Widow")</f>
        <v>Divorced</v>
      </c>
      <c r="P979" t="str" cm="1">
        <f t="array" ref="P979">_xlfn.IFS(Table1[[#This Row],[Basic]]=1, "Basic", Table1[[#This Row],[Graduate]]=1, "Graduate", Table1[[#This Row],[Master]]=1, "Master", Table1[[#This Row],[PhD]]=1, "PhD", AND(Table1[[#This Row],[Basic]]=0, Table1[[#This Row],[Graduate]]=0, Table1[[#This Row],[Master]]=0, Table1[[#This Row],[PhD]]=0), "NA")</f>
        <v>Graduate</v>
      </c>
      <c r="Q979" t="e">
        <f>_xlfn.XLOOKUP(Table1[[#This Row],[ID]], Table2[ID],#REF!, "Not Found", 0)</f>
        <v>#REF!</v>
      </c>
      <c r="R979" t="e">
        <f>_xlfn.XLOOKUP(Table1[[#This Row],[ID]], Table2[ID],#REF!, "Not Found", 0)</f>
        <v>#REF!</v>
      </c>
      <c r="S979" s="3" t="str">
        <f>_xlfn.XLOOKUP(Table1[[#This Row],[ID]], Table2[ID], Table2[Enrollment], "Not Found", 0)</f>
        <v>7/22/2019</v>
      </c>
      <c r="T979" t="s">
        <v>434</v>
      </c>
    </row>
    <row r="980" spans="1:20" x14ac:dyDescent="0.3">
      <c r="A980">
        <v>1007</v>
      </c>
      <c r="B980">
        <v>155635</v>
      </c>
      <c r="C980">
        <v>0</v>
      </c>
      <c r="D980">
        <v>1</v>
      </c>
      <c r="E980">
        <v>49</v>
      </c>
      <c r="F980">
        <v>1</v>
      </c>
      <c r="G980">
        <v>0</v>
      </c>
      <c r="H980">
        <v>0</v>
      </c>
      <c r="I980">
        <v>0</v>
      </c>
      <c r="J980">
        <v>0</v>
      </c>
      <c r="K980">
        <v>0</v>
      </c>
      <c r="L980">
        <v>1</v>
      </c>
      <c r="M980">
        <v>0</v>
      </c>
      <c r="N980">
        <v>0</v>
      </c>
      <c r="O980" t="str" cm="1">
        <f t="array" ref="O980">_xlfn.IFS(Table1[[#This Row],[Divorced]]=1, "Divorced", Table1[[#This Row],[Married]]=1, "Married", Table1[[#This Row],[Single]]=1, "Single", Table1[[#This Row],[Together]]=1, "Together", Table1[[#This Row],[Widow]]=1, "Widow")</f>
        <v>Divorced</v>
      </c>
      <c r="P980" t="str" cm="1">
        <f t="array" ref="P980">_xlfn.IFS(Table1[[#This Row],[Basic]]=1, "Basic", Table1[[#This Row],[Graduate]]=1, "Graduate", Table1[[#This Row],[Master]]=1, "Master", Table1[[#This Row],[PhD]]=1, "PhD", AND(Table1[[#This Row],[Basic]]=0, Table1[[#This Row],[Graduate]]=0, Table1[[#This Row],[Master]]=0, Table1[[#This Row],[PhD]]=0), "NA")</f>
        <v>Graduate</v>
      </c>
      <c r="Q980" t="e">
        <f>_xlfn.XLOOKUP(Table1[[#This Row],[ID]], Table2[ID],#REF!, "Not Found", 0)</f>
        <v>#REF!</v>
      </c>
      <c r="R980" t="e">
        <f>_xlfn.XLOOKUP(Table1[[#This Row],[ID]], Table2[ID],#REF!, "Not Found", 0)</f>
        <v>#REF!</v>
      </c>
      <c r="S980" s="3" t="str">
        <f>_xlfn.XLOOKUP(Table1[[#This Row],[ID]], Table2[ID], Table2[Enrollment], "Not Found", 0)</f>
        <v>4/20/2019</v>
      </c>
      <c r="T980" t="s">
        <v>434</v>
      </c>
    </row>
    <row r="981" spans="1:20" x14ac:dyDescent="0.3">
      <c r="A981">
        <v>1478</v>
      </c>
      <c r="B981">
        <v>155614</v>
      </c>
      <c r="C981">
        <v>0</v>
      </c>
      <c r="D981">
        <v>0</v>
      </c>
      <c r="E981">
        <v>76</v>
      </c>
      <c r="F981">
        <v>1</v>
      </c>
      <c r="G981">
        <v>0</v>
      </c>
      <c r="H981">
        <v>0</v>
      </c>
      <c r="I981">
        <v>0</v>
      </c>
      <c r="J981">
        <v>0</v>
      </c>
      <c r="K981">
        <v>0</v>
      </c>
      <c r="L981">
        <v>0</v>
      </c>
      <c r="M981">
        <v>0</v>
      </c>
      <c r="N981">
        <v>1</v>
      </c>
      <c r="O981" t="str" cm="1">
        <f t="array" ref="O981">_xlfn.IFS(Table1[[#This Row],[Divorced]]=1, "Divorced", Table1[[#This Row],[Married]]=1, "Married", Table1[[#This Row],[Single]]=1, "Single", Table1[[#This Row],[Together]]=1, "Together", Table1[[#This Row],[Widow]]=1, "Widow")</f>
        <v>Divorced</v>
      </c>
      <c r="P981" t="str" cm="1">
        <f t="array" ref="P981">_xlfn.IFS(Table1[[#This Row],[Basic]]=1, "Basic", Table1[[#This Row],[Graduate]]=1, "Graduate", Table1[[#This Row],[Master]]=1, "Master", Table1[[#This Row],[PhD]]=1, "PhD", AND(Table1[[#This Row],[Basic]]=0, Table1[[#This Row],[Graduate]]=0, Table1[[#This Row],[Master]]=0, Table1[[#This Row],[PhD]]=0), "NA")</f>
        <v>PhD</v>
      </c>
      <c r="Q981" t="e">
        <f>_xlfn.XLOOKUP(Table1[[#This Row],[ID]], Table2[ID],#REF!, "Not Found", 0)</f>
        <v>#REF!</v>
      </c>
      <c r="R981" t="e">
        <f>_xlfn.XLOOKUP(Table1[[#This Row],[ID]], Table2[ID],#REF!, "Not Found", 0)</f>
        <v>#REF!</v>
      </c>
      <c r="S981" s="3">
        <f>_xlfn.XLOOKUP(Table1[[#This Row],[ID]], Table2[ID], Table2[Enrollment], "Not Found", 0)</f>
        <v>43895</v>
      </c>
      <c r="T981" t="s">
        <v>438</v>
      </c>
    </row>
    <row r="982" spans="1:20" x14ac:dyDescent="0.3">
      <c r="A982">
        <v>3165</v>
      </c>
      <c r="B982">
        <v>155593</v>
      </c>
      <c r="C982">
        <v>0</v>
      </c>
      <c r="D982">
        <v>1</v>
      </c>
      <c r="E982">
        <v>47</v>
      </c>
      <c r="F982">
        <v>0</v>
      </c>
      <c r="G982">
        <v>0</v>
      </c>
      <c r="H982">
        <v>0</v>
      </c>
      <c r="I982">
        <v>1</v>
      </c>
      <c r="J982">
        <v>0</v>
      </c>
      <c r="K982">
        <v>0</v>
      </c>
      <c r="L982">
        <v>1</v>
      </c>
      <c r="M982">
        <v>0</v>
      </c>
      <c r="N982">
        <v>0</v>
      </c>
      <c r="O982" t="str" cm="1">
        <f t="array" ref="O982">_xlfn.IFS(Table1[[#This Row],[Divorced]]=1, "Divorced", Table1[[#This Row],[Married]]=1, "Married", Table1[[#This Row],[Single]]=1, "Single", Table1[[#This Row],[Together]]=1, "Together", Table1[[#This Row],[Widow]]=1, "Widow")</f>
        <v>Together</v>
      </c>
      <c r="P982" t="str" cm="1">
        <f t="array" ref="P982">_xlfn.IFS(Table1[[#This Row],[Basic]]=1, "Basic", Table1[[#This Row],[Graduate]]=1, "Graduate", Table1[[#This Row],[Master]]=1, "Master", Table1[[#This Row],[PhD]]=1, "PhD", AND(Table1[[#This Row],[Basic]]=0, Table1[[#This Row],[Graduate]]=0, Table1[[#This Row],[Master]]=0, Table1[[#This Row],[PhD]]=0), "NA")</f>
        <v>Graduate</v>
      </c>
      <c r="Q982" t="e">
        <f>_xlfn.XLOOKUP(Table1[[#This Row],[ID]], Table2[ID],#REF!, "Not Found", 0)</f>
        <v>#REF!</v>
      </c>
      <c r="R982" t="e">
        <f>_xlfn.XLOOKUP(Table1[[#This Row],[ID]], Table2[ID],#REF!, "Not Found", 0)</f>
        <v>#REF!</v>
      </c>
      <c r="S982" s="3" t="str">
        <f>_xlfn.XLOOKUP(Table1[[#This Row],[ID]], Table2[ID], Table2[Enrollment], "Not Found", 0)</f>
        <v>1/26/2020</v>
      </c>
      <c r="T982" t="s">
        <v>435</v>
      </c>
    </row>
    <row r="983" spans="1:20" x14ac:dyDescent="0.3">
      <c r="A983">
        <v>1480</v>
      </c>
      <c r="B983">
        <v>155563</v>
      </c>
      <c r="C983">
        <v>0</v>
      </c>
      <c r="D983">
        <v>1</v>
      </c>
      <c r="E983">
        <v>42</v>
      </c>
      <c r="F983">
        <v>1</v>
      </c>
      <c r="G983">
        <v>0</v>
      </c>
      <c r="H983">
        <v>0</v>
      </c>
      <c r="I983">
        <v>0</v>
      </c>
      <c r="J983">
        <v>0</v>
      </c>
      <c r="K983">
        <v>0</v>
      </c>
      <c r="L983">
        <v>1</v>
      </c>
      <c r="M983">
        <v>0</v>
      </c>
      <c r="N983">
        <v>0</v>
      </c>
      <c r="O983" t="str" cm="1">
        <f t="array" ref="O983">_xlfn.IFS(Table1[[#This Row],[Divorced]]=1, "Divorced", Table1[[#This Row],[Married]]=1, "Married", Table1[[#This Row],[Single]]=1, "Single", Table1[[#This Row],[Together]]=1, "Together", Table1[[#This Row],[Widow]]=1, "Widow")</f>
        <v>Divorced</v>
      </c>
      <c r="P983" t="str" cm="1">
        <f t="array" ref="P983">_xlfn.IFS(Table1[[#This Row],[Basic]]=1, "Basic", Table1[[#This Row],[Graduate]]=1, "Graduate", Table1[[#This Row],[Master]]=1, "Master", Table1[[#This Row],[PhD]]=1, "PhD", AND(Table1[[#This Row],[Basic]]=0, Table1[[#This Row],[Graduate]]=0, Table1[[#This Row],[Master]]=0, Table1[[#This Row],[PhD]]=0), "NA")</f>
        <v>Graduate</v>
      </c>
      <c r="Q983" t="e">
        <f>_xlfn.XLOOKUP(Table1[[#This Row],[ID]], Table2[ID],#REF!, "Not Found", 0)</f>
        <v>#REF!</v>
      </c>
      <c r="R983" t="e">
        <f>_xlfn.XLOOKUP(Table1[[#This Row],[ID]], Table2[ID],#REF!, "Not Found", 0)</f>
        <v>#REF!</v>
      </c>
      <c r="S983" s="3">
        <f>_xlfn.XLOOKUP(Table1[[#This Row],[ID]], Table2[ID], Table2[Enrollment], "Not Found", 0)</f>
        <v>44083</v>
      </c>
      <c r="T983" t="s">
        <v>439</v>
      </c>
    </row>
    <row r="984" spans="1:20" x14ac:dyDescent="0.3">
      <c r="A984">
        <v>1388</v>
      </c>
      <c r="B984">
        <v>155521</v>
      </c>
      <c r="C984">
        <v>1</v>
      </c>
      <c r="D984">
        <v>2</v>
      </c>
      <c r="E984">
        <v>65</v>
      </c>
      <c r="F984">
        <v>0</v>
      </c>
      <c r="G984">
        <v>0</v>
      </c>
      <c r="H984">
        <v>1</v>
      </c>
      <c r="I984">
        <v>0</v>
      </c>
      <c r="J984">
        <v>0</v>
      </c>
      <c r="K984">
        <v>0</v>
      </c>
      <c r="L984">
        <v>0</v>
      </c>
      <c r="M984">
        <v>0</v>
      </c>
      <c r="N984">
        <v>1</v>
      </c>
      <c r="O984" t="str" cm="1">
        <f t="array" ref="O984">_xlfn.IFS(Table1[[#This Row],[Divorced]]=1, "Divorced", Table1[[#This Row],[Married]]=1, "Married", Table1[[#This Row],[Single]]=1, "Single", Table1[[#This Row],[Together]]=1, "Together", Table1[[#This Row],[Widow]]=1, "Widow")</f>
        <v>Single</v>
      </c>
      <c r="P984" t="str" cm="1">
        <f t="array" ref="P984">_xlfn.IFS(Table1[[#This Row],[Basic]]=1, "Basic", Table1[[#This Row],[Graduate]]=1, "Graduate", Table1[[#This Row],[Master]]=1, "Master", Table1[[#This Row],[PhD]]=1, "PhD", AND(Table1[[#This Row],[Basic]]=0, Table1[[#This Row],[Graduate]]=0, Table1[[#This Row],[Master]]=0, Table1[[#This Row],[PhD]]=0), "NA")</f>
        <v>PhD</v>
      </c>
      <c r="Q984" t="e">
        <f>_xlfn.XLOOKUP(Table1[[#This Row],[ID]], Table2[ID],#REF!, "Not Found", 0)</f>
        <v>#REF!</v>
      </c>
      <c r="R984" t="e">
        <f>_xlfn.XLOOKUP(Table1[[#This Row],[ID]], Table2[ID],#REF!, "Not Found", 0)</f>
        <v>#REF!</v>
      </c>
      <c r="S984" s="3" t="str">
        <f>_xlfn.XLOOKUP(Table1[[#This Row],[ID]], Table2[ID], Table2[Enrollment], "Not Found", 0)</f>
        <v>3/28/2020</v>
      </c>
      <c r="T984" t="s">
        <v>438</v>
      </c>
    </row>
    <row r="985" spans="1:20" x14ac:dyDescent="0.3">
      <c r="A985">
        <v>2544</v>
      </c>
      <c r="B985">
        <v>155517</v>
      </c>
      <c r="C985">
        <v>1</v>
      </c>
      <c r="D985">
        <v>1</v>
      </c>
      <c r="E985">
        <v>70</v>
      </c>
      <c r="F985">
        <v>0</v>
      </c>
      <c r="G985">
        <v>1</v>
      </c>
      <c r="H985">
        <v>0</v>
      </c>
      <c r="I985">
        <v>0</v>
      </c>
      <c r="J985">
        <v>0</v>
      </c>
      <c r="K985">
        <v>0</v>
      </c>
      <c r="L985">
        <v>0</v>
      </c>
      <c r="M985">
        <v>0</v>
      </c>
      <c r="N985">
        <v>1</v>
      </c>
      <c r="O985" t="str" cm="1">
        <f t="array" ref="O985">_xlfn.IFS(Table1[[#This Row],[Divorced]]=1, "Divorced", Table1[[#This Row],[Married]]=1, "Married", Table1[[#This Row],[Single]]=1, "Single", Table1[[#This Row],[Together]]=1, "Together", Table1[[#This Row],[Widow]]=1, "Widow")</f>
        <v>Married</v>
      </c>
      <c r="P985" t="str" cm="1">
        <f t="array" ref="P985">_xlfn.IFS(Table1[[#This Row],[Basic]]=1, "Basic", Table1[[#This Row],[Graduate]]=1, "Graduate", Table1[[#This Row],[Master]]=1, "Master", Table1[[#This Row],[PhD]]=1, "PhD", AND(Table1[[#This Row],[Basic]]=0, Table1[[#This Row],[Graduate]]=0, Table1[[#This Row],[Master]]=0, Table1[[#This Row],[PhD]]=0), "NA")</f>
        <v>PhD</v>
      </c>
      <c r="Q985" t="e">
        <f>_xlfn.XLOOKUP(Table1[[#This Row],[ID]], Table2[ID],#REF!, "Not Found", 0)</f>
        <v>#REF!</v>
      </c>
      <c r="R985" t="e">
        <f>_xlfn.XLOOKUP(Table1[[#This Row],[ID]], Table2[ID],#REF!, "Not Found", 0)</f>
        <v>#REF!</v>
      </c>
      <c r="S985" s="3">
        <f>_xlfn.XLOOKUP(Table1[[#This Row],[ID]], Table2[ID], Table2[Enrollment], "Not Found", 0)</f>
        <v>43558</v>
      </c>
      <c r="T985" t="s">
        <v>436</v>
      </c>
    </row>
    <row r="986" spans="1:20" x14ac:dyDescent="0.3">
      <c r="A986">
        <v>2591</v>
      </c>
      <c r="B986">
        <v>155434</v>
      </c>
      <c r="C986">
        <v>1</v>
      </c>
      <c r="D986">
        <v>0</v>
      </c>
      <c r="E986">
        <v>36</v>
      </c>
      <c r="F986">
        <v>0</v>
      </c>
      <c r="G986">
        <v>1</v>
      </c>
      <c r="H986">
        <v>0</v>
      </c>
      <c r="I986">
        <v>0</v>
      </c>
      <c r="J986">
        <v>0</v>
      </c>
      <c r="K986">
        <v>0</v>
      </c>
      <c r="L986">
        <v>1</v>
      </c>
      <c r="M986">
        <v>0</v>
      </c>
      <c r="N986">
        <v>0</v>
      </c>
      <c r="O986" t="str" cm="1">
        <f t="array" ref="O986">_xlfn.IFS(Table1[[#This Row],[Divorced]]=1, "Divorced", Table1[[#This Row],[Married]]=1, "Married", Table1[[#This Row],[Single]]=1, "Single", Table1[[#This Row],[Together]]=1, "Together", Table1[[#This Row],[Widow]]=1, "Widow")</f>
        <v>Married</v>
      </c>
      <c r="P986" t="str" cm="1">
        <f t="array" ref="P986">_xlfn.IFS(Table1[[#This Row],[Basic]]=1, "Basic", Table1[[#This Row],[Graduate]]=1, "Graduate", Table1[[#This Row],[Master]]=1, "Master", Table1[[#This Row],[PhD]]=1, "PhD", AND(Table1[[#This Row],[Basic]]=0, Table1[[#This Row],[Graduate]]=0, Table1[[#This Row],[Master]]=0, Table1[[#This Row],[PhD]]=0), "NA")</f>
        <v>Graduate</v>
      </c>
      <c r="Q986" t="e">
        <f>_xlfn.XLOOKUP(Table1[[#This Row],[ID]], Table2[ID],#REF!, "Not Found", 0)</f>
        <v>#REF!</v>
      </c>
      <c r="R986" t="e">
        <f>_xlfn.XLOOKUP(Table1[[#This Row],[ID]], Table2[ID],#REF!, "Not Found", 0)</f>
        <v>#REF!</v>
      </c>
      <c r="S986" s="3">
        <f>_xlfn.XLOOKUP(Table1[[#This Row],[ID]], Table2[ID], Table2[Enrollment], "Not Found", 0)</f>
        <v>44138</v>
      </c>
      <c r="T986" t="s">
        <v>434</v>
      </c>
    </row>
    <row r="987" spans="1:20" x14ac:dyDescent="0.3">
      <c r="A987">
        <v>2694</v>
      </c>
      <c r="B987">
        <v>155424</v>
      </c>
      <c r="C987">
        <v>0</v>
      </c>
      <c r="D987">
        <v>1</v>
      </c>
      <c r="E987">
        <v>44</v>
      </c>
      <c r="F987">
        <v>0</v>
      </c>
      <c r="G987">
        <v>1</v>
      </c>
      <c r="H987">
        <v>0</v>
      </c>
      <c r="I987">
        <v>0</v>
      </c>
      <c r="J987">
        <v>0</v>
      </c>
      <c r="K987">
        <v>0</v>
      </c>
      <c r="L987">
        <v>0</v>
      </c>
      <c r="M987">
        <v>0</v>
      </c>
      <c r="N987">
        <v>1</v>
      </c>
      <c r="O987" t="str" cm="1">
        <f t="array" ref="O987">_xlfn.IFS(Table1[[#This Row],[Divorced]]=1, "Divorced", Table1[[#This Row],[Married]]=1, "Married", Table1[[#This Row],[Single]]=1, "Single", Table1[[#This Row],[Together]]=1, "Together", Table1[[#This Row],[Widow]]=1, "Widow")</f>
        <v>Married</v>
      </c>
      <c r="P987" t="str" cm="1">
        <f t="array" ref="P987">_xlfn.IFS(Table1[[#This Row],[Basic]]=1, "Basic", Table1[[#This Row],[Graduate]]=1, "Graduate", Table1[[#This Row],[Master]]=1, "Master", Table1[[#This Row],[PhD]]=1, "PhD", AND(Table1[[#This Row],[Basic]]=0, Table1[[#This Row],[Graduate]]=0, Table1[[#This Row],[Master]]=0, Table1[[#This Row],[PhD]]=0), "NA")</f>
        <v>PhD</v>
      </c>
      <c r="Q987" t="e">
        <f>_xlfn.XLOOKUP(Table1[[#This Row],[ID]], Table2[ID],#REF!, "Not Found", 0)</f>
        <v>#REF!</v>
      </c>
      <c r="R987" t="e">
        <f>_xlfn.XLOOKUP(Table1[[#This Row],[ID]], Table2[ID],#REF!, "Not Found", 0)</f>
        <v>#REF!</v>
      </c>
      <c r="S987" s="3">
        <f>_xlfn.XLOOKUP(Table1[[#This Row],[ID]], Table2[ID], Table2[Enrollment], "Not Found", 0)</f>
        <v>43501</v>
      </c>
      <c r="T987" t="s">
        <v>436</v>
      </c>
    </row>
    <row r="988" spans="1:20" x14ac:dyDescent="0.3">
      <c r="A988">
        <v>1811</v>
      </c>
      <c r="B988">
        <v>155412</v>
      </c>
      <c r="C988">
        <v>1</v>
      </c>
      <c r="D988">
        <v>1</v>
      </c>
      <c r="E988">
        <v>44</v>
      </c>
      <c r="F988">
        <v>1</v>
      </c>
      <c r="G988">
        <v>0</v>
      </c>
      <c r="H988">
        <v>0</v>
      </c>
      <c r="I988">
        <v>0</v>
      </c>
      <c r="J988">
        <v>0</v>
      </c>
      <c r="K988">
        <v>0</v>
      </c>
      <c r="L988">
        <v>0</v>
      </c>
      <c r="M988">
        <v>0</v>
      </c>
      <c r="N988">
        <v>1</v>
      </c>
      <c r="O988" t="str" cm="1">
        <f t="array" ref="O988">_xlfn.IFS(Table1[[#This Row],[Divorced]]=1, "Divorced", Table1[[#This Row],[Married]]=1, "Married", Table1[[#This Row],[Single]]=1, "Single", Table1[[#This Row],[Together]]=1, "Together", Table1[[#This Row],[Widow]]=1, "Widow")</f>
        <v>Divorced</v>
      </c>
      <c r="P988" t="str" cm="1">
        <f t="array" ref="P988">_xlfn.IFS(Table1[[#This Row],[Basic]]=1, "Basic", Table1[[#This Row],[Graduate]]=1, "Graduate", Table1[[#This Row],[Master]]=1, "Master", Table1[[#This Row],[PhD]]=1, "PhD", AND(Table1[[#This Row],[Basic]]=0, Table1[[#This Row],[Graduate]]=0, Table1[[#This Row],[Master]]=0, Table1[[#This Row],[PhD]]=0), "NA")</f>
        <v>PhD</v>
      </c>
      <c r="Q988" t="e">
        <f>_xlfn.XLOOKUP(Table1[[#This Row],[ID]], Table2[ID],#REF!, "Not Found", 0)</f>
        <v>#REF!</v>
      </c>
      <c r="R988" t="e">
        <f>_xlfn.XLOOKUP(Table1[[#This Row],[ID]], Table2[ID],#REF!, "Not Found", 0)</f>
        <v>#REF!</v>
      </c>
      <c r="S988" s="3" t="str">
        <f>_xlfn.XLOOKUP(Table1[[#This Row],[ID]], Table2[ID], Table2[Enrollment], "Not Found", 0)</f>
        <v>4/28/2020</v>
      </c>
      <c r="T988" t="s">
        <v>434</v>
      </c>
    </row>
    <row r="989" spans="1:20" x14ac:dyDescent="0.3">
      <c r="A989">
        <v>1148</v>
      </c>
      <c r="B989">
        <v>155375</v>
      </c>
      <c r="C989">
        <v>0</v>
      </c>
      <c r="D989">
        <v>1</v>
      </c>
      <c r="E989">
        <v>43</v>
      </c>
      <c r="F989">
        <v>0</v>
      </c>
      <c r="G989">
        <v>0</v>
      </c>
      <c r="H989">
        <v>0</v>
      </c>
      <c r="I989">
        <v>1</v>
      </c>
      <c r="J989">
        <v>0</v>
      </c>
      <c r="K989">
        <v>0</v>
      </c>
      <c r="L989">
        <v>1</v>
      </c>
      <c r="M989">
        <v>0</v>
      </c>
      <c r="N989">
        <v>0</v>
      </c>
      <c r="O989" t="str" cm="1">
        <f t="array" ref="O989">_xlfn.IFS(Table1[[#This Row],[Divorced]]=1, "Divorced", Table1[[#This Row],[Married]]=1, "Married", Table1[[#This Row],[Single]]=1, "Single", Table1[[#This Row],[Together]]=1, "Together", Table1[[#This Row],[Widow]]=1, "Widow")</f>
        <v>Together</v>
      </c>
      <c r="P989" t="str" cm="1">
        <f t="array" ref="P989">_xlfn.IFS(Table1[[#This Row],[Basic]]=1, "Basic", Table1[[#This Row],[Graduate]]=1, "Graduate", Table1[[#This Row],[Master]]=1, "Master", Table1[[#This Row],[PhD]]=1, "PhD", AND(Table1[[#This Row],[Basic]]=0, Table1[[#This Row],[Graduate]]=0, Table1[[#This Row],[Master]]=0, Table1[[#This Row],[PhD]]=0), "NA")</f>
        <v>Graduate</v>
      </c>
      <c r="Q989" t="e">
        <f>_xlfn.XLOOKUP(Table1[[#This Row],[ID]], Table2[ID],#REF!, "Not Found", 0)</f>
        <v>#REF!</v>
      </c>
      <c r="R989" t="e">
        <f>_xlfn.XLOOKUP(Table1[[#This Row],[ID]], Table2[ID],#REF!, "Not Found", 0)</f>
        <v>#REF!</v>
      </c>
      <c r="S989" s="3" t="str">
        <f>_xlfn.XLOOKUP(Table1[[#This Row],[ID]], Table2[ID], Table2[Enrollment], "Not Found", 0)</f>
        <v>3/23/2020</v>
      </c>
      <c r="T989" t="s">
        <v>438</v>
      </c>
    </row>
    <row r="990" spans="1:20" x14ac:dyDescent="0.3">
      <c r="A990">
        <v>1838</v>
      </c>
      <c r="B990">
        <v>155357</v>
      </c>
      <c r="C990">
        <v>2</v>
      </c>
      <c r="D990">
        <v>0</v>
      </c>
      <c r="E990">
        <v>35</v>
      </c>
      <c r="F990">
        <v>0</v>
      </c>
      <c r="G990">
        <v>1</v>
      </c>
      <c r="H990">
        <v>0</v>
      </c>
      <c r="I990">
        <v>0</v>
      </c>
      <c r="J990">
        <v>0</v>
      </c>
      <c r="K990">
        <v>0</v>
      </c>
      <c r="L990">
        <v>1</v>
      </c>
      <c r="M990">
        <v>0</v>
      </c>
      <c r="N990">
        <v>0</v>
      </c>
      <c r="O990" t="str" cm="1">
        <f t="array" ref="O990">_xlfn.IFS(Table1[[#This Row],[Divorced]]=1, "Divorced", Table1[[#This Row],[Married]]=1, "Married", Table1[[#This Row],[Single]]=1, "Single", Table1[[#This Row],[Together]]=1, "Together", Table1[[#This Row],[Widow]]=1, "Widow")</f>
        <v>Married</v>
      </c>
      <c r="P990" t="str" cm="1">
        <f t="array" ref="P990">_xlfn.IFS(Table1[[#This Row],[Basic]]=1, "Basic", Table1[[#This Row],[Graduate]]=1, "Graduate", Table1[[#This Row],[Master]]=1, "Master", Table1[[#This Row],[PhD]]=1, "PhD", AND(Table1[[#This Row],[Basic]]=0, Table1[[#This Row],[Graduate]]=0, Table1[[#This Row],[Master]]=0, Table1[[#This Row],[PhD]]=0), "NA")</f>
        <v>Graduate</v>
      </c>
      <c r="Q990" t="e">
        <f>_xlfn.XLOOKUP(Table1[[#This Row],[ID]], Table2[ID],#REF!, "Not Found", 0)</f>
        <v>#REF!</v>
      </c>
      <c r="R990" t="e">
        <f>_xlfn.XLOOKUP(Table1[[#This Row],[ID]], Table2[ID],#REF!, "Not Found", 0)</f>
        <v>#REF!</v>
      </c>
      <c r="S990" s="3" t="str">
        <f>_xlfn.XLOOKUP(Table1[[#This Row],[ID]], Table2[ID], Table2[Enrollment], "Not Found", 0)</f>
        <v>7/27/2019</v>
      </c>
      <c r="T990" t="s">
        <v>438</v>
      </c>
    </row>
    <row r="991" spans="1:20" x14ac:dyDescent="0.3">
      <c r="A991">
        <v>1828</v>
      </c>
      <c r="B991">
        <v>155284</v>
      </c>
      <c r="C991">
        <v>0</v>
      </c>
      <c r="D991">
        <v>1</v>
      </c>
      <c r="E991">
        <v>64</v>
      </c>
      <c r="F991">
        <v>0</v>
      </c>
      <c r="G991">
        <v>0</v>
      </c>
      <c r="H991">
        <v>1</v>
      </c>
      <c r="I991">
        <v>0</v>
      </c>
      <c r="J991">
        <v>0</v>
      </c>
      <c r="K991">
        <v>0</v>
      </c>
      <c r="L991">
        <v>0</v>
      </c>
      <c r="M991">
        <v>1</v>
      </c>
      <c r="N991">
        <v>0</v>
      </c>
      <c r="O991" t="str" cm="1">
        <f t="array" ref="O991">_xlfn.IFS(Table1[[#This Row],[Divorced]]=1, "Divorced", Table1[[#This Row],[Married]]=1, "Married", Table1[[#This Row],[Single]]=1, "Single", Table1[[#This Row],[Together]]=1, "Together", Table1[[#This Row],[Widow]]=1, "Widow")</f>
        <v>Single</v>
      </c>
      <c r="P991" t="str" cm="1">
        <f t="array" ref="P991">_xlfn.IFS(Table1[[#This Row],[Basic]]=1, "Basic", Table1[[#This Row],[Graduate]]=1, "Graduate", Table1[[#This Row],[Master]]=1, "Master", Table1[[#This Row],[PhD]]=1, "PhD", AND(Table1[[#This Row],[Basic]]=0, Table1[[#This Row],[Graduate]]=0, Table1[[#This Row],[Master]]=0, Table1[[#This Row],[PhD]]=0), "NA")</f>
        <v>Master</v>
      </c>
      <c r="Q991" t="e">
        <f>_xlfn.XLOOKUP(Table1[[#This Row],[ID]], Table2[ID],#REF!, "Not Found", 0)</f>
        <v>#REF!</v>
      </c>
      <c r="R991" t="e">
        <f>_xlfn.XLOOKUP(Table1[[#This Row],[ID]], Table2[ID],#REF!, "Not Found", 0)</f>
        <v>#REF!</v>
      </c>
      <c r="S991" s="3" t="str">
        <f>_xlfn.XLOOKUP(Table1[[#This Row],[ID]], Table2[ID], Table2[Enrollment], "Not Found", 0)</f>
        <v>5/31/2019</v>
      </c>
      <c r="T991" t="s">
        <v>439</v>
      </c>
    </row>
    <row r="992" spans="1:20" x14ac:dyDescent="0.3">
      <c r="A992">
        <v>1630</v>
      </c>
      <c r="B992">
        <v>155282</v>
      </c>
      <c r="C992">
        <v>1</v>
      </c>
      <c r="D992">
        <v>0</v>
      </c>
      <c r="E992">
        <v>50</v>
      </c>
      <c r="F992">
        <v>1</v>
      </c>
      <c r="G992">
        <v>0</v>
      </c>
      <c r="H992">
        <v>0</v>
      </c>
      <c r="I992">
        <v>0</v>
      </c>
      <c r="J992">
        <v>0</v>
      </c>
      <c r="K992">
        <v>0</v>
      </c>
      <c r="L992">
        <v>0</v>
      </c>
      <c r="M992">
        <v>1</v>
      </c>
      <c r="N992">
        <v>0</v>
      </c>
      <c r="O992" t="str" cm="1">
        <f t="array" ref="O992">_xlfn.IFS(Table1[[#This Row],[Divorced]]=1, "Divorced", Table1[[#This Row],[Married]]=1, "Married", Table1[[#This Row],[Single]]=1, "Single", Table1[[#This Row],[Together]]=1, "Together", Table1[[#This Row],[Widow]]=1, "Widow")</f>
        <v>Divorced</v>
      </c>
      <c r="P992" t="str" cm="1">
        <f t="array" ref="P992">_xlfn.IFS(Table1[[#This Row],[Basic]]=1, "Basic", Table1[[#This Row],[Graduate]]=1, "Graduate", Table1[[#This Row],[Master]]=1, "Master", Table1[[#This Row],[PhD]]=1, "PhD", AND(Table1[[#This Row],[Basic]]=0, Table1[[#This Row],[Graduate]]=0, Table1[[#This Row],[Master]]=0, Table1[[#This Row],[PhD]]=0), "NA")</f>
        <v>Master</v>
      </c>
      <c r="Q992" t="e">
        <f>_xlfn.XLOOKUP(Table1[[#This Row],[ID]], Table2[ID],#REF!, "Not Found", 0)</f>
        <v>#REF!</v>
      </c>
      <c r="R992" t="e">
        <f>_xlfn.XLOOKUP(Table1[[#This Row],[ID]], Table2[ID],#REF!, "Not Found", 0)</f>
        <v>#REF!</v>
      </c>
      <c r="S992" s="3" t="str">
        <f>_xlfn.XLOOKUP(Table1[[#This Row],[ID]], Table2[ID], Table2[Enrollment], "Not Found", 0)</f>
        <v>5/19/2020</v>
      </c>
      <c r="T992" t="s">
        <v>439</v>
      </c>
    </row>
    <row r="993" spans="1:20" x14ac:dyDescent="0.3">
      <c r="A993">
        <v>1788</v>
      </c>
      <c r="B993">
        <v>155267</v>
      </c>
      <c r="C993">
        <v>0</v>
      </c>
      <c r="D993">
        <v>1</v>
      </c>
      <c r="E993">
        <v>63</v>
      </c>
      <c r="F993">
        <v>0</v>
      </c>
      <c r="G993">
        <v>1</v>
      </c>
      <c r="H993">
        <v>0</v>
      </c>
      <c r="I993">
        <v>0</v>
      </c>
      <c r="J993">
        <v>0</v>
      </c>
      <c r="K993">
        <v>0</v>
      </c>
      <c r="L993">
        <v>1</v>
      </c>
      <c r="M993">
        <v>0</v>
      </c>
      <c r="N993">
        <v>0</v>
      </c>
      <c r="O993" t="str" cm="1">
        <f t="array" ref="O993">_xlfn.IFS(Table1[[#This Row],[Divorced]]=1, "Divorced", Table1[[#This Row],[Married]]=1, "Married", Table1[[#This Row],[Single]]=1, "Single", Table1[[#This Row],[Together]]=1, "Together", Table1[[#This Row],[Widow]]=1, "Widow")</f>
        <v>Married</v>
      </c>
      <c r="P993" t="str" cm="1">
        <f t="array" ref="P993">_xlfn.IFS(Table1[[#This Row],[Basic]]=1, "Basic", Table1[[#This Row],[Graduate]]=1, "Graduate", Table1[[#This Row],[Master]]=1, "Master", Table1[[#This Row],[PhD]]=1, "PhD", AND(Table1[[#This Row],[Basic]]=0, Table1[[#This Row],[Graduate]]=0, Table1[[#This Row],[Master]]=0, Table1[[#This Row],[PhD]]=0), "NA")</f>
        <v>Graduate</v>
      </c>
      <c r="Q993" t="e">
        <f>_xlfn.XLOOKUP(Table1[[#This Row],[ID]], Table2[ID],#REF!, "Not Found", 0)</f>
        <v>#REF!</v>
      </c>
      <c r="R993" t="e">
        <f>_xlfn.XLOOKUP(Table1[[#This Row],[ID]], Table2[ID],#REF!, "Not Found", 0)</f>
        <v>#REF!</v>
      </c>
      <c r="S993" s="3" t="str">
        <f>_xlfn.XLOOKUP(Table1[[#This Row],[ID]], Table2[ID], Table2[Enrollment], "Not Found", 0)</f>
        <v>3/27/2020</v>
      </c>
      <c r="T993" t="s">
        <v>436</v>
      </c>
    </row>
    <row r="994" spans="1:20" x14ac:dyDescent="0.3">
      <c r="A994">
        <v>1876</v>
      </c>
      <c r="B994">
        <v>155260</v>
      </c>
      <c r="C994">
        <v>0</v>
      </c>
      <c r="D994">
        <v>1</v>
      </c>
      <c r="E994">
        <v>48</v>
      </c>
      <c r="F994">
        <v>0</v>
      </c>
      <c r="G994">
        <v>0</v>
      </c>
      <c r="H994">
        <v>1</v>
      </c>
      <c r="I994">
        <v>0</v>
      </c>
      <c r="J994">
        <v>0</v>
      </c>
      <c r="K994">
        <v>0</v>
      </c>
      <c r="L994">
        <v>0</v>
      </c>
      <c r="M994">
        <v>0</v>
      </c>
      <c r="N994">
        <v>1</v>
      </c>
      <c r="O994" t="str" cm="1">
        <f t="array" ref="O994">_xlfn.IFS(Table1[[#This Row],[Divorced]]=1, "Divorced", Table1[[#This Row],[Married]]=1, "Married", Table1[[#This Row],[Single]]=1, "Single", Table1[[#This Row],[Together]]=1, "Together", Table1[[#This Row],[Widow]]=1, "Widow")</f>
        <v>Single</v>
      </c>
      <c r="P994" t="str" cm="1">
        <f t="array" ref="P994">_xlfn.IFS(Table1[[#This Row],[Basic]]=1, "Basic", Table1[[#This Row],[Graduate]]=1, "Graduate", Table1[[#This Row],[Master]]=1, "Master", Table1[[#This Row],[PhD]]=1, "PhD", AND(Table1[[#This Row],[Basic]]=0, Table1[[#This Row],[Graduate]]=0, Table1[[#This Row],[Master]]=0, Table1[[#This Row],[PhD]]=0), "NA")</f>
        <v>PhD</v>
      </c>
      <c r="Q994" t="e">
        <f>_xlfn.XLOOKUP(Table1[[#This Row],[ID]], Table2[ID],#REF!, "Not Found", 0)</f>
        <v>#REF!</v>
      </c>
      <c r="R994" t="e">
        <f>_xlfn.XLOOKUP(Table1[[#This Row],[ID]], Table2[ID],#REF!, "Not Found", 0)</f>
        <v>#REF!</v>
      </c>
      <c r="S994" s="3" t="str">
        <f>_xlfn.XLOOKUP(Table1[[#This Row],[ID]], Table2[ID], Table2[Enrollment], "Not Found", 0)</f>
        <v>5/19/2019</v>
      </c>
      <c r="T994" t="s">
        <v>439</v>
      </c>
    </row>
    <row r="995" spans="1:20" x14ac:dyDescent="0.3">
      <c r="A995">
        <v>1692</v>
      </c>
      <c r="B995">
        <v>155250</v>
      </c>
      <c r="C995">
        <v>0</v>
      </c>
      <c r="D995">
        <v>1</v>
      </c>
      <c r="E995">
        <v>55</v>
      </c>
      <c r="F995">
        <v>0</v>
      </c>
      <c r="G995">
        <v>0</v>
      </c>
      <c r="H995">
        <v>1</v>
      </c>
      <c r="I995">
        <v>0</v>
      </c>
      <c r="J995">
        <v>0</v>
      </c>
      <c r="K995">
        <v>0</v>
      </c>
      <c r="L995">
        <v>0</v>
      </c>
      <c r="M995">
        <v>1</v>
      </c>
      <c r="N995">
        <v>0</v>
      </c>
      <c r="O995" t="str" cm="1">
        <f t="array" ref="O995">_xlfn.IFS(Table1[[#This Row],[Divorced]]=1, "Divorced", Table1[[#This Row],[Married]]=1, "Married", Table1[[#This Row],[Single]]=1, "Single", Table1[[#This Row],[Together]]=1, "Together", Table1[[#This Row],[Widow]]=1, "Widow")</f>
        <v>Single</v>
      </c>
      <c r="P995" t="str" cm="1">
        <f t="array" ref="P995">_xlfn.IFS(Table1[[#This Row],[Basic]]=1, "Basic", Table1[[#This Row],[Graduate]]=1, "Graduate", Table1[[#This Row],[Master]]=1, "Master", Table1[[#This Row],[PhD]]=1, "PhD", AND(Table1[[#This Row],[Basic]]=0, Table1[[#This Row],[Graduate]]=0, Table1[[#This Row],[Master]]=0, Table1[[#This Row],[PhD]]=0), "NA")</f>
        <v>Master</v>
      </c>
      <c r="Q995" t="e">
        <f>_xlfn.XLOOKUP(Table1[[#This Row],[ID]], Table2[ID],#REF!, "Not Found", 0)</f>
        <v>#REF!</v>
      </c>
      <c r="R995" t="e">
        <f>_xlfn.XLOOKUP(Table1[[#This Row],[ID]], Table2[ID],#REF!, "Not Found", 0)</f>
        <v>#REF!</v>
      </c>
      <c r="S995" s="3" t="str">
        <f>_xlfn.XLOOKUP(Table1[[#This Row],[ID]], Table2[ID], Table2[Enrollment], "Not Found", 0)</f>
        <v>3/28/2019</v>
      </c>
      <c r="T995" t="s">
        <v>436</v>
      </c>
    </row>
    <row r="996" spans="1:20" x14ac:dyDescent="0.3">
      <c r="A996">
        <v>2217</v>
      </c>
      <c r="B996">
        <v>155249</v>
      </c>
      <c r="C996">
        <v>0</v>
      </c>
      <c r="D996">
        <v>1</v>
      </c>
      <c r="E996">
        <v>64</v>
      </c>
      <c r="F996">
        <v>0</v>
      </c>
      <c r="G996">
        <v>0</v>
      </c>
      <c r="H996">
        <v>0</v>
      </c>
      <c r="I996">
        <v>1</v>
      </c>
      <c r="J996">
        <v>0</v>
      </c>
      <c r="K996">
        <v>0</v>
      </c>
      <c r="L996">
        <v>0</v>
      </c>
      <c r="M996">
        <v>1</v>
      </c>
      <c r="N996">
        <v>0</v>
      </c>
      <c r="O996" t="str" cm="1">
        <f t="array" ref="O996">_xlfn.IFS(Table1[[#This Row],[Divorced]]=1, "Divorced", Table1[[#This Row],[Married]]=1, "Married", Table1[[#This Row],[Single]]=1, "Single", Table1[[#This Row],[Together]]=1, "Together", Table1[[#This Row],[Widow]]=1, "Widow")</f>
        <v>Together</v>
      </c>
      <c r="P996" t="str" cm="1">
        <f t="array" ref="P996">_xlfn.IFS(Table1[[#This Row],[Basic]]=1, "Basic", Table1[[#This Row],[Graduate]]=1, "Graduate", Table1[[#This Row],[Master]]=1, "Master", Table1[[#This Row],[PhD]]=1, "PhD", AND(Table1[[#This Row],[Basic]]=0, Table1[[#This Row],[Graduate]]=0, Table1[[#This Row],[Master]]=0, Table1[[#This Row],[PhD]]=0), "NA")</f>
        <v>Master</v>
      </c>
      <c r="Q996" t="e">
        <f>_xlfn.XLOOKUP(Table1[[#This Row],[ID]], Table2[ID],#REF!, "Not Found", 0)</f>
        <v>#REF!</v>
      </c>
      <c r="R996" t="e">
        <f>_xlfn.XLOOKUP(Table1[[#This Row],[ID]], Table2[ID],#REF!, "Not Found", 0)</f>
        <v>#REF!</v>
      </c>
      <c r="S996" s="3" t="str">
        <f>_xlfn.XLOOKUP(Table1[[#This Row],[ID]], Table2[ID], Table2[Enrollment], "Not Found", 0)</f>
        <v>9/21/2020</v>
      </c>
      <c r="T996" t="s">
        <v>435</v>
      </c>
    </row>
    <row r="997" spans="1:20" x14ac:dyDescent="0.3">
      <c r="A997">
        <v>1919</v>
      </c>
      <c r="B997">
        <v>155239</v>
      </c>
      <c r="C997">
        <v>0</v>
      </c>
      <c r="D997">
        <v>1</v>
      </c>
      <c r="E997">
        <v>49</v>
      </c>
      <c r="F997">
        <v>0</v>
      </c>
      <c r="G997">
        <v>0</v>
      </c>
      <c r="H997">
        <v>1</v>
      </c>
      <c r="I997">
        <v>0</v>
      </c>
      <c r="J997">
        <v>0</v>
      </c>
      <c r="K997">
        <v>0</v>
      </c>
      <c r="L997">
        <v>1</v>
      </c>
      <c r="M997">
        <v>0</v>
      </c>
      <c r="N997">
        <v>0</v>
      </c>
      <c r="O997" t="str" cm="1">
        <f t="array" ref="O997">_xlfn.IFS(Table1[[#This Row],[Divorced]]=1, "Divorced", Table1[[#This Row],[Married]]=1, "Married", Table1[[#This Row],[Single]]=1, "Single", Table1[[#This Row],[Together]]=1, "Together", Table1[[#This Row],[Widow]]=1, "Widow")</f>
        <v>Single</v>
      </c>
      <c r="P997" t="str" cm="1">
        <f t="array" ref="P997">_xlfn.IFS(Table1[[#This Row],[Basic]]=1, "Basic", Table1[[#This Row],[Graduate]]=1, "Graduate", Table1[[#This Row],[Master]]=1, "Master", Table1[[#This Row],[PhD]]=1, "PhD", AND(Table1[[#This Row],[Basic]]=0, Table1[[#This Row],[Graduate]]=0, Table1[[#This Row],[Master]]=0, Table1[[#This Row],[PhD]]=0), "NA")</f>
        <v>Graduate</v>
      </c>
      <c r="Q997" t="e">
        <f>_xlfn.XLOOKUP(Table1[[#This Row],[ID]], Table2[ID],#REF!, "Not Found", 0)</f>
        <v>#REF!</v>
      </c>
      <c r="R997" t="e">
        <f>_xlfn.XLOOKUP(Table1[[#This Row],[ID]], Table2[ID],#REF!, "Not Found", 0)</f>
        <v>#REF!</v>
      </c>
      <c r="S997" s="3" t="str">
        <f>_xlfn.XLOOKUP(Table1[[#This Row],[ID]], Table2[ID], Table2[Enrollment], "Not Found", 0)</f>
        <v>12/19/2019</v>
      </c>
      <c r="T997" t="s">
        <v>434</v>
      </c>
    </row>
    <row r="998" spans="1:20" x14ac:dyDescent="0.3">
      <c r="A998">
        <v>1326</v>
      </c>
      <c r="B998">
        <v>155212</v>
      </c>
      <c r="C998">
        <v>0</v>
      </c>
      <c r="D998">
        <v>1</v>
      </c>
      <c r="E998">
        <v>51</v>
      </c>
      <c r="F998">
        <v>0</v>
      </c>
      <c r="G998">
        <v>1</v>
      </c>
      <c r="H998">
        <v>0</v>
      </c>
      <c r="I998">
        <v>0</v>
      </c>
      <c r="J998">
        <v>0</v>
      </c>
      <c r="K998">
        <v>0</v>
      </c>
      <c r="L998">
        <v>0</v>
      </c>
      <c r="M998">
        <v>0</v>
      </c>
      <c r="N998">
        <v>1</v>
      </c>
      <c r="O998" t="str" cm="1">
        <f t="array" ref="O998">_xlfn.IFS(Table1[[#This Row],[Divorced]]=1, "Divorced", Table1[[#This Row],[Married]]=1, "Married", Table1[[#This Row],[Single]]=1, "Single", Table1[[#This Row],[Together]]=1, "Together", Table1[[#This Row],[Widow]]=1, "Widow")</f>
        <v>Married</v>
      </c>
      <c r="P998" t="str" cm="1">
        <f t="array" ref="P998">_xlfn.IFS(Table1[[#This Row],[Basic]]=1, "Basic", Table1[[#This Row],[Graduate]]=1, "Graduate", Table1[[#This Row],[Master]]=1, "Master", Table1[[#This Row],[PhD]]=1, "PhD", AND(Table1[[#This Row],[Basic]]=0, Table1[[#This Row],[Graduate]]=0, Table1[[#This Row],[Master]]=0, Table1[[#This Row],[PhD]]=0), "NA")</f>
        <v>PhD</v>
      </c>
      <c r="Q998" t="e">
        <f>_xlfn.XLOOKUP(Table1[[#This Row],[ID]], Table2[ID],#REF!, "Not Found", 0)</f>
        <v>#REF!</v>
      </c>
      <c r="R998" t="e">
        <f>_xlfn.XLOOKUP(Table1[[#This Row],[ID]], Table2[ID],#REF!, "Not Found", 0)</f>
        <v>#REF!</v>
      </c>
      <c r="S998" s="3" t="str">
        <f>_xlfn.XLOOKUP(Table1[[#This Row],[ID]], Table2[ID], Table2[Enrollment], "Not Found", 0)</f>
        <v>4/30/2019</v>
      </c>
      <c r="T998" t="s">
        <v>436</v>
      </c>
    </row>
    <row r="999" spans="1:20" x14ac:dyDescent="0.3">
      <c r="A999">
        <v>2901</v>
      </c>
      <c r="B999">
        <v>155212</v>
      </c>
      <c r="C999">
        <v>0</v>
      </c>
      <c r="D999">
        <v>1</v>
      </c>
      <c r="E999">
        <v>51</v>
      </c>
      <c r="F999">
        <v>0</v>
      </c>
      <c r="G999">
        <v>1</v>
      </c>
      <c r="H999">
        <v>0</v>
      </c>
      <c r="I999">
        <v>0</v>
      </c>
      <c r="J999">
        <v>0</v>
      </c>
      <c r="K999">
        <v>0</v>
      </c>
      <c r="L999">
        <v>0</v>
      </c>
      <c r="M999">
        <v>0</v>
      </c>
      <c r="N999">
        <v>1</v>
      </c>
      <c r="O999" t="str" cm="1">
        <f t="array" ref="O999">_xlfn.IFS(Table1[[#This Row],[Divorced]]=1, "Divorced", Table1[[#This Row],[Married]]=1, "Married", Table1[[#This Row],[Single]]=1, "Single", Table1[[#This Row],[Together]]=1, "Together", Table1[[#This Row],[Widow]]=1, "Widow")</f>
        <v>Married</v>
      </c>
      <c r="P999" t="str" cm="1">
        <f t="array" ref="P999">_xlfn.IFS(Table1[[#This Row],[Basic]]=1, "Basic", Table1[[#This Row],[Graduate]]=1, "Graduate", Table1[[#This Row],[Master]]=1, "Master", Table1[[#This Row],[PhD]]=1, "PhD", AND(Table1[[#This Row],[Basic]]=0, Table1[[#This Row],[Graduate]]=0, Table1[[#This Row],[Master]]=0, Table1[[#This Row],[PhD]]=0), "NA")</f>
        <v>PhD</v>
      </c>
      <c r="Q999" t="e">
        <f>_xlfn.XLOOKUP(Table1[[#This Row],[ID]], Table2[ID],#REF!, "Not Found", 0)</f>
        <v>#REF!</v>
      </c>
      <c r="R999" t="e">
        <f>_xlfn.XLOOKUP(Table1[[#This Row],[ID]], Table2[ID],#REF!, "Not Found", 0)</f>
        <v>#REF!</v>
      </c>
      <c r="S999" s="3" t="str">
        <f>_xlfn.XLOOKUP(Table1[[#This Row],[ID]], Table2[ID], Table2[Enrollment], "Not Found", 0)</f>
        <v>4/30/2019</v>
      </c>
      <c r="T999" t="s">
        <v>435</v>
      </c>
    </row>
    <row r="1000" spans="1:20" x14ac:dyDescent="0.3">
      <c r="A1000">
        <v>2236</v>
      </c>
      <c r="B1000">
        <v>155158</v>
      </c>
      <c r="C1000">
        <v>1</v>
      </c>
      <c r="D1000">
        <v>1</v>
      </c>
      <c r="E1000">
        <v>50</v>
      </c>
      <c r="F1000">
        <v>0</v>
      </c>
      <c r="G1000">
        <v>1</v>
      </c>
      <c r="H1000">
        <v>0</v>
      </c>
      <c r="I1000">
        <v>0</v>
      </c>
      <c r="J1000">
        <v>0</v>
      </c>
      <c r="K1000">
        <v>0</v>
      </c>
      <c r="L1000">
        <v>0</v>
      </c>
      <c r="M1000">
        <v>0</v>
      </c>
      <c r="N1000">
        <v>1</v>
      </c>
      <c r="O1000" t="str" cm="1">
        <f t="array" ref="O1000">_xlfn.IFS(Table1[[#This Row],[Divorced]]=1, "Divorced", Table1[[#This Row],[Married]]=1, "Married", Table1[[#This Row],[Single]]=1, "Single", Table1[[#This Row],[Together]]=1, "Together", Table1[[#This Row],[Widow]]=1, "Widow")</f>
        <v>Married</v>
      </c>
      <c r="P1000" t="str" cm="1">
        <f t="array" ref="P1000">_xlfn.IFS(Table1[[#This Row],[Basic]]=1, "Basic", Table1[[#This Row],[Graduate]]=1, "Graduate", Table1[[#This Row],[Master]]=1, "Master", Table1[[#This Row],[PhD]]=1, "PhD", AND(Table1[[#This Row],[Basic]]=0, Table1[[#This Row],[Graduate]]=0, Table1[[#This Row],[Master]]=0, Table1[[#This Row],[PhD]]=0), "NA")</f>
        <v>PhD</v>
      </c>
      <c r="Q1000" t="e">
        <f>_xlfn.XLOOKUP(Table1[[#This Row],[ID]], Table2[ID],#REF!, "Not Found", 0)</f>
        <v>#REF!</v>
      </c>
      <c r="R1000" t="e">
        <f>_xlfn.XLOOKUP(Table1[[#This Row],[ID]], Table2[ID],#REF!, "Not Found", 0)</f>
        <v>#REF!</v>
      </c>
      <c r="S1000" s="3">
        <f>_xlfn.XLOOKUP(Table1[[#This Row],[ID]], Table2[ID], Table2[Enrollment], "Not Found", 0)</f>
        <v>43556</v>
      </c>
      <c r="T1000" t="s">
        <v>439</v>
      </c>
    </row>
    <row r="1001" spans="1:20" x14ac:dyDescent="0.3">
      <c r="A1001">
        <v>2678</v>
      </c>
      <c r="B1001">
        <v>155012</v>
      </c>
      <c r="C1001">
        <v>0</v>
      </c>
      <c r="D1001">
        <v>1</v>
      </c>
      <c r="E1001">
        <v>47</v>
      </c>
      <c r="F1001">
        <v>0</v>
      </c>
      <c r="G1001">
        <v>0</v>
      </c>
      <c r="H1001">
        <v>0</v>
      </c>
      <c r="I1001">
        <v>1</v>
      </c>
      <c r="J1001">
        <v>0</v>
      </c>
      <c r="K1001">
        <v>0</v>
      </c>
      <c r="L1001">
        <v>0</v>
      </c>
      <c r="M1001">
        <v>0</v>
      </c>
      <c r="N1001">
        <v>1</v>
      </c>
      <c r="O1001" t="str" cm="1">
        <f t="array" ref="O1001">_xlfn.IFS(Table1[[#This Row],[Divorced]]=1, "Divorced", Table1[[#This Row],[Married]]=1, "Married", Table1[[#This Row],[Single]]=1, "Single", Table1[[#This Row],[Together]]=1, "Together", Table1[[#This Row],[Widow]]=1, "Widow")</f>
        <v>Together</v>
      </c>
      <c r="P1001" t="str" cm="1">
        <f t="array" ref="P1001">_xlfn.IFS(Table1[[#This Row],[Basic]]=1, "Basic", Table1[[#This Row],[Graduate]]=1, "Graduate", Table1[[#This Row],[Master]]=1, "Master", Table1[[#This Row],[PhD]]=1, "PhD", AND(Table1[[#This Row],[Basic]]=0, Table1[[#This Row],[Graduate]]=0, Table1[[#This Row],[Master]]=0, Table1[[#This Row],[PhD]]=0), "NA")</f>
        <v>PhD</v>
      </c>
      <c r="Q1001" t="e">
        <f>_xlfn.XLOOKUP(Table1[[#This Row],[ID]], Table2[ID],#REF!, "Not Found", 0)</f>
        <v>#REF!</v>
      </c>
      <c r="R1001" t="e">
        <f>_xlfn.XLOOKUP(Table1[[#This Row],[ID]], Table2[ID],#REF!, "Not Found", 0)</f>
        <v>#REF!</v>
      </c>
      <c r="S1001" s="3" t="str">
        <f>_xlfn.XLOOKUP(Table1[[#This Row],[ID]], Table2[ID], Table2[Enrollment], "Not Found", 0)</f>
        <v>8/25/2020</v>
      </c>
      <c r="T1001" t="s">
        <v>438</v>
      </c>
    </row>
    <row r="1002" spans="1:20" x14ac:dyDescent="0.3">
      <c r="A1002">
        <v>2911</v>
      </c>
      <c r="B1002">
        <v>154998</v>
      </c>
      <c r="C1002">
        <v>0</v>
      </c>
      <c r="D1002">
        <v>1</v>
      </c>
      <c r="E1002">
        <v>64</v>
      </c>
      <c r="F1002">
        <v>0</v>
      </c>
      <c r="G1002">
        <v>0</v>
      </c>
      <c r="H1002">
        <v>1</v>
      </c>
      <c r="I1002">
        <v>0</v>
      </c>
      <c r="J1002">
        <v>0</v>
      </c>
      <c r="K1002">
        <v>0</v>
      </c>
      <c r="L1002">
        <v>0</v>
      </c>
      <c r="M1002">
        <v>0</v>
      </c>
      <c r="N1002">
        <v>1</v>
      </c>
      <c r="O1002" t="str" cm="1">
        <f t="array" ref="O1002">_xlfn.IFS(Table1[[#This Row],[Divorced]]=1, "Divorced", Table1[[#This Row],[Married]]=1, "Married", Table1[[#This Row],[Single]]=1, "Single", Table1[[#This Row],[Together]]=1, "Together", Table1[[#This Row],[Widow]]=1, "Widow")</f>
        <v>Single</v>
      </c>
      <c r="P1002" t="str" cm="1">
        <f t="array" ref="P1002">_xlfn.IFS(Table1[[#This Row],[Basic]]=1, "Basic", Table1[[#This Row],[Graduate]]=1, "Graduate", Table1[[#This Row],[Master]]=1, "Master", Table1[[#This Row],[PhD]]=1, "PhD", AND(Table1[[#This Row],[Basic]]=0, Table1[[#This Row],[Graduate]]=0, Table1[[#This Row],[Master]]=0, Table1[[#This Row],[PhD]]=0), "NA")</f>
        <v>PhD</v>
      </c>
      <c r="Q1002" t="e">
        <f>_xlfn.XLOOKUP(Table1[[#This Row],[ID]], Table2[ID],#REF!, "Not Found", 0)</f>
        <v>#REF!</v>
      </c>
      <c r="R1002" t="e">
        <f>_xlfn.XLOOKUP(Table1[[#This Row],[ID]], Table2[ID],#REF!, "Not Found", 0)</f>
        <v>#REF!</v>
      </c>
      <c r="S1002" s="3" t="str">
        <f>_xlfn.XLOOKUP(Table1[[#This Row],[ID]], Table2[ID], Table2[Enrollment], "Not Found", 0)</f>
        <v>8/15/2019</v>
      </c>
      <c r="T1002" t="s">
        <v>437</v>
      </c>
    </row>
    <row r="1003" spans="1:20" x14ac:dyDescent="0.3">
      <c r="A1003">
        <v>2713</v>
      </c>
      <c r="B1003">
        <v>154984</v>
      </c>
      <c r="C1003">
        <v>0</v>
      </c>
      <c r="D1003">
        <v>1</v>
      </c>
      <c r="E1003">
        <v>61</v>
      </c>
      <c r="F1003">
        <v>0</v>
      </c>
      <c r="G1003">
        <v>1</v>
      </c>
      <c r="H1003">
        <v>0</v>
      </c>
      <c r="I1003">
        <v>0</v>
      </c>
      <c r="J1003">
        <v>0</v>
      </c>
      <c r="K1003">
        <v>0</v>
      </c>
      <c r="L1003">
        <v>1</v>
      </c>
      <c r="M1003">
        <v>0</v>
      </c>
      <c r="N1003">
        <v>0</v>
      </c>
      <c r="O1003" t="str" cm="1">
        <f t="array" ref="O1003">_xlfn.IFS(Table1[[#This Row],[Divorced]]=1, "Divorced", Table1[[#This Row],[Married]]=1, "Married", Table1[[#This Row],[Single]]=1, "Single", Table1[[#This Row],[Together]]=1, "Together", Table1[[#This Row],[Widow]]=1, "Widow")</f>
        <v>Married</v>
      </c>
      <c r="P1003" t="str" cm="1">
        <f t="array" ref="P1003">_xlfn.IFS(Table1[[#This Row],[Basic]]=1, "Basic", Table1[[#This Row],[Graduate]]=1, "Graduate", Table1[[#This Row],[Master]]=1, "Master", Table1[[#This Row],[PhD]]=1, "PhD", AND(Table1[[#This Row],[Basic]]=0, Table1[[#This Row],[Graduate]]=0, Table1[[#This Row],[Master]]=0, Table1[[#This Row],[PhD]]=0), "NA")</f>
        <v>Graduate</v>
      </c>
      <c r="Q1003" t="e">
        <f>_xlfn.XLOOKUP(Table1[[#This Row],[ID]], Table2[ID],#REF!, "Not Found", 0)</f>
        <v>#REF!</v>
      </c>
      <c r="R1003" t="e">
        <f>_xlfn.XLOOKUP(Table1[[#This Row],[ID]], Table2[ID],#REF!, "Not Found", 0)</f>
        <v>#REF!</v>
      </c>
      <c r="S1003" s="3" t="str">
        <f>_xlfn.XLOOKUP(Table1[[#This Row],[ID]], Table2[ID], Table2[Enrollment], "Not Found", 0)</f>
        <v>10/28/2020</v>
      </c>
      <c r="T1003" t="s">
        <v>437</v>
      </c>
    </row>
    <row r="1004" spans="1:20" x14ac:dyDescent="0.3">
      <c r="A1004">
        <v>2163</v>
      </c>
      <c r="B1004">
        <v>154959</v>
      </c>
      <c r="C1004">
        <v>0</v>
      </c>
      <c r="D1004">
        <v>1</v>
      </c>
      <c r="E1004">
        <v>59</v>
      </c>
      <c r="F1004">
        <v>1</v>
      </c>
      <c r="G1004">
        <v>0</v>
      </c>
      <c r="H1004">
        <v>0</v>
      </c>
      <c r="I1004">
        <v>0</v>
      </c>
      <c r="J1004">
        <v>0</v>
      </c>
      <c r="K1004">
        <v>0</v>
      </c>
      <c r="L1004">
        <v>0</v>
      </c>
      <c r="M1004">
        <v>0</v>
      </c>
      <c r="N1004">
        <v>1</v>
      </c>
      <c r="O1004" t="str" cm="1">
        <f t="array" ref="O1004">_xlfn.IFS(Table1[[#This Row],[Divorced]]=1, "Divorced", Table1[[#This Row],[Married]]=1, "Married", Table1[[#This Row],[Single]]=1, "Single", Table1[[#This Row],[Together]]=1, "Together", Table1[[#This Row],[Widow]]=1, "Widow")</f>
        <v>Divorced</v>
      </c>
      <c r="P1004" t="str" cm="1">
        <f t="array" ref="P1004">_xlfn.IFS(Table1[[#This Row],[Basic]]=1, "Basic", Table1[[#This Row],[Graduate]]=1, "Graduate", Table1[[#This Row],[Master]]=1, "Master", Table1[[#This Row],[PhD]]=1, "PhD", AND(Table1[[#This Row],[Basic]]=0, Table1[[#This Row],[Graduate]]=0, Table1[[#This Row],[Master]]=0, Table1[[#This Row],[PhD]]=0), "NA")</f>
        <v>PhD</v>
      </c>
      <c r="Q1004" t="e">
        <f>_xlfn.XLOOKUP(Table1[[#This Row],[ID]], Table2[ID],#REF!, "Not Found", 0)</f>
        <v>#REF!</v>
      </c>
      <c r="R1004" t="e">
        <f>_xlfn.XLOOKUP(Table1[[#This Row],[ID]], Table2[ID],#REF!, "Not Found", 0)</f>
        <v>#REF!</v>
      </c>
      <c r="S1004" s="3" t="str">
        <f>_xlfn.XLOOKUP(Table1[[#This Row],[ID]], Table2[ID], Table2[Enrollment], "Not Found", 0)</f>
        <v>6/26/2019</v>
      </c>
      <c r="T1004" t="s">
        <v>435</v>
      </c>
    </row>
    <row r="1005" spans="1:20" x14ac:dyDescent="0.3">
      <c r="A1005">
        <v>1540</v>
      </c>
      <c r="B1005">
        <v>154880</v>
      </c>
      <c r="C1005">
        <v>1</v>
      </c>
      <c r="D1005">
        <v>0</v>
      </c>
      <c r="E1005">
        <v>42</v>
      </c>
      <c r="F1005">
        <v>0</v>
      </c>
      <c r="G1005">
        <v>0</v>
      </c>
      <c r="H1005">
        <v>1</v>
      </c>
      <c r="I1005">
        <v>0</v>
      </c>
      <c r="J1005">
        <v>0</v>
      </c>
      <c r="K1005">
        <v>0</v>
      </c>
      <c r="L1005">
        <v>0</v>
      </c>
      <c r="M1005">
        <v>0</v>
      </c>
      <c r="N1005">
        <v>1</v>
      </c>
      <c r="O1005" t="str" cm="1">
        <f t="array" ref="O1005">_xlfn.IFS(Table1[[#This Row],[Divorced]]=1, "Divorced", Table1[[#This Row],[Married]]=1, "Married", Table1[[#This Row],[Single]]=1, "Single", Table1[[#This Row],[Together]]=1, "Together", Table1[[#This Row],[Widow]]=1, "Widow")</f>
        <v>Single</v>
      </c>
      <c r="P1005" t="str" cm="1">
        <f t="array" ref="P1005">_xlfn.IFS(Table1[[#This Row],[Basic]]=1, "Basic", Table1[[#This Row],[Graduate]]=1, "Graduate", Table1[[#This Row],[Master]]=1, "Master", Table1[[#This Row],[PhD]]=1, "PhD", AND(Table1[[#This Row],[Basic]]=0, Table1[[#This Row],[Graduate]]=0, Table1[[#This Row],[Master]]=0, Table1[[#This Row],[PhD]]=0), "NA")</f>
        <v>PhD</v>
      </c>
      <c r="Q1005" t="e">
        <f>_xlfn.XLOOKUP(Table1[[#This Row],[ID]], Table2[ID],#REF!, "Not Found", 0)</f>
        <v>#REF!</v>
      </c>
      <c r="R1005" t="e">
        <f>_xlfn.XLOOKUP(Table1[[#This Row],[ID]], Table2[ID],#REF!, "Not Found", 0)</f>
        <v>#REF!</v>
      </c>
      <c r="S1005" s="3">
        <f>_xlfn.XLOOKUP(Table1[[#This Row],[ID]], Table2[ID], Table2[Enrollment], "Not Found", 0)</f>
        <v>43624</v>
      </c>
      <c r="T1005" t="s">
        <v>439</v>
      </c>
    </row>
    <row r="1006" spans="1:20" x14ac:dyDescent="0.3">
      <c r="A1006">
        <v>2181</v>
      </c>
      <c r="B1006">
        <v>154809</v>
      </c>
      <c r="C1006">
        <v>1</v>
      </c>
      <c r="D1006">
        <v>1</v>
      </c>
      <c r="E1006">
        <v>43</v>
      </c>
      <c r="F1006">
        <v>0</v>
      </c>
      <c r="G1006">
        <v>1</v>
      </c>
      <c r="H1006">
        <v>0</v>
      </c>
      <c r="I1006">
        <v>0</v>
      </c>
      <c r="J1006">
        <v>0</v>
      </c>
      <c r="K1006">
        <v>0</v>
      </c>
      <c r="L1006">
        <v>1</v>
      </c>
      <c r="M1006">
        <v>0</v>
      </c>
      <c r="N1006">
        <v>0</v>
      </c>
      <c r="O1006" t="str" cm="1">
        <f t="array" ref="O1006">_xlfn.IFS(Table1[[#This Row],[Divorced]]=1, "Divorced", Table1[[#This Row],[Married]]=1, "Married", Table1[[#This Row],[Single]]=1, "Single", Table1[[#This Row],[Together]]=1, "Together", Table1[[#This Row],[Widow]]=1, "Widow")</f>
        <v>Married</v>
      </c>
      <c r="P1006" t="str" cm="1">
        <f t="array" ref="P1006">_xlfn.IFS(Table1[[#This Row],[Basic]]=1, "Basic", Table1[[#This Row],[Graduate]]=1, "Graduate", Table1[[#This Row],[Master]]=1, "Master", Table1[[#This Row],[PhD]]=1, "PhD", AND(Table1[[#This Row],[Basic]]=0, Table1[[#This Row],[Graduate]]=0, Table1[[#This Row],[Master]]=0, Table1[[#This Row],[PhD]]=0), "NA")</f>
        <v>Graduate</v>
      </c>
      <c r="Q1006" t="e">
        <f>_xlfn.XLOOKUP(Table1[[#This Row],[ID]], Table2[ID],#REF!, "Not Found", 0)</f>
        <v>#REF!</v>
      </c>
      <c r="R1006" t="e">
        <f>_xlfn.XLOOKUP(Table1[[#This Row],[ID]], Table2[ID],#REF!, "Not Found", 0)</f>
        <v>#REF!</v>
      </c>
      <c r="S1006" s="3" t="str">
        <f>_xlfn.XLOOKUP(Table1[[#This Row],[ID]], Table2[ID], Table2[Enrollment], "Not Found", 0)</f>
        <v>2/16/2020</v>
      </c>
      <c r="T1006" t="s">
        <v>435</v>
      </c>
    </row>
    <row r="1007" spans="1:20" x14ac:dyDescent="0.3">
      <c r="A1007">
        <v>2809</v>
      </c>
      <c r="B1007">
        <v>154809</v>
      </c>
      <c r="C1007">
        <v>1</v>
      </c>
      <c r="D1007">
        <v>1</v>
      </c>
      <c r="E1007">
        <v>43</v>
      </c>
      <c r="F1007">
        <v>0</v>
      </c>
      <c r="G1007">
        <v>1</v>
      </c>
      <c r="H1007">
        <v>0</v>
      </c>
      <c r="I1007">
        <v>0</v>
      </c>
      <c r="J1007">
        <v>0</v>
      </c>
      <c r="K1007">
        <v>0</v>
      </c>
      <c r="L1007">
        <v>1</v>
      </c>
      <c r="M1007">
        <v>0</v>
      </c>
      <c r="N1007">
        <v>0</v>
      </c>
      <c r="O1007" t="str" cm="1">
        <f t="array" ref="O1007">_xlfn.IFS(Table1[[#This Row],[Divorced]]=1, "Divorced", Table1[[#This Row],[Married]]=1, "Married", Table1[[#This Row],[Single]]=1, "Single", Table1[[#This Row],[Together]]=1, "Together", Table1[[#This Row],[Widow]]=1, "Widow")</f>
        <v>Married</v>
      </c>
      <c r="P1007" t="str" cm="1">
        <f t="array" ref="P1007">_xlfn.IFS(Table1[[#This Row],[Basic]]=1, "Basic", Table1[[#This Row],[Graduate]]=1, "Graduate", Table1[[#This Row],[Master]]=1, "Master", Table1[[#This Row],[PhD]]=1, "PhD", AND(Table1[[#This Row],[Basic]]=0, Table1[[#This Row],[Graduate]]=0, Table1[[#This Row],[Master]]=0, Table1[[#This Row],[PhD]]=0), "NA")</f>
        <v>Graduate</v>
      </c>
      <c r="Q1007" t="e">
        <f>_xlfn.XLOOKUP(Table1[[#This Row],[ID]], Table2[ID],#REF!, "Not Found", 0)</f>
        <v>#REF!</v>
      </c>
      <c r="R1007" t="e">
        <f>_xlfn.XLOOKUP(Table1[[#This Row],[ID]], Table2[ID],#REF!, "Not Found", 0)</f>
        <v>#REF!</v>
      </c>
      <c r="S1007" s="3" t="str">
        <f>_xlfn.XLOOKUP(Table1[[#This Row],[ID]], Table2[ID], Table2[Enrollment], "Not Found", 0)</f>
        <v>2/16/2020</v>
      </c>
      <c r="T1007" t="s">
        <v>437</v>
      </c>
    </row>
    <row r="1008" spans="1:20" x14ac:dyDescent="0.3">
      <c r="A1008">
        <v>1349</v>
      </c>
      <c r="B1008">
        <v>154803</v>
      </c>
      <c r="C1008">
        <v>0</v>
      </c>
      <c r="D1008">
        <v>1</v>
      </c>
      <c r="E1008">
        <v>51</v>
      </c>
      <c r="F1008">
        <v>0</v>
      </c>
      <c r="G1008">
        <v>0</v>
      </c>
      <c r="H1008">
        <v>1</v>
      </c>
      <c r="I1008">
        <v>0</v>
      </c>
      <c r="J1008">
        <v>0</v>
      </c>
      <c r="K1008">
        <v>0</v>
      </c>
      <c r="L1008">
        <v>1</v>
      </c>
      <c r="M1008">
        <v>0</v>
      </c>
      <c r="N1008">
        <v>0</v>
      </c>
      <c r="O1008" t="str" cm="1">
        <f t="array" ref="O1008">_xlfn.IFS(Table1[[#This Row],[Divorced]]=1, "Divorced", Table1[[#This Row],[Married]]=1, "Married", Table1[[#This Row],[Single]]=1, "Single", Table1[[#This Row],[Together]]=1, "Together", Table1[[#This Row],[Widow]]=1, "Widow")</f>
        <v>Single</v>
      </c>
      <c r="P1008" t="str" cm="1">
        <f t="array" ref="P1008">_xlfn.IFS(Table1[[#This Row],[Basic]]=1, "Basic", Table1[[#This Row],[Graduate]]=1, "Graduate", Table1[[#This Row],[Master]]=1, "Master", Table1[[#This Row],[PhD]]=1, "PhD", AND(Table1[[#This Row],[Basic]]=0, Table1[[#This Row],[Graduate]]=0, Table1[[#This Row],[Master]]=0, Table1[[#This Row],[PhD]]=0), "NA")</f>
        <v>Graduate</v>
      </c>
      <c r="Q1008" t="e">
        <f>_xlfn.XLOOKUP(Table1[[#This Row],[ID]], Table2[ID],#REF!, "Not Found", 0)</f>
        <v>#REF!</v>
      </c>
      <c r="R1008" t="e">
        <f>_xlfn.XLOOKUP(Table1[[#This Row],[ID]], Table2[ID],#REF!, "Not Found", 0)</f>
        <v>#REF!</v>
      </c>
      <c r="S1008" s="3" t="str">
        <f>_xlfn.XLOOKUP(Table1[[#This Row],[ID]], Table2[ID], Table2[Enrollment], "Not Found", 0)</f>
        <v>1/26/2019</v>
      </c>
      <c r="T1008" t="s">
        <v>434</v>
      </c>
    </row>
    <row r="1009" spans="1:20" x14ac:dyDescent="0.3">
      <c r="A1009">
        <v>1946</v>
      </c>
      <c r="B1009">
        <v>154753</v>
      </c>
      <c r="C1009">
        <v>0</v>
      </c>
      <c r="D1009">
        <v>1</v>
      </c>
      <c r="E1009">
        <v>61</v>
      </c>
      <c r="F1009">
        <v>0</v>
      </c>
      <c r="G1009">
        <v>0</v>
      </c>
      <c r="H1009">
        <v>0</v>
      </c>
      <c r="I1009">
        <v>1</v>
      </c>
      <c r="J1009">
        <v>0</v>
      </c>
      <c r="K1009">
        <v>0</v>
      </c>
      <c r="L1009">
        <v>1</v>
      </c>
      <c r="M1009">
        <v>0</v>
      </c>
      <c r="N1009">
        <v>0</v>
      </c>
      <c r="O1009" t="str" cm="1">
        <f t="array" ref="O1009">_xlfn.IFS(Table1[[#This Row],[Divorced]]=1, "Divorced", Table1[[#This Row],[Married]]=1, "Married", Table1[[#This Row],[Single]]=1, "Single", Table1[[#This Row],[Together]]=1, "Together", Table1[[#This Row],[Widow]]=1, "Widow")</f>
        <v>Together</v>
      </c>
      <c r="P1009" t="str" cm="1">
        <f t="array" ref="P1009">_xlfn.IFS(Table1[[#This Row],[Basic]]=1, "Basic", Table1[[#This Row],[Graduate]]=1, "Graduate", Table1[[#This Row],[Master]]=1, "Master", Table1[[#This Row],[PhD]]=1, "PhD", AND(Table1[[#This Row],[Basic]]=0, Table1[[#This Row],[Graduate]]=0, Table1[[#This Row],[Master]]=0, Table1[[#This Row],[PhD]]=0), "NA")</f>
        <v>Graduate</v>
      </c>
      <c r="Q1009" t="e">
        <f>_xlfn.XLOOKUP(Table1[[#This Row],[ID]], Table2[ID],#REF!, "Not Found", 0)</f>
        <v>#REF!</v>
      </c>
      <c r="R1009" t="e">
        <f>_xlfn.XLOOKUP(Table1[[#This Row],[ID]], Table2[ID],#REF!, "Not Found", 0)</f>
        <v>#REF!</v>
      </c>
      <c r="S1009" s="3" t="str">
        <f>_xlfn.XLOOKUP(Table1[[#This Row],[ID]], Table2[ID], Table2[Enrollment], "Not Found", 0)</f>
        <v>2/17/2020</v>
      </c>
      <c r="T1009" t="s">
        <v>438</v>
      </c>
    </row>
    <row r="1010" spans="1:20" x14ac:dyDescent="0.3">
      <c r="A1010">
        <v>2209</v>
      </c>
      <c r="B1010">
        <v>154730</v>
      </c>
      <c r="C1010">
        <v>0</v>
      </c>
      <c r="D1010">
        <v>1</v>
      </c>
      <c r="E1010">
        <v>45</v>
      </c>
      <c r="F1010">
        <v>0</v>
      </c>
      <c r="G1010">
        <v>1</v>
      </c>
      <c r="H1010">
        <v>0</v>
      </c>
      <c r="I1010">
        <v>0</v>
      </c>
      <c r="J1010">
        <v>0</v>
      </c>
      <c r="K1010">
        <v>0</v>
      </c>
      <c r="L1010">
        <v>0</v>
      </c>
      <c r="M1010">
        <v>1</v>
      </c>
      <c r="N1010">
        <v>0</v>
      </c>
      <c r="O1010" t="str" cm="1">
        <f t="array" ref="O1010">_xlfn.IFS(Table1[[#This Row],[Divorced]]=1, "Divorced", Table1[[#This Row],[Married]]=1, "Married", Table1[[#This Row],[Single]]=1, "Single", Table1[[#This Row],[Together]]=1, "Together", Table1[[#This Row],[Widow]]=1, "Widow")</f>
        <v>Married</v>
      </c>
      <c r="P1010" t="str" cm="1">
        <f t="array" ref="P1010">_xlfn.IFS(Table1[[#This Row],[Basic]]=1, "Basic", Table1[[#This Row],[Graduate]]=1, "Graduate", Table1[[#This Row],[Master]]=1, "Master", Table1[[#This Row],[PhD]]=1, "PhD", AND(Table1[[#This Row],[Basic]]=0, Table1[[#This Row],[Graduate]]=0, Table1[[#This Row],[Master]]=0, Table1[[#This Row],[PhD]]=0), "NA")</f>
        <v>Master</v>
      </c>
      <c r="Q1010" t="e">
        <f>_xlfn.XLOOKUP(Table1[[#This Row],[ID]], Table2[ID],#REF!, "Not Found", 0)</f>
        <v>#REF!</v>
      </c>
      <c r="R1010" t="e">
        <f>_xlfn.XLOOKUP(Table1[[#This Row],[ID]], Table2[ID],#REF!, "Not Found", 0)</f>
        <v>#REF!</v>
      </c>
      <c r="S1010" s="3" t="str">
        <f>_xlfn.XLOOKUP(Table1[[#This Row],[ID]], Table2[ID], Table2[Enrollment], "Not Found", 0)</f>
        <v>1/20/2020</v>
      </c>
      <c r="T1010" t="s">
        <v>437</v>
      </c>
    </row>
    <row r="1011" spans="1:20" x14ac:dyDescent="0.3">
      <c r="A1011">
        <v>2807</v>
      </c>
      <c r="B1011">
        <v>154693</v>
      </c>
      <c r="C1011">
        <v>0</v>
      </c>
      <c r="D1011">
        <v>1</v>
      </c>
      <c r="E1011">
        <v>58</v>
      </c>
      <c r="F1011">
        <v>0</v>
      </c>
      <c r="G1011">
        <v>1</v>
      </c>
      <c r="H1011">
        <v>0</v>
      </c>
      <c r="I1011">
        <v>0</v>
      </c>
      <c r="J1011">
        <v>0</v>
      </c>
      <c r="K1011">
        <v>0</v>
      </c>
      <c r="L1011">
        <v>0</v>
      </c>
      <c r="M1011">
        <v>0</v>
      </c>
      <c r="N1011">
        <v>1</v>
      </c>
      <c r="O1011" t="str" cm="1">
        <f t="array" ref="O1011">_xlfn.IFS(Table1[[#This Row],[Divorced]]=1, "Divorced", Table1[[#This Row],[Married]]=1, "Married", Table1[[#This Row],[Single]]=1, "Single", Table1[[#This Row],[Together]]=1, "Together", Table1[[#This Row],[Widow]]=1, "Widow")</f>
        <v>Married</v>
      </c>
      <c r="P1011" t="str" cm="1">
        <f t="array" ref="P1011">_xlfn.IFS(Table1[[#This Row],[Basic]]=1, "Basic", Table1[[#This Row],[Graduate]]=1, "Graduate", Table1[[#This Row],[Master]]=1, "Master", Table1[[#This Row],[PhD]]=1, "PhD", AND(Table1[[#This Row],[Basic]]=0, Table1[[#This Row],[Graduate]]=0, Table1[[#This Row],[Master]]=0, Table1[[#This Row],[PhD]]=0), "NA")</f>
        <v>PhD</v>
      </c>
      <c r="Q1011" t="e">
        <f>_xlfn.XLOOKUP(Table1[[#This Row],[ID]], Table2[ID],#REF!, "Not Found", 0)</f>
        <v>#REF!</v>
      </c>
      <c r="R1011" t="e">
        <f>_xlfn.XLOOKUP(Table1[[#This Row],[ID]], Table2[ID],#REF!, "Not Found", 0)</f>
        <v>#REF!</v>
      </c>
      <c r="S1011" s="3" t="str">
        <f>_xlfn.XLOOKUP(Table1[[#This Row],[ID]], Table2[ID], Table2[Enrollment], "Not Found", 0)</f>
        <v>7/25/2019</v>
      </c>
      <c r="T1011" t="s">
        <v>434</v>
      </c>
    </row>
    <row r="1012" spans="1:20" x14ac:dyDescent="0.3">
      <c r="A1012">
        <v>1651</v>
      </c>
      <c r="B1012">
        <v>154690</v>
      </c>
      <c r="C1012">
        <v>1</v>
      </c>
      <c r="D1012">
        <v>1</v>
      </c>
      <c r="E1012">
        <v>49</v>
      </c>
      <c r="F1012">
        <v>0</v>
      </c>
      <c r="G1012">
        <v>1</v>
      </c>
      <c r="H1012">
        <v>0</v>
      </c>
      <c r="I1012">
        <v>0</v>
      </c>
      <c r="J1012">
        <v>0</v>
      </c>
      <c r="K1012">
        <v>0</v>
      </c>
      <c r="L1012">
        <v>0</v>
      </c>
      <c r="M1012">
        <v>0</v>
      </c>
      <c r="N1012">
        <v>0</v>
      </c>
      <c r="O1012" t="str" cm="1">
        <f t="array" ref="O1012">_xlfn.IFS(Table1[[#This Row],[Divorced]]=1, "Divorced", Table1[[#This Row],[Married]]=1, "Married", Table1[[#This Row],[Single]]=1, "Single", Table1[[#This Row],[Together]]=1, "Together", Table1[[#This Row],[Widow]]=1, "Widow")</f>
        <v>Married</v>
      </c>
      <c r="P1012" t="str" cm="1">
        <f t="array" ref="P1012">_xlfn.IFS(Table1[[#This Row],[Basic]]=1, "Basic", Table1[[#This Row],[Graduate]]=1, "Graduate", Table1[[#This Row],[Master]]=1, "Master", Table1[[#This Row],[PhD]]=1, "PhD", AND(Table1[[#This Row],[Basic]]=0, Table1[[#This Row],[Graduate]]=0, Table1[[#This Row],[Master]]=0, Table1[[#This Row],[PhD]]=0), "NA")</f>
        <v>NA</v>
      </c>
      <c r="Q1012" t="e">
        <f>_xlfn.XLOOKUP(Table1[[#This Row],[ID]], Table2[ID],#REF!, "Not Found", 0)</f>
        <v>#REF!</v>
      </c>
      <c r="R1012" t="e">
        <f>_xlfn.XLOOKUP(Table1[[#This Row],[ID]], Table2[ID],#REF!, "Not Found", 0)</f>
        <v>#REF!</v>
      </c>
      <c r="S1012" s="3" t="str">
        <f>_xlfn.XLOOKUP(Table1[[#This Row],[ID]], Table2[ID], Table2[Enrollment], "Not Found", 0)</f>
        <v>4/13/2020</v>
      </c>
      <c r="T1012" t="s">
        <v>437</v>
      </c>
    </row>
    <row r="1013" spans="1:20" x14ac:dyDescent="0.3">
      <c r="A1013">
        <v>2949</v>
      </c>
      <c r="B1013">
        <v>154690</v>
      </c>
      <c r="C1013">
        <v>1</v>
      </c>
      <c r="D1013">
        <v>1</v>
      </c>
      <c r="E1013">
        <v>49</v>
      </c>
      <c r="F1013">
        <v>0</v>
      </c>
      <c r="G1013">
        <v>1</v>
      </c>
      <c r="H1013">
        <v>0</v>
      </c>
      <c r="I1013">
        <v>0</v>
      </c>
      <c r="J1013">
        <v>0</v>
      </c>
      <c r="K1013">
        <v>0</v>
      </c>
      <c r="L1013">
        <v>0</v>
      </c>
      <c r="M1013">
        <v>0</v>
      </c>
      <c r="N1013">
        <v>0</v>
      </c>
      <c r="O1013" t="str" cm="1">
        <f t="array" ref="O1013">_xlfn.IFS(Table1[[#This Row],[Divorced]]=1, "Divorced", Table1[[#This Row],[Married]]=1, "Married", Table1[[#This Row],[Single]]=1, "Single", Table1[[#This Row],[Together]]=1, "Together", Table1[[#This Row],[Widow]]=1, "Widow")</f>
        <v>Married</v>
      </c>
      <c r="P1013" t="str" cm="1">
        <f t="array" ref="P1013">_xlfn.IFS(Table1[[#This Row],[Basic]]=1, "Basic", Table1[[#This Row],[Graduate]]=1, "Graduate", Table1[[#This Row],[Master]]=1, "Master", Table1[[#This Row],[PhD]]=1, "PhD", AND(Table1[[#This Row],[Basic]]=0, Table1[[#This Row],[Graduate]]=0, Table1[[#This Row],[Master]]=0, Table1[[#This Row],[PhD]]=0), "NA")</f>
        <v>NA</v>
      </c>
      <c r="Q1013" t="e">
        <f>_xlfn.XLOOKUP(Table1[[#This Row],[ID]], Table2[ID],#REF!, "Not Found", 0)</f>
        <v>#REF!</v>
      </c>
      <c r="R1013" t="e">
        <f>_xlfn.XLOOKUP(Table1[[#This Row],[ID]], Table2[ID],#REF!, "Not Found", 0)</f>
        <v>#REF!</v>
      </c>
      <c r="S1013" s="3" t="str">
        <f>_xlfn.XLOOKUP(Table1[[#This Row],[ID]], Table2[ID], Table2[Enrollment], "Not Found", 0)</f>
        <v>4/13/2020</v>
      </c>
      <c r="T1013" t="s">
        <v>435</v>
      </c>
    </row>
    <row r="1014" spans="1:20" x14ac:dyDescent="0.3">
      <c r="A1014">
        <v>1563</v>
      </c>
      <c r="B1014">
        <v>154603</v>
      </c>
      <c r="C1014">
        <v>1</v>
      </c>
      <c r="D1014">
        <v>1</v>
      </c>
      <c r="E1014">
        <v>64</v>
      </c>
      <c r="F1014">
        <v>0</v>
      </c>
      <c r="G1014">
        <v>0</v>
      </c>
      <c r="H1014">
        <v>0</v>
      </c>
      <c r="I1014">
        <v>1</v>
      </c>
      <c r="J1014">
        <v>0</v>
      </c>
      <c r="K1014">
        <v>0</v>
      </c>
      <c r="L1014">
        <v>0</v>
      </c>
      <c r="M1014">
        <v>1</v>
      </c>
      <c r="N1014">
        <v>0</v>
      </c>
      <c r="O1014" t="str" cm="1">
        <f t="array" ref="O1014">_xlfn.IFS(Table1[[#This Row],[Divorced]]=1, "Divorced", Table1[[#This Row],[Married]]=1, "Married", Table1[[#This Row],[Single]]=1, "Single", Table1[[#This Row],[Together]]=1, "Together", Table1[[#This Row],[Widow]]=1, "Widow")</f>
        <v>Together</v>
      </c>
      <c r="P1014" t="str" cm="1">
        <f t="array" ref="P1014">_xlfn.IFS(Table1[[#This Row],[Basic]]=1, "Basic", Table1[[#This Row],[Graduate]]=1, "Graduate", Table1[[#This Row],[Master]]=1, "Master", Table1[[#This Row],[PhD]]=1, "PhD", AND(Table1[[#This Row],[Basic]]=0, Table1[[#This Row],[Graduate]]=0, Table1[[#This Row],[Master]]=0, Table1[[#This Row],[PhD]]=0), "NA")</f>
        <v>Master</v>
      </c>
      <c r="Q1014" t="e">
        <f>_xlfn.XLOOKUP(Table1[[#This Row],[ID]], Table2[ID],#REF!, "Not Found", 0)</f>
        <v>#REF!</v>
      </c>
      <c r="R1014" t="e">
        <f>_xlfn.XLOOKUP(Table1[[#This Row],[ID]], Table2[ID],#REF!, "Not Found", 0)</f>
        <v>#REF!</v>
      </c>
      <c r="S1014" s="3" t="str">
        <f>_xlfn.XLOOKUP(Table1[[#This Row],[ID]], Table2[ID], Table2[Enrollment], "Not Found", 0)</f>
        <v>12/14/2019</v>
      </c>
      <c r="T1014" t="s">
        <v>435</v>
      </c>
    </row>
    <row r="1015" spans="1:20" x14ac:dyDescent="0.3">
      <c r="A1015">
        <v>3043</v>
      </c>
      <c r="B1015">
        <v>154591</v>
      </c>
      <c r="C1015">
        <v>0</v>
      </c>
      <c r="D1015">
        <v>1</v>
      </c>
      <c r="E1015">
        <v>71</v>
      </c>
      <c r="F1015">
        <v>0</v>
      </c>
      <c r="G1015">
        <v>0</v>
      </c>
      <c r="H1015">
        <v>0</v>
      </c>
      <c r="I1015">
        <v>1</v>
      </c>
      <c r="J1015">
        <v>0</v>
      </c>
      <c r="K1015">
        <v>0</v>
      </c>
      <c r="L1015">
        <v>1</v>
      </c>
      <c r="M1015">
        <v>0</v>
      </c>
      <c r="N1015">
        <v>0</v>
      </c>
      <c r="O1015" t="str" cm="1">
        <f t="array" ref="O1015">_xlfn.IFS(Table1[[#This Row],[Divorced]]=1, "Divorced", Table1[[#This Row],[Married]]=1, "Married", Table1[[#This Row],[Single]]=1, "Single", Table1[[#This Row],[Together]]=1, "Together", Table1[[#This Row],[Widow]]=1, "Widow")</f>
        <v>Together</v>
      </c>
      <c r="P1015" t="str" cm="1">
        <f t="array" ref="P1015">_xlfn.IFS(Table1[[#This Row],[Basic]]=1, "Basic", Table1[[#This Row],[Graduate]]=1, "Graduate", Table1[[#This Row],[Master]]=1, "Master", Table1[[#This Row],[PhD]]=1, "PhD", AND(Table1[[#This Row],[Basic]]=0, Table1[[#This Row],[Graduate]]=0, Table1[[#This Row],[Master]]=0, Table1[[#This Row],[PhD]]=0), "NA")</f>
        <v>Graduate</v>
      </c>
      <c r="Q1015" t="e">
        <f>_xlfn.XLOOKUP(Table1[[#This Row],[ID]], Table2[ID],#REF!, "Not Found", 0)</f>
        <v>#REF!</v>
      </c>
      <c r="R1015" t="e">
        <f>_xlfn.XLOOKUP(Table1[[#This Row],[ID]], Table2[ID],#REF!, "Not Found", 0)</f>
        <v>#REF!</v>
      </c>
      <c r="S1015" s="3">
        <f>_xlfn.XLOOKUP(Table1[[#This Row],[ID]], Table2[ID], Table2[Enrollment], "Not Found", 0)</f>
        <v>44105</v>
      </c>
      <c r="T1015" t="s">
        <v>437</v>
      </c>
    </row>
    <row r="1016" spans="1:20" x14ac:dyDescent="0.3">
      <c r="A1016">
        <v>2601</v>
      </c>
      <c r="B1016">
        <v>154549</v>
      </c>
      <c r="C1016">
        <v>0</v>
      </c>
      <c r="D1016">
        <v>1</v>
      </c>
      <c r="E1016">
        <v>68</v>
      </c>
      <c r="F1016">
        <v>0</v>
      </c>
      <c r="G1016">
        <v>1</v>
      </c>
      <c r="H1016">
        <v>0</v>
      </c>
      <c r="I1016">
        <v>0</v>
      </c>
      <c r="J1016">
        <v>0</v>
      </c>
      <c r="K1016">
        <v>0</v>
      </c>
      <c r="L1016">
        <v>0</v>
      </c>
      <c r="M1016">
        <v>0</v>
      </c>
      <c r="N1016">
        <v>1</v>
      </c>
      <c r="O1016" t="str" cm="1">
        <f t="array" ref="O1016">_xlfn.IFS(Table1[[#This Row],[Divorced]]=1, "Divorced", Table1[[#This Row],[Married]]=1, "Married", Table1[[#This Row],[Single]]=1, "Single", Table1[[#This Row],[Together]]=1, "Together", Table1[[#This Row],[Widow]]=1, "Widow")</f>
        <v>Married</v>
      </c>
      <c r="P1016" t="str" cm="1">
        <f t="array" ref="P1016">_xlfn.IFS(Table1[[#This Row],[Basic]]=1, "Basic", Table1[[#This Row],[Graduate]]=1, "Graduate", Table1[[#This Row],[Master]]=1, "Master", Table1[[#This Row],[PhD]]=1, "PhD", AND(Table1[[#This Row],[Basic]]=0, Table1[[#This Row],[Graduate]]=0, Table1[[#This Row],[Master]]=0, Table1[[#This Row],[PhD]]=0), "NA")</f>
        <v>PhD</v>
      </c>
      <c r="Q1016" t="e">
        <f>_xlfn.XLOOKUP(Table1[[#This Row],[ID]], Table2[ID],#REF!, "Not Found", 0)</f>
        <v>#REF!</v>
      </c>
      <c r="R1016" t="e">
        <f>_xlfn.XLOOKUP(Table1[[#This Row],[ID]], Table2[ID],#REF!, "Not Found", 0)</f>
        <v>#REF!</v>
      </c>
      <c r="S1016" s="3">
        <f>_xlfn.XLOOKUP(Table1[[#This Row],[ID]], Table2[ID], Table2[Enrollment], "Not Found", 0)</f>
        <v>44020</v>
      </c>
      <c r="T1016" t="s">
        <v>435</v>
      </c>
    </row>
    <row r="1017" spans="1:20" x14ac:dyDescent="0.3">
      <c r="A1017">
        <v>2093</v>
      </c>
      <c r="B1017">
        <v>154466</v>
      </c>
      <c r="C1017">
        <v>1</v>
      </c>
      <c r="D1017">
        <v>1</v>
      </c>
      <c r="E1017">
        <v>47</v>
      </c>
      <c r="F1017">
        <v>0</v>
      </c>
      <c r="G1017">
        <v>0</v>
      </c>
      <c r="H1017">
        <v>1</v>
      </c>
      <c r="I1017">
        <v>0</v>
      </c>
      <c r="J1017">
        <v>0</v>
      </c>
      <c r="K1017">
        <v>0</v>
      </c>
      <c r="L1017">
        <v>0</v>
      </c>
      <c r="M1017">
        <v>0</v>
      </c>
      <c r="N1017">
        <v>1</v>
      </c>
      <c r="O1017" t="str" cm="1">
        <f t="array" ref="O1017">_xlfn.IFS(Table1[[#This Row],[Divorced]]=1, "Divorced", Table1[[#This Row],[Married]]=1, "Married", Table1[[#This Row],[Single]]=1, "Single", Table1[[#This Row],[Together]]=1, "Together", Table1[[#This Row],[Widow]]=1, "Widow")</f>
        <v>Single</v>
      </c>
      <c r="P1017" t="str" cm="1">
        <f t="array" ref="P1017">_xlfn.IFS(Table1[[#This Row],[Basic]]=1, "Basic", Table1[[#This Row],[Graduate]]=1, "Graduate", Table1[[#This Row],[Master]]=1, "Master", Table1[[#This Row],[PhD]]=1, "PhD", AND(Table1[[#This Row],[Basic]]=0, Table1[[#This Row],[Graduate]]=0, Table1[[#This Row],[Master]]=0, Table1[[#This Row],[PhD]]=0), "NA")</f>
        <v>PhD</v>
      </c>
      <c r="Q1017" t="e">
        <f>_xlfn.XLOOKUP(Table1[[#This Row],[ID]], Table2[ID],#REF!, "Not Found", 0)</f>
        <v>#REF!</v>
      </c>
      <c r="R1017" t="e">
        <f>_xlfn.XLOOKUP(Table1[[#This Row],[ID]], Table2[ID],#REF!, "Not Found", 0)</f>
        <v>#REF!</v>
      </c>
      <c r="S1017" s="3" t="str">
        <f>_xlfn.XLOOKUP(Table1[[#This Row],[ID]], Table2[ID], Table2[Enrollment], "Not Found", 0)</f>
        <v>7/16/2020</v>
      </c>
      <c r="T1017" t="s">
        <v>434</v>
      </c>
    </row>
    <row r="1018" spans="1:20" x14ac:dyDescent="0.3">
      <c r="A1018">
        <v>1603</v>
      </c>
      <c r="B1018">
        <v>154456</v>
      </c>
      <c r="C1018">
        <v>0</v>
      </c>
      <c r="D1018">
        <v>1</v>
      </c>
      <c r="E1018">
        <v>59</v>
      </c>
      <c r="F1018">
        <v>0</v>
      </c>
      <c r="G1018">
        <v>1</v>
      </c>
      <c r="H1018">
        <v>0</v>
      </c>
      <c r="I1018">
        <v>0</v>
      </c>
      <c r="J1018">
        <v>0</v>
      </c>
      <c r="K1018">
        <v>0</v>
      </c>
      <c r="L1018">
        <v>0</v>
      </c>
      <c r="M1018">
        <v>0</v>
      </c>
      <c r="N1018">
        <v>1</v>
      </c>
      <c r="O1018" t="str" cm="1">
        <f t="array" ref="O1018">_xlfn.IFS(Table1[[#This Row],[Divorced]]=1, "Divorced", Table1[[#This Row],[Married]]=1, "Married", Table1[[#This Row],[Single]]=1, "Single", Table1[[#This Row],[Together]]=1, "Together", Table1[[#This Row],[Widow]]=1, "Widow")</f>
        <v>Married</v>
      </c>
      <c r="P1018" t="str" cm="1">
        <f t="array" ref="P1018">_xlfn.IFS(Table1[[#This Row],[Basic]]=1, "Basic", Table1[[#This Row],[Graduate]]=1, "Graduate", Table1[[#This Row],[Master]]=1, "Master", Table1[[#This Row],[PhD]]=1, "PhD", AND(Table1[[#This Row],[Basic]]=0, Table1[[#This Row],[Graduate]]=0, Table1[[#This Row],[Master]]=0, Table1[[#This Row],[PhD]]=0), "NA")</f>
        <v>PhD</v>
      </c>
      <c r="Q1018" t="e">
        <f>_xlfn.XLOOKUP(Table1[[#This Row],[ID]], Table2[ID],#REF!, "Not Found", 0)</f>
        <v>#REF!</v>
      </c>
      <c r="R1018" t="e">
        <f>_xlfn.XLOOKUP(Table1[[#This Row],[ID]], Table2[ID],#REF!, "Not Found", 0)</f>
        <v>#REF!</v>
      </c>
      <c r="S1018" s="3" t="str">
        <f>_xlfn.XLOOKUP(Table1[[#This Row],[ID]], Table2[ID], Table2[Enrollment], "Not Found", 0)</f>
        <v>12/16/2019</v>
      </c>
      <c r="T1018" t="s">
        <v>437</v>
      </c>
    </row>
    <row r="1019" spans="1:20" x14ac:dyDescent="0.3">
      <c r="A1019">
        <v>2128</v>
      </c>
      <c r="B1019">
        <v>154450</v>
      </c>
      <c r="C1019">
        <v>1</v>
      </c>
      <c r="D1019">
        <v>1</v>
      </c>
      <c r="E1019">
        <v>64</v>
      </c>
      <c r="F1019">
        <v>0</v>
      </c>
      <c r="G1019">
        <v>0</v>
      </c>
      <c r="H1019">
        <v>0</v>
      </c>
      <c r="I1019">
        <v>1</v>
      </c>
      <c r="J1019">
        <v>0</v>
      </c>
      <c r="K1019">
        <v>0</v>
      </c>
      <c r="L1019">
        <v>1</v>
      </c>
      <c r="M1019">
        <v>0</v>
      </c>
      <c r="N1019">
        <v>0</v>
      </c>
      <c r="O1019" t="str" cm="1">
        <f t="array" ref="O1019">_xlfn.IFS(Table1[[#This Row],[Divorced]]=1, "Divorced", Table1[[#This Row],[Married]]=1, "Married", Table1[[#This Row],[Single]]=1, "Single", Table1[[#This Row],[Together]]=1, "Together", Table1[[#This Row],[Widow]]=1, "Widow")</f>
        <v>Together</v>
      </c>
      <c r="P1019" t="str" cm="1">
        <f t="array" ref="P1019">_xlfn.IFS(Table1[[#This Row],[Basic]]=1, "Basic", Table1[[#This Row],[Graduate]]=1, "Graduate", Table1[[#This Row],[Master]]=1, "Master", Table1[[#This Row],[PhD]]=1, "PhD", AND(Table1[[#This Row],[Basic]]=0, Table1[[#This Row],[Graduate]]=0, Table1[[#This Row],[Master]]=0, Table1[[#This Row],[PhD]]=0), "NA")</f>
        <v>Graduate</v>
      </c>
      <c r="Q1019" t="e">
        <f>_xlfn.XLOOKUP(Table1[[#This Row],[ID]], Table2[ID],#REF!, "Not Found", 0)</f>
        <v>#REF!</v>
      </c>
      <c r="R1019" t="e">
        <f>_xlfn.XLOOKUP(Table1[[#This Row],[ID]], Table2[ID],#REF!, "Not Found", 0)</f>
        <v>#REF!</v>
      </c>
      <c r="S1019" s="3" t="str">
        <f>_xlfn.XLOOKUP(Table1[[#This Row],[ID]], Table2[ID], Table2[Enrollment], "Not Found", 0)</f>
        <v>2/19/2019</v>
      </c>
      <c r="T1019" t="s">
        <v>439</v>
      </c>
    </row>
    <row r="1020" spans="1:20" x14ac:dyDescent="0.3">
      <c r="A1020">
        <v>2142</v>
      </c>
      <c r="B1020">
        <v>154450</v>
      </c>
      <c r="C1020">
        <v>1</v>
      </c>
      <c r="D1020">
        <v>1</v>
      </c>
      <c r="E1020">
        <v>64</v>
      </c>
      <c r="F1020">
        <v>0</v>
      </c>
      <c r="G1020">
        <v>0</v>
      </c>
      <c r="H1020">
        <v>0</v>
      </c>
      <c r="I1020">
        <v>1</v>
      </c>
      <c r="J1020">
        <v>0</v>
      </c>
      <c r="K1020">
        <v>0</v>
      </c>
      <c r="L1020">
        <v>1</v>
      </c>
      <c r="M1020">
        <v>0</v>
      </c>
      <c r="N1020">
        <v>0</v>
      </c>
      <c r="O1020" t="str" cm="1">
        <f t="array" ref="O1020">_xlfn.IFS(Table1[[#This Row],[Divorced]]=1, "Divorced", Table1[[#This Row],[Married]]=1, "Married", Table1[[#This Row],[Single]]=1, "Single", Table1[[#This Row],[Together]]=1, "Together", Table1[[#This Row],[Widow]]=1, "Widow")</f>
        <v>Together</v>
      </c>
      <c r="P1020" t="str" cm="1">
        <f t="array" ref="P1020">_xlfn.IFS(Table1[[#This Row],[Basic]]=1, "Basic", Table1[[#This Row],[Graduate]]=1, "Graduate", Table1[[#This Row],[Master]]=1, "Master", Table1[[#This Row],[PhD]]=1, "PhD", AND(Table1[[#This Row],[Basic]]=0, Table1[[#This Row],[Graduate]]=0, Table1[[#This Row],[Master]]=0, Table1[[#This Row],[PhD]]=0), "NA")</f>
        <v>Graduate</v>
      </c>
      <c r="Q1020" t="e">
        <f>_xlfn.XLOOKUP(Table1[[#This Row],[ID]], Table2[ID],#REF!, "Not Found", 0)</f>
        <v>#REF!</v>
      </c>
      <c r="R1020" t="e">
        <f>_xlfn.XLOOKUP(Table1[[#This Row],[ID]], Table2[ID],#REF!, "Not Found", 0)</f>
        <v>#REF!</v>
      </c>
      <c r="S1020" s="3" t="str">
        <f>_xlfn.XLOOKUP(Table1[[#This Row],[ID]], Table2[ID], Table2[Enrollment], "Not Found", 0)</f>
        <v>2/19/2019</v>
      </c>
      <c r="T1020" t="s">
        <v>436</v>
      </c>
    </row>
    <row r="1021" spans="1:20" x14ac:dyDescent="0.3">
      <c r="A1021">
        <v>1313</v>
      </c>
      <c r="B1021">
        <v>154432</v>
      </c>
      <c r="C1021">
        <v>2</v>
      </c>
      <c r="D1021">
        <v>1</v>
      </c>
      <c r="E1021">
        <v>70</v>
      </c>
      <c r="F1021">
        <v>0</v>
      </c>
      <c r="G1021">
        <v>1</v>
      </c>
      <c r="H1021">
        <v>0</v>
      </c>
      <c r="I1021">
        <v>0</v>
      </c>
      <c r="J1021">
        <v>0</v>
      </c>
      <c r="K1021">
        <v>0</v>
      </c>
      <c r="L1021">
        <v>0</v>
      </c>
      <c r="M1021">
        <v>0</v>
      </c>
      <c r="N1021">
        <v>1</v>
      </c>
      <c r="O1021" t="str" cm="1">
        <f t="array" ref="O1021">_xlfn.IFS(Table1[[#This Row],[Divorced]]=1, "Divorced", Table1[[#This Row],[Married]]=1, "Married", Table1[[#This Row],[Single]]=1, "Single", Table1[[#This Row],[Together]]=1, "Together", Table1[[#This Row],[Widow]]=1, "Widow")</f>
        <v>Married</v>
      </c>
      <c r="P1021" t="str" cm="1">
        <f t="array" ref="P1021">_xlfn.IFS(Table1[[#This Row],[Basic]]=1, "Basic", Table1[[#This Row],[Graduate]]=1, "Graduate", Table1[[#This Row],[Master]]=1, "Master", Table1[[#This Row],[PhD]]=1, "PhD", AND(Table1[[#This Row],[Basic]]=0, Table1[[#This Row],[Graduate]]=0, Table1[[#This Row],[Master]]=0, Table1[[#This Row],[PhD]]=0), "NA")</f>
        <v>PhD</v>
      </c>
      <c r="Q1021" t="e">
        <f>_xlfn.XLOOKUP(Table1[[#This Row],[ID]], Table2[ID],#REF!, "Not Found", 0)</f>
        <v>#REF!</v>
      </c>
      <c r="R1021" t="e">
        <f>_xlfn.XLOOKUP(Table1[[#This Row],[ID]], Table2[ID],#REF!, "Not Found", 0)</f>
        <v>#REF!</v>
      </c>
      <c r="S1021" s="3" t="str">
        <f>_xlfn.XLOOKUP(Table1[[#This Row],[ID]], Table2[ID], Table2[Enrollment], "Not Found", 0)</f>
        <v>10/14/2019</v>
      </c>
      <c r="T1021" t="s">
        <v>434</v>
      </c>
    </row>
    <row r="1022" spans="1:20" x14ac:dyDescent="0.3">
      <c r="A1022">
        <v>2600</v>
      </c>
      <c r="B1022">
        <v>154414</v>
      </c>
      <c r="C1022">
        <v>1</v>
      </c>
      <c r="D1022">
        <v>1</v>
      </c>
      <c r="E1022">
        <v>57</v>
      </c>
      <c r="F1022">
        <v>0</v>
      </c>
      <c r="G1022">
        <v>0</v>
      </c>
      <c r="H1022">
        <v>0</v>
      </c>
      <c r="I1022">
        <v>1</v>
      </c>
      <c r="J1022">
        <v>0</v>
      </c>
      <c r="K1022">
        <v>0</v>
      </c>
      <c r="L1022">
        <v>1</v>
      </c>
      <c r="M1022">
        <v>0</v>
      </c>
      <c r="N1022">
        <v>0</v>
      </c>
      <c r="O1022" t="str" cm="1">
        <f t="array" ref="O1022">_xlfn.IFS(Table1[[#This Row],[Divorced]]=1, "Divorced", Table1[[#This Row],[Married]]=1, "Married", Table1[[#This Row],[Single]]=1, "Single", Table1[[#This Row],[Together]]=1, "Together", Table1[[#This Row],[Widow]]=1, "Widow")</f>
        <v>Together</v>
      </c>
      <c r="P1022" t="str" cm="1">
        <f t="array" ref="P1022">_xlfn.IFS(Table1[[#This Row],[Basic]]=1, "Basic", Table1[[#This Row],[Graduate]]=1, "Graduate", Table1[[#This Row],[Master]]=1, "Master", Table1[[#This Row],[PhD]]=1, "PhD", AND(Table1[[#This Row],[Basic]]=0, Table1[[#This Row],[Graduate]]=0, Table1[[#This Row],[Master]]=0, Table1[[#This Row],[PhD]]=0), "NA")</f>
        <v>Graduate</v>
      </c>
      <c r="Q1022" t="e">
        <f>_xlfn.XLOOKUP(Table1[[#This Row],[ID]], Table2[ID],#REF!, "Not Found", 0)</f>
        <v>#REF!</v>
      </c>
      <c r="R1022" t="e">
        <f>_xlfn.XLOOKUP(Table1[[#This Row],[ID]], Table2[ID],#REF!, "Not Found", 0)</f>
        <v>#REF!</v>
      </c>
      <c r="S1022" s="3" t="str">
        <f>_xlfn.XLOOKUP(Table1[[#This Row],[ID]], Table2[ID], Table2[Enrollment], "Not Found", 0)</f>
        <v>6/30/2019</v>
      </c>
      <c r="T1022" t="s">
        <v>438</v>
      </c>
    </row>
    <row r="1023" spans="1:20" x14ac:dyDescent="0.3">
      <c r="A1023">
        <v>2158</v>
      </c>
      <c r="B1023">
        <v>154386</v>
      </c>
      <c r="C1023">
        <v>0</v>
      </c>
      <c r="D1023">
        <v>1</v>
      </c>
      <c r="E1023">
        <v>39</v>
      </c>
      <c r="F1023">
        <v>0</v>
      </c>
      <c r="G1023">
        <v>1</v>
      </c>
      <c r="H1023">
        <v>0</v>
      </c>
      <c r="I1023">
        <v>0</v>
      </c>
      <c r="J1023">
        <v>0</v>
      </c>
      <c r="K1023">
        <v>0</v>
      </c>
      <c r="L1023">
        <v>1</v>
      </c>
      <c r="M1023">
        <v>0</v>
      </c>
      <c r="N1023">
        <v>0</v>
      </c>
      <c r="O1023" t="str" cm="1">
        <f t="array" ref="O1023">_xlfn.IFS(Table1[[#This Row],[Divorced]]=1, "Divorced", Table1[[#This Row],[Married]]=1, "Married", Table1[[#This Row],[Single]]=1, "Single", Table1[[#This Row],[Together]]=1, "Together", Table1[[#This Row],[Widow]]=1, "Widow")</f>
        <v>Married</v>
      </c>
      <c r="P1023" t="str" cm="1">
        <f t="array" ref="P1023">_xlfn.IFS(Table1[[#This Row],[Basic]]=1, "Basic", Table1[[#This Row],[Graduate]]=1, "Graduate", Table1[[#This Row],[Master]]=1, "Master", Table1[[#This Row],[PhD]]=1, "PhD", AND(Table1[[#This Row],[Basic]]=0, Table1[[#This Row],[Graduate]]=0, Table1[[#This Row],[Master]]=0, Table1[[#This Row],[PhD]]=0), "NA")</f>
        <v>Graduate</v>
      </c>
      <c r="Q1023" t="e">
        <f>_xlfn.XLOOKUP(Table1[[#This Row],[ID]], Table2[ID],#REF!, "Not Found", 0)</f>
        <v>#REF!</v>
      </c>
      <c r="R1023" t="e">
        <f>_xlfn.XLOOKUP(Table1[[#This Row],[ID]], Table2[ID],#REF!, "Not Found", 0)</f>
        <v>#REF!</v>
      </c>
      <c r="S1023" s="3" t="str">
        <f>_xlfn.XLOOKUP(Table1[[#This Row],[ID]], Table2[ID], Table2[Enrollment], "Not Found", 0)</f>
        <v>10/22/2019</v>
      </c>
      <c r="T1023" t="s">
        <v>439</v>
      </c>
    </row>
    <row r="1024" spans="1:20" x14ac:dyDescent="0.3">
      <c r="A1024">
        <v>2912</v>
      </c>
      <c r="B1024">
        <v>154356</v>
      </c>
      <c r="C1024">
        <v>0</v>
      </c>
      <c r="D1024">
        <v>1</v>
      </c>
      <c r="E1024">
        <v>71</v>
      </c>
      <c r="F1024">
        <v>0</v>
      </c>
      <c r="G1024">
        <v>0</v>
      </c>
      <c r="H1024">
        <v>0</v>
      </c>
      <c r="I1024">
        <v>0</v>
      </c>
      <c r="J1024">
        <v>1</v>
      </c>
      <c r="K1024">
        <v>0</v>
      </c>
      <c r="L1024">
        <v>0</v>
      </c>
      <c r="M1024">
        <v>0</v>
      </c>
      <c r="N1024">
        <v>1</v>
      </c>
      <c r="O1024" t="str" cm="1">
        <f t="array" ref="O1024">_xlfn.IFS(Table1[[#This Row],[Divorced]]=1, "Divorced", Table1[[#This Row],[Married]]=1, "Married", Table1[[#This Row],[Single]]=1, "Single", Table1[[#This Row],[Together]]=1, "Together", Table1[[#This Row],[Widow]]=1, "Widow")</f>
        <v>Widow</v>
      </c>
      <c r="P1024" t="str" cm="1">
        <f t="array" ref="P1024">_xlfn.IFS(Table1[[#This Row],[Basic]]=1, "Basic", Table1[[#This Row],[Graduate]]=1, "Graduate", Table1[[#This Row],[Master]]=1, "Master", Table1[[#This Row],[PhD]]=1, "PhD", AND(Table1[[#This Row],[Basic]]=0, Table1[[#This Row],[Graduate]]=0, Table1[[#This Row],[Master]]=0, Table1[[#This Row],[PhD]]=0), "NA")</f>
        <v>PhD</v>
      </c>
      <c r="Q1024" t="e">
        <f>_xlfn.XLOOKUP(Table1[[#This Row],[ID]], Table2[ID],#REF!, "Not Found", 0)</f>
        <v>#REF!</v>
      </c>
      <c r="R1024" t="e">
        <f>_xlfn.XLOOKUP(Table1[[#This Row],[ID]], Table2[ID],#REF!, "Not Found", 0)</f>
        <v>#REF!</v>
      </c>
      <c r="S1024" s="3" t="str">
        <f>_xlfn.XLOOKUP(Table1[[#This Row],[ID]], Table2[ID], Table2[Enrollment], "Not Found", 0)</f>
        <v>4/26/2019</v>
      </c>
      <c r="T1024" t="s">
        <v>438</v>
      </c>
    </row>
    <row r="1025" spans="1:20" x14ac:dyDescent="0.3">
      <c r="A1025">
        <v>1119</v>
      </c>
      <c r="B1025">
        <v>154348</v>
      </c>
      <c r="C1025">
        <v>1</v>
      </c>
      <c r="D1025">
        <v>1</v>
      </c>
      <c r="E1025">
        <v>67</v>
      </c>
      <c r="F1025">
        <v>0</v>
      </c>
      <c r="G1025">
        <v>1</v>
      </c>
      <c r="H1025">
        <v>0</v>
      </c>
      <c r="I1025">
        <v>0</v>
      </c>
      <c r="J1025">
        <v>0</v>
      </c>
      <c r="K1025">
        <v>0</v>
      </c>
      <c r="L1025">
        <v>0</v>
      </c>
      <c r="M1025">
        <v>1</v>
      </c>
      <c r="N1025">
        <v>0</v>
      </c>
      <c r="O1025" t="str" cm="1">
        <f t="array" ref="O1025">_xlfn.IFS(Table1[[#This Row],[Divorced]]=1, "Divorced", Table1[[#This Row],[Married]]=1, "Married", Table1[[#This Row],[Single]]=1, "Single", Table1[[#This Row],[Together]]=1, "Together", Table1[[#This Row],[Widow]]=1, "Widow")</f>
        <v>Married</v>
      </c>
      <c r="P1025" t="str" cm="1">
        <f t="array" ref="P1025">_xlfn.IFS(Table1[[#This Row],[Basic]]=1, "Basic", Table1[[#This Row],[Graduate]]=1, "Graduate", Table1[[#This Row],[Master]]=1, "Master", Table1[[#This Row],[PhD]]=1, "PhD", AND(Table1[[#This Row],[Basic]]=0, Table1[[#This Row],[Graduate]]=0, Table1[[#This Row],[Master]]=0, Table1[[#This Row],[PhD]]=0), "NA")</f>
        <v>Master</v>
      </c>
      <c r="Q1025" t="e">
        <f>_xlfn.XLOOKUP(Table1[[#This Row],[ID]], Table2[ID],#REF!, "Not Found", 0)</f>
        <v>#REF!</v>
      </c>
      <c r="R1025" t="e">
        <f>_xlfn.XLOOKUP(Table1[[#This Row],[ID]], Table2[ID],#REF!, "Not Found", 0)</f>
        <v>#REF!</v>
      </c>
      <c r="S1025" s="3">
        <f>_xlfn.XLOOKUP(Table1[[#This Row],[ID]], Table2[ID], Table2[Enrollment], "Not Found", 0)</f>
        <v>44176</v>
      </c>
      <c r="T1025" t="s">
        <v>435</v>
      </c>
    </row>
    <row r="1026" spans="1:20" x14ac:dyDescent="0.3">
      <c r="A1026">
        <v>2360</v>
      </c>
      <c r="B1026">
        <v>154342</v>
      </c>
      <c r="C1026">
        <v>1</v>
      </c>
      <c r="D1026">
        <v>1</v>
      </c>
      <c r="E1026">
        <v>64</v>
      </c>
      <c r="F1026">
        <v>0</v>
      </c>
      <c r="G1026">
        <v>0</v>
      </c>
      <c r="H1026">
        <v>0</v>
      </c>
      <c r="I1026">
        <v>1</v>
      </c>
      <c r="J1026">
        <v>0</v>
      </c>
      <c r="K1026">
        <v>0</v>
      </c>
      <c r="L1026">
        <v>0</v>
      </c>
      <c r="M1026">
        <v>0</v>
      </c>
      <c r="N1026">
        <v>0</v>
      </c>
      <c r="O1026" t="str" cm="1">
        <f t="array" ref="O1026">_xlfn.IFS(Table1[[#This Row],[Divorced]]=1, "Divorced", Table1[[#This Row],[Married]]=1, "Married", Table1[[#This Row],[Single]]=1, "Single", Table1[[#This Row],[Together]]=1, "Together", Table1[[#This Row],[Widow]]=1, "Widow")</f>
        <v>Together</v>
      </c>
      <c r="P1026" t="str" cm="1">
        <f t="array" ref="P1026">_xlfn.IFS(Table1[[#This Row],[Basic]]=1, "Basic", Table1[[#This Row],[Graduate]]=1, "Graduate", Table1[[#This Row],[Master]]=1, "Master", Table1[[#This Row],[PhD]]=1, "PhD", AND(Table1[[#This Row],[Basic]]=0, Table1[[#This Row],[Graduate]]=0, Table1[[#This Row],[Master]]=0, Table1[[#This Row],[PhD]]=0), "NA")</f>
        <v>NA</v>
      </c>
      <c r="Q1026" t="e">
        <f>_xlfn.XLOOKUP(Table1[[#This Row],[ID]], Table2[ID],#REF!, "Not Found", 0)</f>
        <v>#REF!</v>
      </c>
      <c r="R1026" t="e">
        <f>_xlfn.XLOOKUP(Table1[[#This Row],[ID]], Table2[ID],#REF!, "Not Found", 0)</f>
        <v>#REF!</v>
      </c>
      <c r="S1026" s="3">
        <f>_xlfn.XLOOKUP(Table1[[#This Row],[ID]], Table2[ID], Table2[Enrollment], "Not Found", 0)</f>
        <v>43689</v>
      </c>
      <c r="T1026" t="s">
        <v>438</v>
      </c>
    </row>
    <row r="1027" spans="1:20" x14ac:dyDescent="0.3">
      <c r="A1027">
        <v>3066</v>
      </c>
      <c r="B1027">
        <v>154252</v>
      </c>
      <c r="C1027">
        <v>1</v>
      </c>
      <c r="D1027">
        <v>1</v>
      </c>
      <c r="E1027">
        <v>64</v>
      </c>
      <c r="F1027">
        <v>0</v>
      </c>
      <c r="G1027">
        <v>0</v>
      </c>
      <c r="H1027">
        <v>1</v>
      </c>
      <c r="I1027">
        <v>0</v>
      </c>
      <c r="J1027">
        <v>0</v>
      </c>
      <c r="K1027">
        <v>0</v>
      </c>
      <c r="L1027">
        <v>1</v>
      </c>
      <c r="M1027">
        <v>0</v>
      </c>
      <c r="N1027">
        <v>0</v>
      </c>
      <c r="O1027" t="str" cm="1">
        <f t="array" ref="O1027">_xlfn.IFS(Table1[[#This Row],[Divorced]]=1, "Divorced", Table1[[#This Row],[Married]]=1, "Married", Table1[[#This Row],[Single]]=1, "Single", Table1[[#This Row],[Together]]=1, "Together", Table1[[#This Row],[Widow]]=1, "Widow")</f>
        <v>Single</v>
      </c>
      <c r="P1027" t="str" cm="1">
        <f t="array" ref="P1027">_xlfn.IFS(Table1[[#This Row],[Basic]]=1, "Basic", Table1[[#This Row],[Graduate]]=1, "Graduate", Table1[[#This Row],[Master]]=1, "Master", Table1[[#This Row],[PhD]]=1, "PhD", AND(Table1[[#This Row],[Basic]]=0, Table1[[#This Row],[Graduate]]=0, Table1[[#This Row],[Master]]=0, Table1[[#This Row],[PhD]]=0), "NA")</f>
        <v>Graduate</v>
      </c>
      <c r="Q1027" t="e">
        <f>_xlfn.XLOOKUP(Table1[[#This Row],[ID]], Table2[ID],#REF!, "Not Found", 0)</f>
        <v>#REF!</v>
      </c>
      <c r="R1027" t="e">
        <f>_xlfn.XLOOKUP(Table1[[#This Row],[ID]], Table2[ID],#REF!, "Not Found", 0)</f>
        <v>#REF!</v>
      </c>
      <c r="S1027" s="3">
        <f>_xlfn.XLOOKUP(Table1[[#This Row],[ID]], Table2[ID], Table2[Enrollment], "Not Found", 0)</f>
        <v>43507</v>
      </c>
      <c r="T1027" t="s">
        <v>436</v>
      </c>
    </row>
    <row r="1028" spans="1:20" x14ac:dyDescent="0.3">
      <c r="A1028">
        <v>1940</v>
      </c>
      <c r="B1028">
        <v>154237</v>
      </c>
      <c r="C1028">
        <v>0</v>
      </c>
      <c r="D1028">
        <v>1</v>
      </c>
      <c r="E1028">
        <v>63</v>
      </c>
      <c r="F1028">
        <v>1</v>
      </c>
      <c r="G1028">
        <v>0</v>
      </c>
      <c r="H1028">
        <v>0</v>
      </c>
      <c r="I1028">
        <v>0</v>
      </c>
      <c r="J1028">
        <v>0</v>
      </c>
      <c r="K1028">
        <v>0</v>
      </c>
      <c r="L1028">
        <v>0</v>
      </c>
      <c r="M1028">
        <v>0</v>
      </c>
      <c r="N1028">
        <v>1</v>
      </c>
      <c r="O1028" t="str" cm="1">
        <f t="array" ref="O1028">_xlfn.IFS(Table1[[#This Row],[Divorced]]=1, "Divorced", Table1[[#This Row],[Married]]=1, "Married", Table1[[#This Row],[Single]]=1, "Single", Table1[[#This Row],[Together]]=1, "Together", Table1[[#This Row],[Widow]]=1, "Widow")</f>
        <v>Divorced</v>
      </c>
      <c r="P1028" t="str" cm="1">
        <f t="array" ref="P1028">_xlfn.IFS(Table1[[#This Row],[Basic]]=1, "Basic", Table1[[#This Row],[Graduate]]=1, "Graduate", Table1[[#This Row],[Master]]=1, "Master", Table1[[#This Row],[PhD]]=1, "PhD", AND(Table1[[#This Row],[Basic]]=0, Table1[[#This Row],[Graduate]]=0, Table1[[#This Row],[Master]]=0, Table1[[#This Row],[PhD]]=0), "NA")</f>
        <v>PhD</v>
      </c>
      <c r="Q1028" t="e">
        <f>_xlfn.XLOOKUP(Table1[[#This Row],[ID]], Table2[ID],#REF!, "Not Found", 0)</f>
        <v>#REF!</v>
      </c>
      <c r="R1028" t="e">
        <f>_xlfn.XLOOKUP(Table1[[#This Row],[ID]], Table2[ID],#REF!, "Not Found", 0)</f>
        <v>#REF!</v>
      </c>
      <c r="S1028" s="3">
        <f>_xlfn.XLOOKUP(Table1[[#This Row],[ID]], Table2[ID], Table2[Enrollment], "Not Found", 0)</f>
        <v>43506</v>
      </c>
      <c r="T1028" t="s">
        <v>438</v>
      </c>
    </row>
    <row r="1029" spans="1:20" x14ac:dyDescent="0.3">
      <c r="A1029">
        <v>2066</v>
      </c>
      <c r="B1029">
        <v>154233</v>
      </c>
      <c r="C1029">
        <v>0</v>
      </c>
      <c r="D1029">
        <v>1</v>
      </c>
      <c r="E1029">
        <v>43</v>
      </c>
      <c r="F1029">
        <v>0</v>
      </c>
      <c r="G1029">
        <v>1</v>
      </c>
      <c r="H1029">
        <v>0</v>
      </c>
      <c r="I1029">
        <v>0</v>
      </c>
      <c r="J1029">
        <v>0</v>
      </c>
      <c r="K1029">
        <v>0</v>
      </c>
      <c r="L1029">
        <v>1</v>
      </c>
      <c r="M1029">
        <v>0</v>
      </c>
      <c r="N1029">
        <v>0</v>
      </c>
      <c r="O1029" t="str" cm="1">
        <f t="array" ref="O1029">_xlfn.IFS(Table1[[#This Row],[Divorced]]=1, "Divorced", Table1[[#This Row],[Married]]=1, "Married", Table1[[#This Row],[Single]]=1, "Single", Table1[[#This Row],[Together]]=1, "Together", Table1[[#This Row],[Widow]]=1, "Widow")</f>
        <v>Married</v>
      </c>
      <c r="P1029" t="str" cm="1">
        <f t="array" ref="P1029">_xlfn.IFS(Table1[[#This Row],[Basic]]=1, "Basic", Table1[[#This Row],[Graduate]]=1, "Graduate", Table1[[#This Row],[Master]]=1, "Master", Table1[[#This Row],[PhD]]=1, "PhD", AND(Table1[[#This Row],[Basic]]=0, Table1[[#This Row],[Graduate]]=0, Table1[[#This Row],[Master]]=0, Table1[[#This Row],[PhD]]=0), "NA")</f>
        <v>Graduate</v>
      </c>
      <c r="Q1029" t="e">
        <f>_xlfn.XLOOKUP(Table1[[#This Row],[ID]], Table2[ID],#REF!, "Not Found", 0)</f>
        <v>#REF!</v>
      </c>
      <c r="R1029" t="e">
        <f>_xlfn.XLOOKUP(Table1[[#This Row],[ID]], Table2[ID],#REF!, "Not Found", 0)</f>
        <v>#REF!</v>
      </c>
      <c r="S1029" s="3">
        <f>_xlfn.XLOOKUP(Table1[[#This Row],[ID]], Table2[ID], Table2[Enrollment], "Not Found", 0)</f>
        <v>43806</v>
      </c>
      <c r="T1029" t="s">
        <v>438</v>
      </c>
    </row>
    <row r="1030" spans="1:20" x14ac:dyDescent="0.3">
      <c r="A1030">
        <v>2684</v>
      </c>
      <c r="B1030">
        <v>154222</v>
      </c>
      <c r="C1030">
        <v>0</v>
      </c>
      <c r="D1030">
        <v>1</v>
      </c>
      <c r="E1030">
        <v>47</v>
      </c>
      <c r="F1030">
        <v>0</v>
      </c>
      <c r="G1030">
        <v>1</v>
      </c>
      <c r="H1030">
        <v>0</v>
      </c>
      <c r="I1030">
        <v>0</v>
      </c>
      <c r="J1030">
        <v>0</v>
      </c>
      <c r="K1030">
        <v>0</v>
      </c>
      <c r="L1030">
        <v>0</v>
      </c>
      <c r="M1030">
        <v>0</v>
      </c>
      <c r="N1030">
        <v>1</v>
      </c>
      <c r="O1030" t="str" cm="1">
        <f t="array" ref="O1030">_xlfn.IFS(Table1[[#This Row],[Divorced]]=1, "Divorced", Table1[[#This Row],[Married]]=1, "Married", Table1[[#This Row],[Single]]=1, "Single", Table1[[#This Row],[Together]]=1, "Together", Table1[[#This Row],[Widow]]=1, "Widow")</f>
        <v>Married</v>
      </c>
      <c r="P1030" t="str" cm="1">
        <f t="array" ref="P1030">_xlfn.IFS(Table1[[#This Row],[Basic]]=1, "Basic", Table1[[#This Row],[Graduate]]=1, "Graduate", Table1[[#This Row],[Master]]=1, "Master", Table1[[#This Row],[PhD]]=1, "PhD", AND(Table1[[#This Row],[Basic]]=0, Table1[[#This Row],[Graduate]]=0, Table1[[#This Row],[Master]]=0, Table1[[#This Row],[PhD]]=0), "NA")</f>
        <v>PhD</v>
      </c>
      <c r="Q1030" t="e">
        <f>_xlfn.XLOOKUP(Table1[[#This Row],[ID]], Table2[ID],#REF!, "Not Found", 0)</f>
        <v>#REF!</v>
      </c>
      <c r="R1030" t="e">
        <f>_xlfn.XLOOKUP(Table1[[#This Row],[ID]], Table2[ID],#REF!, "Not Found", 0)</f>
        <v>#REF!</v>
      </c>
      <c r="S1030" s="3">
        <f>_xlfn.XLOOKUP(Table1[[#This Row],[ID]], Table2[ID], Table2[Enrollment], "Not Found", 0)</f>
        <v>43959</v>
      </c>
      <c r="T1030" t="s">
        <v>438</v>
      </c>
    </row>
    <row r="1031" spans="1:20" x14ac:dyDescent="0.3">
      <c r="A1031">
        <v>2082</v>
      </c>
      <c r="B1031">
        <v>154210</v>
      </c>
      <c r="C1031">
        <v>0</v>
      </c>
      <c r="D1031">
        <v>1</v>
      </c>
      <c r="E1031">
        <v>41</v>
      </c>
      <c r="F1031">
        <v>0</v>
      </c>
      <c r="G1031">
        <v>1</v>
      </c>
      <c r="H1031">
        <v>0</v>
      </c>
      <c r="I1031">
        <v>0</v>
      </c>
      <c r="J1031">
        <v>0</v>
      </c>
      <c r="K1031">
        <v>0</v>
      </c>
      <c r="L1031">
        <v>0</v>
      </c>
      <c r="M1031">
        <v>0</v>
      </c>
      <c r="N1031">
        <v>0</v>
      </c>
      <c r="O1031" t="str" cm="1">
        <f t="array" ref="O1031">_xlfn.IFS(Table1[[#This Row],[Divorced]]=1, "Divorced", Table1[[#This Row],[Married]]=1, "Married", Table1[[#This Row],[Single]]=1, "Single", Table1[[#This Row],[Together]]=1, "Together", Table1[[#This Row],[Widow]]=1, "Widow")</f>
        <v>Married</v>
      </c>
      <c r="P1031" t="str" cm="1">
        <f t="array" ref="P1031">_xlfn.IFS(Table1[[#This Row],[Basic]]=1, "Basic", Table1[[#This Row],[Graduate]]=1, "Graduate", Table1[[#This Row],[Master]]=1, "Master", Table1[[#This Row],[PhD]]=1, "PhD", AND(Table1[[#This Row],[Basic]]=0, Table1[[#This Row],[Graduate]]=0, Table1[[#This Row],[Master]]=0, Table1[[#This Row],[PhD]]=0), "NA")</f>
        <v>NA</v>
      </c>
      <c r="Q1031" t="e">
        <f>_xlfn.XLOOKUP(Table1[[#This Row],[ID]], Table2[ID],#REF!, "Not Found", 0)</f>
        <v>#REF!</v>
      </c>
      <c r="R1031" t="e">
        <f>_xlfn.XLOOKUP(Table1[[#This Row],[ID]], Table2[ID],#REF!, "Not Found", 0)</f>
        <v>#REF!</v>
      </c>
      <c r="S1031" s="3" t="str">
        <f>_xlfn.XLOOKUP(Table1[[#This Row],[ID]], Table2[ID], Table2[Enrollment], "Not Found", 0)</f>
        <v>10/25/2019</v>
      </c>
      <c r="T1031" t="s">
        <v>436</v>
      </c>
    </row>
    <row r="1032" spans="1:20" x14ac:dyDescent="0.3">
      <c r="A1032">
        <v>1300</v>
      </c>
      <c r="B1032">
        <v>154198</v>
      </c>
      <c r="C1032">
        <v>1</v>
      </c>
      <c r="D1032">
        <v>1</v>
      </c>
      <c r="E1032">
        <v>54</v>
      </c>
      <c r="F1032">
        <v>0</v>
      </c>
      <c r="G1032">
        <v>1</v>
      </c>
      <c r="H1032">
        <v>0</v>
      </c>
      <c r="I1032">
        <v>0</v>
      </c>
      <c r="J1032">
        <v>0</v>
      </c>
      <c r="K1032">
        <v>0</v>
      </c>
      <c r="L1032">
        <v>1</v>
      </c>
      <c r="M1032">
        <v>0</v>
      </c>
      <c r="N1032">
        <v>0</v>
      </c>
      <c r="O1032" t="str" cm="1">
        <f t="array" ref="O1032">_xlfn.IFS(Table1[[#This Row],[Divorced]]=1, "Divorced", Table1[[#This Row],[Married]]=1, "Married", Table1[[#This Row],[Single]]=1, "Single", Table1[[#This Row],[Together]]=1, "Together", Table1[[#This Row],[Widow]]=1, "Widow")</f>
        <v>Married</v>
      </c>
      <c r="P1032" t="str" cm="1">
        <f t="array" ref="P1032">_xlfn.IFS(Table1[[#This Row],[Basic]]=1, "Basic", Table1[[#This Row],[Graduate]]=1, "Graduate", Table1[[#This Row],[Master]]=1, "Master", Table1[[#This Row],[PhD]]=1, "PhD", AND(Table1[[#This Row],[Basic]]=0, Table1[[#This Row],[Graduate]]=0, Table1[[#This Row],[Master]]=0, Table1[[#This Row],[PhD]]=0), "NA")</f>
        <v>Graduate</v>
      </c>
      <c r="Q1032" t="e">
        <f>_xlfn.XLOOKUP(Table1[[#This Row],[ID]], Table2[ID],#REF!, "Not Found", 0)</f>
        <v>#REF!</v>
      </c>
      <c r="R1032" t="e">
        <f>_xlfn.XLOOKUP(Table1[[#This Row],[ID]], Table2[ID],#REF!, "Not Found", 0)</f>
        <v>#REF!</v>
      </c>
      <c r="S1032" s="3" t="str">
        <f>_xlfn.XLOOKUP(Table1[[#This Row],[ID]], Table2[ID], Table2[Enrollment], "Not Found", 0)</f>
        <v>5/23/2020</v>
      </c>
      <c r="T1032" t="s">
        <v>439</v>
      </c>
    </row>
    <row r="1033" spans="1:20" x14ac:dyDescent="0.3">
      <c r="A1033">
        <v>2135</v>
      </c>
      <c r="B1033">
        <v>154197</v>
      </c>
      <c r="C1033">
        <v>0</v>
      </c>
      <c r="D1033">
        <v>1</v>
      </c>
      <c r="E1033">
        <v>60</v>
      </c>
      <c r="F1033">
        <v>0</v>
      </c>
      <c r="G1033">
        <v>1</v>
      </c>
      <c r="H1033">
        <v>0</v>
      </c>
      <c r="I1033">
        <v>0</v>
      </c>
      <c r="J1033">
        <v>0</v>
      </c>
      <c r="K1033">
        <v>0</v>
      </c>
      <c r="L1033">
        <v>0</v>
      </c>
      <c r="M1033">
        <v>1</v>
      </c>
      <c r="N1033">
        <v>0</v>
      </c>
      <c r="O1033" t="str" cm="1">
        <f t="array" ref="O1033">_xlfn.IFS(Table1[[#This Row],[Divorced]]=1, "Divorced", Table1[[#This Row],[Married]]=1, "Married", Table1[[#This Row],[Single]]=1, "Single", Table1[[#This Row],[Together]]=1, "Together", Table1[[#This Row],[Widow]]=1, "Widow")</f>
        <v>Married</v>
      </c>
      <c r="P1033" t="str" cm="1">
        <f t="array" ref="P1033">_xlfn.IFS(Table1[[#This Row],[Basic]]=1, "Basic", Table1[[#This Row],[Graduate]]=1, "Graduate", Table1[[#This Row],[Master]]=1, "Master", Table1[[#This Row],[PhD]]=1, "PhD", AND(Table1[[#This Row],[Basic]]=0, Table1[[#This Row],[Graduate]]=0, Table1[[#This Row],[Master]]=0, Table1[[#This Row],[PhD]]=0), "NA")</f>
        <v>Master</v>
      </c>
      <c r="Q1033" t="e">
        <f>_xlfn.XLOOKUP(Table1[[#This Row],[ID]], Table2[ID],#REF!, "Not Found", 0)</f>
        <v>#REF!</v>
      </c>
      <c r="R1033" t="e">
        <f>_xlfn.XLOOKUP(Table1[[#This Row],[ID]], Table2[ID],#REF!, "Not Found", 0)</f>
        <v>#REF!</v>
      </c>
      <c r="S1033" s="3">
        <f>_xlfn.XLOOKUP(Table1[[#This Row],[ID]], Table2[ID], Table2[Enrollment], "Not Found", 0)</f>
        <v>44021</v>
      </c>
      <c r="T1033" t="s">
        <v>434</v>
      </c>
    </row>
    <row r="1034" spans="1:20" x14ac:dyDescent="0.3">
      <c r="A1034">
        <v>1084</v>
      </c>
      <c r="B1034">
        <v>154178</v>
      </c>
      <c r="C1034">
        <v>0</v>
      </c>
      <c r="D1034">
        <v>1</v>
      </c>
      <c r="E1034">
        <v>53</v>
      </c>
      <c r="F1034">
        <v>0</v>
      </c>
      <c r="G1034">
        <v>0</v>
      </c>
      <c r="H1034">
        <v>0</v>
      </c>
      <c r="I1034">
        <v>1</v>
      </c>
      <c r="J1034">
        <v>0</v>
      </c>
      <c r="K1034">
        <v>0</v>
      </c>
      <c r="L1034">
        <v>1</v>
      </c>
      <c r="M1034">
        <v>0</v>
      </c>
      <c r="N1034">
        <v>0</v>
      </c>
      <c r="O1034" t="str" cm="1">
        <f t="array" ref="O1034">_xlfn.IFS(Table1[[#This Row],[Divorced]]=1, "Divorced", Table1[[#This Row],[Married]]=1, "Married", Table1[[#This Row],[Single]]=1, "Single", Table1[[#This Row],[Together]]=1, "Together", Table1[[#This Row],[Widow]]=1, "Widow")</f>
        <v>Together</v>
      </c>
      <c r="P1034" t="str" cm="1">
        <f t="array" ref="P1034">_xlfn.IFS(Table1[[#This Row],[Basic]]=1, "Basic", Table1[[#This Row],[Graduate]]=1, "Graduate", Table1[[#This Row],[Master]]=1, "Master", Table1[[#This Row],[PhD]]=1, "PhD", AND(Table1[[#This Row],[Basic]]=0, Table1[[#This Row],[Graduate]]=0, Table1[[#This Row],[Master]]=0, Table1[[#This Row],[PhD]]=0), "NA")</f>
        <v>Graduate</v>
      </c>
      <c r="Q1034" t="e">
        <f>_xlfn.XLOOKUP(Table1[[#This Row],[ID]], Table2[ID],#REF!, "Not Found", 0)</f>
        <v>#REF!</v>
      </c>
      <c r="R1034" t="e">
        <f>_xlfn.XLOOKUP(Table1[[#This Row],[ID]], Table2[ID],#REF!, "Not Found", 0)</f>
        <v>#REF!</v>
      </c>
      <c r="S1034" s="3" t="str">
        <f>_xlfn.XLOOKUP(Table1[[#This Row],[ID]], Table2[ID], Table2[Enrollment], "Not Found", 0)</f>
        <v>6/27/2020</v>
      </c>
      <c r="T1034" t="s">
        <v>439</v>
      </c>
    </row>
    <row r="1035" spans="1:20" x14ac:dyDescent="0.3">
      <c r="A1035">
        <v>1998</v>
      </c>
      <c r="B1035">
        <v>154165</v>
      </c>
      <c r="C1035">
        <v>0</v>
      </c>
      <c r="D1035">
        <v>0</v>
      </c>
      <c r="E1035">
        <v>51</v>
      </c>
      <c r="F1035">
        <v>0</v>
      </c>
      <c r="G1035">
        <v>0</v>
      </c>
      <c r="H1035">
        <v>0</v>
      </c>
      <c r="I1035">
        <v>1</v>
      </c>
      <c r="J1035">
        <v>0</v>
      </c>
      <c r="K1035">
        <v>0</v>
      </c>
      <c r="L1035">
        <v>1</v>
      </c>
      <c r="M1035">
        <v>0</v>
      </c>
      <c r="N1035">
        <v>0</v>
      </c>
      <c r="O1035" t="str" cm="1">
        <f t="array" ref="O1035">_xlfn.IFS(Table1[[#This Row],[Divorced]]=1, "Divorced", Table1[[#This Row],[Married]]=1, "Married", Table1[[#This Row],[Single]]=1, "Single", Table1[[#This Row],[Together]]=1, "Together", Table1[[#This Row],[Widow]]=1, "Widow")</f>
        <v>Together</v>
      </c>
      <c r="P1035" t="str" cm="1">
        <f t="array" ref="P1035">_xlfn.IFS(Table1[[#This Row],[Basic]]=1, "Basic", Table1[[#This Row],[Graduate]]=1, "Graduate", Table1[[#This Row],[Master]]=1, "Master", Table1[[#This Row],[PhD]]=1, "PhD", AND(Table1[[#This Row],[Basic]]=0, Table1[[#This Row],[Graduate]]=0, Table1[[#This Row],[Master]]=0, Table1[[#This Row],[PhD]]=0), "NA")</f>
        <v>Graduate</v>
      </c>
      <c r="Q1035" t="e">
        <f>_xlfn.XLOOKUP(Table1[[#This Row],[ID]], Table2[ID],#REF!, "Not Found", 0)</f>
        <v>#REF!</v>
      </c>
      <c r="R1035" t="e">
        <f>_xlfn.XLOOKUP(Table1[[#This Row],[ID]], Table2[ID],#REF!, "Not Found", 0)</f>
        <v>#REF!</v>
      </c>
      <c r="S1035" s="3">
        <f>_xlfn.XLOOKUP(Table1[[#This Row],[ID]], Table2[ID], Table2[Enrollment], "Not Found", 0)</f>
        <v>43507</v>
      </c>
      <c r="T1035" t="s">
        <v>436</v>
      </c>
    </row>
    <row r="1036" spans="1:20" x14ac:dyDescent="0.3">
      <c r="A1036">
        <v>1601</v>
      </c>
      <c r="B1036">
        <v>154162</v>
      </c>
      <c r="C1036">
        <v>1</v>
      </c>
      <c r="D1036">
        <v>1</v>
      </c>
      <c r="E1036">
        <v>42</v>
      </c>
      <c r="F1036">
        <v>0</v>
      </c>
      <c r="G1036">
        <v>0</v>
      </c>
      <c r="H1036">
        <v>0</v>
      </c>
      <c r="I1036">
        <v>0</v>
      </c>
      <c r="J1036">
        <v>1</v>
      </c>
      <c r="K1036">
        <v>0</v>
      </c>
      <c r="L1036">
        <v>1</v>
      </c>
      <c r="M1036">
        <v>0</v>
      </c>
      <c r="N1036">
        <v>0</v>
      </c>
      <c r="O1036" t="str" cm="1">
        <f t="array" ref="O1036">_xlfn.IFS(Table1[[#This Row],[Divorced]]=1, "Divorced", Table1[[#This Row],[Married]]=1, "Married", Table1[[#This Row],[Single]]=1, "Single", Table1[[#This Row],[Together]]=1, "Together", Table1[[#This Row],[Widow]]=1, "Widow")</f>
        <v>Widow</v>
      </c>
      <c r="P1036" t="str" cm="1">
        <f t="array" ref="P1036">_xlfn.IFS(Table1[[#This Row],[Basic]]=1, "Basic", Table1[[#This Row],[Graduate]]=1, "Graduate", Table1[[#This Row],[Master]]=1, "Master", Table1[[#This Row],[PhD]]=1, "PhD", AND(Table1[[#This Row],[Basic]]=0, Table1[[#This Row],[Graduate]]=0, Table1[[#This Row],[Master]]=0, Table1[[#This Row],[PhD]]=0), "NA")</f>
        <v>Graduate</v>
      </c>
      <c r="Q1036" t="e">
        <f>_xlfn.XLOOKUP(Table1[[#This Row],[ID]], Table2[ID],#REF!, "Not Found", 0)</f>
        <v>#REF!</v>
      </c>
      <c r="R1036" t="e">
        <f>_xlfn.XLOOKUP(Table1[[#This Row],[ID]], Table2[ID],#REF!, "Not Found", 0)</f>
        <v>#REF!</v>
      </c>
      <c r="S1036" s="3" t="str">
        <f>_xlfn.XLOOKUP(Table1[[#This Row],[ID]], Table2[ID], Table2[Enrollment], "Not Found", 0)</f>
        <v>8/23/2019</v>
      </c>
      <c r="T1036" t="s">
        <v>434</v>
      </c>
    </row>
    <row r="1037" spans="1:20" x14ac:dyDescent="0.3">
      <c r="A1037">
        <v>1882</v>
      </c>
      <c r="B1037">
        <v>154137</v>
      </c>
      <c r="C1037">
        <v>0</v>
      </c>
      <c r="D1037">
        <v>1</v>
      </c>
      <c r="E1037">
        <v>50</v>
      </c>
      <c r="F1037">
        <v>1</v>
      </c>
      <c r="G1037">
        <v>0</v>
      </c>
      <c r="H1037">
        <v>0</v>
      </c>
      <c r="I1037">
        <v>0</v>
      </c>
      <c r="J1037">
        <v>0</v>
      </c>
      <c r="K1037">
        <v>0</v>
      </c>
      <c r="L1037">
        <v>1</v>
      </c>
      <c r="M1037">
        <v>0</v>
      </c>
      <c r="N1037">
        <v>0</v>
      </c>
      <c r="O1037" t="str" cm="1">
        <f t="array" ref="O1037">_xlfn.IFS(Table1[[#This Row],[Divorced]]=1, "Divorced", Table1[[#This Row],[Married]]=1, "Married", Table1[[#This Row],[Single]]=1, "Single", Table1[[#This Row],[Together]]=1, "Together", Table1[[#This Row],[Widow]]=1, "Widow")</f>
        <v>Divorced</v>
      </c>
      <c r="P1037" t="str" cm="1">
        <f t="array" ref="P1037">_xlfn.IFS(Table1[[#This Row],[Basic]]=1, "Basic", Table1[[#This Row],[Graduate]]=1, "Graduate", Table1[[#This Row],[Master]]=1, "Master", Table1[[#This Row],[PhD]]=1, "PhD", AND(Table1[[#This Row],[Basic]]=0, Table1[[#This Row],[Graduate]]=0, Table1[[#This Row],[Master]]=0, Table1[[#This Row],[PhD]]=0), "NA")</f>
        <v>Graduate</v>
      </c>
      <c r="Q1037" t="e">
        <f>_xlfn.XLOOKUP(Table1[[#This Row],[ID]], Table2[ID],#REF!, "Not Found", 0)</f>
        <v>#REF!</v>
      </c>
      <c r="R1037" t="e">
        <f>_xlfn.XLOOKUP(Table1[[#This Row],[ID]], Table2[ID],#REF!, "Not Found", 0)</f>
        <v>#REF!</v>
      </c>
      <c r="S1037" s="3" t="str">
        <f>_xlfn.XLOOKUP(Table1[[#This Row],[ID]], Table2[ID], Table2[Enrollment], "Not Found", 0)</f>
        <v>1/21/2020</v>
      </c>
      <c r="T1037" t="s">
        <v>439</v>
      </c>
    </row>
    <row r="1038" spans="1:20" x14ac:dyDescent="0.3">
      <c r="A1038">
        <v>2399</v>
      </c>
      <c r="B1038">
        <v>154132</v>
      </c>
      <c r="C1038">
        <v>0</v>
      </c>
      <c r="D1038">
        <v>1</v>
      </c>
      <c r="E1038">
        <v>51</v>
      </c>
      <c r="F1038">
        <v>0</v>
      </c>
      <c r="G1038">
        <v>0</v>
      </c>
      <c r="H1038">
        <v>0</v>
      </c>
      <c r="I1038">
        <v>1</v>
      </c>
      <c r="J1038">
        <v>0</v>
      </c>
      <c r="K1038">
        <v>0</v>
      </c>
      <c r="L1038">
        <v>0</v>
      </c>
      <c r="M1038">
        <v>0</v>
      </c>
      <c r="N1038">
        <v>1</v>
      </c>
      <c r="O1038" t="str" cm="1">
        <f t="array" ref="O1038">_xlfn.IFS(Table1[[#This Row],[Divorced]]=1, "Divorced", Table1[[#This Row],[Married]]=1, "Married", Table1[[#This Row],[Single]]=1, "Single", Table1[[#This Row],[Together]]=1, "Together", Table1[[#This Row],[Widow]]=1, "Widow")</f>
        <v>Together</v>
      </c>
      <c r="P1038" t="str" cm="1">
        <f t="array" ref="P1038">_xlfn.IFS(Table1[[#This Row],[Basic]]=1, "Basic", Table1[[#This Row],[Graduate]]=1, "Graduate", Table1[[#This Row],[Master]]=1, "Master", Table1[[#This Row],[PhD]]=1, "PhD", AND(Table1[[#This Row],[Basic]]=0, Table1[[#This Row],[Graduate]]=0, Table1[[#This Row],[Master]]=0, Table1[[#This Row],[PhD]]=0), "NA")</f>
        <v>PhD</v>
      </c>
      <c r="Q1038" t="e">
        <f>_xlfn.XLOOKUP(Table1[[#This Row],[ID]], Table2[ID],#REF!, "Not Found", 0)</f>
        <v>#REF!</v>
      </c>
      <c r="R1038" t="e">
        <f>_xlfn.XLOOKUP(Table1[[#This Row],[ID]], Table2[ID],#REF!, "Not Found", 0)</f>
        <v>#REF!</v>
      </c>
      <c r="S1038" s="3" t="str">
        <f>_xlfn.XLOOKUP(Table1[[#This Row],[ID]], Table2[ID], Table2[Enrollment], "Not Found", 0)</f>
        <v>7/23/2020</v>
      </c>
      <c r="T1038" t="s">
        <v>434</v>
      </c>
    </row>
    <row r="1039" spans="1:20" x14ac:dyDescent="0.3">
      <c r="A1039">
        <v>2801</v>
      </c>
      <c r="B1039">
        <v>154111</v>
      </c>
      <c r="C1039">
        <v>0</v>
      </c>
      <c r="D1039">
        <v>1</v>
      </c>
      <c r="E1039">
        <v>55</v>
      </c>
      <c r="F1039">
        <v>0</v>
      </c>
      <c r="G1039">
        <v>0</v>
      </c>
      <c r="H1039">
        <v>0</v>
      </c>
      <c r="I1039">
        <v>0</v>
      </c>
      <c r="J1039">
        <v>1</v>
      </c>
      <c r="K1039">
        <v>0</v>
      </c>
      <c r="L1039">
        <v>0</v>
      </c>
      <c r="M1039">
        <v>0</v>
      </c>
      <c r="N1039">
        <v>1</v>
      </c>
      <c r="O1039" t="str" cm="1">
        <f t="array" ref="O1039">_xlfn.IFS(Table1[[#This Row],[Divorced]]=1, "Divorced", Table1[[#This Row],[Married]]=1, "Married", Table1[[#This Row],[Single]]=1, "Single", Table1[[#This Row],[Together]]=1, "Together", Table1[[#This Row],[Widow]]=1, "Widow")</f>
        <v>Widow</v>
      </c>
      <c r="P1039" t="str" cm="1">
        <f t="array" ref="P1039">_xlfn.IFS(Table1[[#This Row],[Basic]]=1, "Basic", Table1[[#This Row],[Graduate]]=1, "Graduate", Table1[[#This Row],[Master]]=1, "Master", Table1[[#This Row],[PhD]]=1, "PhD", AND(Table1[[#This Row],[Basic]]=0, Table1[[#This Row],[Graduate]]=0, Table1[[#This Row],[Master]]=0, Table1[[#This Row],[PhD]]=0), "NA")</f>
        <v>PhD</v>
      </c>
      <c r="Q1039" t="e">
        <f>_xlfn.XLOOKUP(Table1[[#This Row],[ID]], Table2[ID],#REF!, "Not Found", 0)</f>
        <v>#REF!</v>
      </c>
      <c r="R1039" t="e">
        <f>_xlfn.XLOOKUP(Table1[[#This Row],[ID]], Table2[ID],#REF!, "Not Found", 0)</f>
        <v>#REF!</v>
      </c>
      <c r="S1039" s="3" t="str">
        <f>_xlfn.XLOOKUP(Table1[[#This Row],[ID]], Table2[ID], Table2[Enrollment], "Not Found", 0)</f>
        <v>1/30/2020</v>
      </c>
      <c r="T1039" t="s">
        <v>434</v>
      </c>
    </row>
    <row r="1040" spans="1:20" x14ac:dyDescent="0.3">
      <c r="A1040">
        <v>2479</v>
      </c>
      <c r="B1040">
        <v>154108</v>
      </c>
      <c r="C1040">
        <v>1</v>
      </c>
      <c r="D1040">
        <v>1</v>
      </c>
      <c r="E1040">
        <v>47</v>
      </c>
      <c r="F1040">
        <v>0</v>
      </c>
      <c r="G1040">
        <v>1</v>
      </c>
      <c r="H1040">
        <v>0</v>
      </c>
      <c r="I1040">
        <v>0</v>
      </c>
      <c r="J1040">
        <v>0</v>
      </c>
      <c r="K1040">
        <v>0</v>
      </c>
      <c r="L1040">
        <v>0</v>
      </c>
      <c r="M1040">
        <v>1</v>
      </c>
      <c r="N1040">
        <v>0</v>
      </c>
      <c r="O1040" t="str" cm="1">
        <f t="array" ref="O1040">_xlfn.IFS(Table1[[#This Row],[Divorced]]=1, "Divorced", Table1[[#This Row],[Married]]=1, "Married", Table1[[#This Row],[Single]]=1, "Single", Table1[[#This Row],[Together]]=1, "Together", Table1[[#This Row],[Widow]]=1, "Widow")</f>
        <v>Married</v>
      </c>
      <c r="P1040" t="str" cm="1">
        <f t="array" ref="P1040">_xlfn.IFS(Table1[[#This Row],[Basic]]=1, "Basic", Table1[[#This Row],[Graduate]]=1, "Graduate", Table1[[#This Row],[Master]]=1, "Master", Table1[[#This Row],[PhD]]=1, "PhD", AND(Table1[[#This Row],[Basic]]=0, Table1[[#This Row],[Graduate]]=0, Table1[[#This Row],[Master]]=0, Table1[[#This Row],[PhD]]=0), "NA")</f>
        <v>Master</v>
      </c>
      <c r="Q1040" t="e">
        <f>_xlfn.XLOOKUP(Table1[[#This Row],[ID]], Table2[ID],#REF!, "Not Found", 0)</f>
        <v>#REF!</v>
      </c>
      <c r="R1040" t="e">
        <f>_xlfn.XLOOKUP(Table1[[#This Row],[ID]], Table2[ID],#REF!, "Not Found", 0)</f>
        <v>#REF!</v>
      </c>
      <c r="S1040" s="3">
        <f>_xlfn.XLOOKUP(Table1[[#This Row],[ID]], Table2[ID], Table2[Enrollment], "Not Found", 0)</f>
        <v>43803</v>
      </c>
      <c r="T1040" t="s">
        <v>437</v>
      </c>
    </row>
    <row r="1041" spans="1:20" x14ac:dyDescent="0.3">
      <c r="A1041">
        <v>2581</v>
      </c>
      <c r="B1041">
        <v>154072</v>
      </c>
      <c r="C1041">
        <v>1</v>
      </c>
      <c r="D1041">
        <v>1</v>
      </c>
      <c r="E1041">
        <v>57</v>
      </c>
      <c r="F1041">
        <v>0</v>
      </c>
      <c r="G1041">
        <v>1</v>
      </c>
      <c r="H1041">
        <v>0</v>
      </c>
      <c r="I1041">
        <v>0</v>
      </c>
      <c r="J1041">
        <v>0</v>
      </c>
      <c r="K1041">
        <v>0</v>
      </c>
      <c r="L1041">
        <v>0</v>
      </c>
      <c r="M1041">
        <v>0</v>
      </c>
      <c r="N1041">
        <v>1</v>
      </c>
      <c r="O1041" t="str" cm="1">
        <f t="array" ref="O1041">_xlfn.IFS(Table1[[#This Row],[Divorced]]=1, "Divorced", Table1[[#This Row],[Married]]=1, "Married", Table1[[#This Row],[Single]]=1, "Single", Table1[[#This Row],[Together]]=1, "Together", Table1[[#This Row],[Widow]]=1, "Widow")</f>
        <v>Married</v>
      </c>
      <c r="P1041" t="str" cm="1">
        <f t="array" ref="P1041">_xlfn.IFS(Table1[[#This Row],[Basic]]=1, "Basic", Table1[[#This Row],[Graduate]]=1, "Graduate", Table1[[#This Row],[Master]]=1, "Master", Table1[[#This Row],[PhD]]=1, "PhD", AND(Table1[[#This Row],[Basic]]=0, Table1[[#This Row],[Graduate]]=0, Table1[[#This Row],[Master]]=0, Table1[[#This Row],[PhD]]=0), "NA")</f>
        <v>PhD</v>
      </c>
      <c r="Q1041" t="e">
        <f>_xlfn.XLOOKUP(Table1[[#This Row],[ID]], Table2[ID],#REF!, "Not Found", 0)</f>
        <v>#REF!</v>
      </c>
      <c r="R1041" t="e">
        <f>_xlfn.XLOOKUP(Table1[[#This Row],[ID]], Table2[ID],#REF!, "Not Found", 0)</f>
        <v>#REF!</v>
      </c>
      <c r="S1041" s="3">
        <f>_xlfn.XLOOKUP(Table1[[#This Row],[ID]], Table2[ID], Table2[Enrollment], "Not Found", 0)</f>
        <v>43831</v>
      </c>
      <c r="T1041" t="s">
        <v>437</v>
      </c>
    </row>
    <row r="1042" spans="1:20" x14ac:dyDescent="0.3">
      <c r="A1042">
        <v>1528</v>
      </c>
      <c r="B1042">
        <v>154058</v>
      </c>
      <c r="C1042">
        <v>0</v>
      </c>
      <c r="D1042">
        <v>1</v>
      </c>
      <c r="E1042">
        <v>44</v>
      </c>
      <c r="F1042">
        <v>0</v>
      </c>
      <c r="G1042">
        <v>0</v>
      </c>
      <c r="H1042">
        <v>0</v>
      </c>
      <c r="I1042">
        <v>1</v>
      </c>
      <c r="J1042">
        <v>0</v>
      </c>
      <c r="K1042">
        <v>0</v>
      </c>
      <c r="L1042">
        <v>1</v>
      </c>
      <c r="M1042">
        <v>0</v>
      </c>
      <c r="N1042">
        <v>0</v>
      </c>
      <c r="O1042" t="str" cm="1">
        <f t="array" ref="O1042">_xlfn.IFS(Table1[[#This Row],[Divorced]]=1, "Divorced", Table1[[#This Row],[Married]]=1, "Married", Table1[[#This Row],[Single]]=1, "Single", Table1[[#This Row],[Together]]=1, "Together", Table1[[#This Row],[Widow]]=1, "Widow")</f>
        <v>Together</v>
      </c>
      <c r="P1042" t="str" cm="1">
        <f t="array" ref="P1042">_xlfn.IFS(Table1[[#This Row],[Basic]]=1, "Basic", Table1[[#This Row],[Graduate]]=1, "Graduate", Table1[[#This Row],[Master]]=1, "Master", Table1[[#This Row],[PhD]]=1, "PhD", AND(Table1[[#This Row],[Basic]]=0, Table1[[#This Row],[Graduate]]=0, Table1[[#This Row],[Master]]=0, Table1[[#This Row],[PhD]]=0), "NA")</f>
        <v>Graduate</v>
      </c>
      <c r="Q1042" t="e">
        <f>_xlfn.XLOOKUP(Table1[[#This Row],[ID]], Table2[ID],#REF!, "Not Found", 0)</f>
        <v>#REF!</v>
      </c>
      <c r="R1042" t="e">
        <f>_xlfn.XLOOKUP(Table1[[#This Row],[ID]], Table2[ID],#REF!, "Not Found", 0)</f>
        <v>#REF!</v>
      </c>
      <c r="S1042" s="3">
        <f>_xlfn.XLOOKUP(Table1[[#This Row],[ID]], Table2[ID], Table2[Enrollment], "Not Found", 0)</f>
        <v>43719</v>
      </c>
      <c r="T1042" t="s">
        <v>439</v>
      </c>
    </row>
    <row r="1043" spans="1:20" x14ac:dyDescent="0.3">
      <c r="A1043">
        <v>2834</v>
      </c>
      <c r="B1043">
        <v>154006</v>
      </c>
      <c r="C1043">
        <v>1</v>
      </c>
      <c r="D1043">
        <v>0</v>
      </c>
      <c r="E1043">
        <v>35</v>
      </c>
      <c r="F1043">
        <v>0</v>
      </c>
      <c r="G1043">
        <v>0</v>
      </c>
      <c r="H1043">
        <v>0</v>
      </c>
      <c r="I1043">
        <v>1</v>
      </c>
      <c r="J1043">
        <v>0</v>
      </c>
      <c r="K1043">
        <v>0</v>
      </c>
      <c r="L1043">
        <v>1</v>
      </c>
      <c r="M1043">
        <v>0</v>
      </c>
      <c r="N1043">
        <v>0</v>
      </c>
      <c r="O1043" t="str" cm="1">
        <f t="array" ref="O1043">_xlfn.IFS(Table1[[#This Row],[Divorced]]=1, "Divorced", Table1[[#This Row],[Married]]=1, "Married", Table1[[#This Row],[Single]]=1, "Single", Table1[[#This Row],[Together]]=1, "Together", Table1[[#This Row],[Widow]]=1, "Widow")</f>
        <v>Together</v>
      </c>
      <c r="P1043" t="str" cm="1">
        <f t="array" ref="P1043">_xlfn.IFS(Table1[[#This Row],[Basic]]=1, "Basic", Table1[[#This Row],[Graduate]]=1, "Graduate", Table1[[#This Row],[Master]]=1, "Master", Table1[[#This Row],[PhD]]=1, "PhD", AND(Table1[[#This Row],[Basic]]=0, Table1[[#This Row],[Graduate]]=0, Table1[[#This Row],[Master]]=0, Table1[[#This Row],[PhD]]=0), "NA")</f>
        <v>Graduate</v>
      </c>
      <c r="Q1043" t="e">
        <f>_xlfn.XLOOKUP(Table1[[#This Row],[ID]], Table2[ID],#REF!, "Not Found", 0)</f>
        <v>#REF!</v>
      </c>
      <c r="R1043" t="e">
        <f>_xlfn.XLOOKUP(Table1[[#This Row],[ID]], Table2[ID],#REF!, "Not Found", 0)</f>
        <v>#REF!</v>
      </c>
      <c r="S1043" s="3" t="str">
        <f>_xlfn.XLOOKUP(Table1[[#This Row],[ID]], Table2[ID], Table2[Enrollment], "Not Found", 0)</f>
        <v>2/23/2019</v>
      </c>
      <c r="T1043" t="s">
        <v>438</v>
      </c>
    </row>
    <row r="1044" spans="1:20" x14ac:dyDescent="0.3">
      <c r="A1044">
        <v>2485</v>
      </c>
      <c r="B1044">
        <v>153977</v>
      </c>
      <c r="C1044">
        <v>0</v>
      </c>
      <c r="D1044">
        <v>1</v>
      </c>
      <c r="E1044">
        <v>62</v>
      </c>
      <c r="F1044">
        <v>0</v>
      </c>
      <c r="G1044">
        <v>0</v>
      </c>
      <c r="H1044">
        <v>0</v>
      </c>
      <c r="I1044">
        <v>1</v>
      </c>
      <c r="J1044">
        <v>0</v>
      </c>
      <c r="K1044">
        <v>0</v>
      </c>
      <c r="L1044">
        <v>1</v>
      </c>
      <c r="M1044">
        <v>0</v>
      </c>
      <c r="N1044">
        <v>0</v>
      </c>
      <c r="O1044" t="str" cm="1">
        <f t="array" ref="O1044">_xlfn.IFS(Table1[[#This Row],[Divorced]]=1, "Divorced", Table1[[#This Row],[Married]]=1, "Married", Table1[[#This Row],[Single]]=1, "Single", Table1[[#This Row],[Together]]=1, "Together", Table1[[#This Row],[Widow]]=1, "Widow")</f>
        <v>Together</v>
      </c>
      <c r="P1044" t="str" cm="1">
        <f t="array" ref="P1044">_xlfn.IFS(Table1[[#This Row],[Basic]]=1, "Basic", Table1[[#This Row],[Graduate]]=1, "Graduate", Table1[[#This Row],[Master]]=1, "Master", Table1[[#This Row],[PhD]]=1, "PhD", AND(Table1[[#This Row],[Basic]]=0, Table1[[#This Row],[Graduate]]=0, Table1[[#This Row],[Master]]=0, Table1[[#This Row],[PhD]]=0), "NA")</f>
        <v>Graduate</v>
      </c>
      <c r="Q1044" t="e">
        <f>_xlfn.XLOOKUP(Table1[[#This Row],[ID]], Table2[ID],#REF!, "Not Found", 0)</f>
        <v>#REF!</v>
      </c>
      <c r="R1044" t="e">
        <f>_xlfn.XLOOKUP(Table1[[#This Row],[ID]], Table2[ID],#REF!, "Not Found", 0)</f>
        <v>#REF!</v>
      </c>
      <c r="S1044" s="3" t="str">
        <f>_xlfn.XLOOKUP(Table1[[#This Row],[ID]], Table2[ID], Table2[Enrollment], "Not Found", 0)</f>
        <v>11/13/2019</v>
      </c>
      <c r="T1044" t="s">
        <v>437</v>
      </c>
    </row>
    <row r="1045" spans="1:20" x14ac:dyDescent="0.3">
      <c r="A1045">
        <v>2780</v>
      </c>
      <c r="B1045">
        <v>153977</v>
      </c>
      <c r="C1045">
        <v>0</v>
      </c>
      <c r="D1045">
        <v>1</v>
      </c>
      <c r="E1045">
        <v>62</v>
      </c>
      <c r="F1045">
        <v>0</v>
      </c>
      <c r="G1045">
        <v>0</v>
      </c>
      <c r="H1045">
        <v>0</v>
      </c>
      <c r="I1045">
        <v>1</v>
      </c>
      <c r="J1045">
        <v>0</v>
      </c>
      <c r="K1045">
        <v>0</v>
      </c>
      <c r="L1045">
        <v>1</v>
      </c>
      <c r="M1045">
        <v>0</v>
      </c>
      <c r="N1045">
        <v>0</v>
      </c>
      <c r="O1045" t="str" cm="1">
        <f t="array" ref="O1045">_xlfn.IFS(Table1[[#This Row],[Divorced]]=1, "Divorced", Table1[[#This Row],[Married]]=1, "Married", Table1[[#This Row],[Single]]=1, "Single", Table1[[#This Row],[Together]]=1, "Together", Table1[[#This Row],[Widow]]=1, "Widow")</f>
        <v>Together</v>
      </c>
      <c r="P1045" t="str" cm="1">
        <f t="array" ref="P1045">_xlfn.IFS(Table1[[#This Row],[Basic]]=1, "Basic", Table1[[#This Row],[Graduate]]=1, "Graduate", Table1[[#This Row],[Master]]=1, "Master", Table1[[#This Row],[PhD]]=1, "PhD", AND(Table1[[#This Row],[Basic]]=0, Table1[[#This Row],[Graduate]]=0, Table1[[#This Row],[Master]]=0, Table1[[#This Row],[PhD]]=0), "NA")</f>
        <v>Graduate</v>
      </c>
      <c r="Q1045" t="e">
        <f>_xlfn.XLOOKUP(Table1[[#This Row],[ID]], Table2[ID],#REF!, "Not Found", 0)</f>
        <v>#REF!</v>
      </c>
      <c r="R1045" t="e">
        <f>_xlfn.XLOOKUP(Table1[[#This Row],[ID]], Table2[ID],#REF!, "Not Found", 0)</f>
        <v>#REF!</v>
      </c>
      <c r="S1045" s="3" t="str">
        <f>_xlfn.XLOOKUP(Table1[[#This Row],[ID]], Table2[ID], Table2[Enrollment], "Not Found", 0)</f>
        <v>11/13/2019</v>
      </c>
      <c r="T1045" t="s">
        <v>438</v>
      </c>
    </row>
    <row r="1046" spans="1:20" x14ac:dyDescent="0.3">
      <c r="A1046">
        <v>1572</v>
      </c>
      <c r="B1046">
        <v>153863</v>
      </c>
      <c r="C1046">
        <v>0</v>
      </c>
      <c r="D1046">
        <v>1</v>
      </c>
      <c r="E1046">
        <v>65</v>
      </c>
      <c r="F1046">
        <v>0</v>
      </c>
      <c r="G1046">
        <v>0</v>
      </c>
      <c r="H1046">
        <v>0</v>
      </c>
      <c r="I1046">
        <v>1</v>
      </c>
      <c r="J1046">
        <v>0</v>
      </c>
      <c r="K1046">
        <v>0</v>
      </c>
      <c r="L1046">
        <v>1</v>
      </c>
      <c r="M1046">
        <v>0</v>
      </c>
      <c r="N1046">
        <v>0</v>
      </c>
      <c r="O1046" t="str" cm="1">
        <f t="array" ref="O1046">_xlfn.IFS(Table1[[#This Row],[Divorced]]=1, "Divorced", Table1[[#This Row],[Married]]=1, "Married", Table1[[#This Row],[Single]]=1, "Single", Table1[[#This Row],[Together]]=1, "Together", Table1[[#This Row],[Widow]]=1, "Widow")</f>
        <v>Together</v>
      </c>
      <c r="P1046" t="str" cm="1">
        <f t="array" ref="P1046">_xlfn.IFS(Table1[[#This Row],[Basic]]=1, "Basic", Table1[[#This Row],[Graduate]]=1, "Graduate", Table1[[#This Row],[Master]]=1, "Master", Table1[[#This Row],[PhD]]=1, "PhD", AND(Table1[[#This Row],[Basic]]=0, Table1[[#This Row],[Graduate]]=0, Table1[[#This Row],[Master]]=0, Table1[[#This Row],[PhD]]=0), "NA")</f>
        <v>Graduate</v>
      </c>
      <c r="Q1046" t="e">
        <f>_xlfn.XLOOKUP(Table1[[#This Row],[ID]], Table2[ID],#REF!, "Not Found", 0)</f>
        <v>#REF!</v>
      </c>
      <c r="R1046" t="e">
        <f>_xlfn.XLOOKUP(Table1[[#This Row],[ID]], Table2[ID],#REF!, "Not Found", 0)</f>
        <v>#REF!</v>
      </c>
      <c r="S1046" s="3" t="str">
        <f>_xlfn.XLOOKUP(Table1[[#This Row],[ID]], Table2[ID], Table2[Enrollment], "Not Found", 0)</f>
        <v>10/21/2020</v>
      </c>
      <c r="T1046" t="s">
        <v>436</v>
      </c>
    </row>
    <row r="1047" spans="1:20" x14ac:dyDescent="0.3">
      <c r="A1047">
        <v>1395</v>
      </c>
      <c r="B1047">
        <v>153858</v>
      </c>
      <c r="C1047">
        <v>0</v>
      </c>
      <c r="D1047">
        <v>1</v>
      </c>
      <c r="E1047">
        <v>44</v>
      </c>
      <c r="F1047">
        <v>0</v>
      </c>
      <c r="G1047">
        <v>1</v>
      </c>
      <c r="H1047">
        <v>0</v>
      </c>
      <c r="I1047">
        <v>0</v>
      </c>
      <c r="J1047">
        <v>0</v>
      </c>
      <c r="K1047">
        <v>0</v>
      </c>
      <c r="L1047">
        <v>1</v>
      </c>
      <c r="M1047">
        <v>0</v>
      </c>
      <c r="N1047">
        <v>0</v>
      </c>
      <c r="O1047" t="str" cm="1">
        <f t="array" ref="O1047">_xlfn.IFS(Table1[[#This Row],[Divorced]]=1, "Divorced", Table1[[#This Row],[Married]]=1, "Married", Table1[[#This Row],[Single]]=1, "Single", Table1[[#This Row],[Together]]=1, "Together", Table1[[#This Row],[Widow]]=1, "Widow")</f>
        <v>Married</v>
      </c>
      <c r="P1047" t="str" cm="1">
        <f t="array" ref="P1047">_xlfn.IFS(Table1[[#This Row],[Basic]]=1, "Basic", Table1[[#This Row],[Graduate]]=1, "Graduate", Table1[[#This Row],[Master]]=1, "Master", Table1[[#This Row],[PhD]]=1, "PhD", AND(Table1[[#This Row],[Basic]]=0, Table1[[#This Row],[Graduate]]=0, Table1[[#This Row],[Master]]=0, Table1[[#This Row],[PhD]]=0), "NA")</f>
        <v>Graduate</v>
      </c>
      <c r="Q1047" t="e">
        <f>_xlfn.XLOOKUP(Table1[[#This Row],[ID]], Table2[ID],#REF!, "Not Found", 0)</f>
        <v>#REF!</v>
      </c>
      <c r="R1047" t="e">
        <f>_xlfn.XLOOKUP(Table1[[#This Row],[ID]], Table2[ID],#REF!, "Not Found", 0)</f>
        <v>#REF!</v>
      </c>
      <c r="S1047" s="3" t="str">
        <f>_xlfn.XLOOKUP(Table1[[#This Row],[ID]], Table2[ID], Table2[Enrollment], "Not Found", 0)</f>
        <v>4/16/2019</v>
      </c>
      <c r="T1047" t="s">
        <v>435</v>
      </c>
    </row>
    <row r="1048" spans="1:20" x14ac:dyDescent="0.3">
      <c r="A1048">
        <v>2576</v>
      </c>
      <c r="B1048">
        <v>153843</v>
      </c>
      <c r="C1048">
        <v>0</v>
      </c>
      <c r="D1048">
        <v>1</v>
      </c>
      <c r="E1048">
        <v>55</v>
      </c>
      <c r="F1048">
        <v>0</v>
      </c>
      <c r="G1048">
        <v>1</v>
      </c>
      <c r="H1048">
        <v>0</v>
      </c>
      <c r="I1048">
        <v>0</v>
      </c>
      <c r="J1048">
        <v>0</v>
      </c>
      <c r="K1048">
        <v>0</v>
      </c>
      <c r="L1048">
        <v>0</v>
      </c>
      <c r="M1048">
        <v>1</v>
      </c>
      <c r="N1048">
        <v>0</v>
      </c>
      <c r="O1048" t="str" cm="1">
        <f t="array" ref="O1048">_xlfn.IFS(Table1[[#This Row],[Divorced]]=1, "Divorced", Table1[[#This Row],[Married]]=1, "Married", Table1[[#This Row],[Single]]=1, "Single", Table1[[#This Row],[Together]]=1, "Together", Table1[[#This Row],[Widow]]=1, "Widow")</f>
        <v>Married</v>
      </c>
      <c r="P1048" t="str" cm="1">
        <f t="array" ref="P1048">_xlfn.IFS(Table1[[#This Row],[Basic]]=1, "Basic", Table1[[#This Row],[Graduate]]=1, "Graduate", Table1[[#This Row],[Master]]=1, "Master", Table1[[#This Row],[PhD]]=1, "PhD", AND(Table1[[#This Row],[Basic]]=0, Table1[[#This Row],[Graduate]]=0, Table1[[#This Row],[Master]]=0, Table1[[#This Row],[PhD]]=0), "NA")</f>
        <v>Master</v>
      </c>
      <c r="Q1048" t="e">
        <f>_xlfn.XLOOKUP(Table1[[#This Row],[ID]], Table2[ID],#REF!, "Not Found", 0)</f>
        <v>#REF!</v>
      </c>
      <c r="R1048" t="e">
        <f>_xlfn.XLOOKUP(Table1[[#This Row],[ID]], Table2[ID],#REF!, "Not Found", 0)</f>
        <v>#REF!</v>
      </c>
      <c r="S1048" s="3">
        <f>_xlfn.XLOOKUP(Table1[[#This Row],[ID]], Table2[ID], Table2[Enrollment], "Not Found", 0)</f>
        <v>43508</v>
      </c>
      <c r="T1048" t="s">
        <v>438</v>
      </c>
    </row>
    <row r="1049" spans="1:20" x14ac:dyDescent="0.3">
      <c r="A1049">
        <v>1452</v>
      </c>
      <c r="B1049">
        <v>153790</v>
      </c>
      <c r="C1049">
        <v>0</v>
      </c>
      <c r="D1049">
        <v>2</v>
      </c>
      <c r="E1049">
        <v>69</v>
      </c>
      <c r="F1049">
        <v>0</v>
      </c>
      <c r="G1049">
        <v>1</v>
      </c>
      <c r="H1049">
        <v>0</v>
      </c>
      <c r="I1049">
        <v>0</v>
      </c>
      <c r="J1049">
        <v>0</v>
      </c>
      <c r="K1049">
        <v>0</v>
      </c>
      <c r="L1049">
        <v>1</v>
      </c>
      <c r="M1049">
        <v>0</v>
      </c>
      <c r="N1049">
        <v>0</v>
      </c>
      <c r="O1049" t="str" cm="1">
        <f t="array" ref="O1049">_xlfn.IFS(Table1[[#This Row],[Divorced]]=1, "Divorced", Table1[[#This Row],[Married]]=1, "Married", Table1[[#This Row],[Single]]=1, "Single", Table1[[#This Row],[Together]]=1, "Together", Table1[[#This Row],[Widow]]=1, "Widow")</f>
        <v>Married</v>
      </c>
      <c r="P1049" t="str" cm="1">
        <f t="array" ref="P1049">_xlfn.IFS(Table1[[#This Row],[Basic]]=1, "Basic", Table1[[#This Row],[Graduate]]=1, "Graduate", Table1[[#This Row],[Master]]=1, "Master", Table1[[#This Row],[PhD]]=1, "PhD", AND(Table1[[#This Row],[Basic]]=0, Table1[[#This Row],[Graduate]]=0, Table1[[#This Row],[Master]]=0, Table1[[#This Row],[PhD]]=0), "NA")</f>
        <v>Graduate</v>
      </c>
      <c r="Q1049" t="e">
        <f>_xlfn.XLOOKUP(Table1[[#This Row],[ID]], Table2[ID],#REF!, "Not Found", 0)</f>
        <v>#REF!</v>
      </c>
      <c r="R1049" t="e">
        <f>_xlfn.XLOOKUP(Table1[[#This Row],[ID]], Table2[ID],#REF!, "Not Found", 0)</f>
        <v>#REF!</v>
      </c>
      <c r="S1049" s="3">
        <f>_xlfn.XLOOKUP(Table1[[#This Row],[ID]], Table2[ID], Table2[Enrollment], "Not Found", 0)</f>
        <v>44112</v>
      </c>
      <c r="T1049" t="s">
        <v>436</v>
      </c>
    </row>
    <row r="1050" spans="1:20" x14ac:dyDescent="0.3">
      <c r="A1050">
        <v>2366</v>
      </c>
      <c r="B1050">
        <v>153761</v>
      </c>
      <c r="C1050">
        <v>1</v>
      </c>
      <c r="D1050">
        <v>1</v>
      </c>
      <c r="E1050">
        <v>48</v>
      </c>
      <c r="F1050">
        <v>0</v>
      </c>
      <c r="G1050">
        <v>1</v>
      </c>
      <c r="H1050">
        <v>0</v>
      </c>
      <c r="I1050">
        <v>0</v>
      </c>
      <c r="J1050">
        <v>0</v>
      </c>
      <c r="K1050">
        <v>0</v>
      </c>
      <c r="L1050">
        <v>0</v>
      </c>
      <c r="M1050">
        <v>1</v>
      </c>
      <c r="N1050">
        <v>0</v>
      </c>
      <c r="O1050" t="str" cm="1">
        <f t="array" ref="O1050">_xlfn.IFS(Table1[[#This Row],[Divorced]]=1, "Divorced", Table1[[#This Row],[Married]]=1, "Married", Table1[[#This Row],[Single]]=1, "Single", Table1[[#This Row],[Together]]=1, "Together", Table1[[#This Row],[Widow]]=1, "Widow")</f>
        <v>Married</v>
      </c>
      <c r="P1050" t="str" cm="1">
        <f t="array" ref="P1050">_xlfn.IFS(Table1[[#This Row],[Basic]]=1, "Basic", Table1[[#This Row],[Graduate]]=1, "Graduate", Table1[[#This Row],[Master]]=1, "Master", Table1[[#This Row],[PhD]]=1, "PhD", AND(Table1[[#This Row],[Basic]]=0, Table1[[#This Row],[Graduate]]=0, Table1[[#This Row],[Master]]=0, Table1[[#This Row],[PhD]]=0), "NA")</f>
        <v>Master</v>
      </c>
      <c r="Q1050" t="e">
        <f>_xlfn.XLOOKUP(Table1[[#This Row],[ID]], Table2[ID],#REF!, "Not Found", 0)</f>
        <v>#REF!</v>
      </c>
      <c r="R1050" t="e">
        <f>_xlfn.XLOOKUP(Table1[[#This Row],[ID]], Table2[ID],#REF!, "Not Found", 0)</f>
        <v>#REF!</v>
      </c>
      <c r="S1050" s="3" t="str">
        <f>_xlfn.XLOOKUP(Table1[[#This Row],[ID]], Table2[ID], Table2[Enrollment], "Not Found", 0)</f>
        <v>3/17/2020</v>
      </c>
      <c r="T1050" t="s">
        <v>438</v>
      </c>
    </row>
    <row r="1051" spans="1:20" x14ac:dyDescent="0.3">
      <c r="A1051">
        <v>1938</v>
      </c>
      <c r="B1051">
        <v>153700</v>
      </c>
      <c r="C1051">
        <v>0</v>
      </c>
      <c r="D1051">
        <v>1</v>
      </c>
      <c r="E1051">
        <v>68</v>
      </c>
      <c r="F1051">
        <v>0</v>
      </c>
      <c r="G1051">
        <v>0</v>
      </c>
      <c r="H1051">
        <v>1</v>
      </c>
      <c r="I1051">
        <v>0</v>
      </c>
      <c r="J1051">
        <v>0</v>
      </c>
      <c r="K1051">
        <v>0</v>
      </c>
      <c r="L1051">
        <v>1</v>
      </c>
      <c r="M1051">
        <v>0</v>
      </c>
      <c r="N1051">
        <v>0</v>
      </c>
      <c r="O1051" t="str" cm="1">
        <f t="array" ref="O1051">_xlfn.IFS(Table1[[#This Row],[Divorced]]=1, "Divorced", Table1[[#This Row],[Married]]=1, "Married", Table1[[#This Row],[Single]]=1, "Single", Table1[[#This Row],[Together]]=1, "Together", Table1[[#This Row],[Widow]]=1, "Widow")</f>
        <v>Single</v>
      </c>
      <c r="P1051" t="str" cm="1">
        <f t="array" ref="P1051">_xlfn.IFS(Table1[[#This Row],[Basic]]=1, "Basic", Table1[[#This Row],[Graduate]]=1, "Graduate", Table1[[#This Row],[Master]]=1, "Master", Table1[[#This Row],[PhD]]=1, "PhD", AND(Table1[[#This Row],[Basic]]=0, Table1[[#This Row],[Graduate]]=0, Table1[[#This Row],[Master]]=0, Table1[[#This Row],[PhD]]=0), "NA")</f>
        <v>Graduate</v>
      </c>
      <c r="Q1051" t="e">
        <f>_xlfn.XLOOKUP(Table1[[#This Row],[ID]], Table2[ID],#REF!, "Not Found", 0)</f>
        <v>#REF!</v>
      </c>
      <c r="R1051" t="e">
        <f>_xlfn.XLOOKUP(Table1[[#This Row],[ID]], Table2[ID],#REF!, "Not Found", 0)</f>
        <v>#REF!</v>
      </c>
      <c r="S1051" s="3" t="str">
        <f>_xlfn.XLOOKUP(Table1[[#This Row],[ID]], Table2[ID], Table2[Enrollment], "Not Found", 0)</f>
        <v>1/22/2019</v>
      </c>
      <c r="T1051" t="s">
        <v>436</v>
      </c>
    </row>
    <row r="1052" spans="1:20" x14ac:dyDescent="0.3">
      <c r="A1052">
        <v>1489</v>
      </c>
      <c r="B1052">
        <v>153653</v>
      </c>
      <c r="C1052">
        <v>0</v>
      </c>
      <c r="D1052">
        <v>0</v>
      </c>
      <c r="E1052">
        <v>67</v>
      </c>
      <c r="F1052">
        <v>0</v>
      </c>
      <c r="G1052">
        <v>0</v>
      </c>
      <c r="H1052">
        <v>0</v>
      </c>
      <c r="I1052">
        <v>0</v>
      </c>
      <c r="J1052">
        <v>1</v>
      </c>
      <c r="K1052">
        <v>0</v>
      </c>
      <c r="L1052">
        <v>1</v>
      </c>
      <c r="M1052">
        <v>0</v>
      </c>
      <c r="N1052">
        <v>0</v>
      </c>
      <c r="O1052" t="str" cm="1">
        <f t="array" ref="O1052">_xlfn.IFS(Table1[[#This Row],[Divorced]]=1, "Divorced", Table1[[#This Row],[Married]]=1, "Married", Table1[[#This Row],[Single]]=1, "Single", Table1[[#This Row],[Together]]=1, "Together", Table1[[#This Row],[Widow]]=1, "Widow")</f>
        <v>Widow</v>
      </c>
      <c r="P1052" t="str" cm="1">
        <f t="array" ref="P1052">_xlfn.IFS(Table1[[#This Row],[Basic]]=1, "Basic", Table1[[#This Row],[Graduate]]=1, "Graduate", Table1[[#This Row],[Master]]=1, "Master", Table1[[#This Row],[PhD]]=1, "PhD", AND(Table1[[#This Row],[Basic]]=0, Table1[[#This Row],[Graduate]]=0, Table1[[#This Row],[Master]]=0, Table1[[#This Row],[PhD]]=0), "NA")</f>
        <v>Graduate</v>
      </c>
      <c r="Q1052" t="e">
        <f>_xlfn.XLOOKUP(Table1[[#This Row],[ID]], Table2[ID],#REF!, "Not Found", 0)</f>
        <v>#REF!</v>
      </c>
      <c r="R1052" t="e">
        <f>_xlfn.XLOOKUP(Table1[[#This Row],[ID]], Table2[ID],#REF!, "Not Found", 0)</f>
        <v>#REF!</v>
      </c>
      <c r="S1052" s="3" t="str">
        <f>_xlfn.XLOOKUP(Table1[[#This Row],[ID]], Table2[ID], Table2[Enrollment], "Not Found", 0)</f>
        <v>4/14/2019</v>
      </c>
      <c r="T1052" t="s">
        <v>437</v>
      </c>
    </row>
    <row r="1053" spans="1:20" x14ac:dyDescent="0.3">
      <c r="A1053">
        <v>1712</v>
      </c>
      <c r="B1053">
        <v>153593</v>
      </c>
      <c r="C1053">
        <v>1</v>
      </c>
      <c r="D1053">
        <v>1</v>
      </c>
      <c r="E1053">
        <v>67</v>
      </c>
      <c r="F1053">
        <v>0</v>
      </c>
      <c r="G1053">
        <v>0</v>
      </c>
      <c r="H1053">
        <v>0</v>
      </c>
      <c r="I1053">
        <v>1</v>
      </c>
      <c r="J1053">
        <v>0</v>
      </c>
      <c r="K1053">
        <v>0</v>
      </c>
      <c r="L1053">
        <v>0</v>
      </c>
      <c r="M1053">
        <v>0</v>
      </c>
      <c r="N1053">
        <v>1</v>
      </c>
      <c r="O1053" t="str" cm="1">
        <f t="array" ref="O1053">_xlfn.IFS(Table1[[#This Row],[Divorced]]=1, "Divorced", Table1[[#This Row],[Married]]=1, "Married", Table1[[#This Row],[Single]]=1, "Single", Table1[[#This Row],[Together]]=1, "Together", Table1[[#This Row],[Widow]]=1, "Widow")</f>
        <v>Together</v>
      </c>
      <c r="P1053" t="str" cm="1">
        <f t="array" ref="P1053">_xlfn.IFS(Table1[[#This Row],[Basic]]=1, "Basic", Table1[[#This Row],[Graduate]]=1, "Graduate", Table1[[#This Row],[Master]]=1, "Master", Table1[[#This Row],[PhD]]=1, "PhD", AND(Table1[[#This Row],[Basic]]=0, Table1[[#This Row],[Graduate]]=0, Table1[[#This Row],[Master]]=0, Table1[[#This Row],[PhD]]=0), "NA")</f>
        <v>PhD</v>
      </c>
      <c r="Q1053" t="e">
        <f>_xlfn.XLOOKUP(Table1[[#This Row],[ID]], Table2[ID],#REF!, "Not Found", 0)</f>
        <v>#REF!</v>
      </c>
      <c r="R1053" t="e">
        <f>_xlfn.XLOOKUP(Table1[[#This Row],[ID]], Table2[ID],#REF!, "Not Found", 0)</f>
        <v>#REF!</v>
      </c>
      <c r="S1053" s="3">
        <f>_xlfn.XLOOKUP(Table1[[#This Row],[ID]], Table2[ID], Table2[Enrollment], "Not Found", 0)</f>
        <v>43800</v>
      </c>
      <c r="T1053" t="s">
        <v>438</v>
      </c>
    </row>
    <row r="1054" spans="1:20" x14ac:dyDescent="0.3">
      <c r="A1054">
        <v>1162</v>
      </c>
      <c r="B1054">
        <v>153537</v>
      </c>
      <c r="C1054">
        <v>1</v>
      </c>
      <c r="D1054">
        <v>1</v>
      </c>
      <c r="E1054">
        <v>61</v>
      </c>
      <c r="F1054">
        <v>0</v>
      </c>
      <c r="G1054">
        <v>0</v>
      </c>
      <c r="H1054">
        <v>0</v>
      </c>
      <c r="I1054">
        <v>1</v>
      </c>
      <c r="J1054">
        <v>0</v>
      </c>
      <c r="K1054">
        <v>0</v>
      </c>
      <c r="L1054">
        <v>0</v>
      </c>
      <c r="M1054">
        <v>0</v>
      </c>
      <c r="N1054">
        <v>1</v>
      </c>
      <c r="O1054" t="str" cm="1">
        <f t="array" ref="O1054">_xlfn.IFS(Table1[[#This Row],[Divorced]]=1, "Divorced", Table1[[#This Row],[Married]]=1, "Married", Table1[[#This Row],[Single]]=1, "Single", Table1[[#This Row],[Together]]=1, "Together", Table1[[#This Row],[Widow]]=1, "Widow")</f>
        <v>Together</v>
      </c>
      <c r="P1054" t="str" cm="1">
        <f t="array" ref="P1054">_xlfn.IFS(Table1[[#This Row],[Basic]]=1, "Basic", Table1[[#This Row],[Graduate]]=1, "Graduate", Table1[[#This Row],[Master]]=1, "Master", Table1[[#This Row],[PhD]]=1, "PhD", AND(Table1[[#This Row],[Basic]]=0, Table1[[#This Row],[Graduate]]=0, Table1[[#This Row],[Master]]=0, Table1[[#This Row],[PhD]]=0), "NA")</f>
        <v>PhD</v>
      </c>
      <c r="Q1054" t="e">
        <f>_xlfn.XLOOKUP(Table1[[#This Row],[ID]], Table2[ID],#REF!, "Not Found", 0)</f>
        <v>#REF!</v>
      </c>
      <c r="R1054" t="e">
        <f>_xlfn.XLOOKUP(Table1[[#This Row],[ID]], Table2[ID],#REF!, "Not Found", 0)</f>
        <v>#REF!</v>
      </c>
      <c r="S1054" s="3">
        <f>_xlfn.XLOOKUP(Table1[[#This Row],[ID]], Table2[ID], Table2[Enrollment], "Not Found", 0)</f>
        <v>43989</v>
      </c>
      <c r="T1054" t="s">
        <v>439</v>
      </c>
    </row>
    <row r="1055" spans="1:20" x14ac:dyDescent="0.3">
      <c r="A1055">
        <v>2247</v>
      </c>
      <c r="B1055">
        <v>153378</v>
      </c>
      <c r="C1055">
        <v>1</v>
      </c>
      <c r="D1055">
        <v>1</v>
      </c>
      <c r="E1055">
        <v>57</v>
      </c>
      <c r="F1055">
        <v>0</v>
      </c>
      <c r="G1055">
        <v>1</v>
      </c>
      <c r="H1055">
        <v>0</v>
      </c>
      <c r="I1055">
        <v>0</v>
      </c>
      <c r="J1055">
        <v>0</v>
      </c>
      <c r="K1055">
        <v>0</v>
      </c>
      <c r="L1055">
        <v>0</v>
      </c>
      <c r="M1055">
        <v>0</v>
      </c>
      <c r="N1055">
        <v>1</v>
      </c>
      <c r="O1055" t="str" cm="1">
        <f t="array" ref="O1055">_xlfn.IFS(Table1[[#This Row],[Divorced]]=1, "Divorced", Table1[[#This Row],[Married]]=1, "Married", Table1[[#This Row],[Single]]=1, "Single", Table1[[#This Row],[Together]]=1, "Together", Table1[[#This Row],[Widow]]=1, "Widow")</f>
        <v>Married</v>
      </c>
      <c r="P1055" t="str" cm="1">
        <f t="array" ref="P1055">_xlfn.IFS(Table1[[#This Row],[Basic]]=1, "Basic", Table1[[#This Row],[Graduate]]=1, "Graduate", Table1[[#This Row],[Master]]=1, "Master", Table1[[#This Row],[PhD]]=1, "PhD", AND(Table1[[#This Row],[Basic]]=0, Table1[[#This Row],[Graduate]]=0, Table1[[#This Row],[Master]]=0, Table1[[#This Row],[PhD]]=0), "NA")</f>
        <v>PhD</v>
      </c>
      <c r="Q1055" t="e">
        <f>_xlfn.XLOOKUP(Table1[[#This Row],[ID]], Table2[ID],#REF!, "Not Found", 0)</f>
        <v>#REF!</v>
      </c>
      <c r="R1055" t="e">
        <f>_xlfn.XLOOKUP(Table1[[#This Row],[ID]], Table2[ID],#REF!, "Not Found", 0)</f>
        <v>#REF!</v>
      </c>
      <c r="S1055" s="3">
        <f>_xlfn.XLOOKUP(Table1[[#This Row],[ID]], Table2[ID], Table2[Enrollment], "Not Found", 0)</f>
        <v>43468</v>
      </c>
      <c r="T1055" t="s">
        <v>435</v>
      </c>
    </row>
    <row r="1056" spans="1:20" x14ac:dyDescent="0.3">
      <c r="A1056">
        <v>2473</v>
      </c>
      <c r="B1056">
        <v>153374</v>
      </c>
      <c r="C1056">
        <v>0</v>
      </c>
      <c r="D1056">
        <v>1</v>
      </c>
      <c r="E1056">
        <v>51</v>
      </c>
      <c r="F1056">
        <v>0</v>
      </c>
      <c r="G1056">
        <v>0</v>
      </c>
      <c r="H1056">
        <v>0</v>
      </c>
      <c r="I1056">
        <v>1</v>
      </c>
      <c r="J1056">
        <v>0</v>
      </c>
      <c r="K1056">
        <v>0</v>
      </c>
      <c r="L1056">
        <v>0</v>
      </c>
      <c r="M1056">
        <v>0</v>
      </c>
      <c r="N1056">
        <v>1</v>
      </c>
      <c r="O1056" t="str" cm="1">
        <f t="array" ref="O1056">_xlfn.IFS(Table1[[#This Row],[Divorced]]=1, "Divorced", Table1[[#This Row],[Married]]=1, "Married", Table1[[#This Row],[Single]]=1, "Single", Table1[[#This Row],[Together]]=1, "Together", Table1[[#This Row],[Widow]]=1, "Widow")</f>
        <v>Together</v>
      </c>
      <c r="P1056" t="str" cm="1">
        <f t="array" ref="P1056">_xlfn.IFS(Table1[[#This Row],[Basic]]=1, "Basic", Table1[[#This Row],[Graduate]]=1, "Graduate", Table1[[#This Row],[Master]]=1, "Master", Table1[[#This Row],[PhD]]=1, "PhD", AND(Table1[[#This Row],[Basic]]=0, Table1[[#This Row],[Graduate]]=0, Table1[[#This Row],[Master]]=0, Table1[[#This Row],[PhD]]=0), "NA")</f>
        <v>PhD</v>
      </c>
      <c r="Q1056" t="e">
        <f>_xlfn.XLOOKUP(Table1[[#This Row],[ID]], Table2[ID],#REF!, "Not Found", 0)</f>
        <v>#REF!</v>
      </c>
      <c r="R1056" t="e">
        <f>_xlfn.XLOOKUP(Table1[[#This Row],[ID]], Table2[ID],#REF!, "Not Found", 0)</f>
        <v>#REF!</v>
      </c>
      <c r="S1056" s="3" t="str">
        <f>_xlfn.XLOOKUP(Table1[[#This Row],[ID]], Table2[ID], Table2[Enrollment], "Not Found", 0)</f>
        <v>1/21/2019</v>
      </c>
      <c r="T1056" t="s">
        <v>437</v>
      </c>
    </row>
    <row r="1057" spans="1:20" x14ac:dyDescent="0.3">
      <c r="A1057">
        <v>3059</v>
      </c>
      <c r="B1057">
        <v>153367</v>
      </c>
      <c r="C1057">
        <v>1</v>
      </c>
      <c r="D1057">
        <v>1</v>
      </c>
      <c r="E1057">
        <v>46</v>
      </c>
      <c r="F1057">
        <v>1</v>
      </c>
      <c r="G1057">
        <v>0</v>
      </c>
      <c r="H1057">
        <v>0</v>
      </c>
      <c r="I1057">
        <v>0</v>
      </c>
      <c r="J1057">
        <v>0</v>
      </c>
      <c r="K1057">
        <v>0</v>
      </c>
      <c r="L1057">
        <v>0</v>
      </c>
      <c r="M1057">
        <v>1</v>
      </c>
      <c r="N1057">
        <v>0</v>
      </c>
      <c r="O1057" t="str" cm="1">
        <f t="array" ref="O1057">_xlfn.IFS(Table1[[#This Row],[Divorced]]=1, "Divorced", Table1[[#This Row],[Married]]=1, "Married", Table1[[#This Row],[Single]]=1, "Single", Table1[[#This Row],[Together]]=1, "Together", Table1[[#This Row],[Widow]]=1, "Widow")</f>
        <v>Divorced</v>
      </c>
      <c r="P1057" t="str" cm="1">
        <f t="array" ref="P1057">_xlfn.IFS(Table1[[#This Row],[Basic]]=1, "Basic", Table1[[#This Row],[Graduate]]=1, "Graduate", Table1[[#This Row],[Master]]=1, "Master", Table1[[#This Row],[PhD]]=1, "PhD", AND(Table1[[#This Row],[Basic]]=0, Table1[[#This Row],[Graduate]]=0, Table1[[#This Row],[Master]]=0, Table1[[#This Row],[PhD]]=0), "NA")</f>
        <v>Master</v>
      </c>
      <c r="Q1057" t="e">
        <f>_xlfn.XLOOKUP(Table1[[#This Row],[ID]], Table2[ID],#REF!, "Not Found", 0)</f>
        <v>#REF!</v>
      </c>
      <c r="R1057" t="e">
        <f>_xlfn.XLOOKUP(Table1[[#This Row],[ID]], Table2[ID],#REF!, "Not Found", 0)</f>
        <v>#REF!</v>
      </c>
      <c r="S1057" s="3">
        <f>_xlfn.XLOOKUP(Table1[[#This Row],[ID]], Table2[ID], Table2[Enrollment], "Not Found", 0)</f>
        <v>43953</v>
      </c>
      <c r="T1057" t="s">
        <v>434</v>
      </c>
    </row>
    <row r="1058" spans="1:20" x14ac:dyDescent="0.3">
      <c r="A1058">
        <v>1026</v>
      </c>
      <c r="B1058">
        <v>153359</v>
      </c>
      <c r="C1058">
        <v>1</v>
      </c>
      <c r="D1058">
        <v>1</v>
      </c>
      <c r="E1058">
        <v>44</v>
      </c>
      <c r="F1058">
        <v>0</v>
      </c>
      <c r="G1058">
        <v>1</v>
      </c>
      <c r="H1058">
        <v>0</v>
      </c>
      <c r="I1058">
        <v>0</v>
      </c>
      <c r="J1058">
        <v>0</v>
      </c>
      <c r="K1058">
        <v>0</v>
      </c>
      <c r="L1058">
        <v>1</v>
      </c>
      <c r="M1058">
        <v>0</v>
      </c>
      <c r="N1058">
        <v>0</v>
      </c>
      <c r="O1058" t="str" cm="1">
        <f t="array" ref="O1058">_xlfn.IFS(Table1[[#This Row],[Divorced]]=1, "Divorced", Table1[[#This Row],[Married]]=1, "Married", Table1[[#This Row],[Single]]=1, "Single", Table1[[#This Row],[Together]]=1, "Together", Table1[[#This Row],[Widow]]=1, "Widow")</f>
        <v>Married</v>
      </c>
      <c r="P1058" t="str" cm="1">
        <f t="array" ref="P1058">_xlfn.IFS(Table1[[#This Row],[Basic]]=1, "Basic", Table1[[#This Row],[Graduate]]=1, "Graduate", Table1[[#This Row],[Master]]=1, "Master", Table1[[#This Row],[PhD]]=1, "PhD", AND(Table1[[#This Row],[Basic]]=0, Table1[[#This Row],[Graduate]]=0, Table1[[#This Row],[Master]]=0, Table1[[#This Row],[PhD]]=0), "NA")</f>
        <v>Graduate</v>
      </c>
      <c r="Q1058" t="e">
        <f>_xlfn.XLOOKUP(Table1[[#This Row],[ID]], Table2[ID],#REF!, "Not Found", 0)</f>
        <v>#REF!</v>
      </c>
      <c r="R1058" t="e">
        <f>_xlfn.XLOOKUP(Table1[[#This Row],[ID]], Table2[ID],#REF!, "Not Found", 0)</f>
        <v>#REF!</v>
      </c>
      <c r="S1058" s="3">
        <f>_xlfn.XLOOKUP(Table1[[#This Row],[ID]], Table2[ID], Table2[Enrollment], "Not Found", 0)</f>
        <v>43476</v>
      </c>
      <c r="T1058" t="s">
        <v>436</v>
      </c>
    </row>
    <row r="1059" spans="1:20" x14ac:dyDescent="0.3">
      <c r="A1059">
        <v>2038</v>
      </c>
      <c r="B1059">
        <v>153312</v>
      </c>
      <c r="C1059">
        <v>0</v>
      </c>
      <c r="D1059">
        <v>0</v>
      </c>
      <c r="E1059">
        <v>69</v>
      </c>
      <c r="F1059">
        <v>0</v>
      </c>
      <c r="G1059">
        <v>1</v>
      </c>
      <c r="H1059">
        <v>0</v>
      </c>
      <c r="I1059">
        <v>0</v>
      </c>
      <c r="J1059">
        <v>0</v>
      </c>
      <c r="K1059">
        <v>0</v>
      </c>
      <c r="L1059">
        <v>0</v>
      </c>
      <c r="M1059">
        <v>0</v>
      </c>
      <c r="N1059">
        <v>1</v>
      </c>
      <c r="O1059" t="str" cm="1">
        <f t="array" ref="O1059">_xlfn.IFS(Table1[[#This Row],[Divorced]]=1, "Divorced", Table1[[#This Row],[Married]]=1, "Married", Table1[[#This Row],[Single]]=1, "Single", Table1[[#This Row],[Together]]=1, "Together", Table1[[#This Row],[Widow]]=1, "Widow")</f>
        <v>Married</v>
      </c>
      <c r="P1059" t="str" cm="1">
        <f t="array" ref="P1059">_xlfn.IFS(Table1[[#This Row],[Basic]]=1, "Basic", Table1[[#This Row],[Graduate]]=1, "Graduate", Table1[[#This Row],[Master]]=1, "Master", Table1[[#This Row],[PhD]]=1, "PhD", AND(Table1[[#This Row],[Basic]]=0, Table1[[#This Row],[Graduate]]=0, Table1[[#This Row],[Master]]=0, Table1[[#This Row],[PhD]]=0), "NA")</f>
        <v>PhD</v>
      </c>
      <c r="Q1059" t="e">
        <f>_xlfn.XLOOKUP(Table1[[#This Row],[ID]], Table2[ID],#REF!, "Not Found", 0)</f>
        <v>#REF!</v>
      </c>
      <c r="R1059" t="e">
        <f>_xlfn.XLOOKUP(Table1[[#This Row],[ID]], Table2[ID],#REF!, "Not Found", 0)</f>
        <v>#REF!</v>
      </c>
      <c r="S1059" s="3" t="str">
        <f>_xlfn.XLOOKUP(Table1[[#This Row],[ID]], Table2[ID], Table2[Enrollment], "Not Found", 0)</f>
        <v>1/14/2020</v>
      </c>
      <c r="T1059" t="s">
        <v>439</v>
      </c>
    </row>
    <row r="1060" spans="1:20" x14ac:dyDescent="0.3">
      <c r="A1060">
        <v>2476</v>
      </c>
      <c r="B1060">
        <v>153253</v>
      </c>
      <c r="C1060">
        <v>1</v>
      </c>
      <c r="D1060">
        <v>1</v>
      </c>
      <c r="E1060">
        <v>45</v>
      </c>
      <c r="F1060">
        <v>0</v>
      </c>
      <c r="G1060">
        <v>0</v>
      </c>
      <c r="H1060">
        <v>0</v>
      </c>
      <c r="I1060">
        <v>1</v>
      </c>
      <c r="J1060">
        <v>0</v>
      </c>
      <c r="K1060">
        <v>0</v>
      </c>
      <c r="L1060">
        <v>0</v>
      </c>
      <c r="M1060">
        <v>1</v>
      </c>
      <c r="N1060">
        <v>0</v>
      </c>
      <c r="O1060" t="str" cm="1">
        <f t="array" ref="O1060">_xlfn.IFS(Table1[[#This Row],[Divorced]]=1, "Divorced", Table1[[#This Row],[Married]]=1, "Married", Table1[[#This Row],[Single]]=1, "Single", Table1[[#This Row],[Together]]=1, "Together", Table1[[#This Row],[Widow]]=1, "Widow")</f>
        <v>Together</v>
      </c>
      <c r="P1060" t="str" cm="1">
        <f t="array" ref="P1060">_xlfn.IFS(Table1[[#This Row],[Basic]]=1, "Basic", Table1[[#This Row],[Graduate]]=1, "Graduate", Table1[[#This Row],[Master]]=1, "Master", Table1[[#This Row],[PhD]]=1, "PhD", AND(Table1[[#This Row],[Basic]]=0, Table1[[#This Row],[Graduate]]=0, Table1[[#This Row],[Master]]=0, Table1[[#This Row],[PhD]]=0), "NA")</f>
        <v>Master</v>
      </c>
      <c r="Q1060" t="e">
        <f>_xlfn.XLOOKUP(Table1[[#This Row],[ID]], Table2[ID],#REF!, "Not Found", 0)</f>
        <v>#REF!</v>
      </c>
      <c r="R1060" t="e">
        <f>_xlfn.XLOOKUP(Table1[[#This Row],[ID]], Table2[ID],#REF!, "Not Found", 0)</f>
        <v>#REF!</v>
      </c>
      <c r="S1060" s="3" t="str">
        <f>_xlfn.XLOOKUP(Table1[[#This Row],[ID]], Table2[ID], Table2[Enrollment], "Not Found", 0)</f>
        <v>7/19/2019</v>
      </c>
      <c r="T1060" t="s">
        <v>439</v>
      </c>
    </row>
    <row r="1061" spans="1:20" x14ac:dyDescent="0.3">
      <c r="A1061">
        <v>3152</v>
      </c>
      <c r="B1061">
        <v>153233</v>
      </c>
      <c r="C1061">
        <v>0</v>
      </c>
      <c r="D1061">
        <v>1</v>
      </c>
      <c r="E1061">
        <v>63</v>
      </c>
      <c r="F1061">
        <v>0</v>
      </c>
      <c r="G1061">
        <v>1</v>
      </c>
      <c r="H1061">
        <v>0</v>
      </c>
      <c r="I1061">
        <v>0</v>
      </c>
      <c r="J1061">
        <v>0</v>
      </c>
      <c r="K1061">
        <v>0</v>
      </c>
      <c r="L1061">
        <v>0</v>
      </c>
      <c r="M1061">
        <v>0</v>
      </c>
      <c r="N1061">
        <v>0</v>
      </c>
      <c r="O1061" t="str" cm="1">
        <f t="array" ref="O1061">_xlfn.IFS(Table1[[#This Row],[Divorced]]=1, "Divorced", Table1[[#This Row],[Married]]=1, "Married", Table1[[#This Row],[Single]]=1, "Single", Table1[[#This Row],[Together]]=1, "Together", Table1[[#This Row],[Widow]]=1, "Widow")</f>
        <v>Married</v>
      </c>
      <c r="P1061" t="str" cm="1">
        <f t="array" ref="P1061">_xlfn.IFS(Table1[[#This Row],[Basic]]=1, "Basic", Table1[[#This Row],[Graduate]]=1, "Graduate", Table1[[#This Row],[Master]]=1, "Master", Table1[[#This Row],[PhD]]=1, "PhD", AND(Table1[[#This Row],[Basic]]=0, Table1[[#This Row],[Graduate]]=0, Table1[[#This Row],[Master]]=0, Table1[[#This Row],[PhD]]=0), "NA")</f>
        <v>NA</v>
      </c>
      <c r="Q1061" t="e">
        <f>_xlfn.XLOOKUP(Table1[[#This Row],[ID]], Table2[ID],#REF!, "Not Found", 0)</f>
        <v>#REF!</v>
      </c>
      <c r="R1061" t="e">
        <f>_xlfn.XLOOKUP(Table1[[#This Row],[ID]], Table2[ID],#REF!, "Not Found", 0)</f>
        <v>#REF!</v>
      </c>
      <c r="S1061" s="3" t="str">
        <f>_xlfn.XLOOKUP(Table1[[#This Row],[ID]], Table2[ID], Table2[Enrollment], "Not Found", 0)</f>
        <v>8/22/2020</v>
      </c>
      <c r="T1061" t="s">
        <v>438</v>
      </c>
    </row>
    <row r="1062" spans="1:20" x14ac:dyDescent="0.3">
      <c r="A1062">
        <v>3092</v>
      </c>
      <c r="B1062">
        <v>153230</v>
      </c>
      <c r="C1062">
        <v>0</v>
      </c>
      <c r="D1062">
        <v>1</v>
      </c>
      <c r="E1062">
        <v>64</v>
      </c>
      <c r="F1062">
        <v>0</v>
      </c>
      <c r="G1062">
        <v>1</v>
      </c>
      <c r="H1062">
        <v>0</v>
      </c>
      <c r="I1062">
        <v>0</v>
      </c>
      <c r="J1062">
        <v>0</v>
      </c>
      <c r="K1062">
        <v>0</v>
      </c>
      <c r="L1062">
        <v>0</v>
      </c>
      <c r="M1062">
        <v>0</v>
      </c>
      <c r="N1062">
        <v>0</v>
      </c>
      <c r="O1062" t="str" cm="1">
        <f t="array" ref="O1062">_xlfn.IFS(Table1[[#This Row],[Divorced]]=1, "Divorced", Table1[[#This Row],[Married]]=1, "Married", Table1[[#This Row],[Single]]=1, "Single", Table1[[#This Row],[Together]]=1, "Together", Table1[[#This Row],[Widow]]=1, "Widow")</f>
        <v>Married</v>
      </c>
      <c r="P1062" t="str" cm="1">
        <f t="array" ref="P1062">_xlfn.IFS(Table1[[#This Row],[Basic]]=1, "Basic", Table1[[#This Row],[Graduate]]=1, "Graduate", Table1[[#This Row],[Master]]=1, "Master", Table1[[#This Row],[PhD]]=1, "PhD", AND(Table1[[#This Row],[Basic]]=0, Table1[[#This Row],[Graduate]]=0, Table1[[#This Row],[Master]]=0, Table1[[#This Row],[PhD]]=0), "NA")</f>
        <v>NA</v>
      </c>
      <c r="Q1062" t="e">
        <f>_xlfn.XLOOKUP(Table1[[#This Row],[ID]], Table2[ID],#REF!, "Not Found", 0)</f>
        <v>#REF!</v>
      </c>
      <c r="R1062" t="e">
        <f>_xlfn.XLOOKUP(Table1[[#This Row],[ID]], Table2[ID],#REF!, "Not Found", 0)</f>
        <v>#REF!</v>
      </c>
      <c r="S1062" s="3">
        <f>_xlfn.XLOOKUP(Table1[[#This Row],[ID]], Table2[ID], Table2[Enrollment], "Not Found", 0)</f>
        <v>43678</v>
      </c>
      <c r="T1062" t="s">
        <v>438</v>
      </c>
    </row>
    <row r="1063" spans="1:20" x14ac:dyDescent="0.3">
      <c r="A1063">
        <v>3069</v>
      </c>
      <c r="B1063">
        <v>153204</v>
      </c>
      <c r="C1063">
        <v>1</v>
      </c>
      <c r="D1063">
        <v>1</v>
      </c>
      <c r="E1063">
        <v>44</v>
      </c>
      <c r="F1063">
        <v>0</v>
      </c>
      <c r="G1063">
        <v>1</v>
      </c>
      <c r="H1063">
        <v>0</v>
      </c>
      <c r="I1063">
        <v>0</v>
      </c>
      <c r="J1063">
        <v>0</v>
      </c>
      <c r="K1063">
        <v>0</v>
      </c>
      <c r="L1063">
        <v>0</v>
      </c>
      <c r="M1063">
        <v>1</v>
      </c>
      <c r="N1063">
        <v>0</v>
      </c>
      <c r="O1063" t="str" cm="1">
        <f t="array" ref="O1063">_xlfn.IFS(Table1[[#This Row],[Divorced]]=1, "Divorced", Table1[[#This Row],[Married]]=1, "Married", Table1[[#This Row],[Single]]=1, "Single", Table1[[#This Row],[Together]]=1, "Together", Table1[[#This Row],[Widow]]=1, "Widow")</f>
        <v>Married</v>
      </c>
      <c r="P1063" t="str" cm="1">
        <f t="array" ref="P1063">_xlfn.IFS(Table1[[#This Row],[Basic]]=1, "Basic", Table1[[#This Row],[Graduate]]=1, "Graduate", Table1[[#This Row],[Master]]=1, "Master", Table1[[#This Row],[PhD]]=1, "PhD", AND(Table1[[#This Row],[Basic]]=0, Table1[[#This Row],[Graduate]]=0, Table1[[#This Row],[Master]]=0, Table1[[#This Row],[PhD]]=0), "NA")</f>
        <v>Master</v>
      </c>
      <c r="Q1063" t="e">
        <f>_xlfn.XLOOKUP(Table1[[#This Row],[ID]], Table2[ID],#REF!, "Not Found", 0)</f>
        <v>#REF!</v>
      </c>
      <c r="R1063" t="e">
        <f>_xlfn.XLOOKUP(Table1[[#This Row],[ID]], Table2[ID],#REF!, "Not Found", 0)</f>
        <v>#REF!</v>
      </c>
      <c r="S1063" s="3" t="str">
        <f>_xlfn.XLOOKUP(Table1[[#This Row],[ID]], Table2[ID], Table2[Enrollment], "Not Found", 0)</f>
        <v>8/24/2020</v>
      </c>
      <c r="T1063" t="s">
        <v>435</v>
      </c>
    </row>
    <row r="1064" spans="1:20" x14ac:dyDescent="0.3">
      <c r="A1064">
        <v>2959</v>
      </c>
      <c r="B1064">
        <v>153201</v>
      </c>
      <c r="C1064">
        <v>1</v>
      </c>
      <c r="D1064">
        <v>1</v>
      </c>
      <c r="E1064">
        <v>45</v>
      </c>
      <c r="F1064">
        <v>0</v>
      </c>
      <c r="G1064">
        <v>0</v>
      </c>
      <c r="H1064">
        <v>1</v>
      </c>
      <c r="I1064">
        <v>0</v>
      </c>
      <c r="J1064">
        <v>0</v>
      </c>
      <c r="K1064">
        <v>0</v>
      </c>
      <c r="L1064">
        <v>1</v>
      </c>
      <c r="M1064">
        <v>0</v>
      </c>
      <c r="N1064">
        <v>0</v>
      </c>
      <c r="O1064" t="str" cm="1">
        <f t="array" ref="O1064">_xlfn.IFS(Table1[[#This Row],[Divorced]]=1, "Divorced", Table1[[#This Row],[Married]]=1, "Married", Table1[[#This Row],[Single]]=1, "Single", Table1[[#This Row],[Together]]=1, "Together", Table1[[#This Row],[Widow]]=1, "Widow")</f>
        <v>Single</v>
      </c>
      <c r="P1064" t="str" cm="1">
        <f t="array" ref="P1064">_xlfn.IFS(Table1[[#This Row],[Basic]]=1, "Basic", Table1[[#This Row],[Graduate]]=1, "Graduate", Table1[[#This Row],[Master]]=1, "Master", Table1[[#This Row],[PhD]]=1, "PhD", AND(Table1[[#This Row],[Basic]]=0, Table1[[#This Row],[Graduate]]=0, Table1[[#This Row],[Master]]=0, Table1[[#This Row],[PhD]]=0), "NA")</f>
        <v>Graduate</v>
      </c>
      <c r="Q1064" t="e">
        <f>_xlfn.XLOOKUP(Table1[[#This Row],[ID]], Table2[ID],#REF!, "Not Found", 0)</f>
        <v>#REF!</v>
      </c>
      <c r="R1064" t="e">
        <f>_xlfn.XLOOKUP(Table1[[#This Row],[ID]], Table2[ID],#REF!, "Not Found", 0)</f>
        <v>#REF!</v>
      </c>
      <c r="S1064" s="3" t="str">
        <f>_xlfn.XLOOKUP(Table1[[#This Row],[ID]], Table2[ID], Table2[Enrollment], "Not Found", 0)</f>
        <v>7/20/2019</v>
      </c>
      <c r="T1064" t="s">
        <v>437</v>
      </c>
    </row>
    <row r="1065" spans="1:20" x14ac:dyDescent="0.3">
      <c r="A1065">
        <v>2084</v>
      </c>
      <c r="B1065">
        <v>153187</v>
      </c>
      <c r="C1065">
        <v>1</v>
      </c>
      <c r="D1065">
        <v>0</v>
      </c>
      <c r="E1065">
        <v>50</v>
      </c>
      <c r="F1065">
        <v>0</v>
      </c>
      <c r="G1065">
        <v>0</v>
      </c>
      <c r="H1065">
        <v>0</v>
      </c>
      <c r="I1065">
        <v>1</v>
      </c>
      <c r="J1065">
        <v>0</v>
      </c>
      <c r="K1065">
        <v>0</v>
      </c>
      <c r="L1065">
        <v>1</v>
      </c>
      <c r="M1065">
        <v>0</v>
      </c>
      <c r="N1065">
        <v>0</v>
      </c>
      <c r="O1065" t="str" cm="1">
        <f t="array" ref="O1065">_xlfn.IFS(Table1[[#This Row],[Divorced]]=1, "Divorced", Table1[[#This Row],[Married]]=1, "Married", Table1[[#This Row],[Single]]=1, "Single", Table1[[#This Row],[Together]]=1, "Together", Table1[[#This Row],[Widow]]=1, "Widow")</f>
        <v>Together</v>
      </c>
      <c r="P1065" t="str" cm="1">
        <f t="array" ref="P1065">_xlfn.IFS(Table1[[#This Row],[Basic]]=1, "Basic", Table1[[#This Row],[Graduate]]=1, "Graduate", Table1[[#This Row],[Master]]=1, "Master", Table1[[#This Row],[PhD]]=1, "PhD", AND(Table1[[#This Row],[Basic]]=0, Table1[[#This Row],[Graduate]]=0, Table1[[#This Row],[Master]]=0, Table1[[#This Row],[PhD]]=0), "NA")</f>
        <v>Graduate</v>
      </c>
      <c r="Q1065" t="e">
        <f>_xlfn.XLOOKUP(Table1[[#This Row],[ID]], Table2[ID],#REF!, "Not Found", 0)</f>
        <v>#REF!</v>
      </c>
      <c r="R1065" t="e">
        <f>_xlfn.XLOOKUP(Table1[[#This Row],[ID]], Table2[ID],#REF!, "Not Found", 0)</f>
        <v>#REF!</v>
      </c>
      <c r="S1065" s="3">
        <f>_xlfn.XLOOKUP(Table1[[#This Row],[ID]], Table2[ID], Table2[Enrollment], "Not Found", 0)</f>
        <v>43834</v>
      </c>
      <c r="T1065" t="s">
        <v>438</v>
      </c>
    </row>
    <row r="1066" spans="1:20" x14ac:dyDescent="0.3">
      <c r="A1066">
        <v>1849</v>
      </c>
      <c r="B1066">
        <v>153172</v>
      </c>
      <c r="C1066">
        <v>0</v>
      </c>
      <c r="D1066">
        <v>1</v>
      </c>
      <c r="E1066">
        <v>42</v>
      </c>
      <c r="F1066">
        <v>0</v>
      </c>
      <c r="G1066">
        <v>0</v>
      </c>
      <c r="H1066">
        <v>0</v>
      </c>
      <c r="I1066">
        <v>1</v>
      </c>
      <c r="J1066">
        <v>0</v>
      </c>
      <c r="K1066">
        <v>0</v>
      </c>
      <c r="L1066">
        <v>1</v>
      </c>
      <c r="M1066">
        <v>0</v>
      </c>
      <c r="N1066">
        <v>0</v>
      </c>
      <c r="O1066" t="str" cm="1">
        <f t="array" ref="O1066">_xlfn.IFS(Table1[[#This Row],[Divorced]]=1, "Divorced", Table1[[#This Row],[Married]]=1, "Married", Table1[[#This Row],[Single]]=1, "Single", Table1[[#This Row],[Together]]=1, "Together", Table1[[#This Row],[Widow]]=1, "Widow")</f>
        <v>Together</v>
      </c>
      <c r="P1066" t="str" cm="1">
        <f t="array" ref="P1066">_xlfn.IFS(Table1[[#This Row],[Basic]]=1, "Basic", Table1[[#This Row],[Graduate]]=1, "Graduate", Table1[[#This Row],[Master]]=1, "Master", Table1[[#This Row],[PhD]]=1, "PhD", AND(Table1[[#This Row],[Basic]]=0, Table1[[#This Row],[Graduate]]=0, Table1[[#This Row],[Master]]=0, Table1[[#This Row],[PhD]]=0), "NA")</f>
        <v>Graduate</v>
      </c>
      <c r="Q1066" t="e">
        <f>_xlfn.XLOOKUP(Table1[[#This Row],[ID]], Table2[ID],#REF!, "Not Found", 0)</f>
        <v>#REF!</v>
      </c>
      <c r="R1066" t="e">
        <f>_xlfn.XLOOKUP(Table1[[#This Row],[ID]], Table2[ID],#REF!, "Not Found", 0)</f>
        <v>#REF!</v>
      </c>
      <c r="S1066" s="3">
        <f>_xlfn.XLOOKUP(Table1[[#This Row],[ID]], Table2[ID], Table2[Enrollment], "Not Found", 0)</f>
        <v>43779</v>
      </c>
      <c r="T1066" t="s">
        <v>437</v>
      </c>
    </row>
    <row r="1067" spans="1:20" x14ac:dyDescent="0.3">
      <c r="A1067">
        <v>3021</v>
      </c>
      <c r="B1067">
        <v>153154</v>
      </c>
      <c r="C1067">
        <v>0</v>
      </c>
      <c r="D1067">
        <v>1</v>
      </c>
      <c r="E1067">
        <v>61</v>
      </c>
      <c r="F1067">
        <v>0</v>
      </c>
      <c r="G1067">
        <v>1</v>
      </c>
      <c r="H1067">
        <v>0</v>
      </c>
      <c r="I1067">
        <v>0</v>
      </c>
      <c r="J1067">
        <v>0</v>
      </c>
      <c r="K1067">
        <v>0</v>
      </c>
      <c r="L1067">
        <v>1</v>
      </c>
      <c r="M1067">
        <v>0</v>
      </c>
      <c r="N1067">
        <v>0</v>
      </c>
      <c r="O1067" t="str" cm="1">
        <f t="array" ref="O1067">_xlfn.IFS(Table1[[#This Row],[Divorced]]=1, "Divorced", Table1[[#This Row],[Married]]=1, "Married", Table1[[#This Row],[Single]]=1, "Single", Table1[[#This Row],[Together]]=1, "Together", Table1[[#This Row],[Widow]]=1, "Widow")</f>
        <v>Married</v>
      </c>
      <c r="P1067" t="str" cm="1">
        <f t="array" ref="P1067">_xlfn.IFS(Table1[[#This Row],[Basic]]=1, "Basic", Table1[[#This Row],[Graduate]]=1, "Graduate", Table1[[#This Row],[Master]]=1, "Master", Table1[[#This Row],[PhD]]=1, "PhD", AND(Table1[[#This Row],[Basic]]=0, Table1[[#This Row],[Graduate]]=0, Table1[[#This Row],[Master]]=0, Table1[[#This Row],[PhD]]=0), "NA")</f>
        <v>Graduate</v>
      </c>
      <c r="Q1067" t="e">
        <f>_xlfn.XLOOKUP(Table1[[#This Row],[ID]], Table2[ID],#REF!, "Not Found", 0)</f>
        <v>#REF!</v>
      </c>
      <c r="R1067" t="e">
        <f>_xlfn.XLOOKUP(Table1[[#This Row],[ID]], Table2[ID],#REF!, "Not Found", 0)</f>
        <v>#REF!</v>
      </c>
      <c r="S1067" s="3" t="str">
        <f>_xlfn.XLOOKUP(Table1[[#This Row],[ID]], Table2[ID], Table2[Enrollment], "Not Found", 0)</f>
        <v>11/13/2020</v>
      </c>
      <c r="T1067" t="s">
        <v>435</v>
      </c>
    </row>
    <row r="1068" spans="1:20" x14ac:dyDescent="0.3">
      <c r="A1068">
        <v>1960</v>
      </c>
      <c r="B1068">
        <v>153103</v>
      </c>
      <c r="C1068">
        <v>0</v>
      </c>
      <c r="D1068">
        <v>1</v>
      </c>
      <c r="E1068">
        <v>66</v>
      </c>
      <c r="F1068">
        <v>0</v>
      </c>
      <c r="G1068">
        <v>0</v>
      </c>
      <c r="H1068">
        <v>0</v>
      </c>
      <c r="I1068">
        <v>1</v>
      </c>
      <c r="J1068">
        <v>0</v>
      </c>
      <c r="K1068">
        <v>0</v>
      </c>
      <c r="L1068">
        <v>1</v>
      </c>
      <c r="M1068">
        <v>0</v>
      </c>
      <c r="N1068">
        <v>0</v>
      </c>
      <c r="O1068" t="str" cm="1">
        <f t="array" ref="O1068">_xlfn.IFS(Table1[[#This Row],[Divorced]]=1, "Divorced", Table1[[#This Row],[Married]]=1, "Married", Table1[[#This Row],[Single]]=1, "Single", Table1[[#This Row],[Together]]=1, "Together", Table1[[#This Row],[Widow]]=1, "Widow")</f>
        <v>Together</v>
      </c>
      <c r="P1068" t="str" cm="1">
        <f t="array" ref="P1068">_xlfn.IFS(Table1[[#This Row],[Basic]]=1, "Basic", Table1[[#This Row],[Graduate]]=1, "Graduate", Table1[[#This Row],[Master]]=1, "Master", Table1[[#This Row],[PhD]]=1, "PhD", AND(Table1[[#This Row],[Basic]]=0, Table1[[#This Row],[Graduate]]=0, Table1[[#This Row],[Master]]=0, Table1[[#This Row],[PhD]]=0), "NA")</f>
        <v>Graduate</v>
      </c>
      <c r="Q1068" t="e">
        <f>_xlfn.XLOOKUP(Table1[[#This Row],[ID]], Table2[ID],#REF!, "Not Found", 0)</f>
        <v>#REF!</v>
      </c>
      <c r="R1068" t="e">
        <f>_xlfn.XLOOKUP(Table1[[#This Row],[ID]], Table2[ID],#REF!, "Not Found", 0)</f>
        <v>#REF!</v>
      </c>
      <c r="S1068" s="3" t="str">
        <f>_xlfn.XLOOKUP(Table1[[#This Row],[ID]], Table2[ID], Table2[Enrollment], "Not Found", 0)</f>
        <v>2/17/2020</v>
      </c>
      <c r="T1068" t="s">
        <v>439</v>
      </c>
    </row>
    <row r="1069" spans="1:20" x14ac:dyDescent="0.3">
      <c r="A1069">
        <v>2507</v>
      </c>
      <c r="B1069">
        <v>153083</v>
      </c>
      <c r="C1069">
        <v>1</v>
      </c>
      <c r="D1069">
        <v>1</v>
      </c>
      <c r="E1069">
        <v>62</v>
      </c>
      <c r="F1069">
        <v>0</v>
      </c>
      <c r="G1069">
        <v>0</v>
      </c>
      <c r="H1069">
        <v>0</v>
      </c>
      <c r="I1069">
        <v>1</v>
      </c>
      <c r="J1069">
        <v>0</v>
      </c>
      <c r="K1069">
        <v>0</v>
      </c>
      <c r="L1069">
        <v>0</v>
      </c>
      <c r="M1069">
        <v>0</v>
      </c>
      <c r="N1069">
        <v>0</v>
      </c>
      <c r="O1069" t="str" cm="1">
        <f t="array" ref="O1069">_xlfn.IFS(Table1[[#This Row],[Divorced]]=1, "Divorced", Table1[[#This Row],[Married]]=1, "Married", Table1[[#This Row],[Single]]=1, "Single", Table1[[#This Row],[Together]]=1, "Together", Table1[[#This Row],[Widow]]=1, "Widow")</f>
        <v>Together</v>
      </c>
      <c r="P1069" t="str" cm="1">
        <f t="array" ref="P1069">_xlfn.IFS(Table1[[#This Row],[Basic]]=1, "Basic", Table1[[#This Row],[Graduate]]=1, "Graduate", Table1[[#This Row],[Master]]=1, "Master", Table1[[#This Row],[PhD]]=1, "PhD", AND(Table1[[#This Row],[Basic]]=0, Table1[[#This Row],[Graduate]]=0, Table1[[#This Row],[Master]]=0, Table1[[#This Row],[PhD]]=0), "NA")</f>
        <v>NA</v>
      </c>
      <c r="Q1069" t="e">
        <f>_xlfn.XLOOKUP(Table1[[#This Row],[ID]], Table2[ID],#REF!, "Not Found", 0)</f>
        <v>#REF!</v>
      </c>
      <c r="R1069" t="e">
        <f>_xlfn.XLOOKUP(Table1[[#This Row],[ID]], Table2[ID],#REF!, "Not Found", 0)</f>
        <v>#REF!</v>
      </c>
      <c r="S1069" s="3" t="str">
        <f>_xlfn.XLOOKUP(Table1[[#This Row],[ID]], Table2[ID], Table2[Enrollment], "Not Found", 0)</f>
        <v>10/20/2019</v>
      </c>
      <c r="T1069" t="s">
        <v>434</v>
      </c>
    </row>
    <row r="1070" spans="1:20" x14ac:dyDescent="0.3">
      <c r="A1070">
        <v>2342</v>
      </c>
      <c r="B1070">
        <v>153034</v>
      </c>
      <c r="C1070">
        <v>1</v>
      </c>
      <c r="D1070">
        <v>1</v>
      </c>
      <c r="E1070">
        <v>46</v>
      </c>
      <c r="F1070">
        <v>1</v>
      </c>
      <c r="G1070">
        <v>0</v>
      </c>
      <c r="H1070">
        <v>0</v>
      </c>
      <c r="I1070">
        <v>0</v>
      </c>
      <c r="J1070">
        <v>0</v>
      </c>
      <c r="K1070">
        <v>0</v>
      </c>
      <c r="L1070">
        <v>1</v>
      </c>
      <c r="M1070">
        <v>0</v>
      </c>
      <c r="N1070">
        <v>0</v>
      </c>
      <c r="O1070" t="str" cm="1">
        <f t="array" ref="O1070">_xlfn.IFS(Table1[[#This Row],[Divorced]]=1, "Divorced", Table1[[#This Row],[Married]]=1, "Married", Table1[[#This Row],[Single]]=1, "Single", Table1[[#This Row],[Together]]=1, "Together", Table1[[#This Row],[Widow]]=1, "Widow")</f>
        <v>Divorced</v>
      </c>
      <c r="P1070" t="str" cm="1">
        <f t="array" ref="P1070">_xlfn.IFS(Table1[[#This Row],[Basic]]=1, "Basic", Table1[[#This Row],[Graduate]]=1, "Graduate", Table1[[#This Row],[Master]]=1, "Master", Table1[[#This Row],[PhD]]=1, "PhD", AND(Table1[[#This Row],[Basic]]=0, Table1[[#This Row],[Graduate]]=0, Table1[[#This Row],[Master]]=0, Table1[[#This Row],[PhD]]=0), "NA")</f>
        <v>Graduate</v>
      </c>
      <c r="Q1070" t="e">
        <f>_xlfn.XLOOKUP(Table1[[#This Row],[ID]], Table2[ID],#REF!, "Not Found", 0)</f>
        <v>#REF!</v>
      </c>
      <c r="R1070" t="e">
        <f>_xlfn.XLOOKUP(Table1[[#This Row],[ID]], Table2[ID],#REF!, "Not Found", 0)</f>
        <v>#REF!</v>
      </c>
      <c r="S1070" s="3">
        <f>_xlfn.XLOOKUP(Table1[[#This Row],[ID]], Table2[ID], Table2[Enrollment], "Not Found", 0)</f>
        <v>43566</v>
      </c>
      <c r="T1070" t="s">
        <v>438</v>
      </c>
    </row>
    <row r="1071" spans="1:20" x14ac:dyDescent="0.3">
      <c r="A1071">
        <v>2595</v>
      </c>
      <c r="B1071">
        <v>152973</v>
      </c>
      <c r="C1071">
        <v>0</v>
      </c>
      <c r="D1071">
        <v>1</v>
      </c>
      <c r="E1071">
        <v>64</v>
      </c>
      <c r="F1071">
        <v>0</v>
      </c>
      <c r="G1071">
        <v>1</v>
      </c>
      <c r="H1071">
        <v>0</v>
      </c>
      <c r="I1071">
        <v>0</v>
      </c>
      <c r="J1071">
        <v>0</v>
      </c>
      <c r="K1071">
        <v>0</v>
      </c>
      <c r="L1071">
        <v>0</v>
      </c>
      <c r="M1071">
        <v>1</v>
      </c>
      <c r="N1071">
        <v>0</v>
      </c>
      <c r="O1071" t="str" cm="1">
        <f t="array" ref="O1071">_xlfn.IFS(Table1[[#This Row],[Divorced]]=1, "Divorced", Table1[[#This Row],[Married]]=1, "Married", Table1[[#This Row],[Single]]=1, "Single", Table1[[#This Row],[Together]]=1, "Together", Table1[[#This Row],[Widow]]=1, "Widow")</f>
        <v>Married</v>
      </c>
      <c r="P1071" t="str" cm="1">
        <f t="array" ref="P1071">_xlfn.IFS(Table1[[#This Row],[Basic]]=1, "Basic", Table1[[#This Row],[Graduate]]=1, "Graduate", Table1[[#This Row],[Master]]=1, "Master", Table1[[#This Row],[PhD]]=1, "PhD", AND(Table1[[#This Row],[Basic]]=0, Table1[[#This Row],[Graduate]]=0, Table1[[#This Row],[Master]]=0, Table1[[#This Row],[PhD]]=0), "NA")</f>
        <v>Master</v>
      </c>
      <c r="Q1071" t="e">
        <f>_xlfn.XLOOKUP(Table1[[#This Row],[ID]], Table2[ID],#REF!, "Not Found", 0)</f>
        <v>#REF!</v>
      </c>
      <c r="R1071" t="e">
        <f>_xlfn.XLOOKUP(Table1[[#This Row],[ID]], Table2[ID],#REF!, "Not Found", 0)</f>
        <v>#REF!</v>
      </c>
      <c r="S1071" s="3" t="str">
        <f>_xlfn.XLOOKUP(Table1[[#This Row],[ID]], Table2[ID], Table2[Enrollment], "Not Found", 0)</f>
        <v>4/15/2019</v>
      </c>
      <c r="T1071" t="s">
        <v>435</v>
      </c>
    </row>
    <row r="1072" spans="1:20" x14ac:dyDescent="0.3">
      <c r="A1072">
        <v>3146</v>
      </c>
      <c r="B1072">
        <v>152914</v>
      </c>
      <c r="C1072">
        <v>0</v>
      </c>
      <c r="D1072">
        <v>1</v>
      </c>
      <c r="E1072">
        <v>49</v>
      </c>
      <c r="F1072">
        <v>0</v>
      </c>
      <c r="G1072">
        <v>1</v>
      </c>
      <c r="H1072">
        <v>0</v>
      </c>
      <c r="I1072">
        <v>0</v>
      </c>
      <c r="J1072">
        <v>0</v>
      </c>
      <c r="K1072">
        <v>0</v>
      </c>
      <c r="L1072">
        <v>1</v>
      </c>
      <c r="M1072">
        <v>0</v>
      </c>
      <c r="N1072">
        <v>0</v>
      </c>
      <c r="O1072" t="str" cm="1">
        <f t="array" ref="O1072">_xlfn.IFS(Table1[[#This Row],[Divorced]]=1, "Divorced", Table1[[#This Row],[Married]]=1, "Married", Table1[[#This Row],[Single]]=1, "Single", Table1[[#This Row],[Together]]=1, "Together", Table1[[#This Row],[Widow]]=1, "Widow")</f>
        <v>Married</v>
      </c>
      <c r="P1072" t="str" cm="1">
        <f t="array" ref="P1072">_xlfn.IFS(Table1[[#This Row],[Basic]]=1, "Basic", Table1[[#This Row],[Graduate]]=1, "Graduate", Table1[[#This Row],[Master]]=1, "Master", Table1[[#This Row],[PhD]]=1, "PhD", AND(Table1[[#This Row],[Basic]]=0, Table1[[#This Row],[Graduate]]=0, Table1[[#This Row],[Master]]=0, Table1[[#This Row],[PhD]]=0), "NA")</f>
        <v>Graduate</v>
      </c>
      <c r="Q1072" t="e">
        <f>_xlfn.XLOOKUP(Table1[[#This Row],[ID]], Table2[ID],#REF!, "Not Found", 0)</f>
        <v>#REF!</v>
      </c>
      <c r="R1072" t="e">
        <f>_xlfn.XLOOKUP(Table1[[#This Row],[ID]], Table2[ID],#REF!, "Not Found", 0)</f>
        <v>#REF!</v>
      </c>
      <c r="S1072" s="3" t="str">
        <f>_xlfn.XLOOKUP(Table1[[#This Row],[ID]], Table2[ID], Table2[Enrollment], "Not Found", 0)</f>
        <v>6/14/2019</v>
      </c>
      <c r="T1072" t="s">
        <v>438</v>
      </c>
    </row>
    <row r="1073" spans="1:20" x14ac:dyDescent="0.3">
      <c r="A1073">
        <v>3205</v>
      </c>
      <c r="B1073">
        <v>152869</v>
      </c>
      <c r="C1073">
        <v>1</v>
      </c>
      <c r="D1073">
        <v>1</v>
      </c>
      <c r="E1073">
        <v>66</v>
      </c>
      <c r="F1073">
        <v>0</v>
      </c>
      <c r="G1073">
        <v>1</v>
      </c>
      <c r="H1073">
        <v>0</v>
      </c>
      <c r="I1073">
        <v>0</v>
      </c>
      <c r="J1073">
        <v>0</v>
      </c>
      <c r="K1073">
        <v>0</v>
      </c>
      <c r="L1073">
        <v>0</v>
      </c>
      <c r="M1073">
        <v>0</v>
      </c>
      <c r="N1073">
        <v>1</v>
      </c>
      <c r="O1073" t="str" cm="1">
        <f t="array" ref="O1073">_xlfn.IFS(Table1[[#This Row],[Divorced]]=1, "Divorced", Table1[[#This Row],[Married]]=1, "Married", Table1[[#This Row],[Single]]=1, "Single", Table1[[#This Row],[Together]]=1, "Together", Table1[[#This Row],[Widow]]=1, "Widow")</f>
        <v>Married</v>
      </c>
      <c r="P1073" t="str" cm="1">
        <f t="array" ref="P1073">_xlfn.IFS(Table1[[#This Row],[Basic]]=1, "Basic", Table1[[#This Row],[Graduate]]=1, "Graduate", Table1[[#This Row],[Master]]=1, "Master", Table1[[#This Row],[PhD]]=1, "PhD", AND(Table1[[#This Row],[Basic]]=0, Table1[[#This Row],[Graduate]]=0, Table1[[#This Row],[Master]]=0, Table1[[#This Row],[PhD]]=0), "NA")</f>
        <v>PhD</v>
      </c>
      <c r="Q1073" t="e">
        <f>_xlfn.XLOOKUP(Table1[[#This Row],[ID]], Table2[ID],#REF!, "Not Found", 0)</f>
        <v>#REF!</v>
      </c>
      <c r="R1073" t="e">
        <f>_xlfn.XLOOKUP(Table1[[#This Row],[ID]], Table2[ID],#REF!, "Not Found", 0)</f>
        <v>#REF!</v>
      </c>
      <c r="S1073" s="3" t="str">
        <f>_xlfn.XLOOKUP(Table1[[#This Row],[ID]], Table2[ID], Table2[Enrollment], "Not Found", 0)</f>
        <v>3/22/2019</v>
      </c>
      <c r="T1073" t="s">
        <v>437</v>
      </c>
    </row>
    <row r="1074" spans="1:20" x14ac:dyDescent="0.3">
      <c r="A1074">
        <v>2608</v>
      </c>
      <c r="B1074">
        <v>152854</v>
      </c>
      <c r="C1074">
        <v>1</v>
      </c>
      <c r="D1074">
        <v>1</v>
      </c>
      <c r="E1074">
        <v>61</v>
      </c>
      <c r="F1074">
        <v>0</v>
      </c>
      <c r="G1074">
        <v>1</v>
      </c>
      <c r="H1074">
        <v>0</v>
      </c>
      <c r="I1074">
        <v>0</v>
      </c>
      <c r="J1074">
        <v>0</v>
      </c>
      <c r="K1074">
        <v>0</v>
      </c>
      <c r="L1074">
        <v>0</v>
      </c>
      <c r="M1074">
        <v>0</v>
      </c>
      <c r="N1074">
        <v>1</v>
      </c>
      <c r="O1074" t="str" cm="1">
        <f t="array" ref="O1074">_xlfn.IFS(Table1[[#This Row],[Divorced]]=1, "Divorced", Table1[[#This Row],[Married]]=1, "Married", Table1[[#This Row],[Single]]=1, "Single", Table1[[#This Row],[Together]]=1, "Together", Table1[[#This Row],[Widow]]=1, "Widow")</f>
        <v>Married</v>
      </c>
      <c r="P1074" t="str" cm="1">
        <f t="array" ref="P1074">_xlfn.IFS(Table1[[#This Row],[Basic]]=1, "Basic", Table1[[#This Row],[Graduate]]=1, "Graduate", Table1[[#This Row],[Master]]=1, "Master", Table1[[#This Row],[PhD]]=1, "PhD", AND(Table1[[#This Row],[Basic]]=0, Table1[[#This Row],[Graduate]]=0, Table1[[#This Row],[Master]]=0, Table1[[#This Row],[PhD]]=0), "NA")</f>
        <v>PhD</v>
      </c>
      <c r="Q1074" t="e">
        <f>_xlfn.XLOOKUP(Table1[[#This Row],[ID]], Table2[ID],#REF!, "Not Found", 0)</f>
        <v>#REF!</v>
      </c>
      <c r="R1074" t="e">
        <f>_xlfn.XLOOKUP(Table1[[#This Row],[ID]], Table2[ID],#REF!, "Not Found", 0)</f>
        <v>#REF!</v>
      </c>
      <c r="S1074" s="3" t="str">
        <f>_xlfn.XLOOKUP(Table1[[#This Row],[ID]], Table2[ID], Table2[Enrollment], "Not Found", 0)</f>
        <v>8/28/2020</v>
      </c>
      <c r="T1074" t="s">
        <v>439</v>
      </c>
    </row>
    <row r="1075" spans="1:20" x14ac:dyDescent="0.3">
      <c r="A1075">
        <v>2423</v>
      </c>
      <c r="B1075">
        <v>152852</v>
      </c>
      <c r="C1075">
        <v>0</v>
      </c>
      <c r="D1075">
        <v>1</v>
      </c>
      <c r="E1075">
        <v>63</v>
      </c>
      <c r="F1075">
        <v>0</v>
      </c>
      <c r="G1075">
        <v>1</v>
      </c>
      <c r="H1075">
        <v>0</v>
      </c>
      <c r="I1075">
        <v>0</v>
      </c>
      <c r="J1075">
        <v>0</v>
      </c>
      <c r="K1075">
        <v>0</v>
      </c>
      <c r="L1075">
        <v>1</v>
      </c>
      <c r="M1075">
        <v>0</v>
      </c>
      <c r="N1075">
        <v>0</v>
      </c>
      <c r="O1075" t="str" cm="1">
        <f t="array" ref="O1075">_xlfn.IFS(Table1[[#This Row],[Divorced]]=1, "Divorced", Table1[[#This Row],[Married]]=1, "Married", Table1[[#This Row],[Single]]=1, "Single", Table1[[#This Row],[Together]]=1, "Together", Table1[[#This Row],[Widow]]=1, "Widow")</f>
        <v>Married</v>
      </c>
      <c r="P1075" t="str" cm="1">
        <f t="array" ref="P1075">_xlfn.IFS(Table1[[#This Row],[Basic]]=1, "Basic", Table1[[#This Row],[Graduate]]=1, "Graduate", Table1[[#This Row],[Master]]=1, "Master", Table1[[#This Row],[PhD]]=1, "PhD", AND(Table1[[#This Row],[Basic]]=0, Table1[[#This Row],[Graduate]]=0, Table1[[#This Row],[Master]]=0, Table1[[#This Row],[PhD]]=0), "NA")</f>
        <v>Graduate</v>
      </c>
      <c r="Q1075" t="e">
        <f>_xlfn.XLOOKUP(Table1[[#This Row],[ID]], Table2[ID],#REF!, "Not Found", 0)</f>
        <v>#REF!</v>
      </c>
      <c r="R1075" t="e">
        <f>_xlfn.XLOOKUP(Table1[[#This Row],[ID]], Table2[ID],#REF!, "Not Found", 0)</f>
        <v>#REF!</v>
      </c>
      <c r="S1075" s="3">
        <f>_xlfn.XLOOKUP(Table1[[#This Row],[ID]], Table2[ID], Table2[Enrollment], "Not Found", 0)</f>
        <v>43682</v>
      </c>
      <c r="T1075" t="s">
        <v>434</v>
      </c>
    </row>
    <row r="1076" spans="1:20" x14ac:dyDescent="0.3">
      <c r="A1076">
        <v>1979</v>
      </c>
      <c r="B1076">
        <v>152845</v>
      </c>
      <c r="C1076">
        <v>1</v>
      </c>
      <c r="D1076">
        <v>0</v>
      </c>
      <c r="E1076">
        <v>47</v>
      </c>
      <c r="F1076">
        <v>0</v>
      </c>
      <c r="G1076">
        <v>1</v>
      </c>
      <c r="H1076">
        <v>0</v>
      </c>
      <c r="I1076">
        <v>0</v>
      </c>
      <c r="J1076">
        <v>0</v>
      </c>
      <c r="K1076">
        <v>0</v>
      </c>
      <c r="L1076">
        <v>1</v>
      </c>
      <c r="M1076">
        <v>0</v>
      </c>
      <c r="N1076">
        <v>0</v>
      </c>
      <c r="O1076" t="str" cm="1">
        <f t="array" ref="O1076">_xlfn.IFS(Table1[[#This Row],[Divorced]]=1, "Divorced", Table1[[#This Row],[Married]]=1, "Married", Table1[[#This Row],[Single]]=1, "Single", Table1[[#This Row],[Together]]=1, "Together", Table1[[#This Row],[Widow]]=1, "Widow")</f>
        <v>Married</v>
      </c>
      <c r="P1076" t="str" cm="1">
        <f t="array" ref="P1076">_xlfn.IFS(Table1[[#This Row],[Basic]]=1, "Basic", Table1[[#This Row],[Graduate]]=1, "Graduate", Table1[[#This Row],[Master]]=1, "Master", Table1[[#This Row],[PhD]]=1, "PhD", AND(Table1[[#This Row],[Basic]]=0, Table1[[#This Row],[Graduate]]=0, Table1[[#This Row],[Master]]=0, Table1[[#This Row],[PhD]]=0), "NA")</f>
        <v>Graduate</v>
      </c>
      <c r="Q1076" t="e">
        <f>_xlfn.XLOOKUP(Table1[[#This Row],[ID]], Table2[ID],#REF!, "Not Found", 0)</f>
        <v>#REF!</v>
      </c>
      <c r="R1076" t="e">
        <f>_xlfn.XLOOKUP(Table1[[#This Row],[ID]], Table2[ID],#REF!, "Not Found", 0)</f>
        <v>#REF!</v>
      </c>
      <c r="S1076" s="3" t="str">
        <f>_xlfn.XLOOKUP(Table1[[#This Row],[ID]], Table2[ID], Table2[Enrollment], "Not Found", 0)</f>
        <v>1/18/2020</v>
      </c>
      <c r="T1076" t="s">
        <v>434</v>
      </c>
    </row>
    <row r="1077" spans="1:20" x14ac:dyDescent="0.3">
      <c r="A1077">
        <v>1794</v>
      </c>
      <c r="B1077">
        <v>152750</v>
      </c>
      <c r="C1077">
        <v>0</v>
      </c>
      <c r="D1077">
        <v>1</v>
      </c>
      <c r="E1077">
        <v>65</v>
      </c>
      <c r="F1077">
        <v>0</v>
      </c>
      <c r="G1077">
        <v>1</v>
      </c>
      <c r="H1077">
        <v>0</v>
      </c>
      <c r="I1077">
        <v>0</v>
      </c>
      <c r="J1077">
        <v>0</v>
      </c>
      <c r="K1077">
        <v>0</v>
      </c>
      <c r="L1077">
        <v>0</v>
      </c>
      <c r="M1077">
        <v>1</v>
      </c>
      <c r="N1077">
        <v>0</v>
      </c>
      <c r="O1077" t="str" cm="1">
        <f t="array" ref="O1077">_xlfn.IFS(Table1[[#This Row],[Divorced]]=1, "Divorced", Table1[[#This Row],[Married]]=1, "Married", Table1[[#This Row],[Single]]=1, "Single", Table1[[#This Row],[Together]]=1, "Together", Table1[[#This Row],[Widow]]=1, "Widow")</f>
        <v>Married</v>
      </c>
      <c r="P1077" t="str" cm="1">
        <f t="array" ref="P1077">_xlfn.IFS(Table1[[#This Row],[Basic]]=1, "Basic", Table1[[#This Row],[Graduate]]=1, "Graduate", Table1[[#This Row],[Master]]=1, "Master", Table1[[#This Row],[PhD]]=1, "PhD", AND(Table1[[#This Row],[Basic]]=0, Table1[[#This Row],[Graduate]]=0, Table1[[#This Row],[Master]]=0, Table1[[#This Row],[PhD]]=0), "NA")</f>
        <v>Master</v>
      </c>
      <c r="Q1077" t="e">
        <f>_xlfn.XLOOKUP(Table1[[#This Row],[ID]], Table2[ID],#REF!, "Not Found", 0)</f>
        <v>#REF!</v>
      </c>
      <c r="R1077" t="e">
        <f>_xlfn.XLOOKUP(Table1[[#This Row],[ID]], Table2[ID],#REF!, "Not Found", 0)</f>
        <v>#REF!</v>
      </c>
      <c r="S1077" s="3">
        <f>_xlfn.XLOOKUP(Table1[[#This Row],[ID]], Table2[ID], Table2[Enrollment], "Not Found", 0)</f>
        <v>43806</v>
      </c>
      <c r="T1077" t="s">
        <v>436</v>
      </c>
    </row>
    <row r="1078" spans="1:20" x14ac:dyDescent="0.3">
      <c r="A1078">
        <v>1353</v>
      </c>
      <c r="B1078">
        <v>152614</v>
      </c>
      <c r="C1078">
        <v>0</v>
      </c>
      <c r="D1078">
        <v>1</v>
      </c>
      <c r="E1078">
        <v>45</v>
      </c>
      <c r="F1078">
        <v>0</v>
      </c>
      <c r="G1078">
        <v>0</v>
      </c>
      <c r="H1078">
        <v>1</v>
      </c>
      <c r="I1078">
        <v>0</v>
      </c>
      <c r="J1078">
        <v>0</v>
      </c>
      <c r="K1078">
        <v>0</v>
      </c>
      <c r="L1078">
        <v>0</v>
      </c>
      <c r="M1078">
        <v>0</v>
      </c>
      <c r="N1078">
        <v>1</v>
      </c>
      <c r="O1078" t="str" cm="1">
        <f t="array" ref="O1078">_xlfn.IFS(Table1[[#This Row],[Divorced]]=1, "Divorced", Table1[[#This Row],[Married]]=1, "Married", Table1[[#This Row],[Single]]=1, "Single", Table1[[#This Row],[Together]]=1, "Together", Table1[[#This Row],[Widow]]=1, "Widow")</f>
        <v>Single</v>
      </c>
      <c r="P1078" t="str" cm="1">
        <f t="array" ref="P1078">_xlfn.IFS(Table1[[#This Row],[Basic]]=1, "Basic", Table1[[#This Row],[Graduate]]=1, "Graduate", Table1[[#This Row],[Master]]=1, "Master", Table1[[#This Row],[PhD]]=1, "PhD", AND(Table1[[#This Row],[Basic]]=0, Table1[[#This Row],[Graduate]]=0, Table1[[#This Row],[Master]]=0, Table1[[#This Row],[PhD]]=0), "NA")</f>
        <v>PhD</v>
      </c>
      <c r="Q1078" t="e">
        <f>_xlfn.XLOOKUP(Table1[[#This Row],[ID]], Table2[ID],#REF!, "Not Found", 0)</f>
        <v>#REF!</v>
      </c>
      <c r="R1078" t="e">
        <f>_xlfn.XLOOKUP(Table1[[#This Row],[ID]], Table2[ID],#REF!, "Not Found", 0)</f>
        <v>#REF!</v>
      </c>
      <c r="S1078" s="3">
        <f>_xlfn.XLOOKUP(Table1[[#This Row],[ID]], Table2[ID], Table2[Enrollment], "Not Found", 0)</f>
        <v>43682</v>
      </c>
      <c r="T1078" t="s">
        <v>435</v>
      </c>
    </row>
    <row r="1079" spans="1:20" x14ac:dyDescent="0.3">
      <c r="A1079">
        <v>1656</v>
      </c>
      <c r="B1079">
        <v>152614</v>
      </c>
      <c r="C1079">
        <v>0</v>
      </c>
      <c r="D1079">
        <v>1</v>
      </c>
      <c r="E1079">
        <v>45</v>
      </c>
      <c r="F1079">
        <v>0</v>
      </c>
      <c r="G1079">
        <v>0</v>
      </c>
      <c r="H1079">
        <v>1</v>
      </c>
      <c r="I1079">
        <v>0</v>
      </c>
      <c r="J1079">
        <v>0</v>
      </c>
      <c r="K1079">
        <v>0</v>
      </c>
      <c r="L1079">
        <v>0</v>
      </c>
      <c r="M1079">
        <v>0</v>
      </c>
      <c r="N1079">
        <v>1</v>
      </c>
      <c r="O1079" t="str" cm="1">
        <f t="array" ref="O1079">_xlfn.IFS(Table1[[#This Row],[Divorced]]=1, "Divorced", Table1[[#This Row],[Married]]=1, "Married", Table1[[#This Row],[Single]]=1, "Single", Table1[[#This Row],[Together]]=1, "Together", Table1[[#This Row],[Widow]]=1, "Widow")</f>
        <v>Single</v>
      </c>
      <c r="P1079" t="str" cm="1">
        <f t="array" ref="P1079">_xlfn.IFS(Table1[[#This Row],[Basic]]=1, "Basic", Table1[[#This Row],[Graduate]]=1, "Graduate", Table1[[#This Row],[Master]]=1, "Master", Table1[[#This Row],[PhD]]=1, "PhD", AND(Table1[[#This Row],[Basic]]=0, Table1[[#This Row],[Graduate]]=0, Table1[[#This Row],[Master]]=0, Table1[[#This Row],[PhD]]=0), "NA")</f>
        <v>PhD</v>
      </c>
      <c r="Q1079" t="e">
        <f>_xlfn.XLOOKUP(Table1[[#This Row],[ID]], Table2[ID],#REF!, "Not Found", 0)</f>
        <v>#REF!</v>
      </c>
      <c r="R1079" t="e">
        <f>_xlfn.XLOOKUP(Table1[[#This Row],[ID]], Table2[ID],#REF!, "Not Found", 0)</f>
        <v>#REF!</v>
      </c>
      <c r="S1079" s="3">
        <f>_xlfn.XLOOKUP(Table1[[#This Row],[ID]], Table2[ID], Table2[Enrollment], "Not Found", 0)</f>
        <v>43682</v>
      </c>
      <c r="T1079" t="s">
        <v>436</v>
      </c>
    </row>
    <row r="1080" spans="1:20" x14ac:dyDescent="0.3">
      <c r="A1080">
        <v>1942</v>
      </c>
      <c r="B1080">
        <v>152597</v>
      </c>
      <c r="C1080">
        <v>0</v>
      </c>
      <c r="D1080">
        <v>1</v>
      </c>
      <c r="E1080">
        <v>58</v>
      </c>
      <c r="F1080">
        <v>0</v>
      </c>
      <c r="G1080">
        <v>0</v>
      </c>
      <c r="H1080">
        <v>1</v>
      </c>
      <c r="I1080">
        <v>0</v>
      </c>
      <c r="J1080">
        <v>0</v>
      </c>
      <c r="K1080">
        <v>0</v>
      </c>
      <c r="L1080">
        <v>0</v>
      </c>
      <c r="M1080">
        <v>0</v>
      </c>
      <c r="N1080">
        <v>1</v>
      </c>
      <c r="O1080" t="str" cm="1">
        <f t="array" ref="O1080">_xlfn.IFS(Table1[[#This Row],[Divorced]]=1, "Divorced", Table1[[#This Row],[Married]]=1, "Married", Table1[[#This Row],[Single]]=1, "Single", Table1[[#This Row],[Together]]=1, "Together", Table1[[#This Row],[Widow]]=1, "Widow")</f>
        <v>Single</v>
      </c>
      <c r="P1080" t="str" cm="1">
        <f t="array" ref="P1080">_xlfn.IFS(Table1[[#This Row],[Basic]]=1, "Basic", Table1[[#This Row],[Graduate]]=1, "Graduate", Table1[[#This Row],[Master]]=1, "Master", Table1[[#This Row],[PhD]]=1, "PhD", AND(Table1[[#This Row],[Basic]]=0, Table1[[#This Row],[Graduate]]=0, Table1[[#This Row],[Master]]=0, Table1[[#This Row],[PhD]]=0), "NA")</f>
        <v>PhD</v>
      </c>
      <c r="Q1080" t="e">
        <f>_xlfn.XLOOKUP(Table1[[#This Row],[ID]], Table2[ID],#REF!, "Not Found", 0)</f>
        <v>#REF!</v>
      </c>
      <c r="R1080" t="e">
        <f>_xlfn.XLOOKUP(Table1[[#This Row],[ID]], Table2[ID],#REF!, "Not Found", 0)</f>
        <v>#REF!</v>
      </c>
      <c r="S1080" s="3">
        <f>_xlfn.XLOOKUP(Table1[[#This Row],[ID]], Table2[ID], Table2[Enrollment], "Not Found", 0)</f>
        <v>44145</v>
      </c>
      <c r="T1080" t="s">
        <v>439</v>
      </c>
    </row>
    <row r="1081" spans="1:20" x14ac:dyDescent="0.3">
      <c r="A1081">
        <v>2570</v>
      </c>
      <c r="B1081">
        <v>152569</v>
      </c>
      <c r="C1081">
        <v>0</v>
      </c>
      <c r="D1081">
        <v>1</v>
      </c>
      <c r="E1081">
        <v>53</v>
      </c>
      <c r="F1081">
        <v>0</v>
      </c>
      <c r="G1081">
        <v>0</v>
      </c>
      <c r="H1081">
        <v>1</v>
      </c>
      <c r="I1081">
        <v>0</v>
      </c>
      <c r="J1081">
        <v>0</v>
      </c>
      <c r="K1081">
        <v>0</v>
      </c>
      <c r="L1081">
        <v>0</v>
      </c>
      <c r="M1081">
        <v>0</v>
      </c>
      <c r="N1081">
        <v>1</v>
      </c>
      <c r="O1081" t="str" cm="1">
        <f t="array" ref="O1081">_xlfn.IFS(Table1[[#This Row],[Divorced]]=1, "Divorced", Table1[[#This Row],[Married]]=1, "Married", Table1[[#This Row],[Single]]=1, "Single", Table1[[#This Row],[Together]]=1, "Together", Table1[[#This Row],[Widow]]=1, "Widow")</f>
        <v>Single</v>
      </c>
      <c r="P1081" t="str" cm="1">
        <f t="array" ref="P1081">_xlfn.IFS(Table1[[#This Row],[Basic]]=1, "Basic", Table1[[#This Row],[Graduate]]=1, "Graduate", Table1[[#This Row],[Master]]=1, "Master", Table1[[#This Row],[PhD]]=1, "PhD", AND(Table1[[#This Row],[Basic]]=0, Table1[[#This Row],[Graduate]]=0, Table1[[#This Row],[Master]]=0, Table1[[#This Row],[PhD]]=0), "NA")</f>
        <v>PhD</v>
      </c>
      <c r="Q1081" t="e">
        <f>_xlfn.XLOOKUP(Table1[[#This Row],[ID]], Table2[ID],#REF!, "Not Found", 0)</f>
        <v>#REF!</v>
      </c>
      <c r="R1081" t="e">
        <f>_xlfn.XLOOKUP(Table1[[#This Row],[ID]], Table2[ID],#REF!, "Not Found", 0)</f>
        <v>#REF!</v>
      </c>
      <c r="S1081" s="3">
        <f>_xlfn.XLOOKUP(Table1[[#This Row],[ID]], Table2[ID], Table2[Enrollment], "Not Found", 0)</f>
        <v>44083</v>
      </c>
      <c r="T1081" t="s">
        <v>438</v>
      </c>
    </row>
    <row r="1082" spans="1:20" x14ac:dyDescent="0.3">
      <c r="A1082">
        <v>2270</v>
      </c>
      <c r="B1082">
        <v>152531</v>
      </c>
      <c r="C1082">
        <v>0</v>
      </c>
      <c r="D1082">
        <v>0</v>
      </c>
      <c r="E1082">
        <v>49</v>
      </c>
      <c r="F1082">
        <v>0</v>
      </c>
      <c r="G1082">
        <v>1</v>
      </c>
      <c r="H1082">
        <v>0</v>
      </c>
      <c r="I1082">
        <v>0</v>
      </c>
      <c r="J1082">
        <v>0</v>
      </c>
      <c r="K1082">
        <v>0</v>
      </c>
      <c r="L1082">
        <v>1</v>
      </c>
      <c r="M1082">
        <v>0</v>
      </c>
      <c r="N1082">
        <v>0</v>
      </c>
      <c r="O1082" t="str" cm="1">
        <f t="array" ref="O1082">_xlfn.IFS(Table1[[#This Row],[Divorced]]=1, "Divorced", Table1[[#This Row],[Married]]=1, "Married", Table1[[#This Row],[Single]]=1, "Single", Table1[[#This Row],[Together]]=1, "Together", Table1[[#This Row],[Widow]]=1, "Widow")</f>
        <v>Married</v>
      </c>
      <c r="P1082" t="str" cm="1">
        <f t="array" ref="P1082">_xlfn.IFS(Table1[[#This Row],[Basic]]=1, "Basic", Table1[[#This Row],[Graduate]]=1, "Graduate", Table1[[#This Row],[Master]]=1, "Master", Table1[[#This Row],[PhD]]=1, "PhD", AND(Table1[[#This Row],[Basic]]=0, Table1[[#This Row],[Graduate]]=0, Table1[[#This Row],[Master]]=0, Table1[[#This Row],[PhD]]=0), "NA")</f>
        <v>Graduate</v>
      </c>
      <c r="Q1082" t="e">
        <f>_xlfn.XLOOKUP(Table1[[#This Row],[ID]], Table2[ID],#REF!, "Not Found", 0)</f>
        <v>#REF!</v>
      </c>
      <c r="R1082" t="e">
        <f>_xlfn.XLOOKUP(Table1[[#This Row],[ID]], Table2[ID],#REF!, "Not Found", 0)</f>
        <v>#REF!</v>
      </c>
      <c r="S1082" s="3">
        <f>_xlfn.XLOOKUP(Table1[[#This Row],[ID]], Table2[ID], Table2[Enrollment], "Not Found", 0)</f>
        <v>43622</v>
      </c>
      <c r="T1082" t="s">
        <v>438</v>
      </c>
    </row>
    <row r="1083" spans="1:20" x14ac:dyDescent="0.3">
      <c r="A1083">
        <v>2799</v>
      </c>
      <c r="B1083">
        <v>152513</v>
      </c>
      <c r="C1083">
        <v>0</v>
      </c>
      <c r="D1083">
        <v>0</v>
      </c>
      <c r="E1083">
        <v>42</v>
      </c>
      <c r="F1083">
        <v>0</v>
      </c>
      <c r="G1083">
        <v>0</v>
      </c>
      <c r="H1083">
        <v>0</v>
      </c>
      <c r="I1083">
        <v>1</v>
      </c>
      <c r="J1083">
        <v>0</v>
      </c>
      <c r="K1083">
        <v>0</v>
      </c>
      <c r="L1083">
        <v>0</v>
      </c>
      <c r="M1083">
        <v>0</v>
      </c>
      <c r="N1083">
        <v>0</v>
      </c>
      <c r="O1083" t="str" cm="1">
        <f t="array" ref="O1083">_xlfn.IFS(Table1[[#This Row],[Divorced]]=1, "Divorced", Table1[[#This Row],[Married]]=1, "Married", Table1[[#This Row],[Single]]=1, "Single", Table1[[#This Row],[Together]]=1, "Together", Table1[[#This Row],[Widow]]=1, "Widow")</f>
        <v>Together</v>
      </c>
      <c r="P1083" t="str" cm="1">
        <f t="array" ref="P1083">_xlfn.IFS(Table1[[#This Row],[Basic]]=1, "Basic", Table1[[#This Row],[Graduate]]=1, "Graduate", Table1[[#This Row],[Master]]=1, "Master", Table1[[#This Row],[PhD]]=1, "PhD", AND(Table1[[#This Row],[Basic]]=0, Table1[[#This Row],[Graduate]]=0, Table1[[#This Row],[Master]]=0, Table1[[#This Row],[PhD]]=0), "NA")</f>
        <v>NA</v>
      </c>
      <c r="Q1083" t="e">
        <f>_xlfn.XLOOKUP(Table1[[#This Row],[ID]], Table2[ID],#REF!, "Not Found", 0)</f>
        <v>#REF!</v>
      </c>
      <c r="R1083" t="e">
        <f>_xlfn.XLOOKUP(Table1[[#This Row],[ID]], Table2[ID],#REF!, "Not Found", 0)</f>
        <v>#REF!</v>
      </c>
      <c r="S1083" s="3">
        <f>_xlfn.XLOOKUP(Table1[[#This Row],[ID]], Table2[ID], Table2[Enrollment], "Not Found", 0)</f>
        <v>43710</v>
      </c>
      <c r="T1083" t="s">
        <v>435</v>
      </c>
    </row>
    <row r="1084" spans="1:20" x14ac:dyDescent="0.3">
      <c r="A1084">
        <v>1099</v>
      </c>
      <c r="B1084">
        <v>152413</v>
      </c>
      <c r="C1084">
        <v>0</v>
      </c>
      <c r="D1084">
        <v>2</v>
      </c>
      <c r="E1084">
        <v>51</v>
      </c>
      <c r="F1084">
        <v>0</v>
      </c>
      <c r="G1084">
        <v>1</v>
      </c>
      <c r="H1084">
        <v>0</v>
      </c>
      <c r="I1084">
        <v>0</v>
      </c>
      <c r="J1084">
        <v>0</v>
      </c>
      <c r="K1084">
        <v>0</v>
      </c>
      <c r="L1084">
        <v>1</v>
      </c>
      <c r="M1084">
        <v>0</v>
      </c>
      <c r="N1084">
        <v>0</v>
      </c>
      <c r="O1084" t="str" cm="1">
        <f t="array" ref="O1084">_xlfn.IFS(Table1[[#This Row],[Divorced]]=1, "Divorced", Table1[[#This Row],[Married]]=1, "Married", Table1[[#This Row],[Single]]=1, "Single", Table1[[#This Row],[Together]]=1, "Together", Table1[[#This Row],[Widow]]=1, "Widow")</f>
        <v>Married</v>
      </c>
      <c r="P1084" t="str" cm="1">
        <f t="array" ref="P1084">_xlfn.IFS(Table1[[#This Row],[Basic]]=1, "Basic", Table1[[#This Row],[Graduate]]=1, "Graduate", Table1[[#This Row],[Master]]=1, "Master", Table1[[#This Row],[PhD]]=1, "PhD", AND(Table1[[#This Row],[Basic]]=0, Table1[[#This Row],[Graduate]]=0, Table1[[#This Row],[Master]]=0, Table1[[#This Row],[PhD]]=0), "NA")</f>
        <v>Graduate</v>
      </c>
      <c r="Q1084" t="e">
        <f>_xlfn.XLOOKUP(Table1[[#This Row],[ID]], Table2[ID],#REF!, "Not Found", 0)</f>
        <v>#REF!</v>
      </c>
      <c r="R1084" t="e">
        <f>_xlfn.XLOOKUP(Table1[[#This Row],[ID]], Table2[ID],#REF!, "Not Found", 0)</f>
        <v>#REF!</v>
      </c>
      <c r="S1084" s="3">
        <f>_xlfn.XLOOKUP(Table1[[#This Row],[ID]], Table2[ID], Table2[Enrollment], "Not Found", 0)</f>
        <v>43745</v>
      </c>
      <c r="T1084" t="s">
        <v>437</v>
      </c>
    </row>
    <row r="1085" spans="1:20" x14ac:dyDescent="0.3">
      <c r="A1085">
        <v>2860</v>
      </c>
      <c r="B1085">
        <v>152413</v>
      </c>
      <c r="C1085">
        <v>1</v>
      </c>
      <c r="D1085">
        <v>0</v>
      </c>
      <c r="E1085">
        <v>36</v>
      </c>
      <c r="F1085">
        <v>0</v>
      </c>
      <c r="G1085">
        <v>0</v>
      </c>
      <c r="H1085">
        <v>1</v>
      </c>
      <c r="I1085">
        <v>0</v>
      </c>
      <c r="J1085">
        <v>0</v>
      </c>
      <c r="K1085">
        <v>0</v>
      </c>
      <c r="L1085">
        <v>1</v>
      </c>
      <c r="M1085">
        <v>0</v>
      </c>
      <c r="N1085">
        <v>0</v>
      </c>
      <c r="O1085" t="str" cm="1">
        <f t="array" ref="O1085">_xlfn.IFS(Table1[[#This Row],[Divorced]]=1, "Divorced", Table1[[#This Row],[Married]]=1, "Married", Table1[[#This Row],[Single]]=1, "Single", Table1[[#This Row],[Together]]=1, "Together", Table1[[#This Row],[Widow]]=1, "Widow")</f>
        <v>Single</v>
      </c>
      <c r="P1085" t="str" cm="1">
        <f t="array" ref="P1085">_xlfn.IFS(Table1[[#This Row],[Basic]]=1, "Basic", Table1[[#This Row],[Graduate]]=1, "Graduate", Table1[[#This Row],[Master]]=1, "Master", Table1[[#This Row],[PhD]]=1, "PhD", AND(Table1[[#This Row],[Basic]]=0, Table1[[#This Row],[Graduate]]=0, Table1[[#This Row],[Master]]=0, Table1[[#This Row],[PhD]]=0), "NA")</f>
        <v>Graduate</v>
      </c>
      <c r="Q1085" t="e">
        <f>_xlfn.XLOOKUP(Table1[[#This Row],[ID]], Table2[ID],#REF!, "Not Found", 0)</f>
        <v>#REF!</v>
      </c>
      <c r="R1085" t="e">
        <f>_xlfn.XLOOKUP(Table1[[#This Row],[ID]], Table2[ID],#REF!, "Not Found", 0)</f>
        <v>#REF!</v>
      </c>
      <c r="S1085" s="3">
        <f>_xlfn.XLOOKUP(Table1[[#This Row],[ID]], Table2[ID], Table2[Enrollment], "Not Found", 0)</f>
        <v>43742</v>
      </c>
      <c r="T1085" t="s">
        <v>439</v>
      </c>
    </row>
    <row r="1086" spans="1:20" x14ac:dyDescent="0.3">
      <c r="A1086">
        <v>1156</v>
      </c>
      <c r="B1086">
        <v>152332</v>
      </c>
      <c r="C1086">
        <v>0</v>
      </c>
      <c r="D1086">
        <v>0</v>
      </c>
      <c r="E1086">
        <v>61</v>
      </c>
      <c r="F1086">
        <v>1</v>
      </c>
      <c r="G1086">
        <v>0</v>
      </c>
      <c r="H1086">
        <v>0</v>
      </c>
      <c r="I1086">
        <v>0</v>
      </c>
      <c r="J1086">
        <v>0</v>
      </c>
      <c r="K1086">
        <v>0</v>
      </c>
      <c r="L1086">
        <v>1</v>
      </c>
      <c r="M1086">
        <v>0</v>
      </c>
      <c r="N1086">
        <v>0</v>
      </c>
      <c r="O1086" t="str" cm="1">
        <f t="array" ref="O1086">_xlfn.IFS(Table1[[#This Row],[Divorced]]=1, "Divorced", Table1[[#This Row],[Married]]=1, "Married", Table1[[#This Row],[Single]]=1, "Single", Table1[[#This Row],[Together]]=1, "Together", Table1[[#This Row],[Widow]]=1, "Widow")</f>
        <v>Divorced</v>
      </c>
      <c r="P1086" t="str" cm="1">
        <f t="array" ref="P1086">_xlfn.IFS(Table1[[#This Row],[Basic]]=1, "Basic", Table1[[#This Row],[Graduate]]=1, "Graduate", Table1[[#This Row],[Master]]=1, "Master", Table1[[#This Row],[PhD]]=1, "PhD", AND(Table1[[#This Row],[Basic]]=0, Table1[[#This Row],[Graduate]]=0, Table1[[#This Row],[Master]]=0, Table1[[#This Row],[PhD]]=0), "NA")</f>
        <v>Graduate</v>
      </c>
      <c r="Q1086" t="e">
        <f>_xlfn.XLOOKUP(Table1[[#This Row],[ID]], Table2[ID],#REF!, "Not Found", 0)</f>
        <v>#REF!</v>
      </c>
      <c r="R1086" t="e">
        <f>_xlfn.XLOOKUP(Table1[[#This Row],[ID]], Table2[ID],#REF!, "Not Found", 0)</f>
        <v>#REF!</v>
      </c>
      <c r="S1086" s="3">
        <f>_xlfn.XLOOKUP(Table1[[#This Row],[ID]], Table2[ID], Table2[Enrollment], "Not Found", 0)</f>
        <v>43863</v>
      </c>
      <c r="T1086" t="s">
        <v>439</v>
      </c>
    </row>
    <row r="1087" spans="1:20" x14ac:dyDescent="0.3">
      <c r="A1087">
        <v>1893</v>
      </c>
      <c r="B1087">
        <v>152278</v>
      </c>
      <c r="C1087">
        <v>0</v>
      </c>
      <c r="D1087">
        <v>1</v>
      </c>
      <c r="E1087">
        <v>57</v>
      </c>
      <c r="F1087">
        <v>0</v>
      </c>
      <c r="G1087">
        <v>0</v>
      </c>
      <c r="H1087">
        <v>0</v>
      </c>
      <c r="I1087">
        <v>0</v>
      </c>
      <c r="J1087">
        <v>1</v>
      </c>
      <c r="K1087">
        <v>0</v>
      </c>
      <c r="L1087">
        <v>0</v>
      </c>
      <c r="M1087">
        <v>0</v>
      </c>
      <c r="N1087">
        <v>1</v>
      </c>
      <c r="O1087" t="str" cm="1">
        <f t="array" ref="O1087">_xlfn.IFS(Table1[[#This Row],[Divorced]]=1, "Divorced", Table1[[#This Row],[Married]]=1, "Married", Table1[[#This Row],[Single]]=1, "Single", Table1[[#This Row],[Together]]=1, "Together", Table1[[#This Row],[Widow]]=1, "Widow")</f>
        <v>Widow</v>
      </c>
      <c r="P1087" t="str" cm="1">
        <f t="array" ref="P1087">_xlfn.IFS(Table1[[#This Row],[Basic]]=1, "Basic", Table1[[#This Row],[Graduate]]=1, "Graduate", Table1[[#This Row],[Master]]=1, "Master", Table1[[#This Row],[PhD]]=1, "PhD", AND(Table1[[#This Row],[Basic]]=0, Table1[[#This Row],[Graduate]]=0, Table1[[#This Row],[Master]]=0, Table1[[#This Row],[PhD]]=0), "NA")</f>
        <v>PhD</v>
      </c>
      <c r="Q1087" t="e">
        <f>_xlfn.XLOOKUP(Table1[[#This Row],[ID]], Table2[ID],#REF!, "Not Found", 0)</f>
        <v>#REF!</v>
      </c>
      <c r="R1087" t="e">
        <f>_xlfn.XLOOKUP(Table1[[#This Row],[ID]], Table2[ID],#REF!, "Not Found", 0)</f>
        <v>#REF!</v>
      </c>
      <c r="S1087" s="3">
        <f>_xlfn.XLOOKUP(Table1[[#This Row],[ID]], Table2[ID], Table2[Enrollment], "Not Found", 0)</f>
        <v>43503</v>
      </c>
      <c r="T1087" t="s">
        <v>435</v>
      </c>
    </row>
    <row r="1088" spans="1:20" x14ac:dyDescent="0.3">
      <c r="A1088">
        <v>2889</v>
      </c>
      <c r="B1088">
        <v>152278</v>
      </c>
      <c r="C1088">
        <v>0</v>
      </c>
      <c r="D1088">
        <v>1</v>
      </c>
      <c r="E1088">
        <v>57</v>
      </c>
      <c r="F1088">
        <v>0</v>
      </c>
      <c r="G1088">
        <v>0</v>
      </c>
      <c r="H1088">
        <v>0</v>
      </c>
      <c r="I1088">
        <v>0</v>
      </c>
      <c r="J1088">
        <v>1</v>
      </c>
      <c r="K1088">
        <v>0</v>
      </c>
      <c r="L1088">
        <v>0</v>
      </c>
      <c r="M1088">
        <v>0</v>
      </c>
      <c r="N1088">
        <v>1</v>
      </c>
      <c r="O1088" t="str" cm="1">
        <f t="array" ref="O1088">_xlfn.IFS(Table1[[#This Row],[Divorced]]=1, "Divorced", Table1[[#This Row],[Married]]=1, "Married", Table1[[#This Row],[Single]]=1, "Single", Table1[[#This Row],[Together]]=1, "Together", Table1[[#This Row],[Widow]]=1, "Widow")</f>
        <v>Widow</v>
      </c>
      <c r="P1088" t="str" cm="1">
        <f t="array" ref="P1088">_xlfn.IFS(Table1[[#This Row],[Basic]]=1, "Basic", Table1[[#This Row],[Graduate]]=1, "Graduate", Table1[[#This Row],[Master]]=1, "Master", Table1[[#This Row],[PhD]]=1, "PhD", AND(Table1[[#This Row],[Basic]]=0, Table1[[#This Row],[Graduate]]=0, Table1[[#This Row],[Master]]=0, Table1[[#This Row],[PhD]]=0), "NA")</f>
        <v>PhD</v>
      </c>
      <c r="Q1088" t="e">
        <f>_xlfn.XLOOKUP(Table1[[#This Row],[ID]], Table2[ID],#REF!, "Not Found", 0)</f>
        <v>#REF!</v>
      </c>
      <c r="R1088" t="e">
        <f>_xlfn.XLOOKUP(Table1[[#This Row],[ID]], Table2[ID],#REF!, "Not Found", 0)</f>
        <v>#REF!</v>
      </c>
      <c r="S1088" s="3">
        <f>_xlfn.XLOOKUP(Table1[[#This Row],[ID]], Table2[ID], Table2[Enrollment], "Not Found", 0)</f>
        <v>43503</v>
      </c>
      <c r="T1088" t="s">
        <v>435</v>
      </c>
    </row>
    <row r="1089" spans="1:20" x14ac:dyDescent="0.3">
      <c r="A1089">
        <v>2343</v>
      </c>
      <c r="B1089">
        <v>152203</v>
      </c>
      <c r="C1089">
        <v>0</v>
      </c>
      <c r="D1089">
        <v>0</v>
      </c>
      <c r="E1089">
        <v>70</v>
      </c>
      <c r="F1089">
        <v>0</v>
      </c>
      <c r="G1089">
        <v>0</v>
      </c>
      <c r="H1089">
        <v>0</v>
      </c>
      <c r="I1089">
        <v>1</v>
      </c>
      <c r="J1089">
        <v>0</v>
      </c>
      <c r="K1089">
        <v>0</v>
      </c>
      <c r="L1089">
        <v>0</v>
      </c>
      <c r="M1089">
        <v>0</v>
      </c>
      <c r="N1089">
        <v>0</v>
      </c>
      <c r="O1089" t="str" cm="1">
        <f t="array" ref="O1089">_xlfn.IFS(Table1[[#This Row],[Divorced]]=1, "Divorced", Table1[[#This Row],[Married]]=1, "Married", Table1[[#This Row],[Single]]=1, "Single", Table1[[#This Row],[Together]]=1, "Together", Table1[[#This Row],[Widow]]=1, "Widow")</f>
        <v>Together</v>
      </c>
      <c r="P1089" t="str" cm="1">
        <f t="array" ref="P1089">_xlfn.IFS(Table1[[#This Row],[Basic]]=1, "Basic", Table1[[#This Row],[Graduate]]=1, "Graduate", Table1[[#This Row],[Master]]=1, "Master", Table1[[#This Row],[PhD]]=1, "PhD", AND(Table1[[#This Row],[Basic]]=0, Table1[[#This Row],[Graduate]]=0, Table1[[#This Row],[Master]]=0, Table1[[#This Row],[PhD]]=0), "NA")</f>
        <v>NA</v>
      </c>
      <c r="Q1089" t="e">
        <f>_xlfn.XLOOKUP(Table1[[#This Row],[ID]], Table2[ID],#REF!, "Not Found", 0)</f>
        <v>#REF!</v>
      </c>
      <c r="R1089" t="e">
        <f>_xlfn.XLOOKUP(Table1[[#This Row],[ID]], Table2[ID],#REF!, "Not Found", 0)</f>
        <v>#REF!</v>
      </c>
      <c r="S1089" s="3">
        <f>_xlfn.XLOOKUP(Table1[[#This Row],[ID]], Table2[ID], Table2[Enrollment], "Not Found", 0)</f>
        <v>43586</v>
      </c>
      <c r="T1089" t="s">
        <v>435</v>
      </c>
    </row>
    <row r="1090" spans="1:20" x14ac:dyDescent="0.3">
      <c r="A1090">
        <v>1204</v>
      </c>
      <c r="B1090">
        <v>152195</v>
      </c>
      <c r="C1090">
        <v>2</v>
      </c>
      <c r="D1090">
        <v>1</v>
      </c>
      <c r="E1090">
        <v>42</v>
      </c>
      <c r="F1090">
        <v>0</v>
      </c>
      <c r="G1090">
        <v>0</v>
      </c>
      <c r="H1090">
        <v>1</v>
      </c>
      <c r="I1090">
        <v>0</v>
      </c>
      <c r="J1090">
        <v>0</v>
      </c>
      <c r="K1090">
        <v>0</v>
      </c>
      <c r="L1090">
        <v>0</v>
      </c>
      <c r="M1090">
        <v>0</v>
      </c>
      <c r="N1090">
        <v>0</v>
      </c>
      <c r="O1090" t="str" cm="1">
        <f t="array" ref="O1090">_xlfn.IFS(Table1[[#This Row],[Divorced]]=1, "Divorced", Table1[[#This Row],[Married]]=1, "Married", Table1[[#This Row],[Single]]=1, "Single", Table1[[#This Row],[Together]]=1, "Together", Table1[[#This Row],[Widow]]=1, "Widow")</f>
        <v>Single</v>
      </c>
      <c r="P1090" t="str" cm="1">
        <f t="array" ref="P1090">_xlfn.IFS(Table1[[#This Row],[Basic]]=1, "Basic", Table1[[#This Row],[Graduate]]=1, "Graduate", Table1[[#This Row],[Master]]=1, "Master", Table1[[#This Row],[PhD]]=1, "PhD", AND(Table1[[#This Row],[Basic]]=0, Table1[[#This Row],[Graduate]]=0, Table1[[#This Row],[Master]]=0, Table1[[#This Row],[PhD]]=0), "NA")</f>
        <v>NA</v>
      </c>
      <c r="Q1090" t="e">
        <f>_xlfn.XLOOKUP(Table1[[#This Row],[ID]], Table2[ID],#REF!, "Not Found", 0)</f>
        <v>#REF!</v>
      </c>
      <c r="R1090" t="e">
        <f>_xlfn.XLOOKUP(Table1[[#This Row],[ID]], Table2[ID],#REF!, "Not Found", 0)</f>
        <v>#REF!</v>
      </c>
      <c r="S1090" s="3" t="str">
        <f>_xlfn.XLOOKUP(Table1[[#This Row],[ID]], Table2[ID], Table2[Enrollment], "Not Found", 0)</f>
        <v>10/16/2020</v>
      </c>
      <c r="T1090" t="s">
        <v>439</v>
      </c>
    </row>
    <row r="1091" spans="1:20" x14ac:dyDescent="0.3">
      <c r="A1091">
        <v>1932</v>
      </c>
      <c r="B1091">
        <v>152190</v>
      </c>
      <c r="C1091">
        <v>1</v>
      </c>
      <c r="D1091">
        <v>1</v>
      </c>
      <c r="E1091">
        <v>44</v>
      </c>
      <c r="F1091">
        <v>0</v>
      </c>
      <c r="G1091">
        <v>0</v>
      </c>
      <c r="H1091">
        <v>0</v>
      </c>
      <c r="I1091">
        <v>1</v>
      </c>
      <c r="J1091">
        <v>0</v>
      </c>
      <c r="K1091">
        <v>0</v>
      </c>
      <c r="L1091">
        <v>0</v>
      </c>
      <c r="M1091">
        <v>0</v>
      </c>
      <c r="N1091">
        <v>1</v>
      </c>
      <c r="O1091" t="str" cm="1">
        <f t="array" ref="O1091">_xlfn.IFS(Table1[[#This Row],[Divorced]]=1, "Divorced", Table1[[#This Row],[Married]]=1, "Married", Table1[[#This Row],[Single]]=1, "Single", Table1[[#This Row],[Together]]=1, "Together", Table1[[#This Row],[Widow]]=1, "Widow")</f>
        <v>Together</v>
      </c>
      <c r="P1091" t="str" cm="1">
        <f t="array" ref="P1091">_xlfn.IFS(Table1[[#This Row],[Basic]]=1, "Basic", Table1[[#This Row],[Graduate]]=1, "Graduate", Table1[[#This Row],[Master]]=1, "Master", Table1[[#This Row],[PhD]]=1, "PhD", AND(Table1[[#This Row],[Basic]]=0, Table1[[#This Row],[Graduate]]=0, Table1[[#This Row],[Master]]=0, Table1[[#This Row],[PhD]]=0), "NA")</f>
        <v>PhD</v>
      </c>
      <c r="Q1091" t="e">
        <f>_xlfn.XLOOKUP(Table1[[#This Row],[ID]], Table2[ID],#REF!, "Not Found", 0)</f>
        <v>#REF!</v>
      </c>
      <c r="R1091" t="e">
        <f>_xlfn.XLOOKUP(Table1[[#This Row],[ID]], Table2[ID],#REF!, "Not Found", 0)</f>
        <v>#REF!</v>
      </c>
      <c r="S1091" s="3">
        <f>_xlfn.XLOOKUP(Table1[[#This Row],[ID]], Table2[ID], Table2[Enrollment], "Not Found", 0)</f>
        <v>44175</v>
      </c>
      <c r="T1091" t="s">
        <v>436</v>
      </c>
    </row>
    <row r="1092" spans="1:20" x14ac:dyDescent="0.3">
      <c r="A1092">
        <v>1549</v>
      </c>
      <c r="B1092">
        <v>152157</v>
      </c>
      <c r="C1092">
        <v>0</v>
      </c>
      <c r="D1092">
        <v>1</v>
      </c>
      <c r="E1092">
        <v>70</v>
      </c>
      <c r="F1092">
        <v>0</v>
      </c>
      <c r="G1092">
        <v>0</v>
      </c>
      <c r="H1092">
        <v>0</v>
      </c>
      <c r="I1092">
        <v>1</v>
      </c>
      <c r="J1092">
        <v>0</v>
      </c>
      <c r="K1092">
        <v>0</v>
      </c>
      <c r="L1092">
        <v>0</v>
      </c>
      <c r="M1092">
        <v>0</v>
      </c>
      <c r="N1092">
        <v>1</v>
      </c>
      <c r="O1092" t="str" cm="1">
        <f t="array" ref="O1092">_xlfn.IFS(Table1[[#This Row],[Divorced]]=1, "Divorced", Table1[[#This Row],[Married]]=1, "Married", Table1[[#This Row],[Single]]=1, "Single", Table1[[#This Row],[Together]]=1, "Together", Table1[[#This Row],[Widow]]=1, "Widow")</f>
        <v>Together</v>
      </c>
      <c r="P1092" t="str" cm="1">
        <f t="array" ref="P1092">_xlfn.IFS(Table1[[#This Row],[Basic]]=1, "Basic", Table1[[#This Row],[Graduate]]=1, "Graduate", Table1[[#This Row],[Master]]=1, "Master", Table1[[#This Row],[PhD]]=1, "PhD", AND(Table1[[#This Row],[Basic]]=0, Table1[[#This Row],[Graduate]]=0, Table1[[#This Row],[Master]]=0, Table1[[#This Row],[PhD]]=0), "NA")</f>
        <v>PhD</v>
      </c>
      <c r="Q1092" t="e">
        <f>_xlfn.XLOOKUP(Table1[[#This Row],[ID]], Table2[ID],#REF!, "Not Found", 0)</f>
        <v>#REF!</v>
      </c>
      <c r="R1092" t="e">
        <f>_xlfn.XLOOKUP(Table1[[#This Row],[ID]], Table2[ID],#REF!, "Not Found", 0)</f>
        <v>#REF!</v>
      </c>
      <c r="S1092" s="3">
        <f>_xlfn.XLOOKUP(Table1[[#This Row],[ID]], Table2[ID], Table2[Enrollment], "Not Found", 0)</f>
        <v>44146</v>
      </c>
      <c r="T1092" t="s">
        <v>437</v>
      </c>
    </row>
    <row r="1093" spans="1:20" x14ac:dyDescent="0.3">
      <c r="A1093">
        <v>2682</v>
      </c>
      <c r="B1093">
        <v>152117</v>
      </c>
      <c r="C1093">
        <v>0</v>
      </c>
      <c r="D1093">
        <v>1</v>
      </c>
      <c r="E1093">
        <v>55</v>
      </c>
      <c r="F1093">
        <v>0</v>
      </c>
      <c r="G1093">
        <v>0</v>
      </c>
      <c r="H1093">
        <v>0</v>
      </c>
      <c r="I1093">
        <v>1</v>
      </c>
      <c r="J1093">
        <v>0</v>
      </c>
      <c r="K1093">
        <v>0</v>
      </c>
      <c r="L1093">
        <v>1</v>
      </c>
      <c r="M1093">
        <v>0</v>
      </c>
      <c r="N1093">
        <v>0</v>
      </c>
      <c r="O1093" t="str" cm="1">
        <f t="array" ref="O1093">_xlfn.IFS(Table1[[#This Row],[Divorced]]=1, "Divorced", Table1[[#This Row],[Married]]=1, "Married", Table1[[#This Row],[Single]]=1, "Single", Table1[[#This Row],[Together]]=1, "Together", Table1[[#This Row],[Widow]]=1, "Widow")</f>
        <v>Together</v>
      </c>
      <c r="P1093" t="str" cm="1">
        <f t="array" ref="P1093">_xlfn.IFS(Table1[[#This Row],[Basic]]=1, "Basic", Table1[[#This Row],[Graduate]]=1, "Graduate", Table1[[#This Row],[Master]]=1, "Master", Table1[[#This Row],[PhD]]=1, "PhD", AND(Table1[[#This Row],[Basic]]=0, Table1[[#This Row],[Graduate]]=0, Table1[[#This Row],[Master]]=0, Table1[[#This Row],[PhD]]=0), "NA")</f>
        <v>Graduate</v>
      </c>
      <c r="Q1093" t="e">
        <f>_xlfn.XLOOKUP(Table1[[#This Row],[ID]], Table2[ID],#REF!, "Not Found", 0)</f>
        <v>#REF!</v>
      </c>
      <c r="R1093" t="e">
        <f>_xlfn.XLOOKUP(Table1[[#This Row],[ID]], Table2[ID],#REF!, "Not Found", 0)</f>
        <v>#REF!</v>
      </c>
      <c r="S1093" s="3" t="str">
        <f>_xlfn.XLOOKUP(Table1[[#This Row],[ID]], Table2[ID], Table2[Enrollment], "Not Found", 0)</f>
        <v>1/21/2019</v>
      </c>
      <c r="T1093" t="s">
        <v>436</v>
      </c>
    </row>
    <row r="1094" spans="1:20" x14ac:dyDescent="0.3">
      <c r="A1094">
        <v>1163</v>
      </c>
      <c r="B1094">
        <v>152074</v>
      </c>
      <c r="C1094">
        <v>0</v>
      </c>
      <c r="D1094">
        <v>1</v>
      </c>
      <c r="E1094">
        <v>53</v>
      </c>
      <c r="F1094">
        <v>0</v>
      </c>
      <c r="G1094">
        <v>0</v>
      </c>
      <c r="H1094">
        <v>1</v>
      </c>
      <c r="I1094">
        <v>0</v>
      </c>
      <c r="J1094">
        <v>0</v>
      </c>
      <c r="K1094">
        <v>0</v>
      </c>
      <c r="L1094">
        <v>1</v>
      </c>
      <c r="M1094">
        <v>0</v>
      </c>
      <c r="N1094">
        <v>0</v>
      </c>
      <c r="O1094" t="str" cm="1">
        <f t="array" ref="O1094">_xlfn.IFS(Table1[[#This Row],[Divorced]]=1, "Divorced", Table1[[#This Row],[Married]]=1, "Married", Table1[[#This Row],[Single]]=1, "Single", Table1[[#This Row],[Together]]=1, "Together", Table1[[#This Row],[Widow]]=1, "Widow")</f>
        <v>Single</v>
      </c>
      <c r="P1094" t="str" cm="1">
        <f t="array" ref="P1094">_xlfn.IFS(Table1[[#This Row],[Basic]]=1, "Basic", Table1[[#This Row],[Graduate]]=1, "Graduate", Table1[[#This Row],[Master]]=1, "Master", Table1[[#This Row],[PhD]]=1, "PhD", AND(Table1[[#This Row],[Basic]]=0, Table1[[#This Row],[Graduate]]=0, Table1[[#This Row],[Master]]=0, Table1[[#This Row],[PhD]]=0), "NA")</f>
        <v>Graduate</v>
      </c>
      <c r="Q1094" t="e">
        <f>_xlfn.XLOOKUP(Table1[[#This Row],[ID]], Table2[ID],#REF!, "Not Found", 0)</f>
        <v>#REF!</v>
      </c>
      <c r="R1094" t="e">
        <f>_xlfn.XLOOKUP(Table1[[#This Row],[ID]], Table2[ID],#REF!, "Not Found", 0)</f>
        <v>#REF!</v>
      </c>
      <c r="S1094" s="3">
        <f>_xlfn.XLOOKUP(Table1[[#This Row],[ID]], Table2[ID], Table2[Enrollment], "Not Found", 0)</f>
        <v>44052</v>
      </c>
      <c r="T1094" t="s">
        <v>434</v>
      </c>
    </row>
    <row r="1095" spans="1:20" x14ac:dyDescent="0.3">
      <c r="A1095">
        <v>2103</v>
      </c>
      <c r="B1095">
        <v>152034</v>
      </c>
      <c r="C1095">
        <v>1</v>
      </c>
      <c r="D1095">
        <v>1</v>
      </c>
      <c r="E1095">
        <v>47</v>
      </c>
      <c r="F1095">
        <v>1</v>
      </c>
      <c r="G1095">
        <v>0</v>
      </c>
      <c r="H1095">
        <v>0</v>
      </c>
      <c r="I1095">
        <v>0</v>
      </c>
      <c r="J1095">
        <v>0</v>
      </c>
      <c r="K1095">
        <v>0</v>
      </c>
      <c r="L1095">
        <v>0</v>
      </c>
      <c r="M1095">
        <v>1</v>
      </c>
      <c r="N1095">
        <v>0</v>
      </c>
      <c r="O1095" t="str" cm="1">
        <f t="array" ref="O1095">_xlfn.IFS(Table1[[#This Row],[Divorced]]=1, "Divorced", Table1[[#This Row],[Married]]=1, "Married", Table1[[#This Row],[Single]]=1, "Single", Table1[[#This Row],[Together]]=1, "Together", Table1[[#This Row],[Widow]]=1, "Widow")</f>
        <v>Divorced</v>
      </c>
      <c r="P1095" t="str" cm="1">
        <f t="array" ref="P1095">_xlfn.IFS(Table1[[#This Row],[Basic]]=1, "Basic", Table1[[#This Row],[Graduate]]=1, "Graduate", Table1[[#This Row],[Master]]=1, "Master", Table1[[#This Row],[PhD]]=1, "PhD", AND(Table1[[#This Row],[Basic]]=0, Table1[[#This Row],[Graduate]]=0, Table1[[#This Row],[Master]]=0, Table1[[#This Row],[PhD]]=0), "NA")</f>
        <v>Master</v>
      </c>
      <c r="Q1095" t="e">
        <f>_xlfn.XLOOKUP(Table1[[#This Row],[ID]], Table2[ID],#REF!, "Not Found", 0)</f>
        <v>#REF!</v>
      </c>
      <c r="R1095" t="e">
        <f>_xlfn.XLOOKUP(Table1[[#This Row],[ID]], Table2[ID],#REF!, "Not Found", 0)</f>
        <v>#REF!</v>
      </c>
      <c r="S1095" s="3" t="str">
        <f>_xlfn.XLOOKUP(Table1[[#This Row],[ID]], Table2[ID], Table2[Enrollment], "Not Found", 0)</f>
        <v>10/22/2019</v>
      </c>
      <c r="T1095" t="s">
        <v>435</v>
      </c>
    </row>
    <row r="1096" spans="1:20" x14ac:dyDescent="0.3">
      <c r="A1096">
        <v>2520</v>
      </c>
      <c r="B1096">
        <v>151983</v>
      </c>
      <c r="C1096">
        <v>0</v>
      </c>
      <c r="D1096">
        <v>1</v>
      </c>
      <c r="E1096">
        <v>56</v>
      </c>
      <c r="F1096">
        <v>1</v>
      </c>
      <c r="G1096">
        <v>0</v>
      </c>
      <c r="H1096">
        <v>0</v>
      </c>
      <c r="I1096">
        <v>0</v>
      </c>
      <c r="J1096">
        <v>0</v>
      </c>
      <c r="K1096">
        <v>0</v>
      </c>
      <c r="L1096">
        <v>1</v>
      </c>
      <c r="M1096">
        <v>0</v>
      </c>
      <c r="N1096">
        <v>0</v>
      </c>
      <c r="O1096" t="str" cm="1">
        <f t="array" ref="O1096">_xlfn.IFS(Table1[[#This Row],[Divorced]]=1, "Divorced", Table1[[#This Row],[Married]]=1, "Married", Table1[[#This Row],[Single]]=1, "Single", Table1[[#This Row],[Together]]=1, "Together", Table1[[#This Row],[Widow]]=1, "Widow")</f>
        <v>Divorced</v>
      </c>
      <c r="P1096" t="str" cm="1">
        <f t="array" ref="P1096">_xlfn.IFS(Table1[[#This Row],[Basic]]=1, "Basic", Table1[[#This Row],[Graduate]]=1, "Graduate", Table1[[#This Row],[Master]]=1, "Master", Table1[[#This Row],[PhD]]=1, "PhD", AND(Table1[[#This Row],[Basic]]=0, Table1[[#This Row],[Graduate]]=0, Table1[[#This Row],[Master]]=0, Table1[[#This Row],[PhD]]=0), "NA")</f>
        <v>Graduate</v>
      </c>
      <c r="Q1096" t="e">
        <f>_xlfn.XLOOKUP(Table1[[#This Row],[ID]], Table2[ID],#REF!, "Not Found", 0)</f>
        <v>#REF!</v>
      </c>
      <c r="R1096" t="e">
        <f>_xlfn.XLOOKUP(Table1[[#This Row],[ID]], Table2[ID],#REF!, "Not Found", 0)</f>
        <v>#REF!</v>
      </c>
      <c r="S1096" s="3">
        <f>_xlfn.XLOOKUP(Table1[[#This Row],[ID]], Table2[ID], Table2[Enrollment], "Not Found", 0)</f>
        <v>43587</v>
      </c>
      <c r="T1096" t="s">
        <v>436</v>
      </c>
    </row>
    <row r="1097" spans="1:20" x14ac:dyDescent="0.3">
      <c r="A1097">
        <v>2315</v>
      </c>
      <c r="B1097">
        <v>151948</v>
      </c>
      <c r="C1097">
        <v>0</v>
      </c>
      <c r="D1097">
        <v>1</v>
      </c>
      <c r="E1097">
        <v>45</v>
      </c>
      <c r="F1097">
        <v>0</v>
      </c>
      <c r="G1097">
        <v>1</v>
      </c>
      <c r="H1097">
        <v>0</v>
      </c>
      <c r="I1097">
        <v>0</v>
      </c>
      <c r="J1097">
        <v>0</v>
      </c>
      <c r="K1097">
        <v>0</v>
      </c>
      <c r="L1097">
        <v>1</v>
      </c>
      <c r="M1097">
        <v>0</v>
      </c>
      <c r="N1097">
        <v>0</v>
      </c>
      <c r="O1097" t="str" cm="1">
        <f t="array" ref="O1097">_xlfn.IFS(Table1[[#This Row],[Divorced]]=1, "Divorced", Table1[[#This Row],[Married]]=1, "Married", Table1[[#This Row],[Single]]=1, "Single", Table1[[#This Row],[Together]]=1, "Together", Table1[[#This Row],[Widow]]=1, "Widow")</f>
        <v>Married</v>
      </c>
      <c r="P1097" t="str" cm="1">
        <f t="array" ref="P1097">_xlfn.IFS(Table1[[#This Row],[Basic]]=1, "Basic", Table1[[#This Row],[Graduate]]=1, "Graduate", Table1[[#This Row],[Master]]=1, "Master", Table1[[#This Row],[PhD]]=1, "PhD", AND(Table1[[#This Row],[Basic]]=0, Table1[[#This Row],[Graduate]]=0, Table1[[#This Row],[Master]]=0, Table1[[#This Row],[PhD]]=0), "NA")</f>
        <v>Graduate</v>
      </c>
      <c r="Q1097" t="e">
        <f>_xlfn.XLOOKUP(Table1[[#This Row],[ID]], Table2[ID],#REF!, "Not Found", 0)</f>
        <v>#REF!</v>
      </c>
      <c r="R1097" t="e">
        <f>_xlfn.XLOOKUP(Table1[[#This Row],[ID]], Table2[ID],#REF!, "Not Found", 0)</f>
        <v>#REF!</v>
      </c>
      <c r="S1097" s="3" t="str">
        <f>_xlfn.XLOOKUP(Table1[[#This Row],[ID]], Table2[ID], Table2[Enrollment], "Not Found", 0)</f>
        <v>2/22/2020</v>
      </c>
      <c r="T1097" t="s">
        <v>434</v>
      </c>
    </row>
    <row r="1098" spans="1:20" x14ac:dyDescent="0.3">
      <c r="A1098">
        <v>2421</v>
      </c>
      <c r="B1098">
        <v>151876</v>
      </c>
      <c r="C1098">
        <v>0</v>
      </c>
      <c r="D1098">
        <v>0</v>
      </c>
      <c r="E1098">
        <v>62</v>
      </c>
      <c r="F1098">
        <v>0</v>
      </c>
      <c r="G1098">
        <v>1</v>
      </c>
      <c r="H1098">
        <v>0</v>
      </c>
      <c r="I1098">
        <v>0</v>
      </c>
      <c r="J1098">
        <v>0</v>
      </c>
      <c r="K1098">
        <v>0</v>
      </c>
      <c r="L1098">
        <v>1</v>
      </c>
      <c r="M1098">
        <v>0</v>
      </c>
      <c r="N1098">
        <v>0</v>
      </c>
      <c r="O1098" t="str" cm="1">
        <f t="array" ref="O1098">_xlfn.IFS(Table1[[#This Row],[Divorced]]=1, "Divorced", Table1[[#This Row],[Married]]=1, "Married", Table1[[#This Row],[Single]]=1, "Single", Table1[[#This Row],[Together]]=1, "Together", Table1[[#This Row],[Widow]]=1, "Widow")</f>
        <v>Married</v>
      </c>
      <c r="P1098" t="str" cm="1">
        <f t="array" ref="P1098">_xlfn.IFS(Table1[[#This Row],[Basic]]=1, "Basic", Table1[[#This Row],[Graduate]]=1, "Graduate", Table1[[#This Row],[Master]]=1, "Master", Table1[[#This Row],[PhD]]=1, "PhD", AND(Table1[[#This Row],[Basic]]=0, Table1[[#This Row],[Graduate]]=0, Table1[[#This Row],[Master]]=0, Table1[[#This Row],[PhD]]=0), "NA")</f>
        <v>Graduate</v>
      </c>
      <c r="Q1098" t="e">
        <f>_xlfn.XLOOKUP(Table1[[#This Row],[ID]], Table2[ID],#REF!, "Not Found", 0)</f>
        <v>#REF!</v>
      </c>
      <c r="R1098" t="e">
        <f>_xlfn.XLOOKUP(Table1[[#This Row],[ID]], Table2[ID],#REF!, "Not Found", 0)</f>
        <v>#REF!</v>
      </c>
      <c r="S1098" s="3" t="str">
        <f>_xlfn.XLOOKUP(Table1[[#This Row],[ID]], Table2[ID], Table2[Enrollment], "Not Found", 0)</f>
        <v>3/21/2020</v>
      </c>
      <c r="T1098" t="s">
        <v>435</v>
      </c>
    </row>
    <row r="1099" spans="1:20" x14ac:dyDescent="0.3">
      <c r="A1099">
        <v>1089</v>
      </c>
      <c r="B1099">
        <v>151813</v>
      </c>
      <c r="C1099">
        <v>1</v>
      </c>
      <c r="D1099">
        <v>1</v>
      </c>
      <c r="E1099">
        <v>48</v>
      </c>
      <c r="F1099">
        <v>1</v>
      </c>
      <c r="G1099">
        <v>0</v>
      </c>
      <c r="H1099">
        <v>0</v>
      </c>
      <c r="I1099">
        <v>0</v>
      </c>
      <c r="J1099">
        <v>0</v>
      </c>
      <c r="K1099">
        <v>0</v>
      </c>
      <c r="L1099">
        <v>1</v>
      </c>
      <c r="M1099">
        <v>0</v>
      </c>
      <c r="N1099">
        <v>0</v>
      </c>
      <c r="O1099" t="str" cm="1">
        <f t="array" ref="O1099">_xlfn.IFS(Table1[[#This Row],[Divorced]]=1, "Divorced", Table1[[#This Row],[Married]]=1, "Married", Table1[[#This Row],[Single]]=1, "Single", Table1[[#This Row],[Together]]=1, "Together", Table1[[#This Row],[Widow]]=1, "Widow")</f>
        <v>Divorced</v>
      </c>
      <c r="P1099" t="str" cm="1">
        <f t="array" ref="P1099">_xlfn.IFS(Table1[[#This Row],[Basic]]=1, "Basic", Table1[[#This Row],[Graduate]]=1, "Graduate", Table1[[#This Row],[Master]]=1, "Master", Table1[[#This Row],[PhD]]=1, "PhD", AND(Table1[[#This Row],[Basic]]=0, Table1[[#This Row],[Graduate]]=0, Table1[[#This Row],[Master]]=0, Table1[[#This Row],[PhD]]=0), "NA")</f>
        <v>Graduate</v>
      </c>
      <c r="Q1099" t="e">
        <f>_xlfn.XLOOKUP(Table1[[#This Row],[ID]], Table2[ID],#REF!, "Not Found", 0)</f>
        <v>#REF!</v>
      </c>
      <c r="R1099" t="e">
        <f>_xlfn.XLOOKUP(Table1[[#This Row],[ID]], Table2[ID],#REF!, "Not Found", 0)</f>
        <v>#REF!</v>
      </c>
      <c r="S1099" s="3" t="str">
        <f>_xlfn.XLOOKUP(Table1[[#This Row],[ID]], Table2[ID], Table2[Enrollment], "Not Found", 0)</f>
        <v>9/16/2019</v>
      </c>
      <c r="T1099" t="s">
        <v>435</v>
      </c>
    </row>
    <row r="1100" spans="1:20" x14ac:dyDescent="0.3">
      <c r="A1100">
        <v>2491</v>
      </c>
      <c r="B1100">
        <v>151766</v>
      </c>
      <c r="C1100">
        <v>1</v>
      </c>
      <c r="D1100">
        <v>0</v>
      </c>
      <c r="E1100">
        <v>40</v>
      </c>
      <c r="F1100">
        <v>0</v>
      </c>
      <c r="G1100">
        <v>0</v>
      </c>
      <c r="H1100">
        <v>1</v>
      </c>
      <c r="I1100">
        <v>0</v>
      </c>
      <c r="J1100">
        <v>0</v>
      </c>
      <c r="K1100">
        <v>0</v>
      </c>
      <c r="L1100">
        <v>1</v>
      </c>
      <c r="M1100">
        <v>0</v>
      </c>
      <c r="N1100">
        <v>0</v>
      </c>
      <c r="O1100" t="str" cm="1">
        <f t="array" ref="O1100">_xlfn.IFS(Table1[[#This Row],[Divorced]]=1, "Divorced", Table1[[#This Row],[Married]]=1, "Married", Table1[[#This Row],[Single]]=1, "Single", Table1[[#This Row],[Together]]=1, "Together", Table1[[#This Row],[Widow]]=1, "Widow")</f>
        <v>Single</v>
      </c>
      <c r="P1100" t="str" cm="1">
        <f t="array" ref="P1100">_xlfn.IFS(Table1[[#This Row],[Basic]]=1, "Basic", Table1[[#This Row],[Graduate]]=1, "Graduate", Table1[[#This Row],[Master]]=1, "Master", Table1[[#This Row],[PhD]]=1, "PhD", AND(Table1[[#This Row],[Basic]]=0, Table1[[#This Row],[Graduate]]=0, Table1[[#This Row],[Master]]=0, Table1[[#This Row],[PhD]]=0), "NA")</f>
        <v>Graduate</v>
      </c>
      <c r="Q1100" t="e">
        <f>_xlfn.XLOOKUP(Table1[[#This Row],[ID]], Table2[ID],#REF!, "Not Found", 0)</f>
        <v>#REF!</v>
      </c>
      <c r="R1100" t="e">
        <f>_xlfn.XLOOKUP(Table1[[#This Row],[ID]], Table2[ID],#REF!, "Not Found", 0)</f>
        <v>#REF!</v>
      </c>
      <c r="S1100" s="3" t="str">
        <f>_xlfn.XLOOKUP(Table1[[#This Row],[ID]], Table2[ID], Table2[Enrollment], "Not Found", 0)</f>
        <v>8/15/2020</v>
      </c>
      <c r="T1100" t="s">
        <v>437</v>
      </c>
    </row>
    <row r="1101" spans="1:20" x14ac:dyDescent="0.3">
      <c r="A1101">
        <v>2596</v>
      </c>
      <c r="B1101">
        <v>151717</v>
      </c>
      <c r="C1101">
        <v>0</v>
      </c>
      <c r="D1101">
        <v>1</v>
      </c>
      <c r="E1101">
        <v>55</v>
      </c>
      <c r="F1101">
        <v>0</v>
      </c>
      <c r="G1101">
        <v>0</v>
      </c>
      <c r="H1101">
        <v>0</v>
      </c>
      <c r="I1101">
        <v>1</v>
      </c>
      <c r="J1101">
        <v>0</v>
      </c>
      <c r="K1101">
        <v>0</v>
      </c>
      <c r="L1101">
        <v>0</v>
      </c>
      <c r="M1101">
        <v>0</v>
      </c>
      <c r="N1101">
        <v>1</v>
      </c>
      <c r="O1101" t="str" cm="1">
        <f t="array" ref="O1101">_xlfn.IFS(Table1[[#This Row],[Divorced]]=1, "Divorced", Table1[[#This Row],[Married]]=1, "Married", Table1[[#This Row],[Single]]=1, "Single", Table1[[#This Row],[Together]]=1, "Together", Table1[[#This Row],[Widow]]=1, "Widow")</f>
        <v>Together</v>
      </c>
      <c r="P1101" t="str" cm="1">
        <f t="array" ref="P1101">_xlfn.IFS(Table1[[#This Row],[Basic]]=1, "Basic", Table1[[#This Row],[Graduate]]=1, "Graduate", Table1[[#This Row],[Master]]=1, "Master", Table1[[#This Row],[PhD]]=1, "PhD", AND(Table1[[#This Row],[Basic]]=0, Table1[[#This Row],[Graduate]]=0, Table1[[#This Row],[Master]]=0, Table1[[#This Row],[PhD]]=0), "NA")</f>
        <v>PhD</v>
      </c>
      <c r="Q1101" t="e">
        <f>_xlfn.XLOOKUP(Table1[[#This Row],[ID]], Table2[ID],#REF!, "Not Found", 0)</f>
        <v>#REF!</v>
      </c>
      <c r="R1101" t="e">
        <f>_xlfn.XLOOKUP(Table1[[#This Row],[ID]], Table2[ID],#REF!, "Not Found", 0)</f>
        <v>#REF!</v>
      </c>
      <c r="S1101" s="3" t="str">
        <f>_xlfn.XLOOKUP(Table1[[#This Row],[ID]], Table2[ID], Table2[Enrollment], "Not Found", 0)</f>
        <v>1/25/2020</v>
      </c>
      <c r="T1101" t="s">
        <v>439</v>
      </c>
    </row>
    <row r="1102" spans="1:20" x14ac:dyDescent="0.3">
      <c r="A1102">
        <v>3052</v>
      </c>
      <c r="B1102">
        <v>151651</v>
      </c>
      <c r="C1102">
        <v>0</v>
      </c>
      <c r="D1102">
        <v>1</v>
      </c>
      <c r="E1102">
        <v>60</v>
      </c>
      <c r="F1102">
        <v>0</v>
      </c>
      <c r="G1102">
        <v>1</v>
      </c>
      <c r="H1102">
        <v>0</v>
      </c>
      <c r="I1102">
        <v>0</v>
      </c>
      <c r="J1102">
        <v>0</v>
      </c>
      <c r="K1102">
        <v>0</v>
      </c>
      <c r="L1102">
        <v>1</v>
      </c>
      <c r="M1102">
        <v>0</v>
      </c>
      <c r="N1102">
        <v>0</v>
      </c>
      <c r="O1102" t="str" cm="1">
        <f t="array" ref="O1102">_xlfn.IFS(Table1[[#This Row],[Divorced]]=1, "Divorced", Table1[[#This Row],[Married]]=1, "Married", Table1[[#This Row],[Single]]=1, "Single", Table1[[#This Row],[Together]]=1, "Together", Table1[[#This Row],[Widow]]=1, "Widow")</f>
        <v>Married</v>
      </c>
      <c r="P1102" t="str" cm="1">
        <f t="array" ref="P1102">_xlfn.IFS(Table1[[#This Row],[Basic]]=1, "Basic", Table1[[#This Row],[Graduate]]=1, "Graduate", Table1[[#This Row],[Master]]=1, "Master", Table1[[#This Row],[PhD]]=1, "PhD", AND(Table1[[#This Row],[Basic]]=0, Table1[[#This Row],[Graduate]]=0, Table1[[#This Row],[Master]]=0, Table1[[#This Row],[PhD]]=0), "NA")</f>
        <v>Graduate</v>
      </c>
      <c r="Q1102" t="e">
        <f>_xlfn.XLOOKUP(Table1[[#This Row],[ID]], Table2[ID],#REF!, "Not Found", 0)</f>
        <v>#REF!</v>
      </c>
      <c r="R1102" t="e">
        <f>_xlfn.XLOOKUP(Table1[[#This Row],[ID]], Table2[ID],#REF!, "Not Found", 0)</f>
        <v>#REF!</v>
      </c>
      <c r="S1102" s="3" t="str">
        <f>_xlfn.XLOOKUP(Table1[[#This Row],[ID]], Table2[ID], Table2[Enrollment], "Not Found", 0)</f>
        <v>4/14/2019</v>
      </c>
      <c r="T1102" t="s">
        <v>439</v>
      </c>
    </row>
    <row r="1103" spans="1:20" x14ac:dyDescent="0.3">
      <c r="A1103">
        <v>1169</v>
      </c>
      <c r="B1103">
        <v>151650</v>
      </c>
      <c r="C1103">
        <v>0</v>
      </c>
      <c r="D1103">
        <v>1</v>
      </c>
      <c r="E1103">
        <v>44</v>
      </c>
      <c r="F1103">
        <v>0</v>
      </c>
      <c r="G1103">
        <v>1</v>
      </c>
      <c r="H1103">
        <v>0</v>
      </c>
      <c r="I1103">
        <v>0</v>
      </c>
      <c r="J1103">
        <v>0</v>
      </c>
      <c r="K1103">
        <v>0</v>
      </c>
      <c r="L1103">
        <v>0</v>
      </c>
      <c r="M1103">
        <v>0</v>
      </c>
      <c r="N1103">
        <v>1</v>
      </c>
      <c r="O1103" t="str" cm="1">
        <f t="array" ref="O1103">_xlfn.IFS(Table1[[#This Row],[Divorced]]=1, "Divorced", Table1[[#This Row],[Married]]=1, "Married", Table1[[#This Row],[Single]]=1, "Single", Table1[[#This Row],[Together]]=1, "Together", Table1[[#This Row],[Widow]]=1, "Widow")</f>
        <v>Married</v>
      </c>
      <c r="P1103" t="str" cm="1">
        <f t="array" ref="P1103">_xlfn.IFS(Table1[[#This Row],[Basic]]=1, "Basic", Table1[[#This Row],[Graduate]]=1, "Graduate", Table1[[#This Row],[Master]]=1, "Master", Table1[[#This Row],[PhD]]=1, "PhD", AND(Table1[[#This Row],[Basic]]=0, Table1[[#This Row],[Graduate]]=0, Table1[[#This Row],[Master]]=0, Table1[[#This Row],[PhD]]=0), "NA")</f>
        <v>PhD</v>
      </c>
      <c r="Q1103" t="e">
        <f>_xlfn.XLOOKUP(Table1[[#This Row],[ID]], Table2[ID],#REF!, "Not Found", 0)</f>
        <v>#REF!</v>
      </c>
      <c r="R1103" t="e">
        <f>_xlfn.XLOOKUP(Table1[[#This Row],[ID]], Table2[ID],#REF!, "Not Found", 0)</f>
        <v>#REF!</v>
      </c>
      <c r="S1103" s="3" t="str">
        <f>_xlfn.XLOOKUP(Table1[[#This Row],[ID]], Table2[ID], Table2[Enrollment], "Not Found", 0)</f>
        <v>10/15/2020</v>
      </c>
      <c r="T1103" t="s">
        <v>434</v>
      </c>
    </row>
    <row r="1104" spans="1:20" x14ac:dyDescent="0.3">
      <c r="A1104">
        <v>2728</v>
      </c>
      <c r="B1104">
        <v>151569</v>
      </c>
      <c r="C1104">
        <v>0</v>
      </c>
      <c r="D1104">
        <v>1</v>
      </c>
      <c r="E1104">
        <v>71</v>
      </c>
      <c r="F1104">
        <v>0</v>
      </c>
      <c r="G1104">
        <v>0</v>
      </c>
      <c r="H1104">
        <v>0</v>
      </c>
      <c r="I1104">
        <v>0</v>
      </c>
      <c r="J1104">
        <v>1</v>
      </c>
      <c r="K1104">
        <v>0</v>
      </c>
      <c r="L1104">
        <v>0</v>
      </c>
      <c r="M1104">
        <v>0</v>
      </c>
      <c r="N1104">
        <v>1</v>
      </c>
      <c r="O1104" t="str" cm="1">
        <f t="array" ref="O1104">_xlfn.IFS(Table1[[#This Row],[Divorced]]=1, "Divorced", Table1[[#This Row],[Married]]=1, "Married", Table1[[#This Row],[Single]]=1, "Single", Table1[[#This Row],[Together]]=1, "Together", Table1[[#This Row],[Widow]]=1, "Widow")</f>
        <v>Widow</v>
      </c>
      <c r="P1104" t="str" cm="1">
        <f t="array" ref="P1104">_xlfn.IFS(Table1[[#This Row],[Basic]]=1, "Basic", Table1[[#This Row],[Graduate]]=1, "Graduate", Table1[[#This Row],[Master]]=1, "Master", Table1[[#This Row],[PhD]]=1, "PhD", AND(Table1[[#This Row],[Basic]]=0, Table1[[#This Row],[Graduate]]=0, Table1[[#This Row],[Master]]=0, Table1[[#This Row],[PhD]]=0), "NA")</f>
        <v>PhD</v>
      </c>
      <c r="Q1104" t="e">
        <f>_xlfn.XLOOKUP(Table1[[#This Row],[ID]], Table2[ID],#REF!, "Not Found", 0)</f>
        <v>#REF!</v>
      </c>
      <c r="R1104" t="e">
        <f>_xlfn.XLOOKUP(Table1[[#This Row],[ID]], Table2[ID],#REF!, "Not Found", 0)</f>
        <v>#REF!</v>
      </c>
      <c r="S1104" s="3" t="str">
        <f>_xlfn.XLOOKUP(Table1[[#This Row],[ID]], Table2[ID], Table2[Enrollment], "Not Found", 0)</f>
        <v>7/20/2019</v>
      </c>
      <c r="T1104" t="s">
        <v>439</v>
      </c>
    </row>
    <row r="1105" spans="1:20" x14ac:dyDescent="0.3">
      <c r="A1105">
        <v>1926</v>
      </c>
      <c r="B1105">
        <v>151563</v>
      </c>
      <c r="C1105">
        <v>0</v>
      </c>
      <c r="D1105">
        <v>0</v>
      </c>
      <c r="E1105">
        <v>33</v>
      </c>
      <c r="F1105">
        <v>0</v>
      </c>
      <c r="G1105">
        <v>1</v>
      </c>
      <c r="H1105">
        <v>0</v>
      </c>
      <c r="I1105">
        <v>0</v>
      </c>
      <c r="J1105">
        <v>0</v>
      </c>
      <c r="K1105">
        <v>0</v>
      </c>
      <c r="L1105">
        <v>0</v>
      </c>
      <c r="M1105">
        <v>0</v>
      </c>
      <c r="N1105">
        <v>1</v>
      </c>
      <c r="O1105" t="str" cm="1">
        <f t="array" ref="O1105">_xlfn.IFS(Table1[[#This Row],[Divorced]]=1, "Divorced", Table1[[#This Row],[Married]]=1, "Married", Table1[[#This Row],[Single]]=1, "Single", Table1[[#This Row],[Together]]=1, "Together", Table1[[#This Row],[Widow]]=1, "Widow")</f>
        <v>Married</v>
      </c>
      <c r="P1105" t="str" cm="1">
        <f t="array" ref="P1105">_xlfn.IFS(Table1[[#This Row],[Basic]]=1, "Basic", Table1[[#This Row],[Graduate]]=1, "Graduate", Table1[[#This Row],[Master]]=1, "Master", Table1[[#This Row],[PhD]]=1, "PhD", AND(Table1[[#This Row],[Basic]]=0, Table1[[#This Row],[Graduate]]=0, Table1[[#This Row],[Master]]=0, Table1[[#This Row],[PhD]]=0), "NA")</f>
        <v>PhD</v>
      </c>
      <c r="Q1105" t="e">
        <f>_xlfn.XLOOKUP(Table1[[#This Row],[ID]], Table2[ID],#REF!, "Not Found", 0)</f>
        <v>#REF!</v>
      </c>
      <c r="R1105" t="e">
        <f>_xlfn.XLOOKUP(Table1[[#This Row],[ID]], Table2[ID],#REF!, "Not Found", 0)</f>
        <v>#REF!</v>
      </c>
      <c r="S1105" s="3">
        <f>_xlfn.XLOOKUP(Table1[[#This Row],[ID]], Table2[ID], Table2[Enrollment], "Not Found", 0)</f>
        <v>43680</v>
      </c>
      <c r="T1105" t="s">
        <v>436</v>
      </c>
    </row>
    <row r="1106" spans="1:20" x14ac:dyDescent="0.3">
      <c r="A1106">
        <v>1215</v>
      </c>
      <c r="B1106">
        <v>151537</v>
      </c>
      <c r="C1106">
        <v>0</v>
      </c>
      <c r="D1106">
        <v>1</v>
      </c>
      <c r="E1106">
        <v>68</v>
      </c>
      <c r="F1106">
        <v>1</v>
      </c>
      <c r="G1106">
        <v>0</v>
      </c>
      <c r="H1106">
        <v>0</v>
      </c>
      <c r="I1106">
        <v>0</v>
      </c>
      <c r="J1106">
        <v>0</v>
      </c>
      <c r="K1106">
        <v>0</v>
      </c>
      <c r="L1106">
        <v>1</v>
      </c>
      <c r="M1106">
        <v>0</v>
      </c>
      <c r="N1106">
        <v>0</v>
      </c>
      <c r="O1106" t="str" cm="1">
        <f t="array" ref="O1106">_xlfn.IFS(Table1[[#This Row],[Divorced]]=1, "Divorced", Table1[[#This Row],[Married]]=1, "Married", Table1[[#This Row],[Single]]=1, "Single", Table1[[#This Row],[Together]]=1, "Together", Table1[[#This Row],[Widow]]=1, "Widow")</f>
        <v>Divorced</v>
      </c>
      <c r="P1106" t="str" cm="1">
        <f t="array" ref="P1106">_xlfn.IFS(Table1[[#This Row],[Basic]]=1, "Basic", Table1[[#This Row],[Graduate]]=1, "Graduate", Table1[[#This Row],[Master]]=1, "Master", Table1[[#This Row],[PhD]]=1, "PhD", AND(Table1[[#This Row],[Basic]]=0, Table1[[#This Row],[Graduate]]=0, Table1[[#This Row],[Master]]=0, Table1[[#This Row],[PhD]]=0), "NA")</f>
        <v>Graduate</v>
      </c>
      <c r="Q1106" t="e">
        <f>_xlfn.XLOOKUP(Table1[[#This Row],[ID]], Table2[ID],#REF!, "Not Found", 0)</f>
        <v>#REF!</v>
      </c>
      <c r="R1106" t="e">
        <f>_xlfn.XLOOKUP(Table1[[#This Row],[ID]], Table2[ID],#REF!, "Not Found", 0)</f>
        <v>#REF!</v>
      </c>
      <c r="S1106" s="3" t="str">
        <f>_xlfn.XLOOKUP(Table1[[#This Row],[ID]], Table2[ID], Table2[Enrollment], "Not Found", 0)</f>
        <v>5/16/2019</v>
      </c>
      <c r="T1106" t="s">
        <v>435</v>
      </c>
    </row>
    <row r="1107" spans="1:20" x14ac:dyDescent="0.3">
      <c r="A1107">
        <v>1421</v>
      </c>
      <c r="B1107">
        <v>151529</v>
      </c>
      <c r="C1107">
        <v>0</v>
      </c>
      <c r="D1107">
        <v>1</v>
      </c>
      <c r="E1107">
        <v>71</v>
      </c>
      <c r="F1107">
        <v>0</v>
      </c>
      <c r="G1107">
        <v>0</v>
      </c>
      <c r="H1107">
        <v>0</v>
      </c>
      <c r="I1107">
        <v>0</v>
      </c>
      <c r="J1107">
        <v>1</v>
      </c>
      <c r="K1107">
        <v>0</v>
      </c>
      <c r="L1107">
        <v>0</v>
      </c>
      <c r="M1107">
        <v>1</v>
      </c>
      <c r="N1107">
        <v>0</v>
      </c>
      <c r="O1107" t="str" cm="1">
        <f t="array" ref="O1107">_xlfn.IFS(Table1[[#This Row],[Divorced]]=1, "Divorced", Table1[[#This Row],[Married]]=1, "Married", Table1[[#This Row],[Single]]=1, "Single", Table1[[#This Row],[Together]]=1, "Together", Table1[[#This Row],[Widow]]=1, "Widow")</f>
        <v>Widow</v>
      </c>
      <c r="P1107" t="str" cm="1">
        <f t="array" ref="P1107">_xlfn.IFS(Table1[[#This Row],[Basic]]=1, "Basic", Table1[[#This Row],[Graduate]]=1, "Graduate", Table1[[#This Row],[Master]]=1, "Master", Table1[[#This Row],[PhD]]=1, "PhD", AND(Table1[[#This Row],[Basic]]=0, Table1[[#This Row],[Graduate]]=0, Table1[[#This Row],[Master]]=0, Table1[[#This Row],[PhD]]=0), "NA")</f>
        <v>Master</v>
      </c>
      <c r="Q1107" t="e">
        <f>_xlfn.XLOOKUP(Table1[[#This Row],[ID]], Table2[ID],#REF!, "Not Found", 0)</f>
        <v>#REF!</v>
      </c>
      <c r="R1107" t="e">
        <f>_xlfn.XLOOKUP(Table1[[#This Row],[ID]], Table2[ID],#REF!, "Not Found", 0)</f>
        <v>#REF!</v>
      </c>
      <c r="S1107" s="3">
        <f>_xlfn.XLOOKUP(Table1[[#This Row],[ID]], Table2[ID], Table2[Enrollment], "Not Found", 0)</f>
        <v>44167</v>
      </c>
      <c r="T1107" t="s">
        <v>434</v>
      </c>
    </row>
    <row r="1108" spans="1:20" x14ac:dyDescent="0.3">
      <c r="A1108">
        <v>1732</v>
      </c>
      <c r="B1108">
        <v>151518</v>
      </c>
      <c r="C1108">
        <v>0</v>
      </c>
      <c r="D1108">
        <v>1</v>
      </c>
      <c r="E1108">
        <v>62</v>
      </c>
      <c r="F1108">
        <v>0</v>
      </c>
      <c r="G1108">
        <v>0</v>
      </c>
      <c r="H1108">
        <v>0</v>
      </c>
      <c r="I1108">
        <v>1</v>
      </c>
      <c r="J1108">
        <v>0</v>
      </c>
      <c r="K1108">
        <v>0</v>
      </c>
      <c r="L1108">
        <v>0</v>
      </c>
      <c r="M1108">
        <v>0</v>
      </c>
      <c r="N1108">
        <v>1</v>
      </c>
      <c r="O1108" t="str" cm="1">
        <f t="array" ref="O1108">_xlfn.IFS(Table1[[#This Row],[Divorced]]=1, "Divorced", Table1[[#This Row],[Married]]=1, "Married", Table1[[#This Row],[Single]]=1, "Single", Table1[[#This Row],[Together]]=1, "Together", Table1[[#This Row],[Widow]]=1, "Widow")</f>
        <v>Together</v>
      </c>
      <c r="P1108" t="str" cm="1">
        <f t="array" ref="P1108">_xlfn.IFS(Table1[[#This Row],[Basic]]=1, "Basic", Table1[[#This Row],[Graduate]]=1, "Graduate", Table1[[#This Row],[Master]]=1, "Master", Table1[[#This Row],[PhD]]=1, "PhD", AND(Table1[[#This Row],[Basic]]=0, Table1[[#This Row],[Graduate]]=0, Table1[[#This Row],[Master]]=0, Table1[[#This Row],[PhD]]=0), "NA")</f>
        <v>PhD</v>
      </c>
      <c r="Q1108" t="e">
        <f>_xlfn.XLOOKUP(Table1[[#This Row],[ID]], Table2[ID],#REF!, "Not Found", 0)</f>
        <v>#REF!</v>
      </c>
      <c r="R1108" t="e">
        <f>_xlfn.XLOOKUP(Table1[[#This Row],[ID]], Table2[ID],#REF!, "Not Found", 0)</f>
        <v>#REF!</v>
      </c>
      <c r="S1108" s="3">
        <f>_xlfn.XLOOKUP(Table1[[#This Row],[ID]], Table2[ID], Table2[Enrollment], "Not Found", 0)</f>
        <v>44077</v>
      </c>
      <c r="T1108" t="s">
        <v>439</v>
      </c>
    </row>
    <row r="1109" spans="1:20" x14ac:dyDescent="0.3">
      <c r="A1109">
        <v>1348</v>
      </c>
      <c r="B1109">
        <v>151479</v>
      </c>
      <c r="C1109">
        <v>1</v>
      </c>
      <c r="D1109">
        <v>1</v>
      </c>
      <c r="E1109">
        <v>53</v>
      </c>
      <c r="F1109">
        <v>0</v>
      </c>
      <c r="G1109">
        <v>1</v>
      </c>
      <c r="H1109">
        <v>0</v>
      </c>
      <c r="I1109">
        <v>0</v>
      </c>
      <c r="J1109">
        <v>0</v>
      </c>
      <c r="K1109">
        <v>0</v>
      </c>
      <c r="L1109">
        <v>1</v>
      </c>
      <c r="M1109">
        <v>0</v>
      </c>
      <c r="N1109">
        <v>0</v>
      </c>
      <c r="O1109" t="str" cm="1">
        <f t="array" ref="O1109">_xlfn.IFS(Table1[[#This Row],[Divorced]]=1, "Divorced", Table1[[#This Row],[Married]]=1, "Married", Table1[[#This Row],[Single]]=1, "Single", Table1[[#This Row],[Together]]=1, "Together", Table1[[#This Row],[Widow]]=1, "Widow")</f>
        <v>Married</v>
      </c>
      <c r="P1109" t="str" cm="1">
        <f t="array" ref="P1109">_xlfn.IFS(Table1[[#This Row],[Basic]]=1, "Basic", Table1[[#This Row],[Graduate]]=1, "Graduate", Table1[[#This Row],[Master]]=1, "Master", Table1[[#This Row],[PhD]]=1, "PhD", AND(Table1[[#This Row],[Basic]]=0, Table1[[#This Row],[Graduate]]=0, Table1[[#This Row],[Master]]=0, Table1[[#This Row],[PhD]]=0), "NA")</f>
        <v>Graduate</v>
      </c>
      <c r="Q1109" t="e">
        <f>_xlfn.XLOOKUP(Table1[[#This Row],[ID]], Table2[ID],#REF!, "Not Found", 0)</f>
        <v>#REF!</v>
      </c>
      <c r="R1109" t="e">
        <f>_xlfn.XLOOKUP(Table1[[#This Row],[ID]], Table2[ID],#REF!, "Not Found", 0)</f>
        <v>#REF!</v>
      </c>
      <c r="S1109" s="3">
        <f>_xlfn.XLOOKUP(Table1[[#This Row],[ID]], Table2[ID], Table2[Enrollment], "Not Found", 0)</f>
        <v>43561</v>
      </c>
      <c r="T1109" t="s">
        <v>439</v>
      </c>
    </row>
    <row r="1110" spans="1:20" x14ac:dyDescent="0.3">
      <c r="A1110">
        <v>2183</v>
      </c>
      <c r="B1110">
        <v>151412</v>
      </c>
      <c r="C1110">
        <v>0</v>
      </c>
      <c r="D1110">
        <v>1</v>
      </c>
      <c r="E1110">
        <v>62</v>
      </c>
      <c r="F1110">
        <v>0</v>
      </c>
      <c r="G1110">
        <v>1</v>
      </c>
      <c r="H1110">
        <v>0</v>
      </c>
      <c r="I1110">
        <v>0</v>
      </c>
      <c r="J1110">
        <v>0</v>
      </c>
      <c r="K1110">
        <v>0</v>
      </c>
      <c r="L1110">
        <v>0</v>
      </c>
      <c r="M1110">
        <v>1</v>
      </c>
      <c r="N1110">
        <v>0</v>
      </c>
      <c r="O1110" t="str" cm="1">
        <f t="array" ref="O1110">_xlfn.IFS(Table1[[#This Row],[Divorced]]=1, "Divorced", Table1[[#This Row],[Married]]=1, "Married", Table1[[#This Row],[Single]]=1, "Single", Table1[[#This Row],[Together]]=1, "Together", Table1[[#This Row],[Widow]]=1, "Widow")</f>
        <v>Married</v>
      </c>
      <c r="P1110" t="str" cm="1">
        <f t="array" ref="P1110">_xlfn.IFS(Table1[[#This Row],[Basic]]=1, "Basic", Table1[[#This Row],[Graduate]]=1, "Graduate", Table1[[#This Row],[Master]]=1, "Master", Table1[[#This Row],[PhD]]=1, "PhD", AND(Table1[[#This Row],[Basic]]=0, Table1[[#This Row],[Graduate]]=0, Table1[[#This Row],[Master]]=0, Table1[[#This Row],[PhD]]=0), "NA")</f>
        <v>Master</v>
      </c>
      <c r="Q1110" t="e">
        <f>_xlfn.XLOOKUP(Table1[[#This Row],[ID]], Table2[ID],#REF!, "Not Found", 0)</f>
        <v>#REF!</v>
      </c>
      <c r="R1110" t="e">
        <f>_xlfn.XLOOKUP(Table1[[#This Row],[ID]], Table2[ID],#REF!, "Not Found", 0)</f>
        <v>#REF!</v>
      </c>
      <c r="S1110" s="3">
        <f>_xlfn.XLOOKUP(Table1[[#This Row],[ID]], Table2[ID], Table2[Enrollment], "Not Found", 0)</f>
        <v>43988</v>
      </c>
      <c r="T1110" t="s">
        <v>434</v>
      </c>
    </row>
    <row r="1111" spans="1:20" x14ac:dyDescent="0.3">
      <c r="A1111">
        <v>2519</v>
      </c>
      <c r="B1111">
        <v>151411</v>
      </c>
      <c r="C1111">
        <v>1</v>
      </c>
      <c r="D1111">
        <v>2</v>
      </c>
      <c r="E1111">
        <v>67</v>
      </c>
      <c r="F1111">
        <v>0</v>
      </c>
      <c r="G1111">
        <v>0</v>
      </c>
      <c r="H1111">
        <v>1</v>
      </c>
      <c r="I1111">
        <v>0</v>
      </c>
      <c r="J1111">
        <v>0</v>
      </c>
      <c r="K1111">
        <v>0</v>
      </c>
      <c r="L1111">
        <v>0</v>
      </c>
      <c r="M1111">
        <v>0</v>
      </c>
      <c r="N1111">
        <v>1</v>
      </c>
      <c r="O1111" t="str" cm="1">
        <f t="array" ref="O1111">_xlfn.IFS(Table1[[#This Row],[Divorced]]=1, "Divorced", Table1[[#This Row],[Married]]=1, "Married", Table1[[#This Row],[Single]]=1, "Single", Table1[[#This Row],[Together]]=1, "Together", Table1[[#This Row],[Widow]]=1, "Widow")</f>
        <v>Single</v>
      </c>
      <c r="P1111" t="str" cm="1">
        <f t="array" ref="P1111">_xlfn.IFS(Table1[[#This Row],[Basic]]=1, "Basic", Table1[[#This Row],[Graduate]]=1, "Graduate", Table1[[#This Row],[Master]]=1, "Master", Table1[[#This Row],[PhD]]=1, "PhD", AND(Table1[[#This Row],[Basic]]=0, Table1[[#This Row],[Graduate]]=0, Table1[[#This Row],[Master]]=0, Table1[[#This Row],[PhD]]=0), "NA")</f>
        <v>PhD</v>
      </c>
      <c r="Q1111" t="e">
        <f>_xlfn.XLOOKUP(Table1[[#This Row],[ID]], Table2[ID],#REF!, "Not Found", 0)</f>
        <v>#REF!</v>
      </c>
      <c r="R1111" t="e">
        <f>_xlfn.XLOOKUP(Table1[[#This Row],[ID]], Table2[ID],#REF!, "Not Found", 0)</f>
        <v>#REF!</v>
      </c>
      <c r="S1111" s="3" t="str">
        <f>_xlfn.XLOOKUP(Table1[[#This Row],[ID]], Table2[ID], Table2[Enrollment], "Not Found", 0)</f>
        <v>10/31/2019</v>
      </c>
      <c r="T1111" t="s">
        <v>434</v>
      </c>
    </row>
    <row r="1112" spans="1:20" x14ac:dyDescent="0.3">
      <c r="A1112">
        <v>1872</v>
      </c>
      <c r="B1112">
        <v>151390</v>
      </c>
      <c r="C1112">
        <v>1</v>
      </c>
      <c r="D1112">
        <v>1</v>
      </c>
      <c r="E1112">
        <v>55</v>
      </c>
      <c r="F1112">
        <v>0</v>
      </c>
      <c r="G1112">
        <v>0</v>
      </c>
      <c r="H1112">
        <v>0</v>
      </c>
      <c r="I1112">
        <v>0</v>
      </c>
      <c r="J1112">
        <v>1</v>
      </c>
      <c r="K1112">
        <v>0</v>
      </c>
      <c r="L1112">
        <v>0</v>
      </c>
      <c r="M1112">
        <v>1</v>
      </c>
      <c r="N1112">
        <v>0</v>
      </c>
      <c r="O1112" t="str" cm="1">
        <f t="array" ref="O1112">_xlfn.IFS(Table1[[#This Row],[Divorced]]=1, "Divorced", Table1[[#This Row],[Married]]=1, "Married", Table1[[#This Row],[Single]]=1, "Single", Table1[[#This Row],[Together]]=1, "Together", Table1[[#This Row],[Widow]]=1, "Widow")</f>
        <v>Widow</v>
      </c>
      <c r="P1112" t="str" cm="1">
        <f t="array" ref="P1112">_xlfn.IFS(Table1[[#This Row],[Basic]]=1, "Basic", Table1[[#This Row],[Graduate]]=1, "Graduate", Table1[[#This Row],[Master]]=1, "Master", Table1[[#This Row],[PhD]]=1, "PhD", AND(Table1[[#This Row],[Basic]]=0, Table1[[#This Row],[Graduate]]=0, Table1[[#This Row],[Master]]=0, Table1[[#This Row],[PhD]]=0), "NA")</f>
        <v>Master</v>
      </c>
      <c r="Q1112" t="e">
        <f>_xlfn.XLOOKUP(Table1[[#This Row],[ID]], Table2[ID],#REF!, "Not Found", 0)</f>
        <v>#REF!</v>
      </c>
      <c r="R1112" t="e">
        <f>_xlfn.XLOOKUP(Table1[[#This Row],[ID]], Table2[ID],#REF!, "Not Found", 0)</f>
        <v>#REF!</v>
      </c>
      <c r="S1112" s="3" t="str">
        <f>_xlfn.XLOOKUP(Table1[[#This Row],[ID]], Table2[ID], Table2[Enrollment], "Not Found", 0)</f>
        <v>2/13/2019</v>
      </c>
      <c r="T1112" t="s">
        <v>436</v>
      </c>
    </row>
    <row r="1113" spans="1:20" x14ac:dyDescent="0.3">
      <c r="A1113">
        <v>2962</v>
      </c>
      <c r="B1113">
        <v>151373</v>
      </c>
      <c r="C1113">
        <v>0</v>
      </c>
      <c r="D1113">
        <v>0</v>
      </c>
      <c r="E1113">
        <v>29</v>
      </c>
      <c r="F1113">
        <v>0</v>
      </c>
      <c r="G1113">
        <v>1</v>
      </c>
      <c r="H1113">
        <v>0</v>
      </c>
      <c r="I1113">
        <v>0</v>
      </c>
      <c r="J1113">
        <v>0</v>
      </c>
      <c r="K1113">
        <v>0</v>
      </c>
      <c r="L1113">
        <v>1</v>
      </c>
      <c r="M1113">
        <v>0</v>
      </c>
      <c r="N1113">
        <v>0</v>
      </c>
      <c r="O1113" t="str" cm="1">
        <f t="array" ref="O1113">_xlfn.IFS(Table1[[#This Row],[Divorced]]=1, "Divorced", Table1[[#This Row],[Married]]=1, "Married", Table1[[#This Row],[Single]]=1, "Single", Table1[[#This Row],[Together]]=1, "Together", Table1[[#This Row],[Widow]]=1, "Widow")</f>
        <v>Married</v>
      </c>
      <c r="P1113" t="str" cm="1">
        <f t="array" ref="P1113">_xlfn.IFS(Table1[[#This Row],[Basic]]=1, "Basic", Table1[[#This Row],[Graduate]]=1, "Graduate", Table1[[#This Row],[Master]]=1, "Master", Table1[[#This Row],[PhD]]=1, "PhD", AND(Table1[[#This Row],[Basic]]=0, Table1[[#This Row],[Graduate]]=0, Table1[[#This Row],[Master]]=0, Table1[[#This Row],[PhD]]=0), "NA")</f>
        <v>Graduate</v>
      </c>
      <c r="Q1113" t="e">
        <f>_xlfn.XLOOKUP(Table1[[#This Row],[ID]], Table2[ID],#REF!, "Not Found", 0)</f>
        <v>#REF!</v>
      </c>
      <c r="R1113" t="e">
        <f>_xlfn.XLOOKUP(Table1[[#This Row],[ID]], Table2[ID],#REF!, "Not Found", 0)</f>
        <v>#REF!</v>
      </c>
      <c r="S1113" s="3" t="str">
        <f>_xlfn.XLOOKUP(Table1[[#This Row],[ID]], Table2[ID], Table2[Enrollment], "Not Found", 0)</f>
        <v>11/27/2019</v>
      </c>
      <c r="T1113" t="s">
        <v>439</v>
      </c>
    </row>
    <row r="1114" spans="1:20" x14ac:dyDescent="0.3">
      <c r="A1114">
        <v>1214</v>
      </c>
      <c r="B1114">
        <v>151369</v>
      </c>
      <c r="C1114">
        <v>0</v>
      </c>
      <c r="D1114">
        <v>1</v>
      </c>
      <c r="E1114">
        <v>44</v>
      </c>
      <c r="F1114">
        <v>0</v>
      </c>
      <c r="G1114">
        <v>0</v>
      </c>
      <c r="H1114">
        <v>0</v>
      </c>
      <c r="I1114">
        <v>1</v>
      </c>
      <c r="J1114">
        <v>0</v>
      </c>
      <c r="K1114">
        <v>0</v>
      </c>
      <c r="L1114">
        <v>1</v>
      </c>
      <c r="M1114">
        <v>0</v>
      </c>
      <c r="N1114">
        <v>0</v>
      </c>
      <c r="O1114" t="str" cm="1">
        <f t="array" ref="O1114">_xlfn.IFS(Table1[[#This Row],[Divorced]]=1, "Divorced", Table1[[#This Row],[Married]]=1, "Married", Table1[[#This Row],[Single]]=1, "Single", Table1[[#This Row],[Together]]=1, "Together", Table1[[#This Row],[Widow]]=1, "Widow")</f>
        <v>Together</v>
      </c>
      <c r="P1114" t="str" cm="1">
        <f t="array" ref="P1114">_xlfn.IFS(Table1[[#This Row],[Basic]]=1, "Basic", Table1[[#This Row],[Graduate]]=1, "Graduate", Table1[[#This Row],[Master]]=1, "Master", Table1[[#This Row],[PhD]]=1, "PhD", AND(Table1[[#This Row],[Basic]]=0, Table1[[#This Row],[Graduate]]=0, Table1[[#This Row],[Master]]=0, Table1[[#This Row],[PhD]]=0), "NA")</f>
        <v>Graduate</v>
      </c>
      <c r="Q1114" t="e">
        <f>_xlfn.XLOOKUP(Table1[[#This Row],[ID]], Table2[ID],#REF!, "Not Found", 0)</f>
        <v>#REF!</v>
      </c>
      <c r="R1114" t="e">
        <f>_xlfn.XLOOKUP(Table1[[#This Row],[ID]], Table2[ID],#REF!, "Not Found", 0)</f>
        <v>#REF!</v>
      </c>
      <c r="S1114" s="3">
        <f>_xlfn.XLOOKUP(Table1[[#This Row],[ID]], Table2[ID], Table2[Enrollment], "Not Found", 0)</f>
        <v>43469</v>
      </c>
      <c r="T1114" t="s">
        <v>438</v>
      </c>
    </row>
    <row r="1115" spans="1:20" x14ac:dyDescent="0.3">
      <c r="A1115">
        <v>1268</v>
      </c>
      <c r="B1115">
        <v>151369</v>
      </c>
      <c r="C1115">
        <v>0</v>
      </c>
      <c r="D1115">
        <v>1</v>
      </c>
      <c r="E1115">
        <v>44</v>
      </c>
      <c r="F1115">
        <v>0</v>
      </c>
      <c r="G1115">
        <v>0</v>
      </c>
      <c r="H1115">
        <v>0</v>
      </c>
      <c r="I1115">
        <v>1</v>
      </c>
      <c r="J1115">
        <v>0</v>
      </c>
      <c r="K1115">
        <v>0</v>
      </c>
      <c r="L1115">
        <v>1</v>
      </c>
      <c r="M1115">
        <v>0</v>
      </c>
      <c r="N1115">
        <v>0</v>
      </c>
      <c r="O1115" t="str" cm="1">
        <f t="array" ref="O1115">_xlfn.IFS(Table1[[#This Row],[Divorced]]=1, "Divorced", Table1[[#This Row],[Married]]=1, "Married", Table1[[#This Row],[Single]]=1, "Single", Table1[[#This Row],[Together]]=1, "Together", Table1[[#This Row],[Widow]]=1, "Widow")</f>
        <v>Together</v>
      </c>
      <c r="P1115" t="str" cm="1">
        <f t="array" ref="P1115">_xlfn.IFS(Table1[[#This Row],[Basic]]=1, "Basic", Table1[[#This Row],[Graduate]]=1, "Graduate", Table1[[#This Row],[Master]]=1, "Master", Table1[[#This Row],[PhD]]=1, "PhD", AND(Table1[[#This Row],[Basic]]=0, Table1[[#This Row],[Graduate]]=0, Table1[[#This Row],[Master]]=0, Table1[[#This Row],[PhD]]=0), "NA")</f>
        <v>Graduate</v>
      </c>
      <c r="Q1115" t="e">
        <f>_xlfn.XLOOKUP(Table1[[#This Row],[ID]], Table2[ID],#REF!, "Not Found", 0)</f>
        <v>#REF!</v>
      </c>
      <c r="R1115" t="e">
        <f>_xlfn.XLOOKUP(Table1[[#This Row],[ID]], Table2[ID],#REF!, "Not Found", 0)</f>
        <v>#REF!</v>
      </c>
      <c r="S1115" s="3">
        <f>_xlfn.XLOOKUP(Table1[[#This Row],[ID]], Table2[ID], Table2[Enrollment], "Not Found", 0)</f>
        <v>43469</v>
      </c>
      <c r="T1115" t="s">
        <v>438</v>
      </c>
    </row>
    <row r="1116" spans="1:20" x14ac:dyDescent="0.3">
      <c r="A1116">
        <v>2393</v>
      </c>
      <c r="B1116">
        <v>151315</v>
      </c>
      <c r="C1116">
        <v>0</v>
      </c>
      <c r="D1116">
        <v>0</v>
      </c>
      <c r="E1116">
        <v>72</v>
      </c>
      <c r="F1116">
        <v>0</v>
      </c>
      <c r="G1116">
        <v>0</v>
      </c>
      <c r="H1116">
        <v>0</v>
      </c>
      <c r="I1116">
        <v>1</v>
      </c>
      <c r="J1116">
        <v>0</v>
      </c>
      <c r="K1116">
        <v>0</v>
      </c>
      <c r="L1116">
        <v>1</v>
      </c>
      <c r="M1116">
        <v>0</v>
      </c>
      <c r="N1116">
        <v>0</v>
      </c>
      <c r="O1116" t="str" cm="1">
        <f t="array" ref="O1116">_xlfn.IFS(Table1[[#This Row],[Divorced]]=1, "Divorced", Table1[[#This Row],[Married]]=1, "Married", Table1[[#This Row],[Single]]=1, "Single", Table1[[#This Row],[Together]]=1, "Together", Table1[[#This Row],[Widow]]=1, "Widow")</f>
        <v>Together</v>
      </c>
      <c r="P1116" t="str" cm="1">
        <f t="array" ref="P1116">_xlfn.IFS(Table1[[#This Row],[Basic]]=1, "Basic", Table1[[#This Row],[Graduate]]=1, "Graduate", Table1[[#This Row],[Master]]=1, "Master", Table1[[#This Row],[PhD]]=1, "PhD", AND(Table1[[#This Row],[Basic]]=0, Table1[[#This Row],[Graduate]]=0, Table1[[#This Row],[Master]]=0, Table1[[#This Row],[PhD]]=0), "NA")</f>
        <v>Graduate</v>
      </c>
      <c r="Q1116" t="e">
        <f>_xlfn.XLOOKUP(Table1[[#This Row],[ID]], Table2[ID],#REF!, "Not Found", 0)</f>
        <v>#REF!</v>
      </c>
      <c r="R1116" t="e">
        <f>_xlfn.XLOOKUP(Table1[[#This Row],[ID]], Table2[ID],#REF!, "Not Found", 0)</f>
        <v>#REF!</v>
      </c>
      <c r="S1116" s="3" t="str">
        <f>_xlfn.XLOOKUP(Table1[[#This Row],[ID]], Table2[ID], Table2[Enrollment], "Not Found", 0)</f>
        <v>7/30/2020</v>
      </c>
      <c r="T1116" t="s">
        <v>434</v>
      </c>
    </row>
    <row r="1117" spans="1:20" x14ac:dyDescent="0.3">
      <c r="A1117">
        <v>1560</v>
      </c>
      <c r="B1117">
        <v>151287</v>
      </c>
      <c r="C1117">
        <v>1</v>
      </c>
      <c r="D1117">
        <v>1</v>
      </c>
      <c r="E1117">
        <v>52</v>
      </c>
      <c r="F1117">
        <v>0</v>
      </c>
      <c r="G1117">
        <v>1</v>
      </c>
      <c r="H1117">
        <v>0</v>
      </c>
      <c r="I1117">
        <v>0</v>
      </c>
      <c r="J1117">
        <v>0</v>
      </c>
      <c r="K1117">
        <v>0</v>
      </c>
      <c r="L1117">
        <v>1</v>
      </c>
      <c r="M1117">
        <v>0</v>
      </c>
      <c r="N1117">
        <v>0</v>
      </c>
      <c r="O1117" t="str" cm="1">
        <f t="array" ref="O1117">_xlfn.IFS(Table1[[#This Row],[Divorced]]=1, "Divorced", Table1[[#This Row],[Married]]=1, "Married", Table1[[#This Row],[Single]]=1, "Single", Table1[[#This Row],[Together]]=1, "Together", Table1[[#This Row],[Widow]]=1, "Widow")</f>
        <v>Married</v>
      </c>
      <c r="P1117" t="str" cm="1">
        <f t="array" ref="P1117">_xlfn.IFS(Table1[[#This Row],[Basic]]=1, "Basic", Table1[[#This Row],[Graduate]]=1, "Graduate", Table1[[#This Row],[Master]]=1, "Master", Table1[[#This Row],[PhD]]=1, "PhD", AND(Table1[[#This Row],[Basic]]=0, Table1[[#This Row],[Graduate]]=0, Table1[[#This Row],[Master]]=0, Table1[[#This Row],[PhD]]=0), "NA")</f>
        <v>Graduate</v>
      </c>
      <c r="Q1117" t="e">
        <f>_xlfn.XLOOKUP(Table1[[#This Row],[ID]], Table2[ID],#REF!, "Not Found", 0)</f>
        <v>#REF!</v>
      </c>
      <c r="R1117" t="e">
        <f>_xlfn.XLOOKUP(Table1[[#This Row],[ID]], Table2[ID],#REF!, "Not Found", 0)</f>
        <v>#REF!</v>
      </c>
      <c r="S1117" s="3">
        <f>_xlfn.XLOOKUP(Table1[[#This Row],[ID]], Table2[ID], Table2[Enrollment], "Not Found", 0)</f>
        <v>43960</v>
      </c>
      <c r="T1117" t="s">
        <v>436</v>
      </c>
    </row>
    <row r="1118" spans="1:20" x14ac:dyDescent="0.3">
      <c r="A1118">
        <v>1774</v>
      </c>
      <c r="B1118">
        <v>151267</v>
      </c>
      <c r="C1118">
        <v>1</v>
      </c>
      <c r="D1118">
        <v>1</v>
      </c>
      <c r="E1118">
        <v>42</v>
      </c>
      <c r="F1118">
        <v>0</v>
      </c>
      <c r="G1118">
        <v>1</v>
      </c>
      <c r="H1118">
        <v>0</v>
      </c>
      <c r="I1118">
        <v>0</v>
      </c>
      <c r="J1118">
        <v>0</v>
      </c>
      <c r="K1118">
        <v>0</v>
      </c>
      <c r="L1118">
        <v>1</v>
      </c>
      <c r="M1118">
        <v>0</v>
      </c>
      <c r="N1118">
        <v>0</v>
      </c>
      <c r="O1118" t="str" cm="1">
        <f t="array" ref="O1118">_xlfn.IFS(Table1[[#This Row],[Divorced]]=1, "Divorced", Table1[[#This Row],[Married]]=1, "Married", Table1[[#This Row],[Single]]=1, "Single", Table1[[#This Row],[Together]]=1, "Together", Table1[[#This Row],[Widow]]=1, "Widow")</f>
        <v>Married</v>
      </c>
      <c r="P1118" t="str" cm="1">
        <f t="array" ref="P1118">_xlfn.IFS(Table1[[#This Row],[Basic]]=1, "Basic", Table1[[#This Row],[Graduate]]=1, "Graduate", Table1[[#This Row],[Master]]=1, "Master", Table1[[#This Row],[PhD]]=1, "PhD", AND(Table1[[#This Row],[Basic]]=0, Table1[[#This Row],[Graduate]]=0, Table1[[#This Row],[Master]]=0, Table1[[#This Row],[PhD]]=0), "NA")</f>
        <v>Graduate</v>
      </c>
      <c r="Q1118" t="e">
        <f>_xlfn.XLOOKUP(Table1[[#This Row],[ID]], Table2[ID],#REF!, "Not Found", 0)</f>
        <v>#REF!</v>
      </c>
      <c r="R1118" t="e">
        <f>_xlfn.XLOOKUP(Table1[[#This Row],[ID]], Table2[ID],#REF!, "Not Found", 0)</f>
        <v>#REF!</v>
      </c>
      <c r="S1118" s="3">
        <f>_xlfn.XLOOKUP(Table1[[#This Row],[ID]], Table2[ID], Table2[Enrollment], "Not Found", 0)</f>
        <v>43925</v>
      </c>
      <c r="T1118" t="s">
        <v>439</v>
      </c>
    </row>
    <row r="1119" spans="1:20" x14ac:dyDescent="0.3">
      <c r="A1119">
        <v>2583</v>
      </c>
      <c r="B1119">
        <v>151250</v>
      </c>
      <c r="C1119">
        <v>1</v>
      </c>
      <c r="D1119">
        <v>0</v>
      </c>
      <c r="E1119">
        <v>30</v>
      </c>
      <c r="F1119">
        <v>0</v>
      </c>
      <c r="G1119">
        <v>0</v>
      </c>
      <c r="H1119">
        <v>1</v>
      </c>
      <c r="I1119">
        <v>0</v>
      </c>
      <c r="J1119">
        <v>0</v>
      </c>
      <c r="K1119">
        <v>0</v>
      </c>
      <c r="L1119">
        <v>0</v>
      </c>
      <c r="M1119">
        <v>0</v>
      </c>
      <c r="N1119">
        <v>0</v>
      </c>
      <c r="O1119" t="str" cm="1">
        <f t="array" ref="O1119">_xlfn.IFS(Table1[[#This Row],[Divorced]]=1, "Divorced", Table1[[#This Row],[Married]]=1, "Married", Table1[[#This Row],[Single]]=1, "Single", Table1[[#This Row],[Together]]=1, "Together", Table1[[#This Row],[Widow]]=1, "Widow")</f>
        <v>Single</v>
      </c>
      <c r="P1119" t="str" cm="1">
        <f t="array" ref="P1119">_xlfn.IFS(Table1[[#This Row],[Basic]]=1, "Basic", Table1[[#This Row],[Graduate]]=1, "Graduate", Table1[[#This Row],[Master]]=1, "Master", Table1[[#This Row],[PhD]]=1, "PhD", AND(Table1[[#This Row],[Basic]]=0, Table1[[#This Row],[Graduate]]=0, Table1[[#This Row],[Master]]=0, Table1[[#This Row],[PhD]]=0), "NA")</f>
        <v>NA</v>
      </c>
      <c r="Q1119" t="e">
        <f>_xlfn.XLOOKUP(Table1[[#This Row],[ID]], Table2[ID],#REF!, "Not Found", 0)</f>
        <v>#REF!</v>
      </c>
      <c r="R1119" t="e">
        <f>_xlfn.XLOOKUP(Table1[[#This Row],[ID]], Table2[ID],#REF!, "Not Found", 0)</f>
        <v>#REF!</v>
      </c>
      <c r="S1119" s="3">
        <f>_xlfn.XLOOKUP(Table1[[#This Row],[ID]], Table2[ID], Table2[Enrollment], "Not Found", 0)</f>
        <v>43564</v>
      </c>
      <c r="T1119" t="s">
        <v>435</v>
      </c>
    </row>
    <row r="1120" spans="1:20" x14ac:dyDescent="0.3">
      <c r="A1120">
        <v>1869</v>
      </c>
      <c r="B1120">
        <v>151195</v>
      </c>
      <c r="C1120">
        <v>1</v>
      </c>
      <c r="D1120">
        <v>1</v>
      </c>
      <c r="E1120">
        <v>58</v>
      </c>
      <c r="F1120">
        <v>0</v>
      </c>
      <c r="G1120">
        <v>0</v>
      </c>
      <c r="H1120">
        <v>0</v>
      </c>
      <c r="I1120">
        <v>1</v>
      </c>
      <c r="J1120">
        <v>0</v>
      </c>
      <c r="K1120">
        <v>0</v>
      </c>
      <c r="L1120">
        <v>1</v>
      </c>
      <c r="M1120">
        <v>0</v>
      </c>
      <c r="N1120">
        <v>0</v>
      </c>
      <c r="O1120" t="str" cm="1">
        <f t="array" ref="O1120">_xlfn.IFS(Table1[[#This Row],[Divorced]]=1, "Divorced", Table1[[#This Row],[Married]]=1, "Married", Table1[[#This Row],[Single]]=1, "Single", Table1[[#This Row],[Together]]=1, "Together", Table1[[#This Row],[Widow]]=1, "Widow")</f>
        <v>Together</v>
      </c>
      <c r="P1120" t="str" cm="1">
        <f t="array" ref="P1120">_xlfn.IFS(Table1[[#This Row],[Basic]]=1, "Basic", Table1[[#This Row],[Graduate]]=1, "Graduate", Table1[[#This Row],[Master]]=1, "Master", Table1[[#This Row],[PhD]]=1, "PhD", AND(Table1[[#This Row],[Basic]]=0, Table1[[#This Row],[Graduate]]=0, Table1[[#This Row],[Master]]=0, Table1[[#This Row],[PhD]]=0), "NA")</f>
        <v>Graduate</v>
      </c>
      <c r="Q1120" t="e">
        <f>_xlfn.XLOOKUP(Table1[[#This Row],[ID]], Table2[ID],#REF!, "Not Found", 0)</f>
        <v>#REF!</v>
      </c>
      <c r="R1120" t="e">
        <f>_xlfn.XLOOKUP(Table1[[#This Row],[ID]], Table2[ID],#REF!, "Not Found", 0)</f>
        <v>#REF!</v>
      </c>
      <c r="S1120" s="3">
        <f>_xlfn.XLOOKUP(Table1[[#This Row],[ID]], Table2[ID], Table2[Enrollment], "Not Found", 0)</f>
        <v>43625</v>
      </c>
      <c r="T1120" t="s">
        <v>435</v>
      </c>
    </row>
    <row r="1121" spans="1:20" x14ac:dyDescent="0.3">
      <c r="A1121">
        <v>1182</v>
      </c>
      <c r="B1121">
        <v>151148</v>
      </c>
      <c r="C1121">
        <v>1</v>
      </c>
      <c r="D1121">
        <v>1</v>
      </c>
      <c r="E1121">
        <v>47</v>
      </c>
      <c r="F1121">
        <v>0</v>
      </c>
      <c r="G1121">
        <v>1</v>
      </c>
      <c r="H1121">
        <v>0</v>
      </c>
      <c r="I1121">
        <v>0</v>
      </c>
      <c r="J1121">
        <v>0</v>
      </c>
      <c r="K1121">
        <v>0</v>
      </c>
      <c r="L1121">
        <v>1</v>
      </c>
      <c r="M1121">
        <v>0</v>
      </c>
      <c r="N1121">
        <v>0</v>
      </c>
      <c r="O1121" t="str" cm="1">
        <f t="array" ref="O1121">_xlfn.IFS(Table1[[#This Row],[Divorced]]=1, "Divorced", Table1[[#This Row],[Married]]=1, "Married", Table1[[#This Row],[Single]]=1, "Single", Table1[[#This Row],[Together]]=1, "Together", Table1[[#This Row],[Widow]]=1, "Widow")</f>
        <v>Married</v>
      </c>
      <c r="P1121" t="str" cm="1">
        <f t="array" ref="P1121">_xlfn.IFS(Table1[[#This Row],[Basic]]=1, "Basic", Table1[[#This Row],[Graduate]]=1, "Graduate", Table1[[#This Row],[Master]]=1, "Master", Table1[[#This Row],[PhD]]=1, "PhD", AND(Table1[[#This Row],[Basic]]=0, Table1[[#This Row],[Graduate]]=0, Table1[[#This Row],[Master]]=0, Table1[[#This Row],[PhD]]=0), "NA")</f>
        <v>Graduate</v>
      </c>
      <c r="Q1121" t="e">
        <f>_xlfn.XLOOKUP(Table1[[#This Row],[ID]], Table2[ID],#REF!, "Not Found", 0)</f>
        <v>#REF!</v>
      </c>
      <c r="R1121" t="e">
        <f>_xlfn.XLOOKUP(Table1[[#This Row],[ID]], Table2[ID],#REF!, "Not Found", 0)</f>
        <v>#REF!</v>
      </c>
      <c r="S1121" s="3" t="str">
        <f>_xlfn.XLOOKUP(Table1[[#This Row],[ID]], Table2[ID], Table2[Enrollment], "Not Found", 0)</f>
        <v>7/26/2019</v>
      </c>
      <c r="T1121" t="s">
        <v>436</v>
      </c>
    </row>
    <row r="1122" spans="1:20" x14ac:dyDescent="0.3">
      <c r="A1122">
        <v>2925</v>
      </c>
      <c r="B1122">
        <v>151141</v>
      </c>
      <c r="C1122">
        <v>0</v>
      </c>
      <c r="D1122">
        <v>0</v>
      </c>
      <c r="E1122">
        <v>80</v>
      </c>
      <c r="F1122">
        <v>0</v>
      </c>
      <c r="G1122">
        <v>0</v>
      </c>
      <c r="H1122">
        <v>1</v>
      </c>
      <c r="I1122">
        <v>0</v>
      </c>
      <c r="J1122">
        <v>0</v>
      </c>
      <c r="K1122">
        <v>0</v>
      </c>
      <c r="L1122">
        <v>0</v>
      </c>
      <c r="M1122">
        <v>0</v>
      </c>
      <c r="N1122">
        <v>1</v>
      </c>
      <c r="O1122" t="str" cm="1">
        <f t="array" ref="O1122">_xlfn.IFS(Table1[[#This Row],[Divorced]]=1, "Divorced", Table1[[#This Row],[Married]]=1, "Married", Table1[[#This Row],[Single]]=1, "Single", Table1[[#This Row],[Together]]=1, "Together", Table1[[#This Row],[Widow]]=1, "Widow")</f>
        <v>Single</v>
      </c>
      <c r="P1122" t="str" cm="1">
        <f t="array" ref="P1122">_xlfn.IFS(Table1[[#This Row],[Basic]]=1, "Basic", Table1[[#This Row],[Graduate]]=1, "Graduate", Table1[[#This Row],[Master]]=1, "Master", Table1[[#This Row],[PhD]]=1, "PhD", AND(Table1[[#This Row],[Basic]]=0, Table1[[#This Row],[Graduate]]=0, Table1[[#This Row],[Master]]=0, Table1[[#This Row],[PhD]]=0), "NA")</f>
        <v>PhD</v>
      </c>
      <c r="Q1122" t="e">
        <f>_xlfn.XLOOKUP(Table1[[#This Row],[ID]], Table2[ID],#REF!, "Not Found", 0)</f>
        <v>#REF!</v>
      </c>
      <c r="R1122" t="e">
        <f>_xlfn.XLOOKUP(Table1[[#This Row],[ID]], Table2[ID],#REF!, "Not Found", 0)</f>
        <v>#REF!</v>
      </c>
      <c r="S1122" s="3" t="str">
        <f>_xlfn.XLOOKUP(Table1[[#This Row],[ID]], Table2[ID], Table2[Enrollment], "Not Found", 0)</f>
        <v>12/13/2019</v>
      </c>
      <c r="T1122" t="s">
        <v>435</v>
      </c>
    </row>
    <row r="1123" spans="1:20" x14ac:dyDescent="0.3">
      <c r="A1123">
        <v>1759</v>
      </c>
      <c r="B1123">
        <v>151124</v>
      </c>
      <c r="C1123">
        <v>1</v>
      </c>
      <c r="D1123">
        <v>1</v>
      </c>
      <c r="E1123">
        <v>65</v>
      </c>
      <c r="F1123">
        <v>0</v>
      </c>
      <c r="G1123">
        <v>0</v>
      </c>
      <c r="H1123">
        <v>1</v>
      </c>
      <c r="I1123">
        <v>0</v>
      </c>
      <c r="J1123">
        <v>0</v>
      </c>
      <c r="K1123">
        <v>0</v>
      </c>
      <c r="L1123">
        <v>0</v>
      </c>
      <c r="M1123">
        <v>1</v>
      </c>
      <c r="N1123">
        <v>0</v>
      </c>
      <c r="O1123" t="str" cm="1">
        <f t="array" ref="O1123">_xlfn.IFS(Table1[[#This Row],[Divorced]]=1, "Divorced", Table1[[#This Row],[Married]]=1, "Married", Table1[[#This Row],[Single]]=1, "Single", Table1[[#This Row],[Together]]=1, "Together", Table1[[#This Row],[Widow]]=1, "Widow")</f>
        <v>Single</v>
      </c>
      <c r="P1123" t="str" cm="1">
        <f t="array" ref="P1123">_xlfn.IFS(Table1[[#This Row],[Basic]]=1, "Basic", Table1[[#This Row],[Graduate]]=1, "Graduate", Table1[[#This Row],[Master]]=1, "Master", Table1[[#This Row],[PhD]]=1, "PhD", AND(Table1[[#This Row],[Basic]]=0, Table1[[#This Row],[Graduate]]=0, Table1[[#This Row],[Master]]=0, Table1[[#This Row],[PhD]]=0), "NA")</f>
        <v>Master</v>
      </c>
      <c r="Q1123" t="e">
        <f>_xlfn.XLOOKUP(Table1[[#This Row],[ID]], Table2[ID],#REF!, "Not Found", 0)</f>
        <v>#REF!</v>
      </c>
      <c r="R1123" t="e">
        <f>_xlfn.XLOOKUP(Table1[[#This Row],[ID]], Table2[ID],#REF!, "Not Found", 0)</f>
        <v>#REF!</v>
      </c>
      <c r="S1123" s="3" t="str">
        <f>_xlfn.XLOOKUP(Table1[[#This Row],[ID]], Table2[ID], Table2[Enrollment], "Not Found", 0)</f>
        <v>5/24/2020</v>
      </c>
      <c r="T1123" t="s">
        <v>437</v>
      </c>
    </row>
    <row r="1124" spans="1:20" x14ac:dyDescent="0.3">
      <c r="A1124">
        <v>1864</v>
      </c>
      <c r="B1124">
        <v>151111</v>
      </c>
      <c r="C1124">
        <v>1</v>
      </c>
      <c r="D1124">
        <v>1</v>
      </c>
      <c r="E1124">
        <v>39</v>
      </c>
      <c r="F1124">
        <v>0</v>
      </c>
      <c r="G1124">
        <v>1</v>
      </c>
      <c r="H1124">
        <v>0</v>
      </c>
      <c r="I1124">
        <v>0</v>
      </c>
      <c r="J1124">
        <v>0</v>
      </c>
      <c r="K1124">
        <v>0</v>
      </c>
      <c r="L1124">
        <v>0</v>
      </c>
      <c r="M1124">
        <v>0</v>
      </c>
      <c r="N1124">
        <v>0</v>
      </c>
      <c r="O1124" t="str" cm="1">
        <f t="array" ref="O1124">_xlfn.IFS(Table1[[#This Row],[Divorced]]=1, "Divorced", Table1[[#This Row],[Married]]=1, "Married", Table1[[#This Row],[Single]]=1, "Single", Table1[[#This Row],[Together]]=1, "Together", Table1[[#This Row],[Widow]]=1, "Widow")</f>
        <v>Married</v>
      </c>
      <c r="P1124" t="str" cm="1">
        <f t="array" ref="P1124">_xlfn.IFS(Table1[[#This Row],[Basic]]=1, "Basic", Table1[[#This Row],[Graduate]]=1, "Graduate", Table1[[#This Row],[Master]]=1, "Master", Table1[[#This Row],[PhD]]=1, "PhD", AND(Table1[[#This Row],[Basic]]=0, Table1[[#This Row],[Graduate]]=0, Table1[[#This Row],[Master]]=0, Table1[[#This Row],[PhD]]=0), "NA")</f>
        <v>NA</v>
      </c>
      <c r="Q1124" t="e">
        <f>_xlfn.XLOOKUP(Table1[[#This Row],[ID]], Table2[ID],#REF!, "Not Found", 0)</f>
        <v>#REF!</v>
      </c>
      <c r="R1124" t="e">
        <f>_xlfn.XLOOKUP(Table1[[#This Row],[ID]], Table2[ID],#REF!, "Not Found", 0)</f>
        <v>#REF!</v>
      </c>
      <c r="S1124" s="3" t="str">
        <f>_xlfn.XLOOKUP(Table1[[#This Row],[ID]], Table2[ID], Table2[Enrollment], "Not Found", 0)</f>
        <v>11/23/2020</v>
      </c>
      <c r="T1124" t="s">
        <v>439</v>
      </c>
    </row>
    <row r="1125" spans="1:20" x14ac:dyDescent="0.3">
      <c r="A1125">
        <v>2375</v>
      </c>
      <c r="B1125">
        <v>151039</v>
      </c>
      <c r="C1125">
        <v>1</v>
      </c>
      <c r="D1125">
        <v>1</v>
      </c>
      <c r="E1125">
        <v>51</v>
      </c>
      <c r="F1125">
        <v>0</v>
      </c>
      <c r="G1125">
        <v>1</v>
      </c>
      <c r="H1125">
        <v>0</v>
      </c>
      <c r="I1125">
        <v>0</v>
      </c>
      <c r="J1125">
        <v>0</v>
      </c>
      <c r="K1125">
        <v>0</v>
      </c>
      <c r="L1125">
        <v>0</v>
      </c>
      <c r="M1125">
        <v>0</v>
      </c>
      <c r="N1125">
        <v>1</v>
      </c>
      <c r="O1125" t="str" cm="1">
        <f t="array" ref="O1125">_xlfn.IFS(Table1[[#This Row],[Divorced]]=1, "Divorced", Table1[[#This Row],[Married]]=1, "Married", Table1[[#This Row],[Single]]=1, "Single", Table1[[#This Row],[Together]]=1, "Together", Table1[[#This Row],[Widow]]=1, "Widow")</f>
        <v>Married</v>
      </c>
      <c r="P1125" t="str" cm="1">
        <f t="array" ref="P1125">_xlfn.IFS(Table1[[#This Row],[Basic]]=1, "Basic", Table1[[#This Row],[Graduate]]=1, "Graduate", Table1[[#This Row],[Master]]=1, "Master", Table1[[#This Row],[PhD]]=1, "PhD", AND(Table1[[#This Row],[Basic]]=0, Table1[[#This Row],[Graduate]]=0, Table1[[#This Row],[Master]]=0, Table1[[#This Row],[PhD]]=0), "NA")</f>
        <v>PhD</v>
      </c>
      <c r="Q1125" t="e">
        <f>_xlfn.XLOOKUP(Table1[[#This Row],[ID]], Table2[ID],#REF!, "Not Found", 0)</f>
        <v>#REF!</v>
      </c>
      <c r="R1125" t="e">
        <f>_xlfn.XLOOKUP(Table1[[#This Row],[ID]], Table2[ID],#REF!, "Not Found", 0)</f>
        <v>#REF!</v>
      </c>
      <c r="S1125" s="3" t="str">
        <f>_xlfn.XLOOKUP(Table1[[#This Row],[ID]], Table2[ID], Table2[Enrollment], "Not Found", 0)</f>
        <v>5/17/2019</v>
      </c>
      <c r="T1125" t="s">
        <v>434</v>
      </c>
    </row>
    <row r="1126" spans="1:20" x14ac:dyDescent="0.3">
      <c r="A1126">
        <v>1377</v>
      </c>
      <c r="B1126">
        <v>151012</v>
      </c>
      <c r="C1126">
        <v>0</v>
      </c>
      <c r="D1126">
        <v>0</v>
      </c>
      <c r="E1126">
        <v>74</v>
      </c>
      <c r="F1126">
        <v>0</v>
      </c>
      <c r="G1126">
        <v>1</v>
      </c>
      <c r="H1126">
        <v>0</v>
      </c>
      <c r="I1126">
        <v>0</v>
      </c>
      <c r="J1126">
        <v>0</v>
      </c>
      <c r="K1126">
        <v>0</v>
      </c>
      <c r="L1126">
        <v>0</v>
      </c>
      <c r="M1126">
        <v>0</v>
      </c>
      <c r="N1126">
        <v>1</v>
      </c>
      <c r="O1126" t="str" cm="1">
        <f t="array" ref="O1126">_xlfn.IFS(Table1[[#This Row],[Divorced]]=1, "Divorced", Table1[[#This Row],[Married]]=1, "Married", Table1[[#This Row],[Single]]=1, "Single", Table1[[#This Row],[Together]]=1, "Together", Table1[[#This Row],[Widow]]=1, "Widow")</f>
        <v>Married</v>
      </c>
      <c r="P1126" t="str" cm="1">
        <f t="array" ref="P1126">_xlfn.IFS(Table1[[#This Row],[Basic]]=1, "Basic", Table1[[#This Row],[Graduate]]=1, "Graduate", Table1[[#This Row],[Master]]=1, "Master", Table1[[#This Row],[PhD]]=1, "PhD", AND(Table1[[#This Row],[Basic]]=0, Table1[[#This Row],[Graduate]]=0, Table1[[#This Row],[Master]]=0, Table1[[#This Row],[PhD]]=0), "NA")</f>
        <v>PhD</v>
      </c>
      <c r="Q1126" t="e">
        <f>_xlfn.XLOOKUP(Table1[[#This Row],[ID]], Table2[ID],#REF!, "Not Found", 0)</f>
        <v>#REF!</v>
      </c>
      <c r="R1126" t="e">
        <f>_xlfn.XLOOKUP(Table1[[#This Row],[ID]], Table2[ID],#REF!, "Not Found", 0)</f>
        <v>#REF!</v>
      </c>
      <c r="S1126" s="3" t="str">
        <f>_xlfn.XLOOKUP(Table1[[#This Row],[ID]], Table2[ID], Table2[Enrollment], "Not Found", 0)</f>
        <v>9/23/2019</v>
      </c>
      <c r="T1126" t="s">
        <v>435</v>
      </c>
    </row>
    <row r="1127" spans="1:20" x14ac:dyDescent="0.3">
      <c r="A1127">
        <v>2746</v>
      </c>
      <c r="B1127">
        <v>151012</v>
      </c>
      <c r="C1127">
        <v>0</v>
      </c>
      <c r="D1127">
        <v>0</v>
      </c>
      <c r="E1127">
        <v>74</v>
      </c>
      <c r="F1127">
        <v>0</v>
      </c>
      <c r="G1127">
        <v>1</v>
      </c>
      <c r="H1127">
        <v>0</v>
      </c>
      <c r="I1127">
        <v>0</v>
      </c>
      <c r="J1127">
        <v>0</v>
      </c>
      <c r="K1127">
        <v>0</v>
      </c>
      <c r="L1127">
        <v>0</v>
      </c>
      <c r="M1127">
        <v>0</v>
      </c>
      <c r="N1127">
        <v>1</v>
      </c>
      <c r="O1127" t="str" cm="1">
        <f t="array" ref="O1127">_xlfn.IFS(Table1[[#This Row],[Divorced]]=1, "Divorced", Table1[[#This Row],[Married]]=1, "Married", Table1[[#This Row],[Single]]=1, "Single", Table1[[#This Row],[Together]]=1, "Together", Table1[[#This Row],[Widow]]=1, "Widow")</f>
        <v>Married</v>
      </c>
      <c r="P1127" t="str" cm="1">
        <f t="array" ref="P1127">_xlfn.IFS(Table1[[#This Row],[Basic]]=1, "Basic", Table1[[#This Row],[Graduate]]=1, "Graduate", Table1[[#This Row],[Master]]=1, "Master", Table1[[#This Row],[PhD]]=1, "PhD", AND(Table1[[#This Row],[Basic]]=0, Table1[[#This Row],[Graduate]]=0, Table1[[#This Row],[Master]]=0, Table1[[#This Row],[PhD]]=0), "NA")</f>
        <v>PhD</v>
      </c>
      <c r="Q1127" t="e">
        <f>_xlfn.XLOOKUP(Table1[[#This Row],[ID]], Table2[ID],#REF!, "Not Found", 0)</f>
        <v>#REF!</v>
      </c>
      <c r="R1127" t="e">
        <f>_xlfn.XLOOKUP(Table1[[#This Row],[ID]], Table2[ID],#REF!, "Not Found", 0)</f>
        <v>#REF!</v>
      </c>
      <c r="S1127" s="3" t="str">
        <f>_xlfn.XLOOKUP(Table1[[#This Row],[ID]], Table2[ID], Table2[Enrollment], "Not Found", 0)</f>
        <v>9/23/2019</v>
      </c>
      <c r="T1127" t="s">
        <v>439</v>
      </c>
    </row>
    <row r="1128" spans="1:20" x14ac:dyDescent="0.3">
      <c r="A1128">
        <v>2186</v>
      </c>
      <c r="B1128">
        <v>150965</v>
      </c>
      <c r="C1128">
        <v>0</v>
      </c>
      <c r="D1128">
        <v>1</v>
      </c>
      <c r="E1128">
        <v>64</v>
      </c>
      <c r="F1128">
        <v>0</v>
      </c>
      <c r="G1128">
        <v>1</v>
      </c>
      <c r="H1128">
        <v>0</v>
      </c>
      <c r="I1128">
        <v>0</v>
      </c>
      <c r="J1128">
        <v>0</v>
      </c>
      <c r="K1128">
        <v>0</v>
      </c>
      <c r="L1128">
        <v>0</v>
      </c>
      <c r="M1128">
        <v>1</v>
      </c>
      <c r="N1128">
        <v>0</v>
      </c>
      <c r="O1128" t="str" cm="1">
        <f t="array" ref="O1128">_xlfn.IFS(Table1[[#This Row],[Divorced]]=1, "Divorced", Table1[[#This Row],[Married]]=1, "Married", Table1[[#This Row],[Single]]=1, "Single", Table1[[#This Row],[Together]]=1, "Together", Table1[[#This Row],[Widow]]=1, "Widow")</f>
        <v>Married</v>
      </c>
      <c r="P1128" t="str" cm="1">
        <f t="array" ref="P1128">_xlfn.IFS(Table1[[#This Row],[Basic]]=1, "Basic", Table1[[#This Row],[Graduate]]=1, "Graduate", Table1[[#This Row],[Master]]=1, "Master", Table1[[#This Row],[PhD]]=1, "PhD", AND(Table1[[#This Row],[Basic]]=0, Table1[[#This Row],[Graduate]]=0, Table1[[#This Row],[Master]]=0, Table1[[#This Row],[PhD]]=0), "NA")</f>
        <v>Master</v>
      </c>
      <c r="Q1128" t="e">
        <f>_xlfn.XLOOKUP(Table1[[#This Row],[ID]], Table2[ID],#REF!, "Not Found", 0)</f>
        <v>#REF!</v>
      </c>
      <c r="R1128" t="e">
        <f>_xlfn.XLOOKUP(Table1[[#This Row],[ID]], Table2[ID],#REF!, "Not Found", 0)</f>
        <v>#REF!</v>
      </c>
      <c r="S1128" s="3" t="str">
        <f>_xlfn.XLOOKUP(Table1[[#This Row],[ID]], Table2[ID], Table2[Enrollment], "Not Found", 0)</f>
        <v>7/28/2019</v>
      </c>
      <c r="T1128" t="s">
        <v>438</v>
      </c>
    </row>
    <row r="1129" spans="1:20" x14ac:dyDescent="0.3">
      <c r="A1129">
        <v>1419</v>
      </c>
      <c r="B1129">
        <v>150943</v>
      </c>
      <c r="C1129">
        <v>0</v>
      </c>
      <c r="D1129">
        <v>1</v>
      </c>
      <c r="E1129">
        <v>64</v>
      </c>
      <c r="F1129">
        <v>0</v>
      </c>
      <c r="G1129">
        <v>0</v>
      </c>
      <c r="H1129">
        <v>0</v>
      </c>
      <c r="I1129">
        <v>1</v>
      </c>
      <c r="J1129">
        <v>0</v>
      </c>
      <c r="K1129">
        <v>0</v>
      </c>
      <c r="L1129">
        <v>0</v>
      </c>
      <c r="M1129">
        <v>1</v>
      </c>
      <c r="N1129">
        <v>0</v>
      </c>
      <c r="O1129" t="str" cm="1">
        <f t="array" ref="O1129">_xlfn.IFS(Table1[[#This Row],[Divorced]]=1, "Divorced", Table1[[#This Row],[Married]]=1, "Married", Table1[[#This Row],[Single]]=1, "Single", Table1[[#This Row],[Together]]=1, "Together", Table1[[#This Row],[Widow]]=1, "Widow")</f>
        <v>Together</v>
      </c>
      <c r="P1129" t="str" cm="1">
        <f t="array" ref="P1129">_xlfn.IFS(Table1[[#This Row],[Basic]]=1, "Basic", Table1[[#This Row],[Graduate]]=1, "Graduate", Table1[[#This Row],[Master]]=1, "Master", Table1[[#This Row],[PhD]]=1, "PhD", AND(Table1[[#This Row],[Basic]]=0, Table1[[#This Row],[Graduate]]=0, Table1[[#This Row],[Master]]=0, Table1[[#This Row],[PhD]]=0), "NA")</f>
        <v>Master</v>
      </c>
      <c r="Q1129" t="e">
        <f>_xlfn.XLOOKUP(Table1[[#This Row],[ID]], Table2[ID],#REF!, "Not Found", 0)</f>
        <v>#REF!</v>
      </c>
      <c r="R1129" t="e">
        <f>_xlfn.XLOOKUP(Table1[[#This Row],[ID]], Table2[ID],#REF!, "Not Found", 0)</f>
        <v>#REF!</v>
      </c>
      <c r="S1129" s="3" t="str">
        <f>_xlfn.XLOOKUP(Table1[[#This Row],[ID]], Table2[ID], Table2[Enrollment], "Not Found", 0)</f>
        <v>11/26/2019</v>
      </c>
      <c r="T1129" t="s">
        <v>435</v>
      </c>
    </row>
    <row r="1130" spans="1:20" x14ac:dyDescent="0.3">
      <c r="A1130">
        <v>1488</v>
      </c>
      <c r="B1130">
        <v>150943</v>
      </c>
      <c r="C1130">
        <v>0</v>
      </c>
      <c r="D1130">
        <v>1</v>
      </c>
      <c r="E1130">
        <v>64</v>
      </c>
      <c r="F1130">
        <v>0</v>
      </c>
      <c r="G1130">
        <v>0</v>
      </c>
      <c r="H1130">
        <v>0</v>
      </c>
      <c r="I1130">
        <v>1</v>
      </c>
      <c r="J1130">
        <v>0</v>
      </c>
      <c r="K1130">
        <v>0</v>
      </c>
      <c r="L1130">
        <v>0</v>
      </c>
      <c r="M1130">
        <v>1</v>
      </c>
      <c r="N1130">
        <v>0</v>
      </c>
      <c r="O1130" t="str" cm="1">
        <f t="array" ref="O1130">_xlfn.IFS(Table1[[#This Row],[Divorced]]=1, "Divorced", Table1[[#This Row],[Married]]=1, "Married", Table1[[#This Row],[Single]]=1, "Single", Table1[[#This Row],[Together]]=1, "Together", Table1[[#This Row],[Widow]]=1, "Widow")</f>
        <v>Together</v>
      </c>
      <c r="P1130" t="str" cm="1">
        <f t="array" ref="P1130">_xlfn.IFS(Table1[[#This Row],[Basic]]=1, "Basic", Table1[[#This Row],[Graduate]]=1, "Graduate", Table1[[#This Row],[Master]]=1, "Master", Table1[[#This Row],[PhD]]=1, "PhD", AND(Table1[[#This Row],[Basic]]=0, Table1[[#This Row],[Graduate]]=0, Table1[[#This Row],[Master]]=0, Table1[[#This Row],[PhD]]=0), "NA")</f>
        <v>Master</v>
      </c>
      <c r="Q1130" t="e">
        <f>_xlfn.XLOOKUP(Table1[[#This Row],[ID]], Table2[ID],#REF!, "Not Found", 0)</f>
        <v>#REF!</v>
      </c>
      <c r="R1130" t="e">
        <f>_xlfn.XLOOKUP(Table1[[#This Row],[ID]], Table2[ID],#REF!, "Not Found", 0)</f>
        <v>#REF!</v>
      </c>
      <c r="S1130" s="3" t="str">
        <f>_xlfn.XLOOKUP(Table1[[#This Row],[ID]], Table2[ID], Table2[Enrollment], "Not Found", 0)</f>
        <v>11/26/2019</v>
      </c>
      <c r="T1130" t="s">
        <v>436</v>
      </c>
    </row>
    <row r="1131" spans="1:20" x14ac:dyDescent="0.3">
      <c r="A1131">
        <v>1274</v>
      </c>
      <c r="B1131">
        <v>150898</v>
      </c>
      <c r="C1131">
        <v>1</v>
      </c>
      <c r="D1131">
        <v>1</v>
      </c>
      <c r="E1131">
        <v>64</v>
      </c>
      <c r="F1131">
        <v>0</v>
      </c>
      <c r="G1131">
        <v>0</v>
      </c>
      <c r="H1131">
        <v>0</v>
      </c>
      <c r="I1131">
        <v>1</v>
      </c>
      <c r="J1131">
        <v>0</v>
      </c>
      <c r="K1131">
        <v>0</v>
      </c>
      <c r="L1131">
        <v>0</v>
      </c>
      <c r="M1131">
        <v>1</v>
      </c>
      <c r="N1131">
        <v>0</v>
      </c>
      <c r="O1131" t="str" cm="1">
        <f t="array" ref="O1131">_xlfn.IFS(Table1[[#This Row],[Divorced]]=1, "Divorced", Table1[[#This Row],[Married]]=1, "Married", Table1[[#This Row],[Single]]=1, "Single", Table1[[#This Row],[Together]]=1, "Together", Table1[[#This Row],[Widow]]=1, "Widow")</f>
        <v>Together</v>
      </c>
      <c r="P1131" t="str" cm="1">
        <f t="array" ref="P1131">_xlfn.IFS(Table1[[#This Row],[Basic]]=1, "Basic", Table1[[#This Row],[Graduate]]=1, "Graduate", Table1[[#This Row],[Master]]=1, "Master", Table1[[#This Row],[PhD]]=1, "PhD", AND(Table1[[#This Row],[Basic]]=0, Table1[[#This Row],[Graduate]]=0, Table1[[#This Row],[Master]]=0, Table1[[#This Row],[PhD]]=0), "NA")</f>
        <v>Master</v>
      </c>
      <c r="Q1131" t="e">
        <f>_xlfn.XLOOKUP(Table1[[#This Row],[ID]], Table2[ID],#REF!, "Not Found", 0)</f>
        <v>#REF!</v>
      </c>
      <c r="R1131" t="e">
        <f>_xlfn.XLOOKUP(Table1[[#This Row],[ID]], Table2[ID],#REF!, "Not Found", 0)</f>
        <v>#REF!</v>
      </c>
      <c r="S1131" s="3" t="str">
        <f>_xlfn.XLOOKUP(Table1[[#This Row],[ID]], Table2[ID], Table2[Enrollment], "Not Found", 0)</f>
        <v>6/15/2019</v>
      </c>
      <c r="T1131" t="s">
        <v>438</v>
      </c>
    </row>
    <row r="1132" spans="1:20" x14ac:dyDescent="0.3">
      <c r="A1132">
        <v>2087</v>
      </c>
      <c r="B1132">
        <v>150870</v>
      </c>
      <c r="C1132">
        <v>0</v>
      </c>
      <c r="D1132">
        <v>1</v>
      </c>
      <c r="E1132">
        <v>68</v>
      </c>
      <c r="F1132">
        <v>0</v>
      </c>
      <c r="G1132">
        <v>1</v>
      </c>
      <c r="H1132">
        <v>0</v>
      </c>
      <c r="I1132">
        <v>0</v>
      </c>
      <c r="J1132">
        <v>0</v>
      </c>
      <c r="K1132">
        <v>0</v>
      </c>
      <c r="L1132">
        <v>0</v>
      </c>
      <c r="M1132">
        <v>0</v>
      </c>
      <c r="N1132">
        <v>1</v>
      </c>
      <c r="O1132" t="str" cm="1">
        <f t="array" ref="O1132">_xlfn.IFS(Table1[[#This Row],[Divorced]]=1, "Divorced", Table1[[#This Row],[Married]]=1, "Married", Table1[[#This Row],[Single]]=1, "Single", Table1[[#This Row],[Together]]=1, "Together", Table1[[#This Row],[Widow]]=1, "Widow")</f>
        <v>Married</v>
      </c>
      <c r="P1132" t="str" cm="1">
        <f t="array" ref="P1132">_xlfn.IFS(Table1[[#This Row],[Basic]]=1, "Basic", Table1[[#This Row],[Graduate]]=1, "Graduate", Table1[[#This Row],[Master]]=1, "Master", Table1[[#This Row],[PhD]]=1, "PhD", AND(Table1[[#This Row],[Basic]]=0, Table1[[#This Row],[Graduate]]=0, Table1[[#This Row],[Master]]=0, Table1[[#This Row],[PhD]]=0), "NA")</f>
        <v>PhD</v>
      </c>
      <c r="Q1132" t="e">
        <f>_xlfn.XLOOKUP(Table1[[#This Row],[ID]], Table2[ID],#REF!, "Not Found", 0)</f>
        <v>#REF!</v>
      </c>
      <c r="R1132" t="e">
        <f>_xlfn.XLOOKUP(Table1[[#This Row],[ID]], Table2[ID],#REF!, "Not Found", 0)</f>
        <v>#REF!</v>
      </c>
      <c r="S1132" s="3" t="str">
        <f>_xlfn.XLOOKUP(Table1[[#This Row],[ID]], Table2[ID], Table2[Enrollment], "Not Found", 0)</f>
        <v>11/23/2020</v>
      </c>
      <c r="T1132" t="s">
        <v>434</v>
      </c>
    </row>
    <row r="1133" spans="1:20" x14ac:dyDescent="0.3">
      <c r="A1133">
        <v>1107</v>
      </c>
      <c r="B1133">
        <v>150785</v>
      </c>
      <c r="C1133">
        <v>1</v>
      </c>
      <c r="D1133">
        <v>1</v>
      </c>
      <c r="E1133">
        <v>58</v>
      </c>
      <c r="F1133">
        <v>0</v>
      </c>
      <c r="G1133">
        <v>0</v>
      </c>
      <c r="H1133">
        <v>1</v>
      </c>
      <c r="I1133">
        <v>0</v>
      </c>
      <c r="J1133">
        <v>0</v>
      </c>
      <c r="K1133">
        <v>0</v>
      </c>
      <c r="L1133">
        <v>1</v>
      </c>
      <c r="M1133">
        <v>0</v>
      </c>
      <c r="N1133">
        <v>0</v>
      </c>
      <c r="O1133" t="str" cm="1">
        <f t="array" ref="O1133">_xlfn.IFS(Table1[[#This Row],[Divorced]]=1, "Divorced", Table1[[#This Row],[Married]]=1, "Married", Table1[[#This Row],[Single]]=1, "Single", Table1[[#This Row],[Together]]=1, "Together", Table1[[#This Row],[Widow]]=1, "Widow")</f>
        <v>Single</v>
      </c>
      <c r="P1133" t="str" cm="1">
        <f t="array" ref="P1133">_xlfn.IFS(Table1[[#This Row],[Basic]]=1, "Basic", Table1[[#This Row],[Graduate]]=1, "Graduate", Table1[[#This Row],[Master]]=1, "Master", Table1[[#This Row],[PhD]]=1, "PhD", AND(Table1[[#This Row],[Basic]]=0, Table1[[#This Row],[Graduate]]=0, Table1[[#This Row],[Master]]=0, Table1[[#This Row],[PhD]]=0), "NA")</f>
        <v>Graduate</v>
      </c>
      <c r="Q1133" t="e">
        <f>_xlfn.XLOOKUP(Table1[[#This Row],[ID]], Table2[ID],#REF!, "Not Found", 0)</f>
        <v>#REF!</v>
      </c>
      <c r="R1133" t="e">
        <f>_xlfn.XLOOKUP(Table1[[#This Row],[ID]], Table2[ID],#REF!, "Not Found", 0)</f>
        <v>#REF!</v>
      </c>
      <c r="S1133" s="3" t="str">
        <f>_xlfn.XLOOKUP(Table1[[#This Row],[ID]], Table2[ID], Table2[Enrollment], "Not Found", 0)</f>
        <v>2/15/2020</v>
      </c>
      <c r="T1133" t="s">
        <v>435</v>
      </c>
    </row>
    <row r="1134" spans="1:20" x14ac:dyDescent="0.3">
      <c r="A1134">
        <v>1340</v>
      </c>
      <c r="B1134">
        <v>150737</v>
      </c>
      <c r="C1134">
        <v>0</v>
      </c>
      <c r="D1134">
        <v>1</v>
      </c>
      <c r="E1134">
        <v>65</v>
      </c>
      <c r="F1134">
        <v>0</v>
      </c>
      <c r="G1134">
        <v>1</v>
      </c>
      <c r="H1134">
        <v>0</v>
      </c>
      <c r="I1134">
        <v>0</v>
      </c>
      <c r="J1134">
        <v>0</v>
      </c>
      <c r="K1134">
        <v>0</v>
      </c>
      <c r="L1134">
        <v>1</v>
      </c>
      <c r="M1134">
        <v>0</v>
      </c>
      <c r="N1134">
        <v>0</v>
      </c>
      <c r="O1134" t="str" cm="1">
        <f t="array" ref="O1134">_xlfn.IFS(Table1[[#This Row],[Divorced]]=1, "Divorced", Table1[[#This Row],[Married]]=1, "Married", Table1[[#This Row],[Single]]=1, "Single", Table1[[#This Row],[Together]]=1, "Together", Table1[[#This Row],[Widow]]=1, "Widow")</f>
        <v>Married</v>
      </c>
      <c r="P1134" t="str" cm="1">
        <f t="array" ref="P1134">_xlfn.IFS(Table1[[#This Row],[Basic]]=1, "Basic", Table1[[#This Row],[Graduate]]=1, "Graduate", Table1[[#This Row],[Master]]=1, "Master", Table1[[#This Row],[PhD]]=1, "PhD", AND(Table1[[#This Row],[Basic]]=0, Table1[[#This Row],[Graduate]]=0, Table1[[#This Row],[Master]]=0, Table1[[#This Row],[PhD]]=0), "NA")</f>
        <v>Graduate</v>
      </c>
      <c r="Q1134" t="e">
        <f>_xlfn.XLOOKUP(Table1[[#This Row],[ID]], Table2[ID],#REF!, "Not Found", 0)</f>
        <v>#REF!</v>
      </c>
      <c r="R1134" t="e">
        <f>_xlfn.XLOOKUP(Table1[[#This Row],[ID]], Table2[ID],#REF!, "Not Found", 0)</f>
        <v>#REF!</v>
      </c>
      <c r="S1134" s="3" t="str">
        <f>_xlfn.XLOOKUP(Table1[[#This Row],[ID]], Table2[ID], Table2[Enrollment], "Not Found", 0)</f>
        <v>10/16/2019</v>
      </c>
      <c r="T1134" t="s">
        <v>438</v>
      </c>
    </row>
    <row r="1135" spans="1:20" x14ac:dyDescent="0.3">
      <c r="A1135">
        <v>2635</v>
      </c>
      <c r="B1135">
        <v>150729</v>
      </c>
      <c r="C1135">
        <v>1</v>
      </c>
      <c r="D1135">
        <v>1</v>
      </c>
      <c r="E1135">
        <v>62</v>
      </c>
      <c r="F1135">
        <v>0</v>
      </c>
      <c r="G1135">
        <v>0</v>
      </c>
      <c r="H1135">
        <v>1</v>
      </c>
      <c r="I1135">
        <v>0</v>
      </c>
      <c r="J1135">
        <v>0</v>
      </c>
      <c r="K1135">
        <v>0</v>
      </c>
      <c r="L1135">
        <v>0</v>
      </c>
      <c r="M1135">
        <v>0</v>
      </c>
      <c r="N1135">
        <v>1</v>
      </c>
      <c r="O1135" t="str" cm="1">
        <f t="array" ref="O1135">_xlfn.IFS(Table1[[#This Row],[Divorced]]=1, "Divorced", Table1[[#This Row],[Married]]=1, "Married", Table1[[#This Row],[Single]]=1, "Single", Table1[[#This Row],[Together]]=1, "Together", Table1[[#This Row],[Widow]]=1, "Widow")</f>
        <v>Single</v>
      </c>
      <c r="P1135" t="str" cm="1">
        <f t="array" ref="P1135">_xlfn.IFS(Table1[[#This Row],[Basic]]=1, "Basic", Table1[[#This Row],[Graduate]]=1, "Graduate", Table1[[#This Row],[Master]]=1, "Master", Table1[[#This Row],[PhD]]=1, "PhD", AND(Table1[[#This Row],[Basic]]=0, Table1[[#This Row],[Graduate]]=0, Table1[[#This Row],[Master]]=0, Table1[[#This Row],[PhD]]=0), "NA")</f>
        <v>PhD</v>
      </c>
      <c r="Q1135" t="e">
        <f>_xlfn.XLOOKUP(Table1[[#This Row],[ID]], Table2[ID],#REF!, "Not Found", 0)</f>
        <v>#REF!</v>
      </c>
      <c r="R1135" t="e">
        <f>_xlfn.XLOOKUP(Table1[[#This Row],[ID]], Table2[ID],#REF!, "Not Found", 0)</f>
        <v>#REF!</v>
      </c>
      <c r="S1135" s="3">
        <f>_xlfn.XLOOKUP(Table1[[#This Row],[ID]], Table2[ID], Table2[Enrollment], "Not Found", 0)</f>
        <v>43656</v>
      </c>
      <c r="T1135" t="s">
        <v>437</v>
      </c>
    </row>
    <row r="1136" spans="1:20" x14ac:dyDescent="0.3">
      <c r="A1136">
        <v>2442</v>
      </c>
      <c r="B1136">
        <v>150725</v>
      </c>
      <c r="C1136">
        <v>0</v>
      </c>
      <c r="D1136">
        <v>1</v>
      </c>
      <c r="E1136">
        <v>67</v>
      </c>
      <c r="F1136">
        <v>0</v>
      </c>
      <c r="G1136">
        <v>1</v>
      </c>
      <c r="H1136">
        <v>0</v>
      </c>
      <c r="I1136">
        <v>0</v>
      </c>
      <c r="J1136">
        <v>0</v>
      </c>
      <c r="K1136">
        <v>0</v>
      </c>
      <c r="L1136">
        <v>1</v>
      </c>
      <c r="M1136">
        <v>0</v>
      </c>
      <c r="N1136">
        <v>0</v>
      </c>
      <c r="O1136" t="str" cm="1">
        <f t="array" ref="O1136">_xlfn.IFS(Table1[[#This Row],[Divorced]]=1, "Divorced", Table1[[#This Row],[Married]]=1, "Married", Table1[[#This Row],[Single]]=1, "Single", Table1[[#This Row],[Together]]=1, "Together", Table1[[#This Row],[Widow]]=1, "Widow")</f>
        <v>Married</v>
      </c>
      <c r="P1136" t="str" cm="1">
        <f t="array" ref="P1136">_xlfn.IFS(Table1[[#This Row],[Basic]]=1, "Basic", Table1[[#This Row],[Graduate]]=1, "Graduate", Table1[[#This Row],[Master]]=1, "Master", Table1[[#This Row],[PhD]]=1, "PhD", AND(Table1[[#This Row],[Basic]]=0, Table1[[#This Row],[Graduate]]=0, Table1[[#This Row],[Master]]=0, Table1[[#This Row],[PhD]]=0), "NA")</f>
        <v>Graduate</v>
      </c>
      <c r="Q1136" t="e">
        <f>_xlfn.XLOOKUP(Table1[[#This Row],[ID]], Table2[ID],#REF!, "Not Found", 0)</f>
        <v>#REF!</v>
      </c>
      <c r="R1136" t="e">
        <f>_xlfn.XLOOKUP(Table1[[#This Row],[ID]], Table2[ID],#REF!, "Not Found", 0)</f>
        <v>#REF!</v>
      </c>
      <c r="S1136" s="3" t="str">
        <f>_xlfn.XLOOKUP(Table1[[#This Row],[ID]], Table2[ID], Table2[Enrollment], "Not Found", 0)</f>
        <v>7/21/2019</v>
      </c>
      <c r="T1136" t="s">
        <v>436</v>
      </c>
    </row>
    <row r="1137" spans="1:20" x14ac:dyDescent="0.3">
      <c r="A1137">
        <v>2599</v>
      </c>
      <c r="B1137">
        <v>150664</v>
      </c>
      <c r="C1137">
        <v>1</v>
      </c>
      <c r="D1137">
        <v>1</v>
      </c>
      <c r="E1137">
        <v>61</v>
      </c>
      <c r="F1137">
        <v>0</v>
      </c>
      <c r="G1137">
        <v>0</v>
      </c>
      <c r="H1137">
        <v>1</v>
      </c>
      <c r="I1137">
        <v>0</v>
      </c>
      <c r="J1137">
        <v>0</v>
      </c>
      <c r="K1137">
        <v>0</v>
      </c>
      <c r="L1137">
        <v>1</v>
      </c>
      <c r="M1137">
        <v>0</v>
      </c>
      <c r="N1137">
        <v>0</v>
      </c>
      <c r="O1137" t="str" cm="1">
        <f t="array" ref="O1137">_xlfn.IFS(Table1[[#This Row],[Divorced]]=1, "Divorced", Table1[[#This Row],[Married]]=1, "Married", Table1[[#This Row],[Single]]=1, "Single", Table1[[#This Row],[Together]]=1, "Together", Table1[[#This Row],[Widow]]=1, "Widow")</f>
        <v>Single</v>
      </c>
      <c r="P1137" t="str" cm="1">
        <f t="array" ref="P1137">_xlfn.IFS(Table1[[#This Row],[Basic]]=1, "Basic", Table1[[#This Row],[Graduate]]=1, "Graduate", Table1[[#This Row],[Master]]=1, "Master", Table1[[#This Row],[PhD]]=1, "PhD", AND(Table1[[#This Row],[Basic]]=0, Table1[[#This Row],[Graduate]]=0, Table1[[#This Row],[Master]]=0, Table1[[#This Row],[PhD]]=0), "NA")</f>
        <v>Graduate</v>
      </c>
      <c r="Q1137" t="e">
        <f>_xlfn.XLOOKUP(Table1[[#This Row],[ID]], Table2[ID],#REF!, "Not Found", 0)</f>
        <v>#REF!</v>
      </c>
      <c r="R1137" t="e">
        <f>_xlfn.XLOOKUP(Table1[[#This Row],[ID]], Table2[ID],#REF!, "Not Found", 0)</f>
        <v>#REF!</v>
      </c>
      <c r="S1137" s="3" t="str">
        <f>_xlfn.XLOOKUP(Table1[[#This Row],[ID]], Table2[ID], Table2[Enrollment], "Not Found", 0)</f>
        <v>6/23/2019</v>
      </c>
      <c r="T1137" t="s">
        <v>437</v>
      </c>
    </row>
    <row r="1138" spans="1:20" x14ac:dyDescent="0.3">
      <c r="A1138">
        <v>1636</v>
      </c>
      <c r="B1138">
        <v>150616</v>
      </c>
      <c r="C1138">
        <v>0</v>
      </c>
      <c r="D1138">
        <v>1</v>
      </c>
      <c r="E1138">
        <v>70</v>
      </c>
      <c r="F1138">
        <v>0</v>
      </c>
      <c r="G1138">
        <v>0</v>
      </c>
      <c r="H1138">
        <v>0</v>
      </c>
      <c r="I1138">
        <v>1</v>
      </c>
      <c r="J1138">
        <v>0</v>
      </c>
      <c r="K1138">
        <v>0</v>
      </c>
      <c r="L1138">
        <v>0</v>
      </c>
      <c r="M1138">
        <v>0</v>
      </c>
      <c r="N1138">
        <v>1</v>
      </c>
      <c r="O1138" t="str" cm="1">
        <f t="array" ref="O1138">_xlfn.IFS(Table1[[#This Row],[Divorced]]=1, "Divorced", Table1[[#This Row],[Married]]=1, "Married", Table1[[#This Row],[Single]]=1, "Single", Table1[[#This Row],[Together]]=1, "Together", Table1[[#This Row],[Widow]]=1, "Widow")</f>
        <v>Together</v>
      </c>
      <c r="P1138" t="str" cm="1">
        <f t="array" ref="P1138">_xlfn.IFS(Table1[[#This Row],[Basic]]=1, "Basic", Table1[[#This Row],[Graduate]]=1, "Graduate", Table1[[#This Row],[Master]]=1, "Master", Table1[[#This Row],[PhD]]=1, "PhD", AND(Table1[[#This Row],[Basic]]=0, Table1[[#This Row],[Graduate]]=0, Table1[[#This Row],[Master]]=0, Table1[[#This Row],[PhD]]=0), "NA")</f>
        <v>PhD</v>
      </c>
      <c r="Q1138" t="e">
        <f>_xlfn.XLOOKUP(Table1[[#This Row],[ID]], Table2[ID],#REF!, "Not Found", 0)</f>
        <v>#REF!</v>
      </c>
      <c r="R1138" t="e">
        <f>_xlfn.XLOOKUP(Table1[[#This Row],[ID]], Table2[ID],#REF!, "Not Found", 0)</f>
        <v>#REF!</v>
      </c>
      <c r="S1138" s="3" t="str">
        <f>_xlfn.XLOOKUP(Table1[[#This Row],[ID]], Table2[ID], Table2[Enrollment], "Not Found", 0)</f>
        <v>9/17/2020</v>
      </c>
      <c r="T1138" t="s">
        <v>439</v>
      </c>
    </row>
    <row r="1139" spans="1:20" x14ac:dyDescent="0.3">
      <c r="A1139">
        <v>2857</v>
      </c>
      <c r="B1139">
        <v>150616</v>
      </c>
      <c r="C1139">
        <v>0</v>
      </c>
      <c r="D1139">
        <v>1</v>
      </c>
      <c r="E1139">
        <v>52</v>
      </c>
      <c r="F1139">
        <v>1</v>
      </c>
      <c r="G1139">
        <v>0</v>
      </c>
      <c r="H1139">
        <v>0</v>
      </c>
      <c r="I1139">
        <v>0</v>
      </c>
      <c r="J1139">
        <v>0</v>
      </c>
      <c r="K1139">
        <v>0</v>
      </c>
      <c r="L1139">
        <v>0</v>
      </c>
      <c r="M1139">
        <v>0</v>
      </c>
      <c r="N1139">
        <v>1</v>
      </c>
      <c r="O1139" t="str" cm="1">
        <f t="array" ref="O1139">_xlfn.IFS(Table1[[#This Row],[Divorced]]=1, "Divorced", Table1[[#This Row],[Married]]=1, "Married", Table1[[#This Row],[Single]]=1, "Single", Table1[[#This Row],[Together]]=1, "Together", Table1[[#This Row],[Widow]]=1, "Widow")</f>
        <v>Divorced</v>
      </c>
      <c r="P1139" t="str" cm="1">
        <f t="array" ref="P1139">_xlfn.IFS(Table1[[#This Row],[Basic]]=1, "Basic", Table1[[#This Row],[Graduate]]=1, "Graduate", Table1[[#This Row],[Master]]=1, "Master", Table1[[#This Row],[PhD]]=1, "PhD", AND(Table1[[#This Row],[Basic]]=0, Table1[[#This Row],[Graduate]]=0, Table1[[#This Row],[Master]]=0, Table1[[#This Row],[PhD]]=0), "NA")</f>
        <v>PhD</v>
      </c>
      <c r="Q1139" t="e">
        <f>_xlfn.XLOOKUP(Table1[[#This Row],[ID]], Table2[ID],#REF!, "Not Found", 0)</f>
        <v>#REF!</v>
      </c>
      <c r="R1139" t="e">
        <f>_xlfn.XLOOKUP(Table1[[#This Row],[ID]], Table2[ID],#REF!, "Not Found", 0)</f>
        <v>#REF!</v>
      </c>
      <c r="S1139" s="3" t="str">
        <f>_xlfn.XLOOKUP(Table1[[#This Row],[ID]], Table2[ID], Table2[Enrollment], "Not Found", 0)</f>
        <v>9/22/2020</v>
      </c>
      <c r="T1139" t="s">
        <v>437</v>
      </c>
    </row>
    <row r="1140" spans="1:20" x14ac:dyDescent="0.3">
      <c r="A1140">
        <v>1671</v>
      </c>
      <c r="B1140">
        <v>150611</v>
      </c>
      <c r="C1140">
        <v>0</v>
      </c>
      <c r="D1140">
        <v>1</v>
      </c>
      <c r="E1140">
        <v>60</v>
      </c>
      <c r="F1140">
        <v>1</v>
      </c>
      <c r="G1140">
        <v>0</v>
      </c>
      <c r="H1140">
        <v>0</v>
      </c>
      <c r="I1140">
        <v>0</v>
      </c>
      <c r="J1140">
        <v>0</v>
      </c>
      <c r="K1140">
        <v>0</v>
      </c>
      <c r="L1140">
        <v>0</v>
      </c>
      <c r="M1140">
        <v>0</v>
      </c>
      <c r="N1140">
        <v>1</v>
      </c>
      <c r="O1140" t="str" cm="1">
        <f t="array" ref="O1140">_xlfn.IFS(Table1[[#This Row],[Divorced]]=1, "Divorced", Table1[[#This Row],[Married]]=1, "Married", Table1[[#This Row],[Single]]=1, "Single", Table1[[#This Row],[Together]]=1, "Together", Table1[[#This Row],[Widow]]=1, "Widow")</f>
        <v>Divorced</v>
      </c>
      <c r="P1140" t="str" cm="1">
        <f t="array" ref="P1140">_xlfn.IFS(Table1[[#This Row],[Basic]]=1, "Basic", Table1[[#This Row],[Graduate]]=1, "Graduate", Table1[[#This Row],[Master]]=1, "Master", Table1[[#This Row],[PhD]]=1, "PhD", AND(Table1[[#This Row],[Basic]]=0, Table1[[#This Row],[Graduate]]=0, Table1[[#This Row],[Master]]=0, Table1[[#This Row],[PhD]]=0), "NA")</f>
        <v>PhD</v>
      </c>
      <c r="Q1140" t="e">
        <f>_xlfn.XLOOKUP(Table1[[#This Row],[ID]], Table2[ID],#REF!, "Not Found", 0)</f>
        <v>#REF!</v>
      </c>
      <c r="R1140" t="e">
        <f>_xlfn.XLOOKUP(Table1[[#This Row],[ID]], Table2[ID],#REF!, "Not Found", 0)</f>
        <v>#REF!</v>
      </c>
      <c r="S1140" s="3">
        <f>_xlfn.XLOOKUP(Table1[[#This Row],[ID]], Table2[ID], Table2[Enrollment], "Not Found", 0)</f>
        <v>43772</v>
      </c>
      <c r="T1140" t="s">
        <v>435</v>
      </c>
    </row>
    <row r="1141" spans="1:20" x14ac:dyDescent="0.3">
      <c r="A1141">
        <v>2353</v>
      </c>
      <c r="B1141">
        <v>150611</v>
      </c>
      <c r="C1141">
        <v>0</v>
      </c>
      <c r="D1141">
        <v>1</v>
      </c>
      <c r="E1141">
        <v>60</v>
      </c>
      <c r="F1141">
        <v>1</v>
      </c>
      <c r="G1141">
        <v>0</v>
      </c>
      <c r="H1141">
        <v>0</v>
      </c>
      <c r="I1141">
        <v>0</v>
      </c>
      <c r="J1141">
        <v>0</v>
      </c>
      <c r="K1141">
        <v>0</v>
      </c>
      <c r="L1141">
        <v>0</v>
      </c>
      <c r="M1141">
        <v>0</v>
      </c>
      <c r="N1141">
        <v>1</v>
      </c>
      <c r="O1141" t="str" cm="1">
        <f t="array" ref="O1141">_xlfn.IFS(Table1[[#This Row],[Divorced]]=1, "Divorced", Table1[[#This Row],[Married]]=1, "Married", Table1[[#This Row],[Single]]=1, "Single", Table1[[#This Row],[Together]]=1, "Together", Table1[[#This Row],[Widow]]=1, "Widow")</f>
        <v>Divorced</v>
      </c>
      <c r="P1141" t="str" cm="1">
        <f t="array" ref="P1141">_xlfn.IFS(Table1[[#This Row],[Basic]]=1, "Basic", Table1[[#This Row],[Graduate]]=1, "Graduate", Table1[[#This Row],[Master]]=1, "Master", Table1[[#This Row],[PhD]]=1, "PhD", AND(Table1[[#This Row],[Basic]]=0, Table1[[#This Row],[Graduate]]=0, Table1[[#This Row],[Master]]=0, Table1[[#This Row],[PhD]]=0), "NA")</f>
        <v>PhD</v>
      </c>
      <c r="Q1141" t="e">
        <f>_xlfn.XLOOKUP(Table1[[#This Row],[ID]], Table2[ID],#REF!, "Not Found", 0)</f>
        <v>#REF!</v>
      </c>
      <c r="R1141" t="e">
        <f>_xlfn.XLOOKUP(Table1[[#This Row],[ID]], Table2[ID],#REF!, "Not Found", 0)</f>
        <v>#REF!</v>
      </c>
      <c r="S1141" s="3">
        <f>_xlfn.XLOOKUP(Table1[[#This Row],[ID]], Table2[ID], Table2[Enrollment], "Not Found", 0)</f>
        <v>43772</v>
      </c>
      <c r="T1141" t="s">
        <v>437</v>
      </c>
    </row>
    <row r="1142" spans="1:20" x14ac:dyDescent="0.3">
      <c r="A1142">
        <v>2351</v>
      </c>
      <c r="B1142">
        <v>150523</v>
      </c>
      <c r="C1142">
        <v>1</v>
      </c>
      <c r="D1142">
        <v>1</v>
      </c>
      <c r="E1142">
        <v>60</v>
      </c>
      <c r="F1142">
        <v>0</v>
      </c>
      <c r="G1142">
        <v>0</v>
      </c>
      <c r="H1142">
        <v>0</v>
      </c>
      <c r="I1142">
        <v>1</v>
      </c>
      <c r="J1142">
        <v>0</v>
      </c>
      <c r="K1142">
        <v>0</v>
      </c>
      <c r="L1142">
        <v>0</v>
      </c>
      <c r="M1142">
        <v>0</v>
      </c>
      <c r="N1142">
        <v>0</v>
      </c>
      <c r="O1142" t="str" cm="1">
        <f t="array" ref="O1142">_xlfn.IFS(Table1[[#This Row],[Divorced]]=1, "Divorced", Table1[[#This Row],[Married]]=1, "Married", Table1[[#This Row],[Single]]=1, "Single", Table1[[#This Row],[Together]]=1, "Together", Table1[[#This Row],[Widow]]=1, "Widow")</f>
        <v>Together</v>
      </c>
      <c r="P1142" t="str" cm="1">
        <f t="array" ref="P1142">_xlfn.IFS(Table1[[#This Row],[Basic]]=1, "Basic", Table1[[#This Row],[Graduate]]=1, "Graduate", Table1[[#This Row],[Master]]=1, "Master", Table1[[#This Row],[PhD]]=1, "PhD", AND(Table1[[#This Row],[Basic]]=0, Table1[[#This Row],[Graduate]]=0, Table1[[#This Row],[Master]]=0, Table1[[#This Row],[PhD]]=0), "NA")</f>
        <v>NA</v>
      </c>
      <c r="Q1142" t="e">
        <f>_xlfn.XLOOKUP(Table1[[#This Row],[ID]], Table2[ID],#REF!, "Not Found", 0)</f>
        <v>#REF!</v>
      </c>
      <c r="R1142" t="e">
        <f>_xlfn.XLOOKUP(Table1[[#This Row],[ID]], Table2[ID],#REF!, "Not Found", 0)</f>
        <v>#REF!</v>
      </c>
      <c r="S1142" s="3" t="str">
        <f>_xlfn.XLOOKUP(Table1[[#This Row],[ID]], Table2[ID], Table2[Enrollment], "Not Found", 0)</f>
        <v>5/31/2020</v>
      </c>
      <c r="T1142" t="s">
        <v>434</v>
      </c>
    </row>
    <row r="1143" spans="1:20" x14ac:dyDescent="0.3">
      <c r="A1143">
        <v>1446</v>
      </c>
      <c r="B1143">
        <v>150520</v>
      </c>
      <c r="C1143">
        <v>0</v>
      </c>
      <c r="D1143">
        <v>1</v>
      </c>
      <c r="E1143">
        <v>62</v>
      </c>
      <c r="F1143">
        <v>0</v>
      </c>
      <c r="G1143">
        <v>0</v>
      </c>
      <c r="H1143">
        <v>0</v>
      </c>
      <c r="I1143">
        <v>0</v>
      </c>
      <c r="J1143">
        <v>1</v>
      </c>
      <c r="K1143">
        <v>0</v>
      </c>
      <c r="L1143">
        <v>0</v>
      </c>
      <c r="M1143">
        <v>0</v>
      </c>
      <c r="N1143">
        <v>1</v>
      </c>
      <c r="O1143" t="str" cm="1">
        <f t="array" ref="O1143">_xlfn.IFS(Table1[[#This Row],[Divorced]]=1, "Divorced", Table1[[#This Row],[Married]]=1, "Married", Table1[[#This Row],[Single]]=1, "Single", Table1[[#This Row],[Together]]=1, "Together", Table1[[#This Row],[Widow]]=1, "Widow")</f>
        <v>Widow</v>
      </c>
      <c r="P1143" t="str" cm="1">
        <f t="array" ref="P1143">_xlfn.IFS(Table1[[#This Row],[Basic]]=1, "Basic", Table1[[#This Row],[Graduate]]=1, "Graduate", Table1[[#This Row],[Master]]=1, "Master", Table1[[#This Row],[PhD]]=1, "PhD", AND(Table1[[#This Row],[Basic]]=0, Table1[[#This Row],[Graduate]]=0, Table1[[#This Row],[Master]]=0, Table1[[#This Row],[PhD]]=0), "NA")</f>
        <v>PhD</v>
      </c>
      <c r="Q1143" t="e">
        <f>_xlfn.XLOOKUP(Table1[[#This Row],[ID]], Table2[ID],#REF!, "Not Found", 0)</f>
        <v>#REF!</v>
      </c>
      <c r="R1143" t="e">
        <f>_xlfn.XLOOKUP(Table1[[#This Row],[ID]], Table2[ID],#REF!, "Not Found", 0)</f>
        <v>#REF!</v>
      </c>
      <c r="S1143" s="3">
        <f>_xlfn.XLOOKUP(Table1[[#This Row],[ID]], Table2[ID], Table2[Enrollment], "Not Found", 0)</f>
        <v>43928</v>
      </c>
      <c r="T1143" t="s">
        <v>436</v>
      </c>
    </row>
    <row r="1144" spans="1:20" x14ac:dyDescent="0.3">
      <c r="A1144">
        <v>3166</v>
      </c>
      <c r="B1144">
        <v>150501</v>
      </c>
      <c r="C1144">
        <v>1</v>
      </c>
      <c r="D1144">
        <v>1</v>
      </c>
      <c r="E1144">
        <v>66</v>
      </c>
      <c r="F1144">
        <v>0</v>
      </c>
      <c r="G1144">
        <v>1</v>
      </c>
      <c r="H1144">
        <v>0</v>
      </c>
      <c r="I1144">
        <v>0</v>
      </c>
      <c r="J1144">
        <v>0</v>
      </c>
      <c r="K1144">
        <v>0</v>
      </c>
      <c r="L1144">
        <v>1</v>
      </c>
      <c r="M1144">
        <v>0</v>
      </c>
      <c r="N1144">
        <v>0</v>
      </c>
      <c r="O1144" t="str" cm="1">
        <f t="array" ref="O1144">_xlfn.IFS(Table1[[#This Row],[Divorced]]=1, "Divorced", Table1[[#This Row],[Married]]=1, "Married", Table1[[#This Row],[Single]]=1, "Single", Table1[[#This Row],[Together]]=1, "Together", Table1[[#This Row],[Widow]]=1, "Widow")</f>
        <v>Married</v>
      </c>
      <c r="P1144" t="str" cm="1">
        <f t="array" ref="P1144">_xlfn.IFS(Table1[[#This Row],[Basic]]=1, "Basic", Table1[[#This Row],[Graduate]]=1, "Graduate", Table1[[#This Row],[Master]]=1, "Master", Table1[[#This Row],[PhD]]=1, "PhD", AND(Table1[[#This Row],[Basic]]=0, Table1[[#This Row],[Graduate]]=0, Table1[[#This Row],[Master]]=0, Table1[[#This Row],[PhD]]=0), "NA")</f>
        <v>Graduate</v>
      </c>
      <c r="Q1144" t="e">
        <f>_xlfn.XLOOKUP(Table1[[#This Row],[ID]], Table2[ID],#REF!, "Not Found", 0)</f>
        <v>#REF!</v>
      </c>
      <c r="R1144" t="e">
        <f>_xlfn.XLOOKUP(Table1[[#This Row],[ID]], Table2[ID],#REF!, "Not Found", 0)</f>
        <v>#REF!</v>
      </c>
      <c r="S1144" s="3" t="str">
        <f>_xlfn.XLOOKUP(Table1[[#This Row],[ID]], Table2[ID], Table2[Enrollment], "Not Found", 0)</f>
        <v>11/23/2019</v>
      </c>
      <c r="T1144" t="s">
        <v>439</v>
      </c>
    </row>
    <row r="1145" spans="1:20" x14ac:dyDescent="0.3">
      <c r="A1145">
        <v>1161</v>
      </c>
      <c r="B1145">
        <v>150447</v>
      </c>
      <c r="C1145">
        <v>2</v>
      </c>
      <c r="D1145">
        <v>0</v>
      </c>
      <c r="E1145">
        <v>50</v>
      </c>
      <c r="F1145">
        <v>0</v>
      </c>
      <c r="G1145">
        <v>1</v>
      </c>
      <c r="H1145">
        <v>0</v>
      </c>
      <c r="I1145">
        <v>0</v>
      </c>
      <c r="J1145">
        <v>0</v>
      </c>
      <c r="K1145">
        <v>0</v>
      </c>
      <c r="L1145">
        <v>1</v>
      </c>
      <c r="M1145">
        <v>0</v>
      </c>
      <c r="N1145">
        <v>0</v>
      </c>
      <c r="O1145" t="str" cm="1">
        <f t="array" ref="O1145">_xlfn.IFS(Table1[[#This Row],[Divorced]]=1, "Divorced", Table1[[#This Row],[Married]]=1, "Married", Table1[[#This Row],[Single]]=1, "Single", Table1[[#This Row],[Together]]=1, "Together", Table1[[#This Row],[Widow]]=1, "Widow")</f>
        <v>Married</v>
      </c>
      <c r="P1145" t="str" cm="1">
        <f t="array" ref="P1145">_xlfn.IFS(Table1[[#This Row],[Basic]]=1, "Basic", Table1[[#This Row],[Graduate]]=1, "Graduate", Table1[[#This Row],[Master]]=1, "Master", Table1[[#This Row],[PhD]]=1, "PhD", AND(Table1[[#This Row],[Basic]]=0, Table1[[#This Row],[Graduate]]=0, Table1[[#This Row],[Master]]=0, Table1[[#This Row],[PhD]]=0), "NA")</f>
        <v>Graduate</v>
      </c>
      <c r="Q1145" t="e">
        <f>_xlfn.XLOOKUP(Table1[[#This Row],[ID]], Table2[ID],#REF!, "Not Found", 0)</f>
        <v>#REF!</v>
      </c>
      <c r="R1145" t="e">
        <f>_xlfn.XLOOKUP(Table1[[#This Row],[ID]], Table2[ID],#REF!, "Not Found", 0)</f>
        <v>#REF!</v>
      </c>
      <c r="S1145" s="3" t="str">
        <f>_xlfn.XLOOKUP(Table1[[#This Row],[ID]], Table2[ID], Table2[Enrollment], "Not Found", 0)</f>
        <v>9/25/2020</v>
      </c>
      <c r="T1145" t="s">
        <v>435</v>
      </c>
    </row>
    <row r="1146" spans="1:20" x14ac:dyDescent="0.3">
      <c r="A1146">
        <v>1393</v>
      </c>
      <c r="B1146">
        <v>150437</v>
      </c>
      <c r="C1146">
        <v>0</v>
      </c>
      <c r="D1146">
        <v>2</v>
      </c>
      <c r="E1146">
        <v>57</v>
      </c>
      <c r="F1146">
        <v>0</v>
      </c>
      <c r="G1146">
        <v>1</v>
      </c>
      <c r="H1146">
        <v>0</v>
      </c>
      <c r="I1146">
        <v>0</v>
      </c>
      <c r="J1146">
        <v>0</v>
      </c>
      <c r="K1146">
        <v>0</v>
      </c>
      <c r="L1146">
        <v>1</v>
      </c>
      <c r="M1146">
        <v>0</v>
      </c>
      <c r="N1146">
        <v>0</v>
      </c>
      <c r="O1146" t="str" cm="1">
        <f t="array" ref="O1146">_xlfn.IFS(Table1[[#This Row],[Divorced]]=1, "Divorced", Table1[[#This Row],[Married]]=1, "Married", Table1[[#This Row],[Single]]=1, "Single", Table1[[#This Row],[Together]]=1, "Together", Table1[[#This Row],[Widow]]=1, "Widow")</f>
        <v>Married</v>
      </c>
      <c r="P1146" t="str" cm="1">
        <f t="array" ref="P1146">_xlfn.IFS(Table1[[#This Row],[Basic]]=1, "Basic", Table1[[#This Row],[Graduate]]=1, "Graduate", Table1[[#This Row],[Master]]=1, "Master", Table1[[#This Row],[PhD]]=1, "PhD", AND(Table1[[#This Row],[Basic]]=0, Table1[[#This Row],[Graduate]]=0, Table1[[#This Row],[Master]]=0, Table1[[#This Row],[PhD]]=0), "NA")</f>
        <v>Graduate</v>
      </c>
      <c r="Q1146" t="e">
        <f>_xlfn.XLOOKUP(Table1[[#This Row],[ID]], Table2[ID],#REF!, "Not Found", 0)</f>
        <v>#REF!</v>
      </c>
      <c r="R1146" t="e">
        <f>_xlfn.XLOOKUP(Table1[[#This Row],[ID]], Table2[ID],#REF!, "Not Found", 0)</f>
        <v>#REF!</v>
      </c>
      <c r="S1146" s="3" t="str">
        <f>_xlfn.XLOOKUP(Table1[[#This Row],[ID]], Table2[ID], Table2[Enrollment], "Not Found", 0)</f>
        <v>3/24/2019</v>
      </c>
      <c r="T1146" t="s">
        <v>437</v>
      </c>
    </row>
    <row r="1147" spans="1:20" x14ac:dyDescent="0.3">
      <c r="A1147">
        <v>1082</v>
      </c>
      <c r="B1147">
        <v>150388</v>
      </c>
      <c r="C1147">
        <v>0</v>
      </c>
      <c r="D1147">
        <v>1</v>
      </c>
      <c r="E1147">
        <v>63</v>
      </c>
      <c r="F1147">
        <v>0</v>
      </c>
      <c r="G1147">
        <v>0</v>
      </c>
      <c r="H1147">
        <v>1</v>
      </c>
      <c r="I1147">
        <v>0</v>
      </c>
      <c r="J1147">
        <v>0</v>
      </c>
      <c r="K1147">
        <v>0</v>
      </c>
      <c r="L1147">
        <v>1</v>
      </c>
      <c r="M1147">
        <v>0</v>
      </c>
      <c r="N1147">
        <v>0</v>
      </c>
      <c r="O1147" t="str" cm="1">
        <f t="array" ref="O1147">_xlfn.IFS(Table1[[#This Row],[Divorced]]=1, "Divorced", Table1[[#This Row],[Married]]=1, "Married", Table1[[#This Row],[Single]]=1, "Single", Table1[[#This Row],[Together]]=1, "Together", Table1[[#This Row],[Widow]]=1, "Widow")</f>
        <v>Single</v>
      </c>
      <c r="P1147" t="str" cm="1">
        <f t="array" ref="P1147">_xlfn.IFS(Table1[[#This Row],[Basic]]=1, "Basic", Table1[[#This Row],[Graduate]]=1, "Graduate", Table1[[#This Row],[Master]]=1, "Master", Table1[[#This Row],[PhD]]=1, "PhD", AND(Table1[[#This Row],[Basic]]=0, Table1[[#This Row],[Graduate]]=0, Table1[[#This Row],[Master]]=0, Table1[[#This Row],[PhD]]=0), "NA")</f>
        <v>Graduate</v>
      </c>
      <c r="Q1147" t="e">
        <f>_xlfn.XLOOKUP(Table1[[#This Row],[ID]], Table2[ID],#REF!, "Not Found", 0)</f>
        <v>#REF!</v>
      </c>
      <c r="R1147" t="e">
        <f>_xlfn.XLOOKUP(Table1[[#This Row],[ID]], Table2[ID],#REF!, "Not Found", 0)</f>
        <v>#REF!</v>
      </c>
      <c r="S1147" s="3">
        <f>_xlfn.XLOOKUP(Table1[[#This Row],[ID]], Table2[ID], Table2[Enrollment], "Not Found", 0)</f>
        <v>43841</v>
      </c>
      <c r="T1147" t="s">
        <v>438</v>
      </c>
    </row>
    <row r="1148" spans="1:20" x14ac:dyDescent="0.3">
      <c r="A1148">
        <v>2793</v>
      </c>
      <c r="B1148">
        <v>150387</v>
      </c>
      <c r="C1148">
        <v>0</v>
      </c>
      <c r="D1148">
        <v>2</v>
      </c>
      <c r="E1148">
        <v>64</v>
      </c>
      <c r="F1148">
        <v>0</v>
      </c>
      <c r="G1148">
        <v>1</v>
      </c>
      <c r="H1148">
        <v>0</v>
      </c>
      <c r="I1148">
        <v>0</v>
      </c>
      <c r="J1148">
        <v>0</v>
      </c>
      <c r="K1148">
        <v>0</v>
      </c>
      <c r="L1148">
        <v>1</v>
      </c>
      <c r="M1148">
        <v>0</v>
      </c>
      <c r="N1148">
        <v>0</v>
      </c>
      <c r="O1148" t="str" cm="1">
        <f t="array" ref="O1148">_xlfn.IFS(Table1[[#This Row],[Divorced]]=1, "Divorced", Table1[[#This Row],[Married]]=1, "Married", Table1[[#This Row],[Single]]=1, "Single", Table1[[#This Row],[Together]]=1, "Together", Table1[[#This Row],[Widow]]=1, "Widow")</f>
        <v>Married</v>
      </c>
      <c r="P1148" t="str" cm="1">
        <f t="array" ref="P1148">_xlfn.IFS(Table1[[#This Row],[Basic]]=1, "Basic", Table1[[#This Row],[Graduate]]=1, "Graduate", Table1[[#This Row],[Master]]=1, "Master", Table1[[#This Row],[PhD]]=1, "PhD", AND(Table1[[#This Row],[Basic]]=0, Table1[[#This Row],[Graduate]]=0, Table1[[#This Row],[Master]]=0, Table1[[#This Row],[PhD]]=0), "NA")</f>
        <v>Graduate</v>
      </c>
      <c r="Q1148" t="e">
        <f>_xlfn.XLOOKUP(Table1[[#This Row],[ID]], Table2[ID],#REF!, "Not Found", 0)</f>
        <v>#REF!</v>
      </c>
      <c r="R1148" t="e">
        <f>_xlfn.XLOOKUP(Table1[[#This Row],[ID]], Table2[ID],#REF!, "Not Found", 0)</f>
        <v>#REF!</v>
      </c>
      <c r="S1148" s="3">
        <f>_xlfn.XLOOKUP(Table1[[#This Row],[ID]], Table2[ID], Table2[Enrollment], "Not Found", 0)</f>
        <v>43953</v>
      </c>
      <c r="T1148" t="s">
        <v>435</v>
      </c>
    </row>
    <row r="1149" spans="1:20" x14ac:dyDescent="0.3">
      <c r="A1149">
        <v>1511</v>
      </c>
      <c r="B1149">
        <v>150353</v>
      </c>
      <c r="C1149">
        <v>0</v>
      </c>
      <c r="D1149">
        <v>0</v>
      </c>
      <c r="E1149">
        <v>43</v>
      </c>
      <c r="F1149">
        <v>0</v>
      </c>
      <c r="G1149">
        <v>1</v>
      </c>
      <c r="H1149">
        <v>0</v>
      </c>
      <c r="I1149">
        <v>0</v>
      </c>
      <c r="J1149">
        <v>0</v>
      </c>
      <c r="K1149">
        <v>0</v>
      </c>
      <c r="L1149">
        <v>0</v>
      </c>
      <c r="M1149">
        <v>1</v>
      </c>
      <c r="N1149">
        <v>0</v>
      </c>
      <c r="O1149" t="str" cm="1">
        <f t="array" ref="O1149">_xlfn.IFS(Table1[[#This Row],[Divorced]]=1, "Divorced", Table1[[#This Row],[Married]]=1, "Married", Table1[[#This Row],[Single]]=1, "Single", Table1[[#This Row],[Together]]=1, "Together", Table1[[#This Row],[Widow]]=1, "Widow")</f>
        <v>Married</v>
      </c>
      <c r="P1149" t="str" cm="1">
        <f t="array" ref="P1149">_xlfn.IFS(Table1[[#This Row],[Basic]]=1, "Basic", Table1[[#This Row],[Graduate]]=1, "Graduate", Table1[[#This Row],[Master]]=1, "Master", Table1[[#This Row],[PhD]]=1, "PhD", AND(Table1[[#This Row],[Basic]]=0, Table1[[#This Row],[Graduate]]=0, Table1[[#This Row],[Master]]=0, Table1[[#This Row],[PhD]]=0), "NA")</f>
        <v>Master</v>
      </c>
      <c r="Q1149" t="e">
        <f>_xlfn.XLOOKUP(Table1[[#This Row],[ID]], Table2[ID],#REF!, "Not Found", 0)</f>
        <v>#REF!</v>
      </c>
      <c r="R1149" t="e">
        <f>_xlfn.XLOOKUP(Table1[[#This Row],[ID]], Table2[ID],#REF!, "Not Found", 0)</f>
        <v>#REF!</v>
      </c>
      <c r="S1149" s="3">
        <f>_xlfn.XLOOKUP(Table1[[#This Row],[ID]], Table2[ID], Table2[Enrollment], "Not Found", 0)</f>
        <v>44176</v>
      </c>
      <c r="T1149" t="s">
        <v>434</v>
      </c>
    </row>
    <row r="1150" spans="1:20" x14ac:dyDescent="0.3">
      <c r="A1150">
        <v>2633</v>
      </c>
      <c r="B1150">
        <v>150334</v>
      </c>
      <c r="C1150">
        <v>0</v>
      </c>
      <c r="D1150">
        <v>1</v>
      </c>
      <c r="E1150">
        <v>48</v>
      </c>
      <c r="F1150">
        <v>0</v>
      </c>
      <c r="G1150">
        <v>0</v>
      </c>
      <c r="H1150">
        <v>0</v>
      </c>
      <c r="I1150">
        <v>1</v>
      </c>
      <c r="J1150">
        <v>0</v>
      </c>
      <c r="K1150">
        <v>0</v>
      </c>
      <c r="L1150">
        <v>0</v>
      </c>
      <c r="M1150">
        <v>0</v>
      </c>
      <c r="N1150">
        <v>0</v>
      </c>
      <c r="O1150" t="str" cm="1">
        <f t="array" ref="O1150">_xlfn.IFS(Table1[[#This Row],[Divorced]]=1, "Divorced", Table1[[#This Row],[Married]]=1, "Married", Table1[[#This Row],[Single]]=1, "Single", Table1[[#This Row],[Together]]=1, "Together", Table1[[#This Row],[Widow]]=1, "Widow")</f>
        <v>Together</v>
      </c>
      <c r="P1150" t="str" cm="1">
        <f t="array" ref="P1150">_xlfn.IFS(Table1[[#This Row],[Basic]]=1, "Basic", Table1[[#This Row],[Graduate]]=1, "Graduate", Table1[[#This Row],[Master]]=1, "Master", Table1[[#This Row],[PhD]]=1, "PhD", AND(Table1[[#This Row],[Basic]]=0, Table1[[#This Row],[Graduate]]=0, Table1[[#This Row],[Master]]=0, Table1[[#This Row],[PhD]]=0), "NA")</f>
        <v>NA</v>
      </c>
      <c r="Q1150" t="e">
        <f>_xlfn.XLOOKUP(Table1[[#This Row],[ID]], Table2[ID],#REF!, "Not Found", 0)</f>
        <v>#REF!</v>
      </c>
      <c r="R1150" t="e">
        <f>_xlfn.XLOOKUP(Table1[[#This Row],[ID]], Table2[ID],#REF!, "Not Found", 0)</f>
        <v>#REF!</v>
      </c>
      <c r="S1150" s="3" t="str">
        <f>_xlfn.XLOOKUP(Table1[[#This Row],[ID]], Table2[ID], Table2[Enrollment], "Not Found", 0)</f>
        <v>12/29/2019</v>
      </c>
      <c r="T1150" t="s">
        <v>434</v>
      </c>
    </row>
    <row r="1151" spans="1:20" x14ac:dyDescent="0.3">
      <c r="A1151">
        <v>1442</v>
      </c>
      <c r="B1151">
        <v>150300</v>
      </c>
      <c r="C1151">
        <v>0</v>
      </c>
      <c r="D1151">
        <v>1</v>
      </c>
      <c r="E1151">
        <v>68</v>
      </c>
      <c r="F1151">
        <v>0</v>
      </c>
      <c r="G1151">
        <v>1</v>
      </c>
      <c r="H1151">
        <v>0</v>
      </c>
      <c r="I1151">
        <v>0</v>
      </c>
      <c r="J1151">
        <v>0</v>
      </c>
      <c r="K1151">
        <v>0</v>
      </c>
      <c r="L1151">
        <v>1</v>
      </c>
      <c r="M1151">
        <v>0</v>
      </c>
      <c r="N1151">
        <v>0</v>
      </c>
      <c r="O1151" t="str" cm="1">
        <f t="array" ref="O1151">_xlfn.IFS(Table1[[#This Row],[Divorced]]=1, "Divorced", Table1[[#This Row],[Married]]=1, "Married", Table1[[#This Row],[Single]]=1, "Single", Table1[[#This Row],[Together]]=1, "Together", Table1[[#This Row],[Widow]]=1, "Widow")</f>
        <v>Married</v>
      </c>
      <c r="P1151" t="str" cm="1">
        <f t="array" ref="P1151">_xlfn.IFS(Table1[[#This Row],[Basic]]=1, "Basic", Table1[[#This Row],[Graduate]]=1, "Graduate", Table1[[#This Row],[Master]]=1, "Master", Table1[[#This Row],[PhD]]=1, "PhD", AND(Table1[[#This Row],[Basic]]=0, Table1[[#This Row],[Graduate]]=0, Table1[[#This Row],[Master]]=0, Table1[[#This Row],[PhD]]=0), "NA")</f>
        <v>Graduate</v>
      </c>
      <c r="Q1151" t="e">
        <f>_xlfn.XLOOKUP(Table1[[#This Row],[ID]], Table2[ID],#REF!, "Not Found", 0)</f>
        <v>#REF!</v>
      </c>
      <c r="R1151" t="e">
        <f>_xlfn.XLOOKUP(Table1[[#This Row],[ID]], Table2[ID],#REF!, "Not Found", 0)</f>
        <v>#REF!</v>
      </c>
      <c r="S1151" s="3" t="str">
        <f>_xlfn.XLOOKUP(Table1[[#This Row],[ID]], Table2[ID], Table2[Enrollment], "Not Found", 0)</f>
        <v>10/29/2020</v>
      </c>
      <c r="T1151" t="s">
        <v>438</v>
      </c>
    </row>
    <row r="1152" spans="1:20" x14ac:dyDescent="0.3">
      <c r="A1152">
        <v>1695</v>
      </c>
      <c r="B1152">
        <v>150272</v>
      </c>
      <c r="C1152">
        <v>1</v>
      </c>
      <c r="D1152">
        <v>0</v>
      </c>
      <c r="E1152">
        <v>38</v>
      </c>
      <c r="F1152">
        <v>0</v>
      </c>
      <c r="G1152">
        <v>0</v>
      </c>
      <c r="H1152">
        <v>0</v>
      </c>
      <c r="I1152">
        <v>1</v>
      </c>
      <c r="J1152">
        <v>0</v>
      </c>
      <c r="K1152">
        <v>0</v>
      </c>
      <c r="L1152">
        <v>1</v>
      </c>
      <c r="M1152">
        <v>0</v>
      </c>
      <c r="N1152">
        <v>0</v>
      </c>
      <c r="O1152" t="str" cm="1">
        <f t="array" ref="O1152">_xlfn.IFS(Table1[[#This Row],[Divorced]]=1, "Divorced", Table1[[#This Row],[Married]]=1, "Married", Table1[[#This Row],[Single]]=1, "Single", Table1[[#This Row],[Together]]=1, "Together", Table1[[#This Row],[Widow]]=1, "Widow")</f>
        <v>Together</v>
      </c>
      <c r="P1152" t="str" cm="1">
        <f t="array" ref="P1152">_xlfn.IFS(Table1[[#This Row],[Basic]]=1, "Basic", Table1[[#This Row],[Graduate]]=1, "Graduate", Table1[[#This Row],[Master]]=1, "Master", Table1[[#This Row],[PhD]]=1, "PhD", AND(Table1[[#This Row],[Basic]]=0, Table1[[#This Row],[Graduate]]=0, Table1[[#This Row],[Master]]=0, Table1[[#This Row],[PhD]]=0), "NA")</f>
        <v>Graduate</v>
      </c>
      <c r="Q1152" t="e">
        <f>_xlfn.XLOOKUP(Table1[[#This Row],[ID]], Table2[ID],#REF!, "Not Found", 0)</f>
        <v>#REF!</v>
      </c>
      <c r="R1152" t="e">
        <f>_xlfn.XLOOKUP(Table1[[#This Row],[ID]], Table2[ID],#REF!, "Not Found", 0)</f>
        <v>#REF!</v>
      </c>
      <c r="S1152" s="3">
        <f>_xlfn.XLOOKUP(Table1[[#This Row],[ID]], Table2[ID], Table2[Enrollment], "Not Found", 0)</f>
        <v>44166</v>
      </c>
      <c r="T1152" t="s">
        <v>435</v>
      </c>
    </row>
    <row r="1153" spans="1:20" x14ac:dyDescent="0.3">
      <c r="A1153">
        <v>2286</v>
      </c>
      <c r="B1153">
        <v>150200</v>
      </c>
      <c r="C1153">
        <v>1</v>
      </c>
      <c r="D1153">
        <v>1</v>
      </c>
      <c r="E1153">
        <v>44</v>
      </c>
      <c r="F1153">
        <v>0</v>
      </c>
      <c r="G1153">
        <v>0</v>
      </c>
      <c r="H1153">
        <v>0</v>
      </c>
      <c r="I1153">
        <v>1</v>
      </c>
      <c r="J1153">
        <v>0</v>
      </c>
      <c r="K1153">
        <v>0</v>
      </c>
      <c r="L1153">
        <v>1</v>
      </c>
      <c r="M1153">
        <v>0</v>
      </c>
      <c r="N1153">
        <v>0</v>
      </c>
      <c r="O1153" t="str" cm="1">
        <f t="array" ref="O1153">_xlfn.IFS(Table1[[#This Row],[Divorced]]=1, "Divorced", Table1[[#This Row],[Married]]=1, "Married", Table1[[#This Row],[Single]]=1, "Single", Table1[[#This Row],[Together]]=1, "Together", Table1[[#This Row],[Widow]]=1, "Widow")</f>
        <v>Together</v>
      </c>
      <c r="P1153" t="str" cm="1">
        <f t="array" ref="P1153">_xlfn.IFS(Table1[[#This Row],[Basic]]=1, "Basic", Table1[[#This Row],[Graduate]]=1, "Graduate", Table1[[#This Row],[Master]]=1, "Master", Table1[[#This Row],[PhD]]=1, "PhD", AND(Table1[[#This Row],[Basic]]=0, Table1[[#This Row],[Graduate]]=0, Table1[[#This Row],[Master]]=0, Table1[[#This Row],[PhD]]=0), "NA")</f>
        <v>Graduate</v>
      </c>
      <c r="Q1153" t="e">
        <f>_xlfn.XLOOKUP(Table1[[#This Row],[ID]], Table2[ID],#REF!, "Not Found", 0)</f>
        <v>#REF!</v>
      </c>
      <c r="R1153" t="e">
        <f>_xlfn.XLOOKUP(Table1[[#This Row],[ID]], Table2[ID],#REF!, "Not Found", 0)</f>
        <v>#REF!</v>
      </c>
      <c r="S1153" s="3">
        <f>_xlfn.XLOOKUP(Table1[[#This Row],[ID]], Table2[ID], Table2[Enrollment], "Not Found", 0)</f>
        <v>43686</v>
      </c>
      <c r="T1153" t="s">
        <v>436</v>
      </c>
    </row>
    <row r="1154" spans="1:20" x14ac:dyDescent="0.3">
      <c r="A1154">
        <v>1945</v>
      </c>
      <c r="B1154">
        <v>150183</v>
      </c>
      <c r="C1154">
        <v>1</v>
      </c>
      <c r="D1154">
        <v>1</v>
      </c>
      <c r="E1154">
        <v>40</v>
      </c>
      <c r="F1154">
        <v>0</v>
      </c>
      <c r="G1154">
        <v>1</v>
      </c>
      <c r="H1154">
        <v>0</v>
      </c>
      <c r="I1154">
        <v>0</v>
      </c>
      <c r="J1154">
        <v>0</v>
      </c>
      <c r="K1154">
        <v>0</v>
      </c>
      <c r="L1154">
        <v>1</v>
      </c>
      <c r="M1154">
        <v>0</v>
      </c>
      <c r="N1154">
        <v>0</v>
      </c>
      <c r="O1154" t="str" cm="1">
        <f t="array" ref="O1154">_xlfn.IFS(Table1[[#This Row],[Divorced]]=1, "Divorced", Table1[[#This Row],[Married]]=1, "Married", Table1[[#This Row],[Single]]=1, "Single", Table1[[#This Row],[Together]]=1, "Together", Table1[[#This Row],[Widow]]=1, "Widow")</f>
        <v>Married</v>
      </c>
      <c r="P1154" t="str" cm="1">
        <f t="array" ref="P1154">_xlfn.IFS(Table1[[#This Row],[Basic]]=1, "Basic", Table1[[#This Row],[Graduate]]=1, "Graduate", Table1[[#This Row],[Master]]=1, "Master", Table1[[#This Row],[PhD]]=1, "PhD", AND(Table1[[#This Row],[Basic]]=0, Table1[[#This Row],[Graduate]]=0, Table1[[#This Row],[Master]]=0, Table1[[#This Row],[PhD]]=0), "NA")</f>
        <v>Graduate</v>
      </c>
      <c r="Q1154" t="e">
        <f>_xlfn.XLOOKUP(Table1[[#This Row],[ID]], Table2[ID],#REF!, "Not Found", 0)</f>
        <v>#REF!</v>
      </c>
      <c r="R1154" t="e">
        <f>_xlfn.XLOOKUP(Table1[[#This Row],[ID]], Table2[ID],#REF!, "Not Found", 0)</f>
        <v>#REF!</v>
      </c>
      <c r="S1154" s="3" t="str">
        <f>_xlfn.XLOOKUP(Table1[[#This Row],[ID]], Table2[ID], Table2[Enrollment], "Not Found", 0)</f>
        <v>11/29/2020</v>
      </c>
      <c r="T1154" t="s">
        <v>437</v>
      </c>
    </row>
    <row r="1155" spans="1:20" x14ac:dyDescent="0.3">
      <c r="A1155">
        <v>1091</v>
      </c>
      <c r="B1155">
        <v>150150</v>
      </c>
      <c r="C1155">
        <v>0</v>
      </c>
      <c r="D1155">
        <v>0</v>
      </c>
      <c r="E1155">
        <v>37</v>
      </c>
      <c r="F1155">
        <v>0</v>
      </c>
      <c r="G1155">
        <v>1</v>
      </c>
      <c r="H1155">
        <v>0</v>
      </c>
      <c r="I1155">
        <v>0</v>
      </c>
      <c r="J1155">
        <v>0</v>
      </c>
      <c r="K1155">
        <v>0</v>
      </c>
      <c r="L1155">
        <v>0</v>
      </c>
      <c r="M1155">
        <v>0</v>
      </c>
      <c r="N1155">
        <v>1</v>
      </c>
      <c r="O1155" t="str" cm="1">
        <f t="array" ref="O1155">_xlfn.IFS(Table1[[#This Row],[Divorced]]=1, "Divorced", Table1[[#This Row],[Married]]=1, "Married", Table1[[#This Row],[Single]]=1, "Single", Table1[[#This Row],[Together]]=1, "Together", Table1[[#This Row],[Widow]]=1, "Widow")</f>
        <v>Married</v>
      </c>
      <c r="P1155" t="str" cm="1">
        <f t="array" ref="P1155">_xlfn.IFS(Table1[[#This Row],[Basic]]=1, "Basic", Table1[[#This Row],[Graduate]]=1, "Graduate", Table1[[#This Row],[Master]]=1, "Master", Table1[[#This Row],[PhD]]=1, "PhD", AND(Table1[[#This Row],[Basic]]=0, Table1[[#This Row],[Graduate]]=0, Table1[[#This Row],[Master]]=0, Table1[[#This Row],[PhD]]=0), "NA")</f>
        <v>PhD</v>
      </c>
      <c r="Q1155" t="e">
        <f>_xlfn.XLOOKUP(Table1[[#This Row],[ID]], Table2[ID],#REF!, "Not Found", 0)</f>
        <v>#REF!</v>
      </c>
      <c r="R1155" t="e">
        <f>_xlfn.XLOOKUP(Table1[[#This Row],[ID]], Table2[ID],#REF!, "Not Found", 0)</f>
        <v>#REF!</v>
      </c>
      <c r="S1155" s="3" t="str">
        <f>_xlfn.XLOOKUP(Table1[[#This Row],[ID]], Table2[ID], Table2[Enrollment], "Not Found", 0)</f>
        <v>11/25/2019</v>
      </c>
      <c r="T1155" t="s">
        <v>434</v>
      </c>
    </row>
    <row r="1156" spans="1:20" x14ac:dyDescent="0.3">
      <c r="A1156">
        <v>2327</v>
      </c>
      <c r="B1156">
        <v>150150</v>
      </c>
      <c r="C1156">
        <v>0</v>
      </c>
      <c r="D1156">
        <v>0</v>
      </c>
      <c r="E1156">
        <v>37</v>
      </c>
      <c r="F1156">
        <v>0</v>
      </c>
      <c r="G1156">
        <v>1</v>
      </c>
      <c r="H1156">
        <v>0</v>
      </c>
      <c r="I1156">
        <v>0</v>
      </c>
      <c r="J1156">
        <v>0</v>
      </c>
      <c r="K1156">
        <v>0</v>
      </c>
      <c r="L1156">
        <v>0</v>
      </c>
      <c r="M1156">
        <v>0</v>
      </c>
      <c r="N1156">
        <v>1</v>
      </c>
      <c r="O1156" t="str" cm="1">
        <f t="array" ref="O1156">_xlfn.IFS(Table1[[#This Row],[Divorced]]=1, "Divorced", Table1[[#This Row],[Married]]=1, "Married", Table1[[#This Row],[Single]]=1, "Single", Table1[[#This Row],[Together]]=1, "Together", Table1[[#This Row],[Widow]]=1, "Widow")</f>
        <v>Married</v>
      </c>
      <c r="P1156" t="str" cm="1">
        <f t="array" ref="P1156">_xlfn.IFS(Table1[[#This Row],[Basic]]=1, "Basic", Table1[[#This Row],[Graduate]]=1, "Graduate", Table1[[#This Row],[Master]]=1, "Master", Table1[[#This Row],[PhD]]=1, "PhD", AND(Table1[[#This Row],[Basic]]=0, Table1[[#This Row],[Graduate]]=0, Table1[[#This Row],[Master]]=0, Table1[[#This Row],[PhD]]=0), "NA")</f>
        <v>PhD</v>
      </c>
      <c r="Q1156" t="e">
        <f>_xlfn.XLOOKUP(Table1[[#This Row],[ID]], Table2[ID],#REF!, "Not Found", 0)</f>
        <v>#REF!</v>
      </c>
      <c r="R1156" t="e">
        <f>_xlfn.XLOOKUP(Table1[[#This Row],[ID]], Table2[ID],#REF!, "Not Found", 0)</f>
        <v>#REF!</v>
      </c>
      <c r="S1156" s="3" t="str">
        <f>_xlfn.XLOOKUP(Table1[[#This Row],[ID]], Table2[ID], Table2[Enrollment], "Not Found", 0)</f>
        <v>11/25/2019</v>
      </c>
      <c r="T1156" t="s">
        <v>434</v>
      </c>
    </row>
    <row r="1157" spans="1:20" x14ac:dyDescent="0.3">
      <c r="A1157">
        <v>2320</v>
      </c>
      <c r="B1157">
        <v>150127</v>
      </c>
      <c r="C1157">
        <v>0</v>
      </c>
      <c r="D1157">
        <v>1</v>
      </c>
      <c r="E1157">
        <v>58</v>
      </c>
      <c r="F1157">
        <v>0</v>
      </c>
      <c r="G1157">
        <v>0</v>
      </c>
      <c r="H1157">
        <v>0</v>
      </c>
      <c r="I1157">
        <v>1</v>
      </c>
      <c r="J1157">
        <v>0</v>
      </c>
      <c r="K1157">
        <v>0</v>
      </c>
      <c r="L1157">
        <v>1</v>
      </c>
      <c r="M1157">
        <v>0</v>
      </c>
      <c r="N1157">
        <v>0</v>
      </c>
      <c r="O1157" t="str" cm="1">
        <f t="array" ref="O1157">_xlfn.IFS(Table1[[#This Row],[Divorced]]=1, "Divorced", Table1[[#This Row],[Married]]=1, "Married", Table1[[#This Row],[Single]]=1, "Single", Table1[[#This Row],[Together]]=1, "Together", Table1[[#This Row],[Widow]]=1, "Widow")</f>
        <v>Together</v>
      </c>
      <c r="P1157" t="str" cm="1">
        <f t="array" ref="P1157">_xlfn.IFS(Table1[[#This Row],[Basic]]=1, "Basic", Table1[[#This Row],[Graduate]]=1, "Graduate", Table1[[#This Row],[Master]]=1, "Master", Table1[[#This Row],[PhD]]=1, "PhD", AND(Table1[[#This Row],[Basic]]=0, Table1[[#This Row],[Graduate]]=0, Table1[[#This Row],[Master]]=0, Table1[[#This Row],[PhD]]=0), "NA")</f>
        <v>Graduate</v>
      </c>
      <c r="Q1157" t="e">
        <f>_xlfn.XLOOKUP(Table1[[#This Row],[ID]], Table2[ID],#REF!, "Not Found", 0)</f>
        <v>#REF!</v>
      </c>
      <c r="R1157" t="e">
        <f>_xlfn.XLOOKUP(Table1[[#This Row],[ID]], Table2[ID],#REF!, "Not Found", 0)</f>
        <v>#REF!</v>
      </c>
      <c r="S1157" s="3">
        <f>_xlfn.XLOOKUP(Table1[[#This Row],[ID]], Table2[ID], Table2[Enrollment], "Not Found", 0)</f>
        <v>43872</v>
      </c>
      <c r="T1157" t="s">
        <v>439</v>
      </c>
    </row>
    <row r="1158" spans="1:20" x14ac:dyDescent="0.3">
      <c r="A1158">
        <v>3093</v>
      </c>
      <c r="B1158">
        <v>150116</v>
      </c>
      <c r="C1158">
        <v>1</v>
      </c>
      <c r="D1158">
        <v>1</v>
      </c>
      <c r="E1158">
        <v>63</v>
      </c>
      <c r="F1158">
        <v>0</v>
      </c>
      <c r="G1158">
        <v>0</v>
      </c>
      <c r="H1158">
        <v>0</v>
      </c>
      <c r="I1158">
        <v>1</v>
      </c>
      <c r="J1158">
        <v>0</v>
      </c>
      <c r="K1158">
        <v>0</v>
      </c>
      <c r="L1158">
        <v>1</v>
      </c>
      <c r="M1158">
        <v>0</v>
      </c>
      <c r="N1158">
        <v>0</v>
      </c>
      <c r="O1158" t="str" cm="1">
        <f t="array" ref="O1158">_xlfn.IFS(Table1[[#This Row],[Divorced]]=1, "Divorced", Table1[[#This Row],[Married]]=1, "Married", Table1[[#This Row],[Single]]=1, "Single", Table1[[#This Row],[Together]]=1, "Together", Table1[[#This Row],[Widow]]=1, "Widow")</f>
        <v>Together</v>
      </c>
      <c r="P1158" t="str" cm="1">
        <f t="array" ref="P1158">_xlfn.IFS(Table1[[#This Row],[Basic]]=1, "Basic", Table1[[#This Row],[Graduate]]=1, "Graduate", Table1[[#This Row],[Master]]=1, "Master", Table1[[#This Row],[PhD]]=1, "PhD", AND(Table1[[#This Row],[Basic]]=0, Table1[[#This Row],[Graduate]]=0, Table1[[#This Row],[Master]]=0, Table1[[#This Row],[PhD]]=0), "NA")</f>
        <v>Graduate</v>
      </c>
      <c r="Q1158" t="e">
        <f>_xlfn.XLOOKUP(Table1[[#This Row],[ID]], Table2[ID],#REF!, "Not Found", 0)</f>
        <v>#REF!</v>
      </c>
      <c r="R1158" t="e">
        <f>_xlfn.XLOOKUP(Table1[[#This Row],[ID]], Table2[ID],#REF!, "Not Found", 0)</f>
        <v>#REF!</v>
      </c>
      <c r="S1158" s="3" t="str">
        <f>_xlfn.XLOOKUP(Table1[[#This Row],[ID]], Table2[ID], Table2[Enrollment], "Not Found", 0)</f>
        <v>11/24/2020</v>
      </c>
      <c r="T1158" t="s">
        <v>435</v>
      </c>
    </row>
    <row r="1159" spans="1:20" x14ac:dyDescent="0.3">
      <c r="A1159">
        <v>2059</v>
      </c>
      <c r="B1159">
        <v>150014</v>
      </c>
      <c r="C1159">
        <v>1</v>
      </c>
      <c r="D1159">
        <v>0</v>
      </c>
      <c r="E1159">
        <v>52</v>
      </c>
      <c r="F1159">
        <v>0</v>
      </c>
      <c r="G1159">
        <v>0</v>
      </c>
      <c r="H1159">
        <v>1</v>
      </c>
      <c r="I1159">
        <v>0</v>
      </c>
      <c r="J1159">
        <v>0</v>
      </c>
      <c r="K1159">
        <v>0</v>
      </c>
      <c r="L1159">
        <v>0</v>
      </c>
      <c r="M1159">
        <v>1</v>
      </c>
      <c r="N1159">
        <v>0</v>
      </c>
      <c r="O1159" t="str" cm="1">
        <f t="array" ref="O1159">_xlfn.IFS(Table1[[#This Row],[Divorced]]=1, "Divorced", Table1[[#This Row],[Married]]=1, "Married", Table1[[#This Row],[Single]]=1, "Single", Table1[[#This Row],[Together]]=1, "Together", Table1[[#This Row],[Widow]]=1, "Widow")</f>
        <v>Single</v>
      </c>
      <c r="P1159" t="str" cm="1">
        <f t="array" ref="P1159">_xlfn.IFS(Table1[[#This Row],[Basic]]=1, "Basic", Table1[[#This Row],[Graduate]]=1, "Graduate", Table1[[#This Row],[Master]]=1, "Master", Table1[[#This Row],[PhD]]=1, "PhD", AND(Table1[[#This Row],[Basic]]=0, Table1[[#This Row],[Graduate]]=0, Table1[[#This Row],[Master]]=0, Table1[[#This Row],[PhD]]=0), "NA")</f>
        <v>Master</v>
      </c>
      <c r="Q1159" t="e">
        <f>_xlfn.XLOOKUP(Table1[[#This Row],[ID]], Table2[ID],#REF!, "Not Found", 0)</f>
        <v>#REF!</v>
      </c>
      <c r="R1159" t="e">
        <f>_xlfn.XLOOKUP(Table1[[#This Row],[ID]], Table2[ID],#REF!, "Not Found", 0)</f>
        <v>#REF!</v>
      </c>
      <c r="S1159" s="3" t="str">
        <f>_xlfn.XLOOKUP(Table1[[#This Row],[ID]], Table2[ID], Table2[Enrollment], "Not Found", 0)</f>
        <v>6/28/2020</v>
      </c>
      <c r="T1159" t="s">
        <v>437</v>
      </c>
    </row>
    <row r="1160" spans="1:20" x14ac:dyDescent="0.3">
      <c r="A1160">
        <v>2612</v>
      </c>
      <c r="B1160">
        <v>150002</v>
      </c>
      <c r="C1160">
        <v>0</v>
      </c>
      <c r="D1160">
        <v>1</v>
      </c>
      <c r="E1160">
        <v>66</v>
      </c>
      <c r="F1160">
        <v>1</v>
      </c>
      <c r="G1160">
        <v>0</v>
      </c>
      <c r="H1160">
        <v>0</v>
      </c>
      <c r="I1160">
        <v>0</v>
      </c>
      <c r="J1160">
        <v>0</v>
      </c>
      <c r="K1160">
        <v>0</v>
      </c>
      <c r="L1160">
        <v>1</v>
      </c>
      <c r="M1160">
        <v>0</v>
      </c>
      <c r="N1160">
        <v>0</v>
      </c>
      <c r="O1160" t="str" cm="1">
        <f t="array" ref="O1160">_xlfn.IFS(Table1[[#This Row],[Divorced]]=1, "Divorced", Table1[[#This Row],[Married]]=1, "Married", Table1[[#This Row],[Single]]=1, "Single", Table1[[#This Row],[Together]]=1, "Together", Table1[[#This Row],[Widow]]=1, "Widow")</f>
        <v>Divorced</v>
      </c>
      <c r="P1160" t="str" cm="1">
        <f t="array" ref="P1160">_xlfn.IFS(Table1[[#This Row],[Basic]]=1, "Basic", Table1[[#This Row],[Graduate]]=1, "Graduate", Table1[[#This Row],[Master]]=1, "Master", Table1[[#This Row],[PhD]]=1, "PhD", AND(Table1[[#This Row],[Basic]]=0, Table1[[#This Row],[Graduate]]=0, Table1[[#This Row],[Master]]=0, Table1[[#This Row],[PhD]]=0), "NA")</f>
        <v>Graduate</v>
      </c>
      <c r="Q1160" t="e">
        <f>_xlfn.XLOOKUP(Table1[[#This Row],[ID]], Table2[ID],#REF!, "Not Found", 0)</f>
        <v>#REF!</v>
      </c>
      <c r="R1160" t="e">
        <f>_xlfn.XLOOKUP(Table1[[#This Row],[ID]], Table2[ID],#REF!, "Not Found", 0)</f>
        <v>#REF!</v>
      </c>
      <c r="S1160" s="3" t="str">
        <f>_xlfn.XLOOKUP(Table1[[#This Row],[ID]], Table2[ID], Table2[Enrollment], "Not Found", 0)</f>
        <v>11/22/2019</v>
      </c>
      <c r="T1160" t="s">
        <v>438</v>
      </c>
    </row>
    <row r="1161" spans="1:20" x14ac:dyDescent="0.3">
      <c r="A1161">
        <v>1829</v>
      </c>
      <c r="B1161">
        <v>149980</v>
      </c>
      <c r="C1161">
        <v>0</v>
      </c>
      <c r="D1161">
        <v>1</v>
      </c>
      <c r="E1161">
        <v>57</v>
      </c>
      <c r="F1161">
        <v>0</v>
      </c>
      <c r="G1161">
        <v>0</v>
      </c>
      <c r="H1161">
        <v>1</v>
      </c>
      <c r="I1161">
        <v>0</v>
      </c>
      <c r="J1161">
        <v>0</v>
      </c>
      <c r="K1161">
        <v>0</v>
      </c>
      <c r="L1161">
        <v>1</v>
      </c>
      <c r="M1161">
        <v>0</v>
      </c>
      <c r="N1161">
        <v>0</v>
      </c>
      <c r="O1161" t="str" cm="1">
        <f t="array" ref="O1161">_xlfn.IFS(Table1[[#This Row],[Divorced]]=1, "Divorced", Table1[[#This Row],[Married]]=1, "Married", Table1[[#This Row],[Single]]=1, "Single", Table1[[#This Row],[Together]]=1, "Together", Table1[[#This Row],[Widow]]=1, "Widow")</f>
        <v>Single</v>
      </c>
      <c r="P1161" t="str" cm="1">
        <f t="array" ref="P1161">_xlfn.IFS(Table1[[#This Row],[Basic]]=1, "Basic", Table1[[#This Row],[Graduate]]=1, "Graduate", Table1[[#This Row],[Master]]=1, "Master", Table1[[#This Row],[PhD]]=1, "PhD", AND(Table1[[#This Row],[Basic]]=0, Table1[[#This Row],[Graduate]]=0, Table1[[#This Row],[Master]]=0, Table1[[#This Row],[PhD]]=0), "NA")</f>
        <v>Graduate</v>
      </c>
      <c r="Q1161" t="e">
        <f>_xlfn.XLOOKUP(Table1[[#This Row],[ID]], Table2[ID],#REF!, "Not Found", 0)</f>
        <v>#REF!</v>
      </c>
      <c r="R1161" t="e">
        <f>_xlfn.XLOOKUP(Table1[[#This Row],[ID]], Table2[ID],#REF!, "Not Found", 0)</f>
        <v>#REF!</v>
      </c>
      <c r="S1161" s="3" t="str">
        <f>_xlfn.XLOOKUP(Table1[[#This Row],[ID]], Table2[ID], Table2[Enrollment], "Not Found", 0)</f>
        <v>3/29/2020</v>
      </c>
      <c r="T1161" t="s">
        <v>434</v>
      </c>
    </row>
    <row r="1162" spans="1:20" x14ac:dyDescent="0.3">
      <c r="A1162">
        <v>1146</v>
      </c>
      <c r="B1162">
        <v>149967</v>
      </c>
      <c r="C1162">
        <v>0</v>
      </c>
      <c r="D1162">
        <v>1</v>
      </c>
      <c r="E1162">
        <v>62</v>
      </c>
      <c r="F1162">
        <v>0</v>
      </c>
      <c r="G1162">
        <v>0</v>
      </c>
      <c r="H1162">
        <v>1</v>
      </c>
      <c r="I1162">
        <v>0</v>
      </c>
      <c r="J1162">
        <v>0</v>
      </c>
      <c r="K1162">
        <v>0</v>
      </c>
      <c r="L1162">
        <v>1</v>
      </c>
      <c r="M1162">
        <v>0</v>
      </c>
      <c r="N1162">
        <v>0</v>
      </c>
      <c r="O1162" t="str" cm="1">
        <f t="array" ref="O1162">_xlfn.IFS(Table1[[#This Row],[Divorced]]=1, "Divorced", Table1[[#This Row],[Married]]=1, "Married", Table1[[#This Row],[Single]]=1, "Single", Table1[[#This Row],[Together]]=1, "Together", Table1[[#This Row],[Widow]]=1, "Widow")</f>
        <v>Single</v>
      </c>
      <c r="P1162" t="str" cm="1">
        <f t="array" ref="P1162">_xlfn.IFS(Table1[[#This Row],[Basic]]=1, "Basic", Table1[[#This Row],[Graduate]]=1, "Graduate", Table1[[#This Row],[Master]]=1, "Master", Table1[[#This Row],[PhD]]=1, "PhD", AND(Table1[[#This Row],[Basic]]=0, Table1[[#This Row],[Graduate]]=0, Table1[[#This Row],[Master]]=0, Table1[[#This Row],[PhD]]=0), "NA")</f>
        <v>Graduate</v>
      </c>
      <c r="Q1162" t="e">
        <f>_xlfn.XLOOKUP(Table1[[#This Row],[ID]], Table2[ID],#REF!, "Not Found", 0)</f>
        <v>#REF!</v>
      </c>
      <c r="R1162" t="e">
        <f>_xlfn.XLOOKUP(Table1[[#This Row],[ID]], Table2[ID],#REF!, "Not Found", 0)</f>
        <v>#REF!</v>
      </c>
      <c r="S1162" s="3" t="str">
        <f>_xlfn.XLOOKUP(Table1[[#This Row],[ID]], Table2[ID], Table2[Enrollment], "Not Found", 0)</f>
        <v>12/13/2019</v>
      </c>
      <c r="T1162" t="s">
        <v>436</v>
      </c>
    </row>
    <row r="1163" spans="1:20" x14ac:dyDescent="0.3">
      <c r="A1163">
        <v>3003</v>
      </c>
      <c r="B1163">
        <v>149912</v>
      </c>
      <c r="C1163">
        <v>0</v>
      </c>
      <c r="D1163">
        <v>1</v>
      </c>
      <c r="E1163">
        <v>71</v>
      </c>
      <c r="F1163">
        <v>0</v>
      </c>
      <c r="G1163">
        <v>0</v>
      </c>
      <c r="H1163">
        <v>0</v>
      </c>
      <c r="I1163">
        <v>1</v>
      </c>
      <c r="J1163">
        <v>0</v>
      </c>
      <c r="K1163">
        <v>0</v>
      </c>
      <c r="L1163">
        <v>0</v>
      </c>
      <c r="M1163">
        <v>1</v>
      </c>
      <c r="N1163">
        <v>0</v>
      </c>
      <c r="O1163" t="str" cm="1">
        <f t="array" ref="O1163">_xlfn.IFS(Table1[[#This Row],[Divorced]]=1, "Divorced", Table1[[#This Row],[Married]]=1, "Married", Table1[[#This Row],[Single]]=1, "Single", Table1[[#This Row],[Together]]=1, "Together", Table1[[#This Row],[Widow]]=1, "Widow")</f>
        <v>Together</v>
      </c>
      <c r="P1163" t="str" cm="1">
        <f t="array" ref="P1163">_xlfn.IFS(Table1[[#This Row],[Basic]]=1, "Basic", Table1[[#This Row],[Graduate]]=1, "Graduate", Table1[[#This Row],[Master]]=1, "Master", Table1[[#This Row],[PhD]]=1, "PhD", AND(Table1[[#This Row],[Basic]]=0, Table1[[#This Row],[Graduate]]=0, Table1[[#This Row],[Master]]=0, Table1[[#This Row],[PhD]]=0), "NA")</f>
        <v>Master</v>
      </c>
      <c r="Q1163" t="e">
        <f>_xlfn.XLOOKUP(Table1[[#This Row],[ID]], Table2[ID],#REF!, "Not Found", 0)</f>
        <v>#REF!</v>
      </c>
      <c r="R1163" t="e">
        <f>_xlfn.XLOOKUP(Table1[[#This Row],[ID]], Table2[ID],#REF!, "Not Found", 0)</f>
        <v>#REF!</v>
      </c>
      <c r="S1163" s="3">
        <f>_xlfn.XLOOKUP(Table1[[#This Row],[ID]], Table2[ID], Table2[Enrollment], "Not Found", 0)</f>
        <v>43801</v>
      </c>
      <c r="T1163" t="s">
        <v>435</v>
      </c>
    </row>
    <row r="1164" spans="1:20" x14ac:dyDescent="0.3">
      <c r="A1164">
        <v>3063</v>
      </c>
      <c r="B1164">
        <v>149912</v>
      </c>
      <c r="C1164">
        <v>0</v>
      </c>
      <c r="D1164">
        <v>1</v>
      </c>
      <c r="E1164">
        <v>71</v>
      </c>
      <c r="F1164">
        <v>0</v>
      </c>
      <c r="G1164">
        <v>0</v>
      </c>
      <c r="H1164">
        <v>0</v>
      </c>
      <c r="I1164">
        <v>1</v>
      </c>
      <c r="J1164">
        <v>0</v>
      </c>
      <c r="K1164">
        <v>0</v>
      </c>
      <c r="L1164">
        <v>0</v>
      </c>
      <c r="M1164">
        <v>1</v>
      </c>
      <c r="N1164">
        <v>0</v>
      </c>
      <c r="O1164" t="str" cm="1">
        <f t="array" ref="O1164">_xlfn.IFS(Table1[[#This Row],[Divorced]]=1, "Divorced", Table1[[#This Row],[Married]]=1, "Married", Table1[[#This Row],[Single]]=1, "Single", Table1[[#This Row],[Together]]=1, "Together", Table1[[#This Row],[Widow]]=1, "Widow")</f>
        <v>Together</v>
      </c>
      <c r="P1164" t="str" cm="1">
        <f t="array" ref="P1164">_xlfn.IFS(Table1[[#This Row],[Basic]]=1, "Basic", Table1[[#This Row],[Graduate]]=1, "Graduate", Table1[[#This Row],[Master]]=1, "Master", Table1[[#This Row],[PhD]]=1, "PhD", AND(Table1[[#This Row],[Basic]]=0, Table1[[#This Row],[Graduate]]=0, Table1[[#This Row],[Master]]=0, Table1[[#This Row],[PhD]]=0), "NA")</f>
        <v>Master</v>
      </c>
      <c r="Q1164" t="e">
        <f>_xlfn.XLOOKUP(Table1[[#This Row],[ID]], Table2[ID],#REF!, "Not Found", 0)</f>
        <v>#REF!</v>
      </c>
      <c r="R1164" t="e">
        <f>_xlfn.XLOOKUP(Table1[[#This Row],[ID]], Table2[ID],#REF!, "Not Found", 0)</f>
        <v>#REF!</v>
      </c>
      <c r="S1164" s="3">
        <f>_xlfn.XLOOKUP(Table1[[#This Row],[ID]], Table2[ID], Table2[Enrollment], "Not Found", 0)</f>
        <v>43801</v>
      </c>
      <c r="T1164" t="s">
        <v>435</v>
      </c>
    </row>
    <row r="1165" spans="1:20" x14ac:dyDescent="0.3">
      <c r="A1165">
        <v>2465</v>
      </c>
      <c r="B1165">
        <v>149854</v>
      </c>
      <c r="C1165">
        <v>1</v>
      </c>
      <c r="D1165">
        <v>0</v>
      </c>
      <c r="E1165">
        <v>48</v>
      </c>
      <c r="F1165">
        <v>0</v>
      </c>
      <c r="G1165">
        <v>0</v>
      </c>
      <c r="H1165">
        <v>0</v>
      </c>
      <c r="I1165">
        <v>1</v>
      </c>
      <c r="J1165">
        <v>0</v>
      </c>
      <c r="K1165">
        <v>0</v>
      </c>
      <c r="L1165">
        <v>0</v>
      </c>
      <c r="M1165">
        <v>1</v>
      </c>
      <c r="N1165">
        <v>0</v>
      </c>
      <c r="O1165" t="str" cm="1">
        <f t="array" ref="O1165">_xlfn.IFS(Table1[[#This Row],[Divorced]]=1, "Divorced", Table1[[#This Row],[Married]]=1, "Married", Table1[[#This Row],[Single]]=1, "Single", Table1[[#This Row],[Together]]=1, "Together", Table1[[#This Row],[Widow]]=1, "Widow")</f>
        <v>Together</v>
      </c>
      <c r="P1165" t="str" cm="1">
        <f t="array" ref="P1165">_xlfn.IFS(Table1[[#This Row],[Basic]]=1, "Basic", Table1[[#This Row],[Graduate]]=1, "Graduate", Table1[[#This Row],[Master]]=1, "Master", Table1[[#This Row],[PhD]]=1, "PhD", AND(Table1[[#This Row],[Basic]]=0, Table1[[#This Row],[Graduate]]=0, Table1[[#This Row],[Master]]=0, Table1[[#This Row],[PhD]]=0), "NA")</f>
        <v>Master</v>
      </c>
      <c r="Q1165" t="e">
        <f>_xlfn.XLOOKUP(Table1[[#This Row],[ID]], Table2[ID],#REF!, "Not Found", 0)</f>
        <v>#REF!</v>
      </c>
      <c r="R1165" t="e">
        <f>_xlfn.XLOOKUP(Table1[[#This Row],[ID]], Table2[ID],#REF!, "Not Found", 0)</f>
        <v>#REF!</v>
      </c>
      <c r="S1165" s="3" t="str">
        <f>_xlfn.XLOOKUP(Table1[[#This Row],[ID]], Table2[ID], Table2[Enrollment], "Not Found", 0)</f>
        <v>4/16/2020</v>
      </c>
      <c r="T1165" t="s">
        <v>434</v>
      </c>
    </row>
    <row r="1166" spans="1:20" x14ac:dyDescent="0.3">
      <c r="A1166">
        <v>3015</v>
      </c>
      <c r="B1166">
        <v>149767</v>
      </c>
      <c r="C1166">
        <v>0</v>
      </c>
      <c r="D1166">
        <v>0</v>
      </c>
      <c r="E1166">
        <v>29</v>
      </c>
      <c r="F1166">
        <v>0</v>
      </c>
      <c r="G1166">
        <v>0</v>
      </c>
      <c r="H1166">
        <v>1</v>
      </c>
      <c r="I1166">
        <v>0</v>
      </c>
      <c r="J1166">
        <v>0</v>
      </c>
      <c r="K1166">
        <v>0</v>
      </c>
      <c r="L1166">
        <v>1</v>
      </c>
      <c r="M1166">
        <v>0</v>
      </c>
      <c r="N1166">
        <v>0</v>
      </c>
      <c r="O1166" t="str" cm="1">
        <f t="array" ref="O1166">_xlfn.IFS(Table1[[#This Row],[Divorced]]=1, "Divorced", Table1[[#This Row],[Married]]=1, "Married", Table1[[#This Row],[Single]]=1, "Single", Table1[[#This Row],[Together]]=1, "Together", Table1[[#This Row],[Widow]]=1, "Widow")</f>
        <v>Single</v>
      </c>
      <c r="P1166" t="str" cm="1">
        <f t="array" ref="P1166">_xlfn.IFS(Table1[[#This Row],[Basic]]=1, "Basic", Table1[[#This Row],[Graduate]]=1, "Graduate", Table1[[#This Row],[Master]]=1, "Master", Table1[[#This Row],[PhD]]=1, "PhD", AND(Table1[[#This Row],[Basic]]=0, Table1[[#This Row],[Graduate]]=0, Table1[[#This Row],[Master]]=0, Table1[[#This Row],[PhD]]=0), "NA")</f>
        <v>Graduate</v>
      </c>
      <c r="Q1166" t="e">
        <f>_xlfn.XLOOKUP(Table1[[#This Row],[ID]], Table2[ID],#REF!, "Not Found", 0)</f>
        <v>#REF!</v>
      </c>
      <c r="R1166" t="e">
        <f>_xlfn.XLOOKUP(Table1[[#This Row],[ID]], Table2[ID],#REF!, "Not Found", 0)</f>
        <v>#REF!</v>
      </c>
      <c r="S1166" s="3">
        <f>_xlfn.XLOOKUP(Table1[[#This Row],[ID]], Table2[ID], Table2[Enrollment], "Not Found", 0)</f>
        <v>43656</v>
      </c>
      <c r="T1166" t="s">
        <v>435</v>
      </c>
    </row>
    <row r="1167" spans="1:20" x14ac:dyDescent="0.3">
      <c r="A1167">
        <v>1786</v>
      </c>
      <c r="B1167">
        <v>149681</v>
      </c>
      <c r="C1167">
        <v>0</v>
      </c>
      <c r="D1167">
        <v>2</v>
      </c>
      <c r="E1167">
        <v>44</v>
      </c>
      <c r="F1167">
        <v>0</v>
      </c>
      <c r="G1167">
        <v>1</v>
      </c>
      <c r="H1167">
        <v>0</v>
      </c>
      <c r="I1167">
        <v>0</v>
      </c>
      <c r="J1167">
        <v>0</v>
      </c>
      <c r="K1167">
        <v>0</v>
      </c>
      <c r="L1167">
        <v>0</v>
      </c>
      <c r="M1167">
        <v>1</v>
      </c>
      <c r="N1167">
        <v>0</v>
      </c>
      <c r="O1167" t="str" cm="1">
        <f t="array" ref="O1167">_xlfn.IFS(Table1[[#This Row],[Divorced]]=1, "Divorced", Table1[[#This Row],[Married]]=1, "Married", Table1[[#This Row],[Single]]=1, "Single", Table1[[#This Row],[Together]]=1, "Together", Table1[[#This Row],[Widow]]=1, "Widow")</f>
        <v>Married</v>
      </c>
      <c r="P1167" t="str" cm="1">
        <f t="array" ref="P1167">_xlfn.IFS(Table1[[#This Row],[Basic]]=1, "Basic", Table1[[#This Row],[Graduate]]=1, "Graduate", Table1[[#This Row],[Master]]=1, "Master", Table1[[#This Row],[PhD]]=1, "PhD", AND(Table1[[#This Row],[Basic]]=0, Table1[[#This Row],[Graduate]]=0, Table1[[#This Row],[Master]]=0, Table1[[#This Row],[PhD]]=0), "NA")</f>
        <v>Master</v>
      </c>
      <c r="Q1167" t="e">
        <f>_xlfn.XLOOKUP(Table1[[#This Row],[ID]], Table2[ID],#REF!, "Not Found", 0)</f>
        <v>#REF!</v>
      </c>
      <c r="R1167" t="e">
        <f>_xlfn.XLOOKUP(Table1[[#This Row],[ID]], Table2[ID],#REF!, "Not Found", 0)</f>
        <v>#REF!</v>
      </c>
      <c r="S1167" s="3">
        <f>_xlfn.XLOOKUP(Table1[[#This Row],[ID]], Table2[ID], Table2[Enrollment], "Not Found", 0)</f>
        <v>44108</v>
      </c>
      <c r="T1167" t="s">
        <v>439</v>
      </c>
    </row>
    <row r="1168" spans="1:20" x14ac:dyDescent="0.3">
      <c r="A1168">
        <v>2537</v>
      </c>
      <c r="B1168">
        <v>149681</v>
      </c>
      <c r="C1168">
        <v>0</v>
      </c>
      <c r="D1168">
        <v>2</v>
      </c>
      <c r="E1168">
        <v>44</v>
      </c>
      <c r="F1168">
        <v>0</v>
      </c>
      <c r="G1168">
        <v>1</v>
      </c>
      <c r="H1168">
        <v>0</v>
      </c>
      <c r="I1168">
        <v>0</v>
      </c>
      <c r="J1168">
        <v>0</v>
      </c>
      <c r="K1168">
        <v>0</v>
      </c>
      <c r="L1168">
        <v>0</v>
      </c>
      <c r="M1168">
        <v>1</v>
      </c>
      <c r="N1168">
        <v>0</v>
      </c>
      <c r="O1168" t="str" cm="1">
        <f t="array" ref="O1168">_xlfn.IFS(Table1[[#This Row],[Divorced]]=1, "Divorced", Table1[[#This Row],[Married]]=1, "Married", Table1[[#This Row],[Single]]=1, "Single", Table1[[#This Row],[Together]]=1, "Together", Table1[[#This Row],[Widow]]=1, "Widow")</f>
        <v>Married</v>
      </c>
      <c r="P1168" t="str" cm="1">
        <f t="array" ref="P1168">_xlfn.IFS(Table1[[#This Row],[Basic]]=1, "Basic", Table1[[#This Row],[Graduate]]=1, "Graduate", Table1[[#This Row],[Master]]=1, "Master", Table1[[#This Row],[PhD]]=1, "PhD", AND(Table1[[#This Row],[Basic]]=0, Table1[[#This Row],[Graduate]]=0, Table1[[#This Row],[Master]]=0, Table1[[#This Row],[PhD]]=0), "NA")</f>
        <v>Master</v>
      </c>
      <c r="Q1168" t="e">
        <f>_xlfn.XLOOKUP(Table1[[#This Row],[ID]], Table2[ID],#REF!, "Not Found", 0)</f>
        <v>#REF!</v>
      </c>
      <c r="R1168" t="e">
        <f>_xlfn.XLOOKUP(Table1[[#This Row],[ID]], Table2[ID],#REF!, "Not Found", 0)</f>
        <v>#REF!</v>
      </c>
      <c r="S1168" s="3">
        <f>_xlfn.XLOOKUP(Table1[[#This Row],[ID]], Table2[ID], Table2[Enrollment], "Not Found", 0)</f>
        <v>44108</v>
      </c>
      <c r="T1168" t="s">
        <v>434</v>
      </c>
    </row>
    <row r="1169" spans="1:20" x14ac:dyDescent="0.3">
      <c r="A1169">
        <v>2120</v>
      </c>
      <c r="B1169">
        <v>149678</v>
      </c>
      <c r="C1169">
        <v>0</v>
      </c>
      <c r="D1169">
        <v>1</v>
      </c>
      <c r="E1169">
        <v>59</v>
      </c>
      <c r="F1169">
        <v>0</v>
      </c>
      <c r="G1169">
        <v>1</v>
      </c>
      <c r="H1169">
        <v>0</v>
      </c>
      <c r="I1169">
        <v>0</v>
      </c>
      <c r="J1169">
        <v>0</v>
      </c>
      <c r="K1169">
        <v>0</v>
      </c>
      <c r="L1169">
        <v>1</v>
      </c>
      <c r="M1169">
        <v>0</v>
      </c>
      <c r="N1169">
        <v>0</v>
      </c>
      <c r="O1169" t="str" cm="1">
        <f t="array" ref="O1169">_xlfn.IFS(Table1[[#This Row],[Divorced]]=1, "Divorced", Table1[[#This Row],[Married]]=1, "Married", Table1[[#This Row],[Single]]=1, "Single", Table1[[#This Row],[Together]]=1, "Together", Table1[[#This Row],[Widow]]=1, "Widow")</f>
        <v>Married</v>
      </c>
      <c r="P1169" t="str" cm="1">
        <f t="array" ref="P1169">_xlfn.IFS(Table1[[#This Row],[Basic]]=1, "Basic", Table1[[#This Row],[Graduate]]=1, "Graduate", Table1[[#This Row],[Master]]=1, "Master", Table1[[#This Row],[PhD]]=1, "PhD", AND(Table1[[#This Row],[Basic]]=0, Table1[[#This Row],[Graduate]]=0, Table1[[#This Row],[Master]]=0, Table1[[#This Row],[PhD]]=0), "NA")</f>
        <v>Graduate</v>
      </c>
      <c r="Q1169" t="e">
        <f>_xlfn.XLOOKUP(Table1[[#This Row],[ID]], Table2[ID],#REF!, "Not Found", 0)</f>
        <v>#REF!</v>
      </c>
      <c r="R1169" t="e">
        <f>_xlfn.XLOOKUP(Table1[[#This Row],[ID]], Table2[ID],#REF!, "Not Found", 0)</f>
        <v>#REF!</v>
      </c>
      <c r="S1169" s="3">
        <f>_xlfn.XLOOKUP(Table1[[#This Row],[ID]], Table2[ID], Table2[Enrollment], "Not Found", 0)</f>
        <v>43745</v>
      </c>
      <c r="T1169" t="s">
        <v>438</v>
      </c>
    </row>
    <row r="1170" spans="1:20" x14ac:dyDescent="0.3">
      <c r="A1170">
        <v>2116</v>
      </c>
      <c r="B1170">
        <v>149669</v>
      </c>
      <c r="C1170">
        <v>1</v>
      </c>
      <c r="D1170">
        <v>0</v>
      </c>
      <c r="E1170">
        <v>46</v>
      </c>
      <c r="F1170">
        <v>0</v>
      </c>
      <c r="G1170">
        <v>0</v>
      </c>
      <c r="H1170">
        <v>0</v>
      </c>
      <c r="I1170">
        <v>1</v>
      </c>
      <c r="J1170">
        <v>0</v>
      </c>
      <c r="K1170">
        <v>0</v>
      </c>
      <c r="L1170">
        <v>0</v>
      </c>
      <c r="M1170">
        <v>0</v>
      </c>
      <c r="N1170">
        <v>0</v>
      </c>
      <c r="O1170" t="str" cm="1">
        <f t="array" ref="O1170">_xlfn.IFS(Table1[[#This Row],[Divorced]]=1, "Divorced", Table1[[#This Row],[Married]]=1, "Married", Table1[[#This Row],[Single]]=1, "Single", Table1[[#This Row],[Together]]=1, "Together", Table1[[#This Row],[Widow]]=1, "Widow")</f>
        <v>Together</v>
      </c>
      <c r="P1170" t="str" cm="1">
        <f t="array" ref="P1170">_xlfn.IFS(Table1[[#This Row],[Basic]]=1, "Basic", Table1[[#This Row],[Graduate]]=1, "Graduate", Table1[[#This Row],[Master]]=1, "Master", Table1[[#This Row],[PhD]]=1, "PhD", AND(Table1[[#This Row],[Basic]]=0, Table1[[#This Row],[Graduate]]=0, Table1[[#This Row],[Master]]=0, Table1[[#This Row],[PhD]]=0), "NA")</f>
        <v>NA</v>
      </c>
      <c r="Q1170" t="e">
        <f>_xlfn.XLOOKUP(Table1[[#This Row],[ID]], Table2[ID],#REF!, "Not Found", 0)</f>
        <v>#REF!</v>
      </c>
      <c r="R1170" t="e">
        <f>_xlfn.XLOOKUP(Table1[[#This Row],[ID]], Table2[ID],#REF!, "Not Found", 0)</f>
        <v>#REF!</v>
      </c>
      <c r="S1170" s="3" t="str">
        <f>_xlfn.XLOOKUP(Table1[[#This Row],[ID]], Table2[ID], Table2[Enrollment], "Not Found", 0)</f>
        <v>10/28/2020</v>
      </c>
      <c r="T1170" t="s">
        <v>439</v>
      </c>
    </row>
    <row r="1171" spans="1:20" x14ac:dyDescent="0.3">
      <c r="A1171">
        <v>2480</v>
      </c>
      <c r="B1171">
        <v>149667</v>
      </c>
      <c r="C1171">
        <v>0</v>
      </c>
      <c r="D1171">
        <v>0</v>
      </c>
      <c r="E1171">
        <v>65</v>
      </c>
      <c r="F1171">
        <v>0</v>
      </c>
      <c r="G1171">
        <v>0</v>
      </c>
      <c r="H1171">
        <v>1</v>
      </c>
      <c r="I1171">
        <v>0</v>
      </c>
      <c r="J1171">
        <v>0</v>
      </c>
      <c r="K1171">
        <v>0</v>
      </c>
      <c r="L1171">
        <v>0</v>
      </c>
      <c r="M1171">
        <v>0</v>
      </c>
      <c r="N1171">
        <v>1</v>
      </c>
      <c r="O1171" t="str" cm="1">
        <f t="array" ref="O1171">_xlfn.IFS(Table1[[#This Row],[Divorced]]=1, "Divorced", Table1[[#This Row],[Married]]=1, "Married", Table1[[#This Row],[Single]]=1, "Single", Table1[[#This Row],[Together]]=1, "Together", Table1[[#This Row],[Widow]]=1, "Widow")</f>
        <v>Single</v>
      </c>
      <c r="P1171" t="str" cm="1">
        <f t="array" ref="P1171">_xlfn.IFS(Table1[[#This Row],[Basic]]=1, "Basic", Table1[[#This Row],[Graduate]]=1, "Graduate", Table1[[#This Row],[Master]]=1, "Master", Table1[[#This Row],[PhD]]=1, "PhD", AND(Table1[[#This Row],[Basic]]=0, Table1[[#This Row],[Graduate]]=0, Table1[[#This Row],[Master]]=0, Table1[[#This Row],[PhD]]=0), "NA")</f>
        <v>PhD</v>
      </c>
      <c r="Q1171" t="e">
        <f>_xlfn.XLOOKUP(Table1[[#This Row],[ID]], Table2[ID],#REF!, "Not Found", 0)</f>
        <v>#REF!</v>
      </c>
      <c r="R1171" t="e">
        <f>_xlfn.XLOOKUP(Table1[[#This Row],[ID]], Table2[ID],#REF!, "Not Found", 0)</f>
        <v>#REF!</v>
      </c>
      <c r="S1171" s="3" t="str">
        <f>_xlfn.XLOOKUP(Table1[[#This Row],[ID]], Table2[ID], Table2[Enrollment], "Not Found", 0)</f>
        <v>1/25/2019</v>
      </c>
      <c r="T1171" t="s">
        <v>438</v>
      </c>
    </row>
    <row r="1172" spans="1:20" x14ac:dyDescent="0.3">
      <c r="A1172">
        <v>2849</v>
      </c>
      <c r="B1172">
        <v>149638</v>
      </c>
      <c r="C1172">
        <v>0</v>
      </c>
      <c r="D1172">
        <v>1</v>
      </c>
      <c r="E1172">
        <v>68</v>
      </c>
      <c r="F1172">
        <v>1</v>
      </c>
      <c r="G1172">
        <v>0</v>
      </c>
      <c r="H1172">
        <v>0</v>
      </c>
      <c r="I1172">
        <v>0</v>
      </c>
      <c r="J1172">
        <v>0</v>
      </c>
      <c r="K1172">
        <v>0</v>
      </c>
      <c r="L1172">
        <v>1</v>
      </c>
      <c r="M1172">
        <v>0</v>
      </c>
      <c r="N1172">
        <v>0</v>
      </c>
      <c r="O1172" t="str" cm="1">
        <f t="array" ref="O1172">_xlfn.IFS(Table1[[#This Row],[Divorced]]=1, "Divorced", Table1[[#This Row],[Married]]=1, "Married", Table1[[#This Row],[Single]]=1, "Single", Table1[[#This Row],[Together]]=1, "Together", Table1[[#This Row],[Widow]]=1, "Widow")</f>
        <v>Divorced</v>
      </c>
      <c r="P1172" t="str" cm="1">
        <f t="array" ref="P1172">_xlfn.IFS(Table1[[#This Row],[Basic]]=1, "Basic", Table1[[#This Row],[Graduate]]=1, "Graduate", Table1[[#This Row],[Master]]=1, "Master", Table1[[#This Row],[PhD]]=1, "PhD", AND(Table1[[#This Row],[Basic]]=0, Table1[[#This Row],[Graduate]]=0, Table1[[#This Row],[Master]]=0, Table1[[#This Row],[PhD]]=0), "NA")</f>
        <v>Graduate</v>
      </c>
      <c r="Q1172" t="e">
        <f>_xlfn.XLOOKUP(Table1[[#This Row],[ID]], Table2[ID],#REF!, "Not Found", 0)</f>
        <v>#REF!</v>
      </c>
      <c r="R1172" t="e">
        <f>_xlfn.XLOOKUP(Table1[[#This Row],[ID]], Table2[ID],#REF!, "Not Found", 0)</f>
        <v>#REF!</v>
      </c>
      <c r="S1172" s="3" t="str">
        <f>_xlfn.XLOOKUP(Table1[[#This Row],[ID]], Table2[ID], Table2[Enrollment], "Not Found", 0)</f>
        <v>9/23/2020</v>
      </c>
      <c r="T1172" t="s">
        <v>434</v>
      </c>
    </row>
    <row r="1173" spans="1:20" x14ac:dyDescent="0.3">
      <c r="A1173">
        <v>1588</v>
      </c>
      <c r="B1173">
        <v>149618</v>
      </c>
      <c r="C1173">
        <v>1</v>
      </c>
      <c r="D1173">
        <v>1</v>
      </c>
      <c r="E1173">
        <v>54</v>
      </c>
      <c r="F1173">
        <v>0</v>
      </c>
      <c r="G1173">
        <v>0</v>
      </c>
      <c r="H1173">
        <v>0</v>
      </c>
      <c r="I1173">
        <v>1</v>
      </c>
      <c r="J1173">
        <v>0</v>
      </c>
      <c r="K1173">
        <v>0</v>
      </c>
      <c r="L1173">
        <v>0</v>
      </c>
      <c r="M1173">
        <v>1</v>
      </c>
      <c r="N1173">
        <v>0</v>
      </c>
      <c r="O1173" t="str" cm="1">
        <f t="array" ref="O1173">_xlfn.IFS(Table1[[#This Row],[Divorced]]=1, "Divorced", Table1[[#This Row],[Married]]=1, "Married", Table1[[#This Row],[Single]]=1, "Single", Table1[[#This Row],[Together]]=1, "Together", Table1[[#This Row],[Widow]]=1, "Widow")</f>
        <v>Together</v>
      </c>
      <c r="P1173" t="str" cm="1">
        <f t="array" ref="P1173">_xlfn.IFS(Table1[[#This Row],[Basic]]=1, "Basic", Table1[[#This Row],[Graduate]]=1, "Graduate", Table1[[#This Row],[Master]]=1, "Master", Table1[[#This Row],[PhD]]=1, "PhD", AND(Table1[[#This Row],[Basic]]=0, Table1[[#This Row],[Graduate]]=0, Table1[[#This Row],[Master]]=0, Table1[[#This Row],[PhD]]=0), "NA")</f>
        <v>Master</v>
      </c>
      <c r="Q1173" t="e">
        <f>_xlfn.XLOOKUP(Table1[[#This Row],[ID]], Table2[ID],#REF!, "Not Found", 0)</f>
        <v>#REF!</v>
      </c>
      <c r="R1173" t="e">
        <f>_xlfn.XLOOKUP(Table1[[#This Row],[ID]], Table2[ID],#REF!, "Not Found", 0)</f>
        <v>#REF!</v>
      </c>
      <c r="S1173" s="3">
        <f>_xlfn.XLOOKUP(Table1[[#This Row],[ID]], Table2[ID], Table2[Enrollment], "Not Found", 0)</f>
        <v>43531</v>
      </c>
      <c r="T1173" t="s">
        <v>439</v>
      </c>
    </row>
    <row r="1174" spans="1:20" x14ac:dyDescent="0.3">
      <c r="A1174">
        <v>1139</v>
      </c>
      <c r="B1174">
        <v>149605</v>
      </c>
      <c r="C1174">
        <v>0</v>
      </c>
      <c r="D1174">
        <v>0</v>
      </c>
      <c r="E1174">
        <v>54</v>
      </c>
      <c r="F1174">
        <v>0</v>
      </c>
      <c r="G1174">
        <v>1</v>
      </c>
      <c r="H1174">
        <v>0</v>
      </c>
      <c r="I1174">
        <v>0</v>
      </c>
      <c r="J1174">
        <v>0</v>
      </c>
      <c r="K1174">
        <v>0</v>
      </c>
      <c r="L1174">
        <v>0</v>
      </c>
      <c r="M1174">
        <v>1</v>
      </c>
      <c r="N1174">
        <v>0</v>
      </c>
      <c r="O1174" t="str" cm="1">
        <f t="array" ref="O1174">_xlfn.IFS(Table1[[#This Row],[Divorced]]=1, "Divorced", Table1[[#This Row],[Married]]=1, "Married", Table1[[#This Row],[Single]]=1, "Single", Table1[[#This Row],[Together]]=1, "Together", Table1[[#This Row],[Widow]]=1, "Widow")</f>
        <v>Married</v>
      </c>
      <c r="P1174" t="str" cm="1">
        <f t="array" ref="P1174">_xlfn.IFS(Table1[[#This Row],[Basic]]=1, "Basic", Table1[[#This Row],[Graduate]]=1, "Graduate", Table1[[#This Row],[Master]]=1, "Master", Table1[[#This Row],[PhD]]=1, "PhD", AND(Table1[[#This Row],[Basic]]=0, Table1[[#This Row],[Graduate]]=0, Table1[[#This Row],[Master]]=0, Table1[[#This Row],[PhD]]=0), "NA")</f>
        <v>Master</v>
      </c>
      <c r="Q1174" t="e">
        <f>_xlfn.XLOOKUP(Table1[[#This Row],[ID]], Table2[ID],#REF!, "Not Found", 0)</f>
        <v>#REF!</v>
      </c>
      <c r="R1174" t="e">
        <f>_xlfn.XLOOKUP(Table1[[#This Row],[ID]], Table2[ID],#REF!, "Not Found", 0)</f>
        <v>#REF!</v>
      </c>
      <c r="S1174" s="3" t="str">
        <f>_xlfn.XLOOKUP(Table1[[#This Row],[ID]], Table2[ID], Table2[Enrollment], "Not Found", 0)</f>
        <v>11/25/2020</v>
      </c>
      <c r="T1174" t="s">
        <v>434</v>
      </c>
    </row>
    <row r="1175" spans="1:20" x14ac:dyDescent="0.3">
      <c r="A1175">
        <v>3118</v>
      </c>
      <c r="B1175">
        <v>149572</v>
      </c>
      <c r="C1175">
        <v>1</v>
      </c>
      <c r="D1175">
        <v>1</v>
      </c>
      <c r="E1175">
        <v>62</v>
      </c>
      <c r="F1175">
        <v>0</v>
      </c>
      <c r="G1175">
        <v>1</v>
      </c>
      <c r="H1175">
        <v>0</v>
      </c>
      <c r="I1175">
        <v>0</v>
      </c>
      <c r="J1175">
        <v>0</v>
      </c>
      <c r="K1175">
        <v>0</v>
      </c>
      <c r="L1175">
        <v>0</v>
      </c>
      <c r="M1175">
        <v>1</v>
      </c>
      <c r="N1175">
        <v>0</v>
      </c>
      <c r="O1175" t="str" cm="1">
        <f t="array" ref="O1175">_xlfn.IFS(Table1[[#This Row],[Divorced]]=1, "Divorced", Table1[[#This Row],[Married]]=1, "Married", Table1[[#This Row],[Single]]=1, "Single", Table1[[#This Row],[Together]]=1, "Together", Table1[[#This Row],[Widow]]=1, "Widow")</f>
        <v>Married</v>
      </c>
      <c r="P1175" t="str" cm="1">
        <f t="array" ref="P1175">_xlfn.IFS(Table1[[#This Row],[Basic]]=1, "Basic", Table1[[#This Row],[Graduate]]=1, "Graduate", Table1[[#This Row],[Master]]=1, "Master", Table1[[#This Row],[PhD]]=1, "PhD", AND(Table1[[#This Row],[Basic]]=0, Table1[[#This Row],[Graduate]]=0, Table1[[#This Row],[Master]]=0, Table1[[#This Row],[PhD]]=0), "NA")</f>
        <v>Master</v>
      </c>
      <c r="Q1175" t="e">
        <f>_xlfn.XLOOKUP(Table1[[#This Row],[ID]], Table2[ID],#REF!, "Not Found", 0)</f>
        <v>#REF!</v>
      </c>
      <c r="R1175" t="e">
        <f>_xlfn.XLOOKUP(Table1[[#This Row],[ID]], Table2[ID],#REF!, "Not Found", 0)</f>
        <v>#REF!</v>
      </c>
      <c r="S1175" s="3" t="str">
        <f>_xlfn.XLOOKUP(Table1[[#This Row],[ID]], Table2[ID], Table2[Enrollment], "Not Found", 0)</f>
        <v>5/21/2020</v>
      </c>
      <c r="T1175" t="s">
        <v>439</v>
      </c>
    </row>
    <row r="1176" spans="1:20" x14ac:dyDescent="0.3">
      <c r="A1176">
        <v>2653</v>
      </c>
      <c r="B1176">
        <v>149544</v>
      </c>
      <c r="C1176">
        <v>1</v>
      </c>
      <c r="D1176">
        <v>0</v>
      </c>
      <c r="E1176">
        <v>44</v>
      </c>
      <c r="F1176">
        <v>0</v>
      </c>
      <c r="G1176">
        <v>1</v>
      </c>
      <c r="H1176">
        <v>0</v>
      </c>
      <c r="I1176">
        <v>0</v>
      </c>
      <c r="J1176">
        <v>0</v>
      </c>
      <c r="K1176">
        <v>0</v>
      </c>
      <c r="L1176">
        <v>0</v>
      </c>
      <c r="M1176">
        <v>0</v>
      </c>
      <c r="N1176">
        <v>1</v>
      </c>
      <c r="O1176" t="str" cm="1">
        <f t="array" ref="O1176">_xlfn.IFS(Table1[[#This Row],[Divorced]]=1, "Divorced", Table1[[#This Row],[Married]]=1, "Married", Table1[[#This Row],[Single]]=1, "Single", Table1[[#This Row],[Together]]=1, "Together", Table1[[#This Row],[Widow]]=1, "Widow")</f>
        <v>Married</v>
      </c>
      <c r="P1176" t="str" cm="1">
        <f t="array" ref="P1176">_xlfn.IFS(Table1[[#This Row],[Basic]]=1, "Basic", Table1[[#This Row],[Graduate]]=1, "Graduate", Table1[[#This Row],[Master]]=1, "Master", Table1[[#This Row],[PhD]]=1, "PhD", AND(Table1[[#This Row],[Basic]]=0, Table1[[#This Row],[Graduate]]=0, Table1[[#This Row],[Master]]=0, Table1[[#This Row],[PhD]]=0), "NA")</f>
        <v>PhD</v>
      </c>
      <c r="Q1176" t="e">
        <f>_xlfn.XLOOKUP(Table1[[#This Row],[ID]], Table2[ID],#REF!, "Not Found", 0)</f>
        <v>#REF!</v>
      </c>
      <c r="R1176" t="e">
        <f>_xlfn.XLOOKUP(Table1[[#This Row],[ID]], Table2[ID],#REF!, "Not Found", 0)</f>
        <v>#REF!</v>
      </c>
      <c r="S1176" s="3" t="str">
        <f>_xlfn.XLOOKUP(Table1[[#This Row],[ID]], Table2[ID], Table2[Enrollment], "Not Found", 0)</f>
        <v>7/20/2019</v>
      </c>
      <c r="T1176" t="s">
        <v>437</v>
      </c>
    </row>
    <row r="1177" spans="1:20" x14ac:dyDescent="0.3">
      <c r="A1177">
        <v>1845</v>
      </c>
      <c r="B1177">
        <v>149514</v>
      </c>
      <c r="C1177">
        <v>1</v>
      </c>
      <c r="D1177">
        <v>0</v>
      </c>
      <c r="E1177">
        <v>45</v>
      </c>
      <c r="F1177">
        <v>0</v>
      </c>
      <c r="G1177">
        <v>0</v>
      </c>
      <c r="H1177">
        <v>1</v>
      </c>
      <c r="I1177">
        <v>0</v>
      </c>
      <c r="J1177">
        <v>0</v>
      </c>
      <c r="K1177">
        <v>0</v>
      </c>
      <c r="L1177">
        <v>0</v>
      </c>
      <c r="M1177">
        <v>0</v>
      </c>
      <c r="N1177">
        <v>0</v>
      </c>
      <c r="O1177" t="str" cm="1">
        <f t="array" ref="O1177">_xlfn.IFS(Table1[[#This Row],[Divorced]]=1, "Divorced", Table1[[#This Row],[Married]]=1, "Married", Table1[[#This Row],[Single]]=1, "Single", Table1[[#This Row],[Together]]=1, "Together", Table1[[#This Row],[Widow]]=1, "Widow")</f>
        <v>Single</v>
      </c>
      <c r="P1177" t="str" cm="1">
        <f t="array" ref="P1177">_xlfn.IFS(Table1[[#This Row],[Basic]]=1, "Basic", Table1[[#This Row],[Graduate]]=1, "Graduate", Table1[[#This Row],[Master]]=1, "Master", Table1[[#This Row],[PhD]]=1, "PhD", AND(Table1[[#This Row],[Basic]]=0, Table1[[#This Row],[Graduate]]=0, Table1[[#This Row],[Master]]=0, Table1[[#This Row],[PhD]]=0), "NA")</f>
        <v>NA</v>
      </c>
      <c r="Q1177" t="e">
        <f>_xlfn.XLOOKUP(Table1[[#This Row],[ID]], Table2[ID],#REF!, "Not Found", 0)</f>
        <v>#REF!</v>
      </c>
      <c r="R1177" t="e">
        <f>_xlfn.XLOOKUP(Table1[[#This Row],[ID]], Table2[ID],#REF!, "Not Found", 0)</f>
        <v>#REF!</v>
      </c>
      <c r="S1177" s="3" t="str">
        <f>_xlfn.XLOOKUP(Table1[[#This Row],[ID]], Table2[ID], Table2[Enrollment], "Not Found", 0)</f>
        <v>5/23/2020</v>
      </c>
      <c r="T1177" t="s">
        <v>435</v>
      </c>
    </row>
    <row r="1178" spans="1:20" x14ac:dyDescent="0.3">
      <c r="A1178">
        <v>1403</v>
      </c>
      <c r="B1178">
        <v>149505</v>
      </c>
      <c r="C1178">
        <v>1</v>
      </c>
      <c r="D1178">
        <v>1</v>
      </c>
      <c r="E1178">
        <v>49</v>
      </c>
      <c r="F1178">
        <v>0</v>
      </c>
      <c r="G1178">
        <v>1</v>
      </c>
      <c r="H1178">
        <v>0</v>
      </c>
      <c r="I1178">
        <v>0</v>
      </c>
      <c r="J1178">
        <v>0</v>
      </c>
      <c r="K1178">
        <v>0</v>
      </c>
      <c r="L1178">
        <v>0</v>
      </c>
      <c r="M1178">
        <v>1</v>
      </c>
      <c r="N1178">
        <v>0</v>
      </c>
      <c r="O1178" t="str" cm="1">
        <f t="array" ref="O1178">_xlfn.IFS(Table1[[#This Row],[Divorced]]=1, "Divorced", Table1[[#This Row],[Married]]=1, "Married", Table1[[#This Row],[Single]]=1, "Single", Table1[[#This Row],[Together]]=1, "Together", Table1[[#This Row],[Widow]]=1, "Widow")</f>
        <v>Married</v>
      </c>
      <c r="P1178" t="str" cm="1">
        <f t="array" ref="P1178">_xlfn.IFS(Table1[[#This Row],[Basic]]=1, "Basic", Table1[[#This Row],[Graduate]]=1, "Graduate", Table1[[#This Row],[Master]]=1, "Master", Table1[[#This Row],[PhD]]=1, "PhD", AND(Table1[[#This Row],[Basic]]=0, Table1[[#This Row],[Graduate]]=0, Table1[[#This Row],[Master]]=0, Table1[[#This Row],[PhD]]=0), "NA")</f>
        <v>Master</v>
      </c>
      <c r="Q1178" t="e">
        <f>_xlfn.XLOOKUP(Table1[[#This Row],[ID]], Table2[ID],#REF!, "Not Found", 0)</f>
        <v>#REF!</v>
      </c>
      <c r="R1178" t="e">
        <f>_xlfn.XLOOKUP(Table1[[#This Row],[ID]], Table2[ID],#REF!, "Not Found", 0)</f>
        <v>#REF!</v>
      </c>
      <c r="S1178" s="3">
        <f>_xlfn.XLOOKUP(Table1[[#This Row],[ID]], Table2[ID], Table2[Enrollment], "Not Found", 0)</f>
        <v>43746</v>
      </c>
      <c r="T1178" t="s">
        <v>434</v>
      </c>
    </row>
    <row r="1179" spans="1:20" x14ac:dyDescent="0.3">
      <c r="A1179">
        <v>1817</v>
      </c>
      <c r="B1179">
        <v>149494</v>
      </c>
      <c r="C1179">
        <v>1</v>
      </c>
      <c r="D1179">
        <v>0</v>
      </c>
      <c r="E1179">
        <v>48</v>
      </c>
      <c r="F1179">
        <v>0</v>
      </c>
      <c r="G1179">
        <v>0</v>
      </c>
      <c r="H1179">
        <v>1</v>
      </c>
      <c r="I1179">
        <v>0</v>
      </c>
      <c r="J1179">
        <v>0</v>
      </c>
      <c r="K1179">
        <v>0</v>
      </c>
      <c r="L1179">
        <v>0</v>
      </c>
      <c r="M1179">
        <v>1</v>
      </c>
      <c r="N1179">
        <v>0</v>
      </c>
      <c r="O1179" t="str" cm="1">
        <f t="array" ref="O1179">_xlfn.IFS(Table1[[#This Row],[Divorced]]=1, "Divorced", Table1[[#This Row],[Married]]=1, "Married", Table1[[#This Row],[Single]]=1, "Single", Table1[[#This Row],[Together]]=1, "Together", Table1[[#This Row],[Widow]]=1, "Widow")</f>
        <v>Single</v>
      </c>
      <c r="P1179" t="str" cm="1">
        <f t="array" ref="P1179">_xlfn.IFS(Table1[[#This Row],[Basic]]=1, "Basic", Table1[[#This Row],[Graduate]]=1, "Graduate", Table1[[#This Row],[Master]]=1, "Master", Table1[[#This Row],[PhD]]=1, "PhD", AND(Table1[[#This Row],[Basic]]=0, Table1[[#This Row],[Graduate]]=0, Table1[[#This Row],[Master]]=0, Table1[[#This Row],[PhD]]=0), "NA")</f>
        <v>Master</v>
      </c>
      <c r="Q1179" t="e">
        <f>_xlfn.XLOOKUP(Table1[[#This Row],[ID]], Table2[ID],#REF!, "Not Found", 0)</f>
        <v>#REF!</v>
      </c>
      <c r="R1179" t="e">
        <f>_xlfn.XLOOKUP(Table1[[#This Row],[ID]], Table2[ID],#REF!, "Not Found", 0)</f>
        <v>#REF!</v>
      </c>
      <c r="S1179" s="3" t="str">
        <f>_xlfn.XLOOKUP(Table1[[#This Row],[ID]], Table2[ID], Table2[Enrollment], "Not Found", 0)</f>
        <v>9/30/2019</v>
      </c>
      <c r="T1179" t="s">
        <v>434</v>
      </c>
    </row>
    <row r="1180" spans="1:20" x14ac:dyDescent="0.3">
      <c r="A1180">
        <v>2441</v>
      </c>
      <c r="B1180">
        <v>149476</v>
      </c>
      <c r="C1180">
        <v>0</v>
      </c>
      <c r="D1180">
        <v>1</v>
      </c>
      <c r="E1180">
        <v>57</v>
      </c>
      <c r="F1180">
        <v>1</v>
      </c>
      <c r="G1180">
        <v>0</v>
      </c>
      <c r="H1180">
        <v>0</v>
      </c>
      <c r="I1180">
        <v>0</v>
      </c>
      <c r="J1180">
        <v>0</v>
      </c>
      <c r="K1180">
        <v>0</v>
      </c>
      <c r="L1180">
        <v>0</v>
      </c>
      <c r="M1180">
        <v>1</v>
      </c>
      <c r="N1180">
        <v>0</v>
      </c>
      <c r="O1180" t="str" cm="1">
        <f t="array" ref="O1180">_xlfn.IFS(Table1[[#This Row],[Divorced]]=1, "Divorced", Table1[[#This Row],[Married]]=1, "Married", Table1[[#This Row],[Single]]=1, "Single", Table1[[#This Row],[Together]]=1, "Together", Table1[[#This Row],[Widow]]=1, "Widow")</f>
        <v>Divorced</v>
      </c>
      <c r="P1180" t="str" cm="1">
        <f t="array" ref="P1180">_xlfn.IFS(Table1[[#This Row],[Basic]]=1, "Basic", Table1[[#This Row],[Graduate]]=1, "Graduate", Table1[[#This Row],[Master]]=1, "Master", Table1[[#This Row],[PhD]]=1, "PhD", AND(Table1[[#This Row],[Basic]]=0, Table1[[#This Row],[Graduate]]=0, Table1[[#This Row],[Master]]=0, Table1[[#This Row],[PhD]]=0), "NA")</f>
        <v>Master</v>
      </c>
      <c r="Q1180" t="e">
        <f>_xlfn.XLOOKUP(Table1[[#This Row],[ID]], Table2[ID],#REF!, "Not Found", 0)</f>
        <v>#REF!</v>
      </c>
      <c r="R1180" t="e">
        <f>_xlfn.XLOOKUP(Table1[[#This Row],[ID]], Table2[ID],#REF!, "Not Found", 0)</f>
        <v>#REF!</v>
      </c>
      <c r="S1180" s="3" t="str">
        <f>_xlfn.XLOOKUP(Table1[[#This Row],[ID]], Table2[ID], Table2[Enrollment], "Not Found", 0)</f>
        <v>11/25/2019</v>
      </c>
      <c r="T1180" t="s">
        <v>434</v>
      </c>
    </row>
    <row r="1181" spans="1:20" x14ac:dyDescent="0.3">
      <c r="A1181">
        <v>1637</v>
      </c>
      <c r="B1181">
        <v>149431</v>
      </c>
      <c r="C1181">
        <v>0</v>
      </c>
      <c r="D1181">
        <v>1</v>
      </c>
      <c r="E1181">
        <v>65</v>
      </c>
      <c r="F1181">
        <v>1</v>
      </c>
      <c r="G1181">
        <v>0</v>
      </c>
      <c r="H1181">
        <v>0</v>
      </c>
      <c r="I1181">
        <v>0</v>
      </c>
      <c r="J1181">
        <v>0</v>
      </c>
      <c r="K1181">
        <v>0</v>
      </c>
      <c r="L1181">
        <v>1</v>
      </c>
      <c r="M1181">
        <v>0</v>
      </c>
      <c r="N1181">
        <v>0</v>
      </c>
      <c r="O1181" t="str" cm="1">
        <f t="array" ref="O1181">_xlfn.IFS(Table1[[#This Row],[Divorced]]=1, "Divorced", Table1[[#This Row],[Married]]=1, "Married", Table1[[#This Row],[Single]]=1, "Single", Table1[[#This Row],[Together]]=1, "Together", Table1[[#This Row],[Widow]]=1, "Widow")</f>
        <v>Divorced</v>
      </c>
      <c r="P1181" t="str" cm="1">
        <f t="array" ref="P1181">_xlfn.IFS(Table1[[#This Row],[Basic]]=1, "Basic", Table1[[#This Row],[Graduate]]=1, "Graduate", Table1[[#This Row],[Master]]=1, "Master", Table1[[#This Row],[PhD]]=1, "PhD", AND(Table1[[#This Row],[Basic]]=0, Table1[[#This Row],[Graduate]]=0, Table1[[#This Row],[Master]]=0, Table1[[#This Row],[PhD]]=0), "NA")</f>
        <v>Graduate</v>
      </c>
      <c r="Q1181" t="e">
        <f>_xlfn.XLOOKUP(Table1[[#This Row],[ID]], Table2[ID],#REF!, "Not Found", 0)</f>
        <v>#REF!</v>
      </c>
      <c r="R1181" t="e">
        <f>_xlfn.XLOOKUP(Table1[[#This Row],[ID]], Table2[ID],#REF!, "Not Found", 0)</f>
        <v>#REF!</v>
      </c>
      <c r="S1181" s="3">
        <f>_xlfn.XLOOKUP(Table1[[#This Row],[ID]], Table2[ID], Table2[Enrollment], "Not Found", 0)</f>
        <v>43678</v>
      </c>
      <c r="T1181" t="s">
        <v>434</v>
      </c>
    </row>
    <row r="1182" spans="1:20" x14ac:dyDescent="0.3">
      <c r="A1182">
        <v>2659</v>
      </c>
      <c r="B1182">
        <v>149413</v>
      </c>
      <c r="C1182">
        <v>0</v>
      </c>
      <c r="D1182">
        <v>1</v>
      </c>
      <c r="E1182">
        <v>68</v>
      </c>
      <c r="F1182">
        <v>0</v>
      </c>
      <c r="G1182">
        <v>1</v>
      </c>
      <c r="H1182">
        <v>0</v>
      </c>
      <c r="I1182">
        <v>0</v>
      </c>
      <c r="J1182">
        <v>0</v>
      </c>
      <c r="K1182">
        <v>0</v>
      </c>
      <c r="L1182">
        <v>1</v>
      </c>
      <c r="M1182">
        <v>0</v>
      </c>
      <c r="N1182">
        <v>0</v>
      </c>
      <c r="O1182" t="str" cm="1">
        <f t="array" ref="O1182">_xlfn.IFS(Table1[[#This Row],[Divorced]]=1, "Divorced", Table1[[#This Row],[Married]]=1, "Married", Table1[[#This Row],[Single]]=1, "Single", Table1[[#This Row],[Together]]=1, "Together", Table1[[#This Row],[Widow]]=1, "Widow")</f>
        <v>Married</v>
      </c>
      <c r="P1182" t="str" cm="1">
        <f t="array" ref="P1182">_xlfn.IFS(Table1[[#This Row],[Basic]]=1, "Basic", Table1[[#This Row],[Graduate]]=1, "Graduate", Table1[[#This Row],[Master]]=1, "Master", Table1[[#This Row],[PhD]]=1, "PhD", AND(Table1[[#This Row],[Basic]]=0, Table1[[#This Row],[Graduate]]=0, Table1[[#This Row],[Master]]=0, Table1[[#This Row],[PhD]]=0), "NA")</f>
        <v>Graduate</v>
      </c>
      <c r="Q1182" t="e">
        <f>_xlfn.XLOOKUP(Table1[[#This Row],[ID]], Table2[ID],#REF!, "Not Found", 0)</f>
        <v>#REF!</v>
      </c>
      <c r="R1182" t="e">
        <f>_xlfn.XLOOKUP(Table1[[#This Row],[ID]], Table2[ID],#REF!, "Not Found", 0)</f>
        <v>#REF!</v>
      </c>
      <c r="S1182" s="3" t="str">
        <f>_xlfn.XLOOKUP(Table1[[#This Row],[ID]], Table2[ID], Table2[Enrollment], "Not Found", 0)</f>
        <v>3/31/2020</v>
      </c>
      <c r="T1182" t="s">
        <v>437</v>
      </c>
    </row>
    <row r="1183" spans="1:20" x14ac:dyDescent="0.3">
      <c r="A1183">
        <v>1034</v>
      </c>
      <c r="B1183">
        <v>149389</v>
      </c>
      <c r="C1183">
        <v>1</v>
      </c>
      <c r="D1183">
        <v>1</v>
      </c>
      <c r="E1183">
        <v>69</v>
      </c>
      <c r="F1183">
        <v>0</v>
      </c>
      <c r="G1183">
        <v>0</v>
      </c>
      <c r="H1183">
        <v>1</v>
      </c>
      <c r="I1183">
        <v>0</v>
      </c>
      <c r="J1183">
        <v>0</v>
      </c>
      <c r="K1183">
        <v>0</v>
      </c>
      <c r="L1183">
        <v>0</v>
      </c>
      <c r="M1183">
        <v>1</v>
      </c>
      <c r="N1183">
        <v>0</v>
      </c>
      <c r="O1183" t="str" cm="1">
        <f t="array" ref="O1183">_xlfn.IFS(Table1[[#This Row],[Divorced]]=1, "Divorced", Table1[[#This Row],[Married]]=1, "Married", Table1[[#This Row],[Single]]=1, "Single", Table1[[#This Row],[Together]]=1, "Together", Table1[[#This Row],[Widow]]=1, "Widow")</f>
        <v>Single</v>
      </c>
      <c r="P1183" t="str" cm="1">
        <f t="array" ref="P1183">_xlfn.IFS(Table1[[#This Row],[Basic]]=1, "Basic", Table1[[#This Row],[Graduate]]=1, "Graduate", Table1[[#This Row],[Master]]=1, "Master", Table1[[#This Row],[PhD]]=1, "PhD", AND(Table1[[#This Row],[Basic]]=0, Table1[[#This Row],[Graduate]]=0, Table1[[#This Row],[Master]]=0, Table1[[#This Row],[PhD]]=0), "NA")</f>
        <v>Master</v>
      </c>
      <c r="Q1183" t="e">
        <f>_xlfn.XLOOKUP(Table1[[#This Row],[ID]], Table2[ID],#REF!, "Not Found", 0)</f>
        <v>#REF!</v>
      </c>
      <c r="R1183" t="e">
        <f>_xlfn.XLOOKUP(Table1[[#This Row],[ID]], Table2[ID],#REF!, "Not Found", 0)</f>
        <v>#REF!</v>
      </c>
      <c r="S1183" s="3">
        <f>_xlfn.XLOOKUP(Table1[[#This Row],[ID]], Table2[ID], Table2[Enrollment], "Not Found", 0)</f>
        <v>43892</v>
      </c>
      <c r="T1183" t="s">
        <v>438</v>
      </c>
    </row>
    <row r="1184" spans="1:20" x14ac:dyDescent="0.3">
      <c r="A1184">
        <v>1453</v>
      </c>
      <c r="B1184">
        <v>149269</v>
      </c>
      <c r="C1184">
        <v>1</v>
      </c>
      <c r="D1184">
        <v>0</v>
      </c>
      <c r="E1184">
        <v>49</v>
      </c>
      <c r="F1184">
        <v>0</v>
      </c>
      <c r="G1184">
        <v>0</v>
      </c>
      <c r="H1184">
        <v>0</v>
      </c>
      <c r="I1184">
        <v>1</v>
      </c>
      <c r="J1184">
        <v>0</v>
      </c>
      <c r="K1184">
        <v>0</v>
      </c>
      <c r="L1184">
        <v>0</v>
      </c>
      <c r="M1184">
        <v>0</v>
      </c>
      <c r="N1184">
        <v>1</v>
      </c>
      <c r="O1184" t="str" cm="1">
        <f t="array" ref="O1184">_xlfn.IFS(Table1[[#This Row],[Divorced]]=1, "Divorced", Table1[[#This Row],[Married]]=1, "Married", Table1[[#This Row],[Single]]=1, "Single", Table1[[#This Row],[Together]]=1, "Together", Table1[[#This Row],[Widow]]=1, "Widow")</f>
        <v>Together</v>
      </c>
      <c r="P1184" t="str" cm="1">
        <f t="array" ref="P1184">_xlfn.IFS(Table1[[#This Row],[Basic]]=1, "Basic", Table1[[#This Row],[Graduate]]=1, "Graduate", Table1[[#This Row],[Master]]=1, "Master", Table1[[#This Row],[PhD]]=1, "PhD", AND(Table1[[#This Row],[Basic]]=0, Table1[[#This Row],[Graduate]]=0, Table1[[#This Row],[Master]]=0, Table1[[#This Row],[PhD]]=0), "NA")</f>
        <v>PhD</v>
      </c>
      <c r="Q1184" t="e">
        <f>_xlfn.XLOOKUP(Table1[[#This Row],[ID]], Table2[ID],#REF!, "Not Found", 0)</f>
        <v>#REF!</v>
      </c>
      <c r="R1184" t="e">
        <f>_xlfn.XLOOKUP(Table1[[#This Row],[ID]], Table2[ID],#REF!, "Not Found", 0)</f>
        <v>#REF!</v>
      </c>
      <c r="S1184" s="3" t="str">
        <f>_xlfn.XLOOKUP(Table1[[#This Row],[ID]], Table2[ID], Table2[Enrollment], "Not Found", 0)</f>
        <v>1/20/2019</v>
      </c>
      <c r="T1184" t="s">
        <v>437</v>
      </c>
    </row>
    <row r="1185" spans="1:20" x14ac:dyDescent="0.3">
      <c r="A1185">
        <v>1992</v>
      </c>
      <c r="B1185">
        <v>149187</v>
      </c>
      <c r="C1185">
        <v>0</v>
      </c>
      <c r="D1185">
        <v>1</v>
      </c>
      <c r="E1185">
        <v>44</v>
      </c>
      <c r="F1185">
        <v>0</v>
      </c>
      <c r="G1185">
        <v>0</v>
      </c>
      <c r="H1185">
        <v>0</v>
      </c>
      <c r="I1185">
        <v>1</v>
      </c>
      <c r="J1185">
        <v>0</v>
      </c>
      <c r="K1185">
        <v>0</v>
      </c>
      <c r="L1185">
        <v>0</v>
      </c>
      <c r="M1185">
        <v>0</v>
      </c>
      <c r="N1185">
        <v>1</v>
      </c>
      <c r="O1185" t="str" cm="1">
        <f t="array" ref="O1185">_xlfn.IFS(Table1[[#This Row],[Divorced]]=1, "Divorced", Table1[[#This Row],[Married]]=1, "Married", Table1[[#This Row],[Single]]=1, "Single", Table1[[#This Row],[Together]]=1, "Together", Table1[[#This Row],[Widow]]=1, "Widow")</f>
        <v>Together</v>
      </c>
      <c r="P1185" t="str" cm="1">
        <f t="array" ref="P1185">_xlfn.IFS(Table1[[#This Row],[Basic]]=1, "Basic", Table1[[#This Row],[Graduate]]=1, "Graduate", Table1[[#This Row],[Master]]=1, "Master", Table1[[#This Row],[PhD]]=1, "PhD", AND(Table1[[#This Row],[Basic]]=0, Table1[[#This Row],[Graduate]]=0, Table1[[#This Row],[Master]]=0, Table1[[#This Row],[PhD]]=0), "NA")</f>
        <v>PhD</v>
      </c>
      <c r="Q1185" t="e">
        <f>_xlfn.XLOOKUP(Table1[[#This Row],[ID]], Table2[ID],#REF!, "Not Found", 0)</f>
        <v>#REF!</v>
      </c>
      <c r="R1185" t="e">
        <f>_xlfn.XLOOKUP(Table1[[#This Row],[ID]], Table2[ID],#REF!, "Not Found", 0)</f>
        <v>#REF!</v>
      </c>
      <c r="S1185" s="3" t="str">
        <f>_xlfn.XLOOKUP(Table1[[#This Row],[ID]], Table2[ID], Table2[Enrollment], "Not Found", 0)</f>
        <v>6/17/2020</v>
      </c>
      <c r="T1185" t="s">
        <v>436</v>
      </c>
    </row>
    <row r="1186" spans="1:20" x14ac:dyDescent="0.3">
      <c r="A1186">
        <v>1831</v>
      </c>
      <c r="B1186">
        <v>149166</v>
      </c>
      <c r="C1186">
        <v>0</v>
      </c>
      <c r="D1186">
        <v>1</v>
      </c>
      <c r="E1186">
        <v>46</v>
      </c>
      <c r="F1186">
        <v>0</v>
      </c>
      <c r="G1186">
        <v>0</v>
      </c>
      <c r="H1186">
        <v>1</v>
      </c>
      <c r="I1186">
        <v>0</v>
      </c>
      <c r="J1186">
        <v>0</v>
      </c>
      <c r="K1186">
        <v>0</v>
      </c>
      <c r="L1186">
        <v>1</v>
      </c>
      <c r="M1186">
        <v>0</v>
      </c>
      <c r="N1186">
        <v>0</v>
      </c>
      <c r="O1186" t="str" cm="1">
        <f t="array" ref="O1186">_xlfn.IFS(Table1[[#This Row],[Divorced]]=1, "Divorced", Table1[[#This Row],[Married]]=1, "Married", Table1[[#This Row],[Single]]=1, "Single", Table1[[#This Row],[Together]]=1, "Together", Table1[[#This Row],[Widow]]=1, "Widow")</f>
        <v>Single</v>
      </c>
      <c r="P1186" t="str" cm="1">
        <f t="array" ref="P1186">_xlfn.IFS(Table1[[#This Row],[Basic]]=1, "Basic", Table1[[#This Row],[Graduate]]=1, "Graduate", Table1[[#This Row],[Master]]=1, "Master", Table1[[#This Row],[PhD]]=1, "PhD", AND(Table1[[#This Row],[Basic]]=0, Table1[[#This Row],[Graduate]]=0, Table1[[#This Row],[Master]]=0, Table1[[#This Row],[PhD]]=0), "NA")</f>
        <v>Graduate</v>
      </c>
      <c r="Q1186" t="e">
        <f>_xlfn.XLOOKUP(Table1[[#This Row],[ID]], Table2[ID],#REF!, "Not Found", 0)</f>
        <v>#REF!</v>
      </c>
      <c r="R1186" t="e">
        <f>_xlfn.XLOOKUP(Table1[[#This Row],[ID]], Table2[ID],#REF!, "Not Found", 0)</f>
        <v>#REF!</v>
      </c>
      <c r="S1186" s="3" t="str">
        <f>_xlfn.XLOOKUP(Table1[[#This Row],[ID]], Table2[ID], Table2[Enrollment], "Not Found", 0)</f>
        <v>11/18/2019</v>
      </c>
      <c r="T1186" t="s">
        <v>437</v>
      </c>
    </row>
    <row r="1187" spans="1:20" x14ac:dyDescent="0.3">
      <c r="A1187">
        <v>2870</v>
      </c>
      <c r="B1187">
        <v>149160</v>
      </c>
      <c r="C1187">
        <v>0</v>
      </c>
      <c r="D1187">
        <v>1</v>
      </c>
      <c r="E1187">
        <v>71</v>
      </c>
      <c r="F1187">
        <v>1</v>
      </c>
      <c r="G1187">
        <v>0</v>
      </c>
      <c r="H1187">
        <v>0</v>
      </c>
      <c r="I1187">
        <v>0</v>
      </c>
      <c r="J1187">
        <v>0</v>
      </c>
      <c r="K1187">
        <v>0</v>
      </c>
      <c r="L1187">
        <v>1</v>
      </c>
      <c r="M1187">
        <v>0</v>
      </c>
      <c r="N1187">
        <v>0</v>
      </c>
      <c r="O1187" t="str" cm="1">
        <f t="array" ref="O1187">_xlfn.IFS(Table1[[#This Row],[Divorced]]=1, "Divorced", Table1[[#This Row],[Married]]=1, "Married", Table1[[#This Row],[Single]]=1, "Single", Table1[[#This Row],[Together]]=1, "Together", Table1[[#This Row],[Widow]]=1, "Widow")</f>
        <v>Divorced</v>
      </c>
      <c r="P1187" t="str" cm="1">
        <f t="array" ref="P1187">_xlfn.IFS(Table1[[#This Row],[Basic]]=1, "Basic", Table1[[#This Row],[Graduate]]=1, "Graduate", Table1[[#This Row],[Master]]=1, "Master", Table1[[#This Row],[PhD]]=1, "PhD", AND(Table1[[#This Row],[Basic]]=0, Table1[[#This Row],[Graduate]]=0, Table1[[#This Row],[Master]]=0, Table1[[#This Row],[PhD]]=0), "NA")</f>
        <v>Graduate</v>
      </c>
      <c r="Q1187" t="e">
        <f>_xlfn.XLOOKUP(Table1[[#This Row],[ID]], Table2[ID],#REF!, "Not Found", 0)</f>
        <v>#REF!</v>
      </c>
      <c r="R1187" t="e">
        <f>_xlfn.XLOOKUP(Table1[[#This Row],[ID]], Table2[ID],#REF!, "Not Found", 0)</f>
        <v>#REF!</v>
      </c>
      <c r="S1187" s="3" t="str">
        <f>_xlfn.XLOOKUP(Table1[[#This Row],[ID]], Table2[ID], Table2[Enrollment], "Not Found", 0)</f>
        <v>3/26/2020</v>
      </c>
      <c r="T1187" t="s">
        <v>438</v>
      </c>
    </row>
    <row r="1188" spans="1:20" x14ac:dyDescent="0.3">
      <c r="A1188">
        <v>1513</v>
      </c>
      <c r="B1188">
        <v>149154</v>
      </c>
      <c r="C1188">
        <v>1</v>
      </c>
      <c r="D1188">
        <v>1</v>
      </c>
      <c r="E1188">
        <v>60</v>
      </c>
      <c r="F1188">
        <v>0</v>
      </c>
      <c r="G1188">
        <v>1</v>
      </c>
      <c r="H1188">
        <v>0</v>
      </c>
      <c r="I1188">
        <v>0</v>
      </c>
      <c r="J1188">
        <v>0</v>
      </c>
      <c r="K1188">
        <v>0</v>
      </c>
      <c r="L1188">
        <v>0</v>
      </c>
      <c r="M1188">
        <v>0</v>
      </c>
      <c r="N1188">
        <v>1</v>
      </c>
      <c r="O1188" t="str" cm="1">
        <f t="array" ref="O1188">_xlfn.IFS(Table1[[#This Row],[Divorced]]=1, "Divorced", Table1[[#This Row],[Married]]=1, "Married", Table1[[#This Row],[Single]]=1, "Single", Table1[[#This Row],[Together]]=1, "Together", Table1[[#This Row],[Widow]]=1, "Widow")</f>
        <v>Married</v>
      </c>
      <c r="P1188" t="str" cm="1">
        <f t="array" ref="P1188">_xlfn.IFS(Table1[[#This Row],[Basic]]=1, "Basic", Table1[[#This Row],[Graduate]]=1, "Graduate", Table1[[#This Row],[Master]]=1, "Master", Table1[[#This Row],[PhD]]=1, "PhD", AND(Table1[[#This Row],[Basic]]=0, Table1[[#This Row],[Graduate]]=0, Table1[[#This Row],[Master]]=0, Table1[[#This Row],[PhD]]=0), "NA")</f>
        <v>PhD</v>
      </c>
      <c r="Q1188" t="e">
        <f>_xlfn.XLOOKUP(Table1[[#This Row],[ID]], Table2[ID],#REF!, "Not Found", 0)</f>
        <v>#REF!</v>
      </c>
      <c r="R1188" t="e">
        <f>_xlfn.XLOOKUP(Table1[[#This Row],[ID]], Table2[ID],#REF!, "Not Found", 0)</f>
        <v>#REF!</v>
      </c>
      <c r="S1188" s="3">
        <f>_xlfn.XLOOKUP(Table1[[#This Row],[ID]], Table2[ID], Table2[Enrollment], "Not Found", 0)</f>
        <v>44078</v>
      </c>
      <c r="T1188" t="s">
        <v>437</v>
      </c>
    </row>
    <row r="1189" spans="1:20" x14ac:dyDescent="0.3">
      <c r="A1189">
        <v>2262</v>
      </c>
      <c r="B1189">
        <v>149118</v>
      </c>
      <c r="C1189">
        <v>0</v>
      </c>
      <c r="D1189">
        <v>0</v>
      </c>
      <c r="E1189">
        <v>49</v>
      </c>
      <c r="F1189">
        <v>1</v>
      </c>
      <c r="G1189">
        <v>0</v>
      </c>
      <c r="H1189">
        <v>0</v>
      </c>
      <c r="I1189">
        <v>0</v>
      </c>
      <c r="J1189">
        <v>0</v>
      </c>
      <c r="K1189">
        <v>0</v>
      </c>
      <c r="L1189">
        <v>0</v>
      </c>
      <c r="M1189">
        <v>0</v>
      </c>
      <c r="N1189">
        <v>0</v>
      </c>
      <c r="O1189" t="str" cm="1">
        <f t="array" ref="O1189">_xlfn.IFS(Table1[[#This Row],[Divorced]]=1, "Divorced", Table1[[#This Row],[Married]]=1, "Married", Table1[[#This Row],[Single]]=1, "Single", Table1[[#This Row],[Together]]=1, "Together", Table1[[#This Row],[Widow]]=1, "Widow")</f>
        <v>Divorced</v>
      </c>
      <c r="P1189" t="str" cm="1">
        <f t="array" ref="P1189">_xlfn.IFS(Table1[[#This Row],[Basic]]=1, "Basic", Table1[[#This Row],[Graduate]]=1, "Graduate", Table1[[#This Row],[Master]]=1, "Master", Table1[[#This Row],[PhD]]=1, "PhD", AND(Table1[[#This Row],[Basic]]=0, Table1[[#This Row],[Graduate]]=0, Table1[[#This Row],[Master]]=0, Table1[[#This Row],[PhD]]=0), "NA")</f>
        <v>NA</v>
      </c>
      <c r="Q1189" t="e">
        <f>_xlfn.XLOOKUP(Table1[[#This Row],[ID]], Table2[ID],#REF!, "Not Found", 0)</f>
        <v>#REF!</v>
      </c>
      <c r="R1189" t="e">
        <f>_xlfn.XLOOKUP(Table1[[#This Row],[ID]], Table2[ID],#REF!, "Not Found", 0)</f>
        <v>#REF!</v>
      </c>
      <c r="S1189" s="3" t="str">
        <f>_xlfn.XLOOKUP(Table1[[#This Row],[ID]], Table2[ID], Table2[Enrollment], "Not Found", 0)</f>
        <v>1/23/2019</v>
      </c>
      <c r="T1189" t="s">
        <v>436</v>
      </c>
    </row>
    <row r="1190" spans="1:20" x14ac:dyDescent="0.3">
      <c r="A1190">
        <v>1098</v>
      </c>
      <c r="B1190">
        <v>149096</v>
      </c>
      <c r="C1190">
        <v>1</v>
      </c>
      <c r="D1190">
        <v>1</v>
      </c>
      <c r="E1190">
        <v>56</v>
      </c>
      <c r="F1190">
        <v>0</v>
      </c>
      <c r="G1190">
        <v>1</v>
      </c>
      <c r="H1190">
        <v>0</v>
      </c>
      <c r="I1190">
        <v>0</v>
      </c>
      <c r="J1190">
        <v>0</v>
      </c>
      <c r="K1190">
        <v>0</v>
      </c>
      <c r="L1190">
        <v>1</v>
      </c>
      <c r="M1190">
        <v>0</v>
      </c>
      <c r="N1190">
        <v>0</v>
      </c>
      <c r="O1190" t="str" cm="1">
        <f t="array" ref="O1190">_xlfn.IFS(Table1[[#This Row],[Divorced]]=1, "Divorced", Table1[[#This Row],[Married]]=1, "Married", Table1[[#This Row],[Single]]=1, "Single", Table1[[#This Row],[Together]]=1, "Together", Table1[[#This Row],[Widow]]=1, "Widow")</f>
        <v>Married</v>
      </c>
      <c r="P1190" t="str" cm="1">
        <f t="array" ref="P1190">_xlfn.IFS(Table1[[#This Row],[Basic]]=1, "Basic", Table1[[#This Row],[Graduate]]=1, "Graduate", Table1[[#This Row],[Master]]=1, "Master", Table1[[#This Row],[PhD]]=1, "PhD", AND(Table1[[#This Row],[Basic]]=0, Table1[[#This Row],[Graduate]]=0, Table1[[#This Row],[Master]]=0, Table1[[#This Row],[PhD]]=0), "NA")</f>
        <v>Graduate</v>
      </c>
      <c r="Q1190" t="e">
        <f>_xlfn.XLOOKUP(Table1[[#This Row],[ID]], Table2[ID],#REF!, "Not Found", 0)</f>
        <v>#REF!</v>
      </c>
      <c r="R1190" t="e">
        <f>_xlfn.XLOOKUP(Table1[[#This Row],[ID]], Table2[ID],#REF!, "Not Found", 0)</f>
        <v>#REF!</v>
      </c>
      <c r="S1190" s="3" t="str">
        <f>_xlfn.XLOOKUP(Table1[[#This Row],[ID]], Table2[ID], Table2[Enrollment], "Not Found", 0)</f>
        <v>2/29/2020</v>
      </c>
      <c r="T1190" t="s">
        <v>436</v>
      </c>
    </row>
    <row r="1191" spans="1:20" x14ac:dyDescent="0.3">
      <c r="A1191">
        <v>2761</v>
      </c>
      <c r="B1191">
        <v>149094</v>
      </c>
      <c r="C1191">
        <v>0</v>
      </c>
      <c r="D1191">
        <v>1</v>
      </c>
      <c r="E1191">
        <v>47</v>
      </c>
      <c r="F1191">
        <v>0</v>
      </c>
      <c r="G1191">
        <v>1</v>
      </c>
      <c r="H1191">
        <v>0</v>
      </c>
      <c r="I1191">
        <v>0</v>
      </c>
      <c r="J1191">
        <v>0</v>
      </c>
      <c r="K1191">
        <v>0</v>
      </c>
      <c r="L1191">
        <v>1</v>
      </c>
      <c r="M1191">
        <v>0</v>
      </c>
      <c r="N1191">
        <v>0</v>
      </c>
      <c r="O1191" t="str" cm="1">
        <f t="array" ref="O1191">_xlfn.IFS(Table1[[#This Row],[Divorced]]=1, "Divorced", Table1[[#This Row],[Married]]=1, "Married", Table1[[#This Row],[Single]]=1, "Single", Table1[[#This Row],[Together]]=1, "Together", Table1[[#This Row],[Widow]]=1, "Widow")</f>
        <v>Married</v>
      </c>
      <c r="P1191" t="str" cm="1">
        <f t="array" ref="P1191">_xlfn.IFS(Table1[[#This Row],[Basic]]=1, "Basic", Table1[[#This Row],[Graduate]]=1, "Graduate", Table1[[#This Row],[Master]]=1, "Master", Table1[[#This Row],[PhD]]=1, "PhD", AND(Table1[[#This Row],[Basic]]=0, Table1[[#This Row],[Graduate]]=0, Table1[[#This Row],[Master]]=0, Table1[[#This Row],[PhD]]=0), "NA")</f>
        <v>Graduate</v>
      </c>
      <c r="Q1191" t="e">
        <f>_xlfn.XLOOKUP(Table1[[#This Row],[ID]], Table2[ID],#REF!, "Not Found", 0)</f>
        <v>#REF!</v>
      </c>
      <c r="R1191" t="e">
        <f>_xlfn.XLOOKUP(Table1[[#This Row],[ID]], Table2[ID],#REF!, "Not Found", 0)</f>
        <v>#REF!</v>
      </c>
      <c r="S1191" s="3" t="str">
        <f>_xlfn.XLOOKUP(Table1[[#This Row],[ID]], Table2[ID], Table2[Enrollment], "Not Found", 0)</f>
        <v>2/26/2019</v>
      </c>
      <c r="T1191" t="s">
        <v>437</v>
      </c>
    </row>
    <row r="1192" spans="1:20" x14ac:dyDescent="0.3">
      <c r="A1192">
        <v>2665</v>
      </c>
      <c r="B1192">
        <v>149090</v>
      </c>
      <c r="C1192">
        <v>0</v>
      </c>
      <c r="D1192">
        <v>1</v>
      </c>
      <c r="E1192">
        <v>69</v>
      </c>
      <c r="F1192">
        <v>0</v>
      </c>
      <c r="G1192">
        <v>0</v>
      </c>
      <c r="H1192">
        <v>1</v>
      </c>
      <c r="I1192">
        <v>0</v>
      </c>
      <c r="J1192">
        <v>0</v>
      </c>
      <c r="K1192">
        <v>0</v>
      </c>
      <c r="L1192">
        <v>1</v>
      </c>
      <c r="M1192">
        <v>0</v>
      </c>
      <c r="N1192">
        <v>0</v>
      </c>
      <c r="O1192" t="str" cm="1">
        <f t="array" ref="O1192">_xlfn.IFS(Table1[[#This Row],[Divorced]]=1, "Divorced", Table1[[#This Row],[Married]]=1, "Married", Table1[[#This Row],[Single]]=1, "Single", Table1[[#This Row],[Together]]=1, "Together", Table1[[#This Row],[Widow]]=1, "Widow")</f>
        <v>Single</v>
      </c>
      <c r="P1192" t="str" cm="1">
        <f t="array" ref="P1192">_xlfn.IFS(Table1[[#This Row],[Basic]]=1, "Basic", Table1[[#This Row],[Graduate]]=1, "Graduate", Table1[[#This Row],[Master]]=1, "Master", Table1[[#This Row],[PhD]]=1, "PhD", AND(Table1[[#This Row],[Basic]]=0, Table1[[#This Row],[Graduate]]=0, Table1[[#This Row],[Master]]=0, Table1[[#This Row],[PhD]]=0), "NA")</f>
        <v>Graduate</v>
      </c>
      <c r="Q1192" t="e">
        <f>_xlfn.XLOOKUP(Table1[[#This Row],[ID]], Table2[ID],#REF!, "Not Found", 0)</f>
        <v>#REF!</v>
      </c>
      <c r="R1192" t="e">
        <f>_xlfn.XLOOKUP(Table1[[#This Row],[ID]], Table2[ID],#REF!, "Not Found", 0)</f>
        <v>#REF!</v>
      </c>
      <c r="S1192" s="3" t="str">
        <f>_xlfn.XLOOKUP(Table1[[#This Row],[ID]], Table2[ID], Table2[Enrollment], "Not Found", 0)</f>
        <v>12/24/2019</v>
      </c>
      <c r="T1192" t="s">
        <v>437</v>
      </c>
    </row>
    <row r="1193" spans="1:20" x14ac:dyDescent="0.3">
      <c r="A1193">
        <v>2147</v>
      </c>
      <c r="B1193">
        <v>148985</v>
      </c>
      <c r="C1193">
        <v>0</v>
      </c>
      <c r="D1193">
        <v>1</v>
      </c>
      <c r="E1193">
        <v>52</v>
      </c>
      <c r="F1193">
        <v>0</v>
      </c>
      <c r="G1193">
        <v>1</v>
      </c>
      <c r="H1193">
        <v>0</v>
      </c>
      <c r="I1193">
        <v>0</v>
      </c>
      <c r="J1193">
        <v>0</v>
      </c>
      <c r="K1193">
        <v>0</v>
      </c>
      <c r="L1193">
        <v>0</v>
      </c>
      <c r="M1193">
        <v>0</v>
      </c>
      <c r="N1193">
        <v>0</v>
      </c>
      <c r="O1193" t="str" cm="1">
        <f t="array" ref="O1193">_xlfn.IFS(Table1[[#This Row],[Divorced]]=1, "Divorced", Table1[[#This Row],[Married]]=1, "Married", Table1[[#This Row],[Single]]=1, "Single", Table1[[#This Row],[Together]]=1, "Together", Table1[[#This Row],[Widow]]=1, "Widow")</f>
        <v>Married</v>
      </c>
      <c r="P1193" t="str" cm="1">
        <f t="array" ref="P1193">_xlfn.IFS(Table1[[#This Row],[Basic]]=1, "Basic", Table1[[#This Row],[Graduate]]=1, "Graduate", Table1[[#This Row],[Master]]=1, "Master", Table1[[#This Row],[PhD]]=1, "PhD", AND(Table1[[#This Row],[Basic]]=0, Table1[[#This Row],[Graduate]]=0, Table1[[#This Row],[Master]]=0, Table1[[#This Row],[PhD]]=0), "NA")</f>
        <v>NA</v>
      </c>
      <c r="Q1193" t="e">
        <f>_xlfn.XLOOKUP(Table1[[#This Row],[ID]], Table2[ID],#REF!, "Not Found", 0)</f>
        <v>#REF!</v>
      </c>
      <c r="R1193" t="e">
        <f>_xlfn.XLOOKUP(Table1[[#This Row],[ID]], Table2[ID],#REF!, "Not Found", 0)</f>
        <v>#REF!</v>
      </c>
      <c r="S1193" s="3">
        <f>_xlfn.XLOOKUP(Table1[[#This Row],[ID]], Table2[ID], Table2[Enrollment], "Not Found", 0)</f>
        <v>43750</v>
      </c>
      <c r="T1193" t="s">
        <v>434</v>
      </c>
    </row>
    <row r="1194" spans="1:20" x14ac:dyDescent="0.3">
      <c r="A1194">
        <v>1038</v>
      </c>
      <c r="B1194">
        <v>148948</v>
      </c>
      <c r="C1194">
        <v>0</v>
      </c>
      <c r="D1194">
        <v>0</v>
      </c>
      <c r="E1194">
        <v>77</v>
      </c>
      <c r="F1194">
        <v>1</v>
      </c>
      <c r="G1194">
        <v>0</v>
      </c>
      <c r="H1194">
        <v>0</v>
      </c>
      <c r="I1194">
        <v>0</v>
      </c>
      <c r="J1194">
        <v>0</v>
      </c>
      <c r="K1194">
        <v>0</v>
      </c>
      <c r="L1194">
        <v>0</v>
      </c>
      <c r="M1194">
        <v>0</v>
      </c>
      <c r="N1194">
        <v>1</v>
      </c>
      <c r="O1194" t="str" cm="1">
        <f t="array" ref="O1194">_xlfn.IFS(Table1[[#This Row],[Divorced]]=1, "Divorced", Table1[[#This Row],[Married]]=1, "Married", Table1[[#This Row],[Single]]=1, "Single", Table1[[#This Row],[Together]]=1, "Together", Table1[[#This Row],[Widow]]=1, "Widow")</f>
        <v>Divorced</v>
      </c>
      <c r="P1194" t="str" cm="1">
        <f t="array" ref="P1194">_xlfn.IFS(Table1[[#This Row],[Basic]]=1, "Basic", Table1[[#This Row],[Graduate]]=1, "Graduate", Table1[[#This Row],[Master]]=1, "Master", Table1[[#This Row],[PhD]]=1, "PhD", AND(Table1[[#This Row],[Basic]]=0, Table1[[#This Row],[Graduate]]=0, Table1[[#This Row],[Master]]=0, Table1[[#This Row],[PhD]]=0), "NA")</f>
        <v>PhD</v>
      </c>
      <c r="Q1194" t="e">
        <f>_xlfn.XLOOKUP(Table1[[#This Row],[ID]], Table2[ID],#REF!, "Not Found", 0)</f>
        <v>#REF!</v>
      </c>
      <c r="R1194" t="e">
        <f>_xlfn.XLOOKUP(Table1[[#This Row],[ID]], Table2[ID],#REF!, "Not Found", 0)</f>
        <v>#REF!</v>
      </c>
      <c r="S1194" s="3">
        <f>_xlfn.XLOOKUP(Table1[[#This Row],[ID]], Table2[ID], Table2[Enrollment], "Not Found", 0)</f>
        <v>43715</v>
      </c>
      <c r="T1194" t="s">
        <v>436</v>
      </c>
    </row>
    <row r="1195" spans="1:20" x14ac:dyDescent="0.3">
      <c r="A1195">
        <v>1875</v>
      </c>
      <c r="B1195">
        <v>148948</v>
      </c>
      <c r="C1195">
        <v>0</v>
      </c>
      <c r="D1195">
        <v>0</v>
      </c>
      <c r="E1195">
        <v>77</v>
      </c>
      <c r="F1195">
        <v>1</v>
      </c>
      <c r="G1195">
        <v>0</v>
      </c>
      <c r="H1195">
        <v>0</v>
      </c>
      <c r="I1195">
        <v>0</v>
      </c>
      <c r="J1195">
        <v>0</v>
      </c>
      <c r="K1195">
        <v>0</v>
      </c>
      <c r="L1195">
        <v>0</v>
      </c>
      <c r="M1195">
        <v>0</v>
      </c>
      <c r="N1195">
        <v>1</v>
      </c>
      <c r="O1195" t="str" cm="1">
        <f t="array" ref="O1195">_xlfn.IFS(Table1[[#This Row],[Divorced]]=1, "Divorced", Table1[[#This Row],[Married]]=1, "Married", Table1[[#This Row],[Single]]=1, "Single", Table1[[#This Row],[Together]]=1, "Together", Table1[[#This Row],[Widow]]=1, "Widow")</f>
        <v>Divorced</v>
      </c>
      <c r="P1195" t="str" cm="1">
        <f t="array" ref="P1195">_xlfn.IFS(Table1[[#This Row],[Basic]]=1, "Basic", Table1[[#This Row],[Graduate]]=1, "Graduate", Table1[[#This Row],[Master]]=1, "Master", Table1[[#This Row],[PhD]]=1, "PhD", AND(Table1[[#This Row],[Basic]]=0, Table1[[#This Row],[Graduate]]=0, Table1[[#This Row],[Master]]=0, Table1[[#This Row],[PhD]]=0), "NA")</f>
        <v>PhD</v>
      </c>
      <c r="Q1195" t="e">
        <f>_xlfn.XLOOKUP(Table1[[#This Row],[ID]], Table2[ID],#REF!, "Not Found", 0)</f>
        <v>#REF!</v>
      </c>
      <c r="R1195" t="e">
        <f>_xlfn.XLOOKUP(Table1[[#This Row],[ID]], Table2[ID],#REF!, "Not Found", 0)</f>
        <v>#REF!</v>
      </c>
      <c r="S1195" s="3">
        <f>_xlfn.XLOOKUP(Table1[[#This Row],[ID]], Table2[ID], Table2[Enrollment], "Not Found", 0)</f>
        <v>43715</v>
      </c>
      <c r="T1195" t="s">
        <v>435</v>
      </c>
    </row>
    <row r="1196" spans="1:20" x14ac:dyDescent="0.3">
      <c r="A1196">
        <v>1496</v>
      </c>
      <c r="B1196">
        <v>148920</v>
      </c>
      <c r="C1196">
        <v>0</v>
      </c>
      <c r="D1196">
        <v>2</v>
      </c>
      <c r="E1196">
        <v>56</v>
      </c>
      <c r="F1196">
        <v>0</v>
      </c>
      <c r="G1196">
        <v>1</v>
      </c>
      <c r="H1196">
        <v>0</v>
      </c>
      <c r="I1196">
        <v>0</v>
      </c>
      <c r="J1196">
        <v>0</v>
      </c>
      <c r="K1196">
        <v>0</v>
      </c>
      <c r="L1196">
        <v>1</v>
      </c>
      <c r="M1196">
        <v>0</v>
      </c>
      <c r="N1196">
        <v>0</v>
      </c>
      <c r="O1196" t="str" cm="1">
        <f t="array" ref="O1196">_xlfn.IFS(Table1[[#This Row],[Divorced]]=1, "Divorced", Table1[[#This Row],[Married]]=1, "Married", Table1[[#This Row],[Single]]=1, "Single", Table1[[#This Row],[Together]]=1, "Together", Table1[[#This Row],[Widow]]=1, "Widow")</f>
        <v>Married</v>
      </c>
      <c r="P1196" t="str" cm="1">
        <f t="array" ref="P1196">_xlfn.IFS(Table1[[#This Row],[Basic]]=1, "Basic", Table1[[#This Row],[Graduate]]=1, "Graduate", Table1[[#This Row],[Master]]=1, "Master", Table1[[#This Row],[PhD]]=1, "PhD", AND(Table1[[#This Row],[Basic]]=0, Table1[[#This Row],[Graduate]]=0, Table1[[#This Row],[Master]]=0, Table1[[#This Row],[PhD]]=0), "NA")</f>
        <v>Graduate</v>
      </c>
      <c r="Q1196" t="e">
        <f>_xlfn.XLOOKUP(Table1[[#This Row],[ID]], Table2[ID],#REF!, "Not Found", 0)</f>
        <v>#REF!</v>
      </c>
      <c r="R1196" t="e">
        <f>_xlfn.XLOOKUP(Table1[[#This Row],[ID]], Table2[ID],#REF!, "Not Found", 0)</f>
        <v>#REF!</v>
      </c>
      <c r="S1196" s="3" t="str">
        <f>_xlfn.XLOOKUP(Table1[[#This Row],[ID]], Table2[ID], Table2[Enrollment], "Not Found", 0)</f>
        <v>3/26/2020</v>
      </c>
      <c r="T1196" t="s">
        <v>438</v>
      </c>
    </row>
    <row r="1197" spans="1:20" x14ac:dyDescent="0.3">
      <c r="A1197">
        <v>2275</v>
      </c>
      <c r="B1197">
        <v>148918</v>
      </c>
      <c r="C1197">
        <v>1</v>
      </c>
      <c r="D1197">
        <v>1</v>
      </c>
      <c r="E1197">
        <v>57</v>
      </c>
      <c r="F1197">
        <v>0</v>
      </c>
      <c r="G1197">
        <v>0</v>
      </c>
      <c r="H1197">
        <v>1</v>
      </c>
      <c r="I1197">
        <v>0</v>
      </c>
      <c r="J1197">
        <v>0</v>
      </c>
      <c r="K1197">
        <v>0</v>
      </c>
      <c r="L1197">
        <v>0</v>
      </c>
      <c r="M1197">
        <v>0</v>
      </c>
      <c r="N1197">
        <v>1</v>
      </c>
      <c r="O1197" t="str" cm="1">
        <f t="array" ref="O1197">_xlfn.IFS(Table1[[#This Row],[Divorced]]=1, "Divorced", Table1[[#This Row],[Married]]=1, "Married", Table1[[#This Row],[Single]]=1, "Single", Table1[[#This Row],[Together]]=1, "Together", Table1[[#This Row],[Widow]]=1, "Widow")</f>
        <v>Single</v>
      </c>
      <c r="P1197" t="str" cm="1">
        <f t="array" ref="P1197">_xlfn.IFS(Table1[[#This Row],[Basic]]=1, "Basic", Table1[[#This Row],[Graduate]]=1, "Graduate", Table1[[#This Row],[Master]]=1, "Master", Table1[[#This Row],[PhD]]=1, "PhD", AND(Table1[[#This Row],[Basic]]=0, Table1[[#This Row],[Graduate]]=0, Table1[[#This Row],[Master]]=0, Table1[[#This Row],[PhD]]=0), "NA")</f>
        <v>PhD</v>
      </c>
      <c r="Q1197" t="e">
        <f>_xlfn.XLOOKUP(Table1[[#This Row],[ID]], Table2[ID],#REF!, "Not Found", 0)</f>
        <v>#REF!</v>
      </c>
      <c r="R1197" t="e">
        <f>_xlfn.XLOOKUP(Table1[[#This Row],[ID]], Table2[ID],#REF!, "Not Found", 0)</f>
        <v>#REF!</v>
      </c>
      <c r="S1197" s="3" t="str">
        <f>_xlfn.XLOOKUP(Table1[[#This Row],[ID]], Table2[ID], Table2[Enrollment], "Not Found", 0)</f>
        <v>9/16/2020</v>
      </c>
      <c r="T1197" t="s">
        <v>437</v>
      </c>
    </row>
    <row r="1198" spans="1:20" x14ac:dyDescent="0.3">
      <c r="A1198">
        <v>2766</v>
      </c>
      <c r="B1198">
        <v>148918</v>
      </c>
      <c r="C1198">
        <v>1</v>
      </c>
      <c r="D1198">
        <v>1</v>
      </c>
      <c r="E1198">
        <v>57</v>
      </c>
      <c r="F1198">
        <v>0</v>
      </c>
      <c r="G1198">
        <v>0</v>
      </c>
      <c r="H1198">
        <v>1</v>
      </c>
      <c r="I1198">
        <v>0</v>
      </c>
      <c r="J1198">
        <v>0</v>
      </c>
      <c r="K1198">
        <v>0</v>
      </c>
      <c r="L1198">
        <v>0</v>
      </c>
      <c r="M1198">
        <v>0</v>
      </c>
      <c r="N1198">
        <v>1</v>
      </c>
      <c r="O1198" t="str" cm="1">
        <f t="array" ref="O1198">_xlfn.IFS(Table1[[#This Row],[Divorced]]=1, "Divorced", Table1[[#This Row],[Married]]=1, "Married", Table1[[#This Row],[Single]]=1, "Single", Table1[[#This Row],[Together]]=1, "Together", Table1[[#This Row],[Widow]]=1, "Widow")</f>
        <v>Single</v>
      </c>
      <c r="P1198" t="str" cm="1">
        <f t="array" ref="P1198">_xlfn.IFS(Table1[[#This Row],[Basic]]=1, "Basic", Table1[[#This Row],[Graduate]]=1, "Graduate", Table1[[#This Row],[Master]]=1, "Master", Table1[[#This Row],[PhD]]=1, "PhD", AND(Table1[[#This Row],[Basic]]=0, Table1[[#This Row],[Graduate]]=0, Table1[[#This Row],[Master]]=0, Table1[[#This Row],[PhD]]=0), "NA")</f>
        <v>PhD</v>
      </c>
      <c r="Q1198" t="e">
        <f>_xlfn.XLOOKUP(Table1[[#This Row],[ID]], Table2[ID],#REF!, "Not Found", 0)</f>
        <v>#REF!</v>
      </c>
      <c r="R1198" t="e">
        <f>_xlfn.XLOOKUP(Table1[[#This Row],[ID]], Table2[ID],#REF!, "Not Found", 0)</f>
        <v>#REF!</v>
      </c>
      <c r="S1198" s="3" t="str">
        <f>_xlfn.XLOOKUP(Table1[[#This Row],[ID]], Table2[ID], Table2[Enrollment], "Not Found", 0)</f>
        <v>9/16/2020</v>
      </c>
      <c r="T1198" t="s">
        <v>436</v>
      </c>
    </row>
    <row r="1199" spans="1:20" x14ac:dyDescent="0.3">
      <c r="A1199">
        <v>2355</v>
      </c>
      <c r="B1199">
        <v>148904</v>
      </c>
      <c r="C1199">
        <v>0</v>
      </c>
      <c r="D1199">
        <v>1</v>
      </c>
      <c r="E1199">
        <v>60</v>
      </c>
      <c r="F1199">
        <v>0</v>
      </c>
      <c r="G1199">
        <v>0</v>
      </c>
      <c r="H1199">
        <v>1</v>
      </c>
      <c r="I1199">
        <v>0</v>
      </c>
      <c r="J1199">
        <v>0</v>
      </c>
      <c r="K1199">
        <v>0</v>
      </c>
      <c r="L1199">
        <v>1</v>
      </c>
      <c r="M1199">
        <v>0</v>
      </c>
      <c r="N1199">
        <v>0</v>
      </c>
      <c r="O1199" t="str" cm="1">
        <f t="array" ref="O1199">_xlfn.IFS(Table1[[#This Row],[Divorced]]=1, "Divorced", Table1[[#This Row],[Married]]=1, "Married", Table1[[#This Row],[Single]]=1, "Single", Table1[[#This Row],[Together]]=1, "Together", Table1[[#This Row],[Widow]]=1, "Widow")</f>
        <v>Single</v>
      </c>
      <c r="P1199" t="str" cm="1">
        <f t="array" ref="P1199">_xlfn.IFS(Table1[[#This Row],[Basic]]=1, "Basic", Table1[[#This Row],[Graduate]]=1, "Graduate", Table1[[#This Row],[Master]]=1, "Master", Table1[[#This Row],[PhD]]=1, "PhD", AND(Table1[[#This Row],[Basic]]=0, Table1[[#This Row],[Graduate]]=0, Table1[[#This Row],[Master]]=0, Table1[[#This Row],[PhD]]=0), "NA")</f>
        <v>Graduate</v>
      </c>
      <c r="Q1199" t="e">
        <f>_xlfn.XLOOKUP(Table1[[#This Row],[ID]], Table2[ID],#REF!, "Not Found", 0)</f>
        <v>#REF!</v>
      </c>
      <c r="R1199" t="e">
        <f>_xlfn.XLOOKUP(Table1[[#This Row],[ID]], Table2[ID],#REF!, "Not Found", 0)</f>
        <v>#REF!</v>
      </c>
      <c r="S1199" s="3">
        <f>_xlfn.XLOOKUP(Table1[[#This Row],[ID]], Table2[ID], Table2[Enrollment], "Not Found", 0)</f>
        <v>43713</v>
      </c>
      <c r="T1199" t="s">
        <v>435</v>
      </c>
    </row>
    <row r="1200" spans="1:20" x14ac:dyDescent="0.3">
      <c r="A1200">
        <v>2939</v>
      </c>
      <c r="B1200">
        <v>148877</v>
      </c>
      <c r="C1200">
        <v>0</v>
      </c>
      <c r="D1200">
        <v>1</v>
      </c>
      <c r="E1200">
        <v>54</v>
      </c>
      <c r="F1200">
        <v>1</v>
      </c>
      <c r="G1200">
        <v>0</v>
      </c>
      <c r="H1200">
        <v>0</v>
      </c>
      <c r="I1200">
        <v>0</v>
      </c>
      <c r="J1200">
        <v>0</v>
      </c>
      <c r="K1200">
        <v>0</v>
      </c>
      <c r="L1200">
        <v>1</v>
      </c>
      <c r="M1200">
        <v>0</v>
      </c>
      <c r="N1200">
        <v>0</v>
      </c>
      <c r="O1200" t="str" cm="1">
        <f t="array" ref="O1200">_xlfn.IFS(Table1[[#This Row],[Divorced]]=1, "Divorced", Table1[[#This Row],[Married]]=1, "Married", Table1[[#This Row],[Single]]=1, "Single", Table1[[#This Row],[Together]]=1, "Together", Table1[[#This Row],[Widow]]=1, "Widow")</f>
        <v>Divorced</v>
      </c>
      <c r="P1200" t="str" cm="1">
        <f t="array" ref="P1200">_xlfn.IFS(Table1[[#This Row],[Basic]]=1, "Basic", Table1[[#This Row],[Graduate]]=1, "Graduate", Table1[[#This Row],[Master]]=1, "Master", Table1[[#This Row],[PhD]]=1, "PhD", AND(Table1[[#This Row],[Basic]]=0, Table1[[#This Row],[Graduate]]=0, Table1[[#This Row],[Master]]=0, Table1[[#This Row],[PhD]]=0), "NA")</f>
        <v>Graduate</v>
      </c>
      <c r="Q1200" t="e">
        <f>_xlfn.XLOOKUP(Table1[[#This Row],[ID]], Table2[ID],#REF!, "Not Found", 0)</f>
        <v>#REF!</v>
      </c>
      <c r="R1200" t="e">
        <f>_xlfn.XLOOKUP(Table1[[#This Row],[ID]], Table2[ID],#REF!, "Not Found", 0)</f>
        <v>#REF!</v>
      </c>
      <c r="S1200" s="3">
        <f>_xlfn.XLOOKUP(Table1[[#This Row],[ID]], Table2[ID], Table2[Enrollment], "Not Found", 0)</f>
        <v>44141</v>
      </c>
      <c r="T1200" t="s">
        <v>434</v>
      </c>
    </row>
    <row r="1201" spans="1:20" x14ac:dyDescent="0.3">
      <c r="A1201">
        <v>1548</v>
      </c>
      <c r="B1201">
        <v>148799</v>
      </c>
      <c r="C1201">
        <v>0</v>
      </c>
      <c r="D1201">
        <v>1</v>
      </c>
      <c r="E1201">
        <v>57</v>
      </c>
      <c r="F1201">
        <v>1</v>
      </c>
      <c r="G1201">
        <v>0</v>
      </c>
      <c r="H1201">
        <v>0</v>
      </c>
      <c r="I1201">
        <v>0</v>
      </c>
      <c r="J1201">
        <v>0</v>
      </c>
      <c r="K1201">
        <v>0</v>
      </c>
      <c r="L1201">
        <v>0</v>
      </c>
      <c r="M1201">
        <v>0</v>
      </c>
      <c r="N1201">
        <v>1</v>
      </c>
      <c r="O1201" t="str" cm="1">
        <f t="array" ref="O1201">_xlfn.IFS(Table1[[#This Row],[Divorced]]=1, "Divorced", Table1[[#This Row],[Married]]=1, "Married", Table1[[#This Row],[Single]]=1, "Single", Table1[[#This Row],[Together]]=1, "Together", Table1[[#This Row],[Widow]]=1, "Widow")</f>
        <v>Divorced</v>
      </c>
      <c r="P1201" t="str" cm="1">
        <f t="array" ref="P1201">_xlfn.IFS(Table1[[#This Row],[Basic]]=1, "Basic", Table1[[#This Row],[Graduate]]=1, "Graduate", Table1[[#This Row],[Master]]=1, "Master", Table1[[#This Row],[PhD]]=1, "PhD", AND(Table1[[#This Row],[Basic]]=0, Table1[[#This Row],[Graduate]]=0, Table1[[#This Row],[Master]]=0, Table1[[#This Row],[PhD]]=0), "NA")</f>
        <v>PhD</v>
      </c>
      <c r="Q1201" t="e">
        <f>_xlfn.XLOOKUP(Table1[[#This Row],[ID]], Table2[ID],#REF!, "Not Found", 0)</f>
        <v>#REF!</v>
      </c>
      <c r="R1201" t="e">
        <f>_xlfn.XLOOKUP(Table1[[#This Row],[ID]], Table2[ID],#REF!, "Not Found", 0)</f>
        <v>#REF!</v>
      </c>
      <c r="S1201" s="3">
        <f>_xlfn.XLOOKUP(Table1[[#This Row],[ID]], Table2[ID], Table2[Enrollment], "Not Found", 0)</f>
        <v>44139</v>
      </c>
      <c r="T1201" t="s">
        <v>436</v>
      </c>
    </row>
    <row r="1202" spans="1:20" x14ac:dyDescent="0.3">
      <c r="A1202">
        <v>3029</v>
      </c>
      <c r="B1202">
        <v>148794</v>
      </c>
      <c r="C1202">
        <v>1</v>
      </c>
      <c r="D1202">
        <v>1</v>
      </c>
      <c r="E1202">
        <v>67</v>
      </c>
      <c r="F1202">
        <v>0</v>
      </c>
      <c r="G1202">
        <v>0</v>
      </c>
      <c r="H1202">
        <v>0</v>
      </c>
      <c r="I1202">
        <v>1</v>
      </c>
      <c r="J1202">
        <v>0</v>
      </c>
      <c r="K1202">
        <v>0</v>
      </c>
      <c r="L1202">
        <v>1</v>
      </c>
      <c r="M1202">
        <v>0</v>
      </c>
      <c r="N1202">
        <v>0</v>
      </c>
      <c r="O1202" t="str" cm="1">
        <f t="array" ref="O1202">_xlfn.IFS(Table1[[#This Row],[Divorced]]=1, "Divorced", Table1[[#This Row],[Married]]=1, "Married", Table1[[#This Row],[Single]]=1, "Single", Table1[[#This Row],[Together]]=1, "Together", Table1[[#This Row],[Widow]]=1, "Widow")</f>
        <v>Together</v>
      </c>
      <c r="P1202" t="str" cm="1">
        <f t="array" ref="P1202">_xlfn.IFS(Table1[[#This Row],[Basic]]=1, "Basic", Table1[[#This Row],[Graduate]]=1, "Graduate", Table1[[#This Row],[Master]]=1, "Master", Table1[[#This Row],[PhD]]=1, "PhD", AND(Table1[[#This Row],[Basic]]=0, Table1[[#This Row],[Graduate]]=0, Table1[[#This Row],[Master]]=0, Table1[[#This Row],[PhD]]=0), "NA")</f>
        <v>Graduate</v>
      </c>
      <c r="Q1202" t="e">
        <f>_xlfn.XLOOKUP(Table1[[#This Row],[ID]], Table2[ID],#REF!, "Not Found", 0)</f>
        <v>#REF!</v>
      </c>
      <c r="R1202" t="e">
        <f>_xlfn.XLOOKUP(Table1[[#This Row],[ID]], Table2[ID],#REF!, "Not Found", 0)</f>
        <v>#REF!</v>
      </c>
      <c r="S1202" s="3" t="str">
        <f>_xlfn.XLOOKUP(Table1[[#This Row],[ID]], Table2[ID], Table2[Enrollment], "Not Found", 0)</f>
        <v>11/30/2020</v>
      </c>
      <c r="T1202" t="s">
        <v>434</v>
      </c>
    </row>
    <row r="1203" spans="1:20" x14ac:dyDescent="0.3">
      <c r="A1203">
        <v>1812</v>
      </c>
      <c r="B1203">
        <v>148789</v>
      </c>
      <c r="C1203">
        <v>0</v>
      </c>
      <c r="D1203">
        <v>0</v>
      </c>
      <c r="E1203">
        <v>28</v>
      </c>
      <c r="F1203">
        <v>0</v>
      </c>
      <c r="G1203">
        <v>0</v>
      </c>
      <c r="H1203">
        <v>1</v>
      </c>
      <c r="I1203">
        <v>0</v>
      </c>
      <c r="J1203">
        <v>0</v>
      </c>
      <c r="K1203">
        <v>0</v>
      </c>
      <c r="L1203">
        <v>1</v>
      </c>
      <c r="M1203">
        <v>0</v>
      </c>
      <c r="N1203">
        <v>0</v>
      </c>
      <c r="O1203" t="str" cm="1">
        <f t="array" ref="O1203">_xlfn.IFS(Table1[[#This Row],[Divorced]]=1, "Divorced", Table1[[#This Row],[Married]]=1, "Married", Table1[[#This Row],[Single]]=1, "Single", Table1[[#This Row],[Together]]=1, "Together", Table1[[#This Row],[Widow]]=1, "Widow")</f>
        <v>Single</v>
      </c>
      <c r="P1203" t="str" cm="1">
        <f t="array" ref="P1203">_xlfn.IFS(Table1[[#This Row],[Basic]]=1, "Basic", Table1[[#This Row],[Graduate]]=1, "Graduate", Table1[[#This Row],[Master]]=1, "Master", Table1[[#This Row],[PhD]]=1, "PhD", AND(Table1[[#This Row],[Basic]]=0, Table1[[#This Row],[Graduate]]=0, Table1[[#This Row],[Master]]=0, Table1[[#This Row],[PhD]]=0), "NA")</f>
        <v>Graduate</v>
      </c>
      <c r="Q1203" t="e">
        <f>_xlfn.XLOOKUP(Table1[[#This Row],[ID]], Table2[ID],#REF!, "Not Found", 0)</f>
        <v>#REF!</v>
      </c>
      <c r="R1203" t="e">
        <f>_xlfn.XLOOKUP(Table1[[#This Row],[ID]], Table2[ID],#REF!, "Not Found", 0)</f>
        <v>#REF!</v>
      </c>
      <c r="S1203" s="3" t="str">
        <f>_xlfn.XLOOKUP(Table1[[#This Row],[ID]], Table2[ID], Table2[Enrollment], "Not Found", 0)</f>
        <v>2/15/2019</v>
      </c>
      <c r="T1203" t="s">
        <v>436</v>
      </c>
    </row>
    <row r="1204" spans="1:20" x14ac:dyDescent="0.3">
      <c r="A1204">
        <v>1723</v>
      </c>
      <c r="B1204">
        <v>148767</v>
      </c>
      <c r="C1204">
        <v>1</v>
      </c>
      <c r="D1204">
        <v>2</v>
      </c>
      <c r="E1204">
        <v>70</v>
      </c>
      <c r="F1204">
        <v>0</v>
      </c>
      <c r="G1204">
        <v>0</v>
      </c>
      <c r="H1204">
        <v>1</v>
      </c>
      <c r="I1204">
        <v>0</v>
      </c>
      <c r="J1204">
        <v>0</v>
      </c>
      <c r="K1204">
        <v>0</v>
      </c>
      <c r="L1204">
        <v>0</v>
      </c>
      <c r="M1204">
        <v>0</v>
      </c>
      <c r="N1204">
        <v>1</v>
      </c>
      <c r="O1204" t="str" cm="1">
        <f t="array" ref="O1204">_xlfn.IFS(Table1[[#This Row],[Divorced]]=1, "Divorced", Table1[[#This Row],[Married]]=1, "Married", Table1[[#This Row],[Single]]=1, "Single", Table1[[#This Row],[Together]]=1, "Together", Table1[[#This Row],[Widow]]=1, "Widow")</f>
        <v>Single</v>
      </c>
      <c r="P1204" t="str" cm="1">
        <f t="array" ref="P1204">_xlfn.IFS(Table1[[#This Row],[Basic]]=1, "Basic", Table1[[#This Row],[Graduate]]=1, "Graduate", Table1[[#This Row],[Master]]=1, "Master", Table1[[#This Row],[PhD]]=1, "PhD", AND(Table1[[#This Row],[Basic]]=0, Table1[[#This Row],[Graduate]]=0, Table1[[#This Row],[Master]]=0, Table1[[#This Row],[PhD]]=0), "NA")</f>
        <v>PhD</v>
      </c>
      <c r="Q1204" t="e">
        <f>_xlfn.XLOOKUP(Table1[[#This Row],[ID]], Table2[ID],#REF!, "Not Found", 0)</f>
        <v>#REF!</v>
      </c>
      <c r="R1204" t="e">
        <f>_xlfn.XLOOKUP(Table1[[#This Row],[ID]], Table2[ID],#REF!, "Not Found", 0)</f>
        <v>#REF!</v>
      </c>
      <c r="S1204" s="3">
        <f>_xlfn.XLOOKUP(Table1[[#This Row],[ID]], Table2[ID], Table2[Enrollment], "Not Found", 0)</f>
        <v>44018</v>
      </c>
      <c r="T1204" t="s">
        <v>437</v>
      </c>
    </row>
    <row r="1205" spans="1:20" x14ac:dyDescent="0.3">
      <c r="A1205">
        <v>2311</v>
      </c>
      <c r="B1205">
        <v>148752</v>
      </c>
      <c r="C1205">
        <v>1</v>
      </c>
      <c r="D1205">
        <v>1</v>
      </c>
      <c r="E1205">
        <v>51</v>
      </c>
      <c r="F1205">
        <v>0</v>
      </c>
      <c r="G1205">
        <v>1</v>
      </c>
      <c r="H1205">
        <v>0</v>
      </c>
      <c r="I1205">
        <v>0</v>
      </c>
      <c r="J1205">
        <v>0</v>
      </c>
      <c r="K1205">
        <v>0</v>
      </c>
      <c r="L1205">
        <v>1</v>
      </c>
      <c r="M1205">
        <v>0</v>
      </c>
      <c r="N1205">
        <v>0</v>
      </c>
      <c r="O1205" t="str" cm="1">
        <f t="array" ref="O1205">_xlfn.IFS(Table1[[#This Row],[Divorced]]=1, "Divorced", Table1[[#This Row],[Married]]=1, "Married", Table1[[#This Row],[Single]]=1, "Single", Table1[[#This Row],[Together]]=1, "Together", Table1[[#This Row],[Widow]]=1, "Widow")</f>
        <v>Married</v>
      </c>
      <c r="P1205" t="str" cm="1">
        <f t="array" ref="P1205">_xlfn.IFS(Table1[[#This Row],[Basic]]=1, "Basic", Table1[[#This Row],[Graduate]]=1, "Graduate", Table1[[#This Row],[Master]]=1, "Master", Table1[[#This Row],[PhD]]=1, "PhD", AND(Table1[[#This Row],[Basic]]=0, Table1[[#This Row],[Graduate]]=0, Table1[[#This Row],[Master]]=0, Table1[[#This Row],[PhD]]=0), "NA")</f>
        <v>Graduate</v>
      </c>
      <c r="Q1205" t="e">
        <f>_xlfn.XLOOKUP(Table1[[#This Row],[ID]], Table2[ID],#REF!, "Not Found", 0)</f>
        <v>#REF!</v>
      </c>
      <c r="R1205" t="e">
        <f>_xlfn.XLOOKUP(Table1[[#This Row],[ID]], Table2[ID],#REF!, "Not Found", 0)</f>
        <v>#REF!</v>
      </c>
      <c r="S1205" s="3" t="str">
        <f>_xlfn.XLOOKUP(Table1[[#This Row],[ID]], Table2[ID], Table2[Enrollment], "Not Found", 0)</f>
        <v>5/19/2019</v>
      </c>
      <c r="T1205" t="s">
        <v>437</v>
      </c>
    </row>
    <row r="1206" spans="1:20" x14ac:dyDescent="0.3">
      <c r="A1206">
        <v>1746</v>
      </c>
      <c r="B1206">
        <v>148726</v>
      </c>
      <c r="C1206">
        <v>0</v>
      </c>
      <c r="D1206">
        <v>1</v>
      </c>
      <c r="E1206">
        <v>65</v>
      </c>
      <c r="F1206">
        <v>0</v>
      </c>
      <c r="G1206">
        <v>1</v>
      </c>
      <c r="H1206">
        <v>0</v>
      </c>
      <c r="I1206">
        <v>0</v>
      </c>
      <c r="J1206">
        <v>0</v>
      </c>
      <c r="K1206">
        <v>0</v>
      </c>
      <c r="L1206">
        <v>1</v>
      </c>
      <c r="M1206">
        <v>0</v>
      </c>
      <c r="N1206">
        <v>0</v>
      </c>
      <c r="O1206" t="str" cm="1">
        <f t="array" ref="O1206">_xlfn.IFS(Table1[[#This Row],[Divorced]]=1, "Divorced", Table1[[#This Row],[Married]]=1, "Married", Table1[[#This Row],[Single]]=1, "Single", Table1[[#This Row],[Together]]=1, "Together", Table1[[#This Row],[Widow]]=1, "Widow")</f>
        <v>Married</v>
      </c>
      <c r="P1206" t="str" cm="1">
        <f t="array" ref="P1206">_xlfn.IFS(Table1[[#This Row],[Basic]]=1, "Basic", Table1[[#This Row],[Graduate]]=1, "Graduate", Table1[[#This Row],[Master]]=1, "Master", Table1[[#This Row],[PhD]]=1, "PhD", AND(Table1[[#This Row],[Basic]]=0, Table1[[#This Row],[Graduate]]=0, Table1[[#This Row],[Master]]=0, Table1[[#This Row],[PhD]]=0), "NA")</f>
        <v>Graduate</v>
      </c>
      <c r="Q1206" t="e">
        <f>_xlfn.XLOOKUP(Table1[[#This Row],[ID]], Table2[ID],#REF!, "Not Found", 0)</f>
        <v>#REF!</v>
      </c>
      <c r="R1206" t="e">
        <f>_xlfn.XLOOKUP(Table1[[#This Row],[ID]], Table2[ID],#REF!, "Not Found", 0)</f>
        <v>#REF!</v>
      </c>
      <c r="S1206" s="3">
        <f>_xlfn.XLOOKUP(Table1[[#This Row],[ID]], Table2[ID], Table2[Enrollment], "Not Found", 0)</f>
        <v>43506</v>
      </c>
      <c r="T1206" t="s">
        <v>436</v>
      </c>
    </row>
    <row r="1207" spans="1:20" x14ac:dyDescent="0.3">
      <c r="A1207">
        <v>1195</v>
      </c>
      <c r="B1207">
        <v>148721</v>
      </c>
      <c r="C1207">
        <v>1</v>
      </c>
      <c r="D1207">
        <v>1</v>
      </c>
      <c r="E1207">
        <v>57</v>
      </c>
      <c r="F1207">
        <v>1</v>
      </c>
      <c r="G1207">
        <v>0</v>
      </c>
      <c r="H1207">
        <v>0</v>
      </c>
      <c r="I1207">
        <v>0</v>
      </c>
      <c r="J1207">
        <v>0</v>
      </c>
      <c r="K1207">
        <v>0</v>
      </c>
      <c r="L1207">
        <v>0</v>
      </c>
      <c r="M1207">
        <v>1</v>
      </c>
      <c r="N1207">
        <v>0</v>
      </c>
      <c r="O1207" t="str" cm="1">
        <f t="array" ref="O1207">_xlfn.IFS(Table1[[#This Row],[Divorced]]=1, "Divorced", Table1[[#This Row],[Married]]=1, "Married", Table1[[#This Row],[Single]]=1, "Single", Table1[[#This Row],[Together]]=1, "Together", Table1[[#This Row],[Widow]]=1, "Widow")</f>
        <v>Divorced</v>
      </c>
      <c r="P1207" t="str" cm="1">
        <f t="array" ref="P1207">_xlfn.IFS(Table1[[#This Row],[Basic]]=1, "Basic", Table1[[#This Row],[Graduate]]=1, "Graduate", Table1[[#This Row],[Master]]=1, "Master", Table1[[#This Row],[PhD]]=1, "PhD", AND(Table1[[#This Row],[Basic]]=0, Table1[[#This Row],[Graduate]]=0, Table1[[#This Row],[Master]]=0, Table1[[#This Row],[PhD]]=0), "NA")</f>
        <v>Master</v>
      </c>
      <c r="Q1207" t="e">
        <f>_xlfn.XLOOKUP(Table1[[#This Row],[ID]], Table2[ID],#REF!, "Not Found", 0)</f>
        <v>#REF!</v>
      </c>
      <c r="R1207" t="e">
        <f>_xlfn.XLOOKUP(Table1[[#This Row],[ID]], Table2[ID],#REF!, "Not Found", 0)</f>
        <v>#REF!</v>
      </c>
      <c r="S1207" s="3" t="str">
        <f>_xlfn.XLOOKUP(Table1[[#This Row],[ID]], Table2[ID], Table2[Enrollment], "Not Found", 0)</f>
        <v>10/18/2019</v>
      </c>
      <c r="T1207" t="s">
        <v>437</v>
      </c>
    </row>
    <row r="1208" spans="1:20" x14ac:dyDescent="0.3">
      <c r="A1208">
        <v>3064</v>
      </c>
      <c r="B1208">
        <v>148699</v>
      </c>
      <c r="C1208">
        <v>1</v>
      </c>
      <c r="D1208">
        <v>1</v>
      </c>
      <c r="E1208">
        <v>70</v>
      </c>
      <c r="F1208">
        <v>0</v>
      </c>
      <c r="G1208">
        <v>1</v>
      </c>
      <c r="H1208">
        <v>0</v>
      </c>
      <c r="I1208">
        <v>0</v>
      </c>
      <c r="J1208">
        <v>0</v>
      </c>
      <c r="K1208">
        <v>0</v>
      </c>
      <c r="L1208">
        <v>0</v>
      </c>
      <c r="M1208">
        <v>0</v>
      </c>
      <c r="N1208">
        <v>1</v>
      </c>
      <c r="O1208" t="str" cm="1">
        <f t="array" ref="O1208">_xlfn.IFS(Table1[[#This Row],[Divorced]]=1, "Divorced", Table1[[#This Row],[Married]]=1, "Married", Table1[[#This Row],[Single]]=1, "Single", Table1[[#This Row],[Together]]=1, "Together", Table1[[#This Row],[Widow]]=1, "Widow")</f>
        <v>Married</v>
      </c>
      <c r="P1208" t="str" cm="1">
        <f t="array" ref="P1208">_xlfn.IFS(Table1[[#This Row],[Basic]]=1, "Basic", Table1[[#This Row],[Graduate]]=1, "Graduate", Table1[[#This Row],[Master]]=1, "Master", Table1[[#This Row],[PhD]]=1, "PhD", AND(Table1[[#This Row],[Basic]]=0, Table1[[#This Row],[Graduate]]=0, Table1[[#This Row],[Master]]=0, Table1[[#This Row],[PhD]]=0), "NA")</f>
        <v>PhD</v>
      </c>
      <c r="Q1208" t="e">
        <f>_xlfn.XLOOKUP(Table1[[#This Row],[ID]], Table2[ID],#REF!, "Not Found", 0)</f>
        <v>#REF!</v>
      </c>
      <c r="R1208" t="e">
        <f>_xlfn.XLOOKUP(Table1[[#This Row],[ID]], Table2[ID],#REF!, "Not Found", 0)</f>
        <v>#REF!</v>
      </c>
      <c r="S1208" s="3" t="str">
        <f>_xlfn.XLOOKUP(Table1[[#This Row],[ID]], Table2[ID], Table2[Enrollment], "Not Found", 0)</f>
        <v>10/26/2019</v>
      </c>
      <c r="T1208" t="s">
        <v>439</v>
      </c>
    </row>
    <row r="1209" spans="1:20" x14ac:dyDescent="0.3">
      <c r="A1209">
        <v>1409</v>
      </c>
      <c r="B1209">
        <v>148686</v>
      </c>
      <c r="C1209">
        <v>1</v>
      </c>
      <c r="D1209">
        <v>2</v>
      </c>
      <c r="E1209">
        <v>67</v>
      </c>
      <c r="F1209">
        <v>0</v>
      </c>
      <c r="G1209">
        <v>1</v>
      </c>
      <c r="H1209">
        <v>0</v>
      </c>
      <c r="I1209">
        <v>0</v>
      </c>
      <c r="J1209">
        <v>0</v>
      </c>
      <c r="K1209">
        <v>0</v>
      </c>
      <c r="L1209">
        <v>1</v>
      </c>
      <c r="M1209">
        <v>0</v>
      </c>
      <c r="N1209">
        <v>0</v>
      </c>
      <c r="O1209" t="str" cm="1">
        <f t="array" ref="O1209">_xlfn.IFS(Table1[[#This Row],[Divorced]]=1, "Divorced", Table1[[#This Row],[Married]]=1, "Married", Table1[[#This Row],[Single]]=1, "Single", Table1[[#This Row],[Together]]=1, "Together", Table1[[#This Row],[Widow]]=1, "Widow")</f>
        <v>Married</v>
      </c>
      <c r="P1209" t="str" cm="1">
        <f t="array" ref="P1209">_xlfn.IFS(Table1[[#This Row],[Basic]]=1, "Basic", Table1[[#This Row],[Graduate]]=1, "Graduate", Table1[[#This Row],[Master]]=1, "Master", Table1[[#This Row],[PhD]]=1, "PhD", AND(Table1[[#This Row],[Basic]]=0, Table1[[#This Row],[Graduate]]=0, Table1[[#This Row],[Master]]=0, Table1[[#This Row],[PhD]]=0), "NA")</f>
        <v>Graduate</v>
      </c>
      <c r="Q1209" t="e">
        <f>_xlfn.XLOOKUP(Table1[[#This Row],[ID]], Table2[ID],#REF!, "Not Found", 0)</f>
        <v>#REF!</v>
      </c>
      <c r="R1209" t="e">
        <f>_xlfn.XLOOKUP(Table1[[#This Row],[ID]], Table2[ID],#REF!, "Not Found", 0)</f>
        <v>#REF!</v>
      </c>
      <c r="S1209" s="3">
        <f>_xlfn.XLOOKUP(Table1[[#This Row],[ID]], Table2[ID], Table2[Enrollment], "Not Found", 0)</f>
        <v>44109</v>
      </c>
      <c r="T1209" t="s">
        <v>434</v>
      </c>
    </row>
    <row r="1210" spans="1:20" x14ac:dyDescent="0.3">
      <c r="A1210">
        <v>2104</v>
      </c>
      <c r="B1210">
        <v>148526</v>
      </c>
      <c r="C1210">
        <v>1</v>
      </c>
      <c r="D1210">
        <v>0</v>
      </c>
      <c r="E1210">
        <v>41</v>
      </c>
      <c r="F1210">
        <v>0</v>
      </c>
      <c r="G1210">
        <v>0</v>
      </c>
      <c r="H1210">
        <v>1</v>
      </c>
      <c r="I1210">
        <v>0</v>
      </c>
      <c r="J1210">
        <v>0</v>
      </c>
      <c r="K1210">
        <v>0</v>
      </c>
      <c r="L1210">
        <v>1</v>
      </c>
      <c r="M1210">
        <v>0</v>
      </c>
      <c r="N1210">
        <v>0</v>
      </c>
      <c r="O1210" t="str" cm="1">
        <f t="array" ref="O1210">_xlfn.IFS(Table1[[#This Row],[Divorced]]=1, "Divorced", Table1[[#This Row],[Married]]=1, "Married", Table1[[#This Row],[Single]]=1, "Single", Table1[[#This Row],[Together]]=1, "Together", Table1[[#This Row],[Widow]]=1, "Widow")</f>
        <v>Single</v>
      </c>
      <c r="P1210" t="str" cm="1">
        <f t="array" ref="P1210">_xlfn.IFS(Table1[[#This Row],[Basic]]=1, "Basic", Table1[[#This Row],[Graduate]]=1, "Graduate", Table1[[#This Row],[Master]]=1, "Master", Table1[[#This Row],[PhD]]=1, "PhD", AND(Table1[[#This Row],[Basic]]=0, Table1[[#This Row],[Graduate]]=0, Table1[[#This Row],[Master]]=0, Table1[[#This Row],[PhD]]=0), "NA")</f>
        <v>Graduate</v>
      </c>
      <c r="Q1210" t="e">
        <f>_xlfn.XLOOKUP(Table1[[#This Row],[ID]], Table2[ID],#REF!, "Not Found", 0)</f>
        <v>#REF!</v>
      </c>
      <c r="R1210" t="e">
        <f>_xlfn.XLOOKUP(Table1[[#This Row],[ID]], Table2[ID],#REF!, "Not Found", 0)</f>
        <v>#REF!</v>
      </c>
      <c r="S1210" s="3" t="str">
        <f>_xlfn.XLOOKUP(Table1[[#This Row],[ID]], Table2[ID], Table2[Enrollment], "Not Found", 0)</f>
        <v>5/30/2020</v>
      </c>
      <c r="T1210" t="s">
        <v>439</v>
      </c>
    </row>
    <row r="1211" spans="1:20" x14ac:dyDescent="0.3">
      <c r="A1211">
        <v>2571</v>
      </c>
      <c r="B1211">
        <v>148432</v>
      </c>
      <c r="C1211">
        <v>0</v>
      </c>
      <c r="D1211">
        <v>1</v>
      </c>
      <c r="E1211">
        <v>47</v>
      </c>
      <c r="F1211">
        <v>0</v>
      </c>
      <c r="G1211">
        <v>0</v>
      </c>
      <c r="H1211">
        <v>1</v>
      </c>
      <c r="I1211">
        <v>0</v>
      </c>
      <c r="J1211">
        <v>0</v>
      </c>
      <c r="K1211">
        <v>0</v>
      </c>
      <c r="L1211">
        <v>0</v>
      </c>
      <c r="M1211">
        <v>0</v>
      </c>
      <c r="N1211">
        <v>1</v>
      </c>
      <c r="O1211" t="str" cm="1">
        <f t="array" ref="O1211">_xlfn.IFS(Table1[[#This Row],[Divorced]]=1, "Divorced", Table1[[#This Row],[Married]]=1, "Married", Table1[[#This Row],[Single]]=1, "Single", Table1[[#This Row],[Together]]=1, "Together", Table1[[#This Row],[Widow]]=1, "Widow")</f>
        <v>Single</v>
      </c>
      <c r="P1211" t="str" cm="1">
        <f t="array" ref="P1211">_xlfn.IFS(Table1[[#This Row],[Basic]]=1, "Basic", Table1[[#This Row],[Graduate]]=1, "Graduate", Table1[[#This Row],[Master]]=1, "Master", Table1[[#This Row],[PhD]]=1, "PhD", AND(Table1[[#This Row],[Basic]]=0, Table1[[#This Row],[Graduate]]=0, Table1[[#This Row],[Master]]=0, Table1[[#This Row],[PhD]]=0), "NA")</f>
        <v>PhD</v>
      </c>
      <c r="Q1211" t="e">
        <f>_xlfn.XLOOKUP(Table1[[#This Row],[ID]], Table2[ID],#REF!, "Not Found", 0)</f>
        <v>#REF!</v>
      </c>
      <c r="R1211" t="e">
        <f>_xlfn.XLOOKUP(Table1[[#This Row],[ID]], Table2[ID],#REF!, "Not Found", 0)</f>
        <v>#REF!</v>
      </c>
      <c r="S1211" s="3" t="str">
        <f>_xlfn.XLOOKUP(Table1[[#This Row],[ID]], Table2[ID], Table2[Enrollment], "Not Found", 0)</f>
        <v>3/25/2019</v>
      </c>
      <c r="T1211" t="s">
        <v>435</v>
      </c>
    </row>
    <row r="1212" spans="1:20" x14ac:dyDescent="0.3">
      <c r="A1212">
        <v>3145</v>
      </c>
      <c r="B1212">
        <v>148432</v>
      </c>
      <c r="C1212">
        <v>0</v>
      </c>
      <c r="D1212">
        <v>1</v>
      </c>
      <c r="E1212">
        <v>47</v>
      </c>
      <c r="F1212">
        <v>0</v>
      </c>
      <c r="G1212">
        <v>0</v>
      </c>
      <c r="H1212">
        <v>1</v>
      </c>
      <c r="I1212">
        <v>0</v>
      </c>
      <c r="J1212">
        <v>0</v>
      </c>
      <c r="K1212">
        <v>0</v>
      </c>
      <c r="L1212">
        <v>0</v>
      </c>
      <c r="M1212">
        <v>0</v>
      </c>
      <c r="N1212">
        <v>1</v>
      </c>
      <c r="O1212" t="str" cm="1">
        <f t="array" ref="O1212">_xlfn.IFS(Table1[[#This Row],[Divorced]]=1, "Divorced", Table1[[#This Row],[Married]]=1, "Married", Table1[[#This Row],[Single]]=1, "Single", Table1[[#This Row],[Together]]=1, "Together", Table1[[#This Row],[Widow]]=1, "Widow")</f>
        <v>Single</v>
      </c>
      <c r="P1212" t="str" cm="1">
        <f t="array" ref="P1212">_xlfn.IFS(Table1[[#This Row],[Basic]]=1, "Basic", Table1[[#This Row],[Graduate]]=1, "Graduate", Table1[[#This Row],[Master]]=1, "Master", Table1[[#This Row],[PhD]]=1, "PhD", AND(Table1[[#This Row],[Basic]]=0, Table1[[#This Row],[Graduate]]=0, Table1[[#This Row],[Master]]=0, Table1[[#This Row],[PhD]]=0), "NA")</f>
        <v>PhD</v>
      </c>
      <c r="Q1212" t="e">
        <f>_xlfn.XLOOKUP(Table1[[#This Row],[ID]], Table2[ID],#REF!, "Not Found", 0)</f>
        <v>#REF!</v>
      </c>
      <c r="R1212" t="e">
        <f>_xlfn.XLOOKUP(Table1[[#This Row],[ID]], Table2[ID],#REF!, "Not Found", 0)</f>
        <v>#REF!</v>
      </c>
      <c r="S1212" s="3" t="str">
        <f>_xlfn.XLOOKUP(Table1[[#This Row],[ID]], Table2[ID], Table2[Enrollment], "Not Found", 0)</f>
        <v>3/25/2019</v>
      </c>
      <c r="T1212" t="s">
        <v>437</v>
      </c>
    </row>
    <row r="1213" spans="1:20" x14ac:dyDescent="0.3">
      <c r="A1213">
        <v>3170</v>
      </c>
      <c r="B1213">
        <v>148432</v>
      </c>
      <c r="C1213">
        <v>0</v>
      </c>
      <c r="D1213">
        <v>1</v>
      </c>
      <c r="E1213">
        <v>47</v>
      </c>
      <c r="F1213">
        <v>0</v>
      </c>
      <c r="G1213">
        <v>0</v>
      </c>
      <c r="H1213">
        <v>1</v>
      </c>
      <c r="I1213">
        <v>0</v>
      </c>
      <c r="J1213">
        <v>0</v>
      </c>
      <c r="K1213">
        <v>0</v>
      </c>
      <c r="L1213">
        <v>0</v>
      </c>
      <c r="M1213">
        <v>0</v>
      </c>
      <c r="N1213">
        <v>1</v>
      </c>
      <c r="O1213" t="str" cm="1">
        <f t="array" ref="O1213">_xlfn.IFS(Table1[[#This Row],[Divorced]]=1, "Divorced", Table1[[#This Row],[Married]]=1, "Married", Table1[[#This Row],[Single]]=1, "Single", Table1[[#This Row],[Together]]=1, "Together", Table1[[#This Row],[Widow]]=1, "Widow")</f>
        <v>Single</v>
      </c>
      <c r="P1213" t="str" cm="1">
        <f t="array" ref="P1213">_xlfn.IFS(Table1[[#This Row],[Basic]]=1, "Basic", Table1[[#This Row],[Graduate]]=1, "Graduate", Table1[[#This Row],[Master]]=1, "Master", Table1[[#This Row],[PhD]]=1, "PhD", AND(Table1[[#This Row],[Basic]]=0, Table1[[#This Row],[Graduate]]=0, Table1[[#This Row],[Master]]=0, Table1[[#This Row],[PhD]]=0), "NA")</f>
        <v>PhD</v>
      </c>
      <c r="Q1213" t="e">
        <f>_xlfn.XLOOKUP(Table1[[#This Row],[ID]], Table2[ID],#REF!, "Not Found", 0)</f>
        <v>#REF!</v>
      </c>
      <c r="R1213" t="e">
        <f>_xlfn.XLOOKUP(Table1[[#This Row],[ID]], Table2[ID],#REF!, "Not Found", 0)</f>
        <v>#REF!</v>
      </c>
      <c r="S1213" s="3" t="str">
        <f>_xlfn.XLOOKUP(Table1[[#This Row],[ID]], Table2[ID], Table2[Enrollment], "Not Found", 0)</f>
        <v>3/25/2019</v>
      </c>
      <c r="T1213" t="s">
        <v>438</v>
      </c>
    </row>
    <row r="1214" spans="1:20" x14ac:dyDescent="0.3">
      <c r="A1214">
        <v>1485</v>
      </c>
      <c r="B1214">
        <v>148330</v>
      </c>
      <c r="C1214">
        <v>0</v>
      </c>
      <c r="D1214">
        <v>1</v>
      </c>
      <c r="E1214">
        <v>59</v>
      </c>
      <c r="F1214">
        <v>0</v>
      </c>
      <c r="G1214">
        <v>0</v>
      </c>
      <c r="H1214">
        <v>0</v>
      </c>
      <c r="I1214">
        <v>1</v>
      </c>
      <c r="J1214">
        <v>0</v>
      </c>
      <c r="K1214">
        <v>0</v>
      </c>
      <c r="L1214">
        <v>0</v>
      </c>
      <c r="M1214">
        <v>1</v>
      </c>
      <c r="N1214">
        <v>0</v>
      </c>
      <c r="O1214" t="str" cm="1">
        <f t="array" ref="O1214">_xlfn.IFS(Table1[[#This Row],[Divorced]]=1, "Divorced", Table1[[#This Row],[Married]]=1, "Married", Table1[[#This Row],[Single]]=1, "Single", Table1[[#This Row],[Together]]=1, "Together", Table1[[#This Row],[Widow]]=1, "Widow")</f>
        <v>Together</v>
      </c>
      <c r="P1214" t="str" cm="1">
        <f t="array" ref="P1214">_xlfn.IFS(Table1[[#This Row],[Basic]]=1, "Basic", Table1[[#This Row],[Graduate]]=1, "Graduate", Table1[[#This Row],[Master]]=1, "Master", Table1[[#This Row],[PhD]]=1, "PhD", AND(Table1[[#This Row],[Basic]]=0, Table1[[#This Row],[Graduate]]=0, Table1[[#This Row],[Master]]=0, Table1[[#This Row],[PhD]]=0), "NA")</f>
        <v>Master</v>
      </c>
      <c r="Q1214" t="e">
        <f>_xlfn.XLOOKUP(Table1[[#This Row],[ID]], Table2[ID],#REF!, "Not Found", 0)</f>
        <v>#REF!</v>
      </c>
      <c r="R1214" t="e">
        <f>_xlfn.XLOOKUP(Table1[[#This Row],[ID]], Table2[ID],#REF!, "Not Found", 0)</f>
        <v>#REF!</v>
      </c>
      <c r="S1214" s="3" t="str">
        <f>_xlfn.XLOOKUP(Table1[[#This Row],[ID]], Table2[ID], Table2[Enrollment], "Not Found", 0)</f>
        <v>4/21/2020</v>
      </c>
      <c r="T1214" t="s">
        <v>435</v>
      </c>
    </row>
    <row r="1215" spans="1:20" x14ac:dyDescent="0.3">
      <c r="A1215">
        <v>1598</v>
      </c>
      <c r="B1215">
        <v>148240</v>
      </c>
      <c r="C1215">
        <v>0</v>
      </c>
      <c r="D1215">
        <v>0</v>
      </c>
      <c r="E1215">
        <v>51</v>
      </c>
      <c r="F1215">
        <v>0</v>
      </c>
      <c r="G1215">
        <v>0</v>
      </c>
      <c r="H1215">
        <v>1</v>
      </c>
      <c r="I1215">
        <v>0</v>
      </c>
      <c r="J1215">
        <v>0</v>
      </c>
      <c r="K1215">
        <v>0</v>
      </c>
      <c r="L1215">
        <v>0</v>
      </c>
      <c r="M1215">
        <v>0</v>
      </c>
      <c r="N1215">
        <v>1</v>
      </c>
      <c r="O1215" t="str" cm="1">
        <f t="array" ref="O1215">_xlfn.IFS(Table1[[#This Row],[Divorced]]=1, "Divorced", Table1[[#This Row],[Married]]=1, "Married", Table1[[#This Row],[Single]]=1, "Single", Table1[[#This Row],[Together]]=1, "Together", Table1[[#This Row],[Widow]]=1, "Widow")</f>
        <v>Single</v>
      </c>
      <c r="P1215" t="str" cm="1">
        <f t="array" ref="P1215">_xlfn.IFS(Table1[[#This Row],[Basic]]=1, "Basic", Table1[[#This Row],[Graduate]]=1, "Graduate", Table1[[#This Row],[Master]]=1, "Master", Table1[[#This Row],[PhD]]=1, "PhD", AND(Table1[[#This Row],[Basic]]=0, Table1[[#This Row],[Graduate]]=0, Table1[[#This Row],[Master]]=0, Table1[[#This Row],[PhD]]=0), "NA")</f>
        <v>PhD</v>
      </c>
      <c r="Q1215" t="e">
        <f>_xlfn.XLOOKUP(Table1[[#This Row],[ID]], Table2[ID],#REF!, "Not Found", 0)</f>
        <v>#REF!</v>
      </c>
      <c r="R1215" t="e">
        <f>_xlfn.XLOOKUP(Table1[[#This Row],[ID]], Table2[ID],#REF!, "Not Found", 0)</f>
        <v>#REF!</v>
      </c>
      <c r="S1215" s="3" t="str">
        <f>_xlfn.XLOOKUP(Table1[[#This Row],[ID]], Table2[ID], Table2[Enrollment], "Not Found", 0)</f>
        <v>4/16/2019</v>
      </c>
      <c r="T1215" t="s">
        <v>438</v>
      </c>
    </row>
    <row r="1216" spans="1:20" x14ac:dyDescent="0.3">
      <c r="A1216">
        <v>2997</v>
      </c>
      <c r="B1216">
        <v>148195</v>
      </c>
      <c r="C1216">
        <v>1</v>
      </c>
      <c r="D1216">
        <v>1</v>
      </c>
      <c r="E1216">
        <v>64</v>
      </c>
      <c r="F1216">
        <v>0</v>
      </c>
      <c r="G1216">
        <v>1</v>
      </c>
      <c r="H1216">
        <v>0</v>
      </c>
      <c r="I1216">
        <v>0</v>
      </c>
      <c r="J1216">
        <v>0</v>
      </c>
      <c r="K1216">
        <v>0</v>
      </c>
      <c r="L1216">
        <v>1</v>
      </c>
      <c r="M1216">
        <v>0</v>
      </c>
      <c r="N1216">
        <v>0</v>
      </c>
      <c r="O1216" t="str" cm="1">
        <f t="array" ref="O1216">_xlfn.IFS(Table1[[#This Row],[Divorced]]=1, "Divorced", Table1[[#This Row],[Married]]=1, "Married", Table1[[#This Row],[Single]]=1, "Single", Table1[[#This Row],[Together]]=1, "Together", Table1[[#This Row],[Widow]]=1, "Widow")</f>
        <v>Married</v>
      </c>
      <c r="P1216" t="str" cm="1">
        <f t="array" ref="P1216">_xlfn.IFS(Table1[[#This Row],[Basic]]=1, "Basic", Table1[[#This Row],[Graduate]]=1, "Graduate", Table1[[#This Row],[Master]]=1, "Master", Table1[[#This Row],[PhD]]=1, "PhD", AND(Table1[[#This Row],[Basic]]=0, Table1[[#This Row],[Graduate]]=0, Table1[[#This Row],[Master]]=0, Table1[[#This Row],[PhD]]=0), "NA")</f>
        <v>Graduate</v>
      </c>
      <c r="Q1216" t="e">
        <f>_xlfn.XLOOKUP(Table1[[#This Row],[ID]], Table2[ID],#REF!, "Not Found", 0)</f>
        <v>#REF!</v>
      </c>
      <c r="R1216" t="e">
        <f>_xlfn.XLOOKUP(Table1[[#This Row],[ID]], Table2[ID],#REF!, "Not Found", 0)</f>
        <v>#REF!</v>
      </c>
      <c r="S1216" s="3" t="str">
        <f>_xlfn.XLOOKUP(Table1[[#This Row],[ID]], Table2[ID], Table2[Enrollment], "Not Found", 0)</f>
        <v>6/27/2020</v>
      </c>
      <c r="T1216" t="s">
        <v>435</v>
      </c>
    </row>
    <row r="1217" spans="1:20" x14ac:dyDescent="0.3">
      <c r="A1217">
        <v>1785</v>
      </c>
      <c r="B1217">
        <v>148192</v>
      </c>
      <c r="C1217">
        <v>0</v>
      </c>
      <c r="D1217">
        <v>0</v>
      </c>
      <c r="E1217">
        <v>62</v>
      </c>
      <c r="F1217">
        <v>0</v>
      </c>
      <c r="G1217">
        <v>1</v>
      </c>
      <c r="H1217">
        <v>0</v>
      </c>
      <c r="I1217">
        <v>0</v>
      </c>
      <c r="J1217">
        <v>0</v>
      </c>
      <c r="K1217">
        <v>0</v>
      </c>
      <c r="L1217">
        <v>1</v>
      </c>
      <c r="M1217">
        <v>0</v>
      </c>
      <c r="N1217">
        <v>0</v>
      </c>
      <c r="O1217" t="str" cm="1">
        <f t="array" ref="O1217">_xlfn.IFS(Table1[[#This Row],[Divorced]]=1, "Divorced", Table1[[#This Row],[Married]]=1, "Married", Table1[[#This Row],[Single]]=1, "Single", Table1[[#This Row],[Together]]=1, "Together", Table1[[#This Row],[Widow]]=1, "Widow")</f>
        <v>Married</v>
      </c>
      <c r="P1217" t="str" cm="1">
        <f t="array" ref="P1217">_xlfn.IFS(Table1[[#This Row],[Basic]]=1, "Basic", Table1[[#This Row],[Graduate]]=1, "Graduate", Table1[[#This Row],[Master]]=1, "Master", Table1[[#This Row],[PhD]]=1, "PhD", AND(Table1[[#This Row],[Basic]]=0, Table1[[#This Row],[Graduate]]=0, Table1[[#This Row],[Master]]=0, Table1[[#This Row],[PhD]]=0), "NA")</f>
        <v>Graduate</v>
      </c>
      <c r="Q1217" t="e">
        <f>_xlfn.XLOOKUP(Table1[[#This Row],[ID]], Table2[ID],#REF!, "Not Found", 0)</f>
        <v>#REF!</v>
      </c>
      <c r="R1217" t="e">
        <f>_xlfn.XLOOKUP(Table1[[#This Row],[ID]], Table2[ID],#REF!, "Not Found", 0)</f>
        <v>#REF!</v>
      </c>
      <c r="S1217" s="3">
        <f>_xlfn.XLOOKUP(Table1[[#This Row],[ID]], Table2[ID], Table2[Enrollment], "Not Found", 0)</f>
        <v>43778</v>
      </c>
      <c r="T1217" t="s">
        <v>435</v>
      </c>
    </row>
    <row r="1218" spans="1:20" x14ac:dyDescent="0.3">
      <c r="A1218">
        <v>2808</v>
      </c>
      <c r="B1218">
        <v>148186</v>
      </c>
      <c r="C1218">
        <v>1</v>
      </c>
      <c r="D1218">
        <v>0</v>
      </c>
      <c r="E1218">
        <v>46</v>
      </c>
      <c r="F1218">
        <v>0</v>
      </c>
      <c r="G1218">
        <v>0</v>
      </c>
      <c r="H1218">
        <v>0</v>
      </c>
      <c r="I1218">
        <v>1</v>
      </c>
      <c r="J1218">
        <v>0</v>
      </c>
      <c r="K1218">
        <v>0</v>
      </c>
      <c r="L1218">
        <v>1</v>
      </c>
      <c r="M1218">
        <v>0</v>
      </c>
      <c r="N1218">
        <v>0</v>
      </c>
      <c r="O1218" t="str" cm="1">
        <f t="array" ref="O1218">_xlfn.IFS(Table1[[#This Row],[Divorced]]=1, "Divorced", Table1[[#This Row],[Married]]=1, "Married", Table1[[#This Row],[Single]]=1, "Single", Table1[[#This Row],[Together]]=1, "Together", Table1[[#This Row],[Widow]]=1, "Widow")</f>
        <v>Together</v>
      </c>
      <c r="P1218" t="str" cm="1">
        <f t="array" ref="P1218">_xlfn.IFS(Table1[[#This Row],[Basic]]=1, "Basic", Table1[[#This Row],[Graduate]]=1, "Graduate", Table1[[#This Row],[Master]]=1, "Master", Table1[[#This Row],[PhD]]=1, "PhD", AND(Table1[[#This Row],[Basic]]=0, Table1[[#This Row],[Graduate]]=0, Table1[[#This Row],[Master]]=0, Table1[[#This Row],[PhD]]=0), "NA")</f>
        <v>Graduate</v>
      </c>
      <c r="Q1218" t="e">
        <f>_xlfn.XLOOKUP(Table1[[#This Row],[ID]], Table2[ID],#REF!, "Not Found", 0)</f>
        <v>#REF!</v>
      </c>
      <c r="R1218" t="e">
        <f>_xlfn.XLOOKUP(Table1[[#This Row],[ID]], Table2[ID],#REF!, "Not Found", 0)</f>
        <v>#REF!</v>
      </c>
      <c r="S1218" s="3" t="str">
        <f>_xlfn.XLOOKUP(Table1[[#This Row],[ID]], Table2[ID], Table2[Enrollment], "Not Found", 0)</f>
        <v>8/24/2020</v>
      </c>
      <c r="T1218" t="s">
        <v>436</v>
      </c>
    </row>
    <row r="1219" spans="1:20" x14ac:dyDescent="0.3">
      <c r="A1219">
        <v>1355</v>
      </c>
      <c r="B1219">
        <v>148178</v>
      </c>
      <c r="C1219">
        <v>1</v>
      </c>
      <c r="D1219">
        <v>1</v>
      </c>
      <c r="E1219">
        <v>45</v>
      </c>
      <c r="F1219">
        <v>0</v>
      </c>
      <c r="G1219">
        <v>1</v>
      </c>
      <c r="H1219">
        <v>0</v>
      </c>
      <c r="I1219">
        <v>0</v>
      </c>
      <c r="J1219">
        <v>0</v>
      </c>
      <c r="K1219">
        <v>0</v>
      </c>
      <c r="L1219">
        <v>1</v>
      </c>
      <c r="M1219">
        <v>0</v>
      </c>
      <c r="N1219">
        <v>0</v>
      </c>
      <c r="O1219" t="str" cm="1">
        <f t="array" ref="O1219">_xlfn.IFS(Table1[[#This Row],[Divorced]]=1, "Divorced", Table1[[#This Row],[Married]]=1, "Married", Table1[[#This Row],[Single]]=1, "Single", Table1[[#This Row],[Together]]=1, "Together", Table1[[#This Row],[Widow]]=1, "Widow")</f>
        <v>Married</v>
      </c>
      <c r="P1219" t="str" cm="1">
        <f t="array" ref="P1219">_xlfn.IFS(Table1[[#This Row],[Basic]]=1, "Basic", Table1[[#This Row],[Graduate]]=1, "Graduate", Table1[[#This Row],[Master]]=1, "Master", Table1[[#This Row],[PhD]]=1, "PhD", AND(Table1[[#This Row],[Basic]]=0, Table1[[#This Row],[Graduate]]=0, Table1[[#This Row],[Master]]=0, Table1[[#This Row],[PhD]]=0), "NA")</f>
        <v>Graduate</v>
      </c>
      <c r="Q1219" t="e">
        <f>_xlfn.XLOOKUP(Table1[[#This Row],[ID]], Table2[ID],#REF!, "Not Found", 0)</f>
        <v>#REF!</v>
      </c>
      <c r="R1219" t="e">
        <f>_xlfn.XLOOKUP(Table1[[#This Row],[ID]], Table2[ID],#REF!, "Not Found", 0)</f>
        <v>#REF!</v>
      </c>
      <c r="S1219" s="3">
        <f>_xlfn.XLOOKUP(Table1[[#This Row],[ID]], Table2[ID], Table2[Enrollment], "Not Found", 0)</f>
        <v>43559</v>
      </c>
      <c r="T1219" t="s">
        <v>434</v>
      </c>
    </row>
    <row r="1220" spans="1:20" x14ac:dyDescent="0.3">
      <c r="A1220">
        <v>3077</v>
      </c>
      <c r="B1220">
        <v>148150</v>
      </c>
      <c r="C1220">
        <v>0</v>
      </c>
      <c r="D1220">
        <v>1</v>
      </c>
      <c r="E1220">
        <v>71</v>
      </c>
      <c r="F1220">
        <v>0</v>
      </c>
      <c r="G1220">
        <v>1</v>
      </c>
      <c r="H1220">
        <v>0</v>
      </c>
      <c r="I1220">
        <v>0</v>
      </c>
      <c r="J1220">
        <v>0</v>
      </c>
      <c r="K1220">
        <v>0</v>
      </c>
      <c r="L1220">
        <v>0</v>
      </c>
      <c r="M1220">
        <v>1</v>
      </c>
      <c r="N1220">
        <v>0</v>
      </c>
      <c r="O1220" t="str" cm="1">
        <f t="array" ref="O1220">_xlfn.IFS(Table1[[#This Row],[Divorced]]=1, "Divorced", Table1[[#This Row],[Married]]=1, "Married", Table1[[#This Row],[Single]]=1, "Single", Table1[[#This Row],[Together]]=1, "Together", Table1[[#This Row],[Widow]]=1, "Widow")</f>
        <v>Married</v>
      </c>
      <c r="P1220" t="str" cm="1">
        <f t="array" ref="P1220">_xlfn.IFS(Table1[[#This Row],[Basic]]=1, "Basic", Table1[[#This Row],[Graduate]]=1, "Graduate", Table1[[#This Row],[Master]]=1, "Master", Table1[[#This Row],[PhD]]=1, "PhD", AND(Table1[[#This Row],[Basic]]=0, Table1[[#This Row],[Graduate]]=0, Table1[[#This Row],[Master]]=0, Table1[[#This Row],[PhD]]=0), "NA")</f>
        <v>Master</v>
      </c>
      <c r="Q1220" t="e">
        <f>_xlfn.XLOOKUP(Table1[[#This Row],[ID]], Table2[ID],#REF!, "Not Found", 0)</f>
        <v>#REF!</v>
      </c>
      <c r="R1220" t="e">
        <f>_xlfn.XLOOKUP(Table1[[#This Row],[ID]], Table2[ID],#REF!, "Not Found", 0)</f>
        <v>#REF!</v>
      </c>
      <c r="S1220" s="3" t="str">
        <f>_xlfn.XLOOKUP(Table1[[#This Row],[ID]], Table2[ID], Table2[Enrollment], "Not Found", 0)</f>
        <v>11/13/2019</v>
      </c>
      <c r="T1220" t="s">
        <v>434</v>
      </c>
    </row>
    <row r="1221" spans="1:20" x14ac:dyDescent="0.3">
      <c r="A1221">
        <v>2161</v>
      </c>
      <c r="B1221">
        <v>148070</v>
      </c>
      <c r="C1221">
        <v>0</v>
      </c>
      <c r="D1221">
        <v>1</v>
      </c>
      <c r="E1221">
        <v>70</v>
      </c>
      <c r="F1221">
        <v>0</v>
      </c>
      <c r="G1221">
        <v>0</v>
      </c>
      <c r="H1221">
        <v>0</v>
      </c>
      <c r="I1221">
        <v>1</v>
      </c>
      <c r="J1221">
        <v>0</v>
      </c>
      <c r="K1221">
        <v>0</v>
      </c>
      <c r="L1221">
        <v>1</v>
      </c>
      <c r="M1221">
        <v>0</v>
      </c>
      <c r="N1221">
        <v>0</v>
      </c>
      <c r="O1221" t="str" cm="1">
        <f t="array" ref="O1221">_xlfn.IFS(Table1[[#This Row],[Divorced]]=1, "Divorced", Table1[[#This Row],[Married]]=1, "Married", Table1[[#This Row],[Single]]=1, "Single", Table1[[#This Row],[Together]]=1, "Together", Table1[[#This Row],[Widow]]=1, "Widow")</f>
        <v>Together</v>
      </c>
      <c r="P1221" t="str" cm="1">
        <f t="array" ref="P1221">_xlfn.IFS(Table1[[#This Row],[Basic]]=1, "Basic", Table1[[#This Row],[Graduate]]=1, "Graduate", Table1[[#This Row],[Master]]=1, "Master", Table1[[#This Row],[PhD]]=1, "PhD", AND(Table1[[#This Row],[Basic]]=0, Table1[[#This Row],[Graduate]]=0, Table1[[#This Row],[Master]]=0, Table1[[#This Row],[PhD]]=0), "NA")</f>
        <v>Graduate</v>
      </c>
      <c r="Q1221" t="e">
        <f>_xlfn.XLOOKUP(Table1[[#This Row],[ID]], Table2[ID],#REF!, "Not Found", 0)</f>
        <v>#REF!</v>
      </c>
      <c r="R1221" t="e">
        <f>_xlfn.XLOOKUP(Table1[[#This Row],[ID]], Table2[ID],#REF!, "Not Found", 0)</f>
        <v>#REF!</v>
      </c>
      <c r="S1221" s="3" t="str">
        <f>_xlfn.XLOOKUP(Table1[[#This Row],[ID]], Table2[ID], Table2[Enrollment], "Not Found", 0)</f>
        <v>6/20/2019</v>
      </c>
      <c r="T1221" t="s">
        <v>437</v>
      </c>
    </row>
    <row r="1222" spans="1:20" x14ac:dyDescent="0.3">
      <c r="A1222">
        <v>1389</v>
      </c>
      <c r="B1222">
        <v>148006</v>
      </c>
      <c r="C1222">
        <v>1</v>
      </c>
      <c r="D1222">
        <v>1</v>
      </c>
      <c r="E1222">
        <v>55</v>
      </c>
      <c r="F1222">
        <v>0</v>
      </c>
      <c r="G1222">
        <v>1</v>
      </c>
      <c r="H1222">
        <v>0</v>
      </c>
      <c r="I1222">
        <v>0</v>
      </c>
      <c r="J1222">
        <v>0</v>
      </c>
      <c r="K1222">
        <v>0</v>
      </c>
      <c r="L1222">
        <v>1</v>
      </c>
      <c r="M1222">
        <v>0</v>
      </c>
      <c r="N1222">
        <v>0</v>
      </c>
      <c r="O1222" t="str" cm="1">
        <f t="array" ref="O1222">_xlfn.IFS(Table1[[#This Row],[Divorced]]=1, "Divorced", Table1[[#This Row],[Married]]=1, "Married", Table1[[#This Row],[Single]]=1, "Single", Table1[[#This Row],[Together]]=1, "Together", Table1[[#This Row],[Widow]]=1, "Widow")</f>
        <v>Married</v>
      </c>
      <c r="P1222" t="str" cm="1">
        <f t="array" ref="P1222">_xlfn.IFS(Table1[[#This Row],[Basic]]=1, "Basic", Table1[[#This Row],[Graduate]]=1, "Graduate", Table1[[#This Row],[Master]]=1, "Master", Table1[[#This Row],[PhD]]=1, "PhD", AND(Table1[[#This Row],[Basic]]=0, Table1[[#This Row],[Graduate]]=0, Table1[[#This Row],[Master]]=0, Table1[[#This Row],[PhD]]=0), "NA")</f>
        <v>Graduate</v>
      </c>
      <c r="Q1222" t="e">
        <f>_xlfn.XLOOKUP(Table1[[#This Row],[ID]], Table2[ID],#REF!, "Not Found", 0)</f>
        <v>#REF!</v>
      </c>
      <c r="R1222" t="e">
        <f>_xlfn.XLOOKUP(Table1[[#This Row],[ID]], Table2[ID],#REF!, "Not Found", 0)</f>
        <v>#REF!</v>
      </c>
      <c r="S1222" s="3" t="str">
        <f>_xlfn.XLOOKUP(Table1[[#This Row],[ID]], Table2[ID], Table2[Enrollment], "Not Found", 0)</f>
        <v>11/13/2020</v>
      </c>
      <c r="T1222" t="s">
        <v>435</v>
      </c>
    </row>
    <row r="1223" spans="1:20" x14ac:dyDescent="0.3">
      <c r="A1223">
        <v>2541</v>
      </c>
      <c r="B1223">
        <v>147958</v>
      </c>
      <c r="C1223">
        <v>0</v>
      </c>
      <c r="D1223">
        <v>1</v>
      </c>
      <c r="E1223">
        <v>68</v>
      </c>
      <c r="F1223">
        <v>0</v>
      </c>
      <c r="G1223">
        <v>0</v>
      </c>
      <c r="H1223">
        <v>1</v>
      </c>
      <c r="I1223">
        <v>0</v>
      </c>
      <c r="J1223">
        <v>0</v>
      </c>
      <c r="K1223">
        <v>0</v>
      </c>
      <c r="L1223">
        <v>1</v>
      </c>
      <c r="M1223">
        <v>0</v>
      </c>
      <c r="N1223">
        <v>0</v>
      </c>
      <c r="O1223" t="str" cm="1">
        <f t="array" ref="O1223">_xlfn.IFS(Table1[[#This Row],[Divorced]]=1, "Divorced", Table1[[#This Row],[Married]]=1, "Married", Table1[[#This Row],[Single]]=1, "Single", Table1[[#This Row],[Together]]=1, "Together", Table1[[#This Row],[Widow]]=1, "Widow")</f>
        <v>Single</v>
      </c>
      <c r="P1223" t="str" cm="1">
        <f t="array" ref="P1223">_xlfn.IFS(Table1[[#This Row],[Basic]]=1, "Basic", Table1[[#This Row],[Graduate]]=1, "Graduate", Table1[[#This Row],[Master]]=1, "Master", Table1[[#This Row],[PhD]]=1, "PhD", AND(Table1[[#This Row],[Basic]]=0, Table1[[#This Row],[Graduate]]=0, Table1[[#This Row],[Master]]=0, Table1[[#This Row],[PhD]]=0), "NA")</f>
        <v>Graduate</v>
      </c>
      <c r="Q1223" t="e">
        <f>_xlfn.XLOOKUP(Table1[[#This Row],[ID]], Table2[ID],#REF!, "Not Found", 0)</f>
        <v>#REF!</v>
      </c>
      <c r="R1223" t="e">
        <f>_xlfn.XLOOKUP(Table1[[#This Row],[ID]], Table2[ID],#REF!, "Not Found", 0)</f>
        <v>#REF!</v>
      </c>
      <c r="S1223" s="3" t="str">
        <f>_xlfn.XLOOKUP(Table1[[#This Row],[ID]], Table2[ID], Table2[Enrollment], "Not Found", 0)</f>
        <v>6/26/2019</v>
      </c>
      <c r="T1223" t="s">
        <v>435</v>
      </c>
    </row>
    <row r="1224" spans="1:20" x14ac:dyDescent="0.3">
      <c r="A1224">
        <v>1088</v>
      </c>
      <c r="B1224">
        <v>147916</v>
      </c>
      <c r="C1224">
        <v>0</v>
      </c>
      <c r="D1224">
        <v>1</v>
      </c>
      <c r="E1224">
        <v>60</v>
      </c>
      <c r="F1224">
        <v>0</v>
      </c>
      <c r="G1224">
        <v>0</v>
      </c>
      <c r="H1224">
        <v>0</v>
      </c>
      <c r="I1224">
        <v>0</v>
      </c>
      <c r="J1224">
        <v>1</v>
      </c>
      <c r="K1224">
        <v>0</v>
      </c>
      <c r="L1224">
        <v>1</v>
      </c>
      <c r="M1224">
        <v>0</v>
      </c>
      <c r="N1224">
        <v>0</v>
      </c>
      <c r="O1224" t="str" cm="1">
        <f t="array" ref="O1224">_xlfn.IFS(Table1[[#This Row],[Divorced]]=1, "Divorced", Table1[[#This Row],[Married]]=1, "Married", Table1[[#This Row],[Single]]=1, "Single", Table1[[#This Row],[Together]]=1, "Together", Table1[[#This Row],[Widow]]=1, "Widow")</f>
        <v>Widow</v>
      </c>
      <c r="P1224" t="str" cm="1">
        <f t="array" ref="P1224">_xlfn.IFS(Table1[[#This Row],[Basic]]=1, "Basic", Table1[[#This Row],[Graduate]]=1, "Graduate", Table1[[#This Row],[Master]]=1, "Master", Table1[[#This Row],[PhD]]=1, "PhD", AND(Table1[[#This Row],[Basic]]=0, Table1[[#This Row],[Graduate]]=0, Table1[[#This Row],[Master]]=0, Table1[[#This Row],[PhD]]=0), "NA")</f>
        <v>Graduate</v>
      </c>
      <c r="Q1224" t="e">
        <f>_xlfn.XLOOKUP(Table1[[#This Row],[ID]], Table2[ID],#REF!, "Not Found", 0)</f>
        <v>#REF!</v>
      </c>
      <c r="R1224" t="e">
        <f>_xlfn.XLOOKUP(Table1[[#This Row],[ID]], Table2[ID],#REF!, "Not Found", 0)</f>
        <v>#REF!</v>
      </c>
      <c r="S1224" s="3" t="str">
        <f>_xlfn.XLOOKUP(Table1[[#This Row],[ID]], Table2[ID], Table2[Enrollment], "Not Found", 0)</f>
        <v>4/29/2019</v>
      </c>
      <c r="T1224" t="s">
        <v>438</v>
      </c>
    </row>
    <row r="1225" spans="1:20" x14ac:dyDescent="0.3">
      <c r="A1225">
        <v>1889</v>
      </c>
      <c r="B1225">
        <v>147889</v>
      </c>
      <c r="C1225">
        <v>1</v>
      </c>
      <c r="D1225">
        <v>0</v>
      </c>
      <c r="E1225">
        <v>46</v>
      </c>
      <c r="F1225">
        <v>0</v>
      </c>
      <c r="G1225">
        <v>0</v>
      </c>
      <c r="H1225">
        <v>0</v>
      </c>
      <c r="I1225">
        <v>1</v>
      </c>
      <c r="J1225">
        <v>0</v>
      </c>
      <c r="K1225">
        <v>0</v>
      </c>
      <c r="L1225">
        <v>1</v>
      </c>
      <c r="M1225">
        <v>0</v>
      </c>
      <c r="N1225">
        <v>0</v>
      </c>
      <c r="O1225" t="str" cm="1">
        <f t="array" ref="O1225">_xlfn.IFS(Table1[[#This Row],[Divorced]]=1, "Divorced", Table1[[#This Row],[Married]]=1, "Married", Table1[[#This Row],[Single]]=1, "Single", Table1[[#This Row],[Together]]=1, "Together", Table1[[#This Row],[Widow]]=1, "Widow")</f>
        <v>Together</v>
      </c>
      <c r="P1225" t="str" cm="1">
        <f t="array" ref="P1225">_xlfn.IFS(Table1[[#This Row],[Basic]]=1, "Basic", Table1[[#This Row],[Graduate]]=1, "Graduate", Table1[[#This Row],[Master]]=1, "Master", Table1[[#This Row],[PhD]]=1, "PhD", AND(Table1[[#This Row],[Basic]]=0, Table1[[#This Row],[Graduate]]=0, Table1[[#This Row],[Master]]=0, Table1[[#This Row],[PhD]]=0), "NA")</f>
        <v>Graduate</v>
      </c>
      <c r="Q1225" t="e">
        <f>_xlfn.XLOOKUP(Table1[[#This Row],[ID]], Table2[ID],#REF!, "Not Found", 0)</f>
        <v>#REF!</v>
      </c>
      <c r="R1225" t="e">
        <f>_xlfn.XLOOKUP(Table1[[#This Row],[ID]], Table2[ID],#REF!, "Not Found", 0)</f>
        <v>#REF!</v>
      </c>
      <c r="S1225" s="3">
        <f>_xlfn.XLOOKUP(Table1[[#This Row],[ID]], Table2[ID], Table2[Enrollment], "Not Found", 0)</f>
        <v>44110</v>
      </c>
      <c r="T1225" t="s">
        <v>434</v>
      </c>
    </row>
    <row r="1226" spans="1:20" x14ac:dyDescent="0.3">
      <c r="A1226">
        <v>1531</v>
      </c>
      <c r="B1226">
        <v>147850</v>
      </c>
      <c r="C1226">
        <v>1</v>
      </c>
      <c r="D1226">
        <v>0</v>
      </c>
      <c r="E1226">
        <v>40</v>
      </c>
      <c r="F1226">
        <v>0</v>
      </c>
      <c r="G1226">
        <v>1</v>
      </c>
      <c r="H1226">
        <v>0</v>
      </c>
      <c r="I1226">
        <v>0</v>
      </c>
      <c r="J1226">
        <v>0</v>
      </c>
      <c r="K1226">
        <v>0</v>
      </c>
      <c r="L1226">
        <v>1</v>
      </c>
      <c r="M1226">
        <v>0</v>
      </c>
      <c r="N1226">
        <v>0</v>
      </c>
      <c r="O1226" t="str" cm="1">
        <f t="array" ref="O1226">_xlfn.IFS(Table1[[#This Row],[Divorced]]=1, "Divorced", Table1[[#This Row],[Married]]=1, "Married", Table1[[#This Row],[Single]]=1, "Single", Table1[[#This Row],[Together]]=1, "Together", Table1[[#This Row],[Widow]]=1, "Widow")</f>
        <v>Married</v>
      </c>
      <c r="P1226" t="str" cm="1">
        <f t="array" ref="P1226">_xlfn.IFS(Table1[[#This Row],[Basic]]=1, "Basic", Table1[[#This Row],[Graduate]]=1, "Graduate", Table1[[#This Row],[Master]]=1, "Master", Table1[[#This Row],[PhD]]=1, "PhD", AND(Table1[[#This Row],[Basic]]=0, Table1[[#This Row],[Graduate]]=0, Table1[[#This Row],[Master]]=0, Table1[[#This Row],[PhD]]=0), "NA")</f>
        <v>Graduate</v>
      </c>
      <c r="Q1226" t="e">
        <f>_xlfn.XLOOKUP(Table1[[#This Row],[ID]], Table2[ID],#REF!, "Not Found", 0)</f>
        <v>#REF!</v>
      </c>
      <c r="R1226" t="e">
        <f>_xlfn.XLOOKUP(Table1[[#This Row],[ID]], Table2[ID],#REF!, "Not Found", 0)</f>
        <v>#REF!</v>
      </c>
      <c r="S1226" s="3">
        <f>_xlfn.XLOOKUP(Table1[[#This Row],[ID]], Table2[ID], Table2[Enrollment], "Not Found", 0)</f>
        <v>44079</v>
      </c>
      <c r="T1226" t="s">
        <v>437</v>
      </c>
    </row>
    <row r="1227" spans="1:20" x14ac:dyDescent="0.3">
      <c r="A1227">
        <v>1092</v>
      </c>
      <c r="B1227">
        <v>147823</v>
      </c>
      <c r="C1227">
        <v>0</v>
      </c>
      <c r="D1227">
        <v>1</v>
      </c>
      <c r="E1227">
        <v>60</v>
      </c>
      <c r="F1227">
        <v>0</v>
      </c>
      <c r="G1227">
        <v>0</v>
      </c>
      <c r="H1227">
        <v>1</v>
      </c>
      <c r="I1227">
        <v>0</v>
      </c>
      <c r="J1227">
        <v>0</v>
      </c>
      <c r="K1227">
        <v>0</v>
      </c>
      <c r="L1227">
        <v>0</v>
      </c>
      <c r="M1227">
        <v>0</v>
      </c>
      <c r="N1227">
        <v>0</v>
      </c>
      <c r="O1227" t="str" cm="1">
        <f t="array" ref="O1227">_xlfn.IFS(Table1[[#This Row],[Divorced]]=1, "Divorced", Table1[[#This Row],[Married]]=1, "Married", Table1[[#This Row],[Single]]=1, "Single", Table1[[#This Row],[Together]]=1, "Together", Table1[[#This Row],[Widow]]=1, "Widow")</f>
        <v>Single</v>
      </c>
      <c r="P1227" t="str" cm="1">
        <f t="array" ref="P1227">_xlfn.IFS(Table1[[#This Row],[Basic]]=1, "Basic", Table1[[#This Row],[Graduate]]=1, "Graduate", Table1[[#This Row],[Master]]=1, "Master", Table1[[#This Row],[PhD]]=1, "PhD", AND(Table1[[#This Row],[Basic]]=0, Table1[[#This Row],[Graduate]]=0, Table1[[#This Row],[Master]]=0, Table1[[#This Row],[PhD]]=0), "NA")</f>
        <v>NA</v>
      </c>
      <c r="Q1227" t="e">
        <f>_xlfn.XLOOKUP(Table1[[#This Row],[ID]], Table2[ID],#REF!, "Not Found", 0)</f>
        <v>#REF!</v>
      </c>
      <c r="R1227" t="e">
        <f>_xlfn.XLOOKUP(Table1[[#This Row],[ID]], Table2[ID],#REF!, "Not Found", 0)</f>
        <v>#REF!</v>
      </c>
      <c r="S1227" s="3" t="str">
        <f>_xlfn.XLOOKUP(Table1[[#This Row],[ID]], Table2[ID], Table2[Enrollment], "Not Found", 0)</f>
        <v>12/28/2019</v>
      </c>
      <c r="T1227" t="s">
        <v>436</v>
      </c>
    </row>
    <row r="1228" spans="1:20" x14ac:dyDescent="0.3">
      <c r="A1228">
        <v>1566</v>
      </c>
      <c r="B1228">
        <v>147821</v>
      </c>
      <c r="C1228">
        <v>1</v>
      </c>
      <c r="D1228">
        <v>1</v>
      </c>
      <c r="E1228">
        <v>53</v>
      </c>
      <c r="F1228">
        <v>0</v>
      </c>
      <c r="G1228">
        <v>0</v>
      </c>
      <c r="H1228">
        <v>0</v>
      </c>
      <c r="I1228">
        <v>1</v>
      </c>
      <c r="J1228">
        <v>0</v>
      </c>
      <c r="K1228">
        <v>0</v>
      </c>
      <c r="L1228">
        <v>0</v>
      </c>
      <c r="M1228">
        <v>0</v>
      </c>
      <c r="N1228">
        <v>0</v>
      </c>
      <c r="O1228" t="str" cm="1">
        <f t="array" ref="O1228">_xlfn.IFS(Table1[[#This Row],[Divorced]]=1, "Divorced", Table1[[#This Row],[Married]]=1, "Married", Table1[[#This Row],[Single]]=1, "Single", Table1[[#This Row],[Together]]=1, "Together", Table1[[#This Row],[Widow]]=1, "Widow")</f>
        <v>Together</v>
      </c>
      <c r="P1228" t="str" cm="1">
        <f t="array" ref="P1228">_xlfn.IFS(Table1[[#This Row],[Basic]]=1, "Basic", Table1[[#This Row],[Graduate]]=1, "Graduate", Table1[[#This Row],[Master]]=1, "Master", Table1[[#This Row],[PhD]]=1, "PhD", AND(Table1[[#This Row],[Basic]]=0, Table1[[#This Row],[Graduate]]=0, Table1[[#This Row],[Master]]=0, Table1[[#This Row],[PhD]]=0), "NA")</f>
        <v>NA</v>
      </c>
      <c r="Q1228" t="e">
        <f>_xlfn.XLOOKUP(Table1[[#This Row],[ID]], Table2[ID],#REF!, "Not Found", 0)</f>
        <v>#REF!</v>
      </c>
      <c r="R1228" t="e">
        <f>_xlfn.XLOOKUP(Table1[[#This Row],[ID]], Table2[ID],#REF!, "Not Found", 0)</f>
        <v>#REF!</v>
      </c>
      <c r="S1228" s="3" t="str">
        <f>_xlfn.XLOOKUP(Table1[[#This Row],[ID]], Table2[ID], Table2[Enrollment], "Not Found", 0)</f>
        <v>3/26/2020</v>
      </c>
      <c r="T1228" t="s">
        <v>436</v>
      </c>
    </row>
    <row r="1229" spans="1:20" x14ac:dyDescent="0.3">
      <c r="A1229">
        <v>2744</v>
      </c>
      <c r="B1229">
        <v>147808</v>
      </c>
      <c r="C1229">
        <v>0</v>
      </c>
      <c r="D1229">
        <v>1</v>
      </c>
      <c r="E1229">
        <v>45</v>
      </c>
      <c r="F1229">
        <v>0</v>
      </c>
      <c r="G1229">
        <v>1</v>
      </c>
      <c r="H1229">
        <v>0</v>
      </c>
      <c r="I1229">
        <v>0</v>
      </c>
      <c r="J1229">
        <v>0</v>
      </c>
      <c r="K1229">
        <v>0</v>
      </c>
      <c r="L1229">
        <v>0</v>
      </c>
      <c r="M1229">
        <v>1</v>
      </c>
      <c r="N1229">
        <v>0</v>
      </c>
      <c r="O1229" t="str" cm="1">
        <f t="array" ref="O1229">_xlfn.IFS(Table1[[#This Row],[Divorced]]=1, "Divorced", Table1[[#This Row],[Married]]=1, "Married", Table1[[#This Row],[Single]]=1, "Single", Table1[[#This Row],[Together]]=1, "Together", Table1[[#This Row],[Widow]]=1, "Widow")</f>
        <v>Married</v>
      </c>
      <c r="P1229" t="str" cm="1">
        <f t="array" ref="P1229">_xlfn.IFS(Table1[[#This Row],[Basic]]=1, "Basic", Table1[[#This Row],[Graduate]]=1, "Graduate", Table1[[#This Row],[Master]]=1, "Master", Table1[[#This Row],[PhD]]=1, "PhD", AND(Table1[[#This Row],[Basic]]=0, Table1[[#This Row],[Graduate]]=0, Table1[[#This Row],[Master]]=0, Table1[[#This Row],[PhD]]=0), "NA")</f>
        <v>Master</v>
      </c>
      <c r="Q1229" t="e">
        <f>_xlfn.XLOOKUP(Table1[[#This Row],[ID]], Table2[ID],#REF!, "Not Found", 0)</f>
        <v>#REF!</v>
      </c>
      <c r="R1229" t="e">
        <f>_xlfn.XLOOKUP(Table1[[#This Row],[ID]], Table2[ID],#REF!, "Not Found", 0)</f>
        <v>#REF!</v>
      </c>
      <c r="S1229" s="3" t="str">
        <f>_xlfn.XLOOKUP(Table1[[#This Row],[ID]], Table2[ID], Table2[Enrollment], "Not Found", 0)</f>
        <v>3/26/2020</v>
      </c>
      <c r="T1229" t="s">
        <v>438</v>
      </c>
    </row>
    <row r="1230" spans="1:20" x14ac:dyDescent="0.3">
      <c r="A1230">
        <v>2812</v>
      </c>
      <c r="B1230">
        <v>147743</v>
      </c>
      <c r="C1230">
        <v>0</v>
      </c>
      <c r="D1230">
        <v>1</v>
      </c>
      <c r="E1230">
        <v>63</v>
      </c>
      <c r="F1230">
        <v>0</v>
      </c>
      <c r="G1230">
        <v>1</v>
      </c>
      <c r="H1230">
        <v>0</v>
      </c>
      <c r="I1230">
        <v>0</v>
      </c>
      <c r="J1230">
        <v>0</v>
      </c>
      <c r="K1230">
        <v>0</v>
      </c>
      <c r="L1230">
        <v>1</v>
      </c>
      <c r="M1230">
        <v>0</v>
      </c>
      <c r="N1230">
        <v>0</v>
      </c>
      <c r="O1230" t="str" cm="1">
        <f t="array" ref="O1230">_xlfn.IFS(Table1[[#This Row],[Divorced]]=1, "Divorced", Table1[[#This Row],[Married]]=1, "Married", Table1[[#This Row],[Single]]=1, "Single", Table1[[#This Row],[Together]]=1, "Together", Table1[[#This Row],[Widow]]=1, "Widow")</f>
        <v>Married</v>
      </c>
      <c r="P1230" t="str" cm="1">
        <f t="array" ref="P1230">_xlfn.IFS(Table1[[#This Row],[Basic]]=1, "Basic", Table1[[#This Row],[Graduate]]=1, "Graduate", Table1[[#This Row],[Master]]=1, "Master", Table1[[#This Row],[PhD]]=1, "PhD", AND(Table1[[#This Row],[Basic]]=0, Table1[[#This Row],[Graduate]]=0, Table1[[#This Row],[Master]]=0, Table1[[#This Row],[PhD]]=0), "NA")</f>
        <v>Graduate</v>
      </c>
      <c r="Q1230" t="e">
        <f>_xlfn.XLOOKUP(Table1[[#This Row],[ID]], Table2[ID],#REF!, "Not Found", 0)</f>
        <v>#REF!</v>
      </c>
      <c r="R1230" t="e">
        <f>_xlfn.XLOOKUP(Table1[[#This Row],[ID]], Table2[ID],#REF!, "Not Found", 0)</f>
        <v>#REF!</v>
      </c>
      <c r="S1230" s="3" t="str">
        <f>_xlfn.XLOOKUP(Table1[[#This Row],[ID]], Table2[ID], Table2[Enrollment], "Not Found", 0)</f>
        <v>8/27/2019</v>
      </c>
      <c r="T1230" t="s">
        <v>439</v>
      </c>
    </row>
    <row r="1231" spans="1:20" x14ac:dyDescent="0.3">
      <c r="A1231">
        <v>2020</v>
      </c>
      <c r="B1231">
        <v>147703</v>
      </c>
      <c r="C1231">
        <v>0</v>
      </c>
      <c r="D1231">
        <v>1</v>
      </c>
      <c r="E1231">
        <v>67</v>
      </c>
      <c r="F1231">
        <v>0</v>
      </c>
      <c r="G1231">
        <v>1</v>
      </c>
      <c r="H1231">
        <v>0</v>
      </c>
      <c r="I1231">
        <v>0</v>
      </c>
      <c r="J1231">
        <v>0</v>
      </c>
      <c r="K1231">
        <v>0</v>
      </c>
      <c r="L1231">
        <v>1</v>
      </c>
      <c r="M1231">
        <v>0</v>
      </c>
      <c r="N1231">
        <v>0</v>
      </c>
      <c r="O1231" t="str" cm="1">
        <f t="array" ref="O1231">_xlfn.IFS(Table1[[#This Row],[Divorced]]=1, "Divorced", Table1[[#This Row],[Married]]=1, "Married", Table1[[#This Row],[Single]]=1, "Single", Table1[[#This Row],[Together]]=1, "Together", Table1[[#This Row],[Widow]]=1, "Widow")</f>
        <v>Married</v>
      </c>
      <c r="P1231" t="str" cm="1">
        <f t="array" ref="P1231">_xlfn.IFS(Table1[[#This Row],[Basic]]=1, "Basic", Table1[[#This Row],[Graduate]]=1, "Graduate", Table1[[#This Row],[Master]]=1, "Master", Table1[[#This Row],[PhD]]=1, "PhD", AND(Table1[[#This Row],[Basic]]=0, Table1[[#This Row],[Graduate]]=0, Table1[[#This Row],[Master]]=0, Table1[[#This Row],[PhD]]=0), "NA")</f>
        <v>Graduate</v>
      </c>
      <c r="Q1231" t="e">
        <f>_xlfn.XLOOKUP(Table1[[#This Row],[ID]], Table2[ID],#REF!, "Not Found", 0)</f>
        <v>#REF!</v>
      </c>
      <c r="R1231" t="e">
        <f>_xlfn.XLOOKUP(Table1[[#This Row],[ID]], Table2[ID],#REF!, "Not Found", 0)</f>
        <v>#REF!</v>
      </c>
      <c r="S1231" s="3">
        <f>_xlfn.XLOOKUP(Table1[[#This Row],[ID]], Table2[ID], Table2[Enrollment], "Not Found", 0)</f>
        <v>43535</v>
      </c>
      <c r="T1231" t="s">
        <v>439</v>
      </c>
    </row>
    <row r="1232" spans="1:20" x14ac:dyDescent="0.3">
      <c r="A1232">
        <v>1552</v>
      </c>
      <c r="B1232">
        <v>147691</v>
      </c>
      <c r="C1232">
        <v>0</v>
      </c>
      <c r="D1232">
        <v>1</v>
      </c>
      <c r="E1232">
        <v>41</v>
      </c>
      <c r="F1232">
        <v>0</v>
      </c>
      <c r="G1232">
        <v>0</v>
      </c>
      <c r="H1232">
        <v>1</v>
      </c>
      <c r="I1232">
        <v>0</v>
      </c>
      <c r="J1232">
        <v>0</v>
      </c>
      <c r="K1232">
        <v>0</v>
      </c>
      <c r="L1232">
        <v>1</v>
      </c>
      <c r="M1232">
        <v>0</v>
      </c>
      <c r="N1232">
        <v>0</v>
      </c>
      <c r="O1232" t="str" cm="1">
        <f t="array" ref="O1232">_xlfn.IFS(Table1[[#This Row],[Divorced]]=1, "Divorced", Table1[[#This Row],[Married]]=1, "Married", Table1[[#This Row],[Single]]=1, "Single", Table1[[#This Row],[Together]]=1, "Together", Table1[[#This Row],[Widow]]=1, "Widow")</f>
        <v>Single</v>
      </c>
      <c r="P1232" t="str" cm="1">
        <f t="array" ref="P1232">_xlfn.IFS(Table1[[#This Row],[Basic]]=1, "Basic", Table1[[#This Row],[Graduate]]=1, "Graduate", Table1[[#This Row],[Master]]=1, "Master", Table1[[#This Row],[PhD]]=1, "PhD", AND(Table1[[#This Row],[Basic]]=0, Table1[[#This Row],[Graduate]]=0, Table1[[#This Row],[Master]]=0, Table1[[#This Row],[PhD]]=0), "NA")</f>
        <v>Graduate</v>
      </c>
      <c r="Q1232" t="e">
        <f>_xlfn.XLOOKUP(Table1[[#This Row],[ID]], Table2[ID],#REF!, "Not Found", 0)</f>
        <v>#REF!</v>
      </c>
      <c r="R1232" t="e">
        <f>_xlfn.XLOOKUP(Table1[[#This Row],[ID]], Table2[ID],#REF!, "Not Found", 0)</f>
        <v>#REF!</v>
      </c>
      <c r="S1232" s="3">
        <f>_xlfn.XLOOKUP(Table1[[#This Row],[ID]], Table2[ID], Table2[Enrollment], "Not Found", 0)</f>
        <v>43750</v>
      </c>
      <c r="T1232" t="s">
        <v>439</v>
      </c>
    </row>
    <row r="1233" spans="1:20" x14ac:dyDescent="0.3">
      <c r="A1233">
        <v>1514</v>
      </c>
      <c r="B1233">
        <v>147682</v>
      </c>
      <c r="C1233">
        <v>0</v>
      </c>
      <c r="D1233">
        <v>1</v>
      </c>
      <c r="E1233">
        <v>45</v>
      </c>
      <c r="F1233">
        <v>0</v>
      </c>
      <c r="G1233">
        <v>0</v>
      </c>
      <c r="H1233">
        <v>0</v>
      </c>
      <c r="I1233">
        <v>0</v>
      </c>
      <c r="J1233">
        <v>1</v>
      </c>
      <c r="K1233">
        <v>0</v>
      </c>
      <c r="L1233">
        <v>0</v>
      </c>
      <c r="M1233">
        <v>0</v>
      </c>
      <c r="N1233">
        <v>0</v>
      </c>
      <c r="O1233" t="str" cm="1">
        <f t="array" ref="O1233">_xlfn.IFS(Table1[[#This Row],[Divorced]]=1, "Divorced", Table1[[#This Row],[Married]]=1, "Married", Table1[[#This Row],[Single]]=1, "Single", Table1[[#This Row],[Together]]=1, "Together", Table1[[#This Row],[Widow]]=1, "Widow")</f>
        <v>Widow</v>
      </c>
      <c r="P1233" t="str" cm="1">
        <f t="array" ref="P1233">_xlfn.IFS(Table1[[#This Row],[Basic]]=1, "Basic", Table1[[#This Row],[Graduate]]=1, "Graduate", Table1[[#This Row],[Master]]=1, "Master", Table1[[#This Row],[PhD]]=1, "PhD", AND(Table1[[#This Row],[Basic]]=0, Table1[[#This Row],[Graduate]]=0, Table1[[#This Row],[Master]]=0, Table1[[#This Row],[PhD]]=0), "NA")</f>
        <v>NA</v>
      </c>
      <c r="Q1233" t="e">
        <f>_xlfn.XLOOKUP(Table1[[#This Row],[ID]], Table2[ID],#REF!, "Not Found", 0)</f>
        <v>#REF!</v>
      </c>
      <c r="R1233" t="e">
        <f>_xlfn.XLOOKUP(Table1[[#This Row],[ID]], Table2[ID],#REF!, "Not Found", 0)</f>
        <v>#REF!</v>
      </c>
      <c r="S1233" s="3" t="str">
        <f>_xlfn.XLOOKUP(Table1[[#This Row],[ID]], Table2[ID], Table2[Enrollment], "Not Found", 0)</f>
        <v>7/23/2019</v>
      </c>
      <c r="T1233" t="s">
        <v>438</v>
      </c>
    </row>
    <row r="1234" spans="1:20" x14ac:dyDescent="0.3">
      <c r="A1234">
        <v>1675</v>
      </c>
      <c r="B1234">
        <v>147570</v>
      </c>
      <c r="C1234">
        <v>1</v>
      </c>
      <c r="D1234">
        <v>1</v>
      </c>
      <c r="E1234">
        <v>71</v>
      </c>
      <c r="F1234">
        <v>0</v>
      </c>
      <c r="G1234">
        <v>0</v>
      </c>
      <c r="H1234">
        <v>0</v>
      </c>
      <c r="I1234">
        <v>0</v>
      </c>
      <c r="J1234">
        <v>1</v>
      </c>
      <c r="K1234">
        <v>0</v>
      </c>
      <c r="L1234">
        <v>0</v>
      </c>
      <c r="M1234">
        <v>1</v>
      </c>
      <c r="N1234">
        <v>0</v>
      </c>
      <c r="O1234" t="str" cm="1">
        <f t="array" ref="O1234">_xlfn.IFS(Table1[[#This Row],[Divorced]]=1, "Divorced", Table1[[#This Row],[Married]]=1, "Married", Table1[[#This Row],[Single]]=1, "Single", Table1[[#This Row],[Together]]=1, "Together", Table1[[#This Row],[Widow]]=1, "Widow")</f>
        <v>Widow</v>
      </c>
      <c r="P1234" t="str" cm="1">
        <f t="array" ref="P1234">_xlfn.IFS(Table1[[#This Row],[Basic]]=1, "Basic", Table1[[#This Row],[Graduate]]=1, "Graduate", Table1[[#This Row],[Master]]=1, "Master", Table1[[#This Row],[PhD]]=1, "PhD", AND(Table1[[#This Row],[Basic]]=0, Table1[[#This Row],[Graduate]]=0, Table1[[#This Row],[Master]]=0, Table1[[#This Row],[PhD]]=0), "NA")</f>
        <v>Master</v>
      </c>
      <c r="Q1234" t="e">
        <f>_xlfn.XLOOKUP(Table1[[#This Row],[ID]], Table2[ID],#REF!, "Not Found", 0)</f>
        <v>#REF!</v>
      </c>
      <c r="R1234" t="e">
        <f>_xlfn.XLOOKUP(Table1[[#This Row],[ID]], Table2[ID],#REF!, "Not Found", 0)</f>
        <v>#REF!</v>
      </c>
      <c r="S1234" s="3">
        <f>_xlfn.XLOOKUP(Table1[[#This Row],[ID]], Table2[ID], Table2[Enrollment], "Not Found", 0)</f>
        <v>43535</v>
      </c>
      <c r="T1234" t="s">
        <v>437</v>
      </c>
    </row>
    <row r="1235" spans="1:20" x14ac:dyDescent="0.3">
      <c r="A1235">
        <v>1562</v>
      </c>
      <c r="B1235">
        <v>147472</v>
      </c>
      <c r="C1235">
        <v>1</v>
      </c>
      <c r="D1235">
        <v>1</v>
      </c>
      <c r="E1235">
        <v>54</v>
      </c>
      <c r="F1235">
        <v>0</v>
      </c>
      <c r="G1235">
        <v>0</v>
      </c>
      <c r="H1235">
        <v>0</v>
      </c>
      <c r="I1235">
        <v>1</v>
      </c>
      <c r="J1235">
        <v>0</v>
      </c>
      <c r="K1235">
        <v>0</v>
      </c>
      <c r="L1235">
        <v>0</v>
      </c>
      <c r="M1235">
        <v>0</v>
      </c>
      <c r="N1235">
        <v>1</v>
      </c>
      <c r="O1235" t="str" cm="1">
        <f t="array" ref="O1235">_xlfn.IFS(Table1[[#This Row],[Divorced]]=1, "Divorced", Table1[[#This Row],[Married]]=1, "Married", Table1[[#This Row],[Single]]=1, "Single", Table1[[#This Row],[Together]]=1, "Together", Table1[[#This Row],[Widow]]=1, "Widow")</f>
        <v>Together</v>
      </c>
      <c r="P1235" t="str" cm="1">
        <f t="array" ref="P1235">_xlfn.IFS(Table1[[#This Row],[Basic]]=1, "Basic", Table1[[#This Row],[Graduate]]=1, "Graduate", Table1[[#This Row],[Master]]=1, "Master", Table1[[#This Row],[PhD]]=1, "PhD", AND(Table1[[#This Row],[Basic]]=0, Table1[[#This Row],[Graduate]]=0, Table1[[#This Row],[Master]]=0, Table1[[#This Row],[PhD]]=0), "NA")</f>
        <v>PhD</v>
      </c>
      <c r="Q1235" t="e">
        <f>_xlfn.XLOOKUP(Table1[[#This Row],[ID]], Table2[ID],#REF!, "Not Found", 0)</f>
        <v>#REF!</v>
      </c>
      <c r="R1235" t="e">
        <f>_xlfn.XLOOKUP(Table1[[#This Row],[ID]], Table2[ID],#REF!, "Not Found", 0)</f>
        <v>#REF!</v>
      </c>
      <c r="S1235" s="3" t="str">
        <f>_xlfn.XLOOKUP(Table1[[#This Row],[ID]], Table2[ID], Table2[Enrollment], "Not Found", 0)</f>
        <v>2/21/2020</v>
      </c>
      <c r="T1235" t="s">
        <v>438</v>
      </c>
    </row>
    <row r="1236" spans="1:20" x14ac:dyDescent="0.3">
      <c r="A1236">
        <v>2156</v>
      </c>
      <c r="B1236">
        <v>147353</v>
      </c>
      <c r="C1236">
        <v>0</v>
      </c>
      <c r="D1236">
        <v>1</v>
      </c>
      <c r="E1236">
        <v>60</v>
      </c>
      <c r="F1236">
        <v>0</v>
      </c>
      <c r="G1236">
        <v>1</v>
      </c>
      <c r="H1236">
        <v>0</v>
      </c>
      <c r="I1236">
        <v>0</v>
      </c>
      <c r="J1236">
        <v>0</v>
      </c>
      <c r="K1236">
        <v>0</v>
      </c>
      <c r="L1236">
        <v>0</v>
      </c>
      <c r="M1236">
        <v>1</v>
      </c>
      <c r="N1236">
        <v>0</v>
      </c>
      <c r="O1236" t="str" cm="1">
        <f t="array" ref="O1236">_xlfn.IFS(Table1[[#This Row],[Divorced]]=1, "Divorced", Table1[[#This Row],[Married]]=1, "Married", Table1[[#This Row],[Single]]=1, "Single", Table1[[#This Row],[Together]]=1, "Together", Table1[[#This Row],[Widow]]=1, "Widow")</f>
        <v>Married</v>
      </c>
      <c r="P1236" t="str" cm="1">
        <f t="array" ref="P1236">_xlfn.IFS(Table1[[#This Row],[Basic]]=1, "Basic", Table1[[#This Row],[Graduate]]=1, "Graduate", Table1[[#This Row],[Master]]=1, "Master", Table1[[#This Row],[PhD]]=1, "PhD", AND(Table1[[#This Row],[Basic]]=0, Table1[[#This Row],[Graduate]]=0, Table1[[#This Row],[Master]]=0, Table1[[#This Row],[PhD]]=0), "NA")</f>
        <v>Master</v>
      </c>
      <c r="Q1236" t="e">
        <f>_xlfn.XLOOKUP(Table1[[#This Row],[ID]], Table2[ID],#REF!, "Not Found", 0)</f>
        <v>#REF!</v>
      </c>
      <c r="R1236" t="e">
        <f>_xlfn.XLOOKUP(Table1[[#This Row],[ID]], Table2[ID],#REF!, "Not Found", 0)</f>
        <v>#REF!</v>
      </c>
      <c r="S1236" s="3" t="str">
        <f>_xlfn.XLOOKUP(Table1[[#This Row],[ID]], Table2[ID], Table2[Enrollment], "Not Found", 0)</f>
        <v>4/19/2020</v>
      </c>
      <c r="T1236" t="s">
        <v>438</v>
      </c>
    </row>
    <row r="1237" spans="1:20" x14ac:dyDescent="0.3">
      <c r="A1237">
        <v>1519</v>
      </c>
      <c r="B1237">
        <v>147352</v>
      </c>
      <c r="C1237">
        <v>0</v>
      </c>
      <c r="D1237">
        <v>1</v>
      </c>
      <c r="E1237">
        <v>69</v>
      </c>
      <c r="F1237">
        <v>0</v>
      </c>
      <c r="G1237">
        <v>0</v>
      </c>
      <c r="H1237">
        <v>0</v>
      </c>
      <c r="I1237">
        <v>1</v>
      </c>
      <c r="J1237">
        <v>0</v>
      </c>
      <c r="K1237">
        <v>0</v>
      </c>
      <c r="L1237">
        <v>0</v>
      </c>
      <c r="M1237">
        <v>1</v>
      </c>
      <c r="N1237">
        <v>0</v>
      </c>
      <c r="O1237" t="str" cm="1">
        <f t="array" ref="O1237">_xlfn.IFS(Table1[[#This Row],[Divorced]]=1, "Divorced", Table1[[#This Row],[Married]]=1, "Married", Table1[[#This Row],[Single]]=1, "Single", Table1[[#This Row],[Together]]=1, "Together", Table1[[#This Row],[Widow]]=1, "Widow")</f>
        <v>Together</v>
      </c>
      <c r="P1237" t="str" cm="1">
        <f t="array" ref="P1237">_xlfn.IFS(Table1[[#This Row],[Basic]]=1, "Basic", Table1[[#This Row],[Graduate]]=1, "Graduate", Table1[[#This Row],[Master]]=1, "Master", Table1[[#This Row],[PhD]]=1, "PhD", AND(Table1[[#This Row],[Basic]]=0, Table1[[#This Row],[Graduate]]=0, Table1[[#This Row],[Master]]=0, Table1[[#This Row],[PhD]]=0), "NA")</f>
        <v>Master</v>
      </c>
      <c r="Q1237" t="e">
        <f>_xlfn.XLOOKUP(Table1[[#This Row],[ID]], Table2[ID],#REF!, "Not Found", 0)</f>
        <v>#REF!</v>
      </c>
      <c r="R1237" t="e">
        <f>_xlfn.XLOOKUP(Table1[[#This Row],[ID]], Table2[ID],#REF!, "Not Found", 0)</f>
        <v>#REF!</v>
      </c>
      <c r="S1237" s="3" t="str">
        <f>_xlfn.XLOOKUP(Table1[[#This Row],[ID]], Table2[ID], Table2[Enrollment], "Not Found", 0)</f>
        <v>9/16/2019</v>
      </c>
      <c r="T1237" t="s">
        <v>437</v>
      </c>
    </row>
    <row r="1238" spans="1:20" x14ac:dyDescent="0.3">
      <c r="A1238">
        <v>2382</v>
      </c>
      <c r="B1238">
        <v>147352</v>
      </c>
      <c r="C1238">
        <v>0</v>
      </c>
      <c r="D1238">
        <v>1</v>
      </c>
      <c r="E1238">
        <v>69</v>
      </c>
      <c r="F1238">
        <v>0</v>
      </c>
      <c r="G1238">
        <v>0</v>
      </c>
      <c r="H1238">
        <v>0</v>
      </c>
      <c r="I1238">
        <v>1</v>
      </c>
      <c r="J1238">
        <v>0</v>
      </c>
      <c r="K1238">
        <v>0</v>
      </c>
      <c r="L1238">
        <v>0</v>
      </c>
      <c r="M1238">
        <v>1</v>
      </c>
      <c r="N1238">
        <v>0</v>
      </c>
      <c r="O1238" t="str" cm="1">
        <f t="array" ref="O1238">_xlfn.IFS(Table1[[#This Row],[Divorced]]=1, "Divorced", Table1[[#This Row],[Married]]=1, "Married", Table1[[#This Row],[Single]]=1, "Single", Table1[[#This Row],[Together]]=1, "Together", Table1[[#This Row],[Widow]]=1, "Widow")</f>
        <v>Together</v>
      </c>
      <c r="P1238" t="str" cm="1">
        <f t="array" ref="P1238">_xlfn.IFS(Table1[[#This Row],[Basic]]=1, "Basic", Table1[[#This Row],[Graduate]]=1, "Graduate", Table1[[#This Row],[Master]]=1, "Master", Table1[[#This Row],[PhD]]=1, "PhD", AND(Table1[[#This Row],[Basic]]=0, Table1[[#This Row],[Graduate]]=0, Table1[[#This Row],[Master]]=0, Table1[[#This Row],[PhD]]=0), "NA")</f>
        <v>Master</v>
      </c>
      <c r="Q1238" t="e">
        <f>_xlfn.XLOOKUP(Table1[[#This Row],[ID]], Table2[ID],#REF!, "Not Found", 0)</f>
        <v>#REF!</v>
      </c>
      <c r="R1238" t="e">
        <f>_xlfn.XLOOKUP(Table1[[#This Row],[ID]], Table2[ID],#REF!, "Not Found", 0)</f>
        <v>#REF!</v>
      </c>
      <c r="S1238" s="3" t="str">
        <f>_xlfn.XLOOKUP(Table1[[#This Row],[ID]], Table2[ID], Table2[Enrollment], "Not Found", 0)</f>
        <v>9/16/2019</v>
      </c>
      <c r="T1238" t="s">
        <v>436</v>
      </c>
    </row>
    <row r="1239" spans="1:20" x14ac:dyDescent="0.3">
      <c r="A1239">
        <v>3130</v>
      </c>
      <c r="B1239">
        <v>147320</v>
      </c>
      <c r="C1239">
        <v>0</v>
      </c>
      <c r="D1239">
        <v>1</v>
      </c>
      <c r="E1239">
        <v>63</v>
      </c>
      <c r="F1239">
        <v>0</v>
      </c>
      <c r="G1239">
        <v>0</v>
      </c>
      <c r="H1239">
        <v>0</v>
      </c>
      <c r="I1239">
        <v>1</v>
      </c>
      <c r="J1239">
        <v>0</v>
      </c>
      <c r="K1239">
        <v>0</v>
      </c>
      <c r="L1239">
        <v>1</v>
      </c>
      <c r="M1239">
        <v>0</v>
      </c>
      <c r="N1239">
        <v>0</v>
      </c>
      <c r="O1239" t="str" cm="1">
        <f t="array" ref="O1239">_xlfn.IFS(Table1[[#This Row],[Divorced]]=1, "Divorced", Table1[[#This Row],[Married]]=1, "Married", Table1[[#This Row],[Single]]=1, "Single", Table1[[#This Row],[Together]]=1, "Together", Table1[[#This Row],[Widow]]=1, "Widow")</f>
        <v>Together</v>
      </c>
      <c r="P1239" t="str" cm="1">
        <f t="array" ref="P1239">_xlfn.IFS(Table1[[#This Row],[Basic]]=1, "Basic", Table1[[#This Row],[Graduate]]=1, "Graduate", Table1[[#This Row],[Master]]=1, "Master", Table1[[#This Row],[PhD]]=1, "PhD", AND(Table1[[#This Row],[Basic]]=0, Table1[[#This Row],[Graduate]]=0, Table1[[#This Row],[Master]]=0, Table1[[#This Row],[PhD]]=0), "NA")</f>
        <v>Graduate</v>
      </c>
      <c r="Q1239" t="e">
        <f>_xlfn.XLOOKUP(Table1[[#This Row],[ID]], Table2[ID],#REF!, "Not Found", 0)</f>
        <v>#REF!</v>
      </c>
      <c r="R1239" t="e">
        <f>_xlfn.XLOOKUP(Table1[[#This Row],[ID]], Table2[ID],#REF!, "Not Found", 0)</f>
        <v>#REF!</v>
      </c>
      <c r="S1239" s="3">
        <f>_xlfn.XLOOKUP(Table1[[#This Row],[ID]], Table2[ID], Table2[Enrollment], "Not Found", 0)</f>
        <v>43983</v>
      </c>
      <c r="T1239" t="s">
        <v>439</v>
      </c>
    </row>
    <row r="1240" spans="1:20" x14ac:dyDescent="0.3">
      <c r="A1240">
        <v>2532</v>
      </c>
      <c r="B1240">
        <v>147175</v>
      </c>
      <c r="C1240">
        <v>1</v>
      </c>
      <c r="D1240">
        <v>1</v>
      </c>
      <c r="E1240">
        <v>58</v>
      </c>
      <c r="F1240">
        <v>0</v>
      </c>
      <c r="G1240">
        <v>0</v>
      </c>
      <c r="H1240">
        <v>0</v>
      </c>
      <c r="I1240">
        <v>1</v>
      </c>
      <c r="J1240">
        <v>0</v>
      </c>
      <c r="K1240">
        <v>0</v>
      </c>
      <c r="L1240">
        <v>0</v>
      </c>
      <c r="M1240">
        <v>1</v>
      </c>
      <c r="N1240">
        <v>0</v>
      </c>
      <c r="O1240" t="str" cm="1">
        <f t="array" ref="O1240">_xlfn.IFS(Table1[[#This Row],[Divorced]]=1, "Divorced", Table1[[#This Row],[Married]]=1, "Married", Table1[[#This Row],[Single]]=1, "Single", Table1[[#This Row],[Together]]=1, "Together", Table1[[#This Row],[Widow]]=1, "Widow")</f>
        <v>Together</v>
      </c>
      <c r="P1240" t="str" cm="1">
        <f t="array" ref="P1240">_xlfn.IFS(Table1[[#This Row],[Basic]]=1, "Basic", Table1[[#This Row],[Graduate]]=1, "Graduate", Table1[[#This Row],[Master]]=1, "Master", Table1[[#This Row],[PhD]]=1, "PhD", AND(Table1[[#This Row],[Basic]]=0, Table1[[#This Row],[Graduate]]=0, Table1[[#This Row],[Master]]=0, Table1[[#This Row],[PhD]]=0), "NA")</f>
        <v>Master</v>
      </c>
      <c r="Q1240" t="e">
        <f>_xlfn.XLOOKUP(Table1[[#This Row],[ID]], Table2[ID],#REF!, "Not Found", 0)</f>
        <v>#REF!</v>
      </c>
      <c r="R1240" t="e">
        <f>_xlfn.XLOOKUP(Table1[[#This Row],[ID]], Table2[ID],#REF!, "Not Found", 0)</f>
        <v>#REF!</v>
      </c>
      <c r="S1240" s="3">
        <f>_xlfn.XLOOKUP(Table1[[#This Row],[ID]], Table2[ID], Table2[Enrollment], "Not Found", 0)</f>
        <v>43559</v>
      </c>
      <c r="T1240" t="s">
        <v>436</v>
      </c>
    </row>
    <row r="1241" spans="1:20" x14ac:dyDescent="0.3">
      <c r="A1241">
        <v>2245</v>
      </c>
      <c r="B1241">
        <v>147139</v>
      </c>
      <c r="C1241">
        <v>1</v>
      </c>
      <c r="D1241">
        <v>1</v>
      </c>
      <c r="E1241">
        <v>68</v>
      </c>
      <c r="F1241">
        <v>0</v>
      </c>
      <c r="G1241">
        <v>0</v>
      </c>
      <c r="H1241">
        <v>1</v>
      </c>
      <c r="I1241">
        <v>0</v>
      </c>
      <c r="J1241">
        <v>0</v>
      </c>
      <c r="K1241">
        <v>0</v>
      </c>
      <c r="L1241">
        <v>1</v>
      </c>
      <c r="M1241">
        <v>0</v>
      </c>
      <c r="N1241">
        <v>0</v>
      </c>
      <c r="O1241" t="str" cm="1">
        <f t="array" ref="O1241">_xlfn.IFS(Table1[[#This Row],[Divorced]]=1, "Divorced", Table1[[#This Row],[Married]]=1, "Married", Table1[[#This Row],[Single]]=1, "Single", Table1[[#This Row],[Together]]=1, "Together", Table1[[#This Row],[Widow]]=1, "Widow")</f>
        <v>Single</v>
      </c>
      <c r="P1241" t="str" cm="1">
        <f t="array" ref="P1241">_xlfn.IFS(Table1[[#This Row],[Basic]]=1, "Basic", Table1[[#This Row],[Graduate]]=1, "Graduate", Table1[[#This Row],[Master]]=1, "Master", Table1[[#This Row],[PhD]]=1, "PhD", AND(Table1[[#This Row],[Basic]]=0, Table1[[#This Row],[Graduate]]=0, Table1[[#This Row],[Master]]=0, Table1[[#This Row],[PhD]]=0), "NA")</f>
        <v>Graduate</v>
      </c>
      <c r="Q1241" t="e">
        <f>_xlfn.XLOOKUP(Table1[[#This Row],[ID]], Table2[ID],#REF!, "Not Found", 0)</f>
        <v>#REF!</v>
      </c>
      <c r="R1241" t="e">
        <f>_xlfn.XLOOKUP(Table1[[#This Row],[ID]], Table2[ID],#REF!, "Not Found", 0)</f>
        <v>#REF!</v>
      </c>
      <c r="S1241" s="3">
        <f>_xlfn.XLOOKUP(Table1[[#This Row],[ID]], Table2[ID], Table2[Enrollment], "Not Found", 0)</f>
        <v>44112</v>
      </c>
      <c r="T1241" t="s">
        <v>437</v>
      </c>
    </row>
    <row r="1242" spans="1:20" x14ac:dyDescent="0.3">
      <c r="A1242">
        <v>2602</v>
      </c>
      <c r="B1242">
        <v>147111</v>
      </c>
      <c r="C1242">
        <v>0</v>
      </c>
      <c r="D1242">
        <v>1</v>
      </c>
      <c r="E1242">
        <v>49</v>
      </c>
      <c r="F1242">
        <v>0</v>
      </c>
      <c r="G1242">
        <v>0</v>
      </c>
      <c r="H1242">
        <v>0</v>
      </c>
      <c r="I1242">
        <v>0</v>
      </c>
      <c r="J1242">
        <v>1</v>
      </c>
      <c r="K1242">
        <v>0</v>
      </c>
      <c r="L1242">
        <v>0</v>
      </c>
      <c r="M1242">
        <v>0</v>
      </c>
      <c r="N1242">
        <v>1</v>
      </c>
      <c r="O1242" t="str" cm="1">
        <f t="array" ref="O1242">_xlfn.IFS(Table1[[#This Row],[Divorced]]=1, "Divorced", Table1[[#This Row],[Married]]=1, "Married", Table1[[#This Row],[Single]]=1, "Single", Table1[[#This Row],[Together]]=1, "Together", Table1[[#This Row],[Widow]]=1, "Widow")</f>
        <v>Widow</v>
      </c>
      <c r="P1242" t="str" cm="1">
        <f t="array" ref="P1242">_xlfn.IFS(Table1[[#This Row],[Basic]]=1, "Basic", Table1[[#This Row],[Graduate]]=1, "Graduate", Table1[[#This Row],[Master]]=1, "Master", Table1[[#This Row],[PhD]]=1, "PhD", AND(Table1[[#This Row],[Basic]]=0, Table1[[#This Row],[Graduate]]=0, Table1[[#This Row],[Master]]=0, Table1[[#This Row],[PhD]]=0), "NA")</f>
        <v>PhD</v>
      </c>
      <c r="Q1242" t="e">
        <f>_xlfn.XLOOKUP(Table1[[#This Row],[ID]], Table2[ID],#REF!, "Not Found", 0)</f>
        <v>#REF!</v>
      </c>
      <c r="R1242" t="e">
        <f>_xlfn.XLOOKUP(Table1[[#This Row],[ID]], Table2[ID],#REF!, "Not Found", 0)</f>
        <v>#REF!</v>
      </c>
      <c r="S1242" s="3" t="str">
        <f>_xlfn.XLOOKUP(Table1[[#This Row],[ID]], Table2[ID], Table2[Enrollment], "Not Found", 0)</f>
        <v>2/13/2019</v>
      </c>
      <c r="T1242" t="s">
        <v>439</v>
      </c>
    </row>
    <row r="1243" spans="1:20" x14ac:dyDescent="0.3">
      <c r="A1243">
        <v>1307</v>
      </c>
      <c r="B1243">
        <v>147025</v>
      </c>
      <c r="C1243">
        <v>1</v>
      </c>
      <c r="D1243">
        <v>1</v>
      </c>
      <c r="E1243">
        <v>55</v>
      </c>
      <c r="F1243">
        <v>1</v>
      </c>
      <c r="G1243">
        <v>0</v>
      </c>
      <c r="H1243">
        <v>0</v>
      </c>
      <c r="I1243">
        <v>0</v>
      </c>
      <c r="J1243">
        <v>0</v>
      </c>
      <c r="K1243">
        <v>0</v>
      </c>
      <c r="L1243">
        <v>0</v>
      </c>
      <c r="M1243">
        <v>0</v>
      </c>
      <c r="N1243">
        <v>1</v>
      </c>
      <c r="O1243" t="str" cm="1">
        <f t="array" ref="O1243">_xlfn.IFS(Table1[[#This Row],[Divorced]]=1, "Divorced", Table1[[#This Row],[Married]]=1, "Married", Table1[[#This Row],[Single]]=1, "Single", Table1[[#This Row],[Together]]=1, "Together", Table1[[#This Row],[Widow]]=1, "Widow")</f>
        <v>Divorced</v>
      </c>
      <c r="P1243" t="str" cm="1">
        <f t="array" ref="P1243">_xlfn.IFS(Table1[[#This Row],[Basic]]=1, "Basic", Table1[[#This Row],[Graduate]]=1, "Graduate", Table1[[#This Row],[Master]]=1, "Master", Table1[[#This Row],[PhD]]=1, "PhD", AND(Table1[[#This Row],[Basic]]=0, Table1[[#This Row],[Graduate]]=0, Table1[[#This Row],[Master]]=0, Table1[[#This Row],[PhD]]=0), "NA")</f>
        <v>PhD</v>
      </c>
      <c r="Q1243" t="e">
        <f>_xlfn.XLOOKUP(Table1[[#This Row],[ID]], Table2[ID],#REF!, "Not Found", 0)</f>
        <v>#REF!</v>
      </c>
      <c r="R1243" t="e">
        <f>_xlfn.XLOOKUP(Table1[[#This Row],[ID]], Table2[ID],#REF!, "Not Found", 0)</f>
        <v>#REF!</v>
      </c>
      <c r="S1243" s="3" t="str">
        <f>_xlfn.XLOOKUP(Table1[[#This Row],[ID]], Table2[ID], Table2[Enrollment], "Not Found", 0)</f>
        <v>7/16/2020</v>
      </c>
      <c r="T1243" t="s">
        <v>434</v>
      </c>
    </row>
    <row r="1244" spans="1:20" x14ac:dyDescent="0.3">
      <c r="A1244">
        <v>2346</v>
      </c>
      <c r="B1244">
        <v>147025</v>
      </c>
      <c r="C1244">
        <v>0</v>
      </c>
      <c r="D1244">
        <v>1</v>
      </c>
      <c r="E1244">
        <v>44</v>
      </c>
      <c r="F1244">
        <v>0</v>
      </c>
      <c r="G1244">
        <v>0</v>
      </c>
      <c r="H1244">
        <v>1</v>
      </c>
      <c r="I1244">
        <v>0</v>
      </c>
      <c r="J1244">
        <v>0</v>
      </c>
      <c r="K1244">
        <v>0</v>
      </c>
      <c r="L1244">
        <v>1</v>
      </c>
      <c r="M1244">
        <v>0</v>
      </c>
      <c r="N1244">
        <v>0</v>
      </c>
      <c r="O1244" t="str" cm="1">
        <f t="array" ref="O1244">_xlfn.IFS(Table1[[#This Row],[Divorced]]=1, "Divorced", Table1[[#This Row],[Married]]=1, "Married", Table1[[#This Row],[Single]]=1, "Single", Table1[[#This Row],[Together]]=1, "Together", Table1[[#This Row],[Widow]]=1, "Widow")</f>
        <v>Single</v>
      </c>
      <c r="P1244" t="str" cm="1">
        <f t="array" ref="P1244">_xlfn.IFS(Table1[[#This Row],[Basic]]=1, "Basic", Table1[[#This Row],[Graduate]]=1, "Graduate", Table1[[#This Row],[Master]]=1, "Master", Table1[[#This Row],[PhD]]=1, "PhD", AND(Table1[[#This Row],[Basic]]=0, Table1[[#This Row],[Graduate]]=0, Table1[[#This Row],[Master]]=0, Table1[[#This Row],[PhD]]=0), "NA")</f>
        <v>Graduate</v>
      </c>
      <c r="Q1244" t="e">
        <f>_xlfn.XLOOKUP(Table1[[#This Row],[ID]], Table2[ID],#REF!, "Not Found", 0)</f>
        <v>#REF!</v>
      </c>
      <c r="R1244" t="e">
        <f>_xlfn.XLOOKUP(Table1[[#This Row],[ID]], Table2[ID],#REF!, "Not Found", 0)</f>
        <v>#REF!</v>
      </c>
      <c r="S1244" s="3" t="str">
        <f>_xlfn.XLOOKUP(Table1[[#This Row],[ID]], Table2[ID], Table2[Enrollment], "Not Found", 0)</f>
        <v>4/13/2020</v>
      </c>
      <c r="T1244" t="s">
        <v>436</v>
      </c>
    </row>
    <row r="1245" spans="1:20" x14ac:dyDescent="0.3">
      <c r="A1245">
        <v>2100</v>
      </c>
      <c r="B1245">
        <v>147025</v>
      </c>
      <c r="C1245">
        <v>0</v>
      </c>
      <c r="D1245">
        <v>1</v>
      </c>
      <c r="E1245">
        <v>42</v>
      </c>
      <c r="F1245">
        <v>0</v>
      </c>
      <c r="G1245">
        <v>1</v>
      </c>
      <c r="H1245">
        <v>0</v>
      </c>
      <c r="I1245">
        <v>0</v>
      </c>
      <c r="J1245">
        <v>0</v>
      </c>
      <c r="K1245">
        <v>0</v>
      </c>
      <c r="L1245">
        <v>0</v>
      </c>
      <c r="M1245">
        <v>0</v>
      </c>
      <c r="N1245">
        <v>0</v>
      </c>
      <c r="O1245" t="str" cm="1">
        <f t="array" ref="O1245">_xlfn.IFS(Table1[[#This Row],[Divorced]]=1, "Divorced", Table1[[#This Row],[Married]]=1, "Married", Table1[[#This Row],[Single]]=1, "Single", Table1[[#This Row],[Together]]=1, "Together", Table1[[#This Row],[Widow]]=1, "Widow")</f>
        <v>Married</v>
      </c>
      <c r="P1245" t="str" cm="1">
        <f t="array" ref="P1245">_xlfn.IFS(Table1[[#This Row],[Basic]]=1, "Basic", Table1[[#This Row],[Graduate]]=1, "Graduate", Table1[[#This Row],[Master]]=1, "Master", Table1[[#This Row],[PhD]]=1, "PhD", AND(Table1[[#This Row],[Basic]]=0, Table1[[#This Row],[Graduate]]=0, Table1[[#This Row],[Master]]=0, Table1[[#This Row],[PhD]]=0), "NA")</f>
        <v>NA</v>
      </c>
      <c r="Q1245" t="e">
        <f>_xlfn.XLOOKUP(Table1[[#This Row],[ID]], Table2[ID],#REF!, "Not Found", 0)</f>
        <v>#REF!</v>
      </c>
      <c r="R1245" t="e">
        <f>_xlfn.XLOOKUP(Table1[[#This Row],[ID]], Table2[ID],#REF!, "Not Found", 0)</f>
        <v>#REF!</v>
      </c>
      <c r="S1245" s="3" t="str">
        <f>_xlfn.XLOOKUP(Table1[[#This Row],[ID]], Table2[ID], Table2[Enrollment], "Not Found", 0)</f>
        <v>2/17/2020</v>
      </c>
      <c r="T1245" t="s">
        <v>436</v>
      </c>
    </row>
    <row r="1246" spans="1:20" x14ac:dyDescent="0.3">
      <c r="A1246">
        <v>2296</v>
      </c>
      <c r="B1246">
        <v>147009</v>
      </c>
      <c r="C1246">
        <v>0</v>
      </c>
      <c r="D1246">
        <v>1</v>
      </c>
      <c r="E1246">
        <v>55</v>
      </c>
      <c r="F1246">
        <v>0</v>
      </c>
      <c r="G1246">
        <v>0</v>
      </c>
      <c r="H1246">
        <v>0</v>
      </c>
      <c r="I1246">
        <v>1</v>
      </c>
      <c r="J1246">
        <v>0</v>
      </c>
      <c r="K1246">
        <v>0</v>
      </c>
      <c r="L1246">
        <v>1</v>
      </c>
      <c r="M1246">
        <v>0</v>
      </c>
      <c r="N1246">
        <v>0</v>
      </c>
      <c r="O1246" t="str" cm="1">
        <f t="array" ref="O1246">_xlfn.IFS(Table1[[#This Row],[Divorced]]=1, "Divorced", Table1[[#This Row],[Married]]=1, "Married", Table1[[#This Row],[Single]]=1, "Single", Table1[[#This Row],[Together]]=1, "Together", Table1[[#This Row],[Widow]]=1, "Widow")</f>
        <v>Together</v>
      </c>
      <c r="P1246" t="str" cm="1">
        <f t="array" ref="P1246">_xlfn.IFS(Table1[[#This Row],[Basic]]=1, "Basic", Table1[[#This Row],[Graduate]]=1, "Graduate", Table1[[#This Row],[Master]]=1, "Master", Table1[[#This Row],[PhD]]=1, "PhD", AND(Table1[[#This Row],[Basic]]=0, Table1[[#This Row],[Graduate]]=0, Table1[[#This Row],[Master]]=0, Table1[[#This Row],[PhD]]=0), "NA")</f>
        <v>Graduate</v>
      </c>
      <c r="Q1246" t="e">
        <f>_xlfn.XLOOKUP(Table1[[#This Row],[ID]], Table2[ID],#REF!, "Not Found", 0)</f>
        <v>#REF!</v>
      </c>
      <c r="R1246" t="e">
        <f>_xlfn.XLOOKUP(Table1[[#This Row],[ID]], Table2[ID],#REF!, "Not Found", 0)</f>
        <v>#REF!</v>
      </c>
      <c r="S1246" s="3">
        <f>_xlfn.XLOOKUP(Table1[[#This Row],[ID]], Table2[ID], Table2[Enrollment], "Not Found", 0)</f>
        <v>44015</v>
      </c>
      <c r="T1246" t="s">
        <v>439</v>
      </c>
    </row>
    <row r="1247" spans="1:20" x14ac:dyDescent="0.3">
      <c r="A1247">
        <v>2932</v>
      </c>
      <c r="B1247">
        <v>146998</v>
      </c>
      <c r="C1247">
        <v>0</v>
      </c>
      <c r="D1247">
        <v>1</v>
      </c>
      <c r="E1247">
        <v>64</v>
      </c>
      <c r="F1247">
        <v>0</v>
      </c>
      <c r="G1247">
        <v>0</v>
      </c>
      <c r="H1247">
        <v>1</v>
      </c>
      <c r="I1247">
        <v>0</v>
      </c>
      <c r="J1247">
        <v>0</v>
      </c>
      <c r="K1247">
        <v>0</v>
      </c>
      <c r="L1247">
        <v>1</v>
      </c>
      <c r="M1247">
        <v>0</v>
      </c>
      <c r="N1247">
        <v>0</v>
      </c>
      <c r="O1247" t="str" cm="1">
        <f t="array" ref="O1247">_xlfn.IFS(Table1[[#This Row],[Divorced]]=1, "Divorced", Table1[[#This Row],[Married]]=1, "Married", Table1[[#This Row],[Single]]=1, "Single", Table1[[#This Row],[Together]]=1, "Together", Table1[[#This Row],[Widow]]=1, "Widow")</f>
        <v>Single</v>
      </c>
      <c r="P1247" t="str" cm="1">
        <f t="array" ref="P1247">_xlfn.IFS(Table1[[#This Row],[Basic]]=1, "Basic", Table1[[#This Row],[Graduate]]=1, "Graduate", Table1[[#This Row],[Master]]=1, "Master", Table1[[#This Row],[PhD]]=1, "PhD", AND(Table1[[#This Row],[Basic]]=0, Table1[[#This Row],[Graduate]]=0, Table1[[#This Row],[Master]]=0, Table1[[#This Row],[PhD]]=0), "NA")</f>
        <v>Graduate</v>
      </c>
      <c r="Q1247" t="e">
        <f>_xlfn.XLOOKUP(Table1[[#This Row],[ID]], Table2[ID],#REF!, "Not Found", 0)</f>
        <v>#REF!</v>
      </c>
      <c r="R1247" t="e">
        <f>_xlfn.XLOOKUP(Table1[[#This Row],[ID]], Table2[ID],#REF!, "Not Found", 0)</f>
        <v>#REF!</v>
      </c>
      <c r="S1247" s="3" t="str">
        <f>_xlfn.XLOOKUP(Table1[[#This Row],[ID]], Table2[ID], Table2[Enrollment], "Not Found", 0)</f>
        <v>3/29/2019</v>
      </c>
      <c r="T1247" t="s">
        <v>439</v>
      </c>
    </row>
    <row r="1248" spans="1:20" x14ac:dyDescent="0.3">
      <c r="A1248">
        <v>1782</v>
      </c>
      <c r="B1248">
        <v>146984</v>
      </c>
      <c r="C1248">
        <v>1</v>
      </c>
      <c r="D1248">
        <v>1</v>
      </c>
      <c r="E1248">
        <v>64</v>
      </c>
      <c r="F1248">
        <v>0</v>
      </c>
      <c r="G1248">
        <v>0</v>
      </c>
      <c r="H1248">
        <v>0</v>
      </c>
      <c r="I1248">
        <v>0</v>
      </c>
      <c r="J1248">
        <v>1</v>
      </c>
      <c r="K1248">
        <v>0</v>
      </c>
      <c r="L1248">
        <v>1</v>
      </c>
      <c r="M1248">
        <v>0</v>
      </c>
      <c r="N1248">
        <v>0</v>
      </c>
      <c r="O1248" t="str" cm="1">
        <f t="array" ref="O1248">_xlfn.IFS(Table1[[#This Row],[Divorced]]=1, "Divorced", Table1[[#This Row],[Married]]=1, "Married", Table1[[#This Row],[Single]]=1, "Single", Table1[[#This Row],[Together]]=1, "Together", Table1[[#This Row],[Widow]]=1, "Widow")</f>
        <v>Widow</v>
      </c>
      <c r="P1248" t="str" cm="1">
        <f t="array" ref="P1248">_xlfn.IFS(Table1[[#This Row],[Basic]]=1, "Basic", Table1[[#This Row],[Graduate]]=1, "Graduate", Table1[[#This Row],[Master]]=1, "Master", Table1[[#This Row],[PhD]]=1, "PhD", AND(Table1[[#This Row],[Basic]]=0, Table1[[#This Row],[Graduate]]=0, Table1[[#This Row],[Master]]=0, Table1[[#This Row],[PhD]]=0), "NA")</f>
        <v>Graduate</v>
      </c>
      <c r="Q1248" t="e">
        <f>_xlfn.XLOOKUP(Table1[[#This Row],[ID]], Table2[ID],#REF!, "Not Found", 0)</f>
        <v>#REF!</v>
      </c>
      <c r="R1248" t="e">
        <f>_xlfn.XLOOKUP(Table1[[#This Row],[ID]], Table2[ID],#REF!, "Not Found", 0)</f>
        <v>#REF!</v>
      </c>
      <c r="S1248" s="3" t="str">
        <f>_xlfn.XLOOKUP(Table1[[#This Row],[ID]], Table2[ID], Table2[Enrollment], "Not Found", 0)</f>
        <v>8/31/2019</v>
      </c>
      <c r="T1248" t="s">
        <v>436</v>
      </c>
    </row>
    <row r="1249" spans="1:20" x14ac:dyDescent="0.3">
      <c r="A1249">
        <v>2108</v>
      </c>
      <c r="B1249">
        <v>146931</v>
      </c>
      <c r="C1249">
        <v>2</v>
      </c>
      <c r="D1249">
        <v>1</v>
      </c>
      <c r="E1249">
        <v>43</v>
      </c>
      <c r="F1249">
        <v>0</v>
      </c>
      <c r="G1249">
        <v>0</v>
      </c>
      <c r="H1249">
        <v>0</v>
      </c>
      <c r="I1249">
        <v>1</v>
      </c>
      <c r="J1249">
        <v>0</v>
      </c>
      <c r="K1249">
        <v>0</v>
      </c>
      <c r="L1249">
        <v>1</v>
      </c>
      <c r="M1249">
        <v>0</v>
      </c>
      <c r="N1249">
        <v>0</v>
      </c>
      <c r="O1249" t="str" cm="1">
        <f t="array" ref="O1249">_xlfn.IFS(Table1[[#This Row],[Divorced]]=1, "Divorced", Table1[[#This Row],[Married]]=1, "Married", Table1[[#This Row],[Single]]=1, "Single", Table1[[#This Row],[Together]]=1, "Together", Table1[[#This Row],[Widow]]=1, "Widow")</f>
        <v>Together</v>
      </c>
      <c r="P1249" t="str" cm="1">
        <f t="array" ref="P1249">_xlfn.IFS(Table1[[#This Row],[Basic]]=1, "Basic", Table1[[#This Row],[Graduate]]=1, "Graduate", Table1[[#This Row],[Master]]=1, "Master", Table1[[#This Row],[PhD]]=1, "PhD", AND(Table1[[#This Row],[Basic]]=0, Table1[[#This Row],[Graduate]]=0, Table1[[#This Row],[Master]]=0, Table1[[#This Row],[PhD]]=0), "NA")</f>
        <v>Graduate</v>
      </c>
      <c r="Q1249" t="e">
        <f>_xlfn.XLOOKUP(Table1[[#This Row],[ID]], Table2[ID],#REF!, "Not Found", 0)</f>
        <v>#REF!</v>
      </c>
      <c r="R1249" t="e">
        <f>_xlfn.XLOOKUP(Table1[[#This Row],[ID]], Table2[ID],#REF!, "Not Found", 0)</f>
        <v>#REF!</v>
      </c>
      <c r="S1249" s="3" t="str">
        <f>_xlfn.XLOOKUP(Table1[[#This Row],[ID]], Table2[ID], Table2[Enrollment], "Not Found", 0)</f>
        <v>9/28/2020</v>
      </c>
      <c r="T1249" t="s">
        <v>438</v>
      </c>
    </row>
    <row r="1250" spans="1:20" x14ac:dyDescent="0.3">
      <c r="A1250">
        <v>1397</v>
      </c>
      <c r="B1250">
        <v>146923</v>
      </c>
      <c r="C1250">
        <v>1</v>
      </c>
      <c r="D1250">
        <v>0</v>
      </c>
      <c r="E1250">
        <v>33</v>
      </c>
      <c r="F1250">
        <v>0</v>
      </c>
      <c r="G1250">
        <v>0</v>
      </c>
      <c r="H1250">
        <v>1</v>
      </c>
      <c r="I1250">
        <v>0</v>
      </c>
      <c r="J1250">
        <v>0</v>
      </c>
      <c r="K1250">
        <v>0</v>
      </c>
      <c r="L1250">
        <v>1</v>
      </c>
      <c r="M1250">
        <v>0</v>
      </c>
      <c r="N1250">
        <v>0</v>
      </c>
      <c r="O1250" t="str" cm="1">
        <f t="array" ref="O1250">_xlfn.IFS(Table1[[#This Row],[Divorced]]=1, "Divorced", Table1[[#This Row],[Married]]=1, "Married", Table1[[#This Row],[Single]]=1, "Single", Table1[[#This Row],[Together]]=1, "Together", Table1[[#This Row],[Widow]]=1, "Widow")</f>
        <v>Single</v>
      </c>
      <c r="P1250" t="str" cm="1">
        <f t="array" ref="P1250">_xlfn.IFS(Table1[[#This Row],[Basic]]=1, "Basic", Table1[[#This Row],[Graduate]]=1, "Graduate", Table1[[#This Row],[Master]]=1, "Master", Table1[[#This Row],[PhD]]=1, "PhD", AND(Table1[[#This Row],[Basic]]=0, Table1[[#This Row],[Graduate]]=0, Table1[[#This Row],[Master]]=0, Table1[[#This Row],[PhD]]=0), "NA")</f>
        <v>Graduate</v>
      </c>
      <c r="Q1250" t="e">
        <f>_xlfn.XLOOKUP(Table1[[#This Row],[ID]], Table2[ID],#REF!, "Not Found", 0)</f>
        <v>#REF!</v>
      </c>
      <c r="R1250" t="e">
        <f>_xlfn.XLOOKUP(Table1[[#This Row],[ID]], Table2[ID],#REF!, "Not Found", 0)</f>
        <v>#REF!</v>
      </c>
      <c r="S1250" s="3" t="str">
        <f>_xlfn.XLOOKUP(Table1[[#This Row],[ID]], Table2[ID], Table2[Enrollment], "Not Found", 0)</f>
        <v>1/27/2019</v>
      </c>
      <c r="T1250" t="s">
        <v>434</v>
      </c>
    </row>
    <row r="1251" spans="1:20" x14ac:dyDescent="0.3">
      <c r="A1251">
        <v>2705</v>
      </c>
      <c r="B1251">
        <v>146910</v>
      </c>
      <c r="C1251">
        <v>1</v>
      </c>
      <c r="D1251">
        <v>1</v>
      </c>
      <c r="E1251">
        <v>56</v>
      </c>
      <c r="F1251">
        <v>0</v>
      </c>
      <c r="G1251">
        <v>0</v>
      </c>
      <c r="H1251">
        <v>0</v>
      </c>
      <c r="I1251">
        <v>1</v>
      </c>
      <c r="J1251">
        <v>0</v>
      </c>
      <c r="K1251">
        <v>0</v>
      </c>
      <c r="L1251">
        <v>0</v>
      </c>
      <c r="M1251">
        <v>0</v>
      </c>
      <c r="N1251">
        <v>1</v>
      </c>
      <c r="O1251" t="str" cm="1">
        <f t="array" ref="O1251">_xlfn.IFS(Table1[[#This Row],[Divorced]]=1, "Divorced", Table1[[#This Row],[Married]]=1, "Married", Table1[[#This Row],[Single]]=1, "Single", Table1[[#This Row],[Together]]=1, "Together", Table1[[#This Row],[Widow]]=1, "Widow")</f>
        <v>Together</v>
      </c>
      <c r="P1251" t="str" cm="1">
        <f t="array" ref="P1251">_xlfn.IFS(Table1[[#This Row],[Basic]]=1, "Basic", Table1[[#This Row],[Graduate]]=1, "Graduate", Table1[[#This Row],[Master]]=1, "Master", Table1[[#This Row],[PhD]]=1, "PhD", AND(Table1[[#This Row],[Basic]]=0, Table1[[#This Row],[Graduate]]=0, Table1[[#This Row],[Master]]=0, Table1[[#This Row],[PhD]]=0), "NA")</f>
        <v>PhD</v>
      </c>
      <c r="Q1251" t="e">
        <f>_xlfn.XLOOKUP(Table1[[#This Row],[ID]], Table2[ID],#REF!, "Not Found", 0)</f>
        <v>#REF!</v>
      </c>
      <c r="R1251" t="e">
        <f>_xlfn.XLOOKUP(Table1[[#This Row],[ID]], Table2[ID],#REF!, "Not Found", 0)</f>
        <v>#REF!</v>
      </c>
      <c r="S1251" s="3" t="str">
        <f>_xlfn.XLOOKUP(Table1[[#This Row],[ID]], Table2[ID], Table2[Enrollment], "Not Found", 0)</f>
        <v>8/27/2020</v>
      </c>
      <c r="T1251" t="s">
        <v>434</v>
      </c>
    </row>
    <row r="1252" spans="1:20" x14ac:dyDescent="0.3">
      <c r="A1252">
        <v>2760</v>
      </c>
      <c r="B1252">
        <v>146904</v>
      </c>
      <c r="C1252">
        <v>1</v>
      </c>
      <c r="D1252">
        <v>1</v>
      </c>
      <c r="E1252">
        <v>53</v>
      </c>
      <c r="F1252">
        <v>0</v>
      </c>
      <c r="G1252">
        <v>0</v>
      </c>
      <c r="H1252">
        <v>1</v>
      </c>
      <c r="I1252">
        <v>0</v>
      </c>
      <c r="J1252">
        <v>0</v>
      </c>
      <c r="K1252">
        <v>0</v>
      </c>
      <c r="L1252">
        <v>1</v>
      </c>
      <c r="M1252">
        <v>0</v>
      </c>
      <c r="N1252">
        <v>0</v>
      </c>
      <c r="O1252" t="str" cm="1">
        <f t="array" ref="O1252">_xlfn.IFS(Table1[[#This Row],[Divorced]]=1, "Divorced", Table1[[#This Row],[Married]]=1, "Married", Table1[[#This Row],[Single]]=1, "Single", Table1[[#This Row],[Together]]=1, "Together", Table1[[#This Row],[Widow]]=1, "Widow")</f>
        <v>Single</v>
      </c>
      <c r="P1252" t="str" cm="1">
        <f t="array" ref="P1252">_xlfn.IFS(Table1[[#This Row],[Basic]]=1, "Basic", Table1[[#This Row],[Graduate]]=1, "Graduate", Table1[[#This Row],[Master]]=1, "Master", Table1[[#This Row],[PhD]]=1, "PhD", AND(Table1[[#This Row],[Basic]]=0, Table1[[#This Row],[Graduate]]=0, Table1[[#This Row],[Master]]=0, Table1[[#This Row],[PhD]]=0), "NA")</f>
        <v>Graduate</v>
      </c>
      <c r="Q1252" t="e">
        <f>_xlfn.XLOOKUP(Table1[[#This Row],[ID]], Table2[ID],#REF!, "Not Found", 0)</f>
        <v>#REF!</v>
      </c>
      <c r="R1252" t="e">
        <f>_xlfn.XLOOKUP(Table1[[#This Row],[ID]], Table2[ID],#REF!, "Not Found", 0)</f>
        <v>#REF!</v>
      </c>
      <c r="S1252" s="3">
        <f>_xlfn.XLOOKUP(Table1[[#This Row],[ID]], Table2[ID], Table2[Enrollment], "Not Found", 0)</f>
        <v>43742</v>
      </c>
      <c r="T1252" t="s">
        <v>436</v>
      </c>
    </row>
    <row r="1253" spans="1:20" x14ac:dyDescent="0.3">
      <c r="A1253">
        <v>1749</v>
      </c>
      <c r="B1253">
        <v>146891</v>
      </c>
      <c r="C1253">
        <v>0</v>
      </c>
      <c r="D1253">
        <v>1</v>
      </c>
      <c r="E1253">
        <v>55</v>
      </c>
      <c r="F1253">
        <v>0</v>
      </c>
      <c r="G1253">
        <v>1</v>
      </c>
      <c r="H1253">
        <v>0</v>
      </c>
      <c r="I1253">
        <v>0</v>
      </c>
      <c r="J1253">
        <v>0</v>
      </c>
      <c r="K1253">
        <v>0</v>
      </c>
      <c r="L1253">
        <v>0</v>
      </c>
      <c r="M1253">
        <v>0</v>
      </c>
      <c r="N1253">
        <v>0</v>
      </c>
      <c r="O1253" t="str" cm="1">
        <f t="array" ref="O1253">_xlfn.IFS(Table1[[#This Row],[Divorced]]=1, "Divorced", Table1[[#This Row],[Married]]=1, "Married", Table1[[#This Row],[Single]]=1, "Single", Table1[[#This Row],[Together]]=1, "Together", Table1[[#This Row],[Widow]]=1, "Widow")</f>
        <v>Married</v>
      </c>
      <c r="P1253" t="str" cm="1">
        <f t="array" ref="P1253">_xlfn.IFS(Table1[[#This Row],[Basic]]=1, "Basic", Table1[[#This Row],[Graduate]]=1, "Graduate", Table1[[#This Row],[Master]]=1, "Master", Table1[[#This Row],[PhD]]=1, "PhD", AND(Table1[[#This Row],[Basic]]=0, Table1[[#This Row],[Graduate]]=0, Table1[[#This Row],[Master]]=0, Table1[[#This Row],[PhD]]=0), "NA")</f>
        <v>NA</v>
      </c>
      <c r="Q1253" t="e">
        <f>_xlfn.XLOOKUP(Table1[[#This Row],[ID]], Table2[ID],#REF!, "Not Found", 0)</f>
        <v>#REF!</v>
      </c>
      <c r="R1253" t="e">
        <f>_xlfn.XLOOKUP(Table1[[#This Row],[ID]], Table2[ID],#REF!, "Not Found", 0)</f>
        <v>#REF!</v>
      </c>
      <c r="S1253" s="3">
        <f>_xlfn.XLOOKUP(Table1[[#This Row],[ID]], Table2[ID], Table2[Enrollment], "Not Found", 0)</f>
        <v>43984</v>
      </c>
      <c r="T1253" t="s">
        <v>435</v>
      </c>
    </row>
    <row r="1254" spans="1:20" x14ac:dyDescent="0.3">
      <c r="A1254">
        <v>2177</v>
      </c>
      <c r="B1254">
        <v>146891</v>
      </c>
      <c r="C1254">
        <v>0</v>
      </c>
      <c r="D1254">
        <v>1</v>
      </c>
      <c r="E1254">
        <v>55</v>
      </c>
      <c r="F1254">
        <v>0</v>
      </c>
      <c r="G1254">
        <v>1</v>
      </c>
      <c r="H1254">
        <v>0</v>
      </c>
      <c r="I1254">
        <v>0</v>
      </c>
      <c r="J1254">
        <v>0</v>
      </c>
      <c r="K1254">
        <v>0</v>
      </c>
      <c r="L1254">
        <v>0</v>
      </c>
      <c r="M1254">
        <v>0</v>
      </c>
      <c r="N1254">
        <v>0</v>
      </c>
      <c r="O1254" t="str" cm="1">
        <f t="array" ref="O1254">_xlfn.IFS(Table1[[#This Row],[Divorced]]=1, "Divorced", Table1[[#This Row],[Married]]=1, "Married", Table1[[#This Row],[Single]]=1, "Single", Table1[[#This Row],[Together]]=1, "Together", Table1[[#This Row],[Widow]]=1, "Widow")</f>
        <v>Married</v>
      </c>
      <c r="P1254" t="str" cm="1">
        <f t="array" ref="P1254">_xlfn.IFS(Table1[[#This Row],[Basic]]=1, "Basic", Table1[[#This Row],[Graduate]]=1, "Graduate", Table1[[#This Row],[Master]]=1, "Master", Table1[[#This Row],[PhD]]=1, "PhD", AND(Table1[[#This Row],[Basic]]=0, Table1[[#This Row],[Graduate]]=0, Table1[[#This Row],[Master]]=0, Table1[[#This Row],[PhD]]=0), "NA")</f>
        <v>NA</v>
      </c>
      <c r="Q1254" t="e">
        <f>_xlfn.XLOOKUP(Table1[[#This Row],[ID]], Table2[ID],#REF!, "Not Found", 0)</f>
        <v>#REF!</v>
      </c>
      <c r="R1254" t="e">
        <f>_xlfn.XLOOKUP(Table1[[#This Row],[ID]], Table2[ID],#REF!, "Not Found", 0)</f>
        <v>#REF!</v>
      </c>
      <c r="S1254" s="3">
        <f>_xlfn.XLOOKUP(Table1[[#This Row],[ID]], Table2[ID], Table2[Enrollment], "Not Found", 0)</f>
        <v>43984</v>
      </c>
      <c r="T1254" t="s">
        <v>434</v>
      </c>
    </row>
    <row r="1255" spans="1:20" x14ac:dyDescent="0.3">
      <c r="A1255">
        <v>1187</v>
      </c>
      <c r="B1255">
        <v>146854</v>
      </c>
      <c r="C1255">
        <v>1</v>
      </c>
      <c r="D1255">
        <v>1</v>
      </c>
      <c r="E1255">
        <v>47</v>
      </c>
      <c r="F1255">
        <v>0</v>
      </c>
      <c r="G1255">
        <v>0</v>
      </c>
      <c r="H1255">
        <v>1</v>
      </c>
      <c r="I1255">
        <v>0</v>
      </c>
      <c r="J1255">
        <v>0</v>
      </c>
      <c r="K1255">
        <v>0</v>
      </c>
      <c r="L1255">
        <v>0</v>
      </c>
      <c r="M1255">
        <v>0</v>
      </c>
      <c r="N1255">
        <v>1</v>
      </c>
      <c r="O1255" t="str" cm="1">
        <f t="array" ref="O1255">_xlfn.IFS(Table1[[#This Row],[Divorced]]=1, "Divorced", Table1[[#This Row],[Married]]=1, "Married", Table1[[#This Row],[Single]]=1, "Single", Table1[[#This Row],[Together]]=1, "Together", Table1[[#This Row],[Widow]]=1, "Widow")</f>
        <v>Single</v>
      </c>
      <c r="P1255" t="str" cm="1">
        <f t="array" ref="P1255">_xlfn.IFS(Table1[[#This Row],[Basic]]=1, "Basic", Table1[[#This Row],[Graduate]]=1, "Graduate", Table1[[#This Row],[Master]]=1, "Master", Table1[[#This Row],[PhD]]=1, "PhD", AND(Table1[[#This Row],[Basic]]=0, Table1[[#This Row],[Graduate]]=0, Table1[[#This Row],[Master]]=0, Table1[[#This Row],[PhD]]=0), "NA")</f>
        <v>PhD</v>
      </c>
      <c r="Q1255" t="e">
        <f>_xlfn.XLOOKUP(Table1[[#This Row],[ID]], Table2[ID],#REF!, "Not Found", 0)</f>
        <v>#REF!</v>
      </c>
      <c r="R1255" t="e">
        <f>_xlfn.XLOOKUP(Table1[[#This Row],[ID]], Table2[ID],#REF!, "Not Found", 0)</f>
        <v>#REF!</v>
      </c>
      <c r="S1255" s="3">
        <f>_xlfn.XLOOKUP(Table1[[#This Row],[ID]], Table2[ID], Table2[Enrollment], "Not Found", 0)</f>
        <v>43930</v>
      </c>
      <c r="T1255" t="s">
        <v>434</v>
      </c>
    </row>
    <row r="1256" spans="1:20" x14ac:dyDescent="0.3">
      <c r="A1256">
        <v>2268</v>
      </c>
      <c r="B1256">
        <v>146831</v>
      </c>
      <c r="C1256">
        <v>1</v>
      </c>
      <c r="D1256">
        <v>1</v>
      </c>
      <c r="E1256">
        <v>51</v>
      </c>
      <c r="F1256">
        <v>0</v>
      </c>
      <c r="G1256">
        <v>1</v>
      </c>
      <c r="H1256">
        <v>0</v>
      </c>
      <c r="I1256">
        <v>0</v>
      </c>
      <c r="J1256">
        <v>0</v>
      </c>
      <c r="K1256">
        <v>0</v>
      </c>
      <c r="L1256">
        <v>0</v>
      </c>
      <c r="M1256">
        <v>0</v>
      </c>
      <c r="N1256">
        <v>0</v>
      </c>
      <c r="O1256" t="str" cm="1">
        <f t="array" ref="O1256">_xlfn.IFS(Table1[[#This Row],[Divorced]]=1, "Divorced", Table1[[#This Row],[Married]]=1, "Married", Table1[[#This Row],[Single]]=1, "Single", Table1[[#This Row],[Together]]=1, "Together", Table1[[#This Row],[Widow]]=1, "Widow")</f>
        <v>Married</v>
      </c>
      <c r="P1256" t="str" cm="1">
        <f t="array" ref="P1256">_xlfn.IFS(Table1[[#This Row],[Basic]]=1, "Basic", Table1[[#This Row],[Graduate]]=1, "Graduate", Table1[[#This Row],[Master]]=1, "Master", Table1[[#This Row],[PhD]]=1, "PhD", AND(Table1[[#This Row],[Basic]]=0, Table1[[#This Row],[Graduate]]=0, Table1[[#This Row],[Master]]=0, Table1[[#This Row],[PhD]]=0), "NA")</f>
        <v>NA</v>
      </c>
      <c r="Q1256" t="e">
        <f>_xlfn.XLOOKUP(Table1[[#This Row],[ID]], Table2[ID],#REF!, "Not Found", 0)</f>
        <v>#REF!</v>
      </c>
      <c r="R1256" t="e">
        <f>_xlfn.XLOOKUP(Table1[[#This Row],[ID]], Table2[ID],#REF!, "Not Found", 0)</f>
        <v>#REF!</v>
      </c>
      <c r="S1256" s="3" t="str">
        <f>_xlfn.XLOOKUP(Table1[[#This Row],[ID]], Table2[ID], Table2[Enrollment], "Not Found", 0)</f>
        <v>11/13/2019</v>
      </c>
      <c r="T1256" t="s">
        <v>436</v>
      </c>
    </row>
    <row r="1257" spans="1:20" x14ac:dyDescent="0.3">
      <c r="A1257">
        <v>1961</v>
      </c>
      <c r="B1257">
        <v>146779</v>
      </c>
      <c r="C1257">
        <v>1</v>
      </c>
      <c r="D1257">
        <v>1</v>
      </c>
      <c r="E1257">
        <v>60</v>
      </c>
      <c r="F1257">
        <v>0</v>
      </c>
      <c r="G1257">
        <v>0</v>
      </c>
      <c r="H1257">
        <v>0</v>
      </c>
      <c r="I1257">
        <v>0</v>
      </c>
      <c r="J1257">
        <v>1</v>
      </c>
      <c r="K1257">
        <v>0</v>
      </c>
      <c r="L1257">
        <v>0</v>
      </c>
      <c r="M1257">
        <v>0</v>
      </c>
      <c r="N1257">
        <v>0</v>
      </c>
      <c r="O1257" t="str" cm="1">
        <f t="array" ref="O1257">_xlfn.IFS(Table1[[#This Row],[Divorced]]=1, "Divorced", Table1[[#This Row],[Married]]=1, "Married", Table1[[#This Row],[Single]]=1, "Single", Table1[[#This Row],[Together]]=1, "Together", Table1[[#This Row],[Widow]]=1, "Widow")</f>
        <v>Widow</v>
      </c>
      <c r="P1257" t="str" cm="1">
        <f t="array" ref="P1257">_xlfn.IFS(Table1[[#This Row],[Basic]]=1, "Basic", Table1[[#This Row],[Graduate]]=1, "Graduate", Table1[[#This Row],[Master]]=1, "Master", Table1[[#This Row],[PhD]]=1, "PhD", AND(Table1[[#This Row],[Basic]]=0, Table1[[#This Row],[Graduate]]=0, Table1[[#This Row],[Master]]=0, Table1[[#This Row],[PhD]]=0), "NA")</f>
        <v>NA</v>
      </c>
      <c r="Q1257" t="e">
        <f>_xlfn.XLOOKUP(Table1[[#This Row],[ID]], Table2[ID],#REF!, "Not Found", 0)</f>
        <v>#REF!</v>
      </c>
      <c r="R1257" t="e">
        <f>_xlfn.XLOOKUP(Table1[[#This Row],[ID]], Table2[ID],#REF!, "Not Found", 0)</f>
        <v>#REF!</v>
      </c>
      <c r="S1257" s="3" t="str">
        <f>_xlfn.XLOOKUP(Table1[[#This Row],[ID]], Table2[ID], Table2[Enrollment], "Not Found", 0)</f>
        <v>12/17/2019</v>
      </c>
      <c r="T1257" t="s">
        <v>434</v>
      </c>
    </row>
    <row r="1258" spans="1:20" x14ac:dyDescent="0.3">
      <c r="A1258">
        <v>2483</v>
      </c>
      <c r="B1258">
        <v>146772</v>
      </c>
      <c r="C1258">
        <v>0</v>
      </c>
      <c r="D1258">
        <v>1</v>
      </c>
      <c r="E1258">
        <v>45</v>
      </c>
      <c r="F1258">
        <v>0</v>
      </c>
      <c r="G1258">
        <v>0</v>
      </c>
      <c r="H1258">
        <v>0</v>
      </c>
      <c r="I1258">
        <v>1</v>
      </c>
      <c r="J1258">
        <v>0</v>
      </c>
      <c r="K1258">
        <v>0</v>
      </c>
      <c r="L1258">
        <v>0</v>
      </c>
      <c r="M1258">
        <v>0</v>
      </c>
      <c r="N1258">
        <v>0</v>
      </c>
      <c r="O1258" t="str" cm="1">
        <f t="array" ref="O1258">_xlfn.IFS(Table1[[#This Row],[Divorced]]=1, "Divorced", Table1[[#This Row],[Married]]=1, "Married", Table1[[#This Row],[Single]]=1, "Single", Table1[[#This Row],[Together]]=1, "Together", Table1[[#This Row],[Widow]]=1, "Widow")</f>
        <v>Together</v>
      </c>
      <c r="P1258" t="str" cm="1">
        <f t="array" ref="P1258">_xlfn.IFS(Table1[[#This Row],[Basic]]=1, "Basic", Table1[[#This Row],[Graduate]]=1, "Graduate", Table1[[#This Row],[Master]]=1, "Master", Table1[[#This Row],[PhD]]=1, "PhD", AND(Table1[[#This Row],[Basic]]=0, Table1[[#This Row],[Graduate]]=0, Table1[[#This Row],[Master]]=0, Table1[[#This Row],[PhD]]=0), "NA")</f>
        <v>NA</v>
      </c>
      <c r="Q1258" t="e">
        <f>_xlfn.XLOOKUP(Table1[[#This Row],[ID]], Table2[ID],#REF!, "Not Found", 0)</f>
        <v>#REF!</v>
      </c>
      <c r="R1258" t="e">
        <f>_xlfn.XLOOKUP(Table1[[#This Row],[ID]], Table2[ID],#REF!, "Not Found", 0)</f>
        <v>#REF!</v>
      </c>
      <c r="S1258" s="3" t="str">
        <f>_xlfn.XLOOKUP(Table1[[#This Row],[ID]], Table2[ID], Table2[Enrollment], "Not Found", 0)</f>
        <v>4/14/2019</v>
      </c>
      <c r="T1258" t="s">
        <v>434</v>
      </c>
    </row>
    <row r="1259" spans="1:20" x14ac:dyDescent="0.3">
      <c r="A1259">
        <v>2786</v>
      </c>
      <c r="B1259">
        <v>146757</v>
      </c>
      <c r="C1259">
        <v>0</v>
      </c>
      <c r="D1259">
        <v>1</v>
      </c>
      <c r="E1259">
        <v>57</v>
      </c>
      <c r="F1259">
        <v>0</v>
      </c>
      <c r="G1259">
        <v>0</v>
      </c>
      <c r="H1259">
        <v>1</v>
      </c>
      <c r="I1259">
        <v>0</v>
      </c>
      <c r="J1259">
        <v>0</v>
      </c>
      <c r="K1259">
        <v>0</v>
      </c>
      <c r="L1259">
        <v>0</v>
      </c>
      <c r="M1259">
        <v>0</v>
      </c>
      <c r="N1259">
        <v>1</v>
      </c>
      <c r="O1259" t="str" cm="1">
        <f t="array" ref="O1259">_xlfn.IFS(Table1[[#This Row],[Divorced]]=1, "Divorced", Table1[[#This Row],[Married]]=1, "Married", Table1[[#This Row],[Single]]=1, "Single", Table1[[#This Row],[Together]]=1, "Together", Table1[[#This Row],[Widow]]=1, "Widow")</f>
        <v>Single</v>
      </c>
      <c r="P1259" t="str" cm="1">
        <f t="array" ref="P1259">_xlfn.IFS(Table1[[#This Row],[Basic]]=1, "Basic", Table1[[#This Row],[Graduate]]=1, "Graduate", Table1[[#This Row],[Master]]=1, "Master", Table1[[#This Row],[PhD]]=1, "PhD", AND(Table1[[#This Row],[Basic]]=0, Table1[[#This Row],[Graduate]]=0, Table1[[#This Row],[Master]]=0, Table1[[#This Row],[PhD]]=0), "NA")</f>
        <v>PhD</v>
      </c>
      <c r="Q1259" t="e">
        <f>_xlfn.XLOOKUP(Table1[[#This Row],[ID]], Table2[ID],#REF!, "Not Found", 0)</f>
        <v>#REF!</v>
      </c>
      <c r="R1259" t="e">
        <f>_xlfn.XLOOKUP(Table1[[#This Row],[ID]], Table2[ID],#REF!, "Not Found", 0)</f>
        <v>#REF!</v>
      </c>
      <c r="S1259" s="3" t="str">
        <f>_xlfn.XLOOKUP(Table1[[#This Row],[ID]], Table2[ID], Table2[Enrollment], "Not Found", 0)</f>
        <v>4/23/2019</v>
      </c>
      <c r="T1259" t="s">
        <v>438</v>
      </c>
    </row>
    <row r="1260" spans="1:20" x14ac:dyDescent="0.3">
      <c r="A1260">
        <v>2105</v>
      </c>
      <c r="B1260">
        <v>146734</v>
      </c>
      <c r="C1260">
        <v>0</v>
      </c>
      <c r="D1260">
        <v>1</v>
      </c>
      <c r="E1260">
        <v>66</v>
      </c>
      <c r="F1260">
        <v>0</v>
      </c>
      <c r="G1260">
        <v>1</v>
      </c>
      <c r="H1260">
        <v>0</v>
      </c>
      <c r="I1260">
        <v>0</v>
      </c>
      <c r="J1260">
        <v>0</v>
      </c>
      <c r="K1260">
        <v>0</v>
      </c>
      <c r="L1260">
        <v>1</v>
      </c>
      <c r="M1260">
        <v>0</v>
      </c>
      <c r="N1260">
        <v>0</v>
      </c>
      <c r="O1260" t="str" cm="1">
        <f t="array" ref="O1260">_xlfn.IFS(Table1[[#This Row],[Divorced]]=1, "Divorced", Table1[[#This Row],[Married]]=1, "Married", Table1[[#This Row],[Single]]=1, "Single", Table1[[#This Row],[Together]]=1, "Together", Table1[[#This Row],[Widow]]=1, "Widow")</f>
        <v>Married</v>
      </c>
      <c r="P1260" t="str" cm="1">
        <f t="array" ref="P1260">_xlfn.IFS(Table1[[#This Row],[Basic]]=1, "Basic", Table1[[#This Row],[Graduate]]=1, "Graduate", Table1[[#This Row],[Master]]=1, "Master", Table1[[#This Row],[PhD]]=1, "PhD", AND(Table1[[#This Row],[Basic]]=0, Table1[[#This Row],[Graduate]]=0, Table1[[#This Row],[Master]]=0, Table1[[#This Row],[PhD]]=0), "NA")</f>
        <v>Graduate</v>
      </c>
      <c r="Q1260" t="e">
        <f>_xlfn.XLOOKUP(Table1[[#This Row],[ID]], Table2[ID],#REF!, "Not Found", 0)</f>
        <v>#REF!</v>
      </c>
      <c r="R1260" t="e">
        <f>_xlfn.XLOOKUP(Table1[[#This Row],[ID]], Table2[ID],#REF!, "Not Found", 0)</f>
        <v>#REF!</v>
      </c>
      <c r="S1260" s="3" t="str">
        <f>_xlfn.XLOOKUP(Table1[[#This Row],[ID]], Table2[ID], Table2[Enrollment], "Not Found", 0)</f>
        <v>4/25/2019</v>
      </c>
      <c r="T1260" t="s">
        <v>434</v>
      </c>
    </row>
    <row r="1261" spans="1:20" x14ac:dyDescent="0.3">
      <c r="A1261">
        <v>1641</v>
      </c>
      <c r="B1261">
        <v>146734</v>
      </c>
      <c r="C1261">
        <v>1</v>
      </c>
      <c r="D1261">
        <v>2</v>
      </c>
      <c r="E1261">
        <v>54</v>
      </c>
      <c r="F1261">
        <v>0</v>
      </c>
      <c r="G1261">
        <v>0</v>
      </c>
      <c r="H1261">
        <v>1</v>
      </c>
      <c r="I1261">
        <v>0</v>
      </c>
      <c r="J1261">
        <v>0</v>
      </c>
      <c r="K1261">
        <v>0</v>
      </c>
      <c r="L1261">
        <v>0</v>
      </c>
      <c r="M1261">
        <v>0</v>
      </c>
      <c r="N1261">
        <v>1</v>
      </c>
      <c r="O1261" t="str" cm="1">
        <f t="array" ref="O1261">_xlfn.IFS(Table1[[#This Row],[Divorced]]=1, "Divorced", Table1[[#This Row],[Married]]=1, "Married", Table1[[#This Row],[Single]]=1, "Single", Table1[[#This Row],[Together]]=1, "Together", Table1[[#This Row],[Widow]]=1, "Widow")</f>
        <v>Single</v>
      </c>
      <c r="P1261" t="str" cm="1">
        <f t="array" ref="P1261">_xlfn.IFS(Table1[[#This Row],[Basic]]=1, "Basic", Table1[[#This Row],[Graduate]]=1, "Graduate", Table1[[#This Row],[Master]]=1, "Master", Table1[[#This Row],[PhD]]=1, "PhD", AND(Table1[[#This Row],[Basic]]=0, Table1[[#This Row],[Graduate]]=0, Table1[[#This Row],[Master]]=0, Table1[[#This Row],[PhD]]=0), "NA")</f>
        <v>PhD</v>
      </c>
      <c r="Q1261" t="e">
        <f>_xlfn.XLOOKUP(Table1[[#This Row],[ID]], Table2[ID],#REF!, "Not Found", 0)</f>
        <v>#REF!</v>
      </c>
      <c r="R1261" t="e">
        <f>_xlfn.XLOOKUP(Table1[[#This Row],[ID]], Table2[ID],#REF!, "Not Found", 0)</f>
        <v>#REF!</v>
      </c>
      <c r="S1261" s="3" t="str">
        <f>_xlfn.XLOOKUP(Table1[[#This Row],[ID]], Table2[ID], Table2[Enrollment], "Not Found", 0)</f>
        <v>3/27/2020</v>
      </c>
      <c r="T1261" t="s">
        <v>435</v>
      </c>
    </row>
    <row r="1262" spans="1:20" x14ac:dyDescent="0.3">
      <c r="A1262">
        <v>2301</v>
      </c>
      <c r="B1262">
        <v>146692</v>
      </c>
      <c r="C1262">
        <v>0</v>
      </c>
      <c r="D1262">
        <v>1</v>
      </c>
      <c r="E1262">
        <v>62</v>
      </c>
      <c r="F1262">
        <v>0</v>
      </c>
      <c r="G1262">
        <v>0</v>
      </c>
      <c r="H1262">
        <v>0</v>
      </c>
      <c r="I1262">
        <v>1</v>
      </c>
      <c r="J1262">
        <v>0</v>
      </c>
      <c r="K1262">
        <v>0</v>
      </c>
      <c r="L1262">
        <v>0</v>
      </c>
      <c r="M1262">
        <v>1</v>
      </c>
      <c r="N1262">
        <v>0</v>
      </c>
      <c r="O1262" t="str" cm="1">
        <f t="array" ref="O1262">_xlfn.IFS(Table1[[#This Row],[Divorced]]=1, "Divorced", Table1[[#This Row],[Married]]=1, "Married", Table1[[#This Row],[Single]]=1, "Single", Table1[[#This Row],[Together]]=1, "Together", Table1[[#This Row],[Widow]]=1, "Widow")</f>
        <v>Together</v>
      </c>
      <c r="P1262" t="str" cm="1">
        <f t="array" ref="P1262">_xlfn.IFS(Table1[[#This Row],[Basic]]=1, "Basic", Table1[[#This Row],[Graduate]]=1, "Graduate", Table1[[#This Row],[Master]]=1, "Master", Table1[[#This Row],[PhD]]=1, "PhD", AND(Table1[[#This Row],[Basic]]=0, Table1[[#This Row],[Graduate]]=0, Table1[[#This Row],[Master]]=0, Table1[[#This Row],[PhD]]=0), "NA")</f>
        <v>Master</v>
      </c>
      <c r="Q1262" t="e">
        <f>_xlfn.XLOOKUP(Table1[[#This Row],[ID]], Table2[ID],#REF!, "Not Found", 0)</f>
        <v>#REF!</v>
      </c>
      <c r="R1262" t="e">
        <f>_xlfn.XLOOKUP(Table1[[#This Row],[ID]], Table2[ID],#REF!, "Not Found", 0)</f>
        <v>#REF!</v>
      </c>
      <c r="S1262" s="3">
        <f>_xlfn.XLOOKUP(Table1[[#This Row],[ID]], Table2[ID], Table2[Enrollment], "Not Found", 0)</f>
        <v>43780</v>
      </c>
      <c r="T1262" t="s">
        <v>435</v>
      </c>
    </row>
    <row r="1263" spans="1:20" x14ac:dyDescent="0.3">
      <c r="A1263">
        <v>1343</v>
      </c>
      <c r="B1263">
        <v>146681</v>
      </c>
      <c r="C1263">
        <v>0</v>
      </c>
      <c r="D1263">
        <v>2</v>
      </c>
      <c r="E1263">
        <v>72</v>
      </c>
      <c r="F1263">
        <v>0</v>
      </c>
      <c r="G1263">
        <v>0</v>
      </c>
      <c r="H1263">
        <v>0</v>
      </c>
      <c r="I1263">
        <v>1</v>
      </c>
      <c r="J1263">
        <v>0</v>
      </c>
      <c r="K1263">
        <v>0</v>
      </c>
      <c r="L1263">
        <v>0</v>
      </c>
      <c r="M1263">
        <v>0</v>
      </c>
      <c r="N1263">
        <v>1</v>
      </c>
      <c r="O1263" t="str" cm="1">
        <f t="array" ref="O1263">_xlfn.IFS(Table1[[#This Row],[Divorced]]=1, "Divorced", Table1[[#This Row],[Married]]=1, "Married", Table1[[#This Row],[Single]]=1, "Single", Table1[[#This Row],[Together]]=1, "Together", Table1[[#This Row],[Widow]]=1, "Widow")</f>
        <v>Together</v>
      </c>
      <c r="P1263" t="str" cm="1">
        <f t="array" ref="P1263">_xlfn.IFS(Table1[[#This Row],[Basic]]=1, "Basic", Table1[[#This Row],[Graduate]]=1, "Graduate", Table1[[#This Row],[Master]]=1, "Master", Table1[[#This Row],[PhD]]=1, "PhD", AND(Table1[[#This Row],[Basic]]=0, Table1[[#This Row],[Graduate]]=0, Table1[[#This Row],[Master]]=0, Table1[[#This Row],[PhD]]=0), "NA")</f>
        <v>PhD</v>
      </c>
      <c r="Q1263" t="e">
        <f>_xlfn.XLOOKUP(Table1[[#This Row],[ID]], Table2[ID],#REF!, "Not Found", 0)</f>
        <v>#REF!</v>
      </c>
      <c r="R1263" t="e">
        <f>_xlfn.XLOOKUP(Table1[[#This Row],[ID]], Table2[ID],#REF!, "Not Found", 0)</f>
        <v>#REF!</v>
      </c>
      <c r="S1263" s="3" t="str">
        <f>_xlfn.XLOOKUP(Table1[[#This Row],[ID]], Table2[ID], Table2[Enrollment], "Not Found", 0)</f>
        <v>3/14/2020</v>
      </c>
      <c r="T1263" t="s">
        <v>434</v>
      </c>
    </row>
    <row r="1264" spans="1:20" x14ac:dyDescent="0.3">
      <c r="A1264">
        <v>2610</v>
      </c>
      <c r="B1264">
        <v>146681</v>
      </c>
      <c r="C1264">
        <v>0</v>
      </c>
      <c r="D1264">
        <v>2</v>
      </c>
      <c r="E1264">
        <v>72</v>
      </c>
      <c r="F1264">
        <v>0</v>
      </c>
      <c r="G1264">
        <v>0</v>
      </c>
      <c r="H1264">
        <v>0</v>
      </c>
      <c r="I1264">
        <v>1</v>
      </c>
      <c r="J1264">
        <v>0</v>
      </c>
      <c r="K1264">
        <v>0</v>
      </c>
      <c r="L1264">
        <v>0</v>
      </c>
      <c r="M1264">
        <v>0</v>
      </c>
      <c r="N1264">
        <v>1</v>
      </c>
      <c r="O1264" t="str" cm="1">
        <f t="array" ref="O1264">_xlfn.IFS(Table1[[#This Row],[Divorced]]=1, "Divorced", Table1[[#This Row],[Married]]=1, "Married", Table1[[#This Row],[Single]]=1, "Single", Table1[[#This Row],[Together]]=1, "Together", Table1[[#This Row],[Widow]]=1, "Widow")</f>
        <v>Together</v>
      </c>
      <c r="P1264" t="str" cm="1">
        <f t="array" ref="P1264">_xlfn.IFS(Table1[[#This Row],[Basic]]=1, "Basic", Table1[[#This Row],[Graduate]]=1, "Graduate", Table1[[#This Row],[Master]]=1, "Master", Table1[[#This Row],[PhD]]=1, "PhD", AND(Table1[[#This Row],[Basic]]=0, Table1[[#This Row],[Graduate]]=0, Table1[[#This Row],[Master]]=0, Table1[[#This Row],[PhD]]=0), "NA")</f>
        <v>PhD</v>
      </c>
      <c r="Q1264" t="e">
        <f>_xlfn.XLOOKUP(Table1[[#This Row],[ID]], Table2[ID],#REF!, "Not Found", 0)</f>
        <v>#REF!</v>
      </c>
      <c r="R1264" t="e">
        <f>_xlfn.XLOOKUP(Table1[[#This Row],[ID]], Table2[ID],#REF!, "Not Found", 0)</f>
        <v>#REF!</v>
      </c>
      <c r="S1264" s="3" t="str">
        <f>_xlfn.XLOOKUP(Table1[[#This Row],[ID]], Table2[ID], Table2[Enrollment], "Not Found", 0)</f>
        <v>3/14/2020</v>
      </c>
      <c r="T1264" t="s">
        <v>436</v>
      </c>
    </row>
    <row r="1265" spans="1:20" x14ac:dyDescent="0.3">
      <c r="A1265">
        <v>1032</v>
      </c>
      <c r="B1265">
        <v>146610</v>
      </c>
      <c r="C1265">
        <v>0</v>
      </c>
      <c r="D1265">
        <v>2</v>
      </c>
      <c r="E1265">
        <v>68</v>
      </c>
      <c r="F1265">
        <v>1</v>
      </c>
      <c r="G1265">
        <v>0</v>
      </c>
      <c r="H1265">
        <v>0</v>
      </c>
      <c r="I1265">
        <v>0</v>
      </c>
      <c r="J1265">
        <v>0</v>
      </c>
      <c r="K1265">
        <v>0</v>
      </c>
      <c r="L1265">
        <v>0</v>
      </c>
      <c r="M1265">
        <v>0</v>
      </c>
      <c r="N1265">
        <v>1</v>
      </c>
      <c r="O1265" t="str" cm="1">
        <f t="array" ref="O1265">_xlfn.IFS(Table1[[#This Row],[Divorced]]=1, "Divorced", Table1[[#This Row],[Married]]=1, "Married", Table1[[#This Row],[Single]]=1, "Single", Table1[[#This Row],[Together]]=1, "Together", Table1[[#This Row],[Widow]]=1, "Widow")</f>
        <v>Divorced</v>
      </c>
      <c r="P1265" t="str" cm="1">
        <f t="array" ref="P1265">_xlfn.IFS(Table1[[#This Row],[Basic]]=1, "Basic", Table1[[#This Row],[Graduate]]=1, "Graduate", Table1[[#This Row],[Master]]=1, "Master", Table1[[#This Row],[PhD]]=1, "PhD", AND(Table1[[#This Row],[Basic]]=0, Table1[[#This Row],[Graduate]]=0, Table1[[#This Row],[Master]]=0, Table1[[#This Row],[PhD]]=0), "NA")</f>
        <v>PhD</v>
      </c>
      <c r="Q1265" t="e">
        <f>_xlfn.XLOOKUP(Table1[[#This Row],[ID]], Table2[ID],#REF!, "Not Found", 0)</f>
        <v>#REF!</v>
      </c>
      <c r="R1265" t="e">
        <f>_xlfn.XLOOKUP(Table1[[#This Row],[ID]], Table2[ID],#REF!, "Not Found", 0)</f>
        <v>#REF!</v>
      </c>
      <c r="S1265" s="3">
        <f>_xlfn.XLOOKUP(Table1[[#This Row],[ID]], Table2[ID], Table2[Enrollment], "Not Found", 0)</f>
        <v>43589</v>
      </c>
      <c r="T1265" t="s">
        <v>436</v>
      </c>
    </row>
    <row r="1266" spans="1:20" x14ac:dyDescent="0.3">
      <c r="A1266">
        <v>2055</v>
      </c>
      <c r="B1266">
        <v>146610</v>
      </c>
      <c r="C1266">
        <v>0</v>
      </c>
      <c r="D1266">
        <v>0</v>
      </c>
      <c r="E1266">
        <v>62</v>
      </c>
      <c r="F1266">
        <v>0</v>
      </c>
      <c r="G1266">
        <v>0</v>
      </c>
      <c r="H1266">
        <v>0</v>
      </c>
      <c r="I1266">
        <v>1</v>
      </c>
      <c r="J1266">
        <v>0</v>
      </c>
      <c r="K1266">
        <v>0</v>
      </c>
      <c r="L1266">
        <v>1</v>
      </c>
      <c r="M1266">
        <v>0</v>
      </c>
      <c r="N1266">
        <v>0</v>
      </c>
      <c r="O1266" t="str" cm="1">
        <f t="array" ref="O1266">_xlfn.IFS(Table1[[#This Row],[Divorced]]=1, "Divorced", Table1[[#This Row],[Married]]=1, "Married", Table1[[#This Row],[Single]]=1, "Single", Table1[[#This Row],[Together]]=1, "Together", Table1[[#This Row],[Widow]]=1, "Widow")</f>
        <v>Together</v>
      </c>
      <c r="P1266" t="str" cm="1">
        <f t="array" ref="P1266">_xlfn.IFS(Table1[[#This Row],[Basic]]=1, "Basic", Table1[[#This Row],[Graduate]]=1, "Graduate", Table1[[#This Row],[Master]]=1, "Master", Table1[[#This Row],[PhD]]=1, "PhD", AND(Table1[[#This Row],[Basic]]=0, Table1[[#This Row],[Graduate]]=0, Table1[[#This Row],[Master]]=0, Table1[[#This Row],[PhD]]=0), "NA")</f>
        <v>Graduate</v>
      </c>
      <c r="Q1266" t="e">
        <f>_xlfn.XLOOKUP(Table1[[#This Row],[ID]], Table2[ID],#REF!, "Not Found", 0)</f>
        <v>#REF!</v>
      </c>
      <c r="R1266" t="e">
        <f>_xlfn.XLOOKUP(Table1[[#This Row],[ID]], Table2[ID],#REF!, "Not Found", 0)</f>
        <v>#REF!</v>
      </c>
      <c r="S1266" s="3" t="str">
        <f>_xlfn.XLOOKUP(Table1[[#This Row],[ID]], Table2[ID], Table2[Enrollment], "Not Found", 0)</f>
        <v>12/23/2019</v>
      </c>
      <c r="T1266" t="s">
        <v>435</v>
      </c>
    </row>
    <row r="1267" spans="1:20" x14ac:dyDescent="0.3">
      <c r="A1267">
        <v>1775</v>
      </c>
      <c r="B1267">
        <v>146524</v>
      </c>
      <c r="C1267">
        <v>0</v>
      </c>
      <c r="D1267">
        <v>1</v>
      </c>
      <c r="E1267">
        <v>59</v>
      </c>
      <c r="F1267">
        <v>0</v>
      </c>
      <c r="G1267">
        <v>0</v>
      </c>
      <c r="H1267">
        <v>1</v>
      </c>
      <c r="I1267">
        <v>0</v>
      </c>
      <c r="J1267">
        <v>0</v>
      </c>
      <c r="K1267">
        <v>0</v>
      </c>
      <c r="L1267">
        <v>1</v>
      </c>
      <c r="M1267">
        <v>0</v>
      </c>
      <c r="N1267">
        <v>0</v>
      </c>
      <c r="O1267" t="str" cm="1">
        <f t="array" ref="O1267">_xlfn.IFS(Table1[[#This Row],[Divorced]]=1, "Divorced", Table1[[#This Row],[Married]]=1, "Married", Table1[[#This Row],[Single]]=1, "Single", Table1[[#This Row],[Together]]=1, "Together", Table1[[#This Row],[Widow]]=1, "Widow")</f>
        <v>Single</v>
      </c>
      <c r="P1267" t="str" cm="1">
        <f t="array" ref="P1267">_xlfn.IFS(Table1[[#This Row],[Basic]]=1, "Basic", Table1[[#This Row],[Graduate]]=1, "Graduate", Table1[[#This Row],[Master]]=1, "Master", Table1[[#This Row],[PhD]]=1, "PhD", AND(Table1[[#This Row],[Basic]]=0, Table1[[#This Row],[Graduate]]=0, Table1[[#This Row],[Master]]=0, Table1[[#This Row],[PhD]]=0), "NA")</f>
        <v>Graduate</v>
      </c>
      <c r="Q1267" t="e">
        <f>_xlfn.XLOOKUP(Table1[[#This Row],[ID]], Table2[ID],#REF!, "Not Found", 0)</f>
        <v>#REF!</v>
      </c>
      <c r="R1267" t="e">
        <f>_xlfn.XLOOKUP(Table1[[#This Row],[ID]], Table2[ID],#REF!, "Not Found", 0)</f>
        <v>#REF!</v>
      </c>
      <c r="S1267" s="3">
        <f>_xlfn.XLOOKUP(Table1[[#This Row],[ID]], Table2[ID], Table2[Enrollment], "Not Found", 0)</f>
        <v>43747</v>
      </c>
      <c r="T1267" t="s">
        <v>434</v>
      </c>
    </row>
    <row r="1268" spans="1:20" x14ac:dyDescent="0.3">
      <c r="A1268">
        <v>1628</v>
      </c>
      <c r="B1268">
        <v>146463</v>
      </c>
      <c r="C1268">
        <v>1</v>
      </c>
      <c r="D1268">
        <v>1</v>
      </c>
      <c r="E1268">
        <v>49</v>
      </c>
      <c r="F1268">
        <v>0</v>
      </c>
      <c r="G1268">
        <v>1</v>
      </c>
      <c r="H1268">
        <v>0</v>
      </c>
      <c r="I1268">
        <v>0</v>
      </c>
      <c r="J1268">
        <v>0</v>
      </c>
      <c r="K1268">
        <v>0</v>
      </c>
      <c r="L1268">
        <v>0</v>
      </c>
      <c r="M1268">
        <v>0</v>
      </c>
      <c r="N1268">
        <v>1</v>
      </c>
      <c r="O1268" t="str" cm="1">
        <f t="array" ref="O1268">_xlfn.IFS(Table1[[#This Row],[Divorced]]=1, "Divorced", Table1[[#This Row],[Married]]=1, "Married", Table1[[#This Row],[Single]]=1, "Single", Table1[[#This Row],[Together]]=1, "Together", Table1[[#This Row],[Widow]]=1, "Widow")</f>
        <v>Married</v>
      </c>
      <c r="P1268" t="str" cm="1">
        <f t="array" ref="P1268">_xlfn.IFS(Table1[[#This Row],[Basic]]=1, "Basic", Table1[[#This Row],[Graduate]]=1, "Graduate", Table1[[#This Row],[Master]]=1, "Master", Table1[[#This Row],[PhD]]=1, "PhD", AND(Table1[[#This Row],[Basic]]=0, Table1[[#This Row],[Graduate]]=0, Table1[[#This Row],[Master]]=0, Table1[[#This Row],[PhD]]=0), "NA")</f>
        <v>PhD</v>
      </c>
      <c r="Q1268" t="e">
        <f>_xlfn.XLOOKUP(Table1[[#This Row],[ID]], Table2[ID],#REF!, "Not Found", 0)</f>
        <v>#REF!</v>
      </c>
      <c r="R1268" t="e">
        <f>_xlfn.XLOOKUP(Table1[[#This Row],[ID]], Table2[ID],#REF!, "Not Found", 0)</f>
        <v>#REF!</v>
      </c>
      <c r="S1268" s="3" t="str">
        <f>_xlfn.XLOOKUP(Table1[[#This Row],[ID]], Table2[ID], Table2[Enrollment], "Not Found", 0)</f>
        <v>1/23/2020</v>
      </c>
      <c r="T1268" t="s">
        <v>438</v>
      </c>
    </row>
    <row r="1269" spans="1:20" x14ac:dyDescent="0.3">
      <c r="A1269">
        <v>2018</v>
      </c>
      <c r="B1269">
        <v>146423</v>
      </c>
      <c r="C1269">
        <v>1</v>
      </c>
      <c r="D1269">
        <v>1</v>
      </c>
      <c r="E1269">
        <v>48</v>
      </c>
      <c r="F1269">
        <v>0</v>
      </c>
      <c r="G1269">
        <v>0</v>
      </c>
      <c r="H1269">
        <v>1</v>
      </c>
      <c r="I1269">
        <v>0</v>
      </c>
      <c r="J1269">
        <v>0</v>
      </c>
      <c r="K1269">
        <v>0</v>
      </c>
      <c r="L1269">
        <v>0</v>
      </c>
      <c r="M1269">
        <v>1</v>
      </c>
      <c r="N1269">
        <v>0</v>
      </c>
      <c r="O1269" t="str" cm="1">
        <f t="array" ref="O1269">_xlfn.IFS(Table1[[#This Row],[Divorced]]=1, "Divorced", Table1[[#This Row],[Married]]=1, "Married", Table1[[#This Row],[Single]]=1, "Single", Table1[[#This Row],[Together]]=1, "Together", Table1[[#This Row],[Widow]]=1, "Widow")</f>
        <v>Single</v>
      </c>
      <c r="P1269" t="str" cm="1">
        <f t="array" ref="P1269">_xlfn.IFS(Table1[[#This Row],[Basic]]=1, "Basic", Table1[[#This Row],[Graduate]]=1, "Graduate", Table1[[#This Row],[Master]]=1, "Master", Table1[[#This Row],[PhD]]=1, "PhD", AND(Table1[[#This Row],[Basic]]=0, Table1[[#This Row],[Graduate]]=0, Table1[[#This Row],[Master]]=0, Table1[[#This Row],[PhD]]=0), "NA")</f>
        <v>Master</v>
      </c>
      <c r="Q1269" t="e">
        <f>_xlfn.XLOOKUP(Table1[[#This Row],[ID]], Table2[ID],#REF!, "Not Found", 0)</f>
        <v>#REF!</v>
      </c>
      <c r="R1269" t="e">
        <f>_xlfn.XLOOKUP(Table1[[#This Row],[ID]], Table2[ID],#REF!, "Not Found", 0)</f>
        <v>#REF!</v>
      </c>
      <c r="S1269" s="3" t="str">
        <f>_xlfn.XLOOKUP(Table1[[#This Row],[ID]], Table2[ID], Table2[Enrollment], "Not Found", 0)</f>
        <v>2/23/2020</v>
      </c>
      <c r="T1269" t="s">
        <v>438</v>
      </c>
    </row>
    <row r="1270" spans="1:20" x14ac:dyDescent="0.3">
      <c r="A1270">
        <v>2979</v>
      </c>
      <c r="B1270">
        <v>146423</v>
      </c>
      <c r="C1270">
        <v>1</v>
      </c>
      <c r="D1270">
        <v>1</v>
      </c>
      <c r="E1270">
        <v>48</v>
      </c>
      <c r="F1270">
        <v>0</v>
      </c>
      <c r="G1270">
        <v>0</v>
      </c>
      <c r="H1270">
        <v>1</v>
      </c>
      <c r="I1270">
        <v>0</v>
      </c>
      <c r="J1270">
        <v>0</v>
      </c>
      <c r="K1270">
        <v>0</v>
      </c>
      <c r="L1270">
        <v>0</v>
      </c>
      <c r="M1270">
        <v>1</v>
      </c>
      <c r="N1270">
        <v>0</v>
      </c>
      <c r="O1270" t="str" cm="1">
        <f t="array" ref="O1270">_xlfn.IFS(Table1[[#This Row],[Divorced]]=1, "Divorced", Table1[[#This Row],[Married]]=1, "Married", Table1[[#This Row],[Single]]=1, "Single", Table1[[#This Row],[Together]]=1, "Together", Table1[[#This Row],[Widow]]=1, "Widow")</f>
        <v>Single</v>
      </c>
      <c r="P1270" t="str" cm="1">
        <f t="array" ref="P1270">_xlfn.IFS(Table1[[#This Row],[Basic]]=1, "Basic", Table1[[#This Row],[Graduate]]=1, "Graduate", Table1[[#This Row],[Master]]=1, "Master", Table1[[#This Row],[PhD]]=1, "PhD", AND(Table1[[#This Row],[Basic]]=0, Table1[[#This Row],[Graduate]]=0, Table1[[#This Row],[Master]]=0, Table1[[#This Row],[PhD]]=0), "NA")</f>
        <v>Master</v>
      </c>
      <c r="Q1270" t="e">
        <f>_xlfn.XLOOKUP(Table1[[#This Row],[ID]], Table2[ID],#REF!, "Not Found", 0)</f>
        <v>#REF!</v>
      </c>
      <c r="R1270" t="e">
        <f>_xlfn.XLOOKUP(Table1[[#This Row],[ID]], Table2[ID],#REF!, "Not Found", 0)</f>
        <v>#REF!</v>
      </c>
      <c r="S1270" s="3" t="str">
        <f>_xlfn.XLOOKUP(Table1[[#This Row],[ID]], Table2[ID], Table2[Enrollment], "Not Found", 0)</f>
        <v>2/23/2020</v>
      </c>
      <c r="T1270" t="s">
        <v>435</v>
      </c>
    </row>
    <row r="1271" spans="1:20" x14ac:dyDescent="0.3">
      <c r="A1271">
        <v>2359</v>
      </c>
      <c r="B1271">
        <v>146390</v>
      </c>
      <c r="C1271">
        <v>0</v>
      </c>
      <c r="D1271">
        <v>1</v>
      </c>
      <c r="E1271">
        <v>65</v>
      </c>
      <c r="F1271">
        <v>1</v>
      </c>
      <c r="G1271">
        <v>0</v>
      </c>
      <c r="H1271">
        <v>0</v>
      </c>
      <c r="I1271">
        <v>0</v>
      </c>
      <c r="J1271">
        <v>0</v>
      </c>
      <c r="K1271">
        <v>0</v>
      </c>
      <c r="L1271">
        <v>0</v>
      </c>
      <c r="M1271">
        <v>1</v>
      </c>
      <c r="N1271">
        <v>0</v>
      </c>
      <c r="O1271" t="str" cm="1">
        <f t="array" ref="O1271">_xlfn.IFS(Table1[[#This Row],[Divorced]]=1, "Divorced", Table1[[#This Row],[Married]]=1, "Married", Table1[[#This Row],[Single]]=1, "Single", Table1[[#This Row],[Together]]=1, "Together", Table1[[#This Row],[Widow]]=1, "Widow")</f>
        <v>Divorced</v>
      </c>
      <c r="P1271" t="str" cm="1">
        <f t="array" ref="P1271">_xlfn.IFS(Table1[[#This Row],[Basic]]=1, "Basic", Table1[[#This Row],[Graduate]]=1, "Graduate", Table1[[#This Row],[Master]]=1, "Master", Table1[[#This Row],[PhD]]=1, "PhD", AND(Table1[[#This Row],[Basic]]=0, Table1[[#This Row],[Graduate]]=0, Table1[[#This Row],[Master]]=0, Table1[[#This Row],[PhD]]=0), "NA")</f>
        <v>Master</v>
      </c>
      <c r="Q1271" t="e">
        <f>_xlfn.XLOOKUP(Table1[[#This Row],[ID]], Table2[ID],#REF!, "Not Found", 0)</f>
        <v>#REF!</v>
      </c>
      <c r="R1271" t="e">
        <f>_xlfn.XLOOKUP(Table1[[#This Row],[ID]], Table2[ID],#REF!, "Not Found", 0)</f>
        <v>#REF!</v>
      </c>
      <c r="S1271" s="3">
        <f>_xlfn.XLOOKUP(Table1[[#This Row],[ID]], Table2[ID], Table2[Enrollment], "Not Found", 0)</f>
        <v>44084</v>
      </c>
      <c r="T1271" t="s">
        <v>437</v>
      </c>
    </row>
    <row r="1272" spans="1:20" x14ac:dyDescent="0.3">
      <c r="A1272">
        <v>1289</v>
      </c>
      <c r="B1272">
        <v>146377</v>
      </c>
      <c r="C1272">
        <v>1</v>
      </c>
      <c r="D1272">
        <v>0</v>
      </c>
      <c r="E1272">
        <v>42</v>
      </c>
      <c r="F1272">
        <v>0</v>
      </c>
      <c r="G1272">
        <v>1</v>
      </c>
      <c r="H1272">
        <v>0</v>
      </c>
      <c r="I1272">
        <v>0</v>
      </c>
      <c r="J1272">
        <v>0</v>
      </c>
      <c r="K1272">
        <v>0</v>
      </c>
      <c r="L1272">
        <v>0</v>
      </c>
      <c r="M1272">
        <v>0</v>
      </c>
      <c r="N1272">
        <v>1</v>
      </c>
      <c r="O1272" t="str" cm="1">
        <f t="array" ref="O1272">_xlfn.IFS(Table1[[#This Row],[Divorced]]=1, "Divorced", Table1[[#This Row],[Married]]=1, "Married", Table1[[#This Row],[Single]]=1, "Single", Table1[[#This Row],[Together]]=1, "Together", Table1[[#This Row],[Widow]]=1, "Widow")</f>
        <v>Married</v>
      </c>
      <c r="P1272" t="str" cm="1">
        <f t="array" ref="P1272">_xlfn.IFS(Table1[[#This Row],[Basic]]=1, "Basic", Table1[[#This Row],[Graduate]]=1, "Graduate", Table1[[#This Row],[Master]]=1, "Master", Table1[[#This Row],[PhD]]=1, "PhD", AND(Table1[[#This Row],[Basic]]=0, Table1[[#This Row],[Graduate]]=0, Table1[[#This Row],[Master]]=0, Table1[[#This Row],[PhD]]=0), "NA")</f>
        <v>PhD</v>
      </c>
      <c r="Q1272" t="e">
        <f>_xlfn.XLOOKUP(Table1[[#This Row],[ID]], Table2[ID],#REF!, "Not Found", 0)</f>
        <v>#REF!</v>
      </c>
      <c r="R1272" t="e">
        <f>_xlfn.XLOOKUP(Table1[[#This Row],[ID]], Table2[ID],#REF!, "Not Found", 0)</f>
        <v>#REF!</v>
      </c>
      <c r="S1272" s="3">
        <f>_xlfn.XLOOKUP(Table1[[#This Row],[ID]], Table2[ID], Table2[Enrollment], "Not Found", 0)</f>
        <v>43959</v>
      </c>
      <c r="T1272" t="s">
        <v>434</v>
      </c>
    </row>
    <row r="1273" spans="1:20" x14ac:dyDescent="0.3">
      <c r="A1273">
        <v>1835</v>
      </c>
      <c r="B1273">
        <v>146374</v>
      </c>
      <c r="C1273">
        <v>0</v>
      </c>
      <c r="D1273">
        <v>1</v>
      </c>
      <c r="E1273">
        <v>46</v>
      </c>
      <c r="F1273">
        <v>0</v>
      </c>
      <c r="G1273">
        <v>1</v>
      </c>
      <c r="H1273">
        <v>0</v>
      </c>
      <c r="I1273">
        <v>0</v>
      </c>
      <c r="J1273">
        <v>0</v>
      </c>
      <c r="K1273">
        <v>0</v>
      </c>
      <c r="L1273">
        <v>0</v>
      </c>
      <c r="M1273">
        <v>0</v>
      </c>
      <c r="N1273">
        <v>1</v>
      </c>
      <c r="O1273" t="str" cm="1">
        <f t="array" ref="O1273">_xlfn.IFS(Table1[[#This Row],[Divorced]]=1, "Divorced", Table1[[#This Row],[Married]]=1, "Married", Table1[[#This Row],[Single]]=1, "Single", Table1[[#This Row],[Together]]=1, "Together", Table1[[#This Row],[Widow]]=1, "Widow")</f>
        <v>Married</v>
      </c>
      <c r="P1273" t="str" cm="1">
        <f t="array" ref="P1273">_xlfn.IFS(Table1[[#This Row],[Basic]]=1, "Basic", Table1[[#This Row],[Graduate]]=1, "Graduate", Table1[[#This Row],[Master]]=1, "Master", Table1[[#This Row],[PhD]]=1, "PhD", AND(Table1[[#This Row],[Basic]]=0, Table1[[#This Row],[Graduate]]=0, Table1[[#This Row],[Master]]=0, Table1[[#This Row],[PhD]]=0), "NA")</f>
        <v>PhD</v>
      </c>
      <c r="Q1273" t="e">
        <f>_xlfn.XLOOKUP(Table1[[#This Row],[ID]], Table2[ID],#REF!, "Not Found", 0)</f>
        <v>#REF!</v>
      </c>
      <c r="R1273" t="e">
        <f>_xlfn.XLOOKUP(Table1[[#This Row],[ID]], Table2[ID],#REF!, "Not Found", 0)</f>
        <v>#REF!</v>
      </c>
      <c r="S1273" s="3" t="str">
        <f>_xlfn.XLOOKUP(Table1[[#This Row],[ID]], Table2[ID], Table2[Enrollment], "Not Found", 0)</f>
        <v>8/21/2020</v>
      </c>
      <c r="T1273" t="s">
        <v>434</v>
      </c>
    </row>
    <row r="1274" spans="1:20" x14ac:dyDescent="0.3">
      <c r="A1274">
        <v>1002</v>
      </c>
      <c r="B1274">
        <v>146344</v>
      </c>
      <c r="C1274">
        <v>1</v>
      </c>
      <c r="D1274">
        <v>1</v>
      </c>
      <c r="E1274">
        <v>66</v>
      </c>
      <c r="F1274">
        <v>0</v>
      </c>
      <c r="G1274">
        <v>0</v>
      </c>
      <c r="H1274">
        <v>1</v>
      </c>
      <c r="I1274">
        <v>0</v>
      </c>
      <c r="J1274">
        <v>0</v>
      </c>
      <c r="K1274">
        <v>0</v>
      </c>
      <c r="L1274">
        <v>1</v>
      </c>
      <c r="M1274">
        <v>0</v>
      </c>
      <c r="N1274">
        <v>0</v>
      </c>
      <c r="O1274" t="str" cm="1">
        <f t="array" ref="O1274">_xlfn.IFS(Table1[[#This Row],[Divorced]]=1, "Divorced", Table1[[#This Row],[Married]]=1, "Married", Table1[[#This Row],[Single]]=1, "Single", Table1[[#This Row],[Together]]=1, "Together", Table1[[#This Row],[Widow]]=1, "Widow")</f>
        <v>Single</v>
      </c>
      <c r="P1274" t="str" cm="1">
        <f t="array" ref="P1274">_xlfn.IFS(Table1[[#This Row],[Basic]]=1, "Basic", Table1[[#This Row],[Graduate]]=1, "Graduate", Table1[[#This Row],[Master]]=1, "Master", Table1[[#This Row],[PhD]]=1, "PhD", AND(Table1[[#This Row],[Basic]]=0, Table1[[#This Row],[Graduate]]=0, Table1[[#This Row],[Master]]=0, Table1[[#This Row],[PhD]]=0), "NA")</f>
        <v>Graduate</v>
      </c>
      <c r="Q1274" t="e">
        <f>_xlfn.XLOOKUP(Table1[[#This Row],[ID]], Table2[ID],#REF!, "Not Found", 0)</f>
        <v>#REF!</v>
      </c>
      <c r="R1274" t="e">
        <f>_xlfn.XLOOKUP(Table1[[#This Row],[ID]], Table2[ID],#REF!, "Not Found", 0)</f>
        <v>#REF!</v>
      </c>
      <c r="S1274" s="3">
        <f>_xlfn.XLOOKUP(Table1[[#This Row],[ID]], Table2[ID], Table2[Enrollment], "Not Found", 0)</f>
        <v>44173</v>
      </c>
      <c r="T1274" t="s">
        <v>436</v>
      </c>
    </row>
    <row r="1275" spans="1:20" x14ac:dyDescent="0.3">
      <c r="A1275">
        <v>1142</v>
      </c>
      <c r="B1275">
        <v>146344</v>
      </c>
      <c r="C1275">
        <v>0</v>
      </c>
      <c r="D1275">
        <v>1</v>
      </c>
      <c r="E1275">
        <v>48</v>
      </c>
      <c r="F1275">
        <v>0</v>
      </c>
      <c r="G1275">
        <v>0</v>
      </c>
      <c r="H1275">
        <v>0</v>
      </c>
      <c r="I1275">
        <v>1</v>
      </c>
      <c r="J1275">
        <v>0</v>
      </c>
      <c r="K1275">
        <v>0</v>
      </c>
      <c r="L1275">
        <v>0</v>
      </c>
      <c r="M1275">
        <v>0</v>
      </c>
      <c r="N1275">
        <v>0</v>
      </c>
      <c r="O1275" t="str" cm="1">
        <f t="array" ref="O1275">_xlfn.IFS(Table1[[#This Row],[Divorced]]=1, "Divorced", Table1[[#This Row],[Married]]=1, "Married", Table1[[#This Row],[Single]]=1, "Single", Table1[[#This Row],[Together]]=1, "Together", Table1[[#This Row],[Widow]]=1, "Widow")</f>
        <v>Together</v>
      </c>
      <c r="P1275" t="str" cm="1">
        <f t="array" ref="P1275">_xlfn.IFS(Table1[[#This Row],[Basic]]=1, "Basic", Table1[[#This Row],[Graduate]]=1, "Graduate", Table1[[#This Row],[Master]]=1, "Master", Table1[[#This Row],[PhD]]=1, "PhD", AND(Table1[[#This Row],[Basic]]=0, Table1[[#This Row],[Graduate]]=0, Table1[[#This Row],[Master]]=0, Table1[[#This Row],[PhD]]=0), "NA")</f>
        <v>NA</v>
      </c>
      <c r="Q1275" t="e">
        <f>_xlfn.XLOOKUP(Table1[[#This Row],[ID]], Table2[ID],#REF!, "Not Found", 0)</f>
        <v>#REF!</v>
      </c>
      <c r="R1275" t="e">
        <f>_xlfn.XLOOKUP(Table1[[#This Row],[ID]], Table2[ID],#REF!, "Not Found", 0)</f>
        <v>#REF!</v>
      </c>
      <c r="S1275" s="3" t="str">
        <f>_xlfn.XLOOKUP(Table1[[#This Row],[ID]], Table2[ID], Table2[Enrollment], "Not Found", 0)</f>
        <v>5/21/2019</v>
      </c>
      <c r="T1275" t="s">
        <v>438</v>
      </c>
    </row>
    <row r="1276" spans="1:20" x14ac:dyDescent="0.3">
      <c r="A1276">
        <v>1475</v>
      </c>
      <c r="B1276">
        <v>146310</v>
      </c>
      <c r="C1276">
        <v>1</v>
      </c>
      <c r="D1276">
        <v>0</v>
      </c>
      <c r="E1276">
        <v>44</v>
      </c>
      <c r="F1276">
        <v>1</v>
      </c>
      <c r="G1276">
        <v>0</v>
      </c>
      <c r="H1276">
        <v>0</v>
      </c>
      <c r="I1276">
        <v>0</v>
      </c>
      <c r="J1276">
        <v>0</v>
      </c>
      <c r="K1276">
        <v>0</v>
      </c>
      <c r="L1276">
        <v>1</v>
      </c>
      <c r="M1276">
        <v>0</v>
      </c>
      <c r="N1276">
        <v>0</v>
      </c>
      <c r="O1276" t="str" cm="1">
        <f t="array" ref="O1276">_xlfn.IFS(Table1[[#This Row],[Divorced]]=1, "Divorced", Table1[[#This Row],[Married]]=1, "Married", Table1[[#This Row],[Single]]=1, "Single", Table1[[#This Row],[Together]]=1, "Together", Table1[[#This Row],[Widow]]=1, "Widow")</f>
        <v>Divorced</v>
      </c>
      <c r="P1276" t="str" cm="1">
        <f t="array" ref="P1276">_xlfn.IFS(Table1[[#This Row],[Basic]]=1, "Basic", Table1[[#This Row],[Graduate]]=1, "Graduate", Table1[[#This Row],[Master]]=1, "Master", Table1[[#This Row],[PhD]]=1, "PhD", AND(Table1[[#This Row],[Basic]]=0, Table1[[#This Row],[Graduate]]=0, Table1[[#This Row],[Master]]=0, Table1[[#This Row],[PhD]]=0), "NA")</f>
        <v>Graduate</v>
      </c>
      <c r="Q1276" t="e">
        <f>_xlfn.XLOOKUP(Table1[[#This Row],[ID]], Table2[ID],#REF!, "Not Found", 0)</f>
        <v>#REF!</v>
      </c>
      <c r="R1276" t="e">
        <f>_xlfn.XLOOKUP(Table1[[#This Row],[ID]], Table2[ID],#REF!, "Not Found", 0)</f>
        <v>#REF!</v>
      </c>
      <c r="S1276" s="3">
        <f>_xlfn.XLOOKUP(Table1[[#This Row],[ID]], Table2[ID], Table2[Enrollment], "Not Found", 0)</f>
        <v>43743</v>
      </c>
      <c r="T1276" t="s">
        <v>434</v>
      </c>
    </row>
    <row r="1277" spans="1:20" x14ac:dyDescent="0.3">
      <c r="A1277">
        <v>1867</v>
      </c>
      <c r="B1277">
        <v>146231</v>
      </c>
      <c r="C1277">
        <v>2</v>
      </c>
      <c r="D1277">
        <v>1</v>
      </c>
      <c r="E1277">
        <v>67</v>
      </c>
      <c r="F1277">
        <v>0</v>
      </c>
      <c r="G1277">
        <v>0</v>
      </c>
      <c r="H1277">
        <v>1</v>
      </c>
      <c r="I1277">
        <v>0</v>
      </c>
      <c r="J1277">
        <v>0</v>
      </c>
      <c r="K1277">
        <v>0</v>
      </c>
      <c r="L1277">
        <v>0</v>
      </c>
      <c r="M1277">
        <v>0</v>
      </c>
      <c r="N1277">
        <v>1</v>
      </c>
      <c r="O1277" t="str" cm="1">
        <f t="array" ref="O1277">_xlfn.IFS(Table1[[#This Row],[Divorced]]=1, "Divorced", Table1[[#This Row],[Married]]=1, "Married", Table1[[#This Row],[Single]]=1, "Single", Table1[[#This Row],[Together]]=1, "Together", Table1[[#This Row],[Widow]]=1, "Widow")</f>
        <v>Single</v>
      </c>
      <c r="P1277" t="str" cm="1">
        <f t="array" ref="P1277">_xlfn.IFS(Table1[[#This Row],[Basic]]=1, "Basic", Table1[[#This Row],[Graduate]]=1, "Graduate", Table1[[#This Row],[Master]]=1, "Master", Table1[[#This Row],[PhD]]=1, "PhD", AND(Table1[[#This Row],[Basic]]=0, Table1[[#This Row],[Graduate]]=0, Table1[[#This Row],[Master]]=0, Table1[[#This Row],[PhD]]=0), "NA")</f>
        <v>PhD</v>
      </c>
      <c r="Q1277" t="e">
        <f>_xlfn.XLOOKUP(Table1[[#This Row],[ID]], Table2[ID],#REF!, "Not Found", 0)</f>
        <v>#REF!</v>
      </c>
      <c r="R1277" t="e">
        <f>_xlfn.XLOOKUP(Table1[[#This Row],[ID]], Table2[ID],#REF!, "Not Found", 0)</f>
        <v>#REF!</v>
      </c>
      <c r="S1277" s="3">
        <f>_xlfn.XLOOKUP(Table1[[#This Row],[ID]], Table2[ID], Table2[Enrollment], "Not Found", 0)</f>
        <v>43529</v>
      </c>
      <c r="T1277" t="s">
        <v>437</v>
      </c>
    </row>
    <row r="1278" spans="1:20" x14ac:dyDescent="0.3">
      <c r="A1278">
        <v>2260</v>
      </c>
      <c r="B1278">
        <v>146149</v>
      </c>
      <c r="C1278">
        <v>0</v>
      </c>
      <c r="D1278">
        <v>1</v>
      </c>
      <c r="E1278">
        <v>45</v>
      </c>
      <c r="F1278">
        <v>0</v>
      </c>
      <c r="G1278">
        <v>1</v>
      </c>
      <c r="H1278">
        <v>0</v>
      </c>
      <c r="I1278">
        <v>0</v>
      </c>
      <c r="J1278">
        <v>0</v>
      </c>
      <c r="K1278">
        <v>0</v>
      </c>
      <c r="L1278">
        <v>1</v>
      </c>
      <c r="M1278">
        <v>0</v>
      </c>
      <c r="N1278">
        <v>0</v>
      </c>
      <c r="O1278" t="str" cm="1">
        <f t="array" ref="O1278">_xlfn.IFS(Table1[[#This Row],[Divorced]]=1, "Divorced", Table1[[#This Row],[Married]]=1, "Married", Table1[[#This Row],[Single]]=1, "Single", Table1[[#This Row],[Together]]=1, "Together", Table1[[#This Row],[Widow]]=1, "Widow")</f>
        <v>Married</v>
      </c>
      <c r="P1278" t="str" cm="1">
        <f t="array" ref="P1278">_xlfn.IFS(Table1[[#This Row],[Basic]]=1, "Basic", Table1[[#This Row],[Graduate]]=1, "Graduate", Table1[[#This Row],[Master]]=1, "Master", Table1[[#This Row],[PhD]]=1, "PhD", AND(Table1[[#This Row],[Basic]]=0, Table1[[#This Row],[Graduate]]=0, Table1[[#This Row],[Master]]=0, Table1[[#This Row],[PhD]]=0), "NA")</f>
        <v>Graduate</v>
      </c>
      <c r="Q1278" t="e">
        <f>_xlfn.XLOOKUP(Table1[[#This Row],[ID]], Table2[ID],#REF!, "Not Found", 0)</f>
        <v>#REF!</v>
      </c>
      <c r="R1278" t="e">
        <f>_xlfn.XLOOKUP(Table1[[#This Row],[ID]], Table2[ID],#REF!, "Not Found", 0)</f>
        <v>#REF!</v>
      </c>
      <c r="S1278" s="3">
        <f>_xlfn.XLOOKUP(Table1[[#This Row],[ID]], Table2[ID], Table2[Enrollment], "Not Found", 0)</f>
        <v>43956</v>
      </c>
      <c r="T1278" t="s">
        <v>439</v>
      </c>
    </row>
    <row r="1279" spans="1:20" x14ac:dyDescent="0.3">
      <c r="A1279">
        <v>1912</v>
      </c>
      <c r="B1279">
        <v>146107</v>
      </c>
      <c r="C1279">
        <v>1</v>
      </c>
      <c r="D1279">
        <v>0</v>
      </c>
      <c r="E1279">
        <v>31</v>
      </c>
      <c r="F1279">
        <v>0</v>
      </c>
      <c r="G1279">
        <v>0</v>
      </c>
      <c r="H1279">
        <v>1</v>
      </c>
      <c r="I1279">
        <v>0</v>
      </c>
      <c r="J1279">
        <v>0</v>
      </c>
      <c r="K1279">
        <v>0</v>
      </c>
      <c r="L1279">
        <v>1</v>
      </c>
      <c r="M1279">
        <v>0</v>
      </c>
      <c r="N1279">
        <v>0</v>
      </c>
      <c r="O1279" t="str" cm="1">
        <f t="array" ref="O1279">_xlfn.IFS(Table1[[#This Row],[Divorced]]=1, "Divorced", Table1[[#This Row],[Married]]=1, "Married", Table1[[#This Row],[Single]]=1, "Single", Table1[[#This Row],[Together]]=1, "Together", Table1[[#This Row],[Widow]]=1, "Widow")</f>
        <v>Single</v>
      </c>
      <c r="P1279" t="str" cm="1">
        <f t="array" ref="P1279">_xlfn.IFS(Table1[[#This Row],[Basic]]=1, "Basic", Table1[[#This Row],[Graduate]]=1, "Graduate", Table1[[#This Row],[Master]]=1, "Master", Table1[[#This Row],[PhD]]=1, "PhD", AND(Table1[[#This Row],[Basic]]=0, Table1[[#This Row],[Graduate]]=0, Table1[[#This Row],[Master]]=0, Table1[[#This Row],[PhD]]=0), "NA")</f>
        <v>Graduate</v>
      </c>
      <c r="Q1279" t="e">
        <f>_xlfn.XLOOKUP(Table1[[#This Row],[ID]], Table2[ID],#REF!, "Not Found", 0)</f>
        <v>#REF!</v>
      </c>
      <c r="R1279" t="e">
        <f>_xlfn.XLOOKUP(Table1[[#This Row],[ID]], Table2[ID],#REF!, "Not Found", 0)</f>
        <v>#REF!</v>
      </c>
      <c r="S1279" s="3" t="str">
        <f>_xlfn.XLOOKUP(Table1[[#This Row],[ID]], Table2[ID], Table2[Enrollment], "Not Found", 0)</f>
        <v>7/17/2020</v>
      </c>
      <c r="T1279" t="s">
        <v>439</v>
      </c>
    </row>
    <row r="1280" spans="1:20" x14ac:dyDescent="0.3">
      <c r="A1280">
        <v>1935</v>
      </c>
      <c r="B1280">
        <v>146106</v>
      </c>
      <c r="C1280">
        <v>1</v>
      </c>
      <c r="D1280">
        <v>1</v>
      </c>
      <c r="E1280">
        <v>44</v>
      </c>
      <c r="F1280">
        <v>0</v>
      </c>
      <c r="G1280">
        <v>0</v>
      </c>
      <c r="H1280">
        <v>0</v>
      </c>
      <c r="I1280">
        <v>1</v>
      </c>
      <c r="J1280">
        <v>0</v>
      </c>
      <c r="K1280">
        <v>0</v>
      </c>
      <c r="L1280">
        <v>0</v>
      </c>
      <c r="M1280">
        <v>1</v>
      </c>
      <c r="N1280">
        <v>0</v>
      </c>
      <c r="O1280" t="str" cm="1">
        <f t="array" ref="O1280">_xlfn.IFS(Table1[[#This Row],[Divorced]]=1, "Divorced", Table1[[#This Row],[Married]]=1, "Married", Table1[[#This Row],[Single]]=1, "Single", Table1[[#This Row],[Together]]=1, "Together", Table1[[#This Row],[Widow]]=1, "Widow")</f>
        <v>Together</v>
      </c>
      <c r="P1280" t="str" cm="1">
        <f t="array" ref="P1280">_xlfn.IFS(Table1[[#This Row],[Basic]]=1, "Basic", Table1[[#This Row],[Graduate]]=1, "Graduate", Table1[[#This Row],[Master]]=1, "Master", Table1[[#This Row],[PhD]]=1, "PhD", AND(Table1[[#This Row],[Basic]]=0, Table1[[#This Row],[Graduate]]=0, Table1[[#This Row],[Master]]=0, Table1[[#This Row],[PhD]]=0), "NA")</f>
        <v>Master</v>
      </c>
      <c r="Q1280" t="e">
        <f>_xlfn.XLOOKUP(Table1[[#This Row],[ID]], Table2[ID],#REF!, "Not Found", 0)</f>
        <v>#REF!</v>
      </c>
      <c r="R1280" t="e">
        <f>_xlfn.XLOOKUP(Table1[[#This Row],[ID]], Table2[ID],#REF!, "Not Found", 0)</f>
        <v>#REF!</v>
      </c>
      <c r="S1280" s="3" t="str">
        <f>_xlfn.XLOOKUP(Table1[[#This Row],[ID]], Table2[ID], Table2[Enrollment], "Not Found", 0)</f>
        <v>10/15/2020</v>
      </c>
      <c r="T1280" t="s">
        <v>435</v>
      </c>
    </row>
    <row r="1281" spans="1:20" x14ac:dyDescent="0.3">
      <c r="A1281">
        <v>1618</v>
      </c>
      <c r="B1281">
        <v>146102</v>
      </c>
      <c r="C1281">
        <v>2</v>
      </c>
      <c r="D1281">
        <v>1</v>
      </c>
      <c r="E1281">
        <v>58</v>
      </c>
      <c r="F1281">
        <v>1</v>
      </c>
      <c r="G1281">
        <v>0</v>
      </c>
      <c r="H1281">
        <v>0</v>
      </c>
      <c r="I1281">
        <v>0</v>
      </c>
      <c r="J1281">
        <v>0</v>
      </c>
      <c r="K1281">
        <v>0</v>
      </c>
      <c r="L1281">
        <v>1</v>
      </c>
      <c r="M1281">
        <v>0</v>
      </c>
      <c r="N1281">
        <v>0</v>
      </c>
      <c r="O1281" t="str" cm="1">
        <f t="array" ref="O1281">_xlfn.IFS(Table1[[#This Row],[Divorced]]=1, "Divorced", Table1[[#This Row],[Married]]=1, "Married", Table1[[#This Row],[Single]]=1, "Single", Table1[[#This Row],[Together]]=1, "Together", Table1[[#This Row],[Widow]]=1, "Widow")</f>
        <v>Divorced</v>
      </c>
      <c r="P1281" t="str" cm="1">
        <f t="array" ref="P1281">_xlfn.IFS(Table1[[#This Row],[Basic]]=1, "Basic", Table1[[#This Row],[Graduate]]=1, "Graduate", Table1[[#This Row],[Master]]=1, "Master", Table1[[#This Row],[PhD]]=1, "PhD", AND(Table1[[#This Row],[Basic]]=0, Table1[[#This Row],[Graduate]]=0, Table1[[#This Row],[Master]]=0, Table1[[#This Row],[PhD]]=0), "NA")</f>
        <v>Graduate</v>
      </c>
      <c r="Q1281" t="e">
        <f>_xlfn.XLOOKUP(Table1[[#This Row],[ID]], Table2[ID],#REF!, "Not Found", 0)</f>
        <v>#REF!</v>
      </c>
      <c r="R1281" t="e">
        <f>_xlfn.XLOOKUP(Table1[[#This Row],[ID]], Table2[ID],#REF!, "Not Found", 0)</f>
        <v>#REF!</v>
      </c>
      <c r="S1281" s="3" t="str">
        <f>_xlfn.XLOOKUP(Table1[[#This Row],[ID]], Table2[ID], Table2[Enrollment], "Not Found", 0)</f>
        <v>8/14/2020</v>
      </c>
      <c r="T1281" t="s">
        <v>439</v>
      </c>
    </row>
    <row r="1282" spans="1:20" x14ac:dyDescent="0.3">
      <c r="A1282">
        <v>1359</v>
      </c>
      <c r="B1282">
        <v>146098</v>
      </c>
      <c r="C1282">
        <v>1</v>
      </c>
      <c r="D1282">
        <v>1</v>
      </c>
      <c r="E1282">
        <v>45</v>
      </c>
      <c r="F1282">
        <v>0</v>
      </c>
      <c r="G1282">
        <v>0</v>
      </c>
      <c r="H1282">
        <v>1</v>
      </c>
      <c r="I1282">
        <v>0</v>
      </c>
      <c r="J1282">
        <v>0</v>
      </c>
      <c r="K1282">
        <v>0</v>
      </c>
      <c r="L1282">
        <v>0</v>
      </c>
      <c r="M1282">
        <v>1</v>
      </c>
      <c r="N1282">
        <v>0</v>
      </c>
      <c r="O1282" t="str" cm="1">
        <f t="array" ref="O1282">_xlfn.IFS(Table1[[#This Row],[Divorced]]=1, "Divorced", Table1[[#This Row],[Married]]=1, "Married", Table1[[#This Row],[Single]]=1, "Single", Table1[[#This Row],[Together]]=1, "Together", Table1[[#This Row],[Widow]]=1, "Widow")</f>
        <v>Single</v>
      </c>
      <c r="P1282" t="str" cm="1">
        <f t="array" ref="P1282">_xlfn.IFS(Table1[[#This Row],[Basic]]=1, "Basic", Table1[[#This Row],[Graduate]]=1, "Graduate", Table1[[#This Row],[Master]]=1, "Master", Table1[[#This Row],[PhD]]=1, "PhD", AND(Table1[[#This Row],[Basic]]=0, Table1[[#This Row],[Graduate]]=0, Table1[[#This Row],[Master]]=0, Table1[[#This Row],[PhD]]=0), "NA")</f>
        <v>Master</v>
      </c>
      <c r="Q1282" t="e">
        <f>_xlfn.XLOOKUP(Table1[[#This Row],[ID]], Table2[ID],#REF!, "Not Found", 0)</f>
        <v>#REF!</v>
      </c>
      <c r="R1282" t="e">
        <f>_xlfn.XLOOKUP(Table1[[#This Row],[ID]], Table2[ID],#REF!, "Not Found", 0)</f>
        <v>#REF!</v>
      </c>
      <c r="S1282" s="3" t="str">
        <f>_xlfn.XLOOKUP(Table1[[#This Row],[ID]], Table2[ID], Table2[Enrollment], "Not Found", 0)</f>
        <v>1/23/2019</v>
      </c>
      <c r="T1282" t="s">
        <v>435</v>
      </c>
    </row>
    <row r="1283" spans="1:20" x14ac:dyDescent="0.3">
      <c r="A1283">
        <v>2487</v>
      </c>
      <c r="B1283">
        <v>146098</v>
      </c>
      <c r="C1283">
        <v>1</v>
      </c>
      <c r="D1283">
        <v>1</v>
      </c>
      <c r="E1283">
        <v>45</v>
      </c>
      <c r="F1283">
        <v>0</v>
      </c>
      <c r="G1283">
        <v>0</v>
      </c>
      <c r="H1283">
        <v>1</v>
      </c>
      <c r="I1283">
        <v>0</v>
      </c>
      <c r="J1283">
        <v>0</v>
      </c>
      <c r="K1283">
        <v>0</v>
      </c>
      <c r="L1283">
        <v>0</v>
      </c>
      <c r="M1283">
        <v>1</v>
      </c>
      <c r="N1283">
        <v>0</v>
      </c>
      <c r="O1283" t="str" cm="1">
        <f t="array" ref="O1283">_xlfn.IFS(Table1[[#This Row],[Divorced]]=1, "Divorced", Table1[[#This Row],[Married]]=1, "Married", Table1[[#This Row],[Single]]=1, "Single", Table1[[#This Row],[Together]]=1, "Together", Table1[[#This Row],[Widow]]=1, "Widow")</f>
        <v>Single</v>
      </c>
      <c r="P1283" t="str" cm="1">
        <f t="array" ref="P1283">_xlfn.IFS(Table1[[#This Row],[Basic]]=1, "Basic", Table1[[#This Row],[Graduate]]=1, "Graduate", Table1[[#This Row],[Master]]=1, "Master", Table1[[#This Row],[PhD]]=1, "PhD", AND(Table1[[#This Row],[Basic]]=0, Table1[[#This Row],[Graduate]]=0, Table1[[#This Row],[Master]]=0, Table1[[#This Row],[PhD]]=0), "NA")</f>
        <v>Master</v>
      </c>
      <c r="Q1283" t="e">
        <f>_xlfn.XLOOKUP(Table1[[#This Row],[ID]], Table2[ID],#REF!, "Not Found", 0)</f>
        <v>#REF!</v>
      </c>
      <c r="R1283" t="e">
        <f>_xlfn.XLOOKUP(Table1[[#This Row],[ID]], Table2[ID],#REF!, "Not Found", 0)</f>
        <v>#REF!</v>
      </c>
      <c r="S1283" s="3" t="str">
        <f>_xlfn.XLOOKUP(Table1[[#This Row],[ID]], Table2[ID], Table2[Enrollment], "Not Found", 0)</f>
        <v>1/23/2019</v>
      </c>
      <c r="T1283" t="s">
        <v>435</v>
      </c>
    </row>
    <row r="1284" spans="1:20" x14ac:dyDescent="0.3">
      <c r="A1284">
        <v>2509</v>
      </c>
      <c r="B1284">
        <v>146098</v>
      </c>
      <c r="C1284">
        <v>1</v>
      </c>
      <c r="D1284">
        <v>1</v>
      </c>
      <c r="E1284">
        <v>45</v>
      </c>
      <c r="F1284">
        <v>0</v>
      </c>
      <c r="G1284">
        <v>0</v>
      </c>
      <c r="H1284">
        <v>1</v>
      </c>
      <c r="I1284">
        <v>0</v>
      </c>
      <c r="J1284">
        <v>0</v>
      </c>
      <c r="K1284">
        <v>0</v>
      </c>
      <c r="L1284">
        <v>0</v>
      </c>
      <c r="M1284">
        <v>1</v>
      </c>
      <c r="N1284">
        <v>0</v>
      </c>
      <c r="O1284" t="str" cm="1">
        <f t="array" ref="O1284">_xlfn.IFS(Table1[[#This Row],[Divorced]]=1, "Divorced", Table1[[#This Row],[Married]]=1, "Married", Table1[[#This Row],[Single]]=1, "Single", Table1[[#This Row],[Together]]=1, "Together", Table1[[#This Row],[Widow]]=1, "Widow")</f>
        <v>Single</v>
      </c>
      <c r="P1284" t="str" cm="1">
        <f t="array" ref="P1284">_xlfn.IFS(Table1[[#This Row],[Basic]]=1, "Basic", Table1[[#This Row],[Graduate]]=1, "Graduate", Table1[[#This Row],[Master]]=1, "Master", Table1[[#This Row],[PhD]]=1, "PhD", AND(Table1[[#This Row],[Basic]]=0, Table1[[#This Row],[Graduate]]=0, Table1[[#This Row],[Master]]=0, Table1[[#This Row],[PhD]]=0), "NA")</f>
        <v>Master</v>
      </c>
      <c r="Q1284" t="e">
        <f>_xlfn.XLOOKUP(Table1[[#This Row],[ID]], Table2[ID],#REF!, "Not Found", 0)</f>
        <v>#REF!</v>
      </c>
      <c r="R1284" t="e">
        <f>_xlfn.XLOOKUP(Table1[[#This Row],[ID]], Table2[ID],#REF!, "Not Found", 0)</f>
        <v>#REF!</v>
      </c>
      <c r="S1284" s="3" t="str">
        <f>_xlfn.XLOOKUP(Table1[[#This Row],[ID]], Table2[ID], Table2[Enrollment], "Not Found", 0)</f>
        <v>1/23/2019</v>
      </c>
      <c r="T1284" t="s">
        <v>437</v>
      </c>
    </row>
    <row r="1285" spans="1:20" x14ac:dyDescent="0.3">
      <c r="A1285">
        <v>1198</v>
      </c>
      <c r="B1285">
        <v>146097</v>
      </c>
      <c r="C1285">
        <v>0</v>
      </c>
      <c r="D1285">
        <v>1</v>
      </c>
      <c r="E1285">
        <v>64</v>
      </c>
      <c r="F1285">
        <v>0</v>
      </c>
      <c r="G1285">
        <v>0</v>
      </c>
      <c r="H1285">
        <v>0</v>
      </c>
      <c r="I1285">
        <v>1</v>
      </c>
      <c r="J1285">
        <v>0</v>
      </c>
      <c r="K1285">
        <v>0</v>
      </c>
      <c r="L1285">
        <v>1</v>
      </c>
      <c r="M1285">
        <v>0</v>
      </c>
      <c r="N1285">
        <v>0</v>
      </c>
      <c r="O1285" t="str" cm="1">
        <f t="array" ref="O1285">_xlfn.IFS(Table1[[#This Row],[Divorced]]=1, "Divorced", Table1[[#This Row],[Married]]=1, "Married", Table1[[#This Row],[Single]]=1, "Single", Table1[[#This Row],[Together]]=1, "Together", Table1[[#This Row],[Widow]]=1, "Widow")</f>
        <v>Together</v>
      </c>
      <c r="P1285" t="str" cm="1">
        <f t="array" ref="P1285">_xlfn.IFS(Table1[[#This Row],[Basic]]=1, "Basic", Table1[[#This Row],[Graduate]]=1, "Graduate", Table1[[#This Row],[Master]]=1, "Master", Table1[[#This Row],[PhD]]=1, "PhD", AND(Table1[[#This Row],[Basic]]=0, Table1[[#This Row],[Graduate]]=0, Table1[[#This Row],[Master]]=0, Table1[[#This Row],[PhD]]=0), "NA")</f>
        <v>Graduate</v>
      </c>
      <c r="Q1285" t="e">
        <f>_xlfn.XLOOKUP(Table1[[#This Row],[ID]], Table2[ID],#REF!, "Not Found", 0)</f>
        <v>#REF!</v>
      </c>
      <c r="R1285" t="e">
        <f>_xlfn.XLOOKUP(Table1[[#This Row],[ID]], Table2[ID],#REF!, "Not Found", 0)</f>
        <v>#REF!</v>
      </c>
      <c r="S1285" s="3">
        <f>_xlfn.XLOOKUP(Table1[[#This Row],[ID]], Table2[ID], Table2[Enrollment], "Not Found", 0)</f>
        <v>43594</v>
      </c>
      <c r="T1285" t="s">
        <v>439</v>
      </c>
    </row>
    <row r="1286" spans="1:20" x14ac:dyDescent="0.3">
      <c r="A1286">
        <v>2297</v>
      </c>
      <c r="B1286">
        <v>146094</v>
      </c>
      <c r="C1286">
        <v>1</v>
      </c>
      <c r="D1286">
        <v>1</v>
      </c>
      <c r="E1286">
        <v>47</v>
      </c>
      <c r="F1286">
        <v>0</v>
      </c>
      <c r="G1286">
        <v>1</v>
      </c>
      <c r="H1286">
        <v>0</v>
      </c>
      <c r="I1286">
        <v>0</v>
      </c>
      <c r="J1286">
        <v>0</v>
      </c>
      <c r="K1286">
        <v>0</v>
      </c>
      <c r="L1286">
        <v>0</v>
      </c>
      <c r="M1286">
        <v>0</v>
      </c>
      <c r="N1286">
        <v>0</v>
      </c>
      <c r="O1286" t="str" cm="1">
        <f t="array" ref="O1286">_xlfn.IFS(Table1[[#This Row],[Divorced]]=1, "Divorced", Table1[[#This Row],[Married]]=1, "Married", Table1[[#This Row],[Single]]=1, "Single", Table1[[#This Row],[Together]]=1, "Together", Table1[[#This Row],[Widow]]=1, "Widow")</f>
        <v>Married</v>
      </c>
      <c r="P1286" t="str" cm="1">
        <f t="array" ref="P1286">_xlfn.IFS(Table1[[#This Row],[Basic]]=1, "Basic", Table1[[#This Row],[Graduate]]=1, "Graduate", Table1[[#This Row],[Master]]=1, "Master", Table1[[#This Row],[PhD]]=1, "PhD", AND(Table1[[#This Row],[Basic]]=0, Table1[[#This Row],[Graduate]]=0, Table1[[#This Row],[Master]]=0, Table1[[#This Row],[PhD]]=0), "NA")</f>
        <v>NA</v>
      </c>
      <c r="Q1286" t="e">
        <f>_xlfn.XLOOKUP(Table1[[#This Row],[ID]], Table2[ID],#REF!, "Not Found", 0)</f>
        <v>#REF!</v>
      </c>
      <c r="R1286" t="e">
        <f>_xlfn.XLOOKUP(Table1[[#This Row],[ID]], Table2[ID],#REF!, "Not Found", 0)</f>
        <v>#REF!</v>
      </c>
      <c r="S1286" s="3" t="str">
        <f>_xlfn.XLOOKUP(Table1[[#This Row],[ID]], Table2[ID], Table2[Enrollment], "Not Found", 0)</f>
        <v>11/14/2020</v>
      </c>
      <c r="T1286" t="s">
        <v>434</v>
      </c>
    </row>
    <row r="1287" spans="1:20" x14ac:dyDescent="0.3">
      <c r="A1287">
        <v>1980</v>
      </c>
      <c r="B1287">
        <v>146086</v>
      </c>
      <c r="C1287">
        <v>0</v>
      </c>
      <c r="D1287">
        <v>1</v>
      </c>
      <c r="E1287">
        <v>64</v>
      </c>
      <c r="F1287">
        <v>1</v>
      </c>
      <c r="G1287">
        <v>0</v>
      </c>
      <c r="H1287">
        <v>0</v>
      </c>
      <c r="I1287">
        <v>0</v>
      </c>
      <c r="J1287">
        <v>0</v>
      </c>
      <c r="K1287">
        <v>0</v>
      </c>
      <c r="L1287">
        <v>1</v>
      </c>
      <c r="M1287">
        <v>0</v>
      </c>
      <c r="N1287">
        <v>0</v>
      </c>
      <c r="O1287" t="str" cm="1">
        <f t="array" ref="O1287">_xlfn.IFS(Table1[[#This Row],[Divorced]]=1, "Divorced", Table1[[#This Row],[Married]]=1, "Married", Table1[[#This Row],[Single]]=1, "Single", Table1[[#This Row],[Together]]=1, "Together", Table1[[#This Row],[Widow]]=1, "Widow")</f>
        <v>Divorced</v>
      </c>
      <c r="P1287" t="str" cm="1">
        <f t="array" ref="P1287">_xlfn.IFS(Table1[[#This Row],[Basic]]=1, "Basic", Table1[[#This Row],[Graduate]]=1, "Graduate", Table1[[#This Row],[Master]]=1, "Master", Table1[[#This Row],[PhD]]=1, "PhD", AND(Table1[[#This Row],[Basic]]=0, Table1[[#This Row],[Graduate]]=0, Table1[[#This Row],[Master]]=0, Table1[[#This Row],[PhD]]=0), "NA")</f>
        <v>Graduate</v>
      </c>
      <c r="Q1287" t="e">
        <f>_xlfn.XLOOKUP(Table1[[#This Row],[ID]], Table2[ID],#REF!, "Not Found", 0)</f>
        <v>#REF!</v>
      </c>
      <c r="R1287" t="e">
        <f>_xlfn.XLOOKUP(Table1[[#This Row],[ID]], Table2[ID],#REF!, "Not Found", 0)</f>
        <v>#REF!</v>
      </c>
      <c r="S1287" s="3">
        <f>_xlfn.XLOOKUP(Table1[[#This Row],[ID]], Table2[ID], Table2[Enrollment], "Not Found", 0)</f>
        <v>44078</v>
      </c>
      <c r="T1287" t="s">
        <v>436</v>
      </c>
    </row>
    <row r="1288" spans="1:20" x14ac:dyDescent="0.3">
      <c r="A1288">
        <v>2426</v>
      </c>
      <c r="B1288">
        <v>146053</v>
      </c>
      <c r="C1288">
        <v>1</v>
      </c>
      <c r="D1288">
        <v>0</v>
      </c>
      <c r="E1288">
        <v>48</v>
      </c>
      <c r="F1288">
        <v>0</v>
      </c>
      <c r="G1288">
        <v>0</v>
      </c>
      <c r="H1288">
        <v>0</v>
      </c>
      <c r="I1288">
        <v>1</v>
      </c>
      <c r="J1288">
        <v>0</v>
      </c>
      <c r="K1288">
        <v>0</v>
      </c>
      <c r="L1288">
        <v>1</v>
      </c>
      <c r="M1288">
        <v>0</v>
      </c>
      <c r="N1288">
        <v>0</v>
      </c>
      <c r="O1288" t="str" cm="1">
        <f t="array" ref="O1288">_xlfn.IFS(Table1[[#This Row],[Divorced]]=1, "Divorced", Table1[[#This Row],[Married]]=1, "Married", Table1[[#This Row],[Single]]=1, "Single", Table1[[#This Row],[Together]]=1, "Together", Table1[[#This Row],[Widow]]=1, "Widow")</f>
        <v>Together</v>
      </c>
      <c r="P1288" t="str" cm="1">
        <f t="array" ref="P1288">_xlfn.IFS(Table1[[#This Row],[Basic]]=1, "Basic", Table1[[#This Row],[Graduate]]=1, "Graduate", Table1[[#This Row],[Master]]=1, "Master", Table1[[#This Row],[PhD]]=1, "PhD", AND(Table1[[#This Row],[Basic]]=0, Table1[[#This Row],[Graduate]]=0, Table1[[#This Row],[Master]]=0, Table1[[#This Row],[PhD]]=0), "NA")</f>
        <v>Graduate</v>
      </c>
      <c r="Q1288" t="e">
        <f>_xlfn.XLOOKUP(Table1[[#This Row],[ID]], Table2[ID],#REF!, "Not Found", 0)</f>
        <v>#REF!</v>
      </c>
      <c r="R1288" t="e">
        <f>_xlfn.XLOOKUP(Table1[[#This Row],[ID]], Table2[ID],#REF!, "Not Found", 0)</f>
        <v>#REF!</v>
      </c>
      <c r="S1288" s="3" t="str">
        <f>_xlfn.XLOOKUP(Table1[[#This Row],[ID]], Table2[ID], Table2[Enrollment], "Not Found", 0)</f>
        <v>7/25/2019</v>
      </c>
      <c r="T1288" t="s">
        <v>438</v>
      </c>
    </row>
    <row r="1289" spans="1:20" x14ac:dyDescent="0.3">
      <c r="A1289">
        <v>2137</v>
      </c>
      <c r="B1289">
        <v>146049</v>
      </c>
      <c r="C1289">
        <v>1</v>
      </c>
      <c r="D1289">
        <v>1</v>
      </c>
      <c r="E1289">
        <v>44</v>
      </c>
      <c r="F1289">
        <v>0</v>
      </c>
      <c r="G1289">
        <v>1</v>
      </c>
      <c r="H1289">
        <v>0</v>
      </c>
      <c r="I1289">
        <v>0</v>
      </c>
      <c r="J1289">
        <v>0</v>
      </c>
      <c r="K1289">
        <v>0</v>
      </c>
      <c r="L1289">
        <v>1</v>
      </c>
      <c r="M1289">
        <v>0</v>
      </c>
      <c r="N1289">
        <v>0</v>
      </c>
      <c r="O1289" t="str" cm="1">
        <f t="array" ref="O1289">_xlfn.IFS(Table1[[#This Row],[Divorced]]=1, "Divorced", Table1[[#This Row],[Married]]=1, "Married", Table1[[#This Row],[Single]]=1, "Single", Table1[[#This Row],[Together]]=1, "Together", Table1[[#This Row],[Widow]]=1, "Widow")</f>
        <v>Married</v>
      </c>
      <c r="P1289" t="str" cm="1">
        <f t="array" ref="P1289">_xlfn.IFS(Table1[[#This Row],[Basic]]=1, "Basic", Table1[[#This Row],[Graduate]]=1, "Graduate", Table1[[#This Row],[Master]]=1, "Master", Table1[[#This Row],[PhD]]=1, "PhD", AND(Table1[[#This Row],[Basic]]=0, Table1[[#This Row],[Graduate]]=0, Table1[[#This Row],[Master]]=0, Table1[[#This Row],[PhD]]=0), "NA")</f>
        <v>Graduate</v>
      </c>
      <c r="Q1289" t="e">
        <f>_xlfn.XLOOKUP(Table1[[#This Row],[ID]], Table2[ID],#REF!, "Not Found", 0)</f>
        <v>#REF!</v>
      </c>
      <c r="R1289" t="e">
        <f>_xlfn.XLOOKUP(Table1[[#This Row],[ID]], Table2[ID],#REF!, "Not Found", 0)</f>
        <v>#REF!</v>
      </c>
      <c r="S1289" s="3" t="str">
        <f>_xlfn.XLOOKUP(Table1[[#This Row],[ID]], Table2[ID], Table2[Enrollment], "Not Found", 0)</f>
        <v>12/26/2019</v>
      </c>
      <c r="T1289" t="s">
        <v>437</v>
      </c>
    </row>
    <row r="1290" spans="1:20" x14ac:dyDescent="0.3">
      <c r="A1290">
        <v>1901</v>
      </c>
      <c r="B1290">
        <v>146015</v>
      </c>
      <c r="C1290">
        <v>1</v>
      </c>
      <c r="D1290">
        <v>1</v>
      </c>
      <c r="E1290">
        <v>65</v>
      </c>
      <c r="F1290">
        <v>0</v>
      </c>
      <c r="G1290">
        <v>0</v>
      </c>
      <c r="H1290">
        <v>0</v>
      </c>
      <c r="I1290">
        <v>1</v>
      </c>
      <c r="J1290">
        <v>0</v>
      </c>
      <c r="K1290">
        <v>0</v>
      </c>
      <c r="L1290">
        <v>0</v>
      </c>
      <c r="M1290">
        <v>0</v>
      </c>
      <c r="N1290">
        <v>1</v>
      </c>
      <c r="O1290" t="str" cm="1">
        <f t="array" ref="O1290">_xlfn.IFS(Table1[[#This Row],[Divorced]]=1, "Divorced", Table1[[#This Row],[Married]]=1, "Married", Table1[[#This Row],[Single]]=1, "Single", Table1[[#This Row],[Together]]=1, "Together", Table1[[#This Row],[Widow]]=1, "Widow")</f>
        <v>Together</v>
      </c>
      <c r="P1290" t="str" cm="1">
        <f t="array" ref="P1290">_xlfn.IFS(Table1[[#This Row],[Basic]]=1, "Basic", Table1[[#This Row],[Graduate]]=1, "Graduate", Table1[[#This Row],[Master]]=1, "Master", Table1[[#This Row],[PhD]]=1, "PhD", AND(Table1[[#This Row],[Basic]]=0, Table1[[#This Row],[Graduate]]=0, Table1[[#This Row],[Master]]=0, Table1[[#This Row],[PhD]]=0), "NA")</f>
        <v>PhD</v>
      </c>
      <c r="Q1290" t="e">
        <f>_xlfn.XLOOKUP(Table1[[#This Row],[ID]], Table2[ID],#REF!, "Not Found", 0)</f>
        <v>#REF!</v>
      </c>
      <c r="R1290" t="e">
        <f>_xlfn.XLOOKUP(Table1[[#This Row],[ID]], Table2[ID],#REF!, "Not Found", 0)</f>
        <v>#REF!</v>
      </c>
      <c r="S1290" s="3" t="str">
        <f>_xlfn.XLOOKUP(Table1[[#This Row],[ID]], Table2[ID], Table2[Enrollment], "Not Found", 0)</f>
        <v>9/17/2020</v>
      </c>
      <c r="T1290" t="s">
        <v>434</v>
      </c>
    </row>
    <row r="1291" spans="1:20" x14ac:dyDescent="0.3">
      <c r="A1291">
        <v>2438</v>
      </c>
      <c r="B1291">
        <v>146015</v>
      </c>
      <c r="C1291">
        <v>1</v>
      </c>
      <c r="D1291">
        <v>1</v>
      </c>
      <c r="E1291">
        <v>65</v>
      </c>
      <c r="F1291">
        <v>0</v>
      </c>
      <c r="G1291">
        <v>0</v>
      </c>
      <c r="H1291">
        <v>0</v>
      </c>
      <c r="I1291">
        <v>1</v>
      </c>
      <c r="J1291">
        <v>0</v>
      </c>
      <c r="K1291">
        <v>0</v>
      </c>
      <c r="L1291">
        <v>0</v>
      </c>
      <c r="M1291">
        <v>0</v>
      </c>
      <c r="N1291">
        <v>1</v>
      </c>
      <c r="O1291" t="str" cm="1">
        <f t="array" ref="O1291">_xlfn.IFS(Table1[[#This Row],[Divorced]]=1, "Divorced", Table1[[#This Row],[Married]]=1, "Married", Table1[[#This Row],[Single]]=1, "Single", Table1[[#This Row],[Together]]=1, "Together", Table1[[#This Row],[Widow]]=1, "Widow")</f>
        <v>Together</v>
      </c>
      <c r="P1291" t="str" cm="1">
        <f t="array" ref="P1291">_xlfn.IFS(Table1[[#This Row],[Basic]]=1, "Basic", Table1[[#This Row],[Graduate]]=1, "Graduate", Table1[[#This Row],[Master]]=1, "Master", Table1[[#This Row],[PhD]]=1, "PhD", AND(Table1[[#This Row],[Basic]]=0, Table1[[#This Row],[Graduate]]=0, Table1[[#This Row],[Master]]=0, Table1[[#This Row],[PhD]]=0), "NA")</f>
        <v>PhD</v>
      </c>
      <c r="Q1291" t="e">
        <f>_xlfn.XLOOKUP(Table1[[#This Row],[ID]], Table2[ID],#REF!, "Not Found", 0)</f>
        <v>#REF!</v>
      </c>
      <c r="R1291" t="e">
        <f>_xlfn.XLOOKUP(Table1[[#This Row],[ID]], Table2[ID],#REF!, "Not Found", 0)</f>
        <v>#REF!</v>
      </c>
      <c r="S1291" s="3" t="str">
        <f>_xlfn.XLOOKUP(Table1[[#This Row],[ID]], Table2[ID], Table2[Enrollment], "Not Found", 0)</f>
        <v>9/17/2020</v>
      </c>
      <c r="T1291" t="s">
        <v>438</v>
      </c>
    </row>
    <row r="1292" spans="1:20" x14ac:dyDescent="0.3">
      <c r="A1292">
        <v>1201</v>
      </c>
      <c r="B1292">
        <v>146014</v>
      </c>
      <c r="C1292">
        <v>1</v>
      </c>
      <c r="D1292">
        <v>1</v>
      </c>
      <c r="E1292">
        <v>46</v>
      </c>
      <c r="F1292">
        <v>0</v>
      </c>
      <c r="G1292">
        <v>0</v>
      </c>
      <c r="H1292">
        <v>0</v>
      </c>
      <c r="I1292">
        <v>1</v>
      </c>
      <c r="J1292">
        <v>0</v>
      </c>
      <c r="K1292">
        <v>0</v>
      </c>
      <c r="L1292">
        <v>0</v>
      </c>
      <c r="M1292">
        <v>1</v>
      </c>
      <c r="N1292">
        <v>0</v>
      </c>
      <c r="O1292" t="str" cm="1">
        <f t="array" ref="O1292">_xlfn.IFS(Table1[[#This Row],[Divorced]]=1, "Divorced", Table1[[#This Row],[Married]]=1, "Married", Table1[[#This Row],[Single]]=1, "Single", Table1[[#This Row],[Together]]=1, "Together", Table1[[#This Row],[Widow]]=1, "Widow")</f>
        <v>Together</v>
      </c>
      <c r="P1292" t="str" cm="1">
        <f t="array" ref="P1292">_xlfn.IFS(Table1[[#This Row],[Basic]]=1, "Basic", Table1[[#This Row],[Graduate]]=1, "Graduate", Table1[[#This Row],[Master]]=1, "Master", Table1[[#This Row],[PhD]]=1, "PhD", AND(Table1[[#This Row],[Basic]]=0, Table1[[#This Row],[Graduate]]=0, Table1[[#This Row],[Master]]=0, Table1[[#This Row],[PhD]]=0), "NA")</f>
        <v>Master</v>
      </c>
      <c r="Q1292" t="e">
        <f>_xlfn.XLOOKUP(Table1[[#This Row],[ID]], Table2[ID],#REF!, "Not Found", 0)</f>
        <v>#REF!</v>
      </c>
      <c r="R1292" t="e">
        <f>_xlfn.XLOOKUP(Table1[[#This Row],[ID]], Table2[ID],#REF!, "Not Found", 0)</f>
        <v>#REF!</v>
      </c>
      <c r="S1292" s="3" t="str">
        <f>_xlfn.XLOOKUP(Table1[[#This Row],[ID]], Table2[ID], Table2[Enrollment], "Not Found", 0)</f>
        <v>6/28/2019</v>
      </c>
      <c r="T1292" t="s">
        <v>437</v>
      </c>
    </row>
    <row r="1293" spans="1:20" x14ac:dyDescent="0.3">
      <c r="A1293">
        <v>1244</v>
      </c>
      <c r="B1293">
        <v>145989</v>
      </c>
      <c r="C1293">
        <v>0</v>
      </c>
      <c r="D1293">
        <v>1</v>
      </c>
      <c r="E1293">
        <v>56</v>
      </c>
      <c r="F1293">
        <v>0</v>
      </c>
      <c r="G1293">
        <v>0</v>
      </c>
      <c r="H1293">
        <v>1</v>
      </c>
      <c r="I1293">
        <v>0</v>
      </c>
      <c r="J1293">
        <v>0</v>
      </c>
      <c r="K1293">
        <v>0</v>
      </c>
      <c r="L1293">
        <v>1</v>
      </c>
      <c r="M1293">
        <v>0</v>
      </c>
      <c r="N1293">
        <v>0</v>
      </c>
      <c r="O1293" t="str" cm="1">
        <f t="array" ref="O1293">_xlfn.IFS(Table1[[#This Row],[Divorced]]=1, "Divorced", Table1[[#This Row],[Married]]=1, "Married", Table1[[#This Row],[Single]]=1, "Single", Table1[[#This Row],[Together]]=1, "Together", Table1[[#This Row],[Widow]]=1, "Widow")</f>
        <v>Single</v>
      </c>
      <c r="P1293" t="str" cm="1">
        <f t="array" ref="P1293">_xlfn.IFS(Table1[[#This Row],[Basic]]=1, "Basic", Table1[[#This Row],[Graduate]]=1, "Graduate", Table1[[#This Row],[Master]]=1, "Master", Table1[[#This Row],[PhD]]=1, "PhD", AND(Table1[[#This Row],[Basic]]=0, Table1[[#This Row],[Graduate]]=0, Table1[[#This Row],[Master]]=0, Table1[[#This Row],[PhD]]=0), "NA")</f>
        <v>Graduate</v>
      </c>
      <c r="Q1293" t="e">
        <f>_xlfn.XLOOKUP(Table1[[#This Row],[ID]], Table2[ID],#REF!, "Not Found", 0)</f>
        <v>#REF!</v>
      </c>
      <c r="R1293" t="e">
        <f>_xlfn.XLOOKUP(Table1[[#This Row],[ID]], Table2[ID],#REF!, "Not Found", 0)</f>
        <v>#REF!</v>
      </c>
      <c r="S1293" s="3" t="str">
        <f>_xlfn.XLOOKUP(Table1[[#This Row],[ID]], Table2[ID], Table2[Enrollment], "Not Found", 0)</f>
        <v>3/29/2019</v>
      </c>
      <c r="T1293" t="s">
        <v>438</v>
      </c>
    </row>
    <row r="1294" spans="1:20" x14ac:dyDescent="0.3">
      <c r="A1294">
        <v>1679</v>
      </c>
      <c r="B1294">
        <v>145938</v>
      </c>
      <c r="C1294">
        <v>0</v>
      </c>
      <c r="D1294">
        <v>0</v>
      </c>
      <c r="E1294">
        <v>59</v>
      </c>
      <c r="F1294">
        <v>0</v>
      </c>
      <c r="G1294">
        <v>0</v>
      </c>
      <c r="H1294">
        <v>1</v>
      </c>
      <c r="I1294">
        <v>0</v>
      </c>
      <c r="J1294">
        <v>0</v>
      </c>
      <c r="K1294">
        <v>0</v>
      </c>
      <c r="L1294">
        <v>1</v>
      </c>
      <c r="M1294">
        <v>0</v>
      </c>
      <c r="N1294">
        <v>0</v>
      </c>
      <c r="O1294" t="str" cm="1">
        <f t="array" ref="O1294">_xlfn.IFS(Table1[[#This Row],[Divorced]]=1, "Divorced", Table1[[#This Row],[Married]]=1, "Married", Table1[[#This Row],[Single]]=1, "Single", Table1[[#This Row],[Together]]=1, "Together", Table1[[#This Row],[Widow]]=1, "Widow")</f>
        <v>Single</v>
      </c>
      <c r="P1294" t="str" cm="1">
        <f t="array" ref="P1294">_xlfn.IFS(Table1[[#This Row],[Basic]]=1, "Basic", Table1[[#This Row],[Graduate]]=1, "Graduate", Table1[[#This Row],[Master]]=1, "Master", Table1[[#This Row],[PhD]]=1, "PhD", AND(Table1[[#This Row],[Basic]]=0, Table1[[#This Row],[Graduate]]=0, Table1[[#This Row],[Master]]=0, Table1[[#This Row],[PhD]]=0), "NA")</f>
        <v>Graduate</v>
      </c>
      <c r="Q1294" t="e">
        <f>_xlfn.XLOOKUP(Table1[[#This Row],[ID]], Table2[ID],#REF!, "Not Found", 0)</f>
        <v>#REF!</v>
      </c>
      <c r="R1294" t="e">
        <f>_xlfn.XLOOKUP(Table1[[#This Row],[ID]], Table2[ID],#REF!, "Not Found", 0)</f>
        <v>#REF!</v>
      </c>
      <c r="S1294" s="3">
        <f>_xlfn.XLOOKUP(Table1[[#This Row],[ID]], Table2[ID], Table2[Enrollment], "Not Found", 0)</f>
        <v>44078</v>
      </c>
      <c r="T1294" t="s">
        <v>434</v>
      </c>
    </row>
    <row r="1295" spans="1:20" x14ac:dyDescent="0.3">
      <c r="A1295">
        <v>1890</v>
      </c>
      <c r="B1295">
        <v>145921</v>
      </c>
      <c r="C1295">
        <v>0</v>
      </c>
      <c r="D1295">
        <v>0</v>
      </c>
      <c r="E1295">
        <v>34</v>
      </c>
      <c r="F1295">
        <v>0</v>
      </c>
      <c r="G1295">
        <v>1</v>
      </c>
      <c r="H1295">
        <v>0</v>
      </c>
      <c r="I1295">
        <v>0</v>
      </c>
      <c r="J1295">
        <v>0</v>
      </c>
      <c r="K1295">
        <v>0</v>
      </c>
      <c r="L1295">
        <v>0</v>
      </c>
      <c r="M1295">
        <v>0</v>
      </c>
      <c r="N1295">
        <v>1</v>
      </c>
      <c r="O1295" t="str" cm="1">
        <f t="array" ref="O1295">_xlfn.IFS(Table1[[#This Row],[Divorced]]=1, "Divorced", Table1[[#This Row],[Married]]=1, "Married", Table1[[#This Row],[Single]]=1, "Single", Table1[[#This Row],[Together]]=1, "Together", Table1[[#This Row],[Widow]]=1, "Widow")</f>
        <v>Married</v>
      </c>
      <c r="P1295" t="str" cm="1">
        <f t="array" ref="P1295">_xlfn.IFS(Table1[[#This Row],[Basic]]=1, "Basic", Table1[[#This Row],[Graduate]]=1, "Graduate", Table1[[#This Row],[Master]]=1, "Master", Table1[[#This Row],[PhD]]=1, "PhD", AND(Table1[[#This Row],[Basic]]=0, Table1[[#This Row],[Graduate]]=0, Table1[[#This Row],[Master]]=0, Table1[[#This Row],[PhD]]=0), "NA")</f>
        <v>PhD</v>
      </c>
      <c r="Q1295" t="e">
        <f>_xlfn.XLOOKUP(Table1[[#This Row],[ID]], Table2[ID],#REF!, "Not Found", 0)</f>
        <v>#REF!</v>
      </c>
      <c r="R1295" t="e">
        <f>_xlfn.XLOOKUP(Table1[[#This Row],[ID]], Table2[ID],#REF!, "Not Found", 0)</f>
        <v>#REF!</v>
      </c>
      <c r="S1295" s="3" t="str">
        <f>_xlfn.XLOOKUP(Table1[[#This Row],[ID]], Table2[ID], Table2[Enrollment], "Not Found", 0)</f>
        <v>8/14/2020</v>
      </c>
      <c r="T1295" t="s">
        <v>436</v>
      </c>
    </row>
    <row r="1296" spans="1:20" x14ac:dyDescent="0.3">
      <c r="A1296">
        <v>1626</v>
      </c>
      <c r="B1296">
        <v>145906</v>
      </c>
      <c r="C1296">
        <v>0</v>
      </c>
      <c r="D1296">
        <v>1</v>
      </c>
      <c r="E1296">
        <v>56</v>
      </c>
      <c r="F1296">
        <v>0</v>
      </c>
      <c r="G1296">
        <v>0</v>
      </c>
      <c r="H1296">
        <v>1</v>
      </c>
      <c r="I1296">
        <v>0</v>
      </c>
      <c r="J1296">
        <v>0</v>
      </c>
      <c r="K1296">
        <v>0</v>
      </c>
      <c r="L1296">
        <v>1</v>
      </c>
      <c r="M1296">
        <v>0</v>
      </c>
      <c r="N1296">
        <v>0</v>
      </c>
      <c r="O1296" t="str" cm="1">
        <f t="array" ref="O1296">_xlfn.IFS(Table1[[#This Row],[Divorced]]=1, "Divorced", Table1[[#This Row],[Married]]=1, "Married", Table1[[#This Row],[Single]]=1, "Single", Table1[[#This Row],[Together]]=1, "Together", Table1[[#This Row],[Widow]]=1, "Widow")</f>
        <v>Single</v>
      </c>
      <c r="P1296" t="str" cm="1">
        <f t="array" ref="P1296">_xlfn.IFS(Table1[[#This Row],[Basic]]=1, "Basic", Table1[[#This Row],[Graduate]]=1, "Graduate", Table1[[#This Row],[Master]]=1, "Master", Table1[[#This Row],[PhD]]=1, "PhD", AND(Table1[[#This Row],[Basic]]=0, Table1[[#This Row],[Graduate]]=0, Table1[[#This Row],[Master]]=0, Table1[[#This Row],[PhD]]=0), "NA")</f>
        <v>Graduate</v>
      </c>
      <c r="Q1296" t="e">
        <f>_xlfn.XLOOKUP(Table1[[#This Row],[ID]], Table2[ID],#REF!, "Not Found", 0)</f>
        <v>#REF!</v>
      </c>
      <c r="R1296" t="e">
        <f>_xlfn.XLOOKUP(Table1[[#This Row],[ID]], Table2[ID],#REF!, "Not Found", 0)</f>
        <v>#REF!</v>
      </c>
      <c r="S1296" s="3">
        <f>_xlfn.XLOOKUP(Table1[[#This Row],[ID]], Table2[ID], Table2[Enrollment], "Not Found", 0)</f>
        <v>43809</v>
      </c>
      <c r="T1296" t="s">
        <v>436</v>
      </c>
    </row>
    <row r="1297" spans="1:20" x14ac:dyDescent="0.3">
      <c r="A1297">
        <v>2559</v>
      </c>
      <c r="B1297">
        <v>145903</v>
      </c>
      <c r="C1297">
        <v>0</v>
      </c>
      <c r="D1297">
        <v>1</v>
      </c>
      <c r="E1297">
        <v>54</v>
      </c>
      <c r="F1297">
        <v>0</v>
      </c>
      <c r="G1297">
        <v>0</v>
      </c>
      <c r="H1297">
        <v>0</v>
      </c>
      <c r="I1297">
        <v>1</v>
      </c>
      <c r="J1297">
        <v>0</v>
      </c>
      <c r="K1297">
        <v>0</v>
      </c>
      <c r="L1297">
        <v>0</v>
      </c>
      <c r="M1297">
        <v>1</v>
      </c>
      <c r="N1297">
        <v>0</v>
      </c>
      <c r="O1297" t="str" cm="1">
        <f t="array" ref="O1297">_xlfn.IFS(Table1[[#This Row],[Divorced]]=1, "Divorced", Table1[[#This Row],[Married]]=1, "Married", Table1[[#This Row],[Single]]=1, "Single", Table1[[#This Row],[Together]]=1, "Together", Table1[[#This Row],[Widow]]=1, "Widow")</f>
        <v>Together</v>
      </c>
      <c r="P1297" t="str" cm="1">
        <f t="array" ref="P1297">_xlfn.IFS(Table1[[#This Row],[Basic]]=1, "Basic", Table1[[#This Row],[Graduate]]=1, "Graduate", Table1[[#This Row],[Master]]=1, "Master", Table1[[#This Row],[PhD]]=1, "PhD", AND(Table1[[#This Row],[Basic]]=0, Table1[[#This Row],[Graduate]]=0, Table1[[#This Row],[Master]]=0, Table1[[#This Row],[PhD]]=0), "NA")</f>
        <v>Master</v>
      </c>
      <c r="Q1297" t="e">
        <f>_xlfn.XLOOKUP(Table1[[#This Row],[ID]], Table2[ID],#REF!, "Not Found", 0)</f>
        <v>#REF!</v>
      </c>
      <c r="R1297" t="e">
        <f>_xlfn.XLOOKUP(Table1[[#This Row],[ID]], Table2[ID],#REF!, "Not Found", 0)</f>
        <v>#REF!</v>
      </c>
      <c r="S1297" s="3" t="str">
        <f>_xlfn.XLOOKUP(Table1[[#This Row],[ID]], Table2[ID], Table2[Enrollment], "Not Found", 0)</f>
        <v>9/27/2020</v>
      </c>
      <c r="T1297" t="s">
        <v>435</v>
      </c>
    </row>
    <row r="1298" spans="1:20" x14ac:dyDescent="0.3">
      <c r="A1298">
        <v>2170</v>
      </c>
      <c r="B1298">
        <v>145894</v>
      </c>
      <c r="C1298">
        <v>0</v>
      </c>
      <c r="D1298">
        <v>2</v>
      </c>
      <c r="E1298">
        <v>46</v>
      </c>
      <c r="F1298">
        <v>0</v>
      </c>
      <c r="G1298">
        <v>1</v>
      </c>
      <c r="H1298">
        <v>0</v>
      </c>
      <c r="I1298">
        <v>0</v>
      </c>
      <c r="J1298">
        <v>0</v>
      </c>
      <c r="K1298">
        <v>0</v>
      </c>
      <c r="L1298">
        <v>0</v>
      </c>
      <c r="M1298">
        <v>0</v>
      </c>
      <c r="N1298">
        <v>0</v>
      </c>
      <c r="O1298" t="str" cm="1">
        <f t="array" ref="O1298">_xlfn.IFS(Table1[[#This Row],[Divorced]]=1, "Divorced", Table1[[#This Row],[Married]]=1, "Married", Table1[[#This Row],[Single]]=1, "Single", Table1[[#This Row],[Together]]=1, "Together", Table1[[#This Row],[Widow]]=1, "Widow")</f>
        <v>Married</v>
      </c>
      <c r="P1298" t="str" cm="1">
        <f t="array" ref="P1298">_xlfn.IFS(Table1[[#This Row],[Basic]]=1, "Basic", Table1[[#This Row],[Graduate]]=1, "Graduate", Table1[[#This Row],[Master]]=1, "Master", Table1[[#This Row],[PhD]]=1, "PhD", AND(Table1[[#This Row],[Basic]]=0, Table1[[#This Row],[Graduate]]=0, Table1[[#This Row],[Master]]=0, Table1[[#This Row],[PhD]]=0), "NA")</f>
        <v>NA</v>
      </c>
      <c r="Q1298" t="e">
        <f>_xlfn.XLOOKUP(Table1[[#This Row],[ID]], Table2[ID],#REF!, "Not Found", 0)</f>
        <v>#REF!</v>
      </c>
      <c r="R1298" t="e">
        <f>_xlfn.XLOOKUP(Table1[[#This Row],[ID]], Table2[ID],#REF!, "Not Found", 0)</f>
        <v>#REF!</v>
      </c>
      <c r="S1298" s="3">
        <f>_xlfn.XLOOKUP(Table1[[#This Row],[ID]], Table2[ID], Table2[Enrollment], "Not Found", 0)</f>
        <v>43898</v>
      </c>
      <c r="T1298" t="s">
        <v>439</v>
      </c>
    </row>
    <row r="1299" spans="1:20" x14ac:dyDescent="0.3">
      <c r="A1299">
        <v>1819</v>
      </c>
      <c r="B1299">
        <v>145889</v>
      </c>
      <c r="C1299">
        <v>0</v>
      </c>
      <c r="D1299">
        <v>1</v>
      </c>
      <c r="E1299">
        <v>40</v>
      </c>
      <c r="F1299">
        <v>0</v>
      </c>
      <c r="G1299">
        <v>0</v>
      </c>
      <c r="H1299">
        <v>1</v>
      </c>
      <c r="I1299">
        <v>0</v>
      </c>
      <c r="J1299">
        <v>0</v>
      </c>
      <c r="K1299">
        <v>0</v>
      </c>
      <c r="L1299">
        <v>0</v>
      </c>
      <c r="M1299">
        <v>0</v>
      </c>
      <c r="N1299">
        <v>0</v>
      </c>
      <c r="O1299" t="str" cm="1">
        <f t="array" ref="O1299">_xlfn.IFS(Table1[[#This Row],[Divorced]]=1, "Divorced", Table1[[#This Row],[Married]]=1, "Married", Table1[[#This Row],[Single]]=1, "Single", Table1[[#This Row],[Together]]=1, "Together", Table1[[#This Row],[Widow]]=1, "Widow")</f>
        <v>Single</v>
      </c>
      <c r="P1299" t="str" cm="1">
        <f t="array" ref="P1299">_xlfn.IFS(Table1[[#This Row],[Basic]]=1, "Basic", Table1[[#This Row],[Graduate]]=1, "Graduate", Table1[[#This Row],[Master]]=1, "Master", Table1[[#This Row],[PhD]]=1, "PhD", AND(Table1[[#This Row],[Basic]]=0, Table1[[#This Row],[Graduate]]=0, Table1[[#This Row],[Master]]=0, Table1[[#This Row],[PhD]]=0), "NA")</f>
        <v>NA</v>
      </c>
      <c r="Q1299" t="e">
        <f>_xlfn.XLOOKUP(Table1[[#This Row],[ID]], Table2[ID],#REF!, "Not Found", 0)</f>
        <v>#REF!</v>
      </c>
      <c r="R1299" t="e">
        <f>_xlfn.XLOOKUP(Table1[[#This Row],[ID]], Table2[ID],#REF!, "Not Found", 0)</f>
        <v>#REF!</v>
      </c>
      <c r="S1299" s="3">
        <f>_xlfn.XLOOKUP(Table1[[#This Row],[ID]], Table2[ID], Table2[Enrollment], "Not Found", 0)</f>
        <v>43658</v>
      </c>
      <c r="T1299" t="s">
        <v>437</v>
      </c>
    </row>
    <row r="1300" spans="1:20" x14ac:dyDescent="0.3">
      <c r="A1300">
        <v>1599</v>
      </c>
      <c r="B1300">
        <v>145837</v>
      </c>
      <c r="C1300">
        <v>1</v>
      </c>
      <c r="D1300">
        <v>1</v>
      </c>
      <c r="E1300">
        <v>46</v>
      </c>
      <c r="F1300">
        <v>0</v>
      </c>
      <c r="G1300">
        <v>1</v>
      </c>
      <c r="H1300">
        <v>0</v>
      </c>
      <c r="I1300">
        <v>0</v>
      </c>
      <c r="J1300">
        <v>0</v>
      </c>
      <c r="K1300">
        <v>0</v>
      </c>
      <c r="L1300">
        <v>1</v>
      </c>
      <c r="M1300">
        <v>0</v>
      </c>
      <c r="N1300">
        <v>0</v>
      </c>
      <c r="O1300" t="str" cm="1">
        <f t="array" ref="O1300">_xlfn.IFS(Table1[[#This Row],[Divorced]]=1, "Divorced", Table1[[#This Row],[Married]]=1, "Married", Table1[[#This Row],[Single]]=1, "Single", Table1[[#This Row],[Together]]=1, "Together", Table1[[#This Row],[Widow]]=1, "Widow")</f>
        <v>Married</v>
      </c>
      <c r="P1300" t="str" cm="1">
        <f t="array" ref="P1300">_xlfn.IFS(Table1[[#This Row],[Basic]]=1, "Basic", Table1[[#This Row],[Graduate]]=1, "Graduate", Table1[[#This Row],[Master]]=1, "Master", Table1[[#This Row],[PhD]]=1, "PhD", AND(Table1[[#This Row],[Basic]]=0, Table1[[#This Row],[Graduate]]=0, Table1[[#This Row],[Master]]=0, Table1[[#This Row],[PhD]]=0), "NA")</f>
        <v>Graduate</v>
      </c>
      <c r="Q1300" t="e">
        <f>_xlfn.XLOOKUP(Table1[[#This Row],[ID]], Table2[ID],#REF!, "Not Found", 0)</f>
        <v>#REF!</v>
      </c>
      <c r="R1300" t="e">
        <f>_xlfn.XLOOKUP(Table1[[#This Row],[ID]], Table2[ID],#REF!, "Not Found", 0)</f>
        <v>#REF!</v>
      </c>
      <c r="S1300" s="3" t="str">
        <f>_xlfn.XLOOKUP(Table1[[#This Row],[ID]], Table2[ID], Table2[Enrollment], "Not Found", 0)</f>
        <v>12/31/2019</v>
      </c>
      <c r="T1300" t="s">
        <v>435</v>
      </c>
    </row>
    <row r="1301" spans="1:20" x14ac:dyDescent="0.3">
      <c r="A1301">
        <v>1178</v>
      </c>
      <c r="B1301">
        <v>145759</v>
      </c>
      <c r="C1301">
        <v>1</v>
      </c>
      <c r="D1301">
        <v>1</v>
      </c>
      <c r="E1301">
        <v>56</v>
      </c>
      <c r="F1301">
        <v>0</v>
      </c>
      <c r="G1301">
        <v>1</v>
      </c>
      <c r="H1301">
        <v>0</v>
      </c>
      <c r="I1301">
        <v>0</v>
      </c>
      <c r="J1301">
        <v>0</v>
      </c>
      <c r="K1301">
        <v>0</v>
      </c>
      <c r="L1301">
        <v>0</v>
      </c>
      <c r="M1301">
        <v>0</v>
      </c>
      <c r="N1301">
        <v>1</v>
      </c>
      <c r="O1301" t="str" cm="1">
        <f t="array" ref="O1301">_xlfn.IFS(Table1[[#This Row],[Divorced]]=1, "Divorced", Table1[[#This Row],[Married]]=1, "Married", Table1[[#This Row],[Single]]=1, "Single", Table1[[#This Row],[Together]]=1, "Together", Table1[[#This Row],[Widow]]=1, "Widow")</f>
        <v>Married</v>
      </c>
      <c r="P1301" t="str" cm="1">
        <f t="array" ref="P1301">_xlfn.IFS(Table1[[#This Row],[Basic]]=1, "Basic", Table1[[#This Row],[Graduate]]=1, "Graduate", Table1[[#This Row],[Master]]=1, "Master", Table1[[#This Row],[PhD]]=1, "PhD", AND(Table1[[#This Row],[Basic]]=0, Table1[[#This Row],[Graduate]]=0, Table1[[#This Row],[Master]]=0, Table1[[#This Row],[PhD]]=0), "NA")</f>
        <v>PhD</v>
      </c>
      <c r="Q1301" t="e">
        <f>_xlfn.XLOOKUP(Table1[[#This Row],[ID]], Table2[ID],#REF!, "Not Found", 0)</f>
        <v>#REF!</v>
      </c>
      <c r="R1301" t="e">
        <f>_xlfn.XLOOKUP(Table1[[#This Row],[ID]], Table2[ID],#REF!, "Not Found", 0)</f>
        <v>#REF!</v>
      </c>
      <c r="S1301" s="3" t="str">
        <f>_xlfn.XLOOKUP(Table1[[#This Row],[ID]], Table2[ID], Table2[Enrollment], "Not Found", 0)</f>
        <v>7/31/2019</v>
      </c>
      <c r="T1301" t="s">
        <v>438</v>
      </c>
    </row>
    <row r="1302" spans="1:20" x14ac:dyDescent="0.3">
      <c r="A1302">
        <v>2875</v>
      </c>
      <c r="B1302">
        <v>145759</v>
      </c>
      <c r="C1302">
        <v>1</v>
      </c>
      <c r="D1302">
        <v>1</v>
      </c>
      <c r="E1302">
        <v>56</v>
      </c>
      <c r="F1302">
        <v>0</v>
      </c>
      <c r="G1302">
        <v>1</v>
      </c>
      <c r="H1302">
        <v>0</v>
      </c>
      <c r="I1302">
        <v>0</v>
      </c>
      <c r="J1302">
        <v>0</v>
      </c>
      <c r="K1302">
        <v>0</v>
      </c>
      <c r="L1302">
        <v>0</v>
      </c>
      <c r="M1302">
        <v>0</v>
      </c>
      <c r="N1302">
        <v>1</v>
      </c>
      <c r="O1302" t="str" cm="1">
        <f t="array" ref="O1302">_xlfn.IFS(Table1[[#This Row],[Divorced]]=1, "Divorced", Table1[[#This Row],[Married]]=1, "Married", Table1[[#This Row],[Single]]=1, "Single", Table1[[#This Row],[Together]]=1, "Together", Table1[[#This Row],[Widow]]=1, "Widow")</f>
        <v>Married</v>
      </c>
      <c r="P1302" t="str" cm="1">
        <f t="array" ref="P1302">_xlfn.IFS(Table1[[#This Row],[Basic]]=1, "Basic", Table1[[#This Row],[Graduate]]=1, "Graduate", Table1[[#This Row],[Master]]=1, "Master", Table1[[#This Row],[PhD]]=1, "PhD", AND(Table1[[#This Row],[Basic]]=0, Table1[[#This Row],[Graduate]]=0, Table1[[#This Row],[Master]]=0, Table1[[#This Row],[PhD]]=0), "NA")</f>
        <v>PhD</v>
      </c>
      <c r="Q1302" t="e">
        <f>_xlfn.XLOOKUP(Table1[[#This Row],[ID]], Table2[ID],#REF!, "Not Found", 0)</f>
        <v>#REF!</v>
      </c>
      <c r="R1302" t="e">
        <f>_xlfn.XLOOKUP(Table1[[#This Row],[ID]], Table2[ID],#REF!, "Not Found", 0)</f>
        <v>#REF!</v>
      </c>
      <c r="S1302" s="3" t="str">
        <f>_xlfn.XLOOKUP(Table1[[#This Row],[ID]], Table2[ID], Table2[Enrollment], "Not Found", 0)</f>
        <v>7/31/2019</v>
      </c>
      <c r="T1302" t="s">
        <v>437</v>
      </c>
    </row>
    <row r="1303" spans="1:20" x14ac:dyDescent="0.3">
      <c r="A1303">
        <v>3083</v>
      </c>
      <c r="B1303">
        <v>145736</v>
      </c>
      <c r="C1303">
        <v>0</v>
      </c>
      <c r="D1303">
        <v>1</v>
      </c>
      <c r="E1303">
        <v>66</v>
      </c>
      <c r="F1303">
        <v>0</v>
      </c>
      <c r="G1303">
        <v>1</v>
      </c>
      <c r="H1303">
        <v>0</v>
      </c>
      <c r="I1303">
        <v>0</v>
      </c>
      <c r="J1303">
        <v>0</v>
      </c>
      <c r="K1303">
        <v>0</v>
      </c>
      <c r="L1303">
        <v>0</v>
      </c>
      <c r="M1303">
        <v>1</v>
      </c>
      <c r="N1303">
        <v>0</v>
      </c>
      <c r="O1303" t="str" cm="1">
        <f t="array" ref="O1303">_xlfn.IFS(Table1[[#This Row],[Divorced]]=1, "Divorced", Table1[[#This Row],[Married]]=1, "Married", Table1[[#This Row],[Single]]=1, "Single", Table1[[#This Row],[Together]]=1, "Together", Table1[[#This Row],[Widow]]=1, "Widow")</f>
        <v>Married</v>
      </c>
      <c r="P1303" t="str" cm="1">
        <f t="array" ref="P1303">_xlfn.IFS(Table1[[#This Row],[Basic]]=1, "Basic", Table1[[#This Row],[Graduate]]=1, "Graduate", Table1[[#This Row],[Master]]=1, "Master", Table1[[#This Row],[PhD]]=1, "PhD", AND(Table1[[#This Row],[Basic]]=0, Table1[[#This Row],[Graduate]]=0, Table1[[#This Row],[Master]]=0, Table1[[#This Row],[PhD]]=0), "NA")</f>
        <v>Master</v>
      </c>
      <c r="Q1303" t="e">
        <f>_xlfn.XLOOKUP(Table1[[#This Row],[ID]], Table2[ID],#REF!, "Not Found", 0)</f>
        <v>#REF!</v>
      </c>
      <c r="R1303" t="e">
        <f>_xlfn.XLOOKUP(Table1[[#This Row],[ID]], Table2[ID],#REF!, "Not Found", 0)</f>
        <v>#REF!</v>
      </c>
      <c r="S1303" s="3" t="str">
        <f>_xlfn.XLOOKUP(Table1[[#This Row],[ID]], Table2[ID], Table2[Enrollment], "Not Found", 0)</f>
        <v>12/29/2019</v>
      </c>
      <c r="T1303" t="s">
        <v>434</v>
      </c>
    </row>
    <row r="1304" spans="1:20" x14ac:dyDescent="0.3">
      <c r="A1304">
        <v>2879</v>
      </c>
      <c r="B1304">
        <v>145688</v>
      </c>
      <c r="C1304">
        <v>0</v>
      </c>
      <c r="D1304">
        <v>1</v>
      </c>
      <c r="E1304">
        <v>52</v>
      </c>
      <c r="F1304">
        <v>0</v>
      </c>
      <c r="G1304">
        <v>1</v>
      </c>
      <c r="H1304">
        <v>0</v>
      </c>
      <c r="I1304">
        <v>0</v>
      </c>
      <c r="J1304">
        <v>0</v>
      </c>
      <c r="K1304">
        <v>0</v>
      </c>
      <c r="L1304">
        <v>1</v>
      </c>
      <c r="M1304">
        <v>0</v>
      </c>
      <c r="N1304">
        <v>0</v>
      </c>
      <c r="O1304" t="str" cm="1">
        <f t="array" ref="O1304">_xlfn.IFS(Table1[[#This Row],[Divorced]]=1, "Divorced", Table1[[#This Row],[Married]]=1, "Married", Table1[[#This Row],[Single]]=1, "Single", Table1[[#This Row],[Together]]=1, "Together", Table1[[#This Row],[Widow]]=1, "Widow")</f>
        <v>Married</v>
      </c>
      <c r="P1304" t="str" cm="1">
        <f t="array" ref="P1304">_xlfn.IFS(Table1[[#This Row],[Basic]]=1, "Basic", Table1[[#This Row],[Graduate]]=1, "Graduate", Table1[[#This Row],[Master]]=1, "Master", Table1[[#This Row],[PhD]]=1, "PhD", AND(Table1[[#This Row],[Basic]]=0, Table1[[#This Row],[Graduate]]=0, Table1[[#This Row],[Master]]=0, Table1[[#This Row],[PhD]]=0), "NA")</f>
        <v>Graduate</v>
      </c>
      <c r="Q1304" t="e">
        <f>_xlfn.XLOOKUP(Table1[[#This Row],[ID]], Table2[ID],#REF!, "Not Found", 0)</f>
        <v>#REF!</v>
      </c>
      <c r="R1304" t="e">
        <f>_xlfn.XLOOKUP(Table1[[#This Row],[ID]], Table2[ID],#REF!, "Not Found", 0)</f>
        <v>#REF!</v>
      </c>
      <c r="S1304" s="3">
        <f>_xlfn.XLOOKUP(Table1[[#This Row],[ID]], Table2[ID], Table2[Enrollment], "Not Found", 0)</f>
        <v>43837</v>
      </c>
      <c r="T1304" t="s">
        <v>434</v>
      </c>
    </row>
    <row r="1305" spans="1:20" x14ac:dyDescent="0.3">
      <c r="A1305">
        <v>1888</v>
      </c>
      <c r="B1305">
        <v>145684</v>
      </c>
      <c r="C1305">
        <v>1</v>
      </c>
      <c r="D1305">
        <v>0</v>
      </c>
      <c r="E1305">
        <v>49</v>
      </c>
      <c r="F1305">
        <v>0</v>
      </c>
      <c r="G1305">
        <v>0</v>
      </c>
      <c r="H1305">
        <v>0</v>
      </c>
      <c r="I1305">
        <v>0</v>
      </c>
      <c r="J1305">
        <v>1</v>
      </c>
      <c r="K1305">
        <v>0</v>
      </c>
      <c r="L1305">
        <v>1</v>
      </c>
      <c r="M1305">
        <v>0</v>
      </c>
      <c r="N1305">
        <v>0</v>
      </c>
      <c r="O1305" t="str" cm="1">
        <f t="array" ref="O1305">_xlfn.IFS(Table1[[#This Row],[Divorced]]=1, "Divorced", Table1[[#This Row],[Married]]=1, "Married", Table1[[#This Row],[Single]]=1, "Single", Table1[[#This Row],[Together]]=1, "Together", Table1[[#This Row],[Widow]]=1, "Widow")</f>
        <v>Widow</v>
      </c>
      <c r="P1305" t="str" cm="1">
        <f t="array" ref="P1305">_xlfn.IFS(Table1[[#This Row],[Basic]]=1, "Basic", Table1[[#This Row],[Graduate]]=1, "Graduate", Table1[[#This Row],[Master]]=1, "Master", Table1[[#This Row],[PhD]]=1, "PhD", AND(Table1[[#This Row],[Basic]]=0, Table1[[#This Row],[Graduate]]=0, Table1[[#This Row],[Master]]=0, Table1[[#This Row],[PhD]]=0), "NA")</f>
        <v>Graduate</v>
      </c>
      <c r="Q1305" t="e">
        <f>_xlfn.XLOOKUP(Table1[[#This Row],[ID]], Table2[ID],#REF!, "Not Found", 0)</f>
        <v>#REF!</v>
      </c>
      <c r="R1305" t="e">
        <f>_xlfn.XLOOKUP(Table1[[#This Row],[ID]], Table2[ID],#REF!, "Not Found", 0)</f>
        <v>#REF!</v>
      </c>
      <c r="S1305" s="3">
        <f>_xlfn.XLOOKUP(Table1[[#This Row],[ID]], Table2[ID], Table2[Enrollment], "Not Found", 0)</f>
        <v>44048</v>
      </c>
      <c r="T1305" t="s">
        <v>439</v>
      </c>
    </row>
    <row r="1306" spans="1:20" x14ac:dyDescent="0.3">
      <c r="A1306">
        <v>2249</v>
      </c>
      <c r="B1306">
        <v>145579</v>
      </c>
      <c r="C1306">
        <v>0</v>
      </c>
      <c r="D1306">
        <v>1</v>
      </c>
      <c r="E1306">
        <v>72</v>
      </c>
      <c r="F1306">
        <v>0</v>
      </c>
      <c r="G1306">
        <v>1</v>
      </c>
      <c r="H1306">
        <v>0</v>
      </c>
      <c r="I1306">
        <v>0</v>
      </c>
      <c r="J1306">
        <v>0</v>
      </c>
      <c r="K1306">
        <v>0</v>
      </c>
      <c r="L1306">
        <v>0</v>
      </c>
      <c r="M1306">
        <v>0</v>
      </c>
      <c r="N1306">
        <v>1</v>
      </c>
      <c r="O1306" t="str" cm="1">
        <f t="array" ref="O1306">_xlfn.IFS(Table1[[#This Row],[Divorced]]=1, "Divorced", Table1[[#This Row],[Married]]=1, "Married", Table1[[#This Row],[Single]]=1, "Single", Table1[[#This Row],[Together]]=1, "Together", Table1[[#This Row],[Widow]]=1, "Widow")</f>
        <v>Married</v>
      </c>
      <c r="P1306" t="str" cm="1">
        <f t="array" ref="P1306">_xlfn.IFS(Table1[[#This Row],[Basic]]=1, "Basic", Table1[[#This Row],[Graduate]]=1, "Graduate", Table1[[#This Row],[Master]]=1, "Master", Table1[[#This Row],[PhD]]=1, "PhD", AND(Table1[[#This Row],[Basic]]=0, Table1[[#This Row],[Graduate]]=0, Table1[[#This Row],[Master]]=0, Table1[[#This Row],[PhD]]=0), "NA")</f>
        <v>PhD</v>
      </c>
      <c r="Q1306" t="e">
        <f>_xlfn.XLOOKUP(Table1[[#This Row],[ID]], Table2[ID],#REF!, "Not Found", 0)</f>
        <v>#REF!</v>
      </c>
      <c r="R1306" t="e">
        <f>_xlfn.XLOOKUP(Table1[[#This Row],[ID]], Table2[ID],#REF!, "Not Found", 0)</f>
        <v>#REF!</v>
      </c>
      <c r="S1306" s="3" t="str">
        <f>_xlfn.XLOOKUP(Table1[[#This Row],[ID]], Table2[ID], Table2[Enrollment], "Not Found", 0)</f>
        <v>1/25/2020</v>
      </c>
      <c r="T1306" t="s">
        <v>434</v>
      </c>
    </row>
    <row r="1307" spans="1:20" x14ac:dyDescent="0.3">
      <c r="A1307">
        <v>2717</v>
      </c>
      <c r="B1307">
        <v>145576</v>
      </c>
      <c r="C1307">
        <v>0</v>
      </c>
      <c r="D1307">
        <v>0</v>
      </c>
      <c r="E1307">
        <v>75</v>
      </c>
      <c r="F1307">
        <v>0</v>
      </c>
      <c r="G1307">
        <v>0</v>
      </c>
      <c r="H1307">
        <v>1</v>
      </c>
      <c r="I1307">
        <v>0</v>
      </c>
      <c r="J1307">
        <v>0</v>
      </c>
      <c r="K1307">
        <v>0</v>
      </c>
      <c r="L1307">
        <v>0</v>
      </c>
      <c r="M1307">
        <v>0</v>
      </c>
      <c r="N1307">
        <v>1</v>
      </c>
      <c r="O1307" t="str" cm="1">
        <f t="array" ref="O1307">_xlfn.IFS(Table1[[#This Row],[Divorced]]=1, "Divorced", Table1[[#This Row],[Married]]=1, "Married", Table1[[#This Row],[Single]]=1, "Single", Table1[[#This Row],[Together]]=1, "Together", Table1[[#This Row],[Widow]]=1, "Widow")</f>
        <v>Single</v>
      </c>
      <c r="P1307" t="str" cm="1">
        <f t="array" ref="P1307">_xlfn.IFS(Table1[[#This Row],[Basic]]=1, "Basic", Table1[[#This Row],[Graduate]]=1, "Graduate", Table1[[#This Row],[Master]]=1, "Master", Table1[[#This Row],[PhD]]=1, "PhD", AND(Table1[[#This Row],[Basic]]=0, Table1[[#This Row],[Graduate]]=0, Table1[[#This Row],[Master]]=0, Table1[[#This Row],[PhD]]=0), "NA")</f>
        <v>PhD</v>
      </c>
      <c r="Q1307" t="e">
        <f>_xlfn.XLOOKUP(Table1[[#This Row],[ID]], Table2[ID],#REF!, "Not Found", 0)</f>
        <v>#REF!</v>
      </c>
      <c r="R1307" t="e">
        <f>_xlfn.XLOOKUP(Table1[[#This Row],[ID]], Table2[ID],#REF!, "Not Found", 0)</f>
        <v>#REF!</v>
      </c>
      <c r="S1307" s="3">
        <f>_xlfn.XLOOKUP(Table1[[#This Row],[ID]], Table2[ID], Table2[Enrollment], "Not Found", 0)</f>
        <v>43841</v>
      </c>
      <c r="T1307" t="s">
        <v>434</v>
      </c>
    </row>
    <row r="1308" spans="1:20" x14ac:dyDescent="0.3">
      <c r="A1308">
        <v>2307</v>
      </c>
      <c r="B1308">
        <v>145503</v>
      </c>
      <c r="C1308">
        <v>1</v>
      </c>
      <c r="D1308">
        <v>0</v>
      </c>
      <c r="E1308">
        <v>45</v>
      </c>
      <c r="F1308">
        <v>0</v>
      </c>
      <c r="G1308">
        <v>1</v>
      </c>
      <c r="H1308">
        <v>0</v>
      </c>
      <c r="I1308">
        <v>0</v>
      </c>
      <c r="J1308">
        <v>0</v>
      </c>
      <c r="K1308">
        <v>0</v>
      </c>
      <c r="L1308">
        <v>0</v>
      </c>
      <c r="M1308">
        <v>0</v>
      </c>
      <c r="N1308">
        <v>1</v>
      </c>
      <c r="O1308" t="str" cm="1">
        <f t="array" ref="O1308">_xlfn.IFS(Table1[[#This Row],[Divorced]]=1, "Divorced", Table1[[#This Row],[Married]]=1, "Married", Table1[[#This Row],[Single]]=1, "Single", Table1[[#This Row],[Together]]=1, "Together", Table1[[#This Row],[Widow]]=1, "Widow")</f>
        <v>Married</v>
      </c>
      <c r="P1308" t="str" cm="1">
        <f t="array" ref="P1308">_xlfn.IFS(Table1[[#This Row],[Basic]]=1, "Basic", Table1[[#This Row],[Graduate]]=1, "Graduate", Table1[[#This Row],[Master]]=1, "Master", Table1[[#This Row],[PhD]]=1, "PhD", AND(Table1[[#This Row],[Basic]]=0, Table1[[#This Row],[Graduate]]=0, Table1[[#This Row],[Master]]=0, Table1[[#This Row],[PhD]]=0), "NA")</f>
        <v>PhD</v>
      </c>
      <c r="Q1308" t="e">
        <f>_xlfn.XLOOKUP(Table1[[#This Row],[ID]], Table2[ID],#REF!, "Not Found", 0)</f>
        <v>#REF!</v>
      </c>
      <c r="R1308" t="e">
        <f>_xlfn.XLOOKUP(Table1[[#This Row],[ID]], Table2[ID],#REF!, "Not Found", 0)</f>
        <v>#REF!</v>
      </c>
      <c r="S1308" s="3">
        <f>_xlfn.XLOOKUP(Table1[[#This Row],[ID]], Table2[ID], Table2[Enrollment], "Not Found", 0)</f>
        <v>43833</v>
      </c>
      <c r="T1308" t="s">
        <v>435</v>
      </c>
    </row>
    <row r="1309" spans="1:20" x14ac:dyDescent="0.3">
      <c r="A1309">
        <v>1564</v>
      </c>
      <c r="B1309">
        <v>145207</v>
      </c>
      <c r="C1309">
        <v>1</v>
      </c>
      <c r="D1309">
        <v>1</v>
      </c>
      <c r="E1309">
        <v>46</v>
      </c>
      <c r="F1309">
        <v>0</v>
      </c>
      <c r="G1309">
        <v>1</v>
      </c>
      <c r="H1309">
        <v>0</v>
      </c>
      <c r="I1309">
        <v>0</v>
      </c>
      <c r="J1309">
        <v>0</v>
      </c>
      <c r="K1309">
        <v>0</v>
      </c>
      <c r="L1309">
        <v>0</v>
      </c>
      <c r="M1309">
        <v>0</v>
      </c>
      <c r="N1309">
        <v>1</v>
      </c>
      <c r="O1309" t="str" cm="1">
        <f t="array" ref="O1309">_xlfn.IFS(Table1[[#This Row],[Divorced]]=1, "Divorced", Table1[[#This Row],[Married]]=1, "Married", Table1[[#This Row],[Single]]=1, "Single", Table1[[#This Row],[Together]]=1, "Together", Table1[[#This Row],[Widow]]=1, "Widow")</f>
        <v>Married</v>
      </c>
      <c r="P1309" t="str" cm="1">
        <f t="array" ref="P1309">_xlfn.IFS(Table1[[#This Row],[Basic]]=1, "Basic", Table1[[#This Row],[Graduate]]=1, "Graduate", Table1[[#This Row],[Master]]=1, "Master", Table1[[#This Row],[PhD]]=1, "PhD", AND(Table1[[#This Row],[Basic]]=0, Table1[[#This Row],[Graduate]]=0, Table1[[#This Row],[Master]]=0, Table1[[#This Row],[PhD]]=0), "NA")</f>
        <v>PhD</v>
      </c>
      <c r="Q1309" t="e">
        <f>_xlfn.XLOOKUP(Table1[[#This Row],[ID]], Table2[ID],#REF!, "Not Found", 0)</f>
        <v>#REF!</v>
      </c>
      <c r="R1309" t="e">
        <f>_xlfn.XLOOKUP(Table1[[#This Row],[ID]], Table2[ID],#REF!, "Not Found", 0)</f>
        <v>#REF!</v>
      </c>
      <c r="S1309" s="3" t="str">
        <f>_xlfn.XLOOKUP(Table1[[#This Row],[ID]], Table2[ID], Table2[Enrollment], "Not Found", 0)</f>
        <v>4/17/2019</v>
      </c>
      <c r="T1309" t="s">
        <v>439</v>
      </c>
    </row>
    <row r="1310" spans="1:20" x14ac:dyDescent="0.3">
      <c r="A1310">
        <v>1208</v>
      </c>
      <c r="B1310">
        <v>145204</v>
      </c>
      <c r="C1310">
        <v>1</v>
      </c>
      <c r="D1310">
        <v>0</v>
      </c>
      <c r="E1310">
        <v>32</v>
      </c>
      <c r="F1310">
        <v>0</v>
      </c>
      <c r="G1310">
        <v>0</v>
      </c>
      <c r="H1310">
        <v>0</v>
      </c>
      <c r="I1310">
        <v>1</v>
      </c>
      <c r="J1310">
        <v>0</v>
      </c>
      <c r="K1310">
        <v>0</v>
      </c>
      <c r="L1310">
        <v>0</v>
      </c>
      <c r="M1310">
        <v>0</v>
      </c>
      <c r="N1310">
        <v>0</v>
      </c>
      <c r="O1310" t="str" cm="1">
        <f t="array" ref="O1310">_xlfn.IFS(Table1[[#This Row],[Divorced]]=1, "Divorced", Table1[[#This Row],[Married]]=1, "Married", Table1[[#This Row],[Single]]=1, "Single", Table1[[#This Row],[Together]]=1, "Together", Table1[[#This Row],[Widow]]=1, "Widow")</f>
        <v>Together</v>
      </c>
      <c r="P1310" t="str" cm="1">
        <f t="array" ref="P1310">_xlfn.IFS(Table1[[#This Row],[Basic]]=1, "Basic", Table1[[#This Row],[Graduate]]=1, "Graduate", Table1[[#This Row],[Master]]=1, "Master", Table1[[#This Row],[PhD]]=1, "PhD", AND(Table1[[#This Row],[Basic]]=0, Table1[[#This Row],[Graduate]]=0, Table1[[#This Row],[Master]]=0, Table1[[#This Row],[PhD]]=0), "NA")</f>
        <v>NA</v>
      </c>
      <c r="Q1310" t="e">
        <f>_xlfn.XLOOKUP(Table1[[#This Row],[ID]], Table2[ID],#REF!, "Not Found", 0)</f>
        <v>#REF!</v>
      </c>
      <c r="R1310" t="e">
        <f>_xlfn.XLOOKUP(Table1[[#This Row],[ID]], Table2[ID],#REF!, "Not Found", 0)</f>
        <v>#REF!</v>
      </c>
      <c r="S1310" s="3" t="str">
        <f>_xlfn.XLOOKUP(Table1[[#This Row],[ID]], Table2[ID], Table2[Enrollment], "Not Found", 0)</f>
        <v>9/15/2020</v>
      </c>
      <c r="T1310" t="s">
        <v>438</v>
      </c>
    </row>
    <row r="1311" spans="1:20" x14ac:dyDescent="0.3">
      <c r="A1311">
        <v>2552</v>
      </c>
      <c r="B1311">
        <v>145203</v>
      </c>
      <c r="C1311">
        <v>2</v>
      </c>
      <c r="D1311">
        <v>0</v>
      </c>
      <c r="E1311">
        <v>38</v>
      </c>
      <c r="F1311">
        <v>0</v>
      </c>
      <c r="G1311">
        <v>0</v>
      </c>
      <c r="H1311">
        <v>0</v>
      </c>
      <c r="I1311">
        <v>1</v>
      </c>
      <c r="J1311">
        <v>0</v>
      </c>
      <c r="K1311">
        <v>0</v>
      </c>
      <c r="L1311">
        <v>1</v>
      </c>
      <c r="M1311">
        <v>0</v>
      </c>
      <c r="N1311">
        <v>0</v>
      </c>
      <c r="O1311" t="str" cm="1">
        <f t="array" ref="O1311">_xlfn.IFS(Table1[[#This Row],[Divorced]]=1, "Divorced", Table1[[#This Row],[Married]]=1, "Married", Table1[[#This Row],[Single]]=1, "Single", Table1[[#This Row],[Together]]=1, "Together", Table1[[#This Row],[Widow]]=1, "Widow")</f>
        <v>Together</v>
      </c>
      <c r="P1311" t="str" cm="1">
        <f t="array" ref="P1311">_xlfn.IFS(Table1[[#This Row],[Basic]]=1, "Basic", Table1[[#This Row],[Graduate]]=1, "Graduate", Table1[[#This Row],[Master]]=1, "Master", Table1[[#This Row],[PhD]]=1, "PhD", AND(Table1[[#This Row],[Basic]]=0, Table1[[#This Row],[Graduate]]=0, Table1[[#This Row],[Master]]=0, Table1[[#This Row],[PhD]]=0), "NA")</f>
        <v>Graduate</v>
      </c>
      <c r="Q1311" t="e">
        <f>_xlfn.XLOOKUP(Table1[[#This Row],[ID]], Table2[ID],#REF!, "Not Found", 0)</f>
        <v>#REF!</v>
      </c>
      <c r="R1311" t="e">
        <f>_xlfn.XLOOKUP(Table1[[#This Row],[ID]], Table2[ID],#REF!, "Not Found", 0)</f>
        <v>#REF!</v>
      </c>
      <c r="S1311" s="3" t="str">
        <f>_xlfn.XLOOKUP(Table1[[#This Row],[ID]], Table2[ID], Table2[Enrollment], "Not Found", 0)</f>
        <v>8/27/2020</v>
      </c>
      <c r="T1311" t="s">
        <v>438</v>
      </c>
    </row>
    <row r="1312" spans="1:20" x14ac:dyDescent="0.3">
      <c r="A1312">
        <v>1776</v>
      </c>
      <c r="B1312">
        <v>145183</v>
      </c>
      <c r="C1312">
        <v>0</v>
      </c>
      <c r="D1312">
        <v>0</v>
      </c>
      <c r="E1312">
        <v>58</v>
      </c>
      <c r="F1312">
        <v>0</v>
      </c>
      <c r="G1312">
        <v>0</v>
      </c>
      <c r="H1312">
        <v>1</v>
      </c>
      <c r="I1312">
        <v>0</v>
      </c>
      <c r="J1312">
        <v>0</v>
      </c>
      <c r="K1312">
        <v>0</v>
      </c>
      <c r="L1312">
        <v>0</v>
      </c>
      <c r="M1312">
        <v>1</v>
      </c>
      <c r="N1312">
        <v>0</v>
      </c>
      <c r="O1312" t="str" cm="1">
        <f t="array" ref="O1312">_xlfn.IFS(Table1[[#This Row],[Divorced]]=1, "Divorced", Table1[[#This Row],[Married]]=1, "Married", Table1[[#This Row],[Single]]=1, "Single", Table1[[#This Row],[Together]]=1, "Together", Table1[[#This Row],[Widow]]=1, "Widow")</f>
        <v>Single</v>
      </c>
      <c r="P1312" t="str" cm="1">
        <f t="array" ref="P1312">_xlfn.IFS(Table1[[#This Row],[Basic]]=1, "Basic", Table1[[#This Row],[Graduate]]=1, "Graduate", Table1[[#This Row],[Master]]=1, "Master", Table1[[#This Row],[PhD]]=1, "PhD", AND(Table1[[#This Row],[Basic]]=0, Table1[[#This Row],[Graduate]]=0, Table1[[#This Row],[Master]]=0, Table1[[#This Row],[PhD]]=0), "NA")</f>
        <v>Master</v>
      </c>
      <c r="Q1312" t="e">
        <f>_xlfn.XLOOKUP(Table1[[#This Row],[ID]], Table2[ID],#REF!, "Not Found", 0)</f>
        <v>#REF!</v>
      </c>
      <c r="R1312" t="e">
        <f>_xlfn.XLOOKUP(Table1[[#This Row],[ID]], Table2[ID],#REF!, "Not Found", 0)</f>
        <v>#REF!</v>
      </c>
      <c r="S1312" s="3" t="str">
        <f>_xlfn.XLOOKUP(Table1[[#This Row],[ID]], Table2[ID], Table2[Enrollment], "Not Found", 0)</f>
        <v>6/27/2019</v>
      </c>
      <c r="T1312" t="s">
        <v>436</v>
      </c>
    </row>
    <row r="1313" spans="1:20" x14ac:dyDescent="0.3">
      <c r="A1313">
        <v>1700</v>
      </c>
      <c r="B1313">
        <v>145160</v>
      </c>
      <c r="C1313">
        <v>1</v>
      </c>
      <c r="D1313">
        <v>1</v>
      </c>
      <c r="E1313">
        <v>62</v>
      </c>
      <c r="F1313">
        <v>0</v>
      </c>
      <c r="G1313">
        <v>0</v>
      </c>
      <c r="H1313">
        <v>1</v>
      </c>
      <c r="I1313">
        <v>0</v>
      </c>
      <c r="J1313">
        <v>0</v>
      </c>
      <c r="K1313">
        <v>0</v>
      </c>
      <c r="L1313">
        <v>1</v>
      </c>
      <c r="M1313">
        <v>0</v>
      </c>
      <c r="N1313">
        <v>0</v>
      </c>
      <c r="O1313" t="str" cm="1">
        <f t="array" ref="O1313">_xlfn.IFS(Table1[[#This Row],[Divorced]]=1, "Divorced", Table1[[#This Row],[Married]]=1, "Married", Table1[[#This Row],[Single]]=1, "Single", Table1[[#This Row],[Together]]=1, "Together", Table1[[#This Row],[Widow]]=1, "Widow")</f>
        <v>Single</v>
      </c>
      <c r="P1313" t="str" cm="1">
        <f t="array" ref="P1313">_xlfn.IFS(Table1[[#This Row],[Basic]]=1, "Basic", Table1[[#This Row],[Graduate]]=1, "Graduate", Table1[[#This Row],[Master]]=1, "Master", Table1[[#This Row],[PhD]]=1, "PhD", AND(Table1[[#This Row],[Basic]]=0, Table1[[#This Row],[Graduate]]=0, Table1[[#This Row],[Master]]=0, Table1[[#This Row],[PhD]]=0), "NA")</f>
        <v>Graduate</v>
      </c>
      <c r="Q1313" t="e">
        <f>_xlfn.XLOOKUP(Table1[[#This Row],[ID]], Table2[ID],#REF!, "Not Found", 0)</f>
        <v>#REF!</v>
      </c>
      <c r="R1313" t="e">
        <f>_xlfn.XLOOKUP(Table1[[#This Row],[ID]], Table2[ID],#REF!, "Not Found", 0)</f>
        <v>#REF!</v>
      </c>
      <c r="S1313" s="3">
        <f>_xlfn.XLOOKUP(Table1[[#This Row],[ID]], Table2[ID], Table2[Enrollment], "Not Found", 0)</f>
        <v>43870</v>
      </c>
      <c r="T1313" t="s">
        <v>438</v>
      </c>
    </row>
    <row r="1314" spans="1:20" x14ac:dyDescent="0.3">
      <c r="A1314">
        <v>3177</v>
      </c>
      <c r="B1314">
        <v>145146</v>
      </c>
      <c r="C1314">
        <v>1</v>
      </c>
      <c r="D1314">
        <v>1</v>
      </c>
      <c r="E1314">
        <v>57</v>
      </c>
      <c r="F1314">
        <v>1</v>
      </c>
      <c r="G1314">
        <v>0</v>
      </c>
      <c r="H1314">
        <v>0</v>
      </c>
      <c r="I1314">
        <v>0</v>
      </c>
      <c r="J1314">
        <v>0</v>
      </c>
      <c r="K1314">
        <v>0</v>
      </c>
      <c r="L1314">
        <v>1</v>
      </c>
      <c r="M1314">
        <v>0</v>
      </c>
      <c r="N1314">
        <v>0</v>
      </c>
      <c r="O1314" t="str" cm="1">
        <f t="array" ref="O1314">_xlfn.IFS(Table1[[#This Row],[Divorced]]=1, "Divorced", Table1[[#This Row],[Married]]=1, "Married", Table1[[#This Row],[Single]]=1, "Single", Table1[[#This Row],[Together]]=1, "Together", Table1[[#This Row],[Widow]]=1, "Widow")</f>
        <v>Divorced</v>
      </c>
      <c r="P1314" t="str" cm="1">
        <f t="array" ref="P1314">_xlfn.IFS(Table1[[#This Row],[Basic]]=1, "Basic", Table1[[#This Row],[Graduate]]=1, "Graduate", Table1[[#This Row],[Master]]=1, "Master", Table1[[#This Row],[PhD]]=1, "PhD", AND(Table1[[#This Row],[Basic]]=0, Table1[[#This Row],[Graduate]]=0, Table1[[#This Row],[Master]]=0, Table1[[#This Row],[PhD]]=0), "NA")</f>
        <v>Graduate</v>
      </c>
      <c r="Q1314" t="e">
        <f>_xlfn.XLOOKUP(Table1[[#This Row],[ID]], Table2[ID],#REF!, "Not Found", 0)</f>
        <v>#REF!</v>
      </c>
      <c r="R1314" t="e">
        <f>_xlfn.XLOOKUP(Table1[[#This Row],[ID]], Table2[ID],#REF!, "Not Found", 0)</f>
        <v>#REF!</v>
      </c>
      <c r="S1314" s="3" t="str">
        <f>_xlfn.XLOOKUP(Table1[[#This Row],[ID]], Table2[ID], Table2[Enrollment], "Not Found", 0)</f>
        <v>12/20/2019</v>
      </c>
      <c r="T1314" t="s">
        <v>435</v>
      </c>
    </row>
    <row r="1315" spans="1:20" x14ac:dyDescent="0.3">
      <c r="A1315">
        <v>2292</v>
      </c>
      <c r="B1315">
        <v>145143</v>
      </c>
      <c r="C1315">
        <v>0</v>
      </c>
      <c r="D1315">
        <v>1</v>
      </c>
      <c r="E1315">
        <v>55</v>
      </c>
      <c r="F1315">
        <v>0</v>
      </c>
      <c r="G1315">
        <v>0</v>
      </c>
      <c r="H1315">
        <v>0</v>
      </c>
      <c r="I1315">
        <v>1</v>
      </c>
      <c r="J1315">
        <v>0</v>
      </c>
      <c r="K1315">
        <v>0</v>
      </c>
      <c r="L1315">
        <v>0</v>
      </c>
      <c r="M1315">
        <v>1</v>
      </c>
      <c r="N1315">
        <v>0</v>
      </c>
      <c r="O1315" t="str" cm="1">
        <f t="array" ref="O1315">_xlfn.IFS(Table1[[#This Row],[Divorced]]=1, "Divorced", Table1[[#This Row],[Married]]=1, "Married", Table1[[#This Row],[Single]]=1, "Single", Table1[[#This Row],[Together]]=1, "Together", Table1[[#This Row],[Widow]]=1, "Widow")</f>
        <v>Together</v>
      </c>
      <c r="P1315" t="str" cm="1">
        <f t="array" ref="P1315">_xlfn.IFS(Table1[[#This Row],[Basic]]=1, "Basic", Table1[[#This Row],[Graduate]]=1, "Graduate", Table1[[#This Row],[Master]]=1, "Master", Table1[[#This Row],[PhD]]=1, "PhD", AND(Table1[[#This Row],[Basic]]=0, Table1[[#This Row],[Graduate]]=0, Table1[[#This Row],[Master]]=0, Table1[[#This Row],[PhD]]=0), "NA")</f>
        <v>Master</v>
      </c>
      <c r="Q1315" t="e">
        <f>_xlfn.XLOOKUP(Table1[[#This Row],[ID]], Table2[ID],#REF!, "Not Found", 0)</f>
        <v>#REF!</v>
      </c>
      <c r="R1315" t="e">
        <f>_xlfn.XLOOKUP(Table1[[#This Row],[ID]], Table2[ID],#REF!, "Not Found", 0)</f>
        <v>#REF!</v>
      </c>
      <c r="S1315" s="3" t="str">
        <f>_xlfn.XLOOKUP(Table1[[#This Row],[ID]], Table2[ID], Table2[Enrollment], "Not Found", 0)</f>
        <v>1/31/2020</v>
      </c>
      <c r="T1315" t="s">
        <v>436</v>
      </c>
    </row>
    <row r="1316" spans="1:20" x14ac:dyDescent="0.3">
      <c r="A1316">
        <v>2569</v>
      </c>
      <c r="B1316">
        <v>145143</v>
      </c>
      <c r="C1316">
        <v>0</v>
      </c>
      <c r="D1316">
        <v>1</v>
      </c>
      <c r="E1316">
        <v>55</v>
      </c>
      <c r="F1316">
        <v>0</v>
      </c>
      <c r="G1316">
        <v>0</v>
      </c>
      <c r="H1316">
        <v>0</v>
      </c>
      <c r="I1316">
        <v>1</v>
      </c>
      <c r="J1316">
        <v>0</v>
      </c>
      <c r="K1316">
        <v>0</v>
      </c>
      <c r="L1316">
        <v>0</v>
      </c>
      <c r="M1316">
        <v>1</v>
      </c>
      <c r="N1316">
        <v>0</v>
      </c>
      <c r="O1316" t="str" cm="1">
        <f t="array" ref="O1316">_xlfn.IFS(Table1[[#This Row],[Divorced]]=1, "Divorced", Table1[[#This Row],[Married]]=1, "Married", Table1[[#This Row],[Single]]=1, "Single", Table1[[#This Row],[Together]]=1, "Together", Table1[[#This Row],[Widow]]=1, "Widow")</f>
        <v>Together</v>
      </c>
      <c r="P1316" t="str" cm="1">
        <f t="array" ref="P1316">_xlfn.IFS(Table1[[#This Row],[Basic]]=1, "Basic", Table1[[#This Row],[Graduate]]=1, "Graduate", Table1[[#This Row],[Master]]=1, "Master", Table1[[#This Row],[PhD]]=1, "PhD", AND(Table1[[#This Row],[Basic]]=0, Table1[[#This Row],[Graduate]]=0, Table1[[#This Row],[Master]]=0, Table1[[#This Row],[PhD]]=0), "NA")</f>
        <v>Master</v>
      </c>
      <c r="Q1316" t="e">
        <f>_xlfn.XLOOKUP(Table1[[#This Row],[ID]], Table2[ID],#REF!, "Not Found", 0)</f>
        <v>#REF!</v>
      </c>
      <c r="R1316" t="e">
        <f>_xlfn.XLOOKUP(Table1[[#This Row],[ID]], Table2[ID],#REF!, "Not Found", 0)</f>
        <v>#REF!</v>
      </c>
      <c r="S1316" s="3" t="str">
        <f>_xlfn.XLOOKUP(Table1[[#This Row],[ID]], Table2[ID], Table2[Enrollment], "Not Found", 0)</f>
        <v>1/31/2020</v>
      </c>
      <c r="T1316" t="s">
        <v>437</v>
      </c>
    </row>
    <row r="1317" spans="1:20" x14ac:dyDescent="0.3">
      <c r="A1317">
        <v>1714</v>
      </c>
      <c r="B1317">
        <v>145072</v>
      </c>
      <c r="C1317">
        <v>1</v>
      </c>
      <c r="D1317">
        <v>2</v>
      </c>
      <c r="E1317">
        <v>72</v>
      </c>
      <c r="F1317">
        <v>1</v>
      </c>
      <c r="G1317">
        <v>0</v>
      </c>
      <c r="H1317">
        <v>0</v>
      </c>
      <c r="I1317">
        <v>0</v>
      </c>
      <c r="J1317">
        <v>0</v>
      </c>
      <c r="K1317">
        <v>0</v>
      </c>
      <c r="L1317">
        <v>0</v>
      </c>
      <c r="M1317">
        <v>0</v>
      </c>
      <c r="N1317">
        <v>1</v>
      </c>
      <c r="O1317" t="str" cm="1">
        <f t="array" ref="O1317">_xlfn.IFS(Table1[[#This Row],[Divorced]]=1, "Divorced", Table1[[#This Row],[Married]]=1, "Married", Table1[[#This Row],[Single]]=1, "Single", Table1[[#This Row],[Together]]=1, "Together", Table1[[#This Row],[Widow]]=1, "Widow")</f>
        <v>Divorced</v>
      </c>
      <c r="P1317" t="str" cm="1">
        <f t="array" ref="P1317">_xlfn.IFS(Table1[[#This Row],[Basic]]=1, "Basic", Table1[[#This Row],[Graduate]]=1, "Graduate", Table1[[#This Row],[Master]]=1, "Master", Table1[[#This Row],[PhD]]=1, "PhD", AND(Table1[[#This Row],[Basic]]=0, Table1[[#This Row],[Graduate]]=0, Table1[[#This Row],[Master]]=0, Table1[[#This Row],[PhD]]=0), "NA")</f>
        <v>PhD</v>
      </c>
      <c r="Q1317" t="e">
        <f>_xlfn.XLOOKUP(Table1[[#This Row],[ID]], Table2[ID],#REF!, "Not Found", 0)</f>
        <v>#REF!</v>
      </c>
      <c r="R1317" t="e">
        <f>_xlfn.XLOOKUP(Table1[[#This Row],[ID]], Table2[ID],#REF!, "Not Found", 0)</f>
        <v>#REF!</v>
      </c>
      <c r="S1317" s="3" t="str">
        <f>_xlfn.XLOOKUP(Table1[[#This Row],[ID]], Table2[ID], Table2[Enrollment], "Not Found", 0)</f>
        <v>3/22/2020</v>
      </c>
      <c r="T1317" t="s">
        <v>439</v>
      </c>
    </row>
    <row r="1318" spans="1:20" x14ac:dyDescent="0.3">
      <c r="A1318">
        <v>1648</v>
      </c>
      <c r="B1318">
        <v>145068</v>
      </c>
      <c r="C1318">
        <v>0</v>
      </c>
      <c r="D1318">
        <v>1</v>
      </c>
      <c r="E1318">
        <v>46</v>
      </c>
      <c r="F1318">
        <v>0</v>
      </c>
      <c r="G1318">
        <v>0</v>
      </c>
      <c r="H1318">
        <v>0</v>
      </c>
      <c r="I1318">
        <v>1</v>
      </c>
      <c r="J1318">
        <v>0</v>
      </c>
      <c r="K1318">
        <v>0</v>
      </c>
      <c r="L1318">
        <v>0</v>
      </c>
      <c r="M1318">
        <v>0</v>
      </c>
      <c r="N1318">
        <v>1</v>
      </c>
      <c r="O1318" t="str" cm="1">
        <f t="array" ref="O1318">_xlfn.IFS(Table1[[#This Row],[Divorced]]=1, "Divorced", Table1[[#This Row],[Married]]=1, "Married", Table1[[#This Row],[Single]]=1, "Single", Table1[[#This Row],[Together]]=1, "Together", Table1[[#This Row],[Widow]]=1, "Widow")</f>
        <v>Together</v>
      </c>
      <c r="P1318" t="str" cm="1">
        <f t="array" ref="P1318">_xlfn.IFS(Table1[[#This Row],[Basic]]=1, "Basic", Table1[[#This Row],[Graduate]]=1, "Graduate", Table1[[#This Row],[Master]]=1, "Master", Table1[[#This Row],[PhD]]=1, "PhD", AND(Table1[[#This Row],[Basic]]=0, Table1[[#This Row],[Graduate]]=0, Table1[[#This Row],[Master]]=0, Table1[[#This Row],[PhD]]=0), "NA")</f>
        <v>PhD</v>
      </c>
      <c r="Q1318" t="e">
        <f>_xlfn.XLOOKUP(Table1[[#This Row],[ID]], Table2[ID],#REF!, "Not Found", 0)</f>
        <v>#REF!</v>
      </c>
      <c r="R1318" t="e">
        <f>_xlfn.XLOOKUP(Table1[[#This Row],[ID]], Table2[ID],#REF!, "Not Found", 0)</f>
        <v>#REF!</v>
      </c>
      <c r="S1318" s="3" t="str">
        <f>_xlfn.XLOOKUP(Table1[[#This Row],[ID]], Table2[ID], Table2[Enrollment], "Not Found", 0)</f>
        <v>10/21/2019</v>
      </c>
      <c r="T1318" t="s">
        <v>439</v>
      </c>
    </row>
    <row r="1319" spans="1:20" x14ac:dyDescent="0.3">
      <c r="A1319">
        <v>3018</v>
      </c>
      <c r="B1319">
        <v>145057</v>
      </c>
      <c r="C1319">
        <v>1</v>
      </c>
      <c r="D1319">
        <v>0</v>
      </c>
      <c r="E1319">
        <v>41</v>
      </c>
      <c r="F1319">
        <v>0</v>
      </c>
      <c r="G1319">
        <v>1</v>
      </c>
      <c r="H1319">
        <v>0</v>
      </c>
      <c r="I1319">
        <v>0</v>
      </c>
      <c r="J1319">
        <v>0</v>
      </c>
      <c r="K1319">
        <v>0</v>
      </c>
      <c r="L1319">
        <v>0</v>
      </c>
      <c r="M1319">
        <v>1</v>
      </c>
      <c r="N1319">
        <v>0</v>
      </c>
      <c r="O1319" t="str" cm="1">
        <f t="array" ref="O1319">_xlfn.IFS(Table1[[#This Row],[Divorced]]=1, "Divorced", Table1[[#This Row],[Married]]=1, "Married", Table1[[#This Row],[Single]]=1, "Single", Table1[[#This Row],[Together]]=1, "Together", Table1[[#This Row],[Widow]]=1, "Widow")</f>
        <v>Married</v>
      </c>
      <c r="P1319" t="str" cm="1">
        <f t="array" ref="P1319">_xlfn.IFS(Table1[[#This Row],[Basic]]=1, "Basic", Table1[[#This Row],[Graduate]]=1, "Graduate", Table1[[#This Row],[Master]]=1, "Master", Table1[[#This Row],[PhD]]=1, "PhD", AND(Table1[[#This Row],[Basic]]=0, Table1[[#This Row],[Graduate]]=0, Table1[[#This Row],[Master]]=0, Table1[[#This Row],[PhD]]=0), "NA")</f>
        <v>Master</v>
      </c>
      <c r="Q1319" t="e">
        <f>_xlfn.XLOOKUP(Table1[[#This Row],[ID]], Table2[ID],#REF!, "Not Found", 0)</f>
        <v>#REF!</v>
      </c>
      <c r="R1319" t="e">
        <f>_xlfn.XLOOKUP(Table1[[#This Row],[ID]], Table2[ID],#REF!, "Not Found", 0)</f>
        <v>#REF!</v>
      </c>
      <c r="S1319" s="3">
        <f>_xlfn.XLOOKUP(Table1[[#This Row],[ID]], Table2[ID], Table2[Enrollment], "Not Found", 0)</f>
        <v>44017</v>
      </c>
      <c r="T1319" t="s">
        <v>436</v>
      </c>
    </row>
    <row r="1320" spans="1:20" x14ac:dyDescent="0.3">
      <c r="A1320">
        <v>1595</v>
      </c>
      <c r="B1320">
        <v>145006</v>
      </c>
      <c r="C1320">
        <v>0</v>
      </c>
      <c r="D1320">
        <v>0</v>
      </c>
      <c r="E1320">
        <v>76</v>
      </c>
      <c r="F1320">
        <v>0</v>
      </c>
      <c r="G1320">
        <v>0</v>
      </c>
      <c r="H1320">
        <v>0</v>
      </c>
      <c r="I1320">
        <v>0</v>
      </c>
      <c r="J1320">
        <v>1</v>
      </c>
      <c r="K1320">
        <v>0</v>
      </c>
      <c r="L1320">
        <v>0</v>
      </c>
      <c r="M1320">
        <v>1</v>
      </c>
      <c r="N1320">
        <v>0</v>
      </c>
      <c r="O1320" t="str" cm="1">
        <f t="array" ref="O1320">_xlfn.IFS(Table1[[#This Row],[Divorced]]=1, "Divorced", Table1[[#This Row],[Married]]=1, "Married", Table1[[#This Row],[Single]]=1, "Single", Table1[[#This Row],[Together]]=1, "Together", Table1[[#This Row],[Widow]]=1, "Widow")</f>
        <v>Widow</v>
      </c>
      <c r="P1320" t="str" cm="1">
        <f t="array" ref="P1320">_xlfn.IFS(Table1[[#This Row],[Basic]]=1, "Basic", Table1[[#This Row],[Graduate]]=1, "Graduate", Table1[[#This Row],[Master]]=1, "Master", Table1[[#This Row],[PhD]]=1, "PhD", AND(Table1[[#This Row],[Basic]]=0, Table1[[#This Row],[Graduate]]=0, Table1[[#This Row],[Master]]=0, Table1[[#This Row],[PhD]]=0), "NA")</f>
        <v>Master</v>
      </c>
      <c r="Q1320" t="e">
        <f>_xlfn.XLOOKUP(Table1[[#This Row],[ID]], Table2[ID],#REF!, "Not Found", 0)</f>
        <v>#REF!</v>
      </c>
      <c r="R1320" t="e">
        <f>_xlfn.XLOOKUP(Table1[[#This Row],[ID]], Table2[ID],#REF!, "Not Found", 0)</f>
        <v>#REF!</v>
      </c>
      <c r="S1320" s="3" t="str">
        <f>_xlfn.XLOOKUP(Table1[[#This Row],[ID]], Table2[ID], Table2[Enrollment], "Not Found", 0)</f>
        <v>12/23/2019</v>
      </c>
      <c r="T1320" t="s">
        <v>434</v>
      </c>
    </row>
    <row r="1321" spans="1:20" x14ac:dyDescent="0.3">
      <c r="A1321">
        <v>1554</v>
      </c>
      <c r="B1321">
        <v>144989</v>
      </c>
      <c r="C1321">
        <v>0</v>
      </c>
      <c r="D1321">
        <v>1</v>
      </c>
      <c r="E1321">
        <v>46</v>
      </c>
      <c r="F1321">
        <v>0</v>
      </c>
      <c r="G1321">
        <v>1</v>
      </c>
      <c r="H1321">
        <v>0</v>
      </c>
      <c r="I1321">
        <v>0</v>
      </c>
      <c r="J1321">
        <v>0</v>
      </c>
      <c r="K1321">
        <v>0</v>
      </c>
      <c r="L1321">
        <v>1</v>
      </c>
      <c r="M1321">
        <v>0</v>
      </c>
      <c r="N1321">
        <v>0</v>
      </c>
      <c r="O1321" t="str" cm="1">
        <f t="array" ref="O1321">_xlfn.IFS(Table1[[#This Row],[Divorced]]=1, "Divorced", Table1[[#This Row],[Married]]=1, "Married", Table1[[#This Row],[Single]]=1, "Single", Table1[[#This Row],[Together]]=1, "Together", Table1[[#This Row],[Widow]]=1, "Widow")</f>
        <v>Married</v>
      </c>
      <c r="P1321" t="str" cm="1">
        <f t="array" ref="P1321">_xlfn.IFS(Table1[[#This Row],[Basic]]=1, "Basic", Table1[[#This Row],[Graduate]]=1, "Graduate", Table1[[#This Row],[Master]]=1, "Master", Table1[[#This Row],[PhD]]=1, "PhD", AND(Table1[[#This Row],[Basic]]=0, Table1[[#This Row],[Graduate]]=0, Table1[[#This Row],[Master]]=0, Table1[[#This Row],[PhD]]=0), "NA")</f>
        <v>Graduate</v>
      </c>
      <c r="Q1321" t="e">
        <f>_xlfn.XLOOKUP(Table1[[#This Row],[ID]], Table2[ID],#REF!, "Not Found", 0)</f>
        <v>#REF!</v>
      </c>
      <c r="R1321" t="e">
        <f>_xlfn.XLOOKUP(Table1[[#This Row],[ID]], Table2[ID],#REF!, "Not Found", 0)</f>
        <v>#REF!</v>
      </c>
      <c r="S1321" s="3" t="str">
        <f>_xlfn.XLOOKUP(Table1[[#This Row],[ID]], Table2[ID], Table2[Enrollment], "Not Found", 0)</f>
        <v>2/17/2019</v>
      </c>
      <c r="T1321" t="s">
        <v>436</v>
      </c>
    </row>
    <row r="1322" spans="1:20" x14ac:dyDescent="0.3">
      <c r="A1322">
        <v>2726</v>
      </c>
      <c r="B1322">
        <v>144989</v>
      </c>
      <c r="C1322">
        <v>0</v>
      </c>
      <c r="D1322">
        <v>1</v>
      </c>
      <c r="E1322">
        <v>46</v>
      </c>
      <c r="F1322">
        <v>0</v>
      </c>
      <c r="G1322">
        <v>1</v>
      </c>
      <c r="H1322">
        <v>0</v>
      </c>
      <c r="I1322">
        <v>0</v>
      </c>
      <c r="J1322">
        <v>0</v>
      </c>
      <c r="K1322">
        <v>0</v>
      </c>
      <c r="L1322">
        <v>1</v>
      </c>
      <c r="M1322">
        <v>0</v>
      </c>
      <c r="N1322">
        <v>0</v>
      </c>
      <c r="O1322" t="str" cm="1">
        <f t="array" ref="O1322">_xlfn.IFS(Table1[[#This Row],[Divorced]]=1, "Divorced", Table1[[#This Row],[Married]]=1, "Married", Table1[[#This Row],[Single]]=1, "Single", Table1[[#This Row],[Together]]=1, "Together", Table1[[#This Row],[Widow]]=1, "Widow")</f>
        <v>Married</v>
      </c>
      <c r="P1322" t="str" cm="1">
        <f t="array" ref="P1322">_xlfn.IFS(Table1[[#This Row],[Basic]]=1, "Basic", Table1[[#This Row],[Graduate]]=1, "Graduate", Table1[[#This Row],[Master]]=1, "Master", Table1[[#This Row],[PhD]]=1, "PhD", AND(Table1[[#This Row],[Basic]]=0, Table1[[#This Row],[Graduate]]=0, Table1[[#This Row],[Master]]=0, Table1[[#This Row],[PhD]]=0), "NA")</f>
        <v>Graduate</v>
      </c>
      <c r="Q1322" t="e">
        <f>_xlfn.XLOOKUP(Table1[[#This Row],[ID]], Table2[ID],#REF!, "Not Found", 0)</f>
        <v>#REF!</v>
      </c>
      <c r="R1322" t="e">
        <f>_xlfn.XLOOKUP(Table1[[#This Row],[ID]], Table2[ID],#REF!, "Not Found", 0)</f>
        <v>#REF!</v>
      </c>
      <c r="S1322" s="3" t="str">
        <f>_xlfn.XLOOKUP(Table1[[#This Row],[ID]], Table2[ID], Table2[Enrollment], "Not Found", 0)</f>
        <v>2/17/2019</v>
      </c>
      <c r="T1322" t="s">
        <v>438</v>
      </c>
    </row>
    <row r="1323" spans="1:20" x14ac:dyDescent="0.3">
      <c r="A1323">
        <v>2364</v>
      </c>
      <c r="B1323">
        <v>144964</v>
      </c>
      <c r="C1323">
        <v>1</v>
      </c>
      <c r="D1323">
        <v>1</v>
      </c>
      <c r="E1323">
        <v>40</v>
      </c>
      <c r="F1323">
        <v>0</v>
      </c>
      <c r="G1323">
        <v>0</v>
      </c>
      <c r="H1323">
        <v>0</v>
      </c>
      <c r="I1323">
        <v>1</v>
      </c>
      <c r="J1323">
        <v>0</v>
      </c>
      <c r="K1323">
        <v>0</v>
      </c>
      <c r="L1323">
        <v>1</v>
      </c>
      <c r="M1323">
        <v>0</v>
      </c>
      <c r="N1323">
        <v>0</v>
      </c>
      <c r="O1323" t="str" cm="1">
        <f t="array" ref="O1323">_xlfn.IFS(Table1[[#This Row],[Divorced]]=1, "Divorced", Table1[[#This Row],[Married]]=1, "Married", Table1[[#This Row],[Single]]=1, "Single", Table1[[#This Row],[Together]]=1, "Together", Table1[[#This Row],[Widow]]=1, "Widow")</f>
        <v>Together</v>
      </c>
      <c r="P1323" t="str" cm="1">
        <f t="array" ref="P1323">_xlfn.IFS(Table1[[#This Row],[Basic]]=1, "Basic", Table1[[#This Row],[Graduate]]=1, "Graduate", Table1[[#This Row],[Master]]=1, "Master", Table1[[#This Row],[PhD]]=1, "PhD", AND(Table1[[#This Row],[Basic]]=0, Table1[[#This Row],[Graduate]]=0, Table1[[#This Row],[Master]]=0, Table1[[#This Row],[PhD]]=0), "NA")</f>
        <v>Graduate</v>
      </c>
      <c r="Q1323" t="e">
        <f>_xlfn.XLOOKUP(Table1[[#This Row],[ID]], Table2[ID],#REF!, "Not Found", 0)</f>
        <v>#REF!</v>
      </c>
      <c r="R1323" t="e">
        <f>_xlfn.XLOOKUP(Table1[[#This Row],[ID]], Table2[ID],#REF!, "Not Found", 0)</f>
        <v>#REF!</v>
      </c>
      <c r="S1323" s="3" t="str">
        <f>_xlfn.XLOOKUP(Table1[[#This Row],[ID]], Table2[ID], Table2[Enrollment], "Not Found", 0)</f>
        <v>5/23/2019</v>
      </c>
      <c r="T1323" t="s">
        <v>436</v>
      </c>
    </row>
    <row r="1324" spans="1:20" x14ac:dyDescent="0.3">
      <c r="A1324">
        <v>3080</v>
      </c>
      <c r="B1324">
        <v>144953</v>
      </c>
      <c r="C1324">
        <v>0</v>
      </c>
      <c r="D1324">
        <v>0</v>
      </c>
      <c r="E1324">
        <v>39</v>
      </c>
      <c r="F1324">
        <v>0</v>
      </c>
      <c r="G1324">
        <v>0</v>
      </c>
      <c r="H1324">
        <v>0</v>
      </c>
      <c r="I1324">
        <v>1</v>
      </c>
      <c r="J1324">
        <v>0</v>
      </c>
      <c r="K1324">
        <v>0</v>
      </c>
      <c r="L1324">
        <v>0</v>
      </c>
      <c r="M1324">
        <v>0</v>
      </c>
      <c r="N1324">
        <v>1</v>
      </c>
      <c r="O1324" t="str" cm="1">
        <f t="array" ref="O1324">_xlfn.IFS(Table1[[#This Row],[Divorced]]=1, "Divorced", Table1[[#This Row],[Married]]=1, "Married", Table1[[#This Row],[Single]]=1, "Single", Table1[[#This Row],[Together]]=1, "Together", Table1[[#This Row],[Widow]]=1, "Widow")</f>
        <v>Together</v>
      </c>
      <c r="P1324" t="str" cm="1">
        <f t="array" ref="P1324">_xlfn.IFS(Table1[[#This Row],[Basic]]=1, "Basic", Table1[[#This Row],[Graduate]]=1, "Graduate", Table1[[#This Row],[Master]]=1, "Master", Table1[[#This Row],[PhD]]=1, "PhD", AND(Table1[[#This Row],[Basic]]=0, Table1[[#This Row],[Graduate]]=0, Table1[[#This Row],[Master]]=0, Table1[[#This Row],[PhD]]=0), "NA")</f>
        <v>PhD</v>
      </c>
      <c r="Q1324" t="e">
        <f>_xlfn.XLOOKUP(Table1[[#This Row],[ID]], Table2[ID],#REF!, "Not Found", 0)</f>
        <v>#REF!</v>
      </c>
      <c r="R1324" t="e">
        <f>_xlfn.XLOOKUP(Table1[[#This Row],[ID]], Table2[ID],#REF!, "Not Found", 0)</f>
        <v>#REF!</v>
      </c>
      <c r="S1324" s="3" t="str">
        <f>_xlfn.XLOOKUP(Table1[[#This Row],[ID]], Table2[ID], Table2[Enrollment], "Not Found", 0)</f>
        <v>5/28/2019</v>
      </c>
      <c r="T1324" t="s">
        <v>438</v>
      </c>
    </row>
    <row r="1325" spans="1:20" x14ac:dyDescent="0.3">
      <c r="A1325">
        <v>1520</v>
      </c>
      <c r="B1325">
        <v>144931</v>
      </c>
      <c r="C1325">
        <v>0</v>
      </c>
      <c r="D1325">
        <v>1</v>
      </c>
      <c r="E1325">
        <v>53</v>
      </c>
      <c r="F1325">
        <v>0</v>
      </c>
      <c r="G1325">
        <v>0</v>
      </c>
      <c r="H1325">
        <v>0</v>
      </c>
      <c r="I1325">
        <v>1</v>
      </c>
      <c r="J1325">
        <v>0</v>
      </c>
      <c r="K1325">
        <v>0</v>
      </c>
      <c r="L1325">
        <v>1</v>
      </c>
      <c r="M1325">
        <v>0</v>
      </c>
      <c r="N1325">
        <v>0</v>
      </c>
      <c r="O1325" t="str" cm="1">
        <f t="array" ref="O1325">_xlfn.IFS(Table1[[#This Row],[Divorced]]=1, "Divorced", Table1[[#This Row],[Married]]=1, "Married", Table1[[#This Row],[Single]]=1, "Single", Table1[[#This Row],[Together]]=1, "Together", Table1[[#This Row],[Widow]]=1, "Widow")</f>
        <v>Together</v>
      </c>
      <c r="P1325" t="str" cm="1">
        <f t="array" ref="P1325">_xlfn.IFS(Table1[[#This Row],[Basic]]=1, "Basic", Table1[[#This Row],[Graduate]]=1, "Graduate", Table1[[#This Row],[Master]]=1, "Master", Table1[[#This Row],[PhD]]=1, "PhD", AND(Table1[[#This Row],[Basic]]=0, Table1[[#This Row],[Graduate]]=0, Table1[[#This Row],[Master]]=0, Table1[[#This Row],[PhD]]=0), "NA")</f>
        <v>Graduate</v>
      </c>
      <c r="Q1325" t="e">
        <f>_xlfn.XLOOKUP(Table1[[#This Row],[ID]], Table2[ID],#REF!, "Not Found", 0)</f>
        <v>#REF!</v>
      </c>
      <c r="R1325" t="e">
        <f>_xlfn.XLOOKUP(Table1[[#This Row],[ID]], Table2[ID],#REF!, "Not Found", 0)</f>
        <v>#REF!</v>
      </c>
      <c r="S1325" s="3" t="str">
        <f>_xlfn.XLOOKUP(Table1[[#This Row],[ID]], Table2[ID], Table2[Enrollment], "Not Found", 0)</f>
        <v>6/24/2020</v>
      </c>
      <c r="T1325" t="s">
        <v>438</v>
      </c>
    </row>
    <row r="1326" spans="1:20" x14ac:dyDescent="0.3">
      <c r="A1326">
        <v>2806</v>
      </c>
      <c r="B1326">
        <v>144911</v>
      </c>
      <c r="C1326">
        <v>0</v>
      </c>
      <c r="D1326">
        <v>1</v>
      </c>
      <c r="E1326">
        <v>61</v>
      </c>
      <c r="F1326">
        <v>0</v>
      </c>
      <c r="G1326">
        <v>0</v>
      </c>
      <c r="H1326">
        <v>0</v>
      </c>
      <c r="I1326">
        <v>1</v>
      </c>
      <c r="J1326">
        <v>0</v>
      </c>
      <c r="K1326">
        <v>0</v>
      </c>
      <c r="L1326">
        <v>1</v>
      </c>
      <c r="M1326">
        <v>0</v>
      </c>
      <c r="N1326">
        <v>0</v>
      </c>
      <c r="O1326" t="str" cm="1">
        <f t="array" ref="O1326">_xlfn.IFS(Table1[[#This Row],[Divorced]]=1, "Divorced", Table1[[#This Row],[Married]]=1, "Married", Table1[[#This Row],[Single]]=1, "Single", Table1[[#This Row],[Together]]=1, "Together", Table1[[#This Row],[Widow]]=1, "Widow")</f>
        <v>Together</v>
      </c>
      <c r="P1326" t="str" cm="1">
        <f t="array" ref="P1326">_xlfn.IFS(Table1[[#This Row],[Basic]]=1, "Basic", Table1[[#This Row],[Graduate]]=1, "Graduate", Table1[[#This Row],[Master]]=1, "Master", Table1[[#This Row],[PhD]]=1, "PhD", AND(Table1[[#This Row],[Basic]]=0, Table1[[#This Row],[Graduate]]=0, Table1[[#This Row],[Master]]=0, Table1[[#This Row],[PhD]]=0), "NA")</f>
        <v>Graduate</v>
      </c>
      <c r="Q1326" t="e">
        <f>_xlfn.XLOOKUP(Table1[[#This Row],[ID]], Table2[ID],#REF!, "Not Found", 0)</f>
        <v>#REF!</v>
      </c>
      <c r="R1326" t="e">
        <f>_xlfn.XLOOKUP(Table1[[#This Row],[ID]], Table2[ID],#REF!, "Not Found", 0)</f>
        <v>#REF!</v>
      </c>
      <c r="S1326" s="3" t="str">
        <f>_xlfn.XLOOKUP(Table1[[#This Row],[ID]], Table2[ID], Table2[Enrollment], "Not Found", 0)</f>
        <v>8/20/2019</v>
      </c>
      <c r="T1326" t="s">
        <v>439</v>
      </c>
    </row>
    <row r="1327" spans="1:20" x14ac:dyDescent="0.3">
      <c r="A1327">
        <v>3198</v>
      </c>
      <c r="B1327">
        <v>144802</v>
      </c>
      <c r="C1327">
        <v>0</v>
      </c>
      <c r="D1327">
        <v>0</v>
      </c>
      <c r="E1327">
        <v>50</v>
      </c>
      <c r="F1327">
        <v>0</v>
      </c>
      <c r="G1327">
        <v>0</v>
      </c>
      <c r="H1327">
        <v>1</v>
      </c>
      <c r="I1327">
        <v>0</v>
      </c>
      <c r="J1327">
        <v>0</v>
      </c>
      <c r="K1327">
        <v>0</v>
      </c>
      <c r="L1327">
        <v>0</v>
      </c>
      <c r="M1327">
        <v>1</v>
      </c>
      <c r="N1327">
        <v>0</v>
      </c>
      <c r="O1327" t="str" cm="1">
        <f t="array" ref="O1327">_xlfn.IFS(Table1[[#This Row],[Divorced]]=1, "Divorced", Table1[[#This Row],[Married]]=1, "Married", Table1[[#This Row],[Single]]=1, "Single", Table1[[#This Row],[Together]]=1, "Together", Table1[[#This Row],[Widow]]=1, "Widow")</f>
        <v>Single</v>
      </c>
      <c r="P1327" t="str" cm="1">
        <f t="array" ref="P1327">_xlfn.IFS(Table1[[#This Row],[Basic]]=1, "Basic", Table1[[#This Row],[Graduate]]=1, "Graduate", Table1[[#This Row],[Master]]=1, "Master", Table1[[#This Row],[PhD]]=1, "PhD", AND(Table1[[#This Row],[Basic]]=0, Table1[[#This Row],[Graduate]]=0, Table1[[#This Row],[Master]]=0, Table1[[#This Row],[PhD]]=0), "NA")</f>
        <v>Master</v>
      </c>
      <c r="Q1327" t="e">
        <f>_xlfn.XLOOKUP(Table1[[#This Row],[ID]], Table2[ID],#REF!, "Not Found", 0)</f>
        <v>#REF!</v>
      </c>
      <c r="R1327" t="e">
        <f>_xlfn.XLOOKUP(Table1[[#This Row],[ID]], Table2[ID],#REF!, "Not Found", 0)</f>
        <v>#REF!</v>
      </c>
      <c r="S1327" s="3" t="str">
        <f>_xlfn.XLOOKUP(Table1[[#This Row],[ID]], Table2[ID], Table2[Enrollment], "Not Found", 0)</f>
        <v>1/26/2019</v>
      </c>
      <c r="T1327" t="s">
        <v>436</v>
      </c>
    </row>
    <row r="1328" spans="1:20" x14ac:dyDescent="0.3">
      <c r="A1328">
        <v>1196</v>
      </c>
      <c r="B1328">
        <v>144794</v>
      </c>
      <c r="C1328">
        <v>0</v>
      </c>
      <c r="D1328">
        <v>1</v>
      </c>
      <c r="E1328">
        <v>54</v>
      </c>
      <c r="F1328">
        <v>0</v>
      </c>
      <c r="G1328">
        <v>1</v>
      </c>
      <c r="H1328">
        <v>0</v>
      </c>
      <c r="I1328">
        <v>0</v>
      </c>
      <c r="J1328">
        <v>0</v>
      </c>
      <c r="K1328">
        <v>0</v>
      </c>
      <c r="L1328">
        <v>1</v>
      </c>
      <c r="M1328">
        <v>0</v>
      </c>
      <c r="N1328">
        <v>0</v>
      </c>
      <c r="O1328" t="str" cm="1">
        <f t="array" ref="O1328">_xlfn.IFS(Table1[[#This Row],[Divorced]]=1, "Divorced", Table1[[#This Row],[Married]]=1, "Married", Table1[[#This Row],[Single]]=1, "Single", Table1[[#This Row],[Together]]=1, "Together", Table1[[#This Row],[Widow]]=1, "Widow")</f>
        <v>Married</v>
      </c>
      <c r="P1328" t="str" cm="1">
        <f t="array" ref="P1328">_xlfn.IFS(Table1[[#This Row],[Basic]]=1, "Basic", Table1[[#This Row],[Graduate]]=1, "Graduate", Table1[[#This Row],[Master]]=1, "Master", Table1[[#This Row],[PhD]]=1, "PhD", AND(Table1[[#This Row],[Basic]]=0, Table1[[#This Row],[Graduate]]=0, Table1[[#This Row],[Master]]=0, Table1[[#This Row],[PhD]]=0), "NA")</f>
        <v>Graduate</v>
      </c>
      <c r="Q1328" t="e">
        <f>_xlfn.XLOOKUP(Table1[[#This Row],[ID]], Table2[ID],#REF!, "Not Found", 0)</f>
        <v>#REF!</v>
      </c>
      <c r="R1328" t="e">
        <f>_xlfn.XLOOKUP(Table1[[#This Row],[ID]], Table2[ID],#REF!, "Not Found", 0)</f>
        <v>#REF!</v>
      </c>
      <c r="S1328" s="3">
        <f>_xlfn.XLOOKUP(Table1[[#This Row],[ID]], Table2[ID], Table2[Enrollment], "Not Found", 0)</f>
        <v>44176</v>
      </c>
      <c r="T1328" t="s">
        <v>438</v>
      </c>
    </row>
    <row r="1329" spans="1:20" x14ac:dyDescent="0.3">
      <c r="A1329">
        <v>1706</v>
      </c>
      <c r="B1329">
        <v>144794</v>
      </c>
      <c r="C1329">
        <v>0</v>
      </c>
      <c r="D1329">
        <v>1</v>
      </c>
      <c r="E1329">
        <v>54</v>
      </c>
      <c r="F1329">
        <v>0</v>
      </c>
      <c r="G1329">
        <v>1</v>
      </c>
      <c r="H1329">
        <v>0</v>
      </c>
      <c r="I1329">
        <v>0</v>
      </c>
      <c r="J1329">
        <v>0</v>
      </c>
      <c r="K1329">
        <v>0</v>
      </c>
      <c r="L1329">
        <v>1</v>
      </c>
      <c r="M1329">
        <v>0</v>
      </c>
      <c r="N1329">
        <v>0</v>
      </c>
      <c r="O1329" t="str" cm="1">
        <f t="array" ref="O1329">_xlfn.IFS(Table1[[#This Row],[Divorced]]=1, "Divorced", Table1[[#This Row],[Married]]=1, "Married", Table1[[#This Row],[Single]]=1, "Single", Table1[[#This Row],[Together]]=1, "Together", Table1[[#This Row],[Widow]]=1, "Widow")</f>
        <v>Married</v>
      </c>
      <c r="P1329" t="str" cm="1">
        <f t="array" ref="P1329">_xlfn.IFS(Table1[[#This Row],[Basic]]=1, "Basic", Table1[[#This Row],[Graduate]]=1, "Graduate", Table1[[#This Row],[Master]]=1, "Master", Table1[[#This Row],[PhD]]=1, "PhD", AND(Table1[[#This Row],[Basic]]=0, Table1[[#This Row],[Graduate]]=0, Table1[[#This Row],[Master]]=0, Table1[[#This Row],[PhD]]=0), "NA")</f>
        <v>Graduate</v>
      </c>
      <c r="Q1329" t="e">
        <f>_xlfn.XLOOKUP(Table1[[#This Row],[ID]], Table2[ID],#REF!, "Not Found", 0)</f>
        <v>#REF!</v>
      </c>
      <c r="R1329" t="e">
        <f>_xlfn.XLOOKUP(Table1[[#This Row],[ID]], Table2[ID],#REF!, "Not Found", 0)</f>
        <v>#REF!</v>
      </c>
      <c r="S1329" s="3">
        <f>_xlfn.XLOOKUP(Table1[[#This Row],[ID]], Table2[ID], Table2[Enrollment], "Not Found", 0)</f>
        <v>44176</v>
      </c>
      <c r="T1329" t="s">
        <v>438</v>
      </c>
    </row>
    <row r="1330" spans="1:20" x14ac:dyDescent="0.3">
      <c r="A1330">
        <v>2779</v>
      </c>
      <c r="B1330">
        <v>144689</v>
      </c>
      <c r="C1330">
        <v>1</v>
      </c>
      <c r="D1330">
        <v>1</v>
      </c>
      <c r="E1330">
        <v>69</v>
      </c>
      <c r="F1330">
        <v>0</v>
      </c>
      <c r="G1330">
        <v>1</v>
      </c>
      <c r="H1330">
        <v>0</v>
      </c>
      <c r="I1330">
        <v>0</v>
      </c>
      <c r="J1330">
        <v>0</v>
      </c>
      <c r="K1330">
        <v>0</v>
      </c>
      <c r="L1330">
        <v>1</v>
      </c>
      <c r="M1330">
        <v>0</v>
      </c>
      <c r="N1330">
        <v>0</v>
      </c>
      <c r="O1330" t="str" cm="1">
        <f t="array" ref="O1330">_xlfn.IFS(Table1[[#This Row],[Divorced]]=1, "Divorced", Table1[[#This Row],[Married]]=1, "Married", Table1[[#This Row],[Single]]=1, "Single", Table1[[#This Row],[Together]]=1, "Together", Table1[[#This Row],[Widow]]=1, "Widow")</f>
        <v>Married</v>
      </c>
      <c r="P1330" t="str" cm="1">
        <f t="array" ref="P1330">_xlfn.IFS(Table1[[#This Row],[Basic]]=1, "Basic", Table1[[#This Row],[Graduate]]=1, "Graduate", Table1[[#This Row],[Master]]=1, "Master", Table1[[#This Row],[PhD]]=1, "PhD", AND(Table1[[#This Row],[Basic]]=0, Table1[[#This Row],[Graduate]]=0, Table1[[#This Row],[Master]]=0, Table1[[#This Row],[PhD]]=0), "NA")</f>
        <v>Graduate</v>
      </c>
      <c r="Q1330" t="e">
        <f>_xlfn.XLOOKUP(Table1[[#This Row],[ID]], Table2[ID],#REF!, "Not Found", 0)</f>
        <v>#REF!</v>
      </c>
      <c r="R1330" t="e">
        <f>_xlfn.XLOOKUP(Table1[[#This Row],[ID]], Table2[ID],#REF!, "Not Found", 0)</f>
        <v>#REF!</v>
      </c>
      <c r="S1330" s="3" t="str">
        <f>_xlfn.XLOOKUP(Table1[[#This Row],[ID]], Table2[ID], Table2[Enrollment], "Not Found", 0)</f>
        <v>6/16/2020</v>
      </c>
      <c r="T1330" t="s">
        <v>437</v>
      </c>
    </row>
    <row r="1331" spans="1:20" x14ac:dyDescent="0.3">
      <c r="A1331">
        <v>2796</v>
      </c>
      <c r="B1331">
        <v>144635</v>
      </c>
      <c r="C1331">
        <v>1</v>
      </c>
      <c r="D1331">
        <v>1</v>
      </c>
      <c r="E1331">
        <v>49</v>
      </c>
      <c r="F1331">
        <v>1</v>
      </c>
      <c r="G1331">
        <v>0</v>
      </c>
      <c r="H1331">
        <v>0</v>
      </c>
      <c r="I1331">
        <v>0</v>
      </c>
      <c r="J1331">
        <v>0</v>
      </c>
      <c r="K1331">
        <v>0</v>
      </c>
      <c r="L1331">
        <v>0</v>
      </c>
      <c r="M1331">
        <v>1</v>
      </c>
      <c r="N1331">
        <v>0</v>
      </c>
      <c r="O1331" t="str" cm="1">
        <f t="array" ref="O1331">_xlfn.IFS(Table1[[#This Row],[Divorced]]=1, "Divorced", Table1[[#This Row],[Married]]=1, "Married", Table1[[#This Row],[Single]]=1, "Single", Table1[[#This Row],[Together]]=1, "Together", Table1[[#This Row],[Widow]]=1, "Widow")</f>
        <v>Divorced</v>
      </c>
      <c r="P1331" t="str" cm="1">
        <f t="array" ref="P1331">_xlfn.IFS(Table1[[#This Row],[Basic]]=1, "Basic", Table1[[#This Row],[Graduate]]=1, "Graduate", Table1[[#This Row],[Master]]=1, "Master", Table1[[#This Row],[PhD]]=1, "PhD", AND(Table1[[#This Row],[Basic]]=0, Table1[[#This Row],[Graduate]]=0, Table1[[#This Row],[Master]]=0, Table1[[#This Row],[PhD]]=0), "NA")</f>
        <v>Master</v>
      </c>
      <c r="Q1331" t="e">
        <f>_xlfn.XLOOKUP(Table1[[#This Row],[ID]], Table2[ID],#REF!, "Not Found", 0)</f>
        <v>#REF!</v>
      </c>
      <c r="R1331" t="e">
        <f>_xlfn.XLOOKUP(Table1[[#This Row],[ID]], Table2[ID],#REF!, "Not Found", 0)</f>
        <v>#REF!</v>
      </c>
      <c r="S1331" s="3" t="str">
        <f>_xlfn.XLOOKUP(Table1[[#This Row],[ID]], Table2[ID], Table2[Enrollment], "Not Found", 0)</f>
        <v>3/17/2020</v>
      </c>
      <c r="T1331" t="s">
        <v>436</v>
      </c>
    </row>
    <row r="1332" spans="1:20" x14ac:dyDescent="0.3">
      <c r="A1332">
        <v>1842</v>
      </c>
      <c r="B1332">
        <v>144602</v>
      </c>
      <c r="C1332">
        <v>1</v>
      </c>
      <c r="D1332">
        <v>1</v>
      </c>
      <c r="E1332">
        <v>51</v>
      </c>
      <c r="F1332">
        <v>0</v>
      </c>
      <c r="G1332">
        <v>0</v>
      </c>
      <c r="H1332">
        <v>0</v>
      </c>
      <c r="I1332">
        <v>1</v>
      </c>
      <c r="J1332">
        <v>0</v>
      </c>
      <c r="K1332">
        <v>0</v>
      </c>
      <c r="L1332">
        <v>0</v>
      </c>
      <c r="M1332">
        <v>1</v>
      </c>
      <c r="N1332">
        <v>0</v>
      </c>
      <c r="O1332" t="str" cm="1">
        <f t="array" ref="O1332">_xlfn.IFS(Table1[[#This Row],[Divorced]]=1, "Divorced", Table1[[#This Row],[Married]]=1, "Married", Table1[[#This Row],[Single]]=1, "Single", Table1[[#This Row],[Together]]=1, "Together", Table1[[#This Row],[Widow]]=1, "Widow")</f>
        <v>Together</v>
      </c>
      <c r="P1332" t="str" cm="1">
        <f t="array" ref="P1332">_xlfn.IFS(Table1[[#This Row],[Basic]]=1, "Basic", Table1[[#This Row],[Graduate]]=1, "Graduate", Table1[[#This Row],[Master]]=1, "Master", Table1[[#This Row],[PhD]]=1, "PhD", AND(Table1[[#This Row],[Basic]]=0, Table1[[#This Row],[Graduate]]=0, Table1[[#This Row],[Master]]=0, Table1[[#This Row],[PhD]]=0), "NA")</f>
        <v>Master</v>
      </c>
      <c r="Q1332" t="e">
        <f>_xlfn.XLOOKUP(Table1[[#This Row],[ID]], Table2[ID],#REF!, "Not Found", 0)</f>
        <v>#REF!</v>
      </c>
      <c r="R1332" t="e">
        <f>_xlfn.XLOOKUP(Table1[[#This Row],[ID]], Table2[ID],#REF!, "Not Found", 0)</f>
        <v>#REF!</v>
      </c>
      <c r="S1332" s="3" t="str">
        <f>_xlfn.XLOOKUP(Table1[[#This Row],[ID]], Table2[ID], Table2[Enrollment], "Not Found", 0)</f>
        <v>7/22/2020</v>
      </c>
      <c r="T1332" t="s">
        <v>436</v>
      </c>
    </row>
    <row r="1333" spans="1:20" x14ac:dyDescent="0.3">
      <c r="A1333">
        <v>1206</v>
      </c>
      <c r="B1333">
        <v>144551</v>
      </c>
      <c r="C1333">
        <v>0</v>
      </c>
      <c r="D1333">
        <v>1</v>
      </c>
      <c r="E1333">
        <v>66</v>
      </c>
      <c r="F1333">
        <v>0</v>
      </c>
      <c r="G1333">
        <v>0</v>
      </c>
      <c r="H1333">
        <v>0</v>
      </c>
      <c r="I1333">
        <v>0</v>
      </c>
      <c r="J1333">
        <v>1</v>
      </c>
      <c r="K1333">
        <v>0</v>
      </c>
      <c r="L1333">
        <v>0</v>
      </c>
      <c r="M1333">
        <v>1</v>
      </c>
      <c r="N1333">
        <v>0</v>
      </c>
      <c r="O1333" t="str" cm="1">
        <f t="array" ref="O1333">_xlfn.IFS(Table1[[#This Row],[Divorced]]=1, "Divorced", Table1[[#This Row],[Married]]=1, "Married", Table1[[#This Row],[Single]]=1, "Single", Table1[[#This Row],[Together]]=1, "Together", Table1[[#This Row],[Widow]]=1, "Widow")</f>
        <v>Widow</v>
      </c>
      <c r="P1333" t="str" cm="1">
        <f t="array" ref="P1333">_xlfn.IFS(Table1[[#This Row],[Basic]]=1, "Basic", Table1[[#This Row],[Graduate]]=1, "Graduate", Table1[[#This Row],[Master]]=1, "Master", Table1[[#This Row],[PhD]]=1, "PhD", AND(Table1[[#This Row],[Basic]]=0, Table1[[#This Row],[Graduate]]=0, Table1[[#This Row],[Master]]=0, Table1[[#This Row],[PhD]]=0), "NA")</f>
        <v>Master</v>
      </c>
      <c r="Q1333" t="e">
        <f>_xlfn.XLOOKUP(Table1[[#This Row],[ID]], Table2[ID],#REF!, "Not Found", 0)</f>
        <v>#REF!</v>
      </c>
      <c r="R1333" t="e">
        <f>_xlfn.XLOOKUP(Table1[[#This Row],[ID]], Table2[ID],#REF!, "Not Found", 0)</f>
        <v>#REF!</v>
      </c>
      <c r="S1333" s="3">
        <f>_xlfn.XLOOKUP(Table1[[#This Row],[ID]], Table2[ID], Table2[Enrollment], "Not Found", 0)</f>
        <v>43953</v>
      </c>
      <c r="T1333" t="s">
        <v>436</v>
      </c>
    </row>
    <row r="1334" spans="1:20" x14ac:dyDescent="0.3">
      <c r="A1334">
        <v>2030</v>
      </c>
      <c r="B1334">
        <v>144529</v>
      </c>
      <c r="C1334">
        <v>0</v>
      </c>
      <c r="D1334">
        <v>1</v>
      </c>
      <c r="E1334">
        <v>54</v>
      </c>
      <c r="F1334">
        <v>0</v>
      </c>
      <c r="G1334">
        <v>1</v>
      </c>
      <c r="H1334">
        <v>0</v>
      </c>
      <c r="I1334">
        <v>0</v>
      </c>
      <c r="J1334">
        <v>0</v>
      </c>
      <c r="K1334">
        <v>0</v>
      </c>
      <c r="L1334">
        <v>1</v>
      </c>
      <c r="M1334">
        <v>0</v>
      </c>
      <c r="N1334">
        <v>0</v>
      </c>
      <c r="O1334" t="str" cm="1">
        <f t="array" ref="O1334">_xlfn.IFS(Table1[[#This Row],[Divorced]]=1, "Divorced", Table1[[#This Row],[Married]]=1, "Married", Table1[[#This Row],[Single]]=1, "Single", Table1[[#This Row],[Together]]=1, "Together", Table1[[#This Row],[Widow]]=1, "Widow")</f>
        <v>Married</v>
      </c>
      <c r="P1334" t="str" cm="1">
        <f t="array" ref="P1334">_xlfn.IFS(Table1[[#This Row],[Basic]]=1, "Basic", Table1[[#This Row],[Graduate]]=1, "Graduate", Table1[[#This Row],[Master]]=1, "Master", Table1[[#This Row],[PhD]]=1, "PhD", AND(Table1[[#This Row],[Basic]]=0, Table1[[#This Row],[Graduate]]=0, Table1[[#This Row],[Master]]=0, Table1[[#This Row],[PhD]]=0), "NA")</f>
        <v>Graduate</v>
      </c>
      <c r="Q1334" t="e">
        <f>_xlfn.XLOOKUP(Table1[[#This Row],[ID]], Table2[ID],#REF!, "Not Found", 0)</f>
        <v>#REF!</v>
      </c>
      <c r="R1334" t="e">
        <f>_xlfn.XLOOKUP(Table1[[#This Row],[ID]], Table2[ID],#REF!, "Not Found", 0)</f>
        <v>#REF!</v>
      </c>
      <c r="S1334" s="3">
        <f>_xlfn.XLOOKUP(Table1[[#This Row],[ID]], Table2[ID], Table2[Enrollment], "Not Found", 0)</f>
        <v>43750</v>
      </c>
      <c r="T1334" t="s">
        <v>438</v>
      </c>
    </row>
    <row r="1335" spans="1:20" x14ac:dyDescent="0.3">
      <c r="A1335">
        <v>2579</v>
      </c>
      <c r="B1335">
        <v>144512</v>
      </c>
      <c r="C1335">
        <v>1</v>
      </c>
      <c r="D1335">
        <v>1</v>
      </c>
      <c r="E1335">
        <v>60</v>
      </c>
      <c r="F1335">
        <v>0</v>
      </c>
      <c r="G1335">
        <v>0</v>
      </c>
      <c r="H1335">
        <v>0</v>
      </c>
      <c r="I1335">
        <v>1</v>
      </c>
      <c r="J1335">
        <v>0</v>
      </c>
      <c r="K1335">
        <v>0</v>
      </c>
      <c r="L1335">
        <v>1</v>
      </c>
      <c r="M1335">
        <v>0</v>
      </c>
      <c r="N1335">
        <v>0</v>
      </c>
      <c r="O1335" t="str" cm="1">
        <f t="array" ref="O1335">_xlfn.IFS(Table1[[#This Row],[Divorced]]=1, "Divorced", Table1[[#This Row],[Married]]=1, "Married", Table1[[#This Row],[Single]]=1, "Single", Table1[[#This Row],[Together]]=1, "Together", Table1[[#This Row],[Widow]]=1, "Widow")</f>
        <v>Together</v>
      </c>
      <c r="P1335" t="str" cm="1">
        <f t="array" ref="P1335">_xlfn.IFS(Table1[[#This Row],[Basic]]=1, "Basic", Table1[[#This Row],[Graduate]]=1, "Graduate", Table1[[#This Row],[Master]]=1, "Master", Table1[[#This Row],[PhD]]=1, "PhD", AND(Table1[[#This Row],[Basic]]=0, Table1[[#This Row],[Graduate]]=0, Table1[[#This Row],[Master]]=0, Table1[[#This Row],[PhD]]=0), "NA")</f>
        <v>Graduate</v>
      </c>
      <c r="Q1335" t="e">
        <f>_xlfn.XLOOKUP(Table1[[#This Row],[ID]], Table2[ID],#REF!, "Not Found", 0)</f>
        <v>#REF!</v>
      </c>
      <c r="R1335" t="e">
        <f>_xlfn.XLOOKUP(Table1[[#This Row],[ID]], Table2[ID],#REF!, "Not Found", 0)</f>
        <v>#REF!</v>
      </c>
      <c r="S1335" s="3">
        <f>_xlfn.XLOOKUP(Table1[[#This Row],[ID]], Table2[ID], Table2[Enrollment], "Not Found", 0)</f>
        <v>43923</v>
      </c>
      <c r="T1335" t="s">
        <v>434</v>
      </c>
    </row>
    <row r="1336" spans="1:20" x14ac:dyDescent="0.3">
      <c r="A1336">
        <v>2380</v>
      </c>
      <c r="B1336">
        <v>144511</v>
      </c>
      <c r="C1336">
        <v>1</v>
      </c>
      <c r="D1336">
        <v>0</v>
      </c>
      <c r="E1336">
        <v>50</v>
      </c>
      <c r="F1336">
        <v>0</v>
      </c>
      <c r="G1336">
        <v>1</v>
      </c>
      <c r="H1336">
        <v>0</v>
      </c>
      <c r="I1336">
        <v>0</v>
      </c>
      <c r="J1336">
        <v>0</v>
      </c>
      <c r="K1336">
        <v>0</v>
      </c>
      <c r="L1336">
        <v>0</v>
      </c>
      <c r="M1336">
        <v>1</v>
      </c>
      <c r="N1336">
        <v>0</v>
      </c>
      <c r="O1336" t="str" cm="1">
        <f t="array" ref="O1336">_xlfn.IFS(Table1[[#This Row],[Divorced]]=1, "Divorced", Table1[[#This Row],[Married]]=1, "Married", Table1[[#This Row],[Single]]=1, "Single", Table1[[#This Row],[Together]]=1, "Together", Table1[[#This Row],[Widow]]=1, "Widow")</f>
        <v>Married</v>
      </c>
      <c r="P1336" t="str" cm="1">
        <f t="array" ref="P1336">_xlfn.IFS(Table1[[#This Row],[Basic]]=1, "Basic", Table1[[#This Row],[Graduate]]=1, "Graduate", Table1[[#This Row],[Master]]=1, "Master", Table1[[#This Row],[PhD]]=1, "PhD", AND(Table1[[#This Row],[Basic]]=0, Table1[[#This Row],[Graduate]]=0, Table1[[#This Row],[Master]]=0, Table1[[#This Row],[PhD]]=0), "NA")</f>
        <v>Master</v>
      </c>
      <c r="Q1336" t="e">
        <f>_xlfn.XLOOKUP(Table1[[#This Row],[ID]], Table2[ID],#REF!, "Not Found", 0)</f>
        <v>#REF!</v>
      </c>
      <c r="R1336" t="e">
        <f>_xlfn.XLOOKUP(Table1[[#This Row],[ID]], Table2[ID],#REF!, "Not Found", 0)</f>
        <v>#REF!</v>
      </c>
      <c r="S1336" s="3" t="str">
        <f>_xlfn.XLOOKUP(Table1[[#This Row],[ID]], Table2[ID], Table2[Enrollment], "Not Found", 0)</f>
        <v>3/19/2019</v>
      </c>
      <c r="T1336" t="s">
        <v>439</v>
      </c>
    </row>
    <row r="1337" spans="1:20" x14ac:dyDescent="0.3">
      <c r="A1337">
        <v>2847</v>
      </c>
      <c r="B1337">
        <v>144503</v>
      </c>
      <c r="C1337">
        <v>1</v>
      </c>
      <c r="D1337">
        <v>1</v>
      </c>
      <c r="E1337">
        <v>48</v>
      </c>
      <c r="F1337">
        <v>0</v>
      </c>
      <c r="G1337">
        <v>0</v>
      </c>
      <c r="H1337">
        <v>1</v>
      </c>
      <c r="I1337">
        <v>0</v>
      </c>
      <c r="J1337">
        <v>0</v>
      </c>
      <c r="K1337">
        <v>0</v>
      </c>
      <c r="L1337">
        <v>1</v>
      </c>
      <c r="M1337">
        <v>0</v>
      </c>
      <c r="N1337">
        <v>0</v>
      </c>
      <c r="O1337" t="str" cm="1">
        <f t="array" ref="O1337">_xlfn.IFS(Table1[[#This Row],[Divorced]]=1, "Divorced", Table1[[#This Row],[Married]]=1, "Married", Table1[[#This Row],[Single]]=1, "Single", Table1[[#This Row],[Together]]=1, "Together", Table1[[#This Row],[Widow]]=1, "Widow")</f>
        <v>Single</v>
      </c>
      <c r="P1337" t="str" cm="1">
        <f t="array" ref="P1337">_xlfn.IFS(Table1[[#This Row],[Basic]]=1, "Basic", Table1[[#This Row],[Graduate]]=1, "Graduate", Table1[[#This Row],[Master]]=1, "Master", Table1[[#This Row],[PhD]]=1, "PhD", AND(Table1[[#This Row],[Basic]]=0, Table1[[#This Row],[Graduate]]=0, Table1[[#This Row],[Master]]=0, Table1[[#This Row],[PhD]]=0), "NA")</f>
        <v>Graduate</v>
      </c>
      <c r="Q1337" t="e">
        <f>_xlfn.XLOOKUP(Table1[[#This Row],[ID]], Table2[ID],#REF!, "Not Found", 0)</f>
        <v>#REF!</v>
      </c>
      <c r="R1337" t="e">
        <f>_xlfn.XLOOKUP(Table1[[#This Row],[ID]], Table2[ID],#REF!, "Not Found", 0)</f>
        <v>#REF!</v>
      </c>
      <c r="S1337" s="3" t="str">
        <f>_xlfn.XLOOKUP(Table1[[#This Row],[ID]], Table2[ID], Table2[Enrollment], "Not Found", 0)</f>
        <v>9/20/2020</v>
      </c>
      <c r="T1337" t="s">
        <v>435</v>
      </c>
    </row>
    <row r="1338" spans="1:20" x14ac:dyDescent="0.3">
      <c r="A1338">
        <v>2211</v>
      </c>
      <c r="B1338">
        <v>144421</v>
      </c>
      <c r="C1338">
        <v>1</v>
      </c>
      <c r="D1338">
        <v>1</v>
      </c>
      <c r="E1338">
        <v>49</v>
      </c>
      <c r="F1338">
        <v>1</v>
      </c>
      <c r="G1338">
        <v>0</v>
      </c>
      <c r="H1338">
        <v>0</v>
      </c>
      <c r="I1338">
        <v>0</v>
      </c>
      <c r="J1338">
        <v>0</v>
      </c>
      <c r="K1338">
        <v>0</v>
      </c>
      <c r="L1338">
        <v>1</v>
      </c>
      <c r="M1338">
        <v>0</v>
      </c>
      <c r="N1338">
        <v>0</v>
      </c>
      <c r="O1338" t="str" cm="1">
        <f t="array" ref="O1338">_xlfn.IFS(Table1[[#This Row],[Divorced]]=1, "Divorced", Table1[[#This Row],[Married]]=1, "Married", Table1[[#This Row],[Single]]=1, "Single", Table1[[#This Row],[Together]]=1, "Together", Table1[[#This Row],[Widow]]=1, "Widow")</f>
        <v>Divorced</v>
      </c>
      <c r="P1338" t="str" cm="1">
        <f t="array" ref="P1338">_xlfn.IFS(Table1[[#This Row],[Basic]]=1, "Basic", Table1[[#This Row],[Graduate]]=1, "Graduate", Table1[[#This Row],[Master]]=1, "Master", Table1[[#This Row],[PhD]]=1, "PhD", AND(Table1[[#This Row],[Basic]]=0, Table1[[#This Row],[Graduate]]=0, Table1[[#This Row],[Master]]=0, Table1[[#This Row],[PhD]]=0), "NA")</f>
        <v>Graduate</v>
      </c>
      <c r="Q1338" t="e">
        <f>_xlfn.XLOOKUP(Table1[[#This Row],[ID]], Table2[ID],#REF!, "Not Found", 0)</f>
        <v>#REF!</v>
      </c>
      <c r="R1338" t="e">
        <f>_xlfn.XLOOKUP(Table1[[#This Row],[ID]], Table2[ID],#REF!, "Not Found", 0)</f>
        <v>#REF!</v>
      </c>
      <c r="S1338" s="3" t="str">
        <f>_xlfn.XLOOKUP(Table1[[#This Row],[ID]], Table2[ID], Table2[Enrollment], "Not Found", 0)</f>
        <v>7/23/2019</v>
      </c>
      <c r="T1338" t="s">
        <v>435</v>
      </c>
    </row>
    <row r="1339" spans="1:20" x14ac:dyDescent="0.3">
      <c r="A1339">
        <v>2167</v>
      </c>
      <c r="B1339">
        <v>144393</v>
      </c>
      <c r="C1339">
        <v>1</v>
      </c>
      <c r="D1339">
        <v>1</v>
      </c>
      <c r="E1339">
        <v>55</v>
      </c>
      <c r="F1339">
        <v>0</v>
      </c>
      <c r="G1339">
        <v>1</v>
      </c>
      <c r="H1339">
        <v>0</v>
      </c>
      <c r="I1339">
        <v>0</v>
      </c>
      <c r="J1339">
        <v>0</v>
      </c>
      <c r="K1339">
        <v>0</v>
      </c>
      <c r="L1339">
        <v>1</v>
      </c>
      <c r="M1339">
        <v>0</v>
      </c>
      <c r="N1339">
        <v>0</v>
      </c>
      <c r="O1339" t="str" cm="1">
        <f t="array" ref="O1339">_xlfn.IFS(Table1[[#This Row],[Divorced]]=1, "Divorced", Table1[[#This Row],[Married]]=1, "Married", Table1[[#This Row],[Single]]=1, "Single", Table1[[#This Row],[Together]]=1, "Together", Table1[[#This Row],[Widow]]=1, "Widow")</f>
        <v>Married</v>
      </c>
      <c r="P1339" t="str" cm="1">
        <f t="array" ref="P1339">_xlfn.IFS(Table1[[#This Row],[Basic]]=1, "Basic", Table1[[#This Row],[Graduate]]=1, "Graduate", Table1[[#This Row],[Master]]=1, "Master", Table1[[#This Row],[PhD]]=1, "PhD", AND(Table1[[#This Row],[Basic]]=0, Table1[[#This Row],[Graduate]]=0, Table1[[#This Row],[Master]]=0, Table1[[#This Row],[PhD]]=0), "NA")</f>
        <v>Graduate</v>
      </c>
      <c r="Q1339" t="e">
        <f>_xlfn.XLOOKUP(Table1[[#This Row],[ID]], Table2[ID],#REF!, "Not Found", 0)</f>
        <v>#REF!</v>
      </c>
      <c r="R1339" t="e">
        <f>_xlfn.XLOOKUP(Table1[[#This Row],[ID]], Table2[ID],#REF!, "Not Found", 0)</f>
        <v>#REF!</v>
      </c>
      <c r="S1339" s="3" t="str">
        <f>_xlfn.XLOOKUP(Table1[[#This Row],[ID]], Table2[ID], Table2[Enrollment], "Not Found", 0)</f>
        <v>1/27/2020</v>
      </c>
      <c r="T1339" t="s">
        <v>437</v>
      </c>
    </row>
    <row r="1340" spans="1:20" x14ac:dyDescent="0.3">
      <c r="A1340">
        <v>2693</v>
      </c>
      <c r="B1340">
        <v>144392</v>
      </c>
      <c r="C1340">
        <v>1</v>
      </c>
      <c r="D1340">
        <v>1</v>
      </c>
      <c r="E1340">
        <v>46</v>
      </c>
      <c r="F1340">
        <v>0</v>
      </c>
      <c r="G1340">
        <v>0</v>
      </c>
      <c r="H1340">
        <v>0</v>
      </c>
      <c r="I1340">
        <v>1</v>
      </c>
      <c r="J1340">
        <v>0</v>
      </c>
      <c r="K1340">
        <v>0</v>
      </c>
      <c r="L1340">
        <v>1</v>
      </c>
      <c r="M1340">
        <v>0</v>
      </c>
      <c r="N1340">
        <v>0</v>
      </c>
      <c r="O1340" t="str" cm="1">
        <f t="array" ref="O1340">_xlfn.IFS(Table1[[#This Row],[Divorced]]=1, "Divorced", Table1[[#This Row],[Married]]=1, "Married", Table1[[#This Row],[Single]]=1, "Single", Table1[[#This Row],[Together]]=1, "Together", Table1[[#This Row],[Widow]]=1, "Widow")</f>
        <v>Together</v>
      </c>
      <c r="P1340" t="str" cm="1">
        <f t="array" ref="P1340">_xlfn.IFS(Table1[[#This Row],[Basic]]=1, "Basic", Table1[[#This Row],[Graduate]]=1, "Graduate", Table1[[#This Row],[Master]]=1, "Master", Table1[[#This Row],[PhD]]=1, "PhD", AND(Table1[[#This Row],[Basic]]=0, Table1[[#This Row],[Graduate]]=0, Table1[[#This Row],[Master]]=0, Table1[[#This Row],[PhD]]=0), "NA")</f>
        <v>Graduate</v>
      </c>
      <c r="Q1340" t="e">
        <f>_xlfn.XLOOKUP(Table1[[#This Row],[ID]], Table2[ID],#REF!, "Not Found", 0)</f>
        <v>#REF!</v>
      </c>
      <c r="R1340" t="e">
        <f>_xlfn.XLOOKUP(Table1[[#This Row],[ID]], Table2[ID],#REF!, "Not Found", 0)</f>
        <v>#REF!</v>
      </c>
      <c r="S1340" s="3">
        <f>_xlfn.XLOOKUP(Table1[[#This Row],[ID]], Table2[ID], Table2[Enrollment], "Not Found", 0)</f>
        <v>44106</v>
      </c>
      <c r="T1340" t="s">
        <v>434</v>
      </c>
    </row>
    <row r="1341" spans="1:20" x14ac:dyDescent="0.3">
      <c r="A1341">
        <v>1200</v>
      </c>
      <c r="B1341">
        <v>144377</v>
      </c>
      <c r="C1341">
        <v>1</v>
      </c>
      <c r="D1341">
        <v>1</v>
      </c>
      <c r="E1341">
        <v>52</v>
      </c>
      <c r="F1341">
        <v>0</v>
      </c>
      <c r="G1341">
        <v>1</v>
      </c>
      <c r="H1341">
        <v>0</v>
      </c>
      <c r="I1341">
        <v>0</v>
      </c>
      <c r="J1341">
        <v>0</v>
      </c>
      <c r="K1341">
        <v>0</v>
      </c>
      <c r="L1341">
        <v>0</v>
      </c>
      <c r="M1341">
        <v>0</v>
      </c>
      <c r="N1341">
        <v>1</v>
      </c>
      <c r="O1341" t="str" cm="1">
        <f t="array" ref="O1341">_xlfn.IFS(Table1[[#This Row],[Divorced]]=1, "Divorced", Table1[[#This Row],[Married]]=1, "Married", Table1[[#This Row],[Single]]=1, "Single", Table1[[#This Row],[Together]]=1, "Together", Table1[[#This Row],[Widow]]=1, "Widow")</f>
        <v>Married</v>
      </c>
      <c r="P1341" t="str" cm="1">
        <f t="array" ref="P1341">_xlfn.IFS(Table1[[#This Row],[Basic]]=1, "Basic", Table1[[#This Row],[Graduate]]=1, "Graduate", Table1[[#This Row],[Master]]=1, "Master", Table1[[#This Row],[PhD]]=1, "PhD", AND(Table1[[#This Row],[Basic]]=0, Table1[[#This Row],[Graduate]]=0, Table1[[#This Row],[Master]]=0, Table1[[#This Row],[PhD]]=0), "NA")</f>
        <v>PhD</v>
      </c>
      <c r="Q1341" t="e">
        <f>_xlfn.XLOOKUP(Table1[[#This Row],[ID]], Table2[ID],#REF!, "Not Found", 0)</f>
        <v>#REF!</v>
      </c>
      <c r="R1341" t="e">
        <f>_xlfn.XLOOKUP(Table1[[#This Row],[ID]], Table2[ID],#REF!, "Not Found", 0)</f>
        <v>#REF!</v>
      </c>
      <c r="S1341" s="3">
        <f>_xlfn.XLOOKUP(Table1[[#This Row],[ID]], Table2[ID], Table2[Enrollment], "Not Found", 0)</f>
        <v>43802</v>
      </c>
      <c r="T1341" t="s">
        <v>436</v>
      </c>
    </row>
    <row r="1342" spans="1:20" x14ac:dyDescent="0.3">
      <c r="A1342">
        <v>2141</v>
      </c>
      <c r="B1342">
        <v>144375</v>
      </c>
      <c r="C1342">
        <v>0</v>
      </c>
      <c r="D1342">
        <v>1</v>
      </c>
      <c r="E1342">
        <v>55</v>
      </c>
      <c r="F1342">
        <v>0</v>
      </c>
      <c r="G1342">
        <v>1</v>
      </c>
      <c r="H1342">
        <v>0</v>
      </c>
      <c r="I1342">
        <v>0</v>
      </c>
      <c r="J1342">
        <v>0</v>
      </c>
      <c r="K1342">
        <v>0</v>
      </c>
      <c r="L1342">
        <v>1</v>
      </c>
      <c r="M1342">
        <v>0</v>
      </c>
      <c r="N1342">
        <v>0</v>
      </c>
      <c r="O1342" t="str" cm="1">
        <f t="array" ref="O1342">_xlfn.IFS(Table1[[#This Row],[Divorced]]=1, "Divorced", Table1[[#This Row],[Married]]=1, "Married", Table1[[#This Row],[Single]]=1, "Single", Table1[[#This Row],[Together]]=1, "Together", Table1[[#This Row],[Widow]]=1, "Widow")</f>
        <v>Married</v>
      </c>
      <c r="P1342" t="str" cm="1">
        <f t="array" ref="P1342">_xlfn.IFS(Table1[[#This Row],[Basic]]=1, "Basic", Table1[[#This Row],[Graduate]]=1, "Graduate", Table1[[#This Row],[Master]]=1, "Master", Table1[[#This Row],[PhD]]=1, "PhD", AND(Table1[[#This Row],[Basic]]=0, Table1[[#This Row],[Graduate]]=0, Table1[[#This Row],[Master]]=0, Table1[[#This Row],[PhD]]=0), "NA")</f>
        <v>Graduate</v>
      </c>
      <c r="Q1342" t="e">
        <f>_xlfn.XLOOKUP(Table1[[#This Row],[ID]], Table2[ID],#REF!, "Not Found", 0)</f>
        <v>#REF!</v>
      </c>
      <c r="R1342" t="e">
        <f>_xlfn.XLOOKUP(Table1[[#This Row],[ID]], Table2[ID],#REF!, "Not Found", 0)</f>
        <v>#REF!</v>
      </c>
      <c r="S1342" s="3" t="str">
        <f>_xlfn.XLOOKUP(Table1[[#This Row],[ID]], Table2[ID], Table2[Enrollment], "Not Found", 0)</f>
        <v>8/27/2020</v>
      </c>
      <c r="T1342" t="s">
        <v>434</v>
      </c>
    </row>
    <row r="1343" spans="1:20" x14ac:dyDescent="0.3">
      <c r="A1343">
        <v>2937</v>
      </c>
      <c r="B1343">
        <v>144359</v>
      </c>
      <c r="C1343">
        <v>1</v>
      </c>
      <c r="D1343">
        <v>1</v>
      </c>
      <c r="E1343">
        <v>42</v>
      </c>
      <c r="F1343">
        <v>0</v>
      </c>
      <c r="G1343">
        <v>1</v>
      </c>
      <c r="H1343">
        <v>0</v>
      </c>
      <c r="I1343">
        <v>0</v>
      </c>
      <c r="J1343">
        <v>0</v>
      </c>
      <c r="K1343">
        <v>0</v>
      </c>
      <c r="L1343">
        <v>1</v>
      </c>
      <c r="M1343">
        <v>0</v>
      </c>
      <c r="N1343">
        <v>0</v>
      </c>
      <c r="O1343" t="str" cm="1">
        <f t="array" ref="O1343">_xlfn.IFS(Table1[[#This Row],[Divorced]]=1, "Divorced", Table1[[#This Row],[Married]]=1, "Married", Table1[[#This Row],[Single]]=1, "Single", Table1[[#This Row],[Together]]=1, "Together", Table1[[#This Row],[Widow]]=1, "Widow")</f>
        <v>Married</v>
      </c>
      <c r="P1343" t="str" cm="1">
        <f t="array" ref="P1343">_xlfn.IFS(Table1[[#This Row],[Basic]]=1, "Basic", Table1[[#This Row],[Graduate]]=1, "Graduate", Table1[[#This Row],[Master]]=1, "Master", Table1[[#This Row],[PhD]]=1, "PhD", AND(Table1[[#This Row],[Basic]]=0, Table1[[#This Row],[Graduate]]=0, Table1[[#This Row],[Master]]=0, Table1[[#This Row],[PhD]]=0), "NA")</f>
        <v>Graduate</v>
      </c>
      <c r="Q1343" t="e">
        <f>_xlfn.XLOOKUP(Table1[[#This Row],[ID]], Table2[ID],#REF!, "Not Found", 0)</f>
        <v>#REF!</v>
      </c>
      <c r="R1343" t="e">
        <f>_xlfn.XLOOKUP(Table1[[#This Row],[ID]], Table2[ID],#REF!, "Not Found", 0)</f>
        <v>#REF!</v>
      </c>
      <c r="S1343" s="3" t="str">
        <f>_xlfn.XLOOKUP(Table1[[#This Row],[ID]], Table2[ID], Table2[Enrollment], "Not Found", 0)</f>
        <v>11/21/2020</v>
      </c>
      <c r="T1343" t="s">
        <v>435</v>
      </c>
    </row>
    <row r="1344" spans="1:20" x14ac:dyDescent="0.3">
      <c r="A1344">
        <v>3149</v>
      </c>
      <c r="B1344">
        <v>144325</v>
      </c>
      <c r="C1344">
        <v>0</v>
      </c>
      <c r="D1344">
        <v>1</v>
      </c>
      <c r="E1344">
        <v>48</v>
      </c>
      <c r="F1344">
        <v>0</v>
      </c>
      <c r="G1344">
        <v>1</v>
      </c>
      <c r="H1344">
        <v>0</v>
      </c>
      <c r="I1344">
        <v>0</v>
      </c>
      <c r="J1344">
        <v>0</v>
      </c>
      <c r="K1344">
        <v>0</v>
      </c>
      <c r="L1344">
        <v>0</v>
      </c>
      <c r="M1344">
        <v>0</v>
      </c>
      <c r="N1344">
        <v>1</v>
      </c>
      <c r="O1344" t="str" cm="1">
        <f t="array" ref="O1344">_xlfn.IFS(Table1[[#This Row],[Divorced]]=1, "Divorced", Table1[[#This Row],[Married]]=1, "Married", Table1[[#This Row],[Single]]=1, "Single", Table1[[#This Row],[Together]]=1, "Together", Table1[[#This Row],[Widow]]=1, "Widow")</f>
        <v>Married</v>
      </c>
      <c r="P1344" t="str" cm="1">
        <f t="array" ref="P1344">_xlfn.IFS(Table1[[#This Row],[Basic]]=1, "Basic", Table1[[#This Row],[Graduate]]=1, "Graduate", Table1[[#This Row],[Master]]=1, "Master", Table1[[#This Row],[PhD]]=1, "PhD", AND(Table1[[#This Row],[Basic]]=0, Table1[[#This Row],[Graduate]]=0, Table1[[#This Row],[Master]]=0, Table1[[#This Row],[PhD]]=0), "NA")</f>
        <v>PhD</v>
      </c>
      <c r="Q1344" t="e">
        <f>_xlfn.XLOOKUP(Table1[[#This Row],[ID]], Table2[ID],#REF!, "Not Found", 0)</f>
        <v>#REF!</v>
      </c>
      <c r="R1344" t="e">
        <f>_xlfn.XLOOKUP(Table1[[#This Row],[ID]], Table2[ID],#REF!, "Not Found", 0)</f>
        <v>#REF!</v>
      </c>
      <c r="S1344" s="3">
        <f>_xlfn.XLOOKUP(Table1[[#This Row],[ID]], Table2[ID], Table2[Enrollment], "Not Found", 0)</f>
        <v>43807</v>
      </c>
      <c r="T1344" t="s">
        <v>434</v>
      </c>
    </row>
    <row r="1345" spans="1:20" x14ac:dyDescent="0.3">
      <c r="A1345">
        <v>2540</v>
      </c>
      <c r="B1345">
        <v>144322</v>
      </c>
      <c r="C1345">
        <v>1</v>
      </c>
      <c r="D1345">
        <v>0</v>
      </c>
      <c r="E1345">
        <v>35</v>
      </c>
      <c r="F1345">
        <v>0</v>
      </c>
      <c r="G1345">
        <v>1</v>
      </c>
      <c r="H1345">
        <v>0</v>
      </c>
      <c r="I1345">
        <v>0</v>
      </c>
      <c r="J1345">
        <v>0</v>
      </c>
      <c r="K1345">
        <v>0</v>
      </c>
      <c r="L1345">
        <v>1</v>
      </c>
      <c r="M1345">
        <v>0</v>
      </c>
      <c r="N1345">
        <v>0</v>
      </c>
      <c r="O1345" t="str" cm="1">
        <f t="array" ref="O1345">_xlfn.IFS(Table1[[#This Row],[Divorced]]=1, "Divorced", Table1[[#This Row],[Married]]=1, "Married", Table1[[#This Row],[Single]]=1, "Single", Table1[[#This Row],[Together]]=1, "Together", Table1[[#This Row],[Widow]]=1, "Widow")</f>
        <v>Married</v>
      </c>
      <c r="P1345" t="str" cm="1">
        <f t="array" ref="P1345">_xlfn.IFS(Table1[[#This Row],[Basic]]=1, "Basic", Table1[[#This Row],[Graduate]]=1, "Graduate", Table1[[#This Row],[Master]]=1, "Master", Table1[[#This Row],[PhD]]=1, "PhD", AND(Table1[[#This Row],[Basic]]=0, Table1[[#This Row],[Graduate]]=0, Table1[[#This Row],[Master]]=0, Table1[[#This Row],[PhD]]=0), "NA")</f>
        <v>Graduate</v>
      </c>
      <c r="Q1345" t="e">
        <f>_xlfn.XLOOKUP(Table1[[#This Row],[ID]], Table2[ID],#REF!, "Not Found", 0)</f>
        <v>#REF!</v>
      </c>
      <c r="R1345" t="e">
        <f>_xlfn.XLOOKUP(Table1[[#This Row],[ID]], Table2[ID],#REF!, "Not Found", 0)</f>
        <v>#REF!</v>
      </c>
      <c r="S1345" s="3" t="str">
        <f>_xlfn.XLOOKUP(Table1[[#This Row],[ID]], Table2[ID], Table2[Enrollment], "Not Found", 0)</f>
        <v>11/20/2020</v>
      </c>
      <c r="T1345" t="s">
        <v>438</v>
      </c>
    </row>
    <row r="1346" spans="1:20" x14ac:dyDescent="0.3">
      <c r="A1346">
        <v>1271</v>
      </c>
      <c r="B1346">
        <v>144319</v>
      </c>
      <c r="C1346">
        <v>1</v>
      </c>
      <c r="D1346">
        <v>1</v>
      </c>
      <c r="E1346">
        <v>45</v>
      </c>
      <c r="F1346">
        <v>0</v>
      </c>
      <c r="G1346">
        <v>1</v>
      </c>
      <c r="H1346">
        <v>0</v>
      </c>
      <c r="I1346">
        <v>0</v>
      </c>
      <c r="J1346">
        <v>0</v>
      </c>
      <c r="K1346">
        <v>0</v>
      </c>
      <c r="L1346">
        <v>0</v>
      </c>
      <c r="M1346">
        <v>1</v>
      </c>
      <c r="N1346">
        <v>0</v>
      </c>
      <c r="O1346" t="str" cm="1">
        <f t="array" ref="O1346">_xlfn.IFS(Table1[[#This Row],[Divorced]]=1, "Divorced", Table1[[#This Row],[Married]]=1, "Married", Table1[[#This Row],[Single]]=1, "Single", Table1[[#This Row],[Together]]=1, "Together", Table1[[#This Row],[Widow]]=1, "Widow")</f>
        <v>Married</v>
      </c>
      <c r="P1346" t="str" cm="1">
        <f t="array" ref="P1346">_xlfn.IFS(Table1[[#This Row],[Basic]]=1, "Basic", Table1[[#This Row],[Graduate]]=1, "Graduate", Table1[[#This Row],[Master]]=1, "Master", Table1[[#This Row],[PhD]]=1, "PhD", AND(Table1[[#This Row],[Basic]]=0, Table1[[#This Row],[Graduate]]=0, Table1[[#This Row],[Master]]=0, Table1[[#This Row],[PhD]]=0), "NA")</f>
        <v>Master</v>
      </c>
      <c r="Q1346" t="e">
        <f>_xlfn.XLOOKUP(Table1[[#This Row],[ID]], Table2[ID],#REF!, "Not Found", 0)</f>
        <v>#REF!</v>
      </c>
      <c r="R1346" t="e">
        <f>_xlfn.XLOOKUP(Table1[[#This Row],[ID]], Table2[ID],#REF!, "Not Found", 0)</f>
        <v>#REF!</v>
      </c>
      <c r="S1346" s="3" t="str">
        <f>_xlfn.XLOOKUP(Table1[[#This Row],[ID]], Table2[ID], Table2[Enrollment], "Not Found", 0)</f>
        <v>9/21/2020</v>
      </c>
      <c r="T1346" t="s">
        <v>434</v>
      </c>
    </row>
    <row r="1347" spans="1:20" x14ac:dyDescent="0.3">
      <c r="A1347">
        <v>1330</v>
      </c>
      <c r="B1347">
        <v>144300</v>
      </c>
      <c r="C1347">
        <v>1</v>
      </c>
      <c r="D1347">
        <v>1</v>
      </c>
      <c r="E1347">
        <v>55</v>
      </c>
      <c r="F1347">
        <v>0</v>
      </c>
      <c r="G1347">
        <v>1</v>
      </c>
      <c r="H1347">
        <v>0</v>
      </c>
      <c r="I1347">
        <v>0</v>
      </c>
      <c r="J1347">
        <v>0</v>
      </c>
      <c r="K1347">
        <v>0</v>
      </c>
      <c r="L1347">
        <v>1</v>
      </c>
      <c r="M1347">
        <v>0</v>
      </c>
      <c r="N1347">
        <v>0</v>
      </c>
      <c r="O1347" t="str" cm="1">
        <f t="array" ref="O1347">_xlfn.IFS(Table1[[#This Row],[Divorced]]=1, "Divorced", Table1[[#This Row],[Married]]=1, "Married", Table1[[#This Row],[Single]]=1, "Single", Table1[[#This Row],[Together]]=1, "Together", Table1[[#This Row],[Widow]]=1, "Widow")</f>
        <v>Married</v>
      </c>
      <c r="P1347" t="str" cm="1">
        <f t="array" ref="P1347">_xlfn.IFS(Table1[[#This Row],[Basic]]=1, "Basic", Table1[[#This Row],[Graduate]]=1, "Graduate", Table1[[#This Row],[Master]]=1, "Master", Table1[[#This Row],[PhD]]=1, "PhD", AND(Table1[[#This Row],[Basic]]=0, Table1[[#This Row],[Graduate]]=0, Table1[[#This Row],[Master]]=0, Table1[[#This Row],[PhD]]=0), "NA")</f>
        <v>Graduate</v>
      </c>
      <c r="Q1347" t="e">
        <f>_xlfn.XLOOKUP(Table1[[#This Row],[ID]], Table2[ID],#REF!, "Not Found", 0)</f>
        <v>#REF!</v>
      </c>
      <c r="R1347" t="e">
        <f>_xlfn.XLOOKUP(Table1[[#This Row],[ID]], Table2[ID],#REF!, "Not Found", 0)</f>
        <v>#REF!</v>
      </c>
      <c r="S1347" s="3" t="str">
        <f>_xlfn.XLOOKUP(Table1[[#This Row],[ID]], Table2[ID], Table2[Enrollment], "Not Found", 0)</f>
        <v>11/28/2019</v>
      </c>
      <c r="T1347" t="s">
        <v>439</v>
      </c>
    </row>
    <row r="1348" spans="1:20" x14ac:dyDescent="0.3">
      <c r="A1348">
        <v>2283</v>
      </c>
      <c r="B1348">
        <v>144267</v>
      </c>
      <c r="C1348">
        <v>1</v>
      </c>
      <c r="D1348">
        <v>1</v>
      </c>
      <c r="E1348">
        <v>50</v>
      </c>
      <c r="F1348">
        <v>1</v>
      </c>
      <c r="G1348">
        <v>0</v>
      </c>
      <c r="H1348">
        <v>0</v>
      </c>
      <c r="I1348">
        <v>0</v>
      </c>
      <c r="J1348">
        <v>0</v>
      </c>
      <c r="K1348">
        <v>0</v>
      </c>
      <c r="L1348">
        <v>1</v>
      </c>
      <c r="M1348">
        <v>0</v>
      </c>
      <c r="N1348">
        <v>0</v>
      </c>
      <c r="O1348" t="str" cm="1">
        <f t="array" ref="O1348">_xlfn.IFS(Table1[[#This Row],[Divorced]]=1, "Divorced", Table1[[#This Row],[Married]]=1, "Married", Table1[[#This Row],[Single]]=1, "Single", Table1[[#This Row],[Together]]=1, "Together", Table1[[#This Row],[Widow]]=1, "Widow")</f>
        <v>Divorced</v>
      </c>
      <c r="P1348" t="str" cm="1">
        <f t="array" ref="P1348">_xlfn.IFS(Table1[[#This Row],[Basic]]=1, "Basic", Table1[[#This Row],[Graduate]]=1, "Graduate", Table1[[#This Row],[Master]]=1, "Master", Table1[[#This Row],[PhD]]=1, "PhD", AND(Table1[[#This Row],[Basic]]=0, Table1[[#This Row],[Graduate]]=0, Table1[[#This Row],[Master]]=0, Table1[[#This Row],[PhD]]=0), "NA")</f>
        <v>Graduate</v>
      </c>
      <c r="Q1348" t="e">
        <f>_xlfn.XLOOKUP(Table1[[#This Row],[ID]], Table2[ID],#REF!, "Not Found", 0)</f>
        <v>#REF!</v>
      </c>
      <c r="R1348" t="e">
        <f>_xlfn.XLOOKUP(Table1[[#This Row],[ID]], Table2[ID],#REF!, "Not Found", 0)</f>
        <v>#REF!</v>
      </c>
      <c r="S1348" s="3">
        <f>_xlfn.XLOOKUP(Table1[[#This Row],[ID]], Table2[ID], Table2[Enrollment], "Not Found", 0)</f>
        <v>43504</v>
      </c>
      <c r="T1348" t="s">
        <v>435</v>
      </c>
    </row>
    <row r="1349" spans="1:20" x14ac:dyDescent="0.3">
      <c r="A1349">
        <v>2220</v>
      </c>
      <c r="B1349">
        <v>144213</v>
      </c>
      <c r="C1349">
        <v>1</v>
      </c>
      <c r="D1349">
        <v>1</v>
      </c>
      <c r="E1349">
        <v>68</v>
      </c>
      <c r="F1349">
        <v>0</v>
      </c>
      <c r="G1349">
        <v>0</v>
      </c>
      <c r="H1349">
        <v>1</v>
      </c>
      <c r="I1349">
        <v>0</v>
      </c>
      <c r="J1349">
        <v>0</v>
      </c>
      <c r="K1349">
        <v>0</v>
      </c>
      <c r="L1349">
        <v>1</v>
      </c>
      <c r="M1349">
        <v>0</v>
      </c>
      <c r="N1349">
        <v>0</v>
      </c>
      <c r="O1349" t="str" cm="1">
        <f t="array" ref="O1349">_xlfn.IFS(Table1[[#This Row],[Divorced]]=1, "Divorced", Table1[[#This Row],[Married]]=1, "Married", Table1[[#This Row],[Single]]=1, "Single", Table1[[#This Row],[Together]]=1, "Together", Table1[[#This Row],[Widow]]=1, "Widow")</f>
        <v>Single</v>
      </c>
      <c r="P1349" t="str" cm="1">
        <f t="array" ref="P1349">_xlfn.IFS(Table1[[#This Row],[Basic]]=1, "Basic", Table1[[#This Row],[Graduate]]=1, "Graduate", Table1[[#This Row],[Master]]=1, "Master", Table1[[#This Row],[PhD]]=1, "PhD", AND(Table1[[#This Row],[Basic]]=0, Table1[[#This Row],[Graduate]]=0, Table1[[#This Row],[Master]]=0, Table1[[#This Row],[PhD]]=0), "NA")</f>
        <v>Graduate</v>
      </c>
      <c r="Q1349" t="e">
        <f>_xlfn.XLOOKUP(Table1[[#This Row],[ID]], Table2[ID],#REF!, "Not Found", 0)</f>
        <v>#REF!</v>
      </c>
      <c r="R1349" t="e">
        <f>_xlfn.XLOOKUP(Table1[[#This Row],[ID]], Table2[ID],#REF!, "Not Found", 0)</f>
        <v>#REF!</v>
      </c>
      <c r="S1349" s="3">
        <f>_xlfn.XLOOKUP(Table1[[#This Row],[ID]], Table2[ID], Table2[Enrollment], "Not Found", 0)</f>
        <v>43956</v>
      </c>
      <c r="T1349" t="s">
        <v>436</v>
      </c>
    </row>
    <row r="1350" spans="1:20" x14ac:dyDescent="0.3">
      <c r="A1350">
        <v>1249</v>
      </c>
      <c r="B1350">
        <v>144159</v>
      </c>
      <c r="C1350">
        <v>1</v>
      </c>
      <c r="D1350">
        <v>0</v>
      </c>
      <c r="E1350">
        <v>50</v>
      </c>
      <c r="F1350">
        <v>0</v>
      </c>
      <c r="G1350">
        <v>1</v>
      </c>
      <c r="H1350">
        <v>0</v>
      </c>
      <c r="I1350">
        <v>0</v>
      </c>
      <c r="J1350">
        <v>0</v>
      </c>
      <c r="K1350">
        <v>0</v>
      </c>
      <c r="L1350">
        <v>0</v>
      </c>
      <c r="M1350">
        <v>1</v>
      </c>
      <c r="N1350">
        <v>0</v>
      </c>
      <c r="O1350" t="str" cm="1">
        <f t="array" ref="O1350">_xlfn.IFS(Table1[[#This Row],[Divorced]]=1, "Divorced", Table1[[#This Row],[Married]]=1, "Married", Table1[[#This Row],[Single]]=1, "Single", Table1[[#This Row],[Together]]=1, "Together", Table1[[#This Row],[Widow]]=1, "Widow")</f>
        <v>Married</v>
      </c>
      <c r="P1350" t="str" cm="1">
        <f t="array" ref="P1350">_xlfn.IFS(Table1[[#This Row],[Basic]]=1, "Basic", Table1[[#This Row],[Graduate]]=1, "Graduate", Table1[[#This Row],[Master]]=1, "Master", Table1[[#This Row],[PhD]]=1, "PhD", AND(Table1[[#This Row],[Basic]]=0, Table1[[#This Row],[Graduate]]=0, Table1[[#This Row],[Master]]=0, Table1[[#This Row],[PhD]]=0), "NA")</f>
        <v>Master</v>
      </c>
      <c r="Q1350" t="e">
        <f>_xlfn.XLOOKUP(Table1[[#This Row],[ID]], Table2[ID],#REF!, "Not Found", 0)</f>
        <v>#REF!</v>
      </c>
      <c r="R1350" t="e">
        <f>_xlfn.XLOOKUP(Table1[[#This Row],[ID]], Table2[ID],#REF!, "Not Found", 0)</f>
        <v>#REF!</v>
      </c>
      <c r="S1350" s="3" t="str">
        <f>_xlfn.XLOOKUP(Table1[[#This Row],[ID]], Table2[ID], Table2[Enrollment], "Not Found", 0)</f>
        <v>11/21/2020</v>
      </c>
      <c r="T1350" t="s">
        <v>437</v>
      </c>
    </row>
    <row r="1351" spans="1:20" x14ac:dyDescent="0.3">
      <c r="A1351">
        <v>2861</v>
      </c>
      <c r="B1351">
        <v>144155</v>
      </c>
      <c r="C1351">
        <v>1</v>
      </c>
      <c r="D1351">
        <v>1</v>
      </c>
      <c r="E1351">
        <v>63</v>
      </c>
      <c r="F1351">
        <v>0</v>
      </c>
      <c r="G1351">
        <v>1</v>
      </c>
      <c r="H1351">
        <v>0</v>
      </c>
      <c r="I1351">
        <v>0</v>
      </c>
      <c r="J1351">
        <v>0</v>
      </c>
      <c r="K1351">
        <v>0</v>
      </c>
      <c r="L1351">
        <v>0</v>
      </c>
      <c r="M1351">
        <v>0</v>
      </c>
      <c r="N1351">
        <v>1</v>
      </c>
      <c r="O1351" t="str" cm="1">
        <f t="array" ref="O1351">_xlfn.IFS(Table1[[#This Row],[Divorced]]=1, "Divorced", Table1[[#This Row],[Married]]=1, "Married", Table1[[#This Row],[Single]]=1, "Single", Table1[[#This Row],[Together]]=1, "Together", Table1[[#This Row],[Widow]]=1, "Widow")</f>
        <v>Married</v>
      </c>
      <c r="P1351" t="str" cm="1">
        <f t="array" ref="P1351">_xlfn.IFS(Table1[[#This Row],[Basic]]=1, "Basic", Table1[[#This Row],[Graduate]]=1, "Graduate", Table1[[#This Row],[Master]]=1, "Master", Table1[[#This Row],[PhD]]=1, "PhD", AND(Table1[[#This Row],[Basic]]=0, Table1[[#This Row],[Graduate]]=0, Table1[[#This Row],[Master]]=0, Table1[[#This Row],[PhD]]=0), "NA")</f>
        <v>PhD</v>
      </c>
      <c r="Q1351" t="e">
        <f>_xlfn.XLOOKUP(Table1[[#This Row],[ID]], Table2[ID],#REF!, "Not Found", 0)</f>
        <v>#REF!</v>
      </c>
      <c r="R1351" t="e">
        <f>_xlfn.XLOOKUP(Table1[[#This Row],[ID]], Table2[ID],#REF!, "Not Found", 0)</f>
        <v>#REF!</v>
      </c>
      <c r="S1351" s="3" t="str">
        <f>_xlfn.XLOOKUP(Table1[[#This Row],[ID]], Table2[ID], Table2[Enrollment], "Not Found", 0)</f>
        <v>6/25/2020</v>
      </c>
      <c r="T1351" t="s">
        <v>434</v>
      </c>
    </row>
    <row r="1352" spans="1:20" x14ac:dyDescent="0.3">
      <c r="A1352">
        <v>1498</v>
      </c>
      <c r="B1352">
        <v>144124</v>
      </c>
      <c r="C1352">
        <v>0</v>
      </c>
      <c r="D1352">
        <v>1</v>
      </c>
      <c r="E1352">
        <v>74</v>
      </c>
      <c r="F1352">
        <v>0</v>
      </c>
      <c r="G1352">
        <v>0</v>
      </c>
      <c r="H1352">
        <v>0</v>
      </c>
      <c r="I1352">
        <v>1</v>
      </c>
      <c r="J1352">
        <v>0</v>
      </c>
      <c r="K1352">
        <v>0</v>
      </c>
      <c r="L1352">
        <v>0</v>
      </c>
      <c r="M1352">
        <v>0</v>
      </c>
      <c r="N1352">
        <v>1</v>
      </c>
      <c r="O1352" t="str" cm="1">
        <f t="array" ref="O1352">_xlfn.IFS(Table1[[#This Row],[Divorced]]=1, "Divorced", Table1[[#This Row],[Married]]=1, "Married", Table1[[#This Row],[Single]]=1, "Single", Table1[[#This Row],[Together]]=1, "Together", Table1[[#This Row],[Widow]]=1, "Widow")</f>
        <v>Together</v>
      </c>
      <c r="P1352" t="str" cm="1">
        <f t="array" ref="P1352">_xlfn.IFS(Table1[[#This Row],[Basic]]=1, "Basic", Table1[[#This Row],[Graduate]]=1, "Graduate", Table1[[#This Row],[Master]]=1, "Master", Table1[[#This Row],[PhD]]=1, "PhD", AND(Table1[[#This Row],[Basic]]=0, Table1[[#This Row],[Graduate]]=0, Table1[[#This Row],[Master]]=0, Table1[[#This Row],[PhD]]=0), "NA")</f>
        <v>PhD</v>
      </c>
      <c r="Q1352" t="e">
        <f>_xlfn.XLOOKUP(Table1[[#This Row],[ID]], Table2[ID],#REF!, "Not Found", 0)</f>
        <v>#REF!</v>
      </c>
      <c r="R1352" t="e">
        <f>_xlfn.XLOOKUP(Table1[[#This Row],[ID]], Table2[ID],#REF!, "Not Found", 0)</f>
        <v>#REF!</v>
      </c>
      <c r="S1352" s="3" t="str">
        <f>_xlfn.XLOOKUP(Table1[[#This Row],[ID]], Table2[ID], Table2[Enrollment], "Not Found", 0)</f>
        <v>10/16/2019</v>
      </c>
      <c r="T1352" t="s">
        <v>439</v>
      </c>
    </row>
    <row r="1353" spans="1:20" x14ac:dyDescent="0.3">
      <c r="A1353">
        <v>2614</v>
      </c>
      <c r="B1353">
        <v>144078</v>
      </c>
      <c r="C1353">
        <v>1</v>
      </c>
      <c r="D1353">
        <v>1</v>
      </c>
      <c r="E1353">
        <v>51</v>
      </c>
      <c r="F1353">
        <v>0</v>
      </c>
      <c r="G1353">
        <v>1</v>
      </c>
      <c r="H1353">
        <v>0</v>
      </c>
      <c r="I1353">
        <v>0</v>
      </c>
      <c r="J1353">
        <v>0</v>
      </c>
      <c r="K1353">
        <v>0</v>
      </c>
      <c r="L1353">
        <v>1</v>
      </c>
      <c r="M1353">
        <v>0</v>
      </c>
      <c r="N1353">
        <v>0</v>
      </c>
      <c r="O1353" t="str" cm="1">
        <f t="array" ref="O1353">_xlfn.IFS(Table1[[#This Row],[Divorced]]=1, "Divorced", Table1[[#This Row],[Married]]=1, "Married", Table1[[#This Row],[Single]]=1, "Single", Table1[[#This Row],[Together]]=1, "Together", Table1[[#This Row],[Widow]]=1, "Widow")</f>
        <v>Married</v>
      </c>
      <c r="P1353" t="str" cm="1">
        <f t="array" ref="P1353">_xlfn.IFS(Table1[[#This Row],[Basic]]=1, "Basic", Table1[[#This Row],[Graduate]]=1, "Graduate", Table1[[#This Row],[Master]]=1, "Master", Table1[[#This Row],[PhD]]=1, "PhD", AND(Table1[[#This Row],[Basic]]=0, Table1[[#This Row],[Graduate]]=0, Table1[[#This Row],[Master]]=0, Table1[[#This Row],[PhD]]=0), "NA")</f>
        <v>Graduate</v>
      </c>
      <c r="Q1353" t="e">
        <f>_xlfn.XLOOKUP(Table1[[#This Row],[ID]], Table2[ID],#REF!, "Not Found", 0)</f>
        <v>#REF!</v>
      </c>
      <c r="R1353" t="e">
        <f>_xlfn.XLOOKUP(Table1[[#This Row],[ID]], Table2[ID],#REF!, "Not Found", 0)</f>
        <v>#REF!</v>
      </c>
      <c r="S1353" s="3" t="str">
        <f>_xlfn.XLOOKUP(Table1[[#This Row],[ID]], Table2[ID], Table2[Enrollment], "Not Found", 0)</f>
        <v>11/23/2020</v>
      </c>
      <c r="T1353" t="s">
        <v>439</v>
      </c>
    </row>
    <row r="1354" spans="1:20" x14ac:dyDescent="0.3">
      <c r="A1354">
        <v>1933</v>
      </c>
      <c r="B1354">
        <v>144051</v>
      </c>
      <c r="C1354">
        <v>1</v>
      </c>
      <c r="D1354">
        <v>1</v>
      </c>
      <c r="E1354">
        <v>47</v>
      </c>
      <c r="F1354">
        <v>1</v>
      </c>
      <c r="G1354">
        <v>0</v>
      </c>
      <c r="H1354">
        <v>0</v>
      </c>
      <c r="I1354">
        <v>0</v>
      </c>
      <c r="J1354">
        <v>0</v>
      </c>
      <c r="K1354">
        <v>0</v>
      </c>
      <c r="L1354">
        <v>0</v>
      </c>
      <c r="M1354">
        <v>1</v>
      </c>
      <c r="N1354">
        <v>0</v>
      </c>
      <c r="O1354" t="str" cm="1">
        <f t="array" ref="O1354">_xlfn.IFS(Table1[[#This Row],[Divorced]]=1, "Divorced", Table1[[#This Row],[Married]]=1, "Married", Table1[[#This Row],[Single]]=1, "Single", Table1[[#This Row],[Together]]=1, "Together", Table1[[#This Row],[Widow]]=1, "Widow")</f>
        <v>Divorced</v>
      </c>
      <c r="P1354" t="str" cm="1">
        <f t="array" ref="P1354">_xlfn.IFS(Table1[[#This Row],[Basic]]=1, "Basic", Table1[[#This Row],[Graduate]]=1, "Graduate", Table1[[#This Row],[Master]]=1, "Master", Table1[[#This Row],[PhD]]=1, "PhD", AND(Table1[[#This Row],[Basic]]=0, Table1[[#This Row],[Graduate]]=0, Table1[[#This Row],[Master]]=0, Table1[[#This Row],[PhD]]=0), "NA")</f>
        <v>Master</v>
      </c>
      <c r="Q1354" t="e">
        <f>_xlfn.XLOOKUP(Table1[[#This Row],[ID]], Table2[ID],#REF!, "Not Found", 0)</f>
        <v>#REF!</v>
      </c>
      <c r="R1354" t="e">
        <f>_xlfn.XLOOKUP(Table1[[#This Row],[ID]], Table2[ID],#REF!, "Not Found", 0)</f>
        <v>#REF!</v>
      </c>
      <c r="S1354" s="3">
        <f>_xlfn.XLOOKUP(Table1[[#This Row],[ID]], Table2[ID], Table2[Enrollment], "Not Found", 0)</f>
        <v>43623</v>
      </c>
      <c r="T1354" t="s">
        <v>437</v>
      </c>
    </row>
    <row r="1355" spans="1:20" x14ac:dyDescent="0.3">
      <c r="A1355">
        <v>1950</v>
      </c>
      <c r="B1355">
        <v>144010</v>
      </c>
      <c r="C1355">
        <v>1</v>
      </c>
      <c r="D1355">
        <v>0</v>
      </c>
      <c r="E1355">
        <v>40</v>
      </c>
      <c r="F1355">
        <v>0</v>
      </c>
      <c r="G1355">
        <v>0</v>
      </c>
      <c r="H1355">
        <v>0</v>
      </c>
      <c r="I1355">
        <v>1</v>
      </c>
      <c r="J1355">
        <v>0</v>
      </c>
      <c r="K1355">
        <v>0</v>
      </c>
      <c r="L1355">
        <v>1</v>
      </c>
      <c r="M1355">
        <v>0</v>
      </c>
      <c r="N1355">
        <v>0</v>
      </c>
      <c r="O1355" t="str" cm="1">
        <f t="array" ref="O1355">_xlfn.IFS(Table1[[#This Row],[Divorced]]=1, "Divorced", Table1[[#This Row],[Married]]=1, "Married", Table1[[#This Row],[Single]]=1, "Single", Table1[[#This Row],[Together]]=1, "Together", Table1[[#This Row],[Widow]]=1, "Widow")</f>
        <v>Together</v>
      </c>
      <c r="P1355" t="str" cm="1">
        <f t="array" ref="P1355">_xlfn.IFS(Table1[[#This Row],[Basic]]=1, "Basic", Table1[[#This Row],[Graduate]]=1, "Graduate", Table1[[#This Row],[Master]]=1, "Master", Table1[[#This Row],[PhD]]=1, "PhD", AND(Table1[[#This Row],[Basic]]=0, Table1[[#This Row],[Graduate]]=0, Table1[[#This Row],[Master]]=0, Table1[[#This Row],[PhD]]=0), "NA")</f>
        <v>Graduate</v>
      </c>
      <c r="Q1355" t="e">
        <f>_xlfn.XLOOKUP(Table1[[#This Row],[ID]], Table2[ID],#REF!, "Not Found", 0)</f>
        <v>#REF!</v>
      </c>
      <c r="R1355" t="e">
        <f>_xlfn.XLOOKUP(Table1[[#This Row],[ID]], Table2[ID],#REF!, "Not Found", 0)</f>
        <v>#REF!</v>
      </c>
      <c r="S1355" s="3" t="str">
        <f>_xlfn.XLOOKUP(Table1[[#This Row],[ID]], Table2[ID], Table2[Enrollment], "Not Found", 0)</f>
        <v>3/20/2019</v>
      </c>
      <c r="T1355" t="s">
        <v>436</v>
      </c>
    </row>
    <row r="1356" spans="1:20" x14ac:dyDescent="0.3">
      <c r="A1356">
        <v>1106</v>
      </c>
      <c r="B1356">
        <v>143974</v>
      </c>
      <c r="C1356">
        <v>1</v>
      </c>
      <c r="D1356">
        <v>0</v>
      </c>
      <c r="E1356">
        <v>40</v>
      </c>
      <c r="F1356">
        <v>0</v>
      </c>
      <c r="G1356">
        <v>1</v>
      </c>
      <c r="H1356">
        <v>0</v>
      </c>
      <c r="I1356">
        <v>0</v>
      </c>
      <c r="J1356">
        <v>0</v>
      </c>
      <c r="K1356">
        <v>0</v>
      </c>
      <c r="L1356">
        <v>0</v>
      </c>
      <c r="M1356">
        <v>0</v>
      </c>
      <c r="N1356">
        <v>1</v>
      </c>
      <c r="O1356" t="str" cm="1">
        <f t="array" ref="O1356">_xlfn.IFS(Table1[[#This Row],[Divorced]]=1, "Divorced", Table1[[#This Row],[Married]]=1, "Married", Table1[[#This Row],[Single]]=1, "Single", Table1[[#This Row],[Together]]=1, "Together", Table1[[#This Row],[Widow]]=1, "Widow")</f>
        <v>Married</v>
      </c>
      <c r="P1356" t="str" cm="1">
        <f t="array" ref="P1356">_xlfn.IFS(Table1[[#This Row],[Basic]]=1, "Basic", Table1[[#This Row],[Graduate]]=1, "Graduate", Table1[[#This Row],[Master]]=1, "Master", Table1[[#This Row],[PhD]]=1, "PhD", AND(Table1[[#This Row],[Basic]]=0, Table1[[#This Row],[Graduate]]=0, Table1[[#This Row],[Master]]=0, Table1[[#This Row],[PhD]]=0), "NA")</f>
        <v>PhD</v>
      </c>
      <c r="Q1356" t="e">
        <f>_xlfn.XLOOKUP(Table1[[#This Row],[ID]], Table2[ID],#REF!, "Not Found", 0)</f>
        <v>#REF!</v>
      </c>
      <c r="R1356" t="e">
        <f>_xlfn.XLOOKUP(Table1[[#This Row],[ID]], Table2[ID],#REF!, "Not Found", 0)</f>
        <v>#REF!</v>
      </c>
      <c r="S1356" s="3" t="str">
        <f>_xlfn.XLOOKUP(Table1[[#This Row],[ID]], Table2[ID], Table2[Enrollment], "Not Found", 0)</f>
        <v>5/19/2019</v>
      </c>
      <c r="T1356" t="s">
        <v>438</v>
      </c>
    </row>
    <row r="1357" spans="1:20" x14ac:dyDescent="0.3">
      <c r="A1357">
        <v>1380</v>
      </c>
      <c r="B1357">
        <v>143824</v>
      </c>
      <c r="C1357">
        <v>1</v>
      </c>
      <c r="D1357">
        <v>1</v>
      </c>
      <c r="E1357">
        <v>49</v>
      </c>
      <c r="F1357">
        <v>0</v>
      </c>
      <c r="G1357">
        <v>1</v>
      </c>
      <c r="H1357">
        <v>0</v>
      </c>
      <c r="I1357">
        <v>0</v>
      </c>
      <c r="J1357">
        <v>0</v>
      </c>
      <c r="K1357">
        <v>0</v>
      </c>
      <c r="L1357">
        <v>1</v>
      </c>
      <c r="M1357">
        <v>0</v>
      </c>
      <c r="N1357">
        <v>0</v>
      </c>
      <c r="O1357" t="str" cm="1">
        <f t="array" ref="O1357">_xlfn.IFS(Table1[[#This Row],[Divorced]]=1, "Divorced", Table1[[#This Row],[Married]]=1, "Married", Table1[[#This Row],[Single]]=1, "Single", Table1[[#This Row],[Together]]=1, "Together", Table1[[#This Row],[Widow]]=1, "Widow")</f>
        <v>Married</v>
      </c>
      <c r="P1357" t="str" cm="1">
        <f t="array" ref="P1357">_xlfn.IFS(Table1[[#This Row],[Basic]]=1, "Basic", Table1[[#This Row],[Graduate]]=1, "Graduate", Table1[[#This Row],[Master]]=1, "Master", Table1[[#This Row],[PhD]]=1, "PhD", AND(Table1[[#This Row],[Basic]]=0, Table1[[#This Row],[Graduate]]=0, Table1[[#This Row],[Master]]=0, Table1[[#This Row],[PhD]]=0), "NA")</f>
        <v>Graduate</v>
      </c>
      <c r="Q1357" t="e">
        <f>_xlfn.XLOOKUP(Table1[[#This Row],[ID]], Table2[ID],#REF!, "Not Found", 0)</f>
        <v>#REF!</v>
      </c>
      <c r="R1357" t="e">
        <f>_xlfn.XLOOKUP(Table1[[#This Row],[ID]], Table2[ID],#REF!, "Not Found", 0)</f>
        <v>#REF!</v>
      </c>
      <c r="S1357" s="3" t="str">
        <f>_xlfn.XLOOKUP(Table1[[#This Row],[ID]], Table2[ID], Table2[Enrollment], "Not Found", 0)</f>
        <v>2/20/2019</v>
      </c>
      <c r="T1357" t="s">
        <v>436</v>
      </c>
    </row>
    <row r="1358" spans="1:20" x14ac:dyDescent="0.3">
      <c r="A1358">
        <v>2996</v>
      </c>
      <c r="B1358">
        <v>143815</v>
      </c>
      <c r="C1358">
        <v>1</v>
      </c>
      <c r="D1358">
        <v>0</v>
      </c>
      <c r="E1358">
        <v>38</v>
      </c>
      <c r="F1358">
        <v>0</v>
      </c>
      <c r="G1358">
        <v>1</v>
      </c>
      <c r="H1358">
        <v>0</v>
      </c>
      <c r="I1358">
        <v>0</v>
      </c>
      <c r="J1358">
        <v>0</v>
      </c>
      <c r="K1358">
        <v>0</v>
      </c>
      <c r="L1358">
        <v>0</v>
      </c>
      <c r="M1358">
        <v>1</v>
      </c>
      <c r="N1358">
        <v>0</v>
      </c>
      <c r="O1358" t="str" cm="1">
        <f t="array" ref="O1358">_xlfn.IFS(Table1[[#This Row],[Divorced]]=1, "Divorced", Table1[[#This Row],[Married]]=1, "Married", Table1[[#This Row],[Single]]=1, "Single", Table1[[#This Row],[Together]]=1, "Together", Table1[[#This Row],[Widow]]=1, "Widow")</f>
        <v>Married</v>
      </c>
      <c r="P1358" t="str" cm="1">
        <f t="array" ref="P1358">_xlfn.IFS(Table1[[#This Row],[Basic]]=1, "Basic", Table1[[#This Row],[Graduate]]=1, "Graduate", Table1[[#This Row],[Master]]=1, "Master", Table1[[#This Row],[PhD]]=1, "PhD", AND(Table1[[#This Row],[Basic]]=0, Table1[[#This Row],[Graduate]]=0, Table1[[#This Row],[Master]]=0, Table1[[#This Row],[PhD]]=0), "NA")</f>
        <v>Master</v>
      </c>
      <c r="Q1358" t="e">
        <f>_xlfn.XLOOKUP(Table1[[#This Row],[ID]], Table2[ID],#REF!, "Not Found", 0)</f>
        <v>#REF!</v>
      </c>
      <c r="R1358" t="e">
        <f>_xlfn.XLOOKUP(Table1[[#This Row],[ID]], Table2[ID],#REF!, "Not Found", 0)</f>
        <v>#REF!</v>
      </c>
      <c r="S1358" s="3">
        <f>_xlfn.XLOOKUP(Table1[[#This Row],[ID]], Table2[ID], Table2[Enrollment], "Not Found", 0)</f>
        <v>43747</v>
      </c>
      <c r="T1358" t="s">
        <v>438</v>
      </c>
    </row>
    <row r="1359" spans="1:20" x14ac:dyDescent="0.3">
      <c r="A1359">
        <v>1370</v>
      </c>
      <c r="B1359">
        <v>143795</v>
      </c>
      <c r="C1359">
        <v>0</v>
      </c>
      <c r="D1359">
        <v>1</v>
      </c>
      <c r="E1359">
        <v>52</v>
      </c>
      <c r="F1359">
        <v>0</v>
      </c>
      <c r="G1359">
        <v>0</v>
      </c>
      <c r="H1359">
        <v>0</v>
      </c>
      <c r="I1359">
        <v>1</v>
      </c>
      <c r="J1359">
        <v>0</v>
      </c>
      <c r="K1359">
        <v>0</v>
      </c>
      <c r="L1359">
        <v>0</v>
      </c>
      <c r="M1359">
        <v>1</v>
      </c>
      <c r="N1359">
        <v>0</v>
      </c>
      <c r="O1359" t="str" cm="1">
        <f t="array" ref="O1359">_xlfn.IFS(Table1[[#This Row],[Divorced]]=1, "Divorced", Table1[[#This Row],[Married]]=1, "Married", Table1[[#This Row],[Single]]=1, "Single", Table1[[#This Row],[Together]]=1, "Together", Table1[[#This Row],[Widow]]=1, "Widow")</f>
        <v>Together</v>
      </c>
      <c r="P1359" t="str" cm="1">
        <f t="array" ref="P1359">_xlfn.IFS(Table1[[#This Row],[Basic]]=1, "Basic", Table1[[#This Row],[Graduate]]=1, "Graduate", Table1[[#This Row],[Master]]=1, "Master", Table1[[#This Row],[PhD]]=1, "PhD", AND(Table1[[#This Row],[Basic]]=0, Table1[[#This Row],[Graduate]]=0, Table1[[#This Row],[Master]]=0, Table1[[#This Row],[PhD]]=0), "NA")</f>
        <v>Master</v>
      </c>
      <c r="Q1359" t="e">
        <f>_xlfn.XLOOKUP(Table1[[#This Row],[ID]], Table2[ID],#REF!, "Not Found", 0)</f>
        <v>#REF!</v>
      </c>
      <c r="R1359" t="e">
        <f>_xlfn.XLOOKUP(Table1[[#This Row],[ID]], Table2[ID],#REF!, "Not Found", 0)</f>
        <v>#REF!</v>
      </c>
      <c r="S1359" s="3" t="str">
        <f>_xlfn.XLOOKUP(Table1[[#This Row],[ID]], Table2[ID], Table2[Enrollment], "Not Found", 0)</f>
        <v>3/22/2020</v>
      </c>
      <c r="T1359" t="s">
        <v>438</v>
      </c>
    </row>
    <row r="1360" spans="1:20" x14ac:dyDescent="0.3">
      <c r="A1360">
        <v>1769</v>
      </c>
      <c r="B1360">
        <v>143783</v>
      </c>
      <c r="C1360">
        <v>1</v>
      </c>
      <c r="D1360">
        <v>0</v>
      </c>
      <c r="E1360">
        <v>42</v>
      </c>
      <c r="F1360">
        <v>0</v>
      </c>
      <c r="G1360">
        <v>1</v>
      </c>
      <c r="H1360">
        <v>0</v>
      </c>
      <c r="I1360">
        <v>0</v>
      </c>
      <c r="J1360">
        <v>0</v>
      </c>
      <c r="K1360">
        <v>0</v>
      </c>
      <c r="L1360">
        <v>0</v>
      </c>
      <c r="M1360">
        <v>1</v>
      </c>
      <c r="N1360">
        <v>0</v>
      </c>
      <c r="O1360" t="str" cm="1">
        <f t="array" ref="O1360">_xlfn.IFS(Table1[[#This Row],[Divorced]]=1, "Divorced", Table1[[#This Row],[Married]]=1, "Married", Table1[[#This Row],[Single]]=1, "Single", Table1[[#This Row],[Together]]=1, "Together", Table1[[#This Row],[Widow]]=1, "Widow")</f>
        <v>Married</v>
      </c>
      <c r="P1360" t="str" cm="1">
        <f t="array" ref="P1360">_xlfn.IFS(Table1[[#This Row],[Basic]]=1, "Basic", Table1[[#This Row],[Graduate]]=1, "Graduate", Table1[[#This Row],[Master]]=1, "Master", Table1[[#This Row],[PhD]]=1, "PhD", AND(Table1[[#This Row],[Basic]]=0, Table1[[#This Row],[Graduate]]=0, Table1[[#This Row],[Master]]=0, Table1[[#This Row],[PhD]]=0), "NA")</f>
        <v>Master</v>
      </c>
      <c r="Q1360" t="e">
        <f>_xlfn.XLOOKUP(Table1[[#This Row],[ID]], Table2[ID],#REF!, "Not Found", 0)</f>
        <v>#REF!</v>
      </c>
      <c r="R1360" t="e">
        <f>_xlfn.XLOOKUP(Table1[[#This Row],[ID]], Table2[ID],#REF!, "Not Found", 0)</f>
        <v>#REF!</v>
      </c>
      <c r="S1360" s="3">
        <f>_xlfn.XLOOKUP(Table1[[#This Row],[ID]], Table2[ID], Table2[Enrollment], "Not Found", 0)</f>
        <v>43872</v>
      </c>
      <c r="T1360" t="s">
        <v>434</v>
      </c>
    </row>
    <row r="1361" spans="1:20" x14ac:dyDescent="0.3">
      <c r="A1361">
        <v>1251</v>
      </c>
      <c r="B1361">
        <v>143776</v>
      </c>
      <c r="C1361">
        <v>1</v>
      </c>
      <c r="D1361">
        <v>1</v>
      </c>
      <c r="E1361">
        <v>68</v>
      </c>
      <c r="F1361">
        <v>0</v>
      </c>
      <c r="G1361">
        <v>0</v>
      </c>
      <c r="H1361">
        <v>0</v>
      </c>
      <c r="I1361">
        <v>1</v>
      </c>
      <c r="J1361">
        <v>0</v>
      </c>
      <c r="K1361">
        <v>0</v>
      </c>
      <c r="L1361">
        <v>0</v>
      </c>
      <c r="M1361">
        <v>1</v>
      </c>
      <c r="N1361">
        <v>0</v>
      </c>
      <c r="O1361" t="str" cm="1">
        <f t="array" ref="O1361">_xlfn.IFS(Table1[[#This Row],[Divorced]]=1, "Divorced", Table1[[#This Row],[Married]]=1, "Married", Table1[[#This Row],[Single]]=1, "Single", Table1[[#This Row],[Together]]=1, "Together", Table1[[#This Row],[Widow]]=1, "Widow")</f>
        <v>Together</v>
      </c>
      <c r="P1361" t="str" cm="1">
        <f t="array" ref="P1361">_xlfn.IFS(Table1[[#This Row],[Basic]]=1, "Basic", Table1[[#This Row],[Graduate]]=1, "Graduate", Table1[[#This Row],[Master]]=1, "Master", Table1[[#This Row],[PhD]]=1, "PhD", AND(Table1[[#This Row],[Basic]]=0, Table1[[#This Row],[Graduate]]=0, Table1[[#This Row],[Master]]=0, Table1[[#This Row],[PhD]]=0), "NA")</f>
        <v>Master</v>
      </c>
      <c r="Q1361" t="e">
        <f>_xlfn.XLOOKUP(Table1[[#This Row],[ID]], Table2[ID],#REF!, "Not Found", 0)</f>
        <v>#REF!</v>
      </c>
      <c r="R1361" t="e">
        <f>_xlfn.XLOOKUP(Table1[[#This Row],[ID]], Table2[ID],#REF!, "Not Found", 0)</f>
        <v>#REF!</v>
      </c>
      <c r="S1361" s="3">
        <f>_xlfn.XLOOKUP(Table1[[#This Row],[ID]], Table2[ID], Table2[Enrollment], "Not Found", 0)</f>
        <v>43776</v>
      </c>
      <c r="T1361" t="s">
        <v>435</v>
      </c>
    </row>
    <row r="1362" spans="1:20" x14ac:dyDescent="0.3">
      <c r="A1362">
        <v>2069</v>
      </c>
      <c r="B1362">
        <v>143776</v>
      </c>
      <c r="C1362">
        <v>1</v>
      </c>
      <c r="D1362">
        <v>0</v>
      </c>
      <c r="E1362">
        <v>37</v>
      </c>
      <c r="F1362">
        <v>0</v>
      </c>
      <c r="G1362">
        <v>0</v>
      </c>
      <c r="H1362">
        <v>0</v>
      </c>
      <c r="I1362">
        <v>1</v>
      </c>
      <c r="J1362">
        <v>0</v>
      </c>
      <c r="K1362">
        <v>0</v>
      </c>
      <c r="L1362">
        <v>1</v>
      </c>
      <c r="M1362">
        <v>0</v>
      </c>
      <c r="N1362">
        <v>0</v>
      </c>
      <c r="O1362" t="str" cm="1">
        <f t="array" ref="O1362">_xlfn.IFS(Table1[[#This Row],[Divorced]]=1, "Divorced", Table1[[#This Row],[Married]]=1, "Married", Table1[[#This Row],[Single]]=1, "Single", Table1[[#This Row],[Together]]=1, "Together", Table1[[#This Row],[Widow]]=1, "Widow")</f>
        <v>Together</v>
      </c>
      <c r="P1362" t="str" cm="1">
        <f t="array" ref="P1362">_xlfn.IFS(Table1[[#This Row],[Basic]]=1, "Basic", Table1[[#This Row],[Graduate]]=1, "Graduate", Table1[[#This Row],[Master]]=1, "Master", Table1[[#This Row],[PhD]]=1, "PhD", AND(Table1[[#This Row],[Basic]]=0, Table1[[#This Row],[Graduate]]=0, Table1[[#This Row],[Master]]=0, Table1[[#This Row],[PhD]]=0), "NA")</f>
        <v>Graduate</v>
      </c>
      <c r="Q1362" t="e">
        <f>_xlfn.XLOOKUP(Table1[[#This Row],[ID]], Table2[ID],#REF!, "Not Found", 0)</f>
        <v>#REF!</v>
      </c>
      <c r="R1362" t="e">
        <f>_xlfn.XLOOKUP(Table1[[#This Row],[ID]], Table2[ID],#REF!, "Not Found", 0)</f>
        <v>#REF!</v>
      </c>
      <c r="S1362" s="3">
        <f>_xlfn.XLOOKUP(Table1[[#This Row],[ID]], Table2[ID], Table2[Enrollment], "Not Found", 0)</f>
        <v>44022</v>
      </c>
      <c r="T1362" t="s">
        <v>434</v>
      </c>
    </row>
    <row r="1363" spans="1:20" x14ac:dyDescent="0.3">
      <c r="A1363">
        <v>2175</v>
      </c>
      <c r="B1363">
        <v>143641</v>
      </c>
      <c r="C1363">
        <v>1</v>
      </c>
      <c r="D1363">
        <v>1</v>
      </c>
      <c r="E1363">
        <v>51</v>
      </c>
      <c r="F1363">
        <v>0</v>
      </c>
      <c r="G1363">
        <v>1</v>
      </c>
      <c r="H1363">
        <v>0</v>
      </c>
      <c r="I1363">
        <v>0</v>
      </c>
      <c r="J1363">
        <v>0</v>
      </c>
      <c r="K1363">
        <v>0</v>
      </c>
      <c r="L1363">
        <v>0</v>
      </c>
      <c r="M1363">
        <v>1</v>
      </c>
      <c r="N1363">
        <v>0</v>
      </c>
      <c r="O1363" t="str" cm="1">
        <f t="array" ref="O1363">_xlfn.IFS(Table1[[#This Row],[Divorced]]=1, "Divorced", Table1[[#This Row],[Married]]=1, "Married", Table1[[#This Row],[Single]]=1, "Single", Table1[[#This Row],[Together]]=1, "Together", Table1[[#This Row],[Widow]]=1, "Widow")</f>
        <v>Married</v>
      </c>
      <c r="P1363" t="str" cm="1">
        <f t="array" ref="P1363">_xlfn.IFS(Table1[[#This Row],[Basic]]=1, "Basic", Table1[[#This Row],[Graduate]]=1, "Graduate", Table1[[#This Row],[Master]]=1, "Master", Table1[[#This Row],[PhD]]=1, "PhD", AND(Table1[[#This Row],[Basic]]=0, Table1[[#This Row],[Graduate]]=0, Table1[[#This Row],[Master]]=0, Table1[[#This Row],[PhD]]=0), "NA")</f>
        <v>Master</v>
      </c>
      <c r="Q1363" t="e">
        <f>_xlfn.XLOOKUP(Table1[[#This Row],[ID]], Table2[ID],#REF!, "Not Found", 0)</f>
        <v>#REF!</v>
      </c>
      <c r="R1363" t="e">
        <f>_xlfn.XLOOKUP(Table1[[#This Row],[ID]], Table2[ID],#REF!, "Not Found", 0)</f>
        <v>#REF!</v>
      </c>
      <c r="S1363" s="3" t="str">
        <f>_xlfn.XLOOKUP(Table1[[#This Row],[ID]], Table2[ID], Table2[Enrollment], "Not Found", 0)</f>
        <v>9/27/2019</v>
      </c>
      <c r="T1363" t="s">
        <v>435</v>
      </c>
    </row>
    <row r="1364" spans="1:20" x14ac:dyDescent="0.3">
      <c r="A1364">
        <v>1525</v>
      </c>
      <c r="B1364">
        <v>143638</v>
      </c>
      <c r="C1364">
        <v>0</v>
      </c>
      <c r="D1364">
        <v>1</v>
      </c>
      <c r="E1364">
        <v>51</v>
      </c>
      <c r="F1364">
        <v>0</v>
      </c>
      <c r="G1364">
        <v>0</v>
      </c>
      <c r="H1364">
        <v>0</v>
      </c>
      <c r="I1364">
        <v>0</v>
      </c>
      <c r="J1364">
        <v>1</v>
      </c>
      <c r="K1364">
        <v>0</v>
      </c>
      <c r="L1364">
        <v>1</v>
      </c>
      <c r="M1364">
        <v>0</v>
      </c>
      <c r="N1364">
        <v>0</v>
      </c>
      <c r="O1364" t="str" cm="1">
        <f t="array" ref="O1364">_xlfn.IFS(Table1[[#This Row],[Divorced]]=1, "Divorced", Table1[[#This Row],[Married]]=1, "Married", Table1[[#This Row],[Single]]=1, "Single", Table1[[#This Row],[Together]]=1, "Together", Table1[[#This Row],[Widow]]=1, "Widow")</f>
        <v>Widow</v>
      </c>
      <c r="P1364" t="str" cm="1">
        <f t="array" ref="P1364">_xlfn.IFS(Table1[[#This Row],[Basic]]=1, "Basic", Table1[[#This Row],[Graduate]]=1, "Graduate", Table1[[#This Row],[Master]]=1, "Master", Table1[[#This Row],[PhD]]=1, "PhD", AND(Table1[[#This Row],[Basic]]=0, Table1[[#This Row],[Graduate]]=0, Table1[[#This Row],[Master]]=0, Table1[[#This Row],[PhD]]=0), "NA")</f>
        <v>Graduate</v>
      </c>
      <c r="Q1364" t="e">
        <f>_xlfn.XLOOKUP(Table1[[#This Row],[ID]], Table2[ID],#REF!, "Not Found", 0)</f>
        <v>#REF!</v>
      </c>
      <c r="R1364" t="e">
        <f>_xlfn.XLOOKUP(Table1[[#This Row],[ID]], Table2[ID],#REF!, "Not Found", 0)</f>
        <v>#REF!</v>
      </c>
      <c r="S1364" s="3">
        <f>_xlfn.XLOOKUP(Table1[[#This Row],[ID]], Table2[ID], Table2[Enrollment], "Not Found", 0)</f>
        <v>43770</v>
      </c>
      <c r="T1364" t="s">
        <v>437</v>
      </c>
    </row>
    <row r="1365" spans="1:20" x14ac:dyDescent="0.3">
      <c r="A1365">
        <v>2638</v>
      </c>
      <c r="B1365">
        <v>143602</v>
      </c>
      <c r="C1365">
        <v>1</v>
      </c>
      <c r="D1365">
        <v>1</v>
      </c>
      <c r="E1365">
        <v>54</v>
      </c>
      <c r="F1365">
        <v>0</v>
      </c>
      <c r="G1365">
        <v>0</v>
      </c>
      <c r="H1365">
        <v>1</v>
      </c>
      <c r="I1365">
        <v>0</v>
      </c>
      <c r="J1365">
        <v>0</v>
      </c>
      <c r="K1365">
        <v>0</v>
      </c>
      <c r="L1365">
        <v>1</v>
      </c>
      <c r="M1365">
        <v>0</v>
      </c>
      <c r="N1365">
        <v>0</v>
      </c>
      <c r="O1365" t="str" cm="1">
        <f t="array" ref="O1365">_xlfn.IFS(Table1[[#This Row],[Divorced]]=1, "Divorced", Table1[[#This Row],[Married]]=1, "Married", Table1[[#This Row],[Single]]=1, "Single", Table1[[#This Row],[Together]]=1, "Together", Table1[[#This Row],[Widow]]=1, "Widow")</f>
        <v>Single</v>
      </c>
      <c r="P1365" t="str" cm="1">
        <f t="array" ref="P1365">_xlfn.IFS(Table1[[#This Row],[Basic]]=1, "Basic", Table1[[#This Row],[Graduate]]=1, "Graduate", Table1[[#This Row],[Master]]=1, "Master", Table1[[#This Row],[PhD]]=1, "PhD", AND(Table1[[#This Row],[Basic]]=0, Table1[[#This Row],[Graduate]]=0, Table1[[#This Row],[Master]]=0, Table1[[#This Row],[PhD]]=0), "NA")</f>
        <v>Graduate</v>
      </c>
      <c r="Q1365" t="e">
        <f>_xlfn.XLOOKUP(Table1[[#This Row],[ID]], Table2[ID],#REF!, "Not Found", 0)</f>
        <v>#REF!</v>
      </c>
      <c r="R1365" t="e">
        <f>_xlfn.XLOOKUP(Table1[[#This Row],[ID]], Table2[ID],#REF!, "Not Found", 0)</f>
        <v>#REF!</v>
      </c>
      <c r="S1365" s="3" t="str">
        <f>_xlfn.XLOOKUP(Table1[[#This Row],[ID]], Table2[ID], Table2[Enrollment], "Not Found", 0)</f>
        <v>6/16/2020</v>
      </c>
      <c r="T1365" t="s">
        <v>439</v>
      </c>
    </row>
    <row r="1366" spans="1:20" x14ac:dyDescent="0.3">
      <c r="A1366">
        <v>3091</v>
      </c>
      <c r="B1366">
        <v>143586</v>
      </c>
      <c r="C1366">
        <v>0</v>
      </c>
      <c r="D1366">
        <v>1</v>
      </c>
      <c r="E1366">
        <v>40</v>
      </c>
      <c r="F1366">
        <v>0</v>
      </c>
      <c r="G1366">
        <v>1</v>
      </c>
      <c r="H1366">
        <v>0</v>
      </c>
      <c r="I1366">
        <v>0</v>
      </c>
      <c r="J1366">
        <v>0</v>
      </c>
      <c r="K1366">
        <v>0</v>
      </c>
      <c r="L1366">
        <v>1</v>
      </c>
      <c r="M1366">
        <v>0</v>
      </c>
      <c r="N1366">
        <v>0</v>
      </c>
      <c r="O1366" t="str" cm="1">
        <f t="array" ref="O1366">_xlfn.IFS(Table1[[#This Row],[Divorced]]=1, "Divorced", Table1[[#This Row],[Married]]=1, "Married", Table1[[#This Row],[Single]]=1, "Single", Table1[[#This Row],[Together]]=1, "Together", Table1[[#This Row],[Widow]]=1, "Widow")</f>
        <v>Married</v>
      </c>
      <c r="P1366" t="str" cm="1">
        <f t="array" ref="P1366">_xlfn.IFS(Table1[[#This Row],[Basic]]=1, "Basic", Table1[[#This Row],[Graduate]]=1, "Graduate", Table1[[#This Row],[Master]]=1, "Master", Table1[[#This Row],[PhD]]=1, "PhD", AND(Table1[[#This Row],[Basic]]=0, Table1[[#This Row],[Graduate]]=0, Table1[[#This Row],[Master]]=0, Table1[[#This Row],[PhD]]=0), "NA")</f>
        <v>Graduate</v>
      </c>
      <c r="Q1366" t="e">
        <f>_xlfn.XLOOKUP(Table1[[#This Row],[ID]], Table2[ID],#REF!, "Not Found", 0)</f>
        <v>#REF!</v>
      </c>
      <c r="R1366" t="e">
        <f>_xlfn.XLOOKUP(Table1[[#This Row],[ID]], Table2[ID],#REF!, "Not Found", 0)</f>
        <v>#REF!</v>
      </c>
      <c r="S1366" s="3">
        <f>_xlfn.XLOOKUP(Table1[[#This Row],[ID]], Table2[ID], Table2[Enrollment], "Not Found", 0)</f>
        <v>43557</v>
      </c>
      <c r="T1366" t="s">
        <v>437</v>
      </c>
    </row>
    <row r="1367" spans="1:20" x14ac:dyDescent="0.3">
      <c r="A1367">
        <v>1154</v>
      </c>
      <c r="B1367">
        <v>143482</v>
      </c>
      <c r="C1367">
        <v>2</v>
      </c>
      <c r="D1367">
        <v>1</v>
      </c>
      <c r="E1367">
        <v>54</v>
      </c>
      <c r="F1367">
        <v>0</v>
      </c>
      <c r="G1367">
        <v>0</v>
      </c>
      <c r="H1367">
        <v>0</v>
      </c>
      <c r="I1367">
        <v>1</v>
      </c>
      <c r="J1367">
        <v>0</v>
      </c>
      <c r="K1367">
        <v>0</v>
      </c>
      <c r="L1367">
        <v>1</v>
      </c>
      <c r="M1367">
        <v>0</v>
      </c>
      <c r="N1367">
        <v>0</v>
      </c>
      <c r="O1367" t="str" cm="1">
        <f t="array" ref="O1367">_xlfn.IFS(Table1[[#This Row],[Divorced]]=1, "Divorced", Table1[[#This Row],[Married]]=1, "Married", Table1[[#This Row],[Single]]=1, "Single", Table1[[#This Row],[Together]]=1, "Together", Table1[[#This Row],[Widow]]=1, "Widow")</f>
        <v>Together</v>
      </c>
      <c r="P1367" t="str" cm="1">
        <f t="array" ref="P1367">_xlfn.IFS(Table1[[#This Row],[Basic]]=1, "Basic", Table1[[#This Row],[Graduate]]=1, "Graduate", Table1[[#This Row],[Master]]=1, "Master", Table1[[#This Row],[PhD]]=1, "PhD", AND(Table1[[#This Row],[Basic]]=0, Table1[[#This Row],[Graduate]]=0, Table1[[#This Row],[Master]]=0, Table1[[#This Row],[PhD]]=0), "NA")</f>
        <v>Graduate</v>
      </c>
      <c r="Q1367" t="e">
        <f>_xlfn.XLOOKUP(Table1[[#This Row],[ID]], Table2[ID],#REF!, "Not Found", 0)</f>
        <v>#REF!</v>
      </c>
      <c r="R1367" t="e">
        <f>_xlfn.XLOOKUP(Table1[[#This Row],[ID]], Table2[ID],#REF!, "Not Found", 0)</f>
        <v>#REF!</v>
      </c>
      <c r="S1367" s="3" t="str">
        <f>_xlfn.XLOOKUP(Table1[[#This Row],[ID]], Table2[ID], Table2[Enrollment], "Not Found", 0)</f>
        <v>4/19/2020</v>
      </c>
      <c r="T1367" t="s">
        <v>438</v>
      </c>
    </row>
    <row r="1368" spans="1:20" x14ac:dyDescent="0.3">
      <c r="A1368">
        <v>1539</v>
      </c>
      <c r="B1368">
        <v>143462</v>
      </c>
      <c r="C1368">
        <v>1</v>
      </c>
      <c r="D1368">
        <v>1</v>
      </c>
      <c r="E1368">
        <v>68</v>
      </c>
      <c r="F1368">
        <v>0</v>
      </c>
      <c r="G1368">
        <v>0</v>
      </c>
      <c r="H1368">
        <v>0</v>
      </c>
      <c r="I1368">
        <v>1</v>
      </c>
      <c r="J1368">
        <v>0</v>
      </c>
      <c r="K1368">
        <v>0</v>
      </c>
      <c r="L1368">
        <v>1</v>
      </c>
      <c r="M1368">
        <v>0</v>
      </c>
      <c r="N1368">
        <v>0</v>
      </c>
      <c r="O1368" t="str" cm="1">
        <f t="array" ref="O1368">_xlfn.IFS(Table1[[#This Row],[Divorced]]=1, "Divorced", Table1[[#This Row],[Married]]=1, "Married", Table1[[#This Row],[Single]]=1, "Single", Table1[[#This Row],[Together]]=1, "Together", Table1[[#This Row],[Widow]]=1, "Widow")</f>
        <v>Together</v>
      </c>
      <c r="P1368" t="str" cm="1">
        <f t="array" ref="P1368">_xlfn.IFS(Table1[[#This Row],[Basic]]=1, "Basic", Table1[[#This Row],[Graduate]]=1, "Graduate", Table1[[#This Row],[Master]]=1, "Master", Table1[[#This Row],[PhD]]=1, "PhD", AND(Table1[[#This Row],[Basic]]=0, Table1[[#This Row],[Graduate]]=0, Table1[[#This Row],[Master]]=0, Table1[[#This Row],[PhD]]=0), "NA")</f>
        <v>Graduate</v>
      </c>
      <c r="Q1368" t="e">
        <f>_xlfn.XLOOKUP(Table1[[#This Row],[ID]], Table2[ID],#REF!, "Not Found", 0)</f>
        <v>#REF!</v>
      </c>
      <c r="R1368" t="e">
        <f>_xlfn.XLOOKUP(Table1[[#This Row],[ID]], Table2[ID],#REF!, "Not Found", 0)</f>
        <v>#REF!</v>
      </c>
      <c r="S1368" s="3" t="str">
        <f>_xlfn.XLOOKUP(Table1[[#This Row],[ID]], Table2[ID], Table2[Enrollment], "Not Found", 0)</f>
        <v>2/17/2019</v>
      </c>
      <c r="T1368" t="s">
        <v>435</v>
      </c>
    </row>
    <row r="1369" spans="1:20" x14ac:dyDescent="0.3">
      <c r="A1369">
        <v>1847</v>
      </c>
      <c r="B1369">
        <v>143456</v>
      </c>
      <c r="C1369">
        <v>0</v>
      </c>
      <c r="D1369">
        <v>1</v>
      </c>
      <c r="E1369">
        <v>54</v>
      </c>
      <c r="F1369">
        <v>0</v>
      </c>
      <c r="G1369">
        <v>0</v>
      </c>
      <c r="H1369">
        <v>1</v>
      </c>
      <c r="I1369">
        <v>0</v>
      </c>
      <c r="J1369">
        <v>0</v>
      </c>
      <c r="K1369">
        <v>0</v>
      </c>
      <c r="L1369">
        <v>0</v>
      </c>
      <c r="M1369">
        <v>1</v>
      </c>
      <c r="N1369">
        <v>0</v>
      </c>
      <c r="O1369" t="str" cm="1">
        <f t="array" ref="O1369">_xlfn.IFS(Table1[[#This Row],[Divorced]]=1, "Divorced", Table1[[#This Row],[Married]]=1, "Married", Table1[[#This Row],[Single]]=1, "Single", Table1[[#This Row],[Together]]=1, "Together", Table1[[#This Row],[Widow]]=1, "Widow")</f>
        <v>Single</v>
      </c>
      <c r="P1369" t="str" cm="1">
        <f t="array" ref="P1369">_xlfn.IFS(Table1[[#This Row],[Basic]]=1, "Basic", Table1[[#This Row],[Graduate]]=1, "Graduate", Table1[[#This Row],[Master]]=1, "Master", Table1[[#This Row],[PhD]]=1, "PhD", AND(Table1[[#This Row],[Basic]]=0, Table1[[#This Row],[Graduate]]=0, Table1[[#This Row],[Master]]=0, Table1[[#This Row],[PhD]]=0), "NA")</f>
        <v>Master</v>
      </c>
      <c r="Q1369" t="e">
        <f>_xlfn.XLOOKUP(Table1[[#This Row],[ID]], Table2[ID],#REF!, "Not Found", 0)</f>
        <v>#REF!</v>
      </c>
      <c r="R1369" t="e">
        <f>_xlfn.XLOOKUP(Table1[[#This Row],[ID]], Table2[ID],#REF!, "Not Found", 0)</f>
        <v>#REF!</v>
      </c>
      <c r="S1369" s="3" t="str">
        <f>_xlfn.XLOOKUP(Table1[[#This Row],[ID]], Table2[ID], Table2[Enrollment], "Not Found", 0)</f>
        <v>8/31/2019</v>
      </c>
      <c r="T1369" t="s">
        <v>434</v>
      </c>
    </row>
    <row r="1370" spans="1:20" x14ac:dyDescent="0.3">
      <c r="A1370">
        <v>3164</v>
      </c>
      <c r="B1370">
        <v>143322</v>
      </c>
      <c r="C1370">
        <v>0</v>
      </c>
      <c r="D1370">
        <v>0</v>
      </c>
      <c r="E1370">
        <v>46</v>
      </c>
      <c r="F1370">
        <v>0</v>
      </c>
      <c r="G1370">
        <v>0</v>
      </c>
      <c r="H1370">
        <v>1</v>
      </c>
      <c r="I1370">
        <v>0</v>
      </c>
      <c r="J1370">
        <v>0</v>
      </c>
      <c r="K1370">
        <v>0</v>
      </c>
      <c r="L1370">
        <v>1</v>
      </c>
      <c r="M1370">
        <v>0</v>
      </c>
      <c r="N1370">
        <v>0</v>
      </c>
      <c r="O1370" t="str" cm="1">
        <f t="array" ref="O1370">_xlfn.IFS(Table1[[#This Row],[Divorced]]=1, "Divorced", Table1[[#This Row],[Married]]=1, "Married", Table1[[#This Row],[Single]]=1, "Single", Table1[[#This Row],[Together]]=1, "Together", Table1[[#This Row],[Widow]]=1, "Widow")</f>
        <v>Single</v>
      </c>
      <c r="P1370" t="str" cm="1">
        <f t="array" ref="P1370">_xlfn.IFS(Table1[[#This Row],[Basic]]=1, "Basic", Table1[[#This Row],[Graduate]]=1, "Graduate", Table1[[#This Row],[Master]]=1, "Master", Table1[[#This Row],[PhD]]=1, "PhD", AND(Table1[[#This Row],[Basic]]=0, Table1[[#This Row],[Graduate]]=0, Table1[[#This Row],[Master]]=0, Table1[[#This Row],[PhD]]=0), "NA")</f>
        <v>Graduate</v>
      </c>
      <c r="Q1370" t="e">
        <f>_xlfn.XLOOKUP(Table1[[#This Row],[ID]], Table2[ID],#REF!, "Not Found", 0)</f>
        <v>#REF!</v>
      </c>
      <c r="R1370" t="e">
        <f>_xlfn.XLOOKUP(Table1[[#This Row],[ID]], Table2[ID],#REF!, "Not Found", 0)</f>
        <v>#REF!</v>
      </c>
      <c r="S1370" s="3" t="str">
        <f>_xlfn.XLOOKUP(Table1[[#This Row],[ID]], Table2[ID], Table2[Enrollment], "Not Found", 0)</f>
        <v>9/25/2020</v>
      </c>
      <c r="T1370" t="s">
        <v>438</v>
      </c>
    </row>
    <row r="1371" spans="1:20" x14ac:dyDescent="0.3">
      <c r="A1371">
        <v>2432</v>
      </c>
      <c r="B1371">
        <v>143300</v>
      </c>
      <c r="C1371">
        <v>0</v>
      </c>
      <c r="D1371">
        <v>1</v>
      </c>
      <c r="E1371">
        <v>49</v>
      </c>
      <c r="F1371">
        <v>1</v>
      </c>
      <c r="G1371">
        <v>0</v>
      </c>
      <c r="H1371">
        <v>0</v>
      </c>
      <c r="I1371">
        <v>0</v>
      </c>
      <c r="J1371">
        <v>0</v>
      </c>
      <c r="K1371">
        <v>0</v>
      </c>
      <c r="L1371">
        <v>1</v>
      </c>
      <c r="M1371">
        <v>0</v>
      </c>
      <c r="N1371">
        <v>0</v>
      </c>
      <c r="O1371" t="str" cm="1">
        <f t="array" ref="O1371">_xlfn.IFS(Table1[[#This Row],[Divorced]]=1, "Divorced", Table1[[#This Row],[Married]]=1, "Married", Table1[[#This Row],[Single]]=1, "Single", Table1[[#This Row],[Together]]=1, "Together", Table1[[#This Row],[Widow]]=1, "Widow")</f>
        <v>Divorced</v>
      </c>
      <c r="P1371" t="str" cm="1">
        <f t="array" ref="P1371">_xlfn.IFS(Table1[[#This Row],[Basic]]=1, "Basic", Table1[[#This Row],[Graduate]]=1, "Graduate", Table1[[#This Row],[Master]]=1, "Master", Table1[[#This Row],[PhD]]=1, "PhD", AND(Table1[[#This Row],[Basic]]=0, Table1[[#This Row],[Graduate]]=0, Table1[[#This Row],[Master]]=0, Table1[[#This Row],[PhD]]=0), "NA")</f>
        <v>Graduate</v>
      </c>
      <c r="Q1371" t="e">
        <f>_xlfn.XLOOKUP(Table1[[#This Row],[ID]], Table2[ID],#REF!, "Not Found", 0)</f>
        <v>#REF!</v>
      </c>
      <c r="R1371" t="e">
        <f>_xlfn.XLOOKUP(Table1[[#This Row],[ID]], Table2[ID],#REF!, "Not Found", 0)</f>
        <v>#REF!</v>
      </c>
      <c r="S1371" s="3" t="str">
        <f>_xlfn.XLOOKUP(Table1[[#This Row],[ID]], Table2[ID], Table2[Enrollment], "Not Found", 0)</f>
        <v>3/20/2019</v>
      </c>
      <c r="T1371" t="s">
        <v>438</v>
      </c>
    </row>
    <row r="1372" spans="1:20" x14ac:dyDescent="0.3">
      <c r="A1372">
        <v>2403</v>
      </c>
      <c r="B1372">
        <v>143269</v>
      </c>
      <c r="C1372">
        <v>1</v>
      </c>
      <c r="D1372">
        <v>0</v>
      </c>
      <c r="E1372">
        <v>48</v>
      </c>
      <c r="F1372">
        <v>0</v>
      </c>
      <c r="G1372">
        <v>1</v>
      </c>
      <c r="H1372">
        <v>0</v>
      </c>
      <c r="I1372">
        <v>0</v>
      </c>
      <c r="J1372">
        <v>0</v>
      </c>
      <c r="K1372">
        <v>0</v>
      </c>
      <c r="L1372">
        <v>0</v>
      </c>
      <c r="M1372">
        <v>0</v>
      </c>
      <c r="N1372">
        <v>1</v>
      </c>
      <c r="O1372" t="str" cm="1">
        <f t="array" ref="O1372">_xlfn.IFS(Table1[[#This Row],[Divorced]]=1, "Divorced", Table1[[#This Row],[Married]]=1, "Married", Table1[[#This Row],[Single]]=1, "Single", Table1[[#This Row],[Together]]=1, "Together", Table1[[#This Row],[Widow]]=1, "Widow")</f>
        <v>Married</v>
      </c>
      <c r="P1372" t="str" cm="1">
        <f t="array" ref="P1372">_xlfn.IFS(Table1[[#This Row],[Basic]]=1, "Basic", Table1[[#This Row],[Graduate]]=1, "Graduate", Table1[[#This Row],[Master]]=1, "Master", Table1[[#This Row],[PhD]]=1, "PhD", AND(Table1[[#This Row],[Basic]]=0, Table1[[#This Row],[Graduate]]=0, Table1[[#This Row],[Master]]=0, Table1[[#This Row],[PhD]]=0), "NA")</f>
        <v>PhD</v>
      </c>
      <c r="Q1372" t="e">
        <f>_xlfn.XLOOKUP(Table1[[#This Row],[ID]], Table2[ID],#REF!, "Not Found", 0)</f>
        <v>#REF!</v>
      </c>
      <c r="R1372" t="e">
        <f>_xlfn.XLOOKUP(Table1[[#This Row],[ID]], Table2[ID],#REF!, "Not Found", 0)</f>
        <v>#REF!</v>
      </c>
      <c r="S1372" s="3" t="str">
        <f>_xlfn.XLOOKUP(Table1[[#This Row],[ID]], Table2[ID], Table2[Enrollment], "Not Found", 0)</f>
        <v>2/21/2020</v>
      </c>
      <c r="T1372" t="s">
        <v>435</v>
      </c>
    </row>
    <row r="1373" spans="1:20" x14ac:dyDescent="0.3">
      <c r="A1373">
        <v>2321</v>
      </c>
      <c r="B1373">
        <v>143263</v>
      </c>
      <c r="C1373">
        <v>0</v>
      </c>
      <c r="D1373">
        <v>1</v>
      </c>
      <c r="E1373">
        <v>43</v>
      </c>
      <c r="F1373">
        <v>0</v>
      </c>
      <c r="G1373">
        <v>1</v>
      </c>
      <c r="H1373">
        <v>0</v>
      </c>
      <c r="I1373">
        <v>0</v>
      </c>
      <c r="J1373">
        <v>0</v>
      </c>
      <c r="K1373">
        <v>0</v>
      </c>
      <c r="L1373">
        <v>0</v>
      </c>
      <c r="M1373">
        <v>1</v>
      </c>
      <c r="N1373">
        <v>0</v>
      </c>
      <c r="O1373" t="str" cm="1">
        <f t="array" ref="O1373">_xlfn.IFS(Table1[[#This Row],[Divorced]]=1, "Divorced", Table1[[#This Row],[Married]]=1, "Married", Table1[[#This Row],[Single]]=1, "Single", Table1[[#This Row],[Together]]=1, "Together", Table1[[#This Row],[Widow]]=1, "Widow")</f>
        <v>Married</v>
      </c>
      <c r="P1373" t="str" cm="1">
        <f t="array" ref="P1373">_xlfn.IFS(Table1[[#This Row],[Basic]]=1, "Basic", Table1[[#This Row],[Graduate]]=1, "Graduate", Table1[[#This Row],[Master]]=1, "Master", Table1[[#This Row],[PhD]]=1, "PhD", AND(Table1[[#This Row],[Basic]]=0, Table1[[#This Row],[Graduate]]=0, Table1[[#This Row],[Master]]=0, Table1[[#This Row],[PhD]]=0), "NA")</f>
        <v>Master</v>
      </c>
      <c r="Q1373" t="e">
        <f>_xlfn.XLOOKUP(Table1[[#This Row],[ID]], Table2[ID],#REF!, "Not Found", 0)</f>
        <v>#REF!</v>
      </c>
      <c r="R1373" t="e">
        <f>_xlfn.XLOOKUP(Table1[[#This Row],[ID]], Table2[ID],#REF!, "Not Found", 0)</f>
        <v>#REF!</v>
      </c>
      <c r="S1373" s="3" t="str">
        <f>_xlfn.XLOOKUP(Table1[[#This Row],[ID]], Table2[ID], Table2[Enrollment], "Not Found", 0)</f>
        <v>4/28/2019</v>
      </c>
      <c r="T1373" t="s">
        <v>434</v>
      </c>
    </row>
    <row r="1374" spans="1:20" x14ac:dyDescent="0.3">
      <c r="A1374">
        <v>1688</v>
      </c>
      <c r="B1374">
        <v>143185</v>
      </c>
      <c r="C1374">
        <v>0</v>
      </c>
      <c r="D1374">
        <v>1</v>
      </c>
      <c r="E1374">
        <v>69</v>
      </c>
      <c r="F1374">
        <v>1</v>
      </c>
      <c r="G1374">
        <v>0</v>
      </c>
      <c r="H1374">
        <v>0</v>
      </c>
      <c r="I1374">
        <v>0</v>
      </c>
      <c r="J1374">
        <v>0</v>
      </c>
      <c r="K1374">
        <v>0</v>
      </c>
      <c r="L1374">
        <v>1</v>
      </c>
      <c r="M1374">
        <v>0</v>
      </c>
      <c r="N1374">
        <v>0</v>
      </c>
      <c r="O1374" t="str" cm="1">
        <f t="array" ref="O1374">_xlfn.IFS(Table1[[#This Row],[Divorced]]=1, "Divorced", Table1[[#This Row],[Married]]=1, "Married", Table1[[#This Row],[Single]]=1, "Single", Table1[[#This Row],[Together]]=1, "Together", Table1[[#This Row],[Widow]]=1, "Widow")</f>
        <v>Divorced</v>
      </c>
      <c r="P1374" t="str" cm="1">
        <f t="array" ref="P1374">_xlfn.IFS(Table1[[#This Row],[Basic]]=1, "Basic", Table1[[#This Row],[Graduate]]=1, "Graduate", Table1[[#This Row],[Master]]=1, "Master", Table1[[#This Row],[PhD]]=1, "PhD", AND(Table1[[#This Row],[Basic]]=0, Table1[[#This Row],[Graduate]]=0, Table1[[#This Row],[Master]]=0, Table1[[#This Row],[PhD]]=0), "NA")</f>
        <v>Graduate</v>
      </c>
      <c r="Q1374" t="e">
        <f>_xlfn.XLOOKUP(Table1[[#This Row],[ID]], Table2[ID],#REF!, "Not Found", 0)</f>
        <v>#REF!</v>
      </c>
      <c r="R1374" t="e">
        <f>_xlfn.XLOOKUP(Table1[[#This Row],[ID]], Table2[ID],#REF!, "Not Found", 0)</f>
        <v>#REF!</v>
      </c>
      <c r="S1374" s="3" t="str">
        <f>_xlfn.XLOOKUP(Table1[[#This Row],[ID]], Table2[ID], Table2[Enrollment], "Not Found", 0)</f>
        <v>9/15/2019</v>
      </c>
      <c r="T1374" t="s">
        <v>438</v>
      </c>
    </row>
    <row r="1375" spans="1:20" x14ac:dyDescent="0.3">
      <c r="A1375">
        <v>2388</v>
      </c>
      <c r="B1375">
        <v>143142</v>
      </c>
      <c r="C1375">
        <v>1</v>
      </c>
      <c r="D1375">
        <v>1</v>
      </c>
      <c r="E1375">
        <v>51</v>
      </c>
      <c r="F1375">
        <v>0</v>
      </c>
      <c r="G1375">
        <v>1</v>
      </c>
      <c r="H1375">
        <v>0</v>
      </c>
      <c r="I1375">
        <v>0</v>
      </c>
      <c r="J1375">
        <v>0</v>
      </c>
      <c r="K1375">
        <v>0</v>
      </c>
      <c r="L1375">
        <v>0</v>
      </c>
      <c r="M1375">
        <v>1</v>
      </c>
      <c r="N1375">
        <v>0</v>
      </c>
      <c r="O1375" t="str" cm="1">
        <f t="array" ref="O1375">_xlfn.IFS(Table1[[#This Row],[Divorced]]=1, "Divorced", Table1[[#This Row],[Married]]=1, "Married", Table1[[#This Row],[Single]]=1, "Single", Table1[[#This Row],[Together]]=1, "Together", Table1[[#This Row],[Widow]]=1, "Widow")</f>
        <v>Married</v>
      </c>
      <c r="P1375" t="str" cm="1">
        <f t="array" ref="P1375">_xlfn.IFS(Table1[[#This Row],[Basic]]=1, "Basic", Table1[[#This Row],[Graduate]]=1, "Graduate", Table1[[#This Row],[Master]]=1, "Master", Table1[[#This Row],[PhD]]=1, "PhD", AND(Table1[[#This Row],[Basic]]=0, Table1[[#This Row],[Graduate]]=0, Table1[[#This Row],[Master]]=0, Table1[[#This Row],[PhD]]=0), "NA")</f>
        <v>Master</v>
      </c>
      <c r="Q1375" t="e">
        <f>_xlfn.XLOOKUP(Table1[[#This Row],[ID]], Table2[ID],#REF!, "Not Found", 0)</f>
        <v>#REF!</v>
      </c>
      <c r="R1375" t="e">
        <f>_xlfn.XLOOKUP(Table1[[#This Row],[ID]], Table2[ID],#REF!, "Not Found", 0)</f>
        <v>#REF!</v>
      </c>
      <c r="S1375" s="3" t="str">
        <f>_xlfn.XLOOKUP(Table1[[#This Row],[ID]], Table2[ID], Table2[Enrollment], "Not Found", 0)</f>
        <v>7/25/2020</v>
      </c>
      <c r="T1375" t="s">
        <v>436</v>
      </c>
    </row>
    <row r="1376" spans="1:20" x14ac:dyDescent="0.3">
      <c r="A1376">
        <v>2162</v>
      </c>
      <c r="B1376">
        <v>143140</v>
      </c>
      <c r="C1376">
        <v>0</v>
      </c>
      <c r="D1376">
        <v>1</v>
      </c>
      <c r="E1376">
        <v>63</v>
      </c>
      <c r="F1376">
        <v>0</v>
      </c>
      <c r="G1376">
        <v>1</v>
      </c>
      <c r="H1376">
        <v>0</v>
      </c>
      <c r="I1376">
        <v>0</v>
      </c>
      <c r="J1376">
        <v>0</v>
      </c>
      <c r="K1376">
        <v>0</v>
      </c>
      <c r="L1376">
        <v>1</v>
      </c>
      <c r="M1376">
        <v>0</v>
      </c>
      <c r="N1376">
        <v>0</v>
      </c>
      <c r="O1376" t="str" cm="1">
        <f t="array" ref="O1376">_xlfn.IFS(Table1[[#This Row],[Divorced]]=1, "Divorced", Table1[[#This Row],[Married]]=1, "Married", Table1[[#This Row],[Single]]=1, "Single", Table1[[#This Row],[Together]]=1, "Together", Table1[[#This Row],[Widow]]=1, "Widow")</f>
        <v>Married</v>
      </c>
      <c r="P1376" t="str" cm="1">
        <f t="array" ref="P1376">_xlfn.IFS(Table1[[#This Row],[Basic]]=1, "Basic", Table1[[#This Row],[Graduate]]=1, "Graduate", Table1[[#This Row],[Master]]=1, "Master", Table1[[#This Row],[PhD]]=1, "PhD", AND(Table1[[#This Row],[Basic]]=0, Table1[[#This Row],[Graduate]]=0, Table1[[#This Row],[Master]]=0, Table1[[#This Row],[PhD]]=0), "NA")</f>
        <v>Graduate</v>
      </c>
      <c r="Q1376" t="e">
        <f>_xlfn.XLOOKUP(Table1[[#This Row],[ID]], Table2[ID],#REF!, "Not Found", 0)</f>
        <v>#REF!</v>
      </c>
      <c r="R1376" t="e">
        <f>_xlfn.XLOOKUP(Table1[[#This Row],[ID]], Table2[ID],#REF!, "Not Found", 0)</f>
        <v>#REF!</v>
      </c>
      <c r="S1376" s="3">
        <f>_xlfn.XLOOKUP(Table1[[#This Row],[ID]], Table2[ID], Table2[Enrollment], "Not Found", 0)</f>
        <v>43805</v>
      </c>
      <c r="T1376" t="s">
        <v>438</v>
      </c>
    </row>
    <row r="1377" spans="1:20" x14ac:dyDescent="0.3">
      <c r="A1377">
        <v>1467</v>
      </c>
      <c r="B1377">
        <v>143057</v>
      </c>
      <c r="C1377">
        <v>0</v>
      </c>
      <c r="D1377">
        <v>1</v>
      </c>
      <c r="E1377">
        <v>45</v>
      </c>
      <c r="F1377">
        <v>0</v>
      </c>
      <c r="G1377">
        <v>1</v>
      </c>
      <c r="H1377">
        <v>0</v>
      </c>
      <c r="I1377">
        <v>0</v>
      </c>
      <c r="J1377">
        <v>0</v>
      </c>
      <c r="K1377">
        <v>0</v>
      </c>
      <c r="L1377">
        <v>1</v>
      </c>
      <c r="M1377">
        <v>0</v>
      </c>
      <c r="N1377">
        <v>0</v>
      </c>
      <c r="O1377" t="str" cm="1">
        <f t="array" ref="O1377">_xlfn.IFS(Table1[[#This Row],[Divorced]]=1, "Divorced", Table1[[#This Row],[Married]]=1, "Married", Table1[[#This Row],[Single]]=1, "Single", Table1[[#This Row],[Together]]=1, "Together", Table1[[#This Row],[Widow]]=1, "Widow")</f>
        <v>Married</v>
      </c>
      <c r="P1377" t="str" cm="1">
        <f t="array" ref="P1377">_xlfn.IFS(Table1[[#This Row],[Basic]]=1, "Basic", Table1[[#This Row],[Graduate]]=1, "Graduate", Table1[[#This Row],[Master]]=1, "Master", Table1[[#This Row],[PhD]]=1, "PhD", AND(Table1[[#This Row],[Basic]]=0, Table1[[#This Row],[Graduate]]=0, Table1[[#This Row],[Master]]=0, Table1[[#This Row],[PhD]]=0), "NA")</f>
        <v>Graduate</v>
      </c>
      <c r="Q1377" t="e">
        <f>_xlfn.XLOOKUP(Table1[[#This Row],[ID]], Table2[ID],#REF!, "Not Found", 0)</f>
        <v>#REF!</v>
      </c>
      <c r="R1377" t="e">
        <f>_xlfn.XLOOKUP(Table1[[#This Row],[ID]], Table2[ID],#REF!, "Not Found", 0)</f>
        <v>#REF!</v>
      </c>
      <c r="S1377" s="3">
        <f>_xlfn.XLOOKUP(Table1[[#This Row],[ID]], Table2[ID], Table2[Enrollment], "Not Found", 0)</f>
        <v>43955</v>
      </c>
      <c r="T1377" t="s">
        <v>435</v>
      </c>
    </row>
    <row r="1378" spans="1:20" x14ac:dyDescent="0.3">
      <c r="A1378">
        <v>2273</v>
      </c>
      <c r="B1378">
        <v>143050</v>
      </c>
      <c r="C1378">
        <v>1</v>
      </c>
      <c r="D1378">
        <v>0</v>
      </c>
      <c r="E1378">
        <v>47</v>
      </c>
      <c r="F1378">
        <v>0</v>
      </c>
      <c r="G1378">
        <v>1</v>
      </c>
      <c r="H1378">
        <v>0</v>
      </c>
      <c r="I1378">
        <v>0</v>
      </c>
      <c r="J1378">
        <v>0</v>
      </c>
      <c r="K1378">
        <v>0</v>
      </c>
      <c r="L1378">
        <v>0</v>
      </c>
      <c r="M1378">
        <v>0</v>
      </c>
      <c r="N1378">
        <v>0</v>
      </c>
      <c r="O1378" t="str" cm="1">
        <f t="array" ref="O1378">_xlfn.IFS(Table1[[#This Row],[Divorced]]=1, "Divorced", Table1[[#This Row],[Married]]=1, "Married", Table1[[#This Row],[Single]]=1, "Single", Table1[[#This Row],[Together]]=1, "Together", Table1[[#This Row],[Widow]]=1, "Widow")</f>
        <v>Married</v>
      </c>
      <c r="P1378" t="str" cm="1">
        <f t="array" ref="P1378">_xlfn.IFS(Table1[[#This Row],[Basic]]=1, "Basic", Table1[[#This Row],[Graduate]]=1, "Graduate", Table1[[#This Row],[Master]]=1, "Master", Table1[[#This Row],[PhD]]=1, "PhD", AND(Table1[[#This Row],[Basic]]=0, Table1[[#This Row],[Graduate]]=0, Table1[[#This Row],[Master]]=0, Table1[[#This Row],[PhD]]=0), "NA")</f>
        <v>NA</v>
      </c>
      <c r="Q1378" t="e">
        <f>_xlfn.XLOOKUP(Table1[[#This Row],[ID]], Table2[ID],#REF!, "Not Found", 0)</f>
        <v>#REF!</v>
      </c>
      <c r="R1378" t="e">
        <f>_xlfn.XLOOKUP(Table1[[#This Row],[ID]], Table2[ID],#REF!, "Not Found", 0)</f>
        <v>#REF!</v>
      </c>
      <c r="S1378" s="3" t="str">
        <f>_xlfn.XLOOKUP(Table1[[#This Row],[ID]], Table2[ID], Table2[Enrollment], "Not Found", 0)</f>
        <v>8/22/2020</v>
      </c>
      <c r="T1378" t="s">
        <v>434</v>
      </c>
    </row>
    <row r="1379" spans="1:20" x14ac:dyDescent="0.3">
      <c r="A1379">
        <v>3020</v>
      </c>
      <c r="B1379">
        <v>143020</v>
      </c>
      <c r="C1379">
        <v>1</v>
      </c>
      <c r="D1379">
        <v>0</v>
      </c>
      <c r="E1379">
        <v>50</v>
      </c>
      <c r="F1379">
        <v>0</v>
      </c>
      <c r="G1379">
        <v>0</v>
      </c>
      <c r="H1379">
        <v>1</v>
      </c>
      <c r="I1379">
        <v>0</v>
      </c>
      <c r="J1379">
        <v>0</v>
      </c>
      <c r="K1379">
        <v>0</v>
      </c>
      <c r="L1379">
        <v>1</v>
      </c>
      <c r="M1379">
        <v>0</v>
      </c>
      <c r="N1379">
        <v>0</v>
      </c>
      <c r="O1379" t="str" cm="1">
        <f t="array" ref="O1379">_xlfn.IFS(Table1[[#This Row],[Divorced]]=1, "Divorced", Table1[[#This Row],[Married]]=1, "Married", Table1[[#This Row],[Single]]=1, "Single", Table1[[#This Row],[Together]]=1, "Together", Table1[[#This Row],[Widow]]=1, "Widow")</f>
        <v>Single</v>
      </c>
      <c r="P1379" t="str" cm="1">
        <f t="array" ref="P1379">_xlfn.IFS(Table1[[#This Row],[Basic]]=1, "Basic", Table1[[#This Row],[Graduate]]=1, "Graduate", Table1[[#This Row],[Master]]=1, "Master", Table1[[#This Row],[PhD]]=1, "PhD", AND(Table1[[#This Row],[Basic]]=0, Table1[[#This Row],[Graduate]]=0, Table1[[#This Row],[Master]]=0, Table1[[#This Row],[PhD]]=0), "NA")</f>
        <v>Graduate</v>
      </c>
      <c r="Q1379" t="e">
        <f>_xlfn.XLOOKUP(Table1[[#This Row],[ID]], Table2[ID],#REF!, "Not Found", 0)</f>
        <v>#REF!</v>
      </c>
      <c r="R1379" t="e">
        <f>_xlfn.XLOOKUP(Table1[[#This Row],[ID]], Table2[ID],#REF!, "Not Found", 0)</f>
        <v>#REF!</v>
      </c>
      <c r="S1379" s="3">
        <f>_xlfn.XLOOKUP(Table1[[#This Row],[ID]], Table2[ID], Table2[Enrollment], "Not Found", 0)</f>
        <v>43987</v>
      </c>
      <c r="T1379" t="s">
        <v>438</v>
      </c>
    </row>
    <row r="1380" spans="1:20" x14ac:dyDescent="0.3">
      <c r="A1380">
        <v>3082</v>
      </c>
      <c r="B1380">
        <v>143018</v>
      </c>
      <c r="C1380">
        <v>0</v>
      </c>
      <c r="D1380">
        <v>1</v>
      </c>
      <c r="E1380">
        <v>46</v>
      </c>
      <c r="F1380">
        <v>0</v>
      </c>
      <c r="G1380">
        <v>0</v>
      </c>
      <c r="H1380">
        <v>0</v>
      </c>
      <c r="I1380">
        <v>1</v>
      </c>
      <c r="J1380">
        <v>0</v>
      </c>
      <c r="K1380">
        <v>0</v>
      </c>
      <c r="L1380">
        <v>0</v>
      </c>
      <c r="M1380">
        <v>1</v>
      </c>
      <c r="N1380">
        <v>0</v>
      </c>
      <c r="O1380" t="str" cm="1">
        <f t="array" ref="O1380">_xlfn.IFS(Table1[[#This Row],[Divorced]]=1, "Divorced", Table1[[#This Row],[Married]]=1, "Married", Table1[[#This Row],[Single]]=1, "Single", Table1[[#This Row],[Together]]=1, "Together", Table1[[#This Row],[Widow]]=1, "Widow")</f>
        <v>Together</v>
      </c>
      <c r="P1380" t="str" cm="1">
        <f t="array" ref="P1380">_xlfn.IFS(Table1[[#This Row],[Basic]]=1, "Basic", Table1[[#This Row],[Graduate]]=1, "Graduate", Table1[[#This Row],[Master]]=1, "Master", Table1[[#This Row],[PhD]]=1, "PhD", AND(Table1[[#This Row],[Basic]]=0, Table1[[#This Row],[Graduate]]=0, Table1[[#This Row],[Master]]=0, Table1[[#This Row],[PhD]]=0), "NA")</f>
        <v>Master</v>
      </c>
      <c r="Q1380" t="e">
        <f>_xlfn.XLOOKUP(Table1[[#This Row],[ID]], Table2[ID],#REF!, "Not Found", 0)</f>
        <v>#REF!</v>
      </c>
      <c r="R1380" t="e">
        <f>_xlfn.XLOOKUP(Table1[[#This Row],[ID]], Table2[ID],#REF!, "Not Found", 0)</f>
        <v>#REF!</v>
      </c>
      <c r="S1380" s="3">
        <f>_xlfn.XLOOKUP(Table1[[#This Row],[ID]], Table2[ID], Table2[Enrollment], "Not Found", 0)</f>
        <v>44016</v>
      </c>
      <c r="T1380" t="s">
        <v>439</v>
      </c>
    </row>
    <row r="1381" spans="1:20" x14ac:dyDescent="0.3">
      <c r="A1381">
        <v>2274</v>
      </c>
      <c r="B1381">
        <v>142997</v>
      </c>
      <c r="C1381">
        <v>1</v>
      </c>
      <c r="D1381">
        <v>1</v>
      </c>
      <c r="E1381">
        <v>43</v>
      </c>
      <c r="F1381">
        <v>0</v>
      </c>
      <c r="G1381">
        <v>0</v>
      </c>
      <c r="H1381">
        <v>1</v>
      </c>
      <c r="I1381">
        <v>0</v>
      </c>
      <c r="J1381">
        <v>0</v>
      </c>
      <c r="K1381">
        <v>0</v>
      </c>
      <c r="L1381">
        <v>0</v>
      </c>
      <c r="M1381">
        <v>0</v>
      </c>
      <c r="N1381">
        <v>1</v>
      </c>
      <c r="O1381" t="str" cm="1">
        <f t="array" ref="O1381">_xlfn.IFS(Table1[[#This Row],[Divorced]]=1, "Divorced", Table1[[#This Row],[Married]]=1, "Married", Table1[[#This Row],[Single]]=1, "Single", Table1[[#This Row],[Together]]=1, "Together", Table1[[#This Row],[Widow]]=1, "Widow")</f>
        <v>Single</v>
      </c>
      <c r="P1381" t="str" cm="1">
        <f t="array" ref="P1381">_xlfn.IFS(Table1[[#This Row],[Basic]]=1, "Basic", Table1[[#This Row],[Graduate]]=1, "Graduate", Table1[[#This Row],[Master]]=1, "Master", Table1[[#This Row],[PhD]]=1, "PhD", AND(Table1[[#This Row],[Basic]]=0, Table1[[#This Row],[Graduate]]=0, Table1[[#This Row],[Master]]=0, Table1[[#This Row],[PhD]]=0), "NA")</f>
        <v>PhD</v>
      </c>
      <c r="Q1381" t="e">
        <f>_xlfn.XLOOKUP(Table1[[#This Row],[ID]], Table2[ID],#REF!, "Not Found", 0)</f>
        <v>#REF!</v>
      </c>
      <c r="R1381" t="e">
        <f>_xlfn.XLOOKUP(Table1[[#This Row],[ID]], Table2[ID],#REF!, "Not Found", 0)</f>
        <v>#REF!</v>
      </c>
      <c r="S1381" s="3" t="str">
        <f>_xlfn.XLOOKUP(Table1[[#This Row],[ID]], Table2[ID], Table2[Enrollment], "Not Found", 0)</f>
        <v>5/13/2020</v>
      </c>
      <c r="T1381" t="s">
        <v>436</v>
      </c>
    </row>
    <row r="1382" spans="1:20" x14ac:dyDescent="0.3">
      <c r="A1382">
        <v>2467</v>
      </c>
      <c r="B1382">
        <v>142873</v>
      </c>
      <c r="C1382">
        <v>1</v>
      </c>
      <c r="D1382">
        <v>1</v>
      </c>
      <c r="E1382">
        <v>70</v>
      </c>
      <c r="F1382">
        <v>1</v>
      </c>
      <c r="G1382">
        <v>0</v>
      </c>
      <c r="H1382">
        <v>0</v>
      </c>
      <c r="I1382">
        <v>0</v>
      </c>
      <c r="J1382">
        <v>0</v>
      </c>
      <c r="K1382">
        <v>0</v>
      </c>
      <c r="L1382">
        <v>0</v>
      </c>
      <c r="M1382">
        <v>0</v>
      </c>
      <c r="N1382">
        <v>1</v>
      </c>
      <c r="O1382" t="str" cm="1">
        <f t="array" ref="O1382">_xlfn.IFS(Table1[[#This Row],[Divorced]]=1, "Divorced", Table1[[#This Row],[Married]]=1, "Married", Table1[[#This Row],[Single]]=1, "Single", Table1[[#This Row],[Together]]=1, "Together", Table1[[#This Row],[Widow]]=1, "Widow")</f>
        <v>Divorced</v>
      </c>
      <c r="P1382" t="str" cm="1">
        <f t="array" ref="P1382">_xlfn.IFS(Table1[[#This Row],[Basic]]=1, "Basic", Table1[[#This Row],[Graduate]]=1, "Graduate", Table1[[#This Row],[Master]]=1, "Master", Table1[[#This Row],[PhD]]=1, "PhD", AND(Table1[[#This Row],[Basic]]=0, Table1[[#This Row],[Graduate]]=0, Table1[[#This Row],[Master]]=0, Table1[[#This Row],[PhD]]=0), "NA")</f>
        <v>PhD</v>
      </c>
      <c r="Q1382" t="e">
        <f>_xlfn.XLOOKUP(Table1[[#This Row],[ID]], Table2[ID],#REF!, "Not Found", 0)</f>
        <v>#REF!</v>
      </c>
      <c r="R1382" t="e">
        <f>_xlfn.XLOOKUP(Table1[[#This Row],[ID]], Table2[ID],#REF!, "Not Found", 0)</f>
        <v>#REF!</v>
      </c>
      <c r="S1382" s="3" t="str">
        <f>_xlfn.XLOOKUP(Table1[[#This Row],[ID]], Table2[ID], Table2[Enrollment], "Not Found", 0)</f>
        <v>6/28/2019</v>
      </c>
      <c r="T1382" t="s">
        <v>437</v>
      </c>
    </row>
    <row r="1383" spans="1:20" x14ac:dyDescent="0.3">
      <c r="A1383">
        <v>1857</v>
      </c>
      <c r="B1383">
        <v>142835</v>
      </c>
      <c r="C1383">
        <v>1</v>
      </c>
      <c r="D1383">
        <v>1</v>
      </c>
      <c r="E1383">
        <v>49</v>
      </c>
      <c r="F1383">
        <v>1</v>
      </c>
      <c r="G1383">
        <v>0</v>
      </c>
      <c r="H1383">
        <v>0</v>
      </c>
      <c r="I1383">
        <v>0</v>
      </c>
      <c r="J1383">
        <v>0</v>
      </c>
      <c r="K1383">
        <v>0</v>
      </c>
      <c r="L1383">
        <v>0</v>
      </c>
      <c r="M1383">
        <v>1</v>
      </c>
      <c r="N1383">
        <v>0</v>
      </c>
      <c r="O1383" t="str" cm="1">
        <f t="array" ref="O1383">_xlfn.IFS(Table1[[#This Row],[Divorced]]=1, "Divorced", Table1[[#This Row],[Married]]=1, "Married", Table1[[#This Row],[Single]]=1, "Single", Table1[[#This Row],[Together]]=1, "Together", Table1[[#This Row],[Widow]]=1, "Widow")</f>
        <v>Divorced</v>
      </c>
      <c r="P1383" t="str" cm="1">
        <f t="array" ref="P1383">_xlfn.IFS(Table1[[#This Row],[Basic]]=1, "Basic", Table1[[#This Row],[Graduate]]=1, "Graduate", Table1[[#This Row],[Master]]=1, "Master", Table1[[#This Row],[PhD]]=1, "PhD", AND(Table1[[#This Row],[Basic]]=0, Table1[[#This Row],[Graduate]]=0, Table1[[#This Row],[Master]]=0, Table1[[#This Row],[PhD]]=0), "NA")</f>
        <v>Master</v>
      </c>
      <c r="Q1383" t="e">
        <f>_xlfn.XLOOKUP(Table1[[#This Row],[ID]], Table2[ID],#REF!, "Not Found", 0)</f>
        <v>#REF!</v>
      </c>
      <c r="R1383" t="e">
        <f>_xlfn.XLOOKUP(Table1[[#This Row],[ID]], Table2[ID],#REF!, "Not Found", 0)</f>
        <v>#REF!</v>
      </c>
      <c r="S1383" s="3">
        <f>_xlfn.XLOOKUP(Table1[[#This Row],[ID]], Table2[ID], Table2[Enrollment], "Not Found", 0)</f>
        <v>43597</v>
      </c>
      <c r="T1383" t="s">
        <v>435</v>
      </c>
    </row>
    <row r="1384" spans="1:20" x14ac:dyDescent="0.3">
      <c r="A1384">
        <v>3117</v>
      </c>
      <c r="B1384">
        <v>142769</v>
      </c>
      <c r="C1384">
        <v>0</v>
      </c>
      <c r="D1384">
        <v>1</v>
      </c>
      <c r="E1384">
        <v>58</v>
      </c>
      <c r="F1384">
        <v>0</v>
      </c>
      <c r="G1384">
        <v>1</v>
      </c>
      <c r="H1384">
        <v>0</v>
      </c>
      <c r="I1384">
        <v>0</v>
      </c>
      <c r="J1384">
        <v>0</v>
      </c>
      <c r="K1384">
        <v>0</v>
      </c>
      <c r="L1384">
        <v>0</v>
      </c>
      <c r="M1384">
        <v>0</v>
      </c>
      <c r="N1384">
        <v>1</v>
      </c>
      <c r="O1384" t="str" cm="1">
        <f t="array" ref="O1384">_xlfn.IFS(Table1[[#This Row],[Divorced]]=1, "Divorced", Table1[[#This Row],[Married]]=1, "Married", Table1[[#This Row],[Single]]=1, "Single", Table1[[#This Row],[Together]]=1, "Together", Table1[[#This Row],[Widow]]=1, "Widow")</f>
        <v>Married</v>
      </c>
      <c r="P1384" t="str" cm="1">
        <f t="array" ref="P1384">_xlfn.IFS(Table1[[#This Row],[Basic]]=1, "Basic", Table1[[#This Row],[Graduate]]=1, "Graduate", Table1[[#This Row],[Master]]=1, "Master", Table1[[#This Row],[PhD]]=1, "PhD", AND(Table1[[#This Row],[Basic]]=0, Table1[[#This Row],[Graduate]]=0, Table1[[#This Row],[Master]]=0, Table1[[#This Row],[PhD]]=0), "NA")</f>
        <v>PhD</v>
      </c>
      <c r="Q1384" t="e">
        <f>_xlfn.XLOOKUP(Table1[[#This Row],[ID]], Table2[ID],#REF!, "Not Found", 0)</f>
        <v>#REF!</v>
      </c>
      <c r="R1384" t="e">
        <f>_xlfn.XLOOKUP(Table1[[#This Row],[ID]], Table2[ID],#REF!, "Not Found", 0)</f>
        <v>#REF!</v>
      </c>
      <c r="S1384" s="3" t="str">
        <f>_xlfn.XLOOKUP(Table1[[#This Row],[ID]], Table2[ID], Table2[Enrollment], "Not Found", 0)</f>
        <v>3/18/2020</v>
      </c>
      <c r="T1384" t="s">
        <v>435</v>
      </c>
    </row>
    <row r="1385" spans="1:20" x14ac:dyDescent="0.3">
      <c r="A1385">
        <v>1934</v>
      </c>
      <c r="B1385">
        <v>142767</v>
      </c>
      <c r="C1385">
        <v>2</v>
      </c>
      <c r="D1385">
        <v>0</v>
      </c>
      <c r="E1385">
        <v>49</v>
      </c>
      <c r="F1385">
        <v>0</v>
      </c>
      <c r="G1385">
        <v>0</v>
      </c>
      <c r="H1385">
        <v>1</v>
      </c>
      <c r="I1385">
        <v>0</v>
      </c>
      <c r="J1385">
        <v>0</v>
      </c>
      <c r="K1385">
        <v>0</v>
      </c>
      <c r="L1385">
        <v>0</v>
      </c>
      <c r="M1385">
        <v>0</v>
      </c>
      <c r="N1385">
        <v>1</v>
      </c>
      <c r="O1385" t="str" cm="1">
        <f t="array" ref="O1385">_xlfn.IFS(Table1[[#This Row],[Divorced]]=1, "Divorced", Table1[[#This Row],[Married]]=1, "Married", Table1[[#This Row],[Single]]=1, "Single", Table1[[#This Row],[Together]]=1, "Together", Table1[[#This Row],[Widow]]=1, "Widow")</f>
        <v>Single</v>
      </c>
      <c r="P1385" t="str" cm="1">
        <f t="array" ref="P1385">_xlfn.IFS(Table1[[#This Row],[Basic]]=1, "Basic", Table1[[#This Row],[Graduate]]=1, "Graduate", Table1[[#This Row],[Master]]=1, "Master", Table1[[#This Row],[PhD]]=1, "PhD", AND(Table1[[#This Row],[Basic]]=0, Table1[[#This Row],[Graduate]]=0, Table1[[#This Row],[Master]]=0, Table1[[#This Row],[PhD]]=0), "NA")</f>
        <v>PhD</v>
      </c>
      <c r="Q1385" t="e">
        <f>_xlfn.XLOOKUP(Table1[[#This Row],[ID]], Table2[ID],#REF!, "Not Found", 0)</f>
        <v>#REF!</v>
      </c>
      <c r="R1385" t="e">
        <f>_xlfn.XLOOKUP(Table1[[#This Row],[ID]], Table2[ID],#REF!, "Not Found", 0)</f>
        <v>#REF!</v>
      </c>
      <c r="S1385" s="3" t="str">
        <f>_xlfn.XLOOKUP(Table1[[#This Row],[ID]], Table2[ID], Table2[Enrollment], "Not Found", 0)</f>
        <v>10/16/2019</v>
      </c>
      <c r="T1385" t="s">
        <v>438</v>
      </c>
    </row>
    <row r="1386" spans="1:20" x14ac:dyDescent="0.3">
      <c r="A1386">
        <v>2607</v>
      </c>
      <c r="B1386">
        <v>142731</v>
      </c>
      <c r="C1386">
        <v>1</v>
      </c>
      <c r="D1386">
        <v>0</v>
      </c>
      <c r="E1386">
        <v>51</v>
      </c>
      <c r="F1386">
        <v>0</v>
      </c>
      <c r="G1386">
        <v>0</v>
      </c>
      <c r="H1386">
        <v>0</v>
      </c>
      <c r="I1386">
        <v>1</v>
      </c>
      <c r="J1386">
        <v>0</v>
      </c>
      <c r="K1386">
        <v>0</v>
      </c>
      <c r="L1386">
        <v>0</v>
      </c>
      <c r="M1386">
        <v>0</v>
      </c>
      <c r="N1386">
        <v>1</v>
      </c>
      <c r="O1386" t="str" cm="1">
        <f t="array" ref="O1386">_xlfn.IFS(Table1[[#This Row],[Divorced]]=1, "Divorced", Table1[[#This Row],[Married]]=1, "Married", Table1[[#This Row],[Single]]=1, "Single", Table1[[#This Row],[Together]]=1, "Together", Table1[[#This Row],[Widow]]=1, "Widow")</f>
        <v>Together</v>
      </c>
      <c r="P1386" t="str" cm="1">
        <f t="array" ref="P1386">_xlfn.IFS(Table1[[#This Row],[Basic]]=1, "Basic", Table1[[#This Row],[Graduate]]=1, "Graduate", Table1[[#This Row],[Master]]=1, "Master", Table1[[#This Row],[PhD]]=1, "PhD", AND(Table1[[#This Row],[Basic]]=0, Table1[[#This Row],[Graduate]]=0, Table1[[#This Row],[Master]]=0, Table1[[#This Row],[PhD]]=0), "NA")</f>
        <v>PhD</v>
      </c>
      <c r="Q1386" t="e">
        <f>_xlfn.XLOOKUP(Table1[[#This Row],[ID]], Table2[ID],#REF!, "Not Found", 0)</f>
        <v>#REF!</v>
      </c>
      <c r="R1386" t="e">
        <f>_xlfn.XLOOKUP(Table1[[#This Row],[ID]], Table2[ID],#REF!, "Not Found", 0)</f>
        <v>#REF!</v>
      </c>
      <c r="S1386" s="3" t="str">
        <f>_xlfn.XLOOKUP(Table1[[#This Row],[ID]], Table2[ID], Table2[Enrollment], "Not Found", 0)</f>
        <v>3/27/2020</v>
      </c>
      <c r="T1386" t="s">
        <v>435</v>
      </c>
    </row>
    <row r="1387" spans="1:20" x14ac:dyDescent="0.3">
      <c r="A1387">
        <v>1753</v>
      </c>
      <c r="B1387">
        <v>142720</v>
      </c>
      <c r="C1387">
        <v>1</v>
      </c>
      <c r="D1387">
        <v>1</v>
      </c>
      <c r="E1387">
        <v>55</v>
      </c>
      <c r="F1387">
        <v>0</v>
      </c>
      <c r="G1387">
        <v>0</v>
      </c>
      <c r="H1387">
        <v>1</v>
      </c>
      <c r="I1387">
        <v>0</v>
      </c>
      <c r="J1387">
        <v>0</v>
      </c>
      <c r="K1387">
        <v>0</v>
      </c>
      <c r="L1387">
        <v>1</v>
      </c>
      <c r="M1387">
        <v>0</v>
      </c>
      <c r="N1387">
        <v>0</v>
      </c>
      <c r="O1387" t="str" cm="1">
        <f t="array" ref="O1387">_xlfn.IFS(Table1[[#This Row],[Divorced]]=1, "Divorced", Table1[[#This Row],[Married]]=1, "Married", Table1[[#This Row],[Single]]=1, "Single", Table1[[#This Row],[Together]]=1, "Together", Table1[[#This Row],[Widow]]=1, "Widow")</f>
        <v>Single</v>
      </c>
      <c r="P1387" t="str" cm="1">
        <f t="array" ref="P1387">_xlfn.IFS(Table1[[#This Row],[Basic]]=1, "Basic", Table1[[#This Row],[Graduate]]=1, "Graduate", Table1[[#This Row],[Master]]=1, "Master", Table1[[#This Row],[PhD]]=1, "PhD", AND(Table1[[#This Row],[Basic]]=0, Table1[[#This Row],[Graduate]]=0, Table1[[#This Row],[Master]]=0, Table1[[#This Row],[PhD]]=0), "NA")</f>
        <v>Graduate</v>
      </c>
      <c r="Q1387" t="e">
        <f>_xlfn.XLOOKUP(Table1[[#This Row],[ID]], Table2[ID],#REF!, "Not Found", 0)</f>
        <v>#REF!</v>
      </c>
      <c r="R1387" t="e">
        <f>_xlfn.XLOOKUP(Table1[[#This Row],[ID]], Table2[ID],#REF!, "Not Found", 0)</f>
        <v>#REF!</v>
      </c>
      <c r="S1387" s="3" t="str">
        <f>_xlfn.XLOOKUP(Table1[[#This Row],[ID]], Table2[ID], Table2[Enrollment], "Not Found", 0)</f>
        <v>9/29/2019</v>
      </c>
      <c r="T1387" t="s">
        <v>437</v>
      </c>
    </row>
    <row r="1388" spans="1:20" x14ac:dyDescent="0.3">
      <c r="A1388">
        <v>1526</v>
      </c>
      <c r="B1388">
        <v>142710</v>
      </c>
      <c r="C1388">
        <v>1</v>
      </c>
      <c r="D1388">
        <v>0</v>
      </c>
      <c r="E1388">
        <v>36</v>
      </c>
      <c r="F1388">
        <v>0</v>
      </c>
      <c r="G1388">
        <v>0</v>
      </c>
      <c r="H1388">
        <v>1</v>
      </c>
      <c r="I1388">
        <v>0</v>
      </c>
      <c r="J1388">
        <v>0</v>
      </c>
      <c r="K1388">
        <v>0</v>
      </c>
      <c r="L1388">
        <v>0</v>
      </c>
      <c r="M1388">
        <v>0</v>
      </c>
      <c r="N1388">
        <v>1</v>
      </c>
      <c r="O1388" t="str" cm="1">
        <f t="array" ref="O1388">_xlfn.IFS(Table1[[#This Row],[Divorced]]=1, "Divorced", Table1[[#This Row],[Married]]=1, "Married", Table1[[#This Row],[Single]]=1, "Single", Table1[[#This Row],[Together]]=1, "Together", Table1[[#This Row],[Widow]]=1, "Widow")</f>
        <v>Single</v>
      </c>
      <c r="P1388" t="str" cm="1">
        <f t="array" ref="P1388">_xlfn.IFS(Table1[[#This Row],[Basic]]=1, "Basic", Table1[[#This Row],[Graduate]]=1, "Graduate", Table1[[#This Row],[Master]]=1, "Master", Table1[[#This Row],[PhD]]=1, "PhD", AND(Table1[[#This Row],[Basic]]=0, Table1[[#This Row],[Graduate]]=0, Table1[[#This Row],[Master]]=0, Table1[[#This Row],[PhD]]=0), "NA")</f>
        <v>PhD</v>
      </c>
      <c r="Q1388" t="e">
        <f>_xlfn.XLOOKUP(Table1[[#This Row],[ID]], Table2[ID],#REF!, "Not Found", 0)</f>
        <v>#REF!</v>
      </c>
      <c r="R1388" t="e">
        <f>_xlfn.XLOOKUP(Table1[[#This Row],[ID]], Table2[ID],#REF!, "Not Found", 0)</f>
        <v>#REF!</v>
      </c>
      <c r="S1388" s="3">
        <f>_xlfn.XLOOKUP(Table1[[#This Row],[ID]], Table2[ID], Table2[Enrollment], "Not Found", 0)</f>
        <v>43590</v>
      </c>
      <c r="T1388" t="s">
        <v>438</v>
      </c>
    </row>
    <row r="1389" spans="1:20" x14ac:dyDescent="0.3">
      <c r="A1389">
        <v>2113</v>
      </c>
      <c r="B1389">
        <v>142693</v>
      </c>
      <c r="C1389">
        <v>1</v>
      </c>
      <c r="D1389">
        <v>0</v>
      </c>
      <c r="E1389">
        <v>42</v>
      </c>
      <c r="F1389">
        <v>0</v>
      </c>
      <c r="G1389">
        <v>1</v>
      </c>
      <c r="H1389">
        <v>0</v>
      </c>
      <c r="I1389">
        <v>0</v>
      </c>
      <c r="J1389">
        <v>0</v>
      </c>
      <c r="K1389">
        <v>0</v>
      </c>
      <c r="L1389">
        <v>1</v>
      </c>
      <c r="M1389">
        <v>0</v>
      </c>
      <c r="N1389">
        <v>0</v>
      </c>
      <c r="O1389" t="str" cm="1">
        <f t="array" ref="O1389">_xlfn.IFS(Table1[[#This Row],[Divorced]]=1, "Divorced", Table1[[#This Row],[Married]]=1, "Married", Table1[[#This Row],[Single]]=1, "Single", Table1[[#This Row],[Together]]=1, "Together", Table1[[#This Row],[Widow]]=1, "Widow")</f>
        <v>Married</v>
      </c>
      <c r="P1389" t="str" cm="1">
        <f t="array" ref="P1389">_xlfn.IFS(Table1[[#This Row],[Basic]]=1, "Basic", Table1[[#This Row],[Graduate]]=1, "Graduate", Table1[[#This Row],[Master]]=1, "Master", Table1[[#This Row],[PhD]]=1, "PhD", AND(Table1[[#This Row],[Basic]]=0, Table1[[#This Row],[Graduate]]=0, Table1[[#This Row],[Master]]=0, Table1[[#This Row],[PhD]]=0), "NA")</f>
        <v>Graduate</v>
      </c>
      <c r="Q1389" t="e">
        <f>_xlfn.XLOOKUP(Table1[[#This Row],[ID]], Table2[ID],#REF!, "Not Found", 0)</f>
        <v>#REF!</v>
      </c>
      <c r="R1389" t="e">
        <f>_xlfn.XLOOKUP(Table1[[#This Row],[ID]], Table2[ID],#REF!, "Not Found", 0)</f>
        <v>#REF!</v>
      </c>
      <c r="S1389" s="3">
        <f>_xlfn.XLOOKUP(Table1[[#This Row],[ID]], Table2[ID], Table2[Enrollment], "Not Found", 0)</f>
        <v>44146</v>
      </c>
      <c r="T1389" t="s">
        <v>437</v>
      </c>
    </row>
    <row r="1390" spans="1:20" x14ac:dyDescent="0.3">
      <c r="A1390">
        <v>1506</v>
      </c>
      <c r="B1390">
        <v>142691</v>
      </c>
      <c r="C1390">
        <v>0</v>
      </c>
      <c r="D1390">
        <v>0</v>
      </c>
      <c r="E1390">
        <v>29</v>
      </c>
      <c r="F1390">
        <v>0</v>
      </c>
      <c r="G1390">
        <v>1</v>
      </c>
      <c r="H1390">
        <v>0</v>
      </c>
      <c r="I1390">
        <v>0</v>
      </c>
      <c r="J1390">
        <v>0</v>
      </c>
      <c r="K1390">
        <v>0</v>
      </c>
      <c r="L1390">
        <v>1</v>
      </c>
      <c r="M1390">
        <v>0</v>
      </c>
      <c r="N1390">
        <v>0</v>
      </c>
      <c r="O1390" t="str" cm="1">
        <f t="array" ref="O1390">_xlfn.IFS(Table1[[#This Row],[Divorced]]=1, "Divorced", Table1[[#This Row],[Married]]=1, "Married", Table1[[#This Row],[Single]]=1, "Single", Table1[[#This Row],[Together]]=1, "Together", Table1[[#This Row],[Widow]]=1, "Widow")</f>
        <v>Married</v>
      </c>
      <c r="P1390" t="str" cm="1">
        <f t="array" ref="P1390">_xlfn.IFS(Table1[[#This Row],[Basic]]=1, "Basic", Table1[[#This Row],[Graduate]]=1, "Graduate", Table1[[#This Row],[Master]]=1, "Master", Table1[[#This Row],[PhD]]=1, "PhD", AND(Table1[[#This Row],[Basic]]=0, Table1[[#This Row],[Graduate]]=0, Table1[[#This Row],[Master]]=0, Table1[[#This Row],[PhD]]=0), "NA")</f>
        <v>Graduate</v>
      </c>
      <c r="Q1390" t="e">
        <f>_xlfn.XLOOKUP(Table1[[#This Row],[ID]], Table2[ID],#REF!, "Not Found", 0)</f>
        <v>#REF!</v>
      </c>
      <c r="R1390" t="e">
        <f>_xlfn.XLOOKUP(Table1[[#This Row],[ID]], Table2[ID],#REF!, "Not Found", 0)</f>
        <v>#REF!</v>
      </c>
      <c r="S1390" s="3" t="str">
        <f>_xlfn.XLOOKUP(Table1[[#This Row],[ID]], Table2[ID], Table2[Enrollment], "Not Found", 0)</f>
        <v>1/21/2020</v>
      </c>
      <c r="T1390" t="s">
        <v>436</v>
      </c>
    </row>
    <row r="1391" spans="1:20" x14ac:dyDescent="0.3">
      <c r="A1391">
        <v>1296</v>
      </c>
      <c r="B1391">
        <v>142670</v>
      </c>
      <c r="C1391">
        <v>0</v>
      </c>
      <c r="D1391">
        <v>0</v>
      </c>
      <c r="E1391">
        <v>28</v>
      </c>
      <c r="F1391">
        <v>0</v>
      </c>
      <c r="G1391">
        <v>0</v>
      </c>
      <c r="H1391">
        <v>0</v>
      </c>
      <c r="I1391">
        <v>1</v>
      </c>
      <c r="J1391">
        <v>0</v>
      </c>
      <c r="K1391">
        <v>0</v>
      </c>
      <c r="L1391">
        <v>0</v>
      </c>
      <c r="M1391">
        <v>1</v>
      </c>
      <c r="N1391">
        <v>0</v>
      </c>
      <c r="O1391" t="str" cm="1">
        <f t="array" ref="O1391">_xlfn.IFS(Table1[[#This Row],[Divorced]]=1, "Divorced", Table1[[#This Row],[Married]]=1, "Married", Table1[[#This Row],[Single]]=1, "Single", Table1[[#This Row],[Together]]=1, "Together", Table1[[#This Row],[Widow]]=1, "Widow")</f>
        <v>Together</v>
      </c>
      <c r="P1391" t="str" cm="1">
        <f t="array" ref="P1391">_xlfn.IFS(Table1[[#This Row],[Basic]]=1, "Basic", Table1[[#This Row],[Graduate]]=1, "Graduate", Table1[[#This Row],[Master]]=1, "Master", Table1[[#This Row],[PhD]]=1, "PhD", AND(Table1[[#This Row],[Basic]]=0, Table1[[#This Row],[Graduate]]=0, Table1[[#This Row],[Master]]=0, Table1[[#This Row],[PhD]]=0), "NA")</f>
        <v>Master</v>
      </c>
      <c r="Q1391" t="e">
        <f>_xlfn.XLOOKUP(Table1[[#This Row],[ID]], Table2[ID],#REF!, "Not Found", 0)</f>
        <v>#REF!</v>
      </c>
      <c r="R1391" t="e">
        <f>_xlfn.XLOOKUP(Table1[[#This Row],[ID]], Table2[ID],#REF!, "Not Found", 0)</f>
        <v>#REF!</v>
      </c>
      <c r="S1391" s="3">
        <f>_xlfn.XLOOKUP(Table1[[#This Row],[ID]], Table2[ID], Table2[Enrollment], "Not Found", 0)</f>
        <v>43506</v>
      </c>
      <c r="T1391" t="s">
        <v>436</v>
      </c>
    </row>
    <row r="1392" spans="1:20" x14ac:dyDescent="0.3">
      <c r="A1392">
        <v>2749</v>
      </c>
      <c r="B1392">
        <v>142664</v>
      </c>
      <c r="C1392">
        <v>0</v>
      </c>
      <c r="D1392">
        <v>1</v>
      </c>
      <c r="E1392">
        <v>53</v>
      </c>
      <c r="F1392">
        <v>0</v>
      </c>
      <c r="G1392">
        <v>1</v>
      </c>
      <c r="H1392">
        <v>0</v>
      </c>
      <c r="I1392">
        <v>0</v>
      </c>
      <c r="J1392">
        <v>0</v>
      </c>
      <c r="K1392">
        <v>0</v>
      </c>
      <c r="L1392">
        <v>1</v>
      </c>
      <c r="M1392">
        <v>0</v>
      </c>
      <c r="N1392">
        <v>0</v>
      </c>
      <c r="O1392" t="str" cm="1">
        <f t="array" ref="O1392">_xlfn.IFS(Table1[[#This Row],[Divorced]]=1, "Divorced", Table1[[#This Row],[Married]]=1, "Married", Table1[[#This Row],[Single]]=1, "Single", Table1[[#This Row],[Together]]=1, "Together", Table1[[#This Row],[Widow]]=1, "Widow")</f>
        <v>Married</v>
      </c>
      <c r="P1392" t="str" cm="1">
        <f t="array" ref="P1392">_xlfn.IFS(Table1[[#This Row],[Basic]]=1, "Basic", Table1[[#This Row],[Graduate]]=1, "Graduate", Table1[[#This Row],[Master]]=1, "Master", Table1[[#This Row],[PhD]]=1, "PhD", AND(Table1[[#This Row],[Basic]]=0, Table1[[#This Row],[Graduate]]=0, Table1[[#This Row],[Master]]=0, Table1[[#This Row],[PhD]]=0), "NA")</f>
        <v>Graduate</v>
      </c>
      <c r="Q1392" t="e">
        <f>_xlfn.XLOOKUP(Table1[[#This Row],[ID]], Table2[ID],#REF!, "Not Found", 0)</f>
        <v>#REF!</v>
      </c>
      <c r="R1392" t="e">
        <f>_xlfn.XLOOKUP(Table1[[#This Row],[ID]], Table2[ID],#REF!, "Not Found", 0)</f>
        <v>#REF!</v>
      </c>
      <c r="S1392" s="3" t="str">
        <f>_xlfn.XLOOKUP(Table1[[#This Row],[ID]], Table2[ID], Table2[Enrollment], "Not Found", 0)</f>
        <v>8/22/2020</v>
      </c>
      <c r="T1392" t="s">
        <v>437</v>
      </c>
    </row>
    <row r="1393" spans="1:20" x14ac:dyDescent="0.3">
      <c r="A1393">
        <v>1430</v>
      </c>
      <c r="B1393">
        <v>142618</v>
      </c>
      <c r="C1393">
        <v>1</v>
      </c>
      <c r="D1393">
        <v>0</v>
      </c>
      <c r="E1393">
        <v>48</v>
      </c>
      <c r="F1393">
        <v>1</v>
      </c>
      <c r="G1393">
        <v>0</v>
      </c>
      <c r="H1393">
        <v>0</v>
      </c>
      <c r="I1393">
        <v>0</v>
      </c>
      <c r="J1393">
        <v>0</v>
      </c>
      <c r="K1393">
        <v>0</v>
      </c>
      <c r="L1393">
        <v>0</v>
      </c>
      <c r="M1393">
        <v>1</v>
      </c>
      <c r="N1393">
        <v>0</v>
      </c>
      <c r="O1393" t="str" cm="1">
        <f t="array" ref="O1393">_xlfn.IFS(Table1[[#This Row],[Divorced]]=1, "Divorced", Table1[[#This Row],[Married]]=1, "Married", Table1[[#This Row],[Single]]=1, "Single", Table1[[#This Row],[Together]]=1, "Together", Table1[[#This Row],[Widow]]=1, "Widow")</f>
        <v>Divorced</v>
      </c>
      <c r="P1393" t="str" cm="1">
        <f t="array" ref="P1393">_xlfn.IFS(Table1[[#This Row],[Basic]]=1, "Basic", Table1[[#This Row],[Graduate]]=1, "Graduate", Table1[[#This Row],[Master]]=1, "Master", Table1[[#This Row],[PhD]]=1, "PhD", AND(Table1[[#This Row],[Basic]]=0, Table1[[#This Row],[Graduate]]=0, Table1[[#This Row],[Master]]=0, Table1[[#This Row],[PhD]]=0), "NA")</f>
        <v>Master</v>
      </c>
      <c r="Q1393" t="e">
        <f>_xlfn.XLOOKUP(Table1[[#This Row],[ID]], Table2[ID],#REF!, "Not Found", 0)</f>
        <v>#REF!</v>
      </c>
      <c r="R1393" t="e">
        <f>_xlfn.XLOOKUP(Table1[[#This Row],[ID]], Table2[ID],#REF!, "Not Found", 0)</f>
        <v>#REF!</v>
      </c>
      <c r="S1393" s="3" t="str">
        <f>_xlfn.XLOOKUP(Table1[[#This Row],[ID]], Table2[ID], Table2[Enrollment], "Not Found", 0)</f>
        <v>3/15/2020</v>
      </c>
      <c r="T1393" t="s">
        <v>438</v>
      </c>
    </row>
    <row r="1394" spans="1:20" x14ac:dyDescent="0.3">
      <c r="A1394">
        <v>1899</v>
      </c>
      <c r="B1394">
        <v>142607</v>
      </c>
      <c r="C1394">
        <v>0</v>
      </c>
      <c r="D1394">
        <v>1</v>
      </c>
      <c r="E1394">
        <v>66</v>
      </c>
      <c r="F1394">
        <v>0</v>
      </c>
      <c r="G1394">
        <v>0</v>
      </c>
      <c r="H1394">
        <v>1</v>
      </c>
      <c r="I1394">
        <v>0</v>
      </c>
      <c r="J1394">
        <v>0</v>
      </c>
      <c r="K1394">
        <v>0</v>
      </c>
      <c r="L1394">
        <v>0</v>
      </c>
      <c r="M1394">
        <v>0</v>
      </c>
      <c r="N1394">
        <v>0</v>
      </c>
      <c r="O1394" t="str" cm="1">
        <f t="array" ref="O1394">_xlfn.IFS(Table1[[#This Row],[Divorced]]=1, "Divorced", Table1[[#This Row],[Married]]=1, "Married", Table1[[#This Row],[Single]]=1, "Single", Table1[[#This Row],[Together]]=1, "Together", Table1[[#This Row],[Widow]]=1, "Widow")</f>
        <v>Single</v>
      </c>
      <c r="P1394" t="str" cm="1">
        <f t="array" ref="P1394">_xlfn.IFS(Table1[[#This Row],[Basic]]=1, "Basic", Table1[[#This Row],[Graduate]]=1, "Graduate", Table1[[#This Row],[Master]]=1, "Master", Table1[[#This Row],[PhD]]=1, "PhD", AND(Table1[[#This Row],[Basic]]=0, Table1[[#This Row],[Graduate]]=0, Table1[[#This Row],[Master]]=0, Table1[[#This Row],[PhD]]=0), "NA")</f>
        <v>NA</v>
      </c>
      <c r="Q1394" t="e">
        <f>_xlfn.XLOOKUP(Table1[[#This Row],[ID]], Table2[ID],#REF!, "Not Found", 0)</f>
        <v>#REF!</v>
      </c>
      <c r="R1394" t="e">
        <f>_xlfn.XLOOKUP(Table1[[#This Row],[ID]], Table2[ID],#REF!, "Not Found", 0)</f>
        <v>#REF!</v>
      </c>
      <c r="S1394" s="3" t="str">
        <f>_xlfn.XLOOKUP(Table1[[#This Row],[ID]], Table2[ID], Table2[Enrollment], "Not Found", 0)</f>
        <v>4/23/2020</v>
      </c>
      <c r="T1394" t="s">
        <v>435</v>
      </c>
    </row>
    <row r="1395" spans="1:20" x14ac:dyDescent="0.3">
      <c r="A1395">
        <v>2701</v>
      </c>
      <c r="B1395">
        <v>142586</v>
      </c>
      <c r="C1395">
        <v>1</v>
      </c>
      <c r="D1395">
        <v>1</v>
      </c>
      <c r="E1395">
        <v>65</v>
      </c>
      <c r="F1395">
        <v>0</v>
      </c>
      <c r="G1395">
        <v>0</v>
      </c>
      <c r="H1395">
        <v>0</v>
      </c>
      <c r="I1395">
        <v>1</v>
      </c>
      <c r="J1395">
        <v>0</v>
      </c>
      <c r="K1395">
        <v>0</v>
      </c>
      <c r="L1395">
        <v>1</v>
      </c>
      <c r="M1395">
        <v>0</v>
      </c>
      <c r="N1395">
        <v>0</v>
      </c>
      <c r="O1395" t="str" cm="1">
        <f t="array" ref="O1395">_xlfn.IFS(Table1[[#This Row],[Divorced]]=1, "Divorced", Table1[[#This Row],[Married]]=1, "Married", Table1[[#This Row],[Single]]=1, "Single", Table1[[#This Row],[Together]]=1, "Together", Table1[[#This Row],[Widow]]=1, "Widow")</f>
        <v>Together</v>
      </c>
      <c r="P1395" t="str" cm="1">
        <f t="array" ref="P1395">_xlfn.IFS(Table1[[#This Row],[Basic]]=1, "Basic", Table1[[#This Row],[Graduate]]=1, "Graduate", Table1[[#This Row],[Master]]=1, "Master", Table1[[#This Row],[PhD]]=1, "PhD", AND(Table1[[#This Row],[Basic]]=0, Table1[[#This Row],[Graduate]]=0, Table1[[#This Row],[Master]]=0, Table1[[#This Row],[PhD]]=0), "NA")</f>
        <v>Graduate</v>
      </c>
      <c r="Q1395" t="e">
        <f>_xlfn.XLOOKUP(Table1[[#This Row],[ID]], Table2[ID],#REF!, "Not Found", 0)</f>
        <v>#REF!</v>
      </c>
      <c r="R1395" t="e">
        <f>_xlfn.XLOOKUP(Table1[[#This Row],[ID]], Table2[ID],#REF!, "Not Found", 0)</f>
        <v>#REF!</v>
      </c>
      <c r="S1395" s="3">
        <f>_xlfn.XLOOKUP(Table1[[#This Row],[ID]], Table2[ID], Table2[Enrollment], "Not Found", 0)</f>
        <v>43589</v>
      </c>
      <c r="T1395" t="s">
        <v>437</v>
      </c>
    </row>
    <row r="1396" spans="1:20" x14ac:dyDescent="0.3">
      <c r="A1396">
        <v>2750</v>
      </c>
      <c r="B1396">
        <v>142586</v>
      </c>
      <c r="C1396">
        <v>1</v>
      </c>
      <c r="D1396">
        <v>1</v>
      </c>
      <c r="E1396">
        <v>65</v>
      </c>
      <c r="F1396">
        <v>0</v>
      </c>
      <c r="G1396">
        <v>0</v>
      </c>
      <c r="H1396">
        <v>0</v>
      </c>
      <c r="I1396">
        <v>1</v>
      </c>
      <c r="J1396">
        <v>0</v>
      </c>
      <c r="K1396">
        <v>0</v>
      </c>
      <c r="L1396">
        <v>1</v>
      </c>
      <c r="M1396">
        <v>0</v>
      </c>
      <c r="N1396">
        <v>0</v>
      </c>
      <c r="O1396" t="str" cm="1">
        <f t="array" ref="O1396">_xlfn.IFS(Table1[[#This Row],[Divorced]]=1, "Divorced", Table1[[#This Row],[Married]]=1, "Married", Table1[[#This Row],[Single]]=1, "Single", Table1[[#This Row],[Together]]=1, "Together", Table1[[#This Row],[Widow]]=1, "Widow")</f>
        <v>Together</v>
      </c>
      <c r="P1396" t="str" cm="1">
        <f t="array" ref="P1396">_xlfn.IFS(Table1[[#This Row],[Basic]]=1, "Basic", Table1[[#This Row],[Graduate]]=1, "Graduate", Table1[[#This Row],[Master]]=1, "Master", Table1[[#This Row],[PhD]]=1, "PhD", AND(Table1[[#This Row],[Basic]]=0, Table1[[#This Row],[Graduate]]=0, Table1[[#This Row],[Master]]=0, Table1[[#This Row],[PhD]]=0), "NA")</f>
        <v>Graduate</v>
      </c>
      <c r="Q1396" t="e">
        <f>_xlfn.XLOOKUP(Table1[[#This Row],[ID]], Table2[ID],#REF!, "Not Found", 0)</f>
        <v>#REF!</v>
      </c>
      <c r="R1396" t="e">
        <f>_xlfn.XLOOKUP(Table1[[#This Row],[ID]], Table2[ID],#REF!, "Not Found", 0)</f>
        <v>#REF!</v>
      </c>
      <c r="S1396" s="3">
        <f>_xlfn.XLOOKUP(Table1[[#This Row],[ID]], Table2[ID], Table2[Enrollment], "Not Found", 0)</f>
        <v>43589</v>
      </c>
      <c r="T1396" t="s">
        <v>438</v>
      </c>
    </row>
    <row r="1397" spans="1:20" x14ac:dyDescent="0.3">
      <c r="A1397">
        <v>1768</v>
      </c>
      <c r="B1397">
        <v>142564</v>
      </c>
      <c r="C1397">
        <v>0</v>
      </c>
      <c r="D1397">
        <v>1</v>
      </c>
      <c r="E1397">
        <v>52</v>
      </c>
      <c r="F1397">
        <v>1</v>
      </c>
      <c r="G1397">
        <v>0</v>
      </c>
      <c r="H1397">
        <v>0</v>
      </c>
      <c r="I1397">
        <v>0</v>
      </c>
      <c r="J1397">
        <v>0</v>
      </c>
      <c r="K1397">
        <v>0</v>
      </c>
      <c r="L1397">
        <v>0</v>
      </c>
      <c r="M1397">
        <v>0</v>
      </c>
      <c r="N1397">
        <v>1</v>
      </c>
      <c r="O1397" t="str" cm="1">
        <f t="array" ref="O1397">_xlfn.IFS(Table1[[#This Row],[Divorced]]=1, "Divorced", Table1[[#This Row],[Married]]=1, "Married", Table1[[#This Row],[Single]]=1, "Single", Table1[[#This Row],[Together]]=1, "Together", Table1[[#This Row],[Widow]]=1, "Widow")</f>
        <v>Divorced</v>
      </c>
      <c r="P1397" t="str" cm="1">
        <f t="array" ref="P1397">_xlfn.IFS(Table1[[#This Row],[Basic]]=1, "Basic", Table1[[#This Row],[Graduate]]=1, "Graduate", Table1[[#This Row],[Master]]=1, "Master", Table1[[#This Row],[PhD]]=1, "PhD", AND(Table1[[#This Row],[Basic]]=0, Table1[[#This Row],[Graduate]]=0, Table1[[#This Row],[Master]]=0, Table1[[#This Row],[PhD]]=0), "NA")</f>
        <v>PhD</v>
      </c>
      <c r="Q1397" t="e">
        <f>_xlfn.XLOOKUP(Table1[[#This Row],[ID]], Table2[ID],#REF!, "Not Found", 0)</f>
        <v>#REF!</v>
      </c>
      <c r="R1397" t="e">
        <f>_xlfn.XLOOKUP(Table1[[#This Row],[ID]], Table2[ID],#REF!, "Not Found", 0)</f>
        <v>#REF!</v>
      </c>
      <c r="S1397" s="3">
        <f>_xlfn.XLOOKUP(Table1[[#This Row],[ID]], Table2[ID], Table2[Enrollment], "Not Found", 0)</f>
        <v>43714</v>
      </c>
      <c r="T1397" t="s">
        <v>439</v>
      </c>
    </row>
    <row r="1398" spans="1:20" x14ac:dyDescent="0.3">
      <c r="A1398">
        <v>2037</v>
      </c>
      <c r="B1398">
        <v>142557</v>
      </c>
      <c r="C1398">
        <v>0</v>
      </c>
      <c r="D1398">
        <v>1</v>
      </c>
      <c r="E1398">
        <v>46</v>
      </c>
      <c r="F1398">
        <v>0</v>
      </c>
      <c r="G1398">
        <v>1</v>
      </c>
      <c r="H1398">
        <v>0</v>
      </c>
      <c r="I1398">
        <v>0</v>
      </c>
      <c r="J1398">
        <v>0</v>
      </c>
      <c r="K1398">
        <v>0</v>
      </c>
      <c r="L1398">
        <v>1</v>
      </c>
      <c r="M1398">
        <v>0</v>
      </c>
      <c r="N1398">
        <v>0</v>
      </c>
      <c r="O1398" t="str" cm="1">
        <f t="array" ref="O1398">_xlfn.IFS(Table1[[#This Row],[Divorced]]=1, "Divorced", Table1[[#This Row],[Married]]=1, "Married", Table1[[#This Row],[Single]]=1, "Single", Table1[[#This Row],[Together]]=1, "Together", Table1[[#This Row],[Widow]]=1, "Widow")</f>
        <v>Married</v>
      </c>
      <c r="P1398" t="str" cm="1">
        <f t="array" ref="P1398">_xlfn.IFS(Table1[[#This Row],[Basic]]=1, "Basic", Table1[[#This Row],[Graduate]]=1, "Graduate", Table1[[#This Row],[Master]]=1, "Master", Table1[[#This Row],[PhD]]=1, "PhD", AND(Table1[[#This Row],[Basic]]=0, Table1[[#This Row],[Graduate]]=0, Table1[[#This Row],[Master]]=0, Table1[[#This Row],[PhD]]=0), "NA")</f>
        <v>Graduate</v>
      </c>
      <c r="Q1398" t="e">
        <f>_xlfn.XLOOKUP(Table1[[#This Row],[ID]], Table2[ID],#REF!, "Not Found", 0)</f>
        <v>#REF!</v>
      </c>
      <c r="R1398" t="e">
        <f>_xlfn.XLOOKUP(Table1[[#This Row],[ID]], Table2[ID],#REF!, "Not Found", 0)</f>
        <v>#REF!</v>
      </c>
      <c r="S1398" s="3">
        <f>_xlfn.XLOOKUP(Table1[[#This Row],[ID]], Table2[ID], Table2[Enrollment], "Not Found", 0)</f>
        <v>43526</v>
      </c>
      <c r="T1398" t="s">
        <v>435</v>
      </c>
    </row>
    <row r="1399" spans="1:20" x14ac:dyDescent="0.3">
      <c r="A1399">
        <v>3036</v>
      </c>
      <c r="B1399">
        <v>142554</v>
      </c>
      <c r="C1399">
        <v>1</v>
      </c>
      <c r="D1399">
        <v>1</v>
      </c>
      <c r="E1399">
        <v>42</v>
      </c>
      <c r="F1399">
        <v>0</v>
      </c>
      <c r="G1399">
        <v>0</v>
      </c>
      <c r="H1399">
        <v>0</v>
      </c>
      <c r="I1399">
        <v>1</v>
      </c>
      <c r="J1399">
        <v>0</v>
      </c>
      <c r="K1399">
        <v>0</v>
      </c>
      <c r="L1399">
        <v>1</v>
      </c>
      <c r="M1399">
        <v>0</v>
      </c>
      <c r="N1399">
        <v>0</v>
      </c>
      <c r="O1399" t="str" cm="1">
        <f t="array" ref="O1399">_xlfn.IFS(Table1[[#This Row],[Divorced]]=1, "Divorced", Table1[[#This Row],[Married]]=1, "Married", Table1[[#This Row],[Single]]=1, "Single", Table1[[#This Row],[Together]]=1, "Together", Table1[[#This Row],[Widow]]=1, "Widow")</f>
        <v>Together</v>
      </c>
      <c r="P1399" t="str" cm="1">
        <f t="array" ref="P1399">_xlfn.IFS(Table1[[#This Row],[Basic]]=1, "Basic", Table1[[#This Row],[Graduate]]=1, "Graduate", Table1[[#This Row],[Master]]=1, "Master", Table1[[#This Row],[PhD]]=1, "PhD", AND(Table1[[#This Row],[Basic]]=0, Table1[[#This Row],[Graduate]]=0, Table1[[#This Row],[Master]]=0, Table1[[#This Row],[PhD]]=0), "NA")</f>
        <v>Graduate</v>
      </c>
      <c r="Q1399" t="e">
        <f>_xlfn.XLOOKUP(Table1[[#This Row],[ID]], Table2[ID],#REF!, "Not Found", 0)</f>
        <v>#REF!</v>
      </c>
      <c r="R1399" t="e">
        <f>_xlfn.XLOOKUP(Table1[[#This Row],[ID]], Table2[ID],#REF!, "Not Found", 0)</f>
        <v>#REF!</v>
      </c>
      <c r="S1399" s="3" t="str">
        <f>_xlfn.XLOOKUP(Table1[[#This Row],[ID]], Table2[ID], Table2[Enrollment], "Not Found", 0)</f>
        <v>6/19/2019</v>
      </c>
      <c r="T1399" t="s">
        <v>436</v>
      </c>
    </row>
    <row r="1400" spans="1:20" x14ac:dyDescent="0.3">
      <c r="A1400">
        <v>2414</v>
      </c>
      <c r="B1400">
        <v>142523</v>
      </c>
      <c r="C1400">
        <v>0</v>
      </c>
      <c r="D1400">
        <v>0</v>
      </c>
      <c r="E1400">
        <v>56</v>
      </c>
      <c r="F1400">
        <v>0</v>
      </c>
      <c r="G1400">
        <v>1</v>
      </c>
      <c r="H1400">
        <v>0</v>
      </c>
      <c r="I1400">
        <v>0</v>
      </c>
      <c r="J1400">
        <v>0</v>
      </c>
      <c r="K1400">
        <v>0</v>
      </c>
      <c r="L1400">
        <v>1</v>
      </c>
      <c r="M1400">
        <v>0</v>
      </c>
      <c r="N1400">
        <v>0</v>
      </c>
      <c r="O1400" t="str" cm="1">
        <f t="array" ref="O1400">_xlfn.IFS(Table1[[#This Row],[Divorced]]=1, "Divorced", Table1[[#This Row],[Married]]=1, "Married", Table1[[#This Row],[Single]]=1, "Single", Table1[[#This Row],[Together]]=1, "Together", Table1[[#This Row],[Widow]]=1, "Widow")</f>
        <v>Married</v>
      </c>
      <c r="P1400" t="str" cm="1">
        <f t="array" ref="P1400">_xlfn.IFS(Table1[[#This Row],[Basic]]=1, "Basic", Table1[[#This Row],[Graduate]]=1, "Graduate", Table1[[#This Row],[Master]]=1, "Master", Table1[[#This Row],[PhD]]=1, "PhD", AND(Table1[[#This Row],[Basic]]=0, Table1[[#This Row],[Graduate]]=0, Table1[[#This Row],[Master]]=0, Table1[[#This Row],[PhD]]=0), "NA")</f>
        <v>Graduate</v>
      </c>
      <c r="Q1400" t="e">
        <f>_xlfn.XLOOKUP(Table1[[#This Row],[ID]], Table2[ID],#REF!, "Not Found", 0)</f>
        <v>#REF!</v>
      </c>
      <c r="R1400" t="e">
        <f>_xlfn.XLOOKUP(Table1[[#This Row],[ID]], Table2[ID],#REF!, "Not Found", 0)</f>
        <v>#REF!</v>
      </c>
      <c r="S1400" s="3" t="str">
        <f>_xlfn.XLOOKUP(Table1[[#This Row],[ID]], Table2[ID], Table2[Enrollment], "Not Found", 0)</f>
        <v>9/27/2020</v>
      </c>
      <c r="T1400" t="s">
        <v>438</v>
      </c>
    </row>
    <row r="1401" spans="1:20" x14ac:dyDescent="0.3">
      <c r="A1401">
        <v>3150</v>
      </c>
      <c r="B1401">
        <v>142523</v>
      </c>
      <c r="C1401">
        <v>0</v>
      </c>
      <c r="D1401">
        <v>0</v>
      </c>
      <c r="E1401">
        <v>56</v>
      </c>
      <c r="F1401">
        <v>0</v>
      </c>
      <c r="G1401">
        <v>1</v>
      </c>
      <c r="H1401">
        <v>0</v>
      </c>
      <c r="I1401">
        <v>0</v>
      </c>
      <c r="J1401">
        <v>0</v>
      </c>
      <c r="K1401">
        <v>0</v>
      </c>
      <c r="L1401">
        <v>1</v>
      </c>
      <c r="M1401">
        <v>0</v>
      </c>
      <c r="N1401">
        <v>0</v>
      </c>
      <c r="O1401" t="str" cm="1">
        <f t="array" ref="O1401">_xlfn.IFS(Table1[[#This Row],[Divorced]]=1, "Divorced", Table1[[#This Row],[Married]]=1, "Married", Table1[[#This Row],[Single]]=1, "Single", Table1[[#This Row],[Together]]=1, "Together", Table1[[#This Row],[Widow]]=1, "Widow")</f>
        <v>Married</v>
      </c>
      <c r="P1401" t="str" cm="1">
        <f t="array" ref="P1401">_xlfn.IFS(Table1[[#This Row],[Basic]]=1, "Basic", Table1[[#This Row],[Graduate]]=1, "Graduate", Table1[[#This Row],[Master]]=1, "Master", Table1[[#This Row],[PhD]]=1, "PhD", AND(Table1[[#This Row],[Basic]]=0, Table1[[#This Row],[Graduate]]=0, Table1[[#This Row],[Master]]=0, Table1[[#This Row],[PhD]]=0), "NA")</f>
        <v>Graduate</v>
      </c>
      <c r="Q1401" t="e">
        <f>_xlfn.XLOOKUP(Table1[[#This Row],[ID]], Table2[ID],#REF!, "Not Found", 0)</f>
        <v>#REF!</v>
      </c>
      <c r="R1401" t="e">
        <f>_xlfn.XLOOKUP(Table1[[#This Row],[ID]], Table2[ID],#REF!, "Not Found", 0)</f>
        <v>#REF!</v>
      </c>
      <c r="S1401" s="3" t="str">
        <f>_xlfn.XLOOKUP(Table1[[#This Row],[ID]], Table2[ID], Table2[Enrollment], "Not Found", 0)</f>
        <v>9/27/2020</v>
      </c>
      <c r="T1401" t="s">
        <v>436</v>
      </c>
    </row>
    <row r="1402" spans="1:20" x14ac:dyDescent="0.3">
      <c r="A1402">
        <v>2756</v>
      </c>
      <c r="B1402">
        <v>142473</v>
      </c>
      <c r="C1402">
        <v>1</v>
      </c>
      <c r="D1402">
        <v>1</v>
      </c>
      <c r="E1402">
        <v>44</v>
      </c>
      <c r="F1402">
        <v>0</v>
      </c>
      <c r="G1402">
        <v>0</v>
      </c>
      <c r="H1402">
        <v>1</v>
      </c>
      <c r="I1402">
        <v>0</v>
      </c>
      <c r="J1402">
        <v>0</v>
      </c>
      <c r="K1402">
        <v>0</v>
      </c>
      <c r="L1402">
        <v>0</v>
      </c>
      <c r="M1402">
        <v>0</v>
      </c>
      <c r="N1402">
        <v>1</v>
      </c>
      <c r="O1402" t="str" cm="1">
        <f t="array" ref="O1402">_xlfn.IFS(Table1[[#This Row],[Divorced]]=1, "Divorced", Table1[[#This Row],[Married]]=1, "Married", Table1[[#This Row],[Single]]=1, "Single", Table1[[#This Row],[Together]]=1, "Together", Table1[[#This Row],[Widow]]=1, "Widow")</f>
        <v>Single</v>
      </c>
      <c r="P1402" t="str" cm="1">
        <f t="array" ref="P1402">_xlfn.IFS(Table1[[#This Row],[Basic]]=1, "Basic", Table1[[#This Row],[Graduate]]=1, "Graduate", Table1[[#This Row],[Master]]=1, "Master", Table1[[#This Row],[PhD]]=1, "PhD", AND(Table1[[#This Row],[Basic]]=0, Table1[[#This Row],[Graduate]]=0, Table1[[#This Row],[Master]]=0, Table1[[#This Row],[PhD]]=0), "NA")</f>
        <v>PhD</v>
      </c>
      <c r="Q1402" t="e">
        <f>_xlfn.XLOOKUP(Table1[[#This Row],[ID]], Table2[ID],#REF!, "Not Found", 0)</f>
        <v>#REF!</v>
      </c>
      <c r="R1402" t="e">
        <f>_xlfn.XLOOKUP(Table1[[#This Row],[ID]], Table2[ID],#REF!, "Not Found", 0)</f>
        <v>#REF!</v>
      </c>
      <c r="S1402" s="3" t="str">
        <f>_xlfn.XLOOKUP(Table1[[#This Row],[ID]], Table2[ID], Table2[Enrollment], "Not Found", 0)</f>
        <v>7/24/2020</v>
      </c>
      <c r="T1402" t="s">
        <v>438</v>
      </c>
    </row>
    <row r="1403" spans="1:20" x14ac:dyDescent="0.3">
      <c r="A1403">
        <v>1037</v>
      </c>
      <c r="B1403">
        <v>142429</v>
      </c>
      <c r="C1403">
        <v>0</v>
      </c>
      <c r="D1403">
        <v>1</v>
      </c>
      <c r="E1403">
        <v>47</v>
      </c>
      <c r="F1403">
        <v>0</v>
      </c>
      <c r="G1403">
        <v>0</v>
      </c>
      <c r="H1403">
        <v>0</v>
      </c>
      <c r="I1403">
        <v>0</v>
      </c>
      <c r="J1403">
        <v>1</v>
      </c>
      <c r="K1403">
        <v>0</v>
      </c>
      <c r="L1403">
        <v>1</v>
      </c>
      <c r="M1403">
        <v>0</v>
      </c>
      <c r="N1403">
        <v>0</v>
      </c>
      <c r="O1403" t="str" cm="1">
        <f t="array" ref="O1403">_xlfn.IFS(Table1[[#This Row],[Divorced]]=1, "Divorced", Table1[[#This Row],[Married]]=1, "Married", Table1[[#This Row],[Single]]=1, "Single", Table1[[#This Row],[Together]]=1, "Together", Table1[[#This Row],[Widow]]=1, "Widow")</f>
        <v>Widow</v>
      </c>
      <c r="P1403" t="str" cm="1">
        <f t="array" ref="P1403">_xlfn.IFS(Table1[[#This Row],[Basic]]=1, "Basic", Table1[[#This Row],[Graduate]]=1, "Graduate", Table1[[#This Row],[Master]]=1, "Master", Table1[[#This Row],[PhD]]=1, "PhD", AND(Table1[[#This Row],[Basic]]=0, Table1[[#This Row],[Graduate]]=0, Table1[[#This Row],[Master]]=0, Table1[[#This Row],[PhD]]=0), "NA")</f>
        <v>Graduate</v>
      </c>
      <c r="Q1403" t="e">
        <f>_xlfn.XLOOKUP(Table1[[#This Row],[ID]], Table2[ID],#REF!, "Not Found", 0)</f>
        <v>#REF!</v>
      </c>
      <c r="R1403" t="e">
        <f>_xlfn.XLOOKUP(Table1[[#This Row],[ID]], Table2[ID],#REF!, "Not Found", 0)</f>
        <v>#REF!</v>
      </c>
      <c r="S1403" s="3" t="str">
        <f>_xlfn.XLOOKUP(Table1[[#This Row],[ID]], Table2[ID], Table2[Enrollment], "Not Found", 0)</f>
        <v>7/18/2020</v>
      </c>
      <c r="T1403" t="s">
        <v>434</v>
      </c>
    </row>
    <row r="1404" spans="1:20" x14ac:dyDescent="0.3">
      <c r="A1404">
        <v>1590</v>
      </c>
      <c r="B1404">
        <v>142429</v>
      </c>
      <c r="C1404">
        <v>0</v>
      </c>
      <c r="D1404">
        <v>1</v>
      </c>
      <c r="E1404">
        <v>47</v>
      </c>
      <c r="F1404">
        <v>0</v>
      </c>
      <c r="G1404">
        <v>0</v>
      </c>
      <c r="H1404">
        <v>0</v>
      </c>
      <c r="I1404">
        <v>0</v>
      </c>
      <c r="J1404">
        <v>1</v>
      </c>
      <c r="K1404">
        <v>0</v>
      </c>
      <c r="L1404">
        <v>1</v>
      </c>
      <c r="M1404">
        <v>0</v>
      </c>
      <c r="N1404">
        <v>0</v>
      </c>
      <c r="O1404" t="str" cm="1">
        <f t="array" ref="O1404">_xlfn.IFS(Table1[[#This Row],[Divorced]]=1, "Divorced", Table1[[#This Row],[Married]]=1, "Married", Table1[[#This Row],[Single]]=1, "Single", Table1[[#This Row],[Together]]=1, "Together", Table1[[#This Row],[Widow]]=1, "Widow")</f>
        <v>Widow</v>
      </c>
      <c r="P1404" t="str" cm="1">
        <f t="array" ref="P1404">_xlfn.IFS(Table1[[#This Row],[Basic]]=1, "Basic", Table1[[#This Row],[Graduate]]=1, "Graduate", Table1[[#This Row],[Master]]=1, "Master", Table1[[#This Row],[PhD]]=1, "PhD", AND(Table1[[#This Row],[Basic]]=0, Table1[[#This Row],[Graduate]]=0, Table1[[#This Row],[Master]]=0, Table1[[#This Row],[PhD]]=0), "NA")</f>
        <v>Graduate</v>
      </c>
      <c r="Q1404" t="e">
        <f>_xlfn.XLOOKUP(Table1[[#This Row],[ID]], Table2[ID],#REF!, "Not Found", 0)</f>
        <v>#REF!</v>
      </c>
      <c r="R1404" t="e">
        <f>_xlfn.XLOOKUP(Table1[[#This Row],[ID]], Table2[ID],#REF!, "Not Found", 0)</f>
        <v>#REF!</v>
      </c>
      <c r="S1404" s="3" t="str">
        <f>_xlfn.XLOOKUP(Table1[[#This Row],[ID]], Table2[ID], Table2[Enrollment], "Not Found", 0)</f>
        <v>7/18/2020</v>
      </c>
      <c r="T1404" t="s">
        <v>436</v>
      </c>
    </row>
    <row r="1405" spans="1:20" x14ac:dyDescent="0.3">
      <c r="A1405">
        <v>2714</v>
      </c>
      <c r="B1405">
        <v>142403</v>
      </c>
      <c r="C1405">
        <v>1</v>
      </c>
      <c r="D1405">
        <v>0</v>
      </c>
      <c r="E1405">
        <v>49</v>
      </c>
      <c r="F1405">
        <v>0</v>
      </c>
      <c r="G1405">
        <v>1</v>
      </c>
      <c r="H1405">
        <v>0</v>
      </c>
      <c r="I1405">
        <v>0</v>
      </c>
      <c r="J1405">
        <v>0</v>
      </c>
      <c r="K1405">
        <v>0</v>
      </c>
      <c r="L1405">
        <v>0</v>
      </c>
      <c r="M1405">
        <v>0</v>
      </c>
      <c r="N1405">
        <v>1</v>
      </c>
      <c r="O1405" t="str" cm="1">
        <f t="array" ref="O1405">_xlfn.IFS(Table1[[#This Row],[Divorced]]=1, "Divorced", Table1[[#This Row],[Married]]=1, "Married", Table1[[#This Row],[Single]]=1, "Single", Table1[[#This Row],[Together]]=1, "Together", Table1[[#This Row],[Widow]]=1, "Widow")</f>
        <v>Married</v>
      </c>
      <c r="P1405" t="str" cm="1">
        <f t="array" ref="P1405">_xlfn.IFS(Table1[[#This Row],[Basic]]=1, "Basic", Table1[[#This Row],[Graduate]]=1, "Graduate", Table1[[#This Row],[Master]]=1, "Master", Table1[[#This Row],[PhD]]=1, "PhD", AND(Table1[[#This Row],[Basic]]=0, Table1[[#This Row],[Graduate]]=0, Table1[[#This Row],[Master]]=0, Table1[[#This Row],[PhD]]=0), "NA")</f>
        <v>PhD</v>
      </c>
      <c r="Q1405" t="e">
        <f>_xlfn.XLOOKUP(Table1[[#This Row],[ID]], Table2[ID],#REF!, "Not Found", 0)</f>
        <v>#REF!</v>
      </c>
      <c r="R1405" t="e">
        <f>_xlfn.XLOOKUP(Table1[[#This Row],[ID]], Table2[ID],#REF!, "Not Found", 0)</f>
        <v>#REF!</v>
      </c>
      <c r="S1405" s="3" t="str">
        <f>_xlfn.XLOOKUP(Table1[[#This Row],[ID]], Table2[ID], Table2[Enrollment], "Not Found", 0)</f>
        <v>5/17/2020</v>
      </c>
      <c r="T1405" t="s">
        <v>438</v>
      </c>
    </row>
    <row r="1406" spans="1:20" x14ac:dyDescent="0.3">
      <c r="A1406">
        <v>1854</v>
      </c>
      <c r="B1406">
        <v>142395</v>
      </c>
      <c r="C1406">
        <v>1</v>
      </c>
      <c r="D1406">
        <v>1</v>
      </c>
      <c r="E1406">
        <v>39</v>
      </c>
      <c r="F1406">
        <v>0</v>
      </c>
      <c r="G1406">
        <v>0</v>
      </c>
      <c r="H1406">
        <v>1</v>
      </c>
      <c r="I1406">
        <v>0</v>
      </c>
      <c r="J1406">
        <v>0</v>
      </c>
      <c r="K1406">
        <v>0</v>
      </c>
      <c r="L1406">
        <v>0</v>
      </c>
      <c r="M1406">
        <v>0</v>
      </c>
      <c r="N1406">
        <v>0</v>
      </c>
      <c r="O1406" t="str" cm="1">
        <f t="array" ref="O1406">_xlfn.IFS(Table1[[#This Row],[Divorced]]=1, "Divorced", Table1[[#This Row],[Married]]=1, "Married", Table1[[#This Row],[Single]]=1, "Single", Table1[[#This Row],[Together]]=1, "Together", Table1[[#This Row],[Widow]]=1, "Widow")</f>
        <v>Single</v>
      </c>
      <c r="P1406" t="str" cm="1">
        <f t="array" ref="P1406">_xlfn.IFS(Table1[[#This Row],[Basic]]=1, "Basic", Table1[[#This Row],[Graduate]]=1, "Graduate", Table1[[#This Row],[Master]]=1, "Master", Table1[[#This Row],[PhD]]=1, "PhD", AND(Table1[[#This Row],[Basic]]=0, Table1[[#This Row],[Graduate]]=0, Table1[[#This Row],[Master]]=0, Table1[[#This Row],[PhD]]=0), "NA")</f>
        <v>NA</v>
      </c>
      <c r="Q1406" t="e">
        <f>_xlfn.XLOOKUP(Table1[[#This Row],[ID]], Table2[ID],#REF!, "Not Found", 0)</f>
        <v>#REF!</v>
      </c>
      <c r="R1406" t="e">
        <f>_xlfn.XLOOKUP(Table1[[#This Row],[ID]], Table2[ID],#REF!, "Not Found", 0)</f>
        <v>#REF!</v>
      </c>
      <c r="S1406" s="3">
        <f>_xlfn.XLOOKUP(Table1[[#This Row],[ID]], Table2[ID], Table2[Enrollment], "Not Found", 0)</f>
        <v>44052</v>
      </c>
      <c r="T1406" t="s">
        <v>436</v>
      </c>
    </row>
    <row r="1407" spans="1:20" x14ac:dyDescent="0.3">
      <c r="A1407">
        <v>1085</v>
      </c>
      <c r="B1407">
        <v>142394</v>
      </c>
      <c r="C1407">
        <v>1</v>
      </c>
      <c r="D1407">
        <v>0</v>
      </c>
      <c r="E1407">
        <v>48</v>
      </c>
      <c r="F1407">
        <v>0</v>
      </c>
      <c r="G1407">
        <v>0</v>
      </c>
      <c r="H1407">
        <v>1</v>
      </c>
      <c r="I1407">
        <v>0</v>
      </c>
      <c r="J1407">
        <v>0</v>
      </c>
      <c r="K1407">
        <v>0</v>
      </c>
      <c r="L1407">
        <v>0</v>
      </c>
      <c r="M1407">
        <v>1</v>
      </c>
      <c r="N1407">
        <v>0</v>
      </c>
      <c r="O1407" t="str" cm="1">
        <f t="array" ref="O1407">_xlfn.IFS(Table1[[#This Row],[Divorced]]=1, "Divorced", Table1[[#This Row],[Married]]=1, "Married", Table1[[#This Row],[Single]]=1, "Single", Table1[[#This Row],[Together]]=1, "Together", Table1[[#This Row],[Widow]]=1, "Widow")</f>
        <v>Single</v>
      </c>
      <c r="P1407" t="str" cm="1">
        <f t="array" ref="P1407">_xlfn.IFS(Table1[[#This Row],[Basic]]=1, "Basic", Table1[[#This Row],[Graduate]]=1, "Graduate", Table1[[#This Row],[Master]]=1, "Master", Table1[[#This Row],[PhD]]=1, "PhD", AND(Table1[[#This Row],[Basic]]=0, Table1[[#This Row],[Graduate]]=0, Table1[[#This Row],[Master]]=0, Table1[[#This Row],[PhD]]=0), "NA")</f>
        <v>Master</v>
      </c>
      <c r="Q1407" t="e">
        <f>_xlfn.XLOOKUP(Table1[[#This Row],[ID]], Table2[ID],#REF!, "Not Found", 0)</f>
        <v>#REF!</v>
      </c>
      <c r="R1407" t="e">
        <f>_xlfn.XLOOKUP(Table1[[#This Row],[ID]], Table2[ID],#REF!, "Not Found", 0)</f>
        <v>#REF!</v>
      </c>
      <c r="S1407" s="3" t="str">
        <f>_xlfn.XLOOKUP(Table1[[#This Row],[ID]], Table2[ID], Table2[Enrollment], "Not Found", 0)</f>
        <v>8/27/2020</v>
      </c>
      <c r="T1407" t="s">
        <v>434</v>
      </c>
    </row>
    <row r="1408" spans="1:20" x14ac:dyDescent="0.3">
      <c r="A1408">
        <v>1415</v>
      </c>
      <c r="B1408">
        <v>142387</v>
      </c>
      <c r="C1408">
        <v>1</v>
      </c>
      <c r="D1408">
        <v>0</v>
      </c>
      <c r="E1408">
        <v>31</v>
      </c>
      <c r="F1408">
        <v>0</v>
      </c>
      <c r="G1408">
        <v>1</v>
      </c>
      <c r="H1408">
        <v>0</v>
      </c>
      <c r="I1408">
        <v>0</v>
      </c>
      <c r="J1408">
        <v>0</v>
      </c>
      <c r="K1408">
        <v>0</v>
      </c>
      <c r="L1408">
        <v>1</v>
      </c>
      <c r="M1408">
        <v>0</v>
      </c>
      <c r="N1408">
        <v>0</v>
      </c>
      <c r="O1408" t="str" cm="1">
        <f t="array" ref="O1408">_xlfn.IFS(Table1[[#This Row],[Divorced]]=1, "Divorced", Table1[[#This Row],[Married]]=1, "Married", Table1[[#This Row],[Single]]=1, "Single", Table1[[#This Row],[Together]]=1, "Together", Table1[[#This Row],[Widow]]=1, "Widow")</f>
        <v>Married</v>
      </c>
      <c r="P1408" t="str" cm="1">
        <f t="array" ref="P1408">_xlfn.IFS(Table1[[#This Row],[Basic]]=1, "Basic", Table1[[#This Row],[Graduate]]=1, "Graduate", Table1[[#This Row],[Master]]=1, "Master", Table1[[#This Row],[PhD]]=1, "PhD", AND(Table1[[#This Row],[Basic]]=0, Table1[[#This Row],[Graduate]]=0, Table1[[#This Row],[Master]]=0, Table1[[#This Row],[PhD]]=0), "NA")</f>
        <v>Graduate</v>
      </c>
      <c r="Q1408" t="e">
        <f>_xlfn.XLOOKUP(Table1[[#This Row],[ID]], Table2[ID],#REF!, "Not Found", 0)</f>
        <v>#REF!</v>
      </c>
      <c r="R1408" t="e">
        <f>_xlfn.XLOOKUP(Table1[[#This Row],[ID]], Table2[ID],#REF!, "Not Found", 0)</f>
        <v>#REF!</v>
      </c>
      <c r="S1408" s="3">
        <f>_xlfn.XLOOKUP(Table1[[#This Row],[ID]], Table2[ID], Table2[Enrollment], "Not Found", 0)</f>
        <v>43589</v>
      </c>
      <c r="T1408" t="s">
        <v>434</v>
      </c>
    </row>
    <row r="1409" spans="1:20" x14ac:dyDescent="0.3">
      <c r="A1409">
        <v>1284</v>
      </c>
      <c r="B1409">
        <v>142386</v>
      </c>
      <c r="C1409">
        <v>1</v>
      </c>
      <c r="D1409">
        <v>0</v>
      </c>
      <c r="E1409">
        <v>34</v>
      </c>
      <c r="F1409">
        <v>0</v>
      </c>
      <c r="G1409">
        <v>0</v>
      </c>
      <c r="H1409">
        <v>0</v>
      </c>
      <c r="I1409">
        <v>1</v>
      </c>
      <c r="J1409">
        <v>0</v>
      </c>
      <c r="K1409">
        <v>0</v>
      </c>
      <c r="L1409">
        <v>0</v>
      </c>
      <c r="M1409">
        <v>1</v>
      </c>
      <c r="N1409">
        <v>0</v>
      </c>
      <c r="O1409" t="str" cm="1">
        <f t="array" ref="O1409">_xlfn.IFS(Table1[[#This Row],[Divorced]]=1, "Divorced", Table1[[#This Row],[Married]]=1, "Married", Table1[[#This Row],[Single]]=1, "Single", Table1[[#This Row],[Together]]=1, "Together", Table1[[#This Row],[Widow]]=1, "Widow")</f>
        <v>Together</v>
      </c>
      <c r="P1409" t="str" cm="1">
        <f t="array" ref="P1409">_xlfn.IFS(Table1[[#This Row],[Basic]]=1, "Basic", Table1[[#This Row],[Graduate]]=1, "Graduate", Table1[[#This Row],[Master]]=1, "Master", Table1[[#This Row],[PhD]]=1, "PhD", AND(Table1[[#This Row],[Basic]]=0, Table1[[#This Row],[Graduate]]=0, Table1[[#This Row],[Master]]=0, Table1[[#This Row],[PhD]]=0), "NA")</f>
        <v>Master</v>
      </c>
      <c r="Q1409" t="e">
        <f>_xlfn.XLOOKUP(Table1[[#This Row],[ID]], Table2[ID],#REF!, "Not Found", 0)</f>
        <v>#REF!</v>
      </c>
      <c r="R1409" t="e">
        <f>_xlfn.XLOOKUP(Table1[[#This Row],[ID]], Table2[ID],#REF!, "Not Found", 0)</f>
        <v>#REF!</v>
      </c>
      <c r="S1409" s="3" t="str">
        <f>_xlfn.XLOOKUP(Table1[[#This Row],[ID]], Table2[ID], Table2[Enrollment], "Not Found", 0)</f>
        <v>6/20/2019</v>
      </c>
      <c r="T1409" t="s">
        <v>436</v>
      </c>
    </row>
    <row r="1410" spans="1:20" x14ac:dyDescent="0.3">
      <c r="A1410">
        <v>2521</v>
      </c>
      <c r="B1410">
        <v>142386</v>
      </c>
      <c r="C1410">
        <v>1</v>
      </c>
      <c r="D1410">
        <v>0</v>
      </c>
      <c r="E1410">
        <v>34</v>
      </c>
      <c r="F1410">
        <v>0</v>
      </c>
      <c r="G1410">
        <v>0</v>
      </c>
      <c r="H1410">
        <v>0</v>
      </c>
      <c r="I1410">
        <v>1</v>
      </c>
      <c r="J1410">
        <v>0</v>
      </c>
      <c r="K1410">
        <v>0</v>
      </c>
      <c r="L1410">
        <v>0</v>
      </c>
      <c r="M1410">
        <v>1</v>
      </c>
      <c r="N1410">
        <v>0</v>
      </c>
      <c r="O1410" t="str" cm="1">
        <f t="array" ref="O1410">_xlfn.IFS(Table1[[#This Row],[Divorced]]=1, "Divorced", Table1[[#This Row],[Married]]=1, "Married", Table1[[#This Row],[Single]]=1, "Single", Table1[[#This Row],[Together]]=1, "Together", Table1[[#This Row],[Widow]]=1, "Widow")</f>
        <v>Together</v>
      </c>
      <c r="P1410" t="str" cm="1">
        <f t="array" ref="P1410">_xlfn.IFS(Table1[[#This Row],[Basic]]=1, "Basic", Table1[[#This Row],[Graduate]]=1, "Graduate", Table1[[#This Row],[Master]]=1, "Master", Table1[[#This Row],[PhD]]=1, "PhD", AND(Table1[[#This Row],[Basic]]=0, Table1[[#This Row],[Graduate]]=0, Table1[[#This Row],[Master]]=0, Table1[[#This Row],[PhD]]=0), "NA")</f>
        <v>Master</v>
      </c>
      <c r="Q1410" t="e">
        <f>_xlfn.XLOOKUP(Table1[[#This Row],[ID]], Table2[ID],#REF!, "Not Found", 0)</f>
        <v>#REF!</v>
      </c>
      <c r="R1410" t="e">
        <f>_xlfn.XLOOKUP(Table1[[#This Row],[ID]], Table2[ID],#REF!, "Not Found", 0)</f>
        <v>#REF!</v>
      </c>
      <c r="S1410" s="3" t="str">
        <f>_xlfn.XLOOKUP(Table1[[#This Row],[ID]], Table2[ID], Table2[Enrollment], "Not Found", 0)</f>
        <v>6/20/2019</v>
      </c>
      <c r="T1410" t="s">
        <v>437</v>
      </c>
    </row>
    <row r="1411" spans="1:20" x14ac:dyDescent="0.3">
      <c r="A1411">
        <v>1386</v>
      </c>
      <c r="B1411">
        <v>142373</v>
      </c>
      <c r="C1411">
        <v>1</v>
      </c>
      <c r="D1411">
        <v>1</v>
      </c>
      <c r="E1411">
        <v>46</v>
      </c>
      <c r="F1411">
        <v>0</v>
      </c>
      <c r="G1411">
        <v>0</v>
      </c>
      <c r="H1411">
        <v>1</v>
      </c>
      <c r="I1411">
        <v>0</v>
      </c>
      <c r="J1411">
        <v>0</v>
      </c>
      <c r="K1411">
        <v>0</v>
      </c>
      <c r="L1411">
        <v>1</v>
      </c>
      <c r="M1411">
        <v>0</v>
      </c>
      <c r="N1411">
        <v>0</v>
      </c>
      <c r="O1411" t="str" cm="1">
        <f t="array" ref="O1411">_xlfn.IFS(Table1[[#This Row],[Divorced]]=1, "Divorced", Table1[[#This Row],[Married]]=1, "Married", Table1[[#This Row],[Single]]=1, "Single", Table1[[#This Row],[Together]]=1, "Together", Table1[[#This Row],[Widow]]=1, "Widow")</f>
        <v>Single</v>
      </c>
      <c r="P1411" t="str" cm="1">
        <f t="array" ref="P1411">_xlfn.IFS(Table1[[#This Row],[Basic]]=1, "Basic", Table1[[#This Row],[Graduate]]=1, "Graduate", Table1[[#This Row],[Master]]=1, "Master", Table1[[#This Row],[PhD]]=1, "PhD", AND(Table1[[#This Row],[Basic]]=0, Table1[[#This Row],[Graduate]]=0, Table1[[#This Row],[Master]]=0, Table1[[#This Row],[PhD]]=0), "NA")</f>
        <v>Graduate</v>
      </c>
      <c r="Q1411" t="e">
        <f>_xlfn.XLOOKUP(Table1[[#This Row],[ID]], Table2[ID],#REF!, "Not Found", 0)</f>
        <v>#REF!</v>
      </c>
      <c r="R1411" t="e">
        <f>_xlfn.XLOOKUP(Table1[[#This Row],[ID]], Table2[ID],#REF!, "Not Found", 0)</f>
        <v>#REF!</v>
      </c>
      <c r="S1411" s="3" t="str">
        <f>_xlfn.XLOOKUP(Table1[[#This Row],[ID]], Table2[ID], Table2[Enrollment], "Not Found", 0)</f>
        <v>1/20/2020</v>
      </c>
      <c r="T1411" t="s">
        <v>436</v>
      </c>
    </row>
    <row r="1412" spans="1:20" x14ac:dyDescent="0.3">
      <c r="A1412">
        <v>1673</v>
      </c>
      <c r="B1412">
        <v>142315</v>
      </c>
      <c r="C1412">
        <v>0</v>
      </c>
      <c r="D1412">
        <v>1</v>
      </c>
      <c r="E1412">
        <v>62</v>
      </c>
      <c r="F1412">
        <v>0</v>
      </c>
      <c r="G1412">
        <v>0</v>
      </c>
      <c r="H1412">
        <v>0</v>
      </c>
      <c r="I1412">
        <v>1</v>
      </c>
      <c r="J1412">
        <v>0</v>
      </c>
      <c r="K1412">
        <v>0</v>
      </c>
      <c r="L1412">
        <v>0</v>
      </c>
      <c r="M1412">
        <v>1</v>
      </c>
      <c r="N1412">
        <v>0</v>
      </c>
      <c r="O1412" t="str" cm="1">
        <f t="array" ref="O1412">_xlfn.IFS(Table1[[#This Row],[Divorced]]=1, "Divorced", Table1[[#This Row],[Married]]=1, "Married", Table1[[#This Row],[Single]]=1, "Single", Table1[[#This Row],[Together]]=1, "Together", Table1[[#This Row],[Widow]]=1, "Widow")</f>
        <v>Together</v>
      </c>
      <c r="P1412" t="str" cm="1">
        <f t="array" ref="P1412">_xlfn.IFS(Table1[[#This Row],[Basic]]=1, "Basic", Table1[[#This Row],[Graduate]]=1, "Graduate", Table1[[#This Row],[Master]]=1, "Master", Table1[[#This Row],[PhD]]=1, "PhD", AND(Table1[[#This Row],[Basic]]=0, Table1[[#This Row],[Graduate]]=0, Table1[[#This Row],[Master]]=0, Table1[[#This Row],[PhD]]=0), "NA")</f>
        <v>Master</v>
      </c>
      <c r="Q1412" t="e">
        <f>_xlfn.XLOOKUP(Table1[[#This Row],[ID]], Table2[ID],#REF!, "Not Found", 0)</f>
        <v>#REF!</v>
      </c>
      <c r="R1412" t="e">
        <f>_xlfn.XLOOKUP(Table1[[#This Row],[ID]], Table2[ID],#REF!, "Not Found", 0)</f>
        <v>#REF!</v>
      </c>
      <c r="S1412" s="3" t="str">
        <f>_xlfn.XLOOKUP(Table1[[#This Row],[ID]], Table2[ID], Table2[Enrollment], "Not Found", 0)</f>
        <v>12/17/2019</v>
      </c>
      <c r="T1412" t="s">
        <v>434</v>
      </c>
    </row>
    <row r="1413" spans="1:20" x14ac:dyDescent="0.3">
      <c r="A1413">
        <v>1868</v>
      </c>
      <c r="B1413">
        <v>142243</v>
      </c>
      <c r="C1413">
        <v>1</v>
      </c>
      <c r="D1413">
        <v>1</v>
      </c>
      <c r="E1413">
        <v>61</v>
      </c>
      <c r="F1413">
        <v>0</v>
      </c>
      <c r="G1413">
        <v>1</v>
      </c>
      <c r="H1413">
        <v>0</v>
      </c>
      <c r="I1413">
        <v>0</v>
      </c>
      <c r="J1413">
        <v>0</v>
      </c>
      <c r="K1413">
        <v>0</v>
      </c>
      <c r="L1413">
        <v>1</v>
      </c>
      <c r="M1413">
        <v>0</v>
      </c>
      <c r="N1413">
        <v>0</v>
      </c>
      <c r="O1413" t="str" cm="1">
        <f t="array" ref="O1413">_xlfn.IFS(Table1[[#This Row],[Divorced]]=1, "Divorced", Table1[[#This Row],[Married]]=1, "Married", Table1[[#This Row],[Single]]=1, "Single", Table1[[#This Row],[Together]]=1, "Together", Table1[[#This Row],[Widow]]=1, "Widow")</f>
        <v>Married</v>
      </c>
      <c r="P1413" t="str" cm="1">
        <f t="array" ref="P1413">_xlfn.IFS(Table1[[#This Row],[Basic]]=1, "Basic", Table1[[#This Row],[Graduate]]=1, "Graduate", Table1[[#This Row],[Master]]=1, "Master", Table1[[#This Row],[PhD]]=1, "PhD", AND(Table1[[#This Row],[Basic]]=0, Table1[[#This Row],[Graduate]]=0, Table1[[#This Row],[Master]]=0, Table1[[#This Row],[PhD]]=0), "NA")</f>
        <v>Graduate</v>
      </c>
      <c r="Q1413" t="e">
        <f>_xlfn.XLOOKUP(Table1[[#This Row],[ID]], Table2[ID],#REF!, "Not Found", 0)</f>
        <v>#REF!</v>
      </c>
      <c r="R1413" t="e">
        <f>_xlfn.XLOOKUP(Table1[[#This Row],[ID]], Table2[ID],#REF!, "Not Found", 0)</f>
        <v>#REF!</v>
      </c>
      <c r="S1413" s="3" t="str">
        <f>_xlfn.XLOOKUP(Table1[[#This Row],[ID]], Table2[ID], Table2[Enrollment], "Not Found", 0)</f>
        <v>5/17/2020</v>
      </c>
      <c r="T1413" t="s">
        <v>438</v>
      </c>
    </row>
    <row r="1414" spans="1:20" x14ac:dyDescent="0.3">
      <c r="A1414">
        <v>2660</v>
      </c>
      <c r="B1414">
        <v>142231</v>
      </c>
      <c r="C1414">
        <v>1</v>
      </c>
      <c r="D1414">
        <v>1</v>
      </c>
      <c r="E1414">
        <v>51</v>
      </c>
      <c r="F1414">
        <v>0</v>
      </c>
      <c r="G1414">
        <v>1</v>
      </c>
      <c r="H1414">
        <v>0</v>
      </c>
      <c r="I1414">
        <v>0</v>
      </c>
      <c r="J1414">
        <v>0</v>
      </c>
      <c r="K1414">
        <v>0</v>
      </c>
      <c r="L1414">
        <v>1</v>
      </c>
      <c r="M1414">
        <v>0</v>
      </c>
      <c r="N1414">
        <v>0</v>
      </c>
      <c r="O1414" t="str" cm="1">
        <f t="array" ref="O1414">_xlfn.IFS(Table1[[#This Row],[Divorced]]=1, "Divorced", Table1[[#This Row],[Married]]=1, "Married", Table1[[#This Row],[Single]]=1, "Single", Table1[[#This Row],[Together]]=1, "Together", Table1[[#This Row],[Widow]]=1, "Widow")</f>
        <v>Married</v>
      </c>
      <c r="P1414" t="str" cm="1">
        <f t="array" ref="P1414">_xlfn.IFS(Table1[[#This Row],[Basic]]=1, "Basic", Table1[[#This Row],[Graduate]]=1, "Graduate", Table1[[#This Row],[Master]]=1, "Master", Table1[[#This Row],[PhD]]=1, "PhD", AND(Table1[[#This Row],[Basic]]=0, Table1[[#This Row],[Graduate]]=0, Table1[[#This Row],[Master]]=0, Table1[[#This Row],[PhD]]=0), "NA")</f>
        <v>Graduate</v>
      </c>
      <c r="Q1414" t="e">
        <f>_xlfn.XLOOKUP(Table1[[#This Row],[ID]], Table2[ID],#REF!, "Not Found", 0)</f>
        <v>#REF!</v>
      </c>
      <c r="R1414" t="e">
        <f>_xlfn.XLOOKUP(Table1[[#This Row],[ID]], Table2[ID],#REF!, "Not Found", 0)</f>
        <v>#REF!</v>
      </c>
      <c r="S1414" s="3" t="str">
        <f>_xlfn.XLOOKUP(Table1[[#This Row],[ID]], Table2[ID], Table2[Enrollment], "Not Found", 0)</f>
        <v>8/29/2020</v>
      </c>
      <c r="T1414" t="s">
        <v>438</v>
      </c>
    </row>
    <row r="1415" spans="1:20" x14ac:dyDescent="0.3">
      <c r="A1415">
        <v>2191</v>
      </c>
      <c r="B1415">
        <v>142213</v>
      </c>
      <c r="C1415">
        <v>0</v>
      </c>
      <c r="D1415">
        <v>1</v>
      </c>
      <c r="E1415">
        <v>63</v>
      </c>
      <c r="F1415">
        <v>0</v>
      </c>
      <c r="G1415">
        <v>0</v>
      </c>
      <c r="H1415">
        <v>0</v>
      </c>
      <c r="I1415">
        <v>1</v>
      </c>
      <c r="J1415">
        <v>0</v>
      </c>
      <c r="K1415">
        <v>0</v>
      </c>
      <c r="L1415">
        <v>1</v>
      </c>
      <c r="M1415">
        <v>0</v>
      </c>
      <c r="N1415">
        <v>0</v>
      </c>
      <c r="O1415" t="str" cm="1">
        <f t="array" ref="O1415">_xlfn.IFS(Table1[[#This Row],[Divorced]]=1, "Divorced", Table1[[#This Row],[Married]]=1, "Married", Table1[[#This Row],[Single]]=1, "Single", Table1[[#This Row],[Together]]=1, "Together", Table1[[#This Row],[Widow]]=1, "Widow")</f>
        <v>Together</v>
      </c>
      <c r="P1415" t="str" cm="1">
        <f t="array" ref="P1415">_xlfn.IFS(Table1[[#This Row],[Basic]]=1, "Basic", Table1[[#This Row],[Graduate]]=1, "Graduate", Table1[[#This Row],[Master]]=1, "Master", Table1[[#This Row],[PhD]]=1, "PhD", AND(Table1[[#This Row],[Basic]]=0, Table1[[#This Row],[Graduate]]=0, Table1[[#This Row],[Master]]=0, Table1[[#This Row],[PhD]]=0), "NA")</f>
        <v>Graduate</v>
      </c>
      <c r="Q1415" t="e">
        <f>_xlfn.XLOOKUP(Table1[[#This Row],[ID]], Table2[ID],#REF!, "Not Found", 0)</f>
        <v>#REF!</v>
      </c>
      <c r="R1415" t="e">
        <f>_xlfn.XLOOKUP(Table1[[#This Row],[ID]], Table2[ID],#REF!, "Not Found", 0)</f>
        <v>#REF!</v>
      </c>
      <c r="S1415" s="3" t="str">
        <f>_xlfn.XLOOKUP(Table1[[#This Row],[ID]], Table2[ID], Table2[Enrollment], "Not Found", 0)</f>
        <v>3/18/2020</v>
      </c>
      <c r="T1415" t="s">
        <v>437</v>
      </c>
    </row>
    <row r="1416" spans="1:20" x14ac:dyDescent="0.3">
      <c r="A1416">
        <v>1441</v>
      </c>
      <c r="B1416">
        <v>142207</v>
      </c>
      <c r="C1416">
        <v>1</v>
      </c>
      <c r="D1416">
        <v>0</v>
      </c>
      <c r="E1416">
        <v>36</v>
      </c>
      <c r="F1416">
        <v>0</v>
      </c>
      <c r="G1416">
        <v>1</v>
      </c>
      <c r="H1416">
        <v>0</v>
      </c>
      <c r="I1416">
        <v>0</v>
      </c>
      <c r="J1416">
        <v>0</v>
      </c>
      <c r="K1416">
        <v>0</v>
      </c>
      <c r="L1416">
        <v>0</v>
      </c>
      <c r="M1416">
        <v>1</v>
      </c>
      <c r="N1416">
        <v>0</v>
      </c>
      <c r="O1416" t="str" cm="1">
        <f t="array" ref="O1416">_xlfn.IFS(Table1[[#This Row],[Divorced]]=1, "Divorced", Table1[[#This Row],[Married]]=1, "Married", Table1[[#This Row],[Single]]=1, "Single", Table1[[#This Row],[Together]]=1, "Together", Table1[[#This Row],[Widow]]=1, "Widow")</f>
        <v>Married</v>
      </c>
      <c r="P1416" t="str" cm="1">
        <f t="array" ref="P1416">_xlfn.IFS(Table1[[#This Row],[Basic]]=1, "Basic", Table1[[#This Row],[Graduate]]=1, "Graduate", Table1[[#This Row],[Master]]=1, "Master", Table1[[#This Row],[PhD]]=1, "PhD", AND(Table1[[#This Row],[Basic]]=0, Table1[[#This Row],[Graduate]]=0, Table1[[#This Row],[Master]]=0, Table1[[#This Row],[PhD]]=0), "NA")</f>
        <v>Master</v>
      </c>
      <c r="Q1416" t="e">
        <f>_xlfn.XLOOKUP(Table1[[#This Row],[ID]], Table2[ID],#REF!, "Not Found", 0)</f>
        <v>#REF!</v>
      </c>
      <c r="R1416" t="e">
        <f>_xlfn.XLOOKUP(Table1[[#This Row],[ID]], Table2[ID],#REF!, "Not Found", 0)</f>
        <v>#REF!</v>
      </c>
      <c r="S1416" s="3">
        <f>_xlfn.XLOOKUP(Table1[[#This Row],[ID]], Table2[ID], Table2[Enrollment], "Not Found", 0)</f>
        <v>43625</v>
      </c>
      <c r="T1416" t="s">
        <v>437</v>
      </c>
    </row>
    <row r="1417" spans="1:20" x14ac:dyDescent="0.3">
      <c r="A1417">
        <v>3039</v>
      </c>
      <c r="B1417">
        <v>142192</v>
      </c>
      <c r="C1417">
        <v>0</v>
      </c>
      <c r="D1417">
        <v>0</v>
      </c>
      <c r="E1417">
        <v>72</v>
      </c>
      <c r="F1417">
        <v>0</v>
      </c>
      <c r="G1417">
        <v>1</v>
      </c>
      <c r="H1417">
        <v>0</v>
      </c>
      <c r="I1417">
        <v>0</v>
      </c>
      <c r="J1417">
        <v>0</v>
      </c>
      <c r="K1417">
        <v>0</v>
      </c>
      <c r="L1417">
        <v>1</v>
      </c>
      <c r="M1417">
        <v>0</v>
      </c>
      <c r="N1417">
        <v>0</v>
      </c>
      <c r="O1417" t="str" cm="1">
        <f t="array" ref="O1417">_xlfn.IFS(Table1[[#This Row],[Divorced]]=1, "Divorced", Table1[[#This Row],[Married]]=1, "Married", Table1[[#This Row],[Single]]=1, "Single", Table1[[#This Row],[Together]]=1, "Together", Table1[[#This Row],[Widow]]=1, "Widow")</f>
        <v>Married</v>
      </c>
      <c r="P1417" t="str" cm="1">
        <f t="array" ref="P1417">_xlfn.IFS(Table1[[#This Row],[Basic]]=1, "Basic", Table1[[#This Row],[Graduate]]=1, "Graduate", Table1[[#This Row],[Master]]=1, "Master", Table1[[#This Row],[PhD]]=1, "PhD", AND(Table1[[#This Row],[Basic]]=0, Table1[[#This Row],[Graduate]]=0, Table1[[#This Row],[Master]]=0, Table1[[#This Row],[PhD]]=0), "NA")</f>
        <v>Graduate</v>
      </c>
      <c r="Q1417" t="e">
        <f>_xlfn.XLOOKUP(Table1[[#This Row],[ID]], Table2[ID],#REF!, "Not Found", 0)</f>
        <v>#REF!</v>
      </c>
      <c r="R1417" t="e">
        <f>_xlfn.XLOOKUP(Table1[[#This Row],[ID]], Table2[ID],#REF!, "Not Found", 0)</f>
        <v>#REF!</v>
      </c>
      <c r="S1417" s="3">
        <f>_xlfn.XLOOKUP(Table1[[#This Row],[ID]], Table2[ID], Table2[Enrollment], "Not Found", 0)</f>
        <v>44137</v>
      </c>
      <c r="T1417" t="s">
        <v>435</v>
      </c>
    </row>
    <row r="1418" spans="1:20" x14ac:dyDescent="0.3">
      <c r="A1418">
        <v>1581</v>
      </c>
      <c r="B1418">
        <v>142169</v>
      </c>
      <c r="C1418">
        <v>1</v>
      </c>
      <c r="D1418">
        <v>1</v>
      </c>
      <c r="E1418">
        <v>51</v>
      </c>
      <c r="F1418">
        <v>0</v>
      </c>
      <c r="G1418">
        <v>1</v>
      </c>
      <c r="H1418">
        <v>0</v>
      </c>
      <c r="I1418">
        <v>0</v>
      </c>
      <c r="J1418">
        <v>0</v>
      </c>
      <c r="K1418">
        <v>0</v>
      </c>
      <c r="L1418">
        <v>0</v>
      </c>
      <c r="M1418">
        <v>1</v>
      </c>
      <c r="N1418">
        <v>0</v>
      </c>
      <c r="O1418" t="str" cm="1">
        <f t="array" ref="O1418">_xlfn.IFS(Table1[[#This Row],[Divorced]]=1, "Divorced", Table1[[#This Row],[Married]]=1, "Married", Table1[[#This Row],[Single]]=1, "Single", Table1[[#This Row],[Together]]=1, "Together", Table1[[#This Row],[Widow]]=1, "Widow")</f>
        <v>Married</v>
      </c>
      <c r="P1418" t="str" cm="1">
        <f t="array" ref="P1418">_xlfn.IFS(Table1[[#This Row],[Basic]]=1, "Basic", Table1[[#This Row],[Graduate]]=1, "Graduate", Table1[[#This Row],[Master]]=1, "Master", Table1[[#This Row],[PhD]]=1, "PhD", AND(Table1[[#This Row],[Basic]]=0, Table1[[#This Row],[Graduate]]=0, Table1[[#This Row],[Master]]=0, Table1[[#This Row],[PhD]]=0), "NA")</f>
        <v>Master</v>
      </c>
      <c r="Q1418" t="e">
        <f>_xlfn.XLOOKUP(Table1[[#This Row],[ID]], Table2[ID],#REF!, "Not Found", 0)</f>
        <v>#REF!</v>
      </c>
      <c r="R1418" t="e">
        <f>_xlfn.XLOOKUP(Table1[[#This Row],[ID]], Table2[ID],#REF!, "Not Found", 0)</f>
        <v>#REF!</v>
      </c>
      <c r="S1418" s="3" t="str">
        <f>_xlfn.XLOOKUP(Table1[[#This Row],[ID]], Table2[ID], Table2[Enrollment], "Not Found", 0)</f>
        <v>3/25/2020</v>
      </c>
      <c r="T1418" t="s">
        <v>435</v>
      </c>
    </row>
    <row r="1419" spans="1:20" x14ac:dyDescent="0.3">
      <c r="A1419">
        <v>2127</v>
      </c>
      <c r="B1419">
        <v>142162</v>
      </c>
      <c r="C1419">
        <v>1</v>
      </c>
      <c r="D1419">
        <v>0</v>
      </c>
      <c r="E1419">
        <v>39</v>
      </c>
      <c r="F1419">
        <v>0</v>
      </c>
      <c r="G1419">
        <v>0</v>
      </c>
      <c r="H1419">
        <v>0</v>
      </c>
      <c r="I1419">
        <v>1</v>
      </c>
      <c r="J1419">
        <v>0</v>
      </c>
      <c r="K1419">
        <v>0</v>
      </c>
      <c r="L1419">
        <v>1</v>
      </c>
      <c r="M1419">
        <v>0</v>
      </c>
      <c r="N1419">
        <v>0</v>
      </c>
      <c r="O1419" t="str" cm="1">
        <f t="array" ref="O1419">_xlfn.IFS(Table1[[#This Row],[Divorced]]=1, "Divorced", Table1[[#This Row],[Married]]=1, "Married", Table1[[#This Row],[Single]]=1, "Single", Table1[[#This Row],[Together]]=1, "Together", Table1[[#This Row],[Widow]]=1, "Widow")</f>
        <v>Together</v>
      </c>
      <c r="P1419" t="str" cm="1">
        <f t="array" ref="P1419">_xlfn.IFS(Table1[[#This Row],[Basic]]=1, "Basic", Table1[[#This Row],[Graduate]]=1, "Graduate", Table1[[#This Row],[Master]]=1, "Master", Table1[[#This Row],[PhD]]=1, "PhD", AND(Table1[[#This Row],[Basic]]=0, Table1[[#This Row],[Graduate]]=0, Table1[[#This Row],[Master]]=0, Table1[[#This Row],[PhD]]=0), "NA")</f>
        <v>Graduate</v>
      </c>
      <c r="Q1419" t="e">
        <f>_xlfn.XLOOKUP(Table1[[#This Row],[ID]], Table2[ID],#REF!, "Not Found", 0)</f>
        <v>#REF!</v>
      </c>
      <c r="R1419" t="e">
        <f>_xlfn.XLOOKUP(Table1[[#This Row],[ID]], Table2[ID],#REF!, "Not Found", 0)</f>
        <v>#REF!</v>
      </c>
      <c r="S1419" s="3" t="str">
        <f>_xlfn.XLOOKUP(Table1[[#This Row],[ID]], Table2[ID], Table2[Enrollment], "Not Found", 0)</f>
        <v>4/25/2020</v>
      </c>
      <c r="T1419" t="s">
        <v>435</v>
      </c>
    </row>
    <row r="1420" spans="1:20" x14ac:dyDescent="0.3">
      <c r="A1420">
        <v>2196</v>
      </c>
      <c r="B1420">
        <v>142160</v>
      </c>
      <c r="C1420">
        <v>1</v>
      </c>
      <c r="D1420">
        <v>1</v>
      </c>
      <c r="E1420">
        <v>45</v>
      </c>
      <c r="F1420">
        <v>0</v>
      </c>
      <c r="G1420">
        <v>0</v>
      </c>
      <c r="H1420">
        <v>1</v>
      </c>
      <c r="I1420">
        <v>0</v>
      </c>
      <c r="J1420">
        <v>0</v>
      </c>
      <c r="K1420">
        <v>0</v>
      </c>
      <c r="L1420">
        <v>1</v>
      </c>
      <c r="M1420">
        <v>0</v>
      </c>
      <c r="N1420">
        <v>0</v>
      </c>
      <c r="O1420" t="str" cm="1">
        <f t="array" ref="O1420">_xlfn.IFS(Table1[[#This Row],[Divorced]]=1, "Divorced", Table1[[#This Row],[Married]]=1, "Married", Table1[[#This Row],[Single]]=1, "Single", Table1[[#This Row],[Together]]=1, "Together", Table1[[#This Row],[Widow]]=1, "Widow")</f>
        <v>Single</v>
      </c>
      <c r="P1420" t="str" cm="1">
        <f t="array" ref="P1420">_xlfn.IFS(Table1[[#This Row],[Basic]]=1, "Basic", Table1[[#This Row],[Graduate]]=1, "Graduate", Table1[[#This Row],[Master]]=1, "Master", Table1[[#This Row],[PhD]]=1, "PhD", AND(Table1[[#This Row],[Basic]]=0, Table1[[#This Row],[Graduate]]=0, Table1[[#This Row],[Master]]=0, Table1[[#This Row],[PhD]]=0), "NA")</f>
        <v>Graduate</v>
      </c>
      <c r="Q1420" t="e">
        <f>_xlfn.XLOOKUP(Table1[[#This Row],[ID]], Table2[ID],#REF!, "Not Found", 0)</f>
        <v>#REF!</v>
      </c>
      <c r="R1420" t="e">
        <f>_xlfn.XLOOKUP(Table1[[#This Row],[ID]], Table2[ID],#REF!, "Not Found", 0)</f>
        <v>#REF!</v>
      </c>
      <c r="S1420" s="3">
        <f>_xlfn.XLOOKUP(Table1[[#This Row],[ID]], Table2[ID], Table2[Enrollment], "Not Found", 0)</f>
        <v>43536</v>
      </c>
      <c r="T1420" t="s">
        <v>436</v>
      </c>
    </row>
    <row r="1421" spans="1:20" x14ac:dyDescent="0.3">
      <c r="A1421">
        <v>2864</v>
      </c>
      <c r="B1421">
        <v>142081</v>
      </c>
      <c r="C1421">
        <v>1</v>
      </c>
      <c r="D1421">
        <v>0</v>
      </c>
      <c r="E1421">
        <v>38</v>
      </c>
      <c r="F1421">
        <v>0</v>
      </c>
      <c r="G1421">
        <v>1</v>
      </c>
      <c r="H1421">
        <v>0</v>
      </c>
      <c r="I1421">
        <v>0</v>
      </c>
      <c r="J1421">
        <v>0</v>
      </c>
      <c r="K1421">
        <v>0</v>
      </c>
      <c r="L1421">
        <v>1</v>
      </c>
      <c r="M1421">
        <v>0</v>
      </c>
      <c r="N1421">
        <v>0</v>
      </c>
      <c r="O1421" t="str" cm="1">
        <f t="array" ref="O1421">_xlfn.IFS(Table1[[#This Row],[Divorced]]=1, "Divorced", Table1[[#This Row],[Married]]=1, "Married", Table1[[#This Row],[Single]]=1, "Single", Table1[[#This Row],[Together]]=1, "Together", Table1[[#This Row],[Widow]]=1, "Widow")</f>
        <v>Married</v>
      </c>
      <c r="P1421" t="str" cm="1">
        <f t="array" ref="P1421">_xlfn.IFS(Table1[[#This Row],[Basic]]=1, "Basic", Table1[[#This Row],[Graduate]]=1, "Graduate", Table1[[#This Row],[Master]]=1, "Master", Table1[[#This Row],[PhD]]=1, "PhD", AND(Table1[[#This Row],[Basic]]=0, Table1[[#This Row],[Graduate]]=0, Table1[[#This Row],[Master]]=0, Table1[[#This Row],[PhD]]=0), "NA")</f>
        <v>Graduate</v>
      </c>
      <c r="Q1421" t="e">
        <f>_xlfn.XLOOKUP(Table1[[#This Row],[ID]], Table2[ID],#REF!, "Not Found", 0)</f>
        <v>#REF!</v>
      </c>
      <c r="R1421" t="e">
        <f>_xlfn.XLOOKUP(Table1[[#This Row],[ID]], Table2[ID],#REF!, "Not Found", 0)</f>
        <v>#REF!</v>
      </c>
      <c r="S1421" s="3">
        <f>_xlfn.XLOOKUP(Table1[[#This Row],[ID]], Table2[ID], Table2[Enrollment], "Not Found", 0)</f>
        <v>43532</v>
      </c>
      <c r="T1421" t="s">
        <v>438</v>
      </c>
    </row>
    <row r="1422" spans="1:20" x14ac:dyDescent="0.3">
      <c r="A1422">
        <v>2671</v>
      </c>
      <c r="B1422">
        <v>142033</v>
      </c>
      <c r="C1422">
        <v>1</v>
      </c>
      <c r="D1422">
        <v>1</v>
      </c>
      <c r="E1422">
        <v>49</v>
      </c>
      <c r="F1422">
        <v>0</v>
      </c>
      <c r="G1422">
        <v>0</v>
      </c>
      <c r="H1422">
        <v>0</v>
      </c>
      <c r="I1422">
        <v>1</v>
      </c>
      <c r="J1422">
        <v>0</v>
      </c>
      <c r="K1422">
        <v>0</v>
      </c>
      <c r="L1422">
        <v>0</v>
      </c>
      <c r="M1422">
        <v>0</v>
      </c>
      <c r="N1422">
        <v>0</v>
      </c>
      <c r="O1422" t="str" cm="1">
        <f t="array" ref="O1422">_xlfn.IFS(Table1[[#This Row],[Divorced]]=1, "Divorced", Table1[[#This Row],[Married]]=1, "Married", Table1[[#This Row],[Single]]=1, "Single", Table1[[#This Row],[Together]]=1, "Together", Table1[[#This Row],[Widow]]=1, "Widow")</f>
        <v>Together</v>
      </c>
      <c r="P1422" t="str" cm="1">
        <f t="array" ref="P1422">_xlfn.IFS(Table1[[#This Row],[Basic]]=1, "Basic", Table1[[#This Row],[Graduate]]=1, "Graduate", Table1[[#This Row],[Master]]=1, "Master", Table1[[#This Row],[PhD]]=1, "PhD", AND(Table1[[#This Row],[Basic]]=0, Table1[[#This Row],[Graduate]]=0, Table1[[#This Row],[Master]]=0, Table1[[#This Row],[PhD]]=0), "NA")</f>
        <v>NA</v>
      </c>
      <c r="Q1422" t="e">
        <f>_xlfn.XLOOKUP(Table1[[#This Row],[ID]], Table2[ID],#REF!, "Not Found", 0)</f>
        <v>#REF!</v>
      </c>
      <c r="R1422" t="e">
        <f>_xlfn.XLOOKUP(Table1[[#This Row],[ID]], Table2[ID],#REF!, "Not Found", 0)</f>
        <v>#REF!</v>
      </c>
      <c r="S1422" s="3" t="str">
        <f>_xlfn.XLOOKUP(Table1[[#This Row],[ID]], Table2[ID], Table2[Enrollment], "Not Found", 0)</f>
        <v>2/24/2019</v>
      </c>
      <c r="T1422" t="s">
        <v>437</v>
      </c>
    </row>
    <row r="1423" spans="1:20" x14ac:dyDescent="0.3">
      <c r="A1423">
        <v>1973</v>
      </c>
      <c r="B1423">
        <v>142021</v>
      </c>
      <c r="C1423">
        <v>1</v>
      </c>
      <c r="D1423">
        <v>0</v>
      </c>
      <c r="E1423">
        <v>39</v>
      </c>
      <c r="F1423">
        <v>0</v>
      </c>
      <c r="G1423">
        <v>0</v>
      </c>
      <c r="H1423">
        <v>0</v>
      </c>
      <c r="I1423">
        <v>1</v>
      </c>
      <c r="J1423">
        <v>0</v>
      </c>
      <c r="K1423">
        <v>0</v>
      </c>
      <c r="L1423">
        <v>0</v>
      </c>
      <c r="M1423">
        <v>1</v>
      </c>
      <c r="N1423">
        <v>0</v>
      </c>
      <c r="O1423" t="str" cm="1">
        <f t="array" ref="O1423">_xlfn.IFS(Table1[[#This Row],[Divorced]]=1, "Divorced", Table1[[#This Row],[Married]]=1, "Married", Table1[[#This Row],[Single]]=1, "Single", Table1[[#This Row],[Together]]=1, "Together", Table1[[#This Row],[Widow]]=1, "Widow")</f>
        <v>Together</v>
      </c>
      <c r="P1423" t="str" cm="1">
        <f t="array" ref="P1423">_xlfn.IFS(Table1[[#This Row],[Basic]]=1, "Basic", Table1[[#This Row],[Graduate]]=1, "Graduate", Table1[[#This Row],[Master]]=1, "Master", Table1[[#This Row],[PhD]]=1, "PhD", AND(Table1[[#This Row],[Basic]]=0, Table1[[#This Row],[Graduate]]=0, Table1[[#This Row],[Master]]=0, Table1[[#This Row],[PhD]]=0), "NA")</f>
        <v>Master</v>
      </c>
      <c r="Q1423" t="e">
        <f>_xlfn.XLOOKUP(Table1[[#This Row],[ID]], Table2[ID],#REF!, "Not Found", 0)</f>
        <v>#REF!</v>
      </c>
      <c r="R1423" t="e">
        <f>_xlfn.XLOOKUP(Table1[[#This Row],[ID]], Table2[ID],#REF!, "Not Found", 0)</f>
        <v>#REF!</v>
      </c>
      <c r="S1423" s="3">
        <f>_xlfn.XLOOKUP(Table1[[#This Row],[ID]], Table2[ID], Table2[Enrollment], "Not Found", 0)</f>
        <v>43587</v>
      </c>
      <c r="T1423" t="s">
        <v>434</v>
      </c>
    </row>
    <row r="1424" spans="1:20" x14ac:dyDescent="0.3">
      <c r="A1424">
        <v>2478</v>
      </c>
      <c r="B1424">
        <v>142014</v>
      </c>
      <c r="C1424">
        <v>1</v>
      </c>
      <c r="D1424">
        <v>0</v>
      </c>
      <c r="E1424">
        <v>43</v>
      </c>
      <c r="F1424">
        <v>0</v>
      </c>
      <c r="G1424">
        <v>1</v>
      </c>
      <c r="H1424">
        <v>0</v>
      </c>
      <c r="I1424">
        <v>0</v>
      </c>
      <c r="J1424">
        <v>0</v>
      </c>
      <c r="K1424">
        <v>0</v>
      </c>
      <c r="L1424">
        <v>1</v>
      </c>
      <c r="M1424">
        <v>0</v>
      </c>
      <c r="N1424">
        <v>0</v>
      </c>
      <c r="O1424" t="str" cm="1">
        <f t="array" ref="O1424">_xlfn.IFS(Table1[[#This Row],[Divorced]]=1, "Divorced", Table1[[#This Row],[Married]]=1, "Married", Table1[[#This Row],[Single]]=1, "Single", Table1[[#This Row],[Together]]=1, "Together", Table1[[#This Row],[Widow]]=1, "Widow")</f>
        <v>Married</v>
      </c>
      <c r="P1424" t="str" cm="1">
        <f t="array" ref="P1424">_xlfn.IFS(Table1[[#This Row],[Basic]]=1, "Basic", Table1[[#This Row],[Graduate]]=1, "Graduate", Table1[[#This Row],[Master]]=1, "Master", Table1[[#This Row],[PhD]]=1, "PhD", AND(Table1[[#This Row],[Basic]]=0, Table1[[#This Row],[Graduate]]=0, Table1[[#This Row],[Master]]=0, Table1[[#This Row],[PhD]]=0), "NA")</f>
        <v>Graduate</v>
      </c>
      <c r="Q1424" t="e">
        <f>_xlfn.XLOOKUP(Table1[[#This Row],[ID]], Table2[ID],#REF!, "Not Found", 0)</f>
        <v>#REF!</v>
      </c>
      <c r="R1424" t="e">
        <f>_xlfn.XLOOKUP(Table1[[#This Row],[ID]], Table2[ID],#REF!, "Not Found", 0)</f>
        <v>#REF!</v>
      </c>
      <c r="S1424" s="3" t="str">
        <f>_xlfn.XLOOKUP(Table1[[#This Row],[ID]], Table2[ID], Table2[Enrollment], "Not Found", 0)</f>
        <v>1/22/2019</v>
      </c>
      <c r="T1424" t="s">
        <v>436</v>
      </c>
    </row>
    <row r="1425" spans="1:20" x14ac:dyDescent="0.3">
      <c r="A1425">
        <v>2550</v>
      </c>
      <c r="B1425">
        <v>142014</v>
      </c>
      <c r="C1425">
        <v>1</v>
      </c>
      <c r="D1425">
        <v>0</v>
      </c>
      <c r="E1425">
        <v>43</v>
      </c>
      <c r="F1425">
        <v>0</v>
      </c>
      <c r="G1425">
        <v>1</v>
      </c>
      <c r="H1425">
        <v>0</v>
      </c>
      <c r="I1425">
        <v>0</v>
      </c>
      <c r="J1425">
        <v>0</v>
      </c>
      <c r="K1425">
        <v>0</v>
      </c>
      <c r="L1425">
        <v>1</v>
      </c>
      <c r="M1425">
        <v>0</v>
      </c>
      <c r="N1425">
        <v>0</v>
      </c>
      <c r="O1425" t="str" cm="1">
        <f t="array" ref="O1425">_xlfn.IFS(Table1[[#This Row],[Divorced]]=1, "Divorced", Table1[[#This Row],[Married]]=1, "Married", Table1[[#This Row],[Single]]=1, "Single", Table1[[#This Row],[Together]]=1, "Together", Table1[[#This Row],[Widow]]=1, "Widow")</f>
        <v>Married</v>
      </c>
      <c r="P1425" t="str" cm="1">
        <f t="array" ref="P1425">_xlfn.IFS(Table1[[#This Row],[Basic]]=1, "Basic", Table1[[#This Row],[Graduate]]=1, "Graduate", Table1[[#This Row],[Master]]=1, "Master", Table1[[#This Row],[PhD]]=1, "PhD", AND(Table1[[#This Row],[Basic]]=0, Table1[[#This Row],[Graduate]]=0, Table1[[#This Row],[Master]]=0, Table1[[#This Row],[PhD]]=0), "NA")</f>
        <v>Graduate</v>
      </c>
      <c r="Q1425" t="e">
        <f>_xlfn.XLOOKUP(Table1[[#This Row],[ID]], Table2[ID],#REF!, "Not Found", 0)</f>
        <v>#REF!</v>
      </c>
      <c r="R1425" t="e">
        <f>_xlfn.XLOOKUP(Table1[[#This Row],[ID]], Table2[ID],#REF!, "Not Found", 0)</f>
        <v>#REF!</v>
      </c>
      <c r="S1425" s="3" t="str">
        <f>_xlfn.XLOOKUP(Table1[[#This Row],[ID]], Table2[ID], Table2[Enrollment], "Not Found", 0)</f>
        <v>1/22/2019</v>
      </c>
      <c r="T1425" t="s">
        <v>436</v>
      </c>
    </row>
    <row r="1426" spans="1:20" x14ac:dyDescent="0.3">
      <c r="A1426">
        <v>1213</v>
      </c>
      <c r="B1426">
        <v>142011</v>
      </c>
      <c r="C1426">
        <v>1</v>
      </c>
      <c r="D1426">
        <v>0</v>
      </c>
      <c r="E1426">
        <v>42</v>
      </c>
      <c r="F1426">
        <v>0</v>
      </c>
      <c r="G1426">
        <v>0</v>
      </c>
      <c r="H1426">
        <v>0</v>
      </c>
      <c r="I1426">
        <v>1</v>
      </c>
      <c r="J1426">
        <v>0</v>
      </c>
      <c r="K1426">
        <v>0</v>
      </c>
      <c r="L1426">
        <v>1</v>
      </c>
      <c r="M1426">
        <v>0</v>
      </c>
      <c r="N1426">
        <v>0</v>
      </c>
      <c r="O1426" t="str" cm="1">
        <f t="array" ref="O1426">_xlfn.IFS(Table1[[#This Row],[Divorced]]=1, "Divorced", Table1[[#This Row],[Married]]=1, "Married", Table1[[#This Row],[Single]]=1, "Single", Table1[[#This Row],[Together]]=1, "Together", Table1[[#This Row],[Widow]]=1, "Widow")</f>
        <v>Together</v>
      </c>
      <c r="P1426" t="str" cm="1">
        <f t="array" ref="P1426">_xlfn.IFS(Table1[[#This Row],[Basic]]=1, "Basic", Table1[[#This Row],[Graduate]]=1, "Graduate", Table1[[#This Row],[Master]]=1, "Master", Table1[[#This Row],[PhD]]=1, "PhD", AND(Table1[[#This Row],[Basic]]=0, Table1[[#This Row],[Graduate]]=0, Table1[[#This Row],[Master]]=0, Table1[[#This Row],[PhD]]=0), "NA")</f>
        <v>Graduate</v>
      </c>
      <c r="Q1426" t="e">
        <f>_xlfn.XLOOKUP(Table1[[#This Row],[ID]], Table2[ID],#REF!, "Not Found", 0)</f>
        <v>#REF!</v>
      </c>
      <c r="R1426" t="e">
        <f>_xlfn.XLOOKUP(Table1[[#This Row],[ID]], Table2[ID],#REF!, "Not Found", 0)</f>
        <v>#REF!</v>
      </c>
      <c r="S1426" s="3" t="str">
        <f>_xlfn.XLOOKUP(Table1[[#This Row],[ID]], Table2[ID], Table2[Enrollment], "Not Found", 0)</f>
        <v>8/31/2019</v>
      </c>
      <c r="T1426" t="s">
        <v>437</v>
      </c>
    </row>
    <row r="1427" spans="1:20" x14ac:dyDescent="0.3">
      <c r="A1427">
        <v>2043</v>
      </c>
      <c r="B1427">
        <v>142000</v>
      </c>
      <c r="C1427">
        <v>0</v>
      </c>
      <c r="D1427">
        <v>0</v>
      </c>
      <c r="E1427">
        <v>33</v>
      </c>
      <c r="F1427">
        <v>0</v>
      </c>
      <c r="G1427">
        <v>0</v>
      </c>
      <c r="H1427">
        <v>1</v>
      </c>
      <c r="I1427">
        <v>0</v>
      </c>
      <c r="J1427">
        <v>0</v>
      </c>
      <c r="K1427">
        <v>0</v>
      </c>
      <c r="L1427">
        <v>0</v>
      </c>
      <c r="M1427">
        <v>0</v>
      </c>
      <c r="N1427">
        <v>1</v>
      </c>
      <c r="O1427" t="str" cm="1">
        <f t="array" ref="O1427">_xlfn.IFS(Table1[[#This Row],[Divorced]]=1, "Divorced", Table1[[#This Row],[Married]]=1, "Married", Table1[[#This Row],[Single]]=1, "Single", Table1[[#This Row],[Together]]=1, "Together", Table1[[#This Row],[Widow]]=1, "Widow")</f>
        <v>Single</v>
      </c>
      <c r="P1427" t="str" cm="1">
        <f t="array" ref="P1427">_xlfn.IFS(Table1[[#This Row],[Basic]]=1, "Basic", Table1[[#This Row],[Graduate]]=1, "Graduate", Table1[[#This Row],[Master]]=1, "Master", Table1[[#This Row],[PhD]]=1, "PhD", AND(Table1[[#This Row],[Basic]]=0, Table1[[#This Row],[Graduate]]=0, Table1[[#This Row],[Master]]=0, Table1[[#This Row],[PhD]]=0), "NA")</f>
        <v>PhD</v>
      </c>
      <c r="Q1427" t="e">
        <f>_xlfn.XLOOKUP(Table1[[#This Row],[ID]], Table2[ID],#REF!, "Not Found", 0)</f>
        <v>#REF!</v>
      </c>
      <c r="R1427" t="e">
        <f>_xlfn.XLOOKUP(Table1[[#This Row],[ID]], Table2[ID],#REF!, "Not Found", 0)</f>
        <v>#REF!</v>
      </c>
      <c r="S1427" s="3" t="str">
        <f>_xlfn.XLOOKUP(Table1[[#This Row],[ID]], Table2[ID], Table2[Enrollment], "Not Found", 0)</f>
        <v>6/17/2019</v>
      </c>
      <c r="T1427" t="s">
        <v>435</v>
      </c>
    </row>
    <row r="1428" spans="1:20" x14ac:dyDescent="0.3">
      <c r="A1428">
        <v>3046</v>
      </c>
      <c r="B1428">
        <v>142000</v>
      </c>
      <c r="C1428">
        <v>0</v>
      </c>
      <c r="D1428">
        <v>0</v>
      </c>
      <c r="E1428">
        <v>33</v>
      </c>
      <c r="F1428">
        <v>0</v>
      </c>
      <c r="G1428">
        <v>0</v>
      </c>
      <c r="H1428">
        <v>1</v>
      </c>
      <c r="I1428">
        <v>0</v>
      </c>
      <c r="J1428">
        <v>0</v>
      </c>
      <c r="K1428">
        <v>0</v>
      </c>
      <c r="L1428">
        <v>0</v>
      </c>
      <c r="M1428">
        <v>0</v>
      </c>
      <c r="N1428">
        <v>1</v>
      </c>
      <c r="O1428" t="str" cm="1">
        <f t="array" ref="O1428">_xlfn.IFS(Table1[[#This Row],[Divorced]]=1, "Divorced", Table1[[#This Row],[Married]]=1, "Married", Table1[[#This Row],[Single]]=1, "Single", Table1[[#This Row],[Together]]=1, "Together", Table1[[#This Row],[Widow]]=1, "Widow")</f>
        <v>Single</v>
      </c>
      <c r="P1428" t="str" cm="1">
        <f t="array" ref="P1428">_xlfn.IFS(Table1[[#This Row],[Basic]]=1, "Basic", Table1[[#This Row],[Graduate]]=1, "Graduate", Table1[[#This Row],[Master]]=1, "Master", Table1[[#This Row],[PhD]]=1, "PhD", AND(Table1[[#This Row],[Basic]]=0, Table1[[#This Row],[Graduate]]=0, Table1[[#This Row],[Master]]=0, Table1[[#This Row],[PhD]]=0), "NA")</f>
        <v>PhD</v>
      </c>
      <c r="Q1428" t="e">
        <f>_xlfn.XLOOKUP(Table1[[#This Row],[ID]], Table2[ID],#REF!, "Not Found", 0)</f>
        <v>#REF!</v>
      </c>
      <c r="R1428" t="e">
        <f>_xlfn.XLOOKUP(Table1[[#This Row],[ID]], Table2[ID],#REF!, "Not Found", 0)</f>
        <v>#REF!</v>
      </c>
      <c r="S1428" s="3" t="str">
        <f>_xlfn.XLOOKUP(Table1[[#This Row],[ID]], Table2[ID], Table2[Enrollment], "Not Found", 0)</f>
        <v>6/17/2019</v>
      </c>
      <c r="T1428" t="s">
        <v>439</v>
      </c>
    </row>
    <row r="1429" spans="1:20" x14ac:dyDescent="0.3">
      <c r="A1429">
        <v>2213</v>
      </c>
      <c r="B1429">
        <v>141986</v>
      </c>
      <c r="C1429">
        <v>0</v>
      </c>
      <c r="D1429">
        <v>1</v>
      </c>
      <c r="E1429">
        <v>42</v>
      </c>
      <c r="F1429">
        <v>1</v>
      </c>
      <c r="G1429">
        <v>0</v>
      </c>
      <c r="H1429">
        <v>0</v>
      </c>
      <c r="I1429">
        <v>0</v>
      </c>
      <c r="J1429">
        <v>0</v>
      </c>
      <c r="K1429">
        <v>0</v>
      </c>
      <c r="L1429">
        <v>1</v>
      </c>
      <c r="M1429">
        <v>0</v>
      </c>
      <c r="N1429">
        <v>0</v>
      </c>
      <c r="O1429" t="str" cm="1">
        <f t="array" ref="O1429">_xlfn.IFS(Table1[[#This Row],[Divorced]]=1, "Divorced", Table1[[#This Row],[Married]]=1, "Married", Table1[[#This Row],[Single]]=1, "Single", Table1[[#This Row],[Together]]=1, "Together", Table1[[#This Row],[Widow]]=1, "Widow")</f>
        <v>Divorced</v>
      </c>
      <c r="P1429" t="str" cm="1">
        <f t="array" ref="P1429">_xlfn.IFS(Table1[[#This Row],[Basic]]=1, "Basic", Table1[[#This Row],[Graduate]]=1, "Graduate", Table1[[#This Row],[Master]]=1, "Master", Table1[[#This Row],[PhD]]=1, "PhD", AND(Table1[[#This Row],[Basic]]=0, Table1[[#This Row],[Graduate]]=0, Table1[[#This Row],[Master]]=0, Table1[[#This Row],[PhD]]=0), "NA")</f>
        <v>Graduate</v>
      </c>
      <c r="Q1429" t="e">
        <f>_xlfn.XLOOKUP(Table1[[#This Row],[ID]], Table2[ID],#REF!, "Not Found", 0)</f>
        <v>#REF!</v>
      </c>
      <c r="R1429" t="e">
        <f>_xlfn.XLOOKUP(Table1[[#This Row],[ID]], Table2[ID],#REF!, "Not Found", 0)</f>
        <v>#REF!</v>
      </c>
      <c r="S1429" s="3" t="str">
        <f>_xlfn.XLOOKUP(Table1[[#This Row],[ID]], Table2[ID], Table2[Enrollment], "Not Found", 0)</f>
        <v>7/16/2020</v>
      </c>
      <c r="T1429" t="s">
        <v>434</v>
      </c>
    </row>
    <row r="1430" spans="1:20" x14ac:dyDescent="0.3">
      <c r="A1430">
        <v>3137</v>
      </c>
      <c r="B1430">
        <v>141967</v>
      </c>
      <c r="C1430">
        <v>1</v>
      </c>
      <c r="D1430">
        <v>1</v>
      </c>
      <c r="E1430">
        <v>39</v>
      </c>
      <c r="F1430">
        <v>0</v>
      </c>
      <c r="G1430">
        <v>0</v>
      </c>
      <c r="H1430">
        <v>1</v>
      </c>
      <c r="I1430">
        <v>0</v>
      </c>
      <c r="J1430">
        <v>0</v>
      </c>
      <c r="K1430">
        <v>0</v>
      </c>
      <c r="L1430">
        <v>1</v>
      </c>
      <c r="M1430">
        <v>0</v>
      </c>
      <c r="N1430">
        <v>0</v>
      </c>
      <c r="O1430" t="str" cm="1">
        <f t="array" ref="O1430">_xlfn.IFS(Table1[[#This Row],[Divorced]]=1, "Divorced", Table1[[#This Row],[Married]]=1, "Married", Table1[[#This Row],[Single]]=1, "Single", Table1[[#This Row],[Together]]=1, "Together", Table1[[#This Row],[Widow]]=1, "Widow")</f>
        <v>Single</v>
      </c>
      <c r="P1430" t="str" cm="1">
        <f t="array" ref="P1430">_xlfn.IFS(Table1[[#This Row],[Basic]]=1, "Basic", Table1[[#This Row],[Graduate]]=1, "Graduate", Table1[[#This Row],[Master]]=1, "Master", Table1[[#This Row],[PhD]]=1, "PhD", AND(Table1[[#This Row],[Basic]]=0, Table1[[#This Row],[Graduate]]=0, Table1[[#This Row],[Master]]=0, Table1[[#This Row],[PhD]]=0), "NA")</f>
        <v>Graduate</v>
      </c>
      <c r="Q1430" t="e">
        <f>_xlfn.XLOOKUP(Table1[[#This Row],[ID]], Table2[ID],#REF!, "Not Found", 0)</f>
        <v>#REF!</v>
      </c>
      <c r="R1430" t="e">
        <f>_xlfn.XLOOKUP(Table1[[#This Row],[ID]], Table2[ID],#REF!, "Not Found", 0)</f>
        <v>#REF!</v>
      </c>
      <c r="S1430" s="3" t="str">
        <f>_xlfn.XLOOKUP(Table1[[#This Row],[ID]], Table2[ID], Table2[Enrollment], "Not Found", 0)</f>
        <v>4/29/2020</v>
      </c>
      <c r="T1430" t="s">
        <v>434</v>
      </c>
    </row>
    <row r="1431" spans="1:20" x14ac:dyDescent="0.3">
      <c r="A1431">
        <v>1134</v>
      </c>
      <c r="B1431">
        <v>141883</v>
      </c>
      <c r="C1431">
        <v>1</v>
      </c>
      <c r="D1431">
        <v>0</v>
      </c>
      <c r="E1431">
        <v>32</v>
      </c>
      <c r="F1431">
        <v>0</v>
      </c>
      <c r="G1431">
        <v>0</v>
      </c>
      <c r="H1431">
        <v>0</v>
      </c>
      <c r="I1431">
        <v>1</v>
      </c>
      <c r="J1431">
        <v>0</v>
      </c>
      <c r="K1431">
        <v>0</v>
      </c>
      <c r="L1431">
        <v>1</v>
      </c>
      <c r="M1431">
        <v>0</v>
      </c>
      <c r="N1431">
        <v>0</v>
      </c>
      <c r="O1431" t="str" cm="1">
        <f t="array" ref="O1431">_xlfn.IFS(Table1[[#This Row],[Divorced]]=1, "Divorced", Table1[[#This Row],[Married]]=1, "Married", Table1[[#This Row],[Single]]=1, "Single", Table1[[#This Row],[Together]]=1, "Together", Table1[[#This Row],[Widow]]=1, "Widow")</f>
        <v>Together</v>
      </c>
      <c r="P1431" t="str" cm="1">
        <f t="array" ref="P1431">_xlfn.IFS(Table1[[#This Row],[Basic]]=1, "Basic", Table1[[#This Row],[Graduate]]=1, "Graduate", Table1[[#This Row],[Master]]=1, "Master", Table1[[#This Row],[PhD]]=1, "PhD", AND(Table1[[#This Row],[Basic]]=0, Table1[[#This Row],[Graduate]]=0, Table1[[#This Row],[Master]]=0, Table1[[#This Row],[PhD]]=0), "NA")</f>
        <v>Graduate</v>
      </c>
      <c r="Q1431" t="e">
        <f>_xlfn.XLOOKUP(Table1[[#This Row],[ID]], Table2[ID],#REF!, "Not Found", 0)</f>
        <v>#REF!</v>
      </c>
      <c r="R1431" t="e">
        <f>_xlfn.XLOOKUP(Table1[[#This Row],[ID]], Table2[ID],#REF!, "Not Found", 0)</f>
        <v>#REF!</v>
      </c>
      <c r="S1431" s="3" t="str">
        <f>_xlfn.XLOOKUP(Table1[[#This Row],[ID]], Table2[ID], Table2[Enrollment], "Not Found", 0)</f>
        <v>8/24/2019</v>
      </c>
      <c r="T1431" t="s">
        <v>436</v>
      </c>
    </row>
    <row r="1432" spans="1:20" x14ac:dyDescent="0.3">
      <c r="A1432">
        <v>1016</v>
      </c>
      <c r="B1432">
        <v>141850</v>
      </c>
      <c r="C1432">
        <v>1</v>
      </c>
      <c r="D1432">
        <v>1</v>
      </c>
      <c r="E1432">
        <v>40</v>
      </c>
      <c r="F1432">
        <v>0</v>
      </c>
      <c r="G1432">
        <v>1</v>
      </c>
      <c r="H1432">
        <v>0</v>
      </c>
      <c r="I1432">
        <v>0</v>
      </c>
      <c r="J1432">
        <v>0</v>
      </c>
      <c r="K1432">
        <v>0</v>
      </c>
      <c r="L1432">
        <v>1</v>
      </c>
      <c r="M1432">
        <v>0</v>
      </c>
      <c r="N1432">
        <v>0</v>
      </c>
      <c r="O1432" t="str" cm="1">
        <f t="array" ref="O1432">_xlfn.IFS(Table1[[#This Row],[Divorced]]=1, "Divorced", Table1[[#This Row],[Married]]=1, "Married", Table1[[#This Row],[Single]]=1, "Single", Table1[[#This Row],[Together]]=1, "Together", Table1[[#This Row],[Widow]]=1, "Widow")</f>
        <v>Married</v>
      </c>
      <c r="P1432" t="str" cm="1">
        <f t="array" ref="P1432">_xlfn.IFS(Table1[[#This Row],[Basic]]=1, "Basic", Table1[[#This Row],[Graduate]]=1, "Graduate", Table1[[#This Row],[Master]]=1, "Master", Table1[[#This Row],[PhD]]=1, "PhD", AND(Table1[[#This Row],[Basic]]=0, Table1[[#This Row],[Graduate]]=0, Table1[[#This Row],[Master]]=0, Table1[[#This Row],[PhD]]=0), "NA")</f>
        <v>Graduate</v>
      </c>
      <c r="Q1432" t="e">
        <f>_xlfn.XLOOKUP(Table1[[#This Row],[ID]], Table2[ID],#REF!, "Not Found", 0)</f>
        <v>#REF!</v>
      </c>
      <c r="R1432" t="e">
        <f>_xlfn.XLOOKUP(Table1[[#This Row],[ID]], Table2[ID],#REF!, "Not Found", 0)</f>
        <v>#REF!</v>
      </c>
      <c r="S1432" s="3" t="str">
        <f>_xlfn.XLOOKUP(Table1[[#This Row],[ID]], Table2[ID], Table2[Enrollment], "Not Found", 0)</f>
        <v>5/31/2019</v>
      </c>
      <c r="T1432" t="s">
        <v>438</v>
      </c>
    </row>
    <row r="1433" spans="1:20" x14ac:dyDescent="0.3">
      <c r="A1433">
        <v>3178</v>
      </c>
      <c r="B1433">
        <v>141769</v>
      </c>
      <c r="C1433">
        <v>0</v>
      </c>
      <c r="D1433">
        <v>1</v>
      </c>
      <c r="E1433">
        <v>65</v>
      </c>
      <c r="F1433">
        <v>1</v>
      </c>
      <c r="G1433">
        <v>0</v>
      </c>
      <c r="H1433">
        <v>0</v>
      </c>
      <c r="I1433">
        <v>0</v>
      </c>
      <c r="J1433">
        <v>0</v>
      </c>
      <c r="K1433">
        <v>0</v>
      </c>
      <c r="L1433">
        <v>0</v>
      </c>
      <c r="M1433">
        <v>0</v>
      </c>
      <c r="N1433">
        <v>0</v>
      </c>
      <c r="O1433" t="str" cm="1">
        <f t="array" ref="O1433">_xlfn.IFS(Table1[[#This Row],[Divorced]]=1, "Divorced", Table1[[#This Row],[Married]]=1, "Married", Table1[[#This Row],[Single]]=1, "Single", Table1[[#This Row],[Together]]=1, "Together", Table1[[#This Row],[Widow]]=1, "Widow")</f>
        <v>Divorced</v>
      </c>
      <c r="P1433" t="str" cm="1">
        <f t="array" ref="P1433">_xlfn.IFS(Table1[[#This Row],[Basic]]=1, "Basic", Table1[[#This Row],[Graduate]]=1, "Graduate", Table1[[#This Row],[Master]]=1, "Master", Table1[[#This Row],[PhD]]=1, "PhD", AND(Table1[[#This Row],[Basic]]=0, Table1[[#This Row],[Graduate]]=0, Table1[[#This Row],[Master]]=0, Table1[[#This Row],[PhD]]=0), "NA")</f>
        <v>NA</v>
      </c>
      <c r="Q1433" t="e">
        <f>_xlfn.XLOOKUP(Table1[[#This Row],[ID]], Table2[ID],#REF!, "Not Found", 0)</f>
        <v>#REF!</v>
      </c>
      <c r="R1433" t="e">
        <f>_xlfn.XLOOKUP(Table1[[#This Row],[ID]], Table2[ID],#REF!, "Not Found", 0)</f>
        <v>#REF!</v>
      </c>
      <c r="S1433" s="3" t="str">
        <f>_xlfn.XLOOKUP(Table1[[#This Row],[ID]], Table2[ID], Table2[Enrollment], "Not Found", 0)</f>
        <v>7/21/2019</v>
      </c>
      <c r="T1433" t="s">
        <v>439</v>
      </c>
    </row>
    <row r="1434" spans="1:20" x14ac:dyDescent="0.3">
      <c r="A1434">
        <v>1045</v>
      </c>
      <c r="B1434">
        <v>141728</v>
      </c>
      <c r="C1434">
        <v>1</v>
      </c>
      <c r="D1434">
        <v>0</v>
      </c>
      <c r="E1434">
        <v>52</v>
      </c>
      <c r="F1434">
        <v>0</v>
      </c>
      <c r="G1434">
        <v>0</v>
      </c>
      <c r="H1434">
        <v>0</v>
      </c>
      <c r="I1434">
        <v>1</v>
      </c>
      <c r="J1434">
        <v>0</v>
      </c>
      <c r="K1434">
        <v>0</v>
      </c>
      <c r="L1434">
        <v>1</v>
      </c>
      <c r="M1434">
        <v>0</v>
      </c>
      <c r="N1434">
        <v>0</v>
      </c>
      <c r="O1434" t="str" cm="1">
        <f t="array" ref="O1434">_xlfn.IFS(Table1[[#This Row],[Divorced]]=1, "Divorced", Table1[[#This Row],[Married]]=1, "Married", Table1[[#This Row],[Single]]=1, "Single", Table1[[#This Row],[Together]]=1, "Together", Table1[[#This Row],[Widow]]=1, "Widow")</f>
        <v>Together</v>
      </c>
      <c r="P1434" t="str" cm="1">
        <f t="array" ref="P1434">_xlfn.IFS(Table1[[#This Row],[Basic]]=1, "Basic", Table1[[#This Row],[Graduate]]=1, "Graduate", Table1[[#This Row],[Master]]=1, "Master", Table1[[#This Row],[PhD]]=1, "PhD", AND(Table1[[#This Row],[Basic]]=0, Table1[[#This Row],[Graduate]]=0, Table1[[#This Row],[Master]]=0, Table1[[#This Row],[PhD]]=0), "NA")</f>
        <v>Graduate</v>
      </c>
      <c r="Q1434" t="e">
        <f>_xlfn.XLOOKUP(Table1[[#This Row],[ID]], Table2[ID],#REF!, "Not Found", 0)</f>
        <v>#REF!</v>
      </c>
      <c r="R1434" t="e">
        <f>_xlfn.XLOOKUP(Table1[[#This Row],[ID]], Table2[ID],#REF!, "Not Found", 0)</f>
        <v>#REF!</v>
      </c>
      <c r="S1434" s="3" t="str">
        <f>_xlfn.XLOOKUP(Table1[[#This Row],[ID]], Table2[ID], Table2[Enrollment], "Not Found", 0)</f>
        <v>10/29/2019</v>
      </c>
      <c r="T1434" t="s">
        <v>437</v>
      </c>
    </row>
    <row r="1435" spans="1:20" x14ac:dyDescent="0.3">
      <c r="A1435">
        <v>3124</v>
      </c>
      <c r="B1435">
        <v>141713</v>
      </c>
      <c r="C1435">
        <v>1</v>
      </c>
      <c r="D1435">
        <v>1</v>
      </c>
      <c r="E1435">
        <v>56</v>
      </c>
      <c r="F1435">
        <v>1</v>
      </c>
      <c r="G1435">
        <v>0</v>
      </c>
      <c r="H1435">
        <v>0</v>
      </c>
      <c r="I1435">
        <v>0</v>
      </c>
      <c r="J1435">
        <v>0</v>
      </c>
      <c r="K1435">
        <v>0</v>
      </c>
      <c r="L1435">
        <v>0</v>
      </c>
      <c r="M1435">
        <v>0</v>
      </c>
      <c r="N1435">
        <v>0</v>
      </c>
      <c r="O1435" t="str" cm="1">
        <f t="array" ref="O1435">_xlfn.IFS(Table1[[#This Row],[Divorced]]=1, "Divorced", Table1[[#This Row],[Married]]=1, "Married", Table1[[#This Row],[Single]]=1, "Single", Table1[[#This Row],[Together]]=1, "Together", Table1[[#This Row],[Widow]]=1, "Widow")</f>
        <v>Divorced</v>
      </c>
      <c r="P1435" t="str" cm="1">
        <f t="array" ref="P1435">_xlfn.IFS(Table1[[#This Row],[Basic]]=1, "Basic", Table1[[#This Row],[Graduate]]=1, "Graduate", Table1[[#This Row],[Master]]=1, "Master", Table1[[#This Row],[PhD]]=1, "PhD", AND(Table1[[#This Row],[Basic]]=0, Table1[[#This Row],[Graduate]]=0, Table1[[#This Row],[Master]]=0, Table1[[#This Row],[PhD]]=0), "NA")</f>
        <v>NA</v>
      </c>
      <c r="Q1435" t="e">
        <f>_xlfn.XLOOKUP(Table1[[#This Row],[ID]], Table2[ID],#REF!, "Not Found", 0)</f>
        <v>#REF!</v>
      </c>
      <c r="R1435" t="e">
        <f>_xlfn.XLOOKUP(Table1[[#This Row],[ID]], Table2[ID],#REF!, "Not Found", 0)</f>
        <v>#REF!</v>
      </c>
      <c r="S1435" s="3">
        <f>_xlfn.XLOOKUP(Table1[[#This Row],[ID]], Table2[ID], Table2[Enrollment], "Not Found", 0)</f>
        <v>43900</v>
      </c>
      <c r="T1435" t="s">
        <v>439</v>
      </c>
    </row>
    <row r="1436" spans="1:20" x14ac:dyDescent="0.3">
      <c r="A1436">
        <v>2369</v>
      </c>
      <c r="B1436">
        <v>141658</v>
      </c>
      <c r="C1436">
        <v>1</v>
      </c>
      <c r="D1436">
        <v>1</v>
      </c>
      <c r="E1436">
        <v>45</v>
      </c>
      <c r="F1436">
        <v>0</v>
      </c>
      <c r="G1436">
        <v>0</v>
      </c>
      <c r="H1436">
        <v>1</v>
      </c>
      <c r="I1436">
        <v>0</v>
      </c>
      <c r="J1436">
        <v>0</v>
      </c>
      <c r="K1436">
        <v>0</v>
      </c>
      <c r="L1436">
        <v>0</v>
      </c>
      <c r="M1436">
        <v>0</v>
      </c>
      <c r="N1436">
        <v>0</v>
      </c>
      <c r="O1436" t="str" cm="1">
        <f t="array" ref="O1436">_xlfn.IFS(Table1[[#This Row],[Divorced]]=1, "Divorced", Table1[[#This Row],[Married]]=1, "Married", Table1[[#This Row],[Single]]=1, "Single", Table1[[#This Row],[Together]]=1, "Together", Table1[[#This Row],[Widow]]=1, "Widow")</f>
        <v>Single</v>
      </c>
      <c r="P1436" t="str" cm="1">
        <f t="array" ref="P1436">_xlfn.IFS(Table1[[#This Row],[Basic]]=1, "Basic", Table1[[#This Row],[Graduate]]=1, "Graduate", Table1[[#This Row],[Master]]=1, "Master", Table1[[#This Row],[PhD]]=1, "PhD", AND(Table1[[#This Row],[Basic]]=0, Table1[[#This Row],[Graduate]]=0, Table1[[#This Row],[Master]]=0, Table1[[#This Row],[PhD]]=0), "NA")</f>
        <v>NA</v>
      </c>
      <c r="Q1436" t="e">
        <f>_xlfn.XLOOKUP(Table1[[#This Row],[ID]], Table2[ID],#REF!, "Not Found", 0)</f>
        <v>#REF!</v>
      </c>
      <c r="R1436" t="e">
        <f>_xlfn.XLOOKUP(Table1[[#This Row],[ID]], Table2[ID],#REF!, "Not Found", 0)</f>
        <v>#REF!</v>
      </c>
      <c r="S1436" s="3" t="str">
        <f>_xlfn.XLOOKUP(Table1[[#This Row],[ID]], Table2[ID], Table2[Enrollment], "Not Found", 0)</f>
        <v>4/16/2019</v>
      </c>
      <c r="T1436" t="s">
        <v>434</v>
      </c>
    </row>
    <row r="1437" spans="1:20" x14ac:dyDescent="0.3">
      <c r="A1437">
        <v>1460</v>
      </c>
      <c r="B1437">
        <v>141644</v>
      </c>
      <c r="C1437">
        <v>1</v>
      </c>
      <c r="D1437">
        <v>1</v>
      </c>
      <c r="E1437">
        <v>48</v>
      </c>
      <c r="F1437">
        <v>0</v>
      </c>
      <c r="G1437">
        <v>0</v>
      </c>
      <c r="H1437">
        <v>1</v>
      </c>
      <c r="I1437">
        <v>0</v>
      </c>
      <c r="J1437">
        <v>0</v>
      </c>
      <c r="K1437">
        <v>0</v>
      </c>
      <c r="L1437">
        <v>0</v>
      </c>
      <c r="M1437">
        <v>0</v>
      </c>
      <c r="N1437">
        <v>1</v>
      </c>
      <c r="O1437" t="str" cm="1">
        <f t="array" ref="O1437">_xlfn.IFS(Table1[[#This Row],[Divorced]]=1, "Divorced", Table1[[#This Row],[Married]]=1, "Married", Table1[[#This Row],[Single]]=1, "Single", Table1[[#This Row],[Together]]=1, "Together", Table1[[#This Row],[Widow]]=1, "Widow")</f>
        <v>Single</v>
      </c>
      <c r="P1437" t="str" cm="1">
        <f t="array" ref="P1437">_xlfn.IFS(Table1[[#This Row],[Basic]]=1, "Basic", Table1[[#This Row],[Graduate]]=1, "Graduate", Table1[[#This Row],[Master]]=1, "Master", Table1[[#This Row],[PhD]]=1, "PhD", AND(Table1[[#This Row],[Basic]]=0, Table1[[#This Row],[Graduate]]=0, Table1[[#This Row],[Master]]=0, Table1[[#This Row],[PhD]]=0), "NA")</f>
        <v>PhD</v>
      </c>
      <c r="Q1437" t="e">
        <f>_xlfn.XLOOKUP(Table1[[#This Row],[ID]], Table2[ID],#REF!, "Not Found", 0)</f>
        <v>#REF!</v>
      </c>
      <c r="R1437" t="e">
        <f>_xlfn.XLOOKUP(Table1[[#This Row],[ID]], Table2[ID],#REF!, "Not Found", 0)</f>
        <v>#REF!</v>
      </c>
      <c r="S1437" s="3" t="str">
        <f>_xlfn.XLOOKUP(Table1[[#This Row],[ID]], Table2[ID], Table2[Enrollment], "Not Found", 0)</f>
        <v>10/13/2020</v>
      </c>
      <c r="T1437" t="s">
        <v>438</v>
      </c>
    </row>
    <row r="1438" spans="1:20" x14ac:dyDescent="0.3">
      <c r="A1438">
        <v>2982</v>
      </c>
      <c r="B1438">
        <v>141638</v>
      </c>
      <c r="C1438">
        <v>0</v>
      </c>
      <c r="D1438">
        <v>1</v>
      </c>
      <c r="E1438">
        <v>56</v>
      </c>
      <c r="F1438">
        <v>1</v>
      </c>
      <c r="G1438">
        <v>0</v>
      </c>
      <c r="H1438">
        <v>0</v>
      </c>
      <c r="I1438">
        <v>0</v>
      </c>
      <c r="J1438">
        <v>0</v>
      </c>
      <c r="K1438">
        <v>0</v>
      </c>
      <c r="L1438">
        <v>1</v>
      </c>
      <c r="M1438">
        <v>0</v>
      </c>
      <c r="N1438">
        <v>0</v>
      </c>
      <c r="O1438" t="str" cm="1">
        <f t="array" ref="O1438">_xlfn.IFS(Table1[[#This Row],[Divorced]]=1, "Divorced", Table1[[#This Row],[Married]]=1, "Married", Table1[[#This Row],[Single]]=1, "Single", Table1[[#This Row],[Together]]=1, "Together", Table1[[#This Row],[Widow]]=1, "Widow")</f>
        <v>Divorced</v>
      </c>
      <c r="P1438" t="str" cm="1">
        <f t="array" ref="P1438">_xlfn.IFS(Table1[[#This Row],[Basic]]=1, "Basic", Table1[[#This Row],[Graduate]]=1, "Graduate", Table1[[#This Row],[Master]]=1, "Master", Table1[[#This Row],[PhD]]=1, "PhD", AND(Table1[[#This Row],[Basic]]=0, Table1[[#This Row],[Graduate]]=0, Table1[[#This Row],[Master]]=0, Table1[[#This Row],[PhD]]=0), "NA")</f>
        <v>Graduate</v>
      </c>
      <c r="Q1438" t="e">
        <f>_xlfn.XLOOKUP(Table1[[#This Row],[ID]], Table2[ID],#REF!, "Not Found", 0)</f>
        <v>#REF!</v>
      </c>
      <c r="R1438" t="e">
        <f>_xlfn.XLOOKUP(Table1[[#This Row],[ID]], Table2[ID],#REF!, "Not Found", 0)</f>
        <v>#REF!</v>
      </c>
      <c r="S1438" s="3" t="str">
        <f>_xlfn.XLOOKUP(Table1[[#This Row],[ID]], Table2[ID], Table2[Enrollment], "Not Found", 0)</f>
        <v>7/21/2019</v>
      </c>
      <c r="T1438" t="s">
        <v>436</v>
      </c>
    </row>
    <row r="1439" spans="1:20" x14ac:dyDescent="0.3">
      <c r="A1439">
        <v>2810</v>
      </c>
      <c r="B1439">
        <v>141580</v>
      </c>
      <c r="C1439">
        <v>1</v>
      </c>
      <c r="D1439">
        <v>1</v>
      </c>
      <c r="E1439">
        <v>42</v>
      </c>
      <c r="F1439">
        <v>0</v>
      </c>
      <c r="G1439">
        <v>0</v>
      </c>
      <c r="H1439">
        <v>0</v>
      </c>
      <c r="I1439">
        <v>1</v>
      </c>
      <c r="J1439">
        <v>0</v>
      </c>
      <c r="K1439">
        <v>0</v>
      </c>
      <c r="L1439">
        <v>1</v>
      </c>
      <c r="M1439">
        <v>0</v>
      </c>
      <c r="N1439">
        <v>0</v>
      </c>
      <c r="O1439" t="str" cm="1">
        <f t="array" ref="O1439">_xlfn.IFS(Table1[[#This Row],[Divorced]]=1, "Divorced", Table1[[#This Row],[Married]]=1, "Married", Table1[[#This Row],[Single]]=1, "Single", Table1[[#This Row],[Together]]=1, "Together", Table1[[#This Row],[Widow]]=1, "Widow")</f>
        <v>Together</v>
      </c>
      <c r="P1439" t="str" cm="1">
        <f t="array" ref="P1439">_xlfn.IFS(Table1[[#This Row],[Basic]]=1, "Basic", Table1[[#This Row],[Graduate]]=1, "Graduate", Table1[[#This Row],[Master]]=1, "Master", Table1[[#This Row],[PhD]]=1, "PhD", AND(Table1[[#This Row],[Basic]]=0, Table1[[#This Row],[Graduate]]=0, Table1[[#This Row],[Master]]=0, Table1[[#This Row],[PhD]]=0), "NA")</f>
        <v>Graduate</v>
      </c>
      <c r="Q1439" t="e">
        <f>_xlfn.XLOOKUP(Table1[[#This Row],[ID]], Table2[ID],#REF!, "Not Found", 0)</f>
        <v>#REF!</v>
      </c>
      <c r="R1439" t="e">
        <f>_xlfn.XLOOKUP(Table1[[#This Row],[ID]], Table2[ID],#REF!, "Not Found", 0)</f>
        <v>#REF!</v>
      </c>
      <c r="S1439" s="3" t="str">
        <f>_xlfn.XLOOKUP(Table1[[#This Row],[ID]], Table2[ID], Table2[Enrollment], "Not Found", 0)</f>
        <v>5/17/2019</v>
      </c>
      <c r="T1439" t="s">
        <v>438</v>
      </c>
    </row>
    <row r="1440" spans="1:20" x14ac:dyDescent="0.3">
      <c r="A1440">
        <v>1124</v>
      </c>
      <c r="B1440">
        <v>141551</v>
      </c>
      <c r="C1440">
        <v>1</v>
      </c>
      <c r="D1440">
        <v>1</v>
      </c>
      <c r="E1440">
        <v>56</v>
      </c>
      <c r="F1440">
        <v>0</v>
      </c>
      <c r="G1440">
        <v>1</v>
      </c>
      <c r="H1440">
        <v>0</v>
      </c>
      <c r="I1440">
        <v>0</v>
      </c>
      <c r="J1440">
        <v>0</v>
      </c>
      <c r="K1440">
        <v>0</v>
      </c>
      <c r="L1440">
        <v>0</v>
      </c>
      <c r="M1440">
        <v>0</v>
      </c>
      <c r="N1440">
        <v>1</v>
      </c>
      <c r="O1440" t="str" cm="1">
        <f t="array" ref="O1440">_xlfn.IFS(Table1[[#This Row],[Divorced]]=1, "Divorced", Table1[[#This Row],[Married]]=1, "Married", Table1[[#This Row],[Single]]=1, "Single", Table1[[#This Row],[Together]]=1, "Together", Table1[[#This Row],[Widow]]=1, "Widow")</f>
        <v>Married</v>
      </c>
      <c r="P1440" t="str" cm="1">
        <f t="array" ref="P1440">_xlfn.IFS(Table1[[#This Row],[Basic]]=1, "Basic", Table1[[#This Row],[Graduate]]=1, "Graduate", Table1[[#This Row],[Master]]=1, "Master", Table1[[#This Row],[PhD]]=1, "PhD", AND(Table1[[#This Row],[Basic]]=0, Table1[[#This Row],[Graduate]]=0, Table1[[#This Row],[Master]]=0, Table1[[#This Row],[PhD]]=0), "NA")</f>
        <v>PhD</v>
      </c>
      <c r="Q1440" t="e">
        <f>_xlfn.XLOOKUP(Table1[[#This Row],[ID]], Table2[ID],#REF!, "Not Found", 0)</f>
        <v>#REF!</v>
      </c>
      <c r="R1440" t="e">
        <f>_xlfn.XLOOKUP(Table1[[#This Row],[ID]], Table2[ID],#REF!, "Not Found", 0)</f>
        <v>#REF!</v>
      </c>
      <c r="S1440" s="3" t="str">
        <f>_xlfn.XLOOKUP(Table1[[#This Row],[ID]], Table2[ID], Table2[Enrollment], "Not Found", 0)</f>
        <v>1/19/2020</v>
      </c>
      <c r="T1440" t="s">
        <v>438</v>
      </c>
    </row>
    <row r="1441" spans="1:20" x14ac:dyDescent="0.3">
      <c r="A1441">
        <v>2640</v>
      </c>
      <c r="B1441">
        <v>141473</v>
      </c>
      <c r="C1441">
        <v>1</v>
      </c>
      <c r="D1441">
        <v>0</v>
      </c>
      <c r="E1441">
        <v>35</v>
      </c>
      <c r="F1441">
        <v>0</v>
      </c>
      <c r="G1441">
        <v>0</v>
      </c>
      <c r="H1441">
        <v>1</v>
      </c>
      <c r="I1441">
        <v>0</v>
      </c>
      <c r="J1441">
        <v>0</v>
      </c>
      <c r="K1441">
        <v>0</v>
      </c>
      <c r="L1441">
        <v>0</v>
      </c>
      <c r="M1441">
        <v>0</v>
      </c>
      <c r="N1441">
        <v>0</v>
      </c>
      <c r="O1441" t="str" cm="1">
        <f t="array" ref="O1441">_xlfn.IFS(Table1[[#This Row],[Divorced]]=1, "Divorced", Table1[[#This Row],[Married]]=1, "Married", Table1[[#This Row],[Single]]=1, "Single", Table1[[#This Row],[Together]]=1, "Together", Table1[[#This Row],[Widow]]=1, "Widow")</f>
        <v>Single</v>
      </c>
      <c r="P1441" t="str" cm="1">
        <f t="array" ref="P1441">_xlfn.IFS(Table1[[#This Row],[Basic]]=1, "Basic", Table1[[#This Row],[Graduate]]=1, "Graduate", Table1[[#This Row],[Master]]=1, "Master", Table1[[#This Row],[PhD]]=1, "PhD", AND(Table1[[#This Row],[Basic]]=0, Table1[[#This Row],[Graduate]]=0, Table1[[#This Row],[Master]]=0, Table1[[#This Row],[PhD]]=0), "NA")</f>
        <v>NA</v>
      </c>
      <c r="Q1441" t="e">
        <f>_xlfn.XLOOKUP(Table1[[#This Row],[ID]], Table2[ID],#REF!, "Not Found", 0)</f>
        <v>#REF!</v>
      </c>
      <c r="R1441" t="e">
        <f>_xlfn.XLOOKUP(Table1[[#This Row],[ID]], Table2[ID],#REF!, "Not Found", 0)</f>
        <v>#REF!</v>
      </c>
      <c r="S1441" s="3" t="str">
        <f>_xlfn.XLOOKUP(Table1[[#This Row],[ID]], Table2[ID], Table2[Enrollment], "Not Found", 0)</f>
        <v>11/24/2019</v>
      </c>
      <c r="T1441" t="s">
        <v>436</v>
      </c>
    </row>
    <row r="1442" spans="1:20" x14ac:dyDescent="0.3">
      <c r="A1442">
        <v>1756</v>
      </c>
      <c r="B1442">
        <v>141452</v>
      </c>
      <c r="C1442">
        <v>1</v>
      </c>
      <c r="D1442">
        <v>1</v>
      </c>
      <c r="E1442">
        <v>67</v>
      </c>
      <c r="F1442">
        <v>0</v>
      </c>
      <c r="G1442">
        <v>0</v>
      </c>
      <c r="H1442">
        <v>0</v>
      </c>
      <c r="I1442">
        <v>1</v>
      </c>
      <c r="J1442">
        <v>0</v>
      </c>
      <c r="K1442">
        <v>0</v>
      </c>
      <c r="L1442">
        <v>1</v>
      </c>
      <c r="M1442">
        <v>0</v>
      </c>
      <c r="N1442">
        <v>0</v>
      </c>
      <c r="O1442" t="str" cm="1">
        <f t="array" ref="O1442">_xlfn.IFS(Table1[[#This Row],[Divorced]]=1, "Divorced", Table1[[#This Row],[Married]]=1, "Married", Table1[[#This Row],[Single]]=1, "Single", Table1[[#This Row],[Together]]=1, "Together", Table1[[#This Row],[Widow]]=1, "Widow")</f>
        <v>Together</v>
      </c>
      <c r="P1442" t="str" cm="1">
        <f t="array" ref="P1442">_xlfn.IFS(Table1[[#This Row],[Basic]]=1, "Basic", Table1[[#This Row],[Graduate]]=1, "Graduate", Table1[[#This Row],[Master]]=1, "Master", Table1[[#This Row],[PhD]]=1, "PhD", AND(Table1[[#This Row],[Basic]]=0, Table1[[#This Row],[Graduate]]=0, Table1[[#This Row],[Master]]=0, Table1[[#This Row],[PhD]]=0), "NA")</f>
        <v>Graduate</v>
      </c>
      <c r="Q1442" t="e">
        <f>_xlfn.XLOOKUP(Table1[[#This Row],[ID]], Table2[ID],#REF!, "Not Found", 0)</f>
        <v>#REF!</v>
      </c>
      <c r="R1442" t="e">
        <f>_xlfn.XLOOKUP(Table1[[#This Row],[ID]], Table2[ID],#REF!, "Not Found", 0)</f>
        <v>#REF!</v>
      </c>
      <c r="S1442" s="3">
        <f>_xlfn.XLOOKUP(Table1[[#This Row],[ID]], Table2[ID], Table2[Enrollment], "Not Found", 0)</f>
        <v>43777</v>
      </c>
      <c r="T1442" t="s">
        <v>439</v>
      </c>
    </row>
    <row r="1443" spans="1:20" x14ac:dyDescent="0.3">
      <c r="A1443">
        <v>1203</v>
      </c>
      <c r="B1443">
        <v>141443</v>
      </c>
      <c r="C1443">
        <v>1</v>
      </c>
      <c r="D1443">
        <v>0</v>
      </c>
      <c r="E1443">
        <v>43</v>
      </c>
      <c r="F1443">
        <v>0</v>
      </c>
      <c r="G1443">
        <v>1</v>
      </c>
      <c r="H1443">
        <v>0</v>
      </c>
      <c r="I1443">
        <v>0</v>
      </c>
      <c r="J1443">
        <v>0</v>
      </c>
      <c r="K1443">
        <v>0</v>
      </c>
      <c r="L1443">
        <v>1</v>
      </c>
      <c r="M1443">
        <v>0</v>
      </c>
      <c r="N1443">
        <v>0</v>
      </c>
      <c r="O1443" t="str" cm="1">
        <f t="array" ref="O1443">_xlfn.IFS(Table1[[#This Row],[Divorced]]=1, "Divorced", Table1[[#This Row],[Married]]=1, "Married", Table1[[#This Row],[Single]]=1, "Single", Table1[[#This Row],[Together]]=1, "Together", Table1[[#This Row],[Widow]]=1, "Widow")</f>
        <v>Married</v>
      </c>
      <c r="P1443" t="str" cm="1">
        <f t="array" ref="P1443">_xlfn.IFS(Table1[[#This Row],[Basic]]=1, "Basic", Table1[[#This Row],[Graduate]]=1, "Graduate", Table1[[#This Row],[Master]]=1, "Master", Table1[[#This Row],[PhD]]=1, "PhD", AND(Table1[[#This Row],[Basic]]=0, Table1[[#This Row],[Graduate]]=0, Table1[[#This Row],[Master]]=0, Table1[[#This Row],[PhD]]=0), "NA")</f>
        <v>Graduate</v>
      </c>
      <c r="Q1443" t="e">
        <f>_xlfn.XLOOKUP(Table1[[#This Row],[ID]], Table2[ID],#REF!, "Not Found", 0)</f>
        <v>#REF!</v>
      </c>
      <c r="R1443" t="e">
        <f>_xlfn.XLOOKUP(Table1[[#This Row],[ID]], Table2[ID],#REF!, "Not Found", 0)</f>
        <v>#REF!</v>
      </c>
      <c r="S1443" s="3">
        <f>_xlfn.XLOOKUP(Table1[[#This Row],[ID]], Table2[ID], Table2[Enrollment], "Not Found", 0)</f>
        <v>43960</v>
      </c>
      <c r="T1443" t="s">
        <v>435</v>
      </c>
    </row>
    <row r="1444" spans="1:20" x14ac:dyDescent="0.3">
      <c r="A1444">
        <v>2673</v>
      </c>
      <c r="B1444">
        <v>141437</v>
      </c>
      <c r="C1444">
        <v>1</v>
      </c>
      <c r="D1444">
        <v>1</v>
      </c>
      <c r="E1444">
        <v>63</v>
      </c>
      <c r="F1444">
        <v>1</v>
      </c>
      <c r="G1444">
        <v>0</v>
      </c>
      <c r="H1444">
        <v>0</v>
      </c>
      <c r="I1444">
        <v>0</v>
      </c>
      <c r="J1444">
        <v>0</v>
      </c>
      <c r="K1444">
        <v>0</v>
      </c>
      <c r="L1444">
        <v>0</v>
      </c>
      <c r="M1444">
        <v>0</v>
      </c>
      <c r="N1444">
        <v>1</v>
      </c>
      <c r="O1444" t="str" cm="1">
        <f t="array" ref="O1444">_xlfn.IFS(Table1[[#This Row],[Divorced]]=1, "Divorced", Table1[[#This Row],[Married]]=1, "Married", Table1[[#This Row],[Single]]=1, "Single", Table1[[#This Row],[Together]]=1, "Together", Table1[[#This Row],[Widow]]=1, "Widow")</f>
        <v>Divorced</v>
      </c>
      <c r="P1444" t="str" cm="1">
        <f t="array" ref="P1444">_xlfn.IFS(Table1[[#This Row],[Basic]]=1, "Basic", Table1[[#This Row],[Graduate]]=1, "Graduate", Table1[[#This Row],[Master]]=1, "Master", Table1[[#This Row],[PhD]]=1, "PhD", AND(Table1[[#This Row],[Basic]]=0, Table1[[#This Row],[Graduate]]=0, Table1[[#This Row],[Master]]=0, Table1[[#This Row],[PhD]]=0), "NA")</f>
        <v>PhD</v>
      </c>
      <c r="Q1444" t="e">
        <f>_xlfn.XLOOKUP(Table1[[#This Row],[ID]], Table2[ID],#REF!, "Not Found", 0)</f>
        <v>#REF!</v>
      </c>
      <c r="R1444" t="e">
        <f>_xlfn.XLOOKUP(Table1[[#This Row],[ID]], Table2[ID],#REF!, "Not Found", 0)</f>
        <v>#REF!</v>
      </c>
      <c r="S1444" s="3" t="str">
        <f>_xlfn.XLOOKUP(Table1[[#This Row],[ID]], Table2[ID], Table2[Enrollment], "Not Found", 0)</f>
        <v>2/27/2019</v>
      </c>
      <c r="T1444" t="s">
        <v>435</v>
      </c>
    </row>
    <row r="1445" spans="1:20" x14ac:dyDescent="0.3">
      <c r="A1445">
        <v>1325</v>
      </c>
      <c r="B1445">
        <v>141411</v>
      </c>
      <c r="C1445">
        <v>0</v>
      </c>
      <c r="D1445">
        <v>0</v>
      </c>
      <c r="E1445">
        <v>34</v>
      </c>
      <c r="F1445">
        <v>1</v>
      </c>
      <c r="G1445">
        <v>0</v>
      </c>
      <c r="H1445">
        <v>0</v>
      </c>
      <c r="I1445">
        <v>0</v>
      </c>
      <c r="J1445">
        <v>0</v>
      </c>
      <c r="K1445">
        <v>0</v>
      </c>
      <c r="L1445">
        <v>1</v>
      </c>
      <c r="M1445">
        <v>0</v>
      </c>
      <c r="N1445">
        <v>0</v>
      </c>
      <c r="O1445" t="str" cm="1">
        <f t="array" ref="O1445">_xlfn.IFS(Table1[[#This Row],[Divorced]]=1, "Divorced", Table1[[#This Row],[Married]]=1, "Married", Table1[[#This Row],[Single]]=1, "Single", Table1[[#This Row],[Together]]=1, "Together", Table1[[#This Row],[Widow]]=1, "Widow")</f>
        <v>Divorced</v>
      </c>
      <c r="P1445" t="str" cm="1">
        <f t="array" ref="P1445">_xlfn.IFS(Table1[[#This Row],[Basic]]=1, "Basic", Table1[[#This Row],[Graduate]]=1, "Graduate", Table1[[#This Row],[Master]]=1, "Master", Table1[[#This Row],[PhD]]=1, "PhD", AND(Table1[[#This Row],[Basic]]=0, Table1[[#This Row],[Graduate]]=0, Table1[[#This Row],[Master]]=0, Table1[[#This Row],[PhD]]=0), "NA")</f>
        <v>Graduate</v>
      </c>
      <c r="Q1445" t="e">
        <f>_xlfn.XLOOKUP(Table1[[#This Row],[ID]], Table2[ID],#REF!, "Not Found", 0)</f>
        <v>#REF!</v>
      </c>
      <c r="R1445" t="e">
        <f>_xlfn.XLOOKUP(Table1[[#This Row],[ID]], Table2[ID],#REF!, "Not Found", 0)</f>
        <v>#REF!</v>
      </c>
      <c r="S1445" s="3" t="str">
        <f>_xlfn.XLOOKUP(Table1[[#This Row],[ID]], Table2[ID], Table2[Enrollment], "Not Found", 0)</f>
        <v>5/13/2020</v>
      </c>
      <c r="T1445" t="s">
        <v>434</v>
      </c>
    </row>
    <row r="1446" spans="1:20" x14ac:dyDescent="0.3">
      <c r="A1446">
        <v>1685</v>
      </c>
      <c r="B1446">
        <v>141335</v>
      </c>
      <c r="C1446">
        <v>1</v>
      </c>
      <c r="D1446">
        <v>0</v>
      </c>
      <c r="E1446">
        <v>52</v>
      </c>
      <c r="F1446">
        <v>1</v>
      </c>
      <c r="G1446">
        <v>0</v>
      </c>
      <c r="H1446">
        <v>0</v>
      </c>
      <c r="I1446">
        <v>0</v>
      </c>
      <c r="J1446">
        <v>0</v>
      </c>
      <c r="K1446">
        <v>0</v>
      </c>
      <c r="L1446">
        <v>0</v>
      </c>
      <c r="M1446">
        <v>1</v>
      </c>
      <c r="N1446">
        <v>0</v>
      </c>
      <c r="O1446" t="str" cm="1">
        <f t="array" ref="O1446">_xlfn.IFS(Table1[[#This Row],[Divorced]]=1, "Divorced", Table1[[#This Row],[Married]]=1, "Married", Table1[[#This Row],[Single]]=1, "Single", Table1[[#This Row],[Together]]=1, "Together", Table1[[#This Row],[Widow]]=1, "Widow")</f>
        <v>Divorced</v>
      </c>
      <c r="P1446" t="str" cm="1">
        <f t="array" ref="P1446">_xlfn.IFS(Table1[[#This Row],[Basic]]=1, "Basic", Table1[[#This Row],[Graduate]]=1, "Graduate", Table1[[#This Row],[Master]]=1, "Master", Table1[[#This Row],[PhD]]=1, "PhD", AND(Table1[[#This Row],[Basic]]=0, Table1[[#This Row],[Graduate]]=0, Table1[[#This Row],[Master]]=0, Table1[[#This Row],[PhD]]=0), "NA")</f>
        <v>Master</v>
      </c>
      <c r="Q1446" t="e">
        <f>_xlfn.XLOOKUP(Table1[[#This Row],[ID]], Table2[ID],#REF!, "Not Found", 0)</f>
        <v>#REF!</v>
      </c>
      <c r="R1446" t="e">
        <f>_xlfn.XLOOKUP(Table1[[#This Row],[ID]], Table2[ID],#REF!, "Not Found", 0)</f>
        <v>#REF!</v>
      </c>
      <c r="S1446" s="3">
        <f>_xlfn.XLOOKUP(Table1[[#This Row],[ID]], Table2[ID], Table2[Enrollment], "Not Found", 0)</f>
        <v>43836</v>
      </c>
      <c r="T1446" t="s">
        <v>434</v>
      </c>
    </row>
    <row r="1447" spans="1:20" x14ac:dyDescent="0.3">
      <c r="A1447">
        <v>2348</v>
      </c>
      <c r="B1447">
        <v>141335</v>
      </c>
      <c r="C1447">
        <v>1</v>
      </c>
      <c r="D1447">
        <v>0</v>
      </c>
      <c r="E1447">
        <v>52</v>
      </c>
      <c r="F1447">
        <v>1</v>
      </c>
      <c r="G1447">
        <v>0</v>
      </c>
      <c r="H1447">
        <v>0</v>
      </c>
      <c r="I1447">
        <v>0</v>
      </c>
      <c r="J1447">
        <v>0</v>
      </c>
      <c r="K1447">
        <v>0</v>
      </c>
      <c r="L1447">
        <v>0</v>
      </c>
      <c r="M1447">
        <v>1</v>
      </c>
      <c r="N1447">
        <v>0</v>
      </c>
      <c r="O1447" t="str" cm="1">
        <f t="array" ref="O1447">_xlfn.IFS(Table1[[#This Row],[Divorced]]=1, "Divorced", Table1[[#This Row],[Married]]=1, "Married", Table1[[#This Row],[Single]]=1, "Single", Table1[[#This Row],[Together]]=1, "Together", Table1[[#This Row],[Widow]]=1, "Widow")</f>
        <v>Divorced</v>
      </c>
      <c r="P1447" t="str" cm="1">
        <f t="array" ref="P1447">_xlfn.IFS(Table1[[#This Row],[Basic]]=1, "Basic", Table1[[#This Row],[Graduate]]=1, "Graduate", Table1[[#This Row],[Master]]=1, "Master", Table1[[#This Row],[PhD]]=1, "PhD", AND(Table1[[#This Row],[Basic]]=0, Table1[[#This Row],[Graduate]]=0, Table1[[#This Row],[Master]]=0, Table1[[#This Row],[PhD]]=0), "NA")</f>
        <v>Master</v>
      </c>
      <c r="Q1447" t="e">
        <f>_xlfn.XLOOKUP(Table1[[#This Row],[ID]], Table2[ID],#REF!, "Not Found", 0)</f>
        <v>#REF!</v>
      </c>
      <c r="R1447" t="e">
        <f>_xlfn.XLOOKUP(Table1[[#This Row],[ID]], Table2[ID],#REF!, "Not Found", 0)</f>
        <v>#REF!</v>
      </c>
      <c r="S1447" s="3">
        <f>_xlfn.XLOOKUP(Table1[[#This Row],[ID]], Table2[ID], Table2[Enrollment], "Not Found", 0)</f>
        <v>43836</v>
      </c>
      <c r="T1447" t="s">
        <v>438</v>
      </c>
    </row>
    <row r="1448" spans="1:20" x14ac:dyDescent="0.3">
      <c r="A1448">
        <v>3115</v>
      </c>
      <c r="B1448">
        <v>141275</v>
      </c>
      <c r="C1448">
        <v>1</v>
      </c>
      <c r="D1448">
        <v>2</v>
      </c>
      <c r="E1448">
        <v>60</v>
      </c>
      <c r="F1448">
        <v>0</v>
      </c>
      <c r="G1448">
        <v>0</v>
      </c>
      <c r="H1448">
        <v>0</v>
      </c>
      <c r="I1448">
        <v>1</v>
      </c>
      <c r="J1448">
        <v>0</v>
      </c>
      <c r="K1448">
        <v>0</v>
      </c>
      <c r="L1448">
        <v>0</v>
      </c>
      <c r="M1448">
        <v>1</v>
      </c>
      <c r="N1448">
        <v>0</v>
      </c>
      <c r="O1448" t="str" cm="1">
        <f t="array" ref="O1448">_xlfn.IFS(Table1[[#This Row],[Divorced]]=1, "Divorced", Table1[[#This Row],[Married]]=1, "Married", Table1[[#This Row],[Single]]=1, "Single", Table1[[#This Row],[Together]]=1, "Together", Table1[[#This Row],[Widow]]=1, "Widow")</f>
        <v>Together</v>
      </c>
      <c r="P1448" t="str" cm="1">
        <f t="array" ref="P1448">_xlfn.IFS(Table1[[#This Row],[Basic]]=1, "Basic", Table1[[#This Row],[Graduate]]=1, "Graduate", Table1[[#This Row],[Master]]=1, "Master", Table1[[#This Row],[PhD]]=1, "PhD", AND(Table1[[#This Row],[Basic]]=0, Table1[[#This Row],[Graduate]]=0, Table1[[#This Row],[Master]]=0, Table1[[#This Row],[PhD]]=0), "NA")</f>
        <v>Master</v>
      </c>
      <c r="Q1448" t="e">
        <f>_xlfn.XLOOKUP(Table1[[#This Row],[ID]], Table2[ID],#REF!, "Not Found", 0)</f>
        <v>#REF!</v>
      </c>
      <c r="R1448" t="e">
        <f>_xlfn.XLOOKUP(Table1[[#This Row],[ID]], Table2[ID],#REF!, "Not Found", 0)</f>
        <v>#REF!</v>
      </c>
      <c r="S1448" s="3" t="str">
        <f>_xlfn.XLOOKUP(Table1[[#This Row],[ID]], Table2[ID], Table2[Enrollment], "Not Found", 0)</f>
        <v>8/28/2020</v>
      </c>
      <c r="T1448" t="s">
        <v>437</v>
      </c>
    </row>
    <row r="1449" spans="1:20" x14ac:dyDescent="0.3">
      <c r="A1449">
        <v>2687</v>
      </c>
      <c r="B1449">
        <v>141154</v>
      </c>
      <c r="C1449">
        <v>0</v>
      </c>
      <c r="D1449">
        <v>1</v>
      </c>
      <c r="E1449">
        <v>42</v>
      </c>
      <c r="F1449">
        <v>0</v>
      </c>
      <c r="G1449">
        <v>0</v>
      </c>
      <c r="H1449">
        <v>0</v>
      </c>
      <c r="I1449">
        <v>1</v>
      </c>
      <c r="J1449">
        <v>0</v>
      </c>
      <c r="K1449">
        <v>0</v>
      </c>
      <c r="L1449">
        <v>1</v>
      </c>
      <c r="M1449">
        <v>0</v>
      </c>
      <c r="N1449">
        <v>0</v>
      </c>
      <c r="O1449" t="str" cm="1">
        <f t="array" ref="O1449">_xlfn.IFS(Table1[[#This Row],[Divorced]]=1, "Divorced", Table1[[#This Row],[Married]]=1, "Married", Table1[[#This Row],[Single]]=1, "Single", Table1[[#This Row],[Together]]=1, "Together", Table1[[#This Row],[Widow]]=1, "Widow")</f>
        <v>Together</v>
      </c>
      <c r="P1449" t="str" cm="1">
        <f t="array" ref="P1449">_xlfn.IFS(Table1[[#This Row],[Basic]]=1, "Basic", Table1[[#This Row],[Graduate]]=1, "Graduate", Table1[[#This Row],[Master]]=1, "Master", Table1[[#This Row],[PhD]]=1, "PhD", AND(Table1[[#This Row],[Basic]]=0, Table1[[#This Row],[Graduate]]=0, Table1[[#This Row],[Master]]=0, Table1[[#This Row],[PhD]]=0), "NA")</f>
        <v>Graduate</v>
      </c>
      <c r="Q1449" t="e">
        <f>_xlfn.XLOOKUP(Table1[[#This Row],[ID]], Table2[ID],#REF!, "Not Found", 0)</f>
        <v>#REF!</v>
      </c>
      <c r="R1449" t="e">
        <f>_xlfn.XLOOKUP(Table1[[#This Row],[ID]], Table2[ID],#REF!, "Not Found", 0)</f>
        <v>#REF!</v>
      </c>
      <c r="S1449" s="3" t="str">
        <f>_xlfn.XLOOKUP(Table1[[#This Row],[ID]], Table2[ID], Table2[Enrollment], "Not Found", 0)</f>
        <v>9/14/2019</v>
      </c>
      <c r="T1449" t="s">
        <v>434</v>
      </c>
    </row>
    <row r="1450" spans="1:20" x14ac:dyDescent="0.3">
      <c r="A1450">
        <v>2444</v>
      </c>
      <c r="B1450">
        <v>141145</v>
      </c>
      <c r="C1450">
        <v>1</v>
      </c>
      <c r="D1450">
        <v>1</v>
      </c>
      <c r="E1450">
        <v>70</v>
      </c>
      <c r="F1450">
        <v>0</v>
      </c>
      <c r="G1450">
        <v>1</v>
      </c>
      <c r="H1450">
        <v>0</v>
      </c>
      <c r="I1450">
        <v>0</v>
      </c>
      <c r="J1450">
        <v>0</v>
      </c>
      <c r="K1450">
        <v>0</v>
      </c>
      <c r="L1450">
        <v>0</v>
      </c>
      <c r="M1450">
        <v>0</v>
      </c>
      <c r="N1450">
        <v>1</v>
      </c>
      <c r="O1450" t="str" cm="1">
        <f t="array" ref="O1450">_xlfn.IFS(Table1[[#This Row],[Divorced]]=1, "Divorced", Table1[[#This Row],[Married]]=1, "Married", Table1[[#This Row],[Single]]=1, "Single", Table1[[#This Row],[Together]]=1, "Together", Table1[[#This Row],[Widow]]=1, "Widow")</f>
        <v>Married</v>
      </c>
      <c r="P1450" t="str" cm="1">
        <f t="array" ref="P1450">_xlfn.IFS(Table1[[#This Row],[Basic]]=1, "Basic", Table1[[#This Row],[Graduate]]=1, "Graduate", Table1[[#This Row],[Master]]=1, "Master", Table1[[#This Row],[PhD]]=1, "PhD", AND(Table1[[#This Row],[Basic]]=0, Table1[[#This Row],[Graduate]]=0, Table1[[#This Row],[Master]]=0, Table1[[#This Row],[PhD]]=0), "NA")</f>
        <v>PhD</v>
      </c>
      <c r="Q1450" t="e">
        <f>_xlfn.XLOOKUP(Table1[[#This Row],[ID]], Table2[ID],#REF!, "Not Found", 0)</f>
        <v>#REF!</v>
      </c>
      <c r="R1450" t="e">
        <f>_xlfn.XLOOKUP(Table1[[#This Row],[ID]], Table2[ID],#REF!, "Not Found", 0)</f>
        <v>#REF!</v>
      </c>
      <c r="S1450" s="3" t="str">
        <f>_xlfn.XLOOKUP(Table1[[#This Row],[ID]], Table2[ID], Table2[Enrollment], "Not Found", 0)</f>
        <v>7/15/2020</v>
      </c>
      <c r="T1450" t="s">
        <v>438</v>
      </c>
    </row>
    <row r="1451" spans="1:20" x14ac:dyDescent="0.3">
      <c r="A1451">
        <v>1463</v>
      </c>
      <c r="B1451">
        <v>141124</v>
      </c>
      <c r="C1451">
        <v>1</v>
      </c>
      <c r="D1451">
        <v>0</v>
      </c>
      <c r="E1451">
        <v>43</v>
      </c>
      <c r="F1451">
        <v>0</v>
      </c>
      <c r="G1451">
        <v>1</v>
      </c>
      <c r="H1451">
        <v>0</v>
      </c>
      <c r="I1451">
        <v>0</v>
      </c>
      <c r="J1451">
        <v>0</v>
      </c>
      <c r="K1451">
        <v>0</v>
      </c>
      <c r="L1451">
        <v>1</v>
      </c>
      <c r="M1451">
        <v>0</v>
      </c>
      <c r="N1451">
        <v>0</v>
      </c>
      <c r="O1451" t="str" cm="1">
        <f t="array" ref="O1451">_xlfn.IFS(Table1[[#This Row],[Divorced]]=1, "Divorced", Table1[[#This Row],[Married]]=1, "Married", Table1[[#This Row],[Single]]=1, "Single", Table1[[#This Row],[Together]]=1, "Together", Table1[[#This Row],[Widow]]=1, "Widow")</f>
        <v>Married</v>
      </c>
      <c r="P1451" t="str" cm="1">
        <f t="array" ref="P1451">_xlfn.IFS(Table1[[#This Row],[Basic]]=1, "Basic", Table1[[#This Row],[Graduate]]=1, "Graduate", Table1[[#This Row],[Master]]=1, "Master", Table1[[#This Row],[PhD]]=1, "PhD", AND(Table1[[#This Row],[Basic]]=0, Table1[[#This Row],[Graduate]]=0, Table1[[#This Row],[Master]]=0, Table1[[#This Row],[PhD]]=0), "NA")</f>
        <v>Graduate</v>
      </c>
      <c r="Q1451" t="e">
        <f>_xlfn.XLOOKUP(Table1[[#This Row],[ID]], Table2[ID],#REF!, "Not Found", 0)</f>
        <v>#REF!</v>
      </c>
      <c r="R1451" t="e">
        <f>_xlfn.XLOOKUP(Table1[[#This Row],[ID]], Table2[ID],#REF!, "Not Found", 0)</f>
        <v>#REF!</v>
      </c>
      <c r="S1451" s="3">
        <f>_xlfn.XLOOKUP(Table1[[#This Row],[ID]], Table2[ID], Table2[Enrollment], "Not Found", 0)</f>
        <v>43650</v>
      </c>
      <c r="T1451" t="s">
        <v>434</v>
      </c>
    </row>
    <row r="1452" spans="1:20" x14ac:dyDescent="0.3">
      <c r="A1452">
        <v>2731</v>
      </c>
      <c r="B1452">
        <v>141120</v>
      </c>
      <c r="C1452">
        <v>1</v>
      </c>
      <c r="D1452">
        <v>1</v>
      </c>
      <c r="E1452">
        <v>52</v>
      </c>
      <c r="F1452">
        <v>0</v>
      </c>
      <c r="G1452">
        <v>1</v>
      </c>
      <c r="H1452">
        <v>0</v>
      </c>
      <c r="I1452">
        <v>0</v>
      </c>
      <c r="J1452">
        <v>0</v>
      </c>
      <c r="K1452">
        <v>0</v>
      </c>
      <c r="L1452">
        <v>1</v>
      </c>
      <c r="M1452">
        <v>0</v>
      </c>
      <c r="N1452">
        <v>0</v>
      </c>
      <c r="O1452" t="str" cm="1">
        <f t="array" ref="O1452">_xlfn.IFS(Table1[[#This Row],[Divorced]]=1, "Divorced", Table1[[#This Row],[Married]]=1, "Married", Table1[[#This Row],[Single]]=1, "Single", Table1[[#This Row],[Together]]=1, "Together", Table1[[#This Row],[Widow]]=1, "Widow")</f>
        <v>Married</v>
      </c>
      <c r="P1452" t="str" cm="1">
        <f t="array" ref="P1452">_xlfn.IFS(Table1[[#This Row],[Basic]]=1, "Basic", Table1[[#This Row],[Graduate]]=1, "Graduate", Table1[[#This Row],[Master]]=1, "Master", Table1[[#This Row],[PhD]]=1, "PhD", AND(Table1[[#This Row],[Basic]]=0, Table1[[#This Row],[Graduate]]=0, Table1[[#This Row],[Master]]=0, Table1[[#This Row],[PhD]]=0), "NA")</f>
        <v>Graduate</v>
      </c>
      <c r="Q1452" t="e">
        <f>_xlfn.XLOOKUP(Table1[[#This Row],[ID]], Table2[ID],#REF!, "Not Found", 0)</f>
        <v>#REF!</v>
      </c>
      <c r="R1452" t="e">
        <f>_xlfn.XLOOKUP(Table1[[#This Row],[ID]], Table2[ID],#REF!, "Not Found", 0)</f>
        <v>#REF!</v>
      </c>
      <c r="S1452" s="3">
        <f>_xlfn.XLOOKUP(Table1[[#This Row],[ID]], Table2[ID], Table2[Enrollment], "Not Found", 0)</f>
        <v>44169</v>
      </c>
      <c r="T1452" t="s">
        <v>437</v>
      </c>
    </row>
    <row r="1453" spans="1:20" x14ac:dyDescent="0.3">
      <c r="A1453">
        <v>1664</v>
      </c>
      <c r="B1453">
        <v>141039</v>
      </c>
      <c r="C1453">
        <v>0</v>
      </c>
      <c r="D1453">
        <v>0</v>
      </c>
      <c r="E1453">
        <v>38</v>
      </c>
      <c r="F1453">
        <v>0</v>
      </c>
      <c r="G1453">
        <v>0</v>
      </c>
      <c r="H1453">
        <v>0</v>
      </c>
      <c r="I1453">
        <v>1</v>
      </c>
      <c r="J1453">
        <v>0</v>
      </c>
      <c r="K1453">
        <v>0</v>
      </c>
      <c r="L1453">
        <v>0</v>
      </c>
      <c r="M1453">
        <v>0</v>
      </c>
      <c r="N1453">
        <v>0</v>
      </c>
      <c r="O1453" t="str" cm="1">
        <f t="array" ref="O1453">_xlfn.IFS(Table1[[#This Row],[Divorced]]=1, "Divorced", Table1[[#This Row],[Married]]=1, "Married", Table1[[#This Row],[Single]]=1, "Single", Table1[[#This Row],[Together]]=1, "Together", Table1[[#This Row],[Widow]]=1, "Widow")</f>
        <v>Together</v>
      </c>
      <c r="P1453" t="str" cm="1">
        <f t="array" ref="P1453">_xlfn.IFS(Table1[[#This Row],[Basic]]=1, "Basic", Table1[[#This Row],[Graduate]]=1, "Graduate", Table1[[#This Row],[Master]]=1, "Master", Table1[[#This Row],[PhD]]=1, "PhD", AND(Table1[[#This Row],[Basic]]=0, Table1[[#This Row],[Graduate]]=0, Table1[[#This Row],[Master]]=0, Table1[[#This Row],[PhD]]=0), "NA")</f>
        <v>NA</v>
      </c>
      <c r="Q1453" t="e">
        <f>_xlfn.XLOOKUP(Table1[[#This Row],[ID]], Table2[ID],#REF!, "Not Found", 0)</f>
        <v>#REF!</v>
      </c>
      <c r="R1453" t="e">
        <f>_xlfn.XLOOKUP(Table1[[#This Row],[ID]], Table2[ID],#REF!, "Not Found", 0)</f>
        <v>#REF!</v>
      </c>
      <c r="S1453" s="3" t="str">
        <f>_xlfn.XLOOKUP(Table1[[#This Row],[ID]], Table2[ID], Table2[Enrollment], "Not Found", 0)</f>
        <v>12/30/2019</v>
      </c>
      <c r="T1453" t="s">
        <v>438</v>
      </c>
    </row>
    <row r="1454" spans="1:20" x14ac:dyDescent="0.3">
      <c r="A1454">
        <v>1943</v>
      </c>
      <c r="B1454">
        <v>141021</v>
      </c>
      <c r="C1454">
        <v>1</v>
      </c>
      <c r="D1454">
        <v>0</v>
      </c>
      <c r="E1454">
        <v>51</v>
      </c>
      <c r="F1454">
        <v>0</v>
      </c>
      <c r="G1454">
        <v>0</v>
      </c>
      <c r="H1454">
        <v>0</v>
      </c>
      <c r="I1454">
        <v>1</v>
      </c>
      <c r="J1454">
        <v>0</v>
      </c>
      <c r="K1454">
        <v>0</v>
      </c>
      <c r="L1454">
        <v>0</v>
      </c>
      <c r="M1454">
        <v>1</v>
      </c>
      <c r="N1454">
        <v>0</v>
      </c>
      <c r="O1454" t="str" cm="1">
        <f t="array" ref="O1454">_xlfn.IFS(Table1[[#This Row],[Divorced]]=1, "Divorced", Table1[[#This Row],[Married]]=1, "Married", Table1[[#This Row],[Single]]=1, "Single", Table1[[#This Row],[Together]]=1, "Together", Table1[[#This Row],[Widow]]=1, "Widow")</f>
        <v>Together</v>
      </c>
      <c r="P1454" t="str" cm="1">
        <f t="array" ref="P1454">_xlfn.IFS(Table1[[#This Row],[Basic]]=1, "Basic", Table1[[#This Row],[Graduate]]=1, "Graduate", Table1[[#This Row],[Master]]=1, "Master", Table1[[#This Row],[PhD]]=1, "PhD", AND(Table1[[#This Row],[Basic]]=0, Table1[[#This Row],[Graduate]]=0, Table1[[#This Row],[Master]]=0, Table1[[#This Row],[PhD]]=0), "NA")</f>
        <v>Master</v>
      </c>
      <c r="Q1454" t="e">
        <f>_xlfn.XLOOKUP(Table1[[#This Row],[ID]], Table2[ID],#REF!, "Not Found", 0)</f>
        <v>#REF!</v>
      </c>
      <c r="R1454" t="e">
        <f>_xlfn.XLOOKUP(Table1[[#This Row],[ID]], Table2[ID],#REF!, "Not Found", 0)</f>
        <v>#REF!</v>
      </c>
      <c r="S1454" s="3">
        <f>_xlfn.XLOOKUP(Table1[[#This Row],[ID]], Table2[ID], Table2[Enrollment], "Not Found", 0)</f>
        <v>43622</v>
      </c>
      <c r="T1454" t="s">
        <v>434</v>
      </c>
    </row>
    <row r="1455" spans="1:20" x14ac:dyDescent="0.3">
      <c r="A1455">
        <v>2454</v>
      </c>
      <c r="B1455">
        <v>141020</v>
      </c>
      <c r="C1455">
        <v>0</v>
      </c>
      <c r="D1455">
        <v>0</v>
      </c>
      <c r="E1455">
        <v>33</v>
      </c>
      <c r="F1455">
        <v>0</v>
      </c>
      <c r="G1455">
        <v>0</v>
      </c>
      <c r="H1455">
        <v>1</v>
      </c>
      <c r="I1455">
        <v>0</v>
      </c>
      <c r="J1455">
        <v>0</v>
      </c>
      <c r="K1455">
        <v>0</v>
      </c>
      <c r="L1455">
        <v>0</v>
      </c>
      <c r="M1455">
        <v>1</v>
      </c>
      <c r="N1455">
        <v>0</v>
      </c>
      <c r="O1455" t="str" cm="1">
        <f t="array" ref="O1455">_xlfn.IFS(Table1[[#This Row],[Divorced]]=1, "Divorced", Table1[[#This Row],[Married]]=1, "Married", Table1[[#This Row],[Single]]=1, "Single", Table1[[#This Row],[Together]]=1, "Together", Table1[[#This Row],[Widow]]=1, "Widow")</f>
        <v>Single</v>
      </c>
      <c r="P1455" t="str" cm="1">
        <f t="array" ref="P1455">_xlfn.IFS(Table1[[#This Row],[Basic]]=1, "Basic", Table1[[#This Row],[Graduate]]=1, "Graduate", Table1[[#This Row],[Master]]=1, "Master", Table1[[#This Row],[PhD]]=1, "PhD", AND(Table1[[#This Row],[Basic]]=0, Table1[[#This Row],[Graduate]]=0, Table1[[#This Row],[Master]]=0, Table1[[#This Row],[PhD]]=0), "NA")</f>
        <v>Master</v>
      </c>
      <c r="Q1455" t="e">
        <f>_xlfn.XLOOKUP(Table1[[#This Row],[ID]], Table2[ID],#REF!, "Not Found", 0)</f>
        <v>#REF!</v>
      </c>
      <c r="R1455" t="e">
        <f>_xlfn.XLOOKUP(Table1[[#This Row],[ID]], Table2[ID],#REF!, "Not Found", 0)</f>
        <v>#REF!</v>
      </c>
      <c r="S1455" s="3">
        <f>_xlfn.XLOOKUP(Table1[[#This Row],[ID]], Table2[ID], Table2[Enrollment], "Not Found", 0)</f>
        <v>43894</v>
      </c>
      <c r="T1455" t="s">
        <v>436</v>
      </c>
    </row>
    <row r="1456" spans="1:20" x14ac:dyDescent="0.3">
      <c r="A1456">
        <v>2060</v>
      </c>
      <c r="B1456">
        <v>141014</v>
      </c>
      <c r="C1456">
        <v>1</v>
      </c>
      <c r="D1456">
        <v>0</v>
      </c>
      <c r="E1456">
        <v>42</v>
      </c>
      <c r="F1456">
        <v>0</v>
      </c>
      <c r="G1456">
        <v>1</v>
      </c>
      <c r="H1456">
        <v>0</v>
      </c>
      <c r="I1456">
        <v>0</v>
      </c>
      <c r="J1456">
        <v>0</v>
      </c>
      <c r="K1456">
        <v>0</v>
      </c>
      <c r="L1456">
        <v>0</v>
      </c>
      <c r="M1456">
        <v>0</v>
      </c>
      <c r="N1456">
        <v>1</v>
      </c>
      <c r="O1456" t="str" cm="1">
        <f t="array" ref="O1456">_xlfn.IFS(Table1[[#This Row],[Divorced]]=1, "Divorced", Table1[[#This Row],[Married]]=1, "Married", Table1[[#This Row],[Single]]=1, "Single", Table1[[#This Row],[Together]]=1, "Together", Table1[[#This Row],[Widow]]=1, "Widow")</f>
        <v>Married</v>
      </c>
      <c r="P1456" t="str" cm="1">
        <f t="array" ref="P1456">_xlfn.IFS(Table1[[#This Row],[Basic]]=1, "Basic", Table1[[#This Row],[Graduate]]=1, "Graduate", Table1[[#This Row],[Master]]=1, "Master", Table1[[#This Row],[PhD]]=1, "PhD", AND(Table1[[#This Row],[Basic]]=0, Table1[[#This Row],[Graduate]]=0, Table1[[#This Row],[Master]]=0, Table1[[#This Row],[PhD]]=0), "NA")</f>
        <v>PhD</v>
      </c>
      <c r="Q1456" t="e">
        <f>_xlfn.XLOOKUP(Table1[[#This Row],[ID]], Table2[ID],#REF!, "Not Found", 0)</f>
        <v>#REF!</v>
      </c>
      <c r="R1456" t="e">
        <f>_xlfn.XLOOKUP(Table1[[#This Row],[ID]], Table2[ID],#REF!, "Not Found", 0)</f>
        <v>#REF!</v>
      </c>
      <c r="S1456" s="3" t="str">
        <f>_xlfn.XLOOKUP(Table1[[#This Row],[ID]], Table2[ID], Table2[Enrollment], "Not Found", 0)</f>
        <v>9/27/2019</v>
      </c>
      <c r="T1456" t="s">
        <v>438</v>
      </c>
    </row>
    <row r="1457" spans="1:20" x14ac:dyDescent="0.3">
      <c r="A1457">
        <v>2603</v>
      </c>
      <c r="B1457">
        <v>141003</v>
      </c>
      <c r="C1457">
        <v>0</v>
      </c>
      <c r="D1457">
        <v>0</v>
      </c>
      <c r="E1457">
        <v>57</v>
      </c>
      <c r="F1457">
        <v>1</v>
      </c>
      <c r="G1457">
        <v>0</v>
      </c>
      <c r="H1457">
        <v>0</v>
      </c>
      <c r="I1457">
        <v>0</v>
      </c>
      <c r="J1457">
        <v>0</v>
      </c>
      <c r="K1457">
        <v>0</v>
      </c>
      <c r="L1457">
        <v>0</v>
      </c>
      <c r="M1457">
        <v>0</v>
      </c>
      <c r="N1457">
        <v>1</v>
      </c>
      <c r="O1457" t="str" cm="1">
        <f t="array" ref="O1457">_xlfn.IFS(Table1[[#This Row],[Divorced]]=1, "Divorced", Table1[[#This Row],[Married]]=1, "Married", Table1[[#This Row],[Single]]=1, "Single", Table1[[#This Row],[Together]]=1, "Together", Table1[[#This Row],[Widow]]=1, "Widow")</f>
        <v>Divorced</v>
      </c>
      <c r="P1457" t="str" cm="1">
        <f t="array" ref="P1457">_xlfn.IFS(Table1[[#This Row],[Basic]]=1, "Basic", Table1[[#This Row],[Graduate]]=1, "Graduate", Table1[[#This Row],[Master]]=1, "Master", Table1[[#This Row],[PhD]]=1, "PhD", AND(Table1[[#This Row],[Basic]]=0, Table1[[#This Row],[Graduate]]=0, Table1[[#This Row],[Master]]=0, Table1[[#This Row],[PhD]]=0), "NA")</f>
        <v>PhD</v>
      </c>
      <c r="Q1457" t="e">
        <f>_xlfn.XLOOKUP(Table1[[#This Row],[ID]], Table2[ID],#REF!, "Not Found", 0)</f>
        <v>#REF!</v>
      </c>
      <c r="R1457" t="e">
        <f>_xlfn.XLOOKUP(Table1[[#This Row],[ID]], Table2[ID],#REF!, "Not Found", 0)</f>
        <v>#REF!</v>
      </c>
      <c r="S1457" s="3" t="str">
        <f>_xlfn.XLOOKUP(Table1[[#This Row],[ID]], Table2[ID], Table2[Enrollment], "Not Found", 0)</f>
        <v>8/22/2019</v>
      </c>
      <c r="T1457" t="s">
        <v>434</v>
      </c>
    </row>
    <row r="1458" spans="1:20" x14ac:dyDescent="0.3">
      <c r="A1458">
        <v>2938</v>
      </c>
      <c r="B1458">
        <v>140887</v>
      </c>
      <c r="C1458">
        <v>1</v>
      </c>
      <c r="D1458">
        <v>1</v>
      </c>
      <c r="E1458">
        <v>68</v>
      </c>
      <c r="F1458">
        <v>0</v>
      </c>
      <c r="G1458">
        <v>0</v>
      </c>
      <c r="H1458">
        <v>1</v>
      </c>
      <c r="I1458">
        <v>0</v>
      </c>
      <c r="J1458">
        <v>0</v>
      </c>
      <c r="K1458">
        <v>0</v>
      </c>
      <c r="L1458">
        <v>1</v>
      </c>
      <c r="M1458">
        <v>0</v>
      </c>
      <c r="N1458">
        <v>0</v>
      </c>
      <c r="O1458" t="str" cm="1">
        <f t="array" ref="O1458">_xlfn.IFS(Table1[[#This Row],[Divorced]]=1, "Divorced", Table1[[#This Row],[Married]]=1, "Married", Table1[[#This Row],[Single]]=1, "Single", Table1[[#This Row],[Together]]=1, "Together", Table1[[#This Row],[Widow]]=1, "Widow")</f>
        <v>Single</v>
      </c>
      <c r="P1458" t="str" cm="1">
        <f t="array" ref="P1458">_xlfn.IFS(Table1[[#This Row],[Basic]]=1, "Basic", Table1[[#This Row],[Graduate]]=1, "Graduate", Table1[[#This Row],[Master]]=1, "Master", Table1[[#This Row],[PhD]]=1, "PhD", AND(Table1[[#This Row],[Basic]]=0, Table1[[#This Row],[Graduate]]=0, Table1[[#This Row],[Master]]=0, Table1[[#This Row],[PhD]]=0), "NA")</f>
        <v>Graduate</v>
      </c>
      <c r="Q1458" t="e">
        <f>_xlfn.XLOOKUP(Table1[[#This Row],[ID]], Table2[ID],#REF!, "Not Found", 0)</f>
        <v>#REF!</v>
      </c>
      <c r="R1458" t="e">
        <f>_xlfn.XLOOKUP(Table1[[#This Row],[ID]], Table2[ID],#REF!, "Not Found", 0)</f>
        <v>#REF!</v>
      </c>
      <c r="S1458" s="3">
        <f>_xlfn.XLOOKUP(Table1[[#This Row],[ID]], Table2[ID], Table2[Enrollment], "Not Found", 0)</f>
        <v>43779</v>
      </c>
      <c r="T1458" t="s">
        <v>439</v>
      </c>
    </row>
    <row r="1459" spans="1:20" x14ac:dyDescent="0.3">
      <c r="A1459">
        <v>3159</v>
      </c>
      <c r="B1459">
        <v>140851</v>
      </c>
      <c r="C1459">
        <v>1</v>
      </c>
      <c r="D1459">
        <v>1</v>
      </c>
      <c r="E1459">
        <v>49</v>
      </c>
      <c r="F1459">
        <v>1</v>
      </c>
      <c r="G1459">
        <v>0</v>
      </c>
      <c r="H1459">
        <v>0</v>
      </c>
      <c r="I1459">
        <v>0</v>
      </c>
      <c r="J1459">
        <v>0</v>
      </c>
      <c r="K1459">
        <v>0</v>
      </c>
      <c r="L1459">
        <v>1</v>
      </c>
      <c r="M1459">
        <v>0</v>
      </c>
      <c r="N1459">
        <v>0</v>
      </c>
      <c r="O1459" t="str" cm="1">
        <f t="array" ref="O1459">_xlfn.IFS(Table1[[#This Row],[Divorced]]=1, "Divorced", Table1[[#This Row],[Married]]=1, "Married", Table1[[#This Row],[Single]]=1, "Single", Table1[[#This Row],[Together]]=1, "Together", Table1[[#This Row],[Widow]]=1, "Widow")</f>
        <v>Divorced</v>
      </c>
      <c r="P1459" t="str" cm="1">
        <f t="array" ref="P1459">_xlfn.IFS(Table1[[#This Row],[Basic]]=1, "Basic", Table1[[#This Row],[Graduate]]=1, "Graduate", Table1[[#This Row],[Master]]=1, "Master", Table1[[#This Row],[PhD]]=1, "PhD", AND(Table1[[#This Row],[Basic]]=0, Table1[[#This Row],[Graduate]]=0, Table1[[#This Row],[Master]]=0, Table1[[#This Row],[PhD]]=0), "NA")</f>
        <v>Graduate</v>
      </c>
      <c r="Q1459" t="e">
        <f>_xlfn.XLOOKUP(Table1[[#This Row],[ID]], Table2[ID],#REF!, "Not Found", 0)</f>
        <v>#REF!</v>
      </c>
      <c r="R1459" t="e">
        <f>_xlfn.XLOOKUP(Table1[[#This Row],[ID]], Table2[ID],#REF!, "Not Found", 0)</f>
        <v>#REF!</v>
      </c>
      <c r="S1459" s="3" t="str">
        <f>_xlfn.XLOOKUP(Table1[[#This Row],[ID]], Table2[ID], Table2[Enrollment], "Not Found", 0)</f>
        <v>7/29/2019</v>
      </c>
      <c r="T1459" t="s">
        <v>435</v>
      </c>
    </row>
    <row r="1460" spans="1:20" x14ac:dyDescent="0.3">
      <c r="A1460">
        <v>2258</v>
      </c>
      <c r="B1460">
        <v>140800</v>
      </c>
      <c r="C1460">
        <v>1</v>
      </c>
      <c r="D1460">
        <v>2</v>
      </c>
      <c r="E1460">
        <v>56</v>
      </c>
      <c r="F1460">
        <v>0</v>
      </c>
      <c r="G1460">
        <v>1</v>
      </c>
      <c r="H1460">
        <v>0</v>
      </c>
      <c r="I1460">
        <v>0</v>
      </c>
      <c r="J1460">
        <v>0</v>
      </c>
      <c r="K1460">
        <v>0</v>
      </c>
      <c r="L1460">
        <v>1</v>
      </c>
      <c r="M1460">
        <v>0</v>
      </c>
      <c r="N1460">
        <v>0</v>
      </c>
      <c r="O1460" t="str" cm="1">
        <f t="array" ref="O1460">_xlfn.IFS(Table1[[#This Row],[Divorced]]=1, "Divorced", Table1[[#This Row],[Married]]=1, "Married", Table1[[#This Row],[Single]]=1, "Single", Table1[[#This Row],[Together]]=1, "Together", Table1[[#This Row],[Widow]]=1, "Widow")</f>
        <v>Married</v>
      </c>
      <c r="P1460" t="str" cm="1">
        <f t="array" ref="P1460">_xlfn.IFS(Table1[[#This Row],[Basic]]=1, "Basic", Table1[[#This Row],[Graduate]]=1, "Graduate", Table1[[#This Row],[Master]]=1, "Master", Table1[[#This Row],[PhD]]=1, "PhD", AND(Table1[[#This Row],[Basic]]=0, Table1[[#This Row],[Graduate]]=0, Table1[[#This Row],[Master]]=0, Table1[[#This Row],[PhD]]=0), "NA")</f>
        <v>Graduate</v>
      </c>
      <c r="Q1460" t="e">
        <f>_xlfn.XLOOKUP(Table1[[#This Row],[ID]], Table2[ID],#REF!, "Not Found", 0)</f>
        <v>#REF!</v>
      </c>
      <c r="R1460" t="e">
        <f>_xlfn.XLOOKUP(Table1[[#This Row],[ID]], Table2[ID],#REF!, "Not Found", 0)</f>
        <v>#REF!</v>
      </c>
      <c r="S1460" s="3">
        <f>_xlfn.XLOOKUP(Table1[[#This Row],[ID]], Table2[ID], Table2[Enrollment], "Not Found", 0)</f>
        <v>43683</v>
      </c>
      <c r="T1460" t="s">
        <v>438</v>
      </c>
    </row>
    <row r="1461" spans="1:20" x14ac:dyDescent="0.3">
      <c r="A1461">
        <v>2948</v>
      </c>
      <c r="B1461">
        <v>140794</v>
      </c>
      <c r="C1461">
        <v>0</v>
      </c>
      <c r="D1461">
        <v>1</v>
      </c>
      <c r="E1461">
        <v>45</v>
      </c>
      <c r="F1461">
        <v>0</v>
      </c>
      <c r="G1461">
        <v>1</v>
      </c>
      <c r="H1461">
        <v>0</v>
      </c>
      <c r="I1461">
        <v>0</v>
      </c>
      <c r="J1461">
        <v>0</v>
      </c>
      <c r="K1461">
        <v>0</v>
      </c>
      <c r="L1461">
        <v>1</v>
      </c>
      <c r="M1461">
        <v>0</v>
      </c>
      <c r="N1461">
        <v>0</v>
      </c>
      <c r="O1461" t="str" cm="1">
        <f t="array" ref="O1461">_xlfn.IFS(Table1[[#This Row],[Divorced]]=1, "Divorced", Table1[[#This Row],[Married]]=1, "Married", Table1[[#This Row],[Single]]=1, "Single", Table1[[#This Row],[Together]]=1, "Together", Table1[[#This Row],[Widow]]=1, "Widow")</f>
        <v>Married</v>
      </c>
      <c r="P1461" t="str" cm="1">
        <f t="array" ref="P1461">_xlfn.IFS(Table1[[#This Row],[Basic]]=1, "Basic", Table1[[#This Row],[Graduate]]=1, "Graduate", Table1[[#This Row],[Master]]=1, "Master", Table1[[#This Row],[PhD]]=1, "PhD", AND(Table1[[#This Row],[Basic]]=0, Table1[[#This Row],[Graduate]]=0, Table1[[#This Row],[Master]]=0, Table1[[#This Row],[PhD]]=0), "NA")</f>
        <v>Graduate</v>
      </c>
      <c r="Q1461" t="e">
        <f>_xlfn.XLOOKUP(Table1[[#This Row],[ID]], Table2[ID],#REF!, "Not Found", 0)</f>
        <v>#REF!</v>
      </c>
      <c r="R1461" t="e">
        <f>_xlfn.XLOOKUP(Table1[[#This Row],[ID]], Table2[ID],#REF!, "Not Found", 0)</f>
        <v>#REF!</v>
      </c>
      <c r="S1461" s="3">
        <f>_xlfn.XLOOKUP(Table1[[#This Row],[ID]], Table2[ID], Table2[Enrollment], "Not Found", 0)</f>
        <v>43808</v>
      </c>
      <c r="T1461" t="s">
        <v>438</v>
      </c>
    </row>
    <row r="1462" spans="1:20" x14ac:dyDescent="0.3">
      <c r="A1462">
        <v>1770</v>
      </c>
      <c r="B1462">
        <v>140780</v>
      </c>
      <c r="C1462">
        <v>0</v>
      </c>
      <c r="D1462">
        <v>1</v>
      </c>
      <c r="E1462">
        <v>44</v>
      </c>
      <c r="F1462">
        <v>1</v>
      </c>
      <c r="G1462">
        <v>0</v>
      </c>
      <c r="H1462">
        <v>0</v>
      </c>
      <c r="I1462">
        <v>0</v>
      </c>
      <c r="J1462">
        <v>0</v>
      </c>
      <c r="K1462">
        <v>0</v>
      </c>
      <c r="L1462">
        <v>1</v>
      </c>
      <c r="M1462">
        <v>0</v>
      </c>
      <c r="N1462">
        <v>0</v>
      </c>
      <c r="O1462" t="str" cm="1">
        <f t="array" ref="O1462">_xlfn.IFS(Table1[[#This Row],[Divorced]]=1, "Divorced", Table1[[#This Row],[Married]]=1, "Married", Table1[[#This Row],[Single]]=1, "Single", Table1[[#This Row],[Together]]=1, "Together", Table1[[#This Row],[Widow]]=1, "Widow")</f>
        <v>Divorced</v>
      </c>
      <c r="P1462" t="str" cm="1">
        <f t="array" ref="P1462">_xlfn.IFS(Table1[[#This Row],[Basic]]=1, "Basic", Table1[[#This Row],[Graduate]]=1, "Graduate", Table1[[#This Row],[Master]]=1, "Master", Table1[[#This Row],[PhD]]=1, "PhD", AND(Table1[[#This Row],[Basic]]=0, Table1[[#This Row],[Graduate]]=0, Table1[[#This Row],[Master]]=0, Table1[[#This Row],[PhD]]=0), "NA")</f>
        <v>Graduate</v>
      </c>
      <c r="Q1462" t="e">
        <f>_xlfn.XLOOKUP(Table1[[#This Row],[ID]], Table2[ID],#REF!, "Not Found", 0)</f>
        <v>#REF!</v>
      </c>
      <c r="R1462" t="e">
        <f>_xlfn.XLOOKUP(Table1[[#This Row],[ID]], Table2[ID],#REF!, "Not Found", 0)</f>
        <v>#REF!</v>
      </c>
      <c r="S1462" s="3" t="str">
        <f>_xlfn.XLOOKUP(Table1[[#This Row],[ID]], Table2[ID], Table2[Enrollment], "Not Found", 0)</f>
        <v>2/13/2019</v>
      </c>
      <c r="T1462" t="s">
        <v>436</v>
      </c>
    </row>
    <row r="1463" spans="1:20" x14ac:dyDescent="0.3">
      <c r="A1463">
        <v>1757</v>
      </c>
      <c r="B1463">
        <v>140760</v>
      </c>
      <c r="C1463">
        <v>0</v>
      </c>
      <c r="D1463">
        <v>1</v>
      </c>
      <c r="E1463">
        <v>55</v>
      </c>
      <c r="F1463">
        <v>0</v>
      </c>
      <c r="G1463">
        <v>0</v>
      </c>
      <c r="H1463">
        <v>1</v>
      </c>
      <c r="I1463">
        <v>0</v>
      </c>
      <c r="J1463">
        <v>0</v>
      </c>
      <c r="K1463">
        <v>0</v>
      </c>
      <c r="L1463">
        <v>0</v>
      </c>
      <c r="M1463">
        <v>0</v>
      </c>
      <c r="N1463">
        <v>1</v>
      </c>
      <c r="O1463" t="str" cm="1">
        <f t="array" ref="O1463">_xlfn.IFS(Table1[[#This Row],[Divorced]]=1, "Divorced", Table1[[#This Row],[Married]]=1, "Married", Table1[[#This Row],[Single]]=1, "Single", Table1[[#This Row],[Together]]=1, "Together", Table1[[#This Row],[Widow]]=1, "Widow")</f>
        <v>Single</v>
      </c>
      <c r="P1463" t="str" cm="1">
        <f t="array" ref="P1463">_xlfn.IFS(Table1[[#This Row],[Basic]]=1, "Basic", Table1[[#This Row],[Graduate]]=1, "Graduate", Table1[[#This Row],[Master]]=1, "Master", Table1[[#This Row],[PhD]]=1, "PhD", AND(Table1[[#This Row],[Basic]]=0, Table1[[#This Row],[Graduate]]=0, Table1[[#This Row],[Master]]=0, Table1[[#This Row],[PhD]]=0), "NA")</f>
        <v>PhD</v>
      </c>
      <c r="Q1463" t="e">
        <f>_xlfn.XLOOKUP(Table1[[#This Row],[ID]], Table2[ID],#REF!, "Not Found", 0)</f>
        <v>#REF!</v>
      </c>
      <c r="R1463" t="e">
        <f>_xlfn.XLOOKUP(Table1[[#This Row],[ID]], Table2[ID],#REF!, "Not Found", 0)</f>
        <v>#REF!</v>
      </c>
      <c r="S1463" s="3">
        <f>_xlfn.XLOOKUP(Table1[[#This Row],[ID]], Table2[ID], Table2[Enrollment], "Not Found", 0)</f>
        <v>43923</v>
      </c>
      <c r="T1463" t="s">
        <v>434</v>
      </c>
    </row>
    <row r="1464" spans="1:20" x14ac:dyDescent="0.3">
      <c r="A1464">
        <v>1246</v>
      </c>
      <c r="B1464">
        <v>140737</v>
      </c>
      <c r="C1464">
        <v>2</v>
      </c>
      <c r="D1464">
        <v>1</v>
      </c>
      <c r="E1464">
        <v>63</v>
      </c>
      <c r="F1464">
        <v>0</v>
      </c>
      <c r="G1464">
        <v>0</v>
      </c>
      <c r="H1464">
        <v>1</v>
      </c>
      <c r="I1464">
        <v>0</v>
      </c>
      <c r="J1464">
        <v>0</v>
      </c>
      <c r="K1464">
        <v>0</v>
      </c>
      <c r="L1464">
        <v>0</v>
      </c>
      <c r="M1464">
        <v>0</v>
      </c>
      <c r="N1464">
        <v>1</v>
      </c>
      <c r="O1464" t="str" cm="1">
        <f t="array" ref="O1464">_xlfn.IFS(Table1[[#This Row],[Divorced]]=1, "Divorced", Table1[[#This Row],[Married]]=1, "Married", Table1[[#This Row],[Single]]=1, "Single", Table1[[#This Row],[Together]]=1, "Together", Table1[[#This Row],[Widow]]=1, "Widow")</f>
        <v>Single</v>
      </c>
      <c r="P1464" t="str" cm="1">
        <f t="array" ref="P1464">_xlfn.IFS(Table1[[#This Row],[Basic]]=1, "Basic", Table1[[#This Row],[Graduate]]=1, "Graduate", Table1[[#This Row],[Master]]=1, "Master", Table1[[#This Row],[PhD]]=1, "PhD", AND(Table1[[#This Row],[Basic]]=0, Table1[[#This Row],[Graduate]]=0, Table1[[#This Row],[Master]]=0, Table1[[#This Row],[PhD]]=0), "NA")</f>
        <v>PhD</v>
      </c>
      <c r="Q1464" t="e">
        <f>_xlfn.XLOOKUP(Table1[[#This Row],[ID]], Table2[ID],#REF!, "Not Found", 0)</f>
        <v>#REF!</v>
      </c>
      <c r="R1464" t="e">
        <f>_xlfn.XLOOKUP(Table1[[#This Row],[ID]], Table2[ID],#REF!, "Not Found", 0)</f>
        <v>#REF!</v>
      </c>
      <c r="S1464" s="3" t="str">
        <f>_xlfn.XLOOKUP(Table1[[#This Row],[ID]], Table2[ID], Table2[Enrollment], "Not Found", 0)</f>
        <v>5/14/2020</v>
      </c>
      <c r="T1464" t="s">
        <v>439</v>
      </c>
    </row>
    <row r="1465" spans="1:20" x14ac:dyDescent="0.3">
      <c r="A1465">
        <v>1952</v>
      </c>
      <c r="B1465">
        <v>140706</v>
      </c>
      <c r="C1465">
        <v>2</v>
      </c>
      <c r="D1465">
        <v>1</v>
      </c>
      <c r="E1465">
        <v>52</v>
      </c>
      <c r="F1465">
        <v>0</v>
      </c>
      <c r="G1465">
        <v>0</v>
      </c>
      <c r="H1465">
        <v>0</v>
      </c>
      <c r="I1465">
        <v>1</v>
      </c>
      <c r="J1465">
        <v>0</v>
      </c>
      <c r="K1465">
        <v>0</v>
      </c>
      <c r="L1465">
        <v>0</v>
      </c>
      <c r="M1465">
        <v>0</v>
      </c>
      <c r="N1465">
        <v>1</v>
      </c>
      <c r="O1465" t="str" cm="1">
        <f t="array" ref="O1465">_xlfn.IFS(Table1[[#This Row],[Divorced]]=1, "Divorced", Table1[[#This Row],[Married]]=1, "Married", Table1[[#This Row],[Single]]=1, "Single", Table1[[#This Row],[Together]]=1, "Together", Table1[[#This Row],[Widow]]=1, "Widow")</f>
        <v>Together</v>
      </c>
      <c r="P1465" t="str" cm="1">
        <f t="array" ref="P1465">_xlfn.IFS(Table1[[#This Row],[Basic]]=1, "Basic", Table1[[#This Row],[Graduate]]=1, "Graduate", Table1[[#This Row],[Master]]=1, "Master", Table1[[#This Row],[PhD]]=1, "PhD", AND(Table1[[#This Row],[Basic]]=0, Table1[[#This Row],[Graduate]]=0, Table1[[#This Row],[Master]]=0, Table1[[#This Row],[PhD]]=0), "NA")</f>
        <v>PhD</v>
      </c>
      <c r="Q1465" t="e">
        <f>_xlfn.XLOOKUP(Table1[[#This Row],[ID]], Table2[ID],#REF!, "Not Found", 0)</f>
        <v>#REF!</v>
      </c>
      <c r="R1465" t="e">
        <f>_xlfn.XLOOKUP(Table1[[#This Row],[ID]], Table2[ID],#REF!, "Not Found", 0)</f>
        <v>#REF!</v>
      </c>
      <c r="S1465" s="3" t="str">
        <f>_xlfn.XLOOKUP(Table1[[#This Row],[ID]], Table2[ID], Table2[Enrollment], "Not Found", 0)</f>
        <v>6/24/2019</v>
      </c>
      <c r="T1465" t="s">
        <v>438</v>
      </c>
    </row>
    <row r="1466" spans="1:20" x14ac:dyDescent="0.3">
      <c r="A1466">
        <v>1024</v>
      </c>
      <c r="B1466">
        <v>140689</v>
      </c>
      <c r="C1466">
        <v>0</v>
      </c>
      <c r="D1466">
        <v>1</v>
      </c>
      <c r="E1466">
        <v>69</v>
      </c>
      <c r="F1466">
        <v>0</v>
      </c>
      <c r="G1466">
        <v>0</v>
      </c>
      <c r="H1466">
        <v>0</v>
      </c>
      <c r="I1466">
        <v>1</v>
      </c>
      <c r="J1466">
        <v>0</v>
      </c>
      <c r="K1466">
        <v>0</v>
      </c>
      <c r="L1466">
        <v>1</v>
      </c>
      <c r="M1466">
        <v>0</v>
      </c>
      <c r="N1466">
        <v>0</v>
      </c>
      <c r="O1466" t="str" cm="1">
        <f t="array" ref="O1466">_xlfn.IFS(Table1[[#This Row],[Divorced]]=1, "Divorced", Table1[[#This Row],[Married]]=1, "Married", Table1[[#This Row],[Single]]=1, "Single", Table1[[#This Row],[Together]]=1, "Together", Table1[[#This Row],[Widow]]=1, "Widow")</f>
        <v>Together</v>
      </c>
      <c r="P1466" t="str" cm="1">
        <f t="array" ref="P1466">_xlfn.IFS(Table1[[#This Row],[Basic]]=1, "Basic", Table1[[#This Row],[Graduate]]=1, "Graduate", Table1[[#This Row],[Master]]=1, "Master", Table1[[#This Row],[PhD]]=1, "PhD", AND(Table1[[#This Row],[Basic]]=0, Table1[[#This Row],[Graduate]]=0, Table1[[#This Row],[Master]]=0, Table1[[#This Row],[PhD]]=0), "NA")</f>
        <v>Graduate</v>
      </c>
      <c r="Q1466" t="e">
        <f>_xlfn.XLOOKUP(Table1[[#This Row],[ID]], Table2[ID],#REF!, "Not Found", 0)</f>
        <v>#REF!</v>
      </c>
      <c r="R1466" t="e">
        <f>_xlfn.XLOOKUP(Table1[[#This Row],[ID]], Table2[ID],#REF!, "Not Found", 0)</f>
        <v>#REF!</v>
      </c>
      <c r="S1466" s="3" t="str">
        <f>_xlfn.XLOOKUP(Table1[[#This Row],[ID]], Table2[ID], Table2[Enrollment], "Not Found", 0)</f>
        <v>8/23/2019</v>
      </c>
      <c r="T1466" t="s">
        <v>439</v>
      </c>
    </row>
    <row r="1467" spans="1:20" x14ac:dyDescent="0.3">
      <c r="A1467">
        <v>1565</v>
      </c>
      <c r="B1467">
        <v>140689</v>
      </c>
      <c r="C1467">
        <v>0</v>
      </c>
      <c r="D1467">
        <v>1</v>
      </c>
      <c r="E1467">
        <v>69</v>
      </c>
      <c r="F1467">
        <v>0</v>
      </c>
      <c r="G1467">
        <v>0</v>
      </c>
      <c r="H1467">
        <v>0</v>
      </c>
      <c r="I1467">
        <v>1</v>
      </c>
      <c r="J1467">
        <v>0</v>
      </c>
      <c r="K1467">
        <v>0</v>
      </c>
      <c r="L1467">
        <v>1</v>
      </c>
      <c r="M1467">
        <v>0</v>
      </c>
      <c r="N1467">
        <v>0</v>
      </c>
      <c r="O1467" t="str" cm="1">
        <f t="array" ref="O1467">_xlfn.IFS(Table1[[#This Row],[Divorced]]=1, "Divorced", Table1[[#This Row],[Married]]=1, "Married", Table1[[#This Row],[Single]]=1, "Single", Table1[[#This Row],[Together]]=1, "Together", Table1[[#This Row],[Widow]]=1, "Widow")</f>
        <v>Together</v>
      </c>
      <c r="P1467" t="str" cm="1">
        <f t="array" ref="P1467">_xlfn.IFS(Table1[[#This Row],[Basic]]=1, "Basic", Table1[[#This Row],[Graduate]]=1, "Graduate", Table1[[#This Row],[Master]]=1, "Master", Table1[[#This Row],[PhD]]=1, "PhD", AND(Table1[[#This Row],[Basic]]=0, Table1[[#This Row],[Graduate]]=0, Table1[[#This Row],[Master]]=0, Table1[[#This Row],[PhD]]=0), "NA")</f>
        <v>Graduate</v>
      </c>
      <c r="Q1467" t="e">
        <f>_xlfn.XLOOKUP(Table1[[#This Row],[ID]], Table2[ID],#REF!, "Not Found", 0)</f>
        <v>#REF!</v>
      </c>
      <c r="R1467" t="e">
        <f>_xlfn.XLOOKUP(Table1[[#This Row],[ID]], Table2[ID],#REF!, "Not Found", 0)</f>
        <v>#REF!</v>
      </c>
      <c r="S1467" s="3" t="str">
        <f>_xlfn.XLOOKUP(Table1[[#This Row],[ID]], Table2[ID], Table2[Enrollment], "Not Found", 0)</f>
        <v>8/23/2019</v>
      </c>
      <c r="T1467" t="s">
        <v>434</v>
      </c>
    </row>
    <row r="1468" spans="1:20" x14ac:dyDescent="0.3">
      <c r="A1468">
        <v>1739</v>
      </c>
      <c r="B1468">
        <v>140662</v>
      </c>
      <c r="C1468">
        <v>1</v>
      </c>
      <c r="D1468">
        <v>0</v>
      </c>
      <c r="E1468">
        <v>41</v>
      </c>
      <c r="F1468">
        <v>0</v>
      </c>
      <c r="G1468">
        <v>1</v>
      </c>
      <c r="H1468">
        <v>0</v>
      </c>
      <c r="I1468">
        <v>0</v>
      </c>
      <c r="J1468">
        <v>0</v>
      </c>
      <c r="K1468">
        <v>0</v>
      </c>
      <c r="L1468">
        <v>0</v>
      </c>
      <c r="M1468">
        <v>1</v>
      </c>
      <c r="N1468">
        <v>0</v>
      </c>
      <c r="O1468" t="str" cm="1">
        <f t="array" ref="O1468">_xlfn.IFS(Table1[[#This Row],[Divorced]]=1, "Divorced", Table1[[#This Row],[Married]]=1, "Married", Table1[[#This Row],[Single]]=1, "Single", Table1[[#This Row],[Together]]=1, "Together", Table1[[#This Row],[Widow]]=1, "Widow")</f>
        <v>Married</v>
      </c>
      <c r="P1468" t="str" cm="1">
        <f t="array" ref="P1468">_xlfn.IFS(Table1[[#This Row],[Basic]]=1, "Basic", Table1[[#This Row],[Graduate]]=1, "Graduate", Table1[[#This Row],[Master]]=1, "Master", Table1[[#This Row],[PhD]]=1, "PhD", AND(Table1[[#This Row],[Basic]]=0, Table1[[#This Row],[Graduate]]=0, Table1[[#This Row],[Master]]=0, Table1[[#This Row],[PhD]]=0), "NA")</f>
        <v>Master</v>
      </c>
      <c r="Q1468" t="e">
        <f>_xlfn.XLOOKUP(Table1[[#This Row],[ID]], Table2[ID],#REF!, "Not Found", 0)</f>
        <v>#REF!</v>
      </c>
      <c r="R1468" t="e">
        <f>_xlfn.XLOOKUP(Table1[[#This Row],[ID]], Table2[ID],#REF!, "Not Found", 0)</f>
        <v>#REF!</v>
      </c>
      <c r="S1468" s="3" t="str">
        <f>_xlfn.XLOOKUP(Table1[[#This Row],[ID]], Table2[ID], Table2[Enrollment], "Not Found", 0)</f>
        <v>8/20/2019</v>
      </c>
      <c r="T1468" t="s">
        <v>434</v>
      </c>
    </row>
    <row r="1469" spans="1:20" x14ac:dyDescent="0.3">
      <c r="A1469">
        <v>1192</v>
      </c>
      <c r="B1469">
        <v>140637</v>
      </c>
      <c r="C1469">
        <v>1</v>
      </c>
      <c r="D1469">
        <v>1</v>
      </c>
      <c r="E1469">
        <v>55</v>
      </c>
      <c r="F1469">
        <v>0</v>
      </c>
      <c r="G1469">
        <v>0</v>
      </c>
      <c r="H1469">
        <v>1</v>
      </c>
      <c r="I1469">
        <v>0</v>
      </c>
      <c r="J1469">
        <v>0</v>
      </c>
      <c r="K1469">
        <v>0</v>
      </c>
      <c r="L1469">
        <v>0</v>
      </c>
      <c r="M1469">
        <v>0</v>
      </c>
      <c r="N1469">
        <v>1</v>
      </c>
      <c r="O1469" t="str" cm="1">
        <f t="array" ref="O1469">_xlfn.IFS(Table1[[#This Row],[Divorced]]=1, "Divorced", Table1[[#This Row],[Married]]=1, "Married", Table1[[#This Row],[Single]]=1, "Single", Table1[[#This Row],[Together]]=1, "Together", Table1[[#This Row],[Widow]]=1, "Widow")</f>
        <v>Single</v>
      </c>
      <c r="P1469" t="str" cm="1">
        <f t="array" ref="P1469">_xlfn.IFS(Table1[[#This Row],[Basic]]=1, "Basic", Table1[[#This Row],[Graduate]]=1, "Graduate", Table1[[#This Row],[Master]]=1, "Master", Table1[[#This Row],[PhD]]=1, "PhD", AND(Table1[[#This Row],[Basic]]=0, Table1[[#This Row],[Graduate]]=0, Table1[[#This Row],[Master]]=0, Table1[[#This Row],[PhD]]=0), "NA")</f>
        <v>PhD</v>
      </c>
      <c r="Q1469" t="e">
        <f>_xlfn.XLOOKUP(Table1[[#This Row],[ID]], Table2[ID],#REF!, "Not Found", 0)</f>
        <v>#REF!</v>
      </c>
      <c r="R1469" t="e">
        <f>_xlfn.XLOOKUP(Table1[[#This Row],[ID]], Table2[ID],#REF!, "Not Found", 0)</f>
        <v>#REF!</v>
      </c>
      <c r="S1469" s="3" t="str">
        <f>_xlfn.XLOOKUP(Table1[[#This Row],[ID]], Table2[ID], Table2[Enrollment], "Not Found", 0)</f>
        <v>12/22/2019</v>
      </c>
      <c r="T1469" t="s">
        <v>439</v>
      </c>
    </row>
    <row r="1470" spans="1:20" x14ac:dyDescent="0.3">
      <c r="A1470">
        <v>3104</v>
      </c>
      <c r="B1470">
        <v>140590</v>
      </c>
      <c r="C1470">
        <v>1</v>
      </c>
      <c r="D1470">
        <v>1</v>
      </c>
      <c r="E1470">
        <v>51</v>
      </c>
      <c r="F1470">
        <v>0</v>
      </c>
      <c r="G1470">
        <v>0</v>
      </c>
      <c r="H1470">
        <v>0</v>
      </c>
      <c r="I1470">
        <v>0</v>
      </c>
      <c r="J1470">
        <v>1</v>
      </c>
      <c r="K1470">
        <v>0</v>
      </c>
      <c r="L1470">
        <v>1</v>
      </c>
      <c r="M1470">
        <v>0</v>
      </c>
      <c r="N1470">
        <v>0</v>
      </c>
      <c r="O1470" t="str" cm="1">
        <f t="array" ref="O1470">_xlfn.IFS(Table1[[#This Row],[Divorced]]=1, "Divorced", Table1[[#This Row],[Married]]=1, "Married", Table1[[#This Row],[Single]]=1, "Single", Table1[[#This Row],[Together]]=1, "Together", Table1[[#This Row],[Widow]]=1, "Widow")</f>
        <v>Widow</v>
      </c>
      <c r="P1470" t="str" cm="1">
        <f t="array" ref="P1470">_xlfn.IFS(Table1[[#This Row],[Basic]]=1, "Basic", Table1[[#This Row],[Graduate]]=1, "Graduate", Table1[[#This Row],[Master]]=1, "Master", Table1[[#This Row],[PhD]]=1, "PhD", AND(Table1[[#This Row],[Basic]]=0, Table1[[#This Row],[Graduate]]=0, Table1[[#This Row],[Master]]=0, Table1[[#This Row],[PhD]]=0), "NA")</f>
        <v>Graduate</v>
      </c>
      <c r="Q1470" t="e">
        <f>_xlfn.XLOOKUP(Table1[[#This Row],[ID]], Table2[ID],#REF!, "Not Found", 0)</f>
        <v>#REF!</v>
      </c>
      <c r="R1470" t="e">
        <f>_xlfn.XLOOKUP(Table1[[#This Row],[ID]], Table2[ID],#REF!, "Not Found", 0)</f>
        <v>#REF!</v>
      </c>
      <c r="S1470" s="3">
        <f>_xlfn.XLOOKUP(Table1[[#This Row],[ID]], Table2[ID], Table2[Enrollment], "Not Found", 0)</f>
        <v>44046</v>
      </c>
      <c r="T1470" t="s">
        <v>438</v>
      </c>
    </row>
    <row r="1471" spans="1:20" x14ac:dyDescent="0.3">
      <c r="A1471">
        <v>3121</v>
      </c>
      <c r="B1471">
        <v>140590</v>
      </c>
      <c r="C1471">
        <v>1</v>
      </c>
      <c r="D1471">
        <v>1</v>
      </c>
      <c r="E1471">
        <v>51</v>
      </c>
      <c r="F1471">
        <v>0</v>
      </c>
      <c r="G1471">
        <v>0</v>
      </c>
      <c r="H1471">
        <v>0</v>
      </c>
      <c r="I1471">
        <v>0</v>
      </c>
      <c r="J1471">
        <v>1</v>
      </c>
      <c r="K1471">
        <v>0</v>
      </c>
      <c r="L1471">
        <v>1</v>
      </c>
      <c r="M1471">
        <v>0</v>
      </c>
      <c r="N1471">
        <v>0</v>
      </c>
      <c r="O1471" t="str" cm="1">
        <f t="array" ref="O1471">_xlfn.IFS(Table1[[#This Row],[Divorced]]=1, "Divorced", Table1[[#This Row],[Married]]=1, "Married", Table1[[#This Row],[Single]]=1, "Single", Table1[[#This Row],[Together]]=1, "Together", Table1[[#This Row],[Widow]]=1, "Widow")</f>
        <v>Widow</v>
      </c>
      <c r="P1471" t="str" cm="1">
        <f t="array" ref="P1471">_xlfn.IFS(Table1[[#This Row],[Basic]]=1, "Basic", Table1[[#This Row],[Graduate]]=1, "Graduate", Table1[[#This Row],[Master]]=1, "Master", Table1[[#This Row],[PhD]]=1, "PhD", AND(Table1[[#This Row],[Basic]]=0, Table1[[#This Row],[Graduate]]=0, Table1[[#This Row],[Master]]=0, Table1[[#This Row],[PhD]]=0), "NA")</f>
        <v>Graduate</v>
      </c>
      <c r="Q1471" t="e">
        <f>_xlfn.XLOOKUP(Table1[[#This Row],[ID]], Table2[ID],#REF!, "Not Found", 0)</f>
        <v>#REF!</v>
      </c>
      <c r="R1471" t="e">
        <f>_xlfn.XLOOKUP(Table1[[#This Row],[ID]], Table2[ID],#REF!, "Not Found", 0)</f>
        <v>#REF!</v>
      </c>
      <c r="S1471" s="3">
        <f>_xlfn.XLOOKUP(Table1[[#This Row],[ID]], Table2[ID], Table2[Enrollment], "Not Found", 0)</f>
        <v>44046</v>
      </c>
      <c r="T1471" t="s">
        <v>437</v>
      </c>
    </row>
    <row r="1472" spans="1:20" x14ac:dyDescent="0.3">
      <c r="A1472">
        <v>1031</v>
      </c>
      <c r="B1472">
        <v>140548</v>
      </c>
      <c r="C1472">
        <v>0</v>
      </c>
      <c r="D1472">
        <v>1</v>
      </c>
      <c r="E1472">
        <v>50</v>
      </c>
      <c r="F1472">
        <v>0</v>
      </c>
      <c r="G1472">
        <v>0</v>
      </c>
      <c r="H1472">
        <v>0</v>
      </c>
      <c r="I1472">
        <v>1</v>
      </c>
      <c r="J1472">
        <v>0</v>
      </c>
      <c r="K1472">
        <v>0</v>
      </c>
      <c r="L1472">
        <v>1</v>
      </c>
      <c r="M1472">
        <v>0</v>
      </c>
      <c r="N1472">
        <v>0</v>
      </c>
      <c r="O1472" t="str" cm="1">
        <f t="array" ref="O1472">_xlfn.IFS(Table1[[#This Row],[Divorced]]=1, "Divorced", Table1[[#This Row],[Married]]=1, "Married", Table1[[#This Row],[Single]]=1, "Single", Table1[[#This Row],[Together]]=1, "Together", Table1[[#This Row],[Widow]]=1, "Widow")</f>
        <v>Together</v>
      </c>
      <c r="P1472" t="str" cm="1">
        <f t="array" ref="P1472">_xlfn.IFS(Table1[[#This Row],[Basic]]=1, "Basic", Table1[[#This Row],[Graduate]]=1, "Graduate", Table1[[#This Row],[Master]]=1, "Master", Table1[[#This Row],[PhD]]=1, "PhD", AND(Table1[[#This Row],[Basic]]=0, Table1[[#This Row],[Graduate]]=0, Table1[[#This Row],[Master]]=0, Table1[[#This Row],[PhD]]=0), "NA")</f>
        <v>Graduate</v>
      </c>
      <c r="Q1472" t="e">
        <f>_xlfn.XLOOKUP(Table1[[#This Row],[ID]], Table2[ID],#REF!, "Not Found", 0)</f>
        <v>#REF!</v>
      </c>
      <c r="R1472" t="e">
        <f>_xlfn.XLOOKUP(Table1[[#This Row],[ID]], Table2[ID],#REF!, "Not Found", 0)</f>
        <v>#REF!</v>
      </c>
      <c r="S1472" s="3" t="str">
        <f>_xlfn.XLOOKUP(Table1[[#This Row],[ID]], Table2[ID], Table2[Enrollment], "Not Found", 0)</f>
        <v>3/17/2019</v>
      </c>
      <c r="T1472" t="s">
        <v>434</v>
      </c>
    </row>
    <row r="1473" spans="1:20" x14ac:dyDescent="0.3">
      <c r="A1473">
        <v>2228</v>
      </c>
      <c r="B1473">
        <v>140521</v>
      </c>
      <c r="C1473">
        <v>1</v>
      </c>
      <c r="D1473">
        <v>1</v>
      </c>
      <c r="E1473">
        <v>52</v>
      </c>
      <c r="F1473">
        <v>0</v>
      </c>
      <c r="G1473">
        <v>0</v>
      </c>
      <c r="H1473">
        <v>0</v>
      </c>
      <c r="I1473">
        <v>1</v>
      </c>
      <c r="J1473">
        <v>0</v>
      </c>
      <c r="K1473">
        <v>0</v>
      </c>
      <c r="L1473">
        <v>1</v>
      </c>
      <c r="M1473">
        <v>0</v>
      </c>
      <c r="N1473">
        <v>0</v>
      </c>
      <c r="O1473" t="str" cm="1">
        <f t="array" ref="O1473">_xlfn.IFS(Table1[[#This Row],[Divorced]]=1, "Divorced", Table1[[#This Row],[Married]]=1, "Married", Table1[[#This Row],[Single]]=1, "Single", Table1[[#This Row],[Together]]=1, "Together", Table1[[#This Row],[Widow]]=1, "Widow")</f>
        <v>Together</v>
      </c>
      <c r="P1473" t="str" cm="1">
        <f t="array" ref="P1473">_xlfn.IFS(Table1[[#This Row],[Basic]]=1, "Basic", Table1[[#This Row],[Graduate]]=1, "Graduate", Table1[[#This Row],[Master]]=1, "Master", Table1[[#This Row],[PhD]]=1, "PhD", AND(Table1[[#This Row],[Basic]]=0, Table1[[#This Row],[Graduate]]=0, Table1[[#This Row],[Master]]=0, Table1[[#This Row],[PhD]]=0), "NA")</f>
        <v>Graduate</v>
      </c>
      <c r="Q1473" t="e">
        <f>_xlfn.XLOOKUP(Table1[[#This Row],[ID]], Table2[ID],#REF!, "Not Found", 0)</f>
        <v>#REF!</v>
      </c>
      <c r="R1473" t="e">
        <f>_xlfn.XLOOKUP(Table1[[#This Row],[ID]], Table2[ID],#REF!, "Not Found", 0)</f>
        <v>#REF!</v>
      </c>
      <c r="S1473" s="3">
        <f>_xlfn.XLOOKUP(Table1[[#This Row],[ID]], Table2[ID], Table2[Enrollment], "Not Found", 0)</f>
        <v>43747</v>
      </c>
      <c r="T1473" t="s">
        <v>438</v>
      </c>
    </row>
    <row r="1474" spans="1:20" x14ac:dyDescent="0.3">
      <c r="A1474">
        <v>2064</v>
      </c>
      <c r="B1474">
        <v>140479</v>
      </c>
      <c r="C1474">
        <v>1</v>
      </c>
      <c r="D1474">
        <v>0</v>
      </c>
      <c r="E1474">
        <v>38</v>
      </c>
      <c r="F1474">
        <v>0</v>
      </c>
      <c r="G1474">
        <v>0</v>
      </c>
      <c r="H1474">
        <v>0</v>
      </c>
      <c r="I1474">
        <v>1</v>
      </c>
      <c r="J1474">
        <v>0</v>
      </c>
      <c r="K1474">
        <v>0</v>
      </c>
      <c r="L1474">
        <v>1</v>
      </c>
      <c r="M1474">
        <v>0</v>
      </c>
      <c r="N1474">
        <v>0</v>
      </c>
      <c r="O1474" t="str" cm="1">
        <f t="array" ref="O1474">_xlfn.IFS(Table1[[#This Row],[Divorced]]=1, "Divorced", Table1[[#This Row],[Married]]=1, "Married", Table1[[#This Row],[Single]]=1, "Single", Table1[[#This Row],[Together]]=1, "Together", Table1[[#This Row],[Widow]]=1, "Widow")</f>
        <v>Together</v>
      </c>
      <c r="P1474" t="str" cm="1">
        <f t="array" ref="P1474">_xlfn.IFS(Table1[[#This Row],[Basic]]=1, "Basic", Table1[[#This Row],[Graduate]]=1, "Graduate", Table1[[#This Row],[Master]]=1, "Master", Table1[[#This Row],[PhD]]=1, "PhD", AND(Table1[[#This Row],[Basic]]=0, Table1[[#This Row],[Graduate]]=0, Table1[[#This Row],[Master]]=0, Table1[[#This Row],[PhD]]=0), "NA")</f>
        <v>Graduate</v>
      </c>
      <c r="Q1474" t="e">
        <f>_xlfn.XLOOKUP(Table1[[#This Row],[ID]], Table2[ID],#REF!, "Not Found", 0)</f>
        <v>#REF!</v>
      </c>
      <c r="R1474" t="e">
        <f>_xlfn.XLOOKUP(Table1[[#This Row],[ID]], Table2[ID],#REF!, "Not Found", 0)</f>
        <v>#REF!</v>
      </c>
      <c r="S1474" s="3" t="str">
        <f>_xlfn.XLOOKUP(Table1[[#This Row],[ID]], Table2[ID], Table2[Enrollment], "Not Found", 0)</f>
        <v>1/22/2020</v>
      </c>
      <c r="T1474" t="s">
        <v>436</v>
      </c>
    </row>
    <row r="1475" spans="1:20" x14ac:dyDescent="0.3">
      <c r="A1475">
        <v>1309</v>
      </c>
      <c r="B1475">
        <v>140464</v>
      </c>
      <c r="C1475">
        <v>0</v>
      </c>
      <c r="D1475">
        <v>1</v>
      </c>
      <c r="E1475">
        <v>67</v>
      </c>
      <c r="F1475">
        <v>0</v>
      </c>
      <c r="G1475">
        <v>0</v>
      </c>
      <c r="H1475">
        <v>1</v>
      </c>
      <c r="I1475">
        <v>0</v>
      </c>
      <c r="J1475">
        <v>0</v>
      </c>
      <c r="K1475">
        <v>0</v>
      </c>
      <c r="L1475">
        <v>1</v>
      </c>
      <c r="M1475">
        <v>0</v>
      </c>
      <c r="N1475">
        <v>0</v>
      </c>
      <c r="O1475" t="str" cm="1">
        <f t="array" ref="O1475">_xlfn.IFS(Table1[[#This Row],[Divorced]]=1, "Divorced", Table1[[#This Row],[Married]]=1, "Married", Table1[[#This Row],[Single]]=1, "Single", Table1[[#This Row],[Together]]=1, "Together", Table1[[#This Row],[Widow]]=1, "Widow")</f>
        <v>Single</v>
      </c>
      <c r="P1475" t="str" cm="1">
        <f t="array" ref="P1475">_xlfn.IFS(Table1[[#This Row],[Basic]]=1, "Basic", Table1[[#This Row],[Graduate]]=1, "Graduate", Table1[[#This Row],[Master]]=1, "Master", Table1[[#This Row],[PhD]]=1, "PhD", AND(Table1[[#This Row],[Basic]]=0, Table1[[#This Row],[Graduate]]=0, Table1[[#This Row],[Master]]=0, Table1[[#This Row],[PhD]]=0), "NA")</f>
        <v>Graduate</v>
      </c>
      <c r="Q1475" t="e">
        <f>_xlfn.XLOOKUP(Table1[[#This Row],[ID]], Table2[ID],#REF!, "Not Found", 0)</f>
        <v>#REF!</v>
      </c>
      <c r="R1475" t="e">
        <f>_xlfn.XLOOKUP(Table1[[#This Row],[ID]], Table2[ID],#REF!, "Not Found", 0)</f>
        <v>#REF!</v>
      </c>
      <c r="S1475" s="3" t="str">
        <f>_xlfn.XLOOKUP(Table1[[#This Row],[ID]], Table2[ID], Table2[Enrollment], "Not Found", 0)</f>
        <v>6/18/2019</v>
      </c>
      <c r="T1475" t="s">
        <v>437</v>
      </c>
    </row>
    <row r="1476" spans="1:20" x14ac:dyDescent="0.3">
      <c r="A1476">
        <v>2189</v>
      </c>
      <c r="B1476">
        <v>140451</v>
      </c>
      <c r="C1476">
        <v>0</v>
      </c>
      <c r="D1476">
        <v>2</v>
      </c>
      <c r="E1476">
        <v>63</v>
      </c>
      <c r="F1476">
        <v>0</v>
      </c>
      <c r="G1476">
        <v>0</v>
      </c>
      <c r="H1476">
        <v>0</v>
      </c>
      <c r="I1476">
        <v>1</v>
      </c>
      <c r="J1476">
        <v>0</v>
      </c>
      <c r="K1476">
        <v>0</v>
      </c>
      <c r="L1476">
        <v>0</v>
      </c>
      <c r="M1476">
        <v>0</v>
      </c>
      <c r="N1476">
        <v>1</v>
      </c>
      <c r="O1476" t="str" cm="1">
        <f t="array" ref="O1476">_xlfn.IFS(Table1[[#This Row],[Divorced]]=1, "Divorced", Table1[[#This Row],[Married]]=1, "Married", Table1[[#This Row],[Single]]=1, "Single", Table1[[#This Row],[Together]]=1, "Together", Table1[[#This Row],[Widow]]=1, "Widow")</f>
        <v>Together</v>
      </c>
      <c r="P1476" t="str" cm="1">
        <f t="array" ref="P1476">_xlfn.IFS(Table1[[#This Row],[Basic]]=1, "Basic", Table1[[#This Row],[Graduate]]=1, "Graduate", Table1[[#This Row],[Master]]=1, "Master", Table1[[#This Row],[PhD]]=1, "PhD", AND(Table1[[#This Row],[Basic]]=0, Table1[[#This Row],[Graduate]]=0, Table1[[#This Row],[Master]]=0, Table1[[#This Row],[PhD]]=0), "NA")</f>
        <v>PhD</v>
      </c>
      <c r="Q1476" t="e">
        <f>_xlfn.XLOOKUP(Table1[[#This Row],[ID]], Table2[ID],#REF!, "Not Found", 0)</f>
        <v>#REF!</v>
      </c>
      <c r="R1476" t="e">
        <f>_xlfn.XLOOKUP(Table1[[#This Row],[ID]], Table2[ID],#REF!, "Not Found", 0)</f>
        <v>#REF!</v>
      </c>
      <c r="S1476" s="3" t="str">
        <f>_xlfn.XLOOKUP(Table1[[#This Row],[ID]], Table2[ID], Table2[Enrollment], "Not Found", 0)</f>
        <v>7/23/2020</v>
      </c>
      <c r="T1476" t="s">
        <v>434</v>
      </c>
    </row>
    <row r="1477" spans="1:20" x14ac:dyDescent="0.3">
      <c r="A1477">
        <v>2562</v>
      </c>
      <c r="B1477">
        <v>140442</v>
      </c>
      <c r="C1477">
        <v>1</v>
      </c>
      <c r="D1477">
        <v>1</v>
      </c>
      <c r="E1477">
        <v>68</v>
      </c>
      <c r="F1477">
        <v>0</v>
      </c>
      <c r="G1477">
        <v>0</v>
      </c>
      <c r="H1477">
        <v>0</v>
      </c>
      <c r="I1477">
        <v>1</v>
      </c>
      <c r="J1477">
        <v>0</v>
      </c>
      <c r="K1477">
        <v>0</v>
      </c>
      <c r="L1477">
        <v>0</v>
      </c>
      <c r="M1477">
        <v>1</v>
      </c>
      <c r="N1477">
        <v>0</v>
      </c>
      <c r="O1477" t="str" cm="1">
        <f t="array" ref="O1477">_xlfn.IFS(Table1[[#This Row],[Divorced]]=1, "Divorced", Table1[[#This Row],[Married]]=1, "Married", Table1[[#This Row],[Single]]=1, "Single", Table1[[#This Row],[Together]]=1, "Together", Table1[[#This Row],[Widow]]=1, "Widow")</f>
        <v>Together</v>
      </c>
      <c r="P1477" t="str" cm="1">
        <f t="array" ref="P1477">_xlfn.IFS(Table1[[#This Row],[Basic]]=1, "Basic", Table1[[#This Row],[Graduate]]=1, "Graduate", Table1[[#This Row],[Master]]=1, "Master", Table1[[#This Row],[PhD]]=1, "PhD", AND(Table1[[#This Row],[Basic]]=0, Table1[[#This Row],[Graduate]]=0, Table1[[#This Row],[Master]]=0, Table1[[#This Row],[PhD]]=0), "NA")</f>
        <v>Master</v>
      </c>
      <c r="Q1477" t="e">
        <f>_xlfn.XLOOKUP(Table1[[#This Row],[ID]], Table2[ID],#REF!, "Not Found", 0)</f>
        <v>#REF!</v>
      </c>
      <c r="R1477" t="e">
        <f>_xlfn.XLOOKUP(Table1[[#This Row],[ID]], Table2[ID],#REF!, "Not Found", 0)</f>
        <v>#REF!</v>
      </c>
      <c r="S1477" s="3" t="str">
        <f>_xlfn.XLOOKUP(Table1[[#This Row],[ID]], Table2[ID], Table2[Enrollment], "Not Found", 0)</f>
        <v>1/24/2019</v>
      </c>
      <c r="T1477" t="s">
        <v>436</v>
      </c>
    </row>
    <row r="1478" spans="1:20" x14ac:dyDescent="0.3">
      <c r="A1478">
        <v>2145</v>
      </c>
      <c r="B1478">
        <v>140344</v>
      </c>
      <c r="C1478">
        <v>0</v>
      </c>
      <c r="D1478">
        <v>1</v>
      </c>
      <c r="E1478">
        <v>46</v>
      </c>
      <c r="F1478">
        <v>0</v>
      </c>
      <c r="G1478">
        <v>1</v>
      </c>
      <c r="H1478">
        <v>0</v>
      </c>
      <c r="I1478">
        <v>0</v>
      </c>
      <c r="J1478">
        <v>0</v>
      </c>
      <c r="K1478">
        <v>0</v>
      </c>
      <c r="L1478">
        <v>0</v>
      </c>
      <c r="M1478">
        <v>0</v>
      </c>
      <c r="N1478">
        <v>1</v>
      </c>
      <c r="O1478" t="str" cm="1">
        <f t="array" ref="O1478">_xlfn.IFS(Table1[[#This Row],[Divorced]]=1, "Divorced", Table1[[#This Row],[Married]]=1, "Married", Table1[[#This Row],[Single]]=1, "Single", Table1[[#This Row],[Together]]=1, "Together", Table1[[#This Row],[Widow]]=1, "Widow")</f>
        <v>Married</v>
      </c>
      <c r="P1478" t="str" cm="1">
        <f t="array" ref="P1478">_xlfn.IFS(Table1[[#This Row],[Basic]]=1, "Basic", Table1[[#This Row],[Graduate]]=1, "Graduate", Table1[[#This Row],[Master]]=1, "Master", Table1[[#This Row],[PhD]]=1, "PhD", AND(Table1[[#This Row],[Basic]]=0, Table1[[#This Row],[Graduate]]=0, Table1[[#This Row],[Master]]=0, Table1[[#This Row],[PhD]]=0), "NA")</f>
        <v>PhD</v>
      </c>
      <c r="Q1478" t="e">
        <f>_xlfn.XLOOKUP(Table1[[#This Row],[ID]], Table2[ID],#REF!, "Not Found", 0)</f>
        <v>#REF!</v>
      </c>
      <c r="R1478" t="e">
        <f>_xlfn.XLOOKUP(Table1[[#This Row],[ID]], Table2[ID],#REF!, "Not Found", 0)</f>
        <v>#REF!</v>
      </c>
      <c r="S1478" s="3" t="str">
        <f>_xlfn.XLOOKUP(Table1[[#This Row],[ID]], Table2[ID], Table2[Enrollment], "Not Found", 0)</f>
        <v>3/19/2020</v>
      </c>
      <c r="T1478" t="s">
        <v>435</v>
      </c>
    </row>
    <row r="1479" spans="1:20" x14ac:dyDescent="0.3">
      <c r="A1479">
        <v>1302</v>
      </c>
      <c r="B1479">
        <v>140321</v>
      </c>
      <c r="C1479">
        <v>1</v>
      </c>
      <c r="D1479">
        <v>1</v>
      </c>
      <c r="E1479">
        <v>48</v>
      </c>
      <c r="F1479">
        <v>0</v>
      </c>
      <c r="G1479">
        <v>1</v>
      </c>
      <c r="H1479">
        <v>0</v>
      </c>
      <c r="I1479">
        <v>0</v>
      </c>
      <c r="J1479">
        <v>0</v>
      </c>
      <c r="K1479">
        <v>0</v>
      </c>
      <c r="L1479">
        <v>1</v>
      </c>
      <c r="M1479">
        <v>0</v>
      </c>
      <c r="N1479">
        <v>0</v>
      </c>
      <c r="O1479" t="str" cm="1">
        <f t="array" ref="O1479">_xlfn.IFS(Table1[[#This Row],[Divorced]]=1, "Divorced", Table1[[#This Row],[Married]]=1, "Married", Table1[[#This Row],[Single]]=1, "Single", Table1[[#This Row],[Together]]=1, "Together", Table1[[#This Row],[Widow]]=1, "Widow")</f>
        <v>Married</v>
      </c>
      <c r="P1479" t="str" cm="1">
        <f t="array" ref="P1479">_xlfn.IFS(Table1[[#This Row],[Basic]]=1, "Basic", Table1[[#This Row],[Graduate]]=1, "Graduate", Table1[[#This Row],[Master]]=1, "Master", Table1[[#This Row],[PhD]]=1, "PhD", AND(Table1[[#This Row],[Basic]]=0, Table1[[#This Row],[Graduate]]=0, Table1[[#This Row],[Master]]=0, Table1[[#This Row],[PhD]]=0), "NA")</f>
        <v>Graduate</v>
      </c>
      <c r="Q1479" t="e">
        <f>_xlfn.XLOOKUP(Table1[[#This Row],[ID]], Table2[ID],#REF!, "Not Found", 0)</f>
        <v>#REF!</v>
      </c>
      <c r="R1479" t="e">
        <f>_xlfn.XLOOKUP(Table1[[#This Row],[ID]], Table2[ID],#REF!, "Not Found", 0)</f>
        <v>#REF!</v>
      </c>
      <c r="S1479" s="3">
        <f>_xlfn.XLOOKUP(Table1[[#This Row],[ID]], Table2[ID], Table2[Enrollment], "Not Found", 0)</f>
        <v>43891</v>
      </c>
      <c r="T1479" t="s">
        <v>436</v>
      </c>
    </row>
    <row r="1480" spans="1:20" x14ac:dyDescent="0.3">
      <c r="A1480">
        <v>2298</v>
      </c>
      <c r="B1480">
        <v>140321</v>
      </c>
      <c r="C1480">
        <v>1</v>
      </c>
      <c r="D1480">
        <v>1</v>
      </c>
      <c r="E1480">
        <v>48</v>
      </c>
      <c r="F1480">
        <v>0</v>
      </c>
      <c r="G1480">
        <v>1</v>
      </c>
      <c r="H1480">
        <v>0</v>
      </c>
      <c r="I1480">
        <v>0</v>
      </c>
      <c r="J1480">
        <v>0</v>
      </c>
      <c r="K1480">
        <v>0</v>
      </c>
      <c r="L1480">
        <v>1</v>
      </c>
      <c r="M1480">
        <v>0</v>
      </c>
      <c r="N1480">
        <v>0</v>
      </c>
      <c r="O1480" t="str" cm="1">
        <f t="array" ref="O1480">_xlfn.IFS(Table1[[#This Row],[Divorced]]=1, "Divorced", Table1[[#This Row],[Married]]=1, "Married", Table1[[#This Row],[Single]]=1, "Single", Table1[[#This Row],[Together]]=1, "Together", Table1[[#This Row],[Widow]]=1, "Widow")</f>
        <v>Married</v>
      </c>
      <c r="P1480" t="str" cm="1">
        <f t="array" ref="P1480">_xlfn.IFS(Table1[[#This Row],[Basic]]=1, "Basic", Table1[[#This Row],[Graduate]]=1, "Graduate", Table1[[#This Row],[Master]]=1, "Master", Table1[[#This Row],[PhD]]=1, "PhD", AND(Table1[[#This Row],[Basic]]=0, Table1[[#This Row],[Graduate]]=0, Table1[[#This Row],[Master]]=0, Table1[[#This Row],[PhD]]=0), "NA")</f>
        <v>Graduate</v>
      </c>
      <c r="Q1480" t="e">
        <f>_xlfn.XLOOKUP(Table1[[#This Row],[ID]], Table2[ID],#REF!, "Not Found", 0)</f>
        <v>#REF!</v>
      </c>
      <c r="R1480" t="e">
        <f>_xlfn.XLOOKUP(Table1[[#This Row],[ID]], Table2[ID],#REF!, "Not Found", 0)</f>
        <v>#REF!</v>
      </c>
      <c r="S1480" s="3">
        <f>_xlfn.XLOOKUP(Table1[[#This Row],[ID]], Table2[ID], Table2[Enrollment], "Not Found", 0)</f>
        <v>43891</v>
      </c>
      <c r="T1480" t="s">
        <v>436</v>
      </c>
    </row>
    <row r="1481" spans="1:20" x14ac:dyDescent="0.3">
      <c r="A1481">
        <v>2429</v>
      </c>
      <c r="B1481">
        <v>140304</v>
      </c>
      <c r="C1481">
        <v>1</v>
      </c>
      <c r="D1481">
        <v>0</v>
      </c>
      <c r="E1481">
        <v>53</v>
      </c>
      <c r="F1481">
        <v>0</v>
      </c>
      <c r="G1481">
        <v>0</v>
      </c>
      <c r="H1481">
        <v>1</v>
      </c>
      <c r="I1481">
        <v>0</v>
      </c>
      <c r="J1481">
        <v>0</v>
      </c>
      <c r="K1481">
        <v>0</v>
      </c>
      <c r="L1481">
        <v>0</v>
      </c>
      <c r="M1481">
        <v>0</v>
      </c>
      <c r="N1481">
        <v>1</v>
      </c>
      <c r="O1481" t="str" cm="1">
        <f t="array" ref="O1481">_xlfn.IFS(Table1[[#This Row],[Divorced]]=1, "Divorced", Table1[[#This Row],[Married]]=1, "Married", Table1[[#This Row],[Single]]=1, "Single", Table1[[#This Row],[Together]]=1, "Together", Table1[[#This Row],[Widow]]=1, "Widow")</f>
        <v>Single</v>
      </c>
      <c r="P1481" t="str" cm="1">
        <f t="array" ref="P1481">_xlfn.IFS(Table1[[#This Row],[Basic]]=1, "Basic", Table1[[#This Row],[Graduate]]=1, "Graduate", Table1[[#This Row],[Master]]=1, "Master", Table1[[#This Row],[PhD]]=1, "PhD", AND(Table1[[#This Row],[Basic]]=0, Table1[[#This Row],[Graduate]]=0, Table1[[#This Row],[Master]]=0, Table1[[#This Row],[PhD]]=0), "NA")</f>
        <v>PhD</v>
      </c>
      <c r="Q1481" t="e">
        <f>_xlfn.XLOOKUP(Table1[[#This Row],[ID]], Table2[ID],#REF!, "Not Found", 0)</f>
        <v>#REF!</v>
      </c>
      <c r="R1481" t="e">
        <f>_xlfn.XLOOKUP(Table1[[#This Row],[ID]], Table2[ID],#REF!, "Not Found", 0)</f>
        <v>#REF!</v>
      </c>
      <c r="S1481" s="3">
        <f>_xlfn.XLOOKUP(Table1[[#This Row],[ID]], Table2[ID], Table2[Enrollment], "Not Found", 0)</f>
        <v>43985</v>
      </c>
      <c r="T1481" t="s">
        <v>434</v>
      </c>
    </row>
    <row r="1482" spans="1:20" x14ac:dyDescent="0.3">
      <c r="A1482">
        <v>1070</v>
      </c>
      <c r="B1482">
        <v>140246</v>
      </c>
      <c r="C1482">
        <v>1</v>
      </c>
      <c r="D1482">
        <v>0</v>
      </c>
      <c r="E1482">
        <v>43</v>
      </c>
      <c r="F1482">
        <v>1</v>
      </c>
      <c r="G1482">
        <v>0</v>
      </c>
      <c r="H1482">
        <v>0</v>
      </c>
      <c r="I1482">
        <v>0</v>
      </c>
      <c r="J1482">
        <v>0</v>
      </c>
      <c r="K1482">
        <v>0</v>
      </c>
      <c r="L1482">
        <v>1</v>
      </c>
      <c r="M1482">
        <v>0</v>
      </c>
      <c r="N1482">
        <v>0</v>
      </c>
      <c r="O1482" t="str" cm="1">
        <f t="array" ref="O1482">_xlfn.IFS(Table1[[#This Row],[Divorced]]=1, "Divorced", Table1[[#This Row],[Married]]=1, "Married", Table1[[#This Row],[Single]]=1, "Single", Table1[[#This Row],[Together]]=1, "Together", Table1[[#This Row],[Widow]]=1, "Widow")</f>
        <v>Divorced</v>
      </c>
      <c r="P1482" t="str" cm="1">
        <f t="array" ref="P1482">_xlfn.IFS(Table1[[#This Row],[Basic]]=1, "Basic", Table1[[#This Row],[Graduate]]=1, "Graduate", Table1[[#This Row],[Master]]=1, "Master", Table1[[#This Row],[PhD]]=1, "PhD", AND(Table1[[#This Row],[Basic]]=0, Table1[[#This Row],[Graduate]]=0, Table1[[#This Row],[Master]]=0, Table1[[#This Row],[PhD]]=0), "NA")</f>
        <v>Graduate</v>
      </c>
      <c r="Q1482" t="e">
        <f>_xlfn.XLOOKUP(Table1[[#This Row],[ID]], Table2[ID],#REF!, "Not Found", 0)</f>
        <v>#REF!</v>
      </c>
      <c r="R1482" t="e">
        <f>_xlfn.XLOOKUP(Table1[[#This Row],[ID]], Table2[ID],#REF!, "Not Found", 0)</f>
        <v>#REF!</v>
      </c>
      <c r="S1482" s="3" t="str">
        <f>_xlfn.XLOOKUP(Table1[[#This Row],[ID]], Table2[ID], Table2[Enrollment], "Not Found", 0)</f>
        <v>5/26/2019</v>
      </c>
      <c r="T1482" t="s">
        <v>438</v>
      </c>
    </row>
    <row r="1483" spans="1:20" x14ac:dyDescent="0.3">
      <c r="A1483">
        <v>1944</v>
      </c>
      <c r="B1483">
        <v>140233</v>
      </c>
      <c r="C1483">
        <v>0</v>
      </c>
      <c r="D1483">
        <v>1</v>
      </c>
      <c r="E1483">
        <v>45</v>
      </c>
      <c r="F1483">
        <v>0</v>
      </c>
      <c r="G1483">
        <v>1</v>
      </c>
      <c r="H1483">
        <v>0</v>
      </c>
      <c r="I1483">
        <v>0</v>
      </c>
      <c r="J1483">
        <v>0</v>
      </c>
      <c r="K1483">
        <v>0</v>
      </c>
      <c r="L1483">
        <v>0</v>
      </c>
      <c r="M1483">
        <v>0</v>
      </c>
      <c r="N1483">
        <v>1</v>
      </c>
      <c r="O1483" t="str" cm="1">
        <f t="array" ref="O1483">_xlfn.IFS(Table1[[#This Row],[Divorced]]=1, "Divorced", Table1[[#This Row],[Married]]=1, "Married", Table1[[#This Row],[Single]]=1, "Single", Table1[[#This Row],[Together]]=1, "Together", Table1[[#This Row],[Widow]]=1, "Widow")</f>
        <v>Married</v>
      </c>
      <c r="P1483" t="str" cm="1">
        <f t="array" ref="P1483">_xlfn.IFS(Table1[[#This Row],[Basic]]=1, "Basic", Table1[[#This Row],[Graduate]]=1, "Graduate", Table1[[#This Row],[Master]]=1, "Master", Table1[[#This Row],[PhD]]=1, "PhD", AND(Table1[[#This Row],[Basic]]=0, Table1[[#This Row],[Graduate]]=0, Table1[[#This Row],[Master]]=0, Table1[[#This Row],[PhD]]=0), "NA")</f>
        <v>PhD</v>
      </c>
      <c r="Q1483" t="e">
        <f>_xlfn.XLOOKUP(Table1[[#This Row],[ID]], Table2[ID],#REF!, "Not Found", 0)</f>
        <v>#REF!</v>
      </c>
      <c r="R1483" t="e">
        <f>_xlfn.XLOOKUP(Table1[[#This Row],[ID]], Table2[ID],#REF!, "Not Found", 0)</f>
        <v>#REF!</v>
      </c>
      <c r="S1483" s="3" t="str">
        <f>_xlfn.XLOOKUP(Table1[[#This Row],[ID]], Table2[ID], Table2[Enrollment], "Not Found", 0)</f>
        <v>3/20/2020</v>
      </c>
      <c r="T1483" t="s">
        <v>436</v>
      </c>
    </row>
    <row r="1484" spans="1:20" x14ac:dyDescent="0.3">
      <c r="A1484">
        <v>2204</v>
      </c>
      <c r="B1484">
        <v>140211</v>
      </c>
      <c r="C1484">
        <v>1</v>
      </c>
      <c r="D1484">
        <v>1</v>
      </c>
      <c r="E1484">
        <v>39</v>
      </c>
      <c r="F1484">
        <v>0</v>
      </c>
      <c r="G1484">
        <v>1</v>
      </c>
      <c r="H1484">
        <v>0</v>
      </c>
      <c r="I1484">
        <v>0</v>
      </c>
      <c r="J1484">
        <v>0</v>
      </c>
      <c r="K1484">
        <v>0</v>
      </c>
      <c r="L1484">
        <v>1</v>
      </c>
      <c r="M1484">
        <v>0</v>
      </c>
      <c r="N1484">
        <v>0</v>
      </c>
      <c r="O1484" t="str" cm="1">
        <f t="array" ref="O1484">_xlfn.IFS(Table1[[#This Row],[Divorced]]=1, "Divorced", Table1[[#This Row],[Married]]=1, "Married", Table1[[#This Row],[Single]]=1, "Single", Table1[[#This Row],[Together]]=1, "Together", Table1[[#This Row],[Widow]]=1, "Widow")</f>
        <v>Married</v>
      </c>
      <c r="P1484" t="str" cm="1">
        <f t="array" ref="P1484">_xlfn.IFS(Table1[[#This Row],[Basic]]=1, "Basic", Table1[[#This Row],[Graduate]]=1, "Graduate", Table1[[#This Row],[Master]]=1, "Master", Table1[[#This Row],[PhD]]=1, "PhD", AND(Table1[[#This Row],[Basic]]=0, Table1[[#This Row],[Graduate]]=0, Table1[[#This Row],[Master]]=0, Table1[[#This Row],[PhD]]=0), "NA")</f>
        <v>Graduate</v>
      </c>
      <c r="Q1484" t="e">
        <f>_xlfn.XLOOKUP(Table1[[#This Row],[ID]], Table2[ID],#REF!, "Not Found", 0)</f>
        <v>#REF!</v>
      </c>
      <c r="R1484" t="e">
        <f>_xlfn.XLOOKUP(Table1[[#This Row],[ID]], Table2[ID],#REF!, "Not Found", 0)</f>
        <v>#REF!</v>
      </c>
      <c r="S1484" s="3">
        <f>_xlfn.XLOOKUP(Table1[[#This Row],[ID]], Table2[ID], Table2[Enrollment], "Not Found", 0)</f>
        <v>43922</v>
      </c>
      <c r="T1484" t="s">
        <v>438</v>
      </c>
    </row>
    <row r="1485" spans="1:20" x14ac:dyDescent="0.3">
      <c r="A1485">
        <v>3187</v>
      </c>
      <c r="B1485">
        <v>140101</v>
      </c>
      <c r="C1485">
        <v>1</v>
      </c>
      <c r="D1485">
        <v>0</v>
      </c>
      <c r="E1485">
        <v>35</v>
      </c>
      <c r="F1485">
        <v>0</v>
      </c>
      <c r="G1485">
        <v>0</v>
      </c>
      <c r="H1485">
        <v>0</v>
      </c>
      <c r="I1485">
        <v>1</v>
      </c>
      <c r="J1485">
        <v>0</v>
      </c>
      <c r="K1485">
        <v>0</v>
      </c>
      <c r="L1485">
        <v>0</v>
      </c>
      <c r="M1485">
        <v>1</v>
      </c>
      <c r="N1485">
        <v>0</v>
      </c>
      <c r="O1485" t="str" cm="1">
        <f t="array" ref="O1485">_xlfn.IFS(Table1[[#This Row],[Divorced]]=1, "Divorced", Table1[[#This Row],[Married]]=1, "Married", Table1[[#This Row],[Single]]=1, "Single", Table1[[#This Row],[Together]]=1, "Together", Table1[[#This Row],[Widow]]=1, "Widow")</f>
        <v>Together</v>
      </c>
      <c r="P1485" t="str" cm="1">
        <f t="array" ref="P1485">_xlfn.IFS(Table1[[#This Row],[Basic]]=1, "Basic", Table1[[#This Row],[Graduate]]=1, "Graduate", Table1[[#This Row],[Master]]=1, "Master", Table1[[#This Row],[PhD]]=1, "PhD", AND(Table1[[#This Row],[Basic]]=0, Table1[[#This Row],[Graduate]]=0, Table1[[#This Row],[Master]]=0, Table1[[#This Row],[PhD]]=0), "NA")</f>
        <v>Master</v>
      </c>
      <c r="Q1485" t="e">
        <f>_xlfn.XLOOKUP(Table1[[#This Row],[ID]], Table2[ID],#REF!, "Not Found", 0)</f>
        <v>#REF!</v>
      </c>
      <c r="R1485" t="e">
        <f>_xlfn.XLOOKUP(Table1[[#This Row],[ID]], Table2[ID],#REF!, "Not Found", 0)</f>
        <v>#REF!</v>
      </c>
      <c r="S1485" s="3" t="str">
        <f>_xlfn.XLOOKUP(Table1[[#This Row],[ID]], Table2[ID], Table2[Enrollment], "Not Found", 0)</f>
        <v>3/21/2019</v>
      </c>
      <c r="T1485" t="s">
        <v>437</v>
      </c>
    </row>
    <row r="1486" spans="1:20" x14ac:dyDescent="0.3">
      <c r="A1486">
        <v>3009</v>
      </c>
      <c r="B1486">
        <v>140059</v>
      </c>
      <c r="C1486">
        <v>1</v>
      </c>
      <c r="D1486">
        <v>0</v>
      </c>
      <c r="E1486">
        <v>36</v>
      </c>
      <c r="F1486">
        <v>0</v>
      </c>
      <c r="G1486">
        <v>1</v>
      </c>
      <c r="H1486">
        <v>0</v>
      </c>
      <c r="I1486">
        <v>0</v>
      </c>
      <c r="J1486">
        <v>0</v>
      </c>
      <c r="K1486">
        <v>0</v>
      </c>
      <c r="L1486">
        <v>1</v>
      </c>
      <c r="M1486">
        <v>0</v>
      </c>
      <c r="N1486">
        <v>0</v>
      </c>
      <c r="O1486" t="str" cm="1">
        <f t="array" ref="O1486">_xlfn.IFS(Table1[[#This Row],[Divorced]]=1, "Divorced", Table1[[#This Row],[Married]]=1, "Married", Table1[[#This Row],[Single]]=1, "Single", Table1[[#This Row],[Together]]=1, "Together", Table1[[#This Row],[Widow]]=1, "Widow")</f>
        <v>Married</v>
      </c>
      <c r="P1486" t="str" cm="1">
        <f t="array" ref="P1486">_xlfn.IFS(Table1[[#This Row],[Basic]]=1, "Basic", Table1[[#This Row],[Graduate]]=1, "Graduate", Table1[[#This Row],[Master]]=1, "Master", Table1[[#This Row],[PhD]]=1, "PhD", AND(Table1[[#This Row],[Basic]]=0, Table1[[#This Row],[Graduate]]=0, Table1[[#This Row],[Master]]=0, Table1[[#This Row],[PhD]]=0), "NA")</f>
        <v>Graduate</v>
      </c>
      <c r="Q1486" t="e">
        <f>_xlfn.XLOOKUP(Table1[[#This Row],[ID]], Table2[ID],#REF!, "Not Found", 0)</f>
        <v>#REF!</v>
      </c>
      <c r="R1486" t="e">
        <f>_xlfn.XLOOKUP(Table1[[#This Row],[ID]], Table2[ID],#REF!, "Not Found", 0)</f>
        <v>#REF!</v>
      </c>
      <c r="S1486" s="3">
        <f>_xlfn.XLOOKUP(Table1[[#This Row],[ID]], Table2[ID], Table2[Enrollment], "Not Found", 0)</f>
        <v>43924</v>
      </c>
      <c r="T1486" t="s">
        <v>435</v>
      </c>
    </row>
    <row r="1487" spans="1:20" x14ac:dyDescent="0.3">
      <c r="A1487">
        <v>2318</v>
      </c>
      <c r="B1487">
        <v>140049</v>
      </c>
      <c r="C1487">
        <v>0</v>
      </c>
      <c r="D1487">
        <v>1</v>
      </c>
      <c r="E1487">
        <v>68</v>
      </c>
      <c r="F1487">
        <v>0</v>
      </c>
      <c r="G1487">
        <v>0</v>
      </c>
      <c r="H1487">
        <v>0</v>
      </c>
      <c r="I1487">
        <v>0</v>
      </c>
      <c r="J1487">
        <v>1</v>
      </c>
      <c r="K1487">
        <v>0</v>
      </c>
      <c r="L1487">
        <v>1</v>
      </c>
      <c r="M1487">
        <v>0</v>
      </c>
      <c r="N1487">
        <v>0</v>
      </c>
      <c r="O1487" t="str" cm="1">
        <f t="array" ref="O1487">_xlfn.IFS(Table1[[#This Row],[Divorced]]=1, "Divorced", Table1[[#This Row],[Married]]=1, "Married", Table1[[#This Row],[Single]]=1, "Single", Table1[[#This Row],[Together]]=1, "Together", Table1[[#This Row],[Widow]]=1, "Widow")</f>
        <v>Widow</v>
      </c>
      <c r="P1487" t="str" cm="1">
        <f t="array" ref="P1487">_xlfn.IFS(Table1[[#This Row],[Basic]]=1, "Basic", Table1[[#This Row],[Graduate]]=1, "Graduate", Table1[[#This Row],[Master]]=1, "Master", Table1[[#This Row],[PhD]]=1, "PhD", AND(Table1[[#This Row],[Basic]]=0, Table1[[#This Row],[Graduate]]=0, Table1[[#This Row],[Master]]=0, Table1[[#This Row],[PhD]]=0), "NA")</f>
        <v>Graduate</v>
      </c>
      <c r="Q1487" t="e">
        <f>_xlfn.XLOOKUP(Table1[[#This Row],[ID]], Table2[ID],#REF!, "Not Found", 0)</f>
        <v>#REF!</v>
      </c>
      <c r="R1487" t="e">
        <f>_xlfn.XLOOKUP(Table1[[#This Row],[ID]], Table2[ID],#REF!, "Not Found", 0)</f>
        <v>#REF!</v>
      </c>
      <c r="S1487" s="3" t="str">
        <f>_xlfn.XLOOKUP(Table1[[#This Row],[ID]], Table2[ID], Table2[Enrollment], "Not Found", 0)</f>
        <v>3/22/2020</v>
      </c>
      <c r="T1487" t="s">
        <v>438</v>
      </c>
    </row>
    <row r="1488" spans="1:20" x14ac:dyDescent="0.3">
      <c r="A1488">
        <v>1822</v>
      </c>
      <c r="B1488">
        <v>140049</v>
      </c>
      <c r="C1488">
        <v>0</v>
      </c>
      <c r="D1488">
        <v>1</v>
      </c>
      <c r="E1488">
        <v>46</v>
      </c>
      <c r="F1488">
        <v>0</v>
      </c>
      <c r="G1488">
        <v>1</v>
      </c>
      <c r="H1488">
        <v>0</v>
      </c>
      <c r="I1488">
        <v>0</v>
      </c>
      <c r="J1488">
        <v>0</v>
      </c>
      <c r="K1488">
        <v>0</v>
      </c>
      <c r="L1488">
        <v>1</v>
      </c>
      <c r="M1488">
        <v>0</v>
      </c>
      <c r="N1488">
        <v>0</v>
      </c>
      <c r="O1488" t="str" cm="1">
        <f t="array" ref="O1488">_xlfn.IFS(Table1[[#This Row],[Divorced]]=1, "Divorced", Table1[[#This Row],[Married]]=1, "Married", Table1[[#This Row],[Single]]=1, "Single", Table1[[#This Row],[Together]]=1, "Together", Table1[[#This Row],[Widow]]=1, "Widow")</f>
        <v>Married</v>
      </c>
      <c r="P1488" t="str" cm="1">
        <f t="array" ref="P1488">_xlfn.IFS(Table1[[#This Row],[Basic]]=1, "Basic", Table1[[#This Row],[Graduate]]=1, "Graduate", Table1[[#This Row],[Master]]=1, "Master", Table1[[#This Row],[PhD]]=1, "PhD", AND(Table1[[#This Row],[Basic]]=0, Table1[[#This Row],[Graduate]]=0, Table1[[#This Row],[Master]]=0, Table1[[#This Row],[PhD]]=0), "NA")</f>
        <v>Graduate</v>
      </c>
      <c r="Q1488" t="e">
        <f>_xlfn.XLOOKUP(Table1[[#This Row],[ID]], Table2[ID],#REF!, "Not Found", 0)</f>
        <v>#REF!</v>
      </c>
      <c r="R1488" t="e">
        <f>_xlfn.XLOOKUP(Table1[[#This Row],[ID]], Table2[ID],#REF!, "Not Found", 0)</f>
        <v>#REF!</v>
      </c>
      <c r="S1488" s="3">
        <f>_xlfn.XLOOKUP(Table1[[#This Row],[ID]], Table2[ID], Table2[Enrollment], "Not Found", 0)</f>
        <v>43621</v>
      </c>
      <c r="T1488" t="s">
        <v>439</v>
      </c>
    </row>
    <row r="1489" spans="1:20" x14ac:dyDescent="0.3">
      <c r="A1489">
        <v>2372</v>
      </c>
      <c r="B1489">
        <v>139996</v>
      </c>
      <c r="C1489">
        <v>1</v>
      </c>
      <c r="D1489">
        <v>1</v>
      </c>
      <c r="E1489">
        <v>46</v>
      </c>
      <c r="F1489">
        <v>1</v>
      </c>
      <c r="G1489">
        <v>0</v>
      </c>
      <c r="H1489">
        <v>0</v>
      </c>
      <c r="I1489">
        <v>0</v>
      </c>
      <c r="J1489">
        <v>0</v>
      </c>
      <c r="K1489">
        <v>0</v>
      </c>
      <c r="L1489">
        <v>1</v>
      </c>
      <c r="M1489">
        <v>0</v>
      </c>
      <c r="N1489">
        <v>0</v>
      </c>
      <c r="O1489" t="str" cm="1">
        <f t="array" ref="O1489">_xlfn.IFS(Table1[[#This Row],[Divorced]]=1, "Divorced", Table1[[#This Row],[Married]]=1, "Married", Table1[[#This Row],[Single]]=1, "Single", Table1[[#This Row],[Together]]=1, "Together", Table1[[#This Row],[Widow]]=1, "Widow")</f>
        <v>Divorced</v>
      </c>
      <c r="P1489" t="str" cm="1">
        <f t="array" ref="P1489">_xlfn.IFS(Table1[[#This Row],[Basic]]=1, "Basic", Table1[[#This Row],[Graduate]]=1, "Graduate", Table1[[#This Row],[Master]]=1, "Master", Table1[[#This Row],[PhD]]=1, "PhD", AND(Table1[[#This Row],[Basic]]=0, Table1[[#This Row],[Graduate]]=0, Table1[[#This Row],[Master]]=0, Table1[[#This Row],[PhD]]=0), "NA")</f>
        <v>Graduate</v>
      </c>
      <c r="Q1489" t="e">
        <f>_xlfn.XLOOKUP(Table1[[#This Row],[ID]], Table2[ID],#REF!, "Not Found", 0)</f>
        <v>#REF!</v>
      </c>
      <c r="R1489" t="e">
        <f>_xlfn.XLOOKUP(Table1[[#This Row],[ID]], Table2[ID],#REF!, "Not Found", 0)</f>
        <v>#REF!</v>
      </c>
      <c r="S1489" s="3" t="str">
        <f>_xlfn.XLOOKUP(Table1[[#This Row],[ID]], Table2[ID], Table2[Enrollment], "Not Found", 0)</f>
        <v>10/26/2020</v>
      </c>
      <c r="T1489" t="s">
        <v>438</v>
      </c>
    </row>
    <row r="1490" spans="1:20" x14ac:dyDescent="0.3">
      <c r="A1490">
        <v>1858</v>
      </c>
      <c r="B1490">
        <v>139922</v>
      </c>
      <c r="C1490">
        <v>1</v>
      </c>
      <c r="D1490">
        <v>0</v>
      </c>
      <c r="E1490">
        <v>37</v>
      </c>
      <c r="F1490">
        <v>0</v>
      </c>
      <c r="G1490">
        <v>1</v>
      </c>
      <c r="H1490">
        <v>0</v>
      </c>
      <c r="I1490">
        <v>0</v>
      </c>
      <c r="J1490">
        <v>0</v>
      </c>
      <c r="K1490">
        <v>0</v>
      </c>
      <c r="L1490">
        <v>1</v>
      </c>
      <c r="M1490">
        <v>0</v>
      </c>
      <c r="N1490">
        <v>0</v>
      </c>
      <c r="O1490" t="str" cm="1">
        <f t="array" ref="O1490">_xlfn.IFS(Table1[[#This Row],[Divorced]]=1, "Divorced", Table1[[#This Row],[Married]]=1, "Married", Table1[[#This Row],[Single]]=1, "Single", Table1[[#This Row],[Together]]=1, "Together", Table1[[#This Row],[Widow]]=1, "Widow")</f>
        <v>Married</v>
      </c>
      <c r="P1490" t="str" cm="1">
        <f t="array" ref="P1490">_xlfn.IFS(Table1[[#This Row],[Basic]]=1, "Basic", Table1[[#This Row],[Graduate]]=1, "Graduate", Table1[[#This Row],[Master]]=1, "Master", Table1[[#This Row],[PhD]]=1, "PhD", AND(Table1[[#This Row],[Basic]]=0, Table1[[#This Row],[Graduate]]=0, Table1[[#This Row],[Master]]=0, Table1[[#This Row],[PhD]]=0), "NA")</f>
        <v>Graduate</v>
      </c>
      <c r="Q1490" t="e">
        <f>_xlfn.XLOOKUP(Table1[[#This Row],[ID]], Table2[ID],#REF!, "Not Found", 0)</f>
        <v>#REF!</v>
      </c>
      <c r="R1490" t="e">
        <f>_xlfn.XLOOKUP(Table1[[#This Row],[ID]], Table2[ID],#REF!, "Not Found", 0)</f>
        <v>#REF!</v>
      </c>
      <c r="S1490" s="3" t="str">
        <f>_xlfn.XLOOKUP(Table1[[#This Row],[ID]], Table2[ID], Table2[Enrollment], "Not Found", 0)</f>
        <v>7/22/2019</v>
      </c>
      <c r="T1490" t="s">
        <v>439</v>
      </c>
    </row>
    <row r="1491" spans="1:20" x14ac:dyDescent="0.3">
      <c r="A1491">
        <v>2415</v>
      </c>
      <c r="B1491">
        <v>139922</v>
      </c>
      <c r="C1491">
        <v>1</v>
      </c>
      <c r="D1491">
        <v>0</v>
      </c>
      <c r="E1491">
        <v>37</v>
      </c>
      <c r="F1491">
        <v>0</v>
      </c>
      <c r="G1491">
        <v>1</v>
      </c>
      <c r="H1491">
        <v>0</v>
      </c>
      <c r="I1491">
        <v>0</v>
      </c>
      <c r="J1491">
        <v>0</v>
      </c>
      <c r="K1491">
        <v>0</v>
      </c>
      <c r="L1491">
        <v>1</v>
      </c>
      <c r="M1491">
        <v>0</v>
      </c>
      <c r="N1491">
        <v>0</v>
      </c>
      <c r="O1491" t="str" cm="1">
        <f t="array" ref="O1491">_xlfn.IFS(Table1[[#This Row],[Divorced]]=1, "Divorced", Table1[[#This Row],[Married]]=1, "Married", Table1[[#This Row],[Single]]=1, "Single", Table1[[#This Row],[Together]]=1, "Together", Table1[[#This Row],[Widow]]=1, "Widow")</f>
        <v>Married</v>
      </c>
      <c r="P1491" t="str" cm="1">
        <f t="array" ref="P1491">_xlfn.IFS(Table1[[#This Row],[Basic]]=1, "Basic", Table1[[#This Row],[Graduate]]=1, "Graduate", Table1[[#This Row],[Master]]=1, "Master", Table1[[#This Row],[PhD]]=1, "PhD", AND(Table1[[#This Row],[Basic]]=0, Table1[[#This Row],[Graduate]]=0, Table1[[#This Row],[Master]]=0, Table1[[#This Row],[PhD]]=0), "NA")</f>
        <v>Graduate</v>
      </c>
      <c r="Q1491" t="e">
        <f>_xlfn.XLOOKUP(Table1[[#This Row],[ID]], Table2[ID],#REF!, "Not Found", 0)</f>
        <v>#REF!</v>
      </c>
      <c r="R1491" t="e">
        <f>_xlfn.XLOOKUP(Table1[[#This Row],[ID]], Table2[ID],#REF!, "Not Found", 0)</f>
        <v>#REF!</v>
      </c>
      <c r="S1491" s="3" t="str">
        <f>_xlfn.XLOOKUP(Table1[[#This Row],[ID]], Table2[ID], Table2[Enrollment], "Not Found", 0)</f>
        <v>7/22/2019</v>
      </c>
      <c r="T1491" t="s">
        <v>435</v>
      </c>
    </row>
    <row r="1492" spans="1:20" x14ac:dyDescent="0.3">
      <c r="A1492">
        <v>2536</v>
      </c>
      <c r="B1492">
        <v>139922</v>
      </c>
      <c r="C1492">
        <v>1</v>
      </c>
      <c r="D1492">
        <v>0</v>
      </c>
      <c r="E1492">
        <v>37</v>
      </c>
      <c r="F1492">
        <v>0</v>
      </c>
      <c r="G1492">
        <v>1</v>
      </c>
      <c r="H1492">
        <v>0</v>
      </c>
      <c r="I1492">
        <v>0</v>
      </c>
      <c r="J1492">
        <v>0</v>
      </c>
      <c r="K1492">
        <v>0</v>
      </c>
      <c r="L1492">
        <v>1</v>
      </c>
      <c r="M1492">
        <v>0</v>
      </c>
      <c r="N1492">
        <v>0</v>
      </c>
      <c r="O1492" t="str" cm="1">
        <f t="array" ref="O1492">_xlfn.IFS(Table1[[#This Row],[Divorced]]=1, "Divorced", Table1[[#This Row],[Married]]=1, "Married", Table1[[#This Row],[Single]]=1, "Single", Table1[[#This Row],[Together]]=1, "Together", Table1[[#This Row],[Widow]]=1, "Widow")</f>
        <v>Married</v>
      </c>
      <c r="P1492" t="str" cm="1">
        <f t="array" ref="P1492">_xlfn.IFS(Table1[[#This Row],[Basic]]=1, "Basic", Table1[[#This Row],[Graduate]]=1, "Graduate", Table1[[#This Row],[Master]]=1, "Master", Table1[[#This Row],[PhD]]=1, "PhD", AND(Table1[[#This Row],[Basic]]=0, Table1[[#This Row],[Graduate]]=0, Table1[[#This Row],[Master]]=0, Table1[[#This Row],[PhD]]=0), "NA")</f>
        <v>Graduate</v>
      </c>
      <c r="Q1492" t="e">
        <f>_xlfn.XLOOKUP(Table1[[#This Row],[ID]], Table2[ID],#REF!, "Not Found", 0)</f>
        <v>#REF!</v>
      </c>
      <c r="R1492" t="e">
        <f>_xlfn.XLOOKUP(Table1[[#This Row],[ID]], Table2[ID],#REF!, "Not Found", 0)</f>
        <v>#REF!</v>
      </c>
      <c r="S1492" s="3" t="str">
        <f>_xlfn.XLOOKUP(Table1[[#This Row],[ID]], Table2[ID], Table2[Enrollment], "Not Found", 0)</f>
        <v>7/22/2019</v>
      </c>
      <c r="T1492" t="s">
        <v>439</v>
      </c>
    </row>
    <row r="1493" spans="1:20" x14ac:dyDescent="0.3">
      <c r="A1493">
        <v>2451</v>
      </c>
      <c r="B1493">
        <v>139898</v>
      </c>
      <c r="C1493">
        <v>0</v>
      </c>
      <c r="D1493">
        <v>1</v>
      </c>
      <c r="E1493">
        <v>66</v>
      </c>
      <c r="F1493">
        <v>0</v>
      </c>
      <c r="G1493">
        <v>0</v>
      </c>
      <c r="H1493">
        <v>0</v>
      </c>
      <c r="I1493">
        <v>1</v>
      </c>
      <c r="J1493">
        <v>0</v>
      </c>
      <c r="K1493">
        <v>0</v>
      </c>
      <c r="L1493">
        <v>1</v>
      </c>
      <c r="M1493">
        <v>0</v>
      </c>
      <c r="N1493">
        <v>0</v>
      </c>
      <c r="O1493" t="str" cm="1">
        <f t="array" ref="O1493">_xlfn.IFS(Table1[[#This Row],[Divorced]]=1, "Divorced", Table1[[#This Row],[Married]]=1, "Married", Table1[[#This Row],[Single]]=1, "Single", Table1[[#This Row],[Together]]=1, "Together", Table1[[#This Row],[Widow]]=1, "Widow")</f>
        <v>Together</v>
      </c>
      <c r="P1493" t="str" cm="1">
        <f t="array" ref="P1493">_xlfn.IFS(Table1[[#This Row],[Basic]]=1, "Basic", Table1[[#This Row],[Graduate]]=1, "Graduate", Table1[[#This Row],[Master]]=1, "Master", Table1[[#This Row],[PhD]]=1, "PhD", AND(Table1[[#This Row],[Basic]]=0, Table1[[#This Row],[Graduate]]=0, Table1[[#This Row],[Master]]=0, Table1[[#This Row],[PhD]]=0), "NA")</f>
        <v>Graduate</v>
      </c>
      <c r="Q1493" t="e">
        <f>_xlfn.XLOOKUP(Table1[[#This Row],[ID]], Table2[ID],#REF!, "Not Found", 0)</f>
        <v>#REF!</v>
      </c>
      <c r="R1493" t="e">
        <f>_xlfn.XLOOKUP(Table1[[#This Row],[ID]], Table2[ID],#REF!, "Not Found", 0)</f>
        <v>#REF!</v>
      </c>
      <c r="S1493" s="3" t="str">
        <f>_xlfn.XLOOKUP(Table1[[#This Row],[ID]], Table2[ID], Table2[Enrollment], "Not Found", 0)</f>
        <v>7/20/2019</v>
      </c>
      <c r="T1493" t="s">
        <v>435</v>
      </c>
    </row>
    <row r="1494" spans="1:20" x14ac:dyDescent="0.3">
      <c r="A1494">
        <v>2924</v>
      </c>
      <c r="B1494">
        <v>139898</v>
      </c>
      <c r="C1494">
        <v>0</v>
      </c>
      <c r="D1494">
        <v>1</v>
      </c>
      <c r="E1494">
        <v>66</v>
      </c>
      <c r="F1494">
        <v>0</v>
      </c>
      <c r="G1494">
        <v>0</v>
      </c>
      <c r="H1494">
        <v>0</v>
      </c>
      <c r="I1494">
        <v>1</v>
      </c>
      <c r="J1494">
        <v>0</v>
      </c>
      <c r="K1494">
        <v>0</v>
      </c>
      <c r="L1494">
        <v>1</v>
      </c>
      <c r="M1494">
        <v>0</v>
      </c>
      <c r="N1494">
        <v>0</v>
      </c>
      <c r="O1494" t="str" cm="1">
        <f t="array" ref="O1494">_xlfn.IFS(Table1[[#This Row],[Divorced]]=1, "Divorced", Table1[[#This Row],[Married]]=1, "Married", Table1[[#This Row],[Single]]=1, "Single", Table1[[#This Row],[Together]]=1, "Together", Table1[[#This Row],[Widow]]=1, "Widow")</f>
        <v>Together</v>
      </c>
      <c r="P1494" t="str" cm="1">
        <f t="array" ref="P1494">_xlfn.IFS(Table1[[#This Row],[Basic]]=1, "Basic", Table1[[#This Row],[Graduate]]=1, "Graduate", Table1[[#This Row],[Master]]=1, "Master", Table1[[#This Row],[PhD]]=1, "PhD", AND(Table1[[#This Row],[Basic]]=0, Table1[[#This Row],[Graduate]]=0, Table1[[#This Row],[Master]]=0, Table1[[#This Row],[PhD]]=0), "NA")</f>
        <v>Graduate</v>
      </c>
      <c r="Q1494" t="e">
        <f>_xlfn.XLOOKUP(Table1[[#This Row],[ID]], Table2[ID],#REF!, "Not Found", 0)</f>
        <v>#REF!</v>
      </c>
      <c r="R1494" t="e">
        <f>_xlfn.XLOOKUP(Table1[[#This Row],[ID]], Table2[ID],#REF!, "Not Found", 0)</f>
        <v>#REF!</v>
      </c>
      <c r="S1494" s="3" t="str">
        <f>_xlfn.XLOOKUP(Table1[[#This Row],[ID]], Table2[ID], Table2[Enrollment], "Not Found", 0)</f>
        <v>7/20/2019</v>
      </c>
      <c r="T1494" t="s">
        <v>438</v>
      </c>
    </row>
    <row r="1495" spans="1:20" x14ac:dyDescent="0.3">
      <c r="A1495">
        <v>1903</v>
      </c>
      <c r="B1495">
        <v>139858</v>
      </c>
      <c r="C1495">
        <v>1</v>
      </c>
      <c r="D1495">
        <v>0</v>
      </c>
      <c r="E1495">
        <v>51</v>
      </c>
      <c r="F1495">
        <v>0</v>
      </c>
      <c r="G1495">
        <v>0</v>
      </c>
      <c r="H1495">
        <v>1</v>
      </c>
      <c r="I1495">
        <v>0</v>
      </c>
      <c r="J1495">
        <v>0</v>
      </c>
      <c r="K1495">
        <v>0</v>
      </c>
      <c r="L1495">
        <v>0</v>
      </c>
      <c r="M1495">
        <v>1</v>
      </c>
      <c r="N1495">
        <v>0</v>
      </c>
      <c r="O1495" t="str" cm="1">
        <f t="array" ref="O1495">_xlfn.IFS(Table1[[#This Row],[Divorced]]=1, "Divorced", Table1[[#This Row],[Married]]=1, "Married", Table1[[#This Row],[Single]]=1, "Single", Table1[[#This Row],[Together]]=1, "Together", Table1[[#This Row],[Widow]]=1, "Widow")</f>
        <v>Single</v>
      </c>
      <c r="P1495" t="str" cm="1">
        <f t="array" ref="P1495">_xlfn.IFS(Table1[[#This Row],[Basic]]=1, "Basic", Table1[[#This Row],[Graduate]]=1, "Graduate", Table1[[#This Row],[Master]]=1, "Master", Table1[[#This Row],[PhD]]=1, "PhD", AND(Table1[[#This Row],[Basic]]=0, Table1[[#This Row],[Graduate]]=0, Table1[[#This Row],[Master]]=0, Table1[[#This Row],[PhD]]=0), "NA")</f>
        <v>Master</v>
      </c>
      <c r="Q1495" t="e">
        <f>_xlfn.XLOOKUP(Table1[[#This Row],[ID]], Table2[ID],#REF!, "Not Found", 0)</f>
        <v>#REF!</v>
      </c>
      <c r="R1495" t="e">
        <f>_xlfn.XLOOKUP(Table1[[#This Row],[ID]], Table2[ID],#REF!, "Not Found", 0)</f>
        <v>#REF!</v>
      </c>
      <c r="S1495" s="3">
        <f>_xlfn.XLOOKUP(Table1[[#This Row],[ID]], Table2[ID], Table2[Enrollment], "Not Found", 0)</f>
        <v>43472</v>
      </c>
      <c r="T1495" t="s">
        <v>437</v>
      </c>
    </row>
    <row r="1496" spans="1:20" x14ac:dyDescent="0.3">
      <c r="A1496">
        <v>2966</v>
      </c>
      <c r="B1496">
        <v>139791</v>
      </c>
      <c r="C1496">
        <v>0</v>
      </c>
      <c r="D1496">
        <v>1</v>
      </c>
      <c r="E1496">
        <v>49</v>
      </c>
      <c r="F1496">
        <v>0</v>
      </c>
      <c r="G1496">
        <v>1</v>
      </c>
      <c r="H1496">
        <v>0</v>
      </c>
      <c r="I1496">
        <v>0</v>
      </c>
      <c r="J1496">
        <v>0</v>
      </c>
      <c r="K1496">
        <v>0</v>
      </c>
      <c r="L1496">
        <v>0</v>
      </c>
      <c r="M1496">
        <v>1</v>
      </c>
      <c r="N1496">
        <v>0</v>
      </c>
      <c r="O1496" t="str" cm="1">
        <f t="array" ref="O1496">_xlfn.IFS(Table1[[#This Row],[Divorced]]=1, "Divorced", Table1[[#This Row],[Married]]=1, "Married", Table1[[#This Row],[Single]]=1, "Single", Table1[[#This Row],[Together]]=1, "Together", Table1[[#This Row],[Widow]]=1, "Widow")</f>
        <v>Married</v>
      </c>
      <c r="P1496" t="str" cm="1">
        <f t="array" ref="P1496">_xlfn.IFS(Table1[[#This Row],[Basic]]=1, "Basic", Table1[[#This Row],[Graduate]]=1, "Graduate", Table1[[#This Row],[Master]]=1, "Master", Table1[[#This Row],[PhD]]=1, "PhD", AND(Table1[[#This Row],[Basic]]=0, Table1[[#This Row],[Graduate]]=0, Table1[[#This Row],[Master]]=0, Table1[[#This Row],[PhD]]=0), "NA")</f>
        <v>Master</v>
      </c>
      <c r="Q1496" t="e">
        <f>_xlfn.XLOOKUP(Table1[[#This Row],[ID]], Table2[ID],#REF!, "Not Found", 0)</f>
        <v>#REF!</v>
      </c>
      <c r="R1496" t="e">
        <f>_xlfn.XLOOKUP(Table1[[#This Row],[ID]], Table2[ID],#REF!, "Not Found", 0)</f>
        <v>#REF!</v>
      </c>
      <c r="S1496" s="3">
        <f>_xlfn.XLOOKUP(Table1[[#This Row],[ID]], Table2[ID], Table2[Enrollment], "Not Found", 0)</f>
        <v>43505</v>
      </c>
      <c r="T1496" t="s">
        <v>438</v>
      </c>
    </row>
    <row r="1497" spans="1:20" x14ac:dyDescent="0.3">
      <c r="A1497">
        <v>1929</v>
      </c>
      <c r="B1497">
        <v>139771</v>
      </c>
      <c r="C1497">
        <v>1</v>
      </c>
      <c r="D1497">
        <v>0</v>
      </c>
      <c r="E1497">
        <v>43</v>
      </c>
      <c r="F1497">
        <v>0</v>
      </c>
      <c r="G1497">
        <v>0</v>
      </c>
      <c r="H1497">
        <v>0</v>
      </c>
      <c r="I1497">
        <v>1</v>
      </c>
      <c r="J1497">
        <v>0</v>
      </c>
      <c r="K1497">
        <v>0</v>
      </c>
      <c r="L1497">
        <v>1</v>
      </c>
      <c r="M1497">
        <v>0</v>
      </c>
      <c r="N1497">
        <v>0</v>
      </c>
      <c r="O1497" t="str" cm="1">
        <f t="array" ref="O1497">_xlfn.IFS(Table1[[#This Row],[Divorced]]=1, "Divorced", Table1[[#This Row],[Married]]=1, "Married", Table1[[#This Row],[Single]]=1, "Single", Table1[[#This Row],[Together]]=1, "Together", Table1[[#This Row],[Widow]]=1, "Widow")</f>
        <v>Together</v>
      </c>
      <c r="P1497" t="str" cm="1">
        <f t="array" ref="P1497">_xlfn.IFS(Table1[[#This Row],[Basic]]=1, "Basic", Table1[[#This Row],[Graduate]]=1, "Graduate", Table1[[#This Row],[Master]]=1, "Master", Table1[[#This Row],[PhD]]=1, "PhD", AND(Table1[[#This Row],[Basic]]=0, Table1[[#This Row],[Graduate]]=0, Table1[[#This Row],[Master]]=0, Table1[[#This Row],[PhD]]=0), "NA")</f>
        <v>Graduate</v>
      </c>
      <c r="Q1497" t="e">
        <f>_xlfn.XLOOKUP(Table1[[#This Row],[ID]], Table2[ID],#REF!, "Not Found", 0)</f>
        <v>#REF!</v>
      </c>
      <c r="R1497" t="e">
        <f>_xlfn.XLOOKUP(Table1[[#This Row],[ID]], Table2[ID],#REF!, "Not Found", 0)</f>
        <v>#REF!</v>
      </c>
      <c r="S1497" s="3">
        <f>_xlfn.XLOOKUP(Table1[[#This Row],[ID]], Table2[ID], Table2[Enrollment], "Not Found", 0)</f>
        <v>44170</v>
      </c>
      <c r="T1497" t="s">
        <v>435</v>
      </c>
    </row>
    <row r="1498" spans="1:20" x14ac:dyDescent="0.3">
      <c r="A1498">
        <v>2264</v>
      </c>
      <c r="B1498">
        <v>139767</v>
      </c>
      <c r="C1498">
        <v>0</v>
      </c>
      <c r="D1498">
        <v>0</v>
      </c>
      <c r="E1498">
        <v>69</v>
      </c>
      <c r="F1498">
        <v>0</v>
      </c>
      <c r="G1498">
        <v>0</v>
      </c>
      <c r="H1498">
        <v>0</v>
      </c>
      <c r="I1498">
        <v>1</v>
      </c>
      <c r="J1498">
        <v>0</v>
      </c>
      <c r="K1498">
        <v>0</v>
      </c>
      <c r="L1498">
        <v>0</v>
      </c>
      <c r="M1498">
        <v>1</v>
      </c>
      <c r="N1498">
        <v>0</v>
      </c>
      <c r="O1498" t="str" cm="1">
        <f t="array" ref="O1498">_xlfn.IFS(Table1[[#This Row],[Divorced]]=1, "Divorced", Table1[[#This Row],[Married]]=1, "Married", Table1[[#This Row],[Single]]=1, "Single", Table1[[#This Row],[Together]]=1, "Together", Table1[[#This Row],[Widow]]=1, "Widow")</f>
        <v>Together</v>
      </c>
      <c r="P1498" t="str" cm="1">
        <f t="array" ref="P1498">_xlfn.IFS(Table1[[#This Row],[Basic]]=1, "Basic", Table1[[#This Row],[Graduate]]=1, "Graduate", Table1[[#This Row],[Master]]=1, "Master", Table1[[#This Row],[PhD]]=1, "PhD", AND(Table1[[#This Row],[Basic]]=0, Table1[[#This Row],[Graduate]]=0, Table1[[#This Row],[Master]]=0, Table1[[#This Row],[PhD]]=0), "NA")</f>
        <v>Master</v>
      </c>
      <c r="Q1498" t="e">
        <f>_xlfn.XLOOKUP(Table1[[#This Row],[ID]], Table2[ID],#REF!, "Not Found", 0)</f>
        <v>#REF!</v>
      </c>
      <c r="R1498" t="e">
        <f>_xlfn.XLOOKUP(Table1[[#This Row],[ID]], Table2[ID],#REF!, "Not Found", 0)</f>
        <v>#REF!</v>
      </c>
      <c r="S1498" s="3" t="str">
        <f>_xlfn.XLOOKUP(Table1[[#This Row],[ID]], Table2[ID], Table2[Enrollment], "Not Found", 0)</f>
        <v>12/26/2019</v>
      </c>
      <c r="T1498" t="s">
        <v>438</v>
      </c>
    </row>
    <row r="1499" spans="1:20" x14ac:dyDescent="0.3">
      <c r="A1499">
        <v>2732</v>
      </c>
      <c r="B1499">
        <v>139763</v>
      </c>
      <c r="C1499">
        <v>1</v>
      </c>
      <c r="D1499">
        <v>0</v>
      </c>
      <c r="E1499">
        <v>49</v>
      </c>
      <c r="F1499">
        <v>0</v>
      </c>
      <c r="G1499">
        <v>0</v>
      </c>
      <c r="H1499">
        <v>1</v>
      </c>
      <c r="I1499">
        <v>0</v>
      </c>
      <c r="J1499">
        <v>0</v>
      </c>
      <c r="K1499">
        <v>0</v>
      </c>
      <c r="L1499">
        <v>0</v>
      </c>
      <c r="M1499">
        <v>1</v>
      </c>
      <c r="N1499">
        <v>0</v>
      </c>
      <c r="O1499" t="str" cm="1">
        <f t="array" ref="O1499">_xlfn.IFS(Table1[[#This Row],[Divorced]]=1, "Divorced", Table1[[#This Row],[Married]]=1, "Married", Table1[[#This Row],[Single]]=1, "Single", Table1[[#This Row],[Together]]=1, "Together", Table1[[#This Row],[Widow]]=1, "Widow")</f>
        <v>Single</v>
      </c>
      <c r="P1499" t="str" cm="1">
        <f t="array" ref="P1499">_xlfn.IFS(Table1[[#This Row],[Basic]]=1, "Basic", Table1[[#This Row],[Graduate]]=1, "Graduate", Table1[[#This Row],[Master]]=1, "Master", Table1[[#This Row],[PhD]]=1, "PhD", AND(Table1[[#This Row],[Basic]]=0, Table1[[#This Row],[Graduate]]=0, Table1[[#This Row],[Master]]=0, Table1[[#This Row],[PhD]]=0), "NA")</f>
        <v>Master</v>
      </c>
      <c r="Q1499" t="e">
        <f>_xlfn.XLOOKUP(Table1[[#This Row],[ID]], Table2[ID],#REF!, "Not Found", 0)</f>
        <v>#REF!</v>
      </c>
      <c r="R1499" t="e">
        <f>_xlfn.XLOOKUP(Table1[[#This Row],[ID]], Table2[ID],#REF!, "Not Found", 0)</f>
        <v>#REF!</v>
      </c>
      <c r="S1499" s="3">
        <f>_xlfn.XLOOKUP(Table1[[#This Row],[ID]], Table2[ID], Table2[Enrollment], "Not Found", 0)</f>
        <v>44075</v>
      </c>
      <c r="T1499" t="s">
        <v>438</v>
      </c>
    </row>
    <row r="1500" spans="1:20" x14ac:dyDescent="0.3">
      <c r="A1500">
        <v>1290</v>
      </c>
      <c r="B1500">
        <v>139747</v>
      </c>
      <c r="C1500">
        <v>1</v>
      </c>
      <c r="D1500">
        <v>0</v>
      </c>
      <c r="E1500">
        <v>32</v>
      </c>
      <c r="F1500">
        <v>0</v>
      </c>
      <c r="G1500">
        <v>0</v>
      </c>
      <c r="H1500">
        <v>1</v>
      </c>
      <c r="I1500">
        <v>0</v>
      </c>
      <c r="J1500">
        <v>0</v>
      </c>
      <c r="K1500">
        <v>0</v>
      </c>
      <c r="L1500">
        <v>1</v>
      </c>
      <c r="M1500">
        <v>0</v>
      </c>
      <c r="N1500">
        <v>0</v>
      </c>
      <c r="O1500" t="str" cm="1">
        <f t="array" ref="O1500">_xlfn.IFS(Table1[[#This Row],[Divorced]]=1, "Divorced", Table1[[#This Row],[Married]]=1, "Married", Table1[[#This Row],[Single]]=1, "Single", Table1[[#This Row],[Together]]=1, "Together", Table1[[#This Row],[Widow]]=1, "Widow")</f>
        <v>Single</v>
      </c>
      <c r="P1500" t="str" cm="1">
        <f t="array" ref="P1500">_xlfn.IFS(Table1[[#This Row],[Basic]]=1, "Basic", Table1[[#This Row],[Graduate]]=1, "Graduate", Table1[[#This Row],[Master]]=1, "Master", Table1[[#This Row],[PhD]]=1, "PhD", AND(Table1[[#This Row],[Basic]]=0, Table1[[#This Row],[Graduate]]=0, Table1[[#This Row],[Master]]=0, Table1[[#This Row],[PhD]]=0), "NA")</f>
        <v>Graduate</v>
      </c>
      <c r="Q1500" t="e">
        <f>_xlfn.XLOOKUP(Table1[[#This Row],[ID]], Table2[ID],#REF!, "Not Found", 0)</f>
        <v>#REF!</v>
      </c>
      <c r="R1500" t="e">
        <f>_xlfn.XLOOKUP(Table1[[#This Row],[ID]], Table2[ID],#REF!, "Not Found", 0)</f>
        <v>#REF!</v>
      </c>
      <c r="S1500" s="3" t="str">
        <f>_xlfn.XLOOKUP(Table1[[#This Row],[ID]], Table2[ID], Table2[Enrollment], "Not Found", 0)</f>
        <v>9/17/2020</v>
      </c>
      <c r="T1500" t="s">
        <v>436</v>
      </c>
    </row>
    <row r="1501" spans="1:20" x14ac:dyDescent="0.3">
      <c r="A1501">
        <v>2054</v>
      </c>
      <c r="B1501">
        <v>139722</v>
      </c>
      <c r="C1501">
        <v>0</v>
      </c>
      <c r="D1501">
        <v>1</v>
      </c>
      <c r="E1501">
        <v>67</v>
      </c>
      <c r="F1501">
        <v>0</v>
      </c>
      <c r="G1501">
        <v>1</v>
      </c>
      <c r="H1501">
        <v>0</v>
      </c>
      <c r="I1501">
        <v>0</v>
      </c>
      <c r="J1501">
        <v>0</v>
      </c>
      <c r="K1501">
        <v>0</v>
      </c>
      <c r="L1501">
        <v>1</v>
      </c>
      <c r="M1501">
        <v>0</v>
      </c>
      <c r="N1501">
        <v>0</v>
      </c>
      <c r="O1501" t="str" cm="1">
        <f t="array" ref="O1501">_xlfn.IFS(Table1[[#This Row],[Divorced]]=1, "Divorced", Table1[[#This Row],[Married]]=1, "Married", Table1[[#This Row],[Single]]=1, "Single", Table1[[#This Row],[Together]]=1, "Together", Table1[[#This Row],[Widow]]=1, "Widow")</f>
        <v>Married</v>
      </c>
      <c r="P1501" t="str" cm="1">
        <f t="array" ref="P1501">_xlfn.IFS(Table1[[#This Row],[Basic]]=1, "Basic", Table1[[#This Row],[Graduate]]=1, "Graduate", Table1[[#This Row],[Master]]=1, "Master", Table1[[#This Row],[PhD]]=1, "PhD", AND(Table1[[#This Row],[Basic]]=0, Table1[[#This Row],[Graduate]]=0, Table1[[#This Row],[Master]]=0, Table1[[#This Row],[PhD]]=0), "NA")</f>
        <v>Graduate</v>
      </c>
      <c r="Q1501" t="e">
        <f>_xlfn.XLOOKUP(Table1[[#This Row],[ID]], Table2[ID],#REF!, "Not Found", 0)</f>
        <v>#REF!</v>
      </c>
      <c r="R1501" t="e">
        <f>_xlfn.XLOOKUP(Table1[[#This Row],[ID]], Table2[ID],#REF!, "Not Found", 0)</f>
        <v>#REF!</v>
      </c>
      <c r="S1501" s="3" t="str">
        <f>_xlfn.XLOOKUP(Table1[[#This Row],[ID]], Table2[ID], Table2[Enrollment], "Not Found", 0)</f>
        <v>7/31/2020</v>
      </c>
      <c r="T1501" t="s">
        <v>438</v>
      </c>
    </row>
    <row r="1502" spans="1:20" x14ac:dyDescent="0.3">
      <c r="A1502">
        <v>1574</v>
      </c>
      <c r="B1502">
        <v>139684</v>
      </c>
      <c r="C1502">
        <v>1</v>
      </c>
      <c r="D1502">
        <v>0</v>
      </c>
      <c r="E1502">
        <v>36</v>
      </c>
      <c r="F1502">
        <v>0</v>
      </c>
      <c r="G1502">
        <v>0</v>
      </c>
      <c r="H1502">
        <v>1</v>
      </c>
      <c r="I1502">
        <v>0</v>
      </c>
      <c r="J1502">
        <v>0</v>
      </c>
      <c r="K1502">
        <v>0</v>
      </c>
      <c r="L1502">
        <v>0</v>
      </c>
      <c r="M1502">
        <v>0</v>
      </c>
      <c r="N1502">
        <v>1</v>
      </c>
      <c r="O1502" t="str" cm="1">
        <f t="array" ref="O1502">_xlfn.IFS(Table1[[#This Row],[Divorced]]=1, "Divorced", Table1[[#This Row],[Married]]=1, "Married", Table1[[#This Row],[Single]]=1, "Single", Table1[[#This Row],[Together]]=1, "Together", Table1[[#This Row],[Widow]]=1, "Widow")</f>
        <v>Single</v>
      </c>
      <c r="P1502" t="str" cm="1">
        <f t="array" ref="P1502">_xlfn.IFS(Table1[[#This Row],[Basic]]=1, "Basic", Table1[[#This Row],[Graduate]]=1, "Graduate", Table1[[#This Row],[Master]]=1, "Master", Table1[[#This Row],[PhD]]=1, "PhD", AND(Table1[[#This Row],[Basic]]=0, Table1[[#This Row],[Graduate]]=0, Table1[[#This Row],[Master]]=0, Table1[[#This Row],[PhD]]=0), "NA")</f>
        <v>PhD</v>
      </c>
      <c r="Q1502" t="e">
        <f>_xlfn.XLOOKUP(Table1[[#This Row],[ID]], Table2[ID],#REF!, "Not Found", 0)</f>
        <v>#REF!</v>
      </c>
      <c r="R1502" t="e">
        <f>_xlfn.XLOOKUP(Table1[[#This Row],[ID]], Table2[ID],#REF!, "Not Found", 0)</f>
        <v>#REF!</v>
      </c>
      <c r="S1502" s="3" t="str">
        <f>_xlfn.XLOOKUP(Table1[[#This Row],[ID]], Table2[ID], Table2[Enrollment], "Not Found", 0)</f>
        <v>3/19/2019</v>
      </c>
      <c r="T1502" t="s">
        <v>438</v>
      </c>
    </row>
    <row r="1503" spans="1:20" x14ac:dyDescent="0.3">
      <c r="A1503">
        <v>1494</v>
      </c>
      <c r="B1503">
        <v>139665</v>
      </c>
      <c r="C1503">
        <v>1</v>
      </c>
      <c r="D1503">
        <v>0</v>
      </c>
      <c r="E1503">
        <v>39</v>
      </c>
      <c r="F1503">
        <v>0</v>
      </c>
      <c r="G1503">
        <v>0</v>
      </c>
      <c r="H1503">
        <v>0</v>
      </c>
      <c r="I1503">
        <v>1</v>
      </c>
      <c r="J1503">
        <v>0</v>
      </c>
      <c r="K1503">
        <v>0</v>
      </c>
      <c r="L1503">
        <v>0</v>
      </c>
      <c r="M1503">
        <v>0</v>
      </c>
      <c r="N1503">
        <v>1</v>
      </c>
      <c r="O1503" t="str" cm="1">
        <f t="array" ref="O1503">_xlfn.IFS(Table1[[#This Row],[Divorced]]=1, "Divorced", Table1[[#This Row],[Married]]=1, "Married", Table1[[#This Row],[Single]]=1, "Single", Table1[[#This Row],[Together]]=1, "Together", Table1[[#This Row],[Widow]]=1, "Widow")</f>
        <v>Together</v>
      </c>
      <c r="P1503" t="str" cm="1">
        <f t="array" ref="P1503">_xlfn.IFS(Table1[[#This Row],[Basic]]=1, "Basic", Table1[[#This Row],[Graduate]]=1, "Graduate", Table1[[#This Row],[Master]]=1, "Master", Table1[[#This Row],[PhD]]=1, "PhD", AND(Table1[[#This Row],[Basic]]=0, Table1[[#This Row],[Graduate]]=0, Table1[[#This Row],[Master]]=0, Table1[[#This Row],[PhD]]=0), "NA")</f>
        <v>PhD</v>
      </c>
      <c r="Q1503" t="e">
        <f>_xlfn.XLOOKUP(Table1[[#This Row],[ID]], Table2[ID],#REF!, "Not Found", 0)</f>
        <v>#REF!</v>
      </c>
      <c r="R1503" t="e">
        <f>_xlfn.XLOOKUP(Table1[[#This Row],[ID]], Table2[ID],#REF!, "Not Found", 0)</f>
        <v>#REF!</v>
      </c>
      <c r="S1503" s="3" t="str">
        <f>_xlfn.XLOOKUP(Table1[[#This Row],[ID]], Table2[ID], Table2[Enrollment], "Not Found", 0)</f>
        <v>10/30/2019</v>
      </c>
      <c r="T1503" t="s">
        <v>436</v>
      </c>
    </row>
    <row r="1504" spans="1:20" x14ac:dyDescent="0.3">
      <c r="A1504">
        <v>2319</v>
      </c>
      <c r="B1504">
        <v>139660</v>
      </c>
      <c r="C1504">
        <v>1</v>
      </c>
      <c r="D1504">
        <v>0</v>
      </c>
      <c r="E1504">
        <v>38</v>
      </c>
      <c r="F1504">
        <v>0</v>
      </c>
      <c r="G1504">
        <v>0</v>
      </c>
      <c r="H1504">
        <v>1</v>
      </c>
      <c r="I1504">
        <v>0</v>
      </c>
      <c r="J1504">
        <v>0</v>
      </c>
      <c r="K1504">
        <v>0</v>
      </c>
      <c r="L1504">
        <v>1</v>
      </c>
      <c r="M1504">
        <v>0</v>
      </c>
      <c r="N1504">
        <v>0</v>
      </c>
      <c r="O1504" t="str" cm="1">
        <f t="array" ref="O1504">_xlfn.IFS(Table1[[#This Row],[Divorced]]=1, "Divorced", Table1[[#This Row],[Married]]=1, "Married", Table1[[#This Row],[Single]]=1, "Single", Table1[[#This Row],[Together]]=1, "Together", Table1[[#This Row],[Widow]]=1, "Widow")</f>
        <v>Single</v>
      </c>
      <c r="P1504" t="str" cm="1">
        <f t="array" ref="P1504">_xlfn.IFS(Table1[[#This Row],[Basic]]=1, "Basic", Table1[[#This Row],[Graduate]]=1, "Graduate", Table1[[#This Row],[Master]]=1, "Master", Table1[[#This Row],[PhD]]=1, "PhD", AND(Table1[[#This Row],[Basic]]=0, Table1[[#This Row],[Graduate]]=0, Table1[[#This Row],[Master]]=0, Table1[[#This Row],[PhD]]=0), "NA")</f>
        <v>Graduate</v>
      </c>
      <c r="Q1504" t="e">
        <f>_xlfn.XLOOKUP(Table1[[#This Row],[ID]], Table2[ID],#REF!, "Not Found", 0)</f>
        <v>#REF!</v>
      </c>
      <c r="R1504" t="e">
        <f>_xlfn.XLOOKUP(Table1[[#This Row],[ID]], Table2[ID],#REF!, "Not Found", 0)</f>
        <v>#REF!</v>
      </c>
      <c r="S1504" s="3" t="str">
        <f>_xlfn.XLOOKUP(Table1[[#This Row],[ID]], Table2[ID], Table2[Enrollment], "Not Found", 0)</f>
        <v>1/13/2019</v>
      </c>
      <c r="T1504" t="s">
        <v>435</v>
      </c>
    </row>
    <row r="1505" spans="1:20" x14ac:dyDescent="0.3">
      <c r="A1505">
        <v>2106</v>
      </c>
      <c r="B1505">
        <v>139552</v>
      </c>
      <c r="C1505">
        <v>1</v>
      </c>
      <c r="D1505">
        <v>1</v>
      </c>
      <c r="E1505">
        <v>58</v>
      </c>
      <c r="F1505">
        <v>1</v>
      </c>
      <c r="G1505">
        <v>0</v>
      </c>
      <c r="H1505">
        <v>0</v>
      </c>
      <c r="I1505">
        <v>0</v>
      </c>
      <c r="J1505">
        <v>0</v>
      </c>
      <c r="K1505">
        <v>0</v>
      </c>
      <c r="L1505">
        <v>1</v>
      </c>
      <c r="M1505">
        <v>0</v>
      </c>
      <c r="N1505">
        <v>0</v>
      </c>
      <c r="O1505" t="str" cm="1">
        <f t="array" ref="O1505">_xlfn.IFS(Table1[[#This Row],[Divorced]]=1, "Divorced", Table1[[#This Row],[Married]]=1, "Married", Table1[[#This Row],[Single]]=1, "Single", Table1[[#This Row],[Together]]=1, "Together", Table1[[#This Row],[Widow]]=1, "Widow")</f>
        <v>Divorced</v>
      </c>
      <c r="P1505" t="str" cm="1">
        <f t="array" ref="P1505">_xlfn.IFS(Table1[[#This Row],[Basic]]=1, "Basic", Table1[[#This Row],[Graduate]]=1, "Graduate", Table1[[#This Row],[Master]]=1, "Master", Table1[[#This Row],[PhD]]=1, "PhD", AND(Table1[[#This Row],[Basic]]=0, Table1[[#This Row],[Graduate]]=0, Table1[[#This Row],[Master]]=0, Table1[[#This Row],[PhD]]=0), "NA")</f>
        <v>Graduate</v>
      </c>
      <c r="Q1505" t="e">
        <f>_xlfn.XLOOKUP(Table1[[#This Row],[ID]], Table2[ID],#REF!, "Not Found", 0)</f>
        <v>#REF!</v>
      </c>
      <c r="R1505" t="e">
        <f>_xlfn.XLOOKUP(Table1[[#This Row],[ID]], Table2[ID],#REF!, "Not Found", 0)</f>
        <v>#REF!</v>
      </c>
      <c r="S1505" s="3" t="str">
        <f>_xlfn.XLOOKUP(Table1[[#This Row],[ID]], Table2[ID], Table2[Enrollment], "Not Found", 0)</f>
        <v>5/25/2019</v>
      </c>
      <c r="T1505" t="s">
        <v>436</v>
      </c>
    </row>
    <row r="1506" spans="1:20" x14ac:dyDescent="0.3">
      <c r="A1506">
        <v>1534</v>
      </c>
      <c r="B1506">
        <v>139548</v>
      </c>
      <c r="C1506">
        <v>1</v>
      </c>
      <c r="D1506">
        <v>1</v>
      </c>
      <c r="E1506">
        <v>57</v>
      </c>
      <c r="F1506">
        <v>0</v>
      </c>
      <c r="G1506">
        <v>0</v>
      </c>
      <c r="H1506">
        <v>1</v>
      </c>
      <c r="I1506">
        <v>0</v>
      </c>
      <c r="J1506">
        <v>0</v>
      </c>
      <c r="K1506">
        <v>0</v>
      </c>
      <c r="L1506">
        <v>0</v>
      </c>
      <c r="M1506">
        <v>0</v>
      </c>
      <c r="N1506">
        <v>0</v>
      </c>
      <c r="O1506" t="str" cm="1">
        <f t="array" ref="O1506">_xlfn.IFS(Table1[[#This Row],[Divorced]]=1, "Divorced", Table1[[#This Row],[Married]]=1, "Married", Table1[[#This Row],[Single]]=1, "Single", Table1[[#This Row],[Together]]=1, "Together", Table1[[#This Row],[Widow]]=1, "Widow")</f>
        <v>Single</v>
      </c>
      <c r="P1506" t="str" cm="1">
        <f t="array" ref="P1506">_xlfn.IFS(Table1[[#This Row],[Basic]]=1, "Basic", Table1[[#This Row],[Graduate]]=1, "Graduate", Table1[[#This Row],[Master]]=1, "Master", Table1[[#This Row],[PhD]]=1, "PhD", AND(Table1[[#This Row],[Basic]]=0, Table1[[#This Row],[Graduate]]=0, Table1[[#This Row],[Master]]=0, Table1[[#This Row],[PhD]]=0), "NA")</f>
        <v>NA</v>
      </c>
      <c r="Q1506" t="e">
        <f>_xlfn.XLOOKUP(Table1[[#This Row],[ID]], Table2[ID],#REF!, "Not Found", 0)</f>
        <v>#REF!</v>
      </c>
      <c r="R1506" t="e">
        <f>_xlfn.XLOOKUP(Table1[[#This Row],[ID]], Table2[ID],#REF!, "Not Found", 0)</f>
        <v>#REF!</v>
      </c>
      <c r="S1506" s="3">
        <f>_xlfn.XLOOKUP(Table1[[#This Row],[ID]], Table2[ID], Table2[Enrollment], "Not Found", 0)</f>
        <v>43930</v>
      </c>
      <c r="T1506" t="s">
        <v>439</v>
      </c>
    </row>
    <row r="1507" spans="1:20" x14ac:dyDescent="0.3">
      <c r="A1507">
        <v>1568</v>
      </c>
      <c r="B1507">
        <v>139453</v>
      </c>
      <c r="C1507">
        <v>1</v>
      </c>
      <c r="D1507">
        <v>0</v>
      </c>
      <c r="E1507">
        <v>37</v>
      </c>
      <c r="F1507">
        <v>0</v>
      </c>
      <c r="G1507">
        <v>0</v>
      </c>
      <c r="H1507">
        <v>0</v>
      </c>
      <c r="I1507">
        <v>1</v>
      </c>
      <c r="J1507">
        <v>0</v>
      </c>
      <c r="K1507">
        <v>0</v>
      </c>
      <c r="L1507">
        <v>1</v>
      </c>
      <c r="M1507">
        <v>0</v>
      </c>
      <c r="N1507">
        <v>0</v>
      </c>
      <c r="O1507" t="str" cm="1">
        <f t="array" ref="O1507">_xlfn.IFS(Table1[[#This Row],[Divorced]]=1, "Divorced", Table1[[#This Row],[Married]]=1, "Married", Table1[[#This Row],[Single]]=1, "Single", Table1[[#This Row],[Together]]=1, "Together", Table1[[#This Row],[Widow]]=1, "Widow")</f>
        <v>Together</v>
      </c>
      <c r="P1507" t="str" cm="1">
        <f t="array" ref="P1507">_xlfn.IFS(Table1[[#This Row],[Basic]]=1, "Basic", Table1[[#This Row],[Graduate]]=1, "Graduate", Table1[[#This Row],[Master]]=1, "Master", Table1[[#This Row],[PhD]]=1, "PhD", AND(Table1[[#This Row],[Basic]]=0, Table1[[#This Row],[Graduate]]=0, Table1[[#This Row],[Master]]=0, Table1[[#This Row],[PhD]]=0), "NA")</f>
        <v>Graduate</v>
      </c>
      <c r="Q1507" t="e">
        <f>_xlfn.XLOOKUP(Table1[[#This Row],[ID]], Table2[ID],#REF!, "Not Found", 0)</f>
        <v>#REF!</v>
      </c>
      <c r="R1507" t="e">
        <f>_xlfn.XLOOKUP(Table1[[#This Row],[ID]], Table2[ID],#REF!, "Not Found", 0)</f>
        <v>#REF!</v>
      </c>
      <c r="S1507" s="3">
        <f>_xlfn.XLOOKUP(Table1[[#This Row],[ID]], Table2[ID], Table2[Enrollment], "Not Found", 0)</f>
        <v>44021</v>
      </c>
      <c r="T1507" t="s">
        <v>438</v>
      </c>
    </row>
    <row r="1508" spans="1:20" x14ac:dyDescent="0.3">
      <c r="A1508">
        <v>2753</v>
      </c>
      <c r="B1508">
        <v>139435</v>
      </c>
      <c r="C1508">
        <v>1</v>
      </c>
      <c r="D1508">
        <v>0</v>
      </c>
      <c r="E1508">
        <v>47</v>
      </c>
      <c r="F1508">
        <v>0</v>
      </c>
      <c r="G1508">
        <v>0</v>
      </c>
      <c r="H1508">
        <v>0</v>
      </c>
      <c r="I1508">
        <v>1</v>
      </c>
      <c r="J1508">
        <v>0</v>
      </c>
      <c r="K1508">
        <v>0</v>
      </c>
      <c r="L1508">
        <v>0</v>
      </c>
      <c r="M1508">
        <v>0</v>
      </c>
      <c r="N1508">
        <v>1</v>
      </c>
      <c r="O1508" t="str" cm="1">
        <f t="array" ref="O1508">_xlfn.IFS(Table1[[#This Row],[Divorced]]=1, "Divorced", Table1[[#This Row],[Married]]=1, "Married", Table1[[#This Row],[Single]]=1, "Single", Table1[[#This Row],[Together]]=1, "Together", Table1[[#This Row],[Widow]]=1, "Widow")</f>
        <v>Together</v>
      </c>
      <c r="P1508" t="str" cm="1">
        <f t="array" ref="P1508">_xlfn.IFS(Table1[[#This Row],[Basic]]=1, "Basic", Table1[[#This Row],[Graduate]]=1, "Graduate", Table1[[#This Row],[Master]]=1, "Master", Table1[[#This Row],[PhD]]=1, "PhD", AND(Table1[[#This Row],[Basic]]=0, Table1[[#This Row],[Graduate]]=0, Table1[[#This Row],[Master]]=0, Table1[[#This Row],[PhD]]=0), "NA")</f>
        <v>PhD</v>
      </c>
      <c r="Q1508" t="e">
        <f>_xlfn.XLOOKUP(Table1[[#This Row],[ID]], Table2[ID],#REF!, "Not Found", 0)</f>
        <v>#REF!</v>
      </c>
      <c r="R1508" t="e">
        <f>_xlfn.XLOOKUP(Table1[[#This Row],[ID]], Table2[ID],#REF!, "Not Found", 0)</f>
        <v>#REF!</v>
      </c>
      <c r="S1508" s="3">
        <f>_xlfn.XLOOKUP(Table1[[#This Row],[ID]], Table2[ID], Table2[Enrollment], "Not Found", 0)</f>
        <v>44136</v>
      </c>
      <c r="T1508" t="s">
        <v>434</v>
      </c>
    </row>
    <row r="1509" spans="1:20" x14ac:dyDescent="0.3">
      <c r="A1509">
        <v>2239</v>
      </c>
      <c r="B1509">
        <v>139356</v>
      </c>
      <c r="C1509">
        <v>1</v>
      </c>
      <c r="D1509">
        <v>1</v>
      </c>
      <c r="E1509">
        <v>44</v>
      </c>
      <c r="F1509">
        <v>0</v>
      </c>
      <c r="G1509">
        <v>1</v>
      </c>
      <c r="H1509">
        <v>0</v>
      </c>
      <c r="I1509">
        <v>0</v>
      </c>
      <c r="J1509">
        <v>0</v>
      </c>
      <c r="K1509">
        <v>0</v>
      </c>
      <c r="L1509">
        <v>1</v>
      </c>
      <c r="M1509">
        <v>0</v>
      </c>
      <c r="N1509">
        <v>0</v>
      </c>
      <c r="O1509" t="str" cm="1">
        <f t="array" ref="O1509">_xlfn.IFS(Table1[[#This Row],[Divorced]]=1, "Divorced", Table1[[#This Row],[Married]]=1, "Married", Table1[[#This Row],[Single]]=1, "Single", Table1[[#This Row],[Together]]=1, "Together", Table1[[#This Row],[Widow]]=1, "Widow")</f>
        <v>Married</v>
      </c>
      <c r="P1509" t="str" cm="1">
        <f t="array" ref="P1509">_xlfn.IFS(Table1[[#This Row],[Basic]]=1, "Basic", Table1[[#This Row],[Graduate]]=1, "Graduate", Table1[[#This Row],[Master]]=1, "Master", Table1[[#This Row],[PhD]]=1, "PhD", AND(Table1[[#This Row],[Basic]]=0, Table1[[#This Row],[Graduate]]=0, Table1[[#This Row],[Master]]=0, Table1[[#This Row],[PhD]]=0), "NA")</f>
        <v>Graduate</v>
      </c>
      <c r="Q1509" t="e">
        <f>_xlfn.XLOOKUP(Table1[[#This Row],[ID]], Table2[ID],#REF!, "Not Found", 0)</f>
        <v>#REF!</v>
      </c>
      <c r="R1509" t="e">
        <f>_xlfn.XLOOKUP(Table1[[#This Row],[ID]], Table2[ID],#REF!, "Not Found", 0)</f>
        <v>#REF!</v>
      </c>
      <c r="S1509" s="3" t="str">
        <f>_xlfn.XLOOKUP(Table1[[#This Row],[ID]], Table2[ID], Table2[Enrollment], "Not Found", 0)</f>
        <v>8/23/2020</v>
      </c>
      <c r="T1509" t="s">
        <v>437</v>
      </c>
    </row>
    <row r="1510" spans="1:20" x14ac:dyDescent="0.3">
      <c r="A1510">
        <v>2621</v>
      </c>
      <c r="B1510">
        <v>139228</v>
      </c>
      <c r="C1510">
        <v>0</v>
      </c>
      <c r="D1510">
        <v>0</v>
      </c>
      <c r="E1510">
        <v>60</v>
      </c>
      <c r="F1510">
        <v>1</v>
      </c>
      <c r="G1510">
        <v>0</v>
      </c>
      <c r="H1510">
        <v>0</v>
      </c>
      <c r="I1510">
        <v>0</v>
      </c>
      <c r="J1510">
        <v>0</v>
      </c>
      <c r="K1510">
        <v>0</v>
      </c>
      <c r="L1510">
        <v>0</v>
      </c>
      <c r="M1510">
        <v>1</v>
      </c>
      <c r="N1510">
        <v>0</v>
      </c>
      <c r="O1510" t="str" cm="1">
        <f t="array" ref="O1510">_xlfn.IFS(Table1[[#This Row],[Divorced]]=1, "Divorced", Table1[[#This Row],[Married]]=1, "Married", Table1[[#This Row],[Single]]=1, "Single", Table1[[#This Row],[Together]]=1, "Together", Table1[[#This Row],[Widow]]=1, "Widow")</f>
        <v>Divorced</v>
      </c>
      <c r="P1510" t="str" cm="1">
        <f t="array" ref="P1510">_xlfn.IFS(Table1[[#This Row],[Basic]]=1, "Basic", Table1[[#This Row],[Graduate]]=1, "Graduate", Table1[[#This Row],[Master]]=1, "Master", Table1[[#This Row],[PhD]]=1, "PhD", AND(Table1[[#This Row],[Basic]]=0, Table1[[#This Row],[Graduate]]=0, Table1[[#This Row],[Master]]=0, Table1[[#This Row],[PhD]]=0), "NA")</f>
        <v>Master</v>
      </c>
      <c r="Q1510" t="e">
        <f>_xlfn.XLOOKUP(Table1[[#This Row],[ID]], Table2[ID],#REF!, "Not Found", 0)</f>
        <v>#REF!</v>
      </c>
      <c r="R1510" t="e">
        <f>_xlfn.XLOOKUP(Table1[[#This Row],[ID]], Table2[ID],#REF!, "Not Found", 0)</f>
        <v>#REF!</v>
      </c>
      <c r="S1510" s="3" t="str">
        <f>_xlfn.XLOOKUP(Table1[[#This Row],[ID]], Table2[ID], Table2[Enrollment], "Not Found", 0)</f>
        <v>10/15/2019</v>
      </c>
      <c r="T1510" t="s">
        <v>434</v>
      </c>
    </row>
    <row r="1511" spans="1:20" x14ac:dyDescent="0.3">
      <c r="A1511">
        <v>2072</v>
      </c>
      <c r="B1511">
        <v>139190</v>
      </c>
      <c r="C1511">
        <v>1</v>
      </c>
      <c r="D1511">
        <v>0</v>
      </c>
      <c r="E1511">
        <v>46</v>
      </c>
      <c r="F1511">
        <v>0</v>
      </c>
      <c r="G1511">
        <v>0</v>
      </c>
      <c r="H1511">
        <v>1</v>
      </c>
      <c r="I1511">
        <v>0</v>
      </c>
      <c r="J1511">
        <v>0</v>
      </c>
      <c r="K1511">
        <v>0</v>
      </c>
      <c r="L1511">
        <v>0</v>
      </c>
      <c r="M1511">
        <v>0</v>
      </c>
      <c r="N1511">
        <v>1</v>
      </c>
      <c r="O1511" t="str" cm="1">
        <f t="array" ref="O1511">_xlfn.IFS(Table1[[#This Row],[Divorced]]=1, "Divorced", Table1[[#This Row],[Married]]=1, "Married", Table1[[#This Row],[Single]]=1, "Single", Table1[[#This Row],[Together]]=1, "Together", Table1[[#This Row],[Widow]]=1, "Widow")</f>
        <v>Single</v>
      </c>
      <c r="P1511" t="str" cm="1">
        <f t="array" ref="P1511">_xlfn.IFS(Table1[[#This Row],[Basic]]=1, "Basic", Table1[[#This Row],[Graduate]]=1, "Graduate", Table1[[#This Row],[Master]]=1, "Master", Table1[[#This Row],[PhD]]=1, "PhD", AND(Table1[[#This Row],[Basic]]=0, Table1[[#This Row],[Graduate]]=0, Table1[[#This Row],[Master]]=0, Table1[[#This Row],[PhD]]=0), "NA")</f>
        <v>PhD</v>
      </c>
      <c r="Q1511" t="e">
        <f>_xlfn.XLOOKUP(Table1[[#This Row],[ID]], Table2[ID],#REF!, "Not Found", 0)</f>
        <v>#REF!</v>
      </c>
      <c r="R1511" t="e">
        <f>_xlfn.XLOOKUP(Table1[[#This Row],[ID]], Table2[ID],#REF!, "Not Found", 0)</f>
        <v>#REF!</v>
      </c>
      <c r="S1511" s="3" t="str">
        <f>_xlfn.XLOOKUP(Table1[[#This Row],[ID]], Table2[ID], Table2[Enrollment], "Not Found", 0)</f>
        <v>9/30/2020</v>
      </c>
      <c r="T1511" t="s">
        <v>438</v>
      </c>
    </row>
    <row r="1512" spans="1:20" x14ac:dyDescent="0.3">
      <c r="A1512">
        <v>2986</v>
      </c>
      <c r="B1512">
        <v>139146</v>
      </c>
      <c r="C1512">
        <v>1</v>
      </c>
      <c r="D1512">
        <v>0</v>
      </c>
      <c r="E1512">
        <v>34</v>
      </c>
      <c r="F1512">
        <v>0</v>
      </c>
      <c r="G1512">
        <v>0</v>
      </c>
      <c r="H1512">
        <v>1</v>
      </c>
      <c r="I1512">
        <v>0</v>
      </c>
      <c r="J1512">
        <v>0</v>
      </c>
      <c r="K1512">
        <v>0</v>
      </c>
      <c r="L1512">
        <v>1</v>
      </c>
      <c r="M1512">
        <v>0</v>
      </c>
      <c r="N1512">
        <v>0</v>
      </c>
      <c r="O1512" t="str" cm="1">
        <f t="array" ref="O1512">_xlfn.IFS(Table1[[#This Row],[Divorced]]=1, "Divorced", Table1[[#This Row],[Married]]=1, "Married", Table1[[#This Row],[Single]]=1, "Single", Table1[[#This Row],[Together]]=1, "Together", Table1[[#This Row],[Widow]]=1, "Widow")</f>
        <v>Single</v>
      </c>
      <c r="P1512" t="str" cm="1">
        <f t="array" ref="P1512">_xlfn.IFS(Table1[[#This Row],[Basic]]=1, "Basic", Table1[[#This Row],[Graduate]]=1, "Graduate", Table1[[#This Row],[Master]]=1, "Master", Table1[[#This Row],[PhD]]=1, "PhD", AND(Table1[[#This Row],[Basic]]=0, Table1[[#This Row],[Graduate]]=0, Table1[[#This Row],[Master]]=0, Table1[[#This Row],[PhD]]=0), "NA")</f>
        <v>Graduate</v>
      </c>
      <c r="Q1512" t="e">
        <f>_xlfn.XLOOKUP(Table1[[#This Row],[ID]], Table2[ID],#REF!, "Not Found", 0)</f>
        <v>#REF!</v>
      </c>
      <c r="R1512" t="e">
        <f>_xlfn.XLOOKUP(Table1[[#This Row],[ID]], Table2[ID],#REF!, "Not Found", 0)</f>
        <v>#REF!</v>
      </c>
      <c r="S1512" s="3" t="str">
        <f>_xlfn.XLOOKUP(Table1[[#This Row],[ID]], Table2[ID], Table2[Enrollment], "Not Found", 0)</f>
        <v>7/22/2019</v>
      </c>
      <c r="T1512" t="s">
        <v>439</v>
      </c>
    </row>
    <row r="1513" spans="1:20" x14ac:dyDescent="0.3">
      <c r="A1513">
        <v>2946</v>
      </c>
      <c r="B1513">
        <v>139062</v>
      </c>
      <c r="C1513">
        <v>1</v>
      </c>
      <c r="D1513">
        <v>0</v>
      </c>
      <c r="E1513">
        <v>37</v>
      </c>
      <c r="F1513">
        <v>0</v>
      </c>
      <c r="G1513">
        <v>0</v>
      </c>
      <c r="H1513">
        <v>1</v>
      </c>
      <c r="I1513">
        <v>0</v>
      </c>
      <c r="J1513">
        <v>0</v>
      </c>
      <c r="K1513">
        <v>0</v>
      </c>
      <c r="L1513">
        <v>1</v>
      </c>
      <c r="M1513">
        <v>0</v>
      </c>
      <c r="N1513">
        <v>0</v>
      </c>
      <c r="O1513" t="str" cm="1">
        <f t="array" ref="O1513">_xlfn.IFS(Table1[[#This Row],[Divorced]]=1, "Divorced", Table1[[#This Row],[Married]]=1, "Married", Table1[[#This Row],[Single]]=1, "Single", Table1[[#This Row],[Together]]=1, "Together", Table1[[#This Row],[Widow]]=1, "Widow")</f>
        <v>Single</v>
      </c>
      <c r="P1513" t="str" cm="1">
        <f t="array" ref="P1513">_xlfn.IFS(Table1[[#This Row],[Basic]]=1, "Basic", Table1[[#This Row],[Graduate]]=1, "Graduate", Table1[[#This Row],[Master]]=1, "Master", Table1[[#This Row],[PhD]]=1, "PhD", AND(Table1[[#This Row],[Basic]]=0, Table1[[#This Row],[Graduate]]=0, Table1[[#This Row],[Master]]=0, Table1[[#This Row],[PhD]]=0), "NA")</f>
        <v>Graduate</v>
      </c>
      <c r="Q1513" t="e">
        <f>_xlfn.XLOOKUP(Table1[[#This Row],[ID]], Table2[ID],#REF!, "Not Found", 0)</f>
        <v>#REF!</v>
      </c>
      <c r="R1513" t="e">
        <f>_xlfn.XLOOKUP(Table1[[#This Row],[ID]], Table2[ID],#REF!, "Not Found", 0)</f>
        <v>#REF!</v>
      </c>
      <c r="S1513" s="3" t="str">
        <f>_xlfn.XLOOKUP(Table1[[#This Row],[ID]], Table2[ID], Table2[Enrollment], "Not Found", 0)</f>
        <v>8/29/2020</v>
      </c>
      <c r="T1513" t="s">
        <v>436</v>
      </c>
    </row>
    <row r="1514" spans="1:20" x14ac:dyDescent="0.3">
      <c r="A1514">
        <v>2022</v>
      </c>
      <c r="B1514">
        <v>138998</v>
      </c>
      <c r="C1514">
        <v>1</v>
      </c>
      <c r="D1514">
        <v>1</v>
      </c>
      <c r="E1514">
        <v>66</v>
      </c>
      <c r="F1514">
        <v>0</v>
      </c>
      <c r="G1514">
        <v>1</v>
      </c>
      <c r="H1514">
        <v>0</v>
      </c>
      <c r="I1514">
        <v>0</v>
      </c>
      <c r="J1514">
        <v>0</v>
      </c>
      <c r="K1514">
        <v>0</v>
      </c>
      <c r="L1514">
        <v>1</v>
      </c>
      <c r="M1514">
        <v>0</v>
      </c>
      <c r="N1514">
        <v>0</v>
      </c>
      <c r="O1514" t="str" cm="1">
        <f t="array" ref="O1514">_xlfn.IFS(Table1[[#This Row],[Divorced]]=1, "Divorced", Table1[[#This Row],[Married]]=1, "Married", Table1[[#This Row],[Single]]=1, "Single", Table1[[#This Row],[Together]]=1, "Together", Table1[[#This Row],[Widow]]=1, "Widow")</f>
        <v>Married</v>
      </c>
      <c r="P1514" t="str" cm="1">
        <f t="array" ref="P1514">_xlfn.IFS(Table1[[#This Row],[Basic]]=1, "Basic", Table1[[#This Row],[Graduate]]=1, "Graduate", Table1[[#This Row],[Master]]=1, "Master", Table1[[#This Row],[PhD]]=1, "PhD", AND(Table1[[#This Row],[Basic]]=0, Table1[[#This Row],[Graduate]]=0, Table1[[#This Row],[Master]]=0, Table1[[#This Row],[PhD]]=0), "NA")</f>
        <v>Graduate</v>
      </c>
      <c r="Q1514" t="e">
        <f>_xlfn.XLOOKUP(Table1[[#This Row],[ID]], Table2[ID],#REF!, "Not Found", 0)</f>
        <v>#REF!</v>
      </c>
      <c r="R1514" t="e">
        <f>_xlfn.XLOOKUP(Table1[[#This Row],[ID]], Table2[ID],#REF!, "Not Found", 0)</f>
        <v>#REF!</v>
      </c>
      <c r="S1514" s="3">
        <f>_xlfn.XLOOKUP(Table1[[#This Row],[ID]], Table2[ID], Table2[Enrollment], "Not Found", 0)</f>
        <v>43742</v>
      </c>
      <c r="T1514" t="s">
        <v>436</v>
      </c>
    </row>
    <row r="1515" spans="1:20" x14ac:dyDescent="0.3">
      <c r="A1515">
        <v>2547</v>
      </c>
      <c r="B1515">
        <v>138998</v>
      </c>
      <c r="C1515">
        <v>1</v>
      </c>
      <c r="D1515">
        <v>1</v>
      </c>
      <c r="E1515">
        <v>66</v>
      </c>
      <c r="F1515">
        <v>0</v>
      </c>
      <c r="G1515">
        <v>1</v>
      </c>
      <c r="H1515">
        <v>0</v>
      </c>
      <c r="I1515">
        <v>0</v>
      </c>
      <c r="J1515">
        <v>0</v>
      </c>
      <c r="K1515">
        <v>0</v>
      </c>
      <c r="L1515">
        <v>1</v>
      </c>
      <c r="M1515">
        <v>0</v>
      </c>
      <c r="N1515">
        <v>0</v>
      </c>
      <c r="O1515" t="str" cm="1">
        <f t="array" ref="O1515">_xlfn.IFS(Table1[[#This Row],[Divorced]]=1, "Divorced", Table1[[#This Row],[Married]]=1, "Married", Table1[[#This Row],[Single]]=1, "Single", Table1[[#This Row],[Together]]=1, "Together", Table1[[#This Row],[Widow]]=1, "Widow")</f>
        <v>Married</v>
      </c>
      <c r="P1515" t="str" cm="1">
        <f t="array" ref="P1515">_xlfn.IFS(Table1[[#This Row],[Basic]]=1, "Basic", Table1[[#This Row],[Graduate]]=1, "Graduate", Table1[[#This Row],[Master]]=1, "Master", Table1[[#This Row],[PhD]]=1, "PhD", AND(Table1[[#This Row],[Basic]]=0, Table1[[#This Row],[Graduate]]=0, Table1[[#This Row],[Master]]=0, Table1[[#This Row],[PhD]]=0), "NA")</f>
        <v>Graduate</v>
      </c>
      <c r="Q1515" t="e">
        <f>_xlfn.XLOOKUP(Table1[[#This Row],[ID]], Table2[ID],#REF!, "Not Found", 0)</f>
        <v>#REF!</v>
      </c>
      <c r="R1515" t="e">
        <f>_xlfn.XLOOKUP(Table1[[#This Row],[ID]], Table2[ID],#REF!, "Not Found", 0)</f>
        <v>#REF!</v>
      </c>
      <c r="S1515" s="3">
        <f>_xlfn.XLOOKUP(Table1[[#This Row],[ID]], Table2[ID], Table2[Enrollment], "Not Found", 0)</f>
        <v>43742</v>
      </c>
      <c r="T1515" t="s">
        <v>435</v>
      </c>
    </row>
    <row r="1516" spans="1:20" x14ac:dyDescent="0.3">
      <c r="A1516">
        <v>1439</v>
      </c>
      <c r="B1516">
        <v>138988</v>
      </c>
      <c r="C1516">
        <v>1</v>
      </c>
      <c r="D1516">
        <v>2</v>
      </c>
      <c r="E1516">
        <v>48</v>
      </c>
      <c r="F1516">
        <v>0</v>
      </c>
      <c r="G1516">
        <v>1</v>
      </c>
      <c r="H1516">
        <v>0</v>
      </c>
      <c r="I1516">
        <v>0</v>
      </c>
      <c r="J1516">
        <v>0</v>
      </c>
      <c r="K1516">
        <v>0</v>
      </c>
      <c r="L1516">
        <v>1</v>
      </c>
      <c r="M1516">
        <v>0</v>
      </c>
      <c r="N1516">
        <v>0</v>
      </c>
      <c r="O1516" t="str" cm="1">
        <f t="array" ref="O1516">_xlfn.IFS(Table1[[#This Row],[Divorced]]=1, "Divorced", Table1[[#This Row],[Married]]=1, "Married", Table1[[#This Row],[Single]]=1, "Single", Table1[[#This Row],[Together]]=1, "Together", Table1[[#This Row],[Widow]]=1, "Widow")</f>
        <v>Married</v>
      </c>
      <c r="P1516" t="str" cm="1">
        <f t="array" ref="P1516">_xlfn.IFS(Table1[[#This Row],[Basic]]=1, "Basic", Table1[[#This Row],[Graduate]]=1, "Graduate", Table1[[#This Row],[Master]]=1, "Master", Table1[[#This Row],[PhD]]=1, "PhD", AND(Table1[[#This Row],[Basic]]=0, Table1[[#This Row],[Graduate]]=0, Table1[[#This Row],[Master]]=0, Table1[[#This Row],[PhD]]=0), "NA")</f>
        <v>Graduate</v>
      </c>
      <c r="Q1516" t="e">
        <f>_xlfn.XLOOKUP(Table1[[#This Row],[ID]], Table2[ID],#REF!, "Not Found", 0)</f>
        <v>#REF!</v>
      </c>
      <c r="R1516" t="e">
        <f>_xlfn.XLOOKUP(Table1[[#This Row],[ID]], Table2[ID],#REF!, "Not Found", 0)</f>
        <v>#REF!</v>
      </c>
      <c r="S1516" s="3" t="str">
        <f>_xlfn.XLOOKUP(Table1[[#This Row],[ID]], Table2[ID], Table2[Enrollment], "Not Found", 0)</f>
        <v>1/25/2019</v>
      </c>
      <c r="T1516" t="s">
        <v>434</v>
      </c>
    </row>
    <row r="1517" spans="1:20" x14ac:dyDescent="0.3">
      <c r="A1517">
        <v>1464</v>
      </c>
      <c r="B1517">
        <v>138961</v>
      </c>
      <c r="C1517">
        <v>1</v>
      </c>
      <c r="D1517">
        <v>0</v>
      </c>
      <c r="E1517">
        <v>47</v>
      </c>
      <c r="F1517">
        <v>0</v>
      </c>
      <c r="G1517">
        <v>1</v>
      </c>
      <c r="H1517">
        <v>0</v>
      </c>
      <c r="I1517">
        <v>0</v>
      </c>
      <c r="J1517">
        <v>0</v>
      </c>
      <c r="K1517">
        <v>0</v>
      </c>
      <c r="L1517">
        <v>0</v>
      </c>
      <c r="M1517">
        <v>1</v>
      </c>
      <c r="N1517">
        <v>0</v>
      </c>
      <c r="O1517" t="str" cm="1">
        <f t="array" ref="O1517">_xlfn.IFS(Table1[[#This Row],[Divorced]]=1, "Divorced", Table1[[#This Row],[Married]]=1, "Married", Table1[[#This Row],[Single]]=1, "Single", Table1[[#This Row],[Together]]=1, "Together", Table1[[#This Row],[Widow]]=1, "Widow")</f>
        <v>Married</v>
      </c>
      <c r="P1517" t="str" cm="1">
        <f t="array" ref="P1517">_xlfn.IFS(Table1[[#This Row],[Basic]]=1, "Basic", Table1[[#This Row],[Graduate]]=1, "Graduate", Table1[[#This Row],[Master]]=1, "Master", Table1[[#This Row],[PhD]]=1, "PhD", AND(Table1[[#This Row],[Basic]]=0, Table1[[#This Row],[Graduate]]=0, Table1[[#This Row],[Master]]=0, Table1[[#This Row],[PhD]]=0), "NA")</f>
        <v>Master</v>
      </c>
      <c r="Q1517" t="e">
        <f>_xlfn.XLOOKUP(Table1[[#This Row],[ID]], Table2[ID],#REF!, "Not Found", 0)</f>
        <v>#REF!</v>
      </c>
      <c r="R1517" t="e">
        <f>_xlfn.XLOOKUP(Table1[[#This Row],[ID]], Table2[ID],#REF!, "Not Found", 0)</f>
        <v>#REF!</v>
      </c>
      <c r="S1517" s="3">
        <f>_xlfn.XLOOKUP(Table1[[#This Row],[ID]], Table2[ID], Table2[Enrollment], "Not Found", 0)</f>
        <v>43957</v>
      </c>
      <c r="T1517" t="s">
        <v>436</v>
      </c>
    </row>
    <row r="1518" spans="1:20" x14ac:dyDescent="0.3">
      <c r="A1518">
        <v>1665</v>
      </c>
      <c r="B1518">
        <v>138946</v>
      </c>
      <c r="C1518">
        <v>0</v>
      </c>
      <c r="D1518">
        <v>1</v>
      </c>
      <c r="E1518">
        <v>65</v>
      </c>
      <c r="F1518">
        <v>0</v>
      </c>
      <c r="G1518">
        <v>0</v>
      </c>
      <c r="H1518">
        <v>0</v>
      </c>
      <c r="I1518">
        <v>1</v>
      </c>
      <c r="J1518">
        <v>0</v>
      </c>
      <c r="K1518">
        <v>0</v>
      </c>
      <c r="L1518">
        <v>1</v>
      </c>
      <c r="M1518">
        <v>0</v>
      </c>
      <c r="N1518">
        <v>0</v>
      </c>
      <c r="O1518" t="str" cm="1">
        <f t="array" ref="O1518">_xlfn.IFS(Table1[[#This Row],[Divorced]]=1, "Divorced", Table1[[#This Row],[Married]]=1, "Married", Table1[[#This Row],[Single]]=1, "Single", Table1[[#This Row],[Together]]=1, "Together", Table1[[#This Row],[Widow]]=1, "Widow")</f>
        <v>Together</v>
      </c>
      <c r="P1518" t="str" cm="1">
        <f t="array" ref="P1518">_xlfn.IFS(Table1[[#This Row],[Basic]]=1, "Basic", Table1[[#This Row],[Graduate]]=1, "Graduate", Table1[[#This Row],[Master]]=1, "Master", Table1[[#This Row],[PhD]]=1, "PhD", AND(Table1[[#This Row],[Basic]]=0, Table1[[#This Row],[Graduate]]=0, Table1[[#This Row],[Master]]=0, Table1[[#This Row],[PhD]]=0), "NA")</f>
        <v>Graduate</v>
      </c>
      <c r="Q1518" t="e">
        <f>_xlfn.XLOOKUP(Table1[[#This Row],[ID]], Table2[ID],#REF!, "Not Found", 0)</f>
        <v>#REF!</v>
      </c>
      <c r="R1518" t="e">
        <f>_xlfn.XLOOKUP(Table1[[#This Row],[ID]], Table2[ID],#REF!, "Not Found", 0)</f>
        <v>#REF!</v>
      </c>
      <c r="S1518" s="3" t="str">
        <f>_xlfn.XLOOKUP(Table1[[#This Row],[ID]], Table2[ID], Table2[Enrollment], "Not Found", 0)</f>
        <v>3/30/2020</v>
      </c>
      <c r="T1518" t="s">
        <v>435</v>
      </c>
    </row>
    <row r="1519" spans="1:20" x14ac:dyDescent="0.3">
      <c r="A1519">
        <v>3147</v>
      </c>
      <c r="B1519">
        <v>138946</v>
      </c>
      <c r="C1519">
        <v>0</v>
      </c>
      <c r="D1519">
        <v>1</v>
      </c>
      <c r="E1519">
        <v>65</v>
      </c>
      <c r="F1519">
        <v>0</v>
      </c>
      <c r="G1519">
        <v>0</v>
      </c>
      <c r="H1519">
        <v>0</v>
      </c>
      <c r="I1519">
        <v>1</v>
      </c>
      <c r="J1519">
        <v>0</v>
      </c>
      <c r="K1519">
        <v>0</v>
      </c>
      <c r="L1519">
        <v>1</v>
      </c>
      <c r="M1519">
        <v>0</v>
      </c>
      <c r="N1519">
        <v>0</v>
      </c>
      <c r="O1519" t="str" cm="1">
        <f t="array" ref="O1519">_xlfn.IFS(Table1[[#This Row],[Divorced]]=1, "Divorced", Table1[[#This Row],[Married]]=1, "Married", Table1[[#This Row],[Single]]=1, "Single", Table1[[#This Row],[Together]]=1, "Together", Table1[[#This Row],[Widow]]=1, "Widow")</f>
        <v>Together</v>
      </c>
      <c r="P1519" t="str" cm="1">
        <f t="array" ref="P1519">_xlfn.IFS(Table1[[#This Row],[Basic]]=1, "Basic", Table1[[#This Row],[Graduate]]=1, "Graduate", Table1[[#This Row],[Master]]=1, "Master", Table1[[#This Row],[PhD]]=1, "PhD", AND(Table1[[#This Row],[Basic]]=0, Table1[[#This Row],[Graduate]]=0, Table1[[#This Row],[Master]]=0, Table1[[#This Row],[PhD]]=0), "NA")</f>
        <v>Graduate</v>
      </c>
      <c r="Q1519" t="e">
        <f>_xlfn.XLOOKUP(Table1[[#This Row],[ID]], Table2[ID],#REF!, "Not Found", 0)</f>
        <v>#REF!</v>
      </c>
      <c r="R1519" t="e">
        <f>_xlfn.XLOOKUP(Table1[[#This Row],[ID]], Table2[ID],#REF!, "Not Found", 0)</f>
        <v>#REF!</v>
      </c>
      <c r="S1519" s="3" t="str">
        <f>_xlfn.XLOOKUP(Table1[[#This Row],[ID]], Table2[ID], Table2[Enrollment], "Not Found", 0)</f>
        <v>3/30/2020</v>
      </c>
      <c r="T1519" t="s">
        <v>435</v>
      </c>
    </row>
    <row r="1520" spans="1:20" x14ac:dyDescent="0.3">
      <c r="A1520">
        <v>2368</v>
      </c>
      <c r="B1520">
        <v>138887</v>
      </c>
      <c r="C1520">
        <v>1</v>
      </c>
      <c r="D1520">
        <v>0</v>
      </c>
      <c r="E1520">
        <v>48</v>
      </c>
      <c r="F1520">
        <v>0</v>
      </c>
      <c r="G1520">
        <v>0</v>
      </c>
      <c r="H1520">
        <v>0</v>
      </c>
      <c r="I1520">
        <v>1</v>
      </c>
      <c r="J1520">
        <v>0</v>
      </c>
      <c r="K1520">
        <v>0</v>
      </c>
      <c r="L1520">
        <v>0</v>
      </c>
      <c r="M1520">
        <v>0</v>
      </c>
      <c r="N1520">
        <v>1</v>
      </c>
      <c r="O1520" t="str" cm="1">
        <f t="array" ref="O1520">_xlfn.IFS(Table1[[#This Row],[Divorced]]=1, "Divorced", Table1[[#This Row],[Married]]=1, "Married", Table1[[#This Row],[Single]]=1, "Single", Table1[[#This Row],[Together]]=1, "Together", Table1[[#This Row],[Widow]]=1, "Widow")</f>
        <v>Together</v>
      </c>
      <c r="P1520" t="str" cm="1">
        <f t="array" ref="P1520">_xlfn.IFS(Table1[[#This Row],[Basic]]=1, "Basic", Table1[[#This Row],[Graduate]]=1, "Graduate", Table1[[#This Row],[Master]]=1, "Master", Table1[[#This Row],[PhD]]=1, "PhD", AND(Table1[[#This Row],[Basic]]=0, Table1[[#This Row],[Graduate]]=0, Table1[[#This Row],[Master]]=0, Table1[[#This Row],[PhD]]=0), "NA")</f>
        <v>PhD</v>
      </c>
      <c r="Q1520" t="e">
        <f>_xlfn.XLOOKUP(Table1[[#This Row],[ID]], Table2[ID],#REF!, "Not Found", 0)</f>
        <v>#REF!</v>
      </c>
      <c r="R1520" t="e">
        <f>_xlfn.XLOOKUP(Table1[[#This Row],[ID]], Table2[ID],#REF!, "Not Found", 0)</f>
        <v>#REF!</v>
      </c>
      <c r="S1520" s="3">
        <f>_xlfn.XLOOKUP(Table1[[#This Row],[ID]], Table2[ID], Table2[Enrollment], "Not Found", 0)</f>
        <v>43990</v>
      </c>
      <c r="T1520" t="s">
        <v>439</v>
      </c>
    </row>
    <row r="1521" spans="1:20" x14ac:dyDescent="0.3">
      <c r="A1521">
        <v>1181</v>
      </c>
      <c r="B1521">
        <v>138872</v>
      </c>
      <c r="C1521">
        <v>1</v>
      </c>
      <c r="D1521">
        <v>0</v>
      </c>
      <c r="E1521">
        <v>32</v>
      </c>
      <c r="F1521">
        <v>0</v>
      </c>
      <c r="G1521">
        <v>1</v>
      </c>
      <c r="H1521">
        <v>0</v>
      </c>
      <c r="I1521">
        <v>0</v>
      </c>
      <c r="J1521">
        <v>0</v>
      </c>
      <c r="K1521">
        <v>0</v>
      </c>
      <c r="L1521">
        <v>1</v>
      </c>
      <c r="M1521">
        <v>0</v>
      </c>
      <c r="N1521">
        <v>0</v>
      </c>
      <c r="O1521" t="str" cm="1">
        <f t="array" ref="O1521">_xlfn.IFS(Table1[[#This Row],[Divorced]]=1, "Divorced", Table1[[#This Row],[Married]]=1, "Married", Table1[[#This Row],[Single]]=1, "Single", Table1[[#This Row],[Together]]=1, "Together", Table1[[#This Row],[Widow]]=1, "Widow")</f>
        <v>Married</v>
      </c>
      <c r="P1521" t="str" cm="1">
        <f t="array" ref="P1521">_xlfn.IFS(Table1[[#This Row],[Basic]]=1, "Basic", Table1[[#This Row],[Graduate]]=1, "Graduate", Table1[[#This Row],[Master]]=1, "Master", Table1[[#This Row],[PhD]]=1, "PhD", AND(Table1[[#This Row],[Basic]]=0, Table1[[#This Row],[Graduate]]=0, Table1[[#This Row],[Master]]=0, Table1[[#This Row],[PhD]]=0), "NA")</f>
        <v>Graduate</v>
      </c>
      <c r="Q1521" t="e">
        <f>_xlfn.XLOOKUP(Table1[[#This Row],[ID]], Table2[ID],#REF!, "Not Found", 0)</f>
        <v>#REF!</v>
      </c>
      <c r="R1521" t="e">
        <f>_xlfn.XLOOKUP(Table1[[#This Row],[ID]], Table2[ID],#REF!, "Not Found", 0)</f>
        <v>#REF!</v>
      </c>
      <c r="S1521" s="3">
        <f>_xlfn.XLOOKUP(Table1[[#This Row],[ID]], Table2[ID], Table2[Enrollment], "Not Found", 0)</f>
        <v>43566</v>
      </c>
      <c r="T1521" t="s">
        <v>434</v>
      </c>
    </row>
    <row r="1522" spans="1:20" x14ac:dyDescent="0.3">
      <c r="A1522">
        <v>1166</v>
      </c>
      <c r="B1522">
        <v>138853</v>
      </c>
      <c r="C1522">
        <v>1</v>
      </c>
      <c r="D1522">
        <v>1</v>
      </c>
      <c r="E1522">
        <v>50</v>
      </c>
      <c r="F1522">
        <v>0</v>
      </c>
      <c r="G1522">
        <v>1</v>
      </c>
      <c r="H1522">
        <v>0</v>
      </c>
      <c r="I1522">
        <v>0</v>
      </c>
      <c r="J1522">
        <v>0</v>
      </c>
      <c r="K1522">
        <v>0</v>
      </c>
      <c r="L1522">
        <v>0</v>
      </c>
      <c r="M1522">
        <v>0</v>
      </c>
      <c r="N1522">
        <v>1</v>
      </c>
      <c r="O1522" t="str" cm="1">
        <f t="array" ref="O1522">_xlfn.IFS(Table1[[#This Row],[Divorced]]=1, "Divorced", Table1[[#This Row],[Married]]=1, "Married", Table1[[#This Row],[Single]]=1, "Single", Table1[[#This Row],[Together]]=1, "Together", Table1[[#This Row],[Widow]]=1, "Widow")</f>
        <v>Married</v>
      </c>
      <c r="P1522" t="str" cm="1">
        <f t="array" ref="P1522">_xlfn.IFS(Table1[[#This Row],[Basic]]=1, "Basic", Table1[[#This Row],[Graduate]]=1, "Graduate", Table1[[#This Row],[Master]]=1, "Master", Table1[[#This Row],[PhD]]=1, "PhD", AND(Table1[[#This Row],[Basic]]=0, Table1[[#This Row],[Graduate]]=0, Table1[[#This Row],[Master]]=0, Table1[[#This Row],[PhD]]=0), "NA")</f>
        <v>PhD</v>
      </c>
      <c r="Q1522" t="e">
        <f>_xlfn.XLOOKUP(Table1[[#This Row],[ID]], Table2[ID],#REF!, "Not Found", 0)</f>
        <v>#REF!</v>
      </c>
      <c r="R1522" t="e">
        <f>_xlfn.XLOOKUP(Table1[[#This Row],[ID]], Table2[ID],#REF!, "Not Found", 0)</f>
        <v>#REF!</v>
      </c>
      <c r="S1522" s="3" t="str">
        <f>_xlfn.XLOOKUP(Table1[[#This Row],[ID]], Table2[ID], Table2[Enrollment], "Not Found", 0)</f>
        <v>10/27/2020</v>
      </c>
      <c r="T1522" t="s">
        <v>438</v>
      </c>
    </row>
    <row r="1523" spans="1:20" x14ac:dyDescent="0.3">
      <c r="A1523">
        <v>1740</v>
      </c>
      <c r="B1523">
        <v>138829</v>
      </c>
      <c r="C1523">
        <v>0</v>
      </c>
      <c r="D1523">
        <v>1</v>
      </c>
      <c r="E1523">
        <v>61</v>
      </c>
      <c r="F1523">
        <v>0</v>
      </c>
      <c r="G1523">
        <v>1</v>
      </c>
      <c r="H1523">
        <v>0</v>
      </c>
      <c r="I1523">
        <v>0</v>
      </c>
      <c r="J1523">
        <v>0</v>
      </c>
      <c r="K1523">
        <v>0</v>
      </c>
      <c r="L1523">
        <v>0</v>
      </c>
      <c r="M1523">
        <v>0</v>
      </c>
      <c r="N1523">
        <v>1</v>
      </c>
      <c r="O1523" t="str" cm="1">
        <f t="array" ref="O1523">_xlfn.IFS(Table1[[#This Row],[Divorced]]=1, "Divorced", Table1[[#This Row],[Married]]=1, "Married", Table1[[#This Row],[Single]]=1, "Single", Table1[[#This Row],[Together]]=1, "Together", Table1[[#This Row],[Widow]]=1, "Widow")</f>
        <v>Married</v>
      </c>
      <c r="P1523" t="str" cm="1">
        <f t="array" ref="P1523">_xlfn.IFS(Table1[[#This Row],[Basic]]=1, "Basic", Table1[[#This Row],[Graduate]]=1, "Graduate", Table1[[#This Row],[Master]]=1, "Master", Table1[[#This Row],[PhD]]=1, "PhD", AND(Table1[[#This Row],[Basic]]=0, Table1[[#This Row],[Graduate]]=0, Table1[[#This Row],[Master]]=0, Table1[[#This Row],[PhD]]=0), "NA")</f>
        <v>PhD</v>
      </c>
      <c r="Q1523" t="e">
        <f>_xlfn.XLOOKUP(Table1[[#This Row],[ID]], Table2[ID],#REF!, "Not Found", 0)</f>
        <v>#REF!</v>
      </c>
      <c r="R1523" t="e">
        <f>_xlfn.XLOOKUP(Table1[[#This Row],[ID]], Table2[ID],#REF!, "Not Found", 0)</f>
        <v>#REF!</v>
      </c>
      <c r="S1523" s="3">
        <f>_xlfn.XLOOKUP(Table1[[#This Row],[ID]], Table2[ID], Table2[Enrollment], "Not Found", 0)</f>
        <v>44113</v>
      </c>
      <c r="T1523" t="s">
        <v>436</v>
      </c>
    </row>
    <row r="1524" spans="1:20" x14ac:dyDescent="0.3">
      <c r="A1524">
        <v>1372</v>
      </c>
      <c r="B1524">
        <v>138823</v>
      </c>
      <c r="C1524">
        <v>0</v>
      </c>
      <c r="D1524">
        <v>1</v>
      </c>
      <c r="E1524">
        <v>71</v>
      </c>
      <c r="F1524">
        <v>0</v>
      </c>
      <c r="G1524">
        <v>0</v>
      </c>
      <c r="H1524">
        <v>0</v>
      </c>
      <c r="I1524">
        <v>1</v>
      </c>
      <c r="J1524">
        <v>0</v>
      </c>
      <c r="K1524">
        <v>0</v>
      </c>
      <c r="L1524">
        <v>1</v>
      </c>
      <c r="M1524">
        <v>0</v>
      </c>
      <c r="N1524">
        <v>0</v>
      </c>
      <c r="O1524" t="str" cm="1">
        <f t="array" ref="O1524">_xlfn.IFS(Table1[[#This Row],[Divorced]]=1, "Divorced", Table1[[#This Row],[Married]]=1, "Married", Table1[[#This Row],[Single]]=1, "Single", Table1[[#This Row],[Together]]=1, "Together", Table1[[#This Row],[Widow]]=1, "Widow")</f>
        <v>Together</v>
      </c>
      <c r="P1524" t="str" cm="1">
        <f t="array" ref="P1524">_xlfn.IFS(Table1[[#This Row],[Basic]]=1, "Basic", Table1[[#This Row],[Graduate]]=1, "Graduate", Table1[[#This Row],[Master]]=1, "Master", Table1[[#This Row],[PhD]]=1, "PhD", AND(Table1[[#This Row],[Basic]]=0, Table1[[#This Row],[Graduate]]=0, Table1[[#This Row],[Master]]=0, Table1[[#This Row],[PhD]]=0), "NA")</f>
        <v>Graduate</v>
      </c>
      <c r="Q1524" t="e">
        <f>_xlfn.XLOOKUP(Table1[[#This Row],[ID]], Table2[ID],#REF!, "Not Found", 0)</f>
        <v>#REF!</v>
      </c>
      <c r="R1524" t="e">
        <f>_xlfn.XLOOKUP(Table1[[#This Row],[ID]], Table2[ID],#REF!, "Not Found", 0)</f>
        <v>#REF!</v>
      </c>
      <c r="S1524" s="3">
        <f>_xlfn.XLOOKUP(Table1[[#This Row],[ID]], Table2[ID], Table2[Enrollment], "Not Found", 0)</f>
        <v>43557</v>
      </c>
      <c r="T1524" t="s">
        <v>439</v>
      </c>
    </row>
    <row r="1525" spans="1:20" x14ac:dyDescent="0.3">
      <c r="A1525">
        <v>2253</v>
      </c>
      <c r="B1525">
        <v>138808</v>
      </c>
      <c r="C1525">
        <v>1</v>
      </c>
      <c r="D1525">
        <v>0</v>
      </c>
      <c r="E1525">
        <v>48</v>
      </c>
      <c r="F1525">
        <v>0</v>
      </c>
      <c r="G1525">
        <v>0</v>
      </c>
      <c r="H1525">
        <v>1</v>
      </c>
      <c r="I1525">
        <v>0</v>
      </c>
      <c r="J1525">
        <v>0</v>
      </c>
      <c r="K1525">
        <v>0</v>
      </c>
      <c r="L1525">
        <v>1</v>
      </c>
      <c r="M1525">
        <v>0</v>
      </c>
      <c r="N1525">
        <v>0</v>
      </c>
      <c r="O1525" t="str" cm="1">
        <f t="array" ref="O1525">_xlfn.IFS(Table1[[#This Row],[Divorced]]=1, "Divorced", Table1[[#This Row],[Married]]=1, "Married", Table1[[#This Row],[Single]]=1, "Single", Table1[[#This Row],[Together]]=1, "Together", Table1[[#This Row],[Widow]]=1, "Widow")</f>
        <v>Single</v>
      </c>
      <c r="P1525" t="str" cm="1">
        <f t="array" ref="P1525">_xlfn.IFS(Table1[[#This Row],[Basic]]=1, "Basic", Table1[[#This Row],[Graduate]]=1, "Graduate", Table1[[#This Row],[Master]]=1, "Master", Table1[[#This Row],[PhD]]=1, "PhD", AND(Table1[[#This Row],[Basic]]=0, Table1[[#This Row],[Graduate]]=0, Table1[[#This Row],[Master]]=0, Table1[[#This Row],[PhD]]=0), "NA")</f>
        <v>Graduate</v>
      </c>
      <c r="Q1525" t="e">
        <f>_xlfn.XLOOKUP(Table1[[#This Row],[ID]], Table2[ID],#REF!, "Not Found", 0)</f>
        <v>#REF!</v>
      </c>
      <c r="R1525" t="e">
        <f>_xlfn.XLOOKUP(Table1[[#This Row],[ID]], Table2[ID],#REF!, "Not Found", 0)</f>
        <v>#REF!</v>
      </c>
      <c r="S1525" s="3" t="str">
        <f>_xlfn.XLOOKUP(Table1[[#This Row],[ID]], Table2[ID], Table2[Enrollment], "Not Found", 0)</f>
        <v>1/31/2019</v>
      </c>
      <c r="T1525" t="s">
        <v>435</v>
      </c>
    </row>
    <row r="1526" spans="1:20" x14ac:dyDescent="0.3">
      <c r="A1526">
        <v>2404</v>
      </c>
      <c r="B1526">
        <v>138741</v>
      </c>
      <c r="C1526">
        <v>1</v>
      </c>
      <c r="D1526">
        <v>1</v>
      </c>
      <c r="E1526">
        <v>62</v>
      </c>
      <c r="F1526">
        <v>0</v>
      </c>
      <c r="G1526">
        <v>0</v>
      </c>
      <c r="H1526">
        <v>1</v>
      </c>
      <c r="I1526">
        <v>0</v>
      </c>
      <c r="J1526">
        <v>0</v>
      </c>
      <c r="K1526">
        <v>0</v>
      </c>
      <c r="L1526">
        <v>0</v>
      </c>
      <c r="M1526">
        <v>0</v>
      </c>
      <c r="N1526">
        <v>0</v>
      </c>
      <c r="O1526" t="str" cm="1">
        <f t="array" ref="O1526">_xlfn.IFS(Table1[[#This Row],[Divorced]]=1, "Divorced", Table1[[#This Row],[Married]]=1, "Married", Table1[[#This Row],[Single]]=1, "Single", Table1[[#This Row],[Together]]=1, "Together", Table1[[#This Row],[Widow]]=1, "Widow")</f>
        <v>Single</v>
      </c>
      <c r="P1526" t="str" cm="1">
        <f t="array" ref="P1526">_xlfn.IFS(Table1[[#This Row],[Basic]]=1, "Basic", Table1[[#This Row],[Graduate]]=1, "Graduate", Table1[[#This Row],[Master]]=1, "Master", Table1[[#This Row],[PhD]]=1, "PhD", AND(Table1[[#This Row],[Basic]]=0, Table1[[#This Row],[Graduate]]=0, Table1[[#This Row],[Master]]=0, Table1[[#This Row],[PhD]]=0), "NA")</f>
        <v>NA</v>
      </c>
      <c r="Q1526" t="e">
        <f>_xlfn.XLOOKUP(Table1[[#This Row],[ID]], Table2[ID],#REF!, "Not Found", 0)</f>
        <v>#REF!</v>
      </c>
      <c r="R1526" t="e">
        <f>_xlfn.XLOOKUP(Table1[[#This Row],[ID]], Table2[ID],#REF!, "Not Found", 0)</f>
        <v>#REF!</v>
      </c>
      <c r="S1526" s="3">
        <f>_xlfn.XLOOKUP(Table1[[#This Row],[ID]], Table2[ID], Table2[Enrollment], "Not Found", 0)</f>
        <v>43899</v>
      </c>
      <c r="T1526" t="s">
        <v>439</v>
      </c>
    </row>
    <row r="1527" spans="1:20" x14ac:dyDescent="0.3">
      <c r="A1527">
        <v>2733</v>
      </c>
      <c r="B1527">
        <v>138725</v>
      </c>
      <c r="C1527">
        <v>1</v>
      </c>
      <c r="D1527">
        <v>1</v>
      </c>
      <c r="E1527">
        <v>65</v>
      </c>
      <c r="F1527">
        <v>0</v>
      </c>
      <c r="G1527">
        <v>1</v>
      </c>
      <c r="H1527">
        <v>0</v>
      </c>
      <c r="I1527">
        <v>0</v>
      </c>
      <c r="J1527">
        <v>0</v>
      </c>
      <c r="K1527">
        <v>0</v>
      </c>
      <c r="L1527">
        <v>0</v>
      </c>
      <c r="M1527">
        <v>0</v>
      </c>
      <c r="N1527">
        <v>1</v>
      </c>
      <c r="O1527" t="str" cm="1">
        <f t="array" ref="O1527">_xlfn.IFS(Table1[[#This Row],[Divorced]]=1, "Divorced", Table1[[#This Row],[Married]]=1, "Married", Table1[[#This Row],[Single]]=1, "Single", Table1[[#This Row],[Together]]=1, "Together", Table1[[#This Row],[Widow]]=1, "Widow")</f>
        <v>Married</v>
      </c>
      <c r="P1527" t="str" cm="1">
        <f t="array" ref="P1527">_xlfn.IFS(Table1[[#This Row],[Basic]]=1, "Basic", Table1[[#This Row],[Graduate]]=1, "Graduate", Table1[[#This Row],[Master]]=1, "Master", Table1[[#This Row],[PhD]]=1, "PhD", AND(Table1[[#This Row],[Basic]]=0, Table1[[#This Row],[Graduate]]=0, Table1[[#This Row],[Master]]=0, Table1[[#This Row],[PhD]]=0), "NA")</f>
        <v>PhD</v>
      </c>
      <c r="Q1527" t="e">
        <f>_xlfn.XLOOKUP(Table1[[#This Row],[ID]], Table2[ID],#REF!, "Not Found", 0)</f>
        <v>#REF!</v>
      </c>
      <c r="R1527" t="e">
        <f>_xlfn.XLOOKUP(Table1[[#This Row],[ID]], Table2[ID],#REF!, "Not Found", 0)</f>
        <v>#REF!</v>
      </c>
      <c r="S1527" s="3" t="str">
        <f>_xlfn.XLOOKUP(Table1[[#This Row],[ID]], Table2[ID], Table2[Enrollment], "Not Found", 0)</f>
        <v>10/14/2020</v>
      </c>
      <c r="T1527" t="s">
        <v>435</v>
      </c>
    </row>
    <row r="1528" spans="1:20" x14ac:dyDescent="0.3">
      <c r="A1528">
        <v>1724</v>
      </c>
      <c r="B1528">
        <v>138702</v>
      </c>
      <c r="C1528">
        <v>1</v>
      </c>
      <c r="D1528">
        <v>0</v>
      </c>
      <c r="E1528">
        <v>42</v>
      </c>
      <c r="F1528">
        <v>0</v>
      </c>
      <c r="G1528">
        <v>0</v>
      </c>
      <c r="H1528">
        <v>0</v>
      </c>
      <c r="I1528">
        <v>1</v>
      </c>
      <c r="J1528">
        <v>0</v>
      </c>
      <c r="K1528">
        <v>0</v>
      </c>
      <c r="L1528">
        <v>0</v>
      </c>
      <c r="M1528">
        <v>0</v>
      </c>
      <c r="N1528">
        <v>0</v>
      </c>
      <c r="O1528" t="str" cm="1">
        <f t="array" ref="O1528">_xlfn.IFS(Table1[[#This Row],[Divorced]]=1, "Divorced", Table1[[#This Row],[Married]]=1, "Married", Table1[[#This Row],[Single]]=1, "Single", Table1[[#This Row],[Together]]=1, "Together", Table1[[#This Row],[Widow]]=1, "Widow")</f>
        <v>Together</v>
      </c>
      <c r="P1528" t="str" cm="1">
        <f t="array" ref="P1528">_xlfn.IFS(Table1[[#This Row],[Basic]]=1, "Basic", Table1[[#This Row],[Graduate]]=1, "Graduate", Table1[[#This Row],[Master]]=1, "Master", Table1[[#This Row],[PhD]]=1, "PhD", AND(Table1[[#This Row],[Basic]]=0, Table1[[#This Row],[Graduate]]=0, Table1[[#This Row],[Master]]=0, Table1[[#This Row],[PhD]]=0), "NA")</f>
        <v>NA</v>
      </c>
      <c r="Q1528" t="e">
        <f>_xlfn.XLOOKUP(Table1[[#This Row],[ID]], Table2[ID],#REF!, "Not Found", 0)</f>
        <v>#REF!</v>
      </c>
      <c r="R1528" t="e">
        <f>_xlfn.XLOOKUP(Table1[[#This Row],[ID]], Table2[ID],#REF!, "Not Found", 0)</f>
        <v>#REF!</v>
      </c>
      <c r="S1528" s="3">
        <f>_xlfn.XLOOKUP(Table1[[#This Row],[ID]], Table2[ID], Table2[Enrollment], "Not Found", 0)</f>
        <v>43983</v>
      </c>
      <c r="T1528" t="s">
        <v>438</v>
      </c>
    </row>
    <row r="1529" spans="1:20" x14ac:dyDescent="0.3">
      <c r="A1529">
        <v>1844</v>
      </c>
      <c r="B1529">
        <v>138683</v>
      </c>
      <c r="C1529">
        <v>1</v>
      </c>
      <c r="D1529">
        <v>0</v>
      </c>
      <c r="E1529">
        <v>31</v>
      </c>
      <c r="F1529">
        <v>0</v>
      </c>
      <c r="G1529">
        <v>0</v>
      </c>
      <c r="H1529">
        <v>0</v>
      </c>
      <c r="I1529">
        <v>1</v>
      </c>
      <c r="J1529">
        <v>0</v>
      </c>
      <c r="K1529">
        <v>0</v>
      </c>
      <c r="L1529">
        <v>0</v>
      </c>
      <c r="M1529">
        <v>0</v>
      </c>
      <c r="N1529">
        <v>0</v>
      </c>
      <c r="O1529" t="str" cm="1">
        <f t="array" ref="O1529">_xlfn.IFS(Table1[[#This Row],[Divorced]]=1, "Divorced", Table1[[#This Row],[Married]]=1, "Married", Table1[[#This Row],[Single]]=1, "Single", Table1[[#This Row],[Together]]=1, "Together", Table1[[#This Row],[Widow]]=1, "Widow")</f>
        <v>Together</v>
      </c>
      <c r="P1529" t="str" cm="1">
        <f t="array" ref="P1529">_xlfn.IFS(Table1[[#This Row],[Basic]]=1, "Basic", Table1[[#This Row],[Graduate]]=1, "Graduate", Table1[[#This Row],[Master]]=1, "Master", Table1[[#This Row],[PhD]]=1, "PhD", AND(Table1[[#This Row],[Basic]]=0, Table1[[#This Row],[Graduate]]=0, Table1[[#This Row],[Master]]=0, Table1[[#This Row],[PhD]]=0), "NA")</f>
        <v>NA</v>
      </c>
      <c r="Q1529" t="e">
        <f>_xlfn.XLOOKUP(Table1[[#This Row],[ID]], Table2[ID],#REF!, "Not Found", 0)</f>
        <v>#REF!</v>
      </c>
      <c r="R1529" t="e">
        <f>_xlfn.XLOOKUP(Table1[[#This Row],[ID]], Table2[ID],#REF!, "Not Found", 0)</f>
        <v>#REF!</v>
      </c>
      <c r="S1529" s="3">
        <f>_xlfn.XLOOKUP(Table1[[#This Row],[ID]], Table2[ID], Table2[Enrollment], "Not Found", 0)</f>
        <v>43772</v>
      </c>
      <c r="T1529" t="s">
        <v>438</v>
      </c>
    </row>
    <row r="1530" spans="1:20" x14ac:dyDescent="0.3">
      <c r="A1530">
        <v>3013</v>
      </c>
      <c r="B1530">
        <v>138680</v>
      </c>
      <c r="C1530">
        <v>1</v>
      </c>
      <c r="D1530">
        <v>0</v>
      </c>
      <c r="E1530">
        <v>36</v>
      </c>
      <c r="F1530">
        <v>0</v>
      </c>
      <c r="G1530">
        <v>1</v>
      </c>
      <c r="H1530">
        <v>0</v>
      </c>
      <c r="I1530">
        <v>0</v>
      </c>
      <c r="J1530">
        <v>0</v>
      </c>
      <c r="K1530">
        <v>0</v>
      </c>
      <c r="L1530">
        <v>1</v>
      </c>
      <c r="M1530">
        <v>0</v>
      </c>
      <c r="N1530">
        <v>0</v>
      </c>
      <c r="O1530" t="str" cm="1">
        <f t="array" ref="O1530">_xlfn.IFS(Table1[[#This Row],[Divorced]]=1, "Divorced", Table1[[#This Row],[Married]]=1, "Married", Table1[[#This Row],[Single]]=1, "Single", Table1[[#This Row],[Together]]=1, "Together", Table1[[#This Row],[Widow]]=1, "Widow")</f>
        <v>Married</v>
      </c>
      <c r="P1530" t="str" cm="1">
        <f t="array" ref="P1530">_xlfn.IFS(Table1[[#This Row],[Basic]]=1, "Basic", Table1[[#This Row],[Graduate]]=1, "Graduate", Table1[[#This Row],[Master]]=1, "Master", Table1[[#This Row],[PhD]]=1, "PhD", AND(Table1[[#This Row],[Basic]]=0, Table1[[#This Row],[Graduate]]=0, Table1[[#This Row],[Master]]=0, Table1[[#This Row],[PhD]]=0), "NA")</f>
        <v>Graduate</v>
      </c>
      <c r="Q1530" t="e">
        <f>_xlfn.XLOOKUP(Table1[[#This Row],[ID]], Table2[ID],#REF!, "Not Found", 0)</f>
        <v>#REF!</v>
      </c>
      <c r="R1530" t="e">
        <f>_xlfn.XLOOKUP(Table1[[#This Row],[ID]], Table2[ID],#REF!, "Not Found", 0)</f>
        <v>#REF!</v>
      </c>
      <c r="S1530" s="3">
        <f>_xlfn.XLOOKUP(Table1[[#This Row],[ID]], Table2[ID], Table2[Enrollment], "Not Found", 0)</f>
        <v>43505</v>
      </c>
      <c r="T1530" t="s">
        <v>437</v>
      </c>
    </row>
    <row r="1531" spans="1:20" x14ac:dyDescent="0.3">
      <c r="A1531">
        <v>1339</v>
      </c>
      <c r="B1531">
        <v>138643</v>
      </c>
      <c r="C1531">
        <v>1</v>
      </c>
      <c r="D1531">
        <v>1</v>
      </c>
      <c r="E1531">
        <v>42</v>
      </c>
      <c r="F1531">
        <v>0</v>
      </c>
      <c r="G1531">
        <v>0</v>
      </c>
      <c r="H1531">
        <v>1</v>
      </c>
      <c r="I1531">
        <v>0</v>
      </c>
      <c r="J1531">
        <v>0</v>
      </c>
      <c r="K1531">
        <v>0</v>
      </c>
      <c r="L1531">
        <v>1</v>
      </c>
      <c r="M1531">
        <v>0</v>
      </c>
      <c r="N1531">
        <v>0</v>
      </c>
      <c r="O1531" t="str" cm="1">
        <f t="array" ref="O1531">_xlfn.IFS(Table1[[#This Row],[Divorced]]=1, "Divorced", Table1[[#This Row],[Married]]=1, "Married", Table1[[#This Row],[Single]]=1, "Single", Table1[[#This Row],[Together]]=1, "Together", Table1[[#This Row],[Widow]]=1, "Widow")</f>
        <v>Single</v>
      </c>
      <c r="P1531" t="str" cm="1">
        <f t="array" ref="P1531">_xlfn.IFS(Table1[[#This Row],[Basic]]=1, "Basic", Table1[[#This Row],[Graduate]]=1, "Graduate", Table1[[#This Row],[Master]]=1, "Master", Table1[[#This Row],[PhD]]=1, "PhD", AND(Table1[[#This Row],[Basic]]=0, Table1[[#This Row],[Graduate]]=0, Table1[[#This Row],[Master]]=0, Table1[[#This Row],[PhD]]=0), "NA")</f>
        <v>Graduate</v>
      </c>
      <c r="Q1531" t="e">
        <f>_xlfn.XLOOKUP(Table1[[#This Row],[ID]], Table2[ID],#REF!, "Not Found", 0)</f>
        <v>#REF!</v>
      </c>
      <c r="R1531" t="e">
        <f>_xlfn.XLOOKUP(Table1[[#This Row],[ID]], Table2[ID],#REF!, "Not Found", 0)</f>
        <v>#REF!</v>
      </c>
      <c r="S1531" s="3">
        <f>_xlfn.XLOOKUP(Table1[[#This Row],[ID]], Table2[ID], Table2[Enrollment], "Not Found", 0)</f>
        <v>43956</v>
      </c>
      <c r="T1531" t="s">
        <v>437</v>
      </c>
    </row>
    <row r="1532" spans="1:20" x14ac:dyDescent="0.3">
      <c r="A1532">
        <v>1030</v>
      </c>
      <c r="B1532">
        <v>138620</v>
      </c>
      <c r="C1532">
        <v>0</v>
      </c>
      <c r="D1532">
        <v>0</v>
      </c>
      <c r="E1532">
        <v>57</v>
      </c>
      <c r="F1532">
        <v>0</v>
      </c>
      <c r="G1532">
        <v>0</v>
      </c>
      <c r="H1532">
        <v>0</v>
      </c>
      <c r="I1532">
        <v>1</v>
      </c>
      <c r="J1532">
        <v>0</v>
      </c>
      <c r="K1532">
        <v>0</v>
      </c>
      <c r="L1532">
        <v>0</v>
      </c>
      <c r="M1532">
        <v>1</v>
      </c>
      <c r="N1532">
        <v>0</v>
      </c>
      <c r="O1532" t="str" cm="1">
        <f t="array" ref="O1532">_xlfn.IFS(Table1[[#This Row],[Divorced]]=1, "Divorced", Table1[[#This Row],[Married]]=1, "Married", Table1[[#This Row],[Single]]=1, "Single", Table1[[#This Row],[Together]]=1, "Together", Table1[[#This Row],[Widow]]=1, "Widow")</f>
        <v>Together</v>
      </c>
      <c r="P1532" t="str" cm="1">
        <f t="array" ref="P1532">_xlfn.IFS(Table1[[#This Row],[Basic]]=1, "Basic", Table1[[#This Row],[Graduate]]=1, "Graduate", Table1[[#This Row],[Master]]=1, "Master", Table1[[#This Row],[PhD]]=1, "PhD", AND(Table1[[#This Row],[Basic]]=0, Table1[[#This Row],[Graduate]]=0, Table1[[#This Row],[Master]]=0, Table1[[#This Row],[PhD]]=0), "NA")</f>
        <v>Master</v>
      </c>
      <c r="Q1532" t="e">
        <f>_xlfn.XLOOKUP(Table1[[#This Row],[ID]], Table2[ID],#REF!, "Not Found", 0)</f>
        <v>#REF!</v>
      </c>
      <c r="R1532" t="e">
        <f>_xlfn.XLOOKUP(Table1[[#This Row],[ID]], Table2[ID],#REF!, "Not Found", 0)</f>
        <v>#REF!</v>
      </c>
      <c r="S1532" s="3" t="str">
        <f>_xlfn.XLOOKUP(Table1[[#This Row],[ID]], Table2[ID], Table2[Enrollment], "Not Found", 0)</f>
        <v>10/16/2019</v>
      </c>
      <c r="T1532" t="s">
        <v>439</v>
      </c>
    </row>
    <row r="1533" spans="1:20" x14ac:dyDescent="0.3">
      <c r="A1533">
        <v>1078</v>
      </c>
      <c r="B1533">
        <v>138620</v>
      </c>
      <c r="C1533">
        <v>0</v>
      </c>
      <c r="D1533">
        <v>0</v>
      </c>
      <c r="E1533">
        <v>57</v>
      </c>
      <c r="F1533">
        <v>0</v>
      </c>
      <c r="G1533">
        <v>0</v>
      </c>
      <c r="H1533">
        <v>0</v>
      </c>
      <c r="I1533">
        <v>1</v>
      </c>
      <c r="J1533">
        <v>0</v>
      </c>
      <c r="K1533">
        <v>0</v>
      </c>
      <c r="L1533">
        <v>0</v>
      </c>
      <c r="M1533">
        <v>1</v>
      </c>
      <c r="N1533">
        <v>0</v>
      </c>
      <c r="O1533" t="str" cm="1">
        <f t="array" ref="O1533">_xlfn.IFS(Table1[[#This Row],[Divorced]]=1, "Divorced", Table1[[#This Row],[Married]]=1, "Married", Table1[[#This Row],[Single]]=1, "Single", Table1[[#This Row],[Together]]=1, "Together", Table1[[#This Row],[Widow]]=1, "Widow")</f>
        <v>Together</v>
      </c>
      <c r="P1533" t="str" cm="1">
        <f t="array" ref="P1533">_xlfn.IFS(Table1[[#This Row],[Basic]]=1, "Basic", Table1[[#This Row],[Graduate]]=1, "Graduate", Table1[[#This Row],[Master]]=1, "Master", Table1[[#This Row],[PhD]]=1, "PhD", AND(Table1[[#This Row],[Basic]]=0, Table1[[#This Row],[Graduate]]=0, Table1[[#This Row],[Master]]=0, Table1[[#This Row],[PhD]]=0), "NA")</f>
        <v>Master</v>
      </c>
      <c r="Q1533" t="e">
        <f>_xlfn.XLOOKUP(Table1[[#This Row],[ID]], Table2[ID],#REF!, "Not Found", 0)</f>
        <v>#REF!</v>
      </c>
      <c r="R1533" t="e">
        <f>_xlfn.XLOOKUP(Table1[[#This Row],[ID]], Table2[ID],#REF!, "Not Found", 0)</f>
        <v>#REF!</v>
      </c>
      <c r="S1533" s="3" t="str">
        <f>_xlfn.XLOOKUP(Table1[[#This Row],[ID]], Table2[ID], Table2[Enrollment], "Not Found", 0)</f>
        <v>10/16/2019</v>
      </c>
      <c r="T1533" t="s">
        <v>439</v>
      </c>
    </row>
    <row r="1534" spans="1:20" x14ac:dyDescent="0.3">
      <c r="A1534">
        <v>1556</v>
      </c>
      <c r="B1534">
        <v>138593</v>
      </c>
      <c r="C1534">
        <v>1</v>
      </c>
      <c r="D1534">
        <v>0</v>
      </c>
      <c r="E1534">
        <v>42</v>
      </c>
      <c r="F1534">
        <v>0</v>
      </c>
      <c r="G1534">
        <v>0</v>
      </c>
      <c r="H1534">
        <v>1</v>
      </c>
      <c r="I1534">
        <v>0</v>
      </c>
      <c r="J1534">
        <v>0</v>
      </c>
      <c r="K1534">
        <v>0</v>
      </c>
      <c r="L1534">
        <v>0</v>
      </c>
      <c r="M1534">
        <v>0</v>
      </c>
      <c r="N1534">
        <v>0</v>
      </c>
      <c r="O1534" t="str" cm="1">
        <f t="array" ref="O1534">_xlfn.IFS(Table1[[#This Row],[Divorced]]=1, "Divorced", Table1[[#This Row],[Married]]=1, "Married", Table1[[#This Row],[Single]]=1, "Single", Table1[[#This Row],[Together]]=1, "Together", Table1[[#This Row],[Widow]]=1, "Widow")</f>
        <v>Single</v>
      </c>
      <c r="P1534" t="str" cm="1">
        <f t="array" ref="P1534">_xlfn.IFS(Table1[[#This Row],[Basic]]=1, "Basic", Table1[[#This Row],[Graduate]]=1, "Graduate", Table1[[#This Row],[Master]]=1, "Master", Table1[[#This Row],[PhD]]=1, "PhD", AND(Table1[[#This Row],[Basic]]=0, Table1[[#This Row],[Graduate]]=0, Table1[[#This Row],[Master]]=0, Table1[[#This Row],[PhD]]=0), "NA")</f>
        <v>NA</v>
      </c>
      <c r="Q1534" t="e">
        <f>_xlfn.XLOOKUP(Table1[[#This Row],[ID]], Table2[ID],#REF!, "Not Found", 0)</f>
        <v>#REF!</v>
      </c>
      <c r="R1534" t="e">
        <f>_xlfn.XLOOKUP(Table1[[#This Row],[ID]], Table2[ID],#REF!, "Not Found", 0)</f>
        <v>#REF!</v>
      </c>
      <c r="S1534" s="3" t="str">
        <f>_xlfn.XLOOKUP(Table1[[#This Row],[ID]], Table2[ID], Table2[Enrollment], "Not Found", 0)</f>
        <v>2/18/2020</v>
      </c>
      <c r="T1534" t="s">
        <v>438</v>
      </c>
    </row>
    <row r="1535" spans="1:20" x14ac:dyDescent="0.3">
      <c r="A1535">
        <v>1220</v>
      </c>
      <c r="B1535">
        <v>138590</v>
      </c>
      <c r="C1535">
        <v>1</v>
      </c>
      <c r="D1535">
        <v>0</v>
      </c>
      <c r="E1535">
        <v>49</v>
      </c>
      <c r="F1535">
        <v>0</v>
      </c>
      <c r="G1535">
        <v>0</v>
      </c>
      <c r="H1535">
        <v>0</v>
      </c>
      <c r="I1535">
        <v>1</v>
      </c>
      <c r="J1535">
        <v>0</v>
      </c>
      <c r="K1535">
        <v>0</v>
      </c>
      <c r="L1535">
        <v>1</v>
      </c>
      <c r="M1535">
        <v>0</v>
      </c>
      <c r="N1535">
        <v>0</v>
      </c>
      <c r="O1535" t="str" cm="1">
        <f t="array" ref="O1535">_xlfn.IFS(Table1[[#This Row],[Divorced]]=1, "Divorced", Table1[[#This Row],[Married]]=1, "Married", Table1[[#This Row],[Single]]=1, "Single", Table1[[#This Row],[Together]]=1, "Together", Table1[[#This Row],[Widow]]=1, "Widow")</f>
        <v>Together</v>
      </c>
      <c r="P1535" t="str" cm="1">
        <f t="array" ref="P1535">_xlfn.IFS(Table1[[#This Row],[Basic]]=1, "Basic", Table1[[#This Row],[Graduate]]=1, "Graduate", Table1[[#This Row],[Master]]=1, "Master", Table1[[#This Row],[PhD]]=1, "PhD", AND(Table1[[#This Row],[Basic]]=0, Table1[[#This Row],[Graduate]]=0, Table1[[#This Row],[Master]]=0, Table1[[#This Row],[PhD]]=0), "NA")</f>
        <v>Graduate</v>
      </c>
      <c r="Q1535" t="e">
        <f>_xlfn.XLOOKUP(Table1[[#This Row],[ID]], Table2[ID],#REF!, "Not Found", 0)</f>
        <v>#REF!</v>
      </c>
      <c r="R1535" t="e">
        <f>_xlfn.XLOOKUP(Table1[[#This Row],[ID]], Table2[ID],#REF!, "Not Found", 0)</f>
        <v>#REF!</v>
      </c>
      <c r="S1535" s="3" t="str">
        <f>_xlfn.XLOOKUP(Table1[[#This Row],[ID]], Table2[ID], Table2[Enrollment], "Not Found", 0)</f>
        <v>10/20/2019</v>
      </c>
      <c r="T1535" t="s">
        <v>438</v>
      </c>
    </row>
    <row r="1536" spans="1:20" x14ac:dyDescent="0.3">
      <c r="A1536">
        <v>1358</v>
      </c>
      <c r="B1536">
        <v>138578</v>
      </c>
      <c r="C1536">
        <v>1</v>
      </c>
      <c r="D1536">
        <v>1</v>
      </c>
      <c r="E1536">
        <v>48</v>
      </c>
      <c r="F1536">
        <v>0</v>
      </c>
      <c r="G1536">
        <v>0</v>
      </c>
      <c r="H1536">
        <v>1</v>
      </c>
      <c r="I1536">
        <v>0</v>
      </c>
      <c r="J1536">
        <v>0</v>
      </c>
      <c r="K1536">
        <v>0</v>
      </c>
      <c r="L1536">
        <v>0</v>
      </c>
      <c r="M1536">
        <v>0</v>
      </c>
      <c r="N1536">
        <v>1</v>
      </c>
      <c r="O1536" t="str" cm="1">
        <f t="array" ref="O1536">_xlfn.IFS(Table1[[#This Row],[Divorced]]=1, "Divorced", Table1[[#This Row],[Married]]=1, "Married", Table1[[#This Row],[Single]]=1, "Single", Table1[[#This Row],[Together]]=1, "Together", Table1[[#This Row],[Widow]]=1, "Widow")</f>
        <v>Single</v>
      </c>
      <c r="P1536" t="str" cm="1">
        <f t="array" ref="P1536">_xlfn.IFS(Table1[[#This Row],[Basic]]=1, "Basic", Table1[[#This Row],[Graduate]]=1, "Graduate", Table1[[#This Row],[Master]]=1, "Master", Table1[[#This Row],[PhD]]=1, "PhD", AND(Table1[[#This Row],[Basic]]=0, Table1[[#This Row],[Graduate]]=0, Table1[[#This Row],[Master]]=0, Table1[[#This Row],[PhD]]=0), "NA")</f>
        <v>PhD</v>
      </c>
      <c r="Q1536" t="e">
        <f>_xlfn.XLOOKUP(Table1[[#This Row],[ID]], Table2[ID],#REF!, "Not Found", 0)</f>
        <v>#REF!</v>
      </c>
      <c r="R1536" t="e">
        <f>_xlfn.XLOOKUP(Table1[[#This Row],[ID]], Table2[ID],#REF!, "Not Found", 0)</f>
        <v>#REF!</v>
      </c>
      <c r="S1536" s="3" t="str">
        <f>_xlfn.XLOOKUP(Table1[[#This Row],[ID]], Table2[ID], Table2[Enrollment], "Not Found", 0)</f>
        <v>11/27/2019</v>
      </c>
      <c r="T1536" t="s">
        <v>438</v>
      </c>
    </row>
    <row r="1537" spans="1:20" x14ac:dyDescent="0.3">
      <c r="A1537">
        <v>2074</v>
      </c>
      <c r="B1537">
        <v>138578</v>
      </c>
      <c r="C1537">
        <v>1</v>
      </c>
      <c r="D1537">
        <v>1</v>
      </c>
      <c r="E1537">
        <v>48</v>
      </c>
      <c r="F1537">
        <v>0</v>
      </c>
      <c r="G1537">
        <v>0</v>
      </c>
      <c r="H1537">
        <v>1</v>
      </c>
      <c r="I1537">
        <v>0</v>
      </c>
      <c r="J1537">
        <v>0</v>
      </c>
      <c r="K1537">
        <v>0</v>
      </c>
      <c r="L1537">
        <v>0</v>
      </c>
      <c r="M1537">
        <v>0</v>
      </c>
      <c r="N1537">
        <v>1</v>
      </c>
      <c r="O1537" t="str" cm="1">
        <f t="array" ref="O1537">_xlfn.IFS(Table1[[#This Row],[Divorced]]=1, "Divorced", Table1[[#This Row],[Married]]=1, "Married", Table1[[#This Row],[Single]]=1, "Single", Table1[[#This Row],[Together]]=1, "Together", Table1[[#This Row],[Widow]]=1, "Widow")</f>
        <v>Single</v>
      </c>
      <c r="P1537" t="str" cm="1">
        <f t="array" ref="P1537">_xlfn.IFS(Table1[[#This Row],[Basic]]=1, "Basic", Table1[[#This Row],[Graduate]]=1, "Graduate", Table1[[#This Row],[Master]]=1, "Master", Table1[[#This Row],[PhD]]=1, "PhD", AND(Table1[[#This Row],[Basic]]=0, Table1[[#This Row],[Graduate]]=0, Table1[[#This Row],[Master]]=0, Table1[[#This Row],[PhD]]=0), "NA")</f>
        <v>PhD</v>
      </c>
      <c r="Q1537" t="e">
        <f>_xlfn.XLOOKUP(Table1[[#This Row],[ID]], Table2[ID],#REF!, "Not Found", 0)</f>
        <v>#REF!</v>
      </c>
      <c r="R1537" t="e">
        <f>_xlfn.XLOOKUP(Table1[[#This Row],[ID]], Table2[ID],#REF!, "Not Found", 0)</f>
        <v>#REF!</v>
      </c>
      <c r="S1537" s="3" t="str">
        <f>_xlfn.XLOOKUP(Table1[[#This Row],[ID]], Table2[ID], Table2[Enrollment], "Not Found", 0)</f>
        <v>11/27/2019</v>
      </c>
      <c r="T1537" t="s">
        <v>439</v>
      </c>
    </row>
    <row r="1538" spans="1:20" x14ac:dyDescent="0.3">
      <c r="A1538">
        <v>1837</v>
      </c>
      <c r="B1538">
        <v>138576</v>
      </c>
      <c r="C1538">
        <v>0</v>
      </c>
      <c r="D1538">
        <v>1</v>
      </c>
      <c r="E1538">
        <v>47</v>
      </c>
      <c r="F1538">
        <v>0</v>
      </c>
      <c r="G1538">
        <v>1</v>
      </c>
      <c r="H1538">
        <v>0</v>
      </c>
      <c r="I1538">
        <v>0</v>
      </c>
      <c r="J1538">
        <v>0</v>
      </c>
      <c r="K1538">
        <v>0</v>
      </c>
      <c r="L1538">
        <v>0</v>
      </c>
      <c r="M1538">
        <v>1</v>
      </c>
      <c r="N1538">
        <v>0</v>
      </c>
      <c r="O1538" t="str" cm="1">
        <f t="array" ref="O1538">_xlfn.IFS(Table1[[#This Row],[Divorced]]=1, "Divorced", Table1[[#This Row],[Married]]=1, "Married", Table1[[#This Row],[Single]]=1, "Single", Table1[[#This Row],[Together]]=1, "Together", Table1[[#This Row],[Widow]]=1, "Widow")</f>
        <v>Married</v>
      </c>
      <c r="P1538" t="str" cm="1">
        <f t="array" ref="P1538">_xlfn.IFS(Table1[[#This Row],[Basic]]=1, "Basic", Table1[[#This Row],[Graduate]]=1, "Graduate", Table1[[#This Row],[Master]]=1, "Master", Table1[[#This Row],[PhD]]=1, "PhD", AND(Table1[[#This Row],[Basic]]=0, Table1[[#This Row],[Graduate]]=0, Table1[[#This Row],[Master]]=0, Table1[[#This Row],[PhD]]=0), "NA")</f>
        <v>Master</v>
      </c>
      <c r="Q1538" t="e">
        <f>_xlfn.XLOOKUP(Table1[[#This Row],[ID]], Table2[ID],#REF!, "Not Found", 0)</f>
        <v>#REF!</v>
      </c>
      <c r="R1538" t="e">
        <f>_xlfn.XLOOKUP(Table1[[#This Row],[ID]], Table2[ID],#REF!, "Not Found", 0)</f>
        <v>#REF!</v>
      </c>
      <c r="S1538" s="3">
        <f>_xlfn.XLOOKUP(Table1[[#This Row],[ID]], Table2[ID], Table2[Enrollment], "Not Found", 0)</f>
        <v>44051</v>
      </c>
      <c r="T1538" t="s">
        <v>437</v>
      </c>
    </row>
    <row r="1539" spans="1:20" x14ac:dyDescent="0.3">
      <c r="A1539">
        <v>1100</v>
      </c>
      <c r="B1539">
        <v>138557</v>
      </c>
      <c r="C1539">
        <v>1</v>
      </c>
      <c r="D1539">
        <v>0</v>
      </c>
      <c r="E1539">
        <v>42</v>
      </c>
      <c r="F1539">
        <v>0</v>
      </c>
      <c r="G1539">
        <v>0</v>
      </c>
      <c r="H1539">
        <v>1</v>
      </c>
      <c r="I1539">
        <v>0</v>
      </c>
      <c r="J1539">
        <v>0</v>
      </c>
      <c r="K1539">
        <v>0</v>
      </c>
      <c r="L1539">
        <v>1</v>
      </c>
      <c r="M1539">
        <v>0</v>
      </c>
      <c r="N1539">
        <v>0</v>
      </c>
      <c r="O1539" t="str" cm="1">
        <f t="array" ref="O1539">_xlfn.IFS(Table1[[#This Row],[Divorced]]=1, "Divorced", Table1[[#This Row],[Married]]=1, "Married", Table1[[#This Row],[Single]]=1, "Single", Table1[[#This Row],[Together]]=1, "Together", Table1[[#This Row],[Widow]]=1, "Widow")</f>
        <v>Single</v>
      </c>
      <c r="P1539" t="str" cm="1">
        <f t="array" ref="P1539">_xlfn.IFS(Table1[[#This Row],[Basic]]=1, "Basic", Table1[[#This Row],[Graduate]]=1, "Graduate", Table1[[#This Row],[Master]]=1, "Master", Table1[[#This Row],[PhD]]=1, "PhD", AND(Table1[[#This Row],[Basic]]=0, Table1[[#This Row],[Graduate]]=0, Table1[[#This Row],[Master]]=0, Table1[[#This Row],[PhD]]=0), "NA")</f>
        <v>Graduate</v>
      </c>
      <c r="Q1539" t="e">
        <f>_xlfn.XLOOKUP(Table1[[#This Row],[ID]], Table2[ID],#REF!, "Not Found", 0)</f>
        <v>#REF!</v>
      </c>
      <c r="R1539" t="e">
        <f>_xlfn.XLOOKUP(Table1[[#This Row],[ID]], Table2[ID],#REF!, "Not Found", 0)</f>
        <v>#REF!</v>
      </c>
      <c r="S1539" s="3" t="str">
        <f>_xlfn.XLOOKUP(Table1[[#This Row],[ID]], Table2[ID], Table2[Enrollment], "Not Found", 0)</f>
        <v>5/26/2019</v>
      </c>
      <c r="T1539" t="s">
        <v>438</v>
      </c>
    </row>
    <row r="1540" spans="1:20" x14ac:dyDescent="0.3">
      <c r="A1540">
        <v>1137</v>
      </c>
      <c r="B1540">
        <v>138547</v>
      </c>
      <c r="C1540">
        <v>1</v>
      </c>
      <c r="D1540">
        <v>0</v>
      </c>
      <c r="E1540">
        <v>39</v>
      </c>
      <c r="F1540">
        <v>0</v>
      </c>
      <c r="G1540">
        <v>0</v>
      </c>
      <c r="H1540">
        <v>0</v>
      </c>
      <c r="I1540">
        <v>1</v>
      </c>
      <c r="J1540">
        <v>0</v>
      </c>
      <c r="K1540">
        <v>0</v>
      </c>
      <c r="L1540">
        <v>1</v>
      </c>
      <c r="M1540">
        <v>0</v>
      </c>
      <c r="N1540">
        <v>0</v>
      </c>
      <c r="O1540" t="str" cm="1">
        <f t="array" ref="O1540">_xlfn.IFS(Table1[[#This Row],[Divorced]]=1, "Divorced", Table1[[#This Row],[Married]]=1, "Married", Table1[[#This Row],[Single]]=1, "Single", Table1[[#This Row],[Together]]=1, "Together", Table1[[#This Row],[Widow]]=1, "Widow")</f>
        <v>Together</v>
      </c>
      <c r="P1540" t="str" cm="1">
        <f t="array" ref="P1540">_xlfn.IFS(Table1[[#This Row],[Basic]]=1, "Basic", Table1[[#This Row],[Graduate]]=1, "Graduate", Table1[[#This Row],[Master]]=1, "Master", Table1[[#This Row],[PhD]]=1, "PhD", AND(Table1[[#This Row],[Basic]]=0, Table1[[#This Row],[Graduate]]=0, Table1[[#This Row],[Master]]=0, Table1[[#This Row],[PhD]]=0), "NA")</f>
        <v>Graduate</v>
      </c>
      <c r="Q1540" t="e">
        <f>_xlfn.XLOOKUP(Table1[[#This Row],[ID]], Table2[ID],#REF!, "Not Found", 0)</f>
        <v>#REF!</v>
      </c>
      <c r="R1540" t="e">
        <f>_xlfn.XLOOKUP(Table1[[#This Row],[ID]], Table2[ID],#REF!, "Not Found", 0)</f>
        <v>#REF!</v>
      </c>
      <c r="S1540" s="3">
        <f>_xlfn.XLOOKUP(Table1[[#This Row],[ID]], Table2[ID], Table2[Enrollment], "Not Found", 0)</f>
        <v>43863</v>
      </c>
      <c r="T1540" t="s">
        <v>435</v>
      </c>
    </row>
    <row r="1541" spans="1:20" x14ac:dyDescent="0.3">
      <c r="A1541">
        <v>2699</v>
      </c>
      <c r="B1541">
        <v>138513</v>
      </c>
      <c r="C1541">
        <v>1</v>
      </c>
      <c r="D1541">
        <v>0</v>
      </c>
      <c r="E1541">
        <v>38</v>
      </c>
      <c r="F1541">
        <v>0</v>
      </c>
      <c r="G1541">
        <v>0</v>
      </c>
      <c r="H1541">
        <v>1</v>
      </c>
      <c r="I1541">
        <v>0</v>
      </c>
      <c r="J1541">
        <v>0</v>
      </c>
      <c r="K1541">
        <v>0</v>
      </c>
      <c r="L1541">
        <v>0</v>
      </c>
      <c r="M1541">
        <v>0</v>
      </c>
      <c r="N1541">
        <v>1</v>
      </c>
      <c r="O1541" t="str" cm="1">
        <f t="array" ref="O1541">_xlfn.IFS(Table1[[#This Row],[Divorced]]=1, "Divorced", Table1[[#This Row],[Married]]=1, "Married", Table1[[#This Row],[Single]]=1, "Single", Table1[[#This Row],[Together]]=1, "Together", Table1[[#This Row],[Widow]]=1, "Widow")</f>
        <v>Single</v>
      </c>
      <c r="P1541" t="str" cm="1">
        <f t="array" ref="P1541">_xlfn.IFS(Table1[[#This Row],[Basic]]=1, "Basic", Table1[[#This Row],[Graduate]]=1, "Graduate", Table1[[#This Row],[Master]]=1, "Master", Table1[[#This Row],[PhD]]=1, "PhD", AND(Table1[[#This Row],[Basic]]=0, Table1[[#This Row],[Graduate]]=0, Table1[[#This Row],[Master]]=0, Table1[[#This Row],[PhD]]=0), "NA")</f>
        <v>PhD</v>
      </c>
      <c r="Q1541" t="e">
        <f>_xlfn.XLOOKUP(Table1[[#This Row],[ID]], Table2[ID],#REF!, "Not Found", 0)</f>
        <v>#REF!</v>
      </c>
      <c r="R1541" t="e">
        <f>_xlfn.XLOOKUP(Table1[[#This Row],[ID]], Table2[ID],#REF!, "Not Found", 0)</f>
        <v>#REF!</v>
      </c>
      <c r="S1541" s="3">
        <f>_xlfn.XLOOKUP(Table1[[#This Row],[ID]], Table2[ID], Table2[Enrollment], "Not Found", 0)</f>
        <v>43928</v>
      </c>
      <c r="T1541" t="s">
        <v>434</v>
      </c>
    </row>
    <row r="1542" spans="1:20" x14ac:dyDescent="0.3">
      <c r="A1542">
        <v>2083</v>
      </c>
      <c r="B1542">
        <v>138508</v>
      </c>
      <c r="C1542">
        <v>1</v>
      </c>
      <c r="D1542">
        <v>0</v>
      </c>
      <c r="E1542">
        <v>34</v>
      </c>
      <c r="F1542">
        <v>0</v>
      </c>
      <c r="G1542">
        <v>1</v>
      </c>
      <c r="H1542">
        <v>0</v>
      </c>
      <c r="I1542">
        <v>0</v>
      </c>
      <c r="J1542">
        <v>0</v>
      </c>
      <c r="K1542">
        <v>0</v>
      </c>
      <c r="L1542">
        <v>1</v>
      </c>
      <c r="M1542">
        <v>0</v>
      </c>
      <c r="N1542">
        <v>0</v>
      </c>
      <c r="O1542" t="str" cm="1">
        <f t="array" ref="O1542">_xlfn.IFS(Table1[[#This Row],[Divorced]]=1, "Divorced", Table1[[#This Row],[Married]]=1, "Married", Table1[[#This Row],[Single]]=1, "Single", Table1[[#This Row],[Together]]=1, "Together", Table1[[#This Row],[Widow]]=1, "Widow")</f>
        <v>Married</v>
      </c>
      <c r="P1542" t="str" cm="1">
        <f t="array" ref="P1542">_xlfn.IFS(Table1[[#This Row],[Basic]]=1, "Basic", Table1[[#This Row],[Graduate]]=1, "Graduate", Table1[[#This Row],[Master]]=1, "Master", Table1[[#This Row],[PhD]]=1, "PhD", AND(Table1[[#This Row],[Basic]]=0, Table1[[#This Row],[Graduate]]=0, Table1[[#This Row],[Master]]=0, Table1[[#This Row],[PhD]]=0), "NA")</f>
        <v>Graduate</v>
      </c>
      <c r="Q1542" t="e">
        <f>_xlfn.XLOOKUP(Table1[[#This Row],[ID]], Table2[ID],#REF!, "Not Found", 0)</f>
        <v>#REF!</v>
      </c>
      <c r="R1542" t="e">
        <f>_xlfn.XLOOKUP(Table1[[#This Row],[ID]], Table2[ID],#REF!, "Not Found", 0)</f>
        <v>#REF!</v>
      </c>
      <c r="S1542" s="3">
        <f>_xlfn.XLOOKUP(Table1[[#This Row],[ID]], Table2[ID], Table2[Enrollment], "Not Found", 0)</f>
        <v>44013</v>
      </c>
      <c r="T1542" t="s">
        <v>437</v>
      </c>
    </row>
    <row r="1543" spans="1:20" x14ac:dyDescent="0.3">
      <c r="A1543">
        <v>2210</v>
      </c>
      <c r="B1543">
        <v>138452</v>
      </c>
      <c r="C1543">
        <v>1</v>
      </c>
      <c r="D1543">
        <v>1</v>
      </c>
      <c r="E1543">
        <v>65</v>
      </c>
      <c r="F1543">
        <v>0</v>
      </c>
      <c r="G1543">
        <v>1</v>
      </c>
      <c r="H1543">
        <v>0</v>
      </c>
      <c r="I1543">
        <v>0</v>
      </c>
      <c r="J1543">
        <v>0</v>
      </c>
      <c r="K1543">
        <v>0</v>
      </c>
      <c r="L1543">
        <v>0</v>
      </c>
      <c r="M1543">
        <v>1</v>
      </c>
      <c r="N1543">
        <v>0</v>
      </c>
      <c r="O1543" t="str" cm="1">
        <f t="array" ref="O1543">_xlfn.IFS(Table1[[#This Row],[Divorced]]=1, "Divorced", Table1[[#This Row],[Married]]=1, "Married", Table1[[#This Row],[Single]]=1, "Single", Table1[[#This Row],[Together]]=1, "Together", Table1[[#This Row],[Widow]]=1, "Widow")</f>
        <v>Married</v>
      </c>
      <c r="P1543" t="str" cm="1">
        <f t="array" ref="P1543">_xlfn.IFS(Table1[[#This Row],[Basic]]=1, "Basic", Table1[[#This Row],[Graduate]]=1, "Graduate", Table1[[#This Row],[Master]]=1, "Master", Table1[[#This Row],[PhD]]=1, "PhD", AND(Table1[[#This Row],[Basic]]=0, Table1[[#This Row],[Graduate]]=0, Table1[[#This Row],[Master]]=0, Table1[[#This Row],[PhD]]=0), "NA")</f>
        <v>Master</v>
      </c>
      <c r="Q1543" t="e">
        <f>_xlfn.XLOOKUP(Table1[[#This Row],[ID]], Table2[ID],#REF!, "Not Found", 0)</f>
        <v>#REF!</v>
      </c>
      <c r="R1543" t="e">
        <f>_xlfn.XLOOKUP(Table1[[#This Row],[ID]], Table2[ID],#REF!, "Not Found", 0)</f>
        <v>#REF!</v>
      </c>
      <c r="S1543" s="3">
        <f>_xlfn.XLOOKUP(Table1[[#This Row],[ID]], Table2[ID], Table2[Enrollment], "Not Found", 0)</f>
        <v>43899</v>
      </c>
      <c r="T1543" t="s">
        <v>438</v>
      </c>
    </row>
    <row r="1544" spans="1:20" x14ac:dyDescent="0.3">
      <c r="A1544">
        <v>2676</v>
      </c>
      <c r="B1544">
        <v>138452</v>
      </c>
      <c r="C1544">
        <v>1</v>
      </c>
      <c r="D1544">
        <v>1</v>
      </c>
      <c r="E1544">
        <v>65</v>
      </c>
      <c r="F1544">
        <v>0</v>
      </c>
      <c r="G1544">
        <v>1</v>
      </c>
      <c r="H1544">
        <v>0</v>
      </c>
      <c r="I1544">
        <v>0</v>
      </c>
      <c r="J1544">
        <v>0</v>
      </c>
      <c r="K1544">
        <v>0</v>
      </c>
      <c r="L1544">
        <v>0</v>
      </c>
      <c r="M1544">
        <v>1</v>
      </c>
      <c r="N1544">
        <v>0</v>
      </c>
      <c r="O1544" t="str" cm="1">
        <f t="array" ref="O1544">_xlfn.IFS(Table1[[#This Row],[Divorced]]=1, "Divorced", Table1[[#This Row],[Married]]=1, "Married", Table1[[#This Row],[Single]]=1, "Single", Table1[[#This Row],[Together]]=1, "Together", Table1[[#This Row],[Widow]]=1, "Widow")</f>
        <v>Married</v>
      </c>
      <c r="P1544" t="str" cm="1">
        <f t="array" ref="P1544">_xlfn.IFS(Table1[[#This Row],[Basic]]=1, "Basic", Table1[[#This Row],[Graduate]]=1, "Graduate", Table1[[#This Row],[Master]]=1, "Master", Table1[[#This Row],[PhD]]=1, "PhD", AND(Table1[[#This Row],[Basic]]=0, Table1[[#This Row],[Graduate]]=0, Table1[[#This Row],[Master]]=0, Table1[[#This Row],[PhD]]=0), "NA")</f>
        <v>Master</v>
      </c>
      <c r="Q1544" t="e">
        <f>_xlfn.XLOOKUP(Table1[[#This Row],[ID]], Table2[ID],#REF!, "Not Found", 0)</f>
        <v>#REF!</v>
      </c>
      <c r="R1544" t="e">
        <f>_xlfn.XLOOKUP(Table1[[#This Row],[ID]], Table2[ID],#REF!, "Not Found", 0)</f>
        <v>#REF!</v>
      </c>
      <c r="S1544" s="3">
        <f>_xlfn.XLOOKUP(Table1[[#This Row],[ID]], Table2[ID], Table2[Enrollment], "Not Found", 0)</f>
        <v>43899</v>
      </c>
      <c r="T1544" t="s">
        <v>436</v>
      </c>
    </row>
    <row r="1545" spans="1:20" x14ac:dyDescent="0.3">
      <c r="A1545">
        <v>1555</v>
      </c>
      <c r="B1545">
        <v>138443</v>
      </c>
      <c r="C1545">
        <v>1</v>
      </c>
      <c r="D1545">
        <v>1</v>
      </c>
      <c r="E1545">
        <v>52</v>
      </c>
      <c r="F1545">
        <v>0</v>
      </c>
      <c r="G1545">
        <v>1</v>
      </c>
      <c r="H1545">
        <v>0</v>
      </c>
      <c r="I1545">
        <v>0</v>
      </c>
      <c r="J1545">
        <v>0</v>
      </c>
      <c r="K1545">
        <v>0</v>
      </c>
      <c r="L1545">
        <v>0</v>
      </c>
      <c r="M1545">
        <v>0</v>
      </c>
      <c r="N1545">
        <v>1</v>
      </c>
      <c r="O1545" t="str" cm="1">
        <f t="array" ref="O1545">_xlfn.IFS(Table1[[#This Row],[Divorced]]=1, "Divorced", Table1[[#This Row],[Married]]=1, "Married", Table1[[#This Row],[Single]]=1, "Single", Table1[[#This Row],[Together]]=1, "Together", Table1[[#This Row],[Widow]]=1, "Widow")</f>
        <v>Married</v>
      </c>
      <c r="P1545" t="str" cm="1">
        <f t="array" ref="P1545">_xlfn.IFS(Table1[[#This Row],[Basic]]=1, "Basic", Table1[[#This Row],[Graduate]]=1, "Graduate", Table1[[#This Row],[Master]]=1, "Master", Table1[[#This Row],[PhD]]=1, "PhD", AND(Table1[[#This Row],[Basic]]=0, Table1[[#This Row],[Graduate]]=0, Table1[[#This Row],[Master]]=0, Table1[[#This Row],[PhD]]=0), "NA")</f>
        <v>PhD</v>
      </c>
      <c r="Q1545" t="e">
        <f>_xlfn.XLOOKUP(Table1[[#This Row],[ID]], Table2[ID],#REF!, "Not Found", 0)</f>
        <v>#REF!</v>
      </c>
      <c r="R1545" t="e">
        <f>_xlfn.XLOOKUP(Table1[[#This Row],[ID]], Table2[ID],#REF!, "Not Found", 0)</f>
        <v>#REF!</v>
      </c>
      <c r="S1545" s="3">
        <f>_xlfn.XLOOKUP(Table1[[#This Row],[ID]], Table2[ID], Table2[Enrollment], "Not Found", 0)</f>
        <v>43897</v>
      </c>
      <c r="T1545" t="s">
        <v>437</v>
      </c>
    </row>
    <row r="1546" spans="1:20" x14ac:dyDescent="0.3">
      <c r="A1546">
        <v>1457</v>
      </c>
      <c r="B1546">
        <v>138415</v>
      </c>
      <c r="C1546">
        <v>1</v>
      </c>
      <c r="D1546">
        <v>1</v>
      </c>
      <c r="E1546">
        <v>42</v>
      </c>
      <c r="F1546">
        <v>0</v>
      </c>
      <c r="G1546">
        <v>1</v>
      </c>
      <c r="H1546">
        <v>0</v>
      </c>
      <c r="I1546">
        <v>0</v>
      </c>
      <c r="J1546">
        <v>0</v>
      </c>
      <c r="K1546">
        <v>0</v>
      </c>
      <c r="L1546">
        <v>1</v>
      </c>
      <c r="M1546">
        <v>0</v>
      </c>
      <c r="N1546">
        <v>0</v>
      </c>
      <c r="O1546" t="str" cm="1">
        <f t="array" ref="O1546">_xlfn.IFS(Table1[[#This Row],[Divorced]]=1, "Divorced", Table1[[#This Row],[Married]]=1, "Married", Table1[[#This Row],[Single]]=1, "Single", Table1[[#This Row],[Together]]=1, "Together", Table1[[#This Row],[Widow]]=1, "Widow")</f>
        <v>Married</v>
      </c>
      <c r="P1546" t="str" cm="1">
        <f t="array" ref="P1546">_xlfn.IFS(Table1[[#This Row],[Basic]]=1, "Basic", Table1[[#This Row],[Graduate]]=1, "Graduate", Table1[[#This Row],[Master]]=1, "Master", Table1[[#This Row],[PhD]]=1, "PhD", AND(Table1[[#This Row],[Basic]]=0, Table1[[#This Row],[Graduate]]=0, Table1[[#This Row],[Master]]=0, Table1[[#This Row],[PhD]]=0), "NA")</f>
        <v>Graduate</v>
      </c>
      <c r="Q1546" t="e">
        <f>_xlfn.XLOOKUP(Table1[[#This Row],[ID]], Table2[ID],#REF!, "Not Found", 0)</f>
        <v>#REF!</v>
      </c>
      <c r="R1546" t="e">
        <f>_xlfn.XLOOKUP(Table1[[#This Row],[ID]], Table2[ID],#REF!, "Not Found", 0)</f>
        <v>#REF!</v>
      </c>
      <c r="S1546" s="3">
        <f>_xlfn.XLOOKUP(Table1[[#This Row],[ID]], Table2[ID], Table2[Enrollment], "Not Found", 0)</f>
        <v>43714</v>
      </c>
      <c r="T1546" t="s">
        <v>434</v>
      </c>
    </row>
    <row r="1547" spans="1:20" x14ac:dyDescent="0.3">
      <c r="A1547">
        <v>2435</v>
      </c>
      <c r="B1547">
        <v>138410</v>
      </c>
      <c r="C1547">
        <v>0</v>
      </c>
      <c r="D1547">
        <v>0</v>
      </c>
      <c r="E1547">
        <v>46</v>
      </c>
      <c r="F1547">
        <v>0</v>
      </c>
      <c r="G1547">
        <v>1</v>
      </c>
      <c r="H1547">
        <v>0</v>
      </c>
      <c r="I1547">
        <v>0</v>
      </c>
      <c r="J1547">
        <v>0</v>
      </c>
      <c r="K1547">
        <v>0</v>
      </c>
      <c r="L1547">
        <v>0</v>
      </c>
      <c r="M1547">
        <v>0</v>
      </c>
      <c r="N1547">
        <v>1</v>
      </c>
      <c r="O1547" t="str" cm="1">
        <f t="array" ref="O1547">_xlfn.IFS(Table1[[#This Row],[Divorced]]=1, "Divorced", Table1[[#This Row],[Married]]=1, "Married", Table1[[#This Row],[Single]]=1, "Single", Table1[[#This Row],[Together]]=1, "Together", Table1[[#This Row],[Widow]]=1, "Widow")</f>
        <v>Married</v>
      </c>
      <c r="P1547" t="str" cm="1">
        <f t="array" ref="P1547">_xlfn.IFS(Table1[[#This Row],[Basic]]=1, "Basic", Table1[[#This Row],[Graduate]]=1, "Graduate", Table1[[#This Row],[Master]]=1, "Master", Table1[[#This Row],[PhD]]=1, "PhD", AND(Table1[[#This Row],[Basic]]=0, Table1[[#This Row],[Graduate]]=0, Table1[[#This Row],[Master]]=0, Table1[[#This Row],[PhD]]=0), "NA")</f>
        <v>PhD</v>
      </c>
      <c r="Q1547" t="e">
        <f>_xlfn.XLOOKUP(Table1[[#This Row],[ID]], Table2[ID],#REF!, "Not Found", 0)</f>
        <v>#REF!</v>
      </c>
      <c r="R1547" t="e">
        <f>_xlfn.XLOOKUP(Table1[[#This Row],[ID]], Table2[ID],#REF!, "Not Found", 0)</f>
        <v>#REF!</v>
      </c>
      <c r="S1547" s="3" t="str">
        <f>_xlfn.XLOOKUP(Table1[[#This Row],[ID]], Table2[ID], Table2[Enrollment], "Not Found", 0)</f>
        <v>2/19/2019</v>
      </c>
      <c r="T1547" t="s">
        <v>434</v>
      </c>
    </row>
    <row r="1548" spans="1:20" x14ac:dyDescent="0.3">
      <c r="A1548">
        <v>1278</v>
      </c>
      <c r="B1548">
        <v>138361</v>
      </c>
      <c r="C1548">
        <v>1</v>
      </c>
      <c r="D1548">
        <v>0</v>
      </c>
      <c r="E1548">
        <v>51</v>
      </c>
      <c r="F1548">
        <v>0</v>
      </c>
      <c r="G1548">
        <v>0</v>
      </c>
      <c r="H1548">
        <v>0</v>
      </c>
      <c r="I1548">
        <v>1</v>
      </c>
      <c r="J1548">
        <v>0</v>
      </c>
      <c r="K1548">
        <v>0</v>
      </c>
      <c r="L1548">
        <v>1</v>
      </c>
      <c r="M1548">
        <v>0</v>
      </c>
      <c r="N1548">
        <v>0</v>
      </c>
      <c r="O1548" t="str" cm="1">
        <f t="array" ref="O1548">_xlfn.IFS(Table1[[#This Row],[Divorced]]=1, "Divorced", Table1[[#This Row],[Married]]=1, "Married", Table1[[#This Row],[Single]]=1, "Single", Table1[[#This Row],[Together]]=1, "Together", Table1[[#This Row],[Widow]]=1, "Widow")</f>
        <v>Together</v>
      </c>
      <c r="P1548" t="str" cm="1">
        <f t="array" ref="P1548">_xlfn.IFS(Table1[[#This Row],[Basic]]=1, "Basic", Table1[[#This Row],[Graduate]]=1, "Graduate", Table1[[#This Row],[Master]]=1, "Master", Table1[[#This Row],[PhD]]=1, "PhD", AND(Table1[[#This Row],[Basic]]=0, Table1[[#This Row],[Graduate]]=0, Table1[[#This Row],[Master]]=0, Table1[[#This Row],[PhD]]=0), "NA")</f>
        <v>Graduate</v>
      </c>
      <c r="Q1548" t="e">
        <f>_xlfn.XLOOKUP(Table1[[#This Row],[ID]], Table2[ID],#REF!, "Not Found", 0)</f>
        <v>#REF!</v>
      </c>
      <c r="R1548" t="e">
        <f>_xlfn.XLOOKUP(Table1[[#This Row],[ID]], Table2[ID],#REF!, "Not Found", 0)</f>
        <v>#REF!</v>
      </c>
      <c r="S1548" s="3">
        <f>_xlfn.XLOOKUP(Table1[[#This Row],[ID]], Table2[ID], Table2[Enrollment], "Not Found", 0)</f>
        <v>43867</v>
      </c>
      <c r="T1548" t="s">
        <v>436</v>
      </c>
    </row>
    <row r="1549" spans="1:20" x14ac:dyDescent="0.3">
      <c r="A1549">
        <v>3034</v>
      </c>
      <c r="B1549">
        <v>138361</v>
      </c>
      <c r="C1549">
        <v>1</v>
      </c>
      <c r="D1549">
        <v>0</v>
      </c>
      <c r="E1549">
        <v>51</v>
      </c>
      <c r="F1549">
        <v>0</v>
      </c>
      <c r="G1549">
        <v>0</v>
      </c>
      <c r="H1549">
        <v>0</v>
      </c>
      <c r="I1549">
        <v>1</v>
      </c>
      <c r="J1549">
        <v>0</v>
      </c>
      <c r="K1549">
        <v>0</v>
      </c>
      <c r="L1549">
        <v>1</v>
      </c>
      <c r="M1549">
        <v>0</v>
      </c>
      <c r="N1549">
        <v>0</v>
      </c>
      <c r="O1549" t="str" cm="1">
        <f t="array" ref="O1549">_xlfn.IFS(Table1[[#This Row],[Divorced]]=1, "Divorced", Table1[[#This Row],[Married]]=1, "Married", Table1[[#This Row],[Single]]=1, "Single", Table1[[#This Row],[Together]]=1, "Together", Table1[[#This Row],[Widow]]=1, "Widow")</f>
        <v>Together</v>
      </c>
      <c r="P1549" t="str" cm="1">
        <f t="array" ref="P1549">_xlfn.IFS(Table1[[#This Row],[Basic]]=1, "Basic", Table1[[#This Row],[Graduate]]=1, "Graduate", Table1[[#This Row],[Master]]=1, "Master", Table1[[#This Row],[PhD]]=1, "PhD", AND(Table1[[#This Row],[Basic]]=0, Table1[[#This Row],[Graduate]]=0, Table1[[#This Row],[Master]]=0, Table1[[#This Row],[PhD]]=0), "NA")</f>
        <v>Graduate</v>
      </c>
      <c r="Q1549" t="e">
        <f>_xlfn.XLOOKUP(Table1[[#This Row],[ID]], Table2[ID],#REF!, "Not Found", 0)</f>
        <v>#REF!</v>
      </c>
      <c r="R1549" t="e">
        <f>_xlfn.XLOOKUP(Table1[[#This Row],[ID]], Table2[ID],#REF!, "Not Found", 0)</f>
        <v>#REF!</v>
      </c>
      <c r="S1549" s="3">
        <f>_xlfn.XLOOKUP(Table1[[#This Row],[ID]], Table2[ID], Table2[Enrollment], "Not Found", 0)</f>
        <v>43867</v>
      </c>
      <c r="T1549" t="s">
        <v>439</v>
      </c>
    </row>
    <row r="1550" spans="1:20" x14ac:dyDescent="0.3">
      <c r="A1550">
        <v>1027</v>
      </c>
      <c r="B1550">
        <v>138360</v>
      </c>
      <c r="C1550">
        <v>1</v>
      </c>
      <c r="D1550">
        <v>0</v>
      </c>
      <c r="E1550">
        <v>31</v>
      </c>
      <c r="F1550">
        <v>0</v>
      </c>
      <c r="G1550">
        <v>1</v>
      </c>
      <c r="H1550">
        <v>0</v>
      </c>
      <c r="I1550">
        <v>0</v>
      </c>
      <c r="J1550">
        <v>0</v>
      </c>
      <c r="K1550">
        <v>0</v>
      </c>
      <c r="L1550">
        <v>1</v>
      </c>
      <c r="M1550">
        <v>0</v>
      </c>
      <c r="N1550">
        <v>0</v>
      </c>
      <c r="O1550" t="str" cm="1">
        <f t="array" ref="O1550">_xlfn.IFS(Table1[[#This Row],[Divorced]]=1, "Divorced", Table1[[#This Row],[Married]]=1, "Married", Table1[[#This Row],[Single]]=1, "Single", Table1[[#This Row],[Together]]=1, "Together", Table1[[#This Row],[Widow]]=1, "Widow")</f>
        <v>Married</v>
      </c>
      <c r="P1550" t="str" cm="1">
        <f t="array" ref="P1550">_xlfn.IFS(Table1[[#This Row],[Basic]]=1, "Basic", Table1[[#This Row],[Graduate]]=1, "Graduate", Table1[[#This Row],[Master]]=1, "Master", Table1[[#This Row],[PhD]]=1, "PhD", AND(Table1[[#This Row],[Basic]]=0, Table1[[#This Row],[Graduate]]=0, Table1[[#This Row],[Master]]=0, Table1[[#This Row],[PhD]]=0), "NA")</f>
        <v>Graduate</v>
      </c>
      <c r="Q1550" t="e">
        <f>_xlfn.XLOOKUP(Table1[[#This Row],[ID]], Table2[ID],#REF!, "Not Found", 0)</f>
        <v>#REF!</v>
      </c>
      <c r="R1550" t="e">
        <f>_xlfn.XLOOKUP(Table1[[#This Row],[ID]], Table2[ID],#REF!, "Not Found", 0)</f>
        <v>#REF!</v>
      </c>
      <c r="S1550" s="3">
        <f>_xlfn.XLOOKUP(Table1[[#This Row],[ID]], Table2[ID], Table2[Enrollment], "Not Found", 0)</f>
        <v>43596</v>
      </c>
      <c r="T1550" t="s">
        <v>437</v>
      </c>
    </row>
    <row r="1551" spans="1:20" x14ac:dyDescent="0.3">
      <c r="A1551">
        <v>1167</v>
      </c>
      <c r="B1551">
        <v>138285</v>
      </c>
      <c r="C1551">
        <v>2</v>
      </c>
      <c r="D1551">
        <v>1</v>
      </c>
      <c r="E1551">
        <v>61</v>
      </c>
      <c r="F1551">
        <v>0</v>
      </c>
      <c r="G1551">
        <v>0</v>
      </c>
      <c r="H1551">
        <v>0</v>
      </c>
      <c r="I1551">
        <v>1</v>
      </c>
      <c r="J1551">
        <v>0</v>
      </c>
      <c r="K1551">
        <v>0</v>
      </c>
      <c r="L1551">
        <v>1</v>
      </c>
      <c r="M1551">
        <v>0</v>
      </c>
      <c r="N1551">
        <v>0</v>
      </c>
      <c r="O1551" t="str" cm="1">
        <f t="array" ref="O1551">_xlfn.IFS(Table1[[#This Row],[Divorced]]=1, "Divorced", Table1[[#This Row],[Married]]=1, "Married", Table1[[#This Row],[Single]]=1, "Single", Table1[[#This Row],[Together]]=1, "Together", Table1[[#This Row],[Widow]]=1, "Widow")</f>
        <v>Together</v>
      </c>
      <c r="P1551" t="str" cm="1">
        <f t="array" ref="P1551">_xlfn.IFS(Table1[[#This Row],[Basic]]=1, "Basic", Table1[[#This Row],[Graduate]]=1, "Graduate", Table1[[#This Row],[Master]]=1, "Master", Table1[[#This Row],[PhD]]=1, "PhD", AND(Table1[[#This Row],[Basic]]=0, Table1[[#This Row],[Graduate]]=0, Table1[[#This Row],[Master]]=0, Table1[[#This Row],[PhD]]=0), "NA")</f>
        <v>Graduate</v>
      </c>
      <c r="Q1551" t="e">
        <f>_xlfn.XLOOKUP(Table1[[#This Row],[ID]], Table2[ID],#REF!, "Not Found", 0)</f>
        <v>#REF!</v>
      </c>
      <c r="R1551" t="e">
        <f>_xlfn.XLOOKUP(Table1[[#This Row],[ID]], Table2[ID],#REF!, "Not Found", 0)</f>
        <v>#REF!</v>
      </c>
      <c r="S1551" s="3" t="str">
        <f>_xlfn.XLOOKUP(Table1[[#This Row],[ID]], Table2[ID], Table2[Enrollment], "Not Found", 0)</f>
        <v>11/28/2020</v>
      </c>
      <c r="T1551" t="s">
        <v>435</v>
      </c>
    </row>
    <row r="1552" spans="1:20" x14ac:dyDescent="0.3">
      <c r="A1552">
        <v>2952</v>
      </c>
      <c r="B1552">
        <v>138236</v>
      </c>
      <c r="C1552">
        <v>1</v>
      </c>
      <c r="D1552">
        <v>1</v>
      </c>
      <c r="E1552">
        <v>52</v>
      </c>
      <c r="F1552">
        <v>0</v>
      </c>
      <c r="G1552">
        <v>0</v>
      </c>
      <c r="H1552">
        <v>1</v>
      </c>
      <c r="I1552">
        <v>0</v>
      </c>
      <c r="J1552">
        <v>0</v>
      </c>
      <c r="K1552">
        <v>0</v>
      </c>
      <c r="L1552">
        <v>0</v>
      </c>
      <c r="M1552">
        <v>0</v>
      </c>
      <c r="N1552">
        <v>1</v>
      </c>
      <c r="O1552" t="str" cm="1">
        <f t="array" ref="O1552">_xlfn.IFS(Table1[[#This Row],[Divorced]]=1, "Divorced", Table1[[#This Row],[Married]]=1, "Married", Table1[[#This Row],[Single]]=1, "Single", Table1[[#This Row],[Together]]=1, "Together", Table1[[#This Row],[Widow]]=1, "Widow")</f>
        <v>Single</v>
      </c>
      <c r="P1552" t="str" cm="1">
        <f t="array" ref="P1552">_xlfn.IFS(Table1[[#This Row],[Basic]]=1, "Basic", Table1[[#This Row],[Graduate]]=1, "Graduate", Table1[[#This Row],[Master]]=1, "Master", Table1[[#This Row],[PhD]]=1, "PhD", AND(Table1[[#This Row],[Basic]]=0, Table1[[#This Row],[Graduate]]=0, Table1[[#This Row],[Master]]=0, Table1[[#This Row],[PhD]]=0), "NA")</f>
        <v>PhD</v>
      </c>
      <c r="Q1552" t="e">
        <f>_xlfn.XLOOKUP(Table1[[#This Row],[ID]], Table2[ID],#REF!, "Not Found", 0)</f>
        <v>#REF!</v>
      </c>
      <c r="R1552" t="e">
        <f>_xlfn.XLOOKUP(Table1[[#This Row],[ID]], Table2[ID],#REF!, "Not Found", 0)</f>
        <v>#REF!</v>
      </c>
      <c r="S1552" s="3" t="str">
        <f>_xlfn.XLOOKUP(Table1[[#This Row],[ID]], Table2[ID], Table2[Enrollment], "Not Found", 0)</f>
        <v>2/25/2020</v>
      </c>
      <c r="T1552" t="s">
        <v>436</v>
      </c>
    </row>
    <row r="1553" spans="1:20" x14ac:dyDescent="0.3">
      <c r="A1553">
        <v>2656</v>
      </c>
      <c r="B1553">
        <v>138232</v>
      </c>
      <c r="C1553">
        <v>1</v>
      </c>
      <c r="D1553">
        <v>1</v>
      </c>
      <c r="E1553">
        <v>49</v>
      </c>
      <c r="F1553">
        <v>0</v>
      </c>
      <c r="G1553">
        <v>0</v>
      </c>
      <c r="H1553">
        <v>0</v>
      </c>
      <c r="I1553">
        <v>1</v>
      </c>
      <c r="J1553">
        <v>0</v>
      </c>
      <c r="K1553">
        <v>0</v>
      </c>
      <c r="L1553">
        <v>1</v>
      </c>
      <c r="M1553">
        <v>0</v>
      </c>
      <c r="N1553">
        <v>0</v>
      </c>
      <c r="O1553" t="str" cm="1">
        <f t="array" ref="O1553">_xlfn.IFS(Table1[[#This Row],[Divorced]]=1, "Divorced", Table1[[#This Row],[Married]]=1, "Married", Table1[[#This Row],[Single]]=1, "Single", Table1[[#This Row],[Together]]=1, "Together", Table1[[#This Row],[Widow]]=1, "Widow")</f>
        <v>Together</v>
      </c>
      <c r="P1553" t="str" cm="1">
        <f t="array" ref="P1553">_xlfn.IFS(Table1[[#This Row],[Basic]]=1, "Basic", Table1[[#This Row],[Graduate]]=1, "Graduate", Table1[[#This Row],[Master]]=1, "Master", Table1[[#This Row],[PhD]]=1, "PhD", AND(Table1[[#This Row],[Basic]]=0, Table1[[#This Row],[Graduate]]=0, Table1[[#This Row],[Master]]=0, Table1[[#This Row],[PhD]]=0), "NA")</f>
        <v>Graduate</v>
      </c>
      <c r="Q1553" t="e">
        <f>_xlfn.XLOOKUP(Table1[[#This Row],[ID]], Table2[ID],#REF!, "Not Found", 0)</f>
        <v>#REF!</v>
      </c>
      <c r="R1553" t="e">
        <f>_xlfn.XLOOKUP(Table1[[#This Row],[ID]], Table2[ID],#REF!, "Not Found", 0)</f>
        <v>#REF!</v>
      </c>
      <c r="S1553" s="3" t="str">
        <f>_xlfn.XLOOKUP(Table1[[#This Row],[ID]], Table2[ID], Table2[Enrollment], "Not Found", 0)</f>
        <v>6/23/2020</v>
      </c>
      <c r="T1553" t="s">
        <v>439</v>
      </c>
    </row>
    <row r="1554" spans="1:20" x14ac:dyDescent="0.3">
      <c r="A1554">
        <v>2551</v>
      </c>
      <c r="B1554">
        <v>138201</v>
      </c>
      <c r="C1554">
        <v>0</v>
      </c>
      <c r="D1554">
        <v>1</v>
      </c>
      <c r="E1554">
        <v>60</v>
      </c>
      <c r="F1554">
        <v>0</v>
      </c>
      <c r="G1554">
        <v>0</v>
      </c>
      <c r="H1554">
        <v>0</v>
      </c>
      <c r="I1554">
        <v>1</v>
      </c>
      <c r="J1554">
        <v>0</v>
      </c>
      <c r="K1554">
        <v>0</v>
      </c>
      <c r="L1554">
        <v>0</v>
      </c>
      <c r="M1554">
        <v>0</v>
      </c>
      <c r="N1554">
        <v>1</v>
      </c>
      <c r="O1554" t="str" cm="1">
        <f t="array" ref="O1554">_xlfn.IFS(Table1[[#This Row],[Divorced]]=1, "Divorced", Table1[[#This Row],[Married]]=1, "Married", Table1[[#This Row],[Single]]=1, "Single", Table1[[#This Row],[Together]]=1, "Together", Table1[[#This Row],[Widow]]=1, "Widow")</f>
        <v>Together</v>
      </c>
      <c r="P1554" t="str" cm="1">
        <f t="array" ref="P1554">_xlfn.IFS(Table1[[#This Row],[Basic]]=1, "Basic", Table1[[#This Row],[Graduate]]=1, "Graduate", Table1[[#This Row],[Master]]=1, "Master", Table1[[#This Row],[PhD]]=1, "PhD", AND(Table1[[#This Row],[Basic]]=0, Table1[[#This Row],[Graduate]]=0, Table1[[#This Row],[Master]]=0, Table1[[#This Row],[PhD]]=0), "NA")</f>
        <v>PhD</v>
      </c>
      <c r="Q1554" t="e">
        <f>_xlfn.XLOOKUP(Table1[[#This Row],[ID]], Table2[ID],#REF!, "Not Found", 0)</f>
        <v>#REF!</v>
      </c>
      <c r="R1554" t="e">
        <f>_xlfn.XLOOKUP(Table1[[#This Row],[ID]], Table2[ID],#REF!, "Not Found", 0)</f>
        <v>#REF!</v>
      </c>
      <c r="S1554" s="3">
        <f>_xlfn.XLOOKUP(Table1[[#This Row],[ID]], Table2[ID], Table2[Enrollment], "Not Found", 0)</f>
        <v>43533</v>
      </c>
      <c r="T1554" t="s">
        <v>437</v>
      </c>
    </row>
    <row r="1555" spans="1:20" x14ac:dyDescent="0.3">
      <c r="A1555">
        <v>1553</v>
      </c>
      <c r="B1555">
        <v>138200</v>
      </c>
      <c r="C1555">
        <v>1</v>
      </c>
      <c r="D1555">
        <v>1</v>
      </c>
      <c r="E1555">
        <v>50</v>
      </c>
      <c r="F1555">
        <v>0</v>
      </c>
      <c r="G1555">
        <v>0</v>
      </c>
      <c r="H1555">
        <v>0</v>
      </c>
      <c r="I1555">
        <v>1</v>
      </c>
      <c r="J1555">
        <v>0</v>
      </c>
      <c r="K1555">
        <v>0</v>
      </c>
      <c r="L1555">
        <v>1</v>
      </c>
      <c r="M1555">
        <v>0</v>
      </c>
      <c r="N1555">
        <v>0</v>
      </c>
      <c r="O1555" t="str" cm="1">
        <f t="array" ref="O1555">_xlfn.IFS(Table1[[#This Row],[Divorced]]=1, "Divorced", Table1[[#This Row],[Married]]=1, "Married", Table1[[#This Row],[Single]]=1, "Single", Table1[[#This Row],[Together]]=1, "Together", Table1[[#This Row],[Widow]]=1, "Widow")</f>
        <v>Together</v>
      </c>
      <c r="P1555" t="str" cm="1">
        <f t="array" ref="P1555">_xlfn.IFS(Table1[[#This Row],[Basic]]=1, "Basic", Table1[[#This Row],[Graduate]]=1, "Graduate", Table1[[#This Row],[Master]]=1, "Master", Table1[[#This Row],[PhD]]=1, "PhD", AND(Table1[[#This Row],[Basic]]=0, Table1[[#This Row],[Graduate]]=0, Table1[[#This Row],[Master]]=0, Table1[[#This Row],[PhD]]=0), "NA")</f>
        <v>Graduate</v>
      </c>
      <c r="Q1555" t="e">
        <f>_xlfn.XLOOKUP(Table1[[#This Row],[ID]], Table2[ID],#REF!, "Not Found", 0)</f>
        <v>#REF!</v>
      </c>
      <c r="R1555" t="e">
        <f>_xlfn.XLOOKUP(Table1[[#This Row],[ID]], Table2[ID],#REF!, "Not Found", 0)</f>
        <v>#REF!</v>
      </c>
      <c r="S1555" s="3" t="str">
        <f>_xlfn.XLOOKUP(Table1[[#This Row],[ID]], Table2[ID], Table2[Enrollment], "Not Found", 0)</f>
        <v>5/14/2019</v>
      </c>
      <c r="T1555" t="s">
        <v>434</v>
      </c>
    </row>
    <row r="1556" spans="1:20" x14ac:dyDescent="0.3">
      <c r="A1556">
        <v>2212</v>
      </c>
      <c r="B1556">
        <v>138197</v>
      </c>
      <c r="C1556">
        <v>1</v>
      </c>
      <c r="D1556">
        <v>0</v>
      </c>
      <c r="E1556">
        <v>34</v>
      </c>
      <c r="F1556">
        <v>0</v>
      </c>
      <c r="G1556">
        <v>0</v>
      </c>
      <c r="H1556">
        <v>0</v>
      </c>
      <c r="I1556">
        <v>1</v>
      </c>
      <c r="J1556">
        <v>0</v>
      </c>
      <c r="K1556">
        <v>0</v>
      </c>
      <c r="L1556">
        <v>0</v>
      </c>
      <c r="M1556">
        <v>0</v>
      </c>
      <c r="N1556">
        <v>1</v>
      </c>
      <c r="O1556" t="str" cm="1">
        <f t="array" ref="O1556">_xlfn.IFS(Table1[[#This Row],[Divorced]]=1, "Divorced", Table1[[#This Row],[Married]]=1, "Married", Table1[[#This Row],[Single]]=1, "Single", Table1[[#This Row],[Together]]=1, "Together", Table1[[#This Row],[Widow]]=1, "Widow")</f>
        <v>Together</v>
      </c>
      <c r="P1556" t="str" cm="1">
        <f t="array" ref="P1556">_xlfn.IFS(Table1[[#This Row],[Basic]]=1, "Basic", Table1[[#This Row],[Graduate]]=1, "Graduate", Table1[[#This Row],[Master]]=1, "Master", Table1[[#This Row],[PhD]]=1, "PhD", AND(Table1[[#This Row],[Basic]]=0, Table1[[#This Row],[Graduate]]=0, Table1[[#This Row],[Master]]=0, Table1[[#This Row],[PhD]]=0), "NA")</f>
        <v>PhD</v>
      </c>
      <c r="Q1556" t="e">
        <f>_xlfn.XLOOKUP(Table1[[#This Row],[ID]], Table2[ID],#REF!, "Not Found", 0)</f>
        <v>#REF!</v>
      </c>
      <c r="R1556" t="e">
        <f>_xlfn.XLOOKUP(Table1[[#This Row],[ID]], Table2[ID],#REF!, "Not Found", 0)</f>
        <v>#REF!</v>
      </c>
      <c r="S1556" s="3">
        <f>_xlfn.XLOOKUP(Table1[[#This Row],[ID]], Table2[ID], Table2[Enrollment], "Not Found", 0)</f>
        <v>43567</v>
      </c>
      <c r="T1556" t="s">
        <v>439</v>
      </c>
    </row>
    <row r="1557" spans="1:20" x14ac:dyDescent="0.3">
      <c r="A1557">
        <v>1995</v>
      </c>
      <c r="B1557">
        <v>138196</v>
      </c>
      <c r="C1557">
        <v>1</v>
      </c>
      <c r="D1557">
        <v>1</v>
      </c>
      <c r="E1557">
        <v>49</v>
      </c>
      <c r="F1557">
        <v>0</v>
      </c>
      <c r="G1557">
        <v>1</v>
      </c>
      <c r="H1557">
        <v>0</v>
      </c>
      <c r="I1557">
        <v>0</v>
      </c>
      <c r="J1557">
        <v>0</v>
      </c>
      <c r="K1557">
        <v>0</v>
      </c>
      <c r="L1557">
        <v>0</v>
      </c>
      <c r="M1557">
        <v>1</v>
      </c>
      <c r="N1557">
        <v>0</v>
      </c>
      <c r="O1557" t="str" cm="1">
        <f t="array" ref="O1557">_xlfn.IFS(Table1[[#This Row],[Divorced]]=1, "Divorced", Table1[[#This Row],[Married]]=1, "Married", Table1[[#This Row],[Single]]=1, "Single", Table1[[#This Row],[Together]]=1, "Together", Table1[[#This Row],[Widow]]=1, "Widow")</f>
        <v>Married</v>
      </c>
      <c r="P1557" t="str" cm="1">
        <f t="array" ref="P1557">_xlfn.IFS(Table1[[#This Row],[Basic]]=1, "Basic", Table1[[#This Row],[Graduate]]=1, "Graduate", Table1[[#This Row],[Master]]=1, "Master", Table1[[#This Row],[PhD]]=1, "PhD", AND(Table1[[#This Row],[Basic]]=0, Table1[[#This Row],[Graduate]]=0, Table1[[#This Row],[Master]]=0, Table1[[#This Row],[PhD]]=0), "NA")</f>
        <v>Master</v>
      </c>
      <c r="Q1557" t="e">
        <f>_xlfn.XLOOKUP(Table1[[#This Row],[ID]], Table2[ID],#REF!, "Not Found", 0)</f>
        <v>#REF!</v>
      </c>
      <c r="R1557" t="e">
        <f>_xlfn.XLOOKUP(Table1[[#This Row],[ID]], Table2[ID],#REF!, "Not Found", 0)</f>
        <v>#REF!</v>
      </c>
      <c r="S1557" s="3" t="str">
        <f>_xlfn.XLOOKUP(Table1[[#This Row],[ID]], Table2[ID], Table2[Enrollment], "Not Found", 0)</f>
        <v>9/22/2020</v>
      </c>
      <c r="T1557" t="s">
        <v>435</v>
      </c>
    </row>
    <row r="1558" spans="1:20" x14ac:dyDescent="0.3">
      <c r="A1558">
        <v>1252</v>
      </c>
      <c r="B1558">
        <v>138179</v>
      </c>
      <c r="C1558">
        <v>1</v>
      </c>
      <c r="D1558">
        <v>1</v>
      </c>
      <c r="E1558">
        <v>54</v>
      </c>
      <c r="F1558">
        <v>0</v>
      </c>
      <c r="G1558">
        <v>1</v>
      </c>
      <c r="H1558">
        <v>0</v>
      </c>
      <c r="I1558">
        <v>0</v>
      </c>
      <c r="J1558">
        <v>0</v>
      </c>
      <c r="K1558">
        <v>0</v>
      </c>
      <c r="L1558">
        <v>0</v>
      </c>
      <c r="M1558">
        <v>1</v>
      </c>
      <c r="N1558">
        <v>0</v>
      </c>
      <c r="O1558" t="str" cm="1">
        <f t="array" ref="O1558">_xlfn.IFS(Table1[[#This Row],[Divorced]]=1, "Divorced", Table1[[#This Row],[Married]]=1, "Married", Table1[[#This Row],[Single]]=1, "Single", Table1[[#This Row],[Together]]=1, "Together", Table1[[#This Row],[Widow]]=1, "Widow")</f>
        <v>Married</v>
      </c>
      <c r="P1558" t="str" cm="1">
        <f t="array" ref="P1558">_xlfn.IFS(Table1[[#This Row],[Basic]]=1, "Basic", Table1[[#This Row],[Graduate]]=1, "Graduate", Table1[[#This Row],[Master]]=1, "Master", Table1[[#This Row],[PhD]]=1, "PhD", AND(Table1[[#This Row],[Basic]]=0, Table1[[#This Row],[Graduate]]=0, Table1[[#This Row],[Master]]=0, Table1[[#This Row],[PhD]]=0), "NA")</f>
        <v>Master</v>
      </c>
      <c r="Q1558" t="e">
        <f>_xlfn.XLOOKUP(Table1[[#This Row],[ID]], Table2[ID],#REF!, "Not Found", 0)</f>
        <v>#REF!</v>
      </c>
      <c r="R1558" t="e">
        <f>_xlfn.XLOOKUP(Table1[[#This Row],[ID]], Table2[ID],#REF!, "Not Found", 0)</f>
        <v>#REF!</v>
      </c>
      <c r="S1558" s="3" t="str">
        <f>_xlfn.XLOOKUP(Table1[[#This Row],[ID]], Table2[ID], Table2[Enrollment], "Not Found", 0)</f>
        <v>8/19/2019</v>
      </c>
      <c r="T1558" t="s">
        <v>439</v>
      </c>
    </row>
    <row r="1559" spans="1:20" x14ac:dyDescent="0.3">
      <c r="A1559">
        <v>2680</v>
      </c>
      <c r="B1559">
        <v>138175</v>
      </c>
      <c r="C1559">
        <v>1</v>
      </c>
      <c r="D1559">
        <v>0</v>
      </c>
      <c r="E1559">
        <v>36</v>
      </c>
      <c r="F1559">
        <v>0</v>
      </c>
      <c r="G1559">
        <v>1</v>
      </c>
      <c r="H1559">
        <v>0</v>
      </c>
      <c r="I1559">
        <v>0</v>
      </c>
      <c r="J1559">
        <v>0</v>
      </c>
      <c r="K1559">
        <v>0</v>
      </c>
      <c r="L1559">
        <v>0</v>
      </c>
      <c r="M1559">
        <v>0</v>
      </c>
      <c r="N1559">
        <v>1</v>
      </c>
      <c r="O1559" t="str" cm="1">
        <f t="array" ref="O1559">_xlfn.IFS(Table1[[#This Row],[Divorced]]=1, "Divorced", Table1[[#This Row],[Married]]=1, "Married", Table1[[#This Row],[Single]]=1, "Single", Table1[[#This Row],[Together]]=1, "Together", Table1[[#This Row],[Widow]]=1, "Widow")</f>
        <v>Married</v>
      </c>
      <c r="P1559" t="str" cm="1">
        <f t="array" ref="P1559">_xlfn.IFS(Table1[[#This Row],[Basic]]=1, "Basic", Table1[[#This Row],[Graduate]]=1, "Graduate", Table1[[#This Row],[Master]]=1, "Master", Table1[[#This Row],[PhD]]=1, "PhD", AND(Table1[[#This Row],[Basic]]=0, Table1[[#This Row],[Graduate]]=0, Table1[[#This Row],[Master]]=0, Table1[[#This Row],[PhD]]=0), "NA")</f>
        <v>PhD</v>
      </c>
      <c r="Q1559" t="e">
        <f>_xlfn.XLOOKUP(Table1[[#This Row],[ID]], Table2[ID],#REF!, "Not Found", 0)</f>
        <v>#REF!</v>
      </c>
      <c r="R1559" t="e">
        <f>_xlfn.XLOOKUP(Table1[[#This Row],[ID]], Table2[ID],#REF!, "Not Found", 0)</f>
        <v>#REF!</v>
      </c>
      <c r="S1559" s="3" t="str">
        <f>_xlfn.XLOOKUP(Table1[[#This Row],[ID]], Table2[ID], Table2[Enrollment], "Not Found", 0)</f>
        <v>2/28/2020</v>
      </c>
      <c r="T1559" t="s">
        <v>439</v>
      </c>
    </row>
    <row r="1560" spans="1:20" x14ac:dyDescent="0.3">
      <c r="A1560">
        <v>2336</v>
      </c>
      <c r="B1560">
        <v>138136</v>
      </c>
      <c r="C1560">
        <v>1</v>
      </c>
      <c r="D1560">
        <v>0</v>
      </c>
      <c r="E1560">
        <v>42</v>
      </c>
      <c r="F1560">
        <v>0</v>
      </c>
      <c r="G1560">
        <v>1</v>
      </c>
      <c r="H1560">
        <v>0</v>
      </c>
      <c r="I1560">
        <v>0</v>
      </c>
      <c r="J1560">
        <v>0</v>
      </c>
      <c r="K1560">
        <v>0</v>
      </c>
      <c r="L1560">
        <v>1</v>
      </c>
      <c r="M1560">
        <v>0</v>
      </c>
      <c r="N1560">
        <v>0</v>
      </c>
      <c r="O1560" t="str" cm="1">
        <f t="array" ref="O1560">_xlfn.IFS(Table1[[#This Row],[Divorced]]=1, "Divorced", Table1[[#This Row],[Married]]=1, "Married", Table1[[#This Row],[Single]]=1, "Single", Table1[[#This Row],[Together]]=1, "Together", Table1[[#This Row],[Widow]]=1, "Widow")</f>
        <v>Married</v>
      </c>
      <c r="P1560" t="str" cm="1">
        <f t="array" ref="P1560">_xlfn.IFS(Table1[[#This Row],[Basic]]=1, "Basic", Table1[[#This Row],[Graduate]]=1, "Graduate", Table1[[#This Row],[Master]]=1, "Master", Table1[[#This Row],[PhD]]=1, "PhD", AND(Table1[[#This Row],[Basic]]=0, Table1[[#This Row],[Graduate]]=0, Table1[[#This Row],[Master]]=0, Table1[[#This Row],[PhD]]=0), "NA")</f>
        <v>Graduate</v>
      </c>
      <c r="Q1560" t="e">
        <f>_xlfn.XLOOKUP(Table1[[#This Row],[ID]], Table2[ID],#REF!, "Not Found", 0)</f>
        <v>#REF!</v>
      </c>
      <c r="R1560" t="e">
        <f>_xlfn.XLOOKUP(Table1[[#This Row],[ID]], Table2[ID],#REF!, "Not Found", 0)</f>
        <v>#REF!</v>
      </c>
      <c r="S1560" s="3" t="str">
        <f>_xlfn.XLOOKUP(Table1[[#This Row],[ID]], Table2[ID], Table2[Enrollment], "Not Found", 0)</f>
        <v>9/27/2019</v>
      </c>
      <c r="T1560" t="s">
        <v>438</v>
      </c>
    </row>
    <row r="1561" spans="1:20" x14ac:dyDescent="0.3">
      <c r="A1561">
        <v>1254</v>
      </c>
      <c r="B1561">
        <v>138097</v>
      </c>
      <c r="C1561">
        <v>1</v>
      </c>
      <c r="D1561">
        <v>1</v>
      </c>
      <c r="E1561">
        <v>50</v>
      </c>
      <c r="F1561">
        <v>0</v>
      </c>
      <c r="G1561">
        <v>1</v>
      </c>
      <c r="H1561">
        <v>0</v>
      </c>
      <c r="I1561">
        <v>0</v>
      </c>
      <c r="J1561">
        <v>0</v>
      </c>
      <c r="K1561">
        <v>0</v>
      </c>
      <c r="L1561">
        <v>0</v>
      </c>
      <c r="M1561">
        <v>0</v>
      </c>
      <c r="N1561">
        <v>1</v>
      </c>
      <c r="O1561" t="str" cm="1">
        <f t="array" ref="O1561">_xlfn.IFS(Table1[[#This Row],[Divorced]]=1, "Divorced", Table1[[#This Row],[Married]]=1, "Married", Table1[[#This Row],[Single]]=1, "Single", Table1[[#This Row],[Together]]=1, "Together", Table1[[#This Row],[Widow]]=1, "Widow")</f>
        <v>Married</v>
      </c>
      <c r="P1561" t="str" cm="1">
        <f t="array" ref="P1561">_xlfn.IFS(Table1[[#This Row],[Basic]]=1, "Basic", Table1[[#This Row],[Graduate]]=1, "Graduate", Table1[[#This Row],[Master]]=1, "Master", Table1[[#This Row],[PhD]]=1, "PhD", AND(Table1[[#This Row],[Basic]]=0, Table1[[#This Row],[Graduate]]=0, Table1[[#This Row],[Master]]=0, Table1[[#This Row],[PhD]]=0), "NA")</f>
        <v>PhD</v>
      </c>
      <c r="Q1561" t="e">
        <f>_xlfn.XLOOKUP(Table1[[#This Row],[ID]], Table2[ID],#REF!, "Not Found", 0)</f>
        <v>#REF!</v>
      </c>
      <c r="R1561" t="e">
        <f>_xlfn.XLOOKUP(Table1[[#This Row],[ID]], Table2[ID],#REF!, "Not Found", 0)</f>
        <v>#REF!</v>
      </c>
      <c r="S1561" s="3" t="str">
        <f>_xlfn.XLOOKUP(Table1[[#This Row],[ID]], Table2[ID], Table2[Enrollment], "Not Found", 0)</f>
        <v>3/22/2019</v>
      </c>
      <c r="T1561" t="s">
        <v>436</v>
      </c>
    </row>
    <row r="1562" spans="1:20" x14ac:dyDescent="0.3">
      <c r="A1562">
        <v>3180</v>
      </c>
      <c r="B1562">
        <v>138054</v>
      </c>
      <c r="C1562">
        <v>1</v>
      </c>
      <c r="D1562">
        <v>1</v>
      </c>
      <c r="E1562">
        <v>70</v>
      </c>
      <c r="F1562">
        <v>1</v>
      </c>
      <c r="G1562">
        <v>0</v>
      </c>
      <c r="H1562">
        <v>0</v>
      </c>
      <c r="I1562">
        <v>0</v>
      </c>
      <c r="J1562">
        <v>0</v>
      </c>
      <c r="K1562">
        <v>0</v>
      </c>
      <c r="L1562">
        <v>0</v>
      </c>
      <c r="M1562">
        <v>1</v>
      </c>
      <c r="N1562">
        <v>0</v>
      </c>
      <c r="O1562" t="str" cm="1">
        <f t="array" ref="O1562">_xlfn.IFS(Table1[[#This Row],[Divorced]]=1, "Divorced", Table1[[#This Row],[Married]]=1, "Married", Table1[[#This Row],[Single]]=1, "Single", Table1[[#This Row],[Together]]=1, "Together", Table1[[#This Row],[Widow]]=1, "Widow")</f>
        <v>Divorced</v>
      </c>
      <c r="P1562" t="str" cm="1">
        <f t="array" ref="P1562">_xlfn.IFS(Table1[[#This Row],[Basic]]=1, "Basic", Table1[[#This Row],[Graduate]]=1, "Graduate", Table1[[#This Row],[Master]]=1, "Master", Table1[[#This Row],[PhD]]=1, "PhD", AND(Table1[[#This Row],[Basic]]=0, Table1[[#This Row],[Graduate]]=0, Table1[[#This Row],[Master]]=0, Table1[[#This Row],[PhD]]=0), "NA")</f>
        <v>Master</v>
      </c>
      <c r="Q1562" t="e">
        <f>_xlfn.XLOOKUP(Table1[[#This Row],[ID]], Table2[ID],#REF!, "Not Found", 0)</f>
        <v>#REF!</v>
      </c>
      <c r="R1562" t="e">
        <f>_xlfn.XLOOKUP(Table1[[#This Row],[ID]], Table2[ID],#REF!, "Not Found", 0)</f>
        <v>#REF!</v>
      </c>
      <c r="S1562" s="3">
        <f>_xlfn.XLOOKUP(Table1[[#This Row],[ID]], Table2[ID], Table2[Enrollment], "Not Found", 0)</f>
        <v>43961</v>
      </c>
      <c r="T1562" t="s">
        <v>436</v>
      </c>
    </row>
    <row r="1563" spans="1:20" x14ac:dyDescent="0.3">
      <c r="A1563">
        <v>2347</v>
      </c>
      <c r="B1563">
        <v>137971</v>
      </c>
      <c r="C1563">
        <v>1</v>
      </c>
      <c r="D1563">
        <v>0</v>
      </c>
      <c r="E1563">
        <v>47</v>
      </c>
      <c r="F1563">
        <v>0</v>
      </c>
      <c r="G1563">
        <v>1</v>
      </c>
      <c r="H1563">
        <v>0</v>
      </c>
      <c r="I1563">
        <v>0</v>
      </c>
      <c r="J1563">
        <v>0</v>
      </c>
      <c r="K1563">
        <v>0</v>
      </c>
      <c r="L1563">
        <v>1</v>
      </c>
      <c r="M1563">
        <v>0</v>
      </c>
      <c r="N1563">
        <v>0</v>
      </c>
      <c r="O1563" t="str" cm="1">
        <f t="array" ref="O1563">_xlfn.IFS(Table1[[#This Row],[Divorced]]=1, "Divorced", Table1[[#This Row],[Married]]=1, "Married", Table1[[#This Row],[Single]]=1, "Single", Table1[[#This Row],[Together]]=1, "Together", Table1[[#This Row],[Widow]]=1, "Widow")</f>
        <v>Married</v>
      </c>
      <c r="P1563" t="str" cm="1">
        <f t="array" ref="P1563">_xlfn.IFS(Table1[[#This Row],[Basic]]=1, "Basic", Table1[[#This Row],[Graduate]]=1, "Graduate", Table1[[#This Row],[Master]]=1, "Master", Table1[[#This Row],[PhD]]=1, "PhD", AND(Table1[[#This Row],[Basic]]=0, Table1[[#This Row],[Graduate]]=0, Table1[[#This Row],[Master]]=0, Table1[[#This Row],[PhD]]=0), "NA")</f>
        <v>Graduate</v>
      </c>
      <c r="Q1563" t="e">
        <f>_xlfn.XLOOKUP(Table1[[#This Row],[ID]], Table2[ID],#REF!, "Not Found", 0)</f>
        <v>#REF!</v>
      </c>
      <c r="R1563" t="e">
        <f>_xlfn.XLOOKUP(Table1[[#This Row],[ID]], Table2[ID],#REF!, "Not Found", 0)</f>
        <v>#REF!</v>
      </c>
      <c r="S1563" s="3">
        <f>_xlfn.XLOOKUP(Table1[[#This Row],[ID]], Table2[ID], Table2[Enrollment], "Not Found", 0)</f>
        <v>43835</v>
      </c>
      <c r="T1563" t="s">
        <v>437</v>
      </c>
    </row>
    <row r="1564" spans="1:20" x14ac:dyDescent="0.3">
      <c r="A1564">
        <v>2645</v>
      </c>
      <c r="B1564">
        <v>137929</v>
      </c>
      <c r="C1564">
        <v>0</v>
      </c>
      <c r="D1564">
        <v>0</v>
      </c>
      <c r="E1564">
        <v>35</v>
      </c>
      <c r="F1564">
        <v>0</v>
      </c>
      <c r="G1564">
        <v>0</v>
      </c>
      <c r="H1564">
        <v>1</v>
      </c>
      <c r="I1564">
        <v>0</v>
      </c>
      <c r="J1564">
        <v>0</v>
      </c>
      <c r="K1564">
        <v>0</v>
      </c>
      <c r="L1564">
        <v>0</v>
      </c>
      <c r="M1564">
        <v>0</v>
      </c>
      <c r="N1564">
        <v>1</v>
      </c>
      <c r="O1564" t="str" cm="1">
        <f t="array" ref="O1564">_xlfn.IFS(Table1[[#This Row],[Divorced]]=1, "Divorced", Table1[[#This Row],[Married]]=1, "Married", Table1[[#This Row],[Single]]=1, "Single", Table1[[#This Row],[Together]]=1, "Together", Table1[[#This Row],[Widow]]=1, "Widow")</f>
        <v>Single</v>
      </c>
      <c r="P1564" t="str" cm="1">
        <f t="array" ref="P1564">_xlfn.IFS(Table1[[#This Row],[Basic]]=1, "Basic", Table1[[#This Row],[Graduate]]=1, "Graduate", Table1[[#This Row],[Master]]=1, "Master", Table1[[#This Row],[PhD]]=1, "PhD", AND(Table1[[#This Row],[Basic]]=0, Table1[[#This Row],[Graduate]]=0, Table1[[#This Row],[Master]]=0, Table1[[#This Row],[PhD]]=0), "NA")</f>
        <v>PhD</v>
      </c>
      <c r="Q1564" t="e">
        <f>_xlfn.XLOOKUP(Table1[[#This Row],[ID]], Table2[ID],#REF!, "Not Found", 0)</f>
        <v>#REF!</v>
      </c>
      <c r="R1564" t="e">
        <f>_xlfn.XLOOKUP(Table1[[#This Row],[ID]], Table2[ID],#REF!, "Not Found", 0)</f>
        <v>#REF!</v>
      </c>
      <c r="S1564" s="3">
        <f>_xlfn.XLOOKUP(Table1[[#This Row],[ID]], Table2[ID], Table2[Enrollment], "Not Found", 0)</f>
        <v>43922</v>
      </c>
      <c r="T1564" t="s">
        <v>434</v>
      </c>
    </row>
    <row r="1565" spans="1:20" x14ac:dyDescent="0.3">
      <c r="A1565">
        <v>1808</v>
      </c>
      <c r="B1565">
        <v>137859</v>
      </c>
      <c r="C1565">
        <v>1</v>
      </c>
      <c r="D1565">
        <v>2</v>
      </c>
      <c r="E1565">
        <v>58</v>
      </c>
      <c r="F1565">
        <v>1</v>
      </c>
      <c r="G1565">
        <v>0</v>
      </c>
      <c r="H1565">
        <v>0</v>
      </c>
      <c r="I1565">
        <v>0</v>
      </c>
      <c r="J1565">
        <v>0</v>
      </c>
      <c r="K1565">
        <v>0</v>
      </c>
      <c r="L1565">
        <v>1</v>
      </c>
      <c r="M1565">
        <v>0</v>
      </c>
      <c r="N1565">
        <v>0</v>
      </c>
      <c r="O1565" t="str" cm="1">
        <f t="array" ref="O1565">_xlfn.IFS(Table1[[#This Row],[Divorced]]=1, "Divorced", Table1[[#This Row],[Married]]=1, "Married", Table1[[#This Row],[Single]]=1, "Single", Table1[[#This Row],[Together]]=1, "Together", Table1[[#This Row],[Widow]]=1, "Widow")</f>
        <v>Divorced</v>
      </c>
      <c r="P1565" t="str" cm="1">
        <f t="array" ref="P1565">_xlfn.IFS(Table1[[#This Row],[Basic]]=1, "Basic", Table1[[#This Row],[Graduate]]=1, "Graduate", Table1[[#This Row],[Master]]=1, "Master", Table1[[#This Row],[PhD]]=1, "PhD", AND(Table1[[#This Row],[Basic]]=0, Table1[[#This Row],[Graduate]]=0, Table1[[#This Row],[Master]]=0, Table1[[#This Row],[PhD]]=0), "NA")</f>
        <v>Graduate</v>
      </c>
      <c r="Q1565" t="e">
        <f>_xlfn.XLOOKUP(Table1[[#This Row],[ID]], Table2[ID],#REF!, "Not Found", 0)</f>
        <v>#REF!</v>
      </c>
      <c r="R1565" t="e">
        <f>_xlfn.XLOOKUP(Table1[[#This Row],[ID]], Table2[ID],#REF!, "Not Found", 0)</f>
        <v>#REF!</v>
      </c>
      <c r="S1565" s="3" t="str">
        <f>_xlfn.XLOOKUP(Table1[[#This Row],[ID]], Table2[ID], Table2[Enrollment], "Not Found", 0)</f>
        <v>6/19/2019</v>
      </c>
      <c r="T1565" t="s">
        <v>438</v>
      </c>
    </row>
    <row r="1566" spans="1:20" x14ac:dyDescent="0.3">
      <c r="A1566">
        <v>2494</v>
      </c>
      <c r="B1566">
        <v>137787</v>
      </c>
      <c r="C1566">
        <v>1</v>
      </c>
      <c r="D1566">
        <v>0</v>
      </c>
      <c r="E1566">
        <v>48</v>
      </c>
      <c r="F1566">
        <v>0</v>
      </c>
      <c r="G1566">
        <v>1</v>
      </c>
      <c r="H1566">
        <v>0</v>
      </c>
      <c r="I1566">
        <v>0</v>
      </c>
      <c r="J1566">
        <v>0</v>
      </c>
      <c r="K1566">
        <v>0</v>
      </c>
      <c r="L1566">
        <v>0</v>
      </c>
      <c r="M1566">
        <v>1</v>
      </c>
      <c r="N1566">
        <v>0</v>
      </c>
      <c r="O1566" t="str" cm="1">
        <f t="array" ref="O1566">_xlfn.IFS(Table1[[#This Row],[Divorced]]=1, "Divorced", Table1[[#This Row],[Married]]=1, "Married", Table1[[#This Row],[Single]]=1, "Single", Table1[[#This Row],[Together]]=1, "Together", Table1[[#This Row],[Widow]]=1, "Widow")</f>
        <v>Married</v>
      </c>
      <c r="P1566" t="str" cm="1">
        <f t="array" ref="P1566">_xlfn.IFS(Table1[[#This Row],[Basic]]=1, "Basic", Table1[[#This Row],[Graduate]]=1, "Graduate", Table1[[#This Row],[Master]]=1, "Master", Table1[[#This Row],[PhD]]=1, "PhD", AND(Table1[[#This Row],[Basic]]=0, Table1[[#This Row],[Graduate]]=0, Table1[[#This Row],[Master]]=0, Table1[[#This Row],[PhD]]=0), "NA")</f>
        <v>Master</v>
      </c>
      <c r="Q1566" t="e">
        <f>_xlfn.XLOOKUP(Table1[[#This Row],[ID]], Table2[ID],#REF!, "Not Found", 0)</f>
        <v>#REF!</v>
      </c>
      <c r="R1566" t="e">
        <f>_xlfn.XLOOKUP(Table1[[#This Row],[ID]], Table2[ID],#REF!, "Not Found", 0)</f>
        <v>#REF!</v>
      </c>
      <c r="S1566" s="3" t="str">
        <f>_xlfn.XLOOKUP(Table1[[#This Row],[ID]], Table2[ID], Table2[Enrollment], "Not Found", 0)</f>
        <v>2/25/2020</v>
      </c>
      <c r="T1566" t="s">
        <v>439</v>
      </c>
    </row>
    <row r="1567" spans="1:20" x14ac:dyDescent="0.3">
      <c r="A1567">
        <v>2303</v>
      </c>
      <c r="B1567">
        <v>137774</v>
      </c>
      <c r="C1567">
        <v>2</v>
      </c>
      <c r="D1567">
        <v>0</v>
      </c>
      <c r="E1567">
        <v>43</v>
      </c>
      <c r="F1567">
        <v>0</v>
      </c>
      <c r="G1567">
        <v>0</v>
      </c>
      <c r="H1567">
        <v>1</v>
      </c>
      <c r="I1567">
        <v>0</v>
      </c>
      <c r="J1567">
        <v>0</v>
      </c>
      <c r="K1567">
        <v>0</v>
      </c>
      <c r="L1567">
        <v>1</v>
      </c>
      <c r="M1567">
        <v>0</v>
      </c>
      <c r="N1567">
        <v>0</v>
      </c>
      <c r="O1567" t="str" cm="1">
        <f t="array" ref="O1567">_xlfn.IFS(Table1[[#This Row],[Divorced]]=1, "Divorced", Table1[[#This Row],[Married]]=1, "Married", Table1[[#This Row],[Single]]=1, "Single", Table1[[#This Row],[Together]]=1, "Together", Table1[[#This Row],[Widow]]=1, "Widow")</f>
        <v>Single</v>
      </c>
      <c r="P1567" t="str" cm="1">
        <f t="array" ref="P1567">_xlfn.IFS(Table1[[#This Row],[Basic]]=1, "Basic", Table1[[#This Row],[Graduate]]=1, "Graduate", Table1[[#This Row],[Master]]=1, "Master", Table1[[#This Row],[PhD]]=1, "PhD", AND(Table1[[#This Row],[Basic]]=0, Table1[[#This Row],[Graduate]]=0, Table1[[#This Row],[Master]]=0, Table1[[#This Row],[PhD]]=0), "NA")</f>
        <v>Graduate</v>
      </c>
      <c r="Q1567" t="e">
        <f>_xlfn.XLOOKUP(Table1[[#This Row],[ID]], Table2[ID],#REF!, "Not Found", 0)</f>
        <v>#REF!</v>
      </c>
      <c r="R1567" t="e">
        <f>_xlfn.XLOOKUP(Table1[[#This Row],[ID]], Table2[ID],#REF!, "Not Found", 0)</f>
        <v>#REF!</v>
      </c>
      <c r="S1567" s="3">
        <f>_xlfn.XLOOKUP(Table1[[#This Row],[ID]], Table2[ID], Table2[Enrollment], "Not Found", 0)</f>
        <v>43679</v>
      </c>
      <c r="T1567" t="s">
        <v>434</v>
      </c>
    </row>
    <row r="1568" spans="1:20" x14ac:dyDescent="0.3">
      <c r="A1568">
        <v>1017</v>
      </c>
      <c r="B1568">
        <v>137760</v>
      </c>
      <c r="C1568">
        <v>0</v>
      </c>
      <c r="D1568">
        <v>0</v>
      </c>
      <c r="E1568">
        <v>74</v>
      </c>
      <c r="F1568">
        <v>0</v>
      </c>
      <c r="G1568">
        <v>0</v>
      </c>
      <c r="H1568">
        <v>0</v>
      </c>
      <c r="I1568">
        <v>1</v>
      </c>
      <c r="J1568">
        <v>0</v>
      </c>
      <c r="K1568">
        <v>0</v>
      </c>
      <c r="L1568">
        <v>1</v>
      </c>
      <c r="M1568">
        <v>0</v>
      </c>
      <c r="N1568">
        <v>0</v>
      </c>
      <c r="O1568" t="str" cm="1">
        <f t="array" ref="O1568">_xlfn.IFS(Table1[[#This Row],[Divorced]]=1, "Divorced", Table1[[#This Row],[Married]]=1, "Married", Table1[[#This Row],[Single]]=1, "Single", Table1[[#This Row],[Together]]=1, "Together", Table1[[#This Row],[Widow]]=1, "Widow")</f>
        <v>Together</v>
      </c>
      <c r="P1568" t="str" cm="1">
        <f t="array" ref="P1568">_xlfn.IFS(Table1[[#This Row],[Basic]]=1, "Basic", Table1[[#This Row],[Graduate]]=1, "Graduate", Table1[[#This Row],[Master]]=1, "Master", Table1[[#This Row],[PhD]]=1, "PhD", AND(Table1[[#This Row],[Basic]]=0, Table1[[#This Row],[Graduate]]=0, Table1[[#This Row],[Master]]=0, Table1[[#This Row],[PhD]]=0), "NA")</f>
        <v>Graduate</v>
      </c>
      <c r="Q1568" t="e">
        <f>_xlfn.XLOOKUP(Table1[[#This Row],[ID]], Table2[ID],#REF!, "Not Found", 0)</f>
        <v>#REF!</v>
      </c>
      <c r="R1568" t="e">
        <f>_xlfn.XLOOKUP(Table1[[#This Row],[ID]], Table2[ID],#REF!, "Not Found", 0)</f>
        <v>#REF!</v>
      </c>
      <c r="S1568" s="3">
        <f>_xlfn.XLOOKUP(Table1[[#This Row],[ID]], Table2[ID], Table2[Enrollment], "Not Found", 0)</f>
        <v>43587</v>
      </c>
      <c r="T1568" t="s">
        <v>435</v>
      </c>
    </row>
    <row r="1569" spans="1:20" x14ac:dyDescent="0.3">
      <c r="A1569">
        <v>1269</v>
      </c>
      <c r="B1569">
        <v>137760</v>
      </c>
      <c r="C1569">
        <v>0</v>
      </c>
      <c r="D1569">
        <v>0</v>
      </c>
      <c r="E1569">
        <v>74</v>
      </c>
      <c r="F1569">
        <v>0</v>
      </c>
      <c r="G1569">
        <v>0</v>
      </c>
      <c r="H1569">
        <v>0</v>
      </c>
      <c r="I1569">
        <v>1</v>
      </c>
      <c r="J1569">
        <v>0</v>
      </c>
      <c r="K1569">
        <v>0</v>
      </c>
      <c r="L1569">
        <v>1</v>
      </c>
      <c r="M1569">
        <v>0</v>
      </c>
      <c r="N1569">
        <v>0</v>
      </c>
      <c r="O1569" t="str" cm="1">
        <f t="array" ref="O1569">_xlfn.IFS(Table1[[#This Row],[Divorced]]=1, "Divorced", Table1[[#This Row],[Married]]=1, "Married", Table1[[#This Row],[Single]]=1, "Single", Table1[[#This Row],[Together]]=1, "Together", Table1[[#This Row],[Widow]]=1, "Widow")</f>
        <v>Together</v>
      </c>
      <c r="P1569" t="str" cm="1">
        <f t="array" ref="P1569">_xlfn.IFS(Table1[[#This Row],[Basic]]=1, "Basic", Table1[[#This Row],[Graduate]]=1, "Graduate", Table1[[#This Row],[Master]]=1, "Master", Table1[[#This Row],[PhD]]=1, "PhD", AND(Table1[[#This Row],[Basic]]=0, Table1[[#This Row],[Graduate]]=0, Table1[[#This Row],[Master]]=0, Table1[[#This Row],[PhD]]=0), "NA")</f>
        <v>Graduate</v>
      </c>
      <c r="Q1569" t="e">
        <f>_xlfn.XLOOKUP(Table1[[#This Row],[ID]], Table2[ID],#REF!, "Not Found", 0)</f>
        <v>#REF!</v>
      </c>
      <c r="R1569" t="e">
        <f>_xlfn.XLOOKUP(Table1[[#This Row],[ID]], Table2[ID],#REF!, "Not Found", 0)</f>
        <v>#REF!</v>
      </c>
      <c r="S1569" s="3">
        <f>_xlfn.XLOOKUP(Table1[[#This Row],[ID]], Table2[ID], Table2[Enrollment], "Not Found", 0)</f>
        <v>43587</v>
      </c>
      <c r="T1569" t="s">
        <v>435</v>
      </c>
    </row>
    <row r="1570" spans="1:20" x14ac:dyDescent="0.3">
      <c r="A1570">
        <v>1465</v>
      </c>
      <c r="B1570">
        <v>137760</v>
      </c>
      <c r="C1570">
        <v>1</v>
      </c>
      <c r="D1570">
        <v>0</v>
      </c>
      <c r="E1570">
        <v>48</v>
      </c>
      <c r="F1570">
        <v>1</v>
      </c>
      <c r="G1570">
        <v>0</v>
      </c>
      <c r="H1570">
        <v>0</v>
      </c>
      <c r="I1570">
        <v>0</v>
      </c>
      <c r="J1570">
        <v>0</v>
      </c>
      <c r="K1570">
        <v>0</v>
      </c>
      <c r="L1570">
        <v>0</v>
      </c>
      <c r="M1570">
        <v>1</v>
      </c>
      <c r="N1570">
        <v>0</v>
      </c>
      <c r="O1570" t="str" cm="1">
        <f t="array" ref="O1570">_xlfn.IFS(Table1[[#This Row],[Divorced]]=1, "Divorced", Table1[[#This Row],[Married]]=1, "Married", Table1[[#This Row],[Single]]=1, "Single", Table1[[#This Row],[Together]]=1, "Together", Table1[[#This Row],[Widow]]=1, "Widow")</f>
        <v>Divorced</v>
      </c>
      <c r="P1570" t="str" cm="1">
        <f t="array" ref="P1570">_xlfn.IFS(Table1[[#This Row],[Basic]]=1, "Basic", Table1[[#This Row],[Graduate]]=1, "Graduate", Table1[[#This Row],[Master]]=1, "Master", Table1[[#This Row],[PhD]]=1, "PhD", AND(Table1[[#This Row],[Basic]]=0, Table1[[#This Row],[Graduate]]=0, Table1[[#This Row],[Master]]=0, Table1[[#This Row],[PhD]]=0), "NA")</f>
        <v>Master</v>
      </c>
      <c r="Q1570" t="e">
        <f>_xlfn.XLOOKUP(Table1[[#This Row],[ID]], Table2[ID],#REF!, "Not Found", 0)</f>
        <v>#REF!</v>
      </c>
      <c r="R1570" t="e">
        <f>_xlfn.XLOOKUP(Table1[[#This Row],[ID]], Table2[ID],#REF!, "Not Found", 0)</f>
        <v>#REF!</v>
      </c>
      <c r="S1570" s="3" t="str">
        <f>_xlfn.XLOOKUP(Table1[[#This Row],[ID]], Table2[ID], Table2[Enrollment], "Not Found", 0)</f>
        <v>1/16/2020</v>
      </c>
      <c r="T1570" t="s">
        <v>437</v>
      </c>
    </row>
    <row r="1571" spans="1:20" x14ac:dyDescent="0.3">
      <c r="A1571">
        <v>1839</v>
      </c>
      <c r="B1571">
        <v>137758</v>
      </c>
      <c r="C1571">
        <v>1</v>
      </c>
      <c r="D1571">
        <v>1</v>
      </c>
      <c r="E1571">
        <v>54</v>
      </c>
      <c r="F1571">
        <v>0</v>
      </c>
      <c r="G1571">
        <v>0</v>
      </c>
      <c r="H1571">
        <v>0</v>
      </c>
      <c r="I1571">
        <v>1</v>
      </c>
      <c r="J1571">
        <v>0</v>
      </c>
      <c r="K1571">
        <v>0</v>
      </c>
      <c r="L1571">
        <v>1</v>
      </c>
      <c r="M1571">
        <v>0</v>
      </c>
      <c r="N1571">
        <v>0</v>
      </c>
      <c r="O1571" t="str" cm="1">
        <f t="array" ref="O1571">_xlfn.IFS(Table1[[#This Row],[Divorced]]=1, "Divorced", Table1[[#This Row],[Married]]=1, "Married", Table1[[#This Row],[Single]]=1, "Single", Table1[[#This Row],[Together]]=1, "Together", Table1[[#This Row],[Widow]]=1, "Widow")</f>
        <v>Together</v>
      </c>
      <c r="P1571" t="str" cm="1">
        <f t="array" ref="P1571">_xlfn.IFS(Table1[[#This Row],[Basic]]=1, "Basic", Table1[[#This Row],[Graduate]]=1, "Graduate", Table1[[#This Row],[Master]]=1, "Master", Table1[[#This Row],[PhD]]=1, "PhD", AND(Table1[[#This Row],[Basic]]=0, Table1[[#This Row],[Graduate]]=0, Table1[[#This Row],[Master]]=0, Table1[[#This Row],[PhD]]=0), "NA")</f>
        <v>Graduate</v>
      </c>
      <c r="Q1571" t="e">
        <f>_xlfn.XLOOKUP(Table1[[#This Row],[ID]], Table2[ID],#REF!, "Not Found", 0)</f>
        <v>#REF!</v>
      </c>
      <c r="R1571" t="e">
        <f>_xlfn.XLOOKUP(Table1[[#This Row],[ID]], Table2[ID],#REF!, "Not Found", 0)</f>
        <v>#REF!</v>
      </c>
      <c r="S1571" s="3">
        <f>_xlfn.XLOOKUP(Table1[[#This Row],[ID]], Table2[ID], Table2[Enrollment], "Not Found", 0)</f>
        <v>43772</v>
      </c>
      <c r="T1571" t="s">
        <v>435</v>
      </c>
    </row>
    <row r="1572" spans="1:20" x14ac:dyDescent="0.3">
      <c r="A1572">
        <v>2785</v>
      </c>
      <c r="B1572">
        <v>137758</v>
      </c>
      <c r="C1572">
        <v>1</v>
      </c>
      <c r="D1572">
        <v>1</v>
      </c>
      <c r="E1572">
        <v>54</v>
      </c>
      <c r="F1572">
        <v>0</v>
      </c>
      <c r="G1572">
        <v>0</v>
      </c>
      <c r="H1572">
        <v>0</v>
      </c>
      <c r="I1572">
        <v>1</v>
      </c>
      <c r="J1572">
        <v>0</v>
      </c>
      <c r="K1572">
        <v>0</v>
      </c>
      <c r="L1572">
        <v>1</v>
      </c>
      <c r="M1572">
        <v>0</v>
      </c>
      <c r="N1572">
        <v>0</v>
      </c>
      <c r="O1572" t="str" cm="1">
        <f t="array" ref="O1572">_xlfn.IFS(Table1[[#This Row],[Divorced]]=1, "Divorced", Table1[[#This Row],[Married]]=1, "Married", Table1[[#This Row],[Single]]=1, "Single", Table1[[#This Row],[Together]]=1, "Together", Table1[[#This Row],[Widow]]=1, "Widow")</f>
        <v>Together</v>
      </c>
      <c r="P1572" t="str" cm="1">
        <f t="array" ref="P1572">_xlfn.IFS(Table1[[#This Row],[Basic]]=1, "Basic", Table1[[#This Row],[Graduate]]=1, "Graduate", Table1[[#This Row],[Master]]=1, "Master", Table1[[#This Row],[PhD]]=1, "PhD", AND(Table1[[#This Row],[Basic]]=0, Table1[[#This Row],[Graduate]]=0, Table1[[#This Row],[Master]]=0, Table1[[#This Row],[PhD]]=0), "NA")</f>
        <v>Graduate</v>
      </c>
      <c r="Q1572" t="e">
        <f>_xlfn.XLOOKUP(Table1[[#This Row],[ID]], Table2[ID],#REF!, "Not Found", 0)</f>
        <v>#REF!</v>
      </c>
      <c r="R1572" t="e">
        <f>_xlfn.XLOOKUP(Table1[[#This Row],[ID]], Table2[ID],#REF!, "Not Found", 0)</f>
        <v>#REF!</v>
      </c>
      <c r="S1572" s="3">
        <f>_xlfn.XLOOKUP(Table1[[#This Row],[ID]], Table2[ID], Table2[Enrollment], "Not Found", 0)</f>
        <v>43772</v>
      </c>
      <c r="T1572" t="s">
        <v>437</v>
      </c>
    </row>
    <row r="1573" spans="1:20" x14ac:dyDescent="0.3">
      <c r="A1573">
        <v>1250</v>
      </c>
      <c r="B1573">
        <v>137717</v>
      </c>
      <c r="C1573">
        <v>1</v>
      </c>
      <c r="D1573">
        <v>0</v>
      </c>
      <c r="E1573">
        <v>42</v>
      </c>
      <c r="F1573">
        <v>0</v>
      </c>
      <c r="G1573">
        <v>1</v>
      </c>
      <c r="H1573">
        <v>0</v>
      </c>
      <c r="I1573">
        <v>0</v>
      </c>
      <c r="J1573">
        <v>0</v>
      </c>
      <c r="K1573">
        <v>0</v>
      </c>
      <c r="L1573">
        <v>0</v>
      </c>
      <c r="M1573">
        <v>0</v>
      </c>
      <c r="N1573">
        <v>1</v>
      </c>
      <c r="O1573" t="str" cm="1">
        <f t="array" ref="O1573">_xlfn.IFS(Table1[[#This Row],[Divorced]]=1, "Divorced", Table1[[#This Row],[Married]]=1, "Married", Table1[[#This Row],[Single]]=1, "Single", Table1[[#This Row],[Together]]=1, "Together", Table1[[#This Row],[Widow]]=1, "Widow")</f>
        <v>Married</v>
      </c>
      <c r="P1573" t="str" cm="1">
        <f t="array" ref="P1573">_xlfn.IFS(Table1[[#This Row],[Basic]]=1, "Basic", Table1[[#This Row],[Graduate]]=1, "Graduate", Table1[[#This Row],[Master]]=1, "Master", Table1[[#This Row],[PhD]]=1, "PhD", AND(Table1[[#This Row],[Basic]]=0, Table1[[#This Row],[Graduate]]=0, Table1[[#This Row],[Master]]=0, Table1[[#This Row],[PhD]]=0), "NA")</f>
        <v>PhD</v>
      </c>
      <c r="Q1573" t="e">
        <f>_xlfn.XLOOKUP(Table1[[#This Row],[ID]], Table2[ID],#REF!, "Not Found", 0)</f>
        <v>#REF!</v>
      </c>
      <c r="R1573" t="e">
        <f>_xlfn.XLOOKUP(Table1[[#This Row],[ID]], Table2[ID],#REF!, "Not Found", 0)</f>
        <v>#REF!</v>
      </c>
      <c r="S1573" s="3" t="str">
        <f>_xlfn.XLOOKUP(Table1[[#This Row],[ID]], Table2[ID], Table2[Enrollment], "Not Found", 0)</f>
        <v>4/30/2019</v>
      </c>
      <c r="T1573" t="s">
        <v>438</v>
      </c>
    </row>
    <row r="1574" spans="1:20" x14ac:dyDescent="0.3">
      <c r="A1574">
        <v>1347</v>
      </c>
      <c r="B1574">
        <v>137717</v>
      </c>
      <c r="C1574">
        <v>1</v>
      </c>
      <c r="D1574">
        <v>0</v>
      </c>
      <c r="E1574">
        <v>42</v>
      </c>
      <c r="F1574">
        <v>0</v>
      </c>
      <c r="G1574">
        <v>1</v>
      </c>
      <c r="H1574">
        <v>0</v>
      </c>
      <c r="I1574">
        <v>0</v>
      </c>
      <c r="J1574">
        <v>0</v>
      </c>
      <c r="K1574">
        <v>0</v>
      </c>
      <c r="L1574">
        <v>0</v>
      </c>
      <c r="M1574">
        <v>0</v>
      </c>
      <c r="N1574">
        <v>1</v>
      </c>
      <c r="O1574" t="str" cm="1">
        <f t="array" ref="O1574">_xlfn.IFS(Table1[[#This Row],[Divorced]]=1, "Divorced", Table1[[#This Row],[Married]]=1, "Married", Table1[[#This Row],[Single]]=1, "Single", Table1[[#This Row],[Together]]=1, "Together", Table1[[#This Row],[Widow]]=1, "Widow")</f>
        <v>Married</v>
      </c>
      <c r="P1574" t="str" cm="1">
        <f t="array" ref="P1574">_xlfn.IFS(Table1[[#This Row],[Basic]]=1, "Basic", Table1[[#This Row],[Graduate]]=1, "Graduate", Table1[[#This Row],[Master]]=1, "Master", Table1[[#This Row],[PhD]]=1, "PhD", AND(Table1[[#This Row],[Basic]]=0, Table1[[#This Row],[Graduate]]=0, Table1[[#This Row],[Master]]=0, Table1[[#This Row],[PhD]]=0), "NA")</f>
        <v>PhD</v>
      </c>
      <c r="Q1574" t="e">
        <f>_xlfn.XLOOKUP(Table1[[#This Row],[ID]], Table2[ID],#REF!, "Not Found", 0)</f>
        <v>#REF!</v>
      </c>
      <c r="R1574" t="e">
        <f>_xlfn.XLOOKUP(Table1[[#This Row],[ID]], Table2[ID],#REF!, "Not Found", 0)</f>
        <v>#REF!</v>
      </c>
      <c r="S1574" s="3" t="str">
        <f>_xlfn.XLOOKUP(Table1[[#This Row],[ID]], Table2[ID], Table2[Enrollment], "Not Found", 0)</f>
        <v>4/30/2019</v>
      </c>
      <c r="T1574" t="s">
        <v>435</v>
      </c>
    </row>
    <row r="1575" spans="1:20" x14ac:dyDescent="0.3">
      <c r="A1575">
        <v>2378</v>
      </c>
      <c r="B1575">
        <v>137716</v>
      </c>
      <c r="C1575">
        <v>0</v>
      </c>
      <c r="D1575">
        <v>1</v>
      </c>
      <c r="E1575">
        <v>67</v>
      </c>
      <c r="F1575">
        <v>0</v>
      </c>
      <c r="G1575">
        <v>1</v>
      </c>
      <c r="H1575">
        <v>0</v>
      </c>
      <c r="I1575">
        <v>0</v>
      </c>
      <c r="J1575">
        <v>0</v>
      </c>
      <c r="K1575">
        <v>0</v>
      </c>
      <c r="L1575">
        <v>1</v>
      </c>
      <c r="M1575">
        <v>0</v>
      </c>
      <c r="N1575">
        <v>0</v>
      </c>
      <c r="O1575" t="str" cm="1">
        <f t="array" ref="O1575">_xlfn.IFS(Table1[[#This Row],[Divorced]]=1, "Divorced", Table1[[#This Row],[Married]]=1, "Married", Table1[[#This Row],[Single]]=1, "Single", Table1[[#This Row],[Together]]=1, "Together", Table1[[#This Row],[Widow]]=1, "Widow")</f>
        <v>Married</v>
      </c>
      <c r="P1575" t="str" cm="1">
        <f t="array" ref="P1575">_xlfn.IFS(Table1[[#This Row],[Basic]]=1, "Basic", Table1[[#This Row],[Graduate]]=1, "Graduate", Table1[[#This Row],[Master]]=1, "Master", Table1[[#This Row],[PhD]]=1, "PhD", AND(Table1[[#This Row],[Basic]]=0, Table1[[#This Row],[Graduate]]=0, Table1[[#This Row],[Master]]=0, Table1[[#This Row],[PhD]]=0), "NA")</f>
        <v>Graduate</v>
      </c>
      <c r="Q1575" t="e">
        <f>_xlfn.XLOOKUP(Table1[[#This Row],[ID]], Table2[ID],#REF!, "Not Found", 0)</f>
        <v>#REF!</v>
      </c>
      <c r="R1575" t="e">
        <f>_xlfn.XLOOKUP(Table1[[#This Row],[ID]], Table2[ID],#REF!, "Not Found", 0)</f>
        <v>#REF!</v>
      </c>
      <c r="S1575" s="3" t="str">
        <f>_xlfn.XLOOKUP(Table1[[#This Row],[ID]], Table2[ID], Table2[Enrollment], "Not Found", 0)</f>
        <v>9/25/2020</v>
      </c>
      <c r="T1575" t="s">
        <v>438</v>
      </c>
    </row>
    <row r="1576" spans="1:20" x14ac:dyDescent="0.3">
      <c r="A1576">
        <v>2498</v>
      </c>
      <c r="B1576">
        <v>137697</v>
      </c>
      <c r="C1576">
        <v>1</v>
      </c>
      <c r="D1576">
        <v>0</v>
      </c>
      <c r="E1576">
        <v>44</v>
      </c>
      <c r="F1576">
        <v>0</v>
      </c>
      <c r="G1576">
        <v>0</v>
      </c>
      <c r="H1576">
        <v>1</v>
      </c>
      <c r="I1576">
        <v>0</v>
      </c>
      <c r="J1576">
        <v>0</v>
      </c>
      <c r="K1576">
        <v>0</v>
      </c>
      <c r="L1576">
        <v>1</v>
      </c>
      <c r="M1576">
        <v>0</v>
      </c>
      <c r="N1576">
        <v>0</v>
      </c>
      <c r="O1576" t="str" cm="1">
        <f t="array" ref="O1576">_xlfn.IFS(Table1[[#This Row],[Divorced]]=1, "Divorced", Table1[[#This Row],[Married]]=1, "Married", Table1[[#This Row],[Single]]=1, "Single", Table1[[#This Row],[Together]]=1, "Together", Table1[[#This Row],[Widow]]=1, "Widow")</f>
        <v>Single</v>
      </c>
      <c r="P1576" t="str" cm="1">
        <f t="array" ref="P1576">_xlfn.IFS(Table1[[#This Row],[Basic]]=1, "Basic", Table1[[#This Row],[Graduate]]=1, "Graduate", Table1[[#This Row],[Master]]=1, "Master", Table1[[#This Row],[PhD]]=1, "PhD", AND(Table1[[#This Row],[Basic]]=0, Table1[[#This Row],[Graduate]]=0, Table1[[#This Row],[Master]]=0, Table1[[#This Row],[PhD]]=0), "NA")</f>
        <v>Graduate</v>
      </c>
      <c r="Q1576" t="e">
        <f>_xlfn.XLOOKUP(Table1[[#This Row],[ID]], Table2[ID],#REF!, "Not Found", 0)</f>
        <v>#REF!</v>
      </c>
      <c r="R1576" t="e">
        <f>_xlfn.XLOOKUP(Table1[[#This Row],[ID]], Table2[ID],#REF!, "Not Found", 0)</f>
        <v>#REF!</v>
      </c>
      <c r="S1576" s="3" t="str">
        <f>_xlfn.XLOOKUP(Table1[[#This Row],[ID]], Table2[ID], Table2[Enrollment], "Not Found", 0)</f>
        <v>7/14/2020</v>
      </c>
      <c r="T1576" t="s">
        <v>438</v>
      </c>
    </row>
    <row r="1577" spans="1:20" x14ac:dyDescent="0.3">
      <c r="A1577">
        <v>2768</v>
      </c>
      <c r="B1577">
        <v>137697</v>
      </c>
      <c r="C1577">
        <v>1</v>
      </c>
      <c r="D1577">
        <v>0</v>
      </c>
      <c r="E1577">
        <v>44</v>
      </c>
      <c r="F1577">
        <v>0</v>
      </c>
      <c r="G1577">
        <v>0</v>
      </c>
      <c r="H1577">
        <v>1</v>
      </c>
      <c r="I1577">
        <v>0</v>
      </c>
      <c r="J1577">
        <v>0</v>
      </c>
      <c r="K1577">
        <v>0</v>
      </c>
      <c r="L1577">
        <v>1</v>
      </c>
      <c r="M1577">
        <v>0</v>
      </c>
      <c r="N1577">
        <v>0</v>
      </c>
      <c r="O1577" t="str" cm="1">
        <f t="array" ref="O1577">_xlfn.IFS(Table1[[#This Row],[Divorced]]=1, "Divorced", Table1[[#This Row],[Married]]=1, "Married", Table1[[#This Row],[Single]]=1, "Single", Table1[[#This Row],[Together]]=1, "Together", Table1[[#This Row],[Widow]]=1, "Widow")</f>
        <v>Single</v>
      </c>
      <c r="P1577" t="str" cm="1">
        <f t="array" ref="P1577">_xlfn.IFS(Table1[[#This Row],[Basic]]=1, "Basic", Table1[[#This Row],[Graduate]]=1, "Graduate", Table1[[#This Row],[Master]]=1, "Master", Table1[[#This Row],[PhD]]=1, "PhD", AND(Table1[[#This Row],[Basic]]=0, Table1[[#This Row],[Graduate]]=0, Table1[[#This Row],[Master]]=0, Table1[[#This Row],[PhD]]=0), "NA")</f>
        <v>Graduate</v>
      </c>
      <c r="Q1577" t="e">
        <f>_xlfn.XLOOKUP(Table1[[#This Row],[ID]], Table2[ID],#REF!, "Not Found", 0)</f>
        <v>#REF!</v>
      </c>
      <c r="R1577" t="e">
        <f>_xlfn.XLOOKUP(Table1[[#This Row],[ID]], Table2[ID],#REF!, "Not Found", 0)</f>
        <v>#REF!</v>
      </c>
      <c r="S1577" s="3" t="str">
        <f>_xlfn.XLOOKUP(Table1[[#This Row],[ID]], Table2[ID], Table2[Enrollment], "Not Found", 0)</f>
        <v>7/14/2020</v>
      </c>
      <c r="T1577" t="s">
        <v>438</v>
      </c>
    </row>
    <row r="1578" spans="1:20" x14ac:dyDescent="0.3">
      <c r="A1578">
        <v>2263</v>
      </c>
      <c r="B1578">
        <v>137633</v>
      </c>
      <c r="C1578">
        <v>1</v>
      </c>
      <c r="D1578">
        <v>1</v>
      </c>
      <c r="E1578">
        <v>63</v>
      </c>
      <c r="F1578">
        <v>0</v>
      </c>
      <c r="G1578">
        <v>1</v>
      </c>
      <c r="H1578">
        <v>0</v>
      </c>
      <c r="I1578">
        <v>0</v>
      </c>
      <c r="J1578">
        <v>0</v>
      </c>
      <c r="K1578">
        <v>0</v>
      </c>
      <c r="L1578">
        <v>0</v>
      </c>
      <c r="M1578">
        <v>0</v>
      </c>
      <c r="N1578">
        <v>1</v>
      </c>
      <c r="O1578" t="str" cm="1">
        <f t="array" ref="O1578">_xlfn.IFS(Table1[[#This Row],[Divorced]]=1, "Divorced", Table1[[#This Row],[Married]]=1, "Married", Table1[[#This Row],[Single]]=1, "Single", Table1[[#This Row],[Together]]=1, "Together", Table1[[#This Row],[Widow]]=1, "Widow")</f>
        <v>Married</v>
      </c>
      <c r="P1578" t="str" cm="1">
        <f t="array" ref="P1578">_xlfn.IFS(Table1[[#This Row],[Basic]]=1, "Basic", Table1[[#This Row],[Graduate]]=1, "Graduate", Table1[[#This Row],[Master]]=1, "Master", Table1[[#This Row],[PhD]]=1, "PhD", AND(Table1[[#This Row],[Basic]]=0, Table1[[#This Row],[Graduate]]=0, Table1[[#This Row],[Master]]=0, Table1[[#This Row],[PhD]]=0), "NA")</f>
        <v>PhD</v>
      </c>
      <c r="Q1578" t="e">
        <f>_xlfn.XLOOKUP(Table1[[#This Row],[ID]], Table2[ID],#REF!, "Not Found", 0)</f>
        <v>#REF!</v>
      </c>
      <c r="R1578" t="e">
        <f>_xlfn.XLOOKUP(Table1[[#This Row],[ID]], Table2[ID],#REF!, "Not Found", 0)</f>
        <v>#REF!</v>
      </c>
      <c r="S1578" s="3" t="str">
        <f>_xlfn.XLOOKUP(Table1[[#This Row],[ID]], Table2[ID], Table2[Enrollment], "Not Found", 0)</f>
        <v>2/25/2019</v>
      </c>
      <c r="T1578" t="s">
        <v>437</v>
      </c>
    </row>
    <row r="1579" spans="1:20" x14ac:dyDescent="0.3">
      <c r="A1579">
        <v>3089</v>
      </c>
      <c r="B1579">
        <v>137509</v>
      </c>
      <c r="C1579">
        <v>1</v>
      </c>
      <c r="D1579">
        <v>0</v>
      </c>
      <c r="E1579">
        <v>44</v>
      </c>
      <c r="F1579">
        <v>0</v>
      </c>
      <c r="G1579">
        <v>0</v>
      </c>
      <c r="H1579">
        <v>0</v>
      </c>
      <c r="I1579">
        <v>1</v>
      </c>
      <c r="J1579">
        <v>0</v>
      </c>
      <c r="K1579">
        <v>0</v>
      </c>
      <c r="L1579">
        <v>0</v>
      </c>
      <c r="M1579">
        <v>1</v>
      </c>
      <c r="N1579">
        <v>0</v>
      </c>
      <c r="O1579" t="str" cm="1">
        <f t="array" ref="O1579">_xlfn.IFS(Table1[[#This Row],[Divorced]]=1, "Divorced", Table1[[#This Row],[Married]]=1, "Married", Table1[[#This Row],[Single]]=1, "Single", Table1[[#This Row],[Together]]=1, "Together", Table1[[#This Row],[Widow]]=1, "Widow")</f>
        <v>Together</v>
      </c>
      <c r="P1579" t="str" cm="1">
        <f t="array" ref="P1579">_xlfn.IFS(Table1[[#This Row],[Basic]]=1, "Basic", Table1[[#This Row],[Graduate]]=1, "Graduate", Table1[[#This Row],[Master]]=1, "Master", Table1[[#This Row],[PhD]]=1, "PhD", AND(Table1[[#This Row],[Basic]]=0, Table1[[#This Row],[Graduate]]=0, Table1[[#This Row],[Master]]=0, Table1[[#This Row],[PhD]]=0), "NA")</f>
        <v>Master</v>
      </c>
      <c r="Q1579" t="e">
        <f>_xlfn.XLOOKUP(Table1[[#This Row],[ID]], Table2[ID],#REF!, "Not Found", 0)</f>
        <v>#REF!</v>
      </c>
      <c r="R1579" t="e">
        <f>_xlfn.XLOOKUP(Table1[[#This Row],[ID]], Table2[ID],#REF!, "Not Found", 0)</f>
        <v>#REF!</v>
      </c>
      <c r="S1579" s="3" t="str">
        <f>_xlfn.XLOOKUP(Table1[[#This Row],[ID]], Table2[ID], Table2[Enrollment], "Not Found", 0)</f>
        <v>2/17/2019</v>
      </c>
      <c r="T1579" t="s">
        <v>434</v>
      </c>
    </row>
    <row r="1580" spans="1:20" x14ac:dyDescent="0.3">
      <c r="A1580">
        <v>1455</v>
      </c>
      <c r="B1580">
        <v>137406</v>
      </c>
      <c r="C1580">
        <v>1</v>
      </c>
      <c r="D1580">
        <v>0</v>
      </c>
      <c r="E1580">
        <v>40</v>
      </c>
      <c r="F1580">
        <v>0</v>
      </c>
      <c r="G1580">
        <v>1</v>
      </c>
      <c r="H1580">
        <v>0</v>
      </c>
      <c r="I1580">
        <v>0</v>
      </c>
      <c r="J1580">
        <v>0</v>
      </c>
      <c r="K1580">
        <v>0</v>
      </c>
      <c r="L1580">
        <v>1</v>
      </c>
      <c r="M1580">
        <v>0</v>
      </c>
      <c r="N1580">
        <v>0</v>
      </c>
      <c r="O1580" t="str" cm="1">
        <f t="array" ref="O1580">_xlfn.IFS(Table1[[#This Row],[Divorced]]=1, "Divorced", Table1[[#This Row],[Married]]=1, "Married", Table1[[#This Row],[Single]]=1, "Single", Table1[[#This Row],[Together]]=1, "Together", Table1[[#This Row],[Widow]]=1, "Widow")</f>
        <v>Married</v>
      </c>
      <c r="P1580" t="str" cm="1">
        <f t="array" ref="P1580">_xlfn.IFS(Table1[[#This Row],[Basic]]=1, "Basic", Table1[[#This Row],[Graduate]]=1, "Graduate", Table1[[#This Row],[Master]]=1, "Master", Table1[[#This Row],[PhD]]=1, "PhD", AND(Table1[[#This Row],[Basic]]=0, Table1[[#This Row],[Graduate]]=0, Table1[[#This Row],[Master]]=0, Table1[[#This Row],[PhD]]=0), "NA")</f>
        <v>Graduate</v>
      </c>
      <c r="Q1580" t="e">
        <f>_xlfn.XLOOKUP(Table1[[#This Row],[ID]], Table2[ID],#REF!, "Not Found", 0)</f>
        <v>#REF!</v>
      </c>
      <c r="R1580" t="e">
        <f>_xlfn.XLOOKUP(Table1[[#This Row],[ID]], Table2[ID],#REF!, "Not Found", 0)</f>
        <v>#REF!</v>
      </c>
      <c r="S1580" s="3" t="str">
        <f>_xlfn.XLOOKUP(Table1[[#This Row],[ID]], Table2[ID], Table2[Enrollment], "Not Found", 0)</f>
        <v>3/16/2020</v>
      </c>
      <c r="T1580" t="s">
        <v>435</v>
      </c>
    </row>
    <row r="1581" spans="1:20" x14ac:dyDescent="0.3">
      <c r="A1581">
        <v>1404</v>
      </c>
      <c r="B1581">
        <v>137401</v>
      </c>
      <c r="C1581">
        <v>1</v>
      </c>
      <c r="D1581">
        <v>0</v>
      </c>
      <c r="E1581">
        <v>47</v>
      </c>
      <c r="F1581">
        <v>0</v>
      </c>
      <c r="G1581">
        <v>1</v>
      </c>
      <c r="H1581">
        <v>0</v>
      </c>
      <c r="I1581">
        <v>0</v>
      </c>
      <c r="J1581">
        <v>0</v>
      </c>
      <c r="K1581">
        <v>0</v>
      </c>
      <c r="L1581">
        <v>0</v>
      </c>
      <c r="M1581">
        <v>0</v>
      </c>
      <c r="N1581">
        <v>1</v>
      </c>
      <c r="O1581" t="str" cm="1">
        <f t="array" ref="O1581">_xlfn.IFS(Table1[[#This Row],[Divorced]]=1, "Divorced", Table1[[#This Row],[Married]]=1, "Married", Table1[[#This Row],[Single]]=1, "Single", Table1[[#This Row],[Together]]=1, "Together", Table1[[#This Row],[Widow]]=1, "Widow")</f>
        <v>Married</v>
      </c>
      <c r="P1581" t="str" cm="1">
        <f t="array" ref="P1581">_xlfn.IFS(Table1[[#This Row],[Basic]]=1, "Basic", Table1[[#This Row],[Graduate]]=1, "Graduate", Table1[[#This Row],[Master]]=1, "Master", Table1[[#This Row],[PhD]]=1, "PhD", AND(Table1[[#This Row],[Basic]]=0, Table1[[#This Row],[Graduate]]=0, Table1[[#This Row],[Master]]=0, Table1[[#This Row],[PhD]]=0), "NA")</f>
        <v>PhD</v>
      </c>
      <c r="Q1581" t="e">
        <f>_xlfn.XLOOKUP(Table1[[#This Row],[ID]], Table2[ID],#REF!, "Not Found", 0)</f>
        <v>#REF!</v>
      </c>
      <c r="R1581" t="e">
        <f>_xlfn.XLOOKUP(Table1[[#This Row],[ID]], Table2[ID],#REF!, "Not Found", 0)</f>
        <v>#REF!</v>
      </c>
      <c r="S1581" s="3">
        <f>_xlfn.XLOOKUP(Table1[[#This Row],[ID]], Table2[ID], Table2[Enrollment], "Not Found", 0)</f>
        <v>44114</v>
      </c>
      <c r="T1581" t="s">
        <v>436</v>
      </c>
    </row>
    <row r="1582" spans="1:20" x14ac:dyDescent="0.3">
      <c r="A1582">
        <v>2499</v>
      </c>
      <c r="B1582">
        <v>137401</v>
      </c>
      <c r="C1582">
        <v>1</v>
      </c>
      <c r="D1582">
        <v>0</v>
      </c>
      <c r="E1582">
        <v>47</v>
      </c>
      <c r="F1582">
        <v>0</v>
      </c>
      <c r="G1582">
        <v>1</v>
      </c>
      <c r="H1582">
        <v>0</v>
      </c>
      <c r="I1582">
        <v>0</v>
      </c>
      <c r="J1582">
        <v>0</v>
      </c>
      <c r="K1582">
        <v>0</v>
      </c>
      <c r="L1582">
        <v>0</v>
      </c>
      <c r="M1582">
        <v>0</v>
      </c>
      <c r="N1582">
        <v>1</v>
      </c>
      <c r="O1582" t="str" cm="1">
        <f t="array" ref="O1582">_xlfn.IFS(Table1[[#This Row],[Divorced]]=1, "Divorced", Table1[[#This Row],[Married]]=1, "Married", Table1[[#This Row],[Single]]=1, "Single", Table1[[#This Row],[Together]]=1, "Together", Table1[[#This Row],[Widow]]=1, "Widow")</f>
        <v>Married</v>
      </c>
      <c r="P1582" t="str" cm="1">
        <f t="array" ref="P1582">_xlfn.IFS(Table1[[#This Row],[Basic]]=1, "Basic", Table1[[#This Row],[Graduate]]=1, "Graduate", Table1[[#This Row],[Master]]=1, "Master", Table1[[#This Row],[PhD]]=1, "PhD", AND(Table1[[#This Row],[Basic]]=0, Table1[[#This Row],[Graduate]]=0, Table1[[#This Row],[Master]]=0, Table1[[#This Row],[PhD]]=0), "NA")</f>
        <v>PhD</v>
      </c>
      <c r="Q1582" t="e">
        <f>_xlfn.XLOOKUP(Table1[[#This Row],[ID]], Table2[ID],#REF!, "Not Found", 0)</f>
        <v>#REF!</v>
      </c>
      <c r="R1582" t="e">
        <f>_xlfn.XLOOKUP(Table1[[#This Row],[ID]], Table2[ID],#REF!, "Not Found", 0)</f>
        <v>#REF!</v>
      </c>
      <c r="S1582" s="3">
        <f>_xlfn.XLOOKUP(Table1[[#This Row],[ID]], Table2[ID], Table2[Enrollment], "Not Found", 0)</f>
        <v>44114</v>
      </c>
      <c r="T1582" t="s">
        <v>435</v>
      </c>
    </row>
    <row r="1583" spans="1:20" x14ac:dyDescent="0.3">
      <c r="A1583">
        <v>2215</v>
      </c>
      <c r="B1583">
        <v>137395</v>
      </c>
      <c r="C1583">
        <v>1</v>
      </c>
      <c r="D1583">
        <v>0</v>
      </c>
      <c r="E1583">
        <v>44</v>
      </c>
      <c r="F1583">
        <v>0</v>
      </c>
      <c r="G1583">
        <v>0</v>
      </c>
      <c r="H1583">
        <v>0</v>
      </c>
      <c r="I1583">
        <v>1</v>
      </c>
      <c r="J1583">
        <v>0</v>
      </c>
      <c r="K1583">
        <v>0</v>
      </c>
      <c r="L1583">
        <v>0</v>
      </c>
      <c r="M1583">
        <v>0</v>
      </c>
      <c r="N1583">
        <v>1</v>
      </c>
      <c r="O1583" t="str" cm="1">
        <f t="array" ref="O1583">_xlfn.IFS(Table1[[#This Row],[Divorced]]=1, "Divorced", Table1[[#This Row],[Married]]=1, "Married", Table1[[#This Row],[Single]]=1, "Single", Table1[[#This Row],[Together]]=1, "Together", Table1[[#This Row],[Widow]]=1, "Widow")</f>
        <v>Together</v>
      </c>
      <c r="P1583" t="str" cm="1">
        <f t="array" ref="P1583">_xlfn.IFS(Table1[[#This Row],[Basic]]=1, "Basic", Table1[[#This Row],[Graduate]]=1, "Graduate", Table1[[#This Row],[Master]]=1, "Master", Table1[[#This Row],[PhD]]=1, "PhD", AND(Table1[[#This Row],[Basic]]=0, Table1[[#This Row],[Graduate]]=0, Table1[[#This Row],[Master]]=0, Table1[[#This Row],[PhD]]=0), "NA")</f>
        <v>PhD</v>
      </c>
      <c r="Q1583" t="e">
        <f>_xlfn.XLOOKUP(Table1[[#This Row],[ID]], Table2[ID],#REF!, "Not Found", 0)</f>
        <v>#REF!</v>
      </c>
      <c r="R1583" t="e">
        <f>_xlfn.XLOOKUP(Table1[[#This Row],[ID]], Table2[ID],#REF!, "Not Found", 0)</f>
        <v>#REF!</v>
      </c>
      <c r="S1583" s="3">
        <f>_xlfn.XLOOKUP(Table1[[#This Row],[ID]], Table2[ID], Table2[Enrollment], "Not Found", 0)</f>
        <v>43992</v>
      </c>
      <c r="T1583" t="s">
        <v>437</v>
      </c>
    </row>
    <row r="1584" spans="1:20" x14ac:dyDescent="0.3">
      <c r="A1584">
        <v>2257</v>
      </c>
      <c r="B1584">
        <v>137368</v>
      </c>
      <c r="C1584">
        <v>1</v>
      </c>
      <c r="D1584">
        <v>0</v>
      </c>
      <c r="E1584">
        <v>45</v>
      </c>
      <c r="F1584">
        <v>0</v>
      </c>
      <c r="G1584">
        <v>1</v>
      </c>
      <c r="H1584">
        <v>0</v>
      </c>
      <c r="I1584">
        <v>0</v>
      </c>
      <c r="J1584">
        <v>0</v>
      </c>
      <c r="K1584">
        <v>0</v>
      </c>
      <c r="L1584">
        <v>0</v>
      </c>
      <c r="M1584">
        <v>1</v>
      </c>
      <c r="N1584">
        <v>0</v>
      </c>
      <c r="O1584" t="str" cm="1">
        <f t="array" ref="O1584">_xlfn.IFS(Table1[[#This Row],[Divorced]]=1, "Divorced", Table1[[#This Row],[Married]]=1, "Married", Table1[[#This Row],[Single]]=1, "Single", Table1[[#This Row],[Together]]=1, "Together", Table1[[#This Row],[Widow]]=1, "Widow")</f>
        <v>Married</v>
      </c>
      <c r="P1584" t="str" cm="1">
        <f t="array" ref="P1584">_xlfn.IFS(Table1[[#This Row],[Basic]]=1, "Basic", Table1[[#This Row],[Graduate]]=1, "Graduate", Table1[[#This Row],[Master]]=1, "Master", Table1[[#This Row],[PhD]]=1, "PhD", AND(Table1[[#This Row],[Basic]]=0, Table1[[#This Row],[Graduate]]=0, Table1[[#This Row],[Master]]=0, Table1[[#This Row],[PhD]]=0), "NA")</f>
        <v>Master</v>
      </c>
      <c r="Q1584" t="e">
        <f>_xlfn.XLOOKUP(Table1[[#This Row],[ID]], Table2[ID],#REF!, "Not Found", 0)</f>
        <v>#REF!</v>
      </c>
      <c r="R1584" t="e">
        <f>_xlfn.XLOOKUP(Table1[[#This Row],[ID]], Table2[ID],#REF!, "Not Found", 0)</f>
        <v>#REF!</v>
      </c>
      <c r="S1584" s="3" t="str">
        <f>_xlfn.XLOOKUP(Table1[[#This Row],[ID]], Table2[ID], Table2[Enrollment], "Not Found", 0)</f>
        <v>5/22/2020</v>
      </c>
      <c r="T1584" t="s">
        <v>437</v>
      </c>
    </row>
    <row r="1585" spans="1:20" x14ac:dyDescent="0.3">
      <c r="A1585">
        <v>2017</v>
      </c>
      <c r="B1585">
        <v>137334</v>
      </c>
      <c r="C1585">
        <v>1</v>
      </c>
      <c r="D1585">
        <v>1</v>
      </c>
      <c r="E1585">
        <v>62</v>
      </c>
      <c r="F1585">
        <v>0</v>
      </c>
      <c r="G1585">
        <v>0</v>
      </c>
      <c r="H1585">
        <v>0</v>
      </c>
      <c r="I1585">
        <v>1</v>
      </c>
      <c r="J1585">
        <v>0</v>
      </c>
      <c r="K1585">
        <v>0</v>
      </c>
      <c r="L1585">
        <v>0</v>
      </c>
      <c r="M1585">
        <v>0</v>
      </c>
      <c r="N1585">
        <v>1</v>
      </c>
      <c r="O1585" t="str" cm="1">
        <f t="array" ref="O1585">_xlfn.IFS(Table1[[#This Row],[Divorced]]=1, "Divorced", Table1[[#This Row],[Married]]=1, "Married", Table1[[#This Row],[Single]]=1, "Single", Table1[[#This Row],[Together]]=1, "Together", Table1[[#This Row],[Widow]]=1, "Widow")</f>
        <v>Together</v>
      </c>
      <c r="P1585" t="str" cm="1">
        <f t="array" ref="P1585">_xlfn.IFS(Table1[[#This Row],[Basic]]=1, "Basic", Table1[[#This Row],[Graduate]]=1, "Graduate", Table1[[#This Row],[Master]]=1, "Master", Table1[[#This Row],[PhD]]=1, "PhD", AND(Table1[[#This Row],[Basic]]=0, Table1[[#This Row],[Graduate]]=0, Table1[[#This Row],[Master]]=0, Table1[[#This Row],[PhD]]=0), "NA")</f>
        <v>PhD</v>
      </c>
      <c r="Q1585" t="e">
        <f>_xlfn.XLOOKUP(Table1[[#This Row],[ID]], Table2[ID],#REF!, "Not Found", 0)</f>
        <v>#REF!</v>
      </c>
      <c r="R1585" t="e">
        <f>_xlfn.XLOOKUP(Table1[[#This Row],[ID]], Table2[ID],#REF!, "Not Found", 0)</f>
        <v>#REF!</v>
      </c>
      <c r="S1585" s="3">
        <f>_xlfn.XLOOKUP(Table1[[#This Row],[ID]], Table2[ID], Table2[Enrollment], "Not Found", 0)</f>
        <v>43869</v>
      </c>
      <c r="T1585" t="s">
        <v>437</v>
      </c>
    </row>
    <row r="1586" spans="1:20" x14ac:dyDescent="0.3">
      <c r="A1586">
        <v>2716</v>
      </c>
      <c r="B1586">
        <v>137292</v>
      </c>
      <c r="C1586">
        <v>1</v>
      </c>
      <c r="D1586">
        <v>0</v>
      </c>
      <c r="E1586">
        <v>37</v>
      </c>
      <c r="F1586">
        <v>0</v>
      </c>
      <c r="G1586">
        <v>0</v>
      </c>
      <c r="H1586">
        <v>0</v>
      </c>
      <c r="I1586">
        <v>1</v>
      </c>
      <c r="J1586">
        <v>0</v>
      </c>
      <c r="K1586">
        <v>0</v>
      </c>
      <c r="L1586">
        <v>1</v>
      </c>
      <c r="M1586">
        <v>0</v>
      </c>
      <c r="N1586">
        <v>0</v>
      </c>
      <c r="O1586" t="str" cm="1">
        <f t="array" ref="O1586">_xlfn.IFS(Table1[[#This Row],[Divorced]]=1, "Divorced", Table1[[#This Row],[Married]]=1, "Married", Table1[[#This Row],[Single]]=1, "Single", Table1[[#This Row],[Together]]=1, "Together", Table1[[#This Row],[Widow]]=1, "Widow")</f>
        <v>Together</v>
      </c>
      <c r="P1586" t="str" cm="1">
        <f t="array" ref="P1586">_xlfn.IFS(Table1[[#This Row],[Basic]]=1, "Basic", Table1[[#This Row],[Graduate]]=1, "Graduate", Table1[[#This Row],[Master]]=1, "Master", Table1[[#This Row],[PhD]]=1, "PhD", AND(Table1[[#This Row],[Basic]]=0, Table1[[#This Row],[Graduate]]=0, Table1[[#This Row],[Master]]=0, Table1[[#This Row],[PhD]]=0), "NA")</f>
        <v>Graduate</v>
      </c>
      <c r="Q1586" t="e">
        <f>_xlfn.XLOOKUP(Table1[[#This Row],[ID]], Table2[ID],#REF!, "Not Found", 0)</f>
        <v>#REF!</v>
      </c>
      <c r="R1586" t="e">
        <f>_xlfn.XLOOKUP(Table1[[#This Row],[ID]], Table2[ID],#REF!, "Not Found", 0)</f>
        <v>#REF!</v>
      </c>
      <c r="S1586" s="3" t="str">
        <f>_xlfn.XLOOKUP(Table1[[#This Row],[ID]], Table2[ID], Table2[Enrollment], "Not Found", 0)</f>
        <v>9/23/2019</v>
      </c>
      <c r="T1586" t="s">
        <v>439</v>
      </c>
    </row>
    <row r="1587" spans="1:20" x14ac:dyDescent="0.3">
      <c r="A1587">
        <v>2525</v>
      </c>
      <c r="B1587">
        <v>137284</v>
      </c>
      <c r="C1587">
        <v>1</v>
      </c>
      <c r="D1587">
        <v>1</v>
      </c>
      <c r="E1587">
        <v>45</v>
      </c>
      <c r="F1587">
        <v>0</v>
      </c>
      <c r="G1587">
        <v>1</v>
      </c>
      <c r="H1587">
        <v>0</v>
      </c>
      <c r="I1587">
        <v>0</v>
      </c>
      <c r="J1587">
        <v>0</v>
      </c>
      <c r="K1587">
        <v>0</v>
      </c>
      <c r="L1587">
        <v>0</v>
      </c>
      <c r="M1587">
        <v>0</v>
      </c>
      <c r="N1587">
        <v>0</v>
      </c>
      <c r="O1587" t="str" cm="1">
        <f t="array" ref="O1587">_xlfn.IFS(Table1[[#This Row],[Divorced]]=1, "Divorced", Table1[[#This Row],[Married]]=1, "Married", Table1[[#This Row],[Single]]=1, "Single", Table1[[#This Row],[Together]]=1, "Together", Table1[[#This Row],[Widow]]=1, "Widow")</f>
        <v>Married</v>
      </c>
      <c r="P1587" t="str" cm="1">
        <f t="array" ref="P1587">_xlfn.IFS(Table1[[#This Row],[Basic]]=1, "Basic", Table1[[#This Row],[Graduate]]=1, "Graduate", Table1[[#This Row],[Master]]=1, "Master", Table1[[#This Row],[PhD]]=1, "PhD", AND(Table1[[#This Row],[Basic]]=0, Table1[[#This Row],[Graduate]]=0, Table1[[#This Row],[Master]]=0, Table1[[#This Row],[PhD]]=0), "NA")</f>
        <v>NA</v>
      </c>
      <c r="Q1587" t="e">
        <f>_xlfn.XLOOKUP(Table1[[#This Row],[ID]], Table2[ID],#REF!, "Not Found", 0)</f>
        <v>#REF!</v>
      </c>
      <c r="R1587" t="e">
        <f>_xlfn.XLOOKUP(Table1[[#This Row],[ID]], Table2[ID],#REF!, "Not Found", 0)</f>
        <v>#REF!</v>
      </c>
      <c r="S1587" s="3">
        <f>_xlfn.XLOOKUP(Table1[[#This Row],[ID]], Table2[ID], Table2[Enrollment], "Not Found", 0)</f>
        <v>43533</v>
      </c>
      <c r="T1587" t="s">
        <v>434</v>
      </c>
    </row>
    <row r="1588" spans="1:20" x14ac:dyDescent="0.3">
      <c r="A1588">
        <v>2990</v>
      </c>
      <c r="B1588">
        <v>137284</v>
      </c>
      <c r="C1588">
        <v>1</v>
      </c>
      <c r="D1588">
        <v>1</v>
      </c>
      <c r="E1588">
        <v>45</v>
      </c>
      <c r="F1588">
        <v>0</v>
      </c>
      <c r="G1588">
        <v>1</v>
      </c>
      <c r="H1588">
        <v>0</v>
      </c>
      <c r="I1588">
        <v>0</v>
      </c>
      <c r="J1588">
        <v>0</v>
      </c>
      <c r="K1588">
        <v>0</v>
      </c>
      <c r="L1588">
        <v>0</v>
      </c>
      <c r="M1588">
        <v>0</v>
      </c>
      <c r="N1588">
        <v>0</v>
      </c>
      <c r="O1588" t="str" cm="1">
        <f t="array" ref="O1588">_xlfn.IFS(Table1[[#This Row],[Divorced]]=1, "Divorced", Table1[[#This Row],[Married]]=1, "Married", Table1[[#This Row],[Single]]=1, "Single", Table1[[#This Row],[Together]]=1, "Together", Table1[[#This Row],[Widow]]=1, "Widow")</f>
        <v>Married</v>
      </c>
      <c r="P1588" t="str" cm="1">
        <f t="array" ref="P1588">_xlfn.IFS(Table1[[#This Row],[Basic]]=1, "Basic", Table1[[#This Row],[Graduate]]=1, "Graduate", Table1[[#This Row],[Master]]=1, "Master", Table1[[#This Row],[PhD]]=1, "PhD", AND(Table1[[#This Row],[Basic]]=0, Table1[[#This Row],[Graduate]]=0, Table1[[#This Row],[Master]]=0, Table1[[#This Row],[PhD]]=0), "NA")</f>
        <v>NA</v>
      </c>
      <c r="Q1588" t="e">
        <f>_xlfn.XLOOKUP(Table1[[#This Row],[ID]], Table2[ID],#REF!, "Not Found", 0)</f>
        <v>#REF!</v>
      </c>
      <c r="R1588" t="e">
        <f>_xlfn.XLOOKUP(Table1[[#This Row],[ID]], Table2[ID],#REF!, "Not Found", 0)</f>
        <v>#REF!</v>
      </c>
      <c r="S1588" s="3">
        <f>_xlfn.XLOOKUP(Table1[[#This Row],[ID]], Table2[ID], Table2[Enrollment], "Not Found", 0)</f>
        <v>43533</v>
      </c>
      <c r="T1588" t="s">
        <v>438</v>
      </c>
    </row>
    <row r="1589" spans="1:20" x14ac:dyDescent="0.3">
      <c r="A1589">
        <v>2707</v>
      </c>
      <c r="B1589">
        <v>137244</v>
      </c>
      <c r="C1589">
        <v>1</v>
      </c>
      <c r="D1589">
        <v>1</v>
      </c>
      <c r="E1589">
        <v>65</v>
      </c>
      <c r="F1589">
        <v>1</v>
      </c>
      <c r="G1589">
        <v>0</v>
      </c>
      <c r="H1589">
        <v>0</v>
      </c>
      <c r="I1589">
        <v>0</v>
      </c>
      <c r="J1589">
        <v>0</v>
      </c>
      <c r="K1589">
        <v>0</v>
      </c>
      <c r="L1589">
        <v>1</v>
      </c>
      <c r="M1589">
        <v>0</v>
      </c>
      <c r="N1589">
        <v>0</v>
      </c>
      <c r="O1589" t="str" cm="1">
        <f t="array" ref="O1589">_xlfn.IFS(Table1[[#This Row],[Divorced]]=1, "Divorced", Table1[[#This Row],[Married]]=1, "Married", Table1[[#This Row],[Single]]=1, "Single", Table1[[#This Row],[Together]]=1, "Together", Table1[[#This Row],[Widow]]=1, "Widow")</f>
        <v>Divorced</v>
      </c>
      <c r="P1589" t="str" cm="1">
        <f t="array" ref="P1589">_xlfn.IFS(Table1[[#This Row],[Basic]]=1, "Basic", Table1[[#This Row],[Graduate]]=1, "Graduate", Table1[[#This Row],[Master]]=1, "Master", Table1[[#This Row],[PhD]]=1, "PhD", AND(Table1[[#This Row],[Basic]]=0, Table1[[#This Row],[Graduate]]=0, Table1[[#This Row],[Master]]=0, Table1[[#This Row],[PhD]]=0), "NA")</f>
        <v>Graduate</v>
      </c>
      <c r="Q1589" t="e">
        <f>_xlfn.XLOOKUP(Table1[[#This Row],[ID]], Table2[ID],#REF!, "Not Found", 0)</f>
        <v>#REF!</v>
      </c>
      <c r="R1589" t="e">
        <f>_xlfn.XLOOKUP(Table1[[#This Row],[ID]], Table2[ID],#REF!, "Not Found", 0)</f>
        <v>#REF!</v>
      </c>
      <c r="S1589" s="3">
        <f>_xlfn.XLOOKUP(Table1[[#This Row],[ID]], Table2[ID], Table2[Enrollment], "Not Found", 0)</f>
        <v>43506</v>
      </c>
      <c r="T1589" t="s">
        <v>437</v>
      </c>
    </row>
    <row r="1590" spans="1:20" x14ac:dyDescent="0.3">
      <c r="A1590">
        <v>2299</v>
      </c>
      <c r="B1590">
        <v>137235</v>
      </c>
      <c r="C1590">
        <v>1</v>
      </c>
      <c r="D1590">
        <v>0</v>
      </c>
      <c r="E1590">
        <v>36</v>
      </c>
      <c r="F1590">
        <v>0</v>
      </c>
      <c r="G1590">
        <v>0</v>
      </c>
      <c r="H1590">
        <v>0</v>
      </c>
      <c r="I1590">
        <v>1</v>
      </c>
      <c r="J1590">
        <v>0</v>
      </c>
      <c r="K1590">
        <v>0</v>
      </c>
      <c r="L1590">
        <v>1</v>
      </c>
      <c r="M1590">
        <v>0</v>
      </c>
      <c r="N1590">
        <v>0</v>
      </c>
      <c r="O1590" t="str" cm="1">
        <f t="array" ref="O1590">_xlfn.IFS(Table1[[#This Row],[Divorced]]=1, "Divorced", Table1[[#This Row],[Married]]=1, "Married", Table1[[#This Row],[Single]]=1, "Single", Table1[[#This Row],[Together]]=1, "Together", Table1[[#This Row],[Widow]]=1, "Widow")</f>
        <v>Together</v>
      </c>
      <c r="P1590" t="str" cm="1">
        <f t="array" ref="P1590">_xlfn.IFS(Table1[[#This Row],[Basic]]=1, "Basic", Table1[[#This Row],[Graduate]]=1, "Graduate", Table1[[#This Row],[Master]]=1, "Master", Table1[[#This Row],[PhD]]=1, "PhD", AND(Table1[[#This Row],[Basic]]=0, Table1[[#This Row],[Graduate]]=0, Table1[[#This Row],[Master]]=0, Table1[[#This Row],[PhD]]=0), "NA")</f>
        <v>Graduate</v>
      </c>
      <c r="Q1590" t="e">
        <f>_xlfn.XLOOKUP(Table1[[#This Row],[ID]], Table2[ID],#REF!, "Not Found", 0)</f>
        <v>#REF!</v>
      </c>
      <c r="R1590" t="e">
        <f>_xlfn.XLOOKUP(Table1[[#This Row],[ID]], Table2[ID],#REF!, "Not Found", 0)</f>
        <v>#REF!</v>
      </c>
      <c r="S1590" s="3">
        <f>_xlfn.XLOOKUP(Table1[[#This Row],[ID]], Table2[ID], Table2[Enrollment], "Not Found", 0)</f>
        <v>44050</v>
      </c>
      <c r="T1590" t="s">
        <v>437</v>
      </c>
    </row>
    <row r="1591" spans="1:20" x14ac:dyDescent="0.3">
      <c r="A1591">
        <v>2122</v>
      </c>
      <c r="B1591">
        <v>137155</v>
      </c>
      <c r="C1591">
        <v>1</v>
      </c>
      <c r="D1591">
        <v>0</v>
      </c>
      <c r="E1591">
        <v>31</v>
      </c>
      <c r="F1591">
        <v>0</v>
      </c>
      <c r="G1591">
        <v>1</v>
      </c>
      <c r="H1591">
        <v>0</v>
      </c>
      <c r="I1591">
        <v>0</v>
      </c>
      <c r="J1591">
        <v>0</v>
      </c>
      <c r="K1591">
        <v>0</v>
      </c>
      <c r="L1591">
        <v>1</v>
      </c>
      <c r="M1591">
        <v>0</v>
      </c>
      <c r="N1591">
        <v>0</v>
      </c>
      <c r="O1591" t="str" cm="1">
        <f t="array" ref="O1591">_xlfn.IFS(Table1[[#This Row],[Divorced]]=1, "Divorced", Table1[[#This Row],[Married]]=1, "Married", Table1[[#This Row],[Single]]=1, "Single", Table1[[#This Row],[Together]]=1, "Together", Table1[[#This Row],[Widow]]=1, "Widow")</f>
        <v>Married</v>
      </c>
      <c r="P1591" t="str" cm="1">
        <f t="array" ref="P1591">_xlfn.IFS(Table1[[#This Row],[Basic]]=1, "Basic", Table1[[#This Row],[Graduate]]=1, "Graduate", Table1[[#This Row],[Master]]=1, "Master", Table1[[#This Row],[PhD]]=1, "PhD", AND(Table1[[#This Row],[Basic]]=0, Table1[[#This Row],[Graduate]]=0, Table1[[#This Row],[Master]]=0, Table1[[#This Row],[PhD]]=0), "NA")</f>
        <v>Graduate</v>
      </c>
      <c r="Q1591" t="e">
        <f>_xlfn.XLOOKUP(Table1[[#This Row],[ID]], Table2[ID],#REF!, "Not Found", 0)</f>
        <v>#REF!</v>
      </c>
      <c r="R1591" t="e">
        <f>_xlfn.XLOOKUP(Table1[[#This Row],[ID]], Table2[ID],#REF!, "Not Found", 0)</f>
        <v>#REF!</v>
      </c>
      <c r="S1591" s="3">
        <f>_xlfn.XLOOKUP(Table1[[#This Row],[ID]], Table2[ID], Table2[Enrollment], "Not Found", 0)</f>
        <v>43684</v>
      </c>
      <c r="T1591" t="s">
        <v>439</v>
      </c>
    </row>
    <row r="1592" spans="1:20" x14ac:dyDescent="0.3">
      <c r="A1592">
        <v>3019</v>
      </c>
      <c r="B1592">
        <v>137150</v>
      </c>
      <c r="C1592">
        <v>1</v>
      </c>
      <c r="D1592">
        <v>0</v>
      </c>
      <c r="E1592">
        <v>49</v>
      </c>
      <c r="F1592">
        <v>0</v>
      </c>
      <c r="G1592">
        <v>1</v>
      </c>
      <c r="H1592">
        <v>0</v>
      </c>
      <c r="I1592">
        <v>0</v>
      </c>
      <c r="J1592">
        <v>0</v>
      </c>
      <c r="K1592">
        <v>0</v>
      </c>
      <c r="L1592">
        <v>1</v>
      </c>
      <c r="M1592">
        <v>0</v>
      </c>
      <c r="N1592">
        <v>0</v>
      </c>
      <c r="O1592" t="str" cm="1">
        <f t="array" ref="O1592">_xlfn.IFS(Table1[[#This Row],[Divorced]]=1, "Divorced", Table1[[#This Row],[Married]]=1, "Married", Table1[[#This Row],[Single]]=1, "Single", Table1[[#This Row],[Together]]=1, "Together", Table1[[#This Row],[Widow]]=1, "Widow")</f>
        <v>Married</v>
      </c>
      <c r="P1592" t="str" cm="1">
        <f t="array" ref="P1592">_xlfn.IFS(Table1[[#This Row],[Basic]]=1, "Basic", Table1[[#This Row],[Graduate]]=1, "Graduate", Table1[[#This Row],[Master]]=1, "Master", Table1[[#This Row],[PhD]]=1, "PhD", AND(Table1[[#This Row],[Basic]]=0, Table1[[#This Row],[Graduate]]=0, Table1[[#This Row],[Master]]=0, Table1[[#This Row],[PhD]]=0), "NA")</f>
        <v>Graduate</v>
      </c>
      <c r="Q1592" t="e">
        <f>_xlfn.XLOOKUP(Table1[[#This Row],[ID]], Table2[ID],#REF!, "Not Found", 0)</f>
        <v>#REF!</v>
      </c>
      <c r="R1592" t="e">
        <f>_xlfn.XLOOKUP(Table1[[#This Row],[ID]], Table2[ID],#REF!, "Not Found", 0)</f>
        <v>#REF!</v>
      </c>
      <c r="S1592" s="3" t="str">
        <f>_xlfn.XLOOKUP(Table1[[#This Row],[ID]], Table2[ID], Table2[Enrollment], "Not Found", 0)</f>
        <v>2/16/2019</v>
      </c>
      <c r="T1592" t="s">
        <v>437</v>
      </c>
    </row>
    <row r="1593" spans="1:20" x14ac:dyDescent="0.3">
      <c r="A1593">
        <v>2019</v>
      </c>
      <c r="B1593">
        <v>137126</v>
      </c>
      <c r="C1593">
        <v>1</v>
      </c>
      <c r="D1593">
        <v>0</v>
      </c>
      <c r="E1593">
        <v>49</v>
      </c>
      <c r="F1593">
        <v>0</v>
      </c>
      <c r="G1593">
        <v>1</v>
      </c>
      <c r="H1593">
        <v>0</v>
      </c>
      <c r="I1593">
        <v>0</v>
      </c>
      <c r="J1593">
        <v>0</v>
      </c>
      <c r="K1593">
        <v>0</v>
      </c>
      <c r="L1593">
        <v>0</v>
      </c>
      <c r="M1593">
        <v>0</v>
      </c>
      <c r="N1593">
        <v>1</v>
      </c>
      <c r="O1593" t="str" cm="1">
        <f t="array" ref="O1593">_xlfn.IFS(Table1[[#This Row],[Divorced]]=1, "Divorced", Table1[[#This Row],[Married]]=1, "Married", Table1[[#This Row],[Single]]=1, "Single", Table1[[#This Row],[Together]]=1, "Together", Table1[[#This Row],[Widow]]=1, "Widow")</f>
        <v>Married</v>
      </c>
      <c r="P1593" t="str" cm="1">
        <f t="array" ref="P1593">_xlfn.IFS(Table1[[#This Row],[Basic]]=1, "Basic", Table1[[#This Row],[Graduate]]=1, "Graduate", Table1[[#This Row],[Master]]=1, "Master", Table1[[#This Row],[PhD]]=1, "PhD", AND(Table1[[#This Row],[Basic]]=0, Table1[[#This Row],[Graduate]]=0, Table1[[#This Row],[Master]]=0, Table1[[#This Row],[PhD]]=0), "NA")</f>
        <v>PhD</v>
      </c>
      <c r="Q1593" t="e">
        <f>_xlfn.XLOOKUP(Table1[[#This Row],[ID]], Table2[ID],#REF!, "Not Found", 0)</f>
        <v>#REF!</v>
      </c>
      <c r="R1593" t="e">
        <f>_xlfn.XLOOKUP(Table1[[#This Row],[ID]], Table2[ID],#REF!, "Not Found", 0)</f>
        <v>#REF!</v>
      </c>
      <c r="S1593" s="3">
        <f>_xlfn.XLOOKUP(Table1[[#This Row],[ID]], Table2[ID], Table2[Enrollment], "Not Found", 0)</f>
        <v>43899</v>
      </c>
      <c r="T1593" t="s">
        <v>435</v>
      </c>
    </row>
    <row r="1594" spans="1:20" x14ac:dyDescent="0.3">
      <c r="A1594">
        <v>1879</v>
      </c>
      <c r="B1594">
        <v>137087</v>
      </c>
      <c r="C1594">
        <v>1</v>
      </c>
      <c r="D1594">
        <v>0</v>
      </c>
      <c r="E1594">
        <v>46</v>
      </c>
      <c r="F1594">
        <v>0</v>
      </c>
      <c r="G1594">
        <v>1</v>
      </c>
      <c r="H1594">
        <v>0</v>
      </c>
      <c r="I1594">
        <v>0</v>
      </c>
      <c r="J1594">
        <v>0</v>
      </c>
      <c r="K1594">
        <v>0</v>
      </c>
      <c r="L1594">
        <v>0</v>
      </c>
      <c r="M1594">
        <v>0</v>
      </c>
      <c r="N1594">
        <v>1</v>
      </c>
      <c r="O1594" t="str" cm="1">
        <f t="array" ref="O1594">_xlfn.IFS(Table1[[#This Row],[Divorced]]=1, "Divorced", Table1[[#This Row],[Married]]=1, "Married", Table1[[#This Row],[Single]]=1, "Single", Table1[[#This Row],[Together]]=1, "Together", Table1[[#This Row],[Widow]]=1, "Widow")</f>
        <v>Married</v>
      </c>
      <c r="P1594" t="str" cm="1">
        <f t="array" ref="P1594">_xlfn.IFS(Table1[[#This Row],[Basic]]=1, "Basic", Table1[[#This Row],[Graduate]]=1, "Graduate", Table1[[#This Row],[Master]]=1, "Master", Table1[[#This Row],[PhD]]=1, "PhD", AND(Table1[[#This Row],[Basic]]=0, Table1[[#This Row],[Graduate]]=0, Table1[[#This Row],[Master]]=0, Table1[[#This Row],[PhD]]=0), "NA")</f>
        <v>PhD</v>
      </c>
      <c r="Q1594" t="e">
        <f>_xlfn.XLOOKUP(Table1[[#This Row],[ID]], Table2[ID],#REF!, "Not Found", 0)</f>
        <v>#REF!</v>
      </c>
      <c r="R1594" t="e">
        <f>_xlfn.XLOOKUP(Table1[[#This Row],[ID]], Table2[ID],#REF!, "Not Found", 0)</f>
        <v>#REF!</v>
      </c>
      <c r="S1594" s="3" t="str">
        <f>_xlfn.XLOOKUP(Table1[[#This Row],[ID]], Table2[ID], Table2[Enrollment], "Not Found", 0)</f>
        <v>1/16/2020</v>
      </c>
      <c r="T1594" t="s">
        <v>437</v>
      </c>
    </row>
    <row r="1595" spans="1:20" x14ac:dyDescent="0.3">
      <c r="A1595">
        <v>3167</v>
      </c>
      <c r="B1595">
        <v>137085</v>
      </c>
      <c r="C1595">
        <v>1</v>
      </c>
      <c r="D1595">
        <v>1</v>
      </c>
      <c r="E1595">
        <v>45</v>
      </c>
      <c r="F1595">
        <v>0</v>
      </c>
      <c r="G1595">
        <v>1</v>
      </c>
      <c r="H1595">
        <v>0</v>
      </c>
      <c r="I1595">
        <v>0</v>
      </c>
      <c r="J1595">
        <v>0</v>
      </c>
      <c r="K1595">
        <v>0</v>
      </c>
      <c r="L1595">
        <v>1</v>
      </c>
      <c r="M1595">
        <v>0</v>
      </c>
      <c r="N1595">
        <v>0</v>
      </c>
      <c r="O1595" t="str" cm="1">
        <f t="array" ref="O1595">_xlfn.IFS(Table1[[#This Row],[Divorced]]=1, "Divorced", Table1[[#This Row],[Married]]=1, "Married", Table1[[#This Row],[Single]]=1, "Single", Table1[[#This Row],[Together]]=1, "Together", Table1[[#This Row],[Widow]]=1, "Widow")</f>
        <v>Married</v>
      </c>
      <c r="P1595" t="str" cm="1">
        <f t="array" ref="P1595">_xlfn.IFS(Table1[[#This Row],[Basic]]=1, "Basic", Table1[[#This Row],[Graduate]]=1, "Graduate", Table1[[#This Row],[Master]]=1, "Master", Table1[[#This Row],[PhD]]=1, "PhD", AND(Table1[[#This Row],[Basic]]=0, Table1[[#This Row],[Graduate]]=0, Table1[[#This Row],[Master]]=0, Table1[[#This Row],[PhD]]=0), "NA")</f>
        <v>Graduate</v>
      </c>
      <c r="Q1595" t="e">
        <f>_xlfn.XLOOKUP(Table1[[#This Row],[ID]], Table2[ID],#REF!, "Not Found", 0)</f>
        <v>#REF!</v>
      </c>
      <c r="R1595" t="e">
        <f>_xlfn.XLOOKUP(Table1[[#This Row],[ID]], Table2[ID],#REF!, "Not Found", 0)</f>
        <v>#REF!</v>
      </c>
      <c r="S1595" s="3" t="str">
        <f>_xlfn.XLOOKUP(Table1[[#This Row],[ID]], Table2[ID], Table2[Enrollment], "Not Found", 0)</f>
        <v>11/30/2020</v>
      </c>
      <c r="T1595" t="s">
        <v>434</v>
      </c>
    </row>
    <row r="1596" spans="1:20" x14ac:dyDescent="0.3">
      <c r="A1596">
        <v>1218</v>
      </c>
      <c r="B1596">
        <v>137070</v>
      </c>
      <c r="C1596">
        <v>1</v>
      </c>
      <c r="D1596">
        <v>1</v>
      </c>
      <c r="E1596">
        <v>54</v>
      </c>
      <c r="F1596">
        <v>0</v>
      </c>
      <c r="G1596">
        <v>0</v>
      </c>
      <c r="H1596">
        <v>1</v>
      </c>
      <c r="I1596">
        <v>0</v>
      </c>
      <c r="J1596">
        <v>0</v>
      </c>
      <c r="K1596">
        <v>0</v>
      </c>
      <c r="L1596">
        <v>1</v>
      </c>
      <c r="M1596">
        <v>0</v>
      </c>
      <c r="N1596">
        <v>0</v>
      </c>
      <c r="O1596" t="str" cm="1">
        <f t="array" ref="O1596">_xlfn.IFS(Table1[[#This Row],[Divorced]]=1, "Divorced", Table1[[#This Row],[Married]]=1, "Married", Table1[[#This Row],[Single]]=1, "Single", Table1[[#This Row],[Together]]=1, "Together", Table1[[#This Row],[Widow]]=1, "Widow")</f>
        <v>Single</v>
      </c>
      <c r="P1596" t="str" cm="1">
        <f t="array" ref="P1596">_xlfn.IFS(Table1[[#This Row],[Basic]]=1, "Basic", Table1[[#This Row],[Graduate]]=1, "Graduate", Table1[[#This Row],[Master]]=1, "Master", Table1[[#This Row],[PhD]]=1, "PhD", AND(Table1[[#This Row],[Basic]]=0, Table1[[#This Row],[Graduate]]=0, Table1[[#This Row],[Master]]=0, Table1[[#This Row],[PhD]]=0), "NA")</f>
        <v>Graduate</v>
      </c>
      <c r="Q1596" t="e">
        <f>_xlfn.XLOOKUP(Table1[[#This Row],[ID]], Table2[ID],#REF!, "Not Found", 0)</f>
        <v>#REF!</v>
      </c>
      <c r="R1596" t="e">
        <f>_xlfn.XLOOKUP(Table1[[#This Row],[ID]], Table2[ID],#REF!, "Not Found", 0)</f>
        <v>#REF!</v>
      </c>
      <c r="S1596" s="3" t="str">
        <f>_xlfn.XLOOKUP(Table1[[#This Row],[ID]], Table2[ID], Table2[Enrollment], "Not Found", 0)</f>
        <v>8/25/2019</v>
      </c>
      <c r="T1596" t="s">
        <v>436</v>
      </c>
    </row>
    <row r="1597" spans="1:20" x14ac:dyDescent="0.3">
      <c r="A1597">
        <v>2778</v>
      </c>
      <c r="B1597">
        <v>137070</v>
      </c>
      <c r="C1597">
        <v>1</v>
      </c>
      <c r="D1597">
        <v>1</v>
      </c>
      <c r="E1597">
        <v>54</v>
      </c>
      <c r="F1597">
        <v>0</v>
      </c>
      <c r="G1597">
        <v>0</v>
      </c>
      <c r="H1597">
        <v>1</v>
      </c>
      <c r="I1597">
        <v>0</v>
      </c>
      <c r="J1597">
        <v>0</v>
      </c>
      <c r="K1597">
        <v>0</v>
      </c>
      <c r="L1597">
        <v>1</v>
      </c>
      <c r="M1597">
        <v>0</v>
      </c>
      <c r="N1597">
        <v>0</v>
      </c>
      <c r="O1597" t="str" cm="1">
        <f t="array" ref="O1597">_xlfn.IFS(Table1[[#This Row],[Divorced]]=1, "Divorced", Table1[[#This Row],[Married]]=1, "Married", Table1[[#This Row],[Single]]=1, "Single", Table1[[#This Row],[Together]]=1, "Together", Table1[[#This Row],[Widow]]=1, "Widow")</f>
        <v>Single</v>
      </c>
      <c r="P1597" t="str" cm="1">
        <f t="array" ref="P1597">_xlfn.IFS(Table1[[#This Row],[Basic]]=1, "Basic", Table1[[#This Row],[Graduate]]=1, "Graduate", Table1[[#This Row],[Master]]=1, "Master", Table1[[#This Row],[PhD]]=1, "PhD", AND(Table1[[#This Row],[Basic]]=0, Table1[[#This Row],[Graduate]]=0, Table1[[#This Row],[Master]]=0, Table1[[#This Row],[PhD]]=0), "NA")</f>
        <v>Graduate</v>
      </c>
      <c r="Q1597" t="e">
        <f>_xlfn.XLOOKUP(Table1[[#This Row],[ID]], Table2[ID],#REF!, "Not Found", 0)</f>
        <v>#REF!</v>
      </c>
      <c r="R1597" t="e">
        <f>_xlfn.XLOOKUP(Table1[[#This Row],[ID]], Table2[ID],#REF!, "Not Found", 0)</f>
        <v>#REF!</v>
      </c>
      <c r="S1597" s="3" t="str">
        <f>_xlfn.XLOOKUP(Table1[[#This Row],[ID]], Table2[ID], Table2[Enrollment], "Not Found", 0)</f>
        <v>8/25/2019</v>
      </c>
      <c r="T1597" t="s">
        <v>436</v>
      </c>
    </row>
    <row r="1598" spans="1:20" x14ac:dyDescent="0.3">
      <c r="A1598">
        <v>2531</v>
      </c>
      <c r="B1598">
        <v>137054</v>
      </c>
      <c r="C1598">
        <v>1</v>
      </c>
      <c r="D1598">
        <v>1</v>
      </c>
      <c r="E1598">
        <v>53</v>
      </c>
      <c r="F1598">
        <v>0</v>
      </c>
      <c r="G1598">
        <v>1</v>
      </c>
      <c r="H1598">
        <v>0</v>
      </c>
      <c r="I1598">
        <v>0</v>
      </c>
      <c r="J1598">
        <v>0</v>
      </c>
      <c r="K1598">
        <v>0</v>
      </c>
      <c r="L1598">
        <v>0</v>
      </c>
      <c r="M1598">
        <v>1</v>
      </c>
      <c r="N1598">
        <v>0</v>
      </c>
      <c r="O1598" t="str" cm="1">
        <f t="array" ref="O1598">_xlfn.IFS(Table1[[#This Row],[Divorced]]=1, "Divorced", Table1[[#This Row],[Married]]=1, "Married", Table1[[#This Row],[Single]]=1, "Single", Table1[[#This Row],[Together]]=1, "Together", Table1[[#This Row],[Widow]]=1, "Widow")</f>
        <v>Married</v>
      </c>
      <c r="P1598" t="str" cm="1">
        <f t="array" ref="P1598">_xlfn.IFS(Table1[[#This Row],[Basic]]=1, "Basic", Table1[[#This Row],[Graduate]]=1, "Graduate", Table1[[#This Row],[Master]]=1, "Master", Table1[[#This Row],[PhD]]=1, "PhD", AND(Table1[[#This Row],[Basic]]=0, Table1[[#This Row],[Graduate]]=0, Table1[[#This Row],[Master]]=0, Table1[[#This Row],[PhD]]=0), "NA")</f>
        <v>Master</v>
      </c>
      <c r="Q1598" t="e">
        <f>_xlfn.XLOOKUP(Table1[[#This Row],[ID]], Table2[ID],#REF!, "Not Found", 0)</f>
        <v>#REF!</v>
      </c>
      <c r="R1598" t="e">
        <f>_xlfn.XLOOKUP(Table1[[#This Row],[ID]], Table2[ID],#REF!, "Not Found", 0)</f>
        <v>#REF!</v>
      </c>
      <c r="S1598" s="3" t="str">
        <f>_xlfn.XLOOKUP(Table1[[#This Row],[ID]], Table2[ID], Table2[Enrollment], "Not Found", 0)</f>
        <v>2/20/2020</v>
      </c>
      <c r="T1598" t="s">
        <v>434</v>
      </c>
    </row>
    <row r="1599" spans="1:20" x14ac:dyDescent="0.3">
      <c r="A1599">
        <v>1020</v>
      </c>
      <c r="B1599">
        <v>137040</v>
      </c>
      <c r="C1599">
        <v>0</v>
      </c>
      <c r="D1599">
        <v>0</v>
      </c>
      <c r="E1599">
        <v>38</v>
      </c>
      <c r="F1599">
        <v>0</v>
      </c>
      <c r="G1599">
        <v>1</v>
      </c>
      <c r="H1599">
        <v>0</v>
      </c>
      <c r="I1599">
        <v>0</v>
      </c>
      <c r="J1599">
        <v>0</v>
      </c>
      <c r="K1599">
        <v>0</v>
      </c>
      <c r="L1599">
        <v>1</v>
      </c>
      <c r="M1599">
        <v>0</v>
      </c>
      <c r="N1599">
        <v>0</v>
      </c>
      <c r="O1599" t="str" cm="1">
        <f t="array" ref="O1599">_xlfn.IFS(Table1[[#This Row],[Divorced]]=1, "Divorced", Table1[[#This Row],[Married]]=1, "Married", Table1[[#This Row],[Single]]=1, "Single", Table1[[#This Row],[Together]]=1, "Together", Table1[[#This Row],[Widow]]=1, "Widow")</f>
        <v>Married</v>
      </c>
      <c r="P1599" t="str" cm="1">
        <f t="array" ref="P1599">_xlfn.IFS(Table1[[#This Row],[Basic]]=1, "Basic", Table1[[#This Row],[Graduate]]=1, "Graduate", Table1[[#This Row],[Master]]=1, "Master", Table1[[#This Row],[PhD]]=1, "PhD", AND(Table1[[#This Row],[Basic]]=0, Table1[[#This Row],[Graduate]]=0, Table1[[#This Row],[Master]]=0, Table1[[#This Row],[PhD]]=0), "NA")</f>
        <v>Graduate</v>
      </c>
      <c r="Q1599" t="e">
        <f>_xlfn.XLOOKUP(Table1[[#This Row],[ID]], Table2[ID],#REF!, "Not Found", 0)</f>
        <v>#REF!</v>
      </c>
      <c r="R1599" t="e">
        <f>_xlfn.XLOOKUP(Table1[[#This Row],[ID]], Table2[ID],#REF!, "Not Found", 0)</f>
        <v>#REF!</v>
      </c>
      <c r="S1599" s="3" t="str">
        <f>_xlfn.XLOOKUP(Table1[[#This Row],[ID]], Table2[ID], Table2[Enrollment], "Not Found", 0)</f>
        <v>1/13/2019</v>
      </c>
      <c r="T1599" t="s">
        <v>436</v>
      </c>
    </row>
    <row r="1600" spans="1:20" x14ac:dyDescent="0.3">
      <c r="A1600">
        <v>3110</v>
      </c>
      <c r="B1600">
        <v>136997</v>
      </c>
      <c r="C1600">
        <v>1</v>
      </c>
      <c r="D1600">
        <v>1</v>
      </c>
      <c r="E1600">
        <v>52</v>
      </c>
      <c r="F1600">
        <v>1</v>
      </c>
      <c r="G1600">
        <v>0</v>
      </c>
      <c r="H1600">
        <v>0</v>
      </c>
      <c r="I1600">
        <v>0</v>
      </c>
      <c r="J1600">
        <v>0</v>
      </c>
      <c r="K1600">
        <v>0</v>
      </c>
      <c r="L1600">
        <v>1</v>
      </c>
      <c r="M1600">
        <v>0</v>
      </c>
      <c r="N1600">
        <v>0</v>
      </c>
      <c r="O1600" t="str" cm="1">
        <f t="array" ref="O1600">_xlfn.IFS(Table1[[#This Row],[Divorced]]=1, "Divorced", Table1[[#This Row],[Married]]=1, "Married", Table1[[#This Row],[Single]]=1, "Single", Table1[[#This Row],[Together]]=1, "Together", Table1[[#This Row],[Widow]]=1, "Widow")</f>
        <v>Divorced</v>
      </c>
      <c r="P1600" t="str" cm="1">
        <f t="array" ref="P1600">_xlfn.IFS(Table1[[#This Row],[Basic]]=1, "Basic", Table1[[#This Row],[Graduate]]=1, "Graduate", Table1[[#This Row],[Master]]=1, "Master", Table1[[#This Row],[PhD]]=1, "PhD", AND(Table1[[#This Row],[Basic]]=0, Table1[[#This Row],[Graduate]]=0, Table1[[#This Row],[Master]]=0, Table1[[#This Row],[PhD]]=0), "NA")</f>
        <v>Graduate</v>
      </c>
      <c r="Q1600" t="e">
        <f>_xlfn.XLOOKUP(Table1[[#This Row],[ID]], Table2[ID],#REF!, "Not Found", 0)</f>
        <v>#REF!</v>
      </c>
      <c r="R1600" t="e">
        <f>_xlfn.XLOOKUP(Table1[[#This Row],[ID]], Table2[ID],#REF!, "Not Found", 0)</f>
        <v>#REF!</v>
      </c>
      <c r="S1600" s="3">
        <f>_xlfn.XLOOKUP(Table1[[#This Row],[ID]], Table2[ID], Table2[Enrollment], "Not Found", 0)</f>
        <v>43715</v>
      </c>
      <c r="T1600" t="s">
        <v>438</v>
      </c>
    </row>
    <row r="1601" spans="1:20" x14ac:dyDescent="0.3">
      <c r="A1601">
        <v>1606</v>
      </c>
      <c r="B1601">
        <v>136975</v>
      </c>
      <c r="C1601">
        <v>1</v>
      </c>
      <c r="D1601">
        <v>0</v>
      </c>
      <c r="E1601">
        <v>42</v>
      </c>
      <c r="F1601">
        <v>0</v>
      </c>
      <c r="G1601">
        <v>0</v>
      </c>
      <c r="H1601">
        <v>1</v>
      </c>
      <c r="I1601">
        <v>0</v>
      </c>
      <c r="J1601">
        <v>0</v>
      </c>
      <c r="K1601">
        <v>0</v>
      </c>
      <c r="L1601">
        <v>0</v>
      </c>
      <c r="M1601">
        <v>0</v>
      </c>
      <c r="N1601">
        <v>0</v>
      </c>
      <c r="O1601" t="str" cm="1">
        <f t="array" ref="O1601">_xlfn.IFS(Table1[[#This Row],[Divorced]]=1, "Divorced", Table1[[#This Row],[Married]]=1, "Married", Table1[[#This Row],[Single]]=1, "Single", Table1[[#This Row],[Together]]=1, "Together", Table1[[#This Row],[Widow]]=1, "Widow")</f>
        <v>Single</v>
      </c>
      <c r="P1601" t="str" cm="1">
        <f t="array" ref="P1601">_xlfn.IFS(Table1[[#This Row],[Basic]]=1, "Basic", Table1[[#This Row],[Graduate]]=1, "Graduate", Table1[[#This Row],[Master]]=1, "Master", Table1[[#This Row],[PhD]]=1, "PhD", AND(Table1[[#This Row],[Basic]]=0, Table1[[#This Row],[Graduate]]=0, Table1[[#This Row],[Master]]=0, Table1[[#This Row],[PhD]]=0), "NA")</f>
        <v>NA</v>
      </c>
      <c r="Q1601" t="e">
        <f>_xlfn.XLOOKUP(Table1[[#This Row],[ID]], Table2[ID],#REF!, "Not Found", 0)</f>
        <v>#REF!</v>
      </c>
      <c r="R1601" t="e">
        <f>_xlfn.XLOOKUP(Table1[[#This Row],[ID]], Table2[ID],#REF!, "Not Found", 0)</f>
        <v>#REF!</v>
      </c>
      <c r="S1601" s="3">
        <f>_xlfn.XLOOKUP(Table1[[#This Row],[ID]], Table2[ID], Table2[Enrollment], "Not Found", 0)</f>
        <v>43896</v>
      </c>
      <c r="T1601" t="s">
        <v>439</v>
      </c>
    </row>
    <row r="1602" spans="1:20" x14ac:dyDescent="0.3">
      <c r="A1602">
        <v>1558</v>
      </c>
      <c r="B1602">
        <v>136959</v>
      </c>
      <c r="C1602">
        <v>1</v>
      </c>
      <c r="D1602">
        <v>0</v>
      </c>
      <c r="E1602">
        <v>39</v>
      </c>
      <c r="F1602">
        <v>0</v>
      </c>
      <c r="G1602">
        <v>1</v>
      </c>
      <c r="H1602">
        <v>0</v>
      </c>
      <c r="I1602">
        <v>0</v>
      </c>
      <c r="J1602">
        <v>0</v>
      </c>
      <c r="K1602">
        <v>0</v>
      </c>
      <c r="L1602">
        <v>0</v>
      </c>
      <c r="M1602">
        <v>1</v>
      </c>
      <c r="N1602">
        <v>0</v>
      </c>
      <c r="O1602" t="str" cm="1">
        <f t="array" ref="O1602">_xlfn.IFS(Table1[[#This Row],[Divorced]]=1, "Divorced", Table1[[#This Row],[Married]]=1, "Married", Table1[[#This Row],[Single]]=1, "Single", Table1[[#This Row],[Together]]=1, "Together", Table1[[#This Row],[Widow]]=1, "Widow")</f>
        <v>Married</v>
      </c>
      <c r="P1602" t="str" cm="1">
        <f t="array" ref="P1602">_xlfn.IFS(Table1[[#This Row],[Basic]]=1, "Basic", Table1[[#This Row],[Graduate]]=1, "Graduate", Table1[[#This Row],[Master]]=1, "Master", Table1[[#This Row],[PhD]]=1, "PhD", AND(Table1[[#This Row],[Basic]]=0, Table1[[#This Row],[Graduate]]=0, Table1[[#This Row],[Master]]=0, Table1[[#This Row],[PhD]]=0), "NA")</f>
        <v>Master</v>
      </c>
      <c r="Q1602" t="e">
        <f>_xlfn.XLOOKUP(Table1[[#This Row],[ID]], Table2[ID],#REF!, "Not Found", 0)</f>
        <v>#REF!</v>
      </c>
      <c r="R1602" t="e">
        <f>_xlfn.XLOOKUP(Table1[[#This Row],[ID]], Table2[ID],#REF!, "Not Found", 0)</f>
        <v>#REF!</v>
      </c>
      <c r="S1602" s="3">
        <f>_xlfn.XLOOKUP(Table1[[#This Row],[ID]], Table2[ID], Table2[Enrollment], "Not Found", 0)</f>
        <v>44046</v>
      </c>
      <c r="T1602" t="s">
        <v>439</v>
      </c>
    </row>
    <row r="1603" spans="1:20" x14ac:dyDescent="0.3">
      <c r="A1603">
        <v>2385</v>
      </c>
      <c r="B1603">
        <v>136957</v>
      </c>
      <c r="C1603">
        <v>1</v>
      </c>
      <c r="D1603">
        <v>1</v>
      </c>
      <c r="E1603">
        <v>67</v>
      </c>
      <c r="F1603">
        <v>1</v>
      </c>
      <c r="G1603">
        <v>0</v>
      </c>
      <c r="H1603">
        <v>0</v>
      </c>
      <c r="I1603">
        <v>0</v>
      </c>
      <c r="J1603">
        <v>0</v>
      </c>
      <c r="K1603">
        <v>0</v>
      </c>
      <c r="L1603">
        <v>0</v>
      </c>
      <c r="M1603">
        <v>0</v>
      </c>
      <c r="N1603">
        <v>1</v>
      </c>
      <c r="O1603" t="str" cm="1">
        <f t="array" ref="O1603">_xlfn.IFS(Table1[[#This Row],[Divorced]]=1, "Divorced", Table1[[#This Row],[Married]]=1, "Married", Table1[[#This Row],[Single]]=1, "Single", Table1[[#This Row],[Together]]=1, "Together", Table1[[#This Row],[Widow]]=1, "Widow")</f>
        <v>Divorced</v>
      </c>
      <c r="P1603" t="str" cm="1">
        <f t="array" ref="P1603">_xlfn.IFS(Table1[[#This Row],[Basic]]=1, "Basic", Table1[[#This Row],[Graduate]]=1, "Graduate", Table1[[#This Row],[Master]]=1, "Master", Table1[[#This Row],[PhD]]=1, "PhD", AND(Table1[[#This Row],[Basic]]=0, Table1[[#This Row],[Graduate]]=0, Table1[[#This Row],[Master]]=0, Table1[[#This Row],[PhD]]=0), "NA")</f>
        <v>PhD</v>
      </c>
      <c r="Q1603" t="e">
        <f>_xlfn.XLOOKUP(Table1[[#This Row],[ID]], Table2[ID],#REF!, "Not Found", 0)</f>
        <v>#REF!</v>
      </c>
      <c r="R1603" t="e">
        <f>_xlfn.XLOOKUP(Table1[[#This Row],[ID]], Table2[ID],#REF!, "Not Found", 0)</f>
        <v>#REF!</v>
      </c>
      <c r="S1603" s="3">
        <f>_xlfn.XLOOKUP(Table1[[#This Row],[ID]], Table2[ID], Table2[Enrollment], "Not Found", 0)</f>
        <v>43771</v>
      </c>
      <c r="T1603" t="s">
        <v>435</v>
      </c>
    </row>
    <row r="1604" spans="1:20" x14ac:dyDescent="0.3">
      <c r="A1604">
        <v>2381</v>
      </c>
      <c r="B1604">
        <v>136947</v>
      </c>
      <c r="C1604">
        <v>1</v>
      </c>
      <c r="D1604">
        <v>1</v>
      </c>
      <c r="E1604">
        <v>53</v>
      </c>
      <c r="F1604">
        <v>0</v>
      </c>
      <c r="G1604">
        <v>1</v>
      </c>
      <c r="H1604">
        <v>0</v>
      </c>
      <c r="I1604">
        <v>0</v>
      </c>
      <c r="J1604">
        <v>0</v>
      </c>
      <c r="K1604">
        <v>0</v>
      </c>
      <c r="L1604">
        <v>0</v>
      </c>
      <c r="M1604">
        <v>0</v>
      </c>
      <c r="N1604">
        <v>1</v>
      </c>
      <c r="O1604" t="str" cm="1">
        <f t="array" ref="O1604">_xlfn.IFS(Table1[[#This Row],[Divorced]]=1, "Divorced", Table1[[#This Row],[Married]]=1, "Married", Table1[[#This Row],[Single]]=1, "Single", Table1[[#This Row],[Together]]=1, "Together", Table1[[#This Row],[Widow]]=1, "Widow")</f>
        <v>Married</v>
      </c>
      <c r="P1604" t="str" cm="1">
        <f t="array" ref="P1604">_xlfn.IFS(Table1[[#This Row],[Basic]]=1, "Basic", Table1[[#This Row],[Graduate]]=1, "Graduate", Table1[[#This Row],[Master]]=1, "Master", Table1[[#This Row],[PhD]]=1, "PhD", AND(Table1[[#This Row],[Basic]]=0, Table1[[#This Row],[Graduate]]=0, Table1[[#This Row],[Master]]=0, Table1[[#This Row],[PhD]]=0), "NA")</f>
        <v>PhD</v>
      </c>
      <c r="Q1604" t="e">
        <f>_xlfn.XLOOKUP(Table1[[#This Row],[ID]], Table2[ID],#REF!, "Not Found", 0)</f>
        <v>#REF!</v>
      </c>
      <c r="R1604" t="e">
        <f>_xlfn.XLOOKUP(Table1[[#This Row],[ID]], Table2[ID],#REF!, "Not Found", 0)</f>
        <v>#REF!</v>
      </c>
      <c r="S1604" s="3">
        <f>_xlfn.XLOOKUP(Table1[[#This Row],[ID]], Table2[ID], Table2[Enrollment], "Not Found", 0)</f>
        <v>43800</v>
      </c>
      <c r="T1604" t="s">
        <v>434</v>
      </c>
    </row>
    <row r="1605" spans="1:20" x14ac:dyDescent="0.3">
      <c r="A1605">
        <v>1985</v>
      </c>
      <c r="B1605">
        <v>136930</v>
      </c>
      <c r="C1605">
        <v>0</v>
      </c>
      <c r="D1605">
        <v>1</v>
      </c>
      <c r="E1605">
        <v>66</v>
      </c>
      <c r="F1605">
        <v>0</v>
      </c>
      <c r="G1605">
        <v>1</v>
      </c>
      <c r="H1605">
        <v>0</v>
      </c>
      <c r="I1605">
        <v>0</v>
      </c>
      <c r="J1605">
        <v>0</v>
      </c>
      <c r="K1605">
        <v>0</v>
      </c>
      <c r="L1605">
        <v>0</v>
      </c>
      <c r="M1605">
        <v>0</v>
      </c>
      <c r="N1605">
        <v>1</v>
      </c>
      <c r="O1605" t="str" cm="1">
        <f t="array" ref="O1605">_xlfn.IFS(Table1[[#This Row],[Divorced]]=1, "Divorced", Table1[[#This Row],[Married]]=1, "Married", Table1[[#This Row],[Single]]=1, "Single", Table1[[#This Row],[Together]]=1, "Together", Table1[[#This Row],[Widow]]=1, "Widow")</f>
        <v>Married</v>
      </c>
      <c r="P1605" t="str" cm="1">
        <f t="array" ref="P1605">_xlfn.IFS(Table1[[#This Row],[Basic]]=1, "Basic", Table1[[#This Row],[Graduate]]=1, "Graduate", Table1[[#This Row],[Master]]=1, "Master", Table1[[#This Row],[PhD]]=1, "PhD", AND(Table1[[#This Row],[Basic]]=0, Table1[[#This Row],[Graduate]]=0, Table1[[#This Row],[Master]]=0, Table1[[#This Row],[PhD]]=0), "NA")</f>
        <v>PhD</v>
      </c>
      <c r="Q1605" t="e">
        <f>_xlfn.XLOOKUP(Table1[[#This Row],[ID]], Table2[ID],#REF!, "Not Found", 0)</f>
        <v>#REF!</v>
      </c>
      <c r="R1605" t="e">
        <f>_xlfn.XLOOKUP(Table1[[#This Row],[ID]], Table2[ID],#REF!, "Not Found", 0)</f>
        <v>#REF!</v>
      </c>
      <c r="S1605" s="3" t="str">
        <f>_xlfn.XLOOKUP(Table1[[#This Row],[ID]], Table2[ID], Table2[Enrollment], "Not Found", 0)</f>
        <v>10/22/2019</v>
      </c>
      <c r="T1605" t="s">
        <v>434</v>
      </c>
    </row>
    <row r="1606" spans="1:20" x14ac:dyDescent="0.3">
      <c r="A1606">
        <v>3028</v>
      </c>
      <c r="B1606">
        <v>136927</v>
      </c>
      <c r="C1606">
        <v>1</v>
      </c>
      <c r="D1606">
        <v>1</v>
      </c>
      <c r="E1606">
        <v>65</v>
      </c>
      <c r="F1606">
        <v>0</v>
      </c>
      <c r="G1606">
        <v>0</v>
      </c>
      <c r="H1606">
        <v>1</v>
      </c>
      <c r="I1606">
        <v>0</v>
      </c>
      <c r="J1606">
        <v>0</v>
      </c>
      <c r="K1606">
        <v>0</v>
      </c>
      <c r="L1606">
        <v>0</v>
      </c>
      <c r="M1606">
        <v>1</v>
      </c>
      <c r="N1606">
        <v>0</v>
      </c>
      <c r="O1606" t="str" cm="1">
        <f t="array" ref="O1606">_xlfn.IFS(Table1[[#This Row],[Divorced]]=1, "Divorced", Table1[[#This Row],[Married]]=1, "Married", Table1[[#This Row],[Single]]=1, "Single", Table1[[#This Row],[Together]]=1, "Together", Table1[[#This Row],[Widow]]=1, "Widow")</f>
        <v>Single</v>
      </c>
      <c r="P1606" t="str" cm="1">
        <f t="array" ref="P1606">_xlfn.IFS(Table1[[#This Row],[Basic]]=1, "Basic", Table1[[#This Row],[Graduate]]=1, "Graduate", Table1[[#This Row],[Master]]=1, "Master", Table1[[#This Row],[PhD]]=1, "PhD", AND(Table1[[#This Row],[Basic]]=0, Table1[[#This Row],[Graduate]]=0, Table1[[#This Row],[Master]]=0, Table1[[#This Row],[PhD]]=0), "NA")</f>
        <v>Master</v>
      </c>
      <c r="Q1606" t="e">
        <f>_xlfn.XLOOKUP(Table1[[#This Row],[ID]], Table2[ID],#REF!, "Not Found", 0)</f>
        <v>#REF!</v>
      </c>
      <c r="R1606" t="e">
        <f>_xlfn.XLOOKUP(Table1[[#This Row],[ID]], Table2[ID],#REF!, "Not Found", 0)</f>
        <v>#REF!</v>
      </c>
      <c r="S1606" s="3">
        <f>_xlfn.XLOOKUP(Table1[[#This Row],[ID]], Table2[ID], Table2[Enrollment], "Not Found", 0)</f>
        <v>43993</v>
      </c>
      <c r="T1606" t="s">
        <v>439</v>
      </c>
    </row>
    <row r="1607" spans="1:20" x14ac:dyDescent="0.3">
      <c r="A1607">
        <v>1129</v>
      </c>
      <c r="B1607">
        <v>136921</v>
      </c>
      <c r="C1607">
        <v>1</v>
      </c>
      <c r="D1607">
        <v>1</v>
      </c>
      <c r="E1607">
        <v>55</v>
      </c>
      <c r="F1607">
        <v>1</v>
      </c>
      <c r="G1607">
        <v>0</v>
      </c>
      <c r="H1607">
        <v>0</v>
      </c>
      <c r="I1607">
        <v>0</v>
      </c>
      <c r="J1607">
        <v>0</v>
      </c>
      <c r="K1607">
        <v>0</v>
      </c>
      <c r="L1607">
        <v>0</v>
      </c>
      <c r="M1607">
        <v>0</v>
      </c>
      <c r="N1607">
        <v>1</v>
      </c>
      <c r="O1607" t="str" cm="1">
        <f t="array" ref="O1607">_xlfn.IFS(Table1[[#This Row],[Divorced]]=1, "Divorced", Table1[[#This Row],[Married]]=1, "Married", Table1[[#This Row],[Single]]=1, "Single", Table1[[#This Row],[Together]]=1, "Together", Table1[[#This Row],[Widow]]=1, "Widow")</f>
        <v>Divorced</v>
      </c>
      <c r="P1607" t="str" cm="1">
        <f t="array" ref="P1607">_xlfn.IFS(Table1[[#This Row],[Basic]]=1, "Basic", Table1[[#This Row],[Graduate]]=1, "Graduate", Table1[[#This Row],[Master]]=1, "Master", Table1[[#This Row],[PhD]]=1, "PhD", AND(Table1[[#This Row],[Basic]]=0, Table1[[#This Row],[Graduate]]=0, Table1[[#This Row],[Master]]=0, Table1[[#This Row],[PhD]]=0), "NA")</f>
        <v>PhD</v>
      </c>
      <c r="Q1607" t="e">
        <f>_xlfn.XLOOKUP(Table1[[#This Row],[ID]], Table2[ID],#REF!, "Not Found", 0)</f>
        <v>#REF!</v>
      </c>
      <c r="R1607" t="e">
        <f>_xlfn.XLOOKUP(Table1[[#This Row],[ID]], Table2[ID],#REF!, "Not Found", 0)</f>
        <v>#REF!</v>
      </c>
      <c r="S1607" s="3">
        <f>_xlfn.XLOOKUP(Table1[[#This Row],[ID]], Table2[ID], Table2[Enrollment], "Not Found", 0)</f>
        <v>43862</v>
      </c>
      <c r="T1607" t="s">
        <v>437</v>
      </c>
    </row>
    <row r="1608" spans="1:20" x14ac:dyDescent="0.3">
      <c r="A1608">
        <v>2379</v>
      </c>
      <c r="B1608">
        <v>136864</v>
      </c>
      <c r="C1608">
        <v>0</v>
      </c>
      <c r="D1608">
        <v>1</v>
      </c>
      <c r="E1608">
        <v>63</v>
      </c>
      <c r="F1608">
        <v>0</v>
      </c>
      <c r="G1608">
        <v>0</v>
      </c>
      <c r="H1608">
        <v>1</v>
      </c>
      <c r="I1608">
        <v>0</v>
      </c>
      <c r="J1608">
        <v>0</v>
      </c>
      <c r="K1608">
        <v>0</v>
      </c>
      <c r="L1608">
        <v>1</v>
      </c>
      <c r="M1608">
        <v>0</v>
      </c>
      <c r="N1608">
        <v>0</v>
      </c>
      <c r="O1608" t="str" cm="1">
        <f t="array" ref="O1608">_xlfn.IFS(Table1[[#This Row],[Divorced]]=1, "Divorced", Table1[[#This Row],[Married]]=1, "Married", Table1[[#This Row],[Single]]=1, "Single", Table1[[#This Row],[Together]]=1, "Together", Table1[[#This Row],[Widow]]=1, "Widow")</f>
        <v>Single</v>
      </c>
      <c r="P1608" t="str" cm="1">
        <f t="array" ref="P1608">_xlfn.IFS(Table1[[#This Row],[Basic]]=1, "Basic", Table1[[#This Row],[Graduate]]=1, "Graduate", Table1[[#This Row],[Master]]=1, "Master", Table1[[#This Row],[PhD]]=1, "PhD", AND(Table1[[#This Row],[Basic]]=0, Table1[[#This Row],[Graduate]]=0, Table1[[#This Row],[Master]]=0, Table1[[#This Row],[PhD]]=0), "NA")</f>
        <v>Graduate</v>
      </c>
      <c r="Q1608" t="e">
        <f>_xlfn.XLOOKUP(Table1[[#This Row],[ID]], Table2[ID],#REF!, "Not Found", 0)</f>
        <v>#REF!</v>
      </c>
      <c r="R1608" t="e">
        <f>_xlfn.XLOOKUP(Table1[[#This Row],[ID]], Table2[ID],#REF!, "Not Found", 0)</f>
        <v>#REF!</v>
      </c>
      <c r="S1608" s="3" t="str">
        <f>_xlfn.XLOOKUP(Table1[[#This Row],[ID]], Table2[ID], Table2[Enrollment], "Not Found", 0)</f>
        <v>1/18/2019</v>
      </c>
      <c r="T1608" t="s">
        <v>435</v>
      </c>
    </row>
    <row r="1609" spans="1:20" x14ac:dyDescent="0.3">
      <c r="A1609">
        <v>3183</v>
      </c>
      <c r="B1609">
        <v>136807</v>
      </c>
      <c r="C1609">
        <v>1</v>
      </c>
      <c r="D1609">
        <v>1</v>
      </c>
      <c r="E1609">
        <v>66</v>
      </c>
      <c r="F1609">
        <v>0</v>
      </c>
      <c r="G1609">
        <v>0</v>
      </c>
      <c r="H1609">
        <v>0</v>
      </c>
      <c r="I1609">
        <v>1</v>
      </c>
      <c r="J1609">
        <v>0</v>
      </c>
      <c r="K1609">
        <v>0</v>
      </c>
      <c r="L1609">
        <v>1</v>
      </c>
      <c r="M1609">
        <v>0</v>
      </c>
      <c r="N1609">
        <v>0</v>
      </c>
      <c r="O1609" t="str" cm="1">
        <f t="array" ref="O1609">_xlfn.IFS(Table1[[#This Row],[Divorced]]=1, "Divorced", Table1[[#This Row],[Married]]=1, "Married", Table1[[#This Row],[Single]]=1, "Single", Table1[[#This Row],[Together]]=1, "Together", Table1[[#This Row],[Widow]]=1, "Widow")</f>
        <v>Together</v>
      </c>
      <c r="P1609" t="str" cm="1">
        <f t="array" ref="P1609">_xlfn.IFS(Table1[[#This Row],[Basic]]=1, "Basic", Table1[[#This Row],[Graduate]]=1, "Graduate", Table1[[#This Row],[Master]]=1, "Master", Table1[[#This Row],[PhD]]=1, "PhD", AND(Table1[[#This Row],[Basic]]=0, Table1[[#This Row],[Graduate]]=0, Table1[[#This Row],[Master]]=0, Table1[[#This Row],[PhD]]=0), "NA")</f>
        <v>Graduate</v>
      </c>
      <c r="Q1609" t="e">
        <f>_xlfn.XLOOKUP(Table1[[#This Row],[ID]], Table2[ID],#REF!, "Not Found", 0)</f>
        <v>#REF!</v>
      </c>
      <c r="R1609" t="e">
        <f>_xlfn.XLOOKUP(Table1[[#This Row],[ID]], Table2[ID],#REF!, "Not Found", 0)</f>
        <v>#REF!</v>
      </c>
      <c r="S1609" s="3" t="str">
        <f>_xlfn.XLOOKUP(Table1[[#This Row],[ID]], Table2[ID], Table2[Enrollment], "Not Found", 0)</f>
        <v>5/27/2019</v>
      </c>
      <c r="T1609" t="s">
        <v>435</v>
      </c>
    </row>
    <row r="1610" spans="1:20" x14ac:dyDescent="0.3">
      <c r="A1610">
        <v>2741</v>
      </c>
      <c r="B1610">
        <v>136802</v>
      </c>
      <c r="C1610">
        <v>1</v>
      </c>
      <c r="D1610">
        <v>0</v>
      </c>
      <c r="E1610">
        <v>40</v>
      </c>
      <c r="F1610">
        <v>0</v>
      </c>
      <c r="G1610">
        <v>0</v>
      </c>
      <c r="H1610">
        <v>1</v>
      </c>
      <c r="I1610">
        <v>0</v>
      </c>
      <c r="J1610">
        <v>0</v>
      </c>
      <c r="K1610">
        <v>0</v>
      </c>
      <c r="L1610">
        <v>0</v>
      </c>
      <c r="M1610">
        <v>0</v>
      </c>
      <c r="N1610">
        <v>1</v>
      </c>
      <c r="O1610" t="str" cm="1">
        <f t="array" ref="O1610">_xlfn.IFS(Table1[[#This Row],[Divorced]]=1, "Divorced", Table1[[#This Row],[Married]]=1, "Married", Table1[[#This Row],[Single]]=1, "Single", Table1[[#This Row],[Together]]=1, "Together", Table1[[#This Row],[Widow]]=1, "Widow")</f>
        <v>Single</v>
      </c>
      <c r="P1610" t="str" cm="1">
        <f t="array" ref="P1610">_xlfn.IFS(Table1[[#This Row],[Basic]]=1, "Basic", Table1[[#This Row],[Graduate]]=1, "Graduate", Table1[[#This Row],[Master]]=1, "Master", Table1[[#This Row],[PhD]]=1, "PhD", AND(Table1[[#This Row],[Basic]]=0, Table1[[#This Row],[Graduate]]=0, Table1[[#This Row],[Master]]=0, Table1[[#This Row],[PhD]]=0), "NA")</f>
        <v>PhD</v>
      </c>
      <c r="Q1610" t="e">
        <f>_xlfn.XLOOKUP(Table1[[#This Row],[ID]], Table2[ID],#REF!, "Not Found", 0)</f>
        <v>#REF!</v>
      </c>
      <c r="R1610" t="e">
        <f>_xlfn.XLOOKUP(Table1[[#This Row],[ID]], Table2[ID],#REF!, "Not Found", 0)</f>
        <v>#REF!</v>
      </c>
      <c r="S1610" s="3" t="str">
        <f>_xlfn.XLOOKUP(Table1[[#This Row],[ID]], Table2[ID], Table2[Enrollment], "Not Found", 0)</f>
        <v>11/20/2020</v>
      </c>
      <c r="T1610" t="s">
        <v>434</v>
      </c>
    </row>
    <row r="1611" spans="1:20" x14ac:dyDescent="0.3">
      <c r="A1611">
        <v>2991</v>
      </c>
      <c r="B1611">
        <v>136790</v>
      </c>
      <c r="C1611">
        <v>0</v>
      </c>
      <c r="D1611">
        <v>0</v>
      </c>
      <c r="E1611">
        <v>37</v>
      </c>
      <c r="F1611">
        <v>0</v>
      </c>
      <c r="G1611">
        <v>1</v>
      </c>
      <c r="H1611">
        <v>0</v>
      </c>
      <c r="I1611">
        <v>0</v>
      </c>
      <c r="J1611">
        <v>0</v>
      </c>
      <c r="K1611">
        <v>0</v>
      </c>
      <c r="L1611">
        <v>1</v>
      </c>
      <c r="M1611">
        <v>0</v>
      </c>
      <c r="N1611">
        <v>0</v>
      </c>
      <c r="O1611" t="str" cm="1">
        <f t="array" ref="O1611">_xlfn.IFS(Table1[[#This Row],[Divorced]]=1, "Divorced", Table1[[#This Row],[Married]]=1, "Married", Table1[[#This Row],[Single]]=1, "Single", Table1[[#This Row],[Together]]=1, "Together", Table1[[#This Row],[Widow]]=1, "Widow")</f>
        <v>Married</v>
      </c>
      <c r="P1611" t="str" cm="1">
        <f t="array" ref="P1611">_xlfn.IFS(Table1[[#This Row],[Basic]]=1, "Basic", Table1[[#This Row],[Graduate]]=1, "Graduate", Table1[[#This Row],[Master]]=1, "Master", Table1[[#This Row],[PhD]]=1, "PhD", AND(Table1[[#This Row],[Basic]]=0, Table1[[#This Row],[Graduate]]=0, Table1[[#This Row],[Master]]=0, Table1[[#This Row],[PhD]]=0), "NA")</f>
        <v>Graduate</v>
      </c>
      <c r="Q1611" t="e">
        <f>_xlfn.XLOOKUP(Table1[[#This Row],[ID]], Table2[ID],#REF!, "Not Found", 0)</f>
        <v>#REF!</v>
      </c>
      <c r="R1611" t="e">
        <f>_xlfn.XLOOKUP(Table1[[#This Row],[ID]], Table2[ID],#REF!, "Not Found", 0)</f>
        <v>#REF!</v>
      </c>
      <c r="S1611" s="3">
        <f>_xlfn.XLOOKUP(Table1[[#This Row],[ID]], Table2[ID], Table2[Enrollment], "Not Found", 0)</f>
        <v>43624</v>
      </c>
      <c r="T1611" t="s">
        <v>435</v>
      </c>
    </row>
    <row r="1612" spans="1:20" x14ac:dyDescent="0.3">
      <c r="A1612">
        <v>2953</v>
      </c>
      <c r="B1612">
        <v>136781</v>
      </c>
      <c r="C1612">
        <v>1</v>
      </c>
      <c r="D1612">
        <v>0</v>
      </c>
      <c r="E1612">
        <v>41</v>
      </c>
      <c r="F1612">
        <v>0</v>
      </c>
      <c r="G1612">
        <v>1</v>
      </c>
      <c r="H1612">
        <v>0</v>
      </c>
      <c r="I1612">
        <v>0</v>
      </c>
      <c r="J1612">
        <v>0</v>
      </c>
      <c r="K1612">
        <v>0</v>
      </c>
      <c r="L1612">
        <v>1</v>
      </c>
      <c r="M1612">
        <v>0</v>
      </c>
      <c r="N1612">
        <v>0</v>
      </c>
      <c r="O1612" t="str" cm="1">
        <f t="array" ref="O1612">_xlfn.IFS(Table1[[#This Row],[Divorced]]=1, "Divorced", Table1[[#This Row],[Married]]=1, "Married", Table1[[#This Row],[Single]]=1, "Single", Table1[[#This Row],[Together]]=1, "Together", Table1[[#This Row],[Widow]]=1, "Widow")</f>
        <v>Married</v>
      </c>
      <c r="P1612" t="str" cm="1">
        <f t="array" ref="P1612">_xlfn.IFS(Table1[[#This Row],[Basic]]=1, "Basic", Table1[[#This Row],[Graduate]]=1, "Graduate", Table1[[#This Row],[Master]]=1, "Master", Table1[[#This Row],[PhD]]=1, "PhD", AND(Table1[[#This Row],[Basic]]=0, Table1[[#This Row],[Graduate]]=0, Table1[[#This Row],[Master]]=0, Table1[[#This Row],[PhD]]=0), "NA")</f>
        <v>Graduate</v>
      </c>
      <c r="Q1612" t="e">
        <f>_xlfn.XLOOKUP(Table1[[#This Row],[ID]], Table2[ID],#REF!, "Not Found", 0)</f>
        <v>#REF!</v>
      </c>
      <c r="R1612" t="e">
        <f>_xlfn.XLOOKUP(Table1[[#This Row],[ID]], Table2[ID],#REF!, "Not Found", 0)</f>
        <v>#REF!</v>
      </c>
      <c r="S1612" s="3" t="str">
        <f>_xlfn.XLOOKUP(Table1[[#This Row],[ID]], Table2[ID], Table2[Enrollment], "Not Found", 0)</f>
        <v>9/14/2020</v>
      </c>
      <c r="T1612" t="s">
        <v>437</v>
      </c>
    </row>
    <row r="1613" spans="1:20" x14ac:dyDescent="0.3">
      <c r="A1613">
        <v>2117</v>
      </c>
      <c r="B1613">
        <v>136778</v>
      </c>
      <c r="C1613">
        <v>1</v>
      </c>
      <c r="D1613">
        <v>1</v>
      </c>
      <c r="E1613">
        <v>52</v>
      </c>
      <c r="F1613">
        <v>0</v>
      </c>
      <c r="G1613">
        <v>1</v>
      </c>
      <c r="H1613">
        <v>0</v>
      </c>
      <c r="I1613">
        <v>0</v>
      </c>
      <c r="J1613">
        <v>0</v>
      </c>
      <c r="K1613">
        <v>0</v>
      </c>
      <c r="L1613">
        <v>0</v>
      </c>
      <c r="M1613">
        <v>0</v>
      </c>
      <c r="N1613">
        <v>1</v>
      </c>
      <c r="O1613" t="str" cm="1">
        <f t="array" ref="O1613">_xlfn.IFS(Table1[[#This Row],[Divorced]]=1, "Divorced", Table1[[#This Row],[Married]]=1, "Married", Table1[[#This Row],[Single]]=1, "Single", Table1[[#This Row],[Together]]=1, "Together", Table1[[#This Row],[Widow]]=1, "Widow")</f>
        <v>Married</v>
      </c>
      <c r="P1613" t="str" cm="1">
        <f t="array" ref="P1613">_xlfn.IFS(Table1[[#This Row],[Basic]]=1, "Basic", Table1[[#This Row],[Graduate]]=1, "Graduate", Table1[[#This Row],[Master]]=1, "Master", Table1[[#This Row],[PhD]]=1, "PhD", AND(Table1[[#This Row],[Basic]]=0, Table1[[#This Row],[Graduate]]=0, Table1[[#This Row],[Master]]=0, Table1[[#This Row],[PhD]]=0), "NA")</f>
        <v>PhD</v>
      </c>
      <c r="Q1613" t="e">
        <f>_xlfn.XLOOKUP(Table1[[#This Row],[ID]], Table2[ID],#REF!, "Not Found", 0)</f>
        <v>#REF!</v>
      </c>
      <c r="R1613" t="e">
        <f>_xlfn.XLOOKUP(Table1[[#This Row],[ID]], Table2[ID],#REF!, "Not Found", 0)</f>
        <v>#REF!</v>
      </c>
      <c r="S1613" s="3">
        <f>_xlfn.XLOOKUP(Table1[[#This Row],[ID]], Table2[ID], Table2[Enrollment], "Not Found", 0)</f>
        <v>43739</v>
      </c>
      <c r="T1613" t="s">
        <v>434</v>
      </c>
    </row>
    <row r="1614" spans="1:20" x14ac:dyDescent="0.3">
      <c r="A1614">
        <v>1990</v>
      </c>
      <c r="B1614">
        <v>136736</v>
      </c>
      <c r="C1614">
        <v>1</v>
      </c>
      <c r="D1614">
        <v>1</v>
      </c>
      <c r="E1614">
        <v>57</v>
      </c>
      <c r="F1614">
        <v>0</v>
      </c>
      <c r="G1614">
        <v>0</v>
      </c>
      <c r="H1614">
        <v>1</v>
      </c>
      <c r="I1614">
        <v>0</v>
      </c>
      <c r="J1614">
        <v>0</v>
      </c>
      <c r="K1614">
        <v>0</v>
      </c>
      <c r="L1614">
        <v>0</v>
      </c>
      <c r="M1614">
        <v>0</v>
      </c>
      <c r="N1614">
        <v>1</v>
      </c>
      <c r="O1614" t="str" cm="1">
        <f t="array" ref="O1614">_xlfn.IFS(Table1[[#This Row],[Divorced]]=1, "Divorced", Table1[[#This Row],[Married]]=1, "Married", Table1[[#This Row],[Single]]=1, "Single", Table1[[#This Row],[Together]]=1, "Together", Table1[[#This Row],[Widow]]=1, "Widow")</f>
        <v>Single</v>
      </c>
      <c r="P1614" t="str" cm="1">
        <f t="array" ref="P1614">_xlfn.IFS(Table1[[#This Row],[Basic]]=1, "Basic", Table1[[#This Row],[Graduate]]=1, "Graduate", Table1[[#This Row],[Master]]=1, "Master", Table1[[#This Row],[PhD]]=1, "PhD", AND(Table1[[#This Row],[Basic]]=0, Table1[[#This Row],[Graduate]]=0, Table1[[#This Row],[Master]]=0, Table1[[#This Row],[PhD]]=0), "NA")</f>
        <v>PhD</v>
      </c>
      <c r="Q1614" t="e">
        <f>_xlfn.XLOOKUP(Table1[[#This Row],[ID]], Table2[ID],#REF!, "Not Found", 0)</f>
        <v>#REF!</v>
      </c>
      <c r="R1614" t="e">
        <f>_xlfn.XLOOKUP(Table1[[#This Row],[ID]], Table2[ID],#REF!, "Not Found", 0)</f>
        <v>#REF!</v>
      </c>
      <c r="S1614" s="3" t="str">
        <f>_xlfn.XLOOKUP(Table1[[#This Row],[ID]], Table2[ID], Table2[Enrollment], "Not Found", 0)</f>
        <v>10/15/2019</v>
      </c>
      <c r="T1614" t="s">
        <v>439</v>
      </c>
    </row>
    <row r="1615" spans="1:20" x14ac:dyDescent="0.3">
      <c r="A1615">
        <v>2642</v>
      </c>
      <c r="B1615">
        <v>136732</v>
      </c>
      <c r="C1615">
        <v>1</v>
      </c>
      <c r="D1615">
        <v>1</v>
      </c>
      <c r="E1615">
        <v>61</v>
      </c>
      <c r="F1615">
        <v>0</v>
      </c>
      <c r="G1615">
        <v>1</v>
      </c>
      <c r="H1615">
        <v>0</v>
      </c>
      <c r="I1615">
        <v>0</v>
      </c>
      <c r="J1615">
        <v>0</v>
      </c>
      <c r="K1615">
        <v>0</v>
      </c>
      <c r="L1615">
        <v>0</v>
      </c>
      <c r="M1615">
        <v>0</v>
      </c>
      <c r="N1615">
        <v>1</v>
      </c>
      <c r="O1615" t="str" cm="1">
        <f t="array" ref="O1615">_xlfn.IFS(Table1[[#This Row],[Divorced]]=1, "Divorced", Table1[[#This Row],[Married]]=1, "Married", Table1[[#This Row],[Single]]=1, "Single", Table1[[#This Row],[Together]]=1, "Together", Table1[[#This Row],[Widow]]=1, "Widow")</f>
        <v>Married</v>
      </c>
      <c r="P1615" t="str" cm="1">
        <f t="array" ref="P1615">_xlfn.IFS(Table1[[#This Row],[Basic]]=1, "Basic", Table1[[#This Row],[Graduate]]=1, "Graduate", Table1[[#This Row],[Master]]=1, "Master", Table1[[#This Row],[PhD]]=1, "PhD", AND(Table1[[#This Row],[Basic]]=0, Table1[[#This Row],[Graduate]]=0, Table1[[#This Row],[Master]]=0, Table1[[#This Row],[PhD]]=0), "NA")</f>
        <v>PhD</v>
      </c>
      <c r="Q1615" t="e">
        <f>_xlfn.XLOOKUP(Table1[[#This Row],[ID]], Table2[ID],#REF!, "Not Found", 0)</f>
        <v>#REF!</v>
      </c>
      <c r="R1615" t="e">
        <f>_xlfn.XLOOKUP(Table1[[#This Row],[ID]], Table2[ID],#REF!, "Not Found", 0)</f>
        <v>#REF!</v>
      </c>
      <c r="S1615" s="3">
        <f>_xlfn.XLOOKUP(Table1[[#This Row],[ID]], Table2[ID], Table2[Enrollment], "Not Found", 0)</f>
        <v>43927</v>
      </c>
      <c r="T1615" t="s">
        <v>438</v>
      </c>
    </row>
    <row r="1616" spans="1:20" x14ac:dyDescent="0.3">
      <c r="A1616">
        <v>2062</v>
      </c>
      <c r="B1616">
        <v>136715</v>
      </c>
      <c r="C1616">
        <v>1</v>
      </c>
      <c r="D1616">
        <v>0</v>
      </c>
      <c r="E1616">
        <v>49</v>
      </c>
      <c r="F1616">
        <v>0</v>
      </c>
      <c r="G1616">
        <v>1</v>
      </c>
      <c r="H1616">
        <v>0</v>
      </c>
      <c r="I1616">
        <v>0</v>
      </c>
      <c r="J1616">
        <v>0</v>
      </c>
      <c r="K1616">
        <v>0</v>
      </c>
      <c r="L1616">
        <v>1</v>
      </c>
      <c r="M1616">
        <v>0</v>
      </c>
      <c r="N1616">
        <v>0</v>
      </c>
      <c r="O1616" t="str" cm="1">
        <f t="array" ref="O1616">_xlfn.IFS(Table1[[#This Row],[Divorced]]=1, "Divorced", Table1[[#This Row],[Married]]=1, "Married", Table1[[#This Row],[Single]]=1, "Single", Table1[[#This Row],[Together]]=1, "Together", Table1[[#This Row],[Widow]]=1, "Widow")</f>
        <v>Married</v>
      </c>
      <c r="P1616" t="str" cm="1">
        <f t="array" ref="P1616">_xlfn.IFS(Table1[[#This Row],[Basic]]=1, "Basic", Table1[[#This Row],[Graduate]]=1, "Graduate", Table1[[#This Row],[Master]]=1, "Master", Table1[[#This Row],[PhD]]=1, "PhD", AND(Table1[[#This Row],[Basic]]=0, Table1[[#This Row],[Graduate]]=0, Table1[[#This Row],[Master]]=0, Table1[[#This Row],[PhD]]=0), "NA")</f>
        <v>Graduate</v>
      </c>
      <c r="Q1616" t="e">
        <f>_xlfn.XLOOKUP(Table1[[#This Row],[ID]], Table2[ID],#REF!, "Not Found", 0)</f>
        <v>#REF!</v>
      </c>
      <c r="R1616" t="e">
        <f>_xlfn.XLOOKUP(Table1[[#This Row],[ID]], Table2[ID],#REF!, "Not Found", 0)</f>
        <v>#REF!</v>
      </c>
      <c r="S1616" s="3" t="str">
        <f>_xlfn.XLOOKUP(Table1[[#This Row],[ID]], Table2[ID], Table2[Enrollment], "Not Found", 0)</f>
        <v>4/24/2019</v>
      </c>
      <c r="T1616" t="s">
        <v>439</v>
      </c>
    </row>
    <row r="1617" spans="1:20" x14ac:dyDescent="0.3">
      <c r="A1617">
        <v>2575</v>
      </c>
      <c r="B1617">
        <v>136663</v>
      </c>
      <c r="C1617">
        <v>1</v>
      </c>
      <c r="D1617">
        <v>0</v>
      </c>
      <c r="E1617">
        <v>45</v>
      </c>
      <c r="F1617">
        <v>0</v>
      </c>
      <c r="G1617">
        <v>1</v>
      </c>
      <c r="H1617">
        <v>0</v>
      </c>
      <c r="I1617">
        <v>0</v>
      </c>
      <c r="J1617">
        <v>0</v>
      </c>
      <c r="K1617">
        <v>0</v>
      </c>
      <c r="L1617">
        <v>0</v>
      </c>
      <c r="M1617">
        <v>0</v>
      </c>
      <c r="N1617">
        <v>1</v>
      </c>
      <c r="O1617" t="str" cm="1">
        <f t="array" ref="O1617">_xlfn.IFS(Table1[[#This Row],[Divorced]]=1, "Divorced", Table1[[#This Row],[Married]]=1, "Married", Table1[[#This Row],[Single]]=1, "Single", Table1[[#This Row],[Together]]=1, "Together", Table1[[#This Row],[Widow]]=1, "Widow")</f>
        <v>Married</v>
      </c>
      <c r="P1617" t="str" cm="1">
        <f t="array" ref="P1617">_xlfn.IFS(Table1[[#This Row],[Basic]]=1, "Basic", Table1[[#This Row],[Graduate]]=1, "Graduate", Table1[[#This Row],[Master]]=1, "Master", Table1[[#This Row],[PhD]]=1, "PhD", AND(Table1[[#This Row],[Basic]]=0, Table1[[#This Row],[Graduate]]=0, Table1[[#This Row],[Master]]=0, Table1[[#This Row],[PhD]]=0), "NA")</f>
        <v>PhD</v>
      </c>
      <c r="Q1617" t="e">
        <f>_xlfn.XLOOKUP(Table1[[#This Row],[ID]], Table2[ID],#REF!, "Not Found", 0)</f>
        <v>#REF!</v>
      </c>
      <c r="R1617" t="e">
        <f>_xlfn.XLOOKUP(Table1[[#This Row],[ID]], Table2[ID],#REF!, "Not Found", 0)</f>
        <v>#REF!</v>
      </c>
      <c r="S1617" s="3" t="str">
        <f>_xlfn.XLOOKUP(Table1[[#This Row],[ID]], Table2[ID], Table2[Enrollment], "Not Found", 0)</f>
        <v>9/29/2020</v>
      </c>
      <c r="T1617" t="s">
        <v>437</v>
      </c>
    </row>
    <row r="1618" spans="1:20" x14ac:dyDescent="0.3">
      <c r="A1618">
        <v>2631</v>
      </c>
      <c r="B1618">
        <v>136634</v>
      </c>
      <c r="C1618">
        <v>0</v>
      </c>
      <c r="D1618">
        <v>1</v>
      </c>
      <c r="E1618">
        <v>66</v>
      </c>
      <c r="F1618">
        <v>0</v>
      </c>
      <c r="G1618">
        <v>0</v>
      </c>
      <c r="H1618">
        <v>0</v>
      </c>
      <c r="I1618">
        <v>1</v>
      </c>
      <c r="J1618">
        <v>0</v>
      </c>
      <c r="K1618">
        <v>0</v>
      </c>
      <c r="L1618">
        <v>0</v>
      </c>
      <c r="M1618">
        <v>1</v>
      </c>
      <c r="N1618">
        <v>0</v>
      </c>
      <c r="O1618" t="str" cm="1">
        <f t="array" ref="O1618">_xlfn.IFS(Table1[[#This Row],[Divorced]]=1, "Divorced", Table1[[#This Row],[Married]]=1, "Married", Table1[[#This Row],[Single]]=1, "Single", Table1[[#This Row],[Together]]=1, "Together", Table1[[#This Row],[Widow]]=1, "Widow")</f>
        <v>Together</v>
      </c>
      <c r="P1618" t="str" cm="1">
        <f t="array" ref="P1618">_xlfn.IFS(Table1[[#This Row],[Basic]]=1, "Basic", Table1[[#This Row],[Graduate]]=1, "Graduate", Table1[[#This Row],[Master]]=1, "Master", Table1[[#This Row],[PhD]]=1, "PhD", AND(Table1[[#This Row],[Basic]]=0, Table1[[#This Row],[Graduate]]=0, Table1[[#This Row],[Master]]=0, Table1[[#This Row],[PhD]]=0), "NA")</f>
        <v>Master</v>
      </c>
      <c r="Q1618" t="e">
        <f>_xlfn.XLOOKUP(Table1[[#This Row],[ID]], Table2[ID],#REF!, "Not Found", 0)</f>
        <v>#REF!</v>
      </c>
      <c r="R1618" t="e">
        <f>_xlfn.XLOOKUP(Table1[[#This Row],[ID]], Table2[ID],#REF!, "Not Found", 0)</f>
        <v>#REF!</v>
      </c>
      <c r="S1618" s="3">
        <f>_xlfn.XLOOKUP(Table1[[#This Row],[ID]], Table2[ID], Table2[Enrollment], "Not Found", 0)</f>
        <v>43507</v>
      </c>
      <c r="T1618" t="s">
        <v>435</v>
      </c>
    </row>
    <row r="1619" spans="1:20" x14ac:dyDescent="0.3">
      <c r="A1619">
        <v>1863</v>
      </c>
      <c r="B1619">
        <v>136627</v>
      </c>
      <c r="C1619">
        <v>2</v>
      </c>
      <c r="D1619">
        <v>0</v>
      </c>
      <c r="E1619">
        <v>45</v>
      </c>
      <c r="F1619">
        <v>1</v>
      </c>
      <c r="G1619">
        <v>0</v>
      </c>
      <c r="H1619">
        <v>0</v>
      </c>
      <c r="I1619">
        <v>0</v>
      </c>
      <c r="J1619">
        <v>0</v>
      </c>
      <c r="K1619">
        <v>0</v>
      </c>
      <c r="L1619">
        <v>1</v>
      </c>
      <c r="M1619">
        <v>0</v>
      </c>
      <c r="N1619">
        <v>0</v>
      </c>
      <c r="O1619" t="str" cm="1">
        <f t="array" ref="O1619">_xlfn.IFS(Table1[[#This Row],[Divorced]]=1, "Divorced", Table1[[#This Row],[Married]]=1, "Married", Table1[[#This Row],[Single]]=1, "Single", Table1[[#This Row],[Together]]=1, "Together", Table1[[#This Row],[Widow]]=1, "Widow")</f>
        <v>Divorced</v>
      </c>
      <c r="P1619" t="str" cm="1">
        <f t="array" ref="P1619">_xlfn.IFS(Table1[[#This Row],[Basic]]=1, "Basic", Table1[[#This Row],[Graduate]]=1, "Graduate", Table1[[#This Row],[Master]]=1, "Master", Table1[[#This Row],[PhD]]=1, "PhD", AND(Table1[[#This Row],[Basic]]=0, Table1[[#This Row],[Graduate]]=0, Table1[[#This Row],[Master]]=0, Table1[[#This Row],[PhD]]=0), "NA")</f>
        <v>Graduate</v>
      </c>
      <c r="Q1619" t="e">
        <f>_xlfn.XLOOKUP(Table1[[#This Row],[ID]], Table2[ID],#REF!, "Not Found", 0)</f>
        <v>#REF!</v>
      </c>
      <c r="R1619" t="e">
        <f>_xlfn.XLOOKUP(Table1[[#This Row],[ID]], Table2[ID],#REF!, "Not Found", 0)</f>
        <v>#REF!</v>
      </c>
      <c r="S1619" s="3" t="str">
        <f>_xlfn.XLOOKUP(Table1[[#This Row],[ID]], Table2[ID], Table2[Enrollment], "Not Found", 0)</f>
        <v>12/28/2019</v>
      </c>
      <c r="T1619" t="s">
        <v>435</v>
      </c>
    </row>
    <row r="1620" spans="1:20" x14ac:dyDescent="0.3">
      <c r="A1620">
        <v>1109</v>
      </c>
      <c r="B1620">
        <v>136550</v>
      </c>
      <c r="C1620">
        <v>1</v>
      </c>
      <c r="D1620">
        <v>0</v>
      </c>
      <c r="E1620">
        <v>42</v>
      </c>
      <c r="F1620">
        <v>0</v>
      </c>
      <c r="G1620">
        <v>1</v>
      </c>
      <c r="H1620">
        <v>0</v>
      </c>
      <c r="I1620">
        <v>0</v>
      </c>
      <c r="J1620">
        <v>0</v>
      </c>
      <c r="K1620">
        <v>0</v>
      </c>
      <c r="L1620">
        <v>0</v>
      </c>
      <c r="M1620">
        <v>0</v>
      </c>
      <c r="N1620">
        <v>0</v>
      </c>
      <c r="O1620" t="str" cm="1">
        <f t="array" ref="O1620">_xlfn.IFS(Table1[[#This Row],[Divorced]]=1, "Divorced", Table1[[#This Row],[Married]]=1, "Married", Table1[[#This Row],[Single]]=1, "Single", Table1[[#This Row],[Together]]=1, "Together", Table1[[#This Row],[Widow]]=1, "Widow")</f>
        <v>Married</v>
      </c>
      <c r="P1620" t="str" cm="1">
        <f t="array" ref="P1620">_xlfn.IFS(Table1[[#This Row],[Basic]]=1, "Basic", Table1[[#This Row],[Graduate]]=1, "Graduate", Table1[[#This Row],[Master]]=1, "Master", Table1[[#This Row],[PhD]]=1, "PhD", AND(Table1[[#This Row],[Basic]]=0, Table1[[#This Row],[Graduate]]=0, Table1[[#This Row],[Master]]=0, Table1[[#This Row],[PhD]]=0), "NA")</f>
        <v>NA</v>
      </c>
      <c r="Q1620" t="e">
        <f>_xlfn.XLOOKUP(Table1[[#This Row],[ID]], Table2[ID],#REF!, "Not Found", 0)</f>
        <v>#REF!</v>
      </c>
      <c r="R1620" t="e">
        <f>_xlfn.XLOOKUP(Table1[[#This Row],[ID]], Table2[ID],#REF!, "Not Found", 0)</f>
        <v>#REF!</v>
      </c>
      <c r="S1620" s="3" t="str">
        <f>_xlfn.XLOOKUP(Table1[[#This Row],[ID]], Table2[ID], Table2[Enrollment], "Not Found", 0)</f>
        <v>7/27/2019</v>
      </c>
      <c r="T1620" t="s">
        <v>434</v>
      </c>
    </row>
    <row r="1621" spans="1:20" x14ac:dyDescent="0.3">
      <c r="A1621">
        <v>1500</v>
      </c>
      <c r="B1621">
        <v>136443</v>
      </c>
      <c r="C1621">
        <v>1</v>
      </c>
      <c r="D1621">
        <v>1</v>
      </c>
      <c r="E1621">
        <v>59</v>
      </c>
      <c r="F1621">
        <v>0</v>
      </c>
      <c r="G1621">
        <v>1</v>
      </c>
      <c r="H1621">
        <v>0</v>
      </c>
      <c r="I1621">
        <v>0</v>
      </c>
      <c r="J1621">
        <v>0</v>
      </c>
      <c r="K1621">
        <v>0</v>
      </c>
      <c r="L1621">
        <v>1</v>
      </c>
      <c r="M1621">
        <v>0</v>
      </c>
      <c r="N1621">
        <v>0</v>
      </c>
      <c r="O1621" t="str" cm="1">
        <f t="array" ref="O1621">_xlfn.IFS(Table1[[#This Row],[Divorced]]=1, "Divorced", Table1[[#This Row],[Married]]=1, "Married", Table1[[#This Row],[Single]]=1, "Single", Table1[[#This Row],[Together]]=1, "Together", Table1[[#This Row],[Widow]]=1, "Widow")</f>
        <v>Married</v>
      </c>
      <c r="P1621" t="str" cm="1">
        <f t="array" ref="P1621">_xlfn.IFS(Table1[[#This Row],[Basic]]=1, "Basic", Table1[[#This Row],[Graduate]]=1, "Graduate", Table1[[#This Row],[Master]]=1, "Master", Table1[[#This Row],[PhD]]=1, "PhD", AND(Table1[[#This Row],[Basic]]=0, Table1[[#This Row],[Graduate]]=0, Table1[[#This Row],[Master]]=0, Table1[[#This Row],[PhD]]=0), "NA")</f>
        <v>Graduate</v>
      </c>
      <c r="Q1621" t="e">
        <f>_xlfn.XLOOKUP(Table1[[#This Row],[ID]], Table2[ID],#REF!, "Not Found", 0)</f>
        <v>#REF!</v>
      </c>
      <c r="R1621" t="e">
        <f>_xlfn.XLOOKUP(Table1[[#This Row],[ID]], Table2[ID],#REF!, "Not Found", 0)</f>
        <v>#REF!</v>
      </c>
      <c r="S1621" s="3">
        <f>_xlfn.XLOOKUP(Table1[[#This Row],[ID]], Table2[ID], Table2[Enrollment], "Not Found", 0)</f>
        <v>43776</v>
      </c>
      <c r="T1621" t="s">
        <v>436</v>
      </c>
    </row>
    <row r="1622" spans="1:20" x14ac:dyDescent="0.3">
      <c r="A1622">
        <v>2417</v>
      </c>
      <c r="B1622">
        <v>136408</v>
      </c>
      <c r="C1622">
        <v>1</v>
      </c>
      <c r="D1622">
        <v>1</v>
      </c>
      <c r="E1622">
        <v>71</v>
      </c>
      <c r="F1622">
        <v>0</v>
      </c>
      <c r="G1622">
        <v>1</v>
      </c>
      <c r="H1622">
        <v>0</v>
      </c>
      <c r="I1622">
        <v>0</v>
      </c>
      <c r="J1622">
        <v>0</v>
      </c>
      <c r="K1622">
        <v>0</v>
      </c>
      <c r="L1622">
        <v>0</v>
      </c>
      <c r="M1622">
        <v>1</v>
      </c>
      <c r="N1622">
        <v>0</v>
      </c>
      <c r="O1622" t="str" cm="1">
        <f t="array" ref="O1622">_xlfn.IFS(Table1[[#This Row],[Divorced]]=1, "Divorced", Table1[[#This Row],[Married]]=1, "Married", Table1[[#This Row],[Single]]=1, "Single", Table1[[#This Row],[Together]]=1, "Together", Table1[[#This Row],[Widow]]=1, "Widow")</f>
        <v>Married</v>
      </c>
      <c r="P1622" t="str" cm="1">
        <f t="array" ref="P1622">_xlfn.IFS(Table1[[#This Row],[Basic]]=1, "Basic", Table1[[#This Row],[Graduate]]=1, "Graduate", Table1[[#This Row],[Master]]=1, "Master", Table1[[#This Row],[PhD]]=1, "PhD", AND(Table1[[#This Row],[Basic]]=0, Table1[[#This Row],[Graduate]]=0, Table1[[#This Row],[Master]]=0, Table1[[#This Row],[PhD]]=0), "NA")</f>
        <v>Master</v>
      </c>
      <c r="Q1622" t="e">
        <f>_xlfn.XLOOKUP(Table1[[#This Row],[ID]], Table2[ID],#REF!, "Not Found", 0)</f>
        <v>#REF!</v>
      </c>
      <c r="R1622" t="e">
        <f>_xlfn.XLOOKUP(Table1[[#This Row],[ID]], Table2[ID],#REF!, "Not Found", 0)</f>
        <v>#REF!</v>
      </c>
      <c r="S1622" s="3" t="str">
        <f>_xlfn.XLOOKUP(Table1[[#This Row],[ID]], Table2[ID], Table2[Enrollment], "Not Found", 0)</f>
        <v>2/26/2020</v>
      </c>
      <c r="T1622" t="s">
        <v>434</v>
      </c>
    </row>
    <row r="1623" spans="1:20" x14ac:dyDescent="0.3">
      <c r="A1623">
        <v>2190</v>
      </c>
      <c r="B1623">
        <v>136317</v>
      </c>
      <c r="C1623">
        <v>0</v>
      </c>
      <c r="D1623">
        <v>1</v>
      </c>
      <c r="E1623">
        <v>55</v>
      </c>
      <c r="F1623">
        <v>0</v>
      </c>
      <c r="G1623">
        <v>0</v>
      </c>
      <c r="H1623">
        <v>0</v>
      </c>
      <c r="I1623">
        <v>1</v>
      </c>
      <c r="J1623">
        <v>0</v>
      </c>
      <c r="K1623">
        <v>0</v>
      </c>
      <c r="L1623">
        <v>1</v>
      </c>
      <c r="M1623">
        <v>0</v>
      </c>
      <c r="N1623">
        <v>0</v>
      </c>
      <c r="O1623" t="str" cm="1">
        <f t="array" ref="O1623">_xlfn.IFS(Table1[[#This Row],[Divorced]]=1, "Divorced", Table1[[#This Row],[Married]]=1, "Married", Table1[[#This Row],[Single]]=1, "Single", Table1[[#This Row],[Together]]=1, "Together", Table1[[#This Row],[Widow]]=1, "Widow")</f>
        <v>Together</v>
      </c>
      <c r="P1623" t="str" cm="1">
        <f t="array" ref="P1623">_xlfn.IFS(Table1[[#This Row],[Basic]]=1, "Basic", Table1[[#This Row],[Graduate]]=1, "Graduate", Table1[[#This Row],[Master]]=1, "Master", Table1[[#This Row],[PhD]]=1, "PhD", AND(Table1[[#This Row],[Basic]]=0, Table1[[#This Row],[Graduate]]=0, Table1[[#This Row],[Master]]=0, Table1[[#This Row],[PhD]]=0), "NA")</f>
        <v>Graduate</v>
      </c>
      <c r="Q1623" t="e">
        <f>_xlfn.XLOOKUP(Table1[[#This Row],[ID]], Table2[ID],#REF!, "Not Found", 0)</f>
        <v>#REF!</v>
      </c>
      <c r="R1623" t="e">
        <f>_xlfn.XLOOKUP(Table1[[#This Row],[ID]], Table2[ID],#REF!, "Not Found", 0)</f>
        <v>#REF!</v>
      </c>
      <c r="S1623" s="3" t="str">
        <f>_xlfn.XLOOKUP(Table1[[#This Row],[ID]], Table2[ID], Table2[Enrollment], "Not Found", 0)</f>
        <v>10/27/2019</v>
      </c>
      <c r="T1623" t="s">
        <v>436</v>
      </c>
    </row>
    <row r="1624" spans="1:20" x14ac:dyDescent="0.3">
      <c r="A1624">
        <v>2605</v>
      </c>
      <c r="B1624">
        <v>136301</v>
      </c>
      <c r="C1624">
        <v>1</v>
      </c>
      <c r="D1624">
        <v>0</v>
      </c>
      <c r="E1624">
        <v>44</v>
      </c>
      <c r="F1624">
        <v>0</v>
      </c>
      <c r="G1624">
        <v>0</v>
      </c>
      <c r="H1624">
        <v>0</v>
      </c>
      <c r="I1624">
        <v>1</v>
      </c>
      <c r="J1624">
        <v>0</v>
      </c>
      <c r="K1624">
        <v>0</v>
      </c>
      <c r="L1624">
        <v>0</v>
      </c>
      <c r="M1624">
        <v>0</v>
      </c>
      <c r="N1624">
        <v>0</v>
      </c>
      <c r="O1624" t="str" cm="1">
        <f t="array" ref="O1624">_xlfn.IFS(Table1[[#This Row],[Divorced]]=1, "Divorced", Table1[[#This Row],[Married]]=1, "Married", Table1[[#This Row],[Single]]=1, "Single", Table1[[#This Row],[Together]]=1, "Together", Table1[[#This Row],[Widow]]=1, "Widow")</f>
        <v>Together</v>
      </c>
      <c r="P1624" t="str" cm="1">
        <f t="array" ref="P1624">_xlfn.IFS(Table1[[#This Row],[Basic]]=1, "Basic", Table1[[#This Row],[Graduate]]=1, "Graduate", Table1[[#This Row],[Master]]=1, "Master", Table1[[#This Row],[PhD]]=1, "PhD", AND(Table1[[#This Row],[Basic]]=0, Table1[[#This Row],[Graduate]]=0, Table1[[#This Row],[Master]]=0, Table1[[#This Row],[PhD]]=0), "NA")</f>
        <v>NA</v>
      </c>
      <c r="Q1624" t="e">
        <f>_xlfn.XLOOKUP(Table1[[#This Row],[ID]], Table2[ID],#REF!, "Not Found", 0)</f>
        <v>#REF!</v>
      </c>
      <c r="R1624" t="e">
        <f>_xlfn.XLOOKUP(Table1[[#This Row],[ID]], Table2[ID],#REF!, "Not Found", 0)</f>
        <v>#REF!</v>
      </c>
      <c r="S1624" s="3" t="str">
        <f>_xlfn.XLOOKUP(Table1[[#This Row],[ID]], Table2[ID], Table2[Enrollment], "Not Found", 0)</f>
        <v>3/31/2020</v>
      </c>
      <c r="T1624" t="s">
        <v>437</v>
      </c>
    </row>
    <row r="1625" spans="1:20" x14ac:dyDescent="0.3">
      <c r="A1625">
        <v>1762</v>
      </c>
      <c r="B1625">
        <v>136283</v>
      </c>
      <c r="C1625">
        <v>1</v>
      </c>
      <c r="D1625">
        <v>1</v>
      </c>
      <c r="E1625">
        <v>44</v>
      </c>
      <c r="F1625">
        <v>0</v>
      </c>
      <c r="G1625">
        <v>0</v>
      </c>
      <c r="H1625">
        <v>0</v>
      </c>
      <c r="I1625">
        <v>1</v>
      </c>
      <c r="J1625">
        <v>0</v>
      </c>
      <c r="K1625">
        <v>0</v>
      </c>
      <c r="L1625">
        <v>1</v>
      </c>
      <c r="M1625">
        <v>0</v>
      </c>
      <c r="N1625">
        <v>0</v>
      </c>
      <c r="O1625" t="str" cm="1">
        <f t="array" ref="O1625">_xlfn.IFS(Table1[[#This Row],[Divorced]]=1, "Divorced", Table1[[#This Row],[Married]]=1, "Married", Table1[[#This Row],[Single]]=1, "Single", Table1[[#This Row],[Together]]=1, "Together", Table1[[#This Row],[Widow]]=1, "Widow")</f>
        <v>Together</v>
      </c>
      <c r="P1625" t="str" cm="1">
        <f t="array" ref="P1625">_xlfn.IFS(Table1[[#This Row],[Basic]]=1, "Basic", Table1[[#This Row],[Graduate]]=1, "Graduate", Table1[[#This Row],[Master]]=1, "Master", Table1[[#This Row],[PhD]]=1, "PhD", AND(Table1[[#This Row],[Basic]]=0, Table1[[#This Row],[Graduate]]=0, Table1[[#This Row],[Master]]=0, Table1[[#This Row],[PhD]]=0), "NA")</f>
        <v>Graduate</v>
      </c>
      <c r="Q1625" t="e">
        <f>_xlfn.XLOOKUP(Table1[[#This Row],[ID]], Table2[ID],#REF!, "Not Found", 0)</f>
        <v>#REF!</v>
      </c>
      <c r="R1625" t="e">
        <f>_xlfn.XLOOKUP(Table1[[#This Row],[ID]], Table2[ID],#REF!, "Not Found", 0)</f>
        <v>#REF!</v>
      </c>
      <c r="S1625" s="3" t="str">
        <f>_xlfn.XLOOKUP(Table1[[#This Row],[ID]], Table2[ID], Table2[Enrollment], "Not Found", 0)</f>
        <v>9/18/2020</v>
      </c>
      <c r="T1625" t="s">
        <v>439</v>
      </c>
    </row>
    <row r="1626" spans="1:20" x14ac:dyDescent="0.3">
      <c r="A1626">
        <v>2772</v>
      </c>
      <c r="B1626">
        <v>136273</v>
      </c>
      <c r="C1626">
        <v>1</v>
      </c>
      <c r="D1626">
        <v>0</v>
      </c>
      <c r="E1626">
        <v>43</v>
      </c>
      <c r="F1626">
        <v>0</v>
      </c>
      <c r="G1626">
        <v>0</v>
      </c>
      <c r="H1626">
        <v>1</v>
      </c>
      <c r="I1626">
        <v>0</v>
      </c>
      <c r="J1626">
        <v>0</v>
      </c>
      <c r="K1626">
        <v>0</v>
      </c>
      <c r="L1626">
        <v>0</v>
      </c>
      <c r="M1626">
        <v>1</v>
      </c>
      <c r="N1626">
        <v>0</v>
      </c>
      <c r="O1626" t="str" cm="1">
        <f t="array" ref="O1626">_xlfn.IFS(Table1[[#This Row],[Divorced]]=1, "Divorced", Table1[[#This Row],[Married]]=1, "Married", Table1[[#This Row],[Single]]=1, "Single", Table1[[#This Row],[Together]]=1, "Together", Table1[[#This Row],[Widow]]=1, "Widow")</f>
        <v>Single</v>
      </c>
      <c r="P1626" t="str" cm="1">
        <f t="array" ref="P1626">_xlfn.IFS(Table1[[#This Row],[Basic]]=1, "Basic", Table1[[#This Row],[Graduate]]=1, "Graduate", Table1[[#This Row],[Master]]=1, "Master", Table1[[#This Row],[PhD]]=1, "PhD", AND(Table1[[#This Row],[Basic]]=0, Table1[[#This Row],[Graduate]]=0, Table1[[#This Row],[Master]]=0, Table1[[#This Row],[PhD]]=0), "NA")</f>
        <v>Master</v>
      </c>
      <c r="Q1626" t="e">
        <f>_xlfn.XLOOKUP(Table1[[#This Row],[ID]], Table2[ID],#REF!, "Not Found", 0)</f>
        <v>#REF!</v>
      </c>
      <c r="R1626" t="e">
        <f>_xlfn.XLOOKUP(Table1[[#This Row],[ID]], Table2[ID],#REF!, "Not Found", 0)</f>
        <v>#REF!</v>
      </c>
      <c r="S1626" s="3" t="str">
        <f>_xlfn.XLOOKUP(Table1[[#This Row],[ID]], Table2[ID], Table2[Enrollment], "Not Found", 0)</f>
        <v>9/20/2020</v>
      </c>
      <c r="T1626" t="s">
        <v>436</v>
      </c>
    </row>
    <row r="1627" spans="1:20" x14ac:dyDescent="0.3">
      <c r="A1627">
        <v>2098</v>
      </c>
      <c r="B1627">
        <v>136262</v>
      </c>
      <c r="C1627">
        <v>0</v>
      </c>
      <c r="D1627">
        <v>0</v>
      </c>
      <c r="E1627">
        <v>37</v>
      </c>
      <c r="F1627">
        <v>0</v>
      </c>
      <c r="G1627">
        <v>1</v>
      </c>
      <c r="H1627">
        <v>0</v>
      </c>
      <c r="I1627">
        <v>0</v>
      </c>
      <c r="J1627">
        <v>0</v>
      </c>
      <c r="K1627">
        <v>0</v>
      </c>
      <c r="L1627">
        <v>0</v>
      </c>
      <c r="M1627">
        <v>1</v>
      </c>
      <c r="N1627">
        <v>0</v>
      </c>
      <c r="O1627" t="str" cm="1">
        <f t="array" ref="O1627">_xlfn.IFS(Table1[[#This Row],[Divorced]]=1, "Divorced", Table1[[#This Row],[Married]]=1, "Married", Table1[[#This Row],[Single]]=1, "Single", Table1[[#This Row],[Together]]=1, "Together", Table1[[#This Row],[Widow]]=1, "Widow")</f>
        <v>Married</v>
      </c>
      <c r="P1627" t="str" cm="1">
        <f t="array" ref="P1627">_xlfn.IFS(Table1[[#This Row],[Basic]]=1, "Basic", Table1[[#This Row],[Graduate]]=1, "Graduate", Table1[[#This Row],[Master]]=1, "Master", Table1[[#This Row],[PhD]]=1, "PhD", AND(Table1[[#This Row],[Basic]]=0, Table1[[#This Row],[Graduate]]=0, Table1[[#This Row],[Master]]=0, Table1[[#This Row],[PhD]]=0), "NA")</f>
        <v>Master</v>
      </c>
      <c r="Q1627" t="e">
        <f>_xlfn.XLOOKUP(Table1[[#This Row],[ID]], Table2[ID],#REF!, "Not Found", 0)</f>
        <v>#REF!</v>
      </c>
      <c r="R1627" t="e">
        <f>_xlfn.XLOOKUP(Table1[[#This Row],[ID]], Table2[ID],#REF!, "Not Found", 0)</f>
        <v>#REF!</v>
      </c>
      <c r="S1627" s="3" t="str">
        <f>_xlfn.XLOOKUP(Table1[[#This Row],[ID]], Table2[ID], Table2[Enrollment], "Not Found", 0)</f>
        <v>2/25/2020</v>
      </c>
      <c r="T1627" t="s">
        <v>439</v>
      </c>
    </row>
    <row r="1628" spans="1:20" x14ac:dyDescent="0.3">
      <c r="A1628">
        <v>1436</v>
      </c>
      <c r="B1628">
        <v>136230</v>
      </c>
      <c r="C1628">
        <v>1</v>
      </c>
      <c r="D1628">
        <v>0</v>
      </c>
      <c r="E1628">
        <v>49</v>
      </c>
      <c r="F1628">
        <v>0</v>
      </c>
      <c r="G1628">
        <v>0</v>
      </c>
      <c r="H1628">
        <v>1</v>
      </c>
      <c r="I1628">
        <v>0</v>
      </c>
      <c r="J1628">
        <v>0</v>
      </c>
      <c r="K1628">
        <v>0</v>
      </c>
      <c r="L1628">
        <v>0</v>
      </c>
      <c r="M1628">
        <v>1</v>
      </c>
      <c r="N1628">
        <v>0</v>
      </c>
      <c r="O1628" t="str" cm="1">
        <f t="array" ref="O1628">_xlfn.IFS(Table1[[#This Row],[Divorced]]=1, "Divorced", Table1[[#This Row],[Married]]=1, "Married", Table1[[#This Row],[Single]]=1, "Single", Table1[[#This Row],[Together]]=1, "Together", Table1[[#This Row],[Widow]]=1, "Widow")</f>
        <v>Single</v>
      </c>
      <c r="P1628" t="str" cm="1">
        <f t="array" ref="P1628">_xlfn.IFS(Table1[[#This Row],[Basic]]=1, "Basic", Table1[[#This Row],[Graduate]]=1, "Graduate", Table1[[#This Row],[Master]]=1, "Master", Table1[[#This Row],[PhD]]=1, "PhD", AND(Table1[[#This Row],[Basic]]=0, Table1[[#This Row],[Graduate]]=0, Table1[[#This Row],[Master]]=0, Table1[[#This Row],[PhD]]=0), "NA")</f>
        <v>Master</v>
      </c>
      <c r="Q1628" t="e">
        <f>_xlfn.XLOOKUP(Table1[[#This Row],[ID]], Table2[ID],#REF!, "Not Found", 0)</f>
        <v>#REF!</v>
      </c>
      <c r="R1628" t="e">
        <f>_xlfn.XLOOKUP(Table1[[#This Row],[ID]], Table2[ID],#REF!, "Not Found", 0)</f>
        <v>#REF!</v>
      </c>
      <c r="S1628" s="3" t="str">
        <f>_xlfn.XLOOKUP(Table1[[#This Row],[ID]], Table2[ID], Table2[Enrollment], "Not Found", 0)</f>
        <v>3/23/2020</v>
      </c>
      <c r="T1628" t="s">
        <v>438</v>
      </c>
    </row>
    <row r="1629" spans="1:20" x14ac:dyDescent="0.3">
      <c r="A1629">
        <v>1660</v>
      </c>
      <c r="B1629">
        <v>136145</v>
      </c>
      <c r="C1629">
        <v>1</v>
      </c>
      <c r="D1629">
        <v>0</v>
      </c>
      <c r="E1629">
        <v>35</v>
      </c>
      <c r="F1629">
        <v>0</v>
      </c>
      <c r="G1629">
        <v>1</v>
      </c>
      <c r="H1629">
        <v>0</v>
      </c>
      <c r="I1629">
        <v>0</v>
      </c>
      <c r="J1629">
        <v>0</v>
      </c>
      <c r="K1629">
        <v>0</v>
      </c>
      <c r="L1629">
        <v>0</v>
      </c>
      <c r="M1629">
        <v>0</v>
      </c>
      <c r="N1629">
        <v>0</v>
      </c>
      <c r="O1629" t="str" cm="1">
        <f t="array" ref="O1629">_xlfn.IFS(Table1[[#This Row],[Divorced]]=1, "Divorced", Table1[[#This Row],[Married]]=1, "Married", Table1[[#This Row],[Single]]=1, "Single", Table1[[#This Row],[Together]]=1, "Together", Table1[[#This Row],[Widow]]=1, "Widow")</f>
        <v>Married</v>
      </c>
      <c r="P1629" t="str" cm="1">
        <f t="array" ref="P1629">_xlfn.IFS(Table1[[#This Row],[Basic]]=1, "Basic", Table1[[#This Row],[Graduate]]=1, "Graduate", Table1[[#This Row],[Master]]=1, "Master", Table1[[#This Row],[PhD]]=1, "PhD", AND(Table1[[#This Row],[Basic]]=0, Table1[[#This Row],[Graduate]]=0, Table1[[#This Row],[Master]]=0, Table1[[#This Row],[PhD]]=0), "NA")</f>
        <v>NA</v>
      </c>
      <c r="Q1629" t="e">
        <f>_xlfn.XLOOKUP(Table1[[#This Row],[ID]], Table2[ID],#REF!, "Not Found", 0)</f>
        <v>#REF!</v>
      </c>
      <c r="R1629" t="e">
        <f>_xlfn.XLOOKUP(Table1[[#This Row],[ID]], Table2[ID],#REF!, "Not Found", 0)</f>
        <v>#REF!</v>
      </c>
      <c r="S1629" s="3" t="str">
        <f>_xlfn.XLOOKUP(Table1[[#This Row],[ID]], Table2[ID], Table2[Enrollment], "Not Found", 0)</f>
        <v>11/21/2019</v>
      </c>
      <c r="T1629" t="s">
        <v>439</v>
      </c>
    </row>
    <row r="1630" spans="1:20" x14ac:dyDescent="0.3">
      <c r="A1630">
        <v>1368</v>
      </c>
      <c r="B1630">
        <v>136143</v>
      </c>
      <c r="C1630">
        <v>1</v>
      </c>
      <c r="D1630">
        <v>0</v>
      </c>
      <c r="E1630">
        <v>39</v>
      </c>
      <c r="F1630">
        <v>0</v>
      </c>
      <c r="G1630">
        <v>0</v>
      </c>
      <c r="H1630">
        <v>1</v>
      </c>
      <c r="I1630">
        <v>0</v>
      </c>
      <c r="J1630">
        <v>0</v>
      </c>
      <c r="K1630">
        <v>0</v>
      </c>
      <c r="L1630">
        <v>0</v>
      </c>
      <c r="M1630">
        <v>1</v>
      </c>
      <c r="N1630">
        <v>0</v>
      </c>
      <c r="O1630" t="str" cm="1">
        <f t="array" ref="O1630">_xlfn.IFS(Table1[[#This Row],[Divorced]]=1, "Divorced", Table1[[#This Row],[Married]]=1, "Married", Table1[[#This Row],[Single]]=1, "Single", Table1[[#This Row],[Together]]=1, "Together", Table1[[#This Row],[Widow]]=1, "Widow")</f>
        <v>Single</v>
      </c>
      <c r="P1630" t="str" cm="1">
        <f t="array" ref="P1630">_xlfn.IFS(Table1[[#This Row],[Basic]]=1, "Basic", Table1[[#This Row],[Graduate]]=1, "Graduate", Table1[[#This Row],[Master]]=1, "Master", Table1[[#This Row],[PhD]]=1, "PhD", AND(Table1[[#This Row],[Basic]]=0, Table1[[#This Row],[Graduate]]=0, Table1[[#This Row],[Master]]=0, Table1[[#This Row],[PhD]]=0), "NA")</f>
        <v>Master</v>
      </c>
      <c r="Q1630" t="e">
        <f>_xlfn.XLOOKUP(Table1[[#This Row],[ID]], Table2[ID],#REF!, "Not Found", 0)</f>
        <v>#REF!</v>
      </c>
      <c r="R1630" t="e">
        <f>_xlfn.XLOOKUP(Table1[[#This Row],[ID]], Table2[ID],#REF!, "Not Found", 0)</f>
        <v>#REF!</v>
      </c>
      <c r="S1630" s="3">
        <f>_xlfn.XLOOKUP(Table1[[#This Row],[ID]], Table2[ID], Table2[Enrollment], "Not Found", 0)</f>
        <v>43899</v>
      </c>
      <c r="T1630" t="s">
        <v>436</v>
      </c>
    </row>
    <row r="1631" spans="1:20" x14ac:dyDescent="0.3">
      <c r="A1631">
        <v>1081</v>
      </c>
      <c r="B1631">
        <v>136138</v>
      </c>
      <c r="C1631">
        <v>1</v>
      </c>
      <c r="D1631">
        <v>1</v>
      </c>
      <c r="E1631">
        <v>50</v>
      </c>
      <c r="F1631">
        <v>0</v>
      </c>
      <c r="G1631">
        <v>1</v>
      </c>
      <c r="H1631">
        <v>0</v>
      </c>
      <c r="I1631">
        <v>0</v>
      </c>
      <c r="J1631">
        <v>0</v>
      </c>
      <c r="K1631">
        <v>0</v>
      </c>
      <c r="L1631">
        <v>0</v>
      </c>
      <c r="M1631">
        <v>1</v>
      </c>
      <c r="N1631">
        <v>0</v>
      </c>
      <c r="O1631" t="str" cm="1">
        <f t="array" ref="O1631">_xlfn.IFS(Table1[[#This Row],[Divorced]]=1, "Divorced", Table1[[#This Row],[Married]]=1, "Married", Table1[[#This Row],[Single]]=1, "Single", Table1[[#This Row],[Together]]=1, "Together", Table1[[#This Row],[Widow]]=1, "Widow")</f>
        <v>Married</v>
      </c>
      <c r="P1631" t="str" cm="1">
        <f t="array" ref="P1631">_xlfn.IFS(Table1[[#This Row],[Basic]]=1, "Basic", Table1[[#This Row],[Graduate]]=1, "Graduate", Table1[[#This Row],[Master]]=1, "Master", Table1[[#This Row],[PhD]]=1, "PhD", AND(Table1[[#This Row],[Basic]]=0, Table1[[#This Row],[Graduate]]=0, Table1[[#This Row],[Master]]=0, Table1[[#This Row],[PhD]]=0), "NA")</f>
        <v>Master</v>
      </c>
      <c r="Q1631" t="e">
        <f>_xlfn.XLOOKUP(Table1[[#This Row],[ID]], Table2[ID],#REF!, "Not Found", 0)</f>
        <v>#REF!</v>
      </c>
      <c r="R1631" t="e">
        <f>_xlfn.XLOOKUP(Table1[[#This Row],[ID]], Table2[ID],#REF!, "Not Found", 0)</f>
        <v>#REF!</v>
      </c>
      <c r="S1631" s="3" t="str">
        <f>_xlfn.XLOOKUP(Table1[[#This Row],[ID]], Table2[ID], Table2[Enrollment], "Not Found", 0)</f>
        <v>12/21/2019</v>
      </c>
      <c r="T1631" t="s">
        <v>437</v>
      </c>
    </row>
    <row r="1632" spans="1:20" x14ac:dyDescent="0.3">
      <c r="A1632">
        <v>1986</v>
      </c>
      <c r="B1632">
        <v>136130</v>
      </c>
      <c r="C1632">
        <v>0</v>
      </c>
      <c r="D1632">
        <v>1</v>
      </c>
      <c r="E1632">
        <v>66</v>
      </c>
      <c r="F1632">
        <v>0</v>
      </c>
      <c r="G1632">
        <v>0</v>
      </c>
      <c r="H1632">
        <v>1</v>
      </c>
      <c r="I1632">
        <v>0</v>
      </c>
      <c r="J1632">
        <v>0</v>
      </c>
      <c r="K1632">
        <v>0</v>
      </c>
      <c r="L1632">
        <v>1</v>
      </c>
      <c r="M1632">
        <v>0</v>
      </c>
      <c r="N1632">
        <v>0</v>
      </c>
      <c r="O1632" t="str" cm="1">
        <f t="array" ref="O1632">_xlfn.IFS(Table1[[#This Row],[Divorced]]=1, "Divorced", Table1[[#This Row],[Married]]=1, "Married", Table1[[#This Row],[Single]]=1, "Single", Table1[[#This Row],[Together]]=1, "Together", Table1[[#This Row],[Widow]]=1, "Widow")</f>
        <v>Single</v>
      </c>
      <c r="P1632" t="str" cm="1">
        <f t="array" ref="P1632">_xlfn.IFS(Table1[[#This Row],[Basic]]=1, "Basic", Table1[[#This Row],[Graduate]]=1, "Graduate", Table1[[#This Row],[Master]]=1, "Master", Table1[[#This Row],[PhD]]=1, "PhD", AND(Table1[[#This Row],[Basic]]=0, Table1[[#This Row],[Graduate]]=0, Table1[[#This Row],[Master]]=0, Table1[[#This Row],[PhD]]=0), "NA")</f>
        <v>Graduate</v>
      </c>
      <c r="Q1632" t="e">
        <f>_xlfn.XLOOKUP(Table1[[#This Row],[ID]], Table2[ID],#REF!, "Not Found", 0)</f>
        <v>#REF!</v>
      </c>
      <c r="R1632" t="e">
        <f>_xlfn.XLOOKUP(Table1[[#This Row],[ID]], Table2[ID],#REF!, "Not Found", 0)</f>
        <v>#REF!</v>
      </c>
      <c r="S1632" s="3">
        <f>_xlfn.XLOOKUP(Table1[[#This Row],[ID]], Table2[ID], Table2[Enrollment], "Not Found", 0)</f>
        <v>43745</v>
      </c>
      <c r="T1632" t="s">
        <v>436</v>
      </c>
    </row>
    <row r="1633" spans="1:20" x14ac:dyDescent="0.3">
      <c r="A1633">
        <v>2573</v>
      </c>
      <c r="B1633">
        <v>136108</v>
      </c>
      <c r="C1633">
        <v>1</v>
      </c>
      <c r="D1633">
        <v>0</v>
      </c>
      <c r="E1633">
        <v>36</v>
      </c>
      <c r="F1633">
        <v>0</v>
      </c>
      <c r="G1633">
        <v>0</v>
      </c>
      <c r="H1633">
        <v>1</v>
      </c>
      <c r="I1633">
        <v>0</v>
      </c>
      <c r="J1633">
        <v>0</v>
      </c>
      <c r="K1633">
        <v>0</v>
      </c>
      <c r="L1633">
        <v>1</v>
      </c>
      <c r="M1633">
        <v>0</v>
      </c>
      <c r="N1633">
        <v>0</v>
      </c>
      <c r="O1633" t="str" cm="1">
        <f t="array" ref="O1633">_xlfn.IFS(Table1[[#This Row],[Divorced]]=1, "Divorced", Table1[[#This Row],[Married]]=1, "Married", Table1[[#This Row],[Single]]=1, "Single", Table1[[#This Row],[Together]]=1, "Together", Table1[[#This Row],[Widow]]=1, "Widow")</f>
        <v>Single</v>
      </c>
      <c r="P1633" t="str" cm="1">
        <f t="array" ref="P1633">_xlfn.IFS(Table1[[#This Row],[Basic]]=1, "Basic", Table1[[#This Row],[Graduate]]=1, "Graduate", Table1[[#This Row],[Master]]=1, "Master", Table1[[#This Row],[PhD]]=1, "PhD", AND(Table1[[#This Row],[Basic]]=0, Table1[[#This Row],[Graduate]]=0, Table1[[#This Row],[Master]]=0, Table1[[#This Row],[PhD]]=0), "NA")</f>
        <v>Graduate</v>
      </c>
      <c r="Q1633" t="e">
        <f>_xlfn.XLOOKUP(Table1[[#This Row],[ID]], Table2[ID],#REF!, "Not Found", 0)</f>
        <v>#REF!</v>
      </c>
      <c r="R1633" t="e">
        <f>_xlfn.XLOOKUP(Table1[[#This Row],[ID]], Table2[ID],#REF!, "Not Found", 0)</f>
        <v>#REF!</v>
      </c>
      <c r="S1633" s="3" t="str">
        <f>_xlfn.XLOOKUP(Table1[[#This Row],[ID]], Table2[ID], Table2[Enrollment], "Not Found", 0)</f>
        <v>3/21/2020</v>
      </c>
      <c r="T1633" t="s">
        <v>434</v>
      </c>
    </row>
    <row r="1634" spans="1:20" x14ac:dyDescent="0.3">
      <c r="A1634">
        <v>2762</v>
      </c>
      <c r="B1634">
        <v>136075</v>
      </c>
      <c r="C1634">
        <v>1</v>
      </c>
      <c r="D1634">
        <v>0</v>
      </c>
      <c r="E1634">
        <v>37</v>
      </c>
      <c r="F1634">
        <v>0</v>
      </c>
      <c r="G1634">
        <v>0</v>
      </c>
      <c r="H1634">
        <v>0</v>
      </c>
      <c r="I1634">
        <v>1</v>
      </c>
      <c r="J1634">
        <v>0</v>
      </c>
      <c r="K1634">
        <v>0</v>
      </c>
      <c r="L1634">
        <v>1</v>
      </c>
      <c r="M1634">
        <v>0</v>
      </c>
      <c r="N1634">
        <v>0</v>
      </c>
      <c r="O1634" t="str" cm="1">
        <f t="array" ref="O1634">_xlfn.IFS(Table1[[#This Row],[Divorced]]=1, "Divorced", Table1[[#This Row],[Married]]=1, "Married", Table1[[#This Row],[Single]]=1, "Single", Table1[[#This Row],[Together]]=1, "Together", Table1[[#This Row],[Widow]]=1, "Widow")</f>
        <v>Together</v>
      </c>
      <c r="P1634" t="str" cm="1">
        <f t="array" ref="P1634">_xlfn.IFS(Table1[[#This Row],[Basic]]=1, "Basic", Table1[[#This Row],[Graduate]]=1, "Graduate", Table1[[#This Row],[Master]]=1, "Master", Table1[[#This Row],[PhD]]=1, "PhD", AND(Table1[[#This Row],[Basic]]=0, Table1[[#This Row],[Graduate]]=0, Table1[[#This Row],[Master]]=0, Table1[[#This Row],[PhD]]=0), "NA")</f>
        <v>Graduate</v>
      </c>
      <c r="Q1634" t="e">
        <f>_xlfn.XLOOKUP(Table1[[#This Row],[ID]], Table2[ID],#REF!, "Not Found", 0)</f>
        <v>#REF!</v>
      </c>
      <c r="R1634" t="e">
        <f>_xlfn.XLOOKUP(Table1[[#This Row],[ID]], Table2[ID],#REF!, "Not Found", 0)</f>
        <v>#REF!</v>
      </c>
      <c r="S1634" s="3" t="str">
        <f>_xlfn.XLOOKUP(Table1[[#This Row],[ID]], Table2[ID], Table2[Enrollment], "Not Found", 0)</f>
        <v>5/15/2020</v>
      </c>
      <c r="T1634" t="s">
        <v>438</v>
      </c>
    </row>
    <row r="1635" spans="1:20" x14ac:dyDescent="0.3">
      <c r="A1635">
        <v>2923</v>
      </c>
      <c r="B1635">
        <v>136065</v>
      </c>
      <c r="C1635">
        <v>1</v>
      </c>
      <c r="D1635">
        <v>1</v>
      </c>
      <c r="E1635">
        <v>52</v>
      </c>
      <c r="F1635">
        <v>0</v>
      </c>
      <c r="G1635">
        <v>0</v>
      </c>
      <c r="H1635">
        <v>1</v>
      </c>
      <c r="I1635">
        <v>0</v>
      </c>
      <c r="J1635">
        <v>0</v>
      </c>
      <c r="K1635">
        <v>0</v>
      </c>
      <c r="L1635">
        <v>1</v>
      </c>
      <c r="M1635">
        <v>0</v>
      </c>
      <c r="N1635">
        <v>0</v>
      </c>
      <c r="O1635" t="str" cm="1">
        <f t="array" ref="O1635">_xlfn.IFS(Table1[[#This Row],[Divorced]]=1, "Divorced", Table1[[#This Row],[Married]]=1, "Married", Table1[[#This Row],[Single]]=1, "Single", Table1[[#This Row],[Together]]=1, "Together", Table1[[#This Row],[Widow]]=1, "Widow")</f>
        <v>Single</v>
      </c>
      <c r="P1635" t="str" cm="1">
        <f t="array" ref="P1635">_xlfn.IFS(Table1[[#This Row],[Basic]]=1, "Basic", Table1[[#This Row],[Graduate]]=1, "Graduate", Table1[[#This Row],[Master]]=1, "Master", Table1[[#This Row],[PhD]]=1, "PhD", AND(Table1[[#This Row],[Basic]]=0, Table1[[#This Row],[Graduate]]=0, Table1[[#This Row],[Master]]=0, Table1[[#This Row],[PhD]]=0), "NA")</f>
        <v>Graduate</v>
      </c>
      <c r="Q1635" t="e">
        <f>_xlfn.XLOOKUP(Table1[[#This Row],[ID]], Table2[ID],#REF!, "Not Found", 0)</f>
        <v>#REF!</v>
      </c>
      <c r="R1635" t="e">
        <f>_xlfn.XLOOKUP(Table1[[#This Row],[ID]], Table2[ID],#REF!, "Not Found", 0)</f>
        <v>#REF!</v>
      </c>
      <c r="S1635" s="3">
        <f>_xlfn.XLOOKUP(Table1[[#This Row],[ID]], Table2[ID], Table2[Enrollment], "Not Found", 0)</f>
        <v>43594</v>
      </c>
      <c r="T1635" t="s">
        <v>437</v>
      </c>
    </row>
    <row r="1636" spans="1:20" x14ac:dyDescent="0.3">
      <c r="A1636">
        <v>2892</v>
      </c>
      <c r="B1636">
        <v>136038</v>
      </c>
      <c r="C1636">
        <v>1</v>
      </c>
      <c r="D1636">
        <v>0</v>
      </c>
      <c r="E1636">
        <v>39</v>
      </c>
      <c r="F1636">
        <v>0</v>
      </c>
      <c r="G1636">
        <v>0</v>
      </c>
      <c r="H1636">
        <v>1</v>
      </c>
      <c r="I1636">
        <v>0</v>
      </c>
      <c r="J1636">
        <v>0</v>
      </c>
      <c r="K1636">
        <v>0</v>
      </c>
      <c r="L1636">
        <v>0</v>
      </c>
      <c r="M1636">
        <v>0</v>
      </c>
      <c r="N1636">
        <v>1</v>
      </c>
      <c r="O1636" t="str" cm="1">
        <f t="array" ref="O1636">_xlfn.IFS(Table1[[#This Row],[Divorced]]=1, "Divorced", Table1[[#This Row],[Married]]=1, "Married", Table1[[#This Row],[Single]]=1, "Single", Table1[[#This Row],[Together]]=1, "Together", Table1[[#This Row],[Widow]]=1, "Widow")</f>
        <v>Single</v>
      </c>
      <c r="P1636" t="str" cm="1">
        <f t="array" ref="P1636">_xlfn.IFS(Table1[[#This Row],[Basic]]=1, "Basic", Table1[[#This Row],[Graduate]]=1, "Graduate", Table1[[#This Row],[Master]]=1, "Master", Table1[[#This Row],[PhD]]=1, "PhD", AND(Table1[[#This Row],[Basic]]=0, Table1[[#This Row],[Graduate]]=0, Table1[[#This Row],[Master]]=0, Table1[[#This Row],[PhD]]=0), "NA")</f>
        <v>PhD</v>
      </c>
      <c r="Q1636" t="e">
        <f>_xlfn.XLOOKUP(Table1[[#This Row],[ID]], Table2[ID],#REF!, "Not Found", 0)</f>
        <v>#REF!</v>
      </c>
      <c r="R1636" t="e">
        <f>_xlfn.XLOOKUP(Table1[[#This Row],[ID]], Table2[ID],#REF!, "Not Found", 0)</f>
        <v>#REF!</v>
      </c>
      <c r="S1636" s="3">
        <f>_xlfn.XLOOKUP(Table1[[#This Row],[ID]], Table2[ID], Table2[Enrollment], "Not Found", 0)</f>
        <v>43596</v>
      </c>
      <c r="T1636" t="s">
        <v>436</v>
      </c>
    </row>
    <row r="1637" spans="1:20" x14ac:dyDescent="0.3">
      <c r="A1637">
        <v>2394</v>
      </c>
      <c r="B1637">
        <v>136026</v>
      </c>
      <c r="C1637">
        <v>2</v>
      </c>
      <c r="D1637">
        <v>1</v>
      </c>
      <c r="E1637">
        <v>48</v>
      </c>
      <c r="F1637">
        <v>0</v>
      </c>
      <c r="G1637">
        <v>1</v>
      </c>
      <c r="H1637">
        <v>0</v>
      </c>
      <c r="I1637">
        <v>0</v>
      </c>
      <c r="J1637">
        <v>0</v>
      </c>
      <c r="K1637">
        <v>0</v>
      </c>
      <c r="L1637">
        <v>1</v>
      </c>
      <c r="M1637">
        <v>0</v>
      </c>
      <c r="N1637">
        <v>0</v>
      </c>
      <c r="O1637" t="str" cm="1">
        <f t="array" ref="O1637">_xlfn.IFS(Table1[[#This Row],[Divorced]]=1, "Divorced", Table1[[#This Row],[Married]]=1, "Married", Table1[[#This Row],[Single]]=1, "Single", Table1[[#This Row],[Together]]=1, "Together", Table1[[#This Row],[Widow]]=1, "Widow")</f>
        <v>Married</v>
      </c>
      <c r="P1637" t="str" cm="1">
        <f t="array" ref="P1637">_xlfn.IFS(Table1[[#This Row],[Basic]]=1, "Basic", Table1[[#This Row],[Graduate]]=1, "Graduate", Table1[[#This Row],[Master]]=1, "Master", Table1[[#This Row],[PhD]]=1, "PhD", AND(Table1[[#This Row],[Basic]]=0, Table1[[#This Row],[Graduate]]=0, Table1[[#This Row],[Master]]=0, Table1[[#This Row],[PhD]]=0), "NA")</f>
        <v>Graduate</v>
      </c>
      <c r="Q1637" t="e">
        <f>_xlfn.XLOOKUP(Table1[[#This Row],[ID]], Table2[ID],#REF!, "Not Found", 0)</f>
        <v>#REF!</v>
      </c>
      <c r="R1637" t="e">
        <f>_xlfn.XLOOKUP(Table1[[#This Row],[ID]], Table2[ID],#REF!, "Not Found", 0)</f>
        <v>#REF!</v>
      </c>
      <c r="S1637" s="3" t="str">
        <f>_xlfn.XLOOKUP(Table1[[#This Row],[ID]], Table2[ID], Table2[Enrollment], "Not Found", 0)</f>
        <v>8/20/2020</v>
      </c>
      <c r="T1637" t="s">
        <v>436</v>
      </c>
    </row>
    <row r="1638" spans="1:20" x14ac:dyDescent="0.3">
      <c r="A1638">
        <v>1711</v>
      </c>
      <c r="B1638">
        <v>135946</v>
      </c>
      <c r="C1638">
        <v>1</v>
      </c>
      <c r="D1638">
        <v>1</v>
      </c>
      <c r="E1638">
        <v>71</v>
      </c>
      <c r="F1638">
        <v>1</v>
      </c>
      <c r="G1638">
        <v>0</v>
      </c>
      <c r="H1638">
        <v>0</v>
      </c>
      <c r="I1638">
        <v>0</v>
      </c>
      <c r="J1638">
        <v>0</v>
      </c>
      <c r="K1638">
        <v>0</v>
      </c>
      <c r="L1638">
        <v>0</v>
      </c>
      <c r="M1638">
        <v>0</v>
      </c>
      <c r="N1638">
        <v>1</v>
      </c>
      <c r="O1638" t="str" cm="1">
        <f t="array" ref="O1638">_xlfn.IFS(Table1[[#This Row],[Divorced]]=1, "Divorced", Table1[[#This Row],[Married]]=1, "Married", Table1[[#This Row],[Single]]=1, "Single", Table1[[#This Row],[Together]]=1, "Together", Table1[[#This Row],[Widow]]=1, "Widow")</f>
        <v>Divorced</v>
      </c>
      <c r="P1638" t="str" cm="1">
        <f t="array" ref="P1638">_xlfn.IFS(Table1[[#This Row],[Basic]]=1, "Basic", Table1[[#This Row],[Graduate]]=1, "Graduate", Table1[[#This Row],[Master]]=1, "Master", Table1[[#This Row],[PhD]]=1, "PhD", AND(Table1[[#This Row],[Basic]]=0, Table1[[#This Row],[Graduate]]=0, Table1[[#This Row],[Master]]=0, Table1[[#This Row],[PhD]]=0), "NA")</f>
        <v>PhD</v>
      </c>
      <c r="Q1638" t="e">
        <f>_xlfn.XLOOKUP(Table1[[#This Row],[ID]], Table2[ID],#REF!, "Not Found", 0)</f>
        <v>#REF!</v>
      </c>
      <c r="R1638" t="e">
        <f>_xlfn.XLOOKUP(Table1[[#This Row],[ID]], Table2[ID],#REF!, "Not Found", 0)</f>
        <v>#REF!</v>
      </c>
      <c r="S1638" s="3">
        <f>_xlfn.XLOOKUP(Table1[[#This Row],[ID]], Table2[ID], Table2[Enrollment], "Not Found", 0)</f>
        <v>43893</v>
      </c>
      <c r="T1638" t="s">
        <v>437</v>
      </c>
    </row>
    <row r="1639" spans="1:20" x14ac:dyDescent="0.3">
      <c r="A1639">
        <v>2616</v>
      </c>
      <c r="B1639">
        <v>135924</v>
      </c>
      <c r="C1639">
        <v>1</v>
      </c>
      <c r="D1639">
        <v>1</v>
      </c>
      <c r="E1639">
        <v>51</v>
      </c>
      <c r="F1639">
        <v>0</v>
      </c>
      <c r="G1639">
        <v>0</v>
      </c>
      <c r="H1639">
        <v>0</v>
      </c>
      <c r="I1639">
        <v>1</v>
      </c>
      <c r="J1639">
        <v>0</v>
      </c>
      <c r="K1639">
        <v>0</v>
      </c>
      <c r="L1639">
        <v>0</v>
      </c>
      <c r="M1639">
        <v>1</v>
      </c>
      <c r="N1639">
        <v>0</v>
      </c>
      <c r="O1639" t="str" cm="1">
        <f t="array" ref="O1639">_xlfn.IFS(Table1[[#This Row],[Divorced]]=1, "Divorced", Table1[[#This Row],[Married]]=1, "Married", Table1[[#This Row],[Single]]=1, "Single", Table1[[#This Row],[Together]]=1, "Together", Table1[[#This Row],[Widow]]=1, "Widow")</f>
        <v>Together</v>
      </c>
      <c r="P1639" t="str" cm="1">
        <f t="array" ref="P1639">_xlfn.IFS(Table1[[#This Row],[Basic]]=1, "Basic", Table1[[#This Row],[Graduate]]=1, "Graduate", Table1[[#This Row],[Master]]=1, "Master", Table1[[#This Row],[PhD]]=1, "PhD", AND(Table1[[#This Row],[Basic]]=0, Table1[[#This Row],[Graduate]]=0, Table1[[#This Row],[Master]]=0, Table1[[#This Row],[PhD]]=0), "NA")</f>
        <v>Master</v>
      </c>
      <c r="Q1639" t="e">
        <f>_xlfn.XLOOKUP(Table1[[#This Row],[ID]], Table2[ID],#REF!, "Not Found", 0)</f>
        <v>#REF!</v>
      </c>
      <c r="R1639" t="e">
        <f>_xlfn.XLOOKUP(Table1[[#This Row],[ID]], Table2[ID],#REF!, "Not Found", 0)</f>
        <v>#REF!</v>
      </c>
      <c r="S1639" s="3" t="str">
        <f>_xlfn.XLOOKUP(Table1[[#This Row],[ID]], Table2[ID], Table2[Enrollment], "Not Found", 0)</f>
        <v>8/27/2020</v>
      </c>
      <c r="T1639" t="s">
        <v>436</v>
      </c>
    </row>
    <row r="1640" spans="1:20" x14ac:dyDescent="0.3">
      <c r="A1640">
        <v>3173</v>
      </c>
      <c r="B1640">
        <v>135893</v>
      </c>
      <c r="C1640">
        <v>1</v>
      </c>
      <c r="D1640">
        <v>1</v>
      </c>
      <c r="E1640">
        <v>52</v>
      </c>
      <c r="F1640">
        <v>0</v>
      </c>
      <c r="G1640">
        <v>0</v>
      </c>
      <c r="H1640">
        <v>1</v>
      </c>
      <c r="I1640">
        <v>0</v>
      </c>
      <c r="J1640">
        <v>0</v>
      </c>
      <c r="K1640">
        <v>0</v>
      </c>
      <c r="L1640">
        <v>1</v>
      </c>
      <c r="M1640">
        <v>0</v>
      </c>
      <c r="N1640">
        <v>0</v>
      </c>
      <c r="O1640" t="str" cm="1">
        <f t="array" ref="O1640">_xlfn.IFS(Table1[[#This Row],[Divorced]]=1, "Divorced", Table1[[#This Row],[Married]]=1, "Married", Table1[[#This Row],[Single]]=1, "Single", Table1[[#This Row],[Together]]=1, "Together", Table1[[#This Row],[Widow]]=1, "Widow")</f>
        <v>Single</v>
      </c>
      <c r="P1640" t="str" cm="1">
        <f t="array" ref="P1640">_xlfn.IFS(Table1[[#This Row],[Basic]]=1, "Basic", Table1[[#This Row],[Graduate]]=1, "Graduate", Table1[[#This Row],[Master]]=1, "Master", Table1[[#This Row],[PhD]]=1, "PhD", AND(Table1[[#This Row],[Basic]]=0, Table1[[#This Row],[Graduate]]=0, Table1[[#This Row],[Master]]=0, Table1[[#This Row],[PhD]]=0), "NA")</f>
        <v>Graduate</v>
      </c>
      <c r="Q1640" t="e">
        <f>_xlfn.XLOOKUP(Table1[[#This Row],[ID]], Table2[ID],#REF!, "Not Found", 0)</f>
        <v>#REF!</v>
      </c>
      <c r="R1640" t="e">
        <f>_xlfn.XLOOKUP(Table1[[#This Row],[ID]], Table2[ID],#REF!, "Not Found", 0)</f>
        <v>#REF!</v>
      </c>
      <c r="S1640" s="3" t="str">
        <f>_xlfn.XLOOKUP(Table1[[#This Row],[ID]], Table2[ID], Table2[Enrollment], "Not Found", 0)</f>
        <v>3/22/2019</v>
      </c>
      <c r="T1640" t="s">
        <v>434</v>
      </c>
    </row>
    <row r="1641" spans="1:20" x14ac:dyDescent="0.3">
      <c r="A1641">
        <v>2317</v>
      </c>
      <c r="B1641">
        <v>135876</v>
      </c>
      <c r="C1641">
        <v>0</v>
      </c>
      <c r="D1641">
        <v>0</v>
      </c>
      <c r="E1641">
        <v>37</v>
      </c>
      <c r="F1641">
        <v>0</v>
      </c>
      <c r="G1641">
        <v>1</v>
      </c>
      <c r="H1641">
        <v>0</v>
      </c>
      <c r="I1641">
        <v>0</v>
      </c>
      <c r="J1641">
        <v>0</v>
      </c>
      <c r="K1641">
        <v>0</v>
      </c>
      <c r="L1641">
        <v>0</v>
      </c>
      <c r="M1641">
        <v>1</v>
      </c>
      <c r="N1641">
        <v>0</v>
      </c>
      <c r="O1641" t="str" cm="1">
        <f t="array" ref="O1641">_xlfn.IFS(Table1[[#This Row],[Divorced]]=1, "Divorced", Table1[[#This Row],[Married]]=1, "Married", Table1[[#This Row],[Single]]=1, "Single", Table1[[#This Row],[Together]]=1, "Together", Table1[[#This Row],[Widow]]=1, "Widow")</f>
        <v>Married</v>
      </c>
      <c r="P1641" t="str" cm="1">
        <f t="array" ref="P1641">_xlfn.IFS(Table1[[#This Row],[Basic]]=1, "Basic", Table1[[#This Row],[Graduate]]=1, "Graduate", Table1[[#This Row],[Master]]=1, "Master", Table1[[#This Row],[PhD]]=1, "PhD", AND(Table1[[#This Row],[Basic]]=0, Table1[[#This Row],[Graduate]]=0, Table1[[#This Row],[Master]]=0, Table1[[#This Row],[PhD]]=0), "NA")</f>
        <v>Master</v>
      </c>
      <c r="Q1641" t="e">
        <f>_xlfn.XLOOKUP(Table1[[#This Row],[ID]], Table2[ID],#REF!, "Not Found", 0)</f>
        <v>#REF!</v>
      </c>
      <c r="R1641" t="e">
        <f>_xlfn.XLOOKUP(Table1[[#This Row],[ID]], Table2[ID],#REF!, "Not Found", 0)</f>
        <v>#REF!</v>
      </c>
      <c r="S1641" s="3" t="str">
        <f>_xlfn.XLOOKUP(Table1[[#This Row],[ID]], Table2[ID], Table2[Enrollment], "Not Found", 0)</f>
        <v>9/24/2020</v>
      </c>
      <c r="T1641" t="s">
        <v>437</v>
      </c>
    </row>
    <row r="1642" spans="1:20" x14ac:dyDescent="0.3">
      <c r="A1642">
        <v>1128</v>
      </c>
      <c r="B1642">
        <v>135860</v>
      </c>
      <c r="C1642">
        <v>1</v>
      </c>
      <c r="D1642">
        <v>1</v>
      </c>
      <c r="E1642">
        <v>47</v>
      </c>
      <c r="F1642">
        <v>0</v>
      </c>
      <c r="G1642">
        <v>0</v>
      </c>
      <c r="H1642">
        <v>1</v>
      </c>
      <c r="I1642">
        <v>0</v>
      </c>
      <c r="J1642">
        <v>0</v>
      </c>
      <c r="K1642">
        <v>0</v>
      </c>
      <c r="L1642">
        <v>0</v>
      </c>
      <c r="M1642">
        <v>0</v>
      </c>
      <c r="N1642">
        <v>1</v>
      </c>
      <c r="O1642" t="str" cm="1">
        <f t="array" ref="O1642">_xlfn.IFS(Table1[[#This Row],[Divorced]]=1, "Divorced", Table1[[#This Row],[Married]]=1, "Married", Table1[[#This Row],[Single]]=1, "Single", Table1[[#This Row],[Together]]=1, "Together", Table1[[#This Row],[Widow]]=1, "Widow")</f>
        <v>Single</v>
      </c>
      <c r="P1642" t="str" cm="1">
        <f t="array" ref="P1642">_xlfn.IFS(Table1[[#This Row],[Basic]]=1, "Basic", Table1[[#This Row],[Graduate]]=1, "Graduate", Table1[[#This Row],[Master]]=1, "Master", Table1[[#This Row],[PhD]]=1, "PhD", AND(Table1[[#This Row],[Basic]]=0, Table1[[#This Row],[Graduate]]=0, Table1[[#This Row],[Master]]=0, Table1[[#This Row],[PhD]]=0), "NA")</f>
        <v>PhD</v>
      </c>
      <c r="Q1642" t="e">
        <f>_xlfn.XLOOKUP(Table1[[#This Row],[ID]], Table2[ID],#REF!, "Not Found", 0)</f>
        <v>#REF!</v>
      </c>
      <c r="R1642" t="e">
        <f>_xlfn.XLOOKUP(Table1[[#This Row],[ID]], Table2[ID],#REF!, "Not Found", 0)</f>
        <v>#REF!</v>
      </c>
      <c r="S1642" s="3" t="str">
        <f>_xlfn.XLOOKUP(Table1[[#This Row],[ID]], Table2[ID], Table2[Enrollment], "Not Found", 0)</f>
        <v>10/23/2020</v>
      </c>
      <c r="T1642" t="s">
        <v>436</v>
      </c>
    </row>
    <row r="1643" spans="1:20" x14ac:dyDescent="0.3">
      <c r="A1643">
        <v>2044</v>
      </c>
      <c r="B1643">
        <v>135860</v>
      </c>
      <c r="C1643">
        <v>1</v>
      </c>
      <c r="D1643">
        <v>1</v>
      </c>
      <c r="E1643">
        <v>47</v>
      </c>
      <c r="F1643">
        <v>1</v>
      </c>
      <c r="G1643">
        <v>0</v>
      </c>
      <c r="H1643">
        <v>0</v>
      </c>
      <c r="I1643">
        <v>0</v>
      </c>
      <c r="J1643">
        <v>0</v>
      </c>
      <c r="K1643">
        <v>0</v>
      </c>
      <c r="L1643">
        <v>0</v>
      </c>
      <c r="M1643">
        <v>0</v>
      </c>
      <c r="N1643">
        <v>1</v>
      </c>
      <c r="O1643" t="str" cm="1">
        <f t="array" ref="O1643">_xlfn.IFS(Table1[[#This Row],[Divorced]]=1, "Divorced", Table1[[#This Row],[Married]]=1, "Married", Table1[[#This Row],[Single]]=1, "Single", Table1[[#This Row],[Together]]=1, "Together", Table1[[#This Row],[Widow]]=1, "Widow")</f>
        <v>Divorced</v>
      </c>
      <c r="P1643" t="str" cm="1">
        <f t="array" ref="P1643">_xlfn.IFS(Table1[[#This Row],[Basic]]=1, "Basic", Table1[[#This Row],[Graduate]]=1, "Graduate", Table1[[#This Row],[Master]]=1, "Master", Table1[[#This Row],[PhD]]=1, "PhD", AND(Table1[[#This Row],[Basic]]=0, Table1[[#This Row],[Graduate]]=0, Table1[[#This Row],[Master]]=0, Table1[[#This Row],[PhD]]=0), "NA")</f>
        <v>PhD</v>
      </c>
      <c r="Q1643" t="e">
        <f>_xlfn.XLOOKUP(Table1[[#This Row],[ID]], Table2[ID],#REF!, "Not Found", 0)</f>
        <v>#REF!</v>
      </c>
      <c r="R1643" t="e">
        <f>_xlfn.XLOOKUP(Table1[[#This Row],[ID]], Table2[ID],#REF!, "Not Found", 0)</f>
        <v>#REF!</v>
      </c>
      <c r="S1643" s="3" t="str">
        <f>_xlfn.XLOOKUP(Table1[[#This Row],[ID]], Table2[ID], Table2[Enrollment], "Not Found", 0)</f>
        <v>10/23/2020</v>
      </c>
      <c r="T1643" t="s">
        <v>439</v>
      </c>
    </row>
    <row r="1644" spans="1:20" x14ac:dyDescent="0.3">
      <c r="A1644">
        <v>2241</v>
      </c>
      <c r="B1644">
        <v>135860</v>
      </c>
      <c r="C1644">
        <v>1</v>
      </c>
      <c r="D1644">
        <v>1</v>
      </c>
      <c r="E1644">
        <v>47</v>
      </c>
      <c r="F1644">
        <v>1</v>
      </c>
      <c r="G1644">
        <v>0</v>
      </c>
      <c r="H1644">
        <v>0</v>
      </c>
      <c r="I1644">
        <v>0</v>
      </c>
      <c r="J1644">
        <v>0</v>
      </c>
      <c r="K1644">
        <v>0</v>
      </c>
      <c r="L1644">
        <v>0</v>
      </c>
      <c r="M1644">
        <v>0</v>
      </c>
      <c r="N1644">
        <v>1</v>
      </c>
      <c r="O1644" t="str" cm="1">
        <f t="array" ref="O1644">_xlfn.IFS(Table1[[#This Row],[Divorced]]=1, "Divorced", Table1[[#This Row],[Married]]=1, "Married", Table1[[#This Row],[Single]]=1, "Single", Table1[[#This Row],[Together]]=1, "Together", Table1[[#This Row],[Widow]]=1, "Widow")</f>
        <v>Divorced</v>
      </c>
      <c r="P1644" t="str" cm="1">
        <f t="array" ref="P1644">_xlfn.IFS(Table1[[#This Row],[Basic]]=1, "Basic", Table1[[#This Row],[Graduate]]=1, "Graduate", Table1[[#This Row],[Master]]=1, "Master", Table1[[#This Row],[PhD]]=1, "PhD", AND(Table1[[#This Row],[Basic]]=0, Table1[[#This Row],[Graduate]]=0, Table1[[#This Row],[Master]]=0, Table1[[#This Row],[PhD]]=0), "NA")</f>
        <v>PhD</v>
      </c>
      <c r="Q1644" t="e">
        <f>_xlfn.XLOOKUP(Table1[[#This Row],[ID]], Table2[ID],#REF!, "Not Found", 0)</f>
        <v>#REF!</v>
      </c>
      <c r="R1644" t="e">
        <f>_xlfn.XLOOKUP(Table1[[#This Row],[ID]], Table2[ID],#REF!, "Not Found", 0)</f>
        <v>#REF!</v>
      </c>
      <c r="S1644" s="3" t="str">
        <f>_xlfn.XLOOKUP(Table1[[#This Row],[ID]], Table2[ID], Table2[Enrollment], "Not Found", 0)</f>
        <v>10/23/2020</v>
      </c>
      <c r="T1644" t="s">
        <v>435</v>
      </c>
    </row>
    <row r="1645" spans="1:20" x14ac:dyDescent="0.3">
      <c r="A1645">
        <v>2561</v>
      </c>
      <c r="B1645">
        <v>135860</v>
      </c>
      <c r="C1645">
        <v>1</v>
      </c>
      <c r="D1645">
        <v>1</v>
      </c>
      <c r="E1645">
        <v>47</v>
      </c>
      <c r="F1645">
        <v>1</v>
      </c>
      <c r="G1645">
        <v>0</v>
      </c>
      <c r="H1645">
        <v>0</v>
      </c>
      <c r="I1645">
        <v>0</v>
      </c>
      <c r="J1645">
        <v>0</v>
      </c>
      <c r="K1645">
        <v>0</v>
      </c>
      <c r="L1645">
        <v>0</v>
      </c>
      <c r="M1645">
        <v>0</v>
      </c>
      <c r="N1645">
        <v>1</v>
      </c>
      <c r="O1645" t="str" cm="1">
        <f t="array" ref="O1645">_xlfn.IFS(Table1[[#This Row],[Divorced]]=1, "Divorced", Table1[[#This Row],[Married]]=1, "Married", Table1[[#This Row],[Single]]=1, "Single", Table1[[#This Row],[Together]]=1, "Together", Table1[[#This Row],[Widow]]=1, "Widow")</f>
        <v>Divorced</v>
      </c>
      <c r="P1645" t="str" cm="1">
        <f t="array" ref="P1645">_xlfn.IFS(Table1[[#This Row],[Basic]]=1, "Basic", Table1[[#This Row],[Graduate]]=1, "Graduate", Table1[[#This Row],[Master]]=1, "Master", Table1[[#This Row],[PhD]]=1, "PhD", AND(Table1[[#This Row],[Basic]]=0, Table1[[#This Row],[Graduate]]=0, Table1[[#This Row],[Master]]=0, Table1[[#This Row],[PhD]]=0), "NA")</f>
        <v>PhD</v>
      </c>
      <c r="Q1645" t="e">
        <f>_xlfn.XLOOKUP(Table1[[#This Row],[ID]], Table2[ID],#REF!, "Not Found", 0)</f>
        <v>#REF!</v>
      </c>
      <c r="R1645" t="e">
        <f>_xlfn.XLOOKUP(Table1[[#This Row],[ID]], Table2[ID],#REF!, "Not Found", 0)</f>
        <v>#REF!</v>
      </c>
      <c r="S1645" s="3" t="str">
        <f>_xlfn.XLOOKUP(Table1[[#This Row],[ID]], Table2[ID], Table2[Enrollment], "Not Found", 0)</f>
        <v>10/23/2020</v>
      </c>
      <c r="T1645" t="s">
        <v>434</v>
      </c>
    </row>
    <row r="1646" spans="1:20" x14ac:dyDescent="0.3">
      <c r="A1646">
        <v>1862</v>
      </c>
      <c r="B1646">
        <v>135797</v>
      </c>
      <c r="C1646">
        <v>0</v>
      </c>
      <c r="D1646">
        <v>1</v>
      </c>
      <c r="E1646">
        <v>45</v>
      </c>
      <c r="F1646">
        <v>0</v>
      </c>
      <c r="G1646">
        <v>1</v>
      </c>
      <c r="H1646">
        <v>0</v>
      </c>
      <c r="I1646">
        <v>0</v>
      </c>
      <c r="J1646">
        <v>0</v>
      </c>
      <c r="K1646">
        <v>0</v>
      </c>
      <c r="L1646">
        <v>1</v>
      </c>
      <c r="M1646">
        <v>0</v>
      </c>
      <c r="N1646">
        <v>0</v>
      </c>
      <c r="O1646" t="str" cm="1">
        <f t="array" ref="O1646">_xlfn.IFS(Table1[[#This Row],[Divorced]]=1, "Divorced", Table1[[#This Row],[Married]]=1, "Married", Table1[[#This Row],[Single]]=1, "Single", Table1[[#This Row],[Together]]=1, "Together", Table1[[#This Row],[Widow]]=1, "Widow")</f>
        <v>Married</v>
      </c>
      <c r="P1646" t="str" cm="1">
        <f t="array" ref="P1646">_xlfn.IFS(Table1[[#This Row],[Basic]]=1, "Basic", Table1[[#This Row],[Graduate]]=1, "Graduate", Table1[[#This Row],[Master]]=1, "Master", Table1[[#This Row],[PhD]]=1, "PhD", AND(Table1[[#This Row],[Basic]]=0, Table1[[#This Row],[Graduate]]=0, Table1[[#This Row],[Master]]=0, Table1[[#This Row],[PhD]]=0), "NA")</f>
        <v>Graduate</v>
      </c>
      <c r="Q1646" t="e">
        <f>_xlfn.XLOOKUP(Table1[[#This Row],[ID]], Table2[ID],#REF!, "Not Found", 0)</f>
        <v>#REF!</v>
      </c>
      <c r="R1646" t="e">
        <f>_xlfn.XLOOKUP(Table1[[#This Row],[ID]], Table2[ID],#REF!, "Not Found", 0)</f>
        <v>#REF!</v>
      </c>
      <c r="S1646" s="3" t="str">
        <f>_xlfn.XLOOKUP(Table1[[#This Row],[ID]], Table2[ID], Table2[Enrollment], "Not Found", 0)</f>
        <v>3/23/2019</v>
      </c>
      <c r="T1646" t="s">
        <v>438</v>
      </c>
    </row>
    <row r="1647" spans="1:20" x14ac:dyDescent="0.3">
      <c r="A1647">
        <v>1600</v>
      </c>
      <c r="B1647">
        <v>135791</v>
      </c>
      <c r="C1647">
        <v>2</v>
      </c>
      <c r="D1647">
        <v>1</v>
      </c>
      <c r="E1647">
        <v>55</v>
      </c>
      <c r="F1647">
        <v>0</v>
      </c>
      <c r="G1647">
        <v>0</v>
      </c>
      <c r="H1647">
        <v>1</v>
      </c>
      <c r="I1647">
        <v>0</v>
      </c>
      <c r="J1647">
        <v>0</v>
      </c>
      <c r="K1647">
        <v>0</v>
      </c>
      <c r="L1647">
        <v>0</v>
      </c>
      <c r="M1647">
        <v>1</v>
      </c>
      <c r="N1647">
        <v>0</v>
      </c>
      <c r="O1647" t="str" cm="1">
        <f t="array" ref="O1647">_xlfn.IFS(Table1[[#This Row],[Divorced]]=1, "Divorced", Table1[[#This Row],[Married]]=1, "Married", Table1[[#This Row],[Single]]=1, "Single", Table1[[#This Row],[Together]]=1, "Together", Table1[[#This Row],[Widow]]=1, "Widow")</f>
        <v>Single</v>
      </c>
      <c r="P1647" t="str" cm="1">
        <f t="array" ref="P1647">_xlfn.IFS(Table1[[#This Row],[Basic]]=1, "Basic", Table1[[#This Row],[Graduate]]=1, "Graduate", Table1[[#This Row],[Master]]=1, "Master", Table1[[#This Row],[PhD]]=1, "PhD", AND(Table1[[#This Row],[Basic]]=0, Table1[[#This Row],[Graduate]]=0, Table1[[#This Row],[Master]]=0, Table1[[#This Row],[PhD]]=0), "NA")</f>
        <v>Master</v>
      </c>
      <c r="Q1647" t="e">
        <f>_xlfn.XLOOKUP(Table1[[#This Row],[ID]], Table2[ID],#REF!, "Not Found", 0)</f>
        <v>#REF!</v>
      </c>
      <c r="R1647" t="e">
        <f>_xlfn.XLOOKUP(Table1[[#This Row],[ID]], Table2[ID],#REF!, "Not Found", 0)</f>
        <v>#REF!</v>
      </c>
      <c r="S1647" s="3">
        <f>_xlfn.XLOOKUP(Table1[[#This Row],[ID]], Table2[ID], Table2[Enrollment], "Not Found", 0)</f>
        <v>43779</v>
      </c>
      <c r="T1647" t="s">
        <v>439</v>
      </c>
    </row>
    <row r="1648" spans="1:20" x14ac:dyDescent="0.3">
      <c r="A1648">
        <v>2352</v>
      </c>
      <c r="B1648">
        <v>135791</v>
      </c>
      <c r="C1648">
        <v>2</v>
      </c>
      <c r="D1648">
        <v>1</v>
      </c>
      <c r="E1648">
        <v>55</v>
      </c>
      <c r="F1648">
        <v>0</v>
      </c>
      <c r="G1648">
        <v>0</v>
      </c>
      <c r="H1648">
        <v>1</v>
      </c>
      <c r="I1648">
        <v>0</v>
      </c>
      <c r="J1648">
        <v>0</v>
      </c>
      <c r="K1648">
        <v>0</v>
      </c>
      <c r="L1648">
        <v>0</v>
      </c>
      <c r="M1648">
        <v>1</v>
      </c>
      <c r="N1648">
        <v>0</v>
      </c>
      <c r="O1648" t="str" cm="1">
        <f t="array" ref="O1648">_xlfn.IFS(Table1[[#This Row],[Divorced]]=1, "Divorced", Table1[[#This Row],[Married]]=1, "Married", Table1[[#This Row],[Single]]=1, "Single", Table1[[#This Row],[Together]]=1, "Together", Table1[[#This Row],[Widow]]=1, "Widow")</f>
        <v>Single</v>
      </c>
      <c r="P1648" t="str" cm="1">
        <f t="array" ref="P1648">_xlfn.IFS(Table1[[#This Row],[Basic]]=1, "Basic", Table1[[#This Row],[Graduate]]=1, "Graduate", Table1[[#This Row],[Master]]=1, "Master", Table1[[#This Row],[PhD]]=1, "PhD", AND(Table1[[#This Row],[Basic]]=0, Table1[[#This Row],[Graduate]]=0, Table1[[#This Row],[Master]]=0, Table1[[#This Row],[PhD]]=0), "NA")</f>
        <v>Master</v>
      </c>
      <c r="Q1648" t="e">
        <f>_xlfn.XLOOKUP(Table1[[#This Row],[ID]], Table2[ID],#REF!, "Not Found", 0)</f>
        <v>#REF!</v>
      </c>
      <c r="R1648" t="e">
        <f>_xlfn.XLOOKUP(Table1[[#This Row],[ID]], Table2[ID],#REF!, "Not Found", 0)</f>
        <v>#REF!</v>
      </c>
      <c r="S1648" s="3">
        <f>_xlfn.XLOOKUP(Table1[[#This Row],[ID]], Table2[ID], Table2[Enrollment], "Not Found", 0)</f>
        <v>43779</v>
      </c>
      <c r="T1648" t="s">
        <v>436</v>
      </c>
    </row>
    <row r="1649" spans="1:20" x14ac:dyDescent="0.3">
      <c r="A1649">
        <v>1049</v>
      </c>
      <c r="B1649">
        <v>135790</v>
      </c>
      <c r="C1649">
        <v>1</v>
      </c>
      <c r="D1649">
        <v>0</v>
      </c>
      <c r="E1649">
        <v>43</v>
      </c>
      <c r="F1649">
        <v>0</v>
      </c>
      <c r="G1649">
        <v>0</v>
      </c>
      <c r="H1649">
        <v>1</v>
      </c>
      <c r="I1649">
        <v>0</v>
      </c>
      <c r="J1649">
        <v>0</v>
      </c>
      <c r="K1649">
        <v>0</v>
      </c>
      <c r="L1649">
        <v>1</v>
      </c>
      <c r="M1649">
        <v>0</v>
      </c>
      <c r="N1649">
        <v>0</v>
      </c>
      <c r="O1649" t="str" cm="1">
        <f t="array" ref="O1649">_xlfn.IFS(Table1[[#This Row],[Divorced]]=1, "Divorced", Table1[[#This Row],[Married]]=1, "Married", Table1[[#This Row],[Single]]=1, "Single", Table1[[#This Row],[Together]]=1, "Together", Table1[[#This Row],[Widow]]=1, "Widow")</f>
        <v>Single</v>
      </c>
      <c r="P1649" t="str" cm="1">
        <f t="array" ref="P1649">_xlfn.IFS(Table1[[#This Row],[Basic]]=1, "Basic", Table1[[#This Row],[Graduate]]=1, "Graduate", Table1[[#This Row],[Master]]=1, "Master", Table1[[#This Row],[PhD]]=1, "PhD", AND(Table1[[#This Row],[Basic]]=0, Table1[[#This Row],[Graduate]]=0, Table1[[#This Row],[Master]]=0, Table1[[#This Row],[PhD]]=0), "NA")</f>
        <v>Graduate</v>
      </c>
      <c r="Q1649" t="e">
        <f>_xlfn.XLOOKUP(Table1[[#This Row],[ID]], Table2[ID],#REF!, "Not Found", 0)</f>
        <v>#REF!</v>
      </c>
      <c r="R1649" t="e">
        <f>_xlfn.XLOOKUP(Table1[[#This Row],[ID]], Table2[ID],#REF!, "Not Found", 0)</f>
        <v>#REF!</v>
      </c>
      <c r="S1649" s="3">
        <f>_xlfn.XLOOKUP(Table1[[#This Row],[ID]], Table2[ID], Table2[Enrollment], "Not Found", 0)</f>
        <v>43714</v>
      </c>
      <c r="T1649" t="s">
        <v>434</v>
      </c>
    </row>
    <row r="1650" spans="1:20" x14ac:dyDescent="0.3">
      <c r="A1650">
        <v>3109</v>
      </c>
      <c r="B1650">
        <v>135788</v>
      </c>
      <c r="C1650">
        <v>1</v>
      </c>
      <c r="D1650">
        <v>1</v>
      </c>
      <c r="E1650">
        <v>49</v>
      </c>
      <c r="F1650">
        <v>0</v>
      </c>
      <c r="G1650">
        <v>1</v>
      </c>
      <c r="H1650">
        <v>0</v>
      </c>
      <c r="I1650">
        <v>0</v>
      </c>
      <c r="J1650">
        <v>0</v>
      </c>
      <c r="K1650">
        <v>0</v>
      </c>
      <c r="L1650">
        <v>1</v>
      </c>
      <c r="M1650">
        <v>0</v>
      </c>
      <c r="N1650">
        <v>0</v>
      </c>
      <c r="O1650" t="str" cm="1">
        <f t="array" ref="O1650">_xlfn.IFS(Table1[[#This Row],[Divorced]]=1, "Divorced", Table1[[#This Row],[Married]]=1, "Married", Table1[[#This Row],[Single]]=1, "Single", Table1[[#This Row],[Together]]=1, "Together", Table1[[#This Row],[Widow]]=1, "Widow")</f>
        <v>Married</v>
      </c>
      <c r="P1650" t="str" cm="1">
        <f t="array" ref="P1650">_xlfn.IFS(Table1[[#This Row],[Basic]]=1, "Basic", Table1[[#This Row],[Graduate]]=1, "Graduate", Table1[[#This Row],[Master]]=1, "Master", Table1[[#This Row],[PhD]]=1, "PhD", AND(Table1[[#This Row],[Basic]]=0, Table1[[#This Row],[Graduate]]=0, Table1[[#This Row],[Master]]=0, Table1[[#This Row],[PhD]]=0), "NA")</f>
        <v>Graduate</v>
      </c>
      <c r="Q1650" t="e">
        <f>_xlfn.XLOOKUP(Table1[[#This Row],[ID]], Table2[ID],#REF!, "Not Found", 0)</f>
        <v>#REF!</v>
      </c>
      <c r="R1650" t="e">
        <f>_xlfn.XLOOKUP(Table1[[#This Row],[ID]], Table2[ID],#REF!, "Not Found", 0)</f>
        <v>#REF!</v>
      </c>
      <c r="S1650" s="3" t="str">
        <f>_xlfn.XLOOKUP(Table1[[#This Row],[ID]], Table2[ID], Table2[Enrollment], "Not Found", 0)</f>
        <v>6/29/2020</v>
      </c>
      <c r="T1650" t="s">
        <v>437</v>
      </c>
    </row>
    <row r="1651" spans="1:20" x14ac:dyDescent="0.3">
      <c r="A1651">
        <v>2470</v>
      </c>
      <c r="B1651">
        <v>135765</v>
      </c>
      <c r="C1651">
        <v>1</v>
      </c>
      <c r="D1651">
        <v>0</v>
      </c>
      <c r="E1651">
        <v>30</v>
      </c>
      <c r="F1651">
        <v>0</v>
      </c>
      <c r="G1651">
        <v>1</v>
      </c>
      <c r="H1651">
        <v>0</v>
      </c>
      <c r="I1651">
        <v>0</v>
      </c>
      <c r="J1651">
        <v>0</v>
      </c>
      <c r="K1651">
        <v>0</v>
      </c>
      <c r="L1651">
        <v>1</v>
      </c>
      <c r="M1651">
        <v>0</v>
      </c>
      <c r="N1651">
        <v>0</v>
      </c>
      <c r="O1651" t="str" cm="1">
        <f t="array" ref="O1651">_xlfn.IFS(Table1[[#This Row],[Divorced]]=1, "Divorced", Table1[[#This Row],[Married]]=1, "Married", Table1[[#This Row],[Single]]=1, "Single", Table1[[#This Row],[Together]]=1, "Together", Table1[[#This Row],[Widow]]=1, "Widow")</f>
        <v>Married</v>
      </c>
      <c r="P1651" t="str" cm="1">
        <f t="array" ref="P1651">_xlfn.IFS(Table1[[#This Row],[Basic]]=1, "Basic", Table1[[#This Row],[Graduate]]=1, "Graduate", Table1[[#This Row],[Master]]=1, "Master", Table1[[#This Row],[PhD]]=1, "PhD", AND(Table1[[#This Row],[Basic]]=0, Table1[[#This Row],[Graduate]]=0, Table1[[#This Row],[Master]]=0, Table1[[#This Row],[PhD]]=0), "NA")</f>
        <v>Graduate</v>
      </c>
      <c r="Q1651" t="e">
        <f>_xlfn.XLOOKUP(Table1[[#This Row],[ID]], Table2[ID],#REF!, "Not Found", 0)</f>
        <v>#REF!</v>
      </c>
      <c r="R1651" t="e">
        <f>_xlfn.XLOOKUP(Table1[[#This Row],[ID]], Table2[ID],#REF!, "Not Found", 0)</f>
        <v>#REF!</v>
      </c>
      <c r="S1651" s="3" t="str">
        <f>_xlfn.XLOOKUP(Table1[[#This Row],[ID]], Table2[ID], Table2[Enrollment], "Not Found", 0)</f>
        <v>5/17/2020</v>
      </c>
      <c r="T1651" t="s">
        <v>439</v>
      </c>
    </row>
    <row r="1652" spans="1:20" x14ac:dyDescent="0.3">
      <c r="A1652">
        <v>1959</v>
      </c>
      <c r="B1652">
        <v>135704</v>
      </c>
      <c r="C1652">
        <v>1</v>
      </c>
      <c r="D1652">
        <v>1</v>
      </c>
      <c r="E1652">
        <v>68</v>
      </c>
      <c r="F1652">
        <v>0</v>
      </c>
      <c r="G1652">
        <v>1</v>
      </c>
      <c r="H1652">
        <v>0</v>
      </c>
      <c r="I1652">
        <v>0</v>
      </c>
      <c r="J1652">
        <v>0</v>
      </c>
      <c r="K1652">
        <v>0</v>
      </c>
      <c r="L1652">
        <v>1</v>
      </c>
      <c r="M1652">
        <v>0</v>
      </c>
      <c r="N1652">
        <v>0</v>
      </c>
      <c r="O1652" t="str" cm="1">
        <f t="array" ref="O1652">_xlfn.IFS(Table1[[#This Row],[Divorced]]=1, "Divorced", Table1[[#This Row],[Married]]=1, "Married", Table1[[#This Row],[Single]]=1, "Single", Table1[[#This Row],[Together]]=1, "Together", Table1[[#This Row],[Widow]]=1, "Widow")</f>
        <v>Married</v>
      </c>
      <c r="P1652" t="str" cm="1">
        <f t="array" ref="P1652">_xlfn.IFS(Table1[[#This Row],[Basic]]=1, "Basic", Table1[[#This Row],[Graduate]]=1, "Graduate", Table1[[#This Row],[Master]]=1, "Master", Table1[[#This Row],[PhD]]=1, "PhD", AND(Table1[[#This Row],[Basic]]=0, Table1[[#This Row],[Graduate]]=0, Table1[[#This Row],[Master]]=0, Table1[[#This Row],[PhD]]=0), "NA")</f>
        <v>Graduate</v>
      </c>
      <c r="Q1652" t="e">
        <f>_xlfn.XLOOKUP(Table1[[#This Row],[ID]], Table2[ID],#REF!, "Not Found", 0)</f>
        <v>#REF!</v>
      </c>
      <c r="R1652" t="e">
        <f>_xlfn.XLOOKUP(Table1[[#This Row],[ID]], Table2[ID],#REF!, "Not Found", 0)</f>
        <v>#REF!</v>
      </c>
      <c r="S1652" s="3">
        <f>_xlfn.XLOOKUP(Table1[[#This Row],[ID]], Table2[ID], Table2[Enrollment], "Not Found", 0)</f>
        <v>44080</v>
      </c>
      <c r="T1652" t="s">
        <v>435</v>
      </c>
    </row>
    <row r="1653" spans="1:20" x14ac:dyDescent="0.3">
      <c r="A1653">
        <v>2883</v>
      </c>
      <c r="B1653">
        <v>135701</v>
      </c>
      <c r="C1653">
        <v>0</v>
      </c>
      <c r="D1653">
        <v>0</v>
      </c>
      <c r="E1653">
        <v>61</v>
      </c>
      <c r="F1653">
        <v>0</v>
      </c>
      <c r="G1653">
        <v>1</v>
      </c>
      <c r="H1653">
        <v>0</v>
      </c>
      <c r="I1653">
        <v>0</v>
      </c>
      <c r="J1653">
        <v>0</v>
      </c>
      <c r="K1653">
        <v>0</v>
      </c>
      <c r="L1653">
        <v>1</v>
      </c>
      <c r="M1653">
        <v>0</v>
      </c>
      <c r="N1653">
        <v>0</v>
      </c>
      <c r="O1653" t="str" cm="1">
        <f t="array" ref="O1653">_xlfn.IFS(Table1[[#This Row],[Divorced]]=1, "Divorced", Table1[[#This Row],[Married]]=1, "Married", Table1[[#This Row],[Single]]=1, "Single", Table1[[#This Row],[Together]]=1, "Together", Table1[[#This Row],[Widow]]=1, "Widow")</f>
        <v>Married</v>
      </c>
      <c r="P1653" t="str" cm="1">
        <f t="array" ref="P1653">_xlfn.IFS(Table1[[#This Row],[Basic]]=1, "Basic", Table1[[#This Row],[Graduate]]=1, "Graduate", Table1[[#This Row],[Master]]=1, "Master", Table1[[#This Row],[PhD]]=1, "PhD", AND(Table1[[#This Row],[Basic]]=0, Table1[[#This Row],[Graduate]]=0, Table1[[#This Row],[Master]]=0, Table1[[#This Row],[PhD]]=0), "NA")</f>
        <v>Graduate</v>
      </c>
      <c r="Q1653" t="e">
        <f>_xlfn.XLOOKUP(Table1[[#This Row],[ID]], Table2[ID],#REF!, "Not Found", 0)</f>
        <v>#REF!</v>
      </c>
      <c r="R1653" t="e">
        <f>_xlfn.XLOOKUP(Table1[[#This Row],[ID]], Table2[ID],#REF!, "Not Found", 0)</f>
        <v>#REF!</v>
      </c>
      <c r="S1653" s="3" t="str">
        <f>_xlfn.XLOOKUP(Table1[[#This Row],[ID]], Table2[ID], Table2[Enrollment], "Not Found", 0)</f>
        <v>8/24/2019</v>
      </c>
      <c r="T1653" t="s">
        <v>435</v>
      </c>
    </row>
    <row r="1654" spans="1:20" x14ac:dyDescent="0.3">
      <c r="A1654">
        <v>1138</v>
      </c>
      <c r="B1654">
        <v>135688</v>
      </c>
      <c r="C1654">
        <v>2</v>
      </c>
      <c r="D1654">
        <v>1</v>
      </c>
      <c r="E1654">
        <v>47</v>
      </c>
      <c r="F1654">
        <v>0</v>
      </c>
      <c r="G1654">
        <v>1</v>
      </c>
      <c r="H1654">
        <v>0</v>
      </c>
      <c r="I1654">
        <v>0</v>
      </c>
      <c r="J1654">
        <v>0</v>
      </c>
      <c r="K1654">
        <v>0</v>
      </c>
      <c r="L1654">
        <v>0</v>
      </c>
      <c r="M1654">
        <v>0</v>
      </c>
      <c r="N1654">
        <v>0</v>
      </c>
      <c r="O1654" t="str" cm="1">
        <f t="array" ref="O1654">_xlfn.IFS(Table1[[#This Row],[Divorced]]=1, "Divorced", Table1[[#This Row],[Married]]=1, "Married", Table1[[#This Row],[Single]]=1, "Single", Table1[[#This Row],[Together]]=1, "Together", Table1[[#This Row],[Widow]]=1, "Widow")</f>
        <v>Married</v>
      </c>
      <c r="P1654" t="str" cm="1">
        <f t="array" ref="P1654">_xlfn.IFS(Table1[[#This Row],[Basic]]=1, "Basic", Table1[[#This Row],[Graduate]]=1, "Graduate", Table1[[#This Row],[Master]]=1, "Master", Table1[[#This Row],[PhD]]=1, "PhD", AND(Table1[[#This Row],[Basic]]=0, Table1[[#This Row],[Graduate]]=0, Table1[[#This Row],[Master]]=0, Table1[[#This Row],[PhD]]=0), "NA")</f>
        <v>NA</v>
      </c>
      <c r="Q1654" t="e">
        <f>_xlfn.XLOOKUP(Table1[[#This Row],[ID]], Table2[ID],#REF!, "Not Found", 0)</f>
        <v>#REF!</v>
      </c>
      <c r="R1654" t="e">
        <f>_xlfn.XLOOKUP(Table1[[#This Row],[ID]], Table2[ID],#REF!, "Not Found", 0)</f>
        <v>#REF!</v>
      </c>
      <c r="S1654" s="3" t="str">
        <f>_xlfn.XLOOKUP(Table1[[#This Row],[ID]], Table2[ID], Table2[Enrollment], "Not Found", 0)</f>
        <v>1/27/2019</v>
      </c>
      <c r="T1654" t="s">
        <v>439</v>
      </c>
    </row>
    <row r="1655" spans="1:20" x14ac:dyDescent="0.3">
      <c r="A1655">
        <v>1367</v>
      </c>
      <c r="B1655">
        <v>135688</v>
      </c>
      <c r="C1655">
        <v>2</v>
      </c>
      <c r="D1655">
        <v>1</v>
      </c>
      <c r="E1655">
        <v>47</v>
      </c>
      <c r="F1655">
        <v>0</v>
      </c>
      <c r="G1655">
        <v>1</v>
      </c>
      <c r="H1655">
        <v>0</v>
      </c>
      <c r="I1655">
        <v>0</v>
      </c>
      <c r="J1655">
        <v>0</v>
      </c>
      <c r="K1655">
        <v>0</v>
      </c>
      <c r="L1655">
        <v>0</v>
      </c>
      <c r="M1655">
        <v>0</v>
      </c>
      <c r="N1655">
        <v>0</v>
      </c>
      <c r="O1655" t="str" cm="1">
        <f t="array" ref="O1655">_xlfn.IFS(Table1[[#This Row],[Divorced]]=1, "Divorced", Table1[[#This Row],[Married]]=1, "Married", Table1[[#This Row],[Single]]=1, "Single", Table1[[#This Row],[Together]]=1, "Together", Table1[[#This Row],[Widow]]=1, "Widow")</f>
        <v>Married</v>
      </c>
      <c r="P1655" t="str" cm="1">
        <f t="array" ref="P1655">_xlfn.IFS(Table1[[#This Row],[Basic]]=1, "Basic", Table1[[#This Row],[Graduate]]=1, "Graduate", Table1[[#This Row],[Master]]=1, "Master", Table1[[#This Row],[PhD]]=1, "PhD", AND(Table1[[#This Row],[Basic]]=0, Table1[[#This Row],[Graduate]]=0, Table1[[#This Row],[Master]]=0, Table1[[#This Row],[PhD]]=0), "NA")</f>
        <v>NA</v>
      </c>
      <c r="Q1655" t="e">
        <f>_xlfn.XLOOKUP(Table1[[#This Row],[ID]], Table2[ID],#REF!, "Not Found", 0)</f>
        <v>#REF!</v>
      </c>
      <c r="R1655" t="e">
        <f>_xlfn.XLOOKUP(Table1[[#This Row],[ID]], Table2[ID],#REF!, "Not Found", 0)</f>
        <v>#REF!</v>
      </c>
      <c r="S1655" s="3" t="str">
        <f>_xlfn.XLOOKUP(Table1[[#This Row],[ID]], Table2[ID], Table2[Enrollment], "Not Found", 0)</f>
        <v>1/27/2019</v>
      </c>
      <c r="T1655" t="s">
        <v>434</v>
      </c>
    </row>
    <row r="1656" spans="1:20" x14ac:dyDescent="0.3">
      <c r="A1656">
        <v>1354</v>
      </c>
      <c r="B1656">
        <v>135684</v>
      </c>
      <c r="C1656">
        <v>1</v>
      </c>
      <c r="D1656">
        <v>0</v>
      </c>
      <c r="E1656">
        <v>36</v>
      </c>
      <c r="F1656">
        <v>0</v>
      </c>
      <c r="G1656">
        <v>1</v>
      </c>
      <c r="H1656">
        <v>0</v>
      </c>
      <c r="I1656">
        <v>0</v>
      </c>
      <c r="J1656">
        <v>0</v>
      </c>
      <c r="K1656">
        <v>0</v>
      </c>
      <c r="L1656">
        <v>0</v>
      </c>
      <c r="M1656">
        <v>0</v>
      </c>
      <c r="N1656">
        <v>0</v>
      </c>
      <c r="O1656" t="str" cm="1">
        <f t="array" ref="O1656">_xlfn.IFS(Table1[[#This Row],[Divorced]]=1, "Divorced", Table1[[#This Row],[Married]]=1, "Married", Table1[[#This Row],[Single]]=1, "Single", Table1[[#This Row],[Together]]=1, "Together", Table1[[#This Row],[Widow]]=1, "Widow")</f>
        <v>Married</v>
      </c>
      <c r="P1656" t="str" cm="1">
        <f t="array" ref="P1656">_xlfn.IFS(Table1[[#This Row],[Basic]]=1, "Basic", Table1[[#This Row],[Graduate]]=1, "Graduate", Table1[[#This Row],[Master]]=1, "Master", Table1[[#This Row],[PhD]]=1, "PhD", AND(Table1[[#This Row],[Basic]]=0, Table1[[#This Row],[Graduate]]=0, Table1[[#This Row],[Master]]=0, Table1[[#This Row],[PhD]]=0), "NA")</f>
        <v>NA</v>
      </c>
      <c r="Q1656" t="e">
        <f>_xlfn.XLOOKUP(Table1[[#This Row],[ID]], Table2[ID],#REF!, "Not Found", 0)</f>
        <v>#REF!</v>
      </c>
      <c r="R1656" t="e">
        <f>_xlfn.XLOOKUP(Table1[[#This Row],[ID]], Table2[ID],#REF!, "Not Found", 0)</f>
        <v>#REF!</v>
      </c>
      <c r="S1656" s="3" t="str">
        <f>_xlfn.XLOOKUP(Table1[[#This Row],[ID]], Table2[ID], Table2[Enrollment], "Not Found", 0)</f>
        <v>9/26/2020</v>
      </c>
      <c r="T1656" t="s">
        <v>439</v>
      </c>
    </row>
    <row r="1657" spans="1:20" x14ac:dyDescent="0.3">
      <c r="A1657">
        <v>1687</v>
      </c>
      <c r="B1657">
        <v>135682</v>
      </c>
      <c r="C1657">
        <v>1</v>
      </c>
      <c r="D1657">
        <v>0</v>
      </c>
      <c r="E1657">
        <v>50</v>
      </c>
      <c r="F1657">
        <v>1</v>
      </c>
      <c r="G1657">
        <v>0</v>
      </c>
      <c r="H1657">
        <v>0</v>
      </c>
      <c r="I1657">
        <v>0</v>
      </c>
      <c r="J1657">
        <v>0</v>
      </c>
      <c r="K1657">
        <v>0</v>
      </c>
      <c r="L1657">
        <v>0</v>
      </c>
      <c r="M1657">
        <v>0</v>
      </c>
      <c r="N1657">
        <v>1</v>
      </c>
      <c r="O1657" t="str" cm="1">
        <f t="array" ref="O1657">_xlfn.IFS(Table1[[#This Row],[Divorced]]=1, "Divorced", Table1[[#This Row],[Married]]=1, "Married", Table1[[#This Row],[Single]]=1, "Single", Table1[[#This Row],[Together]]=1, "Together", Table1[[#This Row],[Widow]]=1, "Widow")</f>
        <v>Divorced</v>
      </c>
      <c r="P1657" t="str" cm="1">
        <f t="array" ref="P1657">_xlfn.IFS(Table1[[#This Row],[Basic]]=1, "Basic", Table1[[#This Row],[Graduate]]=1, "Graduate", Table1[[#This Row],[Master]]=1, "Master", Table1[[#This Row],[PhD]]=1, "PhD", AND(Table1[[#This Row],[Basic]]=0, Table1[[#This Row],[Graduate]]=0, Table1[[#This Row],[Master]]=0, Table1[[#This Row],[PhD]]=0), "NA")</f>
        <v>PhD</v>
      </c>
      <c r="Q1657" t="e">
        <f>_xlfn.XLOOKUP(Table1[[#This Row],[ID]], Table2[ID],#REF!, "Not Found", 0)</f>
        <v>#REF!</v>
      </c>
      <c r="R1657" t="e">
        <f>_xlfn.XLOOKUP(Table1[[#This Row],[ID]], Table2[ID],#REF!, "Not Found", 0)</f>
        <v>#REF!</v>
      </c>
      <c r="S1657" s="3">
        <f>_xlfn.XLOOKUP(Table1[[#This Row],[ID]], Table2[ID], Table2[Enrollment], "Not Found", 0)</f>
        <v>43842</v>
      </c>
      <c r="T1657" t="s">
        <v>437</v>
      </c>
    </row>
    <row r="1658" spans="1:20" x14ac:dyDescent="0.3">
      <c r="A1658">
        <v>1894</v>
      </c>
      <c r="B1658">
        <v>135641</v>
      </c>
      <c r="C1658">
        <v>1</v>
      </c>
      <c r="D1658">
        <v>0</v>
      </c>
      <c r="E1658">
        <v>48</v>
      </c>
      <c r="F1658">
        <v>0</v>
      </c>
      <c r="G1658">
        <v>1</v>
      </c>
      <c r="H1658">
        <v>0</v>
      </c>
      <c r="I1658">
        <v>0</v>
      </c>
      <c r="J1658">
        <v>0</v>
      </c>
      <c r="K1658">
        <v>0</v>
      </c>
      <c r="L1658">
        <v>0</v>
      </c>
      <c r="M1658">
        <v>1</v>
      </c>
      <c r="N1658">
        <v>0</v>
      </c>
      <c r="O1658" t="str" cm="1">
        <f t="array" ref="O1658">_xlfn.IFS(Table1[[#This Row],[Divorced]]=1, "Divorced", Table1[[#This Row],[Married]]=1, "Married", Table1[[#This Row],[Single]]=1, "Single", Table1[[#This Row],[Together]]=1, "Together", Table1[[#This Row],[Widow]]=1, "Widow")</f>
        <v>Married</v>
      </c>
      <c r="P1658" t="str" cm="1">
        <f t="array" ref="P1658">_xlfn.IFS(Table1[[#This Row],[Basic]]=1, "Basic", Table1[[#This Row],[Graduate]]=1, "Graduate", Table1[[#This Row],[Master]]=1, "Master", Table1[[#This Row],[PhD]]=1, "PhD", AND(Table1[[#This Row],[Basic]]=0, Table1[[#This Row],[Graduate]]=0, Table1[[#This Row],[Master]]=0, Table1[[#This Row],[PhD]]=0), "NA")</f>
        <v>Master</v>
      </c>
      <c r="Q1658" t="e">
        <f>_xlfn.XLOOKUP(Table1[[#This Row],[ID]], Table2[ID],#REF!, "Not Found", 0)</f>
        <v>#REF!</v>
      </c>
      <c r="R1658" t="e">
        <f>_xlfn.XLOOKUP(Table1[[#This Row],[ID]], Table2[ID],#REF!, "Not Found", 0)</f>
        <v>#REF!</v>
      </c>
      <c r="S1658" s="3" t="str">
        <f>_xlfn.XLOOKUP(Table1[[#This Row],[ID]], Table2[ID], Table2[Enrollment], "Not Found", 0)</f>
        <v>12/19/2019</v>
      </c>
      <c r="T1658" t="s">
        <v>439</v>
      </c>
    </row>
    <row r="1659" spans="1:20" x14ac:dyDescent="0.3">
      <c r="A1659">
        <v>2630</v>
      </c>
      <c r="B1659">
        <v>135544</v>
      </c>
      <c r="C1659">
        <v>1</v>
      </c>
      <c r="D1659">
        <v>0</v>
      </c>
      <c r="E1659">
        <v>42</v>
      </c>
      <c r="F1659">
        <v>0</v>
      </c>
      <c r="G1659">
        <v>0</v>
      </c>
      <c r="H1659">
        <v>1</v>
      </c>
      <c r="I1659">
        <v>0</v>
      </c>
      <c r="J1659">
        <v>0</v>
      </c>
      <c r="K1659">
        <v>0</v>
      </c>
      <c r="L1659">
        <v>0</v>
      </c>
      <c r="M1659">
        <v>1</v>
      </c>
      <c r="N1659">
        <v>0</v>
      </c>
      <c r="O1659" t="str" cm="1">
        <f t="array" ref="O1659">_xlfn.IFS(Table1[[#This Row],[Divorced]]=1, "Divorced", Table1[[#This Row],[Married]]=1, "Married", Table1[[#This Row],[Single]]=1, "Single", Table1[[#This Row],[Together]]=1, "Together", Table1[[#This Row],[Widow]]=1, "Widow")</f>
        <v>Single</v>
      </c>
      <c r="P1659" t="str" cm="1">
        <f t="array" ref="P1659">_xlfn.IFS(Table1[[#This Row],[Basic]]=1, "Basic", Table1[[#This Row],[Graduate]]=1, "Graduate", Table1[[#This Row],[Master]]=1, "Master", Table1[[#This Row],[PhD]]=1, "PhD", AND(Table1[[#This Row],[Basic]]=0, Table1[[#This Row],[Graduate]]=0, Table1[[#This Row],[Master]]=0, Table1[[#This Row],[PhD]]=0), "NA")</f>
        <v>Master</v>
      </c>
      <c r="Q1659" t="e">
        <f>_xlfn.XLOOKUP(Table1[[#This Row],[ID]], Table2[ID],#REF!, "Not Found", 0)</f>
        <v>#REF!</v>
      </c>
      <c r="R1659" t="e">
        <f>_xlfn.XLOOKUP(Table1[[#This Row],[ID]], Table2[ID],#REF!, "Not Found", 0)</f>
        <v>#REF!</v>
      </c>
      <c r="S1659" s="3">
        <f>_xlfn.XLOOKUP(Table1[[#This Row],[ID]], Table2[ID], Table2[Enrollment], "Not Found", 0)</f>
        <v>44173</v>
      </c>
      <c r="T1659" t="s">
        <v>438</v>
      </c>
    </row>
    <row r="1660" spans="1:20" x14ac:dyDescent="0.3">
      <c r="A1660">
        <v>1741</v>
      </c>
      <c r="B1660">
        <v>135523</v>
      </c>
      <c r="C1660">
        <v>1</v>
      </c>
      <c r="D1660">
        <v>0</v>
      </c>
      <c r="E1660">
        <v>39</v>
      </c>
      <c r="F1660">
        <v>0</v>
      </c>
      <c r="G1660">
        <v>1</v>
      </c>
      <c r="H1660">
        <v>0</v>
      </c>
      <c r="I1660">
        <v>0</v>
      </c>
      <c r="J1660">
        <v>0</v>
      </c>
      <c r="K1660">
        <v>0</v>
      </c>
      <c r="L1660">
        <v>0</v>
      </c>
      <c r="M1660">
        <v>0</v>
      </c>
      <c r="N1660">
        <v>0</v>
      </c>
      <c r="O1660" t="str" cm="1">
        <f t="array" ref="O1660">_xlfn.IFS(Table1[[#This Row],[Divorced]]=1, "Divorced", Table1[[#This Row],[Married]]=1, "Married", Table1[[#This Row],[Single]]=1, "Single", Table1[[#This Row],[Together]]=1, "Together", Table1[[#This Row],[Widow]]=1, "Widow")</f>
        <v>Married</v>
      </c>
      <c r="P1660" t="str" cm="1">
        <f t="array" ref="P1660">_xlfn.IFS(Table1[[#This Row],[Basic]]=1, "Basic", Table1[[#This Row],[Graduate]]=1, "Graduate", Table1[[#This Row],[Master]]=1, "Master", Table1[[#This Row],[PhD]]=1, "PhD", AND(Table1[[#This Row],[Basic]]=0, Table1[[#This Row],[Graduate]]=0, Table1[[#This Row],[Master]]=0, Table1[[#This Row],[PhD]]=0), "NA")</f>
        <v>NA</v>
      </c>
      <c r="Q1660" t="e">
        <f>_xlfn.XLOOKUP(Table1[[#This Row],[ID]], Table2[ID],#REF!, "Not Found", 0)</f>
        <v>#REF!</v>
      </c>
      <c r="R1660" t="e">
        <f>_xlfn.XLOOKUP(Table1[[#This Row],[ID]], Table2[ID],#REF!, "Not Found", 0)</f>
        <v>#REF!</v>
      </c>
      <c r="S1660" s="3">
        <f>_xlfn.XLOOKUP(Table1[[#This Row],[ID]], Table2[ID], Table2[Enrollment], "Not Found", 0)</f>
        <v>44077</v>
      </c>
      <c r="T1660" t="s">
        <v>437</v>
      </c>
    </row>
    <row r="1661" spans="1:20" x14ac:dyDescent="0.3">
      <c r="A1661">
        <v>1815</v>
      </c>
      <c r="B1661">
        <v>135441</v>
      </c>
      <c r="C1661">
        <v>1</v>
      </c>
      <c r="D1661">
        <v>1</v>
      </c>
      <c r="E1661">
        <v>53</v>
      </c>
      <c r="F1661">
        <v>0</v>
      </c>
      <c r="G1661">
        <v>1</v>
      </c>
      <c r="H1661">
        <v>0</v>
      </c>
      <c r="I1661">
        <v>0</v>
      </c>
      <c r="J1661">
        <v>0</v>
      </c>
      <c r="K1661">
        <v>0</v>
      </c>
      <c r="L1661">
        <v>1</v>
      </c>
      <c r="M1661">
        <v>0</v>
      </c>
      <c r="N1661">
        <v>0</v>
      </c>
      <c r="O1661" t="str" cm="1">
        <f t="array" ref="O1661">_xlfn.IFS(Table1[[#This Row],[Divorced]]=1, "Divorced", Table1[[#This Row],[Married]]=1, "Married", Table1[[#This Row],[Single]]=1, "Single", Table1[[#This Row],[Together]]=1, "Together", Table1[[#This Row],[Widow]]=1, "Widow")</f>
        <v>Married</v>
      </c>
      <c r="P1661" t="str" cm="1">
        <f t="array" ref="P1661">_xlfn.IFS(Table1[[#This Row],[Basic]]=1, "Basic", Table1[[#This Row],[Graduate]]=1, "Graduate", Table1[[#This Row],[Master]]=1, "Master", Table1[[#This Row],[PhD]]=1, "PhD", AND(Table1[[#This Row],[Basic]]=0, Table1[[#This Row],[Graduate]]=0, Table1[[#This Row],[Master]]=0, Table1[[#This Row],[PhD]]=0), "NA")</f>
        <v>Graduate</v>
      </c>
      <c r="Q1661" t="e">
        <f>_xlfn.XLOOKUP(Table1[[#This Row],[ID]], Table2[ID],#REF!, "Not Found", 0)</f>
        <v>#REF!</v>
      </c>
      <c r="R1661" t="e">
        <f>_xlfn.XLOOKUP(Table1[[#This Row],[ID]], Table2[ID],#REF!, "Not Found", 0)</f>
        <v>#REF!</v>
      </c>
      <c r="S1661" s="3" t="str">
        <f>_xlfn.XLOOKUP(Table1[[#This Row],[ID]], Table2[ID], Table2[Enrollment], "Not Found", 0)</f>
        <v>7/22/2019</v>
      </c>
      <c r="T1661" t="s">
        <v>435</v>
      </c>
    </row>
    <row r="1662" spans="1:20" x14ac:dyDescent="0.3">
      <c r="A1662">
        <v>1276</v>
      </c>
      <c r="B1662">
        <v>135416</v>
      </c>
      <c r="C1662">
        <v>0</v>
      </c>
      <c r="D1662">
        <v>0</v>
      </c>
      <c r="E1662">
        <v>71</v>
      </c>
      <c r="F1662">
        <v>1</v>
      </c>
      <c r="G1662">
        <v>0</v>
      </c>
      <c r="H1662">
        <v>0</v>
      </c>
      <c r="I1662">
        <v>0</v>
      </c>
      <c r="J1662">
        <v>0</v>
      </c>
      <c r="K1662">
        <v>0</v>
      </c>
      <c r="L1662">
        <v>0</v>
      </c>
      <c r="M1662">
        <v>1</v>
      </c>
      <c r="N1662">
        <v>0</v>
      </c>
      <c r="O1662" t="str" cm="1">
        <f t="array" ref="O1662">_xlfn.IFS(Table1[[#This Row],[Divorced]]=1, "Divorced", Table1[[#This Row],[Married]]=1, "Married", Table1[[#This Row],[Single]]=1, "Single", Table1[[#This Row],[Together]]=1, "Together", Table1[[#This Row],[Widow]]=1, "Widow")</f>
        <v>Divorced</v>
      </c>
      <c r="P1662" t="str" cm="1">
        <f t="array" ref="P1662">_xlfn.IFS(Table1[[#This Row],[Basic]]=1, "Basic", Table1[[#This Row],[Graduate]]=1, "Graduate", Table1[[#This Row],[Master]]=1, "Master", Table1[[#This Row],[PhD]]=1, "PhD", AND(Table1[[#This Row],[Basic]]=0, Table1[[#This Row],[Graduate]]=0, Table1[[#This Row],[Master]]=0, Table1[[#This Row],[PhD]]=0), "NA")</f>
        <v>Master</v>
      </c>
      <c r="Q1662" t="e">
        <f>_xlfn.XLOOKUP(Table1[[#This Row],[ID]], Table2[ID],#REF!, "Not Found", 0)</f>
        <v>#REF!</v>
      </c>
      <c r="R1662" t="e">
        <f>_xlfn.XLOOKUP(Table1[[#This Row],[ID]], Table2[ID],#REF!, "Not Found", 0)</f>
        <v>#REF!</v>
      </c>
      <c r="S1662" s="3" t="str">
        <f>_xlfn.XLOOKUP(Table1[[#This Row],[ID]], Table2[ID], Table2[Enrollment], "Not Found", 0)</f>
        <v>11/18/2019</v>
      </c>
      <c r="T1662" t="s">
        <v>439</v>
      </c>
    </row>
    <row r="1663" spans="1:20" x14ac:dyDescent="0.3">
      <c r="A1663">
        <v>1283</v>
      </c>
      <c r="B1663">
        <v>135388</v>
      </c>
      <c r="C1663">
        <v>1</v>
      </c>
      <c r="D1663">
        <v>0</v>
      </c>
      <c r="E1663">
        <v>32</v>
      </c>
      <c r="F1663">
        <v>1</v>
      </c>
      <c r="G1663">
        <v>0</v>
      </c>
      <c r="H1663">
        <v>0</v>
      </c>
      <c r="I1663">
        <v>0</v>
      </c>
      <c r="J1663">
        <v>0</v>
      </c>
      <c r="K1663">
        <v>0</v>
      </c>
      <c r="L1663">
        <v>0</v>
      </c>
      <c r="M1663">
        <v>0</v>
      </c>
      <c r="N1663">
        <v>0</v>
      </c>
      <c r="O1663" t="str" cm="1">
        <f t="array" ref="O1663">_xlfn.IFS(Table1[[#This Row],[Divorced]]=1, "Divorced", Table1[[#This Row],[Married]]=1, "Married", Table1[[#This Row],[Single]]=1, "Single", Table1[[#This Row],[Together]]=1, "Together", Table1[[#This Row],[Widow]]=1, "Widow")</f>
        <v>Divorced</v>
      </c>
      <c r="P1663" t="str" cm="1">
        <f t="array" ref="P1663">_xlfn.IFS(Table1[[#This Row],[Basic]]=1, "Basic", Table1[[#This Row],[Graduate]]=1, "Graduate", Table1[[#This Row],[Master]]=1, "Master", Table1[[#This Row],[PhD]]=1, "PhD", AND(Table1[[#This Row],[Basic]]=0, Table1[[#This Row],[Graduate]]=0, Table1[[#This Row],[Master]]=0, Table1[[#This Row],[PhD]]=0), "NA")</f>
        <v>NA</v>
      </c>
      <c r="Q1663" t="e">
        <f>_xlfn.XLOOKUP(Table1[[#This Row],[ID]], Table2[ID],#REF!, "Not Found", 0)</f>
        <v>#REF!</v>
      </c>
      <c r="R1663" t="e">
        <f>_xlfn.XLOOKUP(Table1[[#This Row],[ID]], Table2[ID],#REF!, "Not Found", 0)</f>
        <v>#REF!</v>
      </c>
      <c r="S1663" s="3">
        <f>_xlfn.XLOOKUP(Table1[[#This Row],[ID]], Table2[ID], Table2[Enrollment], "Not Found", 0)</f>
        <v>43807</v>
      </c>
      <c r="T1663" t="s">
        <v>434</v>
      </c>
    </row>
    <row r="1664" spans="1:20" x14ac:dyDescent="0.3">
      <c r="A1664">
        <v>1970</v>
      </c>
      <c r="B1664">
        <v>135340</v>
      </c>
      <c r="C1664">
        <v>1</v>
      </c>
      <c r="D1664">
        <v>1</v>
      </c>
      <c r="E1664">
        <v>64</v>
      </c>
      <c r="F1664">
        <v>0</v>
      </c>
      <c r="G1664">
        <v>0</v>
      </c>
      <c r="H1664">
        <v>0</v>
      </c>
      <c r="I1664">
        <v>0</v>
      </c>
      <c r="J1664">
        <v>1</v>
      </c>
      <c r="K1664">
        <v>0</v>
      </c>
      <c r="L1664">
        <v>0</v>
      </c>
      <c r="M1664">
        <v>0</v>
      </c>
      <c r="N1664">
        <v>1</v>
      </c>
      <c r="O1664" t="str" cm="1">
        <f t="array" ref="O1664">_xlfn.IFS(Table1[[#This Row],[Divorced]]=1, "Divorced", Table1[[#This Row],[Married]]=1, "Married", Table1[[#This Row],[Single]]=1, "Single", Table1[[#This Row],[Together]]=1, "Together", Table1[[#This Row],[Widow]]=1, "Widow")</f>
        <v>Widow</v>
      </c>
      <c r="P1664" t="str" cm="1">
        <f t="array" ref="P1664">_xlfn.IFS(Table1[[#This Row],[Basic]]=1, "Basic", Table1[[#This Row],[Graduate]]=1, "Graduate", Table1[[#This Row],[Master]]=1, "Master", Table1[[#This Row],[PhD]]=1, "PhD", AND(Table1[[#This Row],[Basic]]=0, Table1[[#This Row],[Graduate]]=0, Table1[[#This Row],[Master]]=0, Table1[[#This Row],[PhD]]=0), "NA")</f>
        <v>PhD</v>
      </c>
      <c r="Q1664" t="e">
        <f>_xlfn.XLOOKUP(Table1[[#This Row],[ID]], Table2[ID],#REF!, "Not Found", 0)</f>
        <v>#REF!</v>
      </c>
      <c r="R1664" t="e">
        <f>_xlfn.XLOOKUP(Table1[[#This Row],[ID]], Table2[ID],#REF!, "Not Found", 0)</f>
        <v>#REF!</v>
      </c>
      <c r="S1664" s="3">
        <f>_xlfn.XLOOKUP(Table1[[#This Row],[ID]], Table2[ID], Table2[Enrollment], "Not Found", 0)</f>
        <v>43902</v>
      </c>
      <c r="T1664" t="s">
        <v>438</v>
      </c>
    </row>
    <row r="1665" spans="1:20" x14ac:dyDescent="0.3">
      <c r="A1665">
        <v>2148</v>
      </c>
      <c r="B1665">
        <v>135322</v>
      </c>
      <c r="C1665">
        <v>1</v>
      </c>
      <c r="D1665">
        <v>2</v>
      </c>
      <c r="E1665">
        <v>52</v>
      </c>
      <c r="F1665">
        <v>0</v>
      </c>
      <c r="G1665">
        <v>0</v>
      </c>
      <c r="H1665">
        <v>0</v>
      </c>
      <c r="I1665">
        <v>1</v>
      </c>
      <c r="J1665">
        <v>0</v>
      </c>
      <c r="K1665">
        <v>0</v>
      </c>
      <c r="L1665">
        <v>1</v>
      </c>
      <c r="M1665">
        <v>0</v>
      </c>
      <c r="N1665">
        <v>0</v>
      </c>
      <c r="O1665" t="str" cm="1">
        <f t="array" ref="O1665">_xlfn.IFS(Table1[[#This Row],[Divorced]]=1, "Divorced", Table1[[#This Row],[Married]]=1, "Married", Table1[[#This Row],[Single]]=1, "Single", Table1[[#This Row],[Together]]=1, "Together", Table1[[#This Row],[Widow]]=1, "Widow")</f>
        <v>Together</v>
      </c>
      <c r="P1665" t="str" cm="1">
        <f t="array" ref="P1665">_xlfn.IFS(Table1[[#This Row],[Basic]]=1, "Basic", Table1[[#This Row],[Graduate]]=1, "Graduate", Table1[[#This Row],[Master]]=1, "Master", Table1[[#This Row],[PhD]]=1, "PhD", AND(Table1[[#This Row],[Basic]]=0, Table1[[#This Row],[Graduate]]=0, Table1[[#This Row],[Master]]=0, Table1[[#This Row],[PhD]]=0), "NA")</f>
        <v>Graduate</v>
      </c>
      <c r="Q1665" t="e">
        <f>_xlfn.XLOOKUP(Table1[[#This Row],[ID]], Table2[ID],#REF!, "Not Found", 0)</f>
        <v>#REF!</v>
      </c>
      <c r="R1665" t="e">
        <f>_xlfn.XLOOKUP(Table1[[#This Row],[ID]], Table2[ID],#REF!, "Not Found", 0)</f>
        <v>#REF!</v>
      </c>
      <c r="S1665" s="3" t="str">
        <f>_xlfn.XLOOKUP(Table1[[#This Row],[ID]], Table2[ID], Table2[Enrollment], "Not Found", 0)</f>
        <v>1/27/2019</v>
      </c>
      <c r="T1665" t="s">
        <v>436</v>
      </c>
    </row>
    <row r="1666" spans="1:20" x14ac:dyDescent="0.3">
      <c r="A1666">
        <v>1287</v>
      </c>
      <c r="B1666">
        <v>135246</v>
      </c>
      <c r="C1666">
        <v>1</v>
      </c>
      <c r="D1666">
        <v>1</v>
      </c>
      <c r="E1666">
        <v>62</v>
      </c>
      <c r="F1666">
        <v>1</v>
      </c>
      <c r="G1666">
        <v>0</v>
      </c>
      <c r="H1666">
        <v>0</v>
      </c>
      <c r="I1666">
        <v>0</v>
      </c>
      <c r="J1666">
        <v>0</v>
      </c>
      <c r="K1666">
        <v>0</v>
      </c>
      <c r="L1666">
        <v>1</v>
      </c>
      <c r="M1666">
        <v>0</v>
      </c>
      <c r="N1666">
        <v>0</v>
      </c>
      <c r="O1666" t="str" cm="1">
        <f t="array" ref="O1666">_xlfn.IFS(Table1[[#This Row],[Divorced]]=1, "Divorced", Table1[[#This Row],[Married]]=1, "Married", Table1[[#This Row],[Single]]=1, "Single", Table1[[#This Row],[Together]]=1, "Together", Table1[[#This Row],[Widow]]=1, "Widow")</f>
        <v>Divorced</v>
      </c>
      <c r="P1666" t="str" cm="1">
        <f t="array" ref="P1666">_xlfn.IFS(Table1[[#This Row],[Basic]]=1, "Basic", Table1[[#This Row],[Graduate]]=1, "Graduate", Table1[[#This Row],[Master]]=1, "Master", Table1[[#This Row],[PhD]]=1, "PhD", AND(Table1[[#This Row],[Basic]]=0, Table1[[#This Row],[Graduate]]=0, Table1[[#This Row],[Master]]=0, Table1[[#This Row],[PhD]]=0), "NA")</f>
        <v>Graduate</v>
      </c>
      <c r="Q1666" t="e">
        <f>_xlfn.XLOOKUP(Table1[[#This Row],[ID]], Table2[ID],#REF!, "Not Found", 0)</f>
        <v>#REF!</v>
      </c>
      <c r="R1666" t="e">
        <f>_xlfn.XLOOKUP(Table1[[#This Row],[ID]], Table2[ID],#REF!, "Not Found", 0)</f>
        <v>#REF!</v>
      </c>
      <c r="S1666" s="3" t="str">
        <f>_xlfn.XLOOKUP(Table1[[#This Row],[ID]], Table2[ID], Table2[Enrollment], "Not Found", 0)</f>
        <v>9/20/2020</v>
      </c>
      <c r="T1666" t="s">
        <v>435</v>
      </c>
    </row>
    <row r="1667" spans="1:20" x14ac:dyDescent="0.3">
      <c r="A1667">
        <v>2029</v>
      </c>
      <c r="B1667">
        <v>135196</v>
      </c>
      <c r="C1667">
        <v>1</v>
      </c>
      <c r="D1667">
        <v>0</v>
      </c>
      <c r="E1667">
        <v>36</v>
      </c>
      <c r="F1667">
        <v>0</v>
      </c>
      <c r="G1667">
        <v>0</v>
      </c>
      <c r="H1667">
        <v>0</v>
      </c>
      <c r="I1667">
        <v>1</v>
      </c>
      <c r="J1667">
        <v>0</v>
      </c>
      <c r="K1667">
        <v>0</v>
      </c>
      <c r="L1667">
        <v>1</v>
      </c>
      <c r="M1667">
        <v>0</v>
      </c>
      <c r="N1667">
        <v>0</v>
      </c>
      <c r="O1667" t="str" cm="1">
        <f t="array" ref="O1667">_xlfn.IFS(Table1[[#This Row],[Divorced]]=1, "Divorced", Table1[[#This Row],[Married]]=1, "Married", Table1[[#This Row],[Single]]=1, "Single", Table1[[#This Row],[Together]]=1, "Together", Table1[[#This Row],[Widow]]=1, "Widow")</f>
        <v>Together</v>
      </c>
      <c r="P1667" t="str" cm="1">
        <f t="array" ref="P1667">_xlfn.IFS(Table1[[#This Row],[Basic]]=1, "Basic", Table1[[#This Row],[Graduate]]=1, "Graduate", Table1[[#This Row],[Master]]=1, "Master", Table1[[#This Row],[PhD]]=1, "PhD", AND(Table1[[#This Row],[Basic]]=0, Table1[[#This Row],[Graduate]]=0, Table1[[#This Row],[Master]]=0, Table1[[#This Row],[PhD]]=0), "NA")</f>
        <v>Graduate</v>
      </c>
      <c r="Q1667" t="e">
        <f>_xlfn.XLOOKUP(Table1[[#This Row],[ID]], Table2[ID],#REF!, "Not Found", 0)</f>
        <v>#REF!</v>
      </c>
      <c r="R1667" t="e">
        <f>_xlfn.XLOOKUP(Table1[[#This Row],[ID]], Table2[ID],#REF!, "Not Found", 0)</f>
        <v>#REF!</v>
      </c>
      <c r="S1667" s="3" t="str">
        <f>_xlfn.XLOOKUP(Table1[[#This Row],[ID]], Table2[ID], Table2[Enrollment], "Not Found", 0)</f>
        <v>4/20/2019</v>
      </c>
      <c r="T1667" t="s">
        <v>437</v>
      </c>
    </row>
    <row r="1668" spans="1:20" x14ac:dyDescent="0.3">
      <c r="A1668">
        <v>2690</v>
      </c>
      <c r="B1668">
        <v>135196</v>
      </c>
      <c r="C1668">
        <v>1</v>
      </c>
      <c r="D1668">
        <v>0</v>
      </c>
      <c r="E1668">
        <v>36</v>
      </c>
      <c r="F1668">
        <v>0</v>
      </c>
      <c r="G1668">
        <v>0</v>
      </c>
      <c r="H1668">
        <v>0</v>
      </c>
      <c r="I1668">
        <v>1</v>
      </c>
      <c r="J1668">
        <v>0</v>
      </c>
      <c r="K1668">
        <v>0</v>
      </c>
      <c r="L1668">
        <v>1</v>
      </c>
      <c r="M1668">
        <v>0</v>
      </c>
      <c r="N1668">
        <v>0</v>
      </c>
      <c r="O1668" t="str" cm="1">
        <f t="array" ref="O1668">_xlfn.IFS(Table1[[#This Row],[Divorced]]=1, "Divorced", Table1[[#This Row],[Married]]=1, "Married", Table1[[#This Row],[Single]]=1, "Single", Table1[[#This Row],[Together]]=1, "Together", Table1[[#This Row],[Widow]]=1, "Widow")</f>
        <v>Together</v>
      </c>
      <c r="P1668" t="str" cm="1">
        <f t="array" ref="P1668">_xlfn.IFS(Table1[[#This Row],[Basic]]=1, "Basic", Table1[[#This Row],[Graduate]]=1, "Graduate", Table1[[#This Row],[Master]]=1, "Master", Table1[[#This Row],[PhD]]=1, "PhD", AND(Table1[[#This Row],[Basic]]=0, Table1[[#This Row],[Graduate]]=0, Table1[[#This Row],[Master]]=0, Table1[[#This Row],[PhD]]=0), "NA")</f>
        <v>Graduate</v>
      </c>
      <c r="Q1668" t="e">
        <f>_xlfn.XLOOKUP(Table1[[#This Row],[ID]], Table2[ID],#REF!, "Not Found", 0)</f>
        <v>#REF!</v>
      </c>
      <c r="R1668" t="e">
        <f>_xlfn.XLOOKUP(Table1[[#This Row],[ID]], Table2[ID],#REF!, "Not Found", 0)</f>
        <v>#REF!</v>
      </c>
      <c r="S1668" s="3" t="str">
        <f>_xlfn.XLOOKUP(Table1[[#This Row],[ID]], Table2[ID], Table2[Enrollment], "Not Found", 0)</f>
        <v>4/20/2019</v>
      </c>
      <c r="T1668" t="s">
        <v>438</v>
      </c>
    </row>
    <row r="1669" spans="1:20" x14ac:dyDescent="0.3">
      <c r="A1669">
        <v>1318</v>
      </c>
      <c r="B1669">
        <v>135178</v>
      </c>
      <c r="C1669">
        <v>1</v>
      </c>
      <c r="D1669">
        <v>0</v>
      </c>
      <c r="E1669">
        <v>49</v>
      </c>
      <c r="F1669">
        <v>0</v>
      </c>
      <c r="G1669">
        <v>1</v>
      </c>
      <c r="H1669">
        <v>0</v>
      </c>
      <c r="I1669">
        <v>0</v>
      </c>
      <c r="J1669">
        <v>0</v>
      </c>
      <c r="K1669">
        <v>0</v>
      </c>
      <c r="L1669">
        <v>0</v>
      </c>
      <c r="M1669">
        <v>1</v>
      </c>
      <c r="N1669">
        <v>0</v>
      </c>
      <c r="O1669" t="str" cm="1">
        <f t="array" ref="O1669">_xlfn.IFS(Table1[[#This Row],[Divorced]]=1, "Divorced", Table1[[#This Row],[Married]]=1, "Married", Table1[[#This Row],[Single]]=1, "Single", Table1[[#This Row],[Together]]=1, "Together", Table1[[#This Row],[Widow]]=1, "Widow")</f>
        <v>Married</v>
      </c>
      <c r="P1669" t="str" cm="1">
        <f t="array" ref="P1669">_xlfn.IFS(Table1[[#This Row],[Basic]]=1, "Basic", Table1[[#This Row],[Graduate]]=1, "Graduate", Table1[[#This Row],[Master]]=1, "Master", Table1[[#This Row],[PhD]]=1, "PhD", AND(Table1[[#This Row],[Basic]]=0, Table1[[#This Row],[Graduate]]=0, Table1[[#This Row],[Master]]=0, Table1[[#This Row],[PhD]]=0), "NA")</f>
        <v>Master</v>
      </c>
      <c r="Q1669" t="e">
        <f>_xlfn.XLOOKUP(Table1[[#This Row],[ID]], Table2[ID],#REF!, "Not Found", 0)</f>
        <v>#REF!</v>
      </c>
      <c r="R1669" t="e">
        <f>_xlfn.XLOOKUP(Table1[[#This Row],[ID]], Table2[ID],#REF!, "Not Found", 0)</f>
        <v>#REF!</v>
      </c>
      <c r="S1669" s="3" t="str">
        <f>_xlfn.XLOOKUP(Table1[[#This Row],[ID]], Table2[ID], Table2[Enrollment], "Not Found", 0)</f>
        <v>6/17/2019</v>
      </c>
      <c r="T1669" t="s">
        <v>439</v>
      </c>
    </row>
    <row r="1670" spans="1:20" x14ac:dyDescent="0.3">
      <c r="A1670">
        <v>1690</v>
      </c>
      <c r="B1670">
        <v>135178</v>
      </c>
      <c r="C1670">
        <v>1</v>
      </c>
      <c r="D1670">
        <v>0</v>
      </c>
      <c r="E1670">
        <v>49</v>
      </c>
      <c r="F1670">
        <v>0</v>
      </c>
      <c r="G1670">
        <v>1</v>
      </c>
      <c r="H1670">
        <v>0</v>
      </c>
      <c r="I1670">
        <v>0</v>
      </c>
      <c r="J1670">
        <v>0</v>
      </c>
      <c r="K1670">
        <v>0</v>
      </c>
      <c r="L1670">
        <v>0</v>
      </c>
      <c r="M1670">
        <v>1</v>
      </c>
      <c r="N1670">
        <v>0</v>
      </c>
      <c r="O1670" t="str" cm="1">
        <f t="array" ref="O1670">_xlfn.IFS(Table1[[#This Row],[Divorced]]=1, "Divorced", Table1[[#This Row],[Married]]=1, "Married", Table1[[#This Row],[Single]]=1, "Single", Table1[[#This Row],[Together]]=1, "Together", Table1[[#This Row],[Widow]]=1, "Widow")</f>
        <v>Married</v>
      </c>
      <c r="P1670" t="str" cm="1">
        <f t="array" ref="P1670">_xlfn.IFS(Table1[[#This Row],[Basic]]=1, "Basic", Table1[[#This Row],[Graduate]]=1, "Graduate", Table1[[#This Row],[Master]]=1, "Master", Table1[[#This Row],[PhD]]=1, "PhD", AND(Table1[[#This Row],[Basic]]=0, Table1[[#This Row],[Graduate]]=0, Table1[[#This Row],[Master]]=0, Table1[[#This Row],[PhD]]=0), "NA")</f>
        <v>Master</v>
      </c>
      <c r="Q1670" t="e">
        <f>_xlfn.XLOOKUP(Table1[[#This Row],[ID]], Table2[ID],#REF!, "Not Found", 0)</f>
        <v>#REF!</v>
      </c>
      <c r="R1670" t="e">
        <f>_xlfn.XLOOKUP(Table1[[#This Row],[ID]], Table2[ID],#REF!, "Not Found", 0)</f>
        <v>#REF!</v>
      </c>
      <c r="S1670" s="3" t="str">
        <f>_xlfn.XLOOKUP(Table1[[#This Row],[ID]], Table2[ID], Table2[Enrollment], "Not Found", 0)</f>
        <v>6/17/2019</v>
      </c>
      <c r="T1670" t="s">
        <v>439</v>
      </c>
    </row>
    <row r="1671" spans="1:20" x14ac:dyDescent="0.3">
      <c r="A1671">
        <v>2910</v>
      </c>
      <c r="B1671">
        <v>134984</v>
      </c>
      <c r="C1671">
        <v>1</v>
      </c>
      <c r="D1671">
        <v>1</v>
      </c>
      <c r="E1671">
        <v>45</v>
      </c>
      <c r="F1671">
        <v>0</v>
      </c>
      <c r="G1671">
        <v>0</v>
      </c>
      <c r="H1671">
        <v>0</v>
      </c>
      <c r="I1671">
        <v>1</v>
      </c>
      <c r="J1671">
        <v>0</v>
      </c>
      <c r="K1671">
        <v>0</v>
      </c>
      <c r="L1671">
        <v>0</v>
      </c>
      <c r="M1671">
        <v>0</v>
      </c>
      <c r="N1671">
        <v>0</v>
      </c>
      <c r="O1671" t="str" cm="1">
        <f t="array" ref="O1671">_xlfn.IFS(Table1[[#This Row],[Divorced]]=1, "Divorced", Table1[[#This Row],[Married]]=1, "Married", Table1[[#This Row],[Single]]=1, "Single", Table1[[#This Row],[Together]]=1, "Together", Table1[[#This Row],[Widow]]=1, "Widow")</f>
        <v>Together</v>
      </c>
      <c r="P1671" t="str" cm="1">
        <f t="array" ref="P1671">_xlfn.IFS(Table1[[#This Row],[Basic]]=1, "Basic", Table1[[#This Row],[Graduate]]=1, "Graduate", Table1[[#This Row],[Master]]=1, "Master", Table1[[#This Row],[PhD]]=1, "PhD", AND(Table1[[#This Row],[Basic]]=0, Table1[[#This Row],[Graduate]]=0, Table1[[#This Row],[Master]]=0, Table1[[#This Row],[PhD]]=0), "NA")</f>
        <v>NA</v>
      </c>
      <c r="Q1671" t="e">
        <f>_xlfn.XLOOKUP(Table1[[#This Row],[ID]], Table2[ID],#REF!, "Not Found", 0)</f>
        <v>#REF!</v>
      </c>
      <c r="R1671" t="e">
        <f>_xlfn.XLOOKUP(Table1[[#This Row],[ID]], Table2[ID],#REF!, "Not Found", 0)</f>
        <v>#REF!</v>
      </c>
      <c r="S1671" s="3">
        <f>_xlfn.XLOOKUP(Table1[[#This Row],[ID]], Table2[ID], Table2[Enrollment], "Not Found", 0)</f>
        <v>43771</v>
      </c>
      <c r="T1671" t="s">
        <v>436</v>
      </c>
    </row>
    <row r="1672" spans="1:20" x14ac:dyDescent="0.3">
      <c r="A1672">
        <v>2564</v>
      </c>
      <c r="B1672">
        <v>134968</v>
      </c>
      <c r="C1672">
        <v>1</v>
      </c>
      <c r="D1672">
        <v>0</v>
      </c>
      <c r="E1672">
        <v>40</v>
      </c>
      <c r="F1672">
        <v>0</v>
      </c>
      <c r="G1672">
        <v>1</v>
      </c>
      <c r="H1672">
        <v>0</v>
      </c>
      <c r="I1672">
        <v>0</v>
      </c>
      <c r="J1672">
        <v>0</v>
      </c>
      <c r="K1672">
        <v>0</v>
      </c>
      <c r="L1672">
        <v>1</v>
      </c>
      <c r="M1672">
        <v>0</v>
      </c>
      <c r="N1672">
        <v>0</v>
      </c>
      <c r="O1672" t="str" cm="1">
        <f t="array" ref="O1672">_xlfn.IFS(Table1[[#This Row],[Divorced]]=1, "Divorced", Table1[[#This Row],[Married]]=1, "Married", Table1[[#This Row],[Single]]=1, "Single", Table1[[#This Row],[Together]]=1, "Together", Table1[[#This Row],[Widow]]=1, "Widow")</f>
        <v>Married</v>
      </c>
      <c r="P1672" t="str" cm="1">
        <f t="array" ref="P1672">_xlfn.IFS(Table1[[#This Row],[Basic]]=1, "Basic", Table1[[#This Row],[Graduate]]=1, "Graduate", Table1[[#This Row],[Master]]=1, "Master", Table1[[#This Row],[PhD]]=1, "PhD", AND(Table1[[#This Row],[Basic]]=0, Table1[[#This Row],[Graduate]]=0, Table1[[#This Row],[Master]]=0, Table1[[#This Row],[PhD]]=0), "NA")</f>
        <v>Graduate</v>
      </c>
      <c r="Q1672" t="e">
        <f>_xlfn.XLOOKUP(Table1[[#This Row],[ID]], Table2[ID],#REF!, "Not Found", 0)</f>
        <v>#REF!</v>
      </c>
      <c r="R1672" t="e">
        <f>_xlfn.XLOOKUP(Table1[[#This Row],[ID]], Table2[ID],#REF!, "Not Found", 0)</f>
        <v>#REF!</v>
      </c>
      <c r="S1672" s="3" t="str">
        <f>_xlfn.XLOOKUP(Table1[[#This Row],[ID]], Table2[ID], Table2[Enrollment], "Not Found", 0)</f>
        <v>9/15/2019</v>
      </c>
      <c r="T1672" t="s">
        <v>438</v>
      </c>
    </row>
    <row r="1673" spans="1:20" x14ac:dyDescent="0.3">
      <c r="A1673">
        <v>2001</v>
      </c>
      <c r="B1673">
        <v>134961</v>
      </c>
      <c r="C1673">
        <v>1</v>
      </c>
      <c r="D1673">
        <v>0</v>
      </c>
      <c r="E1673">
        <v>47</v>
      </c>
      <c r="F1673">
        <v>0</v>
      </c>
      <c r="G1673">
        <v>1</v>
      </c>
      <c r="H1673">
        <v>0</v>
      </c>
      <c r="I1673">
        <v>0</v>
      </c>
      <c r="J1673">
        <v>0</v>
      </c>
      <c r="K1673">
        <v>0</v>
      </c>
      <c r="L1673">
        <v>1</v>
      </c>
      <c r="M1673">
        <v>0</v>
      </c>
      <c r="N1673">
        <v>0</v>
      </c>
      <c r="O1673" t="str" cm="1">
        <f t="array" ref="O1673">_xlfn.IFS(Table1[[#This Row],[Divorced]]=1, "Divorced", Table1[[#This Row],[Married]]=1, "Married", Table1[[#This Row],[Single]]=1, "Single", Table1[[#This Row],[Together]]=1, "Together", Table1[[#This Row],[Widow]]=1, "Widow")</f>
        <v>Married</v>
      </c>
      <c r="P1673" t="str" cm="1">
        <f t="array" ref="P1673">_xlfn.IFS(Table1[[#This Row],[Basic]]=1, "Basic", Table1[[#This Row],[Graduate]]=1, "Graduate", Table1[[#This Row],[Master]]=1, "Master", Table1[[#This Row],[PhD]]=1, "PhD", AND(Table1[[#This Row],[Basic]]=0, Table1[[#This Row],[Graduate]]=0, Table1[[#This Row],[Master]]=0, Table1[[#This Row],[PhD]]=0), "NA")</f>
        <v>Graduate</v>
      </c>
      <c r="Q1673" t="e">
        <f>_xlfn.XLOOKUP(Table1[[#This Row],[ID]], Table2[ID],#REF!, "Not Found", 0)</f>
        <v>#REF!</v>
      </c>
      <c r="R1673" t="e">
        <f>_xlfn.XLOOKUP(Table1[[#This Row],[ID]], Table2[ID],#REF!, "Not Found", 0)</f>
        <v>#REF!</v>
      </c>
      <c r="S1673" s="3" t="str">
        <f>_xlfn.XLOOKUP(Table1[[#This Row],[ID]], Table2[ID], Table2[Enrollment], "Not Found", 0)</f>
        <v>11/23/2020</v>
      </c>
      <c r="T1673" t="s">
        <v>435</v>
      </c>
    </row>
    <row r="1674" spans="1:20" x14ac:dyDescent="0.3">
      <c r="A1674">
        <v>1722</v>
      </c>
      <c r="B1674">
        <v>134941</v>
      </c>
      <c r="C1674">
        <v>1</v>
      </c>
      <c r="D1674">
        <v>1</v>
      </c>
      <c r="E1674">
        <v>64</v>
      </c>
      <c r="F1674">
        <v>0</v>
      </c>
      <c r="G1674">
        <v>0</v>
      </c>
      <c r="H1674">
        <v>0</v>
      </c>
      <c r="I1674">
        <v>1</v>
      </c>
      <c r="J1674">
        <v>0</v>
      </c>
      <c r="K1674">
        <v>0</v>
      </c>
      <c r="L1674">
        <v>0</v>
      </c>
      <c r="M1674">
        <v>1</v>
      </c>
      <c r="N1674">
        <v>0</v>
      </c>
      <c r="O1674" t="str" cm="1">
        <f t="array" ref="O1674">_xlfn.IFS(Table1[[#This Row],[Divorced]]=1, "Divorced", Table1[[#This Row],[Married]]=1, "Married", Table1[[#This Row],[Single]]=1, "Single", Table1[[#This Row],[Together]]=1, "Together", Table1[[#This Row],[Widow]]=1, "Widow")</f>
        <v>Together</v>
      </c>
      <c r="P1674" t="str" cm="1">
        <f t="array" ref="P1674">_xlfn.IFS(Table1[[#This Row],[Basic]]=1, "Basic", Table1[[#This Row],[Graduate]]=1, "Graduate", Table1[[#This Row],[Master]]=1, "Master", Table1[[#This Row],[PhD]]=1, "PhD", AND(Table1[[#This Row],[Basic]]=0, Table1[[#This Row],[Graduate]]=0, Table1[[#This Row],[Master]]=0, Table1[[#This Row],[PhD]]=0), "NA")</f>
        <v>Master</v>
      </c>
      <c r="Q1674" t="e">
        <f>_xlfn.XLOOKUP(Table1[[#This Row],[ID]], Table2[ID],#REF!, "Not Found", 0)</f>
        <v>#REF!</v>
      </c>
      <c r="R1674" t="e">
        <f>_xlfn.XLOOKUP(Table1[[#This Row],[ID]], Table2[ID],#REF!, "Not Found", 0)</f>
        <v>#REF!</v>
      </c>
      <c r="S1674" s="3">
        <f>_xlfn.XLOOKUP(Table1[[#This Row],[ID]], Table2[ID], Table2[Enrollment], "Not Found", 0)</f>
        <v>43777</v>
      </c>
      <c r="T1674" t="s">
        <v>436</v>
      </c>
    </row>
    <row r="1675" spans="1:20" x14ac:dyDescent="0.3">
      <c r="A1675">
        <v>1492</v>
      </c>
      <c r="B1675">
        <v>134935</v>
      </c>
      <c r="C1675">
        <v>0</v>
      </c>
      <c r="D1675">
        <v>0</v>
      </c>
      <c r="E1675">
        <v>28</v>
      </c>
      <c r="F1675">
        <v>0</v>
      </c>
      <c r="G1675">
        <v>1</v>
      </c>
      <c r="H1675">
        <v>0</v>
      </c>
      <c r="I1675">
        <v>0</v>
      </c>
      <c r="J1675">
        <v>0</v>
      </c>
      <c r="K1675">
        <v>0</v>
      </c>
      <c r="L1675">
        <v>1</v>
      </c>
      <c r="M1675">
        <v>0</v>
      </c>
      <c r="N1675">
        <v>0</v>
      </c>
      <c r="O1675" t="str" cm="1">
        <f t="array" ref="O1675">_xlfn.IFS(Table1[[#This Row],[Divorced]]=1, "Divorced", Table1[[#This Row],[Married]]=1, "Married", Table1[[#This Row],[Single]]=1, "Single", Table1[[#This Row],[Together]]=1, "Together", Table1[[#This Row],[Widow]]=1, "Widow")</f>
        <v>Married</v>
      </c>
      <c r="P1675" t="str" cm="1">
        <f t="array" ref="P1675">_xlfn.IFS(Table1[[#This Row],[Basic]]=1, "Basic", Table1[[#This Row],[Graduate]]=1, "Graduate", Table1[[#This Row],[Master]]=1, "Master", Table1[[#This Row],[PhD]]=1, "PhD", AND(Table1[[#This Row],[Basic]]=0, Table1[[#This Row],[Graduate]]=0, Table1[[#This Row],[Master]]=0, Table1[[#This Row],[PhD]]=0), "NA")</f>
        <v>Graduate</v>
      </c>
      <c r="Q1675" t="e">
        <f>_xlfn.XLOOKUP(Table1[[#This Row],[ID]], Table2[ID],#REF!, "Not Found", 0)</f>
        <v>#REF!</v>
      </c>
      <c r="R1675" t="e">
        <f>_xlfn.XLOOKUP(Table1[[#This Row],[ID]], Table2[ID],#REF!, "Not Found", 0)</f>
        <v>#REF!</v>
      </c>
      <c r="S1675" s="3" t="str">
        <f>_xlfn.XLOOKUP(Table1[[#This Row],[ID]], Table2[ID], Table2[Enrollment], "Not Found", 0)</f>
        <v>11/26/2019</v>
      </c>
      <c r="T1675" t="s">
        <v>439</v>
      </c>
    </row>
    <row r="1676" spans="1:20" x14ac:dyDescent="0.3">
      <c r="A1676">
        <v>2554</v>
      </c>
      <c r="B1676">
        <v>134935</v>
      </c>
      <c r="C1676">
        <v>0</v>
      </c>
      <c r="D1676">
        <v>0</v>
      </c>
      <c r="E1676">
        <v>28</v>
      </c>
      <c r="F1676">
        <v>0</v>
      </c>
      <c r="G1676">
        <v>1</v>
      </c>
      <c r="H1676">
        <v>0</v>
      </c>
      <c r="I1676">
        <v>0</v>
      </c>
      <c r="J1676">
        <v>0</v>
      </c>
      <c r="K1676">
        <v>0</v>
      </c>
      <c r="L1676">
        <v>1</v>
      </c>
      <c r="M1676">
        <v>0</v>
      </c>
      <c r="N1676">
        <v>0</v>
      </c>
      <c r="O1676" t="str" cm="1">
        <f t="array" ref="O1676">_xlfn.IFS(Table1[[#This Row],[Divorced]]=1, "Divorced", Table1[[#This Row],[Married]]=1, "Married", Table1[[#This Row],[Single]]=1, "Single", Table1[[#This Row],[Together]]=1, "Together", Table1[[#This Row],[Widow]]=1, "Widow")</f>
        <v>Married</v>
      </c>
      <c r="P1676" t="str" cm="1">
        <f t="array" ref="P1676">_xlfn.IFS(Table1[[#This Row],[Basic]]=1, "Basic", Table1[[#This Row],[Graduate]]=1, "Graduate", Table1[[#This Row],[Master]]=1, "Master", Table1[[#This Row],[PhD]]=1, "PhD", AND(Table1[[#This Row],[Basic]]=0, Table1[[#This Row],[Graduate]]=0, Table1[[#This Row],[Master]]=0, Table1[[#This Row],[PhD]]=0), "NA")</f>
        <v>Graduate</v>
      </c>
      <c r="Q1676" t="e">
        <f>_xlfn.XLOOKUP(Table1[[#This Row],[ID]], Table2[ID],#REF!, "Not Found", 0)</f>
        <v>#REF!</v>
      </c>
      <c r="R1676" t="e">
        <f>_xlfn.XLOOKUP(Table1[[#This Row],[ID]], Table2[ID],#REF!, "Not Found", 0)</f>
        <v>#REF!</v>
      </c>
      <c r="S1676" s="3" t="str">
        <f>_xlfn.XLOOKUP(Table1[[#This Row],[ID]], Table2[ID], Table2[Enrollment], "Not Found", 0)</f>
        <v>11/26/2019</v>
      </c>
      <c r="T1676" t="s">
        <v>439</v>
      </c>
    </row>
    <row r="1677" spans="1:20" x14ac:dyDescent="0.3">
      <c r="A1677">
        <v>2636</v>
      </c>
      <c r="B1677">
        <v>134916</v>
      </c>
      <c r="C1677">
        <v>2</v>
      </c>
      <c r="D1677">
        <v>0</v>
      </c>
      <c r="E1677">
        <v>52</v>
      </c>
      <c r="F1677">
        <v>0</v>
      </c>
      <c r="G1677">
        <v>0</v>
      </c>
      <c r="H1677">
        <v>0</v>
      </c>
      <c r="I1677">
        <v>1</v>
      </c>
      <c r="J1677">
        <v>0</v>
      </c>
      <c r="K1677">
        <v>0</v>
      </c>
      <c r="L1677">
        <v>1</v>
      </c>
      <c r="M1677">
        <v>0</v>
      </c>
      <c r="N1677">
        <v>0</v>
      </c>
      <c r="O1677" t="str" cm="1">
        <f t="array" ref="O1677">_xlfn.IFS(Table1[[#This Row],[Divorced]]=1, "Divorced", Table1[[#This Row],[Married]]=1, "Married", Table1[[#This Row],[Single]]=1, "Single", Table1[[#This Row],[Together]]=1, "Together", Table1[[#This Row],[Widow]]=1, "Widow")</f>
        <v>Together</v>
      </c>
      <c r="P1677" t="str" cm="1">
        <f t="array" ref="P1677">_xlfn.IFS(Table1[[#This Row],[Basic]]=1, "Basic", Table1[[#This Row],[Graduate]]=1, "Graduate", Table1[[#This Row],[Master]]=1, "Master", Table1[[#This Row],[PhD]]=1, "PhD", AND(Table1[[#This Row],[Basic]]=0, Table1[[#This Row],[Graduate]]=0, Table1[[#This Row],[Master]]=0, Table1[[#This Row],[PhD]]=0), "NA")</f>
        <v>Graduate</v>
      </c>
      <c r="Q1677" t="e">
        <f>_xlfn.XLOOKUP(Table1[[#This Row],[ID]], Table2[ID],#REF!, "Not Found", 0)</f>
        <v>#REF!</v>
      </c>
      <c r="R1677" t="e">
        <f>_xlfn.XLOOKUP(Table1[[#This Row],[ID]], Table2[ID],#REF!, "Not Found", 0)</f>
        <v>#REF!</v>
      </c>
      <c r="S1677" s="3" t="str">
        <f>_xlfn.XLOOKUP(Table1[[#This Row],[ID]], Table2[ID], Table2[Enrollment], "Not Found", 0)</f>
        <v>10/20/2019</v>
      </c>
      <c r="T1677" t="s">
        <v>438</v>
      </c>
    </row>
    <row r="1678" spans="1:20" x14ac:dyDescent="0.3">
      <c r="A1678">
        <v>2409</v>
      </c>
      <c r="B1678">
        <v>134853</v>
      </c>
      <c r="C1678">
        <v>1</v>
      </c>
      <c r="D1678">
        <v>1</v>
      </c>
      <c r="E1678">
        <v>47</v>
      </c>
      <c r="F1678">
        <v>0</v>
      </c>
      <c r="G1678">
        <v>0</v>
      </c>
      <c r="H1678">
        <v>1</v>
      </c>
      <c r="I1678">
        <v>0</v>
      </c>
      <c r="J1678">
        <v>0</v>
      </c>
      <c r="K1678">
        <v>0</v>
      </c>
      <c r="L1678">
        <v>1</v>
      </c>
      <c r="M1678">
        <v>0</v>
      </c>
      <c r="N1678">
        <v>0</v>
      </c>
      <c r="O1678" t="str" cm="1">
        <f t="array" ref="O1678">_xlfn.IFS(Table1[[#This Row],[Divorced]]=1, "Divorced", Table1[[#This Row],[Married]]=1, "Married", Table1[[#This Row],[Single]]=1, "Single", Table1[[#This Row],[Together]]=1, "Together", Table1[[#This Row],[Widow]]=1, "Widow")</f>
        <v>Single</v>
      </c>
      <c r="P1678" t="str" cm="1">
        <f t="array" ref="P1678">_xlfn.IFS(Table1[[#This Row],[Basic]]=1, "Basic", Table1[[#This Row],[Graduate]]=1, "Graduate", Table1[[#This Row],[Master]]=1, "Master", Table1[[#This Row],[PhD]]=1, "PhD", AND(Table1[[#This Row],[Basic]]=0, Table1[[#This Row],[Graduate]]=0, Table1[[#This Row],[Master]]=0, Table1[[#This Row],[PhD]]=0), "NA")</f>
        <v>Graduate</v>
      </c>
      <c r="Q1678" t="e">
        <f>_xlfn.XLOOKUP(Table1[[#This Row],[ID]], Table2[ID],#REF!, "Not Found", 0)</f>
        <v>#REF!</v>
      </c>
      <c r="R1678" t="e">
        <f>_xlfn.XLOOKUP(Table1[[#This Row],[ID]], Table2[ID],#REF!, "Not Found", 0)</f>
        <v>#REF!</v>
      </c>
      <c r="S1678" s="3" t="str">
        <f>_xlfn.XLOOKUP(Table1[[#This Row],[ID]], Table2[ID], Table2[Enrollment], "Not Found", 0)</f>
        <v>5/29/2020</v>
      </c>
      <c r="T1678" t="s">
        <v>435</v>
      </c>
    </row>
    <row r="1679" spans="1:20" x14ac:dyDescent="0.3">
      <c r="A1679">
        <v>1783</v>
      </c>
      <c r="B1679">
        <v>134838</v>
      </c>
      <c r="C1679">
        <v>1</v>
      </c>
      <c r="D1679">
        <v>1</v>
      </c>
      <c r="E1679">
        <v>69</v>
      </c>
      <c r="F1679">
        <v>0</v>
      </c>
      <c r="G1679">
        <v>1</v>
      </c>
      <c r="H1679">
        <v>0</v>
      </c>
      <c r="I1679">
        <v>0</v>
      </c>
      <c r="J1679">
        <v>0</v>
      </c>
      <c r="K1679">
        <v>0</v>
      </c>
      <c r="L1679">
        <v>1</v>
      </c>
      <c r="M1679">
        <v>0</v>
      </c>
      <c r="N1679">
        <v>0</v>
      </c>
      <c r="O1679" t="str" cm="1">
        <f t="array" ref="O1679">_xlfn.IFS(Table1[[#This Row],[Divorced]]=1, "Divorced", Table1[[#This Row],[Married]]=1, "Married", Table1[[#This Row],[Single]]=1, "Single", Table1[[#This Row],[Together]]=1, "Together", Table1[[#This Row],[Widow]]=1, "Widow")</f>
        <v>Married</v>
      </c>
      <c r="P1679" t="str" cm="1">
        <f t="array" ref="P1679">_xlfn.IFS(Table1[[#This Row],[Basic]]=1, "Basic", Table1[[#This Row],[Graduate]]=1, "Graduate", Table1[[#This Row],[Master]]=1, "Master", Table1[[#This Row],[PhD]]=1, "PhD", AND(Table1[[#This Row],[Basic]]=0, Table1[[#This Row],[Graduate]]=0, Table1[[#This Row],[Master]]=0, Table1[[#This Row],[PhD]]=0), "NA")</f>
        <v>Graduate</v>
      </c>
      <c r="Q1679" t="e">
        <f>_xlfn.XLOOKUP(Table1[[#This Row],[ID]], Table2[ID],#REF!, "Not Found", 0)</f>
        <v>#REF!</v>
      </c>
      <c r="R1679" t="e">
        <f>_xlfn.XLOOKUP(Table1[[#This Row],[ID]], Table2[ID],#REF!, "Not Found", 0)</f>
        <v>#REF!</v>
      </c>
      <c r="S1679" s="3" t="str">
        <f>_xlfn.XLOOKUP(Table1[[#This Row],[ID]], Table2[ID], Table2[Enrollment], "Not Found", 0)</f>
        <v>6/26/2019</v>
      </c>
      <c r="T1679" t="s">
        <v>437</v>
      </c>
    </row>
    <row r="1680" spans="1:20" x14ac:dyDescent="0.3">
      <c r="A1680">
        <v>1677</v>
      </c>
      <c r="B1680">
        <v>134824</v>
      </c>
      <c r="C1680">
        <v>0</v>
      </c>
      <c r="D1680">
        <v>0</v>
      </c>
      <c r="E1680">
        <v>25</v>
      </c>
      <c r="F1680">
        <v>0</v>
      </c>
      <c r="G1680">
        <v>0</v>
      </c>
      <c r="H1680">
        <v>1</v>
      </c>
      <c r="I1680">
        <v>0</v>
      </c>
      <c r="J1680">
        <v>0</v>
      </c>
      <c r="K1680">
        <v>0</v>
      </c>
      <c r="L1680">
        <v>1</v>
      </c>
      <c r="M1680">
        <v>0</v>
      </c>
      <c r="N1680">
        <v>0</v>
      </c>
      <c r="O1680" t="str" cm="1">
        <f t="array" ref="O1680">_xlfn.IFS(Table1[[#This Row],[Divorced]]=1, "Divorced", Table1[[#This Row],[Married]]=1, "Married", Table1[[#This Row],[Single]]=1, "Single", Table1[[#This Row],[Together]]=1, "Together", Table1[[#This Row],[Widow]]=1, "Widow")</f>
        <v>Single</v>
      </c>
      <c r="P1680" t="str" cm="1">
        <f t="array" ref="P1680">_xlfn.IFS(Table1[[#This Row],[Basic]]=1, "Basic", Table1[[#This Row],[Graduate]]=1, "Graduate", Table1[[#This Row],[Master]]=1, "Master", Table1[[#This Row],[PhD]]=1, "PhD", AND(Table1[[#This Row],[Basic]]=0, Table1[[#This Row],[Graduate]]=0, Table1[[#This Row],[Master]]=0, Table1[[#This Row],[PhD]]=0), "NA")</f>
        <v>Graduate</v>
      </c>
      <c r="Q1680" t="e">
        <f>_xlfn.XLOOKUP(Table1[[#This Row],[ID]], Table2[ID],#REF!, "Not Found", 0)</f>
        <v>#REF!</v>
      </c>
      <c r="R1680" t="e">
        <f>_xlfn.XLOOKUP(Table1[[#This Row],[ID]], Table2[ID],#REF!, "Not Found", 0)</f>
        <v>#REF!</v>
      </c>
      <c r="S1680" s="3" t="str">
        <f>_xlfn.XLOOKUP(Table1[[#This Row],[ID]], Table2[ID], Table2[Enrollment], "Not Found", 0)</f>
        <v>8/30/2020</v>
      </c>
      <c r="T1680" t="s">
        <v>435</v>
      </c>
    </row>
    <row r="1681" spans="1:20" x14ac:dyDescent="0.3">
      <c r="A1681">
        <v>1976</v>
      </c>
      <c r="B1681">
        <v>134824</v>
      </c>
      <c r="C1681">
        <v>0</v>
      </c>
      <c r="D1681">
        <v>0</v>
      </c>
      <c r="E1681">
        <v>25</v>
      </c>
      <c r="F1681">
        <v>0</v>
      </c>
      <c r="G1681">
        <v>0</v>
      </c>
      <c r="H1681">
        <v>1</v>
      </c>
      <c r="I1681">
        <v>0</v>
      </c>
      <c r="J1681">
        <v>0</v>
      </c>
      <c r="K1681">
        <v>0</v>
      </c>
      <c r="L1681">
        <v>1</v>
      </c>
      <c r="M1681">
        <v>0</v>
      </c>
      <c r="N1681">
        <v>0</v>
      </c>
      <c r="O1681" t="str" cm="1">
        <f t="array" ref="O1681">_xlfn.IFS(Table1[[#This Row],[Divorced]]=1, "Divorced", Table1[[#This Row],[Married]]=1, "Married", Table1[[#This Row],[Single]]=1, "Single", Table1[[#This Row],[Together]]=1, "Together", Table1[[#This Row],[Widow]]=1, "Widow")</f>
        <v>Single</v>
      </c>
      <c r="P1681" t="str" cm="1">
        <f t="array" ref="P1681">_xlfn.IFS(Table1[[#This Row],[Basic]]=1, "Basic", Table1[[#This Row],[Graduate]]=1, "Graduate", Table1[[#This Row],[Master]]=1, "Master", Table1[[#This Row],[PhD]]=1, "PhD", AND(Table1[[#This Row],[Basic]]=0, Table1[[#This Row],[Graduate]]=0, Table1[[#This Row],[Master]]=0, Table1[[#This Row],[PhD]]=0), "NA")</f>
        <v>Graduate</v>
      </c>
      <c r="Q1681" t="e">
        <f>_xlfn.XLOOKUP(Table1[[#This Row],[ID]], Table2[ID],#REF!, "Not Found", 0)</f>
        <v>#REF!</v>
      </c>
      <c r="R1681" t="e">
        <f>_xlfn.XLOOKUP(Table1[[#This Row],[ID]], Table2[ID],#REF!, "Not Found", 0)</f>
        <v>#REF!</v>
      </c>
      <c r="S1681" s="3" t="str">
        <f>_xlfn.XLOOKUP(Table1[[#This Row],[ID]], Table2[ID], Table2[Enrollment], "Not Found", 0)</f>
        <v>8/30/2020</v>
      </c>
      <c r="T1681" t="s">
        <v>438</v>
      </c>
    </row>
    <row r="1682" spans="1:20" x14ac:dyDescent="0.3">
      <c r="A1682">
        <v>2842</v>
      </c>
      <c r="B1682">
        <v>134738</v>
      </c>
      <c r="C1682">
        <v>1</v>
      </c>
      <c r="D1682">
        <v>0</v>
      </c>
      <c r="E1682">
        <v>36</v>
      </c>
      <c r="F1682">
        <v>0</v>
      </c>
      <c r="G1682">
        <v>0</v>
      </c>
      <c r="H1682">
        <v>1</v>
      </c>
      <c r="I1682">
        <v>0</v>
      </c>
      <c r="J1682">
        <v>0</v>
      </c>
      <c r="K1682">
        <v>0</v>
      </c>
      <c r="L1682">
        <v>1</v>
      </c>
      <c r="M1682">
        <v>0</v>
      </c>
      <c r="N1682">
        <v>0</v>
      </c>
      <c r="O1682" t="str" cm="1">
        <f t="array" ref="O1682">_xlfn.IFS(Table1[[#This Row],[Divorced]]=1, "Divorced", Table1[[#This Row],[Married]]=1, "Married", Table1[[#This Row],[Single]]=1, "Single", Table1[[#This Row],[Together]]=1, "Together", Table1[[#This Row],[Widow]]=1, "Widow")</f>
        <v>Single</v>
      </c>
      <c r="P1682" t="str" cm="1">
        <f t="array" ref="P1682">_xlfn.IFS(Table1[[#This Row],[Basic]]=1, "Basic", Table1[[#This Row],[Graduate]]=1, "Graduate", Table1[[#This Row],[Master]]=1, "Master", Table1[[#This Row],[PhD]]=1, "PhD", AND(Table1[[#This Row],[Basic]]=0, Table1[[#This Row],[Graduate]]=0, Table1[[#This Row],[Master]]=0, Table1[[#This Row],[PhD]]=0), "NA")</f>
        <v>Graduate</v>
      </c>
      <c r="Q1682" t="e">
        <f>_xlfn.XLOOKUP(Table1[[#This Row],[ID]], Table2[ID],#REF!, "Not Found", 0)</f>
        <v>#REF!</v>
      </c>
      <c r="R1682" t="e">
        <f>_xlfn.XLOOKUP(Table1[[#This Row],[ID]], Table2[ID],#REF!, "Not Found", 0)</f>
        <v>#REF!</v>
      </c>
      <c r="S1682" s="3" t="str">
        <f>_xlfn.XLOOKUP(Table1[[#This Row],[ID]], Table2[ID], Table2[Enrollment], "Not Found", 0)</f>
        <v>10/15/2020</v>
      </c>
      <c r="T1682" t="s">
        <v>439</v>
      </c>
    </row>
    <row r="1683" spans="1:20" x14ac:dyDescent="0.3">
      <c r="A1683">
        <v>2025</v>
      </c>
      <c r="B1683">
        <v>134728</v>
      </c>
      <c r="C1683">
        <v>1</v>
      </c>
      <c r="D1683">
        <v>0</v>
      </c>
      <c r="E1683">
        <v>34</v>
      </c>
      <c r="F1683">
        <v>0</v>
      </c>
      <c r="G1683">
        <v>0</v>
      </c>
      <c r="H1683">
        <v>0</v>
      </c>
      <c r="I1683">
        <v>1</v>
      </c>
      <c r="J1683">
        <v>0</v>
      </c>
      <c r="K1683">
        <v>0</v>
      </c>
      <c r="L1683">
        <v>1</v>
      </c>
      <c r="M1683">
        <v>0</v>
      </c>
      <c r="N1683">
        <v>0</v>
      </c>
      <c r="O1683" t="str" cm="1">
        <f t="array" ref="O1683">_xlfn.IFS(Table1[[#This Row],[Divorced]]=1, "Divorced", Table1[[#This Row],[Married]]=1, "Married", Table1[[#This Row],[Single]]=1, "Single", Table1[[#This Row],[Together]]=1, "Together", Table1[[#This Row],[Widow]]=1, "Widow")</f>
        <v>Together</v>
      </c>
      <c r="P1683" t="str" cm="1">
        <f t="array" ref="P1683">_xlfn.IFS(Table1[[#This Row],[Basic]]=1, "Basic", Table1[[#This Row],[Graduate]]=1, "Graduate", Table1[[#This Row],[Master]]=1, "Master", Table1[[#This Row],[PhD]]=1, "PhD", AND(Table1[[#This Row],[Basic]]=0, Table1[[#This Row],[Graduate]]=0, Table1[[#This Row],[Master]]=0, Table1[[#This Row],[PhD]]=0), "NA")</f>
        <v>Graduate</v>
      </c>
      <c r="Q1683" t="e">
        <f>_xlfn.XLOOKUP(Table1[[#This Row],[ID]], Table2[ID],#REF!, "Not Found", 0)</f>
        <v>#REF!</v>
      </c>
      <c r="R1683" t="e">
        <f>_xlfn.XLOOKUP(Table1[[#This Row],[ID]], Table2[ID],#REF!, "Not Found", 0)</f>
        <v>#REF!</v>
      </c>
      <c r="S1683" s="3">
        <f>_xlfn.XLOOKUP(Table1[[#This Row],[ID]], Table2[ID], Table2[Enrollment], "Not Found", 0)</f>
        <v>43922</v>
      </c>
      <c r="T1683" t="s">
        <v>435</v>
      </c>
    </row>
    <row r="1684" spans="1:20" x14ac:dyDescent="0.3">
      <c r="A1684">
        <v>2448</v>
      </c>
      <c r="B1684">
        <v>134704</v>
      </c>
      <c r="C1684">
        <v>0</v>
      </c>
      <c r="D1684">
        <v>1</v>
      </c>
      <c r="E1684">
        <v>54</v>
      </c>
      <c r="F1684">
        <v>0</v>
      </c>
      <c r="G1684">
        <v>0</v>
      </c>
      <c r="H1684">
        <v>1</v>
      </c>
      <c r="I1684">
        <v>0</v>
      </c>
      <c r="J1684">
        <v>0</v>
      </c>
      <c r="K1684">
        <v>0</v>
      </c>
      <c r="L1684">
        <v>1</v>
      </c>
      <c r="M1684">
        <v>0</v>
      </c>
      <c r="N1684">
        <v>0</v>
      </c>
      <c r="O1684" t="str" cm="1">
        <f t="array" ref="O1684">_xlfn.IFS(Table1[[#This Row],[Divorced]]=1, "Divorced", Table1[[#This Row],[Married]]=1, "Married", Table1[[#This Row],[Single]]=1, "Single", Table1[[#This Row],[Together]]=1, "Together", Table1[[#This Row],[Widow]]=1, "Widow")</f>
        <v>Single</v>
      </c>
      <c r="P1684" t="str" cm="1">
        <f t="array" ref="P1684">_xlfn.IFS(Table1[[#This Row],[Basic]]=1, "Basic", Table1[[#This Row],[Graduate]]=1, "Graduate", Table1[[#This Row],[Master]]=1, "Master", Table1[[#This Row],[PhD]]=1, "PhD", AND(Table1[[#This Row],[Basic]]=0, Table1[[#This Row],[Graduate]]=0, Table1[[#This Row],[Master]]=0, Table1[[#This Row],[PhD]]=0), "NA")</f>
        <v>Graduate</v>
      </c>
      <c r="Q1684" t="e">
        <f>_xlfn.XLOOKUP(Table1[[#This Row],[ID]], Table2[ID],#REF!, "Not Found", 0)</f>
        <v>#REF!</v>
      </c>
      <c r="R1684" t="e">
        <f>_xlfn.XLOOKUP(Table1[[#This Row],[ID]], Table2[ID],#REF!, "Not Found", 0)</f>
        <v>#REF!</v>
      </c>
      <c r="S1684" s="3">
        <f>_xlfn.XLOOKUP(Table1[[#This Row],[ID]], Table2[ID], Table2[Enrollment], "Not Found", 0)</f>
        <v>43506</v>
      </c>
      <c r="T1684" t="s">
        <v>436</v>
      </c>
    </row>
    <row r="1685" spans="1:20" x14ac:dyDescent="0.3">
      <c r="A1685">
        <v>2556</v>
      </c>
      <c r="B1685">
        <v>134633</v>
      </c>
      <c r="C1685">
        <v>2</v>
      </c>
      <c r="D1685">
        <v>1</v>
      </c>
      <c r="E1685">
        <v>64</v>
      </c>
      <c r="F1685">
        <v>0</v>
      </c>
      <c r="G1685">
        <v>0</v>
      </c>
      <c r="H1685">
        <v>0</v>
      </c>
      <c r="I1685">
        <v>1</v>
      </c>
      <c r="J1685">
        <v>0</v>
      </c>
      <c r="K1685">
        <v>0</v>
      </c>
      <c r="L1685">
        <v>1</v>
      </c>
      <c r="M1685">
        <v>0</v>
      </c>
      <c r="N1685">
        <v>0</v>
      </c>
      <c r="O1685" t="str" cm="1">
        <f t="array" ref="O1685">_xlfn.IFS(Table1[[#This Row],[Divorced]]=1, "Divorced", Table1[[#This Row],[Married]]=1, "Married", Table1[[#This Row],[Single]]=1, "Single", Table1[[#This Row],[Together]]=1, "Together", Table1[[#This Row],[Widow]]=1, "Widow")</f>
        <v>Together</v>
      </c>
      <c r="P1685" t="str" cm="1">
        <f t="array" ref="P1685">_xlfn.IFS(Table1[[#This Row],[Basic]]=1, "Basic", Table1[[#This Row],[Graduate]]=1, "Graduate", Table1[[#This Row],[Master]]=1, "Master", Table1[[#This Row],[PhD]]=1, "PhD", AND(Table1[[#This Row],[Basic]]=0, Table1[[#This Row],[Graduate]]=0, Table1[[#This Row],[Master]]=0, Table1[[#This Row],[PhD]]=0), "NA")</f>
        <v>Graduate</v>
      </c>
      <c r="Q1685" t="e">
        <f>_xlfn.XLOOKUP(Table1[[#This Row],[ID]], Table2[ID],#REF!, "Not Found", 0)</f>
        <v>#REF!</v>
      </c>
      <c r="R1685" t="e">
        <f>_xlfn.XLOOKUP(Table1[[#This Row],[ID]], Table2[ID],#REF!, "Not Found", 0)</f>
        <v>#REF!</v>
      </c>
      <c r="S1685" s="3" t="str">
        <f>_xlfn.XLOOKUP(Table1[[#This Row],[ID]], Table2[ID], Table2[Enrollment], "Not Found", 0)</f>
        <v>6/29/2020</v>
      </c>
      <c r="T1685" t="s">
        <v>436</v>
      </c>
    </row>
    <row r="1686" spans="1:20" x14ac:dyDescent="0.3">
      <c r="A1686">
        <v>2759</v>
      </c>
      <c r="B1686">
        <v>134600</v>
      </c>
      <c r="C1686">
        <v>1</v>
      </c>
      <c r="D1686">
        <v>1</v>
      </c>
      <c r="E1686">
        <v>49</v>
      </c>
      <c r="F1686">
        <v>0</v>
      </c>
      <c r="G1686">
        <v>0</v>
      </c>
      <c r="H1686">
        <v>0</v>
      </c>
      <c r="I1686">
        <v>1</v>
      </c>
      <c r="J1686">
        <v>0</v>
      </c>
      <c r="K1686">
        <v>0</v>
      </c>
      <c r="L1686">
        <v>1</v>
      </c>
      <c r="M1686">
        <v>0</v>
      </c>
      <c r="N1686">
        <v>0</v>
      </c>
      <c r="O1686" t="str" cm="1">
        <f t="array" ref="O1686">_xlfn.IFS(Table1[[#This Row],[Divorced]]=1, "Divorced", Table1[[#This Row],[Married]]=1, "Married", Table1[[#This Row],[Single]]=1, "Single", Table1[[#This Row],[Together]]=1, "Together", Table1[[#This Row],[Widow]]=1, "Widow")</f>
        <v>Together</v>
      </c>
      <c r="P1686" t="str" cm="1">
        <f t="array" ref="P1686">_xlfn.IFS(Table1[[#This Row],[Basic]]=1, "Basic", Table1[[#This Row],[Graduate]]=1, "Graduate", Table1[[#This Row],[Master]]=1, "Master", Table1[[#This Row],[PhD]]=1, "PhD", AND(Table1[[#This Row],[Basic]]=0, Table1[[#This Row],[Graduate]]=0, Table1[[#This Row],[Master]]=0, Table1[[#This Row],[PhD]]=0), "NA")</f>
        <v>Graduate</v>
      </c>
      <c r="Q1686" t="e">
        <f>_xlfn.XLOOKUP(Table1[[#This Row],[ID]], Table2[ID],#REF!, "Not Found", 0)</f>
        <v>#REF!</v>
      </c>
      <c r="R1686" t="e">
        <f>_xlfn.XLOOKUP(Table1[[#This Row],[ID]], Table2[ID],#REF!, "Not Found", 0)</f>
        <v>#REF!</v>
      </c>
      <c r="S1686" s="3">
        <f>_xlfn.XLOOKUP(Table1[[#This Row],[ID]], Table2[ID], Table2[Enrollment], "Not Found", 0)</f>
        <v>43683</v>
      </c>
      <c r="T1686" t="s">
        <v>434</v>
      </c>
    </row>
    <row r="1687" spans="1:20" x14ac:dyDescent="0.3">
      <c r="A1687">
        <v>2947</v>
      </c>
      <c r="B1687">
        <v>134600</v>
      </c>
      <c r="C1687">
        <v>1</v>
      </c>
      <c r="D1687">
        <v>1</v>
      </c>
      <c r="E1687">
        <v>49</v>
      </c>
      <c r="F1687">
        <v>0</v>
      </c>
      <c r="G1687">
        <v>0</v>
      </c>
      <c r="H1687">
        <v>0</v>
      </c>
      <c r="I1687">
        <v>1</v>
      </c>
      <c r="J1687">
        <v>0</v>
      </c>
      <c r="K1687">
        <v>0</v>
      </c>
      <c r="L1687">
        <v>1</v>
      </c>
      <c r="M1687">
        <v>0</v>
      </c>
      <c r="N1687">
        <v>0</v>
      </c>
      <c r="O1687" t="str" cm="1">
        <f t="array" ref="O1687">_xlfn.IFS(Table1[[#This Row],[Divorced]]=1, "Divorced", Table1[[#This Row],[Married]]=1, "Married", Table1[[#This Row],[Single]]=1, "Single", Table1[[#This Row],[Together]]=1, "Together", Table1[[#This Row],[Widow]]=1, "Widow")</f>
        <v>Together</v>
      </c>
      <c r="P1687" t="str" cm="1">
        <f t="array" ref="P1687">_xlfn.IFS(Table1[[#This Row],[Basic]]=1, "Basic", Table1[[#This Row],[Graduate]]=1, "Graduate", Table1[[#This Row],[Master]]=1, "Master", Table1[[#This Row],[PhD]]=1, "PhD", AND(Table1[[#This Row],[Basic]]=0, Table1[[#This Row],[Graduate]]=0, Table1[[#This Row],[Master]]=0, Table1[[#This Row],[PhD]]=0), "NA")</f>
        <v>Graduate</v>
      </c>
      <c r="Q1687" t="e">
        <f>_xlfn.XLOOKUP(Table1[[#This Row],[ID]], Table2[ID],#REF!, "Not Found", 0)</f>
        <v>#REF!</v>
      </c>
      <c r="R1687" t="e">
        <f>_xlfn.XLOOKUP(Table1[[#This Row],[ID]], Table2[ID],#REF!, "Not Found", 0)</f>
        <v>#REF!</v>
      </c>
      <c r="S1687" s="3">
        <f>_xlfn.XLOOKUP(Table1[[#This Row],[ID]], Table2[ID], Table2[Enrollment], "Not Found", 0)</f>
        <v>43683</v>
      </c>
      <c r="T1687" t="s">
        <v>437</v>
      </c>
    </row>
    <row r="1688" spans="1:20" x14ac:dyDescent="0.3">
      <c r="A1688">
        <v>1949</v>
      </c>
      <c r="B1688">
        <v>134596</v>
      </c>
      <c r="C1688">
        <v>1</v>
      </c>
      <c r="D1688">
        <v>0</v>
      </c>
      <c r="E1688">
        <v>46</v>
      </c>
      <c r="F1688">
        <v>0</v>
      </c>
      <c r="G1688">
        <v>1</v>
      </c>
      <c r="H1688">
        <v>0</v>
      </c>
      <c r="I1688">
        <v>0</v>
      </c>
      <c r="J1688">
        <v>0</v>
      </c>
      <c r="K1688">
        <v>0</v>
      </c>
      <c r="L1688">
        <v>0</v>
      </c>
      <c r="M1688">
        <v>0</v>
      </c>
      <c r="N1688">
        <v>1</v>
      </c>
      <c r="O1688" t="str" cm="1">
        <f t="array" ref="O1688">_xlfn.IFS(Table1[[#This Row],[Divorced]]=1, "Divorced", Table1[[#This Row],[Married]]=1, "Married", Table1[[#This Row],[Single]]=1, "Single", Table1[[#This Row],[Together]]=1, "Together", Table1[[#This Row],[Widow]]=1, "Widow")</f>
        <v>Married</v>
      </c>
      <c r="P1688" t="str" cm="1">
        <f t="array" ref="P1688">_xlfn.IFS(Table1[[#This Row],[Basic]]=1, "Basic", Table1[[#This Row],[Graduate]]=1, "Graduate", Table1[[#This Row],[Master]]=1, "Master", Table1[[#This Row],[PhD]]=1, "PhD", AND(Table1[[#This Row],[Basic]]=0, Table1[[#This Row],[Graduate]]=0, Table1[[#This Row],[Master]]=0, Table1[[#This Row],[PhD]]=0), "NA")</f>
        <v>PhD</v>
      </c>
      <c r="Q1688" t="e">
        <f>_xlfn.XLOOKUP(Table1[[#This Row],[ID]], Table2[ID],#REF!, "Not Found", 0)</f>
        <v>#REF!</v>
      </c>
      <c r="R1688" t="e">
        <f>_xlfn.XLOOKUP(Table1[[#This Row],[ID]], Table2[ID],#REF!, "Not Found", 0)</f>
        <v>#REF!</v>
      </c>
      <c r="S1688" s="3" t="str">
        <f>_xlfn.XLOOKUP(Table1[[#This Row],[ID]], Table2[ID], Table2[Enrollment], "Not Found", 0)</f>
        <v>9/18/2019</v>
      </c>
      <c r="T1688" t="s">
        <v>434</v>
      </c>
    </row>
    <row r="1689" spans="1:20" x14ac:dyDescent="0.3">
      <c r="A1689">
        <v>2402</v>
      </c>
      <c r="B1689">
        <v>134596</v>
      </c>
      <c r="C1689">
        <v>1</v>
      </c>
      <c r="D1689">
        <v>0</v>
      </c>
      <c r="E1689">
        <v>46</v>
      </c>
      <c r="F1689">
        <v>0</v>
      </c>
      <c r="G1689">
        <v>1</v>
      </c>
      <c r="H1689">
        <v>0</v>
      </c>
      <c r="I1689">
        <v>0</v>
      </c>
      <c r="J1689">
        <v>0</v>
      </c>
      <c r="K1689">
        <v>0</v>
      </c>
      <c r="L1689">
        <v>0</v>
      </c>
      <c r="M1689">
        <v>0</v>
      </c>
      <c r="N1689">
        <v>1</v>
      </c>
      <c r="O1689" t="str" cm="1">
        <f t="array" ref="O1689">_xlfn.IFS(Table1[[#This Row],[Divorced]]=1, "Divorced", Table1[[#This Row],[Married]]=1, "Married", Table1[[#This Row],[Single]]=1, "Single", Table1[[#This Row],[Together]]=1, "Together", Table1[[#This Row],[Widow]]=1, "Widow")</f>
        <v>Married</v>
      </c>
      <c r="P1689" t="str" cm="1">
        <f t="array" ref="P1689">_xlfn.IFS(Table1[[#This Row],[Basic]]=1, "Basic", Table1[[#This Row],[Graduate]]=1, "Graduate", Table1[[#This Row],[Master]]=1, "Master", Table1[[#This Row],[PhD]]=1, "PhD", AND(Table1[[#This Row],[Basic]]=0, Table1[[#This Row],[Graduate]]=0, Table1[[#This Row],[Master]]=0, Table1[[#This Row],[PhD]]=0), "NA")</f>
        <v>PhD</v>
      </c>
      <c r="Q1689" t="e">
        <f>_xlfn.XLOOKUP(Table1[[#This Row],[ID]], Table2[ID],#REF!, "Not Found", 0)</f>
        <v>#REF!</v>
      </c>
      <c r="R1689" t="e">
        <f>_xlfn.XLOOKUP(Table1[[#This Row],[ID]], Table2[ID],#REF!, "Not Found", 0)</f>
        <v>#REF!</v>
      </c>
      <c r="S1689" s="3" t="str">
        <f>_xlfn.XLOOKUP(Table1[[#This Row],[ID]], Table2[ID], Table2[Enrollment], "Not Found", 0)</f>
        <v>9/18/2019</v>
      </c>
      <c r="T1689" t="s">
        <v>438</v>
      </c>
    </row>
    <row r="1690" spans="1:20" x14ac:dyDescent="0.3">
      <c r="A1690">
        <v>3081</v>
      </c>
      <c r="B1690">
        <v>134587</v>
      </c>
      <c r="C1690">
        <v>1</v>
      </c>
      <c r="D1690">
        <v>1</v>
      </c>
      <c r="E1690">
        <v>67</v>
      </c>
      <c r="F1690">
        <v>0</v>
      </c>
      <c r="G1690">
        <v>0</v>
      </c>
      <c r="H1690">
        <v>0</v>
      </c>
      <c r="I1690">
        <v>1</v>
      </c>
      <c r="J1690">
        <v>0</v>
      </c>
      <c r="K1690">
        <v>0</v>
      </c>
      <c r="L1690">
        <v>1</v>
      </c>
      <c r="M1690">
        <v>0</v>
      </c>
      <c r="N1690">
        <v>0</v>
      </c>
      <c r="O1690" t="str" cm="1">
        <f t="array" ref="O1690">_xlfn.IFS(Table1[[#This Row],[Divorced]]=1, "Divorced", Table1[[#This Row],[Married]]=1, "Married", Table1[[#This Row],[Single]]=1, "Single", Table1[[#This Row],[Together]]=1, "Together", Table1[[#This Row],[Widow]]=1, "Widow")</f>
        <v>Together</v>
      </c>
      <c r="P1690" t="str" cm="1">
        <f t="array" ref="P1690">_xlfn.IFS(Table1[[#This Row],[Basic]]=1, "Basic", Table1[[#This Row],[Graduate]]=1, "Graduate", Table1[[#This Row],[Master]]=1, "Master", Table1[[#This Row],[PhD]]=1, "PhD", AND(Table1[[#This Row],[Basic]]=0, Table1[[#This Row],[Graduate]]=0, Table1[[#This Row],[Master]]=0, Table1[[#This Row],[PhD]]=0), "NA")</f>
        <v>Graduate</v>
      </c>
      <c r="Q1690" t="e">
        <f>_xlfn.XLOOKUP(Table1[[#This Row],[ID]], Table2[ID],#REF!, "Not Found", 0)</f>
        <v>#REF!</v>
      </c>
      <c r="R1690" t="e">
        <f>_xlfn.XLOOKUP(Table1[[#This Row],[ID]], Table2[ID],#REF!, "Not Found", 0)</f>
        <v>#REF!</v>
      </c>
      <c r="S1690" s="3" t="str">
        <f>_xlfn.XLOOKUP(Table1[[#This Row],[ID]], Table2[ID], Table2[Enrollment], "Not Found", 0)</f>
        <v>10/20/2020</v>
      </c>
      <c r="T1690" t="s">
        <v>435</v>
      </c>
    </row>
    <row r="1691" spans="1:20" x14ac:dyDescent="0.3">
      <c r="A1691">
        <v>2396</v>
      </c>
      <c r="B1691">
        <v>134578</v>
      </c>
      <c r="C1691">
        <v>2</v>
      </c>
      <c r="D1691">
        <v>1</v>
      </c>
      <c r="E1691">
        <v>48</v>
      </c>
      <c r="F1691">
        <v>0</v>
      </c>
      <c r="G1691">
        <v>0</v>
      </c>
      <c r="H1691">
        <v>0</v>
      </c>
      <c r="I1691">
        <v>1</v>
      </c>
      <c r="J1691">
        <v>0</v>
      </c>
      <c r="K1691">
        <v>0</v>
      </c>
      <c r="L1691">
        <v>0</v>
      </c>
      <c r="M1691">
        <v>0</v>
      </c>
      <c r="N1691">
        <v>1</v>
      </c>
      <c r="O1691" t="str" cm="1">
        <f t="array" ref="O1691">_xlfn.IFS(Table1[[#This Row],[Divorced]]=1, "Divorced", Table1[[#This Row],[Married]]=1, "Married", Table1[[#This Row],[Single]]=1, "Single", Table1[[#This Row],[Together]]=1, "Together", Table1[[#This Row],[Widow]]=1, "Widow")</f>
        <v>Together</v>
      </c>
      <c r="P1691" t="str" cm="1">
        <f t="array" ref="P1691">_xlfn.IFS(Table1[[#This Row],[Basic]]=1, "Basic", Table1[[#This Row],[Graduate]]=1, "Graduate", Table1[[#This Row],[Master]]=1, "Master", Table1[[#This Row],[PhD]]=1, "PhD", AND(Table1[[#This Row],[Basic]]=0, Table1[[#This Row],[Graduate]]=0, Table1[[#This Row],[Master]]=0, Table1[[#This Row],[PhD]]=0), "NA")</f>
        <v>PhD</v>
      </c>
      <c r="Q1691" t="e">
        <f>_xlfn.XLOOKUP(Table1[[#This Row],[ID]], Table2[ID],#REF!, "Not Found", 0)</f>
        <v>#REF!</v>
      </c>
      <c r="R1691" t="e">
        <f>_xlfn.XLOOKUP(Table1[[#This Row],[ID]], Table2[ID],#REF!, "Not Found", 0)</f>
        <v>#REF!</v>
      </c>
      <c r="S1691" s="3" t="str">
        <f>_xlfn.XLOOKUP(Table1[[#This Row],[ID]], Table2[ID], Table2[Enrollment], "Not Found", 0)</f>
        <v>9/15/2020</v>
      </c>
      <c r="T1691" t="s">
        <v>438</v>
      </c>
    </row>
    <row r="1692" spans="1:20" x14ac:dyDescent="0.3">
      <c r="A1692">
        <v>1093</v>
      </c>
      <c r="B1692">
        <v>134554</v>
      </c>
      <c r="C1692">
        <v>0</v>
      </c>
      <c r="D1692">
        <v>1</v>
      </c>
      <c r="E1692">
        <v>61</v>
      </c>
      <c r="F1692">
        <v>0</v>
      </c>
      <c r="G1692">
        <v>0</v>
      </c>
      <c r="H1692">
        <v>1</v>
      </c>
      <c r="I1692">
        <v>0</v>
      </c>
      <c r="J1692">
        <v>0</v>
      </c>
      <c r="K1692">
        <v>0</v>
      </c>
      <c r="L1692">
        <v>0</v>
      </c>
      <c r="M1692">
        <v>0</v>
      </c>
      <c r="N1692">
        <v>1</v>
      </c>
      <c r="O1692" t="str" cm="1">
        <f t="array" ref="O1692">_xlfn.IFS(Table1[[#This Row],[Divorced]]=1, "Divorced", Table1[[#This Row],[Married]]=1, "Married", Table1[[#This Row],[Single]]=1, "Single", Table1[[#This Row],[Together]]=1, "Together", Table1[[#This Row],[Widow]]=1, "Widow")</f>
        <v>Single</v>
      </c>
      <c r="P1692" t="str" cm="1">
        <f t="array" ref="P1692">_xlfn.IFS(Table1[[#This Row],[Basic]]=1, "Basic", Table1[[#This Row],[Graduate]]=1, "Graduate", Table1[[#This Row],[Master]]=1, "Master", Table1[[#This Row],[PhD]]=1, "PhD", AND(Table1[[#This Row],[Basic]]=0, Table1[[#This Row],[Graduate]]=0, Table1[[#This Row],[Master]]=0, Table1[[#This Row],[PhD]]=0), "NA")</f>
        <v>PhD</v>
      </c>
      <c r="Q1692" t="e">
        <f>_xlfn.XLOOKUP(Table1[[#This Row],[ID]], Table2[ID],#REF!, "Not Found", 0)</f>
        <v>#REF!</v>
      </c>
      <c r="R1692" t="e">
        <f>_xlfn.XLOOKUP(Table1[[#This Row],[ID]], Table2[ID],#REF!, "Not Found", 0)</f>
        <v>#REF!</v>
      </c>
      <c r="S1692" s="3">
        <f>_xlfn.XLOOKUP(Table1[[#This Row],[ID]], Table2[ID], Table2[Enrollment], "Not Found", 0)</f>
        <v>43899</v>
      </c>
      <c r="T1692" t="s">
        <v>437</v>
      </c>
    </row>
    <row r="1693" spans="1:20" x14ac:dyDescent="0.3">
      <c r="A1693">
        <v>2919</v>
      </c>
      <c r="B1693">
        <v>134529</v>
      </c>
      <c r="C1693">
        <v>1</v>
      </c>
      <c r="D1693">
        <v>0</v>
      </c>
      <c r="E1693">
        <v>44</v>
      </c>
      <c r="F1693">
        <v>0</v>
      </c>
      <c r="G1693">
        <v>1</v>
      </c>
      <c r="H1693">
        <v>0</v>
      </c>
      <c r="I1693">
        <v>0</v>
      </c>
      <c r="J1693">
        <v>0</v>
      </c>
      <c r="K1693">
        <v>0</v>
      </c>
      <c r="L1693">
        <v>0</v>
      </c>
      <c r="M1693">
        <v>1</v>
      </c>
      <c r="N1693">
        <v>0</v>
      </c>
      <c r="O1693" t="str" cm="1">
        <f t="array" ref="O1693">_xlfn.IFS(Table1[[#This Row],[Divorced]]=1, "Divorced", Table1[[#This Row],[Married]]=1, "Married", Table1[[#This Row],[Single]]=1, "Single", Table1[[#This Row],[Together]]=1, "Together", Table1[[#This Row],[Widow]]=1, "Widow")</f>
        <v>Married</v>
      </c>
      <c r="P1693" t="str" cm="1">
        <f t="array" ref="P1693">_xlfn.IFS(Table1[[#This Row],[Basic]]=1, "Basic", Table1[[#This Row],[Graduate]]=1, "Graduate", Table1[[#This Row],[Master]]=1, "Master", Table1[[#This Row],[PhD]]=1, "PhD", AND(Table1[[#This Row],[Basic]]=0, Table1[[#This Row],[Graduate]]=0, Table1[[#This Row],[Master]]=0, Table1[[#This Row],[PhD]]=0), "NA")</f>
        <v>Master</v>
      </c>
      <c r="Q1693" t="e">
        <f>_xlfn.XLOOKUP(Table1[[#This Row],[ID]], Table2[ID],#REF!, "Not Found", 0)</f>
        <v>#REF!</v>
      </c>
      <c r="R1693" t="e">
        <f>_xlfn.XLOOKUP(Table1[[#This Row],[ID]], Table2[ID],#REF!, "Not Found", 0)</f>
        <v>#REF!</v>
      </c>
      <c r="S1693" s="3" t="str">
        <f>_xlfn.XLOOKUP(Table1[[#This Row],[ID]], Table2[ID], Table2[Enrollment], "Not Found", 0)</f>
        <v>2/19/2019</v>
      </c>
      <c r="T1693" t="s">
        <v>435</v>
      </c>
    </row>
    <row r="1694" spans="1:20" x14ac:dyDescent="0.3">
      <c r="A1694">
        <v>1611</v>
      </c>
      <c r="B1694">
        <v>134487</v>
      </c>
      <c r="C1694">
        <v>1</v>
      </c>
      <c r="D1694">
        <v>1</v>
      </c>
      <c r="E1694">
        <v>43</v>
      </c>
      <c r="F1694">
        <v>1</v>
      </c>
      <c r="G1694">
        <v>0</v>
      </c>
      <c r="H1694">
        <v>0</v>
      </c>
      <c r="I1694">
        <v>0</v>
      </c>
      <c r="J1694">
        <v>0</v>
      </c>
      <c r="K1694">
        <v>0</v>
      </c>
      <c r="L1694">
        <v>0</v>
      </c>
      <c r="M1694">
        <v>0</v>
      </c>
      <c r="N1694">
        <v>1</v>
      </c>
      <c r="O1694" t="str" cm="1">
        <f t="array" ref="O1694">_xlfn.IFS(Table1[[#This Row],[Divorced]]=1, "Divorced", Table1[[#This Row],[Married]]=1, "Married", Table1[[#This Row],[Single]]=1, "Single", Table1[[#This Row],[Together]]=1, "Together", Table1[[#This Row],[Widow]]=1, "Widow")</f>
        <v>Divorced</v>
      </c>
      <c r="P1694" t="str" cm="1">
        <f t="array" ref="P1694">_xlfn.IFS(Table1[[#This Row],[Basic]]=1, "Basic", Table1[[#This Row],[Graduate]]=1, "Graduate", Table1[[#This Row],[Master]]=1, "Master", Table1[[#This Row],[PhD]]=1, "PhD", AND(Table1[[#This Row],[Basic]]=0, Table1[[#This Row],[Graduate]]=0, Table1[[#This Row],[Master]]=0, Table1[[#This Row],[PhD]]=0), "NA")</f>
        <v>PhD</v>
      </c>
      <c r="Q1694" t="e">
        <f>_xlfn.XLOOKUP(Table1[[#This Row],[ID]], Table2[ID],#REF!, "Not Found", 0)</f>
        <v>#REF!</v>
      </c>
      <c r="R1694" t="e">
        <f>_xlfn.XLOOKUP(Table1[[#This Row],[ID]], Table2[ID],#REF!, "Not Found", 0)</f>
        <v>#REF!</v>
      </c>
      <c r="S1694" s="3">
        <f>_xlfn.XLOOKUP(Table1[[#This Row],[ID]], Table2[ID], Table2[Enrollment], "Not Found", 0)</f>
        <v>43771</v>
      </c>
      <c r="T1694" t="s">
        <v>435</v>
      </c>
    </row>
    <row r="1695" spans="1:20" x14ac:dyDescent="0.3">
      <c r="A1695">
        <v>1904</v>
      </c>
      <c r="B1695">
        <v>134469</v>
      </c>
      <c r="C1695">
        <v>1</v>
      </c>
      <c r="D1695">
        <v>1</v>
      </c>
      <c r="E1695">
        <v>72</v>
      </c>
      <c r="F1695">
        <v>0</v>
      </c>
      <c r="G1695">
        <v>1</v>
      </c>
      <c r="H1695">
        <v>0</v>
      </c>
      <c r="I1695">
        <v>0</v>
      </c>
      <c r="J1695">
        <v>0</v>
      </c>
      <c r="K1695">
        <v>0</v>
      </c>
      <c r="L1695">
        <v>0</v>
      </c>
      <c r="M1695">
        <v>0</v>
      </c>
      <c r="N1695">
        <v>1</v>
      </c>
      <c r="O1695" t="str" cm="1">
        <f t="array" ref="O1695">_xlfn.IFS(Table1[[#This Row],[Divorced]]=1, "Divorced", Table1[[#This Row],[Married]]=1, "Married", Table1[[#This Row],[Single]]=1, "Single", Table1[[#This Row],[Together]]=1, "Together", Table1[[#This Row],[Widow]]=1, "Widow")</f>
        <v>Married</v>
      </c>
      <c r="P1695" t="str" cm="1">
        <f t="array" ref="P1695">_xlfn.IFS(Table1[[#This Row],[Basic]]=1, "Basic", Table1[[#This Row],[Graduate]]=1, "Graduate", Table1[[#This Row],[Master]]=1, "Master", Table1[[#This Row],[PhD]]=1, "PhD", AND(Table1[[#This Row],[Basic]]=0, Table1[[#This Row],[Graduate]]=0, Table1[[#This Row],[Master]]=0, Table1[[#This Row],[PhD]]=0), "NA")</f>
        <v>PhD</v>
      </c>
      <c r="Q1695" t="e">
        <f>_xlfn.XLOOKUP(Table1[[#This Row],[ID]], Table2[ID],#REF!, "Not Found", 0)</f>
        <v>#REF!</v>
      </c>
      <c r="R1695" t="e">
        <f>_xlfn.XLOOKUP(Table1[[#This Row],[ID]], Table2[ID],#REF!, "Not Found", 0)</f>
        <v>#REF!</v>
      </c>
      <c r="S1695" s="3">
        <f>_xlfn.XLOOKUP(Table1[[#This Row],[ID]], Table2[ID], Table2[Enrollment], "Not Found", 0)</f>
        <v>44053</v>
      </c>
      <c r="T1695" t="s">
        <v>438</v>
      </c>
    </row>
    <row r="1696" spans="1:20" x14ac:dyDescent="0.3">
      <c r="A1696">
        <v>2988</v>
      </c>
      <c r="B1696">
        <v>134445</v>
      </c>
      <c r="C1696">
        <v>0</v>
      </c>
      <c r="D1696">
        <v>0</v>
      </c>
      <c r="E1696">
        <v>39</v>
      </c>
      <c r="F1696">
        <v>0</v>
      </c>
      <c r="G1696">
        <v>1</v>
      </c>
      <c r="H1696">
        <v>0</v>
      </c>
      <c r="I1696">
        <v>0</v>
      </c>
      <c r="J1696">
        <v>0</v>
      </c>
      <c r="K1696">
        <v>1</v>
      </c>
      <c r="L1696">
        <v>0</v>
      </c>
      <c r="M1696">
        <v>0</v>
      </c>
      <c r="N1696">
        <v>0</v>
      </c>
      <c r="O1696" t="str" cm="1">
        <f t="array" ref="O1696">_xlfn.IFS(Table1[[#This Row],[Divorced]]=1, "Divorced", Table1[[#This Row],[Married]]=1, "Married", Table1[[#This Row],[Single]]=1, "Single", Table1[[#This Row],[Together]]=1, "Together", Table1[[#This Row],[Widow]]=1, "Widow")</f>
        <v>Married</v>
      </c>
      <c r="P1696" t="str" cm="1">
        <f t="array" ref="P1696">_xlfn.IFS(Table1[[#This Row],[Basic]]=1, "Basic", Table1[[#This Row],[Graduate]]=1, "Graduate", Table1[[#This Row],[Master]]=1, "Master", Table1[[#This Row],[PhD]]=1, "PhD", AND(Table1[[#This Row],[Basic]]=0, Table1[[#This Row],[Graduate]]=0, Table1[[#This Row],[Master]]=0, Table1[[#This Row],[PhD]]=0), "NA")</f>
        <v>Basic</v>
      </c>
      <c r="Q1696" t="e">
        <f>_xlfn.XLOOKUP(Table1[[#This Row],[ID]], Table2[ID],#REF!, "Not Found", 0)</f>
        <v>#REF!</v>
      </c>
      <c r="R1696" t="e">
        <f>_xlfn.XLOOKUP(Table1[[#This Row],[ID]], Table2[ID],#REF!, "Not Found", 0)</f>
        <v>#REF!</v>
      </c>
      <c r="S1696" s="3">
        <f>_xlfn.XLOOKUP(Table1[[#This Row],[ID]], Table2[ID], Table2[Enrollment], "Not Found", 0)</f>
        <v>43562</v>
      </c>
      <c r="T1696" t="s">
        <v>436</v>
      </c>
    </row>
    <row r="1697" spans="1:20" x14ac:dyDescent="0.3">
      <c r="A1697">
        <v>1306</v>
      </c>
      <c r="B1697">
        <v>134421</v>
      </c>
      <c r="C1697">
        <v>1</v>
      </c>
      <c r="D1697">
        <v>0</v>
      </c>
      <c r="E1697">
        <v>46</v>
      </c>
      <c r="F1697">
        <v>0</v>
      </c>
      <c r="G1697">
        <v>1</v>
      </c>
      <c r="H1697">
        <v>0</v>
      </c>
      <c r="I1697">
        <v>0</v>
      </c>
      <c r="J1697">
        <v>0</v>
      </c>
      <c r="K1697">
        <v>0</v>
      </c>
      <c r="L1697">
        <v>1</v>
      </c>
      <c r="M1697">
        <v>0</v>
      </c>
      <c r="N1697">
        <v>0</v>
      </c>
      <c r="O1697" t="str" cm="1">
        <f t="array" ref="O1697">_xlfn.IFS(Table1[[#This Row],[Divorced]]=1, "Divorced", Table1[[#This Row],[Married]]=1, "Married", Table1[[#This Row],[Single]]=1, "Single", Table1[[#This Row],[Together]]=1, "Together", Table1[[#This Row],[Widow]]=1, "Widow")</f>
        <v>Married</v>
      </c>
      <c r="P1697" t="str" cm="1">
        <f t="array" ref="P1697">_xlfn.IFS(Table1[[#This Row],[Basic]]=1, "Basic", Table1[[#This Row],[Graduate]]=1, "Graduate", Table1[[#This Row],[Master]]=1, "Master", Table1[[#This Row],[PhD]]=1, "PhD", AND(Table1[[#This Row],[Basic]]=0, Table1[[#This Row],[Graduate]]=0, Table1[[#This Row],[Master]]=0, Table1[[#This Row],[PhD]]=0), "NA")</f>
        <v>Graduate</v>
      </c>
      <c r="Q1697" t="e">
        <f>_xlfn.XLOOKUP(Table1[[#This Row],[ID]], Table2[ID],#REF!, "Not Found", 0)</f>
        <v>#REF!</v>
      </c>
      <c r="R1697" t="e">
        <f>_xlfn.XLOOKUP(Table1[[#This Row],[ID]], Table2[ID],#REF!, "Not Found", 0)</f>
        <v>#REF!</v>
      </c>
      <c r="S1697" s="3">
        <f>_xlfn.XLOOKUP(Table1[[#This Row],[ID]], Table2[ID], Table2[Enrollment], "Not Found", 0)</f>
        <v>43628</v>
      </c>
      <c r="T1697" t="s">
        <v>439</v>
      </c>
    </row>
    <row r="1698" spans="1:20" x14ac:dyDescent="0.3">
      <c r="A1698">
        <v>3200</v>
      </c>
      <c r="B1698">
        <v>134421</v>
      </c>
      <c r="C1698">
        <v>1</v>
      </c>
      <c r="D1698">
        <v>0</v>
      </c>
      <c r="E1698">
        <v>46</v>
      </c>
      <c r="F1698">
        <v>0</v>
      </c>
      <c r="G1698">
        <v>1</v>
      </c>
      <c r="H1698">
        <v>0</v>
      </c>
      <c r="I1698">
        <v>0</v>
      </c>
      <c r="J1698">
        <v>0</v>
      </c>
      <c r="K1698">
        <v>0</v>
      </c>
      <c r="L1698">
        <v>1</v>
      </c>
      <c r="M1698">
        <v>0</v>
      </c>
      <c r="N1698">
        <v>0</v>
      </c>
      <c r="O1698" t="str" cm="1">
        <f t="array" ref="O1698">_xlfn.IFS(Table1[[#This Row],[Divorced]]=1, "Divorced", Table1[[#This Row],[Married]]=1, "Married", Table1[[#This Row],[Single]]=1, "Single", Table1[[#This Row],[Together]]=1, "Together", Table1[[#This Row],[Widow]]=1, "Widow")</f>
        <v>Married</v>
      </c>
      <c r="P1698" t="str" cm="1">
        <f t="array" ref="P1698">_xlfn.IFS(Table1[[#This Row],[Basic]]=1, "Basic", Table1[[#This Row],[Graduate]]=1, "Graduate", Table1[[#This Row],[Master]]=1, "Master", Table1[[#This Row],[PhD]]=1, "PhD", AND(Table1[[#This Row],[Basic]]=0, Table1[[#This Row],[Graduate]]=0, Table1[[#This Row],[Master]]=0, Table1[[#This Row],[PhD]]=0), "NA")</f>
        <v>Graduate</v>
      </c>
      <c r="Q1698" t="e">
        <f>_xlfn.XLOOKUP(Table1[[#This Row],[ID]], Table2[ID],#REF!, "Not Found", 0)</f>
        <v>#REF!</v>
      </c>
      <c r="R1698" t="e">
        <f>_xlfn.XLOOKUP(Table1[[#This Row],[ID]], Table2[ID],#REF!, "Not Found", 0)</f>
        <v>#REF!</v>
      </c>
      <c r="S1698" s="3">
        <f>_xlfn.XLOOKUP(Table1[[#This Row],[ID]], Table2[ID], Table2[Enrollment], "Not Found", 0)</f>
        <v>43628</v>
      </c>
      <c r="T1698" t="s">
        <v>438</v>
      </c>
    </row>
    <row r="1699" spans="1:20" x14ac:dyDescent="0.3">
      <c r="A1699">
        <v>2390</v>
      </c>
      <c r="B1699">
        <v>134412</v>
      </c>
      <c r="C1699">
        <v>1</v>
      </c>
      <c r="D1699">
        <v>0</v>
      </c>
      <c r="E1699">
        <v>30</v>
      </c>
      <c r="F1699">
        <v>0</v>
      </c>
      <c r="G1699">
        <v>0</v>
      </c>
      <c r="H1699">
        <v>1</v>
      </c>
      <c r="I1699">
        <v>0</v>
      </c>
      <c r="J1699">
        <v>0</v>
      </c>
      <c r="K1699">
        <v>0</v>
      </c>
      <c r="L1699">
        <v>1</v>
      </c>
      <c r="M1699">
        <v>0</v>
      </c>
      <c r="N1699">
        <v>0</v>
      </c>
      <c r="O1699" t="str" cm="1">
        <f t="array" ref="O1699">_xlfn.IFS(Table1[[#This Row],[Divorced]]=1, "Divorced", Table1[[#This Row],[Married]]=1, "Married", Table1[[#This Row],[Single]]=1, "Single", Table1[[#This Row],[Together]]=1, "Together", Table1[[#This Row],[Widow]]=1, "Widow")</f>
        <v>Single</v>
      </c>
      <c r="P1699" t="str" cm="1">
        <f t="array" ref="P1699">_xlfn.IFS(Table1[[#This Row],[Basic]]=1, "Basic", Table1[[#This Row],[Graduate]]=1, "Graduate", Table1[[#This Row],[Master]]=1, "Master", Table1[[#This Row],[PhD]]=1, "PhD", AND(Table1[[#This Row],[Basic]]=0, Table1[[#This Row],[Graduate]]=0, Table1[[#This Row],[Master]]=0, Table1[[#This Row],[PhD]]=0), "NA")</f>
        <v>Graduate</v>
      </c>
      <c r="Q1699" t="e">
        <f>_xlfn.XLOOKUP(Table1[[#This Row],[ID]], Table2[ID],#REF!, "Not Found", 0)</f>
        <v>#REF!</v>
      </c>
      <c r="R1699" t="e">
        <f>_xlfn.XLOOKUP(Table1[[#This Row],[ID]], Table2[ID],#REF!, "Not Found", 0)</f>
        <v>#REF!</v>
      </c>
      <c r="S1699" s="3" t="str">
        <f>_xlfn.XLOOKUP(Table1[[#This Row],[ID]], Table2[ID], Table2[Enrollment], "Not Found", 0)</f>
        <v>7/21/2019</v>
      </c>
      <c r="T1699" t="s">
        <v>438</v>
      </c>
    </row>
    <row r="1700" spans="1:20" x14ac:dyDescent="0.3">
      <c r="A1700">
        <v>2447</v>
      </c>
      <c r="B1700">
        <v>134380</v>
      </c>
      <c r="C1700">
        <v>1</v>
      </c>
      <c r="D1700">
        <v>0</v>
      </c>
      <c r="E1700">
        <v>43</v>
      </c>
      <c r="F1700">
        <v>0</v>
      </c>
      <c r="G1700">
        <v>1</v>
      </c>
      <c r="H1700">
        <v>0</v>
      </c>
      <c r="I1700">
        <v>0</v>
      </c>
      <c r="J1700">
        <v>0</v>
      </c>
      <c r="K1700">
        <v>0</v>
      </c>
      <c r="L1700">
        <v>1</v>
      </c>
      <c r="M1700">
        <v>0</v>
      </c>
      <c r="N1700">
        <v>0</v>
      </c>
      <c r="O1700" t="str" cm="1">
        <f t="array" ref="O1700">_xlfn.IFS(Table1[[#This Row],[Divorced]]=1, "Divorced", Table1[[#This Row],[Married]]=1, "Married", Table1[[#This Row],[Single]]=1, "Single", Table1[[#This Row],[Together]]=1, "Together", Table1[[#This Row],[Widow]]=1, "Widow")</f>
        <v>Married</v>
      </c>
      <c r="P1700" t="str" cm="1">
        <f t="array" ref="P1700">_xlfn.IFS(Table1[[#This Row],[Basic]]=1, "Basic", Table1[[#This Row],[Graduate]]=1, "Graduate", Table1[[#This Row],[Master]]=1, "Master", Table1[[#This Row],[PhD]]=1, "PhD", AND(Table1[[#This Row],[Basic]]=0, Table1[[#This Row],[Graduate]]=0, Table1[[#This Row],[Master]]=0, Table1[[#This Row],[PhD]]=0), "NA")</f>
        <v>Graduate</v>
      </c>
      <c r="Q1700" t="e">
        <f>_xlfn.XLOOKUP(Table1[[#This Row],[ID]], Table2[ID],#REF!, "Not Found", 0)</f>
        <v>#REF!</v>
      </c>
      <c r="R1700" t="e">
        <f>_xlfn.XLOOKUP(Table1[[#This Row],[ID]], Table2[ID],#REF!, "Not Found", 0)</f>
        <v>#REF!</v>
      </c>
      <c r="S1700" s="3">
        <f>_xlfn.XLOOKUP(Table1[[#This Row],[ID]], Table2[ID], Table2[Enrollment], "Not Found", 0)</f>
        <v>43656</v>
      </c>
      <c r="T1700" t="s">
        <v>434</v>
      </c>
    </row>
    <row r="1701" spans="1:20" x14ac:dyDescent="0.3">
      <c r="A1701">
        <v>2200</v>
      </c>
      <c r="B1701">
        <v>134377</v>
      </c>
      <c r="C1701">
        <v>0</v>
      </c>
      <c r="D1701">
        <v>1</v>
      </c>
      <c r="E1701">
        <v>57</v>
      </c>
      <c r="F1701">
        <v>0</v>
      </c>
      <c r="G1701">
        <v>0</v>
      </c>
      <c r="H1701">
        <v>1</v>
      </c>
      <c r="I1701">
        <v>0</v>
      </c>
      <c r="J1701">
        <v>0</v>
      </c>
      <c r="K1701">
        <v>0</v>
      </c>
      <c r="L1701">
        <v>1</v>
      </c>
      <c r="M1701">
        <v>0</v>
      </c>
      <c r="N1701">
        <v>0</v>
      </c>
      <c r="O1701" t="str" cm="1">
        <f t="array" ref="O1701">_xlfn.IFS(Table1[[#This Row],[Divorced]]=1, "Divorced", Table1[[#This Row],[Married]]=1, "Married", Table1[[#This Row],[Single]]=1, "Single", Table1[[#This Row],[Together]]=1, "Together", Table1[[#This Row],[Widow]]=1, "Widow")</f>
        <v>Single</v>
      </c>
      <c r="P1701" t="str" cm="1">
        <f t="array" ref="P1701">_xlfn.IFS(Table1[[#This Row],[Basic]]=1, "Basic", Table1[[#This Row],[Graduate]]=1, "Graduate", Table1[[#This Row],[Master]]=1, "Master", Table1[[#This Row],[PhD]]=1, "PhD", AND(Table1[[#This Row],[Basic]]=0, Table1[[#This Row],[Graduate]]=0, Table1[[#This Row],[Master]]=0, Table1[[#This Row],[PhD]]=0), "NA")</f>
        <v>Graduate</v>
      </c>
      <c r="Q1701" t="e">
        <f>_xlfn.XLOOKUP(Table1[[#This Row],[ID]], Table2[ID],#REF!, "Not Found", 0)</f>
        <v>#REF!</v>
      </c>
      <c r="R1701" t="e">
        <f>_xlfn.XLOOKUP(Table1[[#This Row],[ID]], Table2[ID],#REF!, "Not Found", 0)</f>
        <v>#REF!</v>
      </c>
      <c r="S1701" s="3" t="str">
        <f>_xlfn.XLOOKUP(Table1[[#This Row],[ID]], Table2[ID], Table2[Enrollment], "Not Found", 0)</f>
        <v>6/26/2019</v>
      </c>
      <c r="T1701" t="s">
        <v>439</v>
      </c>
    </row>
    <row r="1702" spans="1:20" x14ac:dyDescent="0.3">
      <c r="A1702">
        <v>3042</v>
      </c>
      <c r="B1702">
        <v>134350</v>
      </c>
      <c r="C1702">
        <v>1</v>
      </c>
      <c r="D1702">
        <v>0</v>
      </c>
      <c r="E1702">
        <v>41</v>
      </c>
      <c r="F1702">
        <v>0</v>
      </c>
      <c r="G1702">
        <v>0</v>
      </c>
      <c r="H1702">
        <v>0</v>
      </c>
      <c r="I1702">
        <v>1</v>
      </c>
      <c r="J1702">
        <v>0</v>
      </c>
      <c r="K1702">
        <v>0</v>
      </c>
      <c r="L1702">
        <v>1</v>
      </c>
      <c r="M1702">
        <v>0</v>
      </c>
      <c r="N1702">
        <v>0</v>
      </c>
      <c r="O1702" t="str" cm="1">
        <f t="array" ref="O1702">_xlfn.IFS(Table1[[#This Row],[Divorced]]=1, "Divorced", Table1[[#This Row],[Married]]=1, "Married", Table1[[#This Row],[Single]]=1, "Single", Table1[[#This Row],[Together]]=1, "Together", Table1[[#This Row],[Widow]]=1, "Widow")</f>
        <v>Together</v>
      </c>
      <c r="P1702" t="str" cm="1">
        <f t="array" ref="P1702">_xlfn.IFS(Table1[[#This Row],[Basic]]=1, "Basic", Table1[[#This Row],[Graduate]]=1, "Graduate", Table1[[#This Row],[Master]]=1, "Master", Table1[[#This Row],[PhD]]=1, "PhD", AND(Table1[[#This Row],[Basic]]=0, Table1[[#This Row],[Graduate]]=0, Table1[[#This Row],[Master]]=0, Table1[[#This Row],[PhD]]=0), "NA")</f>
        <v>Graduate</v>
      </c>
      <c r="Q1702" t="e">
        <f>_xlfn.XLOOKUP(Table1[[#This Row],[ID]], Table2[ID],#REF!, "Not Found", 0)</f>
        <v>#REF!</v>
      </c>
      <c r="R1702" t="e">
        <f>_xlfn.XLOOKUP(Table1[[#This Row],[ID]], Table2[ID],#REF!, "Not Found", 0)</f>
        <v>#REF!</v>
      </c>
      <c r="S1702" s="3" t="str">
        <f>_xlfn.XLOOKUP(Table1[[#This Row],[ID]], Table2[ID], Table2[Enrollment], "Not Found", 0)</f>
        <v>3/25/2020</v>
      </c>
      <c r="T1702" t="s">
        <v>436</v>
      </c>
    </row>
    <row r="1703" spans="1:20" x14ac:dyDescent="0.3">
      <c r="A1703">
        <v>1217</v>
      </c>
      <c r="B1703">
        <v>134320</v>
      </c>
      <c r="C1703">
        <v>1</v>
      </c>
      <c r="D1703">
        <v>0</v>
      </c>
      <c r="E1703">
        <v>34</v>
      </c>
      <c r="F1703">
        <v>0</v>
      </c>
      <c r="G1703">
        <v>0</v>
      </c>
      <c r="H1703">
        <v>0</v>
      </c>
      <c r="I1703">
        <v>1</v>
      </c>
      <c r="J1703">
        <v>0</v>
      </c>
      <c r="K1703">
        <v>0</v>
      </c>
      <c r="L1703">
        <v>0</v>
      </c>
      <c r="M1703">
        <v>0</v>
      </c>
      <c r="N1703">
        <v>1</v>
      </c>
      <c r="O1703" t="str" cm="1">
        <f t="array" ref="O1703">_xlfn.IFS(Table1[[#This Row],[Divorced]]=1, "Divorced", Table1[[#This Row],[Married]]=1, "Married", Table1[[#This Row],[Single]]=1, "Single", Table1[[#This Row],[Together]]=1, "Together", Table1[[#This Row],[Widow]]=1, "Widow")</f>
        <v>Together</v>
      </c>
      <c r="P1703" t="str" cm="1">
        <f t="array" ref="P1703">_xlfn.IFS(Table1[[#This Row],[Basic]]=1, "Basic", Table1[[#This Row],[Graduate]]=1, "Graduate", Table1[[#This Row],[Master]]=1, "Master", Table1[[#This Row],[PhD]]=1, "PhD", AND(Table1[[#This Row],[Basic]]=0, Table1[[#This Row],[Graduate]]=0, Table1[[#This Row],[Master]]=0, Table1[[#This Row],[PhD]]=0), "NA")</f>
        <v>PhD</v>
      </c>
      <c r="Q1703" t="e">
        <f>_xlfn.XLOOKUP(Table1[[#This Row],[ID]], Table2[ID],#REF!, "Not Found", 0)</f>
        <v>#REF!</v>
      </c>
      <c r="R1703" t="e">
        <f>_xlfn.XLOOKUP(Table1[[#This Row],[ID]], Table2[ID],#REF!, "Not Found", 0)</f>
        <v>#REF!</v>
      </c>
      <c r="S1703" s="3" t="str">
        <f>_xlfn.XLOOKUP(Table1[[#This Row],[ID]], Table2[ID], Table2[Enrollment], "Not Found", 0)</f>
        <v>7/23/2020</v>
      </c>
      <c r="T1703" t="s">
        <v>434</v>
      </c>
    </row>
    <row r="1704" spans="1:20" x14ac:dyDescent="0.3">
      <c r="A1704">
        <v>2913</v>
      </c>
      <c r="B1704">
        <v>134242</v>
      </c>
      <c r="C1704">
        <v>0</v>
      </c>
      <c r="D1704">
        <v>1</v>
      </c>
      <c r="E1704">
        <v>61</v>
      </c>
      <c r="F1704">
        <v>0</v>
      </c>
      <c r="G1704">
        <v>1</v>
      </c>
      <c r="H1704">
        <v>0</v>
      </c>
      <c r="I1704">
        <v>0</v>
      </c>
      <c r="J1704">
        <v>0</v>
      </c>
      <c r="K1704">
        <v>0</v>
      </c>
      <c r="L1704">
        <v>0</v>
      </c>
      <c r="M1704">
        <v>1</v>
      </c>
      <c r="N1704">
        <v>0</v>
      </c>
      <c r="O1704" t="str" cm="1">
        <f t="array" ref="O1704">_xlfn.IFS(Table1[[#This Row],[Divorced]]=1, "Divorced", Table1[[#This Row],[Married]]=1, "Married", Table1[[#This Row],[Single]]=1, "Single", Table1[[#This Row],[Together]]=1, "Together", Table1[[#This Row],[Widow]]=1, "Widow")</f>
        <v>Married</v>
      </c>
      <c r="P1704" t="str" cm="1">
        <f t="array" ref="P1704">_xlfn.IFS(Table1[[#This Row],[Basic]]=1, "Basic", Table1[[#This Row],[Graduate]]=1, "Graduate", Table1[[#This Row],[Master]]=1, "Master", Table1[[#This Row],[PhD]]=1, "PhD", AND(Table1[[#This Row],[Basic]]=0, Table1[[#This Row],[Graduate]]=0, Table1[[#This Row],[Master]]=0, Table1[[#This Row],[PhD]]=0), "NA")</f>
        <v>Master</v>
      </c>
      <c r="Q1704" t="e">
        <f>_xlfn.XLOOKUP(Table1[[#This Row],[ID]], Table2[ID],#REF!, "Not Found", 0)</f>
        <v>#REF!</v>
      </c>
      <c r="R1704" t="e">
        <f>_xlfn.XLOOKUP(Table1[[#This Row],[ID]], Table2[ID],#REF!, "Not Found", 0)</f>
        <v>#REF!</v>
      </c>
      <c r="S1704" s="3" t="str">
        <f>_xlfn.XLOOKUP(Table1[[#This Row],[ID]], Table2[ID], Table2[Enrollment], "Not Found", 0)</f>
        <v>8/27/2020</v>
      </c>
      <c r="T1704" t="s">
        <v>435</v>
      </c>
    </row>
    <row r="1705" spans="1:20" x14ac:dyDescent="0.3">
      <c r="A1705">
        <v>2894</v>
      </c>
      <c r="B1705">
        <v>134230</v>
      </c>
      <c r="C1705">
        <v>1</v>
      </c>
      <c r="D1705">
        <v>1</v>
      </c>
      <c r="E1705">
        <v>55</v>
      </c>
      <c r="F1705">
        <v>0</v>
      </c>
      <c r="G1705">
        <v>0</v>
      </c>
      <c r="H1705">
        <v>0</v>
      </c>
      <c r="I1705">
        <v>1</v>
      </c>
      <c r="J1705">
        <v>0</v>
      </c>
      <c r="K1705">
        <v>0</v>
      </c>
      <c r="L1705">
        <v>0</v>
      </c>
      <c r="M1705">
        <v>0</v>
      </c>
      <c r="N1705">
        <v>1</v>
      </c>
      <c r="O1705" t="str" cm="1">
        <f t="array" ref="O1705">_xlfn.IFS(Table1[[#This Row],[Divorced]]=1, "Divorced", Table1[[#This Row],[Married]]=1, "Married", Table1[[#This Row],[Single]]=1, "Single", Table1[[#This Row],[Together]]=1, "Together", Table1[[#This Row],[Widow]]=1, "Widow")</f>
        <v>Together</v>
      </c>
      <c r="P1705" t="str" cm="1">
        <f t="array" ref="P1705">_xlfn.IFS(Table1[[#This Row],[Basic]]=1, "Basic", Table1[[#This Row],[Graduate]]=1, "Graduate", Table1[[#This Row],[Master]]=1, "Master", Table1[[#This Row],[PhD]]=1, "PhD", AND(Table1[[#This Row],[Basic]]=0, Table1[[#This Row],[Graduate]]=0, Table1[[#This Row],[Master]]=0, Table1[[#This Row],[PhD]]=0), "NA")</f>
        <v>PhD</v>
      </c>
      <c r="Q1705" t="e">
        <f>_xlfn.XLOOKUP(Table1[[#This Row],[ID]], Table2[ID],#REF!, "Not Found", 0)</f>
        <v>#REF!</v>
      </c>
      <c r="R1705" t="e">
        <f>_xlfn.XLOOKUP(Table1[[#This Row],[ID]], Table2[ID],#REF!, "Not Found", 0)</f>
        <v>#REF!</v>
      </c>
      <c r="S1705" s="3">
        <f>_xlfn.XLOOKUP(Table1[[#This Row],[ID]], Table2[ID], Table2[Enrollment], "Not Found", 0)</f>
        <v>43502</v>
      </c>
      <c r="T1705" t="s">
        <v>438</v>
      </c>
    </row>
    <row r="1706" spans="1:20" x14ac:dyDescent="0.3">
      <c r="A1706">
        <v>2628</v>
      </c>
      <c r="B1706">
        <v>134213</v>
      </c>
      <c r="C1706">
        <v>1</v>
      </c>
      <c r="D1706">
        <v>1</v>
      </c>
      <c r="E1706">
        <v>57</v>
      </c>
      <c r="F1706">
        <v>0</v>
      </c>
      <c r="G1706">
        <v>0</v>
      </c>
      <c r="H1706">
        <v>0</v>
      </c>
      <c r="I1706">
        <v>0</v>
      </c>
      <c r="J1706">
        <v>1</v>
      </c>
      <c r="K1706">
        <v>0</v>
      </c>
      <c r="L1706">
        <v>1</v>
      </c>
      <c r="M1706">
        <v>0</v>
      </c>
      <c r="N1706">
        <v>0</v>
      </c>
      <c r="O1706" t="str" cm="1">
        <f t="array" ref="O1706">_xlfn.IFS(Table1[[#This Row],[Divorced]]=1, "Divorced", Table1[[#This Row],[Married]]=1, "Married", Table1[[#This Row],[Single]]=1, "Single", Table1[[#This Row],[Together]]=1, "Together", Table1[[#This Row],[Widow]]=1, "Widow")</f>
        <v>Widow</v>
      </c>
      <c r="P1706" t="str" cm="1">
        <f t="array" ref="P1706">_xlfn.IFS(Table1[[#This Row],[Basic]]=1, "Basic", Table1[[#This Row],[Graduate]]=1, "Graduate", Table1[[#This Row],[Master]]=1, "Master", Table1[[#This Row],[PhD]]=1, "PhD", AND(Table1[[#This Row],[Basic]]=0, Table1[[#This Row],[Graduate]]=0, Table1[[#This Row],[Master]]=0, Table1[[#This Row],[PhD]]=0), "NA")</f>
        <v>Graduate</v>
      </c>
      <c r="Q1706" t="e">
        <f>_xlfn.XLOOKUP(Table1[[#This Row],[ID]], Table2[ID],#REF!, "Not Found", 0)</f>
        <v>#REF!</v>
      </c>
      <c r="R1706" t="e">
        <f>_xlfn.XLOOKUP(Table1[[#This Row],[ID]], Table2[ID],#REF!, "Not Found", 0)</f>
        <v>#REF!</v>
      </c>
      <c r="S1706" s="3">
        <f>_xlfn.XLOOKUP(Table1[[#This Row],[ID]], Table2[ID], Table2[Enrollment], "Not Found", 0)</f>
        <v>43801</v>
      </c>
      <c r="T1706" t="s">
        <v>436</v>
      </c>
    </row>
    <row r="1707" spans="1:20" x14ac:dyDescent="0.3">
      <c r="A1707">
        <v>3125</v>
      </c>
      <c r="B1707">
        <v>134176</v>
      </c>
      <c r="C1707">
        <v>0</v>
      </c>
      <c r="D1707">
        <v>1</v>
      </c>
      <c r="E1707">
        <v>45</v>
      </c>
      <c r="F1707">
        <v>0</v>
      </c>
      <c r="G1707">
        <v>0</v>
      </c>
      <c r="H1707">
        <v>0</v>
      </c>
      <c r="I1707">
        <v>1</v>
      </c>
      <c r="J1707">
        <v>0</v>
      </c>
      <c r="K1707">
        <v>0</v>
      </c>
      <c r="L1707">
        <v>0</v>
      </c>
      <c r="M1707">
        <v>1</v>
      </c>
      <c r="N1707">
        <v>0</v>
      </c>
      <c r="O1707" t="str" cm="1">
        <f t="array" ref="O1707">_xlfn.IFS(Table1[[#This Row],[Divorced]]=1, "Divorced", Table1[[#This Row],[Married]]=1, "Married", Table1[[#This Row],[Single]]=1, "Single", Table1[[#This Row],[Together]]=1, "Together", Table1[[#This Row],[Widow]]=1, "Widow")</f>
        <v>Together</v>
      </c>
      <c r="P1707" t="str" cm="1">
        <f t="array" ref="P1707">_xlfn.IFS(Table1[[#This Row],[Basic]]=1, "Basic", Table1[[#This Row],[Graduate]]=1, "Graduate", Table1[[#This Row],[Master]]=1, "Master", Table1[[#This Row],[PhD]]=1, "PhD", AND(Table1[[#This Row],[Basic]]=0, Table1[[#This Row],[Graduate]]=0, Table1[[#This Row],[Master]]=0, Table1[[#This Row],[PhD]]=0), "NA")</f>
        <v>Master</v>
      </c>
      <c r="Q1707" t="e">
        <f>_xlfn.XLOOKUP(Table1[[#This Row],[ID]], Table2[ID],#REF!, "Not Found", 0)</f>
        <v>#REF!</v>
      </c>
      <c r="R1707" t="e">
        <f>_xlfn.XLOOKUP(Table1[[#This Row],[ID]], Table2[ID],#REF!, "Not Found", 0)</f>
        <v>#REF!</v>
      </c>
      <c r="S1707" s="3" t="str">
        <f>_xlfn.XLOOKUP(Table1[[#This Row],[ID]], Table2[ID], Table2[Enrollment], "Not Found", 0)</f>
        <v>6/28/2020</v>
      </c>
      <c r="T1707" t="s">
        <v>434</v>
      </c>
    </row>
    <row r="1708" spans="1:20" x14ac:dyDescent="0.3">
      <c r="A1708">
        <v>1143</v>
      </c>
      <c r="B1708">
        <v>134176</v>
      </c>
      <c r="C1708">
        <v>1</v>
      </c>
      <c r="D1708">
        <v>0</v>
      </c>
      <c r="E1708">
        <v>32</v>
      </c>
      <c r="F1708">
        <v>0</v>
      </c>
      <c r="G1708">
        <v>0</v>
      </c>
      <c r="H1708">
        <v>1</v>
      </c>
      <c r="I1708">
        <v>0</v>
      </c>
      <c r="J1708">
        <v>0</v>
      </c>
      <c r="K1708">
        <v>0</v>
      </c>
      <c r="L1708">
        <v>1</v>
      </c>
      <c r="M1708">
        <v>0</v>
      </c>
      <c r="N1708">
        <v>0</v>
      </c>
      <c r="O1708" t="str" cm="1">
        <f t="array" ref="O1708">_xlfn.IFS(Table1[[#This Row],[Divorced]]=1, "Divorced", Table1[[#This Row],[Married]]=1, "Married", Table1[[#This Row],[Single]]=1, "Single", Table1[[#This Row],[Together]]=1, "Together", Table1[[#This Row],[Widow]]=1, "Widow")</f>
        <v>Single</v>
      </c>
      <c r="P1708" t="str" cm="1">
        <f t="array" ref="P1708">_xlfn.IFS(Table1[[#This Row],[Basic]]=1, "Basic", Table1[[#This Row],[Graduate]]=1, "Graduate", Table1[[#This Row],[Master]]=1, "Master", Table1[[#This Row],[PhD]]=1, "PhD", AND(Table1[[#This Row],[Basic]]=0, Table1[[#This Row],[Graduate]]=0, Table1[[#This Row],[Master]]=0, Table1[[#This Row],[PhD]]=0), "NA")</f>
        <v>Graduate</v>
      </c>
      <c r="Q1708" t="e">
        <f>_xlfn.XLOOKUP(Table1[[#This Row],[ID]], Table2[ID],#REF!, "Not Found", 0)</f>
        <v>#REF!</v>
      </c>
      <c r="R1708" t="e">
        <f>_xlfn.XLOOKUP(Table1[[#This Row],[ID]], Table2[ID],#REF!, "Not Found", 0)</f>
        <v>#REF!</v>
      </c>
      <c r="S1708" s="3" t="str">
        <f>_xlfn.XLOOKUP(Table1[[#This Row],[ID]], Table2[ID], Table2[Enrollment], "Not Found", 0)</f>
        <v>10/16/2020</v>
      </c>
      <c r="T1708" t="s">
        <v>435</v>
      </c>
    </row>
    <row r="1709" spans="1:20" x14ac:dyDescent="0.3">
      <c r="A1709">
        <v>1823</v>
      </c>
      <c r="B1709">
        <v>134176</v>
      </c>
      <c r="C1709">
        <v>1</v>
      </c>
      <c r="D1709">
        <v>0</v>
      </c>
      <c r="E1709">
        <v>32</v>
      </c>
      <c r="F1709">
        <v>0</v>
      </c>
      <c r="G1709">
        <v>0</v>
      </c>
      <c r="H1709">
        <v>1</v>
      </c>
      <c r="I1709">
        <v>0</v>
      </c>
      <c r="J1709">
        <v>0</v>
      </c>
      <c r="K1709">
        <v>0</v>
      </c>
      <c r="L1709">
        <v>1</v>
      </c>
      <c r="M1709">
        <v>0</v>
      </c>
      <c r="N1709">
        <v>0</v>
      </c>
      <c r="O1709" t="str" cm="1">
        <f t="array" ref="O1709">_xlfn.IFS(Table1[[#This Row],[Divorced]]=1, "Divorced", Table1[[#This Row],[Married]]=1, "Married", Table1[[#This Row],[Single]]=1, "Single", Table1[[#This Row],[Together]]=1, "Together", Table1[[#This Row],[Widow]]=1, "Widow")</f>
        <v>Single</v>
      </c>
      <c r="P1709" t="str" cm="1">
        <f t="array" ref="P1709">_xlfn.IFS(Table1[[#This Row],[Basic]]=1, "Basic", Table1[[#This Row],[Graduate]]=1, "Graduate", Table1[[#This Row],[Master]]=1, "Master", Table1[[#This Row],[PhD]]=1, "PhD", AND(Table1[[#This Row],[Basic]]=0, Table1[[#This Row],[Graduate]]=0, Table1[[#This Row],[Master]]=0, Table1[[#This Row],[PhD]]=0), "NA")</f>
        <v>Graduate</v>
      </c>
      <c r="Q1709" t="e">
        <f>_xlfn.XLOOKUP(Table1[[#This Row],[ID]], Table2[ID],#REF!, "Not Found", 0)</f>
        <v>#REF!</v>
      </c>
      <c r="R1709" t="e">
        <f>_xlfn.XLOOKUP(Table1[[#This Row],[ID]], Table2[ID],#REF!, "Not Found", 0)</f>
        <v>#REF!</v>
      </c>
      <c r="S1709" s="3" t="str">
        <f>_xlfn.XLOOKUP(Table1[[#This Row],[ID]], Table2[ID], Table2[Enrollment], "Not Found", 0)</f>
        <v>10/16/2020</v>
      </c>
      <c r="T1709" t="s">
        <v>434</v>
      </c>
    </row>
    <row r="1710" spans="1:20" x14ac:dyDescent="0.3">
      <c r="A1710">
        <v>3058</v>
      </c>
      <c r="B1710">
        <v>134109</v>
      </c>
      <c r="C1710">
        <v>0</v>
      </c>
      <c r="D1710">
        <v>1</v>
      </c>
      <c r="E1710">
        <v>49</v>
      </c>
      <c r="F1710">
        <v>0</v>
      </c>
      <c r="G1710">
        <v>1</v>
      </c>
      <c r="H1710">
        <v>0</v>
      </c>
      <c r="I1710">
        <v>0</v>
      </c>
      <c r="J1710">
        <v>0</v>
      </c>
      <c r="K1710">
        <v>0</v>
      </c>
      <c r="L1710">
        <v>0</v>
      </c>
      <c r="M1710">
        <v>1</v>
      </c>
      <c r="N1710">
        <v>0</v>
      </c>
      <c r="O1710" t="str" cm="1">
        <f t="array" ref="O1710">_xlfn.IFS(Table1[[#This Row],[Divorced]]=1, "Divorced", Table1[[#This Row],[Married]]=1, "Married", Table1[[#This Row],[Single]]=1, "Single", Table1[[#This Row],[Together]]=1, "Together", Table1[[#This Row],[Widow]]=1, "Widow")</f>
        <v>Married</v>
      </c>
      <c r="P1710" t="str" cm="1">
        <f t="array" ref="P1710">_xlfn.IFS(Table1[[#This Row],[Basic]]=1, "Basic", Table1[[#This Row],[Graduate]]=1, "Graduate", Table1[[#This Row],[Master]]=1, "Master", Table1[[#This Row],[PhD]]=1, "PhD", AND(Table1[[#This Row],[Basic]]=0, Table1[[#This Row],[Graduate]]=0, Table1[[#This Row],[Master]]=0, Table1[[#This Row],[PhD]]=0), "NA")</f>
        <v>Master</v>
      </c>
      <c r="Q1710" t="e">
        <f>_xlfn.XLOOKUP(Table1[[#This Row],[ID]], Table2[ID],#REF!, "Not Found", 0)</f>
        <v>#REF!</v>
      </c>
      <c r="R1710" t="e">
        <f>_xlfn.XLOOKUP(Table1[[#This Row],[ID]], Table2[ID],#REF!, "Not Found", 0)</f>
        <v>#REF!</v>
      </c>
      <c r="S1710" s="3">
        <f>_xlfn.XLOOKUP(Table1[[#This Row],[ID]], Table2[ID], Table2[Enrollment], "Not Found", 0)</f>
        <v>44169</v>
      </c>
      <c r="T1710" t="s">
        <v>439</v>
      </c>
    </row>
    <row r="1711" spans="1:20" x14ac:dyDescent="0.3">
      <c r="A1711">
        <v>2769</v>
      </c>
      <c r="B1711">
        <v>134074</v>
      </c>
      <c r="C1711">
        <v>1</v>
      </c>
      <c r="D1711">
        <v>1</v>
      </c>
      <c r="E1711">
        <v>68</v>
      </c>
      <c r="F1711">
        <v>0</v>
      </c>
      <c r="G1711">
        <v>0</v>
      </c>
      <c r="H1711">
        <v>0</v>
      </c>
      <c r="I1711">
        <v>1</v>
      </c>
      <c r="J1711">
        <v>0</v>
      </c>
      <c r="K1711">
        <v>0</v>
      </c>
      <c r="L1711">
        <v>1</v>
      </c>
      <c r="M1711">
        <v>0</v>
      </c>
      <c r="N1711">
        <v>0</v>
      </c>
      <c r="O1711" t="str" cm="1">
        <f t="array" ref="O1711">_xlfn.IFS(Table1[[#This Row],[Divorced]]=1, "Divorced", Table1[[#This Row],[Married]]=1, "Married", Table1[[#This Row],[Single]]=1, "Single", Table1[[#This Row],[Together]]=1, "Together", Table1[[#This Row],[Widow]]=1, "Widow")</f>
        <v>Together</v>
      </c>
      <c r="P1711" t="str" cm="1">
        <f t="array" ref="P1711">_xlfn.IFS(Table1[[#This Row],[Basic]]=1, "Basic", Table1[[#This Row],[Graduate]]=1, "Graduate", Table1[[#This Row],[Master]]=1, "Master", Table1[[#This Row],[PhD]]=1, "PhD", AND(Table1[[#This Row],[Basic]]=0, Table1[[#This Row],[Graduate]]=0, Table1[[#This Row],[Master]]=0, Table1[[#This Row],[PhD]]=0), "NA")</f>
        <v>Graduate</v>
      </c>
      <c r="Q1711" t="e">
        <f>_xlfn.XLOOKUP(Table1[[#This Row],[ID]], Table2[ID],#REF!, "Not Found", 0)</f>
        <v>#REF!</v>
      </c>
      <c r="R1711" t="e">
        <f>_xlfn.XLOOKUP(Table1[[#This Row],[ID]], Table2[ID],#REF!, "Not Found", 0)</f>
        <v>#REF!</v>
      </c>
      <c r="S1711" s="3" t="str">
        <f>_xlfn.XLOOKUP(Table1[[#This Row],[ID]], Table2[ID], Table2[Enrollment], "Not Found", 0)</f>
        <v>12/18/2019</v>
      </c>
      <c r="T1711" t="s">
        <v>435</v>
      </c>
    </row>
    <row r="1712" spans="1:20" x14ac:dyDescent="0.3">
      <c r="A1712">
        <v>1994</v>
      </c>
      <c r="B1712">
        <v>134053</v>
      </c>
      <c r="C1712">
        <v>0</v>
      </c>
      <c r="D1712">
        <v>1</v>
      </c>
      <c r="E1712">
        <v>52</v>
      </c>
      <c r="F1712">
        <v>0</v>
      </c>
      <c r="G1712">
        <v>0</v>
      </c>
      <c r="H1712">
        <v>0</v>
      </c>
      <c r="I1712">
        <v>1</v>
      </c>
      <c r="J1712">
        <v>0</v>
      </c>
      <c r="K1712">
        <v>0</v>
      </c>
      <c r="L1712">
        <v>0</v>
      </c>
      <c r="M1712">
        <v>1</v>
      </c>
      <c r="N1712">
        <v>0</v>
      </c>
      <c r="O1712" t="str" cm="1">
        <f t="array" ref="O1712">_xlfn.IFS(Table1[[#This Row],[Divorced]]=1, "Divorced", Table1[[#This Row],[Married]]=1, "Married", Table1[[#This Row],[Single]]=1, "Single", Table1[[#This Row],[Together]]=1, "Together", Table1[[#This Row],[Widow]]=1, "Widow")</f>
        <v>Together</v>
      </c>
      <c r="P1712" t="str" cm="1">
        <f t="array" ref="P1712">_xlfn.IFS(Table1[[#This Row],[Basic]]=1, "Basic", Table1[[#This Row],[Graduate]]=1, "Graduate", Table1[[#This Row],[Master]]=1, "Master", Table1[[#This Row],[PhD]]=1, "PhD", AND(Table1[[#This Row],[Basic]]=0, Table1[[#This Row],[Graduate]]=0, Table1[[#This Row],[Master]]=0, Table1[[#This Row],[PhD]]=0), "NA")</f>
        <v>Master</v>
      </c>
      <c r="Q1712" t="e">
        <f>_xlfn.XLOOKUP(Table1[[#This Row],[ID]], Table2[ID],#REF!, "Not Found", 0)</f>
        <v>#REF!</v>
      </c>
      <c r="R1712" t="e">
        <f>_xlfn.XLOOKUP(Table1[[#This Row],[ID]], Table2[ID],#REF!, "Not Found", 0)</f>
        <v>#REF!</v>
      </c>
      <c r="S1712" s="3" t="str">
        <f>_xlfn.XLOOKUP(Table1[[#This Row],[ID]], Table2[ID], Table2[Enrollment], "Not Found", 0)</f>
        <v>2/15/2019</v>
      </c>
      <c r="T1712" t="s">
        <v>438</v>
      </c>
    </row>
    <row r="1713" spans="1:20" x14ac:dyDescent="0.3">
      <c r="A1713">
        <v>2277</v>
      </c>
      <c r="B1713">
        <v>134043</v>
      </c>
      <c r="C1713">
        <v>1</v>
      </c>
      <c r="D1713">
        <v>0</v>
      </c>
      <c r="E1713">
        <v>42</v>
      </c>
      <c r="F1713">
        <v>0</v>
      </c>
      <c r="G1713">
        <v>0</v>
      </c>
      <c r="H1713">
        <v>0</v>
      </c>
      <c r="I1713">
        <v>1</v>
      </c>
      <c r="J1713">
        <v>0</v>
      </c>
      <c r="K1713">
        <v>0</v>
      </c>
      <c r="L1713">
        <v>0</v>
      </c>
      <c r="M1713">
        <v>0</v>
      </c>
      <c r="N1713">
        <v>1</v>
      </c>
      <c r="O1713" t="str" cm="1">
        <f t="array" ref="O1713">_xlfn.IFS(Table1[[#This Row],[Divorced]]=1, "Divorced", Table1[[#This Row],[Married]]=1, "Married", Table1[[#This Row],[Single]]=1, "Single", Table1[[#This Row],[Together]]=1, "Together", Table1[[#This Row],[Widow]]=1, "Widow")</f>
        <v>Together</v>
      </c>
      <c r="P1713" t="str" cm="1">
        <f t="array" ref="P1713">_xlfn.IFS(Table1[[#This Row],[Basic]]=1, "Basic", Table1[[#This Row],[Graduate]]=1, "Graduate", Table1[[#This Row],[Master]]=1, "Master", Table1[[#This Row],[PhD]]=1, "PhD", AND(Table1[[#This Row],[Basic]]=0, Table1[[#This Row],[Graduate]]=0, Table1[[#This Row],[Master]]=0, Table1[[#This Row],[PhD]]=0), "NA")</f>
        <v>PhD</v>
      </c>
      <c r="Q1713" t="e">
        <f>_xlfn.XLOOKUP(Table1[[#This Row],[ID]], Table2[ID],#REF!, "Not Found", 0)</f>
        <v>#REF!</v>
      </c>
      <c r="R1713" t="e">
        <f>_xlfn.XLOOKUP(Table1[[#This Row],[ID]], Table2[ID],#REF!, "Not Found", 0)</f>
        <v>#REF!</v>
      </c>
      <c r="S1713" s="3" t="str">
        <f>_xlfn.XLOOKUP(Table1[[#This Row],[ID]], Table2[ID], Table2[Enrollment], "Not Found", 0)</f>
        <v>3/31/2020</v>
      </c>
      <c r="T1713" t="s">
        <v>435</v>
      </c>
    </row>
    <row r="1714" spans="1:20" x14ac:dyDescent="0.3">
      <c r="A1714">
        <v>1821</v>
      </c>
      <c r="B1714">
        <v>134026</v>
      </c>
      <c r="C1714">
        <v>1</v>
      </c>
      <c r="D1714">
        <v>1</v>
      </c>
      <c r="E1714">
        <v>70</v>
      </c>
      <c r="F1714">
        <v>0</v>
      </c>
      <c r="G1714">
        <v>0</v>
      </c>
      <c r="H1714">
        <v>0</v>
      </c>
      <c r="I1714">
        <v>1</v>
      </c>
      <c r="J1714">
        <v>0</v>
      </c>
      <c r="K1714">
        <v>0</v>
      </c>
      <c r="L1714">
        <v>1</v>
      </c>
      <c r="M1714">
        <v>0</v>
      </c>
      <c r="N1714">
        <v>0</v>
      </c>
      <c r="O1714" t="str" cm="1">
        <f t="array" ref="O1714">_xlfn.IFS(Table1[[#This Row],[Divorced]]=1, "Divorced", Table1[[#This Row],[Married]]=1, "Married", Table1[[#This Row],[Single]]=1, "Single", Table1[[#This Row],[Together]]=1, "Together", Table1[[#This Row],[Widow]]=1, "Widow")</f>
        <v>Together</v>
      </c>
      <c r="P1714" t="str" cm="1">
        <f t="array" ref="P1714">_xlfn.IFS(Table1[[#This Row],[Basic]]=1, "Basic", Table1[[#This Row],[Graduate]]=1, "Graduate", Table1[[#This Row],[Master]]=1, "Master", Table1[[#This Row],[PhD]]=1, "PhD", AND(Table1[[#This Row],[Basic]]=0, Table1[[#This Row],[Graduate]]=0, Table1[[#This Row],[Master]]=0, Table1[[#This Row],[PhD]]=0), "NA")</f>
        <v>Graduate</v>
      </c>
      <c r="Q1714" t="e">
        <f>_xlfn.XLOOKUP(Table1[[#This Row],[ID]], Table2[ID],#REF!, "Not Found", 0)</f>
        <v>#REF!</v>
      </c>
      <c r="R1714" t="e">
        <f>_xlfn.XLOOKUP(Table1[[#This Row],[ID]], Table2[ID],#REF!, "Not Found", 0)</f>
        <v>#REF!</v>
      </c>
      <c r="S1714" s="3">
        <f>_xlfn.XLOOKUP(Table1[[#This Row],[ID]], Table2[ID], Table2[Enrollment], "Not Found", 0)</f>
        <v>44105</v>
      </c>
      <c r="T1714" t="s">
        <v>435</v>
      </c>
    </row>
    <row r="1715" spans="1:20" x14ac:dyDescent="0.3">
      <c r="A1715">
        <v>2765</v>
      </c>
      <c r="B1715">
        <v>134026</v>
      </c>
      <c r="C1715">
        <v>1</v>
      </c>
      <c r="D1715">
        <v>1</v>
      </c>
      <c r="E1715">
        <v>70</v>
      </c>
      <c r="F1715">
        <v>0</v>
      </c>
      <c r="G1715">
        <v>0</v>
      </c>
      <c r="H1715">
        <v>0</v>
      </c>
      <c r="I1715">
        <v>1</v>
      </c>
      <c r="J1715">
        <v>0</v>
      </c>
      <c r="K1715">
        <v>0</v>
      </c>
      <c r="L1715">
        <v>1</v>
      </c>
      <c r="M1715">
        <v>0</v>
      </c>
      <c r="N1715">
        <v>0</v>
      </c>
      <c r="O1715" t="str" cm="1">
        <f t="array" ref="O1715">_xlfn.IFS(Table1[[#This Row],[Divorced]]=1, "Divorced", Table1[[#This Row],[Married]]=1, "Married", Table1[[#This Row],[Single]]=1, "Single", Table1[[#This Row],[Together]]=1, "Together", Table1[[#This Row],[Widow]]=1, "Widow")</f>
        <v>Together</v>
      </c>
      <c r="P1715" t="str" cm="1">
        <f t="array" ref="P1715">_xlfn.IFS(Table1[[#This Row],[Basic]]=1, "Basic", Table1[[#This Row],[Graduate]]=1, "Graduate", Table1[[#This Row],[Master]]=1, "Master", Table1[[#This Row],[PhD]]=1, "PhD", AND(Table1[[#This Row],[Basic]]=0, Table1[[#This Row],[Graduate]]=0, Table1[[#This Row],[Master]]=0, Table1[[#This Row],[PhD]]=0), "NA")</f>
        <v>Graduate</v>
      </c>
      <c r="Q1715" t="e">
        <f>_xlfn.XLOOKUP(Table1[[#This Row],[ID]], Table2[ID],#REF!, "Not Found", 0)</f>
        <v>#REF!</v>
      </c>
      <c r="R1715" t="e">
        <f>_xlfn.XLOOKUP(Table1[[#This Row],[ID]], Table2[ID],#REF!, "Not Found", 0)</f>
        <v>#REF!</v>
      </c>
      <c r="S1715" s="3">
        <f>_xlfn.XLOOKUP(Table1[[#This Row],[ID]], Table2[ID], Table2[Enrollment], "Not Found", 0)</f>
        <v>44105</v>
      </c>
      <c r="T1715" t="s">
        <v>434</v>
      </c>
    </row>
    <row r="1716" spans="1:20" x14ac:dyDescent="0.3">
      <c r="A1716">
        <v>1316</v>
      </c>
      <c r="B1716">
        <v>133996</v>
      </c>
      <c r="C1716">
        <v>0</v>
      </c>
      <c r="D1716">
        <v>0</v>
      </c>
      <c r="E1716">
        <v>31</v>
      </c>
      <c r="F1716">
        <v>0</v>
      </c>
      <c r="G1716">
        <v>0</v>
      </c>
      <c r="H1716">
        <v>1</v>
      </c>
      <c r="I1716">
        <v>0</v>
      </c>
      <c r="J1716">
        <v>0</v>
      </c>
      <c r="K1716">
        <v>0</v>
      </c>
      <c r="L1716">
        <v>0</v>
      </c>
      <c r="M1716">
        <v>0</v>
      </c>
      <c r="N1716">
        <v>1</v>
      </c>
      <c r="O1716" t="str" cm="1">
        <f t="array" ref="O1716">_xlfn.IFS(Table1[[#This Row],[Divorced]]=1, "Divorced", Table1[[#This Row],[Married]]=1, "Married", Table1[[#This Row],[Single]]=1, "Single", Table1[[#This Row],[Together]]=1, "Together", Table1[[#This Row],[Widow]]=1, "Widow")</f>
        <v>Single</v>
      </c>
      <c r="P1716" t="str" cm="1">
        <f t="array" ref="P1716">_xlfn.IFS(Table1[[#This Row],[Basic]]=1, "Basic", Table1[[#This Row],[Graduate]]=1, "Graduate", Table1[[#This Row],[Master]]=1, "Master", Table1[[#This Row],[PhD]]=1, "PhD", AND(Table1[[#This Row],[Basic]]=0, Table1[[#This Row],[Graduate]]=0, Table1[[#This Row],[Master]]=0, Table1[[#This Row],[PhD]]=0), "NA")</f>
        <v>PhD</v>
      </c>
      <c r="Q1716" t="e">
        <f>_xlfn.XLOOKUP(Table1[[#This Row],[ID]], Table2[ID],#REF!, "Not Found", 0)</f>
        <v>#REF!</v>
      </c>
      <c r="R1716" t="e">
        <f>_xlfn.XLOOKUP(Table1[[#This Row],[ID]], Table2[ID],#REF!, "Not Found", 0)</f>
        <v>#REF!</v>
      </c>
      <c r="S1716" s="3" t="str">
        <f>_xlfn.XLOOKUP(Table1[[#This Row],[ID]], Table2[ID], Table2[Enrollment], "Not Found", 0)</f>
        <v>2/16/2020</v>
      </c>
      <c r="T1716" t="s">
        <v>438</v>
      </c>
    </row>
    <row r="1717" spans="1:20" x14ac:dyDescent="0.3">
      <c r="A1717">
        <v>2639</v>
      </c>
      <c r="B1717">
        <v>133996</v>
      </c>
      <c r="C1717">
        <v>0</v>
      </c>
      <c r="D1717">
        <v>0</v>
      </c>
      <c r="E1717">
        <v>31</v>
      </c>
      <c r="F1717">
        <v>0</v>
      </c>
      <c r="G1717">
        <v>0</v>
      </c>
      <c r="H1717">
        <v>1</v>
      </c>
      <c r="I1717">
        <v>0</v>
      </c>
      <c r="J1717">
        <v>0</v>
      </c>
      <c r="K1717">
        <v>0</v>
      </c>
      <c r="L1717">
        <v>0</v>
      </c>
      <c r="M1717">
        <v>0</v>
      </c>
      <c r="N1717">
        <v>1</v>
      </c>
      <c r="O1717" t="str" cm="1">
        <f t="array" ref="O1717">_xlfn.IFS(Table1[[#This Row],[Divorced]]=1, "Divorced", Table1[[#This Row],[Married]]=1, "Married", Table1[[#This Row],[Single]]=1, "Single", Table1[[#This Row],[Together]]=1, "Together", Table1[[#This Row],[Widow]]=1, "Widow")</f>
        <v>Single</v>
      </c>
      <c r="P1717" t="str" cm="1">
        <f t="array" ref="P1717">_xlfn.IFS(Table1[[#This Row],[Basic]]=1, "Basic", Table1[[#This Row],[Graduate]]=1, "Graduate", Table1[[#This Row],[Master]]=1, "Master", Table1[[#This Row],[PhD]]=1, "PhD", AND(Table1[[#This Row],[Basic]]=0, Table1[[#This Row],[Graduate]]=0, Table1[[#This Row],[Master]]=0, Table1[[#This Row],[PhD]]=0), "NA")</f>
        <v>PhD</v>
      </c>
      <c r="Q1717" t="e">
        <f>_xlfn.XLOOKUP(Table1[[#This Row],[ID]], Table2[ID],#REF!, "Not Found", 0)</f>
        <v>#REF!</v>
      </c>
      <c r="R1717" t="e">
        <f>_xlfn.XLOOKUP(Table1[[#This Row],[ID]], Table2[ID],#REF!, "Not Found", 0)</f>
        <v>#REF!</v>
      </c>
      <c r="S1717" s="3" t="str">
        <f>_xlfn.XLOOKUP(Table1[[#This Row],[ID]], Table2[ID], Table2[Enrollment], "Not Found", 0)</f>
        <v>2/16/2020</v>
      </c>
      <c r="T1717" t="s">
        <v>434</v>
      </c>
    </row>
    <row r="1718" spans="1:20" x14ac:dyDescent="0.3">
      <c r="A1718">
        <v>2266</v>
      </c>
      <c r="B1718">
        <v>133986</v>
      </c>
      <c r="C1718">
        <v>1</v>
      </c>
      <c r="D1718">
        <v>0</v>
      </c>
      <c r="E1718">
        <v>50</v>
      </c>
      <c r="F1718">
        <v>1</v>
      </c>
      <c r="G1718">
        <v>0</v>
      </c>
      <c r="H1718">
        <v>0</v>
      </c>
      <c r="I1718">
        <v>0</v>
      </c>
      <c r="J1718">
        <v>0</v>
      </c>
      <c r="K1718">
        <v>0</v>
      </c>
      <c r="L1718">
        <v>1</v>
      </c>
      <c r="M1718">
        <v>0</v>
      </c>
      <c r="N1718">
        <v>0</v>
      </c>
      <c r="O1718" t="str" cm="1">
        <f t="array" ref="O1718">_xlfn.IFS(Table1[[#This Row],[Divorced]]=1, "Divorced", Table1[[#This Row],[Married]]=1, "Married", Table1[[#This Row],[Single]]=1, "Single", Table1[[#This Row],[Together]]=1, "Together", Table1[[#This Row],[Widow]]=1, "Widow")</f>
        <v>Divorced</v>
      </c>
      <c r="P1718" t="str" cm="1">
        <f t="array" ref="P1718">_xlfn.IFS(Table1[[#This Row],[Basic]]=1, "Basic", Table1[[#This Row],[Graduate]]=1, "Graduate", Table1[[#This Row],[Master]]=1, "Master", Table1[[#This Row],[PhD]]=1, "PhD", AND(Table1[[#This Row],[Basic]]=0, Table1[[#This Row],[Graduate]]=0, Table1[[#This Row],[Master]]=0, Table1[[#This Row],[PhD]]=0), "NA")</f>
        <v>Graduate</v>
      </c>
      <c r="Q1718" t="e">
        <f>_xlfn.XLOOKUP(Table1[[#This Row],[ID]], Table2[ID],#REF!, "Not Found", 0)</f>
        <v>#REF!</v>
      </c>
      <c r="R1718" t="e">
        <f>_xlfn.XLOOKUP(Table1[[#This Row],[ID]], Table2[ID],#REF!, "Not Found", 0)</f>
        <v>#REF!</v>
      </c>
      <c r="S1718" s="3" t="str">
        <f>_xlfn.XLOOKUP(Table1[[#This Row],[ID]], Table2[ID], Table2[Enrollment], "Not Found", 0)</f>
        <v>8/19/2019</v>
      </c>
      <c r="T1718" t="s">
        <v>439</v>
      </c>
    </row>
    <row r="1719" spans="1:20" x14ac:dyDescent="0.3">
      <c r="A1719">
        <v>2589</v>
      </c>
      <c r="B1719">
        <v>133955</v>
      </c>
      <c r="C1719">
        <v>1</v>
      </c>
      <c r="D1719">
        <v>0</v>
      </c>
      <c r="E1719">
        <v>45</v>
      </c>
      <c r="F1719">
        <v>0</v>
      </c>
      <c r="G1719">
        <v>0</v>
      </c>
      <c r="H1719">
        <v>1</v>
      </c>
      <c r="I1719">
        <v>0</v>
      </c>
      <c r="J1719">
        <v>0</v>
      </c>
      <c r="K1719">
        <v>0</v>
      </c>
      <c r="L1719">
        <v>1</v>
      </c>
      <c r="M1719">
        <v>0</v>
      </c>
      <c r="N1719">
        <v>0</v>
      </c>
      <c r="O1719" t="str" cm="1">
        <f t="array" ref="O1719">_xlfn.IFS(Table1[[#This Row],[Divorced]]=1, "Divorced", Table1[[#This Row],[Married]]=1, "Married", Table1[[#This Row],[Single]]=1, "Single", Table1[[#This Row],[Together]]=1, "Together", Table1[[#This Row],[Widow]]=1, "Widow")</f>
        <v>Single</v>
      </c>
      <c r="P1719" t="str" cm="1">
        <f t="array" ref="P1719">_xlfn.IFS(Table1[[#This Row],[Basic]]=1, "Basic", Table1[[#This Row],[Graduate]]=1, "Graduate", Table1[[#This Row],[Master]]=1, "Master", Table1[[#This Row],[PhD]]=1, "PhD", AND(Table1[[#This Row],[Basic]]=0, Table1[[#This Row],[Graduate]]=0, Table1[[#This Row],[Master]]=0, Table1[[#This Row],[PhD]]=0), "NA")</f>
        <v>Graduate</v>
      </c>
      <c r="Q1719" t="e">
        <f>_xlfn.XLOOKUP(Table1[[#This Row],[ID]], Table2[ID],#REF!, "Not Found", 0)</f>
        <v>#REF!</v>
      </c>
      <c r="R1719" t="e">
        <f>_xlfn.XLOOKUP(Table1[[#This Row],[ID]], Table2[ID],#REF!, "Not Found", 0)</f>
        <v>#REF!</v>
      </c>
      <c r="S1719" s="3" t="str">
        <f>_xlfn.XLOOKUP(Table1[[#This Row],[ID]], Table2[ID], Table2[Enrollment], "Not Found", 0)</f>
        <v>1/14/2020</v>
      </c>
      <c r="T1719" t="s">
        <v>435</v>
      </c>
    </row>
    <row r="1720" spans="1:20" x14ac:dyDescent="0.3">
      <c r="A1720">
        <v>1019</v>
      </c>
      <c r="B1720">
        <v>133812</v>
      </c>
      <c r="C1720">
        <v>1</v>
      </c>
      <c r="D1720">
        <v>0</v>
      </c>
      <c r="E1720">
        <v>35</v>
      </c>
      <c r="F1720">
        <v>0</v>
      </c>
      <c r="G1720">
        <v>0</v>
      </c>
      <c r="H1720">
        <v>1</v>
      </c>
      <c r="I1720">
        <v>0</v>
      </c>
      <c r="J1720">
        <v>0</v>
      </c>
      <c r="K1720">
        <v>0</v>
      </c>
      <c r="L1720">
        <v>0</v>
      </c>
      <c r="M1720">
        <v>0</v>
      </c>
      <c r="N1720">
        <v>0</v>
      </c>
      <c r="O1720" t="str" cm="1">
        <f t="array" ref="O1720">_xlfn.IFS(Table1[[#This Row],[Divorced]]=1, "Divorced", Table1[[#This Row],[Married]]=1, "Married", Table1[[#This Row],[Single]]=1, "Single", Table1[[#This Row],[Together]]=1, "Together", Table1[[#This Row],[Widow]]=1, "Widow")</f>
        <v>Single</v>
      </c>
      <c r="P1720" t="str" cm="1">
        <f t="array" ref="P1720">_xlfn.IFS(Table1[[#This Row],[Basic]]=1, "Basic", Table1[[#This Row],[Graduate]]=1, "Graduate", Table1[[#This Row],[Master]]=1, "Master", Table1[[#This Row],[PhD]]=1, "PhD", AND(Table1[[#This Row],[Basic]]=0, Table1[[#This Row],[Graduate]]=0, Table1[[#This Row],[Master]]=0, Table1[[#This Row],[PhD]]=0), "NA")</f>
        <v>NA</v>
      </c>
      <c r="Q1720" t="e">
        <f>_xlfn.XLOOKUP(Table1[[#This Row],[ID]], Table2[ID],#REF!, "Not Found", 0)</f>
        <v>#REF!</v>
      </c>
      <c r="R1720" t="e">
        <f>_xlfn.XLOOKUP(Table1[[#This Row],[ID]], Table2[ID],#REF!, "Not Found", 0)</f>
        <v>#REF!</v>
      </c>
      <c r="S1720" s="3">
        <f>_xlfn.XLOOKUP(Table1[[#This Row],[ID]], Table2[ID], Table2[Enrollment], "Not Found", 0)</f>
        <v>43742</v>
      </c>
      <c r="T1720" t="s">
        <v>434</v>
      </c>
    </row>
    <row r="1721" spans="1:20" x14ac:dyDescent="0.3">
      <c r="A1721">
        <v>1127</v>
      </c>
      <c r="B1721">
        <v>133762</v>
      </c>
      <c r="C1721">
        <v>2</v>
      </c>
      <c r="D1721">
        <v>1</v>
      </c>
      <c r="E1721">
        <v>61</v>
      </c>
      <c r="F1721">
        <v>0</v>
      </c>
      <c r="G1721">
        <v>1</v>
      </c>
      <c r="H1721">
        <v>0</v>
      </c>
      <c r="I1721">
        <v>0</v>
      </c>
      <c r="J1721">
        <v>0</v>
      </c>
      <c r="K1721">
        <v>0</v>
      </c>
      <c r="L1721">
        <v>0</v>
      </c>
      <c r="M1721">
        <v>0</v>
      </c>
      <c r="N1721">
        <v>1</v>
      </c>
      <c r="O1721" t="str" cm="1">
        <f t="array" ref="O1721">_xlfn.IFS(Table1[[#This Row],[Divorced]]=1, "Divorced", Table1[[#This Row],[Married]]=1, "Married", Table1[[#This Row],[Single]]=1, "Single", Table1[[#This Row],[Together]]=1, "Together", Table1[[#This Row],[Widow]]=1, "Widow")</f>
        <v>Married</v>
      </c>
      <c r="P1721" t="str" cm="1">
        <f t="array" ref="P1721">_xlfn.IFS(Table1[[#This Row],[Basic]]=1, "Basic", Table1[[#This Row],[Graduate]]=1, "Graduate", Table1[[#This Row],[Master]]=1, "Master", Table1[[#This Row],[PhD]]=1, "PhD", AND(Table1[[#This Row],[Basic]]=0, Table1[[#This Row],[Graduate]]=0, Table1[[#This Row],[Master]]=0, Table1[[#This Row],[PhD]]=0), "NA")</f>
        <v>PhD</v>
      </c>
      <c r="Q1721" t="e">
        <f>_xlfn.XLOOKUP(Table1[[#This Row],[ID]], Table2[ID],#REF!, "Not Found", 0)</f>
        <v>#REF!</v>
      </c>
      <c r="R1721" t="e">
        <f>_xlfn.XLOOKUP(Table1[[#This Row],[ID]], Table2[ID],#REF!, "Not Found", 0)</f>
        <v>#REF!</v>
      </c>
      <c r="S1721" s="3">
        <f>_xlfn.XLOOKUP(Table1[[#This Row],[ID]], Table2[ID], Table2[Enrollment], "Not Found", 0)</f>
        <v>43811</v>
      </c>
      <c r="T1721" t="s">
        <v>434</v>
      </c>
    </row>
    <row r="1722" spans="1:20" x14ac:dyDescent="0.3">
      <c r="A1722">
        <v>1729</v>
      </c>
      <c r="B1722">
        <v>133697</v>
      </c>
      <c r="C1722">
        <v>1</v>
      </c>
      <c r="D1722">
        <v>0</v>
      </c>
      <c r="E1722">
        <v>50</v>
      </c>
      <c r="F1722">
        <v>0</v>
      </c>
      <c r="G1722">
        <v>0</v>
      </c>
      <c r="H1722">
        <v>1</v>
      </c>
      <c r="I1722">
        <v>0</v>
      </c>
      <c r="J1722">
        <v>0</v>
      </c>
      <c r="K1722">
        <v>0</v>
      </c>
      <c r="L1722">
        <v>1</v>
      </c>
      <c r="M1722">
        <v>0</v>
      </c>
      <c r="N1722">
        <v>0</v>
      </c>
      <c r="O1722" t="str" cm="1">
        <f t="array" ref="O1722">_xlfn.IFS(Table1[[#This Row],[Divorced]]=1, "Divorced", Table1[[#This Row],[Married]]=1, "Married", Table1[[#This Row],[Single]]=1, "Single", Table1[[#This Row],[Together]]=1, "Together", Table1[[#This Row],[Widow]]=1, "Widow")</f>
        <v>Single</v>
      </c>
      <c r="P1722" t="str" cm="1">
        <f t="array" ref="P1722">_xlfn.IFS(Table1[[#This Row],[Basic]]=1, "Basic", Table1[[#This Row],[Graduate]]=1, "Graduate", Table1[[#This Row],[Master]]=1, "Master", Table1[[#This Row],[PhD]]=1, "PhD", AND(Table1[[#This Row],[Basic]]=0, Table1[[#This Row],[Graduate]]=0, Table1[[#This Row],[Master]]=0, Table1[[#This Row],[PhD]]=0), "NA")</f>
        <v>Graduate</v>
      </c>
      <c r="Q1722" t="e">
        <f>_xlfn.XLOOKUP(Table1[[#This Row],[ID]], Table2[ID],#REF!, "Not Found", 0)</f>
        <v>#REF!</v>
      </c>
      <c r="R1722" t="e">
        <f>_xlfn.XLOOKUP(Table1[[#This Row],[ID]], Table2[ID],#REF!, "Not Found", 0)</f>
        <v>#REF!</v>
      </c>
      <c r="S1722" s="3" t="str">
        <f>_xlfn.XLOOKUP(Table1[[#This Row],[ID]], Table2[ID], Table2[Enrollment], "Not Found", 0)</f>
        <v>2/20/2020</v>
      </c>
      <c r="T1722" t="s">
        <v>437</v>
      </c>
    </row>
    <row r="1723" spans="1:20" x14ac:dyDescent="0.3">
      <c r="A1723">
        <v>2198</v>
      </c>
      <c r="B1723">
        <v>133629</v>
      </c>
      <c r="C1723">
        <v>1</v>
      </c>
      <c r="D1723">
        <v>1</v>
      </c>
      <c r="E1723">
        <v>57</v>
      </c>
      <c r="F1723">
        <v>0</v>
      </c>
      <c r="G1723">
        <v>0</v>
      </c>
      <c r="H1723">
        <v>0</v>
      </c>
      <c r="I1723">
        <v>1</v>
      </c>
      <c r="J1723">
        <v>0</v>
      </c>
      <c r="K1723">
        <v>0</v>
      </c>
      <c r="L1723">
        <v>0</v>
      </c>
      <c r="M1723">
        <v>0</v>
      </c>
      <c r="N1723">
        <v>1</v>
      </c>
      <c r="O1723" t="str" cm="1">
        <f t="array" ref="O1723">_xlfn.IFS(Table1[[#This Row],[Divorced]]=1, "Divorced", Table1[[#This Row],[Married]]=1, "Married", Table1[[#This Row],[Single]]=1, "Single", Table1[[#This Row],[Together]]=1, "Together", Table1[[#This Row],[Widow]]=1, "Widow")</f>
        <v>Together</v>
      </c>
      <c r="P1723" t="str" cm="1">
        <f t="array" ref="P1723">_xlfn.IFS(Table1[[#This Row],[Basic]]=1, "Basic", Table1[[#This Row],[Graduate]]=1, "Graduate", Table1[[#This Row],[Master]]=1, "Master", Table1[[#This Row],[PhD]]=1, "PhD", AND(Table1[[#This Row],[Basic]]=0, Table1[[#This Row],[Graduate]]=0, Table1[[#This Row],[Master]]=0, Table1[[#This Row],[PhD]]=0), "NA")</f>
        <v>PhD</v>
      </c>
      <c r="Q1723" t="e">
        <f>_xlfn.XLOOKUP(Table1[[#This Row],[ID]], Table2[ID],#REF!, "Not Found", 0)</f>
        <v>#REF!</v>
      </c>
      <c r="R1723" t="e">
        <f>_xlfn.XLOOKUP(Table1[[#This Row],[ID]], Table2[ID],#REF!, "Not Found", 0)</f>
        <v>#REF!</v>
      </c>
      <c r="S1723" s="3" t="str">
        <f>_xlfn.XLOOKUP(Table1[[#This Row],[ID]], Table2[ID], Table2[Enrollment], "Not Found", 0)</f>
        <v>1/13/2019</v>
      </c>
      <c r="T1723" t="s">
        <v>438</v>
      </c>
    </row>
    <row r="1724" spans="1:20" x14ac:dyDescent="0.3">
      <c r="A1724">
        <v>1754</v>
      </c>
      <c r="B1724">
        <v>133622</v>
      </c>
      <c r="C1724">
        <v>1</v>
      </c>
      <c r="D1724">
        <v>1</v>
      </c>
      <c r="E1724">
        <v>48</v>
      </c>
      <c r="F1724">
        <v>0</v>
      </c>
      <c r="G1724">
        <v>1</v>
      </c>
      <c r="H1724">
        <v>0</v>
      </c>
      <c r="I1724">
        <v>0</v>
      </c>
      <c r="J1724">
        <v>0</v>
      </c>
      <c r="K1724">
        <v>0</v>
      </c>
      <c r="L1724">
        <v>1</v>
      </c>
      <c r="M1724">
        <v>0</v>
      </c>
      <c r="N1724">
        <v>0</v>
      </c>
      <c r="O1724" t="str" cm="1">
        <f t="array" ref="O1724">_xlfn.IFS(Table1[[#This Row],[Divorced]]=1, "Divorced", Table1[[#This Row],[Married]]=1, "Married", Table1[[#This Row],[Single]]=1, "Single", Table1[[#This Row],[Together]]=1, "Together", Table1[[#This Row],[Widow]]=1, "Widow")</f>
        <v>Married</v>
      </c>
      <c r="P1724" t="str" cm="1">
        <f t="array" ref="P1724">_xlfn.IFS(Table1[[#This Row],[Basic]]=1, "Basic", Table1[[#This Row],[Graduate]]=1, "Graduate", Table1[[#This Row],[Master]]=1, "Master", Table1[[#This Row],[PhD]]=1, "PhD", AND(Table1[[#This Row],[Basic]]=0, Table1[[#This Row],[Graduate]]=0, Table1[[#This Row],[Master]]=0, Table1[[#This Row],[PhD]]=0), "NA")</f>
        <v>Graduate</v>
      </c>
      <c r="Q1724" t="e">
        <f>_xlfn.XLOOKUP(Table1[[#This Row],[ID]], Table2[ID],#REF!, "Not Found", 0)</f>
        <v>#REF!</v>
      </c>
      <c r="R1724" t="e">
        <f>_xlfn.XLOOKUP(Table1[[#This Row],[ID]], Table2[ID],#REF!, "Not Found", 0)</f>
        <v>#REF!</v>
      </c>
      <c r="S1724" s="3" t="str">
        <f>_xlfn.XLOOKUP(Table1[[#This Row],[ID]], Table2[ID], Table2[Enrollment], "Not Found", 0)</f>
        <v>9/18/2019</v>
      </c>
      <c r="T1724" t="s">
        <v>438</v>
      </c>
    </row>
    <row r="1725" spans="1:20" x14ac:dyDescent="0.3">
      <c r="A1725">
        <v>3098</v>
      </c>
      <c r="B1725">
        <v>133590</v>
      </c>
      <c r="C1725">
        <v>2</v>
      </c>
      <c r="D1725">
        <v>1</v>
      </c>
      <c r="E1725">
        <v>46</v>
      </c>
      <c r="F1725">
        <v>0</v>
      </c>
      <c r="G1725">
        <v>0</v>
      </c>
      <c r="H1725">
        <v>0</v>
      </c>
      <c r="I1725">
        <v>1</v>
      </c>
      <c r="J1725">
        <v>0</v>
      </c>
      <c r="K1725">
        <v>0</v>
      </c>
      <c r="L1725">
        <v>1</v>
      </c>
      <c r="M1725">
        <v>0</v>
      </c>
      <c r="N1725">
        <v>0</v>
      </c>
      <c r="O1725" t="str" cm="1">
        <f t="array" ref="O1725">_xlfn.IFS(Table1[[#This Row],[Divorced]]=1, "Divorced", Table1[[#This Row],[Married]]=1, "Married", Table1[[#This Row],[Single]]=1, "Single", Table1[[#This Row],[Together]]=1, "Together", Table1[[#This Row],[Widow]]=1, "Widow")</f>
        <v>Together</v>
      </c>
      <c r="P1725" t="str" cm="1">
        <f t="array" ref="P1725">_xlfn.IFS(Table1[[#This Row],[Basic]]=1, "Basic", Table1[[#This Row],[Graduate]]=1, "Graduate", Table1[[#This Row],[Master]]=1, "Master", Table1[[#This Row],[PhD]]=1, "PhD", AND(Table1[[#This Row],[Basic]]=0, Table1[[#This Row],[Graduate]]=0, Table1[[#This Row],[Master]]=0, Table1[[#This Row],[PhD]]=0), "NA")</f>
        <v>Graduate</v>
      </c>
      <c r="Q1725" t="e">
        <f>_xlfn.XLOOKUP(Table1[[#This Row],[ID]], Table2[ID],#REF!, "Not Found", 0)</f>
        <v>#REF!</v>
      </c>
      <c r="R1725" t="e">
        <f>_xlfn.XLOOKUP(Table1[[#This Row],[ID]], Table2[ID],#REF!, "Not Found", 0)</f>
        <v>#REF!</v>
      </c>
      <c r="S1725" s="3">
        <f>_xlfn.XLOOKUP(Table1[[#This Row],[ID]], Table2[ID], Table2[Enrollment], "Not Found", 0)</f>
        <v>44078</v>
      </c>
      <c r="T1725" t="s">
        <v>438</v>
      </c>
    </row>
    <row r="1726" spans="1:20" x14ac:dyDescent="0.3">
      <c r="A1726">
        <v>2027</v>
      </c>
      <c r="B1726">
        <v>133585</v>
      </c>
      <c r="C1726">
        <v>0</v>
      </c>
      <c r="D1726">
        <v>1</v>
      </c>
      <c r="E1726">
        <v>54</v>
      </c>
      <c r="F1726">
        <v>0</v>
      </c>
      <c r="G1726">
        <v>1</v>
      </c>
      <c r="H1726">
        <v>0</v>
      </c>
      <c r="I1726">
        <v>0</v>
      </c>
      <c r="J1726">
        <v>0</v>
      </c>
      <c r="K1726">
        <v>0</v>
      </c>
      <c r="L1726">
        <v>0</v>
      </c>
      <c r="M1726">
        <v>1</v>
      </c>
      <c r="N1726">
        <v>0</v>
      </c>
      <c r="O1726" t="str" cm="1">
        <f t="array" ref="O1726">_xlfn.IFS(Table1[[#This Row],[Divorced]]=1, "Divorced", Table1[[#This Row],[Married]]=1, "Married", Table1[[#This Row],[Single]]=1, "Single", Table1[[#This Row],[Together]]=1, "Together", Table1[[#This Row],[Widow]]=1, "Widow")</f>
        <v>Married</v>
      </c>
      <c r="P1726" t="str" cm="1">
        <f t="array" ref="P1726">_xlfn.IFS(Table1[[#This Row],[Basic]]=1, "Basic", Table1[[#This Row],[Graduate]]=1, "Graduate", Table1[[#This Row],[Master]]=1, "Master", Table1[[#This Row],[PhD]]=1, "PhD", AND(Table1[[#This Row],[Basic]]=0, Table1[[#This Row],[Graduate]]=0, Table1[[#This Row],[Master]]=0, Table1[[#This Row],[PhD]]=0), "NA")</f>
        <v>Master</v>
      </c>
      <c r="Q1726" t="e">
        <f>_xlfn.XLOOKUP(Table1[[#This Row],[ID]], Table2[ID],#REF!, "Not Found", 0)</f>
        <v>#REF!</v>
      </c>
      <c r="R1726" t="e">
        <f>_xlfn.XLOOKUP(Table1[[#This Row],[ID]], Table2[ID],#REF!, "Not Found", 0)</f>
        <v>#REF!</v>
      </c>
      <c r="S1726" s="3">
        <f>_xlfn.XLOOKUP(Table1[[#This Row],[ID]], Table2[ID], Table2[Enrollment], "Not Found", 0)</f>
        <v>43833</v>
      </c>
      <c r="T1726" t="s">
        <v>434</v>
      </c>
    </row>
    <row r="1727" spans="1:20" x14ac:dyDescent="0.3">
      <c r="A1727">
        <v>1364</v>
      </c>
      <c r="B1727">
        <v>133581</v>
      </c>
      <c r="C1727">
        <v>2</v>
      </c>
      <c r="D1727">
        <v>0</v>
      </c>
      <c r="E1727">
        <v>51</v>
      </c>
      <c r="F1727">
        <v>0</v>
      </c>
      <c r="G1727">
        <v>1</v>
      </c>
      <c r="H1727">
        <v>0</v>
      </c>
      <c r="I1727">
        <v>0</v>
      </c>
      <c r="J1727">
        <v>0</v>
      </c>
      <c r="K1727">
        <v>0</v>
      </c>
      <c r="L1727">
        <v>0</v>
      </c>
      <c r="M1727">
        <v>0</v>
      </c>
      <c r="N1727">
        <v>1</v>
      </c>
      <c r="O1727" t="str" cm="1">
        <f t="array" ref="O1727">_xlfn.IFS(Table1[[#This Row],[Divorced]]=1, "Divorced", Table1[[#This Row],[Married]]=1, "Married", Table1[[#This Row],[Single]]=1, "Single", Table1[[#This Row],[Together]]=1, "Together", Table1[[#This Row],[Widow]]=1, "Widow")</f>
        <v>Married</v>
      </c>
      <c r="P1727" t="str" cm="1">
        <f t="array" ref="P1727">_xlfn.IFS(Table1[[#This Row],[Basic]]=1, "Basic", Table1[[#This Row],[Graduate]]=1, "Graduate", Table1[[#This Row],[Master]]=1, "Master", Table1[[#This Row],[PhD]]=1, "PhD", AND(Table1[[#This Row],[Basic]]=0, Table1[[#This Row],[Graduate]]=0, Table1[[#This Row],[Master]]=0, Table1[[#This Row],[PhD]]=0), "NA")</f>
        <v>PhD</v>
      </c>
      <c r="Q1727" t="e">
        <f>_xlfn.XLOOKUP(Table1[[#This Row],[ID]], Table2[ID],#REF!, "Not Found", 0)</f>
        <v>#REF!</v>
      </c>
      <c r="R1727" t="e">
        <f>_xlfn.XLOOKUP(Table1[[#This Row],[ID]], Table2[ID],#REF!, "Not Found", 0)</f>
        <v>#REF!</v>
      </c>
      <c r="S1727" s="3" t="str">
        <f>_xlfn.XLOOKUP(Table1[[#This Row],[ID]], Table2[ID], Table2[Enrollment], "Not Found", 0)</f>
        <v>6/15/2019</v>
      </c>
      <c r="T1727" t="s">
        <v>438</v>
      </c>
    </row>
    <row r="1728" spans="1:20" x14ac:dyDescent="0.3">
      <c r="A1728">
        <v>2097</v>
      </c>
      <c r="B1728">
        <v>133569</v>
      </c>
      <c r="C1728">
        <v>1</v>
      </c>
      <c r="D1728">
        <v>0</v>
      </c>
      <c r="E1728">
        <v>37</v>
      </c>
      <c r="F1728">
        <v>0</v>
      </c>
      <c r="G1728">
        <v>1</v>
      </c>
      <c r="H1728">
        <v>0</v>
      </c>
      <c r="I1728">
        <v>0</v>
      </c>
      <c r="J1728">
        <v>0</v>
      </c>
      <c r="K1728">
        <v>0</v>
      </c>
      <c r="L1728">
        <v>0</v>
      </c>
      <c r="M1728">
        <v>0</v>
      </c>
      <c r="N1728">
        <v>1</v>
      </c>
      <c r="O1728" t="str" cm="1">
        <f t="array" ref="O1728">_xlfn.IFS(Table1[[#This Row],[Divorced]]=1, "Divorced", Table1[[#This Row],[Married]]=1, "Married", Table1[[#This Row],[Single]]=1, "Single", Table1[[#This Row],[Together]]=1, "Together", Table1[[#This Row],[Widow]]=1, "Widow")</f>
        <v>Married</v>
      </c>
      <c r="P1728" t="str" cm="1">
        <f t="array" ref="P1728">_xlfn.IFS(Table1[[#This Row],[Basic]]=1, "Basic", Table1[[#This Row],[Graduate]]=1, "Graduate", Table1[[#This Row],[Master]]=1, "Master", Table1[[#This Row],[PhD]]=1, "PhD", AND(Table1[[#This Row],[Basic]]=0, Table1[[#This Row],[Graduate]]=0, Table1[[#This Row],[Master]]=0, Table1[[#This Row],[PhD]]=0), "NA")</f>
        <v>PhD</v>
      </c>
      <c r="Q1728" t="e">
        <f>_xlfn.XLOOKUP(Table1[[#This Row],[ID]], Table2[ID],#REF!, "Not Found", 0)</f>
        <v>#REF!</v>
      </c>
      <c r="R1728" t="e">
        <f>_xlfn.XLOOKUP(Table1[[#This Row],[ID]], Table2[ID],#REF!, "Not Found", 0)</f>
        <v>#REF!</v>
      </c>
      <c r="S1728" s="3" t="str">
        <f>_xlfn.XLOOKUP(Table1[[#This Row],[ID]], Table2[ID], Table2[Enrollment], "Not Found", 0)</f>
        <v>3/22/2020</v>
      </c>
      <c r="T1728" t="s">
        <v>435</v>
      </c>
    </row>
    <row r="1729" spans="1:20" x14ac:dyDescent="0.3">
      <c r="A1729">
        <v>2004</v>
      </c>
      <c r="B1729">
        <v>133564</v>
      </c>
      <c r="C1729">
        <v>0</v>
      </c>
      <c r="D1729">
        <v>1</v>
      </c>
      <c r="E1729">
        <v>54</v>
      </c>
      <c r="F1729">
        <v>0</v>
      </c>
      <c r="G1729">
        <v>0</v>
      </c>
      <c r="H1729">
        <v>0</v>
      </c>
      <c r="I1729">
        <v>1</v>
      </c>
      <c r="J1729">
        <v>0</v>
      </c>
      <c r="K1729">
        <v>0</v>
      </c>
      <c r="L1729">
        <v>0</v>
      </c>
      <c r="M1729">
        <v>1</v>
      </c>
      <c r="N1729">
        <v>0</v>
      </c>
      <c r="O1729" t="str" cm="1">
        <f t="array" ref="O1729">_xlfn.IFS(Table1[[#This Row],[Divorced]]=1, "Divorced", Table1[[#This Row],[Married]]=1, "Married", Table1[[#This Row],[Single]]=1, "Single", Table1[[#This Row],[Together]]=1, "Together", Table1[[#This Row],[Widow]]=1, "Widow")</f>
        <v>Together</v>
      </c>
      <c r="P1729" t="str" cm="1">
        <f t="array" ref="P1729">_xlfn.IFS(Table1[[#This Row],[Basic]]=1, "Basic", Table1[[#This Row],[Graduate]]=1, "Graduate", Table1[[#This Row],[Master]]=1, "Master", Table1[[#This Row],[PhD]]=1, "PhD", AND(Table1[[#This Row],[Basic]]=0, Table1[[#This Row],[Graduate]]=0, Table1[[#This Row],[Master]]=0, Table1[[#This Row],[PhD]]=0), "NA")</f>
        <v>Master</v>
      </c>
      <c r="Q1729" t="e">
        <f>_xlfn.XLOOKUP(Table1[[#This Row],[ID]], Table2[ID],#REF!, "Not Found", 0)</f>
        <v>#REF!</v>
      </c>
      <c r="R1729" t="e">
        <f>_xlfn.XLOOKUP(Table1[[#This Row],[ID]], Table2[ID],#REF!, "Not Found", 0)</f>
        <v>#REF!</v>
      </c>
      <c r="S1729" s="3" t="str">
        <f>_xlfn.XLOOKUP(Table1[[#This Row],[ID]], Table2[ID], Table2[Enrollment], "Not Found", 0)</f>
        <v>11/28/2020</v>
      </c>
      <c r="T1729" t="s">
        <v>436</v>
      </c>
    </row>
    <row r="1730" spans="1:20" x14ac:dyDescent="0.3">
      <c r="A1730">
        <v>3191</v>
      </c>
      <c r="B1730">
        <v>133562</v>
      </c>
      <c r="C1730">
        <v>1</v>
      </c>
      <c r="D1730">
        <v>2</v>
      </c>
      <c r="E1730">
        <v>57</v>
      </c>
      <c r="F1730">
        <v>0</v>
      </c>
      <c r="G1730">
        <v>1</v>
      </c>
      <c r="H1730">
        <v>0</v>
      </c>
      <c r="I1730">
        <v>0</v>
      </c>
      <c r="J1730">
        <v>0</v>
      </c>
      <c r="K1730">
        <v>0</v>
      </c>
      <c r="L1730">
        <v>0</v>
      </c>
      <c r="M1730">
        <v>1</v>
      </c>
      <c r="N1730">
        <v>0</v>
      </c>
      <c r="O1730" t="str" cm="1">
        <f t="array" ref="O1730">_xlfn.IFS(Table1[[#This Row],[Divorced]]=1, "Divorced", Table1[[#This Row],[Married]]=1, "Married", Table1[[#This Row],[Single]]=1, "Single", Table1[[#This Row],[Together]]=1, "Together", Table1[[#This Row],[Widow]]=1, "Widow")</f>
        <v>Married</v>
      </c>
      <c r="P1730" t="str" cm="1">
        <f t="array" ref="P1730">_xlfn.IFS(Table1[[#This Row],[Basic]]=1, "Basic", Table1[[#This Row],[Graduate]]=1, "Graduate", Table1[[#This Row],[Master]]=1, "Master", Table1[[#This Row],[PhD]]=1, "PhD", AND(Table1[[#This Row],[Basic]]=0, Table1[[#This Row],[Graduate]]=0, Table1[[#This Row],[Master]]=0, Table1[[#This Row],[PhD]]=0), "NA")</f>
        <v>Master</v>
      </c>
      <c r="Q1730" t="e">
        <f>_xlfn.XLOOKUP(Table1[[#This Row],[ID]], Table2[ID],#REF!, "Not Found", 0)</f>
        <v>#REF!</v>
      </c>
      <c r="R1730" t="e">
        <f>_xlfn.XLOOKUP(Table1[[#This Row],[ID]], Table2[ID],#REF!, "Not Found", 0)</f>
        <v>#REF!</v>
      </c>
      <c r="S1730" s="3" t="str">
        <f>_xlfn.XLOOKUP(Table1[[#This Row],[ID]], Table2[ID], Table2[Enrollment], "Not Found", 0)</f>
        <v>11/29/2020</v>
      </c>
      <c r="T1730" t="s">
        <v>434</v>
      </c>
    </row>
    <row r="1731" spans="1:20" x14ac:dyDescent="0.3">
      <c r="A1731">
        <v>1948</v>
      </c>
      <c r="B1731">
        <v>133471</v>
      </c>
      <c r="C1731">
        <v>1</v>
      </c>
      <c r="D1731">
        <v>0</v>
      </c>
      <c r="E1731">
        <v>47</v>
      </c>
      <c r="F1731">
        <v>0</v>
      </c>
      <c r="G1731">
        <v>1</v>
      </c>
      <c r="H1731">
        <v>0</v>
      </c>
      <c r="I1731">
        <v>0</v>
      </c>
      <c r="J1731">
        <v>0</v>
      </c>
      <c r="K1731">
        <v>0</v>
      </c>
      <c r="L1731">
        <v>1</v>
      </c>
      <c r="M1731">
        <v>0</v>
      </c>
      <c r="N1731">
        <v>0</v>
      </c>
      <c r="O1731" t="str" cm="1">
        <f t="array" ref="O1731">_xlfn.IFS(Table1[[#This Row],[Divorced]]=1, "Divorced", Table1[[#This Row],[Married]]=1, "Married", Table1[[#This Row],[Single]]=1, "Single", Table1[[#This Row],[Together]]=1, "Together", Table1[[#This Row],[Widow]]=1, "Widow")</f>
        <v>Married</v>
      </c>
      <c r="P1731" t="str" cm="1">
        <f t="array" ref="P1731">_xlfn.IFS(Table1[[#This Row],[Basic]]=1, "Basic", Table1[[#This Row],[Graduate]]=1, "Graduate", Table1[[#This Row],[Master]]=1, "Master", Table1[[#This Row],[PhD]]=1, "PhD", AND(Table1[[#This Row],[Basic]]=0, Table1[[#This Row],[Graduate]]=0, Table1[[#This Row],[Master]]=0, Table1[[#This Row],[PhD]]=0), "NA")</f>
        <v>Graduate</v>
      </c>
      <c r="Q1731" t="e">
        <f>_xlfn.XLOOKUP(Table1[[#This Row],[ID]], Table2[ID],#REF!, "Not Found", 0)</f>
        <v>#REF!</v>
      </c>
      <c r="R1731" t="e">
        <f>_xlfn.XLOOKUP(Table1[[#This Row],[ID]], Table2[ID],#REF!, "Not Found", 0)</f>
        <v>#REF!</v>
      </c>
      <c r="S1731" s="3" t="str">
        <f>_xlfn.XLOOKUP(Table1[[#This Row],[ID]], Table2[ID], Table2[Enrollment], "Not Found", 0)</f>
        <v>3/19/2019</v>
      </c>
      <c r="T1731" t="s">
        <v>439</v>
      </c>
    </row>
    <row r="1732" spans="1:20" x14ac:dyDescent="0.3">
      <c r="A1732">
        <v>1963</v>
      </c>
      <c r="B1732">
        <v>133462</v>
      </c>
      <c r="C1732">
        <v>1</v>
      </c>
      <c r="D1732">
        <v>0</v>
      </c>
      <c r="E1732">
        <v>41</v>
      </c>
      <c r="F1732">
        <v>1</v>
      </c>
      <c r="G1732">
        <v>0</v>
      </c>
      <c r="H1732">
        <v>0</v>
      </c>
      <c r="I1732">
        <v>0</v>
      </c>
      <c r="J1732">
        <v>0</v>
      </c>
      <c r="K1732">
        <v>0</v>
      </c>
      <c r="L1732">
        <v>0</v>
      </c>
      <c r="M1732">
        <v>1</v>
      </c>
      <c r="N1732">
        <v>0</v>
      </c>
      <c r="O1732" t="str" cm="1">
        <f t="array" ref="O1732">_xlfn.IFS(Table1[[#This Row],[Divorced]]=1, "Divorced", Table1[[#This Row],[Married]]=1, "Married", Table1[[#This Row],[Single]]=1, "Single", Table1[[#This Row],[Together]]=1, "Together", Table1[[#This Row],[Widow]]=1, "Widow")</f>
        <v>Divorced</v>
      </c>
      <c r="P1732" t="str" cm="1">
        <f t="array" ref="P1732">_xlfn.IFS(Table1[[#This Row],[Basic]]=1, "Basic", Table1[[#This Row],[Graduate]]=1, "Graduate", Table1[[#This Row],[Master]]=1, "Master", Table1[[#This Row],[PhD]]=1, "PhD", AND(Table1[[#This Row],[Basic]]=0, Table1[[#This Row],[Graduate]]=0, Table1[[#This Row],[Master]]=0, Table1[[#This Row],[PhD]]=0), "NA")</f>
        <v>Master</v>
      </c>
      <c r="Q1732" t="e">
        <f>_xlfn.XLOOKUP(Table1[[#This Row],[ID]], Table2[ID],#REF!, "Not Found", 0)</f>
        <v>#REF!</v>
      </c>
      <c r="R1732" t="e">
        <f>_xlfn.XLOOKUP(Table1[[#This Row],[ID]], Table2[ID],#REF!, "Not Found", 0)</f>
        <v>#REF!</v>
      </c>
      <c r="S1732" s="3">
        <f>_xlfn.XLOOKUP(Table1[[#This Row],[ID]], Table2[ID], Table2[Enrollment], "Not Found", 0)</f>
        <v>44166</v>
      </c>
      <c r="T1732" t="s">
        <v>437</v>
      </c>
    </row>
    <row r="1733" spans="1:20" x14ac:dyDescent="0.3">
      <c r="A1733">
        <v>1159</v>
      </c>
      <c r="B1733">
        <v>133456</v>
      </c>
      <c r="C1733">
        <v>1</v>
      </c>
      <c r="D1733">
        <v>1</v>
      </c>
      <c r="E1733">
        <v>55</v>
      </c>
      <c r="F1733">
        <v>0</v>
      </c>
      <c r="G1733">
        <v>0</v>
      </c>
      <c r="H1733">
        <v>0</v>
      </c>
      <c r="I1733">
        <v>1</v>
      </c>
      <c r="J1733">
        <v>0</v>
      </c>
      <c r="K1733">
        <v>0</v>
      </c>
      <c r="L1733">
        <v>1</v>
      </c>
      <c r="M1733">
        <v>0</v>
      </c>
      <c r="N1733">
        <v>0</v>
      </c>
      <c r="O1733" t="str" cm="1">
        <f t="array" ref="O1733">_xlfn.IFS(Table1[[#This Row],[Divorced]]=1, "Divorced", Table1[[#This Row],[Married]]=1, "Married", Table1[[#This Row],[Single]]=1, "Single", Table1[[#This Row],[Together]]=1, "Together", Table1[[#This Row],[Widow]]=1, "Widow")</f>
        <v>Together</v>
      </c>
      <c r="P1733" t="str" cm="1">
        <f t="array" ref="P1733">_xlfn.IFS(Table1[[#This Row],[Basic]]=1, "Basic", Table1[[#This Row],[Graduate]]=1, "Graduate", Table1[[#This Row],[Master]]=1, "Master", Table1[[#This Row],[PhD]]=1, "PhD", AND(Table1[[#This Row],[Basic]]=0, Table1[[#This Row],[Graduate]]=0, Table1[[#This Row],[Master]]=0, Table1[[#This Row],[PhD]]=0), "NA")</f>
        <v>Graduate</v>
      </c>
      <c r="Q1733" t="e">
        <f>_xlfn.XLOOKUP(Table1[[#This Row],[ID]], Table2[ID],#REF!, "Not Found", 0)</f>
        <v>#REF!</v>
      </c>
      <c r="R1733" t="e">
        <f>_xlfn.XLOOKUP(Table1[[#This Row],[ID]], Table2[ID],#REF!, "Not Found", 0)</f>
        <v>#REF!</v>
      </c>
      <c r="S1733" s="3" t="str">
        <f>_xlfn.XLOOKUP(Table1[[#This Row],[ID]], Table2[ID], Table2[Enrollment], "Not Found", 0)</f>
        <v>9/25/2020</v>
      </c>
      <c r="T1733" t="s">
        <v>437</v>
      </c>
    </row>
    <row r="1734" spans="1:20" x14ac:dyDescent="0.3">
      <c r="A1734">
        <v>1008</v>
      </c>
      <c r="B1734">
        <v>133454</v>
      </c>
      <c r="C1734">
        <v>1</v>
      </c>
      <c r="D1734">
        <v>0</v>
      </c>
      <c r="E1734">
        <v>35</v>
      </c>
      <c r="F1734">
        <v>0</v>
      </c>
      <c r="G1734">
        <v>1</v>
      </c>
      <c r="H1734">
        <v>0</v>
      </c>
      <c r="I1734">
        <v>0</v>
      </c>
      <c r="J1734">
        <v>0</v>
      </c>
      <c r="K1734">
        <v>0</v>
      </c>
      <c r="L1734">
        <v>0</v>
      </c>
      <c r="M1734">
        <v>0</v>
      </c>
      <c r="N1734">
        <v>1</v>
      </c>
      <c r="O1734" t="str" cm="1">
        <f t="array" ref="O1734">_xlfn.IFS(Table1[[#This Row],[Divorced]]=1, "Divorced", Table1[[#This Row],[Married]]=1, "Married", Table1[[#This Row],[Single]]=1, "Single", Table1[[#This Row],[Together]]=1, "Together", Table1[[#This Row],[Widow]]=1, "Widow")</f>
        <v>Married</v>
      </c>
      <c r="P1734" t="str" cm="1">
        <f t="array" ref="P1734">_xlfn.IFS(Table1[[#This Row],[Basic]]=1, "Basic", Table1[[#This Row],[Graduate]]=1, "Graduate", Table1[[#This Row],[Master]]=1, "Master", Table1[[#This Row],[PhD]]=1, "PhD", AND(Table1[[#This Row],[Basic]]=0, Table1[[#This Row],[Graduate]]=0, Table1[[#This Row],[Master]]=0, Table1[[#This Row],[PhD]]=0), "NA")</f>
        <v>PhD</v>
      </c>
      <c r="Q1734" t="e">
        <f>_xlfn.XLOOKUP(Table1[[#This Row],[ID]], Table2[ID],#REF!, "Not Found", 0)</f>
        <v>#REF!</v>
      </c>
      <c r="R1734" t="e">
        <f>_xlfn.XLOOKUP(Table1[[#This Row],[ID]], Table2[ID],#REF!, "Not Found", 0)</f>
        <v>#REF!</v>
      </c>
      <c r="S1734" s="3" t="str">
        <f>_xlfn.XLOOKUP(Table1[[#This Row],[ID]], Table2[ID], Table2[Enrollment], "Not Found", 0)</f>
        <v>10/13/2019</v>
      </c>
      <c r="T1734" t="s">
        <v>436</v>
      </c>
    </row>
    <row r="1735" spans="1:20" x14ac:dyDescent="0.3">
      <c r="A1735">
        <v>2157</v>
      </c>
      <c r="B1735">
        <v>133444</v>
      </c>
      <c r="C1735">
        <v>1</v>
      </c>
      <c r="D1735">
        <v>1</v>
      </c>
      <c r="E1735">
        <v>68</v>
      </c>
      <c r="F1735">
        <v>0</v>
      </c>
      <c r="G1735">
        <v>1</v>
      </c>
      <c r="H1735">
        <v>0</v>
      </c>
      <c r="I1735">
        <v>0</v>
      </c>
      <c r="J1735">
        <v>0</v>
      </c>
      <c r="K1735">
        <v>0</v>
      </c>
      <c r="L1735">
        <v>0</v>
      </c>
      <c r="M1735">
        <v>1</v>
      </c>
      <c r="N1735">
        <v>0</v>
      </c>
      <c r="O1735" t="str" cm="1">
        <f t="array" ref="O1735">_xlfn.IFS(Table1[[#This Row],[Divorced]]=1, "Divorced", Table1[[#This Row],[Married]]=1, "Married", Table1[[#This Row],[Single]]=1, "Single", Table1[[#This Row],[Together]]=1, "Together", Table1[[#This Row],[Widow]]=1, "Widow")</f>
        <v>Married</v>
      </c>
      <c r="P1735" t="str" cm="1">
        <f t="array" ref="P1735">_xlfn.IFS(Table1[[#This Row],[Basic]]=1, "Basic", Table1[[#This Row],[Graduate]]=1, "Graduate", Table1[[#This Row],[Master]]=1, "Master", Table1[[#This Row],[PhD]]=1, "PhD", AND(Table1[[#This Row],[Basic]]=0, Table1[[#This Row],[Graduate]]=0, Table1[[#This Row],[Master]]=0, Table1[[#This Row],[PhD]]=0), "NA")</f>
        <v>Master</v>
      </c>
      <c r="Q1735" t="e">
        <f>_xlfn.XLOOKUP(Table1[[#This Row],[ID]], Table2[ID],#REF!, "Not Found", 0)</f>
        <v>#REF!</v>
      </c>
      <c r="R1735" t="e">
        <f>_xlfn.XLOOKUP(Table1[[#This Row],[ID]], Table2[ID],#REF!, "Not Found", 0)</f>
        <v>#REF!</v>
      </c>
      <c r="S1735" s="3">
        <f>_xlfn.XLOOKUP(Table1[[#This Row],[ID]], Table2[ID], Table2[Enrollment], "Not Found", 0)</f>
        <v>43742</v>
      </c>
      <c r="T1735" t="s">
        <v>435</v>
      </c>
    </row>
    <row r="1736" spans="1:20" x14ac:dyDescent="0.3">
      <c r="A1736">
        <v>2205</v>
      </c>
      <c r="B1736">
        <v>133438</v>
      </c>
      <c r="C1736">
        <v>1</v>
      </c>
      <c r="D1736">
        <v>1</v>
      </c>
      <c r="E1736">
        <v>62</v>
      </c>
      <c r="F1736">
        <v>0</v>
      </c>
      <c r="G1736">
        <v>0</v>
      </c>
      <c r="H1736">
        <v>0</v>
      </c>
      <c r="I1736">
        <v>0</v>
      </c>
      <c r="J1736">
        <v>1</v>
      </c>
      <c r="K1736">
        <v>0</v>
      </c>
      <c r="L1736">
        <v>0</v>
      </c>
      <c r="M1736">
        <v>0</v>
      </c>
      <c r="N1736">
        <v>1</v>
      </c>
      <c r="O1736" t="str" cm="1">
        <f t="array" ref="O1736">_xlfn.IFS(Table1[[#This Row],[Divorced]]=1, "Divorced", Table1[[#This Row],[Married]]=1, "Married", Table1[[#This Row],[Single]]=1, "Single", Table1[[#This Row],[Together]]=1, "Together", Table1[[#This Row],[Widow]]=1, "Widow")</f>
        <v>Widow</v>
      </c>
      <c r="P1736" t="str" cm="1">
        <f t="array" ref="P1736">_xlfn.IFS(Table1[[#This Row],[Basic]]=1, "Basic", Table1[[#This Row],[Graduate]]=1, "Graduate", Table1[[#This Row],[Master]]=1, "Master", Table1[[#This Row],[PhD]]=1, "PhD", AND(Table1[[#This Row],[Basic]]=0, Table1[[#This Row],[Graduate]]=0, Table1[[#This Row],[Master]]=0, Table1[[#This Row],[PhD]]=0), "NA")</f>
        <v>PhD</v>
      </c>
      <c r="Q1736" t="e">
        <f>_xlfn.XLOOKUP(Table1[[#This Row],[ID]], Table2[ID],#REF!, "Not Found", 0)</f>
        <v>#REF!</v>
      </c>
      <c r="R1736" t="e">
        <f>_xlfn.XLOOKUP(Table1[[#This Row],[ID]], Table2[ID],#REF!, "Not Found", 0)</f>
        <v>#REF!</v>
      </c>
      <c r="S1736" s="3" t="str">
        <f>_xlfn.XLOOKUP(Table1[[#This Row],[ID]], Table2[ID], Table2[Enrollment], "Not Found", 0)</f>
        <v>2/27/2020</v>
      </c>
      <c r="T1736" t="s">
        <v>435</v>
      </c>
    </row>
    <row r="1737" spans="1:20" x14ac:dyDescent="0.3">
      <c r="A1737">
        <v>2124</v>
      </c>
      <c r="B1737">
        <v>133419</v>
      </c>
      <c r="C1737">
        <v>0</v>
      </c>
      <c r="D1737">
        <v>1</v>
      </c>
      <c r="E1737">
        <v>58</v>
      </c>
      <c r="F1737">
        <v>0</v>
      </c>
      <c r="G1737">
        <v>0</v>
      </c>
      <c r="H1737">
        <v>1</v>
      </c>
      <c r="I1737">
        <v>0</v>
      </c>
      <c r="J1737">
        <v>0</v>
      </c>
      <c r="K1737">
        <v>0</v>
      </c>
      <c r="L1737">
        <v>0</v>
      </c>
      <c r="M1737">
        <v>0</v>
      </c>
      <c r="N1737">
        <v>1</v>
      </c>
      <c r="O1737" t="str" cm="1">
        <f t="array" ref="O1737">_xlfn.IFS(Table1[[#This Row],[Divorced]]=1, "Divorced", Table1[[#This Row],[Married]]=1, "Married", Table1[[#This Row],[Single]]=1, "Single", Table1[[#This Row],[Together]]=1, "Together", Table1[[#This Row],[Widow]]=1, "Widow")</f>
        <v>Single</v>
      </c>
      <c r="P1737" t="str" cm="1">
        <f t="array" ref="P1737">_xlfn.IFS(Table1[[#This Row],[Basic]]=1, "Basic", Table1[[#This Row],[Graduate]]=1, "Graduate", Table1[[#This Row],[Master]]=1, "Master", Table1[[#This Row],[PhD]]=1, "PhD", AND(Table1[[#This Row],[Basic]]=0, Table1[[#This Row],[Graduate]]=0, Table1[[#This Row],[Master]]=0, Table1[[#This Row],[PhD]]=0), "NA")</f>
        <v>PhD</v>
      </c>
      <c r="Q1737" t="e">
        <f>_xlfn.XLOOKUP(Table1[[#This Row],[ID]], Table2[ID],#REF!, "Not Found", 0)</f>
        <v>#REF!</v>
      </c>
      <c r="R1737" t="e">
        <f>_xlfn.XLOOKUP(Table1[[#This Row],[ID]], Table2[ID],#REF!, "Not Found", 0)</f>
        <v>#REF!</v>
      </c>
      <c r="S1737" s="3" t="str">
        <f>_xlfn.XLOOKUP(Table1[[#This Row],[ID]], Table2[ID], Table2[Enrollment], "Not Found", 0)</f>
        <v>1/22/2020</v>
      </c>
      <c r="T1737" t="s">
        <v>436</v>
      </c>
    </row>
    <row r="1738" spans="1:20" x14ac:dyDescent="0.3">
      <c r="A1738">
        <v>2416</v>
      </c>
      <c r="B1738">
        <v>133402</v>
      </c>
      <c r="C1738">
        <v>1</v>
      </c>
      <c r="D1738">
        <v>1</v>
      </c>
      <c r="E1738">
        <v>68</v>
      </c>
      <c r="F1738">
        <v>0</v>
      </c>
      <c r="G1738">
        <v>0</v>
      </c>
      <c r="H1738">
        <v>0</v>
      </c>
      <c r="I1738">
        <v>1</v>
      </c>
      <c r="J1738">
        <v>0</v>
      </c>
      <c r="K1738">
        <v>0</v>
      </c>
      <c r="L1738">
        <v>1</v>
      </c>
      <c r="M1738">
        <v>0</v>
      </c>
      <c r="N1738">
        <v>0</v>
      </c>
      <c r="O1738" t="str" cm="1">
        <f t="array" ref="O1738">_xlfn.IFS(Table1[[#This Row],[Divorced]]=1, "Divorced", Table1[[#This Row],[Married]]=1, "Married", Table1[[#This Row],[Single]]=1, "Single", Table1[[#This Row],[Together]]=1, "Together", Table1[[#This Row],[Widow]]=1, "Widow")</f>
        <v>Together</v>
      </c>
      <c r="P1738" t="str" cm="1">
        <f t="array" ref="P1738">_xlfn.IFS(Table1[[#This Row],[Basic]]=1, "Basic", Table1[[#This Row],[Graduate]]=1, "Graduate", Table1[[#This Row],[Master]]=1, "Master", Table1[[#This Row],[PhD]]=1, "PhD", AND(Table1[[#This Row],[Basic]]=0, Table1[[#This Row],[Graduate]]=0, Table1[[#This Row],[Master]]=0, Table1[[#This Row],[PhD]]=0), "NA")</f>
        <v>Graduate</v>
      </c>
      <c r="Q1738" t="e">
        <f>_xlfn.XLOOKUP(Table1[[#This Row],[ID]], Table2[ID],#REF!, "Not Found", 0)</f>
        <v>#REF!</v>
      </c>
      <c r="R1738" t="e">
        <f>_xlfn.XLOOKUP(Table1[[#This Row],[ID]], Table2[ID],#REF!, "Not Found", 0)</f>
        <v>#REF!</v>
      </c>
      <c r="S1738" s="3" t="str">
        <f>_xlfn.XLOOKUP(Table1[[#This Row],[ID]], Table2[ID], Table2[Enrollment], "Not Found", 0)</f>
        <v>12/23/2019</v>
      </c>
      <c r="T1738" t="s">
        <v>439</v>
      </c>
    </row>
    <row r="1739" spans="1:20" x14ac:dyDescent="0.3">
      <c r="A1739">
        <v>1261</v>
      </c>
      <c r="B1739">
        <v>133378</v>
      </c>
      <c r="C1739">
        <v>1</v>
      </c>
      <c r="D1739">
        <v>1</v>
      </c>
      <c r="E1739">
        <v>57</v>
      </c>
      <c r="F1739">
        <v>1</v>
      </c>
      <c r="G1739">
        <v>0</v>
      </c>
      <c r="H1739">
        <v>0</v>
      </c>
      <c r="I1739">
        <v>0</v>
      </c>
      <c r="J1739">
        <v>0</v>
      </c>
      <c r="K1739">
        <v>0</v>
      </c>
      <c r="L1739">
        <v>1</v>
      </c>
      <c r="M1739">
        <v>0</v>
      </c>
      <c r="N1739">
        <v>0</v>
      </c>
      <c r="O1739" t="str" cm="1">
        <f t="array" ref="O1739">_xlfn.IFS(Table1[[#This Row],[Divorced]]=1, "Divorced", Table1[[#This Row],[Married]]=1, "Married", Table1[[#This Row],[Single]]=1, "Single", Table1[[#This Row],[Together]]=1, "Together", Table1[[#This Row],[Widow]]=1, "Widow")</f>
        <v>Divorced</v>
      </c>
      <c r="P1739" t="str" cm="1">
        <f t="array" ref="P1739">_xlfn.IFS(Table1[[#This Row],[Basic]]=1, "Basic", Table1[[#This Row],[Graduate]]=1, "Graduate", Table1[[#This Row],[Master]]=1, "Master", Table1[[#This Row],[PhD]]=1, "PhD", AND(Table1[[#This Row],[Basic]]=0, Table1[[#This Row],[Graduate]]=0, Table1[[#This Row],[Master]]=0, Table1[[#This Row],[PhD]]=0), "NA")</f>
        <v>Graduate</v>
      </c>
      <c r="Q1739" t="e">
        <f>_xlfn.XLOOKUP(Table1[[#This Row],[ID]], Table2[ID],#REF!, "Not Found", 0)</f>
        <v>#REF!</v>
      </c>
      <c r="R1739" t="e">
        <f>_xlfn.XLOOKUP(Table1[[#This Row],[ID]], Table2[ID],#REF!, "Not Found", 0)</f>
        <v>#REF!</v>
      </c>
      <c r="S1739" s="3" t="str">
        <f>_xlfn.XLOOKUP(Table1[[#This Row],[ID]], Table2[ID], Table2[Enrollment], "Not Found", 0)</f>
        <v>7/14/2019</v>
      </c>
      <c r="T1739" t="s">
        <v>437</v>
      </c>
    </row>
    <row r="1740" spans="1:20" x14ac:dyDescent="0.3">
      <c r="A1740">
        <v>2339</v>
      </c>
      <c r="B1740">
        <v>133316</v>
      </c>
      <c r="C1740">
        <v>1</v>
      </c>
      <c r="D1740">
        <v>1</v>
      </c>
      <c r="E1740">
        <v>49</v>
      </c>
      <c r="F1740">
        <v>0</v>
      </c>
      <c r="G1740">
        <v>0</v>
      </c>
      <c r="H1740">
        <v>1</v>
      </c>
      <c r="I1740">
        <v>0</v>
      </c>
      <c r="J1740">
        <v>0</v>
      </c>
      <c r="K1740">
        <v>0</v>
      </c>
      <c r="L1740">
        <v>0</v>
      </c>
      <c r="M1740">
        <v>1</v>
      </c>
      <c r="N1740">
        <v>0</v>
      </c>
      <c r="O1740" t="str" cm="1">
        <f t="array" ref="O1740">_xlfn.IFS(Table1[[#This Row],[Divorced]]=1, "Divorced", Table1[[#This Row],[Married]]=1, "Married", Table1[[#This Row],[Single]]=1, "Single", Table1[[#This Row],[Together]]=1, "Together", Table1[[#This Row],[Widow]]=1, "Widow")</f>
        <v>Single</v>
      </c>
      <c r="P1740" t="str" cm="1">
        <f t="array" ref="P1740">_xlfn.IFS(Table1[[#This Row],[Basic]]=1, "Basic", Table1[[#This Row],[Graduate]]=1, "Graduate", Table1[[#This Row],[Master]]=1, "Master", Table1[[#This Row],[PhD]]=1, "PhD", AND(Table1[[#This Row],[Basic]]=0, Table1[[#This Row],[Graduate]]=0, Table1[[#This Row],[Master]]=0, Table1[[#This Row],[PhD]]=0), "NA")</f>
        <v>Master</v>
      </c>
      <c r="Q1740" t="e">
        <f>_xlfn.XLOOKUP(Table1[[#This Row],[ID]], Table2[ID],#REF!, "Not Found", 0)</f>
        <v>#REF!</v>
      </c>
      <c r="R1740" t="e">
        <f>_xlfn.XLOOKUP(Table1[[#This Row],[ID]], Table2[ID],#REF!, "Not Found", 0)</f>
        <v>#REF!</v>
      </c>
      <c r="S1740" s="3">
        <f>_xlfn.XLOOKUP(Table1[[#This Row],[ID]], Table2[ID], Table2[Enrollment], "Not Found", 0)</f>
        <v>44107</v>
      </c>
      <c r="T1740" t="s">
        <v>434</v>
      </c>
    </row>
    <row r="1741" spans="1:20" x14ac:dyDescent="0.3">
      <c r="A1741">
        <v>2797</v>
      </c>
      <c r="B1741">
        <v>133316</v>
      </c>
      <c r="C1741">
        <v>1</v>
      </c>
      <c r="D1741">
        <v>1</v>
      </c>
      <c r="E1741">
        <v>49</v>
      </c>
      <c r="F1741">
        <v>0</v>
      </c>
      <c r="G1741">
        <v>0</v>
      </c>
      <c r="H1741">
        <v>1</v>
      </c>
      <c r="I1741">
        <v>0</v>
      </c>
      <c r="J1741">
        <v>0</v>
      </c>
      <c r="K1741">
        <v>0</v>
      </c>
      <c r="L1741">
        <v>0</v>
      </c>
      <c r="M1741">
        <v>1</v>
      </c>
      <c r="N1741">
        <v>0</v>
      </c>
      <c r="O1741" t="str" cm="1">
        <f t="array" ref="O1741">_xlfn.IFS(Table1[[#This Row],[Divorced]]=1, "Divorced", Table1[[#This Row],[Married]]=1, "Married", Table1[[#This Row],[Single]]=1, "Single", Table1[[#This Row],[Together]]=1, "Together", Table1[[#This Row],[Widow]]=1, "Widow")</f>
        <v>Single</v>
      </c>
      <c r="P1741" t="str" cm="1">
        <f t="array" ref="P1741">_xlfn.IFS(Table1[[#This Row],[Basic]]=1, "Basic", Table1[[#This Row],[Graduate]]=1, "Graduate", Table1[[#This Row],[Master]]=1, "Master", Table1[[#This Row],[PhD]]=1, "PhD", AND(Table1[[#This Row],[Basic]]=0, Table1[[#This Row],[Graduate]]=0, Table1[[#This Row],[Master]]=0, Table1[[#This Row],[PhD]]=0), "NA")</f>
        <v>Master</v>
      </c>
      <c r="Q1741" t="e">
        <f>_xlfn.XLOOKUP(Table1[[#This Row],[ID]], Table2[ID],#REF!, "Not Found", 0)</f>
        <v>#REF!</v>
      </c>
      <c r="R1741" t="e">
        <f>_xlfn.XLOOKUP(Table1[[#This Row],[ID]], Table2[ID],#REF!, "Not Found", 0)</f>
        <v>#REF!</v>
      </c>
      <c r="S1741" s="3">
        <f>_xlfn.XLOOKUP(Table1[[#This Row],[ID]], Table2[ID], Table2[Enrollment], "Not Found", 0)</f>
        <v>44107</v>
      </c>
      <c r="T1741" t="s">
        <v>437</v>
      </c>
    </row>
    <row r="1742" spans="1:20" x14ac:dyDescent="0.3">
      <c r="A1742">
        <v>2978</v>
      </c>
      <c r="B1742">
        <v>133279</v>
      </c>
      <c r="C1742">
        <v>0</v>
      </c>
      <c r="D1742">
        <v>0</v>
      </c>
      <c r="E1742">
        <v>54</v>
      </c>
      <c r="F1742">
        <v>0</v>
      </c>
      <c r="G1742">
        <v>0</v>
      </c>
      <c r="H1742">
        <v>1</v>
      </c>
      <c r="I1742">
        <v>0</v>
      </c>
      <c r="J1742">
        <v>0</v>
      </c>
      <c r="K1742">
        <v>0</v>
      </c>
      <c r="L1742">
        <v>1</v>
      </c>
      <c r="M1742">
        <v>0</v>
      </c>
      <c r="N1742">
        <v>0</v>
      </c>
      <c r="O1742" t="str" cm="1">
        <f t="array" ref="O1742">_xlfn.IFS(Table1[[#This Row],[Divorced]]=1, "Divorced", Table1[[#This Row],[Married]]=1, "Married", Table1[[#This Row],[Single]]=1, "Single", Table1[[#This Row],[Together]]=1, "Together", Table1[[#This Row],[Widow]]=1, "Widow")</f>
        <v>Single</v>
      </c>
      <c r="P1742" t="str" cm="1">
        <f t="array" ref="P1742">_xlfn.IFS(Table1[[#This Row],[Basic]]=1, "Basic", Table1[[#This Row],[Graduate]]=1, "Graduate", Table1[[#This Row],[Master]]=1, "Master", Table1[[#This Row],[PhD]]=1, "PhD", AND(Table1[[#This Row],[Basic]]=0, Table1[[#This Row],[Graduate]]=0, Table1[[#This Row],[Master]]=0, Table1[[#This Row],[PhD]]=0), "NA")</f>
        <v>Graduate</v>
      </c>
      <c r="Q1742" t="e">
        <f>_xlfn.XLOOKUP(Table1[[#This Row],[ID]], Table2[ID],#REF!, "Not Found", 0)</f>
        <v>#REF!</v>
      </c>
      <c r="R1742" t="e">
        <f>_xlfn.XLOOKUP(Table1[[#This Row],[ID]], Table2[ID],#REF!, "Not Found", 0)</f>
        <v>#REF!</v>
      </c>
      <c r="S1742" s="3" t="str">
        <f>_xlfn.XLOOKUP(Table1[[#This Row],[ID]], Table2[ID], Table2[Enrollment], "Not Found", 0)</f>
        <v>11/16/2020</v>
      </c>
      <c r="T1742" t="s">
        <v>438</v>
      </c>
    </row>
    <row r="1743" spans="1:20" x14ac:dyDescent="0.3">
      <c r="A1743">
        <v>1693</v>
      </c>
      <c r="B1743">
        <v>133249</v>
      </c>
      <c r="C1743">
        <v>1</v>
      </c>
      <c r="D1743">
        <v>0</v>
      </c>
      <c r="E1743">
        <v>45</v>
      </c>
      <c r="F1743">
        <v>0</v>
      </c>
      <c r="G1743">
        <v>0</v>
      </c>
      <c r="H1743">
        <v>1</v>
      </c>
      <c r="I1743">
        <v>0</v>
      </c>
      <c r="J1743">
        <v>0</v>
      </c>
      <c r="K1743">
        <v>0</v>
      </c>
      <c r="L1743">
        <v>1</v>
      </c>
      <c r="M1743">
        <v>0</v>
      </c>
      <c r="N1743">
        <v>0</v>
      </c>
      <c r="O1743" t="str" cm="1">
        <f t="array" ref="O1743">_xlfn.IFS(Table1[[#This Row],[Divorced]]=1, "Divorced", Table1[[#This Row],[Married]]=1, "Married", Table1[[#This Row],[Single]]=1, "Single", Table1[[#This Row],[Together]]=1, "Together", Table1[[#This Row],[Widow]]=1, "Widow")</f>
        <v>Single</v>
      </c>
      <c r="P1743" t="str" cm="1">
        <f t="array" ref="P1743">_xlfn.IFS(Table1[[#This Row],[Basic]]=1, "Basic", Table1[[#This Row],[Graduate]]=1, "Graduate", Table1[[#This Row],[Master]]=1, "Master", Table1[[#This Row],[PhD]]=1, "PhD", AND(Table1[[#This Row],[Basic]]=0, Table1[[#This Row],[Graduate]]=0, Table1[[#This Row],[Master]]=0, Table1[[#This Row],[PhD]]=0), "NA")</f>
        <v>Graduate</v>
      </c>
      <c r="Q1743" t="e">
        <f>_xlfn.XLOOKUP(Table1[[#This Row],[ID]], Table2[ID],#REF!, "Not Found", 0)</f>
        <v>#REF!</v>
      </c>
      <c r="R1743" t="e">
        <f>_xlfn.XLOOKUP(Table1[[#This Row],[ID]], Table2[ID],#REF!, "Not Found", 0)</f>
        <v>#REF!</v>
      </c>
      <c r="S1743" s="3" t="str">
        <f>_xlfn.XLOOKUP(Table1[[#This Row],[ID]], Table2[ID], Table2[Enrollment], "Not Found", 0)</f>
        <v>7/28/2019</v>
      </c>
      <c r="T1743" t="s">
        <v>437</v>
      </c>
    </row>
    <row r="1744" spans="1:20" x14ac:dyDescent="0.3">
      <c r="A1744">
        <v>2325</v>
      </c>
      <c r="B1744">
        <v>133249</v>
      </c>
      <c r="C1744">
        <v>1</v>
      </c>
      <c r="D1744">
        <v>0</v>
      </c>
      <c r="E1744">
        <v>45</v>
      </c>
      <c r="F1744">
        <v>0</v>
      </c>
      <c r="G1744">
        <v>0</v>
      </c>
      <c r="H1744">
        <v>1</v>
      </c>
      <c r="I1744">
        <v>0</v>
      </c>
      <c r="J1744">
        <v>0</v>
      </c>
      <c r="K1744">
        <v>0</v>
      </c>
      <c r="L1744">
        <v>1</v>
      </c>
      <c r="M1744">
        <v>0</v>
      </c>
      <c r="N1744">
        <v>0</v>
      </c>
      <c r="O1744" t="str" cm="1">
        <f t="array" ref="O1744">_xlfn.IFS(Table1[[#This Row],[Divorced]]=1, "Divorced", Table1[[#This Row],[Married]]=1, "Married", Table1[[#This Row],[Single]]=1, "Single", Table1[[#This Row],[Together]]=1, "Together", Table1[[#This Row],[Widow]]=1, "Widow")</f>
        <v>Single</v>
      </c>
      <c r="P1744" t="str" cm="1">
        <f t="array" ref="P1744">_xlfn.IFS(Table1[[#This Row],[Basic]]=1, "Basic", Table1[[#This Row],[Graduate]]=1, "Graduate", Table1[[#This Row],[Master]]=1, "Master", Table1[[#This Row],[PhD]]=1, "PhD", AND(Table1[[#This Row],[Basic]]=0, Table1[[#This Row],[Graduate]]=0, Table1[[#This Row],[Master]]=0, Table1[[#This Row],[PhD]]=0), "NA")</f>
        <v>Graduate</v>
      </c>
      <c r="Q1744" t="e">
        <f>_xlfn.XLOOKUP(Table1[[#This Row],[ID]], Table2[ID],#REF!, "Not Found", 0)</f>
        <v>#REF!</v>
      </c>
      <c r="R1744" t="e">
        <f>_xlfn.XLOOKUP(Table1[[#This Row],[ID]], Table2[ID],#REF!, "Not Found", 0)</f>
        <v>#REF!</v>
      </c>
      <c r="S1744" s="3" t="str">
        <f>_xlfn.XLOOKUP(Table1[[#This Row],[ID]], Table2[ID], Table2[Enrollment], "Not Found", 0)</f>
        <v>7/28/2019</v>
      </c>
      <c r="T1744" t="s">
        <v>435</v>
      </c>
    </row>
    <row r="1745" spans="1:20" x14ac:dyDescent="0.3">
      <c r="A1745">
        <v>2882</v>
      </c>
      <c r="B1745">
        <v>133235</v>
      </c>
      <c r="C1745">
        <v>1</v>
      </c>
      <c r="D1745">
        <v>0</v>
      </c>
      <c r="E1745">
        <v>34</v>
      </c>
      <c r="F1745">
        <v>0</v>
      </c>
      <c r="G1745">
        <v>0</v>
      </c>
      <c r="H1745">
        <v>0</v>
      </c>
      <c r="I1745">
        <v>1</v>
      </c>
      <c r="J1745">
        <v>0</v>
      </c>
      <c r="K1745">
        <v>0</v>
      </c>
      <c r="L1745">
        <v>1</v>
      </c>
      <c r="M1745">
        <v>0</v>
      </c>
      <c r="N1745">
        <v>0</v>
      </c>
      <c r="O1745" t="str" cm="1">
        <f t="array" ref="O1745">_xlfn.IFS(Table1[[#This Row],[Divorced]]=1, "Divorced", Table1[[#This Row],[Married]]=1, "Married", Table1[[#This Row],[Single]]=1, "Single", Table1[[#This Row],[Together]]=1, "Together", Table1[[#This Row],[Widow]]=1, "Widow")</f>
        <v>Together</v>
      </c>
      <c r="P1745" t="str" cm="1">
        <f t="array" ref="P1745">_xlfn.IFS(Table1[[#This Row],[Basic]]=1, "Basic", Table1[[#This Row],[Graduate]]=1, "Graduate", Table1[[#This Row],[Master]]=1, "Master", Table1[[#This Row],[PhD]]=1, "PhD", AND(Table1[[#This Row],[Basic]]=0, Table1[[#This Row],[Graduate]]=0, Table1[[#This Row],[Master]]=0, Table1[[#This Row],[PhD]]=0), "NA")</f>
        <v>Graduate</v>
      </c>
      <c r="Q1745" t="e">
        <f>_xlfn.XLOOKUP(Table1[[#This Row],[ID]], Table2[ID],#REF!, "Not Found", 0)</f>
        <v>#REF!</v>
      </c>
      <c r="R1745" t="e">
        <f>_xlfn.XLOOKUP(Table1[[#This Row],[ID]], Table2[ID],#REF!, "Not Found", 0)</f>
        <v>#REF!</v>
      </c>
      <c r="S1745" s="3">
        <f>_xlfn.XLOOKUP(Table1[[#This Row],[ID]], Table2[ID], Table2[Enrollment], "Not Found", 0)</f>
        <v>44172</v>
      </c>
      <c r="T1745" t="s">
        <v>438</v>
      </c>
    </row>
    <row r="1746" spans="1:20" x14ac:dyDescent="0.3">
      <c r="A1746">
        <v>2654</v>
      </c>
      <c r="B1746">
        <v>133228</v>
      </c>
      <c r="C1746">
        <v>1</v>
      </c>
      <c r="D1746">
        <v>0</v>
      </c>
      <c r="E1746">
        <v>40</v>
      </c>
      <c r="F1746">
        <v>0</v>
      </c>
      <c r="G1746">
        <v>1</v>
      </c>
      <c r="H1746">
        <v>0</v>
      </c>
      <c r="I1746">
        <v>0</v>
      </c>
      <c r="J1746">
        <v>0</v>
      </c>
      <c r="K1746">
        <v>0</v>
      </c>
      <c r="L1746">
        <v>1</v>
      </c>
      <c r="M1746">
        <v>0</v>
      </c>
      <c r="N1746">
        <v>0</v>
      </c>
      <c r="O1746" t="str" cm="1">
        <f t="array" ref="O1746">_xlfn.IFS(Table1[[#This Row],[Divorced]]=1, "Divorced", Table1[[#This Row],[Married]]=1, "Married", Table1[[#This Row],[Single]]=1, "Single", Table1[[#This Row],[Together]]=1, "Together", Table1[[#This Row],[Widow]]=1, "Widow")</f>
        <v>Married</v>
      </c>
      <c r="P1746" t="str" cm="1">
        <f t="array" ref="P1746">_xlfn.IFS(Table1[[#This Row],[Basic]]=1, "Basic", Table1[[#This Row],[Graduate]]=1, "Graduate", Table1[[#This Row],[Master]]=1, "Master", Table1[[#This Row],[PhD]]=1, "PhD", AND(Table1[[#This Row],[Basic]]=0, Table1[[#This Row],[Graduate]]=0, Table1[[#This Row],[Master]]=0, Table1[[#This Row],[PhD]]=0), "NA")</f>
        <v>Graduate</v>
      </c>
      <c r="Q1746" t="e">
        <f>_xlfn.XLOOKUP(Table1[[#This Row],[ID]], Table2[ID],#REF!, "Not Found", 0)</f>
        <v>#REF!</v>
      </c>
      <c r="R1746" t="e">
        <f>_xlfn.XLOOKUP(Table1[[#This Row],[ID]], Table2[ID],#REF!, "Not Found", 0)</f>
        <v>#REF!</v>
      </c>
      <c r="S1746" s="3" t="str">
        <f>_xlfn.XLOOKUP(Table1[[#This Row],[ID]], Table2[ID], Table2[Enrollment], "Not Found", 0)</f>
        <v>6/29/2020</v>
      </c>
      <c r="T1746" t="s">
        <v>438</v>
      </c>
    </row>
    <row r="1747" spans="1:20" x14ac:dyDescent="0.3">
      <c r="A1747">
        <v>1448</v>
      </c>
      <c r="B1747">
        <v>133183</v>
      </c>
      <c r="C1747">
        <v>1</v>
      </c>
      <c r="D1747">
        <v>0</v>
      </c>
      <c r="E1747">
        <v>45</v>
      </c>
      <c r="F1747">
        <v>0</v>
      </c>
      <c r="G1747">
        <v>1</v>
      </c>
      <c r="H1747">
        <v>0</v>
      </c>
      <c r="I1747">
        <v>0</v>
      </c>
      <c r="J1747">
        <v>0</v>
      </c>
      <c r="K1747">
        <v>0</v>
      </c>
      <c r="L1747">
        <v>1</v>
      </c>
      <c r="M1747">
        <v>0</v>
      </c>
      <c r="N1747">
        <v>0</v>
      </c>
      <c r="O1747" t="str" cm="1">
        <f t="array" ref="O1747">_xlfn.IFS(Table1[[#This Row],[Divorced]]=1, "Divorced", Table1[[#This Row],[Married]]=1, "Married", Table1[[#This Row],[Single]]=1, "Single", Table1[[#This Row],[Together]]=1, "Together", Table1[[#This Row],[Widow]]=1, "Widow")</f>
        <v>Married</v>
      </c>
      <c r="P1747" t="str" cm="1">
        <f t="array" ref="P1747">_xlfn.IFS(Table1[[#This Row],[Basic]]=1, "Basic", Table1[[#This Row],[Graduate]]=1, "Graduate", Table1[[#This Row],[Master]]=1, "Master", Table1[[#This Row],[PhD]]=1, "PhD", AND(Table1[[#This Row],[Basic]]=0, Table1[[#This Row],[Graduate]]=0, Table1[[#This Row],[Master]]=0, Table1[[#This Row],[PhD]]=0), "NA")</f>
        <v>Graduate</v>
      </c>
      <c r="Q1747" t="e">
        <f>_xlfn.XLOOKUP(Table1[[#This Row],[ID]], Table2[ID],#REF!, "Not Found", 0)</f>
        <v>#REF!</v>
      </c>
      <c r="R1747" t="e">
        <f>_xlfn.XLOOKUP(Table1[[#This Row],[ID]], Table2[ID],#REF!, "Not Found", 0)</f>
        <v>#REF!</v>
      </c>
      <c r="S1747" s="3" t="str">
        <f>_xlfn.XLOOKUP(Table1[[#This Row],[ID]], Table2[ID], Table2[Enrollment], "Not Found", 0)</f>
        <v>7/31/2020</v>
      </c>
      <c r="T1747" t="s">
        <v>438</v>
      </c>
    </row>
    <row r="1748" spans="1:20" x14ac:dyDescent="0.3">
      <c r="A1748">
        <v>1333</v>
      </c>
      <c r="B1748">
        <v>133181</v>
      </c>
      <c r="C1748">
        <v>1</v>
      </c>
      <c r="D1748">
        <v>0</v>
      </c>
      <c r="E1748">
        <v>44</v>
      </c>
      <c r="F1748">
        <v>0</v>
      </c>
      <c r="G1748">
        <v>1</v>
      </c>
      <c r="H1748">
        <v>0</v>
      </c>
      <c r="I1748">
        <v>0</v>
      </c>
      <c r="J1748">
        <v>0</v>
      </c>
      <c r="K1748">
        <v>0</v>
      </c>
      <c r="L1748">
        <v>0</v>
      </c>
      <c r="M1748">
        <v>1</v>
      </c>
      <c r="N1748">
        <v>0</v>
      </c>
      <c r="O1748" t="str" cm="1">
        <f t="array" ref="O1748">_xlfn.IFS(Table1[[#This Row],[Divorced]]=1, "Divorced", Table1[[#This Row],[Married]]=1, "Married", Table1[[#This Row],[Single]]=1, "Single", Table1[[#This Row],[Together]]=1, "Together", Table1[[#This Row],[Widow]]=1, "Widow")</f>
        <v>Married</v>
      </c>
      <c r="P1748" t="str" cm="1">
        <f t="array" ref="P1748">_xlfn.IFS(Table1[[#This Row],[Basic]]=1, "Basic", Table1[[#This Row],[Graduate]]=1, "Graduate", Table1[[#This Row],[Master]]=1, "Master", Table1[[#This Row],[PhD]]=1, "PhD", AND(Table1[[#This Row],[Basic]]=0, Table1[[#This Row],[Graduate]]=0, Table1[[#This Row],[Master]]=0, Table1[[#This Row],[PhD]]=0), "NA")</f>
        <v>Master</v>
      </c>
      <c r="Q1748" t="e">
        <f>_xlfn.XLOOKUP(Table1[[#This Row],[ID]], Table2[ID],#REF!, "Not Found", 0)</f>
        <v>#REF!</v>
      </c>
      <c r="R1748" t="e">
        <f>_xlfn.XLOOKUP(Table1[[#This Row],[ID]], Table2[ID],#REF!, "Not Found", 0)</f>
        <v>#REF!</v>
      </c>
      <c r="S1748" s="3">
        <f>_xlfn.XLOOKUP(Table1[[#This Row],[ID]], Table2[ID], Table2[Enrollment], "Not Found", 0)</f>
        <v>44080</v>
      </c>
      <c r="T1748" t="s">
        <v>437</v>
      </c>
    </row>
    <row r="1749" spans="1:20" x14ac:dyDescent="0.3">
      <c r="A1749">
        <v>1577</v>
      </c>
      <c r="B1749">
        <v>133178</v>
      </c>
      <c r="C1749">
        <v>1</v>
      </c>
      <c r="D1749">
        <v>0</v>
      </c>
      <c r="E1749">
        <v>43</v>
      </c>
      <c r="F1749">
        <v>0</v>
      </c>
      <c r="G1749">
        <v>0</v>
      </c>
      <c r="H1749">
        <v>0</v>
      </c>
      <c r="I1749">
        <v>1</v>
      </c>
      <c r="J1749">
        <v>0</v>
      </c>
      <c r="K1749">
        <v>0</v>
      </c>
      <c r="L1749">
        <v>1</v>
      </c>
      <c r="M1749">
        <v>0</v>
      </c>
      <c r="N1749">
        <v>0</v>
      </c>
      <c r="O1749" t="str" cm="1">
        <f t="array" ref="O1749">_xlfn.IFS(Table1[[#This Row],[Divorced]]=1, "Divorced", Table1[[#This Row],[Married]]=1, "Married", Table1[[#This Row],[Single]]=1, "Single", Table1[[#This Row],[Together]]=1, "Together", Table1[[#This Row],[Widow]]=1, "Widow")</f>
        <v>Together</v>
      </c>
      <c r="P1749" t="str" cm="1">
        <f t="array" ref="P1749">_xlfn.IFS(Table1[[#This Row],[Basic]]=1, "Basic", Table1[[#This Row],[Graduate]]=1, "Graduate", Table1[[#This Row],[Master]]=1, "Master", Table1[[#This Row],[PhD]]=1, "PhD", AND(Table1[[#This Row],[Basic]]=0, Table1[[#This Row],[Graduate]]=0, Table1[[#This Row],[Master]]=0, Table1[[#This Row],[PhD]]=0), "NA")</f>
        <v>Graduate</v>
      </c>
      <c r="Q1749" t="e">
        <f>_xlfn.XLOOKUP(Table1[[#This Row],[ID]], Table2[ID],#REF!, "Not Found", 0)</f>
        <v>#REF!</v>
      </c>
      <c r="R1749" t="e">
        <f>_xlfn.XLOOKUP(Table1[[#This Row],[ID]], Table2[ID],#REF!, "Not Found", 0)</f>
        <v>#REF!</v>
      </c>
      <c r="S1749" s="3">
        <f>_xlfn.XLOOKUP(Table1[[#This Row],[ID]], Table2[ID], Table2[Enrollment], "Not Found", 0)</f>
        <v>43989</v>
      </c>
      <c r="T1749" t="s">
        <v>434</v>
      </c>
    </row>
    <row r="1750" spans="1:20" x14ac:dyDescent="0.3">
      <c r="A1750">
        <v>2026</v>
      </c>
      <c r="B1750">
        <v>133168</v>
      </c>
      <c r="C1750">
        <v>0</v>
      </c>
      <c r="D1750">
        <v>1</v>
      </c>
      <c r="E1750">
        <v>55</v>
      </c>
      <c r="F1750">
        <v>0</v>
      </c>
      <c r="G1750">
        <v>0</v>
      </c>
      <c r="H1750">
        <v>1</v>
      </c>
      <c r="I1750">
        <v>0</v>
      </c>
      <c r="J1750">
        <v>0</v>
      </c>
      <c r="K1750">
        <v>0</v>
      </c>
      <c r="L1750">
        <v>0</v>
      </c>
      <c r="M1750">
        <v>1</v>
      </c>
      <c r="N1750">
        <v>0</v>
      </c>
      <c r="O1750" t="str" cm="1">
        <f t="array" ref="O1750">_xlfn.IFS(Table1[[#This Row],[Divorced]]=1, "Divorced", Table1[[#This Row],[Married]]=1, "Married", Table1[[#This Row],[Single]]=1, "Single", Table1[[#This Row],[Together]]=1, "Together", Table1[[#This Row],[Widow]]=1, "Widow")</f>
        <v>Single</v>
      </c>
      <c r="P1750" t="str" cm="1">
        <f t="array" ref="P1750">_xlfn.IFS(Table1[[#This Row],[Basic]]=1, "Basic", Table1[[#This Row],[Graduate]]=1, "Graduate", Table1[[#This Row],[Master]]=1, "Master", Table1[[#This Row],[PhD]]=1, "PhD", AND(Table1[[#This Row],[Basic]]=0, Table1[[#This Row],[Graduate]]=0, Table1[[#This Row],[Master]]=0, Table1[[#This Row],[PhD]]=0), "NA")</f>
        <v>Master</v>
      </c>
      <c r="Q1750" t="e">
        <f>_xlfn.XLOOKUP(Table1[[#This Row],[ID]], Table2[ID],#REF!, "Not Found", 0)</f>
        <v>#REF!</v>
      </c>
      <c r="R1750" t="e">
        <f>_xlfn.XLOOKUP(Table1[[#This Row],[ID]], Table2[ID],#REF!, "Not Found", 0)</f>
        <v>#REF!</v>
      </c>
      <c r="S1750" s="3" t="str">
        <f>_xlfn.XLOOKUP(Table1[[#This Row],[ID]], Table2[ID], Table2[Enrollment], "Not Found", 0)</f>
        <v>3/20/2019</v>
      </c>
      <c r="T1750" t="s">
        <v>439</v>
      </c>
    </row>
    <row r="1751" spans="1:20" x14ac:dyDescent="0.3">
      <c r="A1751">
        <v>2851</v>
      </c>
      <c r="B1751">
        <v>133051</v>
      </c>
      <c r="C1751">
        <v>0</v>
      </c>
      <c r="D1751">
        <v>0</v>
      </c>
      <c r="E1751">
        <v>61</v>
      </c>
      <c r="F1751">
        <v>0</v>
      </c>
      <c r="G1751">
        <v>0</v>
      </c>
      <c r="H1751">
        <v>0</v>
      </c>
      <c r="I1751">
        <v>0</v>
      </c>
      <c r="J1751">
        <v>1</v>
      </c>
      <c r="K1751">
        <v>0</v>
      </c>
      <c r="L1751">
        <v>0</v>
      </c>
      <c r="M1751">
        <v>1</v>
      </c>
      <c r="N1751">
        <v>0</v>
      </c>
      <c r="O1751" t="str" cm="1">
        <f t="array" ref="O1751">_xlfn.IFS(Table1[[#This Row],[Divorced]]=1, "Divorced", Table1[[#This Row],[Married]]=1, "Married", Table1[[#This Row],[Single]]=1, "Single", Table1[[#This Row],[Together]]=1, "Together", Table1[[#This Row],[Widow]]=1, "Widow")</f>
        <v>Widow</v>
      </c>
      <c r="P1751" t="str" cm="1">
        <f t="array" ref="P1751">_xlfn.IFS(Table1[[#This Row],[Basic]]=1, "Basic", Table1[[#This Row],[Graduate]]=1, "Graduate", Table1[[#This Row],[Master]]=1, "Master", Table1[[#This Row],[PhD]]=1, "PhD", AND(Table1[[#This Row],[Basic]]=0, Table1[[#This Row],[Graduate]]=0, Table1[[#This Row],[Master]]=0, Table1[[#This Row],[PhD]]=0), "NA")</f>
        <v>Master</v>
      </c>
      <c r="Q1751" t="e">
        <f>_xlfn.XLOOKUP(Table1[[#This Row],[ID]], Table2[ID],#REF!, "Not Found", 0)</f>
        <v>#REF!</v>
      </c>
      <c r="R1751" t="e">
        <f>_xlfn.XLOOKUP(Table1[[#This Row],[ID]], Table2[ID],#REF!, "Not Found", 0)</f>
        <v>#REF!</v>
      </c>
      <c r="S1751" s="3" t="str">
        <f>_xlfn.XLOOKUP(Table1[[#This Row],[ID]], Table2[ID], Table2[Enrollment], "Not Found", 0)</f>
        <v>1/21/2019</v>
      </c>
      <c r="T1751" t="s">
        <v>437</v>
      </c>
    </row>
    <row r="1752" spans="1:20" x14ac:dyDescent="0.3">
      <c r="A1752">
        <v>1544</v>
      </c>
      <c r="B1752">
        <v>133039</v>
      </c>
      <c r="C1752">
        <v>1</v>
      </c>
      <c r="D1752">
        <v>0</v>
      </c>
      <c r="E1752">
        <v>42</v>
      </c>
      <c r="F1752">
        <v>0</v>
      </c>
      <c r="G1752">
        <v>1</v>
      </c>
      <c r="H1752">
        <v>0</v>
      </c>
      <c r="I1752">
        <v>0</v>
      </c>
      <c r="J1752">
        <v>0</v>
      </c>
      <c r="K1752">
        <v>0</v>
      </c>
      <c r="L1752">
        <v>1</v>
      </c>
      <c r="M1752">
        <v>0</v>
      </c>
      <c r="N1752">
        <v>0</v>
      </c>
      <c r="O1752" t="str" cm="1">
        <f t="array" ref="O1752">_xlfn.IFS(Table1[[#This Row],[Divorced]]=1, "Divorced", Table1[[#This Row],[Married]]=1, "Married", Table1[[#This Row],[Single]]=1, "Single", Table1[[#This Row],[Together]]=1, "Together", Table1[[#This Row],[Widow]]=1, "Widow")</f>
        <v>Married</v>
      </c>
      <c r="P1752" t="str" cm="1">
        <f t="array" ref="P1752">_xlfn.IFS(Table1[[#This Row],[Basic]]=1, "Basic", Table1[[#This Row],[Graduate]]=1, "Graduate", Table1[[#This Row],[Master]]=1, "Master", Table1[[#This Row],[PhD]]=1, "PhD", AND(Table1[[#This Row],[Basic]]=0, Table1[[#This Row],[Graduate]]=0, Table1[[#This Row],[Master]]=0, Table1[[#This Row],[PhD]]=0), "NA")</f>
        <v>Graduate</v>
      </c>
      <c r="Q1752" t="e">
        <f>_xlfn.XLOOKUP(Table1[[#This Row],[ID]], Table2[ID],#REF!, "Not Found", 0)</f>
        <v>#REF!</v>
      </c>
      <c r="R1752" t="e">
        <f>_xlfn.XLOOKUP(Table1[[#This Row],[ID]], Table2[ID],#REF!, "Not Found", 0)</f>
        <v>#REF!</v>
      </c>
      <c r="S1752" s="3" t="str">
        <f>_xlfn.XLOOKUP(Table1[[#This Row],[ID]], Table2[ID], Table2[Enrollment], "Not Found", 0)</f>
        <v>2/14/2020</v>
      </c>
      <c r="T1752" t="s">
        <v>438</v>
      </c>
    </row>
    <row r="1753" spans="1:20" x14ac:dyDescent="0.3">
      <c r="A1753">
        <v>2493</v>
      </c>
      <c r="B1753">
        <v>133039</v>
      </c>
      <c r="C1753">
        <v>1</v>
      </c>
      <c r="D1753">
        <v>0</v>
      </c>
      <c r="E1753">
        <v>42</v>
      </c>
      <c r="F1753">
        <v>0</v>
      </c>
      <c r="G1753">
        <v>1</v>
      </c>
      <c r="H1753">
        <v>0</v>
      </c>
      <c r="I1753">
        <v>0</v>
      </c>
      <c r="J1753">
        <v>0</v>
      </c>
      <c r="K1753">
        <v>0</v>
      </c>
      <c r="L1753">
        <v>1</v>
      </c>
      <c r="M1753">
        <v>0</v>
      </c>
      <c r="N1753">
        <v>0</v>
      </c>
      <c r="O1753" t="str" cm="1">
        <f t="array" ref="O1753">_xlfn.IFS(Table1[[#This Row],[Divorced]]=1, "Divorced", Table1[[#This Row],[Married]]=1, "Married", Table1[[#This Row],[Single]]=1, "Single", Table1[[#This Row],[Together]]=1, "Together", Table1[[#This Row],[Widow]]=1, "Widow")</f>
        <v>Married</v>
      </c>
      <c r="P1753" t="str" cm="1">
        <f t="array" ref="P1753">_xlfn.IFS(Table1[[#This Row],[Basic]]=1, "Basic", Table1[[#This Row],[Graduate]]=1, "Graduate", Table1[[#This Row],[Master]]=1, "Master", Table1[[#This Row],[PhD]]=1, "PhD", AND(Table1[[#This Row],[Basic]]=0, Table1[[#This Row],[Graduate]]=0, Table1[[#This Row],[Master]]=0, Table1[[#This Row],[PhD]]=0), "NA")</f>
        <v>Graduate</v>
      </c>
      <c r="Q1753" t="e">
        <f>_xlfn.XLOOKUP(Table1[[#This Row],[ID]], Table2[ID],#REF!, "Not Found", 0)</f>
        <v>#REF!</v>
      </c>
      <c r="R1753" t="e">
        <f>_xlfn.XLOOKUP(Table1[[#This Row],[ID]], Table2[ID],#REF!, "Not Found", 0)</f>
        <v>#REF!</v>
      </c>
      <c r="S1753" s="3" t="str">
        <f>_xlfn.XLOOKUP(Table1[[#This Row],[ID]], Table2[ID], Table2[Enrollment], "Not Found", 0)</f>
        <v>2/14/2020</v>
      </c>
      <c r="T1753" t="s">
        <v>435</v>
      </c>
    </row>
    <row r="1754" spans="1:20" x14ac:dyDescent="0.3">
      <c r="A1754">
        <v>2472</v>
      </c>
      <c r="B1754">
        <v>132952</v>
      </c>
      <c r="C1754">
        <v>1</v>
      </c>
      <c r="D1754">
        <v>0</v>
      </c>
      <c r="E1754">
        <v>43</v>
      </c>
      <c r="F1754">
        <v>1</v>
      </c>
      <c r="G1754">
        <v>0</v>
      </c>
      <c r="H1754">
        <v>0</v>
      </c>
      <c r="I1754">
        <v>0</v>
      </c>
      <c r="J1754">
        <v>0</v>
      </c>
      <c r="K1754">
        <v>0</v>
      </c>
      <c r="L1754">
        <v>1</v>
      </c>
      <c r="M1754">
        <v>0</v>
      </c>
      <c r="N1754">
        <v>0</v>
      </c>
      <c r="O1754" t="str" cm="1">
        <f t="array" ref="O1754">_xlfn.IFS(Table1[[#This Row],[Divorced]]=1, "Divorced", Table1[[#This Row],[Married]]=1, "Married", Table1[[#This Row],[Single]]=1, "Single", Table1[[#This Row],[Together]]=1, "Together", Table1[[#This Row],[Widow]]=1, "Widow")</f>
        <v>Divorced</v>
      </c>
      <c r="P1754" t="str" cm="1">
        <f t="array" ref="P1754">_xlfn.IFS(Table1[[#This Row],[Basic]]=1, "Basic", Table1[[#This Row],[Graduate]]=1, "Graduate", Table1[[#This Row],[Master]]=1, "Master", Table1[[#This Row],[PhD]]=1, "PhD", AND(Table1[[#This Row],[Basic]]=0, Table1[[#This Row],[Graduate]]=0, Table1[[#This Row],[Master]]=0, Table1[[#This Row],[PhD]]=0), "NA")</f>
        <v>Graduate</v>
      </c>
      <c r="Q1754" t="e">
        <f>_xlfn.XLOOKUP(Table1[[#This Row],[ID]], Table2[ID],#REF!, "Not Found", 0)</f>
        <v>#REF!</v>
      </c>
      <c r="R1754" t="e">
        <f>_xlfn.XLOOKUP(Table1[[#This Row],[ID]], Table2[ID],#REF!, "Not Found", 0)</f>
        <v>#REF!</v>
      </c>
      <c r="S1754" s="3">
        <f>_xlfn.XLOOKUP(Table1[[#This Row],[ID]], Table2[ID], Table2[Enrollment], "Not Found", 0)</f>
        <v>44017</v>
      </c>
      <c r="T1754" t="s">
        <v>436</v>
      </c>
    </row>
    <row r="1755" spans="1:20" x14ac:dyDescent="0.3">
      <c r="A1755">
        <v>1916</v>
      </c>
      <c r="B1755">
        <v>132892</v>
      </c>
      <c r="C1755">
        <v>1</v>
      </c>
      <c r="D1755">
        <v>0</v>
      </c>
      <c r="E1755">
        <v>49</v>
      </c>
      <c r="F1755">
        <v>0</v>
      </c>
      <c r="G1755">
        <v>0</v>
      </c>
      <c r="H1755">
        <v>0</v>
      </c>
      <c r="I1755">
        <v>1</v>
      </c>
      <c r="J1755">
        <v>0</v>
      </c>
      <c r="K1755">
        <v>0</v>
      </c>
      <c r="L1755">
        <v>0</v>
      </c>
      <c r="M1755">
        <v>0</v>
      </c>
      <c r="N1755">
        <v>1</v>
      </c>
      <c r="O1755" t="str" cm="1">
        <f t="array" ref="O1755">_xlfn.IFS(Table1[[#This Row],[Divorced]]=1, "Divorced", Table1[[#This Row],[Married]]=1, "Married", Table1[[#This Row],[Single]]=1, "Single", Table1[[#This Row],[Together]]=1, "Together", Table1[[#This Row],[Widow]]=1, "Widow")</f>
        <v>Together</v>
      </c>
      <c r="P1755" t="str" cm="1">
        <f t="array" ref="P1755">_xlfn.IFS(Table1[[#This Row],[Basic]]=1, "Basic", Table1[[#This Row],[Graduate]]=1, "Graduate", Table1[[#This Row],[Master]]=1, "Master", Table1[[#This Row],[PhD]]=1, "PhD", AND(Table1[[#This Row],[Basic]]=0, Table1[[#This Row],[Graduate]]=0, Table1[[#This Row],[Master]]=0, Table1[[#This Row],[PhD]]=0), "NA")</f>
        <v>PhD</v>
      </c>
      <c r="Q1755" t="e">
        <f>_xlfn.XLOOKUP(Table1[[#This Row],[ID]], Table2[ID],#REF!, "Not Found", 0)</f>
        <v>#REF!</v>
      </c>
      <c r="R1755" t="e">
        <f>_xlfn.XLOOKUP(Table1[[#This Row],[ID]], Table2[ID],#REF!, "Not Found", 0)</f>
        <v>#REF!</v>
      </c>
      <c r="S1755" s="3" t="str">
        <f>_xlfn.XLOOKUP(Table1[[#This Row],[ID]], Table2[ID], Table2[Enrollment], "Not Found", 0)</f>
        <v>10/29/2020</v>
      </c>
      <c r="T1755" t="s">
        <v>438</v>
      </c>
    </row>
    <row r="1756" spans="1:20" x14ac:dyDescent="0.3">
      <c r="A1756">
        <v>2051</v>
      </c>
      <c r="B1756">
        <v>132892</v>
      </c>
      <c r="C1756">
        <v>1</v>
      </c>
      <c r="D1756">
        <v>0</v>
      </c>
      <c r="E1756">
        <v>49</v>
      </c>
      <c r="F1756">
        <v>0</v>
      </c>
      <c r="G1756">
        <v>0</v>
      </c>
      <c r="H1756">
        <v>0</v>
      </c>
      <c r="I1756">
        <v>1</v>
      </c>
      <c r="J1756">
        <v>0</v>
      </c>
      <c r="K1756">
        <v>0</v>
      </c>
      <c r="L1756">
        <v>0</v>
      </c>
      <c r="M1756">
        <v>0</v>
      </c>
      <c r="N1756">
        <v>1</v>
      </c>
      <c r="O1756" t="str" cm="1">
        <f t="array" ref="O1756">_xlfn.IFS(Table1[[#This Row],[Divorced]]=1, "Divorced", Table1[[#This Row],[Married]]=1, "Married", Table1[[#This Row],[Single]]=1, "Single", Table1[[#This Row],[Together]]=1, "Together", Table1[[#This Row],[Widow]]=1, "Widow")</f>
        <v>Together</v>
      </c>
      <c r="P1756" t="str" cm="1">
        <f t="array" ref="P1756">_xlfn.IFS(Table1[[#This Row],[Basic]]=1, "Basic", Table1[[#This Row],[Graduate]]=1, "Graduate", Table1[[#This Row],[Master]]=1, "Master", Table1[[#This Row],[PhD]]=1, "PhD", AND(Table1[[#This Row],[Basic]]=0, Table1[[#This Row],[Graduate]]=0, Table1[[#This Row],[Master]]=0, Table1[[#This Row],[PhD]]=0), "NA")</f>
        <v>PhD</v>
      </c>
      <c r="Q1756" t="e">
        <f>_xlfn.XLOOKUP(Table1[[#This Row],[ID]], Table2[ID],#REF!, "Not Found", 0)</f>
        <v>#REF!</v>
      </c>
      <c r="R1756" t="e">
        <f>_xlfn.XLOOKUP(Table1[[#This Row],[ID]], Table2[ID],#REF!, "Not Found", 0)</f>
        <v>#REF!</v>
      </c>
      <c r="S1756" s="3" t="str">
        <f>_xlfn.XLOOKUP(Table1[[#This Row],[ID]], Table2[ID], Table2[Enrollment], "Not Found", 0)</f>
        <v>10/29/2020</v>
      </c>
      <c r="T1756" t="s">
        <v>434</v>
      </c>
    </row>
    <row r="1757" spans="1:20" x14ac:dyDescent="0.3">
      <c r="A1757">
        <v>2841</v>
      </c>
      <c r="B1757">
        <v>132889</v>
      </c>
      <c r="C1757">
        <v>1</v>
      </c>
      <c r="D1757">
        <v>1</v>
      </c>
      <c r="E1757">
        <v>52</v>
      </c>
      <c r="F1757">
        <v>0</v>
      </c>
      <c r="G1757">
        <v>0</v>
      </c>
      <c r="H1757">
        <v>0</v>
      </c>
      <c r="I1757">
        <v>1</v>
      </c>
      <c r="J1757">
        <v>0</v>
      </c>
      <c r="K1757">
        <v>0</v>
      </c>
      <c r="L1757">
        <v>0</v>
      </c>
      <c r="M1757">
        <v>1</v>
      </c>
      <c r="N1757">
        <v>0</v>
      </c>
      <c r="O1757" t="str" cm="1">
        <f t="array" ref="O1757">_xlfn.IFS(Table1[[#This Row],[Divorced]]=1, "Divorced", Table1[[#This Row],[Married]]=1, "Married", Table1[[#This Row],[Single]]=1, "Single", Table1[[#This Row],[Together]]=1, "Together", Table1[[#This Row],[Widow]]=1, "Widow")</f>
        <v>Together</v>
      </c>
      <c r="P1757" t="str" cm="1">
        <f t="array" ref="P1757">_xlfn.IFS(Table1[[#This Row],[Basic]]=1, "Basic", Table1[[#This Row],[Graduate]]=1, "Graduate", Table1[[#This Row],[Master]]=1, "Master", Table1[[#This Row],[PhD]]=1, "PhD", AND(Table1[[#This Row],[Basic]]=0, Table1[[#This Row],[Graduate]]=0, Table1[[#This Row],[Master]]=0, Table1[[#This Row],[PhD]]=0), "NA")</f>
        <v>Master</v>
      </c>
      <c r="Q1757" t="e">
        <f>_xlfn.XLOOKUP(Table1[[#This Row],[ID]], Table2[ID],#REF!, "Not Found", 0)</f>
        <v>#REF!</v>
      </c>
      <c r="R1757" t="e">
        <f>_xlfn.XLOOKUP(Table1[[#This Row],[ID]], Table2[ID],#REF!, "Not Found", 0)</f>
        <v>#REF!</v>
      </c>
      <c r="S1757" s="3">
        <f>_xlfn.XLOOKUP(Table1[[#This Row],[ID]], Table2[ID], Table2[Enrollment], "Not Found", 0)</f>
        <v>44137</v>
      </c>
      <c r="T1757" t="s">
        <v>435</v>
      </c>
    </row>
    <row r="1758" spans="1:20" x14ac:dyDescent="0.3">
      <c r="A1758">
        <v>1509</v>
      </c>
      <c r="B1758">
        <v>132880</v>
      </c>
      <c r="C1758">
        <v>1</v>
      </c>
      <c r="D1758">
        <v>0</v>
      </c>
      <c r="E1758">
        <v>34</v>
      </c>
      <c r="F1758">
        <v>0</v>
      </c>
      <c r="G1758">
        <v>1</v>
      </c>
      <c r="H1758">
        <v>0</v>
      </c>
      <c r="I1758">
        <v>0</v>
      </c>
      <c r="J1758">
        <v>0</v>
      </c>
      <c r="K1758">
        <v>0</v>
      </c>
      <c r="L1758">
        <v>1</v>
      </c>
      <c r="M1758">
        <v>0</v>
      </c>
      <c r="N1758">
        <v>0</v>
      </c>
      <c r="O1758" t="str" cm="1">
        <f t="array" ref="O1758">_xlfn.IFS(Table1[[#This Row],[Divorced]]=1, "Divorced", Table1[[#This Row],[Married]]=1, "Married", Table1[[#This Row],[Single]]=1, "Single", Table1[[#This Row],[Together]]=1, "Together", Table1[[#This Row],[Widow]]=1, "Widow")</f>
        <v>Married</v>
      </c>
      <c r="P1758" t="str" cm="1">
        <f t="array" ref="P1758">_xlfn.IFS(Table1[[#This Row],[Basic]]=1, "Basic", Table1[[#This Row],[Graduate]]=1, "Graduate", Table1[[#This Row],[Master]]=1, "Master", Table1[[#This Row],[PhD]]=1, "PhD", AND(Table1[[#This Row],[Basic]]=0, Table1[[#This Row],[Graduate]]=0, Table1[[#This Row],[Master]]=0, Table1[[#This Row],[PhD]]=0), "NA")</f>
        <v>Graduate</v>
      </c>
      <c r="Q1758" t="e">
        <f>_xlfn.XLOOKUP(Table1[[#This Row],[ID]], Table2[ID],#REF!, "Not Found", 0)</f>
        <v>#REF!</v>
      </c>
      <c r="R1758" t="e">
        <f>_xlfn.XLOOKUP(Table1[[#This Row],[ID]], Table2[ID],#REF!, "Not Found", 0)</f>
        <v>#REF!</v>
      </c>
      <c r="S1758" s="3">
        <f>_xlfn.XLOOKUP(Table1[[#This Row],[ID]], Table2[ID], Table2[Enrollment], "Not Found", 0)</f>
        <v>43774</v>
      </c>
      <c r="T1758" t="s">
        <v>435</v>
      </c>
    </row>
    <row r="1759" spans="1:20" x14ac:dyDescent="0.3">
      <c r="A1759">
        <v>3025</v>
      </c>
      <c r="B1759">
        <v>132871</v>
      </c>
      <c r="C1759">
        <v>1</v>
      </c>
      <c r="D1759">
        <v>1</v>
      </c>
      <c r="E1759">
        <v>69</v>
      </c>
      <c r="F1759">
        <v>0</v>
      </c>
      <c r="G1759">
        <v>1</v>
      </c>
      <c r="H1759">
        <v>0</v>
      </c>
      <c r="I1759">
        <v>0</v>
      </c>
      <c r="J1759">
        <v>0</v>
      </c>
      <c r="K1759">
        <v>0</v>
      </c>
      <c r="L1759">
        <v>1</v>
      </c>
      <c r="M1759">
        <v>0</v>
      </c>
      <c r="N1759">
        <v>0</v>
      </c>
      <c r="O1759" t="str" cm="1">
        <f t="array" ref="O1759">_xlfn.IFS(Table1[[#This Row],[Divorced]]=1, "Divorced", Table1[[#This Row],[Married]]=1, "Married", Table1[[#This Row],[Single]]=1, "Single", Table1[[#This Row],[Together]]=1, "Together", Table1[[#This Row],[Widow]]=1, "Widow")</f>
        <v>Married</v>
      </c>
      <c r="P1759" t="str" cm="1">
        <f t="array" ref="P1759">_xlfn.IFS(Table1[[#This Row],[Basic]]=1, "Basic", Table1[[#This Row],[Graduate]]=1, "Graduate", Table1[[#This Row],[Master]]=1, "Master", Table1[[#This Row],[PhD]]=1, "PhD", AND(Table1[[#This Row],[Basic]]=0, Table1[[#This Row],[Graduate]]=0, Table1[[#This Row],[Master]]=0, Table1[[#This Row],[PhD]]=0), "NA")</f>
        <v>Graduate</v>
      </c>
      <c r="Q1759" t="e">
        <f>_xlfn.XLOOKUP(Table1[[#This Row],[ID]], Table2[ID],#REF!, "Not Found", 0)</f>
        <v>#REF!</v>
      </c>
      <c r="R1759" t="e">
        <f>_xlfn.XLOOKUP(Table1[[#This Row],[ID]], Table2[ID],#REF!, "Not Found", 0)</f>
        <v>#REF!</v>
      </c>
      <c r="S1759" s="3" t="str">
        <f>_xlfn.XLOOKUP(Table1[[#This Row],[ID]], Table2[ID], Table2[Enrollment], "Not Found", 0)</f>
        <v>8/14/2019</v>
      </c>
      <c r="T1759" t="s">
        <v>437</v>
      </c>
    </row>
    <row r="1760" spans="1:20" x14ac:dyDescent="0.3">
      <c r="A1760">
        <v>3000</v>
      </c>
      <c r="B1760">
        <v>132765</v>
      </c>
      <c r="C1760">
        <v>1</v>
      </c>
      <c r="D1760">
        <v>0</v>
      </c>
      <c r="E1760">
        <v>41</v>
      </c>
      <c r="F1760">
        <v>0</v>
      </c>
      <c r="G1760">
        <v>1</v>
      </c>
      <c r="H1760">
        <v>0</v>
      </c>
      <c r="I1760">
        <v>0</v>
      </c>
      <c r="J1760">
        <v>0</v>
      </c>
      <c r="K1760">
        <v>0</v>
      </c>
      <c r="L1760">
        <v>0</v>
      </c>
      <c r="M1760">
        <v>1</v>
      </c>
      <c r="N1760">
        <v>0</v>
      </c>
      <c r="O1760" t="str" cm="1">
        <f t="array" ref="O1760">_xlfn.IFS(Table1[[#This Row],[Divorced]]=1, "Divorced", Table1[[#This Row],[Married]]=1, "Married", Table1[[#This Row],[Single]]=1, "Single", Table1[[#This Row],[Together]]=1, "Together", Table1[[#This Row],[Widow]]=1, "Widow")</f>
        <v>Married</v>
      </c>
      <c r="P1760" t="str" cm="1">
        <f t="array" ref="P1760">_xlfn.IFS(Table1[[#This Row],[Basic]]=1, "Basic", Table1[[#This Row],[Graduate]]=1, "Graduate", Table1[[#This Row],[Master]]=1, "Master", Table1[[#This Row],[PhD]]=1, "PhD", AND(Table1[[#This Row],[Basic]]=0, Table1[[#This Row],[Graduate]]=0, Table1[[#This Row],[Master]]=0, Table1[[#This Row],[PhD]]=0), "NA")</f>
        <v>Master</v>
      </c>
      <c r="Q1760" t="e">
        <f>_xlfn.XLOOKUP(Table1[[#This Row],[ID]], Table2[ID],#REF!, "Not Found", 0)</f>
        <v>#REF!</v>
      </c>
      <c r="R1760" t="e">
        <f>_xlfn.XLOOKUP(Table1[[#This Row],[ID]], Table2[ID],#REF!, "Not Found", 0)</f>
        <v>#REF!</v>
      </c>
      <c r="S1760" s="3" t="str">
        <f>_xlfn.XLOOKUP(Table1[[#This Row],[ID]], Table2[ID], Table2[Enrollment], "Not Found", 0)</f>
        <v>7/30/2020</v>
      </c>
      <c r="T1760" t="s">
        <v>436</v>
      </c>
    </row>
    <row r="1761" spans="1:20" x14ac:dyDescent="0.3">
      <c r="A1761">
        <v>2430</v>
      </c>
      <c r="B1761">
        <v>132727</v>
      </c>
      <c r="C1761">
        <v>0</v>
      </c>
      <c r="D1761">
        <v>0</v>
      </c>
      <c r="E1761">
        <v>55</v>
      </c>
      <c r="F1761">
        <v>0</v>
      </c>
      <c r="G1761">
        <v>0</v>
      </c>
      <c r="H1761">
        <v>0</v>
      </c>
      <c r="I1761">
        <v>1</v>
      </c>
      <c r="J1761">
        <v>0</v>
      </c>
      <c r="K1761">
        <v>0</v>
      </c>
      <c r="L1761">
        <v>0</v>
      </c>
      <c r="M1761">
        <v>0</v>
      </c>
      <c r="N1761">
        <v>1</v>
      </c>
      <c r="O1761" t="str" cm="1">
        <f t="array" ref="O1761">_xlfn.IFS(Table1[[#This Row],[Divorced]]=1, "Divorced", Table1[[#This Row],[Married]]=1, "Married", Table1[[#This Row],[Single]]=1, "Single", Table1[[#This Row],[Together]]=1, "Together", Table1[[#This Row],[Widow]]=1, "Widow")</f>
        <v>Together</v>
      </c>
      <c r="P1761" t="str" cm="1">
        <f t="array" ref="P1761">_xlfn.IFS(Table1[[#This Row],[Basic]]=1, "Basic", Table1[[#This Row],[Graduate]]=1, "Graduate", Table1[[#This Row],[Master]]=1, "Master", Table1[[#This Row],[PhD]]=1, "PhD", AND(Table1[[#This Row],[Basic]]=0, Table1[[#This Row],[Graduate]]=0, Table1[[#This Row],[Master]]=0, Table1[[#This Row],[PhD]]=0), "NA")</f>
        <v>PhD</v>
      </c>
      <c r="Q1761" t="e">
        <f>_xlfn.XLOOKUP(Table1[[#This Row],[ID]], Table2[ID],#REF!, "Not Found", 0)</f>
        <v>#REF!</v>
      </c>
      <c r="R1761" t="e">
        <f>_xlfn.XLOOKUP(Table1[[#This Row],[ID]], Table2[ID],#REF!, "Not Found", 0)</f>
        <v>#REF!</v>
      </c>
      <c r="S1761" s="3">
        <f>_xlfn.XLOOKUP(Table1[[#This Row],[ID]], Table2[ID], Table2[Enrollment], "Not Found", 0)</f>
        <v>43498</v>
      </c>
      <c r="T1761" t="s">
        <v>436</v>
      </c>
    </row>
    <row r="1762" spans="1:20" x14ac:dyDescent="0.3">
      <c r="A1762">
        <v>2973</v>
      </c>
      <c r="B1762">
        <v>132644</v>
      </c>
      <c r="C1762">
        <v>1</v>
      </c>
      <c r="D1762">
        <v>0</v>
      </c>
      <c r="E1762">
        <v>47</v>
      </c>
      <c r="F1762">
        <v>0</v>
      </c>
      <c r="G1762">
        <v>1</v>
      </c>
      <c r="H1762">
        <v>0</v>
      </c>
      <c r="I1762">
        <v>0</v>
      </c>
      <c r="J1762">
        <v>0</v>
      </c>
      <c r="K1762">
        <v>0</v>
      </c>
      <c r="L1762">
        <v>0</v>
      </c>
      <c r="M1762">
        <v>0</v>
      </c>
      <c r="N1762">
        <v>1</v>
      </c>
      <c r="O1762" t="str" cm="1">
        <f t="array" ref="O1762">_xlfn.IFS(Table1[[#This Row],[Divorced]]=1, "Divorced", Table1[[#This Row],[Married]]=1, "Married", Table1[[#This Row],[Single]]=1, "Single", Table1[[#This Row],[Together]]=1, "Together", Table1[[#This Row],[Widow]]=1, "Widow")</f>
        <v>Married</v>
      </c>
      <c r="P1762" t="str" cm="1">
        <f t="array" ref="P1762">_xlfn.IFS(Table1[[#This Row],[Basic]]=1, "Basic", Table1[[#This Row],[Graduate]]=1, "Graduate", Table1[[#This Row],[Master]]=1, "Master", Table1[[#This Row],[PhD]]=1, "PhD", AND(Table1[[#This Row],[Basic]]=0, Table1[[#This Row],[Graduate]]=0, Table1[[#This Row],[Master]]=0, Table1[[#This Row],[PhD]]=0), "NA")</f>
        <v>PhD</v>
      </c>
      <c r="Q1762" t="e">
        <f>_xlfn.XLOOKUP(Table1[[#This Row],[ID]], Table2[ID],#REF!, "Not Found", 0)</f>
        <v>#REF!</v>
      </c>
      <c r="R1762" t="e">
        <f>_xlfn.XLOOKUP(Table1[[#This Row],[ID]], Table2[ID],#REF!, "Not Found", 0)</f>
        <v>#REF!</v>
      </c>
      <c r="S1762" s="3" t="str">
        <f>_xlfn.XLOOKUP(Table1[[#This Row],[ID]], Table2[ID], Table2[Enrollment], "Not Found", 0)</f>
        <v>6/23/2019</v>
      </c>
      <c r="T1762" t="s">
        <v>435</v>
      </c>
    </row>
    <row r="1763" spans="1:20" x14ac:dyDescent="0.3">
      <c r="A1763">
        <v>2951</v>
      </c>
      <c r="B1763">
        <v>132632</v>
      </c>
      <c r="C1763">
        <v>0</v>
      </c>
      <c r="D1763">
        <v>0</v>
      </c>
      <c r="E1763">
        <v>57</v>
      </c>
      <c r="F1763">
        <v>0</v>
      </c>
      <c r="G1763">
        <v>1</v>
      </c>
      <c r="H1763">
        <v>0</v>
      </c>
      <c r="I1763">
        <v>0</v>
      </c>
      <c r="J1763">
        <v>0</v>
      </c>
      <c r="K1763">
        <v>0</v>
      </c>
      <c r="L1763">
        <v>0</v>
      </c>
      <c r="M1763">
        <v>0</v>
      </c>
      <c r="N1763">
        <v>0</v>
      </c>
      <c r="O1763" t="str" cm="1">
        <f t="array" ref="O1763">_xlfn.IFS(Table1[[#This Row],[Divorced]]=1, "Divorced", Table1[[#This Row],[Married]]=1, "Married", Table1[[#This Row],[Single]]=1, "Single", Table1[[#This Row],[Together]]=1, "Together", Table1[[#This Row],[Widow]]=1, "Widow")</f>
        <v>Married</v>
      </c>
      <c r="P1763" t="str" cm="1">
        <f t="array" ref="P1763">_xlfn.IFS(Table1[[#This Row],[Basic]]=1, "Basic", Table1[[#This Row],[Graduate]]=1, "Graduate", Table1[[#This Row],[Master]]=1, "Master", Table1[[#This Row],[PhD]]=1, "PhD", AND(Table1[[#This Row],[Basic]]=0, Table1[[#This Row],[Graduate]]=0, Table1[[#This Row],[Master]]=0, Table1[[#This Row],[PhD]]=0), "NA")</f>
        <v>NA</v>
      </c>
      <c r="Q1763" t="e">
        <f>_xlfn.XLOOKUP(Table1[[#This Row],[ID]], Table2[ID],#REF!, "Not Found", 0)</f>
        <v>#REF!</v>
      </c>
      <c r="R1763" t="e">
        <f>_xlfn.XLOOKUP(Table1[[#This Row],[ID]], Table2[ID],#REF!, "Not Found", 0)</f>
        <v>#REF!</v>
      </c>
      <c r="S1763" s="3">
        <f>_xlfn.XLOOKUP(Table1[[#This Row],[ID]], Table2[ID], Table2[Enrollment], "Not Found", 0)</f>
        <v>43647</v>
      </c>
      <c r="T1763" t="s">
        <v>434</v>
      </c>
    </row>
    <row r="1764" spans="1:20" x14ac:dyDescent="0.3">
      <c r="A1764">
        <v>2794</v>
      </c>
      <c r="B1764">
        <v>132583</v>
      </c>
      <c r="C1764">
        <v>1</v>
      </c>
      <c r="D1764">
        <v>1</v>
      </c>
      <c r="E1764">
        <v>59</v>
      </c>
      <c r="F1764">
        <v>0</v>
      </c>
      <c r="G1764">
        <v>0</v>
      </c>
      <c r="H1764">
        <v>0</v>
      </c>
      <c r="I1764">
        <v>1</v>
      </c>
      <c r="J1764">
        <v>0</v>
      </c>
      <c r="K1764">
        <v>0</v>
      </c>
      <c r="L1764">
        <v>0</v>
      </c>
      <c r="M1764">
        <v>0</v>
      </c>
      <c r="N1764">
        <v>1</v>
      </c>
      <c r="O1764" t="str" cm="1">
        <f t="array" ref="O1764">_xlfn.IFS(Table1[[#This Row],[Divorced]]=1, "Divorced", Table1[[#This Row],[Married]]=1, "Married", Table1[[#This Row],[Single]]=1, "Single", Table1[[#This Row],[Together]]=1, "Together", Table1[[#This Row],[Widow]]=1, "Widow")</f>
        <v>Together</v>
      </c>
      <c r="P1764" t="str" cm="1">
        <f t="array" ref="P1764">_xlfn.IFS(Table1[[#This Row],[Basic]]=1, "Basic", Table1[[#This Row],[Graduate]]=1, "Graduate", Table1[[#This Row],[Master]]=1, "Master", Table1[[#This Row],[PhD]]=1, "PhD", AND(Table1[[#This Row],[Basic]]=0, Table1[[#This Row],[Graduate]]=0, Table1[[#This Row],[Master]]=0, Table1[[#This Row],[PhD]]=0), "NA")</f>
        <v>PhD</v>
      </c>
      <c r="Q1764" t="e">
        <f>_xlfn.XLOOKUP(Table1[[#This Row],[ID]], Table2[ID],#REF!, "Not Found", 0)</f>
        <v>#REF!</v>
      </c>
      <c r="R1764" t="e">
        <f>_xlfn.XLOOKUP(Table1[[#This Row],[ID]], Table2[ID],#REF!, "Not Found", 0)</f>
        <v>#REF!</v>
      </c>
      <c r="S1764" s="3" t="str">
        <f>_xlfn.XLOOKUP(Table1[[#This Row],[ID]], Table2[ID], Table2[Enrollment], "Not Found", 0)</f>
        <v>11/19/2020</v>
      </c>
      <c r="T1764" t="s">
        <v>439</v>
      </c>
    </row>
    <row r="1765" spans="1:20" x14ac:dyDescent="0.3">
      <c r="A1765">
        <v>1113</v>
      </c>
      <c r="B1765">
        <v>132557</v>
      </c>
      <c r="C1765">
        <v>1</v>
      </c>
      <c r="D1765">
        <v>0</v>
      </c>
      <c r="E1765">
        <v>53</v>
      </c>
      <c r="F1765">
        <v>0</v>
      </c>
      <c r="G1765">
        <v>0</v>
      </c>
      <c r="H1765">
        <v>1</v>
      </c>
      <c r="I1765">
        <v>0</v>
      </c>
      <c r="J1765">
        <v>0</v>
      </c>
      <c r="K1765">
        <v>0</v>
      </c>
      <c r="L1765">
        <v>0</v>
      </c>
      <c r="M1765">
        <v>1</v>
      </c>
      <c r="N1765">
        <v>0</v>
      </c>
      <c r="O1765" t="str" cm="1">
        <f t="array" ref="O1765">_xlfn.IFS(Table1[[#This Row],[Divorced]]=1, "Divorced", Table1[[#This Row],[Married]]=1, "Married", Table1[[#This Row],[Single]]=1, "Single", Table1[[#This Row],[Together]]=1, "Together", Table1[[#This Row],[Widow]]=1, "Widow")</f>
        <v>Single</v>
      </c>
      <c r="P1765" t="str" cm="1">
        <f t="array" ref="P1765">_xlfn.IFS(Table1[[#This Row],[Basic]]=1, "Basic", Table1[[#This Row],[Graduate]]=1, "Graduate", Table1[[#This Row],[Master]]=1, "Master", Table1[[#This Row],[PhD]]=1, "PhD", AND(Table1[[#This Row],[Basic]]=0, Table1[[#This Row],[Graduate]]=0, Table1[[#This Row],[Master]]=0, Table1[[#This Row],[PhD]]=0), "NA")</f>
        <v>Master</v>
      </c>
      <c r="Q1765" t="e">
        <f>_xlfn.XLOOKUP(Table1[[#This Row],[ID]], Table2[ID],#REF!, "Not Found", 0)</f>
        <v>#REF!</v>
      </c>
      <c r="R1765" t="e">
        <f>_xlfn.XLOOKUP(Table1[[#This Row],[ID]], Table2[ID],#REF!, "Not Found", 0)</f>
        <v>#REF!</v>
      </c>
      <c r="S1765" s="3" t="str">
        <f>_xlfn.XLOOKUP(Table1[[#This Row],[ID]], Table2[ID], Table2[Enrollment], "Not Found", 0)</f>
        <v>7/31/2020</v>
      </c>
      <c r="T1765" t="s">
        <v>435</v>
      </c>
    </row>
    <row r="1766" spans="1:20" x14ac:dyDescent="0.3">
      <c r="A1766">
        <v>1062</v>
      </c>
      <c r="B1766">
        <v>132474</v>
      </c>
      <c r="C1766">
        <v>1</v>
      </c>
      <c r="D1766">
        <v>1</v>
      </c>
      <c r="E1766">
        <v>53</v>
      </c>
      <c r="F1766">
        <v>0</v>
      </c>
      <c r="G1766">
        <v>0</v>
      </c>
      <c r="H1766">
        <v>0</v>
      </c>
      <c r="I1766">
        <v>1</v>
      </c>
      <c r="J1766">
        <v>0</v>
      </c>
      <c r="K1766">
        <v>0</v>
      </c>
      <c r="L1766">
        <v>1</v>
      </c>
      <c r="M1766">
        <v>0</v>
      </c>
      <c r="N1766">
        <v>0</v>
      </c>
      <c r="O1766" t="str" cm="1">
        <f t="array" ref="O1766">_xlfn.IFS(Table1[[#This Row],[Divorced]]=1, "Divorced", Table1[[#This Row],[Married]]=1, "Married", Table1[[#This Row],[Single]]=1, "Single", Table1[[#This Row],[Together]]=1, "Together", Table1[[#This Row],[Widow]]=1, "Widow")</f>
        <v>Together</v>
      </c>
      <c r="P1766" t="str" cm="1">
        <f t="array" ref="P1766">_xlfn.IFS(Table1[[#This Row],[Basic]]=1, "Basic", Table1[[#This Row],[Graduate]]=1, "Graduate", Table1[[#This Row],[Master]]=1, "Master", Table1[[#This Row],[PhD]]=1, "PhD", AND(Table1[[#This Row],[Basic]]=0, Table1[[#This Row],[Graduate]]=0, Table1[[#This Row],[Master]]=0, Table1[[#This Row],[PhD]]=0), "NA")</f>
        <v>Graduate</v>
      </c>
      <c r="Q1766" t="e">
        <f>_xlfn.XLOOKUP(Table1[[#This Row],[ID]], Table2[ID],#REF!, "Not Found", 0)</f>
        <v>#REF!</v>
      </c>
      <c r="R1766" t="e">
        <f>_xlfn.XLOOKUP(Table1[[#This Row],[ID]], Table2[ID],#REF!, "Not Found", 0)</f>
        <v>#REF!</v>
      </c>
      <c r="S1766" s="3" t="str">
        <f>_xlfn.XLOOKUP(Table1[[#This Row],[ID]], Table2[ID], Table2[Enrollment], "Not Found", 0)</f>
        <v>10/15/2020</v>
      </c>
      <c r="T1766" t="s">
        <v>436</v>
      </c>
    </row>
    <row r="1767" spans="1:20" x14ac:dyDescent="0.3">
      <c r="A1767">
        <v>1277</v>
      </c>
      <c r="B1767">
        <v>132414</v>
      </c>
      <c r="C1767">
        <v>0</v>
      </c>
      <c r="D1767">
        <v>0</v>
      </c>
      <c r="E1767">
        <v>36</v>
      </c>
      <c r="F1767">
        <v>0</v>
      </c>
      <c r="G1767">
        <v>0</v>
      </c>
      <c r="H1767">
        <v>0</v>
      </c>
      <c r="I1767">
        <v>1</v>
      </c>
      <c r="J1767">
        <v>0</v>
      </c>
      <c r="K1767">
        <v>0</v>
      </c>
      <c r="L1767">
        <v>0</v>
      </c>
      <c r="M1767">
        <v>0</v>
      </c>
      <c r="N1767">
        <v>0</v>
      </c>
      <c r="O1767" t="str" cm="1">
        <f t="array" ref="O1767">_xlfn.IFS(Table1[[#This Row],[Divorced]]=1, "Divorced", Table1[[#This Row],[Married]]=1, "Married", Table1[[#This Row],[Single]]=1, "Single", Table1[[#This Row],[Together]]=1, "Together", Table1[[#This Row],[Widow]]=1, "Widow")</f>
        <v>Together</v>
      </c>
      <c r="P1767" t="str" cm="1">
        <f t="array" ref="P1767">_xlfn.IFS(Table1[[#This Row],[Basic]]=1, "Basic", Table1[[#This Row],[Graduate]]=1, "Graduate", Table1[[#This Row],[Master]]=1, "Master", Table1[[#This Row],[PhD]]=1, "PhD", AND(Table1[[#This Row],[Basic]]=0, Table1[[#This Row],[Graduate]]=0, Table1[[#This Row],[Master]]=0, Table1[[#This Row],[PhD]]=0), "NA")</f>
        <v>NA</v>
      </c>
      <c r="Q1767" t="e">
        <f>_xlfn.XLOOKUP(Table1[[#This Row],[ID]], Table2[ID],#REF!, "Not Found", 0)</f>
        <v>#REF!</v>
      </c>
      <c r="R1767" t="e">
        <f>_xlfn.XLOOKUP(Table1[[#This Row],[ID]], Table2[ID],#REF!, "Not Found", 0)</f>
        <v>#REF!</v>
      </c>
      <c r="S1767" s="3">
        <f>_xlfn.XLOOKUP(Table1[[#This Row],[ID]], Table2[ID], Table2[Enrollment], "Not Found", 0)</f>
        <v>43720</v>
      </c>
      <c r="T1767" t="s">
        <v>434</v>
      </c>
    </row>
    <row r="1768" spans="1:20" x14ac:dyDescent="0.3">
      <c r="A1768">
        <v>2815</v>
      </c>
      <c r="B1768">
        <v>132313</v>
      </c>
      <c r="C1768">
        <v>1</v>
      </c>
      <c r="D1768">
        <v>0</v>
      </c>
      <c r="E1768">
        <v>38</v>
      </c>
      <c r="F1768">
        <v>0</v>
      </c>
      <c r="G1768">
        <v>0</v>
      </c>
      <c r="H1768">
        <v>0</v>
      </c>
      <c r="I1768">
        <v>1</v>
      </c>
      <c r="J1768">
        <v>0</v>
      </c>
      <c r="K1768">
        <v>0</v>
      </c>
      <c r="L1768">
        <v>0</v>
      </c>
      <c r="M1768">
        <v>0</v>
      </c>
      <c r="N1768">
        <v>1</v>
      </c>
      <c r="O1768" t="str" cm="1">
        <f t="array" ref="O1768">_xlfn.IFS(Table1[[#This Row],[Divorced]]=1, "Divorced", Table1[[#This Row],[Married]]=1, "Married", Table1[[#This Row],[Single]]=1, "Single", Table1[[#This Row],[Together]]=1, "Together", Table1[[#This Row],[Widow]]=1, "Widow")</f>
        <v>Together</v>
      </c>
      <c r="P1768" t="str" cm="1">
        <f t="array" ref="P1768">_xlfn.IFS(Table1[[#This Row],[Basic]]=1, "Basic", Table1[[#This Row],[Graduate]]=1, "Graduate", Table1[[#This Row],[Master]]=1, "Master", Table1[[#This Row],[PhD]]=1, "PhD", AND(Table1[[#This Row],[Basic]]=0, Table1[[#This Row],[Graduate]]=0, Table1[[#This Row],[Master]]=0, Table1[[#This Row],[PhD]]=0), "NA")</f>
        <v>PhD</v>
      </c>
      <c r="Q1768" t="e">
        <f>_xlfn.XLOOKUP(Table1[[#This Row],[ID]], Table2[ID],#REF!, "Not Found", 0)</f>
        <v>#REF!</v>
      </c>
      <c r="R1768" t="e">
        <f>_xlfn.XLOOKUP(Table1[[#This Row],[ID]], Table2[ID],#REF!, "Not Found", 0)</f>
        <v>#REF!</v>
      </c>
      <c r="S1768" s="3" t="str">
        <f>_xlfn.XLOOKUP(Table1[[#This Row],[ID]], Table2[ID], Table2[Enrollment], "Not Found", 0)</f>
        <v>7/19/2019</v>
      </c>
      <c r="T1768" t="s">
        <v>437</v>
      </c>
    </row>
    <row r="1769" spans="1:20" x14ac:dyDescent="0.3">
      <c r="A1769">
        <v>1175</v>
      </c>
      <c r="B1769">
        <v>132303</v>
      </c>
      <c r="C1769">
        <v>0</v>
      </c>
      <c r="D1769">
        <v>1</v>
      </c>
      <c r="E1769">
        <v>50</v>
      </c>
      <c r="F1769">
        <v>0</v>
      </c>
      <c r="G1769">
        <v>0</v>
      </c>
      <c r="H1769">
        <v>1</v>
      </c>
      <c r="I1769">
        <v>0</v>
      </c>
      <c r="J1769">
        <v>0</v>
      </c>
      <c r="K1769">
        <v>0</v>
      </c>
      <c r="L1769">
        <v>0</v>
      </c>
      <c r="M1769">
        <v>0</v>
      </c>
      <c r="N1769">
        <v>1</v>
      </c>
      <c r="O1769" t="str" cm="1">
        <f t="array" ref="O1769">_xlfn.IFS(Table1[[#This Row],[Divorced]]=1, "Divorced", Table1[[#This Row],[Married]]=1, "Married", Table1[[#This Row],[Single]]=1, "Single", Table1[[#This Row],[Together]]=1, "Together", Table1[[#This Row],[Widow]]=1, "Widow")</f>
        <v>Single</v>
      </c>
      <c r="P1769" t="str" cm="1">
        <f t="array" ref="P1769">_xlfn.IFS(Table1[[#This Row],[Basic]]=1, "Basic", Table1[[#This Row],[Graduate]]=1, "Graduate", Table1[[#This Row],[Master]]=1, "Master", Table1[[#This Row],[PhD]]=1, "PhD", AND(Table1[[#This Row],[Basic]]=0, Table1[[#This Row],[Graduate]]=0, Table1[[#This Row],[Master]]=0, Table1[[#This Row],[PhD]]=0), "NA")</f>
        <v>PhD</v>
      </c>
      <c r="Q1769" t="e">
        <f>_xlfn.XLOOKUP(Table1[[#This Row],[ID]], Table2[ID],#REF!, "Not Found", 0)</f>
        <v>#REF!</v>
      </c>
      <c r="R1769" t="e">
        <f>_xlfn.XLOOKUP(Table1[[#This Row],[ID]], Table2[ID],#REF!, "Not Found", 0)</f>
        <v>#REF!</v>
      </c>
      <c r="S1769" s="3">
        <f>_xlfn.XLOOKUP(Table1[[#This Row],[ID]], Table2[ID], Table2[Enrollment], "Not Found", 0)</f>
        <v>44173</v>
      </c>
      <c r="T1769" t="s">
        <v>434</v>
      </c>
    </row>
    <row r="1770" spans="1:20" x14ac:dyDescent="0.3">
      <c r="A1770">
        <v>1999</v>
      </c>
      <c r="B1770">
        <v>132300</v>
      </c>
      <c r="C1770">
        <v>1</v>
      </c>
      <c r="D1770">
        <v>0</v>
      </c>
      <c r="E1770">
        <v>47</v>
      </c>
      <c r="F1770">
        <v>0</v>
      </c>
      <c r="G1770">
        <v>1</v>
      </c>
      <c r="H1770">
        <v>0</v>
      </c>
      <c r="I1770">
        <v>0</v>
      </c>
      <c r="J1770">
        <v>0</v>
      </c>
      <c r="K1770">
        <v>0</v>
      </c>
      <c r="L1770">
        <v>1</v>
      </c>
      <c r="M1770">
        <v>0</v>
      </c>
      <c r="N1770">
        <v>0</v>
      </c>
      <c r="O1770" t="str" cm="1">
        <f t="array" ref="O1770">_xlfn.IFS(Table1[[#This Row],[Divorced]]=1, "Divorced", Table1[[#This Row],[Married]]=1, "Married", Table1[[#This Row],[Single]]=1, "Single", Table1[[#This Row],[Together]]=1, "Together", Table1[[#This Row],[Widow]]=1, "Widow")</f>
        <v>Married</v>
      </c>
      <c r="P1770" t="str" cm="1">
        <f t="array" ref="P1770">_xlfn.IFS(Table1[[#This Row],[Basic]]=1, "Basic", Table1[[#This Row],[Graduate]]=1, "Graduate", Table1[[#This Row],[Master]]=1, "Master", Table1[[#This Row],[PhD]]=1, "PhD", AND(Table1[[#This Row],[Basic]]=0, Table1[[#This Row],[Graduate]]=0, Table1[[#This Row],[Master]]=0, Table1[[#This Row],[PhD]]=0), "NA")</f>
        <v>Graduate</v>
      </c>
      <c r="Q1770" t="e">
        <f>_xlfn.XLOOKUP(Table1[[#This Row],[ID]], Table2[ID],#REF!, "Not Found", 0)</f>
        <v>#REF!</v>
      </c>
      <c r="R1770" t="e">
        <f>_xlfn.XLOOKUP(Table1[[#This Row],[ID]], Table2[ID],#REF!, "Not Found", 0)</f>
        <v>#REF!</v>
      </c>
      <c r="S1770" s="3">
        <f>_xlfn.XLOOKUP(Table1[[#This Row],[ID]], Table2[ID], Table2[Enrollment], "Not Found", 0)</f>
        <v>43744</v>
      </c>
      <c r="T1770" t="s">
        <v>437</v>
      </c>
    </row>
    <row r="1771" spans="1:20" x14ac:dyDescent="0.3">
      <c r="A1771">
        <v>1466</v>
      </c>
      <c r="B1771">
        <v>132233</v>
      </c>
      <c r="C1771">
        <v>1</v>
      </c>
      <c r="D1771">
        <v>0</v>
      </c>
      <c r="E1771">
        <v>46</v>
      </c>
      <c r="F1771">
        <v>0</v>
      </c>
      <c r="G1771">
        <v>0</v>
      </c>
      <c r="H1771">
        <v>1</v>
      </c>
      <c r="I1771">
        <v>0</v>
      </c>
      <c r="J1771">
        <v>0</v>
      </c>
      <c r="K1771">
        <v>0</v>
      </c>
      <c r="L1771">
        <v>1</v>
      </c>
      <c r="M1771">
        <v>0</v>
      </c>
      <c r="N1771">
        <v>0</v>
      </c>
      <c r="O1771" t="str" cm="1">
        <f t="array" ref="O1771">_xlfn.IFS(Table1[[#This Row],[Divorced]]=1, "Divorced", Table1[[#This Row],[Married]]=1, "Married", Table1[[#This Row],[Single]]=1, "Single", Table1[[#This Row],[Together]]=1, "Together", Table1[[#This Row],[Widow]]=1, "Widow")</f>
        <v>Single</v>
      </c>
      <c r="P1771" t="str" cm="1">
        <f t="array" ref="P1771">_xlfn.IFS(Table1[[#This Row],[Basic]]=1, "Basic", Table1[[#This Row],[Graduate]]=1, "Graduate", Table1[[#This Row],[Master]]=1, "Master", Table1[[#This Row],[PhD]]=1, "PhD", AND(Table1[[#This Row],[Basic]]=0, Table1[[#This Row],[Graduate]]=0, Table1[[#This Row],[Master]]=0, Table1[[#This Row],[PhD]]=0), "NA")</f>
        <v>Graduate</v>
      </c>
      <c r="Q1771" t="e">
        <f>_xlfn.XLOOKUP(Table1[[#This Row],[ID]], Table2[ID],#REF!, "Not Found", 0)</f>
        <v>#REF!</v>
      </c>
      <c r="R1771" t="e">
        <f>_xlfn.XLOOKUP(Table1[[#This Row],[ID]], Table2[ID],#REF!, "Not Found", 0)</f>
        <v>#REF!</v>
      </c>
      <c r="S1771" s="3" t="str">
        <f>_xlfn.XLOOKUP(Table1[[#This Row],[ID]], Table2[ID], Table2[Enrollment], "Not Found", 0)</f>
        <v>1/24/2019</v>
      </c>
      <c r="T1771" t="s">
        <v>438</v>
      </c>
    </row>
    <row r="1772" spans="1:20" x14ac:dyDescent="0.3">
      <c r="A1772">
        <v>1616</v>
      </c>
      <c r="B1772">
        <v>132218</v>
      </c>
      <c r="C1772">
        <v>0</v>
      </c>
      <c r="D1772">
        <v>0</v>
      </c>
      <c r="E1772">
        <v>60</v>
      </c>
      <c r="F1772">
        <v>0</v>
      </c>
      <c r="G1772">
        <v>0</v>
      </c>
      <c r="H1772">
        <v>1</v>
      </c>
      <c r="I1772">
        <v>0</v>
      </c>
      <c r="J1772">
        <v>0</v>
      </c>
      <c r="K1772">
        <v>0</v>
      </c>
      <c r="L1772">
        <v>0</v>
      </c>
      <c r="M1772">
        <v>0</v>
      </c>
      <c r="N1772">
        <v>0</v>
      </c>
      <c r="O1772" t="str" cm="1">
        <f t="array" ref="O1772">_xlfn.IFS(Table1[[#This Row],[Divorced]]=1, "Divorced", Table1[[#This Row],[Married]]=1, "Married", Table1[[#This Row],[Single]]=1, "Single", Table1[[#This Row],[Together]]=1, "Together", Table1[[#This Row],[Widow]]=1, "Widow")</f>
        <v>Single</v>
      </c>
      <c r="P1772" t="str" cm="1">
        <f t="array" ref="P1772">_xlfn.IFS(Table1[[#This Row],[Basic]]=1, "Basic", Table1[[#This Row],[Graduate]]=1, "Graduate", Table1[[#This Row],[Master]]=1, "Master", Table1[[#This Row],[PhD]]=1, "PhD", AND(Table1[[#This Row],[Basic]]=0, Table1[[#This Row],[Graduate]]=0, Table1[[#This Row],[Master]]=0, Table1[[#This Row],[PhD]]=0), "NA")</f>
        <v>NA</v>
      </c>
      <c r="Q1772" t="e">
        <f>_xlfn.XLOOKUP(Table1[[#This Row],[ID]], Table2[ID],#REF!, "Not Found", 0)</f>
        <v>#REF!</v>
      </c>
      <c r="R1772" t="e">
        <f>_xlfn.XLOOKUP(Table1[[#This Row],[ID]], Table2[ID],#REF!, "Not Found", 0)</f>
        <v>#REF!</v>
      </c>
      <c r="S1772" s="3" t="str">
        <f>_xlfn.XLOOKUP(Table1[[#This Row],[ID]], Table2[ID], Table2[Enrollment], "Not Found", 0)</f>
        <v>7/22/2020</v>
      </c>
      <c r="T1772" t="s">
        <v>438</v>
      </c>
    </row>
    <row r="1773" spans="1:20" x14ac:dyDescent="0.3">
      <c r="A1773">
        <v>2009</v>
      </c>
      <c r="B1773">
        <v>132173</v>
      </c>
      <c r="C1773">
        <v>0</v>
      </c>
      <c r="D1773">
        <v>1</v>
      </c>
      <c r="E1773">
        <v>62</v>
      </c>
      <c r="F1773">
        <v>1</v>
      </c>
      <c r="G1773">
        <v>0</v>
      </c>
      <c r="H1773">
        <v>0</v>
      </c>
      <c r="I1773">
        <v>0</v>
      </c>
      <c r="J1773">
        <v>0</v>
      </c>
      <c r="K1773">
        <v>0</v>
      </c>
      <c r="L1773">
        <v>0</v>
      </c>
      <c r="M1773">
        <v>0</v>
      </c>
      <c r="N1773">
        <v>1</v>
      </c>
      <c r="O1773" t="str" cm="1">
        <f t="array" ref="O1773">_xlfn.IFS(Table1[[#This Row],[Divorced]]=1, "Divorced", Table1[[#This Row],[Married]]=1, "Married", Table1[[#This Row],[Single]]=1, "Single", Table1[[#This Row],[Together]]=1, "Together", Table1[[#This Row],[Widow]]=1, "Widow")</f>
        <v>Divorced</v>
      </c>
      <c r="P1773" t="str" cm="1">
        <f t="array" ref="P1773">_xlfn.IFS(Table1[[#This Row],[Basic]]=1, "Basic", Table1[[#This Row],[Graduate]]=1, "Graduate", Table1[[#This Row],[Master]]=1, "Master", Table1[[#This Row],[PhD]]=1, "PhD", AND(Table1[[#This Row],[Basic]]=0, Table1[[#This Row],[Graduate]]=0, Table1[[#This Row],[Master]]=0, Table1[[#This Row],[PhD]]=0), "NA")</f>
        <v>PhD</v>
      </c>
      <c r="Q1773" t="e">
        <f>_xlfn.XLOOKUP(Table1[[#This Row],[ID]], Table2[ID],#REF!, "Not Found", 0)</f>
        <v>#REF!</v>
      </c>
      <c r="R1773" t="e">
        <f>_xlfn.XLOOKUP(Table1[[#This Row],[ID]], Table2[ID],#REF!, "Not Found", 0)</f>
        <v>#REF!</v>
      </c>
      <c r="S1773" s="3">
        <f>_xlfn.XLOOKUP(Table1[[#This Row],[ID]], Table2[ID], Table2[Enrollment], "Not Found", 0)</f>
        <v>43983</v>
      </c>
      <c r="T1773" t="s">
        <v>434</v>
      </c>
    </row>
    <row r="1774" spans="1:20" x14ac:dyDescent="0.3">
      <c r="A1774">
        <v>3123</v>
      </c>
      <c r="B1774">
        <v>132146</v>
      </c>
      <c r="C1774">
        <v>1</v>
      </c>
      <c r="D1774">
        <v>0</v>
      </c>
      <c r="E1774">
        <v>37</v>
      </c>
      <c r="F1774">
        <v>0</v>
      </c>
      <c r="G1774">
        <v>1</v>
      </c>
      <c r="H1774">
        <v>0</v>
      </c>
      <c r="I1774">
        <v>0</v>
      </c>
      <c r="J1774">
        <v>0</v>
      </c>
      <c r="K1774">
        <v>0</v>
      </c>
      <c r="L1774">
        <v>0</v>
      </c>
      <c r="M1774">
        <v>0</v>
      </c>
      <c r="N1774">
        <v>0</v>
      </c>
      <c r="O1774" t="str" cm="1">
        <f t="array" ref="O1774">_xlfn.IFS(Table1[[#This Row],[Divorced]]=1, "Divorced", Table1[[#This Row],[Married]]=1, "Married", Table1[[#This Row],[Single]]=1, "Single", Table1[[#This Row],[Together]]=1, "Together", Table1[[#This Row],[Widow]]=1, "Widow")</f>
        <v>Married</v>
      </c>
      <c r="P1774" t="str" cm="1">
        <f t="array" ref="P1774">_xlfn.IFS(Table1[[#This Row],[Basic]]=1, "Basic", Table1[[#This Row],[Graduate]]=1, "Graduate", Table1[[#This Row],[Master]]=1, "Master", Table1[[#This Row],[PhD]]=1, "PhD", AND(Table1[[#This Row],[Basic]]=0, Table1[[#This Row],[Graduate]]=0, Table1[[#This Row],[Master]]=0, Table1[[#This Row],[PhD]]=0), "NA")</f>
        <v>NA</v>
      </c>
      <c r="Q1774" t="e">
        <f>_xlfn.XLOOKUP(Table1[[#This Row],[ID]], Table2[ID],#REF!, "Not Found", 0)</f>
        <v>#REF!</v>
      </c>
      <c r="R1774" t="e">
        <f>_xlfn.XLOOKUP(Table1[[#This Row],[ID]], Table2[ID],#REF!, "Not Found", 0)</f>
        <v>#REF!</v>
      </c>
      <c r="S1774" s="3" t="str">
        <f>_xlfn.XLOOKUP(Table1[[#This Row],[ID]], Table2[ID], Table2[Enrollment], "Not Found", 0)</f>
        <v>10/16/2020</v>
      </c>
      <c r="T1774" t="s">
        <v>435</v>
      </c>
    </row>
    <row r="1775" spans="1:20" x14ac:dyDescent="0.3">
      <c r="A1775">
        <v>3175</v>
      </c>
      <c r="B1775">
        <v>132144</v>
      </c>
      <c r="C1775">
        <v>1</v>
      </c>
      <c r="D1775">
        <v>1</v>
      </c>
      <c r="E1775">
        <v>66</v>
      </c>
      <c r="F1775">
        <v>0</v>
      </c>
      <c r="G1775">
        <v>0</v>
      </c>
      <c r="H1775">
        <v>0</v>
      </c>
      <c r="I1775">
        <v>1</v>
      </c>
      <c r="J1775">
        <v>0</v>
      </c>
      <c r="K1775">
        <v>0</v>
      </c>
      <c r="L1775">
        <v>1</v>
      </c>
      <c r="M1775">
        <v>0</v>
      </c>
      <c r="N1775">
        <v>0</v>
      </c>
      <c r="O1775" t="str" cm="1">
        <f t="array" ref="O1775">_xlfn.IFS(Table1[[#This Row],[Divorced]]=1, "Divorced", Table1[[#This Row],[Married]]=1, "Married", Table1[[#This Row],[Single]]=1, "Single", Table1[[#This Row],[Together]]=1, "Together", Table1[[#This Row],[Widow]]=1, "Widow")</f>
        <v>Together</v>
      </c>
      <c r="P1775" t="str" cm="1">
        <f t="array" ref="P1775">_xlfn.IFS(Table1[[#This Row],[Basic]]=1, "Basic", Table1[[#This Row],[Graduate]]=1, "Graduate", Table1[[#This Row],[Master]]=1, "Master", Table1[[#This Row],[PhD]]=1, "PhD", AND(Table1[[#This Row],[Basic]]=0, Table1[[#This Row],[Graduate]]=0, Table1[[#This Row],[Master]]=0, Table1[[#This Row],[PhD]]=0), "NA")</f>
        <v>Graduate</v>
      </c>
      <c r="Q1775" t="e">
        <f>_xlfn.XLOOKUP(Table1[[#This Row],[ID]], Table2[ID],#REF!, "Not Found", 0)</f>
        <v>#REF!</v>
      </c>
      <c r="R1775" t="e">
        <f>_xlfn.XLOOKUP(Table1[[#This Row],[ID]], Table2[ID],#REF!, "Not Found", 0)</f>
        <v>#REF!</v>
      </c>
      <c r="S1775" s="3" t="str">
        <f>_xlfn.XLOOKUP(Table1[[#This Row],[ID]], Table2[ID], Table2[Enrollment], "Not Found", 0)</f>
        <v>8/27/2020</v>
      </c>
      <c r="T1775" t="s">
        <v>437</v>
      </c>
    </row>
    <row r="1776" spans="1:20" x14ac:dyDescent="0.3">
      <c r="A1776">
        <v>1422</v>
      </c>
      <c r="B1776">
        <v>132011</v>
      </c>
      <c r="C1776">
        <v>1</v>
      </c>
      <c r="D1776">
        <v>0</v>
      </c>
      <c r="E1776">
        <v>49</v>
      </c>
      <c r="F1776">
        <v>0</v>
      </c>
      <c r="G1776">
        <v>1</v>
      </c>
      <c r="H1776">
        <v>0</v>
      </c>
      <c r="I1776">
        <v>0</v>
      </c>
      <c r="J1776">
        <v>0</v>
      </c>
      <c r="K1776">
        <v>0</v>
      </c>
      <c r="L1776">
        <v>0</v>
      </c>
      <c r="M1776">
        <v>0</v>
      </c>
      <c r="N1776">
        <v>1</v>
      </c>
      <c r="O1776" t="str" cm="1">
        <f t="array" ref="O1776">_xlfn.IFS(Table1[[#This Row],[Divorced]]=1, "Divorced", Table1[[#This Row],[Married]]=1, "Married", Table1[[#This Row],[Single]]=1, "Single", Table1[[#This Row],[Together]]=1, "Together", Table1[[#This Row],[Widow]]=1, "Widow")</f>
        <v>Married</v>
      </c>
      <c r="P1776" t="str" cm="1">
        <f t="array" ref="P1776">_xlfn.IFS(Table1[[#This Row],[Basic]]=1, "Basic", Table1[[#This Row],[Graduate]]=1, "Graduate", Table1[[#This Row],[Master]]=1, "Master", Table1[[#This Row],[PhD]]=1, "PhD", AND(Table1[[#This Row],[Basic]]=0, Table1[[#This Row],[Graduate]]=0, Table1[[#This Row],[Master]]=0, Table1[[#This Row],[PhD]]=0), "NA")</f>
        <v>PhD</v>
      </c>
      <c r="Q1776" t="e">
        <f>_xlfn.XLOOKUP(Table1[[#This Row],[ID]], Table2[ID],#REF!, "Not Found", 0)</f>
        <v>#REF!</v>
      </c>
      <c r="R1776" t="e">
        <f>_xlfn.XLOOKUP(Table1[[#This Row],[ID]], Table2[ID],#REF!, "Not Found", 0)</f>
        <v>#REF!</v>
      </c>
      <c r="S1776" s="3" t="str">
        <f>_xlfn.XLOOKUP(Table1[[#This Row],[ID]], Table2[ID], Table2[Enrollment], "Not Found", 0)</f>
        <v>1/27/2020</v>
      </c>
      <c r="T1776" t="s">
        <v>436</v>
      </c>
    </row>
    <row r="1777" spans="1:20" x14ac:dyDescent="0.3">
      <c r="A1777">
        <v>2516</v>
      </c>
      <c r="B1777">
        <v>131928</v>
      </c>
      <c r="C1777">
        <v>1</v>
      </c>
      <c r="D1777">
        <v>0</v>
      </c>
      <c r="E1777">
        <v>31</v>
      </c>
      <c r="F1777">
        <v>0</v>
      </c>
      <c r="G1777">
        <v>0</v>
      </c>
      <c r="H1777">
        <v>0</v>
      </c>
      <c r="I1777">
        <v>1</v>
      </c>
      <c r="J1777">
        <v>0</v>
      </c>
      <c r="K1777">
        <v>0</v>
      </c>
      <c r="L1777">
        <v>1</v>
      </c>
      <c r="M1777">
        <v>0</v>
      </c>
      <c r="N1777">
        <v>0</v>
      </c>
      <c r="O1777" t="str" cm="1">
        <f t="array" ref="O1777">_xlfn.IFS(Table1[[#This Row],[Divorced]]=1, "Divorced", Table1[[#This Row],[Married]]=1, "Married", Table1[[#This Row],[Single]]=1, "Single", Table1[[#This Row],[Together]]=1, "Together", Table1[[#This Row],[Widow]]=1, "Widow")</f>
        <v>Together</v>
      </c>
      <c r="P1777" t="str" cm="1">
        <f t="array" ref="P1777">_xlfn.IFS(Table1[[#This Row],[Basic]]=1, "Basic", Table1[[#This Row],[Graduate]]=1, "Graduate", Table1[[#This Row],[Master]]=1, "Master", Table1[[#This Row],[PhD]]=1, "PhD", AND(Table1[[#This Row],[Basic]]=0, Table1[[#This Row],[Graduate]]=0, Table1[[#This Row],[Master]]=0, Table1[[#This Row],[PhD]]=0), "NA")</f>
        <v>Graduate</v>
      </c>
      <c r="Q1777" t="e">
        <f>_xlfn.XLOOKUP(Table1[[#This Row],[ID]], Table2[ID],#REF!, "Not Found", 0)</f>
        <v>#REF!</v>
      </c>
      <c r="R1777" t="e">
        <f>_xlfn.XLOOKUP(Table1[[#This Row],[ID]], Table2[ID],#REF!, "Not Found", 0)</f>
        <v>#REF!</v>
      </c>
      <c r="S1777" s="3">
        <f>_xlfn.XLOOKUP(Table1[[#This Row],[ID]], Table2[ID], Table2[Enrollment], "Not Found", 0)</f>
        <v>43839</v>
      </c>
      <c r="T1777" t="s">
        <v>438</v>
      </c>
    </row>
    <row r="1778" spans="1:20" x14ac:dyDescent="0.3">
      <c r="A1778">
        <v>2405</v>
      </c>
      <c r="B1778">
        <v>131907</v>
      </c>
      <c r="C1778">
        <v>0</v>
      </c>
      <c r="D1778">
        <v>0</v>
      </c>
      <c r="E1778">
        <v>48</v>
      </c>
      <c r="F1778">
        <v>0</v>
      </c>
      <c r="G1778">
        <v>0</v>
      </c>
      <c r="H1778">
        <v>1</v>
      </c>
      <c r="I1778">
        <v>0</v>
      </c>
      <c r="J1778">
        <v>0</v>
      </c>
      <c r="K1778">
        <v>0</v>
      </c>
      <c r="L1778">
        <v>1</v>
      </c>
      <c r="M1778">
        <v>0</v>
      </c>
      <c r="N1778">
        <v>0</v>
      </c>
      <c r="O1778" t="str" cm="1">
        <f t="array" ref="O1778">_xlfn.IFS(Table1[[#This Row],[Divorced]]=1, "Divorced", Table1[[#This Row],[Married]]=1, "Married", Table1[[#This Row],[Single]]=1, "Single", Table1[[#This Row],[Together]]=1, "Together", Table1[[#This Row],[Widow]]=1, "Widow")</f>
        <v>Single</v>
      </c>
      <c r="P1778" t="str" cm="1">
        <f t="array" ref="P1778">_xlfn.IFS(Table1[[#This Row],[Basic]]=1, "Basic", Table1[[#This Row],[Graduate]]=1, "Graduate", Table1[[#This Row],[Master]]=1, "Master", Table1[[#This Row],[PhD]]=1, "PhD", AND(Table1[[#This Row],[Basic]]=0, Table1[[#This Row],[Graduate]]=0, Table1[[#This Row],[Master]]=0, Table1[[#This Row],[PhD]]=0), "NA")</f>
        <v>Graduate</v>
      </c>
      <c r="Q1778" t="e">
        <f>_xlfn.XLOOKUP(Table1[[#This Row],[ID]], Table2[ID],#REF!, "Not Found", 0)</f>
        <v>#REF!</v>
      </c>
      <c r="R1778" t="e">
        <f>_xlfn.XLOOKUP(Table1[[#This Row],[ID]], Table2[ID],#REF!, "Not Found", 0)</f>
        <v>#REF!</v>
      </c>
      <c r="S1778" s="3">
        <f>_xlfn.XLOOKUP(Table1[[#This Row],[ID]], Table2[ID], Table2[Enrollment], "Not Found", 0)</f>
        <v>43716</v>
      </c>
      <c r="T1778" t="s">
        <v>434</v>
      </c>
    </row>
    <row r="1779" spans="1:20" x14ac:dyDescent="0.3">
      <c r="A1779">
        <v>1451</v>
      </c>
      <c r="B1779">
        <v>131880</v>
      </c>
      <c r="C1779">
        <v>1</v>
      </c>
      <c r="D1779">
        <v>0</v>
      </c>
      <c r="E1779">
        <v>50</v>
      </c>
      <c r="F1779">
        <v>0</v>
      </c>
      <c r="G1779">
        <v>0</v>
      </c>
      <c r="H1779">
        <v>0</v>
      </c>
      <c r="I1779">
        <v>0</v>
      </c>
      <c r="J1779">
        <v>1</v>
      </c>
      <c r="K1779">
        <v>0</v>
      </c>
      <c r="L1779">
        <v>1</v>
      </c>
      <c r="M1779">
        <v>0</v>
      </c>
      <c r="N1779">
        <v>0</v>
      </c>
      <c r="O1779" t="str" cm="1">
        <f t="array" ref="O1779">_xlfn.IFS(Table1[[#This Row],[Divorced]]=1, "Divorced", Table1[[#This Row],[Married]]=1, "Married", Table1[[#This Row],[Single]]=1, "Single", Table1[[#This Row],[Together]]=1, "Together", Table1[[#This Row],[Widow]]=1, "Widow")</f>
        <v>Widow</v>
      </c>
      <c r="P1779" t="str" cm="1">
        <f t="array" ref="P1779">_xlfn.IFS(Table1[[#This Row],[Basic]]=1, "Basic", Table1[[#This Row],[Graduate]]=1, "Graduate", Table1[[#This Row],[Master]]=1, "Master", Table1[[#This Row],[PhD]]=1, "PhD", AND(Table1[[#This Row],[Basic]]=0, Table1[[#This Row],[Graduate]]=0, Table1[[#This Row],[Master]]=0, Table1[[#This Row],[PhD]]=0), "NA")</f>
        <v>Graduate</v>
      </c>
      <c r="Q1779" t="e">
        <f>_xlfn.XLOOKUP(Table1[[#This Row],[ID]], Table2[ID],#REF!, "Not Found", 0)</f>
        <v>#REF!</v>
      </c>
      <c r="R1779" t="e">
        <f>_xlfn.XLOOKUP(Table1[[#This Row],[ID]], Table2[ID],#REF!, "Not Found", 0)</f>
        <v>#REF!</v>
      </c>
      <c r="S1779" s="3">
        <f>_xlfn.XLOOKUP(Table1[[#This Row],[ID]], Table2[ID], Table2[Enrollment], "Not Found", 0)</f>
        <v>43650</v>
      </c>
      <c r="T1779" t="s">
        <v>434</v>
      </c>
    </row>
    <row r="1780" spans="1:20" x14ac:dyDescent="0.3">
      <c r="A1780">
        <v>2895</v>
      </c>
      <c r="B1780">
        <v>131878</v>
      </c>
      <c r="C1780">
        <v>0</v>
      </c>
      <c r="D1780">
        <v>1</v>
      </c>
      <c r="E1780">
        <v>43</v>
      </c>
      <c r="F1780">
        <v>0</v>
      </c>
      <c r="G1780">
        <v>0</v>
      </c>
      <c r="H1780">
        <v>1</v>
      </c>
      <c r="I1780">
        <v>0</v>
      </c>
      <c r="J1780">
        <v>0</v>
      </c>
      <c r="K1780">
        <v>0</v>
      </c>
      <c r="L1780">
        <v>0</v>
      </c>
      <c r="M1780">
        <v>0</v>
      </c>
      <c r="N1780">
        <v>0</v>
      </c>
      <c r="O1780" t="str" cm="1">
        <f t="array" ref="O1780">_xlfn.IFS(Table1[[#This Row],[Divorced]]=1, "Divorced", Table1[[#This Row],[Married]]=1, "Married", Table1[[#This Row],[Single]]=1, "Single", Table1[[#This Row],[Together]]=1, "Together", Table1[[#This Row],[Widow]]=1, "Widow")</f>
        <v>Single</v>
      </c>
      <c r="P1780" t="str" cm="1">
        <f t="array" ref="P1780">_xlfn.IFS(Table1[[#This Row],[Basic]]=1, "Basic", Table1[[#This Row],[Graduate]]=1, "Graduate", Table1[[#This Row],[Master]]=1, "Master", Table1[[#This Row],[PhD]]=1, "PhD", AND(Table1[[#This Row],[Basic]]=0, Table1[[#This Row],[Graduate]]=0, Table1[[#This Row],[Master]]=0, Table1[[#This Row],[PhD]]=0), "NA")</f>
        <v>NA</v>
      </c>
      <c r="Q1780" t="e">
        <f>_xlfn.XLOOKUP(Table1[[#This Row],[ID]], Table2[ID],#REF!, "Not Found", 0)</f>
        <v>#REF!</v>
      </c>
      <c r="R1780" t="e">
        <f>_xlfn.XLOOKUP(Table1[[#This Row],[ID]], Table2[ID],#REF!, "Not Found", 0)</f>
        <v>#REF!</v>
      </c>
      <c r="S1780" s="3" t="str">
        <f>_xlfn.XLOOKUP(Table1[[#This Row],[ID]], Table2[ID], Table2[Enrollment], "Not Found", 0)</f>
        <v>11/26/2020</v>
      </c>
      <c r="T1780" t="s">
        <v>435</v>
      </c>
    </row>
    <row r="1781" spans="1:20" x14ac:dyDescent="0.3">
      <c r="A1781">
        <v>2533</v>
      </c>
      <c r="B1781">
        <v>131859</v>
      </c>
      <c r="C1781">
        <v>1</v>
      </c>
      <c r="D1781">
        <v>0</v>
      </c>
      <c r="E1781">
        <v>44</v>
      </c>
      <c r="F1781">
        <v>1</v>
      </c>
      <c r="G1781">
        <v>0</v>
      </c>
      <c r="H1781">
        <v>0</v>
      </c>
      <c r="I1781">
        <v>0</v>
      </c>
      <c r="J1781">
        <v>0</v>
      </c>
      <c r="K1781">
        <v>0</v>
      </c>
      <c r="L1781">
        <v>1</v>
      </c>
      <c r="M1781">
        <v>0</v>
      </c>
      <c r="N1781">
        <v>0</v>
      </c>
      <c r="O1781" t="str" cm="1">
        <f t="array" ref="O1781">_xlfn.IFS(Table1[[#This Row],[Divorced]]=1, "Divorced", Table1[[#This Row],[Married]]=1, "Married", Table1[[#This Row],[Single]]=1, "Single", Table1[[#This Row],[Together]]=1, "Together", Table1[[#This Row],[Widow]]=1, "Widow")</f>
        <v>Divorced</v>
      </c>
      <c r="P1781" t="str" cm="1">
        <f t="array" ref="P1781">_xlfn.IFS(Table1[[#This Row],[Basic]]=1, "Basic", Table1[[#This Row],[Graduate]]=1, "Graduate", Table1[[#This Row],[Master]]=1, "Master", Table1[[#This Row],[PhD]]=1, "PhD", AND(Table1[[#This Row],[Basic]]=0, Table1[[#This Row],[Graduate]]=0, Table1[[#This Row],[Master]]=0, Table1[[#This Row],[PhD]]=0), "NA")</f>
        <v>Graduate</v>
      </c>
      <c r="Q1781" t="e">
        <f>_xlfn.XLOOKUP(Table1[[#This Row],[ID]], Table2[ID],#REF!, "Not Found", 0)</f>
        <v>#REF!</v>
      </c>
      <c r="R1781" t="e">
        <f>_xlfn.XLOOKUP(Table1[[#This Row],[ID]], Table2[ID],#REF!, "Not Found", 0)</f>
        <v>#REF!</v>
      </c>
      <c r="S1781" s="3" t="str">
        <f>_xlfn.XLOOKUP(Table1[[#This Row],[ID]], Table2[ID], Table2[Enrollment], "Not Found", 0)</f>
        <v>11/19/2019</v>
      </c>
      <c r="T1781" t="s">
        <v>437</v>
      </c>
    </row>
    <row r="1782" spans="1:20" x14ac:dyDescent="0.3">
      <c r="A1782">
        <v>2727</v>
      </c>
      <c r="B1782">
        <v>131859</v>
      </c>
      <c r="C1782">
        <v>1</v>
      </c>
      <c r="D1782">
        <v>0</v>
      </c>
      <c r="E1782">
        <v>40</v>
      </c>
      <c r="F1782">
        <v>0</v>
      </c>
      <c r="G1782">
        <v>0</v>
      </c>
      <c r="H1782">
        <v>1</v>
      </c>
      <c r="I1782">
        <v>0</v>
      </c>
      <c r="J1782">
        <v>0</v>
      </c>
      <c r="K1782">
        <v>0</v>
      </c>
      <c r="L1782">
        <v>0</v>
      </c>
      <c r="M1782">
        <v>0</v>
      </c>
      <c r="N1782">
        <v>0</v>
      </c>
      <c r="O1782" t="str" cm="1">
        <f t="array" ref="O1782">_xlfn.IFS(Table1[[#This Row],[Divorced]]=1, "Divorced", Table1[[#This Row],[Married]]=1, "Married", Table1[[#This Row],[Single]]=1, "Single", Table1[[#This Row],[Together]]=1, "Together", Table1[[#This Row],[Widow]]=1, "Widow")</f>
        <v>Single</v>
      </c>
      <c r="P1782" t="str" cm="1">
        <f t="array" ref="P1782">_xlfn.IFS(Table1[[#This Row],[Basic]]=1, "Basic", Table1[[#This Row],[Graduate]]=1, "Graduate", Table1[[#This Row],[Master]]=1, "Master", Table1[[#This Row],[PhD]]=1, "PhD", AND(Table1[[#This Row],[Basic]]=0, Table1[[#This Row],[Graduate]]=0, Table1[[#This Row],[Master]]=0, Table1[[#This Row],[PhD]]=0), "NA")</f>
        <v>NA</v>
      </c>
      <c r="Q1782" t="e">
        <f>_xlfn.XLOOKUP(Table1[[#This Row],[ID]], Table2[ID],#REF!, "Not Found", 0)</f>
        <v>#REF!</v>
      </c>
      <c r="R1782" t="e">
        <f>_xlfn.XLOOKUP(Table1[[#This Row],[ID]], Table2[ID],#REF!, "Not Found", 0)</f>
        <v>#REF!</v>
      </c>
      <c r="S1782" s="3">
        <f>_xlfn.XLOOKUP(Table1[[#This Row],[ID]], Table2[ID], Table2[Enrollment], "Not Found", 0)</f>
        <v>43898</v>
      </c>
      <c r="T1782" t="s">
        <v>435</v>
      </c>
    </row>
    <row r="1783" spans="1:20" x14ac:dyDescent="0.3">
      <c r="A1783">
        <v>1871</v>
      </c>
      <c r="B1783">
        <v>131814</v>
      </c>
      <c r="C1783">
        <v>1</v>
      </c>
      <c r="D1783">
        <v>0</v>
      </c>
      <c r="E1783">
        <v>47</v>
      </c>
      <c r="F1783">
        <v>0</v>
      </c>
      <c r="G1783">
        <v>1</v>
      </c>
      <c r="H1783">
        <v>0</v>
      </c>
      <c r="I1783">
        <v>0</v>
      </c>
      <c r="J1783">
        <v>0</v>
      </c>
      <c r="K1783">
        <v>0</v>
      </c>
      <c r="L1783">
        <v>1</v>
      </c>
      <c r="M1783">
        <v>0</v>
      </c>
      <c r="N1783">
        <v>0</v>
      </c>
      <c r="O1783" t="str" cm="1">
        <f t="array" ref="O1783">_xlfn.IFS(Table1[[#This Row],[Divorced]]=1, "Divorced", Table1[[#This Row],[Married]]=1, "Married", Table1[[#This Row],[Single]]=1, "Single", Table1[[#This Row],[Together]]=1, "Together", Table1[[#This Row],[Widow]]=1, "Widow")</f>
        <v>Married</v>
      </c>
      <c r="P1783" t="str" cm="1">
        <f t="array" ref="P1783">_xlfn.IFS(Table1[[#This Row],[Basic]]=1, "Basic", Table1[[#This Row],[Graduate]]=1, "Graduate", Table1[[#This Row],[Master]]=1, "Master", Table1[[#This Row],[PhD]]=1, "PhD", AND(Table1[[#This Row],[Basic]]=0, Table1[[#This Row],[Graduate]]=0, Table1[[#This Row],[Master]]=0, Table1[[#This Row],[PhD]]=0), "NA")</f>
        <v>Graduate</v>
      </c>
      <c r="Q1783" t="e">
        <f>_xlfn.XLOOKUP(Table1[[#This Row],[ID]], Table2[ID],#REF!, "Not Found", 0)</f>
        <v>#REF!</v>
      </c>
      <c r="R1783" t="e">
        <f>_xlfn.XLOOKUP(Table1[[#This Row],[ID]], Table2[ID],#REF!, "Not Found", 0)</f>
        <v>#REF!</v>
      </c>
      <c r="S1783" s="3" t="str">
        <f>_xlfn.XLOOKUP(Table1[[#This Row],[ID]], Table2[ID], Table2[Enrollment], "Not Found", 0)</f>
        <v>7/17/2019</v>
      </c>
      <c r="T1783" t="s">
        <v>434</v>
      </c>
    </row>
    <row r="1784" spans="1:20" x14ac:dyDescent="0.3">
      <c r="A1784">
        <v>1258</v>
      </c>
      <c r="B1784">
        <v>131788</v>
      </c>
      <c r="C1784">
        <v>1</v>
      </c>
      <c r="D1784">
        <v>0</v>
      </c>
      <c r="E1784">
        <v>37</v>
      </c>
      <c r="F1784">
        <v>0</v>
      </c>
      <c r="G1784">
        <v>0</v>
      </c>
      <c r="H1784">
        <v>1</v>
      </c>
      <c r="I1784">
        <v>0</v>
      </c>
      <c r="J1784">
        <v>0</v>
      </c>
      <c r="K1784">
        <v>0</v>
      </c>
      <c r="L1784">
        <v>0</v>
      </c>
      <c r="M1784">
        <v>1</v>
      </c>
      <c r="N1784">
        <v>0</v>
      </c>
      <c r="O1784" t="str" cm="1">
        <f t="array" ref="O1784">_xlfn.IFS(Table1[[#This Row],[Divorced]]=1, "Divorced", Table1[[#This Row],[Married]]=1, "Married", Table1[[#This Row],[Single]]=1, "Single", Table1[[#This Row],[Together]]=1, "Together", Table1[[#This Row],[Widow]]=1, "Widow")</f>
        <v>Single</v>
      </c>
      <c r="P1784" t="str" cm="1">
        <f t="array" ref="P1784">_xlfn.IFS(Table1[[#This Row],[Basic]]=1, "Basic", Table1[[#This Row],[Graduate]]=1, "Graduate", Table1[[#This Row],[Master]]=1, "Master", Table1[[#This Row],[PhD]]=1, "PhD", AND(Table1[[#This Row],[Basic]]=0, Table1[[#This Row],[Graduate]]=0, Table1[[#This Row],[Master]]=0, Table1[[#This Row],[PhD]]=0), "NA")</f>
        <v>Master</v>
      </c>
      <c r="Q1784" t="e">
        <f>_xlfn.XLOOKUP(Table1[[#This Row],[ID]], Table2[ID],#REF!, "Not Found", 0)</f>
        <v>#REF!</v>
      </c>
      <c r="R1784" t="e">
        <f>_xlfn.XLOOKUP(Table1[[#This Row],[ID]], Table2[ID],#REF!, "Not Found", 0)</f>
        <v>#REF!</v>
      </c>
      <c r="S1784" s="3" t="str">
        <f>_xlfn.XLOOKUP(Table1[[#This Row],[ID]], Table2[ID], Table2[Enrollment], "Not Found", 0)</f>
        <v>8/24/2020</v>
      </c>
      <c r="T1784" t="s">
        <v>439</v>
      </c>
    </row>
    <row r="1785" spans="1:20" x14ac:dyDescent="0.3">
      <c r="A1785">
        <v>3041</v>
      </c>
      <c r="B1785">
        <v>131761</v>
      </c>
      <c r="C1785">
        <v>1</v>
      </c>
      <c r="D1785">
        <v>0</v>
      </c>
      <c r="E1785">
        <v>36</v>
      </c>
      <c r="F1785">
        <v>0</v>
      </c>
      <c r="G1785">
        <v>1</v>
      </c>
      <c r="H1785">
        <v>0</v>
      </c>
      <c r="I1785">
        <v>0</v>
      </c>
      <c r="J1785">
        <v>0</v>
      </c>
      <c r="K1785">
        <v>0</v>
      </c>
      <c r="L1785">
        <v>1</v>
      </c>
      <c r="M1785">
        <v>0</v>
      </c>
      <c r="N1785">
        <v>0</v>
      </c>
      <c r="O1785" t="str" cm="1">
        <f t="array" ref="O1785">_xlfn.IFS(Table1[[#This Row],[Divorced]]=1, "Divorced", Table1[[#This Row],[Married]]=1, "Married", Table1[[#This Row],[Single]]=1, "Single", Table1[[#This Row],[Together]]=1, "Together", Table1[[#This Row],[Widow]]=1, "Widow")</f>
        <v>Married</v>
      </c>
      <c r="P1785" t="str" cm="1">
        <f t="array" ref="P1785">_xlfn.IFS(Table1[[#This Row],[Basic]]=1, "Basic", Table1[[#This Row],[Graduate]]=1, "Graduate", Table1[[#This Row],[Master]]=1, "Master", Table1[[#This Row],[PhD]]=1, "PhD", AND(Table1[[#This Row],[Basic]]=0, Table1[[#This Row],[Graduate]]=0, Table1[[#This Row],[Master]]=0, Table1[[#This Row],[PhD]]=0), "NA")</f>
        <v>Graduate</v>
      </c>
      <c r="Q1785" t="e">
        <f>_xlfn.XLOOKUP(Table1[[#This Row],[ID]], Table2[ID],#REF!, "Not Found", 0)</f>
        <v>#REF!</v>
      </c>
      <c r="R1785" t="e">
        <f>_xlfn.XLOOKUP(Table1[[#This Row],[ID]], Table2[ID],#REF!, "Not Found", 0)</f>
        <v>#REF!</v>
      </c>
      <c r="S1785" s="3">
        <f>_xlfn.XLOOKUP(Table1[[#This Row],[ID]], Table2[ID], Table2[Enrollment], "Not Found", 0)</f>
        <v>44083</v>
      </c>
      <c r="T1785" t="s">
        <v>434</v>
      </c>
    </row>
    <row r="1786" spans="1:20" x14ac:dyDescent="0.3">
      <c r="A1786">
        <v>1232</v>
      </c>
      <c r="B1786">
        <v>131686</v>
      </c>
      <c r="C1786">
        <v>1</v>
      </c>
      <c r="D1786">
        <v>1</v>
      </c>
      <c r="E1786">
        <v>56</v>
      </c>
      <c r="F1786">
        <v>0</v>
      </c>
      <c r="G1786">
        <v>1</v>
      </c>
      <c r="H1786">
        <v>0</v>
      </c>
      <c r="I1786">
        <v>0</v>
      </c>
      <c r="J1786">
        <v>0</v>
      </c>
      <c r="K1786">
        <v>0</v>
      </c>
      <c r="L1786">
        <v>0</v>
      </c>
      <c r="M1786">
        <v>0</v>
      </c>
      <c r="N1786">
        <v>1</v>
      </c>
      <c r="O1786" t="str" cm="1">
        <f t="array" ref="O1786">_xlfn.IFS(Table1[[#This Row],[Divorced]]=1, "Divorced", Table1[[#This Row],[Married]]=1, "Married", Table1[[#This Row],[Single]]=1, "Single", Table1[[#This Row],[Together]]=1, "Together", Table1[[#This Row],[Widow]]=1, "Widow")</f>
        <v>Married</v>
      </c>
      <c r="P1786" t="str" cm="1">
        <f t="array" ref="P1786">_xlfn.IFS(Table1[[#This Row],[Basic]]=1, "Basic", Table1[[#This Row],[Graduate]]=1, "Graduate", Table1[[#This Row],[Master]]=1, "Master", Table1[[#This Row],[PhD]]=1, "PhD", AND(Table1[[#This Row],[Basic]]=0, Table1[[#This Row],[Graduate]]=0, Table1[[#This Row],[Master]]=0, Table1[[#This Row],[PhD]]=0), "NA")</f>
        <v>PhD</v>
      </c>
      <c r="Q1786" t="e">
        <f>_xlfn.XLOOKUP(Table1[[#This Row],[ID]], Table2[ID],#REF!, "Not Found", 0)</f>
        <v>#REF!</v>
      </c>
      <c r="R1786" t="e">
        <f>_xlfn.XLOOKUP(Table1[[#This Row],[ID]], Table2[ID],#REF!, "Not Found", 0)</f>
        <v>#REF!</v>
      </c>
      <c r="S1786" s="3">
        <f>_xlfn.XLOOKUP(Table1[[#This Row],[ID]], Table2[ID], Table2[Enrollment], "Not Found", 0)</f>
        <v>44085</v>
      </c>
      <c r="T1786" t="s">
        <v>438</v>
      </c>
    </row>
    <row r="1787" spans="1:20" x14ac:dyDescent="0.3">
      <c r="A1787">
        <v>1604</v>
      </c>
      <c r="B1787">
        <v>131632</v>
      </c>
      <c r="C1787">
        <v>0</v>
      </c>
      <c r="D1787">
        <v>0</v>
      </c>
      <c r="E1787">
        <v>49</v>
      </c>
      <c r="F1787">
        <v>0</v>
      </c>
      <c r="G1787">
        <v>0</v>
      </c>
      <c r="H1787">
        <v>1</v>
      </c>
      <c r="I1787">
        <v>0</v>
      </c>
      <c r="J1787">
        <v>0</v>
      </c>
      <c r="K1787">
        <v>0</v>
      </c>
      <c r="L1787">
        <v>1</v>
      </c>
      <c r="M1787">
        <v>0</v>
      </c>
      <c r="N1787">
        <v>0</v>
      </c>
      <c r="O1787" t="str" cm="1">
        <f t="array" ref="O1787">_xlfn.IFS(Table1[[#This Row],[Divorced]]=1, "Divorced", Table1[[#This Row],[Married]]=1, "Married", Table1[[#This Row],[Single]]=1, "Single", Table1[[#This Row],[Together]]=1, "Together", Table1[[#This Row],[Widow]]=1, "Widow")</f>
        <v>Single</v>
      </c>
      <c r="P1787" t="str" cm="1">
        <f t="array" ref="P1787">_xlfn.IFS(Table1[[#This Row],[Basic]]=1, "Basic", Table1[[#This Row],[Graduate]]=1, "Graduate", Table1[[#This Row],[Master]]=1, "Master", Table1[[#This Row],[PhD]]=1, "PhD", AND(Table1[[#This Row],[Basic]]=0, Table1[[#This Row],[Graduate]]=0, Table1[[#This Row],[Master]]=0, Table1[[#This Row],[PhD]]=0), "NA")</f>
        <v>Graduate</v>
      </c>
      <c r="Q1787" t="e">
        <f>_xlfn.XLOOKUP(Table1[[#This Row],[ID]], Table2[ID],#REF!, "Not Found", 0)</f>
        <v>#REF!</v>
      </c>
      <c r="R1787" t="e">
        <f>_xlfn.XLOOKUP(Table1[[#This Row],[ID]], Table2[ID],#REF!, "Not Found", 0)</f>
        <v>#REF!</v>
      </c>
      <c r="S1787" s="3" t="str">
        <f>_xlfn.XLOOKUP(Table1[[#This Row],[ID]], Table2[ID], Table2[Enrollment], "Not Found", 0)</f>
        <v>12/19/2019</v>
      </c>
      <c r="T1787" t="s">
        <v>438</v>
      </c>
    </row>
    <row r="1788" spans="1:20" x14ac:dyDescent="0.3">
      <c r="A1788">
        <v>1744</v>
      </c>
      <c r="B1788">
        <v>131626</v>
      </c>
      <c r="C1788">
        <v>1</v>
      </c>
      <c r="D1788">
        <v>0</v>
      </c>
      <c r="E1788">
        <v>42</v>
      </c>
      <c r="F1788">
        <v>0</v>
      </c>
      <c r="G1788">
        <v>0</v>
      </c>
      <c r="H1788">
        <v>1</v>
      </c>
      <c r="I1788">
        <v>0</v>
      </c>
      <c r="J1788">
        <v>0</v>
      </c>
      <c r="K1788">
        <v>0</v>
      </c>
      <c r="L1788">
        <v>0</v>
      </c>
      <c r="M1788">
        <v>0</v>
      </c>
      <c r="N1788">
        <v>1</v>
      </c>
      <c r="O1788" t="str" cm="1">
        <f t="array" ref="O1788">_xlfn.IFS(Table1[[#This Row],[Divorced]]=1, "Divorced", Table1[[#This Row],[Married]]=1, "Married", Table1[[#This Row],[Single]]=1, "Single", Table1[[#This Row],[Together]]=1, "Together", Table1[[#This Row],[Widow]]=1, "Widow")</f>
        <v>Single</v>
      </c>
      <c r="P1788" t="str" cm="1">
        <f t="array" ref="P1788">_xlfn.IFS(Table1[[#This Row],[Basic]]=1, "Basic", Table1[[#This Row],[Graduate]]=1, "Graduate", Table1[[#This Row],[Master]]=1, "Master", Table1[[#This Row],[PhD]]=1, "PhD", AND(Table1[[#This Row],[Basic]]=0, Table1[[#This Row],[Graduate]]=0, Table1[[#This Row],[Master]]=0, Table1[[#This Row],[PhD]]=0), "NA")</f>
        <v>PhD</v>
      </c>
      <c r="Q1788" t="e">
        <f>_xlfn.XLOOKUP(Table1[[#This Row],[ID]], Table2[ID],#REF!, "Not Found", 0)</f>
        <v>#REF!</v>
      </c>
      <c r="R1788" t="e">
        <f>_xlfn.XLOOKUP(Table1[[#This Row],[ID]], Table2[ID],#REF!, "Not Found", 0)</f>
        <v>#REF!</v>
      </c>
      <c r="S1788" s="3" t="str">
        <f>_xlfn.XLOOKUP(Table1[[#This Row],[ID]], Table2[ID], Table2[Enrollment], "Not Found", 0)</f>
        <v>10/15/2019</v>
      </c>
      <c r="T1788" t="s">
        <v>439</v>
      </c>
    </row>
    <row r="1789" spans="1:20" x14ac:dyDescent="0.3">
      <c r="A1789">
        <v>1351</v>
      </c>
      <c r="B1789">
        <v>131615</v>
      </c>
      <c r="C1789">
        <v>1</v>
      </c>
      <c r="D1789">
        <v>0</v>
      </c>
      <c r="E1789">
        <v>44</v>
      </c>
      <c r="F1789">
        <v>1</v>
      </c>
      <c r="G1789">
        <v>0</v>
      </c>
      <c r="H1789">
        <v>0</v>
      </c>
      <c r="I1789">
        <v>0</v>
      </c>
      <c r="J1789">
        <v>0</v>
      </c>
      <c r="K1789">
        <v>0</v>
      </c>
      <c r="L1789">
        <v>1</v>
      </c>
      <c r="M1789">
        <v>0</v>
      </c>
      <c r="N1789">
        <v>0</v>
      </c>
      <c r="O1789" t="str" cm="1">
        <f t="array" ref="O1789">_xlfn.IFS(Table1[[#This Row],[Divorced]]=1, "Divorced", Table1[[#This Row],[Married]]=1, "Married", Table1[[#This Row],[Single]]=1, "Single", Table1[[#This Row],[Together]]=1, "Together", Table1[[#This Row],[Widow]]=1, "Widow")</f>
        <v>Divorced</v>
      </c>
      <c r="P1789" t="str" cm="1">
        <f t="array" ref="P1789">_xlfn.IFS(Table1[[#This Row],[Basic]]=1, "Basic", Table1[[#This Row],[Graduate]]=1, "Graduate", Table1[[#This Row],[Master]]=1, "Master", Table1[[#This Row],[PhD]]=1, "PhD", AND(Table1[[#This Row],[Basic]]=0, Table1[[#This Row],[Graduate]]=0, Table1[[#This Row],[Master]]=0, Table1[[#This Row],[PhD]]=0), "NA")</f>
        <v>Graduate</v>
      </c>
      <c r="Q1789" t="e">
        <f>_xlfn.XLOOKUP(Table1[[#This Row],[ID]], Table2[ID],#REF!, "Not Found", 0)</f>
        <v>#REF!</v>
      </c>
      <c r="R1789" t="e">
        <f>_xlfn.XLOOKUP(Table1[[#This Row],[ID]], Table2[ID],#REF!, "Not Found", 0)</f>
        <v>#REF!</v>
      </c>
      <c r="S1789" s="3" t="str">
        <f>_xlfn.XLOOKUP(Table1[[#This Row],[ID]], Table2[ID], Table2[Enrollment], "Not Found", 0)</f>
        <v>8/21/2019</v>
      </c>
      <c r="T1789" t="s">
        <v>437</v>
      </c>
    </row>
    <row r="1790" spans="1:20" x14ac:dyDescent="0.3">
      <c r="A1790">
        <v>2102</v>
      </c>
      <c r="B1790">
        <v>131605</v>
      </c>
      <c r="C1790">
        <v>1</v>
      </c>
      <c r="D1790">
        <v>0</v>
      </c>
      <c r="E1790">
        <v>41</v>
      </c>
      <c r="F1790">
        <v>0</v>
      </c>
      <c r="G1790">
        <v>1</v>
      </c>
      <c r="H1790">
        <v>0</v>
      </c>
      <c r="I1790">
        <v>0</v>
      </c>
      <c r="J1790">
        <v>0</v>
      </c>
      <c r="K1790">
        <v>0</v>
      </c>
      <c r="L1790">
        <v>0</v>
      </c>
      <c r="M1790">
        <v>0</v>
      </c>
      <c r="N1790">
        <v>1</v>
      </c>
      <c r="O1790" t="str" cm="1">
        <f t="array" ref="O1790">_xlfn.IFS(Table1[[#This Row],[Divorced]]=1, "Divorced", Table1[[#This Row],[Married]]=1, "Married", Table1[[#This Row],[Single]]=1, "Single", Table1[[#This Row],[Together]]=1, "Together", Table1[[#This Row],[Widow]]=1, "Widow")</f>
        <v>Married</v>
      </c>
      <c r="P1790" t="str" cm="1">
        <f t="array" ref="P1790">_xlfn.IFS(Table1[[#This Row],[Basic]]=1, "Basic", Table1[[#This Row],[Graduate]]=1, "Graduate", Table1[[#This Row],[Master]]=1, "Master", Table1[[#This Row],[PhD]]=1, "PhD", AND(Table1[[#This Row],[Basic]]=0, Table1[[#This Row],[Graduate]]=0, Table1[[#This Row],[Master]]=0, Table1[[#This Row],[PhD]]=0), "NA")</f>
        <v>PhD</v>
      </c>
      <c r="Q1790" t="e">
        <f>_xlfn.XLOOKUP(Table1[[#This Row],[ID]], Table2[ID],#REF!, "Not Found", 0)</f>
        <v>#REF!</v>
      </c>
      <c r="R1790" t="e">
        <f>_xlfn.XLOOKUP(Table1[[#This Row],[ID]], Table2[ID],#REF!, "Not Found", 0)</f>
        <v>#REF!</v>
      </c>
      <c r="S1790" s="3" t="str">
        <f>_xlfn.XLOOKUP(Table1[[#This Row],[ID]], Table2[ID], Table2[Enrollment], "Not Found", 0)</f>
        <v>4/29/2019</v>
      </c>
      <c r="T1790" t="s">
        <v>438</v>
      </c>
    </row>
    <row r="1791" spans="1:20" x14ac:dyDescent="0.3">
      <c r="A1791">
        <v>1765</v>
      </c>
      <c r="B1791">
        <v>131590</v>
      </c>
      <c r="C1791">
        <v>1</v>
      </c>
      <c r="D1791">
        <v>0</v>
      </c>
      <c r="E1791">
        <v>48</v>
      </c>
      <c r="F1791">
        <v>0</v>
      </c>
      <c r="G1791">
        <v>0</v>
      </c>
      <c r="H1791">
        <v>0</v>
      </c>
      <c r="I1791">
        <v>1</v>
      </c>
      <c r="J1791">
        <v>0</v>
      </c>
      <c r="K1791">
        <v>0</v>
      </c>
      <c r="L1791">
        <v>1</v>
      </c>
      <c r="M1791">
        <v>0</v>
      </c>
      <c r="N1791">
        <v>0</v>
      </c>
      <c r="O1791" t="str" cm="1">
        <f t="array" ref="O1791">_xlfn.IFS(Table1[[#This Row],[Divorced]]=1, "Divorced", Table1[[#This Row],[Married]]=1, "Married", Table1[[#This Row],[Single]]=1, "Single", Table1[[#This Row],[Together]]=1, "Together", Table1[[#This Row],[Widow]]=1, "Widow")</f>
        <v>Together</v>
      </c>
      <c r="P1791" t="str" cm="1">
        <f t="array" ref="P1791">_xlfn.IFS(Table1[[#This Row],[Basic]]=1, "Basic", Table1[[#This Row],[Graduate]]=1, "Graduate", Table1[[#This Row],[Master]]=1, "Master", Table1[[#This Row],[PhD]]=1, "PhD", AND(Table1[[#This Row],[Basic]]=0, Table1[[#This Row],[Graduate]]=0, Table1[[#This Row],[Master]]=0, Table1[[#This Row],[PhD]]=0), "NA")</f>
        <v>Graduate</v>
      </c>
      <c r="Q1791" t="e">
        <f>_xlfn.XLOOKUP(Table1[[#This Row],[ID]], Table2[ID],#REF!, "Not Found", 0)</f>
        <v>#REF!</v>
      </c>
      <c r="R1791" t="e">
        <f>_xlfn.XLOOKUP(Table1[[#This Row],[ID]], Table2[ID],#REF!, "Not Found", 0)</f>
        <v>#REF!</v>
      </c>
      <c r="S1791" s="3" t="str">
        <f>_xlfn.XLOOKUP(Table1[[#This Row],[ID]], Table2[ID], Table2[Enrollment], "Not Found", 0)</f>
        <v>11/23/2019</v>
      </c>
      <c r="T1791" t="s">
        <v>437</v>
      </c>
    </row>
    <row r="1792" spans="1:20" x14ac:dyDescent="0.3">
      <c r="A1792">
        <v>3133</v>
      </c>
      <c r="B1792">
        <v>131560</v>
      </c>
      <c r="C1792">
        <v>1</v>
      </c>
      <c r="D1792">
        <v>0</v>
      </c>
      <c r="E1792">
        <v>46</v>
      </c>
      <c r="F1792">
        <v>0</v>
      </c>
      <c r="G1792">
        <v>0</v>
      </c>
      <c r="H1792">
        <v>1</v>
      </c>
      <c r="I1792">
        <v>0</v>
      </c>
      <c r="J1792">
        <v>0</v>
      </c>
      <c r="K1792">
        <v>0</v>
      </c>
      <c r="L1792">
        <v>0</v>
      </c>
      <c r="M1792">
        <v>0</v>
      </c>
      <c r="N1792">
        <v>1</v>
      </c>
      <c r="O1792" t="str" cm="1">
        <f t="array" ref="O1792">_xlfn.IFS(Table1[[#This Row],[Divorced]]=1, "Divorced", Table1[[#This Row],[Married]]=1, "Married", Table1[[#This Row],[Single]]=1, "Single", Table1[[#This Row],[Together]]=1, "Together", Table1[[#This Row],[Widow]]=1, "Widow")</f>
        <v>Single</v>
      </c>
      <c r="P1792" t="str" cm="1">
        <f t="array" ref="P1792">_xlfn.IFS(Table1[[#This Row],[Basic]]=1, "Basic", Table1[[#This Row],[Graduate]]=1, "Graduate", Table1[[#This Row],[Master]]=1, "Master", Table1[[#This Row],[PhD]]=1, "PhD", AND(Table1[[#This Row],[Basic]]=0, Table1[[#This Row],[Graduate]]=0, Table1[[#This Row],[Master]]=0, Table1[[#This Row],[PhD]]=0), "NA")</f>
        <v>PhD</v>
      </c>
      <c r="Q1792" t="e">
        <f>_xlfn.XLOOKUP(Table1[[#This Row],[ID]], Table2[ID],#REF!, "Not Found", 0)</f>
        <v>#REF!</v>
      </c>
      <c r="R1792" t="e">
        <f>_xlfn.XLOOKUP(Table1[[#This Row],[ID]], Table2[ID],#REF!, "Not Found", 0)</f>
        <v>#REF!</v>
      </c>
      <c r="S1792" s="3" t="str">
        <f>_xlfn.XLOOKUP(Table1[[#This Row],[ID]], Table2[ID], Table2[Enrollment], "Not Found", 0)</f>
        <v>11/29/2019</v>
      </c>
      <c r="T1792" t="s">
        <v>437</v>
      </c>
    </row>
    <row r="1793" spans="1:20" x14ac:dyDescent="0.3">
      <c r="A1793">
        <v>2884</v>
      </c>
      <c r="B1793">
        <v>131535</v>
      </c>
      <c r="C1793">
        <v>1</v>
      </c>
      <c r="D1793">
        <v>0</v>
      </c>
      <c r="E1793">
        <v>40</v>
      </c>
      <c r="F1793">
        <v>0</v>
      </c>
      <c r="G1793">
        <v>1</v>
      </c>
      <c r="H1793">
        <v>0</v>
      </c>
      <c r="I1793">
        <v>0</v>
      </c>
      <c r="J1793">
        <v>0</v>
      </c>
      <c r="K1793">
        <v>0</v>
      </c>
      <c r="L1793">
        <v>0</v>
      </c>
      <c r="M1793">
        <v>1</v>
      </c>
      <c r="N1793">
        <v>0</v>
      </c>
      <c r="O1793" t="str" cm="1">
        <f t="array" ref="O1793">_xlfn.IFS(Table1[[#This Row],[Divorced]]=1, "Divorced", Table1[[#This Row],[Married]]=1, "Married", Table1[[#This Row],[Single]]=1, "Single", Table1[[#This Row],[Together]]=1, "Together", Table1[[#This Row],[Widow]]=1, "Widow")</f>
        <v>Married</v>
      </c>
      <c r="P1793" t="str" cm="1">
        <f t="array" ref="P1793">_xlfn.IFS(Table1[[#This Row],[Basic]]=1, "Basic", Table1[[#This Row],[Graduate]]=1, "Graduate", Table1[[#This Row],[Master]]=1, "Master", Table1[[#This Row],[PhD]]=1, "PhD", AND(Table1[[#This Row],[Basic]]=0, Table1[[#This Row],[Graduate]]=0, Table1[[#This Row],[Master]]=0, Table1[[#This Row],[PhD]]=0), "NA")</f>
        <v>Master</v>
      </c>
      <c r="Q1793" t="e">
        <f>_xlfn.XLOOKUP(Table1[[#This Row],[ID]], Table2[ID],#REF!, "Not Found", 0)</f>
        <v>#REF!</v>
      </c>
      <c r="R1793" t="e">
        <f>_xlfn.XLOOKUP(Table1[[#This Row],[ID]], Table2[ID],#REF!, "Not Found", 0)</f>
        <v>#REF!</v>
      </c>
      <c r="S1793" s="3">
        <f>_xlfn.XLOOKUP(Table1[[#This Row],[ID]], Table2[ID], Table2[Enrollment], "Not Found", 0)</f>
        <v>43864</v>
      </c>
      <c r="T1793" t="s">
        <v>439</v>
      </c>
    </row>
    <row r="1794" spans="1:20" x14ac:dyDescent="0.3">
      <c r="A1794">
        <v>2169</v>
      </c>
      <c r="B1794">
        <v>131497</v>
      </c>
      <c r="C1794">
        <v>0</v>
      </c>
      <c r="D1794">
        <v>1</v>
      </c>
      <c r="E1794">
        <v>58</v>
      </c>
      <c r="F1794">
        <v>0</v>
      </c>
      <c r="G1794">
        <v>0</v>
      </c>
      <c r="H1794">
        <v>0</v>
      </c>
      <c r="I1794">
        <v>1</v>
      </c>
      <c r="J1794">
        <v>0</v>
      </c>
      <c r="K1794">
        <v>0</v>
      </c>
      <c r="L1794">
        <v>0</v>
      </c>
      <c r="M1794">
        <v>0</v>
      </c>
      <c r="N1794">
        <v>1</v>
      </c>
      <c r="O1794" t="str" cm="1">
        <f t="array" ref="O1794">_xlfn.IFS(Table1[[#This Row],[Divorced]]=1, "Divorced", Table1[[#This Row],[Married]]=1, "Married", Table1[[#This Row],[Single]]=1, "Single", Table1[[#This Row],[Together]]=1, "Together", Table1[[#This Row],[Widow]]=1, "Widow")</f>
        <v>Together</v>
      </c>
      <c r="P1794" t="str" cm="1">
        <f t="array" ref="P1794">_xlfn.IFS(Table1[[#This Row],[Basic]]=1, "Basic", Table1[[#This Row],[Graduate]]=1, "Graduate", Table1[[#This Row],[Master]]=1, "Master", Table1[[#This Row],[PhD]]=1, "PhD", AND(Table1[[#This Row],[Basic]]=0, Table1[[#This Row],[Graduate]]=0, Table1[[#This Row],[Master]]=0, Table1[[#This Row],[PhD]]=0), "NA")</f>
        <v>PhD</v>
      </c>
      <c r="Q1794" t="e">
        <f>_xlfn.XLOOKUP(Table1[[#This Row],[ID]], Table2[ID],#REF!, "Not Found", 0)</f>
        <v>#REF!</v>
      </c>
      <c r="R1794" t="e">
        <f>_xlfn.XLOOKUP(Table1[[#This Row],[ID]], Table2[ID],#REF!, "Not Found", 0)</f>
        <v>#REF!</v>
      </c>
      <c r="S1794" s="3" t="str">
        <f>_xlfn.XLOOKUP(Table1[[#This Row],[ID]], Table2[ID], Table2[Enrollment], "Not Found", 0)</f>
        <v>5/13/2019</v>
      </c>
      <c r="T1794" t="s">
        <v>435</v>
      </c>
    </row>
    <row r="1795" spans="1:20" x14ac:dyDescent="0.3">
      <c r="A1795">
        <v>2566</v>
      </c>
      <c r="B1795">
        <v>131497</v>
      </c>
      <c r="C1795">
        <v>0</v>
      </c>
      <c r="D1795">
        <v>1</v>
      </c>
      <c r="E1795">
        <v>58</v>
      </c>
      <c r="F1795">
        <v>0</v>
      </c>
      <c r="G1795">
        <v>0</v>
      </c>
      <c r="H1795">
        <v>0</v>
      </c>
      <c r="I1795">
        <v>1</v>
      </c>
      <c r="J1795">
        <v>0</v>
      </c>
      <c r="K1795">
        <v>0</v>
      </c>
      <c r="L1795">
        <v>0</v>
      </c>
      <c r="M1795">
        <v>0</v>
      </c>
      <c r="N1795">
        <v>1</v>
      </c>
      <c r="O1795" t="str" cm="1">
        <f t="array" ref="O1795">_xlfn.IFS(Table1[[#This Row],[Divorced]]=1, "Divorced", Table1[[#This Row],[Married]]=1, "Married", Table1[[#This Row],[Single]]=1, "Single", Table1[[#This Row],[Together]]=1, "Together", Table1[[#This Row],[Widow]]=1, "Widow")</f>
        <v>Together</v>
      </c>
      <c r="P1795" t="str" cm="1">
        <f t="array" ref="P1795">_xlfn.IFS(Table1[[#This Row],[Basic]]=1, "Basic", Table1[[#This Row],[Graduate]]=1, "Graduate", Table1[[#This Row],[Master]]=1, "Master", Table1[[#This Row],[PhD]]=1, "PhD", AND(Table1[[#This Row],[Basic]]=0, Table1[[#This Row],[Graduate]]=0, Table1[[#This Row],[Master]]=0, Table1[[#This Row],[PhD]]=0), "NA")</f>
        <v>PhD</v>
      </c>
      <c r="Q1795" t="e">
        <f>_xlfn.XLOOKUP(Table1[[#This Row],[ID]], Table2[ID],#REF!, "Not Found", 0)</f>
        <v>#REF!</v>
      </c>
      <c r="R1795" t="e">
        <f>_xlfn.XLOOKUP(Table1[[#This Row],[ID]], Table2[ID],#REF!, "Not Found", 0)</f>
        <v>#REF!</v>
      </c>
      <c r="S1795" s="3" t="str">
        <f>_xlfn.XLOOKUP(Table1[[#This Row],[ID]], Table2[ID], Table2[Enrollment], "Not Found", 0)</f>
        <v>5/13/2019</v>
      </c>
      <c r="T1795" t="s">
        <v>439</v>
      </c>
    </row>
    <row r="1796" spans="1:20" x14ac:dyDescent="0.3">
      <c r="A1796">
        <v>2244</v>
      </c>
      <c r="B1796">
        <v>131454</v>
      </c>
      <c r="C1796">
        <v>1</v>
      </c>
      <c r="D1796">
        <v>1</v>
      </c>
      <c r="E1796">
        <v>60</v>
      </c>
      <c r="F1796">
        <v>0</v>
      </c>
      <c r="G1796">
        <v>1</v>
      </c>
      <c r="H1796">
        <v>0</v>
      </c>
      <c r="I1796">
        <v>0</v>
      </c>
      <c r="J1796">
        <v>0</v>
      </c>
      <c r="K1796">
        <v>0</v>
      </c>
      <c r="L1796">
        <v>1</v>
      </c>
      <c r="M1796">
        <v>0</v>
      </c>
      <c r="N1796">
        <v>0</v>
      </c>
      <c r="O1796" t="str" cm="1">
        <f t="array" ref="O1796">_xlfn.IFS(Table1[[#This Row],[Divorced]]=1, "Divorced", Table1[[#This Row],[Married]]=1, "Married", Table1[[#This Row],[Single]]=1, "Single", Table1[[#This Row],[Together]]=1, "Together", Table1[[#This Row],[Widow]]=1, "Widow")</f>
        <v>Married</v>
      </c>
      <c r="P1796" t="str" cm="1">
        <f t="array" ref="P1796">_xlfn.IFS(Table1[[#This Row],[Basic]]=1, "Basic", Table1[[#This Row],[Graduate]]=1, "Graduate", Table1[[#This Row],[Master]]=1, "Master", Table1[[#This Row],[PhD]]=1, "PhD", AND(Table1[[#This Row],[Basic]]=0, Table1[[#This Row],[Graduate]]=0, Table1[[#This Row],[Master]]=0, Table1[[#This Row],[PhD]]=0), "NA")</f>
        <v>Graduate</v>
      </c>
      <c r="Q1796" t="e">
        <f>_xlfn.XLOOKUP(Table1[[#This Row],[ID]], Table2[ID],#REF!, "Not Found", 0)</f>
        <v>#REF!</v>
      </c>
      <c r="R1796" t="e">
        <f>_xlfn.XLOOKUP(Table1[[#This Row],[ID]], Table2[ID],#REF!, "Not Found", 0)</f>
        <v>#REF!</v>
      </c>
      <c r="S1796" s="3">
        <f>_xlfn.XLOOKUP(Table1[[#This Row],[ID]], Table2[ID], Table2[Enrollment], "Not Found", 0)</f>
        <v>43781</v>
      </c>
      <c r="T1796" t="s">
        <v>436</v>
      </c>
    </row>
    <row r="1797" spans="1:20" x14ac:dyDescent="0.3">
      <c r="A1797">
        <v>1384</v>
      </c>
      <c r="B1797">
        <v>131395</v>
      </c>
      <c r="C1797">
        <v>1</v>
      </c>
      <c r="D1797">
        <v>1</v>
      </c>
      <c r="E1797">
        <v>64</v>
      </c>
      <c r="F1797">
        <v>1</v>
      </c>
      <c r="G1797">
        <v>0</v>
      </c>
      <c r="H1797">
        <v>0</v>
      </c>
      <c r="I1797">
        <v>0</v>
      </c>
      <c r="J1797">
        <v>0</v>
      </c>
      <c r="K1797">
        <v>0</v>
      </c>
      <c r="L1797">
        <v>0</v>
      </c>
      <c r="M1797">
        <v>0</v>
      </c>
      <c r="N1797">
        <v>0</v>
      </c>
      <c r="O1797" t="str" cm="1">
        <f t="array" ref="O1797">_xlfn.IFS(Table1[[#This Row],[Divorced]]=1, "Divorced", Table1[[#This Row],[Married]]=1, "Married", Table1[[#This Row],[Single]]=1, "Single", Table1[[#This Row],[Together]]=1, "Together", Table1[[#This Row],[Widow]]=1, "Widow")</f>
        <v>Divorced</v>
      </c>
      <c r="P1797" t="str" cm="1">
        <f t="array" ref="P1797">_xlfn.IFS(Table1[[#This Row],[Basic]]=1, "Basic", Table1[[#This Row],[Graduate]]=1, "Graduate", Table1[[#This Row],[Master]]=1, "Master", Table1[[#This Row],[PhD]]=1, "PhD", AND(Table1[[#This Row],[Basic]]=0, Table1[[#This Row],[Graduate]]=0, Table1[[#This Row],[Master]]=0, Table1[[#This Row],[PhD]]=0), "NA")</f>
        <v>NA</v>
      </c>
      <c r="Q1797" t="e">
        <f>_xlfn.XLOOKUP(Table1[[#This Row],[ID]], Table2[ID],#REF!, "Not Found", 0)</f>
        <v>#REF!</v>
      </c>
      <c r="R1797" t="e">
        <f>_xlfn.XLOOKUP(Table1[[#This Row],[ID]], Table2[ID],#REF!, "Not Found", 0)</f>
        <v>#REF!</v>
      </c>
      <c r="S1797" s="3" t="str">
        <f>_xlfn.XLOOKUP(Table1[[#This Row],[ID]], Table2[ID], Table2[Enrollment], "Not Found", 0)</f>
        <v>8/28/2019</v>
      </c>
      <c r="T1797" t="s">
        <v>439</v>
      </c>
    </row>
    <row r="1798" spans="1:20" x14ac:dyDescent="0.3">
      <c r="A1798">
        <v>2954</v>
      </c>
      <c r="B1798">
        <v>131385</v>
      </c>
      <c r="C1798">
        <v>1</v>
      </c>
      <c r="D1798">
        <v>0</v>
      </c>
      <c r="E1798">
        <v>36</v>
      </c>
      <c r="F1798">
        <v>0</v>
      </c>
      <c r="G1798">
        <v>0</v>
      </c>
      <c r="H1798">
        <v>1</v>
      </c>
      <c r="I1798">
        <v>0</v>
      </c>
      <c r="J1798">
        <v>0</v>
      </c>
      <c r="K1798">
        <v>0</v>
      </c>
      <c r="L1798">
        <v>0</v>
      </c>
      <c r="M1798">
        <v>1</v>
      </c>
      <c r="N1798">
        <v>0</v>
      </c>
      <c r="O1798" t="str" cm="1">
        <f t="array" ref="O1798">_xlfn.IFS(Table1[[#This Row],[Divorced]]=1, "Divorced", Table1[[#This Row],[Married]]=1, "Married", Table1[[#This Row],[Single]]=1, "Single", Table1[[#This Row],[Together]]=1, "Together", Table1[[#This Row],[Widow]]=1, "Widow")</f>
        <v>Single</v>
      </c>
      <c r="P1798" t="str" cm="1">
        <f t="array" ref="P1798">_xlfn.IFS(Table1[[#This Row],[Basic]]=1, "Basic", Table1[[#This Row],[Graduate]]=1, "Graduate", Table1[[#This Row],[Master]]=1, "Master", Table1[[#This Row],[PhD]]=1, "PhD", AND(Table1[[#This Row],[Basic]]=0, Table1[[#This Row],[Graduate]]=0, Table1[[#This Row],[Master]]=0, Table1[[#This Row],[PhD]]=0), "NA")</f>
        <v>Master</v>
      </c>
      <c r="Q1798" t="e">
        <f>_xlfn.XLOOKUP(Table1[[#This Row],[ID]], Table2[ID],#REF!, "Not Found", 0)</f>
        <v>#REF!</v>
      </c>
      <c r="R1798" t="e">
        <f>_xlfn.XLOOKUP(Table1[[#This Row],[ID]], Table2[ID],#REF!, "Not Found", 0)</f>
        <v>#REF!</v>
      </c>
      <c r="S1798" s="3">
        <f>_xlfn.XLOOKUP(Table1[[#This Row],[ID]], Table2[ID], Table2[Enrollment], "Not Found", 0)</f>
        <v>43804</v>
      </c>
      <c r="T1798" t="s">
        <v>438</v>
      </c>
    </row>
    <row r="1799" spans="1:20" x14ac:dyDescent="0.3">
      <c r="A1799">
        <v>1183</v>
      </c>
      <c r="B1799">
        <v>131353</v>
      </c>
      <c r="C1799">
        <v>1</v>
      </c>
      <c r="D1799">
        <v>1</v>
      </c>
      <c r="E1799">
        <v>43</v>
      </c>
      <c r="F1799">
        <v>0</v>
      </c>
      <c r="G1799">
        <v>1</v>
      </c>
      <c r="H1799">
        <v>0</v>
      </c>
      <c r="I1799">
        <v>0</v>
      </c>
      <c r="J1799">
        <v>0</v>
      </c>
      <c r="K1799">
        <v>0</v>
      </c>
      <c r="L1799">
        <v>1</v>
      </c>
      <c r="M1799">
        <v>0</v>
      </c>
      <c r="N1799">
        <v>0</v>
      </c>
      <c r="O1799" t="str" cm="1">
        <f t="array" ref="O1799">_xlfn.IFS(Table1[[#This Row],[Divorced]]=1, "Divorced", Table1[[#This Row],[Married]]=1, "Married", Table1[[#This Row],[Single]]=1, "Single", Table1[[#This Row],[Together]]=1, "Together", Table1[[#This Row],[Widow]]=1, "Widow")</f>
        <v>Married</v>
      </c>
      <c r="P1799" t="str" cm="1">
        <f t="array" ref="P1799">_xlfn.IFS(Table1[[#This Row],[Basic]]=1, "Basic", Table1[[#This Row],[Graduate]]=1, "Graduate", Table1[[#This Row],[Master]]=1, "Master", Table1[[#This Row],[PhD]]=1, "PhD", AND(Table1[[#This Row],[Basic]]=0, Table1[[#This Row],[Graduate]]=0, Table1[[#This Row],[Master]]=0, Table1[[#This Row],[PhD]]=0), "NA")</f>
        <v>Graduate</v>
      </c>
      <c r="Q1799" t="e">
        <f>_xlfn.XLOOKUP(Table1[[#This Row],[ID]], Table2[ID],#REF!, "Not Found", 0)</f>
        <v>#REF!</v>
      </c>
      <c r="R1799" t="e">
        <f>_xlfn.XLOOKUP(Table1[[#This Row],[ID]], Table2[ID],#REF!, "Not Found", 0)</f>
        <v>#REF!</v>
      </c>
      <c r="S1799" s="3">
        <f>_xlfn.XLOOKUP(Table1[[#This Row],[ID]], Table2[ID], Table2[Enrollment], "Not Found", 0)</f>
        <v>43927</v>
      </c>
      <c r="T1799" t="s">
        <v>437</v>
      </c>
    </row>
    <row r="1800" spans="1:20" x14ac:dyDescent="0.3">
      <c r="A1800">
        <v>2590</v>
      </c>
      <c r="B1800">
        <v>131353</v>
      </c>
      <c r="C1800">
        <v>1</v>
      </c>
      <c r="D1800">
        <v>1</v>
      </c>
      <c r="E1800">
        <v>43</v>
      </c>
      <c r="F1800">
        <v>0</v>
      </c>
      <c r="G1800">
        <v>1</v>
      </c>
      <c r="H1800">
        <v>0</v>
      </c>
      <c r="I1800">
        <v>0</v>
      </c>
      <c r="J1800">
        <v>0</v>
      </c>
      <c r="K1800">
        <v>0</v>
      </c>
      <c r="L1800">
        <v>1</v>
      </c>
      <c r="M1800">
        <v>0</v>
      </c>
      <c r="N1800">
        <v>0</v>
      </c>
      <c r="O1800" t="str" cm="1">
        <f t="array" ref="O1800">_xlfn.IFS(Table1[[#This Row],[Divorced]]=1, "Divorced", Table1[[#This Row],[Married]]=1, "Married", Table1[[#This Row],[Single]]=1, "Single", Table1[[#This Row],[Together]]=1, "Together", Table1[[#This Row],[Widow]]=1, "Widow")</f>
        <v>Married</v>
      </c>
      <c r="P1800" t="str" cm="1">
        <f t="array" ref="P1800">_xlfn.IFS(Table1[[#This Row],[Basic]]=1, "Basic", Table1[[#This Row],[Graduate]]=1, "Graduate", Table1[[#This Row],[Master]]=1, "Master", Table1[[#This Row],[PhD]]=1, "PhD", AND(Table1[[#This Row],[Basic]]=0, Table1[[#This Row],[Graduate]]=0, Table1[[#This Row],[Master]]=0, Table1[[#This Row],[PhD]]=0), "NA")</f>
        <v>Graduate</v>
      </c>
      <c r="Q1800" t="e">
        <f>_xlfn.XLOOKUP(Table1[[#This Row],[ID]], Table2[ID],#REF!, "Not Found", 0)</f>
        <v>#REF!</v>
      </c>
      <c r="R1800" t="e">
        <f>_xlfn.XLOOKUP(Table1[[#This Row],[ID]], Table2[ID],#REF!, "Not Found", 0)</f>
        <v>#REF!</v>
      </c>
      <c r="S1800" s="3">
        <f>_xlfn.XLOOKUP(Table1[[#This Row],[ID]], Table2[ID], Table2[Enrollment], "Not Found", 0)</f>
        <v>43927</v>
      </c>
      <c r="T1800" t="s">
        <v>439</v>
      </c>
    </row>
    <row r="1801" spans="1:20" x14ac:dyDescent="0.3">
      <c r="A1801">
        <v>2407</v>
      </c>
      <c r="B1801">
        <v>131163</v>
      </c>
      <c r="C1801">
        <v>1</v>
      </c>
      <c r="D1801">
        <v>0</v>
      </c>
      <c r="E1801">
        <v>47</v>
      </c>
      <c r="F1801">
        <v>1</v>
      </c>
      <c r="G1801">
        <v>0</v>
      </c>
      <c r="H1801">
        <v>0</v>
      </c>
      <c r="I1801">
        <v>0</v>
      </c>
      <c r="J1801">
        <v>0</v>
      </c>
      <c r="K1801">
        <v>0</v>
      </c>
      <c r="L1801">
        <v>0</v>
      </c>
      <c r="M1801">
        <v>0</v>
      </c>
      <c r="N1801">
        <v>0</v>
      </c>
      <c r="O1801" t="str" cm="1">
        <f t="array" ref="O1801">_xlfn.IFS(Table1[[#This Row],[Divorced]]=1, "Divorced", Table1[[#This Row],[Married]]=1, "Married", Table1[[#This Row],[Single]]=1, "Single", Table1[[#This Row],[Together]]=1, "Together", Table1[[#This Row],[Widow]]=1, "Widow")</f>
        <v>Divorced</v>
      </c>
      <c r="P1801" t="str" cm="1">
        <f t="array" ref="P1801">_xlfn.IFS(Table1[[#This Row],[Basic]]=1, "Basic", Table1[[#This Row],[Graduate]]=1, "Graduate", Table1[[#This Row],[Master]]=1, "Master", Table1[[#This Row],[PhD]]=1, "PhD", AND(Table1[[#This Row],[Basic]]=0, Table1[[#This Row],[Graduate]]=0, Table1[[#This Row],[Master]]=0, Table1[[#This Row],[PhD]]=0), "NA")</f>
        <v>NA</v>
      </c>
      <c r="Q1801" t="e">
        <f>_xlfn.XLOOKUP(Table1[[#This Row],[ID]], Table2[ID],#REF!, "Not Found", 0)</f>
        <v>#REF!</v>
      </c>
      <c r="R1801" t="e">
        <f>_xlfn.XLOOKUP(Table1[[#This Row],[ID]], Table2[ID],#REF!, "Not Found", 0)</f>
        <v>#REF!</v>
      </c>
      <c r="S1801" s="3" t="str">
        <f>_xlfn.XLOOKUP(Table1[[#This Row],[ID]], Table2[ID], Table2[Enrollment], "Not Found", 0)</f>
        <v>7/20/2020</v>
      </c>
      <c r="T1801" t="s">
        <v>437</v>
      </c>
    </row>
    <row r="1802" spans="1:20" x14ac:dyDescent="0.3">
      <c r="A1802">
        <v>2477</v>
      </c>
      <c r="B1802">
        <v>131163</v>
      </c>
      <c r="C1802">
        <v>1</v>
      </c>
      <c r="D1802">
        <v>0</v>
      </c>
      <c r="E1802">
        <v>47</v>
      </c>
      <c r="F1802">
        <v>1</v>
      </c>
      <c r="G1802">
        <v>0</v>
      </c>
      <c r="H1802">
        <v>0</v>
      </c>
      <c r="I1802">
        <v>0</v>
      </c>
      <c r="J1802">
        <v>0</v>
      </c>
      <c r="K1802">
        <v>0</v>
      </c>
      <c r="L1802">
        <v>0</v>
      </c>
      <c r="M1802">
        <v>0</v>
      </c>
      <c r="N1802">
        <v>0</v>
      </c>
      <c r="O1802" t="str" cm="1">
        <f t="array" ref="O1802">_xlfn.IFS(Table1[[#This Row],[Divorced]]=1, "Divorced", Table1[[#This Row],[Married]]=1, "Married", Table1[[#This Row],[Single]]=1, "Single", Table1[[#This Row],[Together]]=1, "Together", Table1[[#This Row],[Widow]]=1, "Widow")</f>
        <v>Divorced</v>
      </c>
      <c r="P1802" t="str" cm="1">
        <f t="array" ref="P1802">_xlfn.IFS(Table1[[#This Row],[Basic]]=1, "Basic", Table1[[#This Row],[Graduate]]=1, "Graduate", Table1[[#This Row],[Master]]=1, "Master", Table1[[#This Row],[PhD]]=1, "PhD", AND(Table1[[#This Row],[Basic]]=0, Table1[[#This Row],[Graduate]]=0, Table1[[#This Row],[Master]]=0, Table1[[#This Row],[PhD]]=0), "NA")</f>
        <v>NA</v>
      </c>
      <c r="Q1802" t="e">
        <f>_xlfn.XLOOKUP(Table1[[#This Row],[ID]], Table2[ID],#REF!, "Not Found", 0)</f>
        <v>#REF!</v>
      </c>
      <c r="R1802" t="e">
        <f>_xlfn.XLOOKUP(Table1[[#This Row],[ID]], Table2[ID],#REF!, "Not Found", 0)</f>
        <v>#REF!</v>
      </c>
      <c r="S1802" s="3" t="str">
        <f>_xlfn.XLOOKUP(Table1[[#This Row],[ID]], Table2[ID], Table2[Enrollment], "Not Found", 0)</f>
        <v>7/20/2020</v>
      </c>
      <c r="T1802" t="s">
        <v>434</v>
      </c>
    </row>
    <row r="1803" spans="1:20" x14ac:dyDescent="0.3">
      <c r="A1803">
        <v>1237</v>
      </c>
      <c r="B1803">
        <v>131160</v>
      </c>
      <c r="C1803">
        <v>1</v>
      </c>
      <c r="D1803">
        <v>0</v>
      </c>
      <c r="E1803">
        <v>45</v>
      </c>
      <c r="F1803">
        <v>0</v>
      </c>
      <c r="G1803">
        <v>0</v>
      </c>
      <c r="H1803">
        <v>1</v>
      </c>
      <c r="I1803">
        <v>0</v>
      </c>
      <c r="J1803">
        <v>0</v>
      </c>
      <c r="K1803">
        <v>0</v>
      </c>
      <c r="L1803">
        <v>0</v>
      </c>
      <c r="M1803">
        <v>1</v>
      </c>
      <c r="N1803">
        <v>0</v>
      </c>
      <c r="O1803" t="str" cm="1">
        <f t="array" ref="O1803">_xlfn.IFS(Table1[[#This Row],[Divorced]]=1, "Divorced", Table1[[#This Row],[Married]]=1, "Married", Table1[[#This Row],[Single]]=1, "Single", Table1[[#This Row],[Together]]=1, "Together", Table1[[#This Row],[Widow]]=1, "Widow")</f>
        <v>Single</v>
      </c>
      <c r="P1803" t="str" cm="1">
        <f t="array" ref="P1803">_xlfn.IFS(Table1[[#This Row],[Basic]]=1, "Basic", Table1[[#This Row],[Graduate]]=1, "Graduate", Table1[[#This Row],[Master]]=1, "Master", Table1[[#This Row],[PhD]]=1, "PhD", AND(Table1[[#This Row],[Basic]]=0, Table1[[#This Row],[Graduate]]=0, Table1[[#This Row],[Master]]=0, Table1[[#This Row],[PhD]]=0), "NA")</f>
        <v>Master</v>
      </c>
      <c r="Q1803" t="e">
        <f>_xlfn.XLOOKUP(Table1[[#This Row],[ID]], Table2[ID],#REF!, "Not Found", 0)</f>
        <v>#REF!</v>
      </c>
      <c r="R1803" t="e">
        <f>_xlfn.XLOOKUP(Table1[[#This Row],[ID]], Table2[ID],#REF!, "Not Found", 0)</f>
        <v>#REF!</v>
      </c>
      <c r="S1803" s="3" t="str">
        <f>_xlfn.XLOOKUP(Table1[[#This Row],[ID]], Table2[ID], Table2[Enrollment], "Not Found", 0)</f>
        <v>2/21/2020</v>
      </c>
      <c r="T1803" t="s">
        <v>437</v>
      </c>
    </row>
    <row r="1804" spans="1:20" x14ac:dyDescent="0.3">
      <c r="A1804">
        <v>2867</v>
      </c>
      <c r="B1804">
        <v>131158</v>
      </c>
      <c r="C1804">
        <v>1</v>
      </c>
      <c r="D1804">
        <v>0</v>
      </c>
      <c r="E1804">
        <v>35</v>
      </c>
      <c r="F1804">
        <v>0</v>
      </c>
      <c r="G1804">
        <v>1</v>
      </c>
      <c r="H1804">
        <v>0</v>
      </c>
      <c r="I1804">
        <v>0</v>
      </c>
      <c r="J1804">
        <v>0</v>
      </c>
      <c r="K1804">
        <v>0</v>
      </c>
      <c r="L1804">
        <v>1</v>
      </c>
      <c r="M1804">
        <v>0</v>
      </c>
      <c r="N1804">
        <v>0</v>
      </c>
      <c r="O1804" t="str" cm="1">
        <f t="array" ref="O1804">_xlfn.IFS(Table1[[#This Row],[Divorced]]=1, "Divorced", Table1[[#This Row],[Married]]=1, "Married", Table1[[#This Row],[Single]]=1, "Single", Table1[[#This Row],[Together]]=1, "Together", Table1[[#This Row],[Widow]]=1, "Widow")</f>
        <v>Married</v>
      </c>
      <c r="P1804" t="str" cm="1">
        <f t="array" ref="P1804">_xlfn.IFS(Table1[[#This Row],[Basic]]=1, "Basic", Table1[[#This Row],[Graduate]]=1, "Graduate", Table1[[#This Row],[Master]]=1, "Master", Table1[[#This Row],[PhD]]=1, "PhD", AND(Table1[[#This Row],[Basic]]=0, Table1[[#This Row],[Graduate]]=0, Table1[[#This Row],[Master]]=0, Table1[[#This Row],[PhD]]=0), "NA")</f>
        <v>Graduate</v>
      </c>
      <c r="Q1804" t="e">
        <f>_xlfn.XLOOKUP(Table1[[#This Row],[ID]], Table2[ID],#REF!, "Not Found", 0)</f>
        <v>#REF!</v>
      </c>
      <c r="R1804" t="e">
        <f>_xlfn.XLOOKUP(Table1[[#This Row],[ID]], Table2[ID],#REF!, "Not Found", 0)</f>
        <v>#REF!</v>
      </c>
      <c r="S1804" s="3">
        <f>_xlfn.XLOOKUP(Table1[[#This Row],[ID]], Table2[ID], Table2[Enrollment], "Not Found", 0)</f>
        <v>43562</v>
      </c>
      <c r="T1804" t="s">
        <v>434</v>
      </c>
    </row>
    <row r="1805" spans="1:20" x14ac:dyDescent="0.3">
      <c r="A1805">
        <v>1583</v>
      </c>
      <c r="B1805">
        <v>131089</v>
      </c>
      <c r="C1805">
        <v>1</v>
      </c>
      <c r="D1805">
        <v>0</v>
      </c>
      <c r="E1805">
        <v>39</v>
      </c>
      <c r="F1805">
        <v>0</v>
      </c>
      <c r="G1805">
        <v>0</v>
      </c>
      <c r="H1805">
        <v>0</v>
      </c>
      <c r="I1805">
        <v>1</v>
      </c>
      <c r="J1805">
        <v>0</v>
      </c>
      <c r="K1805">
        <v>0</v>
      </c>
      <c r="L1805">
        <v>1</v>
      </c>
      <c r="M1805">
        <v>0</v>
      </c>
      <c r="N1805">
        <v>0</v>
      </c>
      <c r="O1805" t="str" cm="1">
        <f t="array" ref="O1805">_xlfn.IFS(Table1[[#This Row],[Divorced]]=1, "Divorced", Table1[[#This Row],[Married]]=1, "Married", Table1[[#This Row],[Single]]=1, "Single", Table1[[#This Row],[Together]]=1, "Together", Table1[[#This Row],[Widow]]=1, "Widow")</f>
        <v>Together</v>
      </c>
      <c r="P1805" t="str" cm="1">
        <f t="array" ref="P1805">_xlfn.IFS(Table1[[#This Row],[Basic]]=1, "Basic", Table1[[#This Row],[Graduate]]=1, "Graduate", Table1[[#This Row],[Master]]=1, "Master", Table1[[#This Row],[PhD]]=1, "PhD", AND(Table1[[#This Row],[Basic]]=0, Table1[[#This Row],[Graduate]]=0, Table1[[#This Row],[Master]]=0, Table1[[#This Row],[PhD]]=0), "NA")</f>
        <v>Graduate</v>
      </c>
      <c r="Q1805" t="e">
        <f>_xlfn.XLOOKUP(Table1[[#This Row],[ID]], Table2[ID],#REF!, "Not Found", 0)</f>
        <v>#REF!</v>
      </c>
      <c r="R1805" t="e">
        <f>_xlfn.XLOOKUP(Table1[[#This Row],[ID]], Table2[ID],#REF!, "Not Found", 0)</f>
        <v>#REF!</v>
      </c>
      <c r="S1805" s="3" t="str">
        <f>_xlfn.XLOOKUP(Table1[[#This Row],[ID]], Table2[ID], Table2[Enrollment], "Not Found", 0)</f>
        <v>1/22/2019</v>
      </c>
      <c r="T1805" t="s">
        <v>434</v>
      </c>
    </row>
    <row r="1806" spans="1:20" x14ac:dyDescent="0.3">
      <c r="A1806">
        <v>2411</v>
      </c>
      <c r="B1806">
        <v>131086</v>
      </c>
      <c r="C1806">
        <v>1</v>
      </c>
      <c r="D1806">
        <v>1</v>
      </c>
      <c r="E1806">
        <v>41</v>
      </c>
      <c r="F1806">
        <v>0</v>
      </c>
      <c r="G1806">
        <v>1</v>
      </c>
      <c r="H1806">
        <v>0</v>
      </c>
      <c r="I1806">
        <v>0</v>
      </c>
      <c r="J1806">
        <v>0</v>
      </c>
      <c r="K1806">
        <v>0</v>
      </c>
      <c r="L1806">
        <v>0</v>
      </c>
      <c r="M1806">
        <v>0</v>
      </c>
      <c r="N1806">
        <v>0</v>
      </c>
      <c r="O1806" t="str" cm="1">
        <f t="array" ref="O1806">_xlfn.IFS(Table1[[#This Row],[Divorced]]=1, "Divorced", Table1[[#This Row],[Married]]=1, "Married", Table1[[#This Row],[Single]]=1, "Single", Table1[[#This Row],[Together]]=1, "Together", Table1[[#This Row],[Widow]]=1, "Widow")</f>
        <v>Married</v>
      </c>
      <c r="P1806" t="str" cm="1">
        <f t="array" ref="P1806">_xlfn.IFS(Table1[[#This Row],[Basic]]=1, "Basic", Table1[[#This Row],[Graduate]]=1, "Graduate", Table1[[#This Row],[Master]]=1, "Master", Table1[[#This Row],[PhD]]=1, "PhD", AND(Table1[[#This Row],[Basic]]=0, Table1[[#This Row],[Graduate]]=0, Table1[[#This Row],[Master]]=0, Table1[[#This Row],[PhD]]=0), "NA")</f>
        <v>NA</v>
      </c>
      <c r="Q1806" t="e">
        <f>_xlfn.XLOOKUP(Table1[[#This Row],[ID]], Table2[ID],#REF!, "Not Found", 0)</f>
        <v>#REF!</v>
      </c>
      <c r="R1806" t="e">
        <f>_xlfn.XLOOKUP(Table1[[#This Row],[ID]], Table2[ID],#REF!, "Not Found", 0)</f>
        <v>#REF!</v>
      </c>
      <c r="S1806" s="3">
        <f>_xlfn.XLOOKUP(Table1[[#This Row],[ID]], Table2[ID], Table2[Enrollment], "Not Found", 0)</f>
        <v>43718</v>
      </c>
      <c r="T1806" t="s">
        <v>434</v>
      </c>
    </row>
    <row r="1807" spans="1:20" x14ac:dyDescent="0.3">
      <c r="A1807">
        <v>2014</v>
      </c>
      <c r="B1807">
        <v>131056</v>
      </c>
      <c r="C1807">
        <v>1</v>
      </c>
      <c r="D1807">
        <v>0</v>
      </c>
      <c r="E1807">
        <v>43</v>
      </c>
      <c r="F1807">
        <v>0</v>
      </c>
      <c r="G1807">
        <v>1</v>
      </c>
      <c r="H1807">
        <v>0</v>
      </c>
      <c r="I1807">
        <v>0</v>
      </c>
      <c r="J1807">
        <v>0</v>
      </c>
      <c r="K1807">
        <v>0</v>
      </c>
      <c r="L1807">
        <v>0</v>
      </c>
      <c r="M1807">
        <v>0</v>
      </c>
      <c r="N1807">
        <v>0</v>
      </c>
      <c r="O1807" t="str" cm="1">
        <f t="array" ref="O1807">_xlfn.IFS(Table1[[#This Row],[Divorced]]=1, "Divorced", Table1[[#This Row],[Married]]=1, "Married", Table1[[#This Row],[Single]]=1, "Single", Table1[[#This Row],[Together]]=1, "Together", Table1[[#This Row],[Widow]]=1, "Widow")</f>
        <v>Married</v>
      </c>
      <c r="P1807" t="str" cm="1">
        <f t="array" ref="P1807">_xlfn.IFS(Table1[[#This Row],[Basic]]=1, "Basic", Table1[[#This Row],[Graduate]]=1, "Graduate", Table1[[#This Row],[Master]]=1, "Master", Table1[[#This Row],[PhD]]=1, "PhD", AND(Table1[[#This Row],[Basic]]=0, Table1[[#This Row],[Graduate]]=0, Table1[[#This Row],[Master]]=0, Table1[[#This Row],[PhD]]=0), "NA")</f>
        <v>NA</v>
      </c>
      <c r="Q1807" t="e">
        <f>_xlfn.XLOOKUP(Table1[[#This Row],[ID]], Table2[ID],#REF!, "Not Found", 0)</f>
        <v>#REF!</v>
      </c>
      <c r="R1807" t="e">
        <f>_xlfn.XLOOKUP(Table1[[#This Row],[ID]], Table2[ID],#REF!, "Not Found", 0)</f>
        <v>#REF!</v>
      </c>
      <c r="S1807" s="3" t="str">
        <f>_xlfn.XLOOKUP(Table1[[#This Row],[ID]], Table2[ID], Table2[Enrollment], "Not Found", 0)</f>
        <v>6/29/2019</v>
      </c>
      <c r="T1807" t="s">
        <v>439</v>
      </c>
    </row>
    <row r="1808" spans="1:20" x14ac:dyDescent="0.3">
      <c r="A1808">
        <v>1115</v>
      </c>
      <c r="B1808">
        <v>130992</v>
      </c>
      <c r="C1808">
        <v>1</v>
      </c>
      <c r="D1808">
        <v>0</v>
      </c>
      <c r="E1808">
        <v>44</v>
      </c>
      <c r="F1808">
        <v>1</v>
      </c>
      <c r="G1808">
        <v>0</v>
      </c>
      <c r="H1808">
        <v>0</v>
      </c>
      <c r="I1808">
        <v>0</v>
      </c>
      <c r="J1808">
        <v>0</v>
      </c>
      <c r="K1808">
        <v>0</v>
      </c>
      <c r="L1808">
        <v>1</v>
      </c>
      <c r="M1808">
        <v>0</v>
      </c>
      <c r="N1808">
        <v>0</v>
      </c>
      <c r="O1808" t="str" cm="1">
        <f t="array" ref="O1808">_xlfn.IFS(Table1[[#This Row],[Divorced]]=1, "Divorced", Table1[[#This Row],[Married]]=1, "Married", Table1[[#This Row],[Single]]=1, "Single", Table1[[#This Row],[Together]]=1, "Together", Table1[[#This Row],[Widow]]=1, "Widow")</f>
        <v>Divorced</v>
      </c>
      <c r="P1808" t="str" cm="1">
        <f t="array" ref="P1808">_xlfn.IFS(Table1[[#This Row],[Basic]]=1, "Basic", Table1[[#This Row],[Graduate]]=1, "Graduate", Table1[[#This Row],[Master]]=1, "Master", Table1[[#This Row],[PhD]]=1, "PhD", AND(Table1[[#This Row],[Basic]]=0, Table1[[#This Row],[Graduate]]=0, Table1[[#This Row],[Master]]=0, Table1[[#This Row],[PhD]]=0), "NA")</f>
        <v>Graduate</v>
      </c>
      <c r="Q1808" t="e">
        <f>_xlfn.XLOOKUP(Table1[[#This Row],[ID]], Table2[ID],#REF!, "Not Found", 0)</f>
        <v>#REF!</v>
      </c>
      <c r="R1808" t="e">
        <f>_xlfn.XLOOKUP(Table1[[#This Row],[ID]], Table2[ID],#REF!, "Not Found", 0)</f>
        <v>#REF!</v>
      </c>
      <c r="S1808" s="3" t="str">
        <f>_xlfn.XLOOKUP(Table1[[#This Row],[ID]], Table2[ID], Table2[Enrollment], "Not Found", 0)</f>
        <v>9/27/2019</v>
      </c>
      <c r="T1808" t="s">
        <v>434</v>
      </c>
    </row>
    <row r="1809" spans="1:20" x14ac:dyDescent="0.3">
      <c r="A1809">
        <v>3099</v>
      </c>
      <c r="B1809">
        <v>130992</v>
      </c>
      <c r="C1809">
        <v>1</v>
      </c>
      <c r="D1809">
        <v>0</v>
      </c>
      <c r="E1809">
        <v>44</v>
      </c>
      <c r="F1809">
        <v>1</v>
      </c>
      <c r="G1809">
        <v>0</v>
      </c>
      <c r="H1809">
        <v>0</v>
      </c>
      <c r="I1809">
        <v>0</v>
      </c>
      <c r="J1809">
        <v>0</v>
      </c>
      <c r="K1809">
        <v>0</v>
      </c>
      <c r="L1809">
        <v>1</v>
      </c>
      <c r="M1809">
        <v>0</v>
      </c>
      <c r="N1809">
        <v>0</v>
      </c>
      <c r="O1809" t="str" cm="1">
        <f t="array" ref="O1809">_xlfn.IFS(Table1[[#This Row],[Divorced]]=1, "Divorced", Table1[[#This Row],[Married]]=1, "Married", Table1[[#This Row],[Single]]=1, "Single", Table1[[#This Row],[Together]]=1, "Together", Table1[[#This Row],[Widow]]=1, "Widow")</f>
        <v>Divorced</v>
      </c>
      <c r="P1809" t="str" cm="1">
        <f t="array" ref="P1809">_xlfn.IFS(Table1[[#This Row],[Basic]]=1, "Basic", Table1[[#This Row],[Graduate]]=1, "Graduate", Table1[[#This Row],[Master]]=1, "Master", Table1[[#This Row],[PhD]]=1, "PhD", AND(Table1[[#This Row],[Basic]]=0, Table1[[#This Row],[Graduate]]=0, Table1[[#This Row],[Master]]=0, Table1[[#This Row],[PhD]]=0), "NA")</f>
        <v>Graduate</v>
      </c>
      <c r="Q1809" t="e">
        <f>_xlfn.XLOOKUP(Table1[[#This Row],[ID]], Table2[ID],#REF!, "Not Found", 0)</f>
        <v>#REF!</v>
      </c>
      <c r="R1809" t="e">
        <f>_xlfn.XLOOKUP(Table1[[#This Row],[ID]], Table2[ID],#REF!, "Not Found", 0)</f>
        <v>#REF!</v>
      </c>
      <c r="S1809" s="3" t="str">
        <f>_xlfn.XLOOKUP(Table1[[#This Row],[ID]], Table2[ID], Table2[Enrollment], "Not Found", 0)</f>
        <v>9/27/2019</v>
      </c>
      <c r="T1809" t="s">
        <v>435</v>
      </c>
    </row>
    <row r="1810" spans="1:20" x14ac:dyDescent="0.3">
      <c r="A1810">
        <v>2523</v>
      </c>
      <c r="B1810">
        <v>130983</v>
      </c>
      <c r="C1810">
        <v>0</v>
      </c>
      <c r="D1810">
        <v>0</v>
      </c>
      <c r="E1810">
        <v>57</v>
      </c>
      <c r="F1810">
        <v>0</v>
      </c>
      <c r="G1810">
        <v>0</v>
      </c>
      <c r="H1810">
        <v>1</v>
      </c>
      <c r="I1810">
        <v>0</v>
      </c>
      <c r="J1810">
        <v>0</v>
      </c>
      <c r="K1810">
        <v>0</v>
      </c>
      <c r="L1810">
        <v>1</v>
      </c>
      <c r="M1810">
        <v>0</v>
      </c>
      <c r="N1810">
        <v>0</v>
      </c>
      <c r="O1810" t="str" cm="1">
        <f t="array" ref="O1810">_xlfn.IFS(Table1[[#This Row],[Divorced]]=1, "Divorced", Table1[[#This Row],[Married]]=1, "Married", Table1[[#This Row],[Single]]=1, "Single", Table1[[#This Row],[Together]]=1, "Together", Table1[[#This Row],[Widow]]=1, "Widow")</f>
        <v>Single</v>
      </c>
      <c r="P1810" t="str" cm="1">
        <f t="array" ref="P1810">_xlfn.IFS(Table1[[#This Row],[Basic]]=1, "Basic", Table1[[#This Row],[Graduate]]=1, "Graduate", Table1[[#This Row],[Master]]=1, "Master", Table1[[#This Row],[PhD]]=1, "PhD", AND(Table1[[#This Row],[Basic]]=0, Table1[[#This Row],[Graduate]]=0, Table1[[#This Row],[Master]]=0, Table1[[#This Row],[PhD]]=0), "NA")</f>
        <v>Graduate</v>
      </c>
      <c r="Q1810" t="e">
        <f>_xlfn.XLOOKUP(Table1[[#This Row],[ID]], Table2[ID],#REF!, "Not Found", 0)</f>
        <v>#REF!</v>
      </c>
      <c r="R1810" t="e">
        <f>_xlfn.XLOOKUP(Table1[[#This Row],[ID]], Table2[ID],#REF!, "Not Found", 0)</f>
        <v>#REF!</v>
      </c>
      <c r="S1810" s="3" t="str">
        <f>_xlfn.XLOOKUP(Table1[[#This Row],[ID]], Table2[ID], Table2[Enrollment], "Not Found", 0)</f>
        <v>4/16/2019</v>
      </c>
      <c r="T1810" t="s">
        <v>435</v>
      </c>
    </row>
    <row r="1811" spans="1:20" x14ac:dyDescent="0.3">
      <c r="A1811">
        <v>1242</v>
      </c>
      <c r="B1811">
        <v>130899</v>
      </c>
      <c r="C1811">
        <v>1</v>
      </c>
      <c r="D1811">
        <v>0</v>
      </c>
      <c r="E1811">
        <v>46</v>
      </c>
      <c r="F1811">
        <v>0</v>
      </c>
      <c r="G1811">
        <v>0</v>
      </c>
      <c r="H1811">
        <v>1</v>
      </c>
      <c r="I1811">
        <v>0</v>
      </c>
      <c r="J1811">
        <v>0</v>
      </c>
      <c r="K1811">
        <v>0</v>
      </c>
      <c r="L1811">
        <v>0</v>
      </c>
      <c r="M1811">
        <v>0</v>
      </c>
      <c r="N1811">
        <v>1</v>
      </c>
      <c r="O1811" t="str" cm="1">
        <f t="array" ref="O1811">_xlfn.IFS(Table1[[#This Row],[Divorced]]=1, "Divorced", Table1[[#This Row],[Married]]=1, "Married", Table1[[#This Row],[Single]]=1, "Single", Table1[[#This Row],[Together]]=1, "Together", Table1[[#This Row],[Widow]]=1, "Widow")</f>
        <v>Single</v>
      </c>
      <c r="P1811" t="str" cm="1">
        <f t="array" ref="P1811">_xlfn.IFS(Table1[[#This Row],[Basic]]=1, "Basic", Table1[[#This Row],[Graduate]]=1, "Graduate", Table1[[#This Row],[Master]]=1, "Master", Table1[[#This Row],[PhD]]=1, "PhD", AND(Table1[[#This Row],[Basic]]=0, Table1[[#This Row],[Graduate]]=0, Table1[[#This Row],[Master]]=0, Table1[[#This Row],[PhD]]=0), "NA")</f>
        <v>PhD</v>
      </c>
      <c r="Q1811" t="e">
        <f>_xlfn.XLOOKUP(Table1[[#This Row],[ID]], Table2[ID],#REF!, "Not Found", 0)</f>
        <v>#REF!</v>
      </c>
      <c r="R1811" t="e">
        <f>_xlfn.XLOOKUP(Table1[[#This Row],[ID]], Table2[ID],#REF!, "Not Found", 0)</f>
        <v>#REF!</v>
      </c>
      <c r="S1811" s="3" t="str">
        <f>_xlfn.XLOOKUP(Table1[[#This Row],[ID]], Table2[ID], Table2[Enrollment], "Not Found", 0)</f>
        <v>3/20/2019</v>
      </c>
      <c r="T1811" t="s">
        <v>436</v>
      </c>
    </row>
    <row r="1812" spans="1:20" x14ac:dyDescent="0.3">
      <c r="A1812">
        <v>1834</v>
      </c>
      <c r="B1812">
        <v>130843</v>
      </c>
      <c r="C1812">
        <v>1</v>
      </c>
      <c r="D1812">
        <v>1</v>
      </c>
      <c r="E1812">
        <v>54</v>
      </c>
      <c r="F1812">
        <v>0</v>
      </c>
      <c r="G1812">
        <v>0</v>
      </c>
      <c r="H1812">
        <v>0</v>
      </c>
      <c r="I1812">
        <v>1</v>
      </c>
      <c r="J1812">
        <v>0</v>
      </c>
      <c r="K1812">
        <v>0</v>
      </c>
      <c r="L1812">
        <v>0</v>
      </c>
      <c r="M1812">
        <v>0</v>
      </c>
      <c r="N1812">
        <v>1</v>
      </c>
      <c r="O1812" t="str" cm="1">
        <f t="array" ref="O1812">_xlfn.IFS(Table1[[#This Row],[Divorced]]=1, "Divorced", Table1[[#This Row],[Married]]=1, "Married", Table1[[#This Row],[Single]]=1, "Single", Table1[[#This Row],[Together]]=1, "Together", Table1[[#This Row],[Widow]]=1, "Widow")</f>
        <v>Together</v>
      </c>
      <c r="P1812" t="str" cm="1">
        <f t="array" ref="P1812">_xlfn.IFS(Table1[[#This Row],[Basic]]=1, "Basic", Table1[[#This Row],[Graduate]]=1, "Graduate", Table1[[#This Row],[Master]]=1, "Master", Table1[[#This Row],[PhD]]=1, "PhD", AND(Table1[[#This Row],[Basic]]=0, Table1[[#This Row],[Graduate]]=0, Table1[[#This Row],[Master]]=0, Table1[[#This Row],[PhD]]=0), "NA")</f>
        <v>PhD</v>
      </c>
      <c r="Q1812" t="e">
        <f>_xlfn.XLOOKUP(Table1[[#This Row],[ID]], Table2[ID],#REF!, "Not Found", 0)</f>
        <v>#REF!</v>
      </c>
      <c r="R1812" t="e">
        <f>_xlfn.XLOOKUP(Table1[[#This Row],[ID]], Table2[ID],#REF!, "Not Found", 0)</f>
        <v>#REF!</v>
      </c>
      <c r="S1812" s="3" t="str">
        <f>_xlfn.XLOOKUP(Table1[[#This Row],[ID]], Table2[ID], Table2[Enrollment], "Not Found", 0)</f>
        <v>10/30/2020</v>
      </c>
      <c r="T1812" t="s">
        <v>439</v>
      </c>
    </row>
    <row r="1813" spans="1:20" x14ac:dyDescent="0.3">
      <c r="A1813">
        <v>1304</v>
      </c>
      <c r="B1813">
        <v>130833</v>
      </c>
      <c r="C1813">
        <v>1</v>
      </c>
      <c r="D1813">
        <v>1</v>
      </c>
      <c r="E1813">
        <v>69</v>
      </c>
      <c r="F1813">
        <v>0</v>
      </c>
      <c r="G1813">
        <v>1</v>
      </c>
      <c r="H1813">
        <v>0</v>
      </c>
      <c r="I1813">
        <v>0</v>
      </c>
      <c r="J1813">
        <v>0</v>
      </c>
      <c r="K1813">
        <v>0</v>
      </c>
      <c r="L1813">
        <v>1</v>
      </c>
      <c r="M1813">
        <v>0</v>
      </c>
      <c r="N1813">
        <v>0</v>
      </c>
      <c r="O1813" t="str" cm="1">
        <f t="array" ref="O1813">_xlfn.IFS(Table1[[#This Row],[Divorced]]=1, "Divorced", Table1[[#This Row],[Married]]=1, "Married", Table1[[#This Row],[Single]]=1, "Single", Table1[[#This Row],[Together]]=1, "Together", Table1[[#This Row],[Widow]]=1, "Widow")</f>
        <v>Married</v>
      </c>
      <c r="P1813" t="str" cm="1">
        <f t="array" ref="P1813">_xlfn.IFS(Table1[[#This Row],[Basic]]=1, "Basic", Table1[[#This Row],[Graduate]]=1, "Graduate", Table1[[#This Row],[Master]]=1, "Master", Table1[[#This Row],[PhD]]=1, "PhD", AND(Table1[[#This Row],[Basic]]=0, Table1[[#This Row],[Graduate]]=0, Table1[[#This Row],[Master]]=0, Table1[[#This Row],[PhD]]=0), "NA")</f>
        <v>Graduate</v>
      </c>
      <c r="Q1813" t="e">
        <f>_xlfn.XLOOKUP(Table1[[#This Row],[ID]], Table2[ID],#REF!, "Not Found", 0)</f>
        <v>#REF!</v>
      </c>
      <c r="R1813" t="e">
        <f>_xlfn.XLOOKUP(Table1[[#This Row],[ID]], Table2[ID],#REF!, "Not Found", 0)</f>
        <v>#REF!</v>
      </c>
      <c r="S1813" s="3" t="str">
        <f>_xlfn.XLOOKUP(Table1[[#This Row],[ID]], Table2[ID], Table2[Enrollment], "Not Found", 0)</f>
        <v>12/21/2019</v>
      </c>
      <c r="T1813" t="s">
        <v>438</v>
      </c>
    </row>
    <row r="1814" spans="1:20" x14ac:dyDescent="0.3">
      <c r="A1814">
        <v>3057</v>
      </c>
      <c r="B1814">
        <v>130828</v>
      </c>
      <c r="C1814">
        <v>1</v>
      </c>
      <c r="D1814">
        <v>0</v>
      </c>
      <c r="E1814">
        <v>40</v>
      </c>
      <c r="F1814">
        <v>0</v>
      </c>
      <c r="G1814">
        <v>0</v>
      </c>
      <c r="H1814">
        <v>1</v>
      </c>
      <c r="I1814">
        <v>0</v>
      </c>
      <c r="J1814">
        <v>0</v>
      </c>
      <c r="K1814">
        <v>0</v>
      </c>
      <c r="L1814">
        <v>1</v>
      </c>
      <c r="M1814">
        <v>0</v>
      </c>
      <c r="N1814">
        <v>0</v>
      </c>
      <c r="O1814" t="str" cm="1">
        <f t="array" ref="O1814">_xlfn.IFS(Table1[[#This Row],[Divorced]]=1, "Divorced", Table1[[#This Row],[Married]]=1, "Married", Table1[[#This Row],[Single]]=1, "Single", Table1[[#This Row],[Together]]=1, "Together", Table1[[#This Row],[Widow]]=1, "Widow")</f>
        <v>Single</v>
      </c>
      <c r="P1814" t="str" cm="1">
        <f t="array" ref="P1814">_xlfn.IFS(Table1[[#This Row],[Basic]]=1, "Basic", Table1[[#This Row],[Graduate]]=1, "Graduate", Table1[[#This Row],[Master]]=1, "Master", Table1[[#This Row],[PhD]]=1, "PhD", AND(Table1[[#This Row],[Basic]]=0, Table1[[#This Row],[Graduate]]=0, Table1[[#This Row],[Master]]=0, Table1[[#This Row],[PhD]]=0), "NA")</f>
        <v>Graduate</v>
      </c>
      <c r="Q1814" t="e">
        <f>_xlfn.XLOOKUP(Table1[[#This Row],[ID]], Table2[ID],#REF!, "Not Found", 0)</f>
        <v>#REF!</v>
      </c>
      <c r="R1814" t="e">
        <f>_xlfn.XLOOKUP(Table1[[#This Row],[ID]], Table2[ID],#REF!, "Not Found", 0)</f>
        <v>#REF!</v>
      </c>
      <c r="S1814" s="3">
        <f>_xlfn.XLOOKUP(Table1[[#This Row],[ID]], Table2[ID], Table2[Enrollment], "Not Found", 0)</f>
        <v>44107</v>
      </c>
      <c r="T1814" t="s">
        <v>435</v>
      </c>
    </row>
    <row r="1815" spans="1:20" x14ac:dyDescent="0.3">
      <c r="A1815">
        <v>1363</v>
      </c>
      <c r="B1815">
        <v>130822</v>
      </c>
      <c r="C1815">
        <v>1</v>
      </c>
      <c r="D1815">
        <v>0</v>
      </c>
      <c r="E1815">
        <v>51</v>
      </c>
      <c r="F1815">
        <v>0</v>
      </c>
      <c r="G1815">
        <v>0</v>
      </c>
      <c r="H1815">
        <v>1</v>
      </c>
      <c r="I1815">
        <v>0</v>
      </c>
      <c r="J1815">
        <v>0</v>
      </c>
      <c r="K1815">
        <v>0</v>
      </c>
      <c r="L1815">
        <v>1</v>
      </c>
      <c r="M1815">
        <v>0</v>
      </c>
      <c r="N1815">
        <v>0</v>
      </c>
      <c r="O1815" t="str" cm="1">
        <f t="array" ref="O1815">_xlfn.IFS(Table1[[#This Row],[Divorced]]=1, "Divorced", Table1[[#This Row],[Married]]=1, "Married", Table1[[#This Row],[Single]]=1, "Single", Table1[[#This Row],[Together]]=1, "Together", Table1[[#This Row],[Widow]]=1, "Widow")</f>
        <v>Single</v>
      </c>
      <c r="P1815" t="str" cm="1">
        <f t="array" ref="P1815">_xlfn.IFS(Table1[[#This Row],[Basic]]=1, "Basic", Table1[[#This Row],[Graduate]]=1, "Graduate", Table1[[#This Row],[Master]]=1, "Master", Table1[[#This Row],[PhD]]=1, "PhD", AND(Table1[[#This Row],[Basic]]=0, Table1[[#This Row],[Graduate]]=0, Table1[[#This Row],[Master]]=0, Table1[[#This Row],[PhD]]=0), "NA")</f>
        <v>Graduate</v>
      </c>
      <c r="Q1815" t="e">
        <f>_xlfn.XLOOKUP(Table1[[#This Row],[ID]], Table2[ID],#REF!, "Not Found", 0)</f>
        <v>#REF!</v>
      </c>
      <c r="R1815" t="e">
        <f>_xlfn.XLOOKUP(Table1[[#This Row],[ID]], Table2[ID],#REF!, "Not Found", 0)</f>
        <v>#REF!</v>
      </c>
      <c r="S1815" s="3" t="str">
        <f>_xlfn.XLOOKUP(Table1[[#This Row],[ID]], Table2[ID], Table2[Enrollment], "Not Found", 0)</f>
        <v>11/19/2019</v>
      </c>
      <c r="T1815" t="s">
        <v>437</v>
      </c>
    </row>
    <row r="1816" spans="1:20" x14ac:dyDescent="0.3">
      <c r="A1816">
        <v>1592</v>
      </c>
      <c r="B1816">
        <v>130801</v>
      </c>
      <c r="C1816">
        <v>0</v>
      </c>
      <c r="D1816">
        <v>1</v>
      </c>
      <c r="E1816">
        <v>45</v>
      </c>
      <c r="F1816">
        <v>0</v>
      </c>
      <c r="G1816">
        <v>1</v>
      </c>
      <c r="H1816">
        <v>0</v>
      </c>
      <c r="I1816">
        <v>0</v>
      </c>
      <c r="J1816">
        <v>0</v>
      </c>
      <c r="K1816">
        <v>1</v>
      </c>
      <c r="L1816">
        <v>0</v>
      </c>
      <c r="M1816">
        <v>0</v>
      </c>
      <c r="N1816">
        <v>0</v>
      </c>
      <c r="O1816" t="str" cm="1">
        <f t="array" ref="O1816">_xlfn.IFS(Table1[[#This Row],[Divorced]]=1, "Divorced", Table1[[#This Row],[Married]]=1, "Married", Table1[[#This Row],[Single]]=1, "Single", Table1[[#This Row],[Together]]=1, "Together", Table1[[#This Row],[Widow]]=1, "Widow")</f>
        <v>Married</v>
      </c>
      <c r="P1816" t="str" cm="1">
        <f t="array" ref="P1816">_xlfn.IFS(Table1[[#This Row],[Basic]]=1, "Basic", Table1[[#This Row],[Graduate]]=1, "Graduate", Table1[[#This Row],[Master]]=1, "Master", Table1[[#This Row],[PhD]]=1, "PhD", AND(Table1[[#This Row],[Basic]]=0, Table1[[#This Row],[Graduate]]=0, Table1[[#This Row],[Master]]=0, Table1[[#This Row],[PhD]]=0), "NA")</f>
        <v>Basic</v>
      </c>
      <c r="Q1816" t="e">
        <f>_xlfn.XLOOKUP(Table1[[#This Row],[ID]], Table2[ID],#REF!, "Not Found", 0)</f>
        <v>#REF!</v>
      </c>
      <c r="R1816" t="e">
        <f>_xlfn.XLOOKUP(Table1[[#This Row],[ID]], Table2[ID],#REF!, "Not Found", 0)</f>
        <v>#REF!</v>
      </c>
      <c r="S1816" s="3">
        <f>_xlfn.XLOOKUP(Table1[[#This Row],[ID]], Table2[ID], Table2[Enrollment], "Not Found", 0)</f>
        <v>43500</v>
      </c>
      <c r="T1816" t="s">
        <v>438</v>
      </c>
    </row>
    <row r="1817" spans="1:20" x14ac:dyDescent="0.3">
      <c r="A1817">
        <v>1797</v>
      </c>
      <c r="B1817">
        <v>130772</v>
      </c>
      <c r="C1817">
        <v>1</v>
      </c>
      <c r="D1817">
        <v>1</v>
      </c>
      <c r="E1817">
        <v>44</v>
      </c>
      <c r="F1817">
        <v>0</v>
      </c>
      <c r="G1817">
        <v>1</v>
      </c>
      <c r="H1817">
        <v>0</v>
      </c>
      <c r="I1817">
        <v>0</v>
      </c>
      <c r="J1817">
        <v>0</v>
      </c>
      <c r="K1817">
        <v>0</v>
      </c>
      <c r="L1817">
        <v>1</v>
      </c>
      <c r="M1817">
        <v>0</v>
      </c>
      <c r="N1817">
        <v>0</v>
      </c>
      <c r="O1817" t="str" cm="1">
        <f t="array" ref="O1817">_xlfn.IFS(Table1[[#This Row],[Divorced]]=1, "Divorced", Table1[[#This Row],[Married]]=1, "Married", Table1[[#This Row],[Single]]=1, "Single", Table1[[#This Row],[Together]]=1, "Together", Table1[[#This Row],[Widow]]=1, "Widow")</f>
        <v>Married</v>
      </c>
      <c r="P1817" t="str" cm="1">
        <f t="array" ref="P1817">_xlfn.IFS(Table1[[#This Row],[Basic]]=1, "Basic", Table1[[#This Row],[Graduate]]=1, "Graduate", Table1[[#This Row],[Master]]=1, "Master", Table1[[#This Row],[PhD]]=1, "PhD", AND(Table1[[#This Row],[Basic]]=0, Table1[[#This Row],[Graduate]]=0, Table1[[#This Row],[Master]]=0, Table1[[#This Row],[PhD]]=0), "NA")</f>
        <v>Graduate</v>
      </c>
      <c r="Q1817" t="e">
        <f>_xlfn.XLOOKUP(Table1[[#This Row],[ID]], Table2[ID],#REF!, "Not Found", 0)</f>
        <v>#REF!</v>
      </c>
      <c r="R1817" t="e">
        <f>_xlfn.XLOOKUP(Table1[[#This Row],[ID]], Table2[ID],#REF!, "Not Found", 0)</f>
        <v>#REF!</v>
      </c>
      <c r="S1817" s="3" t="str">
        <f>_xlfn.XLOOKUP(Table1[[#This Row],[ID]], Table2[ID], Table2[Enrollment], "Not Found", 0)</f>
        <v>8/16/2020</v>
      </c>
      <c r="T1817" t="s">
        <v>435</v>
      </c>
    </row>
    <row r="1818" spans="1:20" x14ac:dyDescent="0.3">
      <c r="A1818">
        <v>1110</v>
      </c>
      <c r="B1818">
        <v>130753</v>
      </c>
      <c r="C1818">
        <v>1</v>
      </c>
      <c r="D1818">
        <v>1</v>
      </c>
      <c r="E1818">
        <v>53</v>
      </c>
      <c r="F1818">
        <v>0</v>
      </c>
      <c r="G1818">
        <v>0</v>
      </c>
      <c r="H1818">
        <v>0</v>
      </c>
      <c r="I1818">
        <v>1</v>
      </c>
      <c r="J1818">
        <v>0</v>
      </c>
      <c r="K1818">
        <v>0</v>
      </c>
      <c r="L1818">
        <v>0</v>
      </c>
      <c r="M1818">
        <v>0</v>
      </c>
      <c r="N1818">
        <v>0</v>
      </c>
      <c r="O1818" t="str" cm="1">
        <f t="array" ref="O1818">_xlfn.IFS(Table1[[#This Row],[Divorced]]=1, "Divorced", Table1[[#This Row],[Married]]=1, "Married", Table1[[#This Row],[Single]]=1, "Single", Table1[[#This Row],[Together]]=1, "Together", Table1[[#This Row],[Widow]]=1, "Widow")</f>
        <v>Together</v>
      </c>
      <c r="P1818" t="str" cm="1">
        <f t="array" ref="P1818">_xlfn.IFS(Table1[[#This Row],[Basic]]=1, "Basic", Table1[[#This Row],[Graduate]]=1, "Graduate", Table1[[#This Row],[Master]]=1, "Master", Table1[[#This Row],[PhD]]=1, "PhD", AND(Table1[[#This Row],[Basic]]=0, Table1[[#This Row],[Graduate]]=0, Table1[[#This Row],[Master]]=0, Table1[[#This Row],[PhD]]=0), "NA")</f>
        <v>NA</v>
      </c>
      <c r="Q1818" t="e">
        <f>_xlfn.XLOOKUP(Table1[[#This Row],[ID]], Table2[ID],#REF!, "Not Found", 0)</f>
        <v>#REF!</v>
      </c>
      <c r="R1818" t="e">
        <f>_xlfn.XLOOKUP(Table1[[#This Row],[ID]], Table2[ID],#REF!, "Not Found", 0)</f>
        <v>#REF!</v>
      </c>
      <c r="S1818" s="3" t="str">
        <f>_xlfn.XLOOKUP(Table1[[#This Row],[ID]], Table2[ID], Table2[Enrollment], "Not Found", 0)</f>
        <v>12/16/2019</v>
      </c>
      <c r="T1818" t="s">
        <v>436</v>
      </c>
    </row>
    <row r="1819" spans="1:20" x14ac:dyDescent="0.3">
      <c r="A1819">
        <v>1211</v>
      </c>
      <c r="B1819">
        <v>130732</v>
      </c>
      <c r="C1819">
        <v>1</v>
      </c>
      <c r="D1819">
        <v>0</v>
      </c>
      <c r="E1819">
        <v>40</v>
      </c>
      <c r="F1819">
        <v>0</v>
      </c>
      <c r="G1819">
        <v>1</v>
      </c>
      <c r="H1819">
        <v>0</v>
      </c>
      <c r="I1819">
        <v>0</v>
      </c>
      <c r="J1819">
        <v>0</v>
      </c>
      <c r="K1819">
        <v>0</v>
      </c>
      <c r="L1819">
        <v>0</v>
      </c>
      <c r="M1819">
        <v>0</v>
      </c>
      <c r="N1819">
        <v>1</v>
      </c>
      <c r="O1819" t="str" cm="1">
        <f t="array" ref="O1819">_xlfn.IFS(Table1[[#This Row],[Divorced]]=1, "Divorced", Table1[[#This Row],[Married]]=1, "Married", Table1[[#This Row],[Single]]=1, "Single", Table1[[#This Row],[Together]]=1, "Together", Table1[[#This Row],[Widow]]=1, "Widow")</f>
        <v>Married</v>
      </c>
      <c r="P1819" t="str" cm="1">
        <f t="array" ref="P1819">_xlfn.IFS(Table1[[#This Row],[Basic]]=1, "Basic", Table1[[#This Row],[Graduate]]=1, "Graduate", Table1[[#This Row],[Master]]=1, "Master", Table1[[#This Row],[PhD]]=1, "PhD", AND(Table1[[#This Row],[Basic]]=0, Table1[[#This Row],[Graduate]]=0, Table1[[#This Row],[Master]]=0, Table1[[#This Row],[PhD]]=0), "NA")</f>
        <v>PhD</v>
      </c>
      <c r="Q1819" t="e">
        <f>_xlfn.XLOOKUP(Table1[[#This Row],[ID]], Table2[ID],#REF!, "Not Found", 0)</f>
        <v>#REF!</v>
      </c>
      <c r="R1819" t="e">
        <f>_xlfn.XLOOKUP(Table1[[#This Row],[ID]], Table2[ID],#REF!, "Not Found", 0)</f>
        <v>#REF!</v>
      </c>
      <c r="S1819" s="3">
        <f>_xlfn.XLOOKUP(Table1[[#This Row],[ID]], Table2[ID], Table2[Enrollment], "Not Found", 0)</f>
        <v>43805</v>
      </c>
      <c r="T1819" t="s">
        <v>434</v>
      </c>
    </row>
    <row r="1820" spans="1:20" x14ac:dyDescent="0.3">
      <c r="A1820">
        <v>1322</v>
      </c>
      <c r="B1820">
        <v>130675</v>
      </c>
      <c r="C1820">
        <v>1</v>
      </c>
      <c r="D1820">
        <v>0</v>
      </c>
      <c r="E1820">
        <v>48</v>
      </c>
      <c r="F1820">
        <v>0</v>
      </c>
      <c r="G1820">
        <v>1</v>
      </c>
      <c r="H1820">
        <v>0</v>
      </c>
      <c r="I1820">
        <v>0</v>
      </c>
      <c r="J1820">
        <v>0</v>
      </c>
      <c r="K1820">
        <v>0</v>
      </c>
      <c r="L1820">
        <v>1</v>
      </c>
      <c r="M1820">
        <v>0</v>
      </c>
      <c r="N1820">
        <v>0</v>
      </c>
      <c r="O1820" t="str" cm="1">
        <f t="array" ref="O1820">_xlfn.IFS(Table1[[#This Row],[Divorced]]=1, "Divorced", Table1[[#This Row],[Married]]=1, "Married", Table1[[#This Row],[Single]]=1, "Single", Table1[[#This Row],[Together]]=1, "Together", Table1[[#This Row],[Widow]]=1, "Widow")</f>
        <v>Married</v>
      </c>
      <c r="P1820" t="str" cm="1">
        <f t="array" ref="P1820">_xlfn.IFS(Table1[[#This Row],[Basic]]=1, "Basic", Table1[[#This Row],[Graduate]]=1, "Graduate", Table1[[#This Row],[Master]]=1, "Master", Table1[[#This Row],[PhD]]=1, "PhD", AND(Table1[[#This Row],[Basic]]=0, Table1[[#This Row],[Graduate]]=0, Table1[[#This Row],[Master]]=0, Table1[[#This Row],[PhD]]=0), "NA")</f>
        <v>Graduate</v>
      </c>
      <c r="Q1820" t="e">
        <f>_xlfn.XLOOKUP(Table1[[#This Row],[ID]], Table2[ID],#REF!, "Not Found", 0)</f>
        <v>#REF!</v>
      </c>
      <c r="R1820" t="e">
        <f>_xlfn.XLOOKUP(Table1[[#This Row],[ID]], Table2[ID],#REF!, "Not Found", 0)</f>
        <v>#REF!</v>
      </c>
      <c r="S1820" s="3" t="str">
        <f>_xlfn.XLOOKUP(Table1[[#This Row],[ID]], Table2[ID], Table2[Enrollment], "Not Found", 0)</f>
        <v>4/19/2019</v>
      </c>
      <c r="T1820" t="s">
        <v>438</v>
      </c>
    </row>
    <row r="1821" spans="1:20" x14ac:dyDescent="0.3">
      <c r="A1821">
        <v>1272</v>
      </c>
      <c r="B1821">
        <v>130631</v>
      </c>
      <c r="C1821">
        <v>1</v>
      </c>
      <c r="D1821">
        <v>0</v>
      </c>
      <c r="E1821">
        <v>46</v>
      </c>
      <c r="F1821">
        <v>0</v>
      </c>
      <c r="G1821">
        <v>1</v>
      </c>
      <c r="H1821">
        <v>0</v>
      </c>
      <c r="I1821">
        <v>0</v>
      </c>
      <c r="J1821">
        <v>0</v>
      </c>
      <c r="K1821">
        <v>0</v>
      </c>
      <c r="L1821">
        <v>1</v>
      </c>
      <c r="M1821">
        <v>0</v>
      </c>
      <c r="N1821">
        <v>0</v>
      </c>
      <c r="O1821" t="str" cm="1">
        <f t="array" ref="O1821">_xlfn.IFS(Table1[[#This Row],[Divorced]]=1, "Divorced", Table1[[#This Row],[Married]]=1, "Married", Table1[[#This Row],[Single]]=1, "Single", Table1[[#This Row],[Together]]=1, "Together", Table1[[#This Row],[Widow]]=1, "Widow")</f>
        <v>Married</v>
      </c>
      <c r="P1821" t="str" cm="1">
        <f t="array" ref="P1821">_xlfn.IFS(Table1[[#This Row],[Basic]]=1, "Basic", Table1[[#This Row],[Graduate]]=1, "Graduate", Table1[[#This Row],[Master]]=1, "Master", Table1[[#This Row],[PhD]]=1, "PhD", AND(Table1[[#This Row],[Basic]]=0, Table1[[#This Row],[Graduate]]=0, Table1[[#This Row],[Master]]=0, Table1[[#This Row],[PhD]]=0), "NA")</f>
        <v>Graduate</v>
      </c>
      <c r="Q1821" t="e">
        <f>_xlfn.XLOOKUP(Table1[[#This Row],[ID]], Table2[ID],#REF!, "Not Found", 0)</f>
        <v>#REF!</v>
      </c>
      <c r="R1821" t="e">
        <f>_xlfn.XLOOKUP(Table1[[#This Row],[ID]], Table2[ID],#REF!, "Not Found", 0)</f>
        <v>#REF!</v>
      </c>
      <c r="S1821" s="3" t="str">
        <f>_xlfn.XLOOKUP(Table1[[#This Row],[ID]], Table2[ID], Table2[Enrollment], "Not Found", 0)</f>
        <v>12/17/2019</v>
      </c>
      <c r="T1821" t="s">
        <v>436</v>
      </c>
    </row>
    <row r="1822" spans="1:20" x14ac:dyDescent="0.3">
      <c r="A1822">
        <v>1504</v>
      </c>
      <c r="B1822">
        <v>130630</v>
      </c>
      <c r="C1822">
        <v>1</v>
      </c>
      <c r="D1822">
        <v>1</v>
      </c>
      <c r="E1822">
        <v>55</v>
      </c>
      <c r="F1822">
        <v>1</v>
      </c>
      <c r="G1822">
        <v>0</v>
      </c>
      <c r="H1822">
        <v>0</v>
      </c>
      <c r="I1822">
        <v>0</v>
      </c>
      <c r="J1822">
        <v>0</v>
      </c>
      <c r="K1822">
        <v>0</v>
      </c>
      <c r="L1822">
        <v>1</v>
      </c>
      <c r="M1822">
        <v>0</v>
      </c>
      <c r="N1822">
        <v>0</v>
      </c>
      <c r="O1822" t="str" cm="1">
        <f t="array" ref="O1822">_xlfn.IFS(Table1[[#This Row],[Divorced]]=1, "Divorced", Table1[[#This Row],[Married]]=1, "Married", Table1[[#This Row],[Single]]=1, "Single", Table1[[#This Row],[Together]]=1, "Together", Table1[[#This Row],[Widow]]=1, "Widow")</f>
        <v>Divorced</v>
      </c>
      <c r="P1822" t="str" cm="1">
        <f t="array" ref="P1822">_xlfn.IFS(Table1[[#This Row],[Basic]]=1, "Basic", Table1[[#This Row],[Graduate]]=1, "Graduate", Table1[[#This Row],[Master]]=1, "Master", Table1[[#This Row],[PhD]]=1, "PhD", AND(Table1[[#This Row],[Basic]]=0, Table1[[#This Row],[Graduate]]=0, Table1[[#This Row],[Master]]=0, Table1[[#This Row],[PhD]]=0), "NA")</f>
        <v>Graduate</v>
      </c>
      <c r="Q1822" t="e">
        <f>_xlfn.XLOOKUP(Table1[[#This Row],[ID]], Table2[ID],#REF!, "Not Found", 0)</f>
        <v>#REF!</v>
      </c>
      <c r="R1822" t="e">
        <f>_xlfn.XLOOKUP(Table1[[#This Row],[ID]], Table2[ID],#REF!, "Not Found", 0)</f>
        <v>#REF!</v>
      </c>
      <c r="S1822" s="3">
        <f>_xlfn.XLOOKUP(Table1[[#This Row],[ID]], Table2[ID], Table2[Enrollment], "Not Found", 0)</f>
        <v>43897</v>
      </c>
      <c r="T1822" t="s">
        <v>439</v>
      </c>
    </row>
    <row r="1823" spans="1:20" x14ac:dyDescent="0.3">
      <c r="A1823">
        <v>2615</v>
      </c>
      <c r="B1823">
        <v>130560</v>
      </c>
      <c r="C1823">
        <v>1</v>
      </c>
      <c r="D1823">
        <v>0</v>
      </c>
      <c r="E1823">
        <v>44</v>
      </c>
      <c r="F1823">
        <v>0</v>
      </c>
      <c r="G1823">
        <v>0</v>
      </c>
      <c r="H1823">
        <v>0</v>
      </c>
      <c r="I1823">
        <v>1</v>
      </c>
      <c r="J1823">
        <v>0</v>
      </c>
      <c r="K1823">
        <v>0</v>
      </c>
      <c r="L1823">
        <v>0</v>
      </c>
      <c r="M1823">
        <v>1</v>
      </c>
      <c r="N1823">
        <v>0</v>
      </c>
      <c r="O1823" t="str" cm="1">
        <f t="array" ref="O1823">_xlfn.IFS(Table1[[#This Row],[Divorced]]=1, "Divorced", Table1[[#This Row],[Married]]=1, "Married", Table1[[#This Row],[Single]]=1, "Single", Table1[[#This Row],[Together]]=1, "Together", Table1[[#This Row],[Widow]]=1, "Widow")</f>
        <v>Together</v>
      </c>
      <c r="P1823" t="str" cm="1">
        <f t="array" ref="P1823">_xlfn.IFS(Table1[[#This Row],[Basic]]=1, "Basic", Table1[[#This Row],[Graduate]]=1, "Graduate", Table1[[#This Row],[Master]]=1, "Master", Table1[[#This Row],[PhD]]=1, "PhD", AND(Table1[[#This Row],[Basic]]=0, Table1[[#This Row],[Graduate]]=0, Table1[[#This Row],[Master]]=0, Table1[[#This Row],[PhD]]=0), "NA")</f>
        <v>Master</v>
      </c>
      <c r="Q1823" t="e">
        <f>_xlfn.XLOOKUP(Table1[[#This Row],[ID]], Table2[ID],#REF!, "Not Found", 0)</f>
        <v>#REF!</v>
      </c>
      <c r="R1823" t="e">
        <f>_xlfn.XLOOKUP(Table1[[#This Row],[ID]], Table2[ID],#REF!, "Not Found", 0)</f>
        <v>#REF!</v>
      </c>
      <c r="S1823" s="3">
        <f>_xlfn.XLOOKUP(Table1[[#This Row],[ID]], Table2[ID], Table2[Enrollment], "Not Found", 0)</f>
        <v>43508</v>
      </c>
      <c r="T1823" t="s">
        <v>434</v>
      </c>
    </row>
    <row r="1824" spans="1:20" x14ac:dyDescent="0.3">
      <c r="A1824">
        <v>3122</v>
      </c>
      <c r="B1824">
        <v>130560</v>
      </c>
      <c r="C1824">
        <v>1</v>
      </c>
      <c r="D1824">
        <v>0</v>
      </c>
      <c r="E1824">
        <v>44</v>
      </c>
      <c r="F1824">
        <v>0</v>
      </c>
      <c r="G1824">
        <v>0</v>
      </c>
      <c r="H1824">
        <v>0</v>
      </c>
      <c r="I1824">
        <v>1</v>
      </c>
      <c r="J1824">
        <v>0</v>
      </c>
      <c r="K1824">
        <v>0</v>
      </c>
      <c r="L1824">
        <v>0</v>
      </c>
      <c r="M1824">
        <v>1</v>
      </c>
      <c r="N1824">
        <v>0</v>
      </c>
      <c r="O1824" t="str" cm="1">
        <f t="array" ref="O1824">_xlfn.IFS(Table1[[#This Row],[Divorced]]=1, "Divorced", Table1[[#This Row],[Married]]=1, "Married", Table1[[#This Row],[Single]]=1, "Single", Table1[[#This Row],[Together]]=1, "Together", Table1[[#This Row],[Widow]]=1, "Widow")</f>
        <v>Together</v>
      </c>
      <c r="P1824" t="str" cm="1">
        <f t="array" ref="P1824">_xlfn.IFS(Table1[[#This Row],[Basic]]=1, "Basic", Table1[[#This Row],[Graduate]]=1, "Graduate", Table1[[#This Row],[Master]]=1, "Master", Table1[[#This Row],[PhD]]=1, "PhD", AND(Table1[[#This Row],[Basic]]=0, Table1[[#This Row],[Graduate]]=0, Table1[[#This Row],[Master]]=0, Table1[[#This Row],[PhD]]=0), "NA")</f>
        <v>Master</v>
      </c>
      <c r="Q1824" t="e">
        <f>_xlfn.XLOOKUP(Table1[[#This Row],[ID]], Table2[ID],#REF!, "Not Found", 0)</f>
        <v>#REF!</v>
      </c>
      <c r="R1824" t="e">
        <f>_xlfn.XLOOKUP(Table1[[#This Row],[ID]], Table2[ID],#REF!, "Not Found", 0)</f>
        <v>#REF!</v>
      </c>
      <c r="S1824" s="3">
        <f>_xlfn.XLOOKUP(Table1[[#This Row],[ID]], Table2[ID], Table2[Enrollment], "Not Found", 0)</f>
        <v>43508</v>
      </c>
      <c r="T1824" t="s">
        <v>438</v>
      </c>
    </row>
    <row r="1825" spans="1:20" x14ac:dyDescent="0.3">
      <c r="A1825">
        <v>1850</v>
      </c>
      <c r="B1825">
        <v>130545</v>
      </c>
      <c r="C1825">
        <v>1</v>
      </c>
      <c r="D1825">
        <v>0</v>
      </c>
      <c r="E1825">
        <v>41</v>
      </c>
      <c r="F1825">
        <v>0</v>
      </c>
      <c r="G1825">
        <v>0</v>
      </c>
      <c r="H1825">
        <v>0</v>
      </c>
      <c r="I1825">
        <v>1</v>
      </c>
      <c r="J1825">
        <v>0</v>
      </c>
      <c r="K1825">
        <v>0</v>
      </c>
      <c r="L1825">
        <v>1</v>
      </c>
      <c r="M1825">
        <v>0</v>
      </c>
      <c r="N1825">
        <v>0</v>
      </c>
      <c r="O1825" t="str" cm="1">
        <f t="array" ref="O1825">_xlfn.IFS(Table1[[#This Row],[Divorced]]=1, "Divorced", Table1[[#This Row],[Married]]=1, "Married", Table1[[#This Row],[Single]]=1, "Single", Table1[[#This Row],[Together]]=1, "Together", Table1[[#This Row],[Widow]]=1, "Widow")</f>
        <v>Together</v>
      </c>
      <c r="P1825" t="str" cm="1">
        <f t="array" ref="P1825">_xlfn.IFS(Table1[[#This Row],[Basic]]=1, "Basic", Table1[[#This Row],[Graduate]]=1, "Graduate", Table1[[#This Row],[Master]]=1, "Master", Table1[[#This Row],[PhD]]=1, "PhD", AND(Table1[[#This Row],[Basic]]=0, Table1[[#This Row],[Graduate]]=0, Table1[[#This Row],[Master]]=0, Table1[[#This Row],[PhD]]=0), "NA")</f>
        <v>Graduate</v>
      </c>
      <c r="Q1825" t="e">
        <f>_xlfn.XLOOKUP(Table1[[#This Row],[ID]], Table2[ID],#REF!, "Not Found", 0)</f>
        <v>#REF!</v>
      </c>
      <c r="R1825" t="e">
        <f>_xlfn.XLOOKUP(Table1[[#This Row],[ID]], Table2[ID],#REF!, "Not Found", 0)</f>
        <v>#REF!</v>
      </c>
      <c r="S1825" s="3" t="str">
        <f>_xlfn.XLOOKUP(Table1[[#This Row],[ID]], Table2[ID], Table2[Enrollment], "Not Found", 0)</f>
        <v>3/24/2019</v>
      </c>
      <c r="T1825" t="s">
        <v>438</v>
      </c>
    </row>
    <row r="1826" spans="1:20" x14ac:dyDescent="0.3">
      <c r="A1826">
        <v>2843</v>
      </c>
      <c r="B1826">
        <v>130538</v>
      </c>
      <c r="C1826">
        <v>1</v>
      </c>
      <c r="D1826">
        <v>0</v>
      </c>
      <c r="E1826">
        <v>49</v>
      </c>
      <c r="F1826">
        <v>0</v>
      </c>
      <c r="G1826">
        <v>0</v>
      </c>
      <c r="H1826">
        <v>0</v>
      </c>
      <c r="I1826">
        <v>1</v>
      </c>
      <c r="J1826">
        <v>0</v>
      </c>
      <c r="K1826">
        <v>0</v>
      </c>
      <c r="L1826">
        <v>0</v>
      </c>
      <c r="M1826">
        <v>1</v>
      </c>
      <c r="N1826">
        <v>0</v>
      </c>
      <c r="O1826" t="str" cm="1">
        <f t="array" ref="O1826">_xlfn.IFS(Table1[[#This Row],[Divorced]]=1, "Divorced", Table1[[#This Row],[Married]]=1, "Married", Table1[[#This Row],[Single]]=1, "Single", Table1[[#This Row],[Together]]=1, "Together", Table1[[#This Row],[Widow]]=1, "Widow")</f>
        <v>Together</v>
      </c>
      <c r="P1826" t="str" cm="1">
        <f t="array" ref="P1826">_xlfn.IFS(Table1[[#This Row],[Basic]]=1, "Basic", Table1[[#This Row],[Graduate]]=1, "Graduate", Table1[[#This Row],[Master]]=1, "Master", Table1[[#This Row],[PhD]]=1, "PhD", AND(Table1[[#This Row],[Basic]]=0, Table1[[#This Row],[Graduate]]=0, Table1[[#This Row],[Master]]=0, Table1[[#This Row],[PhD]]=0), "NA")</f>
        <v>Master</v>
      </c>
      <c r="Q1826" t="e">
        <f>_xlfn.XLOOKUP(Table1[[#This Row],[ID]], Table2[ID],#REF!, "Not Found", 0)</f>
        <v>#REF!</v>
      </c>
      <c r="R1826" t="e">
        <f>_xlfn.XLOOKUP(Table1[[#This Row],[ID]], Table2[ID],#REF!, "Not Found", 0)</f>
        <v>#REF!</v>
      </c>
      <c r="S1826" s="3">
        <f>_xlfn.XLOOKUP(Table1[[#This Row],[ID]], Table2[ID], Table2[Enrollment], "Not Found", 0)</f>
        <v>43680</v>
      </c>
      <c r="T1826" t="s">
        <v>434</v>
      </c>
    </row>
    <row r="1827" spans="1:20" x14ac:dyDescent="0.3">
      <c r="A1827">
        <v>1150</v>
      </c>
      <c r="B1827">
        <v>130523</v>
      </c>
      <c r="C1827">
        <v>2</v>
      </c>
      <c r="D1827">
        <v>1</v>
      </c>
      <c r="E1827">
        <v>62</v>
      </c>
      <c r="F1827">
        <v>0</v>
      </c>
      <c r="G1827">
        <v>0</v>
      </c>
      <c r="H1827">
        <v>1</v>
      </c>
      <c r="I1827">
        <v>0</v>
      </c>
      <c r="J1827">
        <v>0</v>
      </c>
      <c r="K1827">
        <v>0</v>
      </c>
      <c r="L1827">
        <v>0</v>
      </c>
      <c r="M1827">
        <v>1</v>
      </c>
      <c r="N1827">
        <v>0</v>
      </c>
      <c r="O1827" t="str" cm="1">
        <f t="array" ref="O1827">_xlfn.IFS(Table1[[#This Row],[Divorced]]=1, "Divorced", Table1[[#This Row],[Married]]=1, "Married", Table1[[#This Row],[Single]]=1, "Single", Table1[[#This Row],[Together]]=1, "Together", Table1[[#This Row],[Widow]]=1, "Widow")</f>
        <v>Single</v>
      </c>
      <c r="P1827" t="str" cm="1">
        <f t="array" ref="P1827">_xlfn.IFS(Table1[[#This Row],[Basic]]=1, "Basic", Table1[[#This Row],[Graduate]]=1, "Graduate", Table1[[#This Row],[Master]]=1, "Master", Table1[[#This Row],[PhD]]=1, "PhD", AND(Table1[[#This Row],[Basic]]=0, Table1[[#This Row],[Graduate]]=0, Table1[[#This Row],[Master]]=0, Table1[[#This Row],[PhD]]=0), "NA")</f>
        <v>Master</v>
      </c>
      <c r="Q1827" t="e">
        <f>_xlfn.XLOOKUP(Table1[[#This Row],[ID]], Table2[ID],#REF!, "Not Found", 0)</f>
        <v>#REF!</v>
      </c>
      <c r="R1827" t="e">
        <f>_xlfn.XLOOKUP(Table1[[#This Row],[ID]], Table2[ID],#REF!, "Not Found", 0)</f>
        <v>#REF!</v>
      </c>
      <c r="S1827" s="3">
        <f>_xlfn.XLOOKUP(Table1[[#This Row],[ID]], Table2[ID], Table2[Enrollment], "Not Found", 0)</f>
        <v>43628</v>
      </c>
      <c r="T1827" t="s">
        <v>439</v>
      </c>
    </row>
    <row r="1828" spans="1:20" x14ac:dyDescent="0.3">
      <c r="A1828">
        <v>1602</v>
      </c>
      <c r="B1828">
        <v>130522</v>
      </c>
      <c r="C1828">
        <v>0</v>
      </c>
      <c r="D1828">
        <v>1</v>
      </c>
      <c r="E1828">
        <v>60</v>
      </c>
      <c r="F1828">
        <v>0</v>
      </c>
      <c r="G1828">
        <v>1</v>
      </c>
      <c r="H1828">
        <v>0</v>
      </c>
      <c r="I1828">
        <v>0</v>
      </c>
      <c r="J1828">
        <v>0</v>
      </c>
      <c r="K1828">
        <v>0</v>
      </c>
      <c r="L1828">
        <v>0</v>
      </c>
      <c r="M1828">
        <v>1</v>
      </c>
      <c r="N1828">
        <v>0</v>
      </c>
      <c r="O1828" t="str" cm="1">
        <f t="array" ref="O1828">_xlfn.IFS(Table1[[#This Row],[Divorced]]=1, "Divorced", Table1[[#This Row],[Married]]=1, "Married", Table1[[#This Row],[Single]]=1, "Single", Table1[[#This Row],[Together]]=1, "Together", Table1[[#This Row],[Widow]]=1, "Widow")</f>
        <v>Married</v>
      </c>
      <c r="P1828" t="str" cm="1">
        <f t="array" ref="P1828">_xlfn.IFS(Table1[[#This Row],[Basic]]=1, "Basic", Table1[[#This Row],[Graduate]]=1, "Graduate", Table1[[#This Row],[Master]]=1, "Master", Table1[[#This Row],[PhD]]=1, "PhD", AND(Table1[[#This Row],[Basic]]=0, Table1[[#This Row],[Graduate]]=0, Table1[[#This Row],[Master]]=0, Table1[[#This Row],[PhD]]=0), "NA")</f>
        <v>Master</v>
      </c>
      <c r="Q1828" t="e">
        <f>_xlfn.XLOOKUP(Table1[[#This Row],[ID]], Table2[ID],#REF!, "Not Found", 0)</f>
        <v>#REF!</v>
      </c>
      <c r="R1828" t="e">
        <f>_xlfn.XLOOKUP(Table1[[#This Row],[ID]], Table2[ID],#REF!, "Not Found", 0)</f>
        <v>#REF!</v>
      </c>
      <c r="S1828" s="3" t="str">
        <f>_xlfn.XLOOKUP(Table1[[#This Row],[ID]], Table2[ID], Table2[Enrollment], "Not Found", 0)</f>
        <v>1/22/2019</v>
      </c>
      <c r="T1828" t="s">
        <v>436</v>
      </c>
    </row>
    <row r="1829" spans="1:20" x14ac:dyDescent="0.3">
      <c r="A1829">
        <v>1387</v>
      </c>
      <c r="B1829">
        <v>130507</v>
      </c>
      <c r="C1829">
        <v>0</v>
      </c>
      <c r="D1829">
        <v>0</v>
      </c>
      <c r="E1829">
        <v>60</v>
      </c>
      <c r="F1829">
        <v>0</v>
      </c>
      <c r="G1829">
        <v>0</v>
      </c>
      <c r="H1829">
        <v>0</v>
      </c>
      <c r="I1829">
        <v>1</v>
      </c>
      <c r="J1829">
        <v>0</v>
      </c>
      <c r="K1829">
        <v>0</v>
      </c>
      <c r="L1829">
        <v>1</v>
      </c>
      <c r="M1829">
        <v>0</v>
      </c>
      <c r="N1829">
        <v>0</v>
      </c>
      <c r="O1829" t="str" cm="1">
        <f t="array" ref="O1829">_xlfn.IFS(Table1[[#This Row],[Divorced]]=1, "Divorced", Table1[[#This Row],[Married]]=1, "Married", Table1[[#This Row],[Single]]=1, "Single", Table1[[#This Row],[Together]]=1, "Together", Table1[[#This Row],[Widow]]=1, "Widow")</f>
        <v>Together</v>
      </c>
      <c r="P1829" t="str" cm="1">
        <f t="array" ref="P1829">_xlfn.IFS(Table1[[#This Row],[Basic]]=1, "Basic", Table1[[#This Row],[Graduate]]=1, "Graduate", Table1[[#This Row],[Master]]=1, "Master", Table1[[#This Row],[PhD]]=1, "PhD", AND(Table1[[#This Row],[Basic]]=0, Table1[[#This Row],[Graduate]]=0, Table1[[#This Row],[Master]]=0, Table1[[#This Row],[PhD]]=0), "NA")</f>
        <v>Graduate</v>
      </c>
      <c r="Q1829" t="e">
        <f>_xlfn.XLOOKUP(Table1[[#This Row],[ID]], Table2[ID],#REF!, "Not Found", 0)</f>
        <v>#REF!</v>
      </c>
      <c r="R1829" t="e">
        <f>_xlfn.XLOOKUP(Table1[[#This Row],[ID]], Table2[ID],#REF!, "Not Found", 0)</f>
        <v>#REF!</v>
      </c>
      <c r="S1829" s="3" t="str">
        <f>_xlfn.XLOOKUP(Table1[[#This Row],[ID]], Table2[ID], Table2[Enrollment], "Not Found", 0)</f>
        <v>8/16/2019</v>
      </c>
      <c r="T1829" t="s">
        <v>437</v>
      </c>
    </row>
    <row r="1830" spans="1:20" x14ac:dyDescent="0.3">
      <c r="A1830">
        <v>1172</v>
      </c>
      <c r="B1830">
        <v>130477</v>
      </c>
      <c r="C1830">
        <v>1</v>
      </c>
      <c r="D1830">
        <v>0</v>
      </c>
      <c r="E1830">
        <v>36</v>
      </c>
      <c r="F1830">
        <v>0</v>
      </c>
      <c r="G1830">
        <v>1</v>
      </c>
      <c r="H1830">
        <v>0</v>
      </c>
      <c r="I1830">
        <v>0</v>
      </c>
      <c r="J1830">
        <v>0</v>
      </c>
      <c r="K1830">
        <v>0</v>
      </c>
      <c r="L1830">
        <v>0</v>
      </c>
      <c r="M1830">
        <v>1</v>
      </c>
      <c r="N1830">
        <v>0</v>
      </c>
      <c r="O1830" t="str" cm="1">
        <f t="array" ref="O1830">_xlfn.IFS(Table1[[#This Row],[Divorced]]=1, "Divorced", Table1[[#This Row],[Married]]=1, "Married", Table1[[#This Row],[Single]]=1, "Single", Table1[[#This Row],[Together]]=1, "Together", Table1[[#This Row],[Widow]]=1, "Widow")</f>
        <v>Married</v>
      </c>
      <c r="P1830" t="str" cm="1">
        <f t="array" ref="P1830">_xlfn.IFS(Table1[[#This Row],[Basic]]=1, "Basic", Table1[[#This Row],[Graduate]]=1, "Graduate", Table1[[#This Row],[Master]]=1, "Master", Table1[[#This Row],[PhD]]=1, "PhD", AND(Table1[[#This Row],[Basic]]=0, Table1[[#This Row],[Graduate]]=0, Table1[[#This Row],[Master]]=0, Table1[[#This Row],[PhD]]=0), "NA")</f>
        <v>Master</v>
      </c>
      <c r="Q1830" t="e">
        <f>_xlfn.XLOOKUP(Table1[[#This Row],[ID]], Table2[ID],#REF!, "Not Found", 0)</f>
        <v>#REF!</v>
      </c>
      <c r="R1830" t="e">
        <f>_xlfn.XLOOKUP(Table1[[#This Row],[ID]], Table2[ID],#REF!, "Not Found", 0)</f>
        <v>#REF!</v>
      </c>
      <c r="S1830" s="3" t="str">
        <f>_xlfn.XLOOKUP(Table1[[#This Row],[ID]], Table2[ID], Table2[Enrollment], "Not Found", 0)</f>
        <v>6/28/2020</v>
      </c>
      <c r="T1830" t="s">
        <v>438</v>
      </c>
    </row>
    <row r="1831" spans="1:20" x14ac:dyDescent="0.3">
      <c r="A1831">
        <v>1764</v>
      </c>
      <c r="B1831">
        <v>130467</v>
      </c>
      <c r="C1831">
        <v>1</v>
      </c>
      <c r="D1831">
        <v>0</v>
      </c>
      <c r="E1831">
        <v>48</v>
      </c>
      <c r="F1831">
        <v>0</v>
      </c>
      <c r="G1831">
        <v>1</v>
      </c>
      <c r="H1831">
        <v>0</v>
      </c>
      <c r="I1831">
        <v>0</v>
      </c>
      <c r="J1831">
        <v>0</v>
      </c>
      <c r="K1831">
        <v>0</v>
      </c>
      <c r="L1831">
        <v>1</v>
      </c>
      <c r="M1831">
        <v>0</v>
      </c>
      <c r="N1831">
        <v>0</v>
      </c>
      <c r="O1831" t="str" cm="1">
        <f t="array" ref="O1831">_xlfn.IFS(Table1[[#This Row],[Divorced]]=1, "Divorced", Table1[[#This Row],[Married]]=1, "Married", Table1[[#This Row],[Single]]=1, "Single", Table1[[#This Row],[Together]]=1, "Together", Table1[[#This Row],[Widow]]=1, "Widow")</f>
        <v>Married</v>
      </c>
      <c r="P1831" t="str" cm="1">
        <f t="array" ref="P1831">_xlfn.IFS(Table1[[#This Row],[Basic]]=1, "Basic", Table1[[#This Row],[Graduate]]=1, "Graduate", Table1[[#This Row],[Master]]=1, "Master", Table1[[#This Row],[PhD]]=1, "PhD", AND(Table1[[#This Row],[Basic]]=0, Table1[[#This Row],[Graduate]]=0, Table1[[#This Row],[Master]]=0, Table1[[#This Row],[PhD]]=0), "NA")</f>
        <v>Graduate</v>
      </c>
      <c r="Q1831" t="e">
        <f>_xlfn.XLOOKUP(Table1[[#This Row],[ID]], Table2[ID],#REF!, "Not Found", 0)</f>
        <v>#REF!</v>
      </c>
      <c r="R1831" t="e">
        <f>_xlfn.XLOOKUP(Table1[[#This Row],[ID]], Table2[ID],#REF!, "Not Found", 0)</f>
        <v>#REF!</v>
      </c>
      <c r="S1831" s="3" t="str">
        <f>_xlfn.XLOOKUP(Table1[[#This Row],[ID]], Table2[ID], Table2[Enrollment], "Not Found", 0)</f>
        <v>8/23/2020</v>
      </c>
      <c r="T1831" t="s">
        <v>436</v>
      </c>
    </row>
    <row r="1832" spans="1:20" x14ac:dyDescent="0.3">
      <c r="A1832">
        <v>2856</v>
      </c>
      <c r="B1832">
        <v>130396</v>
      </c>
      <c r="C1832">
        <v>1</v>
      </c>
      <c r="D1832">
        <v>0</v>
      </c>
      <c r="E1832">
        <v>51</v>
      </c>
      <c r="F1832">
        <v>0</v>
      </c>
      <c r="G1832">
        <v>1</v>
      </c>
      <c r="H1832">
        <v>0</v>
      </c>
      <c r="I1832">
        <v>0</v>
      </c>
      <c r="J1832">
        <v>0</v>
      </c>
      <c r="K1832">
        <v>0</v>
      </c>
      <c r="L1832">
        <v>0</v>
      </c>
      <c r="M1832">
        <v>0</v>
      </c>
      <c r="N1832">
        <v>1</v>
      </c>
      <c r="O1832" t="str" cm="1">
        <f t="array" ref="O1832">_xlfn.IFS(Table1[[#This Row],[Divorced]]=1, "Divorced", Table1[[#This Row],[Married]]=1, "Married", Table1[[#This Row],[Single]]=1, "Single", Table1[[#This Row],[Together]]=1, "Together", Table1[[#This Row],[Widow]]=1, "Widow")</f>
        <v>Married</v>
      </c>
      <c r="P1832" t="str" cm="1">
        <f t="array" ref="P1832">_xlfn.IFS(Table1[[#This Row],[Basic]]=1, "Basic", Table1[[#This Row],[Graduate]]=1, "Graduate", Table1[[#This Row],[Master]]=1, "Master", Table1[[#This Row],[PhD]]=1, "PhD", AND(Table1[[#This Row],[Basic]]=0, Table1[[#This Row],[Graduate]]=0, Table1[[#This Row],[Master]]=0, Table1[[#This Row],[PhD]]=0), "NA")</f>
        <v>PhD</v>
      </c>
      <c r="Q1832" t="e">
        <f>_xlfn.XLOOKUP(Table1[[#This Row],[ID]], Table2[ID],#REF!, "Not Found", 0)</f>
        <v>#REF!</v>
      </c>
      <c r="R1832" t="e">
        <f>_xlfn.XLOOKUP(Table1[[#This Row],[ID]], Table2[ID],#REF!, "Not Found", 0)</f>
        <v>#REF!</v>
      </c>
      <c r="S1832" s="3">
        <f>_xlfn.XLOOKUP(Table1[[#This Row],[ID]], Table2[ID], Table2[Enrollment], "Not Found", 0)</f>
        <v>43931</v>
      </c>
      <c r="T1832" t="s">
        <v>436</v>
      </c>
    </row>
    <row r="1833" spans="1:20" x14ac:dyDescent="0.3">
      <c r="A1833">
        <v>2522</v>
      </c>
      <c r="B1833">
        <v>130390</v>
      </c>
      <c r="C1833">
        <v>0</v>
      </c>
      <c r="D1833">
        <v>0</v>
      </c>
      <c r="E1833">
        <v>33</v>
      </c>
      <c r="F1833">
        <v>0</v>
      </c>
      <c r="G1833">
        <v>1</v>
      </c>
      <c r="H1833">
        <v>0</v>
      </c>
      <c r="I1833">
        <v>0</v>
      </c>
      <c r="J1833">
        <v>0</v>
      </c>
      <c r="K1833">
        <v>0</v>
      </c>
      <c r="L1833">
        <v>0</v>
      </c>
      <c r="M1833">
        <v>0</v>
      </c>
      <c r="N1833">
        <v>0</v>
      </c>
      <c r="O1833" t="str" cm="1">
        <f t="array" ref="O1833">_xlfn.IFS(Table1[[#This Row],[Divorced]]=1, "Divorced", Table1[[#This Row],[Married]]=1, "Married", Table1[[#This Row],[Single]]=1, "Single", Table1[[#This Row],[Together]]=1, "Together", Table1[[#This Row],[Widow]]=1, "Widow")</f>
        <v>Married</v>
      </c>
      <c r="P1833" t="str" cm="1">
        <f t="array" ref="P1833">_xlfn.IFS(Table1[[#This Row],[Basic]]=1, "Basic", Table1[[#This Row],[Graduate]]=1, "Graduate", Table1[[#This Row],[Master]]=1, "Master", Table1[[#This Row],[PhD]]=1, "PhD", AND(Table1[[#This Row],[Basic]]=0, Table1[[#This Row],[Graduate]]=0, Table1[[#This Row],[Master]]=0, Table1[[#This Row],[PhD]]=0), "NA")</f>
        <v>NA</v>
      </c>
      <c r="Q1833" t="e">
        <f>_xlfn.XLOOKUP(Table1[[#This Row],[ID]], Table2[ID],#REF!, "Not Found", 0)</f>
        <v>#REF!</v>
      </c>
      <c r="R1833" t="e">
        <f>_xlfn.XLOOKUP(Table1[[#This Row],[ID]], Table2[ID],#REF!, "Not Found", 0)</f>
        <v>#REF!</v>
      </c>
      <c r="S1833" s="3">
        <f>_xlfn.XLOOKUP(Table1[[#This Row],[ID]], Table2[ID], Table2[Enrollment], "Not Found", 0)</f>
        <v>44014</v>
      </c>
      <c r="T1833" t="s">
        <v>438</v>
      </c>
    </row>
    <row r="1834" spans="1:20" x14ac:dyDescent="0.3">
      <c r="A1834">
        <v>1332</v>
      </c>
      <c r="B1834">
        <v>130372</v>
      </c>
      <c r="C1834">
        <v>1</v>
      </c>
      <c r="D1834">
        <v>1</v>
      </c>
      <c r="E1834">
        <v>49</v>
      </c>
      <c r="F1834">
        <v>0</v>
      </c>
      <c r="G1834">
        <v>0</v>
      </c>
      <c r="H1834">
        <v>0</v>
      </c>
      <c r="I1834">
        <v>0</v>
      </c>
      <c r="J1834">
        <v>1</v>
      </c>
      <c r="K1834">
        <v>0</v>
      </c>
      <c r="L1834">
        <v>1</v>
      </c>
      <c r="M1834">
        <v>0</v>
      </c>
      <c r="N1834">
        <v>0</v>
      </c>
      <c r="O1834" t="str" cm="1">
        <f t="array" ref="O1834">_xlfn.IFS(Table1[[#This Row],[Divorced]]=1, "Divorced", Table1[[#This Row],[Married]]=1, "Married", Table1[[#This Row],[Single]]=1, "Single", Table1[[#This Row],[Together]]=1, "Together", Table1[[#This Row],[Widow]]=1, "Widow")</f>
        <v>Widow</v>
      </c>
      <c r="P1834" t="str" cm="1">
        <f t="array" ref="P1834">_xlfn.IFS(Table1[[#This Row],[Basic]]=1, "Basic", Table1[[#This Row],[Graduate]]=1, "Graduate", Table1[[#This Row],[Master]]=1, "Master", Table1[[#This Row],[PhD]]=1, "PhD", AND(Table1[[#This Row],[Basic]]=0, Table1[[#This Row],[Graduate]]=0, Table1[[#This Row],[Master]]=0, Table1[[#This Row],[PhD]]=0), "NA")</f>
        <v>Graduate</v>
      </c>
      <c r="Q1834" t="e">
        <f>_xlfn.XLOOKUP(Table1[[#This Row],[ID]], Table2[ID],#REF!, "Not Found", 0)</f>
        <v>#REF!</v>
      </c>
      <c r="R1834" t="e">
        <f>_xlfn.XLOOKUP(Table1[[#This Row],[ID]], Table2[ID],#REF!, "Not Found", 0)</f>
        <v>#REF!</v>
      </c>
      <c r="S1834" s="3">
        <f>_xlfn.XLOOKUP(Table1[[#This Row],[ID]], Table2[ID], Table2[Enrollment], "Not Found", 0)</f>
        <v>43471</v>
      </c>
      <c r="T1834" t="s">
        <v>436</v>
      </c>
    </row>
    <row r="1835" spans="1:20" x14ac:dyDescent="0.3">
      <c r="A1835">
        <v>2729</v>
      </c>
      <c r="B1835">
        <v>130372</v>
      </c>
      <c r="C1835">
        <v>1</v>
      </c>
      <c r="D1835">
        <v>1</v>
      </c>
      <c r="E1835">
        <v>49</v>
      </c>
      <c r="F1835">
        <v>0</v>
      </c>
      <c r="G1835">
        <v>0</v>
      </c>
      <c r="H1835">
        <v>0</v>
      </c>
      <c r="I1835">
        <v>0</v>
      </c>
      <c r="J1835">
        <v>1</v>
      </c>
      <c r="K1835">
        <v>0</v>
      </c>
      <c r="L1835">
        <v>1</v>
      </c>
      <c r="M1835">
        <v>0</v>
      </c>
      <c r="N1835">
        <v>0</v>
      </c>
      <c r="O1835" t="str" cm="1">
        <f t="array" ref="O1835">_xlfn.IFS(Table1[[#This Row],[Divorced]]=1, "Divorced", Table1[[#This Row],[Married]]=1, "Married", Table1[[#This Row],[Single]]=1, "Single", Table1[[#This Row],[Together]]=1, "Together", Table1[[#This Row],[Widow]]=1, "Widow")</f>
        <v>Widow</v>
      </c>
      <c r="P1835" t="str" cm="1">
        <f t="array" ref="P1835">_xlfn.IFS(Table1[[#This Row],[Basic]]=1, "Basic", Table1[[#This Row],[Graduate]]=1, "Graduate", Table1[[#This Row],[Master]]=1, "Master", Table1[[#This Row],[PhD]]=1, "PhD", AND(Table1[[#This Row],[Basic]]=0, Table1[[#This Row],[Graduate]]=0, Table1[[#This Row],[Master]]=0, Table1[[#This Row],[PhD]]=0), "NA")</f>
        <v>Graduate</v>
      </c>
      <c r="Q1835" t="e">
        <f>_xlfn.XLOOKUP(Table1[[#This Row],[ID]], Table2[ID],#REF!, "Not Found", 0)</f>
        <v>#REF!</v>
      </c>
      <c r="R1835" t="e">
        <f>_xlfn.XLOOKUP(Table1[[#This Row],[ID]], Table2[ID],#REF!, "Not Found", 0)</f>
        <v>#REF!</v>
      </c>
      <c r="S1835" s="3">
        <f>_xlfn.XLOOKUP(Table1[[#This Row],[ID]], Table2[ID], Table2[Enrollment], "Not Found", 0)</f>
        <v>43471</v>
      </c>
      <c r="T1835" t="s">
        <v>434</v>
      </c>
    </row>
    <row r="1836" spans="1:20" x14ac:dyDescent="0.3">
      <c r="A1836">
        <v>2980</v>
      </c>
      <c r="B1836">
        <v>130368</v>
      </c>
      <c r="C1836">
        <v>0</v>
      </c>
      <c r="D1836">
        <v>1</v>
      </c>
      <c r="E1836">
        <v>43</v>
      </c>
      <c r="F1836">
        <v>0</v>
      </c>
      <c r="G1836">
        <v>1</v>
      </c>
      <c r="H1836">
        <v>0</v>
      </c>
      <c r="I1836">
        <v>0</v>
      </c>
      <c r="J1836">
        <v>0</v>
      </c>
      <c r="K1836">
        <v>0</v>
      </c>
      <c r="L1836">
        <v>1</v>
      </c>
      <c r="M1836">
        <v>0</v>
      </c>
      <c r="N1836">
        <v>0</v>
      </c>
      <c r="O1836" t="str" cm="1">
        <f t="array" ref="O1836">_xlfn.IFS(Table1[[#This Row],[Divorced]]=1, "Divorced", Table1[[#This Row],[Married]]=1, "Married", Table1[[#This Row],[Single]]=1, "Single", Table1[[#This Row],[Together]]=1, "Together", Table1[[#This Row],[Widow]]=1, "Widow")</f>
        <v>Married</v>
      </c>
      <c r="P1836" t="str" cm="1">
        <f t="array" ref="P1836">_xlfn.IFS(Table1[[#This Row],[Basic]]=1, "Basic", Table1[[#This Row],[Graduate]]=1, "Graduate", Table1[[#This Row],[Master]]=1, "Master", Table1[[#This Row],[PhD]]=1, "PhD", AND(Table1[[#This Row],[Basic]]=0, Table1[[#This Row],[Graduate]]=0, Table1[[#This Row],[Master]]=0, Table1[[#This Row],[PhD]]=0), "NA")</f>
        <v>Graduate</v>
      </c>
      <c r="Q1836" t="e">
        <f>_xlfn.XLOOKUP(Table1[[#This Row],[ID]], Table2[ID],#REF!, "Not Found", 0)</f>
        <v>#REF!</v>
      </c>
      <c r="R1836" t="e">
        <f>_xlfn.XLOOKUP(Table1[[#This Row],[ID]], Table2[ID],#REF!, "Not Found", 0)</f>
        <v>#REF!</v>
      </c>
      <c r="S1836" s="3" t="str">
        <f>_xlfn.XLOOKUP(Table1[[#This Row],[ID]], Table2[ID], Table2[Enrollment], "Not Found", 0)</f>
        <v>4/13/2020</v>
      </c>
      <c r="T1836" t="s">
        <v>439</v>
      </c>
    </row>
    <row r="1837" spans="1:20" x14ac:dyDescent="0.3">
      <c r="A1837">
        <v>1009</v>
      </c>
      <c r="B1837">
        <v>130351</v>
      </c>
      <c r="C1837">
        <v>1</v>
      </c>
      <c r="D1837">
        <v>0</v>
      </c>
      <c r="E1837">
        <v>46</v>
      </c>
      <c r="F1837">
        <v>0</v>
      </c>
      <c r="G1837">
        <v>0</v>
      </c>
      <c r="H1837">
        <v>0</v>
      </c>
      <c r="I1837">
        <v>1</v>
      </c>
      <c r="J1837">
        <v>0</v>
      </c>
      <c r="K1837">
        <v>0</v>
      </c>
      <c r="L1837">
        <v>0</v>
      </c>
      <c r="M1837">
        <v>0</v>
      </c>
      <c r="N1837">
        <v>1</v>
      </c>
      <c r="O1837" t="str" cm="1">
        <f t="array" ref="O1837">_xlfn.IFS(Table1[[#This Row],[Divorced]]=1, "Divorced", Table1[[#This Row],[Married]]=1, "Married", Table1[[#This Row],[Single]]=1, "Single", Table1[[#This Row],[Together]]=1, "Together", Table1[[#This Row],[Widow]]=1, "Widow")</f>
        <v>Together</v>
      </c>
      <c r="P1837" t="str" cm="1">
        <f t="array" ref="P1837">_xlfn.IFS(Table1[[#This Row],[Basic]]=1, "Basic", Table1[[#This Row],[Graduate]]=1, "Graduate", Table1[[#This Row],[Master]]=1, "Master", Table1[[#This Row],[PhD]]=1, "PhD", AND(Table1[[#This Row],[Basic]]=0, Table1[[#This Row],[Graduate]]=0, Table1[[#This Row],[Master]]=0, Table1[[#This Row],[PhD]]=0), "NA")</f>
        <v>PhD</v>
      </c>
      <c r="Q1837" t="e">
        <f>_xlfn.XLOOKUP(Table1[[#This Row],[ID]], Table2[ID],#REF!, "Not Found", 0)</f>
        <v>#REF!</v>
      </c>
      <c r="R1837" t="e">
        <f>_xlfn.XLOOKUP(Table1[[#This Row],[ID]], Table2[ID],#REF!, "Not Found", 0)</f>
        <v>#REF!</v>
      </c>
      <c r="S1837" s="3">
        <f>_xlfn.XLOOKUP(Table1[[#This Row],[ID]], Table2[ID], Table2[Enrollment], "Not Found", 0)</f>
        <v>43780</v>
      </c>
      <c r="T1837" t="s">
        <v>437</v>
      </c>
    </row>
    <row r="1838" spans="1:20" x14ac:dyDescent="0.3">
      <c r="A1838">
        <v>1392</v>
      </c>
      <c r="B1838">
        <v>130351</v>
      </c>
      <c r="C1838">
        <v>1</v>
      </c>
      <c r="D1838">
        <v>0</v>
      </c>
      <c r="E1838">
        <v>46</v>
      </c>
      <c r="F1838">
        <v>0</v>
      </c>
      <c r="G1838">
        <v>0</v>
      </c>
      <c r="H1838">
        <v>0</v>
      </c>
      <c r="I1838">
        <v>1</v>
      </c>
      <c r="J1838">
        <v>0</v>
      </c>
      <c r="K1838">
        <v>0</v>
      </c>
      <c r="L1838">
        <v>0</v>
      </c>
      <c r="M1838">
        <v>0</v>
      </c>
      <c r="N1838">
        <v>1</v>
      </c>
      <c r="O1838" t="str" cm="1">
        <f t="array" ref="O1838">_xlfn.IFS(Table1[[#This Row],[Divorced]]=1, "Divorced", Table1[[#This Row],[Married]]=1, "Married", Table1[[#This Row],[Single]]=1, "Single", Table1[[#This Row],[Together]]=1, "Together", Table1[[#This Row],[Widow]]=1, "Widow")</f>
        <v>Together</v>
      </c>
      <c r="P1838" t="str" cm="1">
        <f t="array" ref="P1838">_xlfn.IFS(Table1[[#This Row],[Basic]]=1, "Basic", Table1[[#This Row],[Graduate]]=1, "Graduate", Table1[[#This Row],[Master]]=1, "Master", Table1[[#This Row],[PhD]]=1, "PhD", AND(Table1[[#This Row],[Basic]]=0, Table1[[#This Row],[Graduate]]=0, Table1[[#This Row],[Master]]=0, Table1[[#This Row],[PhD]]=0), "NA")</f>
        <v>PhD</v>
      </c>
      <c r="Q1838" t="e">
        <f>_xlfn.XLOOKUP(Table1[[#This Row],[ID]], Table2[ID],#REF!, "Not Found", 0)</f>
        <v>#REF!</v>
      </c>
      <c r="R1838" t="e">
        <f>_xlfn.XLOOKUP(Table1[[#This Row],[ID]], Table2[ID],#REF!, "Not Found", 0)</f>
        <v>#REF!</v>
      </c>
      <c r="S1838" s="3">
        <f>_xlfn.XLOOKUP(Table1[[#This Row],[ID]], Table2[ID], Table2[Enrollment], "Not Found", 0)</f>
        <v>43780</v>
      </c>
      <c r="T1838" t="s">
        <v>436</v>
      </c>
    </row>
    <row r="1839" spans="1:20" x14ac:dyDescent="0.3">
      <c r="A1839">
        <v>2859</v>
      </c>
      <c r="B1839">
        <v>130298</v>
      </c>
      <c r="C1839">
        <v>0</v>
      </c>
      <c r="D1839">
        <v>0</v>
      </c>
      <c r="E1839">
        <v>35</v>
      </c>
      <c r="F1839">
        <v>0</v>
      </c>
      <c r="G1839">
        <v>0</v>
      </c>
      <c r="H1839">
        <v>1</v>
      </c>
      <c r="I1839">
        <v>0</v>
      </c>
      <c r="J1839">
        <v>0</v>
      </c>
      <c r="K1839">
        <v>0</v>
      </c>
      <c r="L1839">
        <v>0</v>
      </c>
      <c r="M1839">
        <v>0</v>
      </c>
      <c r="N1839">
        <v>1</v>
      </c>
      <c r="O1839" t="str" cm="1">
        <f t="array" ref="O1839">_xlfn.IFS(Table1[[#This Row],[Divorced]]=1, "Divorced", Table1[[#This Row],[Married]]=1, "Married", Table1[[#This Row],[Single]]=1, "Single", Table1[[#This Row],[Together]]=1, "Together", Table1[[#This Row],[Widow]]=1, "Widow")</f>
        <v>Single</v>
      </c>
      <c r="P1839" t="str" cm="1">
        <f t="array" ref="P1839">_xlfn.IFS(Table1[[#This Row],[Basic]]=1, "Basic", Table1[[#This Row],[Graduate]]=1, "Graduate", Table1[[#This Row],[Master]]=1, "Master", Table1[[#This Row],[PhD]]=1, "PhD", AND(Table1[[#This Row],[Basic]]=0, Table1[[#This Row],[Graduate]]=0, Table1[[#This Row],[Master]]=0, Table1[[#This Row],[PhD]]=0), "NA")</f>
        <v>PhD</v>
      </c>
      <c r="Q1839" t="e">
        <f>_xlfn.XLOOKUP(Table1[[#This Row],[ID]], Table2[ID],#REF!, "Not Found", 0)</f>
        <v>#REF!</v>
      </c>
      <c r="R1839" t="e">
        <f>_xlfn.XLOOKUP(Table1[[#This Row],[ID]], Table2[ID],#REF!, "Not Found", 0)</f>
        <v>#REF!</v>
      </c>
      <c r="S1839" s="3" t="str">
        <f>_xlfn.XLOOKUP(Table1[[#This Row],[ID]], Table2[ID], Table2[Enrollment], "Not Found", 0)</f>
        <v>10/23/2020</v>
      </c>
      <c r="T1839" t="s">
        <v>435</v>
      </c>
    </row>
    <row r="1840" spans="1:20" x14ac:dyDescent="0.3">
      <c r="A1840">
        <v>1361</v>
      </c>
      <c r="B1840">
        <v>130279</v>
      </c>
      <c r="C1840">
        <v>1</v>
      </c>
      <c r="D1840">
        <v>0</v>
      </c>
      <c r="E1840">
        <v>31</v>
      </c>
      <c r="F1840">
        <v>0</v>
      </c>
      <c r="G1840">
        <v>0</v>
      </c>
      <c r="H1840">
        <v>1</v>
      </c>
      <c r="I1840">
        <v>0</v>
      </c>
      <c r="J1840">
        <v>0</v>
      </c>
      <c r="K1840">
        <v>0</v>
      </c>
      <c r="L1840">
        <v>1</v>
      </c>
      <c r="M1840">
        <v>0</v>
      </c>
      <c r="N1840">
        <v>0</v>
      </c>
      <c r="O1840" t="str" cm="1">
        <f t="array" ref="O1840">_xlfn.IFS(Table1[[#This Row],[Divorced]]=1, "Divorced", Table1[[#This Row],[Married]]=1, "Married", Table1[[#This Row],[Single]]=1, "Single", Table1[[#This Row],[Together]]=1, "Together", Table1[[#This Row],[Widow]]=1, "Widow")</f>
        <v>Single</v>
      </c>
      <c r="P1840" t="str" cm="1">
        <f t="array" ref="P1840">_xlfn.IFS(Table1[[#This Row],[Basic]]=1, "Basic", Table1[[#This Row],[Graduate]]=1, "Graduate", Table1[[#This Row],[Master]]=1, "Master", Table1[[#This Row],[PhD]]=1, "PhD", AND(Table1[[#This Row],[Basic]]=0, Table1[[#This Row],[Graduate]]=0, Table1[[#This Row],[Master]]=0, Table1[[#This Row],[PhD]]=0), "NA")</f>
        <v>Graduate</v>
      </c>
      <c r="Q1840" t="e">
        <f>_xlfn.XLOOKUP(Table1[[#This Row],[ID]], Table2[ID],#REF!, "Not Found", 0)</f>
        <v>#REF!</v>
      </c>
      <c r="R1840" t="e">
        <f>_xlfn.XLOOKUP(Table1[[#This Row],[ID]], Table2[ID],#REF!, "Not Found", 0)</f>
        <v>#REF!</v>
      </c>
      <c r="S1840" s="3">
        <f>_xlfn.XLOOKUP(Table1[[#This Row],[ID]], Table2[ID], Table2[Enrollment], "Not Found", 0)</f>
        <v>43622</v>
      </c>
      <c r="T1840" t="s">
        <v>434</v>
      </c>
    </row>
    <row r="1841" spans="1:20" x14ac:dyDescent="0.3">
      <c r="A1841">
        <v>1427</v>
      </c>
      <c r="B1841">
        <v>130279</v>
      </c>
      <c r="C1841">
        <v>1</v>
      </c>
      <c r="D1841">
        <v>0</v>
      </c>
      <c r="E1841">
        <v>31</v>
      </c>
      <c r="F1841">
        <v>0</v>
      </c>
      <c r="G1841">
        <v>0</v>
      </c>
      <c r="H1841">
        <v>1</v>
      </c>
      <c r="I1841">
        <v>0</v>
      </c>
      <c r="J1841">
        <v>0</v>
      </c>
      <c r="K1841">
        <v>0</v>
      </c>
      <c r="L1841">
        <v>1</v>
      </c>
      <c r="M1841">
        <v>0</v>
      </c>
      <c r="N1841">
        <v>0</v>
      </c>
      <c r="O1841" t="str" cm="1">
        <f t="array" ref="O1841">_xlfn.IFS(Table1[[#This Row],[Divorced]]=1, "Divorced", Table1[[#This Row],[Married]]=1, "Married", Table1[[#This Row],[Single]]=1, "Single", Table1[[#This Row],[Together]]=1, "Together", Table1[[#This Row],[Widow]]=1, "Widow")</f>
        <v>Single</v>
      </c>
      <c r="P1841" t="str" cm="1">
        <f t="array" ref="P1841">_xlfn.IFS(Table1[[#This Row],[Basic]]=1, "Basic", Table1[[#This Row],[Graduate]]=1, "Graduate", Table1[[#This Row],[Master]]=1, "Master", Table1[[#This Row],[PhD]]=1, "PhD", AND(Table1[[#This Row],[Basic]]=0, Table1[[#This Row],[Graduate]]=0, Table1[[#This Row],[Master]]=0, Table1[[#This Row],[PhD]]=0), "NA")</f>
        <v>Graduate</v>
      </c>
      <c r="Q1841" t="e">
        <f>_xlfn.XLOOKUP(Table1[[#This Row],[ID]], Table2[ID],#REF!, "Not Found", 0)</f>
        <v>#REF!</v>
      </c>
      <c r="R1841" t="e">
        <f>_xlfn.XLOOKUP(Table1[[#This Row],[ID]], Table2[ID],#REF!, "Not Found", 0)</f>
        <v>#REF!</v>
      </c>
      <c r="S1841" s="3">
        <f>_xlfn.XLOOKUP(Table1[[#This Row],[ID]], Table2[ID], Table2[Enrollment], "Not Found", 0)</f>
        <v>43622</v>
      </c>
      <c r="T1841" t="s">
        <v>434</v>
      </c>
    </row>
    <row r="1842" spans="1:20" x14ac:dyDescent="0.3">
      <c r="A1842">
        <v>2994</v>
      </c>
      <c r="B1842">
        <v>130261</v>
      </c>
      <c r="C1842">
        <v>1</v>
      </c>
      <c r="D1842">
        <v>2</v>
      </c>
      <c r="E1842">
        <v>48</v>
      </c>
      <c r="F1842">
        <v>0</v>
      </c>
      <c r="G1842">
        <v>0</v>
      </c>
      <c r="H1842">
        <v>0</v>
      </c>
      <c r="I1842">
        <v>1</v>
      </c>
      <c r="J1842">
        <v>0</v>
      </c>
      <c r="K1842">
        <v>0</v>
      </c>
      <c r="L1842">
        <v>1</v>
      </c>
      <c r="M1842">
        <v>0</v>
      </c>
      <c r="N1842">
        <v>0</v>
      </c>
      <c r="O1842" t="str" cm="1">
        <f t="array" ref="O1842">_xlfn.IFS(Table1[[#This Row],[Divorced]]=1, "Divorced", Table1[[#This Row],[Married]]=1, "Married", Table1[[#This Row],[Single]]=1, "Single", Table1[[#This Row],[Together]]=1, "Together", Table1[[#This Row],[Widow]]=1, "Widow")</f>
        <v>Together</v>
      </c>
      <c r="P1842" t="str" cm="1">
        <f t="array" ref="P1842">_xlfn.IFS(Table1[[#This Row],[Basic]]=1, "Basic", Table1[[#This Row],[Graduate]]=1, "Graduate", Table1[[#This Row],[Master]]=1, "Master", Table1[[#This Row],[PhD]]=1, "PhD", AND(Table1[[#This Row],[Basic]]=0, Table1[[#This Row],[Graduate]]=0, Table1[[#This Row],[Master]]=0, Table1[[#This Row],[PhD]]=0), "NA")</f>
        <v>Graduate</v>
      </c>
      <c r="Q1842" t="e">
        <f>_xlfn.XLOOKUP(Table1[[#This Row],[ID]], Table2[ID],#REF!, "Not Found", 0)</f>
        <v>#REF!</v>
      </c>
      <c r="R1842" t="e">
        <f>_xlfn.XLOOKUP(Table1[[#This Row],[ID]], Table2[ID],#REF!, "Not Found", 0)</f>
        <v>#REF!</v>
      </c>
      <c r="S1842" s="3">
        <f>_xlfn.XLOOKUP(Table1[[#This Row],[ID]], Table2[ID], Table2[Enrollment], "Not Found", 0)</f>
        <v>43499</v>
      </c>
      <c r="T1842" t="s">
        <v>436</v>
      </c>
    </row>
    <row r="1843" spans="1:20" x14ac:dyDescent="0.3">
      <c r="A1843">
        <v>1993</v>
      </c>
      <c r="B1843">
        <v>130168</v>
      </c>
      <c r="C1843">
        <v>1</v>
      </c>
      <c r="D1843">
        <v>0</v>
      </c>
      <c r="E1843">
        <v>42</v>
      </c>
      <c r="F1843">
        <v>0</v>
      </c>
      <c r="G1843">
        <v>0</v>
      </c>
      <c r="H1843">
        <v>1</v>
      </c>
      <c r="I1843">
        <v>0</v>
      </c>
      <c r="J1843">
        <v>0</v>
      </c>
      <c r="K1843">
        <v>0</v>
      </c>
      <c r="L1843">
        <v>1</v>
      </c>
      <c r="M1843">
        <v>0</v>
      </c>
      <c r="N1843">
        <v>0</v>
      </c>
      <c r="O1843" t="str" cm="1">
        <f t="array" ref="O1843">_xlfn.IFS(Table1[[#This Row],[Divorced]]=1, "Divorced", Table1[[#This Row],[Married]]=1, "Married", Table1[[#This Row],[Single]]=1, "Single", Table1[[#This Row],[Together]]=1, "Together", Table1[[#This Row],[Widow]]=1, "Widow")</f>
        <v>Single</v>
      </c>
      <c r="P1843" t="str" cm="1">
        <f t="array" ref="P1843">_xlfn.IFS(Table1[[#This Row],[Basic]]=1, "Basic", Table1[[#This Row],[Graduate]]=1, "Graduate", Table1[[#This Row],[Master]]=1, "Master", Table1[[#This Row],[PhD]]=1, "PhD", AND(Table1[[#This Row],[Basic]]=0, Table1[[#This Row],[Graduate]]=0, Table1[[#This Row],[Master]]=0, Table1[[#This Row],[PhD]]=0), "NA")</f>
        <v>Graduate</v>
      </c>
      <c r="Q1843" t="e">
        <f>_xlfn.XLOOKUP(Table1[[#This Row],[ID]], Table2[ID],#REF!, "Not Found", 0)</f>
        <v>#REF!</v>
      </c>
      <c r="R1843" t="e">
        <f>_xlfn.XLOOKUP(Table1[[#This Row],[ID]], Table2[ID],#REF!, "Not Found", 0)</f>
        <v>#REF!</v>
      </c>
      <c r="S1843" s="3">
        <f>_xlfn.XLOOKUP(Table1[[#This Row],[ID]], Table2[ID], Table2[Enrollment], "Not Found", 0)</f>
        <v>43807</v>
      </c>
      <c r="T1843" t="s">
        <v>437</v>
      </c>
    </row>
    <row r="1844" spans="1:20" x14ac:dyDescent="0.3">
      <c r="A1844">
        <v>1087</v>
      </c>
      <c r="B1844">
        <v>130096</v>
      </c>
      <c r="C1844">
        <v>1</v>
      </c>
      <c r="D1844">
        <v>0</v>
      </c>
      <c r="E1844">
        <v>37</v>
      </c>
      <c r="F1844">
        <v>0</v>
      </c>
      <c r="G1844">
        <v>1</v>
      </c>
      <c r="H1844">
        <v>0</v>
      </c>
      <c r="I1844">
        <v>0</v>
      </c>
      <c r="J1844">
        <v>0</v>
      </c>
      <c r="K1844">
        <v>0</v>
      </c>
      <c r="L1844">
        <v>1</v>
      </c>
      <c r="M1844">
        <v>0</v>
      </c>
      <c r="N1844">
        <v>0</v>
      </c>
      <c r="O1844" t="str" cm="1">
        <f t="array" ref="O1844">_xlfn.IFS(Table1[[#This Row],[Divorced]]=1, "Divorced", Table1[[#This Row],[Married]]=1, "Married", Table1[[#This Row],[Single]]=1, "Single", Table1[[#This Row],[Together]]=1, "Together", Table1[[#This Row],[Widow]]=1, "Widow")</f>
        <v>Married</v>
      </c>
      <c r="P1844" t="str" cm="1">
        <f t="array" ref="P1844">_xlfn.IFS(Table1[[#This Row],[Basic]]=1, "Basic", Table1[[#This Row],[Graduate]]=1, "Graduate", Table1[[#This Row],[Master]]=1, "Master", Table1[[#This Row],[PhD]]=1, "PhD", AND(Table1[[#This Row],[Basic]]=0, Table1[[#This Row],[Graduate]]=0, Table1[[#This Row],[Master]]=0, Table1[[#This Row],[PhD]]=0), "NA")</f>
        <v>Graduate</v>
      </c>
      <c r="Q1844" t="e">
        <f>_xlfn.XLOOKUP(Table1[[#This Row],[ID]], Table2[ID],#REF!, "Not Found", 0)</f>
        <v>#REF!</v>
      </c>
      <c r="R1844" t="e">
        <f>_xlfn.XLOOKUP(Table1[[#This Row],[ID]], Table2[ID],#REF!, "Not Found", 0)</f>
        <v>#REF!</v>
      </c>
      <c r="S1844" s="3" t="str">
        <f>_xlfn.XLOOKUP(Table1[[#This Row],[ID]], Table2[ID], Table2[Enrollment], "Not Found", 0)</f>
        <v>10/26/2020</v>
      </c>
      <c r="T1844" t="s">
        <v>437</v>
      </c>
    </row>
    <row r="1845" spans="1:20" x14ac:dyDescent="0.3">
      <c r="A1845">
        <v>1405</v>
      </c>
      <c r="B1845">
        <v>130096</v>
      </c>
      <c r="C1845">
        <v>1</v>
      </c>
      <c r="D1845">
        <v>0</v>
      </c>
      <c r="E1845">
        <v>37</v>
      </c>
      <c r="F1845">
        <v>0</v>
      </c>
      <c r="G1845">
        <v>1</v>
      </c>
      <c r="H1845">
        <v>0</v>
      </c>
      <c r="I1845">
        <v>0</v>
      </c>
      <c r="J1845">
        <v>0</v>
      </c>
      <c r="K1845">
        <v>0</v>
      </c>
      <c r="L1845">
        <v>1</v>
      </c>
      <c r="M1845">
        <v>0</v>
      </c>
      <c r="N1845">
        <v>0</v>
      </c>
      <c r="O1845" t="str" cm="1">
        <f t="array" ref="O1845">_xlfn.IFS(Table1[[#This Row],[Divorced]]=1, "Divorced", Table1[[#This Row],[Married]]=1, "Married", Table1[[#This Row],[Single]]=1, "Single", Table1[[#This Row],[Together]]=1, "Together", Table1[[#This Row],[Widow]]=1, "Widow")</f>
        <v>Married</v>
      </c>
      <c r="P1845" t="str" cm="1">
        <f t="array" ref="P1845">_xlfn.IFS(Table1[[#This Row],[Basic]]=1, "Basic", Table1[[#This Row],[Graduate]]=1, "Graduate", Table1[[#This Row],[Master]]=1, "Master", Table1[[#This Row],[PhD]]=1, "PhD", AND(Table1[[#This Row],[Basic]]=0, Table1[[#This Row],[Graduate]]=0, Table1[[#This Row],[Master]]=0, Table1[[#This Row],[PhD]]=0), "NA")</f>
        <v>Graduate</v>
      </c>
      <c r="Q1845" t="e">
        <f>_xlfn.XLOOKUP(Table1[[#This Row],[ID]], Table2[ID],#REF!, "Not Found", 0)</f>
        <v>#REF!</v>
      </c>
      <c r="R1845" t="e">
        <f>_xlfn.XLOOKUP(Table1[[#This Row],[ID]], Table2[ID],#REF!, "Not Found", 0)</f>
        <v>#REF!</v>
      </c>
      <c r="S1845" s="3" t="str">
        <f>_xlfn.XLOOKUP(Table1[[#This Row],[ID]], Table2[ID], Table2[Enrollment], "Not Found", 0)</f>
        <v>10/26/2020</v>
      </c>
      <c r="T1845" t="s">
        <v>437</v>
      </c>
    </row>
    <row r="1846" spans="1:20" x14ac:dyDescent="0.3">
      <c r="A1846">
        <v>2822</v>
      </c>
      <c r="B1846">
        <v>130093</v>
      </c>
      <c r="C1846">
        <v>0</v>
      </c>
      <c r="D1846">
        <v>0</v>
      </c>
      <c r="E1846">
        <v>30</v>
      </c>
      <c r="F1846">
        <v>0</v>
      </c>
      <c r="G1846">
        <v>1</v>
      </c>
      <c r="H1846">
        <v>0</v>
      </c>
      <c r="I1846">
        <v>0</v>
      </c>
      <c r="J1846">
        <v>0</v>
      </c>
      <c r="K1846">
        <v>0</v>
      </c>
      <c r="L1846">
        <v>1</v>
      </c>
      <c r="M1846">
        <v>0</v>
      </c>
      <c r="N1846">
        <v>0</v>
      </c>
      <c r="O1846" t="str" cm="1">
        <f t="array" ref="O1846">_xlfn.IFS(Table1[[#This Row],[Divorced]]=1, "Divorced", Table1[[#This Row],[Married]]=1, "Married", Table1[[#This Row],[Single]]=1, "Single", Table1[[#This Row],[Together]]=1, "Together", Table1[[#This Row],[Widow]]=1, "Widow")</f>
        <v>Married</v>
      </c>
      <c r="P1846" t="str" cm="1">
        <f t="array" ref="P1846">_xlfn.IFS(Table1[[#This Row],[Basic]]=1, "Basic", Table1[[#This Row],[Graduate]]=1, "Graduate", Table1[[#This Row],[Master]]=1, "Master", Table1[[#This Row],[PhD]]=1, "PhD", AND(Table1[[#This Row],[Basic]]=0, Table1[[#This Row],[Graduate]]=0, Table1[[#This Row],[Master]]=0, Table1[[#This Row],[PhD]]=0), "NA")</f>
        <v>Graduate</v>
      </c>
      <c r="Q1846" t="e">
        <f>_xlfn.XLOOKUP(Table1[[#This Row],[ID]], Table2[ID],#REF!, "Not Found", 0)</f>
        <v>#REF!</v>
      </c>
      <c r="R1846" t="e">
        <f>_xlfn.XLOOKUP(Table1[[#This Row],[ID]], Table2[ID],#REF!, "Not Found", 0)</f>
        <v>#REF!</v>
      </c>
      <c r="S1846" s="3" t="str">
        <f>_xlfn.XLOOKUP(Table1[[#This Row],[ID]], Table2[ID], Table2[Enrollment], "Not Found", 0)</f>
        <v>12/13/2019</v>
      </c>
      <c r="T1846" t="s">
        <v>438</v>
      </c>
    </row>
    <row r="1847" spans="1:20" x14ac:dyDescent="0.3">
      <c r="A1847">
        <v>1584</v>
      </c>
      <c r="B1847">
        <v>130081</v>
      </c>
      <c r="C1847">
        <v>0</v>
      </c>
      <c r="D1847">
        <v>1</v>
      </c>
      <c r="E1847">
        <v>59</v>
      </c>
      <c r="F1847">
        <v>0</v>
      </c>
      <c r="G1847">
        <v>0</v>
      </c>
      <c r="H1847">
        <v>1</v>
      </c>
      <c r="I1847">
        <v>0</v>
      </c>
      <c r="J1847">
        <v>0</v>
      </c>
      <c r="K1847">
        <v>0</v>
      </c>
      <c r="L1847">
        <v>1</v>
      </c>
      <c r="M1847">
        <v>0</v>
      </c>
      <c r="N1847">
        <v>0</v>
      </c>
      <c r="O1847" t="str" cm="1">
        <f t="array" ref="O1847">_xlfn.IFS(Table1[[#This Row],[Divorced]]=1, "Divorced", Table1[[#This Row],[Married]]=1, "Married", Table1[[#This Row],[Single]]=1, "Single", Table1[[#This Row],[Together]]=1, "Together", Table1[[#This Row],[Widow]]=1, "Widow")</f>
        <v>Single</v>
      </c>
      <c r="P1847" t="str" cm="1">
        <f t="array" ref="P1847">_xlfn.IFS(Table1[[#This Row],[Basic]]=1, "Basic", Table1[[#This Row],[Graduate]]=1, "Graduate", Table1[[#This Row],[Master]]=1, "Master", Table1[[#This Row],[PhD]]=1, "PhD", AND(Table1[[#This Row],[Basic]]=0, Table1[[#This Row],[Graduate]]=0, Table1[[#This Row],[Master]]=0, Table1[[#This Row],[PhD]]=0), "NA")</f>
        <v>Graduate</v>
      </c>
      <c r="Q1847" t="e">
        <f>_xlfn.XLOOKUP(Table1[[#This Row],[ID]], Table2[ID],#REF!, "Not Found", 0)</f>
        <v>#REF!</v>
      </c>
      <c r="R1847" t="e">
        <f>_xlfn.XLOOKUP(Table1[[#This Row],[ID]], Table2[ID],#REF!, "Not Found", 0)</f>
        <v>#REF!</v>
      </c>
      <c r="S1847" s="3" t="str">
        <f>_xlfn.XLOOKUP(Table1[[#This Row],[ID]], Table2[ID], Table2[Enrollment], "Not Found", 0)</f>
        <v>7/29/2019</v>
      </c>
      <c r="T1847" t="s">
        <v>436</v>
      </c>
    </row>
    <row r="1848" spans="1:20" x14ac:dyDescent="0.3">
      <c r="A1848">
        <v>2085</v>
      </c>
      <c r="B1848">
        <v>130023</v>
      </c>
      <c r="C1848">
        <v>1</v>
      </c>
      <c r="D1848">
        <v>0</v>
      </c>
      <c r="E1848">
        <v>48</v>
      </c>
      <c r="F1848">
        <v>0</v>
      </c>
      <c r="G1848">
        <v>1</v>
      </c>
      <c r="H1848">
        <v>0</v>
      </c>
      <c r="I1848">
        <v>0</v>
      </c>
      <c r="J1848">
        <v>0</v>
      </c>
      <c r="K1848">
        <v>0</v>
      </c>
      <c r="L1848">
        <v>1</v>
      </c>
      <c r="M1848">
        <v>0</v>
      </c>
      <c r="N1848">
        <v>0</v>
      </c>
      <c r="O1848" t="str" cm="1">
        <f t="array" ref="O1848">_xlfn.IFS(Table1[[#This Row],[Divorced]]=1, "Divorced", Table1[[#This Row],[Married]]=1, "Married", Table1[[#This Row],[Single]]=1, "Single", Table1[[#This Row],[Together]]=1, "Together", Table1[[#This Row],[Widow]]=1, "Widow")</f>
        <v>Married</v>
      </c>
      <c r="P1848" t="str" cm="1">
        <f t="array" ref="P1848">_xlfn.IFS(Table1[[#This Row],[Basic]]=1, "Basic", Table1[[#This Row],[Graduate]]=1, "Graduate", Table1[[#This Row],[Master]]=1, "Master", Table1[[#This Row],[PhD]]=1, "PhD", AND(Table1[[#This Row],[Basic]]=0, Table1[[#This Row],[Graduate]]=0, Table1[[#This Row],[Master]]=0, Table1[[#This Row],[PhD]]=0), "NA")</f>
        <v>Graduate</v>
      </c>
      <c r="Q1848" t="e">
        <f>_xlfn.XLOOKUP(Table1[[#This Row],[ID]], Table2[ID],#REF!, "Not Found", 0)</f>
        <v>#REF!</v>
      </c>
      <c r="R1848" t="e">
        <f>_xlfn.XLOOKUP(Table1[[#This Row],[ID]], Table2[ID],#REF!, "Not Found", 0)</f>
        <v>#REF!</v>
      </c>
      <c r="S1848" s="3" t="str">
        <f>_xlfn.XLOOKUP(Table1[[#This Row],[ID]], Table2[ID], Table2[Enrollment], "Not Found", 0)</f>
        <v>8/28/2020</v>
      </c>
      <c r="T1848" t="s">
        <v>435</v>
      </c>
    </row>
    <row r="1849" spans="1:20" x14ac:dyDescent="0.3">
      <c r="A1849">
        <v>1418</v>
      </c>
      <c r="B1849">
        <v>130015</v>
      </c>
      <c r="C1849">
        <v>1</v>
      </c>
      <c r="D1849">
        <v>0</v>
      </c>
      <c r="E1849">
        <v>50</v>
      </c>
      <c r="F1849">
        <v>0</v>
      </c>
      <c r="G1849">
        <v>0</v>
      </c>
      <c r="H1849">
        <v>1</v>
      </c>
      <c r="I1849">
        <v>0</v>
      </c>
      <c r="J1849">
        <v>0</v>
      </c>
      <c r="K1849">
        <v>0</v>
      </c>
      <c r="L1849">
        <v>1</v>
      </c>
      <c r="M1849">
        <v>0</v>
      </c>
      <c r="N1849">
        <v>0</v>
      </c>
      <c r="O1849" t="str" cm="1">
        <f t="array" ref="O1849">_xlfn.IFS(Table1[[#This Row],[Divorced]]=1, "Divorced", Table1[[#This Row],[Married]]=1, "Married", Table1[[#This Row],[Single]]=1, "Single", Table1[[#This Row],[Together]]=1, "Together", Table1[[#This Row],[Widow]]=1, "Widow")</f>
        <v>Single</v>
      </c>
      <c r="P1849" t="str" cm="1">
        <f t="array" ref="P1849">_xlfn.IFS(Table1[[#This Row],[Basic]]=1, "Basic", Table1[[#This Row],[Graduate]]=1, "Graduate", Table1[[#This Row],[Master]]=1, "Master", Table1[[#This Row],[PhD]]=1, "PhD", AND(Table1[[#This Row],[Basic]]=0, Table1[[#This Row],[Graduate]]=0, Table1[[#This Row],[Master]]=0, Table1[[#This Row],[PhD]]=0), "NA")</f>
        <v>Graduate</v>
      </c>
      <c r="Q1849" t="e">
        <f>_xlfn.XLOOKUP(Table1[[#This Row],[ID]], Table2[ID],#REF!, "Not Found", 0)</f>
        <v>#REF!</v>
      </c>
      <c r="R1849" t="e">
        <f>_xlfn.XLOOKUP(Table1[[#This Row],[ID]], Table2[ID],#REF!, "Not Found", 0)</f>
        <v>#REF!</v>
      </c>
      <c r="S1849" s="3">
        <f>_xlfn.XLOOKUP(Table1[[#This Row],[ID]], Table2[ID], Table2[Enrollment], "Not Found", 0)</f>
        <v>44081</v>
      </c>
      <c r="T1849" t="s">
        <v>438</v>
      </c>
    </row>
    <row r="1850" spans="1:20" x14ac:dyDescent="0.3">
      <c r="A1850">
        <v>1314</v>
      </c>
      <c r="B1850">
        <v>129999</v>
      </c>
      <c r="C1850">
        <v>1</v>
      </c>
      <c r="D1850">
        <v>0</v>
      </c>
      <c r="E1850">
        <v>34</v>
      </c>
      <c r="F1850">
        <v>0</v>
      </c>
      <c r="G1850">
        <v>0</v>
      </c>
      <c r="H1850">
        <v>1</v>
      </c>
      <c r="I1850">
        <v>0</v>
      </c>
      <c r="J1850">
        <v>0</v>
      </c>
      <c r="K1850">
        <v>0</v>
      </c>
      <c r="L1850">
        <v>0</v>
      </c>
      <c r="M1850">
        <v>0</v>
      </c>
      <c r="N1850">
        <v>1</v>
      </c>
      <c r="O1850" t="str" cm="1">
        <f t="array" ref="O1850">_xlfn.IFS(Table1[[#This Row],[Divorced]]=1, "Divorced", Table1[[#This Row],[Married]]=1, "Married", Table1[[#This Row],[Single]]=1, "Single", Table1[[#This Row],[Together]]=1, "Together", Table1[[#This Row],[Widow]]=1, "Widow")</f>
        <v>Single</v>
      </c>
      <c r="P1850" t="str" cm="1">
        <f t="array" ref="P1850">_xlfn.IFS(Table1[[#This Row],[Basic]]=1, "Basic", Table1[[#This Row],[Graduate]]=1, "Graduate", Table1[[#This Row],[Master]]=1, "Master", Table1[[#This Row],[PhD]]=1, "PhD", AND(Table1[[#This Row],[Basic]]=0, Table1[[#This Row],[Graduate]]=0, Table1[[#This Row],[Master]]=0, Table1[[#This Row],[PhD]]=0), "NA")</f>
        <v>PhD</v>
      </c>
      <c r="Q1850" t="e">
        <f>_xlfn.XLOOKUP(Table1[[#This Row],[ID]], Table2[ID],#REF!, "Not Found", 0)</f>
        <v>#REF!</v>
      </c>
      <c r="R1850" t="e">
        <f>_xlfn.XLOOKUP(Table1[[#This Row],[ID]], Table2[ID],#REF!, "Not Found", 0)</f>
        <v>#REF!</v>
      </c>
      <c r="S1850" s="3" t="str">
        <f>_xlfn.XLOOKUP(Table1[[#This Row],[ID]], Table2[ID], Table2[Enrollment], "Not Found", 0)</f>
        <v>7/21/2019</v>
      </c>
      <c r="T1850" t="s">
        <v>436</v>
      </c>
    </row>
    <row r="1851" spans="1:20" x14ac:dyDescent="0.3">
      <c r="A1851">
        <v>1238</v>
      </c>
      <c r="B1851">
        <v>129938</v>
      </c>
      <c r="C1851">
        <v>1</v>
      </c>
      <c r="D1851">
        <v>0</v>
      </c>
      <c r="E1851">
        <v>35</v>
      </c>
      <c r="F1851">
        <v>0</v>
      </c>
      <c r="G1851">
        <v>0</v>
      </c>
      <c r="H1851">
        <v>1</v>
      </c>
      <c r="I1851">
        <v>0</v>
      </c>
      <c r="J1851">
        <v>0</v>
      </c>
      <c r="K1851">
        <v>0</v>
      </c>
      <c r="L1851">
        <v>1</v>
      </c>
      <c r="M1851">
        <v>0</v>
      </c>
      <c r="N1851">
        <v>0</v>
      </c>
      <c r="O1851" t="str" cm="1">
        <f t="array" ref="O1851">_xlfn.IFS(Table1[[#This Row],[Divorced]]=1, "Divorced", Table1[[#This Row],[Married]]=1, "Married", Table1[[#This Row],[Single]]=1, "Single", Table1[[#This Row],[Together]]=1, "Together", Table1[[#This Row],[Widow]]=1, "Widow")</f>
        <v>Single</v>
      </c>
      <c r="P1851" t="str" cm="1">
        <f t="array" ref="P1851">_xlfn.IFS(Table1[[#This Row],[Basic]]=1, "Basic", Table1[[#This Row],[Graduate]]=1, "Graduate", Table1[[#This Row],[Master]]=1, "Master", Table1[[#This Row],[PhD]]=1, "PhD", AND(Table1[[#This Row],[Basic]]=0, Table1[[#This Row],[Graduate]]=0, Table1[[#This Row],[Master]]=0, Table1[[#This Row],[PhD]]=0), "NA")</f>
        <v>Graduate</v>
      </c>
      <c r="Q1851" t="e">
        <f>_xlfn.XLOOKUP(Table1[[#This Row],[ID]], Table2[ID],#REF!, "Not Found", 0)</f>
        <v>#REF!</v>
      </c>
      <c r="R1851" t="e">
        <f>_xlfn.XLOOKUP(Table1[[#This Row],[ID]], Table2[ID],#REF!, "Not Found", 0)</f>
        <v>#REF!</v>
      </c>
      <c r="S1851" s="3">
        <f>_xlfn.XLOOKUP(Table1[[#This Row],[ID]], Table2[ID], Table2[Enrollment], "Not Found", 0)</f>
        <v>43865</v>
      </c>
      <c r="T1851" t="s">
        <v>438</v>
      </c>
    </row>
    <row r="1852" spans="1:20" x14ac:dyDescent="0.3">
      <c r="A1852">
        <v>2878</v>
      </c>
      <c r="B1852">
        <v>129819</v>
      </c>
      <c r="C1852">
        <v>1</v>
      </c>
      <c r="D1852">
        <v>0</v>
      </c>
      <c r="E1852">
        <v>49</v>
      </c>
      <c r="F1852">
        <v>1</v>
      </c>
      <c r="G1852">
        <v>0</v>
      </c>
      <c r="H1852">
        <v>0</v>
      </c>
      <c r="I1852">
        <v>0</v>
      </c>
      <c r="J1852">
        <v>0</v>
      </c>
      <c r="K1852">
        <v>0</v>
      </c>
      <c r="L1852">
        <v>1</v>
      </c>
      <c r="M1852">
        <v>0</v>
      </c>
      <c r="N1852">
        <v>0</v>
      </c>
      <c r="O1852" t="str" cm="1">
        <f t="array" ref="O1852">_xlfn.IFS(Table1[[#This Row],[Divorced]]=1, "Divorced", Table1[[#This Row],[Married]]=1, "Married", Table1[[#This Row],[Single]]=1, "Single", Table1[[#This Row],[Together]]=1, "Together", Table1[[#This Row],[Widow]]=1, "Widow")</f>
        <v>Divorced</v>
      </c>
      <c r="P1852" t="str" cm="1">
        <f t="array" ref="P1852">_xlfn.IFS(Table1[[#This Row],[Basic]]=1, "Basic", Table1[[#This Row],[Graduate]]=1, "Graduate", Table1[[#This Row],[Master]]=1, "Master", Table1[[#This Row],[PhD]]=1, "PhD", AND(Table1[[#This Row],[Basic]]=0, Table1[[#This Row],[Graduate]]=0, Table1[[#This Row],[Master]]=0, Table1[[#This Row],[PhD]]=0), "NA")</f>
        <v>Graduate</v>
      </c>
      <c r="Q1852" t="e">
        <f>_xlfn.XLOOKUP(Table1[[#This Row],[ID]], Table2[ID],#REF!, "Not Found", 0)</f>
        <v>#REF!</v>
      </c>
      <c r="R1852" t="e">
        <f>_xlfn.XLOOKUP(Table1[[#This Row],[ID]], Table2[ID],#REF!, "Not Found", 0)</f>
        <v>#REF!</v>
      </c>
      <c r="S1852" s="3" t="str">
        <f>_xlfn.XLOOKUP(Table1[[#This Row],[ID]], Table2[ID], Table2[Enrollment], "Not Found", 0)</f>
        <v>3/30/2020</v>
      </c>
      <c r="T1852" t="s">
        <v>439</v>
      </c>
    </row>
    <row r="1853" spans="1:20" x14ac:dyDescent="0.3">
      <c r="A1853">
        <v>2370</v>
      </c>
      <c r="B1853">
        <v>129791</v>
      </c>
      <c r="C1853">
        <v>1</v>
      </c>
      <c r="D1853">
        <v>0</v>
      </c>
      <c r="E1853">
        <v>48</v>
      </c>
      <c r="F1853">
        <v>0</v>
      </c>
      <c r="G1853">
        <v>1</v>
      </c>
      <c r="H1853">
        <v>0</v>
      </c>
      <c r="I1853">
        <v>0</v>
      </c>
      <c r="J1853">
        <v>0</v>
      </c>
      <c r="K1853">
        <v>0</v>
      </c>
      <c r="L1853">
        <v>0</v>
      </c>
      <c r="M1853">
        <v>0</v>
      </c>
      <c r="N1853">
        <v>1</v>
      </c>
      <c r="O1853" t="str" cm="1">
        <f t="array" ref="O1853">_xlfn.IFS(Table1[[#This Row],[Divorced]]=1, "Divorced", Table1[[#This Row],[Married]]=1, "Married", Table1[[#This Row],[Single]]=1, "Single", Table1[[#This Row],[Together]]=1, "Together", Table1[[#This Row],[Widow]]=1, "Widow")</f>
        <v>Married</v>
      </c>
      <c r="P1853" t="str" cm="1">
        <f t="array" ref="P1853">_xlfn.IFS(Table1[[#This Row],[Basic]]=1, "Basic", Table1[[#This Row],[Graduate]]=1, "Graduate", Table1[[#This Row],[Master]]=1, "Master", Table1[[#This Row],[PhD]]=1, "PhD", AND(Table1[[#This Row],[Basic]]=0, Table1[[#This Row],[Graduate]]=0, Table1[[#This Row],[Master]]=0, Table1[[#This Row],[PhD]]=0), "NA")</f>
        <v>PhD</v>
      </c>
      <c r="Q1853" t="e">
        <f>_xlfn.XLOOKUP(Table1[[#This Row],[ID]], Table2[ID],#REF!, "Not Found", 0)</f>
        <v>#REF!</v>
      </c>
      <c r="R1853" t="e">
        <f>_xlfn.XLOOKUP(Table1[[#This Row],[ID]], Table2[ID],#REF!, "Not Found", 0)</f>
        <v>#REF!</v>
      </c>
      <c r="S1853" s="3" t="str">
        <f>_xlfn.XLOOKUP(Table1[[#This Row],[ID]], Table2[ID], Table2[Enrollment], "Not Found", 0)</f>
        <v>10/19/2020</v>
      </c>
      <c r="T1853" t="s">
        <v>436</v>
      </c>
    </row>
    <row r="1854" spans="1:20" x14ac:dyDescent="0.3">
      <c r="A1854">
        <v>1075</v>
      </c>
      <c r="B1854">
        <v>129760</v>
      </c>
      <c r="C1854">
        <v>1</v>
      </c>
      <c r="D1854">
        <v>0</v>
      </c>
      <c r="E1854">
        <v>35</v>
      </c>
      <c r="F1854">
        <v>0</v>
      </c>
      <c r="G1854">
        <v>0</v>
      </c>
      <c r="H1854">
        <v>1</v>
      </c>
      <c r="I1854">
        <v>0</v>
      </c>
      <c r="J1854">
        <v>0</v>
      </c>
      <c r="K1854">
        <v>0</v>
      </c>
      <c r="L1854">
        <v>1</v>
      </c>
      <c r="M1854">
        <v>0</v>
      </c>
      <c r="N1854">
        <v>0</v>
      </c>
      <c r="O1854" t="str" cm="1">
        <f t="array" ref="O1854">_xlfn.IFS(Table1[[#This Row],[Divorced]]=1, "Divorced", Table1[[#This Row],[Married]]=1, "Married", Table1[[#This Row],[Single]]=1, "Single", Table1[[#This Row],[Together]]=1, "Together", Table1[[#This Row],[Widow]]=1, "Widow")</f>
        <v>Single</v>
      </c>
      <c r="P1854" t="str" cm="1">
        <f t="array" ref="P1854">_xlfn.IFS(Table1[[#This Row],[Basic]]=1, "Basic", Table1[[#This Row],[Graduate]]=1, "Graduate", Table1[[#This Row],[Master]]=1, "Master", Table1[[#This Row],[PhD]]=1, "PhD", AND(Table1[[#This Row],[Basic]]=0, Table1[[#This Row],[Graduate]]=0, Table1[[#This Row],[Master]]=0, Table1[[#This Row],[PhD]]=0), "NA")</f>
        <v>Graduate</v>
      </c>
      <c r="Q1854" t="e">
        <f>_xlfn.XLOOKUP(Table1[[#This Row],[ID]], Table2[ID],#REF!, "Not Found", 0)</f>
        <v>#REF!</v>
      </c>
      <c r="R1854" t="e">
        <f>_xlfn.XLOOKUP(Table1[[#This Row],[ID]], Table2[ID],#REF!, "Not Found", 0)</f>
        <v>#REF!</v>
      </c>
      <c r="S1854" s="3">
        <f>_xlfn.XLOOKUP(Table1[[#This Row],[ID]], Table2[ID], Table2[Enrollment], "Not Found", 0)</f>
        <v>43526</v>
      </c>
      <c r="T1854" t="s">
        <v>437</v>
      </c>
    </row>
    <row r="1855" spans="1:20" x14ac:dyDescent="0.3">
      <c r="A1855">
        <v>2751</v>
      </c>
      <c r="B1855">
        <v>129760</v>
      </c>
      <c r="C1855">
        <v>1</v>
      </c>
      <c r="D1855">
        <v>0</v>
      </c>
      <c r="E1855">
        <v>35</v>
      </c>
      <c r="F1855">
        <v>0</v>
      </c>
      <c r="G1855">
        <v>0</v>
      </c>
      <c r="H1855">
        <v>1</v>
      </c>
      <c r="I1855">
        <v>0</v>
      </c>
      <c r="J1855">
        <v>0</v>
      </c>
      <c r="K1855">
        <v>0</v>
      </c>
      <c r="L1855">
        <v>1</v>
      </c>
      <c r="M1855">
        <v>0</v>
      </c>
      <c r="N1855">
        <v>0</v>
      </c>
      <c r="O1855" t="str" cm="1">
        <f t="array" ref="O1855">_xlfn.IFS(Table1[[#This Row],[Divorced]]=1, "Divorced", Table1[[#This Row],[Married]]=1, "Married", Table1[[#This Row],[Single]]=1, "Single", Table1[[#This Row],[Together]]=1, "Together", Table1[[#This Row],[Widow]]=1, "Widow")</f>
        <v>Single</v>
      </c>
      <c r="P1855" t="str" cm="1">
        <f t="array" ref="P1855">_xlfn.IFS(Table1[[#This Row],[Basic]]=1, "Basic", Table1[[#This Row],[Graduate]]=1, "Graduate", Table1[[#This Row],[Master]]=1, "Master", Table1[[#This Row],[PhD]]=1, "PhD", AND(Table1[[#This Row],[Basic]]=0, Table1[[#This Row],[Graduate]]=0, Table1[[#This Row],[Master]]=0, Table1[[#This Row],[PhD]]=0), "NA")</f>
        <v>Graduate</v>
      </c>
      <c r="Q1855" t="e">
        <f>_xlfn.XLOOKUP(Table1[[#This Row],[ID]], Table2[ID],#REF!, "Not Found", 0)</f>
        <v>#REF!</v>
      </c>
      <c r="R1855" t="e">
        <f>_xlfn.XLOOKUP(Table1[[#This Row],[ID]], Table2[ID],#REF!, "Not Found", 0)</f>
        <v>#REF!</v>
      </c>
      <c r="S1855" s="3">
        <f>_xlfn.XLOOKUP(Table1[[#This Row],[ID]], Table2[ID], Table2[Enrollment], "Not Found", 0)</f>
        <v>43526</v>
      </c>
      <c r="T1855" t="s">
        <v>435</v>
      </c>
    </row>
    <row r="1856" spans="1:20" x14ac:dyDescent="0.3">
      <c r="A1856">
        <v>3114</v>
      </c>
      <c r="B1856">
        <v>129732</v>
      </c>
      <c r="C1856">
        <v>1</v>
      </c>
      <c r="D1856">
        <v>0</v>
      </c>
      <c r="E1856">
        <v>49</v>
      </c>
      <c r="F1856">
        <v>0</v>
      </c>
      <c r="G1856">
        <v>0</v>
      </c>
      <c r="H1856">
        <v>0</v>
      </c>
      <c r="I1856">
        <v>1</v>
      </c>
      <c r="J1856">
        <v>0</v>
      </c>
      <c r="K1856">
        <v>0</v>
      </c>
      <c r="L1856">
        <v>0</v>
      </c>
      <c r="M1856">
        <v>0</v>
      </c>
      <c r="N1856">
        <v>1</v>
      </c>
      <c r="O1856" t="str" cm="1">
        <f t="array" ref="O1856">_xlfn.IFS(Table1[[#This Row],[Divorced]]=1, "Divorced", Table1[[#This Row],[Married]]=1, "Married", Table1[[#This Row],[Single]]=1, "Single", Table1[[#This Row],[Together]]=1, "Together", Table1[[#This Row],[Widow]]=1, "Widow")</f>
        <v>Together</v>
      </c>
      <c r="P1856" t="str" cm="1">
        <f t="array" ref="P1856">_xlfn.IFS(Table1[[#This Row],[Basic]]=1, "Basic", Table1[[#This Row],[Graduate]]=1, "Graduate", Table1[[#This Row],[Master]]=1, "Master", Table1[[#This Row],[PhD]]=1, "PhD", AND(Table1[[#This Row],[Basic]]=0, Table1[[#This Row],[Graduate]]=0, Table1[[#This Row],[Master]]=0, Table1[[#This Row],[PhD]]=0), "NA")</f>
        <v>PhD</v>
      </c>
      <c r="Q1856" t="e">
        <f>_xlfn.XLOOKUP(Table1[[#This Row],[ID]], Table2[ID],#REF!, "Not Found", 0)</f>
        <v>#REF!</v>
      </c>
      <c r="R1856" t="e">
        <f>_xlfn.XLOOKUP(Table1[[#This Row],[ID]], Table2[ID],#REF!, "Not Found", 0)</f>
        <v>#REF!</v>
      </c>
      <c r="S1856" s="3" t="str">
        <f>_xlfn.XLOOKUP(Table1[[#This Row],[ID]], Table2[ID], Table2[Enrollment], "Not Found", 0)</f>
        <v>8/29/2020</v>
      </c>
      <c r="T1856" t="s">
        <v>436</v>
      </c>
    </row>
    <row r="1857" spans="1:20" x14ac:dyDescent="0.3">
      <c r="A1857">
        <v>1281</v>
      </c>
      <c r="B1857">
        <v>129672</v>
      </c>
      <c r="C1857">
        <v>1</v>
      </c>
      <c r="D1857">
        <v>1</v>
      </c>
      <c r="E1857">
        <v>55</v>
      </c>
      <c r="F1857">
        <v>0</v>
      </c>
      <c r="G1857">
        <v>0</v>
      </c>
      <c r="H1857">
        <v>0</v>
      </c>
      <c r="I1857">
        <v>1</v>
      </c>
      <c r="J1857">
        <v>0</v>
      </c>
      <c r="K1857">
        <v>0</v>
      </c>
      <c r="L1857">
        <v>1</v>
      </c>
      <c r="M1857">
        <v>0</v>
      </c>
      <c r="N1857">
        <v>0</v>
      </c>
      <c r="O1857" t="str" cm="1">
        <f t="array" ref="O1857">_xlfn.IFS(Table1[[#This Row],[Divorced]]=1, "Divorced", Table1[[#This Row],[Married]]=1, "Married", Table1[[#This Row],[Single]]=1, "Single", Table1[[#This Row],[Together]]=1, "Together", Table1[[#This Row],[Widow]]=1, "Widow")</f>
        <v>Together</v>
      </c>
      <c r="P1857" t="str" cm="1">
        <f t="array" ref="P1857">_xlfn.IFS(Table1[[#This Row],[Basic]]=1, "Basic", Table1[[#This Row],[Graduate]]=1, "Graduate", Table1[[#This Row],[Master]]=1, "Master", Table1[[#This Row],[PhD]]=1, "PhD", AND(Table1[[#This Row],[Basic]]=0, Table1[[#This Row],[Graduate]]=0, Table1[[#This Row],[Master]]=0, Table1[[#This Row],[PhD]]=0), "NA")</f>
        <v>Graduate</v>
      </c>
      <c r="Q1857" t="e">
        <f>_xlfn.XLOOKUP(Table1[[#This Row],[ID]], Table2[ID],#REF!, "Not Found", 0)</f>
        <v>#REF!</v>
      </c>
      <c r="R1857" t="e">
        <f>_xlfn.XLOOKUP(Table1[[#This Row],[ID]], Table2[ID],#REF!, "Not Found", 0)</f>
        <v>#REF!</v>
      </c>
      <c r="S1857" s="3" t="str">
        <f>_xlfn.XLOOKUP(Table1[[#This Row],[ID]], Table2[ID], Table2[Enrollment], "Not Found", 0)</f>
        <v>8/17/2019</v>
      </c>
      <c r="T1857" t="s">
        <v>435</v>
      </c>
    </row>
    <row r="1858" spans="1:20" x14ac:dyDescent="0.3">
      <c r="A1858">
        <v>3001</v>
      </c>
      <c r="B1858">
        <v>129672</v>
      </c>
      <c r="C1858">
        <v>1</v>
      </c>
      <c r="D1858">
        <v>1</v>
      </c>
      <c r="E1858">
        <v>55</v>
      </c>
      <c r="F1858">
        <v>0</v>
      </c>
      <c r="G1858">
        <v>0</v>
      </c>
      <c r="H1858">
        <v>0</v>
      </c>
      <c r="I1858">
        <v>1</v>
      </c>
      <c r="J1858">
        <v>0</v>
      </c>
      <c r="K1858">
        <v>0</v>
      </c>
      <c r="L1858">
        <v>1</v>
      </c>
      <c r="M1858">
        <v>0</v>
      </c>
      <c r="N1858">
        <v>0</v>
      </c>
      <c r="O1858" t="str" cm="1">
        <f t="array" ref="O1858">_xlfn.IFS(Table1[[#This Row],[Divorced]]=1, "Divorced", Table1[[#This Row],[Married]]=1, "Married", Table1[[#This Row],[Single]]=1, "Single", Table1[[#This Row],[Together]]=1, "Together", Table1[[#This Row],[Widow]]=1, "Widow")</f>
        <v>Together</v>
      </c>
      <c r="P1858" t="str" cm="1">
        <f t="array" ref="P1858">_xlfn.IFS(Table1[[#This Row],[Basic]]=1, "Basic", Table1[[#This Row],[Graduate]]=1, "Graduate", Table1[[#This Row],[Master]]=1, "Master", Table1[[#This Row],[PhD]]=1, "PhD", AND(Table1[[#This Row],[Basic]]=0, Table1[[#This Row],[Graduate]]=0, Table1[[#This Row],[Master]]=0, Table1[[#This Row],[PhD]]=0), "NA")</f>
        <v>Graduate</v>
      </c>
      <c r="Q1858" t="e">
        <f>_xlfn.XLOOKUP(Table1[[#This Row],[ID]], Table2[ID],#REF!, "Not Found", 0)</f>
        <v>#REF!</v>
      </c>
      <c r="R1858" t="e">
        <f>_xlfn.XLOOKUP(Table1[[#This Row],[ID]], Table2[ID],#REF!, "Not Found", 0)</f>
        <v>#REF!</v>
      </c>
      <c r="S1858" s="3" t="str">
        <f>_xlfn.XLOOKUP(Table1[[#This Row],[ID]], Table2[ID], Table2[Enrollment], "Not Found", 0)</f>
        <v>8/17/2019</v>
      </c>
      <c r="T1858" t="s">
        <v>437</v>
      </c>
    </row>
    <row r="1859" spans="1:20" x14ac:dyDescent="0.3">
      <c r="A1859">
        <v>1194</v>
      </c>
      <c r="B1859">
        <v>129604</v>
      </c>
      <c r="C1859">
        <v>1</v>
      </c>
      <c r="D1859">
        <v>0</v>
      </c>
      <c r="E1859">
        <v>32</v>
      </c>
      <c r="F1859">
        <v>0</v>
      </c>
      <c r="G1859">
        <v>0</v>
      </c>
      <c r="H1859">
        <v>0</v>
      </c>
      <c r="I1859">
        <v>1</v>
      </c>
      <c r="J1859">
        <v>0</v>
      </c>
      <c r="K1859">
        <v>0</v>
      </c>
      <c r="L1859">
        <v>1</v>
      </c>
      <c r="M1859">
        <v>0</v>
      </c>
      <c r="N1859">
        <v>0</v>
      </c>
      <c r="O1859" t="str" cm="1">
        <f t="array" ref="O1859">_xlfn.IFS(Table1[[#This Row],[Divorced]]=1, "Divorced", Table1[[#This Row],[Married]]=1, "Married", Table1[[#This Row],[Single]]=1, "Single", Table1[[#This Row],[Together]]=1, "Together", Table1[[#This Row],[Widow]]=1, "Widow")</f>
        <v>Together</v>
      </c>
      <c r="P1859" t="str" cm="1">
        <f t="array" ref="P1859">_xlfn.IFS(Table1[[#This Row],[Basic]]=1, "Basic", Table1[[#This Row],[Graduate]]=1, "Graduate", Table1[[#This Row],[Master]]=1, "Master", Table1[[#This Row],[PhD]]=1, "PhD", AND(Table1[[#This Row],[Basic]]=0, Table1[[#This Row],[Graduate]]=0, Table1[[#This Row],[Master]]=0, Table1[[#This Row],[PhD]]=0), "NA")</f>
        <v>Graduate</v>
      </c>
      <c r="Q1859" t="e">
        <f>_xlfn.XLOOKUP(Table1[[#This Row],[ID]], Table2[ID],#REF!, "Not Found", 0)</f>
        <v>#REF!</v>
      </c>
      <c r="R1859" t="e">
        <f>_xlfn.XLOOKUP(Table1[[#This Row],[ID]], Table2[ID],#REF!, "Not Found", 0)</f>
        <v>#REF!</v>
      </c>
      <c r="S1859" s="3" t="str">
        <f>_xlfn.XLOOKUP(Table1[[#This Row],[ID]], Table2[ID], Table2[Enrollment], "Not Found", 0)</f>
        <v>5/14/2020</v>
      </c>
      <c r="T1859" t="s">
        <v>436</v>
      </c>
    </row>
    <row r="1860" spans="1:20" x14ac:dyDescent="0.3">
      <c r="A1860">
        <v>1356</v>
      </c>
      <c r="B1860">
        <v>129548</v>
      </c>
      <c r="C1860">
        <v>1</v>
      </c>
      <c r="D1860">
        <v>0</v>
      </c>
      <c r="E1860">
        <v>50</v>
      </c>
      <c r="F1860">
        <v>0</v>
      </c>
      <c r="G1860">
        <v>0</v>
      </c>
      <c r="H1860">
        <v>1</v>
      </c>
      <c r="I1860">
        <v>0</v>
      </c>
      <c r="J1860">
        <v>0</v>
      </c>
      <c r="K1860">
        <v>0</v>
      </c>
      <c r="L1860">
        <v>0</v>
      </c>
      <c r="M1860">
        <v>1</v>
      </c>
      <c r="N1860">
        <v>0</v>
      </c>
      <c r="O1860" t="str" cm="1">
        <f t="array" ref="O1860">_xlfn.IFS(Table1[[#This Row],[Divorced]]=1, "Divorced", Table1[[#This Row],[Married]]=1, "Married", Table1[[#This Row],[Single]]=1, "Single", Table1[[#This Row],[Together]]=1, "Together", Table1[[#This Row],[Widow]]=1, "Widow")</f>
        <v>Single</v>
      </c>
      <c r="P1860" t="str" cm="1">
        <f t="array" ref="P1860">_xlfn.IFS(Table1[[#This Row],[Basic]]=1, "Basic", Table1[[#This Row],[Graduate]]=1, "Graduate", Table1[[#This Row],[Master]]=1, "Master", Table1[[#This Row],[PhD]]=1, "PhD", AND(Table1[[#This Row],[Basic]]=0, Table1[[#This Row],[Graduate]]=0, Table1[[#This Row],[Master]]=0, Table1[[#This Row],[PhD]]=0), "NA")</f>
        <v>Master</v>
      </c>
      <c r="Q1860" t="e">
        <f>_xlfn.XLOOKUP(Table1[[#This Row],[ID]], Table2[ID],#REF!, "Not Found", 0)</f>
        <v>#REF!</v>
      </c>
      <c r="R1860" t="e">
        <f>_xlfn.XLOOKUP(Table1[[#This Row],[ID]], Table2[ID],#REF!, "Not Found", 0)</f>
        <v>#REF!</v>
      </c>
      <c r="S1860" s="3">
        <f>_xlfn.XLOOKUP(Table1[[#This Row],[ID]], Table2[ID], Table2[Enrollment], "Not Found", 0)</f>
        <v>43892</v>
      </c>
      <c r="T1860" t="s">
        <v>436</v>
      </c>
    </row>
    <row r="1861" spans="1:20" x14ac:dyDescent="0.3">
      <c r="A1861">
        <v>2908</v>
      </c>
      <c r="B1861">
        <v>129543</v>
      </c>
      <c r="C1861">
        <v>2</v>
      </c>
      <c r="D1861">
        <v>0</v>
      </c>
      <c r="E1861">
        <v>52</v>
      </c>
      <c r="F1861">
        <v>0</v>
      </c>
      <c r="G1861">
        <v>1</v>
      </c>
      <c r="H1861">
        <v>0</v>
      </c>
      <c r="I1861">
        <v>0</v>
      </c>
      <c r="J1861">
        <v>0</v>
      </c>
      <c r="K1861">
        <v>0</v>
      </c>
      <c r="L1861">
        <v>0</v>
      </c>
      <c r="M1861">
        <v>1</v>
      </c>
      <c r="N1861">
        <v>0</v>
      </c>
      <c r="O1861" t="str" cm="1">
        <f t="array" ref="O1861">_xlfn.IFS(Table1[[#This Row],[Divorced]]=1, "Divorced", Table1[[#This Row],[Married]]=1, "Married", Table1[[#This Row],[Single]]=1, "Single", Table1[[#This Row],[Together]]=1, "Together", Table1[[#This Row],[Widow]]=1, "Widow")</f>
        <v>Married</v>
      </c>
      <c r="P1861" t="str" cm="1">
        <f t="array" ref="P1861">_xlfn.IFS(Table1[[#This Row],[Basic]]=1, "Basic", Table1[[#This Row],[Graduate]]=1, "Graduate", Table1[[#This Row],[Master]]=1, "Master", Table1[[#This Row],[PhD]]=1, "PhD", AND(Table1[[#This Row],[Basic]]=0, Table1[[#This Row],[Graduate]]=0, Table1[[#This Row],[Master]]=0, Table1[[#This Row],[PhD]]=0), "NA")</f>
        <v>Master</v>
      </c>
      <c r="Q1861" t="e">
        <f>_xlfn.XLOOKUP(Table1[[#This Row],[ID]], Table2[ID],#REF!, "Not Found", 0)</f>
        <v>#REF!</v>
      </c>
      <c r="R1861" t="e">
        <f>_xlfn.XLOOKUP(Table1[[#This Row],[ID]], Table2[ID],#REF!, "Not Found", 0)</f>
        <v>#REF!</v>
      </c>
      <c r="S1861" s="3">
        <f>_xlfn.XLOOKUP(Table1[[#This Row],[ID]], Table2[ID], Table2[Enrollment], "Not Found", 0)</f>
        <v>43960</v>
      </c>
      <c r="T1861" t="s">
        <v>439</v>
      </c>
    </row>
    <row r="1862" spans="1:20" x14ac:dyDescent="0.3">
      <c r="A1862">
        <v>2931</v>
      </c>
      <c r="B1862">
        <v>129478</v>
      </c>
      <c r="C1862">
        <v>1</v>
      </c>
      <c r="D1862">
        <v>0</v>
      </c>
      <c r="E1862">
        <v>44</v>
      </c>
      <c r="F1862">
        <v>0</v>
      </c>
      <c r="G1862">
        <v>0</v>
      </c>
      <c r="H1862">
        <v>0</v>
      </c>
      <c r="I1862">
        <v>1</v>
      </c>
      <c r="J1862">
        <v>0</v>
      </c>
      <c r="K1862">
        <v>0</v>
      </c>
      <c r="L1862">
        <v>1</v>
      </c>
      <c r="M1862">
        <v>0</v>
      </c>
      <c r="N1862">
        <v>0</v>
      </c>
      <c r="O1862" t="str" cm="1">
        <f t="array" ref="O1862">_xlfn.IFS(Table1[[#This Row],[Divorced]]=1, "Divorced", Table1[[#This Row],[Married]]=1, "Married", Table1[[#This Row],[Single]]=1, "Single", Table1[[#This Row],[Together]]=1, "Together", Table1[[#This Row],[Widow]]=1, "Widow")</f>
        <v>Together</v>
      </c>
      <c r="P1862" t="str" cm="1">
        <f t="array" ref="P1862">_xlfn.IFS(Table1[[#This Row],[Basic]]=1, "Basic", Table1[[#This Row],[Graduate]]=1, "Graduate", Table1[[#This Row],[Master]]=1, "Master", Table1[[#This Row],[PhD]]=1, "PhD", AND(Table1[[#This Row],[Basic]]=0, Table1[[#This Row],[Graduate]]=0, Table1[[#This Row],[Master]]=0, Table1[[#This Row],[PhD]]=0), "NA")</f>
        <v>Graduate</v>
      </c>
      <c r="Q1862" t="e">
        <f>_xlfn.XLOOKUP(Table1[[#This Row],[ID]], Table2[ID],#REF!, "Not Found", 0)</f>
        <v>#REF!</v>
      </c>
      <c r="R1862" t="e">
        <f>_xlfn.XLOOKUP(Table1[[#This Row],[ID]], Table2[ID],#REF!, "Not Found", 0)</f>
        <v>#REF!</v>
      </c>
      <c r="S1862" s="3" t="str">
        <f>_xlfn.XLOOKUP(Table1[[#This Row],[ID]], Table2[ID], Table2[Enrollment], "Not Found", 0)</f>
        <v>6/23/2020</v>
      </c>
      <c r="T1862" t="s">
        <v>435</v>
      </c>
    </row>
    <row r="1863" spans="1:20" x14ac:dyDescent="0.3">
      <c r="A1863">
        <v>1080</v>
      </c>
      <c r="B1863">
        <v>129440</v>
      </c>
      <c r="C1863">
        <v>1</v>
      </c>
      <c r="D1863">
        <v>1</v>
      </c>
      <c r="E1863">
        <v>60</v>
      </c>
      <c r="F1863">
        <v>0</v>
      </c>
      <c r="G1863">
        <v>1</v>
      </c>
      <c r="H1863">
        <v>0</v>
      </c>
      <c r="I1863">
        <v>0</v>
      </c>
      <c r="J1863">
        <v>0</v>
      </c>
      <c r="K1863">
        <v>0</v>
      </c>
      <c r="L1863">
        <v>1</v>
      </c>
      <c r="M1863">
        <v>0</v>
      </c>
      <c r="N1863">
        <v>0</v>
      </c>
      <c r="O1863" t="str" cm="1">
        <f t="array" ref="O1863">_xlfn.IFS(Table1[[#This Row],[Divorced]]=1, "Divorced", Table1[[#This Row],[Married]]=1, "Married", Table1[[#This Row],[Single]]=1, "Single", Table1[[#This Row],[Together]]=1, "Together", Table1[[#This Row],[Widow]]=1, "Widow")</f>
        <v>Married</v>
      </c>
      <c r="P1863" t="str" cm="1">
        <f t="array" ref="P1863">_xlfn.IFS(Table1[[#This Row],[Basic]]=1, "Basic", Table1[[#This Row],[Graduate]]=1, "Graduate", Table1[[#This Row],[Master]]=1, "Master", Table1[[#This Row],[PhD]]=1, "PhD", AND(Table1[[#This Row],[Basic]]=0, Table1[[#This Row],[Graduate]]=0, Table1[[#This Row],[Master]]=0, Table1[[#This Row],[PhD]]=0), "NA")</f>
        <v>Graduate</v>
      </c>
      <c r="Q1863" t="e">
        <f>_xlfn.XLOOKUP(Table1[[#This Row],[ID]], Table2[ID],#REF!, "Not Found", 0)</f>
        <v>#REF!</v>
      </c>
      <c r="R1863" t="e">
        <f>_xlfn.XLOOKUP(Table1[[#This Row],[ID]], Table2[ID],#REF!, "Not Found", 0)</f>
        <v>#REF!</v>
      </c>
      <c r="S1863" s="3" t="str">
        <f>_xlfn.XLOOKUP(Table1[[#This Row],[ID]], Table2[ID], Table2[Enrollment], "Not Found", 0)</f>
        <v>1/16/2020</v>
      </c>
      <c r="T1863" t="s">
        <v>436</v>
      </c>
    </row>
    <row r="1864" spans="1:20" x14ac:dyDescent="0.3">
      <c r="A1864">
        <v>3107</v>
      </c>
      <c r="B1864">
        <v>129435</v>
      </c>
      <c r="C1864">
        <v>1</v>
      </c>
      <c r="D1864">
        <v>1</v>
      </c>
      <c r="E1864">
        <v>54</v>
      </c>
      <c r="F1864">
        <v>1</v>
      </c>
      <c r="G1864">
        <v>0</v>
      </c>
      <c r="H1864">
        <v>0</v>
      </c>
      <c r="I1864">
        <v>0</v>
      </c>
      <c r="J1864">
        <v>0</v>
      </c>
      <c r="K1864">
        <v>0</v>
      </c>
      <c r="L1864">
        <v>0</v>
      </c>
      <c r="M1864">
        <v>1</v>
      </c>
      <c r="N1864">
        <v>0</v>
      </c>
      <c r="O1864" t="str" cm="1">
        <f t="array" ref="O1864">_xlfn.IFS(Table1[[#This Row],[Divorced]]=1, "Divorced", Table1[[#This Row],[Married]]=1, "Married", Table1[[#This Row],[Single]]=1, "Single", Table1[[#This Row],[Together]]=1, "Together", Table1[[#This Row],[Widow]]=1, "Widow")</f>
        <v>Divorced</v>
      </c>
      <c r="P1864" t="str" cm="1">
        <f t="array" ref="P1864">_xlfn.IFS(Table1[[#This Row],[Basic]]=1, "Basic", Table1[[#This Row],[Graduate]]=1, "Graduate", Table1[[#This Row],[Master]]=1, "Master", Table1[[#This Row],[PhD]]=1, "PhD", AND(Table1[[#This Row],[Basic]]=0, Table1[[#This Row],[Graduate]]=0, Table1[[#This Row],[Master]]=0, Table1[[#This Row],[PhD]]=0), "NA")</f>
        <v>Master</v>
      </c>
      <c r="Q1864" t="e">
        <f>_xlfn.XLOOKUP(Table1[[#This Row],[ID]], Table2[ID],#REF!, "Not Found", 0)</f>
        <v>#REF!</v>
      </c>
      <c r="R1864" t="e">
        <f>_xlfn.XLOOKUP(Table1[[#This Row],[ID]], Table2[ID],#REF!, "Not Found", 0)</f>
        <v>#REF!</v>
      </c>
      <c r="S1864" s="3">
        <f>_xlfn.XLOOKUP(Table1[[#This Row],[ID]], Table2[ID], Table2[Enrollment], "Not Found", 0)</f>
        <v>43770</v>
      </c>
      <c r="T1864" t="s">
        <v>434</v>
      </c>
    </row>
    <row r="1865" spans="1:20" x14ac:dyDescent="0.3">
      <c r="A1865">
        <v>1260</v>
      </c>
      <c r="B1865">
        <v>129315</v>
      </c>
      <c r="C1865">
        <v>1</v>
      </c>
      <c r="D1865">
        <v>1</v>
      </c>
      <c r="E1865">
        <v>60</v>
      </c>
      <c r="F1865">
        <v>0</v>
      </c>
      <c r="G1865">
        <v>1</v>
      </c>
      <c r="H1865">
        <v>0</v>
      </c>
      <c r="I1865">
        <v>0</v>
      </c>
      <c r="J1865">
        <v>0</v>
      </c>
      <c r="K1865">
        <v>0</v>
      </c>
      <c r="L1865">
        <v>1</v>
      </c>
      <c r="M1865">
        <v>0</v>
      </c>
      <c r="N1865">
        <v>0</v>
      </c>
      <c r="O1865" t="str" cm="1">
        <f t="array" ref="O1865">_xlfn.IFS(Table1[[#This Row],[Divorced]]=1, "Divorced", Table1[[#This Row],[Married]]=1, "Married", Table1[[#This Row],[Single]]=1, "Single", Table1[[#This Row],[Together]]=1, "Together", Table1[[#This Row],[Widow]]=1, "Widow")</f>
        <v>Married</v>
      </c>
      <c r="P1865" t="str" cm="1">
        <f t="array" ref="P1865">_xlfn.IFS(Table1[[#This Row],[Basic]]=1, "Basic", Table1[[#This Row],[Graduate]]=1, "Graduate", Table1[[#This Row],[Master]]=1, "Master", Table1[[#This Row],[PhD]]=1, "PhD", AND(Table1[[#This Row],[Basic]]=0, Table1[[#This Row],[Graduate]]=0, Table1[[#This Row],[Master]]=0, Table1[[#This Row],[PhD]]=0), "NA")</f>
        <v>Graduate</v>
      </c>
      <c r="Q1865" t="e">
        <f>_xlfn.XLOOKUP(Table1[[#This Row],[ID]], Table2[ID],#REF!, "Not Found", 0)</f>
        <v>#REF!</v>
      </c>
      <c r="R1865" t="e">
        <f>_xlfn.XLOOKUP(Table1[[#This Row],[ID]], Table2[ID],#REF!, "Not Found", 0)</f>
        <v>#REF!</v>
      </c>
      <c r="S1865" s="3">
        <f>_xlfn.XLOOKUP(Table1[[#This Row],[ID]], Table2[ID], Table2[Enrollment], "Not Found", 0)</f>
        <v>44113</v>
      </c>
      <c r="T1865" t="s">
        <v>436</v>
      </c>
    </row>
    <row r="1866" spans="1:20" x14ac:dyDescent="0.3">
      <c r="A1866">
        <v>1551</v>
      </c>
      <c r="B1866">
        <v>129298</v>
      </c>
      <c r="C1866">
        <v>1</v>
      </c>
      <c r="D1866">
        <v>1</v>
      </c>
      <c r="E1866">
        <v>69</v>
      </c>
      <c r="F1866">
        <v>0</v>
      </c>
      <c r="G1866">
        <v>0</v>
      </c>
      <c r="H1866">
        <v>0</v>
      </c>
      <c r="I1866">
        <v>1</v>
      </c>
      <c r="J1866">
        <v>0</v>
      </c>
      <c r="K1866">
        <v>0</v>
      </c>
      <c r="L1866">
        <v>0</v>
      </c>
      <c r="M1866">
        <v>1</v>
      </c>
      <c r="N1866">
        <v>0</v>
      </c>
      <c r="O1866" t="str" cm="1">
        <f t="array" ref="O1866">_xlfn.IFS(Table1[[#This Row],[Divorced]]=1, "Divorced", Table1[[#This Row],[Married]]=1, "Married", Table1[[#This Row],[Single]]=1, "Single", Table1[[#This Row],[Together]]=1, "Together", Table1[[#This Row],[Widow]]=1, "Widow")</f>
        <v>Together</v>
      </c>
      <c r="P1866" t="str" cm="1">
        <f t="array" ref="P1866">_xlfn.IFS(Table1[[#This Row],[Basic]]=1, "Basic", Table1[[#This Row],[Graduate]]=1, "Graduate", Table1[[#This Row],[Master]]=1, "Master", Table1[[#This Row],[PhD]]=1, "PhD", AND(Table1[[#This Row],[Basic]]=0, Table1[[#This Row],[Graduate]]=0, Table1[[#This Row],[Master]]=0, Table1[[#This Row],[PhD]]=0), "NA")</f>
        <v>Master</v>
      </c>
      <c r="Q1866" t="e">
        <f>_xlfn.XLOOKUP(Table1[[#This Row],[ID]], Table2[ID],#REF!, "Not Found", 0)</f>
        <v>#REF!</v>
      </c>
      <c r="R1866" t="e">
        <f>_xlfn.XLOOKUP(Table1[[#This Row],[ID]], Table2[ID],#REF!, "Not Found", 0)</f>
        <v>#REF!</v>
      </c>
      <c r="S1866" s="3">
        <f>_xlfn.XLOOKUP(Table1[[#This Row],[ID]], Table2[ID], Table2[Enrollment], "Not Found", 0)</f>
        <v>44167</v>
      </c>
      <c r="T1866" t="s">
        <v>435</v>
      </c>
    </row>
    <row r="1867" spans="1:20" x14ac:dyDescent="0.3">
      <c r="A1867">
        <v>2805</v>
      </c>
      <c r="B1867">
        <v>129236</v>
      </c>
      <c r="C1867">
        <v>1</v>
      </c>
      <c r="D1867">
        <v>0</v>
      </c>
      <c r="E1867">
        <v>33</v>
      </c>
      <c r="F1867">
        <v>0</v>
      </c>
      <c r="G1867">
        <v>0</v>
      </c>
      <c r="H1867">
        <v>1</v>
      </c>
      <c r="I1867">
        <v>0</v>
      </c>
      <c r="J1867">
        <v>0</v>
      </c>
      <c r="K1867">
        <v>0</v>
      </c>
      <c r="L1867">
        <v>1</v>
      </c>
      <c r="M1867">
        <v>0</v>
      </c>
      <c r="N1867">
        <v>0</v>
      </c>
      <c r="O1867" t="str" cm="1">
        <f t="array" ref="O1867">_xlfn.IFS(Table1[[#This Row],[Divorced]]=1, "Divorced", Table1[[#This Row],[Married]]=1, "Married", Table1[[#This Row],[Single]]=1, "Single", Table1[[#This Row],[Together]]=1, "Together", Table1[[#This Row],[Widow]]=1, "Widow")</f>
        <v>Single</v>
      </c>
      <c r="P1867" t="str" cm="1">
        <f t="array" ref="P1867">_xlfn.IFS(Table1[[#This Row],[Basic]]=1, "Basic", Table1[[#This Row],[Graduate]]=1, "Graduate", Table1[[#This Row],[Master]]=1, "Master", Table1[[#This Row],[PhD]]=1, "PhD", AND(Table1[[#This Row],[Basic]]=0, Table1[[#This Row],[Graduate]]=0, Table1[[#This Row],[Master]]=0, Table1[[#This Row],[PhD]]=0), "NA")</f>
        <v>Graduate</v>
      </c>
      <c r="Q1867" t="e">
        <f>_xlfn.XLOOKUP(Table1[[#This Row],[ID]], Table2[ID],#REF!, "Not Found", 0)</f>
        <v>#REF!</v>
      </c>
      <c r="R1867" t="e">
        <f>_xlfn.XLOOKUP(Table1[[#This Row],[ID]], Table2[ID],#REF!, "Not Found", 0)</f>
        <v>#REF!</v>
      </c>
      <c r="S1867" s="3" t="str">
        <f>_xlfn.XLOOKUP(Table1[[#This Row],[ID]], Table2[ID], Table2[Enrollment], "Not Found", 0)</f>
        <v>3/14/2020</v>
      </c>
      <c r="T1867" t="s">
        <v>435</v>
      </c>
    </row>
    <row r="1868" spans="1:20" x14ac:dyDescent="0.3">
      <c r="A1868">
        <v>1650</v>
      </c>
      <c r="B1868">
        <v>129187</v>
      </c>
      <c r="C1868">
        <v>1</v>
      </c>
      <c r="D1868">
        <v>0</v>
      </c>
      <c r="E1868">
        <v>52</v>
      </c>
      <c r="F1868">
        <v>0</v>
      </c>
      <c r="G1868">
        <v>1</v>
      </c>
      <c r="H1868">
        <v>0</v>
      </c>
      <c r="I1868">
        <v>0</v>
      </c>
      <c r="J1868">
        <v>0</v>
      </c>
      <c r="K1868">
        <v>0</v>
      </c>
      <c r="L1868">
        <v>0</v>
      </c>
      <c r="M1868">
        <v>0</v>
      </c>
      <c r="N1868">
        <v>1</v>
      </c>
      <c r="O1868" t="str" cm="1">
        <f t="array" ref="O1868">_xlfn.IFS(Table1[[#This Row],[Divorced]]=1, "Divorced", Table1[[#This Row],[Married]]=1, "Married", Table1[[#This Row],[Single]]=1, "Single", Table1[[#This Row],[Together]]=1, "Together", Table1[[#This Row],[Widow]]=1, "Widow")</f>
        <v>Married</v>
      </c>
      <c r="P1868" t="str" cm="1">
        <f t="array" ref="P1868">_xlfn.IFS(Table1[[#This Row],[Basic]]=1, "Basic", Table1[[#This Row],[Graduate]]=1, "Graduate", Table1[[#This Row],[Master]]=1, "Master", Table1[[#This Row],[PhD]]=1, "PhD", AND(Table1[[#This Row],[Basic]]=0, Table1[[#This Row],[Graduate]]=0, Table1[[#This Row],[Master]]=0, Table1[[#This Row],[PhD]]=0), "NA")</f>
        <v>PhD</v>
      </c>
      <c r="Q1868" t="e">
        <f>_xlfn.XLOOKUP(Table1[[#This Row],[ID]], Table2[ID],#REF!, "Not Found", 0)</f>
        <v>#REF!</v>
      </c>
      <c r="R1868" t="e">
        <f>_xlfn.XLOOKUP(Table1[[#This Row],[ID]], Table2[ID],#REF!, "Not Found", 0)</f>
        <v>#REF!</v>
      </c>
      <c r="S1868" s="3" t="str">
        <f>_xlfn.XLOOKUP(Table1[[#This Row],[ID]], Table2[ID], Table2[Enrollment], "Not Found", 0)</f>
        <v>10/14/2019</v>
      </c>
      <c r="T1868" t="s">
        <v>436</v>
      </c>
    </row>
    <row r="1869" spans="1:20" x14ac:dyDescent="0.3">
      <c r="A1869">
        <v>1634</v>
      </c>
      <c r="B1869">
        <v>129103</v>
      </c>
      <c r="C1869">
        <v>1</v>
      </c>
      <c r="D1869">
        <v>0</v>
      </c>
      <c r="E1869">
        <v>35</v>
      </c>
      <c r="F1869">
        <v>0</v>
      </c>
      <c r="G1869">
        <v>0</v>
      </c>
      <c r="H1869">
        <v>0</v>
      </c>
      <c r="I1869">
        <v>1</v>
      </c>
      <c r="J1869">
        <v>0</v>
      </c>
      <c r="K1869">
        <v>0</v>
      </c>
      <c r="L1869">
        <v>1</v>
      </c>
      <c r="M1869">
        <v>0</v>
      </c>
      <c r="N1869">
        <v>0</v>
      </c>
      <c r="O1869" t="str" cm="1">
        <f t="array" ref="O1869">_xlfn.IFS(Table1[[#This Row],[Divorced]]=1, "Divorced", Table1[[#This Row],[Married]]=1, "Married", Table1[[#This Row],[Single]]=1, "Single", Table1[[#This Row],[Together]]=1, "Together", Table1[[#This Row],[Widow]]=1, "Widow")</f>
        <v>Together</v>
      </c>
      <c r="P1869" t="str" cm="1">
        <f t="array" ref="P1869">_xlfn.IFS(Table1[[#This Row],[Basic]]=1, "Basic", Table1[[#This Row],[Graduate]]=1, "Graduate", Table1[[#This Row],[Master]]=1, "Master", Table1[[#This Row],[PhD]]=1, "PhD", AND(Table1[[#This Row],[Basic]]=0, Table1[[#This Row],[Graduate]]=0, Table1[[#This Row],[Master]]=0, Table1[[#This Row],[PhD]]=0), "NA")</f>
        <v>Graduate</v>
      </c>
      <c r="Q1869" t="e">
        <f>_xlfn.XLOOKUP(Table1[[#This Row],[ID]], Table2[ID],#REF!, "Not Found", 0)</f>
        <v>#REF!</v>
      </c>
      <c r="R1869" t="e">
        <f>_xlfn.XLOOKUP(Table1[[#This Row],[ID]], Table2[ID],#REF!, "Not Found", 0)</f>
        <v>#REF!</v>
      </c>
      <c r="S1869" s="3">
        <f>_xlfn.XLOOKUP(Table1[[#This Row],[ID]], Table2[ID], Table2[Enrollment], "Not Found", 0)</f>
        <v>43467</v>
      </c>
      <c r="T1869" t="s">
        <v>438</v>
      </c>
    </row>
    <row r="1870" spans="1:20" x14ac:dyDescent="0.3">
      <c r="A1870">
        <v>3017</v>
      </c>
      <c r="B1870">
        <v>129009</v>
      </c>
      <c r="C1870">
        <v>1</v>
      </c>
      <c r="D1870">
        <v>0</v>
      </c>
      <c r="E1870">
        <v>39</v>
      </c>
      <c r="F1870">
        <v>0</v>
      </c>
      <c r="G1870">
        <v>1</v>
      </c>
      <c r="H1870">
        <v>0</v>
      </c>
      <c r="I1870">
        <v>0</v>
      </c>
      <c r="J1870">
        <v>0</v>
      </c>
      <c r="K1870">
        <v>0</v>
      </c>
      <c r="L1870">
        <v>1</v>
      </c>
      <c r="M1870">
        <v>0</v>
      </c>
      <c r="N1870">
        <v>0</v>
      </c>
      <c r="O1870" t="str" cm="1">
        <f t="array" ref="O1870">_xlfn.IFS(Table1[[#This Row],[Divorced]]=1, "Divorced", Table1[[#This Row],[Married]]=1, "Married", Table1[[#This Row],[Single]]=1, "Single", Table1[[#This Row],[Together]]=1, "Together", Table1[[#This Row],[Widow]]=1, "Widow")</f>
        <v>Married</v>
      </c>
      <c r="P1870" t="str" cm="1">
        <f t="array" ref="P1870">_xlfn.IFS(Table1[[#This Row],[Basic]]=1, "Basic", Table1[[#This Row],[Graduate]]=1, "Graduate", Table1[[#This Row],[Master]]=1, "Master", Table1[[#This Row],[PhD]]=1, "PhD", AND(Table1[[#This Row],[Basic]]=0, Table1[[#This Row],[Graduate]]=0, Table1[[#This Row],[Master]]=0, Table1[[#This Row],[PhD]]=0), "NA")</f>
        <v>Graduate</v>
      </c>
      <c r="Q1870" t="e">
        <f>_xlfn.XLOOKUP(Table1[[#This Row],[ID]], Table2[ID],#REF!, "Not Found", 0)</f>
        <v>#REF!</v>
      </c>
      <c r="R1870" t="e">
        <f>_xlfn.XLOOKUP(Table1[[#This Row],[ID]], Table2[ID],#REF!, "Not Found", 0)</f>
        <v>#REF!</v>
      </c>
      <c r="S1870" s="3">
        <f>_xlfn.XLOOKUP(Table1[[#This Row],[ID]], Table2[ID], Table2[Enrollment], "Not Found", 0)</f>
        <v>43956</v>
      </c>
      <c r="T1870" t="s">
        <v>434</v>
      </c>
    </row>
    <row r="1871" spans="1:20" x14ac:dyDescent="0.3">
      <c r="A1871">
        <v>2752</v>
      </c>
      <c r="B1871">
        <v>128973</v>
      </c>
      <c r="C1871">
        <v>0</v>
      </c>
      <c r="D1871">
        <v>0</v>
      </c>
      <c r="E1871">
        <v>43</v>
      </c>
      <c r="F1871">
        <v>0</v>
      </c>
      <c r="G1871">
        <v>1</v>
      </c>
      <c r="H1871">
        <v>0</v>
      </c>
      <c r="I1871">
        <v>0</v>
      </c>
      <c r="J1871">
        <v>0</v>
      </c>
      <c r="K1871">
        <v>0</v>
      </c>
      <c r="L1871">
        <v>0</v>
      </c>
      <c r="M1871">
        <v>0</v>
      </c>
      <c r="N1871">
        <v>1</v>
      </c>
      <c r="O1871" t="str" cm="1">
        <f t="array" ref="O1871">_xlfn.IFS(Table1[[#This Row],[Divorced]]=1, "Divorced", Table1[[#This Row],[Married]]=1, "Married", Table1[[#This Row],[Single]]=1, "Single", Table1[[#This Row],[Together]]=1, "Together", Table1[[#This Row],[Widow]]=1, "Widow")</f>
        <v>Married</v>
      </c>
      <c r="P1871" t="str" cm="1">
        <f t="array" ref="P1871">_xlfn.IFS(Table1[[#This Row],[Basic]]=1, "Basic", Table1[[#This Row],[Graduate]]=1, "Graduate", Table1[[#This Row],[Master]]=1, "Master", Table1[[#This Row],[PhD]]=1, "PhD", AND(Table1[[#This Row],[Basic]]=0, Table1[[#This Row],[Graduate]]=0, Table1[[#This Row],[Master]]=0, Table1[[#This Row],[PhD]]=0), "NA")</f>
        <v>PhD</v>
      </c>
      <c r="Q1871" t="e">
        <f>_xlfn.XLOOKUP(Table1[[#This Row],[ID]], Table2[ID],#REF!, "Not Found", 0)</f>
        <v>#REF!</v>
      </c>
      <c r="R1871" t="e">
        <f>_xlfn.XLOOKUP(Table1[[#This Row],[ID]], Table2[ID],#REF!, "Not Found", 0)</f>
        <v>#REF!</v>
      </c>
      <c r="S1871" s="3" t="str">
        <f>_xlfn.XLOOKUP(Table1[[#This Row],[ID]], Table2[ID], Table2[Enrollment], "Not Found", 0)</f>
        <v>3/20/2019</v>
      </c>
      <c r="T1871" t="s">
        <v>439</v>
      </c>
    </row>
    <row r="1872" spans="1:20" x14ac:dyDescent="0.3">
      <c r="A1872">
        <v>1301</v>
      </c>
      <c r="B1872">
        <v>128839</v>
      </c>
      <c r="C1872">
        <v>1</v>
      </c>
      <c r="D1872">
        <v>1</v>
      </c>
      <c r="E1872">
        <v>64</v>
      </c>
      <c r="F1872">
        <v>0</v>
      </c>
      <c r="G1872">
        <v>0</v>
      </c>
      <c r="H1872">
        <v>0</v>
      </c>
      <c r="I1872">
        <v>1</v>
      </c>
      <c r="J1872">
        <v>0</v>
      </c>
      <c r="K1872">
        <v>0</v>
      </c>
      <c r="L1872">
        <v>0</v>
      </c>
      <c r="M1872">
        <v>1</v>
      </c>
      <c r="N1872">
        <v>0</v>
      </c>
      <c r="O1872" t="str" cm="1">
        <f t="array" ref="O1872">_xlfn.IFS(Table1[[#This Row],[Divorced]]=1, "Divorced", Table1[[#This Row],[Married]]=1, "Married", Table1[[#This Row],[Single]]=1, "Single", Table1[[#This Row],[Together]]=1, "Together", Table1[[#This Row],[Widow]]=1, "Widow")</f>
        <v>Together</v>
      </c>
      <c r="P1872" t="str" cm="1">
        <f t="array" ref="P1872">_xlfn.IFS(Table1[[#This Row],[Basic]]=1, "Basic", Table1[[#This Row],[Graduate]]=1, "Graduate", Table1[[#This Row],[Master]]=1, "Master", Table1[[#This Row],[PhD]]=1, "PhD", AND(Table1[[#This Row],[Basic]]=0, Table1[[#This Row],[Graduate]]=0, Table1[[#This Row],[Master]]=0, Table1[[#This Row],[PhD]]=0), "NA")</f>
        <v>Master</v>
      </c>
      <c r="Q1872" t="e">
        <f>_xlfn.XLOOKUP(Table1[[#This Row],[ID]], Table2[ID],#REF!, "Not Found", 0)</f>
        <v>#REF!</v>
      </c>
      <c r="R1872" t="e">
        <f>_xlfn.XLOOKUP(Table1[[#This Row],[ID]], Table2[ID],#REF!, "Not Found", 0)</f>
        <v>#REF!</v>
      </c>
      <c r="S1872" s="3" t="str">
        <f>_xlfn.XLOOKUP(Table1[[#This Row],[ID]], Table2[ID], Table2[Enrollment], "Not Found", 0)</f>
        <v>8/15/2020</v>
      </c>
      <c r="T1872" t="s">
        <v>434</v>
      </c>
    </row>
    <row r="1873" spans="1:20" x14ac:dyDescent="0.3">
      <c r="A1873">
        <v>1612</v>
      </c>
      <c r="B1873">
        <v>128769</v>
      </c>
      <c r="C1873">
        <v>1</v>
      </c>
      <c r="D1873">
        <v>0</v>
      </c>
      <c r="E1873">
        <v>43</v>
      </c>
      <c r="F1873">
        <v>0</v>
      </c>
      <c r="G1873">
        <v>0</v>
      </c>
      <c r="H1873">
        <v>1</v>
      </c>
      <c r="I1873">
        <v>0</v>
      </c>
      <c r="J1873">
        <v>0</v>
      </c>
      <c r="K1873">
        <v>0</v>
      </c>
      <c r="L1873">
        <v>1</v>
      </c>
      <c r="M1873">
        <v>0</v>
      </c>
      <c r="N1873">
        <v>0</v>
      </c>
      <c r="O1873" t="str" cm="1">
        <f t="array" ref="O1873">_xlfn.IFS(Table1[[#This Row],[Divorced]]=1, "Divorced", Table1[[#This Row],[Married]]=1, "Married", Table1[[#This Row],[Single]]=1, "Single", Table1[[#This Row],[Together]]=1, "Together", Table1[[#This Row],[Widow]]=1, "Widow")</f>
        <v>Single</v>
      </c>
      <c r="P1873" t="str" cm="1">
        <f t="array" ref="P1873">_xlfn.IFS(Table1[[#This Row],[Basic]]=1, "Basic", Table1[[#This Row],[Graduate]]=1, "Graduate", Table1[[#This Row],[Master]]=1, "Master", Table1[[#This Row],[PhD]]=1, "PhD", AND(Table1[[#This Row],[Basic]]=0, Table1[[#This Row],[Graduate]]=0, Table1[[#This Row],[Master]]=0, Table1[[#This Row],[PhD]]=0), "NA")</f>
        <v>Graduate</v>
      </c>
      <c r="Q1873" t="e">
        <f>_xlfn.XLOOKUP(Table1[[#This Row],[ID]], Table2[ID],#REF!, "Not Found", 0)</f>
        <v>#REF!</v>
      </c>
      <c r="R1873" t="e">
        <f>_xlfn.XLOOKUP(Table1[[#This Row],[ID]], Table2[ID],#REF!, "Not Found", 0)</f>
        <v>#REF!</v>
      </c>
      <c r="S1873" s="3" t="str">
        <f>_xlfn.XLOOKUP(Table1[[#This Row],[ID]], Table2[ID], Table2[Enrollment], "Not Found", 0)</f>
        <v>5/25/2019</v>
      </c>
      <c r="T1873" t="s">
        <v>439</v>
      </c>
    </row>
    <row r="1874" spans="1:20" x14ac:dyDescent="0.3">
      <c r="A1874">
        <v>2032</v>
      </c>
      <c r="B1874">
        <v>128764</v>
      </c>
      <c r="C1874">
        <v>1</v>
      </c>
      <c r="D1874">
        <v>1</v>
      </c>
      <c r="E1874">
        <v>54</v>
      </c>
      <c r="F1874">
        <v>0</v>
      </c>
      <c r="G1874">
        <v>0</v>
      </c>
      <c r="H1874">
        <v>0</v>
      </c>
      <c r="I1874">
        <v>1</v>
      </c>
      <c r="J1874">
        <v>0</v>
      </c>
      <c r="K1874">
        <v>0</v>
      </c>
      <c r="L1874">
        <v>0</v>
      </c>
      <c r="M1874">
        <v>0</v>
      </c>
      <c r="N1874">
        <v>1</v>
      </c>
      <c r="O1874" t="str" cm="1">
        <f t="array" ref="O1874">_xlfn.IFS(Table1[[#This Row],[Divorced]]=1, "Divorced", Table1[[#This Row],[Married]]=1, "Married", Table1[[#This Row],[Single]]=1, "Single", Table1[[#This Row],[Together]]=1, "Together", Table1[[#This Row],[Widow]]=1, "Widow")</f>
        <v>Together</v>
      </c>
      <c r="P1874" t="str" cm="1">
        <f t="array" ref="P1874">_xlfn.IFS(Table1[[#This Row],[Basic]]=1, "Basic", Table1[[#This Row],[Graduate]]=1, "Graduate", Table1[[#This Row],[Master]]=1, "Master", Table1[[#This Row],[PhD]]=1, "PhD", AND(Table1[[#This Row],[Basic]]=0, Table1[[#This Row],[Graduate]]=0, Table1[[#This Row],[Master]]=0, Table1[[#This Row],[PhD]]=0), "NA")</f>
        <v>PhD</v>
      </c>
      <c r="Q1874" t="e">
        <f>_xlfn.XLOOKUP(Table1[[#This Row],[ID]], Table2[ID],#REF!, "Not Found", 0)</f>
        <v>#REF!</v>
      </c>
      <c r="R1874" t="e">
        <f>_xlfn.XLOOKUP(Table1[[#This Row],[ID]], Table2[ID],#REF!, "Not Found", 0)</f>
        <v>#REF!</v>
      </c>
      <c r="S1874" s="3">
        <f>_xlfn.XLOOKUP(Table1[[#This Row],[ID]], Table2[ID], Table2[Enrollment], "Not Found", 0)</f>
        <v>44085</v>
      </c>
      <c r="T1874" t="s">
        <v>439</v>
      </c>
    </row>
    <row r="1875" spans="1:20" x14ac:dyDescent="0.3">
      <c r="A1875">
        <v>1160</v>
      </c>
      <c r="B1875">
        <v>128718</v>
      </c>
      <c r="C1875">
        <v>1</v>
      </c>
      <c r="D1875">
        <v>0</v>
      </c>
      <c r="E1875">
        <v>38</v>
      </c>
      <c r="F1875">
        <v>0</v>
      </c>
      <c r="G1875">
        <v>1</v>
      </c>
      <c r="H1875">
        <v>0</v>
      </c>
      <c r="I1875">
        <v>0</v>
      </c>
      <c r="J1875">
        <v>0</v>
      </c>
      <c r="K1875">
        <v>0</v>
      </c>
      <c r="L1875">
        <v>1</v>
      </c>
      <c r="M1875">
        <v>0</v>
      </c>
      <c r="N1875">
        <v>0</v>
      </c>
      <c r="O1875" t="str" cm="1">
        <f t="array" ref="O1875">_xlfn.IFS(Table1[[#This Row],[Divorced]]=1, "Divorced", Table1[[#This Row],[Married]]=1, "Married", Table1[[#This Row],[Single]]=1, "Single", Table1[[#This Row],[Together]]=1, "Together", Table1[[#This Row],[Widow]]=1, "Widow")</f>
        <v>Married</v>
      </c>
      <c r="P1875" t="str" cm="1">
        <f t="array" ref="P1875">_xlfn.IFS(Table1[[#This Row],[Basic]]=1, "Basic", Table1[[#This Row],[Graduate]]=1, "Graduate", Table1[[#This Row],[Master]]=1, "Master", Table1[[#This Row],[PhD]]=1, "PhD", AND(Table1[[#This Row],[Basic]]=0, Table1[[#This Row],[Graduate]]=0, Table1[[#This Row],[Master]]=0, Table1[[#This Row],[PhD]]=0), "NA")</f>
        <v>Graduate</v>
      </c>
      <c r="Q1875" t="e">
        <f>_xlfn.XLOOKUP(Table1[[#This Row],[ID]], Table2[ID],#REF!, "Not Found", 0)</f>
        <v>#REF!</v>
      </c>
      <c r="R1875" t="e">
        <f>_xlfn.XLOOKUP(Table1[[#This Row],[ID]], Table2[ID],#REF!, "Not Found", 0)</f>
        <v>#REF!</v>
      </c>
      <c r="S1875" s="3" t="str">
        <f>_xlfn.XLOOKUP(Table1[[#This Row],[ID]], Table2[ID], Table2[Enrollment], "Not Found", 0)</f>
        <v>12/18/2019</v>
      </c>
      <c r="T1875" t="s">
        <v>438</v>
      </c>
    </row>
    <row r="1876" spans="1:20" x14ac:dyDescent="0.3">
      <c r="A1876">
        <v>1424</v>
      </c>
      <c r="B1876">
        <v>128691</v>
      </c>
      <c r="C1876">
        <v>1</v>
      </c>
      <c r="D1876">
        <v>0</v>
      </c>
      <c r="E1876">
        <v>31</v>
      </c>
      <c r="F1876">
        <v>0</v>
      </c>
      <c r="G1876">
        <v>1</v>
      </c>
      <c r="H1876">
        <v>0</v>
      </c>
      <c r="I1876">
        <v>0</v>
      </c>
      <c r="J1876">
        <v>0</v>
      </c>
      <c r="K1876">
        <v>0</v>
      </c>
      <c r="L1876">
        <v>1</v>
      </c>
      <c r="M1876">
        <v>0</v>
      </c>
      <c r="N1876">
        <v>0</v>
      </c>
      <c r="O1876" t="str" cm="1">
        <f t="array" ref="O1876">_xlfn.IFS(Table1[[#This Row],[Divorced]]=1, "Divorced", Table1[[#This Row],[Married]]=1, "Married", Table1[[#This Row],[Single]]=1, "Single", Table1[[#This Row],[Together]]=1, "Together", Table1[[#This Row],[Widow]]=1, "Widow")</f>
        <v>Married</v>
      </c>
      <c r="P1876" t="str" cm="1">
        <f t="array" ref="P1876">_xlfn.IFS(Table1[[#This Row],[Basic]]=1, "Basic", Table1[[#This Row],[Graduate]]=1, "Graduate", Table1[[#This Row],[Master]]=1, "Master", Table1[[#This Row],[PhD]]=1, "PhD", AND(Table1[[#This Row],[Basic]]=0, Table1[[#This Row],[Graduate]]=0, Table1[[#This Row],[Master]]=0, Table1[[#This Row],[PhD]]=0), "NA")</f>
        <v>Graduate</v>
      </c>
      <c r="Q1876" t="e">
        <f>_xlfn.XLOOKUP(Table1[[#This Row],[ID]], Table2[ID],#REF!, "Not Found", 0)</f>
        <v>#REF!</v>
      </c>
      <c r="R1876" t="e">
        <f>_xlfn.XLOOKUP(Table1[[#This Row],[ID]], Table2[ID],#REF!, "Not Found", 0)</f>
        <v>#REF!</v>
      </c>
      <c r="S1876" s="3">
        <f>_xlfn.XLOOKUP(Table1[[#This Row],[ID]], Table2[ID], Table2[Enrollment], "Not Found", 0)</f>
        <v>43720</v>
      </c>
      <c r="T1876" t="s">
        <v>438</v>
      </c>
    </row>
    <row r="1877" spans="1:20" x14ac:dyDescent="0.3">
      <c r="A1877">
        <v>2219</v>
      </c>
      <c r="B1877">
        <v>128691</v>
      </c>
      <c r="C1877">
        <v>1</v>
      </c>
      <c r="D1877">
        <v>0</v>
      </c>
      <c r="E1877">
        <v>31</v>
      </c>
      <c r="F1877">
        <v>0</v>
      </c>
      <c r="G1877">
        <v>1</v>
      </c>
      <c r="H1877">
        <v>0</v>
      </c>
      <c r="I1877">
        <v>0</v>
      </c>
      <c r="J1877">
        <v>0</v>
      </c>
      <c r="K1877">
        <v>0</v>
      </c>
      <c r="L1877">
        <v>1</v>
      </c>
      <c r="M1877">
        <v>0</v>
      </c>
      <c r="N1877">
        <v>0</v>
      </c>
      <c r="O1877" t="str" cm="1">
        <f t="array" ref="O1877">_xlfn.IFS(Table1[[#This Row],[Divorced]]=1, "Divorced", Table1[[#This Row],[Married]]=1, "Married", Table1[[#This Row],[Single]]=1, "Single", Table1[[#This Row],[Together]]=1, "Together", Table1[[#This Row],[Widow]]=1, "Widow")</f>
        <v>Married</v>
      </c>
      <c r="P1877" t="str" cm="1">
        <f t="array" ref="P1877">_xlfn.IFS(Table1[[#This Row],[Basic]]=1, "Basic", Table1[[#This Row],[Graduate]]=1, "Graduate", Table1[[#This Row],[Master]]=1, "Master", Table1[[#This Row],[PhD]]=1, "PhD", AND(Table1[[#This Row],[Basic]]=0, Table1[[#This Row],[Graduate]]=0, Table1[[#This Row],[Master]]=0, Table1[[#This Row],[PhD]]=0), "NA")</f>
        <v>Graduate</v>
      </c>
      <c r="Q1877" t="e">
        <f>_xlfn.XLOOKUP(Table1[[#This Row],[ID]], Table2[ID],#REF!, "Not Found", 0)</f>
        <v>#REF!</v>
      </c>
      <c r="R1877" t="e">
        <f>_xlfn.XLOOKUP(Table1[[#This Row],[ID]], Table2[ID],#REF!, "Not Found", 0)</f>
        <v>#REF!</v>
      </c>
      <c r="S1877" s="3">
        <f>_xlfn.XLOOKUP(Table1[[#This Row],[ID]], Table2[ID], Table2[Enrollment], "Not Found", 0)</f>
        <v>43720</v>
      </c>
      <c r="T1877" t="s">
        <v>434</v>
      </c>
    </row>
    <row r="1878" spans="1:20" x14ac:dyDescent="0.3">
      <c r="A1878">
        <v>2007</v>
      </c>
      <c r="B1878">
        <v>128647</v>
      </c>
      <c r="C1878">
        <v>1</v>
      </c>
      <c r="D1878">
        <v>0</v>
      </c>
      <c r="E1878">
        <v>42</v>
      </c>
      <c r="F1878">
        <v>0</v>
      </c>
      <c r="G1878">
        <v>0</v>
      </c>
      <c r="H1878">
        <v>1</v>
      </c>
      <c r="I1878">
        <v>0</v>
      </c>
      <c r="J1878">
        <v>0</v>
      </c>
      <c r="K1878">
        <v>0</v>
      </c>
      <c r="L1878">
        <v>1</v>
      </c>
      <c r="M1878">
        <v>0</v>
      </c>
      <c r="N1878">
        <v>0</v>
      </c>
      <c r="O1878" t="str" cm="1">
        <f t="array" ref="O1878">_xlfn.IFS(Table1[[#This Row],[Divorced]]=1, "Divorced", Table1[[#This Row],[Married]]=1, "Married", Table1[[#This Row],[Single]]=1, "Single", Table1[[#This Row],[Together]]=1, "Together", Table1[[#This Row],[Widow]]=1, "Widow")</f>
        <v>Single</v>
      </c>
      <c r="P1878" t="str" cm="1">
        <f t="array" ref="P1878">_xlfn.IFS(Table1[[#This Row],[Basic]]=1, "Basic", Table1[[#This Row],[Graduate]]=1, "Graduate", Table1[[#This Row],[Master]]=1, "Master", Table1[[#This Row],[PhD]]=1, "PhD", AND(Table1[[#This Row],[Basic]]=0, Table1[[#This Row],[Graduate]]=0, Table1[[#This Row],[Master]]=0, Table1[[#This Row],[PhD]]=0), "NA")</f>
        <v>Graduate</v>
      </c>
      <c r="Q1878" t="e">
        <f>_xlfn.XLOOKUP(Table1[[#This Row],[ID]], Table2[ID],#REF!, "Not Found", 0)</f>
        <v>#REF!</v>
      </c>
      <c r="R1878" t="e">
        <f>_xlfn.XLOOKUP(Table1[[#This Row],[ID]], Table2[ID],#REF!, "Not Found", 0)</f>
        <v>#REF!</v>
      </c>
      <c r="S1878" s="3" t="str">
        <f>_xlfn.XLOOKUP(Table1[[#This Row],[ID]], Table2[ID], Table2[Enrollment], "Not Found", 0)</f>
        <v>1/26/2020</v>
      </c>
      <c r="T1878" t="s">
        <v>435</v>
      </c>
    </row>
    <row r="1879" spans="1:20" x14ac:dyDescent="0.3">
      <c r="A1879">
        <v>2995</v>
      </c>
      <c r="B1879">
        <v>128587</v>
      </c>
      <c r="C1879">
        <v>1</v>
      </c>
      <c r="D1879">
        <v>0</v>
      </c>
      <c r="E1879">
        <v>42</v>
      </c>
      <c r="F1879">
        <v>0</v>
      </c>
      <c r="G1879">
        <v>0</v>
      </c>
      <c r="H1879">
        <v>0</v>
      </c>
      <c r="I1879">
        <v>1</v>
      </c>
      <c r="J1879">
        <v>0</v>
      </c>
      <c r="K1879">
        <v>0</v>
      </c>
      <c r="L1879">
        <v>1</v>
      </c>
      <c r="M1879">
        <v>0</v>
      </c>
      <c r="N1879">
        <v>0</v>
      </c>
      <c r="O1879" t="str" cm="1">
        <f t="array" ref="O1879">_xlfn.IFS(Table1[[#This Row],[Divorced]]=1, "Divorced", Table1[[#This Row],[Married]]=1, "Married", Table1[[#This Row],[Single]]=1, "Single", Table1[[#This Row],[Together]]=1, "Together", Table1[[#This Row],[Widow]]=1, "Widow")</f>
        <v>Together</v>
      </c>
      <c r="P1879" t="str" cm="1">
        <f t="array" ref="P1879">_xlfn.IFS(Table1[[#This Row],[Basic]]=1, "Basic", Table1[[#This Row],[Graduate]]=1, "Graduate", Table1[[#This Row],[Master]]=1, "Master", Table1[[#This Row],[PhD]]=1, "PhD", AND(Table1[[#This Row],[Basic]]=0, Table1[[#This Row],[Graduate]]=0, Table1[[#This Row],[Master]]=0, Table1[[#This Row],[PhD]]=0), "NA")</f>
        <v>Graduate</v>
      </c>
      <c r="Q1879" t="e">
        <f>_xlfn.XLOOKUP(Table1[[#This Row],[ID]], Table2[ID],#REF!, "Not Found", 0)</f>
        <v>#REF!</v>
      </c>
      <c r="R1879" t="e">
        <f>_xlfn.XLOOKUP(Table1[[#This Row],[ID]], Table2[ID],#REF!, "Not Found", 0)</f>
        <v>#REF!</v>
      </c>
      <c r="S1879" s="3" t="str">
        <f>_xlfn.XLOOKUP(Table1[[#This Row],[ID]], Table2[ID], Table2[Enrollment], "Not Found", 0)</f>
        <v>7/19/2020</v>
      </c>
      <c r="T1879" t="s">
        <v>437</v>
      </c>
    </row>
    <row r="1880" spans="1:20" x14ac:dyDescent="0.3">
      <c r="A1880">
        <v>1518</v>
      </c>
      <c r="B1880">
        <v>128567</v>
      </c>
      <c r="C1880">
        <v>1</v>
      </c>
      <c r="D1880">
        <v>0</v>
      </c>
      <c r="E1880">
        <v>38</v>
      </c>
      <c r="F1880">
        <v>0</v>
      </c>
      <c r="G1880">
        <v>0</v>
      </c>
      <c r="H1880">
        <v>1</v>
      </c>
      <c r="I1880">
        <v>0</v>
      </c>
      <c r="J1880">
        <v>0</v>
      </c>
      <c r="K1880">
        <v>0</v>
      </c>
      <c r="L1880">
        <v>1</v>
      </c>
      <c r="M1880">
        <v>0</v>
      </c>
      <c r="N1880">
        <v>0</v>
      </c>
      <c r="O1880" t="str" cm="1">
        <f t="array" ref="O1880">_xlfn.IFS(Table1[[#This Row],[Divorced]]=1, "Divorced", Table1[[#This Row],[Married]]=1, "Married", Table1[[#This Row],[Single]]=1, "Single", Table1[[#This Row],[Together]]=1, "Together", Table1[[#This Row],[Widow]]=1, "Widow")</f>
        <v>Single</v>
      </c>
      <c r="P1880" t="str" cm="1">
        <f t="array" ref="P1880">_xlfn.IFS(Table1[[#This Row],[Basic]]=1, "Basic", Table1[[#This Row],[Graduate]]=1, "Graduate", Table1[[#This Row],[Master]]=1, "Master", Table1[[#This Row],[PhD]]=1, "PhD", AND(Table1[[#This Row],[Basic]]=0, Table1[[#This Row],[Graduate]]=0, Table1[[#This Row],[Master]]=0, Table1[[#This Row],[PhD]]=0), "NA")</f>
        <v>Graduate</v>
      </c>
      <c r="Q1880" t="e">
        <f>_xlfn.XLOOKUP(Table1[[#This Row],[ID]], Table2[ID],#REF!, "Not Found", 0)</f>
        <v>#REF!</v>
      </c>
      <c r="R1880" t="e">
        <f>_xlfn.XLOOKUP(Table1[[#This Row],[ID]], Table2[ID],#REF!, "Not Found", 0)</f>
        <v>#REF!</v>
      </c>
      <c r="S1880" s="3" t="str">
        <f>_xlfn.XLOOKUP(Table1[[#This Row],[ID]], Table2[ID], Table2[Enrollment], "Not Found", 0)</f>
        <v>11/22/2019</v>
      </c>
      <c r="T1880" t="s">
        <v>436</v>
      </c>
    </row>
    <row r="1881" spans="1:20" x14ac:dyDescent="0.3">
      <c r="A1881">
        <v>2770</v>
      </c>
      <c r="B1881">
        <v>128520</v>
      </c>
      <c r="C1881">
        <v>1</v>
      </c>
      <c r="D1881">
        <v>1</v>
      </c>
      <c r="E1881">
        <v>60</v>
      </c>
      <c r="F1881">
        <v>0</v>
      </c>
      <c r="G1881">
        <v>1</v>
      </c>
      <c r="H1881">
        <v>0</v>
      </c>
      <c r="I1881">
        <v>0</v>
      </c>
      <c r="J1881">
        <v>0</v>
      </c>
      <c r="K1881">
        <v>0</v>
      </c>
      <c r="L1881">
        <v>0</v>
      </c>
      <c r="M1881">
        <v>1</v>
      </c>
      <c r="N1881">
        <v>0</v>
      </c>
      <c r="O1881" t="str" cm="1">
        <f t="array" ref="O1881">_xlfn.IFS(Table1[[#This Row],[Divorced]]=1, "Divorced", Table1[[#This Row],[Married]]=1, "Married", Table1[[#This Row],[Single]]=1, "Single", Table1[[#This Row],[Together]]=1, "Together", Table1[[#This Row],[Widow]]=1, "Widow")</f>
        <v>Married</v>
      </c>
      <c r="P1881" t="str" cm="1">
        <f t="array" ref="P1881">_xlfn.IFS(Table1[[#This Row],[Basic]]=1, "Basic", Table1[[#This Row],[Graduate]]=1, "Graduate", Table1[[#This Row],[Master]]=1, "Master", Table1[[#This Row],[PhD]]=1, "PhD", AND(Table1[[#This Row],[Basic]]=0, Table1[[#This Row],[Graduate]]=0, Table1[[#This Row],[Master]]=0, Table1[[#This Row],[PhD]]=0), "NA")</f>
        <v>Master</v>
      </c>
      <c r="Q1881" t="e">
        <f>_xlfn.XLOOKUP(Table1[[#This Row],[ID]], Table2[ID],#REF!, "Not Found", 0)</f>
        <v>#REF!</v>
      </c>
      <c r="R1881" t="e">
        <f>_xlfn.XLOOKUP(Table1[[#This Row],[ID]], Table2[ID],#REF!, "Not Found", 0)</f>
        <v>#REF!</v>
      </c>
      <c r="S1881" s="3" t="str">
        <f>_xlfn.XLOOKUP(Table1[[#This Row],[ID]], Table2[ID], Table2[Enrollment], "Not Found", 0)</f>
        <v>11/19/2019</v>
      </c>
      <c r="T1881" t="s">
        <v>439</v>
      </c>
    </row>
    <row r="1882" spans="1:20" x14ac:dyDescent="0.3">
      <c r="A1882">
        <v>2159</v>
      </c>
      <c r="B1882">
        <v>128510</v>
      </c>
      <c r="C1882">
        <v>1</v>
      </c>
      <c r="D1882">
        <v>1</v>
      </c>
      <c r="E1882">
        <v>39</v>
      </c>
      <c r="F1882">
        <v>1</v>
      </c>
      <c r="G1882">
        <v>0</v>
      </c>
      <c r="H1882">
        <v>0</v>
      </c>
      <c r="I1882">
        <v>0</v>
      </c>
      <c r="J1882">
        <v>0</v>
      </c>
      <c r="K1882">
        <v>0</v>
      </c>
      <c r="L1882">
        <v>1</v>
      </c>
      <c r="M1882">
        <v>0</v>
      </c>
      <c r="N1882">
        <v>0</v>
      </c>
      <c r="O1882" t="str" cm="1">
        <f t="array" ref="O1882">_xlfn.IFS(Table1[[#This Row],[Divorced]]=1, "Divorced", Table1[[#This Row],[Married]]=1, "Married", Table1[[#This Row],[Single]]=1, "Single", Table1[[#This Row],[Together]]=1, "Together", Table1[[#This Row],[Widow]]=1, "Widow")</f>
        <v>Divorced</v>
      </c>
      <c r="P1882" t="str" cm="1">
        <f t="array" ref="P1882">_xlfn.IFS(Table1[[#This Row],[Basic]]=1, "Basic", Table1[[#This Row],[Graduate]]=1, "Graduate", Table1[[#This Row],[Master]]=1, "Master", Table1[[#This Row],[PhD]]=1, "PhD", AND(Table1[[#This Row],[Basic]]=0, Table1[[#This Row],[Graduate]]=0, Table1[[#This Row],[Master]]=0, Table1[[#This Row],[PhD]]=0), "NA")</f>
        <v>Graduate</v>
      </c>
      <c r="Q1882" t="e">
        <f>_xlfn.XLOOKUP(Table1[[#This Row],[ID]], Table2[ID],#REF!, "Not Found", 0)</f>
        <v>#REF!</v>
      </c>
      <c r="R1882" t="e">
        <f>_xlfn.XLOOKUP(Table1[[#This Row],[ID]], Table2[ID],#REF!, "Not Found", 0)</f>
        <v>#REF!</v>
      </c>
      <c r="S1882" s="3" t="str">
        <f>_xlfn.XLOOKUP(Table1[[#This Row],[ID]], Table2[ID], Table2[Enrollment], "Not Found", 0)</f>
        <v>9/18/2019</v>
      </c>
      <c r="T1882" t="s">
        <v>434</v>
      </c>
    </row>
    <row r="1883" spans="1:20" x14ac:dyDescent="0.3">
      <c r="A1883">
        <v>1473</v>
      </c>
      <c r="B1883">
        <v>128457</v>
      </c>
      <c r="C1883">
        <v>0</v>
      </c>
      <c r="D1883">
        <v>0</v>
      </c>
      <c r="E1883">
        <v>68</v>
      </c>
      <c r="F1883">
        <v>0</v>
      </c>
      <c r="G1883">
        <v>0</v>
      </c>
      <c r="H1883">
        <v>0</v>
      </c>
      <c r="I1883">
        <v>0</v>
      </c>
      <c r="J1883">
        <v>1</v>
      </c>
      <c r="K1883">
        <v>0</v>
      </c>
      <c r="L1883">
        <v>0</v>
      </c>
      <c r="M1883">
        <v>0</v>
      </c>
      <c r="N1883">
        <v>0</v>
      </c>
      <c r="O1883" t="str" cm="1">
        <f t="array" ref="O1883">_xlfn.IFS(Table1[[#This Row],[Divorced]]=1, "Divorced", Table1[[#This Row],[Married]]=1, "Married", Table1[[#This Row],[Single]]=1, "Single", Table1[[#This Row],[Together]]=1, "Together", Table1[[#This Row],[Widow]]=1, "Widow")</f>
        <v>Widow</v>
      </c>
      <c r="P1883" t="str" cm="1">
        <f t="array" ref="P1883">_xlfn.IFS(Table1[[#This Row],[Basic]]=1, "Basic", Table1[[#This Row],[Graduate]]=1, "Graduate", Table1[[#This Row],[Master]]=1, "Master", Table1[[#This Row],[PhD]]=1, "PhD", AND(Table1[[#This Row],[Basic]]=0, Table1[[#This Row],[Graduate]]=0, Table1[[#This Row],[Master]]=0, Table1[[#This Row],[PhD]]=0), "NA")</f>
        <v>NA</v>
      </c>
      <c r="Q1883" t="e">
        <f>_xlfn.XLOOKUP(Table1[[#This Row],[ID]], Table2[ID],#REF!, "Not Found", 0)</f>
        <v>#REF!</v>
      </c>
      <c r="R1883" t="e">
        <f>_xlfn.XLOOKUP(Table1[[#This Row],[ID]], Table2[ID],#REF!, "Not Found", 0)</f>
        <v>#REF!</v>
      </c>
      <c r="S1883" s="3">
        <f>_xlfn.XLOOKUP(Table1[[#This Row],[ID]], Table2[ID], Table2[Enrollment], "Not Found", 0)</f>
        <v>43559</v>
      </c>
      <c r="T1883" t="s">
        <v>435</v>
      </c>
    </row>
    <row r="1884" spans="1:20" x14ac:dyDescent="0.3">
      <c r="A1884">
        <v>1346</v>
      </c>
      <c r="B1884">
        <v>128442</v>
      </c>
      <c r="C1884">
        <v>2</v>
      </c>
      <c r="D1884">
        <v>0</v>
      </c>
      <c r="E1884">
        <v>42</v>
      </c>
      <c r="F1884">
        <v>0</v>
      </c>
      <c r="G1884">
        <v>1</v>
      </c>
      <c r="H1884">
        <v>0</v>
      </c>
      <c r="I1884">
        <v>0</v>
      </c>
      <c r="J1884">
        <v>0</v>
      </c>
      <c r="K1884">
        <v>0</v>
      </c>
      <c r="L1884">
        <v>1</v>
      </c>
      <c r="M1884">
        <v>0</v>
      </c>
      <c r="N1884">
        <v>0</v>
      </c>
      <c r="O1884" t="str" cm="1">
        <f t="array" ref="O1884">_xlfn.IFS(Table1[[#This Row],[Divorced]]=1, "Divorced", Table1[[#This Row],[Married]]=1, "Married", Table1[[#This Row],[Single]]=1, "Single", Table1[[#This Row],[Together]]=1, "Together", Table1[[#This Row],[Widow]]=1, "Widow")</f>
        <v>Married</v>
      </c>
      <c r="P1884" t="str" cm="1">
        <f t="array" ref="P1884">_xlfn.IFS(Table1[[#This Row],[Basic]]=1, "Basic", Table1[[#This Row],[Graduate]]=1, "Graduate", Table1[[#This Row],[Master]]=1, "Master", Table1[[#This Row],[PhD]]=1, "PhD", AND(Table1[[#This Row],[Basic]]=0, Table1[[#This Row],[Graduate]]=0, Table1[[#This Row],[Master]]=0, Table1[[#This Row],[PhD]]=0), "NA")</f>
        <v>Graduate</v>
      </c>
      <c r="Q1884" t="e">
        <f>_xlfn.XLOOKUP(Table1[[#This Row],[ID]], Table2[ID],#REF!, "Not Found", 0)</f>
        <v>#REF!</v>
      </c>
      <c r="R1884" t="e">
        <f>_xlfn.XLOOKUP(Table1[[#This Row],[ID]], Table2[ID],#REF!, "Not Found", 0)</f>
        <v>#REF!</v>
      </c>
      <c r="S1884" s="3" t="str">
        <f>_xlfn.XLOOKUP(Table1[[#This Row],[ID]], Table2[ID], Table2[Enrollment], "Not Found", 0)</f>
        <v>7/31/2020</v>
      </c>
      <c r="T1884" t="s">
        <v>438</v>
      </c>
    </row>
    <row r="1885" spans="1:20" x14ac:dyDescent="0.3">
      <c r="A1885">
        <v>2002</v>
      </c>
      <c r="B1885">
        <v>128440</v>
      </c>
      <c r="C1885">
        <v>1</v>
      </c>
      <c r="D1885">
        <v>0</v>
      </c>
      <c r="E1885">
        <v>46</v>
      </c>
      <c r="F1885">
        <v>0</v>
      </c>
      <c r="G1885">
        <v>0</v>
      </c>
      <c r="H1885">
        <v>0</v>
      </c>
      <c r="I1885">
        <v>1</v>
      </c>
      <c r="J1885">
        <v>0</v>
      </c>
      <c r="K1885">
        <v>0</v>
      </c>
      <c r="L1885">
        <v>0</v>
      </c>
      <c r="M1885">
        <v>0</v>
      </c>
      <c r="N1885">
        <v>1</v>
      </c>
      <c r="O1885" t="str" cm="1">
        <f t="array" ref="O1885">_xlfn.IFS(Table1[[#This Row],[Divorced]]=1, "Divorced", Table1[[#This Row],[Married]]=1, "Married", Table1[[#This Row],[Single]]=1, "Single", Table1[[#This Row],[Together]]=1, "Together", Table1[[#This Row],[Widow]]=1, "Widow")</f>
        <v>Together</v>
      </c>
      <c r="P1885" t="str" cm="1">
        <f t="array" ref="P1885">_xlfn.IFS(Table1[[#This Row],[Basic]]=1, "Basic", Table1[[#This Row],[Graduate]]=1, "Graduate", Table1[[#This Row],[Master]]=1, "Master", Table1[[#This Row],[PhD]]=1, "PhD", AND(Table1[[#This Row],[Basic]]=0, Table1[[#This Row],[Graduate]]=0, Table1[[#This Row],[Master]]=0, Table1[[#This Row],[PhD]]=0), "NA")</f>
        <v>PhD</v>
      </c>
      <c r="Q1885" t="e">
        <f>_xlfn.XLOOKUP(Table1[[#This Row],[ID]], Table2[ID],#REF!, "Not Found", 0)</f>
        <v>#REF!</v>
      </c>
      <c r="R1885" t="e">
        <f>_xlfn.XLOOKUP(Table1[[#This Row],[ID]], Table2[ID],#REF!, "Not Found", 0)</f>
        <v>#REF!</v>
      </c>
      <c r="S1885" s="3">
        <f>_xlfn.XLOOKUP(Table1[[#This Row],[ID]], Table2[ID], Table2[Enrollment], "Not Found", 0)</f>
        <v>43811</v>
      </c>
      <c r="T1885" t="s">
        <v>439</v>
      </c>
    </row>
    <row r="1886" spans="1:20" x14ac:dyDescent="0.3">
      <c r="A1886">
        <v>2214</v>
      </c>
      <c r="B1886">
        <v>128427</v>
      </c>
      <c r="C1886">
        <v>1</v>
      </c>
      <c r="D1886">
        <v>0</v>
      </c>
      <c r="E1886">
        <v>37</v>
      </c>
      <c r="F1886">
        <v>0</v>
      </c>
      <c r="G1886">
        <v>0</v>
      </c>
      <c r="H1886">
        <v>0</v>
      </c>
      <c r="I1886">
        <v>1</v>
      </c>
      <c r="J1886">
        <v>0</v>
      </c>
      <c r="K1886">
        <v>0</v>
      </c>
      <c r="L1886">
        <v>1</v>
      </c>
      <c r="M1886">
        <v>0</v>
      </c>
      <c r="N1886">
        <v>0</v>
      </c>
      <c r="O1886" t="str" cm="1">
        <f t="array" ref="O1886">_xlfn.IFS(Table1[[#This Row],[Divorced]]=1, "Divorced", Table1[[#This Row],[Married]]=1, "Married", Table1[[#This Row],[Single]]=1, "Single", Table1[[#This Row],[Together]]=1, "Together", Table1[[#This Row],[Widow]]=1, "Widow")</f>
        <v>Together</v>
      </c>
      <c r="P1886" t="str" cm="1">
        <f t="array" ref="P1886">_xlfn.IFS(Table1[[#This Row],[Basic]]=1, "Basic", Table1[[#This Row],[Graduate]]=1, "Graduate", Table1[[#This Row],[Master]]=1, "Master", Table1[[#This Row],[PhD]]=1, "PhD", AND(Table1[[#This Row],[Basic]]=0, Table1[[#This Row],[Graduate]]=0, Table1[[#This Row],[Master]]=0, Table1[[#This Row],[PhD]]=0), "NA")</f>
        <v>Graduate</v>
      </c>
      <c r="Q1886" t="e">
        <f>_xlfn.XLOOKUP(Table1[[#This Row],[ID]], Table2[ID],#REF!, "Not Found", 0)</f>
        <v>#REF!</v>
      </c>
      <c r="R1886" t="e">
        <f>_xlfn.XLOOKUP(Table1[[#This Row],[ID]], Table2[ID],#REF!, "Not Found", 0)</f>
        <v>#REF!</v>
      </c>
      <c r="S1886" s="3" t="str">
        <f>_xlfn.XLOOKUP(Table1[[#This Row],[ID]], Table2[ID], Table2[Enrollment], "Not Found", 0)</f>
        <v>8/26/2019</v>
      </c>
      <c r="T1886" t="s">
        <v>436</v>
      </c>
    </row>
    <row r="1887" spans="1:20" x14ac:dyDescent="0.3">
      <c r="A1887">
        <v>3184</v>
      </c>
      <c r="B1887">
        <v>128427</v>
      </c>
      <c r="C1887">
        <v>1</v>
      </c>
      <c r="D1887">
        <v>0</v>
      </c>
      <c r="E1887">
        <v>37</v>
      </c>
      <c r="F1887">
        <v>0</v>
      </c>
      <c r="G1887">
        <v>0</v>
      </c>
      <c r="H1887">
        <v>0</v>
      </c>
      <c r="I1887">
        <v>1</v>
      </c>
      <c r="J1887">
        <v>0</v>
      </c>
      <c r="K1887">
        <v>0</v>
      </c>
      <c r="L1887">
        <v>1</v>
      </c>
      <c r="M1887">
        <v>0</v>
      </c>
      <c r="N1887">
        <v>0</v>
      </c>
      <c r="O1887" t="str" cm="1">
        <f t="array" ref="O1887">_xlfn.IFS(Table1[[#This Row],[Divorced]]=1, "Divorced", Table1[[#This Row],[Married]]=1, "Married", Table1[[#This Row],[Single]]=1, "Single", Table1[[#This Row],[Together]]=1, "Together", Table1[[#This Row],[Widow]]=1, "Widow")</f>
        <v>Together</v>
      </c>
      <c r="P1887" t="str" cm="1">
        <f t="array" ref="P1887">_xlfn.IFS(Table1[[#This Row],[Basic]]=1, "Basic", Table1[[#This Row],[Graduate]]=1, "Graduate", Table1[[#This Row],[Master]]=1, "Master", Table1[[#This Row],[PhD]]=1, "PhD", AND(Table1[[#This Row],[Basic]]=0, Table1[[#This Row],[Graduate]]=0, Table1[[#This Row],[Master]]=0, Table1[[#This Row],[PhD]]=0), "NA")</f>
        <v>Graduate</v>
      </c>
      <c r="Q1887" t="e">
        <f>_xlfn.XLOOKUP(Table1[[#This Row],[ID]], Table2[ID],#REF!, "Not Found", 0)</f>
        <v>#REF!</v>
      </c>
      <c r="R1887" t="e">
        <f>_xlfn.XLOOKUP(Table1[[#This Row],[ID]], Table2[ID],#REF!, "Not Found", 0)</f>
        <v>#REF!</v>
      </c>
      <c r="S1887" s="3" t="str">
        <f>_xlfn.XLOOKUP(Table1[[#This Row],[ID]], Table2[ID], Table2[Enrollment], "Not Found", 0)</f>
        <v>8/26/2019</v>
      </c>
      <c r="T1887" t="s">
        <v>439</v>
      </c>
    </row>
    <row r="1888" spans="1:20" x14ac:dyDescent="0.3">
      <c r="A1888">
        <v>2976</v>
      </c>
      <c r="B1888">
        <v>128420</v>
      </c>
      <c r="C1888">
        <v>1</v>
      </c>
      <c r="D1888">
        <v>0</v>
      </c>
      <c r="E1888">
        <v>53</v>
      </c>
      <c r="F1888">
        <v>1</v>
      </c>
      <c r="G1888">
        <v>0</v>
      </c>
      <c r="H1888">
        <v>0</v>
      </c>
      <c r="I1888">
        <v>0</v>
      </c>
      <c r="J1888">
        <v>0</v>
      </c>
      <c r="K1888">
        <v>0</v>
      </c>
      <c r="L1888">
        <v>0</v>
      </c>
      <c r="M1888">
        <v>0</v>
      </c>
      <c r="N1888">
        <v>1</v>
      </c>
      <c r="O1888" t="str" cm="1">
        <f t="array" ref="O1888">_xlfn.IFS(Table1[[#This Row],[Divorced]]=1, "Divorced", Table1[[#This Row],[Married]]=1, "Married", Table1[[#This Row],[Single]]=1, "Single", Table1[[#This Row],[Together]]=1, "Together", Table1[[#This Row],[Widow]]=1, "Widow")</f>
        <v>Divorced</v>
      </c>
      <c r="P1888" t="str" cm="1">
        <f t="array" ref="P1888">_xlfn.IFS(Table1[[#This Row],[Basic]]=1, "Basic", Table1[[#This Row],[Graduate]]=1, "Graduate", Table1[[#This Row],[Master]]=1, "Master", Table1[[#This Row],[PhD]]=1, "PhD", AND(Table1[[#This Row],[Basic]]=0, Table1[[#This Row],[Graduate]]=0, Table1[[#This Row],[Master]]=0, Table1[[#This Row],[PhD]]=0), "NA")</f>
        <v>PhD</v>
      </c>
      <c r="Q1888" t="e">
        <f>_xlfn.XLOOKUP(Table1[[#This Row],[ID]], Table2[ID],#REF!, "Not Found", 0)</f>
        <v>#REF!</v>
      </c>
      <c r="R1888" t="e">
        <f>_xlfn.XLOOKUP(Table1[[#This Row],[ID]], Table2[ID],#REF!, "Not Found", 0)</f>
        <v>#REF!</v>
      </c>
      <c r="S1888" s="3" t="str">
        <f>_xlfn.XLOOKUP(Table1[[#This Row],[ID]], Table2[ID], Table2[Enrollment], "Not Found", 0)</f>
        <v>5/30/2020</v>
      </c>
      <c r="T1888" t="s">
        <v>436</v>
      </c>
    </row>
    <row r="1889" spans="1:20" x14ac:dyDescent="0.3">
      <c r="A1889">
        <v>2721</v>
      </c>
      <c r="B1889">
        <v>128389</v>
      </c>
      <c r="C1889">
        <v>0</v>
      </c>
      <c r="D1889">
        <v>0</v>
      </c>
      <c r="E1889">
        <v>73</v>
      </c>
      <c r="F1889">
        <v>0</v>
      </c>
      <c r="G1889">
        <v>0</v>
      </c>
      <c r="H1889">
        <v>0</v>
      </c>
      <c r="I1889">
        <v>1</v>
      </c>
      <c r="J1889">
        <v>0</v>
      </c>
      <c r="K1889">
        <v>1</v>
      </c>
      <c r="L1889">
        <v>0</v>
      </c>
      <c r="M1889">
        <v>0</v>
      </c>
      <c r="N1889">
        <v>0</v>
      </c>
      <c r="O1889" t="str" cm="1">
        <f t="array" ref="O1889">_xlfn.IFS(Table1[[#This Row],[Divorced]]=1, "Divorced", Table1[[#This Row],[Married]]=1, "Married", Table1[[#This Row],[Single]]=1, "Single", Table1[[#This Row],[Together]]=1, "Together", Table1[[#This Row],[Widow]]=1, "Widow")</f>
        <v>Together</v>
      </c>
      <c r="P1889" t="str" cm="1">
        <f t="array" ref="P1889">_xlfn.IFS(Table1[[#This Row],[Basic]]=1, "Basic", Table1[[#This Row],[Graduate]]=1, "Graduate", Table1[[#This Row],[Master]]=1, "Master", Table1[[#This Row],[PhD]]=1, "PhD", AND(Table1[[#This Row],[Basic]]=0, Table1[[#This Row],[Graduate]]=0, Table1[[#This Row],[Master]]=0, Table1[[#This Row],[PhD]]=0), "NA")</f>
        <v>Basic</v>
      </c>
      <c r="Q1889" t="e">
        <f>_xlfn.XLOOKUP(Table1[[#This Row],[ID]], Table2[ID],#REF!, "Not Found", 0)</f>
        <v>#REF!</v>
      </c>
      <c r="R1889" t="e">
        <f>_xlfn.XLOOKUP(Table1[[#This Row],[ID]], Table2[ID],#REF!, "Not Found", 0)</f>
        <v>#REF!</v>
      </c>
      <c r="S1889" s="3" t="str">
        <f>_xlfn.XLOOKUP(Table1[[#This Row],[ID]], Table2[ID], Table2[Enrollment], "Not Found", 0)</f>
        <v>4/27/2019</v>
      </c>
      <c r="T1889" t="s">
        <v>435</v>
      </c>
    </row>
    <row r="1890" spans="1:20" x14ac:dyDescent="0.3">
      <c r="A1890">
        <v>2592</v>
      </c>
      <c r="B1890">
        <v>128359</v>
      </c>
      <c r="C1890">
        <v>1</v>
      </c>
      <c r="D1890">
        <v>0</v>
      </c>
      <c r="E1890">
        <v>37</v>
      </c>
      <c r="F1890">
        <v>0</v>
      </c>
      <c r="G1890">
        <v>0</v>
      </c>
      <c r="H1890">
        <v>0</v>
      </c>
      <c r="I1890">
        <v>1</v>
      </c>
      <c r="J1890">
        <v>0</v>
      </c>
      <c r="K1890">
        <v>0</v>
      </c>
      <c r="L1890">
        <v>1</v>
      </c>
      <c r="M1890">
        <v>0</v>
      </c>
      <c r="N1890">
        <v>0</v>
      </c>
      <c r="O1890" t="str" cm="1">
        <f t="array" ref="O1890">_xlfn.IFS(Table1[[#This Row],[Divorced]]=1, "Divorced", Table1[[#This Row],[Married]]=1, "Married", Table1[[#This Row],[Single]]=1, "Single", Table1[[#This Row],[Together]]=1, "Together", Table1[[#This Row],[Widow]]=1, "Widow")</f>
        <v>Together</v>
      </c>
      <c r="P1890" t="str" cm="1">
        <f t="array" ref="P1890">_xlfn.IFS(Table1[[#This Row],[Basic]]=1, "Basic", Table1[[#This Row],[Graduate]]=1, "Graduate", Table1[[#This Row],[Master]]=1, "Master", Table1[[#This Row],[PhD]]=1, "PhD", AND(Table1[[#This Row],[Basic]]=0, Table1[[#This Row],[Graduate]]=0, Table1[[#This Row],[Master]]=0, Table1[[#This Row],[PhD]]=0), "NA")</f>
        <v>Graduate</v>
      </c>
      <c r="Q1890" t="e">
        <f>_xlfn.XLOOKUP(Table1[[#This Row],[ID]], Table2[ID],#REF!, "Not Found", 0)</f>
        <v>#REF!</v>
      </c>
      <c r="R1890" t="e">
        <f>_xlfn.XLOOKUP(Table1[[#This Row],[ID]], Table2[ID],#REF!, "Not Found", 0)</f>
        <v>#REF!</v>
      </c>
      <c r="S1890" s="3">
        <f>_xlfn.XLOOKUP(Table1[[#This Row],[ID]], Table2[ID], Table2[Enrollment], "Not Found", 0)</f>
        <v>43865</v>
      </c>
      <c r="T1890" t="s">
        <v>436</v>
      </c>
    </row>
    <row r="1891" spans="1:20" x14ac:dyDescent="0.3">
      <c r="A1891">
        <v>1069</v>
      </c>
      <c r="B1891">
        <v>128332</v>
      </c>
      <c r="C1891">
        <v>0</v>
      </c>
      <c r="D1891">
        <v>0</v>
      </c>
      <c r="E1891">
        <v>68</v>
      </c>
      <c r="F1891">
        <v>0</v>
      </c>
      <c r="G1891">
        <v>1</v>
      </c>
      <c r="H1891">
        <v>0</v>
      </c>
      <c r="I1891">
        <v>0</v>
      </c>
      <c r="J1891">
        <v>0</v>
      </c>
      <c r="K1891">
        <v>0</v>
      </c>
      <c r="L1891">
        <v>1</v>
      </c>
      <c r="M1891">
        <v>0</v>
      </c>
      <c r="N1891">
        <v>0</v>
      </c>
      <c r="O1891" t="str" cm="1">
        <f t="array" ref="O1891">_xlfn.IFS(Table1[[#This Row],[Divorced]]=1, "Divorced", Table1[[#This Row],[Married]]=1, "Married", Table1[[#This Row],[Single]]=1, "Single", Table1[[#This Row],[Together]]=1, "Together", Table1[[#This Row],[Widow]]=1, "Widow")</f>
        <v>Married</v>
      </c>
      <c r="P1891" t="str" cm="1">
        <f t="array" ref="P1891">_xlfn.IFS(Table1[[#This Row],[Basic]]=1, "Basic", Table1[[#This Row],[Graduate]]=1, "Graduate", Table1[[#This Row],[Master]]=1, "Master", Table1[[#This Row],[PhD]]=1, "PhD", AND(Table1[[#This Row],[Basic]]=0, Table1[[#This Row],[Graduate]]=0, Table1[[#This Row],[Master]]=0, Table1[[#This Row],[PhD]]=0), "NA")</f>
        <v>Graduate</v>
      </c>
      <c r="Q1891" t="e">
        <f>_xlfn.XLOOKUP(Table1[[#This Row],[ID]], Table2[ID],#REF!, "Not Found", 0)</f>
        <v>#REF!</v>
      </c>
      <c r="R1891" t="e">
        <f>_xlfn.XLOOKUP(Table1[[#This Row],[ID]], Table2[ID],#REF!, "Not Found", 0)</f>
        <v>#REF!</v>
      </c>
      <c r="S1891" s="3">
        <f>_xlfn.XLOOKUP(Table1[[#This Row],[ID]], Table2[ID], Table2[Enrollment], "Not Found", 0)</f>
        <v>43931</v>
      </c>
      <c r="T1891" t="s">
        <v>437</v>
      </c>
    </row>
    <row r="1892" spans="1:20" x14ac:dyDescent="0.3">
      <c r="A1892">
        <v>2916</v>
      </c>
      <c r="B1892">
        <v>128320</v>
      </c>
      <c r="C1892">
        <v>0</v>
      </c>
      <c r="D1892">
        <v>1</v>
      </c>
      <c r="E1892">
        <v>70</v>
      </c>
      <c r="F1892">
        <v>0</v>
      </c>
      <c r="G1892">
        <v>0</v>
      </c>
      <c r="H1892">
        <v>0</v>
      </c>
      <c r="I1892">
        <v>1</v>
      </c>
      <c r="J1892">
        <v>0</v>
      </c>
      <c r="K1892">
        <v>0</v>
      </c>
      <c r="L1892">
        <v>1</v>
      </c>
      <c r="M1892">
        <v>0</v>
      </c>
      <c r="N1892">
        <v>0</v>
      </c>
      <c r="O1892" t="str" cm="1">
        <f t="array" ref="O1892">_xlfn.IFS(Table1[[#This Row],[Divorced]]=1, "Divorced", Table1[[#This Row],[Married]]=1, "Married", Table1[[#This Row],[Single]]=1, "Single", Table1[[#This Row],[Together]]=1, "Together", Table1[[#This Row],[Widow]]=1, "Widow")</f>
        <v>Together</v>
      </c>
      <c r="P1892" t="str" cm="1">
        <f t="array" ref="P1892">_xlfn.IFS(Table1[[#This Row],[Basic]]=1, "Basic", Table1[[#This Row],[Graduate]]=1, "Graduate", Table1[[#This Row],[Master]]=1, "Master", Table1[[#This Row],[PhD]]=1, "PhD", AND(Table1[[#This Row],[Basic]]=0, Table1[[#This Row],[Graduate]]=0, Table1[[#This Row],[Master]]=0, Table1[[#This Row],[PhD]]=0), "NA")</f>
        <v>Graduate</v>
      </c>
      <c r="Q1892" t="e">
        <f>_xlfn.XLOOKUP(Table1[[#This Row],[ID]], Table2[ID],#REF!, "Not Found", 0)</f>
        <v>#REF!</v>
      </c>
      <c r="R1892" t="e">
        <f>_xlfn.XLOOKUP(Table1[[#This Row],[ID]], Table2[ID],#REF!, "Not Found", 0)</f>
        <v>#REF!</v>
      </c>
      <c r="S1892" s="3" t="str">
        <f>_xlfn.XLOOKUP(Table1[[#This Row],[ID]], Table2[ID], Table2[Enrollment], "Not Found", 0)</f>
        <v>6/21/2019</v>
      </c>
      <c r="T1892" t="s">
        <v>436</v>
      </c>
    </row>
    <row r="1893" spans="1:20" x14ac:dyDescent="0.3">
      <c r="A1893">
        <v>1173</v>
      </c>
      <c r="B1893">
        <v>128249</v>
      </c>
      <c r="C1893">
        <v>0</v>
      </c>
      <c r="D1893">
        <v>0</v>
      </c>
      <c r="E1893">
        <v>59</v>
      </c>
      <c r="F1893">
        <v>0</v>
      </c>
      <c r="G1893">
        <v>1</v>
      </c>
      <c r="H1893">
        <v>0</v>
      </c>
      <c r="I1893">
        <v>0</v>
      </c>
      <c r="J1893">
        <v>0</v>
      </c>
      <c r="K1893">
        <v>1</v>
      </c>
      <c r="L1893">
        <v>0</v>
      </c>
      <c r="M1893">
        <v>0</v>
      </c>
      <c r="N1893">
        <v>0</v>
      </c>
      <c r="O1893" t="str" cm="1">
        <f t="array" ref="O1893">_xlfn.IFS(Table1[[#This Row],[Divorced]]=1, "Divorced", Table1[[#This Row],[Married]]=1, "Married", Table1[[#This Row],[Single]]=1, "Single", Table1[[#This Row],[Together]]=1, "Together", Table1[[#This Row],[Widow]]=1, "Widow")</f>
        <v>Married</v>
      </c>
      <c r="P1893" t="str" cm="1">
        <f t="array" ref="P1893">_xlfn.IFS(Table1[[#This Row],[Basic]]=1, "Basic", Table1[[#This Row],[Graduate]]=1, "Graduate", Table1[[#This Row],[Master]]=1, "Master", Table1[[#This Row],[PhD]]=1, "PhD", AND(Table1[[#This Row],[Basic]]=0, Table1[[#This Row],[Graduate]]=0, Table1[[#This Row],[Master]]=0, Table1[[#This Row],[PhD]]=0), "NA")</f>
        <v>Basic</v>
      </c>
      <c r="Q1893" t="e">
        <f>_xlfn.XLOOKUP(Table1[[#This Row],[ID]], Table2[ID],#REF!, "Not Found", 0)</f>
        <v>#REF!</v>
      </c>
      <c r="R1893" t="e">
        <f>_xlfn.XLOOKUP(Table1[[#This Row],[ID]], Table2[ID],#REF!, "Not Found", 0)</f>
        <v>#REF!</v>
      </c>
      <c r="S1893" s="3" t="str">
        <f>_xlfn.XLOOKUP(Table1[[#This Row],[ID]], Table2[ID], Table2[Enrollment], "Not Found", 0)</f>
        <v>11/19/2020</v>
      </c>
      <c r="T1893" t="s">
        <v>435</v>
      </c>
    </row>
    <row r="1894" spans="1:20" x14ac:dyDescent="0.3">
      <c r="A1894">
        <v>2743</v>
      </c>
      <c r="B1894">
        <v>128249</v>
      </c>
      <c r="C1894">
        <v>0</v>
      </c>
      <c r="D1894">
        <v>0</v>
      </c>
      <c r="E1894">
        <v>59</v>
      </c>
      <c r="F1894">
        <v>0</v>
      </c>
      <c r="G1894">
        <v>1</v>
      </c>
      <c r="H1894">
        <v>0</v>
      </c>
      <c r="I1894">
        <v>0</v>
      </c>
      <c r="J1894">
        <v>0</v>
      </c>
      <c r="K1894">
        <v>1</v>
      </c>
      <c r="L1894">
        <v>0</v>
      </c>
      <c r="M1894">
        <v>0</v>
      </c>
      <c r="N1894">
        <v>0</v>
      </c>
      <c r="O1894" t="str" cm="1">
        <f t="array" ref="O1894">_xlfn.IFS(Table1[[#This Row],[Divorced]]=1, "Divorced", Table1[[#This Row],[Married]]=1, "Married", Table1[[#This Row],[Single]]=1, "Single", Table1[[#This Row],[Together]]=1, "Together", Table1[[#This Row],[Widow]]=1, "Widow")</f>
        <v>Married</v>
      </c>
      <c r="P1894" t="str" cm="1">
        <f t="array" ref="P1894">_xlfn.IFS(Table1[[#This Row],[Basic]]=1, "Basic", Table1[[#This Row],[Graduate]]=1, "Graduate", Table1[[#This Row],[Master]]=1, "Master", Table1[[#This Row],[PhD]]=1, "PhD", AND(Table1[[#This Row],[Basic]]=0, Table1[[#This Row],[Graduate]]=0, Table1[[#This Row],[Master]]=0, Table1[[#This Row],[PhD]]=0), "NA")</f>
        <v>Basic</v>
      </c>
      <c r="Q1894" t="e">
        <f>_xlfn.XLOOKUP(Table1[[#This Row],[ID]], Table2[ID],#REF!, "Not Found", 0)</f>
        <v>#REF!</v>
      </c>
      <c r="R1894" t="e">
        <f>_xlfn.XLOOKUP(Table1[[#This Row],[ID]], Table2[ID],#REF!, "Not Found", 0)</f>
        <v>#REF!</v>
      </c>
      <c r="S1894" s="3" t="str">
        <f>_xlfn.XLOOKUP(Table1[[#This Row],[ID]], Table2[ID], Table2[Enrollment], "Not Found", 0)</f>
        <v>11/19/2020</v>
      </c>
      <c r="T1894" t="s">
        <v>437</v>
      </c>
    </row>
    <row r="1895" spans="1:20" x14ac:dyDescent="0.3">
      <c r="A1895">
        <v>2401</v>
      </c>
      <c r="B1895">
        <v>128164</v>
      </c>
      <c r="C1895">
        <v>1</v>
      </c>
      <c r="D1895">
        <v>0</v>
      </c>
      <c r="E1895">
        <v>50</v>
      </c>
      <c r="F1895">
        <v>0</v>
      </c>
      <c r="G1895">
        <v>1</v>
      </c>
      <c r="H1895">
        <v>0</v>
      </c>
      <c r="I1895">
        <v>0</v>
      </c>
      <c r="J1895">
        <v>0</v>
      </c>
      <c r="K1895">
        <v>0</v>
      </c>
      <c r="L1895">
        <v>1</v>
      </c>
      <c r="M1895">
        <v>0</v>
      </c>
      <c r="N1895">
        <v>0</v>
      </c>
      <c r="O1895" t="str" cm="1">
        <f t="array" ref="O1895">_xlfn.IFS(Table1[[#This Row],[Divorced]]=1, "Divorced", Table1[[#This Row],[Married]]=1, "Married", Table1[[#This Row],[Single]]=1, "Single", Table1[[#This Row],[Together]]=1, "Together", Table1[[#This Row],[Widow]]=1, "Widow")</f>
        <v>Married</v>
      </c>
      <c r="P1895" t="str" cm="1">
        <f t="array" ref="P1895">_xlfn.IFS(Table1[[#This Row],[Basic]]=1, "Basic", Table1[[#This Row],[Graduate]]=1, "Graduate", Table1[[#This Row],[Master]]=1, "Master", Table1[[#This Row],[PhD]]=1, "PhD", AND(Table1[[#This Row],[Basic]]=0, Table1[[#This Row],[Graduate]]=0, Table1[[#This Row],[Master]]=0, Table1[[#This Row],[PhD]]=0), "NA")</f>
        <v>Graduate</v>
      </c>
      <c r="Q1895" t="e">
        <f>_xlfn.XLOOKUP(Table1[[#This Row],[ID]], Table2[ID],#REF!, "Not Found", 0)</f>
        <v>#REF!</v>
      </c>
      <c r="R1895" t="e">
        <f>_xlfn.XLOOKUP(Table1[[#This Row],[ID]], Table2[ID],#REF!, "Not Found", 0)</f>
        <v>#REF!</v>
      </c>
      <c r="S1895" s="3">
        <f>_xlfn.XLOOKUP(Table1[[#This Row],[ID]], Table2[ID], Table2[Enrollment], "Not Found", 0)</f>
        <v>43718</v>
      </c>
      <c r="T1895" t="s">
        <v>437</v>
      </c>
    </row>
    <row r="1896" spans="1:20" x14ac:dyDescent="0.3">
      <c r="A1896">
        <v>2503</v>
      </c>
      <c r="B1896">
        <v>128087</v>
      </c>
      <c r="C1896">
        <v>1</v>
      </c>
      <c r="D1896">
        <v>1</v>
      </c>
      <c r="E1896">
        <v>62</v>
      </c>
      <c r="F1896">
        <v>0</v>
      </c>
      <c r="G1896">
        <v>0</v>
      </c>
      <c r="H1896">
        <v>0</v>
      </c>
      <c r="I1896">
        <v>1</v>
      </c>
      <c r="J1896">
        <v>0</v>
      </c>
      <c r="K1896">
        <v>0</v>
      </c>
      <c r="L1896">
        <v>1</v>
      </c>
      <c r="M1896">
        <v>0</v>
      </c>
      <c r="N1896">
        <v>0</v>
      </c>
      <c r="O1896" t="str" cm="1">
        <f t="array" ref="O1896">_xlfn.IFS(Table1[[#This Row],[Divorced]]=1, "Divorced", Table1[[#This Row],[Married]]=1, "Married", Table1[[#This Row],[Single]]=1, "Single", Table1[[#This Row],[Together]]=1, "Together", Table1[[#This Row],[Widow]]=1, "Widow")</f>
        <v>Together</v>
      </c>
      <c r="P1896" t="str" cm="1">
        <f t="array" ref="P1896">_xlfn.IFS(Table1[[#This Row],[Basic]]=1, "Basic", Table1[[#This Row],[Graduate]]=1, "Graduate", Table1[[#This Row],[Master]]=1, "Master", Table1[[#This Row],[PhD]]=1, "PhD", AND(Table1[[#This Row],[Basic]]=0, Table1[[#This Row],[Graduate]]=0, Table1[[#This Row],[Master]]=0, Table1[[#This Row],[PhD]]=0), "NA")</f>
        <v>Graduate</v>
      </c>
      <c r="Q1896" t="e">
        <f>_xlfn.XLOOKUP(Table1[[#This Row],[ID]], Table2[ID],#REF!, "Not Found", 0)</f>
        <v>#REF!</v>
      </c>
      <c r="R1896" t="e">
        <f>_xlfn.XLOOKUP(Table1[[#This Row],[ID]], Table2[ID],#REF!, "Not Found", 0)</f>
        <v>#REF!</v>
      </c>
      <c r="S1896" s="3" t="str">
        <f>_xlfn.XLOOKUP(Table1[[#This Row],[ID]], Table2[ID], Table2[Enrollment], "Not Found", 0)</f>
        <v>5/18/2019</v>
      </c>
      <c r="T1896" t="s">
        <v>437</v>
      </c>
    </row>
    <row r="1897" spans="1:20" x14ac:dyDescent="0.3">
      <c r="A1897">
        <v>2440</v>
      </c>
      <c r="B1897">
        <v>128072</v>
      </c>
      <c r="C1897">
        <v>1</v>
      </c>
      <c r="D1897">
        <v>0</v>
      </c>
      <c r="E1897">
        <v>34</v>
      </c>
      <c r="F1897">
        <v>0</v>
      </c>
      <c r="G1897">
        <v>1</v>
      </c>
      <c r="H1897">
        <v>0</v>
      </c>
      <c r="I1897">
        <v>0</v>
      </c>
      <c r="J1897">
        <v>0</v>
      </c>
      <c r="K1897">
        <v>0</v>
      </c>
      <c r="L1897">
        <v>0</v>
      </c>
      <c r="M1897">
        <v>1</v>
      </c>
      <c r="N1897">
        <v>0</v>
      </c>
      <c r="O1897" t="str" cm="1">
        <f t="array" ref="O1897">_xlfn.IFS(Table1[[#This Row],[Divorced]]=1, "Divorced", Table1[[#This Row],[Married]]=1, "Married", Table1[[#This Row],[Single]]=1, "Single", Table1[[#This Row],[Together]]=1, "Together", Table1[[#This Row],[Widow]]=1, "Widow")</f>
        <v>Married</v>
      </c>
      <c r="P1897" t="str" cm="1">
        <f t="array" ref="P1897">_xlfn.IFS(Table1[[#This Row],[Basic]]=1, "Basic", Table1[[#This Row],[Graduate]]=1, "Graduate", Table1[[#This Row],[Master]]=1, "Master", Table1[[#This Row],[PhD]]=1, "PhD", AND(Table1[[#This Row],[Basic]]=0, Table1[[#This Row],[Graduate]]=0, Table1[[#This Row],[Master]]=0, Table1[[#This Row],[PhD]]=0), "NA")</f>
        <v>Master</v>
      </c>
      <c r="Q1897" t="e">
        <f>_xlfn.XLOOKUP(Table1[[#This Row],[ID]], Table2[ID],#REF!, "Not Found", 0)</f>
        <v>#REF!</v>
      </c>
      <c r="R1897" t="e">
        <f>_xlfn.XLOOKUP(Table1[[#This Row],[ID]], Table2[ID],#REF!, "Not Found", 0)</f>
        <v>#REF!</v>
      </c>
      <c r="S1897" s="3" t="str">
        <f>_xlfn.XLOOKUP(Table1[[#This Row],[ID]], Table2[ID], Table2[Enrollment], "Not Found", 0)</f>
        <v>12/13/2019</v>
      </c>
      <c r="T1897" t="s">
        <v>439</v>
      </c>
    </row>
    <row r="1898" spans="1:20" x14ac:dyDescent="0.3">
      <c r="A1898">
        <v>2016</v>
      </c>
      <c r="B1898">
        <v>128071</v>
      </c>
      <c r="C1898">
        <v>0</v>
      </c>
      <c r="D1898">
        <v>0</v>
      </c>
      <c r="E1898">
        <v>40</v>
      </c>
      <c r="F1898">
        <v>0</v>
      </c>
      <c r="G1898">
        <v>0</v>
      </c>
      <c r="H1898">
        <v>1</v>
      </c>
      <c r="I1898">
        <v>0</v>
      </c>
      <c r="J1898">
        <v>0</v>
      </c>
      <c r="K1898">
        <v>0</v>
      </c>
      <c r="L1898">
        <v>1</v>
      </c>
      <c r="M1898">
        <v>0</v>
      </c>
      <c r="N1898">
        <v>0</v>
      </c>
      <c r="O1898" t="str" cm="1">
        <f t="array" ref="O1898">_xlfn.IFS(Table1[[#This Row],[Divorced]]=1, "Divorced", Table1[[#This Row],[Married]]=1, "Married", Table1[[#This Row],[Single]]=1, "Single", Table1[[#This Row],[Together]]=1, "Together", Table1[[#This Row],[Widow]]=1, "Widow")</f>
        <v>Single</v>
      </c>
      <c r="P1898" t="str" cm="1">
        <f t="array" ref="P1898">_xlfn.IFS(Table1[[#This Row],[Basic]]=1, "Basic", Table1[[#This Row],[Graduate]]=1, "Graduate", Table1[[#This Row],[Master]]=1, "Master", Table1[[#This Row],[PhD]]=1, "PhD", AND(Table1[[#This Row],[Basic]]=0, Table1[[#This Row],[Graduate]]=0, Table1[[#This Row],[Master]]=0, Table1[[#This Row],[PhD]]=0), "NA")</f>
        <v>Graduate</v>
      </c>
      <c r="Q1898" t="e">
        <f>_xlfn.XLOOKUP(Table1[[#This Row],[ID]], Table2[ID],#REF!, "Not Found", 0)</f>
        <v>#REF!</v>
      </c>
      <c r="R1898" t="e">
        <f>_xlfn.XLOOKUP(Table1[[#This Row],[ID]], Table2[ID],#REF!, "Not Found", 0)</f>
        <v>#REF!</v>
      </c>
      <c r="S1898" s="3">
        <f>_xlfn.XLOOKUP(Table1[[#This Row],[ID]], Table2[ID], Table2[Enrollment], "Not Found", 0)</f>
        <v>43526</v>
      </c>
      <c r="T1898" t="s">
        <v>436</v>
      </c>
    </row>
    <row r="1899" spans="1:20" x14ac:dyDescent="0.3">
      <c r="A1899">
        <v>2992</v>
      </c>
      <c r="B1899">
        <v>127943</v>
      </c>
      <c r="C1899">
        <v>1</v>
      </c>
      <c r="D1899">
        <v>1</v>
      </c>
      <c r="E1899">
        <v>53</v>
      </c>
      <c r="F1899">
        <v>0</v>
      </c>
      <c r="G1899">
        <v>0</v>
      </c>
      <c r="H1899">
        <v>0</v>
      </c>
      <c r="I1899">
        <v>1</v>
      </c>
      <c r="J1899">
        <v>0</v>
      </c>
      <c r="K1899">
        <v>0</v>
      </c>
      <c r="L1899">
        <v>1</v>
      </c>
      <c r="M1899">
        <v>0</v>
      </c>
      <c r="N1899">
        <v>0</v>
      </c>
      <c r="O1899" t="str" cm="1">
        <f t="array" ref="O1899">_xlfn.IFS(Table1[[#This Row],[Divorced]]=1, "Divorced", Table1[[#This Row],[Married]]=1, "Married", Table1[[#This Row],[Single]]=1, "Single", Table1[[#This Row],[Together]]=1, "Together", Table1[[#This Row],[Widow]]=1, "Widow")</f>
        <v>Together</v>
      </c>
      <c r="P1899" t="str" cm="1">
        <f t="array" ref="P1899">_xlfn.IFS(Table1[[#This Row],[Basic]]=1, "Basic", Table1[[#This Row],[Graduate]]=1, "Graduate", Table1[[#This Row],[Master]]=1, "Master", Table1[[#This Row],[PhD]]=1, "PhD", AND(Table1[[#This Row],[Basic]]=0, Table1[[#This Row],[Graduate]]=0, Table1[[#This Row],[Master]]=0, Table1[[#This Row],[PhD]]=0), "NA")</f>
        <v>Graduate</v>
      </c>
      <c r="Q1899" t="e">
        <f>_xlfn.XLOOKUP(Table1[[#This Row],[ID]], Table2[ID],#REF!, "Not Found", 0)</f>
        <v>#REF!</v>
      </c>
      <c r="R1899" t="e">
        <f>_xlfn.XLOOKUP(Table1[[#This Row],[ID]], Table2[ID],#REF!, "Not Found", 0)</f>
        <v>#REF!</v>
      </c>
      <c r="S1899" s="3" t="str">
        <f>_xlfn.XLOOKUP(Table1[[#This Row],[ID]], Table2[ID], Table2[Enrollment], "Not Found", 0)</f>
        <v>9/20/2019</v>
      </c>
      <c r="T1899" t="s">
        <v>439</v>
      </c>
    </row>
    <row r="1900" spans="1:20" x14ac:dyDescent="0.3">
      <c r="A1900">
        <v>1054</v>
      </c>
      <c r="B1900">
        <v>127938</v>
      </c>
      <c r="C1900">
        <v>1</v>
      </c>
      <c r="D1900">
        <v>0</v>
      </c>
      <c r="E1900">
        <v>32</v>
      </c>
      <c r="F1900">
        <v>0</v>
      </c>
      <c r="G1900">
        <v>0</v>
      </c>
      <c r="H1900">
        <v>1</v>
      </c>
      <c r="I1900">
        <v>0</v>
      </c>
      <c r="J1900">
        <v>0</v>
      </c>
      <c r="K1900">
        <v>0</v>
      </c>
      <c r="L1900">
        <v>1</v>
      </c>
      <c r="M1900">
        <v>0</v>
      </c>
      <c r="N1900">
        <v>0</v>
      </c>
      <c r="O1900" t="str" cm="1">
        <f t="array" ref="O1900">_xlfn.IFS(Table1[[#This Row],[Divorced]]=1, "Divorced", Table1[[#This Row],[Married]]=1, "Married", Table1[[#This Row],[Single]]=1, "Single", Table1[[#This Row],[Together]]=1, "Together", Table1[[#This Row],[Widow]]=1, "Widow")</f>
        <v>Single</v>
      </c>
      <c r="P1900" t="str" cm="1">
        <f t="array" ref="P1900">_xlfn.IFS(Table1[[#This Row],[Basic]]=1, "Basic", Table1[[#This Row],[Graduate]]=1, "Graduate", Table1[[#This Row],[Master]]=1, "Master", Table1[[#This Row],[PhD]]=1, "PhD", AND(Table1[[#This Row],[Basic]]=0, Table1[[#This Row],[Graduate]]=0, Table1[[#This Row],[Master]]=0, Table1[[#This Row],[PhD]]=0), "NA")</f>
        <v>Graduate</v>
      </c>
      <c r="Q1900" t="e">
        <f>_xlfn.XLOOKUP(Table1[[#This Row],[ID]], Table2[ID],#REF!, "Not Found", 0)</f>
        <v>#REF!</v>
      </c>
      <c r="R1900" t="e">
        <f>_xlfn.XLOOKUP(Table1[[#This Row],[ID]], Table2[ID],#REF!, "Not Found", 0)</f>
        <v>#REF!</v>
      </c>
      <c r="S1900" s="3">
        <f>_xlfn.XLOOKUP(Table1[[#This Row],[ID]], Table2[ID], Table2[Enrollment], "Not Found", 0)</f>
        <v>43871</v>
      </c>
      <c r="T1900" t="s">
        <v>439</v>
      </c>
    </row>
    <row r="1901" spans="1:20" x14ac:dyDescent="0.3">
      <c r="A1901">
        <v>1931</v>
      </c>
      <c r="B1901">
        <v>127922</v>
      </c>
      <c r="C1901">
        <v>1</v>
      </c>
      <c r="D1901">
        <v>0</v>
      </c>
      <c r="E1901">
        <v>41</v>
      </c>
      <c r="F1901">
        <v>0</v>
      </c>
      <c r="G1901">
        <v>0</v>
      </c>
      <c r="H1901">
        <v>0</v>
      </c>
      <c r="I1901">
        <v>1</v>
      </c>
      <c r="J1901">
        <v>0</v>
      </c>
      <c r="K1901">
        <v>0</v>
      </c>
      <c r="L1901">
        <v>0</v>
      </c>
      <c r="M1901">
        <v>0</v>
      </c>
      <c r="N1901">
        <v>1</v>
      </c>
      <c r="O1901" t="str" cm="1">
        <f t="array" ref="O1901">_xlfn.IFS(Table1[[#This Row],[Divorced]]=1, "Divorced", Table1[[#This Row],[Married]]=1, "Married", Table1[[#This Row],[Single]]=1, "Single", Table1[[#This Row],[Together]]=1, "Together", Table1[[#This Row],[Widow]]=1, "Widow")</f>
        <v>Together</v>
      </c>
      <c r="P1901" t="str" cm="1">
        <f t="array" ref="P1901">_xlfn.IFS(Table1[[#This Row],[Basic]]=1, "Basic", Table1[[#This Row],[Graduate]]=1, "Graduate", Table1[[#This Row],[Master]]=1, "Master", Table1[[#This Row],[PhD]]=1, "PhD", AND(Table1[[#This Row],[Basic]]=0, Table1[[#This Row],[Graduate]]=0, Table1[[#This Row],[Master]]=0, Table1[[#This Row],[PhD]]=0), "NA")</f>
        <v>PhD</v>
      </c>
      <c r="Q1901" t="e">
        <f>_xlfn.XLOOKUP(Table1[[#This Row],[ID]], Table2[ID],#REF!, "Not Found", 0)</f>
        <v>#REF!</v>
      </c>
      <c r="R1901" t="e">
        <f>_xlfn.XLOOKUP(Table1[[#This Row],[ID]], Table2[ID],#REF!, "Not Found", 0)</f>
        <v>#REF!</v>
      </c>
      <c r="S1901" s="3" t="str">
        <f>_xlfn.XLOOKUP(Table1[[#This Row],[ID]], Table2[ID], Table2[Enrollment], "Not Found", 0)</f>
        <v>10/14/2020</v>
      </c>
      <c r="T1901" t="s">
        <v>434</v>
      </c>
    </row>
    <row r="1902" spans="1:20" x14ac:dyDescent="0.3">
      <c r="A1902">
        <v>3049</v>
      </c>
      <c r="B1902">
        <v>127889</v>
      </c>
      <c r="C1902">
        <v>1</v>
      </c>
      <c r="D1902">
        <v>0</v>
      </c>
      <c r="E1902">
        <v>43</v>
      </c>
      <c r="F1902">
        <v>0</v>
      </c>
      <c r="G1902">
        <v>1</v>
      </c>
      <c r="H1902">
        <v>0</v>
      </c>
      <c r="I1902">
        <v>0</v>
      </c>
      <c r="J1902">
        <v>0</v>
      </c>
      <c r="K1902">
        <v>0</v>
      </c>
      <c r="L1902">
        <v>0</v>
      </c>
      <c r="M1902">
        <v>1</v>
      </c>
      <c r="N1902">
        <v>0</v>
      </c>
      <c r="O1902" t="str" cm="1">
        <f t="array" ref="O1902">_xlfn.IFS(Table1[[#This Row],[Divorced]]=1, "Divorced", Table1[[#This Row],[Married]]=1, "Married", Table1[[#This Row],[Single]]=1, "Single", Table1[[#This Row],[Together]]=1, "Together", Table1[[#This Row],[Widow]]=1, "Widow")</f>
        <v>Married</v>
      </c>
      <c r="P1902" t="str" cm="1">
        <f t="array" ref="P1902">_xlfn.IFS(Table1[[#This Row],[Basic]]=1, "Basic", Table1[[#This Row],[Graduate]]=1, "Graduate", Table1[[#This Row],[Master]]=1, "Master", Table1[[#This Row],[PhD]]=1, "PhD", AND(Table1[[#This Row],[Basic]]=0, Table1[[#This Row],[Graduate]]=0, Table1[[#This Row],[Master]]=0, Table1[[#This Row],[PhD]]=0), "NA")</f>
        <v>Master</v>
      </c>
      <c r="Q1902" t="e">
        <f>_xlfn.XLOOKUP(Table1[[#This Row],[ID]], Table2[ID],#REF!, "Not Found", 0)</f>
        <v>#REF!</v>
      </c>
      <c r="R1902" t="e">
        <f>_xlfn.XLOOKUP(Table1[[#This Row],[ID]], Table2[ID],#REF!, "Not Found", 0)</f>
        <v>#REF!</v>
      </c>
      <c r="S1902" s="3">
        <f>_xlfn.XLOOKUP(Table1[[#This Row],[ID]], Table2[ID], Table2[Enrollment], "Not Found", 0)</f>
        <v>43750</v>
      </c>
      <c r="T1902" t="s">
        <v>437</v>
      </c>
    </row>
    <row r="1903" spans="1:20" x14ac:dyDescent="0.3">
      <c r="A1903">
        <v>3051</v>
      </c>
      <c r="B1903">
        <v>127803</v>
      </c>
      <c r="C1903">
        <v>1</v>
      </c>
      <c r="D1903">
        <v>0</v>
      </c>
      <c r="E1903">
        <v>47</v>
      </c>
      <c r="F1903">
        <v>0</v>
      </c>
      <c r="G1903">
        <v>1</v>
      </c>
      <c r="H1903">
        <v>0</v>
      </c>
      <c r="I1903">
        <v>0</v>
      </c>
      <c r="J1903">
        <v>0</v>
      </c>
      <c r="K1903">
        <v>0</v>
      </c>
      <c r="L1903">
        <v>1</v>
      </c>
      <c r="M1903">
        <v>0</v>
      </c>
      <c r="N1903">
        <v>0</v>
      </c>
      <c r="O1903" t="str" cm="1">
        <f t="array" ref="O1903">_xlfn.IFS(Table1[[#This Row],[Divorced]]=1, "Divorced", Table1[[#This Row],[Married]]=1, "Married", Table1[[#This Row],[Single]]=1, "Single", Table1[[#This Row],[Together]]=1, "Together", Table1[[#This Row],[Widow]]=1, "Widow")</f>
        <v>Married</v>
      </c>
      <c r="P1903" t="str" cm="1">
        <f t="array" ref="P1903">_xlfn.IFS(Table1[[#This Row],[Basic]]=1, "Basic", Table1[[#This Row],[Graduate]]=1, "Graduate", Table1[[#This Row],[Master]]=1, "Master", Table1[[#This Row],[PhD]]=1, "PhD", AND(Table1[[#This Row],[Basic]]=0, Table1[[#This Row],[Graduate]]=0, Table1[[#This Row],[Master]]=0, Table1[[#This Row],[PhD]]=0), "NA")</f>
        <v>Graduate</v>
      </c>
      <c r="Q1903" t="e">
        <f>_xlfn.XLOOKUP(Table1[[#This Row],[ID]], Table2[ID],#REF!, "Not Found", 0)</f>
        <v>#REF!</v>
      </c>
      <c r="R1903" t="e">
        <f>_xlfn.XLOOKUP(Table1[[#This Row],[ID]], Table2[ID],#REF!, "Not Found", 0)</f>
        <v>#REF!</v>
      </c>
      <c r="S1903" s="3" t="str">
        <f>_xlfn.XLOOKUP(Table1[[#This Row],[ID]], Table2[ID], Table2[Enrollment], "Not Found", 0)</f>
        <v>1/31/2019</v>
      </c>
      <c r="T1903" t="s">
        <v>435</v>
      </c>
    </row>
    <row r="1904" spans="1:20" x14ac:dyDescent="0.3">
      <c r="A1904">
        <v>3085</v>
      </c>
      <c r="B1904">
        <v>127733</v>
      </c>
      <c r="C1904">
        <v>1</v>
      </c>
      <c r="D1904">
        <v>0</v>
      </c>
      <c r="E1904">
        <v>39</v>
      </c>
      <c r="F1904">
        <v>0</v>
      </c>
      <c r="G1904">
        <v>1</v>
      </c>
      <c r="H1904">
        <v>0</v>
      </c>
      <c r="I1904">
        <v>0</v>
      </c>
      <c r="J1904">
        <v>0</v>
      </c>
      <c r="K1904">
        <v>0</v>
      </c>
      <c r="L1904">
        <v>0</v>
      </c>
      <c r="M1904">
        <v>0</v>
      </c>
      <c r="N1904">
        <v>0</v>
      </c>
      <c r="O1904" t="str" cm="1">
        <f t="array" ref="O1904">_xlfn.IFS(Table1[[#This Row],[Divorced]]=1, "Divorced", Table1[[#This Row],[Married]]=1, "Married", Table1[[#This Row],[Single]]=1, "Single", Table1[[#This Row],[Together]]=1, "Together", Table1[[#This Row],[Widow]]=1, "Widow")</f>
        <v>Married</v>
      </c>
      <c r="P1904" t="str" cm="1">
        <f t="array" ref="P1904">_xlfn.IFS(Table1[[#This Row],[Basic]]=1, "Basic", Table1[[#This Row],[Graduate]]=1, "Graduate", Table1[[#This Row],[Master]]=1, "Master", Table1[[#This Row],[PhD]]=1, "PhD", AND(Table1[[#This Row],[Basic]]=0, Table1[[#This Row],[Graduate]]=0, Table1[[#This Row],[Master]]=0, Table1[[#This Row],[PhD]]=0), "NA")</f>
        <v>NA</v>
      </c>
      <c r="Q1904" t="e">
        <f>_xlfn.XLOOKUP(Table1[[#This Row],[ID]], Table2[ID],#REF!, "Not Found", 0)</f>
        <v>#REF!</v>
      </c>
      <c r="R1904" t="e">
        <f>_xlfn.XLOOKUP(Table1[[#This Row],[ID]], Table2[ID],#REF!, "Not Found", 0)</f>
        <v>#REF!</v>
      </c>
      <c r="S1904" s="3" t="str">
        <f>_xlfn.XLOOKUP(Table1[[#This Row],[ID]], Table2[ID], Table2[Enrollment], "Not Found", 0)</f>
        <v>1/31/2020</v>
      </c>
      <c r="T1904" t="s">
        <v>437</v>
      </c>
    </row>
    <row r="1905" spans="1:20" x14ac:dyDescent="0.3">
      <c r="A1905">
        <v>2225</v>
      </c>
      <c r="B1905">
        <v>127683</v>
      </c>
      <c r="C1905">
        <v>1</v>
      </c>
      <c r="D1905">
        <v>0</v>
      </c>
      <c r="E1905">
        <v>42</v>
      </c>
      <c r="F1905">
        <v>0</v>
      </c>
      <c r="G1905">
        <v>0</v>
      </c>
      <c r="H1905">
        <v>0</v>
      </c>
      <c r="I1905">
        <v>1</v>
      </c>
      <c r="J1905">
        <v>0</v>
      </c>
      <c r="K1905">
        <v>0</v>
      </c>
      <c r="L1905">
        <v>0</v>
      </c>
      <c r="M1905">
        <v>0</v>
      </c>
      <c r="N1905">
        <v>1</v>
      </c>
      <c r="O1905" t="str" cm="1">
        <f t="array" ref="O1905">_xlfn.IFS(Table1[[#This Row],[Divorced]]=1, "Divorced", Table1[[#This Row],[Married]]=1, "Married", Table1[[#This Row],[Single]]=1, "Single", Table1[[#This Row],[Together]]=1, "Together", Table1[[#This Row],[Widow]]=1, "Widow")</f>
        <v>Together</v>
      </c>
      <c r="P1905" t="str" cm="1">
        <f t="array" ref="P1905">_xlfn.IFS(Table1[[#This Row],[Basic]]=1, "Basic", Table1[[#This Row],[Graduate]]=1, "Graduate", Table1[[#This Row],[Master]]=1, "Master", Table1[[#This Row],[PhD]]=1, "PhD", AND(Table1[[#This Row],[Basic]]=0, Table1[[#This Row],[Graduate]]=0, Table1[[#This Row],[Master]]=0, Table1[[#This Row],[PhD]]=0), "NA")</f>
        <v>PhD</v>
      </c>
      <c r="Q1905" t="e">
        <f>_xlfn.XLOOKUP(Table1[[#This Row],[ID]], Table2[ID],#REF!, "Not Found", 0)</f>
        <v>#REF!</v>
      </c>
      <c r="R1905" t="e">
        <f>_xlfn.XLOOKUP(Table1[[#This Row],[ID]], Table2[ID],#REF!, "Not Found", 0)</f>
        <v>#REF!</v>
      </c>
      <c r="S1905" s="3">
        <f>_xlfn.XLOOKUP(Table1[[#This Row],[ID]], Table2[ID], Table2[Enrollment], "Not Found", 0)</f>
        <v>43709</v>
      </c>
      <c r="T1905" t="s">
        <v>434</v>
      </c>
    </row>
    <row r="1906" spans="1:20" x14ac:dyDescent="0.3">
      <c r="A1906">
        <v>2079</v>
      </c>
      <c r="B1906">
        <v>127590</v>
      </c>
      <c r="C1906">
        <v>1</v>
      </c>
      <c r="D1906">
        <v>0</v>
      </c>
      <c r="E1906">
        <v>38</v>
      </c>
      <c r="F1906">
        <v>0</v>
      </c>
      <c r="G1906">
        <v>0</v>
      </c>
      <c r="H1906">
        <v>0</v>
      </c>
      <c r="I1906">
        <v>1</v>
      </c>
      <c r="J1906">
        <v>0</v>
      </c>
      <c r="K1906">
        <v>0</v>
      </c>
      <c r="L1906">
        <v>0</v>
      </c>
      <c r="M1906">
        <v>1</v>
      </c>
      <c r="N1906">
        <v>0</v>
      </c>
      <c r="O1906" t="str" cm="1">
        <f t="array" ref="O1906">_xlfn.IFS(Table1[[#This Row],[Divorced]]=1, "Divorced", Table1[[#This Row],[Married]]=1, "Married", Table1[[#This Row],[Single]]=1, "Single", Table1[[#This Row],[Together]]=1, "Together", Table1[[#This Row],[Widow]]=1, "Widow")</f>
        <v>Together</v>
      </c>
      <c r="P1906" t="str" cm="1">
        <f t="array" ref="P1906">_xlfn.IFS(Table1[[#This Row],[Basic]]=1, "Basic", Table1[[#This Row],[Graduate]]=1, "Graduate", Table1[[#This Row],[Master]]=1, "Master", Table1[[#This Row],[PhD]]=1, "PhD", AND(Table1[[#This Row],[Basic]]=0, Table1[[#This Row],[Graduate]]=0, Table1[[#This Row],[Master]]=0, Table1[[#This Row],[PhD]]=0), "NA")</f>
        <v>Master</v>
      </c>
      <c r="Q1906" t="e">
        <f>_xlfn.XLOOKUP(Table1[[#This Row],[ID]], Table2[ID],#REF!, "Not Found", 0)</f>
        <v>#REF!</v>
      </c>
      <c r="R1906" t="e">
        <f>_xlfn.XLOOKUP(Table1[[#This Row],[ID]], Table2[ID],#REF!, "Not Found", 0)</f>
        <v>#REF!</v>
      </c>
      <c r="S1906" s="3" t="str">
        <f>_xlfn.XLOOKUP(Table1[[#This Row],[ID]], Table2[ID], Table2[Enrollment], "Not Found", 0)</f>
        <v>9/28/2019</v>
      </c>
      <c r="T1906" t="s">
        <v>435</v>
      </c>
    </row>
    <row r="1907" spans="1:20" x14ac:dyDescent="0.3">
      <c r="A1907">
        <v>2651</v>
      </c>
      <c r="B1907">
        <v>127573</v>
      </c>
      <c r="C1907">
        <v>1</v>
      </c>
      <c r="D1907">
        <v>0</v>
      </c>
      <c r="E1907">
        <v>45</v>
      </c>
      <c r="F1907">
        <v>0</v>
      </c>
      <c r="G1907">
        <v>1</v>
      </c>
      <c r="H1907">
        <v>0</v>
      </c>
      <c r="I1907">
        <v>0</v>
      </c>
      <c r="J1907">
        <v>0</v>
      </c>
      <c r="K1907">
        <v>0</v>
      </c>
      <c r="L1907">
        <v>1</v>
      </c>
      <c r="M1907">
        <v>0</v>
      </c>
      <c r="N1907">
        <v>0</v>
      </c>
      <c r="O1907" t="str" cm="1">
        <f t="array" ref="O1907">_xlfn.IFS(Table1[[#This Row],[Divorced]]=1, "Divorced", Table1[[#This Row],[Married]]=1, "Married", Table1[[#This Row],[Single]]=1, "Single", Table1[[#This Row],[Together]]=1, "Together", Table1[[#This Row],[Widow]]=1, "Widow")</f>
        <v>Married</v>
      </c>
      <c r="P1907" t="str" cm="1">
        <f t="array" ref="P1907">_xlfn.IFS(Table1[[#This Row],[Basic]]=1, "Basic", Table1[[#This Row],[Graduate]]=1, "Graduate", Table1[[#This Row],[Master]]=1, "Master", Table1[[#This Row],[PhD]]=1, "PhD", AND(Table1[[#This Row],[Basic]]=0, Table1[[#This Row],[Graduate]]=0, Table1[[#This Row],[Master]]=0, Table1[[#This Row],[PhD]]=0), "NA")</f>
        <v>Graduate</v>
      </c>
      <c r="Q1907" t="e">
        <f>_xlfn.XLOOKUP(Table1[[#This Row],[ID]], Table2[ID],#REF!, "Not Found", 0)</f>
        <v>#REF!</v>
      </c>
      <c r="R1907" t="e">
        <f>_xlfn.XLOOKUP(Table1[[#This Row],[ID]], Table2[ID],#REF!, "Not Found", 0)</f>
        <v>#REF!</v>
      </c>
      <c r="S1907" s="3" t="str">
        <f>_xlfn.XLOOKUP(Table1[[#This Row],[ID]], Table2[ID], Table2[Enrollment], "Not Found", 0)</f>
        <v>8/30/2019</v>
      </c>
      <c r="T1907" t="s">
        <v>434</v>
      </c>
    </row>
    <row r="1908" spans="1:20" x14ac:dyDescent="0.3">
      <c r="A1908">
        <v>3160</v>
      </c>
      <c r="B1908">
        <v>127469</v>
      </c>
      <c r="C1908">
        <v>0</v>
      </c>
      <c r="D1908">
        <v>0</v>
      </c>
      <c r="E1908">
        <v>73</v>
      </c>
      <c r="F1908">
        <v>0</v>
      </c>
      <c r="G1908">
        <v>1</v>
      </c>
      <c r="H1908">
        <v>0</v>
      </c>
      <c r="I1908">
        <v>0</v>
      </c>
      <c r="J1908">
        <v>0</v>
      </c>
      <c r="K1908">
        <v>0</v>
      </c>
      <c r="L1908">
        <v>1</v>
      </c>
      <c r="M1908">
        <v>0</v>
      </c>
      <c r="N1908">
        <v>0</v>
      </c>
      <c r="O1908" t="str" cm="1">
        <f t="array" ref="O1908">_xlfn.IFS(Table1[[#This Row],[Divorced]]=1, "Divorced", Table1[[#This Row],[Married]]=1, "Married", Table1[[#This Row],[Single]]=1, "Single", Table1[[#This Row],[Together]]=1, "Together", Table1[[#This Row],[Widow]]=1, "Widow")</f>
        <v>Married</v>
      </c>
      <c r="P1908" t="str" cm="1">
        <f t="array" ref="P1908">_xlfn.IFS(Table1[[#This Row],[Basic]]=1, "Basic", Table1[[#This Row],[Graduate]]=1, "Graduate", Table1[[#This Row],[Master]]=1, "Master", Table1[[#This Row],[PhD]]=1, "PhD", AND(Table1[[#This Row],[Basic]]=0, Table1[[#This Row],[Graduate]]=0, Table1[[#This Row],[Master]]=0, Table1[[#This Row],[PhD]]=0), "NA")</f>
        <v>Graduate</v>
      </c>
      <c r="Q1908" t="e">
        <f>_xlfn.XLOOKUP(Table1[[#This Row],[ID]], Table2[ID],#REF!, "Not Found", 0)</f>
        <v>#REF!</v>
      </c>
      <c r="R1908" t="e">
        <f>_xlfn.XLOOKUP(Table1[[#This Row],[ID]], Table2[ID],#REF!, "Not Found", 0)</f>
        <v>#REF!</v>
      </c>
      <c r="S1908" s="3">
        <f>_xlfn.XLOOKUP(Table1[[#This Row],[ID]], Table2[ID], Table2[Enrollment], "Not Found", 0)</f>
        <v>43647</v>
      </c>
      <c r="T1908" t="s">
        <v>439</v>
      </c>
    </row>
    <row r="1909" spans="1:20" x14ac:dyDescent="0.3">
      <c r="A1909">
        <v>1567</v>
      </c>
      <c r="B1909">
        <v>127450</v>
      </c>
      <c r="C1909">
        <v>0</v>
      </c>
      <c r="D1909">
        <v>0</v>
      </c>
      <c r="E1909">
        <v>69</v>
      </c>
      <c r="F1909">
        <v>0</v>
      </c>
      <c r="G1909">
        <v>1</v>
      </c>
      <c r="H1909">
        <v>0</v>
      </c>
      <c r="I1909">
        <v>0</v>
      </c>
      <c r="J1909">
        <v>0</v>
      </c>
      <c r="K1909">
        <v>0</v>
      </c>
      <c r="L1909">
        <v>0</v>
      </c>
      <c r="M1909">
        <v>1</v>
      </c>
      <c r="N1909">
        <v>0</v>
      </c>
      <c r="O1909" t="str" cm="1">
        <f t="array" ref="O1909">_xlfn.IFS(Table1[[#This Row],[Divorced]]=1, "Divorced", Table1[[#This Row],[Married]]=1, "Married", Table1[[#This Row],[Single]]=1, "Single", Table1[[#This Row],[Together]]=1, "Together", Table1[[#This Row],[Widow]]=1, "Widow")</f>
        <v>Married</v>
      </c>
      <c r="P1909" t="str" cm="1">
        <f t="array" ref="P1909">_xlfn.IFS(Table1[[#This Row],[Basic]]=1, "Basic", Table1[[#This Row],[Graduate]]=1, "Graduate", Table1[[#This Row],[Master]]=1, "Master", Table1[[#This Row],[PhD]]=1, "PhD", AND(Table1[[#This Row],[Basic]]=0, Table1[[#This Row],[Graduate]]=0, Table1[[#This Row],[Master]]=0, Table1[[#This Row],[PhD]]=0), "NA")</f>
        <v>Master</v>
      </c>
      <c r="Q1909" t="e">
        <f>_xlfn.XLOOKUP(Table1[[#This Row],[ID]], Table2[ID],#REF!, "Not Found", 0)</f>
        <v>#REF!</v>
      </c>
      <c r="R1909" t="e">
        <f>_xlfn.XLOOKUP(Table1[[#This Row],[ID]], Table2[ID],#REF!, "Not Found", 0)</f>
        <v>#REF!</v>
      </c>
      <c r="S1909" s="3" t="str">
        <f>_xlfn.XLOOKUP(Table1[[#This Row],[ID]], Table2[ID], Table2[Enrollment], "Not Found", 0)</f>
        <v>9/20/2019</v>
      </c>
      <c r="T1909" t="s">
        <v>437</v>
      </c>
    </row>
    <row r="1910" spans="1:20" x14ac:dyDescent="0.3">
      <c r="A1910">
        <v>1366</v>
      </c>
      <c r="B1910">
        <v>127421</v>
      </c>
      <c r="C1910">
        <v>0</v>
      </c>
      <c r="D1910">
        <v>0</v>
      </c>
      <c r="E1910">
        <v>66</v>
      </c>
      <c r="F1910">
        <v>0</v>
      </c>
      <c r="G1910">
        <v>0</v>
      </c>
      <c r="H1910">
        <v>0</v>
      </c>
      <c r="I1910">
        <v>0</v>
      </c>
      <c r="J1910">
        <v>1</v>
      </c>
      <c r="K1910">
        <v>0</v>
      </c>
      <c r="L1910">
        <v>1</v>
      </c>
      <c r="M1910">
        <v>0</v>
      </c>
      <c r="N1910">
        <v>0</v>
      </c>
      <c r="O1910" t="str" cm="1">
        <f t="array" ref="O1910">_xlfn.IFS(Table1[[#This Row],[Divorced]]=1, "Divorced", Table1[[#This Row],[Married]]=1, "Married", Table1[[#This Row],[Single]]=1, "Single", Table1[[#This Row],[Together]]=1, "Together", Table1[[#This Row],[Widow]]=1, "Widow")</f>
        <v>Widow</v>
      </c>
      <c r="P1910" t="str" cm="1">
        <f t="array" ref="P1910">_xlfn.IFS(Table1[[#This Row],[Basic]]=1, "Basic", Table1[[#This Row],[Graduate]]=1, "Graduate", Table1[[#This Row],[Master]]=1, "Master", Table1[[#This Row],[PhD]]=1, "PhD", AND(Table1[[#This Row],[Basic]]=0, Table1[[#This Row],[Graduate]]=0, Table1[[#This Row],[Master]]=0, Table1[[#This Row],[PhD]]=0), "NA")</f>
        <v>Graduate</v>
      </c>
      <c r="Q1910" t="e">
        <f>_xlfn.XLOOKUP(Table1[[#This Row],[ID]], Table2[ID],#REF!, "Not Found", 0)</f>
        <v>#REF!</v>
      </c>
      <c r="R1910" t="e">
        <f>_xlfn.XLOOKUP(Table1[[#This Row],[ID]], Table2[ID],#REF!, "Not Found", 0)</f>
        <v>#REF!</v>
      </c>
      <c r="S1910" s="3" t="str">
        <f>_xlfn.XLOOKUP(Table1[[#This Row],[ID]], Table2[ID], Table2[Enrollment], "Not Found", 0)</f>
        <v>5/19/2019</v>
      </c>
      <c r="T1910" t="s">
        <v>439</v>
      </c>
    </row>
    <row r="1911" spans="1:20" x14ac:dyDescent="0.3">
      <c r="A1911">
        <v>1312</v>
      </c>
      <c r="B1911">
        <v>127255</v>
      </c>
      <c r="C1911">
        <v>1</v>
      </c>
      <c r="D1911">
        <v>0</v>
      </c>
      <c r="E1911">
        <v>36</v>
      </c>
      <c r="F1911">
        <v>0</v>
      </c>
      <c r="G1911">
        <v>1</v>
      </c>
      <c r="H1911">
        <v>0</v>
      </c>
      <c r="I1911">
        <v>0</v>
      </c>
      <c r="J1911">
        <v>0</v>
      </c>
      <c r="K1911">
        <v>0</v>
      </c>
      <c r="L1911">
        <v>1</v>
      </c>
      <c r="M1911">
        <v>0</v>
      </c>
      <c r="N1911">
        <v>0</v>
      </c>
      <c r="O1911" t="str" cm="1">
        <f t="array" ref="O1911">_xlfn.IFS(Table1[[#This Row],[Divorced]]=1, "Divorced", Table1[[#This Row],[Married]]=1, "Married", Table1[[#This Row],[Single]]=1, "Single", Table1[[#This Row],[Together]]=1, "Together", Table1[[#This Row],[Widow]]=1, "Widow")</f>
        <v>Married</v>
      </c>
      <c r="P1911" t="str" cm="1">
        <f t="array" ref="P1911">_xlfn.IFS(Table1[[#This Row],[Basic]]=1, "Basic", Table1[[#This Row],[Graduate]]=1, "Graduate", Table1[[#This Row],[Master]]=1, "Master", Table1[[#This Row],[PhD]]=1, "PhD", AND(Table1[[#This Row],[Basic]]=0, Table1[[#This Row],[Graduate]]=0, Table1[[#This Row],[Master]]=0, Table1[[#This Row],[PhD]]=0), "NA")</f>
        <v>Graduate</v>
      </c>
      <c r="Q1911" t="e">
        <f>_xlfn.XLOOKUP(Table1[[#This Row],[ID]], Table2[ID],#REF!, "Not Found", 0)</f>
        <v>#REF!</v>
      </c>
      <c r="R1911" t="e">
        <f>_xlfn.XLOOKUP(Table1[[#This Row],[ID]], Table2[ID],#REF!, "Not Found", 0)</f>
        <v>#REF!</v>
      </c>
      <c r="S1911" s="3" t="str">
        <f>_xlfn.XLOOKUP(Table1[[#This Row],[ID]], Table2[ID], Table2[Enrollment], "Not Found", 0)</f>
        <v>4/13/2020</v>
      </c>
      <c r="T1911" t="s">
        <v>439</v>
      </c>
    </row>
    <row r="1912" spans="1:20" x14ac:dyDescent="0.3">
      <c r="A1912">
        <v>2310</v>
      </c>
      <c r="B1912">
        <v>127244</v>
      </c>
      <c r="C1912">
        <v>1</v>
      </c>
      <c r="D1912">
        <v>0</v>
      </c>
      <c r="E1912">
        <v>41</v>
      </c>
      <c r="F1912">
        <v>0</v>
      </c>
      <c r="G1912">
        <v>1</v>
      </c>
      <c r="H1912">
        <v>0</v>
      </c>
      <c r="I1912">
        <v>0</v>
      </c>
      <c r="J1912">
        <v>0</v>
      </c>
      <c r="K1912">
        <v>0</v>
      </c>
      <c r="L1912">
        <v>1</v>
      </c>
      <c r="M1912">
        <v>0</v>
      </c>
      <c r="N1912">
        <v>0</v>
      </c>
      <c r="O1912" t="str" cm="1">
        <f t="array" ref="O1912">_xlfn.IFS(Table1[[#This Row],[Divorced]]=1, "Divorced", Table1[[#This Row],[Married]]=1, "Married", Table1[[#This Row],[Single]]=1, "Single", Table1[[#This Row],[Together]]=1, "Together", Table1[[#This Row],[Widow]]=1, "Widow")</f>
        <v>Married</v>
      </c>
      <c r="P1912" t="str" cm="1">
        <f t="array" ref="P1912">_xlfn.IFS(Table1[[#This Row],[Basic]]=1, "Basic", Table1[[#This Row],[Graduate]]=1, "Graduate", Table1[[#This Row],[Master]]=1, "Master", Table1[[#This Row],[PhD]]=1, "PhD", AND(Table1[[#This Row],[Basic]]=0, Table1[[#This Row],[Graduate]]=0, Table1[[#This Row],[Master]]=0, Table1[[#This Row],[PhD]]=0), "NA")</f>
        <v>Graduate</v>
      </c>
      <c r="Q1912" t="e">
        <f>_xlfn.XLOOKUP(Table1[[#This Row],[ID]], Table2[ID],#REF!, "Not Found", 0)</f>
        <v>#REF!</v>
      </c>
      <c r="R1912" t="e">
        <f>_xlfn.XLOOKUP(Table1[[#This Row],[ID]], Table2[ID],#REF!, "Not Found", 0)</f>
        <v>#REF!</v>
      </c>
      <c r="S1912" s="3">
        <f>_xlfn.XLOOKUP(Table1[[#This Row],[ID]], Table2[ID], Table2[Enrollment], "Not Found", 0)</f>
        <v>44143</v>
      </c>
      <c r="T1912" t="s">
        <v>436</v>
      </c>
    </row>
    <row r="1913" spans="1:20" x14ac:dyDescent="0.3">
      <c r="A1913">
        <v>2495</v>
      </c>
      <c r="B1913">
        <v>127242</v>
      </c>
      <c r="C1913">
        <v>1</v>
      </c>
      <c r="D1913">
        <v>0</v>
      </c>
      <c r="E1913">
        <v>50</v>
      </c>
      <c r="F1913">
        <v>0</v>
      </c>
      <c r="G1913">
        <v>0</v>
      </c>
      <c r="H1913">
        <v>1</v>
      </c>
      <c r="I1913">
        <v>0</v>
      </c>
      <c r="J1913">
        <v>0</v>
      </c>
      <c r="K1913">
        <v>0</v>
      </c>
      <c r="L1913">
        <v>1</v>
      </c>
      <c r="M1913">
        <v>0</v>
      </c>
      <c r="N1913">
        <v>0</v>
      </c>
      <c r="O1913" t="str" cm="1">
        <f t="array" ref="O1913">_xlfn.IFS(Table1[[#This Row],[Divorced]]=1, "Divorced", Table1[[#This Row],[Married]]=1, "Married", Table1[[#This Row],[Single]]=1, "Single", Table1[[#This Row],[Together]]=1, "Together", Table1[[#This Row],[Widow]]=1, "Widow")</f>
        <v>Single</v>
      </c>
      <c r="P1913" t="str" cm="1">
        <f t="array" ref="P1913">_xlfn.IFS(Table1[[#This Row],[Basic]]=1, "Basic", Table1[[#This Row],[Graduate]]=1, "Graduate", Table1[[#This Row],[Master]]=1, "Master", Table1[[#This Row],[PhD]]=1, "PhD", AND(Table1[[#This Row],[Basic]]=0, Table1[[#This Row],[Graduate]]=0, Table1[[#This Row],[Master]]=0, Table1[[#This Row],[PhD]]=0), "NA")</f>
        <v>Graduate</v>
      </c>
      <c r="Q1913" t="e">
        <f>_xlfn.XLOOKUP(Table1[[#This Row],[ID]], Table2[ID],#REF!, "Not Found", 0)</f>
        <v>#REF!</v>
      </c>
      <c r="R1913" t="e">
        <f>_xlfn.XLOOKUP(Table1[[#This Row],[ID]], Table2[ID],#REF!, "Not Found", 0)</f>
        <v>#REF!</v>
      </c>
      <c r="S1913" s="3" t="str">
        <f>_xlfn.XLOOKUP(Table1[[#This Row],[ID]], Table2[ID], Table2[Enrollment], "Not Found", 0)</f>
        <v>4/18/2019</v>
      </c>
      <c r="T1913" t="s">
        <v>434</v>
      </c>
    </row>
    <row r="1914" spans="1:20" x14ac:dyDescent="0.3">
      <c r="A1914">
        <v>2295</v>
      </c>
      <c r="B1914">
        <v>127238</v>
      </c>
      <c r="C1914">
        <v>1</v>
      </c>
      <c r="D1914">
        <v>1</v>
      </c>
      <c r="E1914">
        <v>58</v>
      </c>
      <c r="F1914">
        <v>0</v>
      </c>
      <c r="G1914">
        <v>0</v>
      </c>
      <c r="H1914">
        <v>1</v>
      </c>
      <c r="I1914">
        <v>0</v>
      </c>
      <c r="J1914">
        <v>0</v>
      </c>
      <c r="K1914">
        <v>0</v>
      </c>
      <c r="L1914">
        <v>0</v>
      </c>
      <c r="M1914">
        <v>0</v>
      </c>
      <c r="N1914">
        <v>1</v>
      </c>
      <c r="O1914" t="str" cm="1">
        <f t="array" ref="O1914">_xlfn.IFS(Table1[[#This Row],[Divorced]]=1, "Divorced", Table1[[#This Row],[Married]]=1, "Married", Table1[[#This Row],[Single]]=1, "Single", Table1[[#This Row],[Together]]=1, "Together", Table1[[#This Row],[Widow]]=1, "Widow")</f>
        <v>Single</v>
      </c>
      <c r="P1914" t="str" cm="1">
        <f t="array" ref="P1914">_xlfn.IFS(Table1[[#This Row],[Basic]]=1, "Basic", Table1[[#This Row],[Graduate]]=1, "Graduate", Table1[[#This Row],[Master]]=1, "Master", Table1[[#This Row],[PhD]]=1, "PhD", AND(Table1[[#This Row],[Basic]]=0, Table1[[#This Row],[Graduate]]=0, Table1[[#This Row],[Master]]=0, Table1[[#This Row],[PhD]]=0), "NA")</f>
        <v>PhD</v>
      </c>
      <c r="Q1914" t="e">
        <f>_xlfn.XLOOKUP(Table1[[#This Row],[ID]], Table2[ID],#REF!, "Not Found", 0)</f>
        <v>#REF!</v>
      </c>
      <c r="R1914" t="e">
        <f>_xlfn.XLOOKUP(Table1[[#This Row],[ID]], Table2[ID],#REF!, "Not Found", 0)</f>
        <v>#REF!</v>
      </c>
      <c r="S1914" s="3" t="str">
        <f>_xlfn.XLOOKUP(Table1[[#This Row],[ID]], Table2[ID], Table2[Enrollment], "Not Found", 0)</f>
        <v>9/25/2019</v>
      </c>
      <c r="T1914" t="s">
        <v>435</v>
      </c>
    </row>
    <row r="1915" spans="1:20" x14ac:dyDescent="0.3">
      <c r="A1915">
        <v>2534</v>
      </c>
      <c r="B1915">
        <v>127215</v>
      </c>
      <c r="C1915">
        <v>2</v>
      </c>
      <c r="D1915">
        <v>1</v>
      </c>
      <c r="E1915">
        <v>59</v>
      </c>
      <c r="F1915">
        <v>1</v>
      </c>
      <c r="G1915">
        <v>0</v>
      </c>
      <c r="H1915">
        <v>0</v>
      </c>
      <c r="I1915">
        <v>0</v>
      </c>
      <c r="J1915">
        <v>0</v>
      </c>
      <c r="K1915">
        <v>0</v>
      </c>
      <c r="L1915">
        <v>1</v>
      </c>
      <c r="M1915">
        <v>0</v>
      </c>
      <c r="N1915">
        <v>0</v>
      </c>
      <c r="O1915" t="str" cm="1">
        <f t="array" ref="O1915">_xlfn.IFS(Table1[[#This Row],[Divorced]]=1, "Divorced", Table1[[#This Row],[Married]]=1, "Married", Table1[[#This Row],[Single]]=1, "Single", Table1[[#This Row],[Together]]=1, "Together", Table1[[#This Row],[Widow]]=1, "Widow")</f>
        <v>Divorced</v>
      </c>
      <c r="P1915" t="str" cm="1">
        <f t="array" ref="P1915">_xlfn.IFS(Table1[[#This Row],[Basic]]=1, "Basic", Table1[[#This Row],[Graduate]]=1, "Graduate", Table1[[#This Row],[Master]]=1, "Master", Table1[[#This Row],[PhD]]=1, "PhD", AND(Table1[[#This Row],[Basic]]=0, Table1[[#This Row],[Graduate]]=0, Table1[[#This Row],[Master]]=0, Table1[[#This Row],[PhD]]=0), "NA")</f>
        <v>Graduate</v>
      </c>
      <c r="Q1915" t="e">
        <f>_xlfn.XLOOKUP(Table1[[#This Row],[ID]], Table2[ID],#REF!, "Not Found", 0)</f>
        <v>#REF!</v>
      </c>
      <c r="R1915" t="e">
        <f>_xlfn.XLOOKUP(Table1[[#This Row],[ID]], Table2[ID],#REF!, "Not Found", 0)</f>
        <v>#REF!</v>
      </c>
      <c r="S1915" s="3" t="str">
        <f>_xlfn.XLOOKUP(Table1[[#This Row],[ID]], Table2[ID], Table2[Enrollment], "Not Found", 0)</f>
        <v>6/30/2019</v>
      </c>
      <c r="T1915" t="s">
        <v>438</v>
      </c>
    </row>
    <row r="1916" spans="1:20" x14ac:dyDescent="0.3">
      <c r="A1916">
        <v>1390</v>
      </c>
      <c r="B1916">
        <v>127213</v>
      </c>
      <c r="C1916">
        <v>1</v>
      </c>
      <c r="D1916">
        <v>0</v>
      </c>
      <c r="E1916">
        <v>48</v>
      </c>
      <c r="F1916">
        <v>0</v>
      </c>
      <c r="G1916">
        <v>0</v>
      </c>
      <c r="H1916">
        <v>1</v>
      </c>
      <c r="I1916">
        <v>0</v>
      </c>
      <c r="J1916">
        <v>0</v>
      </c>
      <c r="K1916">
        <v>0</v>
      </c>
      <c r="L1916">
        <v>0</v>
      </c>
      <c r="M1916">
        <v>0</v>
      </c>
      <c r="N1916">
        <v>1</v>
      </c>
      <c r="O1916" t="str" cm="1">
        <f t="array" ref="O1916">_xlfn.IFS(Table1[[#This Row],[Divorced]]=1, "Divorced", Table1[[#This Row],[Married]]=1, "Married", Table1[[#This Row],[Single]]=1, "Single", Table1[[#This Row],[Together]]=1, "Together", Table1[[#This Row],[Widow]]=1, "Widow")</f>
        <v>Single</v>
      </c>
      <c r="P1916" t="str" cm="1">
        <f t="array" ref="P1916">_xlfn.IFS(Table1[[#This Row],[Basic]]=1, "Basic", Table1[[#This Row],[Graduate]]=1, "Graduate", Table1[[#This Row],[Master]]=1, "Master", Table1[[#This Row],[PhD]]=1, "PhD", AND(Table1[[#This Row],[Basic]]=0, Table1[[#This Row],[Graduate]]=0, Table1[[#This Row],[Master]]=0, Table1[[#This Row],[PhD]]=0), "NA")</f>
        <v>PhD</v>
      </c>
      <c r="Q1916" t="e">
        <f>_xlfn.XLOOKUP(Table1[[#This Row],[ID]], Table2[ID],#REF!, "Not Found", 0)</f>
        <v>#REF!</v>
      </c>
      <c r="R1916" t="e">
        <f>_xlfn.XLOOKUP(Table1[[#This Row],[ID]], Table2[ID],#REF!, "Not Found", 0)</f>
        <v>#REF!</v>
      </c>
      <c r="S1916" s="3">
        <f>_xlfn.XLOOKUP(Table1[[#This Row],[ID]], Table2[ID], Table2[Enrollment], "Not Found", 0)</f>
        <v>43557</v>
      </c>
      <c r="T1916" t="s">
        <v>439</v>
      </c>
    </row>
    <row r="1917" spans="1:20" x14ac:dyDescent="0.3">
      <c r="A1917">
        <v>1484</v>
      </c>
      <c r="B1917">
        <v>127203</v>
      </c>
      <c r="C1917">
        <v>1</v>
      </c>
      <c r="D1917">
        <v>1</v>
      </c>
      <c r="E1917">
        <v>70</v>
      </c>
      <c r="F1917">
        <v>0</v>
      </c>
      <c r="G1917">
        <v>0</v>
      </c>
      <c r="H1917">
        <v>0</v>
      </c>
      <c r="I1917">
        <v>1</v>
      </c>
      <c r="J1917">
        <v>0</v>
      </c>
      <c r="K1917">
        <v>0</v>
      </c>
      <c r="L1917">
        <v>1</v>
      </c>
      <c r="M1917">
        <v>0</v>
      </c>
      <c r="N1917">
        <v>0</v>
      </c>
      <c r="O1917" t="str" cm="1">
        <f t="array" ref="O1917">_xlfn.IFS(Table1[[#This Row],[Divorced]]=1, "Divorced", Table1[[#This Row],[Married]]=1, "Married", Table1[[#This Row],[Single]]=1, "Single", Table1[[#This Row],[Together]]=1, "Together", Table1[[#This Row],[Widow]]=1, "Widow")</f>
        <v>Together</v>
      </c>
      <c r="P1917" t="str" cm="1">
        <f t="array" ref="P1917">_xlfn.IFS(Table1[[#This Row],[Basic]]=1, "Basic", Table1[[#This Row],[Graduate]]=1, "Graduate", Table1[[#This Row],[Master]]=1, "Master", Table1[[#This Row],[PhD]]=1, "PhD", AND(Table1[[#This Row],[Basic]]=0, Table1[[#This Row],[Graduate]]=0, Table1[[#This Row],[Master]]=0, Table1[[#This Row],[PhD]]=0), "NA")</f>
        <v>Graduate</v>
      </c>
      <c r="Q1917" t="e">
        <f>_xlfn.XLOOKUP(Table1[[#This Row],[ID]], Table2[ID],#REF!, "Not Found", 0)</f>
        <v>#REF!</v>
      </c>
      <c r="R1917" t="e">
        <f>_xlfn.XLOOKUP(Table1[[#This Row],[ID]], Table2[ID],#REF!, "Not Found", 0)</f>
        <v>#REF!</v>
      </c>
      <c r="S1917" s="3">
        <f>_xlfn.XLOOKUP(Table1[[#This Row],[ID]], Table2[ID], Table2[Enrollment], "Not Found", 0)</f>
        <v>43770</v>
      </c>
      <c r="T1917" t="s">
        <v>438</v>
      </c>
    </row>
    <row r="1918" spans="1:20" x14ac:dyDescent="0.3">
      <c r="A1918">
        <v>1328</v>
      </c>
      <c r="B1918">
        <v>127190</v>
      </c>
      <c r="C1918">
        <v>1</v>
      </c>
      <c r="D1918">
        <v>0</v>
      </c>
      <c r="E1918">
        <v>47</v>
      </c>
      <c r="F1918">
        <v>0</v>
      </c>
      <c r="G1918">
        <v>0</v>
      </c>
      <c r="H1918">
        <v>0</v>
      </c>
      <c r="I1918">
        <v>1</v>
      </c>
      <c r="J1918">
        <v>0</v>
      </c>
      <c r="K1918">
        <v>1</v>
      </c>
      <c r="L1918">
        <v>0</v>
      </c>
      <c r="M1918">
        <v>0</v>
      </c>
      <c r="N1918">
        <v>0</v>
      </c>
      <c r="O1918" t="str" cm="1">
        <f t="array" ref="O1918">_xlfn.IFS(Table1[[#This Row],[Divorced]]=1, "Divorced", Table1[[#This Row],[Married]]=1, "Married", Table1[[#This Row],[Single]]=1, "Single", Table1[[#This Row],[Together]]=1, "Together", Table1[[#This Row],[Widow]]=1, "Widow")</f>
        <v>Together</v>
      </c>
      <c r="P1918" t="str" cm="1">
        <f t="array" ref="P1918">_xlfn.IFS(Table1[[#This Row],[Basic]]=1, "Basic", Table1[[#This Row],[Graduate]]=1, "Graduate", Table1[[#This Row],[Master]]=1, "Master", Table1[[#This Row],[PhD]]=1, "PhD", AND(Table1[[#This Row],[Basic]]=0, Table1[[#This Row],[Graduate]]=0, Table1[[#This Row],[Master]]=0, Table1[[#This Row],[PhD]]=0), "NA")</f>
        <v>Basic</v>
      </c>
      <c r="Q1918" t="e">
        <f>_xlfn.XLOOKUP(Table1[[#This Row],[ID]], Table2[ID],#REF!, "Not Found", 0)</f>
        <v>#REF!</v>
      </c>
      <c r="R1918" t="e">
        <f>_xlfn.XLOOKUP(Table1[[#This Row],[ID]], Table2[ID],#REF!, "Not Found", 0)</f>
        <v>#REF!</v>
      </c>
      <c r="S1918" s="3" t="str">
        <f>_xlfn.XLOOKUP(Table1[[#This Row],[ID]], Table2[ID], Table2[Enrollment], "Not Found", 0)</f>
        <v>1/20/2020</v>
      </c>
      <c r="T1918" t="s">
        <v>438</v>
      </c>
    </row>
    <row r="1919" spans="1:20" x14ac:dyDescent="0.3">
      <c r="A1919">
        <v>2549</v>
      </c>
      <c r="B1919">
        <v>127161</v>
      </c>
      <c r="C1919">
        <v>1</v>
      </c>
      <c r="D1919">
        <v>0</v>
      </c>
      <c r="E1919">
        <v>34</v>
      </c>
      <c r="F1919">
        <v>0</v>
      </c>
      <c r="G1919">
        <v>1</v>
      </c>
      <c r="H1919">
        <v>0</v>
      </c>
      <c r="I1919">
        <v>0</v>
      </c>
      <c r="J1919">
        <v>0</v>
      </c>
      <c r="K1919">
        <v>0</v>
      </c>
      <c r="L1919">
        <v>0</v>
      </c>
      <c r="M1919">
        <v>1</v>
      </c>
      <c r="N1919">
        <v>0</v>
      </c>
      <c r="O1919" t="str" cm="1">
        <f t="array" ref="O1919">_xlfn.IFS(Table1[[#This Row],[Divorced]]=1, "Divorced", Table1[[#This Row],[Married]]=1, "Married", Table1[[#This Row],[Single]]=1, "Single", Table1[[#This Row],[Together]]=1, "Together", Table1[[#This Row],[Widow]]=1, "Widow")</f>
        <v>Married</v>
      </c>
      <c r="P1919" t="str" cm="1">
        <f t="array" ref="P1919">_xlfn.IFS(Table1[[#This Row],[Basic]]=1, "Basic", Table1[[#This Row],[Graduate]]=1, "Graduate", Table1[[#This Row],[Master]]=1, "Master", Table1[[#This Row],[PhD]]=1, "PhD", AND(Table1[[#This Row],[Basic]]=0, Table1[[#This Row],[Graduate]]=0, Table1[[#This Row],[Master]]=0, Table1[[#This Row],[PhD]]=0), "NA")</f>
        <v>Master</v>
      </c>
      <c r="Q1919" t="e">
        <f>_xlfn.XLOOKUP(Table1[[#This Row],[ID]], Table2[ID],#REF!, "Not Found", 0)</f>
        <v>#REF!</v>
      </c>
      <c r="R1919" t="e">
        <f>_xlfn.XLOOKUP(Table1[[#This Row],[ID]], Table2[ID],#REF!, "Not Found", 0)</f>
        <v>#REF!</v>
      </c>
      <c r="S1919" s="3">
        <f>_xlfn.XLOOKUP(Table1[[#This Row],[ID]], Table2[ID], Table2[Enrollment], "Not Found", 0)</f>
        <v>43894</v>
      </c>
      <c r="T1919" t="s">
        <v>434</v>
      </c>
    </row>
    <row r="1920" spans="1:20" x14ac:dyDescent="0.3">
      <c r="A1920">
        <v>1533</v>
      </c>
      <c r="B1920">
        <v>127159</v>
      </c>
      <c r="C1920">
        <v>1</v>
      </c>
      <c r="D1920">
        <v>1</v>
      </c>
      <c r="E1920">
        <v>47</v>
      </c>
      <c r="F1920">
        <v>0</v>
      </c>
      <c r="G1920">
        <v>1</v>
      </c>
      <c r="H1920">
        <v>0</v>
      </c>
      <c r="I1920">
        <v>0</v>
      </c>
      <c r="J1920">
        <v>0</v>
      </c>
      <c r="K1920">
        <v>0</v>
      </c>
      <c r="L1920">
        <v>0</v>
      </c>
      <c r="M1920">
        <v>1</v>
      </c>
      <c r="N1920">
        <v>0</v>
      </c>
      <c r="O1920" t="str" cm="1">
        <f t="array" ref="O1920">_xlfn.IFS(Table1[[#This Row],[Divorced]]=1, "Divorced", Table1[[#This Row],[Married]]=1, "Married", Table1[[#This Row],[Single]]=1, "Single", Table1[[#This Row],[Together]]=1, "Together", Table1[[#This Row],[Widow]]=1, "Widow")</f>
        <v>Married</v>
      </c>
      <c r="P1920" t="str" cm="1">
        <f t="array" ref="P1920">_xlfn.IFS(Table1[[#This Row],[Basic]]=1, "Basic", Table1[[#This Row],[Graduate]]=1, "Graduate", Table1[[#This Row],[Master]]=1, "Master", Table1[[#This Row],[PhD]]=1, "PhD", AND(Table1[[#This Row],[Basic]]=0, Table1[[#This Row],[Graduate]]=0, Table1[[#This Row],[Master]]=0, Table1[[#This Row],[PhD]]=0), "NA")</f>
        <v>Master</v>
      </c>
      <c r="Q1920" t="e">
        <f>_xlfn.XLOOKUP(Table1[[#This Row],[ID]], Table2[ID],#REF!, "Not Found", 0)</f>
        <v>#REF!</v>
      </c>
      <c r="R1920" t="e">
        <f>_xlfn.XLOOKUP(Table1[[#This Row],[ID]], Table2[ID],#REF!, "Not Found", 0)</f>
        <v>#REF!</v>
      </c>
      <c r="S1920" s="3">
        <f>_xlfn.XLOOKUP(Table1[[#This Row],[ID]], Table2[ID], Table2[Enrollment], "Not Found", 0)</f>
        <v>43870</v>
      </c>
      <c r="T1920" t="s">
        <v>435</v>
      </c>
    </row>
    <row r="1921" spans="1:20" x14ac:dyDescent="0.3">
      <c r="A1921">
        <v>2580</v>
      </c>
      <c r="B1921">
        <v>127116</v>
      </c>
      <c r="C1921">
        <v>1</v>
      </c>
      <c r="D1921">
        <v>1</v>
      </c>
      <c r="E1921">
        <v>59</v>
      </c>
      <c r="F1921">
        <v>0</v>
      </c>
      <c r="G1921">
        <v>1</v>
      </c>
      <c r="H1921">
        <v>0</v>
      </c>
      <c r="I1921">
        <v>0</v>
      </c>
      <c r="J1921">
        <v>0</v>
      </c>
      <c r="K1921">
        <v>0</v>
      </c>
      <c r="L1921">
        <v>1</v>
      </c>
      <c r="M1921">
        <v>0</v>
      </c>
      <c r="N1921">
        <v>0</v>
      </c>
      <c r="O1921" t="str" cm="1">
        <f t="array" ref="O1921">_xlfn.IFS(Table1[[#This Row],[Divorced]]=1, "Divorced", Table1[[#This Row],[Married]]=1, "Married", Table1[[#This Row],[Single]]=1, "Single", Table1[[#This Row],[Together]]=1, "Together", Table1[[#This Row],[Widow]]=1, "Widow")</f>
        <v>Married</v>
      </c>
      <c r="P1921" t="str" cm="1">
        <f t="array" ref="P1921">_xlfn.IFS(Table1[[#This Row],[Basic]]=1, "Basic", Table1[[#This Row],[Graduate]]=1, "Graduate", Table1[[#This Row],[Master]]=1, "Master", Table1[[#This Row],[PhD]]=1, "PhD", AND(Table1[[#This Row],[Basic]]=0, Table1[[#This Row],[Graduate]]=0, Table1[[#This Row],[Master]]=0, Table1[[#This Row],[PhD]]=0), "NA")</f>
        <v>Graduate</v>
      </c>
      <c r="Q1921" t="e">
        <f>_xlfn.XLOOKUP(Table1[[#This Row],[ID]], Table2[ID],#REF!, "Not Found", 0)</f>
        <v>#REF!</v>
      </c>
      <c r="R1921" t="e">
        <f>_xlfn.XLOOKUP(Table1[[#This Row],[ID]], Table2[ID],#REF!, "Not Found", 0)</f>
        <v>#REF!</v>
      </c>
      <c r="S1921" s="3">
        <f>_xlfn.XLOOKUP(Table1[[#This Row],[ID]], Table2[ID], Table2[Enrollment], "Not Found", 0)</f>
        <v>43990</v>
      </c>
      <c r="T1921" t="s">
        <v>436</v>
      </c>
    </row>
    <row r="1922" spans="1:20" x14ac:dyDescent="0.3">
      <c r="A1922">
        <v>2035</v>
      </c>
      <c r="B1922">
        <v>127100</v>
      </c>
      <c r="C1922">
        <v>1</v>
      </c>
      <c r="D1922">
        <v>0</v>
      </c>
      <c r="E1922">
        <v>37</v>
      </c>
      <c r="F1922">
        <v>0</v>
      </c>
      <c r="G1922">
        <v>1</v>
      </c>
      <c r="H1922">
        <v>0</v>
      </c>
      <c r="I1922">
        <v>0</v>
      </c>
      <c r="J1922">
        <v>0</v>
      </c>
      <c r="K1922">
        <v>0</v>
      </c>
      <c r="L1922">
        <v>0</v>
      </c>
      <c r="M1922">
        <v>1</v>
      </c>
      <c r="N1922">
        <v>0</v>
      </c>
      <c r="O1922" t="str" cm="1">
        <f t="array" ref="O1922">_xlfn.IFS(Table1[[#This Row],[Divorced]]=1, "Divorced", Table1[[#This Row],[Married]]=1, "Married", Table1[[#This Row],[Single]]=1, "Single", Table1[[#This Row],[Together]]=1, "Together", Table1[[#This Row],[Widow]]=1, "Widow")</f>
        <v>Married</v>
      </c>
      <c r="P1922" t="str" cm="1">
        <f t="array" ref="P1922">_xlfn.IFS(Table1[[#This Row],[Basic]]=1, "Basic", Table1[[#This Row],[Graduate]]=1, "Graduate", Table1[[#This Row],[Master]]=1, "Master", Table1[[#This Row],[PhD]]=1, "PhD", AND(Table1[[#This Row],[Basic]]=0, Table1[[#This Row],[Graduate]]=0, Table1[[#This Row],[Master]]=0, Table1[[#This Row],[PhD]]=0), "NA")</f>
        <v>Master</v>
      </c>
      <c r="Q1922" t="e">
        <f>_xlfn.XLOOKUP(Table1[[#This Row],[ID]], Table2[ID],#REF!, "Not Found", 0)</f>
        <v>#REF!</v>
      </c>
      <c r="R1922" t="e">
        <f>_xlfn.XLOOKUP(Table1[[#This Row],[ID]], Table2[ID],#REF!, "Not Found", 0)</f>
        <v>#REF!</v>
      </c>
      <c r="S1922" s="3">
        <f>_xlfn.XLOOKUP(Table1[[#This Row],[ID]], Table2[ID], Table2[Enrollment], "Not Found", 0)</f>
        <v>43747</v>
      </c>
      <c r="T1922" t="s">
        <v>437</v>
      </c>
    </row>
    <row r="1923" spans="1:20" x14ac:dyDescent="0.3">
      <c r="A1923">
        <v>2406</v>
      </c>
      <c r="B1923">
        <v>127100</v>
      </c>
      <c r="C1923">
        <v>1</v>
      </c>
      <c r="D1923">
        <v>0</v>
      </c>
      <c r="E1923">
        <v>37</v>
      </c>
      <c r="F1923">
        <v>0</v>
      </c>
      <c r="G1923">
        <v>1</v>
      </c>
      <c r="H1923">
        <v>0</v>
      </c>
      <c r="I1923">
        <v>0</v>
      </c>
      <c r="J1923">
        <v>0</v>
      </c>
      <c r="K1923">
        <v>0</v>
      </c>
      <c r="L1923">
        <v>0</v>
      </c>
      <c r="M1923">
        <v>1</v>
      </c>
      <c r="N1923">
        <v>0</v>
      </c>
      <c r="O1923" t="str" cm="1">
        <f t="array" ref="O1923">_xlfn.IFS(Table1[[#This Row],[Divorced]]=1, "Divorced", Table1[[#This Row],[Married]]=1, "Married", Table1[[#This Row],[Single]]=1, "Single", Table1[[#This Row],[Together]]=1, "Together", Table1[[#This Row],[Widow]]=1, "Widow")</f>
        <v>Married</v>
      </c>
      <c r="P1923" t="str" cm="1">
        <f t="array" ref="P1923">_xlfn.IFS(Table1[[#This Row],[Basic]]=1, "Basic", Table1[[#This Row],[Graduate]]=1, "Graduate", Table1[[#This Row],[Master]]=1, "Master", Table1[[#This Row],[PhD]]=1, "PhD", AND(Table1[[#This Row],[Basic]]=0, Table1[[#This Row],[Graduate]]=0, Table1[[#This Row],[Master]]=0, Table1[[#This Row],[PhD]]=0), "NA")</f>
        <v>Master</v>
      </c>
      <c r="Q1923" t="e">
        <f>_xlfn.XLOOKUP(Table1[[#This Row],[ID]], Table2[ID],#REF!, "Not Found", 0)</f>
        <v>#REF!</v>
      </c>
      <c r="R1923" t="e">
        <f>_xlfn.XLOOKUP(Table1[[#This Row],[ID]], Table2[ID],#REF!, "Not Found", 0)</f>
        <v>#REF!</v>
      </c>
      <c r="S1923" s="3">
        <f>_xlfn.XLOOKUP(Table1[[#This Row],[ID]], Table2[ID], Table2[Enrollment], "Not Found", 0)</f>
        <v>43747</v>
      </c>
      <c r="T1923" t="s">
        <v>436</v>
      </c>
    </row>
    <row r="1924" spans="1:20" x14ac:dyDescent="0.3">
      <c r="A1924">
        <v>2817</v>
      </c>
      <c r="B1924">
        <v>127071</v>
      </c>
      <c r="C1924">
        <v>1</v>
      </c>
      <c r="D1924">
        <v>0</v>
      </c>
      <c r="E1924">
        <v>52</v>
      </c>
      <c r="F1924">
        <v>1</v>
      </c>
      <c r="G1924">
        <v>0</v>
      </c>
      <c r="H1924">
        <v>0</v>
      </c>
      <c r="I1924">
        <v>0</v>
      </c>
      <c r="J1924">
        <v>0</v>
      </c>
      <c r="K1924">
        <v>0</v>
      </c>
      <c r="L1924">
        <v>0</v>
      </c>
      <c r="M1924">
        <v>1</v>
      </c>
      <c r="N1924">
        <v>0</v>
      </c>
      <c r="O1924" t="str" cm="1">
        <f t="array" ref="O1924">_xlfn.IFS(Table1[[#This Row],[Divorced]]=1, "Divorced", Table1[[#This Row],[Married]]=1, "Married", Table1[[#This Row],[Single]]=1, "Single", Table1[[#This Row],[Together]]=1, "Together", Table1[[#This Row],[Widow]]=1, "Widow")</f>
        <v>Divorced</v>
      </c>
      <c r="P1924" t="str" cm="1">
        <f t="array" ref="P1924">_xlfn.IFS(Table1[[#This Row],[Basic]]=1, "Basic", Table1[[#This Row],[Graduate]]=1, "Graduate", Table1[[#This Row],[Master]]=1, "Master", Table1[[#This Row],[PhD]]=1, "PhD", AND(Table1[[#This Row],[Basic]]=0, Table1[[#This Row],[Graduate]]=0, Table1[[#This Row],[Master]]=0, Table1[[#This Row],[PhD]]=0), "NA")</f>
        <v>Master</v>
      </c>
      <c r="Q1924" t="e">
        <f>_xlfn.XLOOKUP(Table1[[#This Row],[ID]], Table2[ID],#REF!, "Not Found", 0)</f>
        <v>#REF!</v>
      </c>
      <c r="R1924" t="e">
        <f>_xlfn.XLOOKUP(Table1[[#This Row],[ID]], Table2[ID],#REF!, "Not Found", 0)</f>
        <v>#REF!</v>
      </c>
      <c r="S1924" s="3" t="str">
        <f>_xlfn.XLOOKUP(Table1[[#This Row],[ID]], Table2[ID], Table2[Enrollment], "Not Found", 0)</f>
        <v>9/27/2020</v>
      </c>
      <c r="T1924" t="s">
        <v>435</v>
      </c>
    </row>
    <row r="1925" spans="1:20" x14ac:dyDescent="0.3">
      <c r="A1925">
        <v>1293</v>
      </c>
      <c r="B1925">
        <v>127038</v>
      </c>
      <c r="C1925">
        <v>0</v>
      </c>
      <c r="D1925">
        <v>0</v>
      </c>
      <c r="E1925">
        <v>54</v>
      </c>
      <c r="F1925">
        <v>0</v>
      </c>
      <c r="G1925">
        <v>0</v>
      </c>
      <c r="H1925">
        <v>0</v>
      </c>
      <c r="I1925">
        <v>0</v>
      </c>
      <c r="J1925">
        <v>1</v>
      </c>
      <c r="K1925">
        <v>0</v>
      </c>
      <c r="L1925">
        <v>1</v>
      </c>
      <c r="M1925">
        <v>0</v>
      </c>
      <c r="N1925">
        <v>0</v>
      </c>
      <c r="O1925" t="str" cm="1">
        <f t="array" ref="O1925">_xlfn.IFS(Table1[[#This Row],[Divorced]]=1, "Divorced", Table1[[#This Row],[Married]]=1, "Married", Table1[[#This Row],[Single]]=1, "Single", Table1[[#This Row],[Together]]=1, "Together", Table1[[#This Row],[Widow]]=1, "Widow")</f>
        <v>Widow</v>
      </c>
      <c r="P1925" t="str" cm="1">
        <f t="array" ref="P1925">_xlfn.IFS(Table1[[#This Row],[Basic]]=1, "Basic", Table1[[#This Row],[Graduate]]=1, "Graduate", Table1[[#This Row],[Master]]=1, "Master", Table1[[#This Row],[PhD]]=1, "PhD", AND(Table1[[#This Row],[Basic]]=0, Table1[[#This Row],[Graduate]]=0, Table1[[#This Row],[Master]]=0, Table1[[#This Row],[PhD]]=0), "NA")</f>
        <v>Graduate</v>
      </c>
      <c r="Q1925" t="e">
        <f>_xlfn.XLOOKUP(Table1[[#This Row],[ID]], Table2[ID],#REF!, "Not Found", 0)</f>
        <v>#REF!</v>
      </c>
      <c r="R1925" t="e">
        <f>_xlfn.XLOOKUP(Table1[[#This Row],[ID]], Table2[ID],#REF!, "Not Found", 0)</f>
        <v>#REF!</v>
      </c>
      <c r="S1925" s="3" t="str">
        <f>_xlfn.XLOOKUP(Table1[[#This Row],[ID]], Table2[ID], Table2[Enrollment], "Not Found", 0)</f>
        <v>2/23/2019</v>
      </c>
      <c r="T1925" t="s">
        <v>435</v>
      </c>
    </row>
    <row r="1926" spans="1:20" x14ac:dyDescent="0.3">
      <c r="A1926">
        <v>2265</v>
      </c>
      <c r="B1926">
        <v>126997</v>
      </c>
      <c r="C1926">
        <v>0</v>
      </c>
      <c r="D1926">
        <v>0</v>
      </c>
      <c r="E1926">
        <v>69</v>
      </c>
      <c r="F1926">
        <v>0</v>
      </c>
      <c r="G1926">
        <v>1</v>
      </c>
      <c r="H1926">
        <v>0</v>
      </c>
      <c r="I1926">
        <v>0</v>
      </c>
      <c r="J1926">
        <v>0</v>
      </c>
      <c r="K1926">
        <v>1</v>
      </c>
      <c r="L1926">
        <v>0</v>
      </c>
      <c r="M1926">
        <v>0</v>
      </c>
      <c r="N1926">
        <v>0</v>
      </c>
      <c r="O1926" t="str" cm="1">
        <f t="array" ref="O1926">_xlfn.IFS(Table1[[#This Row],[Divorced]]=1, "Divorced", Table1[[#This Row],[Married]]=1, "Married", Table1[[#This Row],[Single]]=1, "Single", Table1[[#This Row],[Together]]=1, "Together", Table1[[#This Row],[Widow]]=1, "Widow")</f>
        <v>Married</v>
      </c>
      <c r="P1926" t="str" cm="1">
        <f t="array" ref="P1926">_xlfn.IFS(Table1[[#This Row],[Basic]]=1, "Basic", Table1[[#This Row],[Graduate]]=1, "Graduate", Table1[[#This Row],[Master]]=1, "Master", Table1[[#This Row],[PhD]]=1, "PhD", AND(Table1[[#This Row],[Basic]]=0, Table1[[#This Row],[Graduate]]=0, Table1[[#This Row],[Master]]=0, Table1[[#This Row],[PhD]]=0), "NA")</f>
        <v>Basic</v>
      </c>
      <c r="Q1926" t="e">
        <f>_xlfn.XLOOKUP(Table1[[#This Row],[ID]], Table2[ID],#REF!, "Not Found", 0)</f>
        <v>#REF!</v>
      </c>
      <c r="R1926" t="e">
        <f>_xlfn.XLOOKUP(Table1[[#This Row],[ID]], Table2[ID],#REF!, "Not Found", 0)</f>
        <v>#REF!</v>
      </c>
      <c r="S1926" s="3">
        <f>_xlfn.XLOOKUP(Table1[[#This Row],[ID]], Table2[ID], Table2[Enrollment], "Not Found", 0)</f>
        <v>43803</v>
      </c>
      <c r="T1926" t="s">
        <v>435</v>
      </c>
    </row>
    <row r="1927" spans="1:20" x14ac:dyDescent="0.3">
      <c r="A1927">
        <v>2165</v>
      </c>
      <c r="B1927">
        <v>126954</v>
      </c>
      <c r="C1927">
        <v>1</v>
      </c>
      <c r="D1927">
        <v>0</v>
      </c>
      <c r="E1927">
        <v>49</v>
      </c>
      <c r="F1927">
        <v>0</v>
      </c>
      <c r="G1927">
        <v>0</v>
      </c>
      <c r="H1927">
        <v>1</v>
      </c>
      <c r="I1927">
        <v>0</v>
      </c>
      <c r="J1927">
        <v>0</v>
      </c>
      <c r="K1927">
        <v>0</v>
      </c>
      <c r="L1927">
        <v>1</v>
      </c>
      <c r="M1927">
        <v>0</v>
      </c>
      <c r="N1927">
        <v>0</v>
      </c>
      <c r="O1927" t="str" cm="1">
        <f t="array" ref="O1927">_xlfn.IFS(Table1[[#This Row],[Divorced]]=1, "Divorced", Table1[[#This Row],[Married]]=1, "Married", Table1[[#This Row],[Single]]=1, "Single", Table1[[#This Row],[Together]]=1, "Together", Table1[[#This Row],[Widow]]=1, "Widow")</f>
        <v>Single</v>
      </c>
      <c r="P1927" t="str" cm="1">
        <f t="array" ref="P1927">_xlfn.IFS(Table1[[#This Row],[Basic]]=1, "Basic", Table1[[#This Row],[Graduate]]=1, "Graduate", Table1[[#This Row],[Master]]=1, "Master", Table1[[#This Row],[PhD]]=1, "PhD", AND(Table1[[#This Row],[Basic]]=0, Table1[[#This Row],[Graduate]]=0, Table1[[#This Row],[Master]]=0, Table1[[#This Row],[PhD]]=0), "NA")</f>
        <v>Graduate</v>
      </c>
      <c r="Q1927" t="e">
        <f>_xlfn.XLOOKUP(Table1[[#This Row],[ID]], Table2[ID],#REF!, "Not Found", 0)</f>
        <v>#REF!</v>
      </c>
      <c r="R1927" t="e">
        <f>_xlfn.XLOOKUP(Table1[[#This Row],[ID]], Table2[ID],#REF!, "Not Found", 0)</f>
        <v>#REF!</v>
      </c>
      <c r="S1927" s="3">
        <f>_xlfn.XLOOKUP(Table1[[#This Row],[ID]], Table2[ID], Table2[Enrollment], "Not Found", 0)</f>
        <v>44175</v>
      </c>
      <c r="T1927" t="s">
        <v>434</v>
      </c>
    </row>
    <row r="1928" spans="1:20" x14ac:dyDescent="0.3">
      <c r="A1928">
        <v>2058</v>
      </c>
      <c r="B1928">
        <v>126907</v>
      </c>
      <c r="C1928">
        <v>1</v>
      </c>
      <c r="D1928">
        <v>1</v>
      </c>
      <c r="E1928">
        <v>44</v>
      </c>
      <c r="F1928">
        <v>0</v>
      </c>
      <c r="G1928">
        <v>0</v>
      </c>
      <c r="H1928">
        <v>0</v>
      </c>
      <c r="I1928">
        <v>1</v>
      </c>
      <c r="J1928">
        <v>0</v>
      </c>
      <c r="K1928">
        <v>0</v>
      </c>
      <c r="L1928">
        <v>0</v>
      </c>
      <c r="M1928">
        <v>0</v>
      </c>
      <c r="N1928">
        <v>0</v>
      </c>
      <c r="O1928" t="str" cm="1">
        <f t="array" ref="O1928">_xlfn.IFS(Table1[[#This Row],[Divorced]]=1, "Divorced", Table1[[#This Row],[Married]]=1, "Married", Table1[[#This Row],[Single]]=1, "Single", Table1[[#This Row],[Together]]=1, "Together", Table1[[#This Row],[Widow]]=1, "Widow")</f>
        <v>Together</v>
      </c>
      <c r="P1928" t="str" cm="1">
        <f t="array" ref="P1928">_xlfn.IFS(Table1[[#This Row],[Basic]]=1, "Basic", Table1[[#This Row],[Graduate]]=1, "Graduate", Table1[[#This Row],[Master]]=1, "Master", Table1[[#This Row],[PhD]]=1, "PhD", AND(Table1[[#This Row],[Basic]]=0, Table1[[#This Row],[Graduate]]=0, Table1[[#This Row],[Master]]=0, Table1[[#This Row],[PhD]]=0), "NA")</f>
        <v>NA</v>
      </c>
      <c r="Q1928" t="e">
        <f>_xlfn.XLOOKUP(Table1[[#This Row],[ID]], Table2[ID],#REF!, "Not Found", 0)</f>
        <v>#REF!</v>
      </c>
      <c r="R1928" t="e">
        <f>_xlfn.XLOOKUP(Table1[[#This Row],[ID]], Table2[ID],#REF!, "Not Found", 0)</f>
        <v>#REF!</v>
      </c>
      <c r="S1928" s="3" t="str">
        <f>_xlfn.XLOOKUP(Table1[[#This Row],[ID]], Table2[ID], Table2[Enrollment], "Not Found", 0)</f>
        <v>1/25/2020</v>
      </c>
      <c r="T1928" t="s">
        <v>436</v>
      </c>
    </row>
    <row r="1929" spans="1:20" x14ac:dyDescent="0.3">
      <c r="A1929">
        <v>2363</v>
      </c>
      <c r="B1929">
        <v>126907</v>
      </c>
      <c r="C1929">
        <v>1</v>
      </c>
      <c r="D1929">
        <v>1</v>
      </c>
      <c r="E1929">
        <v>44</v>
      </c>
      <c r="F1929">
        <v>0</v>
      </c>
      <c r="G1929">
        <v>0</v>
      </c>
      <c r="H1929">
        <v>0</v>
      </c>
      <c r="I1929">
        <v>1</v>
      </c>
      <c r="J1929">
        <v>0</v>
      </c>
      <c r="K1929">
        <v>0</v>
      </c>
      <c r="L1929">
        <v>0</v>
      </c>
      <c r="M1929">
        <v>0</v>
      </c>
      <c r="N1929">
        <v>0</v>
      </c>
      <c r="O1929" t="str" cm="1">
        <f t="array" ref="O1929">_xlfn.IFS(Table1[[#This Row],[Divorced]]=1, "Divorced", Table1[[#This Row],[Married]]=1, "Married", Table1[[#This Row],[Single]]=1, "Single", Table1[[#This Row],[Together]]=1, "Together", Table1[[#This Row],[Widow]]=1, "Widow")</f>
        <v>Together</v>
      </c>
      <c r="P1929" t="str" cm="1">
        <f t="array" ref="P1929">_xlfn.IFS(Table1[[#This Row],[Basic]]=1, "Basic", Table1[[#This Row],[Graduate]]=1, "Graduate", Table1[[#This Row],[Master]]=1, "Master", Table1[[#This Row],[PhD]]=1, "PhD", AND(Table1[[#This Row],[Basic]]=0, Table1[[#This Row],[Graduate]]=0, Table1[[#This Row],[Master]]=0, Table1[[#This Row],[PhD]]=0), "NA")</f>
        <v>NA</v>
      </c>
      <c r="Q1929" t="e">
        <f>_xlfn.XLOOKUP(Table1[[#This Row],[ID]], Table2[ID],#REF!, "Not Found", 0)</f>
        <v>#REF!</v>
      </c>
      <c r="R1929" t="e">
        <f>_xlfn.XLOOKUP(Table1[[#This Row],[ID]], Table2[ID],#REF!, "Not Found", 0)</f>
        <v>#REF!</v>
      </c>
      <c r="S1929" s="3" t="str">
        <f>_xlfn.XLOOKUP(Table1[[#This Row],[ID]], Table2[ID], Table2[Enrollment], "Not Found", 0)</f>
        <v>1/25/2020</v>
      </c>
      <c r="T1929" t="s">
        <v>434</v>
      </c>
    </row>
    <row r="1930" spans="1:20" x14ac:dyDescent="0.3">
      <c r="A1930">
        <v>2326</v>
      </c>
      <c r="B1930">
        <v>126887</v>
      </c>
      <c r="C1930">
        <v>0</v>
      </c>
      <c r="D1930">
        <v>1</v>
      </c>
      <c r="E1930">
        <v>61</v>
      </c>
      <c r="F1930">
        <v>0</v>
      </c>
      <c r="G1930">
        <v>1</v>
      </c>
      <c r="H1930">
        <v>0</v>
      </c>
      <c r="I1930">
        <v>0</v>
      </c>
      <c r="J1930">
        <v>0</v>
      </c>
      <c r="K1930">
        <v>0</v>
      </c>
      <c r="L1930">
        <v>0</v>
      </c>
      <c r="M1930">
        <v>0</v>
      </c>
      <c r="N1930">
        <v>0</v>
      </c>
      <c r="O1930" t="str" cm="1">
        <f t="array" ref="O1930">_xlfn.IFS(Table1[[#This Row],[Divorced]]=1, "Divorced", Table1[[#This Row],[Married]]=1, "Married", Table1[[#This Row],[Single]]=1, "Single", Table1[[#This Row],[Together]]=1, "Together", Table1[[#This Row],[Widow]]=1, "Widow")</f>
        <v>Married</v>
      </c>
      <c r="P1930" t="str" cm="1">
        <f t="array" ref="P1930">_xlfn.IFS(Table1[[#This Row],[Basic]]=1, "Basic", Table1[[#This Row],[Graduate]]=1, "Graduate", Table1[[#This Row],[Master]]=1, "Master", Table1[[#This Row],[PhD]]=1, "PhD", AND(Table1[[#This Row],[Basic]]=0, Table1[[#This Row],[Graduate]]=0, Table1[[#This Row],[Master]]=0, Table1[[#This Row],[PhD]]=0), "NA")</f>
        <v>NA</v>
      </c>
      <c r="Q1930" t="e">
        <f>_xlfn.XLOOKUP(Table1[[#This Row],[ID]], Table2[ID],#REF!, "Not Found", 0)</f>
        <v>#REF!</v>
      </c>
      <c r="R1930" t="e">
        <f>_xlfn.XLOOKUP(Table1[[#This Row],[ID]], Table2[ID],#REF!, "Not Found", 0)</f>
        <v>#REF!</v>
      </c>
      <c r="S1930" s="3" t="str">
        <f>_xlfn.XLOOKUP(Table1[[#This Row],[ID]], Table2[ID], Table2[Enrollment], "Not Found", 0)</f>
        <v>7/18/2019</v>
      </c>
      <c r="T1930" t="s">
        <v>439</v>
      </c>
    </row>
    <row r="1931" spans="1:20" x14ac:dyDescent="0.3">
      <c r="A1931">
        <v>1594</v>
      </c>
      <c r="B1931">
        <v>126877</v>
      </c>
      <c r="C1931">
        <v>0</v>
      </c>
      <c r="D1931">
        <v>0</v>
      </c>
      <c r="E1931">
        <v>51</v>
      </c>
      <c r="F1931">
        <v>0</v>
      </c>
      <c r="G1931">
        <v>0</v>
      </c>
      <c r="H1931">
        <v>1</v>
      </c>
      <c r="I1931">
        <v>0</v>
      </c>
      <c r="J1931">
        <v>0</v>
      </c>
      <c r="K1931">
        <v>0</v>
      </c>
      <c r="L1931">
        <v>0</v>
      </c>
      <c r="M1931">
        <v>1</v>
      </c>
      <c r="N1931">
        <v>0</v>
      </c>
      <c r="O1931" t="str" cm="1">
        <f t="array" ref="O1931">_xlfn.IFS(Table1[[#This Row],[Divorced]]=1, "Divorced", Table1[[#This Row],[Married]]=1, "Married", Table1[[#This Row],[Single]]=1, "Single", Table1[[#This Row],[Together]]=1, "Together", Table1[[#This Row],[Widow]]=1, "Widow")</f>
        <v>Single</v>
      </c>
      <c r="P1931" t="str" cm="1">
        <f t="array" ref="P1931">_xlfn.IFS(Table1[[#This Row],[Basic]]=1, "Basic", Table1[[#This Row],[Graduate]]=1, "Graduate", Table1[[#This Row],[Master]]=1, "Master", Table1[[#This Row],[PhD]]=1, "PhD", AND(Table1[[#This Row],[Basic]]=0, Table1[[#This Row],[Graduate]]=0, Table1[[#This Row],[Master]]=0, Table1[[#This Row],[PhD]]=0), "NA")</f>
        <v>Master</v>
      </c>
      <c r="Q1931" t="e">
        <f>_xlfn.XLOOKUP(Table1[[#This Row],[ID]], Table2[ID],#REF!, "Not Found", 0)</f>
        <v>#REF!</v>
      </c>
      <c r="R1931" t="e">
        <f>_xlfn.XLOOKUP(Table1[[#This Row],[ID]], Table2[ID],#REF!, "Not Found", 0)</f>
        <v>#REF!</v>
      </c>
      <c r="S1931" s="3" t="str">
        <f>_xlfn.XLOOKUP(Table1[[#This Row],[ID]], Table2[ID], Table2[Enrollment], "Not Found", 0)</f>
        <v>1/24/2020</v>
      </c>
      <c r="T1931" t="s">
        <v>439</v>
      </c>
    </row>
    <row r="1932" spans="1:20" x14ac:dyDescent="0.3">
      <c r="A1932">
        <v>1791</v>
      </c>
      <c r="B1932">
        <v>126872</v>
      </c>
      <c r="C1932">
        <v>0</v>
      </c>
      <c r="D1932">
        <v>0</v>
      </c>
      <c r="E1932">
        <v>39</v>
      </c>
      <c r="F1932">
        <v>0</v>
      </c>
      <c r="G1932">
        <v>1</v>
      </c>
      <c r="H1932">
        <v>0</v>
      </c>
      <c r="I1932">
        <v>0</v>
      </c>
      <c r="J1932">
        <v>0</v>
      </c>
      <c r="K1932">
        <v>0</v>
      </c>
      <c r="L1932">
        <v>1</v>
      </c>
      <c r="M1932">
        <v>0</v>
      </c>
      <c r="N1932">
        <v>0</v>
      </c>
      <c r="O1932" t="str" cm="1">
        <f t="array" ref="O1932">_xlfn.IFS(Table1[[#This Row],[Divorced]]=1, "Divorced", Table1[[#This Row],[Married]]=1, "Married", Table1[[#This Row],[Single]]=1, "Single", Table1[[#This Row],[Together]]=1, "Together", Table1[[#This Row],[Widow]]=1, "Widow")</f>
        <v>Married</v>
      </c>
      <c r="P1932" t="str" cm="1">
        <f t="array" ref="P1932">_xlfn.IFS(Table1[[#This Row],[Basic]]=1, "Basic", Table1[[#This Row],[Graduate]]=1, "Graduate", Table1[[#This Row],[Master]]=1, "Master", Table1[[#This Row],[PhD]]=1, "PhD", AND(Table1[[#This Row],[Basic]]=0, Table1[[#This Row],[Graduate]]=0, Table1[[#This Row],[Master]]=0, Table1[[#This Row],[PhD]]=0), "NA")</f>
        <v>Graduate</v>
      </c>
      <c r="Q1932" t="e">
        <f>_xlfn.XLOOKUP(Table1[[#This Row],[ID]], Table2[ID],#REF!, "Not Found", 0)</f>
        <v>#REF!</v>
      </c>
      <c r="R1932" t="e">
        <f>_xlfn.XLOOKUP(Table1[[#This Row],[ID]], Table2[ID],#REF!, "Not Found", 0)</f>
        <v>#REF!</v>
      </c>
      <c r="S1932" s="3" t="str">
        <f>_xlfn.XLOOKUP(Table1[[#This Row],[ID]], Table2[ID], Table2[Enrollment], "Not Found", 0)</f>
        <v>3/22/2020</v>
      </c>
      <c r="T1932" t="s">
        <v>435</v>
      </c>
    </row>
    <row r="1933" spans="1:20" x14ac:dyDescent="0.3">
      <c r="A1933">
        <v>1874</v>
      </c>
      <c r="B1933">
        <v>126868</v>
      </c>
      <c r="C1933">
        <v>1</v>
      </c>
      <c r="D1933">
        <v>0</v>
      </c>
      <c r="E1933">
        <v>29</v>
      </c>
      <c r="F1933">
        <v>0</v>
      </c>
      <c r="G1933">
        <v>0</v>
      </c>
      <c r="H1933">
        <v>1</v>
      </c>
      <c r="I1933">
        <v>0</v>
      </c>
      <c r="J1933">
        <v>0</v>
      </c>
      <c r="K1933">
        <v>1</v>
      </c>
      <c r="L1933">
        <v>0</v>
      </c>
      <c r="M1933">
        <v>0</v>
      </c>
      <c r="N1933">
        <v>0</v>
      </c>
      <c r="O1933" t="str" cm="1">
        <f t="array" ref="O1933">_xlfn.IFS(Table1[[#This Row],[Divorced]]=1, "Divorced", Table1[[#This Row],[Married]]=1, "Married", Table1[[#This Row],[Single]]=1, "Single", Table1[[#This Row],[Together]]=1, "Together", Table1[[#This Row],[Widow]]=1, "Widow")</f>
        <v>Single</v>
      </c>
      <c r="P1933" t="str" cm="1">
        <f t="array" ref="P1933">_xlfn.IFS(Table1[[#This Row],[Basic]]=1, "Basic", Table1[[#This Row],[Graduate]]=1, "Graduate", Table1[[#This Row],[Master]]=1, "Master", Table1[[#This Row],[PhD]]=1, "PhD", AND(Table1[[#This Row],[Basic]]=0, Table1[[#This Row],[Graduate]]=0, Table1[[#This Row],[Master]]=0, Table1[[#This Row],[PhD]]=0), "NA")</f>
        <v>Basic</v>
      </c>
      <c r="Q1933" t="e">
        <f>_xlfn.XLOOKUP(Table1[[#This Row],[ID]], Table2[ID],#REF!, "Not Found", 0)</f>
        <v>#REF!</v>
      </c>
      <c r="R1933" t="e">
        <f>_xlfn.XLOOKUP(Table1[[#This Row],[ID]], Table2[ID],#REF!, "Not Found", 0)</f>
        <v>#REF!</v>
      </c>
      <c r="S1933" s="3">
        <f>_xlfn.XLOOKUP(Table1[[#This Row],[ID]], Table2[ID], Table2[Enrollment], "Not Found", 0)</f>
        <v>43931</v>
      </c>
      <c r="T1933" t="s">
        <v>438</v>
      </c>
    </row>
    <row r="1934" spans="1:20" x14ac:dyDescent="0.3">
      <c r="A1934">
        <v>1569</v>
      </c>
      <c r="B1934">
        <v>126850</v>
      </c>
      <c r="C1934">
        <v>1</v>
      </c>
      <c r="D1934">
        <v>1</v>
      </c>
      <c r="E1934">
        <v>49</v>
      </c>
      <c r="F1934">
        <v>0</v>
      </c>
      <c r="G1934">
        <v>0</v>
      </c>
      <c r="H1934">
        <v>0</v>
      </c>
      <c r="I1934">
        <v>1</v>
      </c>
      <c r="J1934">
        <v>0</v>
      </c>
      <c r="K1934">
        <v>0</v>
      </c>
      <c r="L1934">
        <v>0</v>
      </c>
      <c r="M1934">
        <v>0</v>
      </c>
      <c r="N1934">
        <v>0</v>
      </c>
      <c r="O1934" t="str" cm="1">
        <f t="array" ref="O1934">_xlfn.IFS(Table1[[#This Row],[Divorced]]=1, "Divorced", Table1[[#This Row],[Married]]=1, "Married", Table1[[#This Row],[Single]]=1, "Single", Table1[[#This Row],[Together]]=1, "Together", Table1[[#This Row],[Widow]]=1, "Widow")</f>
        <v>Together</v>
      </c>
      <c r="P1934" t="str" cm="1">
        <f t="array" ref="P1934">_xlfn.IFS(Table1[[#This Row],[Basic]]=1, "Basic", Table1[[#This Row],[Graduate]]=1, "Graduate", Table1[[#This Row],[Master]]=1, "Master", Table1[[#This Row],[PhD]]=1, "PhD", AND(Table1[[#This Row],[Basic]]=0, Table1[[#This Row],[Graduate]]=0, Table1[[#This Row],[Master]]=0, Table1[[#This Row],[PhD]]=0), "NA")</f>
        <v>NA</v>
      </c>
      <c r="Q1934" t="e">
        <f>_xlfn.XLOOKUP(Table1[[#This Row],[ID]], Table2[ID],#REF!, "Not Found", 0)</f>
        <v>#REF!</v>
      </c>
      <c r="R1934" t="e">
        <f>_xlfn.XLOOKUP(Table1[[#This Row],[ID]], Table2[ID],#REF!, "Not Found", 0)</f>
        <v>#REF!</v>
      </c>
      <c r="S1934" s="3" t="str">
        <f>_xlfn.XLOOKUP(Table1[[#This Row],[ID]], Table2[ID], Table2[Enrollment], "Not Found", 0)</f>
        <v>9/22/2020</v>
      </c>
      <c r="T1934" t="s">
        <v>435</v>
      </c>
    </row>
    <row r="1935" spans="1:20" x14ac:dyDescent="0.3">
      <c r="A1935">
        <v>3199</v>
      </c>
      <c r="B1935">
        <v>126816</v>
      </c>
      <c r="C1935">
        <v>0</v>
      </c>
      <c r="D1935">
        <v>0</v>
      </c>
      <c r="E1935">
        <v>34</v>
      </c>
      <c r="F1935">
        <v>0</v>
      </c>
      <c r="G1935">
        <v>0</v>
      </c>
      <c r="H1935">
        <v>1</v>
      </c>
      <c r="I1935">
        <v>0</v>
      </c>
      <c r="J1935">
        <v>0</v>
      </c>
      <c r="K1935">
        <v>0</v>
      </c>
      <c r="L1935">
        <v>1</v>
      </c>
      <c r="M1935">
        <v>0</v>
      </c>
      <c r="N1935">
        <v>0</v>
      </c>
      <c r="O1935" t="str" cm="1">
        <f t="array" ref="O1935">_xlfn.IFS(Table1[[#This Row],[Divorced]]=1, "Divorced", Table1[[#This Row],[Married]]=1, "Married", Table1[[#This Row],[Single]]=1, "Single", Table1[[#This Row],[Together]]=1, "Together", Table1[[#This Row],[Widow]]=1, "Widow")</f>
        <v>Single</v>
      </c>
      <c r="P1935" t="str" cm="1">
        <f t="array" ref="P1935">_xlfn.IFS(Table1[[#This Row],[Basic]]=1, "Basic", Table1[[#This Row],[Graduate]]=1, "Graduate", Table1[[#This Row],[Master]]=1, "Master", Table1[[#This Row],[PhD]]=1, "PhD", AND(Table1[[#This Row],[Basic]]=0, Table1[[#This Row],[Graduate]]=0, Table1[[#This Row],[Master]]=0, Table1[[#This Row],[PhD]]=0), "NA")</f>
        <v>Graduate</v>
      </c>
      <c r="Q1935" t="e">
        <f>_xlfn.XLOOKUP(Table1[[#This Row],[ID]], Table2[ID],#REF!, "Not Found", 0)</f>
        <v>#REF!</v>
      </c>
      <c r="R1935" t="e">
        <f>_xlfn.XLOOKUP(Table1[[#This Row],[ID]], Table2[ID],#REF!, "Not Found", 0)</f>
        <v>#REF!</v>
      </c>
      <c r="S1935" s="3" t="str">
        <f>_xlfn.XLOOKUP(Table1[[#This Row],[ID]], Table2[ID], Table2[Enrollment], "Not Found", 0)</f>
        <v>1/22/2019</v>
      </c>
      <c r="T1935" t="s">
        <v>437</v>
      </c>
    </row>
    <row r="1936" spans="1:20" x14ac:dyDescent="0.3">
      <c r="A1936">
        <v>2373</v>
      </c>
      <c r="B1936">
        <v>126759</v>
      </c>
      <c r="C1936">
        <v>1</v>
      </c>
      <c r="D1936">
        <v>0</v>
      </c>
      <c r="E1936">
        <v>48</v>
      </c>
      <c r="F1936">
        <v>1</v>
      </c>
      <c r="G1936">
        <v>0</v>
      </c>
      <c r="H1936">
        <v>0</v>
      </c>
      <c r="I1936">
        <v>0</v>
      </c>
      <c r="J1936">
        <v>0</v>
      </c>
      <c r="K1936">
        <v>0</v>
      </c>
      <c r="L1936">
        <v>1</v>
      </c>
      <c r="M1936">
        <v>0</v>
      </c>
      <c r="N1936">
        <v>0</v>
      </c>
      <c r="O1936" t="str" cm="1">
        <f t="array" ref="O1936">_xlfn.IFS(Table1[[#This Row],[Divorced]]=1, "Divorced", Table1[[#This Row],[Married]]=1, "Married", Table1[[#This Row],[Single]]=1, "Single", Table1[[#This Row],[Together]]=1, "Together", Table1[[#This Row],[Widow]]=1, "Widow")</f>
        <v>Divorced</v>
      </c>
      <c r="P1936" t="str" cm="1">
        <f t="array" ref="P1936">_xlfn.IFS(Table1[[#This Row],[Basic]]=1, "Basic", Table1[[#This Row],[Graduate]]=1, "Graduate", Table1[[#This Row],[Master]]=1, "Master", Table1[[#This Row],[PhD]]=1, "PhD", AND(Table1[[#This Row],[Basic]]=0, Table1[[#This Row],[Graduate]]=0, Table1[[#This Row],[Master]]=0, Table1[[#This Row],[PhD]]=0), "NA")</f>
        <v>Graduate</v>
      </c>
      <c r="Q1936" t="e">
        <f>_xlfn.XLOOKUP(Table1[[#This Row],[ID]], Table2[ID],#REF!, "Not Found", 0)</f>
        <v>#REF!</v>
      </c>
      <c r="R1936" t="e">
        <f>_xlfn.XLOOKUP(Table1[[#This Row],[ID]], Table2[ID],#REF!, "Not Found", 0)</f>
        <v>#REF!</v>
      </c>
      <c r="S1936" s="3" t="str">
        <f>_xlfn.XLOOKUP(Table1[[#This Row],[ID]], Table2[ID], Table2[Enrollment], "Not Found", 0)</f>
        <v>7/14/2020</v>
      </c>
      <c r="T1936" t="s">
        <v>435</v>
      </c>
    </row>
    <row r="1937" spans="1:20" x14ac:dyDescent="0.3">
      <c r="A1937">
        <v>1657</v>
      </c>
      <c r="B1937">
        <v>126751</v>
      </c>
      <c r="C1937">
        <v>2</v>
      </c>
      <c r="D1937">
        <v>0</v>
      </c>
      <c r="E1937">
        <v>46</v>
      </c>
      <c r="F1937">
        <v>0</v>
      </c>
      <c r="G1937">
        <v>1</v>
      </c>
      <c r="H1937">
        <v>0</v>
      </c>
      <c r="I1937">
        <v>0</v>
      </c>
      <c r="J1937">
        <v>0</v>
      </c>
      <c r="K1937">
        <v>0</v>
      </c>
      <c r="L1937">
        <v>1</v>
      </c>
      <c r="M1937">
        <v>0</v>
      </c>
      <c r="N1937">
        <v>0</v>
      </c>
      <c r="O1937" t="str" cm="1">
        <f t="array" ref="O1937">_xlfn.IFS(Table1[[#This Row],[Divorced]]=1, "Divorced", Table1[[#This Row],[Married]]=1, "Married", Table1[[#This Row],[Single]]=1, "Single", Table1[[#This Row],[Together]]=1, "Together", Table1[[#This Row],[Widow]]=1, "Widow")</f>
        <v>Married</v>
      </c>
      <c r="P1937" t="str" cm="1">
        <f t="array" ref="P1937">_xlfn.IFS(Table1[[#This Row],[Basic]]=1, "Basic", Table1[[#This Row],[Graduate]]=1, "Graduate", Table1[[#This Row],[Master]]=1, "Master", Table1[[#This Row],[PhD]]=1, "PhD", AND(Table1[[#This Row],[Basic]]=0, Table1[[#This Row],[Graduate]]=0, Table1[[#This Row],[Master]]=0, Table1[[#This Row],[PhD]]=0), "NA")</f>
        <v>Graduate</v>
      </c>
      <c r="Q1937" t="e">
        <f>_xlfn.XLOOKUP(Table1[[#This Row],[ID]], Table2[ID],#REF!, "Not Found", 0)</f>
        <v>#REF!</v>
      </c>
      <c r="R1937" t="e">
        <f>_xlfn.XLOOKUP(Table1[[#This Row],[ID]], Table2[ID],#REF!, "Not Found", 0)</f>
        <v>#REF!</v>
      </c>
      <c r="S1937" s="3" t="str">
        <f>_xlfn.XLOOKUP(Table1[[#This Row],[ID]], Table2[ID], Table2[Enrollment], "Not Found", 0)</f>
        <v>10/26/2020</v>
      </c>
      <c r="T1937" t="s">
        <v>437</v>
      </c>
    </row>
    <row r="1938" spans="1:20" x14ac:dyDescent="0.3">
      <c r="A1938">
        <v>1004</v>
      </c>
      <c r="B1938">
        <v>126646</v>
      </c>
      <c r="C1938">
        <v>1</v>
      </c>
      <c r="D1938">
        <v>0</v>
      </c>
      <c r="E1938">
        <v>36</v>
      </c>
      <c r="F1938">
        <v>0</v>
      </c>
      <c r="G1938">
        <v>0</v>
      </c>
      <c r="H1938">
        <v>0</v>
      </c>
      <c r="I1938">
        <v>1</v>
      </c>
      <c r="J1938">
        <v>0</v>
      </c>
      <c r="K1938">
        <v>0</v>
      </c>
      <c r="L1938">
        <v>1</v>
      </c>
      <c r="M1938">
        <v>0</v>
      </c>
      <c r="N1938">
        <v>0</v>
      </c>
      <c r="O1938" t="str" cm="1">
        <f t="array" ref="O1938">_xlfn.IFS(Table1[[#This Row],[Divorced]]=1, "Divorced", Table1[[#This Row],[Married]]=1, "Married", Table1[[#This Row],[Single]]=1, "Single", Table1[[#This Row],[Together]]=1, "Together", Table1[[#This Row],[Widow]]=1, "Widow")</f>
        <v>Together</v>
      </c>
      <c r="P1938" t="str" cm="1">
        <f t="array" ref="P1938">_xlfn.IFS(Table1[[#This Row],[Basic]]=1, "Basic", Table1[[#This Row],[Graduate]]=1, "Graduate", Table1[[#This Row],[Master]]=1, "Master", Table1[[#This Row],[PhD]]=1, "PhD", AND(Table1[[#This Row],[Basic]]=0, Table1[[#This Row],[Graduate]]=0, Table1[[#This Row],[Master]]=0, Table1[[#This Row],[PhD]]=0), "NA")</f>
        <v>Graduate</v>
      </c>
      <c r="Q1938" t="e">
        <f>_xlfn.XLOOKUP(Table1[[#This Row],[ID]], Table2[ID],#REF!, "Not Found", 0)</f>
        <v>#REF!</v>
      </c>
      <c r="R1938" t="e">
        <f>_xlfn.XLOOKUP(Table1[[#This Row],[ID]], Table2[ID],#REF!, "Not Found", 0)</f>
        <v>#REF!</v>
      </c>
      <c r="S1938" s="3" t="str">
        <f>_xlfn.XLOOKUP(Table1[[#This Row],[ID]], Table2[ID], Table2[Enrollment], "Not Found", 0)</f>
        <v>7/17/2020</v>
      </c>
      <c r="T1938" t="s">
        <v>438</v>
      </c>
    </row>
    <row r="1939" spans="1:20" x14ac:dyDescent="0.3">
      <c r="A1939">
        <v>2845</v>
      </c>
      <c r="B1939">
        <v>126642</v>
      </c>
      <c r="C1939">
        <v>1</v>
      </c>
      <c r="D1939">
        <v>0</v>
      </c>
      <c r="E1939">
        <v>53</v>
      </c>
      <c r="F1939">
        <v>1</v>
      </c>
      <c r="G1939">
        <v>0</v>
      </c>
      <c r="H1939">
        <v>0</v>
      </c>
      <c r="I1939">
        <v>0</v>
      </c>
      <c r="J1939">
        <v>0</v>
      </c>
      <c r="K1939">
        <v>0</v>
      </c>
      <c r="L1939">
        <v>0</v>
      </c>
      <c r="M1939">
        <v>0</v>
      </c>
      <c r="N1939">
        <v>1</v>
      </c>
      <c r="O1939" t="str" cm="1">
        <f t="array" ref="O1939">_xlfn.IFS(Table1[[#This Row],[Divorced]]=1, "Divorced", Table1[[#This Row],[Married]]=1, "Married", Table1[[#This Row],[Single]]=1, "Single", Table1[[#This Row],[Together]]=1, "Together", Table1[[#This Row],[Widow]]=1, "Widow")</f>
        <v>Divorced</v>
      </c>
      <c r="P1939" t="str" cm="1">
        <f t="array" ref="P1939">_xlfn.IFS(Table1[[#This Row],[Basic]]=1, "Basic", Table1[[#This Row],[Graduate]]=1, "Graduate", Table1[[#This Row],[Master]]=1, "Master", Table1[[#This Row],[PhD]]=1, "PhD", AND(Table1[[#This Row],[Basic]]=0, Table1[[#This Row],[Graduate]]=0, Table1[[#This Row],[Master]]=0, Table1[[#This Row],[PhD]]=0), "NA")</f>
        <v>PhD</v>
      </c>
      <c r="Q1939" t="e">
        <f>_xlfn.XLOOKUP(Table1[[#This Row],[ID]], Table2[ID],#REF!, "Not Found", 0)</f>
        <v>#REF!</v>
      </c>
      <c r="R1939" t="e">
        <f>_xlfn.XLOOKUP(Table1[[#This Row],[ID]], Table2[ID],#REF!, "Not Found", 0)</f>
        <v>#REF!</v>
      </c>
      <c r="S1939" s="3">
        <f>_xlfn.XLOOKUP(Table1[[#This Row],[ID]], Table2[ID], Table2[Enrollment], "Not Found", 0)</f>
        <v>43959</v>
      </c>
      <c r="T1939" t="s">
        <v>437</v>
      </c>
    </row>
    <row r="1940" spans="1:20" x14ac:dyDescent="0.3">
      <c r="A1940">
        <v>2130</v>
      </c>
      <c r="B1940">
        <v>126576</v>
      </c>
      <c r="C1940">
        <v>1</v>
      </c>
      <c r="D1940">
        <v>0</v>
      </c>
      <c r="E1940">
        <v>34</v>
      </c>
      <c r="F1940">
        <v>0</v>
      </c>
      <c r="G1940">
        <v>0</v>
      </c>
      <c r="H1940">
        <v>1</v>
      </c>
      <c r="I1940">
        <v>0</v>
      </c>
      <c r="J1940">
        <v>0</v>
      </c>
      <c r="K1940">
        <v>0</v>
      </c>
      <c r="L1940">
        <v>1</v>
      </c>
      <c r="M1940">
        <v>0</v>
      </c>
      <c r="N1940">
        <v>0</v>
      </c>
      <c r="O1940" t="str" cm="1">
        <f t="array" ref="O1940">_xlfn.IFS(Table1[[#This Row],[Divorced]]=1, "Divorced", Table1[[#This Row],[Married]]=1, "Married", Table1[[#This Row],[Single]]=1, "Single", Table1[[#This Row],[Together]]=1, "Together", Table1[[#This Row],[Widow]]=1, "Widow")</f>
        <v>Single</v>
      </c>
      <c r="P1940" t="str" cm="1">
        <f t="array" ref="P1940">_xlfn.IFS(Table1[[#This Row],[Basic]]=1, "Basic", Table1[[#This Row],[Graduate]]=1, "Graduate", Table1[[#This Row],[Master]]=1, "Master", Table1[[#This Row],[PhD]]=1, "PhD", AND(Table1[[#This Row],[Basic]]=0, Table1[[#This Row],[Graduate]]=0, Table1[[#This Row],[Master]]=0, Table1[[#This Row],[PhD]]=0), "NA")</f>
        <v>Graduate</v>
      </c>
      <c r="Q1940" t="e">
        <f>_xlfn.XLOOKUP(Table1[[#This Row],[ID]], Table2[ID],#REF!, "Not Found", 0)</f>
        <v>#REF!</v>
      </c>
      <c r="R1940" t="e">
        <f>_xlfn.XLOOKUP(Table1[[#This Row],[ID]], Table2[ID],#REF!, "Not Found", 0)</f>
        <v>#REF!</v>
      </c>
      <c r="S1940" s="3" t="str">
        <f>_xlfn.XLOOKUP(Table1[[#This Row],[ID]], Table2[ID], Table2[Enrollment], "Not Found", 0)</f>
        <v>3/20/2019</v>
      </c>
      <c r="T1940" t="s">
        <v>436</v>
      </c>
    </row>
    <row r="1941" spans="1:20" x14ac:dyDescent="0.3">
      <c r="A1941">
        <v>1678</v>
      </c>
      <c r="B1941">
        <v>126518</v>
      </c>
      <c r="C1941">
        <v>1</v>
      </c>
      <c r="D1941">
        <v>1</v>
      </c>
      <c r="E1941">
        <v>71</v>
      </c>
      <c r="F1941">
        <v>0</v>
      </c>
      <c r="G1941">
        <v>0</v>
      </c>
      <c r="H1941">
        <v>1</v>
      </c>
      <c r="I1941">
        <v>0</v>
      </c>
      <c r="J1941">
        <v>0</v>
      </c>
      <c r="K1941">
        <v>0</v>
      </c>
      <c r="L1941">
        <v>0</v>
      </c>
      <c r="M1941">
        <v>0</v>
      </c>
      <c r="N1941">
        <v>1</v>
      </c>
      <c r="O1941" t="str" cm="1">
        <f t="array" ref="O1941">_xlfn.IFS(Table1[[#This Row],[Divorced]]=1, "Divorced", Table1[[#This Row],[Married]]=1, "Married", Table1[[#This Row],[Single]]=1, "Single", Table1[[#This Row],[Together]]=1, "Together", Table1[[#This Row],[Widow]]=1, "Widow")</f>
        <v>Single</v>
      </c>
      <c r="P1941" t="str" cm="1">
        <f t="array" ref="P1941">_xlfn.IFS(Table1[[#This Row],[Basic]]=1, "Basic", Table1[[#This Row],[Graduate]]=1, "Graduate", Table1[[#This Row],[Master]]=1, "Master", Table1[[#This Row],[PhD]]=1, "PhD", AND(Table1[[#This Row],[Basic]]=0, Table1[[#This Row],[Graduate]]=0, Table1[[#This Row],[Master]]=0, Table1[[#This Row],[PhD]]=0), "NA")</f>
        <v>PhD</v>
      </c>
      <c r="Q1941" t="e">
        <f>_xlfn.XLOOKUP(Table1[[#This Row],[ID]], Table2[ID],#REF!, "Not Found", 0)</f>
        <v>#REF!</v>
      </c>
      <c r="R1941" t="e">
        <f>_xlfn.XLOOKUP(Table1[[#This Row],[ID]], Table2[ID],#REF!, "Not Found", 0)</f>
        <v>#REF!</v>
      </c>
      <c r="S1941" s="3" t="str">
        <f>_xlfn.XLOOKUP(Table1[[#This Row],[ID]], Table2[ID], Table2[Enrollment], "Not Found", 0)</f>
        <v>9/13/2019</v>
      </c>
      <c r="T1941" t="s">
        <v>439</v>
      </c>
    </row>
    <row r="1942" spans="1:20" x14ac:dyDescent="0.3">
      <c r="A1942">
        <v>1240</v>
      </c>
      <c r="B1942">
        <v>126490</v>
      </c>
      <c r="C1942">
        <v>0</v>
      </c>
      <c r="D1942">
        <v>0</v>
      </c>
      <c r="E1942">
        <v>62</v>
      </c>
      <c r="F1942">
        <v>0</v>
      </c>
      <c r="G1942">
        <v>0</v>
      </c>
      <c r="H1942">
        <v>0</v>
      </c>
      <c r="I1942">
        <v>1</v>
      </c>
      <c r="J1942">
        <v>0</v>
      </c>
      <c r="K1942">
        <v>0</v>
      </c>
      <c r="L1942">
        <v>0</v>
      </c>
      <c r="M1942">
        <v>0</v>
      </c>
      <c r="N1942">
        <v>0</v>
      </c>
      <c r="O1942" t="str" cm="1">
        <f t="array" ref="O1942">_xlfn.IFS(Table1[[#This Row],[Divorced]]=1, "Divorced", Table1[[#This Row],[Married]]=1, "Married", Table1[[#This Row],[Single]]=1, "Single", Table1[[#This Row],[Together]]=1, "Together", Table1[[#This Row],[Widow]]=1, "Widow")</f>
        <v>Together</v>
      </c>
      <c r="P1942" t="str" cm="1">
        <f t="array" ref="P1942">_xlfn.IFS(Table1[[#This Row],[Basic]]=1, "Basic", Table1[[#This Row],[Graduate]]=1, "Graduate", Table1[[#This Row],[Master]]=1, "Master", Table1[[#This Row],[PhD]]=1, "PhD", AND(Table1[[#This Row],[Basic]]=0, Table1[[#This Row],[Graduate]]=0, Table1[[#This Row],[Master]]=0, Table1[[#This Row],[PhD]]=0), "NA")</f>
        <v>NA</v>
      </c>
      <c r="Q1942" t="e">
        <f>_xlfn.XLOOKUP(Table1[[#This Row],[ID]], Table2[ID],#REF!, "Not Found", 0)</f>
        <v>#REF!</v>
      </c>
      <c r="R1942" t="e">
        <f>_xlfn.XLOOKUP(Table1[[#This Row],[ID]], Table2[ID],#REF!, "Not Found", 0)</f>
        <v>#REF!</v>
      </c>
      <c r="S1942" s="3" t="str">
        <f>_xlfn.XLOOKUP(Table1[[#This Row],[ID]], Table2[ID], Table2[Enrollment], "Not Found", 0)</f>
        <v>2/27/2019</v>
      </c>
      <c r="T1942" t="s">
        <v>439</v>
      </c>
    </row>
    <row r="1943" spans="1:20" x14ac:dyDescent="0.3">
      <c r="A1943">
        <v>1639</v>
      </c>
      <c r="B1943">
        <v>126490</v>
      </c>
      <c r="C1943">
        <v>0</v>
      </c>
      <c r="D1943">
        <v>0</v>
      </c>
      <c r="E1943">
        <v>62</v>
      </c>
      <c r="F1943">
        <v>0</v>
      </c>
      <c r="G1943">
        <v>0</v>
      </c>
      <c r="H1943">
        <v>0</v>
      </c>
      <c r="I1943">
        <v>1</v>
      </c>
      <c r="J1943">
        <v>0</v>
      </c>
      <c r="K1943">
        <v>0</v>
      </c>
      <c r="L1943">
        <v>0</v>
      </c>
      <c r="M1943">
        <v>0</v>
      </c>
      <c r="N1943">
        <v>0</v>
      </c>
      <c r="O1943" t="str" cm="1">
        <f t="array" ref="O1943">_xlfn.IFS(Table1[[#This Row],[Divorced]]=1, "Divorced", Table1[[#This Row],[Married]]=1, "Married", Table1[[#This Row],[Single]]=1, "Single", Table1[[#This Row],[Together]]=1, "Together", Table1[[#This Row],[Widow]]=1, "Widow")</f>
        <v>Together</v>
      </c>
      <c r="P1943" t="str" cm="1">
        <f t="array" ref="P1943">_xlfn.IFS(Table1[[#This Row],[Basic]]=1, "Basic", Table1[[#This Row],[Graduate]]=1, "Graduate", Table1[[#This Row],[Master]]=1, "Master", Table1[[#This Row],[PhD]]=1, "PhD", AND(Table1[[#This Row],[Basic]]=0, Table1[[#This Row],[Graduate]]=0, Table1[[#This Row],[Master]]=0, Table1[[#This Row],[PhD]]=0), "NA")</f>
        <v>NA</v>
      </c>
      <c r="Q1943" t="e">
        <f>_xlfn.XLOOKUP(Table1[[#This Row],[ID]], Table2[ID],#REF!, "Not Found", 0)</f>
        <v>#REF!</v>
      </c>
      <c r="R1943" t="e">
        <f>_xlfn.XLOOKUP(Table1[[#This Row],[ID]], Table2[ID],#REF!, "Not Found", 0)</f>
        <v>#REF!</v>
      </c>
      <c r="S1943" s="3" t="str">
        <f>_xlfn.XLOOKUP(Table1[[#This Row],[ID]], Table2[ID], Table2[Enrollment], "Not Found", 0)</f>
        <v>2/27/2019</v>
      </c>
      <c r="T1943" t="s">
        <v>437</v>
      </c>
    </row>
    <row r="1944" spans="1:20" x14ac:dyDescent="0.3">
      <c r="A1944">
        <v>3151</v>
      </c>
      <c r="B1944">
        <v>126487</v>
      </c>
      <c r="C1944">
        <v>1</v>
      </c>
      <c r="D1944">
        <v>0</v>
      </c>
      <c r="E1944">
        <v>42</v>
      </c>
      <c r="F1944">
        <v>0</v>
      </c>
      <c r="G1944">
        <v>0</v>
      </c>
      <c r="H1944">
        <v>1</v>
      </c>
      <c r="I1944">
        <v>0</v>
      </c>
      <c r="J1944">
        <v>0</v>
      </c>
      <c r="K1944">
        <v>1</v>
      </c>
      <c r="L1944">
        <v>0</v>
      </c>
      <c r="M1944">
        <v>0</v>
      </c>
      <c r="N1944">
        <v>0</v>
      </c>
      <c r="O1944" t="str" cm="1">
        <f t="array" ref="O1944">_xlfn.IFS(Table1[[#This Row],[Divorced]]=1, "Divorced", Table1[[#This Row],[Married]]=1, "Married", Table1[[#This Row],[Single]]=1, "Single", Table1[[#This Row],[Together]]=1, "Together", Table1[[#This Row],[Widow]]=1, "Widow")</f>
        <v>Single</v>
      </c>
      <c r="P1944" t="str" cm="1">
        <f t="array" ref="P1944">_xlfn.IFS(Table1[[#This Row],[Basic]]=1, "Basic", Table1[[#This Row],[Graduate]]=1, "Graduate", Table1[[#This Row],[Master]]=1, "Master", Table1[[#This Row],[PhD]]=1, "PhD", AND(Table1[[#This Row],[Basic]]=0, Table1[[#This Row],[Graduate]]=0, Table1[[#This Row],[Master]]=0, Table1[[#This Row],[PhD]]=0), "NA")</f>
        <v>Basic</v>
      </c>
      <c r="Q1944" t="e">
        <f>_xlfn.XLOOKUP(Table1[[#This Row],[ID]], Table2[ID],#REF!, "Not Found", 0)</f>
        <v>#REF!</v>
      </c>
      <c r="R1944" t="e">
        <f>_xlfn.XLOOKUP(Table1[[#This Row],[ID]], Table2[ID],#REF!, "Not Found", 0)</f>
        <v>#REF!</v>
      </c>
      <c r="S1944" s="3" t="str">
        <f>_xlfn.XLOOKUP(Table1[[#This Row],[ID]], Table2[ID], Table2[Enrollment], "Not Found", 0)</f>
        <v>10/25/2019</v>
      </c>
      <c r="T1944" t="s">
        <v>437</v>
      </c>
    </row>
    <row r="1945" spans="1:20" x14ac:dyDescent="0.3">
      <c r="A1945">
        <v>1073</v>
      </c>
      <c r="B1945">
        <v>126326</v>
      </c>
      <c r="C1945">
        <v>0</v>
      </c>
      <c r="D1945">
        <v>0</v>
      </c>
      <c r="E1945">
        <v>44</v>
      </c>
      <c r="F1945">
        <v>0</v>
      </c>
      <c r="G1945">
        <v>0</v>
      </c>
      <c r="H1945">
        <v>0</v>
      </c>
      <c r="I1945">
        <v>1</v>
      </c>
      <c r="J1945">
        <v>0</v>
      </c>
      <c r="K1945">
        <v>0</v>
      </c>
      <c r="L1945">
        <v>0</v>
      </c>
      <c r="M1945">
        <v>0</v>
      </c>
      <c r="N1945">
        <v>0</v>
      </c>
      <c r="O1945" t="str" cm="1">
        <f t="array" ref="O1945">_xlfn.IFS(Table1[[#This Row],[Divorced]]=1, "Divorced", Table1[[#This Row],[Married]]=1, "Married", Table1[[#This Row],[Single]]=1, "Single", Table1[[#This Row],[Together]]=1, "Together", Table1[[#This Row],[Widow]]=1, "Widow")</f>
        <v>Together</v>
      </c>
      <c r="P1945" t="str" cm="1">
        <f t="array" ref="P1945">_xlfn.IFS(Table1[[#This Row],[Basic]]=1, "Basic", Table1[[#This Row],[Graduate]]=1, "Graduate", Table1[[#This Row],[Master]]=1, "Master", Table1[[#This Row],[PhD]]=1, "PhD", AND(Table1[[#This Row],[Basic]]=0, Table1[[#This Row],[Graduate]]=0, Table1[[#This Row],[Master]]=0, Table1[[#This Row],[PhD]]=0), "NA")</f>
        <v>NA</v>
      </c>
      <c r="Q1945" t="e">
        <f>_xlfn.XLOOKUP(Table1[[#This Row],[ID]], Table2[ID],#REF!, "Not Found", 0)</f>
        <v>#REF!</v>
      </c>
      <c r="R1945" t="e">
        <f>_xlfn.XLOOKUP(Table1[[#This Row],[ID]], Table2[ID],#REF!, "Not Found", 0)</f>
        <v>#REF!</v>
      </c>
      <c r="S1945" s="3">
        <f>_xlfn.XLOOKUP(Table1[[#This Row],[ID]], Table2[ID], Table2[Enrollment], "Not Found", 0)</f>
        <v>44076</v>
      </c>
      <c r="T1945" t="s">
        <v>434</v>
      </c>
    </row>
    <row r="1946" spans="1:20" x14ac:dyDescent="0.3">
      <c r="A1946">
        <v>1076</v>
      </c>
      <c r="B1946">
        <v>126304</v>
      </c>
      <c r="C1946">
        <v>1</v>
      </c>
      <c r="D1946">
        <v>0</v>
      </c>
      <c r="E1946">
        <v>51</v>
      </c>
      <c r="F1946">
        <v>0</v>
      </c>
      <c r="G1946">
        <v>1</v>
      </c>
      <c r="H1946">
        <v>0</v>
      </c>
      <c r="I1946">
        <v>0</v>
      </c>
      <c r="J1946">
        <v>0</v>
      </c>
      <c r="K1946">
        <v>0</v>
      </c>
      <c r="L1946">
        <v>1</v>
      </c>
      <c r="M1946">
        <v>0</v>
      </c>
      <c r="N1946">
        <v>0</v>
      </c>
      <c r="O1946" t="str" cm="1">
        <f t="array" ref="O1946">_xlfn.IFS(Table1[[#This Row],[Divorced]]=1, "Divorced", Table1[[#This Row],[Married]]=1, "Married", Table1[[#This Row],[Single]]=1, "Single", Table1[[#This Row],[Together]]=1, "Together", Table1[[#This Row],[Widow]]=1, "Widow")</f>
        <v>Married</v>
      </c>
      <c r="P1946" t="str" cm="1">
        <f t="array" ref="P1946">_xlfn.IFS(Table1[[#This Row],[Basic]]=1, "Basic", Table1[[#This Row],[Graduate]]=1, "Graduate", Table1[[#This Row],[Master]]=1, "Master", Table1[[#This Row],[PhD]]=1, "PhD", AND(Table1[[#This Row],[Basic]]=0, Table1[[#This Row],[Graduate]]=0, Table1[[#This Row],[Master]]=0, Table1[[#This Row],[PhD]]=0), "NA")</f>
        <v>Graduate</v>
      </c>
      <c r="Q1946" t="e">
        <f>_xlfn.XLOOKUP(Table1[[#This Row],[ID]], Table2[ID],#REF!, "Not Found", 0)</f>
        <v>#REF!</v>
      </c>
      <c r="R1946" t="e">
        <f>_xlfn.XLOOKUP(Table1[[#This Row],[ID]], Table2[ID],#REF!, "Not Found", 0)</f>
        <v>#REF!</v>
      </c>
      <c r="S1946" s="3" t="str">
        <f>_xlfn.XLOOKUP(Table1[[#This Row],[ID]], Table2[ID], Table2[Enrollment], "Not Found", 0)</f>
        <v>11/28/2019</v>
      </c>
      <c r="T1946" t="s">
        <v>438</v>
      </c>
    </row>
    <row r="1947" spans="1:20" x14ac:dyDescent="0.3">
      <c r="A1947">
        <v>2433</v>
      </c>
      <c r="B1947">
        <v>126290</v>
      </c>
      <c r="C1947">
        <v>1</v>
      </c>
      <c r="D1947">
        <v>1</v>
      </c>
      <c r="E1947">
        <v>48</v>
      </c>
      <c r="F1947">
        <v>0</v>
      </c>
      <c r="G1947">
        <v>0</v>
      </c>
      <c r="H1947">
        <v>0</v>
      </c>
      <c r="I1947">
        <v>1</v>
      </c>
      <c r="J1947">
        <v>0</v>
      </c>
      <c r="K1947">
        <v>0</v>
      </c>
      <c r="L1947">
        <v>1</v>
      </c>
      <c r="M1947">
        <v>0</v>
      </c>
      <c r="N1947">
        <v>0</v>
      </c>
      <c r="O1947" t="str" cm="1">
        <f t="array" ref="O1947">_xlfn.IFS(Table1[[#This Row],[Divorced]]=1, "Divorced", Table1[[#This Row],[Married]]=1, "Married", Table1[[#This Row],[Single]]=1, "Single", Table1[[#This Row],[Together]]=1, "Together", Table1[[#This Row],[Widow]]=1, "Widow")</f>
        <v>Together</v>
      </c>
      <c r="P1947" t="str" cm="1">
        <f t="array" ref="P1947">_xlfn.IFS(Table1[[#This Row],[Basic]]=1, "Basic", Table1[[#This Row],[Graduate]]=1, "Graduate", Table1[[#This Row],[Master]]=1, "Master", Table1[[#This Row],[PhD]]=1, "PhD", AND(Table1[[#This Row],[Basic]]=0, Table1[[#This Row],[Graduate]]=0, Table1[[#This Row],[Master]]=0, Table1[[#This Row],[PhD]]=0), "NA")</f>
        <v>Graduate</v>
      </c>
      <c r="Q1947" t="e">
        <f>_xlfn.XLOOKUP(Table1[[#This Row],[ID]], Table2[ID],#REF!, "Not Found", 0)</f>
        <v>#REF!</v>
      </c>
      <c r="R1947" t="e">
        <f>_xlfn.XLOOKUP(Table1[[#This Row],[ID]], Table2[ID],#REF!, "Not Found", 0)</f>
        <v>#REF!</v>
      </c>
      <c r="S1947" s="3" t="str">
        <f>_xlfn.XLOOKUP(Table1[[#This Row],[ID]], Table2[ID], Table2[Enrollment], "Not Found", 0)</f>
        <v>6/19/2019</v>
      </c>
      <c r="T1947" t="s">
        <v>435</v>
      </c>
    </row>
    <row r="1948" spans="1:20" x14ac:dyDescent="0.3">
      <c r="A1948">
        <v>2202</v>
      </c>
      <c r="B1948">
        <v>126228</v>
      </c>
      <c r="C1948">
        <v>1</v>
      </c>
      <c r="D1948">
        <v>0</v>
      </c>
      <c r="E1948">
        <v>47</v>
      </c>
      <c r="F1948">
        <v>0</v>
      </c>
      <c r="G1948">
        <v>1</v>
      </c>
      <c r="H1948">
        <v>0</v>
      </c>
      <c r="I1948">
        <v>0</v>
      </c>
      <c r="J1948">
        <v>0</v>
      </c>
      <c r="K1948">
        <v>0</v>
      </c>
      <c r="L1948">
        <v>1</v>
      </c>
      <c r="M1948">
        <v>0</v>
      </c>
      <c r="N1948">
        <v>0</v>
      </c>
      <c r="O1948" t="str" cm="1">
        <f t="array" ref="O1948">_xlfn.IFS(Table1[[#This Row],[Divorced]]=1, "Divorced", Table1[[#This Row],[Married]]=1, "Married", Table1[[#This Row],[Single]]=1, "Single", Table1[[#This Row],[Together]]=1, "Together", Table1[[#This Row],[Widow]]=1, "Widow")</f>
        <v>Married</v>
      </c>
      <c r="P1948" t="str" cm="1">
        <f t="array" ref="P1948">_xlfn.IFS(Table1[[#This Row],[Basic]]=1, "Basic", Table1[[#This Row],[Graduate]]=1, "Graduate", Table1[[#This Row],[Master]]=1, "Master", Table1[[#This Row],[PhD]]=1, "PhD", AND(Table1[[#This Row],[Basic]]=0, Table1[[#This Row],[Graduate]]=0, Table1[[#This Row],[Master]]=0, Table1[[#This Row],[PhD]]=0), "NA")</f>
        <v>Graduate</v>
      </c>
      <c r="Q1948" t="e">
        <f>_xlfn.XLOOKUP(Table1[[#This Row],[ID]], Table2[ID],#REF!, "Not Found", 0)</f>
        <v>#REF!</v>
      </c>
      <c r="R1948" t="e">
        <f>_xlfn.XLOOKUP(Table1[[#This Row],[ID]], Table2[ID],#REF!, "Not Found", 0)</f>
        <v>#REF!</v>
      </c>
      <c r="S1948" s="3" t="str">
        <f>_xlfn.XLOOKUP(Table1[[#This Row],[ID]], Table2[ID], Table2[Enrollment], "Not Found", 0)</f>
        <v>2/27/2020</v>
      </c>
      <c r="T1948" t="s">
        <v>436</v>
      </c>
    </row>
    <row r="1949" spans="1:20" x14ac:dyDescent="0.3">
      <c r="A1949">
        <v>1582</v>
      </c>
      <c r="B1949">
        <v>126224</v>
      </c>
      <c r="C1949">
        <v>1</v>
      </c>
      <c r="D1949">
        <v>0</v>
      </c>
      <c r="E1949">
        <v>42</v>
      </c>
      <c r="F1949">
        <v>0</v>
      </c>
      <c r="G1949">
        <v>1</v>
      </c>
      <c r="H1949">
        <v>0</v>
      </c>
      <c r="I1949">
        <v>0</v>
      </c>
      <c r="J1949">
        <v>0</v>
      </c>
      <c r="K1949">
        <v>0</v>
      </c>
      <c r="L1949">
        <v>0</v>
      </c>
      <c r="M1949">
        <v>0</v>
      </c>
      <c r="N1949">
        <v>0</v>
      </c>
      <c r="O1949" t="str" cm="1">
        <f t="array" ref="O1949">_xlfn.IFS(Table1[[#This Row],[Divorced]]=1, "Divorced", Table1[[#This Row],[Married]]=1, "Married", Table1[[#This Row],[Single]]=1, "Single", Table1[[#This Row],[Together]]=1, "Together", Table1[[#This Row],[Widow]]=1, "Widow")</f>
        <v>Married</v>
      </c>
      <c r="P1949" t="str" cm="1">
        <f t="array" ref="P1949">_xlfn.IFS(Table1[[#This Row],[Basic]]=1, "Basic", Table1[[#This Row],[Graduate]]=1, "Graduate", Table1[[#This Row],[Master]]=1, "Master", Table1[[#This Row],[PhD]]=1, "PhD", AND(Table1[[#This Row],[Basic]]=0, Table1[[#This Row],[Graduate]]=0, Table1[[#This Row],[Master]]=0, Table1[[#This Row],[PhD]]=0), "NA")</f>
        <v>NA</v>
      </c>
      <c r="Q1949" t="e">
        <f>_xlfn.XLOOKUP(Table1[[#This Row],[ID]], Table2[ID],#REF!, "Not Found", 0)</f>
        <v>#REF!</v>
      </c>
      <c r="R1949" t="e">
        <f>_xlfn.XLOOKUP(Table1[[#This Row],[ID]], Table2[ID],#REF!, "Not Found", 0)</f>
        <v>#REF!</v>
      </c>
      <c r="S1949" s="3">
        <f>_xlfn.XLOOKUP(Table1[[#This Row],[ID]], Table2[ID], Table2[Enrollment], "Not Found", 0)</f>
        <v>43719</v>
      </c>
      <c r="T1949" t="s">
        <v>439</v>
      </c>
    </row>
    <row r="1950" spans="1:20" x14ac:dyDescent="0.3">
      <c r="A1950">
        <v>1591</v>
      </c>
      <c r="B1950">
        <v>126150</v>
      </c>
      <c r="C1950">
        <v>2</v>
      </c>
      <c r="D1950">
        <v>1</v>
      </c>
      <c r="E1950">
        <v>64</v>
      </c>
      <c r="F1950">
        <v>1</v>
      </c>
      <c r="G1950">
        <v>0</v>
      </c>
      <c r="H1950">
        <v>0</v>
      </c>
      <c r="I1950">
        <v>0</v>
      </c>
      <c r="J1950">
        <v>0</v>
      </c>
      <c r="K1950">
        <v>0</v>
      </c>
      <c r="L1950">
        <v>1</v>
      </c>
      <c r="M1950">
        <v>0</v>
      </c>
      <c r="N1950">
        <v>0</v>
      </c>
      <c r="O1950" t="str" cm="1">
        <f t="array" ref="O1950">_xlfn.IFS(Table1[[#This Row],[Divorced]]=1, "Divorced", Table1[[#This Row],[Married]]=1, "Married", Table1[[#This Row],[Single]]=1, "Single", Table1[[#This Row],[Together]]=1, "Together", Table1[[#This Row],[Widow]]=1, "Widow")</f>
        <v>Divorced</v>
      </c>
      <c r="P1950" t="str" cm="1">
        <f t="array" ref="P1950">_xlfn.IFS(Table1[[#This Row],[Basic]]=1, "Basic", Table1[[#This Row],[Graduate]]=1, "Graduate", Table1[[#This Row],[Master]]=1, "Master", Table1[[#This Row],[PhD]]=1, "PhD", AND(Table1[[#This Row],[Basic]]=0, Table1[[#This Row],[Graduate]]=0, Table1[[#This Row],[Master]]=0, Table1[[#This Row],[PhD]]=0), "NA")</f>
        <v>Graduate</v>
      </c>
      <c r="Q1950" t="e">
        <f>_xlfn.XLOOKUP(Table1[[#This Row],[ID]], Table2[ID],#REF!, "Not Found", 0)</f>
        <v>#REF!</v>
      </c>
      <c r="R1950" t="e">
        <f>_xlfn.XLOOKUP(Table1[[#This Row],[ID]], Table2[ID],#REF!, "Not Found", 0)</f>
        <v>#REF!</v>
      </c>
      <c r="S1950" s="3" t="str">
        <f>_xlfn.XLOOKUP(Table1[[#This Row],[ID]], Table2[ID], Table2[Enrollment], "Not Found", 0)</f>
        <v>8/16/2019</v>
      </c>
      <c r="T1950" t="s">
        <v>437</v>
      </c>
    </row>
    <row r="1951" spans="1:20" x14ac:dyDescent="0.3">
      <c r="A1951">
        <v>1501</v>
      </c>
      <c r="B1951">
        <v>126095</v>
      </c>
      <c r="C1951">
        <v>1</v>
      </c>
      <c r="D1951">
        <v>0</v>
      </c>
      <c r="E1951">
        <v>30</v>
      </c>
      <c r="F1951">
        <v>0</v>
      </c>
      <c r="G1951">
        <v>0</v>
      </c>
      <c r="H1951">
        <v>1</v>
      </c>
      <c r="I1951">
        <v>0</v>
      </c>
      <c r="J1951">
        <v>0</v>
      </c>
      <c r="K1951">
        <v>0</v>
      </c>
      <c r="L1951">
        <v>1</v>
      </c>
      <c r="M1951">
        <v>0</v>
      </c>
      <c r="N1951">
        <v>0</v>
      </c>
      <c r="O1951" t="str" cm="1">
        <f t="array" ref="O1951">_xlfn.IFS(Table1[[#This Row],[Divorced]]=1, "Divorced", Table1[[#This Row],[Married]]=1, "Married", Table1[[#This Row],[Single]]=1, "Single", Table1[[#This Row],[Together]]=1, "Together", Table1[[#This Row],[Widow]]=1, "Widow")</f>
        <v>Single</v>
      </c>
      <c r="P1951" t="str" cm="1">
        <f t="array" ref="P1951">_xlfn.IFS(Table1[[#This Row],[Basic]]=1, "Basic", Table1[[#This Row],[Graduate]]=1, "Graduate", Table1[[#This Row],[Master]]=1, "Master", Table1[[#This Row],[PhD]]=1, "PhD", AND(Table1[[#This Row],[Basic]]=0, Table1[[#This Row],[Graduate]]=0, Table1[[#This Row],[Master]]=0, Table1[[#This Row],[PhD]]=0), "NA")</f>
        <v>Graduate</v>
      </c>
      <c r="Q1951" t="e">
        <f>_xlfn.XLOOKUP(Table1[[#This Row],[ID]], Table2[ID],#REF!, "Not Found", 0)</f>
        <v>#REF!</v>
      </c>
      <c r="R1951" t="e">
        <f>_xlfn.XLOOKUP(Table1[[#This Row],[ID]], Table2[ID],#REF!, "Not Found", 0)</f>
        <v>#REF!</v>
      </c>
      <c r="S1951" s="3">
        <f>_xlfn.XLOOKUP(Table1[[#This Row],[ID]], Table2[ID], Table2[Enrollment], "Not Found", 0)</f>
        <v>43597</v>
      </c>
      <c r="T1951" t="s">
        <v>437</v>
      </c>
    </row>
    <row r="1952" spans="1:20" x14ac:dyDescent="0.3">
      <c r="A1952">
        <v>1158</v>
      </c>
      <c r="B1952">
        <v>126091</v>
      </c>
      <c r="C1952">
        <v>1</v>
      </c>
      <c r="D1952">
        <v>1</v>
      </c>
      <c r="E1952">
        <v>63</v>
      </c>
      <c r="F1952">
        <v>0</v>
      </c>
      <c r="G1952">
        <v>0</v>
      </c>
      <c r="H1952">
        <v>0</v>
      </c>
      <c r="I1952">
        <v>1</v>
      </c>
      <c r="J1952">
        <v>0</v>
      </c>
      <c r="K1952">
        <v>0</v>
      </c>
      <c r="L1952">
        <v>1</v>
      </c>
      <c r="M1952">
        <v>0</v>
      </c>
      <c r="N1952">
        <v>0</v>
      </c>
      <c r="O1952" t="str" cm="1">
        <f t="array" ref="O1952">_xlfn.IFS(Table1[[#This Row],[Divorced]]=1, "Divorced", Table1[[#This Row],[Married]]=1, "Married", Table1[[#This Row],[Single]]=1, "Single", Table1[[#This Row],[Together]]=1, "Together", Table1[[#This Row],[Widow]]=1, "Widow")</f>
        <v>Together</v>
      </c>
      <c r="P1952" t="str" cm="1">
        <f t="array" ref="P1952">_xlfn.IFS(Table1[[#This Row],[Basic]]=1, "Basic", Table1[[#This Row],[Graduate]]=1, "Graduate", Table1[[#This Row],[Master]]=1, "Master", Table1[[#This Row],[PhD]]=1, "PhD", AND(Table1[[#This Row],[Basic]]=0, Table1[[#This Row],[Graduate]]=0, Table1[[#This Row],[Master]]=0, Table1[[#This Row],[PhD]]=0), "NA")</f>
        <v>Graduate</v>
      </c>
      <c r="Q1952" t="e">
        <f>_xlfn.XLOOKUP(Table1[[#This Row],[ID]], Table2[ID],#REF!, "Not Found", 0)</f>
        <v>#REF!</v>
      </c>
      <c r="R1952" t="e">
        <f>_xlfn.XLOOKUP(Table1[[#This Row],[ID]], Table2[ID],#REF!, "Not Found", 0)</f>
        <v>#REF!</v>
      </c>
      <c r="S1952" s="3">
        <f>_xlfn.XLOOKUP(Table1[[#This Row],[ID]], Table2[ID], Table2[Enrollment], "Not Found", 0)</f>
        <v>43838</v>
      </c>
      <c r="T1952" t="s">
        <v>436</v>
      </c>
    </row>
    <row r="1953" spans="1:20" x14ac:dyDescent="0.3">
      <c r="A1953">
        <v>1978</v>
      </c>
      <c r="B1953">
        <v>126091</v>
      </c>
      <c r="C1953">
        <v>1</v>
      </c>
      <c r="D1953">
        <v>1</v>
      </c>
      <c r="E1953">
        <v>63</v>
      </c>
      <c r="F1953">
        <v>0</v>
      </c>
      <c r="G1953">
        <v>0</v>
      </c>
      <c r="H1953">
        <v>0</v>
      </c>
      <c r="I1953">
        <v>1</v>
      </c>
      <c r="J1953">
        <v>0</v>
      </c>
      <c r="K1953">
        <v>0</v>
      </c>
      <c r="L1953">
        <v>1</v>
      </c>
      <c r="M1953">
        <v>0</v>
      </c>
      <c r="N1953">
        <v>0</v>
      </c>
      <c r="O1953" t="str" cm="1">
        <f t="array" ref="O1953">_xlfn.IFS(Table1[[#This Row],[Divorced]]=1, "Divorced", Table1[[#This Row],[Married]]=1, "Married", Table1[[#This Row],[Single]]=1, "Single", Table1[[#This Row],[Together]]=1, "Together", Table1[[#This Row],[Widow]]=1, "Widow")</f>
        <v>Together</v>
      </c>
      <c r="P1953" t="str" cm="1">
        <f t="array" ref="P1953">_xlfn.IFS(Table1[[#This Row],[Basic]]=1, "Basic", Table1[[#This Row],[Graduate]]=1, "Graduate", Table1[[#This Row],[Master]]=1, "Master", Table1[[#This Row],[PhD]]=1, "PhD", AND(Table1[[#This Row],[Basic]]=0, Table1[[#This Row],[Graduate]]=0, Table1[[#This Row],[Master]]=0, Table1[[#This Row],[PhD]]=0), "NA")</f>
        <v>Graduate</v>
      </c>
      <c r="Q1953" t="e">
        <f>_xlfn.XLOOKUP(Table1[[#This Row],[ID]], Table2[ID],#REF!, "Not Found", 0)</f>
        <v>#REF!</v>
      </c>
      <c r="R1953" t="e">
        <f>_xlfn.XLOOKUP(Table1[[#This Row],[ID]], Table2[ID],#REF!, "Not Found", 0)</f>
        <v>#REF!</v>
      </c>
      <c r="S1953" s="3">
        <f>_xlfn.XLOOKUP(Table1[[#This Row],[ID]], Table2[ID], Table2[Enrollment], "Not Found", 0)</f>
        <v>43838</v>
      </c>
      <c r="T1953" t="s">
        <v>439</v>
      </c>
    </row>
    <row r="1954" spans="1:20" x14ac:dyDescent="0.3">
      <c r="A1954">
        <v>3148</v>
      </c>
      <c r="B1954">
        <v>126067</v>
      </c>
      <c r="C1954">
        <v>1</v>
      </c>
      <c r="D1954">
        <v>0</v>
      </c>
      <c r="E1954">
        <v>46</v>
      </c>
      <c r="F1954">
        <v>0</v>
      </c>
      <c r="G1954">
        <v>1</v>
      </c>
      <c r="H1954">
        <v>0</v>
      </c>
      <c r="I1954">
        <v>0</v>
      </c>
      <c r="J1954">
        <v>0</v>
      </c>
      <c r="K1954">
        <v>0</v>
      </c>
      <c r="L1954">
        <v>1</v>
      </c>
      <c r="M1954">
        <v>0</v>
      </c>
      <c r="N1954">
        <v>0</v>
      </c>
      <c r="O1954" t="str" cm="1">
        <f t="array" ref="O1954">_xlfn.IFS(Table1[[#This Row],[Divorced]]=1, "Divorced", Table1[[#This Row],[Married]]=1, "Married", Table1[[#This Row],[Single]]=1, "Single", Table1[[#This Row],[Together]]=1, "Together", Table1[[#This Row],[Widow]]=1, "Widow")</f>
        <v>Married</v>
      </c>
      <c r="P1954" t="str" cm="1">
        <f t="array" ref="P1954">_xlfn.IFS(Table1[[#This Row],[Basic]]=1, "Basic", Table1[[#This Row],[Graduate]]=1, "Graduate", Table1[[#This Row],[Master]]=1, "Master", Table1[[#This Row],[PhD]]=1, "PhD", AND(Table1[[#This Row],[Basic]]=0, Table1[[#This Row],[Graduate]]=0, Table1[[#This Row],[Master]]=0, Table1[[#This Row],[PhD]]=0), "NA")</f>
        <v>Graduate</v>
      </c>
      <c r="Q1954" t="e">
        <f>_xlfn.XLOOKUP(Table1[[#This Row],[ID]], Table2[ID],#REF!, "Not Found", 0)</f>
        <v>#REF!</v>
      </c>
      <c r="R1954" t="e">
        <f>_xlfn.XLOOKUP(Table1[[#This Row],[ID]], Table2[ID],#REF!, "Not Found", 0)</f>
        <v>#REF!</v>
      </c>
      <c r="S1954" s="3">
        <f>_xlfn.XLOOKUP(Table1[[#This Row],[ID]], Table2[ID], Table2[Enrollment], "Not Found", 0)</f>
        <v>44108</v>
      </c>
      <c r="T1954" t="s">
        <v>439</v>
      </c>
    </row>
    <row r="1955" spans="1:20" x14ac:dyDescent="0.3">
      <c r="A1955">
        <v>1645</v>
      </c>
      <c r="B1955">
        <v>125965</v>
      </c>
      <c r="C1955">
        <v>0</v>
      </c>
      <c r="D1955">
        <v>0</v>
      </c>
      <c r="E1955">
        <v>40</v>
      </c>
      <c r="F1955">
        <v>0</v>
      </c>
      <c r="G1955">
        <v>1</v>
      </c>
      <c r="H1955">
        <v>0</v>
      </c>
      <c r="I1955">
        <v>0</v>
      </c>
      <c r="J1955">
        <v>0</v>
      </c>
      <c r="K1955">
        <v>1</v>
      </c>
      <c r="L1955">
        <v>0</v>
      </c>
      <c r="M1955">
        <v>0</v>
      </c>
      <c r="N1955">
        <v>0</v>
      </c>
      <c r="O1955" t="str" cm="1">
        <f t="array" ref="O1955">_xlfn.IFS(Table1[[#This Row],[Divorced]]=1, "Divorced", Table1[[#This Row],[Married]]=1, "Married", Table1[[#This Row],[Single]]=1, "Single", Table1[[#This Row],[Together]]=1, "Together", Table1[[#This Row],[Widow]]=1, "Widow")</f>
        <v>Married</v>
      </c>
      <c r="P1955" t="str" cm="1">
        <f t="array" ref="P1955">_xlfn.IFS(Table1[[#This Row],[Basic]]=1, "Basic", Table1[[#This Row],[Graduate]]=1, "Graduate", Table1[[#This Row],[Master]]=1, "Master", Table1[[#This Row],[PhD]]=1, "PhD", AND(Table1[[#This Row],[Basic]]=0, Table1[[#This Row],[Graduate]]=0, Table1[[#This Row],[Master]]=0, Table1[[#This Row],[PhD]]=0), "NA")</f>
        <v>Basic</v>
      </c>
      <c r="Q1955" t="e">
        <f>_xlfn.XLOOKUP(Table1[[#This Row],[ID]], Table2[ID],#REF!, "Not Found", 0)</f>
        <v>#REF!</v>
      </c>
      <c r="R1955" t="e">
        <f>_xlfn.XLOOKUP(Table1[[#This Row],[ID]], Table2[ID],#REF!, "Not Found", 0)</f>
        <v>#REF!</v>
      </c>
      <c r="S1955" s="3">
        <f>_xlfn.XLOOKUP(Table1[[#This Row],[ID]], Table2[ID], Table2[Enrollment], "Not Found", 0)</f>
        <v>43801</v>
      </c>
      <c r="T1955" t="s">
        <v>437</v>
      </c>
    </row>
    <row r="1956" spans="1:20" x14ac:dyDescent="0.3">
      <c r="A1956">
        <v>2034</v>
      </c>
      <c r="B1956">
        <v>125959</v>
      </c>
      <c r="C1956">
        <v>1</v>
      </c>
      <c r="D1956">
        <v>1</v>
      </c>
      <c r="E1956">
        <v>50</v>
      </c>
      <c r="F1956">
        <v>1</v>
      </c>
      <c r="G1956">
        <v>0</v>
      </c>
      <c r="H1956">
        <v>0</v>
      </c>
      <c r="I1956">
        <v>0</v>
      </c>
      <c r="J1956">
        <v>0</v>
      </c>
      <c r="K1956">
        <v>0</v>
      </c>
      <c r="L1956">
        <v>0</v>
      </c>
      <c r="M1956">
        <v>0</v>
      </c>
      <c r="N1956">
        <v>0</v>
      </c>
      <c r="O1956" t="str" cm="1">
        <f t="array" ref="O1956">_xlfn.IFS(Table1[[#This Row],[Divorced]]=1, "Divorced", Table1[[#This Row],[Married]]=1, "Married", Table1[[#This Row],[Single]]=1, "Single", Table1[[#This Row],[Together]]=1, "Together", Table1[[#This Row],[Widow]]=1, "Widow")</f>
        <v>Divorced</v>
      </c>
      <c r="P1956" t="str" cm="1">
        <f t="array" ref="P1956">_xlfn.IFS(Table1[[#This Row],[Basic]]=1, "Basic", Table1[[#This Row],[Graduate]]=1, "Graduate", Table1[[#This Row],[Master]]=1, "Master", Table1[[#This Row],[PhD]]=1, "PhD", AND(Table1[[#This Row],[Basic]]=0, Table1[[#This Row],[Graduate]]=0, Table1[[#This Row],[Master]]=0, Table1[[#This Row],[PhD]]=0), "NA")</f>
        <v>NA</v>
      </c>
      <c r="Q1956" t="e">
        <f>_xlfn.XLOOKUP(Table1[[#This Row],[ID]], Table2[ID],#REF!, "Not Found", 0)</f>
        <v>#REF!</v>
      </c>
      <c r="R1956" t="e">
        <f>_xlfn.XLOOKUP(Table1[[#This Row],[ID]], Table2[ID],#REF!, "Not Found", 0)</f>
        <v>#REF!</v>
      </c>
      <c r="S1956" s="3" t="str">
        <f>_xlfn.XLOOKUP(Table1[[#This Row],[ID]], Table2[ID], Table2[Enrollment], "Not Found", 0)</f>
        <v>7/22/2019</v>
      </c>
      <c r="T1956" t="s">
        <v>436</v>
      </c>
    </row>
    <row r="1957" spans="1:20" x14ac:dyDescent="0.3">
      <c r="A1957">
        <v>2112</v>
      </c>
      <c r="B1957">
        <v>125930</v>
      </c>
      <c r="C1957">
        <v>1</v>
      </c>
      <c r="D1957">
        <v>1</v>
      </c>
      <c r="E1957">
        <v>53</v>
      </c>
      <c r="F1957">
        <v>0</v>
      </c>
      <c r="G1957">
        <v>0</v>
      </c>
      <c r="H1957">
        <v>1</v>
      </c>
      <c r="I1957">
        <v>0</v>
      </c>
      <c r="J1957">
        <v>0</v>
      </c>
      <c r="K1957">
        <v>0</v>
      </c>
      <c r="L1957">
        <v>1</v>
      </c>
      <c r="M1957">
        <v>0</v>
      </c>
      <c r="N1957">
        <v>0</v>
      </c>
      <c r="O1957" t="str" cm="1">
        <f t="array" ref="O1957">_xlfn.IFS(Table1[[#This Row],[Divorced]]=1, "Divorced", Table1[[#This Row],[Married]]=1, "Married", Table1[[#This Row],[Single]]=1, "Single", Table1[[#This Row],[Together]]=1, "Together", Table1[[#This Row],[Widow]]=1, "Widow")</f>
        <v>Single</v>
      </c>
      <c r="P1957" t="str" cm="1">
        <f t="array" ref="P1957">_xlfn.IFS(Table1[[#This Row],[Basic]]=1, "Basic", Table1[[#This Row],[Graduate]]=1, "Graduate", Table1[[#This Row],[Master]]=1, "Master", Table1[[#This Row],[PhD]]=1, "PhD", AND(Table1[[#This Row],[Basic]]=0, Table1[[#This Row],[Graduate]]=0, Table1[[#This Row],[Master]]=0, Table1[[#This Row],[PhD]]=0), "NA")</f>
        <v>Graduate</v>
      </c>
      <c r="Q1957" t="e">
        <f>_xlfn.XLOOKUP(Table1[[#This Row],[ID]], Table2[ID],#REF!, "Not Found", 0)</f>
        <v>#REF!</v>
      </c>
      <c r="R1957" t="e">
        <f>_xlfn.XLOOKUP(Table1[[#This Row],[ID]], Table2[ID],#REF!, "Not Found", 0)</f>
        <v>#REF!</v>
      </c>
      <c r="S1957" s="3" t="str">
        <f>_xlfn.XLOOKUP(Table1[[#This Row],[ID]], Table2[ID], Table2[Enrollment], "Not Found", 0)</f>
        <v>3/16/2020</v>
      </c>
      <c r="T1957" t="s">
        <v>436</v>
      </c>
    </row>
    <row r="1958" spans="1:20" x14ac:dyDescent="0.3">
      <c r="A1958">
        <v>1698</v>
      </c>
      <c r="B1958">
        <v>125851</v>
      </c>
      <c r="C1958">
        <v>1</v>
      </c>
      <c r="D1958">
        <v>0</v>
      </c>
      <c r="E1958">
        <v>42</v>
      </c>
      <c r="F1958">
        <v>0</v>
      </c>
      <c r="G1958">
        <v>0</v>
      </c>
      <c r="H1958">
        <v>0</v>
      </c>
      <c r="I1958">
        <v>1</v>
      </c>
      <c r="J1958">
        <v>0</v>
      </c>
      <c r="K1958">
        <v>0</v>
      </c>
      <c r="L1958">
        <v>1</v>
      </c>
      <c r="M1958">
        <v>0</v>
      </c>
      <c r="N1958">
        <v>0</v>
      </c>
      <c r="O1958" t="str" cm="1">
        <f t="array" ref="O1958">_xlfn.IFS(Table1[[#This Row],[Divorced]]=1, "Divorced", Table1[[#This Row],[Married]]=1, "Married", Table1[[#This Row],[Single]]=1, "Single", Table1[[#This Row],[Together]]=1, "Together", Table1[[#This Row],[Widow]]=1, "Widow")</f>
        <v>Together</v>
      </c>
      <c r="P1958" t="str" cm="1">
        <f t="array" ref="P1958">_xlfn.IFS(Table1[[#This Row],[Basic]]=1, "Basic", Table1[[#This Row],[Graduate]]=1, "Graduate", Table1[[#This Row],[Master]]=1, "Master", Table1[[#This Row],[PhD]]=1, "PhD", AND(Table1[[#This Row],[Basic]]=0, Table1[[#This Row],[Graduate]]=0, Table1[[#This Row],[Master]]=0, Table1[[#This Row],[PhD]]=0), "NA")</f>
        <v>Graduate</v>
      </c>
      <c r="Q1958" t="e">
        <f>_xlfn.XLOOKUP(Table1[[#This Row],[ID]], Table2[ID],#REF!, "Not Found", 0)</f>
        <v>#REF!</v>
      </c>
      <c r="R1958" t="e">
        <f>_xlfn.XLOOKUP(Table1[[#This Row],[ID]], Table2[ID],#REF!, "Not Found", 0)</f>
        <v>#REF!</v>
      </c>
      <c r="S1958" s="3" t="str">
        <f>_xlfn.XLOOKUP(Table1[[#This Row],[ID]], Table2[ID], Table2[Enrollment], "Not Found", 0)</f>
        <v>7/19/2019</v>
      </c>
      <c r="T1958" t="s">
        <v>436</v>
      </c>
    </row>
    <row r="1959" spans="1:20" x14ac:dyDescent="0.3">
      <c r="A1959">
        <v>3088</v>
      </c>
      <c r="B1959">
        <v>125818</v>
      </c>
      <c r="C1959">
        <v>1</v>
      </c>
      <c r="D1959">
        <v>0</v>
      </c>
      <c r="E1959">
        <v>49</v>
      </c>
      <c r="F1959">
        <v>1</v>
      </c>
      <c r="G1959">
        <v>0</v>
      </c>
      <c r="H1959">
        <v>0</v>
      </c>
      <c r="I1959">
        <v>0</v>
      </c>
      <c r="J1959">
        <v>0</v>
      </c>
      <c r="K1959">
        <v>0</v>
      </c>
      <c r="L1959">
        <v>1</v>
      </c>
      <c r="M1959">
        <v>0</v>
      </c>
      <c r="N1959">
        <v>0</v>
      </c>
      <c r="O1959" t="str" cm="1">
        <f t="array" ref="O1959">_xlfn.IFS(Table1[[#This Row],[Divorced]]=1, "Divorced", Table1[[#This Row],[Married]]=1, "Married", Table1[[#This Row],[Single]]=1, "Single", Table1[[#This Row],[Together]]=1, "Together", Table1[[#This Row],[Widow]]=1, "Widow")</f>
        <v>Divorced</v>
      </c>
      <c r="P1959" t="str" cm="1">
        <f t="array" ref="P1959">_xlfn.IFS(Table1[[#This Row],[Basic]]=1, "Basic", Table1[[#This Row],[Graduate]]=1, "Graduate", Table1[[#This Row],[Master]]=1, "Master", Table1[[#This Row],[PhD]]=1, "PhD", AND(Table1[[#This Row],[Basic]]=0, Table1[[#This Row],[Graduate]]=0, Table1[[#This Row],[Master]]=0, Table1[[#This Row],[PhD]]=0), "NA")</f>
        <v>Graduate</v>
      </c>
      <c r="Q1959" t="e">
        <f>_xlfn.XLOOKUP(Table1[[#This Row],[ID]], Table2[ID],#REF!, "Not Found", 0)</f>
        <v>#REF!</v>
      </c>
      <c r="R1959" t="e">
        <f>_xlfn.XLOOKUP(Table1[[#This Row],[ID]], Table2[ID],#REF!, "Not Found", 0)</f>
        <v>#REF!</v>
      </c>
      <c r="S1959" s="3" t="str">
        <f>_xlfn.XLOOKUP(Table1[[#This Row],[ID]], Table2[ID], Table2[Enrollment], "Not Found", 0)</f>
        <v>3/25/2019</v>
      </c>
      <c r="T1959" t="s">
        <v>439</v>
      </c>
    </row>
    <row r="1960" spans="1:20" x14ac:dyDescent="0.3">
      <c r="A1960">
        <v>1800</v>
      </c>
      <c r="B1960">
        <v>125804</v>
      </c>
      <c r="C1960">
        <v>1</v>
      </c>
      <c r="D1960">
        <v>0</v>
      </c>
      <c r="E1960">
        <v>42</v>
      </c>
      <c r="F1960">
        <v>0</v>
      </c>
      <c r="G1960">
        <v>1</v>
      </c>
      <c r="H1960">
        <v>0</v>
      </c>
      <c r="I1960">
        <v>0</v>
      </c>
      <c r="J1960">
        <v>0</v>
      </c>
      <c r="K1960">
        <v>0</v>
      </c>
      <c r="L1960">
        <v>0</v>
      </c>
      <c r="M1960">
        <v>0</v>
      </c>
      <c r="N1960">
        <v>0</v>
      </c>
      <c r="O1960" t="str" cm="1">
        <f t="array" ref="O1960">_xlfn.IFS(Table1[[#This Row],[Divorced]]=1, "Divorced", Table1[[#This Row],[Married]]=1, "Married", Table1[[#This Row],[Single]]=1, "Single", Table1[[#This Row],[Together]]=1, "Together", Table1[[#This Row],[Widow]]=1, "Widow")</f>
        <v>Married</v>
      </c>
      <c r="P1960" t="str" cm="1">
        <f t="array" ref="P1960">_xlfn.IFS(Table1[[#This Row],[Basic]]=1, "Basic", Table1[[#This Row],[Graduate]]=1, "Graduate", Table1[[#This Row],[Master]]=1, "Master", Table1[[#This Row],[PhD]]=1, "PhD", AND(Table1[[#This Row],[Basic]]=0, Table1[[#This Row],[Graduate]]=0, Table1[[#This Row],[Master]]=0, Table1[[#This Row],[PhD]]=0), "NA")</f>
        <v>NA</v>
      </c>
      <c r="Q1960" t="e">
        <f>_xlfn.XLOOKUP(Table1[[#This Row],[ID]], Table2[ID],#REF!, "Not Found", 0)</f>
        <v>#REF!</v>
      </c>
      <c r="R1960" t="e">
        <f>_xlfn.XLOOKUP(Table1[[#This Row],[ID]], Table2[ID],#REF!, "Not Found", 0)</f>
        <v>#REF!</v>
      </c>
      <c r="S1960" s="3">
        <f>_xlfn.XLOOKUP(Table1[[#This Row],[ID]], Table2[ID], Table2[Enrollment], "Not Found", 0)</f>
        <v>43984</v>
      </c>
      <c r="T1960" t="s">
        <v>436</v>
      </c>
    </row>
    <row r="1961" spans="1:20" x14ac:dyDescent="0.3">
      <c r="A1961">
        <v>1061</v>
      </c>
      <c r="B1961">
        <v>125721</v>
      </c>
      <c r="C1961">
        <v>1</v>
      </c>
      <c r="D1961">
        <v>0</v>
      </c>
      <c r="E1961">
        <v>49</v>
      </c>
      <c r="F1961">
        <v>0</v>
      </c>
      <c r="G1961">
        <v>1</v>
      </c>
      <c r="H1961">
        <v>0</v>
      </c>
      <c r="I1961">
        <v>0</v>
      </c>
      <c r="J1961">
        <v>0</v>
      </c>
      <c r="K1961">
        <v>0</v>
      </c>
      <c r="L1961">
        <v>1</v>
      </c>
      <c r="M1961">
        <v>0</v>
      </c>
      <c r="N1961">
        <v>0</v>
      </c>
      <c r="O1961" t="str" cm="1">
        <f t="array" ref="O1961">_xlfn.IFS(Table1[[#This Row],[Divorced]]=1, "Divorced", Table1[[#This Row],[Married]]=1, "Married", Table1[[#This Row],[Single]]=1, "Single", Table1[[#This Row],[Together]]=1, "Together", Table1[[#This Row],[Widow]]=1, "Widow")</f>
        <v>Married</v>
      </c>
      <c r="P1961" t="str" cm="1">
        <f t="array" ref="P1961">_xlfn.IFS(Table1[[#This Row],[Basic]]=1, "Basic", Table1[[#This Row],[Graduate]]=1, "Graduate", Table1[[#This Row],[Master]]=1, "Master", Table1[[#This Row],[PhD]]=1, "PhD", AND(Table1[[#This Row],[Basic]]=0, Table1[[#This Row],[Graduate]]=0, Table1[[#This Row],[Master]]=0, Table1[[#This Row],[PhD]]=0), "NA")</f>
        <v>Graduate</v>
      </c>
      <c r="Q1961" t="e">
        <f>_xlfn.XLOOKUP(Table1[[#This Row],[ID]], Table2[ID],#REF!, "Not Found", 0)</f>
        <v>#REF!</v>
      </c>
      <c r="R1961" t="e">
        <f>_xlfn.XLOOKUP(Table1[[#This Row],[ID]], Table2[ID],#REF!, "Not Found", 0)</f>
        <v>#REF!</v>
      </c>
      <c r="S1961" s="3" t="str">
        <f>_xlfn.XLOOKUP(Table1[[#This Row],[ID]], Table2[ID], Table2[Enrollment], "Not Found", 0)</f>
        <v>10/26/2019</v>
      </c>
      <c r="T1961" t="s">
        <v>434</v>
      </c>
    </row>
    <row r="1962" spans="1:20" x14ac:dyDescent="0.3">
      <c r="A1962">
        <v>2221</v>
      </c>
      <c r="B1962">
        <v>125707</v>
      </c>
      <c r="C1962">
        <v>1</v>
      </c>
      <c r="D1962">
        <v>0</v>
      </c>
      <c r="E1962">
        <v>36</v>
      </c>
      <c r="F1962">
        <v>0</v>
      </c>
      <c r="G1962">
        <v>0</v>
      </c>
      <c r="H1962">
        <v>1</v>
      </c>
      <c r="I1962">
        <v>0</v>
      </c>
      <c r="J1962">
        <v>0</v>
      </c>
      <c r="K1962">
        <v>1</v>
      </c>
      <c r="L1962">
        <v>0</v>
      </c>
      <c r="M1962">
        <v>0</v>
      </c>
      <c r="N1962">
        <v>0</v>
      </c>
      <c r="O1962" t="str" cm="1">
        <f t="array" ref="O1962">_xlfn.IFS(Table1[[#This Row],[Divorced]]=1, "Divorced", Table1[[#This Row],[Married]]=1, "Married", Table1[[#This Row],[Single]]=1, "Single", Table1[[#This Row],[Together]]=1, "Together", Table1[[#This Row],[Widow]]=1, "Widow")</f>
        <v>Single</v>
      </c>
      <c r="P1962" t="str" cm="1">
        <f t="array" ref="P1962">_xlfn.IFS(Table1[[#This Row],[Basic]]=1, "Basic", Table1[[#This Row],[Graduate]]=1, "Graduate", Table1[[#This Row],[Master]]=1, "Master", Table1[[#This Row],[PhD]]=1, "PhD", AND(Table1[[#This Row],[Basic]]=0, Table1[[#This Row],[Graduate]]=0, Table1[[#This Row],[Master]]=0, Table1[[#This Row],[PhD]]=0), "NA")</f>
        <v>Basic</v>
      </c>
      <c r="Q1962" t="e">
        <f>_xlfn.XLOOKUP(Table1[[#This Row],[ID]], Table2[ID],#REF!, "Not Found", 0)</f>
        <v>#REF!</v>
      </c>
      <c r="R1962" t="e">
        <f>_xlfn.XLOOKUP(Table1[[#This Row],[ID]], Table2[ID],#REF!, "Not Found", 0)</f>
        <v>#REF!</v>
      </c>
      <c r="S1962" s="3" t="str">
        <f>_xlfn.XLOOKUP(Table1[[#This Row],[ID]], Table2[ID], Table2[Enrollment], "Not Found", 0)</f>
        <v>6/24/2020</v>
      </c>
      <c r="T1962" t="s">
        <v>437</v>
      </c>
    </row>
    <row r="1963" spans="1:20" x14ac:dyDescent="0.3">
      <c r="A1963">
        <v>1508</v>
      </c>
      <c r="B1963">
        <v>125545</v>
      </c>
      <c r="C1963">
        <v>1</v>
      </c>
      <c r="D1963">
        <v>0</v>
      </c>
      <c r="E1963">
        <v>33</v>
      </c>
      <c r="F1963">
        <v>0</v>
      </c>
      <c r="G1963">
        <v>1</v>
      </c>
      <c r="H1963">
        <v>0</v>
      </c>
      <c r="I1963">
        <v>0</v>
      </c>
      <c r="J1963">
        <v>0</v>
      </c>
      <c r="K1963">
        <v>0</v>
      </c>
      <c r="L1963">
        <v>1</v>
      </c>
      <c r="M1963">
        <v>0</v>
      </c>
      <c r="N1963">
        <v>0</v>
      </c>
      <c r="O1963" t="str" cm="1">
        <f t="array" ref="O1963">_xlfn.IFS(Table1[[#This Row],[Divorced]]=1, "Divorced", Table1[[#This Row],[Married]]=1, "Married", Table1[[#This Row],[Single]]=1, "Single", Table1[[#This Row],[Together]]=1, "Together", Table1[[#This Row],[Widow]]=1, "Widow")</f>
        <v>Married</v>
      </c>
      <c r="P1963" t="str" cm="1">
        <f t="array" ref="P1963">_xlfn.IFS(Table1[[#This Row],[Basic]]=1, "Basic", Table1[[#This Row],[Graduate]]=1, "Graduate", Table1[[#This Row],[Master]]=1, "Master", Table1[[#This Row],[PhD]]=1, "PhD", AND(Table1[[#This Row],[Basic]]=0, Table1[[#This Row],[Graduate]]=0, Table1[[#This Row],[Master]]=0, Table1[[#This Row],[PhD]]=0), "NA")</f>
        <v>Graduate</v>
      </c>
      <c r="Q1963" t="e">
        <f>_xlfn.XLOOKUP(Table1[[#This Row],[ID]], Table2[ID],#REF!, "Not Found", 0)</f>
        <v>#REF!</v>
      </c>
      <c r="R1963" t="e">
        <f>_xlfn.XLOOKUP(Table1[[#This Row],[ID]], Table2[ID],#REF!, "Not Found", 0)</f>
        <v>#REF!</v>
      </c>
      <c r="S1963" s="3" t="str">
        <f>_xlfn.XLOOKUP(Table1[[#This Row],[ID]], Table2[ID], Table2[Enrollment], "Not Found", 0)</f>
        <v>2/13/2019</v>
      </c>
      <c r="T1963" t="s">
        <v>438</v>
      </c>
    </row>
    <row r="1964" spans="1:20" x14ac:dyDescent="0.3">
      <c r="A1964">
        <v>2745</v>
      </c>
      <c r="B1964">
        <v>125509</v>
      </c>
      <c r="C1964">
        <v>1</v>
      </c>
      <c r="D1964">
        <v>0</v>
      </c>
      <c r="E1964">
        <v>46</v>
      </c>
      <c r="F1964">
        <v>1</v>
      </c>
      <c r="G1964">
        <v>0</v>
      </c>
      <c r="H1964">
        <v>0</v>
      </c>
      <c r="I1964">
        <v>0</v>
      </c>
      <c r="J1964">
        <v>0</v>
      </c>
      <c r="K1964">
        <v>0</v>
      </c>
      <c r="L1964">
        <v>0</v>
      </c>
      <c r="M1964">
        <v>0</v>
      </c>
      <c r="N1964">
        <v>1</v>
      </c>
      <c r="O1964" t="str" cm="1">
        <f t="array" ref="O1964">_xlfn.IFS(Table1[[#This Row],[Divorced]]=1, "Divorced", Table1[[#This Row],[Married]]=1, "Married", Table1[[#This Row],[Single]]=1, "Single", Table1[[#This Row],[Together]]=1, "Together", Table1[[#This Row],[Widow]]=1, "Widow")</f>
        <v>Divorced</v>
      </c>
      <c r="P1964" t="str" cm="1">
        <f t="array" ref="P1964">_xlfn.IFS(Table1[[#This Row],[Basic]]=1, "Basic", Table1[[#This Row],[Graduate]]=1, "Graduate", Table1[[#This Row],[Master]]=1, "Master", Table1[[#This Row],[PhD]]=1, "PhD", AND(Table1[[#This Row],[Basic]]=0, Table1[[#This Row],[Graduate]]=0, Table1[[#This Row],[Master]]=0, Table1[[#This Row],[PhD]]=0), "NA")</f>
        <v>PhD</v>
      </c>
      <c r="Q1964" t="e">
        <f>_xlfn.XLOOKUP(Table1[[#This Row],[ID]], Table2[ID],#REF!, "Not Found", 0)</f>
        <v>#REF!</v>
      </c>
      <c r="R1964" t="e">
        <f>_xlfn.XLOOKUP(Table1[[#This Row],[ID]], Table2[ID],#REF!, "Not Found", 0)</f>
        <v>#REF!</v>
      </c>
      <c r="S1964" s="3" t="str">
        <f>_xlfn.XLOOKUP(Table1[[#This Row],[ID]], Table2[ID], Table2[Enrollment], "Not Found", 0)</f>
        <v>2/23/2019</v>
      </c>
      <c r="T1964" t="s">
        <v>435</v>
      </c>
    </row>
    <row r="1965" spans="1:20" x14ac:dyDescent="0.3">
      <c r="A1965">
        <v>2956</v>
      </c>
      <c r="B1965">
        <v>125509</v>
      </c>
      <c r="C1965">
        <v>1</v>
      </c>
      <c r="D1965">
        <v>0</v>
      </c>
      <c r="E1965">
        <v>46</v>
      </c>
      <c r="F1965">
        <v>1</v>
      </c>
      <c r="G1965">
        <v>0</v>
      </c>
      <c r="H1965">
        <v>0</v>
      </c>
      <c r="I1965">
        <v>0</v>
      </c>
      <c r="J1965">
        <v>0</v>
      </c>
      <c r="K1965">
        <v>0</v>
      </c>
      <c r="L1965">
        <v>0</v>
      </c>
      <c r="M1965">
        <v>0</v>
      </c>
      <c r="N1965">
        <v>1</v>
      </c>
      <c r="O1965" t="str" cm="1">
        <f t="array" ref="O1965">_xlfn.IFS(Table1[[#This Row],[Divorced]]=1, "Divorced", Table1[[#This Row],[Married]]=1, "Married", Table1[[#This Row],[Single]]=1, "Single", Table1[[#This Row],[Together]]=1, "Together", Table1[[#This Row],[Widow]]=1, "Widow")</f>
        <v>Divorced</v>
      </c>
      <c r="P1965" t="str" cm="1">
        <f t="array" ref="P1965">_xlfn.IFS(Table1[[#This Row],[Basic]]=1, "Basic", Table1[[#This Row],[Graduate]]=1, "Graduate", Table1[[#This Row],[Master]]=1, "Master", Table1[[#This Row],[PhD]]=1, "PhD", AND(Table1[[#This Row],[Basic]]=0, Table1[[#This Row],[Graduate]]=0, Table1[[#This Row],[Master]]=0, Table1[[#This Row],[PhD]]=0), "NA")</f>
        <v>PhD</v>
      </c>
      <c r="Q1965" t="e">
        <f>_xlfn.XLOOKUP(Table1[[#This Row],[ID]], Table2[ID],#REF!, "Not Found", 0)</f>
        <v>#REF!</v>
      </c>
      <c r="R1965" t="e">
        <f>_xlfn.XLOOKUP(Table1[[#This Row],[ID]], Table2[ID],#REF!, "Not Found", 0)</f>
        <v>#REF!</v>
      </c>
      <c r="S1965" s="3" t="str">
        <f>_xlfn.XLOOKUP(Table1[[#This Row],[ID]], Table2[ID], Table2[Enrollment], "Not Found", 0)</f>
        <v>2/23/2019</v>
      </c>
      <c r="T1965" t="s">
        <v>439</v>
      </c>
    </row>
    <row r="1966" spans="1:20" x14ac:dyDescent="0.3">
      <c r="A1966">
        <v>1914</v>
      </c>
      <c r="B1966">
        <v>125443</v>
      </c>
      <c r="C1966">
        <v>1</v>
      </c>
      <c r="D1966">
        <v>0</v>
      </c>
      <c r="E1966">
        <v>31</v>
      </c>
      <c r="F1966">
        <v>0</v>
      </c>
      <c r="G1966">
        <v>1</v>
      </c>
      <c r="H1966">
        <v>0</v>
      </c>
      <c r="I1966">
        <v>0</v>
      </c>
      <c r="J1966">
        <v>0</v>
      </c>
      <c r="K1966">
        <v>1</v>
      </c>
      <c r="L1966">
        <v>0</v>
      </c>
      <c r="M1966">
        <v>0</v>
      </c>
      <c r="N1966">
        <v>0</v>
      </c>
      <c r="O1966" t="str" cm="1">
        <f t="array" ref="O1966">_xlfn.IFS(Table1[[#This Row],[Divorced]]=1, "Divorced", Table1[[#This Row],[Married]]=1, "Married", Table1[[#This Row],[Single]]=1, "Single", Table1[[#This Row],[Together]]=1, "Together", Table1[[#This Row],[Widow]]=1, "Widow")</f>
        <v>Married</v>
      </c>
      <c r="P1966" t="str" cm="1">
        <f t="array" ref="P1966">_xlfn.IFS(Table1[[#This Row],[Basic]]=1, "Basic", Table1[[#This Row],[Graduate]]=1, "Graduate", Table1[[#This Row],[Master]]=1, "Master", Table1[[#This Row],[PhD]]=1, "PhD", AND(Table1[[#This Row],[Basic]]=0, Table1[[#This Row],[Graduate]]=0, Table1[[#This Row],[Master]]=0, Table1[[#This Row],[PhD]]=0), "NA")</f>
        <v>Basic</v>
      </c>
      <c r="Q1966" t="e">
        <f>_xlfn.XLOOKUP(Table1[[#This Row],[ID]], Table2[ID],#REF!, "Not Found", 0)</f>
        <v>#REF!</v>
      </c>
      <c r="R1966" t="e">
        <f>_xlfn.XLOOKUP(Table1[[#This Row],[ID]], Table2[ID],#REF!, "Not Found", 0)</f>
        <v>#REF!</v>
      </c>
      <c r="S1966" s="3" t="str">
        <f>_xlfn.XLOOKUP(Table1[[#This Row],[ID]], Table2[ID], Table2[Enrollment], "Not Found", 0)</f>
        <v>5/29/2019</v>
      </c>
      <c r="T1966" t="s">
        <v>436</v>
      </c>
    </row>
    <row r="1967" spans="1:20" x14ac:dyDescent="0.3">
      <c r="A1967">
        <v>2914</v>
      </c>
      <c r="B1967">
        <v>125410</v>
      </c>
      <c r="C1967">
        <v>1</v>
      </c>
      <c r="D1967">
        <v>0</v>
      </c>
      <c r="E1967">
        <v>47</v>
      </c>
      <c r="F1967">
        <v>0</v>
      </c>
      <c r="G1967">
        <v>1</v>
      </c>
      <c r="H1967">
        <v>0</v>
      </c>
      <c r="I1967">
        <v>0</v>
      </c>
      <c r="J1967">
        <v>0</v>
      </c>
      <c r="K1967">
        <v>0</v>
      </c>
      <c r="L1967">
        <v>1</v>
      </c>
      <c r="M1967">
        <v>0</v>
      </c>
      <c r="N1967">
        <v>0</v>
      </c>
      <c r="O1967" t="str" cm="1">
        <f t="array" ref="O1967">_xlfn.IFS(Table1[[#This Row],[Divorced]]=1, "Divorced", Table1[[#This Row],[Married]]=1, "Married", Table1[[#This Row],[Single]]=1, "Single", Table1[[#This Row],[Together]]=1, "Together", Table1[[#This Row],[Widow]]=1, "Widow")</f>
        <v>Married</v>
      </c>
      <c r="P1967" t="str" cm="1">
        <f t="array" ref="P1967">_xlfn.IFS(Table1[[#This Row],[Basic]]=1, "Basic", Table1[[#This Row],[Graduate]]=1, "Graduate", Table1[[#This Row],[Master]]=1, "Master", Table1[[#This Row],[PhD]]=1, "PhD", AND(Table1[[#This Row],[Basic]]=0, Table1[[#This Row],[Graduate]]=0, Table1[[#This Row],[Master]]=0, Table1[[#This Row],[PhD]]=0), "NA")</f>
        <v>Graduate</v>
      </c>
      <c r="Q1967" t="e">
        <f>_xlfn.XLOOKUP(Table1[[#This Row],[ID]], Table2[ID],#REF!, "Not Found", 0)</f>
        <v>#REF!</v>
      </c>
      <c r="R1967" t="e">
        <f>_xlfn.XLOOKUP(Table1[[#This Row],[ID]], Table2[ID],#REF!, "Not Found", 0)</f>
        <v>#REF!</v>
      </c>
      <c r="S1967" s="3">
        <f>_xlfn.XLOOKUP(Table1[[#This Row],[ID]], Table2[ID], Table2[Enrollment], "Not Found", 0)</f>
        <v>43953</v>
      </c>
      <c r="T1967" t="s">
        <v>439</v>
      </c>
    </row>
    <row r="1968" spans="1:20" x14ac:dyDescent="0.3">
      <c r="A1968">
        <v>2629</v>
      </c>
      <c r="B1968">
        <v>125358</v>
      </c>
      <c r="C1968">
        <v>0</v>
      </c>
      <c r="D1968">
        <v>1</v>
      </c>
      <c r="E1968">
        <v>73</v>
      </c>
      <c r="F1968">
        <v>0</v>
      </c>
      <c r="G1968">
        <v>0</v>
      </c>
      <c r="H1968">
        <v>0</v>
      </c>
      <c r="I1968">
        <v>0</v>
      </c>
      <c r="J1968">
        <v>1</v>
      </c>
      <c r="K1968">
        <v>0</v>
      </c>
      <c r="L1968">
        <v>0</v>
      </c>
      <c r="M1968">
        <v>0</v>
      </c>
      <c r="N1968">
        <v>1</v>
      </c>
      <c r="O1968" t="str" cm="1">
        <f t="array" ref="O1968">_xlfn.IFS(Table1[[#This Row],[Divorced]]=1, "Divorced", Table1[[#This Row],[Married]]=1, "Married", Table1[[#This Row],[Single]]=1, "Single", Table1[[#This Row],[Together]]=1, "Together", Table1[[#This Row],[Widow]]=1, "Widow")</f>
        <v>Widow</v>
      </c>
      <c r="P1968" t="str" cm="1">
        <f t="array" ref="P1968">_xlfn.IFS(Table1[[#This Row],[Basic]]=1, "Basic", Table1[[#This Row],[Graduate]]=1, "Graduate", Table1[[#This Row],[Master]]=1, "Master", Table1[[#This Row],[PhD]]=1, "PhD", AND(Table1[[#This Row],[Basic]]=0, Table1[[#This Row],[Graduate]]=0, Table1[[#This Row],[Master]]=0, Table1[[#This Row],[PhD]]=0), "NA")</f>
        <v>PhD</v>
      </c>
      <c r="Q1968" t="e">
        <f>_xlfn.XLOOKUP(Table1[[#This Row],[ID]], Table2[ID],#REF!, "Not Found", 0)</f>
        <v>#REF!</v>
      </c>
      <c r="R1968" t="e">
        <f>_xlfn.XLOOKUP(Table1[[#This Row],[ID]], Table2[ID],#REF!, "Not Found", 0)</f>
        <v>#REF!</v>
      </c>
      <c r="S1968" s="3" t="str">
        <f>_xlfn.XLOOKUP(Table1[[#This Row],[ID]], Table2[ID], Table2[Enrollment], "Not Found", 0)</f>
        <v>12/27/2019</v>
      </c>
      <c r="T1968" t="s">
        <v>437</v>
      </c>
    </row>
    <row r="1969" spans="1:20" x14ac:dyDescent="0.3">
      <c r="A1969">
        <v>1524</v>
      </c>
      <c r="B1969">
        <v>125315</v>
      </c>
      <c r="C1969">
        <v>1</v>
      </c>
      <c r="D1969">
        <v>0</v>
      </c>
      <c r="E1969">
        <v>43</v>
      </c>
      <c r="F1969">
        <v>0</v>
      </c>
      <c r="G1969">
        <v>0</v>
      </c>
      <c r="H1969">
        <v>0</v>
      </c>
      <c r="I1969">
        <v>1</v>
      </c>
      <c r="J1969">
        <v>0</v>
      </c>
      <c r="K1969">
        <v>0</v>
      </c>
      <c r="L1969">
        <v>0</v>
      </c>
      <c r="M1969">
        <v>0</v>
      </c>
      <c r="N1969">
        <v>0</v>
      </c>
      <c r="O1969" t="str" cm="1">
        <f t="array" ref="O1969">_xlfn.IFS(Table1[[#This Row],[Divorced]]=1, "Divorced", Table1[[#This Row],[Married]]=1, "Married", Table1[[#This Row],[Single]]=1, "Single", Table1[[#This Row],[Together]]=1, "Together", Table1[[#This Row],[Widow]]=1, "Widow")</f>
        <v>Together</v>
      </c>
      <c r="P1969" t="str" cm="1">
        <f t="array" ref="P1969">_xlfn.IFS(Table1[[#This Row],[Basic]]=1, "Basic", Table1[[#This Row],[Graduate]]=1, "Graduate", Table1[[#This Row],[Master]]=1, "Master", Table1[[#This Row],[PhD]]=1, "PhD", AND(Table1[[#This Row],[Basic]]=0, Table1[[#This Row],[Graduate]]=0, Table1[[#This Row],[Master]]=0, Table1[[#This Row],[PhD]]=0), "NA")</f>
        <v>NA</v>
      </c>
      <c r="Q1969" t="e">
        <f>_xlfn.XLOOKUP(Table1[[#This Row],[ID]], Table2[ID],#REF!, "Not Found", 0)</f>
        <v>#REF!</v>
      </c>
      <c r="R1969" t="e">
        <f>_xlfn.XLOOKUP(Table1[[#This Row],[ID]], Table2[ID],#REF!, "Not Found", 0)</f>
        <v>#REF!</v>
      </c>
      <c r="S1969" s="3" t="str">
        <f>_xlfn.XLOOKUP(Table1[[#This Row],[ID]], Table2[ID], Table2[Enrollment], "Not Found", 0)</f>
        <v>4/13/2020</v>
      </c>
      <c r="T1969" t="s">
        <v>436</v>
      </c>
    </row>
    <row r="1970" spans="1:20" x14ac:dyDescent="0.3">
      <c r="A1970">
        <v>2800</v>
      </c>
      <c r="B1970">
        <v>125293</v>
      </c>
      <c r="C1970">
        <v>1</v>
      </c>
      <c r="D1970">
        <v>0</v>
      </c>
      <c r="E1970">
        <v>51</v>
      </c>
      <c r="F1970">
        <v>0</v>
      </c>
      <c r="G1970">
        <v>1</v>
      </c>
      <c r="H1970">
        <v>0</v>
      </c>
      <c r="I1970">
        <v>0</v>
      </c>
      <c r="J1970">
        <v>0</v>
      </c>
      <c r="K1970">
        <v>0</v>
      </c>
      <c r="L1970">
        <v>1</v>
      </c>
      <c r="M1970">
        <v>0</v>
      </c>
      <c r="N1970">
        <v>0</v>
      </c>
      <c r="O1970" t="str" cm="1">
        <f t="array" ref="O1970">_xlfn.IFS(Table1[[#This Row],[Divorced]]=1, "Divorced", Table1[[#This Row],[Married]]=1, "Married", Table1[[#This Row],[Single]]=1, "Single", Table1[[#This Row],[Together]]=1, "Together", Table1[[#This Row],[Widow]]=1, "Widow")</f>
        <v>Married</v>
      </c>
      <c r="P1970" t="str" cm="1">
        <f t="array" ref="P1970">_xlfn.IFS(Table1[[#This Row],[Basic]]=1, "Basic", Table1[[#This Row],[Graduate]]=1, "Graduate", Table1[[#This Row],[Master]]=1, "Master", Table1[[#This Row],[PhD]]=1, "PhD", AND(Table1[[#This Row],[Basic]]=0, Table1[[#This Row],[Graduate]]=0, Table1[[#This Row],[Master]]=0, Table1[[#This Row],[PhD]]=0), "NA")</f>
        <v>Graduate</v>
      </c>
      <c r="Q1970" t="e">
        <f>_xlfn.XLOOKUP(Table1[[#This Row],[ID]], Table2[ID],#REF!, "Not Found", 0)</f>
        <v>#REF!</v>
      </c>
      <c r="R1970" t="e">
        <f>_xlfn.XLOOKUP(Table1[[#This Row],[ID]], Table2[ID],#REF!, "Not Found", 0)</f>
        <v>#REF!</v>
      </c>
      <c r="S1970" s="3" t="str">
        <f>_xlfn.XLOOKUP(Table1[[#This Row],[ID]], Table2[ID], Table2[Enrollment], "Not Found", 0)</f>
        <v>2/20/2020</v>
      </c>
      <c r="T1970" t="s">
        <v>439</v>
      </c>
    </row>
    <row r="1971" spans="1:20" x14ac:dyDescent="0.3">
      <c r="A1971">
        <v>3045</v>
      </c>
      <c r="B1971">
        <v>125293</v>
      </c>
      <c r="C1971">
        <v>1</v>
      </c>
      <c r="D1971">
        <v>0</v>
      </c>
      <c r="E1971">
        <v>51</v>
      </c>
      <c r="F1971">
        <v>0</v>
      </c>
      <c r="G1971">
        <v>1</v>
      </c>
      <c r="H1971">
        <v>0</v>
      </c>
      <c r="I1971">
        <v>0</v>
      </c>
      <c r="J1971">
        <v>0</v>
      </c>
      <c r="K1971">
        <v>0</v>
      </c>
      <c r="L1971">
        <v>1</v>
      </c>
      <c r="M1971">
        <v>0</v>
      </c>
      <c r="N1971">
        <v>0</v>
      </c>
      <c r="O1971" t="str" cm="1">
        <f t="array" ref="O1971">_xlfn.IFS(Table1[[#This Row],[Divorced]]=1, "Divorced", Table1[[#This Row],[Married]]=1, "Married", Table1[[#This Row],[Single]]=1, "Single", Table1[[#This Row],[Together]]=1, "Together", Table1[[#This Row],[Widow]]=1, "Widow")</f>
        <v>Married</v>
      </c>
      <c r="P1971" t="str" cm="1">
        <f t="array" ref="P1971">_xlfn.IFS(Table1[[#This Row],[Basic]]=1, "Basic", Table1[[#This Row],[Graduate]]=1, "Graduate", Table1[[#This Row],[Master]]=1, "Master", Table1[[#This Row],[PhD]]=1, "PhD", AND(Table1[[#This Row],[Basic]]=0, Table1[[#This Row],[Graduate]]=0, Table1[[#This Row],[Master]]=0, Table1[[#This Row],[PhD]]=0), "NA")</f>
        <v>Graduate</v>
      </c>
      <c r="Q1971" t="e">
        <f>_xlfn.XLOOKUP(Table1[[#This Row],[ID]], Table2[ID],#REF!, "Not Found", 0)</f>
        <v>#REF!</v>
      </c>
      <c r="R1971" t="e">
        <f>_xlfn.XLOOKUP(Table1[[#This Row],[ID]], Table2[ID],#REF!, "Not Found", 0)</f>
        <v>#REF!</v>
      </c>
      <c r="S1971" s="3" t="str">
        <f>_xlfn.XLOOKUP(Table1[[#This Row],[ID]], Table2[ID], Table2[Enrollment], "Not Found", 0)</f>
        <v>2/20/2020</v>
      </c>
      <c r="T1971" t="s">
        <v>435</v>
      </c>
    </row>
    <row r="1972" spans="1:20" x14ac:dyDescent="0.3">
      <c r="A1972">
        <v>1174</v>
      </c>
      <c r="B1972">
        <v>125271</v>
      </c>
      <c r="C1972">
        <v>1</v>
      </c>
      <c r="D1972">
        <v>0</v>
      </c>
      <c r="E1972">
        <v>37</v>
      </c>
      <c r="F1972">
        <v>0</v>
      </c>
      <c r="G1972">
        <v>1</v>
      </c>
      <c r="H1972">
        <v>0</v>
      </c>
      <c r="I1972">
        <v>0</v>
      </c>
      <c r="J1972">
        <v>0</v>
      </c>
      <c r="K1972">
        <v>0</v>
      </c>
      <c r="L1972">
        <v>1</v>
      </c>
      <c r="M1972">
        <v>0</v>
      </c>
      <c r="N1972">
        <v>0</v>
      </c>
      <c r="O1972" t="str" cm="1">
        <f t="array" ref="O1972">_xlfn.IFS(Table1[[#This Row],[Divorced]]=1, "Divorced", Table1[[#This Row],[Married]]=1, "Married", Table1[[#This Row],[Single]]=1, "Single", Table1[[#This Row],[Together]]=1, "Together", Table1[[#This Row],[Widow]]=1, "Widow")</f>
        <v>Married</v>
      </c>
      <c r="P1972" t="str" cm="1">
        <f t="array" ref="P1972">_xlfn.IFS(Table1[[#This Row],[Basic]]=1, "Basic", Table1[[#This Row],[Graduate]]=1, "Graduate", Table1[[#This Row],[Master]]=1, "Master", Table1[[#This Row],[PhD]]=1, "PhD", AND(Table1[[#This Row],[Basic]]=0, Table1[[#This Row],[Graduate]]=0, Table1[[#This Row],[Master]]=0, Table1[[#This Row],[PhD]]=0), "NA")</f>
        <v>Graduate</v>
      </c>
      <c r="Q1972" t="e">
        <f>_xlfn.XLOOKUP(Table1[[#This Row],[ID]], Table2[ID],#REF!, "Not Found", 0)</f>
        <v>#REF!</v>
      </c>
      <c r="R1972" t="e">
        <f>_xlfn.XLOOKUP(Table1[[#This Row],[ID]], Table2[ID],#REF!, "Not Found", 0)</f>
        <v>#REF!</v>
      </c>
      <c r="S1972" s="3">
        <f>_xlfn.XLOOKUP(Table1[[#This Row],[ID]], Table2[ID], Table2[Enrollment], "Not Found", 0)</f>
        <v>43804</v>
      </c>
      <c r="T1972" t="s">
        <v>439</v>
      </c>
    </row>
    <row r="1973" spans="1:20" x14ac:dyDescent="0.3">
      <c r="A1973">
        <v>1691</v>
      </c>
      <c r="B1973">
        <v>125252</v>
      </c>
      <c r="C1973">
        <v>1</v>
      </c>
      <c r="D1973">
        <v>0</v>
      </c>
      <c r="E1973">
        <v>34</v>
      </c>
      <c r="F1973">
        <v>0</v>
      </c>
      <c r="G1973">
        <v>1</v>
      </c>
      <c r="H1973">
        <v>0</v>
      </c>
      <c r="I1973">
        <v>0</v>
      </c>
      <c r="J1973">
        <v>0</v>
      </c>
      <c r="K1973">
        <v>0</v>
      </c>
      <c r="L1973">
        <v>1</v>
      </c>
      <c r="M1973">
        <v>0</v>
      </c>
      <c r="N1973">
        <v>0</v>
      </c>
      <c r="O1973" t="str" cm="1">
        <f t="array" ref="O1973">_xlfn.IFS(Table1[[#This Row],[Divorced]]=1, "Divorced", Table1[[#This Row],[Married]]=1, "Married", Table1[[#This Row],[Single]]=1, "Single", Table1[[#This Row],[Together]]=1, "Together", Table1[[#This Row],[Widow]]=1, "Widow")</f>
        <v>Married</v>
      </c>
      <c r="P1973" t="str" cm="1">
        <f t="array" ref="P1973">_xlfn.IFS(Table1[[#This Row],[Basic]]=1, "Basic", Table1[[#This Row],[Graduate]]=1, "Graduate", Table1[[#This Row],[Master]]=1, "Master", Table1[[#This Row],[PhD]]=1, "PhD", AND(Table1[[#This Row],[Basic]]=0, Table1[[#This Row],[Graduate]]=0, Table1[[#This Row],[Master]]=0, Table1[[#This Row],[PhD]]=0), "NA")</f>
        <v>Graduate</v>
      </c>
      <c r="Q1973" t="e">
        <f>_xlfn.XLOOKUP(Table1[[#This Row],[ID]], Table2[ID],#REF!, "Not Found", 0)</f>
        <v>#REF!</v>
      </c>
      <c r="R1973" t="e">
        <f>_xlfn.XLOOKUP(Table1[[#This Row],[ID]], Table2[ID],#REF!, "Not Found", 0)</f>
        <v>#REF!</v>
      </c>
      <c r="S1973" s="3" t="str">
        <f>_xlfn.XLOOKUP(Table1[[#This Row],[ID]], Table2[ID], Table2[Enrollment], "Not Found", 0)</f>
        <v>12/17/2019</v>
      </c>
      <c r="T1973" t="s">
        <v>434</v>
      </c>
    </row>
    <row r="1974" spans="1:20" x14ac:dyDescent="0.3">
      <c r="A1974">
        <v>3157</v>
      </c>
      <c r="B1974">
        <v>125224</v>
      </c>
      <c r="C1974">
        <v>1</v>
      </c>
      <c r="D1974">
        <v>0</v>
      </c>
      <c r="E1974">
        <v>48</v>
      </c>
      <c r="F1974">
        <v>0</v>
      </c>
      <c r="G1974">
        <v>1</v>
      </c>
      <c r="H1974">
        <v>0</v>
      </c>
      <c r="I1974">
        <v>0</v>
      </c>
      <c r="J1974">
        <v>0</v>
      </c>
      <c r="K1974">
        <v>1</v>
      </c>
      <c r="L1974">
        <v>0</v>
      </c>
      <c r="M1974">
        <v>0</v>
      </c>
      <c r="N1974">
        <v>0</v>
      </c>
      <c r="O1974" t="str" cm="1">
        <f t="array" ref="O1974">_xlfn.IFS(Table1[[#This Row],[Divorced]]=1, "Divorced", Table1[[#This Row],[Married]]=1, "Married", Table1[[#This Row],[Single]]=1, "Single", Table1[[#This Row],[Together]]=1, "Together", Table1[[#This Row],[Widow]]=1, "Widow")</f>
        <v>Married</v>
      </c>
      <c r="P1974" t="str" cm="1">
        <f t="array" ref="P1974">_xlfn.IFS(Table1[[#This Row],[Basic]]=1, "Basic", Table1[[#This Row],[Graduate]]=1, "Graduate", Table1[[#This Row],[Master]]=1, "Master", Table1[[#This Row],[PhD]]=1, "PhD", AND(Table1[[#This Row],[Basic]]=0, Table1[[#This Row],[Graduate]]=0, Table1[[#This Row],[Master]]=0, Table1[[#This Row],[PhD]]=0), "NA")</f>
        <v>Basic</v>
      </c>
      <c r="Q1974" t="e">
        <f>_xlfn.XLOOKUP(Table1[[#This Row],[ID]], Table2[ID],#REF!, "Not Found", 0)</f>
        <v>#REF!</v>
      </c>
      <c r="R1974" t="e">
        <f>_xlfn.XLOOKUP(Table1[[#This Row],[ID]], Table2[ID],#REF!, "Not Found", 0)</f>
        <v>#REF!</v>
      </c>
      <c r="S1974" s="3" t="str">
        <f>_xlfn.XLOOKUP(Table1[[#This Row],[ID]], Table2[ID], Table2[Enrollment], "Not Found", 0)</f>
        <v>8/20/2020</v>
      </c>
      <c r="T1974" t="s">
        <v>437</v>
      </c>
    </row>
    <row r="1975" spans="1:20" x14ac:dyDescent="0.3">
      <c r="A1975">
        <v>3090</v>
      </c>
      <c r="B1975">
        <v>125176</v>
      </c>
      <c r="C1975">
        <v>1</v>
      </c>
      <c r="D1975">
        <v>1</v>
      </c>
      <c r="E1975">
        <v>44</v>
      </c>
      <c r="F1975">
        <v>0</v>
      </c>
      <c r="G1975">
        <v>0</v>
      </c>
      <c r="H1975">
        <v>0</v>
      </c>
      <c r="I1975">
        <v>1</v>
      </c>
      <c r="J1975">
        <v>0</v>
      </c>
      <c r="K1975">
        <v>0</v>
      </c>
      <c r="L1975">
        <v>0</v>
      </c>
      <c r="M1975">
        <v>0</v>
      </c>
      <c r="N1975">
        <v>0</v>
      </c>
      <c r="O1975" t="str" cm="1">
        <f t="array" ref="O1975">_xlfn.IFS(Table1[[#This Row],[Divorced]]=1, "Divorced", Table1[[#This Row],[Married]]=1, "Married", Table1[[#This Row],[Single]]=1, "Single", Table1[[#This Row],[Together]]=1, "Together", Table1[[#This Row],[Widow]]=1, "Widow")</f>
        <v>Together</v>
      </c>
      <c r="P1975" t="str" cm="1">
        <f t="array" ref="P1975">_xlfn.IFS(Table1[[#This Row],[Basic]]=1, "Basic", Table1[[#This Row],[Graduate]]=1, "Graduate", Table1[[#This Row],[Master]]=1, "Master", Table1[[#This Row],[PhD]]=1, "PhD", AND(Table1[[#This Row],[Basic]]=0, Table1[[#This Row],[Graduate]]=0, Table1[[#This Row],[Master]]=0, Table1[[#This Row],[PhD]]=0), "NA")</f>
        <v>NA</v>
      </c>
      <c r="Q1975" t="e">
        <f>_xlfn.XLOOKUP(Table1[[#This Row],[ID]], Table2[ID],#REF!, "Not Found", 0)</f>
        <v>#REF!</v>
      </c>
      <c r="R1975" t="e">
        <f>_xlfn.XLOOKUP(Table1[[#This Row],[ID]], Table2[ID],#REF!, "Not Found", 0)</f>
        <v>#REF!</v>
      </c>
      <c r="S1975" s="3" t="str">
        <f>_xlfn.XLOOKUP(Table1[[#This Row],[ID]], Table2[ID], Table2[Enrollment], "Not Found", 0)</f>
        <v>1/15/2020</v>
      </c>
      <c r="T1975" t="s">
        <v>436</v>
      </c>
    </row>
    <row r="1976" spans="1:20" x14ac:dyDescent="0.3">
      <c r="A1976">
        <v>1814</v>
      </c>
      <c r="B1976">
        <v>125130</v>
      </c>
      <c r="C1976">
        <v>1</v>
      </c>
      <c r="D1976">
        <v>0</v>
      </c>
      <c r="E1976">
        <v>40</v>
      </c>
      <c r="F1976">
        <v>0</v>
      </c>
      <c r="G1976">
        <v>0</v>
      </c>
      <c r="H1976">
        <v>0</v>
      </c>
      <c r="I1976">
        <v>1</v>
      </c>
      <c r="J1976">
        <v>0</v>
      </c>
      <c r="K1976">
        <v>0</v>
      </c>
      <c r="L1976">
        <v>0</v>
      </c>
      <c r="M1976">
        <v>0</v>
      </c>
      <c r="N1976">
        <v>0</v>
      </c>
      <c r="O1976" t="str" cm="1">
        <f t="array" ref="O1976">_xlfn.IFS(Table1[[#This Row],[Divorced]]=1, "Divorced", Table1[[#This Row],[Married]]=1, "Married", Table1[[#This Row],[Single]]=1, "Single", Table1[[#This Row],[Together]]=1, "Together", Table1[[#This Row],[Widow]]=1, "Widow")</f>
        <v>Together</v>
      </c>
      <c r="P1976" t="str" cm="1">
        <f t="array" ref="P1976">_xlfn.IFS(Table1[[#This Row],[Basic]]=1, "Basic", Table1[[#This Row],[Graduate]]=1, "Graduate", Table1[[#This Row],[Master]]=1, "Master", Table1[[#This Row],[PhD]]=1, "PhD", AND(Table1[[#This Row],[Basic]]=0, Table1[[#This Row],[Graduate]]=0, Table1[[#This Row],[Master]]=0, Table1[[#This Row],[PhD]]=0), "NA")</f>
        <v>NA</v>
      </c>
      <c r="Q1976" t="e">
        <f>_xlfn.XLOOKUP(Table1[[#This Row],[ID]], Table2[ID],#REF!, "Not Found", 0)</f>
        <v>#REF!</v>
      </c>
      <c r="R1976" t="e">
        <f>_xlfn.XLOOKUP(Table1[[#This Row],[ID]], Table2[ID],#REF!, "Not Found", 0)</f>
        <v>#REF!</v>
      </c>
      <c r="S1976" s="3">
        <f>_xlfn.XLOOKUP(Table1[[#This Row],[ID]], Table2[ID], Table2[Enrollment], "Not Found", 0)</f>
        <v>44046</v>
      </c>
      <c r="T1976" t="s">
        <v>438</v>
      </c>
    </row>
    <row r="1977" spans="1:20" x14ac:dyDescent="0.3">
      <c r="A1977">
        <v>2824</v>
      </c>
      <c r="B1977">
        <v>125008</v>
      </c>
      <c r="C1977">
        <v>1</v>
      </c>
      <c r="D1977">
        <v>0</v>
      </c>
      <c r="E1977">
        <v>32</v>
      </c>
      <c r="F1977">
        <v>0</v>
      </c>
      <c r="G1977">
        <v>0</v>
      </c>
      <c r="H1977">
        <v>1</v>
      </c>
      <c r="I1977">
        <v>0</v>
      </c>
      <c r="J1977">
        <v>0</v>
      </c>
      <c r="K1977">
        <v>0</v>
      </c>
      <c r="L1977">
        <v>1</v>
      </c>
      <c r="M1977">
        <v>0</v>
      </c>
      <c r="N1977">
        <v>0</v>
      </c>
      <c r="O1977" t="str" cm="1">
        <f t="array" ref="O1977">_xlfn.IFS(Table1[[#This Row],[Divorced]]=1, "Divorced", Table1[[#This Row],[Married]]=1, "Married", Table1[[#This Row],[Single]]=1, "Single", Table1[[#This Row],[Together]]=1, "Together", Table1[[#This Row],[Widow]]=1, "Widow")</f>
        <v>Single</v>
      </c>
      <c r="P1977" t="str" cm="1">
        <f t="array" ref="P1977">_xlfn.IFS(Table1[[#This Row],[Basic]]=1, "Basic", Table1[[#This Row],[Graduate]]=1, "Graduate", Table1[[#This Row],[Master]]=1, "Master", Table1[[#This Row],[PhD]]=1, "PhD", AND(Table1[[#This Row],[Basic]]=0, Table1[[#This Row],[Graduate]]=0, Table1[[#This Row],[Master]]=0, Table1[[#This Row],[PhD]]=0), "NA")</f>
        <v>Graduate</v>
      </c>
      <c r="Q1977" t="e">
        <f>_xlfn.XLOOKUP(Table1[[#This Row],[ID]], Table2[ID],#REF!, "Not Found", 0)</f>
        <v>#REF!</v>
      </c>
      <c r="R1977" t="e">
        <f>_xlfn.XLOOKUP(Table1[[#This Row],[ID]], Table2[ID],#REF!, "Not Found", 0)</f>
        <v>#REF!</v>
      </c>
      <c r="S1977" s="3">
        <f>_xlfn.XLOOKUP(Table1[[#This Row],[ID]], Table2[ID], Table2[Enrollment], "Not Found", 0)</f>
        <v>44081</v>
      </c>
      <c r="T1977" t="s">
        <v>439</v>
      </c>
    </row>
    <row r="1978" spans="1:20" x14ac:dyDescent="0.3">
      <c r="A1978">
        <v>1972</v>
      </c>
      <c r="B1978">
        <v>124884</v>
      </c>
      <c r="C1978">
        <v>1</v>
      </c>
      <c r="D1978">
        <v>0</v>
      </c>
      <c r="E1978">
        <v>48</v>
      </c>
      <c r="F1978">
        <v>0</v>
      </c>
      <c r="G1978">
        <v>1</v>
      </c>
      <c r="H1978">
        <v>0</v>
      </c>
      <c r="I1978">
        <v>0</v>
      </c>
      <c r="J1978">
        <v>0</v>
      </c>
      <c r="K1978">
        <v>0</v>
      </c>
      <c r="L1978">
        <v>0</v>
      </c>
      <c r="M1978">
        <v>0</v>
      </c>
      <c r="N1978">
        <v>0</v>
      </c>
      <c r="O1978" t="str" cm="1">
        <f t="array" ref="O1978">_xlfn.IFS(Table1[[#This Row],[Divorced]]=1, "Divorced", Table1[[#This Row],[Married]]=1, "Married", Table1[[#This Row],[Single]]=1, "Single", Table1[[#This Row],[Together]]=1, "Together", Table1[[#This Row],[Widow]]=1, "Widow")</f>
        <v>Married</v>
      </c>
      <c r="P1978" t="str" cm="1">
        <f t="array" ref="P1978">_xlfn.IFS(Table1[[#This Row],[Basic]]=1, "Basic", Table1[[#This Row],[Graduate]]=1, "Graduate", Table1[[#This Row],[Master]]=1, "Master", Table1[[#This Row],[PhD]]=1, "PhD", AND(Table1[[#This Row],[Basic]]=0, Table1[[#This Row],[Graduate]]=0, Table1[[#This Row],[Master]]=0, Table1[[#This Row],[PhD]]=0), "NA")</f>
        <v>NA</v>
      </c>
      <c r="Q1978" t="e">
        <f>_xlfn.XLOOKUP(Table1[[#This Row],[ID]], Table2[ID],#REF!, "Not Found", 0)</f>
        <v>#REF!</v>
      </c>
      <c r="R1978" t="e">
        <f>_xlfn.XLOOKUP(Table1[[#This Row],[ID]], Table2[ID],#REF!, "Not Found", 0)</f>
        <v>#REF!</v>
      </c>
      <c r="S1978" s="3">
        <f>_xlfn.XLOOKUP(Table1[[#This Row],[ID]], Table2[ID], Table2[Enrollment], "Not Found", 0)</f>
        <v>43621</v>
      </c>
      <c r="T1978" t="s">
        <v>439</v>
      </c>
    </row>
    <row r="1979" spans="1:20" x14ac:dyDescent="0.3">
      <c r="A1979">
        <v>1179</v>
      </c>
      <c r="B1979">
        <v>124882</v>
      </c>
      <c r="C1979">
        <v>1</v>
      </c>
      <c r="D1979">
        <v>0</v>
      </c>
      <c r="E1979">
        <v>42</v>
      </c>
      <c r="F1979">
        <v>0</v>
      </c>
      <c r="G1979">
        <v>0</v>
      </c>
      <c r="H1979">
        <v>0</v>
      </c>
      <c r="I1979">
        <v>1</v>
      </c>
      <c r="J1979">
        <v>0</v>
      </c>
      <c r="K1979">
        <v>1</v>
      </c>
      <c r="L1979">
        <v>0</v>
      </c>
      <c r="M1979">
        <v>0</v>
      </c>
      <c r="N1979">
        <v>0</v>
      </c>
      <c r="O1979" t="str" cm="1">
        <f t="array" ref="O1979">_xlfn.IFS(Table1[[#This Row],[Divorced]]=1, "Divorced", Table1[[#This Row],[Married]]=1, "Married", Table1[[#This Row],[Single]]=1, "Single", Table1[[#This Row],[Together]]=1, "Together", Table1[[#This Row],[Widow]]=1, "Widow")</f>
        <v>Together</v>
      </c>
      <c r="P1979" t="str" cm="1">
        <f t="array" ref="P1979">_xlfn.IFS(Table1[[#This Row],[Basic]]=1, "Basic", Table1[[#This Row],[Graduate]]=1, "Graduate", Table1[[#This Row],[Master]]=1, "Master", Table1[[#This Row],[PhD]]=1, "PhD", AND(Table1[[#This Row],[Basic]]=0, Table1[[#This Row],[Graduate]]=0, Table1[[#This Row],[Master]]=0, Table1[[#This Row],[PhD]]=0), "NA")</f>
        <v>Basic</v>
      </c>
      <c r="Q1979" t="e">
        <f>_xlfn.XLOOKUP(Table1[[#This Row],[ID]], Table2[ID],#REF!, "Not Found", 0)</f>
        <v>#REF!</v>
      </c>
      <c r="R1979" t="e">
        <f>_xlfn.XLOOKUP(Table1[[#This Row],[ID]], Table2[ID],#REF!, "Not Found", 0)</f>
        <v>#REF!</v>
      </c>
      <c r="S1979" s="3" t="str">
        <f>_xlfn.XLOOKUP(Table1[[#This Row],[ID]], Table2[ID], Table2[Enrollment], "Not Found", 0)</f>
        <v>2/14/2019</v>
      </c>
      <c r="T1979" t="s">
        <v>435</v>
      </c>
    </row>
    <row r="1980" spans="1:20" x14ac:dyDescent="0.3">
      <c r="A1980">
        <v>2871</v>
      </c>
      <c r="B1980">
        <v>124882</v>
      </c>
      <c r="C1980">
        <v>1</v>
      </c>
      <c r="D1980">
        <v>0</v>
      </c>
      <c r="E1980">
        <v>42</v>
      </c>
      <c r="F1980">
        <v>0</v>
      </c>
      <c r="G1980">
        <v>0</v>
      </c>
      <c r="H1980">
        <v>0</v>
      </c>
      <c r="I1980">
        <v>1</v>
      </c>
      <c r="J1980">
        <v>0</v>
      </c>
      <c r="K1980">
        <v>1</v>
      </c>
      <c r="L1980">
        <v>0</v>
      </c>
      <c r="M1980">
        <v>0</v>
      </c>
      <c r="N1980">
        <v>0</v>
      </c>
      <c r="O1980" t="str" cm="1">
        <f t="array" ref="O1980">_xlfn.IFS(Table1[[#This Row],[Divorced]]=1, "Divorced", Table1[[#This Row],[Married]]=1, "Married", Table1[[#This Row],[Single]]=1, "Single", Table1[[#This Row],[Together]]=1, "Together", Table1[[#This Row],[Widow]]=1, "Widow")</f>
        <v>Together</v>
      </c>
      <c r="P1980" t="str" cm="1">
        <f t="array" ref="P1980">_xlfn.IFS(Table1[[#This Row],[Basic]]=1, "Basic", Table1[[#This Row],[Graduate]]=1, "Graduate", Table1[[#This Row],[Master]]=1, "Master", Table1[[#This Row],[PhD]]=1, "PhD", AND(Table1[[#This Row],[Basic]]=0, Table1[[#This Row],[Graduate]]=0, Table1[[#This Row],[Master]]=0, Table1[[#This Row],[PhD]]=0), "NA")</f>
        <v>Basic</v>
      </c>
      <c r="Q1980" t="e">
        <f>_xlfn.XLOOKUP(Table1[[#This Row],[ID]], Table2[ID],#REF!, "Not Found", 0)</f>
        <v>#REF!</v>
      </c>
      <c r="R1980" t="e">
        <f>_xlfn.XLOOKUP(Table1[[#This Row],[ID]], Table2[ID],#REF!, "Not Found", 0)</f>
        <v>#REF!</v>
      </c>
      <c r="S1980" s="3" t="str">
        <f>_xlfn.XLOOKUP(Table1[[#This Row],[ID]], Table2[ID], Table2[Enrollment], "Not Found", 0)</f>
        <v>2/14/2019</v>
      </c>
      <c r="T1980" t="s">
        <v>435</v>
      </c>
    </row>
    <row r="1981" spans="1:20" x14ac:dyDescent="0.3">
      <c r="A1981">
        <v>1861</v>
      </c>
      <c r="B1981">
        <v>124762</v>
      </c>
      <c r="C1981">
        <v>1</v>
      </c>
      <c r="D1981">
        <v>0</v>
      </c>
      <c r="E1981">
        <v>48</v>
      </c>
      <c r="F1981">
        <v>0</v>
      </c>
      <c r="G1981">
        <v>0</v>
      </c>
      <c r="H1981">
        <v>1</v>
      </c>
      <c r="I1981">
        <v>0</v>
      </c>
      <c r="J1981">
        <v>0</v>
      </c>
      <c r="K1981">
        <v>0</v>
      </c>
      <c r="L1981">
        <v>1</v>
      </c>
      <c r="M1981">
        <v>0</v>
      </c>
      <c r="N1981">
        <v>0</v>
      </c>
      <c r="O1981" t="str" cm="1">
        <f t="array" ref="O1981">_xlfn.IFS(Table1[[#This Row],[Divorced]]=1, "Divorced", Table1[[#This Row],[Married]]=1, "Married", Table1[[#This Row],[Single]]=1, "Single", Table1[[#This Row],[Together]]=1, "Together", Table1[[#This Row],[Widow]]=1, "Widow")</f>
        <v>Single</v>
      </c>
      <c r="P1981" t="str" cm="1">
        <f t="array" ref="P1981">_xlfn.IFS(Table1[[#This Row],[Basic]]=1, "Basic", Table1[[#This Row],[Graduate]]=1, "Graduate", Table1[[#This Row],[Master]]=1, "Master", Table1[[#This Row],[PhD]]=1, "PhD", AND(Table1[[#This Row],[Basic]]=0, Table1[[#This Row],[Graduate]]=0, Table1[[#This Row],[Master]]=0, Table1[[#This Row],[PhD]]=0), "NA")</f>
        <v>Graduate</v>
      </c>
      <c r="Q1981" t="e">
        <f>_xlfn.XLOOKUP(Table1[[#This Row],[ID]], Table2[ID],#REF!, "Not Found", 0)</f>
        <v>#REF!</v>
      </c>
      <c r="R1981" t="e">
        <f>_xlfn.XLOOKUP(Table1[[#This Row],[ID]], Table2[ID],#REF!, "Not Found", 0)</f>
        <v>#REF!</v>
      </c>
      <c r="S1981" s="3" t="str">
        <f>_xlfn.XLOOKUP(Table1[[#This Row],[ID]], Table2[ID], Table2[Enrollment], "Not Found", 0)</f>
        <v>7/17/2020</v>
      </c>
      <c r="T1981" t="s">
        <v>437</v>
      </c>
    </row>
    <row r="1982" spans="1:20" x14ac:dyDescent="0.3">
      <c r="A1982">
        <v>2306</v>
      </c>
      <c r="B1982">
        <v>124711</v>
      </c>
      <c r="C1982">
        <v>0</v>
      </c>
      <c r="D1982">
        <v>0</v>
      </c>
      <c r="E1982">
        <v>38</v>
      </c>
      <c r="F1982">
        <v>0</v>
      </c>
      <c r="G1982">
        <v>1</v>
      </c>
      <c r="H1982">
        <v>0</v>
      </c>
      <c r="I1982">
        <v>0</v>
      </c>
      <c r="J1982">
        <v>0</v>
      </c>
      <c r="K1982">
        <v>0</v>
      </c>
      <c r="L1982">
        <v>1</v>
      </c>
      <c r="M1982">
        <v>0</v>
      </c>
      <c r="N1982">
        <v>0</v>
      </c>
      <c r="O1982" t="str" cm="1">
        <f t="array" ref="O1982">_xlfn.IFS(Table1[[#This Row],[Divorced]]=1, "Divorced", Table1[[#This Row],[Married]]=1, "Married", Table1[[#This Row],[Single]]=1, "Single", Table1[[#This Row],[Together]]=1, "Together", Table1[[#This Row],[Widow]]=1, "Widow")</f>
        <v>Married</v>
      </c>
      <c r="P1982" t="str" cm="1">
        <f t="array" ref="P1982">_xlfn.IFS(Table1[[#This Row],[Basic]]=1, "Basic", Table1[[#This Row],[Graduate]]=1, "Graduate", Table1[[#This Row],[Master]]=1, "Master", Table1[[#This Row],[PhD]]=1, "PhD", AND(Table1[[#This Row],[Basic]]=0, Table1[[#This Row],[Graduate]]=0, Table1[[#This Row],[Master]]=0, Table1[[#This Row],[PhD]]=0), "NA")</f>
        <v>Graduate</v>
      </c>
      <c r="Q1982" t="e">
        <f>_xlfn.XLOOKUP(Table1[[#This Row],[ID]], Table2[ID],#REF!, "Not Found", 0)</f>
        <v>#REF!</v>
      </c>
      <c r="R1982" t="e">
        <f>_xlfn.XLOOKUP(Table1[[#This Row],[ID]], Table2[ID],#REF!, "Not Found", 0)</f>
        <v>#REF!</v>
      </c>
      <c r="S1982" s="3" t="str">
        <f>_xlfn.XLOOKUP(Table1[[#This Row],[ID]], Table2[ID], Table2[Enrollment], "Not Found", 0)</f>
        <v>9/22/2020</v>
      </c>
      <c r="T1982" t="s">
        <v>438</v>
      </c>
    </row>
    <row r="1983" spans="1:20" x14ac:dyDescent="0.3">
      <c r="A1983">
        <v>1529</v>
      </c>
      <c r="B1983">
        <v>124683</v>
      </c>
      <c r="C1983">
        <v>1</v>
      </c>
      <c r="D1983">
        <v>0</v>
      </c>
      <c r="E1983">
        <v>30</v>
      </c>
      <c r="F1983">
        <v>0</v>
      </c>
      <c r="G1983">
        <v>1</v>
      </c>
      <c r="H1983">
        <v>0</v>
      </c>
      <c r="I1983">
        <v>0</v>
      </c>
      <c r="J1983">
        <v>0</v>
      </c>
      <c r="K1983">
        <v>0</v>
      </c>
      <c r="L1983">
        <v>0</v>
      </c>
      <c r="M1983">
        <v>0</v>
      </c>
      <c r="N1983">
        <v>0</v>
      </c>
      <c r="O1983" t="str" cm="1">
        <f t="array" ref="O1983">_xlfn.IFS(Table1[[#This Row],[Divorced]]=1, "Divorced", Table1[[#This Row],[Married]]=1, "Married", Table1[[#This Row],[Single]]=1, "Single", Table1[[#This Row],[Together]]=1, "Together", Table1[[#This Row],[Widow]]=1, "Widow")</f>
        <v>Married</v>
      </c>
      <c r="P1983" t="str" cm="1">
        <f t="array" ref="P1983">_xlfn.IFS(Table1[[#This Row],[Basic]]=1, "Basic", Table1[[#This Row],[Graduate]]=1, "Graduate", Table1[[#This Row],[Master]]=1, "Master", Table1[[#This Row],[PhD]]=1, "PhD", AND(Table1[[#This Row],[Basic]]=0, Table1[[#This Row],[Graduate]]=0, Table1[[#This Row],[Master]]=0, Table1[[#This Row],[PhD]]=0), "NA")</f>
        <v>NA</v>
      </c>
      <c r="Q1983" t="e">
        <f>_xlfn.XLOOKUP(Table1[[#This Row],[ID]], Table2[ID],#REF!, "Not Found", 0)</f>
        <v>#REF!</v>
      </c>
      <c r="R1983" t="e">
        <f>_xlfn.XLOOKUP(Table1[[#This Row],[ID]], Table2[ID],#REF!, "Not Found", 0)</f>
        <v>#REF!</v>
      </c>
      <c r="S1983" s="3">
        <f>_xlfn.XLOOKUP(Table1[[#This Row],[ID]], Table2[ID], Table2[Enrollment], "Not Found", 0)</f>
        <v>44173</v>
      </c>
      <c r="T1983" t="s">
        <v>434</v>
      </c>
    </row>
    <row r="1984" spans="1:20" x14ac:dyDescent="0.3">
      <c r="A1984">
        <v>2538</v>
      </c>
      <c r="B1984">
        <v>124645</v>
      </c>
      <c r="C1984">
        <v>1</v>
      </c>
      <c r="D1984">
        <v>0</v>
      </c>
      <c r="E1984">
        <v>32</v>
      </c>
      <c r="F1984">
        <v>0</v>
      </c>
      <c r="G1984">
        <v>1</v>
      </c>
      <c r="H1984">
        <v>0</v>
      </c>
      <c r="I1984">
        <v>0</v>
      </c>
      <c r="J1984">
        <v>0</v>
      </c>
      <c r="K1984">
        <v>0</v>
      </c>
      <c r="L1984">
        <v>1</v>
      </c>
      <c r="M1984">
        <v>0</v>
      </c>
      <c r="N1984">
        <v>0</v>
      </c>
      <c r="O1984" t="str" cm="1">
        <f t="array" ref="O1984">_xlfn.IFS(Table1[[#This Row],[Divorced]]=1, "Divorced", Table1[[#This Row],[Married]]=1, "Married", Table1[[#This Row],[Single]]=1, "Single", Table1[[#This Row],[Together]]=1, "Together", Table1[[#This Row],[Widow]]=1, "Widow")</f>
        <v>Married</v>
      </c>
      <c r="P1984" t="str" cm="1">
        <f t="array" ref="P1984">_xlfn.IFS(Table1[[#This Row],[Basic]]=1, "Basic", Table1[[#This Row],[Graduate]]=1, "Graduate", Table1[[#This Row],[Master]]=1, "Master", Table1[[#This Row],[PhD]]=1, "PhD", AND(Table1[[#This Row],[Basic]]=0, Table1[[#This Row],[Graduate]]=0, Table1[[#This Row],[Master]]=0, Table1[[#This Row],[PhD]]=0), "NA")</f>
        <v>Graduate</v>
      </c>
      <c r="Q1984" t="e">
        <f>_xlfn.XLOOKUP(Table1[[#This Row],[ID]], Table2[ID],#REF!, "Not Found", 0)</f>
        <v>#REF!</v>
      </c>
      <c r="R1984" t="e">
        <f>_xlfn.XLOOKUP(Table1[[#This Row],[ID]], Table2[ID],#REF!, "Not Found", 0)</f>
        <v>#REF!</v>
      </c>
      <c r="S1984" s="3">
        <f>_xlfn.XLOOKUP(Table1[[#This Row],[ID]], Table2[ID], Table2[Enrollment], "Not Found", 0)</f>
        <v>43681</v>
      </c>
      <c r="T1984" t="s">
        <v>436</v>
      </c>
    </row>
    <row r="1985" spans="1:20" x14ac:dyDescent="0.3">
      <c r="A1985">
        <v>2395</v>
      </c>
      <c r="B1985">
        <v>124639</v>
      </c>
      <c r="C1985">
        <v>1</v>
      </c>
      <c r="D1985">
        <v>1</v>
      </c>
      <c r="E1985">
        <v>47</v>
      </c>
      <c r="F1985">
        <v>0</v>
      </c>
      <c r="G1985">
        <v>1</v>
      </c>
      <c r="H1985">
        <v>0</v>
      </c>
      <c r="I1985">
        <v>0</v>
      </c>
      <c r="J1985">
        <v>0</v>
      </c>
      <c r="K1985">
        <v>0</v>
      </c>
      <c r="L1985">
        <v>1</v>
      </c>
      <c r="M1985">
        <v>0</v>
      </c>
      <c r="N1985">
        <v>0</v>
      </c>
      <c r="O1985" t="str" cm="1">
        <f t="array" ref="O1985">_xlfn.IFS(Table1[[#This Row],[Divorced]]=1, "Divorced", Table1[[#This Row],[Married]]=1, "Married", Table1[[#This Row],[Single]]=1, "Single", Table1[[#This Row],[Together]]=1, "Together", Table1[[#This Row],[Widow]]=1, "Widow")</f>
        <v>Married</v>
      </c>
      <c r="P1985" t="str" cm="1">
        <f t="array" ref="P1985">_xlfn.IFS(Table1[[#This Row],[Basic]]=1, "Basic", Table1[[#This Row],[Graduate]]=1, "Graduate", Table1[[#This Row],[Master]]=1, "Master", Table1[[#This Row],[PhD]]=1, "PhD", AND(Table1[[#This Row],[Basic]]=0, Table1[[#This Row],[Graduate]]=0, Table1[[#This Row],[Master]]=0, Table1[[#This Row],[PhD]]=0), "NA")</f>
        <v>Graduate</v>
      </c>
      <c r="Q1985" t="e">
        <f>_xlfn.XLOOKUP(Table1[[#This Row],[ID]], Table2[ID],#REF!, "Not Found", 0)</f>
        <v>#REF!</v>
      </c>
      <c r="R1985" t="e">
        <f>_xlfn.XLOOKUP(Table1[[#This Row],[ID]], Table2[ID],#REF!, "Not Found", 0)</f>
        <v>#REF!</v>
      </c>
      <c r="S1985" s="3">
        <f>_xlfn.XLOOKUP(Table1[[#This Row],[ID]], Table2[ID], Table2[Enrollment], "Not Found", 0)</f>
        <v>43928</v>
      </c>
      <c r="T1985" t="s">
        <v>437</v>
      </c>
    </row>
    <row r="1986" spans="1:20" x14ac:dyDescent="0.3">
      <c r="A1986">
        <v>1097</v>
      </c>
      <c r="B1986">
        <v>124594</v>
      </c>
      <c r="C1986">
        <v>1</v>
      </c>
      <c r="D1986">
        <v>0</v>
      </c>
      <c r="E1986">
        <v>41</v>
      </c>
      <c r="F1986">
        <v>0</v>
      </c>
      <c r="G1986">
        <v>0</v>
      </c>
      <c r="H1986">
        <v>0</v>
      </c>
      <c r="I1986">
        <v>1</v>
      </c>
      <c r="J1986">
        <v>0</v>
      </c>
      <c r="K1986">
        <v>1</v>
      </c>
      <c r="L1986">
        <v>0</v>
      </c>
      <c r="M1986">
        <v>0</v>
      </c>
      <c r="N1986">
        <v>0</v>
      </c>
      <c r="O1986" t="str" cm="1">
        <f t="array" ref="O1986">_xlfn.IFS(Table1[[#This Row],[Divorced]]=1, "Divorced", Table1[[#This Row],[Married]]=1, "Married", Table1[[#This Row],[Single]]=1, "Single", Table1[[#This Row],[Together]]=1, "Together", Table1[[#This Row],[Widow]]=1, "Widow")</f>
        <v>Together</v>
      </c>
      <c r="P1986" t="str" cm="1">
        <f t="array" ref="P1986">_xlfn.IFS(Table1[[#This Row],[Basic]]=1, "Basic", Table1[[#This Row],[Graduate]]=1, "Graduate", Table1[[#This Row],[Master]]=1, "Master", Table1[[#This Row],[PhD]]=1, "PhD", AND(Table1[[#This Row],[Basic]]=0, Table1[[#This Row],[Graduate]]=0, Table1[[#This Row],[Master]]=0, Table1[[#This Row],[PhD]]=0), "NA")</f>
        <v>Basic</v>
      </c>
      <c r="Q1986" t="e">
        <f>_xlfn.XLOOKUP(Table1[[#This Row],[ID]], Table2[ID],#REF!, "Not Found", 0)</f>
        <v>#REF!</v>
      </c>
      <c r="R1986" t="e">
        <f>_xlfn.XLOOKUP(Table1[[#This Row],[ID]], Table2[ID],#REF!, "Not Found", 0)</f>
        <v>#REF!</v>
      </c>
      <c r="S1986" s="3" t="str">
        <f>_xlfn.XLOOKUP(Table1[[#This Row],[ID]], Table2[ID], Table2[Enrollment], "Not Found", 0)</f>
        <v>5/16/2020</v>
      </c>
      <c r="T1986" t="s">
        <v>434</v>
      </c>
    </row>
    <row r="1987" spans="1:20" x14ac:dyDescent="0.3">
      <c r="A1987">
        <v>2619</v>
      </c>
      <c r="B1987">
        <v>124594</v>
      </c>
      <c r="C1987">
        <v>1</v>
      </c>
      <c r="D1987">
        <v>0</v>
      </c>
      <c r="E1987">
        <v>41</v>
      </c>
      <c r="F1987">
        <v>0</v>
      </c>
      <c r="G1987">
        <v>0</v>
      </c>
      <c r="H1987">
        <v>0</v>
      </c>
      <c r="I1987">
        <v>1</v>
      </c>
      <c r="J1987">
        <v>0</v>
      </c>
      <c r="K1987">
        <v>1</v>
      </c>
      <c r="L1987">
        <v>0</v>
      </c>
      <c r="M1987">
        <v>0</v>
      </c>
      <c r="N1987">
        <v>0</v>
      </c>
      <c r="O1987" t="str" cm="1">
        <f t="array" ref="O1987">_xlfn.IFS(Table1[[#This Row],[Divorced]]=1, "Divorced", Table1[[#This Row],[Married]]=1, "Married", Table1[[#This Row],[Single]]=1, "Single", Table1[[#This Row],[Together]]=1, "Together", Table1[[#This Row],[Widow]]=1, "Widow")</f>
        <v>Together</v>
      </c>
      <c r="P1987" t="str" cm="1">
        <f t="array" ref="P1987">_xlfn.IFS(Table1[[#This Row],[Basic]]=1, "Basic", Table1[[#This Row],[Graduate]]=1, "Graduate", Table1[[#This Row],[Master]]=1, "Master", Table1[[#This Row],[PhD]]=1, "PhD", AND(Table1[[#This Row],[Basic]]=0, Table1[[#This Row],[Graduate]]=0, Table1[[#This Row],[Master]]=0, Table1[[#This Row],[PhD]]=0), "NA")</f>
        <v>Basic</v>
      </c>
      <c r="Q1987" t="e">
        <f>_xlfn.XLOOKUP(Table1[[#This Row],[ID]], Table2[ID],#REF!, "Not Found", 0)</f>
        <v>#REF!</v>
      </c>
      <c r="R1987" t="e">
        <f>_xlfn.XLOOKUP(Table1[[#This Row],[ID]], Table2[ID],#REF!, "Not Found", 0)</f>
        <v>#REF!</v>
      </c>
      <c r="S1987" s="3" t="str">
        <f>_xlfn.XLOOKUP(Table1[[#This Row],[ID]], Table2[ID], Table2[Enrollment], "Not Found", 0)</f>
        <v>5/16/2020</v>
      </c>
      <c r="T1987" t="s">
        <v>435</v>
      </c>
    </row>
    <row r="1988" spans="1:20" x14ac:dyDescent="0.3">
      <c r="A1988">
        <v>2955</v>
      </c>
      <c r="B1988">
        <v>124570</v>
      </c>
      <c r="C1988">
        <v>1</v>
      </c>
      <c r="D1988">
        <v>0</v>
      </c>
      <c r="E1988">
        <v>36</v>
      </c>
      <c r="F1988">
        <v>0</v>
      </c>
      <c r="G1988">
        <v>1</v>
      </c>
      <c r="H1988">
        <v>0</v>
      </c>
      <c r="I1988">
        <v>0</v>
      </c>
      <c r="J1988">
        <v>0</v>
      </c>
      <c r="K1988">
        <v>0</v>
      </c>
      <c r="L1988">
        <v>1</v>
      </c>
      <c r="M1988">
        <v>0</v>
      </c>
      <c r="N1988">
        <v>0</v>
      </c>
      <c r="O1988" t="str" cm="1">
        <f t="array" ref="O1988">_xlfn.IFS(Table1[[#This Row],[Divorced]]=1, "Divorced", Table1[[#This Row],[Married]]=1, "Married", Table1[[#This Row],[Single]]=1, "Single", Table1[[#This Row],[Together]]=1, "Together", Table1[[#This Row],[Widow]]=1, "Widow")</f>
        <v>Married</v>
      </c>
      <c r="P1988" t="str" cm="1">
        <f t="array" ref="P1988">_xlfn.IFS(Table1[[#This Row],[Basic]]=1, "Basic", Table1[[#This Row],[Graduate]]=1, "Graduate", Table1[[#This Row],[Master]]=1, "Master", Table1[[#This Row],[PhD]]=1, "PhD", AND(Table1[[#This Row],[Basic]]=0, Table1[[#This Row],[Graduate]]=0, Table1[[#This Row],[Master]]=0, Table1[[#This Row],[PhD]]=0), "NA")</f>
        <v>Graduate</v>
      </c>
      <c r="Q1988" t="e">
        <f>_xlfn.XLOOKUP(Table1[[#This Row],[ID]], Table2[ID],#REF!, "Not Found", 0)</f>
        <v>#REF!</v>
      </c>
      <c r="R1988" t="e">
        <f>_xlfn.XLOOKUP(Table1[[#This Row],[ID]], Table2[ID],#REF!, "Not Found", 0)</f>
        <v>#REF!</v>
      </c>
      <c r="S1988" s="3">
        <f>_xlfn.XLOOKUP(Table1[[#This Row],[ID]], Table2[ID], Table2[Enrollment], "Not Found", 0)</f>
        <v>43563</v>
      </c>
      <c r="T1988" t="s">
        <v>435</v>
      </c>
    </row>
    <row r="1989" spans="1:20" x14ac:dyDescent="0.3">
      <c r="A1989">
        <v>1267</v>
      </c>
      <c r="B1989">
        <v>124480</v>
      </c>
      <c r="C1989">
        <v>1</v>
      </c>
      <c r="D1989">
        <v>0</v>
      </c>
      <c r="E1989">
        <v>39</v>
      </c>
      <c r="F1989">
        <v>0</v>
      </c>
      <c r="G1989">
        <v>1</v>
      </c>
      <c r="H1989">
        <v>0</v>
      </c>
      <c r="I1989">
        <v>0</v>
      </c>
      <c r="J1989">
        <v>0</v>
      </c>
      <c r="K1989">
        <v>1</v>
      </c>
      <c r="L1989">
        <v>0</v>
      </c>
      <c r="M1989">
        <v>0</v>
      </c>
      <c r="N1989">
        <v>0</v>
      </c>
      <c r="O1989" t="str" cm="1">
        <f t="array" ref="O1989">_xlfn.IFS(Table1[[#This Row],[Divorced]]=1, "Divorced", Table1[[#This Row],[Married]]=1, "Married", Table1[[#This Row],[Single]]=1, "Single", Table1[[#This Row],[Together]]=1, "Together", Table1[[#This Row],[Widow]]=1, "Widow")</f>
        <v>Married</v>
      </c>
      <c r="P1989" t="str" cm="1">
        <f t="array" ref="P1989">_xlfn.IFS(Table1[[#This Row],[Basic]]=1, "Basic", Table1[[#This Row],[Graduate]]=1, "Graduate", Table1[[#This Row],[Master]]=1, "Master", Table1[[#This Row],[PhD]]=1, "PhD", AND(Table1[[#This Row],[Basic]]=0, Table1[[#This Row],[Graduate]]=0, Table1[[#This Row],[Master]]=0, Table1[[#This Row],[PhD]]=0), "NA")</f>
        <v>Basic</v>
      </c>
      <c r="Q1989" t="e">
        <f>_xlfn.XLOOKUP(Table1[[#This Row],[ID]], Table2[ID],#REF!, "Not Found", 0)</f>
        <v>#REF!</v>
      </c>
      <c r="R1989" t="e">
        <f>_xlfn.XLOOKUP(Table1[[#This Row],[ID]], Table2[ID],#REF!, "Not Found", 0)</f>
        <v>#REF!</v>
      </c>
      <c r="S1989" s="3" t="str">
        <f>_xlfn.XLOOKUP(Table1[[#This Row],[ID]], Table2[ID], Table2[Enrollment], "Not Found", 0)</f>
        <v>7/19/2019</v>
      </c>
      <c r="T1989" t="s">
        <v>437</v>
      </c>
    </row>
    <row r="1990" spans="1:20" x14ac:dyDescent="0.3">
      <c r="A1990">
        <v>3196</v>
      </c>
      <c r="B1990">
        <v>124434</v>
      </c>
      <c r="C1990">
        <v>2</v>
      </c>
      <c r="D1990">
        <v>0</v>
      </c>
      <c r="E1990">
        <v>48</v>
      </c>
      <c r="F1990">
        <v>0</v>
      </c>
      <c r="G1990">
        <v>1</v>
      </c>
      <c r="H1990">
        <v>0</v>
      </c>
      <c r="I1990">
        <v>0</v>
      </c>
      <c r="J1990">
        <v>0</v>
      </c>
      <c r="K1990">
        <v>0</v>
      </c>
      <c r="L1990">
        <v>1</v>
      </c>
      <c r="M1990">
        <v>0</v>
      </c>
      <c r="N1990">
        <v>0</v>
      </c>
      <c r="O1990" t="str" cm="1">
        <f t="array" ref="O1990">_xlfn.IFS(Table1[[#This Row],[Divorced]]=1, "Divorced", Table1[[#This Row],[Married]]=1, "Married", Table1[[#This Row],[Single]]=1, "Single", Table1[[#This Row],[Together]]=1, "Together", Table1[[#This Row],[Widow]]=1, "Widow")</f>
        <v>Married</v>
      </c>
      <c r="P1990" t="str" cm="1">
        <f t="array" ref="P1990">_xlfn.IFS(Table1[[#This Row],[Basic]]=1, "Basic", Table1[[#This Row],[Graduate]]=1, "Graduate", Table1[[#This Row],[Master]]=1, "Master", Table1[[#This Row],[PhD]]=1, "PhD", AND(Table1[[#This Row],[Basic]]=0, Table1[[#This Row],[Graduate]]=0, Table1[[#This Row],[Master]]=0, Table1[[#This Row],[PhD]]=0), "NA")</f>
        <v>Graduate</v>
      </c>
      <c r="Q1990" t="e">
        <f>_xlfn.XLOOKUP(Table1[[#This Row],[ID]], Table2[ID],#REF!, "Not Found", 0)</f>
        <v>#REF!</v>
      </c>
      <c r="R1990" t="e">
        <f>_xlfn.XLOOKUP(Table1[[#This Row],[ID]], Table2[ID],#REF!, "Not Found", 0)</f>
        <v>#REF!</v>
      </c>
      <c r="S1990" s="3" t="str">
        <f>_xlfn.XLOOKUP(Table1[[#This Row],[ID]], Table2[ID], Table2[Enrollment], "Not Found", 0)</f>
        <v>10/22/2020</v>
      </c>
      <c r="T1990" t="s">
        <v>439</v>
      </c>
    </row>
    <row r="1991" spans="1:20" x14ac:dyDescent="0.3">
      <c r="A1991">
        <v>1906</v>
      </c>
      <c r="B1991">
        <v>124401</v>
      </c>
      <c r="C1991">
        <v>0</v>
      </c>
      <c r="D1991">
        <v>0</v>
      </c>
      <c r="E1991">
        <v>41</v>
      </c>
      <c r="F1991">
        <v>0</v>
      </c>
      <c r="G1991">
        <v>0</v>
      </c>
      <c r="H1991">
        <v>0</v>
      </c>
      <c r="I1991">
        <v>1</v>
      </c>
      <c r="J1991">
        <v>0</v>
      </c>
      <c r="K1991">
        <v>0</v>
      </c>
      <c r="L1991">
        <v>0</v>
      </c>
      <c r="M1991">
        <v>1</v>
      </c>
      <c r="N1991">
        <v>0</v>
      </c>
      <c r="O1991" t="str" cm="1">
        <f t="array" ref="O1991">_xlfn.IFS(Table1[[#This Row],[Divorced]]=1, "Divorced", Table1[[#This Row],[Married]]=1, "Married", Table1[[#This Row],[Single]]=1, "Single", Table1[[#This Row],[Together]]=1, "Together", Table1[[#This Row],[Widow]]=1, "Widow")</f>
        <v>Together</v>
      </c>
      <c r="P1991" t="str" cm="1">
        <f t="array" ref="P1991">_xlfn.IFS(Table1[[#This Row],[Basic]]=1, "Basic", Table1[[#This Row],[Graduate]]=1, "Graduate", Table1[[#This Row],[Master]]=1, "Master", Table1[[#This Row],[PhD]]=1, "PhD", AND(Table1[[#This Row],[Basic]]=0, Table1[[#This Row],[Graduate]]=0, Table1[[#This Row],[Master]]=0, Table1[[#This Row],[PhD]]=0), "NA")</f>
        <v>Master</v>
      </c>
      <c r="Q1991" t="e">
        <f>_xlfn.XLOOKUP(Table1[[#This Row],[ID]], Table2[ID],#REF!, "Not Found", 0)</f>
        <v>#REF!</v>
      </c>
      <c r="R1991" t="e">
        <f>_xlfn.XLOOKUP(Table1[[#This Row],[ID]], Table2[ID],#REF!, "Not Found", 0)</f>
        <v>#REF!</v>
      </c>
      <c r="S1991" s="3">
        <f>_xlfn.XLOOKUP(Table1[[#This Row],[ID]], Table2[ID], Table2[Enrollment], "Not Found", 0)</f>
        <v>43587</v>
      </c>
      <c r="T1991" t="s">
        <v>439</v>
      </c>
    </row>
    <row r="1992" spans="1:20" x14ac:dyDescent="0.3">
      <c r="A1992">
        <v>2324</v>
      </c>
      <c r="B1992">
        <v>124367</v>
      </c>
      <c r="C1992">
        <v>1</v>
      </c>
      <c r="D1992">
        <v>0</v>
      </c>
      <c r="E1992">
        <v>38</v>
      </c>
      <c r="F1992">
        <v>0</v>
      </c>
      <c r="G1992">
        <v>0</v>
      </c>
      <c r="H1992">
        <v>1</v>
      </c>
      <c r="I1992">
        <v>0</v>
      </c>
      <c r="J1992">
        <v>0</v>
      </c>
      <c r="K1992">
        <v>1</v>
      </c>
      <c r="L1992">
        <v>0</v>
      </c>
      <c r="M1992">
        <v>0</v>
      </c>
      <c r="N1992">
        <v>0</v>
      </c>
      <c r="O1992" t="str" cm="1">
        <f t="array" ref="O1992">_xlfn.IFS(Table1[[#This Row],[Divorced]]=1, "Divorced", Table1[[#This Row],[Married]]=1, "Married", Table1[[#This Row],[Single]]=1, "Single", Table1[[#This Row],[Together]]=1, "Together", Table1[[#This Row],[Widow]]=1, "Widow")</f>
        <v>Single</v>
      </c>
      <c r="P1992" t="str" cm="1">
        <f t="array" ref="P1992">_xlfn.IFS(Table1[[#This Row],[Basic]]=1, "Basic", Table1[[#This Row],[Graduate]]=1, "Graduate", Table1[[#This Row],[Master]]=1, "Master", Table1[[#This Row],[PhD]]=1, "PhD", AND(Table1[[#This Row],[Basic]]=0, Table1[[#This Row],[Graduate]]=0, Table1[[#This Row],[Master]]=0, Table1[[#This Row],[PhD]]=0), "NA")</f>
        <v>Basic</v>
      </c>
      <c r="Q1992" t="e">
        <f>_xlfn.XLOOKUP(Table1[[#This Row],[ID]], Table2[ID],#REF!, "Not Found", 0)</f>
        <v>#REF!</v>
      </c>
      <c r="R1992" t="e">
        <f>_xlfn.XLOOKUP(Table1[[#This Row],[ID]], Table2[ID],#REF!, "Not Found", 0)</f>
        <v>#REF!</v>
      </c>
      <c r="S1992" s="3" t="str">
        <f>_xlfn.XLOOKUP(Table1[[#This Row],[ID]], Table2[ID], Table2[Enrollment], "Not Found", 0)</f>
        <v>8/25/2019</v>
      </c>
      <c r="T1992" t="s">
        <v>438</v>
      </c>
    </row>
    <row r="1993" spans="1:20" x14ac:dyDescent="0.3">
      <c r="A1993">
        <v>2668</v>
      </c>
      <c r="B1993">
        <v>124336</v>
      </c>
      <c r="C1993">
        <v>1</v>
      </c>
      <c r="D1993">
        <v>0</v>
      </c>
      <c r="E1993">
        <v>39</v>
      </c>
      <c r="F1993">
        <v>0</v>
      </c>
      <c r="G1993">
        <v>0</v>
      </c>
      <c r="H1993">
        <v>1</v>
      </c>
      <c r="I1993">
        <v>0</v>
      </c>
      <c r="J1993">
        <v>0</v>
      </c>
      <c r="K1993">
        <v>0</v>
      </c>
      <c r="L1993">
        <v>0</v>
      </c>
      <c r="M1993">
        <v>0</v>
      </c>
      <c r="N1993">
        <v>0</v>
      </c>
      <c r="O1993" t="str" cm="1">
        <f t="array" ref="O1993">_xlfn.IFS(Table1[[#This Row],[Divorced]]=1, "Divorced", Table1[[#This Row],[Married]]=1, "Married", Table1[[#This Row],[Single]]=1, "Single", Table1[[#This Row],[Together]]=1, "Together", Table1[[#This Row],[Widow]]=1, "Widow")</f>
        <v>Single</v>
      </c>
      <c r="P1993" t="str" cm="1">
        <f t="array" ref="P1993">_xlfn.IFS(Table1[[#This Row],[Basic]]=1, "Basic", Table1[[#This Row],[Graduate]]=1, "Graduate", Table1[[#This Row],[Master]]=1, "Master", Table1[[#This Row],[PhD]]=1, "PhD", AND(Table1[[#This Row],[Basic]]=0, Table1[[#This Row],[Graduate]]=0, Table1[[#This Row],[Master]]=0, Table1[[#This Row],[PhD]]=0), "NA")</f>
        <v>NA</v>
      </c>
      <c r="Q1993" t="e">
        <f>_xlfn.XLOOKUP(Table1[[#This Row],[ID]], Table2[ID],#REF!, "Not Found", 0)</f>
        <v>#REF!</v>
      </c>
      <c r="R1993" t="e">
        <f>_xlfn.XLOOKUP(Table1[[#This Row],[ID]], Table2[ID],#REF!, "Not Found", 0)</f>
        <v>#REF!</v>
      </c>
      <c r="S1993" s="3">
        <f>_xlfn.XLOOKUP(Table1[[#This Row],[ID]], Table2[ID], Table2[Enrollment], "Not Found", 0)</f>
        <v>43467</v>
      </c>
      <c r="T1993" t="s">
        <v>439</v>
      </c>
    </row>
    <row r="1994" spans="1:20" x14ac:dyDescent="0.3">
      <c r="A1994">
        <v>1486</v>
      </c>
      <c r="B1994">
        <v>124279</v>
      </c>
      <c r="C1994">
        <v>0</v>
      </c>
      <c r="D1994">
        <v>0</v>
      </c>
      <c r="E1994">
        <v>30</v>
      </c>
      <c r="F1994">
        <v>0</v>
      </c>
      <c r="G1994">
        <v>1</v>
      </c>
      <c r="H1994">
        <v>0</v>
      </c>
      <c r="I1994">
        <v>0</v>
      </c>
      <c r="J1994">
        <v>0</v>
      </c>
      <c r="K1994">
        <v>1</v>
      </c>
      <c r="L1994">
        <v>0</v>
      </c>
      <c r="M1994">
        <v>0</v>
      </c>
      <c r="N1994">
        <v>0</v>
      </c>
      <c r="O1994" t="str" cm="1">
        <f t="array" ref="O1994">_xlfn.IFS(Table1[[#This Row],[Divorced]]=1, "Divorced", Table1[[#This Row],[Married]]=1, "Married", Table1[[#This Row],[Single]]=1, "Single", Table1[[#This Row],[Together]]=1, "Together", Table1[[#This Row],[Widow]]=1, "Widow")</f>
        <v>Married</v>
      </c>
      <c r="P1994" t="str" cm="1">
        <f t="array" ref="P1994">_xlfn.IFS(Table1[[#This Row],[Basic]]=1, "Basic", Table1[[#This Row],[Graduate]]=1, "Graduate", Table1[[#This Row],[Master]]=1, "Master", Table1[[#This Row],[PhD]]=1, "PhD", AND(Table1[[#This Row],[Basic]]=0, Table1[[#This Row],[Graduate]]=0, Table1[[#This Row],[Master]]=0, Table1[[#This Row],[PhD]]=0), "NA")</f>
        <v>Basic</v>
      </c>
      <c r="Q1994" t="e">
        <f>_xlfn.XLOOKUP(Table1[[#This Row],[ID]], Table2[ID],#REF!, "Not Found", 0)</f>
        <v>#REF!</v>
      </c>
      <c r="R1994" t="e">
        <f>_xlfn.XLOOKUP(Table1[[#This Row],[ID]], Table2[ID],#REF!, "Not Found", 0)</f>
        <v>#REF!</v>
      </c>
      <c r="S1994" s="3">
        <f>_xlfn.XLOOKUP(Table1[[#This Row],[ID]], Table2[ID], Table2[Enrollment], "Not Found", 0)</f>
        <v>43591</v>
      </c>
      <c r="T1994" t="s">
        <v>439</v>
      </c>
    </row>
    <row r="1995" spans="1:20" x14ac:dyDescent="0.3">
      <c r="A1995">
        <v>1573</v>
      </c>
      <c r="B1995">
        <v>124221</v>
      </c>
      <c r="C1995">
        <v>0</v>
      </c>
      <c r="D1995">
        <v>0</v>
      </c>
      <c r="E1995">
        <v>61</v>
      </c>
      <c r="F1995">
        <v>0</v>
      </c>
      <c r="G1995">
        <v>0</v>
      </c>
      <c r="H1995">
        <v>0</v>
      </c>
      <c r="I1995">
        <v>1</v>
      </c>
      <c r="J1995">
        <v>0</v>
      </c>
      <c r="K1995">
        <v>0</v>
      </c>
      <c r="L1995">
        <v>1</v>
      </c>
      <c r="M1995">
        <v>0</v>
      </c>
      <c r="N1995">
        <v>0</v>
      </c>
      <c r="O1995" t="str" cm="1">
        <f t="array" ref="O1995">_xlfn.IFS(Table1[[#This Row],[Divorced]]=1, "Divorced", Table1[[#This Row],[Married]]=1, "Married", Table1[[#This Row],[Single]]=1, "Single", Table1[[#This Row],[Together]]=1, "Together", Table1[[#This Row],[Widow]]=1, "Widow")</f>
        <v>Together</v>
      </c>
      <c r="P1995" t="str" cm="1">
        <f t="array" ref="P1995">_xlfn.IFS(Table1[[#This Row],[Basic]]=1, "Basic", Table1[[#This Row],[Graduate]]=1, "Graduate", Table1[[#This Row],[Master]]=1, "Master", Table1[[#This Row],[PhD]]=1, "PhD", AND(Table1[[#This Row],[Basic]]=0, Table1[[#This Row],[Graduate]]=0, Table1[[#This Row],[Master]]=0, Table1[[#This Row],[PhD]]=0), "NA")</f>
        <v>Graduate</v>
      </c>
      <c r="Q1995" t="e">
        <f>_xlfn.XLOOKUP(Table1[[#This Row],[ID]], Table2[ID],#REF!, "Not Found", 0)</f>
        <v>#REF!</v>
      </c>
      <c r="R1995" t="e">
        <f>_xlfn.XLOOKUP(Table1[[#This Row],[ID]], Table2[ID],#REF!, "Not Found", 0)</f>
        <v>#REF!</v>
      </c>
      <c r="S1995" s="3" t="str">
        <f>_xlfn.XLOOKUP(Table1[[#This Row],[ID]], Table2[ID], Table2[Enrollment], "Not Found", 0)</f>
        <v>1/25/2020</v>
      </c>
      <c r="T1995" t="s">
        <v>437</v>
      </c>
    </row>
    <row r="1996" spans="1:20" x14ac:dyDescent="0.3">
      <c r="A1996">
        <v>2975</v>
      </c>
      <c r="B1996">
        <v>124206</v>
      </c>
      <c r="C1996">
        <v>1</v>
      </c>
      <c r="D1996">
        <v>0</v>
      </c>
      <c r="E1996">
        <v>50</v>
      </c>
      <c r="F1996">
        <v>0</v>
      </c>
      <c r="G1996">
        <v>0</v>
      </c>
      <c r="H1996">
        <v>1</v>
      </c>
      <c r="I1996">
        <v>0</v>
      </c>
      <c r="J1996">
        <v>0</v>
      </c>
      <c r="K1996">
        <v>0</v>
      </c>
      <c r="L1996">
        <v>1</v>
      </c>
      <c r="M1996">
        <v>0</v>
      </c>
      <c r="N1996">
        <v>0</v>
      </c>
      <c r="O1996" t="str" cm="1">
        <f t="array" ref="O1996">_xlfn.IFS(Table1[[#This Row],[Divorced]]=1, "Divorced", Table1[[#This Row],[Married]]=1, "Married", Table1[[#This Row],[Single]]=1, "Single", Table1[[#This Row],[Together]]=1, "Together", Table1[[#This Row],[Widow]]=1, "Widow")</f>
        <v>Single</v>
      </c>
      <c r="P1996" t="str" cm="1">
        <f t="array" ref="P1996">_xlfn.IFS(Table1[[#This Row],[Basic]]=1, "Basic", Table1[[#This Row],[Graduate]]=1, "Graduate", Table1[[#This Row],[Master]]=1, "Master", Table1[[#This Row],[PhD]]=1, "PhD", AND(Table1[[#This Row],[Basic]]=0, Table1[[#This Row],[Graduate]]=0, Table1[[#This Row],[Master]]=0, Table1[[#This Row],[PhD]]=0), "NA")</f>
        <v>Graduate</v>
      </c>
      <c r="Q1996" t="e">
        <f>_xlfn.XLOOKUP(Table1[[#This Row],[ID]], Table2[ID],#REF!, "Not Found", 0)</f>
        <v>#REF!</v>
      </c>
      <c r="R1996" t="e">
        <f>_xlfn.XLOOKUP(Table1[[#This Row],[ID]], Table2[ID],#REF!, "Not Found", 0)</f>
        <v>#REF!</v>
      </c>
      <c r="S1996" s="3" t="str">
        <f>_xlfn.XLOOKUP(Table1[[#This Row],[ID]], Table2[ID], Table2[Enrollment], "Not Found", 0)</f>
        <v>8/13/2019</v>
      </c>
      <c r="T1996" t="s">
        <v>434</v>
      </c>
    </row>
    <row r="1997" spans="1:20" x14ac:dyDescent="0.3">
      <c r="A1997">
        <v>2067</v>
      </c>
      <c r="B1997">
        <v>124163</v>
      </c>
      <c r="C1997">
        <v>1</v>
      </c>
      <c r="D1997">
        <v>1</v>
      </c>
      <c r="E1997">
        <v>50</v>
      </c>
      <c r="F1997">
        <v>0</v>
      </c>
      <c r="G1997">
        <v>0</v>
      </c>
      <c r="H1997">
        <v>1</v>
      </c>
      <c r="I1997">
        <v>0</v>
      </c>
      <c r="J1997">
        <v>0</v>
      </c>
      <c r="K1997">
        <v>0</v>
      </c>
      <c r="L1997">
        <v>1</v>
      </c>
      <c r="M1997">
        <v>0</v>
      </c>
      <c r="N1997">
        <v>0</v>
      </c>
      <c r="O1997" t="str" cm="1">
        <f t="array" ref="O1997">_xlfn.IFS(Table1[[#This Row],[Divorced]]=1, "Divorced", Table1[[#This Row],[Married]]=1, "Married", Table1[[#This Row],[Single]]=1, "Single", Table1[[#This Row],[Together]]=1, "Together", Table1[[#This Row],[Widow]]=1, "Widow")</f>
        <v>Single</v>
      </c>
      <c r="P1997" t="str" cm="1">
        <f t="array" ref="P1997">_xlfn.IFS(Table1[[#This Row],[Basic]]=1, "Basic", Table1[[#This Row],[Graduate]]=1, "Graduate", Table1[[#This Row],[Master]]=1, "Master", Table1[[#This Row],[PhD]]=1, "PhD", AND(Table1[[#This Row],[Basic]]=0, Table1[[#This Row],[Graduate]]=0, Table1[[#This Row],[Master]]=0, Table1[[#This Row],[PhD]]=0), "NA")</f>
        <v>Graduate</v>
      </c>
      <c r="Q1997" t="e">
        <f>_xlfn.XLOOKUP(Table1[[#This Row],[ID]], Table2[ID],#REF!, "Not Found", 0)</f>
        <v>#REF!</v>
      </c>
      <c r="R1997" t="e">
        <f>_xlfn.XLOOKUP(Table1[[#This Row],[ID]], Table2[ID],#REF!, "Not Found", 0)</f>
        <v>#REF!</v>
      </c>
      <c r="S1997" s="3" t="str">
        <f>_xlfn.XLOOKUP(Table1[[#This Row],[ID]], Table2[ID], Table2[Enrollment], "Not Found", 0)</f>
        <v>3/18/2020</v>
      </c>
      <c r="T1997" t="s">
        <v>435</v>
      </c>
    </row>
    <row r="1998" spans="1:20" x14ac:dyDescent="0.3">
      <c r="A1998">
        <v>1315</v>
      </c>
      <c r="B1998">
        <v>124072</v>
      </c>
      <c r="C1998">
        <v>1</v>
      </c>
      <c r="D1998">
        <v>0</v>
      </c>
      <c r="E1998">
        <v>37</v>
      </c>
      <c r="F1998">
        <v>0</v>
      </c>
      <c r="G1998">
        <v>0</v>
      </c>
      <c r="H1998">
        <v>1</v>
      </c>
      <c r="I1998">
        <v>0</v>
      </c>
      <c r="J1998">
        <v>0</v>
      </c>
      <c r="K1998">
        <v>0</v>
      </c>
      <c r="L1998">
        <v>1</v>
      </c>
      <c r="M1998">
        <v>0</v>
      </c>
      <c r="N1998">
        <v>0</v>
      </c>
      <c r="O1998" t="str" cm="1">
        <f t="array" ref="O1998">_xlfn.IFS(Table1[[#This Row],[Divorced]]=1, "Divorced", Table1[[#This Row],[Married]]=1, "Married", Table1[[#This Row],[Single]]=1, "Single", Table1[[#This Row],[Together]]=1, "Together", Table1[[#This Row],[Widow]]=1, "Widow")</f>
        <v>Single</v>
      </c>
      <c r="P1998" t="str" cm="1">
        <f t="array" ref="P1998">_xlfn.IFS(Table1[[#This Row],[Basic]]=1, "Basic", Table1[[#This Row],[Graduate]]=1, "Graduate", Table1[[#This Row],[Master]]=1, "Master", Table1[[#This Row],[PhD]]=1, "PhD", AND(Table1[[#This Row],[Basic]]=0, Table1[[#This Row],[Graduate]]=0, Table1[[#This Row],[Master]]=0, Table1[[#This Row],[PhD]]=0), "NA")</f>
        <v>Graduate</v>
      </c>
      <c r="Q1998" t="e">
        <f>_xlfn.XLOOKUP(Table1[[#This Row],[ID]], Table2[ID],#REF!, "Not Found", 0)</f>
        <v>#REF!</v>
      </c>
      <c r="R1998" t="e">
        <f>_xlfn.XLOOKUP(Table1[[#This Row],[ID]], Table2[ID],#REF!, "Not Found", 0)</f>
        <v>#REF!</v>
      </c>
      <c r="S1998" s="3" t="str">
        <f>_xlfn.XLOOKUP(Table1[[#This Row],[ID]], Table2[ID], Table2[Enrollment], "Not Found", 0)</f>
        <v>9/21/2019</v>
      </c>
      <c r="T1998" t="s">
        <v>437</v>
      </c>
    </row>
    <row r="1999" spans="1:20" x14ac:dyDescent="0.3">
      <c r="A1999">
        <v>1432</v>
      </c>
      <c r="B1999">
        <v>124027</v>
      </c>
      <c r="C1999">
        <v>1</v>
      </c>
      <c r="D1999">
        <v>0</v>
      </c>
      <c r="E1999">
        <v>44</v>
      </c>
      <c r="F1999">
        <v>0</v>
      </c>
      <c r="G1999">
        <v>1</v>
      </c>
      <c r="H1999">
        <v>0</v>
      </c>
      <c r="I1999">
        <v>0</v>
      </c>
      <c r="J1999">
        <v>0</v>
      </c>
      <c r="K1999">
        <v>0</v>
      </c>
      <c r="L1999">
        <v>1</v>
      </c>
      <c r="M1999">
        <v>0</v>
      </c>
      <c r="N1999">
        <v>0</v>
      </c>
      <c r="O1999" t="str" cm="1">
        <f t="array" ref="O1999">_xlfn.IFS(Table1[[#This Row],[Divorced]]=1, "Divorced", Table1[[#This Row],[Married]]=1, "Married", Table1[[#This Row],[Single]]=1, "Single", Table1[[#This Row],[Together]]=1, "Together", Table1[[#This Row],[Widow]]=1, "Widow")</f>
        <v>Married</v>
      </c>
      <c r="P1999" t="str" cm="1">
        <f t="array" ref="P1999">_xlfn.IFS(Table1[[#This Row],[Basic]]=1, "Basic", Table1[[#This Row],[Graduate]]=1, "Graduate", Table1[[#This Row],[Master]]=1, "Master", Table1[[#This Row],[PhD]]=1, "PhD", AND(Table1[[#This Row],[Basic]]=0, Table1[[#This Row],[Graduate]]=0, Table1[[#This Row],[Master]]=0, Table1[[#This Row],[PhD]]=0), "NA")</f>
        <v>Graduate</v>
      </c>
      <c r="Q1999" t="e">
        <f>_xlfn.XLOOKUP(Table1[[#This Row],[ID]], Table2[ID],#REF!, "Not Found", 0)</f>
        <v>#REF!</v>
      </c>
      <c r="R1999" t="e">
        <f>_xlfn.XLOOKUP(Table1[[#This Row],[ID]], Table2[ID],#REF!, "Not Found", 0)</f>
        <v>#REF!</v>
      </c>
      <c r="S1999" s="3" t="str">
        <f>_xlfn.XLOOKUP(Table1[[#This Row],[ID]], Table2[ID], Table2[Enrollment], "Not Found", 0)</f>
        <v>11/14/2019</v>
      </c>
      <c r="T1999" t="s">
        <v>439</v>
      </c>
    </row>
    <row r="2000" spans="1:20" x14ac:dyDescent="0.3">
      <c r="A2000">
        <v>1291</v>
      </c>
      <c r="B2000">
        <v>123976</v>
      </c>
      <c r="C2000">
        <v>1</v>
      </c>
      <c r="D2000">
        <v>0</v>
      </c>
      <c r="E2000">
        <v>36</v>
      </c>
      <c r="F2000">
        <v>0</v>
      </c>
      <c r="G2000">
        <v>0</v>
      </c>
      <c r="H2000">
        <v>0</v>
      </c>
      <c r="I2000">
        <v>1</v>
      </c>
      <c r="J2000">
        <v>0</v>
      </c>
      <c r="K2000">
        <v>0</v>
      </c>
      <c r="L2000">
        <v>1</v>
      </c>
      <c r="M2000">
        <v>0</v>
      </c>
      <c r="N2000">
        <v>0</v>
      </c>
      <c r="O2000" t="str" cm="1">
        <f t="array" ref="O2000">_xlfn.IFS(Table1[[#This Row],[Divorced]]=1, "Divorced", Table1[[#This Row],[Married]]=1, "Married", Table1[[#This Row],[Single]]=1, "Single", Table1[[#This Row],[Together]]=1, "Together", Table1[[#This Row],[Widow]]=1, "Widow")</f>
        <v>Together</v>
      </c>
      <c r="P2000" t="str" cm="1">
        <f t="array" ref="P2000">_xlfn.IFS(Table1[[#This Row],[Basic]]=1, "Basic", Table1[[#This Row],[Graduate]]=1, "Graduate", Table1[[#This Row],[Master]]=1, "Master", Table1[[#This Row],[PhD]]=1, "PhD", AND(Table1[[#This Row],[Basic]]=0, Table1[[#This Row],[Graduate]]=0, Table1[[#This Row],[Master]]=0, Table1[[#This Row],[PhD]]=0), "NA")</f>
        <v>Graduate</v>
      </c>
      <c r="Q2000" t="e">
        <f>_xlfn.XLOOKUP(Table1[[#This Row],[ID]], Table2[ID],#REF!, "Not Found", 0)</f>
        <v>#REF!</v>
      </c>
      <c r="R2000" t="e">
        <f>_xlfn.XLOOKUP(Table1[[#This Row],[ID]], Table2[ID],#REF!, "Not Found", 0)</f>
        <v>#REF!</v>
      </c>
      <c r="S2000" s="3">
        <f>_xlfn.XLOOKUP(Table1[[#This Row],[ID]], Table2[ID], Table2[Enrollment], "Not Found", 0)</f>
        <v>43867</v>
      </c>
      <c r="T2000" t="s">
        <v>437</v>
      </c>
    </row>
    <row r="2001" spans="1:20" x14ac:dyDescent="0.3">
      <c r="A2001">
        <v>1136</v>
      </c>
      <c r="B2001">
        <v>123957</v>
      </c>
      <c r="C2001">
        <v>1</v>
      </c>
      <c r="D2001">
        <v>0</v>
      </c>
      <c r="E2001">
        <v>45</v>
      </c>
      <c r="F2001">
        <v>0</v>
      </c>
      <c r="G2001">
        <v>1</v>
      </c>
      <c r="H2001">
        <v>0</v>
      </c>
      <c r="I2001">
        <v>0</v>
      </c>
      <c r="J2001">
        <v>0</v>
      </c>
      <c r="K2001">
        <v>0</v>
      </c>
      <c r="L2001">
        <v>1</v>
      </c>
      <c r="M2001">
        <v>0</v>
      </c>
      <c r="N2001">
        <v>0</v>
      </c>
      <c r="O2001" t="str" cm="1">
        <f t="array" ref="O2001">_xlfn.IFS(Table1[[#This Row],[Divorced]]=1, "Divorced", Table1[[#This Row],[Married]]=1, "Married", Table1[[#This Row],[Single]]=1, "Single", Table1[[#This Row],[Together]]=1, "Together", Table1[[#This Row],[Widow]]=1, "Widow")</f>
        <v>Married</v>
      </c>
      <c r="P2001" t="str" cm="1">
        <f t="array" ref="P2001">_xlfn.IFS(Table1[[#This Row],[Basic]]=1, "Basic", Table1[[#This Row],[Graduate]]=1, "Graduate", Table1[[#This Row],[Master]]=1, "Master", Table1[[#This Row],[PhD]]=1, "PhD", AND(Table1[[#This Row],[Basic]]=0, Table1[[#This Row],[Graduate]]=0, Table1[[#This Row],[Master]]=0, Table1[[#This Row],[PhD]]=0), "NA")</f>
        <v>Graduate</v>
      </c>
      <c r="Q2001" t="e">
        <f>_xlfn.XLOOKUP(Table1[[#This Row],[ID]], Table2[ID],#REF!, "Not Found", 0)</f>
        <v>#REF!</v>
      </c>
      <c r="R2001" t="e">
        <f>_xlfn.XLOOKUP(Table1[[#This Row],[ID]], Table2[ID],#REF!, "Not Found", 0)</f>
        <v>#REF!</v>
      </c>
      <c r="S2001" s="3">
        <f>_xlfn.XLOOKUP(Table1[[#This Row],[ID]], Table2[ID], Table2[Enrollment], "Not Found", 0)</f>
        <v>43559</v>
      </c>
      <c r="T2001" t="s">
        <v>438</v>
      </c>
    </row>
    <row r="2002" spans="1:20" x14ac:dyDescent="0.3">
      <c r="A2002">
        <v>1580</v>
      </c>
      <c r="B2002">
        <v>123910</v>
      </c>
      <c r="C2002">
        <v>1</v>
      </c>
      <c r="D2002">
        <v>0</v>
      </c>
      <c r="E2002">
        <v>51</v>
      </c>
      <c r="F2002">
        <v>1</v>
      </c>
      <c r="G2002">
        <v>0</v>
      </c>
      <c r="H2002">
        <v>0</v>
      </c>
      <c r="I2002">
        <v>0</v>
      </c>
      <c r="J2002">
        <v>0</v>
      </c>
      <c r="K2002">
        <v>0</v>
      </c>
      <c r="L2002">
        <v>1</v>
      </c>
      <c r="M2002">
        <v>0</v>
      </c>
      <c r="N2002">
        <v>0</v>
      </c>
      <c r="O2002" t="str" cm="1">
        <f t="array" ref="O2002">_xlfn.IFS(Table1[[#This Row],[Divorced]]=1, "Divorced", Table1[[#This Row],[Married]]=1, "Married", Table1[[#This Row],[Single]]=1, "Single", Table1[[#This Row],[Together]]=1, "Together", Table1[[#This Row],[Widow]]=1, "Widow")</f>
        <v>Divorced</v>
      </c>
      <c r="P2002" t="str" cm="1">
        <f t="array" ref="P2002">_xlfn.IFS(Table1[[#This Row],[Basic]]=1, "Basic", Table1[[#This Row],[Graduate]]=1, "Graduate", Table1[[#This Row],[Master]]=1, "Master", Table1[[#This Row],[PhD]]=1, "PhD", AND(Table1[[#This Row],[Basic]]=0, Table1[[#This Row],[Graduate]]=0, Table1[[#This Row],[Master]]=0, Table1[[#This Row],[PhD]]=0), "NA")</f>
        <v>Graduate</v>
      </c>
      <c r="Q2002" t="e">
        <f>_xlfn.XLOOKUP(Table1[[#This Row],[ID]], Table2[ID],#REF!, "Not Found", 0)</f>
        <v>#REF!</v>
      </c>
      <c r="R2002" t="e">
        <f>_xlfn.XLOOKUP(Table1[[#This Row],[ID]], Table2[ID],#REF!, "Not Found", 0)</f>
        <v>#REF!</v>
      </c>
      <c r="S2002" s="3">
        <f>_xlfn.XLOOKUP(Table1[[#This Row],[ID]], Table2[ID], Table2[Enrollment], "Not Found", 0)</f>
        <v>43500</v>
      </c>
      <c r="T2002" t="s">
        <v>438</v>
      </c>
    </row>
    <row r="2003" spans="1:20" x14ac:dyDescent="0.3">
      <c r="A2003">
        <v>2850</v>
      </c>
      <c r="B2003">
        <v>123830</v>
      </c>
      <c r="C2003">
        <v>0</v>
      </c>
      <c r="D2003">
        <v>0</v>
      </c>
      <c r="E2003">
        <v>33</v>
      </c>
      <c r="F2003">
        <v>0</v>
      </c>
      <c r="G2003">
        <v>0</v>
      </c>
      <c r="H2003">
        <v>1</v>
      </c>
      <c r="I2003">
        <v>0</v>
      </c>
      <c r="J2003">
        <v>0</v>
      </c>
      <c r="K2003">
        <v>0</v>
      </c>
      <c r="L2003">
        <v>0</v>
      </c>
      <c r="M2003">
        <v>0</v>
      </c>
      <c r="N2003">
        <v>0</v>
      </c>
      <c r="O2003" t="str" cm="1">
        <f t="array" ref="O2003">_xlfn.IFS(Table1[[#This Row],[Divorced]]=1, "Divorced", Table1[[#This Row],[Married]]=1, "Married", Table1[[#This Row],[Single]]=1, "Single", Table1[[#This Row],[Together]]=1, "Together", Table1[[#This Row],[Widow]]=1, "Widow")</f>
        <v>Single</v>
      </c>
      <c r="P2003" t="str" cm="1">
        <f t="array" ref="P2003">_xlfn.IFS(Table1[[#This Row],[Basic]]=1, "Basic", Table1[[#This Row],[Graduate]]=1, "Graduate", Table1[[#This Row],[Master]]=1, "Master", Table1[[#This Row],[PhD]]=1, "PhD", AND(Table1[[#This Row],[Basic]]=0, Table1[[#This Row],[Graduate]]=0, Table1[[#This Row],[Master]]=0, Table1[[#This Row],[PhD]]=0), "NA")</f>
        <v>NA</v>
      </c>
      <c r="Q2003" t="e">
        <f>_xlfn.XLOOKUP(Table1[[#This Row],[ID]], Table2[ID],#REF!, "Not Found", 0)</f>
        <v>#REF!</v>
      </c>
      <c r="R2003" t="e">
        <f>_xlfn.XLOOKUP(Table1[[#This Row],[ID]], Table2[ID],#REF!, "Not Found", 0)</f>
        <v>#REF!</v>
      </c>
      <c r="S2003" s="3" t="str">
        <f>_xlfn.XLOOKUP(Table1[[#This Row],[ID]], Table2[ID], Table2[Enrollment], "Not Found", 0)</f>
        <v>7/14/2020</v>
      </c>
      <c r="T2003" t="s">
        <v>436</v>
      </c>
    </row>
    <row r="2004" spans="1:20" x14ac:dyDescent="0.3">
      <c r="A2004">
        <v>2917</v>
      </c>
      <c r="B2004">
        <v>123763</v>
      </c>
      <c r="C2004">
        <v>1</v>
      </c>
      <c r="D2004">
        <v>0</v>
      </c>
      <c r="E2004">
        <v>43</v>
      </c>
      <c r="F2004">
        <v>0</v>
      </c>
      <c r="G2004">
        <v>0</v>
      </c>
      <c r="H2004">
        <v>1</v>
      </c>
      <c r="I2004">
        <v>0</v>
      </c>
      <c r="J2004">
        <v>0</v>
      </c>
      <c r="K2004">
        <v>0</v>
      </c>
      <c r="L2004">
        <v>1</v>
      </c>
      <c r="M2004">
        <v>0</v>
      </c>
      <c r="N2004">
        <v>0</v>
      </c>
      <c r="O2004" t="str" cm="1">
        <f t="array" ref="O2004">_xlfn.IFS(Table1[[#This Row],[Divorced]]=1, "Divorced", Table1[[#This Row],[Married]]=1, "Married", Table1[[#This Row],[Single]]=1, "Single", Table1[[#This Row],[Together]]=1, "Together", Table1[[#This Row],[Widow]]=1, "Widow")</f>
        <v>Single</v>
      </c>
      <c r="P2004" t="str" cm="1">
        <f t="array" ref="P2004">_xlfn.IFS(Table1[[#This Row],[Basic]]=1, "Basic", Table1[[#This Row],[Graduate]]=1, "Graduate", Table1[[#This Row],[Master]]=1, "Master", Table1[[#This Row],[PhD]]=1, "PhD", AND(Table1[[#This Row],[Basic]]=0, Table1[[#This Row],[Graduate]]=0, Table1[[#This Row],[Master]]=0, Table1[[#This Row],[PhD]]=0), "NA")</f>
        <v>Graduate</v>
      </c>
      <c r="Q2004" t="e">
        <f>_xlfn.XLOOKUP(Table1[[#This Row],[ID]], Table2[ID],#REF!, "Not Found", 0)</f>
        <v>#REF!</v>
      </c>
      <c r="R2004" t="e">
        <f>_xlfn.XLOOKUP(Table1[[#This Row],[ID]], Table2[ID],#REF!, "Not Found", 0)</f>
        <v>#REF!</v>
      </c>
      <c r="S2004" s="3">
        <f>_xlfn.XLOOKUP(Table1[[#This Row],[ID]], Table2[ID], Table2[Enrollment], "Not Found", 0)</f>
        <v>43800</v>
      </c>
      <c r="T2004" t="s">
        <v>437</v>
      </c>
    </row>
    <row r="2005" spans="1:20" x14ac:dyDescent="0.3">
      <c r="A2005">
        <v>2255</v>
      </c>
      <c r="B2005">
        <v>123748</v>
      </c>
      <c r="C2005">
        <v>1</v>
      </c>
      <c r="D2005">
        <v>0</v>
      </c>
      <c r="E2005">
        <v>52</v>
      </c>
      <c r="F2005">
        <v>1</v>
      </c>
      <c r="G2005">
        <v>0</v>
      </c>
      <c r="H2005">
        <v>0</v>
      </c>
      <c r="I2005">
        <v>0</v>
      </c>
      <c r="J2005">
        <v>0</v>
      </c>
      <c r="K2005">
        <v>0</v>
      </c>
      <c r="L2005">
        <v>0</v>
      </c>
      <c r="M2005">
        <v>1</v>
      </c>
      <c r="N2005">
        <v>0</v>
      </c>
      <c r="O2005" t="str" cm="1">
        <f t="array" ref="O2005">_xlfn.IFS(Table1[[#This Row],[Divorced]]=1, "Divorced", Table1[[#This Row],[Married]]=1, "Married", Table1[[#This Row],[Single]]=1, "Single", Table1[[#This Row],[Together]]=1, "Together", Table1[[#This Row],[Widow]]=1, "Widow")</f>
        <v>Divorced</v>
      </c>
      <c r="P2005" t="str" cm="1">
        <f t="array" ref="P2005">_xlfn.IFS(Table1[[#This Row],[Basic]]=1, "Basic", Table1[[#This Row],[Graduate]]=1, "Graduate", Table1[[#This Row],[Master]]=1, "Master", Table1[[#This Row],[PhD]]=1, "PhD", AND(Table1[[#This Row],[Basic]]=0, Table1[[#This Row],[Graduate]]=0, Table1[[#This Row],[Master]]=0, Table1[[#This Row],[PhD]]=0), "NA")</f>
        <v>Master</v>
      </c>
      <c r="Q2005" t="e">
        <f>_xlfn.XLOOKUP(Table1[[#This Row],[ID]], Table2[ID],#REF!, "Not Found", 0)</f>
        <v>#REF!</v>
      </c>
      <c r="R2005" t="e">
        <f>_xlfn.XLOOKUP(Table1[[#This Row],[ID]], Table2[ID],#REF!, "Not Found", 0)</f>
        <v>#REF!</v>
      </c>
      <c r="S2005" s="3" t="str">
        <f>_xlfn.XLOOKUP(Table1[[#This Row],[ID]], Table2[ID], Table2[Enrollment], "Not Found", 0)</f>
        <v>4/28/2019</v>
      </c>
      <c r="T2005" t="s">
        <v>434</v>
      </c>
    </row>
    <row r="2006" spans="1:20" x14ac:dyDescent="0.3">
      <c r="A2006">
        <v>2155</v>
      </c>
      <c r="B2006">
        <v>123724</v>
      </c>
      <c r="C2006">
        <v>1</v>
      </c>
      <c r="D2006">
        <v>0</v>
      </c>
      <c r="E2006">
        <v>41</v>
      </c>
      <c r="F2006">
        <v>0</v>
      </c>
      <c r="G2006">
        <v>0</v>
      </c>
      <c r="H2006">
        <v>0</v>
      </c>
      <c r="I2006">
        <v>1</v>
      </c>
      <c r="J2006">
        <v>0</v>
      </c>
      <c r="K2006">
        <v>1</v>
      </c>
      <c r="L2006">
        <v>0</v>
      </c>
      <c r="M2006">
        <v>0</v>
      </c>
      <c r="N2006">
        <v>0</v>
      </c>
      <c r="O2006" t="str" cm="1">
        <f t="array" ref="O2006">_xlfn.IFS(Table1[[#This Row],[Divorced]]=1, "Divorced", Table1[[#This Row],[Married]]=1, "Married", Table1[[#This Row],[Single]]=1, "Single", Table1[[#This Row],[Together]]=1, "Together", Table1[[#This Row],[Widow]]=1, "Widow")</f>
        <v>Together</v>
      </c>
      <c r="P2006" t="str" cm="1">
        <f t="array" ref="P2006">_xlfn.IFS(Table1[[#This Row],[Basic]]=1, "Basic", Table1[[#This Row],[Graduate]]=1, "Graduate", Table1[[#This Row],[Master]]=1, "Master", Table1[[#This Row],[PhD]]=1, "PhD", AND(Table1[[#This Row],[Basic]]=0, Table1[[#This Row],[Graduate]]=0, Table1[[#This Row],[Master]]=0, Table1[[#This Row],[PhD]]=0), "NA")</f>
        <v>Basic</v>
      </c>
      <c r="Q2006" t="e">
        <f>_xlfn.XLOOKUP(Table1[[#This Row],[ID]], Table2[ID],#REF!, "Not Found", 0)</f>
        <v>#REF!</v>
      </c>
      <c r="R2006" t="e">
        <f>_xlfn.XLOOKUP(Table1[[#This Row],[ID]], Table2[ID],#REF!, "Not Found", 0)</f>
        <v>#REF!</v>
      </c>
      <c r="S2006" s="3" t="str">
        <f>_xlfn.XLOOKUP(Table1[[#This Row],[ID]], Table2[ID], Table2[Enrollment], "Not Found", 0)</f>
        <v>6/15/2019</v>
      </c>
      <c r="T2006" t="s">
        <v>437</v>
      </c>
    </row>
    <row r="2007" spans="1:20" x14ac:dyDescent="0.3">
      <c r="A2007">
        <v>1036</v>
      </c>
      <c r="B2007">
        <v>123718</v>
      </c>
      <c r="C2007">
        <v>1</v>
      </c>
      <c r="D2007">
        <v>0</v>
      </c>
      <c r="E2007">
        <v>44</v>
      </c>
      <c r="F2007">
        <v>0</v>
      </c>
      <c r="G2007">
        <v>1</v>
      </c>
      <c r="H2007">
        <v>0</v>
      </c>
      <c r="I2007">
        <v>0</v>
      </c>
      <c r="J2007">
        <v>0</v>
      </c>
      <c r="K2007">
        <v>0</v>
      </c>
      <c r="L2007">
        <v>0</v>
      </c>
      <c r="M2007">
        <v>0</v>
      </c>
      <c r="N2007">
        <v>0</v>
      </c>
      <c r="O2007" t="str" cm="1">
        <f t="array" ref="O2007">_xlfn.IFS(Table1[[#This Row],[Divorced]]=1, "Divorced", Table1[[#This Row],[Married]]=1, "Married", Table1[[#This Row],[Single]]=1, "Single", Table1[[#This Row],[Together]]=1, "Together", Table1[[#This Row],[Widow]]=1, "Widow")</f>
        <v>Married</v>
      </c>
      <c r="P2007" t="str" cm="1">
        <f t="array" ref="P2007">_xlfn.IFS(Table1[[#This Row],[Basic]]=1, "Basic", Table1[[#This Row],[Graduate]]=1, "Graduate", Table1[[#This Row],[Master]]=1, "Master", Table1[[#This Row],[PhD]]=1, "PhD", AND(Table1[[#This Row],[Basic]]=0, Table1[[#This Row],[Graduate]]=0, Table1[[#This Row],[Master]]=0, Table1[[#This Row],[PhD]]=0), "NA")</f>
        <v>NA</v>
      </c>
      <c r="Q2007" t="e">
        <f>_xlfn.XLOOKUP(Table1[[#This Row],[ID]], Table2[ID],#REF!, "Not Found", 0)</f>
        <v>#REF!</v>
      </c>
      <c r="R2007" t="e">
        <f>_xlfn.XLOOKUP(Table1[[#This Row],[ID]], Table2[ID],#REF!, "Not Found", 0)</f>
        <v>#REF!</v>
      </c>
      <c r="S2007" s="3">
        <f>_xlfn.XLOOKUP(Table1[[#This Row],[ID]], Table2[ID], Table2[Enrollment], "Not Found", 0)</f>
        <v>44014</v>
      </c>
      <c r="T2007" t="s">
        <v>439</v>
      </c>
    </row>
    <row r="2008" spans="1:20" x14ac:dyDescent="0.3">
      <c r="A2008">
        <v>1224</v>
      </c>
      <c r="B2008">
        <v>123661</v>
      </c>
      <c r="C2008">
        <v>1</v>
      </c>
      <c r="D2008">
        <v>0</v>
      </c>
      <c r="E2008">
        <v>38</v>
      </c>
      <c r="F2008">
        <v>0</v>
      </c>
      <c r="G2008">
        <v>0</v>
      </c>
      <c r="H2008">
        <v>0</v>
      </c>
      <c r="I2008">
        <v>1</v>
      </c>
      <c r="J2008">
        <v>0</v>
      </c>
      <c r="K2008">
        <v>0</v>
      </c>
      <c r="L2008">
        <v>0</v>
      </c>
      <c r="M2008">
        <v>1</v>
      </c>
      <c r="N2008">
        <v>0</v>
      </c>
      <c r="O2008" t="str" cm="1">
        <f t="array" ref="O2008">_xlfn.IFS(Table1[[#This Row],[Divorced]]=1, "Divorced", Table1[[#This Row],[Married]]=1, "Married", Table1[[#This Row],[Single]]=1, "Single", Table1[[#This Row],[Together]]=1, "Together", Table1[[#This Row],[Widow]]=1, "Widow")</f>
        <v>Together</v>
      </c>
      <c r="P2008" t="str" cm="1">
        <f t="array" ref="P2008">_xlfn.IFS(Table1[[#This Row],[Basic]]=1, "Basic", Table1[[#This Row],[Graduate]]=1, "Graduate", Table1[[#This Row],[Master]]=1, "Master", Table1[[#This Row],[PhD]]=1, "PhD", AND(Table1[[#This Row],[Basic]]=0, Table1[[#This Row],[Graduate]]=0, Table1[[#This Row],[Master]]=0, Table1[[#This Row],[PhD]]=0), "NA")</f>
        <v>Master</v>
      </c>
      <c r="Q2008" t="e">
        <f>_xlfn.XLOOKUP(Table1[[#This Row],[ID]], Table2[ID],#REF!, "Not Found", 0)</f>
        <v>#REF!</v>
      </c>
      <c r="R2008" t="e">
        <f>_xlfn.XLOOKUP(Table1[[#This Row],[ID]], Table2[ID],#REF!, "Not Found", 0)</f>
        <v>#REF!</v>
      </c>
      <c r="S2008" s="3">
        <f>_xlfn.XLOOKUP(Table1[[#This Row],[ID]], Table2[ID], Table2[Enrollment], "Not Found", 0)</f>
        <v>44109</v>
      </c>
      <c r="T2008" t="s">
        <v>436</v>
      </c>
    </row>
    <row r="2009" spans="1:20" x14ac:dyDescent="0.3">
      <c r="A2009">
        <v>1086</v>
      </c>
      <c r="B2009">
        <v>123626</v>
      </c>
      <c r="C2009">
        <v>1</v>
      </c>
      <c r="D2009">
        <v>0</v>
      </c>
      <c r="E2009">
        <v>50</v>
      </c>
      <c r="F2009">
        <v>0</v>
      </c>
      <c r="G2009">
        <v>1</v>
      </c>
      <c r="H2009">
        <v>0</v>
      </c>
      <c r="I2009">
        <v>0</v>
      </c>
      <c r="J2009">
        <v>0</v>
      </c>
      <c r="K2009">
        <v>0</v>
      </c>
      <c r="L2009">
        <v>0</v>
      </c>
      <c r="M2009">
        <v>0</v>
      </c>
      <c r="N2009">
        <v>1</v>
      </c>
      <c r="O2009" t="str" cm="1">
        <f t="array" ref="O2009">_xlfn.IFS(Table1[[#This Row],[Divorced]]=1, "Divorced", Table1[[#This Row],[Married]]=1, "Married", Table1[[#This Row],[Single]]=1, "Single", Table1[[#This Row],[Together]]=1, "Together", Table1[[#This Row],[Widow]]=1, "Widow")</f>
        <v>Married</v>
      </c>
      <c r="P2009" t="str" cm="1">
        <f t="array" ref="P2009">_xlfn.IFS(Table1[[#This Row],[Basic]]=1, "Basic", Table1[[#This Row],[Graduate]]=1, "Graduate", Table1[[#This Row],[Master]]=1, "Master", Table1[[#This Row],[PhD]]=1, "PhD", AND(Table1[[#This Row],[Basic]]=0, Table1[[#This Row],[Graduate]]=0, Table1[[#This Row],[Master]]=0, Table1[[#This Row],[PhD]]=0), "NA")</f>
        <v>PhD</v>
      </c>
      <c r="Q2009" t="e">
        <f>_xlfn.XLOOKUP(Table1[[#This Row],[ID]], Table2[ID],#REF!, "Not Found", 0)</f>
        <v>#REF!</v>
      </c>
      <c r="R2009" t="e">
        <f>_xlfn.XLOOKUP(Table1[[#This Row],[ID]], Table2[ID],#REF!, "Not Found", 0)</f>
        <v>#REF!</v>
      </c>
      <c r="S2009" s="3" t="str">
        <f>_xlfn.XLOOKUP(Table1[[#This Row],[ID]], Table2[ID], Table2[Enrollment], "Not Found", 0)</f>
        <v>10/28/2020</v>
      </c>
      <c r="T2009" t="s">
        <v>436</v>
      </c>
    </row>
    <row r="2010" spans="1:20" x14ac:dyDescent="0.3">
      <c r="A2010">
        <v>1394</v>
      </c>
      <c r="B2010">
        <v>123616</v>
      </c>
      <c r="C2010">
        <v>1</v>
      </c>
      <c r="D2010">
        <v>0</v>
      </c>
      <c r="E2010">
        <v>38</v>
      </c>
      <c r="F2010">
        <v>0</v>
      </c>
      <c r="G2010">
        <v>0</v>
      </c>
      <c r="H2010">
        <v>1</v>
      </c>
      <c r="I2010">
        <v>0</v>
      </c>
      <c r="J2010">
        <v>0</v>
      </c>
      <c r="K2010">
        <v>0</v>
      </c>
      <c r="L2010">
        <v>0</v>
      </c>
      <c r="M2010">
        <v>0</v>
      </c>
      <c r="N2010">
        <v>0</v>
      </c>
      <c r="O2010" t="str" cm="1">
        <f t="array" ref="O2010">_xlfn.IFS(Table1[[#This Row],[Divorced]]=1, "Divorced", Table1[[#This Row],[Married]]=1, "Married", Table1[[#This Row],[Single]]=1, "Single", Table1[[#This Row],[Together]]=1, "Together", Table1[[#This Row],[Widow]]=1, "Widow")</f>
        <v>Single</v>
      </c>
      <c r="P2010" t="str" cm="1">
        <f t="array" ref="P2010">_xlfn.IFS(Table1[[#This Row],[Basic]]=1, "Basic", Table1[[#This Row],[Graduate]]=1, "Graduate", Table1[[#This Row],[Master]]=1, "Master", Table1[[#This Row],[PhD]]=1, "PhD", AND(Table1[[#This Row],[Basic]]=0, Table1[[#This Row],[Graduate]]=0, Table1[[#This Row],[Master]]=0, Table1[[#This Row],[PhD]]=0), "NA")</f>
        <v>NA</v>
      </c>
      <c r="Q2010" t="e">
        <f>_xlfn.XLOOKUP(Table1[[#This Row],[ID]], Table2[ID],#REF!, "Not Found", 0)</f>
        <v>#REF!</v>
      </c>
      <c r="R2010" t="e">
        <f>_xlfn.XLOOKUP(Table1[[#This Row],[ID]], Table2[ID],#REF!, "Not Found", 0)</f>
        <v>#REF!</v>
      </c>
      <c r="S2010" s="3" t="str">
        <f>_xlfn.XLOOKUP(Table1[[#This Row],[ID]], Table2[ID], Table2[Enrollment], "Not Found", 0)</f>
        <v>4/24/2019</v>
      </c>
      <c r="T2010" t="s">
        <v>438</v>
      </c>
    </row>
    <row r="2011" spans="1:20" x14ac:dyDescent="0.3">
      <c r="A2011">
        <v>1077</v>
      </c>
      <c r="B2011">
        <v>123559</v>
      </c>
      <c r="C2011">
        <v>1</v>
      </c>
      <c r="D2011">
        <v>0</v>
      </c>
      <c r="E2011">
        <v>47</v>
      </c>
      <c r="F2011">
        <v>0</v>
      </c>
      <c r="G2011">
        <v>1</v>
      </c>
      <c r="H2011">
        <v>0</v>
      </c>
      <c r="I2011">
        <v>0</v>
      </c>
      <c r="J2011">
        <v>0</v>
      </c>
      <c r="K2011">
        <v>0</v>
      </c>
      <c r="L2011">
        <v>0</v>
      </c>
      <c r="M2011">
        <v>0</v>
      </c>
      <c r="N2011">
        <v>0</v>
      </c>
      <c r="O2011" t="str" cm="1">
        <f t="array" ref="O2011">_xlfn.IFS(Table1[[#This Row],[Divorced]]=1, "Divorced", Table1[[#This Row],[Married]]=1, "Married", Table1[[#This Row],[Single]]=1, "Single", Table1[[#This Row],[Together]]=1, "Together", Table1[[#This Row],[Widow]]=1, "Widow")</f>
        <v>Married</v>
      </c>
      <c r="P2011" t="str" cm="1">
        <f t="array" ref="P2011">_xlfn.IFS(Table1[[#This Row],[Basic]]=1, "Basic", Table1[[#This Row],[Graduate]]=1, "Graduate", Table1[[#This Row],[Master]]=1, "Master", Table1[[#This Row],[PhD]]=1, "PhD", AND(Table1[[#This Row],[Basic]]=0, Table1[[#This Row],[Graduate]]=0, Table1[[#This Row],[Master]]=0, Table1[[#This Row],[PhD]]=0), "NA")</f>
        <v>NA</v>
      </c>
      <c r="Q2011" t="e">
        <f>_xlfn.XLOOKUP(Table1[[#This Row],[ID]], Table2[ID],#REF!, "Not Found", 0)</f>
        <v>#REF!</v>
      </c>
      <c r="R2011" t="e">
        <f>_xlfn.XLOOKUP(Table1[[#This Row],[ID]], Table2[ID],#REF!, "Not Found", 0)</f>
        <v>#REF!</v>
      </c>
      <c r="S2011" s="3">
        <f>_xlfn.XLOOKUP(Table1[[#This Row],[ID]], Table2[ID], Table2[Enrollment], "Not Found", 0)</f>
        <v>43689</v>
      </c>
      <c r="T2011" t="s">
        <v>435</v>
      </c>
    </row>
    <row r="2012" spans="1:20" x14ac:dyDescent="0.3">
      <c r="A2012">
        <v>3111</v>
      </c>
      <c r="B2012">
        <v>123539</v>
      </c>
      <c r="C2012">
        <v>0</v>
      </c>
      <c r="D2012">
        <v>0</v>
      </c>
      <c r="E2012">
        <v>63</v>
      </c>
      <c r="F2012">
        <v>0</v>
      </c>
      <c r="G2012">
        <v>1</v>
      </c>
      <c r="H2012">
        <v>0</v>
      </c>
      <c r="I2012">
        <v>0</v>
      </c>
      <c r="J2012">
        <v>0</v>
      </c>
      <c r="K2012">
        <v>0</v>
      </c>
      <c r="L2012">
        <v>1</v>
      </c>
      <c r="M2012">
        <v>0</v>
      </c>
      <c r="N2012">
        <v>0</v>
      </c>
      <c r="O2012" t="str" cm="1">
        <f t="array" ref="O2012">_xlfn.IFS(Table1[[#This Row],[Divorced]]=1, "Divorced", Table1[[#This Row],[Married]]=1, "Married", Table1[[#This Row],[Single]]=1, "Single", Table1[[#This Row],[Together]]=1, "Together", Table1[[#This Row],[Widow]]=1, "Widow")</f>
        <v>Married</v>
      </c>
      <c r="P2012" t="str" cm="1">
        <f t="array" ref="P2012">_xlfn.IFS(Table1[[#This Row],[Basic]]=1, "Basic", Table1[[#This Row],[Graduate]]=1, "Graduate", Table1[[#This Row],[Master]]=1, "Master", Table1[[#This Row],[PhD]]=1, "PhD", AND(Table1[[#This Row],[Basic]]=0, Table1[[#This Row],[Graduate]]=0, Table1[[#This Row],[Master]]=0, Table1[[#This Row],[PhD]]=0), "NA")</f>
        <v>Graduate</v>
      </c>
      <c r="Q2012" t="e">
        <f>_xlfn.XLOOKUP(Table1[[#This Row],[ID]], Table2[ID],#REF!, "Not Found", 0)</f>
        <v>#REF!</v>
      </c>
      <c r="R2012" t="e">
        <f>_xlfn.XLOOKUP(Table1[[#This Row],[ID]], Table2[ID],#REF!, "Not Found", 0)</f>
        <v>#REF!</v>
      </c>
      <c r="S2012" s="3">
        <f>_xlfn.XLOOKUP(Table1[[#This Row],[ID]], Table2[ID], Table2[Enrollment], "Not Found", 0)</f>
        <v>43929</v>
      </c>
      <c r="T2012" t="s">
        <v>435</v>
      </c>
    </row>
    <row r="2013" spans="1:20" x14ac:dyDescent="0.3">
      <c r="A2013">
        <v>2658</v>
      </c>
      <c r="B2013">
        <v>123536</v>
      </c>
      <c r="C2013">
        <v>1</v>
      </c>
      <c r="D2013">
        <v>0</v>
      </c>
      <c r="E2013">
        <v>37</v>
      </c>
      <c r="F2013">
        <v>0</v>
      </c>
      <c r="G2013">
        <v>1</v>
      </c>
      <c r="H2013">
        <v>0</v>
      </c>
      <c r="I2013">
        <v>0</v>
      </c>
      <c r="J2013">
        <v>0</v>
      </c>
      <c r="K2013">
        <v>0</v>
      </c>
      <c r="L2013">
        <v>0</v>
      </c>
      <c r="M2013">
        <v>0</v>
      </c>
      <c r="N2013">
        <v>1</v>
      </c>
      <c r="O2013" t="str" cm="1">
        <f t="array" ref="O2013">_xlfn.IFS(Table1[[#This Row],[Divorced]]=1, "Divorced", Table1[[#This Row],[Married]]=1, "Married", Table1[[#This Row],[Single]]=1, "Single", Table1[[#This Row],[Together]]=1, "Together", Table1[[#This Row],[Widow]]=1, "Widow")</f>
        <v>Married</v>
      </c>
      <c r="P2013" t="str" cm="1">
        <f t="array" ref="P2013">_xlfn.IFS(Table1[[#This Row],[Basic]]=1, "Basic", Table1[[#This Row],[Graduate]]=1, "Graduate", Table1[[#This Row],[Master]]=1, "Master", Table1[[#This Row],[PhD]]=1, "PhD", AND(Table1[[#This Row],[Basic]]=0, Table1[[#This Row],[Graduate]]=0, Table1[[#This Row],[Master]]=0, Table1[[#This Row],[PhD]]=0), "NA")</f>
        <v>PhD</v>
      </c>
      <c r="Q2013" t="e">
        <f>_xlfn.XLOOKUP(Table1[[#This Row],[ID]], Table2[ID],#REF!, "Not Found", 0)</f>
        <v>#REF!</v>
      </c>
      <c r="R2013" t="e">
        <f>_xlfn.XLOOKUP(Table1[[#This Row],[ID]], Table2[ID],#REF!, "Not Found", 0)</f>
        <v>#REF!</v>
      </c>
      <c r="S2013" s="3">
        <f>_xlfn.XLOOKUP(Table1[[#This Row],[ID]], Table2[ID], Table2[Enrollment], "Not Found", 0)</f>
        <v>44054</v>
      </c>
      <c r="T2013" t="s">
        <v>436</v>
      </c>
    </row>
    <row r="2014" spans="1:20" x14ac:dyDescent="0.3">
      <c r="A2014">
        <v>2702</v>
      </c>
      <c r="B2014">
        <v>123529</v>
      </c>
      <c r="C2014">
        <v>0</v>
      </c>
      <c r="D2014">
        <v>1</v>
      </c>
      <c r="E2014">
        <v>55</v>
      </c>
      <c r="F2014">
        <v>0</v>
      </c>
      <c r="G2014">
        <v>0</v>
      </c>
      <c r="H2014">
        <v>1</v>
      </c>
      <c r="I2014">
        <v>0</v>
      </c>
      <c r="J2014">
        <v>0</v>
      </c>
      <c r="K2014">
        <v>1</v>
      </c>
      <c r="L2014">
        <v>0</v>
      </c>
      <c r="M2014">
        <v>0</v>
      </c>
      <c r="N2014">
        <v>0</v>
      </c>
      <c r="O2014" t="str" cm="1">
        <f t="array" ref="O2014">_xlfn.IFS(Table1[[#This Row],[Divorced]]=1, "Divorced", Table1[[#This Row],[Married]]=1, "Married", Table1[[#This Row],[Single]]=1, "Single", Table1[[#This Row],[Together]]=1, "Together", Table1[[#This Row],[Widow]]=1, "Widow")</f>
        <v>Single</v>
      </c>
      <c r="P2014" t="str" cm="1">
        <f t="array" ref="P2014">_xlfn.IFS(Table1[[#This Row],[Basic]]=1, "Basic", Table1[[#This Row],[Graduate]]=1, "Graduate", Table1[[#This Row],[Master]]=1, "Master", Table1[[#This Row],[PhD]]=1, "PhD", AND(Table1[[#This Row],[Basic]]=0, Table1[[#This Row],[Graduate]]=0, Table1[[#This Row],[Master]]=0, Table1[[#This Row],[PhD]]=0), "NA")</f>
        <v>Basic</v>
      </c>
      <c r="Q2014" t="e">
        <f>_xlfn.XLOOKUP(Table1[[#This Row],[ID]], Table2[ID],#REF!, "Not Found", 0)</f>
        <v>#REF!</v>
      </c>
      <c r="R2014" t="e">
        <f>_xlfn.XLOOKUP(Table1[[#This Row],[ID]], Table2[ID],#REF!, "Not Found", 0)</f>
        <v>#REF!</v>
      </c>
      <c r="S2014" s="3" t="str">
        <f>_xlfn.XLOOKUP(Table1[[#This Row],[ID]], Table2[ID], Table2[Enrollment], "Not Found", 0)</f>
        <v>6/14/2019</v>
      </c>
      <c r="T2014" t="s">
        <v>438</v>
      </c>
    </row>
    <row r="2015" spans="1:20" x14ac:dyDescent="0.3">
      <c r="A2015">
        <v>3030</v>
      </c>
      <c r="B2015">
        <v>123478</v>
      </c>
      <c r="C2015">
        <v>0</v>
      </c>
      <c r="D2015">
        <v>0</v>
      </c>
      <c r="E2015">
        <v>55</v>
      </c>
      <c r="F2015">
        <v>0</v>
      </c>
      <c r="G2015">
        <v>0</v>
      </c>
      <c r="H2015">
        <v>1</v>
      </c>
      <c r="I2015">
        <v>0</v>
      </c>
      <c r="J2015">
        <v>0</v>
      </c>
      <c r="K2015">
        <v>0</v>
      </c>
      <c r="L2015">
        <v>1</v>
      </c>
      <c r="M2015">
        <v>0</v>
      </c>
      <c r="N2015">
        <v>0</v>
      </c>
      <c r="O2015" t="str" cm="1">
        <f t="array" ref="O2015">_xlfn.IFS(Table1[[#This Row],[Divorced]]=1, "Divorced", Table1[[#This Row],[Married]]=1, "Married", Table1[[#This Row],[Single]]=1, "Single", Table1[[#This Row],[Together]]=1, "Together", Table1[[#This Row],[Widow]]=1, "Widow")</f>
        <v>Single</v>
      </c>
      <c r="P2015" t="str" cm="1">
        <f t="array" ref="P2015">_xlfn.IFS(Table1[[#This Row],[Basic]]=1, "Basic", Table1[[#This Row],[Graduate]]=1, "Graduate", Table1[[#This Row],[Master]]=1, "Master", Table1[[#This Row],[PhD]]=1, "PhD", AND(Table1[[#This Row],[Basic]]=0, Table1[[#This Row],[Graduate]]=0, Table1[[#This Row],[Master]]=0, Table1[[#This Row],[PhD]]=0), "NA")</f>
        <v>Graduate</v>
      </c>
      <c r="Q2015" t="e">
        <f>_xlfn.XLOOKUP(Table1[[#This Row],[ID]], Table2[ID],#REF!, "Not Found", 0)</f>
        <v>#REF!</v>
      </c>
      <c r="R2015" t="e">
        <f>_xlfn.XLOOKUP(Table1[[#This Row],[ID]], Table2[ID],#REF!, "Not Found", 0)</f>
        <v>#REF!</v>
      </c>
      <c r="S2015" s="3" t="str">
        <f>_xlfn.XLOOKUP(Table1[[#This Row],[ID]], Table2[ID], Table2[Enrollment], "Not Found", 0)</f>
        <v>8/24/2019</v>
      </c>
      <c r="T2015" t="s">
        <v>436</v>
      </c>
    </row>
    <row r="2016" spans="1:20" x14ac:dyDescent="0.3">
      <c r="A2016">
        <v>2963</v>
      </c>
      <c r="B2016">
        <v>123477</v>
      </c>
      <c r="C2016">
        <v>1</v>
      </c>
      <c r="D2016">
        <v>0</v>
      </c>
      <c r="E2016">
        <v>34</v>
      </c>
      <c r="F2016">
        <v>0</v>
      </c>
      <c r="G2016">
        <v>1</v>
      </c>
      <c r="H2016">
        <v>0</v>
      </c>
      <c r="I2016">
        <v>0</v>
      </c>
      <c r="J2016">
        <v>0</v>
      </c>
      <c r="K2016">
        <v>0</v>
      </c>
      <c r="L2016">
        <v>1</v>
      </c>
      <c r="M2016">
        <v>0</v>
      </c>
      <c r="N2016">
        <v>0</v>
      </c>
      <c r="O2016" t="str" cm="1">
        <f t="array" ref="O2016">_xlfn.IFS(Table1[[#This Row],[Divorced]]=1, "Divorced", Table1[[#This Row],[Married]]=1, "Married", Table1[[#This Row],[Single]]=1, "Single", Table1[[#This Row],[Together]]=1, "Together", Table1[[#This Row],[Widow]]=1, "Widow")</f>
        <v>Married</v>
      </c>
      <c r="P2016" t="str" cm="1">
        <f t="array" ref="P2016">_xlfn.IFS(Table1[[#This Row],[Basic]]=1, "Basic", Table1[[#This Row],[Graduate]]=1, "Graduate", Table1[[#This Row],[Master]]=1, "Master", Table1[[#This Row],[PhD]]=1, "PhD", AND(Table1[[#This Row],[Basic]]=0, Table1[[#This Row],[Graduate]]=0, Table1[[#This Row],[Master]]=0, Table1[[#This Row],[PhD]]=0), "NA")</f>
        <v>Graduate</v>
      </c>
      <c r="Q2016" t="e">
        <f>_xlfn.XLOOKUP(Table1[[#This Row],[ID]], Table2[ID],#REF!, "Not Found", 0)</f>
        <v>#REF!</v>
      </c>
      <c r="R2016" t="e">
        <f>_xlfn.XLOOKUP(Table1[[#This Row],[ID]], Table2[ID],#REF!, "Not Found", 0)</f>
        <v>#REF!</v>
      </c>
      <c r="S2016" s="3" t="str">
        <f>_xlfn.XLOOKUP(Table1[[#This Row],[ID]], Table2[ID], Table2[Enrollment], "Not Found", 0)</f>
        <v>3/27/2020</v>
      </c>
      <c r="T2016" t="s">
        <v>434</v>
      </c>
    </row>
    <row r="2017" spans="1:20" x14ac:dyDescent="0.3">
      <c r="A2017">
        <v>1382</v>
      </c>
      <c r="B2017">
        <v>123442</v>
      </c>
      <c r="C2017">
        <v>1</v>
      </c>
      <c r="D2017">
        <v>0</v>
      </c>
      <c r="E2017">
        <v>33</v>
      </c>
      <c r="F2017">
        <v>0</v>
      </c>
      <c r="G2017">
        <v>0</v>
      </c>
      <c r="H2017">
        <v>1</v>
      </c>
      <c r="I2017">
        <v>0</v>
      </c>
      <c r="J2017">
        <v>0</v>
      </c>
      <c r="K2017">
        <v>0</v>
      </c>
      <c r="L2017">
        <v>1</v>
      </c>
      <c r="M2017">
        <v>0</v>
      </c>
      <c r="N2017">
        <v>0</v>
      </c>
      <c r="O2017" t="str" cm="1">
        <f t="array" ref="O2017">_xlfn.IFS(Table1[[#This Row],[Divorced]]=1, "Divorced", Table1[[#This Row],[Married]]=1, "Married", Table1[[#This Row],[Single]]=1, "Single", Table1[[#This Row],[Together]]=1, "Together", Table1[[#This Row],[Widow]]=1, "Widow")</f>
        <v>Single</v>
      </c>
      <c r="P2017" t="str" cm="1">
        <f t="array" ref="P2017">_xlfn.IFS(Table1[[#This Row],[Basic]]=1, "Basic", Table1[[#This Row],[Graduate]]=1, "Graduate", Table1[[#This Row],[Master]]=1, "Master", Table1[[#This Row],[PhD]]=1, "PhD", AND(Table1[[#This Row],[Basic]]=0, Table1[[#This Row],[Graduate]]=0, Table1[[#This Row],[Master]]=0, Table1[[#This Row],[PhD]]=0), "NA")</f>
        <v>Graduate</v>
      </c>
      <c r="Q2017" t="e">
        <f>_xlfn.XLOOKUP(Table1[[#This Row],[ID]], Table2[ID],#REF!, "Not Found", 0)</f>
        <v>#REF!</v>
      </c>
      <c r="R2017" t="e">
        <f>_xlfn.XLOOKUP(Table1[[#This Row],[ID]], Table2[ID],#REF!, "Not Found", 0)</f>
        <v>#REF!</v>
      </c>
      <c r="S2017" s="3" t="str">
        <f>_xlfn.XLOOKUP(Table1[[#This Row],[ID]], Table2[ID], Table2[Enrollment], "Not Found", 0)</f>
        <v>5/31/2019</v>
      </c>
      <c r="T2017" t="s">
        <v>438</v>
      </c>
    </row>
    <row r="2018" spans="1:20" x14ac:dyDescent="0.3">
      <c r="A2018">
        <v>2510</v>
      </c>
      <c r="B2018">
        <v>123331</v>
      </c>
      <c r="C2018">
        <v>1</v>
      </c>
      <c r="D2018">
        <v>0</v>
      </c>
      <c r="E2018">
        <v>32</v>
      </c>
      <c r="F2018">
        <v>0</v>
      </c>
      <c r="G2018">
        <v>1</v>
      </c>
      <c r="H2018">
        <v>0</v>
      </c>
      <c r="I2018">
        <v>0</v>
      </c>
      <c r="J2018">
        <v>0</v>
      </c>
      <c r="K2018">
        <v>0</v>
      </c>
      <c r="L2018">
        <v>0</v>
      </c>
      <c r="M2018">
        <v>0</v>
      </c>
      <c r="N2018">
        <v>0</v>
      </c>
      <c r="O2018" t="str" cm="1">
        <f t="array" ref="O2018">_xlfn.IFS(Table1[[#This Row],[Divorced]]=1, "Divorced", Table1[[#This Row],[Married]]=1, "Married", Table1[[#This Row],[Single]]=1, "Single", Table1[[#This Row],[Together]]=1, "Together", Table1[[#This Row],[Widow]]=1, "Widow")</f>
        <v>Married</v>
      </c>
      <c r="P2018" t="str" cm="1">
        <f t="array" ref="P2018">_xlfn.IFS(Table1[[#This Row],[Basic]]=1, "Basic", Table1[[#This Row],[Graduate]]=1, "Graduate", Table1[[#This Row],[Master]]=1, "Master", Table1[[#This Row],[PhD]]=1, "PhD", AND(Table1[[#This Row],[Basic]]=0, Table1[[#This Row],[Graduate]]=0, Table1[[#This Row],[Master]]=0, Table1[[#This Row],[PhD]]=0), "NA")</f>
        <v>NA</v>
      </c>
      <c r="Q2018" t="e">
        <f>_xlfn.XLOOKUP(Table1[[#This Row],[ID]], Table2[ID],#REF!, "Not Found", 0)</f>
        <v>#REF!</v>
      </c>
      <c r="R2018" t="e">
        <f>_xlfn.XLOOKUP(Table1[[#This Row],[ID]], Table2[ID],#REF!, "Not Found", 0)</f>
        <v>#REF!</v>
      </c>
      <c r="S2018" s="3">
        <f>_xlfn.XLOOKUP(Table1[[#This Row],[ID]], Table2[ID], Table2[Enrollment], "Not Found", 0)</f>
        <v>43710</v>
      </c>
      <c r="T2018" t="s">
        <v>438</v>
      </c>
    </row>
    <row r="2019" spans="1:20" x14ac:dyDescent="0.3">
      <c r="A2019">
        <v>2511</v>
      </c>
      <c r="B2019">
        <v>123331</v>
      </c>
      <c r="C2019">
        <v>1</v>
      </c>
      <c r="D2019">
        <v>0</v>
      </c>
      <c r="E2019">
        <v>32</v>
      </c>
      <c r="F2019">
        <v>0</v>
      </c>
      <c r="G2019">
        <v>0</v>
      </c>
      <c r="H2019">
        <v>1</v>
      </c>
      <c r="I2019">
        <v>0</v>
      </c>
      <c r="J2019">
        <v>0</v>
      </c>
      <c r="K2019">
        <v>0</v>
      </c>
      <c r="L2019">
        <v>0</v>
      </c>
      <c r="M2019">
        <v>0</v>
      </c>
      <c r="N2019">
        <v>0</v>
      </c>
      <c r="O2019" t="str" cm="1">
        <f t="array" ref="O2019">_xlfn.IFS(Table1[[#This Row],[Divorced]]=1, "Divorced", Table1[[#This Row],[Married]]=1, "Married", Table1[[#This Row],[Single]]=1, "Single", Table1[[#This Row],[Together]]=1, "Together", Table1[[#This Row],[Widow]]=1, "Widow")</f>
        <v>Single</v>
      </c>
      <c r="P2019" t="str" cm="1">
        <f t="array" ref="P2019">_xlfn.IFS(Table1[[#This Row],[Basic]]=1, "Basic", Table1[[#This Row],[Graduate]]=1, "Graduate", Table1[[#This Row],[Master]]=1, "Master", Table1[[#This Row],[PhD]]=1, "PhD", AND(Table1[[#This Row],[Basic]]=0, Table1[[#This Row],[Graduate]]=0, Table1[[#This Row],[Master]]=0, Table1[[#This Row],[PhD]]=0), "NA")</f>
        <v>NA</v>
      </c>
      <c r="Q2019" t="e">
        <f>_xlfn.XLOOKUP(Table1[[#This Row],[ID]], Table2[ID],#REF!, "Not Found", 0)</f>
        <v>#REF!</v>
      </c>
      <c r="R2019" t="e">
        <f>_xlfn.XLOOKUP(Table1[[#This Row],[ID]], Table2[ID],#REF!, "Not Found", 0)</f>
        <v>#REF!</v>
      </c>
      <c r="S2019" s="3">
        <f>_xlfn.XLOOKUP(Table1[[#This Row],[ID]], Table2[ID], Table2[Enrollment], "Not Found", 0)</f>
        <v>43802</v>
      </c>
      <c r="T2019" t="s">
        <v>435</v>
      </c>
    </row>
    <row r="2020" spans="1:20" x14ac:dyDescent="0.3">
      <c r="A2020">
        <v>1429</v>
      </c>
      <c r="B2020">
        <v>123295</v>
      </c>
      <c r="C2020">
        <v>0</v>
      </c>
      <c r="D2020">
        <v>0</v>
      </c>
      <c r="E2020">
        <v>61</v>
      </c>
      <c r="F2020">
        <v>1</v>
      </c>
      <c r="G2020">
        <v>0</v>
      </c>
      <c r="H2020">
        <v>0</v>
      </c>
      <c r="I2020">
        <v>0</v>
      </c>
      <c r="J2020">
        <v>0</v>
      </c>
      <c r="K2020">
        <v>0</v>
      </c>
      <c r="L2020">
        <v>1</v>
      </c>
      <c r="M2020">
        <v>0</v>
      </c>
      <c r="N2020">
        <v>0</v>
      </c>
      <c r="O2020" t="str" cm="1">
        <f t="array" ref="O2020">_xlfn.IFS(Table1[[#This Row],[Divorced]]=1, "Divorced", Table1[[#This Row],[Married]]=1, "Married", Table1[[#This Row],[Single]]=1, "Single", Table1[[#This Row],[Together]]=1, "Together", Table1[[#This Row],[Widow]]=1, "Widow")</f>
        <v>Divorced</v>
      </c>
      <c r="P2020" t="str" cm="1">
        <f t="array" ref="P2020">_xlfn.IFS(Table1[[#This Row],[Basic]]=1, "Basic", Table1[[#This Row],[Graduate]]=1, "Graduate", Table1[[#This Row],[Master]]=1, "Master", Table1[[#This Row],[PhD]]=1, "PhD", AND(Table1[[#This Row],[Basic]]=0, Table1[[#This Row],[Graduate]]=0, Table1[[#This Row],[Master]]=0, Table1[[#This Row],[PhD]]=0), "NA")</f>
        <v>Graduate</v>
      </c>
      <c r="Q2020" t="e">
        <f>_xlfn.XLOOKUP(Table1[[#This Row],[ID]], Table2[ID],#REF!, "Not Found", 0)</f>
        <v>#REF!</v>
      </c>
      <c r="R2020" t="e">
        <f>_xlfn.XLOOKUP(Table1[[#This Row],[ID]], Table2[ID],#REF!, "Not Found", 0)</f>
        <v>#REF!</v>
      </c>
      <c r="S2020" s="3" t="str">
        <f>_xlfn.XLOOKUP(Table1[[#This Row],[ID]], Table2[ID], Table2[Enrollment], "Not Found", 0)</f>
        <v>12/18/2019</v>
      </c>
      <c r="T2020" t="s">
        <v>437</v>
      </c>
    </row>
    <row r="2021" spans="1:20" x14ac:dyDescent="0.3">
      <c r="A2021">
        <v>3002</v>
      </c>
      <c r="B2021">
        <v>123272</v>
      </c>
      <c r="C2021">
        <v>0</v>
      </c>
      <c r="D2021">
        <v>0</v>
      </c>
      <c r="E2021">
        <v>67</v>
      </c>
      <c r="F2021">
        <v>1</v>
      </c>
      <c r="G2021">
        <v>0</v>
      </c>
      <c r="H2021">
        <v>0</v>
      </c>
      <c r="I2021">
        <v>0</v>
      </c>
      <c r="J2021">
        <v>0</v>
      </c>
      <c r="K2021">
        <v>0</v>
      </c>
      <c r="L2021">
        <v>1</v>
      </c>
      <c r="M2021">
        <v>0</v>
      </c>
      <c r="N2021">
        <v>0</v>
      </c>
      <c r="O2021" t="str" cm="1">
        <f t="array" ref="O2021">_xlfn.IFS(Table1[[#This Row],[Divorced]]=1, "Divorced", Table1[[#This Row],[Married]]=1, "Married", Table1[[#This Row],[Single]]=1, "Single", Table1[[#This Row],[Together]]=1, "Together", Table1[[#This Row],[Widow]]=1, "Widow")</f>
        <v>Divorced</v>
      </c>
      <c r="P2021" t="str" cm="1">
        <f t="array" ref="P2021">_xlfn.IFS(Table1[[#This Row],[Basic]]=1, "Basic", Table1[[#This Row],[Graduate]]=1, "Graduate", Table1[[#This Row],[Master]]=1, "Master", Table1[[#This Row],[PhD]]=1, "PhD", AND(Table1[[#This Row],[Basic]]=0, Table1[[#This Row],[Graduate]]=0, Table1[[#This Row],[Master]]=0, Table1[[#This Row],[PhD]]=0), "NA")</f>
        <v>Graduate</v>
      </c>
      <c r="Q2021" t="e">
        <f>_xlfn.XLOOKUP(Table1[[#This Row],[ID]], Table2[ID],#REF!, "Not Found", 0)</f>
        <v>#REF!</v>
      </c>
      <c r="R2021" t="e">
        <f>_xlfn.XLOOKUP(Table1[[#This Row],[ID]], Table2[ID],#REF!, "Not Found", 0)</f>
        <v>#REF!</v>
      </c>
      <c r="S2021" s="3" t="str">
        <f>_xlfn.XLOOKUP(Table1[[#This Row],[ID]], Table2[ID], Table2[Enrollment], "Not Found", 0)</f>
        <v>3/23/2020</v>
      </c>
      <c r="T2021" t="s">
        <v>438</v>
      </c>
    </row>
    <row r="2022" spans="1:20" x14ac:dyDescent="0.3">
      <c r="A2022">
        <v>1841</v>
      </c>
      <c r="B2022">
        <v>123228</v>
      </c>
      <c r="C2022">
        <v>1</v>
      </c>
      <c r="D2022">
        <v>0</v>
      </c>
      <c r="E2022">
        <v>51</v>
      </c>
      <c r="F2022">
        <v>0</v>
      </c>
      <c r="G2022">
        <v>0</v>
      </c>
      <c r="H2022">
        <v>0</v>
      </c>
      <c r="I2022">
        <v>1</v>
      </c>
      <c r="J2022">
        <v>0</v>
      </c>
      <c r="K2022">
        <v>0</v>
      </c>
      <c r="L2022">
        <v>1</v>
      </c>
      <c r="M2022">
        <v>0</v>
      </c>
      <c r="N2022">
        <v>0</v>
      </c>
      <c r="O2022" t="str" cm="1">
        <f t="array" ref="O2022">_xlfn.IFS(Table1[[#This Row],[Divorced]]=1, "Divorced", Table1[[#This Row],[Married]]=1, "Married", Table1[[#This Row],[Single]]=1, "Single", Table1[[#This Row],[Together]]=1, "Together", Table1[[#This Row],[Widow]]=1, "Widow")</f>
        <v>Together</v>
      </c>
      <c r="P2022" t="str" cm="1">
        <f t="array" ref="P2022">_xlfn.IFS(Table1[[#This Row],[Basic]]=1, "Basic", Table1[[#This Row],[Graduate]]=1, "Graduate", Table1[[#This Row],[Master]]=1, "Master", Table1[[#This Row],[PhD]]=1, "PhD", AND(Table1[[#This Row],[Basic]]=0, Table1[[#This Row],[Graduate]]=0, Table1[[#This Row],[Master]]=0, Table1[[#This Row],[PhD]]=0), "NA")</f>
        <v>Graduate</v>
      </c>
      <c r="Q2022" t="e">
        <f>_xlfn.XLOOKUP(Table1[[#This Row],[ID]], Table2[ID],#REF!, "Not Found", 0)</f>
        <v>#REF!</v>
      </c>
      <c r="R2022" t="e">
        <f>_xlfn.XLOOKUP(Table1[[#This Row],[ID]], Table2[ID],#REF!, "Not Found", 0)</f>
        <v>#REF!</v>
      </c>
      <c r="S2022" s="3">
        <f>_xlfn.XLOOKUP(Table1[[#This Row],[ID]], Table2[ID], Table2[Enrollment], "Not Found", 0)</f>
        <v>43868</v>
      </c>
      <c r="T2022" t="s">
        <v>434</v>
      </c>
    </row>
    <row r="2023" spans="1:20" x14ac:dyDescent="0.3">
      <c r="A2023">
        <v>1152</v>
      </c>
      <c r="B2023">
        <v>123228</v>
      </c>
      <c r="C2023">
        <v>1</v>
      </c>
      <c r="D2023">
        <v>0</v>
      </c>
      <c r="E2023">
        <v>36</v>
      </c>
      <c r="F2023">
        <v>0</v>
      </c>
      <c r="G2023">
        <v>1</v>
      </c>
      <c r="H2023">
        <v>0</v>
      </c>
      <c r="I2023">
        <v>0</v>
      </c>
      <c r="J2023">
        <v>0</v>
      </c>
      <c r="K2023">
        <v>0</v>
      </c>
      <c r="L2023">
        <v>1</v>
      </c>
      <c r="M2023">
        <v>0</v>
      </c>
      <c r="N2023">
        <v>0</v>
      </c>
      <c r="O2023" t="str" cm="1">
        <f t="array" ref="O2023">_xlfn.IFS(Table1[[#This Row],[Divorced]]=1, "Divorced", Table1[[#This Row],[Married]]=1, "Married", Table1[[#This Row],[Single]]=1, "Single", Table1[[#This Row],[Together]]=1, "Together", Table1[[#This Row],[Widow]]=1, "Widow")</f>
        <v>Married</v>
      </c>
      <c r="P2023" t="str" cm="1">
        <f t="array" ref="P2023">_xlfn.IFS(Table1[[#This Row],[Basic]]=1, "Basic", Table1[[#This Row],[Graduate]]=1, "Graduate", Table1[[#This Row],[Master]]=1, "Master", Table1[[#This Row],[PhD]]=1, "PhD", AND(Table1[[#This Row],[Basic]]=0, Table1[[#This Row],[Graduate]]=0, Table1[[#This Row],[Master]]=0, Table1[[#This Row],[PhD]]=0), "NA")</f>
        <v>Graduate</v>
      </c>
      <c r="Q2023" t="e">
        <f>_xlfn.XLOOKUP(Table1[[#This Row],[ID]], Table2[ID],#REF!, "Not Found", 0)</f>
        <v>#REF!</v>
      </c>
      <c r="R2023" t="e">
        <f>_xlfn.XLOOKUP(Table1[[#This Row],[ID]], Table2[ID],#REF!, "Not Found", 0)</f>
        <v>#REF!</v>
      </c>
      <c r="S2023" s="3">
        <f>_xlfn.XLOOKUP(Table1[[#This Row],[ID]], Table2[ID], Table2[Enrollment], "Not Found", 0)</f>
        <v>44141</v>
      </c>
      <c r="T2023" t="s">
        <v>436</v>
      </c>
    </row>
    <row r="2024" spans="1:20" x14ac:dyDescent="0.3">
      <c r="A2024">
        <v>2446</v>
      </c>
      <c r="B2024">
        <v>123162</v>
      </c>
      <c r="C2024">
        <v>1</v>
      </c>
      <c r="D2024">
        <v>1</v>
      </c>
      <c r="E2024">
        <v>50</v>
      </c>
      <c r="F2024">
        <v>0</v>
      </c>
      <c r="G2024">
        <v>1</v>
      </c>
      <c r="H2024">
        <v>0</v>
      </c>
      <c r="I2024">
        <v>0</v>
      </c>
      <c r="J2024">
        <v>0</v>
      </c>
      <c r="K2024">
        <v>0</v>
      </c>
      <c r="L2024">
        <v>0</v>
      </c>
      <c r="M2024">
        <v>0</v>
      </c>
      <c r="N2024">
        <v>0</v>
      </c>
      <c r="O2024" t="str" cm="1">
        <f t="array" ref="O2024">_xlfn.IFS(Table1[[#This Row],[Divorced]]=1, "Divorced", Table1[[#This Row],[Married]]=1, "Married", Table1[[#This Row],[Single]]=1, "Single", Table1[[#This Row],[Together]]=1, "Together", Table1[[#This Row],[Widow]]=1, "Widow")</f>
        <v>Married</v>
      </c>
      <c r="P2024" t="str" cm="1">
        <f t="array" ref="P2024">_xlfn.IFS(Table1[[#This Row],[Basic]]=1, "Basic", Table1[[#This Row],[Graduate]]=1, "Graduate", Table1[[#This Row],[Master]]=1, "Master", Table1[[#This Row],[PhD]]=1, "PhD", AND(Table1[[#This Row],[Basic]]=0, Table1[[#This Row],[Graduate]]=0, Table1[[#This Row],[Master]]=0, Table1[[#This Row],[PhD]]=0), "NA")</f>
        <v>NA</v>
      </c>
      <c r="Q2024" t="e">
        <f>_xlfn.XLOOKUP(Table1[[#This Row],[ID]], Table2[ID],#REF!, "Not Found", 0)</f>
        <v>#REF!</v>
      </c>
      <c r="R2024" t="e">
        <f>_xlfn.XLOOKUP(Table1[[#This Row],[ID]], Table2[ID],#REF!, "Not Found", 0)</f>
        <v>#REF!</v>
      </c>
      <c r="S2024" s="3" t="str">
        <f>_xlfn.XLOOKUP(Table1[[#This Row],[ID]], Table2[ID], Table2[Enrollment], "Not Found", 0)</f>
        <v>5/27/2020</v>
      </c>
      <c r="T2024" t="s">
        <v>439</v>
      </c>
    </row>
    <row r="2025" spans="1:20" x14ac:dyDescent="0.3">
      <c r="A2025">
        <v>2282</v>
      </c>
      <c r="B2025">
        <v>123148</v>
      </c>
      <c r="C2025">
        <v>0</v>
      </c>
      <c r="D2025">
        <v>0</v>
      </c>
      <c r="E2025">
        <v>35</v>
      </c>
      <c r="F2025">
        <v>0</v>
      </c>
      <c r="G2025">
        <v>1</v>
      </c>
      <c r="H2025">
        <v>0</v>
      </c>
      <c r="I2025">
        <v>0</v>
      </c>
      <c r="J2025">
        <v>0</v>
      </c>
      <c r="K2025">
        <v>0</v>
      </c>
      <c r="L2025">
        <v>0</v>
      </c>
      <c r="M2025">
        <v>0</v>
      </c>
      <c r="N2025">
        <v>0</v>
      </c>
      <c r="O2025" t="str" cm="1">
        <f t="array" ref="O2025">_xlfn.IFS(Table1[[#This Row],[Divorced]]=1, "Divorced", Table1[[#This Row],[Married]]=1, "Married", Table1[[#This Row],[Single]]=1, "Single", Table1[[#This Row],[Together]]=1, "Together", Table1[[#This Row],[Widow]]=1, "Widow")</f>
        <v>Married</v>
      </c>
      <c r="P2025" t="str" cm="1">
        <f t="array" ref="P2025">_xlfn.IFS(Table1[[#This Row],[Basic]]=1, "Basic", Table1[[#This Row],[Graduate]]=1, "Graduate", Table1[[#This Row],[Master]]=1, "Master", Table1[[#This Row],[PhD]]=1, "PhD", AND(Table1[[#This Row],[Basic]]=0, Table1[[#This Row],[Graduate]]=0, Table1[[#This Row],[Master]]=0, Table1[[#This Row],[PhD]]=0), "NA")</f>
        <v>NA</v>
      </c>
      <c r="Q2025" t="e">
        <f>_xlfn.XLOOKUP(Table1[[#This Row],[ID]], Table2[ID],#REF!, "Not Found", 0)</f>
        <v>#REF!</v>
      </c>
      <c r="R2025" t="e">
        <f>_xlfn.XLOOKUP(Table1[[#This Row],[ID]], Table2[ID],#REF!, "Not Found", 0)</f>
        <v>#REF!</v>
      </c>
      <c r="S2025" s="3" t="str">
        <f>_xlfn.XLOOKUP(Table1[[#This Row],[ID]], Table2[ID], Table2[Enrollment], "Not Found", 0)</f>
        <v>7/25/2020</v>
      </c>
      <c r="T2025" t="s">
        <v>438</v>
      </c>
    </row>
    <row r="2026" spans="1:20" x14ac:dyDescent="0.3">
      <c r="A2026">
        <v>2136</v>
      </c>
      <c r="B2026">
        <v>123091</v>
      </c>
      <c r="C2026">
        <v>1</v>
      </c>
      <c r="D2026">
        <v>1</v>
      </c>
      <c r="E2026">
        <v>57</v>
      </c>
      <c r="F2026">
        <v>0</v>
      </c>
      <c r="G2026">
        <v>0</v>
      </c>
      <c r="H2026">
        <v>1</v>
      </c>
      <c r="I2026">
        <v>0</v>
      </c>
      <c r="J2026">
        <v>0</v>
      </c>
      <c r="K2026">
        <v>0</v>
      </c>
      <c r="L2026">
        <v>0</v>
      </c>
      <c r="M2026">
        <v>0</v>
      </c>
      <c r="N2026">
        <v>1</v>
      </c>
      <c r="O2026" t="str" cm="1">
        <f t="array" ref="O2026">_xlfn.IFS(Table1[[#This Row],[Divorced]]=1, "Divorced", Table1[[#This Row],[Married]]=1, "Married", Table1[[#This Row],[Single]]=1, "Single", Table1[[#This Row],[Together]]=1, "Together", Table1[[#This Row],[Widow]]=1, "Widow")</f>
        <v>Single</v>
      </c>
      <c r="P2026" t="str" cm="1">
        <f t="array" ref="P2026">_xlfn.IFS(Table1[[#This Row],[Basic]]=1, "Basic", Table1[[#This Row],[Graduate]]=1, "Graduate", Table1[[#This Row],[Master]]=1, "Master", Table1[[#This Row],[PhD]]=1, "PhD", AND(Table1[[#This Row],[Basic]]=0, Table1[[#This Row],[Graduate]]=0, Table1[[#This Row],[Master]]=0, Table1[[#This Row],[PhD]]=0), "NA")</f>
        <v>PhD</v>
      </c>
      <c r="Q2026" t="e">
        <f>_xlfn.XLOOKUP(Table1[[#This Row],[ID]], Table2[ID],#REF!, "Not Found", 0)</f>
        <v>#REF!</v>
      </c>
      <c r="R2026" t="e">
        <f>_xlfn.XLOOKUP(Table1[[#This Row],[ID]], Table2[ID],#REF!, "Not Found", 0)</f>
        <v>#REF!</v>
      </c>
      <c r="S2026" s="3">
        <f>_xlfn.XLOOKUP(Table1[[#This Row],[ID]], Table2[ID], Table2[Enrollment], "Not Found", 0)</f>
        <v>43841</v>
      </c>
      <c r="T2026" t="s">
        <v>436</v>
      </c>
    </row>
    <row r="2027" spans="1:20" x14ac:dyDescent="0.3">
      <c r="A2027">
        <v>2977</v>
      </c>
      <c r="B2027">
        <v>122979</v>
      </c>
      <c r="C2027">
        <v>1</v>
      </c>
      <c r="D2027">
        <v>0</v>
      </c>
      <c r="E2027">
        <v>50</v>
      </c>
      <c r="F2027">
        <v>0</v>
      </c>
      <c r="G2027">
        <v>1</v>
      </c>
      <c r="H2027">
        <v>0</v>
      </c>
      <c r="I2027">
        <v>0</v>
      </c>
      <c r="J2027">
        <v>0</v>
      </c>
      <c r="K2027">
        <v>0</v>
      </c>
      <c r="L2027">
        <v>1</v>
      </c>
      <c r="M2027">
        <v>0</v>
      </c>
      <c r="N2027">
        <v>0</v>
      </c>
      <c r="O2027" t="str" cm="1">
        <f t="array" ref="O2027">_xlfn.IFS(Table1[[#This Row],[Divorced]]=1, "Divorced", Table1[[#This Row],[Married]]=1, "Married", Table1[[#This Row],[Single]]=1, "Single", Table1[[#This Row],[Together]]=1, "Together", Table1[[#This Row],[Widow]]=1, "Widow")</f>
        <v>Married</v>
      </c>
      <c r="P2027" t="str" cm="1">
        <f t="array" ref="P2027">_xlfn.IFS(Table1[[#This Row],[Basic]]=1, "Basic", Table1[[#This Row],[Graduate]]=1, "Graduate", Table1[[#This Row],[Master]]=1, "Master", Table1[[#This Row],[PhD]]=1, "PhD", AND(Table1[[#This Row],[Basic]]=0, Table1[[#This Row],[Graduate]]=0, Table1[[#This Row],[Master]]=0, Table1[[#This Row],[PhD]]=0), "NA")</f>
        <v>Graduate</v>
      </c>
      <c r="Q2027" t="e">
        <f>_xlfn.XLOOKUP(Table1[[#This Row],[ID]], Table2[ID],#REF!, "Not Found", 0)</f>
        <v>#REF!</v>
      </c>
      <c r="R2027" t="e">
        <f>_xlfn.XLOOKUP(Table1[[#This Row],[ID]], Table2[ID],#REF!, "Not Found", 0)</f>
        <v>#REF!</v>
      </c>
      <c r="S2027" s="3">
        <f>_xlfn.XLOOKUP(Table1[[#This Row],[ID]], Table2[ID], Table2[Enrollment], "Not Found", 0)</f>
        <v>43771</v>
      </c>
      <c r="T2027" t="s">
        <v>437</v>
      </c>
    </row>
    <row r="2028" spans="1:20" x14ac:dyDescent="0.3">
      <c r="A2028">
        <v>1523</v>
      </c>
      <c r="B2028">
        <v>122944</v>
      </c>
      <c r="C2028">
        <v>1</v>
      </c>
      <c r="D2028">
        <v>0</v>
      </c>
      <c r="E2028">
        <v>39</v>
      </c>
      <c r="F2028">
        <v>0</v>
      </c>
      <c r="G2028">
        <v>0</v>
      </c>
      <c r="H2028">
        <v>1</v>
      </c>
      <c r="I2028">
        <v>0</v>
      </c>
      <c r="J2028">
        <v>0</v>
      </c>
      <c r="K2028">
        <v>0</v>
      </c>
      <c r="L2028">
        <v>0</v>
      </c>
      <c r="M2028">
        <v>1</v>
      </c>
      <c r="N2028">
        <v>0</v>
      </c>
      <c r="O2028" t="str" cm="1">
        <f t="array" ref="O2028">_xlfn.IFS(Table1[[#This Row],[Divorced]]=1, "Divorced", Table1[[#This Row],[Married]]=1, "Married", Table1[[#This Row],[Single]]=1, "Single", Table1[[#This Row],[Together]]=1, "Together", Table1[[#This Row],[Widow]]=1, "Widow")</f>
        <v>Single</v>
      </c>
      <c r="P2028" t="str" cm="1">
        <f t="array" ref="P2028">_xlfn.IFS(Table1[[#This Row],[Basic]]=1, "Basic", Table1[[#This Row],[Graduate]]=1, "Graduate", Table1[[#This Row],[Master]]=1, "Master", Table1[[#This Row],[PhD]]=1, "PhD", AND(Table1[[#This Row],[Basic]]=0, Table1[[#This Row],[Graduate]]=0, Table1[[#This Row],[Master]]=0, Table1[[#This Row],[PhD]]=0), "NA")</f>
        <v>Master</v>
      </c>
      <c r="Q2028" t="e">
        <f>_xlfn.XLOOKUP(Table1[[#This Row],[ID]], Table2[ID],#REF!, "Not Found", 0)</f>
        <v>#REF!</v>
      </c>
      <c r="R2028" t="e">
        <f>_xlfn.XLOOKUP(Table1[[#This Row],[ID]], Table2[ID],#REF!, "Not Found", 0)</f>
        <v>#REF!</v>
      </c>
      <c r="S2028" s="3" t="str">
        <f>_xlfn.XLOOKUP(Table1[[#This Row],[ID]], Table2[ID], Table2[Enrollment], "Not Found", 0)</f>
        <v>5/29/2020</v>
      </c>
      <c r="T2028" t="s">
        <v>434</v>
      </c>
    </row>
    <row r="2029" spans="1:20" x14ac:dyDescent="0.3">
      <c r="A2029">
        <v>1229</v>
      </c>
      <c r="B2029">
        <v>122804</v>
      </c>
      <c r="C2029">
        <v>1</v>
      </c>
      <c r="D2029">
        <v>0</v>
      </c>
      <c r="E2029">
        <v>49</v>
      </c>
      <c r="F2029">
        <v>0</v>
      </c>
      <c r="G2029">
        <v>0</v>
      </c>
      <c r="H2029">
        <v>1</v>
      </c>
      <c r="I2029">
        <v>0</v>
      </c>
      <c r="J2029">
        <v>0</v>
      </c>
      <c r="K2029">
        <v>0</v>
      </c>
      <c r="L2029">
        <v>1</v>
      </c>
      <c r="M2029">
        <v>0</v>
      </c>
      <c r="N2029">
        <v>0</v>
      </c>
      <c r="O2029" t="str" cm="1">
        <f t="array" ref="O2029">_xlfn.IFS(Table1[[#This Row],[Divorced]]=1, "Divorced", Table1[[#This Row],[Married]]=1, "Married", Table1[[#This Row],[Single]]=1, "Single", Table1[[#This Row],[Together]]=1, "Together", Table1[[#This Row],[Widow]]=1, "Widow")</f>
        <v>Single</v>
      </c>
      <c r="P2029" t="str" cm="1">
        <f t="array" ref="P2029">_xlfn.IFS(Table1[[#This Row],[Basic]]=1, "Basic", Table1[[#This Row],[Graduate]]=1, "Graduate", Table1[[#This Row],[Master]]=1, "Master", Table1[[#This Row],[PhD]]=1, "PhD", AND(Table1[[#This Row],[Basic]]=0, Table1[[#This Row],[Graduate]]=0, Table1[[#This Row],[Master]]=0, Table1[[#This Row],[PhD]]=0), "NA")</f>
        <v>Graduate</v>
      </c>
      <c r="Q2029" t="e">
        <f>_xlfn.XLOOKUP(Table1[[#This Row],[ID]], Table2[ID],#REF!, "Not Found", 0)</f>
        <v>#REF!</v>
      </c>
      <c r="R2029" t="e">
        <f>_xlfn.XLOOKUP(Table1[[#This Row],[ID]], Table2[ID],#REF!, "Not Found", 0)</f>
        <v>#REF!</v>
      </c>
      <c r="S2029" s="3">
        <f>_xlfn.XLOOKUP(Table1[[#This Row],[ID]], Table2[ID], Table2[Enrollment], "Not Found", 0)</f>
        <v>43952</v>
      </c>
      <c r="T2029" t="s">
        <v>434</v>
      </c>
    </row>
    <row r="2030" spans="1:20" x14ac:dyDescent="0.3">
      <c r="A2030">
        <v>2272</v>
      </c>
      <c r="B2030">
        <v>122804</v>
      </c>
      <c r="C2030">
        <v>1</v>
      </c>
      <c r="D2030">
        <v>0</v>
      </c>
      <c r="E2030">
        <v>49</v>
      </c>
      <c r="F2030">
        <v>0</v>
      </c>
      <c r="G2030">
        <v>0</v>
      </c>
      <c r="H2030">
        <v>1</v>
      </c>
      <c r="I2030">
        <v>0</v>
      </c>
      <c r="J2030">
        <v>0</v>
      </c>
      <c r="K2030">
        <v>0</v>
      </c>
      <c r="L2030">
        <v>1</v>
      </c>
      <c r="M2030">
        <v>0</v>
      </c>
      <c r="N2030">
        <v>0</v>
      </c>
      <c r="O2030" t="str" cm="1">
        <f t="array" ref="O2030">_xlfn.IFS(Table1[[#This Row],[Divorced]]=1, "Divorced", Table1[[#This Row],[Married]]=1, "Married", Table1[[#This Row],[Single]]=1, "Single", Table1[[#This Row],[Together]]=1, "Together", Table1[[#This Row],[Widow]]=1, "Widow")</f>
        <v>Single</v>
      </c>
      <c r="P2030" t="str" cm="1">
        <f t="array" ref="P2030">_xlfn.IFS(Table1[[#This Row],[Basic]]=1, "Basic", Table1[[#This Row],[Graduate]]=1, "Graduate", Table1[[#This Row],[Master]]=1, "Master", Table1[[#This Row],[PhD]]=1, "PhD", AND(Table1[[#This Row],[Basic]]=0, Table1[[#This Row],[Graduate]]=0, Table1[[#This Row],[Master]]=0, Table1[[#This Row],[PhD]]=0), "NA")</f>
        <v>Graduate</v>
      </c>
      <c r="Q2030" t="e">
        <f>_xlfn.XLOOKUP(Table1[[#This Row],[ID]], Table2[ID],#REF!, "Not Found", 0)</f>
        <v>#REF!</v>
      </c>
      <c r="R2030" t="e">
        <f>_xlfn.XLOOKUP(Table1[[#This Row],[ID]], Table2[ID],#REF!, "Not Found", 0)</f>
        <v>#REF!</v>
      </c>
      <c r="S2030" s="3">
        <f>_xlfn.XLOOKUP(Table1[[#This Row],[ID]], Table2[ID], Table2[Enrollment], "Not Found", 0)</f>
        <v>43952</v>
      </c>
      <c r="T2030" t="s">
        <v>439</v>
      </c>
    </row>
    <row r="2031" spans="1:20" x14ac:dyDescent="0.3">
      <c r="A2031">
        <v>2609</v>
      </c>
      <c r="B2031">
        <v>122775</v>
      </c>
      <c r="C2031">
        <v>1</v>
      </c>
      <c r="D2031">
        <v>0</v>
      </c>
      <c r="E2031">
        <v>42</v>
      </c>
      <c r="F2031">
        <v>0</v>
      </c>
      <c r="G2031">
        <v>0</v>
      </c>
      <c r="H2031">
        <v>0</v>
      </c>
      <c r="I2031">
        <v>1</v>
      </c>
      <c r="J2031">
        <v>0</v>
      </c>
      <c r="K2031">
        <v>0</v>
      </c>
      <c r="L2031">
        <v>1</v>
      </c>
      <c r="M2031">
        <v>0</v>
      </c>
      <c r="N2031">
        <v>0</v>
      </c>
      <c r="O2031" t="str" cm="1">
        <f t="array" ref="O2031">_xlfn.IFS(Table1[[#This Row],[Divorced]]=1, "Divorced", Table1[[#This Row],[Married]]=1, "Married", Table1[[#This Row],[Single]]=1, "Single", Table1[[#This Row],[Together]]=1, "Together", Table1[[#This Row],[Widow]]=1, "Widow")</f>
        <v>Together</v>
      </c>
      <c r="P2031" t="str" cm="1">
        <f t="array" ref="P2031">_xlfn.IFS(Table1[[#This Row],[Basic]]=1, "Basic", Table1[[#This Row],[Graduate]]=1, "Graduate", Table1[[#This Row],[Master]]=1, "Master", Table1[[#This Row],[PhD]]=1, "PhD", AND(Table1[[#This Row],[Basic]]=0, Table1[[#This Row],[Graduate]]=0, Table1[[#This Row],[Master]]=0, Table1[[#This Row],[PhD]]=0), "NA")</f>
        <v>Graduate</v>
      </c>
      <c r="Q2031" t="e">
        <f>_xlfn.XLOOKUP(Table1[[#This Row],[ID]], Table2[ID],#REF!, "Not Found", 0)</f>
        <v>#REF!</v>
      </c>
      <c r="R2031" t="e">
        <f>_xlfn.XLOOKUP(Table1[[#This Row],[ID]], Table2[ID],#REF!, "Not Found", 0)</f>
        <v>#REF!</v>
      </c>
      <c r="S2031" s="3" t="str">
        <f>_xlfn.XLOOKUP(Table1[[#This Row],[ID]], Table2[ID], Table2[Enrollment], "Not Found", 0)</f>
        <v>11/24/2019</v>
      </c>
      <c r="T2031" t="s">
        <v>434</v>
      </c>
    </row>
    <row r="2032" spans="1:20" x14ac:dyDescent="0.3">
      <c r="A2032">
        <v>3186</v>
      </c>
      <c r="B2032">
        <v>122775</v>
      </c>
      <c r="C2032">
        <v>1</v>
      </c>
      <c r="D2032">
        <v>0</v>
      </c>
      <c r="E2032">
        <v>42</v>
      </c>
      <c r="F2032">
        <v>0</v>
      </c>
      <c r="G2032">
        <v>0</v>
      </c>
      <c r="H2032">
        <v>0</v>
      </c>
      <c r="I2032">
        <v>1</v>
      </c>
      <c r="J2032">
        <v>0</v>
      </c>
      <c r="K2032">
        <v>0</v>
      </c>
      <c r="L2032">
        <v>1</v>
      </c>
      <c r="M2032">
        <v>0</v>
      </c>
      <c r="N2032">
        <v>0</v>
      </c>
      <c r="O2032" t="str" cm="1">
        <f t="array" ref="O2032">_xlfn.IFS(Table1[[#This Row],[Divorced]]=1, "Divorced", Table1[[#This Row],[Married]]=1, "Married", Table1[[#This Row],[Single]]=1, "Single", Table1[[#This Row],[Together]]=1, "Together", Table1[[#This Row],[Widow]]=1, "Widow")</f>
        <v>Together</v>
      </c>
      <c r="P2032" t="str" cm="1">
        <f t="array" ref="P2032">_xlfn.IFS(Table1[[#This Row],[Basic]]=1, "Basic", Table1[[#This Row],[Graduate]]=1, "Graduate", Table1[[#This Row],[Master]]=1, "Master", Table1[[#This Row],[PhD]]=1, "PhD", AND(Table1[[#This Row],[Basic]]=0, Table1[[#This Row],[Graduate]]=0, Table1[[#This Row],[Master]]=0, Table1[[#This Row],[PhD]]=0), "NA")</f>
        <v>Graduate</v>
      </c>
      <c r="Q2032" t="e">
        <f>_xlfn.XLOOKUP(Table1[[#This Row],[ID]], Table2[ID],#REF!, "Not Found", 0)</f>
        <v>#REF!</v>
      </c>
      <c r="R2032" t="e">
        <f>_xlfn.XLOOKUP(Table1[[#This Row],[ID]], Table2[ID],#REF!, "Not Found", 0)</f>
        <v>#REF!</v>
      </c>
      <c r="S2032" s="3" t="str">
        <f>_xlfn.XLOOKUP(Table1[[#This Row],[ID]], Table2[ID], Table2[Enrollment], "Not Found", 0)</f>
        <v>11/24/2019</v>
      </c>
      <c r="T2032" t="s">
        <v>436</v>
      </c>
    </row>
    <row r="2033" spans="1:20" x14ac:dyDescent="0.3">
      <c r="A2033">
        <v>2900</v>
      </c>
      <c r="B2033">
        <v>122701</v>
      </c>
      <c r="C2033">
        <v>1</v>
      </c>
      <c r="D2033">
        <v>0</v>
      </c>
      <c r="E2033">
        <v>43</v>
      </c>
      <c r="F2033">
        <v>0</v>
      </c>
      <c r="G2033">
        <v>1</v>
      </c>
      <c r="H2033">
        <v>0</v>
      </c>
      <c r="I2033">
        <v>0</v>
      </c>
      <c r="J2033">
        <v>0</v>
      </c>
      <c r="K2033">
        <v>0</v>
      </c>
      <c r="L2033">
        <v>0</v>
      </c>
      <c r="M2033">
        <v>1</v>
      </c>
      <c r="N2033">
        <v>0</v>
      </c>
      <c r="O2033" t="str" cm="1">
        <f t="array" ref="O2033">_xlfn.IFS(Table1[[#This Row],[Divorced]]=1, "Divorced", Table1[[#This Row],[Married]]=1, "Married", Table1[[#This Row],[Single]]=1, "Single", Table1[[#This Row],[Together]]=1, "Together", Table1[[#This Row],[Widow]]=1, "Widow")</f>
        <v>Married</v>
      </c>
      <c r="P2033" t="str" cm="1">
        <f t="array" ref="P2033">_xlfn.IFS(Table1[[#This Row],[Basic]]=1, "Basic", Table1[[#This Row],[Graduate]]=1, "Graduate", Table1[[#This Row],[Master]]=1, "Master", Table1[[#This Row],[PhD]]=1, "PhD", AND(Table1[[#This Row],[Basic]]=0, Table1[[#This Row],[Graduate]]=0, Table1[[#This Row],[Master]]=0, Table1[[#This Row],[PhD]]=0), "NA")</f>
        <v>Master</v>
      </c>
      <c r="Q2033" t="e">
        <f>_xlfn.XLOOKUP(Table1[[#This Row],[ID]], Table2[ID],#REF!, "Not Found", 0)</f>
        <v>#REF!</v>
      </c>
      <c r="R2033" t="e">
        <f>_xlfn.XLOOKUP(Table1[[#This Row],[ID]], Table2[ID],#REF!, "Not Found", 0)</f>
        <v>#REF!</v>
      </c>
      <c r="S2033" s="3">
        <f>_xlfn.XLOOKUP(Table1[[#This Row],[ID]], Table2[ID], Table2[Enrollment], "Not Found", 0)</f>
        <v>44106</v>
      </c>
      <c r="T2033" t="s">
        <v>438</v>
      </c>
    </row>
    <row r="2034" spans="1:20" x14ac:dyDescent="0.3">
      <c r="A2034">
        <v>2367</v>
      </c>
      <c r="B2034">
        <v>122682</v>
      </c>
      <c r="C2034">
        <v>1</v>
      </c>
      <c r="D2034">
        <v>0</v>
      </c>
      <c r="E2034">
        <v>47</v>
      </c>
      <c r="F2034">
        <v>0</v>
      </c>
      <c r="G2034">
        <v>0</v>
      </c>
      <c r="H2034">
        <v>0</v>
      </c>
      <c r="I2034">
        <v>1</v>
      </c>
      <c r="J2034">
        <v>0</v>
      </c>
      <c r="K2034">
        <v>0</v>
      </c>
      <c r="L2034">
        <v>1</v>
      </c>
      <c r="M2034">
        <v>0</v>
      </c>
      <c r="N2034">
        <v>0</v>
      </c>
      <c r="O2034" t="str" cm="1">
        <f t="array" ref="O2034">_xlfn.IFS(Table1[[#This Row],[Divorced]]=1, "Divorced", Table1[[#This Row],[Married]]=1, "Married", Table1[[#This Row],[Single]]=1, "Single", Table1[[#This Row],[Together]]=1, "Together", Table1[[#This Row],[Widow]]=1, "Widow")</f>
        <v>Together</v>
      </c>
      <c r="P2034" t="str" cm="1">
        <f t="array" ref="P2034">_xlfn.IFS(Table1[[#This Row],[Basic]]=1, "Basic", Table1[[#This Row],[Graduate]]=1, "Graduate", Table1[[#This Row],[Master]]=1, "Master", Table1[[#This Row],[PhD]]=1, "PhD", AND(Table1[[#This Row],[Basic]]=0, Table1[[#This Row],[Graduate]]=0, Table1[[#This Row],[Master]]=0, Table1[[#This Row],[PhD]]=0), "NA")</f>
        <v>Graduate</v>
      </c>
      <c r="Q2034" t="e">
        <f>_xlfn.XLOOKUP(Table1[[#This Row],[ID]], Table2[ID],#REF!, "Not Found", 0)</f>
        <v>#REF!</v>
      </c>
      <c r="R2034" t="e">
        <f>_xlfn.XLOOKUP(Table1[[#This Row],[ID]], Table2[ID],#REF!, "Not Found", 0)</f>
        <v>#REF!</v>
      </c>
      <c r="S2034" s="3">
        <f>_xlfn.XLOOKUP(Table1[[#This Row],[ID]], Table2[ID], Table2[Enrollment], "Not Found", 0)</f>
        <v>44077</v>
      </c>
      <c r="T2034" t="s">
        <v>435</v>
      </c>
    </row>
    <row r="2035" spans="1:20" x14ac:dyDescent="0.3">
      <c r="A2035">
        <v>2804</v>
      </c>
      <c r="B2035">
        <v>122669</v>
      </c>
      <c r="C2035">
        <v>1</v>
      </c>
      <c r="D2035">
        <v>0</v>
      </c>
      <c r="E2035">
        <v>45</v>
      </c>
      <c r="F2035">
        <v>0</v>
      </c>
      <c r="G2035">
        <v>0</v>
      </c>
      <c r="H2035">
        <v>0</v>
      </c>
      <c r="I2035">
        <v>1</v>
      </c>
      <c r="J2035">
        <v>0</v>
      </c>
      <c r="K2035">
        <v>0</v>
      </c>
      <c r="L2035">
        <v>0</v>
      </c>
      <c r="M2035">
        <v>1</v>
      </c>
      <c r="N2035">
        <v>0</v>
      </c>
      <c r="O2035" t="str" cm="1">
        <f t="array" ref="O2035">_xlfn.IFS(Table1[[#This Row],[Divorced]]=1, "Divorced", Table1[[#This Row],[Married]]=1, "Married", Table1[[#This Row],[Single]]=1, "Single", Table1[[#This Row],[Together]]=1, "Together", Table1[[#This Row],[Widow]]=1, "Widow")</f>
        <v>Together</v>
      </c>
      <c r="P2035" t="str" cm="1">
        <f t="array" ref="P2035">_xlfn.IFS(Table1[[#This Row],[Basic]]=1, "Basic", Table1[[#This Row],[Graduate]]=1, "Graduate", Table1[[#This Row],[Master]]=1, "Master", Table1[[#This Row],[PhD]]=1, "PhD", AND(Table1[[#This Row],[Basic]]=0, Table1[[#This Row],[Graduate]]=0, Table1[[#This Row],[Master]]=0, Table1[[#This Row],[PhD]]=0), "NA")</f>
        <v>Master</v>
      </c>
      <c r="Q2035" t="e">
        <f>_xlfn.XLOOKUP(Table1[[#This Row],[ID]], Table2[ID],#REF!, "Not Found", 0)</f>
        <v>#REF!</v>
      </c>
      <c r="R2035" t="e">
        <f>_xlfn.XLOOKUP(Table1[[#This Row],[ID]], Table2[ID],#REF!, "Not Found", 0)</f>
        <v>#REF!</v>
      </c>
      <c r="S2035" s="3" t="str">
        <f>_xlfn.XLOOKUP(Table1[[#This Row],[ID]], Table2[ID], Table2[Enrollment], "Not Found", 0)</f>
        <v>10/27/2019</v>
      </c>
      <c r="T2035" t="s">
        <v>438</v>
      </c>
    </row>
    <row r="2036" spans="1:20" x14ac:dyDescent="0.3">
      <c r="A2036">
        <v>2099</v>
      </c>
      <c r="B2036">
        <v>122634</v>
      </c>
      <c r="C2036">
        <v>0</v>
      </c>
      <c r="D2036">
        <v>0</v>
      </c>
      <c r="E2036">
        <v>54</v>
      </c>
      <c r="F2036">
        <v>0</v>
      </c>
      <c r="G2036">
        <v>0</v>
      </c>
      <c r="H2036">
        <v>0</v>
      </c>
      <c r="I2036">
        <v>1</v>
      </c>
      <c r="J2036">
        <v>0</v>
      </c>
      <c r="K2036">
        <v>1</v>
      </c>
      <c r="L2036">
        <v>0</v>
      </c>
      <c r="M2036">
        <v>0</v>
      </c>
      <c r="N2036">
        <v>0</v>
      </c>
      <c r="O2036" t="str" cm="1">
        <f t="array" ref="O2036">_xlfn.IFS(Table1[[#This Row],[Divorced]]=1, "Divorced", Table1[[#This Row],[Married]]=1, "Married", Table1[[#This Row],[Single]]=1, "Single", Table1[[#This Row],[Together]]=1, "Together", Table1[[#This Row],[Widow]]=1, "Widow")</f>
        <v>Together</v>
      </c>
      <c r="P2036" t="str" cm="1">
        <f t="array" ref="P2036">_xlfn.IFS(Table1[[#This Row],[Basic]]=1, "Basic", Table1[[#This Row],[Graduate]]=1, "Graduate", Table1[[#This Row],[Master]]=1, "Master", Table1[[#This Row],[PhD]]=1, "PhD", AND(Table1[[#This Row],[Basic]]=0, Table1[[#This Row],[Graduate]]=0, Table1[[#This Row],[Master]]=0, Table1[[#This Row],[PhD]]=0), "NA")</f>
        <v>Basic</v>
      </c>
      <c r="Q2036" t="e">
        <f>_xlfn.XLOOKUP(Table1[[#This Row],[ID]], Table2[ID],#REF!, "Not Found", 0)</f>
        <v>#REF!</v>
      </c>
      <c r="R2036" t="e">
        <f>_xlfn.XLOOKUP(Table1[[#This Row],[ID]], Table2[ID],#REF!, "Not Found", 0)</f>
        <v>#REF!</v>
      </c>
      <c r="S2036" s="3" t="str">
        <f>_xlfn.XLOOKUP(Table1[[#This Row],[ID]], Table2[ID], Table2[Enrollment], "Not Found", 0)</f>
        <v>6/23/2019</v>
      </c>
      <c r="T2036" t="s">
        <v>434</v>
      </c>
    </row>
    <row r="2037" spans="1:20" x14ac:dyDescent="0.3">
      <c r="A2037">
        <v>2392</v>
      </c>
      <c r="B2037">
        <v>122634</v>
      </c>
      <c r="C2037">
        <v>0</v>
      </c>
      <c r="D2037">
        <v>0</v>
      </c>
      <c r="E2037">
        <v>54</v>
      </c>
      <c r="F2037">
        <v>0</v>
      </c>
      <c r="G2037">
        <v>0</v>
      </c>
      <c r="H2037">
        <v>0</v>
      </c>
      <c r="I2037">
        <v>1</v>
      </c>
      <c r="J2037">
        <v>0</v>
      </c>
      <c r="K2037">
        <v>1</v>
      </c>
      <c r="L2037">
        <v>0</v>
      </c>
      <c r="M2037">
        <v>0</v>
      </c>
      <c r="N2037">
        <v>0</v>
      </c>
      <c r="O2037" t="str" cm="1">
        <f t="array" ref="O2037">_xlfn.IFS(Table1[[#This Row],[Divorced]]=1, "Divorced", Table1[[#This Row],[Married]]=1, "Married", Table1[[#This Row],[Single]]=1, "Single", Table1[[#This Row],[Together]]=1, "Together", Table1[[#This Row],[Widow]]=1, "Widow")</f>
        <v>Together</v>
      </c>
      <c r="P2037" t="str" cm="1">
        <f t="array" ref="P2037">_xlfn.IFS(Table1[[#This Row],[Basic]]=1, "Basic", Table1[[#This Row],[Graduate]]=1, "Graduate", Table1[[#This Row],[Master]]=1, "Master", Table1[[#This Row],[PhD]]=1, "PhD", AND(Table1[[#This Row],[Basic]]=0, Table1[[#This Row],[Graduate]]=0, Table1[[#This Row],[Master]]=0, Table1[[#This Row],[PhD]]=0), "NA")</f>
        <v>Basic</v>
      </c>
      <c r="Q2037" t="e">
        <f>_xlfn.XLOOKUP(Table1[[#This Row],[ID]], Table2[ID],#REF!, "Not Found", 0)</f>
        <v>#REF!</v>
      </c>
      <c r="R2037" t="e">
        <f>_xlfn.XLOOKUP(Table1[[#This Row],[ID]], Table2[ID],#REF!, "Not Found", 0)</f>
        <v>#REF!</v>
      </c>
      <c r="S2037" s="3" t="str">
        <f>_xlfn.XLOOKUP(Table1[[#This Row],[ID]], Table2[ID], Table2[Enrollment], "Not Found", 0)</f>
        <v>6/23/2019</v>
      </c>
      <c r="T2037" t="s">
        <v>439</v>
      </c>
    </row>
    <row r="2038" spans="1:20" x14ac:dyDescent="0.3">
      <c r="A2038">
        <v>1360</v>
      </c>
      <c r="B2038">
        <v>122585</v>
      </c>
      <c r="C2038">
        <v>0</v>
      </c>
      <c r="D2038">
        <v>0</v>
      </c>
      <c r="E2038">
        <v>50</v>
      </c>
      <c r="F2038">
        <v>0</v>
      </c>
      <c r="G2038">
        <v>0</v>
      </c>
      <c r="H2038">
        <v>1</v>
      </c>
      <c r="I2038">
        <v>0</v>
      </c>
      <c r="J2038">
        <v>0</v>
      </c>
      <c r="K2038">
        <v>0</v>
      </c>
      <c r="L2038">
        <v>1</v>
      </c>
      <c r="M2038">
        <v>0</v>
      </c>
      <c r="N2038">
        <v>0</v>
      </c>
      <c r="O2038" t="str" cm="1">
        <f t="array" ref="O2038">_xlfn.IFS(Table1[[#This Row],[Divorced]]=1, "Divorced", Table1[[#This Row],[Married]]=1, "Married", Table1[[#This Row],[Single]]=1, "Single", Table1[[#This Row],[Together]]=1, "Together", Table1[[#This Row],[Widow]]=1, "Widow")</f>
        <v>Single</v>
      </c>
      <c r="P2038" t="str" cm="1">
        <f t="array" ref="P2038">_xlfn.IFS(Table1[[#This Row],[Basic]]=1, "Basic", Table1[[#This Row],[Graduate]]=1, "Graduate", Table1[[#This Row],[Master]]=1, "Master", Table1[[#This Row],[PhD]]=1, "PhD", AND(Table1[[#This Row],[Basic]]=0, Table1[[#This Row],[Graduate]]=0, Table1[[#This Row],[Master]]=0, Table1[[#This Row],[PhD]]=0), "NA")</f>
        <v>Graduate</v>
      </c>
      <c r="Q2038" t="e">
        <f>_xlfn.XLOOKUP(Table1[[#This Row],[ID]], Table2[ID],#REF!, "Not Found", 0)</f>
        <v>#REF!</v>
      </c>
      <c r="R2038" t="e">
        <f>_xlfn.XLOOKUP(Table1[[#This Row],[ID]], Table2[ID],#REF!, "Not Found", 0)</f>
        <v>#REF!</v>
      </c>
      <c r="S2038" s="3" t="str">
        <f>_xlfn.XLOOKUP(Table1[[#This Row],[ID]], Table2[ID], Table2[Enrollment], "Not Found", 0)</f>
        <v>8/23/2019</v>
      </c>
      <c r="T2038" t="s">
        <v>439</v>
      </c>
    </row>
    <row r="2039" spans="1:20" x14ac:dyDescent="0.3">
      <c r="A2039">
        <v>1298</v>
      </c>
      <c r="B2039">
        <v>122574</v>
      </c>
      <c r="C2039">
        <v>2</v>
      </c>
      <c r="D2039">
        <v>1</v>
      </c>
      <c r="E2039">
        <v>53</v>
      </c>
      <c r="F2039">
        <v>0</v>
      </c>
      <c r="G2039">
        <v>1</v>
      </c>
      <c r="H2039">
        <v>0</v>
      </c>
      <c r="I2039">
        <v>0</v>
      </c>
      <c r="J2039">
        <v>0</v>
      </c>
      <c r="K2039">
        <v>0</v>
      </c>
      <c r="L2039">
        <v>1</v>
      </c>
      <c r="M2039">
        <v>0</v>
      </c>
      <c r="N2039">
        <v>0</v>
      </c>
      <c r="O2039" t="str" cm="1">
        <f t="array" ref="O2039">_xlfn.IFS(Table1[[#This Row],[Divorced]]=1, "Divorced", Table1[[#This Row],[Married]]=1, "Married", Table1[[#This Row],[Single]]=1, "Single", Table1[[#This Row],[Together]]=1, "Together", Table1[[#This Row],[Widow]]=1, "Widow")</f>
        <v>Married</v>
      </c>
      <c r="P2039" t="str" cm="1">
        <f t="array" ref="P2039">_xlfn.IFS(Table1[[#This Row],[Basic]]=1, "Basic", Table1[[#This Row],[Graduate]]=1, "Graduate", Table1[[#This Row],[Master]]=1, "Master", Table1[[#This Row],[PhD]]=1, "PhD", AND(Table1[[#This Row],[Basic]]=0, Table1[[#This Row],[Graduate]]=0, Table1[[#This Row],[Master]]=0, Table1[[#This Row],[PhD]]=0), "NA")</f>
        <v>Graduate</v>
      </c>
      <c r="Q2039" t="e">
        <f>_xlfn.XLOOKUP(Table1[[#This Row],[ID]], Table2[ID],#REF!, "Not Found", 0)</f>
        <v>#REF!</v>
      </c>
      <c r="R2039" t="e">
        <f>_xlfn.XLOOKUP(Table1[[#This Row],[ID]], Table2[ID],#REF!, "Not Found", 0)</f>
        <v>#REF!</v>
      </c>
      <c r="S2039" s="3">
        <f>_xlfn.XLOOKUP(Table1[[#This Row],[ID]], Table2[ID], Table2[Enrollment], "Not Found", 0)</f>
        <v>43894</v>
      </c>
      <c r="T2039" t="s">
        <v>438</v>
      </c>
    </row>
    <row r="2040" spans="1:20" x14ac:dyDescent="0.3">
      <c r="A2040">
        <v>1597</v>
      </c>
      <c r="B2040">
        <v>122574</v>
      </c>
      <c r="C2040">
        <v>2</v>
      </c>
      <c r="D2040">
        <v>1</v>
      </c>
      <c r="E2040">
        <v>53</v>
      </c>
      <c r="F2040">
        <v>0</v>
      </c>
      <c r="G2040">
        <v>1</v>
      </c>
      <c r="H2040">
        <v>0</v>
      </c>
      <c r="I2040">
        <v>0</v>
      </c>
      <c r="J2040">
        <v>0</v>
      </c>
      <c r="K2040">
        <v>0</v>
      </c>
      <c r="L2040">
        <v>1</v>
      </c>
      <c r="M2040">
        <v>0</v>
      </c>
      <c r="N2040">
        <v>0</v>
      </c>
      <c r="O2040" t="str" cm="1">
        <f t="array" ref="O2040">_xlfn.IFS(Table1[[#This Row],[Divorced]]=1, "Divorced", Table1[[#This Row],[Married]]=1, "Married", Table1[[#This Row],[Single]]=1, "Single", Table1[[#This Row],[Together]]=1, "Together", Table1[[#This Row],[Widow]]=1, "Widow")</f>
        <v>Married</v>
      </c>
      <c r="P2040" t="str" cm="1">
        <f t="array" ref="P2040">_xlfn.IFS(Table1[[#This Row],[Basic]]=1, "Basic", Table1[[#This Row],[Graduate]]=1, "Graduate", Table1[[#This Row],[Master]]=1, "Master", Table1[[#This Row],[PhD]]=1, "PhD", AND(Table1[[#This Row],[Basic]]=0, Table1[[#This Row],[Graduate]]=0, Table1[[#This Row],[Master]]=0, Table1[[#This Row],[PhD]]=0), "NA")</f>
        <v>Graduate</v>
      </c>
      <c r="Q2040" t="e">
        <f>_xlfn.XLOOKUP(Table1[[#This Row],[ID]], Table2[ID],#REF!, "Not Found", 0)</f>
        <v>#REF!</v>
      </c>
      <c r="R2040" t="e">
        <f>_xlfn.XLOOKUP(Table1[[#This Row],[ID]], Table2[ID],#REF!, "Not Found", 0)</f>
        <v>#REF!</v>
      </c>
      <c r="S2040" s="3">
        <f>_xlfn.XLOOKUP(Table1[[#This Row],[ID]], Table2[ID], Table2[Enrollment], "Not Found", 0)</f>
        <v>43894</v>
      </c>
      <c r="T2040" t="s">
        <v>437</v>
      </c>
    </row>
    <row r="2041" spans="1:20" x14ac:dyDescent="0.3">
      <c r="A2041">
        <v>2657</v>
      </c>
      <c r="B2041">
        <v>122554</v>
      </c>
      <c r="C2041">
        <v>1</v>
      </c>
      <c r="D2041">
        <v>1</v>
      </c>
      <c r="E2041">
        <v>65</v>
      </c>
      <c r="F2041">
        <v>0</v>
      </c>
      <c r="G2041">
        <v>1</v>
      </c>
      <c r="H2041">
        <v>0</v>
      </c>
      <c r="I2041">
        <v>0</v>
      </c>
      <c r="J2041">
        <v>0</v>
      </c>
      <c r="K2041">
        <v>0</v>
      </c>
      <c r="L2041">
        <v>0</v>
      </c>
      <c r="M2041">
        <v>0</v>
      </c>
      <c r="N2041">
        <v>1</v>
      </c>
      <c r="O2041" t="str" cm="1">
        <f t="array" ref="O2041">_xlfn.IFS(Table1[[#This Row],[Divorced]]=1, "Divorced", Table1[[#This Row],[Married]]=1, "Married", Table1[[#This Row],[Single]]=1, "Single", Table1[[#This Row],[Together]]=1, "Together", Table1[[#This Row],[Widow]]=1, "Widow")</f>
        <v>Married</v>
      </c>
      <c r="P2041" t="str" cm="1">
        <f t="array" ref="P2041">_xlfn.IFS(Table1[[#This Row],[Basic]]=1, "Basic", Table1[[#This Row],[Graduate]]=1, "Graduate", Table1[[#This Row],[Master]]=1, "Master", Table1[[#This Row],[PhD]]=1, "PhD", AND(Table1[[#This Row],[Basic]]=0, Table1[[#This Row],[Graduate]]=0, Table1[[#This Row],[Master]]=0, Table1[[#This Row],[PhD]]=0), "NA")</f>
        <v>PhD</v>
      </c>
      <c r="Q2041" t="e">
        <f>_xlfn.XLOOKUP(Table1[[#This Row],[ID]], Table2[ID],#REF!, "Not Found", 0)</f>
        <v>#REF!</v>
      </c>
      <c r="R2041" t="e">
        <f>_xlfn.XLOOKUP(Table1[[#This Row],[ID]], Table2[ID],#REF!, "Not Found", 0)</f>
        <v>#REF!</v>
      </c>
      <c r="S2041" s="3">
        <f>_xlfn.XLOOKUP(Table1[[#This Row],[ID]], Table2[ID], Table2[Enrollment], "Not Found", 0)</f>
        <v>43742</v>
      </c>
      <c r="T2041" t="s">
        <v>434</v>
      </c>
    </row>
    <row r="2042" spans="1:20" x14ac:dyDescent="0.3">
      <c r="A2042">
        <v>2208</v>
      </c>
      <c r="B2042">
        <v>122518</v>
      </c>
      <c r="C2042">
        <v>1</v>
      </c>
      <c r="D2042">
        <v>0</v>
      </c>
      <c r="E2042">
        <v>34</v>
      </c>
      <c r="F2042">
        <v>0</v>
      </c>
      <c r="G2042">
        <v>1</v>
      </c>
      <c r="H2042">
        <v>0</v>
      </c>
      <c r="I2042">
        <v>0</v>
      </c>
      <c r="J2042">
        <v>0</v>
      </c>
      <c r="K2042">
        <v>0</v>
      </c>
      <c r="L2042">
        <v>1</v>
      </c>
      <c r="M2042">
        <v>0</v>
      </c>
      <c r="N2042">
        <v>0</v>
      </c>
      <c r="O2042" t="str" cm="1">
        <f t="array" ref="O2042">_xlfn.IFS(Table1[[#This Row],[Divorced]]=1, "Divorced", Table1[[#This Row],[Married]]=1, "Married", Table1[[#This Row],[Single]]=1, "Single", Table1[[#This Row],[Together]]=1, "Together", Table1[[#This Row],[Widow]]=1, "Widow")</f>
        <v>Married</v>
      </c>
      <c r="P2042" t="str" cm="1">
        <f t="array" ref="P2042">_xlfn.IFS(Table1[[#This Row],[Basic]]=1, "Basic", Table1[[#This Row],[Graduate]]=1, "Graduate", Table1[[#This Row],[Master]]=1, "Master", Table1[[#This Row],[PhD]]=1, "PhD", AND(Table1[[#This Row],[Basic]]=0, Table1[[#This Row],[Graduate]]=0, Table1[[#This Row],[Master]]=0, Table1[[#This Row],[PhD]]=0), "NA")</f>
        <v>Graduate</v>
      </c>
      <c r="Q2042" t="e">
        <f>_xlfn.XLOOKUP(Table1[[#This Row],[ID]], Table2[ID],#REF!, "Not Found", 0)</f>
        <v>#REF!</v>
      </c>
      <c r="R2042" t="e">
        <f>_xlfn.XLOOKUP(Table1[[#This Row],[ID]], Table2[ID],#REF!, "Not Found", 0)</f>
        <v>#REF!</v>
      </c>
      <c r="S2042" s="3" t="str">
        <f>_xlfn.XLOOKUP(Table1[[#This Row],[ID]], Table2[ID], Table2[Enrollment], "Not Found", 0)</f>
        <v>3/29/2019</v>
      </c>
      <c r="T2042" t="s">
        <v>436</v>
      </c>
    </row>
    <row r="2043" spans="1:20" x14ac:dyDescent="0.3">
      <c r="A2043">
        <v>1798</v>
      </c>
      <c r="B2043">
        <v>122507</v>
      </c>
      <c r="C2043">
        <v>0</v>
      </c>
      <c r="D2043">
        <v>0</v>
      </c>
      <c r="E2043">
        <v>66</v>
      </c>
      <c r="F2043">
        <v>0</v>
      </c>
      <c r="G2043">
        <v>0</v>
      </c>
      <c r="H2043">
        <v>1</v>
      </c>
      <c r="I2043">
        <v>0</v>
      </c>
      <c r="J2043">
        <v>0</v>
      </c>
      <c r="K2043">
        <v>0</v>
      </c>
      <c r="L2043">
        <v>1</v>
      </c>
      <c r="M2043">
        <v>0</v>
      </c>
      <c r="N2043">
        <v>0</v>
      </c>
      <c r="O2043" t="str" cm="1">
        <f t="array" ref="O2043">_xlfn.IFS(Table1[[#This Row],[Divorced]]=1, "Divorced", Table1[[#This Row],[Married]]=1, "Married", Table1[[#This Row],[Single]]=1, "Single", Table1[[#This Row],[Together]]=1, "Together", Table1[[#This Row],[Widow]]=1, "Widow")</f>
        <v>Single</v>
      </c>
      <c r="P2043" t="str" cm="1">
        <f t="array" ref="P2043">_xlfn.IFS(Table1[[#This Row],[Basic]]=1, "Basic", Table1[[#This Row],[Graduate]]=1, "Graduate", Table1[[#This Row],[Master]]=1, "Master", Table1[[#This Row],[PhD]]=1, "PhD", AND(Table1[[#This Row],[Basic]]=0, Table1[[#This Row],[Graduate]]=0, Table1[[#This Row],[Master]]=0, Table1[[#This Row],[PhD]]=0), "NA")</f>
        <v>Graduate</v>
      </c>
      <c r="Q2043" t="e">
        <f>_xlfn.XLOOKUP(Table1[[#This Row],[ID]], Table2[ID],#REF!, "Not Found", 0)</f>
        <v>#REF!</v>
      </c>
      <c r="R2043" t="e">
        <f>_xlfn.XLOOKUP(Table1[[#This Row],[ID]], Table2[ID],#REF!, "Not Found", 0)</f>
        <v>#REF!</v>
      </c>
      <c r="S2043" s="3">
        <f>_xlfn.XLOOKUP(Table1[[#This Row],[ID]], Table2[ID], Table2[Enrollment], "Not Found", 0)</f>
        <v>43470</v>
      </c>
      <c r="T2043" t="s">
        <v>439</v>
      </c>
    </row>
    <row r="2044" spans="1:20" x14ac:dyDescent="0.3">
      <c r="A2044">
        <v>2626</v>
      </c>
      <c r="B2044">
        <v>122448</v>
      </c>
      <c r="C2044">
        <v>1</v>
      </c>
      <c r="D2044">
        <v>0</v>
      </c>
      <c r="E2044">
        <v>38</v>
      </c>
      <c r="F2044">
        <v>0</v>
      </c>
      <c r="G2044">
        <v>1</v>
      </c>
      <c r="H2044">
        <v>0</v>
      </c>
      <c r="I2044">
        <v>0</v>
      </c>
      <c r="J2044">
        <v>0</v>
      </c>
      <c r="K2044">
        <v>0</v>
      </c>
      <c r="L2044">
        <v>1</v>
      </c>
      <c r="M2044">
        <v>0</v>
      </c>
      <c r="N2044">
        <v>0</v>
      </c>
      <c r="O2044" t="str" cm="1">
        <f t="array" ref="O2044">_xlfn.IFS(Table1[[#This Row],[Divorced]]=1, "Divorced", Table1[[#This Row],[Married]]=1, "Married", Table1[[#This Row],[Single]]=1, "Single", Table1[[#This Row],[Together]]=1, "Together", Table1[[#This Row],[Widow]]=1, "Widow")</f>
        <v>Married</v>
      </c>
      <c r="P2044" t="str" cm="1">
        <f t="array" ref="P2044">_xlfn.IFS(Table1[[#This Row],[Basic]]=1, "Basic", Table1[[#This Row],[Graduate]]=1, "Graduate", Table1[[#This Row],[Master]]=1, "Master", Table1[[#This Row],[PhD]]=1, "PhD", AND(Table1[[#This Row],[Basic]]=0, Table1[[#This Row],[Graduate]]=0, Table1[[#This Row],[Master]]=0, Table1[[#This Row],[PhD]]=0), "NA")</f>
        <v>Graduate</v>
      </c>
      <c r="Q2044" t="e">
        <f>_xlfn.XLOOKUP(Table1[[#This Row],[ID]], Table2[ID],#REF!, "Not Found", 0)</f>
        <v>#REF!</v>
      </c>
      <c r="R2044" t="e">
        <f>_xlfn.XLOOKUP(Table1[[#This Row],[ID]], Table2[ID],#REF!, "Not Found", 0)</f>
        <v>#REF!</v>
      </c>
      <c r="S2044" s="3">
        <f>_xlfn.XLOOKUP(Table1[[#This Row],[ID]], Table2[ID], Table2[Enrollment], "Not Found", 0)</f>
        <v>43869</v>
      </c>
      <c r="T2044" t="s">
        <v>439</v>
      </c>
    </row>
    <row r="2045" spans="1:20" x14ac:dyDescent="0.3">
      <c r="A2045">
        <v>1984</v>
      </c>
      <c r="B2045">
        <v>122434</v>
      </c>
      <c r="C2045">
        <v>1</v>
      </c>
      <c r="D2045">
        <v>0</v>
      </c>
      <c r="E2045">
        <v>33</v>
      </c>
      <c r="F2045">
        <v>0</v>
      </c>
      <c r="G2045">
        <v>0</v>
      </c>
      <c r="H2045">
        <v>0</v>
      </c>
      <c r="I2045">
        <v>1</v>
      </c>
      <c r="J2045">
        <v>0</v>
      </c>
      <c r="K2045">
        <v>0</v>
      </c>
      <c r="L2045">
        <v>1</v>
      </c>
      <c r="M2045">
        <v>0</v>
      </c>
      <c r="N2045">
        <v>0</v>
      </c>
      <c r="O2045" t="str" cm="1">
        <f t="array" ref="O2045">_xlfn.IFS(Table1[[#This Row],[Divorced]]=1, "Divorced", Table1[[#This Row],[Married]]=1, "Married", Table1[[#This Row],[Single]]=1, "Single", Table1[[#This Row],[Together]]=1, "Together", Table1[[#This Row],[Widow]]=1, "Widow")</f>
        <v>Together</v>
      </c>
      <c r="P2045" t="str" cm="1">
        <f t="array" ref="P2045">_xlfn.IFS(Table1[[#This Row],[Basic]]=1, "Basic", Table1[[#This Row],[Graduate]]=1, "Graduate", Table1[[#This Row],[Master]]=1, "Master", Table1[[#This Row],[PhD]]=1, "PhD", AND(Table1[[#This Row],[Basic]]=0, Table1[[#This Row],[Graduate]]=0, Table1[[#This Row],[Master]]=0, Table1[[#This Row],[PhD]]=0), "NA")</f>
        <v>Graduate</v>
      </c>
      <c r="Q2045" t="e">
        <f>_xlfn.XLOOKUP(Table1[[#This Row],[ID]], Table2[ID],#REF!, "Not Found", 0)</f>
        <v>#REF!</v>
      </c>
      <c r="R2045" t="e">
        <f>_xlfn.XLOOKUP(Table1[[#This Row],[ID]], Table2[ID],#REF!, "Not Found", 0)</f>
        <v>#REF!</v>
      </c>
      <c r="S2045" s="3" t="str">
        <f>_xlfn.XLOOKUP(Table1[[#This Row],[ID]], Table2[ID], Table2[Enrollment], "Not Found", 0)</f>
        <v>7/21/2019</v>
      </c>
      <c r="T2045" t="s">
        <v>439</v>
      </c>
    </row>
    <row r="2046" spans="1:20" x14ac:dyDescent="0.3">
      <c r="A2046">
        <v>1537</v>
      </c>
      <c r="B2046">
        <v>122419</v>
      </c>
      <c r="C2046">
        <v>0</v>
      </c>
      <c r="D2046">
        <v>0</v>
      </c>
      <c r="E2046">
        <v>57</v>
      </c>
      <c r="F2046">
        <v>0</v>
      </c>
      <c r="G2046">
        <v>1</v>
      </c>
      <c r="H2046">
        <v>0</v>
      </c>
      <c r="I2046">
        <v>0</v>
      </c>
      <c r="J2046">
        <v>0</v>
      </c>
      <c r="K2046">
        <v>0</v>
      </c>
      <c r="L2046">
        <v>1</v>
      </c>
      <c r="M2046">
        <v>0</v>
      </c>
      <c r="N2046">
        <v>0</v>
      </c>
      <c r="O2046" t="str" cm="1">
        <f t="array" ref="O2046">_xlfn.IFS(Table1[[#This Row],[Divorced]]=1, "Divorced", Table1[[#This Row],[Married]]=1, "Married", Table1[[#This Row],[Single]]=1, "Single", Table1[[#This Row],[Together]]=1, "Together", Table1[[#This Row],[Widow]]=1, "Widow")</f>
        <v>Married</v>
      </c>
      <c r="P2046" t="str" cm="1">
        <f t="array" ref="P2046">_xlfn.IFS(Table1[[#This Row],[Basic]]=1, "Basic", Table1[[#This Row],[Graduate]]=1, "Graduate", Table1[[#This Row],[Master]]=1, "Master", Table1[[#This Row],[PhD]]=1, "PhD", AND(Table1[[#This Row],[Basic]]=0, Table1[[#This Row],[Graduate]]=0, Table1[[#This Row],[Master]]=0, Table1[[#This Row],[PhD]]=0), "NA")</f>
        <v>Graduate</v>
      </c>
      <c r="Q2046" t="e">
        <f>_xlfn.XLOOKUP(Table1[[#This Row],[ID]], Table2[ID],#REF!, "Not Found", 0)</f>
        <v>#REF!</v>
      </c>
      <c r="R2046" t="e">
        <f>_xlfn.XLOOKUP(Table1[[#This Row],[ID]], Table2[ID],#REF!, "Not Found", 0)</f>
        <v>#REF!</v>
      </c>
      <c r="S2046" s="3" t="str">
        <f>_xlfn.XLOOKUP(Table1[[#This Row],[ID]], Table2[ID], Table2[Enrollment], "Not Found", 0)</f>
        <v>9/23/2019</v>
      </c>
      <c r="T2046" t="s">
        <v>437</v>
      </c>
    </row>
    <row r="2047" spans="1:20" x14ac:dyDescent="0.3">
      <c r="A2047">
        <v>1804</v>
      </c>
      <c r="B2047">
        <v>122419</v>
      </c>
      <c r="C2047">
        <v>0</v>
      </c>
      <c r="D2047">
        <v>0</v>
      </c>
      <c r="E2047">
        <v>57</v>
      </c>
      <c r="F2047">
        <v>0</v>
      </c>
      <c r="G2047">
        <v>1</v>
      </c>
      <c r="H2047">
        <v>0</v>
      </c>
      <c r="I2047">
        <v>0</v>
      </c>
      <c r="J2047">
        <v>0</v>
      </c>
      <c r="K2047">
        <v>0</v>
      </c>
      <c r="L2047">
        <v>1</v>
      </c>
      <c r="M2047">
        <v>0</v>
      </c>
      <c r="N2047">
        <v>0</v>
      </c>
      <c r="O2047" t="str" cm="1">
        <f t="array" ref="O2047">_xlfn.IFS(Table1[[#This Row],[Divorced]]=1, "Divorced", Table1[[#This Row],[Married]]=1, "Married", Table1[[#This Row],[Single]]=1, "Single", Table1[[#This Row],[Together]]=1, "Together", Table1[[#This Row],[Widow]]=1, "Widow")</f>
        <v>Married</v>
      </c>
      <c r="P2047" t="str" cm="1">
        <f t="array" ref="P2047">_xlfn.IFS(Table1[[#This Row],[Basic]]=1, "Basic", Table1[[#This Row],[Graduate]]=1, "Graduate", Table1[[#This Row],[Master]]=1, "Master", Table1[[#This Row],[PhD]]=1, "PhD", AND(Table1[[#This Row],[Basic]]=0, Table1[[#This Row],[Graduate]]=0, Table1[[#This Row],[Master]]=0, Table1[[#This Row],[PhD]]=0), "NA")</f>
        <v>Graduate</v>
      </c>
      <c r="Q2047" t="e">
        <f>_xlfn.XLOOKUP(Table1[[#This Row],[ID]], Table2[ID],#REF!, "Not Found", 0)</f>
        <v>#REF!</v>
      </c>
      <c r="R2047" t="e">
        <f>_xlfn.XLOOKUP(Table1[[#This Row],[ID]], Table2[ID],#REF!, "Not Found", 0)</f>
        <v>#REF!</v>
      </c>
      <c r="S2047" s="3" t="str">
        <f>_xlfn.XLOOKUP(Table1[[#This Row],[ID]], Table2[ID], Table2[Enrollment], "Not Found", 0)</f>
        <v>9/23/2019</v>
      </c>
      <c r="T2047" t="s">
        <v>439</v>
      </c>
    </row>
    <row r="2048" spans="1:20" x14ac:dyDescent="0.3">
      <c r="A2048">
        <v>3060</v>
      </c>
      <c r="B2048">
        <v>122390</v>
      </c>
      <c r="C2048">
        <v>0</v>
      </c>
      <c r="D2048">
        <v>0</v>
      </c>
      <c r="E2048">
        <v>51</v>
      </c>
      <c r="F2048">
        <v>0</v>
      </c>
      <c r="G2048">
        <v>0</v>
      </c>
      <c r="H2048">
        <v>0</v>
      </c>
      <c r="I2048">
        <v>1</v>
      </c>
      <c r="J2048">
        <v>0</v>
      </c>
      <c r="K2048">
        <v>1</v>
      </c>
      <c r="L2048">
        <v>0</v>
      </c>
      <c r="M2048">
        <v>0</v>
      </c>
      <c r="N2048">
        <v>0</v>
      </c>
      <c r="O2048" t="str" cm="1">
        <f t="array" ref="O2048">_xlfn.IFS(Table1[[#This Row],[Divorced]]=1, "Divorced", Table1[[#This Row],[Married]]=1, "Married", Table1[[#This Row],[Single]]=1, "Single", Table1[[#This Row],[Together]]=1, "Together", Table1[[#This Row],[Widow]]=1, "Widow")</f>
        <v>Together</v>
      </c>
      <c r="P2048" t="str" cm="1">
        <f t="array" ref="P2048">_xlfn.IFS(Table1[[#This Row],[Basic]]=1, "Basic", Table1[[#This Row],[Graduate]]=1, "Graduate", Table1[[#This Row],[Master]]=1, "Master", Table1[[#This Row],[PhD]]=1, "PhD", AND(Table1[[#This Row],[Basic]]=0, Table1[[#This Row],[Graduate]]=0, Table1[[#This Row],[Master]]=0, Table1[[#This Row],[PhD]]=0), "NA")</f>
        <v>Basic</v>
      </c>
      <c r="Q2048" t="e">
        <f>_xlfn.XLOOKUP(Table1[[#This Row],[ID]], Table2[ID],#REF!, "Not Found", 0)</f>
        <v>#REF!</v>
      </c>
      <c r="R2048" t="e">
        <f>_xlfn.XLOOKUP(Table1[[#This Row],[ID]], Table2[ID],#REF!, "Not Found", 0)</f>
        <v>#REF!</v>
      </c>
      <c r="S2048" s="3" t="str">
        <f>_xlfn.XLOOKUP(Table1[[#This Row],[ID]], Table2[ID], Table2[Enrollment], "Not Found", 0)</f>
        <v>3/27/2020</v>
      </c>
      <c r="T2048" t="s">
        <v>436</v>
      </c>
    </row>
    <row r="2049" spans="1:20" x14ac:dyDescent="0.3">
      <c r="A2049">
        <v>2166</v>
      </c>
      <c r="B2049">
        <v>122327</v>
      </c>
      <c r="C2049">
        <v>1</v>
      </c>
      <c r="D2049">
        <v>0</v>
      </c>
      <c r="E2049">
        <v>35</v>
      </c>
      <c r="F2049">
        <v>0</v>
      </c>
      <c r="G2049">
        <v>0</v>
      </c>
      <c r="H2049">
        <v>1</v>
      </c>
      <c r="I2049">
        <v>0</v>
      </c>
      <c r="J2049">
        <v>0</v>
      </c>
      <c r="K2049">
        <v>0</v>
      </c>
      <c r="L2049">
        <v>1</v>
      </c>
      <c r="M2049">
        <v>0</v>
      </c>
      <c r="N2049">
        <v>0</v>
      </c>
      <c r="O2049" t="str" cm="1">
        <f t="array" ref="O2049">_xlfn.IFS(Table1[[#This Row],[Divorced]]=1, "Divorced", Table1[[#This Row],[Married]]=1, "Married", Table1[[#This Row],[Single]]=1, "Single", Table1[[#This Row],[Together]]=1, "Together", Table1[[#This Row],[Widow]]=1, "Widow")</f>
        <v>Single</v>
      </c>
      <c r="P2049" t="str" cm="1">
        <f t="array" ref="P2049">_xlfn.IFS(Table1[[#This Row],[Basic]]=1, "Basic", Table1[[#This Row],[Graduate]]=1, "Graduate", Table1[[#This Row],[Master]]=1, "Master", Table1[[#This Row],[PhD]]=1, "PhD", AND(Table1[[#This Row],[Basic]]=0, Table1[[#This Row],[Graduate]]=0, Table1[[#This Row],[Master]]=0, Table1[[#This Row],[PhD]]=0), "NA")</f>
        <v>Graduate</v>
      </c>
      <c r="Q2049" t="e">
        <f>_xlfn.XLOOKUP(Table1[[#This Row],[ID]], Table2[ID],#REF!, "Not Found", 0)</f>
        <v>#REF!</v>
      </c>
      <c r="R2049" t="e">
        <f>_xlfn.XLOOKUP(Table1[[#This Row],[ID]], Table2[ID],#REF!, "Not Found", 0)</f>
        <v>#REF!</v>
      </c>
      <c r="S2049" s="3">
        <f>_xlfn.XLOOKUP(Table1[[#This Row],[ID]], Table2[ID], Table2[Enrollment], "Not Found", 0)</f>
        <v>44013</v>
      </c>
      <c r="T2049" t="s">
        <v>436</v>
      </c>
    </row>
    <row r="2050" spans="1:20" x14ac:dyDescent="0.3">
      <c r="A2050">
        <v>2049</v>
      </c>
      <c r="B2050">
        <v>122304</v>
      </c>
      <c r="C2050">
        <v>0</v>
      </c>
      <c r="D2050">
        <v>0</v>
      </c>
      <c r="E2050">
        <v>64</v>
      </c>
      <c r="F2050">
        <v>1</v>
      </c>
      <c r="G2050">
        <v>0</v>
      </c>
      <c r="H2050">
        <v>0</v>
      </c>
      <c r="I2050">
        <v>0</v>
      </c>
      <c r="J2050">
        <v>0</v>
      </c>
      <c r="K2050">
        <v>0</v>
      </c>
      <c r="L2050">
        <v>1</v>
      </c>
      <c r="M2050">
        <v>0</v>
      </c>
      <c r="N2050">
        <v>0</v>
      </c>
      <c r="O2050" t="str" cm="1">
        <f t="array" ref="O2050">_xlfn.IFS(Table1[[#This Row],[Divorced]]=1, "Divorced", Table1[[#This Row],[Married]]=1, "Married", Table1[[#This Row],[Single]]=1, "Single", Table1[[#This Row],[Together]]=1, "Together", Table1[[#This Row],[Widow]]=1, "Widow")</f>
        <v>Divorced</v>
      </c>
      <c r="P2050" t="str" cm="1">
        <f t="array" ref="P2050">_xlfn.IFS(Table1[[#This Row],[Basic]]=1, "Basic", Table1[[#This Row],[Graduate]]=1, "Graduate", Table1[[#This Row],[Master]]=1, "Master", Table1[[#This Row],[PhD]]=1, "PhD", AND(Table1[[#This Row],[Basic]]=0, Table1[[#This Row],[Graduate]]=0, Table1[[#This Row],[Master]]=0, Table1[[#This Row],[PhD]]=0), "NA")</f>
        <v>Graduate</v>
      </c>
      <c r="Q2050" t="e">
        <f>_xlfn.XLOOKUP(Table1[[#This Row],[ID]], Table2[ID],#REF!, "Not Found", 0)</f>
        <v>#REF!</v>
      </c>
      <c r="R2050" t="e">
        <f>_xlfn.XLOOKUP(Table1[[#This Row],[ID]], Table2[ID],#REF!, "Not Found", 0)</f>
        <v>#REF!</v>
      </c>
      <c r="S2050" s="3">
        <f>_xlfn.XLOOKUP(Table1[[#This Row],[ID]], Table2[ID], Table2[Enrollment], "Not Found", 0)</f>
        <v>43709</v>
      </c>
      <c r="T2050" t="s">
        <v>435</v>
      </c>
    </row>
    <row r="2051" spans="1:20" x14ac:dyDescent="0.3">
      <c r="A2051">
        <v>2826</v>
      </c>
      <c r="B2051">
        <v>122280</v>
      </c>
      <c r="C2051">
        <v>1</v>
      </c>
      <c r="D2051">
        <v>0</v>
      </c>
      <c r="E2051">
        <v>45</v>
      </c>
      <c r="F2051">
        <v>0</v>
      </c>
      <c r="G2051">
        <v>0</v>
      </c>
      <c r="H2051">
        <v>0</v>
      </c>
      <c r="I2051">
        <v>1</v>
      </c>
      <c r="J2051">
        <v>0</v>
      </c>
      <c r="K2051">
        <v>0</v>
      </c>
      <c r="L2051">
        <v>1</v>
      </c>
      <c r="M2051">
        <v>0</v>
      </c>
      <c r="N2051">
        <v>0</v>
      </c>
      <c r="O2051" t="str" cm="1">
        <f t="array" ref="O2051">_xlfn.IFS(Table1[[#This Row],[Divorced]]=1, "Divorced", Table1[[#This Row],[Married]]=1, "Married", Table1[[#This Row],[Single]]=1, "Single", Table1[[#This Row],[Together]]=1, "Together", Table1[[#This Row],[Widow]]=1, "Widow")</f>
        <v>Together</v>
      </c>
      <c r="P2051" t="str" cm="1">
        <f t="array" ref="P2051">_xlfn.IFS(Table1[[#This Row],[Basic]]=1, "Basic", Table1[[#This Row],[Graduate]]=1, "Graduate", Table1[[#This Row],[Master]]=1, "Master", Table1[[#This Row],[PhD]]=1, "PhD", AND(Table1[[#This Row],[Basic]]=0, Table1[[#This Row],[Graduate]]=0, Table1[[#This Row],[Master]]=0, Table1[[#This Row],[PhD]]=0), "NA")</f>
        <v>Graduate</v>
      </c>
      <c r="Q2051" t="e">
        <f>_xlfn.XLOOKUP(Table1[[#This Row],[ID]], Table2[ID],#REF!, "Not Found", 0)</f>
        <v>#REF!</v>
      </c>
      <c r="R2051" t="e">
        <f>_xlfn.XLOOKUP(Table1[[#This Row],[ID]], Table2[ID],#REF!, "Not Found", 0)</f>
        <v>#REF!</v>
      </c>
      <c r="S2051" s="3" t="str">
        <f>_xlfn.XLOOKUP(Table1[[#This Row],[ID]], Table2[ID], Table2[Enrollment], "Not Found", 0)</f>
        <v>10/24/2019</v>
      </c>
      <c r="T2051" t="s">
        <v>436</v>
      </c>
    </row>
    <row r="2052" spans="1:20" x14ac:dyDescent="0.3">
      <c r="A2052">
        <v>2993</v>
      </c>
      <c r="B2052">
        <v>122263</v>
      </c>
      <c r="C2052">
        <v>1</v>
      </c>
      <c r="D2052">
        <v>1</v>
      </c>
      <c r="E2052">
        <v>69</v>
      </c>
      <c r="F2052">
        <v>1</v>
      </c>
      <c r="G2052">
        <v>0</v>
      </c>
      <c r="H2052">
        <v>0</v>
      </c>
      <c r="I2052">
        <v>0</v>
      </c>
      <c r="J2052">
        <v>0</v>
      </c>
      <c r="K2052">
        <v>0</v>
      </c>
      <c r="L2052">
        <v>1</v>
      </c>
      <c r="M2052">
        <v>0</v>
      </c>
      <c r="N2052">
        <v>0</v>
      </c>
      <c r="O2052" t="str" cm="1">
        <f t="array" ref="O2052">_xlfn.IFS(Table1[[#This Row],[Divorced]]=1, "Divorced", Table1[[#This Row],[Married]]=1, "Married", Table1[[#This Row],[Single]]=1, "Single", Table1[[#This Row],[Together]]=1, "Together", Table1[[#This Row],[Widow]]=1, "Widow")</f>
        <v>Divorced</v>
      </c>
      <c r="P2052" t="str" cm="1">
        <f t="array" ref="P2052">_xlfn.IFS(Table1[[#This Row],[Basic]]=1, "Basic", Table1[[#This Row],[Graduate]]=1, "Graduate", Table1[[#This Row],[Master]]=1, "Master", Table1[[#This Row],[PhD]]=1, "PhD", AND(Table1[[#This Row],[Basic]]=0, Table1[[#This Row],[Graduate]]=0, Table1[[#This Row],[Master]]=0, Table1[[#This Row],[PhD]]=0), "NA")</f>
        <v>Graduate</v>
      </c>
      <c r="Q2052" t="e">
        <f>_xlfn.XLOOKUP(Table1[[#This Row],[ID]], Table2[ID],#REF!, "Not Found", 0)</f>
        <v>#REF!</v>
      </c>
      <c r="R2052" t="e">
        <f>_xlfn.XLOOKUP(Table1[[#This Row],[ID]], Table2[ID],#REF!, "Not Found", 0)</f>
        <v>#REF!</v>
      </c>
      <c r="S2052" s="3">
        <f>_xlfn.XLOOKUP(Table1[[#This Row],[ID]], Table2[ID], Table2[Enrollment], "Not Found", 0)</f>
        <v>43899</v>
      </c>
      <c r="T2052" t="s">
        <v>434</v>
      </c>
    </row>
    <row r="2053" spans="1:20" x14ac:dyDescent="0.3">
      <c r="A2053">
        <v>1223</v>
      </c>
      <c r="B2053">
        <v>122212</v>
      </c>
      <c r="C2053">
        <v>1</v>
      </c>
      <c r="D2053">
        <v>0</v>
      </c>
      <c r="E2053">
        <v>45</v>
      </c>
      <c r="F2053">
        <v>0</v>
      </c>
      <c r="G2053">
        <v>1</v>
      </c>
      <c r="H2053">
        <v>0</v>
      </c>
      <c r="I2053">
        <v>0</v>
      </c>
      <c r="J2053">
        <v>0</v>
      </c>
      <c r="K2053">
        <v>0</v>
      </c>
      <c r="L2053">
        <v>0</v>
      </c>
      <c r="M2053">
        <v>0</v>
      </c>
      <c r="N2053">
        <v>0</v>
      </c>
      <c r="O2053" t="str" cm="1">
        <f t="array" ref="O2053">_xlfn.IFS(Table1[[#This Row],[Divorced]]=1, "Divorced", Table1[[#This Row],[Married]]=1, "Married", Table1[[#This Row],[Single]]=1, "Single", Table1[[#This Row],[Together]]=1, "Together", Table1[[#This Row],[Widow]]=1, "Widow")</f>
        <v>Married</v>
      </c>
      <c r="P2053" t="str" cm="1">
        <f t="array" ref="P2053">_xlfn.IFS(Table1[[#This Row],[Basic]]=1, "Basic", Table1[[#This Row],[Graduate]]=1, "Graduate", Table1[[#This Row],[Master]]=1, "Master", Table1[[#This Row],[PhD]]=1, "PhD", AND(Table1[[#This Row],[Basic]]=0, Table1[[#This Row],[Graduate]]=0, Table1[[#This Row],[Master]]=0, Table1[[#This Row],[PhD]]=0), "NA")</f>
        <v>NA</v>
      </c>
      <c r="Q2053" t="e">
        <f>_xlfn.XLOOKUP(Table1[[#This Row],[ID]], Table2[ID],#REF!, "Not Found", 0)</f>
        <v>#REF!</v>
      </c>
      <c r="R2053" t="e">
        <f>_xlfn.XLOOKUP(Table1[[#This Row],[ID]], Table2[ID],#REF!, "Not Found", 0)</f>
        <v>#REF!</v>
      </c>
      <c r="S2053" s="3" t="str">
        <f>_xlfn.XLOOKUP(Table1[[#This Row],[ID]], Table2[ID], Table2[Enrollment], "Not Found", 0)</f>
        <v>5/15/2020</v>
      </c>
      <c r="T2053" t="s">
        <v>434</v>
      </c>
    </row>
    <row r="2054" spans="1:20" x14ac:dyDescent="0.3">
      <c r="A2054">
        <v>2876</v>
      </c>
      <c r="B2054">
        <v>122148</v>
      </c>
      <c r="C2054">
        <v>0</v>
      </c>
      <c r="D2054">
        <v>0</v>
      </c>
      <c r="E2054">
        <v>37</v>
      </c>
      <c r="F2054">
        <v>0</v>
      </c>
      <c r="G2054">
        <v>0</v>
      </c>
      <c r="H2054">
        <v>1</v>
      </c>
      <c r="I2054">
        <v>0</v>
      </c>
      <c r="J2054">
        <v>0</v>
      </c>
      <c r="K2054">
        <v>0</v>
      </c>
      <c r="L2054">
        <v>1</v>
      </c>
      <c r="M2054">
        <v>0</v>
      </c>
      <c r="N2054">
        <v>0</v>
      </c>
      <c r="O2054" t="str" cm="1">
        <f t="array" ref="O2054">_xlfn.IFS(Table1[[#This Row],[Divorced]]=1, "Divorced", Table1[[#This Row],[Married]]=1, "Married", Table1[[#This Row],[Single]]=1, "Single", Table1[[#This Row],[Together]]=1, "Together", Table1[[#This Row],[Widow]]=1, "Widow")</f>
        <v>Single</v>
      </c>
      <c r="P2054" t="str" cm="1">
        <f t="array" ref="P2054">_xlfn.IFS(Table1[[#This Row],[Basic]]=1, "Basic", Table1[[#This Row],[Graduate]]=1, "Graduate", Table1[[#This Row],[Master]]=1, "Master", Table1[[#This Row],[PhD]]=1, "PhD", AND(Table1[[#This Row],[Basic]]=0, Table1[[#This Row],[Graduate]]=0, Table1[[#This Row],[Master]]=0, Table1[[#This Row],[PhD]]=0), "NA")</f>
        <v>Graduate</v>
      </c>
      <c r="Q2054" t="e">
        <f>_xlfn.XLOOKUP(Table1[[#This Row],[ID]], Table2[ID],#REF!, "Not Found", 0)</f>
        <v>#REF!</v>
      </c>
      <c r="R2054" t="e">
        <f>_xlfn.XLOOKUP(Table1[[#This Row],[ID]], Table2[ID],#REF!, "Not Found", 0)</f>
        <v>#REF!</v>
      </c>
      <c r="S2054" s="3" t="str">
        <f>_xlfn.XLOOKUP(Table1[[#This Row],[ID]], Table2[ID], Table2[Enrollment], "Not Found", 0)</f>
        <v>9/17/2020</v>
      </c>
      <c r="T2054" t="s">
        <v>438</v>
      </c>
    </row>
    <row r="2055" spans="1:20" x14ac:dyDescent="0.3">
      <c r="A2055">
        <v>3050</v>
      </c>
      <c r="B2055">
        <v>122123</v>
      </c>
      <c r="C2055">
        <v>0</v>
      </c>
      <c r="D2055">
        <v>0</v>
      </c>
      <c r="E2055">
        <v>60</v>
      </c>
      <c r="F2055">
        <v>0</v>
      </c>
      <c r="G2055">
        <v>0</v>
      </c>
      <c r="H2055">
        <v>0</v>
      </c>
      <c r="I2055">
        <v>0</v>
      </c>
      <c r="J2055">
        <v>1</v>
      </c>
      <c r="K2055">
        <v>1</v>
      </c>
      <c r="L2055">
        <v>0</v>
      </c>
      <c r="M2055">
        <v>0</v>
      </c>
      <c r="N2055">
        <v>0</v>
      </c>
      <c r="O2055" t="str" cm="1">
        <f t="array" ref="O2055">_xlfn.IFS(Table1[[#This Row],[Divorced]]=1, "Divorced", Table1[[#This Row],[Married]]=1, "Married", Table1[[#This Row],[Single]]=1, "Single", Table1[[#This Row],[Together]]=1, "Together", Table1[[#This Row],[Widow]]=1, "Widow")</f>
        <v>Widow</v>
      </c>
      <c r="P2055" t="str" cm="1">
        <f t="array" ref="P2055">_xlfn.IFS(Table1[[#This Row],[Basic]]=1, "Basic", Table1[[#This Row],[Graduate]]=1, "Graduate", Table1[[#This Row],[Master]]=1, "Master", Table1[[#This Row],[PhD]]=1, "PhD", AND(Table1[[#This Row],[Basic]]=0, Table1[[#This Row],[Graduate]]=0, Table1[[#This Row],[Master]]=0, Table1[[#This Row],[PhD]]=0), "NA")</f>
        <v>Basic</v>
      </c>
      <c r="Q2055" t="e">
        <f>_xlfn.XLOOKUP(Table1[[#This Row],[ID]], Table2[ID],#REF!, "Not Found", 0)</f>
        <v>#REF!</v>
      </c>
      <c r="R2055" t="e">
        <f>_xlfn.XLOOKUP(Table1[[#This Row],[ID]], Table2[ID],#REF!, "Not Found", 0)</f>
        <v>#REF!</v>
      </c>
      <c r="S2055" s="3" t="str">
        <f>_xlfn.XLOOKUP(Table1[[#This Row],[ID]], Table2[ID], Table2[Enrollment], "Not Found", 0)</f>
        <v>8/31/2020</v>
      </c>
      <c r="T2055" t="s">
        <v>438</v>
      </c>
    </row>
    <row r="2056" spans="1:20" x14ac:dyDescent="0.3">
      <c r="A2056">
        <v>2692</v>
      </c>
      <c r="B2056">
        <v>122108</v>
      </c>
      <c r="C2056">
        <v>1</v>
      </c>
      <c r="D2056">
        <v>1</v>
      </c>
      <c r="E2056">
        <v>43</v>
      </c>
      <c r="F2056">
        <v>0</v>
      </c>
      <c r="G2056">
        <v>1</v>
      </c>
      <c r="H2056">
        <v>0</v>
      </c>
      <c r="I2056">
        <v>0</v>
      </c>
      <c r="J2056">
        <v>0</v>
      </c>
      <c r="K2056">
        <v>0</v>
      </c>
      <c r="L2056">
        <v>1</v>
      </c>
      <c r="M2056">
        <v>0</v>
      </c>
      <c r="N2056">
        <v>0</v>
      </c>
      <c r="O2056" t="str" cm="1">
        <f t="array" ref="O2056">_xlfn.IFS(Table1[[#This Row],[Divorced]]=1, "Divorced", Table1[[#This Row],[Married]]=1, "Married", Table1[[#This Row],[Single]]=1, "Single", Table1[[#This Row],[Together]]=1, "Together", Table1[[#This Row],[Widow]]=1, "Widow")</f>
        <v>Married</v>
      </c>
      <c r="P2056" t="str" cm="1">
        <f t="array" ref="P2056">_xlfn.IFS(Table1[[#This Row],[Basic]]=1, "Basic", Table1[[#This Row],[Graduate]]=1, "Graduate", Table1[[#This Row],[Master]]=1, "Master", Table1[[#This Row],[PhD]]=1, "PhD", AND(Table1[[#This Row],[Basic]]=0, Table1[[#This Row],[Graduate]]=0, Table1[[#This Row],[Master]]=0, Table1[[#This Row],[PhD]]=0), "NA")</f>
        <v>Graduate</v>
      </c>
      <c r="Q2056" t="e">
        <f>_xlfn.XLOOKUP(Table1[[#This Row],[ID]], Table2[ID],#REF!, "Not Found", 0)</f>
        <v>#REF!</v>
      </c>
      <c r="R2056" t="e">
        <f>_xlfn.XLOOKUP(Table1[[#This Row],[ID]], Table2[ID],#REF!, "Not Found", 0)</f>
        <v>#REF!</v>
      </c>
      <c r="S2056" s="3">
        <f>_xlfn.XLOOKUP(Table1[[#This Row],[ID]], Table2[ID], Table2[Enrollment], "Not Found", 0)</f>
        <v>44175</v>
      </c>
      <c r="T2056" t="s">
        <v>439</v>
      </c>
    </row>
    <row r="2057" spans="1:20" x14ac:dyDescent="0.3">
      <c r="A2057">
        <v>1256</v>
      </c>
      <c r="B2057">
        <v>122070</v>
      </c>
      <c r="C2057">
        <v>1</v>
      </c>
      <c r="D2057">
        <v>0</v>
      </c>
      <c r="E2057">
        <v>50</v>
      </c>
      <c r="F2057">
        <v>0</v>
      </c>
      <c r="G2057">
        <v>0</v>
      </c>
      <c r="H2057">
        <v>0</v>
      </c>
      <c r="I2057">
        <v>1</v>
      </c>
      <c r="J2057">
        <v>0</v>
      </c>
      <c r="K2057">
        <v>0</v>
      </c>
      <c r="L2057">
        <v>1</v>
      </c>
      <c r="M2057">
        <v>0</v>
      </c>
      <c r="N2057">
        <v>0</v>
      </c>
      <c r="O2057" t="str" cm="1">
        <f t="array" ref="O2057">_xlfn.IFS(Table1[[#This Row],[Divorced]]=1, "Divorced", Table1[[#This Row],[Married]]=1, "Married", Table1[[#This Row],[Single]]=1, "Single", Table1[[#This Row],[Together]]=1, "Together", Table1[[#This Row],[Widow]]=1, "Widow")</f>
        <v>Together</v>
      </c>
      <c r="P2057" t="str" cm="1">
        <f t="array" ref="P2057">_xlfn.IFS(Table1[[#This Row],[Basic]]=1, "Basic", Table1[[#This Row],[Graduate]]=1, "Graduate", Table1[[#This Row],[Master]]=1, "Master", Table1[[#This Row],[PhD]]=1, "PhD", AND(Table1[[#This Row],[Basic]]=0, Table1[[#This Row],[Graduate]]=0, Table1[[#This Row],[Master]]=0, Table1[[#This Row],[PhD]]=0), "NA")</f>
        <v>Graduate</v>
      </c>
      <c r="Q2057" t="e">
        <f>_xlfn.XLOOKUP(Table1[[#This Row],[ID]], Table2[ID],#REF!, "Not Found", 0)</f>
        <v>#REF!</v>
      </c>
      <c r="R2057" t="e">
        <f>_xlfn.XLOOKUP(Table1[[#This Row],[ID]], Table2[ID],#REF!, "Not Found", 0)</f>
        <v>#REF!</v>
      </c>
      <c r="S2057" s="3">
        <f>_xlfn.XLOOKUP(Table1[[#This Row],[ID]], Table2[ID], Table2[Enrollment], "Not Found", 0)</f>
        <v>44107</v>
      </c>
      <c r="T2057" t="s">
        <v>438</v>
      </c>
    </row>
    <row r="2058" spans="1:20" x14ac:dyDescent="0.3">
      <c r="A2058">
        <v>1802</v>
      </c>
      <c r="B2058">
        <v>122063</v>
      </c>
      <c r="C2058">
        <v>1</v>
      </c>
      <c r="D2058">
        <v>0</v>
      </c>
      <c r="E2058">
        <v>48</v>
      </c>
      <c r="F2058">
        <v>0</v>
      </c>
      <c r="G2058">
        <v>1</v>
      </c>
      <c r="H2058">
        <v>0</v>
      </c>
      <c r="I2058">
        <v>0</v>
      </c>
      <c r="J2058">
        <v>0</v>
      </c>
      <c r="K2058">
        <v>0</v>
      </c>
      <c r="L2058">
        <v>1</v>
      </c>
      <c r="M2058">
        <v>0</v>
      </c>
      <c r="N2058">
        <v>0</v>
      </c>
      <c r="O2058" t="str" cm="1">
        <f t="array" ref="O2058">_xlfn.IFS(Table1[[#This Row],[Divorced]]=1, "Divorced", Table1[[#This Row],[Married]]=1, "Married", Table1[[#This Row],[Single]]=1, "Single", Table1[[#This Row],[Together]]=1, "Together", Table1[[#This Row],[Widow]]=1, "Widow")</f>
        <v>Married</v>
      </c>
      <c r="P2058" t="str" cm="1">
        <f t="array" ref="P2058">_xlfn.IFS(Table1[[#This Row],[Basic]]=1, "Basic", Table1[[#This Row],[Graduate]]=1, "Graduate", Table1[[#This Row],[Master]]=1, "Master", Table1[[#This Row],[PhD]]=1, "PhD", AND(Table1[[#This Row],[Basic]]=0, Table1[[#This Row],[Graduate]]=0, Table1[[#This Row],[Master]]=0, Table1[[#This Row],[PhD]]=0), "NA")</f>
        <v>Graduate</v>
      </c>
      <c r="Q2058" t="e">
        <f>_xlfn.XLOOKUP(Table1[[#This Row],[ID]], Table2[ID],#REF!, "Not Found", 0)</f>
        <v>#REF!</v>
      </c>
      <c r="R2058" t="e">
        <f>_xlfn.XLOOKUP(Table1[[#This Row],[ID]], Table2[ID],#REF!, "Not Found", 0)</f>
        <v>#REF!</v>
      </c>
      <c r="S2058" s="3" t="str">
        <f>_xlfn.XLOOKUP(Table1[[#This Row],[ID]], Table2[ID], Table2[Enrollment], "Not Found", 0)</f>
        <v>1/13/2020</v>
      </c>
      <c r="T2058" t="s">
        <v>438</v>
      </c>
    </row>
    <row r="2059" spans="1:20" x14ac:dyDescent="0.3">
      <c r="A2059">
        <v>1319</v>
      </c>
      <c r="B2059">
        <v>122010</v>
      </c>
      <c r="C2059">
        <v>1</v>
      </c>
      <c r="D2059">
        <v>0</v>
      </c>
      <c r="E2059">
        <v>37</v>
      </c>
      <c r="F2059">
        <v>0</v>
      </c>
      <c r="G2059">
        <v>0</v>
      </c>
      <c r="H2059">
        <v>0</v>
      </c>
      <c r="I2059">
        <v>1</v>
      </c>
      <c r="J2059">
        <v>0</v>
      </c>
      <c r="K2059">
        <v>0</v>
      </c>
      <c r="L2059">
        <v>1</v>
      </c>
      <c r="M2059">
        <v>0</v>
      </c>
      <c r="N2059">
        <v>0</v>
      </c>
      <c r="O2059" t="str" cm="1">
        <f t="array" ref="O2059">_xlfn.IFS(Table1[[#This Row],[Divorced]]=1, "Divorced", Table1[[#This Row],[Married]]=1, "Married", Table1[[#This Row],[Single]]=1, "Single", Table1[[#This Row],[Together]]=1, "Together", Table1[[#This Row],[Widow]]=1, "Widow")</f>
        <v>Together</v>
      </c>
      <c r="P2059" t="str" cm="1">
        <f t="array" ref="P2059">_xlfn.IFS(Table1[[#This Row],[Basic]]=1, "Basic", Table1[[#This Row],[Graduate]]=1, "Graduate", Table1[[#This Row],[Master]]=1, "Master", Table1[[#This Row],[PhD]]=1, "PhD", AND(Table1[[#This Row],[Basic]]=0, Table1[[#This Row],[Graduate]]=0, Table1[[#This Row],[Master]]=0, Table1[[#This Row],[PhD]]=0), "NA")</f>
        <v>Graduate</v>
      </c>
      <c r="Q2059" t="e">
        <f>_xlfn.XLOOKUP(Table1[[#This Row],[ID]], Table2[ID],#REF!, "Not Found", 0)</f>
        <v>#REF!</v>
      </c>
      <c r="R2059" t="e">
        <f>_xlfn.XLOOKUP(Table1[[#This Row],[ID]], Table2[ID],#REF!, "Not Found", 0)</f>
        <v>#REF!</v>
      </c>
      <c r="S2059" s="3">
        <f>_xlfn.XLOOKUP(Table1[[#This Row],[ID]], Table2[ID], Table2[Enrollment], "Not Found", 0)</f>
        <v>43597</v>
      </c>
      <c r="T2059" t="s">
        <v>434</v>
      </c>
    </row>
    <row r="2060" spans="1:20" x14ac:dyDescent="0.3">
      <c r="A2060">
        <v>1041</v>
      </c>
      <c r="B2060">
        <v>121994</v>
      </c>
      <c r="C2060">
        <v>0</v>
      </c>
      <c r="D2060">
        <v>1</v>
      </c>
      <c r="E2060">
        <v>63</v>
      </c>
      <c r="F2060">
        <v>0</v>
      </c>
      <c r="G2060">
        <v>0</v>
      </c>
      <c r="H2060">
        <v>0</v>
      </c>
      <c r="I2060">
        <v>1</v>
      </c>
      <c r="J2060">
        <v>0</v>
      </c>
      <c r="K2060">
        <v>0</v>
      </c>
      <c r="L2060">
        <v>1</v>
      </c>
      <c r="M2060">
        <v>0</v>
      </c>
      <c r="N2060">
        <v>0</v>
      </c>
      <c r="O2060" t="str" cm="1">
        <f t="array" ref="O2060">_xlfn.IFS(Table1[[#This Row],[Divorced]]=1, "Divorced", Table1[[#This Row],[Married]]=1, "Married", Table1[[#This Row],[Single]]=1, "Single", Table1[[#This Row],[Together]]=1, "Together", Table1[[#This Row],[Widow]]=1, "Widow")</f>
        <v>Together</v>
      </c>
      <c r="P2060" t="str" cm="1">
        <f t="array" ref="P2060">_xlfn.IFS(Table1[[#This Row],[Basic]]=1, "Basic", Table1[[#This Row],[Graduate]]=1, "Graduate", Table1[[#This Row],[Master]]=1, "Master", Table1[[#This Row],[PhD]]=1, "PhD", AND(Table1[[#This Row],[Basic]]=0, Table1[[#This Row],[Graduate]]=0, Table1[[#This Row],[Master]]=0, Table1[[#This Row],[PhD]]=0), "NA")</f>
        <v>Graduate</v>
      </c>
      <c r="Q2060" t="e">
        <f>_xlfn.XLOOKUP(Table1[[#This Row],[ID]], Table2[ID],#REF!, "Not Found", 0)</f>
        <v>#REF!</v>
      </c>
      <c r="R2060" t="e">
        <f>_xlfn.XLOOKUP(Table1[[#This Row],[ID]], Table2[ID],#REF!, "Not Found", 0)</f>
        <v>#REF!</v>
      </c>
      <c r="S2060" s="3" t="str">
        <f>_xlfn.XLOOKUP(Table1[[#This Row],[ID]], Table2[ID], Table2[Enrollment], "Not Found", 0)</f>
        <v>5/31/2019</v>
      </c>
      <c r="T2060" t="s">
        <v>435</v>
      </c>
    </row>
    <row r="2061" spans="1:20" x14ac:dyDescent="0.3">
      <c r="A2061">
        <v>2960</v>
      </c>
      <c r="B2061">
        <v>121994</v>
      </c>
      <c r="C2061">
        <v>0</v>
      </c>
      <c r="D2061">
        <v>1</v>
      </c>
      <c r="E2061">
        <v>63</v>
      </c>
      <c r="F2061">
        <v>0</v>
      </c>
      <c r="G2061">
        <v>0</v>
      </c>
      <c r="H2061">
        <v>0</v>
      </c>
      <c r="I2061">
        <v>1</v>
      </c>
      <c r="J2061">
        <v>0</v>
      </c>
      <c r="K2061">
        <v>0</v>
      </c>
      <c r="L2061">
        <v>1</v>
      </c>
      <c r="M2061">
        <v>0</v>
      </c>
      <c r="N2061">
        <v>0</v>
      </c>
      <c r="O2061" t="str" cm="1">
        <f t="array" ref="O2061">_xlfn.IFS(Table1[[#This Row],[Divorced]]=1, "Divorced", Table1[[#This Row],[Married]]=1, "Married", Table1[[#This Row],[Single]]=1, "Single", Table1[[#This Row],[Together]]=1, "Together", Table1[[#This Row],[Widow]]=1, "Widow")</f>
        <v>Together</v>
      </c>
      <c r="P2061" t="str" cm="1">
        <f t="array" ref="P2061">_xlfn.IFS(Table1[[#This Row],[Basic]]=1, "Basic", Table1[[#This Row],[Graduate]]=1, "Graduate", Table1[[#This Row],[Master]]=1, "Master", Table1[[#This Row],[PhD]]=1, "PhD", AND(Table1[[#This Row],[Basic]]=0, Table1[[#This Row],[Graduate]]=0, Table1[[#This Row],[Master]]=0, Table1[[#This Row],[PhD]]=0), "NA")</f>
        <v>Graduate</v>
      </c>
      <c r="Q2061" t="e">
        <f>_xlfn.XLOOKUP(Table1[[#This Row],[ID]], Table2[ID],#REF!, "Not Found", 0)</f>
        <v>#REF!</v>
      </c>
      <c r="R2061" t="e">
        <f>_xlfn.XLOOKUP(Table1[[#This Row],[ID]], Table2[ID],#REF!, "Not Found", 0)</f>
        <v>#REF!</v>
      </c>
      <c r="S2061" s="3" t="str">
        <f>_xlfn.XLOOKUP(Table1[[#This Row],[ID]], Table2[ID], Table2[Enrollment], "Not Found", 0)</f>
        <v>5/31/2019</v>
      </c>
      <c r="T2061" t="s">
        <v>438</v>
      </c>
    </row>
    <row r="2062" spans="1:20" x14ac:dyDescent="0.3">
      <c r="A2062">
        <v>2739</v>
      </c>
      <c r="B2062">
        <v>121955</v>
      </c>
      <c r="C2062">
        <v>1</v>
      </c>
      <c r="D2062">
        <v>0</v>
      </c>
      <c r="E2062">
        <v>34</v>
      </c>
      <c r="F2062">
        <v>0</v>
      </c>
      <c r="G2062">
        <v>1</v>
      </c>
      <c r="H2062">
        <v>0</v>
      </c>
      <c r="I2062">
        <v>0</v>
      </c>
      <c r="J2062">
        <v>0</v>
      </c>
      <c r="K2062">
        <v>0</v>
      </c>
      <c r="L2062">
        <v>0</v>
      </c>
      <c r="M2062">
        <v>0</v>
      </c>
      <c r="N2062">
        <v>0</v>
      </c>
      <c r="O2062" t="str" cm="1">
        <f t="array" ref="O2062">_xlfn.IFS(Table1[[#This Row],[Divorced]]=1, "Divorced", Table1[[#This Row],[Married]]=1, "Married", Table1[[#This Row],[Single]]=1, "Single", Table1[[#This Row],[Together]]=1, "Together", Table1[[#This Row],[Widow]]=1, "Widow")</f>
        <v>Married</v>
      </c>
      <c r="P2062" t="str" cm="1">
        <f t="array" ref="P2062">_xlfn.IFS(Table1[[#This Row],[Basic]]=1, "Basic", Table1[[#This Row],[Graduate]]=1, "Graduate", Table1[[#This Row],[Master]]=1, "Master", Table1[[#This Row],[PhD]]=1, "PhD", AND(Table1[[#This Row],[Basic]]=0, Table1[[#This Row],[Graduate]]=0, Table1[[#This Row],[Master]]=0, Table1[[#This Row],[PhD]]=0), "NA")</f>
        <v>NA</v>
      </c>
      <c r="Q2062" t="e">
        <f>_xlfn.XLOOKUP(Table1[[#This Row],[ID]], Table2[ID],#REF!, "Not Found", 0)</f>
        <v>#REF!</v>
      </c>
      <c r="R2062" t="e">
        <f>_xlfn.XLOOKUP(Table1[[#This Row],[ID]], Table2[ID],#REF!, "Not Found", 0)</f>
        <v>#REF!</v>
      </c>
      <c r="S2062" s="3">
        <f>_xlfn.XLOOKUP(Table1[[#This Row],[ID]], Table2[ID], Table2[Enrollment], "Not Found", 0)</f>
        <v>44167</v>
      </c>
      <c r="T2062" t="s">
        <v>435</v>
      </c>
    </row>
    <row r="2063" spans="1:20" x14ac:dyDescent="0.3">
      <c r="A2063">
        <v>1111</v>
      </c>
      <c r="B2063">
        <v>121918</v>
      </c>
      <c r="C2063">
        <v>1</v>
      </c>
      <c r="D2063">
        <v>0</v>
      </c>
      <c r="E2063">
        <v>51</v>
      </c>
      <c r="F2063">
        <v>0</v>
      </c>
      <c r="G2063">
        <v>0</v>
      </c>
      <c r="H2063">
        <v>0</v>
      </c>
      <c r="I2063">
        <v>1</v>
      </c>
      <c r="J2063">
        <v>0</v>
      </c>
      <c r="K2063">
        <v>0</v>
      </c>
      <c r="L2063">
        <v>1</v>
      </c>
      <c r="M2063">
        <v>0</v>
      </c>
      <c r="N2063">
        <v>0</v>
      </c>
      <c r="O2063" t="str" cm="1">
        <f t="array" ref="O2063">_xlfn.IFS(Table1[[#This Row],[Divorced]]=1, "Divorced", Table1[[#This Row],[Married]]=1, "Married", Table1[[#This Row],[Single]]=1, "Single", Table1[[#This Row],[Together]]=1, "Together", Table1[[#This Row],[Widow]]=1, "Widow")</f>
        <v>Together</v>
      </c>
      <c r="P2063" t="str" cm="1">
        <f t="array" ref="P2063">_xlfn.IFS(Table1[[#This Row],[Basic]]=1, "Basic", Table1[[#This Row],[Graduate]]=1, "Graduate", Table1[[#This Row],[Master]]=1, "Master", Table1[[#This Row],[PhD]]=1, "PhD", AND(Table1[[#This Row],[Basic]]=0, Table1[[#This Row],[Graduate]]=0, Table1[[#This Row],[Master]]=0, Table1[[#This Row],[PhD]]=0), "NA")</f>
        <v>Graduate</v>
      </c>
      <c r="Q2063" t="e">
        <f>_xlfn.XLOOKUP(Table1[[#This Row],[ID]], Table2[ID],#REF!, "Not Found", 0)</f>
        <v>#REF!</v>
      </c>
      <c r="R2063" t="e">
        <f>_xlfn.XLOOKUP(Table1[[#This Row],[ID]], Table2[ID],#REF!, "Not Found", 0)</f>
        <v>#REF!</v>
      </c>
      <c r="S2063" s="3" t="str">
        <f>_xlfn.XLOOKUP(Table1[[#This Row],[ID]], Table2[ID], Table2[Enrollment], "Not Found", 0)</f>
        <v>4/20/2020</v>
      </c>
      <c r="T2063" t="s">
        <v>437</v>
      </c>
    </row>
    <row r="2064" spans="1:20" x14ac:dyDescent="0.3">
      <c r="A2064">
        <v>1589</v>
      </c>
      <c r="B2064">
        <v>121888</v>
      </c>
      <c r="C2064">
        <v>1</v>
      </c>
      <c r="D2064">
        <v>0</v>
      </c>
      <c r="E2064">
        <v>34</v>
      </c>
      <c r="F2064">
        <v>0</v>
      </c>
      <c r="G2064">
        <v>0</v>
      </c>
      <c r="H2064">
        <v>1</v>
      </c>
      <c r="I2064">
        <v>0</v>
      </c>
      <c r="J2064">
        <v>0</v>
      </c>
      <c r="K2064">
        <v>0</v>
      </c>
      <c r="L2064">
        <v>0</v>
      </c>
      <c r="M2064">
        <v>1</v>
      </c>
      <c r="N2064">
        <v>0</v>
      </c>
      <c r="O2064" t="str" cm="1">
        <f t="array" ref="O2064">_xlfn.IFS(Table1[[#This Row],[Divorced]]=1, "Divorced", Table1[[#This Row],[Married]]=1, "Married", Table1[[#This Row],[Single]]=1, "Single", Table1[[#This Row],[Together]]=1, "Together", Table1[[#This Row],[Widow]]=1, "Widow")</f>
        <v>Single</v>
      </c>
      <c r="P2064" t="str" cm="1">
        <f t="array" ref="P2064">_xlfn.IFS(Table1[[#This Row],[Basic]]=1, "Basic", Table1[[#This Row],[Graduate]]=1, "Graduate", Table1[[#This Row],[Master]]=1, "Master", Table1[[#This Row],[PhD]]=1, "PhD", AND(Table1[[#This Row],[Basic]]=0, Table1[[#This Row],[Graduate]]=0, Table1[[#This Row],[Master]]=0, Table1[[#This Row],[PhD]]=0), "NA")</f>
        <v>Master</v>
      </c>
      <c r="Q2064" t="e">
        <f>_xlfn.XLOOKUP(Table1[[#This Row],[ID]], Table2[ID],#REF!, "Not Found", 0)</f>
        <v>#REF!</v>
      </c>
      <c r="R2064" t="e">
        <f>_xlfn.XLOOKUP(Table1[[#This Row],[ID]], Table2[ID],#REF!, "Not Found", 0)</f>
        <v>#REF!</v>
      </c>
      <c r="S2064" s="3">
        <f>_xlfn.XLOOKUP(Table1[[#This Row],[ID]], Table2[ID], Table2[Enrollment], "Not Found", 0)</f>
        <v>43591</v>
      </c>
      <c r="T2064" t="s">
        <v>434</v>
      </c>
    </row>
    <row r="2065" spans="1:20" x14ac:dyDescent="0.3">
      <c r="A2065">
        <v>1880</v>
      </c>
      <c r="B2065">
        <v>121846</v>
      </c>
      <c r="C2065">
        <v>1</v>
      </c>
      <c r="D2065">
        <v>0</v>
      </c>
      <c r="E2065">
        <v>34</v>
      </c>
      <c r="F2065">
        <v>1</v>
      </c>
      <c r="G2065">
        <v>0</v>
      </c>
      <c r="H2065">
        <v>0</v>
      </c>
      <c r="I2065">
        <v>0</v>
      </c>
      <c r="J2065">
        <v>0</v>
      </c>
      <c r="K2065">
        <v>0</v>
      </c>
      <c r="L2065">
        <v>1</v>
      </c>
      <c r="M2065">
        <v>0</v>
      </c>
      <c r="N2065">
        <v>0</v>
      </c>
      <c r="O2065" t="str" cm="1">
        <f t="array" ref="O2065">_xlfn.IFS(Table1[[#This Row],[Divorced]]=1, "Divorced", Table1[[#This Row],[Married]]=1, "Married", Table1[[#This Row],[Single]]=1, "Single", Table1[[#This Row],[Together]]=1, "Together", Table1[[#This Row],[Widow]]=1, "Widow")</f>
        <v>Divorced</v>
      </c>
      <c r="P2065" t="str" cm="1">
        <f t="array" ref="P2065">_xlfn.IFS(Table1[[#This Row],[Basic]]=1, "Basic", Table1[[#This Row],[Graduate]]=1, "Graduate", Table1[[#This Row],[Master]]=1, "Master", Table1[[#This Row],[PhD]]=1, "PhD", AND(Table1[[#This Row],[Basic]]=0, Table1[[#This Row],[Graduate]]=0, Table1[[#This Row],[Master]]=0, Table1[[#This Row],[PhD]]=0), "NA")</f>
        <v>Graduate</v>
      </c>
      <c r="Q2065" t="e">
        <f>_xlfn.XLOOKUP(Table1[[#This Row],[ID]], Table2[ID],#REF!, "Not Found", 0)</f>
        <v>#REF!</v>
      </c>
      <c r="R2065" t="e">
        <f>_xlfn.XLOOKUP(Table1[[#This Row],[ID]], Table2[ID],#REF!, "Not Found", 0)</f>
        <v>#REF!</v>
      </c>
      <c r="S2065" s="3" t="str">
        <f>_xlfn.XLOOKUP(Table1[[#This Row],[ID]], Table2[ID], Table2[Enrollment], "Not Found", 0)</f>
        <v>3/28/2020</v>
      </c>
      <c r="T2065" t="s">
        <v>438</v>
      </c>
    </row>
    <row r="2066" spans="1:20" x14ac:dyDescent="0.3">
      <c r="A2066">
        <v>2790</v>
      </c>
      <c r="B2066">
        <v>121840</v>
      </c>
      <c r="C2066">
        <v>1</v>
      </c>
      <c r="D2066">
        <v>0</v>
      </c>
      <c r="E2066">
        <v>37</v>
      </c>
      <c r="F2066">
        <v>0</v>
      </c>
      <c r="G2066">
        <v>0</v>
      </c>
      <c r="H2066">
        <v>0</v>
      </c>
      <c r="I2066">
        <v>1</v>
      </c>
      <c r="J2066">
        <v>0</v>
      </c>
      <c r="K2066">
        <v>0</v>
      </c>
      <c r="L2066">
        <v>0</v>
      </c>
      <c r="M2066">
        <v>0</v>
      </c>
      <c r="N2066">
        <v>1</v>
      </c>
      <c r="O2066" t="str" cm="1">
        <f t="array" ref="O2066">_xlfn.IFS(Table1[[#This Row],[Divorced]]=1, "Divorced", Table1[[#This Row],[Married]]=1, "Married", Table1[[#This Row],[Single]]=1, "Single", Table1[[#This Row],[Together]]=1, "Together", Table1[[#This Row],[Widow]]=1, "Widow")</f>
        <v>Together</v>
      </c>
      <c r="P2066" t="str" cm="1">
        <f t="array" ref="P2066">_xlfn.IFS(Table1[[#This Row],[Basic]]=1, "Basic", Table1[[#This Row],[Graduate]]=1, "Graduate", Table1[[#This Row],[Master]]=1, "Master", Table1[[#This Row],[PhD]]=1, "PhD", AND(Table1[[#This Row],[Basic]]=0, Table1[[#This Row],[Graduate]]=0, Table1[[#This Row],[Master]]=0, Table1[[#This Row],[PhD]]=0), "NA")</f>
        <v>PhD</v>
      </c>
      <c r="Q2066" t="e">
        <f>_xlfn.XLOOKUP(Table1[[#This Row],[ID]], Table2[ID],#REF!, "Not Found", 0)</f>
        <v>#REF!</v>
      </c>
      <c r="R2066" t="e">
        <f>_xlfn.XLOOKUP(Table1[[#This Row],[ID]], Table2[ID],#REF!, "Not Found", 0)</f>
        <v>#REF!</v>
      </c>
      <c r="S2066" s="3" t="str">
        <f>_xlfn.XLOOKUP(Table1[[#This Row],[ID]], Table2[ID], Table2[Enrollment], "Not Found", 0)</f>
        <v>12/26/2019</v>
      </c>
      <c r="T2066" t="s">
        <v>436</v>
      </c>
    </row>
    <row r="2067" spans="1:20" x14ac:dyDescent="0.3">
      <c r="A2067">
        <v>1853</v>
      </c>
      <c r="B2067">
        <v>121675</v>
      </c>
      <c r="C2067">
        <v>1</v>
      </c>
      <c r="D2067">
        <v>0</v>
      </c>
      <c r="E2067">
        <v>44</v>
      </c>
      <c r="F2067">
        <v>0</v>
      </c>
      <c r="G2067">
        <v>0</v>
      </c>
      <c r="H2067">
        <v>0</v>
      </c>
      <c r="I2067">
        <v>1</v>
      </c>
      <c r="J2067">
        <v>0</v>
      </c>
      <c r="K2067">
        <v>0</v>
      </c>
      <c r="L2067">
        <v>1</v>
      </c>
      <c r="M2067">
        <v>0</v>
      </c>
      <c r="N2067">
        <v>0</v>
      </c>
      <c r="O2067" t="str" cm="1">
        <f t="array" ref="O2067">_xlfn.IFS(Table1[[#This Row],[Divorced]]=1, "Divorced", Table1[[#This Row],[Married]]=1, "Married", Table1[[#This Row],[Single]]=1, "Single", Table1[[#This Row],[Together]]=1, "Together", Table1[[#This Row],[Widow]]=1, "Widow")</f>
        <v>Together</v>
      </c>
      <c r="P2067" t="str" cm="1">
        <f t="array" ref="P2067">_xlfn.IFS(Table1[[#This Row],[Basic]]=1, "Basic", Table1[[#This Row],[Graduate]]=1, "Graduate", Table1[[#This Row],[Master]]=1, "Master", Table1[[#This Row],[PhD]]=1, "PhD", AND(Table1[[#This Row],[Basic]]=0, Table1[[#This Row],[Graduate]]=0, Table1[[#This Row],[Master]]=0, Table1[[#This Row],[PhD]]=0), "NA")</f>
        <v>Graduate</v>
      </c>
      <c r="Q2067" t="e">
        <f>_xlfn.XLOOKUP(Table1[[#This Row],[ID]], Table2[ID],#REF!, "Not Found", 0)</f>
        <v>#REF!</v>
      </c>
      <c r="R2067" t="e">
        <f>_xlfn.XLOOKUP(Table1[[#This Row],[ID]], Table2[ID],#REF!, "Not Found", 0)</f>
        <v>#REF!</v>
      </c>
      <c r="S2067" s="3" t="str">
        <f>_xlfn.XLOOKUP(Table1[[#This Row],[ID]], Table2[ID], Table2[Enrollment], "Not Found", 0)</f>
        <v>11/15/2020</v>
      </c>
      <c r="T2067" t="s">
        <v>434</v>
      </c>
    </row>
    <row r="2068" spans="1:20" x14ac:dyDescent="0.3">
      <c r="A2068">
        <v>2418</v>
      </c>
      <c r="B2068">
        <v>121645</v>
      </c>
      <c r="C2068">
        <v>1</v>
      </c>
      <c r="D2068">
        <v>0</v>
      </c>
      <c r="E2068">
        <v>41</v>
      </c>
      <c r="F2068">
        <v>0</v>
      </c>
      <c r="G2068">
        <v>0</v>
      </c>
      <c r="H2068">
        <v>0</v>
      </c>
      <c r="I2068">
        <v>1</v>
      </c>
      <c r="J2068">
        <v>0</v>
      </c>
      <c r="K2068">
        <v>0</v>
      </c>
      <c r="L2068">
        <v>1</v>
      </c>
      <c r="M2068">
        <v>0</v>
      </c>
      <c r="N2068">
        <v>0</v>
      </c>
      <c r="O2068" t="str" cm="1">
        <f t="array" ref="O2068">_xlfn.IFS(Table1[[#This Row],[Divorced]]=1, "Divorced", Table1[[#This Row],[Married]]=1, "Married", Table1[[#This Row],[Single]]=1, "Single", Table1[[#This Row],[Together]]=1, "Together", Table1[[#This Row],[Widow]]=1, "Widow")</f>
        <v>Together</v>
      </c>
      <c r="P2068" t="str" cm="1">
        <f t="array" ref="P2068">_xlfn.IFS(Table1[[#This Row],[Basic]]=1, "Basic", Table1[[#This Row],[Graduate]]=1, "Graduate", Table1[[#This Row],[Master]]=1, "Master", Table1[[#This Row],[PhD]]=1, "PhD", AND(Table1[[#This Row],[Basic]]=0, Table1[[#This Row],[Graduate]]=0, Table1[[#This Row],[Master]]=0, Table1[[#This Row],[PhD]]=0), "NA")</f>
        <v>Graduate</v>
      </c>
      <c r="Q2068" t="e">
        <f>_xlfn.XLOOKUP(Table1[[#This Row],[ID]], Table2[ID],#REF!, "Not Found", 0)</f>
        <v>#REF!</v>
      </c>
      <c r="R2068" t="e">
        <f>_xlfn.XLOOKUP(Table1[[#This Row],[ID]], Table2[ID],#REF!, "Not Found", 0)</f>
        <v>#REF!</v>
      </c>
      <c r="S2068" s="3">
        <f>_xlfn.XLOOKUP(Table1[[#This Row],[ID]], Table2[ID], Table2[Enrollment], "Not Found", 0)</f>
        <v>43679</v>
      </c>
      <c r="T2068" t="s">
        <v>436</v>
      </c>
    </row>
    <row r="2069" spans="1:20" x14ac:dyDescent="0.3">
      <c r="A2069">
        <v>1535</v>
      </c>
      <c r="B2069">
        <v>121474</v>
      </c>
      <c r="C2069">
        <v>1</v>
      </c>
      <c r="D2069">
        <v>0</v>
      </c>
      <c r="E2069">
        <v>31</v>
      </c>
      <c r="F2069">
        <v>0</v>
      </c>
      <c r="G2069">
        <v>0</v>
      </c>
      <c r="H2069">
        <v>1</v>
      </c>
      <c r="I2069">
        <v>0</v>
      </c>
      <c r="J2069">
        <v>0</v>
      </c>
      <c r="K2069">
        <v>0</v>
      </c>
      <c r="L2069">
        <v>1</v>
      </c>
      <c r="M2069">
        <v>0</v>
      </c>
      <c r="N2069">
        <v>0</v>
      </c>
      <c r="O2069" t="str" cm="1">
        <f t="array" ref="O2069">_xlfn.IFS(Table1[[#This Row],[Divorced]]=1, "Divorced", Table1[[#This Row],[Married]]=1, "Married", Table1[[#This Row],[Single]]=1, "Single", Table1[[#This Row],[Together]]=1, "Together", Table1[[#This Row],[Widow]]=1, "Widow")</f>
        <v>Single</v>
      </c>
      <c r="P2069" t="str" cm="1">
        <f t="array" ref="P2069">_xlfn.IFS(Table1[[#This Row],[Basic]]=1, "Basic", Table1[[#This Row],[Graduate]]=1, "Graduate", Table1[[#This Row],[Master]]=1, "Master", Table1[[#This Row],[PhD]]=1, "PhD", AND(Table1[[#This Row],[Basic]]=0, Table1[[#This Row],[Graduate]]=0, Table1[[#This Row],[Master]]=0, Table1[[#This Row],[PhD]]=0), "NA")</f>
        <v>Graduate</v>
      </c>
      <c r="Q2069" t="e">
        <f>_xlfn.XLOOKUP(Table1[[#This Row],[ID]], Table2[ID],#REF!, "Not Found", 0)</f>
        <v>#REF!</v>
      </c>
      <c r="R2069" t="e">
        <f>_xlfn.XLOOKUP(Table1[[#This Row],[ID]], Table2[ID],#REF!, "Not Found", 0)</f>
        <v>#REF!</v>
      </c>
      <c r="S2069" s="3">
        <f>_xlfn.XLOOKUP(Table1[[#This Row],[ID]], Table2[ID], Table2[Enrollment], "Not Found", 0)</f>
        <v>44174</v>
      </c>
      <c r="T2069" t="s">
        <v>434</v>
      </c>
    </row>
    <row r="2070" spans="1:20" x14ac:dyDescent="0.3">
      <c r="A2070">
        <v>1792</v>
      </c>
      <c r="B2070">
        <v>121359</v>
      </c>
      <c r="C2070">
        <v>1</v>
      </c>
      <c r="D2070">
        <v>0</v>
      </c>
      <c r="E2070">
        <v>48</v>
      </c>
      <c r="F2070">
        <v>0</v>
      </c>
      <c r="G2070">
        <v>0</v>
      </c>
      <c r="H2070">
        <v>1</v>
      </c>
      <c r="I2070">
        <v>0</v>
      </c>
      <c r="J2070">
        <v>0</v>
      </c>
      <c r="K2070">
        <v>0</v>
      </c>
      <c r="L2070">
        <v>1</v>
      </c>
      <c r="M2070">
        <v>0</v>
      </c>
      <c r="N2070">
        <v>0</v>
      </c>
      <c r="O2070" t="str" cm="1">
        <f t="array" ref="O2070">_xlfn.IFS(Table1[[#This Row],[Divorced]]=1, "Divorced", Table1[[#This Row],[Married]]=1, "Married", Table1[[#This Row],[Single]]=1, "Single", Table1[[#This Row],[Together]]=1, "Together", Table1[[#This Row],[Widow]]=1, "Widow")</f>
        <v>Single</v>
      </c>
      <c r="P2070" t="str" cm="1">
        <f t="array" ref="P2070">_xlfn.IFS(Table1[[#This Row],[Basic]]=1, "Basic", Table1[[#This Row],[Graduate]]=1, "Graduate", Table1[[#This Row],[Master]]=1, "Master", Table1[[#This Row],[PhD]]=1, "PhD", AND(Table1[[#This Row],[Basic]]=0, Table1[[#This Row],[Graduate]]=0, Table1[[#This Row],[Master]]=0, Table1[[#This Row],[PhD]]=0), "NA")</f>
        <v>Graduate</v>
      </c>
      <c r="Q2070" t="e">
        <f>_xlfn.XLOOKUP(Table1[[#This Row],[ID]], Table2[ID],#REF!, "Not Found", 0)</f>
        <v>#REF!</v>
      </c>
      <c r="R2070" t="e">
        <f>_xlfn.XLOOKUP(Table1[[#This Row],[ID]], Table2[ID],#REF!, "Not Found", 0)</f>
        <v>#REF!</v>
      </c>
      <c r="S2070" s="3" t="str">
        <f>_xlfn.XLOOKUP(Table1[[#This Row],[ID]], Table2[ID], Table2[Enrollment], "Not Found", 0)</f>
        <v>9/25/2019</v>
      </c>
      <c r="T2070" t="s">
        <v>439</v>
      </c>
    </row>
    <row r="2071" spans="1:20" x14ac:dyDescent="0.3">
      <c r="A2071">
        <v>2357</v>
      </c>
      <c r="B2071">
        <v>121355</v>
      </c>
      <c r="C2071">
        <v>1</v>
      </c>
      <c r="D2071">
        <v>0</v>
      </c>
      <c r="E2071">
        <v>35</v>
      </c>
      <c r="F2071">
        <v>0</v>
      </c>
      <c r="G2071">
        <v>1</v>
      </c>
      <c r="H2071">
        <v>0</v>
      </c>
      <c r="I2071">
        <v>0</v>
      </c>
      <c r="J2071">
        <v>0</v>
      </c>
      <c r="K2071">
        <v>0</v>
      </c>
      <c r="L2071">
        <v>1</v>
      </c>
      <c r="M2071">
        <v>0</v>
      </c>
      <c r="N2071">
        <v>0</v>
      </c>
      <c r="O2071" t="str" cm="1">
        <f t="array" ref="O2071">_xlfn.IFS(Table1[[#This Row],[Divorced]]=1, "Divorced", Table1[[#This Row],[Married]]=1, "Married", Table1[[#This Row],[Single]]=1, "Single", Table1[[#This Row],[Together]]=1, "Together", Table1[[#This Row],[Widow]]=1, "Widow")</f>
        <v>Married</v>
      </c>
      <c r="P2071" t="str" cm="1">
        <f t="array" ref="P2071">_xlfn.IFS(Table1[[#This Row],[Basic]]=1, "Basic", Table1[[#This Row],[Graduate]]=1, "Graduate", Table1[[#This Row],[Master]]=1, "Master", Table1[[#This Row],[PhD]]=1, "PhD", AND(Table1[[#This Row],[Basic]]=0, Table1[[#This Row],[Graduate]]=0, Table1[[#This Row],[Master]]=0, Table1[[#This Row],[PhD]]=0), "NA")</f>
        <v>Graduate</v>
      </c>
      <c r="Q2071" t="e">
        <f>_xlfn.XLOOKUP(Table1[[#This Row],[ID]], Table2[ID],#REF!, "Not Found", 0)</f>
        <v>#REF!</v>
      </c>
      <c r="R2071" t="e">
        <f>_xlfn.XLOOKUP(Table1[[#This Row],[ID]], Table2[ID],#REF!, "Not Found", 0)</f>
        <v>#REF!</v>
      </c>
      <c r="S2071" s="3" t="str">
        <f>_xlfn.XLOOKUP(Table1[[#This Row],[ID]], Table2[ID], Table2[Enrollment], "Not Found", 0)</f>
        <v>1/25/2020</v>
      </c>
      <c r="T2071" t="s">
        <v>434</v>
      </c>
    </row>
    <row r="2072" spans="1:20" x14ac:dyDescent="0.3">
      <c r="A2072">
        <v>2123</v>
      </c>
      <c r="B2072">
        <v>121282</v>
      </c>
      <c r="C2072">
        <v>1</v>
      </c>
      <c r="D2072">
        <v>0</v>
      </c>
      <c r="E2072">
        <v>42</v>
      </c>
      <c r="F2072">
        <v>1</v>
      </c>
      <c r="G2072">
        <v>0</v>
      </c>
      <c r="H2072">
        <v>0</v>
      </c>
      <c r="I2072">
        <v>0</v>
      </c>
      <c r="J2072">
        <v>0</v>
      </c>
      <c r="K2072">
        <v>0</v>
      </c>
      <c r="L2072">
        <v>0</v>
      </c>
      <c r="M2072">
        <v>0</v>
      </c>
      <c r="N2072">
        <v>0</v>
      </c>
      <c r="O2072" t="str" cm="1">
        <f t="array" ref="O2072">_xlfn.IFS(Table1[[#This Row],[Divorced]]=1, "Divorced", Table1[[#This Row],[Married]]=1, "Married", Table1[[#This Row],[Single]]=1, "Single", Table1[[#This Row],[Together]]=1, "Together", Table1[[#This Row],[Widow]]=1, "Widow")</f>
        <v>Divorced</v>
      </c>
      <c r="P2072" t="str" cm="1">
        <f t="array" ref="P2072">_xlfn.IFS(Table1[[#This Row],[Basic]]=1, "Basic", Table1[[#This Row],[Graduate]]=1, "Graduate", Table1[[#This Row],[Master]]=1, "Master", Table1[[#This Row],[PhD]]=1, "PhD", AND(Table1[[#This Row],[Basic]]=0, Table1[[#This Row],[Graduate]]=0, Table1[[#This Row],[Master]]=0, Table1[[#This Row],[PhD]]=0), "NA")</f>
        <v>NA</v>
      </c>
      <c r="Q2072" t="e">
        <f>_xlfn.XLOOKUP(Table1[[#This Row],[ID]], Table2[ID],#REF!, "Not Found", 0)</f>
        <v>#REF!</v>
      </c>
      <c r="R2072" t="e">
        <f>_xlfn.XLOOKUP(Table1[[#This Row],[ID]], Table2[ID],#REF!, "Not Found", 0)</f>
        <v>#REF!</v>
      </c>
      <c r="S2072" s="3" t="str">
        <f>_xlfn.XLOOKUP(Table1[[#This Row],[ID]], Table2[ID], Table2[Enrollment], "Not Found", 0)</f>
        <v>10/15/2020</v>
      </c>
      <c r="T2072" t="s">
        <v>434</v>
      </c>
    </row>
    <row r="2073" spans="1:20" x14ac:dyDescent="0.3">
      <c r="A2073">
        <v>2126</v>
      </c>
      <c r="B2073">
        <v>121255</v>
      </c>
      <c r="C2073">
        <v>1</v>
      </c>
      <c r="D2073">
        <v>0</v>
      </c>
      <c r="E2073">
        <v>46</v>
      </c>
      <c r="F2073">
        <v>0</v>
      </c>
      <c r="G2073">
        <v>0</v>
      </c>
      <c r="H2073">
        <v>0</v>
      </c>
      <c r="I2073">
        <v>1</v>
      </c>
      <c r="J2073">
        <v>0</v>
      </c>
      <c r="K2073">
        <v>0</v>
      </c>
      <c r="L2073">
        <v>0</v>
      </c>
      <c r="M2073">
        <v>1</v>
      </c>
      <c r="N2073">
        <v>0</v>
      </c>
      <c r="O2073" t="str" cm="1">
        <f t="array" ref="O2073">_xlfn.IFS(Table1[[#This Row],[Divorced]]=1, "Divorced", Table1[[#This Row],[Married]]=1, "Married", Table1[[#This Row],[Single]]=1, "Single", Table1[[#This Row],[Together]]=1, "Together", Table1[[#This Row],[Widow]]=1, "Widow")</f>
        <v>Together</v>
      </c>
      <c r="P2073" t="str" cm="1">
        <f t="array" ref="P2073">_xlfn.IFS(Table1[[#This Row],[Basic]]=1, "Basic", Table1[[#This Row],[Graduate]]=1, "Graduate", Table1[[#This Row],[Master]]=1, "Master", Table1[[#This Row],[PhD]]=1, "PhD", AND(Table1[[#This Row],[Basic]]=0, Table1[[#This Row],[Graduate]]=0, Table1[[#This Row],[Master]]=0, Table1[[#This Row],[PhD]]=0), "NA")</f>
        <v>Master</v>
      </c>
      <c r="Q2073" t="e">
        <f>_xlfn.XLOOKUP(Table1[[#This Row],[ID]], Table2[ID],#REF!, "Not Found", 0)</f>
        <v>#REF!</v>
      </c>
      <c r="R2073" t="e">
        <f>_xlfn.XLOOKUP(Table1[[#This Row],[ID]], Table2[ID],#REF!, "Not Found", 0)</f>
        <v>#REF!</v>
      </c>
      <c r="S2073" s="3" t="str">
        <f>_xlfn.XLOOKUP(Table1[[#This Row],[ID]], Table2[ID], Table2[Enrollment], "Not Found", 0)</f>
        <v>6/27/2020</v>
      </c>
      <c r="T2073" t="s">
        <v>438</v>
      </c>
    </row>
    <row r="2074" spans="1:20" x14ac:dyDescent="0.3">
      <c r="A2074">
        <v>1649</v>
      </c>
      <c r="B2074">
        <v>121063</v>
      </c>
      <c r="C2074">
        <v>1</v>
      </c>
      <c r="D2074">
        <v>0</v>
      </c>
      <c r="E2074">
        <v>33</v>
      </c>
      <c r="F2074">
        <v>0</v>
      </c>
      <c r="G2074">
        <v>0</v>
      </c>
      <c r="H2074">
        <v>1</v>
      </c>
      <c r="I2074">
        <v>0</v>
      </c>
      <c r="J2074">
        <v>0</v>
      </c>
      <c r="K2074">
        <v>1</v>
      </c>
      <c r="L2074">
        <v>0</v>
      </c>
      <c r="M2074">
        <v>0</v>
      </c>
      <c r="N2074">
        <v>0</v>
      </c>
      <c r="O2074" t="str" cm="1">
        <f t="array" ref="O2074">_xlfn.IFS(Table1[[#This Row],[Divorced]]=1, "Divorced", Table1[[#This Row],[Married]]=1, "Married", Table1[[#This Row],[Single]]=1, "Single", Table1[[#This Row],[Together]]=1, "Together", Table1[[#This Row],[Widow]]=1, "Widow")</f>
        <v>Single</v>
      </c>
      <c r="P2074" t="str" cm="1">
        <f t="array" ref="P2074">_xlfn.IFS(Table1[[#This Row],[Basic]]=1, "Basic", Table1[[#This Row],[Graduate]]=1, "Graduate", Table1[[#This Row],[Master]]=1, "Master", Table1[[#This Row],[PhD]]=1, "PhD", AND(Table1[[#This Row],[Basic]]=0, Table1[[#This Row],[Graduate]]=0, Table1[[#This Row],[Master]]=0, Table1[[#This Row],[PhD]]=0), "NA")</f>
        <v>Basic</v>
      </c>
      <c r="Q2074" t="e">
        <f>_xlfn.XLOOKUP(Table1[[#This Row],[ID]], Table2[ID],#REF!, "Not Found", 0)</f>
        <v>#REF!</v>
      </c>
      <c r="R2074" t="e">
        <f>_xlfn.XLOOKUP(Table1[[#This Row],[ID]], Table2[ID],#REF!, "Not Found", 0)</f>
        <v>#REF!</v>
      </c>
      <c r="S2074" s="3">
        <f>_xlfn.XLOOKUP(Table1[[#This Row],[ID]], Table2[ID], Table2[Enrollment], "Not Found", 0)</f>
        <v>43833</v>
      </c>
      <c r="T2074" t="s">
        <v>434</v>
      </c>
    </row>
    <row r="2075" spans="1:20" x14ac:dyDescent="0.3">
      <c r="A2075">
        <v>2907</v>
      </c>
      <c r="B2075">
        <v>121059</v>
      </c>
      <c r="C2075">
        <v>1</v>
      </c>
      <c r="D2075">
        <v>0</v>
      </c>
      <c r="E2075">
        <v>38</v>
      </c>
      <c r="F2075">
        <v>0</v>
      </c>
      <c r="G2075">
        <v>1</v>
      </c>
      <c r="H2075">
        <v>0</v>
      </c>
      <c r="I2075">
        <v>0</v>
      </c>
      <c r="J2075">
        <v>0</v>
      </c>
      <c r="K2075">
        <v>0</v>
      </c>
      <c r="L2075">
        <v>0</v>
      </c>
      <c r="M2075">
        <v>1</v>
      </c>
      <c r="N2075">
        <v>0</v>
      </c>
      <c r="O2075" t="str" cm="1">
        <f t="array" ref="O2075">_xlfn.IFS(Table1[[#This Row],[Divorced]]=1, "Divorced", Table1[[#This Row],[Married]]=1, "Married", Table1[[#This Row],[Single]]=1, "Single", Table1[[#This Row],[Together]]=1, "Together", Table1[[#This Row],[Widow]]=1, "Widow")</f>
        <v>Married</v>
      </c>
      <c r="P2075" t="str" cm="1">
        <f t="array" ref="P2075">_xlfn.IFS(Table1[[#This Row],[Basic]]=1, "Basic", Table1[[#This Row],[Graduate]]=1, "Graduate", Table1[[#This Row],[Master]]=1, "Master", Table1[[#This Row],[PhD]]=1, "PhD", AND(Table1[[#This Row],[Basic]]=0, Table1[[#This Row],[Graduate]]=0, Table1[[#This Row],[Master]]=0, Table1[[#This Row],[PhD]]=0), "NA")</f>
        <v>Master</v>
      </c>
      <c r="Q2075" t="e">
        <f>_xlfn.XLOOKUP(Table1[[#This Row],[ID]], Table2[ID],#REF!, "Not Found", 0)</f>
        <v>#REF!</v>
      </c>
      <c r="R2075" t="e">
        <f>_xlfn.XLOOKUP(Table1[[#This Row],[ID]], Table2[ID],#REF!, "Not Found", 0)</f>
        <v>#REF!</v>
      </c>
      <c r="S2075" s="3" t="str">
        <f>_xlfn.XLOOKUP(Table1[[#This Row],[ID]], Table2[ID], Table2[Enrollment], "Not Found", 0)</f>
        <v>6/13/2020</v>
      </c>
      <c r="T2075" t="s">
        <v>435</v>
      </c>
    </row>
    <row r="2076" spans="1:20" x14ac:dyDescent="0.3">
      <c r="A2076">
        <v>2832</v>
      </c>
      <c r="B2076">
        <v>121024</v>
      </c>
      <c r="C2076">
        <v>0</v>
      </c>
      <c r="D2076">
        <v>0</v>
      </c>
      <c r="E2076">
        <v>44</v>
      </c>
      <c r="F2076">
        <v>0</v>
      </c>
      <c r="G2076">
        <v>0</v>
      </c>
      <c r="H2076">
        <v>0</v>
      </c>
      <c r="I2076">
        <v>1</v>
      </c>
      <c r="J2076">
        <v>0</v>
      </c>
      <c r="K2076">
        <v>0</v>
      </c>
      <c r="L2076">
        <v>0</v>
      </c>
      <c r="M2076">
        <v>1</v>
      </c>
      <c r="N2076">
        <v>0</v>
      </c>
      <c r="O2076" t="str" cm="1">
        <f t="array" ref="O2076">_xlfn.IFS(Table1[[#This Row],[Divorced]]=1, "Divorced", Table1[[#This Row],[Married]]=1, "Married", Table1[[#This Row],[Single]]=1, "Single", Table1[[#This Row],[Together]]=1, "Together", Table1[[#This Row],[Widow]]=1, "Widow")</f>
        <v>Together</v>
      </c>
      <c r="P2076" t="str" cm="1">
        <f t="array" ref="P2076">_xlfn.IFS(Table1[[#This Row],[Basic]]=1, "Basic", Table1[[#This Row],[Graduate]]=1, "Graduate", Table1[[#This Row],[Master]]=1, "Master", Table1[[#This Row],[PhD]]=1, "PhD", AND(Table1[[#This Row],[Basic]]=0, Table1[[#This Row],[Graduate]]=0, Table1[[#This Row],[Master]]=0, Table1[[#This Row],[PhD]]=0), "NA")</f>
        <v>Master</v>
      </c>
      <c r="Q2076" t="e">
        <f>_xlfn.XLOOKUP(Table1[[#This Row],[ID]], Table2[ID],#REF!, "Not Found", 0)</f>
        <v>#REF!</v>
      </c>
      <c r="R2076" t="e">
        <f>_xlfn.XLOOKUP(Table1[[#This Row],[ID]], Table2[ID],#REF!, "Not Found", 0)</f>
        <v>#REF!</v>
      </c>
      <c r="S2076" s="3">
        <f>_xlfn.XLOOKUP(Table1[[#This Row],[ID]], Table2[ID], Table2[Enrollment], "Not Found", 0)</f>
        <v>43720</v>
      </c>
      <c r="T2076" t="s">
        <v>436</v>
      </c>
    </row>
    <row r="2077" spans="1:20" x14ac:dyDescent="0.3">
      <c r="A2077">
        <v>2490</v>
      </c>
      <c r="B2077">
        <v>120981</v>
      </c>
      <c r="C2077">
        <v>0</v>
      </c>
      <c r="D2077">
        <v>0</v>
      </c>
      <c r="E2077">
        <v>43</v>
      </c>
      <c r="F2077">
        <v>0</v>
      </c>
      <c r="G2077">
        <v>0</v>
      </c>
      <c r="H2077">
        <v>0</v>
      </c>
      <c r="I2077">
        <v>1</v>
      </c>
      <c r="J2077">
        <v>0</v>
      </c>
      <c r="K2077">
        <v>0</v>
      </c>
      <c r="L2077">
        <v>0</v>
      </c>
      <c r="M2077">
        <v>0</v>
      </c>
      <c r="N2077">
        <v>0</v>
      </c>
      <c r="O2077" t="str" cm="1">
        <f t="array" ref="O2077">_xlfn.IFS(Table1[[#This Row],[Divorced]]=1, "Divorced", Table1[[#This Row],[Married]]=1, "Married", Table1[[#This Row],[Single]]=1, "Single", Table1[[#This Row],[Together]]=1, "Together", Table1[[#This Row],[Widow]]=1, "Widow")</f>
        <v>Together</v>
      </c>
      <c r="P2077" t="str" cm="1">
        <f t="array" ref="P2077">_xlfn.IFS(Table1[[#This Row],[Basic]]=1, "Basic", Table1[[#This Row],[Graduate]]=1, "Graduate", Table1[[#This Row],[Master]]=1, "Master", Table1[[#This Row],[PhD]]=1, "PhD", AND(Table1[[#This Row],[Basic]]=0, Table1[[#This Row],[Graduate]]=0, Table1[[#This Row],[Master]]=0, Table1[[#This Row],[PhD]]=0), "NA")</f>
        <v>NA</v>
      </c>
      <c r="Q2077" t="e">
        <f>_xlfn.XLOOKUP(Table1[[#This Row],[ID]], Table2[ID],#REF!, "Not Found", 0)</f>
        <v>#REF!</v>
      </c>
      <c r="R2077" t="e">
        <f>_xlfn.XLOOKUP(Table1[[#This Row],[ID]], Table2[ID],#REF!, "Not Found", 0)</f>
        <v>#REF!</v>
      </c>
      <c r="S2077" s="3">
        <f>_xlfn.XLOOKUP(Table1[[#This Row],[ID]], Table2[ID], Table2[Enrollment], "Not Found", 0)</f>
        <v>43595</v>
      </c>
      <c r="T2077" t="s">
        <v>436</v>
      </c>
    </row>
    <row r="2078" spans="1:20" x14ac:dyDescent="0.3">
      <c r="A2078">
        <v>2361</v>
      </c>
      <c r="B2078">
        <v>120895</v>
      </c>
      <c r="C2078">
        <v>1</v>
      </c>
      <c r="D2078">
        <v>0</v>
      </c>
      <c r="E2078">
        <v>47</v>
      </c>
      <c r="F2078">
        <v>0</v>
      </c>
      <c r="G2078">
        <v>1</v>
      </c>
      <c r="H2078">
        <v>0</v>
      </c>
      <c r="I2078">
        <v>0</v>
      </c>
      <c r="J2078">
        <v>0</v>
      </c>
      <c r="K2078">
        <v>0</v>
      </c>
      <c r="L2078">
        <v>1</v>
      </c>
      <c r="M2078">
        <v>0</v>
      </c>
      <c r="N2078">
        <v>0</v>
      </c>
      <c r="O2078" t="str" cm="1">
        <f t="array" ref="O2078">_xlfn.IFS(Table1[[#This Row],[Divorced]]=1, "Divorced", Table1[[#This Row],[Married]]=1, "Married", Table1[[#This Row],[Single]]=1, "Single", Table1[[#This Row],[Together]]=1, "Together", Table1[[#This Row],[Widow]]=1, "Widow")</f>
        <v>Married</v>
      </c>
      <c r="P2078" t="str" cm="1">
        <f t="array" ref="P2078">_xlfn.IFS(Table1[[#This Row],[Basic]]=1, "Basic", Table1[[#This Row],[Graduate]]=1, "Graduate", Table1[[#This Row],[Master]]=1, "Master", Table1[[#This Row],[PhD]]=1, "PhD", AND(Table1[[#This Row],[Basic]]=0, Table1[[#This Row],[Graduate]]=0, Table1[[#This Row],[Master]]=0, Table1[[#This Row],[PhD]]=0), "NA")</f>
        <v>Graduate</v>
      </c>
      <c r="Q2078" t="e">
        <f>_xlfn.XLOOKUP(Table1[[#This Row],[ID]], Table2[ID],#REF!, "Not Found", 0)</f>
        <v>#REF!</v>
      </c>
      <c r="R2078" t="e">
        <f>_xlfn.XLOOKUP(Table1[[#This Row],[ID]], Table2[ID],#REF!, "Not Found", 0)</f>
        <v>#REF!</v>
      </c>
      <c r="S2078" s="3" t="str">
        <f>_xlfn.XLOOKUP(Table1[[#This Row],[ID]], Table2[ID], Table2[Enrollment], "Not Found", 0)</f>
        <v>3/13/2019</v>
      </c>
      <c r="T2078" t="s">
        <v>435</v>
      </c>
    </row>
    <row r="2079" spans="1:20" x14ac:dyDescent="0.3">
      <c r="A2079">
        <v>1763</v>
      </c>
      <c r="B2079">
        <v>120587</v>
      </c>
      <c r="C2079">
        <v>1</v>
      </c>
      <c r="D2079">
        <v>0</v>
      </c>
      <c r="E2079">
        <v>50</v>
      </c>
      <c r="F2079">
        <v>0</v>
      </c>
      <c r="G2079">
        <v>0</v>
      </c>
      <c r="H2079">
        <v>1</v>
      </c>
      <c r="I2079">
        <v>0</v>
      </c>
      <c r="J2079">
        <v>0</v>
      </c>
      <c r="K2079">
        <v>0</v>
      </c>
      <c r="L2079">
        <v>1</v>
      </c>
      <c r="M2079">
        <v>0</v>
      </c>
      <c r="N2079">
        <v>0</v>
      </c>
      <c r="O2079" t="str" cm="1">
        <f t="array" ref="O2079">_xlfn.IFS(Table1[[#This Row],[Divorced]]=1, "Divorced", Table1[[#This Row],[Married]]=1, "Married", Table1[[#This Row],[Single]]=1, "Single", Table1[[#This Row],[Together]]=1, "Together", Table1[[#This Row],[Widow]]=1, "Widow")</f>
        <v>Single</v>
      </c>
      <c r="P2079" t="str" cm="1">
        <f t="array" ref="P2079">_xlfn.IFS(Table1[[#This Row],[Basic]]=1, "Basic", Table1[[#This Row],[Graduate]]=1, "Graduate", Table1[[#This Row],[Master]]=1, "Master", Table1[[#This Row],[PhD]]=1, "PhD", AND(Table1[[#This Row],[Basic]]=0, Table1[[#This Row],[Graduate]]=0, Table1[[#This Row],[Master]]=0, Table1[[#This Row],[PhD]]=0), "NA")</f>
        <v>Graduate</v>
      </c>
      <c r="Q2079" t="e">
        <f>_xlfn.XLOOKUP(Table1[[#This Row],[ID]], Table2[ID],#REF!, "Not Found", 0)</f>
        <v>#REF!</v>
      </c>
      <c r="R2079" t="e">
        <f>_xlfn.XLOOKUP(Table1[[#This Row],[ID]], Table2[ID],#REF!, "Not Found", 0)</f>
        <v>#REF!</v>
      </c>
      <c r="S2079" s="3" t="str">
        <f>_xlfn.XLOOKUP(Table1[[#This Row],[ID]], Table2[ID], Table2[Enrollment], "Not Found", 0)</f>
        <v>10/15/2020</v>
      </c>
      <c r="T2079" t="s">
        <v>434</v>
      </c>
    </row>
    <row r="2080" spans="1:20" x14ac:dyDescent="0.3">
      <c r="A2080">
        <v>3105</v>
      </c>
      <c r="B2080">
        <v>120587</v>
      </c>
      <c r="C2080">
        <v>1</v>
      </c>
      <c r="D2080">
        <v>0</v>
      </c>
      <c r="E2080">
        <v>50</v>
      </c>
      <c r="F2080">
        <v>0</v>
      </c>
      <c r="G2080">
        <v>0</v>
      </c>
      <c r="H2080">
        <v>1</v>
      </c>
      <c r="I2080">
        <v>0</v>
      </c>
      <c r="J2080">
        <v>0</v>
      </c>
      <c r="K2080">
        <v>0</v>
      </c>
      <c r="L2080">
        <v>1</v>
      </c>
      <c r="M2080">
        <v>0</v>
      </c>
      <c r="N2080">
        <v>0</v>
      </c>
      <c r="O2080" t="str" cm="1">
        <f t="array" ref="O2080">_xlfn.IFS(Table1[[#This Row],[Divorced]]=1, "Divorced", Table1[[#This Row],[Married]]=1, "Married", Table1[[#This Row],[Single]]=1, "Single", Table1[[#This Row],[Together]]=1, "Together", Table1[[#This Row],[Widow]]=1, "Widow")</f>
        <v>Single</v>
      </c>
      <c r="P2080" t="str" cm="1">
        <f t="array" ref="P2080">_xlfn.IFS(Table1[[#This Row],[Basic]]=1, "Basic", Table1[[#This Row],[Graduate]]=1, "Graduate", Table1[[#This Row],[Master]]=1, "Master", Table1[[#This Row],[PhD]]=1, "PhD", AND(Table1[[#This Row],[Basic]]=0, Table1[[#This Row],[Graduate]]=0, Table1[[#This Row],[Master]]=0, Table1[[#This Row],[PhD]]=0), "NA")</f>
        <v>Graduate</v>
      </c>
      <c r="Q2080" t="e">
        <f>_xlfn.XLOOKUP(Table1[[#This Row],[ID]], Table2[ID],#REF!, "Not Found", 0)</f>
        <v>#REF!</v>
      </c>
      <c r="R2080" t="e">
        <f>_xlfn.XLOOKUP(Table1[[#This Row],[ID]], Table2[ID],#REF!, "Not Found", 0)</f>
        <v>#REF!</v>
      </c>
      <c r="S2080" s="3" t="str">
        <f>_xlfn.XLOOKUP(Table1[[#This Row],[ID]], Table2[ID], Table2[Enrollment], "Not Found", 0)</f>
        <v>10/15/2020</v>
      </c>
      <c r="T2080" t="s">
        <v>435</v>
      </c>
    </row>
    <row r="2081" spans="1:20" x14ac:dyDescent="0.3">
      <c r="A2081">
        <v>1040</v>
      </c>
      <c r="B2081">
        <v>120559</v>
      </c>
      <c r="C2081">
        <v>1</v>
      </c>
      <c r="D2081">
        <v>0</v>
      </c>
      <c r="E2081">
        <v>35</v>
      </c>
      <c r="F2081">
        <v>0</v>
      </c>
      <c r="G2081">
        <v>1</v>
      </c>
      <c r="H2081">
        <v>0</v>
      </c>
      <c r="I2081">
        <v>0</v>
      </c>
      <c r="J2081">
        <v>0</v>
      </c>
      <c r="K2081">
        <v>0</v>
      </c>
      <c r="L2081">
        <v>0</v>
      </c>
      <c r="M2081">
        <v>1</v>
      </c>
      <c r="N2081">
        <v>0</v>
      </c>
      <c r="O2081" t="str" cm="1">
        <f t="array" ref="O2081">_xlfn.IFS(Table1[[#This Row],[Divorced]]=1, "Divorced", Table1[[#This Row],[Married]]=1, "Married", Table1[[#This Row],[Single]]=1, "Single", Table1[[#This Row],[Together]]=1, "Together", Table1[[#This Row],[Widow]]=1, "Widow")</f>
        <v>Married</v>
      </c>
      <c r="P2081" t="str" cm="1">
        <f t="array" ref="P2081">_xlfn.IFS(Table1[[#This Row],[Basic]]=1, "Basic", Table1[[#This Row],[Graduate]]=1, "Graduate", Table1[[#This Row],[Master]]=1, "Master", Table1[[#This Row],[PhD]]=1, "PhD", AND(Table1[[#This Row],[Basic]]=0, Table1[[#This Row],[Graduate]]=0, Table1[[#This Row],[Master]]=0, Table1[[#This Row],[PhD]]=0), "NA")</f>
        <v>Master</v>
      </c>
      <c r="Q2081" t="e">
        <f>_xlfn.XLOOKUP(Table1[[#This Row],[ID]], Table2[ID],#REF!, "Not Found", 0)</f>
        <v>#REF!</v>
      </c>
      <c r="R2081" t="e">
        <f>_xlfn.XLOOKUP(Table1[[#This Row],[ID]], Table2[ID],#REF!, "Not Found", 0)</f>
        <v>#REF!</v>
      </c>
      <c r="S2081" s="3" t="str">
        <f>_xlfn.XLOOKUP(Table1[[#This Row],[ID]], Table2[ID], Table2[Enrollment], "Not Found", 0)</f>
        <v>8/17/2019</v>
      </c>
      <c r="T2081" t="s">
        <v>438</v>
      </c>
    </row>
    <row r="2082" spans="1:20" x14ac:dyDescent="0.3">
      <c r="A2082">
        <v>1458</v>
      </c>
      <c r="B2082">
        <v>120518</v>
      </c>
      <c r="C2082">
        <v>1</v>
      </c>
      <c r="D2082">
        <v>0</v>
      </c>
      <c r="E2082">
        <v>32</v>
      </c>
      <c r="F2082">
        <v>0</v>
      </c>
      <c r="G2082">
        <v>0</v>
      </c>
      <c r="H2082">
        <v>1</v>
      </c>
      <c r="I2082">
        <v>0</v>
      </c>
      <c r="J2082">
        <v>0</v>
      </c>
      <c r="K2082">
        <v>0</v>
      </c>
      <c r="L2082">
        <v>1</v>
      </c>
      <c r="M2082">
        <v>0</v>
      </c>
      <c r="N2082">
        <v>0</v>
      </c>
      <c r="O2082" t="str" cm="1">
        <f t="array" ref="O2082">_xlfn.IFS(Table1[[#This Row],[Divorced]]=1, "Divorced", Table1[[#This Row],[Married]]=1, "Married", Table1[[#This Row],[Single]]=1, "Single", Table1[[#This Row],[Together]]=1, "Together", Table1[[#This Row],[Widow]]=1, "Widow")</f>
        <v>Single</v>
      </c>
      <c r="P2082" t="str" cm="1">
        <f t="array" ref="P2082">_xlfn.IFS(Table1[[#This Row],[Basic]]=1, "Basic", Table1[[#This Row],[Graduate]]=1, "Graduate", Table1[[#This Row],[Master]]=1, "Master", Table1[[#This Row],[PhD]]=1, "PhD", AND(Table1[[#This Row],[Basic]]=0, Table1[[#This Row],[Graduate]]=0, Table1[[#This Row],[Master]]=0, Table1[[#This Row],[PhD]]=0), "NA")</f>
        <v>Graduate</v>
      </c>
      <c r="Q2082" t="e">
        <f>_xlfn.XLOOKUP(Table1[[#This Row],[ID]], Table2[ID],#REF!, "Not Found", 0)</f>
        <v>#REF!</v>
      </c>
      <c r="R2082" t="e">
        <f>_xlfn.XLOOKUP(Table1[[#This Row],[ID]], Table2[ID],#REF!, "Not Found", 0)</f>
        <v>#REF!</v>
      </c>
      <c r="S2082" s="3" t="str">
        <f>_xlfn.XLOOKUP(Table1[[#This Row],[ID]], Table2[ID], Table2[Enrollment], "Not Found", 0)</f>
        <v>10/22/2020</v>
      </c>
      <c r="T2082" t="s">
        <v>436</v>
      </c>
    </row>
    <row r="2083" spans="1:20" x14ac:dyDescent="0.3">
      <c r="A2083">
        <v>2413</v>
      </c>
      <c r="B2083">
        <v>120491</v>
      </c>
      <c r="C2083">
        <v>0</v>
      </c>
      <c r="D2083">
        <v>0</v>
      </c>
      <c r="E2083">
        <v>34</v>
      </c>
      <c r="F2083">
        <v>0</v>
      </c>
      <c r="G2083">
        <v>0</v>
      </c>
      <c r="H2083">
        <v>0</v>
      </c>
      <c r="I2083">
        <v>1</v>
      </c>
      <c r="J2083">
        <v>0</v>
      </c>
      <c r="K2083">
        <v>0</v>
      </c>
      <c r="L2083">
        <v>0</v>
      </c>
      <c r="M2083">
        <v>0</v>
      </c>
      <c r="N2083">
        <v>0</v>
      </c>
      <c r="O2083" t="str" cm="1">
        <f t="array" ref="O2083">_xlfn.IFS(Table1[[#This Row],[Divorced]]=1, "Divorced", Table1[[#This Row],[Married]]=1, "Married", Table1[[#This Row],[Single]]=1, "Single", Table1[[#This Row],[Together]]=1, "Together", Table1[[#This Row],[Widow]]=1, "Widow")</f>
        <v>Together</v>
      </c>
      <c r="P2083" t="str" cm="1">
        <f t="array" ref="P2083">_xlfn.IFS(Table1[[#This Row],[Basic]]=1, "Basic", Table1[[#This Row],[Graduate]]=1, "Graduate", Table1[[#This Row],[Master]]=1, "Master", Table1[[#This Row],[PhD]]=1, "PhD", AND(Table1[[#This Row],[Basic]]=0, Table1[[#This Row],[Graduate]]=0, Table1[[#This Row],[Master]]=0, Table1[[#This Row],[PhD]]=0), "NA")</f>
        <v>NA</v>
      </c>
      <c r="Q2083" t="e">
        <f>_xlfn.XLOOKUP(Table1[[#This Row],[ID]], Table2[ID],#REF!, "Not Found", 0)</f>
        <v>#REF!</v>
      </c>
      <c r="R2083" t="e">
        <f>_xlfn.XLOOKUP(Table1[[#This Row],[ID]], Table2[ID],#REF!, "Not Found", 0)</f>
        <v>#REF!</v>
      </c>
      <c r="S2083" s="3">
        <f>_xlfn.XLOOKUP(Table1[[#This Row],[ID]], Table2[ID], Table2[Enrollment], "Not Found", 0)</f>
        <v>43503</v>
      </c>
      <c r="T2083" t="s">
        <v>437</v>
      </c>
    </row>
    <row r="2084" spans="1:20" x14ac:dyDescent="0.3">
      <c r="A2084">
        <v>2229</v>
      </c>
      <c r="B2084">
        <v>120427</v>
      </c>
      <c r="C2084">
        <v>1</v>
      </c>
      <c r="D2084">
        <v>0</v>
      </c>
      <c r="E2084">
        <v>47</v>
      </c>
      <c r="F2084">
        <v>0</v>
      </c>
      <c r="G2084">
        <v>0</v>
      </c>
      <c r="H2084">
        <v>0</v>
      </c>
      <c r="I2084">
        <v>1</v>
      </c>
      <c r="J2084">
        <v>0</v>
      </c>
      <c r="K2084">
        <v>0</v>
      </c>
      <c r="L2084">
        <v>0</v>
      </c>
      <c r="M2084">
        <v>0</v>
      </c>
      <c r="N2084">
        <v>1</v>
      </c>
      <c r="O2084" t="str" cm="1">
        <f t="array" ref="O2084">_xlfn.IFS(Table1[[#This Row],[Divorced]]=1, "Divorced", Table1[[#This Row],[Married]]=1, "Married", Table1[[#This Row],[Single]]=1, "Single", Table1[[#This Row],[Together]]=1, "Together", Table1[[#This Row],[Widow]]=1, "Widow")</f>
        <v>Together</v>
      </c>
      <c r="P2084" t="str" cm="1">
        <f t="array" ref="P2084">_xlfn.IFS(Table1[[#This Row],[Basic]]=1, "Basic", Table1[[#This Row],[Graduate]]=1, "Graduate", Table1[[#This Row],[Master]]=1, "Master", Table1[[#This Row],[PhD]]=1, "PhD", AND(Table1[[#This Row],[Basic]]=0, Table1[[#This Row],[Graduate]]=0, Table1[[#This Row],[Master]]=0, Table1[[#This Row],[PhD]]=0), "NA")</f>
        <v>PhD</v>
      </c>
      <c r="Q2084" t="e">
        <f>_xlfn.XLOOKUP(Table1[[#This Row],[ID]], Table2[ID],#REF!, "Not Found", 0)</f>
        <v>#REF!</v>
      </c>
      <c r="R2084" t="e">
        <f>_xlfn.XLOOKUP(Table1[[#This Row],[ID]], Table2[ID],#REF!, "Not Found", 0)</f>
        <v>#REF!</v>
      </c>
      <c r="S2084" s="3" t="str">
        <f>_xlfn.XLOOKUP(Table1[[#This Row],[ID]], Table2[ID], Table2[Enrollment], "Not Found", 0)</f>
        <v>8/28/2020</v>
      </c>
      <c r="T2084" t="s">
        <v>435</v>
      </c>
    </row>
    <row r="2085" spans="1:20" x14ac:dyDescent="0.3">
      <c r="A2085">
        <v>1766</v>
      </c>
      <c r="B2085">
        <v>120425</v>
      </c>
      <c r="C2085">
        <v>1</v>
      </c>
      <c r="D2085">
        <v>0</v>
      </c>
      <c r="E2085">
        <v>34</v>
      </c>
      <c r="F2085">
        <v>0</v>
      </c>
      <c r="G2085">
        <v>1</v>
      </c>
      <c r="H2085">
        <v>0</v>
      </c>
      <c r="I2085">
        <v>0</v>
      </c>
      <c r="J2085">
        <v>0</v>
      </c>
      <c r="K2085">
        <v>1</v>
      </c>
      <c r="L2085">
        <v>0</v>
      </c>
      <c r="M2085">
        <v>0</v>
      </c>
      <c r="N2085">
        <v>0</v>
      </c>
      <c r="O2085" t="str" cm="1">
        <f t="array" ref="O2085">_xlfn.IFS(Table1[[#This Row],[Divorced]]=1, "Divorced", Table1[[#This Row],[Married]]=1, "Married", Table1[[#This Row],[Single]]=1, "Single", Table1[[#This Row],[Together]]=1, "Together", Table1[[#This Row],[Widow]]=1, "Widow")</f>
        <v>Married</v>
      </c>
      <c r="P2085" t="str" cm="1">
        <f t="array" ref="P2085">_xlfn.IFS(Table1[[#This Row],[Basic]]=1, "Basic", Table1[[#This Row],[Graduate]]=1, "Graduate", Table1[[#This Row],[Master]]=1, "Master", Table1[[#This Row],[PhD]]=1, "PhD", AND(Table1[[#This Row],[Basic]]=0, Table1[[#This Row],[Graduate]]=0, Table1[[#This Row],[Master]]=0, Table1[[#This Row],[PhD]]=0), "NA")</f>
        <v>Basic</v>
      </c>
      <c r="Q2085" t="e">
        <f>_xlfn.XLOOKUP(Table1[[#This Row],[ID]], Table2[ID],#REF!, "Not Found", 0)</f>
        <v>#REF!</v>
      </c>
      <c r="R2085" t="e">
        <f>_xlfn.XLOOKUP(Table1[[#This Row],[ID]], Table2[ID],#REF!, "Not Found", 0)</f>
        <v>#REF!</v>
      </c>
      <c r="S2085" s="3">
        <f>_xlfn.XLOOKUP(Table1[[#This Row],[ID]], Table2[ID], Table2[Enrollment], "Not Found", 0)</f>
        <v>43589</v>
      </c>
      <c r="T2085" t="s">
        <v>438</v>
      </c>
    </row>
    <row r="2086" spans="1:20" x14ac:dyDescent="0.3">
      <c r="A2086">
        <v>3074</v>
      </c>
      <c r="B2086">
        <v>120425</v>
      </c>
      <c r="C2086">
        <v>1</v>
      </c>
      <c r="D2086">
        <v>0</v>
      </c>
      <c r="E2086">
        <v>34</v>
      </c>
      <c r="F2086">
        <v>0</v>
      </c>
      <c r="G2086">
        <v>1</v>
      </c>
      <c r="H2086">
        <v>0</v>
      </c>
      <c r="I2086">
        <v>0</v>
      </c>
      <c r="J2086">
        <v>0</v>
      </c>
      <c r="K2086">
        <v>1</v>
      </c>
      <c r="L2086">
        <v>0</v>
      </c>
      <c r="M2086">
        <v>0</v>
      </c>
      <c r="N2086">
        <v>0</v>
      </c>
      <c r="O2086" t="str" cm="1">
        <f t="array" ref="O2086">_xlfn.IFS(Table1[[#This Row],[Divorced]]=1, "Divorced", Table1[[#This Row],[Married]]=1, "Married", Table1[[#This Row],[Single]]=1, "Single", Table1[[#This Row],[Together]]=1, "Together", Table1[[#This Row],[Widow]]=1, "Widow")</f>
        <v>Married</v>
      </c>
      <c r="P2086" t="str" cm="1">
        <f t="array" ref="P2086">_xlfn.IFS(Table1[[#This Row],[Basic]]=1, "Basic", Table1[[#This Row],[Graduate]]=1, "Graduate", Table1[[#This Row],[Master]]=1, "Master", Table1[[#This Row],[PhD]]=1, "PhD", AND(Table1[[#This Row],[Basic]]=0, Table1[[#This Row],[Graduate]]=0, Table1[[#This Row],[Master]]=0, Table1[[#This Row],[PhD]]=0), "NA")</f>
        <v>Basic</v>
      </c>
      <c r="Q2086" t="e">
        <f>_xlfn.XLOOKUP(Table1[[#This Row],[ID]], Table2[ID],#REF!, "Not Found", 0)</f>
        <v>#REF!</v>
      </c>
      <c r="R2086" t="e">
        <f>_xlfn.XLOOKUP(Table1[[#This Row],[ID]], Table2[ID],#REF!, "Not Found", 0)</f>
        <v>#REF!</v>
      </c>
      <c r="S2086" s="3">
        <f>_xlfn.XLOOKUP(Table1[[#This Row],[ID]], Table2[ID], Table2[Enrollment], "Not Found", 0)</f>
        <v>43589</v>
      </c>
      <c r="T2086" t="s">
        <v>438</v>
      </c>
    </row>
    <row r="2087" spans="1:20" x14ac:dyDescent="0.3">
      <c r="A2087">
        <v>2755</v>
      </c>
      <c r="B2087">
        <v>120194</v>
      </c>
      <c r="C2087">
        <v>1</v>
      </c>
      <c r="D2087">
        <v>0</v>
      </c>
      <c r="E2087">
        <v>41</v>
      </c>
      <c r="F2087">
        <v>0</v>
      </c>
      <c r="G2087">
        <v>0</v>
      </c>
      <c r="H2087">
        <v>1</v>
      </c>
      <c r="I2087">
        <v>0</v>
      </c>
      <c r="J2087">
        <v>0</v>
      </c>
      <c r="K2087">
        <v>1</v>
      </c>
      <c r="L2087">
        <v>0</v>
      </c>
      <c r="M2087">
        <v>0</v>
      </c>
      <c r="N2087">
        <v>0</v>
      </c>
      <c r="O2087" t="str" cm="1">
        <f t="array" ref="O2087">_xlfn.IFS(Table1[[#This Row],[Divorced]]=1, "Divorced", Table1[[#This Row],[Married]]=1, "Married", Table1[[#This Row],[Single]]=1, "Single", Table1[[#This Row],[Together]]=1, "Together", Table1[[#This Row],[Widow]]=1, "Widow")</f>
        <v>Single</v>
      </c>
      <c r="P2087" t="str" cm="1">
        <f t="array" ref="P2087">_xlfn.IFS(Table1[[#This Row],[Basic]]=1, "Basic", Table1[[#This Row],[Graduate]]=1, "Graduate", Table1[[#This Row],[Master]]=1, "Master", Table1[[#This Row],[PhD]]=1, "PhD", AND(Table1[[#This Row],[Basic]]=0, Table1[[#This Row],[Graduate]]=0, Table1[[#This Row],[Master]]=0, Table1[[#This Row],[PhD]]=0), "NA")</f>
        <v>Basic</v>
      </c>
      <c r="Q2087" t="e">
        <f>_xlfn.XLOOKUP(Table1[[#This Row],[ID]], Table2[ID],#REF!, "Not Found", 0)</f>
        <v>#REF!</v>
      </c>
      <c r="R2087" t="e">
        <f>_xlfn.XLOOKUP(Table1[[#This Row],[ID]], Table2[ID],#REF!, "Not Found", 0)</f>
        <v>#REF!</v>
      </c>
      <c r="S2087" s="3" t="str">
        <f>_xlfn.XLOOKUP(Table1[[#This Row],[ID]], Table2[ID], Table2[Enrollment], "Not Found", 0)</f>
        <v>5/24/2019</v>
      </c>
      <c r="T2087" t="s">
        <v>437</v>
      </c>
    </row>
    <row r="2088" spans="1:20" x14ac:dyDescent="0.3">
      <c r="A2088">
        <v>2650</v>
      </c>
      <c r="B2088">
        <v>120193</v>
      </c>
      <c r="C2088">
        <v>0</v>
      </c>
      <c r="D2088">
        <v>0</v>
      </c>
      <c r="E2088">
        <v>29</v>
      </c>
      <c r="F2088">
        <v>0</v>
      </c>
      <c r="G2088">
        <v>0</v>
      </c>
      <c r="H2088">
        <v>0</v>
      </c>
      <c r="I2088">
        <v>1</v>
      </c>
      <c r="J2088">
        <v>0</v>
      </c>
      <c r="K2088">
        <v>0</v>
      </c>
      <c r="L2088">
        <v>0</v>
      </c>
      <c r="M2088">
        <v>0</v>
      </c>
      <c r="N2088">
        <v>0</v>
      </c>
      <c r="O2088" t="str" cm="1">
        <f t="array" ref="O2088">_xlfn.IFS(Table1[[#This Row],[Divorced]]=1, "Divorced", Table1[[#This Row],[Married]]=1, "Married", Table1[[#This Row],[Single]]=1, "Single", Table1[[#This Row],[Together]]=1, "Together", Table1[[#This Row],[Widow]]=1, "Widow")</f>
        <v>Together</v>
      </c>
      <c r="P2088" t="str" cm="1">
        <f t="array" ref="P2088">_xlfn.IFS(Table1[[#This Row],[Basic]]=1, "Basic", Table1[[#This Row],[Graduate]]=1, "Graduate", Table1[[#This Row],[Master]]=1, "Master", Table1[[#This Row],[PhD]]=1, "PhD", AND(Table1[[#This Row],[Basic]]=0, Table1[[#This Row],[Graduate]]=0, Table1[[#This Row],[Master]]=0, Table1[[#This Row],[PhD]]=0), "NA")</f>
        <v>NA</v>
      </c>
      <c r="Q2088" t="e">
        <f>_xlfn.XLOOKUP(Table1[[#This Row],[ID]], Table2[ID],#REF!, "Not Found", 0)</f>
        <v>#REF!</v>
      </c>
      <c r="R2088" t="e">
        <f>_xlfn.XLOOKUP(Table1[[#This Row],[ID]], Table2[ID],#REF!, "Not Found", 0)</f>
        <v>#REF!</v>
      </c>
      <c r="S2088" s="3">
        <f>_xlfn.XLOOKUP(Table1[[#This Row],[ID]], Table2[ID], Table2[Enrollment], "Not Found", 0)</f>
        <v>43590</v>
      </c>
      <c r="T2088" t="s">
        <v>439</v>
      </c>
    </row>
    <row r="2089" spans="1:20" x14ac:dyDescent="0.3">
      <c r="A2089">
        <v>2000</v>
      </c>
      <c r="B2089">
        <v>120180</v>
      </c>
      <c r="C2089">
        <v>0</v>
      </c>
      <c r="D2089">
        <v>0</v>
      </c>
      <c r="E2089">
        <v>44</v>
      </c>
      <c r="F2089">
        <v>0</v>
      </c>
      <c r="G2089">
        <v>0</v>
      </c>
      <c r="H2089">
        <v>1</v>
      </c>
      <c r="I2089">
        <v>0</v>
      </c>
      <c r="J2089">
        <v>0</v>
      </c>
      <c r="K2089">
        <v>0</v>
      </c>
      <c r="L2089">
        <v>1</v>
      </c>
      <c r="M2089">
        <v>0</v>
      </c>
      <c r="N2089">
        <v>0</v>
      </c>
      <c r="O2089" t="str" cm="1">
        <f t="array" ref="O2089">_xlfn.IFS(Table1[[#This Row],[Divorced]]=1, "Divorced", Table1[[#This Row],[Married]]=1, "Married", Table1[[#This Row],[Single]]=1, "Single", Table1[[#This Row],[Together]]=1, "Together", Table1[[#This Row],[Widow]]=1, "Widow")</f>
        <v>Single</v>
      </c>
      <c r="P2089" t="str" cm="1">
        <f t="array" ref="P2089">_xlfn.IFS(Table1[[#This Row],[Basic]]=1, "Basic", Table1[[#This Row],[Graduate]]=1, "Graduate", Table1[[#This Row],[Master]]=1, "Master", Table1[[#This Row],[PhD]]=1, "PhD", AND(Table1[[#This Row],[Basic]]=0, Table1[[#This Row],[Graduate]]=0, Table1[[#This Row],[Master]]=0, Table1[[#This Row],[PhD]]=0), "NA")</f>
        <v>Graduate</v>
      </c>
      <c r="Q2089" t="e">
        <f>_xlfn.XLOOKUP(Table1[[#This Row],[ID]], Table2[ID],#REF!, "Not Found", 0)</f>
        <v>#REF!</v>
      </c>
      <c r="R2089" t="e">
        <f>_xlfn.XLOOKUP(Table1[[#This Row],[ID]], Table2[ID],#REF!, "Not Found", 0)</f>
        <v>#REF!</v>
      </c>
      <c r="S2089" s="3" t="str">
        <f>_xlfn.XLOOKUP(Table1[[#This Row],[ID]], Table2[ID], Table2[Enrollment], "Not Found", 0)</f>
        <v>7/28/2019</v>
      </c>
      <c r="T2089" t="s">
        <v>438</v>
      </c>
    </row>
    <row r="2090" spans="1:20" x14ac:dyDescent="0.3">
      <c r="A2090">
        <v>2893</v>
      </c>
      <c r="B2090">
        <v>120180</v>
      </c>
      <c r="C2090">
        <v>0</v>
      </c>
      <c r="D2090">
        <v>0</v>
      </c>
      <c r="E2090">
        <v>44</v>
      </c>
      <c r="F2090">
        <v>0</v>
      </c>
      <c r="G2090">
        <v>0</v>
      </c>
      <c r="H2090">
        <v>1</v>
      </c>
      <c r="I2090">
        <v>0</v>
      </c>
      <c r="J2090">
        <v>0</v>
      </c>
      <c r="K2090">
        <v>0</v>
      </c>
      <c r="L2090">
        <v>1</v>
      </c>
      <c r="M2090">
        <v>0</v>
      </c>
      <c r="N2090">
        <v>0</v>
      </c>
      <c r="O2090" t="str" cm="1">
        <f t="array" ref="O2090">_xlfn.IFS(Table1[[#This Row],[Divorced]]=1, "Divorced", Table1[[#This Row],[Married]]=1, "Married", Table1[[#This Row],[Single]]=1, "Single", Table1[[#This Row],[Together]]=1, "Together", Table1[[#This Row],[Widow]]=1, "Widow")</f>
        <v>Single</v>
      </c>
      <c r="P2090" t="str" cm="1">
        <f t="array" ref="P2090">_xlfn.IFS(Table1[[#This Row],[Basic]]=1, "Basic", Table1[[#This Row],[Graduate]]=1, "Graduate", Table1[[#This Row],[Master]]=1, "Master", Table1[[#This Row],[PhD]]=1, "PhD", AND(Table1[[#This Row],[Basic]]=0, Table1[[#This Row],[Graduate]]=0, Table1[[#This Row],[Master]]=0, Table1[[#This Row],[PhD]]=0), "NA")</f>
        <v>Graduate</v>
      </c>
      <c r="Q2090" t="e">
        <f>_xlfn.XLOOKUP(Table1[[#This Row],[ID]], Table2[ID],#REF!, "Not Found", 0)</f>
        <v>#REF!</v>
      </c>
      <c r="R2090" t="e">
        <f>_xlfn.XLOOKUP(Table1[[#This Row],[ID]], Table2[ID],#REF!, "Not Found", 0)</f>
        <v>#REF!</v>
      </c>
      <c r="S2090" s="3" t="str">
        <f>_xlfn.XLOOKUP(Table1[[#This Row],[ID]], Table2[ID], Table2[Enrollment], "Not Found", 0)</f>
        <v>7/28/2019</v>
      </c>
      <c r="T2090" t="s">
        <v>437</v>
      </c>
    </row>
    <row r="2091" spans="1:20" x14ac:dyDescent="0.3">
      <c r="A2091">
        <v>1428</v>
      </c>
      <c r="B2091">
        <v>120130</v>
      </c>
      <c r="C2091">
        <v>0</v>
      </c>
      <c r="D2091">
        <v>0</v>
      </c>
      <c r="E2091">
        <v>46</v>
      </c>
      <c r="F2091">
        <v>0</v>
      </c>
      <c r="G2091">
        <v>1</v>
      </c>
      <c r="H2091">
        <v>0</v>
      </c>
      <c r="I2091">
        <v>0</v>
      </c>
      <c r="J2091">
        <v>0</v>
      </c>
      <c r="K2091">
        <v>0</v>
      </c>
      <c r="L2091">
        <v>0</v>
      </c>
      <c r="M2091">
        <v>0</v>
      </c>
      <c r="N2091">
        <v>0</v>
      </c>
      <c r="O2091" t="str" cm="1">
        <f t="array" ref="O2091">_xlfn.IFS(Table1[[#This Row],[Divorced]]=1, "Divorced", Table1[[#This Row],[Married]]=1, "Married", Table1[[#This Row],[Single]]=1, "Single", Table1[[#This Row],[Together]]=1, "Together", Table1[[#This Row],[Widow]]=1, "Widow")</f>
        <v>Married</v>
      </c>
      <c r="P2091" t="str" cm="1">
        <f t="array" ref="P2091">_xlfn.IFS(Table1[[#This Row],[Basic]]=1, "Basic", Table1[[#This Row],[Graduate]]=1, "Graduate", Table1[[#This Row],[Master]]=1, "Master", Table1[[#This Row],[PhD]]=1, "PhD", AND(Table1[[#This Row],[Basic]]=0, Table1[[#This Row],[Graduate]]=0, Table1[[#This Row],[Master]]=0, Table1[[#This Row],[PhD]]=0), "NA")</f>
        <v>NA</v>
      </c>
      <c r="Q2091" t="e">
        <f>_xlfn.XLOOKUP(Table1[[#This Row],[ID]], Table2[ID],#REF!, "Not Found", 0)</f>
        <v>#REF!</v>
      </c>
      <c r="R2091" t="e">
        <f>_xlfn.XLOOKUP(Table1[[#This Row],[ID]], Table2[ID],#REF!, "Not Found", 0)</f>
        <v>#REF!</v>
      </c>
      <c r="S2091" s="3" t="str">
        <f>_xlfn.XLOOKUP(Table1[[#This Row],[ID]], Table2[ID], Table2[Enrollment], "Not Found", 0)</f>
        <v>8/21/2020</v>
      </c>
      <c r="T2091" t="s">
        <v>436</v>
      </c>
    </row>
    <row r="2092" spans="1:20" x14ac:dyDescent="0.3">
      <c r="A2092">
        <v>2152</v>
      </c>
      <c r="B2092">
        <v>120130</v>
      </c>
      <c r="C2092">
        <v>0</v>
      </c>
      <c r="D2092">
        <v>0</v>
      </c>
      <c r="E2092">
        <v>46</v>
      </c>
      <c r="F2092">
        <v>0</v>
      </c>
      <c r="G2092">
        <v>1</v>
      </c>
      <c r="H2092">
        <v>0</v>
      </c>
      <c r="I2092">
        <v>0</v>
      </c>
      <c r="J2092">
        <v>0</v>
      </c>
      <c r="K2092">
        <v>0</v>
      </c>
      <c r="L2092">
        <v>0</v>
      </c>
      <c r="M2092">
        <v>0</v>
      </c>
      <c r="N2092">
        <v>0</v>
      </c>
      <c r="O2092" t="str" cm="1">
        <f t="array" ref="O2092">_xlfn.IFS(Table1[[#This Row],[Divorced]]=1, "Divorced", Table1[[#This Row],[Married]]=1, "Married", Table1[[#This Row],[Single]]=1, "Single", Table1[[#This Row],[Together]]=1, "Together", Table1[[#This Row],[Widow]]=1, "Widow")</f>
        <v>Married</v>
      </c>
      <c r="P2092" t="str" cm="1">
        <f t="array" ref="P2092">_xlfn.IFS(Table1[[#This Row],[Basic]]=1, "Basic", Table1[[#This Row],[Graduate]]=1, "Graduate", Table1[[#This Row],[Master]]=1, "Master", Table1[[#This Row],[PhD]]=1, "PhD", AND(Table1[[#This Row],[Basic]]=0, Table1[[#This Row],[Graduate]]=0, Table1[[#This Row],[Master]]=0, Table1[[#This Row],[PhD]]=0), "NA")</f>
        <v>NA</v>
      </c>
      <c r="Q2092" t="e">
        <f>_xlfn.XLOOKUP(Table1[[#This Row],[ID]], Table2[ID],#REF!, "Not Found", 0)</f>
        <v>#REF!</v>
      </c>
      <c r="R2092" t="e">
        <f>_xlfn.XLOOKUP(Table1[[#This Row],[ID]], Table2[ID],#REF!, "Not Found", 0)</f>
        <v>#REF!</v>
      </c>
      <c r="S2092" s="3" t="str">
        <f>_xlfn.XLOOKUP(Table1[[#This Row],[ID]], Table2[ID], Table2[Enrollment], "Not Found", 0)</f>
        <v>8/21/2020</v>
      </c>
      <c r="T2092" t="s">
        <v>439</v>
      </c>
    </row>
    <row r="2093" spans="1:20" x14ac:dyDescent="0.3">
      <c r="A2093">
        <v>1365</v>
      </c>
      <c r="B2093">
        <v>119986</v>
      </c>
      <c r="C2093">
        <v>1</v>
      </c>
      <c r="D2093">
        <v>0</v>
      </c>
      <c r="E2093">
        <v>35</v>
      </c>
      <c r="F2093">
        <v>0</v>
      </c>
      <c r="G2093">
        <v>1</v>
      </c>
      <c r="H2093">
        <v>0</v>
      </c>
      <c r="I2093">
        <v>0</v>
      </c>
      <c r="J2093">
        <v>0</v>
      </c>
      <c r="K2093">
        <v>0</v>
      </c>
      <c r="L2093">
        <v>1</v>
      </c>
      <c r="M2093">
        <v>0</v>
      </c>
      <c r="N2093">
        <v>0</v>
      </c>
      <c r="O2093" t="str" cm="1">
        <f t="array" ref="O2093">_xlfn.IFS(Table1[[#This Row],[Divorced]]=1, "Divorced", Table1[[#This Row],[Married]]=1, "Married", Table1[[#This Row],[Single]]=1, "Single", Table1[[#This Row],[Together]]=1, "Together", Table1[[#This Row],[Widow]]=1, "Widow")</f>
        <v>Married</v>
      </c>
      <c r="P2093" t="str" cm="1">
        <f t="array" ref="P2093">_xlfn.IFS(Table1[[#This Row],[Basic]]=1, "Basic", Table1[[#This Row],[Graduate]]=1, "Graduate", Table1[[#This Row],[Master]]=1, "Master", Table1[[#This Row],[PhD]]=1, "PhD", AND(Table1[[#This Row],[Basic]]=0, Table1[[#This Row],[Graduate]]=0, Table1[[#This Row],[Master]]=0, Table1[[#This Row],[PhD]]=0), "NA")</f>
        <v>Graduate</v>
      </c>
      <c r="Q2093" t="e">
        <f>_xlfn.XLOOKUP(Table1[[#This Row],[ID]], Table2[ID],#REF!, "Not Found", 0)</f>
        <v>#REF!</v>
      </c>
      <c r="R2093" t="e">
        <f>_xlfn.XLOOKUP(Table1[[#This Row],[ID]], Table2[ID],#REF!, "Not Found", 0)</f>
        <v>#REF!</v>
      </c>
      <c r="S2093" s="3" t="str">
        <f>_xlfn.XLOOKUP(Table1[[#This Row],[ID]], Table2[ID], Table2[Enrollment], "Not Found", 0)</f>
        <v>4/20/2020</v>
      </c>
      <c r="T2093" t="s">
        <v>435</v>
      </c>
    </row>
    <row r="2094" spans="1:20" x14ac:dyDescent="0.3">
      <c r="A2094">
        <v>1643</v>
      </c>
      <c r="B2094">
        <v>119986</v>
      </c>
      <c r="C2094">
        <v>1</v>
      </c>
      <c r="D2094">
        <v>0</v>
      </c>
      <c r="E2094">
        <v>35</v>
      </c>
      <c r="F2094">
        <v>0</v>
      </c>
      <c r="G2094">
        <v>1</v>
      </c>
      <c r="H2094">
        <v>0</v>
      </c>
      <c r="I2094">
        <v>0</v>
      </c>
      <c r="J2094">
        <v>0</v>
      </c>
      <c r="K2094">
        <v>0</v>
      </c>
      <c r="L2094">
        <v>1</v>
      </c>
      <c r="M2094">
        <v>0</v>
      </c>
      <c r="N2094">
        <v>0</v>
      </c>
      <c r="O2094" t="str" cm="1">
        <f t="array" ref="O2094">_xlfn.IFS(Table1[[#This Row],[Divorced]]=1, "Divorced", Table1[[#This Row],[Married]]=1, "Married", Table1[[#This Row],[Single]]=1, "Single", Table1[[#This Row],[Together]]=1, "Together", Table1[[#This Row],[Widow]]=1, "Widow")</f>
        <v>Married</v>
      </c>
      <c r="P2094" t="str" cm="1">
        <f t="array" ref="P2094">_xlfn.IFS(Table1[[#This Row],[Basic]]=1, "Basic", Table1[[#This Row],[Graduate]]=1, "Graduate", Table1[[#This Row],[Master]]=1, "Master", Table1[[#This Row],[PhD]]=1, "PhD", AND(Table1[[#This Row],[Basic]]=0, Table1[[#This Row],[Graduate]]=0, Table1[[#This Row],[Master]]=0, Table1[[#This Row],[PhD]]=0), "NA")</f>
        <v>Graduate</v>
      </c>
      <c r="Q2094" t="e">
        <f>_xlfn.XLOOKUP(Table1[[#This Row],[ID]], Table2[ID],#REF!, "Not Found", 0)</f>
        <v>#REF!</v>
      </c>
      <c r="R2094" t="e">
        <f>_xlfn.XLOOKUP(Table1[[#This Row],[ID]], Table2[ID],#REF!, "Not Found", 0)</f>
        <v>#REF!</v>
      </c>
      <c r="S2094" s="3" t="str">
        <f>_xlfn.XLOOKUP(Table1[[#This Row],[ID]], Table2[ID], Table2[Enrollment], "Not Found", 0)</f>
        <v>4/20/2020</v>
      </c>
      <c r="T2094" t="s">
        <v>434</v>
      </c>
    </row>
    <row r="2095" spans="1:20" x14ac:dyDescent="0.3">
      <c r="A2095">
        <v>1400</v>
      </c>
      <c r="B2095">
        <v>119789</v>
      </c>
      <c r="C2095">
        <v>1</v>
      </c>
      <c r="D2095">
        <v>0</v>
      </c>
      <c r="E2095">
        <v>45</v>
      </c>
      <c r="F2095">
        <v>0</v>
      </c>
      <c r="G2095">
        <v>0</v>
      </c>
      <c r="H2095">
        <v>0</v>
      </c>
      <c r="I2095">
        <v>1</v>
      </c>
      <c r="J2095">
        <v>0</v>
      </c>
      <c r="K2095">
        <v>0</v>
      </c>
      <c r="L2095">
        <v>0</v>
      </c>
      <c r="M2095">
        <v>0</v>
      </c>
      <c r="N2095">
        <v>0</v>
      </c>
      <c r="O2095" t="str" cm="1">
        <f t="array" ref="O2095">_xlfn.IFS(Table1[[#This Row],[Divorced]]=1, "Divorced", Table1[[#This Row],[Married]]=1, "Married", Table1[[#This Row],[Single]]=1, "Single", Table1[[#This Row],[Together]]=1, "Together", Table1[[#This Row],[Widow]]=1, "Widow")</f>
        <v>Together</v>
      </c>
      <c r="P2095" t="str" cm="1">
        <f t="array" ref="P2095">_xlfn.IFS(Table1[[#This Row],[Basic]]=1, "Basic", Table1[[#This Row],[Graduate]]=1, "Graduate", Table1[[#This Row],[Master]]=1, "Master", Table1[[#This Row],[PhD]]=1, "PhD", AND(Table1[[#This Row],[Basic]]=0, Table1[[#This Row],[Graduate]]=0, Table1[[#This Row],[Master]]=0, Table1[[#This Row],[PhD]]=0), "NA")</f>
        <v>NA</v>
      </c>
      <c r="Q2095" t="e">
        <f>_xlfn.XLOOKUP(Table1[[#This Row],[ID]], Table2[ID],#REF!, "Not Found", 0)</f>
        <v>#REF!</v>
      </c>
      <c r="R2095" t="e">
        <f>_xlfn.XLOOKUP(Table1[[#This Row],[ID]], Table2[ID],#REF!, "Not Found", 0)</f>
        <v>#REF!</v>
      </c>
      <c r="S2095" s="3" t="str">
        <f>_xlfn.XLOOKUP(Table1[[#This Row],[ID]], Table2[ID], Table2[Enrollment], "Not Found", 0)</f>
        <v>4/26/2020</v>
      </c>
      <c r="T2095" t="s">
        <v>438</v>
      </c>
    </row>
    <row r="2096" spans="1:20" x14ac:dyDescent="0.3">
      <c r="A2096">
        <v>2505</v>
      </c>
      <c r="B2096">
        <v>119740</v>
      </c>
      <c r="C2096">
        <v>0</v>
      </c>
      <c r="D2096">
        <v>1</v>
      </c>
      <c r="E2096">
        <v>60</v>
      </c>
      <c r="F2096">
        <v>0</v>
      </c>
      <c r="G2096">
        <v>0</v>
      </c>
      <c r="H2096">
        <v>0</v>
      </c>
      <c r="I2096">
        <v>1</v>
      </c>
      <c r="J2096">
        <v>0</v>
      </c>
      <c r="K2096">
        <v>0</v>
      </c>
      <c r="L2096">
        <v>1</v>
      </c>
      <c r="M2096">
        <v>0</v>
      </c>
      <c r="N2096">
        <v>0</v>
      </c>
      <c r="O2096" t="str" cm="1">
        <f t="array" ref="O2096">_xlfn.IFS(Table1[[#This Row],[Divorced]]=1, "Divorced", Table1[[#This Row],[Married]]=1, "Married", Table1[[#This Row],[Single]]=1, "Single", Table1[[#This Row],[Together]]=1, "Together", Table1[[#This Row],[Widow]]=1, "Widow")</f>
        <v>Together</v>
      </c>
      <c r="P2096" t="str" cm="1">
        <f t="array" ref="P2096">_xlfn.IFS(Table1[[#This Row],[Basic]]=1, "Basic", Table1[[#This Row],[Graduate]]=1, "Graduate", Table1[[#This Row],[Master]]=1, "Master", Table1[[#This Row],[PhD]]=1, "PhD", AND(Table1[[#This Row],[Basic]]=0, Table1[[#This Row],[Graduate]]=0, Table1[[#This Row],[Master]]=0, Table1[[#This Row],[PhD]]=0), "NA")</f>
        <v>Graduate</v>
      </c>
      <c r="Q2096" t="e">
        <f>_xlfn.XLOOKUP(Table1[[#This Row],[ID]], Table2[ID],#REF!, "Not Found", 0)</f>
        <v>#REF!</v>
      </c>
      <c r="R2096" t="e">
        <f>_xlfn.XLOOKUP(Table1[[#This Row],[ID]], Table2[ID],#REF!, "Not Found", 0)</f>
        <v>#REF!</v>
      </c>
      <c r="S2096" s="3" t="str">
        <f>_xlfn.XLOOKUP(Table1[[#This Row],[ID]], Table2[ID], Table2[Enrollment], "Not Found", 0)</f>
        <v>8/29/2019</v>
      </c>
      <c r="T2096" t="s">
        <v>435</v>
      </c>
    </row>
    <row r="2097" spans="1:20" x14ac:dyDescent="0.3">
      <c r="A2097">
        <v>2248</v>
      </c>
      <c r="B2097">
        <v>119656</v>
      </c>
      <c r="C2097">
        <v>1</v>
      </c>
      <c r="D2097">
        <v>0</v>
      </c>
      <c r="E2097">
        <v>50</v>
      </c>
      <c r="F2097">
        <v>0</v>
      </c>
      <c r="G2097">
        <v>0</v>
      </c>
      <c r="H2097">
        <v>0</v>
      </c>
      <c r="I2097">
        <v>1</v>
      </c>
      <c r="J2097">
        <v>0</v>
      </c>
      <c r="K2097">
        <v>0</v>
      </c>
      <c r="L2097">
        <v>1</v>
      </c>
      <c r="M2097">
        <v>0</v>
      </c>
      <c r="N2097">
        <v>0</v>
      </c>
      <c r="O2097" t="str" cm="1">
        <f t="array" ref="O2097">_xlfn.IFS(Table1[[#This Row],[Divorced]]=1, "Divorced", Table1[[#This Row],[Married]]=1, "Married", Table1[[#This Row],[Single]]=1, "Single", Table1[[#This Row],[Together]]=1, "Together", Table1[[#This Row],[Widow]]=1, "Widow")</f>
        <v>Together</v>
      </c>
      <c r="P2097" t="str" cm="1">
        <f t="array" ref="P2097">_xlfn.IFS(Table1[[#This Row],[Basic]]=1, "Basic", Table1[[#This Row],[Graduate]]=1, "Graduate", Table1[[#This Row],[Master]]=1, "Master", Table1[[#This Row],[PhD]]=1, "PhD", AND(Table1[[#This Row],[Basic]]=0, Table1[[#This Row],[Graduate]]=0, Table1[[#This Row],[Master]]=0, Table1[[#This Row],[PhD]]=0), "NA")</f>
        <v>Graduate</v>
      </c>
      <c r="Q2097" t="e">
        <f>_xlfn.XLOOKUP(Table1[[#This Row],[ID]], Table2[ID],#REF!, "Not Found", 0)</f>
        <v>#REF!</v>
      </c>
      <c r="R2097" t="e">
        <f>_xlfn.XLOOKUP(Table1[[#This Row],[ID]], Table2[ID],#REF!, "Not Found", 0)</f>
        <v>#REF!</v>
      </c>
      <c r="S2097" s="3" t="str">
        <f>_xlfn.XLOOKUP(Table1[[#This Row],[ID]], Table2[ID], Table2[Enrollment], "Not Found", 0)</f>
        <v>7/16/2019</v>
      </c>
      <c r="T2097" t="s">
        <v>439</v>
      </c>
    </row>
    <row r="2098" spans="1:20" x14ac:dyDescent="0.3">
      <c r="A2098">
        <v>1532</v>
      </c>
      <c r="B2098">
        <v>119514</v>
      </c>
      <c r="C2098">
        <v>1</v>
      </c>
      <c r="D2098">
        <v>1</v>
      </c>
      <c r="E2098">
        <v>52</v>
      </c>
      <c r="F2098">
        <v>0</v>
      </c>
      <c r="G2098">
        <v>1</v>
      </c>
      <c r="H2098">
        <v>0</v>
      </c>
      <c r="I2098">
        <v>0</v>
      </c>
      <c r="J2098">
        <v>0</v>
      </c>
      <c r="K2098">
        <v>0</v>
      </c>
      <c r="L2098">
        <v>1</v>
      </c>
      <c r="M2098">
        <v>0</v>
      </c>
      <c r="N2098">
        <v>0</v>
      </c>
      <c r="O2098" t="str" cm="1">
        <f t="array" ref="O2098">_xlfn.IFS(Table1[[#This Row],[Divorced]]=1, "Divorced", Table1[[#This Row],[Married]]=1, "Married", Table1[[#This Row],[Single]]=1, "Single", Table1[[#This Row],[Together]]=1, "Together", Table1[[#This Row],[Widow]]=1, "Widow")</f>
        <v>Married</v>
      </c>
      <c r="P2098" t="str" cm="1">
        <f t="array" ref="P2098">_xlfn.IFS(Table1[[#This Row],[Basic]]=1, "Basic", Table1[[#This Row],[Graduate]]=1, "Graduate", Table1[[#This Row],[Master]]=1, "Master", Table1[[#This Row],[PhD]]=1, "PhD", AND(Table1[[#This Row],[Basic]]=0, Table1[[#This Row],[Graduate]]=0, Table1[[#This Row],[Master]]=0, Table1[[#This Row],[PhD]]=0), "NA")</f>
        <v>Graduate</v>
      </c>
      <c r="Q2098" t="e">
        <f>_xlfn.XLOOKUP(Table1[[#This Row],[ID]], Table2[ID],#REF!, "Not Found", 0)</f>
        <v>#REF!</v>
      </c>
      <c r="R2098" t="e">
        <f>_xlfn.XLOOKUP(Table1[[#This Row],[ID]], Table2[ID],#REF!, "Not Found", 0)</f>
        <v>#REF!</v>
      </c>
      <c r="S2098" s="3">
        <f>_xlfn.XLOOKUP(Table1[[#This Row],[ID]], Table2[ID], Table2[Enrollment], "Not Found", 0)</f>
        <v>43868</v>
      </c>
      <c r="T2098" t="s">
        <v>438</v>
      </c>
    </row>
    <row r="2099" spans="1:20" x14ac:dyDescent="0.3">
      <c r="A2099">
        <v>1989</v>
      </c>
      <c r="B2099">
        <v>119514</v>
      </c>
      <c r="C2099">
        <v>1</v>
      </c>
      <c r="D2099">
        <v>1</v>
      </c>
      <c r="E2099">
        <v>52</v>
      </c>
      <c r="F2099">
        <v>0</v>
      </c>
      <c r="G2099">
        <v>1</v>
      </c>
      <c r="H2099">
        <v>0</v>
      </c>
      <c r="I2099">
        <v>0</v>
      </c>
      <c r="J2099">
        <v>0</v>
      </c>
      <c r="K2099">
        <v>0</v>
      </c>
      <c r="L2099">
        <v>1</v>
      </c>
      <c r="M2099">
        <v>0</v>
      </c>
      <c r="N2099">
        <v>0</v>
      </c>
      <c r="O2099" t="str" cm="1">
        <f t="array" ref="O2099">_xlfn.IFS(Table1[[#This Row],[Divorced]]=1, "Divorced", Table1[[#This Row],[Married]]=1, "Married", Table1[[#This Row],[Single]]=1, "Single", Table1[[#This Row],[Together]]=1, "Together", Table1[[#This Row],[Widow]]=1, "Widow")</f>
        <v>Married</v>
      </c>
      <c r="P2099" t="str" cm="1">
        <f t="array" ref="P2099">_xlfn.IFS(Table1[[#This Row],[Basic]]=1, "Basic", Table1[[#This Row],[Graduate]]=1, "Graduate", Table1[[#This Row],[Master]]=1, "Master", Table1[[#This Row],[PhD]]=1, "PhD", AND(Table1[[#This Row],[Basic]]=0, Table1[[#This Row],[Graduate]]=0, Table1[[#This Row],[Master]]=0, Table1[[#This Row],[PhD]]=0), "NA")</f>
        <v>Graduate</v>
      </c>
      <c r="Q2099" t="e">
        <f>_xlfn.XLOOKUP(Table1[[#This Row],[ID]], Table2[ID],#REF!, "Not Found", 0)</f>
        <v>#REF!</v>
      </c>
      <c r="R2099" t="e">
        <f>_xlfn.XLOOKUP(Table1[[#This Row],[ID]], Table2[ID],#REF!, "Not Found", 0)</f>
        <v>#REF!</v>
      </c>
      <c r="S2099" s="3">
        <f>_xlfn.XLOOKUP(Table1[[#This Row],[ID]], Table2[ID], Table2[Enrollment], "Not Found", 0)</f>
        <v>43868</v>
      </c>
      <c r="T2099" t="s">
        <v>435</v>
      </c>
    </row>
    <row r="2100" spans="1:20" x14ac:dyDescent="0.3">
      <c r="A2100">
        <v>1114</v>
      </c>
      <c r="B2100">
        <v>119510</v>
      </c>
      <c r="C2100">
        <v>2</v>
      </c>
      <c r="D2100">
        <v>0</v>
      </c>
      <c r="E2100">
        <v>35</v>
      </c>
      <c r="F2100">
        <v>0</v>
      </c>
      <c r="G2100">
        <v>1</v>
      </c>
      <c r="H2100">
        <v>0</v>
      </c>
      <c r="I2100">
        <v>0</v>
      </c>
      <c r="J2100">
        <v>0</v>
      </c>
      <c r="K2100">
        <v>0</v>
      </c>
      <c r="L2100">
        <v>0</v>
      </c>
      <c r="M2100">
        <v>1</v>
      </c>
      <c r="N2100">
        <v>0</v>
      </c>
      <c r="O2100" t="str" cm="1">
        <f t="array" ref="O2100">_xlfn.IFS(Table1[[#This Row],[Divorced]]=1, "Divorced", Table1[[#This Row],[Married]]=1, "Married", Table1[[#This Row],[Single]]=1, "Single", Table1[[#This Row],[Together]]=1, "Together", Table1[[#This Row],[Widow]]=1, "Widow")</f>
        <v>Married</v>
      </c>
      <c r="P2100" t="str" cm="1">
        <f t="array" ref="P2100">_xlfn.IFS(Table1[[#This Row],[Basic]]=1, "Basic", Table1[[#This Row],[Graduate]]=1, "Graduate", Table1[[#This Row],[Master]]=1, "Master", Table1[[#This Row],[PhD]]=1, "PhD", AND(Table1[[#This Row],[Basic]]=0, Table1[[#This Row],[Graduate]]=0, Table1[[#This Row],[Master]]=0, Table1[[#This Row],[PhD]]=0), "NA")</f>
        <v>Master</v>
      </c>
      <c r="Q2100" t="e">
        <f>_xlfn.XLOOKUP(Table1[[#This Row],[ID]], Table2[ID],#REF!, "Not Found", 0)</f>
        <v>#REF!</v>
      </c>
      <c r="R2100" t="e">
        <f>_xlfn.XLOOKUP(Table1[[#This Row],[ID]], Table2[ID],#REF!, "Not Found", 0)</f>
        <v>#REF!</v>
      </c>
      <c r="S2100" s="3">
        <f>_xlfn.XLOOKUP(Table1[[#This Row],[ID]], Table2[ID], Table2[Enrollment], "Not Found", 0)</f>
        <v>44076</v>
      </c>
      <c r="T2100" t="s">
        <v>439</v>
      </c>
    </row>
    <row r="2101" spans="1:20" x14ac:dyDescent="0.3">
      <c r="A2101">
        <v>1848</v>
      </c>
      <c r="B2101">
        <v>119485</v>
      </c>
      <c r="C2101">
        <v>2</v>
      </c>
      <c r="D2101">
        <v>0</v>
      </c>
      <c r="E2101">
        <v>34</v>
      </c>
      <c r="F2101">
        <v>0</v>
      </c>
      <c r="G2101">
        <v>0</v>
      </c>
      <c r="H2101">
        <v>1</v>
      </c>
      <c r="I2101">
        <v>0</v>
      </c>
      <c r="J2101">
        <v>0</v>
      </c>
      <c r="K2101">
        <v>0</v>
      </c>
      <c r="L2101">
        <v>0</v>
      </c>
      <c r="M2101">
        <v>1</v>
      </c>
      <c r="N2101">
        <v>0</v>
      </c>
      <c r="O2101" t="str" cm="1">
        <f t="array" ref="O2101">_xlfn.IFS(Table1[[#This Row],[Divorced]]=1, "Divorced", Table1[[#This Row],[Married]]=1, "Married", Table1[[#This Row],[Single]]=1, "Single", Table1[[#This Row],[Together]]=1, "Together", Table1[[#This Row],[Widow]]=1, "Widow")</f>
        <v>Single</v>
      </c>
      <c r="P2101" t="str" cm="1">
        <f t="array" ref="P2101">_xlfn.IFS(Table1[[#This Row],[Basic]]=1, "Basic", Table1[[#This Row],[Graduate]]=1, "Graduate", Table1[[#This Row],[Master]]=1, "Master", Table1[[#This Row],[PhD]]=1, "PhD", AND(Table1[[#This Row],[Basic]]=0, Table1[[#This Row],[Graduate]]=0, Table1[[#This Row],[Master]]=0, Table1[[#This Row],[PhD]]=0), "NA")</f>
        <v>Master</v>
      </c>
      <c r="Q2101" t="e">
        <f>_xlfn.XLOOKUP(Table1[[#This Row],[ID]], Table2[ID],#REF!, "Not Found", 0)</f>
        <v>#REF!</v>
      </c>
      <c r="R2101" t="e">
        <f>_xlfn.XLOOKUP(Table1[[#This Row],[ID]], Table2[ID],#REF!, "Not Found", 0)</f>
        <v>#REF!</v>
      </c>
      <c r="S2101" s="3" t="str">
        <f>_xlfn.XLOOKUP(Table1[[#This Row],[ID]], Table2[ID], Table2[Enrollment], "Not Found", 0)</f>
        <v>2/29/2020</v>
      </c>
      <c r="T2101" t="s">
        <v>436</v>
      </c>
    </row>
    <row r="2102" spans="1:20" x14ac:dyDescent="0.3">
      <c r="A2102">
        <v>2604</v>
      </c>
      <c r="B2102">
        <v>119444</v>
      </c>
      <c r="C2102">
        <v>1</v>
      </c>
      <c r="D2102">
        <v>0</v>
      </c>
      <c r="E2102">
        <v>38</v>
      </c>
      <c r="F2102">
        <v>0</v>
      </c>
      <c r="G2102">
        <v>0</v>
      </c>
      <c r="H2102">
        <v>0</v>
      </c>
      <c r="I2102">
        <v>1</v>
      </c>
      <c r="J2102">
        <v>0</v>
      </c>
      <c r="K2102">
        <v>0</v>
      </c>
      <c r="L2102">
        <v>1</v>
      </c>
      <c r="M2102">
        <v>0</v>
      </c>
      <c r="N2102">
        <v>0</v>
      </c>
      <c r="O2102" t="str" cm="1">
        <f t="array" ref="O2102">_xlfn.IFS(Table1[[#This Row],[Divorced]]=1, "Divorced", Table1[[#This Row],[Married]]=1, "Married", Table1[[#This Row],[Single]]=1, "Single", Table1[[#This Row],[Together]]=1, "Together", Table1[[#This Row],[Widow]]=1, "Widow")</f>
        <v>Together</v>
      </c>
      <c r="P2102" t="str" cm="1">
        <f t="array" ref="P2102">_xlfn.IFS(Table1[[#This Row],[Basic]]=1, "Basic", Table1[[#This Row],[Graduate]]=1, "Graduate", Table1[[#This Row],[Master]]=1, "Master", Table1[[#This Row],[PhD]]=1, "PhD", AND(Table1[[#This Row],[Basic]]=0, Table1[[#This Row],[Graduate]]=0, Table1[[#This Row],[Master]]=0, Table1[[#This Row],[PhD]]=0), "NA")</f>
        <v>Graduate</v>
      </c>
      <c r="Q2102" t="e">
        <f>_xlfn.XLOOKUP(Table1[[#This Row],[ID]], Table2[ID],#REF!, "Not Found", 0)</f>
        <v>#REF!</v>
      </c>
      <c r="R2102" t="e">
        <f>_xlfn.XLOOKUP(Table1[[#This Row],[ID]], Table2[ID],#REF!, "Not Found", 0)</f>
        <v>#REF!</v>
      </c>
      <c r="S2102" s="3" t="str">
        <f>_xlfn.XLOOKUP(Table1[[#This Row],[ID]], Table2[ID], Table2[Enrollment], "Not Found", 0)</f>
        <v>7/29/2020</v>
      </c>
      <c r="T2102" t="s">
        <v>436</v>
      </c>
    </row>
    <row r="2103" spans="1:20" x14ac:dyDescent="0.3">
      <c r="A2103">
        <v>1824</v>
      </c>
      <c r="B2103">
        <v>119419</v>
      </c>
      <c r="C2103">
        <v>1</v>
      </c>
      <c r="D2103">
        <v>0</v>
      </c>
      <c r="E2103">
        <v>39</v>
      </c>
      <c r="F2103">
        <v>0</v>
      </c>
      <c r="G2103">
        <v>1</v>
      </c>
      <c r="H2103">
        <v>0</v>
      </c>
      <c r="I2103">
        <v>0</v>
      </c>
      <c r="J2103">
        <v>0</v>
      </c>
      <c r="K2103">
        <v>0</v>
      </c>
      <c r="L2103">
        <v>1</v>
      </c>
      <c r="M2103">
        <v>0</v>
      </c>
      <c r="N2103">
        <v>0</v>
      </c>
      <c r="O2103" t="str" cm="1">
        <f t="array" ref="O2103">_xlfn.IFS(Table1[[#This Row],[Divorced]]=1, "Divorced", Table1[[#This Row],[Married]]=1, "Married", Table1[[#This Row],[Single]]=1, "Single", Table1[[#This Row],[Together]]=1, "Together", Table1[[#This Row],[Widow]]=1, "Widow")</f>
        <v>Married</v>
      </c>
      <c r="P2103" t="str" cm="1">
        <f t="array" ref="P2103">_xlfn.IFS(Table1[[#This Row],[Basic]]=1, "Basic", Table1[[#This Row],[Graduate]]=1, "Graduate", Table1[[#This Row],[Master]]=1, "Master", Table1[[#This Row],[PhD]]=1, "PhD", AND(Table1[[#This Row],[Basic]]=0, Table1[[#This Row],[Graduate]]=0, Table1[[#This Row],[Master]]=0, Table1[[#This Row],[PhD]]=0), "NA")</f>
        <v>Graduate</v>
      </c>
      <c r="Q2103" t="e">
        <f>_xlfn.XLOOKUP(Table1[[#This Row],[ID]], Table2[ID],#REF!, "Not Found", 0)</f>
        <v>#REF!</v>
      </c>
      <c r="R2103" t="e">
        <f>_xlfn.XLOOKUP(Table1[[#This Row],[ID]], Table2[ID],#REF!, "Not Found", 0)</f>
        <v>#REF!</v>
      </c>
      <c r="S2103" s="3" t="str">
        <f>_xlfn.XLOOKUP(Table1[[#This Row],[ID]], Table2[ID], Table2[Enrollment], "Not Found", 0)</f>
        <v>4/17/2019</v>
      </c>
      <c r="T2103" t="s">
        <v>436</v>
      </c>
    </row>
    <row r="2104" spans="1:20" x14ac:dyDescent="0.3">
      <c r="A2104">
        <v>2458</v>
      </c>
      <c r="B2104">
        <v>119414</v>
      </c>
      <c r="C2104">
        <v>1</v>
      </c>
      <c r="D2104">
        <v>0</v>
      </c>
      <c r="E2104">
        <v>39</v>
      </c>
      <c r="F2104">
        <v>0</v>
      </c>
      <c r="G2104">
        <v>0</v>
      </c>
      <c r="H2104">
        <v>0</v>
      </c>
      <c r="I2104">
        <v>1</v>
      </c>
      <c r="J2104">
        <v>0</v>
      </c>
      <c r="K2104">
        <v>0</v>
      </c>
      <c r="L2104">
        <v>0</v>
      </c>
      <c r="M2104">
        <v>0</v>
      </c>
      <c r="N2104">
        <v>0</v>
      </c>
      <c r="O2104" t="str" cm="1">
        <f t="array" ref="O2104">_xlfn.IFS(Table1[[#This Row],[Divorced]]=1, "Divorced", Table1[[#This Row],[Married]]=1, "Married", Table1[[#This Row],[Single]]=1, "Single", Table1[[#This Row],[Together]]=1, "Together", Table1[[#This Row],[Widow]]=1, "Widow")</f>
        <v>Together</v>
      </c>
      <c r="P2104" t="str" cm="1">
        <f t="array" ref="P2104">_xlfn.IFS(Table1[[#This Row],[Basic]]=1, "Basic", Table1[[#This Row],[Graduate]]=1, "Graduate", Table1[[#This Row],[Master]]=1, "Master", Table1[[#This Row],[PhD]]=1, "PhD", AND(Table1[[#This Row],[Basic]]=0, Table1[[#This Row],[Graduate]]=0, Table1[[#This Row],[Master]]=0, Table1[[#This Row],[PhD]]=0), "NA")</f>
        <v>NA</v>
      </c>
      <c r="Q2104" t="e">
        <f>_xlfn.XLOOKUP(Table1[[#This Row],[ID]], Table2[ID],#REF!, "Not Found", 0)</f>
        <v>#REF!</v>
      </c>
      <c r="R2104" t="e">
        <f>_xlfn.XLOOKUP(Table1[[#This Row],[ID]], Table2[ID],#REF!, "Not Found", 0)</f>
        <v>#REF!</v>
      </c>
      <c r="S2104" s="3" t="str">
        <f>_xlfn.XLOOKUP(Table1[[#This Row],[ID]], Table2[ID], Table2[Enrollment], "Not Found", 0)</f>
        <v>3/22/2020</v>
      </c>
      <c r="T2104" t="s">
        <v>439</v>
      </c>
    </row>
    <row r="2105" spans="1:20" x14ac:dyDescent="0.3">
      <c r="A2105">
        <v>3108</v>
      </c>
      <c r="B2105">
        <v>119346</v>
      </c>
      <c r="C2105">
        <v>1</v>
      </c>
      <c r="D2105">
        <v>0</v>
      </c>
      <c r="E2105">
        <v>46</v>
      </c>
      <c r="F2105">
        <v>1</v>
      </c>
      <c r="G2105">
        <v>0</v>
      </c>
      <c r="H2105">
        <v>0</v>
      </c>
      <c r="I2105">
        <v>0</v>
      </c>
      <c r="J2105">
        <v>0</v>
      </c>
      <c r="K2105">
        <v>0</v>
      </c>
      <c r="L2105">
        <v>1</v>
      </c>
      <c r="M2105">
        <v>0</v>
      </c>
      <c r="N2105">
        <v>0</v>
      </c>
      <c r="O2105" t="str" cm="1">
        <f t="array" ref="O2105">_xlfn.IFS(Table1[[#This Row],[Divorced]]=1, "Divorced", Table1[[#This Row],[Married]]=1, "Married", Table1[[#This Row],[Single]]=1, "Single", Table1[[#This Row],[Together]]=1, "Together", Table1[[#This Row],[Widow]]=1, "Widow")</f>
        <v>Divorced</v>
      </c>
      <c r="P2105" t="str" cm="1">
        <f t="array" ref="P2105">_xlfn.IFS(Table1[[#This Row],[Basic]]=1, "Basic", Table1[[#This Row],[Graduate]]=1, "Graduate", Table1[[#This Row],[Master]]=1, "Master", Table1[[#This Row],[PhD]]=1, "PhD", AND(Table1[[#This Row],[Basic]]=0, Table1[[#This Row],[Graduate]]=0, Table1[[#This Row],[Master]]=0, Table1[[#This Row],[PhD]]=0), "NA")</f>
        <v>Graduate</v>
      </c>
      <c r="Q2105" t="e">
        <f>_xlfn.XLOOKUP(Table1[[#This Row],[ID]], Table2[ID],#REF!, "Not Found", 0)</f>
        <v>#REF!</v>
      </c>
      <c r="R2105" t="e">
        <f>_xlfn.XLOOKUP(Table1[[#This Row],[ID]], Table2[ID],#REF!, "Not Found", 0)</f>
        <v>#REF!</v>
      </c>
      <c r="S2105" s="3">
        <f>_xlfn.XLOOKUP(Table1[[#This Row],[ID]], Table2[ID], Table2[Enrollment], "Not Found", 0)</f>
        <v>43989</v>
      </c>
      <c r="T2105" t="s">
        <v>436</v>
      </c>
    </row>
    <row r="2106" spans="1:20" x14ac:dyDescent="0.3">
      <c r="A2106">
        <v>1780</v>
      </c>
      <c r="B2106">
        <v>119329</v>
      </c>
      <c r="C2106">
        <v>1</v>
      </c>
      <c r="D2106">
        <v>0</v>
      </c>
      <c r="E2106">
        <v>52</v>
      </c>
      <c r="F2106">
        <v>0</v>
      </c>
      <c r="G2106">
        <v>1</v>
      </c>
      <c r="H2106">
        <v>0</v>
      </c>
      <c r="I2106">
        <v>0</v>
      </c>
      <c r="J2106">
        <v>0</v>
      </c>
      <c r="K2106">
        <v>0</v>
      </c>
      <c r="L2106">
        <v>1</v>
      </c>
      <c r="M2106">
        <v>0</v>
      </c>
      <c r="N2106">
        <v>0</v>
      </c>
      <c r="O2106" t="str" cm="1">
        <f t="array" ref="O2106">_xlfn.IFS(Table1[[#This Row],[Divorced]]=1, "Divorced", Table1[[#This Row],[Married]]=1, "Married", Table1[[#This Row],[Single]]=1, "Single", Table1[[#This Row],[Together]]=1, "Together", Table1[[#This Row],[Widow]]=1, "Widow")</f>
        <v>Married</v>
      </c>
      <c r="P2106" t="str" cm="1">
        <f t="array" ref="P2106">_xlfn.IFS(Table1[[#This Row],[Basic]]=1, "Basic", Table1[[#This Row],[Graduate]]=1, "Graduate", Table1[[#This Row],[Master]]=1, "Master", Table1[[#This Row],[PhD]]=1, "PhD", AND(Table1[[#This Row],[Basic]]=0, Table1[[#This Row],[Graduate]]=0, Table1[[#This Row],[Master]]=0, Table1[[#This Row],[PhD]]=0), "NA")</f>
        <v>Graduate</v>
      </c>
      <c r="Q2106" t="e">
        <f>_xlfn.XLOOKUP(Table1[[#This Row],[ID]], Table2[ID],#REF!, "Not Found", 0)</f>
        <v>#REF!</v>
      </c>
      <c r="R2106" t="e">
        <f>_xlfn.XLOOKUP(Table1[[#This Row],[ID]], Table2[ID],#REF!, "Not Found", 0)</f>
        <v>#REF!</v>
      </c>
      <c r="S2106" s="3" t="str">
        <f>_xlfn.XLOOKUP(Table1[[#This Row],[ID]], Table2[ID], Table2[Enrollment], "Not Found", 0)</f>
        <v>5/20/2020</v>
      </c>
      <c r="T2106" t="s">
        <v>439</v>
      </c>
    </row>
    <row r="2107" spans="1:20" x14ac:dyDescent="0.3">
      <c r="A2107">
        <v>2459</v>
      </c>
      <c r="B2107">
        <v>119107</v>
      </c>
      <c r="C2107">
        <v>1</v>
      </c>
      <c r="D2107">
        <v>0</v>
      </c>
      <c r="E2107">
        <v>40</v>
      </c>
      <c r="F2107">
        <v>0</v>
      </c>
      <c r="G2107">
        <v>1</v>
      </c>
      <c r="H2107">
        <v>0</v>
      </c>
      <c r="I2107">
        <v>0</v>
      </c>
      <c r="J2107">
        <v>0</v>
      </c>
      <c r="K2107">
        <v>0</v>
      </c>
      <c r="L2107">
        <v>1</v>
      </c>
      <c r="M2107">
        <v>0</v>
      </c>
      <c r="N2107">
        <v>0</v>
      </c>
      <c r="O2107" t="str" cm="1">
        <f t="array" ref="O2107">_xlfn.IFS(Table1[[#This Row],[Divorced]]=1, "Divorced", Table1[[#This Row],[Married]]=1, "Married", Table1[[#This Row],[Single]]=1, "Single", Table1[[#This Row],[Together]]=1, "Together", Table1[[#This Row],[Widow]]=1, "Widow")</f>
        <v>Married</v>
      </c>
      <c r="P2107" t="str" cm="1">
        <f t="array" ref="P2107">_xlfn.IFS(Table1[[#This Row],[Basic]]=1, "Basic", Table1[[#This Row],[Graduate]]=1, "Graduate", Table1[[#This Row],[Master]]=1, "Master", Table1[[#This Row],[PhD]]=1, "PhD", AND(Table1[[#This Row],[Basic]]=0, Table1[[#This Row],[Graduate]]=0, Table1[[#This Row],[Master]]=0, Table1[[#This Row],[PhD]]=0), "NA")</f>
        <v>Graduate</v>
      </c>
      <c r="Q2107" t="e">
        <f>_xlfn.XLOOKUP(Table1[[#This Row],[ID]], Table2[ID],#REF!, "Not Found", 0)</f>
        <v>#REF!</v>
      </c>
      <c r="R2107" t="e">
        <f>_xlfn.XLOOKUP(Table1[[#This Row],[ID]], Table2[ID],#REF!, "Not Found", 0)</f>
        <v>#REF!</v>
      </c>
      <c r="S2107" s="3" t="str">
        <f>_xlfn.XLOOKUP(Table1[[#This Row],[ID]], Table2[ID], Table2[Enrollment], "Not Found", 0)</f>
        <v>1/27/2020</v>
      </c>
      <c r="T2107" t="s">
        <v>434</v>
      </c>
    </row>
    <row r="2108" spans="1:20" x14ac:dyDescent="0.3">
      <c r="A2108">
        <v>1703</v>
      </c>
      <c r="B2108">
        <v>118988</v>
      </c>
      <c r="C2108">
        <v>1</v>
      </c>
      <c r="D2108">
        <v>0</v>
      </c>
      <c r="E2108">
        <v>36</v>
      </c>
      <c r="F2108">
        <v>0</v>
      </c>
      <c r="G2108">
        <v>1</v>
      </c>
      <c r="H2108">
        <v>0</v>
      </c>
      <c r="I2108">
        <v>0</v>
      </c>
      <c r="J2108">
        <v>0</v>
      </c>
      <c r="K2108">
        <v>0</v>
      </c>
      <c r="L2108">
        <v>0</v>
      </c>
      <c r="M2108">
        <v>0</v>
      </c>
      <c r="N2108">
        <v>1</v>
      </c>
      <c r="O2108" t="str" cm="1">
        <f t="array" ref="O2108">_xlfn.IFS(Table1[[#This Row],[Divorced]]=1, "Divorced", Table1[[#This Row],[Married]]=1, "Married", Table1[[#This Row],[Single]]=1, "Single", Table1[[#This Row],[Together]]=1, "Together", Table1[[#This Row],[Widow]]=1, "Widow")</f>
        <v>Married</v>
      </c>
      <c r="P2108" t="str" cm="1">
        <f t="array" ref="P2108">_xlfn.IFS(Table1[[#This Row],[Basic]]=1, "Basic", Table1[[#This Row],[Graduate]]=1, "Graduate", Table1[[#This Row],[Master]]=1, "Master", Table1[[#This Row],[PhD]]=1, "PhD", AND(Table1[[#This Row],[Basic]]=0, Table1[[#This Row],[Graduate]]=0, Table1[[#This Row],[Master]]=0, Table1[[#This Row],[PhD]]=0), "NA")</f>
        <v>PhD</v>
      </c>
      <c r="Q2108" t="e">
        <f>_xlfn.XLOOKUP(Table1[[#This Row],[ID]], Table2[ID],#REF!, "Not Found", 0)</f>
        <v>#REF!</v>
      </c>
      <c r="R2108" t="e">
        <f>_xlfn.XLOOKUP(Table1[[#This Row],[ID]], Table2[ID],#REF!, "Not Found", 0)</f>
        <v>#REF!</v>
      </c>
      <c r="S2108" s="3" t="str">
        <f>_xlfn.XLOOKUP(Table1[[#This Row],[ID]], Table2[ID], Table2[Enrollment], "Not Found", 0)</f>
        <v>10/27/2020</v>
      </c>
      <c r="T2108" t="s">
        <v>434</v>
      </c>
    </row>
    <row r="2109" spans="1:20" x14ac:dyDescent="0.3">
      <c r="A2109">
        <v>1596</v>
      </c>
      <c r="B2109">
        <v>118978</v>
      </c>
      <c r="C2109">
        <v>1</v>
      </c>
      <c r="D2109">
        <v>0</v>
      </c>
      <c r="E2109">
        <v>47</v>
      </c>
      <c r="F2109">
        <v>0</v>
      </c>
      <c r="G2109">
        <v>1</v>
      </c>
      <c r="H2109">
        <v>0</v>
      </c>
      <c r="I2109">
        <v>0</v>
      </c>
      <c r="J2109">
        <v>0</v>
      </c>
      <c r="K2109">
        <v>1</v>
      </c>
      <c r="L2109">
        <v>0</v>
      </c>
      <c r="M2109">
        <v>0</v>
      </c>
      <c r="N2109">
        <v>0</v>
      </c>
      <c r="O2109" t="str" cm="1">
        <f t="array" ref="O2109">_xlfn.IFS(Table1[[#This Row],[Divorced]]=1, "Divorced", Table1[[#This Row],[Married]]=1, "Married", Table1[[#This Row],[Single]]=1, "Single", Table1[[#This Row],[Together]]=1, "Together", Table1[[#This Row],[Widow]]=1, "Widow")</f>
        <v>Married</v>
      </c>
      <c r="P2109" t="str" cm="1">
        <f t="array" ref="P2109">_xlfn.IFS(Table1[[#This Row],[Basic]]=1, "Basic", Table1[[#This Row],[Graduate]]=1, "Graduate", Table1[[#This Row],[Master]]=1, "Master", Table1[[#This Row],[PhD]]=1, "PhD", AND(Table1[[#This Row],[Basic]]=0, Table1[[#This Row],[Graduate]]=0, Table1[[#This Row],[Master]]=0, Table1[[#This Row],[PhD]]=0), "NA")</f>
        <v>Basic</v>
      </c>
      <c r="Q2109" t="e">
        <f>_xlfn.XLOOKUP(Table1[[#This Row],[ID]], Table2[ID],#REF!, "Not Found", 0)</f>
        <v>#REF!</v>
      </c>
      <c r="R2109" t="e">
        <f>_xlfn.XLOOKUP(Table1[[#This Row],[ID]], Table2[ID],#REF!, "Not Found", 0)</f>
        <v>#REF!</v>
      </c>
      <c r="S2109" s="3" t="str">
        <f>_xlfn.XLOOKUP(Table1[[#This Row],[ID]], Table2[ID], Table2[Enrollment], "Not Found", 0)</f>
        <v>5/18/2019</v>
      </c>
      <c r="T2109" t="s">
        <v>436</v>
      </c>
    </row>
    <row r="2110" spans="1:20" x14ac:dyDescent="0.3">
      <c r="A2110">
        <v>2323</v>
      </c>
      <c r="B2110">
        <v>118929</v>
      </c>
      <c r="C2110">
        <v>0</v>
      </c>
      <c r="D2110">
        <v>0</v>
      </c>
      <c r="E2110">
        <v>30</v>
      </c>
      <c r="F2110">
        <v>0</v>
      </c>
      <c r="G2110">
        <v>1</v>
      </c>
      <c r="H2110">
        <v>0</v>
      </c>
      <c r="I2110">
        <v>0</v>
      </c>
      <c r="J2110">
        <v>0</v>
      </c>
      <c r="K2110">
        <v>0</v>
      </c>
      <c r="L2110">
        <v>1</v>
      </c>
      <c r="M2110">
        <v>0</v>
      </c>
      <c r="N2110">
        <v>0</v>
      </c>
      <c r="O2110" t="str" cm="1">
        <f t="array" ref="O2110">_xlfn.IFS(Table1[[#This Row],[Divorced]]=1, "Divorced", Table1[[#This Row],[Married]]=1, "Married", Table1[[#This Row],[Single]]=1, "Single", Table1[[#This Row],[Together]]=1, "Together", Table1[[#This Row],[Widow]]=1, "Widow")</f>
        <v>Married</v>
      </c>
      <c r="P2110" t="str" cm="1">
        <f t="array" ref="P2110">_xlfn.IFS(Table1[[#This Row],[Basic]]=1, "Basic", Table1[[#This Row],[Graduate]]=1, "Graduate", Table1[[#This Row],[Master]]=1, "Master", Table1[[#This Row],[PhD]]=1, "PhD", AND(Table1[[#This Row],[Basic]]=0, Table1[[#This Row],[Graduate]]=0, Table1[[#This Row],[Master]]=0, Table1[[#This Row],[PhD]]=0), "NA")</f>
        <v>Graduate</v>
      </c>
      <c r="Q2110" t="e">
        <f>_xlfn.XLOOKUP(Table1[[#This Row],[ID]], Table2[ID],#REF!, "Not Found", 0)</f>
        <v>#REF!</v>
      </c>
      <c r="R2110" t="e">
        <f>_xlfn.XLOOKUP(Table1[[#This Row],[ID]], Table2[ID],#REF!, "Not Found", 0)</f>
        <v>#REF!</v>
      </c>
      <c r="S2110" s="3" t="str">
        <f>_xlfn.XLOOKUP(Table1[[#This Row],[ID]], Table2[ID], Table2[Enrollment], "Not Found", 0)</f>
        <v>7/24/2019</v>
      </c>
      <c r="T2110" t="s">
        <v>437</v>
      </c>
    </row>
    <row r="2111" spans="1:20" x14ac:dyDescent="0.3">
      <c r="A2111">
        <v>2891</v>
      </c>
      <c r="B2111">
        <v>118929</v>
      </c>
      <c r="C2111">
        <v>0</v>
      </c>
      <c r="D2111">
        <v>0</v>
      </c>
      <c r="E2111">
        <v>30</v>
      </c>
      <c r="F2111">
        <v>0</v>
      </c>
      <c r="G2111">
        <v>1</v>
      </c>
      <c r="H2111">
        <v>0</v>
      </c>
      <c r="I2111">
        <v>0</v>
      </c>
      <c r="J2111">
        <v>0</v>
      </c>
      <c r="K2111">
        <v>0</v>
      </c>
      <c r="L2111">
        <v>1</v>
      </c>
      <c r="M2111">
        <v>0</v>
      </c>
      <c r="N2111">
        <v>0</v>
      </c>
      <c r="O2111" t="str" cm="1">
        <f t="array" ref="O2111">_xlfn.IFS(Table1[[#This Row],[Divorced]]=1, "Divorced", Table1[[#This Row],[Married]]=1, "Married", Table1[[#This Row],[Single]]=1, "Single", Table1[[#This Row],[Together]]=1, "Together", Table1[[#This Row],[Widow]]=1, "Widow")</f>
        <v>Married</v>
      </c>
      <c r="P2111" t="str" cm="1">
        <f t="array" ref="P2111">_xlfn.IFS(Table1[[#This Row],[Basic]]=1, "Basic", Table1[[#This Row],[Graduate]]=1, "Graduate", Table1[[#This Row],[Master]]=1, "Master", Table1[[#This Row],[PhD]]=1, "PhD", AND(Table1[[#This Row],[Basic]]=0, Table1[[#This Row],[Graduate]]=0, Table1[[#This Row],[Master]]=0, Table1[[#This Row],[PhD]]=0), "NA")</f>
        <v>Graduate</v>
      </c>
      <c r="Q2111" t="e">
        <f>_xlfn.XLOOKUP(Table1[[#This Row],[ID]], Table2[ID],#REF!, "Not Found", 0)</f>
        <v>#REF!</v>
      </c>
      <c r="R2111" t="e">
        <f>_xlfn.XLOOKUP(Table1[[#This Row],[ID]], Table2[ID],#REF!, "Not Found", 0)</f>
        <v>#REF!</v>
      </c>
      <c r="S2111" s="3" t="str">
        <f>_xlfn.XLOOKUP(Table1[[#This Row],[ID]], Table2[ID], Table2[Enrollment], "Not Found", 0)</f>
        <v>7/24/2019</v>
      </c>
      <c r="T2111" t="s">
        <v>434</v>
      </c>
    </row>
    <row r="2112" spans="1:20" x14ac:dyDescent="0.3">
      <c r="A2112">
        <v>3172</v>
      </c>
      <c r="B2112">
        <v>118929</v>
      </c>
      <c r="C2112">
        <v>0</v>
      </c>
      <c r="D2112">
        <v>0</v>
      </c>
      <c r="E2112">
        <v>30</v>
      </c>
      <c r="F2112">
        <v>0</v>
      </c>
      <c r="G2112">
        <v>1</v>
      </c>
      <c r="H2112">
        <v>0</v>
      </c>
      <c r="I2112">
        <v>0</v>
      </c>
      <c r="J2112">
        <v>0</v>
      </c>
      <c r="K2112">
        <v>0</v>
      </c>
      <c r="L2112">
        <v>1</v>
      </c>
      <c r="M2112">
        <v>0</v>
      </c>
      <c r="N2112">
        <v>0</v>
      </c>
      <c r="O2112" t="str" cm="1">
        <f t="array" ref="O2112">_xlfn.IFS(Table1[[#This Row],[Divorced]]=1, "Divorced", Table1[[#This Row],[Married]]=1, "Married", Table1[[#This Row],[Single]]=1, "Single", Table1[[#This Row],[Together]]=1, "Together", Table1[[#This Row],[Widow]]=1, "Widow")</f>
        <v>Married</v>
      </c>
      <c r="P2112" t="str" cm="1">
        <f t="array" ref="P2112">_xlfn.IFS(Table1[[#This Row],[Basic]]=1, "Basic", Table1[[#This Row],[Graduate]]=1, "Graduate", Table1[[#This Row],[Master]]=1, "Master", Table1[[#This Row],[PhD]]=1, "PhD", AND(Table1[[#This Row],[Basic]]=0, Table1[[#This Row],[Graduate]]=0, Table1[[#This Row],[Master]]=0, Table1[[#This Row],[PhD]]=0), "NA")</f>
        <v>Graduate</v>
      </c>
      <c r="Q2112" t="e">
        <f>_xlfn.XLOOKUP(Table1[[#This Row],[ID]], Table2[ID],#REF!, "Not Found", 0)</f>
        <v>#REF!</v>
      </c>
      <c r="R2112" t="e">
        <f>_xlfn.XLOOKUP(Table1[[#This Row],[ID]], Table2[ID],#REF!, "Not Found", 0)</f>
        <v>#REF!</v>
      </c>
      <c r="S2112" s="3" t="str">
        <f>_xlfn.XLOOKUP(Table1[[#This Row],[ID]], Table2[ID], Table2[Enrollment], "Not Found", 0)</f>
        <v>7/24/2019</v>
      </c>
      <c r="T2112" t="s">
        <v>439</v>
      </c>
    </row>
    <row r="2113" spans="1:20" x14ac:dyDescent="0.3">
      <c r="A2113">
        <v>1193</v>
      </c>
      <c r="B2113">
        <v>118890</v>
      </c>
      <c r="C2113">
        <v>0</v>
      </c>
      <c r="D2113">
        <v>0</v>
      </c>
      <c r="E2113">
        <v>36</v>
      </c>
      <c r="F2113">
        <v>0</v>
      </c>
      <c r="G2113">
        <v>0</v>
      </c>
      <c r="H2113">
        <v>1</v>
      </c>
      <c r="I2113">
        <v>0</v>
      </c>
      <c r="J2113">
        <v>0</v>
      </c>
      <c r="K2113">
        <v>0</v>
      </c>
      <c r="L2113">
        <v>0</v>
      </c>
      <c r="M2113">
        <v>1</v>
      </c>
      <c r="N2113">
        <v>0</v>
      </c>
      <c r="O2113" t="str" cm="1">
        <f t="array" ref="O2113">_xlfn.IFS(Table1[[#This Row],[Divorced]]=1, "Divorced", Table1[[#This Row],[Married]]=1, "Married", Table1[[#This Row],[Single]]=1, "Single", Table1[[#This Row],[Together]]=1, "Together", Table1[[#This Row],[Widow]]=1, "Widow")</f>
        <v>Single</v>
      </c>
      <c r="P2113" t="str" cm="1">
        <f t="array" ref="P2113">_xlfn.IFS(Table1[[#This Row],[Basic]]=1, "Basic", Table1[[#This Row],[Graduate]]=1, "Graduate", Table1[[#This Row],[Master]]=1, "Master", Table1[[#This Row],[PhD]]=1, "PhD", AND(Table1[[#This Row],[Basic]]=0, Table1[[#This Row],[Graduate]]=0, Table1[[#This Row],[Master]]=0, Table1[[#This Row],[PhD]]=0), "NA")</f>
        <v>Master</v>
      </c>
      <c r="Q2113" t="e">
        <f>_xlfn.XLOOKUP(Table1[[#This Row],[ID]], Table2[ID],#REF!, "Not Found", 0)</f>
        <v>#REF!</v>
      </c>
      <c r="R2113" t="e">
        <f>_xlfn.XLOOKUP(Table1[[#This Row],[ID]], Table2[ID],#REF!, "Not Found", 0)</f>
        <v>#REF!</v>
      </c>
      <c r="S2113" s="3" t="str">
        <f>_xlfn.XLOOKUP(Table1[[#This Row],[ID]], Table2[ID], Table2[Enrollment], "Not Found", 0)</f>
        <v>4/17/2019</v>
      </c>
      <c r="T2113" t="s">
        <v>434</v>
      </c>
    </row>
    <row r="2114" spans="1:20" x14ac:dyDescent="0.3">
      <c r="A2114">
        <v>2597</v>
      </c>
      <c r="B2114">
        <v>118793</v>
      </c>
      <c r="C2114">
        <v>1</v>
      </c>
      <c r="D2114">
        <v>0</v>
      </c>
      <c r="E2114">
        <v>49</v>
      </c>
      <c r="F2114">
        <v>0</v>
      </c>
      <c r="G2114">
        <v>1</v>
      </c>
      <c r="H2114">
        <v>0</v>
      </c>
      <c r="I2114">
        <v>0</v>
      </c>
      <c r="J2114">
        <v>0</v>
      </c>
      <c r="K2114">
        <v>0</v>
      </c>
      <c r="L2114">
        <v>1</v>
      </c>
      <c r="M2114">
        <v>0</v>
      </c>
      <c r="N2114">
        <v>0</v>
      </c>
      <c r="O2114" t="str" cm="1">
        <f t="array" ref="O2114">_xlfn.IFS(Table1[[#This Row],[Divorced]]=1, "Divorced", Table1[[#This Row],[Married]]=1, "Married", Table1[[#This Row],[Single]]=1, "Single", Table1[[#This Row],[Together]]=1, "Together", Table1[[#This Row],[Widow]]=1, "Widow")</f>
        <v>Married</v>
      </c>
      <c r="P2114" t="str" cm="1">
        <f t="array" ref="P2114">_xlfn.IFS(Table1[[#This Row],[Basic]]=1, "Basic", Table1[[#This Row],[Graduate]]=1, "Graduate", Table1[[#This Row],[Master]]=1, "Master", Table1[[#This Row],[PhD]]=1, "PhD", AND(Table1[[#This Row],[Basic]]=0, Table1[[#This Row],[Graduate]]=0, Table1[[#This Row],[Master]]=0, Table1[[#This Row],[PhD]]=0), "NA")</f>
        <v>Graduate</v>
      </c>
      <c r="Q2114" t="e">
        <f>_xlfn.XLOOKUP(Table1[[#This Row],[ID]], Table2[ID],#REF!, "Not Found", 0)</f>
        <v>#REF!</v>
      </c>
      <c r="R2114" t="e">
        <f>_xlfn.XLOOKUP(Table1[[#This Row],[ID]], Table2[ID],#REF!, "Not Found", 0)</f>
        <v>#REF!</v>
      </c>
      <c r="S2114" s="3" t="str">
        <f>_xlfn.XLOOKUP(Table1[[#This Row],[ID]], Table2[ID], Table2[Enrollment], "Not Found", 0)</f>
        <v>6/19/2019</v>
      </c>
      <c r="T2114" t="s">
        <v>434</v>
      </c>
    </row>
    <row r="2115" spans="1:20" x14ac:dyDescent="0.3">
      <c r="A2115">
        <v>2689</v>
      </c>
      <c r="B2115">
        <v>118746</v>
      </c>
      <c r="C2115">
        <v>1</v>
      </c>
      <c r="D2115">
        <v>0</v>
      </c>
      <c r="E2115">
        <v>28</v>
      </c>
      <c r="F2115">
        <v>0</v>
      </c>
      <c r="G2115">
        <v>0</v>
      </c>
      <c r="H2115">
        <v>1</v>
      </c>
      <c r="I2115">
        <v>0</v>
      </c>
      <c r="J2115">
        <v>0</v>
      </c>
      <c r="K2115">
        <v>1</v>
      </c>
      <c r="L2115">
        <v>0</v>
      </c>
      <c r="M2115">
        <v>0</v>
      </c>
      <c r="N2115">
        <v>0</v>
      </c>
      <c r="O2115" t="str" cm="1">
        <f t="array" ref="O2115">_xlfn.IFS(Table1[[#This Row],[Divorced]]=1, "Divorced", Table1[[#This Row],[Married]]=1, "Married", Table1[[#This Row],[Single]]=1, "Single", Table1[[#This Row],[Together]]=1, "Together", Table1[[#This Row],[Widow]]=1, "Widow")</f>
        <v>Single</v>
      </c>
      <c r="P2115" t="str" cm="1">
        <f t="array" ref="P2115">_xlfn.IFS(Table1[[#This Row],[Basic]]=1, "Basic", Table1[[#This Row],[Graduate]]=1, "Graduate", Table1[[#This Row],[Master]]=1, "Master", Table1[[#This Row],[PhD]]=1, "PhD", AND(Table1[[#This Row],[Basic]]=0, Table1[[#This Row],[Graduate]]=0, Table1[[#This Row],[Master]]=0, Table1[[#This Row],[PhD]]=0), "NA")</f>
        <v>Basic</v>
      </c>
      <c r="Q2115" t="e">
        <f>_xlfn.XLOOKUP(Table1[[#This Row],[ID]], Table2[ID],#REF!, "Not Found", 0)</f>
        <v>#REF!</v>
      </c>
      <c r="R2115" t="e">
        <f>_xlfn.XLOOKUP(Table1[[#This Row],[ID]], Table2[ID],#REF!, "Not Found", 0)</f>
        <v>#REF!</v>
      </c>
      <c r="S2115" s="3">
        <f>_xlfn.XLOOKUP(Table1[[#This Row],[ID]], Table2[ID], Table2[Enrollment], "Not Found", 0)</f>
        <v>43872</v>
      </c>
      <c r="T2115" t="s">
        <v>437</v>
      </c>
    </row>
    <row r="2116" spans="1:20" x14ac:dyDescent="0.3">
      <c r="A2116">
        <v>1245</v>
      </c>
      <c r="B2116">
        <v>118701</v>
      </c>
      <c r="C2116">
        <v>1</v>
      </c>
      <c r="D2116">
        <v>1</v>
      </c>
      <c r="E2116">
        <v>56</v>
      </c>
      <c r="F2116">
        <v>0</v>
      </c>
      <c r="G2116">
        <v>0</v>
      </c>
      <c r="H2116">
        <v>1</v>
      </c>
      <c r="I2116">
        <v>0</v>
      </c>
      <c r="J2116">
        <v>0</v>
      </c>
      <c r="K2116">
        <v>0</v>
      </c>
      <c r="L2116">
        <v>1</v>
      </c>
      <c r="M2116">
        <v>0</v>
      </c>
      <c r="N2116">
        <v>0</v>
      </c>
      <c r="O2116" t="str" cm="1">
        <f t="array" ref="O2116">_xlfn.IFS(Table1[[#This Row],[Divorced]]=1, "Divorced", Table1[[#This Row],[Married]]=1, "Married", Table1[[#This Row],[Single]]=1, "Single", Table1[[#This Row],[Together]]=1, "Together", Table1[[#This Row],[Widow]]=1, "Widow")</f>
        <v>Single</v>
      </c>
      <c r="P2116" t="str" cm="1">
        <f t="array" ref="P2116">_xlfn.IFS(Table1[[#This Row],[Basic]]=1, "Basic", Table1[[#This Row],[Graduate]]=1, "Graduate", Table1[[#This Row],[Master]]=1, "Master", Table1[[#This Row],[PhD]]=1, "PhD", AND(Table1[[#This Row],[Basic]]=0, Table1[[#This Row],[Graduate]]=0, Table1[[#This Row],[Master]]=0, Table1[[#This Row],[PhD]]=0), "NA")</f>
        <v>Graduate</v>
      </c>
      <c r="Q2116" t="e">
        <f>_xlfn.XLOOKUP(Table1[[#This Row],[ID]], Table2[ID],#REF!, "Not Found", 0)</f>
        <v>#REF!</v>
      </c>
      <c r="R2116" t="e">
        <f>_xlfn.XLOOKUP(Table1[[#This Row],[ID]], Table2[ID],#REF!, "Not Found", 0)</f>
        <v>#REF!</v>
      </c>
      <c r="S2116" s="3">
        <f>_xlfn.XLOOKUP(Table1[[#This Row],[ID]], Table2[ID], Table2[Enrollment], "Not Found", 0)</f>
        <v>43719</v>
      </c>
      <c r="T2116" t="s">
        <v>435</v>
      </c>
    </row>
    <row r="2117" spans="1:20" x14ac:dyDescent="0.3">
      <c r="A2117">
        <v>2782</v>
      </c>
      <c r="B2117">
        <v>118701</v>
      </c>
      <c r="C2117">
        <v>1</v>
      </c>
      <c r="D2117">
        <v>1</v>
      </c>
      <c r="E2117">
        <v>56</v>
      </c>
      <c r="F2117">
        <v>0</v>
      </c>
      <c r="G2117">
        <v>0</v>
      </c>
      <c r="H2117">
        <v>1</v>
      </c>
      <c r="I2117">
        <v>0</v>
      </c>
      <c r="J2117">
        <v>0</v>
      </c>
      <c r="K2117">
        <v>0</v>
      </c>
      <c r="L2117">
        <v>1</v>
      </c>
      <c r="M2117">
        <v>0</v>
      </c>
      <c r="N2117">
        <v>0</v>
      </c>
      <c r="O2117" t="str" cm="1">
        <f t="array" ref="O2117">_xlfn.IFS(Table1[[#This Row],[Divorced]]=1, "Divorced", Table1[[#This Row],[Married]]=1, "Married", Table1[[#This Row],[Single]]=1, "Single", Table1[[#This Row],[Together]]=1, "Together", Table1[[#This Row],[Widow]]=1, "Widow")</f>
        <v>Single</v>
      </c>
      <c r="P2117" t="str" cm="1">
        <f t="array" ref="P2117">_xlfn.IFS(Table1[[#This Row],[Basic]]=1, "Basic", Table1[[#This Row],[Graduate]]=1, "Graduate", Table1[[#This Row],[Master]]=1, "Master", Table1[[#This Row],[PhD]]=1, "PhD", AND(Table1[[#This Row],[Basic]]=0, Table1[[#This Row],[Graduate]]=0, Table1[[#This Row],[Master]]=0, Table1[[#This Row],[PhD]]=0), "NA")</f>
        <v>Graduate</v>
      </c>
      <c r="Q2117" t="e">
        <f>_xlfn.XLOOKUP(Table1[[#This Row],[ID]], Table2[ID],#REF!, "Not Found", 0)</f>
        <v>#REF!</v>
      </c>
      <c r="R2117" t="e">
        <f>_xlfn.XLOOKUP(Table1[[#This Row],[ID]], Table2[ID],#REF!, "Not Found", 0)</f>
        <v>#REF!</v>
      </c>
      <c r="S2117" s="3">
        <f>_xlfn.XLOOKUP(Table1[[#This Row],[ID]], Table2[ID], Table2[Enrollment], "Not Found", 0)</f>
        <v>43719</v>
      </c>
      <c r="T2117" t="s">
        <v>439</v>
      </c>
    </row>
    <row r="2118" spans="1:20" x14ac:dyDescent="0.3">
      <c r="A2118">
        <v>1647</v>
      </c>
      <c r="B2118">
        <v>118690</v>
      </c>
      <c r="C2118">
        <v>0</v>
      </c>
      <c r="D2118">
        <v>0</v>
      </c>
      <c r="E2118">
        <v>61</v>
      </c>
      <c r="F2118">
        <v>0</v>
      </c>
      <c r="G2118">
        <v>1</v>
      </c>
      <c r="H2118">
        <v>0</v>
      </c>
      <c r="I2118">
        <v>0</v>
      </c>
      <c r="J2118">
        <v>0</v>
      </c>
      <c r="K2118">
        <v>0</v>
      </c>
      <c r="L2118">
        <v>1</v>
      </c>
      <c r="M2118">
        <v>0</v>
      </c>
      <c r="N2118">
        <v>0</v>
      </c>
      <c r="O2118" t="str" cm="1">
        <f t="array" ref="O2118">_xlfn.IFS(Table1[[#This Row],[Divorced]]=1, "Divorced", Table1[[#This Row],[Married]]=1, "Married", Table1[[#This Row],[Single]]=1, "Single", Table1[[#This Row],[Together]]=1, "Together", Table1[[#This Row],[Widow]]=1, "Widow")</f>
        <v>Married</v>
      </c>
      <c r="P2118" t="str" cm="1">
        <f t="array" ref="P2118">_xlfn.IFS(Table1[[#This Row],[Basic]]=1, "Basic", Table1[[#This Row],[Graduate]]=1, "Graduate", Table1[[#This Row],[Master]]=1, "Master", Table1[[#This Row],[PhD]]=1, "PhD", AND(Table1[[#This Row],[Basic]]=0, Table1[[#This Row],[Graduate]]=0, Table1[[#This Row],[Master]]=0, Table1[[#This Row],[PhD]]=0), "NA")</f>
        <v>Graduate</v>
      </c>
      <c r="Q2118" t="e">
        <f>_xlfn.XLOOKUP(Table1[[#This Row],[ID]], Table2[ID],#REF!, "Not Found", 0)</f>
        <v>#REF!</v>
      </c>
      <c r="R2118" t="e">
        <f>_xlfn.XLOOKUP(Table1[[#This Row],[ID]], Table2[ID],#REF!, "Not Found", 0)</f>
        <v>#REF!</v>
      </c>
      <c r="S2118" s="3">
        <f>_xlfn.XLOOKUP(Table1[[#This Row],[ID]], Table2[ID], Table2[Enrollment], "Not Found", 0)</f>
        <v>43561</v>
      </c>
      <c r="T2118" t="s">
        <v>435</v>
      </c>
    </row>
    <row r="2119" spans="1:20" x14ac:dyDescent="0.3">
      <c r="A2119">
        <v>2400</v>
      </c>
      <c r="B2119">
        <v>118690</v>
      </c>
      <c r="C2119">
        <v>0</v>
      </c>
      <c r="D2119">
        <v>0</v>
      </c>
      <c r="E2119">
        <v>61</v>
      </c>
      <c r="F2119">
        <v>0</v>
      </c>
      <c r="G2119">
        <v>1</v>
      </c>
      <c r="H2119">
        <v>0</v>
      </c>
      <c r="I2119">
        <v>0</v>
      </c>
      <c r="J2119">
        <v>0</v>
      </c>
      <c r="K2119">
        <v>0</v>
      </c>
      <c r="L2119">
        <v>1</v>
      </c>
      <c r="M2119">
        <v>0</v>
      </c>
      <c r="N2119">
        <v>0</v>
      </c>
      <c r="O2119" t="str" cm="1">
        <f t="array" ref="O2119">_xlfn.IFS(Table1[[#This Row],[Divorced]]=1, "Divorced", Table1[[#This Row],[Married]]=1, "Married", Table1[[#This Row],[Single]]=1, "Single", Table1[[#This Row],[Together]]=1, "Together", Table1[[#This Row],[Widow]]=1, "Widow")</f>
        <v>Married</v>
      </c>
      <c r="P2119" t="str" cm="1">
        <f t="array" ref="P2119">_xlfn.IFS(Table1[[#This Row],[Basic]]=1, "Basic", Table1[[#This Row],[Graduate]]=1, "Graduate", Table1[[#This Row],[Master]]=1, "Master", Table1[[#This Row],[PhD]]=1, "PhD", AND(Table1[[#This Row],[Basic]]=0, Table1[[#This Row],[Graduate]]=0, Table1[[#This Row],[Master]]=0, Table1[[#This Row],[PhD]]=0), "NA")</f>
        <v>Graduate</v>
      </c>
      <c r="Q2119" t="e">
        <f>_xlfn.XLOOKUP(Table1[[#This Row],[ID]], Table2[ID],#REF!, "Not Found", 0)</f>
        <v>#REF!</v>
      </c>
      <c r="R2119" t="e">
        <f>_xlfn.XLOOKUP(Table1[[#This Row],[ID]], Table2[ID],#REF!, "Not Found", 0)</f>
        <v>#REF!</v>
      </c>
      <c r="S2119" s="3">
        <f>_xlfn.XLOOKUP(Table1[[#This Row],[ID]], Table2[ID], Table2[Enrollment], "Not Found", 0)</f>
        <v>43561</v>
      </c>
      <c r="T2119" t="s">
        <v>436</v>
      </c>
    </row>
    <row r="2120" spans="1:20" x14ac:dyDescent="0.3">
      <c r="A2120">
        <v>2706</v>
      </c>
      <c r="B2120">
        <v>118690</v>
      </c>
      <c r="C2120">
        <v>0</v>
      </c>
      <c r="D2120">
        <v>0</v>
      </c>
      <c r="E2120">
        <v>61</v>
      </c>
      <c r="F2120">
        <v>0</v>
      </c>
      <c r="G2120">
        <v>1</v>
      </c>
      <c r="H2120">
        <v>0</v>
      </c>
      <c r="I2120">
        <v>0</v>
      </c>
      <c r="J2120">
        <v>0</v>
      </c>
      <c r="K2120">
        <v>0</v>
      </c>
      <c r="L2120">
        <v>1</v>
      </c>
      <c r="M2120">
        <v>0</v>
      </c>
      <c r="N2120">
        <v>0</v>
      </c>
      <c r="O2120" t="str" cm="1">
        <f t="array" ref="O2120">_xlfn.IFS(Table1[[#This Row],[Divorced]]=1, "Divorced", Table1[[#This Row],[Married]]=1, "Married", Table1[[#This Row],[Single]]=1, "Single", Table1[[#This Row],[Together]]=1, "Together", Table1[[#This Row],[Widow]]=1, "Widow")</f>
        <v>Married</v>
      </c>
      <c r="P2120" t="str" cm="1">
        <f t="array" ref="P2120">_xlfn.IFS(Table1[[#This Row],[Basic]]=1, "Basic", Table1[[#This Row],[Graduate]]=1, "Graduate", Table1[[#This Row],[Master]]=1, "Master", Table1[[#This Row],[PhD]]=1, "PhD", AND(Table1[[#This Row],[Basic]]=0, Table1[[#This Row],[Graduate]]=0, Table1[[#This Row],[Master]]=0, Table1[[#This Row],[PhD]]=0), "NA")</f>
        <v>Graduate</v>
      </c>
      <c r="Q2120" t="e">
        <f>_xlfn.XLOOKUP(Table1[[#This Row],[ID]], Table2[ID],#REF!, "Not Found", 0)</f>
        <v>#REF!</v>
      </c>
      <c r="R2120" t="e">
        <f>_xlfn.XLOOKUP(Table1[[#This Row],[ID]], Table2[ID],#REF!, "Not Found", 0)</f>
        <v>#REF!</v>
      </c>
      <c r="S2120" s="3">
        <f>_xlfn.XLOOKUP(Table1[[#This Row],[ID]], Table2[ID], Table2[Enrollment], "Not Found", 0)</f>
        <v>43561</v>
      </c>
      <c r="T2120" t="s">
        <v>436</v>
      </c>
    </row>
    <row r="2121" spans="1:20" x14ac:dyDescent="0.3">
      <c r="A2121">
        <v>1025</v>
      </c>
      <c r="B2121">
        <v>118589</v>
      </c>
      <c r="C2121">
        <v>0</v>
      </c>
      <c r="D2121">
        <v>0</v>
      </c>
      <c r="E2121">
        <v>51</v>
      </c>
      <c r="F2121">
        <v>0</v>
      </c>
      <c r="G2121">
        <v>0</v>
      </c>
      <c r="H2121">
        <v>1</v>
      </c>
      <c r="I2121">
        <v>0</v>
      </c>
      <c r="J2121">
        <v>0</v>
      </c>
      <c r="K2121">
        <v>0</v>
      </c>
      <c r="L2121">
        <v>1</v>
      </c>
      <c r="M2121">
        <v>0</v>
      </c>
      <c r="N2121">
        <v>0</v>
      </c>
      <c r="O2121" t="str" cm="1">
        <f t="array" ref="O2121">_xlfn.IFS(Table1[[#This Row],[Divorced]]=1, "Divorced", Table1[[#This Row],[Married]]=1, "Married", Table1[[#This Row],[Single]]=1, "Single", Table1[[#This Row],[Together]]=1, "Together", Table1[[#This Row],[Widow]]=1, "Widow")</f>
        <v>Single</v>
      </c>
      <c r="P2121" t="str" cm="1">
        <f t="array" ref="P2121">_xlfn.IFS(Table1[[#This Row],[Basic]]=1, "Basic", Table1[[#This Row],[Graduate]]=1, "Graduate", Table1[[#This Row],[Master]]=1, "Master", Table1[[#This Row],[PhD]]=1, "PhD", AND(Table1[[#This Row],[Basic]]=0, Table1[[#This Row],[Graduate]]=0, Table1[[#This Row],[Master]]=0, Table1[[#This Row],[PhD]]=0), "NA")</f>
        <v>Graduate</v>
      </c>
      <c r="Q2121" t="e">
        <f>_xlfn.XLOOKUP(Table1[[#This Row],[ID]], Table2[ID],#REF!, "Not Found", 0)</f>
        <v>#REF!</v>
      </c>
      <c r="R2121" t="e">
        <f>_xlfn.XLOOKUP(Table1[[#This Row],[ID]], Table2[ID],#REF!, "Not Found", 0)</f>
        <v>#REF!</v>
      </c>
      <c r="S2121" s="3">
        <f>_xlfn.XLOOKUP(Table1[[#This Row],[ID]], Table2[ID], Table2[Enrollment], "Not Found", 0)</f>
        <v>43714</v>
      </c>
      <c r="T2121" t="s">
        <v>434</v>
      </c>
    </row>
    <row r="2122" spans="1:20" x14ac:dyDescent="0.3">
      <c r="A2122">
        <v>1406</v>
      </c>
      <c r="B2122">
        <v>118492</v>
      </c>
      <c r="C2122">
        <v>1</v>
      </c>
      <c r="D2122">
        <v>0</v>
      </c>
      <c r="E2122">
        <v>38</v>
      </c>
      <c r="F2122">
        <v>0</v>
      </c>
      <c r="G2122">
        <v>0</v>
      </c>
      <c r="H2122">
        <v>0</v>
      </c>
      <c r="I2122">
        <v>1</v>
      </c>
      <c r="J2122">
        <v>0</v>
      </c>
      <c r="K2122">
        <v>0</v>
      </c>
      <c r="L2122">
        <v>0</v>
      </c>
      <c r="M2122">
        <v>1</v>
      </c>
      <c r="N2122">
        <v>0</v>
      </c>
      <c r="O2122" t="str" cm="1">
        <f t="array" ref="O2122">_xlfn.IFS(Table1[[#This Row],[Divorced]]=1, "Divorced", Table1[[#This Row],[Married]]=1, "Married", Table1[[#This Row],[Single]]=1, "Single", Table1[[#This Row],[Together]]=1, "Together", Table1[[#This Row],[Widow]]=1, "Widow")</f>
        <v>Together</v>
      </c>
      <c r="P2122" t="str" cm="1">
        <f t="array" ref="P2122">_xlfn.IFS(Table1[[#This Row],[Basic]]=1, "Basic", Table1[[#This Row],[Graduate]]=1, "Graduate", Table1[[#This Row],[Master]]=1, "Master", Table1[[#This Row],[PhD]]=1, "PhD", AND(Table1[[#This Row],[Basic]]=0, Table1[[#This Row],[Graduate]]=0, Table1[[#This Row],[Master]]=0, Table1[[#This Row],[PhD]]=0), "NA")</f>
        <v>Master</v>
      </c>
      <c r="Q2122" t="e">
        <f>_xlfn.XLOOKUP(Table1[[#This Row],[ID]], Table2[ID],#REF!, "Not Found", 0)</f>
        <v>#REF!</v>
      </c>
      <c r="R2122" t="e">
        <f>_xlfn.XLOOKUP(Table1[[#This Row],[ID]], Table2[ID],#REF!, "Not Found", 0)</f>
        <v>#REF!</v>
      </c>
      <c r="S2122" s="3">
        <f>_xlfn.XLOOKUP(Table1[[#This Row],[ID]], Table2[ID], Table2[Enrollment], "Not Found", 0)</f>
        <v>44085</v>
      </c>
      <c r="T2122" t="s">
        <v>438</v>
      </c>
    </row>
    <row r="2123" spans="1:20" x14ac:dyDescent="0.3">
      <c r="A2123">
        <v>2304</v>
      </c>
      <c r="B2123">
        <v>118393</v>
      </c>
      <c r="C2123">
        <v>1</v>
      </c>
      <c r="D2123">
        <v>0</v>
      </c>
      <c r="E2123">
        <v>46</v>
      </c>
      <c r="F2123">
        <v>0</v>
      </c>
      <c r="G2123">
        <v>1</v>
      </c>
      <c r="H2123">
        <v>0</v>
      </c>
      <c r="I2123">
        <v>0</v>
      </c>
      <c r="J2123">
        <v>0</v>
      </c>
      <c r="K2123">
        <v>1</v>
      </c>
      <c r="L2123">
        <v>0</v>
      </c>
      <c r="M2123">
        <v>0</v>
      </c>
      <c r="N2123">
        <v>0</v>
      </c>
      <c r="O2123" t="str" cm="1">
        <f t="array" ref="O2123">_xlfn.IFS(Table1[[#This Row],[Divorced]]=1, "Divorced", Table1[[#This Row],[Married]]=1, "Married", Table1[[#This Row],[Single]]=1, "Single", Table1[[#This Row],[Together]]=1, "Together", Table1[[#This Row],[Widow]]=1, "Widow")</f>
        <v>Married</v>
      </c>
      <c r="P2123" t="str" cm="1">
        <f t="array" ref="P2123">_xlfn.IFS(Table1[[#This Row],[Basic]]=1, "Basic", Table1[[#This Row],[Graduate]]=1, "Graduate", Table1[[#This Row],[Master]]=1, "Master", Table1[[#This Row],[PhD]]=1, "PhD", AND(Table1[[#This Row],[Basic]]=0, Table1[[#This Row],[Graduate]]=0, Table1[[#This Row],[Master]]=0, Table1[[#This Row],[PhD]]=0), "NA")</f>
        <v>Basic</v>
      </c>
      <c r="Q2123" t="e">
        <f>_xlfn.XLOOKUP(Table1[[#This Row],[ID]], Table2[ID],#REF!, "Not Found", 0)</f>
        <v>#REF!</v>
      </c>
      <c r="R2123" t="e">
        <f>_xlfn.XLOOKUP(Table1[[#This Row],[ID]], Table2[ID],#REF!, "Not Found", 0)</f>
        <v>#REF!</v>
      </c>
      <c r="S2123" s="3">
        <f>_xlfn.XLOOKUP(Table1[[#This Row],[ID]], Table2[ID], Table2[Enrollment], "Not Found", 0)</f>
        <v>43870</v>
      </c>
      <c r="T2123" t="s">
        <v>436</v>
      </c>
    </row>
    <row r="2124" spans="1:20" x14ac:dyDescent="0.3">
      <c r="A2124">
        <v>2677</v>
      </c>
      <c r="B2124">
        <v>118358</v>
      </c>
      <c r="C2124">
        <v>1</v>
      </c>
      <c r="D2124">
        <v>0</v>
      </c>
      <c r="E2124">
        <v>31</v>
      </c>
      <c r="F2124">
        <v>0</v>
      </c>
      <c r="G2124">
        <v>0</v>
      </c>
      <c r="H2124">
        <v>1</v>
      </c>
      <c r="I2124">
        <v>0</v>
      </c>
      <c r="J2124">
        <v>0</v>
      </c>
      <c r="K2124">
        <v>0</v>
      </c>
      <c r="L2124">
        <v>1</v>
      </c>
      <c r="M2124">
        <v>0</v>
      </c>
      <c r="N2124">
        <v>0</v>
      </c>
      <c r="O2124" t="str" cm="1">
        <f t="array" ref="O2124">_xlfn.IFS(Table1[[#This Row],[Divorced]]=1, "Divorced", Table1[[#This Row],[Married]]=1, "Married", Table1[[#This Row],[Single]]=1, "Single", Table1[[#This Row],[Together]]=1, "Together", Table1[[#This Row],[Widow]]=1, "Widow")</f>
        <v>Single</v>
      </c>
      <c r="P2124" t="str" cm="1">
        <f t="array" ref="P2124">_xlfn.IFS(Table1[[#This Row],[Basic]]=1, "Basic", Table1[[#This Row],[Graduate]]=1, "Graduate", Table1[[#This Row],[Master]]=1, "Master", Table1[[#This Row],[PhD]]=1, "PhD", AND(Table1[[#This Row],[Basic]]=0, Table1[[#This Row],[Graduate]]=0, Table1[[#This Row],[Master]]=0, Table1[[#This Row],[PhD]]=0), "NA")</f>
        <v>Graduate</v>
      </c>
      <c r="Q2124" t="e">
        <f>_xlfn.XLOOKUP(Table1[[#This Row],[ID]], Table2[ID],#REF!, "Not Found", 0)</f>
        <v>#REF!</v>
      </c>
      <c r="R2124" t="e">
        <f>_xlfn.XLOOKUP(Table1[[#This Row],[ID]], Table2[ID],#REF!, "Not Found", 0)</f>
        <v>#REF!</v>
      </c>
      <c r="S2124" s="3" t="str">
        <f>_xlfn.XLOOKUP(Table1[[#This Row],[ID]], Table2[ID], Table2[Enrollment], "Not Found", 0)</f>
        <v>4/26/2020</v>
      </c>
      <c r="T2124" t="s">
        <v>437</v>
      </c>
    </row>
    <row r="2125" spans="1:20" x14ac:dyDescent="0.3">
      <c r="A2125">
        <v>2188</v>
      </c>
      <c r="B2125">
        <v>118351</v>
      </c>
      <c r="C2125">
        <v>0</v>
      </c>
      <c r="D2125">
        <v>0</v>
      </c>
      <c r="E2125">
        <v>30</v>
      </c>
      <c r="F2125">
        <v>0</v>
      </c>
      <c r="G2125">
        <v>1</v>
      </c>
      <c r="H2125">
        <v>0</v>
      </c>
      <c r="I2125">
        <v>0</v>
      </c>
      <c r="J2125">
        <v>0</v>
      </c>
      <c r="K2125">
        <v>0</v>
      </c>
      <c r="L2125">
        <v>1</v>
      </c>
      <c r="M2125">
        <v>0</v>
      </c>
      <c r="N2125">
        <v>0</v>
      </c>
      <c r="O2125" t="str" cm="1">
        <f t="array" ref="O2125">_xlfn.IFS(Table1[[#This Row],[Divorced]]=1, "Divorced", Table1[[#This Row],[Married]]=1, "Married", Table1[[#This Row],[Single]]=1, "Single", Table1[[#This Row],[Together]]=1, "Together", Table1[[#This Row],[Widow]]=1, "Widow")</f>
        <v>Married</v>
      </c>
      <c r="P2125" t="str" cm="1">
        <f t="array" ref="P2125">_xlfn.IFS(Table1[[#This Row],[Basic]]=1, "Basic", Table1[[#This Row],[Graduate]]=1, "Graduate", Table1[[#This Row],[Master]]=1, "Master", Table1[[#This Row],[PhD]]=1, "PhD", AND(Table1[[#This Row],[Basic]]=0, Table1[[#This Row],[Graduate]]=0, Table1[[#This Row],[Master]]=0, Table1[[#This Row],[PhD]]=0), "NA")</f>
        <v>Graduate</v>
      </c>
      <c r="Q2125" t="e">
        <f>_xlfn.XLOOKUP(Table1[[#This Row],[ID]], Table2[ID],#REF!, "Not Found", 0)</f>
        <v>#REF!</v>
      </c>
      <c r="R2125" t="e">
        <f>_xlfn.XLOOKUP(Table1[[#This Row],[ID]], Table2[ID],#REF!, "Not Found", 0)</f>
        <v>#REF!</v>
      </c>
      <c r="S2125" s="3">
        <f>_xlfn.XLOOKUP(Table1[[#This Row],[ID]], Table2[ID], Table2[Enrollment], "Not Found", 0)</f>
        <v>43925</v>
      </c>
      <c r="T2125" t="s">
        <v>439</v>
      </c>
    </row>
    <row r="2126" spans="1:20" x14ac:dyDescent="0.3">
      <c r="A2126">
        <v>2332</v>
      </c>
      <c r="B2126">
        <v>118227</v>
      </c>
      <c r="C2126">
        <v>1</v>
      </c>
      <c r="D2126">
        <v>0</v>
      </c>
      <c r="E2126">
        <v>33</v>
      </c>
      <c r="F2126">
        <v>0</v>
      </c>
      <c r="G2126">
        <v>0</v>
      </c>
      <c r="H2126">
        <v>0</v>
      </c>
      <c r="I2126">
        <v>1</v>
      </c>
      <c r="J2126">
        <v>0</v>
      </c>
      <c r="K2126">
        <v>0</v>
      </c>
      <c r="L2126">
        <v>1</v>
      </c>
      <c r="M2126">
        <v>0</v>
      </c>
      <c r="N2126">
        <v>0</v>
      </c>
      <c r="O2126" t="str" cm="1">
        <f t="array" ref="O2126">_xlfn.IFS(Table1[[#This Row],[Divorced]]=1, "Divorced", Table1[[#This Row],[Married]]=1, "Married", Table1[[#This Row],[Single]]=1, "Single", Table1[[#This Row],[Together]]=1, "Together", Table1[[#This Row],[Widow]]=1, "Widow")</f>
        <v>Together</v>
      </c>
      <c r="P2126" t="str" cm="1">
        <f t="array" ref="P2126">_xlfn.IFS(Table1[[#This Row],[Basic]]=1, "Basic", Table1[[#This Row],[Graduate]]=1, "Graduate", Table1[[#This Row],[Master]]=1, "Master", Table1[[#This Row],[PhD]]=1, "PhD", AND(Table1[[#This Row],[Basic]]=0, Table1[[#This Row],[Graduate]]=0, Table1[[#This Row],[Master]]=0, Table1[[#This Row],[PhD]]=0), "NA")</f>
        <v>Graduate</v>
      </c>
      <c r="Q2126" t="e">
        <f>_xlfn.XLOOKUP(Table1[[#This Row],[ID]], Table2[ID],#REF!, "Not Found", 0)</f>
        <v>#REF!</v>
      </c>
      <c r="R2126" t="e">
        <f>_xlfn.XLOOKUP(Table1[[#This Row],[ID]], Table2[ID],#REF!, "Not Found", 0)</f>
        <v>#REF!</v>
      </c>
      <c r="S2126" s="3" t="str">
        <f>_xlfn.XLOOKUP(Table1[[#This Row],[ID]], Table2[ID], Table2[Enrollment], "Not Found", 0)</f>
        <v>4/15/2019</v>
      </c>
      <c r="T2126" t="s">
        <v>439</v>
      </c>
    </row>
    <row r="2127" spans="1:20" x14ac:dyDescent="0.3">
      <c r="A2127">
        <v>2669</v>
      </c>
      <c r="B2127">
        <v>118222</v>
      </c>
      <c r="C2127">
        <v>0</v>
      </c>
      <c r="D2127">
        <v>0</v>
      </c>
      <c r="E2127">
        <v>30</v>
      </c>
      <c r="F2127">
        <v>0</v>
      </c>
      <c r="G2127">
        <v>1</v>
      </c>
      <c r="H2127">
        <v>0</v>
      </c>
      <c r="I2127">
        <v>0</v>
      </c>
      <c r="J2127">
        <v>0</v>
      </c>
      <c r="K2127">
        <v>0</v>
      </c>
      <c r="L2127">
        <v>1</v>
      </c>
      <c r="M2127">
        <v>0</v>
      </c>
      <c r="N2127">
        <v>0</v>
      </c>
      <c r="O2127" t="str" cm="1">
        <f t="array" ref="O2127">_xlfn.IFS(Table1[[#This Row],[Divorced]]=1, "Divorced", Table1[[#This Row],[Married]]=1, "Married", Table1[[#This Row],[Single]]=1, "Single", Table1[[#This Row],[Together]]=1, "Together", Table1[[#This Row],[Widow]]=1, "Widow")</f>
        <v>Married</v>
      </c>
      <c r="P2127" t="str" cm="1">
        <f t="array" ref="P2127">_xlfn.IFS(Table1[[#This Row],[Basic]]=1, "Basic", Table1[[#This Row],[Graduate]]=1, "Graduate", Table1[[#This Row],[Master]]=1, "Master", Table1[[#This Row],[PhD]]=1, "PhD", AND(Table1[[#This Row],[Basic]]=0, Table1[[#This Row],[Graduate]]=0, Table1[[#This Row],[Master]]=0, Table1[[#This Row],[PhD]]=0), "NA")</f>
        <v>Graduate</v>
      </c>
      <c r="Q2127" t="e">
        <f>_xlfn.XLOOKUP(Table1[[#This Row],[ID]], Table2[ID],#REF!, "Not Found", 0)</f>
        <v>#REF!</v>
      </c>
      <c r="R2127" t="e">
        <f>_xlfn.XLOOKUP(Table1[[#This Row],[ID]], Table2[ID],#REF!, "Not Found", 0)</f>
        <v>#REF!</v>
      </c>
      <c r="S2127" s="3">
        <f>_xlfn.XLOOKUP(Table1[[#This Row],[ID]], Table2[ID], Table2[Enrollment], "Not Found", 0)</f>
        <v>43652</v>
      </c>
      <c r="T2127" t="s">
        <v>434</v>
      </c>
    </row>
    <row r="2128" spans="1:20" x14ac:dyDescent="0.3">
      <c r="A2128">
        <v>2667</v>
      </c>
      <c r="B2128">
        <v>118169</v>
      </c>
      <c r="C2128">
        <v>1</v>
      </c>
      <c r="D2128">
        <v>0</v>
      </c>
      <c r="E2128">
        <v>35</v>
      </c>
      <c r="F2128">
        <v>0</v>
      </c>
      <c r="G2128">
        <v>1</v>
      </c>
      <c r="H2128">
        <v>0</v>
      </c>
      <c r="I2128">
        <v>0</v>
      </c>
      <c r="J2128">
        <v>0</v>
      </c>
      <c r="K2128">
        <v>0</v>
      </c>
      <c r="L2128">
        <v>0</v>
      </c>
      <c r="M2128">
        <v>0</v>
      </c>
      <c r="N2128">
        <v>1</v>
      </c>
      <c r="O2128" t="str" cm="1">
        <f t="array" ref="O2128">_xlfn.IFS(Table1[[#This Row],[Divorced]]=1, "Divorced", Table1[[#This Row],[Married]]=1, "Married", Table1[[#This Row],[Single]]=1, "Single", Table1[[#This Row],[Together]]=1, "Together", Table1[[#This Row],[Widow]]=1, "Widow")</f>
        <v>Married</v>
      </c>
      <c r="P2128" t="str" cm="1">
        <f t="array" ref="P2128">_xlfn.IFS(Table1[[#This Row],[Basic]]=1, "Basic", Table1[[#This Row],[Graduate]]=1, "Graduate", Table1[[#This Row],[Master]]=1, "Master", Table1[[#This Row],[PhD]]=1, "PhD", AND(Table1[[#This Row],[Basic]]=0, Table1[[#This Row],[Graduate]]=0, Table1[[#This Row],[Master]]=0, Table1[[#This Row],[PhD]]=0), "NA")</f>
        <v>PhD</v>
      </c>
      <c r="Q2128" t="e">
        <f>_xlfn.XLOOKUP(Table1[[#This Row],[ID]], Table2[ID],#REF!, "Not Found", 0)</f>
        <v>#REF!</v>
      </c>
      <c r="R2128" t="e">
        <f>_xlfn.XLOOKUP(Table1[[#This Row],[ID]], Table2[ID],#REF!, "Not Found", 0)</f>
        <v>#REF!</v>
      </c>
      <c r="S2128" s="3" t="str">
        <f>_xlfn.XLOOKUP(Table1[[#This Row],[ID]], Table2[ID], Table2[Enrollment], "Not Found", 0)</f>
        <v>7/27/2019</v>
      </c>
      <c r="T2128" t="s">
        <v>435</v>
      </c>
    </row>
    <row r="2129" spans="1:20" x14ac:dyDescent="0.3">
      <c r="A2129">
        <v>1426</v>
      </c>
      <c r="B2129">
        <v>118100</v>
      </c>
      <c r="C2129">
        <v>0</v>
      </c>
      <c r="D2129">
        <v>0</v>
      </c>
      <c r="E2129">
        <v>74</v>
      </c>
      <c r="F2129">
        <v>0</v>
      </c>
      <c r="G2129">
        <v>1</v>
      </c>
      <c r="H2129">
        <v>0</v>
      </c>
      <c r="I2129">
        <v>0</v>
      </c>
      <c r="J2129">
        <v>0</v>
      </c>
      <c r="K2129">
        <v>0</v>
      </c>
      <c r="L2129">
        <v>1</v>
      </c>
      <c r="M2129">
        <v>0</v>
      </c>
      <c r="N2129">
        <v>0</v>
      </c>
      <c r="O2129" t="str" cm="1">
        <f t="array" ref="O2129">_xlfn.IFS(Table1[[#This Row],[Divorced]]=1, "Divorced", Table1[[#This Row],[Married]]=1, "Married", Table1[[#This Row],[Single]]=1, "Single", Table1[[#This Row],[Together]]=1, "Together", Table1[[#This Row],[Widow]]=1, "Widow")</f>
        <v>Married</v>
      </c>
      <c r="P2129" t="str" cm="1">
        <f t="array" ref="P2129">_xlfn.IFS(Table1[[#This Row],[Basic]]=1, "Basic", Table1[[#This Row],[Graduate]]=1, "Graduate", Table1[[#This Row],[Master]]=1, "Master", Table1[[#This Row],[PhD]]=1, "PhD", AND(Table1[[#This Row],[Basic]]=0, Table1[[#This Row],[Graduate]]=0, Table1[[#This Row],[Master]]=0, Table1[[#This Row],[PhD]]=0), "NA")</f>
        <v>Graduate</v>
      </c>
      <c r="Q2129" t="e">
        <f>_xlfn.XLOOKUP(Table1[[#This Row],[ID]], Table2[ID],#REF!, "Not Found", 0)</f>
        <v>#REF!</v>
      </c>
      <c r="R2129" t="e">
        <f>_xlfn.XLOOKUP(Table1[[#This Row],[ID]], Table2[ID],#REF!, "Not Found", 0)</f>
        <v>#REF!</v>
      </c>
      <c r="S2129" s="3">
        <f>_xlfn.XLOOKUP(Table1[[#This Row],[ID]], Table2[ID], Table2[Enrollment], "Not Found", 0)</f>
        <v>44136</v>
      </c>
      <c r="T2129" t="s">
        <v>439</v>
      </c>
    </row>
    <row r="2130" spans="1:20" x14ac:dyDescent="0.3">
      <c r="A2130">
        <v>2695</v>
      </c>
      <c r="B2130">
        <v>117688</v>
      </c>
      <c r="C2130">
        <v>1</v>
      </c>
      <c r="D2130">
        <v>0</v>
      </c>
      <c r="E2130">
        <v>41</v>
      </c>
      <c r="F2130">
        <v>0</v>
      </c>
      <c r="G2130">
        <v>1</v>
      </c>
      <c r="H2130">
        <v>0</v>
      </c>
      <c r="I2130">
        <v>0</v>
      </c>
      <c r="J2130">
        <v>0</v>
      </c>
      <c r="K2130">
        <v>0</v>
      </c>
      <c r="L2130">
        <v>1</v>
      </c>
      <c r="M2130">
        <v>0</v>
      </c>
      <c r="N2130">
        <v>0</v>
      </c>
      <c r="O2130" t="str" cm="1">
        <f t="array" ref="O2130">_xlfn.IFS(Table1[[#This Row],[Divorced]]=1, "Divorced", Table1[[#This Row],[Married]]=1, "Married", Table1[[#This Row],[Single]]=1, "Single", Table1[[#This Row],[Together]]=1, "Together", Table1[[#This Row],[Widow]]=1, "Widow")</f>
        <v>Married</v>
      </c>
      <c r="P2130" t="str" cm="1">
        <f t="array" ref="P2130">_xlfn.IFS(Table1[[#This Row],[Basic]]=1, "Basic", Table1[[#This Row],[Graduate]]=1, "Graduate", Table1[[#This Row],[Master]]=1, "Master", Table1[[#This Row],[PhD]]=1, "PhD", AND(Table1[[#This Row],[Basic]]=0, Table1[[#This Row],[Graduate]]=0, Table1[[#This Row],[Master]]=0, Table1[[#This Row],[PhD]]=0), "NA")</f>
        <v>Graduate</v>
      </c>
      <c r="Q2130" t="e">
        <f>_xlfn.XLOOKUP(Table1[[#This Row],[ID]], Table2[ID],#REF!, "Not Found", 0)</f>
        <v>#REF!</v>
      </c>
      <c r="R2130" t="e">
        <f>_xlfn.XLOOKUP(Table1[[#This Row],[ID]], Table2[ID],#REF!, "Not Found", 0)</f>
        <v>#REF!</v>
      </c>
      <c r="S2130" s="3" t="str">
        <f>_xlfn.XLOOKUP(Table1[[#This Row],[ID]], Table2[ID], Table2[Enrollment], "Not Found", 0)</f>
        <v>6/20/2019</v>
      </c>
      <c r="T2130" t="s">
        <v>437</v>
      </c>
    </row>
    <row r="2131" spans="1:20" x14ac:dyDescent="0.3">
      <c r="A2131">
        <v>3007</v>
      </c>
      <c r="B2131">
        <v>117649</v>
      </c>
      <c r="C2131">
        <v>1</v>
      </c>
      <c r="D2131">
        <v>0</v>
      </c>
      <c r="E2131">
        <v>44</v>
      </c>
      <c r="F2131">
        <v>0</v>
      </c>
      <c r="G2131">
        <v>1</v>
      </c>
      <c r="H2131">
        <v>0</v>
      </c>
      <c r="I2131">
        <v>0</v>
      </c>
      <c r="J2131">
        <v>0</v>
      </c>
      <c r="K2131">
        <v>0</v>
      </c>
      <c r="L2131">
        <v>1</v>
      </c>
      <c r="M2131">
        <v>0</v>
      </c>
      <c r="N2131">
        <v>0</v>
      </c>
      <c r="O2131" t="str" cm="1">
        <f t="array" ref="O2131">_xlfn.IFS(Table1[[#This Row],[Divorced]]=1, "Divorced", Table1[[#This Row],[Married]]=1, "Married", Table1[[#This Row],[Single]]=1, "Single", Table1[[#This Row],[Together]]=1, "Together", Table1[[#This Row],[Widow]]=1, "Widow")</f>
        <v>Married</v>
      </c>
      <c r="P2131" t="str" cm="1">
        <f t="array" ref="P2131">_xlfn.IFS(Table1[[#This Row],[Basic]]=1, "Basic", Table1[[#This Row],[Graduate]]=1, "Graduate", Table1[[#This Row],[Master]]=1, "Master", Table1[[#This Row],[PhD]]=1, "PhD", AND(Table1[[#This Row],[Basic]]=0, Table1[[#This Row],[Graduate]]=0, Table1[[#This Row],[Master]]=0, Table1[[#This Row],[PhD]]=0), "NA")</f>
        <v>Graduate</v>
      </c>
      <c r="Q2131" t="e">
        <f>_xlfn.XLOOKUP(Table1[[#This Row],[ID]], Table2[ID],#REF!, "Not Found", 0)</f>
        <v>#REF!</v>
      </c>
      <c r="R2131" t="e">
        <f>_xlfn.XLOOKUP(Table1[[#This Row],[ID]], Table2[ID],#REF!, "Not Found", 0)</f>
        <v>#REF!</v>
      </c>
      <c r="S2131" s="3" t="str">
        <f>_xlfn.XLOOKUP(Table1[[#This Row],[ID]], Table2[ID], Table2[Enrollment], "Not Found", 0)</f>
        <v>4/18/2020</v>
      </c>
      <c r="T2131" t="s">
        <v>437</v>
      </c>
    </row>
    <row r="2132" spans="1:20" x14ac:dyDescent="0.3">
      <c r="A2132">
        <v>1719</v>
      </c>
      <c r="B2132">
        <v>117487</v>
      </c>
      <c r="C2132">
        <v>1</v>
      </c>
      <c r="D2132">
        <v>0</v>
      </c>
      <c r="E2132">
        <v>31</v>
      </c>
      <c r="F2132">
        <v>0</v>
      </c>
      <c r="G2132">
        <v>1</v>
      </c>
      <c r="H2132">
        <v>0</v>
      </c>
      <c r="I2132">
        <v>0</v>
      </c>
      <c r="J2132">
        <v>0</v>
      </c>
      <c r="K2132">
        <v>1</v>
      </c>
      <c r="L2132">
        <v>0</v>
      </c>
      <c r="M2132">
        <v>0</v>
      </c>
      <c r="N2132">
        <v>0</v>
      </c>
      <c r="O2132" t="str" cm="1">
        <f t="array" ref="O2132">_xlfn.IFS(Table1[[#This Row],[Divorced]]=1, "Divorced", Table1[[#This Row],[Married]]=1, "Married", Table1[[#This Row],[Single]]=1, "Single", Table1[[#This Row],[Together]]=1, "Together", Table1[[#This Row],[Widow]]=1, "Widow")</f>
        <v>Married</v>
      </c>
      <c r="P2132" t="str" cm="1">
        <f t="array" ref="P2132">_xlfn.IFS(Table1[[#This Row],[Basic]]=1, "Basic", Table1[[#This Row],[Graduate]]=1, "Graduate", Table1[[#This Row],[Master]]=1, "Master", Table1[[#This Row],[PhD]]=1, "PhD", AND(Table1[[#This Row],[Basic]]=0, Table1[[#This Row],[Graduate]]=0, Table1[[#This Row],[Master]]=0, Table1[[#This Row],[PhD]]=0), "NA")</f>
        <v>Basic</v>
      </c>
      <c r="Q2132" t="e">
        <f>_xlfn.XLOOKUP(Table1[[#This Row],[ID]], Table2[ID],#REF!, "Not Found", 0)</f>
        <v>#REF!</v>
      </c>
      <c r="R2132" t="e">
        <f>_xlfn.XLOOKUP(Table1[[#This Row],[ID]], Table2[ID],#REF!, "Not Found", 0)</f>
        <v>#REF!</v>
      </c>
      <c r="S2132" s="3" t="str">
        <f>_xlfn.XLOOKUP(Table1[[#This Row],[ID]], Table2[ID], Table2[Enrollment], "Not Found", 0)</f>
        <v>8/23/2019</v>
      </c>
      <c r="T2132" t="s">
        <v>435</v>
      </c>
    </row>
    <row r="2133" spans="1:20" x14ac:dyDescent="0.3">
      <c r="A2133">
        <v>1579</v>
      </c>
      <c r="B2133">
        <v>117459</v>
      </c>
      <c r="C2133">
        <v>1</v>
      </c>
      <c r="D2133">
        <v>0</v>
      </c>
      <c r="E2133">
        <v>45</v>
      </c>
      <c r="F2133">
        <v>0</v>
      </c>
      <c r="G2133">
        <v>0</v>
      </c>
      <c r="H2133">
        <v>0</v>
      </c>
      <c r="I2133">
        <v>1</v>
      </c>
      <c r="J2133">
        <v>0</v>
      </c>
      <c r="K2133">
        <v>0</v>
      </c>
      <c r="L2133">
        <v>0</v>
      </c>
      <c r="M2133">
        <v>1</v>
      </c>
      <c r="N2133">
        <v>0</v>
      </c>
      <c r="O2133" t="str" cm="1">
        <f t="array" ref="O2133">_xlfn.IFS(Table1[[#This Row],[Divorced]]=1, "Divorced", Table1[[#This Row],[Married]]=1, "Married", Table1[[#This Row],[Single]]=1, "Single", Table1[[#This Row],[Together]]=1, "Together", Table1[[#This Row],[Widow]]=1, "Widow")</f>
        <v>Together</v>
      </c>
      <c r="P2133" t="str" cm="1">
        <f t="array" ref="P2133">_xlfn.IFS(Table1[[#This Row],[Basic]]=1, "Basic", Table1[[#This Row],[Graduate]]=1, "Graduate", Table1[[#This Row],[Master]]=1, "Master", Table1[[#This Row],[PhD]]=1, "PhD", AND(Table1[[#This Row],[Basic]]=0, Table1[[#This Row],[Graduate]]=0, Table1[[#This Row],[Master]]=0, Table1[[#This Row],[PhD]]=0), "NA")</f>
        <v>Master</v>
      </c>
      <c r="Q2133" t="e">
        <f>_xlfn.XLOOKUP(Table1[[#This Row],[ID]], Table2[ID],#REF!, "Not Found", 0)</f>
        <v>#REF!</v>
      </c>
      <c r="R2133" t="e">
        <f>_xlfn.XLOOKUP(Table1[[#This Row],[ID]], Table2[ID],#REF!, "Not Found", 0)</f>
        <v>#REF!</v>
      </c>
      <c r="S2133" s="3" t="str">
        <f>_xlfn.XLOOKUP(Table1[[#This Row],[ID]], Table2[ID], Table2[Enrollment], "Not Found", 0)</f>
        <v>2/24/2020</v>
      </c>
      <c r="T2133" t="s">
        <v>437</v>
      </c>
    </row>
    <row r="2134" spans="1:20" x14ac:dyDescent="0.3">
      <c r="A2134">
        <v>2005</v>
      </c>
      <c r="B2134">
        <v>117345</v>
      </c>
      <c r="C2134">
        <v>1</v>
      </c>
      <c r="D2134">
        <v>0</v>
      </c>
      <c r="E2134">
        <v>42</v>
      </c>
      <c r="F2134">
        <v>0</v>
      </c>
      <c r="G2134">
        <v>1</v>
      </c>
      <c r="H2134">
        <v>0</v>
      </c>
      <c r="I2134">
        <v>0</v>
      </c>
      <c r="J2134">
        <v>0</v>
      </c>
      <c r="K2134">
        <v>0</v>
      </c>
      <c r="L2134">
        <v>1</v>
      </c>
      <c r="M2134">
        <v>0</v>
      </c>
      <c r="N2134">
        <v>0</v>
      </c>
      <c r="O2134" t="str" cm="1">
        <f t="array" ref="O2134">_xlfn.IFS(Table1[[#This Row],[Divorced]]=1, "Divorced", Table1[[#This Row],[Married]]=1, "Married", Table1[[#This Row],[Single]]=1, "Single", Table1[[#This Row],[Together]]=1, "Together", Table1[[#This Row],[Widow]]=1, "Widow")</f>
        <v>Married</v>
      </c>
      <c r="P2134" t="str" cm="1">
        <f t="array" ref="P2134">_xlfn.IFS(Table1[[#This Row],[Basic]]=1, "Basic", Table1[[#This Row],[Graduate]]=1, "Graduate", Table1[[#This Row],[Master]]=1, "Master", Table1[[#This Row],[PhD]]=1, "PhD", AND(Table1[[#This Row],[Basic]]=0, Table1[[#This Row],[Graduate]]=0, Table1[[#This Row],[Master]]=0, Table1[[#This Row],[PhD]]=0), "NA")</f>
        <v>Graduate</v>
      </c>
      <c r="Q2134" t="e">
        <f>_xlfn.XLOOKUP(Table1[[#This Row],[ID]], Table2[ID],#REF!, "Not Found", 0)</f>
        <v>#REF!</v>
      </c>
      <c r="R2134" t="e">
        <f>_xlfn.XLOOKUP(Table1[[#This Row],[ID]], Table2[ID],#REF!, "Not Found", 0)</f>
        <v>#REF!</v>
      </c>
      <c r="S2134" s="3">
        <f>_xlfn.XLOOKUP(Table1[[#This Row],[ID]], Table2[ID], Table2[Enrollment], "Not Found", 0)</f>
        <v>43742</v>
      </c>
      <c r="T2134" t="s">
        <v>437</v>
      </c>
    </row>
    <row r="2135" spans="1:20" x14ac:dyDescent="0.3">
      <c r="A2135">
        <v>1014</v>
      </c>
      <c r="B2135">
        <v>117323</v>
      </c>
      <c r="C2135">
        <v>0</v>
      </c>
      <c r="D2135">
        <v>0</v>
      </c>
      <c r="E2135">
        <v>33</v>
      </c>
      <c r="F2135">
        <v>0</v>
      </c>
      <c r="G2135">
        <v>1</v>
      </c>
      <c r="H2135">
        <v>0</v>
      </c>
      <c r="I2135">
        <v>0</v>
      </c>
      <c r="J2135">
        <v>0</v>
      </c>
      <c r="K2135">
        <v>0</v>
      </c>
      <c r="L2135">
        <v>1</v>
      </c>
      <c r="M2135">
        <v>0</v>
      </c>
      <c r="N2135">
        <v>0</v>
      </c>
      <c r="O2135" t="str" cm="1">
        <f t="array" ref="O2135">_xlfn.IFS(Table1[[#This Row],[Divorced]]=1, "Divorced", Table1[[#This Row],[Married]]=1, "Married", Table1[[#This Row],[Single]]=1, "Single", Table1[[#This Row],[Together]]=1, "Together", Table1[[#This Row],[Widow]]=1, "Widow")</f>
        <v>Married</v>
      </c>
      <c r="P2135" t="str" cm="1">
        <f t="array" ref="P2135">_xlfn.IFS(Table1[[#This Row],[Basic]]=1, "Basic", Table1[[#This Row],[Graduate]]=1, "Graduate", Table1[[#This Row],[Master]]=1, "Master", Table1[[#This Row],[PhD]]=1, "PhD", AND(Table1[[#This Row],[Basic]]=0, Table1[[#This Row],[Graduate]]=0, Table1[[#This Row],[Master]]=0, Table1[[#This Row],[PhD]]=0), "NA")</f>
        <v>Graduate</v>
      </c>
      <c r="Q2135" t="e">
        <f>_xlfn.XLOOKUP(Table1[[#This Row],[ID]], Table2[ID],#REF!, "Not Found", 0)</f>
        <v>#REF!</v>
      </c>
      <c r="R2135" t="e">
        <f>_xlfn.XLOOKUP(Table1[[#This Row],[ID]], Table2[ID],#REF!, "Not Found", 0)</f>
        <v>#REF!</v>
      </c>
      <c r="S2135" s="3" t="str">
        <f>_xlfn.XLOOKUP(Table1[[#This Row],[ID]], Table2[ID], Table2[Enrollment], "Not Found", 0)</f>
        <v>3/17/2019</v>
      </c>
      <c r="T2135" t="s">
        <v>436</v>
      </c>
    </row>
    <row r="2136" spans="1:20" x14ac:dyDescent="0.3">
      <c r="A2136">
        <v>2341</v>
      </c>
      <c r="B2136">
        <v>117256</v>
      </c>
      <c r="C2136">
        <v>1</v>
      </c>
      <c r="D2136">
        <v>0</v>
      </c>
      <c r="E2136">
        <v>28</v>
      </c>
      <c r="F2136">
        <v>0</v>
      </c>
      <c r="G2136">
        <v>1</v>
      </c>
      <c r="H2136">
        <v>0</v>
      </c>
      <c r="I2136">
        <v>0</v>
      </c>
      <c r="J2136">
        <v>0</v>
      </c>
      <c r="K2136">
        <v>1</v>
      </c>
      <c r="L2136">
        <v>0</v>
      </c>
      <c r="M2136">
        <v>0</v>
      </c>
      <c r="N2136">
        <v>0</v>
      </c>
      <c r="O2136" t="str" cm="1">
        <f t="array" ref="O2136">_xlfn.IFS(Table1[[#This Row],[Divorced]]=1, "Divorced", Table1[[#This Row],[Married]]=1, "Married", Table1[[#This Row],[Single]]=1, "Single", Table1[[#This Row],[Together]]=1, "Together", Table1[[#This Row],[Widow]]=1, "Widow")</f>
        <v>Married</v>
      </c>
      <c r="P2136" t="str" cm="1">
        <f t="array" ref="P2136">_xlfn.IFS(Table1[[#This Row],[Basic]]=1, "Basic", Table1[[#This Row],[Graduate]]=1, "Graduate", Table1[[#This Row],[Master]]=1, "Master", Table1[[#This Row],[PhD]]=1, "PhD", AND(Table1[[#This Row],[Basic]]=0, Table1[[#This Row],[Graduate]]=0, Table1[[#This Row],[Master]]=0, Table1[[#This Row],[PhD]]=0), "NA")</f>
        <v>Basic</v>
      </c>
      <c r="Q2136" t="e">
        <f>_xlfn.XLOOKUP(Table1[[#This Row],[ID]], Table2[ID],#REF!, "Not Found", 0)</f>
        <v>#REF!</v>
      </c>
      <c r="R2136" t="e">
        <f>_xlfn.XLOOKUP(Table1[[#This Row],[ID]], Table2[ID],#REF!, "Not Found", 0)</f>
        <v>#REF!</v>
      </c>
      <c r="S2136" s="3" t="str">
        <f>_xlfn.XLOOKUP(Table1[[#This Row],[ID]], Table2[ID], Table2[Enrollment], "Not Found", 0)</f>
        <v>4/29/2020</v>
      </c>
      <c r="T2136" t="s">
        <v>437</v>
      </c>
    </row>
    <row r="2137" spans="1:20" x14ac:dyDescent="0.3">
      <c r="A2137">
        <v>3120</v>
      </c>
      <c r="B2137">
        <v>117148</v>
      </c>
      <c r="C2137">
        <v>1</v>
      </c>
      <c r="D2137">
        <v>0</v>
      </c>
      <c r="E2137">
        <v>44</v>
      </c>
      <c r="F2137">
        <v>0</v>
      </c>
      <c r="G2137">
        <v>1</v>
      </c>
      <c r="H2137">
        <v>0</v>
      </c>
      <c r="I2137">
        <v>0</v>
      </c>
      <c r="J2137">
        <v>0</v>
      </c>
      <c r="K2137">
        <v>0</v>
      </c>
      <c r="L2137">
        <v>1</v>
      </c>
      <c r="M2137">
        <v>0</v>
      </c>
      <c r="N2137">
        <v>0</v>
      </c>
      <c r="O2137" t="str" cm="1">
        <f t="array" ref="O2137">_xlfn.IFS(Table1[[#This Row],[Divorced]]=1, "Divorced", Table1[[#This Row],[Married]]=1, "Married", Table1[[#This Row],[Single]]=1, "Single", Table1[[#This Row],[Together]]=1, "Together", Table1[[#This Row],[Widow]]=1, "Widow")</f>
        <v>Married</v>
      </c>
      <c r="P2137" t="str" cm="1">
        <f t="array" ref="P2137">_xlfn.IFS(Table1[[#This Row],[Basic]]=1, "Basic", Table1[[#This Row],[Graduate]]=1, "Graduate", Table1[[#This Row],[Master]]=1, "Master", Table1[[#This Row],[PhD]]=1, "PhD", AND(Table1[[#This Row],[Basic]]=0, Table1[[#This Row],[Graduate]]=0, Table1[[#This Row],[Master]]=0, Table1[[#This Row],[PhD]]=0), "NA")</f>
        <v>Graduate</v>
      </c>
      <c r="Q2137" t="e">
        <f>_xlfn.XLOOKUP(Table1[[#This Row],[ID]], Table2[ID],#REF!, "Not Found", 0)</f>
        <v>#REF!</v>
      </c>
      <c r="R2137" t="e">
        <f>_xlfn.XLOOKUP(Table1[[#This Row],[ID]], Table2[ID],#REF!, "Not Found", 0)</f>
        <v>#REF!</v>
      </c>
      <c r="S2137" s="3">
        <f>_xlfn.XLOOKUP(Table1[[#This Row],[ID]], Table2[ID], Table2[Enrollment], "Not Found", 0)</f>
        <v>43928</v>
      </c>
      <c r="T2137" t="s">
        <v>436</v>
      </c>
    </row>
    <row r="2138" spans="1:20" x14ac:dyDescent="0.3">
      <c r="A2138">
        <v>1767</v>
      </c>
      <c r="B2138">
        <v>117144</v>
      </c>
      <c r="C2138">
        <v>1</v>
      </c>
      <c r="D2138">
        <v>1</v>
      </c>
      <c r="E2138">
        <v>60</v>
      </c>
      <c r="F2138">
        <v>0</v>
      </c>
      <c r="G2138">
        <v>0</v>
      </c>
      <c r="H2138">
        <v>0</v>
      </c>
      <c r="I2138">
        <v>1</v>
      </c>
      <c r="J2138">
        <v>0</v>
      </c>
      <c r="K2138">
        <v>0</v>
      </c>
      <c r="L2138">
        <v>0</v>
      </c>
      <c r="M2138">
        <v>1</v>
      </c>
      <c r="N2138">
        <v>0</v>
      </c>
      <c r="O2138" t="str" cm="1">
        <f t="array" ref="O2138">_xlfn.IFS(Table1[[#This Row],[Divorced]]=1, "Divorced", Table1[[#This Row],[Married]]=1, "Married", Table1[[#This Row],[Single]]=1, "Single", Table1[[#This Row],[Together]]=1, "Together", Table1[[#This Row],[Widow]]=1, "Widow")</f>
        <v>Together</v>
      </c>
      <c r="P2138" t="str" cm="1">
        <f t="array" ref="P2138">_xlfn.IFS(Table1[[#This Row],[Basic]]=1, "Basic", Table1[[#This Row],[Graduate]]=1, "Graduate", Table1[[#This Row],[Master]]=1, "Master", Table1[[#This Row],[PhD]]=1, "PhD", AND(Table1[[#This Row],[Basic]]=0, Table1[[#This Row],[Graduate]]=0, Table1[[#This Row],[Master]]=0, Table1[[#This Row],[PhD]]=0), "NA")</f>
        <v>Master</v>
      </c>
      <c r="Q2138" t="e">
        <f>_xlfn.XLOOKUP(Table1[[#This Row],[ID]], Table2[ID],#REF!, "Not Found", 0)</f>
        <v>#REF!</v>
      </c>
      <c r="R2138" t="e">
        <f>_xlfn.XLOOKUP(Table1[[#This Row],[ID]], Table2[ID],#REF!, "Not Found", 0)</f>
        <v>#REF!</v>
      </c>
      <c r="S2138" s="3" t="str">
        <f>_xlfn.XLOOKUP(Table1[[#This Row],[ID]], Table2[ID], Table2[Enrollment], "Not Found", 0)</f>
        <v>7/22/2020</v>
      </c>
      <c r="T2138" t="s">
        <v>435</v>
      </c>
    </row>
    <row r="2139" spans="1:20" x14ac:dyDescent="0.3">
      <c r="A2139">
        <v>2572</v>
      </c>
      <c r="B2139">
        <v>117144</v>
      </c>
      <c r="C2139">
        <v>1</v>
      </c>
      <c r="D2139">
        <v>1</v>
      </c>
      <c r="E2139">
        <v>60</v>
      </c>
      <c r="F2139">
        <v>0</v>
      </c>
      <c r="G2139">
        <v>0</v>
      </c>
      <c r="H2139">
        <v>0</v>
      </c>
      <c r="I2139">
        <v>1</v>
      </c>
      <c r="J2139">
        <v>0</v>
      </c>
      <c r="K2139">
        <v>0</v>
      </c>
      <c r="L2139">
        <v>0</v>
      </c>
      <c r="M2139">
        <v>1</v>
      </c>
      <c r="N2139">
        <v>0</v>
      </c>
      <c r="O2139" t="str" cm="1">
        <f t="array" ref="O2139">_xlfn.IFS(Table1[[#This Row],[Divorced]]=1, "Divorced", Table1[[#This Row],[Married]]=1, "Married", Table1[[#This Row],[Single]]=1, "Single", Table1[[#This Row],[Together]]=1, "Together", Table1[[#This Row],[Widow]]=1, "Widow")</f>
        <v>Together</v>
      </c>
      <c r="P2139" t="str" cm="1">
        <f t="array" ref="P2139">_xlfn.IFS(Table1[[#This Row],[Basic]]=1, "Basic", Table1[[#This Row],[Graduate]]=1, "Graduate", Table1[[#This Row],[Master]]=1, "Master", Table1[[#This Row],[PhD]]=1, "PhD", AND(Table1[[#This Row],[Basic]]=0, Table1[[#This Row],[Graduate]]=0, Table1[[#This Row],[Master]]=0, Table1[[#This Row],[PhD]]=0), "NA")</f>
        <v>Master</v>
      </c>
      <c r="Q2139" t="e">
        <f>_xlfn.XLOOKUP(Table1[[#This Row],[ID]], Table2[ID],#REF!, "Not Found", 0)</f>
        <v>#REF!</v>
      </c>
      <c r="R2139" t="e">
        <f>_xlfn.XLOOKUP(Table1[[#This Row],[ID]], Table2[ID],#REF!, "Not Found", 0)</f>
        <v>#REF!</v>
      </c>
      <c r="S2139" s="3" t="str">
        <f>_xlfn.XLOOKUP(Table1[[#This Row],[ID]], Table2[ID], Table2[Enrollment], "Not Found", 0)</f>
        <v>7/22/2020</v>
      </c>
      <c r="T2139" t="s">
        <v>439</v>
      </c>
    </row>
    <row r="2140" spans="1:20" x14ac:dyDescent="0.3">
      <c r="A2140">
        <v>1860</v>
      </c>
      <c r="B2140">
        <v>117117</v>
      </c>
      <c r="C2140">
        <v>1</v>
      </c>
      <c r="D2140">
        <v>0</v>
      </c>
      <c r="E2140">
        <v>42</v>
      </c>
      <c r="F2140">
        <v>0</v>
      </c>
      <c r="G2140">
        <v>0</v>
      </c>
      <c r="H2140">
        <v>0</v>
      </c>
      <c r="I2140">
        <v>1</v>
      </c>
      <c r="J2140">
        <v>0</v>
      </c>
      <c r="K2140">
        <v>0</v>
      </c>
      <c r="L2140">
        <v>0</v>
      </c>
      <c r="M2140">
        <v>0</v>
      </c>
      <c r="N2140">
        <v>0</v>
      </c>
      <c r="O2140" t="str" cm="1">
        <f t="array" ref="O2140">_xlfn.IFS(Table1[[#This Row],[Divorced]]=1, "Divorced", Table1[[#This Row],[Married]]=1, "Married", Table1[[#This Row],[Single]]=1, "Single", Table1[[#This Row],[Together]]=1, "Together", Table1[[#This Row],[Widow]]=1, "Widow")</f>
        <v>Together</v>
      </c>
      <c r="P2140" t="str" cm="1">
        <f t="array" ref="P2140">_xlfn.IFS(Table1[[#This Row],[Basic]]=1, "Basic", Table1[[#This Row],[Graduate]]=1, "Graduate", Table1[[#This Row],[Master]]=1, "Master", Table1[[#This Row],[PhD]]=1, "PhD", AND(Table1[[#This Row],[Basic]]=0, Table1[[#This Row],[Graduate]]=0, Table1[[#This Row],[Master]]=0, Table1[[#This Row],[PhD]]=0), "NA")</f>
        <v>NA</v>
      </c>
      <c r="Q2140" t="e">
        <f>_xlfn.XLOOKUP(Table1[[#This Row],[ID]], Table2[ID],#REF!, "Not Found", 0)</f>
        <v>#REF!</v>
      </c>
      <c r="R2140" t="e">
        <f>_xlfn.XLOOKUP(Table1[[#This Row],[ID]], Table2[ID],#REF!, "Not Found", 0)</f>
        <v>#REF!</v>
      </c>
      <c r="S2140" s="3" t="str">
        <f>_xlfn.XLOOKUP(Table1[[#This Row],[ID]], Table2[ID], Table2[Enrollment], "Not Found", 0)</f>
        <v>6/24/2019</v>
      </c>
      <c r="T2140" t="s">
        <v>436</v>
      </c>
    </row>
    <row r="2141" spans="1:20" x14ac:dyDescent="0.3">
      <c r="A2141">
        <v>1727</v>
      </c>
      <c r="B2141">
        <v>117003</v>
      </c>
      <c r="C2141">
        <v>1</v>
      </c>
      <c r="D2141">
        <v>0</v>
      </c>
      <c r="E2141">
        <v>45</v>
      </c>
      <c r="F2141">
        <v>0</v>
      </c>
      <c r="G2141">
        <v>1</v>
      </c>
      <c r="H2141">
        <v>0</v>
      </c>
      <c r="I2141">
        <v>0</v>
      </c>
      <c r="J2141">
        <v>0</v>
      </c>
      <c r="K2141">
        <v>0</v>
      </c>
      <c r="L2141">
        <v>0</v>
      </c>
      <c r="M2141">
        <v>0</v>
      </c>
      <c r="N2141">
        <v>0</v>
      </c>
      <c r="O2141" t="str" cm="1">
        <f t="array" ref="O2141">_xlfn.IFS(Table1[[#This Row],[Divorced]]=1, "Divorced", Table1[[#This Row],[Married]]=1, "Married", Table1[[#This Row],[Single]]=1, "Single", Table1[[#This Row],[Together]]=1, "Together", Table1[[#This Row],[Widow]]=1, "Widow")</f>
        <v>Married</v>
      </c>
      <c r="P2141" t="str" cm="1">
        <f t="array" ref="P2141">_xlfn.IFS(Table1[[#This Row],[Basic]]=1, "Basic", Table1[[#This Row],[Graduate]]=1, "Graduate", Table1[[#This Row],[Master]]=1, "Master", Table1[[#This Row],[PhD]]=1, "PhD", AND(Table1[[#This Row],[Basic]]=0, Table1[[#This Row],[Graduate]]=0, Table1[[#This Row],[Master]]=0, Table1[[#This Row],[PhD]]=0), "NA")</f>
        <v>NA</v>
      </c>
      <c r="Q2141" t="e">
        <f>_xlfn.XLOOKUP(Table1[[#This Row],[ID]], Table2[ID],#REF!, "Not Found", 0)</f>
        <v>#REF!</v>
      </c>
      <c r="R2141" t="e">
        <f>_xlfn.XLOOKUP(Table1[[#This Row],[ID]], Table2[ID],#REF!, "Not Found", 0)</f>
        <v>#REF!</v>
      </c>
      <c r="S2141" s="3" t="str">
        <f>_xlfn.XLOOKUP(Table1[[#This Row],[ID]], Table2[ID], Table2[Enrollment], "Not Found", 0)</f>
        <v>5/15/2020</v>
      </c>
      <c r="T2141" t="s">
        <v>434</v>
      </c>
    </row>
    <row r="2142" spans="1:20" x14ac:dyDescent="0.3">
      <c r="A2142">
        <v>1936</v>
      </c>
      <c r="B2142">
        <v>116927</v>
      </c>
      <c r="C2142">
        <v>1</v>
      </c>
      <c r="D2142">
        <v>1</v>
      </c>
      <c r="E2142">
        <v>44</v>
      </c>
      <c r="F2142">
        <v>0</v>
      </c>
      <c r="G2142">
        <v>1</v>
      </c>
      <c r="H2142">
        <v>0</v>
      </c>
      <c r="I2142">
        <v>0</v>
      </c>
      <c r="J2142">
        <v>0</v>
      </c>
      <c r="K2142">
        <v>0</v>
      </c>
      <c r="L2142">
        <v>0</v>
      </c>
      <c r="M2142">
        <v>0</v>
      </c>
      <c r="N2142">
        <v>1</v>
      </c>
      <c r="O2142" t="str" cm="1">
        <f t="array" ref="O2142">_xlfn.IFS(Table1[[#This Row],[Divorced]]=1, "Divorced", Table1[[#This Row],[Married]]=1, "Married", Table1[[#This Row],[Single]]=1, "Single", Table1[[#This Row],[Together]]=1, "Together", Table1[[#This Row],[Widow]]=1, "Widow")</f>
        <v>Married</v>
      </c>
      <c r="P2142" t="str" cm="1">
        <f t="array" ref="P2142">_xlfn.IFS(Table1[[#This Row],[Basic]]=1, "Basic", Table1[[#This Row],[Graduate]]=1, "Graduate", Table1[[#This Row],[Master]]=1, "Master", Table1[[#This Row],[PhD]]=1, "PhD", AND(Table1[[#This Row],[Basic]]=0, Table1[[#This Row],[Graduate]]=0, Table1[[#This Row],[Master]]=0, Table1[[#This Row],[PhD]]=0), "NA")</f>
        <v>PhD</v>
      </c>
      <c r="Q2142" t="e">
        <f>_xlfn.XLOOKUP(Table1[[#This Row],[ID]], Table2[ID],#REF!, "Not Found", 0)</f>
        <v>#REF!</v>
      </c>
      <c r="R2142" t="e">
        <f>_xlfn.XLOOKUP(Table1[[#This Row],[ID]], Table2[ID],#REF!, "Not Found", 0)</f>
        <v>#REF!</v>
      </c>
      <c r="S2142" s="3" t="str">
        <f>_xlfn.XLOOKUP(Table1[[#This Row],[ID]], Table2[ID], Table2[Enrollment], "Not Found", 0)</f>
        <v>7/18/2019</v>
      </c>
      <c r="T2142" t="s">
        <v>439</v>
      </c>
    </row>
    <row r="2143" spans="1:20" x14ac:dyDescent="0.3">
      <c r="A2143">
        <v>2046</v>
      </c>
      <c r="B2143">
        <v>116860</v>
      </c>
      <c r="C2143">
        <v>1</v>
      </c>
      <c r="D2143">
        <v>1</v>
      </c>
      <c r="E2143">
        <v>59</v>
      </c>
      <c r="F2143">
        <v>0</v>
      </c>
      <c r="G2143">
        <v>1</v>
      </c>
      <c r="H2143">
        <v>0</v>
      </c>
      <c r="I2143">
        <v>0</v>
      </c>
      <c r="J2143">
        <v>0</v>
      </c>
      <c r="K2143">
        <v>0</v>
      </c>
      <c r="L2143">
        <v>1</v>
      </c>
      <c r="M2143">
        <v>0</v>
      </c>
      <c r="N2143">
        <v>0</v>
      </c>
      <c r="O2143" t="str" cm="1">
        <f t="array" ref="O2143">_xlfn.IFS(Table1[[#This Row],[Divorced]]=1, "Divorced", Table1[[#This Row],[Married]]=1, "Married", Table1[[#This Row],[Single]]=1, "Single", Table1[[#This Row],[Together]]=1, "Together", Table1[[#This Row],[Widow]]=1, "Widow")</f>
        <v>Married</v>
      </c>
      <c r="P2143" t="str" cm="1">
        <f t="array" ref="P2143">_xlfn.IFS(Table1[[#This Row],[Basic]]=1, "Basic", Table1[[#This Row],[Graduate]]=1, "Graduate", Table1[[#This Row],[Master]]=1, "Master", Table1[[#This Row],[PhD]]=1, "PhD", AND(Table1[[#This Row],[Basic]]=0, Table1[[#This Row],[Graduate]]=0, Table1[[#This Row],[Master]]=0, Table1[[#This Row],[PhD]]=0), "NA")</f>
        <v>Graduate</v>
      </c>
      <c r="Q2143" t="e">
        <f>_xlfn.XLOOKUP(Table1[[#This Row],[ID]], Table2[ID],#REF!, "Not Found", 0)</f>
        <v>#REF!</v>
      </c>
      <c r="R2143" t="e">
        <f>_xlfn.XLOOKUP(Table1[[#This Row],[ID]], Table2[ID],#REF!, "Not Found", 0)</f>
        <v>#REF!</v>
      </c>
      <c r="S2143" s="3" t="str">
        <f>_xlfn.XLOOKUP(Table1[[#This Row],[ID]], Table2[ID], Table2[Enrollment], "Not Found", 0)</f>
        <v>2/17/2019</v>
      </c>
      <c r="T2143" t="s">
        <v>436</v>
      </c>
    </row>
    <row r="2144" spans="1:20" x14ac:dyDescent="0.3">
      <c r="A2144">
        <v>1773</v>
      </c>
      <c r="B2144">
        <v>116813</v>
      </c>
      <c r="C2144">
        <v>0</v>
      </c>
      <c r="D2144">
        <v>0</v>
      </c>
      <c r="E2144">
        <v>70</v>
      </c>
      <c r="F2144">
        <v>0</v>
      </c>
      <c r="G2144">
        <v>0</v>
      </c>
      <c r="H2144">
        <v>1</v>
      </c>
      <c r="I2144">
        <v>0</v>
      </c>
      <c r="J2144">
        <v>0</v>
      </c>
      <c r="K2144">
        <v>0</v>
      </c>
      <c r="L2144">
        <v>1</v>
      </c>
      <c r="M2144">
        <v>0</v>
      </c>
      <c r="N2144">
        <v>0</v>
      </c>
      <c r="O2144" t="str" cm="1">
        <f t="array" ref="O2144">_xlfn.IFS(Table1[[#This Row],[Divorced]]=1, "Divorced", Table1[[#This Row],[Married]]=1, "Married", Table1[[#This Row],[Single]]=1, "Single", Table1[[#This Row],[Together]]=1, "Together", Table1[[#This Row],[Widow]]=1, "Widow")</f>
        <v>Single</v>
      </c>
      <c r="P2144" t="str" cm="1">
        <f t="array" ref="P2144">_xlfn.IFS(Table1[[#This Row],[Basic]]=1, "Basic", Table1[[#This Row],[Graduate]]=1, "Graduate", Table1[[#This Row],[Master]]=1, "Master", Table1[[#This Row],[PhD]]=1, "PhD", AND(Table1[[#This Row],[Basic]]=0, Table1[[#This Row],[Graduate]]=0, Table1[[#This Row],[Master]]=0, Table1[[#This Row],[PhD]]=0), "NA")</f>
        <v>Graduate</v>
      </c>
      <c r="Q2144" t="e">
        <f>_xlfn.XLOOKUP(Table1[[#This Row],[ID]], Table2[ID],#REF!, "Not Found", 0)</f>
        <v>#REF!</v>
      </c>
      <c r="R2144" t="e">
        <f>_xlfn.XLOOKUP(Table1[[#This Row],[ID]], Table2[ID],#REF!, "Not Found", 0)</f>
        <v>#REF!</v>
      </c>
      <c r="S2144" s="3" t="str">
        <f>_xlfn.XLOOKUP(Table1[[#This Row],[ID]], Table2[ID], Table2[Enrollment], "Not Found", 0)</f>
        <v>12/24/2019</v>
      </c>
      <c r="T2144" t="s">
        <v>435</v>
      </c>
    </row>
    <row r="2145" spans="1:20" x14ac:dyDescent="0.3">
      <c r="A2145">
        <v>2700</v>
      </c>
      <c r="B2145">
        <v>116653</v>
      </c>
      <c r="C2145">
        <v>1</v>
      </c>
      <c r="D2145">
        <v>0</v>
      </c>
      <c r="E2145">
        <v>41</v>
      </c>
      <c r="F2145">
        <v>0</v>
      </c>
      <c r="G2145">
        <v>0</v>
      </c>
      <c r="H2145">
        <v>1</v>
      </c>
      <c r="I2145">
        <v>0</v>
      </c>
      <c r="J2145">
        <v>0</v>
      </c>
      <c r="K2145">
        <v>0</v>
      </c>
      <c r="L2145">
        <v>0</v>
      </c>
      <c r="M2145">
        <v>1</v>
      </c>
      <c r="N2145">
        <v>0</v>
      </c>
      <c r="O2145" t="str" cm="1">
        <f t="array" ref="O2145">_xlfn.IFS(Table1[[#This Row],[Divorced]]=1, "Divorced", Table1[[#This Row],[Married]]=1, "Married", Table1[[#This Row],[Single]]=1, "Single", Table1[[#This Row],[Together]]=1, "Together", Table1[[#This Row],[Widow]]=1, "Widow")</f>
        <v>Single</v>
      </c>
      <c r="P2145" t="str" cm="1">
        <f t="array" ref="P2145">_xlfn.IFS(Table1[[#This Row],[Basic]]=1, "Basic", Table1[[#This Row],[Graduate]]=1, "Graduate", Table1[[#This Row],[Master]]=1, "Master", Table1[[#This Row],[PhD]]=1, "PhD", AND(Table1[[#This Row],[Basic]]=0, Table1[[#This Row],[Graduate]]=0, Table1[[#This Row],[Master]]=0, Table1[[#This Row],[PhD]]=0), "NA")</f>
        <v>Master</v>
      </c>
      <c r="Q2145" t="e">
        <f>_xlfn.XLOOKUP(Table1[[#This Row],[ID]], Table2[ID],#REF!, "Not Found", 0)</f>
        <v>#REF!</v>
      </c>
      <c r="R2145" t="e">
        <f>_xlfn.XLOOKUP(Table1[[#This Row],[ID]], Table2[ID],#REF!, "Not Found", 0)</f>
        <v>#REF!</v>
      </c>
      <c r="S2145" s="3" t="str">
        <f>_xlfn.XLOOKUP(Table1[[#This Row],[ID]], Table2[ID], Table2[Enrollment], "Not Found", 0)</f>
        <v>9/22/2020</v>
      </c>
      <c r="T2145" t="s">
        <v>436</v>
      </c>
    </row>
    <row r="2146" spans="1:20" x14ac:dyDescent="0.3">
      <c r="A2146">
        <v>1280</v>
      </c>
      <c r="B2146">
        <v>116626</v>
      </c>
      <c r="C2146">
        <v>2</v>
      </c>
      <c r="D2146">
        <v>0</v>
      </c>
      <c r="E2146">
        <v>49</v>
      </c>
      <c r="F2146">
        <v>0</v>
      </c>
      <c r="G2146">
        <v>0</v>
      </c>
      <c r="H2146">
        <v>0</v>
      </c>
      <c r="I2146">
        <v>1</v>
      </c>
      <c r="J2146">
        <v>0</v>
      </c>
      <c r="K2146">
        <v>0</v>
      </c>
      <c r="L2146">
        <v>1</v>
      </c>
      <c r="M2146">
        <v>0</v>
      </c>
      <c r="N2146">
        <v>0</v>
      </c>
      <c r="O2146" t="str" cm="1">
        <f t="array" ref="O2146">_xlfn.IFS(Table1[[#This Row],[Divorced]]=1, "Divorced", Table1[[#This Row],[Married]]=1, "Married", Table1[[#This Row],[Single]]=1, "Single", Table1[[#This Row],[Together]]=1, "Together", Table1[[#This Row],[Widow]]=1, "Widow")</f>
        <v>Together</v>
      </c>
      <c r="P2146" t="str" cm="1">
        <f t="array" ref="P2146">_xlfn.IFS(Table1[[#This Row],[Basic]]=1, "Basic", Table1[[#This Row],[Graduate]]=1, "Graduate", Table1[[#This Row],[Master]]=1, "Master", Table1[[#This Row],[PhD]]=1, "PhD", AND(Table1[[#This Row],[Basic]]=0, Table1[[#This Row],[Graduate]]=0, Table1[[#This Row],[Master]]=0, Table1[[#This Row],[PhD]]=0), "NA")</f>
        <v>Graduate</v>
      </c>
      <c r="Q2146" t="e">
        <f>_xlfn.XLOOKUP(Table1[[#This Row],[ID]], Table2[ID],#REF!, "Not Found", 0)</f>
        <v>#REF!</v>
      </c>
      <c r="R2146" t="e">
        <f>_xlfn.XLOOKUP(Table1[[#This Row],[ID]], Table2[ID],#REF!, "Not Found", 0)</f>
        <v>#REF!</v>
      </c>
      <c r="S2146" s="3" t="str">
        <f>_xlfn.XLOOKUP(Table1[[#This Row],[ID]], Table2[ID], Table2[Enrollment], "Not Found", 0)</f>
        <v>6/21/2020</v>
      </c>
      <c r="T2146" t="s">
        <v>438</v>
      </c>
    </row>
    <row r="2147" spans="1:20" x14ac:dyDescent="0.3">
      <c r="A2147">
        <v>2109</v>
      </c>
      <c r="B2147">
        <v>116581</v>
      </c>
      <c r="C2147">
        <v>0</v>
      </c>
      <c r="D2147">
        <v>0</v>
      </c>
      <c r="E2147">
        <v>35</v>
      </c>
      <c r="F2147">
        <v>0</v>
      </c>
      <c r="G2147">
        <v>0</v>
      </c>
      <c r="H2147">
        <v>1</v>
      </c>
      <c r="I2147">
        <v>0</v>
      </c>
      <c r="J2147">
        <v>0</v>
      </c>
      <c r="K2147">
        <v>1</v>
      </c>
      <c r="L2147">
        <v>0</v>
      </c>
      <c r="M2147">
        <v>0</v>
      </c>
      <c r="N2147">
        <v>0</v>
      </c>
      <c r="O2147" t="str" cm="1">
        <f t="array" ref="O2147">_xlfn.IFS(Table1[[#This Row],[Divorced]]=1, "Divorced", Table1[[#This Row],[Married]]=1, "Married", Table1[[#This Row],[Single]]=1, "Single", Table1[[#This Row],[Together]]=1, "Together", Table1[[#This Row],[Widow]]=1, "Widow")</f>
        <v>Single</v>
      </c>
      <c r="P2147" t="str" cm="1">
        <f t="array" ref="P2147">_xlfn.IFS(Table1[[#This Row],[Basic]]=1, "Basic", Table1[[#This Row],[Graduate]]=1, "Graduate", Table1[[#This Row],[Master]]=1, "Master", Table1[[#This Row],[PhD]]=1, "PhD", AND(Table1[[#This Row],[Basic]]=0, Table1[[#This Row],[Graduate]]=0, Table1[[#This Row],[Master]]=0, Table1[[#This Row],[PhD]]=0), "NA")</f>
        <v>Basic</v>
      </c>
      <c r="Q2147" t="e">
        <f>_xlfn.XLOOKUP(Table1[[#This Row],[ID]], Table2[ID],#REF!, "Not Found", 0)</f>
        <v>#REF!</v>
      </c>
      <c r="R2147" t="e">
        <f>_xlfn.XLOOKUP(Table1[[#This Row],[ID]], Table2[ID],#REF!, "Not Found", 0)</f>
        <v>#REF!</v>
      </c>
      <c r="S2147" s="3" t="str">
        <f>_xlfn.XLOOKUP(Table1[[#This Row],[ID]], Table2[ID], Table2[Enrollment], "Not Found", 0)</f>
        <v>6/19/2019</v>
      </c>
      <c r="T2147" t="s">
        <v>435</v>
      </c>
    </row>
    <row r="2148" spans="1:20" x14ac:dyDescent="0.3">
      <c r="A2148">
        <v>2439</v>
      </c>
      <c r="B2148">
        <v>116531</v>
      </c>
      <c r="C2148">
        <v>1</v>
      </c>
      <c r="D2148">
        <v>0</v>
      </c>
      <c r="E2148">
        <v>42</v>
      </c>
      <c r="F2148">
        <v>0</v>
      </c>
      <c r="G2148">
        <v>0</v>
      </c>
      <c r="H2148">
        <v>0</v>
      </c>
      <c r="I2148">
        <v>1</v>
      </c>
      <c r="J2148">
        <v>0</v>
      </c>
      <c r="K2148">
        <v>0</v>
      </c>
      <c r="L2148">
        <v>1</v>
      </c>
      <c r="M2148">
        <v>0</v>
      </c>
      <c r="N2148">
        <v>0</v>
      </c>
      <c r="O2148" t="str" cm="1">
        <f t="array" ref="O2148">_xlfn.IFS(Table1[[#This Row],[Divorced]]=1, "Divorced", Table1[[#This Row],[Married]]=1, "Married", Table1[[#This Row],[Single]]=1, "Single", Table1[[#This Row],[Together]]=1, "Together", Table1[[#This Row],[Widow]]=1, "Widow")</f>
        <v>Together</v>
      </c>
      <c r="P2148" t="str" cm="1">
        <f t="array" ref="P2148">_xlfn.IFS(Table1[[#This Row],[Basic]]=1, "Basic", Table1[[#This Row],[Graduate]]=1, "Graduate", Table1[[#This Row],[Master]]=1, "Master", Table1[[#This Row],[PhD]]=1, "PhD", AND(Table1[[#This Row],[Basic]]=0, Table1[[#This Row],[Graduate]]=0, Table1[[#This Row],[Master]]=0, Table1[[#This Row],[PhD]]=0), "NA")</f>
        <v>Graduate</v>
      </c>
      <c r="Q2148" t="e">
        <f>_xlfn.XLOOKUP(Table1[[#This Row],[ID]], Table2[ID],#REF!, "Not Found", 0)</f>
        <v>#REF!</v>
      </c>
      <c r="R2148" t="e">
        <f>_xlfn.XLOOKUP(Table1[[#This Row],[ID]], Table2[ID],#REF!, "Not Found", 0)</f>
        <v>#REF!</v>
      </c>
      <c r="S2148" s="3" t="str">
        <f>_xlfn.XLOOKUP(Table1[[#This Row],[ID]], Table2[ID], Table2[Enrollment], "Not Found", 0)</f>
        <v>11/22/2020</v>
      </c>
      <c r="T2148" t="s">
        <v>435</v>
      </c>
    </row>
    <row r="2149" spans="1:20" x14ac:dyDescent="0.3">
      <c r="A2149">
        <v>1810</v>
      </c>
      <c r="B2149">
        <v>116529</v>
      </c>
      <c r="C2149">
        <v>1</v>
      </c>
      <c r="D2149">
        <v>0</v>
      </c>
      <c r="E2149">
        <v>36</v>
      </c>
      <c r="F2149">
        <v>0</v>
      </c>
      <c r="G2149">
        <v>0</v>
      </c>
      <c r="H2149">
        <v>0</v>
      </c>
      <c r="I2149">
        <v>1</v>
      </c>
      <c r="J2149">
        <v>0</v>
      </c>
      <c r="K2149">
        <v>0</v>
      </c>
      <c r="L2149">
        <v>1</v>
      </c>
      <c r="M2149">
        <v>0</v>
      </c>
      <c r="N2149">
        <v>0</v>
      </c>
      <c r="O2149" t="str" cm="1">
        <f t="array" ref="O2149">_xlfn.IFS(Table1[[#This Row],[Divorced]]=1, "Divorced", Table1[[#This Row],[Married]]=1, "Married", Table1[[#This Row],[Single]]=1, "Single", Table1[[#This Row],[Together]]=1, "Together", Table1[[#This Row],[Widow]]=1, "Widow")</f>
        <v>Together</v>
      </c>
      <c r="P2149" t="str" cm="1">
        <f t="array" ref="P2149">_xlfn.IFS(Table1[[#This Row],[Basic]]=1, "Basic", Table1[[#This Row],[Graduate]]=1, "Graduate", Table1[[#This Row],[Master]]=1, "Master", Table1[[#This Row],[PhD]]=1, "PhD", AND(Table1[[#This Row],[Basic]]=0, Table1[[#This Row],[Graduate]]=0, Table1[[#This Row],[Master]]=0, Table1[[#This Row],[PhD]]=0), "NA")</f>
        <v>Graduate</v>
      </c>
      <c r="Q2149" t="e">
        <f>_xlfn.XLOOKUP(Table1[[#This Row],[ID]], Table2[ID],#REF!, "Not Found", 0)</f>
        <v>#REF!</v>
      </c>
      <c r="R2149" t="e">
        <f>_xlfn.XLOOKUP(Table1[[#This Row],[ID]], Table2[ID],#REF!, "Not Found", 0)</f>
        <v>#REF!</v>
      </c>
      <c r="S2149" s="3">
        <f>_xlfn.XLOOKUP(Table1[[#This Row],[ID]], Table2[ID], Table2[Enrollment], "Not Found", 0)</f>
        <v>43959</v>
      </c>
      <c r="T2149" t="s">
        <v>439</v>
      </c>
    </row>
    <row r="2150" spans="1:20" x14ac:dyDescent="0.3">
      <c r="A2150">
        <v>2095</v>
      </c>
      <c r="B2150">
        <v>116269</v>
      </c>
      <c r="C2150">
        <v>1</v>
      </c>
      <c r="D2150">
        <v>0</v>
      </c>
      <c r="E2150">
        <v>36</v>
      </c>
      <c r="F2150">
        <v>0</v>
      </c>
      <c r="G2150">
        <v>0</v>
      </c>
      <c r="H2150">
        <v>1</v>
      </c>
      <c r="I2150">
        <v>0</v>
      </c>
      <c r="J2150">
        <v>0</v>
      </c>
      <c r="K2150">
        <v>0</v>
      </c>
      <c r="L2150">
        <v>0</v>
      </c>
      <c r="M2150">
        <v>0</v>
      </c>
      <c r="N2150">
        <v>1</v>
      </c>
      <c r="O2150" t="str" cm="1">
        <f t="array" ref="O2150">_xlfn.IFS(Table1[[#This Row],[Divorced]]=1, "Divorced", Table1[[#This Row],[Married]]=1, "Married", Table1[[#This Row],[Single]]=1, "Single", Table1[[#This Row],[Together]]=1, "Together", Table1[[#This Row],[Widow]]=1, "Widow")</f>
        <v>Single</v>
      </c>
      <c r="P2150" t="str" cm="1">
        <f t="array" ref="P2150">_xlfn.IFS(Table1[[#This Row],[Basic]]=1, "Basic", Table1[[#This Row],[Graduate]]=1, "Graduate", Table1[[#This Row],[Master]]=1, "Master", Table1[[#This Row],[PhD]]=1, "PhD", AND(Table1[[#This Row],[Basic]]=0, Table1[[#This Row],[Graduate]]=0, Table1[[#This Row],[Master]]=0, Table1[[#This Row],[PhD]]=0), "NA")</f>
        <v>PhD</v>
      </c>
      <c r="Q2150" t="e">
        <f>_xlfn.XLOOKUP(Table1[[#This Row],[ID]], Table2[ID],#REF!, "Not Found", 0)</f>
        <v>#REF!</v>
      </c>
      <c r="R2150" t="e">
        <f>_xlfn.XLOOKUP(Table1[[#This Row],[ID]], Table2[ID],#REF!, "Not Found", 0)</f>
        <v>#REF!</v>
      </c>
      <c r="S2150" s="3">
        <f>_xlfn.XLOOKUP(Table1[[#This Row],[ID]], Table2[ID], Table2[Enrollment], "Not Found", 0)</f>
        <v>43923</v>
      </c>
      <c r="T2150" t="s">
        <v>437</v>
      </c>
    </row>
    <row r="2151" spans="1:20" x14ac:dyDescent="0.3">
      <c r="A2151">
        <v>1170</v>
      </c>
      <c r="B2151">
        <v>116248</v>
      </c>
      <c r="C2151">
        <v>1</v>
      </c>
      <c r="D2151">
        <v>0</v>
      </c>
      <c r="E2151">
        <v>32</v>
      </c>
      <c r="F2151">
        <v>0</v>
      </c>
      <c r="G2151">
        <v>1</v>
      </c>
      <c r="H2151">
        <v>0</v>
      </c>
      <c r="I2151">
        <v>0</v>
      </c>
      <c r="J2151">
        <v>0</v>
      </c>
      <c r="K2151">
        <v>0</v>
      </c>
      <c r="L2151">
        <v>0</v>
      </c>
      <c r="M2151">
        <v>0</v>
      </c>
      <c r="N2151">
        <v>0</v>
      </c>
      <c r="O2151" t="str" cm="1">
        <f t="array" ref="O2151">_xlfn.IFS(Table1[[#This Row],[Divorced]]=1, "Divorced", Table1[[#This Row],[Married]]=1, "Married", Table1[[#This Row],[Single]]=1, "Single", Table1[[#This Row],[Together]]=1, "Together", Table1[[#This Row],[Widow]]=1, "Widow")</f>
        <v>Married</v>
      </c>
      <c r="P2151" t="str" cm="1">
        <f t="array" ref="P2151">_xlfn.IFS(Table1[[#This Row],[Basic]]=1, "Basic", Table1[[#This Row],[Graduate]]=1, "Graduate", Table1[[#This Row],[Master]]=1, "Master", Table1[[#This Row],[PhD]]=1, "PhD", AND(Table1[[#This Row],[Basic]]=0, Table1[[#This Row],[Graduate]]=0, Table1[[#This Row],[Master]]=0, Table1[[#This Row],[PhD]]=0), "NA")</f>
        <v>NA</v>
      </c>
      <c r="Q2151" t="e">
        <f>_xlfn.XLOOKUP(Table1[[#This Row],[ID]], Table2[ID],#REF!, "Not Found", 0)</f>
        <v>#REF!</v>
      </c>
      <c r="R2151" t="e">
        <f>_xlfn.XLOOKUP(Table1[[#This Row],[ID]], Table2[ID],#REF!, "Not Found", 0)</f>
        <v>#REF!</v>
      </c>
      <c r="S2151" s="3" t="str">
        <f>_xlfn.XLOOKUP(Table1[[#This Row],[ID]], Table2[ID], Table2[Enrollment], "Not Found", 0)</f>
        <v>10/14/2020</v>
      </c>
      <c r="T2151" t="s">
        <v>436</v>
      </c>
    </row>
    <row r="2152" spans="1:20" x14ac:dyDescent="0.3">
      <c r="A2152">
        <v>3168</v>
      </c>
      <c r="B2152">
        <v>116185</v>
      </c>
      <c r="C2152">
        <v>1</v>
      </c>
      <c r="D2152">
        <v>0</v>
      </c>
      <c r="E2152">
        <v>30</v>
      </c>
      <c r="F2152">
        <v>0</v>
      </c>
      <c r="G2152">
        <v>0</v>
      </c>
      <c r="H2152">
        <v>1</v>
      </c>
      <c r="I2152">
        <v>0</v>
      </c>
      <c r="J2152">
        <v>0</v>
      </c>
      <c r="K2152">
        <v>1</v>
      </c>
      <c r="L2152">
        <v>0</v>
      </c>
      <c r="M2152">
        <v>0</v>
      </c>
      <c r="N2152">
        <v>0</v>
      </c>
      <c r="O2152" t="str" cm="1">
        <f t="array" ref="O2152">_xlfn.IFS(Table1[[#This Row],[Divorced]]=1, "Divorced", Table1[[#This Row],[Married]]=1, "Married", Table1[[#This Row],[Single]]=1, "Single", Table1[[#This Row],[Together]]=1, "Together", Table1[[#This Row],[Widow]]=1, "Widow")</f>
        <v>Single</v>
      </c>
      <c r="P2152" t="str" cm="1">
        <f t="array" ref="P2152">_xlfn.IFS(Table1[[#This Row],[Basic]]=1, "Basic", Table1[[#This Row],[Graduate]]=1, "Graduate", Table1[[#This Row],[Master]]=1, "Master", Table1[[#This Row],[PhD]]=1, "PhD", AND(Table1[[#This Row],[Basic]]=0, Table1[[#This Row],[Graduate]]=0, Table1[[#This Row],[Master]]=0, Table1[[#This Row],[PhD]]=0), "NA")</f>
        <v>Basic</v>
      </c>
      <c r="Q2152" t="e">
        <f>_xlfn.XLOOKUP(Table1[[#This Row],[ID]], Table2[ID],#REF!, "Not Found", 0)</f>
        <v>#REF!</v>
      </c>
      <c r="R2152" t="e">
        <f>_xlfn.XLOOKUP(Table1[[#This Row],[ID]], Table2[ID],#REF!, "Not Found", 0)</f>
        <v>#REF!</v>
      </c>
      <c r="S2152" s="3">
        <f>_xlfn.XLOOKUP(Table1[[#This Row],[ID]], Table2[ID], Table2[Enrollment], "Not Found", 0)</f>
        <v>44105</v>
      </c>
      <c r="T2152" t="s">
        <v>436</v>
      </c>
    </row>
    <row r="2153" spans="1:20" x14ac:dyDescent="0.3">
      <c r="A2153">
        <v>2730</v>
      </c>
      <c r="B2153">
        <v>116014</v>
      </c>
      <c r="C2153">
        <v>1</v>
      </c>
      <c r="D2153">
        <v>1</v>
      </c>
      <c r="E2153">
        <v>41</v>
      </c>
      <c r="F2153">
        <v>0</v>
      </c>
      <c r="G2153">
        <v>0</v>
      </c>
      <c r="H2153">
        <v>1</v>
      </c>
      <c r="I2153">
        <v>0</v>
      </c>
      <c r="J2153">
        <v>0</v>
      </c>
      <c r="K2153">
        <v>1</v>
      </c>
      <c r="L2153">
        <v>0</v>
      </c>
      <c r="M2153">
        <v>0</v>
      </c>
      <c r="N2153">
        <v>0</v>
      </c>
      <c r="O2153" t="str" cm="1">
        <f t="array" ref="O2153">_xlfn.IFS(Table1[[#This Row],[Divorced]]=1, "Divorced", Table1[[#This Row],[Married]]=1, "Married", Table1[[#This Row],[Single]]=1, "Single", Table1[[#This Row],[Together]]=1, "Together", Table1[[#This Row],[Widow]]=1, "Widow")</f>
        <v>Single</v>
      </c>
      <c r="P2153" t="str" cm="1">
        <f t="array" ref="P2153">_xlfn.IFS(Table1[[#This Row],[Basic]]=1, "Basic", Table1[[#This Row],[Graduate]]=1, "Graduate", Table1[[#This Row],[Master]]=1, "Master", Table1[[#This Row],[PhD]]=1, "PhD", AND(Table1[[#This Row],[Basic]]=0, Table1[[#This Row],[Graduate]]=0, Table1[[#This Row],[Master]]=0, Table1[[#This Row],[PhD]]=0), "NA")</f>
        <v>Basic</v>
      </c>
      <c r="Q2153" t="e">
        <f>_xlfn.XLOOKUP(Table1[[#This Row],[ID]], Table2[ID],#REF!, "Not Found", 0)</f>
        <v>#REF!</v>
      </c>
      <c r="R2153" t="e">
        <f>_xlfn.XLOOKUP(Table1[[#This Row],[ID]], Table2[ID],#REF!, "Not Found", 0)</f>
        <v>#REF!</v>
      </c>
      <c r="S2153" s="3" t="str">
        <f>_xlfn.XLOOKUP(Table1[[#This Row],[ID]], Table2[ID], Table2[Enrollment], "Not Found", 0)</f>
        <v>8/22/2019</v>
      </c>
      <c r="T2153" t="s">
        <v>436</v>
      </c>
    </row>
    <row r="2154" spans="1:20" x14ac:dyDescent="0.3">
      <c r="A2154">
        <v>3101</v>
      </c>
      <c r="B2154">
        <v>116005</v>
      </c>
      <c r="C2154">
        <v>1</v>
      </c>
      <c r="D2154">
        <v>0</v>
      </c>
      <c r="E2154">
        <v>40</v>
      </c>
      <c r="F2154">
        <v>0</v>
      </c>
      <c r="G2154">
        <v>1</v>
      </c>
      <c r="H2154">
        <v>0</v>
      </c>
      <c r="I2154">
        <v>0</v>
      </c>
      <c r="J2154">
        <v>0</v>
      </c>
      <c r="K2154">
        <v>1</v>
      </c>
      <c r="L2154">
        <v>0</v>
      </c>
      <c r="M2154">
        <v>0</v>
      </c>
      <c r="N2154">
        <v>0</v>
      </c>
      <c r="O2154" t="str" cm="1">
        <f t="array" ref="O2154">_xlfn.IFS(Table1[[#This Row],[Divorced]]=1, "Divorced", Table1[[#This Row],[Married]]=1, "Married", Table1[[#This Row],[Single]]=1, "Single", Table1[[#This Row],[Together]]=1, "Together", Table1[[#This Row],[Widow]]=1, "Widow")</f>
        <v>Married</v>
      </c>
      <c r="P2154" t="str" cm="1">
        <f t="array" ref="P2154">_xlfn.IFS(Table1[[#This Row],[Basic]]=1, "Basic", Table1[[#This Row],[Graduate]]=1, "Graduate", Table1[[#This Row],[Master]]=1, "Master", Table1[[#This Row],[PhD]]=1, "PhD", AND(Table1[[#This Row],[Basic]]=0, Table1[[#This Row],[Graduate]]=0, Table1[[#This Row],[Master]]=0, Table1[[#This Row],[PhD]]=0), "NA")</f>
        <v>Basic</v>
      </c>
      <c r="Q2154" t="e">
        <f>_xlfn.XLOOKUP(Table1[[#This Row],[ID]], Table2[ID],#REF!, "Not Found", 0)</f>
        <v>#REF!</v>
      </c>
      <c r="R2154" t="e">
        <f>_xlfn.XLOOKUP(Table1[[#This Row],[ID]], Table2[ID],#REF!, "Not Found", 0)</f>
        <v>#REF!</v>
      </c>
      <c r="S2154" s="3" t="str">
        <f>_xlfn.XLOOKUP(Table1[[#This Row],[ID]], Table2[ID], Table2[Enrollment], "Not Found", 0)</f>
        <v>1/19/2019</v>
      </c>
      <c r="T2154" t="s">
        <v>434</v>
      </c>
    </row>
    <row r="2155" spans="1:20" x14ac:dyDescent="0.3">
      <c r="A2155">
        <v>2652</v>
      </c>
      <c r="B2155">
        <v>115862</v>
      </c>
      <c r="C2155">
        <v>1</v>
      </c>
      <c r="D2155">
        <v>0</v>
      </c>
      <c r="E2155">
        <v>41</v>
      </c>
      <c r="F2155">
        <v>0</v>
      </c>
      <c r="G2155">
        <v>0</v>
      </c>
      <c r="H2155">
        <v>1</v>
      </c>
      <c r="I2155">
        <v>0</v>
      </c>
      <c r="J2155">
        <v>0</v>
      </c>
      <c r="K2155">
        <v>1</v>
      </c>
      <c r="L2155">
        <v>0</v>
      </c>
      <c r="M2155">
        <v>0</v>
      </c>
      <c r="N2155">
        <v>0</v>
      </c>
      <c r="O2155" t="str" cm="1">
        <f t="array" ref="O2155">_xlfn.IFS(Table1[[#This Row],[Divorced]]=1, "Divorced", Table1[[#This Row],[Married]]=1, "Married", Table1[[#This Row],[Single]]=1, "Single", Table1[[#This Row],[Together]]=1, "Together", Table1[[#This Row],[Widow]]=1, "Widow")</f>
        <v>Single</v>
      </c>
      <c r="P2155" t="str" cm="1">
        <f t="array" ref="P2155">_xlfn.IFS(Table1[[#This Row],[Basic]]=1, "Basic", Table1[[#This Row],[Graduate]]=1, "Graduate", Table1[[#This Row],[Master]]=1, "Master", Table1[[#This Row],[PhD]]=1, "PhD", AND(Table1[[#This Row],[Basic]]=0, Table1[[#This Row],[Graduate]]=0, Table1[[#This Row],[Master]]=0, Table1[[#This Row],[PhD]]=0), "NA")</f>
        <v>Basic</v>
      </c>
      <c r="Q2155" t="e">
        <f>_xlfn.XLOOKUP(Table1[[#This Row],[ID]], Table2[ID],#REF!, "Not Found", 0)</f>
        <v>#REF!</v>
      </c>
      <c r="R2155" t="e">
        <f>_xlfn.XLOOKUP(Table1[[#This Row],[ID]], Table2[ID],#REF!, "Not Found", 0)</f>
        <v>#REF!</v>
      </c>
      <c r="S2155" s="3">
        <f>_xlfn.XLOOKUP(Table1[[#This Row],[ID]], Table2[ID], Table2[Enrollment], "Not Found", 0)</f>
        <v>43508</v>
      </c>
      <c r="T2155" t="s">
        <v>436</v>
      </c>
    </row>
    <row r="2156" spans="1:20" x14ac:dyDescent="0.3">
      <c r="A2156">
        <v>2271</v>
      </c>
      <c r="B2156">
        <v>115759</v>
      </c>
      <c r="C2156">
        <v>0</v>
      </c>
      <c r="D2156">
        <v>0</v>
      </c>
      <c r="E2156">
        <v>64</v>
      </c>
      <c r="F2156">
        <v>0</v>
      </c>
      <c r="G2156">
        <v>1</v>
      </c>
      <c r="H2156">
        <v>0</v>
      </c>
      <c r="I2156">
        <v>0</v>
      </c>
      <c r="J2156">
        <v>0</v>
      </c>
      <c r="K2156">
        <v>0</v>
      </c>
      <c r="L2156">
        <v>1</v>
      </c>
      <c r="M2156">
        <v>0</v>
      </c>
      <c r="N2156">
        <v>0</v>
      </c>
      <c r="O2156" t="str" cm="1">
        <f t="array" ref="O2156">_xlfn.IFS(Table1[[#This Row],[Divorced]]=1, "Divorced", Table1[[#This Row],[Married]]=1, "Married", Table1[[#This Row],[Single]]=1, "Single", Table1[[#This Row],[Together]]=1, "Together", Table1[[#This Row],[Widow]]=1, "Widow")</f>
        <v>Married</v>
      </c>
      <c r="P2156" t="str" cm="1">
        <f t="array" ref="P2156">_xlfn.IFS(Table1[[#This Row],[Basic]]=1, "Basic", Table1[[#This Row],[Graduate]]=1, "Graduate", Table1[[#This Row],[Master]]=1, "Master", Table1[[#This Row],[PhD]]=1, "PhD", AND(Table1[[#This Row],[Basic]]=0, Table1[[#This Row],[Graduate]]=0, Table1[[#This Row],[Master]]=0, Table1[[#This Row],[PhD]]=0), "NA")</f>
        <v>Graduate</v>
      </c>
      <c r="Q2156" t="e">
        <f>_xlfn.XLOOKUP(Table1[[#This Row],[ID]], Table2[ID],#REF!, "Not Found", 0)</f>
        <v>#REF!</v>
      </c>
      <c r="R2156" t="e">
        <f>_xlfn.XLOOKUP(Table1[[#This Row],[ID]], Table2[ID],#REF!, "Not Found", 0)</f>
        <v>#REF!</v>
      </c>
      <c r="S2156" s="3">
        <f>_xlfn.XLOOKUP(Table1[[#This Row],[ID]], Table2[ID], Table2[Enrollment], "Not Found", 0)</f>
        <v>44106</v>
      </c>
      <c r="T2156" t="s">
        <v>435</v>
      </c>
    </row>
    <row r="2157" spans="1:20" x14ac:dyDescent="0.3">
      <c r="A2157">
        <v>1953</v>
      </c>
      <c r="B2157">
        <v>115716</v>
      </c>
      <c r="C2157">
        <v>1</v>
      </c>
      <c r="D2157">
        <v>0</v>
      </c>
      <c r="E2157">
        <v>32</v>
      </c>
      <c r="F2157">
        <v>0</v>
      </c>
      <c r="G2157">
        <v>1</v>
      </c>
      <c r="H2157">
        <v>0</v>
      </c>
      <c r="I2157">
        <v>0</v>
      </c>
      <c r="J2157">
        <v>0</v>
      </c>
      <c r="K2157">
        <v>0</v>
      </c>
      <c r="L2157">
        <v>0</v>
      </c>
      <c r="M2157">
        <v>0</v>
      </c>
      <c r="N2157">
        <v>0</v>
      </c>
      <c r="O2157" t="str" cm="1">
        <f t="array" ref="O2157">_xlfn.IFS(Table1[[#This Row],[Divorced]]=1, "Divorced", Table1[[#This Row],[Married]]=1, "Married", Table1[[#This Row],[Single]]=1, "Single", Table1[[#This Row],[Together]]=1, "Together", Table1[[#This Row],[Widow]]=1, "Widow")</f>
        <v>Married</v>
      </c>
      <c r="P2157" t="str" cm="1">
        <f t="array" ref="P2157">_xlfn.IFS(Table1[[#This Row],[Basic]]=1, "Basic", Table1[[#This Row],[Graduate]]=1, "Graduate", Table1[[#This Row],[Master]]=1, "Master", Table1[[#This Row],[PhD]]=1, "PhD", AND(Table1[[#This Row],[Basic]]=0, Table1[[#This Row],[Graduate]]=0, Table1[[#This Row],[Master]]=0, Table1[[#This Row],[PhD]]=0), "NA")</f>
        <v>NA</v>
      </c>
      <c r="Q2157" t="e">
        <f>_xlfn.XLOOKUP(Table1[[#This Row],[ID]], Table2[ID],#REF!, "Not Found", 0)</f>
        <v>#REF!</v>
      </c>
      <c r="R2157" t="e">
        <f>_xlfn.XLOOKUP(Table1[[#This Row],[ID]], Table2[ID],#REF!, "Not Found", 0)</f>
        <v>#REF!</v>
      </c>
      <c r="S2157" s="3" t="str">
        <f>_xlfn.XLOOKUP(Table1[[#This Row],[ID]], Table2[ID], Table2[Enrollment], "Not Found", 0)</f>
        <v>4/19/2019</v>
      </c>
      <c r="T2157" t="s">
        <v>435</v>
      </c>
    </row>
    <row r="2158" spans="1:20" x14ac:dyDescent="0.3">
      <c r="A2158">
        <v>1381</v>
      </c>
      <c r="B2158">
        <v>115345</v>
      </c>
      <c r="C2158">
        <v>1</v>
      </c>
      <c r="D2158">
        <v>0</v>
      </c>
      <c r="E2158">
        <v>36</v>
      </c>
      <c r="F2158">
        <v>0</v>
      </c>
      <c r="G2158">
        <v>0</v>
      </c>
      <c r="H2158">
        <v>0</v>
      </c>
      <c r="I2158">
        <v>1</v>
      </c>
      <c r="J2158">
        <v>0</v>
      </c>
      <c r="K2158">
        <v>0</v>
      </c>
      <c r="L2158">
        <v>1</v>
      </c>
      <c r="M2158">
        <v>0</v>
      </c>
      <c r="N2158">
        <v>0</v>
      </c>
      <c r="O2158" t="str" cm="1">
        <f t="array" ref="O2158">_xlfn.IFS(Table1[[#This Row],[Divorced]]=1, "Divorced", Table1[[#This Row],[Married]]=1, "Married", Table1[[#This Row],[Single]]=1, "Single", Table1[[#This Row],[Together]]=1, "Together", Table1[[#This Row],[Widow]]=1, "Widow")</f>
        <v>Together</v>
      </c>
      <c r="P2158" t="str" cm="1">
        <f t="array" ref="P2158">_xlfn.IFS(Table1[[#This Row],[Basic]]=1, "Basic", Table1[[#This Row],[Graduate]]=1, "Graduate", Table1[[#This Row],[Master]]=1, "Master", Table1[[#This Row],[PhD]]=1, "PhD", AND(Table1[[#This Row],[Basic]]=0, Table1[[#This Row],[Graduate]]=0, Table1[[#This Row],[Master]]=0, Table1[[#This Row],[PhD]]=0), "NA")</f>
        <v>Graduate</v>
      </c>
      <c r="Q2158" t="e">
        <f>_xlfn.XLOOKUP(Table1[[#This Row],[ID]], Table2[ID],#REF!, "Not Found", 0)</f>
        <v>#REF!</v>
      </c>
      <c r="R2158" t="e">
        <f>_xlfn.XLOOKUP(Table1[[#This Row],[ID]], Table2[ID],#REF!, "Not Found", 0)</f>
        <v>#REF!</v>
      </c>
      <c r="S2158" s="3">
        <f>_xlfn.XLOOKUP(Table1[[#This Row],[ID]], Table2[ID], Table2[Enrollment], "Not Found", 0)</f>
        <v>43587</v>
      </c>
      <c r="T2158" t="s">
        <v>437</v>
      </c>
    </row>
    <row r="2159" spans="1:20" x14ac:dyDescent="0.3">
      <c r="A2159">
        <v>1542</v>
      </c>
      <c r="B2159">
        <v>115315</v>
      </c>
      <c r="C2159">
        <v>0</v>
      </c>
      <c r="D2159">
        <v>0</v>
      </c>
      <c r="E2159">
        <v>50</v>
      </c>
      <c r="F2159">
        <v>0</v>
      </c>
      <c r="G2159">
        <v>1</v>
      </c>
      <c r="H2159">
        <v>0</v>
      </c>
      <c r="I2159">
        <v>0</v>
      </c>
      <c r="J2159">
        <v>0</v>
      </c>
      <c r="K2159">
        <v>0</v>
      </c>
      <c r="L2159">
        <v>0</v>
      </c>
      <c r="M2159">
        <v>0</v>
      </c>
      <c r="N2159">
        <v>0</v>
      </c>
      <c r="O2159" t="str" cm="1">
        <f t="array" ref="O2159">_xlfn.IFS(Table1[[#This Row],[Divorced]]=1, "Divorced", Table1[[#This Row],[Married]]=1, "Married", Table1[[#This Row],[Single]]=1, "Single", Table1[[#This Row],[Together]]=1, "Together", Table1[[#This Row],[Widow]]=1, "Widow")</f>
        <v>Married</v>
      </c>
      <c r="P2159" t="str" cm="1">
        <f t="array" ref="P2159">_xlfn.IFS(Table1[[#This Row],[Basic]]=1, "Basic", Table1[[#This Row],[Graduate]]=1, "Graduate", Table1[[#This Row],[Master]]=1, "Master", Table1[[#This Row],[PhD]]=1, "PhD", AND(Table1[[#This Row],[Basic]]=0, Table1[[#This Row],[Graduate]]=0, Table1[[#This Row],[Master]]=0, Table1[[#This Row],[PhD]]=0), "NA")</f>
        <v>NA</v>
      </c>
      <c r="Q2159" t="e">
        <f>_xlfn.XLOOKUP(Table1[[#This Row],[ID]], Table2[ID],#REF!, "Not Found", 0)</f>
        <v>#REF!</v>
      </c>
      <c r="R2159" t="e">
        <f>_xlfn.XLOOKUP(Table1[[#This Row],[ID]], Table2[ID],#REF!, "Not Found", 0)</f>
        <v>#REF!</v>
      </c>
      <c r="S2159" s="3">
        <f>_xlfn.XLOOKUP(Table1[[#This Row],[ID]], Table2[ID], Table2[Enrollment], "Not Found", 0)</f>
        <v>44044</v>
      </c>
      <c r="T2159" t="s">
        <v>436</v>
      </c>
    </row>
    <row r="2160" spans="1:20" x14ac:dyDescent="0.3">
      <c r="A2160">
        <v>2088</v>
      </c>
      <c r="B2160">
        <v>115315</v>
      </c>
      <c r="C2160">
        <v>0</v>
      </c>
      <c r="D2160">
        <v>0</v>
      </c>
      <c r="E2160">
        <v>50</v>
      </c>
      <c r="F2160">
        <v>0</v>
      </c>
      <c r="G2160">
        <v>1</v>
      </c>
      <c r="H2160">
        <v>0</v>
      </c>
      <c r="I2160">
        <v>0</v>
      </c>
      <c r="J2160">
        <v>0</v>
      </c>
      <c r="K2160">
        <v>0</v>
      </c>
      <c r="L2160">
        <v>0</v>
      </c>
      <c r="M2160">
        <v>0</v>
      </c>
      <c r="N2160">
        <v>0</v>
      </c>
      <c r="O2160" t="str" cm="1">
        <f t="array" ref="O2160">_xlfn.IFS(Table1[[#This Row],[Divorced]]=1, "Divorced", Table1[[#This Row],[Married]]=1, "Married", Table1[[#This Row],[Single]]=1, "Single", Table1[[#This Row],[Together]]=1, "Together", Table1[[#This Row],[Widow]]=1, "Widow")</f>
        <v>Married</v>
      </c>
      <c r="P2160" t="str" cm="1">
        <f t="array" ref="P2160">_xlfn.IFS(Table1[[#This Row],[Basic]]=1, "Basic", Table1[[#This Row],[Graduate]]=1, "Graduate", Table1[[#This Row],[Master]]=1, "Master", Table1[[#This Row],[PhD]]=1, "PhD", AND(Table1[[#This Row],[Basic]]=0, Table1[[#This Row],[Graduate]]=0, Table1[[#This Row],[Master]]=0, Table1[[#This Row],[PhD]]=0), "NA")</f>
        <v>NA</v>
      </c>
      <c r="Q2160" t="e">
        <f>_xlfn.XLOOKUP(Table1[[#This Row],[ID]], Table2[ID],#REF!, "Not Found", 0)</f>
        <v>#REF!</v>
      </c>
      <c r="R2160" t="e">
        <f>_xlfn.XLOOKUP(Table1[[#This Row],[ID]], Table2[ID],#REF!, "Not Found", 0)</f>
        <v>#REF!</v>
      </c>
      <c r="S2160" s="3">
        <f>_xlfn.XLOOKUP(Table1[[#This Row],[ID]], Table2[ID], Table2[Enrollment], "Not Found", 0)</f>
        <v>44044</v>
      </c>
      <c r="T2160" t="s">
        <v>436</v>
      </c>
    </row>
    <row r="2161" spans="1:20" x14ac:dyDescent="0.3">
      <c r="A2161">
        <v>1247</v>
      </c>
      <c r="B2161">
        <v>115287</v>
      </c>
      <c r="C2161">
        <v>1</v>
      </c>
      <c r="D2161">
        <v>0</v>
      </c>
      <c r="E2161">
        <v>41</v>
      </c>
      <c r="F2161">
        <v>1</v>
      </c>
      <c r="G2161">
        <v>0</v>
      </c>
      <c r="H2161">
        <v>0</v>
      </c>
      <c r="I2161">
        <v>0</v>
      </c>
      <c r="J2161">
        <v>0</v>
      </c>
      <c r="K2161">
        <v>0</v>
      </c>
      <c r="L2161">
        <v>1</v>
      </c>
      <c r="M2161">
        <v>0</v>
      </c>
      <c r="N2161">
        <v>0</v>
      </c>
      <c r="O2161" t="str" cm="1">
        <f t="array" ref="O2161">_xlfn.IFS(Table1[[#This Row],[Divorced]]=1, "Divorced", Table1[[#This Row],[Married]]=1, "Married", Table1[[#This Row],[Single]]=1, "Single", Table1[[#This Row],[Together]]=1, "Together", Table1[[#This Row],[Widow]]=1, "Widow")</f>
        <v>Divorced</v>
      </c>
      <c r="P2161" t="str" cm="1">
        <f t="array" ref="P2161">_xlfn.IFS(Table1[[#This Row],[Basic]]=1, "Basic", Table1[[#This Row],[Graduate]]=1, "Graduate", Table1[[#This Row],[Master]]=1, "Master", Table1[[#This Row],[PhD]]=1, "PhD", AND(Table1[[#This Row],[Basic]]=0, Table1[[#This Row],[Graduate]]=0, Table1[[#This Row],[Master]]=0, Table1[[#This Row],[PhD]]=0), "NA")</f>
        <v>Graduate</v>
      </c>
      <c r="Q2161" t="e">
        <f>_xlfn.XLOOKUP(Table1[[#This Row],[ID]], Table2[ID],#REF!, "Not Found", 0)</f>
        <v>#REF!</v>
      </c>
      <c r="R2161" t="e">
        <f>_xlfn.XLOOKUP(Table1[[#This Row],[ID]], Table2[ID],#REF!, "Not Found", 0)</f>
        <v>#REF!</v>
      </c>
      <c r="S2161" s="3" t="str">
        <f>_xlfn.XLOOKUP(Table1[[#This Row],[ID]], Table2[ID], Table2[Enrollment], "Not Found", 0)</f>
        <v>3/17/2019</v>
      </c>
      <c r="T2161" t="s">
        <v>434</v>
      </c>
    </row>
    <row r="2162" spans="1:20" x14ac:dyDescent="0.3">
      <c r="A2162">
        <v>2184</v>
      </c>
      <c r="B2162">
        <v>115287</v>
      </c>
      <c r="C2162">
        <v>1</v>
      </c>
      <c r="D2162">
        <v>0</v>
      </c>
      <c r="E2162">
        <v>41</v>
      </c>
      <c r="F2162">
        <v>1</v>
      </c>
      <c r="G2162">
        <v>0</v>
      </c>
      <c r="H2162">
        <v>0</v>
      </c>
      <c r="I2162">
        <v>0</v>
      </c>
      <c r="J2162">
        <v>0</v>
      </c>
      <c r="K2162">
        <v>0</v>
      </c>
      <c r="L2162">
        <v>1</v>
      </c>
      <c r="M2162">
        <v>0</v>
      </c>
      <c r="N2162">
        <v>0</v>
      </c>
      <c r="O2162" t="str" cm="1">
        <f t="array" ref="O2162">_xlfn.IFS(Table1[[#This Row],[Divorced]]=1, "Divorced", Table1[[#This Row],[Married]]=1, "Married", Table1[[#This Row],[Single]]=1, "Single", Table1[[#This Row],[Together]]=1, "Together", Table1[[#This Row],[Widow]]=1, "Widow")</f>
        <v>Divorced</v>
      </c>
      <c r="P2162" t="str" cm="1">
        <f t="array" ref="P2162">_xlfn.IFS(Table1[[#This Row],[Basic]]=1, "Basic", Table1[[#This Row],[Graduate]]=1, "Graduate", Table1[[#This Row],[Master]]=1, "Master", Table1[[#This Row],[PhD]]=1, "PhD", AND(Table1[[#This Row],[Basic]]=0, Table1[[#This Row],[Graduate]]=0, Table1[[#This Row],[Master]]=0, Table1[[#This Row],[PhD]]=0), "NA")</f>
        <v>Graduate</v>
      </c>
      <c r="Q2162" t="e">
        <f>_xlfn.XLOOKUP(Table1[[#This Row],[ID]], Table2[ID],#REF!, "Not Found", 0)</f>
        <v>#REF!</v>
      </c>
      <c r="R2162" t="e">
        <f>_xlfn.XLOOKUP(Table1[[#This Row],[ID]], Table2[ID],#REF!, "Not Found", 0)</f>
        <v>#REF!</v>
      </c>
      <c r="S2162" s="3" t="str">
        <f>_xlfn.XLOOKUP(Table1[[#This Row],[ID]], Table2[ID], Table2[Enrollment], "Not Found", 0)</f>
        <v>3/17/2019</v>
      </c>
      <c r="T2162" t="s">
        <v>436</v>
      </c>
    </row>
    <row r="2163" spans="1:20" x14ac:dyDescent="0.3">
      <c r="A2163">
        <v>3132</v>
      </c>
      <c r="B2163">
        <v>115253</v>
      </c>
      <c r="C2163">
        <v>1</v>
      </c>
      <c r="D2163">
        <v>0</v>
      </c>
      <c r="E2163">
        <v>28</v>
      </c>
      <c r="F2163">
        <v>0</v>
      </c>
      <c r="G2163">
        <v>0</v>
      </c>
      <c r="H2163">
        <v>1</v>
      </c>
      <c r="I2163">
        <v>0</v>
      </c>
      <c r="J2163">
        <v>0</v>
      </c>
      <c r="K2163">
        <v>1</v>
      </c>
      <c r="L2163">
        <v>0</v>
      </c>
      <c r="M2163">
        <v>0</v>
      </c>
      <c r="N2163">
        <v>0</v>
      </c>
      <c r="O2163" t="str" cm="1">
        <f t="array" ref="O2163">_xlfn.IFS(Table1[[#This Row],[Divorced]]=1, "Divorced", Table1[[#This Row],[Married]]=1, "Married", Table1[[#This Row],[Single]]=1, "Single", Table1[[#This Row],[Together]]=1, "Together", Table1[[#This Row],[Widow]]=1, "Widow")</f>
        <v>Single</v>
      </c>
      <c r="P2163" t="str" cm="1">
        <f t="array" ref="P2163">_xlfn.IFS(Table1[[#This Row],[Basic]]=1, "Basic", Table1[[#This Row],[Graduate]]=1, "Graduate", Table1[[#This Row],[Master]]=1, "Master", Table1[[#This Row],[PhD]]=1, "PhD", AND(Table1[[#This Row],[Basic]]=0, Table1[[#This Row],[Graduate]]=0, Table1[[#This Row],[Master]]=0, Table1[[#This Row],[PhD]]=0), "NA")</f>
        <v>Basic</v>
      </c>
      <c r="Q2163" t="e">
        <f>_xlfn.XLOOKUP(Table1[[#This Row],[ID]], Table2[ID],#REF!, "Not Found", 0)</f>
        <v>#REF!</v>
      </c>
      <c r="R2163" t="e">
        <f>_xlfn.XLOOKUP(Table1[[#This Row],[ID]], Table2[ID],#REF!, "Not Found", 0)</f>
        <v>#REF!</v>
      </c>
      <c r="S2163" s="3">
        <f>_xlfn.XLOOKUP(Table1[[#This Row],[ID]], Table2[ID], Table2[Enrollment], "Not Found", 0)</f>
        <v>43894</v>
      </c>
      <c r="T2163" t="s">
        <v>436</v>
      </c>
    </row>
    <row r="2164" spans="1:20" x14ac:dyDescent="0.3">
      <c r="A2164">
        <v>1830</v>
      </c>
      <c r="B2164">
        <v>115072</v>
      </c>
      <c r="C2164">
        <v>2</v>
      </c>
      <c r="D2164">
        <v>0</v>
      </c>
      <c r="E2164">
        <v>40</v>
      </c>
      <c r="F2164">
        <v>0</v>
      </c>
      <c r="G2164">
        <v>1</v>
      </c>
      <c r="H2164">
        <v>0</v>
      </c>
      <c r="I2164">
        <v>0</v>
      </c>
      <c r="J2164">
        <v>0</v>
      </c>
      <c r="K2164">
        <v>0</v>
      </c>
      <c r="L2164">
        <v>1</v>
      </c>
      <c r="M2164">
        <v>0</v>
      </c>
      <c r="N2164">
        <v>0</v>
      </c>
      <c r="O2164" t="str" cm="1">
        <f t="array" ref="O2164">_xlfn.IFS(Table1[[#This Row],[Divorced]]=1, "Divorced", Table1[[#This Row],[Married]]=1, "Married", Table1[[#This Row],[Single]]=1, "Single", Table1[[#This Row],[Together]]=1, "Together", Table1[[#This Row],[Widow]]=1, "Widow")</f>
        <v>Married</v>
      </c>
      <c r="P2164" t="str" cm="1">
        <f t="array" ref="P2164">_xlfn.IFS(Table1[[#This Row],[Basic]]=1, "Basic", Table1[[#This Row],[Graduate]]=1, "Graduate", Table1[[#This Row],[Master]]=1, "Master", Table1[[#This Row],[PhD]]=1, "PhD", AND(Table1[[#This Row],[Basic]]=0, Table1[[#This Row],[Graduate]]=0, Table1[[#This Row],[Master]]=0, Table1[[#This Row],[PhD]]=0), "NA")</f>
        <v>Graduate</v>
      </c>
      <c r="Q2164" t="e">
        <f>_xlfn.XLOOKUP(Table1[[#This Row],[ID]], Table2[ID],#REF!, "Not Found", 0)</f>
        <v>#REF!</v>
      </c>
      <c r="R2164" t="e">
        <f>_xlfn.XLOOKUP(Table1[[#This Row],[ID]], Table2[ID],#REF!, "Not Found", 0)</f>
        <v>#REF!</v>
      </c>
      <c r="S2164" s="3" t="str">
        <f>_xlfn.XLOOKUP(Table1[[#This Row],[ID]], Table2[ID], Table2[Enrollment], "Not Found", 0)</f>
        <v>10/15/2019</v>
      </c>
      <c r="T2164" t="s">
        <v>436</v>
      </c>
    </row>
    <row r="2165" spans="1:20" x14ac:dyDescent="0.3">
      <c r="A2165">
        <v>2164</v>
      </c>
      <c r="B2165">
        <v>115056</v>
      </c>
      <c r="C2165">
        <v>1</v>
      </c>
      <c r="D2165">
        <v>1</v>
      </c>
      <c r="E2165">
        <v>62</v>
      </c>
      <c r="F2165">
        <v>0</v>
      </c>
      <c r="G2165">
        <v>0</v>
      </c>
      <c r="H2165">
        <v>1</v>
      </c>
      <c r="I2165">
        <v>0</v>
      </c>
      <c r="J2165">
        <v>0</v>
      </c>
      <c r="K2165">
        <v>1</v>
      </c>
      <c r="L2165">
        <v>0</v>
      </c>
      <c r="M2165">
        <v>0</v>
      </c>
      <c r="N2165">
        <v>0</v>
      </c>
      <c r="O2165" t="str" cm="1">
        <f t="array" ref="O2165">_xlfn.IFS(Table1[[#This Row],[Divorced]]=1, "Divorced", Table1[[#This Row],[Married]]=1, "Married", Table1[[#This Row],[Single]]=1, "Single", Table1[[#This Row],[Together]]=1, "Together", Table1[[#This Row],[Widow]]=1, "Widow")</f>
        <v>Single</v>
      </c>
      <c r="P2165" t="str" cm="1">
        <f t="array" ref="P2165">_xlfn.IFS(Table1[[#This Row],[Basic]]=1, "Basic", Table1[[#This Row],[Graduate]]=1, "Graduate", Table1[[#This Row],[Master]]=1, "Master", Table1[[#This Row],[PhD]]=1, "PhD", AND(Table1[[#This Row],[Basic]]=0, Table1[[#This Row],[Graduate]]=0, Table1[[#This Row],[Master]]=0, Table1[[#This Row],[PhD]]=0), "NA")</f>
        <v>Basic</v>
      </c>
      <c r="Q2165" t="e">
        <f>_xlfn.XLOOKUP(Table1[[#This Row],[ID]], Table2[ID],#REF!, "Not Found", 0)</f>
        <v>#REF!</v>
      </c>
      <c r="R2165" t="e">
        <f>_xlfn.XLOOKUP(Table1[[#This Row],[ID]], Table2[ID],#REF!, "Not Found", 0)</f>
        <v>#REF!</v>
      </c>
      <c r="S2165" s="3">
        <f>_xlfn.XLOOKUP(Table1[[#This Row],[ID]], Table2[ID], Table2[Enrollment], "Not Found", 0)</f>
        <v>43687</v>
      </c>
      <c r="T2165" t="s">
        <v>439</v>
      </c>
    </row>
    <row r="2166" spans="1:20" x14ac:dyDescent="0.3">
      <c r="A2166">
        <v>2008</v>
      </c>
      <c r="B2166">
        <v>115038</v>
      </c>
      <c r="C2166">
        <v>1</v>
      </c>
      <c r="D2166">
        <v>0</v>
      </c>
      <c r="E2166">
        <v>33</v>
      </c>
      <c r="F2166">
        <v>0</v>
      </c>
      <c r="G2166">
        <v>0</v>
      </c>
      <c r="H2166">
        <v>1</v>
      </c>
      <c r="I2166">
        <v>0</v>
      </c>
      <c r="J2166">
        <v>0</v>
      </c>
      <c r="K2166">
        <v>1</v>
      </c>
      <c r="L2166">
        <v>0</v>
      </c>
      <c r="M2166">
        <v>0</v>
      </c>
      <c r="N2166">
        <v>0</v>
      </c>
      <c r="O2166" t="str" cm="1">
        <f t="array" ref="O2166">_xlfn.IFS(Table1[[#This Row],[Divorced]]=1, "Divorced", Table1[[#This Row],[Married]]=1, "Married", Table1[[#This Row],[Single]]=1, "Single", Table1[[#This Row],[Together]]=1, "Together", Table1[[#This Row],[Widow]]=1, "Widow")</f>
        <v>Single</v>
      </c>
      <c r="P2166" t="str" cm="1">
        <f t="array" ref="P2166">_xlfn.IFS(Table1[[#This Row],[Basic]]=1, "Basic", Table1[[#This Row],[Graduate]]=1, "Graduate", Table1[[#This Row],[Master]]=1, "Master", Table1[[#This Row],[PhD]]=1, "PhD", AND(Table1[[#This Row],[Basic]]=0, Table1[[#This Row],[Graduate]]=0, Table1[[#This Row],[Master]]=0, Table1[[#This Row],[PhD]]=0), "NA")</f>
        <v>Basic</v>
      </c>
      <c r="Q2166" t="e">
        <f>_xlfn.XLOOKUP(Table1[[#This Row],[ID]], Table2[ID],#REF!, "Not Found", 0)</f>
        <v>#REF!</v>
      </c>
      <c r="R2166" t="e">
        <f>_xlfn.XLOOKUP(Table1[[#This Row],[ID]], Table2[ID],#REF!, "Not Found", 0)</f>
        <v>#REF!</v>
      </c>
      <c r="S2166" s="3">
        <f>_xlfn.XLOOKUP(Table1[[#This Row],[ID]], Table2[ID], Table2[Enrollment], "Not Found", 0)</f>
        <v>43623</v>
      </c>
      <c r="T2166" t="s">
        <v>439</v>
      </c>
    </row>
    <row r="2167" spans="1:20" x14ac:dyDescent="0.3">
      <c r="A2167">
        <v>1221</v>
      </c>
      <c r="B2167">
        <v>115033</v>
      </c>
      <c r="C2167">
        <v>0</v>
      </c>
      <c r="D2167">
        <v>0</v>
      </c>
      <c r="E2167">
        <v>69</v>
      </c>
      <c r="F2167">
        <v>0</v>
      </c>
      <c r="G2167">
        <v>0</v>
      </c>
      <c r="H2167">
        <v>1</v>
      </c>
      <c r="I2167">
        <v>0</v>
      </c>
      <c r="J2167">
        <v>0</v>
      </c>
      <c r="K2167">
        <v>0</v>
      </c>
      <c r="L2167">
        <v>1</v>
      </c>
      <c r="M2167">
        <v>0</v>
      </c>
      <c r="N2167">
        <v>0</v>
      </c>
      <c r="O2167" t="str" cm="1">
        <f t="array" ref="O2167">_xlfn.IFS(Table1[[#This Row],[Divorced]]=1, "Divorced", Table1[[#This Row],[Married]]=1, "Married", Table1[[#This Row],[Single]]=1, "Single", Table1[[#This Row],[Together]]=1, "Together", Table1[[#This Row],[Widow]]=1, "Widow")</f>
        <v>Single</v>
      </c>
      <c r="P2167" t="str" cm="1">
        <f t="array" ref="P2167">_xlfn.IFS(Table1[[#This Row],[Basic]]=1, "Basic", Table1[[#This Row],[Graduate]]=1, "Graduate", Table1[[#This Row],[Master]]=1, "Master", Table1[[#This Row],[PhD]]=1, "PhD", AND(Table1[[#This Row],[Basic]]=0, Table1[[#This Row],[Graduate]]=0, Table1[[#This Row],[Master]]=0, Table1[[#This Row],[PhD]]=0), "NA")</f>
        <v>Graduate</v>
      </c>
      <c r="Q2167" t="e">
        <f>_xlfn.XLOOKUP(Table1[[#This Row],[ID]], Table2[ID],#REF!, "Not Found", 0)</f>
        <v>#REF!</v>
      </c>
      <c r="R2167" t="e">
        <f>_xlfn.XLOOKUP(Table1[[#This Row],[ID]], Table2[ID],#REF!, "Not Found", 0)</f>
        <v>#REF!</v>
      </c>
      <c r="S2167" s="3" t="str">
        <f>_xlfn.XLOOKUP(Table1[[#This Row],[ID]], Table2[ID], Table2[Enrollment], "Not Found", 0)</f>
        <v>9/20/2020</v>
      </c>
      <c r="T2167" t="s">
        <v>435</v>
      </c>
    </row>
    <row r="2168" spans="1:20" x14ac:dyDescent="0.3">
      <c r="A2168">
        <v>3176</v>
      </c>
      <c r="B2168">
        <v>114918</v>
      </c>
      <c r="C2168">
        <v>0</v>
      </c>
      <c r="D2168">
        <v>1</v>
      </c>
      <c r="E2168">
        <v>57</v>
      </c>
      <c r="F2168">
        <v>0</v>
      </c>
      <c r="G2168">
        <v>0</v>
      </c>
      <c r="H2168">
        <v>0</v>
      </c>
      <c r="I2168">
        <v>1</v>
      </c>
      <c r="J2168">
        <v>0</v>
      </c>
      <c r="K2168">
        <v>1</v>
      </c>
      <c r="L2168">
        <v>0</v>
      </c>
      <c r="M2168">
        <v>0</v>
      </c>
      <c r="N2168">
        <v>0</v>
      </c>
      <c r="O2168" t="str" cm="1">
        <f t="array" ref="O2168">_xlfn.IFS(Table1[[#This Row],[Divorced]]=1, "Divorced", Table1[[#This Row],[Married]]=1, "Married", Table1[[#This Row],[Single]]=1, "Single", Table1[[#This Row],[Together]]=1, "Together", Table1[[#This Row],[Widow]]=1, "Widow")</f>
        <v>Together</v>
      </c>
      <c r="P2168" t="str" cm="1">
        <f t="array" ref="P2168">_xlfn.IFS(Table1[[#This Row],[Basic]]=1, "Basic", Table1[[#This Row],[Graduate]]=1, "Graduate", Table1[[#This Row],[Master]]=1, "Master", Table1[[#This Row],[PhD]]=1, "PhD", AND(Table1[[#This Row],[Basic]]=0, Table1[[#This Row],[Graduate]]=0, Table1[[#This Row],[Master]]=0, Table1[[#This Row],[PhD]]=0), "NA")</f>
        <v>Basic</v>
      </c>
      <c r="Q2168" t="e">
        <f>_xlfn.XLOOKUP(Table1[[#This Row],[ID]], Table2[ID],#REF!, "Not Found", 0)</f>
        <v>#REF!</v>
      </c>
      <c r="R2168" t="e">
        <f>_xlfn.XLOOKUP(Table1[[#This Row],[ID]], Table2[ID],#REF!, "Not Found", 0)</f>
        <v>#REF!</v>
      </c>
      <c r="S2168" s="3" t="str">
        <f>_xlfn.XLOOKUP(Table1[[#This Row],[ID]], Table2[ID], Table2[Enrollment], "Not Found", 0)</f>
        <v>5/14/2019</v>
      </c>
      <c r="T2168" t="s">
        <v>438</v>
      </c>
    </row>
    <row r="2169" spans="1:20" x14ac:dyDescent="0.3">
      <c r="A2169">
        <v>1925</v>
      </c>
      <c r="B2169">
        <v>114906</v>
      </c>
      <c r="C2169">
        <v>0</v>
      </c>
      <c r="D2169">
        <v>0</v>
      </c>
      <c r="E2169">
        <v>34</v>
      </c>
      <c r="F2169">
        <v>0</v>
      </c>
      <c r="G2169">
        <v>0</v>
      </c>
      <c r="H2169">
        <v>1</v>
      </c>
      <c r="I2169">
        <v>0</v>
      </c>
      <c r="J2169">
        <v>0</v>
      </c>
      <c r="K2169">
        <v>1</v>
      </c>
      <c r="L2169">
        <v>0</v>
      </c>
      <c r="M2169">
        <v>0</v>
      </c>
      <c r="N2169">
        <v>0</v>
      </c>
      <c r="O2169" t="str" cm="1">
        <f t="array" ref="O2169">_xlfn.IFS(Table1[[#This Row],[Divorced]]=1, "Divorced", Table1[[#This Row],[Married]]=1, "Married", Table1[[#This Row],[Single]]=1, "Single", Table1[[#This Row],[Together]]=1, "Together", Table1[[#This Row],[Widow]]=1, "Widow")</f>
        <v>Single</v>
      </c>
      <c r="P2169" t="str" cm="1">
        <f t="array" ref="P2169">_xlfn.IFS(Table1[[#This Row],[Basic]]=1, "Basic", Table1[[#This Row],[Graduate]]=1, "Graduate", Table1[[#This Row],[Master]]=1, "Master", Table1[[#This Row],[PhD]]=1, "PhD", AND(Table1[[#This Row],[Basic]]=0, Table1[[#This Row],[Graduate]]=0, Table1[[#This Row],[Master]]=0, Table1[[#This Row],[PhD]]=0), "NA")</f>
        <v>Basic</v>
      </c>
      <c r="Q2169" t="e">
        <f>_xlfn.XLOOKUP(Table1[[#This Row],[ID]], Table2[ID],#REF!, "Not Found", 0)</f>
        <v>#REF!</v>
      </c>
      <c r="R2169" t="e">
        <f>_xlfn.XLOOKUP(Table1[[#This Row],[ID]], Table2[ID],#REF!, "Not Found", 0)</f>
        <v>#REF!</v>
      </c>
      <c r="S2169" s="3" t="str">
        <f>_xlfn.XLOOKUP(Table1[[#This Row],[ID]], Table2[ID], Table2[Enrollment], "Not Found", 0)</f>
        <v>5/29/2019</v>
      </c>
      <c r="T2169" t="s">
        <v>434</v>
      </c>
    </row>
    <row r="2170" spans="1:20" x14ac:dyDescent="0.3">
      <c r="A2170">
        <v>1311</v>
      </c>
      <c r="B2170">
        <v>114849</v>
      </c>
      <c r="C2170">
        <v>1</v>
      </c>
      <c r="D2170">
        <v>0</v>
      </c>
      <c r="E2170">
        <v>44</v>
      </c>
      <c r="F2170">
        <v>1</v>
      </c>
      <c r="G2170">
        <v>0</v>
      </c>
      <c r="H2170">
        <v>0</v>
      </c>
      <c r="I2170">
        <v>0</v>
      </c>
      <c r="J2170">
        <v>0</v>
      </c>
      <c r="K2170">
        <v>0</v>
      </c>
      <c r="L2170">
        <v>0</v>
      </c>
      <c r="M2170">
        <v>0</v>
      </c>
      <c r="N2170">
        <v>1</v>
      </c>
      <c r="O2170" t="str" cm="1">
        <f t="array" ref="O2170">_xlfn.IFS(Table1[[#This Row],[Divorced]]=1, "Divorced", Table1[[#This Row],[Married]]=1, "Married", Table1[[#This Row],[Single]]=1, "Single", Table1[[#This Row],[Together]]=1, "Together", Table1[[#This Row],[Widow]]=1, "Widow")</f>
        <v>Divorced</v>
      </c>
      <c r="P2170" t="str" cm="1">
        <f t="array" ref="P2170">_xlfn.IFS(Table1[[#This Row],[Basic]]=1, "Basic", Table1[[#This Row],[Graduate]]=1, "Graduate", Table1[[#This Row],[Master]]=1, "Master", Table1[[#This Row],[PhD]]=1, "PhD", AND(Table1[[#This Row],[Basic]]=0, Table1[[#This Row],[Graduate]]=0, Table1[[#This Row],[Master]]=0, Table1[[#This Row],[PhD]]=0), "NA")</f>
        <v>PhD</v>
      </c>
      <c r="Q2170" t="e">
        <f>_xlfn.XLOOKUP(Table1[[#This Row],[ID]], Table2[ID],#REF!, "Not Found", 0)</f>
        <v>#REF!</v>
      </c>
      <c r="R2170" t="e">
        <f>_xlfn.XLOOKUP(Table1[[#This Row],[ID]], Table2[ID],#REF!, "Not Found", 0)</f>
        <v>#REF!</v>
      </c>
      <c r="S2170" s="3">
        <f>_xlfn.XLOOKUP(Table1[[#This Row],[ID]], Table2[ID], Table2[Enrollment], "Not Found", 0)</f>
        <v>43658</v>
      </c>
      <c r="T2170" t="s">
        <v>435</v>
      </c>
    </row>
    <row r="2171" spans="1:20" x14ac:dyDescent="0.3">
      <c r="A2171">
        <v>3071</v>
      </c>
      <c r="B2171">
        <v>114796</v>
      </c>
      <c r="C2171">
        <v>1</v>
      </c>
      <c r="D2171">
        <v>0</v>
      </c>
      <c r="E2171">
        <v>36</v>
      </c>
      <c r="F2171">
        <v>0</v>
      </c>
      <c r="G2171">
        <v>1</v>
      </c>
      <c r="H2171">
        <v>0</v>
      </c>
      <c r="I2171">
        <v>0</v>
      </c>
      <c r="J2171">
        <v>0</v>
      </c>
      <c r="K2171">
        <v>0</v>
      </c>
      <c r="L2171">
        <v>0</v>
      </c>
      <c r="M2171">
        <v>0</v>
      </c>
      <c r="N2171">
        <v>0</v>
      </c>
      <c r="O2171" t="str" cm="1">
        <f t="array" ref="O2171">_xlfn.IFS(Table1[[#This Row],[Divorced]]=1, "Divorced", Table1[[#This Row],[Married]]=1, "Married", Table1[[#This Row],[Single]]=1, "Single", Table1[[#This Row],[Together]]=1, "Together", Table1[[#This Row],[Widow]]=1, "Widow")</f>
        <v>Married</v>
      </c>
      <c r="P2171" t="str" cm="1">
        <f t="array" ref="P2171">_xlfn.IFS(Table1[[#This Row],[Basic]]=1, "Basic", Table1[[#This Row],[Graduate]]=1, "Graduate", Table1[[#This Row],[Master]]=1, "Master", Table1[[#This Row],[PhD]]=1, "PhD", AND(Table1[[#This Row],[Basic]]=0, Table1[[#This Row],[Graduate]]=0, Table1[[#This Row],[Master]]=0, Table1[[#This Row],[PhD]]=0), "NA")</f>
        <v>NA</v>
      </c>
      <c r="Q2171" t="e">
        <f>_xlfn.XLOOKUP(Table1[[#This Row],[ID]], Table2[ID],#REF!, "Not Found", 0)</f>
        <v>#REF!</v>
      </c>
      <c r="R2171" t="e">
        <f>_xlfn.XLOOKUP(Table1[[#This Row],[ID]], Table2[ID],#REF!, "Not Found", 0)</f>
        <v>#REF!</v>
      </c>
      <c r="S2171" s="3" t="str">
        <f>_xlfn.XLOOKUP(Table1[[#This Row],[ID]], Table2[ID], Table2[Enrollment], "Not Found", 0)</f>
        <v>2/22/2019</v>
      </c>
      <c r="T2171" t="s">
        <v>434</v>
      </c>
    </row>
    <row r="2172" spans="1:20" x14ac:dyDescent="0.3">
      <c r="A2172">
        <v>1646</v>
      </c>
      <c r="B2172">
        <v>114661</v>
      </c>
      <c r="C2172">
        <v>0</v>
      </c>
      <c r="D2172">
        <v>0</v>
      </c>
      <c r="E2172">
        <v>64</v>
      </c>
      <c r="F2172">
        <v>0</v>
      </c>
      <c r="G2172">
        <v>0</v>
      </c>
      <c r="H2172">
        <v>0</v>
      </c>
      <c r="I2172">
        <v>1</v>
      </c>
      <c r="J2172">
        <v>0</v>
      </c>
      <c r="K2172">
        <v>0</v>
      </c>
      <c r="L2172">
        <v>0</v>
      </c>
      <c r="M2172">
        <v>1</v>
      </c>
      <c r="N2172">
        <v>0</v>
      </c>
      <c r="O2172" t="str" cm="1">
        <f t="array" ref="O2172">_xlfn.IFS(Table1[[#This Row],[Divorced]]=1, "Divorced", Table1[[#This Row],[Married]]=1, "Married", Table1[[#This Row],[Single]]=1, "Single", Table1[[#This Row],[Together]]=1, "Together", Table1[[#This Row],[Widow]]=1, "Widow")</f>
        <v>Together</v>
      </c>
      <c r="P2172" t="str" cm="1">
        <f t="array" ref="P2172">_xlfn.IFS(Table1[[#This Row],[Basic]]=1, "Basic", Table1[[#This Row],[Graduate]]=1, "Graduate", Table1[[#This Row],[Master]]=1, "Master", Table1[[#This Row],[PhD]]=1, "PhD", AND(Table1[[#This Row],[Basic]]=0, Table1[[#This Row],[Graduate]]=0, Table1[[#This Row],[Master]]=0, Table1[[#This Row],[PhD]]=0), "NA")</f>
        <v>Master</v>
      </c>
      <c r="Q2172" t="e">
        <f>_xlfn.XLOOKUP(Table1[[#This Row],[ID]], Table2[ID],#REF!, "Not Found", 0)</f>
        <v>#REF!</v>
      </c>
      <c r="R2172" t="e">
        <f>_xlfn.XLOOKUP(Table1[[#This Row],[ID]], Table2[ID],#REF!, "Not Found", 0)</f>
        <v>#REF!</v>
      </c>
      <c r="S2172" s="3">
        <f>_xlfn.XLOOKUP(Table1[[#This Row],[ID]], Table2[ID], Table2[Enrollment], "Not Found", 0)</f>
        <v>43683</v>
      </c>
      <c r="T2172" t="s">
        <v>438</v>
      </c>
    </row>
    <row r="2173" spans="1:20" x14ac:dyDescent="0.3">
      <c r="A2173">
        <v>1383</v>
      </c>
      <c r="B2173">
        <v>114515</v>
      </c>
      <c r="C2173">
        <v>1</v>
      </c>
      <c r="D2173">
        <v>0</v>
      </c>
      <c r="E2173">
        <v>40</v>
      </c>
      <c r="F2173">
        <v>0</v>
      </c>
      <c r="G2173">
        <v>0</v>
      </c>
      <c r="H2173">
        <v>0</v>
      </c>
      <c r="I2173">
        <v>1</v>
      </c>
      <c r="J2173">
        <v>0</v>
      </c>
      <c r="K2173">
        <v>0</v>
      </c>
      <c r="L2173">
        <v>0</v>
      </c>
      <c r="M2173">
        <v>0</v>
      </c>
      <c r="N2173">
        <v>0</v>
      </c>
      <c r="O2173" t="str" cm="1">
        <f t="array" ref="O2173">_xlfn.IFS(Table1[[#This Row],[Divorced]]=1, "Divorced", Table1[[#This Row],[Married]]=1, "Married", Table1[[#This Row],[Single]]=1, "Single", Table1[[#This Row],[Together]]=1, "Together", Table1[[#This Row],[Widow]]=1, "Widow")</f>
        <v>Together</v>
      </c>
      <c r="P2173" t="str" cm="1">
        <f t="array" ref="P2173">_xlfn.IFS(Table1[[#This Row],[Basic]]=1, "Basic", Table1[[#This Row],[Graduate]]=1, "Graduate", Table1[[#This Row],[Master]]=1, "Master", Table1[[#This Row],[PhD]]=1, "PhD", AND(Table1[[#This Row],[Basic]]=0, Table1[[#This Row],[Graduate]]=0, Table1[[#This Row],[Master]]=0, Table1[[#This Row],[PhD]]=0), "NA")</f>
        <v>NA</v>
      </c>
      <c r="Q2173" t="e">
        <f>_xlfn.XLOOKUP(Table1[[#This Row],[ID]], Table2[ID],#REF!, "Not Found", 0)</f>
        <v>#REF!</v>
      </c>
      <c r="R2173" t="e">
        <f>_xlfn.XLOOKUP(Table1[[#This Row],[ID]], Table2[ID],#REF!, "Not Found", 0)</f>
        <v>#REF!</v>
      </c>
      <c r="S2173" s="3" t="str">
        <f>_xlfn.XLOOKUP(Table1[[#This Row],[ID]], Table2[ID], Table2[Enrollment], "Not Found", 0)</f>
        <v>4/16/2019</v>
      </c>
      <c r="T2173" t="s">
        <v>435</v>
      </c>
    </row>
    <row r="2174" spans="1:20" x14ac:dyDescent="0.3">
      <c r="A2174">
        <v>2151</v>
      </c>
      <c r="B2174">
        <v>114421</v>
      </c>
      <c r="C2174">
        <v>0</v>
      </c>
      <c r="D2174">
        <v>0</v>
      </c>
      <c r="E2174">
        <v>24</v>
      </c>
      <c r="F2174">
        <v>0</v>
      </c>
      <c r="G2174">
        <v>1</v>
      </c>
      <c r="H2174">
        <v>0</v>
      </c>
      <c r="I2174">
        <v>0</v>
      </c>
      <c r="J2174">
        <v>0</v>
      </c>
      <c r="K2174">
        <v>1</v>
      </c>
      <c r="L2174">
        <v>0</v>
      </c>
      <c r="M2174">
        <v>0</v>
      </c>
      <c r="N2174">
        <v>0</v>
      </c>
      <c r="O2174" t="str" cm="1">
        <f t="array" ref="O2174">_xlfn.IFS(Table1[[#This Row],[Divorced]]=1, "Divorced", Table1[[#This Row],[Married]]=1, "Married", Table1[[#This Row],[Single]]=1, "Single", Table1[[#This Row],[Together]]=1, "Together", Table1[[#This Row],[Widow]]=1, "Widow")</f>
        <v>Married</v>
      </c>
      <c r="P2174" t="str" cm="1">
        <f t="array" ref="P2174">_xlfn.IFS(Table1[[#This Row],[Basic]]=1, "Basic", Table1[[#This Row],[Graduate]]=1, "Graduate", Table1[[#This Row],[Master]]=1, "Master", Table1[[#This Row],[PhD]]=1, "PhD", AND(Table1[[#This Row],[Basic]]=0, Table1[[#This Row],[Graduate]]=0, Table1[[#This Row],[Master]]=0, Table1[[#This Row],[PhD]]=0), "NA")</f>
        <v>Basic</v>
      </c>
      <c r="Q2174" t="e">
        <f>_xlfn.XLOOKUP(Table1[[#This Row],[ID]], Table2[ID],#REF!, "Not Found", 0)</f>
        <v>#REF!</v>
      </c>
      <c r="R2174" t="e">
        <f>_xlfn.XLOOKUP(Table1[[#This Row],[ID]], Table2[ID],#REF!, "Not Found", 0)</f>
        <v>#REF!</v>
      </c>
      <c r="S2174" s="3" t="str">
        <f>_xlfn.XLOOKUP(Table1[[#This Row],[ID]], Table2[ID], Table2[Enrollment], "Not Found", 0)</f>
        <v>7/24/2020</v>
      </c>
      <c r="T2174" t="s">
        <v>435</v>
      </c>
    </row>
    <row r="2175" spans="1:20" x14ac:dyDescent="0.3">
      <c r="A2175">
        <v>3073</v>
      </c>
      <c r="B2175">
        <v>114188</v>
      </c>
      <c r="C2175">
        <v>0</v>
      </c>
      <c r="D2175">
        <v>0</v>
      </c>
      <c r="E2175">
        <v>48</v>
      </c>
      <c r="F2175">
        <v>0</v>
      </c>
      <c r="G2175">
        <v>1</v>
      </c>
      <c r="H2175">
        <v>0</v>
      </c>
      <c r="I2175">
        <v>0</v>
      </c>
      <c r="J2175">
        <v>0</v>
      </c>
      <c r="K2175">
        <v>1</v>
      </c>
      <c r="L2175">
        <v>0</v>
      </c>
      <c r="M2175">
        <v>0</v>
      </c>
      <c r="N2175">
        <v>0</v>
      </c>
      <c r="O2175" t="str" cm="1">
        <f t="array" ref="O2175">_xlfn.IFS(Table1[[#This Row],[Divorced]]=1, "Divorced", Table1[[#This Row],[Married]]=1, "Married", Table1[[#This Row],[Single]]=1, "Single", Table1[[#This Row],[Together]]=1, "Together", Table1[[#This Row],[Widow]]=1, "Widow")</f>
        <v>Married</v>
      </c>
      <c r="P2175" t="str" cm="1">
        <f t="array" ref="P2175">_xlfn.IFS(Table1[[#This Row],[Basic]]=1, "Basic", Table1[[#This Row],[Graduate]]=1, "Graduate", Table1[[#This Row],[Master]]=1, "Master", Table1[[#This Row],[PhD]]=1, "PhD", AND(Table1[[#This Row],[Basic]]=0, Table1[[#This Row],[Graduate]]=0, Table1[[#This Row],[Master]]=0, Table1[[#This Row],[PhD]]=0), "NA")</f>
        <v>Basic</v>
      </c>
      <c r="Q2175" t="e">
        <f>_xlfn.XLOOKUP(Table1[[#This Row],[ID]], Table2[ID],#REF!, "Not Found", 0)</f>
        <v>#REF!</v>
      </c>
      <c r="R2175" t="e">
        <f>_xlfn.XLOOKUP(Table1[[#This Row],[ID]], Table2[ID],#REF!, "Not Found", 0)</f>
        <v>#REF!</v>
      </c>
      <c r="S2175" s="3">
        <f>_xlfn.XLOOKUP(Table1[[#This Row],[ID]], Table2[ID], Table2[Enrollment], "Not Found", 0)</f>
        <v>43593</v>
      </c>
      <c r="T2175" t="s">
        <v>437</v>
      </c>
    </row>
    <row r="2176" spans="1:20" x14ac:dyDescent="0.3">
      <c r="A2176">
        <v>1472</v>
      </c>
      <c r="B2176">
        <v>114045</v>
      </c>
      <c r="C2176">
        <v>1</v>
      </c>
      <c r="D2176">
        <v>0</v>
      </c>
      <c r="E2176">
        <v>51</v>
      </c>
      <c r="F2176">
        <v>0</v>
      </c>
      <c r="G2176">
        <v>1</v>
      </c>
      <c r="H2176">
        <v>0</v>
      </c>
      <c r="I2176">
        <v>0</v>
      </c>
      <c r="J2176">
        <v>0</v>
      </c>
      <c r="K2176">
        <v>0</v>
      </c>
      <c r="L2176">
        <v>1</v>
      </c>
      <c r="M2176">
        <v>0</v>
      </c>
      <c r="N2176">
        <v>0</v>
      </c>
      <c r="O2176" t="str" cm="1">
        <f t="array" ref="O2176">_xlfn.IFS(Table1[[#This Row],[Divorced]]=1, "Divorced", Table1[[#This Row],[Married]]=1, "Married", Table1[[#This Row],[Single]]=1, "Single", Table1[[#This Row],[Together]]=1, "Together", Table1[[#This Row],[Widow]]=1, "Widow")</f>
        <v>Married</v>
      </c>
      <c r="P2176" t="str" cm="1">
        <f t="array" ref="P2176">_xlfn.IFS(Table1[[#This Row],[Basic]]=1, "Basic", Table1[[#This Row],[Graduate]]=1, "Graduate", Table1[[#This Row],[Master]]=1, "Master", Table1[[#This Row],[PhD]]=1, "PhD", AND(Table1[[#This Row],[Basic]]=0, Table1[[#This Row],[Graduate]]=0, Table1[[#This Row],[Master]]=0, Table1[[#This Row],[PhD]]=0), "NA")</f>
        <v>Graduate</v>
      </c>
      <c r="Q2176" t="e">
        <f>_xlfn.XLOOKUP(Table1[[#This Row],[ID]], Table2[ID],#REF!, "Not Found", 0)</f>
        <v>#REF!</v>
      </c>
      <c r="R2176" t="e">
        <f>_xlfn.XLOOKUP(Table1[[#This Row],[ID]], Table2[ID],#REF!, "Not Found", 0)</f>
        <v>#REF!</v>
      </c>
      <c r="S2176" s="3">
        <f>_xlfn.XLOOKUP(Table1[[#This Row],[ID]], Table2[ID], Table2[Enrollment], "Not Found", 0)</f>
        <v>43868</v>
      </c>
      <c r="T2176" t="s">
        <v>438</v>
      </c>
    </row>
    <row r="2177" spans="1:20" x14ac:dyDescent="0.3">
      <c r="A2177">
        <v>2568</v>
      </c>
      <c r="B2177">
        <v>113724</v>
      </c>
      <c r="C2177">
        <v>1</v>
      </c>
      <c r="D2177">
        <v>0</v>
      </c>
      <c r="E2177">
        <v>32</v>
      </c>
      <c r="F2177">
        <v>0</v>
      </c>
      <c r="G2177">
        <v>0</v>
      </c>
      <c r="H2177">
        <v>0</v>
      </c>
      <c r="I2177">
        <v>1</v>
      </c>
      <c r="J2177">
        <v>0</v>
      </c>
      <c r="K2177">
        <v>1</v>
      </c>
      <c r="L2177">
        <v>0</v>
      </c>
      <c r="M2177">
        <v>0</v>
      </c>
      <c r="N2177">
        <v>0</v>
      </c>
      <c r="O2177" t="str" cm="1">
        <f t="array" ref="O2177">_xlfn.IFS(Table1[[#This Row],[Divorced]]=1, "Divorced", Table1[[#This Row],[Married]]=1, "Married", Table1[[#This Row],[Single]]=1, "Single", Table1[[#This Row],[Together]]=1, "Together", Table1[[#This Row],[Widow]]=1, "Widow")</f>
        <v>Together</v>
      </c>
      <c r="P2177" t="str" cm="1">
        <f t="array" ref="P2177">_xlfn.IFS(Table1[[#This Row],[Basic]]=1, "Basic", Table1[[#This Row],[Graduate]]=1, "Graduate", Table1[[#This Row],[Master]]=1, "Master", Table1[[#This Row],[PhD]]=1, "PhD", AND(Table1[[#This Row],[Basic]]=0, Table1[[#This Row],[Graduate]]=0, Table1[[#This Row],[Master]]=0, Table1[[#This Row],[PhD]]=0), "NA")</f>
        <v>Basic</v>
      </c>
      <c r="Q2177" t="e">
        <f>_xlfn.XLOOKUP(Table1[[#This Row],[ID]], Table2[ID],#REF!, "Not Found", 0)</f>
        <v>#REF!</v>
      </c>
      <c r="R2177" t="e">
        <f>_xlfn.XLOOKUP(Table1[[#This Row],[ID]], Table2[ID],#REF!, "Not Found", 0)</f>
        <v>#REF!</v>
      </c>
      <c r="S2177" s="3">
        <f>_xlfn.XLOOKUP(Table1[[#This Row],[ID]], Table2[ID], Table2[Enrollment], "Not Found", 0)</f>
        <v>43587</v>
      </c>
      <c r="T2177" t="s">
        <v>436</v>
      </c>
    </row>
    <row r="2178" spans="1:20" x14ac:dyDescent="0.3">
      <c r="A2178">
        <v>2969</v>
      </c>
      <c r="B2178">
        <v>113672</v>
      </c>
      <c r="C2178">
        <v>1</v>
      </c>
      <c r="D2178">
        <v>1</v>
      </c>
      <c r="E2178">
        <v>60</v>
      </c>
      <c r="F2178">
        <v>0</v>
      </c>
      <c r="G2178">
        <v>0</v>
      </c>
      <c r="H2178">
        <v>0</v>
      </c>
      <c r="I2178">
        <v>1</v>
      </c>
      <c r="J2178">
        <v>0</v>
      </c>
      <c r="K2178">
        <v>0</v>
      </c>
      <c r="L2178">
        <v>1</v>
      </c>
      <c r="M2178">
        <v>0</v>
      </c>
      <c r="N2178">
        <v>0</v>
      </c>
      <c r="O2178" t="str" cm="1">
        <f t="array" ref="O2178">_xlfn.IFS(Table1[[#This Row],[Divorced]]=1, "Divorced", Table1[[#This Row],[Married]]=1, "Married", Table1[[#This Row],[Single]]=1, "Single", Table1[[#This Row],[Together]]=1, "Together", Table1[[#This Row],[Widow]]=1, "Widow")</f>
        <v>Together</v>
      </c>
      <c r="P2178" t="str" cm="1">
        <f t="array" ref="P2178">_xlfn.IFS(Table1[[#This Row],[Basic]]=1, "Basic", Table1[[#This Row],[Graduate]]=1, "Graduate", Table1[[#This Row],[Master]]=1, "Master", Table1[[#This Row],[PhD]]=1, "PhD", AND(Table1[[#This Row],[Basic]]=0, Table1[[#This Row],[Graduate]]=0, Table1[[#This Row],[Master]]=0, Table1[[#This Row],[PhD]]=0), "NA")</f>
        <v>Graduate</v>
      </c>
      <c r="Q2178" t="e">
        <f>_xlfn.XLOOKUP(Table1[[#This Row],[ID]], Table2[ID],#REF!, "Not Found", 0)</f>
        <v>#REF!</v>
      </c>
      <c r="R2178" t="e">
        <f>_xlfn.XLOOKUP(Table1[[#This Row],[ID]], Table2[ID],#REF!, "Not Found", 0)</f>
        <v>#REF!</v>
      </c>
      <c r="S2178" s="3" t="str">
        <f>_xlfn.XLOOKUP(Table1[[#This Row],[ID]], Table2[ID], Table2[Enrollment], "Not Found", 0)</f>
        <v>9/22/2019</v>
      </c>
      <c r="T2178" t="s">
        <v>434</v>
      </c>
    </row>
    <row r="2179" spans="1:20" x14ac:dyDescent="0.3">
      <c r="A2179">
        <v>1608</v>
      </c>
      <c r="B2179">
        <v>113624</v>
      </c>
      <c r="C2179">
        <v>1</v>
      </c>
      <c r="D2179">
        <v>0</v>
      </c>
      <c r="E2179">
        <v>44</v>
      </c>
      <c r="F2179">
        <v>0</v>
      </c>
      <c r="G2179">
        <v>1</v>
      </c>
      <c r="H2179">
        <v>0</v>
      </c>
      <c r="I2179">
        <v>0</v>
      </c>
      <c r="J2179">
        <v>0</v>
      </c>
      <c r="K2179">
        <v>0</v>
      </c>
      <c r="L2179">
        <v>1</v>
      </c>
      <c r="M2179">
        <v>0</v>
      </c>
      <c r="N2179">
        <v>0</v>
      </c>
      <c r="O2179" t="str" cm="1">
        <f t="array" ref="O2179">_xlfn.IFS(Table1[[#This Row],[Divorced]]=1, "Divorced", Table1[[#This Row],[Married]]=1, "Married", Table1[[#This Row],[Single]]=1, "Single", Table1[[#This Row],[Together]]=1, "Together", Table1[[#This Row],[Widow]]=1, "Widow")</f>
        <v>Married</v>
      </c>
      <c r="P2179" t="str" cm="1">
        <f t="array" ref="P2179">_xlfn.IFS(Table1[[#This Row],[Basic]]=1, "Basic", Table1[[#This Row],[Graduate]]=1, "Graduate", Table1[[#This Row],[Master]]=1, "Master", Table1[[#This Row],[PhD]]=1, "PhD", AND(Table1[[#This Row],[Basic]]=0, Table1[[#This Row],[Graduate]]=0, Table1[[#This Row],[Master]]=0, Table1[[#This Row],[PhD]]=0), "NA")</f>
        <v>Graduate</v>
      </c>
      <c r="Q2179" t="e">
        <f>_xlfn.XLOOKUP(Table1[[#This Row],[ID]], Table2[ID],#REF!, "Not Found", 0)</f>
        <v>#REF!</v>
      </c>
      <c r="R2179" t="e">
        <f>_xlfn.XLOOKUP(Table1[[#This Row],[ID]], Table2[ID],#REF!, "Not Found", 0)</f>
        <v>#REF!</v>
      </c>
      <c r="S2179" s="3" t="str">
        <f>_xlfn.XLOOKUP(Table1[[#This Row],[ID]], Table2[ID], Table2[Enrollment], "Not Found", 0)</f>
        <v>6/27/2019</v>
      </c>
      <c r="T2179" t="s">
        <v>436</v>
      </c>
    </row>
    <row r="2180" spans="1:20" x14ac:dyDescent="0.3">
      <c r="A2180">
        <v>2736</v>
      </c>
      <c r="B2180">
        <v>113533</v>
      </c>
      <c r="C2180">
        <v>1</v>
      </c>
      <c r="D2180">
        <v>0</v>
      </c>
      <c r="E2180">
        <v>41</v>
      </c>
      <c r="F2180">
        <v>1</v>
      </c>
      <c r="G2180">
        <v>0</v>
      </c>
      <c r="H2180">
        <v>0</v>
      </c>
      <c r="I2180">
        <v>0</v>
      </c>
      <c r="J2180">
        <v>0</v>
      </c>
      <c r="K2180">
        <v>0</v>
      </c>
      <c r="L2180">
        <v>0</v>
      </c>
      <c r="M2180">
        <v>0</v>
      </c>
      <c r="N2180">
        <v>0</v>
      </c>
      <c r="O2180" t="str" cm="1">
        <f t="array" ref="O2180">_xlfn.IFS(Table1[[#This Row],[Divorced]]=1, "Divorced", Table1[[#This Row],[Married]]=1, "Married", Table1[[#This Row],[Single]]=1, "Single", Table1[[#This Row],[Together]]=1, "Together", Table1[[#This Row],[Widow]]=1, "Widow")</f>
        <v>Divorced</v>
      </c>
      <c r="P2180" t="str" cm="1">
        <f t="array" ref="P2180">_xlfn.IFS(Table1[[#This Row],[Basic]]=1, "Basic", Table1[[#This Row],[Graduate]]=1, "Graduate", Table1[[#This Row],[Master]]=1, "Master", Table1[[#This Row],[PhD]]=1, "PhD", AND(Table1[[#This Row],[Basic]]=0, Table1[[#This Row],[Graduate]]=0, Table1[[#This Row],[Master]]=0, Table1[[#This Row],[PhD]]=0), "NA")</f>
        <v>NA</v>
      </c>
      <c r="Q2180" t="e">
        <f>_xlfn.XLOOKUP(Table1[[#This Row],[ID]], Table2[ID],#REF!, "Not Found", 0)</f>
        <v>#REF!</v>
      </c>
      <c r="R2180" t="e">
        <f>_xlfn.XLOOKUP(Table1[[#This Row],[ID]], Table2[ID],#REF!, "Not Found", 0)</f>
        <v>#REF!</v>
      </c>
      <c r="S2180" s="3" t="str">
        <f>_xlfn.XLOOKUP(Table1[[#This Row],[ID]], Table2[ID], Table2[Enrollment], "Not Found", 0)</f>
        <v>8/15/2019</v>
      </c>
      <c r="T2180" t="s">
        <v>436</v>
      </c>
    </row>
    <row r="2181" spans="1:20" x14ac:dyDescent="0.3">
      <c r="A2181">
        <v>1561</v>
      </c>
      <c r="B2181">
        <v>113260</v>
      </c>
      <c r="C2181">
        <v>1</v>
      </c>
      <c r="D2181">
        <v>1</v>
      </c>
      <c r="E2181">
        <v>50</v>
      </c>
      <c r="F2181">
        <v>0</v>
      </c>
      <c r="G2181">
        <v>1</v>
      </c>
      <c r="H2181">
        <v>0</v>
      </c>
      <c r="I2181">
        <v>0</v>
      </c>
      <c r="J2181">
        <v>0</v>
      </c>
      <c r="K2181">
        <v>0</v>
      </c>
      <c r="L2181">
        <v>1</v>
      </c>
      <c r="M2181">
        <v>0</v>
      </c>
      <c r="N2181">
        <v>0</v>
      </c>
      <c r="O2181" t="str" cm="1">
        <f t="array" ref="O2181">_xlfn.IFS(Table1[[#This Row],[Divorced]]=1, "Divorced", Table1[[#This Row],[Married]]=1, "Married", Table1[[#This Row],[Single]]=1, "Single", Table1[[#This Row],[Together]]=1, "Together", Table1[[#This Row],[Widow]]=1, "Widow")</f>
        <v>Married</v>
      </c>
      <c r="P2181" t="str" cm="1">
        <f t="array" ref="P2181">_xlfn.IFS(Table1[[#This Row],[Basic]]=1, "Basic", Table1[[#This Row],[Graduate]]=1, "Graduate", Table1[[#This Row],[Master]]=1, "Master", Table1[[#This Row],[PhD]]=1, "PhD", AND(Table1[[#This Row],[Basic]]=0, Table1[[#This Row],[Graduate]]=0, Table1[[#This Row],[Master]]=0, Table1[[#This Row],[PhD]]=0), "NA")</f>
        <v>Graduate</v>
      </c>
      <c r="Q2181" t="e">
        <f>_xlfn.XLOOKUP(Table1[[#This Row],[ID]], Table2[ID],#REF!, "Not Found", 0)</f>
        <v>#REF!</v>
      </c>
      <c r="R2181" t="e">
        <f>_xlfn.XLOOKUP(Table1[[#This Row],[ID]], Table2[ID],#REF!, "Not Found", 0)</f>
        <v>#REF!</v>
      </c>
      <c r="S2181" s="3" t="str">
        <f>_xlfn.XLOOKUP(Table1[[#This Row],[ID]], Table2[ID], Table2[Enrollment], "Not Found", 0)</f>
        <v>1/28/2020</v>
      </c>
      <c r="T2181" t="s">
        <v>437</v>
      </c>
    </row>
    <row r="2182" spans="1:20" x14ac:dyDescent="0.3">
      <c r="A2182">
        <v>1674</v>
      </c>
      <c r="B2182">
        <v>113084</v>
      </c>
      <c r="C2182">
        <v>0</v>
      </c>
      <c r="D2182">
        <v>0</v>
      </c>
      <c r="E2182">
        <v>68</v>
      </c>
      <c r="F2182">
        <v>0</v>
      </c>
      <c r="G2182">
        <v>0</v>
      </c>
      <c r="H2182">
        <v>0</v>
      </c>
      <c r="I2182">
        <v>1</v>
      </c>
      <c r="J2182">
        <v>0</v>
      </c>
      <c r="K2182">
        <v>1</v>
      </c>
      <c r="L2182">
        <v>0</v>
      </c>
      <c r="M2182">
        <v>0</v>
      </c>
      <c r="N2182">
        <v>0</v>
      </c>
      <c r="O2182" t="str" cm="1">
        <f t="array" ref="O2182">_xlfn.IFS(Table1[[#This Row],[Divorced]]=1, "Divorced", Table1[[#This Row],[Married]]=1, "Married", Table1[[#This Row],[Single]]=1, "Single", Table1[[#This Row],[Together]]=1, "Together", Table1[[#This Row],[Widow]]=1, "Widow")</f>
        <v>Together</v>
      </c>
      <c r="P2182" t="str" cm="1">
        <f t="array" ref="P2182">_xlfn.IFS(Table1[[#This Row],[Basic]]=1, "Basic", Table1[[#This Row],[Graduate]]=1, "Graduate", Table1[[#This Row],[Master]]=1, "Master", Table1[[#This Row],[PhD]]=1, "PhD", AND(Table1[[#This Row],[Basic]]=0, Table1[[#This Row],[Graduate]]=0, Table1[[#This Row],[Master]]=0, Table1[[#This Row],[PhD]]=0), "NA")</f>
        <v>Basic</v>
      </c>
      <c r="Q2182" t="e">
        <f>_xlfn.XLOOKUP(Table1[[#This Row],[ID]], Table2[ID],#REF!, "Not Found", 0)</f>
        <v>#REF!</v>
      </c>
      <c r="R2182" t="e">
        <f>_xlfn.XLOOKUP(Table1[[#This Row],[ID]], Table2[ID],#REF!, "Not Found", 0)</f>
        <v>#REF!</v>
      </c>
      <c r="S2182" s="3">
        <f>_xlfn.XLOOKUP(Table1[[#This Row],[ID]], Table2[ID], Table2[Enrollment], "Not Found", 0)</f>
        <v>44047</v>
      </c>
      <c r="T2182" t="s">
        <v>436</v>
      </c>
    </row>
    <row r="2183" spans="1:20" x14ac:dyDescent="0.3">
      <c r="A2183">
        <v>1297</v>
      </c>
      <c r="B2183">
        <v>112571</v>
      </c>
      <c r="C2183">
        <v>1</v>
      </c>
      <c r="D2183">
        <v>0</v>
      </c>
      <c r="E2183">
        <v>44</v>
      </c>
      <c r="F2183">
        <v>1</v>
      </c>
      <c r="G2183">
        <v>0</v>
      </c>
      <c r="H2183">
        <v>0</v>
      </c>
      <c r="I2183">
        <v>0</v>
      </c>
      <c r="J2183">
        <v>0</v>
      </c>
      <c r="K2183">
        <v>0</v>
      </c>
      <c r="L2183">
        <v>1</v>
      </c>
      <c r="M2183">
        <v>0</v>
      </c>
      <c r="N2183">
        <v>0</v>
      </c>
      <c r="O2183" t="str" cm="1">
        <f t="array" ref="O2183">_xlfn.IFS(Table1[[#This Row],[Divorced]]=1, "Divorced", Table1[[#This Row],[Married]]=1, "Married", Table1[[#This Row],[Single]]=1, "Single", Table1[[#This Row],[Together]]=1, "Together", Table1[[#This Row],[Widow]]=1, "Widow")</f>
        <v>Divorced</v>
      </c>
      <c r="P2183" t="str" cm="1">
        <f t="array" ref="P2183">_xlfn.IFS(Table1[[#This Row],[Basic]]=1, "Basic", Table1[[#This Row],[Graduate]]=1, "Graduate", Table1[[#This Row],[Master]]=1, "Master", Table1[[#This Row],[PhD]]=1, "PhD", AND(Table1[[#This Row],[Basic]]=0, Table1[[#This Row],[Graduate]]=0, Table1[[#This Row],[Master]]=0, Table1[[#This Row],[PhD]]=0), "NA")</f>
        <v>Graduate</v>
      </c>
      <c r="Q2183" t="e">
        <f>_xlfn.XLOOKUP(Table1[[#This Row],[ID]], Table2[ID],#REF!, "Not Found", 0)</f>
        <v>#REF!</v>
      </c>
      <c r="R2183" t="e">
        <f>_xlfn.XLOOKUP(Table1[[#This Row],[ID]], Table2[ID],#REF!, "Not Found", 0)</f>
        <v>#REF!</v>
      </c>
      <c r="S2183" s="3" t="str">
        <f>_xlfn.XLOOKUP(Table1[[#This Row],[ID]], Table2[ID], Table2[Enrollment], "Not Found", 0)</f>
        <v>6/24/2020</v>
      </c>
      <c r="T2183" t="s">
        <v>437</v>
      </c>
    </row>
    <row r="2184" spans="1:20" x14ac:dyDescent="0.3">
      <c r="A2184">
        <v>2587</v>
      </c>
      <c r="B2184">
        <v>112393</v>
      </c>
      <c r="C2184">
        <v>0</v>
      </c>
      <c r="D2184">
        <v>0</v>
      </c>
      <c r="E2184">
        <v>42</v>
      </c>
      <c r="F2184">
        <v>0</v>
      </c>
      <c r="G2184">
        <v>1</v>
      </c>
      <c r="H2184">
        <v>0</v>
      </c>
      <c r="I2184">
        <v>0</v>
      </c>
      <c r="J2184">
        <v>0</v>
      </c>
      <c r="K2184">
        <v>0</v>
      </c>
      <c r="L2184">
        <v>0</v>
      </c>
      <c r="M2184">
        <v>0</v>
      </c>
      <c r="N2184">
        <v>0</v>
      </c>
      <c r="O2184" t="str" cm="1">
        <f t="array" ref="O2184">_xlfn.IFS(Table1[[#This Row],[Divorced]]=1, "Divorced", Table1[[#This Row],[Married]]=1, "Married", Table1[[#This Row],[Single]]=1, "Single", Table1[[#This Row],[Together]]=1, "Together", Table1[[#This Row],[Widow]]=1, "Widow")</f>
        <v>Married</v>
      </c>
      <c r="P2184" t="str" cm="1">
        <f t="array" ref="P2184">_xlfn.IFS(Table1[[#This Row],[Basic]]=1, "Basic", Table1[[#This Row],[Graduate]]=1, "Graduate", Table1[[#This Row],[Master]]=1, "Master", Table1[[#This Row],[PhD]]=1, "PhD", AND(Table1[[#This Row],[Basic]]=0, Table1[[#This Row],[Graduate]]=0, Table1[[#This Row],[Master]]=0, Table1[[#This Row],[PhD]]=0), "NA")</f>
        <v>NA</v>
      </c>
      <c r="Q2184" t="e">
        <f>_xlfn.XLOOKUP(Table1[[#This Row],[ID]], Table2[ID],#REF!, "Not Found", 0)</f>
        <v>#REF!</v>
      </c>
      <c r="R2184" t="e">
        <f>_xlfn.XLOOKUP(Table1[[#This Row],[ID]], Table2[ID],#REF!, "Not Found", 0)</f>
        <v>#REF!</v>
      </c>
      <c r="S2184" s="3">
        <f>_xlfn.XLOOKUP(Table1[[#This Row],[ID]], Table2[ID], Table2[Enrollment], "Not Found", 0)</f>
        <v>43774</v>
      </c>
      <c r="T2184" t="s">
        <v>437</v>
      </c>
    </row>
    <row r="2185" spans="1:20" x14ac:dyDescent="0.3">
      <c r="A2185">
        <v>2836</v>
      </c>
      <c r="B2185">
        <v>111448</v>
      </c>
      <c r="C2185">
        <v>0</v>
      </c>
      <c r="D2185">
        <v>0</v>
      </c>
      <c r="E2185">
        <v>45</v>
      </c>
      <c r="F2185">
        <v>1</v>
      </c>
      <c r="G2185">
        <v>0</v>
      </c>
      <c r="H2185">
        <v>0</v>
      </c>
      <c r="I2185">
        <v>0</v>
      </c>
      <c r="J2185">
        <v>0</v>
      </c>
      <c r="K2185">
        <v>0</v>
      </c>
      <c r="L2185">
        <v>0</v>
      </c>
      <c r="M2185">
        <v>0</v>
      </c>
      <c r="N2185">
        <v>0</v>
      </c>
      <c r="O2185" t="str" cm="1">
        <f t="array" ref="O2185">_xlfn.IFS(Table1[[#This Row],[Divorced]]=1, "Divorced", Table1[[#This Row],[Married]]=1, "Married", Table1[[#This Row],[Single]]=1, "Single", Table1[[#This Row],[Together]]=1, "Together", Table1[[#This Row],[Widow]]=1, "Widow")</f>
        <v>Divorced</v>
      </c>
      <c r="P2185" t="str" cm="1">
        <f t="array" ref="P2185">_xlfn.IFS(Table1[[#This Row],[Basic]]=1, "Basic", Table1[[#This Row],[Graduate]]=1, "Graduate", Table1[[#This Row],[Master]]=1, "Master", Table1[[#This Row],[PhD]]=1, "PhD", AND(Table1[[#This Row],[Basic]]=0, Table1[[#This Row],[Graduate]]=0, Table1[[#This Row],[Master]]=0, Table1[[#This Row],[PhD]]=0), "NA")</f>
        <v>NA</v>
      </c>
      <c r="Q2185" t="e">
        <f>_xlfn.XLOOKUP(Table1[[#This Row],[ID]], Table2[ID],#REF!, "Not Found", 0)</f>
        <v>#REF!</v>
      </c>
      <c r="R2185" t="e">
        <f>_xlfn.XLOOKUP(Table1[[#This Row],[ID]], Table2[ID],#REF!, "Not Found", 0)</f>
        <v>#REF!</v>
      </c>
      <c r="S2185" s="3" t="str">
        <f>_xlfn.XLOOKUP(Table1[[#This Row],[ID]], Table2[ID], Table2[Enrollment], "Not Found", 0)</f>
        <v>5/21/2020</v>
      </c>
      <c r="T2185" t="s">
        <v>439</v>
      </c>
    </row>
    <row r="2186" spans="1:20" x14ac:dyDescent="0.3">
      <c r="A2186">
        <v>3197</v>
      </c>
      <c r="B2186">
        <v>111012</v>
      </c>
      <c r="C2186">
        <v>1</v>
      </c>
      <c r="D2186">
        <v>0</v>
      </c>
      <c r="E2186">
        <v>36</v>
      </c>
      <c r="F2186">
        <v>0</v>
      </c>
      <c r="G2186">
        <v>0</v>
      </c>
      <c r="H2186">
        <v>1</v>
      </c>
      <c r="I2186">
        <v>0</v>
      </c>
      <c r="J2186">
        <v>0</v>
      </c>
      <c r="K2186">
        <v>0</v>
      </c>
      <c r="L2186">
        <v>1</v>
      </c>
      <c r="M2186">
        <v>0</v>
      </c>
      <c r="N2186">
        <v>0</v>
      </c>
      <c r="O2186" t="str" cm="1">
        <f t="array" ref="O2186">_xlfn.IFS(Table1[[#This Row],[Divorced]]=1, "Divorced", Table1[[#This Row],[Married]]=1, "Married", Table1[[#This Row],[Single]]=1, "Single", Table1[[#This Row],[Together]]=1, "Together", Table1[[#This Row],[Widow]]=1, "Widow")</f>
        <v>Single</v>
      </c>
      <c r="P2186" t="str" cm="1">
        <f t="array" ref="P2186">_xlfn.IFS(Table1[[#This Row],[Basic]]=1, "Basic", Table1[[#This Row],[Graduate]]=1, "Graduate", Table1[[#This Row],[Master]]=1, "Master", Table1[[#This Row],[PhD]]=1, "PhD", AND(Table1[[#This Row],[Basic]]=0, Table1[[#This Row],[Graduate]]=0, Table1[[#This Row],[Master]]=0, Table1[[#This Row],[PhD]]=0), "NA")</f>
        <v>Graduate</v>
      </c>
      <c r="Q2186" t="e">
        <f>_xlfn.XLOOKUP(Table1[[#This Row],[ID]], Table2[ID],#REF!, "Not Found", 0)</f>
        <v>#REF!</v>
      </c>
      <c r="R2186" t="e">
        <f>_xlfn.XLOOKUP(Table1[[#This Row],[ID]], Table2[ID],#REF!, "Not Found", 0)</f>
        <v>#REF!</v>
      </c>
      <c r="S2186" s="3" t="str">
        <f>_xlfn.XLOOKUP(Table1[[#This Row],[ID]], Table2[ID], Table2[Enrollment], "Not Found", 0)</f>
        <v>8/21/2019</v>
      </c>
      <c r="T2186" t="s">
        <v>434</v>
      </c>
    </row>
    <row r="2187" spans="1:20" x14ac:dyDescent="0.3">
      <c r="A2187">
        <v>1029</v>
      </c>
      <c r="B2187">
        <v>110979</v>
      </c>
      <c r="C2187">
        <v>0</v>
      </c>
      <c r="D2187">
        <v>0</v>
      </c>
      <c r="E2187">
        <v>31</v>
      </c>
      <c r="F2187">
        <v>1</v>
      </c>
      <c r="G2187">
        <v>0</v>
      </c>
      <c r="H2187">
        <v>0</v>
      </c>
      <c r="I2187">
        <v>0</v>
      </c>
      <c r="J2187">
        <v>0</v>
      </c>
      <c r="K2187">
        <v>0</v>
      </c>
      <c r="L2187">
        <v>0</v>
      </c>
      <c r="M2187">
        <v>1</v>
      </c>
      <c r="N2187">
        <v>0</v>
      </c>
      <c r="O2187" t="str" cm="1">
        <f t="array" ref="O2187">_xlfn.IFS(Table1[[#This Row],[Divorced]]=1, "Divorced", Table1[[#This Row],[Married]]=1, "Married", Table1[[#This Row],[Single]]=1, "Single", Table1[[#This Row],[Together]]=1, "Together", Table1[[#This Row],[Widow]]=1, "Widow")</f>
        <v>Divorced</v>
      </c>
      <c r="P2187" t="str" cm="1">
        <f t="array" ref="P2187">_xlfn.IFS(Table1[[#This Row],[Basic]]=1, "Basic", Table1[[#This Row],[Graduate]]=1, "Graduate", Table1[[#This Row],[Master]]=1, "Master", Table1[[#This Row],[PhD]]=1, "PhD", AND(Table1[[#This Row],[Basic]]=0, Table1[[#This Row],[Graduate]]=0, Table1[[#This Row],[Master]]=0, Table1[[#This Row],[PhD]]=0), "NA")</f>
        <v>Master</v>
      </c>
      <c r="Q2187" t="e">
        <f>_xlfn.XLOOKUP(Table1[[#This Row],[ID]], Table2[ID],#REF!, "Not Found", 0)</f>
        <v>#REF!</v>
      </c>
      <c r="R2187" t="e">
        <f>_xlfn.XLOOKUP(Table1[[#This Row],[ID]], Table2[ID],#REF!, "Not Found", 0)</f>
        <v>#REF!</v>
      </c>
      <c r="S2187" s="3" t="str">
        <f>_xlfn.XLOOKUP(Table1[[#This Row],[ID]], Table2[ID], Table2[Enrollment], "Not Found", 0)</f>
        <v>10/26/2020</v>
      </c>
      <c r="T2187" t="s">
        <v>435</v>
      </c>
    </row>
    <row r="2188" spans="1:20" x14ac:dyDescent="0.3">
      <c r="A2188">
        <v>2119</v>
      </c>
      <c r="B2188">
        <v>110979</v>
      </c>
      <c r="C2188">
        <v>0</v>
      </c>
      <c r="D2188">
        <v>0</v>
      </c>
      <c r="E2188">
        <v>31</v>
      </c>
      <c r="F2188">
        <v>1</v>
      </c>
      <c r="G2188">
        <v>0</v>
      </c>
      <c r="H2188">
        <v>0</v>
      </c>
      <c r="I2188">
        <v>0</v>
      </c>
      <c r="J2188">
        <v>0</v>
      </c>
      <c r="K2188">
        <v>0</v>
      </c>
      <c r="L2188">
        <v>0</v>
      </c>
      <c r="M2188">
        <v>1</v>
      </c>
      <c r="N2188">
        <v>0</v>
      </c>
      <c r="O2188" t="str" cm="1">
        <f t="array" ref="O2188">_xlfn.IFS(Table1[[#This Row],[Divorced]]=1, "Divorced", Table1[[#This Row],[Married]]=1, "Married", Table1[[#This Row],[Single]]=1, "Single", Table1[[#This Row],[Together]]=1, "Together", Table1[[#This Row],[Widow]]=1, "Widow")</f>
        <v>Divorced</v>
      </c>
      <c r="P2188" t="str" cm="1">
        <f t="array" ref="P2188">_xlfn.IFS(Table1[[#This Row],[Basic]]=1, "Basic", Table1[[#This Row],[Graduate]]=1, "Graduate", Table1[[#This Row],[Master]]=1, "Master", Table1[[#This Row],[PhD]]=1, "PhD", AND(Table1[[#This Row],[Basic]]=0, Table1[[#This Row],[Graduate]]=0, Table1[[#This Row],[Master]]=0, Table1[[#This Row],[PhD]]=0), "NA")</f>
        <v>Master</v>
      </c>
      <c r="Q2188" t="e">
        <f>_xlfn.XLOOKUP(Table1[[#This Row],[ID]], Table2[ID],#REF!, "Not Found", 0)</f>
        <v>#REF!</v>
      </c>
      <c r="R2188" t="e">
        <f>_xlfn.XLOOKUP(Table1[[#This Row],[ID]], Table2[ID],#REF!, "Not Found", 0)</f>
        <v>#REF!</v>
      </c>
      <c r="S2188" s="3" t="str">
        <f>_xlfn.XLOOKUP(Table1[[#This Row],[ID]], Table2[ID], Table2[Enrollment], "Not Found", 0)</f>
        <v>10/26/2020</v>
      </c>
      <c r="T2188" t="s">
        <v>437</v>
      </c>
    </row>
    <row r="2189" spans="1:20" x14ac:dyDescent="0.3">
      <c r="A2189">
        <v>1412</v>
      </c>
      <c r="B2189">
        <v>110404</v>
      </c>
      <c r="C2189">
        <v>1</v>
      </c>
      <c r="D2189">
        <v>0</v>
      </c>
      <c r="E2189">
        <v>31</v>
      </c>
      <c r="F2189">
        <v>0</v>
      </c>
      <c r="G2189">
        <v>0</v>
      </c>
      <c r="H2189">
        <v>0</v>
      </c>
      <c r="I2189">
        <v>1</v>
      </c>
      <c r="J2189">
        <v>0</v>
      </c>
      <c r="K2189">
        <v>0</v>
      </c>
      <c r="L2189">
        <v>0</v>
      </c>
      <c r="M2189">
        <v>0</v>
      </c>
      <c r="N2189">
        <v>0</v>
      </c>
      <c r="O2189" t="str" cm="1">
        <f t="array" ref="O2189">_xlfn.IFS(Table1[[#This Row],[Divorced]]=1, "Divorced", Table1[[#This Row],[Married]]=1, "Married", Table1[[#This Row],[Single]]=1, "Single", Table1[[#This Row],[Together]]=1, "Together", Table1[[#This Row],[Widow]]=1, "Widow")</f>
        <v>Together</v>
      </c>
      <c r="P2189" t="str" cm="1">
        <f t="array" ref="P2189">_xlfn.IFS(Table1[[#This Row],[Basic]]=1, "Basic", Table1[[#This Row],[Graduate]]=1, "Graduate", Table1[[#This Row],[Master]]=1, "Master", Table1[[#This Row],[PhD]]=1, "PhD", AND(Table1[[#This Row],[Basic]]=0, Table1[[#This Row],[Graduate]]=0, Table1[[#This Row],[Master]]=0, Table1[[#This Row],[PhD]]=0), "NA")</f>
        <v>NA</v>
      </c>
      <c r="Q2189" t="e">
        <f>_xlfn.XLOOKUP(Table1[[#This Row],[ID]], Table2[ID],#REF!, "Not Found", 0)</f>
        <v>#REF!</v>
      </c>
      <c r="R2189" t="e">
        <f>_xlfn.XLOOKUP(Table1[[#This Row],[ID]], Table2[ID],#REF!, "Not Found", 0)</f>
        <v>#REF!</v>
      </c>
      <c r="S2189" s="3">
        <f>_xlfn.XLOOKUP(Table1[[#This Row],[ID]], Table2[ID], Table2[Enrollment], "Not Found", 0)</f>
        <v>44053</v>
      </c>
      <c r="T2189" t="s">
        <v>438</v>
      </c>
    </row>
    <row r="2190" spans="1:20" x14ac:dyDescent="0.3">
      <c r="A2190">
        <v>1369</v>
      </c>
      <c r="B2190">
        <v>110245</v>
      </c>
      <c r="C2190">
        <v>1</v>
      </c>
      <c r="D2190">
        <v>0</v>
      </c>
      <c r="E2190">
        <v>49</v>
      </c>
      <c r="F2190">
        <v>0</v>
      </c>
      <c r="G2190">
        <v>0</v>
      </c>
      <c r="H2190">
        <v>1</v>
      </c>
      <c r="I2190">
        <v>0</v>
      </c>
      <c r="J2190">
        <v>0</v>
      </c>
      <c r="K2190">
        <v>0</v>
      </c>
      <c r="L2190">
        <v>1</v>
      </c>
      <c r="M2190">
        <v>0</v>
      </c>
      <c r="N2190">
        <v>0</v>
      </c>
      <c r="O2190" t="str" cm="1">
        <f t="array" ref="O2190">_xlfn.IFS(Table1[[#This Row],[Divorced]]=1, "Divorced", Table1[[#This Row],[Married]]=1, "Married", Table1[[#This Row],[Single]]=1, "Single", Table1[[#This Row],[Together]]=1, "Together", Table1[[#This Row],[Widow]]=1, "Widow")</f>
        <v>Single</v>
      </c>
      <c r="P2190" t="str" cm="1">
        <f t="array" ref="P2190">_xlfn.IFS(Table1[[#This Row],[Basic]]=1, "Basic", Table1[[#This Row],[Graduate]]=1, "Graduate", Table1[[#This Row],[Master]]=1, "Master", Table1[[#This Row],[PhD]]=1, "PhD", AND(Table1[[#This Row],[Basic]]=0, Table1[[#This Row],[Graduate]]=0, Table1[[#This Row],[Master]]=0, Table1[[#This Row],[PhD]]=0), "NA")</f>
        <v>Graduate</v>
      </c>
      <c r="Q2190" t="e">
        <f>_xlfn.XLOOKUP(Table1[[#This Row],[ID]], Table2[ID],#REF!, "Not Found", 0)</f>
        <v>#REF!</v>
      </c>
      <c r="R2190" t="e">
        <f>_xlfn.XLOOKUP(Table1[[#This Row],[ID]], Table2[ID],#REF!, "Not Found", 0)</f>
        <v>#REF!</v>
      </c>
      <c r="S2190" s="3" t="str">
        <f>_xlfn.XLOOKUP(Table1[[#This Row],[ID]], Table2[ID], Table2[Enrollment], "Not Found", 0)</f>
        <v>10/20/2019</v>
      </c>
      <c r="T2190" t="s">
        <v>437</v>
      </c>
    </row>
    <row r="2191" spans="1:20" x14ac:dyDescent="0.3">
      <c r="A2191">
        <v>2679</v>
      </c>
      <c r="B2191">
        <v>109722</v>
      </c>
      <c r="C2191">
        <v>1</v>
      </c>
      <c r="D2191">
        <v>0</v>
      </c>
      <c r="E2191">
        <v>47</v>
      </c>
      <c r="F2191">
        <v>0</v>
      </c>
      <c r="G2191">
        <v>0</v>
      </c>
      <c r="H2191">
        <v>0</v>
      </c>
      <c r="I2191">
        <v>1</v>
      </c>
      <c r="J2191">
        <v>0</v>
      </c>
      <c r="K2191">
        <v>1</v>
      </c>
      <c r="L2191">
        <v>0</v>
      </c>
      <c r="M2191">
        <v>0</v>
      </c>
      <c r="N2191">
        <v>0</v>
      </c>
      <c r="O2191" t="str" cm="1">
        <f t="array" ref="O2191">_xlfn.IFS(Table1[[#This Row],[Divorced]]=1, "Divorced", Table1[[#This Row],[Married]]=1, "Married", Table1[[#This Row],[Single]]=1, "Single", Table1[[#This Row],[Together]]=1, "Together", Table1[[#This Row],[Widow]]=1, "Widow")</f>
        <v>Together</v>
      </c>
      <c r="P2191" t="str" cm="1">
        <f t="array" ref="P2191">_xlfn.IFS(Table1[[#This Row],[Basic]]=1, "Basic", Table1[[#This Row],[Graduate]]=1, "Graduate", Table1[[#This Row],[Master]]=1, "Master", Table1[[#This Row],[PhD]]=1, "PhD", AND(Table1[[#This Row],[Basic]]=0, Table1[[#This Row],[Graduate]]=0, Table1[[#This Row],[Master]]=0, Table1[[#This Row],[PhD]]=0), "NA")</f>
        <v>Basic</v>
      </c>
      <c r="Q2191" t="e">
        <f>_xlfn.XLOOKUP(Table1[[#This Row],[ID]], Table2[ID],#REF!, "Not Found", 0)</f>
        <v>#REF!</v>
      </c>
      <c r="R2191" t="e">
        <f>_xlfn.XLOOKUP(Table1[[#This Row],[ID]], Table2[ID],#REF!, "Not Found", 0)</f>
        <v>#REF!</v>
      </c>
      <c r="S2191" s="3">
        <f>_xlfn.XLOOKUP(Table1[[#This Row],[ID]], Table2[ID], Table2[Enrollment], "Not Found", 0)</f>
        <v>43711</v>
      </c>
      <c r="T2191" t="s">
        <v>435</v>
      </c>
    </row>
    <row r="2192" spans="1:20" x14ac:dyDescent="0.3">
      <c r="A2192">
        <v>1126</v>
      </c>
      <c r="B2192">
        <v>109548</v>
      </c>
      <c r="C2192">
        <v>1</v>
      </c>
      <c r="D2192">
        <v>0</v>
      </c>
      <c r="E2192">
        <v>44</v>
      </c>
      <c r="F2192">
        <v>1</v>
      </c>
      <c r="G2192">
        <v>0</v>
      </c>
      <c r="H2192">
        <v>0</v>
      </c>
      <c r="I2192">
        <v>0</v>
      </c>
      <c r="J2192">
        <v>0</v>
      </c>
      <c r="K2192">
        <v>1</v>
      </c>
      <c r="L2192">
        <v>0</v>
      </c>
      <c r="M2192">
        <v>0</v>
      </c>
      <c r="N2192">
        <v>0</v>
      </c>
      <c r="O2192" t="str" cm="1">
        <f t="array" ref="O2192">_xlfn.IFS(Table1[[#This Row],[Divorced]]=1, "Divorced", Table1[[#This Row],[Married]]=1, "Married", Table1[[#This Row],[Single]]=1, "Single", Table1[[#This Row],[Together]]=1, "Together", Table1[[#This Row],[Widow]]=1, "Widow")</f>
        <v>Divorced</v>
      </c>
      <c r="P2192" t="str" cm="1">
        <f t="array" ref="P2192">_xlfn.IFS(Table1[[#This Row],[Basic]]=1, "Basic", Table1[[#This Row],[Graduate]]=1, "Graduate", Table1[[#This Row],[Master]]=1, "Master", Table1[[#This Row],[PhD]]=1, "PhD", AND(Table1[[#This Row],[Basic]]=0, Table1[[#This Row],[Graduate]]=0, Table1[[#This Row],[Master]]=0, Table1[[#This Row],[PhD]]=0), "NA")</f>
        <v>Basic</v>
      </c>
      <c r="Q2192" t="e">
        <f>_xlfn.XLOOKUP(Table1[[#This Row],[ID]], Table2[ID],#REF!, "Not Found", 0)</f>
        <v>#REF!</v>
      </c>
      <c r="R2192" t="e">
        <f>_xlfn.XLOOKUP(Table1[[#This Row],[ID]], Table2[ID],#REF!, "Not Found", 0)</f>
        <v>#REF!</v>
      </c>
      <c r="S2192" s="3" t="str">
        <f>_xlfn.XLOOKUP(Table1[[#This Row],[ID]], Table2[ID], Table2[Enrollment], "Not Found", 0)</f>
        <v>1/13/2019</v>
      </c>
      <c r="T2192" t="s">
        <v>439</v>
      </c>
    </row>
    <row r="2193" spans="1:20" x14ac:dyDescent="0.3">
      <c r="A2193">
        <v>2512</v>
      </c>
      <c r="B2193">
        <v>109255</v>
      </c>
      <c r="C2193">
        <v>1</v>
      </c>
      <c r="D2193">
        <v>0</v>
      </c>
      <c r="E2193">
        <v>31</v>
      </c>
      <c r="F2193">
        <v>0</v>
      </c>
      <c r="G2193">
        <v>0</v>
      </c>
      <c r="H2193">
        <v>1</v>
      </c>
      <c r="I2193">
        <v>0</v>
      </c>
      <c r="J2193">
        <v>0</v>
      </c>
      <c r="K2193">
        <v>0</v>
      </c>
      <c r="L2193">
        <v>1</v>
      </c>
      <c r="M2193">
        <v>0</v>
      </c>
      <c r="N2193">
        <v>0</v>
      </c>
      <c r="O2193" t="str" cm="1">
        <f t="array" ref="O2193">_xlfn.IFS(Table1[[#This Row],[Divorced]]=1, "Divorced", Table1[[#This Row],[Married]]=1, "Married", Table1[[#This Row],[Single]]=1, "Single", Table1[[#This Row],[Together]]=1, "Together", Table1[[#This Row],[Widow]]=1, "Widow")</f>
        <v>Single</v>
      </c>
      <c r="P2193" t="str" cm="1">
        <f t="array" ref="P2193">_xlfn.IFS(Table1[[#This Row],[Basic]]=1, "Basic", Table1[[#This Row],[Graduate]]=1, "Graduate", Table1[[#This Row],[Master]]=1, "Master", Table1[[#This Row],[PhD]]=1, "PhD", AND(Table1[[#This Row],[Basic]]=0, Table1[[#This Row],[Graduate]]=0, Table1[[#This Row],[Master]]=0, Table1[[#This Row],[PhD]]=0), "NA")</f>
        <v>Graduate</v>
      </c>
      <c r="Q2193" t="e">
        <f>_xlfn.XLOOKUP(Table1[[#This Row],[ID]], Table2[ID],#REF!, "Not Found", 0)</f>
        <v>#REF!</v>
      </c>
      <c r="R2193" t="e">
        <f>_xlfn.XLOOKUP(Table1[[#This Row],[ID]], Table2[ID],#REF!, "Not Found", 0)</f>
        <v>#REF!</v>
      </c>
      <c r="S2193" s="3" t="str">
        <f>_xlfn.XLOOKUP(Table1[[#This Row],[ID]], Table2[ID], Table2[Enrollment], "Not Found", 0)</f>
        <v>5/26/2020</v>
      </c>
      <c r="T2193" t="s">
        <v>439</v>
      </c>
    </row>
    <row r="2194" spans="1:20" x14ac:dyDescent="0.3">
      <c r="A2194">
        <v>2201</v>
      </c>
      <c r="B2194">
        <v>108940</v>
      </c>
      <c r="C2194">
        <v>1</v>
      </c>
      <c r="D2194">
        <v>0</v>
      </c>
      <c r="E2194">
        <v>34</v>
      </c>
      <c r="F2194">
        <v>0</v>
      </c>
      <c r="G2194">
        <v>0</v>
      </c>
      <c r="H2194">
        <v>1</v>
      </c>
      <c r="I2194">
        <v>0</v>
      </c>
      <c r="J2194">
        <v>0</v>
      </c>
      <c r="K2194">
        <v>1</v>
      </c>
      <c r="L2194">
        <v>0</v>
      </c>
      <c r="M2194">
        <v>0</v>
      </c>
      <c r="N2194">
        <v>0</v>
      </c>
      <c r="O2194" t="str" cm="1">
        <f t="array" ref="O2194">_xlfn.IFS(Table1[[#This Row],[Divorced]]=1, "Divorced", Table1[[#This Row],[Married]]=1, "Married", Table1[[#This Row],[Single]]=1, "Single", Table1[[#This Row],[Together]]=1, "Together", Table1[[#This Row],[Widow]]=1, "Widow")</f>
        <v>Single</v>
      </c>
      <c r="P2194" t="str" cm="1">
        <f t="array" ref="P2194">_xlfn.IFS(Table1[[#This Row],[Basic]]=1, "Basic", Table1[[#This Row],[Graduate]]=1, "Graduate", Table1[[#This Row],[Master]]=1, "Master", Table1[[#This Row],[PhD]]=1, "PhD", AND(Table1[[#This Row],[Basic]]=0, Table1[[#This Row],[Graduate]]=0, Table1[[#This Row],[Master]]=0, Table1[[#This Row],[PhD]]=0), "NA")</f>
        <v>Basic</v>
      </c>
      <c r="Q2194" t="e">
        <f>_xlfn.XLOOKUP(Table1[[#This Row],[ID]], Table2[ID],#REF!, "Not Found", 0)</f>
        <v>#REF!</v>
      </c>
      <c r="R2194" t="e">
        <f>_xlfn.XLOOKUP(Table1[[#This Row],[ID]], Table2[ID],#REF!, "Not Found", 0)</f>
        <v>#REF!</v>
      </c>
      <c r="S2194" s="3" t="str">
        <f>_xlfn.XLOOKUP(Table1[[#This Row],[ID]], Table2[ID], Table2[Enrollment], "Not Found", 0)</f>
        <v>1/27/2019</v>
      </c>
      <c r="T2194" t="s">
        <v>434</v>
      </c>
    </row>
    <row r="2195" spans="1:20" x14ac:dyDescent="0.3">
      <c r="A2195">
        <v>3163</v>
      </c>
      <c r="B2195">
        <v>108820</v>
      </c>
      <c r="C2195">
        <v>1</v>
      </c>
      <c r="D2195">
        <v>1</v>
      </c>
      <c r="E2195">
        <v>68</v>
      </c>
      <c r="F2195">
        <v>0</v>
      </c>
      <c r="G2195">
        <v>0</v>
      </c>
      <c r="H2195">
        <v>1</v>
      </c>
      <c r="I2195">
        <v>0</v>
      </c>
      <c r="J2195">
        <v>0</v>
      </c>
      <c r="K2195">
        <v>0</v>
      </c>
      <c r="L2195">
        <v>0</v>
      </c>
      <c r="M2195">
        <v>1</v>
      </c>
      <c r="N2195">
        <v>0</v>
      </c>
      <c r="O2195" t="str" cm="1">
        <f t="array" ref="O2195">_xlfn.IFS(Table1[[#This Row],[Divorced]]=1, "Divorced", Table1[[#This Row],[Married]]=1, "Married", Table1[[#This Row],[Single]]=1, "Single", Table1[[#This Row],[Together]]=1, "Together", Table1[[#This Row],[Widow]]=1, "Widow")</f>
        <v>Single</v>
      </c>
      <c r="P2195" t="str" cm="1">
        <f t="array" ref="P2195">_xlfn.IFS(Table1[[#This Row],[Basic]]=1, "Basic", Table1[[#This Row],[Graduate]]=1, "Graduate", Table1[[#This Row],[Master]]=1, "Master", Table1[[#This Row],[PhD]]=1, "PhD", AND(Table1[[#This Row],[Basic]]=0, Table1[[#This Row],[Graduate]]=0, Table1[[#This Row],[Master]]=0, Table1[[#This Row],[PhD]]=0), "NA")</f>
        <v>Master</v>
      </c>
      <c r="Q2195" t="e">
        <f>_xlfn.XLOOKUP(Table1[[#This Row],[ID]], Table2[ID],#REF!, "Not Found", 0)</f>
        <v>#REF!</v>
      </c>
      <c r="R2195" t="e">
        <f>_xlfn.XLOOKUP(Table1[[#This Row],[ID]], Table2[ID],#REF!, "Not Found", 0)</f>
        <v>#REF!</v>
      </c>
      <c r="S2195" s="3" t="str">
        <f>_xlfn.XLOOKUP(Table1[[#This Row],[ID]], Table2[ID], Table2[Enrollment], "Not Found", 0)</f>
        <v>8/27/2019</v>
      </c>
      <c r="T2195" t="s">
        <v>437</v>
      </c>
    </row>
    <row r="2196" spans="1:20" x14ac:dyDescent="0.3">
      <c r="A2196">
        <v>2023</v>
      </c>
      <c r="B2196">
        <v>108028</v>
      </c>
      <c r="C2196">
        <v>0</v>
      </c>
      <c r="D2196">
        <v>0</v>
      </c>
      <c r="E2196">
        <v>29</v>
      </c>
      <c r="F2196">
        <v>0</v>
      </c>
      <c r="G2196">
        <v>0</v>
      </c>
      <c r="H2196">
        <v>1</v>
      </c>
      <c r="I2196">
        <v>0</v>
      </c>
      <c r="J2196">
        <v>0</v>
      </c>
      <c r="K2196">
        <v>0</v>
      </c>
      <c r="L2196">
        <v>1</v>
      </c>
      <c r="M2196">
        <v>0</v>
      </c>
      <c r="N2196">
        <v>0</v>
      </c>
      <c r="O2196" t="str" cm="1">
        <f t="array" ref="O2196">_xlfn.IFS(Table1[[#This Row],[Divorced]]=1, "Divorced", Table1[[#This Row],[Married]]=1, "Married", Table1[[#This Row],[Single]]=1, "Single", Table1[[#This Row],[Together]]=1, "Together", Table1[[#This Row],[Widow]]=1, "Widow")</f>
        <v>Single</v>
      </c>
      <c r="P2196" t="str" cm="1">
        <f t="array" ref="P2196">_xlfn.IFS(Table1[[#This Row],[Basic]]=1, "Basic", Table1[[#This Row],[Graduate]]=1, "Graduate", Table1[[#This Row],[Master]]=1, "Master", Table1[[#This Row],[PhD]]=1, "PhD", AND(Table1[[#This Row],[Basic]]=0, Table1[[#This Row],[Graduate]]=0, Table1[[#This Row],[Master]]=0, Table1[[#This Row],[PhD]]=0), "NA")</f>
        <v>Graduate</v>
      </c>
      <c r="Q2196" t="e">
        <f>_xlfn.XLOOKUP(Table1[[#This Row],[ID]], Table2[ID],#REF!, "Not Found", 0)</f>
        <v>#REF!</v>
      </c>
      <c r="R2196" t="e">
        <f>_xlfn.XLOOKUP(Table1[[#This Row],[ID]], Table2[ID],#REF!, "Not Found", 0)</f>
        <v>#REF!</v>
      </c>
      <c r="S2196" s="3" t="str">
        <f>_xlfn.XLOOKUP(Table1[[#This Row],[ID]], Table2[ID], Table2[Enrollment], "Not Found", 0)</f>
        <v>2/23/2019</v>
      </c>
      <c r="T2196" t="s">
        <v>437</v>
      </c>
    </row>
    <row r="2197" spans="1:20" x14ac:dyDescent="0.3">
      <c r="A2197">
        <v>1226</v>
      </c>
      <c r="B2197">
        <v>107500</v>
      </c>
      <c r="C2197">
        <v>1</v>
      </c>
      <c r="D2197">
        <v>0</v>
      </c>
      <c r="E2197">
        <v>47</v>
      </c>
      <c r="F2197">
        <v>0</v>
      </c>
      <c r="G2197">
        <v>0</v>
      </c>
      <c r="H2197">
        <v>1</v>
      </c>
      <c r="I2197">
        <v>0</v>
      </c>
      <c r="J2197">
        <v>0</v>
      </c>
      <c r="K2197">
        <v>0</v>
      </c>
      <c r="L2197">
        <v>1</v>
      </c>
      <c r="M2197">
        <v>0</v>
      </c>
      <c r="N2197">
        <v>0</v>
      </c>
      <c r="O2197" t="str" cm="1">
        <f t="array" ref="O2197">_xlfn.IFS(Table1[[#This Row],[Divorced]]=1, "Divorced", Table1[[#This Row],[Married]]=1, "Married", Table1[[#This Row],[Single]]=1, "Single", Table1[[#This Row],[Together]]=1, "Together", Table1[[#This Row],[Widow]]=1, "Widow")</f>
        <v>Single</v>
      </c>
      <c r="P2197" t="str" cm="1">
        <f t="array" ref="P2197">_xlfn.IFS(Table1[[#This Row],[Basic]]=1, "Basic", Table1[[#This Row],[Graduate]]=1, "Graduate", Table1[[#This Row],[Master]]=1, "Master", Table1[[#This Row],[PhD]]=1, "PhD", AND(Table1[[#This Row],[Basic]]=0, Table1[[#This Row],[Graduate]]=0, Table1[[#This Row],[Master]]=0, Table1[[#This Row],[PhD]]=0), "NA")</f>
        <v>Graduate</v>
      </c>
      <c r="Q2197" t="e">
        <f>_xlfn.XLOOKUP(Table1[[#This Row],[ID]], Table2[ID],#REF!, "Not Found", 0)</f>
        <v>#REF!</v>
      </c>
      <c r="R2197" t="e">
        <f>_xlfn.XLOOKUP(Table1[[#This Row],[ID]], Table2[ID],#REF!, "Not Found", 0)</f>
        <v>#REF!</v>
      </c>
      <c r="S2197" s="3">
        <f>_xlfn.XLOOKUP(Table1[[#This Row],[ID]], Table2[ID], Table2[Enrollment], "Not Found", 0)</f>
        <v>43836</v>
      </c>
      <c r="T2197" t="s">
        <v>438</v>
      </c>
    </row>
    <row r="2198" spans="1:20" x14ac:dyDescent="0.3">
      <c r="A2198">
        <v>1042</v>
      </c>
      <c r="B2198">
        <v>107500</v>
      </c>
      <c r="C2198">
        <v>1</v>
      </c>
      <c r="D2198">
        <v>0</v>
      </c>
      <c r="E2198">
        <v>45</v>
      </c>
      <c r="F2198">
        <v>0</v>
      </c>
      <c r="G2198">
        <v>1</v>
      </c>
      <c r="H2198">
        <v>0</v>
      </c>
      <c r="I2198">
        <v>0</v>
      </c>
      <c r="J2198">
        <v>0</v>
      </c>
      <c r="K2198">
        <v>0</v>
      </c>
      <c r="L2198">
        <v>0</v>
      </c>
      <c r="M2198">
        <v>1</v>
      </c>
      <c r="N2198">
        <v>0</v>
      </c>
      <c r="O2198" t="str" cm="1">
        <f t="array" ref="O2198">_xlfn.IFS(Table1[[#This Row],[Divorced]]=1, "Divorced", Table1[[#This Row],[Married]]=1, "Married", Table1[[#This Row],[Single]]=1, "Single", Table1[[#This Row],[Together]]=1, "Together", Table1[[#This Row],[Widow]]=1, "Widow")</f>
        <v>Married</v>
      </c>
      <c r="P2198" t="str" cm="1">
        <f t="array" ref="P2198">_xlfn.IFS(Table1[[#This Row],[Basic]]=1, "Basic", Table1[[#This Row],[Graduate]]=1, "Graduate", Table1[[#This Row],[Master]]=1, "Master", Table1[[#This Row],[PhD]]=1, "PhD", AND(Table1[[#This Row],[Basic]]=0, Table1[[#This Row],[Graduate]]=0, Table1[[#This Row],[Master]]=0, Table1[[#This Row],[PhD]]=0), "NA")</f>
        <v>Master</v>
      </c>
      <c r="Q2198" t="e">
        <f>_xlfn.XLOOKUP(Table1[[#This Row],[ID]], Table2[ID],#REF!, "Not Found", 0)</f>
        <v>#REF!</v>
      </c>
      <c r="R2198" t="e">
        <f>_xlfn.XLOOKUP(Table1[[#This Row],[ID]], Table2[ID],#REF!, "Not Found", 0)</f>
        <v>#REF!</v>
      </c>
      <c r="S2198" s="3">
        <f>_xlfn.XLOOKUP(Table1[[#This Row],[ID]], Table2[ID], Table2[Enrollment], "Not Found", 0)</f>
        <v>44046</v>
      </c>
      <c r="T2198" t="s">
        <v>439</v>
      </c>
    </row>
    <row r="2199" spans="1:20" x14ac:dyDescent="0.3">
      <c r="A2199">
        <v>1011</v>
      </c>
      <c r="B2199">
        <v>107500</v>
      </c>
      <c r="C2199">
        <v>0</v>
      </c>
      <c r="D2199">
        <v>0</v>
      </c>
      <c r="E2199">
        <v>44</v>
      </c>
      <c r="F2199">
        <v>0</v>
      </c>
      <c r="G2199">
        <v>1</v>
      </c>
      <c r="H2199">
        <v>0</v>
      </c>
      <c r="I2199">
        <v>0</v>
      </c>
      <c r="J2199">
        <v>0</v>
      </c>
      <c r="K2199">
        <v>1</v>
      </c>
      <c r="L2199">
        <v>0</v>
      </c>
      <c r="M2199">
        <v>0</v>
      </c>
      <c r="N2199">
        <v>0</v>
      </c>
      <c r="O2199" t="str" cm="1">
        <f t="array" ref="O2199">_xlfn.IFS(Table1[[#This Row],[Divorced]]=1, "Divorced", Table1[[#This Row],[Married]]=1, "Married", Table1[[#This Row],[Single]]=1, "Single", Table1[[#This Row],[Together]]=1, "Together", Table1[[#This Row],[Widow]]=1, "Widow")</f>
        <v>Married</v>
      </c>
      <c r="P2199" t="str" cm="1">
        <f t="array" ref="P2199">_xlfn.IFS(Table1[[#This Row],[Basic]]=1, "Basic", Table1[[#This Row],[Graduate]]=1, "Graduate", Table1[[#This Row],[Master]]=1, "Master", Table1[[#This Row],[PhD]]=1, "PhD", AND(Table1[[#This Row],[Basic]]=0, Table1[[#This Row],[Graduate]]=0, Table1[[#This Row],[Master]]=0, Table1[[#This Row],[PhD]]=0), "NA")</f>
        <v>Basic</v>
      </c>
      <c r="Q2199" t="e">
        <f>_xlfn.XLOOKUP(Table1[[#This Row],[ID]], Table2[ID],#REF!, "Not Found", 0)</f>
        <v>#REF!</v>
      </c>
      <c r="R2199" t="e">
        <f>_xlfn.XLOOKUP(Table1[[#This Row],[ID]], Table2[ID],#REF!, "Not Found", 0)</f>
        <v>#REF!</v>
      </c>
      <c r="S2199" s="3" t="str">
        <f>_xlfn.XLOOKUP(Table1[[#This Row],[ID]], Table2[ID], Table2[Enrollment], "Not Found", 0)</f>
        <v>4/20/2019</v>
      </c>
      <c r="T2199" t="s">
        <v>435</v>
      </c>
    </row>
    <row r="2200" spans="1:20" x14ac:dyDescent="0.3">
      <c r="A2200">
        <v>1705</v>
      </c>
      <c r="B2200">
        <v>107500</v>
      </c>
      <c r="C2200">
        <v>1</v>
      </c>
      <c r="D2200">
        <v>0</v>
      </c>
      <c r="E2200">
        <v>44</v>
      </c>
      <c r="F2200">
        <v>0</v>
      </c>
      <c r="G2200">
        <v>1</v>
      </c>
      <c r="H2200">
        <v>0</v>
      </c>
      <c r="I2200">
        <v>0</v>
      </c>
      <c r="J2200">
        <v>0</v>
      </c>
      <c r="K2200">
        <v>0</v>
      </c>
      <c r="L2200">
        <v>1</v>
      </c>
      <c r="M2200">
        <v>0</v>
      </c>
      <c r="N2200">
        <v>0</v>
      </c>
      <c r="O2200" t="str" cm="1">
        <f t="array" ref="O2200">_xlfn.IFS(Table1[[#This Row],[Divorced]]=1, "Divorced", Table1[[#This Row],[Married]]=1, "Married", Table1[[#This Row],[Single]]=1, "Single", Table1[[#This Row],[Together]]=1, "Together", Table1[[#This Row],[Widow]]=1, "Widow")</f>
        <v>Married</v>
      </c>
      <c r="P2200" t="str" cm="1">
        <f t="array" ref="P2200">_xlfn.IFS(Table1[[#This Row],[Basic]]=1, "Basic", Table1[[#This Row],[Graduate]]=1, "Graduate", Table1[[#This Row],[Master]]=1, "Master", Table1[[#This Row],[PhD]]=1, "PhD", AND(Table1[[#This Row],[Basic]]=0, Table1[[#This Row],[Graduate]]=0, Table1[[#This Row],[Master]]=0, Table1[[#This Row],[PhD]]=0), "NA")</f>
        <v>Graduate</v>
      </c>
      <c r="Q2200" t="e">
        <f>_xlfn.XLOOKUP(Table1[[#This Row],[ID]], Table2[ID],#REF!, "Not Found", 0)</f>
        <v>#REF!</v>
      </c>
      <c r="R2200" t="e">
        <f>_xlfn.XLOOKUP(Table1[[#This Row],[ID]], Table2[ID],#REF!, "Not Found", 0)</f>
        <v>#REF!</v>
      </c>
      <c r="S2200" s="3">
        <f>_xlfn.XLOOKUP(Table1[[#This Row],[ID]], Table2[ID], Table2[Enrollment], "Not Found", 0)</f>
        <v>43617</v>
      </c>
      <c r="T2200" t="s">
        <v>437</v>
      </c>
    </row>
    <row r="2201" spans="1:20" x14ac:dyDescent="0.3">
      <c r="A2201">
        <v>2280</v>
      </c>
      <c r="B2201">
        <v>107500</v>
      </c>
      <c r="C2201">
        <v>1</v>
      </c>
      <c r="D2201">
        <v>1</v>
      </c>
      <c r="E2201">
        <v>42</v>
      </c>
      <c r="F2201">
        <v>0</v>
      </c>
      <c r="G2201">
        <v>0</v>
      </c>
      <c r="H2201">
        <v>1</v>
      </c>
      <c r="I2201">
        <v>0</v>
      </c>
      <c r="J2201">
        <v>0</v>
      </c>
      <c r="K2201">
        <v>0</v>
      </c>
      <c r="L2201">
        <v>1</v>
      </c>
      <c r="M2201">
        <v>0</v>
      </c>
      <c r="N2201">
        <v>0</v>
      </c>
      <c r="O2201" t="str" cm="1">
        <f t="array" ref="O2201">_xlfn.IFS(Table1[[#This Row],[Divorced]]=1, "Divorced", Table1[[#This Row],[Married]]=1, "Married", Table1[[#This Row],[Single]]=1, "Single", Table1[[#This Row],[Together]]=1, "Together", Table1[[#This Row],[Widow]]=1, "Widow")</f>
        <v>Single</v>
      </c>
      <c r="P2201" t="str" cm="1">
        <f t="array" ref="P2201">_xlfn.IFS(Table1[[#This Row],[Basic]]=1, "Basic", Table1[[#This Row],[Graduate]]=1, "Graduate", Table1[[#This Row],[Master]]=1, "Master", Table1[[#This Row],[PhD]]=1, "PhD", AND(Table1[[#This Row],[Basic]]=0, Table1[[#This Row],[Graduate]]=0, Table1[[#This Row],[Master]]=0, Table1[[#This Row],[PhD]]=0), "NA")</f>
        <v>Graduate</v>
      </c>
      <c r="Q2201" t="e">
        <f>_xlfn.XLOOKUP(Table1[[#This Row],[ID]], Table2[ID],#REF!, "Not Found", 0)</f>
        <v>#REF!</v>
      </c>
      <c r="R2201" t="e">
        <f>_xlfn.XLOOKUP(Table1[[#This Row],[ID]], Table2[ID],#REF!, "Not Found", 0)</f>
        <v>#REF!</v>
      </c>
      <c r="S2201" s="3">
        <f>_xlfn.XLOOKUP(Table1[[#This Row],[ID]], Table2[ID], Table2[Enrollment], "Not Found", 0)</f>
        <v>43530</v>
      </c>
      <c r="T2201" t="s">
        <v>436</v>
      </c>
    </row>
    <row r="2202" spans="1:20" x14ac:dyDescent="0.3">
      <c r="A2202">
        <v>2133</v>
      </c>
      <c r="B2202">
        <v>107500</v>
      </c>
      <c r="C2202">
        <v>0</v>
      </c>
      <c r="D2202">
        <v>1</v>
      </c>
      <c r="E2202">
        <v>41</v>
      </c>
      <c r="F2202">
        <v>0</v>
      </c>
      <c r="G2202">
        <v>1</v>
      </c>
      <c r="H2202">
        <v>0</v>
      </c>
      <c r="I2202">
        <v>0</v>
      </c>
      <c r="J2202">
        <v>0</v>
      </c>
      <c r="K2202">
        <v>0</v>
      </c>
      <c r="L2202">
        <v>1</v>
      </c>
      <c r="M2202">
        <v>0</v>
      </c>
      <c r="N2202">
        <v>0</v>
      </c>
      <c r="O2202" t="str" cm="1">
        <f t="array" ref="O2202">_xlfn.IFS(Table1[[#This Row],[Divorced]]=1, "Divorced", Table1[[#This Row],[Married]]=1, "Married", Table1[[#This Row],[Single]]=1, "Single", Table1[[#This Row],[Together]]=1, "Together", Table1[[#This Row],[Widow]]=1, "Widow")</f>
        <v>Married</v>
      </c>
      <c r="P2202" t="str" cm="1">
        <f t="array" ref="P2202">_xlfn.IFS(Table1[[#This Row],[Basic]]=1, "Basic", Table1[[#This Row],[Graduate]]=1, "Graduate", Table1[[#This Row],[Master]]=1, "Master", Table1[[#This Row],[PhD]]=1, "PhD", AND(Table1[[#This Row],[Basic]]=0, Table1[[#This Row],[Graduate]]=0, Table1[[#This Row],[Master]]=0, Table1[[#This Row],[PhD]]=0), "NA")</f>
        <v>Graduate</v>
      </c>
      <c r="Q2202" t="e">
        <f>_xlfn.XLOOKUP(Table1[[#This Row],[ID]], Table2[ID],#REF!, "Not Found", 0)</f>
        <v>#REF!</v>
      </c>
      <c r="R2202" t="e">
        <f>_xlfn.XLOOKUP(Table1[[#This Row],[ID]], Table2[ID],#REF!, "Not Found", 0)</f>
        <v>#REF!</v>
      </c>
      <c r="S2202" s="3">
        <f>_xlfn.XLOOKUP(Table1[[#This Row],[ID]], Table2[ID], Table2[Enrollment], "Not Found", 0)</f>
        <v>43526</v>
      </c>
      <c r="T2202" t="s">
        <v>435</v>
      </c>
    </row>
    <row r="2203" spans="1:20" x14ac:dyDescent="0.3">
      <c r="A2203">
        <v>3190</v>
      </c>
      <c r="B2203">
        <v>107500</v>
      </c>
      <c r="C2203">
        <v>1</v>
      </c>
      <c r="D2203">
        <v>0</v>
      </c>
      <c r="E2203">
        <v>41</v>
      </c>
      <c r="F2203">
        <v>0</v>
      </c>
      <c r="G2203">
        <v>0</v>
      </c>
      <c r="H2203">
        <v>0</v>
      </c>
      <c r="I2203">
        <v>1</v>
      </c>
      <c r="J2203">
        <v>0</v>
      </c>
      <c r="K2203">
        <v>0</v>
      </c>
      <c r="L2203">
        <v>0</v>
      </c>
      <c r="M2203">
        <v>0</v>
      </c>
      <c r="N2203">
        <v>0</v>
      </c>
      <c r="O2203" t="str" cm="1">
        <f t="array" ref="O2203">_xlfn.IFS(Table1[[#This Row],[Divorced]]=1, "Divorced", Table1[[#This Row],[Married]]=1, "Married", Table1[[#This Row],[Single]]=1, "Single", Table1[[#This Row],[Together]]=1, "Together", Table1[[#This Row],[Widow]]=1, "Widow")</f>
        <v>Together</v>
      </c>
      <c r="P2203" t="str" cm="1">
        <f t="array" ref="P2203">_xlfn.IFS(Table1[[#This Row],[Basic]]=1, "Basic", Table1[[#This Row],[Graduate]]=1, "Graduate", Table1[[#This Row],[Master]]=1, "Master", Table1[[#This Row],[PhD]]=1, "PhD", AND(Table1[[#This Row],[Basic]]=0, Table1[[#This Row],[Graduate]]=0, Table1[[#This Row],[Master]]=0, Table1[[#This Row],[PhD]]=0), "NA")</f>
        <v>NA</v>
      </c>
      <c r="Q2203" t="e">
        <f>_xlfn.XLOOKUP(Table1[[#This Row],[ID]], Table2[ID],#REF!, "Not Found", 0)</f>
        <v>#REF!</v>
      </c>
      <c r="R2203" t="e">
        <f>_xlfn.XLOOKUP(Table1[[#This Row],[ID]], Table2[ID],#REF!, "Not Found", 0)</f>
        <v>#REF!</v>
      </c>
      <c r="S2203" s="3">
        <f>_xlfn.XLOOKUP(Table1[[#This Row],[ID]], Table2[ID], Table2[Enrollment], "Not Found", 0)</f>
        <v>43809</v>
      </c>
      <c r="T2203" t="s">
        <v>439</v>
      </c>
    </row>
    <row r="2204" spans="1:20" x14ac:dyDescent="0.3">
      <c r="A2204">
        <v>3004</v>
      </c>
      <c r="B2204">
        <v>107500</v>
      </c>
      <c r="C2204">
        <v>1</v>
      </c>
      <c r="D2204">
        <v>0</v>
      </c>
      <c r="E2204">
        <v>35</v>
      </c>
      <c r="F2204">
        <v>0</v>
      </c>
      <c r="G2204">
        <v>0</v>
      </c>
      <c r="H2204">
        <v>0</v>
      </c>
      <c r="I2204">
        <v>1</v>
      </c>
      <c r="J2204">
        <v>0</v>
      </c>
      <c r="K2204">
        <v>0</v>
      </c>
      <c r="L2204">
        <v>0</v>
      </c>
      <c r="M2204">
        <v>0</v>
      </c>
      <c r="N2204">
        <v>0</v>
      </c>
      <c r="O2204" t="str" cm="1">
        <f t="array" ref="O2204">_xlfn.IFS(Table1[[#This Row],[Divorced]]=1, "Divorced", Table1[[#This Row],[Married]]=1, "Married", Table1[[#This Row],[Single]]=1, "Single", Table1[[#This Row],[Together]]=1, "Together", Table1[[#This Row],[Widow]]=1, "Widow")</f>
        <v>Together</v>
      </c>
      <c r="P2204" t="str" cm="1">
        <f t="array" ref="P2204">_xlfn.IFS(Table1[[#This Row],[Basic]]=1, "Basic", Table1[[#This Row],[Graduate]]=1, "Graduate", Table1[[#This Row],[Master]]=1, "Master", Table1[[#This Row],[PhD]]=1, "PhD", AND(Table1[[#This Row],[Basic]]=0, Table1[[#This Row],[Graduate]]=0, Table1[[#This Row],[Master]]=0, Table1[[#This Row],[PhD]]=0), "NA")</f>
        <v>NA</v>
      </c>
      <c r="Q2204" t="e">
        <f>_xlfn.XLOOKUP(Table1[[#This Row],[ID]], Table2[ID],#REF!, "Not Found", 0)</f>
        <v>#REF!</v>
      </c>
      <c r="R2204" t="e">
        <f>_xlfn.XLOOKUP(Table1[[#This Row],[ID]], Table2[ID],#REF!, "Not Found", 0)</f>
        <v>#REF!</v>
      </c>
      <c r="S2204" s="3">
        <f>_xlfn.XLOOKUP(Table1[[#This Row],[ID]], Table2[ID], Table2[Enrollment], "Not Found", 0)</f>
        <v>43617</v>
      </c>
      <c r="T2204" t="s">
        <v>439</v>
      </c>
    </row>
    <row r="2205" spans="1:20" x14ac:dyDescent="0.3">
      <c r="A2205">
        <v>1423</v>
      </c>
      <c r="B2205">
        <v>107500</v>
      </c>
      <c r="C2205">
        <v>1</v>
      </c>
      <c r="D2205">
        <v>0</v>
      </c>
      <c r="E2205">
        <v>34</v>
      </c>
      <c r="F2205">
        <v>0</v>
      </c>
      <c r="G2205">
        <v>1</v>
      </c>
      <c r="H2205">
        <v>0</v>
      </c>
      <c r="I2205">
        <v>0</v>
      </c>
      <c r="J2205">
        <v>0</v>
      </c>
      <c r="K2205">
        <v>0</v>
      </c>
      <c r="L2205">
        <v>0</v>
      </c>
      <c r="M2205">
        <v>0</v>
      </c>
      <c r="N2205">
        <v>0</v>
      </c>
      <c r="O2205" t="str" cm="1">
        <f t="array" ref="O2205">_xlfn.IFS(Table1[[#This Row],[Divorced]]=1, "Divorced", Table1[[#This Row],[Married]]=1, "Married", Table1[[#This Row],[Single]]=1, "Single", Table1[[#This Row],[Together]]=1, "Together", Table1[[#This Row],[Widow]]=1, "Widow")</f>
        <v>Married</v>
      </c>
      <c r="P2205" t="str" cm="1">
        <f t="array" ref="P2205">_xlfn.IFS(Table1[[#This Row],[Basic]]=1, "Basic", Table1[[#This Row],[Graduate]]=1, "Graduate", Table1[[#This Row],[Master]]=1, "Master", Table1[[#This Row],[PhD]]=1, "PhD", AND(Table1[[#This Row],[Basic]]=0, Table1[[#This Row],[Graduate]]=0, Table1[[#This Row],[Master]]=0, Table1[[#This Row],[PhD]]=0), "NA")</f>
        <v>NA</v>
      </c>
      <c r="Q2205" t="e">
        <f>_xlfn.XLOOKUP(Table1[[#This Row],[ID]], Table2[ID],#REF!, "Not Found", 0)</f>
        <v>#REF!</v>
      </c>
      <c r="R2205" t="e">
        <f>_xlfn.XLOOKUP(Table1[[#This Row],[ID]], Table2[ID],#REF!, "Not Found", 0)</f>
        <v>#REF!</v>
      </c>
      <c r="S2205" s="3" t="str">
        <f>_xlfn.XLOOKUP(Table1[[#This Row],[ID]], Table2[ID], Table2[Enrollment], "Not Found", 0)</f>
        <v>7/15/2019</v>
      </c>
      <c r="T2205" t="s">
        <v>437</v>
      </c>
    </row>
    <row r="2206" spans="1:20" x14ac:dyDescent="0.3">
      <c r="A2206">
        <v>1843</v>
      </c>
      <c r="B2206">
        <v>107500</v>
      </c>
      <c r="C2206">
        <v>0</v>
      </c>
      <c r="D2206">
        <v>0</v>
      </c>
      <c r="E2206">
        <v>33</v>
      </c>
      <c r="F2206">
        <v>0</v>
      </c>
      <c r="G2206">
        <v>1</v>
      </c>
      <c r="H2206">
        <v>0</v>
      </c>
      <c r="I2206">
        <v>0</v>
      </c>
      <c r="J2206">
        <v>0</v>
      </c>
      <c r="K2206">
        <v>0</v>
      </c>
      <c r="L2206">
        <v>1</v>
      </c>
      <c r="M2206">
        <v>0</v>
      </c>
      <c r="N2206">
        <v>0</v>
      </c>
      <c r="O2206" t="str" cm="1">
        <f t="array" ref="O2206">_xlfn.IFS(Table1[[#This Row],[Divorced]]=1, "Divorced", Table1[[#This Row],[Married]]=1, "Married", Table1[[#This Row],[Single]]=1, "Single", Table1[[#This Row],[Together]]=1, "Together", Table1[[#This Row],[Widow]]=1, "Widow")</f>
        <v>Married</v>
      </c>
      <c r="P2206" t="str" cm="1">
        <f t="array" ref="P2206">_xlfn.IFS(Table1[[#This Row],[Basic]]=1, "Basic", Table1[[#This Row],[Graduate]]=1, "Graduate", Table1[[#This Row],[Master]]=1, "Master", Table1[[#This Row],[PhD]]=1, "PhD", AND(Table1[[#This Row],[Basic]]=0, Table1[[#This Row],[Graduate]]=0, Table1[[#This Row],[Master]]=0, Table1[[#This Row],[PhD]]=0), "NA")</f>
        <v>Graduate</v>
      </c>
      <c r="Q2206" t="e">
        <f>_xlfn.XLOOKUP(Table1[[#This Row],[ID]], Table2[ID],#REF!, "Not Found", 0)</f>
        <v>#REF!</v>
      </c>
      <c r="R2206" t="e">
        <f>_xlfn.XLOOKUP(Table1[[#This Row],[ID]], Table2[ID],#REF!, "Not Found", 0)</f>
        <v>#REF!</v>
      </c>
      <c r="S2206" s="3" t="str">
        <f>_xlfn.XLOOKUP(Table1[[#This Row],[ID]], Table2[ID], Table2[Enrollment], "Not Found", 0)</f>
        <v>6/16/2019</v>
      </c>
      <c r="T2206" t="s">
        <v>437</v>
      </c>
    </row>
    <row r="2207" spans="1:20" x14ac:dyDescent="0.3">
      <c r="A2207">
        <v>2227</v>
      </c>
      <c r="B2207">
        <v>107500</v>
      </c>
      <c r="C2207">
        <v>1</v>
      </c>
      <c r="D2207">
        <v>0</v>
      </c>
      <c r="E2207">
        <v>28</v>
      </c>
      <c r="F2207">
        <v>0</v>
      </c>
      <c r="G2207">
        <v>0</v>
      </c>
      <c r="H2207">
        <v>1</v>
      </c>
      <c r="I2207">
        <v>0</v>
      </c>
      <c r="J2207">
        <v>0</v>
      </c>
      <c r="K2207">
        <v>1</v>
      </c>
      <c r="L2207">
        <v>0</v>
      </c>
      <c r="M2207">
        <v>0</v>
      </c>
      <c r="N2207">
        <v>0</v>
      </c>
      <c r="O2207" t="str" cm="1">
        <f t="array" ref="O2207">_xlfn.IFS(Table1[[#This Row],[Divorced]]=1, "Divorced", Table1[[#This Row],[Married]]=1, "Married", Table1[[#This Row],[Single]]=1, "Single", Table1[[#This Row],[Together]]=1, "Together", Table1[[#This Row],[Widow]]=1, "Widow")</f>
        <v>Single</v>
      </c>
      <c r="P2207" t="str" cm="1">
        <f t="array" ref="P2207">_xlfn.IFS(Table1[[#This Row],[Basic]]=1, "Basic", Table1[[#This Row],[Graduate]]=1, "Graduate", Table1[[#This Row],[Master]]=1, "Master", Table1[[#This Row],[PhD]]=1, "PhD", AND(Table1[[#This Row],[Basic]]=0, Table1[[#This Row],[Graduate]]=0, Table1[[#This Row],[Master]]=0, Table1[[#This Row],[PhD]]=0), "NA")</f>
        <v>Basic</v>
      </c>
      <c r="Q2207" t="e">
        <f>_xlfn.XLOOKUP(Table1[[#This Row],[ID]], Table2[ID],#REF!, "Not Found", 0)</f>
        <v>#REF!</v>
      </c>
      <c r="R2207" t="e">
        <f>_xlfn.XLOOKUP(Table1[[#This Row],[ID]], Table2[ID],#REF!, "Not Found", 0)</f>
        <v>#REF!</v>
      </c>
      <c r="S2207" s="3">
        <f>_xlfn.XLOOKUP(Table1[[#This Row],[ID]], Table2[ID], Table2[Enrollment], "Not Found", 0)</f>
        <v>43743</v>
      </c>
      <c r="T2207" t="s">
        <v>437</v>
      </c>
    </row>
    <row r="2208" spans="1:20" x14ac:dyDescent="0.3">
      <c r="A2208">
        <v>1044</v>
      </c>
      <c r="B2208">
        <v>107500</v>
      </c>
      <c r="C2208">
        <v>0</v>
      </c>
      <c r="D2208">
        <v>0</v>
      </c>
      <c r="E2208">
        <v>24</v>
      </c>
      <c r="F2208">
        <v>0</v>
      </c>
      <c r="G2208">
        <v>1</v>
      </c>
      <c r="H2208">
        <v>0</v>
      </c>
      <c r="I2208">
        <v>0</v>
      </c>
      <c r="J2208">
        <v>0</v>
      </c>
      <c r="K2208">
        <v>0</v>
      </c>
      <c r="L2208">
        <v>0</v>
      </c>
      <c r="M2208">
        <v>0</v>
      </c>
      <c r="N2208">
        <v>0</v>
      </c>
      <c r="O2208" t="str" cm="1">
        <f t="array" ref="O2208">_xlfn.IFS(Table1[[#This Row],[Divorced]]=1, "Divorced", Table1[[#This Row],[Married]]=1, "Married", Table1[[#This Row],[Single]]=1, "Single", Table1[[#This Row],[Together]]=1, "Together", Table1[[#This Row],[Widow]]=1, "Widow")</f>
        <v>Married</v>
      </c>
      <c r="P2208" t="str" cm="1">
        <f t="array" ref="P2208">_xlfn.IFS(Table1[[#This Row],[Basic]]=1, "Basic", Table1[[#This Row],[Graduate]]=1, "Graduate", Table1[[#This Row],[Master]]=1, "Master", Table1[[#This Row],[PhD]]=1, "PhD", AND(Table1[[#This Row],[Basic]]=0, Table1[[#This Row],[Graduate]]=0, Table1[[#This Row],[Master]]=0, Table1[[#This Row],[PhD]]=0), "NA")</f>
        <v>NA</v>
      </c>
      <c r="Q2208" t="e">
        <f>_xlfn.XLOOKUP(Table1[[#This Row],[ID]], Table2[ID],#REF!, "Not Found", 0)</f>
        <v>#REF!</v>
      </c>
      <c r="R2208" t="e">
        <f>_xlfn.XLOOKUP(Table1[[#This Row],[ID]], Table2[ID],#REF!, "Not Found", 0)</f>
        <v>#REF!</v>
      </c>
      <c r="S2208" s="3" t="str">
        <f>_xlfn.XLOOKUP(Table1[[#This Row],[ID]], Table2[ID], Table2[Enrollment], "Not Found", 0)</f>
        <v>4/16/2019</v>
      </c>
      <c r="T2208" t="s">
        <v>436</v>
      </c>
    </row>
    <row r="2209" spans="1:20" x14ac:dyDescent="0.3">
      <c r="A2209">
        <v>2781</v>
      </c>
      <c r="B2209">
        <v>107144</v>
      </c>
      <c r="C2209">
        <v>0</v>
      </c>
      <c r="D2209">
        <v>2</v>
      </c>
      <c r="E2209">
        <v>54</v>
      </c>
      <c r="F2209">
        <v>0</v>
      </c>
      <c r="G2209">
        <v>0</v>
      </c>
      <c r="H2209">
        <v>1</v>
      </c>
      <c r="I2209">
        <v>0</v>
      </c>
      <c r="J2209">
        <v>0</v>
      </c>
      <c r="K2209">
        <v>0</v>
      </c>
      <c r="L2209">
        <v>0</v>
      </c>
      <c r="M2209">
        <v>0</v>
      </c>
      <c r="N2209">
        <v>1</v>
      </c>
      <c r="O2209" t="str" cm="1">
        <f t="array" ref="O2209">_xlfn.IFS(Table1[[#This Row],[Divorced]]=1, "Divorced", Table1[[#This Row],[Married]]=1, "Married", Table1[[#This Row],[Single]]=1, "Single", Table1[[#This Row],[Together]]=1, "Together", Table1[[#This Row],[Widow]]=1, "Widow")</f>
        <v>Single</v>
      </c>
      <c r="P2209" t="str" cm="1">
        <f t="array" ref="P2209">_xlfn.IFS(Table1[[#This Row],[Basic]]=1, "Basic", Table1[[#This Row],[Graduate]]=1, "Graduate", Table1[[#This Row],[Master]]=1, "Master", Table1[[#This Row],[PhD]]=1, "PhD", AND(Table1[[#This Row],[Basic]]=0, Table1[[#This Row],[Graduate]]=0, Table1[[#This Row],[Master]]=0, Table1[[#This Row],[PhD]]=0), "NA")</f>
        <v>PhD</v>
      </c>
      <c r="Q2209" t="e">
        <f>_xlfn.XLOOKUP(Table1[[#This Row],[ID]], Table2[ID],#REF!, "Not Found", 0)</f>
        <v>#REF!</v>
      </c>
      <c r="R2209" t="e">
        <f>_xlfn.XLOOKUP(Table1[[#This Row],[ID]], Table2[ID],#REF!, "Not Found", 0)</f>
        <v>#REF!</v>
      </c>
      <c r="S2209" s="3" t="str">
        <f>_xlfn.XLOOKUP(Table1[[#This Row],[ID]], Table2[ID], Table2[Enrollment], "Not Found", 0)</f>
        <v>5/13/2020</v>
      </c>
      <c r="T2209" t="s">
        <v>435</v>
      </c>
    </row>
    <row r="2210" spans="1:20" x14ac:dyDescent="0.3">
      <c r="A2210">
        <v>1755</v>
      </c>
      <c r="B2210">
        <v>106835</v>
      </c>
      <c r="C2210">
        <v>0</v>
      </c>
      <c r="D2210">
        <v>1</v>
      </c>
      <c r="E2210">
        <v>63</v>
      </c>
      <c r="F2210">
        <v>0</v>
      </c>
      <c r="G2210">
        <v>0</v>
      </c>
      <c r="H2210">
        <v>0</v>
      </c>
      <c r="I2210">
        <v>1</v>
      </c>
      <c r="J2210">
        <v>0</v>
      </c>
      <c r="K2210">
        <v>0</v>
      </c>
      <c r="L2210">
        <v>0</v>
      </c>
      <c r="M2210">
        <v>0</v>
      </c>
      <c r="N2210">
        <v>1</v>
      </c>
      <c r="O2210" t="str" cm="1">
        <f t="array" ref="O2210">_xlfn.IFS(Table1[[#This Row],[Divorced]]=1, "Divorced", Table1[[#This Row],[Married]]=1, "Married", Table1[[#This Row],[Single]]=1, "Single", Table1[[#This Row],[Together]]=1, "Together", Table1[[#This Row],[Widow]]=1, "Widow")</f>
        <v>Together</v>
      </c>
      <c r="P2210" t="str" cm="1">
        <f t="array" ref="P2210">_xlfn.IFS(Table1[[#This Row],[Basic]]=1, "Basic", Table1[[#This Row],[Graduate]]=1, "Graduate", Table1[[#This Row],[Master]]=1, "Master", Table1[[#This Row],[PhD]]=1, "PhD", AND(Table1[[#This Row],[Basic]]=0, Table1[[#This Row],[Graduate]]=0, Table1[[#This Row],[Master]]=0, Table1[[#This Row],[PhD]]=0), "NA")</f>
        <v>PhD</v>
      </c>
      <c r="Q2210" t="e">
        <f>_xlfn.XLOOKUP(Table1[[#This Row],[ID]], Table2[ID],#REF!, "Not Found", 0)</f>
        <v>#REF!</v>
      </c>
      <c r="R2210" t="e">
        <f>_xlfn.XLOOKUP(Table1[[#This Row],[ID]], Table2[ID],#REF!, "Not Found", 0)</f>
        <v>#REF!</v>
      </c>
      <c r="S2210" s="3" t="str">
        <f>_xlfn.XLOOKUP(Table1[[#This Row],[ID]], Table2[ID], Table2[Enrollment], "Not Found", 0)</f>
        <v>5/15/2019</v>
      </c>
      <c r="T2210" t="s">
        <v>435</v>
      </c>
    </row>
    <row r="2211" spans="1:20" x14ac:dyDescent="0.3">
      <c r="A2211">
        <v>2308</v>
      </c>
      <c r="B2211">
        <v>106560</v>
      </c>
      <c r="C2211">
        <v>0</v>
      </c>
      <c r="D2211">
        <v>0</v>
      </c>
      <c r="E2211">
        <v>38</v>
      </c>
      <c r="F2211">
        <v>0</v>
      </c>
      <c r="G2211">
        <v>0</v>
      </c>
      <c r="H2211">
        <v>1</v>
      </c>
      <c r="I2211">
        <v>0</v>
      </c>
      <c r="J2211">
        <v>0</v>
      </c>
      <c r="K2211">
        <v>0</v>
      </c>
      <c r="L2211">
        <v>0</v>
      </c>
      <c r="M2211">
        <v>1</v>
      </c>
      <c r="N2211">
        <v>0</v>
      </c>
      <c r="O2211" t="str" cm="1">
        <f t="array" ref="O2211">_xlfn.IFS(Table1[[#This Row],[Divorced]]=1, "Divorced", Table1[[#This Row],[Married]]=1, "Married", Table1[[#This Row],[Single]]=1, "Single", Table1[[#This Row],[Together]]=1, "Together", Table1[[#This Row],[Widow]]=1, "Widow")</f>
        <v>Single</v>
      </c>
      <c r="P2211" t="str" cm="1">
        <f t="array" ref="P2211">_xlfn.IFS(Table1[[#This Row],[Basic]]=1, "Basic", Table1[[#This Row],[Graduate]]=1, "Graduate", Table1[[#This Row],[Master]]=1, "Master", Table1[[#This Row],[PhD]]=1, "PhD", AND(Table1[[#This Row],[Basic]]=0, Table1[[#This Row],[Graduate]]=0, Table1[[#This Row],[Master]]=0, Table1[[#This Row],[PhD]]=0), "NA")</f>
        <v>Master</v>
      </c>
      <c r="Q2211" t="e">
        <f>_xlfn.XLOOKUP(Table1[[#This Row],[ID]], Table2[ID],#REF!, "Not Found", 0)</f>
        <v>#REF!</v>
      </c>
      <c r="R2211" t="e">
        <f>_xlfn.XLOOKUP(Table1[[#This Row],[ID]], Table2[ID],#REF!, "Not Found", 0)</f>
        <v>#REF!</v>
      </c>
      <c r="S2211" s="3" t="str">
        <f>_xlfn.XLOOKUP(Table1[[#This Row],[ID]], Table2[ID], Table2[Enrollment], "Not Found", 0)</f>
        <v>5/18/2020</v>
      </c>
      <c r="T2211" t="s">
        <v>439</v>
      </c>
    </row>
    <row r="2212" spans="1:20" x14ac:dyDescent="0.3">
      <c r="A2212">
        <v>1010</v>
      </c>
      <c r="B2212">
        <v>105648</v>
      </c>
      <c r="C2212">
        <v>1</v>
      </c>
      <c r="D2212">
        <v>1</v>
      </c>
      <c r="E2212">
        <v>70</v>
      </c>
      <c r="F2212">
        <v>0</v>
      </c>
      <c r="G2212">
        <v>0</v>
      </c>
      <c r="H2212">
        <v>0</v>
      </c>
      <c r="I2212">
        <v>1</v>
      </c>
      <c r="J2212">
        <v>0</v>
      </c>
      <c r="K2212">
        <v>0</v>
      </c>
      <c r="L2212">
        <v>0</v>
      </c>
      <c r="M2212">
        <v>0</v>
      </c>
      <c r="N2212">
        <v>1</v>
      </c>
      <c r="O2212" t="str" cm="1">
        <f t="array" ref="O2212">_xlfn.IFS(Table1[[#This Row],[Divorced]]=1, "Divorced", Table1[[#This Row],[Married]]=1, "Married", Table1[[#This Row],[Single]]=1, "Single", Table1[[#This Row],[Together]]=1, "Together", Table1[[#This Row],[Widow]]=1, "Widow")</f>
        <v>Together</v>
      </c>
      <c r="P2212" t="str" cm="1">
        <f t="array" ref="P2212">_xlfn.IFS(Table1[[#This Row],[Basic]]=1, "Basic", Table1[[#This Row],[Graduate]]=1, "Graduate", Table1[[#This Row],[Master]]=1, "Master", Table1[[#This Row],[PhD]]=1, "PhD", AND(Table1[[#This Row],[Basic]]=0, Table1[[#This Row],[Graduate]]=0, Table1[[#This Row],[Master]]=0, Table1[[#This Row],[PhD]]=0), "NA")</f>
        <v>PhD</v>
      </c>
      <c r="Q2212" t="e">
        <f>_xlfn.XLOOKUP(Table1[[#This Row],[ID]], Table2[ID],#REF!, "Not Found", 0)</f>
        <v>#REF!</v>
      </c>
      <c r="R2212" t="e">
        <f>_xlfn.XLOOKUP(Table1[[#This Row],[ID]], Table2[ID],#REF!, "Not Found", 0)</f>
        <v>#REF!</v>
      </c>
      <c r="S2212" s="3" t="str">
        <f>_xlfn.XLOOKUP(Table1[[#This Row],[ID]], Table2[ID], Table2[Enrollment], "Not Found", 0)</f>
        <v>8/17/2020</v>
      </c>
      <c r="T2212" t="s">
        <v>438</v>
      </c>
    </row>
    <row r="2213" spans="1:20" x14ac:dyDescent="0.3">
      <c r="A2213">
        <v>3182</v>
      </c>
      <c r="B2213">
        <v>105305</v>
      </c>
      <c r="C2213">
        <v>0</v>
      </c>
      <c r="D2213">
        <v>1</v>
      </c>
      <c r="E2213">
        <v>44</v>
      </c>
      <c r="F2213">
        <v>0</v>
      </c>
      <c r="G2213">
        <v>1</v>
      </c>
      <c r="H2213">
        <v>0</v>
      </c>
      <c r="I2213">
        <v>0</v>
      </c>
      <c r="J2213">
        <v>0</v>
      </c>
      <c r="K2213">
        <v>0</v>
      </c>
      <c r="L2213">
        <v>1</v>
      </c>
      <c r="M2213">
        <v>0</v>
      </c>
      <c r="N2213">
        <v>0</v>
      </c>
      <c r="O2213" t="str" cm="1">
        <f t="array" ref="O2213">_xlfn.IFS(Table1[[#This Row],[Divorced]]=1, "Divorced", Table1[[#This Row],[Married]]=1, "Married", Table1[[#This Row],[Single]]=1, "Single", Table1[[#This Row],[Together]]=1, "Together", Table1[[#This Row],[Widow]]=1, "Widow")</f>
        <v>Married</v>
      </c>
      <c r="P2213" t="str" cm="1">
        <f t="array" ref="P2213">_xlfn.IFS(Table1[[#This Row],[Basic]]=1, "Basic", Table1[[#This Row],[Graduate]]=1, "Graduate", Table1[[#This Row],[Master]]=1, "Master", Table1[[#This Row],[PhD]]=1, "PhD", AND(Table1[[#This Row],[Basic]]=0, Table1[[#This Row],[Graduate]]=0, Table1[[#This Row],[Master]]=0, Table1[[#This Row],[PhD]]=0), "NA")</f>
        <v>Graduate</v>
      </c>
      <c r="Q2213" t="e">
        <f>_xlfn.XLOOKUP(Table1[[#This Row],[ID]], Table2[ID],#REF!, "Not Found", 0)</f>
        <v>#REF!</v>
      </c>
      <c r="R2213" t="e">
        <f>_xlfn.XLOOKUP(Table1[[#This Row],[ID]], Table2[ID],#REF!, "Not Found", 0)</f>
        <v>#REF!</v>
      </c>
      <c r="S2213" s="3">
        <f>_xlfn.XLOOKUP(Table1[[#This Row],[ID]], Table2[ID], Table2[Enrollment], "Not Found", 0)</f>
        <v>43922</v>
      </c>
      <c r="T2213" t="s">
        <v>438</v>
      </c>
    </row>
    <row r="2214" spans="1:20" x14ac:dyDescent="0.3">
      <c r="A2214">
        <v>1962</v>
      </c>
      <c r="B2214">
        <v>104861</v>
      </c>
      <c r="C2214">
        <v>0</v>
      </c>
      <c r="D2214">
        <v>0</v>
      </c>
      <c r="E2214">
        <v>55</v>
      </c>
      <c r="F2214">
        <v>1</v>
      </c>
      <c r="G2214">
        <v>0</v>
      </c>
      <c r="H2214">
        <v>0</v>
      </c>
      <c r="I2214">
        <v>0</v>
      </c>
      <c r="J2214">
        <v>0</v>
      </c>
      <c r="K2214">
        <v>0</v>
      </c>
      <c r="L2214">
        <v>1</v>
      </c>
      <c r="M2214">
        <v>0</v>
      </c>
      <c r="N2214">
        <v>0</v>
      </c>
      <c r="O2214" t="str" cm="1">
        <f t="array" ref="O2214">_xlfn.IFS(Table1[[#This Row],[Divorced]]=1, "Divorced", Table1[[#This Row],[Married]]=1, "Married", Table1[[#This Row],[Single]]=1, "Single", Table1[[#This Row],[Together]]=1, "Together", Table1[[#This Row],[Widow]]=1, "Widow")</f>
        <v>Divorced</v>
      </c>
      <c r="P2214" t="str" cm="1">
        <f t="array" ref="P2214">_xlfn.IFS(Table1[[#This Row],[Basic]]=1, "Basic", Table1[[#This Row],[Graduate]]=1, "Graduate", Table1[[#This Row],[Master]]=1, "Master", Table1[[#This Row],[PhD]]=1, "PhD", AND(Table1[[#This Row],[Basic]]=0, Table1[[#This Row],[Graduate]]=0, Table1[[#This Row],[Master]]=0, Table1[[#This Row],[PhD]]=0), "NA")</f>
        <v>Graduate</v>
      </c>
      <c r="Q2214" t="e">
        <f>_xlfn.XLOOKUP(Table1[[#This Row],[ID]], Table2[ID],#REF!, "Not Found", 0)</f>
        <v>#REF!</v>
      </c>
      <c r="R2214" t="e">
        <f>_xlfn.XLOOKUP(Table1[[#This Row],[ID]], Table2[ID],#REF!, "Not Found", 0)</f>
        <v>#REF!</v>
      </c>
      <c r="S2214" s="3" t="str">
        <f>_xlfn.XLOOKUP(Table1[[#This Row],[ID]], Table2[ID], Table2[Enrollment], "Not Found", 0)</f>
        <v>11/26/2020</v>
      </c>
      <c r="T2214" t="s">
        <v>436</v>
      </c>
    </row>
    <row r="2215" spans="1:20" x14ac:dyDescent="0.3">
      <c r="A2215">
        <v>2950</v>
      </c>
      <c r="B2215">
        <v>104428</v>
      </c>
      <c r="C2215">
        <v>0</v>
      </c>
      <c r="D2215">
        <v>1</v>
      </c>
      <c r="E2215">
        <v>51</v>
      </c>
      <c r="F2215">
        <v>0</v>
      </c>
      <c r="G2215">
        <v>1</v>
      </c>
      <c r="H2215">
        <v>0</v>
      </c>
      <c r="I2215">
        <v>0</v>
      </c>
      <c r="J2215">
        <v>0</v>
      </c>
      <c r="K2215">
        <v>0</v>
      </c>
      <c r="L2215">
        <v>1</v>
      </c>
      <c r="M2215">
        <v>0</v>
      </c>
      <c r="N2215">
        <v>0</v>
      </c>
      <c r="O2215" t="str" cm="1">
        <f t="array" ref="O2215">_xlfn.IFS(Table1[[#This Row],[Divorced]]=1, "Divorced", Table1[[#This Row],[Married]]=1, "Married", Table1[[#This Row],[Single]]=1, "Single", Table1[[#This Row],[Together]]=1, "Together", Table1[[#This Row],[Widow]]=1, "Widow")</f>
        <v>Married</v>
      </c>
      <c r="P2215" t="str" cm="1">
        <f t="array" ref="P2215">_xlfn.IFS(Table1[[#This Row],[Basic]]=1, "Basic", Table1[[#This Row],[Graduate]]=1, "Graduate", Table1[[#This Row],[Master]]=1, "Master", Table1[[#This Row],[PhD]]=1, "PhD", AND(Table1[[#This Row],[Basic]]=0, Table1[[#This Row],[Graduate]]=0, Table1[[#This Row],[Master]]=0, Table1[[#This Row],[PhD]]=0), "NA")</f>
        <v>Graduate</v>
      </c>
      <c r="Q2215" t="e">
        <f>_xlfn.XLOOKUP(Table1[[#This Row],[ID]], Table2[ID],#REF!, "Not Found", 0)</f>
        <v>#REF!</v>
      </c>
      <c r="R2215" t="e">
        <f>_xlfn.XLOOKUP(Table1[[#This Row],[ID]], Table2[ID],#REF!, "Not Found", 0)</f>
        <v>#REF!</v>
      </c>
      <c r="S2215" s="3">
        <f>_xlfn.XLOOKUP(Table1[[#This Row],[ID]], Table2[ID], Table2[Enrollment], "Not Found", 0)</f>
        <v>44138</v>
      </c>
      <c r="T2215" t="s">
        <v>439</v>
      </c>
    </row>
    <row r="2216" spans="1:20" x14ac:dyDescent="0.3">
      <c r="A2216">
        <v>2821</v>
      </c>
      <c r="B2216">
        <v>104023</v>
      </c>
      <c r="C2216">
        <v>1</v>
      </c>
      <c r="D2216">
        <v>1</v>
      </c>
      <c r="E2216">
        <v>57</v>
      </c>
      <c r="F2216">
        <v>0</v>
      </c>
      <c r="G2216">
        <v>1</v>
      </c>
      <c r="H2216">
        <v>0</v>
      </c>
      <c r="I2216">
        <v>0</v>
      </c>
      <c r="J2216">
        <v>0</v>
      </c>
      <c r="K2216">
        <v>0</v>
      </c>
      <c r="L2216">
        <v>0</v>
      </c>
      <c r="M2216">
        <v>0</v>
      </c>
      <c r="N2216">
        <v>1</v>
      </c>
      <c r="O2216" t="str" cm="1">
        <f t="array" ref="O2216">_xlfn.IFS(Table1[[#This Row],[Divorced]]=1, "Divorced", Table1[[#This Row],[Married]]=1, "Married", Table1[[#This Row],[Single]]=1, "Single", Table1[[#This Row],[Together]]=1, "Together", Table1[[#This Row],[Widow]]=1, "Widow")</f>
        <v>Married</v>
      </c>
      <c r="P2216" t="str" cm="1">
        <f t="array" ref="P2216">_xlfn.IFS(Table1[[#This Row],[Basic]]=1, "Basic", Table1[[#This Row],[Graduate]]=1, "Graduate", Table1[[#This Row],[Master]]=1, "Master", Table1[[#This Row],[PhD]]=1, "PhD", AND(Table1[[#This Row],[Basic]]=0, Table1[[#This Row],[Graduate]]=0, Table1[[#This Row],[Master]]=0, Table1[[#This Row],[PhD]]=0), "NA")</f>
        <v>PhD</v>
      </c>
      <c r="Q2216" t="e">
        <f>_xlfn.XLOOKUP(Table1[[#This Row],[ID]], Table2[ID],#REF!, "Not Found", 0)</f>
        <v>#REF!</v>
      </c>
      <c r="R2216" t="e">
        <f>_xlfn.XLOOKUP(Table1[[#This Row],[ID]], Table2[ID],#REF!, "Not Found", 0)</f>
        <v>#REF!</v>
      </c>
      <c r="S2216" s="3" t="str">
        <f>_xlfn.XLOOKUP(Table1[[#This Row],[ID]], Table2[ID], Table2[Enrollment], "Not Found", 0)</f>
        <v>11/27/2020</v>
      </c>
      <c r="T2216" t="s">
        <v>437</v>
      </c>
    </row>
    <row r="2217" spans="1:20" x14ac:dyDescent="0.3">
      <c r="A2217">
        <v>2500</v>
      </c>
      <c r="B2217">
        <v>103502</v>
      </c>
      <c r="C2217">
        <v>1</v>
      </c>
      <c r="D2217">
        <v>0</v>
      </c>
      <c r="E2217">
        <v>47</v>
      </c>
      <c r="F2217">
        <v>0</v>
      </c>
      <c r="G2217">
        <v>0</v>
      </c>
      <c r="H2217">
        <v>1</v>
      </c>
      <c r="I2217">
        <v>0</v>
      </c>
      <c r="J2217">
        <v>0</v>
      </c>
      <c r="K2217">
        <v>0</v>
      </c>
      <c r="L2217">
        <v>1</v>
      </c>
      <c r="M2217">
        <v>0</v>
      </c>
      <c r="N2217">
        <v>0</v>
      </c>
      <c r="O2217" t="str" cm="1">
        <f t="array" ref="O2217">_xlfn.IFS(Table1[[#This Row],[Divorced]]=1, "Divorced", Table1[[#This Row],[Married]]=1, "Married", Table1[[#This Row],[Single]]=1, "Single", Table1[[#This Row],[Together]]=1, "Together", Table1[[#This Row],[Widow]]=1, "Widow")</f>
        <v>Single</v>
      </c>
      <c r="P2217" t="str" cm="1">
        <f t="array" ref="P2217">_xlfn.IFS(Table1[[#This Row],[Basic]]=1, "Basic", Table1[[#This Row],[Graduate]]=1, "Graduate", Table1[[#This Row],[Master]]=1, "Master", Table1[[#This Row],[PhD]]=1, "PhD", AND(Table1[[#This Row],[Basic]]=0, Table1[[#This Row],[Graduate]]=0, Table1[[#This Row],[Master]]=0, Table1[[#This Row],[PhD]]=0), "NA")</f>
        <v>Graduate</v>
      </c>
      <c r="Q2217" t="e">
        <f>_xlfn.XLOOKUP(Table1[[#This Row],[ID]], Table2[ID],#REF!, "Not Found", 0)</f>
        <v>#REF!</v>
      </c>
      <c r="R2217" t="e">
        <f>_xlfn.XLOOKUP(Table1[[#This Row],[ID]], Table2[ID],#REF!, "Not Found", 0)</f>
        <v>#REF!</v>
      </c>
      <c r="S2217" s="3" t="str">
        <f>_xlfn.XLOOKUP(Table1[[#This Row],[ID]], Table2[ID], Table2[Enrollment], "Not Found", 0)</f>
        <v>9/18/2019</v>
      </c>
      <c r="T2217" t="s">
        <v>439</v>
      </c>
    </row>
    <row r="2218" spans="1:20" x14ac:dyDescent="0.3">
      <c r="A2218">
        <v>1021</v>
      </c>
      <c r="B2218">
        <v>102447</v>
      </c>
      <c r="C2218">
        <v>1</v>
      </c>
      <c r="D2218">
        <v>0</v>
      </c>
      <c r="E2218">
        <v>41</v>
      </c>
      <c r="F2218">
        <v>0</v>
      </c>
      <c r="G2218">
        <v>1</v>
      </c>
      <c r="H2218">
        <v>0</v>
      </c>
      <c r="I2218">
        <v>0</v>
      </c>
      <c r="J2218">
        <v>0</v>
      </c>
      <c r="K2218">
        <v>0</v>
      </c>
      <c r="L2218">
        <v>1</v>
      </c>
      <c r="M2218">
        <v>0</v>
      </c>
      <c r="N2218">
        <v>0</v>
      </c>
      <c r="O2218" t="str" cm="1">
        <f t="array" ref="O2218">_xlfn.IFS(Table1[[#This Row],[Divorced]]=1, "Divorced", Table1[[#This Row],[Married]]=1, "Married", Table1[[#This Row],[Single]]=1, "Single", Table1[[#This Row],[Together]]=1, "Together", Table1[[#This Row],[Widow]]=1, "Widow")</f>
        <v>Married</v>
      </c>
      <c r="P2218" t="str" cm="1">
        <f t="array" ref="P2218">_xlfn.IFS(Table1[[#This Row],[Basic]]=1, "Basic", Table1[[#This Row],[Graduate]]=1, "Graduate", Table1[[#This Row],[Master]]=1, "Master", Table1[[#This Row],[PhD]]=1, "PhD", AND(Table1[[#This Row],[Basic]]=0, Table1[[#This Row],[Graduate]]=0, Table1[[#This Row],[Master]]=0, Table1[[#This Row],[PhD]]=0), "NA")</f>
        <v>Graduate</v>
      </c>
      <c r="Q2218" t="e">
        <f>_xlfn.XLOOKUP(Table1[[#This Row],[ID]], Table2[ID],#REF!, "Not Found", 0)</f>
        <v>#REF!</v>
      </c>
      <c r="R2218" t="e">
        <f>_xlfn.XLOOKUP(Table1[[#This Row],[ID]], Table2[ID],#REF!, "Not Found", 0)</f>
        <v>#REF!</v>
      </c>
      <c r="S2218" s="3" t="str">
        <f>_xlfn.XLOOKUP(Table1[[#This Row],[ID]], Table2[ID], Table2[Enrollment], "Not Found", 0)</f>
        <v>6/13/2019</v>
      </c>
      <c r="T2218" t="s">
        <v>437</v>
      </c>
    </row>
    <row r="2219" spans="1:20" x14ac:dyDescent="0.3">
      <c r="A2219">
        <v>2226</v>
      </c>
      <c r="B2219">
        <v>101730</v>
      </c>
      <c r="C2219">
        <v>0</v>
      </c>
      <c r="D2219">
        <v>0</v>
      </c>
      <c r="E2219">
        <v>49</v>
      </c>
      <c r="F2219">
        <v>1</v>
      </c>
      <c r="G2219">
        <v>0</v>
      </c>
      <c r="H2219">
        <v>0</v>
      </c>
      <c r="I2219">
        <v>0</v>
      </c>
      <c r="J2219">
        <v>0</v>
      </c>
      <c r="K2219">
        <v>0</v>
      </c>
      <c r="L2219">
        <v>1</v>
      </c>
      <c r="M2219">
        <v>0</v>
      </c>
      <c r="N2219">
        <v>0</v>
      </c>
      <c r="O2219" t="str" cm="1">
        <f t="array" ref="O2219">_xlfn.IFS(Table1[[#This Row],[Divorced]]=1, "Divorced", Table1[[#This Row],[Married]]=1, "Married", Table1[[#This Row],[Single]]=1, "Single", Table1[[#This Row],[Together]]=1, "Together", Table1[[#This Row],[Widow]]=1, "Widow")</f>
        <v>Divorced</v>
      </c>
      <c r="P2219" t="str" cm="1">
        <f t="array" ref="P2219">_xlfn.IFS(Table1[[#This Row],[Basic]]=1, "Basic", Table1[[#This Row],[Graduate]]=1, "Graduate", Table1[[#This Row],[Master]]=1, "Master", Table1[[#This Row],[PhD]]=1, "PhD", AND(Table1[[#This Row],[Basic]]=0, Table1[[#This Row],[Graduate]]=0, Table1[[#This Row],[Master]]=0, Table1[[#This Row],[PhD]]=0), "NA")</f>
        <v>Graduate</v>
      </c>
      <c r="Q2219" t="e">
        <f>_xlfn.XLOOKUP(Table1[[#This Row],[ID]], Table2[ID],#REF!, "Not Found", 0)</f>
        <v>#REF!</v>
      </c>
      <c r="R2219" t="e">
        <f>_xlfn.XLOOKUP(Table1[[#This Row],[ID]], Table2[ID],#REF!, "Not Found", 0)</f>
        <v>#REF!</v>
      </c>
      <c r="S2219" s="3" t="str">
        <f>_xlfn.XLOOKUP(Table1[[#This Row],[ID]], Table2[ID], Table2[Enrollment], "Not Found", 0)</f>
        <v>10/22/2020</v>
      </c>
      <c r="T2219" t="s">
        <v>436</v>
      </c>
    </row>
    <row r="2220" spans="1:20" x14ac:dyDescent="0.3">
      <c r="A2220">
        <v>3206</v>
      </c>
      <c r="B2220">
        <v>0</v>
      </c>
      <c r="C2220">
        <v>1</v>
      </c>
      <c r="D2220">
        <v>2</v>
      </c>
      <c r="E2220">
        <v>57</v>
      </c>
      <c r="F2220">
        <v>0</v>
      </c>
      <c r="G2220">
        <v>1</v>
      </c>
      <c r="H2220">
        <v>0</v>
      </c>
      <c r="I2220">
        <v>0</v>
      </c>
      <c r="J2220">
        <v>0</v>
      </c>
      <c r="K2220">
        <v>0</v>
      </c>
      <c r="L2220">
        <v>0</v>
      </c>
      <c r="M2220">
        <v>1</v>
      </c>
      <c r="N2220">
        <v>0</v>
      </c>
      <c r="O2220" t="str" cm="1">
        <f t="array" ref="O2220">_xlfn.IFS(Table1[[#This Row],[Divorced]]=1, "Divorced", Table1[[#This Row],[Married]]=1, "Married", Table1[[#This Row],[Single]]=1, "Single", Table1[[#This Row],[Together]]=1, "Together", Table1[[#This Row],[Widow]]=1, "Widow")</f>
        <v>Married</v>
      </c>
      <c r="P2220" t="str" cm="1">
        <f t="array" ref="P2220">_xlfn.IFS(Table1[[#This Row],[Basic]]=1, "Basic", Table1[[#This Row],[Graduate]]=1, "Graduate", Table1[[#This Row],[Master]]=1, "Master", Table1[[#This Row],[PhD]]=1, "PhD", AND(Table1[[#This Row],[Basic]]=0, Table1[[#This Row],[Graduate]]=0, Table1[[#This Row],[Master]]=0, Table1[[#This Row],[PhD]]=0), "NA")</f>
        <v>Master</v>
      </c>
      <c r="Q2220" t="e">
        <f>_xlfn.XLOOKUP(Table1[[#This Row],[ID]], Table2[ID],#REF!, "Not Found", 0)</f>
        <v>#REF!</v>
      </c>
      <c r="R2220" t="e">
        <f>_xlfn.XLOOKUP(Table1[[#This Row],[ID]], Table2[ID],#REF!, "Not Found", 0)</f>
        <v>#REF!</v>
      </c>
      <c r="S2220" s="3" t="str">
        <f>_xlfn.XLOOKUP(Table1[[#This Row],[ID]], Table2[ID], Table2[Enrollment], "Not Found", 0)</f>
        <v>11/29/2020</v>
      </c>
      <c r="T2220" t="s">
        <v>438</v>
      </c>
    </row>
    <row r="2221" spans="1:20" x14ac:dyDescent="0.3">
      <c r="A2221">
        <v>3207</v>
      </c>
      <c r="B2221">
        <v>0</v>
      </c>
      <c r="C2221">
        <v>0</v>
      </c>
      <c r="D2221">
        <v>1</v>
      </c>
      <c r="E2221">
        <v>50</v>
      </c>
      <c r="F2221">
        <v>0</v>
      </c>
      <c r="G2221">
        <v>0</v>
      </c>
      <c r="H2221">
        <v>1</v>
      </c>
      <c r="I2221">
        <v>0</v>
      </c>
      <c r="J2221">
        <v>0</v>
      </c>
      <c r="K2221">
        <v>0</v>
      </c>
      <c r="L2221">
        <v>0</v>
      </c>
      <c r="M2221">
        <v>0</v>
      </c>
      <c r="N2221">
        <v>1</v>
      </c>
      <c r="O2221" t="str" cm="1">
        <f t="array" ref="O2221">_xlfn.IFS(Table1[[#This Row],[Divorced]]=1, "Divorced", Table1[[#This Row],[Married]]=1, "Married", Table1[[#This Row],[Single]]=1, "Single", Table1[[#This Row],[Together]]=1, "Together", Table1[[#This Row],[Widow]]=1, "Widow")</f>
        <v>Single</v>
      </c>
      <c r="P2221" t="str" cm="1">
        <f t="array" ref="P2221">_xlfn.IFS(Table1[[#This Row],[Basic]]=1, "Basic", Table1[[#This Row],[Graduate]]=1, "Graduate", Table1[[#This Row],[Master]]=1, "Master", Table1[[#This Row],[PhD]]=1, "PhD", AND(Table1[[#This Row],[Basic]]=0, Table1[[#This Row],[Graduate]]=0, Table1[[#This Row],[Master]]=0, Table1[[#This Row],[PhD]]=0), "NA")</f>
        <v>PhD</v>
      </c>
      <c r="Q2221" t="e">
        <f>_xlfn.XLOOKUP(Table1[[#This Row],[ID]], Table2[ID],#REF!, "Not Found", 0)</f>
        <v>#REF!</v>
      </c>
      <c r="R2221" t="e">
        <f>_xlfn.XLOOKUP(Table1[[#This Row],[ID]], Table2[ID],#REF!, "Not Found", 0)</f>
        <v>#REF!</v>
      </c>
      <c r="S2221" s="3" t="str">
        <f>_xlfn.XLOOKUP(Table1[[#This Row],[ID]], Table2[ID], Table2[Enrollment], "Not Found", 0)</f>
        <v>6/15/2020</v>
      </c>
      <c r="T2221" t="s">
        <v>435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CustomerCombined</vt:lpstr>
      <vt:lpstr>Sheet1</vt:lpstr>
      <vt:lpstr>R1 Answers</vt:lpstr>
      <vt:lpstr>R2 Answers</vt:lpstr>
      <vt:lpstr>R3 Answers</vt:lpstr>
      <vt:lpstr>R4 CustomerCombined - Cleaned</vt:lpstr>
      <vt:lpstr>R5 Answers</vt:lpstr>
      <vt:lpstr>Charts after Cleaning</vt:lpstr>
      <vt:lpstr>Bonus Questions</vt:lpstr>
      <vt:lpstr>Marketing</vt:lpstr>
      <vt:lpstr>Sales</vt:lpstr>
      <vt:lpstr>customer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UserTop</dc:creator>
  <cp:lastModifiedBy>UserTop</cp:lastModifiedBy>
  <dcterms:created xsi:type="dcterms:W3CDTF">2024-11-28T12:08:42Z</dcterms:created>
  <dcterms:modified xsi:type="dcterms:W3CDTF">2024-12-07T06:42:53Z</dcterms:modified>
</cp:coreProperties>
</file>